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/>
  <mc:AlternateContent xmlns:mc="http://schemas.openxmlformats.org/markup-compatibility/2006">
    <mc:Choice Requires="x15">
      <x15ac:absPath xmlns:x15ac="http://schemas.microsoft.com/office/spreadsheetml/2010/11/ac" url="C:\Users\dhruv\Desktop\Carve\BatchAutomation\carve_recs\"/>
    </mc:Choice>
  </mc:AlternateContent>
  <xr:revisionPtr revIDLastSave="0" documentId="13_ncr:1_{67B126F4-42F3-451B-B455-D48F02E51251}" xr6:coauthVersionLast="47" xr6:coauthVersionMax="47" xr10:uidLastSave="{00000000-0000-0000-0000-000000000000}"/>
  <bookViews>
    <workbookView xWindow="3348" yWindow="3348" windowWidth="17280" windowHeight="9420" activeTab="4" xr2:uid="{00000000-000D-0000-FFFF-FFFF00000000}"/>
  </bookViews>
  <sheets>
    <sheet name="Your recommendation" sheetId="1" r:id="rId1"/>
    <sheet name="Data" sheetId="2" r:id="rId2"/>
    <sheet name="Algorithm--&gt;" sheetId="3" r:id="rId3"/>
    <sheet name="Driver" sheetId="4" r:id="rId4"/>
    <sheet name="Data_Price " sheetId="5" r:id="rId5"/>
    <sheet name="Survey" sheetId="6" state="hidden" r:id="rId6"/>
    <sheet name="Instructions" sheetId="7" state="hidden" r:id="rId7"/>
    <sheet name="Other--&gt;" sheetId="8" state="hidden" r:id="rId8"/>
    <sheet name="Summary_V" sheetId="9" state="hidden" r:id="rId9"/>
    <sheet name="Analysis_old" sheetId="10" state="hidden" r:id="rId10"/>
    <sheet name="Histograms" sheetId="11" state="hidden" r:id="rId11"/>
    <sheet name="Length" sheetId="12" state="hidden" r:id="rId12"/>
  </sheets>
  <definedNames>
    <definedName name="_xlnm._FilterDatabase" localSheetId="1" hidden="1">Data!$A$8:$DU$1273</definedName>
    <definedName name="_xlnm._FilterDatabase" localSheetId="4" hidden="1">'Data_Price '!$A$1:$AR$1266</definedName>
    <definedName name="_xlnm._FilterDatabase" localSheetId="10" hidden="1">Histograms!$A$16:$AG$1281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15" i="12" l="1"/>
  <c r="J15" i="12" s="1"/>
  <c r="E15" i="12"/>
  <c r="I15" i="12" s="1"/>
  <c r="F14" i="12"/>
  <c r="J14" i="12" s="1"/>
  <c r="E14" i="12"/>
  <c r="I14" i="12" s="1"/>
  <c r="I13" i="12"/>
  <c r="F13" i="12"/>
  <c r="H13" i="12" s="1"/>
  <c r="E13" i="12"/>
  <c r="G13" i="12" s="1"/>
  <c r="G12" i="12"/>
  <c r="F12" i="12"/>
  <c r="J12" i="12" s="1"/>
  <c r="E12" i="12"/>
  <c r="I12" i="12" s="1"/>
  <c r="F11" i="12"/>
  <c r="J11" i="12" s="1"/>
  <c r="E11" i="12"/>
  <c r="I11" i="12" s="1"/>
  <c r="H10" i="12"/>
  <c r="F10" i="12"/>
  <c r="J10" i="12" s="1"/>
  <c r="E10" i="12"/>
  <c r="I10" i="12" s="1"/>
  <c r="J9" i="12"/>
  <c r="H9" i="12"/>
  <c r="F9" i="12"/>
  <c r="E9" i="12"/>
  <c r="I9" i="12" s="1"/>
  <c r="J8" i="12"/>
  <c r="I8" i="12"/>
  <c r="H8" i="12"/>
  <c r="G8" i="12"/>
  <c r="F8" i="12"/>
  <c r="E8" i="12"/>
  <c r="J7" i="12"/>
  <c r="I7" i="12"/>
  <c r="G7" i="12"/>
  <c r="F7" i="12"/>
  <c r="H7" i="12" s="1"/>
  <c r="E7" i="12"/>
  <c r="J6" i="12"/>
  <c r="F6" i="12"/>
  <c r="H6" i="12" s="1"/>
  <c r="E6" i="12"/>
  <c r="I6" i="12" s="1"/>
  <c r="I5" i="12"/>
  <c r="F5" i="12"/>
  <c r="H5" i="12" s="1"/>
  <c r="E5" i="12"/>
  <c r="G5" i="12" s="1"/>
  <c r="I4" i="12"/>
  <c r="G4" i="12"/>
  <c r="F4" i="12"/>
  <c r="J4" i="12" s="1"/>
  <c r="E4" i="12"/>
  <c r="F3" i="12"/>
  <c r="J3" i="12" s="1"/>
  <c r="E3" i="12"/>
  <c r="I3" i="12" s="1"/>
  <c r="H52" i="10"/>
  <c r="H51" i="10" s="1"/>
  <c r="H42" i="10"/>
  <c r="H41" i="10"/>
  <c r="H20" i="10"/>
  <c r="H11" i="10"/>
  <c r="H22" i="10" s="1"/>
  <c r="H10" i="10"/>
  <c r="AT1266" i="5"/>
  <c r="AS1266" i="5"/>
  <c r="AT1265" i="5"/>
  <c r="AS1265" i="5"/>
  <c r="AT1264" i="5"/>
  <c r="AS1264" i="5"/>
  <c r="AT1263" i="5"/>
  <c r="AS1263" i="5"/>
  <c r="AT1262" i="5"/>
  <c r="AS1262" i="5"/>
  <c r="AT1261" i="5"/>
  <c r="AS1261" i="5"/>
  <c r="AT1260" i="5"/>
  <c r="AS1260" i="5"/>
  <c r="AT1259" i="5"/>
  <c r="AS1259" i="5"/>
  <c r="AT1258" i="5"/>
  <c r="AS1258" i="5"/>
  <c r="AT1257" i="5"/>
  <c r="AS1257" i="5"/>
  <c r="AT1256" i="5"/>
  <c r="AS1256" i="5"/>
  <c r="AT1255" i="5"/>
  <c r="AS1255" i="5"/>
  <c r="AT1254" i="5"/>
  <c r="AS1254" i="5"/>
  <c r="AT1253" i="5"/>
  <c r="AS1253" i="5"/>
  <c r="AT1252" i="5"/>
  <c r="AS1252" i="5"/>
  <c r="AT1251" i="5"/>
  <c r="AS1251" i="5"/>
  <c r="AT1250" i="5"/>
  <c r="AS1250" i="5"/>
  <c r="AT1249" i="5"/>
  <c r="AS1249" i="5"/>
  <c r="AT1248" i="5"/>
  <c r="AS1248" i="5"/>
  <c r="AT1247" i="5"/>
  <c r="AS1247" i="5"/>
  <c r="AT1246" i="5"/>
  <c r="AS1246" i="5"/>
  <c r="AT1245" i="5"/>
  <c r="AS1245" i="5"/>
  <c r="AT1244" i="5"/>
  <c r="AS1244" i="5"/>
  <c r="AT1243" i="5"/>
  <c r="AS1243" i="5"/>
  <c r="AT1242" i="5"/>
  <c r="AS1242" i="5"/>
  <c r="AT1241" i="5"/>
  <c r="AS1241" i="5"/>
  <c r="AT1240" i="5"/>
  <c r="AS1240" i="5"/>
  <c r="AT1239" i="5"/>
  <c r="AS1239" i="5"/>
  <c r="AT1238" i="5"/>
  <c r="AS1238" i="5"/>
  <c r="AT1237" i="5"/>
  <c r="AS1237" i="5"/>
  <c r="AT1236" i="5"/>
  <c r="AS1236" i="5"/>
  <c r="AT1235" i="5"/>
  <c r="AS1235" i="5"/>
  <c r="AT1234" i="5"/>
  <c r="AS1234" i="5"/>
  <c r="AT1233" i="5"/>
  <c r="AS1233" i="5"/>
  <c r="AT1232" i="5"/>
  <c r="AS1232" i="5"/>
  <c r="AT1231" i="5"/>
  <c r="AS1231" i="5"/>
  <c r="AT1230" i="5"/>
  <c r="AS1230" i="5"/>
  <c r="AT1229" i="5"/>
  <c r="AS1229" i="5"/>
  <c r="AT1228" i="5"/>
  <c r="AS1228" i="5"/>
  <c r="AT1227" i="5"/>
  <c r="AS1227" i="5"/>
  <c r="AT1226" i="5"/>
  <c r="AS1226" i="5"/>
  <c r="AT1225" i="5"/>
  <c r="AS1225" i="5"/>
  <c r="AT1224" i="5"/>
  <c r="AS1224" i="5"/>
  <c r="AT1223" i="5"/>
  <c r="AS1223" i="5"/>
  <c r="AT1222" i="5"/>
  <c r="AS1222" i="5"/>
  <c r="AT1221" i="5"/>
  <c r="AS1221" i="5"/>
  <c r="AT1220" i="5"/>
  <c r="AS1220" i="5"/>
  <c r="AT1219" i="5"/>
  <c r="AS1219" i="5"/>
  <c r="AT1218" i="5"/>
  <c r="AS1218" i="5"/>
  <c r="AT1217" i="5"/>
  <c r="AS1217" i="5"/>
  <c r="AT1216" i="5"/>
  <c r="AS1216" i="5"/>
  <c r="AT1215" i="5"/>
  <c r="AS1215" i="5"/>
  <c r="AT1214" i="5"/>
  <c r="AS1214" i="5"/>
  <c r="AT1213" i="5"/>
  <c r="AS1213" i="5"/>
  <c r="AT1212" i="5"/>
  <c r="AS1212" i="5"/>
  <c r="AT1211" i="5"/>
  <c r="AS1211" i="5"/>
  <c r="AT1210" i="5"/>
  <c r="AS1210" i="5"/>
  <c r="AT1209" i="5"/>
  <c r="AS1209" i="5"/>
  <c r="AT1208" i="5"/>
  <c r="AS1208" i="5"/>
  <c r="AT1207" i="5"/>
  <c r="AS1207" i="5"/>
  <c r="AT1206" i="5"/>
  <c r="AS1206" i="5"/>
  <c r="AT1205" i="5"/>
  <c r="AS1205" i="5"/>
  <c r="AT1204" i="5"/>
  <c r="AS1204" i="5"/>
  <c r="AT1203" i="5"/>
  <c r="AS1203" i="5"/>
  <c r="AT1202" i="5"/>
  <c r="AS1202" i="5"/>
  <c r="AT1201" i="5"/>
  <c r="AS1201" i="5"/>
  <c r="AT1200" i="5"/>
  <c r="AS1200" i="5"/>
  <c r="AT1199" i="5"/>
  <c r="AS1199" i="5"/>
  <c r="AT1198" i="5"/>
  <c r="AS1198" i="5"/>
  <c r="AT1197" i="5"/>
  <c r="AS1197" i="5"/>
  <c r="AT1196" i="5"/>
  <c r="AS1196" i="5"/>
  <c r="AT1195" i="5"/>
  <c r="AS1195" i="5"/>
  <c r="AT1194" i="5"/>
  <c r="AS1194" i="5"/>
  <c r="AT1193" i="5"/>
  <c r="AS1193" i="5"/>
  <c r="AT1192" i="5"/>
  <c r="AS1192" i="5"/>
  <c r="AT1191" i="5"/>
  <c r="AS1191" i="5"/>
  <c r="AT1190" i="5"/>
  <c r="AS1190" i="5"/>
  <c r="AT1189" i="5"/>
  <c r="AS1189" i="5"/>
  <c r="AT1188" i="5"/>
  <c r="AS1188" i="5"/>
  <c r="AT1187" i="5"/>
  <c r="AS1187" i="5"/>
  <c r="AT1186" i="5"/>
  <c r="AS1186" i="5"/>
  <c r="AT1185" i="5"/>
  <c r="AS1185" i="5"/>
  <c r="AT1184" i="5"/>
  <c r="AS1184" i="5"/>
  <c r="AT1183" i="5"/>
  <c r="AS1183" i="5"/>
  <c r="AT1182" i="5"/>
  <c r="AS1182" i="5"/>
  <c r="AT1181" i="5"/>
  <c r="AS1181" i="5"/>
  <c r="AT1180" i="5"/>
  <c r="AS1180" i="5"/>
  <c r="AT1179" i="5"/>
  <c r="AS1179" i="5"/>
  <c r="AT1178" i="5"/>
  <c r="AS1178" i="5"/>
  <c r="AT1177" i="5"/>
  <c r="AS1177" i="5"/>
  <c r="AT1176" i="5"/>
  <c r="AS1176" i="5"/>
  <c r="AT1175" i="5"/>
  <c r="AS1175" i="5"/>
  <c r="AT1174" i="5"/>
  <c r="AS1174" i="5"/>
  <c r="AT1173" i="5"/>
  <c r="AS1173" i="5"/>
  <c r="AT1172" i="5"/>
  <c r="AS1172" i="5"/>
  <c r="AT1171" i="5"/>
  <c r="AS1171" i="5"/>
  <c r="AT1170" i="5"/>
  <c r="AS1170" i="5"/>
  <c r="AT1169" i="5"/>
  <c r="AS1169" i="5"/>
  <c r="AT1168" i="5"/>
  <c r="AS1168" i="5"/>
  <c r="AT1167" i="5"/>
  <c r="AS1167" i="5"/>
  <c r="AT1166" i="5"/>
  <c r="AS1166" i="5"/>
  <c r="AT1165" i="5"/>
  <c r="AS1165" i="5"/>
  <c r="AT1164" i="5"/>
  <c r="AS1164" i="5"/>
  <c r="AT1163" i="5"/>
  <c r="AS1163" i="5"/>
  <c r="AT1162" i="5"/>
  <c r="AS1162" i="5"/>
  <c r="AT1161" i="5"/>
  <c r="AS1161" i="5"/>
  <c r="AT1160" i="5"/>
  <c r="AS1160" i="5"/>
  <c r="AT1159" i="5"/>
  <c r="AS1159" i="5"/>
  <c r="AT1158" i="5"/>
  <c r="AS1158" i="5"/>
  <c r="AT1157" i="5"/>
  <c r="AS1157" i="5"/>
  <c r="AT1156" i="5"/>
  <c r="AS1156" i="5"/>
  <c r="AT1155" i="5"/>
  <c r="AS1155" i="5"/>
  <c r="AT1154" i="5"/>
  <c r="AS1154" i="5"/>
  <c r="AT1153" i="5"/>
  <c r="AS1153" i="5"/>
  <c r="AT1152" i="5"/>
  <c r="AS1152" i="5"/>
  <c r="AT1151" i="5"/>
  <c r="AS1151" i="5"/>
  <c r="AT1150" i="5"/>
  <c r="AS1150" i="5"/>
  <c r="AT1149" i="5"/>
  <c r="AS1149" i="5"/>
  <c r="AT1148" i="5"/>
  <c r="AS1148" i="5"/>
  <c r="AT1147" i="5"/>
  <c r="AS1147" i="5"/>
  <c r="AT1146" i="5"/>
  <c r="AS1146" i="5"/>
  <c r="AT1145" i="5"/>
  <c r="AS1145" i="5"/>
  <c r="AT1144" i="5"/>
  <c r="AS1144" i="5"/>
  <c r="AT1143" i="5"/>
  <c r="AS1143" i="5"/>
  <c r="AT1142" i="5"/>
  <c r="AS1142" i="5"/>
  <c r="AT1141" i="5"/>
  <c r="AS1141" i="5"/>
  <c r="AT1140" i="5"/>
  <c r="AS1140" i="5"/>
  <c r="AT1139" i="5"/>
  <c r="AS1139" i="5"/>
  <c r="AT1138" i="5"/>
  <c r="AS1138" i="5"/>
  <c r="AT1137" i="5"/>
  <c r="AS1137" i="5"/>
  <c r="AT1136" i="5"/>
  <c r="AS1136" i="5"/>
  <c r="AT1135" i="5"/>
  <c r="AS1135" i="5"/>
  <c r="AT1134" i="5"/>
  <c r="AS1134" i="5"/>
  <c r="AT1133" i="5"/>
  <c r="AS1133" i="5"/>
  <c r="AT1132" i="5"/>
  <c r="AS1132" i="5"/>
  <c r="AT1131" i="5"/>
  <c r="AS1131" i="5"/>
  <c r="AT1130" i="5"/>
  <c r="AS1130" i="5"/>
  <c r="AT1129" i="5"/>
  <c r="AS1129" i="5"/>
  <c r="AT1128" i="5"/>
  <c r="AS1128" i="5"/>
  <c r="AT1127" i="5"/>
  <c r="AS1127" i="5"/>
  <c r="AT1126" i="5"/>
  <c r="AS1126" i="5"/>
  <c r="AT1125" i="5"/>
  <c r="AS1125" i="5"/>
  <c r="AT1124" i="5"/>
  <c r="AS1124" i="5"/>
  <c r="AT1123" i="5"/>
  <c r="AS1123" i="5"/>
  <c r="AT1122" i="5"/>
  <c r="AS1122" i="5"/>
  <c r="AT1121" i="5"/>
  <c r="AS1121" i="5"/>
  <c r="AT1120" i="5"/>
  <c r="AS1120" i="5"/>
  <c r="AT1119" i="5"/>
  <c r="AS1119" i="5"/>
  <c r="AT1118" i="5"/>
  <c r="AS1118" i="5"/>
  <c r="AT1117" i="5"/>
  <c r="AS1117" i="5"/>
  <c r="AT1116" i="5"/>
  <c r="AS1116" i="5"/>
  <c r="AT1115" i="5"/>
  <c r="AS1115" i="5"/>
  <c r="AT1114" i="5"/>
  <c r="AS1114" i="5"/>
  <c r="AT1113" i="5"/>
  <c r="AS1113" i="5"/>
  <c r="AT1112" i="5"/>
  <c r="AS1112" i="5"/>
  <c r="AT1111" i="5"/>
  <c r="AS1111" i="5"/>
  <c r="AT1110" i="5"/>
  <c r="AS1110" i="5"/>
  <c r="AT1109" i="5"/>
  <c r="AS1109" i="5"/>
  <c r="AT1108" i="5"/>
  <c r="AS1108" i="5"/>
  <c r="AT1107" i="5"/>
  <c r="AS1107" i="5"/>
  <c r="AT1106" i="5"/>
  <c r="AS1106" i="5"/>
  <c r="AT1105" i="5"/>
  <c r="AS1105" i="5"/>
  <c r="AT1104" i="5"/>
  <c r="AS1104" i="5"/>
  <c r="AT1103" i="5"/>
  <c r="AS1103" i="5"/>
  <c r="AT1102" i="5"/>
  <c r="AS1102" i="5"/>
  <c r="AT1101" i="5"/>
  <c r="AS1101" i="5"/>
  <c r="AT1100" i="5"/>
  <c r="AS1100" i="5"/>
  <c r="AT1099" i="5"/>
  <c r="AS1099" i="5"/>
  <c r="AT1098" i="5"/>
  <c r="AS1098" i="5"/>
  <c r="AT1097" i="5"/>
  <c r="AS1097" i="5"/>
  <c r="AT1096" i="5"/>
  <c r="AS1096" i="5"/>
  <c r="AT1095" i="5"/>
  <c r="AS1095" i="5"/>
  <c r="AT1094" i="5"/>
  <c r="AS1094" i="5"/>
  <c r="AT1093" i="5"/>
  <c r="AS1093" i="5"/>
  <c r="AT1092" i="5"/>
  <c r="AS1092" i="5"/>
  <c r="AT1091" i="5"/>
  <c r="AS1091" i="5"/>
  <c r="AT1090" i="5"/>
  <c r="AS1090" i="5"/>
  <c r="AT1089" i="5"/>
  <c r="AS1089" i="5"/>
  <c r="AT1088" i="5"/>
  <c r="AS1088" i="5"/>
  <c r="AT1087" i="5"/>
  <c r="AS1087" i="5"/>
  <c r="AT1086" i="5"/>
  <c r="AS1086" i="5"/>
  <c r="AT1085" i="5"/>
  <c r="AS1085" i="5"/>
  <c r="AT1084" i="5"/>
  <c r="AS1084" i="5"/>
  <c r="AT1083" i="5"/>
  <c r="AS1083" i="5"/>
  <c r="AT1082" i="5"/>
  <c r="AS1082" i="5"/>
  <c r="AT1081" i="5"/>
  <c r="AS1081" i="5"/>
  <c r="AT1080" i="5"/>
  <c r="AS1080" i="5"/>
  <c r="AT1079" i="5"/>
  <c r="AS1079" i="5"/>
  <c r="AT1078" i="5"/>
  <c r="AS1078" i="5"/>
  <c r="AT1077" i="5"/>
  <c r="AS1077" i="5"/>
  <c r="AT1076" i="5"/>
  <c r="AS1076" i="5"/>
  <c r="AT1075" i="5"/>
  <c r="AS1075" i="5"/>
  <c r="AT1074" i="5"/>
  <c r="AS1074" i="5"/>
  <c r="AT1073" i="5"/>
  <c r="AS1073" i="5"/>
  <c r="AT1072" i="5"/>
  <c r="AS1072" i="5"/>
  <c r="AT1071" i="5"/>
  <c r="AS1071" i="5"/>
  <c r="AT1070" i="5"/>
  <c r="AS1070" i="5"/>
  <c r="AT1069" i="5"/>
  <c r="AS1069" i="5"/>
  <c r="AT1068" i="5"/>
  <c r="AS1068" i="5"/>
  <c r="AT1067" i="5"/>
  <c r="AS1067" i="5"/>
  <c r="AT1066" i="5"/>
  <c r="AS1066" i="5"/>
  <c r="AT1065" i="5"/>
  <c r="AS1065" i="5"/>
  <c r="AT1064" i="5"/>
  <c r="AS1064" i="5"/>
  <c r="AT1063" i="5"/>
  <c r="AS1063" i="5"/>
  <c r="AT1062" i="5"/>
  <c r="AS1062" i="5"/>
  <c r="AT1061" i="5"/>
  <c r="AS1061" i="5"/>
  <c r="AT1060" i="5"/>
  <c r="AS1060" i="5"/>
  <c r="AT1059" i="5"/>
  <c r="AS1059" i="5"/>
  <c r="AT1058" i="5"/>
  <c r="AS1058" i="5"/>
  <c r="AT1057" i="5"/>
  <c r="AS1057" i="5"/>
  <c r="AT1056" i="5"/>
  <c r="AS1056" i="5"/>
  <c r="AT1055" i="5"/>
  <c r="AS1055" i="5"/>
  <c r="AT1054" i="5"/>
  <c r="AS1054" i="5"/>
  <c r="AT1053" i="5"/>
  <c r="AS1053" i="5"/>
  <c r="AT1052" i="5"/>
  <c r="AS1052" i="5"/>
  <c r="AT1051" i="5"/>
  <c r="AS1051" i="5"/>
  <c r="AT1050" i="5"/>
  <c r="AS1050" i="5"/>
  <c r="AT1049" i="5"/>
  <c r="AS1049" i="5"/>
  <c r="AT1048" i="5"/>
  <c r="AS1048" i="5"/>
  <c r="AT1047" i="5"/>
  <c r="AS1047" i="5"/>
  <c r="AT1046" i="5"/>
  <c r="AS1046" i="5"/>
  <c r="AT1045" i="5"/>
  <c r="AS1045" i="5"/>
  <c r="AT1044" i="5"/>
  <c r="AS1044" i="5"/>
  <c r="AT1043" i="5"/>
  <c r="AS1043" i="5"/>
  <c r="AT1042" i="5"/>
  <c r="AS1042" i="5"/>
  <c r="AT1041" i="5"/>
  <c r="AS1041" i="5"/>
  <c r="AT1040" i="5"/>
  <c r="AS1040" i="5"/>
  <c r="AT1039" i="5"/>
  <c r="AS1039" i="5"/>
  <c r="AT1038" i="5"/>
  <c r="AS1038" i="5"/>
  <c r="AT1037" i="5"/>
  <c r="AS1037" i="5"/>
  <c r="AT1036" i="5"/>
  <c r="AS1036" i="5"/>
  <c r="AT1035" i="5"/>
  <c r="AS1035" i="5"/>
  <c r="AT1034" i="5"/>
  <c r="AS1034" i="5"/>
  <c r="AT1033" i="5"/>
  <c r="AS1033" i="5"/>
  <c r="AT1032" i="5"/>
  <c r="AS1032" i="5"/>
  <c r="AT1031" i="5"/>
  <c r="AS1031" i="5"/>
  <c r="AT1030" i="5"/>
  <c r="AS1030" i="5"/>
  <c r="AT1029" i="5"/>
  <c r="AS1029" i="5"/>
  <c r="AT1028" i="5"/>
  <c r="AS1028" i="5"/>
  <c r="AT1027" i="5"/>
  <c r="AS1027" i="5"/>
  <c r="AT1026" i="5"/>
  <c r="AS1026" i="5"/>
  <c r="AT1025" i="5"/>
  <c r="AS1025" i="5"/>
  <c r="AT1024" i="5"/>
  <c r="AS1024" i="5"/>
  <c r="AT1023" i="5"/>
  <c r="AS1023" i="5"/>
  <c r="AT1022" i="5"/>
  <c r="AS1022" i="5"/>
  <c r="AT1021" i="5"/>
  <c r="AS1021" i="5"/>
  <c r="AT1020" i="5"/>
  <c r="AS1020" i="5"/>
  <c r="AT1019" i="5"/>
  <c r="AS1019" i="5"/>
  <c r="AT1018" i="5"/>
  <c r="AS1018" i="5"/>
  <c r="AT1017" i="5"/>
  <c r="AS1017" i="5"/>
  <c r="AT1016" i="5"/>
  <c r="AS1016" i="5"/>
  <c r="AT1015" i="5"/>
  <c r="AS1015" i="5"/>
  <c r="AT1014" i="5"/>
  <c r="AS1014" i="5"/>
  <c r="AT1013" i="5"/>
  <c r="AS1013" i="5"/>
  <c r="AT1012" i="5"/>
  <c r="AS1012" i="5"/>
  <c r="AT1011" i="5"/>
  <c r="AS1011" i="5"/>
  <c r="AT1010" i="5"/>
  <c r="AS1010" i="5"/>
  <c r="AT1009" i="5"/>
  <c r="AS1009" i="5"/>
  <c r="AT1008" i="5"/>
  <c r="AS1008" i="5"/>
  <c r="AT1007" i="5"/>
  <c r="AS1007" i="5"/>
  <c r="AT1006" i="5"/>
  <c r="AS1006" i="5"/>
  <c r="AT1005" i="5"/>
  <c r="AS1005" i="5"/>
  <c r="AT1004" i="5"/>
  <c r="AS1004" i="5"/>
  <c r="AT1003" i="5"/>
  <c r="AS1003" i="5"/>
  <c r="AT1002" i="5"/>
  <c r="AS1002" i="5"/>
  <c r="AT1001" i="5"/>
  <c r="AS1001" i="5"/>
  <c r="AT1000" i="5"/>
  <c r="AS1000" i="5"/>
  <c r="AT999" i="5"/>
  <c r="AS999" i="5"/>
  <c r="AT998" i="5"/>
  <c r="AS998" i="5"/>
  <c r="AT997" i="5"/>
  <c r="AS997" i="5"/>
  <c r="AT996" i="5"/>
  <c r="AS996" i="5"/>
  <c r="AT995" i="5"/>
  <c r="AS995" i="5"/>
  <c r="AT994" i="5"/>
  <c r="AS994" i="5"/>
  <c r="AT993" i="5"/>
  <c r="AS993" i="5"/>
  <c r="AT992" i="5"/>
  <c r="AS992" i="5"/>
  <c r="AT991" i="5"/>
  <c r="AS991" i="5"/>
  <c r="AT990" i="5"/>
  <c r="AS990" i="5"/>
  <c r="AT989" i="5"/>
  <c r="AS989" i="5"/>
  <c r="AT988" i="5"/>
  <c r="AS988" i="5"/>
  <c r="AT987" i="5"/>
  <c r="AS987" i="5"/>
  <c r="AT986" i="5"/>
  <c r="AS986" i="5"/>
  <c r="AT985" i="5"/>
  <c r="AS985" i="5"/>
  <c r="AT984" i="5"/>
  <c r="AS984" i="5"/>
  <c r="AT983" i="5"/>
  <c r="AS983" i="5"/>
  <c r="AT982" i="5"/>
  <c r="AS982" i="5"/>
  <c r="AT981" i="5"/>
  <c r="AS981" i="5"/>
  <c r="AT980" i="5"/>
  <c r="AS980" i="5"/>
  <c r="AT979" i="5"/>
  <c r="AS979" i="5"/>
  <c r="AT978" i="5"/>
  <c r="AS978" i="5"/>
  <c r="AT977" i="5"/>
  <c r="AS977" i="5"/>
  <c r="AT976" i="5"/>
  <c r="AS976" i="5"/>
  <c r="AT975" i="5"/>
  <c r="AS975" i="5"/>
  <c r="AT974" i="5"/>
  <c r="AS974" i="5"/>
  <c r="AT973" i="5"/>
  <c r="AS973" i="5"/>
  <c r="AT972" i="5"/>
  <c r="AS972" i="5"/>
  <c r="AT971" i="5"/>
  <c r="AS971" i="5"/>
  <c r="AT970" i="5"/>
  <c r="AS970" i="5"/>
  <c r="AT969" i="5"/>
  <c r="AS969" i="5"/>
  <c r="AT968" i="5"/>
  <c r="AS968" i="5"/>
  <c r="AT967" i="5"/>
  <c r="AS967" i="5"/>
  <c r="AT966" i="5"/>
  <c r="AS966" i="5"/>
  <c r="AT965" i="5"/>
  <c r="AS965" i="5"/>
  <c r="AT964" i="5"/>
  <c r="AS964" i="5"/>
  <c r="AT963" i="5"/>
  <c r="AS963" i="5"/>
  <c r="AT962" i="5"/>
  <c r="AS962" i="5"/>
  <c r="AT961" i="5"/>
  <c r="AS961" i="5"/>
  <c r="AT960" i="5"/>
  <c r="AS960" i="5"/>
  <c r="AT959" i="5"/>
  <c r="AS959" i="5"/>
  <c r="AT958" i="5"/>
  <c r="AS958" i="5"/>
  <c r="AT957" i="5"/>
  <c r="AS957" i="5"/>
  <c r="AT956" i="5"/>
  <c r="AS956" i="5"/>
  <c r="AT955" i="5"/>
  <c r="AS955" i="5"/>
  <c r="AT954" i="5"/>
  <c r="AS954" i="5"/>
  <c r="AT953" i="5"/>
  <c r="AS953" i="5"/>
  <c r="AT952" i="5"/>
  <c r="AS952" i="5"/>
  <c r="AT951" i="5"/>
  <c r="AS951" i="5"/>
  <c r="AT950" i="5"/>
  <c r="AS950" i="5"/>
  <c r="AT949" i="5"/>
  <c r="AS949" i="5"/>
  <c r="AT948" i="5"/>
  <c r="AS948" i="5"/>
  <c r="AT947" i="5"/>
  <c r="AS947" i="5"/>
  <c r="AT946" i="5"/>
  <c r="AS946" i="5"/>
  <c r="AT945" i="5"/>
  <c r="AS945" i="5"/>
  <c r="AT944" i="5"/>
  <c r="AS944" i="5"/>
  <c r="AT943" i="5"/>
  <c r="AS943" i="5"/>
  <c r="AT942" i="5"/>
  <c r="AS942" i="5"/>
  <c r="AT941" i="5"/>
  <c r="AS941" i="5"/>
  <c r="AT940" i="5"/>
  <c r="AS940" i="5"/>
  <c r="AT939" i="5"/>
  <c r="AS939" i="5"/>
  <c r="AT938" i="5"/>
  <c r="AS938" i="5"/>
  <c r="AT937" i="5"/>
  <c r="AS937" i="5"/>
  <c r="AT936" i="5"/>
  <c r="AS936" i="5"/>
  <c r="AT935" i="5"/>
  <c r="AS935" i="5"/>
  <c r="AT934" i="5"/>
  <c r="AS934" i="5"/>
  <c r="AT933" i="5"/>
  <c r="AS933" i="5"/>
  <c r="AT932" i="5"/>
  <c r="AS932" i="5"/>
  <c r="AT931" i="5"/>
  <c r="AS931" i="5"/>
  <c r="AT930" i="5"/>
  <c r="AS930" i="5"/>
  <c r="AT929" i="5"/>
  <c r="AS929" i="5"/>
  <c r="AT928" i="5"/>
  <c r="AS928" i="5"/>
  <c r="AT927" i="5"/>
  <c r="AS927" i="5"/>
  <c r="AT926" i="5"/>
  <c r="AS926" i="5"/>
  <c r="AT925" i="5"/>
  <c r="AS925" i="5"/>
  <c r="AT924" i="5"/>
  <c r="AS924" i="5"/>
  <c r="AT923" i="5"/>
  <c r="AS923" i="5"/>
  <c r="AT922" i="5"/>
  <c r="AS922" i="5"/>
  <c r="AT921" i="5"/>
  <c r="AS921" i="5"/>
  <c r="AT920" i="5"/>
  <c r="AS920" i="5"/>
  <c r="AT919" i="5"/>
  <c r="AS919" i="5"/>
  <c r="AT918" i="5"/>
  <c r="AS918" i="5"/>
  <c r="AT917" i="5"/>
  <c r="AS917" i="5"/>
  <c r="AT916" i="5"/>
  <c r="AS916" i="5"/>
  <c r="AT915" i="5"/>
  <c r="AS915" i="5"/>
  <c r="AT914" i="5"/>
  <c r="AS914" i="5"/>
  <c r="AT913" i="5"/>
  <c r="AS913" i="5"/>
  <c r="AT912" i="5"/>
  <c r="AS912" i="5"/>
  <c r="AT911" i="5"/>
  <c r="AS911" i="5"/>
  <c r="AT910" i="5"/>
  <c r="AS910" i="5"/>
  <c r="AT909" i="5"/>
  <c r="AS909" i="5"/>
  <c r="AT908" i="5"/>
  <c r="AS908" i="5"/>
  <c r="AT907" i="5"/>
  <c r="AS907" i="5"/>
  <c r="AT906" i="5"/>
  <c r="AS906" i="5"/>
  <c r="AT905" i="5"/>
  <c r="AS905" i="5"/>
  <c r="AT904" i="5"/>
  <c r="AS904" i="5"/>
  <c r="AT903" i="5"/>
  <c r="AS903" i="5"/>
  <c r="AT902" i="5"/>
  <c r="AS902" i="5"/>
  <c r="AT901" i="5"/>
  <c r="AS901" i="5"/>
  <c r="AT900" i="5"/>
  <c r="AS900" i="5"/>
  <c r="AT899" i="5"/>
  <c r="AS899" i="5"/>
  <c r="AT898" i="5"/>
  <c r="AS898" i="5"/>
  <c r="AT897" i="5"/>
  <c r="AS897" i="5"/>
  <c r="AT896" i="5"/>
  <c r="AS896" i="5"/>
  <c r="AT895" i="5"/>
  <c r="AS895" i="5"/>
  <c r="AT894" i="5"/>
  <c r="AS894" i="5"/>
  <c r="AT893" i="5"/>
  <c r="AS893" i="5"/>
  <c r="AT892" i="5"/>
  <c r="AS892" i="5"/>
  <c r="AT891" i="5"/>
  <c r="AS891" i="5"/>
  <c r="AT890" i="5"/>
  <c r="AS890" i="5"/>
  <c r="AT889" i="5"/>
  <c r="AS889" i="5"/>
  <c r="AT888" i="5"/>
  <c r="AS888" i="5"/>
  <c r="AT887" i="5"/>
  <c r="AS887" i="5"/>
  <c r="AT886" i="5"/>
  <c r="AS886" i="5"/>
  <c r="AT885" i="5"/>
  <c r="AS885" i="5"/>
  <c r="AT884" i="5"/>
  <c r="AS884" i="5"/>
  <c r="AT883" i="5"/>
  <c r="AS883" i="5"/>
  <c r="AT882" i="5"/>
  <c r="AS882" i="5"/>
  <c r="AT881" i="5"/>
  <c r="AS881" i="5"/>
  <c r="AT880" i="5"/>
  <c r="AS880" i="5"/>
  <c r="AT879" i="5"/>
  <c r="AS879" i="5"/>
  <c r="AT878" i="5"/>
  <c r="AS878" i="5"/>
  <c r="AT877" i="5"/>
  <c r="AS877" i="5"/>
  <c r="AT876" i="5"/>
  <c r="AS876" i="5"/>
  <c r="AT875" i="5"/>
  <c r="AS875" i="5"/>
  <c r="AT874" i="5"/>
  <c r="AS874" i="5"/>
  <c r="AT873" i="5"/>
  <c r="AS873" i="5"/>
  <c r="AT872" i="5"/>
  <c r="AS872" i="5"/>
  <c r="AT871" i="5"/>
  <c r="AS871" i="5"/>
  <c r="AT870" i="5"/>
  <c r="AS870" i="5"/>
  <c r="AT869" i="5"/>
  <c r="AS869" i="5"/>
  <c r="AT868" i="5"/>
  <c r="AS868" i="5"/>
  <c r="AT867" i="5"/>
  <c r="AS867" i="5"/>
  <c r="AT866" i="5"/>
  <c r="AS866" i="5"/>
  <c r="AT865" i="5"/>
  <c r="AS865" i="5"/>
  <c r="AT864" i="5"/>
  <c r="AS864" i="5"/>
  <c r="AT863" i="5"/>
  <c r="AS863" i="5"/>
  <c r="AT862" i="5"/>
  <c r="AS862" i="5"/>
  <c r="AT861" i="5"/>
  <c r="AS861" i="5"/>
  <c r="AT860" i="5"/>
  <c r="AS860" i="5"/>
  <c r="AT859" i="5"/>
  <c r="AS859" i="5"/>
  <c r="AT858" i="5"/>
  <c r="AS858" i="5"/>
  <c r="AT857" i="5"/>
  <c r="AS857" i="5"/>
  <c r="AT856" i="5"/>
  <c r="AS856" i="5"/>
  <c r="AT855" i="5"/>
  <c r="AS855" i="5"/>
  <c r="AT854" i="5"/>
  <c r="AS854" i="5"/>
  <c r="AT853" i="5"/>
  <c r="AS853" i="5"/>
  <c r="AT852" i="5"/>
  <c r="AS852" i="5"/>
  <c r="AT851" i="5"/>
  <c r="AS851" i="5"/>
  <c r="AT850" i="5"/>
  <c r="AS850" i="5"/>
  <c r="AT849" i="5"/>
  <c r="AS849" i="5"/>
  <c r="AT848" i="5"/>
  <c r="AS848" i="5"/>
  <c r="AT847" i="5"/>
  <c r="AS847" i="5"/>
  <c r="AT846" i="5"/>
  <c r="AS846" i="5"/>
  <c r="AT845" i="5"/>
  <c r="AS845" i="5"/>
  <c r="AT844" i="5"/>
  <c r="AS844" i="5"/>
  <c r="AT843" i="5"/>
  <c r="AS843" i="5"/>
  <c r="AT842" i="5"/>
  <c r="AS842" i="5"/>
  <c r="AT841" i="5"/>
  <c r="AS841" i="5"/>
  <c r="AT840" i="5"/>
  <c r="AS840" i="5"/>
  <c r="AT839" i="5"/>
  <c r="AS839" i="5"/>
  <c r="AT838" i="5"/>
  <c r="AS838" i="5"/>
  <c r="AT837" i="5"/>
  <c r="AS837" i="5"/>
  <c r="AT836" i="5"/>
  <c r="AS836" i="5"/>
  <c r="AT835" i="5"/>
  <c r="AS835" i="5"/>
  <c r="AT834" i="5"/>
  <c r="AS834" i="5"/>
  <c r="AT833" i="5"/>
  <c r="AS833" i="5"/>
  <c r="AT832" i="5"/>
  <c r="AS832" i="5"/>
  <c r="AT831" i="5"/>
  <c r="AS831" i="5"/>
  <c r="AT830" i="5"/>
  <c r="AS830" i="5"/>
  <c r="AT829" i="5"/>
  <c r="AS829" i="5"/>
  <c r="AT828" i="5"/>
  <c r="AS828" i="5"/>
  <c r="AT827" i="5"/>
  <c r="AS827" i="5"/>
  <c r="AT826" i="5"/>
  <c r="AS826" i="5"/>
  <c r="AT825" i="5"/>
  <c r="AS825" i="5"/>
  <c r="AT824" i="5"/>
  <c r="AS824" i="5"/>
  <c r="AT823" i="5"/>
  <c r="AS823" i="5"/>
  <c r="AT822" i="5"/>
  <c r="AS822" i="5"/>
  <c r="AT821" i="5"/>
  <c r="AS821" i="5"/>
  <c r="AT820" i="5"/>
  <c r="AS820" i="5"/>
  <c r="AT819" i="5"/>
  <c r="AS819" i="5"/>
  <c r="AT818" i="5"/>
  <c r="AS818" i="5"/>
  <c r="AT817" i="5"/>
  <c r="AS817" i="5"/>
  <c r="AT816" i="5"/>
  <c r="AS816" i="5"/>
  <c r="AT815" i="5"/>
  <c r="AS815" i="5"/>
  <c r="AT814" i="5"/>
  <c r="AS814" i="5"/>
  <c r="AT813" i="5"/>
  <c r="AS813" i="5"/>
  <c r="AT812" i="5"/>
  <c r="AS812" i="5"/>
  <c r="AT811" i="5"/>
  <c r="AS811" i="5"/>
  <c r="AT810" i="5"/>
  <c r="AS810" i="5"/>
  <c r="AT809" i="5"/>
  <c r="AS809" i="5"/>
  <c r="AT808" i="5"/>
  <c r="AS808" i="5"/>
  <c r="AT807" i="5"/>
  <c r="AS807" i="5"/>
  <c r="AT806" i="5"/>
  <c r="AS806" i="5"/>
  <c r="AT805" i="5"/>
  <c r="AS805" i="5"/>
  <c r="AT804" i="5"/>
  <c r="AS804" i="5"/>
  <c r="AT803" i="5"/>
  <c r="AS803" i="5"/>
  <c r="AT802" i="5"/>
  <c r="AS802" i="5"/>
  <c r="AT801" i="5"/>
  <c r="AS801" i="5"/>
  <c r="AT800" i="5"/>
  <c r="AS800" i="5"/>
  <c r="AT799" i="5"/>
  <c r="AS799" i="5"/>
  <c r="AT798" i="5"/>
  <c r="AS798" i="5"/>
  <c r="AT797" i="5"/>
  <c r="AS797" i="5"/>
  <c r="AT796" i="5"/>
  <c r="AS796" i="5"/>
  <c r="AT795" i="5"/>
  <c r="AS795" i="5"/>
  <c r="AT794" i="5"/>
  <c r="AS794" i="5"/>
  <c r="AT793" i="5"/>
  <c r="AS793" i="5"/>
  <c r="AT792" i="5"/>
  <c r="AS792" i="5"/>
  <c r="AT791" i="5"/>
  <c r="AS791" i="5"/>
  <c r="AT790" i="5"/>
  <c r="AS790" i="5"/>
  <c r="AT789" i="5"/>
  <c r="AS789" i="5"/>
  <c r="AT788" i="5"/>
  <c r="AS788" i="5"/>
  <c r="AT787" i="5"/>
  <c r="AS787" i="5"/>
  <c r="AT786" i="5"/>
  <c r="AS786" i="5"/>
  <c r="AT785" i="5"/>
  <c r="AS785" i="5"/>
  <c r="AT784" i="5"/>
  <c r="AS784" i="5"/>
  <c r="AT783" i="5"/>
  <c r="AS783" i="5"/>
  <c r="AT782" i="5"/>
  <c r="AS782" i="5"/>
  <c r="AT781" i="5"/>
  <c r="AS781" i="5"/>
  <c r="AT780" i="5"/>
  <c r="AS780" i="5"/>
  <c r="AT779" i="5"/>
  <c r="AS779" i="5"/>
  <c r="AT778" i="5"/>
  <c r="AS778" i="5"/>
  <c r="AT777" i="5"/>
  <c r="AS777" i="5"/>
  <c r="AT776" i="5"/>
  <c r="AS776" i="5"/>
  <c r="AT775" i="5"/>
  <c r="AS775" i="5"/>
  <c r="AT774" i="5"/>
  <c r="AS774" i="5"/>
  <c r="AT773" i="5"/>
  <c r="AS773" i="5"/>
  <c r="AT772" i="5"/>
  <c r="AS772" i="5"/>
  <c r="AT771" i="5"/>
  <c r="AS771" i="5"/>
  <c r="AT770" i="5"/>
  <c r="AS770" i="5"/>
  <c r="AT769" i="5"/>
  <c r="AS769" i="5"/>
  <c r="AT768" i="5"/>
  <c r="AS768" i="5"/>
  <c r="AT767" i="5"/>
  <c r="AS767" i="5"/>
  <c r="AT766" i="5"/>
  <c r="AS766" i="5"/>
  <c r="AT765" i="5"/>
  <c r="AS765" i="5"/>
  <c r="AT764" i="5"/>
  <c r="AS764" i="5"/>
  <c r="AT763" i="5"/>
  <c r="AS763" i="5"/>
  <c r="AT762" i="5"/>
  <c r="AS762" i="5"/>
  <c r="AT761" i="5"/>
  <c r="AS761" i="5"/>
  <c r="AT760" i="5"/>
  <c r="AS760" i="5"/>
  <c r="AT759" i="5"/>
  <c r="AS759" i="5"/>
  <c r="AT758" i="5"/>
  <c r="AS758" i="5"/>
  <c r="AT757" i="5"/>
  <c r="AS757" i="5"/>
  <c r="AT756" i="5"/>
  <c r="AS756" i="5"/>
  <c r="AT755" i="5"/>
  <c r="AS755" i="5"/>
  <c r="AT754" i="5"/>
  <c r="AS754" i="5"/>
  <c r="AT753" i="5"/>
  <c r="AS753" i="5"/>
  <c r="AT752" i="5"/>
  <c r="AS752" i="5"/>
  <c r="AT751" i="5"/>
  <c r="AS751" i="5"/>
  <c r="AT750" i="5"/>
  <c r="AS750" i="5"/>
  <c r="AT749" i="5"/>
  <c r="AS749" i="5"/>
  <c r="AT748" i="5"/>
  <c r="AS748" i="5"/>
  <c r="AT747" i="5"/>
  <c r="AS747" i="5"/>
  <c r="AT746" i="5"/>
  <c r="AS746" i="5"/>
  <c r="AT745" i="5"/>
  <c r="AS745" i="5"/>
  <c r="AT744" i="5"/>
  <c r="AS744" i="5"/>
  <c r="AT743" i="5"/>
  <c r="AS743" i="5"/>
  <c r="AT742" i="5"/>
  <c r="AS742" i="5"/>
  <c r="AT741" i="5"/>
  <c r="AS741" i="5"/>
  <c r="AT740" i="5"/>
  <c r="AS740" i="5"/>
  <c r="AT739" i="5"/>
  <c r="AS739" i="5"/>
  <c r="AT738" i="5"/>
  <c r="AS738" i="5"/>
  <c r="AT737" i="5"/>
  <c r="AS737" i="5"/>
  <c r="AT736" i="5"/>
  <c r="AS736" i="5"/>
  <c r="AT735" i="5"/>
  <c r="AS735" i="5"/>
  <c r="AT734" i="5"/>
  <c r="AS734" i="5"/>
  <c r="AT733" i="5"/>
  <c r="AS733" i="5"/>
  <c r="AT732" i="5"/>
  <c r="AS732" i="5"/>
  <c r="AT731" i="5"/>
  <c r="AS731" i="5"/>
  <c r="AT730" i="5"/>
  <c r="AS730" i="5"/>
  <c r="AT729" i="5"/>
  <c r="AS729" i="5"/>
  <c r="AT728" i="5"/>
  <c r="AS728" i="5"/>
  <c r="AT727" i="5"/>
  <c r="AS727" i="5"/>
  <c r="AT726" i="5"/>
  <c r="AS726" i="5"/>
  <c r="AT725" i="5"/>
  <c r="AS725" i="5"/>
  <c r="AT724" i="5"/>
  <c r="AS724" i="5"/>
  <c r="AT723" i="5"/>
  <c r="AS723" i="5"/>
  <c r="AT722" i="5"/>
  <c r="AS722" i="5"/>
  <c r="AT721" i="5"/>
  <c r="AS721" i="5"/>
  <c r="AT720" i="5"/>
  <c r="AS720" i="5"/>
  <c r="AT719" i="5"/>
  <c r="AS719" i="5"/>
  <c r="AT718" i="5"/>
  <c r="AS718" i="5"/>
  <c r="AT717" i="5"/>
  <c r="AS717" i="5"/>
  <c r="AT716" i="5"/>
  <c r="AS716" i="5"/>
  <c r="AT715" i="5"/>
  <c r="AS715" i="5"/>
  <c r="AT714" i="5"/>
  <c r="AS714" i="5"/>
  <c r="AT713" i="5"/>
  <c r="AS713" i="5"/>
  <c r="AT712" i="5"/>
  <c r="AS712" i="5"/>
  <c r="AT711" i="5"/>
  <c r="AS711" i="5"/>
  <c r="AT710" i="5"/>
  <c r="AS710" i="5"/>
  <c r="AT709" i="5"/>
  <c r="AS709" i="5"/>
  <c r="AT708" i="5"/>
  <c r="AS708" i="5"/>
  <c r="AT707" i="5"/>
  <c r="AS707" i="5"/>
  <c r="AT706" i="5"/>
  <c r="AS706" i="5"/>
  <c r="AT705" i="5"/>
  <c r="AS705" i="5"/>
  <c r="AT704" i="5"/>
  <c r="AS704" i="5"/>
  <c r="AT703" i="5"/>
  <c r="AS703" i="5"/>
  <c r="AT702" i="5"/>
  <c r="AS702" i="5"/>
  <c r="AT701" i="5"/>
  <c r="AS701" i="5"/>
  <c r="AT700" i="5"/>
  <c r="AS700" i="5"/>
  <c r="AT699" i="5"/>
  <c r="AS699" i="5"/>
  <c r="AT698" i="5"/>
  <c r="AS698" i="5"/>
  <c r="AT697" i="5"/>
  <c r="AS697" i="5"/>
  <c r="AT696" i="5"/>
  <c r="AS696" i="5"/>
  <c r="AT695" i="5"/>
  <c r="AS695" i="5"/>
  <c r="AT694" i="5"/>
  <c r="AS694" i="5"/>
  <c r="AT693" i="5"/>
  <c r="AS693" i="5"/>
  <c r="AT692" i="5"/>
  <c r="AS692" i="5"/>
  <c r="AT691" i="5"/>
  <c r="AS691" i="5"/>
  <c r="AT690" i="5"/>
  <c r="AS690" i="5"/>
  <c r="AT689" i="5"/>
  <c r="AS689" i="5"/>
  <c r="AT688" i="5"/>
  <c r="AS688" i="5"/>
  <c r="AT687" i="5"/>
  <c r="AS687" i="5"/>
  <c r="AT686" i="5"/>
  <c r="AS686" i="5"/>
  <c r="AT685" i="5"/>
  <c r="AS685" i="5"/>
  <c r="AT684" i="5"/>
  <c r="AS684" i="5"/>
  <c r="AT683" i="5"/>
  <c r="AS683" i="5"/>
  <c r="AT682" i="5"/>
  <c r="AS682" i="5"/>
  <c r="AT681" i="5"/>
  <c r="AS681" i="5"/>
  <c r="AT680" i="5"/>
  <c r="AS680" i="5"/>
  <c r="AT679" i="5"/>
  <c r="AS679" i="5"/>
  <c r="AT678" i="5"/>
  <c r="AS678" i="5"/>
  <c r="AT677" i="5"/>
  <c r="AS677" i="5"/>
  <c r="AT676" i="5"/>
  <c r="AS676" i="5"/>
  <c r="AT675" i="5"/>
  <c r="AS675" i="5"/>
  <c r="AT674" i="5"/>
  <c r="AS674" i="5"/>
  <c r="AT673" i="5"/>
  <c r="AS673" i="5"/>
  <c r="AT672" i="5"/>
  <c r="AS672" i="5"/>
  <c r="AT671" i="5"/>
  <c r="AS671" i="5"/>
  <c r="AT670" i="5"/>
  <c r="AS670" i="5"/>
  <c r="AT669" i="5"/>
  <c r="AS669" i="5"/>
  <c r="AT668" i="5"/>
  <c r="AS668" i="5"/>
  <c r="AT667" i="5"/>
  <c r="AS667" i="5"/>
  <c r="AT666" i="5"/>
  <c r="AS666" i="5"/>
  <c r="AT665" i="5"/>
  <c r="AS665" i="5"/>
  <c r="AT664" i="5"/>
  <c r="AS664" i="5"/>
  <c r="AT663" i="5"/>
  <c r="AS663" i="5"/>
  <c r="AT662" i="5"/>
  <c r="AS662" i="5"/>
  <c r="AT661" i="5"/>
  <c r="AS661" i="5"/>
  <c r="AT660" i="5"/>
  <c r="AS660" i="5"/>
  <c r="AT659" i="5"/>
  <c r="AS659" i="5"/>
  <c r="AT658" i="5"/>
  <c r="AS658" i="5"/>
  <c r="AT657" i="5"/>
  <c r="AS657" i="5"/>
  <c r="AT656" i="5"/>
  <c r="AS656" i="5"/>
  <c r="AT655" i="5"/>
  <c r="AS655" i="5"/>
  <c r="AT654" i="5"/>
  <c r="AS654" i="5"/>
  <c r="AT653" i="5"/>
  <c r="AS653" i="5"/>
  <c r="AT652" i="5"/>
  <c r="AS652" i="5"/>
  <c r="AT651" i="5"/>
  <c r="AS651" i="5"/>
  <c r="AT650" i="5"/>
  <c r="AS650" i="5"/>
  <c r="AT649" i="5"/>
  <c r="AS649" i="5"/>
  <c r="AT648" i="5"/>
  <c r="AS648" i="5"/>
  <c r="AT647" i="5"/>
  <c r="AS647" i="5"/>
  <c r="AT646" i="5"/>
  <c r="AS646" i="5"/>
  <c r="AT645" i="5"/>
  <c r="AS645" i="5"/>
  <c r="AT644" i="5"/>
  <c r="AS644" i="5"/>
  <c r="AT643" i="5"/>
  <c r="AS643" i="5"/>
  <c r="AT642" i="5"/>
  <c r="AS642" i="5"/>
  <c r="AT641" i="5"/>
  <c r="AS641" i="5"/>
  <c r="AT640" i="5"/>
  <c r="AS640" i="5"/>
  <c r="AT639" i="5"/>
  <c r="AS639" i="5"/>
  <c r="AT638" i="5"/>
  <c r="AS638" i="5"/>
  <c r="AT637" i="5"/>
  <c r="AS637" i="5"/>
  <c r="AT636" i="5"/>
  <c r="AS636" i="5"/>
  <c r="AT635" i="5"/>
  <c r="AS635" i="5"/>
  <c r="AT634" i="5"/>
  <c r="AS634" i="5"/>
  <c r="AT633" i="5"/>
  <c r="AS633" i="5"/>
  <c r="AT632" i="5"/>
  <c r="AS632" i="5"/>
  <c r="AT631" i="5"/>
  <c r="AS631" i="5"/>
  <c r="AT630" i="5"/>
  <c r="AS630" i="5"/>
  <c r="AT629" i="5"/>
  <c r="AS629" i="5"/>
  <c r="AT628" i="5"/>
  <c r="AS628" i="5"/>
  <c r="AT627" i="5"/>
  <c r="AS627" i="5"/>
  <c r="AT626" i="5"/>
  <c r="AS626" i="5"/>
  <c r="AT625" i="5"/>
  <c r="AS625" i="5"/>
  <c r="AT624" i="5"/>
  <c r="AS624" i="5"/>
  <c r="AT623" i="5"/>
  <c r="AS623" i="5"/>
  <c r="AT622" i="5"/>
  <c r="AS622" i="5"/>
  <c r="AT621" i="5"/>
  <c r="AS621" i="5"/>
  <c r="AT620" i="5"/>
  <c r="AS620" i="5"/>
  <c r="AT619" i="5"/>
  <c r="AS619" i="5"/>
  <c r="AT618" i="5"/>
  <c r="AS618" i="5"/>
  <c r="AT617" i="5"/>
  <c r="AS617" i="5"/>
  <c r="AT616" i="5"/>
  <c r="AS616" i="5"/>
  <c r="AT615" i="5"/>
  <c r="AS615" i="5"/>
  <c r="AT614" i="5"/>
  <c r="AS614" i="5"/>
  <c r="AT613" i="5"/>
  <c r="AS613" i="5"/>
  <c r="AT612" i="5"/>
  <c r="AS612" i="5"/>
  <c r="AT611" i="5"/>
  <c r="AS611" i="5"/>
  <c r="AT610" i="5"/>
  <c r="AS610" i="5"/>
  <c r="AT609" i="5"/>
  <c r="AS609" i="5"/>
  <c r="AT608" i="5"/>
  <c r="AS608" i="5"/>
  <c r="AT607" i="5"/>
  <c r="AS607" i="5"/>
  <c r="AT606" i="5"/>
  <c r="AS606" i="5"/>
  <c r="AT605" i="5"/>
  <c r="AS605" i="5"/>
  <c r="AT604" i="5"/>
  <c r="AS604" i="5"/>
  <c r="AT603" i="5"/>
  <c r="AS603" i="5"/>
  <c r="AT602" i="5"/>
  <c r="AS602" i="5"/>
  <c r="AT601" i="5"/>
  <c r="AS601" i="5"/>
  <c r="AT600" i="5"/>
  <c r="AS600" i="5"/>
  <c r="AT599" i="5"/>
  <c r="AS599" i="5"/>
  <c r="AT598" i="5"/>
  <c r="AS598" i="5"/>
  <c r="AT597" i="5"/>
  <c r="AS597" i="5"/>
  <c r="AT596" i="5"/>
  <c r="AS596" i="5"/>
  <c r="AT595" i="5"/>
  <c r="AS595" i="5"/>
  <c r="AT594" i="5"/>
  <c r="AS594" i="5"/>
  <c r="AT593" i="5"/>
  <c r="AS593" i="5"/>
  <c r="AT592" i="5"/>
  <c r="AS592" i="5"/>
  <c r="AT591" i="5"/>
  <c r="AS591" i="5"/>
  <c r="AT590" i="5"/>
  <c r="AS590" i="5"/>
  <c r="AT589" i="5"/>
  <c r="AS589" i="5"/>
  <c r="AT588" i="5"/>
  <c r="AS588" i="5"/>
  <c r="AT587" i="5"/>
  <c r="AS587" i="5"/>
  <c r="AT586" i="5"/>
  <c r="AS586" i="5"/>
  <c r="AT585" i="5"/>
  <c r="AS585" i="5"/>
  <c r="AT584" i="5"/>
  <c r="AS584" i="5"/>
  <c r="AT583" i="5"/>
  <c r="AS583" i="5"/>
  <c r="AT582" i="5"/>
  <c r="AS582" i="5"/>
  <c r="AT581" i="5"/>
  <c r="AS581" i="5"/>
  <c r="AT580" i="5"/>
  <c r="AS580" i="5"/>
  <c r="AT579" i="5"/>
  <c r="AS579" i="5"/>
  <c r="AT578" i="5"/>
  <c r="AS578" i="5"/>
  <c r="AT577" i="5"/>
  <c r="AS577" i="5"/>
  <c r="AT576" i="5"/>
  <c r="AS576" i="5"/>
  <c r="AT575" i="5"/>
  <c r="AS575" i="5"/>
  <c r="AT574" i="5"/>
  <c r="AS574" i="5"/>
  <c r="AT573" i="5"/>
  <c r="AS573" i="5"/>
  <c r="AT572" i="5"/>
  <c r="AS572" i="5"/>
  <c r="AT571" i="5"/>
  <c r="AS571" i="5"/>
  <c r="AT570" i="5"/>
  <c r="AS570" i="5"/>
  <c r="AT569" i="5"/>
  <c r="AS569" i="5"/>
  <c r="AT568" i="5"/>
  <c r="AS568" i="5"/>
  <c r="AT567" i="5"/>
  <c r="AS567" i="5"/>
  <c r="AT566" i="5"/>
  <c r="AS566" i="5"/>
  <c r="AT565" i="5"/>
  <c r="AS565" i="5"/>
  <c r="AT564" i="5"/>
  <c r="AS564" i="5"/>
  <c r="AT563" i="5"/>
  <c r="AS563" i="5"/>
  <c r="AT562" i="5"/>
  <c r="AS562" i="5"/>
  <c r="AT561" i="5"/>
  <c r="AS561" i="5"/>
  <c r="AT560" i="5"/>
  <c r="AS560" i="5"/>
  <c r="AT559" i="5"/>
  <c r="AS559" i="5"/>
  <c r="AT558" i="5"/>
  <c r="AS558" i="5"/>
  <c r="AT557" i="5"/>
  <c r="AS557" i="5"/>
  <c r="AT556" i="5"/>
  <c r="AS556" i="5"/>
  <c r="AT555" i="5"/>
  <c r="AS555" i="5"/>
  <c r="AT554" i="5"/>
  <c r="AS554" i="5"/>
  <c r="AT553" i="5"/>
  <c r="AS553" i="5"/>
  <c r="AT552" i="5"/>
  <c r="AS552" i="5"/>
  <c r="AT551" i="5"/>
  <c r="AS551" i="5"/>
  <c r="AT550" i="5"/>
  <c r="AS550" i="5"/>
  <c r="AT549" i="5"/>
  <c r="AS549" i="5"/>
  <c r="AT548" i="5"/>
  <c r="AS548" i="5"/>
  <c r="AT547" i="5"/>
  <c r="AS547" i="5"/>
  <c r="AT546" i="5"/>
  <c r="AS546" i="5"/>
  <c r="AT545" i="5"/>
  <c r="AS545" i="5"/>
  <c r="AT544" i="5"/>
  <c r="AS544" i="5"/>
  <c r="AT543" i="5"/>
  <c r="AS543" i="5"/>
  <c r="AT542" i="5"/>
  <c r="AS542" i="5"/>
  <c r="AT541" i="5"/>
  <c r="AS541" i="5"/>
  <c r="AT540" i="5"/>
  <c r="AS540" i="5"/>
  <c r="AT539" i="5"/>
  <c r="AS539" i="5"/>
  <c r="AT538" i="5"/>
  <c r="AS538" i="5"/>
  <c r="AT537" i="5"/>
  <c r="AS537" i="5"/>
  <c r="AT536" i="5"/>
  <c r="AS536" i="5"/>
  <c r="AT535" i="5"/>
  <c r="AS535" i="5"/>
  <c r="AT534" i="5"/>
  <c r="AS534" i="5"/>
  <c r="AT533" i="5"/>
  <c r="AS533" i="5"/>
  <c r="AT532" i="5"/>
  <c r="AS532" i="5"/>
  <c r="AT531" i="5"/>
  <c r="AS531" i="5"/>
  <c r="AT530" i="5"/>
  <c r="AS530" i="5"/>
  <c r="AT529" i="5"/>
  <c r="AS529" i="5"/>
  <c r="AT528" i="5"/>
  <c r="AS528" i="5"/>
  <c r="AT527" i="5"/>
  <c r="AS527" i="5"/>
  <c r="AT526" i="5"/>
  <c r="AS526" i="5"/>
  <c r="AT525" i="5"/>
  <c r="AS525" i="5"/>
  <c r="AT524" i="5"/>
  <c r="AS524" i="5"/>
  <c r="AT523" i="5"/>
  <c r="AS523" i="5"/>
  <c r="AT522" i="5"/>
  <c r="AS522" i="5"/>
  <c r="AT521" i="5"/>
  <c r="AS521" i="5"/>
  <c r="AT520" i="5"/>
  <c r="AS520" i="5"/>
  <c r="AT519" i="5"/>
  <c r="AS519" i="5"/>
  <c r="AT518" i="5"/>
  <c r="AS518" i="5"/>
  <c r="AT517" i="5"/>
  <c r="AS517" i="5"/>
  <c r="AT516" i="5"/>
  <c r="AS516" i="5"/>
  <c r="AT515" i="5"/>
  <c r="AS515" i="5"/>
  <c r="AT514" i="5"/>
  <c r="AS514" i="5"/>
  <c r="AT513" i="5"/>
  <c r="AS513" i="5"/>
  <c r="AT512" i="5"/>
  <c r="AS512" i="5"/>
  <c r="AT511" i="5"/>
  <c r="AS511" i="5"/>
  <c r="AT510" i="5"/>
  <c r="AS510" i="5"/>
  <c r="AT509" i="5"/>
  <c r="AS509" i="5"/>
  <c r="AT508" i="5"/>
  <c r="AS508" i="5"/>
  <c r="AT507" i="5"/>
  <c r="AS507" i="5"/>
  <c r="AT506" i="5"/>
  <c r="AS506" i="5"/>
  <c r="AT505" i="5"/>
  <c r="AS505" i="5"/>
  <c r="AT504" i="5"/>
  <c r="AS504" i="5"/>
  <c r="AT503" i="5"/>
  <c r="AS503" i="5"/>
  <c r="AT502" i="5"/>
  <c r="AS502" i="5"/>
  <c r="AT501" i="5"/>
  <c r="AS501" i="5"/>
  <c r="AT500" i="5"/>
  <c r="AS500" i="5"/>
  <c r="AT499" i="5"/>
  <c r="AS499" i="5"/>
  <c r="AT498" i="5"/>
  <c r="AS498" i="5"/>
  <c r="AT497" i="5"/>
  <c r="AS497" i="5"/>
  <c r="AT496" i="5"/>
  <c r="AS496" i="5"/>
  <c r="AT495" i="5"/>
  <c r="AS495" i="5"/>
  <c r="AT494" i="5"/>
  <c r="AS494" i="5"/>
  <c r="AT493" i="5"/>
  <c r="AS493" i="5"/>
  <c r="AT492" i="5"/>
  <c r="AS492" i="5"/>
  <c r="AT491" i="5"/>
  <c r="AS491" i="5"/>
  <c r="AT490" i="5"/>
  <c r="AS490" i="5"/>
  <c r="AT489" i="5"/>
  <c r="AS489" i="5"/>
  <c r="AT488" i="5"/>
  <c r="AS488" i="5"/>
  <c r="AT487" i="5"/>
  <c r="AS487" i="5"/>
  <c r="AT486" i="5"/>
  <c r="AS486" i="5"/>
  <c r="AT485" i="5"/>
  <c r="AS485" i="5"/>
  <c r="AT484" i="5"/>
  <c r="AS484" i="5"/>
  <c r="AT483" i="5"/>
  <c r="AS483" i="5"/>
  <c r="AT482" i="5"/>
  <c r="AS482" i="5"/>
  <c r="AT481" i="5"/>
  <c r="AS481" i="5"/>
  <c r="AT480" i="5"/>
  <c r="AS480" i="5"/>
  <c r="AT479" i="5"/>
  <c r="AS479" i="5"/>
  <c r="AT478" i="5"/>
  <c r="AS478" i="5"/>
  <c r="AT477" i="5"/>
  <c r="AS477" i="5"/>
  <c r="AT476" i="5"/>
  <c r="AS476" i="5"/>
  <c r="AT475" i="5"/>
  <c r="AS475" i="5"/>
  <c r="AT474" i="5"/>
  <c r="AS474" i="5"/>
  <c r="AT473" i="5"/>
  <c r="AS473" i="5"/>
  <c r="AT472" i="5"/>
  <c r="AS472" i="5"/>
  <c r="AT471" i="5"/>
  <c r="AS471" i="5"/>
  <c r="AT470" i="5"/>
  <c r="AS470" i="5"/>
  <c r="AT469" i="5"/>
  <c r="AS469" i="5"/>
  <c r="AT468" i="5"/>
  <c r="AS468" i="5"/>
  <c r="AT467" i="5"/>
  <c r="AS467" i="5"/>
  <c r="AT466" i="5"/>
  <c r="AS466" i="5"/>
  <c r="AT465" i="5"/>
  <c r="AS465" i="5"/>
  <c r="AT464" i="5"/>
  <c r="AS464" i="5"/>
  <c r="AT463" i="5"/>
  <c r="AS463" i="5"/>
  <c r="AT462" i="5"/>
  <c r="AS462" i="5"/>
  <c r="AT461" i="5"/>
  <c r="AS461" i="5"/>
  <c r="AT460" i="5"/>
  <c r="AS460" i="5"/>
  <c r="AT459" i="5"/>
  <c r="AS459" i="5"/>
  <c r="AT458" i="5"/>
  <c r="AS458" i="5"/>
  <c r="AT457" i="5"/>
  <c r="AS457" i="5"/>
  <c r="AT456" i="5"/>
  <c r="AS456" i="5"/>
  <c r="AT455" i="5"/>
  <c r="AS455" i="5"/>
  <c r="AT454" i="5"/>
  <c r="AS454" i="5"/>
  <c r="AT453" i="5"/>
  <c r="AS453" i="5"/>
  <c r="AT452" i="5"/>
  <c r="AS452" i="5"/>
  <c r="AT451" i="5"/>
  <c r="AS451" i="5"/>
  <c r="AT450" i="5"/>
  <c r="AS450" i="5"/>
  <c r="AT449" i="5"/>
  <c r="AS449" i="5"/>
  <c r="AT448" i="5"/>
  <c r="AS448" i="5"/>
  <c r="AT447" i="5"/>
  <c r="AS447" i="5"/>
  <c r="AT446" i="5"/>
  <c r="AS446" i="5"/>
  <c r="AT445" i="5"/>
  <c r="AS445" i="5"/>
  <c r="AT444" i="5"/>
  <c r="AS444" i="5"/>
  <c r="AT443" i="5"/>
  <c r="AS443" i="5"/>
  <c r="AT442" i="5"/>
  <c r="AS442" i="5"/>
  <c r="AT441" i="5"/>
  <c r="AS441" i="5"/>
  <c r="AT440" i="5"/>
  <c r="AS440" i="5"/>
  <c r="AT439" i="5"/>
  <c r="AS439" i="5"/>
  <c r="AT438" i="5"/>
  <c r="AS438" i="5"/>
  <c r="AT437" i="5"/>
  <c r="AS437" i="5"/>
  <c r="AT436" i="5"/>
  <c r="AS436" i="5"/>
  <c r="AT435" i="5"/>
  <c r="AS435" i="5"/>
  <c r="AT434" i="5"/>
  <c r="AS434" i="5"/>
  <c r="AT433" i="5"/>
  <c r="AS433" i="5"/>
  <c r="AT432" i="5"/>
  <c r="AS432" i="5"/>
  <c r="AT431" i="5"/>
  <c r="AS431" i="5"/>
  <c r="AT430" i="5"/>
  <c r="AS430" i="5"/>
  <c r="AT429" i="5"/>
  <c r="AS429" i="5"/>
  <c r="AT428" i="5"/>
  <c r="AS428" i="5"/>
  <c r="AT427" i="5"/>
  <c r="AS427" i="5"/>
  <c r="AT426" i="5"/>
  <c r="AS426" i="5"/>
  <c r="AT425" i="5"/>
  <c r="AS425" i="5"/>
  <c r="AT424" i="5"/>
  <c r="AS424" i="5"/>
  <c r="AT423" i="5"/>
  <c r="AS423" i="5"/>
  <c r="AT422" i="5"/>
  <c r="AS422" i="5"/>
  <c r="AT421" i="5"/>
  <c r="AS421" i="5"/>
  <c r="AT420" i="5"/>
  <c r="AS420" i="5"/>
  <c r="AT419" i="5"/>
  <c r="AS419" i="5"/>
  <c r="AT418" i="5"/>
  <c r="AS418" i="5"/>
  <c r="AT417" i="5"/>
  <c r="AS417" i="5"/>
  <c r="AT416" i="5"/>
  <c r="AS416" i="5"/>
  <c r="AT415" i="5"/>
  <c r="AS415" i="5"/>
  <c r="AT414" i="5"/>
  <c r="AS414" i="5"/>
  <c r="AT413" i="5"/>
  <c r="AS413" i="5"/>
  <c r="AT412" i="5"/>
  <c r="AS412" i="5"/>
  <c r="AT411" i="5"/>
  <c r="AS411" i="5"/>
  <c r="AT410" i="5"/>
  <c r="AS410" i="5"/>
  <c r="AT409" i="5"/>
  <c r="AS409" i="5"/>
  <c r="AT408" i="5"/>
  <c r="AS408" i="5"/>
  <c r="AT407" i="5"/>
  <c r="AS407" i="5"/>
  <c r="AT406" i="5"/>
  <c r="AS406" i="5"/>
  <c r="AT405" i="5"/>
  <c r="AS405" i="5"/>
  <c r="AT404" i="5"/>
  <c r="AS404" i="5"/>
  <c r="AT403" i="5"/>
  <c r="AS403" i="5"/>
  <c r="AT402" i="5"/>
  <c r="AS402" i="5"/>
  <c r="AT401" i="5"/>
  <c r="AS401" i="5"/>
  <c r="AT400" i="5"/>
  <c r="AS400" i="5"/>
  <c r="AT399" i="5"/>
  <c r="AS399" i="5"/>
  <c r="AT398" i="5"/>
  <c r="AS398" i="5"/>
  <c r="AT397" i="5"/>
  <c r="AS397" i="5"/>
  <c r="AT396" i="5"/>
  <c r="AS396" i="5"/>
  <c r="AT395" i="5"/>
  <c r="AS395" i="5"/>
  <c r="AT394" i="5"/>
  <c r="AS394" i="5"/>
  <c r="AT393" i="5"/>
  <c r="AS393" i="5"/>
  <c r="AT392" i="5"/>
  <c r="AS392" i="5"/>
  <c r="AT391" i="5"/>
  <c r="AS391" i="5"/>
  <c r="AT390" i="5"/>
  <c r="AS390" i="5"/>
  <c r="AT389" i="5"/>
  <c r="AS389" i="5"/>
  <c r="AT388" i="5"/>
  <c r="AS388" i="5"/>
  <c r="AT387" i="5"/>
  <c r="AS387" i="5"/>
  <c r="AT386" i="5"/>
  <c r="AS386" i="5"/>
  <c r="AT385" i="5"/>
  <c r="AS385" i="5"/>
  <c r="AT384" i="5"/>
  <c r="AS384" i="5"/>
  <c r="AT383" i="5"/>
  <c r="AS383" i="5"/>
  <c r="AT382" i="5"/>
  <c r="AS382" i="5"/>
  <c r="AT381" i="5"/>
  <c r="AS381" i="5"/>
  <c r="AT380" i="5"/>
  <c r="AS380" i="5"/>
  <c r="AT379" i="5"/>
  <c r="AS379" i="5"/>
  <c r="AT378" i="5"/>
  <c r="AS378" i="5"/>
  <c r="AT377" i="5"/>
  <c r="AS377" i="5"/>
  <c r="AT376" i="5"/>
  <c r="AS376" i="5"/>
  <c r="AT375" i="5"/>
  <c r="AS375" i="5"/>
  <c r="AT374" i="5"/>
  <c r="AS374" i="5"/>
  <c r="AT373" i="5"/>
  <c r="AS373" i="5"/>
  <c r="AT372" i="5"/>
  <c r="AS372" i="5"/>
  <c r="AT371" i="5"/>
  <c r="AS371" i="5"/>
  <c r="AT370" i="5"/>
  <c r="AS370" i="5"/>
  <c r="AT369" i="5"/>
  <c r="AS369" i="5"/>
  <c r="AT368" i="5"/>
  <c r="AS368" i="5"/>
  <c r="AT367" i="5"/>
  <c r="AS367" i="5"/>
  <c r="AT366" i="5"/>
  <c r="AS366" i="5"/>
  <c r="AT365" i="5"/>
  <c r="AS365" i="5"/>
  <c r="AT364" i="5"/>
  <c r="AS364" i="5"/>
  <c r="AT363" i="5"/>
  <c r="AS363" i="5"/>
  <c r="AT362" i="5"/>
  <c r="AS362" i="5"/>
  <c r="AT361" i="5"/>
  <c r="AS361" i="5"/>
  <c r="AT360" i="5"/>
  <c r="AS360" i="5"/>
  <c r="AT359" i="5"/>
  <c r="AS359" i="5"/>
  <c r="AT358" i="5"/>
  <c r="AS358" i="5"/>
  <c r="AT357" i="5"/>
  <c r="AS357" i="5"/>
  <c r="AT356" i="5"/>
  <c r="AS356" i="5"/>
  <c r="AT355" i="5"/>
  <c r="AS355" i="5"/>
  <c r="AT354" i="5"/>
  <c r="AS354" i="5"/>
  <c r="AT353" i="5"/>
  <c r="AS353" i="5"/>
  <c r="AT352" i="5"/>
  <c r="AS352" i="5"/>
  <c r="AT351" i="5"/>
  <c r="AS351" i="5"/>
  <c r="AT350" i="5"/>
  <c r="AS350" i="5"/>
  <c r="AT349" i="5"/>
  <c r="AS349" i="5"/>
  <c r="AT348" i="5"/>
  <c r="AS348" i="5"/>
  <c r="AT347" i="5"/>
  <c r="AS347" i="5"/>
  <c r="AT346" i="5"/>
  <c r="AS346" i="5"/>
  <c r="AT345" i="5"/>
  <c r="AS345" i="5"/>
  <c r="AT344" i="5"/>
  <c r="AS344" i="5"/>
  <c r="AT343" i="5"/>
  <c r="AS343" i="5"/>
  <c r="AT342" i="5"/>
  <c r="AS342" i="5"/>
  <c r="AT341" i="5"/>
  <c r="AS341" i="5"/>
  <c r="AT340" i="5"/>
  <c r="AS340" i="5"/>
  <c r="AT339" i="5"/>
  <c r="AS339" i="5"/>
  <c r="AT338" i="5"/>
  <c r="AS338" i="5"/>
  <c r="AT337" i="5"/>
  <c r="AS337" i="5"/>
  <c r="AT336" i="5"/>
  <c r="AS336" i="5"/>
  <c r="AT335" i="5"/>
  <c r="AS335" i="5"/>
  <c r="AT334" i="5"/>
  <c r="AS334" i="5"/>
  <c r="AT333" i="5"/>
  <c r="AS333" i="5"/>
  <c r="AT332" i="5"/>
  <c r="AS332" i="5"/>
  <c r="AT331" i="5"/>
  <c r="AS331" i="5"/>
  <c r="AT330" i="5"/>
  <c r="AS330" i="5"/>
  <c r="AT329" i="5"/>
  <c r="AS329" i="5"/>
  <c r="AT328" i="5"/>
  <c r="AS328" i="5"/>
  <c r="AT327" i="5"/>
  <c r="AS327" i="5"/>
  <c r="AT326" i="5"/>
  <c r="AS326" i="5"/>
  <c r="AT325" i="5"/>
  <c r="AS325" i="5"/>
  <c r="AT324" i="5"/>
  <c r="AS324" i="5"/>
  <c r="AT323" i="5"/>
  <c r="AS323" i="5"/>
  <c r="AT322" i="5"/>
  <c r="AS322" i="5"/>
  <c r="AT321" i="5"/>
  <c r="AS321" i="5"/>
  <c r="AT320" i="5"/>
  <c r="AS320" i="5"/>
  <c r="AT319" i="5"/>
  <c r="AS319" i="5"/>
  <c r="AT318" i="5"/>
  <c r="AS318" i="5"/>
  <c r="AT317" i="5"/>
  <c r="AS317" i="5"/>
  <c r="AT316" i="5"/>
  <c r="AS316" i="5"/>
  <c r="AT315" i="5"/>
  <c r="AS315" i="5"/>
  <c r="AT314" i="5"/>
  <c r="AS314" i="5"/>
  <c r="AT313" i="5"/>
  <c r="AS313" i="5"/>
  <c r="AT312" i="5"/>
  <c r="AS312" i="5"/>
  <c r="AT311" i="5"/>
  <c r="AS311" i="5"/>
  <c r="AT310" i="5"/>
  <c r="AS310" i="5"/>
  <c r="AT309" i="5"/>
  <c r="AS309" i="5"/>
  <c r="AT308" i="5"/>
  <c r="AS308" i="5"/>
  <c r="AT307" i="5"/>
  <c r="AS307" i="5"/>
  <c r="AT306" i="5"/>
  <c r="AS306" i="5"/>
  <c r="AT305" i="5"/>
  <c r="AS305" i="5"/>
  <c r="AT304" i="5"/>
  <c r="AS304" i="5"/>
  <c r="AT303" i="5"/>
  <c r="AS303" i="5"/>
  <c r="AT302" i="5"/>
  <c r="AS302" i="5"/>
  <c r="AT301" i="5"/>
  <c r="AS301" i="5"/>
  <c r="AT300" i="5"/>
  <c r="AS300" i="5"/>
  <c r="AT299" i="5"/>
  <c r="AS299" i="5"/>
  <c r="AT298" i="5"/>
  <c r="AS298" i="5"/>
  <c r="AT297" i="5"/>
  <c r="AS297" i="5"/>
  <c r="AT296" i="5"/>
  <c r="AS296" i="5"/>
  <c r="AT295" i="5"/>
  <c r="AS295" i="5"/>
  <c r="AT294" i="5"/>
  <c r="AS294" i="5"/>
  <c r="AT293" i="5"/>
  <c r="AS293" i="5"/>
  <c r="AT292" i="5"/>
  <c r="AS292" i="5"/>
  <c r="AT291" i="5"/>
  <c r="AS291" i="5"/>
  <c r="AT290" i="5"/>
  <c r="AS290" i="5"/>
  <c r="AT289" i="5"/>
  <c r="AS289" i="5"/>
  <c r="AT288" i="5"/>
  <c r="AS288" i="5"/>
  <c r="AT287" i="5"/>
  <c r="AS287" i="5"/>
  <c r="AT286" i="5"/>
  <c r="AS286" i="5"/>
  <c r="AT285" i="5"/>
  <c r="AS285" i="5"/>
  <c r="AT284" i="5"/>
  <c r="AS284" i="5"/>
  <c r="AT283" i="5"/>
  <c r="AS283" i="5"/>
  <c r="AT282" i="5"/>
  <c r="AS282" i="5"/>
  <c r="AT281" i="5"/>
  <c r="AS281" i="5"/>
  <c r="AT280" i="5"/>
  <c r="AS280" i="5"/>
  <c r="AT279" i="5"/>
  <c r="AS279" i="5"/>
  <c r="AT278" i="5"/>
  <c r="AS278" i="5"/>
  <c r="AT277" i="5"/>
  <c r="AS277" i="5"/>
  <c r="AT276" i="5"/>
  <c r="AS276" i="5"/>
  <c r="AT275" i="5"/>
  <c r="AS275" i="5"/>
  <c r="AT274" i="5"/>
  <c r="AS274" i="5"/>
  <c r="AT273" i="5"/>
  <c r="AS273" i="5"/>
  <c r="AT272" i="5"/>
  <c r="AS272" i="5"/>
  <c r="AT271" i="5"/>
  <c r="AS271" i="5"/>
  <c r="AT270" i="5"/>
  <c r="AS270" i="5"/>
  <c r="AT269" i="5"/>
  <c r="AS269" i="5"/>
  <c r="AT268" i="5"/>
  <c r="AS268" i="5"/>
  <c r="AT267" i="5"/>
  <c r="AS267" i="5"/>
  <c r="AT266" i="5"/>
  <c r="AS266" i="5"/>
  <c r="AT265" i="5"/>
  <c r="AS265" i="5"/>
  <c r="AT264" i="5"/>
  <c r="AS264" i="5"/>
  <c r="AT263" i="5"/>
  <c r="AS263" i="5"/>
  <c r="AT262" i="5"/>
  <c r="AS262" i="5"/>
  <c r="AT261" i="5"/>
  <c r="AS261" i="5"/>
  <c r="AT260" i="5"/>
  <c r="AS260" i="5"/>
  <c r="AT259" i="5"/>
  <c r="AS259" i="5"/>
  <c r="AT258" i="5"/>
  <c r="AS258" i="5"/>
  <c r="AT257" i="5"/>
  <c r="AS257" i="5"/>
  <c r="AT256" i="5"/>
  <c r="AS256" i="5"/>
  <c r="AT255" i="5"/>
  <c r="AS255" i="5"/>
  <c r="AT254" i="5"/>
  <c r="AS254" i="5"/>
  <c r="AT253" i="5"/>
  <c r="AS253" i="5"/>
  <c r="AT252" i="5"/>
  <c r="AS252" i="5"/>
  <c r="AT251" i="5"/>
  <c r="AS251" i="5"/>
  <c r="AT250" i="5"/>
  <c r="AS250" i="5"/>
  <c r="AT249" i="5"/>
  <c r="AS249" i="5"/>
  <c r="AT248" i="5"/>
  <c r="AS248" i="5"/>
  <c r="AT247" i="5"/>
  <c r="AS247" i="5"/>
  <c r="AT246" i="5"/>
  <c r="AS246" i="5"/>
  <c r="AT245" i="5"/>
  <c r="AS245" i="5"/>
  <c r="AT244" i="5"/>
  <c r="AS244" i="5"/>
  <c r="AT243" i="5"/>
  <c r="AS243" i="5"/>
  <c r="AT242" i="5"/>
  <c r="AS242" i="5"/>
  <c r="AT241" i="5"/>
  <c r="AS241" i="5"/>
  <c r="AT240" i="5"/>
  <c r="AS240" i="5"/>
  <c r="AT239" i="5"/>
  <c r="AS239" i="5"/>
  <c r="AT238" i="5"/>
  <c r="AS238" i="5"/>
  <c r="AT237" i="5"/>
  <c r="AS237" i="5"/>
  <c r="AT236" i="5"/>
  <c r="AS236" i="5"/>
  <c r="AT235" i="5"/>
  <c r="AS235" i="5"/>
  <c r="AT234" i="5"/>
  <c r="AS234" i="5"/>
  <c r="AT233" i="5"/>
  <c r="AS233" i="5"/>
  <c r="AT232" i="5"/>
  <c r="AS232" i="5"/>
  <c r="AT231" i="5"/>
  <c r="AS231" i="5"/>
  <c r="AT230" i="5"/>
  <c r="AS230" i="5"/>
  <c r="AT229" i="5"/>
  <c r="AS229" i="5"/>
  <c r="AT228" i="5"/>
  <c r="AS228" i="5"/>
  <c r="AT227" i="5"/>
  <c r="AS227" i="5"/>
  <c r="AT226" i="5"/>
  <c r="AS226" i="5"/>
  <c r="AT225" i="5"/>
  <c r="AS225" i="5"/>
  <c r="AT224" i="5"/>
  <c r="AS224" i="5"/>
  <c r="AT223" i="5"/>
  <c r="AS223" i="5"/>
  <c r="AT222" i="5"/>
  <c r="AS222" i="5"/>
  <c r="AT221" i="5"/>
  <c r="AS221" i="5"/>
  <c r="AT220" i="5"/>
  <c r="AS220" i="5"/>
  <c r="AT219" i="5"/>
  <c r="AS219" i="5"/>
  <c r="AT218" i="5"/>
  <c r="AS218" i="5"/>
  <c r="AT217" i="5"/>
  <c r="AS217" i="5"/>
  <c r="AT216" i="5"/>
  <c r="AS216" i="5"/>
  <c r="AT215" i="5"/>
  <c r="AS215" i="5"/>
  <c r="AT214" i="5"/>
  <c r="AS214" i="5"/>
  <c r="AT213" i="5"/>
  <c r="AS213" i="5"/>
  <c r="AT212" i="5"/>
  <c r="AS212" i="5"/>
  <c r="AT211" i="5"/>
  <c r="AS211" i="5"/>
  <c r="AT210" i="5"/>
  <c r="AS210" i="5"/>
  <c r="AT209" i="5"/>
  <c r="AS209" i="5"/>
  <c r="AT208" i="5"/>
  <c r="AS208" i="5"/>
  <c r="AT207" i="5"/>
  <c r="AS207" i="5"/>
  <c r="AT206" i="5"/>
  <c r="AS206" i="5"/>
  <c r="AT205" i="5"/>
  <c r="AS205" i="5"/>
  <c r="AT204" i="5"/>
  <c r="AS204" i="5"/>
  <c r="AT203" i="5"/>
  <c r="AS203" i="5"/>
  <c r="AT202" i="5"/>
  <c r="AS202" i="5"/>
  <c r="AT201" i="5"/>
  <c r="AS201" i="5"/>
  <c r="AT200" i="5"/>
  <c r="AS200" i="5"/>
  <c r="AT199" i="5"/>
  <c r="AS199" i="5"/>
  <c r="AT198" i="5"/>
  <c r="AS198" i="5"/>
  <c r="AT197" i="5"/>
  <c r="AS197" i="5"/>
  <c r="AT196" i="5"/>
  <c r="AS196" i="5"/>
  <c r="AT195" i="5"/>
  <c r="AS195" i="5"/>
  <c r="AT194" i="5"/>
  <c r="AS194" i="5"/>
  <c r="AT193" i="5"/>
  <c r="AS193" i="5"/>
  <c r="AT192" i="5"/>
  <c r="AS192" i="5"/>
  <c r="AT191" i="5"/>
  <c r="AS191" i="5"/>
  <c r="AT190" i="5"/>
  <c r="AS190" i="5"/>
  <c r="AT189" i="5"/>
  <c r="AS189" i="5"/>
  <c r="AT188" i="5"/>
  <c r="AS188" i="5"/>
  <c r="AT187" i="5"/>
  <c r="AS187" i="5"/>
  <c r="AT186" i="5"/>
  <c r="AS186" i="5"/>
  <c r="AT185" i="5"/>
  <c r="AS185" i="5"/>
  <c r="AT184" i="5"/>
  <c r="AS184" i="5"/>
  <c r="AT183" i="5"/>
  <c r="AS183" i="5"/>
  <c r="AT182" i="5"/>
  <c r="AS182" i="5"/>
  <c r="AT181" i="5"/>
  <c r="AS181" i="5"/>
  <c r="AT180" i="5"/>
  <c r="AS180" i="5"/>
  <c r="AT179" i="5"/>
  <c r="AS179" i="5"/>
  <c r="AT178" i="5"/>
  <c r="AS178" i="5"/>
  <c r="AT177" i="5"/>
  <c r="AS177" i="5"/>
  <c r="AT176" i="5"/>
  <c r="AS176" i="5"/>
  <c r="AT175" i="5"/>
  <c r="AS175" i="5"/>
  <c r="AT174" i="5"/>
  <c r="AS174" i="5"/>
  <c r="AT173" i="5"/>
  <c r="AS173" i="5"/>
  <c r="AT172" i="5"/>
  <c r="AS172" i="5"/>
  <c r="AT171" i="5"/>
  <c r="AS171" i="5"/>
  <c r="AT170" i="5"/>
  <c r="AS170" i="5"/>
  <c r="AT169" i="5"/>
  <c r="AS169" i="5"/>
  <c r="AT168" i="5"/>
  <c r="AS168" i="5"/>
  <c r="AT167" i="5"/>
  <c r="AS167" i="5"/>
  <c r="AT166" i="5"/>
  <c r="AS166" i="5"/>
  <c r="AT165" i="5"/>
  <c r="AS165" i="5"/>
  <c r="AT164" i="5"/>
  <c r="AS164" i="5"/>
  <c r="AT163" i="5"/>
  <c r="AS163" i="5"/>
  <c r="AT162" i="5"/>
  <c r="AS162" i="5"/>
  <c r="AT161" i="5"/>
  <c r="AS161" i="5"/>
  <c r="AT160" i="5"/>
  <c r="AS160" i="5"/>
  <c r="AT159" i="5"/>
  <c r="AS159" i="5"/>
  <c r="AT158" i="5"/>
  <c r="AS158" i="5"/>
  <c r="AT157" i="5"/>
  <c r="AS157" i="5"/>
  <c r="AT156" i="5"/>
  <c r="AS156" i="5"/>
  <c r="AT155" i="5"/>
  <c r="AS155" i="5"/>
  <c r="AT154" i="5"/>
  <c r="AS154" i="5"/>
  <c r="AT153" i="5"/>
  <c r="AS153" i="5"/>
  <c r="AT152" i="5"/>
  <c r="AS152" i="5"/>
  <c r="AT151" i="5"/>
  <c r="AS151" i="5"/>
  <c r="AT150" i="5"/>
  <c r="AS150" i="5"/>
  <c r="AT149" i="5"/>
  <c r="AS149" i="5"/>
  <c r="AT148" i="5"/>
  <c r="AS148" i="5"/>
  <c r="AT147" i="5"/>
  <c r="AS147" i="5"/>
  <c r="AT146" i="5"/>
  <c r="AS146" i="5"/>
  <c r="AT145" i="5"/>
  <c r="AS145" i="5"/>
  <c r="AT144" i="5"/>
  <c r="AS144" i="5"/>
  <c r="AT143" i="5"/>
  <c r="AS143" i="5"/>
  <c r="AT142" i="5"/>
  <c r="AS142" i="5"/>
  <c r="AT141" i="5"/>
  <c r="AS141" i="5"/>
  <c r="AT140" i="5"/>
  <c r="AS140" i="5"/>
  <c r="AT139" i="5"/>
  <c r="AS139" i="5"/>
  <c r="AT138" i="5"/>
  <c r="AS138" i="5"/>
  <c r="AT137" i="5"/>
  <c r="AS137" i="5"/>
  <c r="AT136" i="5"/>
  <c r="AS136" i="5"/>
  <c r="AT135" i="5"/>
  <c r="AS135" i="5"/>
  <c r="AT134" i="5"/>
  <c r="AS134" i="5"/>
  <c r="AT133" i="5"/>
  <c r="AS133" i="5"/>
  <c r="AT132" i="5"/>
  <c r="AS132" i="5"/>
  <c r="AT131" i="5"/>
  <c r="AS131" i="5"/>
  <c r="AT130" i="5"/>
  <c r="AS130" i="5"/>
  <c r="AT129" i="5"/>
  <c r="AS129" i="5"/>
  <c r="AT128" i="5"/>
  <c r="AS128" i="5"/>
  <c r="AT127" i="5"/>
  <c r="AS127" i="5"/>
  <c r="AT126" i="5"/>
  <c r="AS126" i="5"/>
  <c r="AT125" i="5"/>
  <c r="AS125" i="5"/>
  <c r="AT124" i="5"/>
  <c r="AS124" i="5"/>
  <c r="AT123" i="5"/>
  <c r="AS123" i="5"/>
  <c r="AT122" i="5"/>
  <c r="AS122" i="5"/>
  <c r="AT121" i="5"/>
  <c r="AS121" i="5"/>
  <c r="AT120" i="5"/>
  <c r="AS120" i="5"/>
  <c r="AT119" i="5"/>
  <c r="AS119" i="5"/>
  <c r="AT118" i="5"/>
  <c r="AS118" i="5"/>
  <c r="AT117" i="5"/>
  <c r="AS117" i="5"/>
  <c r="AT116" i="5"/>
  <c r="AS116" i="5"/>
  <c r="AT115" i="5"/>
  <c r="AS115" i="5"/>
  <c r="AT114" i="5"/>
  <c r="AS114" i="5"/>
  <c r="AT113" i="5"/>
  <c r="AS113" i="5"/>
  <c r="AT112" i="5"/>
  <c r="AS112" i="5"/>
  <c r="AT111" i="5"/>
  <c r="AS111" i="5"/>
  <c r="AT110" i="5"/>
  <c r="AS110" i="5"/>
  <c r="AT109" i="5"/>
  <c r="AS109" i="5"/>
  <c r="AT108" i="5"/>
  <c r="AS108" i="5"/>
  <c r="AT107" i="5"/>
  <c r="AS107" i="5"/>
  <c r="AT106" i="5"/>
  <c r="AS106" i="5"/>
  <c r="AT105" i="5"/>
  <c r="AS105" i="5"/>
  <c r="AT104" i="5"/>
  <c r="AS104" i="5"/>
  <c r="AT103" i="5"/>
  <c r="AS103" i="5"/>
  <c r="AT102" i="5"/>
  <c r="AS102" i="5"/>
  <c r="AT101" i="5"/>
  <c r="AS101" i="5"/>
  <c r="AT100" i="5"/>
  <c r="AS100" i="5"/>
  <c r="AT99" i="5"/>
  <c r="AS99" i="5"/>
  <c r="AT98" i="5"/>
  <c r="AS98" i="5"/>
  <c r="AT97" i="5"/>
  <c r="AS97" i="5"/>
  <c r="AT96" i="5"/>
  <c r="AS96" i="5"/>
  <c r="AT95" i="5"/>
  <c r="AS95" i="5"/>
  <c r="AT94" i="5"/>
  <c r="AS94" i="5"/>
  <c r="AT93" i="5"/>
  <c r="AS93" i="5"/>
  <c r="AT92" i="5"/>
  <c r="AS92" i="5"/>
  <c r="AT91" i="5"/>
  <c r="AS91" i="5"/>
  <c r="AT90" i="5"/>
  <c r="AS90" i="5"/>
  <c r="AT89" i="5"/>
  <c r="AS89" i="5"/>
  <c r="AT88" i="5"/>
  <c r="AS88" i="5"/>
  <c r="AT87" i="5"/>
  <c r="AS87" i="5"/>
  <c r="AT86" i="5"/>
  <c r="AS86" i="5"/>
  <c r="AT85" i="5"/>
  <c r="AS85" i="5"/>
  <c r="AT84" i="5"/>
  <c r="AS84" i="5"/>
  <c r="AT83" i="5"/>
  <c r="AS83" i="5"/>
  <c r="AT82" i="5"/>
  <c r="AS82" i="5"/>
  <c r="AT81" i="5"/>
  <c r="AS81" i="5"/>
  <c r="AT80" i="5"/>
  <c r="AS80" i="5"/>
  <c r="AT79" i="5"/>
  <c r="AS79" i="5"/>
  <c r="AT78" i="5"/>
  <c r="AS78" i="5"/>
  <c r="AT77" i="5"/>
  <c r="AS77" i="5"/>
  <c r="AT76" i="5"/>
  <c r="AS76" i="5"/>
  <c r="AT75" i="5"/>
  <c r="AS75" i="5"/>
  <c r="AT74" i="5"/>
  <c r="AS74" i="5"/>
  <c r="AT73" i="5"/>
  <c r="AS73" i="5"/>
  <c r="AT72" i="5"/>
  <c r="AS72" i="5"/>
  <c r="AT71" i="5"/>
  <c r="AS71" i="5"/>
  <c r="AT70" i="5"/>
  <c r="AS70" i="5"/>
  <c r="AT69" i="5"/>
  <c r="AS69" i="5"/>
  <c r="AT68" i="5"/>
  <c r="AS68" i="5"/>
  <c r="AT67" i="5"/>
  <c r="AS67" i="5"/>
  <c r="AT66" i="5"/>
  <c r="AS66" i="5"/>
  <c r="AT65" i="5"/>
  <c r="AS65" i="5"/>
  <c r="AT64" i="5"/>
  <c r="AS64" i="5"/>
  <c r="AT63" i="5"/>
  <c r="AS63" i="5"/>
  <c r="AT62" i="5"/>
  <c r="AS62" i="5"/>
  <c r="AT61" i="5"/>
  <c r="AS61" i="5"/>
  <c r="AT60" i="5"/>
  <c r="AS60" i="5"/>
  <c r="AT59" i="5"/>
  <c r="AS59" i="5"/>
  <c r="AT58" i="5"/>
  <c r="AS58" i="5"/>
  <c r="AT57" i="5"/>
  <c r="AS57" i="5"/>
  <c r="AT56" i="5"/>
  <c r="AS56" i="5"/>
  <c r="AT55" i="5"/>
  <c r="AS55" i="5"/>
  <c r="AT54" i="5"/>
  <c r="AS54" i="5"/>
  <c r="AT53" i="5"/>
  <c r="AS53" i="5"/>
  <c r="AT52" i="5"/>
  <c r="AS52" i="5"/>
  <c r="AT51" i="5"/>
  <c r="AS51" i="5"/>
  <c r="AT50" i="5"/>
  <c r="AS50" i="5"/>
  <c r="AT49" i="5"/>
  <c r="AS49" i="5"/>
  <c r="AT48" i="5"/>
  <c r="AS48" i="5"/>
  <c r="AT47" i="5"/>
  <c r="AS47" i="5"/>
  <c r="AT46" i="5"/>
  <c r="AS46" i="5"/>
  <c r="AT45" i="5"/>
  <c r="AS45" i="5"/>
  <c r="AT44" i="5"/>
  <c r="AS44" i="5"/>
  <c r="AT43" i="5"/>
  <c r="AS43" i="5"/>
  <c r="AT42" i="5"/>
  <c r="AS42" i="5"/>
  <c r="AT41" i="5"/>
  <c r="AS41" i="5"/>
  <c r="AT40" i="5"/>
  <c r="AS40" i="5"/>
  <c r="AT39" i="5"/>
  <c r="AS39" i="5"/>
  <c r="AT38" i="5"/>
  <c r="AS38" i="5"/>
  <c r="AT37" i="5"/>
  <c r="AS37" i="5"/>
  <c r="AT36" i="5"/>
  <c r="AS36" i="5"/>
  <c r="AT35" i="5"/>
  <c r="AS35" i="5"/>
  <c r="AT34" i="5"/>
  <c r="AS34" i="5"/>
  <c r="AT33" i="5"/>
  <c r="AS33" i="5"/>
  <c r="AT32" i="5"/>
  <c r="AS32" i="5"/>
  <c r="AT31" i="5"/>
  <c r="AS31" i="5"/>
  <c r="AT30" i="5"/>
  <c r="AS30" i="5"/>
  <c r="AT29" i="5"/>
  <c r="AS29" i="5"/>
  <c r="AT28" i="5"/>
  <c r="AS28" i="5"/>
  <c r="AT27" i="5"/>
  <c r="AS27" i="5"/>
  <c r="AT26" i="5"/>
  <c r="AS26" i="5"/>
  <c r="AT25" i="5"/>
  <c r="AS25" i="5"/>
  <c r="AT24" i="5"/>
  <c r="AS24" i="5"/>
  <c r="AT23" i="5"/>
  <c r="AS23" i="5"/>
  <c r="AT22" i="5"/>
  <c r="AS22" i="5"/>
  <c r="AT21" i="5"/>
  <c r="AS21" i="5"/>
  <c r="AT20" i="5"/>
  <c r="AS20" i="5"/>
  <c r="AT19" i="5"/>
  <c r="AS19" i="5"/>
  <c r="AT18" i="5"/>
  <c r="AS18" i="5"/>
  <c r="AT17" i="5"/>
  <c r="AS17" i="5"/>
  <c r="AT16" i="5"/>
  <c r="AS16" i="5"/>
  <c r="AT15" i="5"/>
  <c r="AS15" i="5"/>
  <c r="AT14" i="5"/>
  <c r="AS14" i="5"/>
  <c r="AT13" i="5"/>
  <c r="AS13" i="5"/>
  <c r="AT12" i="5"/>
  <c r="AS12" i="5"/>
  <c r="AT11" i="5"/>
  <c r="AS11" i="5"/>
  <c r="AT10" i="5"/>
  <c r="AS10" i="5"/>
  <c r="AT9" i="5"/>
  <c r="AS9" i="5"/>
  <c r="AT8" i="5"/>
  <c r="AS8" i="5"/>
  <c r="AT7" i="5"/>
  <c r="AS7" i="5"/>
  <c r="AT6" i="5"/>
  <c r="AS6" i="5"/>
  <c r="AT5" i="5"/>
  <c r="AS5" i="5"/>
  <c r="AT4" i="5"/>
  <c r="AS4" i="5"/>
  <c r="AT3" i="5"/>
  <c r="AS3" i="5"/>
  <c r="AT2" i="5"/>
  <c r="AS2" i="5"/>
  <c r="I209" i="4"/>
  <c r="H209" i="4"/>
  <c r="G209" i="4"/>
  <c r="F209" i="4"/>
  <c r="I208" i="4"/>
  <c r="H208" i="4"/>
  <c r="G208" i="4"/>
  <c r="F208" i="4"/>
  <c r="I207" i="4"/>
  <c r="H207" i="4"/>
  <c r="G207" i="4"/>
  <c r="BO1272" i="2" s="1"/>
  <c r="F207" i="4"/>
  <c r="I206" i="4"/>
  <c r="H206" i="4"/>
  <c r="G206" i="4"/>
  <c r="BJ1271" i="2" s="1"/>
  <c r="F206" i="4"/>
  <c r="I205" i="4"/>
  <c r="H205" i="4"/>
  <c r="G205" i="4"/>
  <c r="BN1271" i="2" s="1"/>
  <c r="F205" i="4"/>
  <c r="I204" i="4"/>
  <c r="H204" i="4"/>
  <c r="G204" i="4"/>
  <c r="F204" i="4"/>
  <c r="I203" i="4"/>
  <c r="H203" i="4"/>
  <c r="G203" i="4"/>
  <c r="BK1272" i="2" s="1"/>
  <c r="F203" i="4"/>
  <c r="I202" i="4"/>
  <c r="H202" i="4"/>
  <c r="G202" i="4"/>
  <c r="BL1273" i="2" s="1"/>
  <c r="F202" i="4"/>
  <c r="I201" i="4"/>
  <c r="H201" i="4"/>
  <c r="G201" i="4"/>
  <c r="F201" i="4" a="1"/>
  <c r="F201" i="4"/>
  <c r="BI1270" i="2" s="1"/>
  <c r="I200" i="4"/>
  <c r="H200" i="4"/>
  <c r="G200" i="4"/>
  <c r="F200" i="4"/>
  <c r="BH1269" i="2" s="1"/>
  <c r="AX1269" i="2" s="1"/>
  <c r="H183" i="4"/>
  <c r="G181" i="4"/>
  <c r="H179" i="4"/>
  <c r="P126" i="4" a="1"/>
  <c r="P126" i="4" s="1"/>
  <c r="O126" i="4" a="1"/>
  <c r="O126" i="4"/>
  <c r="N126" i="4" a="1"/>
  <c r="N126" i="4" s="1"/>
  <c r="M126" i="4" a="1"/>
  <c r="M126" i="4" s="1"/>
  <c r="L126" i="4" a="1"/>
  <c r="L126" i="4" s="1"/>
  <c r="J126" i="4" a="1"/>
  <c r="J126" i="4" s="1"/>
  <c r="I126" i="4" a="1"/>
  <c r="I126" i="4" s="1"/>
  <c r="H126" i="4" a="1"/>
  <c r="H126" i="4" s="1"/>
  <c r="G126" i="4" a="1"/>
  <c r="G126" i="4" s="1"/>
  <c r="F126" i="4" a="1"/>
  <c r="F126" i="4" s="1"/>
  <c r="P125" i="4" a="1"/>
  <c r="P125" i="4" s="1"/>
  <c r="O125" i="4" a="1"/>
  <c r="O125" i="4" s="1"/>
  <c r="N125" i="4" a="1"/>
  <c r="N125" i="4" s="1"/>
  <c r="M125" i="4" a="1"/>
  <c r="M125" i="4" s="1"/>
  <c r="L125" i="4" a="1"/>
  <c r="L125" i="4" s="1"/>
  <c r="J125" i="4" a="1"/>
  <c r="J125" i="4" s="1"/>
  <c r="I125" i="4" a="1"/>
  <c r="I125" i="4" s="1"/>
  <c r="H125" i="4" a="1"/>
  <c r="H125" i="4" s="1"/>
  <c r="G125" i="4" a="1"/>
  <c r="G125" i="4" s="1"/>
  <c r="F125" i="4" a="1"/>
  <c r="F125" i="4" s="1"/>
  <c r="P124" i="4" a="1"/>
  <c r="P124" i="4" s="1"/>
  <c r="O124" i="4" a="1"/>
  <c r="O124" i="4" s="1"/>
  <c r="N124" i="4" a="1"/>
  <c r="N124" i="4" s="1"/>
  <c r="M124" i="4" a="1"/>
  <c r="M124" i="4" s="1"/>
  <c r="L124" i="4" a="1"/>
  <c r="L124" i="4" s="1"/>
  <c r="J124" i="4" a="1"/>
  <c r="J124" i="4" s="1"/>
  <c r="I124" i="4" a="1"/>
  <c r="I124" i="4"/>
  <c r="H124" i="4" a="1"/>
  <c r="H124" i="4" s="1"/>
  <c r="G124" i="4" a="1"/>
  <c r="G124" i="4" s="1"/>
  <c r="F124" i="4" a="1"/>
  <c r="F124" i="4" s="1"/>
  <c r="P123" i="4" a="1"/>
  <c r="P123" i="4" s="1"/>
  <c r="O123" i="4" a="1"/>
  <c r="O123" i="4" s="1"/>
  <c r="N123" i="4" a="1"/>
  <c r="N123" i="4" s="1"/>
  <c r="M123" i="4" a="1"/>
  <c r="M123" i="4" s="1"/>
  <c r="L123" i="4" a="1"/>
  <c r="L123" i="4"/>
  <c r="J123" i="4" a="1"/>
  <c r="J123" i="4" s="1"/>
  <c r="I123" i="4" a="1"/>
  <c r="I123" i="4" s="1"/>
  <c r="H123" i="4" a="1"/>
  <c r="H123" i="4" s="1"/>
  <c r="G123" i="4" a="1"/>
  <c r="G123" i="4" s="1"/>
  <c r="F123" i="4" a="1"/>
  <c r="F123" i="4" s="1"/>
  <c r="P122" i="4" a="1"/>
  <c r="P122" i="4" s="1"/>
  <c r="O122" i="4" a="1"/>
  <c r="O122" i="4" s="1"/>
  <c r="N122" i="4" a="1"/>
  <c r="N122" i="4"/>
  <c r="M122" i="4" a="1"/>
  <c r="M122" i="4" s="1"/>
  <c r="L122" i="4" a="1"/>
  <c r="L122" i="4"/>
  <c r="J122" i="4" a="1"/>
  <c r="J122" i="4" s="1"/>
  <c r="I122" i="4" a="1"/>
  <c r="I122" i="4" s="1"/>
  <c r="H122" i="4" a="1"/>
  <c r="H122" i="4" s="1"/>
  <c r="G122" i="4" a="1"/>
  <c r="G122" i="4" s="1"/>
  <c r="F122" i="4" a="1"/>
  <c r="F122" i="4"/>
  <c r="P121" i="4" a="1"/>
  <c r="P121" i="4"/>
  <c r="O121" i="4" a="1"/>
  <c r="O121" i="4" s="1"/>
  <c r="N121" i="4" a="1"/>
  <c r="N121" i="4"/>
  <c r="M121" i="4" a="1"/>
  <c r="M121" i="4" s="1"/>
  <c r="L121" i="4" a="1"/>
  <c r="L121" i="4"/>
  <c r="J121" i="4" a="1"/>
  <c r="J121" i="4" s="1"/>
  <c r="I121" i="4" a="1"/>
  <c r="I121" i="4" s="1"/>
  <c r="H121" i="4" a="1"/>
  <c r="H121" i="4" s="1"/>
  <c r="G121" i="4" a="1"/>
  <c r="G121" i="4"/>
  <c r="F121" i="4" a="1"/>
  <c r="F121" i="4" s="1"/>
  <c r="P120" i="4" a="1"/>
  <c r="P120" i="4"/>
  <c r="O120" i="4" a="1"/>
  <c r="O120" i="4" s="1"/>
  <c r="N120" i="4" a="1"/>
  <c r="N120" i="4"/>
  <c r="M120" i="4" a="1"/>
  <c r="M120" i="4" s="1"/>
  <c r="L120" i="4" a="1"/>
  <c r="L120" i="4"/>
  <c r="J120" i="4" a="1"/>
  <c r="J120" i="4"/>
  <c r="I120" i="4" a="1"/>
  <c r="I120" i="4"/>
  <c r="H120" i="4" a="1"/>
  <c r="H120" i="4" s="1"/>
  <c r="G120" i="4" a="1"/>
  <c r="G120" i="4" s="1"/>
  <c r="F120" i="4" a="1"/>
  <c r="F120" i="4" s="1"/>
  <c r="P119" i="4" a="1"/>
  <c r="P119" i="4"/>
  <c r="O119" i="4" a="1"/>
  <c r="O119" i="4" s="1"/>
  <c r="N119" i="4" a="1"/>
  <c r="N119" i="4"/>
  <c r="M119" i="4" a="1"/>
  <c r="M119" i="4"/>
  <c r="L119" i="4" a="1"/>
  <c r="L119" i="4" s="1"/>
  <c r="J119" i="4" a="1"/>
  <c r="J119" i="4" s="1"/>
  <c r="I119" i="4" a="1"/>
  <c r="I119" i="4"/>
  <c r="H119" i="4" a="1"/>
  <c r="H119" i="4" s="1"/>
  <c r="G119" i="4" a="1"/>
  <c r="G119" i="4" s="1"/>
  <c r="F119" i="4" a="1"/>
  <c r="F119" i="4" s="1"/>
  <c r="I73" i="4"/>
  <c r="H73" i="4"/>
  <c r="L72" i="4"/>
  <c r="K72" i="4"/>
  <c r="J72" i="4"/>
  <c r="I72" i="4"/>
  <c r="M72" i="4" s="1"/>
  <c r="H72" i="4"/>
  <c r="L71" i="4"/>
  <c r="J71" i="4"/>
  <c r="I71" i="4"/>
  <c r="K71" i="4" s="1"/>
  <c r="H71" i="4"/>
  <c r="K70" i="4"/>
  <c r="I70" i="4"/>
  <c r="M70" i="4" s="1"/>
  <c r="H70" i="4"/>
  <c r="M69" i="4"/>
  <c r="L69" i="4"/>
  <c r="K69" i="4"/>
  <c r="J69" i="4"/>
  <c r="I69" i="4"/>
  <c r="H69" i="4"/>
  <c r="M68" i="4"/>
  <c r="K68" i="4"/>
  <c r="I68" i="4"/>
  <c r="H68" i="4"/>
  <c r="L68" i="4" s="1"/>
  <c r="M67" i="4"/>
  <c r="I67" i="4"/>
  <c r="K67" i="4" s="1"/>
  <c r="H67" i="4"/>
  <c r="M66" i="4"/>
  <c r="L66" i="4"/>
  <c r="K66" i="4"/>
  <c r="J66" i="4"/>
  <c r="I66" i="4"/>
  <c r="H66" i="4"/>
  <c r="M65" i="4"/>
  <c r="L65" i="4"/>
  <c r="J65" i="4"/>
  <c r="I65" i="4"/>
  <c r="K65" i="4" s="1"/>
  <c r="H65" i="4"/>
  <c r="L64" i="4"/>
  <c r="K64" i="4"/>
  <c r="I64" i="4"/>
  <c r="M64" i="4" s="1"/>
  <c r="H64" i="4"/>
  <c r="J64" i="4" s="1"/>
  <c r="L63" i="4"/>
  <c r="J63" i="4"/>
  <c r="I63" i="4"/>
  <c r="K63" i="4" s="1"/>
  <c r="H63" i="4"/>
  <c r="L62" i="4"/>
  <c r="K62" i="4"/>
  <c r="J62" i="4"/>
  <c r="I62" i="4"/>
  <c r="M62" i="4" s="1"/>
  <c r="H62" i="4"/>
  <c r="M61" i="4"/>
  <c r="K61" i="4"/>
  <c r="I61" i="4"/>
  <c r="H61" i="4"/>
  <c r="L61" i="4" s="1"/>
  <c r="G43" i="4"/>
  <c r="F56" i="4" s="1"/>
  <c r="F43" i="4"/>
  <c r="K40" i="4"/>
  <c r="I40" i="4"/>
  <c r="G183" i="4" s="1"/>
  <c r="I39" i="4"/>
  <c r="G179" i="4" s="1"/>
  <c r="F39" i="4"/>
  <c r="F40" i="4" s="1"/>
  <c r="J38" i="4"/>
  <c r="H38" i="4"/>
  <c r="G38" i="4"/>
  <c r="F31" i="4" a="1"/>
  <c r="F22" i="4" a="1"/>
  <c r="J19" i="4"/>
  <c r="H181" i="4" s="1"/>
  <c r="F19" i="4"/>
  <c r="K19" i="4" s="1"/>
  <c r="F15" i="4"/>
  <c r="F16" i="4" s="1"/>
  <c r="F13" i="4"/>
  <c r="F14" i="4" s="1"/>
  <c r="DN1273" i="2"/>
  <c r="DM1273" i="2"/>
  <c r="DI1273" i="2"/>
  <c r="DL1273" i="2" s="1"/>
  <c r="DG1273" i="2"/>
  <c r="DF1273" i="2"/>
  <c r="DE1273" i="2"/>
  <c r="DK1273" i="2" s="1"/>
  <c r="DC1273" i="2"/>
  <c r="BQ1273" i="2"/>
  <c r="BG1273" i="2" s="1"/>
  <c r="BO1273" i="2"/>
  <c r="BN1273" i="2"/>
  <c r="BM1273" i="2"/>
  <c r="BK1273" i="2"/>
  <c r="BJ1273" i="2"/>
  <c r="BI1273" i="2"/>
  <c r="AZ1273" i="2" s="1"/>
  <c r="BH1273" i="2"/>
  <c r="BC1273" i="2"/>
  <c r="AV1273" i="2"/>
  <c r="F1273" i="2"/>
  <c r="D1273" i="2"/>
  <c r="C1273" i="2"/>
  <c r="DN1272" i="2"/>
  <c r="DI1272" i="2" s="1"/>
  <c r="DL1272" i="2" s="1"/>
  <c r="DM1272" i="2"/>
  <c r="CX1272" i="2"/>
  <c r="BQ1272" i="2"/>
  <c r="BP1272" i="2"/>
  <c r="BN1272" i="2"/>
  <c r="BM1272" i="2"/>
  <c r="BL1272" i="2"/>
  <c r="BJ1272" i="2"/>
  <c r="BF1272" i="2" s="1"/>
  <c r="BI1272" i="2"/>
  <c r="BE1272" i="2" s="1"/>
  <c r="BH1272" i="2"/>
  <c r="AX1272" i="2" s="1"/>
  <c r="F1272" i="2"/>
  <c r="D1272" i="2"/>
  <c r="C1272" i="2"/>
  <c r="DM1271" i="2"/>
  <c r="DN1271" i="2" s="1"/>
  <c r="DL1271" i="2"/>
  <c r="DI1271" i="2"/>
  <c r="BQ1271" i="2"/>
  <c r="BP1271" i="2"/>
  <c r="BO1271" i="2"/>
  <c r="BM1271" i="2"/>
  <c r="AV1271" i="2" s="1"/>
  <c r="BL1271" i="2"/>
  <c r="BK1271" i="2"/>
  <c r="BF1271" i="2" s="1"/>
  <c r="BI1271" i="2"/>
  <c r="BH1271" i="2"/>
  <c r="AX1271" i="2" s="1"/>
  <c r="BG1271" i="2"/>
  <c r="F1271" i="2"/>
  <c r="D1271" i="2"/>
  <c r="C1271" i="2"/>
  <c r="DN1270" i="2"/>
  <c r="DM1270" i="2"/>
  <c r="DL1270" i="2"/>
  <c r="DI1270" i="2"/>
  <c r="DH1270" i="2"/>
  <c r="BQ1270" i="2"/>
  <c r="BP1270" i="2"/>
  <c r="BO1270" i="2"/>
  <c r="BN1270" i="2"/>
  <c r="BM1270" i="2"/>
  <c r="BL1270" i="2"/>
  <c r="BK1270" i="2"/>
  <c r="BJ1270" i="2"/>
  <c r="BH1270" i="2"/>
  <c r="AX1270" i="2"/>
  <c r="D1270" i="2"/>
  <c r="C1270" i="2"/>
  <c r="DM1269" i="2"/>
  <c r="DN1269" i="2" s="1"/>
  <c r="DH1269" i="2"/>
  <c r="DE1269" i="2"/>
  <c r="DK1269" i="2" s="1"/>
  <c r="DB1269" i="2"/>
  <c r="DA1269" i="2"/>
  <c r="DJ1269" i="2" s="1"/>
  <c r="BQ1269" i="2"/>
  <c r="BG1269" i="2" s="1"/>
  <c r="BO1269" i="2"/>
  <c r="BN1269" i="2"/>
  <c r="BM1269" i="2"/>
  <c r="BL1269" i="2"/>
  <c r="BD1269" i="2" s="1"/>
  <c r="BK1269" i="2"/>
  <c r="BJ1269" i="2"/>
  <c r="BI1269" i="2"/>
  <c r="BC1269" i="2"/>
  <c r="AZ1269" i="2"/>
  <c r="AY1269" i="2"/>
  <c r="AV1269" i="2"/>
  <c r="D1269" i="2"/>
  <c r="C1269" i="2"/>
  <c r="DM1268" i="2"/>
  <c r="DN1268" i="2" s="1"/>
  <c r="DH1268" i="2" s="1"/>
  <c r="DB1268" i="2"/>
  <c r="BQ1268" i="2"/>
  <c r="BP1268" i="2"/>
  <c r="BN1268" i="2"/>
  <c r="BM1268" i="2"/>
  <c r="BL1268" i="2"/>
  <c r="BD1268" i="2" s="1"/>
  <c r="BK1268" i="2"/>
  <c r="BJ1268" i="2"/>
  <c r="AV1268" i="2" s="1"/>
  <c r="BI1268" i="2"/>
  <c r="BH1268" i="2"/>
  <c r="BC1268" i="2"/>
  <c r="AZ1268" i="2"/>
  <c r="AX1268" i="2"/>
  <c r="F1268" i="2"/>
  <c r="D1268" i="2"/>
  <c r="C1268" i="2"/>
  <c r="DM1267" i="2"/>
  <c r="DN1267" i="2" s="1"/>
  <c r="DK1267" i="2"/>
  <c r="DI1267" i="2"/>
  <c r="DL1267" i="2" s="1"/>
  <c r="DH1267" i="2"/>
  <c r="DG1267" i="2"/>
  <c r="DE1267" i="2"/>
  <c r="DC1267" i="2"/>
  <c r="CX1267" i="2"/>
  <c r="BQ1267" i="2"/>
  <c r="BP1267" i="2"/>
  <c r="BO1267" i="2"/>
  <c r="BN1267" i="2"/>
  <c r="BM1267" i="2"/>
  <c r="BL1267" i="2"/>
  <c r="BK1267" i="2"/>
  <c r="BJ1267" i="2"/>
  <c r="BF1267" i="2" s="1"/>
  <c r="BI1267" i="2"/>
  <c r="BH1267" i="2"/>
  <c r="AZ1267" i="2"/>
  <c r="F1267" i="2"/>
  <c r="D1267" i="2"/>
  <c r="C1267" i="2"/>
  <c r="DM1266" i="2"/>
  <c r="DN1266" i="2" s="1"/>
  <c r="DH1266" i="2"/>
  <c r="DE1266" i="2"/>
  <c r="DK1266" i="2" s="1"/>
  <c r="BQ1266" i="2"/>
  <c r="BP1266" i="2"/>
  <c r="BO1266" i="2"/>
  <c r="BN1266" i="2"/>
  <c r="BM1266" i="2"/>
  <c r="AV1266" i="2" s="1"/>
  <c r="BL1266" i="2"/>
  <c r="BK1266" i="2"/>
  <c r="BJ1266" i="2"/>
  <c r="BI1266" i="2"/>
  <c r="BH1266" i="2"/>
  <c r="D1266" i="2"/>
  <c r="C1266" i="2"/>
  <c r="DM1265" i="2"/>
  <c r="DN1265" i="2" s="1"/>
  <c r="DF1265" i="2"/>
  <c r="DE1265" i="2"/>
  <c r="DK1265" i="2" s="1"/>
  <c r="BQ1265" i="2"/>
  <c r="BP1265" i="2"/>
  <c r="BO1265" i="2"/>
  <c r="BN1265" i="2"/>
  <c r="BM1265" i="2"/>
  <c r="AV1265" i="2" s="1"/>
  <c r="BL1265" i="2"/>
  <c r="BK1265" i="2"/>
  <c r="BJ1265" i="2"/>
  <c r="BI1265" i="2"/>
  <c r="BH1265" i="2"/>
  <c r="BG1265" i="2" s="1"/>
  <c r="BE1265" i="2"/>
  <c r="BC1265" i="2"/>
  <c r="AZ1265" i="2"/>
  <c r="F1265" i="2"/>
  <c r="D1265" i="2"/>
  <c r="C1265" i="2"/>
  <c r="DN1264" i="2"/>
  <c r="DA1264" i="2" s="1"/>
  <c r="DJ1264" i="2" s="1"/>
  <c r="DM1264" i="2"/>
  <c r="BQ1264" i="2"/>
  <c r="BP1264" i="2"/>
  <c r="BO1264" i="2"/>
  <c r="BN1264" i="2"/>
  <c r="AZ1264" i="2" s="1"/>
  <c r="BM1264" i="2"/>
  <c r="BL1264" i="2"/>
  <c r="BK1264" i="2"/>
  <c r="BJ1264" i="2"/>
  <c r="BI1264" i="2"/>
  <c r="BH1264" i="2"/>
  <c r="BF1264" i="2"/>
  <c r="AX1264" i="2"/>
  <c r="AV1264" i="2"/>
  <c r="F1264" i="2"/>
  <c r="D1264" i="2"/>
  <c r="C1264" i="2"/>
  <c r="DM1263" i="2"/>
  <c r="DN1263" i="2" s="1"/>
  <c r="DK1263" i="2"/>
  <c r="DI1263" i="2"/>
  <c r="DL1263" i="2" s="1"/>
  <c r="DH1263" i="2"/>
  <c r="DF1263" i="2"/>
  <c r="DE1263" i="2"/>
  <c r="DD1263" i="2"/>
  <c r="DC1263" i="2"/>
  <c r="DA1263" i="2"/>
  <c r="DJ1263" i="2" s="1"/>
  <c r="CZ1263" i="2"/>
  <c r="CY1263" i="2"/>
  <c r="BQ1263" i="2"/>
  <c r="BP1263" i="2"/>
  <c r="BO1263" i="2"/>
  <c r="BN1263" i="2"/>
  <c r="BM1263" i="2"/>
  <c r="BL1263" i="2"/>
  <c r="BK1263" i="2"/>
  <c r="BJ1263" i="2"/>
  <c r="BI1263" i="2"/>
  <c r="BH1263" i="2"/>
  <c r="BD1263" i="2" s="1"/>
  <c r="BF1263" i="2"/>
  <c r="BC1263" i="2"/>
  <c r="AX1263" i="2"/>
  <c r="F1263" i="2"/>
  <c r="D1263" i="2"/>
  <c r="C1263" i="2"/>
  <c r="DN1262" i="2"/>
  <c r="DM1262" i="2"/>
  <c r="CX1262" i="2"/>
  <c r="BQ1262" i="2"/>
  <c r="BP1262" i="2"/>
  <c r="BO1262" i="2"/>
  <c r="BN1262" i="2"/>
  <c r="BM1262" i="2"/>
  <c r="BL1262" i="2"/>
  <c r="BK1262" i="2"/>
  <c r="BJ1262" i="2"/>
  <c r="BI1262" i="2"/>
  <c r="BH1262" i="2"/>
  <c r="BG1262" i="2" s="1"/>
  <c r="BC1262" i="2"/>
  <c r="AV1262" i="2"/>
  <c r="F1262" i="2"/>
  <c r="D1262" i="2"/>
  <c r="C1262" i="2"/>
  <c r="DM1261" i="2"/>
  <c r="DN1261" i="2" s="1"/>
  <c r="DI1261" i="2"/>
  <c r="DL1261" i="2" s="1"/>
  <c r="DH1261" i="2"/>
  <c r="DG1261" i="2"/>
  <c r="CZ1261" i="2"/>
  <c r="CY1261" i="2"/>
  <c r="BQ1261" i="2"/>
  <c r="BO1261" i="2"/>
  <c r="BN1261" i="2"/>
  <c r="BM1261" i="2"/>
  <c r="AV1261" i="2" s="1"/>
  <c r="BL1261" i="2"/>
  <c r="BK1261" i="2"/>
  <c r="BJ1261" i="2"/>
  <c r="BI1261" i="2"/>
  <c r="BH1261" i="2"/>
  <c r="BG1261" i="2"/>
  <c r="F1261" i="2"/>
  <c r="D1261" i="2"/>
  <c r="C1261" i="2"/>
  <c r="DN1260" i="2"/>
  <c r="DG1260" i="2" s="1"/>
  <c r="DM1260" i="2"/>
  <c r="DL1260" i="2"/>
  <c r="DI1260" i="2"/>
  <c r="DH1260" i="2"/>
  <c r="DF1260" i="2"/>
  <c r="DD1260" i="2"/>
  <c r="DC1260" i="2"/>
  <c r="DB1260" i="2"/>
  <c r="DA1260" i="2"/>
  <c r="DJ1260" i="2" s="1"/>
  <c r="CZ1260" i="2"/>
  <c r="CY1260" i="2"/>
  <c r="CX1260" i="2"/>
  <c r="BQ1260" i="2"/>
  <c r="BP1260" i="2"/>
  <c r="BO1260" i="2"/>
  <c r="BN1260" i="2"/>
  <c r="AZ1260" i="2" s="1"/>
  <c r="BM1260" i="2"/>
  <c r="BL1260" i="2"/>
  <c r="BK1260" i="2"/>
  <c r="BJ1260" i="2"/>
  <c r="BI1260" i="2"/>
  <c r="BH1260" i="2"/>
  <c r="BF1260" i="2"/>
  <c r="BE1260" i="2"/>
  <c r="BC1260" i="2"/>
  <c r="F1260" i="2"/>
  <c r="D1260" i="2"/>
  <c r="C1260" i="2"/>
  <c r="DM1259" i="2"/>
  <c r="DN1259" i="2" s="1"/>
  <c r="DG1259" i="2" s="1"/>
  <c r="DD1259" i="2"/>
  <c r="DC1259" i="2"/>
  <c r="DA1259" i="2"/>
  <c r="DJ1259" i="2" s="1"/>
  <c r="CZ1259" i="2"/>
  <c r="BQ1259" i="2"/>
  <c r="BP1259" i="2"/>
  <c r="BO1259" i="2"/>
  <c r="BN1259" i="2"/>
  <c r="BM1259" i="2"/>
  <c r="AV1259" i="2" s="1"/>
  <c r="BL1259" i="2"/>
  <c r="BK1259" i="2"/>
  <c r="BF1259" i="2" s="1"/>
  <c r="BJ1259" i="2"/>
  <c r="BI1259" i="2"/>
  <c r="BH1259" i="2"/>
  <c r="AX1259" i="2" s="1"/>
  <c r="BE1259" i="2"/>
  <c r="BD1259" i="2"/>
  <c r="AY1259" i="2"/>
  <c r="F1259" i="2"/>
  <c r="D1259" i="2"/>
  <c r="C1259" i="2"/>
  <c r="DM1258" i="2"/>
  <c r="DN1258" i="2" s="1"/>
  <c r="DL1258" i="2"/>
  <c r="DI1258" i="2"/>
  <c r="DD1258" i="2"/>
  <c r="DB1258" i="2"/>
  <c r="CZ1258" i="2"/>
  <c r="BQ1258" i="2"/>
  <c r="BP1258" i="2"/>
  <c r="BO1258" i="2"/>
  <c r="BN1258" i="2"/>
  <c r="BM1258" i="2"/>
  <c r="BL1258" i="2"/>
  <c r="BK1258" i="2"/>
  <c r="BJ1258" i="2"/>
  <c r="BF1258" i="2" s="1"/>
  <c r="BI1258" i="2"/>
  <c r="BH1258" i="2"/>
  <c r="AZ1258" i="2"/>
  <c r="D1258" i="2"/>
  <c r="C1258" i="2"/>
  <c r="DM1257" i="2"/>
  <c r="DN1257" i="2" s="1"/>
  <c r="DI1257" i="2" s="1"/>
  <c r="DL1257" i="2" s="1"/>
  <c r="DE1257" i="2"/>
  <c r="DK1257" i="2" s="1"/>
  <c r="CZ1257" i="2"/>
  <c r="CX1257" i="2"/>
  <c r="BQ1257" i="2"/>
  <c r="BG1257" i="2" s="1"/>
  <c r="BP1257" i="2"/>
  <c r="BO1257" i="2"/>
  <c r="BN1257" i="2"/>
  <c r="AZ1257" i="2" s="1"/>
  <c r="BM1257" i="2"/>
  <c r="BL1257" i="2"/>
  <c r="BK1257" i="2"/>
  <c r="BJ1257" i="2"/>
  <c r="AV1257" i="2" s="1"/>
  <c r="BI1257" i="2"/>
  <c r="BH1257" i="2"/>
  <c r="BF1257" i="2"/>
  <c r="BE1257" i="2"/>
  <c r="BD1257" i="2"/>
  <c r="BC1257" i="2"/>
  <c r="AY1257" i="2"/>
  <c r="AX1257" i="2"/>
  <c r="F1257" i="2"/>
  <c r="D1257" i="2"/>
  <c r="C1257" i="2"/>
  <c r="DM1256" i="2"/>
  <c r="DN1256" i="2" s="1"/>
  <c r="DF1256" i="2" s="1"/>
  <c r="DI1256" i="2"/>
  <c r="DL1256" i="2" s="1"/>
  <c r="DH1256" i="2"/>
  <c r="DE1256" i="2"/>
  <c r="DK1256" i="2" s="1"/>
  <c r="DD1256" i="2"/>
  <c r="DA1256" i="2"/>
  <c r="DJ1256" i="2" s="1"/>
  <c r="CX1256" i="2"/>
  <c r="BQ1256" i="2"/>
  <c r="BP1256" i="2"/>
  <c r="BO1256" i="2"/>
  <c r="BN1256" i="2"/>
  <c r="BM1256" i="2"/>
  <c r="BG1256" i="2" s="1"/>
  <c r="BL1256" i="2"/>
  <c r="BK1256" i="2"/>
  <c r="BJ1256" i="2"/>
  <c r="BI1256" i="2"/>
  <c r="BH1256" i="2"/>
  <c r="AZ1256" i="2"/>
  <c r="AX1256" i="2"/>
  <c r="AV1256" i="2"/>
  <c r="F1256" i="2"/>
  <c r="D1256" i="2"/>
  <c r="C1256" i="2"/>
  <c r="DM1255" i="2"/>
  <c r="DN1255" i="2" s="1"/>
  <c r="DH1255" i="2" s="1"/>
  <c r="DI1255" i="2"/>
  <c r="DL1255" i="2" s="1"/>
  <c r="DE1255" i="2"/>
  <c r="DK1255" i="2" s="1"/>
  <c r="CY1255" i="2"/>
  <c r="BQ1255" i="2"/>
  <c r="BP1255" i="2"/>
  <c r="BO1255" i="2"/>
  <c r="BN1255" i="2"/>
  <c r="BM1255" i="2"/>
  <c r="BL1255" i="2"/>
  <c r="BK1255" i="2"/>
  <c r="BJ1255" i="2"/>
  <c r="BF1255" i="2" s="1"/>
  <c r="BI1255" i="2"/>
  <c r="BH1255" i="2"/>
  <c r="BG1255" i="2"/>
  <c r="BC1255" i="2"/>
  <c r="AZ1255" i="2"/>
  <c r="AY1255" i="2"/>
  <c r="AX1255" i="2"/>
  <c r="AV1255" i="2"/>
  <c r="F1255" i="2"/>
  <c r="D1255" i="2"/>
  <c r="C1255" i="2"/>
  <c r="DN1254" i="2"/>
  <c r="DM1254" i="2"/>
  <c r="DL1254" i="2"/>
  <c r="DI1254" i="2"/>
  <c r="DH1254" i="2"/>
  <c r="DG1254" i="2"/>
  <c r="DF1254" i="2"/>
  <c r="DE1254" i="2"/>
  <c r="DK1254" i="2" s="1"/>
  <c r="DD1254" i="2"/>
  <c r="DC1254" i="2"/>
  <c r="DB1254" i="2"/>
  <c r="CY1254" i="2"/>
  <c r="CX1254" i="2"/>
  <c r="BQ1254" i="2"/>
  <c r="BP1254" i="2"/>
  <c r="BO1254" i="2"/>
  <c r="BN1254" i="2"/>
  <c r="BM1254" i="2"/>
  <c r="BL1254" i="2"/>
  <c r="BK1254" i="2"/>
  <c r="BJ1254" i="2"/>
  <c r="BF1254" i="2" s="1"/>
  <c r="BI1254" i="2"/>
  <c r="BH1254" i="2"/>
  <c r="AX1254" i="2"/>
  <c r="F1254" i="2"/>
  <c r="D1254" i="2"/>
  <c r="C1254" i="2"/>
  <c r="DN1253" i="2"/>
  <c r="DM1253" i="2"/>
  <c r="DI1253" i="2"/>
  <c r="DL1253" i="2" s="1"/>
  <c r="DB1253" i="2"/>
  <c r="DA1253" i="2"/>
  <c r="DJ1253" i="2" s="1"/>
  <c r="CZ1253" i="2"/>
  <c r="CX1253" i="2"/>
  <c r="BQ1253" i="2"/>
  <c r="BP1253" i="2"/>
  <c r="BO1253" i="2"/>
  <c r="BN1253" i="2"/>
  <c r="BM1253" i="2"/>
  <c r="BL1253" i="2"/>
  <c r="BK1253" i="2"/>
  <c r="BJ1253" i="2"/>
  <c r="BC1253" i="2" s="1"/>
  <c r="BI1253" i="2"/>
  <c r="AY1253" i="2" s="1"/>
  <c r="BH1253" i="2"/>
  <c r="BG1253" i="2"/>
  <c r="BF1253" i="2"/>
  <c r="BE1253" i="2"/>
  <c r="BD1253" i="2"/>
  <c r="AZ1253" i="2"/>
  <c r="AX1253" i="2"/>
  <c r="F1253" i="2"/>
  <c r="D1253" i="2"/>
  <c r="C1253" i="2"/>
  <c r="DM1252" i="2"/>
  <c r="DN1252" i="2" s="1"/>
  <c r="BQ1252" i="2"/>
  <c r="BP1252" i="2"/>
  <c r="BO1252" i="2"/>
  <c r="BN1252" i="2"/>
  <c r="BM1252" i="2"/>
  <c r="BL1252" i="2"/>
  <c r="BK1252" i="2"/>
  <c r="BJ1252" i="2"/>
  <c r="BI1252" i="2"/>
  <c r="BH1252" i="2"/>
  <c r="AX1252" i="2" s="1"/>
  <c r="BG1252" i="2"/>
  <c r="BE1252" i="2"/>
  <c r="AY1252" i="2"/>
  <c r="F1252" i="2"/>
  <c r="D1252" i="2"/>
  <c r="C1252" i="2"/>
  <c r="DM1251" i="2"/>
  <c r="DN1251" i="2" s="1"/>
  <c r="BQ1251" i="2"/>
  <c r="BP1251" i="2"/>
  <c r="BO1251" i="2"/>
  <c r="BF1251" i="2" s="1"/>
  <c r="BN1251" i="2"/>
  <c r="BM1251" i="2"/>
  <c r="BL1251" i="2"/>
  <c r="BK1251" i="2"/>
  <c r="BC1251" i="2" s="1"/>
  <c r="BJ1251" i="2"/>
  <c r="BI1251" i="2"/>
  <c r="BH1251" i="2"/>
  <c r="BE1251" i="2"/>
  <c r="AZ1251" i="2"/>
  <c r="F1251" i="2"/>
  <c r="D1251" i="2"/>
  <c r="C1251" i="2"/>
  <c r="DM1250" i="2"/>
  <c r="DN1250" i="2" s="1"/>
  <c r="DI1250" i="2"/>
  <c r="DL1250" i="2" s="1"/>
  <c r="DB1250" i="2"/>
  <c r="CZ1250" i="2"/>
  <c r="CX1250" i="2"/>
  <c r="BQ1250" i="2"/>
  <c r="BP1250" i="2"/>
  <c r="BE1250" i="2" s="1"/>
  <c r="BO1250" i="2"/>
  <c r="BN1250" i="2"/>
  <c r="BC1250" i="2" s="1"/>
  <c r="BM1250" i="2"/>
  <c r="BG1250" i="2" s="1"/>
  <c r="BL1250" i="2"/>
  <c r="BK1250" i="2"/>
  <c r="BJ1250" i="2"/>
  <c r="BI1250" i="2"/>
  <c r="BH1250" i="2"/>
  <c r="BF1250" i="2"/>
  <c r="BD1250" i="2"/>
  <c r="AZ1250" i="2"/>
  <c r="AY1250" i="2"/>
  <c r="AX1250" i="2"/>
  <c r="AV1250" i="2"/>
  <c r="F1250" i="2"/>
  <c r="D1250" i="2"/>
  <c r="C1250" i="2"/>
  <c r="DN1249" i="2"/>
  <c r="DD1249" i="2" s="1"/>
  <c r="DM1249" i="2"/>
  <c r="BQ1249" i="2"/>
  <c r="BP1249" i="2"/>
  <c r="BO1249" i="2"/>
  <c r="BN1249" i="2"/>
  <c r="BC1249" i="2" s="1"/>
  <c r="BM1249" i="2"/>
  <c r="BL1249" i="2"/>
  <c r="BK1249" i="2"/>
  <c r="BJ1249" i="2"/>
  <c r="BI1249" i="2"/>
  <c r="BH1249" i="2"/>
  <c r="BG1249" i="2" s="1"/>
  <c r="AV1249" i="2"/>
  <c r="F1249" i="2"/>
  <c r="D1249" i="2"/>
  <c r="C1249" i="2"/>
  <c r="DN1248" i="2"/>
  <c r="DH1248" i="2" s="1"/>
  <c r="DM1248" i="2"/>
  <c r="DF1248" i="2"/>
  <c r="DA1248" i="2"/>
  <c r="DJ1248" i="2" s="1"/>
  <c r="BQ1248" i="2"/>
  <c r="BP1248" i="2"/>
  <c r="BO1248" i="2"/>
  <c r="BF1248" i="2" s="1"/>
  <c r="BN1248" i="2"/>
  <c r="BM1248" i="2"/>
  <c r="BL1248" i="2"/>
  <c r="BK1248" i="2"/>
  <c r="BJ1248" i="2"/>
  <c r="BI1248" i="2"/>
  <c r="BH1248" i="2"/>
  <c r="BG1248" i="2" s="1"/>
  <c r="AV1248" i="2"/>
  <c r="F1248" i="2"/>
  <c r="D1248" i="2"/>
  <c r="C1248" i="2"/>
  <c r="DN1247" i="2"/>
  <c r="DG1247" i="2" s="1"/>
  <c r="DM1247" i="2"/>
  <c r="DI1247" i="2"/>
  <c r="DL1247" i="2" s="1"/>
  <c r="DH1247" i="2"/>
  <c r="DF1247" i="2"/>
  <c r="DE1247" i="2"/>
  <c r="DK1247" i="2" s="1"/>
  <c r="DD1247" i="2"/>
  <c r="DB1247" i="2"/>
  <c r="CZ1247" i="2"/>
  <c r="CY1247" i="2"/>
  <c r="CX1247" i="2"/>
  <c r="BQ1247" i="2"/>
  <c r="BP1247" i="2"/>
  <c r="BO1247" i="2"/>
  <c r="BN1247" i="2"/>
  <c r="BM1247" i="2"/>
  <c r="BL1247" i="2"/>
  <c r="BK1247" i="2"/>
  <c r="BJ1247" i="2"/>
  <c r="BF1247" i="2" s="1"/>
  <c r="BI1247" i="2"/>
  <c r="BH1247" i="2"/>
  <c r="BD1247" i="2"/>
  <c r="F1247" i="2"/>
  <c r="D1247" i="2"/>
  <c r="C1247" i="2"/>
  <c r="DM1246" i="2"/>
  <c r="DN1246" i="2" s="1"/>
  <c r="DA1246" i="2"/>
  <c r="DJ1246" i="2" s="1"/>
  <c r="CX1246" i="2"/>
  <c r="BQ1246" i="2"/>
  <c r="BP1246" i="2"/>
  <c r="BO1246" i="2"/>
  <c r="BE1246" i="2" s="1"/>
  <c r="BN1246" i="2"/>
  <c r="BM1246" i="2"/>
  <c r="BL1246" i="2"/>
  <c r="BK1246" i="2"/>
  <c r="BJ1246" i="2"/>
  <c r="BI1246" i="2"/>
  <c r="BH1246" i="2"/>
  <c r="BG1246" i="2"/>
  <c r="AX1246" i="2"/>
  <c r="AV1246" i="2"/>
  <c r="F1246" i="2"/>
  <c r="D1246" i="2"/>
  <c r="C1246" i="2"/>
  <c r="DM1245" i="2"/>
  <c r="DN1245" i="2" s="1"/>
  <c r="DH1245" i="2" s="1"/>
  <c r="DI1245" i="2"/>
  <c r="DL1245" i="2" s="1"/>
  <c r="DF1245" i="2"/>
  <c r="DB1245" i="2"/>
  <c r="CX1245" i="2"/>
  <c r="BQ1245" i="2"/>
  <c r="BP1245" i="2"/>
  <c r="BO1245" i="2"/>
  <c r="BN1245" i="2"/>
  <c r="AZ1245" i="2" s="1"/>
  <c r="BM1245" i="2"/>
  <c r="BL1245" i="2"/>
  <c r="BK1245" i="2"/>
  <c r="BJ1245" i="2"/>
  <c r="BI1245" i="2"/>
  <c r="BH1245" i="2"/>
  <c r="BG1245" i="2"/>
  <c r="AY1245" i="2"/>
  <c r="AX1245" i="2"/>
  <c r="AW1245" i="2" s="1"/>
  <c r="AV1245" i="2"/>
  <c r="F1245" i="2"/>
  <c r="D1245" i="2"/>
  <c r="C1245" i="2"/>
  <c r="DM1244" i="2"/>
  <c r="DN1244" i="2" s="1"/>
  <c r="DL1244" i="2"/>
  <c r="DI1244" i="2"/>
  <c r="DF1244" i="2"/>
  <c r="DE1244" i="2"/>
  <c r="DK1244" i="2" s="1"/>
  <c r="DC1244" i="2"/>
  <c r="DB1244" i="2"/>
  <c r="DA1244" i="2"/>
  <c r="DJ1244" i="2" s="1"/>
  <c r="CY1244" i="2"/>
  <c r="BQ1244" i="2"/>
  <c r="BP1244" i="2"/>
  <c r="BO1244" i="2"/>
  <c r="BF1244" i="2" s="1"/>
  <c r="BN1244" i="2"/>
  <c r="BM1244" i="2"/>
  <c r="BL1244" i="2"/>
  <c r="BD1244" i="2" s="1"/>
  <c r="BK1244" i="2"/>
  <c r="BJ1244" i="2"/>
  <c r="BI1244" i="2"/>
  <c r="BH1244" i="2"/>
  <c r="BG1244" i="2"/>
  <c r="BE1244" i="2"/>
  <c r="BC1244" i="2"/>
  <c r="AX1244" i="2"/>
  <c r="AV1244" i="2"/>
  <c r="F1244" i="2"/>
  <c r="D1244" i="2"/>
  <c r="C1244" i="2"/>
  <c r="DN1243" i="2"/>
  <c r="DF1243" i="2" s="1"/>
  <c r="DM1243" i="2"/>
  <c r="DK1243" i="2"/>
  <c r="DJ1243" i="2"/>
  <c r="DH1243" i="2"/>
  <c r="DG1243" i="2"/>
  <c r="DE1243" i="2"/>
  <c r="DB1243" i="2"/>
  <c r="DA1243" i="2"/>
  <c r="CZ1243" i="2"/>
  <c r="CY1243" i="2"/>
  <c r="BQ1243" i="2"/>
  <c r="BP1243" i="2"/>
  <c r="BO1243" i="2"/>
  <c r="BN1243" i="2"/>
  <c r="BM1243" i="2"/>
  <c r="BL1243" i="2"/>
  <c r="BK1243" i="2"/>
  <c r="BJ1243" i="2"/>
  <c r="BF1243" i="2" s="1"/>
  <c r="BI1243" i="2"/>
  <c r="BH1243" i="2"/>
  <c r="BE1243" i="2"/>
  <c r="BC1243" i="2"/>
  <c r="AZ1243" i="2"/>
  <c r="F1243" i="2"/>
  <c r="D1243" i="2"/>
  <c r="C1243" i="2"/>
  <c r="DN1242" i="2"/>
  <c r="DF1242" i="2" s="1"/>
  <c r="DM1242" i="2"/>
  <c r="DI1242" i="2"/>
  <c r="DL1242" i="2" s="1"/>
  <c r="CZ1242" i="2"/>
  <c r="CY1242" i="2"/>
  <c r="CX1242" i="2"/>
  <c r="BQ1242" i="2"/>
  <c r="BP1242" i="2"/>
  <c r="BO1242" i="2"/>
  <c r="BN1242" i="2"/>
  <c r="BM1242" i="2"/>
  <c r="BG1242" i="2" s="1"/>
  <c r="BL1242" i="2"/>
  <c r="BK1242" i="2"/>
  <c r="BD1242" i="2" s="1"/>
  <c r="BJ1242" i="2"/>
  <c r="BI1242" i="2"/>
  <c r="BH1242" i="2"/>
  <c r="AX1242" i="2"/>
  <c r="AV1242" i="2"/>
  <c r="F1242" i="2"/>
  <c r="D1242" i="2"/>
  <c r="C1242" i="2"/>
  <c r="DM1241" i="2"/>
  <c r="DN1241" i="2" s="1"/>
  <c r="DI1241" i="2"/>
  <c r="DL1241" i="2" s="1"/>
  <c r="DG1241" i="2"/>
  <c r="DF1241" i="2"/>
  <c r="DD1241" i="2"/>
  <c r="CZ1241" i="2"/>
  <c r="BQ1241" i="2"/>
  <c r="BP1241" i="2"/>
  <c r="BO1241" i="2"/>
  <c r="BN1241" i="2"/>
  <c r="BC1241" i="2" s="1"/>
  <c r="BM1241" i="2"/>
  <c r="BL1241" i="2"/>
  <c r="BK1241" i="2"/>
  <c r="BF1241" i="2" s="1"/>
  <c r="BJ1241" i="2"/>
  <c r="AV1241" i="2" s="1"/>
  <c r="BI1241" i="2"/>
  <c r="BH1241" i="2"/>
  <c r="AX1241" i="2"/>
  <c r="F1241" i="2"/>
  <c r="D1241" i="2"/>
  <c r="C1241" i="2"/>
  <c r="DN1240" i="2"/>
  <c r="DM1240" i="2"/>
  <c r="BQ1240" i="2"/>
  <c r="BE1240" i="2" s="1"/>
  <c r="BP1240" i="2"/>
  <c r="BO1240" i="2"/>
  <c r="BN1240" i="2"/>
  <c r="AZ1240" i="2" s="1"/>
  <c r="BM1240" i="2"/>
  <c r="BL1240" i="2"/>
  <c r="BK1240" i="2"/>
  <c r="BJ1240" i="2"/>
  <c r="BF1240" i="2" s="1"/>
  <c r="BI1240" i="2"/>
  <c r="BH1240" i="2"/>
  <c r="F1240" i="2"/>
  <c r="D1240" i="2"/>
  <c r="C1240" i="2"/>
  <c r="DM1239" i="2"/>
  <c r="DN1239" i="2" s="1"/>
  <c r="DH1239" i="2"/>
  <c r="DF1239" i="2"/>
  <c r="DE1239" i="2"/>
  <c r="DK1239" i="2" s="1"/>
  <c r="DA1239" i="2"/>
  <c r="DJ1239" i="2" s="1"/>
  <c r="BQ1239" i="2"/>
  <c r="BP1239" i="2"/>
  <c r="BO1239" i="2"/>
  <c r="BN1239" i="2"/>
  <c r="BM1239" i="2"/>
  <c r="BL1239" i="2"/>
  <c r="BK1239" i="2"/>
  <c r="BJ1239" i="2"/>
  <c r="BI1239" i="2"/>
  <c r="BH1239" i="2"/>
  <c r="AZ1239" i="2"/>
  <c r="AX1239" i="2"/>
  <c r="F1239" i="2"/>
  <c r="D1239" i="2"/>
  <c r="C1239" i="2"/>
  <c r="DM1238" i="2"/>
  <c r="DN1238" i="2" s="1"/>
  <c r="DH1238" i="2"/>
  <c r="DG1238" i="2"/>
  <c r="DD1238" i="2"/>
  <c r="DC1238" i="2"/>
  <c r="DB1238" i="2"/>
  <c r="DA1238" i="2"/>
  <c r="DJ1238" i="2" s="1"/>
  <c r="CZ1238" i="2"/>
  <c r="CX1238" i="2"/>
  <c r="BQ1238" i="2"/>
  <c r="BP1238" i="2"/>
  <c r="BO1238" i="2"/>
  <c r="BN1238" i="2"/>
  <c r="BM1238" i="2"/>
  <c r="BL1238" i="2"/>
  <c r="BK1238" i="2"/>
  <c r="BJ1238" i="2"/>
  <c r="BI1238" i="2"/>
  <c r="BH1238" i="2"/>
  <c r="BG1238" i="2" s="1"/>
  <c r="BE1238" i="2"/>
  <c r="AZ1238" i="2"/>
  <c r="AV1238" i="2"/>
  <c r="F1238" i="2"/>
  <c r="D1238" i="2"/>
  <c r="C1238" i="2"/>
  <c r="DN1237" i="2"/>
  <c r="DM1237" i="2"/>
  <c r="DH1237" i="2"/>
  <c r="DG1237" i="2"/>
  <c r="DF1237" i="2"/>
  <c r="DD1237" i="2"/>
  <c r="BQ1237" i="2"/>
  <c r="BP1237" i="2"/>
  <c r="BF1237" i="2" s="1"/>
  <c r="BO1237" i="2"/>
  <c r="BN1237" i="2"/>
  <c r="BM1237" i="2"/>
  <c r="BL1237" i="2"/>
  <c r="BK1237" i="2"/>
  <c r="BC1237" i="2" s="1"/>
  <c r="BJ1237" i="2"/>
  <c r="BI1237" i="2"/>
  <c r="BH1237" i="2"/>
  <c r="AZ1237" i="2"/>
  <c r="F1237" i="2"/>
  <c r="D1237" i="2"/>
  <c r="C1237" i="2"/>
  <c r="DN1236" i="2"/>
  <c r="DM1236" i="2"/>
  <c r="DA1236" i="2"/>
  <c r="DJ1236" i="2" s="1"/>
  <c r="CX1236" i="2"/>
  <c r="BQ1236" i="2"/>
  <c r="BP1236" i="2"/>
  <c r="BO1236" i="2"/>
  <c r="BN1236" i="2"/>
  <c r="BM1236" i="2"/>
  <c r="BL1236" i="2"/>
  <c r="AY1236" i="2" s="1"/>
  <c r="BK1236" i="2"/>
  <c r="BJ1236" i="2"/>
  <c r="BF1236" i="2" s="1"/>
  <c r="BI1236" i="2"/>
  <c r="BH1236" i="2"/>
  <c r="BE1236" i="2"/>
  <c r="AZ1236" i="2"/>
  <c r="AX1236" i="2"/>
  <c r="F1236" i="2"/>
  <c r="D1236" i="2"/>
  <c r="C1236" i="2"/>
  <c r="DM1235" i="2"/>
  <c r="DN1235" i="2" s="1"/>
  <c r="DI1235" i="2"/>
  <c r="DL1235" i="2" s="1"/>
  <c r="DA1235" i="2"/>
  <c r="DJ1235" i="2" s="1"/>
  <c r="CZ1235" i="2"/>
  <c r="CX1235" i="2"/>
  <c r="BQ1235" i="2"/>
  <c r="BP1235" i="2"/>
  <c r="BO1235" i="2"/>
  <c r="BN1235" i="2"/>
  <c r="BM1235" i="2"/>
  <c r="BD1235" i="2" s="1"/>
  <c r="BL1235" i="2"/>
  <c r="BK1235" i="2"/>
  <c r="BF1235" i="2" s="1"/>
  <c r="BJ1235" i="2"/>
  <c r="BI1235" i="2"/>
  <c r="BH1235" i="2"/>
  <c r="BC1235" i="2"/>
  <c r="AX1235" i="2"/>
  <c r="F1235" i="2"/>
  <c r="D1235" i="2"/>
  <c r="C1235" i="2"/>
  <c r="DM1234" i="2"/>
  <c r="DN1234" i="2" s="1"/>
  <c r="DA1234" i="2"/>
  <c r="DJ1234" i="2" s="1"/>
  <c r="CY1234" i="2"/>
  <c r="BQ1234" i="2"/>
  <c r="BG1234" i="2" s="1"/>
  <c r="BP1234" i="2"/>
  <c r="BO1234" i="2"/>
  <c r="BN1234" i="2"/>
  <c r="BM1234" i="2"/>
  <c r="BL1234" i="2"/>
  <c r="BK1234" i="2"/>
  <c r="BJ1234" i="2"/>
  <c r="BI1234" i="2"/>
  <c r="BH1234" i="2"/>
  <c r="BF1234" i="2"/>
  <c r="BE1234" i="2"/>
  <c r="BC1234" i="2"/>
  <c r="AZ1234" i="2"/>
  <c r="AX1234" i="2"/>
  <c r="F1234" i="2"/>
  <c r="D1234" i="2"/>
  <c r="C1234" i="2"/>
  <c r="DN1233" i="2"/>
  <c r="DM1233" i="2"/>
  <c r="DJ1233" i="2"/>
  <c r="DI1233" i="2"/>
  <c r="DL1233" i="2" s="1"/>
  <c r="DC1233" i="2"/>
  <c r="DA1233" i="2"/>
  <c r="CY1233" i="2"/>
  <c r="CX1233" i="2"/>
  <c r="BQ1233" i="2"/>
  <c r="BP1233" i="2"/>
  <c r="BO1233" i="2"/>
  <c r="BN1233" i="2"/>
  <c r="BM1233" i="2"/>
  <c r="BL1233" i="2"/>
  <c r="AY1233" i="2" s="1"/>
  <c r="BK1233" i="2"/>
  <c r="BJ1233" i="2"/>
  <c r="BF1233" i="2" s="1"/>
  <c r="BI1233" i="2"/>
  <c r="BH1233" i="2"/>
  <c r="AX1233" i="2"/>
  <c r="F1233" i="2"/>
  <c r="D1233" i="2"/>
  <c r="C1233" i="2"/>
  <c r="DM1232" i="2"/>
  <c r="DN1232" i="2" s="1"/>
  <c r="DI1232" i="2"/>
  <c r="DL1232" i="2" s="1"/>
  <c r="DH1232" i="2"/>
  <c r="DG1232" i="2"/>
  <c r="DF1232" i="2"/>
  <c r="CX1232" i="2"/>
  <c r="BQ1232" i="2"/>
  <c r="BP1232" i="2"/>
  <c r="BO1232" i="2"/>
  <c r="BN1232" i="2"/>
  <c r="BM1232" i="2"/>
  <c r="BL1232" i="2"/>
  <c r="BK1232" i="2"/>
  <c r="BJ1232" i="2"/>
  <c r="BF1232" i="2" s="1"/>
  <c r="BI1232" i="2"/>
  <c r="BH1232" i="2"/>
  <c r="F1232" i="2"/>
  <c r="D1232" i="2"/>
  <c r="C1232" i="2"/>
  <c r="DM1231" i="2"/>
  <c r="DN1231" i="2" s="1"/>
  <c r="DH1231" i="2" s="1"/>
  <c r="BQ1231" i="2"/>
  <c r="BP1231" i="2"/>
  <c r="BO1231" i="2"/>
  <c r="BN1231" i="2"/>
  <c r="BM1231" i="2"/>
  <c r="BL1231" i="2"/>
  <c r="BK1231" i="2"/>
  <c r="BJ1231" i="2"/>
  <c r="BI1231" i="2"/>
  <c r="BH1231" i="2"/>
  <c r="AZ1231" i="2"/>
  <c r="AX1231" i="2"/>
  <c r="F1231" i="2"/>
  <c r="D1231" i="2"/>
  <c r="C1231" i="2"/>
  <c r="DM1230" i="2"/>
  <c r="DN1230" i="2" s="1"/>
  <c r="DL1230" i="2"/>
  <c r="DI1230" i="2"/>
  <c r="DA1230" i="2"/>
  <c r="DJ1230" i="2" s="1"/>
  <c r="CY1230" i="2"/>
  <c r="BQ1230" i="2"/>
  <c r="BP1230" i="2"/>
  <c r="BO1230" i="2"/>
  <c r="BN1230" i="2"/>
  <c r="BM1230" i="2"/>
  <c r="BL1230" i="2"/>
  <c r="BK1230" i="2"/>
  <c r="BJ1230" i="2"/>
  <c r="BI1230" i="2"/>
  <c r="BH1230" i="2"/>
  <c r="AX1230" i="2" s="1"/>
  <c r="BE1230" i="2"/>
  <c r="BC1230" i="2"/>
  <c r="AZ1230" i="2"/>
  <c r="F1230" i="2"/>
  <c r="D1230" i="2"/>
  <c r="C1230" i="2"/>
  <c r="DN1229" i="2"/>
  <c r="DG1229" i="2" s="1"/>
  <c r="DM1229" i="2"/>
  <c r="BQ1229" i="2"/>
  <c r="BP1229" i="2"/>
  <c r="BO1229" i="2"/>
  <c r="BN1229" i="2"/>
  <c r="BM1229" i="2"/>
  <c r="BL1229" i="2"/>
  <c r="BK1229" i="2"/>
  <c r="BJ1229" i="2"/>
  <c r="BF1229" i="2" s="1"/>
  <c r="BI1229" i="2"/>
  <c r="BH1229" i="2"/>
  <c r="BD1229" i="2" s="1"/>
  <c r="BC1229" i="2"/>
  <c r="AZ1229" i="2"/>
  <c r="AY1229" i="2"/>
  <c r="F1229" i="2"/>
  <c r="D1229" i="2"/>
  <c r="C1229" i="2"/>
  <c r="DN1228" i="2"/>
  <c r="DD1228" i="2" s="1"/>
  <c r="DM1228" i="2"/>
  <c r="DK1228" i="2"/>
  <c r="DJ1228" i="2"/>
  <c r="DI1228" i="2"/>
  <c r="DL1228" i="2" s="1"/>
  <c r="DH1228" i="2"/>
  <c r="DF1228" i="2"/>
  <c r="DE1228" i="2"/>
  <c r="DC1228" i="2"/>
  <c r="DB1228" i="2"/>
  <c r="DA1228" i="2"/>
  <c r="CZ1228" i="2"/>
  <c r="CX1228" i="2"/>
  <c r="BQ1228" i="2"/>
  <c r="BP1228" i="2"/>
  <c r="BO1228" i="2"/>
  <c r="BN1228" i="2"/>
  <c r="BM1228" i="2"/>
  <c r="BG1228" i="2" s="1"/>
  <c r="BL1228" i="2"/>
  <c r="BK1228" i="2"/>
  <c r="BJ1228" i="2"/>
  <c r="BI1228" i="2"/>
  <c r="BC1228" i="2" s="1"/>
  <c r="BH1228" i="2"/>
  <c r="BF1228" i="2"/>
  <c r="BE1228" i="2"/>
  <c r="BD1228" i="2"/>
  <c r="AZ1228" i="2"/>
  <c r="AX1228" i="2"/>
  <c r="AV1228" i="2"/>
  <c r="F1228" i="2"/>
  <c r="D1228" i="2"/>
  <c r="C1228" i="2"/>
  <c r="DM1227" i="2"/>
  <c r="DN1227" i="2" s="1"/>
  <c r="DF1227" i="2" s="1"/>
  <c r="DG1227" i="2"/>
  <c r="DE1227" i="2"/>
  <c r="DK1227" i="2" s="1"/>
  <c r="CY1227" i="2"/>
  <c r="BQ1227" i="2"/>
  <c r="BP1227" i="2"/>
  <c r="BO1227" i="2"/>
  <c r="BN1227" i="2"/>
  <c r="BM1227" i="2"/>
  <c r="BL1227" i="2"/>
  <c r="BK1227" i="2"/>
  <c r="BJ1227" i="2"/>
  <c r="BI1227" i="2"/>
  <c r="BH1227" i="2"/>
  <c r="BF1227" i="2"/>
  <c r="AZ1227" i="2"/>
  <c r="F1227" i="2"/>
  <c r="D1227" i="2"/>
  <c r="C1227" i="2"/>
  <c r="DN1226" i="2"/>
  <c r="DB1226" i="2" s="1"/>
  <c r="DM1226" i="2"/>
  <c r="DK1226" i="2"/>
  <c r="DJ1226" i="2"/>
  <c r="DI1226" i="2"/>
  <c r="DL1226" i="2" s="1"/>
  <c r="DH1226" i="2"/>
  <c r="DG1226" i="2"/>
  <c r="DE1226" i="2"/>
  <c r="DA1226" i="2"/>
  <c r="CZ1226" i="2"/>
  <c r="CY1226" i="2"/>
  <c r="CX1226" i="2"/>
  <c r="BQ1226" i="2"/>
  <c r="BE1226" i="2" s="1"/>
  <c r="BP1226" i="2"/>
  <c r="BO1226" i="2"/>
  <c r="BN1226" i="2"/>
  <c r="AZ1226" i="2" s="1"/>
  <c r="BM1226" i="2"/>
  <c r="BL1226" i="2"/>
  <c r="BK1226" i="2"/>
  <c r="BC1226" i="2" s="1"/>
  <c r="BJ1226" i="2"/>
  <c r="BI1226" i="2"/>
  <c r="BH1226" i="2"/>
  <c r="F1226" i="2"/>
  <c r="D1226" i="2"/>
  <c r="C1226" i="2"/>
  <c r="DM1225" i="2"/>
  <c r="DN1225" i="2" s="1"/>
  <c r="DI1225" i="2"/>
  <c r="DL1225" i="2" s="1"/>
  <c r="DD1225" i="2"/>
  <c r="DC1225" i="2"/>
  <c r="DB1225" i="2"/>
  <c r="CY1225" i="2"/>
  <c r="BQ1225" i="2"/>
  <c r="BP1225" i="2"/>
  <c r="BO1225" i="2"/>
  <c r="BN1225" i="2"/>
  <c r="BM1225" i="2"/>
  <c r="BL1225" i="2"/>
  <c r="BK1225" i="2"/>
  <c r="BJ1225" i="2"/>
  <c r="BI1225" i="2"/>
  <c r="BH1225" i="2"/>
  <c r="AZ1225" i="2"/>
  <c r="F1225" i="2"/>
  <c r="D1225" i="2"/>
  <c r="C1225" i="2"/>
  <c r="DN1224" i="2"/>
  <c r="DH1224" i="2" s="1"/>
  <c r="DM1224" i="2"/>
  <c r="DI1224" i="2"/>
  <c r="DL1224" i="2" s="1"/>
  <c r="DF1224" i="2"/>
  <c r="BQ1224" i="2"/>
  <c r="BP1224" i="2"/>
  <c r="BO1224" i="2"/>
  <c r="BN1224" i="2"/>
  <c r="BM1224" i="2"/>
  <c r="BL1224" i="2"/>
  <c r="BK1224" i="2"/>
  <c r="BJ1224" i="2"/>
  <c r="BF1224" i="2" s="1"/>
  <c r="BI1224" i="2"/>
  <c r="BH1224" i="2"/>
  <c r="BE1224" i="2" s="1"/>
  <c r="F1224" i="2"/>
  <c r="D1224" i="2"/>
  <c r="C1224" i="2"/>
  <c r="DM1223" i="2"/>
  <c r="DN1223" i="2" s="1"/>
  <c r="DH1223" i="2" s="1"/>
  <c r="DG1223" i="2"/>
  <c r="DE1223" i="2"/>
  <c r="DK1223" i="2" s="1"/>
  <c r="DD1223" i="2"/>
  <c r="BQ1223" i="2"/>
  <c r="BP1223" i="2"/>
  <c r="BO1223" i="2"/>
  <c r="BN1223" i="2"/>
  <c r="BM1223" i="2"/>
  <c r="BL1223" i="2"/>
  <c r="BK1223" i="2"/>
  <c r="BJ1223" i="2"/>
  <c r="BF1223" i="2" s="1"/>
  <c r="BI1223" i="2"/>
  <c r="BH1223" i="2"/>
  <c r="AV1223" i="2"/>
  <c r="F1223" i="2"/>
  <c r="D1223" i="2"/>
  <c r="C1223" i="2"/>
  <c r="DM1222" i="2"/>
  <c r="DN1222" i="2" s="1"/>
  <c r="BQ1222" i="2"/>
  <c r="BP1222" i="2"/>
  <c r="BO1222" i="2"/>
  <c r="BN1222" i="2"/>
  <c r="BM1222" i="2"/>
  <c r="BL1222" i="2"/>
  <c r="BK1222" i="2"/>
  <c r="BJ1222" i="2"/>
  <c r="BF1222" i="2" s="1"/>
  <c r="BI1222" i="2"/>
  <c r="BH1222" i="2"/>
  <c r="BG1222" i="2"/>
  <c r="F1222" i="2"/>
  <c r="D1222" i="2"/>
  <c r="C1222" i="2"/>
  <c r="DN1221" i="2"/>
  <c r="DM1221" i="2"/>
  <c r="DH1221" i="2"/>
  <c r="DG1221" i="2"/>
  <c r="DF1221" i="2"/>
  <c r="DE1221" i="2"/>
  <c r="DK1221" i="2" s="1"/>
  <c r="DD1221" i="2"/>
  <c r="DC1221" i="2"/>
  <c r="DB1221" i="2"/>
  <c r="DA1221" i="2"/>
  <c r="DJ1221" i="2" s="1"/>
  <c r="CX1221" i="2"/>
  <c r="BQ1221" i="2"/>
  <c r="BP1221" i="2"/>
  <c r="BO1221" i="2"/>
  <c r="BN1221" i="2"/>
  <c r="BM1221" i="2"/>
  <c r="BL1221" i="2"/>
  <c r="BK1221" i="2"/>
  <c r="BJ1221" i="2"/>
  <c r="BI1221" i="2"/>
  <c r="BH1221" i="2"/>
  <c r="BG1221" i="2"/>
  <c r="F1221" i="2"/>
  <c r="D1221" i="2"/>
  <c r="C1221" i="2"/>
  <c r="DM1220" i="2"/>
  <c r="DN1220" i="2" s="1"/>
  <c r="DI1220" i="2" s="1"/>
  <c r="DL1220" i="2" s="1"/>
  <c r="DG1220" i="2"/>
  <c r="DD1220" i="2"/>
  <c r="DA1220" i="2"/>
  <c r="DJ1220" i="2" s="1"/>
  <c r="BQ1220" i="2"/>
  <c r="BP1220" i="2"/>
  <c r="BO1220" i="2"/>
  <c r="BN1220" i="2"/>
  <c r="BM1220" i="2"/>
  <c r="BL1220" i="2"/>
  <c r="BK1220" i="2"/>
  <c r="BJ1220" i="2"/>
  <c r="BI1220" i="2"/>
  <c r="BE1220" i="2" s="1"/>
  <c r="BH1220" i="2"/>
  <c r="BG1220" i="2"/>
  <c r="F1220" i="2"/>
  <c r="D1220" i="2"/>
  <c r="C1220" i="2"/>
  <c r="DM1219" i="2"/>
  <c r="DN1219" i="2" s="1"/>
  <c r="DL1219" i="2"/>
  <c r="DK1219" i="2"/>
  <c r="DJ1219" i="2"/>
  <c r="DI1219" i="2"/>
  <c r="DH1219" i="2"/>
  <c r="DF1219" i="2"/>
  <c r="DE1219" i="2"/>
  <c r="DD1219" i="2"/>
  <c r="DC1219" i="2"/>
  <c r="DB1219" i="2"/>
  <c r="DA1219" i="2"/>
  <c r="CZ1219" i="2"/>
  <c r="CY1219" i="2"/>
  <c r="BQ1219" i="2"/>
  <c r="BP1219" i="2"/>
  <c r="BO1219" i="2"/>
  <c r="BN1219" i="2"/>
  <c r="BM1219" i="2"/>
  <c r="BL1219" i="2"/>
  <c r="BK1219" i="2"/>
  <c r="BJ1219" i="2"/>
  <c r="BF1219" i="2" s="1"/>
  <c r="BI1219" i="2"/>
  <c r="BH1219" i="2"/>
  <c r="BG1219" i="2"/>
  <c r="F1219" i="2"/>
  <c r="D1219" i="2"/>
  <c r="C1219" i="2"/>
  <c r="DN1218" i="2"/>
  <c r="DI1218" i="2" s="1"/>
  <c r="DL1218" i="2" s="1"/>
  <c r="DM1218" i="2"/>
  <c r="BQ1218" i="2"/>
  <c r="BP1218" i="2"/>
  <c r="BO1218" i="2"/>
  <c r="BN1218" i="2"/>
  <c r="BM1218" i="2"/>
  <c r="BG1218" i="2" s="1"/>
  <c r="BL1218" i="2"/>
  <c r="BK1218" i="2"/>
  <c r="BJ1218" i="2"/>
  <c r="BI1218" i="2"/>
  <c r="BH1218" i="2"/>
  <c r="AZ1218" i="2"/>
  <c r="AV1218" i="2"/>
  <c r="F1218" i="2"/>
  <c r="D1218" i="2"/>
  <c r="C1218" i="2"/>
  <c r="DN1217" i="2"/>
  <c r="DA1217" i="2" s="1"/>
  <c r="DJ1217" i="2" s="1"/>
  <c r="DM1217" i="2"/>
  <c r="DC1217" i="2"/>
  <c r="DB1217" i="2"/>
  <c r="CX1217" i="2"/>
  <c r="BQ1217" i="2"/>
  <c r="BP1217" i="2"/>
  <c r="BO1217" i="2"/>
  <c r="BN1217" i="2"/>
  <c r="BM1217" i="2"/>
  <c r="BL1217" i="2"/>
  <c r="BK1217" i="2"/>
  <c r="BJ1217" i="2"/>
  <c r="BI1217" i="2"/>
  <c r="BH1217" i="2"/>
  <c r="AX1217" i="2" s="1"/>
  <c r="BG1217" i="2"/>
  <c r="BF1217" i="2"/>
  <c r="BE1217" i="2"/>
  <c r="AZ1217" i="2"/>
  <c r="AV1217" i="2"/>
  <c r="F1217" i="2"/>
  <c r="D1217" i="2"/>
  <c r="C1217" i="2"/>
  <c r="DM1216" i="2"/>
  <c r="DN1216" i="2" s="1"/>
  <c r="DH1216" i="2" s="1"/>
  <c r="BQ1216" i="2"/>
  <c r="BP1216" i="2"/>
  <c r="BO1216" i="2"/>
  <c r="BN1216" i="2"/>
  <c r="BM1216" i="2"/>
  <c r="BL1216" i="2"/>
  <c r="BK1216" i="2"/>
  <c r="BJ1216" i="2"/>
  <c r="BF1216" i="2" s="1"/>
  <c r="BI1216" i="2"/>
  <c r="BH1216" i="2"/>
  <c r="AX1216" i="2"/>
  <c r="F1216" i="2"/>
  <c r="D1216" i="2"/>
  <c r="C1216" i="2"/>
  <c r="DM1215" i="2"/>
  <c r="DN1215" i="2" s="1"/>
  <c r="DA1215" i="2" s="1"/>
  <c r="DJ1215" i="2" s="1"/>
  <c r="DB1215" i="2"/>
  <c r="CY1215" i="2"/>
  <c r="BQ1215" i="2"/>
  <c r="BP1215" i="2"/>
  <c r="BO1215" i="2"/>
  <c r="BN1215" i="2"/>
  <c r="BM1215" i="2"/>
  <c r="BL1215" i="2"/>
  <c r="BK1215" i="2"/>
  <c r="BJ1215" i="2"/>
  <c r="BD1215" i="2" s="1"/>
  <c r="BI1215" i="2"/>
  <c r="BH1215" i="2"/>
  <c r="AZ1215" i="2"/>
  <c r="AY1215" i="2"/>
  <c r="AX1215" i="2"/>
  <c r="F1215" i="2"/>
  <c r="D1215" i="2"/>
  <c r="C1215" i="2"/>
  <c r="DN1214" i="2"/>
  <c r="CX1214" i="2" s="1"/>
  <c r="DM1214" i="2"/>
  <c r="DJ1214" i="2"/>
  <c r="DH1214" i="2"/>
  <c r="DG1214" i="2"/>
  <c r="DF1214" i="2"/>
  <c r="DE1214" i="2"/>
  <c r="DK1214" i="2" s="1"/>
  <c r="DD1214" i="2"/>
  <c r="DC1214" i="2"/>
  <c r="DA1214" i="2"/>
  <c r="CZ1214" i="2"/>
  <c r="CY1214" i="2"/>
  <c r="BQ1214" i="2"/>
  <c r="BP1214" i="2"/>
  <c r="BO1214" i="2"/>
  <c r="BN1214" i="2"/>
  <c r="BM1214" i="2"/>
  <c r="BL1214" i="2"/>
  <c r="BK1214" i="2"/>
  <c r="BJ1214" i="2"/>
  <c r="BI1214" i="2"/>
  <c r="BH1214" i="2"/>
  <c r="BG1214" i="2"/>
  <c r="BE1214" i="2"/>
  <c r="F1214" i="2"/>
  <c r="D1214" i="2"/>
  <c r="C1214" i="2"/>
  <c r="DM1213" i="2"/>
  <c r="DN1213" i="2" s="1"/>
  <c r="BQ1213" i="2"/>
  <c r="BP1213" i="2"/>
  <c r="BO1213" i="2"/>
  <c r="BN1213" i="2"/>
  <c r="BM1213" i="2"/>
  <c r="BL1213" i="2"/>
  <c r="BK1213" i="2"/>
  <c r="BJ1213" i="2"/>
  <c r="BI1213" i="2"/>
  <c r="BH1213" i="2"/>
  <c r="AY1213" i="2"/>
  <c r="F1213" i="2"/>
  <c r="D1213" i="2"/>
  <c r="C1213" i="2"/>
  <c r="DN1212" i="2"/>
  <c r="DF1212" i="2" s="1"/>
  <c r="DM1212" i="2"/>
  <c r="DH1212" i="2"/>
  <c r="DE1212" i="2"/>
  <c r="DK1212" i="2" s="1"/>
  <c r="DD1212" i="2"/>
  <c r="DC1212" i="2"/>
  <c r="DB1212" i="2"/>
  <c r="DA1212" i="2"/>
  <c r="DJ1212" i="2" s="1"/>
  <c r="CY1212" i="2"/>
  <c r="CX1212" i="2"/>
  <c r="BQ1212" i="2"/>
  <c r="BP1212" i="2"/>
  <c r="BO1212" i="2"/>
  <c r="BN1212" i="2"/>
  <c r="BM1212" i="2"/>
  <c r="BL1212" i="2"/>
  <c r="BK1212" i="2"/>
  <c r="BJ1212" i="2"/>
  <c r="AV1212" i="2" s="1"/>
  <c r="BI1212" i="2"/>
  <c r="BH1212" i="2"/>
  <c r="BE1212" i="2"/>
  <c r="BC1212" i="2"/>
  <c r="AZ1212" i="2"/>
  <c r="AY1212" i="2"/>
  <c r="F1212" i="2"/>
  <c r="D1212" i="2"/>
  <c r="C1212" i="2"/>
  <c r="DN1211" i="2"/>
  <c r="DM1211" i="2"/>
  <c r="BQ1211" i="2"/>
  <c r="BP1211" i="2"/>
  <c r="BO1211" i="2"/>
  <c r="BN1211" i="2"/>
  <c r="BM1211" i="2"/>
  <c r="BL1211" i="2"/>
  <c r="BD1211" i="2" s="1"/>
  <c r="BK1211" i="2"/>
  <c r="BJ1211" i="2"/>
  <c r="BI1211" i="2"/>
  <c r="BH1211" i="2"/>
  <c r="BF1211" i="2"/>
  <c r="AX1211" i="2"/>
  <c r="F1211" i="2"/>
  <c r="D1211" i="2"/>
  <c r="C1211" i="2"/>
  <c r="DM1210" i="2"/>
  <c r="DN1210" i="2" s="1"/>
  <c r="DH1210" i="2" s="1"/>
  <c r="CY1210" i="2"/>
  <c r="BQ1210" i="2"/>
  <c r="BP1210" i="2"/>
  <c r="BO1210" i="2"/>
  <c r="BN1210" i="2"/>
  <c r="BM1210" i="2"/>
  <c r="BL1210" i="2"/>
  <c r="AY1210" i="2" s="1"/>
  <c r="BK1210" i="2"/>
  <c r="BJ1210" i="2"/>
  <c r="AV1210" i="2" s="1"/>
  <c r="BI1210" i="2"/>
  <c r="BH1210" i="2"/>
  <c r="BG1210" i="2"/>
  <c r="AX1210" i="2"/>
  <c r="F1210" i="2"/>
  <c r="D1210" i="2"/>
  <c r="C1210" i="2"/>
  <c r="DN1209" i="2"/>
  <c r="DD1209" i="2" s="1"/>
  <c r="DM1209" i="2"/>
  <c r="DL1209" i="2"/>
  <c r="DK1209" i="2"/>
  <c r="DJ1209" i="2"/>
  <c r="DI1209" i="2"/>
  <c r="DH1209" i="2"/>
  <c r="DG1209" i="2"/>
  <c r="DF1209" i="2"/>
  <c r="DE1209" i="2"/>
  <c r="DC1209" i="2"/>
  <c r="DB1209" i="2"/>
  <c r="DA1209" i="2"/>
  <c r="CZ1209" i="2"/>
  <c r="CY1209" i="2"/>
  <c r="CX1209" i="2"/>
  <c r="BQ1209" i="2"/>
  <c r="BP1209" i="2"/>
  <c r="BO1209" i="2"/>
  <c r="BN1209" i="2"/>
  <c r="BM1209" i="2"/>
  <c r="BG1209" i="2" s="1"/>
  <c r="BL1209" i="2"/>
  <c r="BK1209" i="2"/>
  <c r="BJ1209" i="2"/>
  <c r="BF1209" i="2" s="1"/>
  <c r="BI1209" i="2"/>
  <c r="BH1209" i="2"/>
  <c r="AZ1209" i="2"/>
  <c r="AX1209" i="2"/>
  <c r="AV1209" i="2"/>
  <c r="F1209" i="2"/>
  <c r="D1209" i="2"/>
  <c r="C1209" i="2"/>
  <c r="DM1208" i="2"/>
  <c r="DN1208" i="2" s="1"/>
  <c r="BQ1208" i="2"/>
  <c r="BP1208" i="2"/>
  <c r="BO1208" i="2"/>
  <c r="BF1208" i="2" s="1"/>
  <c r="BN1208" i="2"/>
  <c r="BM1208" i="2"/>
  <c r="BL1208" i="2"/>
  <c r="BK1208" i="2"/>
  <c r="BD1208" i="2" s="1"/>
  <c r="BJ1208" i="2"/>
  <c r="BI1208" i="2"/>
  <c r="BH1208" i="2"/>
  <c r="AX1208" i="2" s="1"/>
  <c r="BC1208" i="2"/>
  <c r="AY1208" i="2"/>
  <c r="AV1208" i="2"/>
  <c r="F1208" i="2"/>
  <c r="D1208" i="2"/>
  <c r="C1208" i="2"/>
  <c r="DN1207" i="2"/>
  <c r="DM1207" i="2"/>
  <c r="DJ1207" i="2"/>
  <c r="DI1207" i="2"/>
  <c r="DL1207" i="2" s="1"/>
  <c r="DH1207" i="2"/>
  <c r="DG1207" i="2"/>
  <c r="DF1207" i="2"/>
  <c r="DE1207" i="2"/>
  <c r="DK1207" i="2" s="1"/>
  <c r="DD1207" i="2"/>
  <c r="DC1207" i="2"/>
  <c r="DA1207" i="2"/>
  <c r="CZ1207" i="2"/>
  <c r="CY1207" i="2"/>
  <c r="BQ1207" i="2"/>
  <c r="BP1207" i="2"/>
  <c r="BO1207" i="2"/>
  <c r="BN1207" i="2"/>
  <c r="BM1207" i="2"/>
  <c r="BL1207" i="2"/>
  <c r="BK1207" i="2"/>
  <c r="BJ1207" i="2"/>
  <c r="BI1207" i="2"/>
  <c r="BH1207" i="2"/>
  <c r="BE1207" i="2"/>
  <c r="F1207" i="2"/>
  <c r="D1207" i="2"/>
  <c r="C1207" i="2"/>
  <c r="DN1206" i="2"/>
  <c r="DM1206" i="2"/>
  <c r="CY1206" i="2"/>
  <c r="BQ1206" i="2"/>
  <c r="BP1206" i="2"/>
  <c r="BO1206" i="2"/>
  <c r="BN1206" i="2"/>
  <c r="BM1206" i="2"/>
  <c r="BL1206" i="2"/>
  <c r="BK1206" i="2"/>
  <c r="BJ1206" i="2"/>
  <c r="BI1206" i="2"/>
  <c r="AZ1206" i="2" s="1"/>
  <c r="BH1206" i="2"/>
  <c r="AX1206" i="2" s="1"/>
  <c r="F1206" i="2"/>
  <c r="D1206" i="2"/>
  <c r="C1206" i="2"/>
  <c r="DM1205" i="2"/>
  <c r="DN1205" i="2" s="1"/>
  <c r="CX1205" i="2"/>
  <c r="BQ1205" i="2"/>
  <c r="BG1205" i="2" s="1"/>
  <c r="BP1205" i="2"/>
  <c r="BO1205" i="2"/>
  <c r="BN1205" i="2"/>
  <c r="BM1205" i="2"/>
  <c r="BL1205" i="2"/>
  <c r="BK1205" i="2"/>
  <c r="BJ1205" i="2"/>
  <c r="BI1205" i="2"/>
  <c r="BH1205" i="2"/>
  <c r="AY1205" i="2"/>
  <c r="AX1205" i="2"/>
  <c r="AV1205" i="2"/>
  <c r="F1205" i="2"/>
  <c r="D1205" i="2"/>
  <c r="C1205" i="2"/>
  <c r="DN1204" i="2"/>
  <c r="DE1204" i="2" s="1"/>
  <c r="DK1204" i="2" s="1"/>
  <c r="DM1204" i="2"/>
  <c r="DI1204" i="2"/>
  <c r="DL1204" i="2" s="1"/>
  <c r="DG1204" i="2"/>
  <c r="DC1204" i="2"/>
  <c r="CZ1204" i="2"/>
  <c r="CX1204" i="2"/>
  <c r="BQ1204" i="2"/>
  <c r="BE1204" i="2" s="1"/>
  <c r="BP1204" i="2"/>
  <c r="BF1204" i="2" s="1"/>
  <c r="BO1204" i="2"/>
  <c r="BN1204" i="2"/>
  <c r="BM1204" i="2"/>
  <c r="BL1204" i="2"/>
  <c r="BK1204" i="2"/>
  <c r="BD1204" i="2" s="1"/>
  <c r="BJ1204" i="2"/>
  <c r="BI1204" i="2"/>
  <c r="BC1204" i="2" s="1"/>
  <c r="BH1204" i="2"/>
  <c r="AY1204" i="2"/>
  <c r="AX1204" i="2"/>
  <c r="AV1204" i="2"/>
  <c r="F1204" i="2"/>
  <c r="D1204" i="2"/>
  <c r="C1204" i="2"/>
  <c r="DM1203" i="2"/>
  <c r="DN1203" i="2" s="1"/>
  <c r="DH1203" i="2" s="1"/>
  <c r="DI1203" i="2"/>
  <c r="DL1203" i="2" s="1"/>
  <c r="DG1203" i="2"/>
  <c r="DF1203" i="2"/>
  <c r="DC1203" i="2"/>
  <c r="DB1203" i="2"/>
  <c r="DA1203" i="2"/>
  <c r="DJ1203" i="2" s="1"/>
  <c r="CZ1203" i="2"/>
  <c r="CY1203" i="2"/>
  <c r="BQ1203" i="2"/>
  <c r="BP1203" i="2"/>
  <c r="BO1203" i="2"/>
  <c r="BN1203" i="2"/>
  <c r="BM1203" i="2"/>
  <c r="BL1203" i="2"/>
  <c r="BK1203" i="2"/>
  <c r="BJ1203" i="2"/>
  <c r="BI1203" i="2"/>
  <c r="BH1203" i="2"/>
  <c r="BF1203" i="2"/>
  <c r="BE1203" i="2"/>
  <c r="BC1203" i="2"/>
  <c r="AX1203" i="2"/>
  <c r="AV1203" i="2"/>
  <c r="F1203" i="2"/>
  <c r="D1203" i="2"/>
  <c r="C1203" i="2"/>
  <c r="DN1202" i="2"/>
  <c r="DM1202" i="2"/>
  <c r="DI1202" i="2"/>
  <c r="DL1202" i="2" s="1"/>
  <c r="DH1202" i="2"/>
  <c r="DG1202" i="2"/>
  <c r="DF1202" i="2"/>
  <c r="DE1202" i="2"/>
  <c r="DK1202" i="2" s="1"/>
  <c r="DD1202" i="2"/>
  <c r="DC1202" i="2"/>
  <c r="DB1202" i="2"/>
  <c r="DA1202" i="2"/>
  <c r="DJ1202" i="2" s="1"/>
  <c r="CX1202" i="2"/>
  <c r="BQ1202" i="2"/>
  <c r="BP1202" i="2"/>
  <c r="BO1202" i="2"/>
  <c r="BN1202" i="2"/>
  <c r="BM1202" i="2"/>
  <c r="AV1202" i="2" s="1"/>
  <c r="BL1202" i="2"/>
  <c r="BK1202" i="2"/>
  <c r="BJ1202" i="2"/>
  <c r="BF1202" i="2" s="1"/>
  <c r="BI1202" i="2"/>
  <c r="AZ1202" i="2" s="1"/>
  <c r="BH1202" i="2"/>
  <c r="AX1202" i="2" s="1"/>
  <c r="BG1202" i="2"/>
  <c r="BE1202" i="2"/>
  <c r="F1202" i="2"/>
  <c r="D1202" i="2"/>
  <c r="C1202" i="2"/>
  <c r="DM1201" i="2"/>
  <c r="DN1201" i="2" s="1"/>
  <c r="DI1201" i="2"/>
  <c r="DL1201" i="2" s="1"/>
  <c r="DH1201" i="2"/>
  <c r="DG1201" i="2"/>
  <c r="DF1201" i="2"/>
  <c r="DE1201" i="2"/>
  <c r="DK1201" i="2" s="1"/>
  <c r="DD1201" i="2"/>
  <c r="DC1201" i="2"/>
  <c r="DA1201" i="2"/>
  <c r="DJ1201" i="2" s="1"/>
  <c r="CX1201" i="2"/>
  <c r="BQ1201" i="2"/>
  <c r="BP1201" i="2"/>
  <c r="BO1201" i="2"/>
  <c r="BN1201" i="2"/>
  <c r="BM1201" i="2"/>
  <c r="AV1201" i="2" s="1"/>
  <c r="BL1201" i="2"/>
  <c r="BK1201" i="2"/>
  <c r="BF1201" i="2" s="1"/>
  <c r="BJ1201" i="2"/>
  <c r="BI1201" i="2"/>
  <c r="BH1201" i="2"/>
  <c r="BE1201" i="2" s="1"/>
  <c r="F1201" i="2"/>
  <c r="D1201" i="2"/>
  <c r="C1201" i="2"/>
  <c r="DM1200" i="2"/>
  <c r="DN1200" i="2" s="1"/>
  <c r="DC1200" i="2"/>
  <c r="CZ1200" i="2"/>
  <c r="BQ1200" i="2"/>
  <c r="BG1200" i="2" s="1"/>
  <c r="BP1200" i="2"/>
  <c r="BF1200" i="2" s="1"/>
  <c r="BO1200" i="2"/>
  <c r="BN1200" i="2"/>
  <c r="BC1200" i="2" s="1"/>
  <c r="BM1200" i="2"/>
  <c r="BL1200" i="2"/>
  <c r="BD1200" i="2" s="1"/>
  <c r="BK1200" i="2"/>
  <c r="BJ1200" i="2"/>
  <c r="BI1200" i="2"/>
  <c r="BH1200" i="2"/>
  <c r="AX1200" i="2"/>
  <c r="AV1200" i="2"/>
  <c r="F1200" i="2"/>
  <c r="D1200" i="2"/>
  <c r="C1200" i="2"/>
  <c r="DM1199" i="2"/>
  <c r="DN1199" i="2" s="1"/>
  <c r="DF1199" i="2" s="1"/>
  <c r="CY1199" i="2"/>
  <c r="BQ1199" i="2"/>
  <c r="BP1199" i="2"/>
  <c r="BO1199" i="2"/>
  <c r="BF1199" i="2" s="1"/>
  <c r="BN1199" i="2"/>
  <c r="BM1199" i="2"/>
  <c r="BL1199" i="2"/>
  <c r="BK1199" i="2"/>
  <c r="BJ1199" i="2"/>
  <c r="BI1199" i="2"/>
  <c r="BH1199" i="2"/>
  <c r="AY1199" i="2" s="1"/>
  <c r="BD1199" i="2"/>
  <c r="AZ1199" i="2"/>
  <c r="F1199" i="2"/>
  <c r="D1199" i="2"/>
  <c r="C1199" i="2"/>
  <c r="DN1198" i="2"/>
  <c r="DM1198" i="2"/>
  <c r="DD1198" i="2"/>
  <c r="DB1198" i="2"/>
  <c r="CY1198" i="2"/>
  <c r="CX1198" i="2"/>
  <c r="BQ1198" i="2"/>
  <c r="BP1198" i="2"/>
  <c r="BO1198" i="2"/>
  <c r="BN1198" i="2"/>
  <c r="BM1198" i="2"/>
  <c r="BL1198" i="2"/>
  <c r="BK1198" i="2"/>
  <c r="BJ1198" i="2"/>
  <c r="BI1198" i="2"/>
  <c r="BH1198" i="2"/>
  <c r="BF1198" i="2"/>
  <c r="BC1198" i="2"/>
  <c r="AZ1198" i="2"/>
  <c r="AY1198" i="2"/>
  <c r="AX1198" i="2"/>
  <c r="AV1198" i="2"/>
  <c r="F1198" i="2"/>
  <c r="D1198" i="2"/>
  <c r="C1198" i="2"/>
  <c r="DN1197" i="2"/>
  <c r="DI1197" i="2" s="1"/>
  <c r="DL1197" i="2" s="1"/>
  <c r="DM1197" i="2"/>
  <c r="DG1197" i="2"/>
  <c r="DE1197" i="2"/>
  <c r="DK1197" i="2" s="1"/>
  <c r="BQ1197" i="2"/>
  <c r="BP1197" i="2"/>
  <c r="BF1197" i="2" s="1"/>
  <c r="BO1197" i="2"/>
  <c r="BN1197" i="2"/>
  <c r="BM1197" i="2"/>
  <c r="BG1197" i="2" s="1"/>
  <c r="BL1197" i="2"/>
  <c r="BK1197" i="2"/>
  <c r="BD1197" i="2" s="1"/>
  <c r="BJ1197" i="2"/>
  <c r="BI1197" i="2"/>
  <c r="BH1197" i="2"/>
  <c r="AX1197" i="2"/>
  <c r="AV1197" i="2"/>
  <c r="F1197" i="2"/>
  <c r="D1197" i="2"/>
  <c r="C1197" i="2"/>
  <c r="DN1196" i="2"/>
  <c r="DM1196" i="2"/>
  <c r="DI1196" i="2"/>
  <c r="DL1196" i="2" s="1"/>
  <c r="DD1196" i="2"/>
  <c r="DA1196" i="2"/>
  <c r="DJ1196" i="2" s="1"/>
  <c r="CX1196" i="2"/>
  <c r="BQ1196" i="2"/>
  <c r="BE1196" i="2" s="1"/>
  <c r="BP1196" i="2"/>
  <c r="BO1196" i="2"/>
  <c r="BF1196" i="2" s="1"/>
  <c r="BN1196" i="2"/>
  <c r="BM1196" i="2"/>
  <c r="BL1196" i="2"/>
  <c r="BK1196" i="2"/>
  <c r="BC1196" i="2" s="1"/>
  <c r="BJ1196" i="2"/>
  <c r="BI1196" i="2"/>
  <c r="BH1196" i="2"/>
  <c r="BD1196" i="2"/>
  <c r="AZ1196" i="2"/>
  <c r="AY1196" i="2"/>
  <c r="AX1196" i="2"/>
  <c r="AW1196" i="2"/>
  <c r="AV1196" i="2"/>
  <c r="F1196" i="2"/>
  <c r="D1196" i="2"/>
  <c r="C1196" i="2"/>
  <c r="DM1195" i="2"/>
  <c r="DN1195" i="2" s="1"/>
  <c r="DG1195" i="2" s="1"/>
  <c r="DH1195" i="2"/>
  <c r="DE1195" i="2"/>
  <c r="DK1195" i="2" s="1"/>
  <c r="CY1195" i="2"/>
  <c r="BQ1195" i="2"/>
  <c r="BP1195" i="2"/>
  <c r="BO1195" i="2"/>
  <c r="BN1195" i="2"/>
  <c r="BM1195" i="2"/>
  <c r="BD1195" i="2" s="1"/>
  <c r="BL1195" i="2"/>
  <c r="BK1195" i="2"/>
  <c r="BJ1195" i="2"/>
  <c r="BF1195" i="2" s="1"/>
  <c r="BI1195" i="2"/>
  <c r="BH1195" i="2"/>
  <c r="AZ1195" i="2"/>
  <c r="AX1195" i="2"/>
  <c r="F1195" i="2"/>
  <c r="D1195" i="2"/>
  <c r="C1195" i="2"/>
  <c r="DN1194" i="2"/>
  <c r="DM1194" i="2"/>
  <c r="DH1194" i="2"/>
  <c r="DD1194" i="2"/>
  <c r="CZ1194" i="2"/>
  <c r="BQ1194" i="2"/>
  <c r="BP1194" i="2"/>
  <c r="BO1194" i="2"/>
  <c r="BN1194" i="2"/>
  <c r="AZ1194" i="2" s="1"/>
  <c r="BM1194" i="2"/>
  <c r="BL1194" i="2"/>
  <c r="BK1194" i="2"/>
  <c r="BJ1194" i="2"/>
  <c r="BI1194" i="2"/>
  <c r="BC1194" i="2" s="1"/>
  <c r="BH1194" i="2"/>
  <c r="AY1194" i="2" s="1"/>
  <c r="BD1194" i="2"/>
  <c r="AV1194" i="2"/>
  <c r="F1194" i="2"/>
  <c r="D1194" i="2"/>
  <c r="C1194" i="2"/>
  <c r="DN1193" i="2"/>
  <c r="DM1193" i="2"/>
  <c r="BQ1193" i="2"/>
  <c r="BP1193" i="2"/>
  <c r="BE1193" i="2" s="1"/>
  <c r="BO1193" i="2"/>
  <c r="BN1193" i="2"/>
  <c r="BM1193" i="2"/>
  <c r="BL1193" i="2"/>
  <c r="BK1193" i="2"/>
  <c r="BJ1193" i="2"/>
  <c r="BI1193" i="2"/>
  <c r="AZ1193" i="2" s="1"/>
  <c r="BH1193" i="2"/>
  <c r="AX1193" i="2" s="1"/>
  <c r="BG1193" i="2"/>
  <c r="F1193" i="2"/>
  <c r="D1193" i="2"/>
  <c r="C1193" i="2"/>
  <c r="DN1192" i="2"/>
  <c r="DH1192" i="2" s="1"/>
  <c r="DM1192" i="2"/>
  <c r="DD1192" i="2"/>
  <c r="DB1192" i="2"/>
  <c r="CX1192" i="2"/>
  <c r="BQ1192" i="2"/>
  <c r="BG1192" i="2" s="1"/>
  <c r="BP1192" i="2"/>
  <c r="BO1192" i="2"/>
  <c r="BN1192" i="2"/>
  <c r="BM1192" i="2"/>
  <c r="BL1192" i="2"/>
  <c r="BK1192" i="2"/>
  <c r="BJ1192" i="2"/>
  <c r="BI1192" i="2"/>
  <c r="BC1192" i="2" s="1"/>
  <c r="BH1192" i="2"/>
  <c r="BD1192" i="2"/>
  <c r="AY1192" i="2"/>
  <c r="AX1192" i="2"/>
  <c r="AV1192" i="2"/>
  <c r="F1192" i="2"/>
  <c r="D1192" i="2"/>
  <c r="C1192" i="2"/>
  <c r="DN1191" i="2"/>
  <c r="DH1191" i="2" s="1"/>
  <c r="DM1191" i="2"/>
  <c r="DL1191" i="2"/>
  <c r="DI1191" i="2"/>
  <c r="DF1191" i="2"/>
  <c r="DB1191" i="2"/>
  <c r="BQ1191" i="2"/>
  <c r="BG1191" i="2" s="1"/>
  <c r="BP1191" i="2"/>
  <c r="BO1191" i="2"/>
  <c r="BN1191" i="2"/>
  <c r="BM1191" i="2"/>
  <c r="BL1191" i="2"/>
  <c r="BK1191" i="2"/>
  <c r="BJ1191" i="2"/>
  <c r="AV1191" i="2" s="1"/>
  <c r="BI1191" i="2"/>
  <c r="BH1191" i="2"/>
  <c r="BE1191" i="2"/>
  <c r="AX1191" i="2"/>
  <c r="F1191" i="2"/>
  <c r="D1191" i="2"/>
  <c r="C1191" i="2"/>
  <c r="DN1190" i="2"/>
  <c r="CY1190" i="2" s="1"/>
  <c r="DM1190" i="2"/>
  <c r="DH1190" i="2"/>
  <c r="DF1190" i="2"/>
  <c r="DC1190" i="2"/>
  <c r="DB1190" i="2"/>
  <c r="DA1190" i="2"/>
  <c r="DJ1190" i="2" s="1"/>
  <c r="CZ1190" i="2"/>
  <c r="BQ1190" i="2"/>
  <c r="BP1190" i="2"/>
  <c r="BO1190" i="2"/>
  <c r="BF1190" i="2" s="1"/>
  <c r="BN1190" i="2"/>
  <c r="BM1190" i="2"/>
  <c r="BG1190" i="2" s="1"/>
  <c r="BL1190" i="2"/>
  <c r="BK1190" i="2"/>
  <c r="BJ1190" i="2"/>
  <c r="BI1190" i="2"/>
  <c r="BC1190" i="2" s="1"/>
  <c r="BH1190" i="2"/>
  <c r="AY1190" i="2" s="1"/>
  <c r="BE1190" i="2"/>
  <c r="BD1190" i="2"/>
  <c r="AZ1190" i="2"/>
  <c r="AX1190" i="2"/>
  <c r="AV1190" i="2"/>
  <c r="F1190" i="2"/>
  <c r="D1190" i="2"/>
  <c r="C1190" i="2"/>
  <c r="DM1189" i="2"/>
  <c r="DN1189" i="2" s="1"/>
  <c r="DH1189" i="2" s="1"/>
  <c r="BQ1189" i="2"/>
  <c r="BP1189" i="2"/>
  <c r="BO1189" i="2"/>
  <c r="BN1189" i="2"/>
  <c r="BM1189" i="2"/>
  <c r="BL1189" i="2"/>
  <c r="BK1189" i="2"/>
  <c r="BJ1189" i="2"/>
  <c r="BI1189" i="2"/>
  <c r="BE1189" i="2" s="1"/>
  <c r="BH1189" i="2"/>
  <c r="AX1189" i="2"/>
  <c r="F1189" i="2"/>
  <c r="D1189" i="2"/>
  <c r="C1189" i="2"/>
  <c r="DN1188" i="2"/>
  <c r="DD1188" i="2" s="1"/>
  <c r="DM1188" i="2"/>
  <c r="DK1188" i="2"/>
  <c r="DI1188" i="2"/>
  <c r="DL1188" i="2" s="1"/>
  <c r="DH1188" i="2"/>
  <c r="DG1188" i="2"/>
  <c r="DF1188" i="2"/>
  <c r="DE1188" i="2"/>
  <c r="DC1188" i="2"/>
  <c r="DA1188" i="2"/>
  <c r="DJ1188" i="2" s="1"/>
  <c r="CY1188" i="2"/>
  <c r="CX1188" i="2"/>
  <c r="BQ1188" i="2"/>
  <c r="BP1188" i="2"/>
  <c r="BO1188" i="2"/>
  <c r="BN1188" i="2"/>
  <c r="BM1188" i="2"/>
  <c r="BG1188" i="2" s="1"/>
  <c r="BL1188" i="2"/>
  <c r="BK1188" i="2"/>
  <c r="BJ1188" i="2"/>
  <c r="AV1188" i="2" s="1"/>
  <c r="BI1188" i="2"/>
  <c r="BH1188" i="2"/>
  <c r="AX1188" i="2"/>
  <c r="F1188" i="2"/>
  <c r="D1188" i="2"/>
  <c r="C1188" i="2"/>
  <c r="DM1187" i="2"/>
  <c r="DN1187" i="2" s="1"/>
  <c r="DF1187" i="2" s="1"/>
  <c r="DH1187" i="2"/>
  <c r="DA1187" i="2"/>
  <c r="DJ1187" i="2" s="1"/>
  <c r="CZ1187" i="2"/>
  <c r="CX1187" i="2"/>
  <c r="BQ1187" i="2"/>
  <c r="BP1187" i="2"/>
  <c r="BO1187" i="2"/>
  <c r="BN1187" i="2"/>
  <c r="BM1187" i="2"/>
  <c r="AV1187" i="2" s="1"/>
  <c r="BL1187" i="2"/>
  <c r="BK1187" i="2"/>
  <c r="BJ1187" i="2"/>
  <c r="BF1187" i="2" s="1"/>
  <c r="BI1187" i="2"/>
  <c r="BC1187" i="2" s="1"/>
  <c r="BH1187" i="2"/>
  <c r="BG1187" i="2" s="1"/>
  <c r="BD1187" i="2"/>
  <c r="AZ1187" i="2"/>
  <c r="F1187" i="2"/>
  <c r="D1187" i="2"/>
  <c r="C1187" i="2"/>
  <c r="DM1186" i="2"/>
  <c r="DN1186" i="2" s="1"/>
  <c r="BQ1186" i="2"/>
  <c r="BP1186" i="2"/>
  <c r="BO1186" i="2"/>
  <c r="BN1186" i="2"/>
  <c r="BM1186" i="2"/>
  <c r="BG1186" i="2" s="1"/>
  <c r="BL1186" i="2"/>
  <c r="BK1186" i="2"/>
  <c r="BJ1186" i="2"/>
  <c r="BF1186" i="2" s="1"/>
  <c r="BI1186" i="2"/>
  <c r="BH1186" i="2"/>
  <c r="BC1186" i="2"/>
  <c r="AZ1186" i="2"/>
  <c r="AY1186" i="2"/>
  <c r="AX1186" i="2"/>
  <c r="AV1186" i="2"/>
  <c r="F1186" i="2"/>
  <c r="D1186" i="2"/>
  <c r="C1186" i="2"/>
  <c r="DM1185" i="2"/>
  <c r="DN1185" i="2" s="1"/>
  <c r="DI1185" i="2" s="1"/>
  <c r="DL1185" i="2" s="1"/>
  <c r="DH1185" i="2"/>
  <c r="DG1185" i="2"/>
  <c r="DF1185" i="2"/>
  <c r="DD1185" i="2"/>
  <c r="DC1185" i="2"/>
  <c r="CX1185" i="2"/>
  <c r="BQ1185" i="2"/>
  <c r="BP1185" i="2"/>
  <c r="BO1185" i="2"/>
  <c r="BN1185" i="2"/>
  <c r="BM1185" i="2"/>
  <c r="AV1185" i="2" s="1"/>
  <c r="BL1185" i="2"/>
  <c r="BK1185" i="2"/>
  <c r="BC1185" i="2" s="1"/>
  <c r="BJ1185" i="2"/>
  <c r="BI1185" i="2"/>
  <c r="BH1185" i="2"/>
  <c r="BG1185" i="2"/>
  <c r="BF1185" i="2"/>
  <c r="BD1185" i="2"/>
  <c r="AZ1185" i="2"/>
  <c r="F1185" i="2"/>
  <c r="D1185" i="2"/>
  <c r="C1185" i="2"/>
  <c r="DN1184" i="2"/>
  <c r="DH1184" i="2" s="1"/>
  <c r="DM1184" i="2"/>
  <c r="DE1184" i="2"/>
  <c r="DK1184" i="2" s="1"/>
  <c r="DD1184" i="2"/>
  <c r="DC1184" i="2"/>
  <c r="DB1184" i="2"/>
  <c r="CZ1184" i="2"/>
  <c r="CY1184" i="2"/>
  <c r="CX1184" i="2"/>
  <c r="BQ1184" i="2"/>
  <c r="BP1184" i="2"/>
  <c r="BF1184" i="2" s="1"/>
  <c r="BO1184" i="2"/>
  <c r="BN1184" i="2"/>
  <c r="BM1184" i="2"/>
  <c r="BL1184" i="2"/>
  <c r="BK1184" i="2"/>
  <c r="BJ1184" i="2"/>
  <c r="BI1184" i="2"/>
  <c r="BH1184" i="2"/>
  <c r="BG1184" i="2"/>
  <c r="BD1184" i="2"/>
  <c r="BC1184" i="2"/>
  <c r="AZ1184" i="2"/>
  <c r="AX1184" i="2"/>
  <c r="AV1184" i="2"/>
  <c r="F1184" i="2"/>
  <c r="D1184" i="2"/>
  <c r="C1184" i="2"/>
  <c r="DN1183" i="2"/>
  <c r="DM1183" i="2"/>
  <c r="BQ1183" i="2"/>
  <c r="BP1183" i="2"/>
  <c r="BO1183" i="2"/>
  <c r="BN1183" i="2"/>
  <c r="BM1183" i="2"/>
  <c r="BL1183" i="2"/>
  <c r="BK1183" i="2"/>
  <c r="BJ1183" i="2"/>
  <c r="BI1183" i="2"/>
  <c r="BE1183" i="2" s="1"/>
  <c r="BH1183" i="2"/>
  <c r="F1183" i="2"/>
  <c r="D1183" i="2"/>
  <c r="C1183" i="2"/>
  <c r="DM1182" i="2"/>
  <c r="DN1182" i="2" s="1"/>
  <c r="DF1182" i="2" s="1"/>
  <c r="BQ1182" i="2"/>
  <c r="BP1182" i="2"/>
  <c r="BO1182" i="2"/>
  <c r="BN1182" i="2"/>
  <c r="BM1182" i="2"/>
  <c r="BL1182" i="2"/>
  <c r="BK1182" i="2"/>
  <c r="BJ1182" i="2"/>
  <c r="AV1182" i="2" s="1"/>
  <c r="BI1182" i="2"/>
  <c r="BH1182" i="2"/>
  <c r="BF1182" i="2"/>
  <c r="BE1182" i="2"/>
  <c r="AZ1182" i="2"/>
  <c r="F1182" i="2"/>
  <c r="D1182" i="2"/>
  <c r="C1182" i="2"/>
  <c r="DM1181" i="2"/>
  <c r="DN1181" i="2" s="1"/>
  <c r="DI1181" i="2"/>
  <c r="DL1181" i="2" s="1"/>
  <c r="DH1181" i="2"/>
  <c r="DG1181" i="2"/>
  <c r="DE1181" i="2"/>
  <c r="DK1181" i="2" s="1"/>
  <c r="DC1181" i="2"/>
  <c r="DB1181" i="2"/>
  <c r="DA1181" i="2"/>
  <c r="DJ1181" i="2" s="1"/>
  <c r="CZ1181" i="2"/>
  <c r="CY1181" i="2"/>
  <c r="BQ1181" i="2"/>
  <c r="BP1181" i="2"/>
  <c r="BF1181" i="2" s="1"/>
  <c r="BO1181" i="2"/>
  <c r="BN1181" i="2"/>
  <c r="BM1181" i="2"/>
  <c r="AV1181" i="2" s="1"/>
  <c r="BL1181" i="2"/>
  <c r="BK1181" i="2"/>
  <c r="BJ1181" i="2"/>
  <c r="BI1181" i="2"/>
  <c r="AZ1181" i="2" s="1"/>
  <c r="BH1181" i="2"/>
  <c r="BG1181" i="2"/>
  <c r="BE1181" i="2"/>
  <c r="BD1181" i="2"/>
  <c r="AX1181" i="2"/>
  <c r="F1181" i="2"/>
  <c r="D1181" i="2"/>
  <c r="C1181" i="2"/>
  <c r="DN1180" i="2"/>
  <c r="DG1180" i="2" s="1"/>
  <c r="DM1180" i="2"/>
  <c r="DI1180" i="2"/>
  <c r="DL1180" i="2" s="1"/>
  <c r="DH1180" i="2"/>
  <c r="DF1180" i="2"/>
  <c r="DD1180" i="2"/>
  <c r="DB1180" i="2"/>
  <c r="DA1180" i="2"/>
  <c r="DJ1180" i="2" s="1"/>
  <c r="CZ1180" i="2"/>
  <c r="CX1180" i="2"/>
  <c r="BQ1180" i="2"/>
  <c r="BP1180" i="2"/>
  <c r="BO1180" i="2"/>
  <c r="BN1180" i="2"/>
  <c r="BM1180" i="2"/>
  <c r="BL1180" i="2"/>
  <c r="BK1180" i="2"/>
  <c r="BJ1180" i="2"/>
  <c r="BC1180" i="2" s="1"/>
  <c r="BI1180" i="2"/>
  <c r="BH1180" i="2"/>
  <c r="BE1180" i="2"/>
  <c r="BD1180" i="2"/>
  <c r="AZ1180" i="2"/>
  <c r="F1180" i="2"/>
  <c r="D1180" i="2"/>
  <c r="C1180" i="2"/>
  <c r="DM1179" i="2"/>
  <c r="DN1179" i="2" s="1"/>
  <c r="BQ1179" i="2"/>
  <c r="BP1179" i="2"/>
  <c r="BO1179" i="2"/>
  <c r="BN1179" i="2"/>
  <c r="BM1179" i="2"/>
  <c r="BG1179" i="2" s="1"/>
  <c r="BL1179" i="2"/>
  <c r="BD1179" i="2" s="1"/>
  <c r="BK1179" i="2"/>
  <c r="BJ1179" i="2"/>
  <c r="BI1179" i="2"/>
  <c r="BH1179" i="2"/>
  <c r="AX1179" i="2" s="1"/>
  <c r="F1179" i="2"/>
  <c r="D1179" i="2"/>
  <c r="C1179" i="2"/>
  <c r="DN1178" i="2"/>
  <c r="DI1178" i="2" s="1"/>
  <c r="DL1178" i="2" s="1"/>
  <c r="DM1178" i="2"/>
  <c r="BQ1178" i="2"/>
  <c r="BP1178" i="2"/>
  <c r="BO1178" i="2"/>
  <c r="BN1178" i="2"/>
  <c r="BM1178" i="2"/>
  <c r="BL1178" i="2"/>
  <c r="BK1178" i="2"/>
  <c r="BF1178" i="2" s="1"/>
  <c r="BJ1178" i="2"/>
  <c r="BI1178" i="2"/>
  <c r="BE1178" i="2" s="1"/>
  <c r="BH1178" i="2"/>
  <c r="F1178" i="2"/>
  <c r="D1178" i="2"/>
  <c r="C1178" i="2"/>
  <c r="DN1177" i="2"/>
  <c r="DG1177" i="2" s="1"/>
  <c r="DM1177" i="2"/>
  <c r="BQ1177" i="2"/>
  <c r="BP1177" i="2"/>
  <c r="BO1177" i="2"/>
  <c r="BN1177" i="2"/>
  <c r="BM1177" i="2"/>
  <c r="BL1177" i="2"/>
  <c r="BK1177" i="2"/>
  <c r="BJ1177" i="2"/>
  <c r="BI1177" i="2"/>
  <c r="BH1177" i="2"/>
  <c r="AX1177" i="2"/>
  <c r="F1177" i="2"/>
  <c r="D1177" i="2"/>
  <c r="C1177" i="2"/>
  <c r="DN1176" i="2"/>
  <c r="DM1176" i="2"/>
  <c r="CZ1176" i="2"/>
  <c r="BQ1176" i="2"/>
  <c r="BG1176" i="2" s="1"/>
  <c r="BP1176" i="2"/>
  <c r="BO1176" i="2"/>
  <c r="BF1176" i="2" s="1"/>
  <c r="BN1176" i="2"/>
  <c r="BM1176" i="2"/>
  <c r="BL1176" i="2"/>
  <c r="BK1176" i="2"/>
  <c r="BD1176" i="2" s="1"/>
  <c r="BJ1176" i="2"/>
  <c r="BI1176" i="2"/>
  <c r="AZ1176" i="2" s="1"/>
  <c r="BH1176" i="2"/>
  <c r="AY1176" i="2"/>
  <c r="AX1176" i="2"/>
  <c r="AV1176" i="2"/>
  <c r="F1176" i="2"/>
  <c r="D1176" i="2"/>
  <c r="C1176" i="2"/>
  <c r="DM1175" i="2"/>
  <c r="DN1175" i="2" s="1"/>
  <c r="DI1175" i="2" s="1"/>
  <c r="DL1175" i="2" s="1"/>
  <c r="DK1175" i="2"/>
  <c r="DE1175" i="2"/>
  <c r="DD1175" i="2"/>
  <c r="DB1175" i="2"/>
  <c r="CY1175" i="2"/>
  <c r="BQ1175" i="2"/>
  <c r="BP1175" i="2"/>
  <c r="BO1175" i="2"/>
  <c r="BN1175" i="2"/>
  <c r="BM1175" i="2"/>
  <c r="BL1175" i="2"/>
  <c r="BK1175" i="2"/>
  <c r="BJ1175" i="2"/>
  <c r="BI1175" i="2"/>
  <c r="BH1175" i="2"/>
  <c r="BD1175" i="2" s="1"/>
  <c r="BG1175" i="2"/>
  <c r="BF1175" i="2"/>
  <c r="BC1175" i="2"/>
  <c r="AY1175" i="2"/>
  <c r="AX1175" i="2"/>
  <c r="AV1175" i="2"/>
  <c r="F1175" i="2"/>
  <c r="D1175" i="2"/>
  <c r="C1175" i="2"/>
  <c r="DN1174" i="2"/>
  <c r="DE1174" i="2" s="1"/>
  <c r="DK1174" i="2" s="1"/>
  <c r="DM1174" i="2"/>
  <c r="DI1174" i="2"/>
  <c r="DL1174" i="2" s="1"/>
  <c r="DH1174" i="2"/>
  <c r="DF1174" i="2"/>
  <c r="DD1174" i="2"/>
  <c r="DC1174" i="2"/>
  <c r="DB1174" i="2"/>
  <c r="DA1174" i="2"/>
  <c r="DJ1174" i="2" s="1"/>
  <c r="CZ1174" i="2"/>
  <c r="BQ1174" i="2"/>
  <c r="BP1174" i="2"/>
  <c r="BO1174" i="2"/>
  <c r="BN1174" i="2"/>
  <c r="BM1174" i="2"/>
  <c r="BL1174" i="2"/>
  <c r="BK1174" i="2"/>
  <c r="BJ1174" i="2"/>
  <c r="BD1174" i="2" s="1"/>
  <c r="BI1174" i="2"/>
  <c r="BE1174" i="2" s="1"/>
  <c r="BH1174" i="2"/>
  <c r="BG1174" i="2"/>
  <c r="AZ1174" i="2"/>
  <c r="F1174" i="2"/>
  <c r="D1174" i="2"/>
  <c r="C1174" i="2"/>
  <c r="DM1173" i="2"/>
  <c r="DN1173" i="2" s="1"/>
  <c r="DH1173" i="2" s="1"/>
  <c r="DI1173" i="2"/>
  <c r="DL1173" i="2" s="1"/>
  <c r="DG1173" i="2"/>
  <c r="DE1173" i="2"/>
  <c r="DK1173" i="2" s="1"/>
  <c r="DD1173" i="2"/>
  <c r="DC1173" i="2"/>
  <c r="DB1173" i="2"/>
  <c r="CZ1173" i="2"/>
  <c r="CY1173" i="2"/>
  <c r="BQ1173" i="2"/>
  <c r="BP1173" i="2"/>
  <c r="BO1173" i="2"/>
  <c r="BN1173" i="2"/>
  <c r="BM1173" i="2"/>
  <c r="AV1173" i="2" s="1"/>
  <c r="BL1173" i="2"/>
  <c r="BK1173" i="2"/>
  <c r="BJ1173" i="2"/>
  <c r="BI1173" i="2"/>
  <c r="AZ1173" i="2" s="1"/>
  <c r="BH1173" i="2"/>
  <c r="BG1173" i="2" s="1"/>
  <c r="BF1173" i="2"/>
  <c r="BE1173" i="2"/>
  <c r="F1173" i="2"/>
  <c r="D1173" i="2"/>
  <c r="C1173" i="2"/>
  <c r="DN1172" i="2"/>
  <c r="DM1172" i="2"/>
  <c r="DI1172" i="2"/>
  <c r="DL1172" i="2" s="1"/>
  <c r="DH1172" i="2"/>
  <c r="DG1172" i="2"/>
  <c r="DF1172" i="2"/>
  <c r="DC1172" i="2"/>
  <c r="DA1172" i="2"/>
  <c r="DJ1172" i="2" s="1"/>
  <c r="BQ1172" i="2"/>
  <c r="BP1172" i="2"/>
  <c r="BE1172" i="2" s="1"/>
  <c r="BO1172" i="2"/>
  <c r="BN1172" i="2"/>
  <c r="BM1172" i="2"/>
  <c r="BL1172" i="2"/>
  <c r="BK1172" i="2"/>
  <c r="BC1172" i="2" s="1"/>
  <c r="BJ1172" i="2"/>
  <c r="BI1172" i="2"/>
  <c r="BH1172" i="2"/>
  <c r="AZ1172" i="2"/>
  <c r="AX1172" i="2"/>
  <c r="F1172" i="2"/>
  <c r="D1172" i="2"/>
  <c r="C1172" i="2"/>
  <c r="DN1171" i="2"/>
  <c r="DH1171" i="2" s="1"/>
  <c r="DM1171" i="2"/>
  <c r="BQ1171" i="2"/>
  <c r="BP1171" i="2"/>
  <c r="BO1171" i="2"/>
  <c r="BN1171" i="2"/>
  <c r="BM1171" i="2"/>
  <c r="BL1171" i="2"/>
  <c r="BK1171" i="2"/>
  <c r="BJ1171" i="2"/>
  <c r="BI1171" i="2"/>
  <c r="BH1171" i="2"/>
  <c r="AX1171" i="2" s="1"/>
  <c r="F1171" i="2"/>
  <c r="D1171" i="2"/>
  <c r="C1171" i="2"/>
  <c r="DM1170" i="2"/>
  <c r="DN1170" i="2" s="1"/>
  <c r="DE1170" i="2"/>
  <c r="DK1170" i="2" s="1"/>
  <c r="BQ1170" i="2"/>
  <c r="BP1170" i="2"/>
  <c r="BO1170" i="2"/>
  <c r="BN1170" i="2"/>
  <c r="BC1170" i="2" s="1"/>
  <c r="BM1170" i="2"/>
  <c r="BL1170" i="2"/>
  <c r="BK1170" i="2"/>
  <c r="BJ1170" i="2"/>
  <c r="BI1170" i="2"/>
  <c r="BE1170" i="2" s="1"/>
  <c r="BH1170" i="2"/>
  <c r="BF1170" i="2"/>
  <c r="F1170" i="2"/>
  <c r="D1170" i="2"/>
  <c r="C1170" i="2"/>
  <c r="DN1169" i="2"/>
  <c r="DM1169" i="2"/>
  <c r="BQ1169" i="2"/>
  <c r="BP1169" i="2"/>
  <c r="BO1169" i="2"/>
  <c r="BN1169" i="2"/>
  <c r="BM1169" i="2"/>
  <c r="BL1169" i="2"/>
  <c r="BK1169" i="2"/>
  <c r="AY1169" i="2" s="1"/>
  <c r="BJ1169" i="2"/>
  <c r="BI1169" i="2"/>
  <c r="BH1169" i="2"/>
  <c r="AZ1169" i="2"/>
  <c r="AX1169" i="2"/>
  <c r="F1169" i="2"/>
  <c r="D1169" i="2"/>
  <c r="C1169" i="2"/>
  <c r="DN1168" i="2"/>
  <c r="DA1168" i="2" s="1"/>
  <c r="DJ1168" i="2" s="1"/>
  <c r="DM1168" i="2"/>
  <c r="DH1168" i="2"/>
  <c r="DG1168" i="2"/>
  <c r="DE1168" i="2"/>
  <c r="DK1168" i="2" s="1"/>
  <c r="DD1168" i="2"/>
  <c r="DC1168" i="2"/>
  <c r="DB1168" i="2"/>
  <c r="CY1168" i="2"/>
  <c r="CX1168" i="2"/>
  <c r="BQ1168" i="2"/>
  <c r="BG1168" i="2" s="1"/>
  <c r="BP1168" i="2"/>
  <c r="BO1168" i="2"/>
  <c r="BN1168" i="2"/>
  <c r="BM1168" i="2"/>
  <c r="AV1168" i="2" s="1"/>
  <c r="BL1168" i="2"/>
  <c r="BK1168" i="2"/>
  <c r="BJ1168" i="2"/>
  <c r="BI1168" i="2"/>
  <c r="BH1168" i="2"/>
  <c r="BF1168" i="2"/>
  <c r="AY1168" i="2"/>
  <c r="F1168" i="2"/>
  <c r="D1168" i="2"/>
  <c r="C1168" i="2"/>
  <c r="DN1167" i="2"/>
  <c r="DG1167" i="2" s="1"/>
  <c r="DM1167" i="2"/>
  <c r="DF1167" i="2"/>
  <c r="DD1167" i="2"/>
  <c r="DC1167" i="2"/>
  <c r="BQ1167" i="2"/>
  <c r="BP1167" i="2"/>
  <c r="BO1167" i="2"/>
  <c r="BN1167" i="2"/>
  <c r="BM1167" i="2"/>
  <c r="AV1167" i="2" s="1"/>
  <c r="BL1167" i="2"/>
  <c r="BK1167" i="2"/>
  <c r="BJ1167" i="2"/>
  <c r="BI1167" i="2"/>
  <c r="BC1167" i="2" s="1"/>
  <c r="BH1167" i="2"/>
  <c r="BG1167" i="2"/>
  <c r="BF1167" i="2"/>
  <c r="AZ1167" i="2"/>
  <c r="F1167" i="2"/>
  <c r="D1167" i="2"/>
  <c r="C1167" i="2"/>
  <c r="DM1166" i="2"/>
  <c r="DN1166" i="2" s="1"/>
  <c r="DF1166" i="2" s="1"/>
  <c r="DE1166" i="2"/>
  <c r="DK1166" i="2" s="1"/>
  <c r="DC1166" i="2"/>
  <c r="DB1166" i="2"/>
  <c r="DA1166" i="2"/>
  <c r="DJ1166" i="2" s="1"/>
  <c r="CZ1166" i="2"/>
  <c r="CY1166" i="2"/>
  <c r="BQ1166" i="2"/>
  <c r="BP1166" i="2"/>
  <c r="BO1166" i="2"/>
  <c r="BN1166" i="2"/>
  <c r="BM1166" i="2"/>
  <c r="AV1166" i="2" s="1"/>
  <c r="BL1166" i="2"/>
  <c r="BK1166" i="2"/>
  <c r="BJ1166" i="2"/>
  <c r="BI1166" i="2"/>
  <c r="AZ1166" i="2" s="1"/>
  <c r="BH1166" i="2"/>
  <c r="BG1166" i="2"/>
  <c r="BD1166" i="2"/>
  <c r="BC1166" i="2"/>
  <c r="AY1166" i="2"/>
  <c r="AX1166" i="2"/>
  <c r="AW1166" i="2"/>
  <c r="F1166" i="2"/>
  <c r="D1166" i="2"/>
  <c r="C1166" i="2"/>
  <c r="DN1165" i="2"/>
  <c r="DE1165" i="2" s="1"/>
  <c r="DK1165" i="2" s="1"/>
  <c r="DM1165" i="2"/>
  <c r="DD1165" i="2"/>
  <c r="DB1165" i="2"/>
  <c r="BQ1165" i="2"/>
  <c r="BP1165" i="2"/>
  <c r="BO1165" i="2"/>
  <c r="BN1165" i="2"/>
  <c r="AZ1165" i="2" s="1"/>
  <c r="BM1165" i="2"/>
  <c r="BG1165" i="2" s="1"/>
  <c r="BL1165" i="2"/>
  <c r="BK1165" i="2"/>
  <c r="BJ1165" i="2"/>
  <c r="BI1165" i="2"/>
  <c r="BC1165" i="2" s="1"/>
  <c r="BH1165" i="2"/>
  <c r="AY1165" i="2" s="1"/>
  <c r="BF1165" i="2"/>
  <c r="BE1165" i="2"/>
  <c r="BD1165" i="2"/>
  <c r="AV1165" i="2"/>
  <c r="F1165" i="2"/>
  <c r="D1165" i="2"/>
  <c r="C1165" i="2"/>
  <c r="DN1164" i="2"/>
  <c r="DI1164" i="2" s="1"/>
  <c r="DL1164" i="2" s="1"/>
  <c r="DM1164" i="2"/>
  <c r="DA1164" i="2"/>
  <c r="DJ1164" i="2" s="1"/>
  <c r="CZ1164" i="2"/>
  <c r="CY1164" i="2"/>
  <c r="BQ1164" i="2"/>
  <c r="BP1164" i="2"/>
  <c r="BO1164" i="2"/>
  <c r="BE1164" i="2" s="1"/>
  <c r="BN1164" i="2"/>
  <c r="BM1164" i="2"/>
  <c r="BD1164" i="2" s="1"/>
  <c r="BL1164" i="2"/>
  <c r="BK1164" i="2"/>
  <c r="BJ1164" i="2"/>
  <c r="BI1164" i="2"/>
  <c r="BH1164" i="2"/>
  <c r="AX1164" i="2" s="1"/>
  <c r="AY1164" i="2"/>
  <c r="F1164" i="2"/>
  <c r="D1164" i="2"/>
  <c r="C1164" i="2"/>
  <c r="DN1163" i="2"/>
  <c r="DB1163" i="2" s="1"/>
  <c r="DM1163" i="2"/>
  <c r="DC1163" i="2"/>
  <c r="BQ1163" i="2"/>
  <c r="BP1163" i="2"/>
  <c r="BO1163" i="2"/>
  <c r="BN1163" i="2"/>
  <c r="AZ1163" i="2" s="1"/>
  <c r="BM1163" i="2"/>
  <c r="BL1163" i="2"/>
  <c r="AY1163" i="2" s="1"/>
  <c r="BK1163" i="2"/>
  <c r="BJ1163" i="2"/>
  <c r="BI1163" i="2"/>
  <c r="BE1163" i="2" s="1"/>
  <c r="BH1163" i="2"/>
  <c r="BF1163" i="2"/>
  <c r="BC1163" i="2"/>
  <c r="AX1163" i="2"/>
  <c r="F1163" i="2"/>
  <c r="D1163" i="2"/>
  <c r="C1163" i="2"/>
  <c r="DN1162" i="2"/>
  <c r="CY1162" i="2" s="1"/>
  <c r="DM1162" i="2"/>
  <c r="DA1162" i="2"/>
  <c r="DJ1162" i="2" s="1"/>
  <c r="BQ1162" i="2"/>
  <c r="BE1162" i="2" s="1"/>
  <c r="BP1162" i="2"/>
  <c r="BF1162" i="2" s="1"/>
  <c r="BO1162" i="2"/>
  <c r="BN1162" i="2"/>
  <c r="BM1162" i="2"/>
  <c r="BL1162" i="2"/>
  <c r="AY1162" i="2" s="1"/>
  <c r="BK1162" i="2"/>
  <c r="BC1162" i="2" s="1"/>
  <c r="BJ1162" i="2"/>
  <c r="BI1162" i="2"/>
  <c r="BH1162" i="2"/>
  <c r="AZ1162" i="2"/>
  <c r="AX1162" i="2"/>
  <c r="F1162" i="2"/>
  <c r="D1162" i="2"/>
  <c r="C1162" i="2"/>
  <c r="DM1161" i="2"/>
  <c r="DN1161" i="2" s="1"/>
  <c r="DA1161" i="2" s="1"/>
  <c r="DJ1161" i="2" s="1"/>
  <c r="CX1161" i="2"/>
  <c r="BQ1161" i="2"/>
  <c r="BP1161" i="2"/>
  <c r="BO1161" i="2"/>
  <c r="BN1161" i="2"/>
  <c r="BM1161" i="2"/>
  <c r="BL1161" i="2"/>
  <c r="BD1161" i="2" s="1"/>
  <c r="BK1161" i="2"/>
  <c r="AY1161" i="2" s="1"/>
  <c r="BJ1161" i="2"/>
  <c r="BI1161" i="2"/>
  <c r="BC1161" i="2" s="1"/>
  <c r="BH1161" i="2"/>
  <c r="BG1161" i="2" s="1"/>
  <c r="BE1161" i="2"/>
  <c r="AZ1161" i="2"/>
  <c r="AX1161" i="2"/>
  <c r="F1161" i="2"/>
  <c r="D1161" i="2"/>
  <c r="C1161" i="2"/>
  <c r="DM1160" i="2"/>
  <c r="DN1160" i="2" s="1"/>
  <c r="CY1160" i="2" s="1"/>
  <c r="BQ1160" i="2"/>
  <c r="BP1160" i="2"/>
  <c r="BO1160" i="2"/>
  <c r="BN1160" i="2"/>
  <c r="BM1160" i="2"/>
  <c r="BL1160" i="2"/>
  <c r="BK1160" i="2"/>
  <c r="BJ1160" i="2"/>
  <c r="AV1160" i="2" s="1"/>
  <c r="BI1160" i="2"/>
  <c r="BH1160" i="2"/>
  <c r="AX1160" i="2"/>
  <c r="F1160" i="2"/>
  <c r="D1160" i="2"/>
  <c r="C1160" i="2"/>
  <c r="DN1159" i="2"/>
  <c r="DD1159" i="2" s="1"/>
  <c r="DM1159" i="2"/>
  <c r="DI1159" i="2"/>
  <c r="DL1159" i="2" s="1"/>
  <c r="DH1159" i="2"/>
  <c r="DF1159" i="2"/>
  <c r="DE1159" i="2"/>
  <c r="DK1159" i="2" s="1"/>
  <c r="CY1159" i="2"/>
  <c r="CX1159" i="2"/>
  <c r="BQ1159" i="2"/>
  <c r="BP1159" i="2"/>
  <c r="BO1159" i="2"/>
  <c r="BN1159" i="2"/>
  <c r="BM1159" i="2"/>
  <c r="BL1159" i="2"/>
  <c r="BK1159" i="2"/>
  <c r="BJ1159" i="2"/>
  <c r="BI1159" i="2"/>
  <c r="AZ1159" i="2" s="1"/>
  <c r="BH1159" i="2"/>
  <c r="AX1159" i="2" s="1"/>
  <c r="BC1159" i="2"/>
  <c r="AV1159" i="2"/>
  <c r="F1159" i="2"/>
  <c r="D1159" i="2"/>
  <c r="C1159" i="2"/>
  <c r="DM1158" i="2"/>
  <c r="DN1158" i="2" s="1"/>
  <c r="DE1158" i="2" s="1"/>
  <c r="DK1158" i="2" s="1"/>
  <c r="BQ1158" i="2"/>
  <c r="BP1158" i="2"/>
  <c r="BO1158" i="2"/>
  <c r="BN1158" i="2"/>
  <c r="BM1158" i="2"/>
  <c r="AV1158" i="2" s="1"/>
  <c r="BL1158" i="2"/>
  <c r="AY1158" i="2" s="1"/>
  <c r="BK1158" i="2"/>
  <c r="BJ1158" i="2"/>
  <c r="BF1158" i="2" s="1"/>
  <c r="BI1158" i="2"/>
  <c r="BH1158" i="2"/>
  <c r="AZ1158" i="2"/>
  <c r="F1158" i="2"/>
  <c r="D1158" i="2"/>
  <c r="C1158" i="2"/>
  <c r="DM1157" i="2"/>
  <c r="DN1157" i="2" s="1"/>
  <c r="DC1157" i="2"/>
  <c r="BQ1157" i="2"/>
  <c r="BP1157" i="2"/>
  <c r="BO1157" i="2"/>
  <c r="BN1157" i="2"/>
  <c r="AZ1157" i="2" s="1"/>
  <c r="BM1157" i="2"/>
  <c r="BL1157" i="2"/>
  <c r="BK1157" i="2"/>
  <c r="BJ1157" i="2"/>
  <c r="BI1157" i="2"/>
  <c r="BH1157" i="2"/>
  <c r="AX1157" i="2"/>
  <c r="AV1157" i="2"/>
  <c r="F1157" i="2"/>
  <c r="D1157" i="2"/>
  <c r="C1157" i="2"/>
  <c r="DM1156" i="2"/>
  <c r="DN1156" i="2" s="1"/>
  <c r="DC1156" i="2" s="1"/>
  <c r="DK1156" i="2"/>
  <c r="DI1156" i="2"/>
  <c r="DL1156" i="2" s="1"/>
  <c r="DH1156" i="2"/>
  <c r="DG1156" i="2"/>
  <c r="DF1156" i="2"/>
  <c r="DE1156" i="2"/>
  <c r="DB1156" i="2"/>
  <c r="DA1156" i="2"/>
  <c r="DJ1156" i="2" s="1"/>
  <c r="BQ1156" i="2"/>
  <c r="BG1156" i="2" s="1"/>
  <c r="BP1156" i="2"/>
  <c r="BO1156" i="2"/>
  <c r="BN1156" i="2"/>
  <c r="BM1156" i="2"/>
  <c r="BL1156" i="2"/>
  <c r="BK1156" i="2"/>
  <c r="BF1156" i="2" s="1"/>
  <c r="BJ1156" i="2"/>
  <c r="BI1156" i="2"/>
  <c r="BH1156" i="2"/>
  <c r="AX1156" i="2"/>
  <c r="F1156" i="2"/>
  <c r="D1156" i="2"/>
  <c r="C1156" i="2"/>
  <c r="DN1155" i="2"/>
  <c r="CY1155" i="2" s="1"/>
  <c r="DM1155" i="2"/>
  <c r="DH1155" i="2"/>
  <c r="DG1155" i="2"/>
  <c r="DF1155" i="2"/>
  <c r="DE1155" i="2"/>
  <c r="DK1155" i="2" s="1"/>
  <c r="DD1155" i="2"/>
  <c r="DC1155" i="2"/>
  <c r="DB1155" i="2"/>
  <c r="DA1155" i="2"/>
  <c r="DJ1155" i="2" s="1"/>
  <c r="CZ1155" i="2"/>
  <c r="CX1155" i="2"/>
  <c r="BQ1155" i="2"/>
  <c r="BP1155" i="2"/>
  <c r="BO1155" i="2"/>
  <c r="BF1155" i="2" s="1"/>
  <c r="BN1155" i="2"/>
  <c r="BM1155" i="2"/>
  <c r="BL1155" i="2"/>
  <c r="BK1155" i="2"/>
  <c r="BJ1155" i="2"/>
  <c r="BI1155" i="2"/>
  <c r="BE1155" i="2" s="1"/>
  <c r="BH1155" i="2"/>
  <c r="BD1155" i="2"/>
  <c r="AX1155" i="2"/>
  <c r="AV1155" i="2"/>
  <c r="F1155" i="2"/>
  <c r="D1155" i="2"/>
  <c r="C1155" i="2"/>
  <c r="DM1154" i="2"/>
  <c r="DN1154" i="2" s="1"/>
  <c r="BQ1154" i="2"/>
  <c r="BP1154" i="2"/>
  <c r="BO1154" i="2"/>
  <c r="BN1154" i="2"/>
  <c r="BM1154" i="2"/>
  <c r="BG1154" i="2" s="1"/>
  <c r="BL1154" i="2"/>
  <c r="BK1154" i="2"/>
  <c r="BJ1154" i="2"/>
  <c r="BI1154" i="2"/>
  <c r="BH1154" i="2"/>
  <c r="AX1154" i="2" s="1"/>
  <c r="BC1154" i="2"/>
  <c r="F1154" i="2"/>
  <c r="D1154" i="2"/>
  <c r="C1154" i="2"/>
  <c r="DN1153" i="2"/>
  <c r="DM1153" i="2"/>
  <c r="DI1153" i="2"/>
  <c r="DL1153" i="2" s="1"/>
  <c r="DG1153" i="2"/>
  <c r="CZ1153" i="2"/>
  <c r="CY1153" i="2"/>
  <c r="CX1153" i="2"/>
  <c r="BQ1153" i="2"/>
  <c r="BP1153" i="2"/>
  <c r="BO1153" i="2"/>
  <c r="BN1153" i="2"/>
  <c r="BM1153" i="2"/>
  <c r="BL1153" i="2"/>
  <c r="BD1153" i="2" s="1"/>
  <c r="BK1153" i="2"/>
  <c r="BJ1153" i="2"/>
  <c r="BF1153" i="2" s="1"/>
  <c r="BI1153" i="2"/>
  <c r="BH1153" i="2"/>
  <c r="BE1153" i="2"/>
  <c r="AZ1153" i="2"/>
  <c r="AX1153" i="2"/>
  <c r="F1153" i="2"/>
  <c r="D1153" i="2"/>
  <c r="C1153" i="2"/>
  <c r="DM1152" i="2"/>
  <c r="DN1152" i="2" s="1"/>
  <c r="DG1152" i="2" s="1"/>
  <c r="DH1152" i="2"/>
  <c r="DD1152" i="2"/>
  <c r="DC1152" i="2"/>
  <c r="DB1152" i="2"/>
  <c r="CY1152" i="2"/>
  <c r="CX1152" i="2"/>
  <c r="BQ1152" i="2"/>
  <c r="BP1152" i="2"/>
  <c r="BO1152" i="2"/>
  <c r="BN1152" i="2"/>
  <c r="BM1152" i="2"/>
  <c r="BL1152" i="2"/>
  <c r="BK1152" i="2"/>
  <c r="BJ1152" i="2"/>
  <c r="BI1152" i="2"/>
  <c r="BC1152" i="2" s="1"/>
  <c r="BH1152" i="2"/>
  <c r="BG1152" i="2"/>
  <c r="BF1152" i="2"/>
  <c r="BE1152" i="2"/>
  <c r="AZ1152" i="2"/>
  <c r="AY1152" i="2"/>
  <c r="F1152" i="2"/>
  <c r="D1152" i="2"/>
  <c r="C1152" i="2"/>
  <c r="DM1151" i="2"/>
  <c r="DN1151" i="2" s="1"/>
  <c r="BQ1151" i="2"/>
  <c r="BP1151" i="2"/>
  <c r="BO1151" i="2"/>
  <c r="BN1151" i="2"/>
  <c r="BM1151" i="2"/>
  <c r="AV1151" i="2" s="1"/>
  <c r="BL1151" i="2"/>
  <c r="BK1151" i="2"/>
  <c r="BD1151" i="2" s="1"/>
  <c r="BJ1151" i="2"/>
  <c r="BI1151" i="2"/>
  <c r="BC1151" i="2" s="1"/>
  <c r="BH1151" i="2"/>
  <c r="BG1151" i="2"/>
  <c r="AX1151" i="2"/>
  <c r="F1151" i="2"/>
  <c r="D1151" i="2"/>
  <c r="C1151" i="2"/>
  <c r="DN1150" i="2"/>
  <c r="CY1150" i="2" s="1"/>
  <c r="DM1150" i="2"/>
  <c r="DL1150" i="2"/>
  <c r="DI1150" i="2"/>
  <c r="DH1150" i="2"/>
  <c r="DG1150" i="2"/>
  <c r="DF1150" i="2"/>
  <c r="DE1150" i="2"/>
  <c r="DK1150" i="2" s="1"/>
  <c r="DD1150" i="2"/>
  <c r="DB1150" i="2"/>
  <c r="DA1150" i="2"/>
  <c r="DJ1150" i="2" s="1"/>
  <c r="CZ1150" i="2"/>
  <c r="CX1150" i="2"/>
  <c r="BQ1150" i="2"/>
  <c r="BP1150" i="2"/>
  <c r="BO1150" i="2"/>
  <c r="BN1150" i="2"/>
  <c r="BM1150" i="2"/>
  <c r="BL1150" i="2"/>
  <c r="BK1150" i="2"/>
  <c r="BJ1150" i="2"/>
  <c r="BF1150" i="2" s="1"/>
  <c r="BI1150" i="2"/>
  <c r="BH1150" i="2"/>
  <c r="AX1150" i="2" s="1"/>
  <c r="F1150" i="2"/>
  <c r="D1150" i="2"/>
  <c r="C1150" i="2"/>
  <c r="DM1149" i="2"/>
  <c r="DN1149" i="2" s="1"/>
  <c r="DG1149" i="2" s="1"/>
  <c r="BQ1149" i="2"/>
  <c r="BP1149" i="2"/>
  <c r="BO1149" i="2"/>
  <c r="BN1149" i="2"/>
  <c r="BC1149" i="2" s="1"/>
  <c r="BM1149" i="2"/>
  <c r="BG1149" i="2" s="1"/>
  <c r="BL1149" i="2"/>
  <c r="BK1149" i="2"/>
  <c r="BJ1149" i="2"/>
  <c r="BF1149" i="2" s="1"/>
  <c r="BI1149" i="2"/>
  <c r="BH1149" i="2"/>
  <c r="BE1149" i="2" s="1"/>
  <c r="AZ1149" i="2"/>
  <c r="F1149" i="2"/>
  <c r="D1149" i="2"/>
  <c r="C1149" i="2"/>
  <c r="DM1148" i="2"/>
  <c r="DN1148" i="2" s="1"/>
  <c r="CX1148" i="2"/>
  <c r="BQ1148" i="2"/>
  <c r="BP1148" i="2"/>
  <c r="BF1148" i="2" s="1"/>
  <c r="BO1148" i="2"/>
  <c r="BN1148" i="2"/>
  <c r="BM1148" i="2"/>
  <c r="AV1148" i="2" s="1"/>
  <c r="BL1148" i="2"/>
  <c r="BK1148" i="2"/>
  <c r="BJ1148" i="2"/>
  <c r="BI1148" i="2"/>
  <c r="AY1148" i="2" s="1"/>
  <c r="BH1148" i="2"/>
  <c r="BC1148" i="2"/>
  <c r="AZ1148" i="2"/>
  <c r="AX1148" i="2"/>
  <c r="F1148" i="2"/>
  <c r="D1148" i="2"/>
  <c r="C1148" i="2"/>
  <c r="DN1147" i="2"/>
  <c r="DF1147" i="2" s="1"/>
  <c r="DM1147" i="2"/>
  <c r="DI1147" i="2"/>
  <c r="DL1147" i="2" s="1"/>
  <c r="DH1147" i="2"/>
  <c r="DG1147" i="2"/>
  <c r="DD1147" i="2"/>
  <c r="DC1147" i="2"/>
  <c r="DB1147" i="2"/>
  <c r="CX1147" i="2"/>
  <c r="BQ1147" i="2"/>
  <c r="BE1147" i="2" s="1"/>
  <c r="BP1147" i="2"/>
  <c r="BO1147" i="2"/>
  <c r="BN1147" i="2"/>
  <c r="BM1147" i="2"/>
  <c r="BL1147" i="2"/>
  <c r="BK1147" i="2"/>
  <c r="BF1147" i="2" s="1"/>
  <c r="BJ1147" i="2"/>
  <c r="BI1147" i="2"/>
  <c r="BC1147" i="2" s="1"/>
  <c r="BH1147" i="2"/>
  <c r="AZ1147" i="2"/>
  <c r="F1147" i="2"/>
  <c r="D1147" i="2"/>
  <c r="C1147" i="2"/>
  <c r="DN1146" i="2"/>
  <c r="DB1146" i="2" s="1"/>
  <c r="DM1146" i="2"/>
  <c r="DF1146" i="2"/>
  <c r="DE1146" i="2"/>
  <c r="DK1146" i="2" s="1"/>
  <c r="DD1146" i="2"/>
  <c r="DC1146" i="2"/>
  <c r="CZ1146" i="2"/>
  <c r="CY1146" i="2"/>
  <c r="CX1146" i="2"/>
  <c r="BQ1146" i="2"/>
  <c r="BP1146" i="2"/>
  <c r="BO1146" i="2"/>
  <c r="BN1146" i="2"/>
  <c r="BM1146" i="2"/>
  <c r="BL1146" i="2"/>
  <c r="BK1146" i="2"/>
  <c r="BJ1146" i="2"/>
  <c r="BF1146" i="2" s="1"/>
  <c r="BI1146" i="2"/>
  <c r="BH1146" i="2"/>
  <c r="BG1146" i="2"/>
  <c r="F1146" i="2"/>
  <c r="D1146" i="2"/>
  <c r="C1146" i="2"/>
  <c r="DN1145" i="2"/>
  <c r="DC1145" i="2" s="1"/>
  <c r="DM1145" i="2"/>
  <c r="DI1145" i="2"/>
  <c r="DL1145" i="2" s="1"/>
  <c r="DE1145" i="2"/>
  <c r="DK1145" i="2" s="1"/>
  <c r="DD1145" i="2"/>
  <c r="DB1145" i="2"/>
  <c r="CX1145" i="2"/>
  <c r="BQ1145" i="2"/>
  <c r="BP1145" i="2"/>
  <c r="BO1145" i="2"/>
  <c r="BN1145" i="2"/>
  <c r="BM1145" i="2"/>
  <c r="BG1145" i="2" s="1"/>
  <c r="BL1145" i="2"/>
  <c r="BK1145" i="2"/>
  <c r="BJ1145" i="2"/>
  <c r="BI1145" i="2"/>
  <c r="BH1145" i="2"/>
  <c r="BF1145" i="2"/>
  <c r="F1145" i="2"/>
  <c r="D1145" i="2"/>
  <c r="C1145" i="2"/>
  <c r="DM1144" i="2"/>
  <c r="DN1144" i="2" s="1"/>
  <c r="DD1144" i="2"/>
  <c r="BQ1144" i="2"/>
  <c r="BP1144" i="2"/>
  <c r="BO1144" i="2"/>
  <c r="BN1144" i="2"/>
  <c r="BM1144" i="2"/>
  <c r="AV1144" i="2" s="1"/>
  <c r="BL1144" i="2"/>
  <c r="BK1144" i="2"/>
  <c r="BJ1144" i="2"/>
  <c r="BI1144" i="2"/>
  <c r="BC1144" i="2" s="1"/>
  <c r="BH1144" i="2"/>
  <c r="BG1144" i="2" s="1"/>
  <c r="BF1144" i="2"/>
  <c r="AZ1144" i="2"/>
  <c r="F1144" i="2"/>
  <c r="D1144" i="2"/>
  <c r="C1144" i="2"/>
  <c r="DM1143" i="2"/>
  <c r="DN1143" i="2" s="1"/>
  <c r="DC1143" i="2"/>
  <c r="DB1143" i="2"/>
  <c r="BQ1143" i="2"/>
  <c r="BE1143" i="2" s="1"/>
  <c r="BP1143" i="2"/>
  <c r="BO1143" i="2"/>
  <c r="BN1143" i="2"/>
  <c r="BM1143" i="2"/>
  <c r="AV1143" i="2" s="1"/>
  <c r="BL1143" i="2"/>
  <c r="BK1143" i="2"/>
  <c r="BD1143" i="2" s="1"/>
  <c r="BJ1143" i="2"/>
  <c r="BI1143" i="2"/>
  <c r="BC1143" i="2" s="1"/>
  <c r="BH1143" i="2"/>
  <c r="BG1143" i="2"/>
  <c r="BF1143" i="2"/>
  <c r="AX1143" i="2"/>
  <c r="F1143" i="2"/>
  <c r="D1143" i="2"/>
  <c r="C1143" i="2"/>
  <c r="DN1142" i="2"/>
  <c r="DM1142" i="2"/>
  <c r="DK1142" i="2"/>
  <c r="DI1142" i="2"/>
  <c r="DL1142" i="2" s="1"/>
  <c r="DH1142" i="2"/>
  <c r="DG1142" i="2"/>
  <c r="DF1142" i="2"/>
  <c r="DE1142" i="2"/>
  <c r="DD1142" i="2"/>
  <c r="DC1142" i="2"/>
  <c r="DB1142" i="2"/>
  <c r="DA1142" i="2"/>
  <c r="DJ1142" i="2" s="1"/>
  <c r="CZ1142" i="2"/>
  <c r="CY1142" i="2"/>
  <c r="CX1142" i="2"/>
  <c r="BQ1142" i="2"/>
  <c r="BP1142" i="2"/>
  <c r="BO1142" i="2"/>
  <c r="BN1142" i="2"/>
  <c r="BM1142" i="2"/>
  <c r="BD1142" i="2" s="1"/>
  <c r="BL1142" i="2"/>
  <c r="BK1142" i="2"/>
  <c r="BJ1142" i="2"/>
  <c r="BC1142" i="2" s="1"/>
  <c r="BI1142" i="2"/>
  <c r="AZ1142" i="2" s="1"/>
  <c r="BH1142" i="2"/>
  <c r="AY1142" i="2" s="1"/>
  <c r="BF1142" i="2"/>
  <c r="BE1142" i="2"/>
  <c r="AX1142" i="2"/>
  <c r="F1142" i="2"/>
  <c r="D1142" i="2"/>
  <c r="C1142" i="2"/>
  <c r="DN1141" i="2"/>
  <c r="CY1141" i="2" s="1"/>
  <c r="DM1141" i="2"/>
  <c r="DI1141" i="2"/>
  <c r="DL1141" i="2" s="1"/>
  <c r="DE1141" i="2"/>
  <c r="DK1141" i="2" s="1"/>
  <c r="DA1141" i="2"/>
  <c r="DJ1141" i="2" s="1"/>
  <c r="CZ1141" i="2"/>
  <c r="CX1141" i="2"/>
  <c r="BQ1141" i="2"/>
  <c r="BP1141" i="2"/>
  <c r="BO1141" i="2"/>
  <c r="BN1141" i="2"/>
  <c r="BM1141" i="2"/>
  <c r="AV1141" i="2" s="1"/>
  <c r="BL1141" i="2"/>
  <c r="BK1141" i="2"/>
  <c r="BJ1141" i="2"/>
  <c r="BF1141" i="2" s="1"/>
  <c r="BI1141" i="2"/>
  <c r="BC1141" i="2" s="1"/>
  <c r="BH1141" i="2"/>
  <c r="AY1141" i="2" s="1"/>
  <c r="BE1141" i="2"/>
  <c r="BD1141" i="2"/>
  <c r="F1141" i="2"/>
  <c r="D1141" i="2"/>
  <c r="C1141" i="2"/>
  <c r="DM1140" i="2"/>
  <c r="DN1140" i="2" s="1"/>
  <c r="CZ1140" i="2"/>
  <c r="CY1140" i="2"/>
  <c r="BQ1140" i="2"/>
  <c r="BP1140" i="2"/>
  <c r="BO1140" i="2"/>
  <c r="BN1140" i="2"/>
  <c r="AZ1140" i="2" s="1"/>
  <c r="BM1140" i="2"/>
  <c r="AV1140" i="2" s="1"/>
  <c r="BL1140" i="2"/>
  <c r="BK1140" i="2"/>
  <c r="BJ1140" i="2"/>
  <c r="BF1140" i="2" s="1"/>
  <c r="BI1140" i="2"/>
  <c r="BE1140" i="2" s="1"/>
  <c r="BH1140" i="2"/>
  <c r="AY1140" i="2" s="1"/>
  <c r="BD1140" i="2"/>
  <c r="BC1140" i="2"/>
  <c r="F1140" i="2"/>
  <c r="D1140" i="2"/>
  <c r="C1140" i="2"/>
  <c r="DN1139" i="2"/>
  <c r="CY1139" i="2" s="1"/>
  <c r="DM1139" i="2"/>
  <c r="CX1139" i="2"/>
  <c r="BQ1139" i="2"/>
  <c r="BP1139" i="2"/>
  <c r="BO1139" i="2"/>
  <c r="BN1139" i="2"/>
  <c r="BM1139" i="2"/>
  <c r="AV1139" i="2" s="1"/>
  <c r="BL1139" i="2"/>
  <c r="BK1139" i="2"/>
  <c r="BJ1139" i="2"/>
  <c r="BF1139" i="2" s="1"/>
  <c r="BI1139" i="2"/>
  <c r="AY1139" i="2" s="1"/>
  <c r="BH1139" i="2"/>
  <c r="BD1139" i="2" s="1"/>
  <c r="BG1139" i="2"/>
  <c r="BC1139" i="2"/>
  <c r="AZ1139" i="2"/>
  <c r="AX1139" i="2"/>
  <c r="AW1139" i="2" s="1"/>
  <c r="F1139" i="2"/>
  <c r="D1139" i="2"/>
  <c r="C1139" i="2"/>
  <c r="DM1138" i="2"/>
  <c r="DN1138" i="2" s="1"/>
  <c r="CX1138" i="2"/>
  <c r="BQ1138" i="2"/>
  <c r="BP1138" i="2"/>
  <c r="BO1138" i="2"/>
  <c r="BN1138" i="2"/>
  <c r="BM1138" i="2"/>
  <c r="AV1138" i="2" s="1"/>
  <c r="BL1138" i="2"/>
  <c r="BK1138" i="2"/>
  <c r="BF1138" i="2" s="1"/>
  <c r="BJ1138" i="2"/>
  <c r="BI1138" i="2"/>
  <c r="BE1138" i="2" s="1"/>
  <c r="BH1138" i="2"/>
  <c r="AX1138" i="2" s="1"/>
  <c r="AZ1138" i="2"/>
  <c r="AY1138" i="2"/>
  <c r="F1138" i="2"/>
  <c r="D1138" i="2"/>
  <c r="C1138" i="2"/>
  <c r="DM1137" i="2"/>
  <c r="DN1137" i="2" s="1"/>
  <c r="BQ1137" i="2"/>
  <c r="BE1137" i="2" s="1"/>
  <c r="BP1137" i="2"/>
  <c r="BO1137" i="2"/>
  <c r="BN1137" i="2"/>
  <c r="BM1137" i="2"/>
  <c r="BL1137" i="2"/>
  <c r="BK1137" i="2"/>
  <c r="BJ1137" i="2"/>
  <c r="AV1137" i="2" s="1"/>
  <c r="BI1137" i="2"/>
  <c r="BC1137" i="2" s="1"/>
  <c r="BH1137" i="2"/>
  <c r="BD1137" i="2" s="1"/>
  <c r="AY1137" i="2"/>
  <c r="AX1137" i="2"/>
  <c r="F1137" i="2"/>
  <c r="D1137" i="2"/>
  <c r="C1137" i="2"/>
  <c r="DN1136" i="2"/>
  <c r="DM1136" i="2"/>
  <c r="DL1136" i="2"/>
  <c r="DK1136" i="2"/>
  <c r="DJ1136" i="2"/>
  <c r="DI1136" i="2"/>
  <c r="DH1136" i="2"/>
  <c r="DG1136" i="2"/>
  <c r="DF1136" i="2"/>
  <c r="DE1136" i="2"/>
  <c r="DD1136" i="2"/>
  <c r="DC1136" i="2"/>
  <c r="DB1136" i="2"/>
  <c r="DA1136" i="2"/>
  <c r="CZ1136" i="2"/>
  <c r="CY1136" i="2"/>
  <c r="CX1136" i="2"/>
  <c r="BQ1136" i="2"/>
  <c r="BP1136" i="2"/>
  <c r="BO1136" i="2"/>
  <c r="BN1136" i="2"/>
  <c r="BM1136" i="2"/>
  <c r="AV1136" i="2" s="1"/>
  <c r="BL1136" i="2"/>
  <c r="BK1136" i="2"/>
  <c r="BJ1136" i="2"/>
  <c r="BI1136" i="2"/>
  <c r="BH1136" i="2"/>
  <c r="AY1136" i="2" s="1"/>
  <c r="AX1136" i="2"/>
  <c r="F1136" i="2"/>
  <c r="D1136" i="2"/>
  <c r="C1136" i="2"/>
  <c r="DN1135" i="2"/>
  <c r="DM1135" i="2"/>
  <c r="DK1135" i="2"/>
  <c r="DJ1135" i="2"/>
  <c r="DI1135" i="2"/>
  <c r="DL1135" i="2" s="1"/>
  <c r="DH1135" i="2"/>
  <c r="DG1135" i="2"/>
  <c r="DF1135" i="2"/>
  <c r="DE1135" i="2"/>
  <c r="DD1135" i="2"/>
  <c r="DC1135" i="2"/>
  <c r="DB1135" i="2"/>
  <c r="DA1135" i="2"/>
  <c r="CZ1135" i="2"/>
  <c r="CY1135" i="2"/>
  <c r="CX1135" i="2"/>
  <c r="BQ1135" i="2"/>
  <c r="BP1135" i="2"/>
  <c r="BO1135" i="2"/>
  <c r="BF1135" i="2" s="1"/>
  <c r="BN1135" i="2"/>
  <c r="BC1135" i="2" s="1"/>
  <c r="BM1135" i="2"/>
  <c r="BL1135" i="2"/>
  <c r="BK1135" i="2"/>
  <c r="BJ1135" i="2"/>
  <c r="BI1135" i="2"/>
  <c r="BH1135" i="2"/>
  <c r="BG1135" i="2" s="1"/>
  <c r="AV1135" i="2"/>
  <c r="F1135" i="2"/>
  <c r="D1135" i="2"/>
  <c r="C1135" i="2"/>
  <c r="DN1134" i="2"/>
  <c r="DH1134" i="2" s="1"/>
  <c r="DM1134" i="2"/>
  <c r="DI1134" i="2"/>
  <c r="DL1134" i="2" s="1"/>
  <c r="DG1134" i="2"/>
  <c r="DC1134" i="2"/>
  <c r="CX1134" i="2"/>
  <c r="BQ1134" i="2"/>
  <c r="BP1134" i="2"/>
  <c r="BO1134" i="2"/>
  <c r="BN1134" i="2"/>
  <c r="AZ1134" i="2" s="1"/>
  <c r="BM1134" i="2"/>
  <c r="BG1134" i="2" s="1"/>
  <c r="BL1134" i="2"/>
  <c r="BK1134" i="2"/>
  <c r="BF1134" i="2" s="1"/>
  <c r="BJ1134" i="2"/>
  <c r="BI1134" i="2"/>
  <c r="BC1134" i="2" s="1"/>
  <c r="BH1134" i="2"/>
  <c r="BE1134" i="2" s="1"/>
  <c r="F1134" i="2"/>
  <c r="D1134" i="2"/>
  <c r="C1134" i="2"/>
  <c r="DM1133" i="2"/>
  <c r="DN1133" i="2" s="1"/>
  <c r="DI1133" i="2" s="1"/>
  <c r="DL1133" i="2" s="1"/>
  <c r="DF1133" i="2"/>
  <c r="BQ1133" i="2"/>
  <c r="BE1133" i="2" s="1"/>
  <c r="BP1133" i="2"/>
  <c r="BO1133" i="2"/>
  <c r="BN1133" i="2"/>
  <c r="BM1133" i="2"/>
  <c r="BL1133" i="2"/>
  <c r="AY1133" i="2" s="1"/>
  <c r="BK1133" i="2"/>
  <c r="BJ1133" i="2"/>
  <c r="BF1133" i="2" s="1"/>
  <c r="BI1133" i="2"/>
  <c r="BC1133" i="2" s="1"/>
  <c r="BH1133" i="2"/>
  <c r="AX1133" i="2" s="1"/>
  <c r="F1133" i="2"/>
  <c r="D1133" i="2"/>
  <c r="C1133" i="2"/>
  <c r="DN1132" i="2"/>
  <c r="DM1132" i="2"/>
  <c r="DL1132" i="2"/>
  <c r="DI1132" i="2"/>
  <c r="DH1132" i="2"/>
  <c r="DG1132" i="2"/>
  <c r="DF1132" i="2"/>
  <c r="DE1132" i="2"/>
  <c r="DK1132" i="2" s="1"/>
  <c r="DD1132" i="2"/>
  <c r="DC1132" i="2"/>
  <c r="DB1132" i="2"/>
  <c r="DA1132" i="2"/>
  <c r="DJ1132" i="2" s="1"/>
  <c r="CZ1132" i="2"/>
  <c r="CY1132" i="2"/>
  <c r="CX1132" i="2"/>
  <c r="BQ1132" i="2"/>
  <c r="BP1132" i="2"/>
  <c r="BF1132" i="2" s="1"/>
  <c r="BO1132" i="2"/>
  <c r="BN1132" i="2"/>
  <c r="BM1132" i="2"/>
  <c r="BG1132" i="2" s="1"/>
  <c r="BL1132" i="2"/>
  <c r="BK1132" i="2"/>
  <c r="BJ1132" i="2"/>
  <c r="BI1132" i="2"/>
  <c r="BH1132" i="2"/>
  <c r="AX1132" i="2"/>
  <c r="F1132" i="2"/>
  <c r="D1132" i="2"/>
  <c r="C1132" i="2"/>
  <c r="DN1131" i="2"/>
  <c r="DC1131" i="2" s="1"/>
  <c r="DM1131" i="2"/>
  <c r="DK1131" i="2"/>
  <c r="DG1131" i="2"/>
  <c r="DF1131" i="2"/>
  <c r="DE1131" i="2"/>
  <c r="DD1131" i="2"/>
  <c r="DA1131" i="2"/>
  <c r="DJ1131" i="2" s="1"/>
  <c r="CZ1131" i="2"/>
  <c r="CY1131" i="2"/>
  <c r="CX1131" i="2"/>
  <c r="BQ1131" i="2"/>
  <c r="BP1131" i="2"/>
  <c r="BO1131" i="2"/>
  <c r="BN1131" i="2"/>
  <c r="BM1131" i="2"/>
  <c r="BL1131" i="2"/>
  <c r="BK1131" i="2"/>
  <c r="BJ1131" i="2"/>
  <c r="BI1131" i="2"/>
  <c r="BH1131" i="2"/>
  <c r="F1131" i="2"/>
  <c r="D1131" i="2"/>
  <c r="C1131" i="2"/>
  <c r="DN1130" i="2"/>
  <c r="DB1130" i="2" s="1"/>
  <c r="DM1130" i="2"/>
  <c r="DF1130" i="2"/>
  <c r="DE1130" i="2"/>
  <c r="DK1130" i="2" s="1"/>
  <c r="DD1130" i="2"/>
  <c r="DC1130" i="2"/>
  <c r="CZ1130" i="2"/>
  <c r="CY1130" i="2"/>
  <c r="CX1130" i="2"/>
  <c r="BQ1130" i="2"/>
  <c r="BP1130" i="2"/>
  <c r="BO1130" i="2"/>
  <c r="BN1130" i="2"/>
  <c r="BM1130" i="2"/>
  <c r="BL1130" i="2"/>
  <c r="BK1130" i="2"/>
  <c r="BJ1130" i="2"/>
  <c r="BI1130" i="2"/>
  <c r="BH1130" i="2"/>
  <c r="AY1130" i="2" s="1"/>
  <c r="BG1130" i="2"/>
  <c r="BC1130" i="2"/>
  <c r="F1130" i="2"/>
  <c r="D1130" i="2"/>
  <c r="C1130" i="2"/>
  <c r="DN1129" i="2"/>
  <c r="DM1129" i="2"/>
  <c r="DI1129" i="2"/>
  <c r="DL1129" i="2" s="1"/>
  <c r="DE1129" i="2"/>
  <c r="DK1129" i="2" s="1"/>
  <c r="DD1129" i="2"/>
  <c r="BQ1129" i="2"/>
  <c r="BP1129" i="2"/>
  <c r="BO1129" i="2"/>
  <c r="BN1129" i="2"/>
  <c r="BM1129" i="2"/>
  <c r="BL1129" i="2"/>
  <c r="BK1129" i="2"/>
  <c r="BJ1129" i="2"/>
  <c r="BI1129" i="2"/>
  <c r="BH1129" i="2"/>
  <c r="BF1129" i="2"/>
  <c r="AZ1129" i="2"/>
  <c r="F1129" i="2"/>
  <c r="D1129" i="2"/>
  <c r="C1129" i="2"/>
  <c r="DM1128" i="2"/>
  <c r="DN1128" i="2" s="1"/>
  <c r="DH1128" i="2" s="1"/>
  <c r="BQ1128" i="2"/>
  <c r="BP1128" i="2"/>
  <c r="BO1128" i="2"/>
  <c r="BN1128" i="2"/>
  <c r="BM1128" i="2"/>
  <c r="AV1128" i="2" s="1"/>
  <c r="BL1128" i="2"/>
  <c r="BK1128" i="2"/>
  <c r="BJ1128" i="2"/>
  <c r="BI1128" i="2"/>
  <c r="BC1128" i="2" s="1"/>
  <c r="BH1128" i="2"/>
  <c r="BG1128" i="2" s="1"/>
  <c r="BF1128" i="2"/>
  <c r="BE1128" i="2"/>
  <c r="AZ1128" i="2"/>
  <c r="F1128" i="2"/>
  <c r="D1128" i="2"/>
  <c r="C1128" i="2"/>
  <c r="DM1127" i="2"/>
  <c r="DN1127" i="2" s="1"/>
  <c r="DG1127" i="2" s="1"/>
  <c r="DC1127" i="2"/>
  <c r="CZ1127" i="2"/>
  <c r="BQ1127" i="2"/>
  <c r="BE1127" i="2" s="1"/>
  <c r="BP1127" i="2"/>
  <c r="BO1127" i="2"/>
  <c r="BN1127" i="2"/>
  <c r="BM1127" i="2"/>
  <c r="AV1127" i="2" s="1"/>
  <c r="BL1127" i="2"/>
  <c r="BK1127" i="2"/>
  <c r="BJ1127" i="2"/>
  <c r="BI1127" i="2"/>
  <c r="BH1127" i="2"/>
  <c r="BG1127" i="2"/>
  <c r="AX1127" i="2"/>
  <c r="F1127" i="2"/>
  <c r="D1127" i="2"/>
  <c r="C1127" i="2"/>
  <c r="DN1126" i="2"/>
  <c r="DM1126" i="2"/>
  <c r="DK1126" i="2"/>
  <c r="DI1126" i="2"/>
  <c r="DL1126" i="2" s="1"/>
  <c r="DH1126" i="2"/>
  <c r="DG1126" i="2"/>
  <c r="DF1126" i="2"/>
  <c r="DE1126" i="2"/>
  <c r="DD1126" i="2"/>
  <c r="DC1126" i="2"/>
  <c r="DB1126" i="2"/>
  <c r="DA1126" i="2"/>
  <c r="DJ1126" i="2" s="1"/>
  <c r="CZ1126" i="2"/>
  <c r="CY1126" i="2"/>
  <c r="CX1126" i="2"/>
  <c r="BQ1126" i="2"/>
  <c r="BP1126" i="2"/>
  <c r="BO1126" i="2"/>
  <c r="BN1126" i="2"/>
  <c r="BM1126" i="2"/>
  <c r="BL1126" i="2"/>
  <c r="BK1126" i="2"/>
  <c r="BJ1126" i="2"/>
  <c r="BC1126" i="2" s="1"/>
  <c r="BI1126" i="2"/>
  <c r="AZ1126" i="2" s="1"/>
  <c r="BH1126" i="2"/>
  <c r="AY1126" i="2" s="1"/>
  <c r="BF1126" i="2"/>
  <c r="BE1126" i="2"/>
  <c r="AX1126" i="2"/>
  <c r="F1126" i="2"/>
  <c r="D1126" i="2"/>
  <c r="C1126" i="2"/>
  <c r="DN1125" i="2"/>
  <c r="DI1125" i="2" s="1"/>
  <c r="DL1125" i="2" s="1"/>
  <c r="DM1125" i="2"/>
  <c r="BQ1125" i="2"/>
  <c r="BP1125" i="2"/>
  <c r="BO1125" i="2"/>
  <c r="BN1125" i="2"/>
  <c r="BM1125" i="2"/>
  <c r="BG1125" i="2" s="1"/>
  <c r="BL1125" i="2"/>
  <c r="BK1125" i="2"/>
  <c r="BJ1125" i="2"/>
  <c r="BF1125" i="2" s="1"/>
  <c r="BI1125" i="2"/>
  <c r="BC1125" i="2" s="1"/>
  <c r="BH1125" i="2"/>
  <c r="AY1125" i="2" s="1"/>
  <c r="BE1125" i="2"/>
  <c r="AZ1125" i="2"/>
  <c r="AV1125" i="2"/>
  <c r="F1125" i="2"/>
  <c r="D1125" i="2"/>
  <c r="C1125" i="2"/>
  <c r="DM1124" i="2"/>
  <c r="DN1124" i="2" s="1"/>
  <c r="DI1124" i="2"/>
  <c r="DL1124" i="2" s="1"/>
  <c r="DH1124" i="2"/>
  <c r="DG1124" i="2"/>
  <c r="DD1124" i="2"/>
  <c r="CZ1124" i="2"/>
  <c r="CY1124" i="2"/>
  <c r="BQ1124" i="2"/>
  <c r="BP1124" i="2"/>
  <c r="BO1124" i="2"/>
  <c r="BN1124" i="2"/>
  <c r="AZ1124" i="2" s="1"/>
  <c r="BM1124" i="2"/>
  <c r="BL1124" i="2"/>
  <c r="BK1124" i="2"/>
  <c r="BJ1124" i="2"/>
  <c r="BF1124" i="2" s="1"/>
  <c r="BI1124" i="2"/>
  <c r="BE1124" i="2" s="1"/>
  <c r="BH1124" i="2"/>
  <c r="AX1124" i="2" s="1"/>
  <c r="F1124" i="2"/>
  <c r="D1124" i="2"/>
  <c r="C1124" i="2"/>
  <c r="DN1123" i="2"/>
  <c r="DM1123" i="2"/>
  <c r="DI1123" i="2"/>
  <c r="DL1123" i="2" s="1"/>
  <c r="DH1123" i="2"/>
  <c r="BQ1123" i="2"/>
  <c r="BP1123" i="2"/>
  <c r="BO1123" i="2"/>
  <c r="BN1123" i="2"/>
  <c r="BM1123" i="2"/>
  <c r="AV1123" i="2" s="1"/>
  <c r="BL1123" i="2"/>
  <c r="BK1123" i="2"/>
  <c r="BC1123" i="2" s="1"/>
  <c r="BJ1123" i="2"/>
  <c r="BI1123" i="2"/>
  <c r="BH1123" i="2"/>
  <c r="BD1123" i="2" s="1"/>
  <c r="BG1123" i="2"/>
  <c r="AZ1123" i="2"/>
  <c r="AX1123" i="2"/>
  <c r="F1123" i="2"/>
  <c r="D1123" i="2"/>
  <c r="C1123" i="2"/>
  <c r="DM1122" i="2"/>
  <c r="DN1122" i="2" s="1"/>
  <c r="DG1122" i="2"/>
  <c r="DF1122" i="2"/>
  <c r="BQ1122" i="2"/>
  <c r="BP1122" i="2"/>
  <c r="BO1122" i="2"/>
  <c r="BN1122" i="2"/>
  <c r="BM1122" i="2"/>
  <c r="BL1122" i="2"/>
  <c r="BK1122" i="2"/>
  <c r="BJ1122" i="2"/>
  <c r="BF1122" i="2" s="1"/>
  <c r="BI1122" i="2"/>
  <c r="BH1122" i="2"/>
  <c r="AX1122" i="2" s="1"/>
  <c r="AZ1122" i="2"/>
  <c r="AY1122" i="2"/>
  <c r="F1122" i="2"/>
  <c r="D1122" i="2"/>
  <c r="C1122" i="2"/>
  <c r="DM1121" i="2"/>
  <c r="DN1121" i="2" s="1"/>
  <c r="DE1121" i="2" s="1"/>
  <c r="DK1121" i="2" s="1"/>
  <c r="DI1121" i="2"/>
  <c r="DL1121" i="2" s="1"/>
  <c r="DG1121" i="2"/>
  <c r="DF1121" i="2"/>
  <c r="DD1121" i="2"/>
  <c r="DA1121" i="2"/>
  <c r="DJ1121" i="2" s="1"/>
  <c r="BQ1121" i="2"/>
  <c r="BP1121" i="2"/>
  <c r="BO1121" i="2"/>
  <c r="BN1121" i="2"/>
  <c r="BM1121" i="2"/>
  <c r="BG1121" i="2" s="1"/>
  <c r="BL1121" i="2"/>
  <c r="BK1121" i="2"/>
  <c r="BJ1121" i="2"/>
  <c r="BF1121" i="2" s="1"/>
  <c r="BI1121" i="2"/>
  <c r="BH1121" i="2"/>
  <c r="AX1121" i="2" s="1"/>
  <c r="BE1121" i="2"/>
  <c r="AY1121" i="2"/>
  <c r="F1121" i="2"/>
  <c r="D1121" i="2"/>
  <c r="C1121" i="2"/>
  <c r="DN1120" i="2"/>
  <c r="DM1120" i="2"/>
  <c r="DL1120" i="2"/>
  <c r="DK1120" i="2"/>
  <c r="DJ1120" i="2"/>
  <c r="DI1120" i="2"/>
  <c r="DH1120" i="2"/>
  <c r="DG1120" i="2"/>
  <c r="DF1120" i="2"/>
  <c r="DE1120" i="2"/>
  <c r="DD1120" i="2"/>
  <c r="DC1120" i="2"/>
  <c r="DB1120" i="2"/>
  <c r="DA1120" i="2"/>
  <c r="CZ1120" i="2"/>
  <c r="CY1120" i="2"/>
  <c r="CX1120" i="2"/>
  <c r="BQ1120" i="2"/>
  <c r="BP1120" i="2"/>
  <c r="BO1120" i="2"/>
  <c r="BN1120" i="2"/>
  <c r="BM1120" i="2"/>
  <c r="BL1120" i="2"/>
  <c r="BD1120" i="2" s="1"/>
  <c r="BK1120" i="2"/>
  <c r="BJ1120" i="2"/>
  <c r="BI1120" i="2"/>
  <c r="BH1120" i="2"/>
  <c r="BG1120" i="2"/>
  <c r="AX1120" i="2"/>
  <c r="F1120" i="2"/>
  <c r="D1120" i="2"/>
  <c r="C1120" i="2"/>
  <c r="DN1119" i="2"/>
  <c r="DM1119" i="2"/>
  <c r="DJ1119" i="2"/>
  <c r="DI1119" i="2"/>
  <c r="DL1119" i="2" s="1"/>
  <c r="DH1119" i="2"/>
  <c r="DG1119" i="2"/>
  <c r="DF1119" i="2"/>
  <c r="DE1119" i="2"/>
  <c r="DK1119" i="2" s="1"/>
  <c r="DD1119" i="2"/>
  <c r="DC1119" i="2"/>
  <c r="DB1119" i="2"/>
  <c r="DA1119" i="2"/>
  <c r="CZ1119" i="2"/>
  <c r="CY1119" i="2"/>
  <c r="CX1119" i="2"/>
  <c r="BQ1119" i="2"/>
  <c r="BP1119" i="2"/>
  <c r="BO1119" i="2"/>
  <c r="BN1119" i="2"/>
  <c r="BM1119" i="2"/>
  <c r="BL1119" i="2"/>
  <c r="BK1119" i="2"/>
  <c r="BJ1119" i="2"/>
  <c r="AV1119" i="2" s="1"/>
  <c r="BI1119" i="2"/>
  <c r="AZ1119" i="2" s="1"/>
  <c r="BH1119" i="2"/>
  <c r="BG1119" i="2"/>
  <c r="BF1119" i="2"/>
  <c r="F1119" i="2"/>
  <c r="D1119" i="2"/>
  <c r="C1119" i="2"/>
  <c r="DN1118" i="2"/>
  <c r="CY1118" i="2" s="1"/>
  <c r="DM1118" i="2"/>
  <c r="DF1118" i="2"/>
  <c r="DC1118" i="2"/>
  <c r="DB1118" i="2"/>
  <c r="BQ1118" i="2"/>
  <c r="BP1118" i="2"/>
  <c r="BO1118" i="2"/>
  <c r="BN1118" i="2"/>
  <c r="BM1118" i="2"/>
  <c r="AV1118" i="2" s="1"/>
  <c r="BL1118" i="2"/>
  <c r="BK1118" i="2"/>
  <c r="BJ1118" i="2"/>
  <c r="BI1118" i="2"/>
  <c r="BH1118" i="2"/>
  <c r="BG1118" i="2" s="1"/>
  <c r="BF1118" i="2"/>
  <c r="BE1118" i="2"/>
  <c r="F1118" i="2"/>
  <c r="D1118" i="2"/>
  <c r="C1118" i="2"/>
  <c r="DM1117" i="2"/>
  <c r="DN1117" i="2" s="1"/>
  <c r="CX1117" i="2" s="1"/>
  <c r="DE1117" i="2"/>
  <c r="DK1117" i="2" s="1"/>
  <c r="DD1117" i="2"/>
  <c r="DA1117" i="2"/>
  <c r="DJ1117" i="2" s="1"/>
  <c r="CZ1117" i="2"/>
  <c r="BQ1117" i="2"/>
  <c r="BP1117" i="2"/>
  <c r="BO1117" i="2"/>
  <c r="BN1117" i="2"/>
  <c r="BM1117" i="2"/>
  <c r="AV1117" i="2" s="1"/>
  <c r="BL1117" i="2"/>
  <c r="BK1117" i="2"/>
  <c r="BJ1117" i="2"/>
  <c r="BI1117" i="2"/>
  <c r="AZ1117" i="2" s="1"/>
  <c r="BH1117" i="2"/>
  <c r="AX1117" i="2" s="1"/>
  <c r="BG1117" i="2"/>
  <c r="BF1117" i="2"/>
  <c r="BD1117" i="2"/>
  <c r="BC1117" i="2"/>
  <c r="F1117" i="2"/>
  <c r="D1117" i="2"/>
  <c r="C1117" i="2"/>
  <c r="DN1116" i="2"/>
  <c r="CX1116" i="2" s="1"/>
  <c r="DM1116" i="2"/>
  <c r="DH1116" i="2"/>
  <c r="DF1116" i="2"/>
  <c r="DE1116" i="2"/>
  <c r="DK1116" i="2" s="1"/>
  <c r="DD1116" i="2"/>
  <c r="DC1116" i="2"/>
  <c r="DB1116" i="2"/>
  <c r="DA1116" i="2"/>
  <c r="DJ1116" i="2" s="1"/>
  <c r="CZ1116" i="2"/>
  <c r="CY1116" i="2"/>
  <c r="BQ1116" i="2"/>
  <c r="BP1116" i="2"/>
  <c r="BO1116" i="2"/>
  <c r="BN1116" i="2"/>
  <c r="BM1116" i="2"/>
  <c r="BL1116" i="2"/>
  <c r="BK1116" i="2"/>
  <c r="BJ1116" i="2"/>
  <c r="BF1116" i="2" s="1"/>
  <c r="BI1116" i="2"/>
  <c r="BE1116" i="2" s="1"/>
  <c r="BH1116" i="2"/>
  <c r="BD1116" i="2" s="1"/>
  <c r="F1116" i="2"/>
  <c r="D1116" i="2"/>
  <c r="C1116" i="2"/>
  <c r="DN1115" i="2"/>
  <c r="DB1115" i="2" s="1"/>
  <c r="DM1115" i="2"/>
  <c r="DI1115" i="2"/>
  <c r="DL1115" i="2" s="1"/>
  <c r="DH1115" i="2"/>
  <c r="DG1115" i="2"/>
  <c r="DF1115" i="2"/>
  <c r="DE1115" i="2"/>
  <c r="DK1115" i="2" s="1"/>
  <c r="DD1115" i="2"/>
  <c r="DC1115" i="2"/>
  <c r="CY1115" i="2"/>
  <c r="CX1115" i="2"/>
  <c r="BQ1115" i="2"/>
  <c r="BP1115" i="2"/>
  <c r="BO1115" i="2"/>
  <c r="BN1115" i="2"/>
  <c r="BM1115" i="2"/>
  <c r="BL1115" i="2"/>
  <c r="BK1115" i="2"/>
  <c r="BJ1115" i="2"/>
  <c r="BF1115" i="2" s="1"/>
  <c r="BI1115" i="2"/>
  <c r="BH1115" i="2"/>
  <c r="F1115" i="2"/>
  <c r="D1115" i="2"/>
  <c r="C1115" i="2"/>
  <c r="DM1114" i="2"/>
  <c r="DN1114" i="2" s="1"/>
  <c r="BQ1114" i="2"/>
  <c r="BP1114" i="2"/>
  <c r="BE1114" i="2" s="1"/>
  <c r="BO1114" i="2"/>
  <c r="BN1114" i="2"/>
  <c r="BM1114" i="2"/>
  <c r="BG1114" i="2" s="1"/>
  <c r="BL1114" i="2"/>
  <c r="BK1114" i="2"/>
  <c r="BJ1114" i="2"/>
  <c r="AV1114" i="2" s="1"/>
  <c r="BI1114" i="2"/>
  <c r="BH1114" i="2"/>
  <c r="BD1114" i="2"/>
  <c r="AZ1114" i="2"/>
  <c r="AY1114" i="2"/>
  <c r="AX1114" i="2"/>
  <c r="F1114" i="2"/>
  <c r="D1114" i="2"/>
  <c r="C1114" i="2"/>
  <c r="DM1113" i="2"/>
  <c r="DN1113" i="2" s="1"/>
  <c r="BQ1113" i="2"/>
  <c r="BE1113" i="2" s="1"/>
  <c r="BP1113" i="2"/>
  <c r="BO1113" i="2"/>
  <c r="BN1113" i="2"/>
  <c r="BC1113" i="2" s="1"/>
  <c r="BM1113" i="2"/>
  <c r="BL1113" i="2"/>
  <c r="BK1113" i="2"/>
  <c r="BJ1113" i="2"/>
  <c r="BF1113" i="2" s="1"/>
  <c r="BI1113" i="2"/>
  <c r="BH1113" i="2"/>
  <c r="BD1113" i="2" s="1"/>
  <c r="AZ1113" i="2"/>
  <c r="AY1113" i="2"/>
  <c r="AX1113" i="2"/>
  <c r="F1113" i="2"/>
  <c r="D1113" i="2"/>
  <c r="C1113" i="2"/>
  <c r="DM1112" i="2"/>
  <c r="DN1112" i="2" s="1"/>
  <c r="DI1112" i="2" s="1"/>
  <c r="DL1112" i="2" s="1"/>
  <c r="BQ1112" i="2"/>
  <c r="BP1112" i="2"/>
  <c r="BF1112" i="2" s="1"/>
  <c r="BO1112" i="2"/>
  <c r="BN1112" i="2"/>
  <c r="BM1112" i="2"/>
  <c r="BL1112" i="2"/>
  <c r="BK1112" i="2"/>
  <c r="BJ1112" i="2"/>
  <c r="BI1112" i="2"/>
  <c r="BE1112" i="2" s="1"/>
  <c r="BH1112" i="2"/>
  <c r="AZ1112" i="2"/>
  <c r="AY1112" i="2"/>
  <c r="AX1112" i="2"/>
  <c r="F1112" i="2"/>
  <c r="D1112" i="2"/>
  <c r="C1112" i="2"/>
  <c r="DM1111" i="2"/>
  <c r="DN1111" i="2" s="1"/>
  <c r="BQ1111" i="2"/>
  <c r="BP1111" i="2"/>
  <c r="BE1111" i="2" s="1"/>
  <c r="BO1111" i="2"/>
  <c r="BN1111" i="2"/>
  <c r="BM1111" i="2"/>
  <c r="BG1111" i="2" s="1"/>
  <c r="BL1111" i="2"/>
  <c r="BK1111" i="2"/>
  <c r="AY1111" i="2" s="1"/>
  <c r="BJ1111" i="2"/>
  <c r="BI1111" i="2"/>
  <c r="AZ1111" i="2" s="1"/>
  <c r="BH1111" i="2"/>
  <c r="BD1111" i="2" s="1"/>
  <c r="AX1111" i="2"/>
  <c r="F1111" i="2"/>
  <c r="D1111" i="2"/>
  <c r="C1111" i="2"/>
  <c r="DN1110" i="2"/>
  <c r="DD1110" i="2" s="1"/>
  <c r="DM1110" i="2"/>
  <c r="DK1110" i="2"/>
  <c r="DJ1110" i="2"/>
  <c r="DI1110" i="2"/>
  <c r="DL1110" i="2" s="1"/>
  <c r="DH1110" i="2"/>
  <c r="DG1110" i="2"/>
  <c r="DF1110" i="2"/>
  <c r="DE1110" i="2"/>
  <c r="DA1110" i="2"/>
  <c r="CZ1110" i="2"/>
  <c r="CX1110" i="2"/>
  <c r="BQ1110" i="2"/>
  <c r="BP1110" i="2"/>
  <c r="BO1110" i="2"/>
  <c r="BN1110" i="2"/>
  <c r="BM1110" i="2"/>
  <c r="BG1110" i="2" s="1"/>
  <c r="BL1110" i="2"/>
  <c r="BK1110" i="2"/>
  <c r="BJ1110" i="2"/>
  <c r="BI1110" i="2"/>
  <c r="BH1110" i="2"/>
  <c r="AX1110" i="2"/>
  <c r="AV1110" i="2"/>
  <c r="F1110" i="2"/>
  <c r="D1110" i="2"/>
  <c r="C1110" i="2"/>
  <c r="DM1109" i="2"/>
  <c r="DN1109" i="2" s="1"/>
  <c r="DI1109" i="2"/>
  <c r="DL1109" i="2" s="1"/>
  <c r="DF1109" i="2"/>
  <c r="DE1109" i="2"/>
  <c r="DK1109" i="2" s="1"/>
  <c r="BQ1109" i="2"/>
  <c r="BP1109" i="2"/>
  <c r="BO1109" i="2"/>
  <c r="BN1109" i="2"/>
  <c r="BM1109" i="2"/>
  <c r="BG1109" i="2" s="1"/>
  <c r="BL1109" i="2"/>
  <c r="BK1109" i="2"/>
  <c r="BJ1109" i="2"/>
  <c r="BF1109" i="2" s="1"/>
  <c r="BI1109" i="2"/>
  <c r="BH1109" i="2"/>
  <c r="F1109" i="2"/>
  <c r="D1109" i="2"/>
  <c r="C1109" i="2"/>
  <c r="DN1108" i="2"/>
  <c r="DC1108" i="2" s="1"/>
  <c r="DM1108" i="2"/>
  <c r="DI1108" i="2"/>
  <c r="DL1108" i="2" s="1"/>
  <c r="DH1108" i="2"/>
  <c r="DG1108" i="2"/>
  <c r="DE1108" i="2"/>
  <c r="DK1108" i="2" s="1"/>
  <c r="DD1108" i="2"/>
  <c r="CX1108" i="2"/>
  <c r="BQ1108" i="2"/>
  <c r="BP1108" i="2"/>
  <c r="BO1108" i="2"/>
  <c r="BN1108" i="2"/>
  <c r="BM1108" i="2"/>
  <c r="BL1108" i="2"/>
  <c r="BK1108" i="2"/>
  <c r="BJ1108" i="2"/>
  <c r="BI1108" i="2"/>
  <c r="BH1108" i="2"/>
  <c r="F1108" i="2"/>
  <c r="D1108" i="2"/>
  <c r="C1108" i="2"/>
  <c r="DM1107" i="2"/>
  <c r="DN1107" i="2" s="1"/>
  <c r="DH1107" i="2"/>
  <c r="DG1107" i="2"/>
  <c r="DF1107" i="2"/>
  <c r="DD1107" i="2"/>
  <c r="DC1107" i="2"/>
  <c r="BQ1107" i="2"/>
  <c r="BP1107" i="2"/>
  <c r="BO1107" i="2"/>
  <c r="BN1107" i="2"/>
  <c r="BM1107" i="2"/>
  <c r="AV1107" i="2" s="1"/>
  <c r="BL1107" i="2"/>
  <c r="BK1107" i="2"/>
  <c r="BJ1107" i="2"/>
  <c r="BI1107" i="2"/>
  <c r="BE1107" i="2" s="1"/>
  <c r="BH1107" i="2"/>
  <c r="BG1107" i="2"/>
  <c r="F1107" i="2"/>
  <c r="D1107" i="2"/>
  <c r="C1107" i="2"/>
  <c r="DM1106" i="2"/>
  <c r="DN1106" i="2" s="1"/>
  <c r="DG1106" i="2" s="1"/>
  <c r="DB1106" i="2"/>
  <c r="BQ1106" i="2"/>
  <c r="BP1106" i="2"/>
  <c r="BO1106" i="2"/>
  <c r="BN1106" i="2"/>
  <c r="BM1106" i="2"/>
  <c r="AV1106" i="2" s="1"/>
  <c r="BL1106" i="2"/>
  <c r="BK1106" i="2"/>
  <c r="BF1106" i="2" s="1"/>
  <c r="BJ1106" i="2"/>
  <c r="BI1106" i="2"/>
  <c r="BH1106" i="2"/>
  <c r="BG1106" i="2"/>
  <c r="AX1106" i="2"/>
  <c r="F1106" i="2"/>
  <c r="D1106" i="2"/>
  <c r="C1106" i="2"/>
  <c r="DN1105" i="2"/>
  <c r="CY1105" i="2" s="1"/>
  <c r="DM1105" i="2"/>
  <c r="DI1105" i="2"/>
  <c r="DL1105" i="2" s="1"/>
  <c r="DH1105" i="2"/>
  <c r="DG1105" i="2"/>
  <c r="DF1105" i="2"/>
  <c r="DE1105" i="2"/>
  <c r="DK1105" i="2" s="1"/>
  <c r="DD1105" i="2"/>
  <c r="DC1105" i="2"/>
  <c r="DB1105" i="2"/>
  <c r="DA1105" i="2"/>
  <c r="DJ1105" i="2" s="1"/>
  <c r="CZ1105" i="2"/>
  <c r="CX1105" i="2"/>
  <c r="BQ1105" i="2"/>
  <c r="BP1105" i="2"/>
  <c r="BO1105" i="2"/>
  <c r="BN1105" i="2"/>
  <c r="BM1105" i="2"/>
  <c r="BL1105" i="2"/>
  <c r="BK1105" i="2"/>
  <c r="BJ1105" i="2"/>
  <c r="BI1105" i="2"/>
  <c r="BH1105" i="2"/>
  <c r="BE1105" i="2" s="1"/>
  <c r="BF1105" i="2"/>
  <c r="F1105" i="2"/>
  <c r="D1105" i="2"/>
  <c r="C1105" i="2"/>
  <c r="DM1104" i="2"/>
  <c r="DN1104" i="2" s="1"/>
  <c r="DE1104" i="2" s="1"/>
  <c r="DK1104" i="2" s="1"/>
  <c r="CZ1104" i="2"/>
  <c r="BQ1104" i="2"/>
  <c r="BP1104" i="2"/>
  <c r="BO1104" i="2"/>
  <c r="BN1104" i="2"/>
  <c r="BM1104" i="2"/>
  <c r="BL1104" i="2"/>
  <c r="BK1104" i="2"/>
  <c r="BJ1104" i="2"/>
  <c r="BI1104" i="2"/>
  <c r="BH1104" i="2"/>
  <c r="BF1104" i="2"/>
  <c r="AV1104" i="2"/>
  <c r="F1104" i="2"/>
  <c r="D1104" i="2"/>
  <c r="C1104" i="2"/>
  <c r="DN1103" i="2"/>
  <c r="DM1103" i="2"/>
  <c r="DI1103" i="2"/>
  <c r="DL1103" i="2" s="1"/>
  <c r="DH1103" i="2"/>
  <c r="DG1103" i="2"/>
  <c r="DF1103" i="2"/>
  <c r="DE1103" i="2"/>
  <c r="DK1103" i="2" s="1"/>
  <c r="DD1103" i="2"/>
  <c r="DC1103" i="2"/>
  <c r="DB1103" i="2"/>
  <c r="DA1103" i="2"/>
  <c r="DJ1103" i="2" s="1"/>
  <c r="CZ1103" i="2"/>
  <c r="CY1103" i="2"/>
  <c r="CX1103" i="2"/>
  <c r="BQ1103" i="2"/>
  <c r="BP1103" i="2"/>
  <c r="BO1103" i="2"/>
  <c r="BN1103" i="2"/>
  <c r="BM1103" i="2"/>
  <c r="AV1103" i="2" s="1"/>
  <c r="BL1103" i="2"/>
  <c r="BK1103" i="2"/>
  <c r="BJ1103" i="2"/>
  <c r="BI1103" i="2"/>
  <c r="AZ1103" i="2" s="1"/>
  <c r="BH1103" i="2"/>
  <c r="BG1103" i="2"/>
  <c r="BF1103" i="2"/>
  <c r="BD1103" i="2"/>
  <c r="BC1103" i="2"/>
  <c r="F1103" i="2"/>
  <c r="D1103" i="2"/>
  <c r="C1103" i="2"/>
  <c r="DN1102" i="2"/>
  <c r="DM1102" i="2"/>
  <c r="DH1102" i="2"/>
  <c r="DC1102" i="2"/>
  <c r="DB1102" i="2"/>
  <c r="DA1102" i="2"/>
  <c r="DJ1102" i="2" s="1"/>
  <c r="CY1102" i="2"/>
  <c r="CX1102" i="2"/>
  <c r="BQ1102" i="2"/>
  <c r="BP1102" i="2"/>
  <c r="BO1102" i="2"/>
  <c r="BN1102" i="2"/>
  <c r="BM1102" i="2"/>
  <c r="AV1102" i="2" s="1"/>
  <c r="BL1102" i="2"/>
  <c r="BD1102" i="2" s="1"/>
  <c r="BK1102" i="2"/>
  <c r="BJ1102" i="2"/>
  <c r="BI1102" i="2"/>
  <c r="BH1102" i="2"/>
  <c r="BG1102" i="2"/>
  <c r="BF1102" i="2"/>
  <c r="BE1102" i="2"/>
  <c r="BC1102" i="2"/>
  <c r="AZ1102" i="2"/>
  <c r="F1102" i="2"/>
  <c r="D1102" i="2"/>
  <c r="C1102" i="2"/>
  <c r="DM1101" i="2"/>
  <c r="DN1101" i="2" s="1"/>
  <c r="DB1101" i="2" s="1"/>
  <c r="BQ1101" i="2"/>
  <c r="BG1101" i="2" s="1"/>
  <c r="BP1101" i="2"/>
  <c r="BO1101" i="2"/>
  <c r="BN1101" i="2"/>
  <c r="BM1101" i="2"/>
  <c r="AV1101" i="2" s="1"/>
  <c r="BL1101" i="2"/>
  <c r="BK1101" i="2"/>
  <c r="BC1101" i="2" s="1"/>
  <c r="BJ1101" i="2"/>
  <c r="BI1101" i="2"/>
  <c r="BH1101" i="2"/>
  <c r="AX1101" i="2" s="1"/>
  <c r="BF1101" i="2"/>
  <c r="BE1101" i="2"/>
  <c r="BD1101" i="2"/>
  <c r="AZ1101" i="2"/>
  <c r="AY1101" i="2"/>
  <c r="F1101" i="2"/>
  <c r="D1101" i="2"/>
  <c r="C1101" i="2"/>
  <c r="DM1100" i="2"/>
  <c r="DN1100" i="2" s="1"/>
  <c r="DF1100" i="2"/>
  <c r="DA1100" i="2"/>
  <c r="DJ1100" i="2" s="1"/>
  <c r="CZ1100" i="2"/>
  <c r="CY1100" i="2"/>
  <c r="BQ1100" i="2"/>
  <c r="BE1100" i="2" s="1"/>
  <c r="BP1100" i="2"/>
  <c r="BO1100" i="2"/>
  <c r="BN1100" i="2"/>
  <c r="BM1100" i="2"/>
  <c r="AV1100" i="2" s="1"/>
  <c r="BL1100" i="2"/>
  <c r="BK1100" i="2"/>
  <c r="BJ1100" i="2"/>
  <c r="BD1100" i="2" s="1"/>
  <c r="BI1100" i="2"/>
  <c r="BH1100" i="2"/>
  <c r="BC1100" i="2"/>
  <c r="AZ1100" i="2"/>
  <c r="AY1100" i="2"/>
  <c r="AX1100" i="2"/>
  <c r="F1100" i="2"/>
  <c r="D1100" i="2"/>
  <c r="C1100" i="2"/>
  <c r="DN1099" i="2"/>
  <c r="DM1099" i="2"/>
  <c r="DK1099" i="2"/>
  <c r="DE1099" i="2"/>
  <c r="CZ1099" i="2"/>
  <c r="CY1099" i="2"/>
  <c r="BQ1099" i="2"/>
  <c r="BG1099" i="2" s="1"/>
  <c r="BP1099" i="2"/>
  <c r="BO1099" i="2"/>
  <c r="BN1099" i="2"/>
  <c r="BM1099" i="2"/>
  <c r="AV1099" i="2" s="1"/>
  <c r="BL1099" i="2"/>
  <c r="BK1099" i="2"/>
  <c r="BJ1099" i="2"/>
  <c r="BI1099" i="2"/>
  <c r="BH1099" i="2"/>
  <c r="BD1099" i="2"/>
  <c r="BC1099" i="2"/>
  <c r="AZ1099" i="2"/>
  <c r="AX1099" i="2"/>
  <c r="F1099" i="2"/>
  <c r="D1099" i="2"/>
  <c r="C1099" i="2"/>
  <c r="DM1098" i="2"/>
  <c r="DN1098" i="2" s="1"/>
  <c r="BQ1098" i="2"/>
  <c r="BP1098" i="2"/>
  <c r="BO1098" i="2"/>
  <c r="BF1098" i="2" s="1"/>
  <c r="BN1098" i="2"/>
  <c r="BC1098" i="2" s="1"/>
  <c r="BM1098" i="2"/>
  <c r="BG1098" i="2" s="1"/>
  <c r="BL1098" i="2"/>
  <c r="BK1098" i="2"/>
  <c r="BJ1098" i="2"/>
  <c r="BI1098" i="2"/>
  <c r="BE1098" i="2" s="1"/>
  <c r="BH1098" i="2"/>
  <c r="AY1098" i="2"/>
  <c r="AV1098" i="2"/>
  <c r="F1098" i="2"/>
  <c r="D1098" i="2"/>
  <c r="C1098" i="2"/>
  <c r="DM1097" i="2"/>
  <c r="DN1097" i="2" s="1"/>
  <c r="DC1097" i="2"/>
  <c r="CX1097" i="2"/>
  <c r="BQ1097" i="2"/>
  <c r="BE1097" i="2" s="1"/>
  <c r="BP1097" i="2"/>
  <c r="BO1097" i="2"/>
  <c r="BN1097" i="2"/>
  <c r="BC1097" i="2" s="1"/>
  <c r="BM1097" i="2"/>
  <c r="BG1097" i="2" s="1"/>
  <c r="BL1097" i="2"/>
  <c r="BK1097" i="2"/>
  <c r="BJ1097" i="2"/>
  <c r="BI1097" i="2"/>
  <c r="BH1097" i="2"/>
  <c r="AZ1097" i="2"/>
  <c r="AY1097" i="2"/>
  <c r="AX1097" i="2"/>
  <c r="AV1097" i="2"/>
  <c r="F1097" i="2"/>
  <c r="D1097" i="2"/>
  <c r="C1097" i="2"/>
  <c r="DM1096" i="2"/>
  <c r="DN1096" i="2" s="1"/>
  <c r="BQ1096" i="2"/>
  <c r="BP1096" i="2"/>
  <c r="BO1096" i="2"/>
  <c r="BN1096" i="2"/>
  <c r="AZ1096" i="2" s="1"/>
  <c r="BM1096" i="2"/>
  <c r="BL1096" i="2"/>
  <c r="BK1096" i="2"/>
  <c r="BJ1096" i="2"/>
  <c r="BI1096" i="2"/>
  <c r="BE1096" i="2" s="1"/>
  <c r="BH1096" i="2"/>
  <c r="AX1096" i="2"/>
  <c r="AV1096" i="2"/>
  <c r="F1096" i="2"/>
  <c r="D1096" i="2"/>
  <c r="C1096" i="2"/>
  <c r="DM1095" i="2"/>
  <c r="DN1095" i="2" s="1"/>
  <c r="BQ1095" i="2"/>
  <c r="BP1095" i="2"/>
  <c r="BO1095" i="2"/>
  <c r="BN1095" i="2"/>
  <c r="BM1095" i="2"/>
  <c r="BG1095" i="2" s="1"/>
  <c r="BL1095" i="2"/>
  <c r="AY1095" i="2" s="1"/>
  <c r="BK1095" i="2"/>
  <c r="BJ1095" i="2"/>
  <c r="BF1095" i="2" s="1"/>
  <c r="BI1095" i="2"/>
  <c r="AZ1095" i="2" s="1"/>
  <c r="BH1095" i="2"/>
  <c r="BD1095" i="2" s="1"/>
  <c r="BE1095" i="2"/>
  <c r="AX1095" i="2"/>
  <c r="F1095" i="2"/>
  <c r="D1095" i="2"/>
  <c r="C1095" i="2"/>
  <c r="DN1094" i="2"/>
  <c r="DD1094" i="2" s="1"/>
  <c r="DM1094" i="2"/>
  <c r="DJ1094" i="2"/>
  <c r="DI1094" i="2"/>
  <c r="DL1094" i="2" s="1"/>
  <c r="DH1094" i="2"/>
  <c r="DG1094" i="2"/>
  <c r="DF1094" i="2"/>
  <c r="DE1094" i="2"/>
  <c r="DK1094" i="2" s="1"/>
  <c r="DA1094" i="2"/>
  <c r="CZ1094" i="2"/>
  <c r="CX1094" i="2"/>
  <c r="BQ1094" i="2"/>
  <c r="BP1094" i="2"/>
  <c r="BO1094" i="2"/>
  <c r="BN1094" i="2"/>
  <c r="BM1094" i="2"/>
  <c r="BL1094" i="2"/>
  <c r="BK1094" i="2"/>
  <c r="BJ1094" i="2"/>
  <c r="BI1094" i="2"/>
  <c r="BH1094" i="2"/>
  <c r="BE1094" i="2"/>
  <c r="AX1094" i="2"/>
  <c r="F1094" i="2"/>
  <c r="D1094" i="2"/>
  <c r="C1094" i="2"/>
  <c r="DM1093" i="2"/>
  <c r="DN1093" i="2" s="1"/>
  <c r="DH1093" i="2" s="1"/>
  <c r="DI1093" i="2"/>
  <c r="DL1093" i="2" s="1"/>
  <c r="DG1093" i="2"/>
  <c r="DF1093" i="2"/>
  <c r="DE1093" i="2"/>
  <c r="DK1093" i="2" s="1"/>
  <c r="DD1093" i="2"/>
  <c r="BQ1093" i="2"/>
  <c r="BP1093" i="2"/>
  <c r="BO1093" i="2"/>
  <c r="BN1093" i="2"/>
  <c r="BC1093" i="2" s="1"/>
  <c r="BM1093" i="2"/>
  <c r="BG1093" i="2" s="1"/>
  <c r="BL1093" i="2"/>
  <c r="BK1093" i="2"/>
  <c r="BJ1093" i="2"/>
  <c r="BF1093" i="2" s="1"/>
  <c r="BI1093" i="2"/>
  <c r="BH1093" i="2"/>
  <c r="AX1093" i="2" s="1"/>
  <c r="BD1093" i="2"/>
  <c r="AY1093" i="2"/>
  <c r="AV1093" i="2"/>
  <c r="F1093" i="2"/>
  <c r="D1093" i="2"/>
  <c r="C1093" i="2"/>
  <c r="DN1092" i="2"/>
  <c r="DI1092" i="2" s="1"/>
  <c r="DL1092" i="2" s="1"/>
  <c r="DM1092" i="2"/>
  <c r="DH1092" i="2"/>
  <c r="DG1092" i="2"/>
  <c r="DF1092" i="2"/>
  <c r="DC1092" i="2"/>
  <c r="CX1092" i="2"/>
  <c r="BQ1092" i="2"/>
  <c r="BP1092" i="2"/>
  <c r="BO1092" i="2"/>
  <c r="BN1092" i="2"/>
  <c r="BM1092" i="2"/>
  <c r="AV1092" i="2" s="1"/>
  <c r="BL1092" i="2"/>
  <c r="BK1092" i="2"/>
  <c r="BJ1092" i="2"/>
  <c r="BI1092" i="2"/>
  <c r="BH1092" i="2"/>
  <c r="BG1092" i="2" s="1"/>
  <c r="AX1092" i="2"/>
  <c r="F1092" i="2"/>
  <c r="D1092" i="2"/>
  <c r="C1092" i="2"/>
  <c r="DN1091" i="2"/>
  <c r="DM1091" i="2"/>
  <c r="DI1091" i="2"/>
  <c r="DL1091" i="2" s="1"/>
  <c r="DH1091" i="2"/>
  <c r="DG1091" i="2"/>
  <c r="CX1091" i="2"/>
  <c r="BQ1091" i="2"/>
  <c r="BP1091" i="2"/>
  <c r="BO1091" i="2"/>
  <c r="BN1091" i="2"/>
  <c r="BM1091" i="2"/>
  <c r="BL1091" i="2"/>
  <c r="BK1091" i="2"/>
  <c r="BJ1091" i="2"/>
  <c r="BF1091" i="2" s="1"/>
  <c r="BI1091" i="2"/>
  <c r="BH1091" i="2"/>
  <c r="F1091" i="2"/>
  <c r="D1091" i="2"/>
  <c r="C1091" i="2"/>
  <c r="DM1090" i="2"/>
  <c r="DN1090" i="2" s="1"/>
  <c r="DH1090" i="2" s="1"/>
  <c r="DI1090" i="2"/>
  <c r="DL1090" i="2" s="1"/>
  <c r="DE1090" i="2"/>
  <c r="DK1090" i="2" s="1"/>
  <c r="DC1090" i="2"/>
  <c r="DB1090" i="2"/>
  <c r="DA1090" i="2"/>
  <c r="DJ1090" i="2" s="1"/>
  <c r="BQ1090" i="2"/>
  <c r="BP1090" i="2"/>
  <c r="BO1090" i="2"/>
  <c r="BN1090" i="2"/>
  <c r="BM1090" i="2"/>
  <c r="BG1090" i="2" s="1"/>
  <c r="BL1090" i="2"/>
  <c r="BK1090" i="2"/>
  <c r="BJ1090" i="2"/>
  <c r="BI1090" i="2"/>
  <c r="BE1090" i="2" s="1"/>
  <c r="BH1090" i="2"/>
  <c r="AX1090" i="2"/>
  <c r="AV1090" i="2"/>
  <c r="F1090" i="2"/>
  <c r="D1090" i="2"/>
  <c r="C1090" i="2"/>
  <c r="DN1089" i="2"/>
  <c r="CY1089" i="2" s="1"/>
  <c r="DM1089" i="2"/>
  <c r="DK1089" i="2"/>
  <c r="DI1089" i="2"/>
  <c r="DL1089" i="2" s="1"/>
  <c r="DH1089" i="2"/>
  <c r="DG1089" i="2"/>
  <c r="DF1089" i="2"/>
  <c r="DE1089" i="2"/>
  <c r="DD1089" i="2"/>
  <c r="DC1089" i="2"/>
  <c r="DB1089" i="2"/>
  <c r="DA1089" i="2"/>
  <c r="DJ1089" i="2" s="1"/>
  <c r="CZ1089" i="2"/>
  <c r="CX1089" i="2"/>
  <c r="BQ1089" i="2"/>
  <c r="BP1089" i="2"/>
  <c r="BO1089" i="2"/>
  <c r="BN1089" i="2"/>
  <c r="BM1089" i="2"/>
  <c r="BG1089" i="2" s="1"/>
  <c r="BL1089" i="2"/>
  <c r="BK1089" i="2"/>
  <c r="BJ1089" i="2"/>
  <c r="BI1089" i="2"/>
  <c r="BE1089" i="2" s="1"/>
  <c r="BH1089" i="2"/>
  <c r="AX1089" i="2"/>
  <c r="F1089" i="2"/>
  <c r="D1089" i="2"/>
  <c r="C1089" i="2"/>
  <c r="DM1088" i="2"/>
  <c r="DN1088" i="2" s="1"/>
  <c r="CX1088" i="2" s="1"/>
  <c r="DH1088" i="2"/>
  <c r="DG1088" i="2"/>
  <c r="DC1088" i="2"/>
  <c r="DA1088" i="2"/>
  <c r="DJ1088" i="2" s="1"/>
  <c r="CZ1088" i="2"/>
  <c r="CY1088" i="2"/>
  <c r="BQ1088" i="2"/>
  <c r="BP1088" i="2"/>
  <c r="BO1088" i="2"/>
  <c r="BN1088" i="2"/>
  <c r="BM1088" i="2"/>
  <c r="BG1088" i="2" s="1"/>
  <c r="BL1088" i="2"/>
  <c r="BK1088" i="2"/>
  <c r="BJ1088" i="2"/>
  <c r="BI1088" i="2"/>
  <c r="AZ1088" i="2" s="1"/>
  <c r="BH1088" i="2"/>
  <c r="BC1088" i="2"/>
  <c r="AV1088" i="2"/>
  <c r="F1088" i="2"/>
  <c r="D1088" i="2"/>
  <c r="C1088" i="2"/>
  <c r="DN1087" i="2"/>
  <c r="CX1087" i="2" s="1"/>
  <c r="DM1087" i="2"/>
  <c r="DI1087" i="2"/>
  <c r="DL1087" i="2" s="1"/>
  <c r="DH1087" i="2"/>
  <c r="DG1087" i="2"/>
  <c r="DF1087" i="2"/>
  <c r="DE1087" i="2"/>
  <c r="DK1087" i="2" s="1"/>
  <c r="DD1087" i="2"/>
  <c r="DC1087" i="2"/>
  <c r="DB1087" i="2"/>
  <c r="DA1087" i="2"/>
  <c r="DJ1087" i="2" s="1"/>
  <c r="CZ1087" i="2"/>
  <c r="CY1087" i="2"/>
  <c r="BQ1087" i="2"/>
  <c r="BP1087" i="2"/>
  <c r="BO1087" i="2"/>
  <c r="BN1087" i="2"/>
  <c r="BC1087" i="2" s="1"/>
  <c r="BM1087" i="2"/>
  <c r="BL1087" i="2"/>
  <c r="BK1087" i="2"/>
  <c r="BJ1087" i="2"/>
  <c r="AV1087" i="2" s="1"/>
  <c r="BI1087" i="2"/>
  <c r="BH1087" i="2"/>
  <c r="BG1087" i="2"/>
  <c r="BE1087" i="2"/>
  <c r="F1087" i="2"/>
  <c r="D1087" i="2"/>
  <c r="C1087" i="2"/>
  <c r="DN1086" i="2"/>
  <c r="DI1086" i="2" s="1"/>
  <c r="DL1086" i="2" s="1"/>
  <c r="DM1086" i="2"/>
  <c r="BQ1086" i="2"/>
  <c r="BP1086" i="2"/>
  <c r="BO1086" i="2"/>
  <c r="BN1086" i="2"/>
  <c r="BM1086" i="2"/>
  <c r="BL1086" i="2"/>
  <c r="BK1086" i="2"/>
  <c r="BJ1086" i="2"/>
  <c r="BI1086" i="2"/>
  <c r="BH1086" i="2"/>
  <c r="AX1086" i="2" s="1"/>
  <c r="BE1086" i="2"/>
  <c r="F1086" i="2"/>
  <c r="D1086" i="2"/>
  <c r="C1086" i="2"/>
  <c r="DN1085" i="2"/>
  <c r="CX1085" i="2" s="1"/>
  <c r="DM1085" i="2"/>
  <c r="DI1085" i="2"/>
  <c r="DL1085" i="2" s="1"/>
  <c r="DH1085" i="2"/>
  <c r="DD1085" i="2"/>
  <c r="DB1085" i="2"/>
  <c r="DA1085" i="2"/>
  <c r="DJ1085" i="2" s="1"/>
  <c r="CZ1085" i="2"/>
  <c r="CY1085" i="2"/>
  <c r="BQ1085" i="2"/>
  <c r="BP1085" i="2"/>
  <c r="BO1085" i="2"/>
  <c r="BN1085" i="2"/>
  <c r="BM1085" i="2"/>
  <c r="BL1085" i="2"/>
  <c r="BK1085" i="2"/>
  <c r="BJ1085" i="2"/>
  <c r="BI1085" i="2"/>
  <c r="AZ1085" i="2" s="1"/>
  <c r="BH1085" i="2"/>
  <c r="BE1085" i="2" s="1"/>
  <c r="BF1085" i="2"/>
  <c r="BC1085" i="2"/>
  <c r="F1085" i="2"/>
  <c r="D1085" i="2"/>
  <c r="C1085" i="2"/>
  <c r="DN1084" i="2"/>
  <c r="DM1084" i="2"/>
  <c r="BQ1084" i="2"/>
  <c r="BP1084" i="2"/>
  <c r="BO1084" i="2"/>
  <c r="BN1084" i="2"/>
  <c r="BM1084" i="2"/>
  <c r="AV1084" i="2" s="1"/>
  <c r="BL1084" i="2"/>
  <c r="BK1084" i="2"/>
  <c r="BC1084" i="2" s="1"/>
  <c r="BJ1084" i="2"/>
  <c r="BF1084" i="2" s="1"/>
  <c r="BI1084" i="2"/>
  <c r="BE1084" i="2" s="1"/>
  <c r="BH1084" i="2"/>
  <c r="AX1084" i="2" s="1"/>
  <c r="AZ1084" i="2"/>
  <c r="AY1084" i="2"/>
  <c r="F1084" i="2"/>
  <c r="D1084" i="2"/>
  <c r="C1084" i="2"/>
  <c r="DM1083" i="2"/>
  <c r="DN1083" i="2" s="1"/>
  <c r="BQ1083" i="2"/>
  <c r="BG1083" i="2" s="1"/>
  <c r="BP1083" i="2"/>
  <c r="BE1083" i="2" s="1"/>
  <c r="BO1083" i="2"/>
  <c r="BN1083" i="2"/>
  <c r="BM1083" i="2"/>
  <c r="BL1083" i="2"/>
  <c r="BK1083" i="2"/>
  <c r="BJ1083" i="2"/>
  <c r="BI1083" i="2"/>
  <c r="AZ1083" i="2" s="1"/>
  <c r="BH1083" i="2"/>
  <c r="AY1083" i="2"/>
  <c r="AX1083" i="2"/>
  <c r="F1083" i="2"/>
  <c r="D1083" i="2"/>
  <c r="C1083" i="2"/>
  <c r="DM1082" i="2"/>
  <c r="DN1082" i="2" s="1"/>
  <c r="DI1082" i="2"/>
  <c r="DL1082" i="2" s="1"/>
  <c r="DG1082" i="2"/>
  <c r="CZ1082" i="2"/>
  <c r="BQ1082" i="2"/>
  <c r="BP1082" i="2"/>
  <c r="BO1082" i="2"/>
  <c r="BN1082" i="2"/>
  <c r="BM1082" i="2"/>
  <c r="BL1082" i="2"/>
  <c r="BK1082" i="2"/>
  <c r="BJ1082" i="2"/>
  <c r="BI1082" i="2"/>
  <c r="BH1082" i="2"/>
  <c r="BD1082" i="2"/>
  <c r="AY1082" i="2"/>
  <c r="AX1082" i="2"/>
  <c r="F1082" i="2"/>
  <c r="D1082" i="2"/>
  <c r="C1082" i="2"/>
  <c r="DM1081" i="2"/>
  <c r="DN1081" i="2" s="1"/>
  <c r="DH1081" i="2" s="1"/>
  <c r="DD1081" i="2"/>
  <c r="DC1081" i="2"/>
  <c r="BQ1081" i="2"/>
  <c r="BP1081" i="2"/>
  <c r="BO1081" i="2"/>
  <c r="BN1081" i="2"/>
  <c r="AZ1081" i="2" s="1"/>
  <c r="BM1081" i="2"/>
  <c r="BL1081" i="2"/>
  <c r="BK1081" i="2"/>
  <c r="BJ1081" i="2"/>
  <c r="BF1081" i="2" s="1"/>
  <c r="BI1081" i="2"/>
  <c r="BH1081" i="2"/>
  <c r="BG1081" i="2" s="1"/>
  <c r="AV1081" i="2"/>
  <c r="F1081" i="2"/>
  <c r="D1081" i="2"/>
  <c r="C1081" i="2"/>
  <c r="DN1080" i="2"/>
  <c r="DG1080" i="2" s="1"/>
  <c r="DM1080" i="2"/>
  <c r="DI1080" i="2"/>
  <c r="DL1080" i="2" s="1"/>
  <c r="DC1080" i="2"/>
  <c r="DB1080" i="2"/>
  <c r="CX1080" i="2"/>
  <c r="BQ1080" i="2"/>
  <c r="BP1080" i="2"/>
  <c r="BO1080" i="2"/>
  <c r="BF1080" i="2" s="1"/>
  <c r="BN1080" i="2"/>
  <c r="BM1080" i="2"/>
  <c r="BL1080" i="2"/>
  <c r="BK1080" i="2"/>
  <c r="BJ1080" i="2"/>
  <c r="BI1080" i="2"/>
  <c r="AZ1080" i="2" s="1"/>
  <c r="BH1080" i="2"/>
  <c r="BG1080" i="2"/>
  <c r="AX1080" i="2"/>
  <c r="AV1080" i="2"/>
  <c r="F1080" i="2"/>
  <c r="D1080" i="2"/>
  <c r="C1080" i="2"/>
  <c r="DM1079" i="2"/>
  <c r="DN1079" i="2" s="1"/>
  <c r="DJ1079" i="2"/>
  <c r="DI1079" i="2"/>
  <c r="DL1079" i="2" s="1"/>
  <c r="DH1079" i="2"/>
  <c r="DF1079" i="2"/>
  <c r="DD1079" i="2"/>
  <c r="DB1079" i="2"/>
  <c r="DA1079" i="2"/>
  <c r="BQ1079" i="2"/>
  <c r="BP1079" i="2"/>
  <c r="BO1079" i="2"/>
  <c r="BN1079" i="2"/>
  <c r="AZ1079" i="2" s="1"/>
  <c r="BM1079" i="2"/>
  <c r="BL1079" i="2"/>
  <c r="BK1079" i="2"/>
  <c r="BJ1079" i="2"/>
  <c r="BF1079" i="2" s="1"/>
  <c r="BI1079" i="2"/>
  <c r="BH1079" i="2"/>
  <c r="AY1079" i="2" s="1"/>
  <c r="BE1079" i="2"/>
  <c r="AV1079" i="2"/>
  <c r="F1079" i="2"/>
  <c r="D1079" i="2"/>
  <c r="C1079" i="2"/>
  <c r="DM1078" i="2"/>
  <c r="DN1078" i="2" s="1"/>
  <c r="DI1078" i="2" s="1"/>
  <c r="DL1078" i="2" s="1"/>
  <c r="DE1078" i="2"/>
  <c r="DK1078" i="2" s="1"/>
  <c r="DA1078" i="2"/>
  <c r="DJ1078" i="2" s="1"/>
  <c r="BQ1078" i="2"/>
  <c r="BP1078" i="2"/>
  <c r="BO1078" i="2"/>
  <c r="BN1078" i="2"/>
  <c r="BM1078" i="2"/>
  <c r="AV1078" i="2" s="1"/>
  <c r="BL1078" i="2"/>
  <c r="BK1078" i="2"/>
  <c r="BJ1078" i="2"/>
  <c r="BI1078" i="2"/>
  <c r="BE1078" i="2" s="1"/>
  <c r="BH1078" i="2"/>
  <c r="BD1078" i="2"/>
  <c r="AX1078" i="2"/>
  <c r="F1078" i="2"/>
  <c r="D1078" i="2"/>
  <c r="C1078" i="2"/>
  <c r="DM1077" i="2"/>
  <c r="DN1077" i="2" s="1"/>
  <c r="DI1077" i="2" s="1"/>
  <c r="DL1077" i="2" s="1"/>
  <c r="DD1077" i="2"/>
  <c r="CZ1077" i="2"/>
  <c r="BQ1077" i="2"/>
  <c r="BP1077" i="2"/>
  <c r="BO1077" i="2"/>
  <c r="BN1077" i="2"/>
  <c r="BM1077" i="2"/>
  <c r="BD1077" i="2" s="1"/>
  <c r="BL1077" i="2"/>
  <c r="BK1077" i="2"/>
  <c r="BJ1077" i="2"/>
  <c r="BI1077" i="2"/>
  <c r="BH1077" i="2"/>
  <c r="BC1077" i="2"/>
  <c r="F1077" i="2"/>
  <c r="D1077" i="2"/>
  <c r="C1077" i="2"/>
  <c r="DN1076" i="2"/>
  <c r="DM1076" i="2"/>
  <c r="DH1076" i="2"/>
  <c r="DG1076" i="2"/>
  <c r="DF1076" i="2"/>
  <c r="DE1076" i="2"/>
  <c r="DK1076" i="2" s="1"/>
  <c r="DC1076" i="2"/>
  <c r="DA1076" i="2"/>
  <c r="DJ1076" i="2" s="1"/>
  <c r="CY1076" i="2"/>
  <c r="CX1076" i="2"/>
  <c r="BQ1076" i="2"/>
  <c r="BP1076" i="2"/>
  <c r="BO1076" i="2"/>
  <c r="BN1076" i="2"/>
  <c r="BM1076" i="2"/>
  <c r="BL1076" i="2"/>
  <c r="BK1076" i="2"/>
  <c r="BJ1076" i="2"/>
  <c r="BI1076" i="2"/>
  <c r="BE1076" i="2" s="1"/>
  <c r="BH1076" i="2"/>
  <c r="BD1076" i="2" s="1"/>
  <c r="BG1076" i="2"/>
  <c r="AV1076" i="2"/>
  <c r="F1076" i="2"/>
  <c r="D1076" i="2"/>
  <c r="C1076" i="2"/>
  <c r="DN1075" i="2"/>
  <c r="DI1075" i="2" s="1"/>
  <c r="DL1075" i="2" s="1"/>
  <c r="DM1075" i="2"/>
  <c r="DF1075" i="2"/>
  <c r="DE1075" i="2"/>
  <c r="DK1075" i="2" s="1"/>
  <c r="BQ1075" i="2"/>
  <c r="BP1075" i="2"/>
  <c r="BO1075" i="2"/>
  <c r="BN1075" i="2"/>
  <c r="BM1075" i="2"/>
  <c r="BL1075" i="2"/>
  <c r="BK1075" i="2"/>
  <c r="BJ1075" i="2"/>
  <c r="BF1075" i="2" s="1"/>
  <c r="BI1075" i="2"/>
  <c r="BH1075" i="2"/>
  <c r="BG1075" i="2" s="1"/>
  <c r="AZ1075" i="2"/>
  <c r="F1075" i="2"/>
  <c r="D1075" i="2"/>
  <c r="C1075" i="2"/>
  <c r="DM1074" i="2"/>
  <c r="DN1074" i="2" s="1"/>
  <c r="DF1074" i="2" s="1"/>
  <c r="DI1074" i="2"/>
  <c r="DL1074" i="2" s="1"/>
  <c r="DH1074" i="2"/>
  <c r="DB1074" i="2"/>
  <c r="CY1074" i="2"/>
  <c r="BQ1074" i="2"/>
  <c r="BP1074" i="2"/>
  <c r="BO1074" i="2"/>
  <c r="BN1074" i="2"/>
  <c r="BM1074" i="2"/>
  <c r="BL1074" i="2"/>
  <c r="BK1074" i="2"/>
  <c r="BJ1074" i="2"/>
  <c r="BF1074" i="2" s="1"/>
  <c r="BI1074" i="2"/>
  <c r="AZ1074" i="2" s="1"/>
  <c r="BH1074" i="2"/>
  <c r="AX1074" i="2"/>
  <c r="F1074" i="2"/>
  <c r="D1074" i="2"/>
  <c r="C1074" i="2"/>
  <c r="DN1073" i="2"/>
  <c r="DM1073" i="2"/>
  <c r="DI1073" i="2"/>
  <c r="DL1073" i="2" s="1"/>
  <c r="DH1073" i="2"/>
  <c r="DG1073" i="2"/>
  <c r="DD1073" i="2"/>
  <c r="DC1073" i="2"/>
  <c r="DB1073" i="2"/>
  <c r="BQ1073" i="2"/>
  <c r="BP1073" i="2"/>
  <c r="BO1073" i="2"/>
  <c r="BN1073" i="2"/>
  <c r="BM1073" i="2"/>
  <c r="AV1073" i="2" s="1"/>
  <c r="BL1073" i="2"/>
  <c r="BK1073" i="2"/>
  <c r="BJ1073" i="2"/>
  <c r="BI1073" i="2"/>
  <c r="BH1073" i="2"/>
  <c r="BD1073" i="2" s="1"/>
  <c r="BG1073" i="2"/>
  <c r="BF1073" i="2"/>
  <c r="F1073" i="2"/>
  <c r="D1073" i="2"/>
  <c r="C1073" i="2"/>
  <c r="DM1072" i="2"/>
  <c r="DN1072" i="2" s="1"/>
  <c r="DH1072" i="2"/>
  <c r="DG1072" i="2"/>
  <c r="DF1072" i="2"/>
  <c r="DD1072" i="2"/>
  <c r="DB1072" i="2"/>
  <c r="DA1072" i="2"/>
  <c r="DJ1072" i="2" s="1"/>
  <c r="CZ1072" i="2"/>
  <c r="BQ1072" i="2"/>
  <c r="BP1072" i="2"/>
  <c r="BO1072" i="2"/>
  <c r="BN1072" i="2"/>
  <c r="BC1072" i="2" s="1"/>
  <c r="BM1072" i="2"/>
  <c r="BL1072" i="2"/>
  <c r="BK1072" i="2"/>
  <c r="BJ1072" i="2"/>
  <c r="BF1072" i="2" s="1"/>
  <c r="BI1072" i="2"/>
  <c r="BH1072" i="2"/>
  <c r="BG1072" i="2"/>
  <c r="F1072" i="2"/>
  <c r="D1072" i="2"/>
  <c r="C1072" i="2"/>
  <c r="DN1071" i="2"/>
  <c r="DD1071" i="2" s="1"/>
  <c r="DM1071" i="2"/>
  <c r="DI1071" i="2"/>
  <c r="DL1071" i="2" s="1"/>
  <c r="DH1071" i="2"/>
  <c r="DG1071" i="2"/>
  <c r="DF1071" i="2"/>
  <c r="CY1071" i="2"/>
  <c r="BQ1071" i="2"/>
  <c r="BP1071" i="2"/>
  <c r="BO1071" i="2"/>
  <c r="BN1071" i="2"/>
  <c r="BM1071" i="2"/>
  <c r="BL1071" i="2"/>
  <c r="BK1071" i="2"/>
  <c r="BJ1071" i="2"/>
  <c r="BF1071" i="2" s="1"/>
  <c r="BI1071" i="2"/>
  <c r="BE1071" i="2" s="1"/>
  <c r="BH1071" i="2"/>
  <c r="AX1071" i="2"/>
  <c r="F1071" i="2"/>
  <c r="D1071" i="2"/>
  <c r="C1071" i="2"/>
  <c r="DN1070" i="2"/>
  <c r="DM1070" i="2"/>
  <c r="BQ1070" i="2"/>
  <c r="BP1070" i="2"/>
  <c r="BO1070" i="2"/>
  <c r="BN1070" i="2"/>
  <c r="BM1070" i="2"/>
  <c r="BD1070" i="2" s="1"/>
  <c r="BL1070" i="2"/>
  <c r="AY1070" i="2" s="1"/>
  <c r="BK1070" i="2"/>
  <c r="BJ1070" i="2"/>
  <c r="BI1070" i="2"/>
  <c r="BH1070" i="2"/>
  <c r="AX1070" i="2" s="1"/>
  <c r="BC1070" i="2"/>
  <c r="AZ1070" i="2"/>
  <c r="F1070" i="2"/>
  <c r="D1070" i="2"/>
  <c r="C1070" i="2"/>
  <c r="DN1069" i="2"/>
  <c r="DH1069" i="2" s="1"/>
  <c r="DM1069" i="2"/>
  <c r="DD1069" i="2"/>
  <c r="CY1069" i="2"/>
  <c r="CX1069" i="2"/>
  <c r="BQ1069" i="2"/>
  <c r="BP1069" i="2"/>
  <c r="BO1069" i="2"/>
  <c r="BN1069" i="2"/>
  <c r="BM1069" i="2"/>
  <c r="BL1069" i="2"/>
  <c r="BK1069" i="2"/>
  <c r="BJ1069" i="2"/>
  <c r="BI1069" i="2"/>
  <c r="BE1069" i="2" s="1"/>
  <c r="BH1069" i="2"/>
  <c r="BD1069" i="2" s="1"/>
  <c r="BG1069" i="2"/>
  <c r="AZ1069" i="2"/>
  <c r="AY1069" i="2"/>
  <c r="AX1069" i="2"/>
  <c r="AV1069" i="2"/>
  <c r="F1069" i="2"/>
  <c r="D1069" i="2"/>
  <c r="C1069" i="2"/>
  <c r="DM1068" i="2"/>
  <c r="DN1068" i="2" s="1"/>
  <c r="DD1068" i="2" s="1"/>
  <c r="DC1068" i="2"/>
  <c r="BQ1068" i="2"/>
  <c r="BP1068" i="2"/>
  <c r="BO1068" i="2"/>
  <c r="BN1068" i="2"/>
  <c r="BM1068" i="2"/>
  <c r="BL1068" i="2"/>
  <c r="BK1068" i="2"/>
  <c r="BJ1068" i="2"/>
  <c r="BF1068" i="2" s="1"/>
  <c r="BI1068" i="2"/>
  <c r="BC1068" i="2" s="1"/>
  <c r="BH1068" i="2"/>
  <c r="BG1068" i="2"/>
  <c r="F1068" i="2"/>
  <c r="D1068" i="2"/>
  <c r="C1068" i="2"/>
  <c r="DM1067" i="2"/>
  <c r="DN1067" i="2" s="1"/>
  <c r="BQ1067" i="2"/>
  <c r="BE1067" i="2" s="1"/>
  <c r="BP1067" i="2"/>
  <c r="BO1067" i="2"/>
  <c r="BN1067" i="2"/>
  <c r="BC1067" i="2" s="1"/>
  <c r="BM1067" i="2"/>
  <c r="AV1067" i="2" s="1"/>
  <c r="BL1067" i="2"/>
  <c r="AY1067" i="2" s="1"/>
  <c r="BK1067" i="2"/>
  <c r="BJ1067" i="2"/>
  <c r="BI1067" i="2"/>
  <c r="BH1067" i="2"/>
  <c r="BD1067" i="2"/>
  <c r="AZ1067" i="2"/>
  <c r="AX1067" i="2"/>
  <c r="AW1067" i="2" s="1"/>
  <c r="F1067" i="2"/>
  <c r="D1067" i="2"/>
  <c r="C1067" i="2"/>
  <c r="DN1066" i="2"/>
  <c r="DF1066" i="2" s="1"/>
  <c r="DM1066" i="2"/>
  <c r="DL1066" i="2"/>
  <c r="DI1066" i="2"/>
  <c r="DH1066" i="2"/>
  <c r="DG1066" i="2"/>
  <c r="DE1066" i="2"/>
  <c r="DK1066" i="2" s="1"/>
  <c r="DD1066" i="2"/>
  <c r="DC1066" i="2"/>
  <c r="BQ1066" i="2"/>
  <c r="BP1066" i="2"/>
  <c r="BO1066" i="2"/>
  <c r="BF1066" i="2" s="1"/>
  <c r="BN1066" i="2"/>
  <c r="BM1066" i="2"/>
  <c r="AV1066" i="2" s="1"/>
  <c r="BL1066" i="2"/>
  <c r="BK1066" i="2"/>
  <c r="BJ1066" i="2"/>
  <c r="BI1066" i="2"/>
  <c r="BE1066" i="2" s="1"/>
  <c r="BH1066" i="2"/>
  <c r="BD1066" i="2" s="1"/>
  <c r="BG1066" i="2"/>
  <c r="F1066" i="2"/>
  <c r="D1066" i="2"/>
  <c r="C1066" i="2"/>
  <c r="DN1065" i="2"/>
  <c r="DE1065" i="2" s="1"/>
  <c r="DK1065" i="2" s="1"/>
  <c r="DM1065" i="2"/>
  <c r="DI1065" i="2"/>
  <c r="DL1065" i="2" s="1"/>
  <c r="DH1065" i="2"/>
  <c r="DG1065" i="2"/>
  <c r="DF1065" i="2"/>
  <c r="DD1065" i="2"/>
  <c r="DC1065" i="2"/>
  <c r="DB1065" i="2"/>
  <c r="DA1065" i="2"/>
  <c r="DJ1065" i="2" s="1"/>
  <c r="CZ1065" i="2"/>
  <c r="CY1065" i="2"/>
  <c r="CX1065" i="2"/>
  <c r="BQ1065" i="2"/>
  <c r="BP1065" i="2"/>
  <c r="BO1065" i="2"/>
  <c r="BN1065" i="2"/>
  <c r="BM1065" i="2"/>
  <c r="AV1065" i="2" s="1"/>
  <c r="BL1065" i="2"/>
  <c r="BK1065" i="2"/>
  <c r="BC1065" i="2" s="1"/>
  <c r="BJ1065" i="2"/>
  <c r="BD1065" i="2" s="1"/>
  <c r="BI1065" i="2"/>
  <c r="BH1065" i="2"/>
  <c r="AY1065" i="2" s="1"/>
  <c r="BG1065" i="2"/>
  <c r="BF1065" i="2"/>
  <c r="BE1065" i="2"/>
  <c r="AZ1065" i="2"/>
  <c r="F1065" i="2"/>
  <c r="D1065" i="2"/>
  <c r="C1065" i="2"/>
  <c r="DN1064" i="2"/>
  <c r="CX1064" i="2" s="1"/>
  <c r="DM1064" i="2"/>
  <c r="BQ1064" i="2"/>
  <c r="BP1064" i="2"/>
  <c r="BO1064" i="2"/>
  <c r="BN1064" i="2"/>
  <c r="BC1064" i="2" s="1"/>
  <c r="BM1064" i="2"/>
  <c r="BL1064" i="2"/>
  <c r="BK1064" i="2"/>
  <c r="BJ1064" i="2"/>
  <c r="BI1064" i="2"/>
  <c r="BH1064" i="2"/>
  <c r="BF1064" i="2"/>
  <c r="BD1064" i="2"/>
  <c r="AZ1064" i="2"/>
  <c r="AY1064" i="2"/>
  <c r="AX1064" i="2"/>
  <c r="AV1064" i="2"/>
  <c r="F1064" i="2"/>
  <c r="D1064" i="2"/>
  <c r="C1064" i="2"/>
  <c r="DN1063" i="2"/>
  <c r="DC1063" i="2" s="1"/>
  <c r="DM1063" i="2"/>
  <c r="DI1063" i="2"/>
  <c r="DL1063" i="2" s="1"/>
  <c r="DH1063" i="2"/>
  <c r="BQ1063" i="2"/>
  <c r="BP1063" i="2"/>
  <c r="BO1063" i="2"/>
  <c r="BN1063" i="2"/>
  <c r="BM1063" i="2"/>
  <c r="BL1063" i="2"/>
  <c r="BK1063" i="2"/>
  <c r="BJ1063" i="2"/>
  <c r="BI1063" i="2"/>
  <c r="BE1063" i="2" s="1"/>
  <c r="BH1063" i="2"/>
  <c r="AX1063" i="2"/>
  <c r="F1063" i="2"/>
  <c r="D1063" i="2"/>
  <c r="C1063" i="2"/>
  <c r="DM1062" i="2"/>
  <c r="DN1062" i="2" s="1"/>
  <c r="DI1062" i="2" s="1"/>
  <c r="DL1062" i="2" s="1"/>
  <c r="DE1062" i="2"/>
  <c r="DK1062" i="2" s="1"/>
  <c r="BQ1062" i="2"/>
  <c r="BP1062" i="2"/>
  <c r="BO1062" i="2"/>
  <c r="BN1062" i="2"/>
  <c r="BM1062" i="2"/>
  <c r="AV1062" i="2" s="1"/>
  <c r="BL1062" i="2"/>
  <c r="BK1062" i="2"/>
  <c r="BJ1062" i="2"/>
  <c r="BF1062" i="2" s="1"/>
  <c r="BI1062" i="2"/>
  <c r="AZ1062" i="2" s="1"/>
  <c r="BH1062" i="2"/>
  <c r="BG1062" i="2" s="1"/>
  <c r="BE1062" i="2"/>
  <c r="BC1062" i="2"/>
  <c r="F1062" i="2"/>
  <c r="D1062" i="2"/>
  <c r="C1062" i="2"/>
  <c r="DN1061" i="2"/>
  <c r="DD1061" i="2" s="1"/>
  <c r="DM1061" i="2"/>
  <c r="CY1061" i="2"/>
  <c r="BQ1061" i="2"/>
  <c r="BP1061" i="2"/>
  <c r="BO1061" i="2"/>
  <c r="BF1061" i="2" s="1"/>
  <c r="BN1061" i="2"/>
  <c r="BM1061" i="2"/>
  <c r="BL1061" i="2"/>
  <c r="BK1061" i="2"/>
  <c r="BJ1061" i="2"/>
  <c r="BI1061" i="2"/>
  <c r="BH1061" i="2"/>
  <c r="BG1061" i="2"/>
  <c r="BD1061" i="2"/>
  <c r="BC1061" i="2"/>
  <c r="AZ1061" i="2"/>
  <c r="AY1061" i="2"/>
  <c r="AX1061" i="2"/>
  <c r="AV1061" i="2"/>
  <c r="F1061" i="2"/>
  <c r="D1061" i="2"/>
  <c r="C1061" i="2"/>
  <c r="DN1060" i="2"/>
  <c r="DM1060" i="2"/>
  <c r="BQ1060" i="2"/>
  <c r="BP1060" i="2"/>
  <c r="BO1060" i="2"/>
  <c r="BN1060" i="2"/>
  <c r="BM1060" i="2"/>
  <c r="BL1060" i="2"/>
  <c r="BK1060" i="2"/>
  <c r="BJ1060" i="2"/>
  <c r="BI1060" i="2"/>
  <c r="BH1060" i="2"/>
  <c r="AX1060" i="2"/>
  <c r="F1060" i="2"/>
  <c r="D1060" i="2"/>
  <c r="C1060" i="2"/>
  <c r="DM1059" i="2"/>
  <c r="DN1059" i="2" s="1"/>
  <c r="BQ1059" i="2"/>
  <c r="BP1059" i="2"/>
  <c r="BO1059" i="2"/>
  <c r="BN1059" i="2"/>
  <c r="BM1059" i="2"/>
  <c r="BL1059" i="2"/>
  <c r="BK1059" i="2"/>
  <c r="BJ1059" i="2"/>
  <c r="BF1059" i="2" s="1"/>
  <c r="BI1059" i="2"/>
  <c r="BH1059" i="2"/>
  <c r="BD1059" i="2" s="1"/>
  <c r="BG1059" i="2"/>
  <c r="AX1059" i="2"/>
  <c r="F1059" i="2"/>
  <c r="D1059" i="2"/>
  <c r="C1059" i="2"/>
  <c r="DM1058" i="2"/>
  <c r="DN1058" i="2" s="1"/>
  <c r="DH1058" i="2" s="1"/>
  <c r="DF1058" i="2"/>
  <c r="DE1058" i="2"/>
  <c r="DK1058" i="2" s="1"/>
  <c r="DB1058" i="2"/>
  <c r="BQ1058" i="2"/>
  <c r="BP1058" i="2"/>
  <c r="BO1058" i="2"/>
  <c r="BN1058" i="2"/>
  <c r="BM1058" i="2"/>
  <c r="BL1058" i="2"/>
  <c r="BK1058" i="2"/>
  <c r="BJ1058" i="2"/>
  <c r="BF1058" i="2" s="1"/>
  <c r="BI1058" i="2"/>
  <c r="BH1058" i="2"/>
  <c r="F1058" i="2"/>
  <c r="D1058" i="2"/>
  <c r="C1058" i="2"/>
  <c r="DN1057" i="2"/>
  <c r="CZ1057" i="2" s="1"/>
  <c r="DM1057" i="2"/>
  <c r="DI1057" i="2"/>
  <c r="DL1057" i="2" s="1"/>
  <c r="DH1057" i="2"/>
  <c r="DG1057" i="2"/>
  <c r="DF1057" i="2"/>
  <c r="DE1057" i="2"/>
  <c r="DK1057" i="2" s="1"/>
  <c r="DD1057" i="2"/>
  <c r="DC1057" i="2"/>
  <c r="DB1057" i="2"/>
  <c r="DA1057" i="2"/>
  <c r="DJ1057" i="2" s="1"/>
  <c r="CX1057" i="2"/>
  <c r="BQ1057" i="2"/>
  <c r="BP1057" i="2"/>
  <c r="BO1057" i="2"/>
  <c r="BN1057" i="2"/>
  <c r="BM1057" i="2"/>
  <c r="AV1057" i="2" s="1"/>
  <c r="BL1057" i="2"/>
  <c r="BK1057" i="2"/>
  <c r="BJ1057" i="2"/>
  <c r="BF1057" i="2" s="1"/>
  <c r="BI1057" i="2"/>
  <c r="BH1057" i="2"/>
  <c r="F1057" i="2"/>
  <c r="D1057" i="2"/>
  <c r="C1057" i="2"/>
  <c r="DM1056" i="2"/>
  <c r="DN1056" i="2" s="1"/>
  <c r="DI1056" i="2" s="1"/>
  <c r="DL1056" i="2" s="1"/>
  <c r="DF1056" i="2"/>
  <c r="DD1056" i="2"/>
  <c r="DB1056" i="2"/>
  <c r="CZ1056" i="2"/>
  <c r="BQ1056" i="2"/>
  <c r="BP1056" i="2"/>
  <c r="BO1056" i="2"/>
  <c r="BN1056" i="2"/>
  <c r="BM1056" i="2"/>
  <c r="BL1056" i="2"/>
  <c r="BK1056" i="2"/>
  <c r="BJ1056" i="2"/>
  <c r="BF1056" i="2" s="1"/>
  <c r="BI1056" i="2"/>
  <c r="BE1056" i="2" s="1"/>
  <c r="BH1056" i="2"/>
  <c r="BG1056" i="2"/>
  <c r="F1056" i="2"/>
  <c r="D1056" i="2"/>
  <c r="C1056" i="2"/>
  <c r="DM1055" i="2"/>
  <c r="DN1055" i="2" s="1"/>
  <c r="DI1055" i="2" s="1"/>
  <c r="DL1055" i="2" s="1"/>
  <c r="DH1055" i="2"/>
  <c r="DG1055" i="2"/>
  <c r="DE1055" i="2"/>
  <c r="DK1055" i="2" s="1"/>
  <c r="DC1055" i="2"/>
  <c r="CY1055" i="2"/>
  <c r="BQ1055" i="2"/>
  <c r="BP1055" i="2"/>
  <c r="BO1055" i="2"/>
  <c r="BN1055" i="2"/>
  <c r="BM1055" i="2"/>
  <c r="AV1055" i="2" s="1"/>
  <c r="BL1055" i="2"/>
  <c r="BK1055" i="2"/>
  <c r="BJ1055" i="2"/>
  <c r="BI1055" i="2"/>
  <c r="AZ1055" i="2" s="1"/>
  <c r="BH1055" i="2"/>
  <c r="BE1055" i="2"/>
  <c r="F1055" i="2"/>
  <c r="D1055" i="2"/>
  <c r="C1055" i="2"/>
  <c r="DN1054" i="2"/>
  <c r="DM1054" i="2"/>
  <c r="DH1054" i="2"/>
  <c r="DF1054" i="2"/>
  <c r="DD1054" i="2"/>
  <c r="DB1054" i="2"/>
  <c r="DA1054" i="2"/>
  <c r="DJ1054" i="2" s="1"/>
  <c r="CX1054" i="2"/>
  <c r="BQ1054" i="2"/>
  <c r="BP1054" i="2"/>
  <c r="BO1054" i="2"/>
  <c r="BN1054" i="2"/>
  <c r="BM1054" i="2"/>
  <c r="BL1054" i="2"/>
  <c r="BK1054" i="2"/>
  <c r="BJ1054" i="2"/>
  <c r="BI1054" i="2"/>
  <c r="BH1054" i="2"/>
  <c r="BE1054" i="2"/>
  <c r="AZ1054" i="2"/>
  <c r="F1054" i="2"/>
  <c r="D1054" i="2"/>
  <c r="C1054" i="2"/>
  <c r="DM1053" i="2"/>
  <c r="DN1053" i="2" s="1"/>
  <c r="BQ1053" i="2"/>
  <c r="BG1053" i="2" s="1"/>
  <c r="BP1053" i="2"/>
  <c r="BO1053" i="2"/>
  <c r="BN1053" i="2"/>
  <c r="BM1053" i="2"/>
  <c r="BL1053" i="2"/>
  <c r="BK1053" i="2"/>
  <c r="BD1053" i="2" s="1"/>
  <c r="BJ1053" i="2"/>
  <c r="BI1053" i="2"/>
  <c r="BH1053" i="2"/>
  <c r="AX1053" i="2" s="1"/>
  <c r="F1053" i="2"/>
  <c r="D1053" i="2"/>
  <c r="C1053" i="2"/>
  <c r="DN1052" i="2"/>
  <c r="DM1052" i="2"/>
  <c r="DB1052" i="2"/>
  <c r="BQ1052" i="2"/>
  <c r="BP1052" i="2"/>
  <c r="BO1052" i="2"/>
  <c r="BN1052" i="2"/>
  <c r="BM1052" i="2"/>
  <c r="BL1052" i="2"/>
  <c r="BK1052" i="2"/>
  <c r="BJ1052" i="2"/>
  <c r="BI1052" i="2"/>
  <c r="BH1052" i="2"/>
  <c r="AZ1052" i="2"/>
  <c r="AX1052" i="2"/>
  <c r="F1052" i="2"/>
  <c r="D1052" i="2"/>
  <c r="C1052" i="2"/>
  <c r="DN1051" i="2"/>
  <c r="DC1051" i="2" s="1"/>
  <c r="DM1051" i="2"/>
  <c r="DH1051" i="2"/>
  <c r="DE1051" i="2"/>
  <c r="DK1051" i="2" s="1"/>
  <c r="DD1051" i="2"/>
  <c r="CY1051" i="2"/>
  <c r="CX1051" i="2"/>
  <c r="BQ1051" i="2"/>
  <c r="BP1051" i="2"/>
  <c r="BO1051" i="2"/>
  <c r="BF1051" i="2" s="1"/>
  <c r="BN1051" i="2"/>
  <c r="BM1051" i="2"/>
  <c r="AV1051" i="2" s="1"/>
  <c r="BL1051" i="2"/>
  <c r="BK1051" i="2"/>
  <c r="BJ1051" i="2"/>
  <c r="BI1051" i="2"/>
  <c r="BC1051" i="2" s="1"/>
  <c r="BH1051" i="2"/>
  <c r="BE1051" i="2" s="1"/>
  <c r="BG1051" i="2"/>
  <c r="F1051" i="2"/>
  <c r="D1051" i="2"/>
  <c r="C1051" i="2"/>
  <c r="DM1050" i="2"/>
  <c r="DN1050" i="2" s="1"/>
  <c r="BQ1050" i="2"/>
  <c r="BP1050" i="2"/>
  <c r="BF1050" i="2" s="1"/>
  <c r="BO1050" i="2"/>
  <c r="BN1050" i="2"/>
  <c r="AZ1050" i="2" s="1"/>
  <c r="BM1050" i="2"/>
  <c r="BL1050" i="2"/>
  <c r="BK1050" i="2"/>
  <c r="BJ1050" i="2"/>
  <c r="BI1050" i="2"/>
  <c r="BH1050" i="2"/>
  <c r="BG1050" i="2" s="1"/>
  <c r="BD1050" i="2"/>
  <c r="AV1050" i="2"/>
  <c r="F1050" i="2"/>
  <c r="D1050" i="2"/>
  <c r="C1050" i="2"/>
  <c r="DM1049" i="2"/>
  <c r="DN1049" i="2" s="1"/>
  <c r="DF1049" i="2" s="1"/>
  <c r="DI1049" i="2"/>
  <c r="DL1049" i="2" s="1"/>
  <c r="DG1049" i="2"/>
  <c r="DB1049" i="2"/>
  <c r="DA1049" i="2"/>
  <c r="DJ1049" i="2" s="1"/>
  <c r="CY1049" i="2"/>
  <c r="BQ1049" i="2"/>
  <c r="BE1049" i="2" s="1"/>
  <c r="BP1049" i="2"/>
  <c r="BO1049" i="2"/>
  <c r="BN1049" i="2"/>
  <c r="BM1049" i="2"/>
  <c r="BG1049" i="2" s="1"/>
  <c r="BL1049" i="2"/>
  <c r="BK1049" i="2"/>
  <c r="BJ1049" i="2"/>
  <c r="BF1049" i="2" s="1"/>
  <c r="BI1049" i="2"/>
  <c r="AZ1049" i="2" s="1"/>
  <c r="BH1049" i="2"/>
  <c r="BC1049" i="2"/>
  <c r="AY1049" i="2"/>
  <c r="AX1049" i="2"/>
  <c r="AW1049" i="2"/>
  <c r="F1049" i="2"/>
  <c r="D1049" i="2"/>
  <c r="C1049" i="2"/>
  <c r="DN1048" i="2"/>
  <c r="DM1048" i="2"/>
  <c r="DJ1048" i="2"/>
  <c r="DE1048" i="2"/>
  <c r="DK1048" i="2" s="1"/>
  <c r="DB1048" i="2"/>
  <c r="DA1048" i="2"/>
  <c r="BQ1048" i="2"/>
  <c r="BP1048" i="2"/>
  <c r="BO1048" i="2"/>
  <c r="BN1048" i="2"/>
  <c r="BM1048" i="2"/>
  <c r="BG1048" i="2" s="1"/>
  <c r="BL1048" i="2"/>
  <c r="BK1048" i="2"/>
  <c r="BJ1048" i="2"/>
  <c r="BI1048" i="2"/>
  <c r="BH1048" i="2"/>
  <c r="BE1048" i="2"/>
  <c r="AZ1048" i="2"/>
  <c r="AX1048" i="2"/>
  <c r="F1048" i="2"/>
  <c r="D1048" i="2"/>
  <c r="C1048" i="2"/>
  <c r="DM1047" i="2"/>
  <c r="DN1047" i="2" s="1"/>
  <c r="DI1047" i="2" s="1"/>
  <c r="DL1047" i="2" s="1"/>
  <c r="DH1047" i="2"/>
  <c r="DG1047" i="2"/>
  <c r="DE1047" i="2"/>
  <c r="DK1047" i="2" s="1"/>
  <c r="DD1047" i="2"/>
  <c r="DA1047" i="2"/>
  <c r="DJ1047" i="2" s="1"/>
  <c r="CZ1047" i="2"/>
  <c r="BQ1047" i="2"/>
  <c r="BP1047" i="2"/>
  <c r="BO1047" i="2"/>
  <c r="BF1047" i="2" s="1"/>
  <c r="BN1047" i="2"/>
  <c r="BM1047" i="2"/>
  <c r="BL1047" i="2"/>
  <c r="BK1047" i="2"/>
  <c r="BJ1047" i="2"/>
  <c r="BI1047" i="2"/>
  <c r="BH1047" i="2"/>
  <c r="AX1047" i="2" s="1"/>
  <c r="BD1047" i="2"/>
  <c r="BC1047" i="2"/>
  <c r="AY1047" i="2"/>
  <c r="F1047" i="2"/>
  <c r="D1047" i="2"/>
  <c r="C1047" i="2"/>
  <c r="DN1046" i="2"/>
  <c r="DM1046" i="2"/>
  <c r="DL1046" i="2"/>
  <c r="DI1046" i="2"/>
  <c r="DH1046" i="2"/>
  <c r="DG1046" i="2"/>
  <c r="DF1046" i="2"/>
  <c r="DD1046" i="2"/>
  <c r="DC1046" i="2"/>
  <c r="CZ1046" i="2"/>
  <c r="CY1046" i="2"/>
  <c r="CX1046" i="2"/>
  <c r="BQ1046" i="2"/>
  <c r="BP1046" i="2"/>
  <c r="BO1046" i="2"/>
  <c r="BN1046" i="2"/>
  <c r="BM1046" i="2"/>
  <c r="BL1046" i="2"/>
  <c r="BK1046" i="2"/>
  <c r="BD1046" i="2" s="1"/>
  <c r="BJ1046" i="2"/>
  <c r="BI1046" i="2"/>
  <c r="BH1046" i="2"/>
  <c r="BG1046" i="2" s="1"/>
  <c r="AZ1046" i="2"/>
  <c r="AX1046" i="2"/>
  <c r="AV1046" i="2"/>
  <c r="F1046" i="2"/>
  <c r="D1046" i="2"/>
  <c r="C1046" i="2"/>
  <c r="DN1045" i="2"/>
  <c r="DH1045" i="2" s="1"/>
  <c r="DM1045" i="2"/>
  <c r="DK1045" i="2"/>
  <c r="DI1045" i="2"/>
  <c r="DL1045" i="2" s="1"/>
  <c r="DG1045" i="2"/>
  <c r="DF1045" i="2"/>
  <c r="DE1045" i="2"/>
  <c r="DC1045" i="2"/>
  <c r="CX1045" i="2"/>
  <c r="BQ1045" i="2"/>
  <c r="BG1045" i="2" s="1"/>
  <c r="BP1045" i="2"/>
  <c r="BO1045" i="2"/>
  <c r="BN1045" i="2"/>
  <c r="BM1045" i="2"/>
  <c r="BL1045" i="2"/>
  <c r="BK1045" i="2"/>
  <c r="BJ1045" i="2"/>
  <c r="BF1045" i="2" s="1"/>
  <c r="BI1045" i="2"/>
  <c r="AZ1045" i="2" s="1"/>
  <c r="BH1045" i="2"/>
  <c r="AX1045" i="2"/>
  <c r="F1045" i="2"/>
  <c r="D1045" i="2"/>
  <c r="C1045" i="2"/>
  <c r="DM1044" i="2"/>
  <c r="DN1044" i="2" s="1"/>
  <c r="BQ1044" i="2"/>
  <c r="BP1044" i="2"/>
  <c r="BO1044" i="2"/>
  <c r="BF1044" i="2" s="1"/>
  <c r="BN1044" i="2"/>
  <c r="AZ1044" i="2" s="1"/>
  <c r="BM1044" i="2"/>
  <c r="BL1044" i="2"/>
  <c r="BK1044" i="2"/>
  <c r="BJ1044" i="2"/>
  <c r="BI1044" i="2"/>
  <c r="BE1044" i="2" s="1"/>
  <c r="BH1044" i="2"/>
  <c r="AY1044" i="2" s="1"/>
  <c r="F1044" i="2"/>
  <c r="D1044" i="2"/>
  <c r="C1044" i="2"/>
  <c r="DM1043" i="2"/>
  <c r="DN1043" i="2" s="1"/>
  <c r="DH1043" i="2" s="1"/>
  <c r="BQ1043" i="2"/>
  <c r="BP1043" i="2"/>
  <c r="BO1043" i="2"/>
  <c r="BN1043" i="2"/>
  <c r="BM1043" i="2"/>
  <c r="BL1043" i="2"/>
  <c r="BK1043" i="2"/>
  <c r="BJ1043" i="2"/>
  <c r="AV1043" i="2" s="1"/>
  <c r="BI1043" i="2"/>
  <c r="BH1043" i="2"/>
  <c r="BG1043" i="2" s="1"/>
  <c r="F1043" i="2"/>
  <c r="D1043" i="2"/>
  <c r="C1043" i="2"/>
  <c r="DM1042" i="2"/>
  <c r="DN1042" i="2" s="1"/>
  <c r="DI1042" i="2"/>
  <c r="DL1042" i="2" s="1"/>
  <c r="DH1042" i="2"/>
  <c r="DG1042" i="2"/>
  <c r="DF1042" i="2"/>
  <c r="DE1042" i="2"/>
  <c r="DK1042" i="2" s="1"/>
  <c r="DD1042" i="2"/>
  <c r="DC1042" i="2"/>
  <c r="DB1042" i="2"/>
  <c r="CZ1042" i="2"/>
  <c r="CY1042" i="2"/>
  <c r="BQ1042" i="2"/>
  <c r="BG1042" i="2" s="1"/>
  <c r="BP1042" i="2"/>
  <c r="BO1042" i="2"/>
  <c r="BN1042" i="2"/>
  <c r="BM1042" i="2"/>
  <c r="AV1042" i="2" s="1"/>
  <c r="BL1042" i="2"/>
  <c r="BK1042" i="2"/>
  <c r="BJ1042" i="2"/>
  <c r="BF1042" i="2" s="1"/>
  <c r="BI1042" i="2"/>
  <c r="BC1042" i="2" s="1"/>
  <c r="BH1042" i="2"/>
  <c r="AX1042" i="2"/>
  <c r="F1042" i="2"/>
  <c r="D1042" i="2"/>
  <c r="C1042" i="2"/>
  <c r="DN1041" i="2"/>
  <c r="CZ1041" i="2" s="1"/>
  <c r="DM1041" i="2"/>
  <c r="DF1041" i="2"/>
  <c r="DE1041" i="2"/>
  <c r="DK1041" i="2" s="1"/>
  <c r="CY1041" i="2"/>
  <c r="BQ1041" i="2"/>
  <c r="BP1041" i="2"/>
  <c r="BO1041" i="2"/>
  <c r="BN1041" i="2"/>
  <c r="BM1041" i="2"/>
  <c r="BL1041" i="2"/>
  <c r="BK1041" i="2"/>
  <c r="BJ1041" i="2"/>
  <c r="BF1041" i="2" s="1"/>
  <c r="BI1041" i="2"/>
  <c r="BE1041" i="2" s="1"/>
  <c r="BH1041" i="2"/>
  <c r="AZ1041" i="2"/>
  <c r="AV1041" i="2"/>
  <c r="F1041" i="2"/>
  <c r="D1041" i="2"/>
  <c r="C1041" i="2"/>
  <c r="DM1040" i="2"/>
  <c r="DN1040" i="2" s="1"/>
  <c r="DF1040" i="2" s="1"/>
  <c r="BQ1040" i="2"/>
  <c r="BP1040" i="2"/>
  <c r="BO1040" i="2"/>
  <c r="BN1040" i="2"/>
  <c r="BM1040" i="2"/>
  <c r="BL1040" i="2"/>
  <c r="BK1040" i="2"/>
  <c r="BJ1040" i="2"/>
  <c r="BF1040" i="2" s="1"/>
  <c r="BI1040" i="2"/>
  <c r="BH1040" i="2"/>
  <c r="AX1040" i="2" s="1"/>
  <c r="BG1040" i="2"/>
  <c r="F1040" i="2"/>
  <c r="D1040" i="2"/>
  <c r="C1040" i="2"/>
  <c r="DM1039" i="2"/>
  <c r="DN1039" i="2" s="1"/>
  <c r="DA1039" i="2"/>
  <c r="DJ1039" i="2" s="1"/>
  <c r="BQ1039" i="2"/>
  <c r="BP1039" i="2"/>
  <c r="BO1039" i="2"/>
  <c r="BN1039" i="2"/>
  <c r="BC1039" i="2" s="1"/>
  <c r="BM1039" i="2"/>
  <c r="BG1039" i="2" s="1"/>
  <c r="BL1039" i="2"/>
  <c r="BK1039" i="2"/>
  <c r="BJ1039" i="2"/>
  <c r="AV1039" i="2" s="1"/>
  <c r="BI1039" i="2"/>
  <c r="BH1039" i="2"/>
  <c r="AY1039" i="2" s="1"/>
  <c r="BE1039" i="2"/>
  <c r="BD1039" i="2"/>
  <c r="F1039" i="2"/>
  <c r="D1039" i="2"/>
  <c r="C1039" i="2"/>
  <c r="DN1038" i="2"/>
  <c r="DI1038" i="2" s="1"/>
  <c r="DL1038" i="2" s="1"/>
  <c r="DM1038" i="2"/>
  <c r="DG1038" i="2"/>
  <c r="DF1038" i="2"/>
  <c r="DD1038" i="2"/>
  <c r="DA1038" i="2"/>
  <c r="DJ1038" i="2" s="1"/>
  <c r="CX1038" i="2"/>
  <c r="BQ1038" i="2"/>
  <c r="BP1038" i="2"/>
  <c r="BO1038" i="2"/>
  <c r="BE1038" i="2" s="1"/>
  <c r="BN1038" i="2"/>
  <c r="BM1038" i="2"/>
  <c r="BL1038" i="2"/>
  <c r="BK1038" i="2"/>
  <c r="BJ1038" i="2"/>
  <c r="BF1038" i="2" s="1"/>
  <c r="BI1038" i="2"/>
  <c r="BH1038" i="2"/>
  <c r="BG1038" i="2" s="1"/>
  <c r="AZ1038" i="2"/>
  <c r="AX1038" i="2"/>
  <c r="F1038" i="2"/>
  <c r="D1038" i="2"/>
  <c r="C1038" i="2"/>
  <c r="DM1037" i="2"/>
  <c r="DN1037" i="2" s="1"/>
  <c r="DF1037" i="2" s="1"/>
  <c r="DE1037" i="2"/>
  <c r="DK1037" i="2" s="1"/>
  <c r="BQ1037" i="2"/>
  <c r="BP1037" i="2"/>
  <c r="BO1037" i="2"/>
  <c r="BN1037" i="2"/>
  <c r="BM1037" i="2"/>
  <c r="BL1037" i="2"/>
  <c r="BK1037" i="2"/>
  <c r="BJ1037" i="2"/>
  <c r="BI1037" i="2"/>
  <c r="BH1037" i="2"/>
  <c r="AX1037" i="2" s="1"/>
  <c r="BG1037" i="2"/>
  <c r="F1037" i="2"/>
  <c r="D1037" i="2"/>
  <c r="C1037" i="2"/>
  <c r="DM1036" i="2"/>
  <c r="DN1036" i="2" s="1"/>
  <c r="DI1036" i="2"/>
  <c r="DL1036" i="2" s="1"/>
  <c r="DE1036" i="2"/>
  <c r="DK1036" i="2" s="1"/>
  <c r="BQ1036" i="2"/>
  <c r="BP1036" i="2"/>
  <c r="BO1036" i="2"/>
  <c r="BN1036" i="2"/>
  <c r="BM1036" i="2"/>
  <c r="BL1036" i="2"/>
  <c r="BK1036" i="2"/>
  <c r="BJ1036" i="2"/>
  <c r="BI1036" i="2"/>
  <c r="BH1036" i="2"/>
  <c r="BF1036" i="2"/>
  <c r="F1036" i="2"/>
  <c r="D1036" i="2"/>
  <c r="C1036" i="2"/>
  <c r="DN1035" i="2"/>
  <c r="DG1035" i="2" s="1"/>
  <c r="DM1035" i="2"/>
  <c r="DI1035" i="2"/>
  <c r="DL1035" i="2" s="1"/>
  <c r="DH1035" i="2"/>
  <c r="DD1035" i="2"/>
  <c r="DC1035" i="2"/>
  <c r="CX1035" i="2"/>
  <c r="BQ1035" i="2"/>
  <c r="BP1035" i="2"/>
  <c r="BO1035" i="2"/>
  <c r="BF1035" i="2" s="1"/>
  <c r="BN1035" i="2"/>
  <c r="BC1035" i="2" s="1"/>
  <c r="BM1035" i="2"/>
  <c r="AV1035" i="2" s="1"/>
  <c r="BL1035" i="2"/>
  <c r="BK1035" i="2"/>
  <c r="BJ1035" i="2"/>
  <c r="BI1035" i="2"/>
  <c r="BH1035" i="2"/>
  <c r="BG1035" i="2"/>
  <c r="AZ1035" i="2"/>
  <c r="F1035" i="2"/>
  <c r="D1035" i="2"/>
  <c r="C1035" i="2"/>
  <c r="DM1034" i="2"/>
  <c r="DN1034" i="2" s="1"/>
  <c r="DH1034" i="2" s="1"/>
  <c r="DG1034" i="2"/>
  <c r="DB1034" i="2"/>
  <c r="BQ1034" i="2"/>
  <c r="BE1034" i="2" s="1"/>
  <c r="BP1034" i="2"/>
  <c r="BO1034" i="2"/>
  <c r="BN1034" i="2"/>
  <c r="BC1034" i="2" s="1"/>
  <c r="BM1034" i="2"/>
  <c r="BD1034" i="2" s="1"/>
  <c r="BL1034" i="2"/>
  <c r="BK1034" i="2"/>
  <c r="AY1034" i="2" s="1"/>
  <c r="BJ1034" i="2"/>
  <c r="BI1034" i="2"/>
  <c r="BH1034" i="2"/>
  <c r="AX1034" i="2" s="1"/>
  <c r="BF1034" i="2"/>
  <c r="F1034" i="2"/>
  <c r="D1034" i="2"/>
  <c r="C1034" i="2"/>
  <c r="DN1033" i="2"/>
  <c r="DD1033" i="2" s="1"/>
  <c r="DM1033" i="2"/>
  <c r="DI1033" i="2"/>
  <c r="DL1033" i="2" s="1"/>
  <c r="DH1033" i="2"/>
  <c r="DG1033" i="2"/>
  <c r="DF1033" i="2"/>
  <c r="DE1033" i="2"/>
  <c r="DK1033" i="2" s="1"/>
  <c r="DB1033" i="2"/>
  <c r="DA1033" i="2"/>
  <c r="DJ1033" i="2" s="1"/>
  <c r="CZ1033" i="2"/>
  <c r="CY1033" i="2"/>
  <c r="CX1033" i="2"/>
  <c r="BQ1033" i="2"/>
  <c r="BP1033" i="2"/>
  <c r="BO1033" i="2"/>
  <c r="BN1033" i="2"/>
  <c r="BM1033" i="2"/>
  <c r="BL1033" i="2"/>
  <c r="BK1033" i="2"/>
  <c r="BJ1033" i="2"/>
  <c r="BI1033" i="2"/>
  <c r="AZ1033" i="2" s="1"/>
  <c r="BH1033" i="2"/>
  <c r="BE1033" i="2"/>
  <c r="AX1033" i="2"/>
  <c r="F1033" i="2"/>
  <c r="D1033" i="2"/>
  <c r="C1033" i="2"/>
  <c r="DN1032" i="2"/>
  <c r="DD1032" i="2" s="1"/>
  <c r="DM1032" i="2"/>
  <c r="DH1032" i="2"/>
  <c r="DG1032" i="2"/>
  <c r="DF1032" i="2"/>
  <c r="DE1032" i="2"/>
  <c r="DK1032" i="2" s="1"/>
  <c r="DA1032" i="2"/>
  <c r="DJ1032" i="2" s="1"/>
  <c r="CZ1032" i="2"/>
  <c r="CX1032" i="2"/>
  <c r="BQ1032" i="2"/>
  <c r="BP1032" i="2"/>
  <c r="BO1032" i="2"/>
  <c r="BN1032" i="2"/>
  <c r="BM1032" i="2"/>
  <c r="BG1032" i="2" s="1"/>
  <c r="BL1032" i="2"/>
  <c r="BD1032" i="2" s="1"/>
  <c r="BK1032" i="2"/>
  <c r="BJ1032" i="2"/>
  <c r="BF1032" i="2" s="1"/>
  <c r="BI1032" i="2"/>
  <c r="BH1032" i="2"/>
  <c r="AY1032" i="2" s="1"/>
  <c r="BE1032" i="2"/>
  <c r="F1032" i="2"/>
  <c r="D1032" i="2"/>
  <c r="C1032" i="2"/>
  <c r="DM1031" i="2"/>
  <c r="DN1031" i="2" s="1"/>
  <c r="DG1031" i="2" s="1"/>
  <c r="CZ1031" i="2"/>
  <c r="BQ1031" i="2"/>
  <c r="BP1031" i="2"/>
  <c r="BO1031" i="2"/>
  <c r="BN1031" i="2"/>
  <c r="BM1031" i="2"/>
  <c r="BL1031" i="2"/>
  <c r="BK1031" i="2"/>
  <c r="BD1031" i="2" s="1"/>
  <c r="BJ1031" i="2"/>
  <c r="BI1031" i="2"/>
  <c r="BC1031" i="2" s="1"/>
  <c r="BH1031" i="2"/>
  <c r="AV1031" i="2"/>
  <c r="F1031" i="2"/>
  <c r="D1031" i="2"/>
  <c r="C1031" i="2"/>
  <c r="DN1030" i="2"/>
  <c r="DF1030" i="2" s="1"/>
  <c r="DM1030" i="2"/>
  <c r="DI1030" i="2"/>
  <c r="DL1030" i="2" s="1"/>
  <c r="DE1030" i="2"/>
  <c r="DK1030" i="2" s="1"/>
  <c r="DC1030" i="2"/>
  <c r="CX1030" i="2"/>
  <c r="BQ1030" i="2"/>
  <c r="BP1030" i="2"/>
  <c r="BO1030" i="2"/>
  <c r="BN1030" i="2"/>
  <c r="BM1030" i="2"/>
  <c r="BG1030" i="2" s="1"/>
  <c r="BL1030" i="2"/>
  <c r="BK1030" i="2"/>
  <c r="BJ1030" i="2"/>
  <c r="BF1030" i="2" s="1"/>
  <c r="BI1030" i="2"/>
  <c r="AZ1030" i="2" s="1"/>
  <c r="BH1030" i="2"/>
  <c r="BC1030" i="2"/>
  <c r="F1030" i="2"/>
  <c r="D1030" i="2"/>
  <c r="C1030" i="2"/>
  <c r="DN1029" i="2"/>
  <c r="DM1029" i="2"/>
  <c r="DH1029" i="2"/>
  <c r="BQ1029" i="2"/>
  <c r="BP1029" i="2"/>
  <c r="BO1029" i="2"/>
  <c r="BN1029" i="2"/>
  <c r="BM1029" i="2"/>
  <c r="AV1029" i="2" s="1"/>
  <c r="BL1029" i="2"/>
  <c r="BK1029" i="2"/>
  <c r="BJ1029" i="2"/>
  <c r="BI1029" i="2"/>
  <c r="BH1029" i="2"/>
  <c r="BG1029" i="2"/>
  <c r="BF1029" i="2"/>
  <c r="F1029" i="2"/>
  <c r="D1029" i="2"/>
  <c r="C1029" i="2"/>
  <c r="DM1028" i="2"/>
  <c r="DN1028" i="2" s="1"/>
  <c r="DH1028" i="2" s="1"/>
  <c r="DI1028" i="2"/>
  <c r="DL1028" i="2" s="1"/>
  <c r="DC1028" i="2"/>
  <c r="BQ1028" i="2"/>
  <c r="BE1028" i="2" s="1"/>
  <c r="BP1028" i="2"/>
  <c r="BO1028" i="2"/>
  <c r="BN1028" i="2"/>
  <c r="BM1028" i="2"/>
  <c r="AV1028" i="2" s="1"/>
  <c r="BL1028" i="2"/>
  <c r="BK1028" i="2"/>
  <c r="BJ1028" i="2"/>
  <c r="BI1028" i="2"/>
  <c r="BH1028" i="2"/>
  <c r="BD1028" i="2" s="1"/>
  <c r="BF1028" i="2"/>
  <c r="AY1028" i="2"/>
  <c r="F1028" i="2"/>
  <c r="D1028" i="2"/>
  <c r="C1028" i="2"/>
  <c r="DN1027" i="2"/>
  <c r="DM1027" i="2"/>
  <c r="DK1027" i="2"/>
  <c r="DI1027" i="2"/>
  <c r="DL1027" i="2" s="1"/>
  <c r="DH1027" i="2"/>
  <c r="DG1027" i="2"/>
  <c r="DF1027" i="2"/>
  <c r="DE1027" i="2"/>
  <c r="DD1027" i="2"/>
  <c r="DC1027" i="2"/>
  <c r="DB1027" i="2"/>
  <c r="DA1027" i="2"/>
  <c r="DJ1027" i="2" s="1"/>
  <c r="CZ1027" i="2"/>
  <c r="CY1027" i="2"/>
  <c r="CX1027" i="2"/>
  <c r="BQ1027" i="2"/>
  <c r="BP1027" i="2"/>
  <c r="BO1027" i="2"/>
  <c r="BN1027" i="2"/>
  <c r="BM1027" i="2"/>
  <c r="BL1027" i="2"/>
  <c r="BK1027" i="2"/>
  <c r="BJ1027" i="2"/>
  <c r="BF1027" i="2" s="1"/>
  <c r="BI1027" i="2"/>
  <c r="AZ1027" i="2" s="1"/>
  <c r="BH1027" i="2"/>
  <c r="AY1027" i="2" s="1"/>
  <c r="BE1027" i="2"/>
  <c r="AX1027" i="2"/>
  <c r="F1027" i="2"/>
  <c r="D1027" i="2"/>
  <c r="C1027" i="2"/>
  <c r="DN1026" i="2"/>
  <c r="DD1026" i="2" s="1"/>
  <c r="DM1026" i="2"/>
  <c r="DJ1026" i="2"/>
  <c r="DI1026" i="2"/>
  <c r="DL1026" i="2" s="1"/>
  <c r="DH1026" i="2"/>
  <c r="DG1026" i="2"/>
  <c r="DF1026" i="2"/>
  <c r="DE1026" i="2"/>
  <c r="DK1026" i="2" s="1"/>
  <c r="DC1026" i="2"/>
  <c r="DB1026" i="2"/>
  <c r="DA1026" i="2"/>
  <c r="CZ1026" i="2"/>
  <c r="CY1026" i="2"/>
  <c r="CX1026" i="2"/>
  <c r="BQ1026" i="2"/>
  <c r="BP1026" i="2"/>
  <c r="BO1026" i="2"/>
  <c r="BF1026" i="2" s="1"/>
  <c r="BN1026" i="2"/>
  <c r="BM1026" i="2"/>
  <c r="BG1026" i="2" s="1"/>
  <c r="BL1026" i="2"/>
  <c r="BK1026" i="2"/>
  <c r="BJ1026" i="2"/>
  <c r="BI1026" i="2"/>
  <c r="BH1026" i="2"/>
  <c r="F1026" i="2"/>
  <c r="D1026" i="2"/>
  <c r="C1026" i="2"/>
  <c r="DN1025" i="2"/>
  <c r="DH1025" i="2" s="1"/>
  <c r="DM1025" i="2"/>
  <c r="DI1025" i="2"/>
  <c r="DL1025" i="2" s="1"/>
  <c r="DG1025" i="2"/>
  <c r="DF1025" i="2"/>
  <c r="DE1025" i="2"/>
  <c r="DK1025" i="2" s="1"/>
  <c r="DD1025" i="2"/>
  <c r="DA1025" i="2"/>
  <c r="DJ1025" i="2" s="1"/>
  <c r="CZ1025" i="2"/>
  <c r="CX1025" i="2"/>
  <c r="BQ1025" i="2"/>
  <c r="BP1025" i="2"/>
  <c r="BO1025" i="2"/>
  <c r="BN1025" i="2"/>
  <c r="BM1025" i="2"/>
  <c r="BL1025" i="2"/>
  <c r="BK1025" i="2"/>
  <c r="BJ1025" i="2"/>
  <c r="BI1025" i="2"/>
  <c r="AZ1025" i="2" s="1"/>
  <c r="BH1025" i="2"/>
  <c r="BD1025" i="2" s="1"/>
  <c r="BC1025" i="2"/>
  <c r="F1025" i="2"/>
  <c r="D1025" i="2"/>
  <c r="C1025" i="2"/>
  <c r="DM1024" i="2"/>
  <c r="DN1024" i="2" s="1"/>
  <c r="BQ1024" i="2"/>
  <c r="BP1024" i="2"/>
  <c r="BO1024" i="2"/>
  <c r="BN1024" i="2"/>
  <c r="BM1024" i="2"/>
  <c r="BG1024" i="2" s="1"/>
  <c r="BL1024" i="2"/>
  <c r="BK1024" i="2"/>
  <c r="BJ1024" i="2"/>
  <c r="BI1024" i="2"/>
  <c r="BC1024" i="2" s="1"/>
  <c r="BH1024" i="2"/>
  <c r="AX1024" i="2" s="1"/>
  <c r="AZ1024" i="2"/>
  <c r="F1024" i="2"/>
  <c r="D1024" i="2"/>
  <c r="C1024" i="2"/>
  <c r="DN1023" i="2"/>
  <c r="DM1023" i="2"/>
  <c r="DH1023" i="2"/>
  <c r="CX1023" i="2"/>
  <c r="BQ1023" i="2"/>
  <c r="BP1023" i="2"/>
  <c r="BO1023" i="2"/>
  <c r="BN1023" i="2"/>
  <c r="BM1023" i="2"/>
  <c r="BL1023" i="2"/>
  <c r="BK1023" i="2"/>
  <c r="BJ1023" i="2"/>
  <c r="BI1023" i="2"/>
  <c r="AZ1023" i="2" s="1"/>
  <c r="BH1023" i="2"/>
  <c r="BG1023" i="2"/>
  <c r="AX1023" i="2"/>
  <c r="F1023" i="2"/>
  <c r="D1023" i="2"/>
  <c r="C1023" i="2"/>
  <c r="DN1022" i="2"/>
  <c r="DF1022" i="2" s="1"/>
  <c r="DM1022" i="2"/>
  <c r="DG1022" i="2"/>
  <c r="DE1022" i="2"/>
  <c r="DK1022" i="2" s="1"/>
  <c r="DD1022" i="2"/>
  <c r="DA1022" i="2"/>
  <c r="DJ1022" i="2" s="1"/>
  <c r="CX1022" i="2"/>
  <c r="BQ1022" i="2"/>
  <c r="BP1022" i="2"/>
  <c r="BO1022" i="2"/>
  <c r="BN1022" i="2"/>
  <c r="BM1022" i="2"/>
  <c r="AV1022" i="2" s="1"/>
  <c r="BL1022" i="2"/>
  <c r="BK1022" i="2"/>
  <c r="BF1022" i="2" s="1"/>
  <c r="BJ1022" i="2"/>
  <c r="BI1022" i="2"/>
  <c r="BE1022" i="2" s="1"/>
  <c r="BH1022" i="2"/>
  <c r="BG1022" i="2"/>
  <c r="AY1022" i="2"/>
  <c r="AX1022" i="2"/>
  <c r="F1022" i="2"/>
  <c r="D1022" i="2"/>
  <c r="C1022" i="2"/>
  <c r="DM1021" i="2"/>
  <c r="DN1021" i="2" s="1"/>
  <c r="BQ1021" i="2"/>
  <c r="BP1021" i="2"/>
  <c r="BO1021" i="2"/>
  <c r="BN1021" i="2"/>
  <c r="BM1021" i="2"/>
  <c r="BL1021" i="2"/>
  <c r="BK1021" i="2"/>
  <c r="BJ1021" i="2"/>
  <c r="BF1021" i="2" s="1"/>
  <c r="BI1021" i="2"/>
  <c r="BH1021" i="2"/>
  <c r="BD1021" i="2" s="1"/>
  <c r="BE1021" i="2"/>
  <c r="AY1021" i="2"/>
  <c r="F1021" i="2"/>
  <c r="D1021" i="2"/>
  <c r="C1021" i="2"/>
  <c r="DM1020" i="2"/>
  <c r="DN1020" i="2" s="1"/>
  <c r="DK1020" i="2"/>
  <c r="DE1020" i="2"/>
  <c r="DD1020" i="2"/>
  <c r="DB1020" i="2"/>
  <c r="CZ1020" i="2"/>
  <c r="BQ1020" i="2"/>
  <c r="BP1020" i="2"/>
  <c r="BO1020" i="2"/>
  <c r="BF1020" i="2" s="1"/>
  <c r="BN1020" i="2"/>
  <c r="BM1020" i="2"/>
  <c r="BL1020" i="2"/>
  <c r="BK1020" i="2"/>
  <c r="BJ1020" i="2"/>
  <c r="BI1020" i="2"/>
  <c r="BH1020" i="2"/>
  <c r="AY1020" i="2" s="1"/>
  <c r="BC1020" i="2"/>
  <c r="F1020" i="2"/>
  <c r="D1020" i="2"/>
  <c r="C1020" i="2"/>
  <c r="DN1019" i="2"/>
  <c r="DE1019" i="2" s="1"/>
  <c r="DK1019" i="2" s="1"/>
  <c r="DM1019" i="2"/>
  <c r="DI1019" i="2"/>
  <c r="DL1019" i="2" s="1"/>
  <c r="DG1019" i="2"/>
  <c r="DF1019" i="2"/>
  <c r="DC1019" i="2"/>
  <c r="DA1019" i="2"/>
  <c r="DJ1019" i="2" s="1"/>
  <c r="CZ1019" i="2"/>
  <c r="BQ1019" i="2"/>
  <c r="BP1019" i="2"/>
  <c r="BO1019" i="2"/>
  <c r="BN1019" i="2"/>
  <c r="BM1019" i="2"/>
  <c r="BL1019" i="2"/>
  <c r="BD1019" i="2" s="1"/>
  <c r="BK1019" i="2"/>
  <c r="BC1019" i="2" s="1"/>
  <c r="BJ1019" i="2"/>
  <c r="AV1019" i="2" s="1"/>
  <c r="BI1019" i="2"/>
  <c r="BH1019" i="2"/>
  <c r="BG1019" i="2"/>
  <c r="BE1019" i="2"/>
  <c r="AZ1019" i="2"/>
  <c r="F1019" i="2"/>
  <c r="D1019" i="2"/>
  <c r="C1019" i="2"/>
  <c r="DM1018" i="2"/>
  <c r="DN1018" i="2" s="1"/>
  <c r="DA1018" i="2"/>
  <c r="DJ1018" i="2" s="1"/>
  <c r="BQ1018" i="2"/>
  <c r="BP1018" i="2"/>
  <c r="BO1018" i="2"/>
  <c r="BN1018" i="2"/>
  <c r="BM1018" i="2"/>
  <c r="BD1018" i="2" s="1"/>
  <c r="BL1018" i="2"/>
  <c r="BK1018" i="2"/>
  <c r="BJ1018" i="2"/>
  <c r="BF1018" i="2" s="1"/>
  <c r="BI1018" i="2"/>
  <c r="BC1018" i="2" s="1"/>
  <c r="BH1018" i="2"/>
  <c r="AX1018" i="2" s="1"/>
  <c r="BE1018" i="2"/>
  <c r="AV1018" i="2"/>
  <c r="F1018" i="2"/>
  <c r="D1018" i="2"/>
  <c r="C1018" i="2"/>
  <c r="DM1017" i="2"/>
  <c r="DN1017" i="2" s="1"/>
  <c r="DE1017" i="2" s="1"/>
  <c r="DK1017" i="2" s="1"/>
  <c r="CY1017" i="2"/>
  <c r="BQ1017" i="2"/>
  <c r="BP1017" i="2"/>
  <c r="BF1017" i="2" s="1"/>
  <c r="BO1017" i="2"/>
  <c r="BN1017" i="2"/>
  <c r="BM1017" i="2"/>
  <c r="BL1017" i="2"/>
  <c r="BK1017" i="2"/>
  <c r="BJ1017" i="2"/>
  <c r="BI1017" i="2"/>
  <c r="BE1017" i="2" s="1"/>
  <c r="BH1017" i="2"/>
  <c r="AZ1017" i="2"/>
  <c r="F1017" i="2"/>
  <c r="D1017" i="2"/>
  <c r="C1017" i="2"/>
  <c r="DM1016" i="2"/>
  <c r="DN1016" i="2" s="1"/>
  <c r="DI1016" i="2" s="1"/>
  <c r="DL1016" i="2" s="1"/>
  <c r="BQ1016" i="2"/>
  <c r="BE1016" i="2" s="1"/>
  <c r="BP1016" i="2"/>
  <c r="BO1016" i="2"/>
  <c r="BN1016" i="2"/>
  <c r="BM1016" i="2"/>
  <c r="AV1016" i="2" s="1"/>
  <c r="BL1016" i="2"/>
  <c r="AY1016" i="2" s="1"/>
  <c r="BK1016" i="2"/>
  <c r="BJ1016" i="2"/>
  <c r="BI1016" i="2"/>
  <c r="AZ1016" i="2" s="1"/>
  <c r="BH1016" i="2"/>
  <c r="BG1016" i="2"/>
  <c r="BC1016" i="2"/>
  <c r="AX1016" i="2"/>
  <c r="F1016" i="2"/>
  <c r="D1016" i="2"/>
  <c r="C1016" i="2"/>
  <c r="DN1015" i="2"/>
  <c r="DA1015" i="2" s="1"/>
  <c r="DM1015" i="2"/>
  <c r="DL1015" i="2"/>
  <c r="DJ1015" i="2"/>
  <c r="DI1015" i="2"/>
  <c r="DG1015" i="2"/>
  <c r="DF1015" i="2"/>
  <c r="DE1015" i="2"/>
  <c r="DK1015" i="2" s="1"/>
  <c r="DD1015" i="2"/>
  <c r="DB1015" i="2"/>
  <c r="CZ1015" i="2"/>
  <c r="CY1015" i="2"/>
  <c r="BQ1015" i="2"/>
  <c r="BP1015" i="2"/>
  <c r="BO1015" i="2"/>
  <c r="BN1015" i="2"/>
  <c r="BM1015" i="2"/>
  <c r="BL1015" i="2"/>
  <c r="BD1015" i="2" s="1"/>
  <c r="BK1015" i="2"/>
  <c r="BJ1015" i="2"/>
  <c r="BF1015" i="2" s="1"/>
  <c r="BI1015" i="2"/>
  <c r="BH1015" i="2"/>
  <c r="AY1015" i="2" s="1"/>
  <c r="BG1015" i="2"/>
  <c r="BC1015" i="2"/>
  <c r="AV1015" i="2"/>
  <c r="F1015" i="2"/>
  <c r="D1015" i="2"/>
  <c r="C1015" i="2"/>
  <c r="DN1014" i="2"/>
  <c r="CZ1014" i="2" s="1"/>
  <c r="DM1014" i="2"/>
  <c r="DF1014" i="2"/>
  <c r="DC1014" i="2"/>
  <c r="DA1014" i="2"/>
  <c r="DJ1014" i="2" s="1"/>
  <c r="BQ1014" i="2"/>
  <c r="BG1014" i="2" s="1"/>
  <c r="BP1014" i="2"/>
  <c r="BO1014" i="2"/>
  <c r="BN1014" i="2"/>
  <c r="BM1014" i="2"/>
  <c r="BL1014" i="2"/>
  <c r="BK1014" i="2"/>
  <c r="BJ1014" i="2"/>
  <c r="BI1014" i="2"/>
  <c r="BH1014" i="2"/>
  <c r="BF1014" i="2"/>
  <c r="AX1014" i="2"/>
  <c r="AV1014" i="2"/>
  <c r="F1014" i="2"/>
  <c r="D1014" i="2"/>
  <c r="C1014" i="2"/>
  <c r="DM1013" i="2"/>
  <c r="DN1013" i="2" s="1"/>
  <c r="DE1013" i="2" s="1"/>
  <c r="DK1013" i="2" s="1"/>
  <c r="DH1013" i="2"/>
  <c r="BQ1013" i="2"/>
  <c r="BP1013" i="2"/>
  <c r="BO1013" i="2"/>
  <c r="BN1013" i="2"/>
  <c r="BM1013" i="2"/>
  <c r="BG1013" i="2" s="1"/>
  <c r="BL1013" i="2"/>
  <c r="BK1013" i="2"/>
  <c r="BJ1013" i="2"/>
  <c r="BF1013" i="2" s="1"/>
  <c r="BI1013" i="2"/>
  <c r="BH1013" i="2"/>
  <c r="AX1013" i="2" s="1"/>
  <c r="BD1013" i="2"/>
  <c r="F1013" i="2"/>
  <c r="D1013" i="2"/>
  <c r="C1013" i="2"/>
  <c r="DM1012" i="2"/>
  <c r="DN1012" i="2" s="1"/>
  <c r="DI1012" i="2"/>
  <c r="DL1012" i="2" s="1"/>
  <c r="DG1012" i="2"/>
  <c r="CY1012" i="2"/>
  <c r="BQ1012" i="2"/>
  <c r="BP1012" i="2"/>
  <c r="BO1012" i="2"/>
  <c r="BN1012" i="2"/>
  <c r="BM1012" i="2"/>
  <c r="BL1012" i="2"/>
  <c r="BK1012" i="2"/>
  <c r="BC1012" i="2" s="1"/>
  <c r="BJ1012" i="2"/>
  <c r="BF1012" i="2" s="1"/>
  <c r="BI1012" i="2"/>
  <c r="BH1012" i="2"/>
  <c r="F1012" i="2"/>
  <c r="D1012" i="2"/>
  <c r="C1012" i="2"/>
  <c r="DN1011" i="2"/>
  <c r="DI1011" i="2" s="1"/>
  <c r="DL1011" i="2" s="1"/>
  <c r="DM1011" i="2"/>
  <c r="DH1011" i="2"/>
  <c r="CX1011" i="2"/>
  <c r="BQ1011" i="2"/>
  <c r="BP1011" i="2"/>
  <c r="BO1011" i="2"/>
  <c r="BN1011" i="2"/>
  <c r="BM1011" i="2"/>
  <c r="BL1011" i="2"/>
  <c r="BK1011" i="2"/>
  <c r="BJ1011" i="2"/>
  <c r="BF1011" i="2" s="1"/>
  <c r="BI1011" i="2"/>
  <c r="BE1011" i="2" s="1"/>
  <c r="BH1011" i="2"/>
  <c r="BD1011" i="2" s="1"/>
  <c r="BG1011" i="2"/>
  <c r="AZ1011" i="2"/>
  <c r="F1011" i="2"/>
  <c r="D1011" i="2"/>
  <c r="C1011" i="2"/>
  <c r="DM1010" i="2"/>
  <c r="DN1010" i="2" s="1"/>
  <c r="BQ1010" i="2"/>
  <c r="BG1010" i="2" s="1"/>
  <c r="BP1010" i="2"/>
  <c r="BO1010" i="2"/>
  <c r="BN1010" i="2"/>
  <c r="BM1010" i="2"/>
  <c r="BL1010" i="2"/>
  <c r="BK1010" i="2"/>
  <c r="BF1010" i="2" s="1"/>
  <c r="BJ1010" i="2"/>
  <c r="BI1010" i="2"/>
  <c r="BH1010" i="2"/>
  <c r="AY1010" i="2"/>
  <c r="AX1010" i="2"/>
  <c r="AV1010" i="2"/>
  <c r="F1010" i="2"/>
  <c r="D1010" i="2"/>
  <c r="C1010" i="2"/>
  <c r="DN1009" i="2"/>
  <c r="CZ1009" i="2" s="1"/>
  <c r="DM1009" i="2"/>
  <c r="DL1009" i="2"/>
  <c r="DI1009" i="2"/>
  <c r="DG1009" i="2"/>
  <c r="DF1009" i="2"/>
  <c r="DE1009" i="2"/>
  <c r="DK1009" i="2" s="1"/>
  <c r="DD1009" i="2"/>
  <c r="DB1009" i="2"/>
  <c r="DA1009" i="2"/>
  <c r="DJ1009" i="2" s="1"/>
  <c r="CX1009" i="2"/>
  <c r="BQ1009" i="2"/>
  <c r="BP1009" i="2"/>
  <c r="BE1009" i="2" s="1"/>
  <c r="BO1009" i="2"/>
  <c r="BN1009" i="2"/>
  <c r="BM1009" i="2"/>
  <c r="BL1009" i="2"/>
  <c r="BK1009" i="2"/>
  <c r="BJ1009" i="2"/>
  <c r="BI1009" i="2"/>
  <c r="BH1009" i="2"/>
  <c r="AX1009" i="2"/>
  <c r="F1009" i="2"/>
  <c r="D1009" i="2"/>
  <c r="C1009" i="2"/>
  <c r="DM1008" i="2"/>
  <c r="DN1008" i="2" s="1"/>
  <c r="DF1008" i="2" s="1"/>
  <c r="DI1008" i="2"/>
  <c r="DL1008" i="2" s="1"/>
  <c r="DH1008" i="2"/>
  <c r="DE1008" i="2"/>
  <c r="DK1008" i="2" s="1"/>
  <c r="BQ1008" i="2"/>
  <c r="BP1008" i="2"/>
  <c r="BO1008" i="2"/>
  <c r="BN1008" i="2"/>
  <c r="BM1008" i="2"/>
  <c r="AV1008" i="2" s="1"/>
  <c r="BL1008" i="2"/>
  <c r="BK1008" i="2"/>
  <c r="BJ1008" i="2"/>
  <c r="BF1008" i="2" s="1"/>
  <c r="BI1008" i="2"/>
  <c r="BH1008" i="2"/>
  <c r="BD1008" i="2" s="1"/>
  <c r="F1008" i="2"/>
  <c r="D1008" i="2"/>
  <c r="C1008" i="2"/>
  <c r="DN1007" i="2"/>
  <c r="DA1007" i="2" s="1"/>
  <c r="DM1007" i="2"/>
  <c r="DL1007" i="2"/>
  <c r="DJ1007" i="2"/>
  <c r="DI1007" i="2"/>
  <c r="DH1007" i="2"/>
  <c r="DG1007" i="2"/>
  <c r="DF1007" i="2"/>
  <c r="DE1007" i="2"/>
  <c r="DK1007" i="2" s="1"/>
  <c r="DD1007" i="2"/>
  <c r="DC1007" i="2"/>
  <c r="DB1007" i="2"/>
  <c r="CZ1007" i="2"/>
  <c r="CY1007" i="2"/>
  <c r="CX1007" i="2"/>
  <c r="BQ1007" i="2"/>
  <c r="BP1007" i="2"/>
  <c r="BO1007" i="2"/>
  <c r="BN1007" i="2"/>
  <c r="BC1007" i="2" s="1"/>
  <c r="BM1007" i="2"/>
  <c r="BL1007" i="2"/>
  <c r="BK1007" i="2"/>
  <c r="BJ1007" i="2"/>
  <c r="BI1007" i="2"/>
  <c r="BH1007" i="2"/>
  <c r="BG1007" i="2" s="1"/>
  <c r="BF1007" i="2"/>
  <c r="AV1007" i="2"/>
  <c r="F1007" i="2"/>
  <c r="D1007" i="2"/>
  <c r="C1007" i="2"/>
  <c r="DN1006" i="2"/>
  <c r="DI1006" i="2" s="1"/>
  <c r="DL1006" i="2" s="1"/>
  <c r="DM1006" i="2"/>
  <c r="DG1006" i="2"/>
  <c r="DE1006" i="2"/>
  <c r="DK1006" i="2" s="1"/>
  <c r="DC1006" i="2"/>
  <c r="DB1006" i="2"/>
  <c r="BQ1006" i="2"/>
  <c r="BP1006" i="2"/>
  <c r="BO1006" i="2"/>
  <c r="BN1006" i="2"/>
  <c r="BM1006" i="2"/>
  <c r="BL1006" i="2"/>
  <c r="BK1006" i="2"/>
  <c r="BJ1006" i="2"/>
  <c r="BF1006" i="2" s="1"/>
  <c r="BI1006" i="2"/>
  <c r="BC1006" i="2" s="1"/>
  <c r="BH1006" i="2"/>
  <c r="F1006" i="2"/>
  <c r="D1006" i="2"/>
  <c r="C1006" i="2"/>
  <c r="DN1005" i="2"/>
  <c r="DH1005" i="2" s="1"/>
  <c r="DM1005" i="2"/>
  <c r="BQ1005" i="2"/>
  <c r="BG1005" i="2" s="1"/>
  <c r="BP1005" i="2"/>
  <c r="BO1005" i="2"/>
  <c r="BN1005" i="2"/>
  <c r="BM1005" i="2"/>
  <c r="BL1005" i="2"/>
  <c r="BD1005" i="2" s="1"/>
  <c r="BK1005" i="2"/>
  <c r="BJ1005" i="2"/>
  <c r="AV1005" i="2" s="1"/>
  <c r="BI1005" i="2"/>
  <c r="BC1005" i="2" s="1"/>
  <c r="BH1005" i="2"/>
  <c r="AX1005" i="2" s="1"/>
  <c r="BF1005" i="2"/>
  <c r="F1005" i="2"/>
  <c r="D1005" i="2"/>
  <c r="C1005" i="2"/>
  <c r="DM1004" i="2"/>
  <c r="DN1004" i="2" s="1"/>
  <c r="DI1004" i="2" s="1"/>
  <c r="DL1004" i="2" s="1"/>
  <c r="DG1004" i="2"/>
  <c r="DE1004" i="2"/>
  <c r="DK1004" i="2" s="1"/>
  <c r="DD1004" i="2"/>
  <c r="DC1004" i="2"/>
  <c r="DA1004" i="2"/>
  <c r="DJ1004" i="2" s="1"/>
  <c r="BQ1004" i="2"/>
  <c r="BP1004" i="2"/>
  <c r="BO1004" i="2"/>
  <c r="BN1004" i="2"/>
  <c r="BM1004" i="2"/>
  <c r="BL1004" i="2"/>
  <c r="BK1004" i="2"/>
  <c r="BJ1004" i="2"/>
  <c r="BF1004" i="2" s="1"/>
  <c r="BI1004" i="2"/>
  <c r="AZ1004" i="2" s="1"/>
  <c r="BH1004" i="2"/>
  <c r="BG1004" i="2" s="1"/>
  <c r="F1004" i="2"/>
  <c r="D1004" i="2"/>
  <c r="C1004" i="2"/>
  <c r="DN1003" i="2"/>
  <c r="DH1003" i="2" s="1"/>
  <c r="DM1003" i="2"/>
  <c r="DF1003" i="2"/>
  <c r="DD1003" i="2"/>
  <c r="DC1003" i="2"/>
  <c r="BQ1003" i="2"/>
  <c r="BP1003" i="2"/>
  <c r="BO1003" i="2"/>
  <c r="BN1003" i="2"/>
  <c r="BM1003" i="2"/>
  <c r="BL1003" i="2"/>
  <c r="BK1003" i="2"/>
  <c r="BJ1003" i="2"/>
  <c r="BF1003" i="2" s="1"/>
  <c r="BI1003" i="2"/>
  <c r="BE1003" i="2" s="1"/>
  <c r="BH1003" i="2"/>
  <c r="BG1003" i="2" s="1"/>
  <c r="F1003" i="2"/>
  <c r="D1003" i="2"/>
  <c r="C1003" i="2"/>
  <c r="DN1002" i="2"/>
  <c r="DI1002" i="2" s="1"/>
  <c r="DL1002" i="2" s="1"/>
  <c r="DM1002" i="2"/>
  <c r="DG1002" i="2"/>
  <c r="DD1002" i="2"/>
  <c r="DC1002" i="2"/>
  <c r="BQ1002" i="2"/>
  <c r="BP1002" i="2"/>
  <c r="BO1002" i="2"/>
  <c r="BF1002" i="2" s="1"/>
  <c r="BN1002" i="2"/>
  <c r="BM1002" i="2"/>
  <c r="BL1002" i="2"/>
  <c r="BK1002" i="2"/>
  <c r="BJ1002" i="2"/>
  <c r="BI1002" i="2"/>
  <c r="BE1002" i="2" s="1"/>
  <c r="BH1002" i="2"/>
  <c r="AX1002" i="2" s="1"/>
  <c r="AV1002" i="2"/>
  <c r="F1002" i="2"/>
  <c r="D1002" i="2"/>
  <c r="C1002" i="2"/>
  <c r="DM1001" i="2"/>
  <c r="DN1001" i="2" s="1"/>
  <c r="BQ1001" i="2"/>
  <c r="BP1001" i="2"/>
  <c r="BO1001" i="2"/>
  <c r="BN1001" i="2"/>
  <c r="AZ1001" i="2" s="1"/>
  <c r="BM1001" i="2"/>
  <c r="BG1001" i="2" s="1"/>
  <c r="BL1001" i="2"/>
  <c r="BK1001" i="2"/>
  <c r="BJ1001" i="2"/>
  <c r="BF1001" i="2" s="1"/>
  <c r="BI1001" i="2"/>
  <c r="BE1001" i="2" s="1"/>
  <c r="BH1001" i="2"/>
  <c r="AX1001" i="2" s="1"/>
  <c r="BC1001" i="2"/>
  <c r="AY1001" i="2"/>
  <c r="AV1001" i="2"/>
  <c r="F1001" i="2"/>
  <c r="D1001" i="2"/>
  <c r="C1001" i="2"/>
  <c r="DM1000" i="2"/>
  <c r="DN1000" i="2" s="1"/>
  <c r="DD1000" i="2" s="1"/>
  <c r="BQ1000" i="2"/>
  <c r="BP1000" i="2"/>
  <c r="BO1000" i="2"/>
  <c r="BN1000" i="2"/>
  <c r="BM1000" i="2"/>
  <c r="AV1000" i="2" s="1"/>
  <c r="BL1000" i="2"/>
  <c r="BK1000" i="2"/>
  <c r="BJ1000" i="2"/>
  <c r="BI1000" i="2"/>
  <c r="BC1000" i="2" s="1"/>
  <c r="BH1000" i="2"/>
  <c r="BF1000" i="2"/>
  <c r="AZ1000" i="2"/>
  <c r="F1000" i="2"/>
  <c r="D1000" i="2"/>
  <c r="C1000" i="2"/>
  <c r="DM999" i="2"/>
  <c r="DN999" i="2" s="1"/>
  <c r="BQ999" i="2"/>
  <c r="BE999" i="2" s="1"/>
  <c r="BP999" i="2"/>
  <c r="BO999" i="2"/>
  <c r="BF999" i="2" s="1"/>
  <c r="BN999" i="2"/>
  <c r="BC999" i="2" s="1"/>
  <c r="BM999" i="2"/>
  <c r="BL999" i="2"/>
  <c r="BK999" i="2"/>
  <c r="BJ999" i="2"/>
  <c r="BI999" i="2"/>
  <c r="BH999" i="2"/>
  <c r="BG999" i="2" s="1"/>
  <c r="AZ999" i="2"/>
  <c r="AY999" i="2"/>
  <c r="AV999" i="2"/>
  <c r="F999" i="2"/>
  <c r="D999" i="2"/>
  <c r="C999" i="2"/>
  <c r="DN998" i="2"/>
  <c r="DI998" i="2" s="1"/>
  <c r="DL998" i="2" s="1"/>
  <c r="DM998" i="2"/>
  <c r="DF998" i="2"/>
  <c r="DC998" i="2"/>
  <c r="BQ998" i="2"/>
  <c r="BP998" i="2"/>
  <c r="BO998" i="2"/>
  <c r="BN998" i="2"/>
  <c r="BM998" i="2"/>
  <c r="BL998" i="2"/>
  <c r="BK998" i="2"/>
  <c r="BJ998" i="2"/>
  <c r="BF998" i="2" s="1"/>
  <c r="BI998" i="2"/>
  <c r="BH998" i="2"/>
  <c r="BG998" i="2"/>
  <c r="AX998" i="2"/>
  <c r="F998" i="2"/>
  <c r="D998" i="2"/>
  <c r="C998" i="2"/>
  <c r="DN997" i="2"/>
  <c r="DM997" i="2"/>
  <c r="BQ997" i="2"/>
  <c r="BP997" i="2"/>
  <c r="BO997" i="2"/>
  <c r="BN997" i="2"/>
  <c r="BM997" i="2"/>
  <c r="BL997" i="2"/>
  <c r="BK997" i="2"/>
  <c r="BJ997" i="2"/>
  <c r="BF997" i="2" s="1"/>
  <c r="BI997" i="2"/>
  <c r="BE997" i="2" s="1"/>
  <c r="BH997" i="2"/>
  <c r="BD997" i="2" s="1"/>
  <c r="AX997" i="2"/>
  <c r="AV997" i="2"/>
  <c r="F997" i="2"/>
  <c r="D997" i="2"/>
  <c r="C997" i="2"/>
  <c r="DN996" i="2"/>
  <c r="DB996" i="2" s="1"/>
  <c r="DM996" i="2"/>
  <c r="DJ996" i="2"/>
  <c r="DI996" i="2"/>
  <c r="DL996" i="2" s="1"/>
  <c r="DG996" i="2"/>
  <c r="DE996" i="2"/>
  <c r="DK996" i="2" s="1"/>
  <c r="DD996" i="2"/>
  <c r="DC996" i="2"/>
  <c r="DA996" i="2"/>
  <c r="CZ996" i="2"/>
  <c r="CY996" i="2"/>
  <c r="BQ996" i="2"/>
  <c r="BP996" i="2"/>
  <c r="BO996" i="2"/>
  <c r="BE996" i="2" s="1"/>
  <c r="BN996" i="2"/>
  <c r="BM996" i="2"/>
  <c r="BG996" i="2" s="1"/>
  <c r="BL996" i="2"/>
  <c r="BK996" i="2"/>
  <c r="BJ996" i="2"/>
  <c r="BI996" i="2"/>
  <c r="BH996" i="2"/>
  <c r="AZ996" i="2"/>
  <c r="F996" i="2"/>
  <c r="D996" i="2"/>
  <c r="C996" i="2"/>
  <c r="DM995" i="2"/>
  <c r="DN995" i="2" s="1"/>
  <c r="DB995" i="2" s="1"/>
  <c r="DD995" i="2"/>
  <c r="BQ995" i="2"/>
  <c r="BP995" i="2"/>
  <c r="BO995" i="2"/>
  <c r="BN995" i="2"/>
  <c r="BM995" i="2"/>
  <c r="AV995" i="2" s="1"/>
  <c r="BL995" i="2"/>
  <c r="BK995" i="2"/>
  <c r="BJ995" i="2"/>
  <c r="BI995" i="2"/>
  <c r="BE995" i="2" s="1"/>
  <c r="BH995" i="2"/>
  <c r="BF995" i="2"/>
  <c r="F995" i="2"/>
  <c r="D995" i="2"/>
  <c r="C995" i="2"/>
  <c r="DN994" i="2"/>
  <c r="CZ994" i="2" s="1"/>
  <c r="DM994" i="2"/>
  <c r="DI994" i="2"/>
  <c r="DL994" i="2" s="1"/>
  <c r="DH994" i="2"/>
  <c r="DD994" i="2"/>
  <c r="DC994" i="2"/>
  <c r="DA994" i="2"/>
  <c r="DJ994" i="2" s="1"/>
  <c r="CY994" i="2"/>
  <c r="CX994" i="2"/>
  <c r="BQ994" i="2"/>
  <c r="BP994" i="2"/>
  <c r="BO994" i="2"/>
  <c r="BN994" i="2"/>
  <c r="BC994" i="2" s="1"/>
  <c r="BM994" i="2"/>
  <c r="BL994" i="2"/>
  <c r="BK994" i="2"/>
  <c r="BJ994" i="2"/>
  <c r="BF994" i="2" s="1"/>
  <c r="BI994" i="2"/>
  <c r="BH994" i="2"/>
  <c r="BD994" i="2" s="1"/>
  <c r="BG994" i="2"/>
  <c r="BE994" i="2"/>
  <c r="AV994" i="2"/>
  <c r="F994" i="2"/>
  <c r="D994" i="2"/>
  <c r="C994" i="2"/>
  <c r="DN993" i="2"/>
  <c r="CY993" i="2" s="1"/>
  <c r="DM993" i="2"/>
  <c r="DI993" i="2"/>
  <c r="DL993" i="2" s="1"/>
  <c r="DH993" i="2"/>
  <c r="DG993" i="2"/>
  <c r="DC993" i="2"/>
  <c r="DB993" i="2"/>
  <c r="CZ993" i="2"/>
  <c r="CX993" i="2"/>
  <c r="BQ993" i="2"/>
  <c r="BP993" i="2"/>
  <c r="BO993" i="2"/>
  <c r="BN993" i="2"/>
  <c r="BM993" i="2"/>
  <c r="BL993" i="2"/>
  <c r="BK993" i="2"/>
  <c r="AY993" i="2" s="1"/>
  <c r="BJ993" i="2"/>
  <c r="BI993" i="2"/>
  <c r="BC993" i="2" s="1"/>
  <c r="BH993" i="2"/>
  <c r="BF993" i="2"/>
  <c r="AZ993" i="2"/>
  <c r="AX993" i="2"/>
  <c r="F993" i="2"/>
  <c r="D993" i="2"/>
  <c r="C993" i="2"/>
  <c r="DM992" i="2"/>
  <c r="DN992" i="2" s="1"/>
  <c r="DH992" i="2" s="1"/>
  <c r="BQ992" i="2"/>
  <c r="BP992" i="2"/>
  <c r="BO992" i="2"/>
  <c r="BN992" i="2"/>
  <c r="BM992" i="2"/>
  <c r="AV992" i="2" s="1"/>
  <c r="BL992" i="2"/>
  <c r="BK992" i="2"/>
  <c r="BJ992" i="2"/>
  <c r="BF992" i="2" s="1"/>
  <c r="BI992" i="2"/>
  <c r="AZ992" i="2" s="1"/>
  <c r="BH992" i="2"/>
  <c r="BD992" i="2" s="1"/>
  <c r="BE992" i="2"/>
  <c r="BC992" i="2"/>
  <c r="AX992" i="2"/>
  <c r="F992" i="2"/>
  <c r="D992" i="2"/>
  <c r="C992" i="2"/>
  <c r="DN991" i="2"/>
  <c r="DM991" i="2"/>
  <c r="DG991" i="2"/>
  <c r="CX991" i="2"/>
  <c r="BQ991" i="2"/>
  <c r="BP991" i="2"/>
  <c r="BO991" i="2"/>
  <c r="BN991" i="2"/>
  <c r="BM991" i="2"/>
  <c r="AV991" i="2" s="1"/>
  <c r="BL991" i="2"/>
  <c r="BK991" i="2"/>
  <c r="BJ991" i="2"/>
  <c r="BF991" i="2" s="1"/>
  <c r="BI991" i="2"/>
  <c r="BE991" i="2" s="1"/>
  <c r="BH991" i="2"/>
  <c r="AY991" i="2" s="1"/>
  <c r="BD991" i="2"/>
  <c r="AZ991" i="2"/>
  <c r="AX991" i="2"/>
  <c r="AW991" i="2" s="1"/>
  <c r="F991" i="2"/>
  <c r="D991" i="2"/>
  <c r="C991" i="2"/>
  <c r="DM990" i="2"/>
  <c r="DN990" i="2" s="1"/>
  <c r="DF990" i="2" s="1"/>
  <c r="BQ990" i="2"/>
  <c r="BP990" i="2"/>
  <c r="BO990" i="2"/>
  <c r="BN990" i="2"/>
  <c r="BM990" i="2"/>
  <c r="AV990" i="2" s="1"/>
  <c r="BL990" i="2"/>
  <c r="BK990" i="2"/>
  <c r="BJ990" i="2"/>
  <c r="BF990" i="2" s="1"/>
  <c r="BI990" i="2"/>
  <c r="BH990" i="2"/>
  <c r="AX990" i="2" s="1"/>
  <c r="AY990" i="2"/>
  <c r="F990" i="2"/>
  <c r="D990" i="2"/>
  <c r="C990" i="2"/>
  <c r="DN989" i="2"/>
  <c r="DE989" i="2" s="1"/>
  <c r="DK989" i="2" s="1"/>
  <c r="DM989" i="2"/>
  <c r="DG989" i="2"/>
  <c r="BQ989" i="2"/>
  <c r="BP989" i="2"/>
  <c r="BO989" i="2"/>
  <c r="BN989" i="2"/>
  <c r="BM989" i="2"/>
  <c r="AV989" i="2" s="1"/>
  <c r="BL989" i="2"/>
  <c r="BK989" i="2"/>
  <c r="BJ989" i="2"/>
  <c r="BI989" i="2"/>
  <c r="AZ989" i="2" s="1"/>
  <c r="BH989" i="2"/>
  <c r="AX989" i="2"/>
  <c r="F989" i="2"/>
  <c r="D989" i="2"/>
  <c r="C989" i="2"/>
  <c r="DM988" i="2"/>
  <c r="DN988" i="2" s="1"/>
  <c r="DI988" i="2" s="1"/>
  <c r="DL988" i="2" s="1"/>
  <c r="BQ988" i="2"/>
  <c r="BP988" i="2"/>
  <c r="BO988" i="2"/>
  <c r="BN988" i="2"/>
  <c r="BM988" i="2"/>
  <c r="BL988" i="2"/>
  <c r="BK988" i="2"/>
  <c r="BJ988" i="2"/>
  <c r="BI988" i="2"/>
  <c r="BE988" i="2" s="1"/>
  <c r="BH988" i="2"/>
  <c r="AY988" i="2" s="1"/>
  <c r="F988" i="2"/>
  <c r="D988" i="2"/>
  <c r="C988" i="2"/>
  <c r="DM987" i="2"/>
  <c r="DN987" i="2" s="1"/>
  <c r="DH987" i="2" s="1"/>
  <c r="DG987" i="2"/>
  <c r="BQ987" i="2"/>
  <c r="BP987" i="2"/>
  <c r="BO987" i="2"/>
  <c r="BN987" i="2"/>
  <c r="BM987" i="2"/>
  <c r="BL987" i="2"/>
  <c r="BK987" i="2"/>
  <c r="BJ987" i="2"/>
  <c r="BI987" i="2"/>
  <c r="BH987" i="2"/>
  <c r="BG987" i="2"/>
  <c r="AX987" i="2"/>
  <c r="AV987" i="2"/>
  <c r="F987" i="2"/>
  <c r="D987" i="2"/>
  <c r="C987" i="2"/>
  <c r="DN986" i="2"/>
  <c r="CY986" i="2" s="1"/>
  <c r="DM986" i="2"/>
  <c r="DK986" i="2"/>
  <c r="DI986" i="2"/>
  <c r="DL986" i="2" s="1"/>
  <c r="DH986" i="2"/>
  <c r="DG986" i="2"/>
  <c r="DF986" i="2"/>
  <c r="DE986" i="2"/>
  <c r="DD986" i="2"/>
  <c r="DC986" i="2"/>
  <c r="DB986" i="2"/>
  <c r="DA986" i="2"/>
  <c r="DJ986" i="2" s="1"/>
  <c r="CZ986" i="2"/>
  <c r="CX986" i="2"/>
  <c r="BQ986" i="2"/>
  <c r="BP986" i="2"/>
  <c r="BO986" i="2"/>
  <c r="BN986" i="2"/>
  <c r="BM986" i="2"/>
  <c r="BL986" i="2"/>
  <c r="BK986" i="2"/>
  <c r="BJ986" i="2"/>
  <c r="BI986" i="2"/>
  <c r="BH986" i="2"/>
  <c r="BF986" i="2"/>
  <c r="F986" i="2"/>
  <c r="D986" i="2"/>
  <c r="C986" i="2"/>
  <c r="DM985" i="2"/>
  <c r="DN985" i="2" s="1"/>
  <c r="DF985" i="2" s="1"/>
  <c r="DH985" i="2"/>
  <c r="DC985" i="2"/>
  <c r="DA985" i="2"/>
  <c r="DJ985" i="2" s="1"/>
  <c r="BQ985" i="2"/>
  <c r="BP985" i="2"/>
  <c r="BO985" i="2"/>
  <c r="BN985" i="2"/>
  <c r="BM985" i="2"/>
  <c r="BL985" i="2"/>
  <c r="BK985" i="2"/>
  <c r="BJ985" i="2"/>
  <c r="BF985" i="2" s="1"/>
  <c r="BI985" i="2"/>
  <c r="BH985" i="2"/>
  <c r="BG985" i="2"/>
  <c r="BE985" i="2"/>
  <c r="F985" i="2"/>
  <c r="D985" i="2"/>
  <c r="C985" i="2"/>
  <c r="DN984" i="2"/>
  <c r="DF984" i="2" s="1"/>
  <c r="DM984" i="2"/>
  <c r="DI984" i="2"/>
  <c r="DL984" i="2" s="1"/>
  <c r="DG984" i="2"/>
  <c r="DE984" i="2"/>
  <c r="DK984" i="2" s="1"/>
  <c r="DD984" i="2"/>
  <c r="DB984" i="2"/>
  <c r="CZ984" i="2"/>
  <c r="CX984" i="2"/>
  <c r="BQ984" i="2"/>
  <c r="BP984" i="2"/>
  <c r="BO984" i="2"/>
  <c r="BN984" i="2"/>
  <c r="BM984" i="2"/>
  <c r="BL984" i="2"/>
  <c r="BK984" i="2"/>
  <c r="BF984" i="2" s="1"/>
  <c r="BJ984" i="2"/>
  <c r="BI984" i="2"/>
  <c r="BH984" i="2"/>
  <c r="BD984" i="2"/>
  <c r="F984" i="2"/>
  <c r="D984" i="2"/>
  <c r="C984" i="2"/>
  <c r="DM983" i="2"/>
  <c r="DN983" i="2" s="1"/>
  <c r="DH983" i="2" s="1"/>
  <c r="DI983" i="2"/>
  <c r="DL983" i="2" s="1"/>
  <c r="DD983" i="2"/>
  <c r="CY983" i="2"/>
  <c r="BQ983" i="2"/>
  <c r="BP983" i="2"/>
  <c r="BO983" i="2"/>
  <c r="BN983" i="2"/>
  <c r="BM983" i="2"/>
  <c r="BL983" i="2"/>
  <c r="BK983" i="2"/>
  <c r="BJ983" i="2"/>
  <c r="BF983" i="2" s="1"/>
  <c r="BI983" i="2"/>
  <c r="AZ983" i="2" s="1"/>
  <c r="BH983" i="2"/>
  <c r="BE983" i="2" s="1"/>
  <c r="F983" i="2"/>
  <c r="D983" i="2"/>
  <c r="C983" i="2"/>
  <c r="DN982" i="2"/>
  <c r="DM982" i="2"/>
  <c r="DH982" i="2"/>
  <c r="DE982" i="2"/>
  <c r="DK982" i="2" s="1"/>
  <c r="DC982" i="2"/>
  <c r="DB982" i="2"/>
  <c r="CZ982" i="2"/>
  <c r="BQ982" i="2"/>
  <c r="BP982" i="2"/>
  <c r="BO982" i="2"/>
  <c r="BN982" i="2"/>
  <c r="BM982" i="2"/>
  <c r="AV982" i="2" s="1"/>
  <c r="BL982" i="2"/>
  <c r="BK982" i="2"/>
  <c r="BJ982" i="2"/>
  <c r="BI982" i="2"/>
  <c r="BH982" i="2"/>
  <c r="BG982" i="2"/>
  <c r="BF982" i="2"/>
  <c r="BD982" i="2"/>
  <c r="AX982" i="2"/>
  <c r="F982" i="2"/>
  <c r="D982" i="2"/>
  <c r="C982" i="2"/>
  <c r="DM981" i="2"/>
  <c r="DN981" i="2" s="1"/>
  <c r="DI981" i="2" s="1"/>
  <c r="DL981" i="2" s="1"/>
  <c r="DB981" i="2"/>
  <c r="BQ981" i="2"/>
  <c r="BE981" i="2" s="1"/>
  <c r="BP981" i="2"/>
  <c r="BO981" i="2"/>
  <c r="BN981" i="2"/>
  <c r="BM981" i="2"/>
  <c r="BL981" i="2"/>
  <c r="BK981" i="2"/>
  <c r="BF981" i="2" s="1"/>
  <c r="BJ981" i="2"/>
  <c r="BI981" i="2"/>
  <c r="BH981" i="2"/>
  <c r="AZ981" i="2"/>
  <c r="F981" i="2"/>
  <c r="D981" i="2"/>
  <c r="C981" i="2"/>
  <c r="DN980" i="2"/>
  <c r="DM980" i="2"/>
  <c r="DJ980" i="2"/>
  <c r="DH980" i="2"/>
  <c r="DE980" i="2"/>
  <c r="DK980" i="2" s="1"/>
  <c r="DC980" i="2"/>
  <c r="DA980" i="2"/>
  <c r="CZ980" i="2"/>
  <c r="BQ980" i="2"/>
  <c r="BP980" i="2"/>
  <c r="BO980" i="2"/>
  <c r="BN980" i="2"/>
  <c r="BM980" i="2"/>
  <c r="BL980" i="2"/>
  <c r="BK980" i="2"/>
  <c r="BJ980" i="2"/>
  <c r="BI980" i="2"/>
  <c r="BH980" i="2"/>
  <c r="BG980" i="2"/>
  <c r="BD980" i="2"/>
  <c r="AX980" i="2"/>
  <c r="F980" i="2"/>
  <c r="D980" i="2"/>
  <c r="C980" i="2"/>
  <c r="DM979" i="2"/>
  <c r="DN979" i="2" s="1"/>
  <c r="DB979" i="2" s="1"/>
  <c r="DI979" i="2"/>
  <c r="DL979" i="2" s="1"/>
  <c r="DG979" i="2"/>
  <c r="DE979" i="2"/>
  <c r="DK979" i="2" s="1"/>
  <c r="DD979" i="2"/>
  <c r="CZ979" i="2"/>
  <c r="CY979" i="2"/>
  <c r="BQ979" i="2"/>
  <c r="BP979" i="2"/>
  <c r="BO979" i="2"/>
  <c r="BN979" i="2"/>
  <c r="BM979" i="2"/>
  <c r="BL979" i="2"/>
  <c r="BK979" i="2"/>
  <c r="BJ979" i="2"/>
  <c r="BI979" i="2"/>
  <c r="BH979" i="2"/>
  <c r="AX979" i="2" s="1"/>
  <c r="F979" i="2"/>
  <c r="D979" i="2"/>
  <c r="C979" i="2"/>
  <c r="DN978" i="2"/>
  <c r="DM978" i="2"/>
  <c r="DL978" i="2"/>
  <c r="DJ978" i="2"/>
  <c r="DI978" i="2"/>
  <c r="DH978" i="2"/>
  <c r="DF978" i="2"/>
  <c r="DD978" i="2"/>
  <c r="DC978" i="2"/>
  <c r="DA978" i="2"/>
  <c r="CY978" i="2"/>
  <c r="CX978" i="2"/>
  <c r="BQ978" i="2"/>
  <c r="BP978" i="2"/>
  <c r="BO978" i="2"/>
  <c r="BN978" i="2"/>
  <c r="BC978" i="2" s="1"/>
  <c r="BM978" i="2"/>
  <c r="BL978" i="2"/>
  <c r="BK978" i="2"/>
  <c r="BJ978" i="2"/>
  <c r="BF978" i="2" s="1"/>
  <c r="BI978" i="2"/>
  <c r="BH978" i="2"/>
  <c r="BG978" i="2"/>
  <c r="BE978" i="2"/>
  <c r="AZ978" i="2"/>
  <c r="AX978" i="2"/>
  <c r="F978" i="2"/>
  <c r="D978" i="2"/>
  <c r="C978" i="2"/>
  <c r="DM977" i="2"/>
  <c r="DN977" i="2" s="1"/>
  <c r="BQ977" i="2"/>
  <c r="BP977" i="2"/>
  <c r="BO977" i="2"/>
  <c r="BN977" i="2"/>
  <c r="BM977" i="2"/>
  <c r="AV977" i="2" s="1"/>
  <c r="BL977" i="2"/>
  <c r="BK977" i="2"/>
  <c r="BD977" i="2" s="1"/>
  <c r="BJ977" i="2"/>
  <c r="BI977" i="2"/>
  <c r="BH977" i="2"/>
  <c r="BF977" i="2"/>
  <c r="AY977" i="2"/>
  <c r="AX977" i="2"/>
  <c r="F977" i="2"/>
  <c r="D977" i="2"/>
  <c r="C977" i="2"/>
  <c r="DM976" i="2"/>
  <c r="DN976" i="2" s="1"/>
  <c r="DI976" i="2" s="1"/>
  <c r="DL976" i="2" s="1"/>
  <c r="DH976" i="2"/>
  <c r="CY976" i="2"/>
  <c r="BQ976" i="2"/>
  <c r="BE976" i="2" s="1"/>
  <c r="BP976" i="2"/>
  <c r="BO976" i="2"/>
  <c r="BN976" i="2"/>
  <c r="BM976" i="2"/>
  <c r="BL976" i="2"/>
  <c r="BK976" i="2"/>
  <c r="BJ976" i="2"/>
  <c r="BF976" i="2" s="1"/>
  <c r="BI976" i="2"/>
  <c r="AZ976" i="2" s="1"/>
  <c r="BH976" i="2"/>
  <c r="AY976" i="2" s="1"/>
  <c r="F976" i="2"/>
  <c r="D976" i="2"/>
  <c r="C976" i="2"/>
  <c r="DN975" i="2"/>
  <c r="DI975" i="2" s="1"/>
  <c r="DL975" i="2" s="1"/>
  <c r="DM975" i="2"/>
  <c r="DH975" i="2"/>
  <c r="DG975" i="2"/>
  <c r="DE975" i="2"/>
  <c r="DK975" i="2" s="1"/>
  <c r="BQ975" i="2"/>
  <c r="BP975" i="2"/>
  <c r="BO975" i="2"/>
  <c r="BN975" i="2"/>
  <c r="BM975" i="2"/>
  <c r="AV975" i="2" s="1"/>
  <c r="BL975" i="2"/>
  <c r="BK975" i="2"/>
  <c r="BJ975" i="2"/>
  <c r="BI975" i="2"/>
  <c r="BH975" i="2"/>
  <c r="AX975" i="2"/>
  <c r="F975" i="2"/>
  <c r="D975" i="2"/>
  <c r="C975" i="2"/>
  <c r="DM974" i="2"/>
  <c r="DN974" i="2" s="1"/>
  <c r="DK974" i="2"/>
  <c r="DI974" i="2"/>
  <c r="DL974" i="2" s="1"/>
  <c r="DH974" i="2"/>
  <c r="DG974" i="2"/>
  <c r="DF974" i="2"/>
  <c r="DE974" i="2"/>
  <c r="DD974" i="2"/>
  <c r="DB974" i="2"/>
  <c r="CZ974" i="2"/>
  <c r="BQ974" i="2"/>
  <c r="BP974" i="2"/>
  <c r="BO974" i="2"/>
  <c r="BN974" i="2"/>
  <c r="BM974" i="2"/>
  <c r="BL974" i="2"/>
  <c r="BK974" i="2"/>
  <c r="BJ974" i="2"/>
  <c r="BF974" i="2" s="1"/>
  <c r="BI974" i="2"/>
  <c r="BC974" i="2" s="1"/>
  <c r="BH974" i="2"/>
  <c r="AX974" i="2" s="1"/>
  <c r="AY974" i="2"/>
  <c r="F974" i="2"/>
  <c r="D974" i="2"/>
  <c r="C974" i="2"/>
  <c r="DN973" i="2"/>
  <c r="CZ973" i="2" s="1"/>
  <c r="DM973" i="2"/>
  <c r="DG973" i="2"/>
  <c r="DB973" i="2"/>
  <c r="DA973" i="2"/>
  <c r="DJ973" i="2" s="1"/>
  <c r="CX973" i="2"/>
  <c r="BQ973" i="2"/>
  <c r="BP973" i="2"/>
  <c r="BO973" i="2"/>
  <c r="BN973" i="2"/>
  <c r="BM973" i="2"/>
  <c r="AV973" i="2" s="1"/>
  <c r="BL973" i="2"/>
  <c r="BK973" i="2"/>
  <c r="BJ973" i="2"/>
  <c r="BC973" i="2" s="1"/>
  <c r="BI973" i="2"/>
  <c r="AZ973" i="2" s="1"/>
  <c r="BH973" i="2"/>
  <c r="BE973" i="2"/>
  <c r="AX973" i="2"/>
  <c r="F973" i="2"/>
  <c r="D973" i="2"/>
  <c r="C973" i="2"/>
  <c r="DM972" i="2"/>
  <c r="DN972" i="2" s="1"/>
  <c r="DD972" i="2"/>
  <c r="BQ972" i="2"/>
  <c r="BP972" i="2"/>
  <c r="BO972" i="2"/>
  <c r="BN972" i="2"/>
  <c r="BM972" i="2"/>
  <c r="BL972" i="2"/>
  <c r="BD972" i="2" s="1"/>
  <c r="BK972" i="2"/>
  <c r="BJ972" i="2"/>
  <c r="BI972" i="2"/>
  <c r="BC972" i="2" s="1"/>
  <c r="BH972" i="2"/>
  <c r="AX972" i="2" s="1"/>
  <c r="BG972" i="2"/>
  <c r="BF972" i="2"/>
  <c r="F972" i="2"/>
  <c r="D972" i="2"/>
  <c r="C972" i="2"/>
  <c r="DM971" i="2"/>
  <c r="DN971" i="2" s="1"/>
  <c r="CX971" i="2" s="1"/>
  <c r="DG971" i="2"/>
  <c r="BQ971" i="2"/>
  <c r="BP971" i="2"/>
  <c r="BO971" i="2"/>
  <c r="BN971" i="2"/>
  <c r="BM971" i="2"/>
  <c r="AV971" i="2" s="1"/>
  <c r="BL971" i="2"/>
  <c r="BK971" i="2"/>
  <c r="BJ971" i="2"/>
  <c r="BF971" i="2" s="1"/>
  <c r="BI971" i="2"/>
  <c r="AZ971" i="2" s="1"/>
  <c r="BH971" i="2"/>
  <c r="BG971" i="2"/>
  <c r="AX971" i="2"/>
  <c r="F971" i="2"/>
  <c r="D971" i="2"/>
  <c r="C971" i="2"/>
  <c r="DN970" i="2"/>
  <c r="DI970" i="2" s="1"/>
  <c r="DL970" i="2" s="1"/>
  <c r="DM970" i="2"/>
  <c r="DC970" i="2"/>
  <c r="CX970" i="2"/>
  <c r="BQ970" i="2"/>
  <c r="BP970" i="2"/>
  <c r="BO970" i="2"/>
  <c r="BN970" i="2"/>
  <c r="BM970" i="2"/>
  <c r="AV970" i="2" s="1"/>
  <c r="BL970" i="2"/>
  <c r="BK970" i="2"/>
  <c r="BJ970" i="2"/>
  <c r="BF970" i="2" s="1"/>
  <c r="BI970" i="2"/>
  <c r="BE970" i="2" s="1"/>
  <c r="BH970" i="2"/>
  <c r="BG970" i="2"/>
  <c r="AZ970" i="2"/>
  <c r="AX970" i="2"/>
  <c r="F970" i="2"/>
  <c r="D970" i="2"/>
  <c r="C970" i="2"/>
  <c r="DN969" i="2"/>
  <c r="DD969" i="2" s="1"/>
  <c r="DM969" i="2"/>
  <c r="DK969" i="2"/>
  <c r="DF969" i="2"/>
  <c r="DE969" i="2"/>
  <c r="DC969" i="2"/>
  <c r="DA969" i="2"/>
  <c r="DJ969" i="2" s="1"/>
  <c r="CZ969" i="2"/>
  <c r="BQ969" i="2"/>
  <c r="BP969" i="2"/>
  <c r="BO969" i="2"/>
  <c r="BN969" i="2"/>
  <c r="BM969" i="2"/>
  <c r="BL969" i="2"/>
  <c r="BK969" i="2"/>
  <c r="BJ969" i="2"/>
  <c r="BI969" i="2"/>
  <c r="BE969" i="2" s="1"/>
  <c r="BH969" i="2"/>
  <c r="AX969" i="2" s="1"/>
  <c r="BG969" i="2"/>
  <c r="F969" i="2"/>
  <c r="D969" i="2"/>
  <c r="C969" i="2"/>
  <c r="DM968" i="2"/>
  <c r="DN968" i="2" s="1"/>
  <c r="BQ968" i="2"/>
  <c r="BP968" i="2"/>
  <c r="BO968" i="2"/>
  <c r="BN968" i="2"/>
  <c r="BM968" i="2"/>
  <c r="BG968" i="2" s="1"/>
  <c r="BL968" i="2"/>
  <c r="BK968" i="2"/>
  <c r="BJ968" i="2"/>
  <c r="BD968" i="2" s="1"/>
  <c r="BI968" i="2"/>
  <c r="BC968" i="2" s="1"/>
  <c r="BH968" i="2"/>
  <c r="BE968" i="2"/>
  <c r="AZ968" i="2"/>
  <c r="AX968" i="2"/>
  <c r="F968" i="2"/>
  <c r="D968" i="2"/>
  <c r="C968" i="2"/>
  <c r="DM967" i="2"/>
  <c r="DN967" i="2" s="1"/>
  <c r="BQ967" i="2"/>
  <c r="BP967" i="2"/>
  <c r="BE967" i="2" s="1"/>
  <c r="BO967" i="2"/>
  <c r="BN967" i="2"/>
  <c r="BM967" i="2"/>
  <c r="AV967" i="2" s="1"/>
  <c r="BL967" i="2"/>
  <c r="BK967" i="2"/>
  <c r="BC967" i="2" s="1"/>
  <c r="BJ967" i="2"/>
  <c r="BI967" i="2"/>
  <c r="BH967" i="2"/>
  <c r="BD967" i="2" s="1"/>
  <c r="AZ967" i="2"/>
  <c r="AX967" i="2"/>
  <c r="F967" i="2"/>
  <c r="D967" i="2"/>
  <c r="C967" i="2"/>
  <c r="DM966" i="2"/>
  <c r="DN966" i="2" s="1"/>
  <c r="BQ966" i="2"/>
  <c r="BP966" i="2"/>
  <c r="BO966" i="2"/>
  <c r="BF966" i="2" s="1"/>
  <c r="BN966" i="2"/>
  <c r="BM966" i="2"/>
  <c r="BL966" i="2"/>
  <c r="BK966" i="2"/>
  <c r="BJ966" i="2"/>
  <c r="BI966" i="2"/>
  <c r="BE966" i="2" s="1"/>
  <c r="BH966" i="2"/>
  <c r="BG966" i="2"/>
  <c r="BD966" i="2"/>
  <c r="AX966" i="2"/>
  <c r="AV966" i="2"/>
  <c r="F966" i="2"/>
  <c r="D966" i="2"/>
  <c r="C966" i="2"/>
  <c r="DN965" i="2"/>
  <c r="DC965" i="2" s="1"/>
  <c r="DM965" i="2"/>
  <c r="DJ965" i="2"/>
  <c r="DI965" i="2"/>
  <c r="DL965" i="2" s="1"/>
  <c r="DH965" i="2"/>
  <c r="DG965" i="2"/>
  <c r="DF965" i="2"/>
  <c r="DE965" i="2"/>
  <c r="DK965" i="2" s="1"/>
  <c r="DD965" i="2"/>
  <c r="DB965" i="2"/>
  <c r="DA965" i="2"/>
  <c r="CY965" i="2"/>
  <c r="CX965" i="2"/>
  <c r="BQ965" i="2"/>
  <c r="BP965" i="2"/>
  <c r="BO965" i="2"/>
  <c r="BN965" i="2"/>
  <c r="BM965" i="2"/>
  <c r="BG965" i="2" s="1"/>
  <c r="BL965" i="2"/>
  <c r="BK965" i="2"/>
  <c r="BJ965" i="2"/>
  <c r="BF965" i="2" s="1"/>
  <c r="BI965" i="2"/>
  <c r="BH965" i="2"/>
  <c r="BE965" i="2"/>
  <c r="BC965" i="2"/>
  <c r="AV965" i="2"/>
  <c r="F965" i="2"/>
  <c r="D965" i="2"/>
  <c r="C965" i="2"/>
  <c r="DN964" i="2"/>
  <c r="DM964" i="2"/>
  <c r="BQ964" i="2"/>
  <c r="BP964" i="2"/>
  <c r="BO964" i="2"/>
  <c r="BN964" i="2"/>
  <c r="BM964" i="2"/>
  <c r="BL964" i="2"/>
  <c r="BK964" i="2"/>
  <c r="BJ964" i="2"/>
  <c r="BF964" i="2" s="1"/>
  <c r="BI964" i="2"/>
  <c r="BE964" i="2" s="1"/>
  <c r="BH964" i="2"/>
  <c r="AY964" i="2" s="1"/>
  <c r="AZ964" i="2"/>
  <c r="F964" i="2"/>
  <c r="D964" i="2"/>
  <c r="C964" i="2"/>
  <c r="DM963" i="2"/>
  <c r="DN963" i="2" s="1"/>
  <c r="DH963" i="2" s="1"/>
  <c r="BQ963" i="2"/>
  <c r="BP963" i="2"/>
  <c r="BO963" i="2"/>
  <c r="BN963" i="2"/>
  <c r="BM963" i="2"/>
  <c r="AV963" i="2" s="1"/>
  <c r="BL963" i="2"/>
  <c r="BK963" i="2"/>
  <c r="BF963" i="2" s="1"/>
  <c r="BJ963" i="2"/>
  <c r="BI963" i="2"/>
  <c r="BE963" i="2" s="1"/>
  <c r="BH963" i="2"/>
  <c r="BG963" i="2" s="1"/>
  <c r="F963" i="2"/>
  <c r="D963" i="2"/>
  <c r="C963" i="2"/>
  <c r="DN962" i="2"/>
  <c r="DE962" i="2" s="1"/>
  <c r="DK962" i="2" s="1"/>
  <c r="DM962" i="2"/>
  <c r="DG962" i="2"/>
  <c r="DF962" i="2"/>
  <c r="DD962" i="2"/>
  <c r="CX962" i="2"/>
  <c r="BQ962" i="2"/>
  <c r="BP962" i="2"/>
  <c r="BE962" i="2" s="1"/>
  <c r="BO962" i="2"/>
  <c r="BN962" i="2"/>
  <c r="BM962" i="2"/>
  <c r="BG962" i="2" s="1"/>
  <c r="BL962" i="2"/>
  <c r="BK962" i="2"/>
  <c r="BJ962" i="2"/>
  <c r="BI962" i="2"/>
  <c r="BC962" i="2" s="1"/>
  <c r="BH962" i="2"/>
  <c r="BD962" i="2" s="1"/>
  <c r="AZ962" i="2"/>
  <c r="AX962" i="2"/>
  <c r="F962" i="2"/>
  <c r="D962" i="2"/>
  <c r="C962" i="2"/>
  <c r="DM961" i="2"/>
  <c r="DN961" i="2" s="1"/>
  <c r="DF961" i="2"/>
  <c r="DE961" i="2"/>
  <c r="DK961" i="2" s="1"/>
  <c r="BQ961" i="2"/>
  <c r="BP961" i="2"/>
  <c r="BO961" i="2"/>
  <c r="BN961" i="2"/>
  <c r="BM961" i="2"/>
  <c r="BL961" i="2"/>
  <c r="BD961" i="2" s="1"/>
  <c r="BK961" i="2"/>
  <c r="BJ961" i="2"/>
  <c r="BI961" i="2"/>
  <c r="BH961" i="2"/>
  <c r="AX961" i="2" s="1"/>
  <c r="BG961" i="2"/>
  <c r="F961" i="2"/>
  <c r="D961" i="2"/>
  <c r="C961" i="2"/>
  <c r="DM960" i="2"/>
  <c r="DN960" i="2" s="1"/>
  <c r="DE960" i="2" s="1"/>
  <c r="DK960" i="2" s="1"/>
  <c r="BQ960" i="2"/>
  <c r="BP960" i="2"/>
  <c r="BO960" i="2"/>
  <c r="BN960" i="2"/>
  <c r="BM960" i="2"/>
  <c r="BG960" i="2" s="1"/>
  <c r="BL960" i="2"/>
  <c r="BK960" i="2"/>
  <c r="BJ960" i="2"/>
  <c r="BI960" i="2"/>
  <c r="BH960" i="2"/>
  <c r="BF960" i="2"/>
  <c r="AV960" i="2"/>
  <c r="F960" i="2"/>
  <c r="D960" i="2"/>
  <c r="C960" i="2"/>
  <c r="DN959" i="2"/>
  <c r="DB959" i="2" s="1"/>
  <c r="DM959" i="2"/>
  <c r="DI959" i="2"/>
  <c r="DL959" i="2" s="1"/>
  <c r="DF959" i="2"/>
  <c r="DD959" i="2"/>
  <c r="DC959" i="2"/>
  <c r="DA959" i="2"/>
  <c r="DJ959" i="2" s="1"/>
  <c r="CX959" i="2"/>
  <c r="BQ959" i="2"/>
  <c r="BP959" i="2"/>
  <c r="BO959" i="2"/>
  <c r="BN959" i="2"/>
  <c r="BM959" i="2"/>
  <c r="AV959" i="2" s="1"/>
  <c r="BL959" i="2"/>
  <c r="BK959" i="2"/>
  <c r="BJ959" i="2"/>
  <c r="BF959" i="2" s="1"/>
  <c r="BI959" i="2"/>
  <c r="BH959" i="2"/>
  <c r="BG959" i="2" s="1"/>
  <c r="AZ959" i="2"/>
  <c r="F959" i="2"/>
  <c r="D959" i="2"/>
  <c r="C959" i="2"/>
  <c r="DM958" i="2"/>
  <c r="DN958" i="2" s="1"/>
  <c r="DH958" i="2"/>
  <c r="DC958" i="2"/>
  <c r="DB958" i="2"/>
  <c r="BQ958" i="2"/>
  <c r="BP958" i="2"/>
  <c r="BO958" i="2"/>
  <c r="BN958" i="2"/>
  <c r="BM958" i="2"/>
  <c r="BL958" i="2"/>
  <c r="BD958" i="2" s="1"/>
  <c r="BK958" i="2"/>
  <c r="BJ958" i="2"/>
  <c r="BI958" i="2"/>
  <c r="BE958" i="2" s="1"/>
  <c r="BH958" i="2"/>
  <c r="AX958" i="2" s="1"/>
  <c r="BG958" i="2"/>
  <c r="BF958" i="2"/>
  <c r="AV958" i="2"/>
  <c r="F958" i="2"/>
  <c r="D958" i="2"/>
  <c r="C958" i="2"/>
  <c r="DN957" i="2"/>
  <c r="CZ957" i="2" s="1"/>
  <c r="DM957" i="2"/>
  <c r="DI957" i="2"/>
  <c r="DL957" i="2" s="1"/>
  <c r="DG957" i="2"/>
  <c r="DF957" i="2"/>
  <c r="DD957" i="2"/>
  <c r="DB957" i="2"/>
  <c r="DA957" i="2"/>
  <c r="DJ957" i="2" s="1"/>
  <c r="CY957" i="2"/>
  <c r="CX957" i="2"/>
  <c r="BQ957" i="2"/>
  <c r="BP957" i="2"/>
  <c r="BO957" i="2"/>
  <c r="BN957" i="2"/>
  <c r="BM957" i="2"/>
  <c r="BL957" i="2"/>
  <c r="BK957" i="2"/>
  <c r="BJ957" i="2"/>
  <c r="BI957" i="2"/>
  <c r="BH957" i="2"/>
  <c r="BE957" i="2"/>
  <c r="AZ957" i="2"/>
  <c r="F957" i="2"/>
  <c r="D957" i="2"/>
  <c r="C957" i="2"/>
  <c r="DN956" i="2"/>
  <c r="CY956" i="2" s="1"/>
  <c r="DM956" i="2"/>
  <c r="DH956" i="2"/>
  <c r="DF956" i="2"/>
  <c r="DA956" i="2"/>
  <c r="DJ956" i="2" s="1"/>
  <c r="CZ956" i="2"/>
  <c r="CX956" i="2"/>
  <c r="BQ956" i="2"/>
  <c r="BP956" i="2"/>
  <c r="BO956" i="2"/>
  <c r="BN956" i="2"/>
  <c r="BM956" i="2"/>
  <c r="AV956" i="2" s="1"/>
  <c r="BL956" i="2"/>
  <c r="BD956" i="2" s="1"/>
  <c r="BK956" i="2"/>
  <c r="BJ956" i="2"/>
  <c r="BF956" i="2" s="1"/>
  <c r="BI956" i="2"/>
  <c r="BC956" i="2" s="1"/>
  <c r="BH956" i="2"/>
  <c r="BG956" i="2"/>
  <c r="BE956" i="2"/>
  <c r="AZ956" i="2"/>
  <c r="AX956" i="2"/>
  <c r="F956" i="2"/>
  <c r="D956" i="2"/>
  <c r="C956" i="2"/>
  <c r="DM955" i="2"/>
  <c r="DN955" i="2" s="1"/>
  <c r="DG955" i="2"/>
  <c r="DE955" i="2"/>
  <c r="DK955" i="2" s="1"/>
  <c r="CZ955" i="2"/>
  <c r="CY955" i="2"/>
  <c r="BQ955" i="2"/>
  <c r="BP955" i="2"/>
  <c r="BO955" i="2"/>
  <c r="BN955" i="2"/>
  <c r="BM955" i="2"/>
  <c r="BL955" i="2"/>
  <c r="BK955" i="2"/>
  <c r="BF955" i="2" s="1"/>
  <c r="BJ955" i="2"/>
  <c r="BI955" i="2"/>
  <c r="BC955" i="2" s="1"/>
  <c r="BH955" i="2"/>
  <c r="AX955" i="2" s="1"/>
  <c r="AV955" i="2"/>
  <c r="F955" i="2"/>
  <c r="D955" i="2"/>
  <c r="C955" i="2"/>
  <c r="DN954" i="2"/>
  <c r="CY954" i="2" s="1"/>
  <c r="DM954" i="2"/>
  <c r="DF954" i="2"/>
  <c r="DD954" i="2"/>
  <c r="CX954" i="2"/>
  <c r="BQ954" i="2"/>
  <c r="BP954" i="2"/>
  <c r="BE954" i="2" s="1"/>
  <c r="BO954" i="2"/>
  <c r="BN954" i="2"/>
  <c r="BM954" i="2"/>
  <c r="AV954" i="2" s="1"/>
  <c r="BL954" i="2"/>
  <c r="BK954" i="2"/>
  <c r="BJ954" i="2"/>
  <c r="BF954" i="2" s="1"/>
  <c r="BI954" i="2"/>
  <c r="BH954" i="2"/>
  <c r="AZ954" i="2"/>
  <c r="F954" i="2"/>
  <c r="D954" i="2"/>
  <c r="C954" i="2"/>
  <c r="DN953" i="2"/>
  <c r="DE953" i="2" s="1"/>
  <c r="DK953" i="2" s="1"/>
  <c r="DM953" i="2"/>
  <c r="DC953" i="2"/>
  <c r="CX953" i="2"/>
  <c r="BQ953" i="2"/>
  <c r="BP953" i="2"/>
  <c r="BO953" i="2"/>
  <c r="BN953" i="2"/>
  <c r="BM953" i="2"/>
  <c r="AV953" i="2" s="1"/>
  <c r="BL953" i="2"/>
  <c r="BK953" i="2"/>
  <c r="BJ953" i="2"/>
  <c r="BF953" i="2" s="1"/>
  <c r="BI953" i="2"/>
  <c r="AY953" i="2" s="1"/>
  <c r="BH953" i="2"/>
  <c r="AX953" i="2" s="1"/>
  <c r="BG953" i="2"/>
  <c r="AZ953" i="2"/>
  <c r="F953" i="2"/>
  <c r="D953" i="2"/>
  <c r="C953" i="2"/>
  <c r="DM952" i="2"/>
  <c r="DN952" i="2" s="1"/>
  <c r="DB952" i="2" s="1"/>
  <c r="DG952" i="2"/>
  <c r="DD952" i="2"/>
  <c r="BQ952" i="2"/>
  <c r="BP952" i="2"/>
  <c r="BO952" i="2"/>
  <c r="BN952" i="2"/>
  <c r="BM952" i="2"/>
  <c r="AV952" i="2" s="1"/>
  <c r="BL952" i="2"/>
  <c r="BK952" i="2"/>
  <c r="BJ952" i="2"/>
  <c r="BI952" i="2"/>
  <c r="BH952" i="2"/>
  <c r="F952" i="2"/>
  <c r="D952" i="2"/>
  <c r="C952" i="2"/>
  <c r="DN951" i="2"/>
  <c r="DE951" i="2" s="1"/>
  <c r="DK951" i="2" s="1"/>
  <c r="DM951" i="2"/>
  <c r="DL951" i="2"/>
  <c r="DI951" i="2"/>
  <c r="DH951" i="2"/>
  <c r="DG951" i="2"/>
  <c r="DF951" i="2"/>
  <c r="DC951" i="2"/>
  <c r="DA951" i="2"/>
  <c r="DJ951" i="2" s="1"/>
  <c r="CX951" i="2"/>
  <c r="BQ951" i="2"/>
  <c r="BP951" i="2"/>
  <c r="BO951" i="2"/>
  <c r="BN951" i="2"/>
  <c r="BM951" i="2"/>
  <c r="BL951" i="2"/>
  <c r="BK951" i="2"/>
  <c r="BC951" i="2" s="1"/>
  <c r="BJ951" i="2"/>
  <c r="BI951" i="2"/>
  <c r="BH951" i="2"/>
  <c r="BG951" i="2"/>
  <c r="BE951" i="2"/>
  <c r="AZ951" i="2"/>
  <c r="AX951" i="2"/>
  <c r="F951" i="2"/>
  <c r="D951" i="2"/>
  <c r="C951" i="2"/>
  <c r="DM950" i="2"/>
  <c r="DN950" i="2" s="1"/>
  <c r="DG950" i="2" s="1"/>
  <c r="DH950" i="2"/>
  <c r="DE950" i="2"/>
  <c r="DK950" i="2" s="1"/>
  <c r="DB950" i="2"/>
  <c r="BQ950" i="2"/>
  <c r="BG950" i="2" s="1"/>
  <c r="BP950" i="2"/>
  <c r="BO950" i="2"/>
  <c r="BF950" i="2" s="1"/>
  <c r="BN950" i="2"/>
  <c r="BM950" i="2"/>
  <c r="BL950" i="2"/>
  <c r="BD950" i="2" s="1"/>
  <c r="BK950" i="2"/>
  <c r="BJ950" i="2"/>
  <c r="BI950" i="2"/>
  <c r="BH950" i="2"/>
  <c r="AX950" i="2"/>
  <c r="AV950" i="2"/>
  <c r="F950" i="2"/>
  <c r="D950" i="2"/>
  <c r="C950" i="2"/>
  <c r="DN949" i="2"/>
  <c r="DC949" i="2" s="1"/>
  <c r="DM949" i="2"/>
  <c r="DJ949" i="2"/>
  <c r="DI949" i="2"/>
  <c r="DL949" i="2" s="1"/>
  <c r="DH949" i="2"/>
  <c r="DG949" i="2"/>
  <c r="DF949" i="2"/>
  <c r="DE949" i="2"/>
  <c r="DK949" i="2" s="1"/>
  <c r="DD949" i="2"/>
  <c r="DB949" i="2"/>
  <c r="DA949" i="2"/>
  <c r="CY949" i="2"/>
  <c r="CX949" i="2"/>
  <c r="BQ949" i="2"/>
  <c r="BP949" i="2"/>
  <c r="BO949" i="2"/>
  <c r="BN949" i="2"/>
  <c r="BM949" i="2"/>
  <c r="BG949" i="2" s="1"/>
  <c r="BL949" i="2"/>
  <c r="BK949" i="2"/>
  <c r="BJ949" i="2"/>
  <c r="AV949" i="2" s="1"/>
  <c r="BI949" i="2"/>
  <c r="BH949" i="2"/>
  <c r="BE949" i="2"/>
  <c r="BC949" i="2"/>
  <c r="F949" i="2"/>
  <c r="D949" i="2"/>
  <c r="C949" i="2"/>
  <c r="DN948" i="2"/>
  <c r="DI948" i="2" s="1"/>
  <c r="DL948" i="2" s="1"/>
  <c r="DM948" i="2"/>
  <c r="DE948" i="2"/>
  <c r="DK948" i="2" s="1"/>
  <c r="DD948" i="2"/>
  <c r="DC948" i="2"/>
  <c r="BQ948" i="2"/>
  <c r="BP948" i="2"/>
  <c r="BO948" i="2"/>
  <c r="BN948" i="2"/>
  <c r="BM948" i="2"/>
  <c r="AV948" i="2" s="1"/>
  <c r="BL948" i="2"/>
  <c r="BK948" i="2"/>
  <c r="BJ948" i="2"/>
  <c r="BF948" i="2" s="1"/>
  <c r="BI948" i="2"/>
  <c r="BH948" i="2"/>
  <c r="BD948" i="2"/>
  <c r="AZ948" i="2"/>
  <c r="F948" i="2"/>
  <c r="D948" i="2"/>
  <c r="C948" i="2"/>
  <c r="DM947" i="2"/>
  <c r="DN947" i="2" s="1"/>
  <c r="DD947" i="2" s="1"/>
  <c r="DH947" i="2"/>
  <c r="DG947" i="2"/>
  <c r="DE947" i="2"/>
  <c r="DK947" i="2" s="1"/>
  <c r="DB947" i="2"/>
  <c r="CY947" i="2"/>
  <c r="BQ947" i="2"/>
  <c r="BG947" i="2" s="1"/>
  <c r="BP947" i="2"/>
  <c r="BO947" i="2"/>
  <c r="BN947" i="2"/>
  <c r="BM947" i="2"/>
  <c r="BL947" i="2"/>
  <c r="BK947" i="2"/>
  <c r="BJ947" i="2"/>
  <c r="AV947" i="2" s="1"/>
  <c r="BI947" i="2"/>
  <c r="BC947" i="2" s="1"/>
  <c r="BH947" i="2"/>
  <c r="AY947" i="2" s="1"/>
  <c r="BF947" i="2"/>
  <c r="F947" i="2"/>
  <c r="D947" i="2"/>
  <c r="C947" i="2"/>
  <c r="DN946" i="2"/>
  <c r="DI946" i="2" s="1"/>
  <c r="DL946" i="2" s="1"/>
  <c r="DM946" i="2"/>
  <c r="CX946" i="2"/>
  <c r="BQ946" i="2"/>
  <c r="BP946" i="2"/>
  <c r="BF946" i="2" s="1"/>
  <c r="BO946" i="2"/>
  <c r="BN946" i="2"/>
  <c r="BM946" i="2"/>
  <c r="BL946" i="2"/>
  <c r="BK946" i="2"/>
  <c r="BJ946" i="2"/>
  <c r="BI946" i="2"/>
  <c r="BC946" i="2" s="1"/>
  <c r="BH946" i="2"/>
  <c r="AX946" i="2" s="1"/>
  <c r="AZ946" i="2"/>
  <c r="F946" i="2"/>
  <c r="D946" i="2"/>
  <c r="C946" i="2"/>
  <c r="DM945" i="2"/>
  <c r="DN945" i="2" s="1"/>
  <c r="DE945" i="2" s="1"/>
  <c r="DK945" i="2" s="1"/>
  <c r="DH945" i="2"/>
  <c r="DF945" i="2"/>
  <c r="DB945" i="2"/>
  <c r="DA945" i="2"/>
  <c r="DJ945" i="2" s="1"/>
  <c r="CZ945" i="2"/>
  <c r="BQ945" i="2"/>
  <c r="BG945" i="2" s="1"/>
  <c r="BP945" i="2"/>
  <c r="BO945" i="2"/>
  <c r="BN945" i="2"/>
  <c r="BM945" i="2"/>
  <c r="BL945" i="2"/>
  <c r="BK945" i="2"/>
  <c r="BJ945" i="2"/>
  <c r="BF945" i="2" s="1"/>
  <c r="BI945" i="2"/>
  <c r="BH945" i="2"/>
  <c r="AX945" i="2" s="1"/>
  <c r="BD945" i="2"/>
  <c r="AY945" i="2"/>
  <c r="F945" i="2"/>
  <c r="D945" i="2"/>
  <c r="C945" i="2"/>
  <c r="DM944" i="2"/>
  <c r="DN944" i="2" s="1"/>
  <c r="DI944" i="2" s="1"/>
  <c r="DL944" i="2" s="1"/>
  <c r="DG944" i="2"/>
  <c r="DE944" i="2"/>
  <c r="DK944" i="2" s="1"/>
  <c r="DD944" i="2"/>
  <c r="CZ944" i="2"/>
  <c r="CY944" i="2"/>
  <c r="BQ944" i="2"/>
  <c r="BP944" i="2"/>
  <c r="BO944" i="2"/>
  <c r="BN944" i="2"/>
  <c r="BC944" i="2" s="1"/>
  <c r="BM944" i="2"/>
  <c r="BL944" i="2"/>
  <c r="BK944" i="2"/>
  <c r="BJ944" i="2"/>
  <c r="BI944" i="2"/>
  <c r="BH944" i="2"/>
  <c r="AY944" i="2" s="1"/>
  <c r="BF944" i="2"/>
  <c r="AX944" i="2"/>
  <c r="AV944" i="2"/>
  <c r="F944" i="2"/>
  <c r="D944" i="2"/>
  <c r="C944" i="2"/>
  <c r="DN943" i="2"/>
  <c r="DM943" i="2"/>
  <c r="DI943" i="2"/>
  <c r="DL943" i="2" s="1"/>
  <c r="DF943" i="2"/>
  <c r="DD943" i="2"/>
  <c r="DA943" i="2"/>
  <c r="DJ943" i="2" s="1"/>
  <c r="BQ943" i="2"/>
  <c r="BP943" i="2"/>
  <c r="BO943" i="2"/>
  <c r="BE943" i="2" s="1"/>
  <c r="BN943" i="2"/>
  <c r="BM943" i="2"/>
  <c r="AV943" i="2" s="1"/>
  <c r="BL943" i="2"/>
  <c r="BK943" i="2"/>
  <c r="BC943" i="2" s="1"/>
  <c r="BJ943" i="2"/>
  <c r="BI943" i="2"/>
  <c r="BH943" i="2"/>
  <c r="BG943" i="2"/>
  <c r="AZ943" i="2"/>
  <c r="F943" i="2"/>
  <c r="D943" i="2"/>
  <c r="C943" i="2"/>
  <c r="DN942" i="2"/>
  <c r="DH942" i="2" s="1"/>
  <c r="DM942" i="2"/>
  <c r="DF942" i="2"/>
  <c r="BQ942" i="2"/>
  <c r="BP942" i="2"/>
  <c r="BO942" i="2"/>
  <c r="BN942" i="2"/>
  <c r="BM942" i="2"/>
  <c r="BL942" i="2"/>
  <c r="BD942" i="2" s="1"/>
  <c r="BK942" i="2"/>
  <c r="BC942" i="2" s="1"/>
  <c r="BJ942" i="2"/>
  <c r="BF942" i="2" s="1"/>
  <c r="BI942" i="2"/>
  <c r="BH942" i="2"/>
  <c r="AX942" i="2" s="1"/>
  <c r="BG942" i="2"/>
  <c r="AZ942" i="2"/>
  <c r="AV942" i="2"/>
  <c r="F942" i="2"/>
  <c r="D942" i="2"/>
  <c r="C942" i="2"/>
  <c r="DM941" i="2"/>
  <c r="DN941" i="2" s="1"/>
  <c r="DA941" i="2" s="1"/>
  <c r="DJ941" i="2" s="1"/>
  <c r="BQ941" i="2"/>
  <c r="BP941" i="2"/>
  <c r="BO941" i="2"/>
  <c r="BN941" i="2"/>
  <c r="BM941" i="2"/>
  <c r="AV941" i="2" s="1"/>
  <c r="BL941" i="2"/>
  <c r="BK941" i="2"/>
  <c r="BJ941" i="2"/>
  <c r="BI941" i="2"/>
  <c r="AZ941" i="2" s="1"/>
  <c r="BH941" i="2"/>
  <c r="BD941" i="2" s="1"/>
  <c r="BG941" i="2"/>
  <c r="BF941" i="2"/>
  <c r="BC941" i="2"/>
  <c r="F941" i="2"/>
  <c r="D941" i="2"/>
  <c r="C941" i="2"/>
  <c r="DM940" i="2"/>
  <c r="DN940" i="2" s="1"/>
  <c r="DA940" i="2"/>
  <c r="DJ940" i="2" s="1"/>
  <c r="BQ940" i="2"/>
  <c r="BP940" i="2"/>
  <c r="BO940" i="2"/>
  <c r="BF940" i="2" s="1"/>
  <c r="BN940" i="2"/>
  <c r="BM940" i="2"/>
  <c r="AV940" i="2" s="1"/>
  <c r="BL940" i="2"/>
  <c r="BK940" i="2"/>
  <c r="BJ940" i="2"/>
  <c r="BI940" i="2"/>
  <c r="BC940" i="2" s="1"/>
  <c r="BH940" i="2"/>
  <c r="AY940" i="2" s="1"/>
  <c r="BG940" i="2"/>
  <c r="BD940" i="2"/>
  <c r="F940" i="2"/>
  <c r="D940" i="2"/>
  <c r="C940" i="2"/>
  <c r="DM939" i="2"/>
  <c r="DN939" i="2" s="1"/>
  <c r="DI939" i="2" s="1"/>
  <c r="DL939" i="2" s="1"/>
  <c r="DG939" i="2"/>
  <c r="BQ939" i="2"/>
  <c r="BP939" i="2"/>
  <c r="BE939" i="2" s="1"/>
  <c r="BO939" i="2"/>
  <c r="BN939" i="2"/>
  <c r="BM939" i="2"/>
  <c r="BL939" i="2"/>
  <c r="BK939" i="2"/>
  <c r="BJ939" i="2"/>
  <c r="BD939" i="2" s="1"/>
  <c r="BI939" i="2"/>
  <c r="AZ939" i="2" s="1"/>
  <c r="BH939" i="2"/>
  <c r="BG939" i="2"/>
  <c r="AX939" i="2"/>
  <c r="AV939" i="2"/>
  <c r="F939" i="2"/>
  <c r="D939" i="2"/>
  <c r="C939" i="2"/>
  <c r="DN938" i="2"/>
  <c r="DH938" i="2" s="1"/>
  <c r="DM938" i="2"/>
  <c r="DG938" i="2"/>
  <c r="DF938" i="2"/>
  <c r="DE938" i="2"/>
  <c r="DK938" i="2" s="1"/>
  <c r="DB938" i="2"/>
  <c r="BQ938" i="2"/>
  <c r="BP938" i="2"/>
  <c r="BO938" i="2"/>
  <c r="BN938" i="2"/>
  <c r="BM938" i="2"/>
  <c r="BL938" i="2"/>
  <c r="BK938" i="2"/>
  <c r="BF938" i="2" s="1"/>
  <c r="BJ938" i="2"/>
  <c r="AV938" i="2" s="1"/>
  <c r="BI938" i="2"/>
  <c r="BE938" i="2" s="1"/>
  <c r="BH938" i="2"/>
  <c r="F938" i="2"/>
  <c r="D938" i="2"/>
  <c r="C938" i="2"/>
  <c r="DN937" i="2"/>
  <c r="DM937" i="2"/>
  <c r="DB937" i="2"/>
  <c r="CZ937" i="2"/>
  <c r="BQ937" i="2"/>
  <c r="BE937" i="2" s="1"/>
  <c r="BP937" i="2"/>
  <c r="BO937" i="2"/>
  <c r="BN937" i="2"/>
  <c r="BM937" i="2"/>
  <c r="AV937" i="2" s="1"/>
  <c r="BL937" i="2"/>
  <c r="BK937" i="2"/>
  <c r="BJ937" i="2"/>
  <c r="BC937" i="2" s="1"/>
  <c r="BI937" i="2"/>
  <c r="AZ937" i="2" s="1"/>
  <c r="BH937" i="2"/>
  <c r="BF937" i="2"/>
  <c r="BD937" i="2"/>
  <c r="AY937" i="2"/>
  <c r="AX937" i="2"/>
  <c r="F937" i="2"/>
  <c r="D937" i="2"/>
  <c r="C937" i="2"/>
  <c r="DN936" i="2"/>
  <c r="DI936" i="2" s="1"/>
  <c r="DL936" i="2" s="1"/>
  <c r="DM936" i="2"/>
  <c r="BQ936" i="2"/>
  <c r="BP936" i="2"/>
  <c r="BO936" i="2"/>
  <c r="BF936" i="2" s="1"/>
  <c r="BN936" i="2"/>
  <c r="BM936" i="2"/>
  <c r="BL936" i="2"/>
  <c r="BK936" i="2"/>
  <c r="BJ936" i="2"/>
  <c r="BI936" i="2"/>
  <c r="BC936" i="2" s="1"/>
  <c r="BH936" i="2"/>
  <c r="BD936" i="2" s="1"/>
  <c r="AY936" i="2"/>
  <c r="AX936" i="2"/>
  <c r="AV936" i="2"/>
  <c r="F936" i="2"/>
  <c r="D936" i="2"/>
  <c r="C936" i="2"/>
  <c r="DN935" i="2"/>
  <c r="DE935" i="2" s="1"/>
  <c r="DK935" i="2" s="1"/>
  <c r="DM935" i="2"/>
  <c r="DI935" i="2"/>
  <c r="DL935" i="2" s="1"/>
  <c r="DH935" i="2"/>
  <c r="DG935" i="2"/>
  <c r="DC935" i="2"/>
  <c r="DB935" i="2"/>
  <c r="BQ935" i="2"/>
  <c r="BE935" i="2" s="1"/>
  <c r="BP935" i="2"/>
  <c r="BO935" i="2"/>
  <c r="BN935" i="2"/>
  <c r="BM935" i="2"/>
  <c r="BL935" i="2"/>
  <c r="BK935" i="2"/>
  <c r="BJ935" i="2"/>
  <c r="BI935" i="2"/>
  <c r="BH935" i="2"/>
  <c r="BG935" i="2"/>
  <c r="AZ935" i="2"/>
  <c r="AX935" i="2"/>
  <c r="F935" i="2"/>
  <c r="D935" i="2"/>
  <c r="C935" i="2"/>
  <c r="DM934" i="2"/>
  <c r="DN934" i="2" s="1"/>
  <c r="DE934" i="2" s="1"/>
  <c r="DK934" i="2" s="1"/>
  <c r="DB934" i="2"/>
  <c r="BQ934" i="2"/>
  <c r="BP934" i="2"/>
  <c r="BO934" i="2"/>
  <c r="BN934" i="2"/>
  <c r="BM934" i="2"/>
  <c r="AV934" i="2" s="1"/>
  <c r="BL934" i="2"/>
  <c r="BK934" i="2"/>
  <c r="BJ934" i="2"/>
  <c r="BI934" i="2"/>
  <c r="BH934" i="2"/>
  <c r="BG934" i="2" s="1"/>
  <c r="BF934" i="2"/>
  <c r="BC934" i="2"/>
  <c r="AZ934" i="2"/>
  <c r="F934" i="2"/>
  <c r="D934" i="2"/>
  <c r="C934" i="2"/>
  <c r="DN933" i="2"/>
  <c r="DM933" i="2"/>
  <c r="DC933" i="2"/>
  <c r="DB933" i="2"/>
  <c r="DA933" i="2"/>
  <c r="DJ933" i="2" s="1"/>
  <c r="CX933" i="2"/>
  <c r="BQ933" i="2"/>
  <c r="BP933" i="2"/>
  <c r="BO933" i="2"/>
  <c r="BN933" i="2"/>
  <c r="BM933" i="2"/>
  <c r="AV933" i="2" s="1"/>
  <c r="BL933" i="2"/>
  <c r="BK933" i="2"/>
  <c r="BJ933" i="2"/>
  <c r="BI933" i="2"/>
  <c r="BC933" i="2" s="1"/>
  <c r="BH933" i="2"/>
  <c r="BG933" i="2"/>
  <c r="BF933" i="2"/>
  <c r="BE933" i="2"/>
  <c r="AZ933" i="2"/>
  <c r="AY933" i="2"/>
  <c r="AW933" i="2" s="1"/>
  <c r="AX933" i="2"/>
  <c r="F933" i="2"/>
  <c r="D933" i="2"/>
  <c r="C933" i="2"/>
  <c r="DM932" i="2"/>
  <c r="DN932" i="2" s="1"/>
  <c r="DB932" i="2" s="1"/>
  <c r="DA932" i="2"/>
  <c r="DJ932" i="2" s="1"/>
  <c r="BQ932" i="2"/>
  <c r="BP932" i="2"/>
  <c r="BO932" i="2"/>
  <c r="BN932" i="2"/>
  <c r="BM932" i="2"/>
  <c r="AV932" i="2" s="1"/>
  <c r="BL932" i="2"/>
  <c r="BK932" i="2"/>
  <c r="BC932" i="2" s="1"/>
  <c r="BJ932" i="2"/>
  <c r="BI932" i="2"/>
  <c r="AZ932" i="2" s="1"/>
  <c r="BH932" i="2"/>
  <c r="BF932" i="2"/>
  <c r="BE932" i="2"/>
  <c r="BD932" i="2"/>
  <c r="AY932" i="2"/>
  <c r="AX932" i="2"/>
  <c r="F932" i="2"/>
  <c r="D932" i="2"/>
  <c r="C932" i="2"/>
  <c r="DN931" i="2"/>
  <c r="DD931" i="2" s="1"/>
  <c r="DM931" i="2"/>
  <c r="DL931" i="2"/>
  <c r="DI931" i="2"/>
  <c r="DH931" i="2"/>
  <c r="DG931" i="2"/>
  <c r="DF931" i="2"/>
  <c r="DE931" i="2"/>
  <c r="DK931" i="2" s="1"/>
  <c r="DA931" i="2"/>
  <c r="DJ931" i="2" s="1"/>
  <c r="CZ931" i="2"/>
  <c r="CY931" i="2"/>
  <c r="CX931" i="2"/>
  <c r="BQ931" i="2"/>
  <c r="BP931" i="2"/>
  <c r="BE931" i="2" s="1"/>
  <c r="BO931" i="2"/>
  <c r="BN931" i="2"/>
  <c r="BM931" i="2"/>
  <c r="AV931" i="2" s="1"/>
  <c r="BL931" i="2"/>
  <c r="BK931" i="2"/>
  <c r="BD931" i="2" s="1"/>
  <c r="BJ931" i="2"/>
  <c r="BI931" i="2"/>
  <c r="AZ931" i="2" s="1"/>
  <c r="BH931" i="2"/>
  <c r="AX931" i="2"/>
  <c r="F931" i="2"/>
  <c r="D931" i="2"/>
  <c r="C931" i="2"/>
  <c r="DN930" i="2"/>
  <c r="DM930" i="2"/>
  <c r="BQ930" i="2"/>
  <c r="BP930" i="2"/>
  <c r="BO930" i="2"/>
  <c r="BN930" i="2"/>
  <c r="BM930" i="2"/>
  <c r="BG930" i="2" s="1"/>
  <c r="BL930" i="2"/>
  <c r="BK930" i="2"/>
  <c r="BJ930" i="2"/>
  <c r="BD930" i="2" s="1"/>
  <c r="BI930" i="2"/>
  <c r="BE930" i="2" s="1"/>
  <c r="BH930" i="2"/>
  <c r="AY930" i="2" s="1"/>
  <c r="BC930" i="2"/>
  <c r="AZ930" i="2"/>
  <c r="F930" i="2"/>
  <c r="D930" i="2"/>
  <c r="C930" i="2"/>
  <c r="DM929" i="2"/>
  <c r="DN929" i="2" s="1"/>
  <c r="BQ929" i="2"/>
  <c r="BP929" i="2"/>
  <c r="BO929" i="2"/>
  <c r="BN929" i="2"/>
  <c r="BM929" i="2"/>
  <c r="BG929" i="2" s="1"/>
  <c r="BL929" i="2"/>
  <c r="BK929" i="2"/>
  <c r="BJ929" i="2"/>
  <c r="BF929" i="2" s="1"/>
  <c r="BI929" i="2"/>
  <c r="BE929" i="2" s="1"/>
  <c r="BH929" i="2"/>
  <c r="BC929" i="2"/>
  <c r="AZ929" i="2"/>
  <c r="AY929" i="2"/>
  <c r="AV929" i="2"/>
  <c r="F929" i="2"/>
  <c r="D929" i="2"/>
  <c r="C929" i="2"/>
  <c r="DM928" i="2"/>
  <c r="DN928" i="2" s="1"/>
  <c r="BQ928" i="2"/>
  <c r="BP928" i="2"/>
  <c r="BO928" i="2"/>
  <c r="BN928" i="2"/>
  <c r="BM928" i="2"/>
  <c r="BL928" i="2"/>
  <c r="AY928" i="2" s="1"/>
  <c r="BK928" i="2"/>
  <c r="BJ928" i="2"/>
  <c r="BF928" i="2" s="1"/>
  <c r="BI928" i="2"/>
  <c r="BH928" i="2"/>
  <c r="AX928" i="2" s="1"/>
  <c r="AZ928" i="2"/>
  <c r="F928" i="2"/>
  <c r="D928" i="2"/>
  <c r="C928" i="2"/>
  <c r="DM927" i="2"/>
  <c r="DN927" i="2" s="1"/>
  <c r="DH927" i="2"/>
  <c r="DC927" i="2"/>
  <c r="BQ927" i="2"/>
  <c r="BG927" i="2" s="1"/>
  <c r="BP927" i="2"/>
  <c r="BO927" i="2"/>
  <c r="BN927" i="2"/>
  <c r="BM927" i="2"/>
  <c r="AV927" i="2" s="1"/>
  <c r="BL927" i="2"/>
  <c r="BK927" i="2"/>
  <c r="BJ927" i="2"/>
  <c r="BI927" i="2"/>
  <c r="BH927" i="2"/>
  <c r="AY927" i="2"/>
  <c r="AX927" i="2"/>
  <c r="F927" i="2"/>
  <c r="D927" i="2"/>
  <c r="C927" i="2"/>
  <c r="DN926" i="2"/>
  <c r="DM926" i="2"/>
  <c r="DL926" i="2"/>
  <c r="DK926" i="2"/>
  <c r="DJ926" i="2"/>
  <c r="DI926" i="2"/>
  <c r="DH926" i="2"/>
  <c r="DG926" i="2"/>
  <c r="DF926" i="2"/>
  <c r="DE926" i="2"/>
  <c r="DD926" i="2"/>
  <c r="DC926" i="2"/>
  <c r="DB926" i="2"/>
  <c r="DA926" i="2"/>
  <c r="CZ926" i="2"/>
  <c r="CY926" i="2"/>
  <c r="CX926" i="2"/>
  <c r="BQ926" i="2"/>
  <c r="BP926" i="2"/>
  <c r="BE926" i="2" s="1"/>
  <c r="BO926" i="2"/>
  <c r="BN926" i="2"/>
  <c r="BM926" i="2"/>
  <c r="BG926" i="2" s="1"/>
  <c r="BL926" i="2"/>
  <c r="BK926" i="2"/>
  <c r="BJ926" i="2"/>
  <c r="BI926" i="2"/>
  <c r="BH926" i="2"/>
  <c r="BF926" i="2"/>
  <c r="AX926" i="2"/>
  <c r="AV926" i="2"/>
  <c r="F926" i="2"/>
  <c r="D926" i="2"/>
  <c r="C926" i="2"/>
  <c r="DN925" i="2"/>
  <c r="DM925" i="2"/>
  <c r="DK925" i="2"/>
  <c r="DI925" i="2"/>
  <c r="DL925" i="2" s="1"/>
  <c r="DH925" i="2"/>
  <c r="DG925" i="2"/>
  <c r="DF925" i="2"/>
  <c r="DE925" i="2"/>
  <c r="DD925" i="2"/>
  <c r="DC925" i="2"/>
  <c r="DB925" i="2"/>
  <c r="DA925" i="2"/>
  <c r="DJ925" i="2" s="1"/>
  <c r="CZ925" i="2"/>
  <c r="CY925" i="2"/>
  <c r="CX925" i="2"/>
  <c r="BQ925" i="2"/>
  <c r="BP925" i="2"/>
  <c r="BO925" i="2"/>
  <c r="BN925" i="2"/>
  <c r="BM925" i="2"/>
  <c r="BL925" i="2"/>
  <c r="BK925" i="2"/>
  <c r="BJ925" i="2"/>
  <c r="BI925" i="2"/>
  <c r="BE925" i="2" s="1"/>
  <c r="BH925" i="2"/>
  <c r="AV925" i="2"/>
  <c r="F925" i="2"/>
  <c r="D925" i="2"/>
  <c r="C925" i="2"/>
  <c r="DN924" i="2"/>
  <c r="DC924" i="2" s="1"/>
  <c r="DM924" i="2"/>
  <c r="DI924" i="2"/>
  <c r="DL924" i="2" s="1"/>
  <c r="DH924" i="2"/>
  <c r="DG924" i="2"/>
  <c r="DE924" i="2"/>
  <c r="DK924" i="2" s="1"/>
  <c r="DD924" i="2"/>
  <c r="DB924" i="2"/>
  <c r="CZ924" i="2"/>
  <c r="CX924" i="2"/>
  <c r="BQ924" i="2"/>
  <c r="BP924" i="2"/>
  <c r="BO924" i="2"/>
  <c r="BN924" i="2"/>
  <c r="BM924" i="2"/>
  <c r="BL924" i="2"/>
  <c r="BK924" i="2"/>
  <c r="BF924" i="2" s="1"/>
  <c r="BJ924" i="2"/>
  <c r="BI924" i="2"/>
  <c r="BH924" i="2"/>
  <c r="F924" i="2"/>
  <c r="D924" i="2"/>
  <c r="C924" i="2"/>
  <c r="DM923" i="2"/>
  <c r="DN923" i="2" s="1"/>
  <c r="DI923" i="2" s="1"/>
  <c r="DL923" i="2" s="1"/>
  <c r="DH923" i="2"/>
  <c r="DF923" i="2"/>
  <c r="CY923" i="2"/>
  <c r="BQ923" i="2"/>
  <c r="BP923" i="2"/>
  <c r="BO923" i="2"/>
  <c r="BN923" i="2"/>
  <c r="BM923" i="2"/>
  <c r="AV923" i="2" s="1"/>
  <c r="BL923" i="2"/>
  <c r="BK923" i="2"/>
  <c r="BC923" i="2" s="1"/>
  <c r="BJ923" i="2"/>
  <c r="BI923" i="2"/>
  <c r="BH923" i="2"/>
  <c r="BG923" i="2"/>
  <c r="AZ923" i="2"/>
  <c r="F923" i="2"/>
  <c r="D923" i="2"/>
  <c r="C923" i="2"/>
  <c r="DN922" i="2"/>
  <c r="DH922" i="2" s="1"/>
  <c r="DM922" i="2"/>
  <c r="DG922" i="2"/>
  <c r="DF922" i="2"/>
  <c r="DE922" i="2"/>
  <c r="DK922" i="2" s="1"/>
  <c r="DB922" i="2"/>
  <c r="BQ922" i="2"/>
  <c r="BP922" i="2"/>
  <c r="BO922" i="2"/>
  <c r="BN922" i="2"/>
  <c r="BM922" i="2"/>
  <c r="AV922" i="2" s="1"/>
  <c r="BL922" i="2"/>
  <c r="BK922" i="2"/>
  <c r="BJ922" i="2"/>
  <c r="BI922" i="2"/>
  <c r="BH922" i="2"/>
  <c r="BG922" i="2"/>
  <c r="BF922" i="2"/>
  <c r="AX922" i="2"/>
  <c r="F922" i="2"/>
  <c r="D922" i="2"/>
  <c r="C922" i="2"/>
  <c r="DM921" i="2"/>
  <c r="DN921" i="2" s="1"/>
  <c r="DG921" i="2" s="1"/>
  <c r="DD921" i="2"/>
  <c r="DA921" i="2"/>
  <c r="DJ921" i="2" s="1"/>
  <c r="CY921" i="2"/>
  <c r="BQ921" i="2"/>
  <c r="BP921" i="2"/>
  <c r="BO921" i="2"/>
  <c r="BN921" i="2"/>
  <c r="BM921" i="2"/>
  <c r="BL921" i="2"/>
  <c r="BK921" i="2"/>
  <c r="BJ921" i="2"/>
  <c r="BF921" i="2" s="1"/>
  <c r="BI921" i="2"/>
  <c r="AZ921" i="2" s="1"/>
  <c r="BH921" i="2"/>
  <c r="AY921" i="2" s="1"/>
  <c r="BC921" i="2"/>
  <c r="F921" i="2"/>
  <c r="D921" i="2"/>
  <c r="C921" i="2"/>
  <c r="DN920" i="2"/>
  <c r="DF920" i="2" s="1"/>
  <c r="DM920" i="2"/>
  <c r="DE920" i="2"/>
  <c r="DK920" i="2" s="1"/>
  <c r="BQ920" i="2"/>
  <c r="BP920" i="2"/>
  <c r="BO920" i="2"/>
  <c r="BN920" i="2"/>
  <c r="BM920" i="2"/>
  <c r="BL920" i="2"/>
  <c r="BK920" i="2"/>
  <c r="BJ920" i="2"/>
  <c r="BF920" i="2" s="1"/>
  <c r="BI920" i="2"/>
  <c r="BC920" i="2" s="1"/>
  <c r="BH920" i="2"/>
  <c r="BG920" i="2"/>
  <c r="BD920" i="2"/>
  <c r="AZ920" i="2"/>
  <c r="AX920" i="2"/>
  <c r="F920" i="2"/>
  <c r="D920" i="2"/>
  <c r="C920" i="2"/>
  <c r="DM919" i="2"/>
  <c r="DN919" i="2" s="1"/>
  <c r="DI919" i="2" s="1"/>
  <c r="DL919" i="2" s="1"/>
  <c r="DK919" i="2"/>
  <c r="DE919" i="2"/>
  <c r="DD919" i="2"/>
  <c r="DC919" i="2"/>
  <c r="CZ919" i="2"/>
  <c r="CY919" i="2"/>
  <c r="BQ919" i="2"/>
  <c r="BP919" i="2"/>
  <c r="BO919" i="2"/>
  <c r="BN919" i="2"/>
  <c r="BM919" i="2"/>
  <c r="AV919" i="2" s="1"/>
  <c r="BL919" i="2"/>
  <c r="BK919" i="2"/>
  <c r="BJ919" i="2"/>
  <c r="BI919" i="2"/>
  <c r="AY919" i="2" s="1"/>
  <c r="BH919" i="2"/>
  <c r="AX919" i="2" s="1"/>
  <c r="BG919" i="2"/>
  <c r="BF919" i="2"/>
  <c r="BD919" i="2"/>
  <c r="F919" i="2"/>
  <c r="D919" i="2"/>
  <c r="C919" i="2"/>
  <c r="DN918" i="2"/>
  <c r="DM918" i="2"/>
  <c r="BQ918" i="2"/>
  <c r="BP918" i="2"/>
  <c r="BO918" i="2"/>
  <c r="BN918" i="2"/>
  <c r="BM918" i="2"/>
  <c r="AV918" i="2" s="1"/>
  <c r="BL918" i="2"/>
  <c r="BK918" i="2"/>
  <c r="BJ918" i="2"/>
  <c r="BI918" i="2"/>
  <c r="BH918" i="2"/>
  <c r="BF918" i="2"/>
  <c r="BE918" i="2"/>
  <c r="BC918" i="2"/>
  <c r="AZ918" i="2"/>
  <c r="AX918" i="2"/>
  <c r="F918" i="2"/>
  <c r="D918" i="2"/>
  <c r="C918" i="2"/>
  <c r="DN917" i="2"/>
  <c r="DH917" i="2" s="1"/>
  <c r="DM917" i="2"/>
  <c r="DI917" i="2"/>
  <c r="DL917" i="2" s="1"/>
  <c r="DA917" i="2"/>
  <c r="DJ917" i="2" s="1"/>
  <c r="CX917" i="2"/>
  <c r="BQ917" i="2"/>
  <c r="BE917" i="2" s="1"/>
  <c r="BP917" i="2"/>
  <c r="BO917" i="2"/>
  <c r="BN917" i="2"/>
  <c r="BM917" i="2"/>
  <c r="AV917" i="2" s="1"/>
  <c r="BL917" i="2"/>
  <c r="BK917" i="2"/>
  <c r="BJ917" i="2"/>
  <c r="BI917" i="2"/>
  <c r="BC917" i="2" s="1"/>
  <c r="BH917" i="2"/>
  <c r="BF917" i="2"/>
  <c r="BD917" i="2"/>
  <c r="AZ917" i="2"/>
  <c r="AY917" i="2"/>
  <c r="AX917" i="2"/>
  <c r="F917" i="2"/>
  <c r="D917" i="2"/>
  <c r="C917" i="2"/>
  <c r="DM916" i="2"/>
  <c r="DN916" i="2" s="1"/>
  <c r="DL916" i="2"/>
  <c r="DJ916" i="2"/>
  <c r="DI916" i="2"/>
  <c r="DH916" i="2"/>
  <c r="DG916" i="2"/>
  <c r="DF916" i="2"/>
  <c r="DB916" i="2"/>
  <c r="DA916" i="2"/>
  <c r="CZ916" i="2"/>
  <c r="CY916" i="2"/>
  <c r="BQ916" i="2"/>
  <c r="BP916" i="2"/>
  <c r="BO916" i="2"/>
  <c r="BN916" i="2"/>
  <c r="BM916" i="2"/>
  <c r="BL916" i="2"/>
  <c r="BK916" i="2"/>
  <c r="BC916" i="2" s="1"/>
  <c r="BJ916" i="2"/>
  <c r="BI916" i="2"/>
  <c r="AZ916" i="2" s="1"/>
  <c r="BH916" i="2"/>
  <c r="BF916" i="2"/>
  <c r="BE916" i="2"/>
  <c r="AX916" i="2"/>
  <c r="F916" i="2"/>
  <c r="D916" i="2"/>
  <c r="C916" i="2"/>
  <c r="DN915" i="2"/>
  <c r="DH915" i="2" s="1"/>
  <c r="DM915" i="2"/>
  <c r="DI915" i="2"/>
  <c r="DL915" i="2" s="1"/>
  <c r="DG915" i="2"/>
  <c r="DF915" i="2"/>
  <c r="DE915" i="2"/>
  <c r="DK915" i="2" s="1"/>
  <c r="CZ915" i="2"/>
  <c r="CY915" i="2"/>
  <c r="CX915" i="2"/>
  <c r="BQ915" i="2"/>
  <c r="BP915" i="2"/>
  <c r="BE915" i="2" s="1"/>
  <c r="BO915" i="2"/>
  <c r="BN915" i="2"/>
  <c r="BM915" i="2"/>
  <c r="BL915" i="2"/>
  <c r="BK915" i="2"/>
  <c r="BC915" i="2" s="1"/>
  <c r="BJ915" i="2"/>
  <c r="BI915" i="2"/>
  <c r="BH915" i="2"/>
  <c r="AY915" i="2" s="1"/>
  <c r="AZ915" i="2"/>
  <c r="AX915" i="2"/>
  <c r="F915" i="2"/>
  <c r="D915" i="2"/>
  <c r="C915" i="2"/>
  <c r="DN914" i="2"/>
  <c r="DI914" i="2" s="1"/>
  <c r="DL914" i="2" s="1"/>
  <c r="DM914" i="2"/>
  <c r="DE914" i="2"/>
  <c r="DK914" i="2" s="1"/>
  <c r="CZ914" i="2"/>
  <c r="BQ914" i="2"/>
  <c r="BP914" i="2"/>
  <c r="BO914" i="2"/>
  <c r="BN914" i="2"/>
  <c r="BM914" i="2"/>
  <c r="BL914" i="2"/>
  <c r="BK914" i="2"/>
  <c r="BJ914" i="2"/>
  <c r="BI914" i="2"/>
  <c r="AZ914" i="2" s="1"/>
  <c r="BH914" i="2"/>
  <c r="AX914" i="2" s="1"/>
  <c r="BC914" i="2"/>
  <c r="AY914" i="2"/>
  <c r="AW914" i="2" s="1"/>
  <c r="AV914" i="2"/>
  <c r="F914" i="2"/>
  <c r="D914" i="2"/>
  <c r="C914" i="2"/>
  <c r="DN913" i="2"/>
  <c r="DC913" i="2" s="1"/>
  <c r="DM913" i="2"/>
  <c r="BQ913" i="2"/>
  <c r="BP913" i="2"/>
  <c r="BO913" i="2"/>
  <c r="BN913" i="2"/>
  <c r="BM913" i="2"/>
  <c r="BG913" i="2" s="1"/>
  <c r="BL913" i="2"/>
  <c r="BK913" i="2"/>
  <c r="BJ913" i="2"/>
  <c r="BI913" i="2"/>
  <c r="BC913" i="2" s="1"/>
  <c r="BH913" i="2"/>
  <c r="BD913" i="2" s="1"/>
  <c r="AY913" i="2"/>
  <c r="AV913" i="2"/>
  <c r="F913" i="2"/>
  <c r="D913" i="2"/>
  <c r="C913" i="2"/>
  <c r="DM912" i="2"/>
  <c r="DN912" i="2" s="1"/>
  <c r="BQ912" i="2"/>
  <c r="BG912" i="2" s="1"/>
  <c r="BP912" i="2"/>
  <c r="BO912" i="2"/>
  <c r="BN912" i="2"/>
  <c r="BM912" i="2"/>
  <c r="BL912" i="2"/>
  <c r="BK912" i="2"/>
  <c r="BJ912" i="2"/>
  <c r="BI912" i="2"/>
  <c r="BH912" i="2"/>
  <c r="AZ912" i="2"/>
  <c r="AX912" i="2"/>
  <c r="F912" i="2"/>
  <c r="D912" i="2"/>
  <c r="C912" i="2"/>
  <c r="DM911" i="2"/>
  <c r="DN911" i="2" s="1"/>
  <c r="DG911" i="2" s="1"/>
  <c r="BQ911" i="2"/>
  <c r="BP911" i="2"/>
  <c r="BE911" i="2" s="1"/>
  <c r="BO911" i="2"/>
  <c r="BN911" i="2"/>
  <c r="BM911" i="2"/>
  <c r="BL911" i="2"/>
  <c r="BK911" i="2"/>
  <c r="BJ911" i="2"/>
  <c r="AV911" i="2" s="1"/>
  <c r="BI911" i="2"/>
  <c r="BH911" i="2"/>
  <c r="BF911" i="2"/>
  <c r="F911" i="2"/>
  <c r="D911" i="2"/>
  <c r="C911" i="2"/>
  <c r="DN910" i="2"/>
  <c r="DM910" i="2"/>
  <c r="DI910" i="2"/>
  <c r="DL910" i="2" s="1"/>
  <c r="DH910" i="2"/>
  <c r="DG910" i="2"/>
  <c r="DF910" i="2"/>
  <c r="DE910" i="2"/>
  <c r="DK910" i="2" s="1"/>
  <c r="DD910" i="2"/>
  <c r="DC910" i="2"/>
  <c r="DB910" i="2"/>
  <c r="DA910" i="2"/>
  <c r="DJ910" i="2" s="1"/>
  <c r="CZ910" i="2"/>
  <c r="CY910" i="2"/>
  <c r="CX910" i="2"/>
  <c r="BQ910" i="2"/>
  <c r="BP910" i="2"/>
  <c r="BO910" i="2"/>
  <c r="BN910" i="2"/>
  <c r="BM910" i="2"/>
  <c r="BL910" i="2"/>
  <c r="BK910" i="2"/>
  <c r="BJ910" i="2"/>
  <c r="BF910" i="2" s="1"/>
  <c r="BI910" i="2"/>
  <c r="AZ910" i="2" s="1"/>
  <c r="BH910" i="2"/>
  <c r="BD910" i="2" s="1"/>
  <c r="BC910" i="2"/>
  <c r="F910" i="2"/>
  <c r="D910" i="2"/>
  <c r="C910" i="2"/>
  <c r="DM909" i="2"/>
  <c r="DN909" i="2" s="1"/>
  <c r="DH909" i="2"/>
  <c r="DF909" i="2"/>
  <c r="DB909" i="2"/>
  <c r="BQ909" i="2"/>
  <c r="BP909" i="2"/>
  <c r="BO909" i="2"/>
  <c r="BN909" i="2"/>
  <c r="BM909" i="2"/>
  <c r="BG909" i="2" s="1"/>
  <c r="BL909" i="2"/>
  <c r="BK909" i="2"/>
  <c r="BJ909" i="2"/>
  <c r="BF909" i="2" s="1"/>
  <c r="BI909" i="2"/>
  <c r="BH909" i="2"/>
  <c r="AX909" i="2" s="1"/>
  <c r="BE909" i="2"/>
  <c r="AZ909" i="2"/>
  <c r="F909" i="2"/>
  <c r="D909" i="2"/>
  <c r="C909" i="2"/>
  <c r="DN908" i="2"/>
  <c r="DC908" i="2" s="1"/>
  <c r="DM908" i="2"/>
  <c r="BQ908" i="2"/>
  <c r="BE908" i="2" s="1"/>
  <c r="BP908" i="2"/>
  <c r="BO908" i="2"/>
  <c r="BN908" i="2"/>
  <c r="BM908" i="2"/>
  <c r="AV908" i="2" s="1"/>
  <c r="BL908" i="2"/>
  <c r="BK908" i="2"/>
  <c r="BC908" i="2" s="1"/>
  <c r="BJ908" i="2"/>
  <c r="BF908" i="2" s="1"/>
  <c r="BI908" i="2"/>
  <c r="AZ908" i="2" s="1"/>
  <c r="BH908" i="2"/>
  <c r="BG908" i="2"/>
  <c r="AY908" i="2"/>
  <c r="AX908" i="2"/>
  <c r="F908" i="2"/>
  <c r="D908" i="2"/>
  <c r="C908" i="2"/>
  <c r="DM907" i="2"/>
  <c r="DN907" i="2" s="1"/>
  <c r="DH907" i="2" s="1"/>
  <c r="CX907" i="2"/>
  <c r="BQ907" i="2"/>
  <c r="BP907" i="2"/>
  <c r="BF907" i="2" s="1"/>
  <c r="BO907" i="2"/>
  <c r="BN907" i="2"/>
  <c r="BM907" i="2"/>
  <c r="BL907" i="2"/>
  <c r="BK907" i="2"/>
  <c r="BJ907" i="2"/>
  <c r="BI907" i="2"/>
  <c r="BE907" i="2" s="1"/>
  <c r="BH907" i="2"/>
  <c r="BD907" i="2" s="1"/>
  <c r="BG907" i="2"/>
  <c r="AZ907" i="2"/>
  <c r="AX907" i="2"/>
  <c r="F907" i="2"/>
  <c r="D907" i="2"/>
  <c r="C907" i="2"/>
  <c r="DN906" i="2"/>
  <c r="DB906" i="2" s="1"/>
  <c r="DM906" i="2"/>
  <c r="DH906" i="2"/>
  <c r="DD906" i="2"/>
  <c r="DC906" i="2"/>
  <c r="CY906" i="2"/>
  <c r="CX906" i="2"/>
  <c r="BQ906" i="2"/>
  <c r="BP906" i="2"/>
  <c r="BO906" i="2"/>
  <c r="BN906" i="2"/>
  <c r="BM906" i="2"/>
  <c r="BL906" i="2"/>
  <c r="BK906" i="2"/>
  <c r="BJ906" i="2"/>
  <c r="BI906" i="2"/>
  <c r="BH906" i="2"/>
  <c r="BF906" i="2"/>
  <c r="AV906" i="2"/>
  <c r="F906" i="2"/>
  <c r="D906" i="2"/>
  <c r="C906" i="2"/>
  <c r="DN905" i="2"/>
  <c r="DA905" i="2" s="1"/>
  <c r="DJ905" i="2" s="1"/>
  <c r="DM905" i="2"/>
  <c r="DI905" i="2"/>
  <c r="DL905" i="2" s="1"/>
  <c r="DG905" i="2"/>
  <c r="DC905" i="2"/>
  <c r="DB905" i="2"/>
  <c r="CX905" i="2"/>
  <c r="BQ905" i="2"/>
  <c r="BE905" i="2" s="1"/>
  <c r="BP905" i="2"/>
  <c r="BO905" i="2"/>
  <c r="BN905" i="2"/>
  <c r="BM905" i="2"/>
  <c r="BG905" i="2" s="1"/>
  <c r="BL905" i="2"/>
  <c r="BK905" i="2"/>
  <c r="BF905" i="2" s="1"/>
  <c r="BJ905" i="2"/>
  <c r="BI905" i="2"/>
  <c r="BH905" i="2"/>
  <c r="AZ905" i="2"/>
  <c r="AX905" i="2"/>
  <c r="F905" i="2"/>
  <c r="D905" i="2"/>
  <c r="C905" i="2"/>
  <c r="DM904" i="2"/>
  <c r="DN904" i="2" s="1"/>
  <c r="BQ904" i="2"/>
  <c r="BP904" i="2"/>
  <c r="BO904" i="2"/>
  <c r="BN904" i="2"/>
  <c r="BM904" i="2"/>
  <c r="BL904" i="2"/>
  <c r="BK904" i="2"/>
  <c r="BJ904" i="2"/>
  <c r="BI904" i="2"/>
  <c r="BH904" i="2"/>
  <c r="BF904" i="2"/>
  <c r="BE904" i="2"/>
  <c r="AZ904" i="2"/>
  <c r="AX904" i="2"/>
  <c r="F904" i="2"/>
  <c r="D904" i="2"/>
  <c r="C904" i="2"/>
  <c r="DM903" i="2"/>
  <c r="DN903" i="2" s="1"/>
  <c r="DE903" i="2" s="1"/>
  <c r="DK903" i="2" s="1"/>
  <c r="DG903" i="2"/>
  <c r="DA903" i="2"/>
  <c r="DJ903" i="2" s="1"/>
  <c r="CZ903" i="2"/>
  <c r="BQ903" i="2"/>
  <c r="BP903" i="2"/>
  <c r="BE903" i="2" s="1"/>
  <c r="BO903" i="2"/>
  <c r="BN903" i="2"/>
  <c r="BM903" i="2"/>
  <c r="AV903" i="2" s="1"/>
  <c r="BL903" i="2"/>
  <c r="BK903" i="2"/>
  <c r="BD903" i="2" s="1"/>
  <c r="BJ903" i="2"/>
  <c r="BI903" i="2"/>
  <c r="BH903" i="2"/>
  <c r="AX903" i="2"/>
  <c r="F903" i="2"/>
  <c r="D903" i="2"/>
  <c r="C903" i="2"/>
  <c r="DN902" i="2"/>
  <c r="DI902" i="2" s="1"/>
  <c r="DL902" i="2" s="1"/>
  <c r="DM902" i="2"/>
  <c r="DH902" i="2"/>
  <c r="DF902" i="2"/>
  <c r="DD902" i="2"/>
  <c r="CZ902" i="2"/>
  <c r="CY902" i="2"/>
  <c r="CX902" i="2"/>
  <c r="BQ902" i="2"/>
  <c r="BP902" i="2"/>
  <c r="BO902" i="2"/>
  <c r="BN902" i="2"/>
  <c r="AZ902" i="2" s="1"/>
  <c r="BM902" i="2"/>
  <c r="BL902" i="2"/>
  <c r="BK902" i="2"/>
  <c r="BJ902" i="2"/>
  <c r="BI902" i="2"/>
  <c r="BE902" i="2" s="1"/>
  <c r="BH902" i="2"/>
  <c r="BD902" i="2" s="1"/>
  <c r="BC902" i="2"/>
  <c r="F902" i="2"/>
  <c r="D902" i="2"/>
  <c r="C902" i="2"/>
  <c r="DN901" i="2"/>
  <c r="DM901" i="2"/>
  <c r="DI901" i="2"/>
  <c r="DL901" i="2" s="1"/>
  <c r="DE901" i="2"/>
  <c r="DK901" i="2" s="1"/>
  <c r="CY901" i="2"/>
  <c r="CX901" i="2"/>
  <c r="BQ901" i="2"/>
  <c r="BP901" i="2"/>
  <c r="BO901" i="2"/>
  <c r="BN901" i="2"/>
  <c r="BM901" i="2"/>
  <c r="AV901" i="2" s="1"/>
  <c r="BL901" i="2"/>
  <c r="BK901" i="2"/>
  <c r="BJ901" i="2"/>
  <c r="BF901" i="2" s="1"/>
  <c r="BI901" i="2"/>
  <c r="BH901" i="2"/>
  <c r="BG901" i="2"/>
  <c r="BC901" i="2"/>
  <c r="AZ901" i="2"/>
  <c r="AX901" i="2"/>
  <c r="F901" i="2"/>
  <c r="D901" i="2"/>
  <c r="C901" i="2"/>
  <c r="DN900" i="2"/>
  <c r="DH900" i="2" s="1"/>
  <c r="DM900" i="2"/>
  <c r="DI900" i="2"/>
  <c r="DL900" i="2" s="1"/>
  <c r="DD900" i="2"/>
  <c r="DB900" i="2"/>
  <c r="BQ900" i="2"/>
  <c r="BP900" i="2"/>
  <c r="BO900" i="2"/>
  <c r="BN900" i="2"/>
  <c r="BM900" i="2"/>
  <c r="BL900" i="2"/>
  <c r="BK900" i="2"/>
  <c r="BJ900" i="2"/>
  <c r="BI900" i="2"/>
  <c r="BH900" i="2"/>
  <c r="BF900" i="2"/>
  <c r="AZ900" i="2"/>
  <c r="F900" i="2"/>
  <c r="D900" i="2"/>
  <c r="C900" i="2"/>
  <c r="DM899" i="2"/>
  <c r="DN899" i="2" s="1"/>
  <c r="DH899" i="2" s="1"/>
  <c r="DI899" i="2"/>
  <c r="DL899" i="2" s="1"/>
  <c r="DG899" i="2"/>
  <c r="DC899" i="2"/>
  <c r="DA899" i="2"/>
  <c r="DJ899" i="2" s="1"/>
  <c r="BQ899" i="2"/>
  <c r="BE899" i="2" s="1"/>
  <c r="BP899" i="2"/>
  <c r="BO899" i="2"/>
  <c r="BN899" i="2"/>
  <c r="BM899" i="2"/>
  <c r="AV899" i="2" s="1"/>
  <c r="BL899" i="2"/>
  <c r="BK899" i="2"/>
  <c r="AY899" i="2" s="1"/>
  <c r="BJ899" i="2"/>
  <c r="BF899" i="2" s="1"/>
  <c r="BI899" i="2"/>
  <c r="BC899" i="2" s="1"/>
  <c r="BH899" i="2"/>
  <c r="AX899" i="2"/>
  <c r="F899" i="2"/>
  <c r="D899" i="2"/>
  <c r="C899" i="2"/>
  <c r="DN898" i="2"/>
  <c r="DA898" i="2" s="1"/>
  <c r="DJ898" i="2" s="1"/>
  <c r="DM898" i="2"/>
  <c r="DL898" i="2"/>
  <c r="DK898" i="2"/>
  <c r="DI898" i="2"/>
  <c r="DH898" i="2"/>
  <c r="DG898" i="2"/>
  <c r="DF898" i="2"/>
  <c r="DE898" i="2"/>
  <c r="DD898" i="2"/>
  <c r="DC898" i="2"/>
  <c r="DB898" i="2"/>
  <c r="CZ898" i="2"/>
  <c r="CX898" i="2"/>
  <c r="BQ898" i="2"/>
  <c r="BP898" i="2"/>
  <c r="BO898" i="2"/>
  <c r="BN898" i="2"/>
  <c r="BM898" i="2"/>
  <c r="AV898" i="2" s="1"/>
  <c r="BL898" i="2"/>
  <c r="BD898" i="2" s="1"/>
  <c r="BK898" i="2"/>
  <c r="BJ898" i="2"/>
  <c r="BF898" i="2" s="1"/>
  <c r="BI898" i="2"/>
  <c r="BH898" i="2"/>
  <c r="AX898" i="2"/>
  <c r="F898" i="2"/>
  <c r="D898" i="2"/>
  <c r="C898" i="2"/>
  <c r="DM897" i="2"/>
  <c r="DN897" i="2" s="1"/>
  <c r="DF897" i="2" s="1"/>
  <c r="DI897" i="2"/>
  <c r="DL897" i="2" s="1"/>
  <c r="DG897" i="2"/>
  <c r="BQ897" i="2"/>
  <c r="BP897" i="2"/>
  <c r="BO897" i="2"/>
  <c r="BN897" i="2"/>
  <c r="BM897" i="2"/>
  <c r="BG897" i="2" s="1"/>
  <c r="BL897" i="2"/>
  <c r="BK897" i="2"/>
  <c r="BJ897" i="2"/>
  <c r="AV897" i="2" s="1"/>
  <c r="BI897" i="2"/>
  <c r="BE897" i="2" s="1"/>
  <c r="BH897" i="2"/>
  <c r="F897" i="2"/>
  <c r="D897" i="2"/>
  <c r="C897" i="2"/>
  <c r="DN896" i="2"/>
  <c r="DH896" i="2" s="1"/>
  <c r="DM896" i="2"/>
  <c r="DI896" i="2"/>
  <c r="DL896" i="2" s="1"/>
  <c r="DG896" i="2"/>
  <c r="DF896" i="2"/>
  <c r="DD896" i="2"/>
  <c r="CZ896" i="2"/>
  <c r="BQ896" i="2"/>
  <c r="BP896" i="2"/>
  <c r="BO896" i="2"/>
  <c r="BN896" i="2"/>
  <c r="BM896" i="2"/>
  <c r="BL896" i="2"/>
  <c r="BK896" i="2"/>
  <c r="BJ896" i="2"/>
  <c r="BF896" i="2" s="1"/>
  <c r="BI896" i="2"/>
  <c r="BH896" i="2"/>
  <c r="BD896" i="2"/>
  <c r="F896" i="2"/>
  <c r="D896" i="2"/>
  <c r="C896" i="2"/>
  <c r="DM895" i="2"/>
  <c r="DN895" i="2" s="1"/>
  <c r="DI895" i="2" s="1"/>
  <c r="DL895" i="2" s="1"/>
  <c r="BQ895" i="2"/>
  <c r="BP895" i="2"/>
  <c r="BO895" i="2"/>
  <c r="BN895" i="2"/>
  <c r="BM895" i="2"/>
  <c r="BL895" i="2"/>
  <c r="BK895" i="2"/>
  <c r="BJ895" i="2"/>
  <c r="BF895" i="2" s="1"/>
  <c r="BI895" i="2"/>
  <c r="BC895" i="2" s="1"/>
  <c r="BH895" i="2"/>
  <c r="BG895" i="2" s="1"/>
  <c r="F895" i="2"/>
  <c r="D895" i="2"/>
  <c r="C895" i="2"/>
  <c r="DN894" i="2"/>
  <c r="DH894" i="2" s="1"/>
  <c r="DM894" i="2"/>
  <c r="DB894" i="2"/>
  <c r="CX894" i="2"/>
  <c r="BQ894" i="2"/>
  <c r="BP894" i="2"/>
  <c r="BO894" i="2"/>
  <c r="BN894" i="2"/>
  <c r="BM894" i="2"/>
  <c r="BL894" i="2"/>
  <c r="BK894" i="2"/>
  <c r="BJ894" i="2"/>
  <c r="BF894" i="2" s="1"/>
  <c r="BI894" i="2"/>
  <c r="AZ894" i="2" s="1"/>
  <c r="BH894" i="2"/>
  <c r="BG894" i="2"/>
  <c r="AX894" i="2"/>
  <c r="F894" i="2"/>
  <c r="D894" i="2"/>
  <c r="C894" i="2"/>
  <c r="DM893" i="2"/>
  <c r="DN893" i="2" s="1"/>
  <c r="DG893" i="2" s="1"/>
  <c r="DB893" i="2"/>
  <c r="DA893" i="2"/>
  <c r="DJ893" i="2" s="1"/>
  <c r="BQ893" i="2"/>
  <c r="BG893" i="2" s="1"/>
  <c r="BP893" i="2"/>
  <c r="BO893" i="2"/>
  <c r="BN893" i="2"/>
  <c r="BM893" i="2"/>
  <c r="BL893" i="2"/>
  <c r="BK893" i="2"/>
  <c r="BJ893" i="2"/>
  <c r="BF893" i="2" s="1"/>
  <c r="BI893" i="2"/>
  <c r="BH893" i="2"/>
  <c r="AY893" i="2"/>
  <c r="F893" i="2"/>
  <c r="D893" i="2"/>
  <c r="C893" i="2"/>
  <c r="DN892" i="2"/>
  <c r="CY892" i="2" s="1"/>
  <c r="DM892" i="2"/>
  <c r="DJ892" i="2"/>
  <c r="DF892" i="2"/>
  <c r="DE892" i="2"/>
  <c r="DK892" i="2" s="1"/>
  <c r="DD892" i="2"/>
  <c r="DC892" i="2"/>
  <c r="DB892" i="2"/>
  <c r="DA892" i="2"/>
  <c r="CZ892" i="2"/>
  <c r="CX892" i="2"/>
  <c r="BQ892" i="2"/>
  <c r="BP892" i="2"/>
  <c r="BO892" i="2"/>
  <c r="BN892" i="2"/>
  <c r="AZ892" i="2" s="1"/>
  <c r="BM892" i="2"/>
  <c r="BL892" i="2"/>
  <c r="BK892" i="2"/>
  <c r="BJ892" i="2"/>
  <c r="AV892" i="2" s="1"/>
  <c r="BI892" i="2"/>
  <c r="BH892" i="2"/>
  <c r="AY892" i="2" s="1"/>
  <c r="BG892" i="2"/>
  <c r="BF892" i="2"/>
  <c r="BE892" i="2"/>
  <c r="F892" i="2"/>
  <c r="D892" i="2"/>
  <c r="C892" i="2"/>
  <c r="DM891" i="2"/>
  <c r="DN891" i="2" s="1"/>
  <c r="BQ891" i="2"/>
  <c r="BP891" i="2"/>
  <c r="BO891" i="2"/>
  <c r="BN891" i="2"/>
  <c r="BM891" i="2"/>
  <c r="BL891" i="2"/>
  <c r="BK891" i="2"/>
  <c r="BJ891" i="2"/>
  <c r="BI891" i="2"/>
  <c r="AZ891" i="2" s="1"/>
  <c r="BH891" i="2"/>
  <c r="AX891" i="2" s="1"/>
  <c r="BF891" i="2"/>
  <c r="BC891" i="2"/>
  <c r="F891" i="2"/>
  <c r="D891" i="2"/>
  <c r="C891" i="2"/>
  <c r="DN890" i="2"/>
  <c r="DM890" i="2"/>
  <c r="DH890" i="2"/>
  <c r="DG890" i="2"/>
  <c r="DF890" i="2"/>
  <c r="DD890" i="2"/>
  <c r="DB890" i="2"/>
  <c r="DA890" i="2"/>
  <c r="DJ890" i="2" s="1"/>
  <c r="CZ890" i="2"/>
  <c r="CY890" i="2"/>
  <c r="CX890" i="2"/>
  <c r="BQ890" i="2"/>
  <c r="BP890" i="2"/>
  <c r="BE890" i="2" s="1"/>
  <c r="BO890" i="2"/>
  <c r="BN890" i="2"/>
  <c r="AZ890" i="2" s="1"/>
  <c r="BM890" i="2"/>
  <c r="BL890" i="2"/>
  <c r="BK890" i="2"/>
  <c r="BJ890" i="2"/>
  <c r="BI890" i="2"/>
  <c r="BH890" i="2"/>
  <c r="F890" i="2"/>
  <c r="D890" i="2"/>
  <c r="C890" i="2"/>
  <c r="DN889" i="2"/>
  <c r="DI889" i="2" s="1"/>
  <c r="DL889" i="2" s="1"/>
  <c r="DM889" i="2"/>
  <c r="DG889" i="2"/>
  <c r="DF889" i="2"/>
  <c r="DE889" i="2"/>
  <c r="DK889" i="2" s="1"/>
  <c r="CY889" i="2"/>
  <c r="BQ889" i="2"/>
  <c r="BP889" i="2"/>
  <c r="BO889" i="2"/>
  <c r="BN889" i="2"/>
  <c r="BM889" i="2"/>
  <c r="BL889" i="2"/>
  <c r="BK889" i="2"/>
  <c r="BJ889" i="2"/>
  <c r="BF889" i="2" s="1"/>
  <c r="BI889" i="2"/>
  <c r="BH889" i="2"/>
  <c r="AX889" i="2"/>
  <c r="F889" i="2"/>
  <c r="D889" i="2"/>
  <c r="C889" i="2"/>
  <c r="DN888" i="2"/>
  <c r="DM888" i="2"/>
  <c r="DI888" i="2"/>
  <c r="DL888" i="2" s="1"/>
  <c r="DH888" i="2"/>
  <c r="DF888" i="2"/>
  <c r="CZ888" i="2"/>
  <c r="CX888" i="2"/>
  <c r="BQ888" i="2"/>
  <c r="BP888" i="2"/>
  <c r="BO888" i="2"/>
  <c r="BN888" i="2"/>
  <c r="BM888" i="2"/>
  <c r="BL888" i="2"/>
  <c r="BK888" i="2"/>
  <c r="BJ888" i="2"/>
  <c r="BI888" i="2"/>
  <c r="BH888" i="2"/>
  <c r="AX888" i="2"/>
  <c r="F888" i="2"/>
  <c r="D888" i="2"/>
  <c r="C888" i="2"/>
  <c r="DM887" i="2"/>
  <c r="DN887" i="2" s="1"/>
  <c r="DD887" i="2"/>
  <c r="BQ887" i="2"/>
  <c r="BP887" i="2"/>
  <c r="BO887" i="2"/>
  <c r="BN887" i="2"/>
  <c r="BM887" i="2"/>
  <c r="BL887" i="2"/>
  <c r="AY887" i="2" s="1"/>
  <c r="BK887" i="2"/>
  <c r="BJ887" i="2"/>
  <c r="BI887" i="2"/>
  <c r="BE887" i="2" s="1"/>
  <c r="BH887" i="2"/>
  <c r="BG887" i="2"/>
  <c r="BC887" i="2"/>
  <c r="AX887" i="2"/>
  <c r="F887" i="2"/>
  <c r="D887" i="2"/>
  <c r="C887" i="2"/>
  <c r="DN886" i="2"/>
  <c r="DI886" i="2" s="1"/>
  <c r="DL886" i="2" s="1"/>
  <c r="DM886" i="2"/>
  <c r="CX886" i="2"/>
  <c r="BQ886" i="2"/>
  <c r="BP886" i="2"/>
  <c r="BF886" i="2" s="1"/>
  <c r="BO886" i="2"/>
  <c r="BN886" i="2"/>
  <c r="BM886" i="2"/>
  <c r="AV886" i="2" s="1"/>
  <c r="BL886" i="2"/>
  <c r="BK886" i="2"/>
  <c r="BJ886" i="2"/>
  <c r="BI886" i="2"/>
  <c r="BH886" i="2"/>
  <c r="BD886" i="2" s="1"/>
  <c r="AZ886" i="2"/>
  <c r="AY886" i="2"/>
  <c r="AX886" i="2"/>
  <c r="AW886" i="2" s="1"/>
  <c r="F886" i="2"/>
  <c r="D886" i="2"/>
  <c r="C886" i="2"/>
  <c r="DM885" i="2"/>
  <c r="DN885" i="2" s="1"/>
  <c r="CX885" i="2" s="1"/>
  <c r="DG885" i="2"/>
  <c r="DF885" i="2"/>
  <c r="DE885" i="2"/>
  <c r="DK885" i="2" s="1"/>
  <c r="BQ885" i="2"/>
  <c r="BP885" i="2"/>
  <c r="BO885" i="2"/>
  <c r="BN885" i="2"/>
  <c r="BM885" i="2"/>
  <c r="BL885" i="2"/>
  <c r="BK885" i="2"/>
  <c r="BJ885" i="2"/>
  <c r="BF885" i="2" s="1"/>
  <c r="BI885" i="2"/>
  <c r="BH885" i="2"/>
  <c r="BD885" i="2" s="1"/>
  <c r="BG885" i="2"/>
  <c r="AY885" i="2"/>
  <c r="AX885" i="2"/>
  <c r="AV885" i="2"/>
  <c r="F885" i="2"/>
  <c r="D885" i="2"/>
  <c r="C885" i="2"/>
  <c r="DM884" i="2"/>
  <c r="DN884" i="2" s="1"/>
  <c r="DF884" i="2" s="1"/>
  <c r="BQ884" i="2"/>
  <c r="BP884" i="2"/>
  <c r="BE884" i="2" s="1"/>
  <c r="BO884" i="2"/>
  <c r="BN884" i="2"/>
  <c r="BM884" i="2"/>
  <c r="BL884" i="2"/>
  <c r="BK884" i="2"/>
  <c r="BJ884" i="2"/>
  <c r="BI884" i="2"/>
  <c r="BH884" i="2"/>
  <c r="F884" i="2"/>
  <c r="D884" i="2"/>
  <c r="C884" i="2"/>
  <c r="DM883" i="2"/>
  <c r="DN883" i="2" s="1"/>
  <c r="DH883" i="2" s="1"/>
  <c r="DD883" i="2"/>
  <c r="DC883" i="2"/>
  <c r="DB883" i="2"/>
  <c r="BQ883" i="2"/>
  <c r="BP883" i="2"/>
  <c r="BE883" i="2" s="1"/>
  <c r="BO883" i="2"/>
  <c r="BN883" i="2"/>
  <c r="BC883" i="2" s="1"/>
  <c r="BM883" i="2"/>
  <c r="AV883" i="2" s="1"/>
  <c r="BL883" i="2"/>
  <c r="BK883" i="2"/>
  <c r="BF883" i="2" s="1"/>
  <c r="BJ883" i="2"/>
  <c r="BI883" i="2"/>
  <c r="BH883" i="2"/>
  <c r="BD883" i="2" s="1"/>
  <c r="BG883" i="2"/>
  <c r="F883" i="2"/>
  <c r="D883" i="2"/>
  <c r="C883" i="2"/>
  <c r="DN882" i="2"/>
  <c r="DH882" i="2" s="1"/>
  <c r="DM882" i="2"/>
  <c r="DC882" i="2"/>
  <c r="BQ882" i="2"/>
  <c r="BP882" i="2"/>
  <c r="BO882" i="2"/>
  <c r="BN882" i="2"/>
  <c r="BM882" i="2"/>
  <c r="AV882" i="2" s="1"/>
  <c r="BL882" i="2"/>
  <c r="BK882" i="2"/>
  <c r="BJ882" i="2"/>
  <c r="BF882" i="2" s="1"/>
  <c r="BI882" i="2"/>
  <c r="BE882" i="2" s="1"/>
  <c r="BH882" i="2"/>
  <c r="BG882" i="2"/>
  <c r="BC882" i="2"/>
  <c r="AZ882" i="2"/>
  <c r="AX882" i="2"/>
  <c r="F882" i="2"/>
  <c r="D882" i="2"/>
  <c r="C882" i="2"/>
  <c r="DN881" i="2"/>
  <c r="DG881" i="2" s="1"/>
  <c r="DM881" i="2"/>
  <c r="DJ881" i="2"/>
  <c r="DI881" i="2"/>
  <c r="DL881" i="2" s="1"/>
  <c r="DH881" i="2"/>
  <c r="DD881" i="2"/>
  <c r="DC881" i="2"/>
  <c r="DA881" i="2"/>
  <c r="CZ881" i="2"/>
  <c r="CX881" i="2"/>
  <c r="BQ881" i="2"/>
  <c r="BP881" i="2"/>
  <c r="BO881" i="2"/>
  <c r="BF881" i="2" s="1"/>
  <c r="BN881" i="2"/>
  <c r="BM881" i="2"/>
  <c r="AV881" i="2" s="1"/>
  <c r="BL881" i="2"/>
  <c r="BK881" i="2"/>
  <c r="BJ881" i="2"/>
  <c r="BI881" i="2"/>
  <c r="BC881" i="2" s="1"/>
  <c r="BH881" i="2"/>
  <c r="AX881" i="2" s="1"/>
  <c r="BG881" i="2"/>
  <c r="AZ881" i="2"/>
  <c r="F881" i="2"/>
  <c r="D881" i="2"/>
  <c r="C881" i="2"/>
  <c r="DM880" i="2"/>
  <c r="DN880" i="2" s="1"/>
  <c r="DI880" i="2" s="1"/>
  <c r="DL880" i="2" s="1"/>
  <c r="DD880" i="2"/>
  <c r="DC880" i="2"/>
  <c r="CX880" i="2"/>
  <c r="BQ880" i="2"/>
  <c r="BP880" i="2"/>
  <c r="BO880" i="2"/>
  <c r="BN880" i="2"/>
  <c r="BM880" i="2"/>
  <c r="AV880" i="2" s="1"/>
  <c r="BL880" i="2"/>
  <c r="BK880" i="2"/>
  <c r="BJ880" i="2"/>
  <c r="BF880" i="2" s="1"/>
  <c r="BI880" i="2"/>
  <c r="AZ880" i="2" s="1"/>
  <c r="BH880" i="2"/>
  <c r="BG880" i="2" s="1"/>
  <c r="F880" i="2"/>
  <c r="D880" i="2"/>
  <c r="C880" i="2"/>
  <c r="DM879" i="2"/>
  <c r="DN879" i="2" s="1"/>
  <c r="DI879" i="2"/>
  <c r="DL879" i="2" s="1"/>
  <c r="DD879" i="2"/>
  <c r="CZ879" i="2"/>
  <c r="BQ879" i="2"/>
  <c r="BP879" i="2"/>
  <c r="BO879" i="2"/>
  <c r="BN879" i="2"/>
  <c r="BM879" i="2"/>
  <c r="BL879" i="2"/>
  <c r="BK879" i="2"/>
  <c r="BJ879" i="2"/>
  <c r="BF879" i="2" s="1"/>
  <c r="BI879" i="2"/>
  <c r="BH879" i="2"/>
  <c r="BD879" i="2"/>
  <c r="BC879" i="2"/>
  <c r="AZ879" i="2"/>
  <c r="F879" i="2"/>
  <c r="D879" i="2"/>
  <c r="C879" i="2"/>
  <c r="DM878" i="2"/>
  <c r="DN878" i="2" s="1"/>
  <c r="CZ878" i="2"/>
  <c r="BQ878" i="2"/>
  <c r="BP878" i="2"/>
  <c r="BO878" i="2"/>
  <c r="BN878" i="2"/>
  <c r="BM878" i="2"/>
  <c r="BL878" i="2"/>
  <c r="BK878" i="2"/>
  <c r="BJ878" i="2"/>
  <c r="BI878" i="2"/>
  <c r="BH878" i="2"/>
  <c r="BG878" i="2" s="1"/>
  <c r="BD878" i="2"/>
  <c r="AX878" i="2"/>
  <c r="AV878" i="2"/>
  <c r="F878" i="2"/>
  <c r="D878" i="2"/>
  <c r="C878" i="2"/>
  <c r="DN877" i="2"/>
  <c r="DH877" i="2" s="1"/>
  <c r="DM877" i="2"/>
  <c r="DI877" i="2"/>
  <c r="DL877" i="2" s="1"/>
  <c r="DD877" i="2"/>
  <c r="CY877" i="2"/>
  <c r="CX877" i="2"/>
  <c r="BQ877" i="2"/>
  <c r="BP877" i="2"/>
  <c r="BO877" i="2"/>
  <c r="BF877" i="2" s="1"/>
  <c r="BN877" i="2"/>
  <c r="AZ877" i="2" s="1"/>
  <c r="BM877" i="2"/>
  <c r="BG877" i="2" s="1"/>
  <c r="BL877" i="2"/>
  <c r="BK877" i="2"/>
  <c r="BJ877" i="2"/>
  <c r="BI877" i="2"/>
  <c r="BH877" i="2"/>
  <c r="F877" i="2"/>
  <c r="D877" i="2"/>
  <c r="C877" i="2"/>
  <c r="DN876" i="2"/>
  <c r="DM876" i="2"/>
  <c r="DI876" i="2"/>
  <c r="DL876" i="2" s="1"/>
  <c r="DH876" i="2"/>
  <c r="DC876" i="2"/>
  <c r="CX876" i="2"/>
  <c r="BQ876" i="2"/>
  <c r="BE876" i="2" s="1"/>
  <c r="BP876" i="2"/>
  <c r="BO876" i="2"/>
  <c r="BF876" i="2" s="1"/>
  <c r="BN876" i="2"/>
  <c r="AZ876" i="2" s="1"/>
  <c r="BM876" i="2"/>
  <c r="BL876" i="2"/>
  <c r="BK876" i="2"/>
  <c r="BJ876" i="2"/>
  <c r="BI876" i="2"/>
  <c r="BH876" i="2"/>
  <c r="AY876" i="2"/>
  <c r="F876" i="2"/>
  <c r="D876" i="2"/>
  <c r="C876" i="2"/>
  <c r="DM875" i="2"/>
  <c r="DN875" i="2" s="1"/>
  <c r="DI875" i="2" s="1"/>
  <c r="DL875" i="2" s="1"/>
  <c r="DH875" i="2"/>
  <c r="DG875" i="2"/>
  <c r="DB875" i="2"/>
  <c r="BQ875" i="2"/>
  <c r="BE875" i="2" s="1"/>
  <c r="BP875" i="2"/>
  <c r="BO875" i="2"/>
  <c r="BN875" i="2"/>
  <c r="BM875" i="2"/>
  <c r="BL875" i="2"/>
  <c r="BK875" i="2"/>
  <c r="BC875" i="2" s="1"/>
  <c r="BJ875" i="2"/>
  <c r="BI875" i="2"/>
  <c r="AZ875" i="2" s="1"/>
  <c r="BH875" i="2"/>
  <c r="AY875" i="2"/>
  <c r="AX875" i="2"/>
  <c r="F875" i="2"/>
  <c r="D875" i="2"/>
  <c r="C875" i="2"/>
  <c r="DN874" i="2"/>
  <c r="DE874" i="2" s="1"/>
  <c r="DK874" i="2" s="1"/>
  <c r="DM874" i="2"/>
  <c r="DI874" i="2"/>
  <c r="DL874" i="2" s="1"/>
  <c r="DH874" i="2"/>
  <c r="DG874" i="2"/>
  <c r="DF874" i="2"/>
  <c r="DB874" i="2"/>
  <c r="DA874" i="2"/>
  <c r="DJ874" i="2" s="1"/>
  <c r="CX874" i="2"/>
  <c r="BQ874" i="2"/>
  <c r="BP874" i="2"/>
  <c r="BF874" i="2" s="1"/>
  <c r="BO874" i="2"/>
  <c r="BN874" i="2"/>
  <c r="BM874" i="2"/>
  <c r="BL874" i="2"/>
  <c r="BK874" i="2"/>
  <c r="BC874" i="2" s="1"/>
  <c r="BJ874" i="2"/>
  <c r="BI874" i="2"/>
  <c r="BH874" i="2"/>
  <c r="AZ874" i="2"/>
  <c r="AX874" i="2"/>
  <c r="F874" i="2"/>
  <c r="D874" i="2"/>
  <c r="C874" i="2"/>
  <c r="DM873" i="2"/>
  <c r="DN873" i="2" s="1"/>
  <c r="DH873" i="2" s="1"/>
  <c r="BQ873" i="2"/>
  <c r="BP873" i="2"/>
  <c r="BO873" i="2"/>
  <c r="BN873" i="2"/>
  <c r="BM873" i="2"/>
  <c r="BL873" i="2"/>
  <c r="BK873" i="2"/>
  <c r="BJ873" i="2"/>
  <c r="BD873" i="2" s="1"/>
  <c r="BI873" i="2"/>
  <c r="BE873" i="2" s="1"/>
  <c r="BH873" i="2"/>
  <c r="AX873" i="2" s="1"/>
  <c r="F873" i="2"/>
  <c r="D873" i="2"/>
  <c r="C873" i="2"/>
  <c r="DN872" i="2"/>
  <c r="DC872" i="2" s="1"/>
  <c r="DM872" i="2"/>
  <c r="DI872" i="2"/>
  <c r="DL872" i="2" s="1"/>
  <c r="DG872" i="2"/>
  <c r="DF872" i="2"/>
  <c r="DE872" i="2"/>
  <c r="DK872" i="2" s="1"/>
  <c r="DD872" i="2"/>
  <c r="CZ872" i="2"/>
  <c r="CY872" i="2"/>
  <c r="CX872" i="2"/>
  <c r="BQ872" i="2"/>
  <c r="BP872" i="2"/>
  <c r="BO872" i="2"/>
  <c r="BN872" i="2"/>
  <c r="BM872" i="2"/>
  <c r="BG872" i="2" s="1"/>
  <c r="BL872" i="2"/>
  <c r="BK872" i="2"/>
  <c r="BJ872" i="2"/>
  <c r="BF872" i="2" s="1"/>
  <c r="BI872" i="2"/>
  <c r="BH872" i="2"/>
  <c r="BD872" i="2"/>
  <c r="BC872" i="2"/>
  <c r="AX872" i="2"/>
  <c r="AV872" i="2"/>
  <c r="F872" i="2"/>
  <c r="D872" i="2"/>
  <c r="C872" i="2"/>
  <c r="DN871" i="2"/>
  <c r="DH871" i="2" s="1"/>
  <c r="DM871" i="2"/>
  <c r="DI871" i="2"/>
  <c r="DL871" i="2" s="1"/>
  <c r="DF871" i="2"/>
  <c r="DE871" i="2"/>
  <c r="DK871" i="2" s="1"/>
  <c r="CX871" i="2"/>
  <c r="BQ871" i="2"/>
  <c r="BP871" i="2"/>
  <c r="BO871" i="2"/>
  <c r="BN871" i="2"/>
  <c r="BM871" i="2"/>
  <c r="BL871" i="2"/>
  <c r="BK871" i="2"/>
  <c r="BJ871" i="2"/>
  <c r="BF871" i="2" s="1"/>
  <c r="BI871" i="2"/>
  <c r="BE871" i="2" s="1"/>
  <c r="BH871" i="2"/>
  <c r="BG871" i="2"/>
  <c r="BC871" i="2"/>
  <c r="F871" i="2"/>
  <c r="D871" i="2"/>
  <c r="C871" i="2"/>
  <c r="DM870" i="2"/>
  <c r="DN870" i="2" s="1"/>
  <c r="DG870" i="2"/>
  <c r="BQ870" i="2"/>
  <c r="BP870" i="2"/>
  <c r="BO870" i="2"/>
  <c r="BN870" i="2"/>
  <c r="BM870" i="2"/>
  <c r="BL870" i="2"/>
  <c r="BK870" i="2"/>
  <c r="BF870" i="2" s="1"/>
  <c r="BJ870" i="2"/>
  <c r="BI870" i="2"/>
  <c r="BH870" i="2"/>
  <c r="BG870" i="2"/>
  <c r="AV870" i="2"/>
  <c r="F870" i="2"/>
  <c r="D870" i="2"/>
  <c r="C870" i="2"/>
  <c r="DM869" i="2"/>
  <c r="DN869" i="2" s="1"/>
  <c r="DI869" i="2"/>
  <c r="DL869" i="2" s="1"/>
  <c r="DG869" i="2"/>
  <c r="DB869" i="2"/>
  <c r="BQ869" i="2"/>
  <c r="BE869" i="2" s="1"/>
  <c r="BP869" i="2"/>
  <c r="BO869" i="2"/>
  <c r="BN869" i="2"/>
  <c r="BM869" i="2"/>
  <c r="BL869" i="2"/>
  <c r="BK869" i="2"/>
  <c r="BJ869" i="2"/>
  <c r="BF869" i="2" s="1"/>
  <c r="BI869" i="2"/>
  <c r="BH869" i="2"/>
  <c r="BD869" i="2" s="1"/>
  <c r="BG869" i="2"/>
  <c r="F869" i="2"/>
  <c r="D869" i="2"/>
  <c r="C869" i="2"/>
  <c r="DM868" i="2"/>
  <c r="DN868" i="2" s="1"/>
  <c r="BQ868" i="2"/>
  <c r="BP868" i="2"/>
  <c r="BO868" i="2"/>
  <c r="BN868" i="2"/>
  <c r="BM868" i="2"/>
  <c r="AV868" i="2" s="1"/>
  <c r="BL868" i="2"/>
  <c r="BK868" i="2"/>
  <c r="BJ868" i="2"/>
  <c r="BF868" i="2" s="1"/>
  <c r="BI868" i="2"/>
  <c r="BH868" i="2"/>
  <c r="BG868" i="2"/>
  <c r="BE868" i="2"/>
  <c r="AX868" i="2"/>
  <c r="F868" i="2"/>
  <c r="D868" i="2"/>
  <c r="C868" i="2"/>
  <c r="DM867" i="2"/>
  <c r="DN867" i="2" s="1"/>
  <c r="DI867" i="2" s="1"/>
  <c r="DL867" i="2" s="1"/>
  <c r="DA867" i="2"/>
  <c r="DJ867" i="2" s="1"/>
  <c r="CZ867" i="2"/>
  <c r="BQ867" i="2"/>
  <c r="BP867" i="2"/>
  <c r="BO867" i="2"/>
  <c r="BF867" i="2" s="1"/>
  <c r="BN867" i="2"/>
  <c r="BM867" i="2"/>
  <c r="BG867" i="2" s="1"/>
  <c r="BL867" i="2"/>
  <c r="BK867" i="2"/>
  <c r="BJ867" i="2"/>
  <c r="BI867" i="2"/>
  <c r="AZ867" i="2" s="1"/>
  <c r="BH867" i="2"/>
  <c r="BC867" i="2"/>
  <c r="F867" i="2"/>
  <c r="D867" i="2"/>
  <c r="C867" i="2"/>
  <c r="DN866" i="2"/>
  <c r="DH866" i="2" s="1"/>
  <c r="DM866" i="2"/>
  <c r="DI866" i="2"/>
  <c r="DL866" i="2" s="1"/>
  <c r="DG866" i="2"/>
  <c r="DF866" i="2"/>
  <c r="DA866" i="2"/>
  <c r="DJ866" i="2" s="1"/>
  <c r="CY866" i="2"/>
  <c r="CX866" i="2"/>
  <c r="BQ866" i="2"/>
  <c r="BP866" i="2"/>
  <c r="BO866" i="2"/>
  <c r="BN866" i="2"/>
  <c r="BC866" i="2" s="1"/>
  <c r="BM866" i="2"/>
  <c r="BL866" i="2"/>
  <c r="BK866" i="2"/>
  <c r="BJ866" i="2"/>
  <c r="BI866" i="2"/>
  <c r="BH866" i="2"/>
  <c r="BG866" i="2" s="1"/>
  <c r="AZ866" i="2"/>
  <c r="AV866" i="2"/>
  <c r="F866" i="2"/>
  <c r="D866" i="2"/>
  <c r="C866" i="2"/>
  <c r="DM865" i="2"/>
  <c r="DN865" i="2" s="1"/>
  <c r="DI865" i="2" s="1"/>
  <c r="DL865" i="2" s="1"/>
  <c r="BQ865" i="2"/>
  <c r="BP865" i="2"/>
  <c r="BO865" i="2"/>
  <c r="BN865" i="2"/>
  <c r="BM865" i="2"/>
  <c r="AV865" i="2" s="1"/>
  <c r="BL865" i="2"/>
  <c r="BD865" i="2" s="1"/>
  <c r="BK865" i="2"/>
  <c r="BJ865" i="2"/>
  <c r="BI865" i="2"/>
  <c r="BH865" i="2"/>
  <c r="AX865" i="2" s="1"/>
  <c r="BG865" i="2"/>
  <c r="AZ865" i="2"/>
  <c r="F865" i="2"/>
  <c r="D865" i="2"/>
  <c r="C865" i="2"/>
  <c r="DM864" i="2"/>
  <c r="DN864" i="2" s="1"/>
  <c r="DD864" i="2"/>
  <c r="BQ864" i="2"/>
  <c r="BP864" i="2"/>
  <c r="BO864" i="2"/>
  <c r="BN864" i="2"/>
  <c r="BM864" i="2"/>
  <c r="BL864" i="2"/>
  <c r="BK864" i="2"/>
  <c r="BJ864" i="2"/>
  <c r="BI864" i="2"/>
  <c r="BC864" i="2" s="1"/>
  <c r="BH864" i="2"/>
  <c r="BF864" i="2"/>
  <c r="BE864" i="2"/>
  <c r="AX864" i="2"/>
  <c r="F864" i="2"/>
  <c r="D864" i="2"/>
  <c r="C864" i="2"/>
  <c r="DN863" i="2"/>
  <c r="DH863" i="2" s="1"/>
  <c r="DM863" i="2"/>
  <c r="DC863" i="2"/>
  <c r="DA863" i="2"/>
  <c r="DJ863" i="2" s="1"/>
  <c r="BQ863" i="2"/>
  <c r="BP863" i="2"/>
  <c r="BE863" i="2" s="1"/>
  <c r="BO863" i="2"/>
  <c r="BN863" i="2"/>
  <c r="BM863" i="2"/>
  <c r="AV863" i="2" s="1"/>
  <c r="BL863" i="2"/>
  <c r="BK863" i="2"/>
  <c r="BJ863" i="2"/>
  <c r="BI863" i="2"/>
  <c r="BH863" i="2"/>
  <c r="AX863" i="2" s="1"/>
  <c r="BG863" i="2"/>
  <c r="BD863" i="2"/>
  <c r="AZ863" i="2"/>
  <c r="AY863" i="2"/>
  <c r="F863" i="2"/>
  <c r="D863" i="2"/>
  <c r="C863" i="2"/>
  <c r="DM862" i="2"/>
  <c r="DN862" i="2" s="1"/>
  <c r="DG862" i="2" s="1"/>
  <c r="DD862" i="2"/>
  <c r="DC862" i="2"/>
  <c r="CZ862" i="2"/>
  <c r="CY862" i="2"/>
  <c r="BQ862" i="2"/>
  <c r="BP862" i="2"/>
  <c r="BO862" i="2"/>
  <c r="BN862" i="2"/>
  <c r="BC862" i="2" s="1"/>
  <c r="BM862" i="2"/>
  <c r="BL862" i="2"/>
  <c r="BK862" i="2"/>
  <c r="BF862" i="2" s="1"/>
  <c r="BJ862" i="2"/>
  <c r="AV862" i="2" s="1"/>
  <c r="BI862" i="2"/>
  <c r="BH862" i="2"/>
  <c r="BG862" i="2" s="1"/>
  <c r="AY862" i="2"/>
  <c r="AX862" i="2"/>
  <c r="F862" i="2"/>
  <c r="D862" i="2"/>
  <c r="C862" i="2"/>
  <c r="DN861" i="2"/>
  <c r="DM861" i="2"/>
  <c r="DL861" i="2"/>
  <c r="DJ861" i="2"/>
  <c r="DI861" i="2"/>
  <c r="DG861" i="2"/>
  <c r="DF861" i="2"/>
  <c r="DE861" i="2"/>
  <c r="DK861" i="2" s="1"/>
  <c r="DD861" i="2"/>
  <c r="DC861" i="2"/>
  <c r="DB861" i="2"/>
  <c r="DA861" i="2"/>
  <c r="CY861" i="2"/>
  <c r="CX861" i="2"/>
  <c r="BQ861" i="2"/>
  <c r="BP861" i="2"/>
  <c r="BO861" i="2"/>
  <c r="BN861" i="2"/>
  <c r="BC861" i="2" s="1"/>
  <c r="BM861" i="2"/>
  <c r="AV861" i="2" s="1"/>
  <c r="BL861" i="2"/>
  <c r="BK861" i="2"/>
  <c r="BF861" i="2" s="1"/>
  <c r="BJ861" i="2"/>
  <c r="BI861" i="2"/>
  <c r="BH861" i="2"/>
  <c r="BE861" i="2" s="1"/>
  <c r="AZ861" i="2"/>
  <c r="AX861" i="2"/>
  <c r="F861" i="2"/>
  <c r="D861" i="2"/>
  <c r="C861" i="2"/>
  <c r="DM860" i="2"/>
  <c r="DN860" i="2" s="1"/>
  <c r="DA860" i="2"/>
  <c r="DJ860" i="2" s="1"/>
  <c r="BQ860" i="2"/>
  <c r="BP860" i="2"/>
  <c r="BO860" i="2"/>
  <c r="BN860" i="2"/>
  <c r="AZ860" i="2" s="1"/>
  <c r="BM860" i="2"/>
  <c r="BG860" i="2" s="1"/>
  <c r="BL860" i="2"/>
  <c r="BK860" i="2"/>
  <c r="BJ860" i="2"/>
  <c r="AV860" i="2" s="1"/>
  <c r="BI860" i="2"/>
  <c r="BH860" i="2"/>
  <c r="AX860" i="2" s="1"/>
  <c r="BE860" i="2"/>
  <c r="BD860" i="2"/>
  <c r="F860" i="2"/>
  <c r="D860" i="2"/>
  <c r="C860" i="2"/>
  <c r="DM859" i="2"/>
  <c r="DN859" i="2" s="1"/>
  <c r="DI859" i="2"/>
  <c r="DL859" i="2" s="1"/>
  <c r="DH859" i="2"/>
  <c r="DG859" i="2"/>
  <c r="DE859" i="2"/>
  <c r="DK859" i="2" s="1"/>
  <c r="DD859" i="2"/>
  <c r="DC859" i="2"/>
  <c r="DB859" i="2"/>
  <c r="CZ859" i="2"/>
  <c r="CY859" i="2"/>
  <c r="BQ859" i="2"/>
  <c r="BP859" i="2"/>
  <c r="BO859" i="2"/>
  <c r="BN859" i="2"/>
  <c r="BM859" i="2"/>
  <c r="BL859" i="2"/>
  <c r="BK859" i="2"/>
  <c r="BJ859" i="2"/>
  <c r="BI859" i="2"/>
  <c r="AZ859" i="2" s="1"/>
  <c r="BH859" i="2"/>
  <c r="BD859" i="2" s="1"/>
  <c r="BG859" i="2"/>
  <c r="BF859" i="2"/>
  <c r="AV859" i="2"/>
  <c r="F859" i="2"/>
  <c r="D859" i="2"/>
  <c r="C859" i="2"/>
  <c r="DN858" i="2"/>
  <c r="DE858" i="2" s="1"/>
  <c r="DK858" i="2" s="1"/>
  <c r="DM858" i="2"/>
  <c r="DI858" i="2"/>
  <c r="DL858" i="2" s="1"/>
  <c r="DH858" i="2"/>
  <c r="DG858" i="2"/>
  <c r="CZ858" i="2"/>
  <c r="BQ858" i="2"/>
  <c r="BP858" i="2"/>
  <c r="BE858" i="2" s="1"/>
  <c r="BO858" i="2"/>
  <c r="BN858" i="2"/>
  <c r="BM858" i="2"/>
  <c r="BL858" i="2"/>
  <c r="BK858" i="2"/>
  <c r="BC858" i="2" s="1"/>
  <c r="BJ858" i="2"/>
  <c r="BI858" i="2"/>
  <c r="BH858" i="2"/>
  <c r="AZ858" i="2"/>
  <c r="AX858" i="2"/>
  <c r="F858" i="2"/>
  <c r="D858" i="2"/>
  <c r="C858" i="2"/>
  <c r="DN857" i="2"/>
  <c r="DM857" i="2"/>
  <c r="BQ857" i="2"/>
  <c r="BG857" i="2" s="1"/>
  <c r="BP857" i="2"/>
  <c r="BO857" i="2"/>
  <c r="BN857" i="2"/>
  <c r="BM857" i="2"/>
  <c r="BL857" i="2"/>
  <c r="BD857" i="2" s="1"/>
  <c r="BK857" i="2"/>
  <c r="BJ857" i="2"/>
  <c r="BF857" i="2" s="1"/>
  <c r="BI857" i="2"/>
  <c r="BE857" i="2" s="1"/>
  <c r="BH857" i="2"/>
  <c r="AX857" i="2" s="1"/>
  <c r="AV857" i="2"/>
  <c r="F857" i="2"/>
  <c r="D857" i="2"/>
  <c r="C857" i="2"/>
  <c r="DN856" i="2"/>
  <c r="DC856" i="2" s="1"/>
  <c r="DM856" i="2"/>
  <c r="DG856" i="2"/>
  <c r="DE856" i="2"/>
  <c r="DK856" i="2" s="1"/>
  <c r="DD856" i="2"/>
  <c r="DB856" i="2"/>
  <c r="BQ856" i="2"/>
  <c r="BP856" i="2"/>
  <c r="BO856" i="2"/>
  <c r="BN856" i="2"/>
  <c r="BM856" i="2"/>
  <c r="BL856" i="2"/>
  <c r="BK856" i="2"/>
  <c r="BJ856" i="2"/>
  <c r="AV856" i="2" s="1"/>
  <c r="BI856" i="2"/>
  <c r="BE856" i="2" s="1"/>
  <c r="BH856" i="2"/>
  <c r="BG856" i="2"/>
  <c r="AZ856" i="2"/>
  <c r="AX856" i="2"/>
  <c r="F856" i="2"/>
  <c r="D856" i="2"/>
  <c r="C856" i="2"/>
  <c r="DN855" i="2"/>
  <c r="DM855" i="2"/>
  <c r="DG855" i="2"/>
  <c r="DA855" i="2"/>
  <c r="DJ855" i="2" s="1"/>
  <c r="CY855" i="2"/>
  <c r="BQ855" i="2"/>
  <c r="BG855" i="2" s="1"/>
  <c r="BP855" i="2"/>
  <c r="BO855" i="2"/>
  <c r="BN855" i="2"/>
  <c r="BM855" i="2"/>
  <c r="BD855" i="2" s="1"/>
  <c r="BL855" i="2"/>
  <c r="BK855" i="2"/>
  <c r="BJ855" i="2"/>
  <c r="BF855" i="2" s="1"/>
  <c r="BI855" i="2"/>
  <c r="BH855" i="2"/>
  <c r="BE855" i="2"/>
  <c r="BC855" i="2"/>
  <c r="AZ855" i="2"/>
  <c r="AY855" i="2"/>
  <c r="AX855" i="2"/>
  <c r="F855" i="2"/>
  <c r="D855" i="2"/>
  <c r="C855" i="2"/>
  <c r="DM854" i="2"/>
  <c r="DN854" i="2" s="1"/>
  <c r="DI854" i="2" s="1"/>
  <c r="DL854" i="2" s="1"/>
  <c r="BQ854" i="2"/>
  <c r="BP854" i="2"/>
  <c r="BO854" i="2"/>
  <c r="BF854" i="2" s="1"/>
  <c r="BN854" i="2"/>
  <c r="BC854" i="2" s="1"/>
  <c r="BM854" i="2"/>
  <c r="AV854" i="2" s="1"/>
  <c r="BL854" i="2"/>
  <c r="BK854" i="2"/>
  <c r="BJ854" i="2"/>
  <c r="BI854" i="2"/>
  <c r="BH854" i="2"/>
  <c r="BD854" i="2" s="1"/>
  <c r="BG854" i="2"/>
  <c r="AY854" i="2"/>
  <c r="F854" i="2"/>
  <c r="D854" i="2"/>
  <c r="C854" i="2"/>
  <c r="DN853" i="2"/>
  <c r="DG853" i="2" s="1"/>
  <c r="DM853" i="2"/>
  <c r="DI853" i="2"/>
  <c r="DL853" i="2" s="1"/>
  <c r="DH853" i="2"/>
  <c r="DB853" i="2"/>
  <c r="CX853" i="2"/>
  <c r="BQ853" i="2"/>
  <c r="BP853" i="2"/>
  <c r="BE853" i="2" s="1"/>
  <c r="BO853" i="2"/>
  <c r="BN853" i="2"/>
  <c r="AZ853" i="2" s="1"/>
  <c r="BM853" i="2"/>
  <c r="BG853" i="2" s="1"/>
  <c r="BL853" i="2"/>
  <c r="BK853" i="2"/>
  <c r="BJ853" i="2"/>
  <c r="BI853" i="2"/>
  <c r="BH853" i="2"/>
  <c r="AX853" i="2"/>
  <c r="AV853" i="2"/>
  <c r="F853" i="2"/>
  <c r="D853" i="2"/>
  <c r="C853" i="2"/>
  <c r="DM852" i="2"/>
  <c r="DN852" i="2" s="1"/>
  <c r="DI852" i="2" s="1"/>
  <c r="DL852" i="2" s="1"/>
  <c r="DH852" i="2"/>
  <c r="DA852" i="2"/>
  <c r="DJ852" i="2" s="1"/>
  <c r="BQ852" i="2"/>
  <c r="BP852" i="2"/>
  <c r="BO852" i="2"/>
  <c r="BN852" i="2"/>
  <c r="BC852" i="2" s="1"/>
  <c r="BM852" i="2"/>
  <c r="BL852" i="2"/>
  <c r="BK852" i="2"/>
  <c r="BJ852" i="2"/>
  <c r="BI852" i="2"/>
  <c r="BH852" i="2"/>
  <c r="AX852" i="2" s="1"/>
  <c r="BE852" i="2"/>
  <c r="F852" i="2"/>
  <c r="D852" i="2"/>
  <c r="C852" i="2"/>
  <c r="DM851" i="2"/>
  <c r="DN851" i="2" s="1"/>
  <c r="DH851" i="2" s="1"/>
  <c r="BQ851" i="2"/>
  <c r="BP851" i="2"/>
  <c r="BE851" i="2" s="1"/>
  <c r="BO851" i="2"/>
  <c r="BN851" i="2"/>
  <c r="BM851" i="2"/>
  <c r="BG851" i="2" s="1"/>
  <c r="BL851" i="2"/>
  <c r="BK851" i="2"/>
  <c r="BJ851" i="2"/>
  <c r="BI851" i="2"/>
  <c r="BH851" i="2"/>
  <c r="BD851" i="2"/>
  <c r="AX851" i="2"/>
  <c r="AV851" i="2"/>
  <c r="F851" i="2"/>
  <c r="D851" i="2"/>
  <c r="C851" i="2"/>
  <c r="DN850" i="2"/>
  <c r="DD850" i="2" s="1"/>
  <c r="DM850" i="2"/>
  <c r="DI850" i="2"/>
  <c r="DL850" i="2" s="1"/>
  <c r="DH850" i="2"/>
  <c r="DG850" i="2"/>
  <c r="DF850" i="2"/>
  <c r="DE850" i="2"/>
  <c r="DK850" i="2" s="1"/>
  <c r="CY850" i="2"/>
  <c r="CX850" i="2"/>
  <c r="BQ850" i="2"/>
  <c r="BP850" i="2"/>
  <c r="BO850" i="2"/>
  <c r="BN850" i="2"/>
  <c r="BM850" i="2"/>
  <c r="BL850" i="2"/>
  <c r="BK850" i="2"/>
  <c r="BJ850" i="2"/>
  <c r="BI850" i="2"/>
  <c r="BH850" i="2"/>
  <c r="AY850" i="2" s="1"/>
  <c r="F850" i="2"/>
  <c r="D850" i="2"/>
  <c r="C850" i="2"/>
  <c r="DN849" i="2"/>
  <c r="DH849" i="2" s="1"/>
  <c r="DM849" i="2"/>
  <c r="BQ849" i="2"/>
  <c r="BP849" i="2"/>
  <c r="BO849" i="2"/>
  <c r="BN849" i="2"/>
  <c r="BM849" i="2"/>
  <c r="BG849" i="2" s="1"/>
  <c r="BL849" i="2"/>
  <c r="BK849" i="2"/>
  <c r="BJ849" i="2"/>
  <c r="BI849" i="2"/>
  <c r="AZ849" i="2" s="1"/>
  <c r="BH849" i="2"/>
  <c r="F849" i="2"/>
  <c r="D849" i="2"/>
  <c r="C849" i="2"/>
  <c r="DM848" i="2"/>
  <c r="DN848" i="2" s="1"/>
  <c r="DI848" i="2" s="1"/>
  <c r="DL848" i="2" s="1"/>
  <c r="DG848" i="2"/>
  <c r="DE848" i="2"/>
  <c r="DK848" i="2" s="1"/>
  <c r="DD848" i="2"/>
  <c r="DC848" i="2"/>
  <c r="BQ848" i="2"/>
  <c r="BP848" i="2"/>
  <c r="BO848" i="2"/>
  <c r="BN848" i="2"/>
  <c r="BM848" i="2"/>
  <c r="BG848" i="2" s="1"/>
  <c r="BL848" i="2"/>
  <c r="BK848" i="2"/>
  <c r="BJ848" i="2"/>
  <c r="BF848" i="2" s="1"/>
  <c r="BI848" i="2"/>
  <c r="BH848" i="2"/>
  <c r="AY848" i="2"/>
  <c r="F848" i="2"/>
  <c r="D848" i="2"/>
  <c r="C848" i="2"/>
  <c r="DM847" i="2"/>
  <c r="DN847" i="2" s="1"/>
  <c r="DD847" i="2" s="1"/>
  <c r="DH847" i="2"/>
  <c r="DF847" i="2"/>
  <c r="DE847" i="2"/>
  <c r="DK847" i="2" s="1"/>
  <c r="DC847" i="2"/>
  <c r="BQ847" i="2"/>
  <c r="BP847" i="2"/>
  <c r="BO847" i="2"/>
  <c r="BN847" i="2"/>
  <c r="BM847" i="2"/>
  <c r="AV847" i="2" s="1"/>
  <c r="BL847" i="2"/>
  <c r="BK847" i="2"/>
  <c r="BJ847" i="2"/>
  <c r="BF847" i="2" s="1"/>
  <c r="BI847" i="2"/>
  <c r="BH847" i="2"/>
  <c r="BG847" i="2"/>
  <c r="AX847" i="2"/>
  <c r="F847" i="2"/>
  <c r="D847" i="2"/>
  <c r="C847" i="2"/>
  <c r="DM846" i="2"/>
  <c r="DN846" i="2" s="1"/>
  <c r="DG846" i="2"/>
  <c r="DE846" i="2"/>
  <c r="DK846" i="2" s="1"/>
  <c r="DD846" i="2"/>
  <c r="DC846" i="2"/>
  <c r="DB846" i="2"/>
  <c r="DA846" i="2"/>
  <c r="DJ846" i="2" s="1"/>
  <c r="BQ846" i="2"/>
  <c r="BP846" i="2"/>
  <c r="BO846" i="2"/>
  <c r="BN846" i="2"/>
  <c r="BM846" i="2"/>
  <c r="BL846" i="2"/>
  <c r="BK846" i="2"/>
  <c r="BJ846" i="2"/>
  <c r="BI846" i="2"/>
  <c r="BH846" i="2"/>
  <c r="BG846" i="2" s="1"/>
  <c r="BF846" i="2"/>
  <c r="BE846" i="2"/>
  <c r="AV846" i="2"/>
  <c r="F846" i="2"/>
  <c r="D846" i="2"/>
  <c r="C846" i="2"/>
  <c r="DM845" i="2"/>
  <c r="DN845" i="2" s="1"/>
  <c r="DF845" i="2" s="1"/>
  <c r="DI845" i="2"/>
  <c r="DL845" i="2" s="1"/>
  <c r="DD845" i="2"/>
  <c r="DB845" i="2"/>
  <c r="CZ845" i="2"/>
  <c r="BQ845" i="2"/>
  <c r="BP845" i="2"/>
  <c r="BO845" i="2"/>
  <c r="BN845" i="2"/>
  <c r="BM845" i="2"/>
  <c r="BG845" i="2" s="1"/>
  <c r="BL845" i="2"/>
  <c r="BK845" i="2"/>
  <c r="BJ845" i="2"/>
  <c r="BI845" i="2"/>
  <c r="BH845" i="2"/>
  <c r="BE845" i="2" s="1"/>
  <c r="BF845" i="2"/>
  <c r="F845" i="2"/>
  <c r="D845" i="2"/>
  <c r="C845" i="2"/>
  <c r="DN844" i="2"/>
  <c r="DM844" i="2"/>
  <c r="DI844" i="2"/>
  <c r="DL844" i="2" s="1"/>
  <c r="DH844" i="2"/>
  <c r="DG844" i="2"/>
  <c r="DF844" i="2"/>
  <c r="DE844" i="2"/>
  <c r="DK844" i="2" s="1"/>
  <c r="DD844" i="2"/>
  <c r="DC844" i="2"/>
  <c r="DB844" i="2"/>
  <c r="DA844" i="2"/>
  <c r="DJ844" i="2" s="1"/>
  <c r="CZ844" i="2"/>
  <c r="CY844" i="2"/>
  <c r="CX844" i="2"/>
  <c r="BQ844" i="2"/>
  <c r="BP844" i="2"/>
  <c r="BO844" i="2"/>
  <c r="BN844" i="2"/>
  <c r="BM844" i="2"/>
  <c r="AV844" i="2" s="1"/>
  <c r="BL844" i="2"/>
  <c r="BK844" i="2"/>
  <c r="BJ844" i="2"/>
  <c r="BI844" i="2"/>
  <c r="AZ844" i="2" s="1"/>
  <c r="BH844" i="2"/>
  <c r="BG844" i="2"/>
  <c r="BF844" i="2"/>
  <c r="F844" i="2"/>
  <c r="D844" i="2"/>
  <c r="C844" i="2"/>
  <c r="DN843" i="2"/>
  <c r="DH843" i="2" s="1"/>
  <c r="DM843" i="2"/>
  <c r="DI843" i="2"/>
  <c r="DL843" i="2" s="1"/>
  <c r="DG843" i="2"/>
  <c r="DD843" i="2"/>
  <c r="DB843" i="2"/>
  <c r="CX843" i="2"/>
  <c r="BQ843" i="2"/>
  <c r="BP843" i="2"/>
  <c r="BO843" i="2"/>
  <c r="BN843" i="2"/>
  <c r="BM843" i="2"/>
  <c r="BL843" i="2"/>
  <c r="BK843" i="2"/>
  <c r="BJ843" i="2"/>
  <c r="BI843" i="2"/>
  <c r="BH843" i="2"/>
  <c r="BF843" i="2"/>
  <c r="BC843" i="2"/>
  <c r="AZ843" i="2"/>
  <c r="F843" i="2"/>
  <c r="D843" i="2"/>
  <c r="C843" i="2"/>
  <c r="DN842" i="2"/>
  <c r="DM842" i="2"/>
  <c r="BQ842" i="2"/>
  <c r="BE842" i="2" s="1"/>
  <c r="BP842" i="2"/>
  <c r="BO842" i="2"/>
  <c r="BN842" i="2"/>
  <c r="BM842" i="2"/>
  <c r="AV842" i="2" s="1"/>
  <c r="BL842" i="2"/>
  <c r="BK842" i="2"/>
  <c r="BC842" i="2" s="1"/>
  <c r="BJ842" i="2"/>
  <c r="BI842" i="2"/>
  <c r="BH842" i="2"/>
  <c r="AX842" i="2" s="1"/>
  <c r="AZ842" i="2"/>
  <c r="F842" i="2"/>
  <c r="D842" i="2"/>
  <c r="C842" i="2"/>
  <c r="DM841" i="2"/>
  <c r="DN841" i="2" s="1"/>
  <c r="CZ841" i="2"/>
  <c r="BQ841" i="2"/>
  <c r="BP841" i="2"/>
  <c r="BO841" i="2"/>
  <c r="BN841" i="2"/>
  <c r="BM841" i="2"/>
  <c r="AV841" i="2" s="1"/>
  <c r="BL841" i="2"/>
  <c r="BK841" i="2"/>
  <c r="AY841" i="2" s="1"/>
  <c r="BJ841" i="2"/>
  <c r="BI841" i="2"/>
  <c r="BE841" i="2" s="1"/>
  <c r="BH841" i="2"/>
  <c r="BC841" i="2"/>
  <c r="AZ841" i="2"/>
  <c r="AX841" i="2"/>
  <c r="F841" i="2"/>
  <c r="D841" i="2"/>
  <c r="C841" i="2"/>
  <c r="DM840" i="2"/>
  <c r="DN840" i="2" s="1"/>
  <c r="BQ840" i="2"/>
  <c r="BP840" i="2"/>
  <c r="BO840" i="2"/>
  <c r="BN840" i="2"/>
  <c r="BM840" i="2"/>
  <c r="BL840" i="2"/>
  <c r="BK840" i="2"/>
  <c r="BC840" i="2" s="1"/>
  <c r="BJ840" i="2"/>
  <c r="BI840" i="2"/>
  <c r="BH840" i="2"/>
  <c r="BE840" i="2"/>
  <c r="AZ840" i="2"/>
  <c r="AX840" i="2"/>
  <c r="F840" i="2"/>
  <c r="D840" i="2"/>
  <c r="C840" i="2"/>
  <c r="DN839" i="2"/>
  <c r="DI839" i="2" s="1"/>
  <c r="DL839" i="2" s="1"/>
  <c r="DM839" i="2"/>
  <c r="DG839" i="2"/>
  <c r="DF839" i="2"/>
  <c r="DE839" i="2"/>
  <c r="DK839" i="2" s="1"/>
  <c r="CX839" i="2"/>
  <c r="BQ839" i="2"/>
  <c r="BP839" i="2"/>
  <c r="BO839" i="2"/>
  <c r="BN839" i="2"/>
  <c r="BM839" i="2"/>
  <c r="BL839" i="2"/>
  <c r="BK839" i="2"/>
  <c r="BJ839" i="2"/>
  <c r="BF839" i="2" s="1"/>
  <c r="BI839" i="2"/>
  <c r="BH839" i="2"/>
  <c r="BD839" i="2" s="1"/>
  <c r="BG839" i="2"/>
  <c r="F839" i="2"/>
  <c r="D839" i="2"/>
  <c r="C839" i="2"/>
  <c r="DM838" i="2"/>
  <c r="DN838" i="2" s="1"/>
  <c r="DH838" i="2" s="1"/>
  <c r="DI838" i="2"/>
  <c r="DL838" i="2" s="1"/>
  <c r="DF838" i="2"/>
  <c r="DE838" i="2"/>
  <c r="DK838" i="2" s="1"/>
  <c r="DD838" i="2"/>
  <c r="DC838" i="2"/>
  <c r="DB838" i="2"/>
  <c r="CY838" i="2"/>
  <c r="BQ838" i="2"/>
  <c r="BP838" i="2"/>
  <c r="BO838" i="2"/>
  <c r="BF838" i="2" s="1"/>
  <c r="BN838" i="2"/>
  <c r="BM838" i="2"/>
  <c r="AV838" i="2" s="1"/>
  <c r="BL838" i="2"/>
  <c r="BK838" i="2"/>
  <c r="BJ838" i="2"/>
  <c r="BI838" i="2"/>
  <c r="BH838" i="2"/>
  <c r="BG838" i="2"/>
  <c r="BC838" i="2"/>
  <c r="AY838" i="2"/>
  <c r="AX838" i="2"/>
  <c r="F838" i="2"/>
  <c r="D838" i="2"/>
  <c r="C838" i="2"/>
  <c r="DN837" i="2"/>
  <c r="DG837" i="2" s="1"/>
  <c r="DM837" i="2"/>
  <c r="DL837" i="2"/>
  <c r="DI837" i="2"/>
  <c r="DH837" i="2"/>
  <c r="DE837" i="2"/>
  <c r="DK837" i="2" s="1"/>
  <c r="DC837" i="2"/>
  <c r="DB837" i="2"/>
  <c r="DA837" i="2"/>
  <c r="DJ837" i="2" s="1"/>
  <c r="CX837" i="2"/>
  <c r="BQ837" i="2"/>
  <c r="BP837" i="2"/>
  <c r="BO837" i="2"/>
  <c r="BF837" i="2" s="1"/>
  <c r="BN837" i="2"/>
  <c r="BM837" i="2"/>
  <c r="AV837" i="2" s="1"/>
  <c r="BL837" i="2"/>
  <c r="BK837" i="2"/>
  <c r="BJ837" i="2"/>
  <c r="BI837" i="2"/>
  <c r="BC837" i="2" s="1"/>
  <c r="BH837" i="2"/>
  <c r="BG837" i="2"/>
  <c r="BE837" i="2"/>
  <c r="AZ837" i="2"/>
  <c r="AY837" i="2"/>
  <c r="AX837" i="2"/>
  <c r="F837" i="2"/>
  <c r="D837" i="2"/>
  <c r="C837" i="2"/>
  <c r="DM836" i="2"/>
  <c r="DN836" i="2" s="1"/>
  <c r="DI836" i="2" s="1"/>
  <c r="DL836" i="2" s="1"/>
  <c r="DG836" i="2"/>
  <c r="DB836" i="2"/>
  <c r="DA836" i="2"/>
  <c r="DJ836" i="2" s="1"/>
  <c r="BQ836" i="2"/>
  <c r="BP836" i="2"/>
  <c r="BO836" i="2"/>
  <c r="BN836" i="2"/>
  <c r="BM836" i="2"/>
  <c r="AV836" i="2" s="1"/>
  <c r="BL836" i="2"/>
  <c r="BK836" i="2"/>
  <c r="BJ836" i="2"/>
  <c r="BI836" i="2"/>
  <c r="BH836" i="2"/>
  <c r="AX836" i="2" s="1"/>
  <c r="BF836" i="2"/>
  <c r="BD836" i="2"/>
  <c r="AY836" i="2"/>
  <c r="F836" i="2"/>
  <c r="D836" i="2"/>
  <c r="C836" i="2"/>
  <c r="DM835" i="2"/>
  <c r="DN835" i="2" s="1"/>
  <c r="DL835" i="2"/>
  <c r="DI835" i="2"/>
  <c r="DH835" i="2"/>
  <c r="DG835" i="2"/>
  <c r="DF835" i="2"/>
  <c r="DE835" i="2"/>
  <c r="DK835" i="2" s="1"/>
  <c r="DC835" i="2"/>
  <c r="DB835" i="2"/>
  <c r="CY835" i="2"/>
  <c r="BQ835" i="2"/>
  <c r="BP835" i="2"/>
  <c r="BO835" i="2"/>
  <c r="BN835" i="2"/>
  <c r="BM835" i="2"/>
  <c r="BL835" i="2"/>
  <c r="BD835" i="2" s="1"/>
  <c r="BK835" i="2"/>
  <c r="BJ835" i="2"/>
  <c r="BF835" i="2" s="1"/>
  <c r="BI835" i="2"/>
  <c r="BH835" i="2"/>
  <c r="BG835" i="2"/>
  <c r="AX835" i="2"/>
  <c r="F835" i="2"/>
  <c r="D835" i="2"/>
  <c r="C835" i="2"/>
  <c r="DN834" i="2"/>
  <c r="DC834" i="2" s="1"/>
  <c r="DM834" i="2"/>
  <c r="DI834" i="2"/>
  <c r="DL834" i="2" s="1"/>
  <c r="DH834" i="2"/>
  <c r="DG834" i="2"/>
  <c r="BQ834" i="2"/>
  <c r="BP834" i="2"/>
  <c r="BO834" i="2"/>
  <c r="BN834" i="2"/>
  <c r="BM834" i="2"/>
  <c r="BG834" i="2" s="1"/>
  <c r="BL834" i="2"/>
  <c r="BK834" i="2"/>
  <c r="BJ834" i="2"/>
  <c r="BF834" i="2" s="1"/>
  <c r="BI834" i="2"/>
  <c r="BC834" i="2" s="1"/>
  <c r="BH834" i="2"/>
  <c r="BE834" i="2"/>
  <c r="F834" i="2"/>
  <c r="D834" i="2"/>
  <c r="C834" i="2"/>
  <c r="DM833" i="2"/>
  <c r="DN833" i="2" s="1"/>
  <c r="BQ833" i="2"/>
  <c r="BP833" i="2"/>
  <c r="BO833" i="2"/>
  <c r="BN833" i="2"/>
  <c r="AZ833" i="2" s="1"/>
  <c r="BM833" i="2"/>
  <c r="BG833" i="2" s="1"/>
  <c r="BL833" i="2"/>
  <c r="BK833" i="2"/>
  <c r="BJ833" i="2"/>
  <c r="BF833" i="2" s="1"/>
  <c r="BI833" i="2"/>
  <c r="BE833" i="2" s="1"/>
  <c r="BH833" i="2"/>
  <c r="AX833" i="2" s="1"/>
  <c r="AV833" i="2"/>
  <c r="F833" i="2"/>
  <c r="D833" i="2"/>
  <c r="C833" i="2"/>
  <c r="DM832" i="2"/>
  <c r="DN832" i="2" s="1"/>
  <c r="CZ832" i="2"/>
  <c r="BQ832" i="2"/>
  <c r="BP832" i="2"/>
  <c r="BO832" i="2"/>
  <c r="BN832" i="2"/>
  <c r="BM832" i="2"/>
  <c r="BL832" i="2"/>
  <c r="BK832" i="2"/>
  <c r="BF832" i="2" s="1"/>
  <c r="BJ832" i="2"/>
  <c r="BI832" i="2"/>
  <c r="BE832" i="2" s="1"/>
  <c r="BH832" i="2"/>
  <c r="AX832" i="2" s="1"/>
  <c r="BG832" i="2"/>
  <c r="BD832" i="2"/>
  <c r="BC832" i="2"/>
  <c r="AZ832" i="2"/>
  <c r="AV832" i="2"/>
  <c r="F832" i="2"/>
  <c r="D832" i="2"/>
  <c r="C832" i="2"/>
  <c r="DM831" i="2"/>
  <c r="DN831" i="2" s="1"/>
  <c r="BQ831" i="2"/>
  <c r="BP831" i="2"/>
  <c r="BO831" i="2"/>
  <c r="BN831" i="2"/>
  <c r="BM831" i="2"/>
  <c r="BL831" i="2"/>
  <c r="BK831" i="2"/>
  <c r="BJ831" i="2"/>
  <c r="BF831" i="2" s="1"/>
  <c r="BI831" i="2"/>
  <c r="BE831" i="2" s="1"/>
  <c r="BH831" i="2"/>
  <c r="AY831" i="2" s="1"/>
  <c r="AX831" i="2"/>
  <c r="F831" i="2"/>
  <c r="D831" i="2"/>
  <c r="C831" i="2"/>
  <c r="DN830" i="2"/>
  <c r="CY830" i="2" s="1"/>
  <c r="DM830" i="2"/>
  <c r="DH830" i="2"/>
  <c r="DG830" i="2"/>
  <c r="DE830" i="2"/>
  <c r="DK830" i="2" s="1"/>
  <c r="DC830" i="2"/>
  <c r="DB830" i="2"/>
  <c r="DA830" i="2"/>
  <c r="DJ830" i="2" s="1"/>
  <c r="CZ830" i="2"/>
  <c r="CX830" i="2"/>
  <c r="BQ830" i="2"/>
  <c r="BP830" i="2"/>
  <c r="BO830" i="2"/>
  <c r="BN830" i="2"/>
  <c r="BM830" i="2"/>
  <c r="BL830" i="2"/>
  <c r="BK830" i="2"/>
  <c r="BJ830" i="2"/>
  <c r="AV830" i="2" s="1"/>
  <c r="BI830" i="2"/>
  <c r="BH830" i="2"/>
  <c r="AY830" i="2" s="1"/>
  <c r="BF830" i="2"/>
  <c r="BD830" i="2"/>
  <c r="AZ830" i="2"/>
  <c r="F830" i="2"/>
  <c r="D830" i="2"/>
  <c r="C830" i="2"/>
  <c r="DM829" i="2"/>
  <c r="DN829" i="2" s="1"/>
  <c r="CX829" i="2" s="1"/>
  <c r="BQ829" i="2"/>
  <c r="BP829" i="2"/>
  <c r="BE829" i="2" s="1"/>
  <c r="BO829" i="2"/>
  <c r="BN829" i="2"/>
  <c r="BM829" i="2"/>
  <c r="BL829" i="2"/>
  <c r="BK829" i="2"/>
  <c r="BJ829" i="2"/>
  <c r="BF829" i="2" s="1"/>
  <c r="BI829" i="2"/>
  <c r="BC829" i="2" s="1"/>
  <c r="BH829" i="2"/>
  <c r="AX829" i="2" s="1"/>
  <c r="AY829" i="2"/>
  <c r="F829" i="2"/>
  <c r="D829" i="2"/>
  <c r="C829" i="2"/>
  <c r="DN828" i="2"/>
  <c r="DM828" i="2"/>
  <c r="DL828" i="2"/>
  <c r="DJ828" i="2"/>
  <c r="DI828" i="2"/>
  <c r="DH828" i="2"/>
  <c r="DG828" i="2"/>
  <c r="DF828" i="2"/>
  <c r="DE828" i="2"/>
  <c r="DK828" i="2" s="1"/>
  <c r="DD828" i="2"/>
  <c r="DC828" i="2"/>
  <c r="DB828" i="2"/>
  <c r="DA828" i="2"/>
  <c r="CZ828" i="2"/>
  <c r="CY828" i="2"/>
  <c r="CX828" i="2"/>
  <c r="BQ828" i="2"/>
  <c r="BP828" i="2"/>
  <c r="BO828" i="2"/>
  <c r="BN828" i="2"/>
  <c r="BM828" i="2"/>
  <c r="AV828" i="2" s="1"/>
  <c r="BL828" i="2"/>
  <c r="BK828" i="2"/>
  <c r="BJ828" i="2"/>
  <c r="BF828" i="2" s="1"/>
  <c r="BI828" i="2"/>
  <c r="BH828" i="2"/>
  <c r="BG828" i="2" s="1"/>
  <c r="F828" i="2"/>
  <c r="D828" i="2"/>
  <c r="C828" i="2"/>
  <c r="DM827" i="2"/>
  <c r="DN827" i="2" s="1"/>
  <c r="BQ827" i="2"/>
  <c r="BP827" i="2"/>
  <c r="BO827" i="2"/>
  <c r="BN827" i="2"/>
  <c r="BM827" i="2"/>
  <c r="BL827" i="2"/>
  <c r="BK827" i="2"/>
  <c r="BF827" i="2" s="1"/>
  <c r="BJ827" i="2"/>
  <c r="BI827" i="2"/>
  <c r="BC827" i="2" s="1"/>
  <c r="BH827" i="2"/>
  <c r="AX827" i="2" s="1"/>
  <c r="BG827" i="2"/>
  <c r="BE827" i="2"/>
  <c r="BD827" i="2"/>
  <c r="AV827" i="2"/>
  <c r="F827" i="2"/>
  <c r="D827" i="2"/>
  <c r="C827" i="2"/>
  <c r="A827" i="2"/>
  <c r="DM826" i="2"/>
  <c r="DN826" i="2" s="1"/>
  <c r="BQ826" i="2"/>
  <c r="BG826" i="2" s="1"/>
  <c r="BP826" i="2"/>
  <c r="BO826" i="2"/>
  <c r="BN826" i="2"/>
  <c r="BM826" i="2"/>
  <c r="BL826" i="2"/>
  <c r="BK826" i="2"/>
  <c r="BJ826" i="2"/>
  <c r="BF826" i="2" s="1"/>
  <c r="BI826" i="2"/>
  <c r="BH826" i="2"/>
  <c r="AX826" i="2" s="1"/>
  <c r="BC826" i="2"/>
  <c r="AZ826" i="2"/>
  <c r="AY826" i="2"/>
  <c r="AW826" i="2"/>
  <c r="AV826" i="2"/>
  <c r="F826" i="2"/>
  <c r="D826" i="2"/>
  <c r="C826" i="2"/>
  <c r="DM825" i="2"/>
  <c r="DN825" i="2" s="1"/>
  <c r="DG825" i="2"/>
  <c r="BQ825" i="2"/>
  <c r="BP825" i="2"/>
  <c r="BO825" i="2"/>
  <c r="BN825" i="2"/>
  <c r="BC825" i="2" s="1"/>
  <c r="BM825" i="2"/>
  <c r="BG825" i="2" s="1"/>
  <c r="BL825" i="2"/>
  <c r="BK825" i="2"/>
  <c r="BJ825" i="2"/>
  <c r="BI825" i="2"/>
  <c r="BE825" i="2" s="1"/>
  <c r="BH825" i="2"/>
  <c r="BD825" i="2" s="1"/>
  <c r="AX825" i="2"/>
  <c r="F825" i="2"/>
  <c r="D825" i="2"/>
  <c r="C825" i="2"/>
  <c r="DN824" i="2"/>
  <c r="CZ824" i="2" s="1"/>
  <c r="DM824" i="2"/>
  <c r="DI824" i="2"/>
  <c r="DL824" i="2" s="1"/>
  <c r="DG824" i="2"/>
  <c r="DE824" i="2"/>
  <c r="DK824" i="2" s="1"/>
  <c r="DC824" i="2"/>
  <c r="DB824" i="2"/>
  <c r="DA824" i="2"/>
  <c r="DJ824" i="2" s="1"/>
  <c r="BQ824" i="2"/>
  <c r="BP824" i="2"/>
  <c r="BO824" i="2"/>
  <c r="BN824" i="2"/>
  <c r="BM824" i="2"/>
  <c r="AV824" i="2" s="1"/>
  <c r="BL824" i="2"/>
  <c r="BK824" i="2"/>
  <c r="BJ824" i="2"/>
  <c r="BI824" i="2"/>
  <c r="BC824" i="2" s="1"/>
  <c r="BH824" i="2"/>
  <c r="BD824" i="2" s="1"/>
  <c r="BG824" i="2"/>
  <c r="BF824" i="2"/>
  <c r="BE824" i="2"/>
  <c r="F824" i="2"/>
  <c r="D824" i="2"/>
  <c r="C824" i="2"/>
  <c r="DN823" i="2"/>
  <c r="DM823" i="2"/>
  <c r="DI823" i="2"/>
  <c r="DL823" i="2" s="1"/>
  <c r="DH823" i="2"/>
  <c r="DG823" i="2"/>
  <c r="DF823" i="2"/>
  <c r="DE823" i="2"/>
  <c r="DK823" i="2" s="1"/>
  <c r="DD823" i="2"/>
  <c r="DC823" i="2"/>
  <c r="DB823" i="2"/>
  <c r="DA823" i="2"/>
  <c r="DJ823" i="2" s="1"/>
  <c r="CZ823" i="2"/>
  <c r="CY823" i="2"/>
  <c r="CX823" i="2"/>
  <c r="BQ823" i="2"/>
  <c r="BP823" i="2"/>
  <c r="BO823" i="2"/>
  <c r="BN823" i="2"/>
  <c r="BM823" i="2"/>
  <c r="BD823" i="2" s="1"/>
  <c r="BL823" i="2"/>
  <c r="BK823" i="2"/>
  <c r="BJ823" i="2"/>
  <c r="BI823" i="2"/>
  <c r="BC823" i="2" s="1"/>
  <c r="BH823" i="2"/>
  <c r="AY823" i="2" s="1"/>
  <c r="BF823" i="2"/>
  <c r="BE823" i="2"/>
  <c r="F823" i="2"/>
  <c r="D823" i="2"/>
  <c r="C823" i="2"/>
  <c r="DN822" i="2"/>
  <c r="DI822" i="2" s="1"/>
  <c r="DL822" i="2" s="1"/>
  <c r="DM822" i="2"/>
  <c r="DH822" i="2"/>
  <c r="DG822" i="2"/>
  <c r="DE822" i="2"/>
  <c r="DK822" i="2" s="1"/>
  <c r="DD822" i="2"/>
  <c r="DC822" i="2"/>
  <c r="DB822" i="2"/>
  <c r="DA822" i="2"/>
  <c r="DJ822" i="2" s="1"/>
  <c r="CZ822" i="2"/>
  <c r="CY822" i="2"/>
  <c r="CX822" i="2"/>
  <c r="BQ822" i="2"/>
  <c r="BP822" i="2"/>
  <c r="BO822" i="2"/>
  <c r="BF822" i="2" s="1"/>
  <c r="BN822" i="2"/>
  <c r="BM822" i="2"/>
  <c r="AV822" i="2" s="1"/>
  <c r="BL822" i="2"/>
  <c r="BK822" i="2"/>
  <c r="BJ822" i="2"/>
  <c r="BI822" i="2"/>
  <c r="AZ822" i="2" s="1"/>
  <c r="BH822" i="2"/>
  <c r="AY822" i="2" s="1"/>
  <c r="BG822" i="2"/>
  <c r="BE822" i="2"/>
  <c r="BD822" i="2"/>
  <c r="BC822" i="2"/>
  <c r="F822" i="2"/>
  <c r="D822" i="2"/>
  <c r="C822" i="2"/>
  <c r="DN821" i="2"/>
  <c r="DI821" i="2" s="1"/>
  <c r="DL821" i="2" s="1"/>
  <c r="DM821" i="2"/>
  <c r="DG821" i="2"/>
  <c r="CZ821" i="2"/>
  <c r="CY821" i="2"/>
  <c r="CX821" i="2"/>
  <c r="BQ821" i="2"/>
  <c r="BP821" i="2"/>
  <c r="BO821" i="2"/>
  <c r="BN821" i="2"/>
  <c r="BM821" i="2"/>
  <c r="BL821" i="2"/>
  <c r="BK821" i="2"/>
  <c r="BF821" i="2" s="1"/>
  <c r="BJ821" i="2"/>
  <c r="AV821" i="2" s="1"/>
  <c r="BI821" i="2"/>
  <c r="BH821" i="2"/>
  <c r="AY821" i="2" s="1"/>
  <c r="BD821" i="2"/>
  <c r="BC821" i="2"/>
  <c r="AZ821" i="2"/>
  <c r="F821" i="2"/>
  <c r="D821" i="2"/>
  <c r="C821" i="2"/>
  <c r="DN820" i="2"/>
  <c r="CY820" i="2" s="1"/>
  <c r="DM820" i="2"/>
  <c r="CX820" i="2"/>
  <c r="BQ820" i="2"/>
  <c r="BE820" i="2" s="1"/>
  <c r="BP820" i="2"/>
  <c r="BO820" i="2"/>
  <c r="BN820" i="2"/>
  <c r="BM820" i="2"/>
  <c r="AV820" i="2" s="1"/>
  <c r="BL820" i="2"/>
  <c r="BK820" i="2"/>
  <c r="BJ820" i="2"/>
  <c r="BF820" i="2" s="1"/>
  <c r="BI820" i="2"/>
  <c r="BH820" i="2"/>
  <c r="BC820" i="2"/>
  <c r="AZ820" i="2"/>
  <c r="AY820" i="2"/>
  <c r="AX820" i="2"/>
  <c r="AW820" i="2" s="1"/>
  <c r="F820" i="2"/>
  <c r="D820" i="2"/>
  <c r="C820" i="2"/>
  <c r="DN819" i="2"/>
  <c r="DM819" i="2"/>
  <c r="CX819" i="2"/>
  <c r="BQ819" i="2"/>
  <c r="BP819" i="2"/>
  <c r="BF819" i="2" s="1"/>
  <c r="BO819" i="2"/>
  <c r="BN819" i="2"/>
  <c r="BM819" i="2"/>
  <c r="AV819" i="2" s="1"/>
  <c r="BL819" i="2"/>
  <c r="BD819" i="2" s="1"/>
  <c r="BK819" i="2"/>
  <c r="BJ819" i="2"/>
  <c r="BI819" i="2"/>
  <c r="BH819" i="2"/>
  <c r="AZ819" i="2"/>
  <c r="AY819" i="2"/>
  <c r="AX819" i="2"/>
  <c r="F819" i="2"/>
  <c r="D819" i="2"/>
  <c r="C819" i="2"/>
  <c r="DM818" i="2"/>
  <c r="DN818" i="2" s="1"/>
  <c r="BQ818" i="2"/>
  <c r="BP818" i="2"/>
  <c r="BO818" i="2"/>
  <c r="BN818" i="2"/>
  <c r="BM818" i="2"/>
  <c r="AV818" i="2" s="1"/>
  <c r="BL818" i="2"/>
  <c r="BK818" i="2"/>
  <c r="BC818" i="2" s="1"/>
  <c r="BJ818" i="2"/>
  <c r="BI818" i="2"/>
  <c r="BH818" i="2"/>
  <c r="BG818" i="2" s="1"/>
  <c r="AZ818" i="2"/>
  <c r="AY818" i="2"/>
  <c r="AX818" i="2"/>
  <c r="F818" i="2"/>
  <c r="D818" i="2"/>
  <c r="C818" i="2"/>
  <c r="DN817" i="2"/>
  <c r="DH817" i="2" s="1"/>
  <c r="DM817" i="2"/>
  <c r="DL817" i="2"/>
  <c r="DI817" i="2"/>
  <c r="DF817" i="2"/>
  <c r="DC817" i="2"/>
  <c r="CX817" i="2"/>
  <c r="BQ817" i="2"/>
  <c r="BP817" i="2"/>
  <c r="BO817" i="2"/>
  <c r="BN817" i="2"/>
  <c r="BC817" i="2" s="1"/>
  <c r="BM817" i="2"/>
  <c r="AV817" i="2" s="1"/>
  <c r="BL817" i="2"/>
  <c r="BK817" i="2"/>
  <c r="AY817" i="2" s="1"/>
  <c r="BJ817" i="2"/>
  <c r="BI817" i="2"/>
  <c r="BE817" i="2" s="1"/>
  <c r="BH817" i="2"/>
  <c r="BG817" i="2"/>
  <c r="AX817" i="2"/>
  <c r="F817" i="2"/>
  <c r="D817" i="2"/>
  <c r="C817" i="2"/>
  <c r="DM816" i="2"/>
  <c r="DN816" i="2" s="1"/>
  <c r="DI816" i="2"/>
  <c r="DL816" i="2" s="1"/>
  <c r="BQ816" i="2"/>
  <c r="BP816" i="2"/>
  <c r="BO816" i="2"/>
  <c r="BF816" i="2" s="1"/>
  <c r="BN816" i="2"/>
  <c r="BM816" i="2"/>
  <c r="BG816" i="2" s="1"/>
  <c r="BL816" i="2"/>
  <c r="BK816" i="2"/>
  <c r="BJ816" i="2"/>
  <c r="BI816" i="2"/>
  <c r="BH816" i="2"/>
  <c r="BD816" i="2" s="1"/>
  <c r="AX816" i="2"/>
  <c r="AV816" i="2"/>
  <c r="F816" i="2"/>
  <c r="D816" i="2"/>
  <c r="C816" i="2"/>
  <c r="DN815" i="2"/>
  <c r="DF815" i="2" s="1"/>
  <c r="DM815" i="2"/>
  <c r="DJ815" i="2"/>
  <c r="DI815" i="2"/>
  <c r="DL815" i="2" s="1"/>
  <c r="DH815" i="2"/>
  <c r="DG815" i="2"/>
  <c r="DD815" i="2"/>
  <c r="DA815" i="2"/>
  <c r="CZ815" i="2"/>
  <c r="CX815" i="2"/>
  <c r="BQ815" i="2"/>
  <c r="BP815" i="2"/>
  <c r="BO815" i="2"/>
  <c r="BN815" i="2"/>
  <c r="AZ815" i="2" s="1"/>
  <c r="BM815" i="2"/>
  <c r="BL815" i="2"/>
  <c r="BK815" i="2"/>
  <c r="BJ815" i="2"/>
  <c r="BF815" i="2" s="1"/>
  <c r="BI815" i="2"/>
  <c r="BC815" i="2" s="1"/>
  <c r="BH815" i="2"/>
  <c r="BE815" i="2"/>
  <c r="F815" i="2"/>
  <c r="D815" i="2"/>
  <c r="C815" i="2"/>
  <c r="DM814" i="2"/>
  <c r="DN814" i="2" s="1"/>
  <c r="DI814" i="2" s="1"/>
  <c r="DL814" i="2" s="1"/>
  <c r="BQ814" i="2"/>
  <c r="BP814" i="2"/>
  <c r="BO814" i="2"/>
  <c r="BN814" i="2"/>
  <c r="BM814" i="2"/>
  <c r="BL814" i="2"/>
  <c r="BK814" i="2"/>
  <c r="BJ814" i="2"/>
  <c r="BI814" i="2"/>
  <c r="BE814" i="2" s="1"/>
  <c r="BH814" i="2"/>
  <c r="AX814" i="2" s="1"/>
  <c r="F814" i="2"/>
  <c r="D814" i="2"/>
  <c r="C814" i="2"/>
  <c r="DN813" i="2"/>
  <c r="DD813" i="2" s="1"/>
  <c r="DM813" i="2"/>
  <c r="DI813" i="2"/>
  <c r="DL813" i="2" s="1"/>
  <c r="DH813" i="2"/>
  <c r="DG813" i="2"/>
  <c r="DF813" i="2"/>
  <c r="DE813" i="2"/>
  <c r="DK813" i="2" s="1"/>
  <c r="DB813" i="2"/>
  <c r="CY813" i="2"/>
  <c r="CX813" i="2"/>
  <c r="BQ813" i="2"/>
  <c r="BP813" i="2"/>
  <c r="BO813" i="2"/>
  <c r="BN813" i="2"/>
  <c r="BM813" i="2"/>
  <c r="BG813" i="2" s="1"/>
  <c r="BL813" i="2"/>
  <c r="BK813" i="2"/>
  <c r="BC813" i="2" s="1"/>
  <c r="BJ813" i="2"/>
  <c r="BI813" i="2"/>
  <c r="BE813" i="2" s="1"/>
  <c r="BH813" i="2"/>
  <c r="AX813" i="2"/>
  <c r="F813" i="2"/>
  <c r="D813" i="2"/>
  <c r="C813" i="2"/>
  <c r="DN812" i="2"/>
  <c r="DM812" i="2"/>
  <c r="DI812" i="2"/>
  <c r="DL812" i="2" s="1"/>
  <c r="DG812" i="2"/>
  <c r="DF812" i="2"/>
  <c r="DE812" i="2"/>
  <c r="DK812" i="2" s="1"/>
  <c r="CX812" i="2"/>
  <c r="BQ812" i="2"/>
  <c r="BP812" i="2"/>
  <c r="BO812" i="2"/>
  <c r="BN812" i="2"/>
  <c r="BM812" i="2"/>
  <c r="BL812" i="2"/>
  <c r="BK812" i="2"/>
  <c r="BJ812" i="2"/>
  <c r="BI812" i="2"/>
  <c r="BH812" i="2"/>
  <c r="AZ812" i="2"/>
  <c r="F812" i="2"/>
  <c r="D812" i="2"/>
  <c r="C812" i="2"/>
  <c r="DM811" i="2"/>
  <c r="DN811" i="2" s="1"/>
  <c r="DE811" i="2" s="1"/>
  <c r="DK811" i="2" s="1"/>
  <c r="DH811" i="2"/>
  <c r="DF811" i="2"/>
  <c r="DD811" i="2"/>
  <c r="BQ811" i="2"/>
  <c r="BP811" i="2"/>
  <c r="BO811" i="2"/>
  <c r="BN811" i="2"/>
  <c r="BM811" i="2"/>
  <c r="AV811" i="2" s="1"/>
  <c r="BL811" i="2"/>
  <c r="AY811" i="2" s="1"/>
  <c r="BK811" i="2"/>
  <c r="BJ811" i="2"/>
  <c r="BF811" i="2" s="1"/>
  <c r="BI811" i="2"/>
  <c r="BH811" i="2"/>
  <c r="F811" i="2"/>
  <c r="D811" i="2"/>
  <c r="C811" i="2"/>
  <c r="DN810" i="2"/>
  <c r="DM810" i="2"/>
  <c r="DL810" i="2"/>
  <c r="DI810" i="2"/>
  <c r="DH810" i="2"/>
  <c r="DG810" i="2"/>
  <c r="DF810" i="2"/>
  <c r="DE810" i="2"/>
  <c r="DK810" i="2" s="1"/>
  <c r="DD810" i="2"/>
  <c r="DC810" i="2"/>
  <c r="DB810" i="2"/>
  <c r="DA810" i="2"/>
  <c r="DJ810" i="2" s="1"/>
  <c r="CZ810" i="2"/>
  <c r="CY810" i="2"/>
  <c r="CX810" i="2"/>
  <c r="BQ810" i="2"/>
  <c r="BP810" i="2"/>
  <c r="BO810" i="2"/>
  <c r="BN810" i="2"/>
  <c r="BM810" i="2"/>
  <c r="AV810" i="2" s="1"/>
  <c r="BL810" i="2"/>
  <c r="BK810" i="2"/>
  <c r="BJ810" i="2"/>
  <c r="BI810" i="2"/>
  <c r="BH810" i="2"/>
  <c r="AX810" i="2"/>
  <c r="F810" i="2"/>
  <c r="D810" i="2"/>
  <c r="C810" i="2"/>
  <c r="DN809" i="2"/>
  <c r="DA809" i="2" s="1"/>
  <c r="DJ809" i="2" s="1"/>
  <c r="DM809" i="2"/>
  <c r="DK809" i="2"/>
  <c r="DH809" i="2"/>
  <c r="DF809" i="2"/>
  <c r="DE809" i="2"/>
  <c r="DD809" i="2"/>
  <c r="DC809" i="2"/>
  <c r="DB809" i="2"/>
  <c r="CX809" i="2"/>
  <c r="BQ809" i="2"/>
  <c r="BP809" i="2"/>
  <c r="BO809" i="2"/>
  <c r="BN809" i="2"/>
  <c r="BM809" i="2"/>
  <c r="BL809" i="2"/>
  <c r="BK809" i="2"/>
  <c r="BJ809" i="2"/>
  <c r="AV809" i="2" s="1"/>
  <c r="BI809" i="2"/>
  <c r="BH809" i="2"/>
  <c r="BG809" i="2"/>
  <c r="BF809" i="2"/>
  <c r="AZ809" i="2"/>
  <c r="F809" i="2"/>
  <c r="D809" i="2"/>
  <c r="C809" i="2"/>
  <c r="DM808" i="2"/>
  <c r="DN808" i="2" s="1"/>
  <c r="DG808" i="2" s="1"/>
  <c r="DI808" i="2"/>
  <c r="DL808" i="2" s="1"/>
  <c r="DD808" i="2"/>
  <c r="DC808" i="2"/>
  <c r="DB808" i="2"/>
  <c r="DA808" i="2"/>
  <c r="DJ808" i="2" s="1"/>
  <c r="BQ808" i="2"/>
  <c r="BE808" i="2" s="1"/>
  <c r="BP808" i="2"/>
  <c r="BO808" i="2"/>
  <c r="BN808" i="2"/>
  <c r="BM808" i="2"/>
  <c r="BG808" i="2" s="1"/>
  <c r="BL808" i="2"/>
  <c r="BK808" i="2"/>
  <c r="BF808" i="2" s="1"/>
  <c r="BJ808" i="2"/>
  <c r="BI808" i="2"/>
  <c r="BH808" i="2"/>
  <c r="AY808" i="2"/>
  <c r="AV808" i="2"/>
  <c r="F808" i="2"/>
  <c r="D808" i="2"/>
  <c r="C808" i="2"/>
  <c r="DM807" i="2"/>
  <c r="DN807" i="2" s="1"/>
  <c r="DI807" i="2" s="1"/>
  <c r="DL807" i="2" s="1"/>
  <c r="DH807" i="2"/>
  <c r="DF807" i="2"/>
  <c r="DD807" i="2"/>
  <c r="DC807" i="2"/>
  <c r="DB807" i="2"/>
  <c r="DA807" i="2"/>
  <c r="DJ807" i="2" s="1"/>
  <c r="CZ807" i="2"/>
  <c r="BQ807" i="2"/>
  <c r="BP807" i="2"/>
  <c r="BO807" i="2"/>
  <c r="BN807" i="2"/>
  <c r="BM807" i="2"/>
  <c r="AV807" i="2" s="1"/>
  <c r="BL807" i="2"/>
  <c r="BK807" i="2"/>
  <c r="BJ807" i="2"/>
  <c r="BC807" i="2" s="1"/>
  <c r="BI807" i="2"/>
  <c r="AZ807" i="2" s="1"/>
  <c r="BH807" i="2"/>
  <c r="AY807" i="2" s="1"/>
  <c r="BF807" i="2"/>
  <c r="BE807" i="2"/>
  <c r="AX807" i="2"/>
  <c r="AW807" i="2" s="1"/>
  <c r="F807" i="2"/>
  <c r="D807" i="2"/>
  <c r="C807" i="2"/>
  <c r="DN806" i="2"/>
  <c r="DI806" i="2" s="1"/>
  <c r="DL806" i="2" s="1"/>
  <c r="DM806" i="2"/>
  <c r="DH806" i="2"/>
  <c r="DG806" i="2"/>
  <c r="DE806" i="2"/>
  <c r="DK806" i="2" s="1"/>
  <c r="DC806" i="2"/>
  <c r="DB806" i="2"/>
  <c r="DA806" i="2"/>
  <c r="DJ806" i="2" s="1"/>
  <c r="CZ806" i="2"/>
  <c r="CY806" i="2"/>
  <c r="CX806" i="2"/>
  <c r="BQ806" i="2"/>
  <c r="BP806" i="2"/>
  <c r="BO806" i="2"/>
  <c r="BN806" i="2"/>
  <c r="BM806" i="2"/>
  <c r="AV806" i="2" s="1"/>
  <c r="BL806" i="2"/>
  <c r="BD806" i="2" s="1"/>
  <c r="BK806" i="2"/>
  <c r="BF806" i="2" s="1"/>
  <c r="BJ806" i="2"/>
  <c r="BI806" i="2"/>
  <c r="AZ806" i="2" s="1"/>
  <c r="BH806" i="2"/>
  <c r="AY806" i="2" s="1"/>
  <c r="BG806" i="2"/>
  <c r="F806" i="2"/>
  <c r="D806" i="2"/>
  <c r="C806" i="2"/>
  <c r="DN805" i="2"/>
  <c r="DM805" i="2"/>
  <c r="BQ805" i="2"/>
  <c r="BP805" i="2"/>
  <c r="BO805" i="2"/>
  <c r="BN805" i="2"/>
  <c r="BC805" i="2" s="1"/>
  <c r="BM805" i="2"/>
  <c r="BL805" i="2"/>
  <c r="BK805" i="2"/>
  <c r="BF805" i="2" s="1"/>
  <c r="BJ805" i="2"/>
  <c r="BI805" i="2"/>
  <c r="BH805" i="2"/>
  <c r="BD805" i="2" s="1"/>
  <c r="BE805" i="2"/>
  <c r="AV805" i="2"/>
  <c r="F805" i="2"/>
  <c r="D805" i="2"/>
  <c r="C805" i="2"/>
  <c r="DN804" i="2"/>
  <c r="DI804" i="2" s="1"/>
  <c r="DL804" i="2" s="1"/>
  <c r="DM804" i="2"/>
  <c r="CZ804" i="2"/>
  <c r="CY804" i="2"/>
  <c r="BQ804" i="2"/>
  <c r="BE804" i="2" s="1"/>
  <c r="BP804" i="2"/>
  <c r="BO804" i="2"/>
  <c r="BN804" i="2"/>
  <c r="BM804" i="2"/>
  <c r="AV804" i="2" s="1"/>
  <c r="BL804" i="2"/>
  <c r="BK804" i="2"/>
  <c r="BJ804" i="2"/>
  <c r="BF804" i="2" s="1"/>
  <c r="BI804" i="2"/>
  <c r="BH804" i="2"/>
  <c r="BD804" i="2"/>
  <c r="BC804" i="2"/>
  <c r="AZ804" i="2"/>
  <c r="AY804" i="2"/>
  <c r="AX804" i="2"/>
  <c r="AW804" i="2" s="1"/>
  <c r="F804" i="2"/>
  <c r="D804" i="2"/>
  <c r="C804" i="2"/>
  <c r="DM803" i="2"/>
  <c r="DN803" i="2" s="1"/>
  <c r="CZ803" i="2"/>
  <c r="BQ803" i="2"/>
  <c r="BP803" i="2"/>
  <c r="BO803" i="2"/>
  <c r="BN803" i="2"/>
  <c r="BM803" i="2"/>
  <c r="BL803" i="2"/>
  <c r="BK803" i="2"/>
  <c r="BJ803" i="2"/>
  <c r="BI803" i="2"/>
  <c r="BH803" i="2"/>
  <c r="AY803" i="2" s="1"/>
  <c r="BF803" i="2"/>
  <c r="BC803" i="2"/>
  <c r="AZ803" i="2"/>
  <c r="F803" i="2"/>
  <c r="D803" i="2"/>
  <c r="C803" i="2"/>
  <c r="DM802" i="2"/>
  <c r="DN802" i="2" s="1"/>
  <c r="BQ802" i="2"/>
  <c r="BE802" i="2" s="1"/>
  <c r="BP802" i="2"/>
  <c r="BO802" i="2"/>
  <c r="BN802" i="2"/>
  <c r="BC802" i="2" s="1"/>
  <c r="BM802" i="2"/>
  <c r="BG802" i="2" s="1"/>
  <c r="BL802" i="2"/>
  <c r="BK802" i="2"/>
  <c r="BJ802" i="2"/>
  <c r="BI802" i="2"/>
  <c r="BH802" i="2"/>
  <c r="AY802" i="2" s="1"/>
  <c r="AZ802" i="2"/>
  <c r="AX802" i="2"/>
  <c r="F802" i="2"/>
  <c r="D802" i="2"/>
  <c r="C802" i="2"/>
  <c r="DN801" i="2"/>
  <c r="DM801" i="2"/>
  <c r="BQ801" i="2"/>
  <c r="BP801" i="2"/>
  <c r="BO801" i="2"/>
  <c r="BN801" i="2"/>
  <c r="BM801" i="2"/>
  <c r="BL801" i="2"/>
  <c r="BK801" i="2"/>
  <c r="AY801" i="2" s="1"/>
  <c r="BJ801" i="2"/>
  <c r="BI801" i="2"/>
  <c r="BH801" i="2"/>
  <c r="BG801" i="2"/>
  <c r="AX801" i="2"/>
  <c r="F801" i="2"/>
  <c r="D801" i="2"/>
  <c r="C801" i="2"/>
  <c r="DM800" i="2"/>
  <c r="DN800" i="2" s="1"/>
  <c r="DI800" i="2"/>
  <c r="DL800" i="2" s="1"/>
  <c r="BQ800" i="2"/>
  <c r="BP800" i="2"/>
  <c r="BO800" i="2"/>
  <c r="BN800" i="2"/>
  <c r="BM800" i="2"/>
  <c r="BG800" i="2" s="1"/>
  <c r="BL800" i="2"/>
  <c r="BK800" i="2"/>
  <c r="BJ800" i="2"/>
  <c r="BF800" i="2" s="1"/>
  <c r="BI800" i="2"/>
  <c r="BH800" i="2"/>
  <c r="AX800" i="2"/>
  <c r="F800" i="2"/>
  <c r="D800" i="2"/>
  <c r="C800" i="2"/>
  <c r="DN799" i="2"/>
  <c r="DM799" i="2"/>
  <c r="DL799" i="2"/>
  <c r="DJ799" i="2"/>
  <c r="DI799" i="2"/>
  <c r="DH799" i="2"/>
  <c r="DG799" i="2"/>
  <c r="DF799" i="2"/>
  <c r="DD799" i="2"/>
  <c r="DA799" i="2"/>
  <c r="CZ799" i="2"/>
  <c r="CX799" i="2"/>
  <c r="BQ799" i="2"/>
  <c r="BP799" i="2"/>
  <c r="BO799" i="2"/>
  <c r="BN799" i="2"/>
  <c r="BM799" i="2"/>
  <c r="BL799" i="2"/>
  <c r="BK799" i="2"/>
  <c r="BJ799" i="2"/>
  <c r="BI799" i="2"/>
  <c r="BC799" i="2" s="1"/>
  <c r="BH799" i="2"/>
  <c r="F799" i="2"/>
  <c r="D799" i="2"/>
  <c r="C799" i="2"/>
  <c r="DM798" i="2"/>
  <c r="DN798" i="2" s="1"/>
  <c r="DI798" i="2"/>
  <c r="DL798" i="2" s="1"/>
  <c r="DH798" i="2"/>
  <c r="DG798" i="2"/>
  <c r="DF798" i="2"/>
  <c r="DE798" i="2"/>
  <c r="DK798" i="2" s="1"/>
  <c r="DD798" i="2"/>
  <c r="CZ798" i="2"/>
  <c r="CY798" i="2"/>
  <c r="BQ798" i="2"/>
  <c r="BP798" i="2"/>
  <c r="BO798" i="2"/>
  <c r="BN798" i="2"/>
  <c r="BM798" i="2"/>
  <c r="BL798" i="2"/>
  <c r="BK798" i="2"/>
  <c r="BJ798" i="2"/>
  <c r="BF798" i="2" s="1"/>
  <c r="BI798" i="2"/>
  <c r="BH798" i="2"/>
  <c r="AX798" i="2" s="1"/>
  <c r="BG798" i="2"/>
  <c r="BD798" i="2"/>
  <c r="F798" i="2"/>
  <c r="D798" i="2"/>
  <c r="C798" i="2"/>
  <c r="DN797" i="2"/>
  <c r="DI797" i="2" s="1"/>
  <c r="DL797" i="2" s="1"/>
  <c r="DM797" i="2"/>
  <c r="DH797" i="2"/>
  <c r="DG797" i="2"/>
  <c r="DF797" i="2"/>
  <c r="DE797" i="2"/>
  <c r="DK797" i="2" s="1"/>
  <c r="DD797" i="2"/>
  <c r="DC797" i="2"/>
  <c r="DB797" i="2"/>
  <c r="CX797" i="2"/>
  <c r="BQ797" i="2"/>
  <c r="BP797" i="2"/>
  <c r="BO797" i="2"/>
  <c r="BN797" i="2"/>
  <c r="BM797" i="2"/>
  <c r="BL797" i="2"/>
  <c r="BK797" i="2"/>
  <c r="BJ797" i="2"/>
  <c r="BI797" i="2"/>
  <c r="BE797" i="2" s="1"/>
  <c r="BH797" i="2"/>
  <c r="BG797" i="2"/>
  <c r="BF797" i="2"/>
  <c r="BC797" i="2"/>
  <c r="AV797" i="2"/>
  <c r="F797" i="2"/>
  <c r="D797" i="2"/>
  <c r="C797" i="2"/>
  <c r="DN796" i="2"/>
  <c r="DI796" i="2" s="1"/>
  <c r="DL796" i="2" s="1"/>
  <c r="DM796" i="2"/>
  <c r="DE796" i="2"/>
  <c r="DK796" i="2" s="1"/>
  <c r="DD796" i="2"/>
  <c r="DC796" i="2"/>
  <c r="DB796" i="2"/>
  <c r="DA796" i="2"/>
  <c r="DJ796" i="2" s="1"/>
  <c r="CX796" i="2"/>
  <c r="BQ796" i="2"/>
  <c r="BP796" i="2"/>
  <c r="BO796" i="2"/>
  <c r="BN796" i="2"/>
  <c r="BM796" i="2"/>
  <c r="AV796" i="2" s="1"/>
  <c r="BL796" i="2"/>
  <c r="BK796" i="2"/>
  <c r="BJ796" i="2"/>
  <c r="BI796" i="2"/>
  <c r="BH796" i="2"/>
  <c r="BG796" i="2"/>
  <c r="BF796" i="2"/>
  <c r="BE796" i="2"/>
  <c r="AZ796" i="2"/>
  <c r="AY796" i="2"/>
  <c r="F796" i="2"/>
  <c r="D796" i="2"/>
  <c r="C796" i="2"/>
  <c r="DM795" i="2"/>
  <c r="DN795" i="2" s="1"/>
  <c r="DG795" i="2" s="1"/>
  <c r="DL795" i="2"/>
  <c r="DI795" i="2"/>
  <c r="DH795" i="2"/>
  <c r="DF795" i="2"/>
  <c r="DE795" i="2"/>
  <c r="DK795" i="2" s="1"/>
  <c r="DD795" i="2"/>
  <c r="DC795" i="2"/>
  <c r="DB795" i="2"/>
  <c r="DA795" i="2"/>
  <c r="DJ795" i="2" s="1"/>
  <c r="CZ795" i="2"/>
  <c r="BQ795" i="2"/>
  <c r="BP795" i="2"/>
  <c r="BO795" i="2"/>
  <c r="BN795" i="2"/>
  <c r="BM795" i="2"/>
  <c r="BG795" i="2" s="1"/>
  <c r="BL795" i="2"/>
  <c r="BK795" i="2"/>
  <c r="BJ795" i="2"/>
  <c r="BI795" i="2"/>
  <c r="BH795" i="2"/>
  <c r="BD795" i="2"/>
  <c r="AY795" i="2"/>
  <c r="AX795" i="2"/>
  <c r="AV795" i="2"/>
  <c r="F795" i="2"/>
  <c r="D795" i="2"/>
  <c r="C795" i="2"/>
  <c r="DN794" i="2"/>
  <c r="DM794" i="2"/>
  <c r="DI794" i="2"/>
  <c r="DL794" i="2" s="1"/>
  <c r="DH794" i="2"/>
  <c r="DG794" i="2"/>
  <c r="DF794" i="2"/>
  <c r="DE794" i="2"/>
  <c r="DK794" i="2" s="1"/>
  <c r="DD794" i="2"/>
  <c r="DC794" i="2"/>
  <c r="DB794" i="2"/>
  <c r="DA794" i="2"/>
  <c r="DJ794" i="2" s="1"/>
  <c r="CZ794" i="2"/>
  <c r="CY794" i="2"/>
  <c r="CX794" i="2"/>
  <c r="BQ794" i="2"/>
  <c r="BP794" i="2"/>
  <c r="BO794" i="2"/>
  <c r="BN794" i="2"/>
  <c r="BM794" i="2"/>
  <c r="BL794" i="2"/>
  <c r="BK794" i="2"/>
  <c r="BJ794" i="2"/>
  <c r="BI794" i="2"/>
  <c r="AZ794" i="2" s="1"/>
  <c r="BH794" i="2"/>
  <c r="BG794" i="2"/>
  <c r="BF794" i="2"/>
  <c r="BE794" i="2"/>
  <c r="F794" i="2"/>
  <c r="D794" i="2"/>
  <c r="C794" i="2"/>
  <c r="DN793" i="2"/>
  <c r="DD793" i="2" s="1"/>
  <c r="DM793" i="2"/>
  <c r="DK793" i="2"/>
  <c r="DI793" i="2"/>
  <c r="DL793" i="2" s="1"/>
  <c r="DH793" i="2"/>
  <c r="DG793" i="2"/>
  <c r="DF793" i="2"/>
  <c r="DE793" i="2"/>
  <c r="DC793" i="2"/>
  <c r="BQ793" i="2"/>
  <c r="BP793" i="2"/>
  <c r="BO793" i="2"/>
  <c r="BN793" i="2"/>
  <c r="BM793" i="2"/>
  <c r="BG793" i="2" s="1"/>
  <c r="BL793" i="2"/>
  <c r="BK793" i="2"/>
  <c r="BJ793" i="2"/>
  <c r="BI793" i="2"/>
  <c r="BE793" i="2" s="1"/>
  <c r="BH793" i="2"/>
  <c r="AX793" i="2" s="1"/>
  <c r="F793" i="2"/>
  <c r="D793" i="2"/>
  <c r="C793" i="2"/>
  <c r="DN792" i="2"/>
  <c r="CY792" i="2" s="1"/>
  <c r="DM792" i="2"/>
  <c r="DH792" i="2"/>
  <c r="DF792" i="2"/>
  <c r="DE792" i="2"/>
  <c r="DK792" i="2" s="1"/>
  <c r="DD792" i="2"/>
  <c r="DC792" i="2"/>
  <c r="DB792" i="2"/>
  <c r="DA792" i="2"/>
  <c r="DJ792" i="2" s="1"/>
  <c r="CZ792" i="2"/>
  <c r="CX792" i="2"/>
  <c r="BQ792" i="2"/>
  <c r="BP792" i="2"/>
  <c r="BO792" i="2"/>
  <c r="BN792" i="2"/>
  <c r="BM792" i="2"/>
  <c r="AV792" i="2" s="1"/>
  <c r="BL792" i="2"/>
  <c r="BK792" i="2"/>
  <c r="BJ792" i="2"/>
  <c r="BI792" i="2"/>
  <c r="BC792" i="2" s="1"/>
  <c r="BH792" i="2"/>
  <c r="BD792" i="2" s="1"/>
  <c r="BG792" i="2"/>
  <c r="BF792" i="2"/>
  <c r="BE792" i="2"/>
  <c r="F792" i="2"/>
  <c r="D792" i="2"/>
  <c r="C792" i="2"/>
  <c r="DM791" i="2"/>
  <c r="DN791" i="2" s="1"/>
  <c r="BQ791" i="2"/>
  <c r="BG791" i="2" s="1"/>
  <c r="BP791" i="2"/>
  <c r="BO791" i="2"/>
  <c r="BN791" i="2"/>
  <c r="BM791" i="2"/>
  <c r="AV791" i="2" s="1"/>
  <c r="BL791" i="2"/>
  <c r="BK791" i="2"/>
  <c r="BJ791" i="2"/>
  <c r="BI791" i="2"/>
  <c r="BH791" i="2"/>
  <c r="BD791" i="2"/>
  <c r="BC791" i="2"/>
  <c r="AZ791" i="2"/>
  <c r="AY791" i="2"/>
  <c r="AX791" i="2"/>
  <c r="F791" i="2"/>
  <c r="D791" i="2"/>
  <c r="C791" i="2"/>
  <c r="DM790" i="2"/>
  <c r="DN790" i="2" s="1"/>
  <c r="BQ790" i="2"/>
  <c r="BP790" i="2"/>
  <c r="BO790" i="2"/>
  <c r="BF790" i="2" s="1"/>
  <c r="BN790" i="2"/>
  <c r="BM790" i="2"/>
  <c r="BG790" i="2" s="1"/>
  <c r="BL790" i="2"/>
  <c r="AY790" i="2" s="1"/>
  <c r="BK790" i="2"/>
  <c r="BJ790" i="2"/>
  <c r="BI790" i="2"/>
  <c r="BE790" i="2" s="1"/>
  <c r="BH790" i="2"/>
  <c r="BC790" i="2"/>
  <c r="AX790" i="2"/>
  <c r="F790" i="2"/>
  <c r="D790" i="2"/>
  <c r="C790" i="2"/>
  <c r="DN789" i="2"/>
  <c r="DF789" i="2" s="1"/>
  <c r="DM789" i="2"/>
  <c r="DI789" i="2"/>
  <c r="DL789" i="2" s="1"/>
  <c r="DH789" i="2"/>
  <c r="DG789" i="2"/>
  <c r="CX789" i="2"/>
  <c r="BQ789" i="2"/>
  <c r="BP789" i="2"/>
  <c r="BE789" i="2" s="1"/>
  <c r="BO789" i="2"/>
  <c r="BN789" i="2"/>
  <c r="BM789" i="2"/>
  <c r="BG789" i="2" s="1"/>
  <c r="BL789" i="2"/>
  <c r="BK789" i="2"/>
  <c r="BJ789" i="2"/>
  <c r="BI789" i="2"/>
  <c r="BH789" i="2"/>
  <c r="AZ789" i="2"/>
  <c r="AX789" i="2"/>
  <c r="F789" i="2"/>
  <c r="D789" i="2"/>
  <c r="C789" i="2"/>
  <c r="DM788" i="2"/>
  <c r="DN788" i="2" s="1"/>
  <c r="DF788" i="2" s="1"/>
  <c r="BQ788" i="2"/>
  <c r="BP788" i="2"/>
  <c r="BO788" i="2"/>
  <c r="BN788" i="2"/>
  <c r="BM788" i="2"/>
  <c r="BG788" i="2" s="1"/>
  <c r="BL788" i="2"/>
  <c r="BK788" i="2"/>
  <c r="AY788" i="2" s="1"/>
  <c r="BJ788" i="2"/>
  <c r="BI788" i="2"/>
  <c r="BE788" i="2" s="1"/>
  <c r="BH788" i="2"/>
  <c r="AX788" i="2"/>
  <c r="F788" i="2"/>
  <c r="D788" i="2"/>
  <c r="C788" i="2"/>
  <c r="DM787" i="2"/>
  <c r="DN787" i="2" s="1"/>
  <c r="DE787" i="2"/>
  <c r="DK787" i="2" s="1"/>
  <c r="BQ787" i="2"/>
  <c r="BP787" i="2"/>
  <c r="BO787" i="2"/>
  <c r="BN787" i="2"/>
  <c r="BM787" i="2"/>
  <c r="BG787" i="2" s="1"/>
  <c r="BL787" i="2"/>
  <c r="BK787" i="2"/>
  <c r="BJ787" i="2"/>
  <c r="BF787" i="2" s="1"/>
  <c r="BI787" i="2"/>
  <c r="BH787" i="2"/>
  <c r="BD787" i="2" s="1"/>
  <c r="AX787" i="2"/>
  <c r="F787" i="2"/>
  <c r="D787" i="2"/>
  <c r="C787" i="2"/>
  <c r="DN786" i="2"/>
  <c r="DB786" i="2" s="1"/>
  <c r="DM786" i="2"/>
  <c r="DI786" i="2"/>
  <c r="DL786" i="2" s="1"/>
  <c r="DH786" i="2"/>
  <c r="DG786" i="2"/>
  <c r="DF786" i="2"/>
  <c r="DE786" i="2"/>
  <c r="DK786" i="2" s="1"/>
  <c r="DD786" i="2"/>
  <c r="DC786" i="2"/>
  <c r="DA786" i="2"/>
  <c r="DJ786" i="2" s="1"/>
  <c r="CZ786" i="2"/>
  <c r="CY786" i="2"/>
  <c r="CX786" i="2"/>
  <c r="BQ786" i="2"/>
  <c r="BP786" i="2"/>
  <c r="BO786" i="2"/>
  <c r="BN786" i="2"/>
  <c r="BM786" i="2"/>
  <c r="BL786" i="2"/>
  <c r="BK786" i="2"/>
  <c r="BJ786" i="2"/>
  <c r="BF786" i="2" s="1"/>
  <c r="BI786" i="2"/>
  <c r="BH786" i="2"/>
  <c r="F786" i="2"/>
  <c r="D786" i="2"/>
  <c r="C786" i="2"/>
  <c r="DN785" i="2"/>
  <c r="DA785" i="2" s="1"/>
  <c r="DJ785" i="2" s="1"/>
  <c r="DM785" i="2"/>
  <c r="DI785" i="2"/>
  <c r="DL785" i="2" s="1"/>
  <c r="DH785" i="2"/>
  <c r="DG785" i="2"/>
  <c r="DF785" i="2"/>
  <c r="DE785" i="2"/>
  <c r="DK785" i="2" s="1"/>
  <c r="DD785" i="2"/>
  <c r="DC785" i="2"/>
  <c r="DB785" i="2"/>
  <c r="CZ785" i="2"/>
  <c r="CY785" i="2"/>
  <c r="CX785" i="2"/>
  <c r="BQ785" i="2"/>
  <c r="BP785" i="2"/>
  <c r="BO785" i="2"/>
  <c r="BN785" i="2"/>
  <c r="BM785" i="2"/>
  <c r="BL785" i="2"/>
  <c r="BK785" i="2"/>
  <c r="BJ785" i="2"/>
  <c r="BF785" i="2" s="1"/>
  <c r="BI785" i="2"/>
  <c r="BE785" i="2" s="1"/>
  <c r="BH785" i="2"/>
  <c r="BD785" i="2" s="1"/>
  <c r="BG785" i="2"/>
  <c r="F785" i="2"/>
  <c r="D785" i="2"/>
  <c r="C785" i="2"/>
  <c r="DN784" i="2"/>
  <c r="DA784" i="2" s="1"/>
  <c r="DJ784" i="2" s="1"/>
  <c r="DM784" i="2"/>
  <c r="DI784" i="2"/>
  <c r="DL784" i="2" s="1"/>
  <c r="DG784" i="2"/>
  <c r="DF784" i="2"/>
  <c r="DE784" i="2"/>
  <c r="DK784" i="2" s="1"/>
  <c r="DD784" i="2"/>
  <c r="DC784" i="2"/>
  <c r="DB784" i="2"/>
  <c r="CX784" i="2"/>
  <c r="BQ784" i="2"/>
  <c r="BP784" i="2"/>
  <c r="BO784" i="2"/>
  <c r="BN784" i="2"/>
  <c r="BM784" i="2"/>
  <c r="AV784" i="2" s="1"/>
  <c r="BL784" i="2"/>
  <c r="BK784" i="2"/>
  <c r="BJ784" i="2"/>
  <c r="BI784" i="2"/>
  <c r="BE784" i="2" s="1"/>
  <c r="BH784" i="2"/>
  <c r="BD784" i="2" s="1"/>
  <c r="BF784" i="2"/>
  <c r="F784" i="2"/>
  <c r="D784" i="2"/>
  <c r="C784" i="2"/>
  <c r="DM783" i="2"/>
  <c r="DN783" i="2" s="1"/>
  <c r="DA783" i="2" s="1"/>
  <c r="DJ783" i="2" s="1"/>
  <c r="BQ783" i="2"/>
  <c r="BP783" i="2"/>
  <c r="BO783" i="2"/>
  <c r="BN783" i="2"/>
  <c r="BM783" i="2"/>
  <c r="AV783" i="2" s="1"/>
  <c r="BL783" i="2"/>
  <c r="BK783" i="2"/>
  <c r="BJ783" i="2"/>
  <c r="BF783" i="2" s="1"/>
  <c r="BI783" i="2"/>
  <c r="BC783" i="2" s="1"/>
  <c r="BH783" i="2"/>
  <c r="BD783" i="2" s="1"/>
  <c r="BG783" i="2"/>
  <c r="BE783" i="2"/>
  <c r="F783" i="2"/>
  <c r="D783" i="2"/>
  <c r="C783" i="2"/>
  <c r="DM782" i="2"/>
  <c r="DN782" i="2" s="1"/>
  <c r="CZ782" i="2"/>
  <c r="BQ782" i="2"/>
  <c r="BP782" i="2"/>
  <c r="BO782" i="2"/>
  <c r="BN782" i="2"/>
  <c r="BM782" i="2"/>
  <c r="AV782" i="2" s="1"/>
  <c r="BL782" i="2"/>
  <c r="BK782" i="2"/>
  <c r="BJ782" i="2"/>
  <c r="BI782" i="2"/>
  <c r="BC782" i="2" s="1"/>
  <c r="BH782" i="2"/>
  <c r="AY782" i="2" s="1"/>
  <c r="BF782" i="2"/>
  <c r="BD782" i="2"/>
  <c r="F782" i="2"/>
  <c r="D782" i="2"/>
  <c r="C782" i="2"/>
  <c r="DN781" i="2"/>
  <c r="DH781" i="2" s="1"/>
  <c r="DM781" i="2"/>
  <c r="DK781" i="2"/>
  <c r="DI781" i="2"/>
  <c r="DL781" i="2" s="1"/>
  <c r="DG781" i="2"/>
  <c r="DF781" i="2"/>
  <c r="DE781" i="2"/>
  <c r="DD781" i="2"/>
  <c r="DC781" i="2"/>
  <c r="DB781" i="2"/>
  <c r="DA781" i="2"/>
  <c r="DJ781" i="2" s="1"/>
  <c r="CZ781" i="2"/>
  <c r="CY781" i="2"/>
  <c r="CX781" i="2"/>
  <c r="BQ781" i="2"/>
  <c r="BP781" i="2"/>
  <c r="BO781" i="2"/>
  <c r="BN781" i="2"/>
  <c r="BM781" i="2"/>
  <c r="AV781" i="2" s="1"/>
  <c r="BL781" i="2"/>
  <c r="BK781" i="2"/>
  <c r="BJ781" i="2"/>
  <c r="BF781" i="2" s="1"/>
  <c r="BI781" i="2"/>
  <c r="AZ781" i="2" s="1"/>
  <c r="BH781" i="2"/>
  <c r="AY781" i="2" s="1"/>
  <c r="BG781" i="2"/>
  <c r="BC781" i="2"/>
  <c r="F781" i="2"/>
  <c r="D781" i="2"/>
  <c r="C781" i="2"/>
  <c r="DN780" i="2"/>
  <c r="DM780" i="2"/>
  <c r="CX780" i="2"/>
  <c r="BQ780" i="2"/>
  <c r="BP780" i="2"/>
  <c r="BO780" i="2"/>
  <c r="BN780" i="2"/>
  <c r="BM780" i="2"/>
  <c r="BL780" i="2"/>
  <c r="BK780" i="2"/>
  <c r="BJ780" i="2"/>
  <c r="BI780" i="2"/>
  <c r="BE780" i="2" s="1"/>
  <c r="BH780" i="2"/>
  <c r="AY780" i="2" s="1"/>
  <c r="BG780" i="2"/>
  <c r="BF780" i="2"/>
  <c r="BD780" i="2"/>
  <c r="AZ780" i="2"/>
  <c r="AV780" i="2"/>
  <c r="F780" i="2"/>
  <c r="D780" i="2"/>
  <c r="C780" i="2"/>
  <c r="DM779" i="2"/>
  <c r="DN779" i="2" s="1"/>
  <c r="BQ779" i="2"/>
  <c r="BE779" i="2" s="1"/>
  <c r="BP779" i="2"/>
  <c r="BO779" i="2"/>
  <c r="BN779" i="2"/>
  <c r="BM779" i="2"/>
  <c r="AV779" i="2" s="1"/>
  <c r="BL779" i="2"/>
  <c r="BK779" i="2"/>
  <c r="BJ779" i="2"/>
  <c r="BI779" i="2"/>
  <c r="BH779" i="2"/>
  <c r="AX779" i="2" s="1"/>
  <c r="BF779" i="2"/>
  <c r="BC779" i="2"/>
  <c r="AZ779" i="2"/>
  <c r="AY779" i="2"/>
  <c r="F779" i="2"/>
  <c r="D779" i="2"/>
  <c r="C779" i="2"/>
  <c r="DN778" i="2"/>
  <c r="DI778" i="2" s="1"/>
  <c r="DL778" i="2" s="1"/>
  <c r="DM778" i="2"/>
  <c r="DA778" i="2"/>
  <c r="DJ778" i="2" s="1"/>
  <c r="CZ778" i="2"/>
  <c r="CX778" i="2"/>
  <c r="BQ778" i="2"/>
  <c r="BP778" i="2"/>
  <c r="BE778" i="2" s="1"/>
  <c r="BO778" i="2"/>
  <c r="BN778" i="2"/>
  <c r="BM778" i="2"/>
  <c r="AV778" i="2" s="1"/>
  <c r="BL778" i="2"/>
  <c r="AY778" i="2" s="1"/>
  <c r="BK778" i="2"/>
  <c r="BJ778" i="2"/>
  <c r="BI778" i="2"/>
  <c r="BH778" i="2"/>
  <c r="BG778" i="2"/>
  <c r="BD778" i="2"/>
  <c r="BC778" i="2"/>
  <c r="AZ778" i="2"/>
  <c r="AX778" i="2"/>
  <c r="F778" i="2"/>
  <c r="D778" i="2"/>
  <c r="C778" i="2"/>
  <c r="DM777" i="2"/>
  <c r="DN777" i="2" s="1"/>
  <c r="BQ777" i="2"/>
  <c r="BG777" i="2" s="1"/>
  <c r="BP777" i="2"/>
  <c r="BO777" i="2"/>
  <c r="BF777" i="2" s="1"/>
  <c r="BN777" i="2"/>
  <c r="BM777" i="2"/>
  <c r="BL777" i="2"/>
  <c r="BK777" i="2"/>
  <c r="BJ777" i="2"/>
  <c r="AV777" i="2" s="1"/>
  <c r="BI777" i="2"/>
  <c r="BH777" i="2"/>
  <c r="BD777" i="2"/>
  <c r="BC777" i="2"/>
  <c r="AZ777" i="2"/>
  <c r="AY777" i="2"/>
  <c r="AX777" i="2"/>
  <c r="AW777" i="2"/>
  <c r="F777" i="2"/>
  <c r="D777" i="2"/>
  <c r="C777" i="2"/>
  <c r="DN776" i="2"/>
  <c r="DI776" i="2" s="1"/>
  <c r="DL776" i="2" s="1"/>
  <c r="DM776" i="2"/>
  <c r="CX776" i="2"/>
  <c r="BQ776" i="2"/>
  <c r="BP776" i="2"/>
  <c r="BE776" i="2" s="1"/>
  <c r="BO776" i="2"/>
  <c r="BN776" i="2"/>
  <c r="BM776" i="2"/>
  <c r="BG776" i="2" s="1"/>
  <c r="BL776" i="2"/>
  <c r="BK776" i="2"/>
  <c r="BJ776" i="2"/>
  <c r="BF776" i="2" s="1"/>
  <c r="BI776" i="2"/>
  <c r="BH776" i="2"/>
  <c r="BD776" i="2" s="1"/>
  <c r="AY776" i="2"/>
  <c r="AX776" i="2"/>
  <c r="AV776" i="2"/>
  <c r="F776" i="2"/>
  <c r="D776" i="2"/>
  <c r="C776" i="2"/>
  <c r="DM775" i="2"/>
  <c r="DN775" i="2" s="1"/>
  <c r="BQ775" i="2"/>
  <c r="BP775" i="2"/>
  <c r="BO775" i="2"/>
  <c r="BN775" i="2"/>
  <c r="BM775" i="2"/>
  <c r="BL775" i="2"/>
  <c r="BK775" i="2"/>
  <c r="BJ775" i="2"/>
  <c r="BF775" i="2" s="1"/>
  <c r="BI775" i="2"/>
  <c r="BH775" i="2"/>
  <c r="AZ775" i="2"/>
  <c r="AY775" i="2"/>
  <c r="AX775" i="2"/>
  <c r="F775" i="2"/>
  <c r="D775" i="2"/>
  <c r="C775" i="2"/>
  <c r="DM774" i="2"/>
  <c r="DN774" i="2" s="1"/>
  <c r="DH774" i="2" s="1"/>
  <c r="BQ774" i="2"/>
  <c r="BP774" i="2"/>
  <c r="BO774" i="2"/>
  <c r="BF774" i="2" s="1"/>
  <c r="BN774" i="2"/>
  <c r="BC774" i="2" s="1"/>
  <c r="BM774" i="2"/>
  <c r="BG774" i="2" s="1"/>
  <c r="BL774" i="2"/>
  <c r="AY774" i="2" s="1"/>
  <c r="BK774" i="2"/>
  <c r="BJ774" i="2"/>
  <c r="BI774" i="2"/>
  <c r="BE774" i="2" s="1"/>
  <c r="BH774" i="2"/>
  <c r="BD774" i="2" s="1"/>
  <c r="AX774" i="2"/>
  <c r="F774" i="2"/>
  <c r="D774" i="2"/>
  <c r="C774" i="2"/>
  <c r="DN773" i="2"/>
  <c r="DF773" i="2" s="1"/>
  <c r="DM773" i="2"/>
  <c r="DI773" i="2"/>
  <c r="DL773" i="2" s="1"/>
  <c r="DH773" i="2"/>
  <c r="DG773" i="2"/>
  <c r="DC773" i="2"/>
  <c r="CX773" i="2"/>
  <c r="BQ773" i="2"/>
  <c r="BP773" i="2"/>
  <c r="BO773" i="2"/>
  <c r="BN773" i="2"/>
  <c r="BC773" i="2" s="1"/>
  <c r="BM773" i="2"/>
  <c r="BG773" i="2" s="1"/>
  <c r="BL773" i="2"/>
  <c r="BK773" i="2"/>
  <c r="BJ773" i="2"/>
  <c r="BF773" i="2" s="1"/>
  <c r="BI773" i="2"/>
  <c r="BH773" i="2"/>
  <c r="BD773" i="2" s="1"/>
  <c r="AZ773" i="2"/>
  <c r="AX773" i="2"/>
  <c r="F773" i="2"/>
  <c r="D773" i="2"/>
  <c r="C773" i="2"/>
  <c r="DM772" i="2"/>
  <c r="DN772" i="2" s="1"/>
  <c r="DF772" i="2"/>
  <c r="BQ772" i="2"/>
  <c r="BP772" i="2"/>
  <c r="BO772" i="2"/>
  <c r="BN772" i="2"/>
  <c r="BM772" i="2"/>
  <c r="BG772" i="2" s="1"/>
  <c r="BL772" i="2"/>
  <c r="BK772" i="2"/>
  <c r="AY772" i="2" s="1"/>
  <c r="BJ772" i="2"/>
  <c r="BF772" i="2" s="1"/>
  <c r="BI772" i="2"/>
  <c r="BE772" i="2" s="1"/>
  <c r="BH772" i="2"/>
  <c r="AX772" i="2"/>
  <c r="AV772" i="2"/>
  <c r="F772" i="2"/>
  <c r="D772" i="2"/>
  <c r="C772" i="2"/>
  <c r="DM771" i="2"/>
  <c r="DN771" i="2" s="1"/>
  <c r="DI771" i="2"/>
  <c r="DL771" i="2" s="1"/>
  <c r="DE771" i="2"/>
  <c r="DK771" i="2" s="1"/>
  <c r="BQ771" i="2"/>
  <c r="BP771" i="2"/>
  <c r="BO771" i="2"/>
  <c r="BN771" i="2"/>
  <c r="BM771" i="2"/>
  <c r="BL771" i="2"/>
  <c r="BK771" i="2"/>
  <c r="BJ771" i="2"/>
  <c r="BF771" i="2" s="1"/>
  <c r="BI771" i="2"/>
  <c r="BH771" i="2"/>
  <c r="AX771" i="2"/>
  <c r="F771" i="2"/>
  <c r="D771" i="2"/>
  <c r="C771" i="2"/>
  <c r="DN770" i="2"/>
  <c r="DB770" i="2" s="1"/>
  <c r="DM770" i="2"/>
  <c r="DI770" i="2"/>
  <c r="DL770" i="2" s="1"/>
  <c r="DH770" i="2"/>
  <c r="DG770" i="2"/>
  <c r="DF770" i="2"/>
  <c r="DE770" i="2"/>
  <c r="DK770" i="2" s="1"/>
  <c r="DD770" i="2"/>
  <c r="DC770" i="2"/>
  <c r="DA770" i="2"/>
  <c r="DJ770" i="2" s="1"/>
  <c r="CZ770" i="2"/>
  <c r="CX770" i="2"/>
  <c r="BQ770" i="2"/>
  <c r="BP770" i="2"/>
  <c r="BO770" i="2"/>
  <c r="BN770" i="2"/>
  <c r="BM770" i="2"/>
  <c r="BL770" i="2"/>
  <c r="BK770" i="2"/>
  <c r="BJ770" i="2"/>
  <c r="BF770" i="2" s="1"/>
  <c r="BI770" i="2"/>
  <c r="BE770" i="2" s="1"/>
  <c r="BH770" i="2"/>
  <c r="F770" i="2"/>
  <c r="D770" i="2"/>
  <c r="C770" i="2"/>
  <c r="DM769" i="2"/>
  <c r="DN769" i="2" s="1"/>
  <c r="DH769" i="2"/>
  <c r="DG769" i="2"/>
  <c r="DE769" i="2"/>
  <c r="DK769" i="2" s="1"/>
  <c r="DC769" i="2"/>
  <c r="BQ769" i="2"/>
  <c r="BP769" i="2"/>
  <c r="BO769" i="2"/>
  <c r="BN769" i="2"/>
  <c r="BM769" i="2"/>
  <c r="BL769" i="2"/>
  <c r="BK769" i="2"/>
  <c r="BJ769" i="2"/>
  <c r="BF769" i="2" s="1"/>
  <c r="BI769" i="2"/>
  <c r="BH769" i="2"/>
  <c r="BG769" i="2"/>
  <c r="F769" i="2"/>
  <c r="D769" i="2"/>
  <c r="C769" i="2"/>
  <c r="DN768" i="2"/>
  <c r="DA768" i="2" s="1"/>
  <c r="DJ768" i="2" s="1"/>
  <c r="DM768" i="2"/>
  <c r="DI768" i="2"/>
  <c r="DL768" i="2" s="1"/>
  <c r="DG768" i="2"/>
  <c r="DF768" i="2"/>
  <c r="DE768" i="2"/>
  <c r="DK768" i="2" s="1"/>
  <c r="DD768" i="2"/>
  <c r="DC768" i="2"/>
  <c r="DB768" i="2"/>
  <c r="CX768" i="2"/>
  <c r="BQ768" i="2"/>
  <c r="BP768" i="2"/>
  <c r="BO768" i="2"/>
  <c r="BN768" i="2"/>
  <c r="BM768" i="2"/>
  <c r="BL768" i="2"/>
  <c r="BK768" i="2"/>
  <c r="BJ768" i="2"/>
  <c r="BI768" i="2"/>
  <c r="BE768" i="2" s="1"/>
  <c r="BH768" i="2"/>
  <c r="BF768" i="2"/>
  <c r="F768" i="2"/>
  <c r="D768" i="2"/>
  <c r="C768" i="2"/>
  <c r="DM767" i="2"/>
  <c r="DN767" i="2" s="1"/>
  <c r="DF767" i="2"/>
  <c r="DE767" i="2"/>
  <c r="DK767" i="2" s="1"/>
  <c r="DC767" i="2"/>
  <c r="DA767" i="2"/>
  <c r="DJ767" i="2" s="1"/>
  <c r="BQ767" i="2"/>
  <c r="BP767" i="2"/>
  <c r="BO767" i="2"/>
  <c r="BN767" i="2"/>
  <c r="BM767" i="2"/>
  <c r="AV767" i="2" s="1"/>
  <c r="BL767" i="2"/>
  <c r="BK767" i="2"/>
  <c r="BJ767" i="2"/>
  <c r="BF767" i="2" s="1"/>
  <c r="BI767" i="2"/>
  <c r="BE767" i="2" s="1"/>
  <c r="BH767" i="2"/>
  <c r="BD767" i="2" s="1"/>
  <c r="BG767" i="2"/>
  <c r="F767" i="2"/>
  <c r="D767" i="2"/>
  <c r="C767" i="2"/>
  <c r="DM766" i="2"/>
  <c r="DN766" i="2" s="1"/>
  <c r="DE766" i="2" s="1"/>
  <c r="DK766" i="2" s="1"/>
  <c r="DG766" i="2"/>
  <c r="DD766" i="2"/>
  <c r="CZ766" i="2"/>
  <c r="BQ766" i="2"/>
  <c r="BP766" i="2"/>
  <c r="BO766" i="2"/>
  <c r="BN766" i="2"/>
  <c r="BM766" i="2"/>
  <c r="AV766" i="2" s="1"/>
  <c r="BL766" i="2"/>
  <c r="BK766" i="2"/>
  <c r="BF766" i="2" s="1"/>
  <c r="BJ766" i="2"/>
  <c r="BI766" i="2"/>
  <c r="BH766" i="2"/>
  <c r="BD766" i="2" s="1"/>
  <c r="F766" i="2"/>
  <c r="D766" i="2"/>
  <c r="C766" i="2"/>
  <c r="DN765" i="2"/>
  <c r="DH765" i="2" s="1"/>
  <c r="DM765" i="2"/>
  <c r="DK765" i="2"/>
  <c r="DI765" i="2"/>
  <c r="DL765" i="2" s="1"/>
  <c r="DF765" i="2"/>
  <c r="DE765" i="2"/>
  <c r="DD765" i="2"/>
  <c r="DC765" i="2"/>
  <c r="DB765" i="2"/>
  <c r="DA765" i="2"/>
  <c r="DJ765" i="2" s="1"/>
  <c r="CZ765" i="2"/>
  <c r="CY765" i="2"/>
  <c r="CX765" i="2"/>
  <c r="BQ765" i="2"/>
  <c r="BP765" i="2"/>
  <c r="BO765" i="2"/>
  <c r="BN765" i="2"/>
  <c r="BM765" i="2"/>
  <c r="AV765" i="2" s="1"/>
  <c r="BL765" i="2"/>
  <c r="BK765" i="2"/>
  <c r="BJ765" i="2"/>
  <c r="BF765" i="2" s="1"/>
  <c r="BI765" i="2"/>
  <c r="AZ765" i="2" s="1"/>
  <c r="BH765" i="2"/>
  <c r="BG765" i="2" s="1"/>
  <c r="BE765" i="2"/>
  <c r="F765" i="2"/>
  <c r="D765" i="2"/>
  <c r="C765" i="2"/>
  <c r="DN764" i="2"/>
  <c r="DE764" i="2" s="1"/>
  <c r="DK764" i="2" s="1"/>
  <c r="DM764" i="2"/>
  <c r="DC764" i="2"/>
  <c r="BQ764" i="2"/>
  <c r="BP764" i="2"/>
  <c r="BO764" i="2"/>
  <c r="BN764" i="2"/>
  <c r="BM764" i="2"/>
  <c r="BL764" i="2"/>
  <c r="BK764" i="2"/>
  <c r="BJ764" i="2"/>
  <c r="BI764" i="2"/>
  <c r="AZ764" i="2" s="1"/>
  <c r="BH764" i="2"/>
  <c r="AY764" i="2" s="1"/>
  <c r="BG764" i="2"/>
  <c r="BF764" i="2"/>
  <c r="BD764" i="2"/>
  <c r="AV764" i="2"/>
  <c r="F764" i="2"/>
  <c r="D764" i="2"/>
  <c r="C764" i="2"/>
  <c r="DM763" i="2"/>
  <c r="DN763" i="2" s="1"/>
  <c r="DB763" i="2" s="1"/>
  <c r="DD763" i="2"/>
  <c r="DA763" i="2"/>
  <c r="DJ763" i="2" s="1"/>
  <c r="BQ763" i="2"/>
  <c r="BE763" i="2" s="1"/>
  <c r="BP763" i="2"/>
  <c r="BO763" i="2"/>
  <c r="BN763" i="2"/>
  <c r="BM763" i="2"/>
  <c r="AV763" i="2" s="1"/>
  <c r="BL763" i="2"/>
  <c r="BK763" i="2"/>
  <c r="BJ763" i="2"/>
  <c r="BI763" i="2"/>
  <c r="BH763" i="2"/>
  <c r="BF763" i="2"/>
  <c r="BC763" i="2"/>
  <c r="AZ763" i="2"/>
  <c r="AY763" i="2"/>
  <c r="F763" i="2"/>
  <c r="D763" i="2"/>
  <c r="C763" i="2"/>
  <c r="DN762" i="2"/>
  <c r="DC762" i="2" s="1"/>
  <c r="DM762" i="2"/>
  <c r="DA762" i="2"/>
  <c r="DJ762" i="2" s="1"/>
  <c r="CZ762" i="2"/>
  <c r="CY762" i="2"/>
  <c r="CX762" i="2"/>
  <c r="BQ762" i="2"/>
  <c r="BP762" i="2"/>
  <c r="BE762" i="2" s="1"/>
  <c r="BO762" i="2"/>
  <c r="BN762" i="2"/>
  <c r="BM762" i="2"/>
  <c r="AV762" i="2" s="1"/>
  <c r="BL762" i="2"/>
  <c r="AY762" i="2" s="1"/>
  <c r="BK762" i="2"/>
  <c r="BJ762" i="2"/>
  <c r="BF762" i="2" s="1"/>
  <c r="BI762" i="2"/>
  <c r="BH762" i="2"/>
  <c r="BG762" i="2"/>
  <c r="BD762" i="2"/>
  <c r="BC762" i="2"/>
  <c r="AZ762" i="2"/>
  <c r="AX762" i="2"/>
  <c r="F762" i="2"/>
  <c r="D762" i="2"/>
  <c r="C762" i="2"/>
  <c r="DN761" i="2"/>
  <c r="CZ761" i="2" s="1"/>
  <c r="DM761" i="2"/>
  <c r="DG761" i="2"/>
  <c r="DB761" i="2"/>
  <c r="CY761" i="2"/>
  <c r="BQ761" i="2"/>
  <c r="BG761" i="2" s="1"/>
  <c r="BP761" i="2"/>
  <c r="BO761" i="2"/>
  <c r="BN761" i="2"/>
  <c r="BM761" i="2"/>
  <c r="BL761" i="2"/>
  <c r="BK761" i="2"/>
  <c r="BJ761" i="2"/>
  <c r="AV761" i="2" s="1"/>
  <c r="BI761" i="2"/>
  <c r="BH761" i="2"/>
  <c r="BF761" i="2"/>
  <c r="BD761" i="2"/>
  <c r="BC761" i="2"/>
  <c r="AZ761" i="2"/>
  <c r="AY761" i="2"/>
  <c r="AX761" i="2"/>
  <c r="F761" i="2"/>
  <c r="D761" i="2"/>
  <c r="C761" i="2"/>
  <c r="DM760" i="2"/>
  <c r="DN760" i="2" s="1"/>
  <c r="BQ760" i="2"/>
  <c r="BE760" i="2" s="1"/>
  <c r="BP760" i="2"/>
  <c r="BO760" i="2"/>
  <c r="BN760" i="2"/>
  <c r="BM760" i="2"/>
  <c r="BG760" i="2" s="1"/>
  <c r="BL760" i="2"/>
  <c r="BK760" i="2"/>
  <c r="BJ760" i="2"/>
  <c r="BF760" i="2" s="1"/>
  <c r="BI760" i="2"/>
  <c r="BH760" i="2"/>
  <c r="BD760" i="2" s="1"/>
  <c r="AZ760" i="2"/>
  <c r="AY760" i="2"/>
  <c r="AX760" i="2"/>
  <c r="F760" i="2"/>
  <c r="D760" i="2"/>
  <c r="C760" i="2"/>
  <c r="DM759" i="2"/>
  <c r="DN759" i="2" s="1"/>
  <c r="BQ759" i="2"/>
  <c r="BP759" i="2"/>
  <c r="BO759" i="2"/>
  <c r="BN759" i="2"/>
  <c r="BM759" i="2"/>
  <c r="BL759" i="2"/>
  <c r="BK759" i="2"/>
  <c r="BJ759" i="2"/>
  <c r="BF759" i="2" s="1"/>
  <c r="BI759" i="2"/>
  <c r="AZ759" i="2" s="1"/>
  <c r="BH759" i="2"/>
  <c r="AY759" i="2"/>
  <c r="AX759" i="2"/>
  <c r="F759" i="2"/>
  <c r="D759" i="2"/>
  <c r="C759" i="2"/>
  <c r="A759" i="2"/>
  <c r="DN758" i="2"/>
  <c r="DM758" i="2"/>
  <c r="BQ758" i="2"/>
  <c r="BP758" i="2"/>
  <c r="BO758" i="2"/>
  <c r="BN758" i="2"/>
  <c r="BM758" i="2"/>
  <c r="BD758" i="2" s="1"/>
  <c r="BL758" i="2"/>
  <c r="BK758" i="2"/>
  <c r="BJ758" i="2"/>
  <c r="BF758" i="2" s="1"/>
  <c r="BI758" i="2"/>
  <c r="BH758" i="2"/>
  <c r="AZ758" i="2"/>
  <c r="AX758" i="2"/>
  <c r="F758" i="2"/>
  <c r="D758" i="2"/>
  <c r="C758" i="2"/>
  <c r="DM757" i="2"/>
  <c r="DN757" i="2" s="1"/>
  <c r="DH757" i="2" s="1"/>
  <c r="DL757" i="2"/>
  <c r="DI757" i="2"/>
  <c r="DG757" i="2"/>
  <c r="CY757" i="2"/>
  <c r="BQ757" i="2"/>
  <c r="BP757" i="2"/>
  <c r="BO757" i="2"/>
  <c r="BN757" i="2"/>
  <c r="BM757" i="2"/>
  <c r="BL757" i="2"/>
  <c r="BK757" i="2"/>
  <c r="BC757" i="2" s="1"/>
  <c r="BJ757" i="2"/>
  <c r="BI757" i="2"/>
  <c r="BH757" i="2"/>
  <c r="BD757" i="2" s="1"/>
  <c r="F757" i="2"/>
  <c r="D757" i="2"/>
  <c r="C757" i="2"/>
  <c r="DN756" i="2"/>
  <c r="DM756" i="2"/>
  <c r="DI756" i="2"/>
  <c r="DL756" i="2" s="1"/>
  <c r="BQ756" i="2"/>
  <c r="BP756" i="2"/>
  <c r="BE756" i="2" s="1"/>
  <c r="BO756" i="2"/>
  <c r="BN756" i="2"/>
  <c r="BM756" i="2"/>
  <c r="BL756" i="2"/>
  <c r="BK756" i="2"/>
  <c r="BJ756" i="2"/>
  <c r="BI756" i="2"/>
  <c r="BH756" i="2"/>
  <c r="BG756" i="2"/>
  <c r="AX756" i="2"/>
  <c r="AV756" i="2"/>
  <c r="F756" i="2"/>
  <c r="D756" i="2"/>
  <c r="C756" i="2"/>
  <c r="DM755" i="2"/>
  <c r="DN755" i="2" s="1"/>
  <c r="DH755" i="2"/>
  <c r="DG755" i="2"/>
  <c r="DF755" i="2"/>
  <c r="DE755" i="2"/>
  <c r="DK755" i="2" s="1"/>
  <c r="DB755" i="2"/>
  <c r="BQ755" i="2"/>
  <c r="BP755" i="2"/>
  <c r="BO755" i="2"/>
  <c r="BN755" i="2"/>
  <c r="BM755" i="2"/>
  <c r="BL755" i="2"/>
  <c r="AY755" i="2" s="1"/>
  <c r="BK755" i="2"/>
  <c r="BJ755" i="2"/>
  <c r="BF755" i="2" s="1"/>
  <c r="BI755" i="2"/>
  <c r="BH755" i="2"/>
  <c r="AX755" i="2"/>
  <c r="F755" i="2"/>
  <c r="D755" i="2"/>
  <c r="C755" i="2"/>
  <c r="DM754" i="2"/>
  <c r="DN754" i="2" s="1"/>
  <c r="DL754" i="2"/>
  <c r="DI754" i="2"/>
  <c r="DH754" i="2"/>
  <c r="DG754" i="2"/>
  <c r="DF754" i="2"/>
  <c r="DE754" i="2"/>
  <c r="DK754" i="2" s="1"/>
  <c r="DD754" i="2"/>
  <c r="DA754" i="2"/>
  <c r="DJ754" i="2" s="1"/>
  <c r="BQ754" i="2"/>
  <c r="BP754" i="2"/>
  <c r="BO754" i="2"/>
  <c r="BN754" i="2"/>
  <c r="BM754" i="2"/>
  <c r="BL754" i="2"/>
  <c r="BK754" i="2"/>
  <c r="BJ754" i="2"/>
  <c r="BI754" i="2"/>
  <c r="BH754" i="2"/>
  <c r="BE754" i="2"/>
  <c r="AX754" i="2"/>
  <c r="F754" i="2"/>
  <c r="D754" i="2"/>
  <c r="C754" i="2"/>
  <c r="DN753" i="2"/>
  <c r="DB753" i="2" s="1"/>
  <c r="DM753" i="2"/>
  <c r="DK753" i="2"/>
  <c r="DI753" i="2"/>
  <c r="DL753" i="2" s="1"/>
  <c r="DH753" i="2"/>
  <c r="DG753" i="2"/>
  <c r="DF753" i="2"/>
  <c r="DE753" i="2"/>
  <c r="DD753" i="2"/>
  <c r="DC753" i="2"/>
  <c r="DA753" i="2"/>
  <c r="DJ753" i="2" s="1"/>
  <c r="CZ753" i="2"/>
  <c r="CX753" i="2"/>
  <c r="BQ753" i="2"/>
  <c r="BP753" i="2"/>
  <c r="BO753" i="2"/>
  <c r="BN753" i="2"/>
  <c r="BM753" i="2"/>
  <c r="BL753" i="2"/>
  <c r="BK753" i="2"/>
  <c r="BJ753" i="2"/>
  <c r="BI753" i="2"/>
  <c r="BH753" i="2"/>
  <c r="BG753" i="2" s="1"/>
  <c r="F753" i="2"/>
  <c r="D753" i="2"/>
  <c r="C753" i="2"/>
  <c r="DM752" i="2"/>
  <c r="DN752" i="2" s="1"/>
  <c r="DH752" i="2" s="1"/>
  <c r="DD752" i="2"/>
  <c r="BQ752" i="2"/>
  <c r="BP752" i="2"/>
  <c r="BO752" i="2"/>
  <c r="BN752" i="2"/>
  <c r="BM752" i="2"/>
  <c r="BL752" i="2"/>
  <c r="BK752" i="2"/>
  <c r="BJ752" i="2"/>
  <c r="BF752" i="2" s="1"/>
  <c r="BI752" i="2"/>
  <c r="BH752" i="2"/>
  <c r="BG752" i="2" s="1"/>
  <c r="F752" i="2"/>
  <c r="D752" i="2"/>
  <c r="C752" i="2"/>
  <c r="DN751" i="2"/>
  <c r="DI751" i="2" s="1"/>
  <c r="DL751" i="2" s="1"/>
  <c r="DM751" i="2"/>
  <c r="DA751" i="2"/>
  <c r="DJ751" i="2" s="1"/>
  <c r="BQ751" i="2"/>
  <c r="BP751" i="2"/>
  <c r="BO751" i="2"/>
  <c r="BN751" i="2"/>
  <c r="BM751" i="2"/>
  <c r="AV751" i="2" s="1"/>
  <c r="BL751" i="2"/>
  <c r="BK751" i="2"/>
  <c r="BJ751" i="2"/>
  <c r="BF751" i="2" s="1"/>
  <c r="BI751" i="2"/>
  <c r="BH751" i="2"/>
  <c r="BE751" i="2" s="1"/>
  <c r="BG751" i="2"/>
  <c r="AZ751" i="2"/>
  <c r="F751" i="2"/>
  <c r="D751" i="2"/>
  <c r="C751" i="2"/>
  <c r="DM750" i="2"/>
  <c r="DN750" i="2" s="1"/>
  <c r="DF750" i="2" s="1"/>
  <c r="DH750" i="2"/>
  <c r="DG750" i="2"/>
  <c r="DE750" i="2"/>
  <c r="DK750" i="2" s="1"/>
  <c r="DD750" i="2"/>
  <c r="DC750" i="2"/>
  <c r="DA750" i="2"/>
  <c r="DJ750" i="2" s="1"/>
  <c r="CZ750" i="2"/>
  <c r="BQ750" i="2"/>
  <c r="BG750" i="2" s="1"/>
  <c r="BP750" i="2"/>
  <c r="BO750" i="2"/>
  <c r="BN750" i="2"/>
  <c r="BM750" i="2"/>
  <c r="BL750" i="2"/>
  <c r="BK750" i="2"/>
  <c r="BJ750" i="2"/>
  <c r="BF750" i="2" s="1"/>
  <c r="BI750" i="2"/>
  <c r="BH750" i="2"/>
  <c r="AX750" i="2" s="1"/>
  <c r="BE750" i="2"/>
  <c r="F750" i="2"/>
  <c r="D750" i="2"/>
  <c r="C750" i="2"/>
  <c r="DM749" i="2"/>
  <c r="DN749" i="2" s="1"/>
  <c r="BQ749" i="2"/>
  <c r="BP749" i="2"/>
  <c r="BF749" i="2" s="1"/>
  <c r="BO749" i="2"/>
  <c r="BN749" i="2"/>
  <c r="BM749" i="2"/>
  <c r="AV749" i="2" s="1"/>
  <c r="BL749" i="2"/>
  <c r="BK749" i="2"/>
  <c r="BJ749" i="2"/>
  <c r="BI749" i="2"/>
  <c r="AZ749" i="2" s="1"/>
  <c r="BH749" i="2"/>
  <c r="AY749" i="2" s="1"/>
  <c r="BE749" i="2"/>
  <c r="F749" i="2"/>
  <c r="D749" i="2"/>
  <c r="C749" i="2"/>
  <c r="DN748" i="2"/>
  <c r="DI748" i="2" s="1"/>
  <c r="DL748" i="2" s="1"/>
  <c r="DM748" i="2"/>
  <c r="DA748" i="2"/>
  <c r="DJ748" i="2" s="1"/>
  <c r="BQ748" i="2"/>
  <c r="BP748" i="2"/>
  <c r="BO748" i="2"/>
  <c r="BN748" i="2"/>
  <c r="BM748" i="2"/>
  <c r="BL748" i="2"/>
  <c r="BK748" i="2"/>
  <c r="BJ748" i="2"/>
  <c r="BF748" i="2" s="1"/>
  <c r="BI748" i="2"/>
  <c r="BC748" i="2" s="1"/>
  <c r="BH748" i="2"/>
  <c r="BG748" i="2"/>
  <c r="BE748" i="2"/>
  <c r="F748" i="2"/>
  <c r="D748" i="2"/>
  <c r="C748" i="2"/>
  <c r="DM747" i="2"/>
  <c r="DN747" i="2" s="1"/>
  <c r="BQ747" i="2"/>
  <c r="BE747" i="2" s="1"/>
  <c r="BP747" i="2"/>
  <c r="BO747" i="2"/>
  <c r="BN747" i="2"/>
  <c r="BC747" i="2" s="1"/>
  <c r="BM747" i="2"/>
  <c r="AV747" i="2" s="1"/>
  <c r="BL747" i="2"/>
  <c r="BK747" i="2"/>
  <c r="BJ747" i="2"/>
  <c r="BI747" i="2"/>
  <c r="BH747" i="2"/>
  <c r="AX747" i="2" s="1"/>
  <c r="BF747" i="2"/>
  <c r="AY747" i="2"/>
  <c r="F747" i="2"/>
  <c r="D747" i="2"/>
  <c r="C747" i="2"/>
  <c r="DN746" i="2"/>
  <c r="DF746" i="2" s="1"/>
  <c r="DM746" i="2"/>
  <c r="DC746" i="2"/>
  <c r="BQ746" i="2"/>
  <c r="BP746" i="2"/>
  <c r="BF746" i="2" s="1"/>
  <c r="BO746" i="2"/>
  <c r="BN746" i="2"/>
  <c r="AZ746" i="2" s="1"/>
  <c r="BM746" i="2"/>
  <c r="BL746" i="2"/>
  <c r="BK746" i="2"/>
  <c r="BD746" i="2" s="1"/>
  <c r="BJ746" i="2"/>
  <c r="BI746" i="2"/>
  <c r="BE746" i="2" s="1"/>
  <c r="BH746" i="2"/>
  <c r="BG746" i="2"/>
  <c r="AX746" i="2"/>
  <c r="AV746" i="2"/>
  <c r="F746" i="2"/>
  <c r="D746" i="2"/>
  <c r="C746" i="2"/>
  <c r="DM745" i="2"/>
  <c r="DN745" i="2" s="1"/>
  <c r="BQ745" i="2"/>
  <c r="BE745" i="2" s="1"/>
  <c r="BP745" i="2"/>
  <c r="BO745" i="2"/>
  <c r="BN745" i="2"/>
  <c r="BM745" i="2"/>
  <c r="BL745" i="2"/>
  <c r="BK745" i="2"/>
  <c r="BC745" i="2" s="1"/>
  <c r="BJ745" i="2"/>
  <c r="BF745" i="2" s="1"/>
  <c r="BI745" i="2"/>
  <c r="BH745" i="2"/>
  <c r="BD745" i="2" s="1"/>
  <c r="BG745" i="2"/>
  <c r="AZ745" i="2"/>
  <c r="F745" i="2"/>
  <c r="D745" i="2"/>
  <c r="C745" i="2"/>
  <c r="DM744" i="2"/>
  <c r="DN744" i="2" s="1"/>
  <c r="DB744" i="2"/>
  <c r="BQ744" i="2"/>
  <c r="BP744" i="2"/>
  <c r="BO744" i="2"/>
  <c r="BF744" i="2" s="1"/>
  <c r="BN744" i="2"/>
  <c r="BM744" i="2"/>
  <c r="BL744" i="2"/>
  <c r="BK744" i="2"/>
  <c r="BJ744" i="2"/>
  <c r="BD744" i="2" s="1"/>
  <c r="BI744" i="2"/>
  <c r="BH744" i="2"/>
  <c r="BG744" i="2"/>
  <c r="AZ744" i="2"/>
  <c r="AX744" i="2"/>
  <c r="F744" i="2"/>
  <c r="D744" i="2"/>
  <c r="C744" i="2"/>
  <c r="DN743" i="2"/>
  <c r="DM743" i="2"/>
  <c r="DF743" i="2"/>
  <c r="DD743" i="2"/>
  <c r="DB743" i="2"/>
  <c r="BQ743" i="2"/>
  <c r="BP743" i="2"/>
  <c r="BO743" i="2"/>
  <c r="BN743" i="2"/>
  <c r="BM743" i="2"/>
  <c r="BL743" i="2"/>
  <c r="BK743" i="2"/>
  <c r="BJ743" i="2"/>
  <c r="BI743" i="2"/>
  <c r="BC743" i="2" s="1"/>
  <c r="BH743" i="2"/>
  <c r="BF743" i="2"/>
  <c r="BE743" i="2"/>
  <c r="AX743" i="2"/>
  <c r="F743" i="2"/>
  <c r="D743" i="2"/>
  <c r="C743" i="2"/>
  <c r="DN742" i="2"/>
  <c r="DB742" i="2" s="1"/>
  <c r="DM742" i="2"/>
  <c r="DA742" i="2"/>
  <c r="DJ742" i="2" s="1"/>
  <c r="BQ742" i="2"/>
  <c r="BP742" i="2"/>
  <c r="BO742" i="2"/>
  <c r="BN742" i="2"/>
  <c r="BM742" i="2"/>
  <c r="BL742" i="2"/>
  <c r="BK742" i="2"/>
  <c r="BJ742" i="2"/>
  <c r="BI742" i="2"/>
  <c r="BH742" i="2"/>
  <c r="AY742" i="2" s="1"/>
  <c r="BD742" i="2"/>
  <c r="AX742" i="2"/>
  <c r="AV742" i="2"/>
  <c r="F742" i="2"/>
  <c r="D742" i="2"/>
  <c r="C742" i="2"/>
  <c r="DM741" i="2"/>
  <c r="DN741" i="2" s="1"/>
  <c r="DI741" i="2"/>
  <c r="DL741" i="2" s="1"/>
  <c r="DF741" i="2"/>
  <c r="BQ741" i="2"/>
  <c r="BP741" i="2"/>
  <c r="BO741" i="2"/>
  <c r="BN741" i="2"/>
  <c r="BM741" i="2"/>
  <c r="AV741" i="2" s="1"/>
  <c r="BL741" i="2"/>
  <c r="BK741" i="2"/>
  <c r="BJ741" i="2"/>
  <c r="BI741" i="2"/>
  <c r="BH741" i="2"/>
  <c r="AX741" i="2"/>
  <c r="F741" i="2"/>
  <c r="D741" i="2"/>
  <c r="C741" i="2"/>
  <c r="DM740" i="2"/>
  <c r="DN740" i="2" s="1"/>
  <c r="DG740" i="2"/>
  <c r="BQ740" i="2"/>
  <c r="BP740" i="2"/>
  <c r="BE740" i="2" s="1"/>
  <c r="BO740" i="2"/>
  <c r="BN740" i="2"/>
  <c r="BC740" i="2" s="1"/>
  <c r="BM740" i="2"/>
  <c r="BG740" i="2" s="1"/>
  <c r="BL740" i="2"/>
  <c r="BK740" i="2"/>
  <c r="AY740" i="2" s="1"/>
  <c r="BJ740" i="2"/>
  <c r="BI740" i="2"/>
  <c r="BH740" i="2"/>
  <c r="BF740" i="2"/>
  <c r="AZ740" i="2"/>
  <c r="AX740" i="2"/>
  <c r="F740" i="2"/>
  <c r="D740" i="2"/>
  <c r="C740" i="2"/>
  <c r="A740" i="2"/>
  <c r="DN739" i="2"/>
  <c r="DM739" i="2"/>
  <c r="DB739" i="2"/>
  <c r="BQ739" i="2"/>
  <c r="BP739" i="2"/>
  <c r="BO739" i="2"/>
  <c r="BN739" i="2"/>
  <c r="BM739" i="2"/>
  <c r="BL739" i="2"/>
  <c r="BK739" i="2"/>
  <c r="BJ739" i="2"/>
  <c r="BI739" i="2"/>
  <c r="BC739" i="2" s="1"/>
  <c r="BH739" i="2"/>
  <c r="BF739" i="2"/>
  <c r="BE739" i="2"/>
  <c r="AX739" i="2"/>
  <c r="AV739" i="2"/>
  <c r="F739" i="2"/>
  <c r="D739" i="2"/>
  <c r="C739" i="2"/>
  <c r="DM738" i="2"/>
  <c r="DN738" i="2" s="1"/>
  <c r="DH738" i="2" s="1"/>
  <c r="DE738" i="2"/>
  <c r="DK738" i="2" s="1"/>
  <c r="BQ738" i="2"/>
  <c r="BP738" i="2"/>
  <c r="BO738" i="2"/>
  <c r="BN738" i="2"/>
  <c r="BM738" i="2"/>
  <c r="BL738" i="2"/>
  <c r="BK738" i="2"/>
  <c r="BJ738" i="2"/>
  <c r="BI738" i="2"/>
  <c r="BE738" i="2" s="1"/>
  <c r="BH738" i="2"/>
  <c r="AZ738" i="2"/>
  <c r="AV738" i="2"/>
  <c r="F738" i="2"/>
  <c r="D738" i="2"/>
  <c r="C738" i="2"/>
  <c r="DM737" i="2"/>
  <c r="DN737" i="2" s="1"/>
  <c r="CX737" i="2" s="1"/>
  <c r="DG737" i="2"/>
  <c r="DF737" i="2"/>
  <c r="DB737" i="2"/>
  <c r="CZ737" i="2"/>
  <c r="CY737" i="2"/>
  <c r="BQ737" i="2"/>
  <c r="BP737" i="2"/>
  <c r="BO737" i="2"/>
  <c r="BN737" i="2"/>
  <c r="BM737" i="2"/>
  <c r="BG737" i="2" s="1"/>
  <c r="BL737" i="2"/>
  <c r="BK737" i="2"/>
  <c r="BJ737" i="2"/>
  <c r="BF737" i="2" s="1"/>
  <c r="BI737" i="2"/>
  <c r="BH737" i="2"/>
  <c r="BE737" i="2"/>
  <c r="AX737" i="2"/>
  <c r="F737" i="2"/>
  <c r="D737" i="2"/>
  <c r="C737" i="2"/>
  <c r="DM736" i="2"/>
  <c r="DN736" i="2" s="1"/>
  <c r="DD736" i="2" s="1"/>
  <c r="CZ736" i="2"/>
  <c r="BQ736" i="2"/>
  <c r="BP736" i="2"/>
  <c r="BO736" i="2"/>
  <c r="BN736" i="2"/>
  <c r="BM736" i="2"/>
  <c r="BL736" i="2"/>
  <c r="BK736" i="2"/>
  <c r="BJ736" i="2"/>
  <c r="BF736" i="2" s="1"/>
  <c r="BI736" i="2"/>
  <c r="BE736" i="2" s="1"/>
  <c r="BH736" i="2"/>
  <c r="AX736" i="2" s="1"/>
  <c r="BD736" i="2"/>
  <c r="AZ736" i="2"/>
  <c r="AY736" i="2"/>
  <c r="F736" i="2"/>
  <c r="D736" i="2"/>
  <c r="C736" i="2"/>
  <c r="DM735" i="2"/>
  <c r="DN735" i="2" s="1"/>
  <c r="DC735" i="2" s="1"/>
  <c r="BQ735" i="2"/>
  <c r="BP735" i="2"/>
  <c r="BO735" i="2"/>
  <c r="BN735" i="2"/>
  <c r="BM735" i="2"/>
  <c r="AV735" i="2" s="1"/>
  <c r="BL735" i="2"/>
  <c r="BK735" i="2"/>
  <c r="BJ735" i="2"/>
  <c r="BI735" i="2"/>
  <c r="BH735" i="2"/>
  <c r="BD735" i="2" s="1"/>
  <c r="BG735" i="2"/>
  <c r="BC735" i="2"/>
  <c r="AY735" i="2"/>
  <c r="AX735" i="2"/>
  <c r="F735" i="2"/>
  <c r="D735" i="2"/>
  <c r="C735" i="2"/>
  <c r="A735" i="2"/>
  <c r="DM734" i="2"/>
  <c r="DN734" i="2" s="1"/>
  <c r="DC734" i="2"/>
  <c r="CY734" i="2"/>
  <c r="BQ734" i="2"/>
  <c r="BP734" i="2"/>
  <c r="BO734" i="2"/>
  <c r="BN734" i="2"/>
  <c r="BM734" i="2"/>
  <c r="BL734" i="2"/>
  <c r="BK734" i="2"/>
  <c r="AY734" i="2" s="1"/>
  <c r="BJ734" i="2"/>
  <c r="BF734" i="2" s="1"/>
  <c r="BI734" i="2"/>
  <c r="BE734" i="2" s="1"/>
  <c r="BH734" i="2"/>
  <c r="BD734" i="2" s="1"/>
  <c r="BG734" i="2"/>
  <c r="BC734" i="2"/>
  <c r="AX734" i="2"/>
  <c r="AV734" i="2"/>
  <c r="F734" i="2"/>
  <c r="D734" i="2"/>
  <c r="C734" i="2"/>
  <c r="DN733" i="2"/>
  <c r="DM733" i="2"/>
  <c r="BQ733" i="2"/>
  <c r="BP733" i="2"/>
  <c r="BO733" i="2"/>
  <c r="BN733" i="2"/>
  <c r="BM733" i="2"/>
  <c r="BL733" i="2"/>
  <c r="BK733" i="2"/>
  <c r="BJ733" i="2"/>
  <c r="BI733" i="2"/>
  <c r="BE733" i="2" s="1"/>
  <c r="BH733" i="2"/>
  <c r="BD733" i="2" s="1"/>
  <c r="BF733" i="2"/>
  <c r="AZ733" i="2"/>
  <c r="AX733" i="2"/>
  <c r="F733" i="2"/>
  <c r="D733" i="2"/>
  <c r="C733" i="2"/>
  <c r="DM732" i="2"/>
  <c r="DN732" i="2" s="1"/>
  <c r="BQ732" i="2"/>
  <c r="BP732" i="2"/>
  <c r="BO732" i="2"/>
  <c r="BN732" i="2"/>
  <c r="BM732" i="2"/>
  <c r="BL732" i="2"/>
  <c r="AY732" i="2" s="1"/>
  <c r="BK732" i="2"/>
  <c r="BJ732" i="2"/>
  <c r="BF732" i="2" s="1"/>
  <c r="BI732" i="2"/>
  <c r="BH732" i="2"/>
  <c r="BE732" i="2"/>
  <c r="AV732" i="2"/>
  <c r="F732" i="2"/>
  <c r="D732" i="2"/>
  <c r="C732" i="2"/>
  <c r="DM731" i="2"/>
  <c r="DN731" i="2" s="1"/>
  <c r="DI731" i="2"/>
  <c r="DL731" i="2" s="1"/>
  <c r="DG731" i="2"/>
  <c r="BQ731" i="2"/>
  <c r="BP731" i="2"/>
  <c r="BO731" i="2"/>
  <c r="BN731" i="2"/>
  <c r="BM731" i="2"/>
  <c r="BL731" i="2"/>
  <c r="BK731" i="2"/>
  <c r="BD731" i="2" s="1"/>
  <c r="BJ731" i="2"/>
  <c r="BI731" i="2"/>
  <c r="BH731" i="2"/>
  <c r="AX731" i="2"/>
  <c r="F731" i="2"/>
  <c r="D731" i="2"/>
  <c r="C731" i="2"/>
  <c r="DM730" i="2"/>
  <c r="DN730" i="2" s="1"/>
  <c r="DH730" i="2" s="1"/>
  <c r="DF730" i="2"/>
  <c r="CY730" i="2"/>
  <c r="BQ730" i="2"/>
  <c r="BP730" i="2"/>
  <c r="BO730" i="2"/>
  <c r="BN730" i="2"/>
  <c r="BM730" i="2"/>
  <c r="BL730" i="2"/>
  <c r="BK730" i="2"/>
  <c r="BJ730" i="2"/>
  <c r="BF730" i="2" s="1"/>
  <c r="BI730" i="2"/>
  <c r="AZ730" i="2" s="1"/>
  <c r="BH730" i="2"/>
  <c r="AY730" i="2" s="1"/>
  <c r="F730" i="2"/>
  <c r="D730" i="2"/>
  <c r="C730" i="2"/>
  <c r="DN729" i="2"/>
  <c r="DE729" i="2" s="1"/>
  <c r="DK729" i="2" s="1"/>
  <c r="DM729" i="2"/>
  <c r="DG729" i="2"/>
  <c r="CX729" i="2"/>
  <c r="BQ729" i="2"/>
  <c r="BP729" i="2"/>
  <c r="BO729" i="2"/>
  <c r="BN729" i="2"/>
  <c r="BM729" i="2"/>
  <c r="BL729" i="2"/>
  <c r="BK729" i="2"/>
  <c r="BF729" i="2" s="1"/>
  <c r="BJ729" i="2"/>
  <c r="BI729" i="2"/>
  <c r="AZ729" i="2" s="1"/>
  <c r="BH729" i="2"/>
  <c r="BG729" i="2"/>
  <c r="AV729" i="2"/>
  <c r="F729" i="2"/>
  <c r="D729" i="2"/>
  <c r="C729" i="2"/>
  <c r="DM728" i="2"/>
  <c r="DN728" i="2" s="1"/>
  <c r="DG728" i="2" s="1"/>
  <c r="DI728" i="2"/>
  <c r="DL728" i="2" s="1"/>
  <c r="DF728" i="2"/>
  <c r="DD728" i="2"/>
  <c r="BQ728" i="2"/>
  <c r="BP728" i="2"/>
  <c r="BO728" i="2"/>
  <c r="BN728" i="2"/>
  <c r="BM728" i="2"/>
  <c r="BL728" i="2"/>
  <c r="BK728" i="2"/>
  <c r="BJ728" i="2"/>
  <c r="BI728" i="2"/>
  <c r="BH728" i="2"/>
  <c r="AY728" i="2" s="1"/>
  <c r="AZ728" i="2"/>
  <c r="F728" i="2"/>
  <c r="D728" i="2"/>
  <c r="C728" i="2"/>
  <c r="DM727" i="2"/>
  <c r="DN727" i="2" s="1"/>
  <c r="DH727" i="2"/>
  <c r="DF727" i="2"/>
  <c r="DE727" i="2"/>
  <c r="DK727" i="2" s="1"/>
  <c r="DC727" i="2"/>
  <c r="BQ727" i="2"/>
  <c r="BP727" i="2"/>
  <c r="BO727" i="2"/>
  <c r="BN727" i="2"/>
  <c r="BM727" i="2"/>
  <c r="BL727" i="2"/>
  <c r="BK727" i="2"/>
  <c r="BJ727" i="2"/>
  <c r="BF727" i="2" s="1"/>
  <c r="BI727" i="2"/>
  <c r="BH727" i="2"/>
  <c r="BG727" i="2"/>
  <c r="AX727" i="2"/>
  <c r="F727" i="2"/>
  <c r="D727" i="2"/>
  <c r="C727" i="2"/>
  <c r="DN726" i="2"/>
  <c r="DI726" i="2" s="1"/>
  <c r="DL726" i="2" s="1"/>
  <c r="DM726" i="2"/>
  <c r="DK726" i="2"/>
  <c r="DH726" i="2"/>
  <c r="DG726" i="2"/>
  <c r="DF726" i="2"/>
  <c r="DE726" i="2"/>
  <c r="DD726" i="2"/>
  <c r="DC726" i="2"/>
  <c r="DB726" i="2"/>
  <c r="DA726" i="2"/>
  <c r="DJ726" i="2" s="1"/>
  <c r="CZ726" i="2"/>
  <c r="CY726" i="2"/>
  <c r="CX726" i="2"/>
  <c r="BQ726" i="2"/>
  <c r="BP726" i="2"/>
  <c r="BO726" i="2"/>
  <c r="BN726" i="2"/>
  <c r="BM726" i="2"/>
  <c r="AV726" i="2" s="1"/>
  <c r="BL726" i="2"/>
  <c r="BK726" i="2"/>
  <c r="BF726" i="2" s="1"/>
  <c r="BJ726" i="2"/>
  <c r="BI726" i="2"/>
  <c r="BH726" i="2"/>
  <c r="F726" i="2"/>
  <c r="D726" i="2"/>
  <c r="C726" i="2"/>
  <c r="A726" i="2"/>
  <c r="DN725" i="2"/>
  <c r="DI725" i="2" s="1"/>
  <c r="DL725" i="2" s="1"/>
  <c r="DM725" i="2"/>
  <c r="DK725" i="2"/>
  <c r="DH725" i="2"/>
  <c r="DG725" i="2"/>
  <c r="DF725" i="2"/>
  <c r="DE725" i="2"/>
  <c r="DD725" i="2"/>
  <c r="DC725" i="2"/>
  <c r="DB725" i="2"/>
  <c r="DA725" i="2"/>
  <c r="DJ725" i="2" s="1"/>
  <c r="CZ725" i="2"/>
  <c r="CY725" i="2"/>
  <c r="CX725" i="2"/>
  <c r="BQ725" i="2"/>
  <c r="BP725" i="2"/>
  <c r="BO725" i="2"/>
  <c r="BN725" i="2"/>
  <c r="BM725" i="2"/>
  <c r="AV725" i="2" s="1"/>
  <c r="BL725" i="2"/>
  <c r="BK725" i="2"/>
  <c r="BF725" i="2" s="1"/>
  <c r="BJ725" i="2"/>
  <c r="BI725" i="2"/>
  <c r="BH725" i="2"/>
  <c r="BD725" i="2"/>
  <c r="F725" i="2"/>
  <c r="D725" i="2"/>
  <c r="C725" i="2"/>
  <c r="DN724" i="2"/>
  <c r="DI724" i="2" s="1"/>
  <c r="DL724" i="2" s="1"/>
  <c r="DM724" i="2"/>
  <c r="DJ724" i="2"/>
  <c r="DG724" i="2"/>
  <c r="DF724" i="2"/>
  <c r="DD724" i="2"/>
  <c r="DC724" i="2"/>
  <c r="DA724" i="2"/>
  <c r="CY724" i="2"/>
  <c r="CX724" i="2"/>
  <c r="BQ724" i="2"/>
  <c r="BP724" i="2"/>
  <c r="BO724" i="2"/>
  <c r="BN724" i="2"/>
  <c r="AZ724" i="2" s="1"/>
  <c r="BM724" i="2"/>
  <c r="BL724" i="2"/>
  <c r="BK724" i="2"/>
  <c r="BJ724" i="2"/>
  <c r="BF724" i="2" s="1"/>
  <c r="BI724" i="2"/>
  <c r="BH724" i="2"/>
  <c r="BG724" i="2"/>
  <c r="BE724" i="2"/>
  <c r="F724" i="2"/>
  <c r="D724" i="2"/>
  <c r="C724" i="2"/>
  <c r="DN723" i="2"/>
  <c r="DM723" i="2"/>
  <c r="DI723" i="2"/>
  <c r="DL723" i="2" s="1"/>
  <c r="DE723" i="2"/>
  <c r="DK723" i="2" s="1"/>
  <c r="CX723" i="2"/>
  <c r="BQ723" i="2"/>
  <c r="BP723" i="2"/>
  <c r="BO723" i="2"/>
  <c r="BN723" i="2"/>
  <c r="BM723" i="2"/>
  <c r="AV723" i="2" s="1"/>
  <c r="BL723" i="2"/>
  <c r="BK723" i="2"/>
  <c r="BJ723" i="2"/>
  <c r="BI723" i="2"/>
  <c r="BH723" i="2"/>
  <c r="AX723" i="2" s="1"/>
  <c r="BG723" i="2"/>
  <c r="BF723" i="2"/>
  <c r="BD723" i="2"/>
  <c r="F723" i="2"/>
  <c r="D723" i="2"/>
  <c r="C723" i="2"/>
  <c r="DM722" i="2"/>
  <c r="DN722" i="2" s="1"/>
  <c r="DH722" i="2" s="1"/>
  <c r="DD722" i="2"/>
  <c r="DB722" i="2"/>
  <c r="DA722" i="2"/>
  <c r="DJ722" i="2" s="1"/>
  <c r="BQ722" i="2"/>
  <c r="BP722" i="2"/>
  <c r="BO722" i="2"/>
  <c r="BN722" i="2"/>
  <c r="BM722" i="2"/>
  <c r="BL722" i="2"/>
  <c r="AY722" i="2" s="1"/>
  <c r="BK722" i="2"/>
  <c r="BJ722" i="2"/>
  <c r="BI722" i="2"/>
  <c r="AZ722" i="2" s="1"/>
  <c r="BH722" i="2"/>
  <c r="BF722" i="2"/>
  <c r="BE722" i="2"/>
  <c r="BC722" i="2"/>
  <c r="F722" i="2"/>
  <c r="D722" i="2"/>
  <c r="C722" i="2"/>
  <c r="DN721" i="2"/>
  <c r="DC721" i="2" s="1"/>
  <c r="DM721" i="2"/>
  <c r="DG721" i="2"/>
  <c r="DA721" i="2"/>
  <c r="DJ721" i="2" s="1"/>
  <c r="CZ721" i="2"/>
  <c r="BQ721" i="2"/>
  <c r="BP721" i="2"/>
  <c r="BO721" i="2"/>
  <c r="BN721" i="2"/>
  <c r="BM721" i="2"/>
  <c r="AV721" i="2" s="1"/>
  <c r="BL721" i="2"/>
  <c r="BK721" i="2"/>
  <c r="BC721" i="2" s="1"/>
  <c r="BJ721" i="2"/>
  <c r="BI721" i="2"/>
  <c r="BH721" i="2"/>
  <c r="BG721" i="2"/>
  <c r="BE721" i="2"/>
  <c r="AZ721" i="2"/>
  <c r="AX721" i="2"/>
  <c r="F721" i="2"/>
  <c r="D721" i="2"/>
  <c r="C721" i="2"/>
  <c r="DM720" i="2"/>
  <c r="DN720" i="2" s="1"/>
  <c r="CY720" i="2" s="1"/>
  <c r="DG720" i="2"/>
  <c r="DF720" i="2"/>
  <c r="DB720" i="2"/>
  <c r="CZ720" i="2"/>
  <c r="BQ720" i="2"/>
  <c r="BP720" i="2"/>
  <c r="BO720" i="2"/>
  <c r="BN720" i="2"/>
  <c r="BM720" i="2"/>
  <c r="BL720" i="2"/>
  <c r="BK720" i="2"/>
  <c r="BF720" i="2" s="1"/>
  <c r="BJ720" i="2"/>
  <c r="BI720" i="2"/>
  <c r="BH720" i="2"/>
  <c r="AY720" i="2"/>
  <c r="AX720" i="2"/>
  <c r="F720" i="2"/>
  <c r="D720" i="2"/>
  <c r="C720" i="2"/>
  <c r="DN719" i="2"/>
  <c r="DM719" i="2"/>
  <c r="DE719" i="2"/>
  <c r="DK719" i="2" s="1"/>
  <c r="DA719" i="2"/>
  <c r="DJ719" i="2" s="1"/>
  <c r="CY719" i="2"/>
  <c r="CX719" i="2"/>
  <c r="BQ719" i="2"/>
  <c r="BP719" i="2"/>
  <c r="BO719" i="2"/>
  <c r="BN719" i="2"/>
  <c r="BM719" i="2"/>
  <c r="BG719" i="2" s="1"/>
  <c r="BL719" i="2"/>
  <c r="BK719" i="2"/>
  <c r="BJ719" i="2"/>
  <c r="BI719" i="2"/>
  <c r="BE719" i="2" s="1"/>
  <c r="BH719" i="2"/>
  <c r="AX719" i="2"/>
  <c r="F719" i="2"/>
  <c r="D719" i="2"/>
  <c r="C719" i="2"/>
  <c r="DN718" i="2"/>
  <c r="DM718" i="2"/>
  <c r="DI718" i="2"/>
  <c r="DL718" i="2" s="1"/>
  <c r="DD718" i="2"/>
  <c r="CZ718" i="2"/>
  <c r="CX718" i="2"/>
  <c r="BQ718" i="2"/>
  <c r="BP718" i="2"/>
  <c r="BO718" i="2"/>
  <c r="BN718" i="2"/>
  <c r="BM718" i="2"/>
  <c r="BL718" i="2"/>
  <c r="BK718" i="2"/>
  <c r="BJ718" i="2"/>
  <c r="BI718" i="2"/>
  <c r="BH718" i="2"/>
  <c r="AX718" i="2" s="1"/>
  <c r="F718" i="2"/>
  <c r="D718" i="2"/>
  <c r="C718" i="2"/>
  <c r="DM717" i="2"/>
  <c r="DN717" i="2" s="1"/>
  <c r="CY717" i="2" s="1"/>
  <c r="DI717" i="2"/>
  <c r="DL717" i="2" s="1"/>
  <c r="DH717" i="2"/>
  <c r="DG717" i="2"/>
  <c r="DF717" i="2"/>
  <c r="DE717" i="2"/>
  <c r="DK717" i="2" s="1"/>
  <c r="DD717" i="2"/>
  <c r="DC717" i="2"/>
  <c r="BQ717" i="2"/>
  <c r="BP717" i="2"/>
  <c r="BO717" i="2"/>
  <c r="BN717" i="2"/>
  <c r="BC717" i="2" s="1"/>
  <c r="BM717" i="2"/>
  <c r="AV717" i="2" s="1"/>
  <c r="BL717" i="2"/>
  <c r="BK717" i="2"/>
  <c r="BJ717" i="2"/>
  <c r="BI717" i="2"/>
  <c r="BH717" i="2"/>
  <c r="AX717" i="2" s="1"/>
  <c r="BG717" i="2"/>
  <c r="AY717" i="2"/>
  <c r="F717" i="2"/>
  <c r="D717" i="2"/>
  <c r="C717" i="2"/>
  <c r="DN716" i="2"/>
  <c r="DH716" i="2" s="1"/>
  <c r="DM716" i="2"/>
  <c r="DI716" i="2"/>
  <c r="DL716" i="2" s="1"/>
  <c r="DG716" i="2"/>
  <c r="DF716" i="2"/>
  <c r="DB716" i="2"/>
  <c r="CX716" i="2"/>
  <c r="BQ716" i="2"/>
  <c r="BP716" i="2"/>
  <c r="BO716" i="2"/>
  <c r="BN716" i="2"/>
  <c r="BM716" i="2"/>
  <c r="BL716" i="2"/>
  <c r="BK716" i="2"/>
  <c r="BJ716" i="2"/>
  <c r="BF716" i="2" s="1"/>
  <c r="BI716" i="2"/>
  <c r="BH716" i="2"/>
  <c r="AZ716" i="2"/>
  <c r="F716" i="2"/>
  <c r="D716" i="2"/>
  <c r="C716" i="2"/>
  <c r="DM715" i="2"/>
  <c r="DN715" i="2" s="1"/>
  <c r="DC715" i="2" s="1"/>
  <c r="DK715" i="2"/>
  <c r="DJ715" i="2"/>
  <c r="DH715" i="2"/>
  <c r="DG715" i="2"/>
  <c r="DF715" i="2"/>
  <c r="DE715" i="2"/>
  <c r="DD715" i="2"/>
  <c r="DB715" i="2"/>
  <c r="DA715" i="2"/>
  <c r="BQ715" i="2"/>
  <c r="BP715" i="2"/>
  <c r="BO715" i="2"/>
  <c r="BN715" i="2"/>
  <c r="BM715" i="2"/>
  <c r="BL715" i="2"/>
  <c r="BK715" i="2"/>
  <c r="BJ715" i="2"/>
  <c r="BF715" i="2" s="1"/>
  <c r="BI715" i="2"/>
  <c r="BE715" i="2" s="1"/>
  <c r="BH715" i="2"/>
  <c r="AY715" i="2" s="1"/>
  <c r="BG715" i="2"/>
  <c r="F715" i="2"/>
  <c r="D715" i="2"/>
  <c r="C715" i="2"/>
  <c r="DM714" i="2"/>
  <c r="DN714" i="2" s="1"/>
  <c r="DJ714" i="2"/>
  <c r="DH714" i="2"/>
  <c r="DF714" i="2"/>
  <c r="DE714" i="2"/>
  <c r="DK714" i="2" s="1"/>
  <c r="DD714" i="2"/>
  <c r="DC714" i="2"/>
  <c r="DB714" i="2"/>
  <c r="DA714" i="2"/>
  <c r="CZ714" i="2"/>
  <c r="BQ714" i="2"/>
  <c r="BP714" i="2"/>
  <c r="BO714" i="2"/>
  <c r="BN714" i="2"/>
  <c r="BM714" i="2"/>
  <c r="BL714" i="2"/>
  <c r="BK714" i="2"/>
  <c r="BJ714" i="2"/>
  <c r="BI714" i="2"/>
  <c r="BH714" i="2"/>
  <c r="BE714" i="2" s="1"/>
  <c r="BF714" i="2"/>
  <c r="F714" i="2"/>
  <c r="D714" i="2"/>
  <c r="C714" i="2"/>
  <c r="DN713" i="2"/>
  <c r="DM713" i="2"/>
  <c r="DK713" i="2"/>
  <c r="DI713" i="2"/>
  <c r="DL713" i="2" s="1"/>
  <c r="DH713" i="2"/>
  <c r="DG713" i="2"/>
  <c r="DF713" i="2"/>
  <c r="DE713" i="2"/>
  <c r="DD713" i="2"/>
  <c r="DC713" i="2"/>
  <c r="DB713" i="2"/>
  <c r="DA713" i="2"/>
  <c r="DJ713" i="2" s="1"/>
  <c r="CZ713" i="2"/>
  <c r="CY713" i="2"/>
  <c r="CX713" i="2"/>
  <c r="BQ713" i="2"/>
  <c r="BP713" i="2"/>
  <c r="BO713" i="2"/>
  <c r="BN713" i="2"/>
  <c r="BM713" i="2"/>
  <c r="AV713" i="2" s="1"/>
  <c r="BL713" i="2"/>
  <c r="BK713" i="2"/>
  <c r="BJ713" i="2"/>
  <c r="BI713" i="2"/>
  <c r="AZ713" i="2" s="1"/>
  <c r="BH713" i="2"/>
  <c r="BD713" i="2" s="1"/>
  <c r="BG713" i="2"/>
  <c r="BF713" i="2"/>
  <c r="BE713" i="2"/>
  <c r="F713" i="2"/>
  <c r="D713" i="2"/>
  <c r="C713" i="2"/>
  <c r="DN712" i="2"/>
  <c r="DG712" i="2" s="1"/>
  <c r="DM712" i="2"/>
  <c r="DJ712" i="2"/>
  <c r="DI712" i="2"/>
  <c r="DL712" i="2" s="1"/>
  <c r="DH712" i="2"/>
  <c r="DF712" i="2"/>
  <c r="DE712" i="2"/>
  <c r="DK712" i="2" s="1"/>
  <c r="DD712" i="2"/>
  <c r="DC712" i="2"/>
  <c r="DB712" i="2"/>
  <c r="DA712" i="2"/>
  <c r="CZ712" i="2"/>
  <c r="CX712" i="2"/>
  <c r="BQ712" i="2"/>
  <c r="BP712" i="2"/>
  <c r="BO712" i="2"/>
  <c r="BN712" i="2"/>
  <c r="BM712" i="2"/>
  <c r="BL712" i="2"/>
  <c r="BK712" i="2"/>
  <c r="BJ712" i="2"/>
  <c r="AV712" i="2" s="1"/>
  <c r="BI712" i="2"/>
  <c r="BE712" i="2" s="1"/>
  <c r="BH712" i="2"/>
  <c r="BG712" i="2" s="1"/>
  <c r="BF712" i="2"/>
  <c r="F712" i="2"/>
  <c r="D712" i="2"/>
  <c r="C712" i="2"/>
  <c r="DN711" i="2"/>
  <c r="DD711" i="2" s="1"/>
  <c r="DM711" i="2"/>
  <c r="DI711" i="2"/>
  <c r="DL711" i="2" s="1"/>
  <c r="DH711" i="2"/>
  <c r="DG711" i="2"/>
  <c r="DF711" i="2"/>
  <c r="DE711" i="2"/>
  <c r="DK711" i="2" s="1"/>
  <c r="DA711" i="2"/>
  <c r="DJ711" i="2" s="1"/>
  <c r="CX711" i="2"/>
  <c r="BQ711" i="2"/>
  <c r="BP711" i="2"/>
  <c r="BO711" i="2"/>
  <c r="BN711" i="2"/>
  <c r="BM711" i="2"/>
  <c r="AV711" i="2" s="1"/>
  <c r="BL711" i="2"/>
  <c r="BK711" i="2"/>
  <c r="BJ711" i="2"/>
  <c r="BF711" i="2" s="1"/>
  <c r="BI711" i="2"/>
  <c r="AY711" i="2" s="1"/>
  <c r="BH711" i="2"/>
  <c r="AX711" i="2" s="1"/>
  <c r="AZ711" i="2"/>
  <c r="F711" i="2"/>
  <c r="D711" i="2"/>
  <c r="C711" i="2"/>
  <c r="DN710" i="2"/>
  <c r="DB710" i="2" s="1"/>
  <c r="DM710" i="2"/>
  <c r="DC710" i="2"/>
  <c r="CX710" i="2"/>
  <c r="BQ710" i="2"/>
  <c r="BP710" i="2"/>
  <c r="BF710" i="2" s="1"/>
  <c r="BO710" i="2"/>
  <c r="BN710" i="2"/>
  <c r="BM710" i="2"/>
  <c r="BL710" i="2"/>
  <c r="BK710" i="2"/>
  <c r="BJ710" i="2"/>
  <c r="BD710" i="2" s="1"/>
  <c r="BI710" i="2"/>
  <c r="BE710" i="2" s="1"/>
  <c r="BH710" i="2"/>
  <c r="BG710" i="2"/>
  <c r="AZ710" i="2"/>
  <c r="AY710" i="2"/>
  <c r="AX710" i="2"/>
  <c r="F710" i="2"/>
  <c r="D710" i="2"/>
  <c r="C710" i="2"/>
  <c r="DN709" i="2"/>
  <c r="DI709" i="2" s="1"/>
  <c r="DL709" i="2" s="1"/>
  <c r="DM709" i="2"/>
  <c r="DK709" i="2"/>
  <c r="DF709" i="2"/>
  <c r="DE709" i="2"/>
  <c r="DD709" i="2"/>
  <c r="DC709" i="2"/>
  <c r="DB709" i="2"/>
  <c r="BQ709" i="2"/>
  <c r="BP709" i="2"/>
  <c r="BO709" i="2"/>
  <c r="BF709" i="2" s="1"/>
  <c r="BN709" i="2"/>
  <c r="BM709" i="2"/>
  <c r="BL709" i="2"/>
  <c r="BK709" i="2"/>
  <c r="BJ709" i="2"/>
  <c r="BI709" i="2"/>
  <c r="BH709" i="2"/>
  <c r="BG709" i="2" s="1"/>
  <c r="F709" i="2"/>
  <c r="D709" i="2"/>
  <c r="C709" i="2"/>
  <c r="DN708" i="2"/>
  <c r="DF708" i="2" s="1"/>
  <c r="DM708" i="2"/>
  <c r="DG708" i="2"/>
  <c r="CX708" i="2"/>
  <c r="BQ708" i="2"/>
  <c r="BP708" i="2"/>
  <c r="BO708" i="2"/>
  <c r="BN708" i="2"/>
  <c r="BM708" i="2"/>
  <c r="BG708" i="2" s="1"/>
  <c r="BL708" i="2"/>
  <c r="BK708" i="2"/>
  <c r="BJ708" i="2"/>
  <c r="BI708" i="2"/>
  <c r="BH708" i="2"/>
  <c r="BE708" i="2"/>
  <c r="AZ708" i="2"/>
  <c r="F708" i="2"/>
  <c r="D708" i="2"/>
  <c r="C708" i="2"/>
  <c r="DM707" i="2"/>
  <c r="DN707" i="2" s="1"/>
  <c r="BQ707" i="2"/>
  <c r="BE707" i="2" s="1"/>
  <c r="BP707" i="2"/>
  <c r="BO707" i="2"/>
  <c r="BN707" i="2"/>
  <c r="BM707" i="2"/>
  <c r="BG707" i="2" s="1"/>
  <c r="BL707" i="2"/>
  <c r="BK707" i="2"/>
  <c r="BJ707" i="2"/>
  <c r="BI707" i="2"/>
  <c r="BH707" i="2"/>
  <c r="AZ707" i="2"/>
  <c r="AY707" i="2"/>
  <c r="AX707" i="2"/>
  <c r="F707" i="2"/>
  <c r="D707" i="2"/>
  <c r="C707" i="2"/>
  <c r="DN706" i="2"/>
  <c r="DD706" i="2" s="1"/>
  <c r="DM706" i="2"/>
  <c r="DE706" i="2"/>
  <c r="DK706" i="2" s="1"/>
  <c r="CZ706" i="2"/>
  <c r="CX706" i="2"/>
  <c r="BQ706" i="2"/>
  <c r="BP706" i="2"/>
  <c r="BF706" i="2" s="1"/>
  <c r="BO706" i="2"/>
  <c r="BN706" i="2"/>
  <c r="BM706" i="2"/>
  <c r="BG706" i="2" s="1"/>
  <c r="BL706" i="2"/>
  <c r="BK706" i="2"/>
  <c r="BJ706" i="2"/>
  <c r="BI706" i="2"/>
  <c r="BH706" i="2"/>
  <c r="BD706" i="2"/>
  <c r="AX706" i="2"/>
  <c r="F706" i="2"/>
  <c r="D706" i="2"/>
  <c r="C706" i="2"/>
  <c r="DM705" i="2"/>
  <c r="DN705" i="2" s="1"/>
  <c r="DD705" i="2"/>
  <c r="BQ705" i="2"/>
  <c r="BP705" i="2"/>
  <c r="BO705" i="2"/>
  <c r="BN705" i="2"/>
  <c r="BM705" i="2"/>
  <c r="AV705" i="2" s="1"/>
  <c r="BL705" i="2"/>
  <c r="BK705" i="2"/>
  <c r="BJ705" i="2"/>
  <c r="BF705" i="2" s="1"/>
  <c r="BI705" i="2"/>
  <c r="BH705" i="2"/>
  <c r="BC705" i="2"/>
  <c r="AZ705" i="2"/>
  <c r="F705" i="2"/>
  <c r="D705" i="2"/>
  <c r="C705" i="2"/>
  <c r="DN704" i="2"/>
  <c r="DB704" i="2" s="1"/>
  <c r="DM704" i="2"/>
  <c r="DC704" i="2"/>
  <c r="CX704" i="2"/>
  <c r="BQ704" i="2"/>
  <c r="BP704" i="2"/>
  <c r="BO704" i="2"/>
  <c r="BF704" i="2" s="1"/>
  <c r="BN704" i="2"/>
  <c r="AZ704" i="2" s="1"/>
  <c r="BM704" i="2"/>
  <c r="BD704" i="2" s="1"/>
  <c r="BL704" i="2"/>
  <c r="BK704" i="2"/>
  <c r="AY704" i="2" s="1"/>
  <c r="BJ704" i="2"/>
  <c r="BI704" i="2"/>
  <c r="BE704" i="2" s="1"/>
  <c r="BH704" i="2"/>
  <c r="BG704" i="2"/>
  <c r="AX704" i="2"/>
  <c r="AV704" i="2"/>
  <c r="F704" i="2"/>
  <c r="D704" i="2"/>
  <c r="C704" i="2"/>
  <c r="DM703" i="2"/>
  <c r="DN703" i="2" s="1"/>
  <c r="DB703" i="2"/>
  <c r="BQ703" i="2"/>
  <c r="BE703" i="2" s="1"/>
  <c r="BP703" i="2"/>
  <c r="BO703" i="2"/>
  <c r="BN703" i="2"/>
  <c r="BM703" i="2"/>
  <c r="AV703" i="2" s="1"/>
  <c r="BL703" i="2"/>
  <c r="BK703" i="2"/>
  <c r="BJ703" i="2"/>
  <c r="BI703" i="2"/>
  <c r="BC703" i="2" s="1"/>
  <c r="BH703" i="2"/>
  <c r="BD703" i="2" s="1"/>
  <c r="BF703" i="2"/>
  <c r="AY703" i="2"/>
  <c r="AX703" i="2"/>
  <c r="F703" i="2"/>
  <c r="D703" i="2"/>
  <c r="C703" i="2"/>
  <c r="DN702" i="2"/>
  <c r="CY702" i="2" s="1"/>
  <c r="DM702" i="2"/>
  <c r="DI702" i="2"/>
  <c r="DL702" i="2" s="1"/>
  <c r="DH702" i="2"/>
  <c r="DG702" i="2"/>
  <c r="DF702" i="2"/>
  <c r="DE702" i="2"/>
  <c r="DK702" i="2" s="1"/>
  <c r="DD702" i="2"/>
  <c r="DC702" i="2"/>
  <c r="DA702" i="2"/>
  <c r="DJ702" i="2" s="1"/>
  <c r="CZ702" i="2"/>
  <c r="CX702" i="2"/>
  <c r="BQ702" i="2"/>
  <c r="BP702" i="2"/>
  <c r="BO702" i="2"/>
  <c r="BN702" i="2"/>
  <c r="BM702" i="2"/>
  <c r="AV702" i="2" s="1"/>
  <c r="BL702" i="2"/>
  <c r="BK702" i="2"/>
  <c r="BJ702" i="2"/>
  <c r="BF702" i="2" s="1"/>
  <c r="BI702" i="2"/>
  <c r="BC702" i="2" s="1"/>
  <c r="BH702" i="2"/>
  <c r="BD702" i="2" s="1"/>
  <c r="BE702" i="2"/>
  <c r="AX702" i="2"/>
  <c r="F702" i="2"/>
  <c r="D702" i="2"/>
  <c r="C702" i="2"/>
  <c r="DM701" i="2"/>
  <c r="DN701" i="2" s="1"/>
  <c r="CZ701" i="2"/>
  <c r="BQ701" i="2"/>
  <c r="BP701" i="2"/>
  <c r="BO701" i="2"/>
  <c r="BN701" i="2"/>
  <c r="BM701" i="2"/>
  <c r="AV701" i="2" s="1"/>
  <c r="BL701" i="2"/>
  <c r="BK701" i="2"/>
  <c r="BC701" i="2" s="1"/>
  <c r="BJ701" i="2"/>
  <c r="BF701" i="2" s="1"/>
  <c r="BI701" i="2"/>
  <c r="AZ701" i="2" s="1"/>
  <c r="BH701" i="2"/>
  <c r="AY701" i="2" s="1"/>
  <c r="BD701" i="2"/>
  <c r="F701" i="2"/>
  <c r="D701" i="2"/>
  <c r="C701" i="2"/>
  <c r="DN700" i="2"/>
  <c r="DE700" i="2" s="1"/>
  <c r="DK700" i="2" s="1"/>
  <c r="DM700" i="2"/>
  <c r="DI700" i="2"/>
  <c r="DL700" i="2" s="1"/>
  <c r="DH700" i="2"/>
  <c r="DG700" i="2"/>
  <c r="DF700" i="2"/>
  <c r="CY700" i="2"/>
  <c r="CX700" i="2"/>
  <c r="BQ700" i="2"/>
  <c r="BP700" i="2"/>
  <c r="BO700" i="2"/>
  <c r="BN700" i="2"/>
  <c r="AZ700" i="2" s="1"/>
  <c r="BM700" i="2"/>
  <c r="BG700" i="2" s="1"/>
  <c r="BL700" i="2"/>
  <c r="BK700" i="2"/>
  <c r="BJ700" i="2"/>
  <c r="AV700" i="2" s="1"/>
  <c r="BI700" i="2"/>
  <c r="BE700" i="2" s="1"/>
  <c r="BH700" i="2"/>
  <c r="AY700" i="2" s="1"/>
  <c r="BC700" i="2"/>
  <c r="F700" i="2"/>
  <c r="D700" i="2"/>
  <c r="C700" i="2"/>
  <c r="DN699" i="2"/>
  <c r="DM699" i="2"/>
  <c r="CX699" i="2"/>
  <c r="BQ699" i="2"/>
  <c r="BP699" i="2"/>
  <c r="BO699" i="2"/>
  <c r="BN699" i="2"/>
  <c r="BM699" i="2"/>
  <c r="AV699" i="2" s="1"/>
  <c r="BL699" i="2"/>
  <c r="BK699" i="2"/>
  <c r="BJ699" i="2"/>
  <c r="BF699" i="2" s="1"/>
  <c r="BI699" i="2"/>
  <c r="AY699" i="2" s="1"/>
  <c r="BH699" i="2"/>
  <c r="AX699" i="2" s="1"/>
  <c r="AZ699" i="2"/>
  <c r="F699" i="2"/>
  <c r="D699" i="2"/>
  <c r="C699" i="2"/>
  <c r="DM698" i="2"/>
  <c r="DN698" i="2" s="1"/>
  <c r="DD698" i="2"/>
  <c r="BQ698" i="2"/>
  <c r="BP698" i="2"/>
  <c r="BO698" i="2"/>
  <c r="BN698" i="2"/>
  <c r="BM698" i="2"/>
  <c r="BL698" i="2"/>
  <c r="BK698" i="2"/>
  <c r="BJ698" i="2"/>
  <c r="AV698" i="2" s="1"/>
  <c r="BI698" i="2"/>
  <c r="BE698" i="2" s="1"/>
  <c r="BH698" i="2"/>
  <c r="AY698" i="2"/>
  <c r="F698" i="2"/>
  <c r="D698" i="2"/>
  <c r="C698" i="2"/>
  <c r="DN697" i="2"/>
  <c r="DH697" i="2" s="1"/>
  <c r="DM697" i="2"/>
  <c r="DL697" i="2"/>
  <c r="DI697" i="2"/>
  <c r="DG697" i="2"/>
  <c r="DF697" i="2"/>
  <c r="DE697" i="2"/>
  <c r="DK697" i="2" s="1"/>
  <c r="DD697" i="2"/>
  <c r="DC697" i="2"/>
  <c r="DB697" i="2"/>
  <c r="DA697" i="2"/>
  <c r="DJ697" i="2" s="1"/>
  <c r="CZ697" i="2"/>
  <c r="CY697" i="2"/>
  <c r="CX697" i="2"/>
  <c r="BQ697" i="2"/>
  <c r="BP697" i="2"/>
  <c r="BO697" i="2"/>
  <c r="BN697" i="2"/>
  <c r="BM697" i="2"/>
  <c r="AV697" i="2" s="1"/>
  <c r="BL697" i="2"/>
  <c r="BK697" i="2"/>
  <c r="BJ697" i="2"/>
  <c r="BF697" i="2" s="1"/>
  <c r="BI697" i="2"/>
  <c r="BH697" i="2"/>
  <c r="BD697" i="2" s="1"/>
  <c r="BG697" i="2"/>
  <c r="AX697" i="2"/>
  <c r="F697" i="2"/>
  <c r="D697" i="2"/>
  <c r="C697" i="2"/>
  <c r="DN696" i="2"/>
  <c r="DI696" i="2" s="1"/>
  <c r="DL696" i="2" s="1"/>
  <c r="DM696" i="2"/>
  <c r="DK696" i="2"/>
  <c r="DF696" i="2"/>
  <c r="DE696" i="2"/>
  <c r="DD696" i="2"/>
  <c r="DC696" i="2"/>
  <c r="DB696" i="2"/>
  <c r="CX696" i="2"/>
  <c r="BQ696" i="2"/>
  <c r="BP696" i="2"/>
  <c r="BO696" i="2"/>
  <c r="BN696" i="2"/>
  <c r="BM696" i="2"/>
  <c r="BL696" i="2"/>
  <c r="BK696" i="2"/>
  <c r="BJ696" i="2"/>
  <c r="AV696" i="2" s="1"/>
  <c r="BI696" i="2"/>
  <c r="BH696" i="2"/>
  <c r="BG696" i="2" s="1"/>
  <c r="BF696" i="2"/>
  <c r="F696" i="2"/>
  <c r="D696" i="2"/>
  <c r="C696" i="2"/>
  <c r="DM695" i="2"/>
  <c r="DN695" i="2" s="1"/>
  <c r="DA695" i="2" s="1"/>
  <c r="DJ695" i="2" s="1"/>
  <c r="BQ695" i="2"/>
  <c r="BP695" i="2"/>
  <c r="BO695" i="2"/>
  <c r="BN695" i="2"/>
  <c r="BM695" i="2"/>
  <c r="BL695" i="2"/>
  <c r="BK695" i="2"/>
  <c r="BJ695" i="2"/>
  <c r="BI695" i="2"/>
  <c r="BC695" i="2" s="1"/>
  <c r="BH695" i="2"/>
  <c r="BD695" i="2" s="1"/>
  <c r="BG695" i="2"/>
  <c r="BF695" i="2"/>
  <c r="BE695" i="2"/>
  <c r="AV695" i="2"/>
  <c r="F695" i="2"/>
  <c r="D695" i="2"/>
  <c r="C695" i="2"/>
  <c r="DM694" i="2"/>
  <c r="DN694" i="2" s="1"/>
  <c r="DI694" i="2"/>
  <c r="DL694" i="2" s="1"/>
  <c r="CZ694" i="2"/>
  <c r="BQ694" i="2"/>
  <c r="BP694" i="2"/>
  <c r="BO694" i="2"/>
  <c r="BN694" i="2"/>
  <c r="BM694" i="2"/>
  <c r="BL694" i="2"/>
  <c r="BK694" i="2"/>
  <c r="BJ694" i="2"/>
  <c r="BC694" i="2" s="1"/>
  <c r="BI694" i="2"/>
  <c r="BH694" i="2"/>
  <c r="BE694" i="2" s="1"/>
  <c r="BF694" i="2"/>
  <c r="BD694" i="2"/>
  <c r="AZ694" i="2"/>
  <c r="F694" i="2"/>
  <c r="D694" i="2"/>
  <c r="C694" i="2"/>
  <c r="DM693" i="2"/>
  <c r="DN693" i="2" s="1"/>
  <c r="DH693" i="2"/>
  <c r="CY693" i="2"/>
  <c r="BQ693" i="2"/>
  <c r="BP693" i="2"/>
  <c r="BO693" i="2"/>
  <c r="BN693" i="2"/>
  <c r="BM693" i="2"/>
  <c r="BL693" i="2"/>
  <c r="BD693" i="2" s="1"/>
  <c r="BK693" i="2"/>
  <c r="BF693" i="2" s="1"/>
  <c r="BJ693" i="2"/>
  <c r="AV693" i="2" s="1"/>
  <c r="BI693" i="2"/>
  <c r="AZ693" i="2" s="1"/>
  <c r="BH693" i="2"/>
  <c r="BG693" i="2"/>
  <c r="BE693" i="2"/>
  <c r="BC693" i="2"/>
  <c r="AX693" i="2"/>
  <c r="F693" i="2"/>
  <c r="D693" i="2"/>
  <c r="C693" i="2"/>
  <c r="DN692" i="2"/>
  <c r="CX692" i="2" s="1"/>
  <c r="DM692" i="2"/>
  <c r="DG692" i="2"/>
  <c r="BQ692" i="2"/>
  <c r="BP692" i="2"/>
  <c r="BO692" i="2"/>
  <c r="BN692" i="2"/>
  <c r="BM692" i="2"/>
  <c r="BG692" i="2" s="1"/>
  <c r="BL692" i="2"/>
  <c r="BK692" i="2"/>
  <c r="BJ692" i="2"/>
  <c r="AV692" i="2" s="1"/>
  <c r="BI692" i="2"/>
  <c r="BH692" i="2"/>
  <c r="AY692" i="2" s="1"/>
  <c r="BE692" i="2"/>
  <c r="AZ692" i="2"/>
  <c r="F692" i="2"/>
  <c r="D692" i="2"/>
  <c r="C692" i="2"/>
  <c r="DM691" i="2"/>
  <c r="DN691" i="2" s="1"/>
  <c r="DF691" i="2"/>
  <c r="BQ691" i="2"/>
  <c r="BE691" i="2" s="1"/>
  <c r="BP691" i="2"/>
  <c r="BO691" i="2"/>
  <c r="BN691" i="2"/>
  <c r="BM691" i="2"/>
  <c r="BL691" i="2"/>
  <c r="BK691" i="2"/>
  <c r="BJ691" i="2"/>
  <c r="BI691" i="2"/>
  <c r="BH691" i="2"/>
  <c r="AZ691" i="2"/>
  <c r="AY691" i="2"/>
  <c r="AX691" i="2"/>
  <c r="F691" i="2"/>
  <c r="D691" i="2"/>
  <c r="C691" i="2"/>
  <c r="DN690" i="2"/>
  <c r="DD690" i="2" s="1"/>
  <c r="DM690" i="2"/>
  <c r="DE690" i="2"/>
  <c r="DK690" i="2" s="1"/>
  <c r="CZ690" i="2"/>
  <c r="CX690" i="2"/>
  <c r="BQ690" i="2"/>
  <c r="BP690" i="2"/>
  <c r="BF690" i="2" s="1"/>
  <c r="BO690" i="2"/>
  <c r="BN690" i="2"/>
  <c r="BM690" i="2"/>
  <c r="BG690" i="2" s="1"/>
  <c r="BL690" i="2"/>
  <c r="BK690" i="2"/>
  <c r="BJ690" i="2"/>
  <c r="BI690" i="2"/>
  <c r="BH690" i="2"/>
  <c r="BD690" i="2"/>
  <c r="AX690" i="2"/>
  <c r="F690" i="2"/>
  <c r="D690" i="2"/>
  <c r="C690" i="2"/>
  <c r="DM689" i="2"/>
  <c r="DN689" i="2" s="1"/>
  <c r="DD689" i="2" s="1"/>
  <c r="BQ689" i="2"/>
  <c r="BP689" i="2"/>
  <c r="BO689" i="2"/>
  <c r="BN689" i="2"/>
  <c r="BM689" i="2"/>
  <c r="AV689" i="2" s="1"/>
  <c r="BL689" i="2"/>
  <c r="BK689" i="2"/>
  <c r="BJ689" i="2"/>
  <c r="BF689" i="2" s="1"/>
  <c r="BI689" i="2"/>
  <c r="BH689" i="2"/>
  <c r="BC689" i="2"/>
  <c r="AZ689" i="2"/>
  <c r="F689" i="2"/>
  <c r="D689" i="2"/>
  <c r="C689" i="2"/>
  <c r="DN688" i="2"/>
  <c r="DB688" i="2" s="1"/>
  <c r="DM688" i="2"/>
  <c r="DC688" i="2"/>
  <c r="CX688" i="2"/>
  <c r="BQ688" i="2"/>
  <c r="BP688" i="2"/>
  <c r="BO688" i="2"/>
  <c r="BN688" i="2"/>
  <c r="AZ688" i="2" s="1"/>
  <c r="BM688" i="2"/>
  <c r="BD688" i="2" s="1"/>
  <c r="BL688" i="2"/>
  <c r="BK688" i="2"/>
  <c r="AY688" i="2" s="1"/>
  <c r="BJ688" i="2"/>
  <c r="BF688" i="2" s="1"/>
  <c r="BI688" i="2"/>
  <c r="BE688" i="2" s="1"/>
  <c r="BH688" i="2"/>
  <c r="BG688" i="2"/>
  <c r="AX688" i="2"/>
  <c r="AV688" i="2"/>
  <c r="F688" i="2"/>
  <c r="D688" i="2"/>
  <c r="C688" i="2"/>
  <c r="DM687" i="2"/>
  <c r="DN687" i="2" s="1"/>
  <c r="DI687" i="2" s="1"/>
  <c r="DL687" i="2" s="1"/>
  <c r="BQ687" i="2"/>
  <c r="BP687" i="2"/>
  <c r="BO687" i="2"/>
  <c r="BN687" i="2"/>
  <c r="BM687" i="2"/>
  <c r="BL687" i="2"/>
  <c r="BK687" i="2"/>
  <c r="BJ687" i="2"/>
  <c r="BI687" i="2"/>
  <c r="BE687" i="2" s="1"/>
  <c r="BH687" i="2"/>
  <c r="BD687" i="2" s="1"/>
  <c r="BF687" i="2"/>
  <c r="AY687" i="2"/>
  <c r="AX687" i="2"/>
  <c r="F687" i="2"/>
  <c r="D687" i="2"/>
  <c r="C687" i="2"/>
  <c r="DN686" i="2"/>
  <c r="CY686" i="2" s="1"/>
  <c r="DM686" i="2"/>
  <c r="DI686" i="2"/>
  <c r="DL686" i="2" s="1"/>
  <c r="DH686" i="2"/>
  <c r="DG686" i="2"/>
  <c r="DF686" i="2"/>
  <c r="DE686" i="2"/>
  <c r="DK686" i="2" s="1"/>
  <c r="DD686" i="2"/>
  <c r="DC686" i="2"/>
  <c r="DA686" i="2"/>
  <c r="DJ686" i="2" s="1"/>
  <c r="CZ686" i="2"/>
  <c r="CX686" i="2"/>
  <c r="BQ686" i="2"/>
  <c r="BP686" i="2"/>
  <c r="BO686" i="2"/>
  <c r="BN686" i="2"/>
  <c r="BM686" i="2"/>
  <c r="AV686" i="2" s="1"/>
  <c r="BL686" i="2"/>
  <c r="BK686" i="2"/>
  <c r="BJ686" i="2"/>
  <c r="BF686" i="2" s="1"/>
  <c r="BI686" i="2"/>
  <c r="BC686" i="2" s="1"/>
  <c r="BH686" i="2"/>
  <c r="BE686" i="2"/>
  <c r="AX686" i="2"/>
  <c r="F686" i="2"/>
  <c r="D686" i="2"/>
  <c r="C686" i="2"/>
  <c r="DM685" i="2"/>
  <c r="DN685" i="2" s="1"/>
  <c r="DG685" i="2" s="1"/>
  <c r="BQ685" i="2"/>
  <c r="BP685" i="2"/>
  <c r="BO685" i="2"/>
  <c r="BN685" i="2"/>
  <c r="BM685" i="2"/>
  <c r="AV685" i="2" s="1"/>
  <c r="BL685" i="2"/>
  <c r="BK685" i="2"/>
  <c r="BC685" i="2" s="1"/>
  <c r="BJ685" i="2"/>
  <c r="BF685" i="2" s="1"/>
  <c r="BI685" i="2"/>
  <c r="AZ685" i="2" s="1"/>
  <c r="BH685" i="2"/>
  <c r="BD685" i="2"/>
  <c r="F685" i="2"/>
  <c r="D685" i="2"/>
  <c r="C685" i="2"/>
  <c r="DN684" i="2"/>
  <c r="DE684" i="2" s="1"/>
  <c r="DK684" i="2" s="1"/>
  <c r="DM684" i="2"/>
  <c r="DI684" i="2"/>
  <c r="DL684" i="2" s="1"/>
  <c r="DH684" i="2"/>
  <c r="DG684" i="2"/>
  <c r="DF684" i="2"/>
  <c r="DB684" i="2"/>
  <c r="CY684" i="2"/>
  <c r="CX684" i="2"/>
  <c r="BQ684" i="2"/>
  <c r="BP684" i="2"/>
  <c r="BO684" i="2"/>
  <c r="BN684" i="2"/>
  <c r="AZ684" i="2" s="1"/>
  <c r="BM684" i="2"/>
  <c r="BG684" i="2" s="1"/>
  <c r="BL684" i="2"/>
  <c r="BK684" i="2"/>
  <c r="BJ684" i="2"/>
  <c r="BI684" i="2"/>
  <c r="BE684" i="2" s="1"/>
  <c r="BH684" i="2"/>
  <c r="AY684" i="2" s="1"/>
  <c r="BC684" i="2"/>
  <c r="F684" i="2"/>
  <c r="D684" i="2"/>
  <c r="C684" i="2"/>
  <c r="DN683" i="2"/>
  <c r="DE683" i="2" s="1"/>
  <c r="DK683" i="2" s="1"/>
  <c r="DM683" i="2"/>
  <c r="BQ683" i="2"/>
  <c r="BP683" i="2"/>
  <c r="BO683" i="2"/>
  <c r="BN683" i="2"/>
  <c r="BM683" i="2"/>
  <c r="AV683" i="2" s="1"/>
  <c r="BL683" i="2"/>
  <c r="BK683" i="2"/>
  <c r="BJ683" i="2"/>
  <c r="BF683" i="2" s="1"/>
  <c r="BI683" i="2"/>
  <c r="AZ683" i="2" s="1"/>
  <c r="BH683" i="2"/>
  <c r="AX683" i="2" s="1"/>
  <c r="F683" i="2"/>
  <c r="D683" i="2"/>
  <c r="C683" i="2"/>
  <c r="DM682" i="2"/>
  <c r="DN682" i="2" s="1"/>
  <c r="DD682" i="2"/>
  <c r="BQ682" i="2"/>
  <c r="BP682" i="2"/>
  <c r="BO682" i="2"/>
  <c r="BN682" i="2"/>
  <c r="BM682" i="2"/>
  <c r="BL682" i="2"/>
  <c r="BK682" i="2"/>
  <c r="BJ682" i="2"/>
  <c r="AV682" i="2" s="1"/>
  <c r="BI682" i="2"/>
  <c r="BE682" i="2" s="1"/>
  <c r="BH682" i="2"/>
  <c r="AY682" i="2"/>
  <c r="F682" i="2"/>
  <c r="D682" i="2"/>
  <c r="C682" i="2"/>
  <c r="DN681" i="2"/>
  <c r="DH681" i="2" s="1"/>
  <c r="DM681" i="2"/>
  <c r="DL681" i="2"/>
  <c r="DI681" i="2"/>
  <c r="DG681" i="2"/>
  <c r="DF681" i="2"/>
  <c r="DE681" i="2"/>
  <c r="DK681" i="2" s="1"/>
  <c r="DD681" i="2"/>
  <c r="DC681" i="2"/>
  <c r="DB681" i="2"/>
  <c r="DA681" i="2"/>
  <c r="DJ681" i="2" s="1"/>
  <c r="CZ681" i="2"/>
  <c r="CY681" i="2"/>
  <c r="CX681" i="2"/>
  <c r="BQ681" i="2"/>
  <c r="BP681" i="2"/>
  <c r="BO681" i="2"/>
  <c r="BN681" i="2"/>
  <c r="BM681" i="2"/>
  <c r="AV681" i="2" s="1"/>
  <c r="BL681" i="2"/>
  <c r="BK681" i="2"/>
  <c r="BJ681" i="2"/>
  <c r="BF681" i="2" s="1"/>
  <c r="BI681" i="2"/>
  <c r="BH681" i="2"/>
  <c r="BD681" i="2" s="1"/>
  <c r="BG681" i="2"/>
  <c r="AX681" i="2"/>
  <c r="F681" i="2"/>
  <c r="D681" i="2"/>
  <c r="C681" i="2"/>
  <c r="DN680" i="2"/>
  <c r="DI680" i="2" s="1"/>
  <c r="DL680" i="2" s="1"/>
  <c r="DM680" i="2"/>
  <c r="DK680" i="2"/>
  <c r="DF680" i="2"/>
  <c r="DE680" i="2"/>
  <c r="DD680" i="2"/>
  <c r="DC680" i="2"/>
  <c r="DB680" i="2"/>
  <c r="CX680" i="2"/>
  <c r="BQ680" i="2"/>
  <c r="BP680" i="2"/>
  <c r="BO680" i="2"/>
  <c r="BF680" i="2" s="1"/>
  <c r="BN680" i="2"/>
  <c r="BM680" i="2"/>
  <c r="BL680" i="2"/>
  <c r="BK680" i="2"/>
  <c r="BJ680" i="2"/>
  <c r="AV680" i="2" s="1"/>
  <c r="BI680" i="2"/>
  <c r="BH680" i="2"/>
  <c r="BG680" i="2" s="1"/>
  <c r="F680" i="2"/>
  <c r="D680" i="2"/>
  <c r="C680" i="2"/>
  <c r="DM679" i="2"/>
  <c r="DN679" i="2" s="1"/>
  <c r="DA679" i="2" s="1"/>
  <c r="DJ679" i="2" s="1"/>
  <c r="BQ679" i="2"/>
  <c r="BP679" i="2"/>
  <c r="BO679" i="2"/>
  <c r="BN679" i="2"/>
  <c r="BM679" i="2"/>
  <c r="BL679" i="2"/>
  <c r="BK679" i="2"/>
  <c r="BJ679" i="2"/>
  <c r="BI679" i="2"/>
  <c r="BC679" i="2" s="1"/>
  <c r="BH679" i="2"/>
  <c r="BD679" i="2" s="1"/>
  <c r="BG679" i="2"/>
  <c r="BF679" i="2"/>
  <c r="BE679" i="2"/>
  <c r="AV679" i="2"/>
  <c r="F679" i="2"/>
  <c r="D679" i="2"/>
  <c r="C679" i="2"/>
  <c r="DM678" i="2"/>
  <c r="DN678" i="2" s="1"/>
  <c r="DI678" i="2"/>
  <c r="DL678" i="2" s="1"/>
  <c r="CZ678" i="2"/>
  <c r="BQ678" i="2"/>
  <c r="BP678" i="2"/>
  <c r="BO678" i="2"/>
  <c r="BN678" i="2"/>
  <c r="BM678" i="2"/>
  <c r="BD678" i="2" s="1"/>
  <c r="BL678" i="2"/>
  <c r="BK678" i="2"/>
  <c r="BJ678" i="2"/>
  <c r="BC678" i="2" s="1"/>
  <c r="BI678" i="2"/>
  <c r="BH678" i="2"/>
  <c r="BE678" i="2" s="1"/>
  <c r="BF678" i="2"/>
  <c r="AZ678" i="2"/>
  <c r="F678" i="2"/>
  <c r="D678" i="2"/>
  <c r="C678" i="2"/>
  <c r="DM677" i="2"/>
  <c r="DN677" i="2" s="1"/>
  <c r="DH677" i="2"/>
  <c r="CY677" i="2"/>
  <c r="BQ677" i="2"/>
  <c r="BP677" i="2"/>
  <c r="BO677" i="2"/>
  <c r="BN677" i="2"/>
  <c r="BM677" i="2"/>
  <c r="AV677" i="2" s="1"/>
  <c r="BL677" i="2"/>
  <c r="BD677" i="2" s="1"/>
  <c r="BK677" i="2"/>
  <c r="BF677" i="2" s="1"/>
  <c r="BJ677" i="2"/>
  <c r="BI677" i="2"/>
  <c r="AZ677" i="2" s="1"/>
  <c r="BH677" i="2"/>
  <c r="BG677" i="2"/>
  <c r="BE677" i="2"/>
  <c r="BC677" i="2"/>
  <c r="AX677" i="2"/>
  <c r="F677" i="2"/>
  <c r="D677" i="2"/>
  <c r="C677" i="2"/>
  <c r="DN676" i="2"/>
  <c r="DG676" i="2" s="1"/>
  <c r="DM676" i="2"/>
  <c r="BQ676" i="2"/>
  <c r="BP676" i="2"/>
  <c r="BO676" i="2"/>
  <c r="BN676" i="2"/>
  <c r="BM676" i="2"/>
  <c r="BG676" i="2" s="1"/>
  <c r="BL676" i="2"/>
  <c r="BK676" i="2"/>
  <c r="BJ676" i="2"/>
  <c r="AV676" i="2" s="1"/>
  <c r="BI676" i="2"/>
  <c r="BH676" i="2"/>
  <c r="AY676" i="2" s="1"/>
  <c r="BE676" i="2"/>
  <c r="AZ676" i="2"/>
  <c r="F676" i="2"/>
  <c r="D676" i="2"/>
  <c r="C676" i="2"/>
  <c r="DM675" i="2"/>
  <c r="DN675" i="2" s="1"/>
  <c r="DF675" i="2"/>
  <c r="BQ675" i="2"/>
  <c r="BE675" i="2" s="1"/>
  <c r="BP675" i="2"/>
  <c r="BO675" i="2"/>
  <c r="BN675" i="2"/>
  <c r="BM675" i="2"/>
  <c r="BL675" i="2"/>
  <c r="BK675" i="2"/>
  <c r="BJ675" i="2"/>
  <c r="BI675" i="2"/>
  <c r="BH675" i="2"/>
  <c r="AZ675" i="2"/>
  <c r="AY675" i="2"/>
  <c r="AX675" i="2"/>
  <c r="F675" i="2"/>
  <c r="D675" i="2"/>
  <c r="C675" i="2"/>
  <c r="DN674" i="2"/>
  <c r="DD674" i="2" s="1"/>
  <c r="DM674" i="2"/>
  <c r="DE674" i="2"/>
  <c r="DK674" i="2" s="1"/>
  <c r="CZ674" i="2"/>
  <c r="CX674" i="2"/>
  <c r="BQ674" i="2"/>
  <c r="BP674" i="2"/>
  <c r="BF674" i="2" s="1"/>
  <c r="BO674" i="2"/>
  <c r="BN674" i="2"/>
  <c r="BM674" i="2"/>
  <c r="BG674" i="2" s="1"/>
  <c r="BL674" i="2"/>
  <c r="BK674" i="2"/>
  <c r="BJ674" i="2"/>
  <c r="BI674" i="2"/>
  <c r="BH674" i="2"/>
  <c r="BD674" i="2"/>
  <c r="AX674" i="2"/>
  <c r="F674" i="2"/>
  <c r="D674" i="2"/>
  <c r="C674" i="2"/>
  <c r="DM673" i="2"/>
  <c r="DN673" i="2" s="1"/>
  <c r="DD673" i="2"/>
  <c r="BQ673" i="2"/>
  <c r="BP673" i="2"/>
  <c r="BO673" i="2"/>
  <c r="BN673" i="2"/>
  <c r="BM673" i="2"/>
  <c r="AV673" i="2" s="1"/>
  <c r="BL673" i="2"/>
  <c r="BK673" i="2"/>
  <c r="BJ673" i="2"/>
  <c r="BI673" i="2"/>
  <c r="BH673" i="2"/>
  <c r="BC673" i="2"/>
  <c r="AZ673" i="2"/>
  <c r="F673" i="2"/>
  <c r="D673" i="2"/>
  <c r="C673" i="2"/>
  <c r="DN672" i="2"/>
  <c r="DB672" i="2" s="1"/>
  <c r="DM672" i="2"/>
  <c r="DC672" i="2"/>
  <c r="CX672" i="2"/>
  <c r="BQ672" i="2"/>
  <c r="BP672" i="2"/>
  <c r="BO672" i="2"/>
  <c r="BN672" i="2"/>
  <c r="AZ672" i="2" s="1"/>
  <c r="BM672" i="2"/>
  <c r="BD672" i="2" s="1"/>
  <c r="BL672" i="2"/>
  <c r="BK672" i="2"/>
  <c r="AY672" i="2" s="1"/>
  <c r="BJ672" i="2"/>
  <c r="BF672" i="2" s="1"/>
  <c r="BI672" i="2"/>
  <c r="BE672" i="2" s="1"/>
  <c r="BH672" i="2"/>
  <c r="BG672" i="2"/>
  <c r="AX672" i="2"/>
  <c r="AV672" i="2"/>
  <c r="F672" i="2"/>
  <c r="D672" i="2"/>
  <c r="C672" i="2"/>
  <c r="DM671" i="2"/>
  <c r="DN671" i="2" s="1"/>
  <c r="DI671" i="2" s="1"/>
  <c r="DL671" i="2" s="1"/>
  <c r="BQ671" i="2"/>
  <c r="BP671" i="2"/>
  <c r="BO671" i="2"/>
  <c r="BN671" i="2"/>
  <c r="BM671" i="2"/>
  <c r="BL671" i="2"/>
  <c r="BK671" i="2"/>
  <c r="BJ671" i="2"/>
  <c r="BI671" i="2"/>
  <c r="BE671" i="2" s="1"/>
  <c r="BH671" i="2"/>
  <c r="BD671" i="2" s="1"/>
  <c r="BF671" i="2"/>
  <c r="AY671" i="2"/>
  <c r="AX671" i="2"/>
  <c r="F671" i="2"/>
  <c r="D671" i="2"/>
  <c r="C671" i="2"/>
  <c r="DN670" i="2"/>
  <c r="CY670" i="2" s="1"/>
  <c r="DM670" i="2"/>
  <c r="DI670" i="2"/>
  <c r="DL670" i="2" s="1"/>
  <c r="DH670" i="2"/>
  <c r="DG670" i="2"/>
  <c r="DF670" i="2"/>
  <c r="DE670" i="2"/>
  <c r="DK670" i="2" s="1"/>
  <c r="DD670" i="2"/>
  <c r="DC670" i="2"/>
  <c r="DA670" i="2"/>
  <c r="DJ670" i="2" s="1"/>
  <c r="CZ670" i="2"/>
  <c r="CX670" i="2"/>
  <c r="BQ670" i="2"/>
  <c r="BP670" i="2"/>
  <c r="BO670" i="2"/>
  <c r="BN670" i="2"/>
  <c r="BM670" i="2"/>
  <c r="BL670" i="2"/>
  <c r="BK670" i="2"/>
  <c r="BJ670" i="2"/>
  <c r="BF670" i="2" s="1"/>
  <c r="BI670" i="2"/>
  <c r="BC670" i="2" s="1"/>
  <c r="BH670" i="2"/>
  <c r="BE670" i="2"/>
  <c r="AX670" i="2"/>
  <c r="F670" i="2"/>
  <c r="D670" i="2"/>
  <c r="C670" i="2"/>
  <c r="DM669" i="2"/>
  <c r="DN669" i="2" s="1"/>
  <c r="DI669" i="2" s="1"/>
  <c r="DL669" i="2" s="1"/>
  <c r="BQ669" i="2"/>
  <c r="BP669" i="2"/>
  <c r="BO669" i="2"/>
  <c r="BN669" i="2"/>
  <c r="BM669" i="2"/>
  <c r="BL669" i="2"/>
  <c r="BK669" i="2"/>
  <c r="BC669" i="2" s="1"/>
  <c r="BJ669" i="2"/>
  <c r="BF669" i="2" s="1"/>
  <c r="BI669" i="2"/>
  <c r="AZ669" i="2" s="1"/>
  <c r="BH669" i="2"/>
  <c r="BD669" i="2"/>
  <c r="F669" i="2"/>
  <c r="D669" i="2"/>
  <c r="C669" i="2"/>
  <c r="DN668" i="2"/>
  <c r="DE668" i="2" s="1"/>
  <c r="DK668" i="2" s="1"/>
  <c r="DM668" i="2"/>
  <c r="DI668" i="2"/>
  <c r="DL668" i="2" s="1"/>
  <c r="DH668" i="2"/>
  <c r="DG668" i="2"/>
  <c r="DF668" i="2"/>
  <c r="DB668" i="2"/>
  <c r="CY668" i="2"/>
  <c r="CX668" i="2"/>
  <c r="BQ668" i="2"/>
  <c r="BP668" i="2"/>
  <c r="BO668" i="2"/>
  <c r="BN668" i="2"/>
  <c r="AZ668" i="2" s="1"/>
  <c r="BM668" i="2"/>
  <c r="BG668" i="2" s="1"/>
  <c r="BL668" i="2"/>
  <c r="BK668" i="2"/>
  <c r="BJ668" i="2"/>
  <c r="BI668" i="2"/>
  <c r="BE668" i="2" s="1"/>
  <c r="BH668" i="2"/>
  <c r="F668" i="2"/>
  <c r="D668" i="2"/>
  <c r="C668" i="2"/>
  <c r="DN667" i="2"/>
  <c r="DE667" i="2" s="1"/>
  <c r="DK667" i="2" s="1"/>
  <c r="DM667" i="2"/>
  <c r="DI667" i="2"/>
  <c r="DL667" i="2" s="1"/>
  <c r="DG667" i="2"/>
  <c r="DF667" i="2"/>
  <c r="CX667" i="2"/>
  <c r="BQ667" i="2"/>
  <c r="BP667" i="2"/>
  <c r="BO667" i="2"/>
  <c r="BN667" i="2"/>
  <c r="BM667" i="2"/>
  <c r="BL667" i="2"/>
  <c r="BK667" i="2"/>
  <c r="BJ667" i="2"/>
  <c r="BF667" i="2" s="1"/>
  <c r="BI667" i="2"/>
  <c r="AZ667" i="2" s="1"/>
  <c r="BH667" i="2"/>
  <c r="AX667" i="2" s="1"/>
  <c r="F667" i="2"/>
  <c r="D667" i="2"/>
  <c r="C667" i="2"/>
  <c r="DM666" i="2"/>
  <c r="DN666" i="2" s="1"/>
  <c r="DE666" i="2" s="1"/>
  <c r="DK666" i="2" s="1"/>
  <c r="DH666" i="2"/>
  <c r="DF666" i="2"/>
  <c r="DD666" i="2"/>
  <c r="BQ666" i="2"/>
  <c r="BP666" i="2"/>
  <c r="BO666" i="2"/>
  <c r="BN666" i="2"/>
  <c r="BM666" i="2"/>
  <c r="BL666" i="2"/>
  <c r="BK666" i="2"/>
  <c r="BJ666" i="2"/>
  <c r="BF666" i="2" s="1"/>
  <c r="BI666" i="2"/>
  <c r="AY666" i="2" s="1"/>
  <c r="BH666" i="2"/>
  <c r="F666" i="2"/>
  <c r="D666" i="2"/>
  <c r="C666" i="2"/>
  <c r="DN665" i="2"/>
  <c r="DH665" i="2" s="1"/>
  <c r="DM665" i="2"/>
  <c r="DL665" i="2"/>
  <c r="DI665" i="2"/>
  <c r="DG665" i="2"/>
  <c r="DF665" i="2"/>
  <c r="DE665" i="2"/>
  <c r="DK665" i="2" s="1"/>
  <c r="DD665" i="2"/>
  <c r="DC665" i="2"/>
  <c r="DB665" i="2"/>
  <c r="DA665" i="2"/>
  <c r="DJ665" i="2" s="1"/>
  <c r="CZ665" i="2"/>
  <c r="CY665" i="2"/>
  <c r="CX665" i="2"/>
  <c r="BQ665" i="2"/>
  <c r="BP665" i="2"/>
  <c r="BO665" i="2"/>
  <c r="BN665" i="2"/>
  <c r="BM665" i="2"/>
  <c r="AV665" i="2" s="1"/>
  <c r="BL665" i="2"/>
  <c r="BK665" i="2"/>
  <c r="BJ665" i="2"/>
  <c r="BF665" i="2" s="1"/>
  <c r="BI665" i="2"/>
  <c r="BH665" i="2"/>
  <c r="BG665" i="2"/>
  <c r="AX665" i="2"/>
  <c r="F665" i="2"/>
  <c r="D665" i="2"/>
  <c r="C665" i="2"/>
  <c r="DN664" i="2"/>
  <c r="DI664" i="2" s="1"/>
  <c r="DL664" i="2" s="1"/>
  <c r="DM664" i="2"/>
  <c r="DK664" i="2"/>
  <c r="DF664" i="2"/>
  <c r="DE664" i="2"/>
  <c r="DD664" i="2"/>
  <c r="DC664" i="2"/>
  <c r="DB664" i="2"/>
  <c r="CX664" i="2"/>
  <c r="BQ664" i="2"/>
  <c r="BP664" i="2"/>
  <c r="BO664" i="2"/>
  <c r="BN664" i="2"/>
  <c r="BM664" i="2"/>
  <c r="BL664" i="2"/>
  <c r="BK664" i="2"/>
  <c r="BJ664" i="2"/>
  <c r="AV664" i="2" s="1"/>
  <c r="BI664" i="2"/>
  <c r="BH664" i="2"/>
  <c r="BG664" i="2"/>
  <c r="BF664" i="2"/>
  <c r="F664" i="2"/>
  <c r="D664" i="2"/>
  <c r="C664" i="2"/>
  <c r="DM663" i="2"/>
  <c r="DN663" i="2" s="1"/>
  <c r="DB663" i="2" s="1"/>
  <c r="DI663" i="2"/>
  <c r="DL663" i="2" s="1"/>
  <c r="DE663" i="2"/>
  <c r="DK663" i="2" s="1"/>
  <c r="DC663" i="2"/>
  <c r="DA663" i="2"/>
  <c r="DJ663" i="2" s="1"/>
  <c r="BQ663" i="2"/>
  <c r="BP663" i="2"/>
  <c r="BO663" i="2"/>
  <c r="BN663" i="2"/>
  <c r="BM663" i="2"/>
  <c r="BG663" i="2" s="1"/>
  <c r="BL663" i="2"/>
  <c r="BK663" i="2"/>
  <c r="BJ663" i="2"/>
  <c r="BI663" i="2"/>
  <c r="BE663" i="2" s="1"/>
  <c r="BH663" i="2"/>
  <c r="BF663" i="2"/>
  <c r="F663" i="2"/>
  <c r="D663" i="2"/>
  <c r="C663" i="2"/>
  <c r="DN662" i="2"/>
  <c r="DG662" i="2" s="1"/>
  <c r="DM662" i="2"/>
  <c r="DI662" i="2"/>
  <c r="DL662" i="2" s="1"/>
  <c r="DH662" i="2"/>
  <c r="DF662" i="2"/>
  <c r="DD662" i="2"/>
  <c r="DC662" i="2"/>
  <c r="DB662" i="2"/>
  <c r="DA662" i="2"/>
  <c r="DJ662" i="2" s="1"/>
  <c r="CZ662" i="2"/>
  <c r="CX662" i="2"/>
  <c r="BQ662" i="2"/>
  <c r="BP662" i="2"/>
  <c r="BO662" i="2"/>
  <c r="BN662" i="2"/>
  <c r="BM662" i="2"/>
  <c r="BL662" i="2"/>
  <c r="BK662" i="2"/>
  <c r="BJ662" i="2"/>
  <c r="BC662" i="2" s="1"/>
  <c r="BI662" i="2"/>
  <c r="BH662" i="2"/>
  <c r="BE662" i="2" s="1"/>
  <c r="BF662" i="2"/>
  <c r="AZ662" i="2"/>
  <c r="F662" i="2"/>
  <c r="D662" i="2"/>
  <c r="C662" i="2"/>
  <c r="DM661" i="2"/>
  <c r="DN661" i="2" s="1"/>
  <c r="DH661" i="2" s="1"/>
  <c r="BQ661" i="2"/>
  <c r="BP661" i="2"/>
  <c r="BO661" i="2"/>
  <c r="BN661" i="2"/>
  <c r="BM661" i="2"/>
  <c r="BL661" i="2"/>
  <c r="BD661" i="2" s="1"/>
  <c r="BK661" i="2"/>
  <c r="BF661" i="2" s="1"/>
  <c r="BJ661" i="2"/>
  <c r="AV661" i="2" s="1"/>
  <c r="BI661" i="2"/>
  <c r="AZ661" i="2" s="1"/>
  <c r="BH661" i="2"/>
  <c r="BG661" i="2"/>
  <c r="BE661" i="2"/>
  <c r="BC661" i="2"/>
  <c r="AX661" i="2"/>
  <c r="F661" i="2"/>
  <c r="D661" i="2"/>
  <c r="C661" i="2"/>
  <c r="DN660" i="2"/>
  <c r="DM660" i="2"/>
  <c r="DG660" i="2"/>
  <c r="DF660" i="2"/>
  <c r="DB660" i="2"/>
  <c r="CX660" i="2"/>
  <c r="BQ660" i="2"/>
  <c r="BP660" i="2"/>
  <c r="BO660" i="2"/>
  <c r="BN660" i="2"/>
  <c r="BM660" i="2"/>
  <c r="BG660" i="2" s="1"/>
  <c r="BL660" i="2"/>
  <c r="BK660" i="2"/>
  <c r="BC660" i="2" s="1"/>
  <c r="BJ660" i="2"/>
  <c r="AV660" i="2" s="1"/>
  <c r="BI660" i="2"/>
  <c r="BH660" i="2"/>
  <c r="BF660" i="2"/>
  <c r="BE660" i="2"/>
  <c r="AZ660" i="2"/>
  <c r="F660" i="2"/>
  <c r="D660" i="2"/>
  <c r="C660" i="2"/>
  <c r="DM659" i="2"/>
  <c r="DN659" i="2" s="1"/>
  <c r="BQ659" i="2"/>
  <c r="BP659" i="2"/>
  <c r="BO659" i="2"/>
  <c r="BN659" i="2"/>
  <c r="BM659" i="2"/>
  <c r="BL659" i="2"/>
  <c r="BK659" i="2"/>
  <c r="BJ659" i="2"/>
  <c r="BF659" i="2" s="1"/>
  <c r="BI659" i="2"/>
  <c r="BH659" i="2"/>
  <c r="BE659" i="2"/>
  <c r="AZ659" i="2"/>
  <c r="AY659" i="2"/>
  <c r="AX659" i="2"/>
  <c r="F659" i="2"/>
  <c r="D659" i="2"/>
  <c r="C659" i="2"/>
  <c r="DN658" i="2"/>
  <c r="DE658" i="2" s="1"/>
  <c r="DK658" i="2" s="1"/>
  <c r="DM658" i="2"/>
  <c r="DH658" i="2"/>
  <c r="CX658" i="2"/>
  <c r="BQ658" i="2"/>
  <c r="BP658" i="2"/>
  <c r="BF658" i="2" s="1"/>
  <c r="BO658" i="2"/>
  <c r="BN658" i="2"/>
  <c r="BM658" i="2"/>
  <c r="BG658" i="2" s="1"/>
  <c r="BL658" i="2"/>
  <c r="BK658" i="2"/>
  <c r="BJ658" i="2"/>
  <c r="BI658" i="2"/>
  <c r="AY658" i="2" s="1"/>
  <c r="BH658" i="2"/>
  <c r="AX658" i="2" s="1"/>
  <c r="BD658" i="2"/>
  <c r="AZ658" i="2"/>
  <c r="F658" i="2"/>
  <c r="D658" i="2"/>
  <c r="C658" i="2"/>
  <c r="DM657" i="2"/>
  <c r="DN657" i="2" s="1"/>
  <c r="DI657" i="2" s="1"/>
  <c r="DL657" i="2" s="1"/>
  <c r="DG657" i="2"/>
  <c r="DD657" i="2"/>
  <c r="DC657" i="2"/>
  <c r="BQ657" i="2"/>
  <c r="BP657" i="2"/>
  <c r="BO657" i="2"/>
  <c r="BN657" i="2"/>
  <c r="BM657" i="2"/>
  <c r="AV657" i="2" s="1"/>
  <c r="BL657" i="2"/>
  <c r="BK657" i="2"/>
  <c r="BC657" i="2" s="1"/>
  <c r="BJ657" i="2"/>
  <c r="BI657" i="2"/>
  <c r="BH657" i="2"/>
  <c r="BD657" i="2" s="1"/>
  <c r="AZ657" i="2"/>
  <c r="AY657" i="2"/>
  <c r="F657" i="2"/>
  <c r="D657" i="2"/>
  <c r="C657" i="2"/>
  <c r="DN656" i="2"/>
  <c r="DH656" i="2" s="1"/>
  <c r="DM656" i="2"/>
  <c r="DG656" i="2"/>
  <c r="DF656" i="2"/>
  <c r="DC656" i="2"/>
  <c r="CX656" i="2"/>
  <c r="BQ656" i="2"/>
  <c r="BP656" i="2"/>
  <c r="BO656" i="2"/>
  <c r="BN656" i="2"/>
  <c r="BM656" i="2"/>
  <c r="BD656" i="2" s="1"/>
  <c r="BL656" i="2"/>
  <c r="BK656" i="2"/>
  <c r="BJ656" i="2"/>
  <c r="AV656" i="2" s="1"/>
  <c r="BI656" i="2"/>
  <c r="BE656" i="2" s="1"/>
  <c r="BH656" i="2"/>
  <c r="BG656" i="2"/>
  <c r="BF656" i="2"/>
  <c r="AZ656" i="2"/>
  <c r="AX656" i="2"/>
  <c r="F656" i="2"/>
  <c r="D656" i="2"/>
  <c r="C656" i="2"/>
  <c r="DM655" i="2"/>
  <c r="DN655" i="2" s="1"/>
  <c r="DI655" i="2"/>
  <c r="DL655" i="2" s="1"/>
  <c r="DG655" i="2"/>
  <c r="BQ655" i="2"/>
  <c r="BE655" i="2" s="1"/>
  <c r="BP655" i="2"/>
  <c r="BO655" i="2"/>
  <c r="BN655" i="2"/>
  <c r="BM655" i="2"/>
  <c r="BL655" i="2"/>
  <c r="BK655" i="2"/>
  <c r="BJ655" i="2"/>
  <c r="AV655" i="2" s="1"/>
  <c r="BI655" i="2"/>
  <c r="BH655" i="2"/>
  <c r="BF655" i="2"/>
  <c r="AY655" i="2"/>
  <c r="AX655" i="2"/>
  <c r="F655" i="2"/>
  <c r="D655" i="2"/>
  <c r="C655" i="2"/>
  <c r="DN654" i="2"/>
  <c r="CY654" i="2" s="1"/>
  <c r="DM654" i="2"/>
  <c r="DL654" i="2"/>
  <c r="DJ654" i="2"/>
  <c r="DI654" i="2"/>
  <c r="DH654" i="2"/>
  <c r="DG654" i="2"/>
  <c r="DF654" i="2"/>
  <c r="DE654" i="2"/>
  <c r="DK654" i="2" s="1"/>
  <c r="DD654" i="2"/>
  <c r="DC654" i="2"/>
  <c r="DA654" i="2"/>
  <c r="CZ654" i="2"/>
  <c r="CX654" i="2"/>
  <c r="BQ654" i="2"/>
  <c r="BP654" i="2"/>
  <c r="BO654" i="2"/>
  <c r="BN654" i="2"/>
  <c r="BM654" i="2"/>
  <c r="AV654" i="2" s="1"/>
  <c r="BL654" i="2"/>
  <c r="BK654" i="2"/>
  <c r="BJ654" i="2"/>
  <c r="BI654" i="2"/>
  <c r="BE654" i="2" s="1"/>
  <c r="BH654" i="2"/>
  <c r="AY654" i="2" s="1"/>
  <c r="F654" i="2"/>
  <c r="D654" i="2"/>
  <c r="C654" i="2"/>
  <c r="DM653" i="2"/>
  <c r="DN653" i="2" s="1"/>
  <c r="DI653" i="2" s="1"/>
  <c r="DL653" i="2" s="1"/>
  <c r="DH653" i="2"/>
  <c r="DD653" i="2"/>
  <c r="DC653" i="2"/>
  <c r="BQ653" i="2"/>
  <c r="BP653" i="2"/>
  <c r="BO653" i="2"/>
  <c r="BN653" i="2"/>
  <c r="BM653" i="2"/>
  <c r="BG653" i="2" s="1"/>
  <c r="BL653" i="2"/>
  <c r="BK653" i="2"/>
  <c r="BJ653" i="2"/>
  <c r="BI653" i="2"/>
  <c r="BH653" i="2"/>
  <c r="BD653" i="2" s="1"/>
  <c r="BC653" i="2"/>
  <c r="AV653" i="2"/>
  <c r="F653" i="2"/>
  <c r="D653" i="2"/>
  <c r="C653" i="2"/>
  <c r="DN652" i="2"/>
  <c r="DM652" i="2"/>
  <c r="DI652" i="2"/>
  <c r="DL652" i="2" s="1"/>
  <c r="DF652" i="2"/>
  <c r="DD652" i="2"/>
  <c r="DC652" i="2"/>
  <c r="CY652" i="2"/>
  <c r="BQ652" i="2"/>
  <c r="BP652" i="2"/>
  <c r="BO652" i="2"/>
  <c r="BN652" i="2"/>
  <c r="BM652" i="2"/>
  <c r="BL652" i="2"/>
  <c r="BK652" i="2"/>
  <c r="BC652" i="2" s="1"/>
  <c r="BJ652" i="2"/>
  <c r="BI652" i="2"/>
  <c r="BH652" i="2"/>
  <c r="BG652" i="2"/>
  <c r="BF652" i="2"/>
  <c r="AZ652" i="2"/>
  <c r="AV652" i="2"/>
  <c r="F652" i="2"/>
  <c r="D652" i="2"/>
  <c r="C652" i="2"/>
  <c r="DN651" i="2"/>
  <c r="DI651" i="2" s="1"/>
  <c r="DL651" i="2" s="1"/>
  <c r="DM651" i="2"/>
  <c r="CX651" i="2"/>
  <c r="BQ651" i="2"/>
  <c r="BP651" i="2"/>
  <c r="BO651" i="2"/>
  <c r="BN651" i="2"/>
  <c r="BM651" i="2"/>
  <c r="AV651" i="2" s="1"/>
  <c r="BL651" i="2"/>
  <c r="AY651" i="2" s="1"/>
  <c r="BK651" i="2"/>
  <c r="BF651" i="2" s="1"/>
  <c r="BJ651" i="2"/>
  <c r="BI651" i="2"/>
  <c r="BC651" i="2" s="1"/>
  <c r="BH651" i="2"/>
  <c r="AX651" i="2" s="1"/>
  <c r="BE651" i="2"/>
  <c r="F651" i="2"/>
  <c r="D651" i="2"/>
  <c r="C651" i="2"/>
  <c r="DM650" i="2"/>
  <c r="DN650" i="2" s="1"/>
  <c r="DH650" i="2" s="1"/>
  <c r="DG650" i="2"/>
  <c r="DF650" i="2"/>
  <c r="DE650" i="2"/>
  <c r="DK650" i="2" s="1"/>
  <c r="DD650" i="2"/>
  <c r="CZ650" i="2"/>
  <c r="BQ650" i="2"/>
  <c r="BE650" i="2" s="1"/>
  <c r="BP650" i="2"/>
  <c r="BO650" i="2"/>
  <c r="BN650" i="2"/>
  <c r="BM650" i="2"/>
  <c r="BL650" i="2"/>
  <c r="BK650" i="2"/>
  <c r="BJ650" i="2"/>
  <c r="BI650" i="2"/>
  <c r="BH650" i="2"/>
  <c r="BF650" i="2"/>
  <c r="F650" i="2"/>
  <c r="D650" i="2"/>
  <c r="C650" i="2"/>
  <c r="DN649" i="2"/>
  <c r="DH649" i="2" s="1"/>
  <c r="DM649" i="2"/>
  <c r="DK649" i="2"/>
  <c r="DI649" i="2"/>
  <c r="DL649" i="2" s="1"/>
  <c r="DG649" i="2"/>
  <c r="DF649" i="2"/>
  <c r="DE649" i="2"/>
  <c r="DD649" i="2"/>
  <c r="DC649" i="2"/>
  <c r="DB649" i="2"/>
  <c r="DA649" i="2"/>
  <c r="DJ649" i="2" s="1"/>
  <c r="CZ649" i="2"/>
  <c r="CY649" i="2"/>
  <c r="CX649" i="2"/>
  <c r="BQ649" i="2"/>
  <c r="BP649" i="2"/>
  <c r="BF649" i="2" s="1"/>
  <c r="BO649" i="2"/>
  <c r="BN649" i="2"/>
  <c r="BM649" i="2"/>
  <c r="AV649" i="2" s="1"/>
  <c r="BL649" i="2"/>
  <c r="BK649" i="2"/>
  <c r="BJ649" i="2"/>
  <c r="BI649" i="2"/>
  <c r="AZ649" i="2" s="1"/>
  <c r="BH649" i="2"/>
  <c r="BE649" i="2"/>
  <c r="AX649" i="2"/>
  <c r="F649" i="2"/>
  <c r="D649" i="2"/>
  <c r="C649" i="2"/>
  <c r="DN648" i="2"/>
  <c r="DM648" i="2"/>
  <c r="DK648" i="2"/>
  <c r="DJ648" i="2"/>
  <c r="DH648" i="2"/>
  <c r="DF648" i="2"/>
  <c r="DE648" i="2"/>
  <c r="DD648" i="2"/>
  <c r="DC648" i="2"/>
  <c r="DB648" i="2"/>
  <c r="DA648" i="2"/>
  <c r="CZ648" i="2"/>
  <c r="CY648" i="2"/>
  <c r="CX648" i="2"/>
  <c r="BQ648" i="2"/>
  <c r="BP648" i="2"/>
  <c r="BO648" i="2"/>
  <c r="BN648" i="2"/>
  <c r="BM648" i="2"/>
  <c r="BL648" i="2"/>
  <c r="BD648" i="2" s="1"/>
  <c r="BK648" i="2"/>
  <c r="BJ648" i="2"/>
  <c r="BI648" i="2"/>
  <c r="BC648" i="2" s="1"/>
  <c r="BH648" i="2"/>
  <c r="BG648" i="2"/>
  <c r="BF648" i="2"/>
  <c r="BE648" i="2"/>
  <c r="AZ648" i="2"/>
  <c r="AV648" i="2"/>
  <c r="F648" i="2"/>
  <c r="D648" i="2"/>
  <c r="C648" i="2"/>
  <c r="DM647" i="2"/>
  <c r="DN647" i="2" s="1"/>
  <c r="BQ647" i="2"/>
  <c r="BE647" i="2" s="1"/>
  <c r="BP647" i="2"/>
  <c r="BO647" i="2"/>
  <c r="BN647" i="2"/>
  <c r="BM647" i="2"/>
  <c r="BL647" i="2"/>
  <c r="BK647" i="2"/>
  <c r="BF647" i="2" s="1"/>
  <c r="BJ647" i="2"/>
  <c r="BI647" i="2"/>
  <c r="BC647" i="2" s="1"/>
  <c r="BH647" i="2"/>
  <c r="AX647" i="2" s="1"/>
  <c r="AZ647" i="2"/>
  <c r="AY647" i="2"/>
  <c r="AV647" i="2"/>
  <c r="F647" i="2"/>
  <c r="D647" i="2"/>
  <c r="C647" i="2"/>
  <c r="DN646" i="2"/>
  <c r="DF646" i="2" s="1"/>
  <c r="DM646" i="2"/>
  <c r="DI646" i="2"/>
  <c r="DL646" i="2" s="1"/>
  <c r="DH646" i="2"/>
  <c r="DC646" i="2"/>
  <c r="DB646" i="2"/>
  <c r="CY646" i="2"/>
  <c r="BQ646" i="2"/>
  <c r="BE646" i="2" s="1"/>
  <c r="BP646" i="2"/>
  <c r="BO646" i="2"/>
  <c r="BN646" i="2"/>
  <c r="BM646" i="2"/>
  <c r="BL646" i="2"/>
  <c r="BK646" i="2"/>
  <c r="BJ646" i="2"/>
  <c r="BF646" i="2" s="1"/>
  <c r="BI646" i="2"/>
  <c r="BH646" i="2"/>
  <c r="BG646" i="2"/>
  <c r="AZ646" i="2"/>
  <c r="AY646" i="2"/>
  <c r="AX646" i="2"/>
  <c r="F646" i="2"/>
  <c r="D646" i="2"/>
  <c r="C646" i="2"/>
  <c r="DN645" i="2"/>
  <c r="DG645" i="2" s="1"/>
  <c r="DM645" i="2"/>
  <c r="DH645" i="2"/>
  <c r="DC645" i="2"/>
  <c r="DB645" i="2"/>
  <c r="CY645" i="2"/>
  <c r="BQ645" i="2"/>
  <c r="BP645" i="2"/>
  <c r="BO645" i="2"/>
  <c r="BF645" i="2" s="1"/>
  <c r="BN645" i="2"/>
  <c r="BM645" i="2"/>
  <c r="BL645" i="2"/>
  <c r="BK645" i="2"/>
  <c r="BD645" i="2" s="1"/>
  <c r="BJ645" i="2"/>
  <c r="BI645" i="2"/>
  <c r="BE645" i="2" s="1"/>
  <c r="BH645" i="2"/>
  <c r="BG645" i="2"/>
  <c r="BC645" i="2"/>
  <c r="AX645" i="2"/>
  <c r="AV645" i="2"/>
  <c r="F645" i="2"/>
  <c r="D645" i="2"/>
  <c r="C645" i="2"/>
  <c r="DM644" i="2"/>
  <c r="DN644" i="2" s="1"/>
  <c r="BQ644" i="2"/>
  <c r="BP644" i="2"/>
  <c r="BO644" i="2"/>
  <c r="BN644" i="2"/>
  <c r="BC644" i="2" s="1"/>
  <c r="BM644" i="2"/>
  <c r="BG644" i="2" s="1"/>
  <c r="BL644" i="2"/>
  <c r="BK644" i="2"/>
  <c r="BJ644" i="2"/>
  <c r="BF644" i="2" s="1"/>
  <c r="BI644" i="2"/>
  <c r="BH644" i="2"/>
  <c r="BE644" i="2"/>
  <c r="AZ644" i="2"/>
  <c r="AY644" i="2"/>
  <c r="AX644" i="2"/>
  <c r="F644" i="2"/>
  <c r="D644" i="2"/>
  <c r="C644" i="2"/>
  <c r="DM643" i="2"/>
  <c r="DN643" i="2" s="1"/>
  <c r="DF643" i="2" s="1"/>
  <c r="BQ643" i="2"/>
  <c r="BP643" i="2"/>
  <c r="BO643" i="2"/>
  <c r="BN643" i="2"/>
  <c r="BM643" i="2"/>
  <c r="BD643" i="2" s="1"/>
  <c r="BL643" i="2"/>
  <c r="BK643" i="2"/>
  <c r="BJ643" i="2"/>
  <c r="BI643" i="2"/>
  <c r="BE643" i="2" s="1"/>
  <c r="BH643" i="2"/>
  <c r="BG643" i="2"/>
  <c r="AZ643" i="2"/>
  <c r="AY643" i="2"/>
  <c r="AX643" i="2"/>
  <c r="AW643" i="2" s="1"/>
  <c r="AV643" i="2"/>
  <c r="F643" i="2"/>
  <c r="D643" i="2"/>
  <c r="C643" i="2"/>
  <c r="DM642" i="2"/>
  <c r="DN642" i="2" s="1"/>
  <c r="BQ642" i="2"/>
  <c r="BP642" i="2"/>
  <c r="BO642" i="2"/>
  <c r="BN642" i="2"/>
  <c r="BM642" i="2"/>
  <c r="BL642" i="2"/>
  <c r="BK642" i="2"/>
  <c r="BJ642" i="2"/>
  <c r="BF642" i="2" s="1"/>
  <c r="BI642" i="2"/>
  <c r="BC642" i="2" s="1"/>
  <c r="BH642" i="2"/>
  <c r="BD642" i="2"/>
  <c r="AX642" i="2"/>
  <c r="F642" i="2"/>
  <c r="D642" i="2"/>
  <c r="C642" i="2"/>
  <c r="DM641" i="2"/>
  <c r="DN641" i="2" s="1"/>
  <c r="DC641" i="2" s="1"/>
  <c r="BQ641" i="2"/>
  <c r="BP641" i="2"/>
  <c r="BO641" i="2"/>
  <c r="BN641" i="2"/>
  <c r="BM641" i="2"/>
  <c r="BL641" i="2"/>
  <c r="BK641" i="2"/>
  <c r="BJ641" i="2"/>
  <c r="BI641" i="2"/>
  <c r="AZ641" i="2" s="1"/>
  <c r="BH641" i="2"/>
  <c r="BD641" i="2" s="1"/>
  <c r="BC641" i="2"/>
  <c r="AV641" i="2"/>
  <c r="F641" i="2"/>
  <c r="D641" i="2"/>
  <c r="C641" i="2"/>
  <c r="DN640" i="2"/>
  <c r="DM640" i="2"/>
  <c r="BQ640" i="2"/>
  <c r="BP640" i="2"/>
  <c r="BO640" i="2"/>
  <c r="BN640" i="2"/>
  <c r="BM640" i="2"/>
  <c r="AV640" i="2" s="1"/>
  <c r="BL640" i="2"/>
  <c r="BK640" i="2"/>
  <c r="BJ640" i="2"/>
  <c r="BI640" i="2"/>
  <c r="AY640" i="2" s="1"/>
  <c r="BH640" i="2"/>
  <c r="AX640" i="2" s="1"/>
  <c r="BF640" i="2"/>
  <c r="BE640" i="2"/>
  <c r="AZ640" i="2"/>
  <c r="F640" i="2"/>
  <c r="D640" i="2"/>
  <c r="C640" i="2"/>
  <c r="DM639" i="2"/>
  <c r="DN639" i="2" s="1"/>
  <c r="BQ639" i="2"/>
  <c r="BE639" i="2" s="1"/>
  <c r="BP639" i="2"/>
  <c r="BF639" i="2" s="1"/>
  <c r="BO639" i="2"/>
  <c r="BN639" i="2"/>
  <c r="BM639" i="2"/>
  <c r="AV639" i="2" s="1"/>
  <c r="BL639" i="2"/>
  <c r="BD639" i="2" s="1"/>
  <c r="BK639" i="2"/>
  <c r="BC639" i="2" s="1"/>
  <c r="BJ639" i="2"/>
  <c r="BI639" i="2"/>
  <c r="BH639" i="2"/>
  <c r="AX639" i="2" s="1"/>
  <c r="AZ639" i="2"/>
  <c r="AY639" i="2"/>
  <c r="F639" i="2"/>
  <c r="D639" i="2"/>
  <c r="C639" i="2"/>
  <c r="DN638" i="2"/>
  <c r="DI638" i="2" s="1"/>
  <c r="DM638" i="2"/>
  <c r="DL638" i="2"/>
  <c r="DG638" i="2"/>
  <c r="DF638" i="2"/>
  <c r="DC638" i="2"/>
  <c r="DB638" i="2"/>
  <c r="DA638" i="2"/>
  <c r="DJ638" i="2" s="1"/>
  <c r="CZ638" i="2"/>
  <c r="CY638" i="2"/>
  <c r="CX638" i="2"/>
  <c r="BQ638" i="2"/>
  <c r="BP638" i="2"/>
  <c r="BE638" i="2" s="1"/>
  <c r="BO638" i="2"/>
  <c r="BN638" i="2"/>
  <c r="BM638" i="2"/>
  <c r="AV638" i="2" s="1"/>
  <c r="BL638" i="2"/>
  <c r="BK638" i="2"/>
  <c r="BC638" i="2" s="1"/>
  <c r="BJ638" i="2"/>
  <c r="BI638" i="2"/>
  <c r="AY638" i="2" s="1"/>
  <c r="BH638" i="2"/>
  <c r="BG638" i="2"/>
  <c r="AZ638" i="2"/>
  <c r="AX638" i="2"/>
  <c r="F638" i="2"/>
  <c r="D638" i="2"/>
  <c r="C638" i="2"/>
  <c r="DN637" i="2"/>
  <c r="DI637" i="2" s="1"/>
  <c r="DL637" i="2" s="1"/>
  <c r="DM637" i="2"/>
  <c r="DK637" i="2"/>
  <c r="DF637" i="2"/>
  <c r="DE637" i="2"/>
  <c r="CX637" i="2"/>
  <c r="BQ637" i="2"/>
  <c r="BP637" i="2"/>
  <c r="BO637" i="2"/>
  <c r="BN637" i="2"/>
  <c r="BM637" i="2"/>
  <c r="AV637" i="2" s="1"/>
  <c r="BL637" i="2"/>
  <c r="BK637" i="2"/>
  <c r="BJ637" i="2"/>
  <c r="BF637" i="2" s="1"/>
  <c r="BI637" i="2"/>
  <c r="BH637" i="2"/>
  <c r="AX637" i="2" s="1"/>
  <c r="F637" i="2"/>
  <c r="D637" i="2"/>
  <c r="C637" i="2"/>
  <c r="DM636" i="2"/>
  <c r="DN636" i="2" s="1"/>
  <c r="BQ636" i="2"/>
  <c r="BP636" i="2"/>
  <c r="BO636" i="2"/>
  <c r="BN636" i="2"/>
  <c r="BM636" i="2"/>
  <c r="BG636" i="2" s="1"/>
  <c r="BL636" i="2"/>
  <c r="BK636" i="2"/>
  <c r="BJ636" i="2"/>
  <c r="BF636" i="2" s="1"/>
  <c r="BI636" i="2"/>
  <c r="BE636" i="2" s="1"/>
  <c r="BH636" i="2"/>
  <c r="BD636" i="2" s="1"/>
  <c r="AV636" i="2"/>
  <c r="F636" i="2"/>
  <c r="D636" i="2"/>
  <c r="C636" i="2"/>
  <c r="DM635" i="2"/>
  <c r="DN635" i="2" s="1"/>
  <c r="DI635" i="2"/>
  <c r="DL635" i="2" s="1"/>
  <c r="BQ635" i="2"/>
  <c r="BP635" i="2"/>
  <c r="BO635" i="2"/>
  <c r="BF635" i="2" s="1"/>
  <c r="BN635" i="2"/>
  <c r="BM635" i="2"/>
  <c r="BL635" i="2"/>
  <c r="BK635" i="2"/>
  <c r="BJ635" i="2"/>
  <c r="BI635" i="2"/>
  <c r="BE635" i="2" s="1"/>
  <c r="BH635" i="2"/>
  <c r="BD635" i="2" s="1"/>
  <c r="F635" i="2"/>
  <c r="D635" i="2"/>
  <c r="C635" i="2"/>
  <c r="DM634" i="2"/>
  <c r="DN634" i="2" s="1"/>
  <c r="DH634" i="2" s="1"/>
  <c r="BQ634" i="2"/>
  <c r="BE634" i="2" s="1"/>
  <c r="BP634" i="2"/>
  <c r="BO634" i="2"/>
  <c r="BN634" i="2"/>
  <c r="AZ634" i="2" s="1"/>
  <c r="BM634" i="2"/>
  <c r="AV634" i="2" s="1"/>
  <c r="BL634" i="2"/>
  <c r="BK634" i="2"/>
  <c r="BC634" i="2" s="1"/>
  <c r="BJ634" i="2"/>
  <c r="BI634" i="2"/>
  <c r="BH634" i="2"/>
  <c r="BG634" i="2"/>
  <c r="BF634" i="2"/>
  <c r="AX634" i="2"/>
  <c r="F634" i="2"/>
  <c r="D634" i="2"/>
  <c r="C634" i="2"/>
  <c r="DN633" i="2"/>
  <c r="DE633" i="2" s="1"/>
  <c r="DK633" i="2" s="1"/>
  <c r="DM633" i="2"/>
  <c r="DG633" i="2"/>
  <c r="DF633" i="2"/>
  <c r="DB633" i="2"/>
  <c r="DA633" i="2"/>
  <c r="DJ633" i="2" s="1"/>
  <c r="CX633" i="2"/>
  <c r="BQ633" i="2"/>
  <c r="BP633" i="2"/>
  <c r="BO633" i="2"/>
  <c r="BN633" i="2"/>
  <c r="AZ633" i="2" s="1"/>
  <c r="BM633" i="2"/>
  <c r="BG633" i="2" s="1"/>
  <c r="BL633" i="2"/>
  <c r="BK633" i="2"/>
  <c r="BF633" i="2" s="1"/>
  <c r="BJ633" i="2"/>
  <c r="AV633" i="2" s="1"/>
  <c r="BI633" i="2"/>
  <c r="BH633" i="2"/>
  <c r="BE633" i="2"/>
  <c r="AX633" i="2"/>
  <c r="F633" i="2"/>
  <c r="D633" i="2"/>
  <c r="C633" i="2"/>
  <c r="DM632" i="2"/>
  <c r="DN632" i="2" s="1"/>
  <c r="DF632" i="2"/>
  <c r="BQ632" i="2"/>
  <c r="BP632" i="2"/>
  <c r="BO632" i="2"/>
  <c r="BN632" i="2"/>
  <c r="BM632" i="2"/>
  <c r="BG632" i="2" s="1"/>
  <c r="BL632" i="2"/>
  <c r="BK632" i="2"/>
  <c r="BJ632" i="2"/>
  <c r="BF632" i="2" s="1"/>
  <c r="BI632" i="2"/>
  <c r="BH632" i="2"/>
  <c r="AX632" i="2" s="1"/>
  <c r="BE632" i="2"/>
  <c r="F632" i="2"/>
  <c r="D632" i="2"/>
  <c r="C632" i="2"/>
  <c r="DN631" i="2"/>
  <c r="DB631" i="2" s="1"/>
  <c r="DM631" i="2"/>
  <c r="DI631" i="2"/>
  <c r="DL631" i="2" s="1"/>
  <c r="DH631" i="2"/>
  <c r="DG631" i="2"/>
  <c r="DF631" i="2"/>
  <c r="DE631" i="2"/>
  <c r="DK631" i="2" s="1"/>
  <c r="DD631" i="2"/>
  <c r="DC631" i="2"/>
  <c r="DA631" i="2"/>
  <c r="DJ631" i="2" s="1"/>
  <c r="CZ631" i="2"/>
  <c r="CY631" i="2"/>
  <c r="CX631" i="2"/>
  <c r="BQ631" i="2"/>
  <c r="BP631" i="2"/>
  <c r="BO631" i="2"/>
  <c r="BN631" i="2"/>
  <c r="BM631" i="2"/>
  <c r="BG631" i="2" s="1"/>
  <c r="BL631" i="2"/>
  <c r="BD631" i="2" s="1"/>
  <c r="BK631" i="2"/>
  <c r="BJ631" i="2"/>
  <c r="BF631" i="2" s="1"/>
  <c r="BI631" i="2"/>
  <c r="BH631" i="2"/>
  <c r="AY631" i="2" s="1"/>
  <c r="F631" i="2"/>
  <c r="D631" i="2"/>
  <c r="C631" i="2"/>
  <c r="DN630" i="2"/>
  <c r="DC630" i="2" s="1"/>
  <c r="DM630" i="2"/>
  <c r="DG630" i="2"/>
  <c r="DD630" i="2"/>
  <c r="CY630" i="2"/>
  <c r="CX630" i="2"/>
  <c r="BQ630" i="2"/>
  <c r="BP630" i="2"/>
  <c r="BO630" i="2"/>
  <c r="BN630" i="2"/>
  <c r="BM630" i="2"/>
  <c r="AV630" i="2" s="1"/>
  <c r="BL630" i="2"/>
  <c r="BK630" i="2"/>
  <c r="BC630" i="2" s="1"/>
  <c r="BJ630" i="2"/>
  <c r="BF630" i="2" s="1"/>
  <c r="BI630" i="2"/>
  <c r="BE630" i="2" s="1"/>
  <c r="BH630" i="2"/>
  <c r="AZ630" i="2"/>
  <c r="F630" i="2"/>
  <c r="D630" i="2"/>
  <c r="C630" i="2"/>
  <c r="DN629" i="2"/>
  <c r="DB629" i="2" s="1"/>
  <c r="DM629" i="2"/>
  <c r="DF629" i="2"/>
  <c r="DC629" i="2"/>
  <c r="CX629" i="2"/>
  <c r="BQ629" i="2"/>
  <c r="BP629" i="2"/>
  <c r="BO629" i="2"/>
  <c r="BN629" i="2"/>
  <c r="BM629" i="2"/>
  <c r="BL629" i="2"/>
  <c r="BK629" i="2"/>
  <c r="BJ629" i="2"/>
  <c r="BF629" i="2" s="1"/>
  <c r="BI629" i="2"/>
  <c r="BE629" i="2" s="1"/>
  <c r="BH629" i="2"/>
  <c r="BD629" i="2" s="1"/>
  <c r="BG629" i="2"/>
  <c r="AZ629" i="2"/>
  <c r="AY629" i="2"/>
  <c r="F629" i="2"/>
  <c r="D629" i="2"/>
  <c r="C629" i="2"/>
  <c r="DM628" i="2"/>
  <c r="DN628" i="2" s="1"/>
  <c r="DB628" i="2" s="1"/>
  <c r="BQ628" i="2"/>
  <c r="BP628" i="2"/>
  <c r="BO628" i="2"/>
  <c r="BN628" i="2"/>
  <c r="BM628" i="2"/>
  <c r="AV628" i="2" s="1"/>
  <c r="BL628" i="2"/>
  <c r="BK628" i="2"/>
  <c r="BJ628" i="2"/>
  <c r="BI628" i="2"/>
  <c r="BE628" i="2" s="1"/>
  <c r="BH628" i="2"/>
  <c r="BD628" i="2" s="1"/>
  <c r="BF628" i="2"/>
  <c r="AX628" i="2"/>
  <c r="F628" i="2"/>
  <c r="D628" i="2"/>
  <c r="C628" i="2"/>
  <c r="DM627" i="2"/>
  <c r="DN627" i="2" s="1"/>
  <c r="DA627" i="2"/>
  <c r="DJ627" i="2" s="1"/>
  <c r="BQ627" i="2"/>
  <c r="BP627" i="2"/>
  <c r="BO627" i="2"/>
  <c r="BN627" i="2"/>
  <c r="BM627" i="2"/>
  <c r="AV627" i="2" s="1"/>
  <c r="BL627" i="2"/>
  <c r="BK627" i="2"/>
  <c r="BJ627" i="2"/>
  <c r="BF627" i="2" s="1"/>
  <c r="BI627" i="2"/>
  <c r="BC627" i="2" s="1"/>
  <c r="BH627" i="2"/>
  <c r="BD627" i="2" s="1"/>
  <c r="BE627" i="2"/>
  <c r="F627" i="2"/>
  <c r="D627" i="2"/>
  <c r="C627" i="2"/>
  <c r="DN626" i="2"/>
  <c r="DH626" i="2" s="1"/>
  <c r="DM626" i="2"/>
  <c r="DK626" i="2"/>
  <c r="DJ626" i="2"/>
  <c r="DI626" i="2"/>
  <c r="DL626" i="2" s="1"/>
  <c r="DG626" i="2"/>
  <c r="DF626" i="2"/>
  <c r="DE626" i="2"/>
  <c r="DD626" i="2"/>
  <c r="DC626" i="2"/>
  <c r="DB626" i="2"/>
  <c r="DA626" i="2"/>
  <c r="CZ626" i="2"/>
  <c r="CY626" i="2"/>
  <c r="CX626" i="2"/>
  <c r="BQ626" i="2"/>
  <c r="BP626" i="2"/>
  <c r="BO626" i="2"/>
  <c r="BF626" i="2" s="1"/>
  <c r="BN626" i="2"/>
  <c r="BC626" i="2" s="1"/>
  <c r="BM626" i="2"/>
  <c r="BL626" i="2"/>
  <c r="BK626" i="2"/>
  <c r="BJ626" i="2"/>
  <c r="BI626" i="2"/>
  <c r="AZ626" i="2" s="1"/>
  <c r="BH626" i="2"/>
  <c r="AY626" i="2" s="1"/>
  <c r="BG626" i="2"/>
  <c r="BD626" i="2"/>
  <c r="AV626" i="2"/>
  <c r="F626" i="2"/>
  <c r="D626" i="2"/>
  <c r="C626" i="2"/>
  <c r="DN625" i="2"/>
  <c r="DH625" i="2" s="1"/>
  <c r="DM625" i="2"/>
  <c r="DI625" i="2"/>
  <c r="DL625" i="2" s="1"/>
  <c r="DF625" i="2"/>
  <c r="DB625" i="2"/>
  <c r="CY625" i="2"/>
  <c r="CX625" i="2"/>
  <c r="BQ625" i="2"/>
  <c r="BP625" i="2"/>
  <c r="BO625" i="2"/>
  <c r="BN625" i="2"/>
  <c r="AZ625" i="2" s="1"/>
  <c r="BM625" i="2"/>
  <c r="AV625" i="2" s="1"/>
  <c r="BL625" i="2"/>
  <c r="BK625" i="2"/>
  <c r="BJ625" i="2"/>
  <c r="BI625" i="2"/>
  <c r="BH625" i="2"/>
  <c r="AY625" i="2" s="1"/>
  <c r="BF625" i="2"/>
  <c r="BC625" i="2"/>
  <c r="F625" i="2"/>
  <c r="D625" i="2"/>
  <c r="C625" i="2"/>
  <c r="DN624" i="2"/>
  <c r="DM624" i="2"/>
  <c r="CX624" i="2"/>
  <c r="BQ624" i="2"/>
  <c r="BP624" i="2"/>
  <c r="BO624" i="2"/>
  <c r="BN624" i="2"/>
  <c r="BM624" i="2"/>
  <c r="AV624" i="2" s="1"/>
  <c r="BL624" i="2"/>
  <c r="BK624" i="2"/>
  <c r="BJ624" i="2"/>
  <c r="BI624" i="2"/>
  <c r="AY624" i="2" s="1"/>
  <c r="BH624" i="2"/>
  <c r="AX624" i="2" s="1"/>
  <c r="BF624" i="2"/>
  <c r="BE624" i="2"/>
  <c r="AZ624" i="2"/>
  <c r="F624" i="2"/>
  <c r="D624" i="2"/>
  <c r="C624" i="2"/>
  <c r="DM623" i="2"/>
  <c r="DN623" i="2" s="1"/>
  <c r="BQ623" i="2"/>
  <c r="BE623" i="2" s="1"/>
  <c r="BP623" i="2"/>
  <c r="BF623" i="2" s="1"/>
  <c r="BO623" i="2"/>
  <c r="BN623" i="2"/>
  <c r="BM623" i="2"/>
  <c r="AV623" i="2" s="1"/>
  <c r="BL623" i="2"/>
  <c r="BD623" i="2" s="1"/>
  <c r="BK623" i="2"/>
  <c r="BC623" i="2" s="1"/>
  <c r="BJ623" i="2"/>
  <c r="BI623" i="2"/>
  <c r="BH623" i="2"/>
  <c r="AX623" i="2" s="1"/>
  <c r="AZ623" i="2"/>
  <c r="AY623" i="2"/>
  <c r="F623" i="2"/>
  <c r="D623" i="2"/>
  <c r="C623" i="2"/>
  <c r="DN622" i="2"/>
  <c r="DI622" i="2" s="1"/>
  <c r="DL622" i="2" s="1"/>
  <c r="DM622" i="2"/>
  <c r="DG622" i="2"/>
  <c r="DF622" i="2"/>
  <c r="DC622" i="2"/>
  <c r="DA622" i="2"/>
  <c r="DJ622" i="2" s="1"/>
  <c r="CZ622" i="2"/>
  <c r="CY622" i="2"/>
  <c r="CX622" i="2"/>
  <c r="BQ622" i="2"/>
  <c r="BP622" i="2"/>
  <c r="BE622" i="2" s="1"/>
  <c r="BO622" i="2"/>
  <c r="BN622" i="2"/>
  <c r="BM622" i="2"/>
  <c r="BL622" i="2"/>
  <c r="BK622" i="2"/>
  <c r="BC622" i="2" s="1"/>
  <c r="BJ622" i="2"/>
  <c r="AV622" i="2" s="1"/>
  <c r="BI622" i="2"/>
  <c r="AY622" i="2" s="1"/>
  <c r="BH622" i="2"/>
  <c r="BG622" i="2"/>
  <c r="AZ622" i="2"/>
  <c r="AX622" i="2"/>
  <c r="F622" i="2"/>
  <c r="D622" i="2"/>
  <c r="C622" i="2"/>
  <c r="DN621" i="2"/>
  <c r="DI621" i="2" s="1"/>
  <c r="DL621" i="2" s="1"/>
  <c r="DM621" i="2"/>
  <c r="DK621" i="2"/>
  <c r="DF621" i="2"/>
  <c r="DE621" i="2"/>
  <c r="CX621" i="2"/>
  <c r="BQ621" i="2"/>
  <c r="BP621" i="2"/>
  <c r="BO621" i="2"/>
  <c r="BN621" i="2"/>
  <c r="BM621" i="2"/>
  <c r="AV621" i="2" s="1"/>
  <c r="BL621" i="2"/>
  <c r="BK621" i="2"/>
  <c r="BJ621" i="2"/>
  <c r="BI621" i="2"/>
  <c r="BH621" i="2"/>
  <c r="AX621" i="2" s="1"/>
  <c r="F621" i="2"/>
  <c r="D621" i="2"/>
  <c r="C621" i="2"/>
  <c r="DM620" i="2"/>
  <c r="DN620" i="2" s="1"/>
  <c r="BQ620" i="2"/>
  <c r="BP620" i="2"/>
  <c r="BO620" i="2"/>
  <c r="BN620" i="2"/>
  <c r="BM620" i="2"/>
  <c r="BG620" i="2" s="1"/>
  <c r="BL620" i="2"/>
  <c r="BK620" i="2"/>
  <c r="BJ620" i="2"/>
  <c r="BF620" i="2" s="1"/>
  <c r="BI620" i="2"/>
  <c r="BE620" i="2" s="1"/>
  <c r="BH620" i="2"/>
  <c r="BD620" i="2" s="1"/>
  <c r="AV620" i="2"/>
  <c r="F620" i="2"/>
  <c r="D620" i="2"/>
  <c r="C620" i="2"/>
  <c r="DN619" i="2"/>
  <c r="DF619" i="2" s="1"/>
  <c r="DM619" i="2"/>
  <c r="DI619" i="2"/>
  <c r="DL619" i="2" s="1"/>
  <c r="DH619" i="2"/>
  <c r="DG619" i="2"/>
  <c r="DD619" i="2"/>
  <c r="DC619" i="2"/>
  <c r="CZ619" i="2"/>
  <c r="CX619" i="2"/>
  <c r="BQ619" i="2"/>
  <c r="BP619" i="2"/>
  <c r="BO619" i="2"/>
  <c r="BF619" i="2" s="1"/>
  <c r="BN619" i="2"/>
  <c r="BM619" i="2"/>
  <c r="BL619" i="2"/>
  <c r="BK619" i="2"/>
  <c r="BJ619" i="2"/>
  <c r="BI619" i="2"/>
  <c r="BE619" i="2" s="1"/>
  <c r="BH619" i="2"/>
  <c r="BD619" i="2" s="1"/>
  <c r="AZ619" i="2"/>
  <c r="F619" i="2"/>
  <c r="D619" i="2"/>
  <c r="C619" i="2"/>
  <c r="DM618" i="2"/>
  <c r="DN618" i="2" s="1"/>
  <c r="DH618" i="2" s="1"/>
  <c r="BQ618" i="2"/>
  <c r="BE618" i="2" s="1"/>
  <c r="BP618" i="2"/>
  <c r="BO618" i="2"/>
  <c r="BN618" i="2"/>
  <c r="AZ618" i="2" s="1"/>
  <c r="BM618" i="2"/>
  <c r="AV618" i="2" s="1"/>
  <c r="BL618" i="2"/>
  <c r="BK618" i="2"/>
  <c r="BC618" i="2" s="1"/>
  <c r="BJ618" i="2"/>
  <c r="BI618" i="2"/>
  <c r="BH618" i="2"/>
  <c r="BG618" i="2"/>
  <c r="BF618" i="2"/>
  <c r="AX618" i="2"/>
  <c r="F618" i="2"/>
  <c r="D618" i="2"/>
  <c r="C618" i="2"/>
  <c r="DN617" i="2"/>
  <c r="DE617" i="2" s="1"/>
  <c r="DK617" i="2" s="1"/>
  <c r="DM617" i="2"/>
  <c r="DG617" i="2"/>
  <c r="DF617" i="2"/>
  <c r="DB617" i="2"/>
  <c r="DA617" i="2"/>
  <c r="DJ617" i="2" s="1"/>
  <c r="CX617" i="2"/>
  <c r="BQ617" i="2"/>
  <c r="BP617" i="2"/>
  <c r="BO617" i="2"/>
  <c r="BN617" i="2"/>
  <c r="AZ617" i="2" s="1"/>
  <c r="BM617" i="2"/>
  <c r="BG617" i="2" s="1"/>
  <c r="BL617" i="2"/>
  <c r="BK617" i="2"/>
  <c r="BF617" i="2" s="1"/>
  <c r="BJ617" i="2"/>
  <c r="BI617" i="2"/>
  <c r="BH617" i="2"/>
  <c r="BE617" i="2"/>
  <c r="AX617" i="2"/>
  <c r="AV617" i="2"/>
  <c r="F617" i="2"/>
  <c r="D617" i="2"/>
  <c r="C617" i="2"/>
  <c r="DM616" i="2"/>
  <c r="DN616" i="2" s="1"/>
  <c r="DF616" i="2" s="1"/>
  <c r="BQ616" i="2"/>
  <c r="BP616" i="2"/>
  <c r="BO616" i="2"/>
  <c r="BN616" i="2"/>
  <c r="BM616" i="2"/>
  <c r="BG616" i="2" s="1"/>
  <c r="BL616" i="2"/>
  <c r="BK616" i="2"/>
  <c r="BJ616" i="2"/>
  <c r="BF616" i="2" s="1"/>
  <c r="BI616" i="2"/>
  <c r="BH616" i="2"/>
  <c r="AX616" i="2" s="1"/>
  <c r="BE616" i="2"/>
  <c r="F616" i="2"/>
  <c r="D616" i="2"/>
  <c r="C616" i="2"/>
  <c r="DN615" i="2"/>
  <c r="DB615" i="2" s="1"/>
  <c r="DM615" i="2"/>
  <c r="DL615" i="2"/>
  <c r="DJ615" i="2"/>
  <c r="DI615" i="2"/>
  <c r="DH615" i="2"/>
  <c r="DG615" i="2"/>
  <c r="DF615" i="2"/>
  <c r="DE615" i="2"/>
  <c r="DK615" i="2" s="1"/>
  <c r="DD615" i="2"/>
  <c r="DC615" i="2"/>
  <c r="DA615" i="2"/>
  <c r="CZ615" i="2"/>
  <c r="CY615" i="2"/>
  <c r="CX615" i="2"/>
  <c r="BQ615" i="2"/>
  <c r="BP615" i="2"/>
  <c r="BO615" i="2"/>
  <c r="BN615" i="2"/>
  <c r="BM615" i="2"/>
  <c r="BG615" i="2" s="1"/>
  <c r="BL615" i="2"/>
  <c r="BD615" i="2" s="1"/>
  <c r="BK615" i="2"/>
  <c r="BJ615" i="2"/>
  <c r="BF615" i="2" s="1"/>
  <c r="BI615" i="2"/>
  <c r="BH615" i="2"/>
  <c r="AY615" i="2" s="1"/>
  <c r="F615" i="2"/>
  <c r="D615" i="2"/>
  <c r="C615" i="2"/>
  <c r="DN614" i="2"/>
  <c r="DC614" i="2" s="1"/>
  <c r="DM614" i="2"/>
  <c r="DG614" i="2"/>
  <c r="DD614" i="2"/>
  <c r="CY614" i="2"/>
  <c r="CX614" i="2"/>
  <c r="BQ614" i="2"/>
  <c r="BP614" i="2"/>
  <c r="BO614" i="2"/>
  <c r="BN614" i="2"/>
  <c r="BM614" i="2"/>
  <c r="AV614" i="2" s="1"/>
  <c r="BL614" i="2"/>
  <c r="BK614" i="2"/>
  <c r="BC614" i="2" s="1"/>
  <c r="BJ614" i="2"/>
  <c r="BF614" i="2" s="1"/>
  <c r="BI614" i="2"/>
  <c r="BH614" i="2"/>
  <c r="AZ614" i="2"/>
  <c r="F614" i="2"/>
  <c r="D614" i="2"/>
  <c r="C614" i="2"/>
  <c r="DN613" i="2"/>
  <c r="DB613" i="2" s="1"/>
  <c r="DM613" i="2"/>
  <c r="DF613" i="2"/>
  <c r="DC613" i="2"/>
  <c r="CX613" i="2"/>
  <c r="BQ613" i="2"/>
  <c r="BP613" i="2"/>
  <c r="BO613" i="2"/>
  <c r="BN613" i="2"/>
  <c r="BM613" i="2"/>
  <c r="BL613" i="2"/>
  <c r="BK613" i="2"/>
  <c r="BJ613" i="2"/>
  <c r="BF613" i="2" s="1"/>
  <c r="BI613" i="2"/>
  <c r="BE613" i="2" s="1"/>
  <c r="BH613" i="2"/>
  <c r="BD613" i="2" s="1"/>
  <c r="BG613" i="2"/>
  <c r="AZ613" i="2"/>
  <c r="AY613" i="2"/>
  <c r="F613" i="2"/>
  <c r="D613" i="2"/>
  <c r="C613" i="2"/>
  <c r="DM612" i="2"/>
  <c r="DN612" i="2" s="1"/>
  <c r="DB612" i="2"/>
  <c r="BQ612" i="2"/>
  <c r="BP612" i="2"/>
  <c r="BO612" i="2"/>
  <c r="BN612" i="2"/>
  <c r="BM612" i="2"/>
  <c r="AV612" i="2" s="1"/>
  <c r="BL612" i="2"/>
  <c r="BK612" i="2"/>
  <c r="BJ612" i="2"/>
  <c r="BI612" i="2"/>
  <c r="BE612" i="2" s="1"/>
  <c r="BH612" i="2"/>
  <c r="BD612" i="2" s="1"/>
  <c r="BF612" i="2"/>
  <c r="AX612" i="2"/>
  <c r="F612" i="2"/>
  <c r="D612" i="2"/>
  <c r="C612" i="2"/>
  <c r="DM611" i="2"/>
  <c r="DN611" i="2" s="1"/>
  <c r="DA611" i="2"/>
  <c r="DJ611" i="2" s="1"/>
  <c r="BQ611" i="2"/>
  <c r="BP611" i="2"/>
  <c r="BO611" i="2"/>
  <c r="BN611" i="2"/>
  <c r="BM611" i="2"/>
  <c r="AV611" i="2" s="1"/>
  <c r="BL611" i="2"/>
  <c r="BK611" i="2"/>
  <c r="BJ611" i="2"/>
  <c r="BF611" i="2" s="1"/>
  <c r="BI611" i="2"/>
  <c r="BC611" i="2" s="1"/>
  <c r="BH611" i="2"/>
  <c r="BD611" i="2" s="1"/>
  <c r="BE611" i="2"/>
  <c r="F611" i="2"/>
  <c r="D611" i="2"/>
  <c r="C611" i="2"/>
  <c r="DN610" i="2"/>
  <c r="DH610" i="2" s="1"/>
  <c r="DM610" i="2"/>
  <c r="DK610" i="2"/>
  <c r="DJ610" i="2"/>
  <c r="DI610" i="2"/>
  <c r="DL610" i="2" s="1"/>
  <c r="DG610" i="2"/>
  <c r="DF610" i="2"/>
  <c r="DE610" i="2"/>
  <c r="DD610" i="2"/>
  <c r="DC610" i="2"/>
  <c r="DB610" i="2"/>
  <c r="DA610" i="2"/>
  <c r="CZ610" i="2"/>
  <c r="CY610" i="2"/>
  <c r="CX610" i="2"/>
  <c r="BQ610" i="2"/>
  <c r="BP610" i="2"/>
  <c r="BO610" i="2"/>
  <c r="BF610" i="2" s="1"/>
  <c r="BN610" i="2"/>
  <c r="BM610" i="2"/>
  <c r="BL610" i="2"/>
  <c r="BK610" i="2"/>
  <c r="BJ610" i="2"/>
  <c r="BI610" i="2"/>
  <c r="BC610" i="2" s="1"/>
  <c r="BH610" i="2"/>
  <c r="AY610" i="2" s="1"/>
  <c r="BG610" i="2"/>
  <c r="BD610" i="2"/>
  <c r="AV610" i="2"/>
  <c r="F610" i="2"/>
  <c r="D610" i="2"/>
  <c r="C610" i="2"/>
  <c r="DN609" i="2"/>
  <c r="DH609" i="2" s="1"/>
  <c r="DM609" i="2"/>
  <c r="DI609" i="2"/>
  <c r="DL609" i="2" s="1"/>
  <c r="DF609" i="2"/>
  <c r="DD609" i="2"/>
  <c r="DB609" i="2"/>
  <c r="CY609" i="2"/>
  <c r="CX609" i="2"/>
  <c r="BQ609" i="2"/>
  <c r="BP609" i="2"/>
  <c r="BO609" i="2"/>
  <c r="BN609" i="2"/>
  <c r="AZ609" i="2" s="1"/>
  <c r="BM609" i="2"/>
  <c r="AV609" i="2" s="1"/>
  <c r="BL609" i="2"/>
  <c r="BK609" i="2"/>
  <c r="BJ609" i="2"/>
  <c r="BI609" i="2"/>
  <c r="BH609" i="2"/>
  <c r="AY609" i="2" s="1"/>
  <c r="BF609" i="2"/>
  <c r="BC609" i="2"/>
  <c r="F609" i="2"/>
  <c r="D609" i="2"/>
  <c r="C609" i="2"/>
  <c r="DN608" i="2"/>
  <c r="DI608" i="2" s="1"/>
  <c r="DL608" i="2" s="1"/>
  <c r="DM608" i="2"/>
  <c r="DA608" i="2"/>
  <c r="DJ608" i="2" s="1"/>
  <c r="BQ608" i="2"/>
  <c r="BP608" i="2"/>
  <c r="BO608" i="2"/>
  <c r="BN608" i="2"/>
  <c r="BM608" i="2"/>
  <c r="BL608" i="2"/>
  <c r="BK608" i="2"/>
  <c r="BJ608" i="2"/>
  <c r="BI608" i="2"/>
  <c r="AY608" i="2" s="1"/>
  <c r="BH608" i="2"/>
  <c r="AX608" i="2" s="1"/>
  <c r="BF608" i="2"/>
  <c r="BE608" i="2"/>
  <c r="AZ608" i="2"/>
  <c r="F608" i="2"/>
  <c r="D608" i="2"/>
  <c r="C608" i="2"/>
  <c r="DM607" i="2"/>
  <c r="DN607" i="2" s="1"/>
  <c r="DH607" i="2"/>
  <c r="DG607" i="2"/>
  <c r="CZ607" i="2"/>
  <c r="BQ607" i="2"/>
  <c r="BE607" i="2" s="1"/>
  <c r="BP607" i="2"/>
  <c r="BO607" i="2"/>
  <c r="BN607" i="2"/>
  <c r="BM607" i="2"/>
  <c r="AV607" i="2" s="1"/>
  <c r="BL607" i="2"/>
  <c r="BK607" i="2"/>
  <c r="AY607" i="2" s="1"/>
  <c r="BJ607" i="2"/>
  <c r="BI607" i="2"/>
  <c r="BH607" i="2"/>
  <c r="AX607" i="2" s="1"/>
  <c r="BD607" i="2"/>
  <c r="AZ607" i="2"/>
  <c r="F607" i="2"/>
  <c r="D607" i="2"/>
  <c r="C607" i="2"/>
  <c r="DN606" i="2"/>
  <c r="DI606" i="2" s="1"/>
  <c r="DM606" i="2"/>
  <c r="DL606" i="2"/>
  <c r="DG606" i="2"/>
  <c r="DF606" i="2"/>
  <c r="DC606" i="2"/>
  <c r="DA606" i="2"/>
  <c r="DJ606" i="2" s="1"/>
  <c r="CY606" i="2"/>
  <c r="CX606" i="2"/>
  <c r="BQ606" i="2"/>
  <c r="BP606" i="2"/>
  <c r="BE606" i="2" s="1"/>
  <c r="BO606" i="2"/>
  <c r="BN606" i="2"/>
  <c r="BM606" i="2"/>
  <c r="BL606" i="2"/>
  <c r="BK606" i="2"/>
  <c r="BC606" i="2" s="1"/>
  <c r="BJ606" i="2"/>
  <c r="BI606" i="2"/>
  <c r="BH606" i="2"/>
  <c r="BG606" i="2"/>
  <c r="AZ606" i="2"/>
  <c r="AX606" i="2"/>
  <c r="F606" i="2"/>
  <c r="D606" i="2"/>
  <c r="C606" i="2"/>
  <c r="DN605" i="2"/>
  <c r="DM605" i="2"/>
  <c r="DF605" i="2"/>
  <c r="BQ605" i="2"/>
  <c r="BP605" i="2"/>
  <c r="BO605" i="2"/>
  <c r="BN605" i="2"/>
  <c r="BM605" i="2"/>
  <c r="AV605" i="2" s="1"/>
  <c r="BL605" i="2"/>
  <c r="BK605" i="2"/>
  <c r="BJ605" i="2"/>
  <c r="BI605" i="2"/>
  <c r="BH605" i="2"/>
  <c r="AX605" i="2" s="1"/>
  <c r="AZ605" i="2"/>
  <c r="F605" i="2"/>
  <c r="D605" i="2"/>
  <c r="C605" i="2"/>
  <c r="DM604" i="2"/>
  <c r="DN604" i="2" s="1"/>
  <c r="DD604" i="2" s="1"/>
  <c r="DE604" i="2"/>
  <c r="DK604" i="2" s="1"/>
  <c r="BQ604" i="2"/>
  <c r="BP604" i="2"/>
  <c r="BO604" i="2"/>
  <c r="BN604" i="2"/>
  <c r="BM604" i="2"/>
  <c r="BL604" i="2"/>
  <c r="BK604" i="2"/>
  <c r="BJ604" i="2"/>
  <c r="BF604" i="2" s="1"/>
  <c r="BI604" i="2"/>
  <c r="BH604" i="2"/>
  <c r="AY604" i="2" s="1"/>
  <c r="AV604" i="2"/>
  <c r="F604" i="2"/>
  <c r="D604" i="2"/>
  <c r="C604" i="2"/>
  <c r="DN603" i="2"/>
  <c r="DF603" i="2" s="1"/>
  <c r="DM603" i="2"/>
  <c r="DL603" i="2"/>
  <c r="DI603" i="2"/>
  <c r="DH603" i="2"/>
  <c r="DG603" i="2"/>
  <c r="DD603" i="2"/>
  <c r="DC603" i="2"/>
  <c r="CZ603" i="2"/>
  <c r="CX603" i="2"/>
  <c r="BQ603" i="2"/>
  <c r="BP603" i="2"/>
  <c r="BO603" i="2"/>
  <c r="BN603" i="2"/>
  <c r="BM603" i="2"/>
  <c r="AV603" i="2" s="1"/>
  <c r="BL603" i="2"/>
  <c r="BK603" i="2"/>
  <c r="BC603" i="2" s="1"/>
  <c r="BJ603" i="2"/>
  <c r="BI603" i="2"/>
  <c r="BH603" i="2"/>
  <c r="AZ603" i="2"/>
  <c r="AX603" i="2"/>
  <c r="F603" i="2"/>
  <c r="D603" i="2"/>
  <c r="C603" i="2"/>
  <c r="DM602" i="2"/>
  <c r="DN602" i="2" s="1"/>
  <c r="DG602" i="2" s="1"/>
  <c r="DH602" i="2"/>
  <c r="DB602" i="2"/>
  <c r="BQ602" i="2"/>
  <c r="BP602" i="2"/>
  <c r="BO602" i="2"/>
  <c r="BF602" i="2" s="1"/>
  <c r="BN602" i="2"/>
  <c r="AZ602" i="2" s="1"/>
  <c r="BM602" i="2"/>
  <c r="AV602" i="2" s="1"/>
  <c r="BL602" i="2"/>
  <c r="BK602" i="2"/>
  <c r="BJ602" i="2"/>
  <c r="BI602" i="2"/>
  <c r="BH602" i="2"/>
  <c r="BG602" i="2"/>
  <c r="AX602" i="2"/>
  <c r="F602" i="2"/>
  <c r="D602" i="2"/>
  <c r="C602" i="2"/>
  <c r="DN601" i="2"/>
  <c r="DE601" i="2" s="1"/>
  <c r="DK601" i="2" s="1"/>
  <c r="DM601" i="2"/>
  <c r="DJ601" i="2"/>
  <c r="DG601" i="2"/>
  <c r="DF601" i="2"/>
  <c r="DB601" i="2"/>
  <c r="DA601" i="2"/>
  <c r="CX601" i="2"/>
  <c r="BQ601" i="2"/>
  <c r="BP601" i="2"/>
  <c r="BO601" i="2"/>
  <c r="BN601" i="2"/>
  <c r="AZ601" i="2" s="1"/>
  <c r="BM601" i="2"/>
  <c r="BG601" i="2" s="1"/>
  <c r="BL601" i="2"/>
  <c r="BK601" i="2"/>
  <c r="BJ601" i="2"/>
  <c r="AV601" i="2" s="1"/>
  <c r="BI601" i="2"/>
  <c r="BH601" i="2"/>
  <c r="BF601" i="2"/>
  <c r="BE601" i="2"/>
  <c r="AX601" i="2"/>
  <c r="F601" i="2"/>
  <c r="D601" i="2"/>
  <c r="C601" i="2"/>
  <c r="DM600" i="2"/>
  <c r="DN600" i="2" s="1"/>
  <c r="DF600" i="2" s="1"/>
  <c r="DI600" i="2"/>
  <c r="DL600" i="2" s="1"/>
  <c r="DA600" i="2"/>
  <c r="DJ600" i="2" s="1"/>
  <c r="CZ600" i="2"/>
  <c r="BQ600" i="2"/>
  <c r="BP600" i="2"/>
  <c r="BO600" i="2"/>
  <c r="BN600" i="2"/>
  <c r="BM600" i="2"/>
  <c r="BL600" i="2"/>
  <c r="BK600" i="2"/>
  <c r="BJ600" i="2"/>
  <c r="BF600" i="2" s="1"/>
  <c r="BI600" i="2"/>
  <c r="BE600" i="2" s="1"/>
  <c r="BH600" i="2"/>
  <c r="AX600" i="2" s="1"/>
  <c r="BD600" i="2"/>
  <c r="F600" i="2"/>
  <c r="D600" i="2"/>
  <c r="C600" i="2"/>
  <c r="DN599" i="2"/>
  <c r="DB599" i="2" s="1"/>
  <c r="DM599" i="2"/>
  <c r="DL599" i="2"/>
  <c r="DI599" i="2"/>
  <c r="DH599" i="2"/>
  <c r="DG599" i="2"/>
  <c r="DF599" i="2"/>
  <c r="DE599" i="2"/>
  <c r="DK599" i="2" s="1"/>
  <c r="DD599" i="2"/>
  <c r="DC599" i="2"/>
  <c r="CZ599" i="2"/>
  <c r="CY599" i="2"/>
  <c r="CX599" i="2"/>
  <c r="BQ599" i="2"/>
  <c r="BP599" i="2"/>
  <c r="BO599" i="2"/>
  <c r="BN599" i="2"/>
  <c r="BM599" i="2"/>
  <c r="BL599" i="2"/>
  <c r="BK599" i="2"/>
  <c r="BJ599" i="2"/>
  <c r="BF599" i="2" s="1"/>
  <c r="BI599" i="2"/>
  <c r="BH599" i="2"/>
  <c r="BD599" i="2" s="1"/>
  <c r="BC599" i="2"/>
  <c r="F599" i="2"/>
  <c r="D599" i="2"/>
  <c r="C599" i="2"/>
  <c r="DN598" i="2"/>
  <c r="DM598" i="2"/>
  <c r="BQ598" i="2"/>
  <c r="BP598" i="2"/>
  <c r="BO598" i="2"/>
  <c r="BN598" i="2"/>
  <c r="BM598" i="2"/>
  <c r="AV598" i="2" s="1"/>
  <c r="BL598" i="2"/>
  <c r="BK598" i="2"/>
  <c r="BJ598" i="2"/>
  <c r="BF598" i="2" s="1"/>
  <c r="BI598" i="2"/>
  <c r="BE598" i="2" s="1"/>
  <c r="BH598" i="2"/>
  <c r="BG598" i="2"/>
  <c r="BC598" i="2"/>
  <c r="AZ598" i="2"/>
  <c r="F598" i="2"/>
  <c r="D598" i="2"/>
  <c r="C598" i="2"/>
  <c r="DM597" i="2"/>
  <c r="DN597" i="2" s="1"/>
  <c r="BQ597" i="2"/>
  <c r="BP597" i="2"/>
  <c r="BO597" i="2"/>
  <c r="BN597" i="2"/>
  <c r="BM597" i="2"/>
  <c r="BL597" i="2"/>
  <c r="AY597" i="2" s="1"/>
  <c r="BK597" i="2"/>
  <c r="BJ597" i="2"/>
  <c r="AV597" i="2" s="1"/>
  <c r="BI597" i="2"/>
  <c r="BH597" i="2"/>
  <c r="BG597" i="2"/>
  <c r="AZ597" i="2"/>
  <c r="F597" i="2"/>
  <c r="D597" i="2"/>
  <c r="C597" i="2"/>
  <c r="DM596" i="2"/>
  <c r="DN596" i="2" s="1"/>
  <c r="DI596" i="2" s="1"/>
  <c r="DL596" i="2" s="1"/>
  <c r="DG596" i="2"/>
  <c r="BQ596" i="2"/>
  <c r="BP596" i="2"/>
  <c r="BF596" i="2" s="1"/>
  <c r="BO596" i="2"/>
  <c r="BN596" i="2"/>
  <c r="BM596" i="2"/>
  <c r="BL596" i="2"/>
  <c r="BK596" i="2"/>
  <c r="BJ596" i="2"/>
  <c r="BI596" i="2"/>
  <c r="BH596" i="2"/>
  <c r="BD596" i="2" s="1"/>
  <c r="AY596" i="2"/>
  <c r="AX596" i="2"/>
  <c r="F596" i="2"/>
  <c r="D596" i="2"/>
  <c r="C596" i="2"/>
  <c r="DM595" i="2"/>
  <c r="DN595" i="2" s="1"/>
  <c r="DF595" i="2" s="1"/>
  <c r="DH595" i="2"/>
  <c r="DD595" i="2"/>
  <c r="DA595" i="2"/>
  <c r="DJ595" i="2" s="1"/>
  <c r="CZ595" i="2"/>
  <c r="BQ595" i="2"/>
  <c r="BP595" i="2"/>
  <c r="BO595" i="2"/>
  <c r="BE595" i="2" s="1"/>
  <c r="BN595" i="2"/>
  <c r="BM595" i="2"/>
  <c r="AV595" i="2" s="1"/>
  <c r="BL595" i="2"/>
  <c r="BD595" i="2" s="1"/>
  <c r="BK595" i="2"/>
  <c r="BJ595" i="2"/>
  <c r="BI595" i="2"/>
  <c r="BH595" i="2"/>
  <c r="AX595" i="2" s="1"/>
  <c r="F595" i="2"/>
  <c r="D595" i="2"/>
  <c r="C595" i="2"/>
  <c r="DN594" i="2"/>
  <c r="DI594" i="2" s="1"/>
  <c r="DL594" i="2" s="1"/>
  <c r="DM594" i="2"/>
  <c r="DJ594" i="2"/>
  <c r="DG594" i="2"/>
  <c r="DF594" i="2"/>
  <c r="DE594" i="2"/>
  <c r="DK594" i="2" s="1"/>
  <c r="DD594" i="2"/>
  <c r="DC594" i="2"/>
  <c r="DB594" i="2"/>
  <c r="DA594" i="2"/>
  <c r="CZ594" i="2"/>
  <c r="CY594" i="2"/>
  <c r="CX594" i="2"/>
  <c r="BQ594" i="2"/>
  <c r="BP594" i="2"/>
  <c r="BO594" i="2"/>
  <c r="BF594" i="2" s="1"/>
  <c r="BN594" i="2"/>
  <c r="BM594" i="2"/>
  <c r="BL594" i="2"/>
  <c r="BK594" i="2"/>
  <c r="BJ594" i="2"/>
  <c r="BI594" i="2"/>
  <c r="BH594" i="2"/>
  <c r="BG594" i="2"/>
  <c r="BD594" i="2"/>
  <c r="BC594" i="2"/>
  <c r="AV594" i="2"/>
  <c r="F594" i="2"/>
  <c r="D594" i="2"/>
  <c r="C594" i="2"/>
  <c r="DN593" i="2"/>
  <c r="DF593" i="2" s="1"/>
  <c r="DM593" i="2"/>
  <c r="DI593" i="2"/>
  <c r="DL593" i="2" s="1"/>
  <c r="CY593" i="2"/>
  <c r="BQ593" i="2"/>
  <c r="BP593" i="2"/>
  <c r="BO593" i="2"/>
  <c r="BN593" i="2"/>
  <c r="BC593" i="2" s="1"/>
  <c r="BM593" i="2"/>
  <c r="BL593" i="2"/>
  <c r="BK593" i="2"/>
  <c r="BJ593" i="2"/>
  <c r="BI593" i="2"/>
  <c r="BH593" i="2"/>
  <c r="BE593" i="2" s="1"/>
  <c r="BF593" i="2"/>
  <c r="AV593" i="2"/>
  <c r="F593" i="2"/>
  <c r="D593" i="2"/>
  <c r="C593" i="2"/>
  <c r="DN592" i="2"/>
  <c r="DI592" i="2" s="1"/>
  <c r="DL592" i="2" s="1"/>
  <c r="DM592" i="2"/>
  <c r="DH592" i="2"/>
  <c r="CX592" i="2"/>
  <c r="BQ592" i="2"/>
  <c r="BP592" i="2"/>
  <c r="BO592" i="2"/>
  <c r="BN592" i="2"/>
  <c r="BM592" i="2"/>
  <c r="AV592" i="2" s="1"/>
  <c r="BL592" i="2"/>
  <c r="BK592" i="2"/>
  <c r="BJ592" i="2"/>
  <c r="BI592" i="2"/>
  <c r="BC592" i="2" s="1"/>
  <c r="BH592" i="2"/>
  <c r="AX592" i="2" s="1"/>
  <c r="BG592" i="2"/>
  <c r="BF592" i="2"/>
  <c r="AY592" i="2"/>
  <c r="F592" i="2"/>
  <c r="D592" i="2"/>
  <c r="C592" i="2"/>
  <c r="DM591" i="2"/>
  <c r="DN591" i="2" s="1"/>
  <c r="DH591" i="2" s="1"/>
  <c r="DG591" i="2"/>
  <c r="BQ591" i="2"/>
  <c r="BE591" i="2" s="1"/>
  <c r="BP591" i="2"/>
  <c r="BF591" i="2" s="1"/>
  <c r="BO591" i="2"/>
  <c r="BN591" i="2"/>
  <c r="BM591" i="2"/>
  <c r="AV591" i="2" s="1"/>
  <c r="BL591" i="2"/>
  <c r="BK591" i="2"/>
  <c r="BC591" i="2" s="1"/>
  <c r="BJ591" i="2"/>
  <c r="BI591" i="2"/>
  <c r="BH591" i="2"/>
  <c r="AX591" i="2" s="1"/>
  <c r="BD591" i="2"/>
  <c r="AZ591" i="2"/>
  <c r="F591" i="2"/>
  <c r="D591" i="2"/>
  <c r="C591" i="2"/>
  <c r="DN590" i="2"/>
  <c r="DC590" i="2" s="1"/>
  <c r="DM590" i="2"/>
  <c r="DG590" i="2"/>
  <c r="DF590" i="2"/>
  <c r="DB590" i="2"/>
  <c r="DA590" i="2"/>
  <c r="DJ590" i="2" s="1"/>
  <c r="CZ590" i="2"/>
  <c r="CY590" i="2"/>
  <c r="CX590" i="2"/>
  <c r="BQ590" i="2"/>
  <c r="BP590" i="2"/>
  <c r="BO590" i="2"/>
  <c r="BF590" i="2" s="1"/>
  <c r="BN590" i="2"/>
  <c r="BM590" i="2"/>
  <c r="BL590" i="2"/>
  <c r="BK590" i="2"/>
  <c r="BJ590" i="2"/>
  <c r="AV590" i="2" s="1"/>
  <c r="BI590" i="2"/>
  <c r="AY590" i="2" s="1"/>
  <c r="BH590" i="2"/>
  <c r="BG590" i="2"/>
  <c r="BD590" i="2"/>
  <c r="BC590" i="2"/>
  <c r="AZ590" i="2"/>
  <c r="AX590" i="2"/>
  <c r="F590" i="2"/>
  <c r="D590" i="2"/>
  <c r="C590" i="2"/>
  <c r="DN589" i="2"/>
  <c r="DM589" i="2"/>
  <c r="BQ589" i="2"/>
  <c r="BP589" i="2"/>
  <c r="BO589" i="2"/>
  <c r="BN589" i="2"/>
  <c r="BM589" i="2"/>
  <c r="BG589" i="2" s="1"/>
  <c r="BL589" i="2"/>
  <c r="BK589" i="2"/>
  <c r="BJ589" i="2"/>
  <c r="BI589" i="2"/>
  <c r="BE589" i="2" s="1"/>
  <c r="BH589" i="2"/>
  <c r="AX589" i="2" s="1"/>
  <c r="AY589" i="2"/>
  <c r="F589" i="2"/>
  <c r="D589" i="2"/>
  <c r="C589" i="2"/>
  <c r="DN588" i="2"/>
  <c r="DI588" i="2" s="1"/>
  <c r="DL588" i="2" s="1"/>
  <c r="DM588" i="2"/>
  <c r="DH588" i="2"/>
  <c r="DA588" i="2"/>
  <c r="DJ588" i="2" s="1"/>
  <c r="BQ588" i="2"/>
  <c r="BP588" i="2"/>
  <c r="BE588" i="2" s="1"/>
  <c r="BO588" i="2"/>
  <c r="BN588" i="2"/>
  <c r="BM588" i="2"/>
  <c r="BL588" i="2"/>
  <c r="BK588" i="2"/>
  <c r="BJ588" i="2"/>
  <c r="BI588" i="2"/>
  <c r="AZ588" i="2" s="1"/>
  <c r="BH588" i="2"/>
  <c r="AY588" i="2" s="1"/>
  <c r="BC588" i="2"/>
  <c r="F588" i="2"/>
  <c r="D588" i="2"/>
  <c r="C588" i="2"/>
  <c r="DN587" i="2"/>
  <c r="DI587" i="2" s="1"/>
  <c r="DL587" i="2" s="1"/>
  <c r="DM587" i="2"/>
  <c r="DH587" i="2"/>
  <c r="DG587" i="2"/>
  <c r="DD587" i="2"/>
  <c r="CZ587" i="2"/>
  <c r="CY587" i="2"/>
  <c r="BQ587" i="2"/>
  <c r="BP587" i="2"/>
  <c r="BO587" i="2"/>
  <c r="BN587" i="2"/>
  <c r="BM587" i="2"/>
  <c r="AV587" i="2" s="1"/>
  <c r="BL587" i="2"/>
  <c r="BK587" i="2"/>
  <c r="BC587" i="2" s="1"/>
  <c r="BJ587" i="2"/>
  <c r="BI587" i="2"/>
  <c r="BH587" i="2"/>
  <c r="BG587" i="2" s="1"/>
  <c r="AZ587" i="2"/>
  <c r="AY587" i="2"/>
  <c r="F587" i="2"/>
  <c r="D587" i="2"/>
  <c r="C587" i="2"/>
  <c r="DM586" i="2"/>
  <c r="DN586" i="2" s="1"/>
  <c r="BQ586" i="2"/>
  <c r="BP586" i="2"/>
  <c r="BO586" i="2"/>
  <c r="BN586" i="2"/>
  <c r="BC586" i="2" s="1"/>
  <c r="BM586" i="2"/>
  <c r="BG586" i="2" s="1"/>
  <c r="BL586" i="2"/>
  <c r="AY586" i="2" s="1"/>
  <c r="BK586" i="2"/>
  <c r="BJ586" i="2"/>
  <c r="BF586" i="2" s="1"/>
  <c r="BI586" i="2"/>
  <c r="BH586" i="2"/>
  <c r="AZ586" i="2"/>
  <c r="AX586" i="2"/>
  <c r="F586" i="2"/>
  <c r="D586" i="2"/>
  <c r="C586" i="2"/>
  <c r="DM585" i="2"/>
  <c r="DN585" i="2" s="1"/>
  <c r="BQ585" i="2"/>
  <c r="BP585" i="2"/>
  <c r="BE585" i="2" s="1"/>
  <c r="BO585" i="2"/>
  <c r="BN585" i="2"/>
  <c r="AZ585" i="2" s="1"/>
  <c r="BM585" i="2"/>
  <c r="BL585" i="2"/>
  <c r="BK585" i="2"/>
  <c r="AY585" i="2" s="1"/>
  <c r="BJ585" i="2"/>
  <c r="BF585" i="2" s="1"/>
  <c r="BI585" i="2"/>
  <c r="BH585" i="2"/>
  <c r="AX585" i="2"/>
  <c r="F585" i="2"/>
  <c r="D585" i="2"/>
  <c r="C585" i="2"/>
  <c r="DM584" i="2"/>
  <c r="DN584" i="2" s="1"/>
  <c r="DI584" i="2" s="1"/>
  <c r="DL584" i="2" s="1"/>
  <c r="DH584" i="2"/>
  <c r="DG584" i="2"/>
  <c r="BQ584" i="2"/>
  <c r="BP584" i="2"/>
  <c r="BO584" i="2"/>
  <c r="BN584" i="2"/>
  <c r="BM584" i="2"/>
  <c r="BL584" i="2"/>
  <c r="BK584" i="2"/>
  <c r="BJ584" i="2"/>
  <c r="BF584" i="2" s="1"/>
  <c r="BI584" i="2"/>
  <c r="BH584" i="2"/>
  <c r="BD584" i="2" s="1"/>
  <c r="BE584" i="2"/>
  <c r="F584" i="2"/>
  <c r="D584" i="2"/>
  <c r="C584" i="2"/>
  <c r="DN583" i="2"/>
  <c r="DB583" i="2" s="1"/>
  <c r="DM583" i="2"/>
  <c r="DI583" i="2"/>
  <c r="DL583" i="2" s="1"/>
  <c r="DH583" i="2"/>
  <c r="DG583" i="2"/>
  <c r="DF583" i="2"/>
  <c r="DE583" i="2"/>
  <c r="DK583" i="2" s="1"/>
  <c r="DD583" i="2"/>
  <c r="DC583" i="2"/>
  <c r="CZ583" i="2"/>
  <c r="CY583" i="2"/>
  <c r="CX583" i="2"/>
  <c r="BQ583" i="2"/>
  <c r="BP583" i="2"/>
  <c r="BO583" i="2"/>
  <c r="BN583" i="2"/>
  <c r="BM583" i="2"/>
  <c r="AV583" i="2" s="1"/>
  <c r="BL583" i="2"/>
  <c r="BK583" i="2"/>
  <c r="BJ583" i="2"/>
  <c r="BI583" i="2"/>
  <c r="BH583" i="2"/>
  <c r="F583" i="2"/>
  <c r="D583" i="2"/>
  <c r="C583" i="2"/>
  <c r="DM582" i="2"/>
  <c r="DN582" i="2" s="1"/>
  <c r="DH582" i="2" s="1"/>
  <c r="BQ582" i="2"/>
  <c r="BG582" i="2" s="1"/>
  <c r="BP582" i="2"/>
  <c r="BO582" i="2"/>
  <c r="BN582" i="2"/>
  <c r="AZ582" i="2" s="1"/>
  <c r="BM582" i="2"/>
  <c r="BL582" i="2"/>
  <c r="BK582" i="2"/>
  <c r="BJ582" i="2"/>
  <c r="BI582" i="2"/>
  <c r="BH582" i="2"/>
  <c r="AX582" i="2" s="1"/>
  <c r="F582" i="2"/>
  <c r="D582" i="2"/>
  <c r="C582" i="2"/>
  <c r="DN581" i="2"/>
  <c r="CZ581" i="2" s="1"/>
  <c r="DM581" i="2"/>
  <c r="DA581" i="2"/>
  <c r="DJ581" i="2" s="1"/>
  <c r="BQ581" i="2"/>
  <c r="BG581" i="2" s="1"/>
  <c r="BP581" i="2"/>
  <c r="BO581" i="2"/>
  <c r="BN581" i="2"/>
  <c r="BM581" i="2"/>
  <c r="BL581" i="2"/>
  <c r="BK581" i="2"/>
  <c r="BJ581" i="2"/>
  <c r="BF581" i="2" s="1"/>
  <c r="BI581" i="2"/>
  <c r="BH581" i="2"/>
  <c r="BC581" i="2"/>
  <c r="AY581" i="2"/>
  <c r="AX581" i="2"/>
  <c r="AV581" i="2"/>
  <c r="F581" i="2"/>
  <c r="D581" i="2"/>
  <c r="C581" i="2"/>
  <c r="DM580" i="2"/>
  <c r="DN580" i="2" s="1"/>
  <c r="BQ580" i="2"/>
  <c r="BP580" i="2"/>
  <c r="BE580" i="2" s="1"/>
  <c r="BO580" i="2"/>
  <c r="BN580" i="2"/>
  <c r="BM580" i="2"/>
  <c r="BL580" i="2"/>
  <c r="BK580" i="2"/>
  <c r="BJ580" i="2"/>
  <c r="BF580" i="2" s="1"/>
  <c r="BI580" i="2"/>
  <c r="BH580" i="2"/>
  <c r="BD580" i="2" s="1"/>
  <c r="BG580" i="2"/>
  <c r="AZ580" i="2"/>
  <c r="F580" i="2"/>
  <c r="D580" i="2"/>
  <c r="C580" i="2"/>
  <c r="DM579" i="2"/>
  <c r="DN579" i="2" s="1"/>
  <c r="DL579" i="2"/>
  <c r="DK579" i="2"/>
  <c r="DJ579" i="2"/>
  <c r="DI579" i="2"/>
  <c r="DH579" i="2"/>
  <c r="DG579" i="2"/>
  <c r="DF579" i="2"/>
  <c r="DE579" i="2"/>
  <c r="DD579" i="2"/>
  <c r="DC579" i="2"/>
  <c r="DB579" i="2"/>
  <c r="DA579" i="2"/>
  <c r="CZ579" i="2"/>
  <c r="CY579" i="2"/>
  <c r="CX579" i="2"/>
  <c r="BQ579" i="2"/>
  <c r="BP579" i="2"/>
  <c r="BO579" i="2"/>
  <c r="BN579" i="2"/>
  <c r="BC579" i="2" s="1"/>
  <c r="BM579" i="2"/>
  <c r="BL579" i="2"/>
  <c r="BK579" i="2"/>
  <c r="BJ579" i="2"/>
  <c r="BF579" i="2" s="1"/>
  <c r="BI579" i="2"/>
  <c r="BH579" i="2"/>
  <c r="BD579" i="2" s="1"/>
  <c r="BG579" i="2"/>
  <c r="AZ579" i="2"/>
  <c r="AX579" i="2"/>
  <c r="AV579" i="2"/>
  <c r="F579" i="2"/>
  <c r="D579" i="2"/>
  <c r="C579" i="2"/>
  <c r="DM578" i="2"/>
  <c r="DN578" i="2" s="1"/>
  <c r="BQ578" i="2"/>
  <c r="BP578" i="2"/>
  <c r="BO578" i="2"/>
  <c r="BF578" i="2" s="1"/>
  <c r="BN578" i="2"/>
  <c r="BM578" i="2"/>
  <c r="BG578" i="2" s="1"/>
  <c r="BL578" i="2"/>
  <c r="BK578" i="2"/>
  <c r="BJ578" i="2"/>
  <c r="BI578" i="2"/>
  <c r="BE578" i="2" s="1"/>
  <c r="BH578" i="2"/>
  <c r="AX578" i="2" s="1"/>
  <c r="AY578" i="2"/>
  <c r="AV578" i="2"/>
  <c r="F578" i="2"/>
  <c r="D578" i="2"/>
  <c r="C578" i="2"/>
  <c r="DM577" i="2"/>
  <c r="DN577" i="2" s="1"/>
  <c r="DI577" i="2" s="1"/>
  <c r="DL577" i="2" s="1"/>
  <c r="BQ577" i="2"/>
  <c r="BP577" i="2"/>
  <c r="BE577" i="2" s="1"/>
  <c r="BO577" i="2"/>
  <c r="BN577" i="2"/>
  <c r="BC577" i="2" s="1"/>
  <c r="BM577" i="2"/>
  <c r="BL577" i="2"/>
  <c r="BK577" i="2"/>
  <c r="BJ577" i="2"/>
  <c r="BF577" i="2" s="1"/>
  <c r="BI577" i="2"/>
  <c r="AZ577" i="2" s="1"/>
  <c r="BH577" i="2"/>
  <c r="AX577" i="2"/>
  <c r="F577" i="2"/>
  <c r="D577" i="2"/>
  <c r="C577" i="2"/>
  <c r="DN576" i="2"/>
  <c r="DF576" i="2" s="1"/>
  <c r="DM576" i="2"/>
  <c r="DI576" i="2"/>
  <c r="DL576" i="2" s="1"/>
  <c r="DH576" i="2"/>
  <c r="DG576" i="2"/>
  <c r="CZ576" i="2"/>
  <c r="CX576" i="2"/>
  <c r="BQ576" i="2"/>
  <c r="BP576" i="2"/>
  <c r="BO576" i="2"/>
  <c r="BN576" i="2"/>
  <c r="BM576" i="2"/>
  <c r="BG576" i="2" s="1"/>
  <c r="BL576" i="2"/>
  <c r="BK576" i="2"/>
  <c r="BJ576" i="2"/>
  <c r="BF576" i="2" s="1"/>
  <c r="BI576" i="2"/>
  <c r="BE576" i="2" s="1"/>
  <c r="BH576" i="2"/>
  <c r="AY576" i="2" s="1"/>
  <c r="AZ576" i="2"/>
  <c r="F576" i="2"/>
  <c r="D576" i="2"/>
  <c r="C576" i="2"/>
  <c r="DM575" i="2"/>
  <c r="DN575" i="2" s="1"/>
  <c r="DG575" i="2"/>
  <c r="BQ575" i="2"/>
  <c r="BP575" i="2"/>
  <c r="BO575" i="2"/>
  <c r="BN575" i="2"/>
  <c r="BM575" i="2"/>
  <c r="BG575" i="2" s="1"/>
  <c r="BL575" i="2"/>
  <c r="BK575" i="2"/>
  <c r="AY575" i="2" s="1"/>
  <c r="BJ575" i="2"/>
  <c r="BI575" i="2"/>
  <c r="BE575" i="2" s="1"/>
  <c r="BH575" i="2"/>
  <c r="BD575" i="2" s="1"/>
  <c r="AV575" i="2"/>
  <c r="F575" i="2"/>
  <c r="D575" i="2"/>
  <c r="C575" i="2"/>
  <c r="DN574" i="2"/>
  <c r="DD574" i="2" s="1"/>
  <c r="DM574" i="2"/>
  <c r="DI574" i="2"/>
  <c r="DL574" i="2" s="1"/>
  <c r="DG574" i="2"/>
  <c r="DF574" i="2"/>
  <c r="DE574" i="2"/>
  <c r="DK574" i="2" s="1"/>
  <c r="CX574" i="2"/>
  <c r="BQ574" i="2"/>
  <c r="BP574" i="2"/>
  <c r="BO574" i="2"/>
  <c r="BN574" i="2"/>
  <c r="BM574" i="2"/>
  <c r="BG574" i="2" s="1"/>
  <c r="BL574" i="2"/>
  <c r="BK574" i="2"/>
  <c r="BJ574" i="2"/>
  <c r="BF574" i="2" s="1"/>
  <c r="BI574" i="2"/>
  <c r="BE574" i="2" s="1"/>
  <c r="BH574" i="2"/>
  <c r="AX574" i="2"/>
  <c r="F574" i="2"/>
  <c r="D574" i="2"/>
  <c r="C574" i="2"/>
  <c r="DM573" i="2"/>
  <c r="DN573" i="2" s="1"/>
  <c r="BQ573" i="2"/>
  <c r="BP573" i="2"/>
  <c r="BO573" i="2"/>
  <c r="BN573" i="2"/>
  <c r="BM573" i="2"/>
  <c r="BG573" i="2" s="1"/>
  <c r="BL573" i="2"/>
  <c r="BK573" i="2"/>
  <c r="BJ573" i="2"/>
  <c r="BF573" i="2" s="1"/>
  <c r="BI573" i="2"/>
  <c r="BH573" i="2"/>
  <c r="BD573" i="2" s="1"/>
  <c r="F573" i="2"/>
  <c r="D573" i="2"/>
  <c r="C573" i="2"/>
  <c r="DM572" i="2"/>
  <c r="DN572" i="2" s="1"/>
  <c r="DD572" i="2" s="1"/>
  <c r="BQ572" i="2"/>
  <c r="BP572" i="2"/>
  <c r="BO572" i="2"/>
  <c r="BN572" i="2"/>
  <c r="BM572" i="2"/>
  <c r="AV572" i="2" s="1"/>
  <c r="BL572" i="2"/>
  <c r="BK572" i="2"/>
  <c r="BJ572" i="2"/>
  <c r="BF572" i="2" s="1"/>
  <c r="BI572" i="2"/>
  <c r="BH572" i="2"/>
  <c r="F572" i="2"/>
  <c r="D572" i="2"/>
  <c r="C572" i="2"/>
  <c r="DN571" i="2"/>
  <c r="DM571" i="2"/>
  <c r="DK571" i="2"/>
  <c r="DI571" i="2"/>
  <c r="DL571" i="2" s="1"/>
  <c r="DH571" i="2"/>
  <c r="DG571" i="2"/>
  <c r="DF571" i="2"/>
  <c r="DE571" i="2"/>
  <c r="DD571" i="2"/>
  <c r="DC571" i="2"/>
  <c r="DB571" i="2"/>
  <c r="DA571" i="2"/>
  <c r="DJ571" i="2" s="1"/>
  <c r="CZ571" i="2"/>
  <c r="CY571" i="2"/>
  <c r="CX571" i="2"/>
  <c r="BQ571" i="2"/>
  <c r="BP571" i="2"/>
  <c r="BO571" i="2"/>
  <c r="BN571" i="2"/>
  <c r="BM571" i="2"/>
  <c r="AV571" i="2" s="1"/>
  <c r="BL571" i="2"/>
  <c r="BK571" i="2"/>
  <c r="BJ571" i="2"/>
  <c r="BF571" i="2" s="1"/>
  <c r="BI571" i="2"/>
  <c r="BE571" i="2" s="1"/>
  <c r="BH571" i="2"/>
  <c r="BD571" i="2" s="1"/>
  <c r="BG571" i="2"/>
  <c r="F571" i="2"/>
  <c r="D571" i="2"/>
  <c r="C571" i="2"/>
  <c r="DN570" i="2"/>
  <c r="CZ570" i="2" s="1"/>
  <c r="DM570" i="2"/>
  <c r="DI570" i="2"/>
  <c r="DL570" i="2" s="1"/>
  <c r="DH570" i="2"/>
  <c r="DG570" i="2"/>
  <c r="DF570" i="2"/>
  <c r="DE570" i="2"/>
  <c r="DK570" i="2" s="1"/>
  <c r="DD570" i="2"/>
  <c r="DC570" i="2"/>
  <c r="DB570" i="2"/>
  <c r="DA570" i="2"/>
  <c r="DJ570" i="2" s="1"/>
  <c r="CY570" i="2"/>
  <c r="CX570" i="2"/>
  <c r="BQ570" i="2"/>
  <c r="BP570" i="2"/>
  <c r="BO570" i="2"/>
  <c r="BN570" i="2"/>
  <c r="BM570" i="2"/>
  <c r="BL570" i="2"/>
  <c r="BK570" i="2"/>
  <c r="BJ570" i="2"/>
  <c r="AV570" i="2" s="1"/>
  <c r="BI570" i="2"/>
  <c r="BE570" i="2" s="1"/>
  <c r="BH570" i="2"/>
  <c r="BD570" i="2" s="1"/>
  <c r="BG570" i="2"/>
  <c r="BF570" i="2"/>
  <c r="F570" i="2"/>
  <c r="D570" i="2"/>
  <c r="C570" i="2"/>
  <c r="DM569" i="2"/>
  <c r="DN569" i="2" s="1"/>
  <c r="BQ569" i="2"/>
  <c r="BP569" i="2"/>
  <c r="BO569" i="2"/>
  <c r="BN569" i="2"/>
  <c r="BM569" i="2"/>
  <c r="AV569" i="2" s="1"/>
  <c r="BL569" i="2"/>
  <c r="BK569" i="2"/>
  <c r="BJ569" i="2"/>
  <c r="BI569" i="2"/>
  <c r="BC569" i="2" s="1"/>
  <c r="BH569" i="2"/>
  <c r="BD569" i="2" s="1"/>
  <c r="BF569" i="2"/>
  <c r="BE569" i="2"/>
  <c r="F569" i="2"/>
  <c r="D569" i="2"/>
  <c r="C569" i="2"/>
  <c r="DM568" i="2"/>
  <c r="DN568" i="2" s="1"/>
  <c r="CZ568" i="2"/>
  <c r="BQ568" i="2"/>
  <c r="BP568" i="2"/>
  <c r="BO568" i="2"/>
  <c r="BN568" i="2"/>
  <c r="BM568" i="2"/>
  <c r="AV568" i="2" s="1"/>
  <c r="BL568" i="2"/>
  <c r="BK568" i="2"/>
  <c r="BJ568" i="2"/>
  <c r="BF568" i="2" s="1"/>
  <c r="BI568" i="2"/>
  <c r="AZ568" i="2" s="1"/>
  <c r="BH568" i="2"/>
  <c r="AY568" i="2" s="1"/>
  <c r="BG568" i="2"/>
  <c r="BE568" i="2"/>
  <c r="BD568" i="2"/>
  <c r="BC568" i="2"/>
  <c r="F568" i="2"/>
  <c r="D568" i="2"/>
  <c r="C568" i="2"/>
  <c r="DN567" i="2"/>
  <c r="DI567" i="2" s="1"/>
  <c r="DL567" i="2" s="1"/>
  <c r="DM567" i="2"/>
  <c r="DB567" i="2"/>
  <c r="CY567" i="2"/>
  <c r="CX567" i="2"/>
  <c r="BQ567" i="2"/>
  <c r="BP567" i="2"/>
  <c r="BO567" i="2"/>
  <c r="BN567" i="2"/>
  <c r="BM567" i="2"/>
  <c r="AV567" i="2" s="1"/>
  <c r="BL567" i="2"/>
  <c r="BK567" i="2"/>
  <c r="BJ567" i="2"/>
  <c r="BI567" i="2"/>
  <c r="BE567" i="2" s="1"/>
  <c r="BH567" i="2"/>
  <c r="AY567" i="2" s="1"/>
  <c r="BF567" i="2"/>
  <c r="BD567" i="2"/>
  <c r="BC567" i="2"/>
  <c r="AZ567" i="2"/>
  <c r="F567" i="2"/>
  <c r="D567" i="2"/>
  <c r="C567" i="2"/>
  <c r="DN566" i="2"/>
  <c r="DM566" i="2"/>
  <c r="CX566" i="2"/>
  <c r="BQ566" i="2"/>
  <c r="BP566" i="2"/>
  <c r="BO566" i="2"/>
  <c r="BN566" i="2"/>
  <c r="BM566" i="2"/>
  <c r="AV566" i="2" s="1"/>
  <c r="BL566" i="2"/>
  <c r="BK566" i="2"/>
  <c r="BJ566" i="2"/>
  <c r="BF566" i="2" s="1"/>
  <c r="BI566" i="2"/>
  <c r="BH566" i="2"/>
  <c r="AX566" i="2" s="1"/>
  <c r="BE566" i="2"/>
  <c r="BC566" i="2"/>
  <c r="AZ566" i="2"/>
  <c r="AY566" i="2"/>
  <c r="F566" i="2"/>
  <c r="D566" i="2"/>
  <c r="C566" i="2"/>
  <c r="DM565" i="2"/>
  <c r="DN565" i="2" s="1"/>
  <c r="BQ565" i="2"/>
  <c r="BG565" i="2" s="1"/>
  <c r="BP565" i="2"/>
  <c r="BO565" i="2"/>
  <c r="BN565" i="2"/>
  <c r="BM565" i="2"/>
  <c r="AV565" i="2" s="1"/>
  <c r="BL565" i="2"/>
  <c r="BK565" i="2"/>
  <c r="BJ565" i="2"/>
  <c r="BF565" i="2" s="1"/>
  <c r="BI565" i="2"/>
  <c r="BE565" i="2" s="1"/>
  <c r="BH565" i="2"/>
  <c r="BD565" i="2"/>
  <c r="AZ565" i="2"/>
  <c r="AY565" i="2"/>
  <c r="AX565" i="2"/>
  <c r="AW565" i="2" s="1"/>
  <c r="F565" i="2"/>
  <c r="D565" i="2"/>
  <c r="C565" i="2"/>
  <c r="DM564" i="2"/>
  <c r="DN564" i="2" s="1"/>
  <c r="BQ564" i="2"/>
  <c r="BP564" i="2"/>
  <c r="BO564" i="2"/>
  <c r="BF564" i="2" s="1"/>
  <c r="BN564" i="2"/>
  <c r="BM564" i="2"/>
  <c r="AV564" i="2" s="1"/>
  <c r="BL564" i="2"/>
  <c r="BK564" i="2"/>
  <c r="BJ564" i="2"/>
  <c r="BI564" i="2"/>
  <c r="BE564" i="2" s="1"/>
  <c r="BH564" i="2"/>
  <c r="BD564" i="2" s="1"/>
  <c r="BC564" i="2"/>
  <c r="AY564" i="2"/>
  <c r="AX564" i="2"/>
  <c r="F564" i="2"/>
  <c r="D564" i="2"/>
  <c r="C564" i="2"/>
  <c r="DN563" i="2"/>
  <c r="DI563" i="2" s="1"/>
  <c r="DL563" i="2" s="1"/>
  <c r="DM563" i="2"/>
  <c r="CX563" i="2"/>
  <c r="BQ563" i="2"/>
  <c r="BP563" i="2"/>
  <c r="BO563" i="2"/>
  <c r="BN563" i="2"/>
  <c r="BM563" i="2"/>
  <c r="BL563" i="2"/>
  <c r="BK563" i="2"/>
  <c r="BJ563" i="2"/>
  <c r="BI563" i="2"/>
  <c r="BC563" i="2" s="1"/>
  <c r="BH563" i="2"/>
  <c r="BD563" i="2" s="1"/>
  <c r="BG563" i="2"/>
  <c r="AZ563" i="2"/>
  <c r="AX563" i="2"/>
  <c r="AV563" i="2"/>
  <c r="F563" i="2"/>
  <c r="D563" i="2"/>
  <c r="C563" i="2"/>
  <c r="DM562" i="2"/>
  <c r="DN562" i="2" s="1"/>
  <c r="BQ562" i="2"/>
  <c r="BP562" i="2"/>
  <c r="BO562" i="2"/>
  <c r="BF562" i="2" s="1"/>
  <c r="BN562" i="2"/>
  <c r="BM562" i="2"/>
  <c r="BG562" i="2" s="1"/>
  <c r="BL562" i="2"/>
  <c r="BK562" i="2"/>
  <c r="BJ562" i="2"/>
  <c r="BI562" i="2"/>
  <c r="BE562" i="2" s="1"/>
  <c r="BH562" i="2"/>
  <c r="AX562" i="2" s="1"/>
  <c r="AY562" i="2"/>
  <c r="AV562" i="2"/>
  <c r="F562" i="2"/>
  <c r="D562" i="2"/>
  <c r="C562" i="2"/>
  <c r="DN561" i="2"/>
  <c r="DC561" i="2" s="1"/>
  <c r="DM561" i="2"/>
  <c r="DJ561" i="2"/>
  <c r="DI561" i="2"/>
  <c r="DL561" i="2" s="1"/>
  <c r="DH561" i="2"/>
  <c r="DG561" i="2"/>
  <c r="DF561" i="2"/>
  <c r="DE561" i="2"/>
  <c r="DK561" i="2" s="1"/>
  <c r="DD561" i="2"/>
  <c r="DB561" i="2"/>
  <c r="DA561" i="2"/>
  <c r="CZ561" i="2"/>
  <c r="CY561" i="2"/>
  <c r="CX561" i="2"/>
  <c r="BQ561" i="2"/>
  <c r="BP561" i="2"/>
  <c r="BE561" i="2" s="1"/>
  <c r="BO561" i="2"/>
  <c r="BN561" i="2"/>
  <c r="BC561" i="2" s="1"/>
  <c r="BM561" i="2"/>
  <c r="BL561" i="2"/>
  <c r="BK561" i="2"/>
  <c r="BJ561" i="2"/>
  <c r="BF561" i="2" s="1"/>
  <c r="BI561" i="2"/>
  <c r="AZ561" i="2" s="1"/>
  <c r="BH561" i="2"/>
  <c r="AX561" i="2"/>
  <c r="F561" i="2"/>
  <c r="D561" i="2"/>
  <c r="C561" i="2"/>
  <c r="DN560" i="2"/>
  <c r="DF560" i="2" s="1"/>
  <c r="DM560" i="2"/>
  <c r="DI560" i="2"/>
  <c r="DL560" i="2" s="1"/>
  <c r="DH560" i="2"/>
  <c r="DG560" i="2"/>
  <c r="CZ560" i="2"/>
  <c r="CX560" i="2"/>
  <c r="BQ560" i="2"/>
  <c r="BP560" i="2"/>
  <c r="BO560" i="2"/>
  <c r="BN560" i="2"/>
  <c r="BM560" i="2"/>
  <c r="BG560" i="2" s="1"/>
  <c r="BL560" i="2"/>
  <c r="BK560" i="2"/>
  <c r="BJ560" i="2"/>
  <c r="BF560" i="2" s="1"/>
  <c r="BI560" i="2"/>
  <c r="BE560" i="2" s="1"/>
  <c r="BH560" i="2"/>
  <c r="AZ560" i="2"/>
  <c r="F560" i="2"/>
  <c r="D560" i="2"/>
  <c r="C560" i="2"/>
  <c r="DM559" i="2"/>
  <c r="DN559" i="2" s="1"/>
  <c r="DG559" i="2"/>
  <c r="BQ559" i="2"/>
  <c r="BP559" i="2"/>
  <c r="BO559" i="2"/>
  <c r="BN559" i="2"/>
  <c r="BC559" i="2" s="1"/>
  <c r="BM559" i="2"/>
  <c r="BG559" i="2" s="1"/>
  <c r="BL559" i="2"/>
  <c r="BK559" i="2"/>
  <c r="AY559" i="2" s="1"/>
  <c r="BJ559" i="2"/>
  <c r="BI559" i="2"/>
  <c r="BE559" i="2" s="1"/>
  <c r="BH559" i="2"/>
  <c r="BD559" i="2" s="1"/>
  <c r="AV559" i="2"/>
  <c r="F559" i="2"/>
  <c r="D559" i="2"/>
  <c r="C559" i="2"/>
  <c r="DN558" i="2"/>
  <c r="DD558" i="2" s="1"/>
  <c r="DM558" i="2"/>
  <c r="DI558" i="2"/>
  <c r="DL558" i="2" s="1"/>
  <c r="DG558" i="2"/>
  <c r="DF558" i="2"/>
  <c r="DE558" i="2"/>
  <c r="DK558" i="2" s="1"/>
  <c r="CX558" i="2"/>
  <c r="BQ558" i="2"/>
  <c r="BP558" i="2"/>
  <c r="BO558" i="2"/>
  <c r="BN558" i="2"/>
  <c r="BM558" i="2"/>
  <c r="BL558" i="2"/>
  <c r="BK558" i="2"/>
  <c r="BJ558" i="2"/>
  <c r="BF558" i="2" s="1"/>
  <c r="BI558" i="2"/>
  <c r="BE558" i="2" s="1"/>
  <c r="BH558" i="2"/>
  <c r="AX558" i="2"/>
  <c r="F558" i="2"/>
  <c r="D558" i="2"/>
  <c r="C558" i="2"/>
  <c r="DM557" i="2"/>
  <c r="DN557" i="2" s="1"/>
  <c r="BQ557" i="2"/>
  <c r="BP557" i="2"/>
  <c r="BO557" i="2"/>
  <c r="BN557" i="2"/>
  <c r="BM557" i="2"/>
  <c r="BG557" i="2" s="1"/>
  <c r="BL557" i="2"/>
  <c r="BK557" i="2"/>
  <c r="BJ557" i="2"/>
  <c r="BF557" i="2" s="1"/>
  <c r="BI557" i="2"/>
  <c r="BH557" i="2"/>
  <c r="BD557" i="2" s="1"/>
  <c r="F557" i="2"/>
  <c r="D557" i="2"/>
  <c r="C557" i="2"/>
  <c r="DM556" i="2"/>
  <c r="DN556" i="2" s="1"/>
  <c r="DG556" i="2"/>
  <c r="DD556" i="2"/>
  <c r="BQ556" i="2"/>
  <c r="BP556" i="2"/>
  <c r="BO556" i="2"/>
  <c r="BN556" i="2"/>
  <c r="BM556" i="2"/>
  <c r="AV556" i="2" s="1"/>
  <c r="BL556" i="2"/>
  <c r="BK556" i="2"/>
  <c r="BJ556" i="2"/>
  <c r="BI556" i="2"/>
  <c r="BE556" i="2" s="1"/>
  <c r="BH556" i="2"/>
  <c r="F556" i="2"/>
  <c r="D556" i="2"/>
  <c r="C556" i="2"/>
  <c r="DN555" i="2"/>
  <c r="DM555" i="2"/>
  <c r="DK555" i="2"/>
  <c r="DI555" i="2"/>
  <c r="DL555" i="2" s="1"/>
  <c r="DH555" i="2"/>
  <c r="DG555" i="2"/>
  <c r="DF555" i="2"/>
  <c r="DE555" i="2"/>
  <c r="DD555" i="2"/>
  <c r="DC555" i="2"/>
  <c r="DB555" i="2"/>
  <c r="DA555" i="2"/>
  <c r="DJ555" i="2" s="1"/>
  <c r="CZ555" i="2"/>
  <c r="CY555" i="2"/>
  <c r="CX555" i="2"/>
  <c r="BQ555" i="2"/>
  <c r="BP555" i="2"/>
  <c r="BO555" i="2"/>
  <c r="BN555" i="2"/>
  <c r="BM555" i="2"/>
  <c r="BL555" i="2"/>
  <c r="BK555" i="2"/>
  <c r="BJ555" i="2"/>
  <c r="BF555" i="2" s="1"/>
  <c r="BI555" i="2"/>
  <c r="BE555" i="2" s="1"/>
  <c r="BH555" i="2"/>
  <c r="BG555" i="2"/>
  <c r="F555" i="2"/>
  <c r="D555" i="2"/>
  <c r="C555" i="2"/>
  <c r="DN554" i="2"/>
  <c r="CZ554" i="2" s="1"/>
  <c r="DM554" i="2"/>
  <c r="DI554" i="2"/>
  <c r="DL554" i="2" s="1"/>
  <c r="DH554" i="2"/>
  <c r="DG554" i="2"/>
  <c r="DF554" i="2"/>
  <c r="DE554" i="2"/>
  <c r="DK554" i="2" s="1"/>
  <c r="DD554" i="2"/>
  <c r="DC554" i="2"/>
  <c r="DB554" i="2"/>
  <c r="DA554" i="2"/>
  <c r="DJ554" i="2" s="1"/>
  <c r="CX554" i="2"/>
  <c r="BQ554" i="2"/>
  <c r="BP554" i="2"/>
  <c r="BO554" i="2"/>
  <c r="BN554" i="2"/>
  <c r="BM554" i="2"/>
  <c r="BL554" i="2"/>
  <c r="BK554" i="2"/>
  <c r="BJ554" i="2"/>
  <c r="BI554" i="2"/>
  <c r="BH554" i="2"/>
  <c r="BD554" i="2" s="1"/>
  <c r="BG554" i="2"/>
  <c r="BF554" i="2"/>
  <c r="AV554" i="2"/>
  <c r="F554" i="2"/>
  <c r="D554" i="2"/>
  <c r="C554" i="2"/>
  <c r="DM553" i="2"/>
  <c r="DN553" i="2" s="1"/>
  <c r="DD553" i="2" s="1"/>
  <c r="BQ553" i="2"/>
  <c r="BP553" i="2"/>
  <c r="BO553" i="2"/>
  <c r="BN553" i="2"/>
  <c r="BM553" i="2"/>
  <c r="AV553" i="2" s="1"/>
  <c r="BL553" i="2"/>
  <c r="BK553" i="2"/>
  <c r="BJ553" i="2"/>
  <c r="BI553" i="2"/>
  <c r="BC553" i="2" s="1"/>
  <c r="BH553" i="2"/>
  <c r="BF553" i="2"/>
  <c r="BE553" i="2"/>
  <c r="F553" i="2"/>
  <c r="D553" i="2"/>
  <c r="C553" i="2"/>
  <c r="DM552" i="2"/>
  <c r="DN552" i="2" s="1"/>
  <c r="DC552" i="2"/>
  <c r="CZ552" i="2"/>
  <c r="BQ552" i="2"/>
  <c r="BP552" i="2"/>
  <c r="BO552" i="2"/>
  <c r="BN552" i="2"/>
  <c r="BM552" i="2"/>
  <c r="AV552" i="2" s="1"/>
  <c r="BL552" i="2"/>
  <c r="BK552" i="2"/>
  <c r="BJ552" i="2"/>
  <c r="BF552" i="2" s="1"/>
  <c r="BI552" i="2"/>
  <c r="AZ552" i="2" s="1"/>
  <c r="BH552" i="2"/>
  <c r="AY552" i="2" s="1"/>
  <c r="BG552" i="2"/>
  <c r="BE552" i="2"/>
  <c r="BD552" i="2"/>
  <c r="BC552" i="2"/>
  <c r="F552" i="2"/>
  <c r="D552" i="2"/>
  <c r="C552" i="2"/>
  <c r="DN551" i="2"/>
  <c r="DI551" i="2" s="1"/>
  <c r="DL551" i="2" s="1"/>
  <c r="DM551" i="2"/>
  <c r="DB551" i="2"/>
  <c r="CY551" i="2"/>
  <c r="CX551" i="2"/>
  <c r="BQ551" i="2"/>
  <c r="BP551" i="2"/>
  <c r="BO551" i="2"/>
  <c r="BN551" i="2"/>
  <c r="BM551" i="2"/>
  <c r="AV551" i="2" s="1"/>
  <c r="BL551" i="2"/>
  <c r="BK551" i="2"/>
  <c r="BJ551" i="2"/>
  <c r="BI551" i="2"/>
  <c r="BE551" i="2" s="1"/>
  <c r="BH551" i="2"/>
  <c r="AY551" i="2" s="1"/>
  <c r="BF551" i="2"/>
  <c r="BD551" i="2"/>
  <c r="BC551" i="2"/>
  <c r="AZ551" i="2"/>
  <c r="F551" i="2"/>
  <c r="D551" i="2"/>
  <c r="C551" i="2"/>
  <c r="DN550" i="2"/>
  <c r="DM550" i="2"/>
  <c r="DA550" i="2"/>
  <c r="DJ550" i="2" s="1"/>
  <c r="CX550" i="2"/>
  <c r="BQ550" i="2"/>
  <c r="BP550" i="2"/>
  <c r="BO550" i="2"/>
  <c r="BN550" i="2"/>
  <c r="BM550" i="2"/>
  <c r="AV550" i="2" s="1"/>
  <c r="BL550" i="2"/>
  <c r="BK550" i="2"/>
  <c r="BJ550" i="2"/>
  <c r="BF550" i="2" s="1"/>
  <c r="BI550" i="2"/>
  <c r="BH550" i="2"/>
  <c r="AX550" i="2" s="1"/>
  <c r="BE550" i="2"/>
  <c r="BC550" i="2"/>
  <c r="AZ550" i="2"/>
  <c r="AY550" i="2"/>
  <c r="F550" i="2"/>
  <c r="D550" i="2"/>
  <c r="C550" i="2"/>
  <c r="DM549" i="2"/>
  <c r="DN549" i="2" s="1"/>
  <c r="CZ549" i="2"/>
  <c r="BQ549" i="2"/>
  <c r="BG549" i="2" s="1"/>
  <c r="BP549" i="2"/>
  <c r="BO549" i="2"/>
  <c r="BN549" i="2"/>
  <c r="BM549" i="2"/>
  <c r="AV549" i="2" s="1"/>
  <c r="BL549" i="2"/>
  <c r="BK549" i="2"/>
  <c r="BJ549" i="2"/>
  <c r="BF549" i="2" s="1"/>
  <c r="BI549" i="2"/>
  <c r="BE549" i="2" s="1"/>
  <c r="BH549" i="2"/>
  <c r="BD549" i="2"/>
  <c r="AZ549" i="2"/>
  <c r="AY549" i="2"/>
  <c r="AX549" i="2"/>
  <c r="F549" i="2"/>
  <c r="D549" i="2"/>
  <c r="C549" i="2"/>
  <c r="DM548" i="2"/>
  <c r="DN548" i="2" s="1"/>
  <c r="CY548" i="2" s="1"/>
  <c r="BQ548" i="2"/>
  <c r="BP548" i="2"/>
  <c r="BO548" i="2"/>
  <c r="BN548" i="2"/>
  <c r="BM548" i="2"/>
  <c r="AV548" i="2" s="1"/>
  <c r="BL548" i="2"/>
  <c r="BK548" i="2"/>
  <c r="BJ548" i="2"/>
  <c r="BI548" i="2"/>
  <c r="BH548" i="2"/>
  <c r="AY705" i="2" s="1"/>
  <c r="BC548" i="2"/>
  <c r="AX548" i="2"/>
  <c r="F548" i="2"/>
  <c r="D548" i="2"/>
  <c r="C548" i="2"/>
  <c r="A548" i="2"/>
  <c r="DM547" i="2"/>
  <c r="DN547" i="2" s="1"/>
  <c r="CY547" i="2"/>
  <c r="BQ547" i="2"/>
  <c r="BP547" i="2"/>
  <c r="BO547" i="2"/>
  <c r="BF547" i="2" s="1"/>
  <c r="BN547" i="2"/>
  <c r="BM547" i="2"/>
  <c r="AV547" i="2" s="1"/>
  <c r="BL547" i="2"/>
  <c r="BK547" i="2"/>
  <c r="BJ547" i="2"/>
  <c r="BI547" i="2"/>
  <c r="BE547" i="2" s="1"/>
  <c r="BH547" i="2"/>
  <c r="BD547" i="2" s="1"/>
  <c r="BC547" i="2"/>
  <c r="AY547" i="2"/>
  <c r="AX547" i="2"/>
  <c r="F547" i="2"/>
  <c r="D547" i="2"/>
  <c r="C547" i="2"/>
  <c r="DN546" i="2"/>
  <c r="DM546" i="2"/>
  <c r="CX546" i="2"/>
  <c r="BQ546" i="2"/>
  <c r="BP546" i="2"/>
  <c r="BE546" i="2" s="1"/>
  <c r="BO546" i="2"/>
  <c r="BN546" i="2"/>
  <c r="BM546" i="2"/>
  <c r="BL546" i="2"/>
  <c r="BK546" i="2"/>
  <c r="BJ546" i="2"/>
  <c r="BI546" i="2"/>
  <c r="BC546" i="2" s="1"/>
  <c r="BH546" i="2"/>
  <c r="BD546" i="2" s="1"/>
  <c r="BG546" i="2"/>
  <c r="AZ546" i="2"/>
  <c r="AX546" i="2"/>
  <c r="AV546" i="2"/>
  <c r="F546" i="2"/>
  <c r="D546" i="2"/>
  <c r="C546" i="2"/>
  <c r="DM545" i="2"/>
  <c r="DN545" i="2" s="1"/>
  <c r="BQ545" i="2"/>
  <c r="BP545" i="2"/>
  <c r="BO545" i="2"/>
  <c r="BF545" i="2" s="1"/>
  <c r="BN545" i="2"/>
  <c r="BC545" i="2" s="1"/>
  <c r="BM545" i="2"/>
  <c r="BG545" i="2" s="1"/>
  <c r="BL545" i="2"/>
  <c r="BK545" i="2"/>
  <c r="BJ545" i="2"/>
  <c r="BI545" i="2"/>
  <c r="BE545" i="2" s="1"/>
  <c r="BH545" i="2"/>
  <c r="AX545" i="2" s="1"/>
  <c r="AY545" i="2"/>
  <c r="AV545" i="2"/>
  <c r="F545" i="2"/>
  <c r="D545" i="2"/>
  <c r="C545" i="2"/>
  <c r="DN544" i="2"/>
  <c r="DD544" i="2" s="1"/>
  <c r="DM544" i="2"/>
  <c r="DJ544" i="2"/>
  <c r="DI544" i="2"/>
  <c r="DL544" i="2" s="1"/>
  <c r="DH544" i="2"/>
  <c r="DG544" i="2"/>
  <c r="DF544" i="2"/>
  <c r="DE544" i="2"/>
  <c r="DK544" i="2" s="1"/>
  <c r="DB544" i="2"/>
  <c r="DA544" i="2"/>
  <c r="CY544" i="2"/>
  <c r="CX544" i="2"/>
  <c r="BQ544" i="2"/>
  <c r="BP544" i="2"/>
  <c r="BE544" i="2" s="1"/>
  <c r="BO544" i="2"/>
  <c r="BN544" i="2"/>
  <c r="BM544" i="2"/>
  <c r="BL544" i="2"/>
  <c r="BK544" i="2"/>
  <c r="BJ544" i="2"/>
  <c r="BF544" i="2" s="1"/>
  <c r="BI544" i="2"/>
  <c r="BC544" i="2" s="1"/>
  <c r="BH544" i="2"/>
  <c r="BD544" i="2" s="1"/>
  <c r="AX544" i="2"/>
  <c r="F544" i="2"/>
  <c r="D544" i="2"/>
  <c r="C544" i="2"/>
  <c r="DN543" i="2"/>
  <c r="DE543" i="2" s="1"/>
  <c r="DK543" i="2" s="1"/>
  <c r="DM543" i="2"/>
  <c r="DI543" i="2"/>
  <c r="DL543" i="2" s="1"/>
  <c r="DH543" i="2"/>
  <c r="DG543" i="2"/>
  <c r="DF543" i="2"/>
  <c r="DD543" i="2"/>
  <c r="CZ543" i="2"/>
  <c r="CX543" i="2"/>
  <c r="BQ543" i="2"/>
  <c r="BP543" i="2"/>
  <c r="BO543" i="2"/>
  <c r="BN543" i="2"/>
  <c r="BM543" i="2"/>
  <c r="BG543" i="2" s="1"/>
  <c r="BL543" i="2"/>
  <c r="BK543" i="2"/>
  <c r="BJ543" i="2"/>
  <c r="BI543" i="2"/>
  <c r="BH543" i="2"/>
  <c r="AZ543" i="2"/>
  <c r="F543" i="2"/>
  <c r="D543" i="2"/>
  <c r="C543" i="2"/>
  <c r="DM542" i="2"/>
  <c r="DN542" i="2" s="1"/>
  <c r="DG542" i="2"/>
  <c r="DF542" i="2"/>
  <c r="BQ542" i="2"/>
  <c r="BG542" i="2" s="1"/>
  <c r="BP542" i="2"/>
  <c r="BO542" i="2"/>
  <c r="BN542" i="2"/>
  <c r="BM542" i="2"/>
  <c r="BL542" i="2"/>
  <c r="BK542" i="2"/>
  <c r="BJ542" i="2"/>
  <c r="BF542" i="2" s="1"/>
  <c r="BI542" i="2"/>
  <c r="BE542" i="2" s="1"/>
  <c r="BH542" i="2"/>
  <c r="AV542" i="2"/>
  <c r="F542" i="2"/>
  <c r="D542" i="2"/>
  <c r="C542" i="2"/>
  <c r="DN541" i="2"/>
  <c r="DC541" i="2" s="1"/>
  <c r="DM541" i="2"/>
  <c r="DI541" i="2"/>
  <c r="DL541" i="2" s="1"/>
  <c r="DG541" i="2"/>
  <c r="DF541" i="2"/>
  <c r="DE541" i="2"/>
  <c r="DK541" i="2" s="1"/>
  <c r="DD541" i="2"/>
  <c r="CX541" i="2"/>
  <c r="BQ541" i="2"/>
  <c r="BP541" i="2"/>
  <c r="BO541" i="2"/>
  <c r="BN541" i="2"/>
  <c r="BM541" i="2"/>
  <c r="BL541" i="2"/>
  <c r="BK541" i="2"/>
  <c r="BJ541" i="2"/>
  <c r="BF541" i="2" s="1"/>
  <c r="BI541" i="2"/>
  <c r="BH541" i="2"/>
  <c r="BD541" i="2" s="1"/>
  <c r="F541" i="2"/>
  <c r="D541" i="2"/>
  <c r="C541" i="2"/>
  <c r="DM540" i="2"/>
  <c r="DN540" i="2" s="1"/>
  <c r="DH540" i="2"/>
  <c r="DE540" i="2"/>
  <c r="DK540" i="2" s="1"/>
  <c r="DD540" i="2"/>
  <c r="BQ540" i="2"/>
  <c r="BP540" i="2"/>
  <c r="BO540" i="2"/>
  <c r="BN540" i="2"/>
  <c r="BM540" i="2"/>
  <c r="AV540" i="2" s="1"/>
  <c r="BL540" i="2"/>
  <c r="BK540" i="2"/>
  <c r="BJ540" i="2"/>
  <c r="BF540" i="2" s="1"/>
  <c r="BI540" i="2"/>
  <c r="BH540" i="2"/>
  <c r="F540" i="2"/>
  <c r="D540" i="2"/>
  <c r="C540" i="2"/>
  <c r="DM539" i="2"/>
  <c r="DN539" i="2" s="1"/>
  <c r="DC539" i="2" s="1"/>
  <c r="DG539" i="2"/>
  <c r="DE539" i="2"/>
  <c r="DK539" i="2" s="1"/>
  <c r="DD539" i="2"/>
  <c r="BQ539" i="2"/>
  <c r="BP539" i="2"/>
  <c r="BO539" i="2"/>
  <c r="BN539" i="2"/>
  <c r="BM539" i="2"/>
  <c r="AV539" i="2" s="1"/>
  <c r="BL539" i="2"/>
  <c r="BK539" i="2"/>
  <c r="BF539" i="2" s="1"/>
  <c r="BJ539" i="2"/>
  <c r="BI539" i="2"/>
  <c r="BH539" i="2"/>
  <c r="BG539" i="2"/>
  <c r="F539" i="2"/>
  <c r="D539" i="2"/>
  <c r="C539" i="2"/>
  <c r="DN538" i="2"/>
  <c r="DM538" i="2"/>
  <c r="DK538" i="2"/>
  <c r="DI538" i="2"/>
  <c r="DL538" i="2" s="1"/>
  <c r="DH538" i="2"/>
  <c r="DG538" i="2"/>
  <c r="DF538" i="2"/>
  <c r="DE538" i="2"/>
  <c r="DD538" i="2"/>
  <c r="DC538" i="2"/>
  <c r="DB538" i="2"/>
  <c r="DA538" i="2"/>
  <c r="DJ538" i="2" s="1"/>
  <c r="CZ538" i="2"/>
  <c r="CY538" i="2"/>
  <c r="CX538" i="2"/>
  <c r="BQ538" i="2"/>
  <c r="BP538" i="2"/>
  <c r="BO538" i="2"/>
  <c r="BN538" i="2"/>
  <c r="BM538" i="2"/>
  <c r="BL538" i="2"/>
  <c r="BK538" i="2"/>
  <c r="BJ538" i="2"/>
  <c r="BF538" i="2" s="1"/>
  <c r="BI538" i="2"/>
  <c r="BH538" i="2"/>
  <c r="F538" i="2"/>
  <c r="D538" i="2"/>
  <c r="C538" i="2"/>
  <c r="DN537" i="2"/>
  <c r="CY537" i="2" s="1"/>
  <c r="DM537" i="2"/>
  <c r="DI537" i="2"/>
  <c r="DL537" i="2" s="1"/>
  <c r="DH537" i="2"/>
  <c r="DG537" i="2"/>
  <c r="DF537" i="2"/>
  <c r="DE537" i="2"/>
  <c r="DK537" i="2" s="1"/>
  <c r="DD537" i="2"/>
  <c r="DC537" i="2"/>
  <c r="DB537" i="2"/>
  <c r="DA537" i="2"/>
  <c r="DJ537" i="2" s="1"/>
  <c r="CZ537" i="2"/>
  <c r="CX537" i="2"/>
  <c r="BQ537" i="2"/>
  <c r="BP537" i="2"/>
  <c r="BO537" i="2"/>
  <c r="BN537" i="2"/>
  <c r="BM537" i="2"/>
  <c r="BL537" i="2"/>
  <c r="BD537" i="2" s="1"/>
  <c r="BK537" i="2"/>
  <c r="BJ537" i="2"/>
  <c r="BI537" i="2"/>
  <c r="BE537" i="2" s="1"/>
  <c r="BH537" i="2"/>
  <c r="AY537" i="2" s="1"/>
  <c r="BG537" i="2"/>
  <c r="BF537" i="2"/>
  <c r="AV537" i="2"/>
  <c r="F537" i="2"/>
  <c r="D537" i="2"/>
  <c r="C537" i="2"/>
  <c r="DM536" i="2"/>
  <c r="DN536" i="2" s="1"/>
  <c r="DD536" i="2" s="1"/>
  <c r="BQ536" i="2"/>
  <c r="BP536" i="2"/>
  <c r="BO536" i="2"/>
  <c r="BN536" i="2"/>
  <c r="BM536" i="2"/>
  <c r="AV536" i="2" s="1"/>
  <c r="BL536" i="2"/>
  <c r="BK536" i="2"/>
  <c r="BC536" i="2" s="1"/>
  <c r="BJ536" i="2"/>
  <c r="BI536" i="2"/>
  <c r="AZ536" i="2" s="1"/>
  <c r="BH536" i="2"/>
  <c r="BD536" i="2" s="1"/>
  <c r="BF536" i="2"/>
  <c r="BE536" i="2"/>
  <c r="F536" i="2"/>
  <c r="D536" i="2"/>
  <c r="C536" i="2"/>
  <c r="DN535" i="2"/>
  <c r="DI535" i="2" s="1"/>
  <c r="DL535" i="2" s="1"/>
  <c r="DM535" i="2"/>
  <c r="DH535" i="2"/>
  <c r="DF535" i="2"/>
  <c r="DE535" i="2"/>
  <c r="DK535" i="2" s="1"/>
  <c r="DC535" i="2"/>
  <c r="DA535" i="2"/>
  <c r="DJ535" i="2" s="1"/>
  <c r="CZ535" i="2"/>
  <c r="CY535" i="2"/>
  <c r="CX535" i="2"/>
  <c r="BQ535" i="2"/>
  <c r="BP535" i="2"/>
  <c r="BO535" i="2"/>
  <c r="BN535" i="2"/>
  <c r="BM535" i="2"/>
  <c r="AV535" i="2" s="1"/>
  <c r="BL535" i="2"/>
  <c r="BK535" i="2"/>
  <c r="BJ535" i="2"/>
  <c r="BF535" i="2" s="1"/>
  <c r="BI535" i="2"/>
  <c r="AZ535" i="2" s="1"/>
  <c r="BH535" i="2"/>
  <c r="AY535" i="2" s="1"/>
  <c r="BG535" i="2"/>
  <c r="BE535" i="2"/>
  <c r="BD535" i="2"/>
  <c r="BC535" i="2"/>
  <c r="F535" i="2"/>
  <c r="D535" i="2"/>
  <c r="C535" i="2"/>
  <c r="DN534" i="2"/>
  <c r="DB534" i="2" s="1"/>
  <c r="DM534" i="2"/>
  <c r="CY534" i="2"/>
  <c r="BQ534" i="2"/>
  <c r="BP534" i="2"/>
  <c r="BO534" i="2"/>
  <c r="BN534" i="2"/>
  <c r="BM534" i="2"/>
  <c r="AV534" i="2" s="1"/>
  <c r="BL534" i="2"/>
  <c r="BK534" i="2"/>
  <c r="BJ534" i="2"/>
  <c r="BI534" i="2"/>
  <c r="BE534" i="2" s="1"/>
  <c r="BH534" i="2"/>
  <c r="AY534" i="2" s="1"/>
  <c r="BF534" i="2"/>
  <c r="BD534" i="2"/>
  <c r="BC534" i="2"/>
  <c r="AZ534" i="2"/>
  <c r="F534" i="2"/>
  <c r="D534" i="2"/>
  <c r="C534" i="2"/>
  <c r="DN533" i="2"/>
  <c r="DA533" i="2" s="1"/>
  <c r="DJ533" i="2" s="1"/>
  <c r="DM533" i="2"/>
  <c r="CX533" i="2"/>
  <c r="BQ533" i="2"/>
  <c r="BE533" i="2" s="1"/>
  <c r="BP533" i="2"/>
  <c r="BO533" i="2"/>
  <c r="BN533" i="2"/>
  <c r="BM533" i="2"/>
  <c r="AV533" i="2" s="1"/>
  <c r="BL533" i="2"/>
  <c r="BK533" i="2"/>
  <c r="BJ533" i="2"/>
  <c r="BF533" i="2" s="1"/>
  <c r="BI533" i="2"/>
  <c r="BH533" i="2"/>
  <c r="AX533" i="2" s="1"/>
  <c r="BC533" i="2"/>
  <c r="AZ533" i="2"/>
  <c r="AY533" i="2"/>
  <c r="F533" i="2"/>
  <c r="D533" i="2"/>
  <c r="C533" i="2"/>
  <c r="DM532" i="2"/>
  <c r="DN532" i="2" s="1"/>
  <c r="BQ532" i="2"/>
  <c r="BG532" i="2" s="1"/>
  <c r="BP532" i="2"/>
  <c r="BF532" i="2" s="1"/>
  <c r="BO532" i="2"/>
  <c r="BN532" i="2"/>
  <c r="BM532" i="2"/>
  <c r="AV532" i="2" s="1"/>
  <c r="BL532" i="2"/>
  <c r="BK532" i="2"/>
  <c r="BJ532" i="2"/>
  <c r="BI532" i="2"/>
  <c r="BH532" i="2"/>
  <c r="BD532" i="2"/>
  <c r="AZ532" i="2"/>
  <c r="AY532" i="2"/>
  <c r="AX532" i="2"/>
  <c r="F532" i="2"/>
  <c r="D532" i="2"/>
  <c r="C532" i="2"/>
  <c r="DM531" i="2"/>
  <c r="DN531" i="2" s="1"/>
  <c r="DD531" i="2"/>
  <c r="CY531" i="2"/>
  <c r="BQ531" i="2"/>
  <c r="BP531" i="2"/>
  <c r="BO531" i="2"/>
  <c r="BN531" i="2"/>
  <c r="BM531" i="2"/>
  <c r="BG531" i="2" s="1"/>
  <c r="BL531" i="2"/>
  <c r="BK531" i="2"/>
  <c r="BJ531" i="2"/>
  <c r="BI531" i="2"/>
  <c r="AZ531" i="2" s="1"/>
  <c r="BH531" i="2"/>
  <c r="BD531" i="2" s="1"/>
  <c r="BC531" i="2"/>
  <c r="AY531" i="2"/>
  <c r="AX531" i="2"/>
  <c r="AW531" i="2"/>
  <c r="AV531" i="2"/>
  <c r="F531" i="2"/>
  <c r="D531" i="2"/>
  <c r="C531" i="2"/>
  <c r="DN530" i="2"/>
  <c r="DM530" i="2"/>
  <c r="CX530" i="2"/>
  <c r="BQ530" i="2"/>
  <c r="BP530" i="2"/>
  <c r="BO530" i="2"/>
  <c r="BN530" i="2"/>
  <c r="BC530" i="2" s="1"/>
  <c r="BM530" i="2"/>
  <c r="BD530" i="2" s="1"/>
  <c r="BL530" i="2"/>
  <c r="BK530" i="2"/>
  <c r="BJ530" i="2"/>
  <c r="BI530" i="2"/>
  <c r="BH530" i="2"/>
  <c r="AY530" i="2" s="1"/>
  <c r="BG530" i="2"/>
  <c r="AX530" i="2"/>
  <c r="F530" i="2"/>
  <c r="D530" i="2"/>
  <c r="C530" i="2"/>
  <c r="DM529" i="2"/>
  <c r="DN529" i="2" s="1"/>
  <c r="DH529" i="2" s="1"/>
  <c r="DI529" i="2"/>
  <c r="DL529" i="2" s="1"/>
  <c r="BQ529" i="2"/>
  <c r="BP529" i="2"/>
  <c r="BO529" i="2"/>
  <c r="BN529" i="2"/>
  <c r="BC529" i="2" s="1"/>
  <c r="BM529" i="2"/>
  <c r="BL529" i="2"/>
  <c r="AY529" i="2" s="1"/>
  <c r="BK529" i="2"/>
  <c r="BJ529" i="2"/>
  <c r="BI529" i="2"/>
  <c r="BE529" i="2" s="1"/>
  <c r="BH529" i="2"/>
  <c r="AX529" i="2" s="1"/>
  <c r="BF529" i="2"/>
  <c r="AV529" i="2"/>
  <c r="F529" i="2"/>
  <c r="D529" i="2"/>
  <c r="C529" i="2"/>
  <c r="DN528" i="2"/>
  <c r="DD528" i="2" s="1"/>
  <c r="DM528" i="2"/>
  <c r="DI528" i="2"/>
  <c r="DL528" i="2" s="1"/>
  <c r="DH528" i="2"/>
  <c r="DG528" i="2"/>
  <c r="DF528" i="2"/>
  <c r="DE528" i="2"/>
  <c r="DK528" i="2" s="1"/>
  <c r="DA528" i="2"/>
  <c r="DJ528" i="2" s="1"/>
  <c r="CY528" i="2"/>
  <c r="CX528" i="2"/>
  <c r="BQ528" i="2"/>
  <c r="BP528" i="2"/>
  <c r="BO528" i="2"/>
  <c r="BN528" i="2"/>
  <c r="BM528" i="2"/>
  <c r="BG528" i="2" s="1"/>
  <c r="BL528" i="2"/>
  <c r="BK528" i="2"/>
  <c r="BJ528" i="2"/>
  <c r="BI528" i="2"/>
  <c r="BC528" i="2" s="1"/>
  <c r="BH528" i="2"/>
  <c r="BD528" i="2" s="1"/>
  <c r="BE528" i="2"/>
  <c r="AX528" i="2"/>
  <c r="AV528" i="2"/>
  <c r="F528" i="2"/>
  <c r="D528" i="2"/>
  <c r="C528" i="2"/>
  <c r="DN527" i="2"/>
  <c r="DE527" i="2" s="1"/>
  <c r="DM527" i="2"/>
  <c r="DK527" i="2"/>
  <c r="DI527" i="2"/>
  <c r="DL527" i="2" s="1"/>
  <c r="DH527" i="2"/>
  <c r="DG527" i="2"/>
  <c r="DF527" i="2"/>
  <c r="CZ527" i="2"/>
  <c r="CX527" i="2"/>
  <c r="BQ527" i="2"/>
  <c r="BP527" i="2"/>
  <c r="BO527" i="2"/>
  <c r="BN527" i="2"/>
  <c r="BM527" i="2"/>
  <c r="BL527" i="2"/>
  <c r="BK527" i="2"/>
  <c r="BD527" i="2" s="1"/>
  <c r="BJ527" i="2"/>
  <c r="BI527" i="2"/>
  <c r="BE527" i="2" s="1"/>
  <c r="BH527" i="2"/>
  <c r="AY527" i="2" s="1"/>
  <c r="AZ527" i="2"/>
  <c r="F527" i="2"/>
  <c r="D527" i="2"/>
  <c r="C527" i="2"/>
  <c r="DM526" i="2"/>
  <c r="DN526" i="2" s="1"/>
  <c r="DH526" i="2"/>
  <c r="BQ526" i="2"/>
  <c r="BG526" i="2" s="1"/>
  <c r="BP526" i="2"/>
  <c r="BO526" i="2"/>
  <c r="BN526" i="2"/>
  <c r="BM526" i="2"/>
  <c r="BL526" i="2"/>
  <c r="BK526" i="2"/>
  <c r="BJ526" i="2"/>
  <c r="BF526" i="2" s="1"/>
  <c r="BI526" i="2"/>
  <c r="BC526" i="2" s="1"/>
  <c r="BH526" i="2"/>
  <c r="AV526" i="2"/>
  <c r="F526" i="2"/>
  <c r="D526" i="2"/>
  <c r="C526" i="2"/>
  <c r="DN525" i="2"/>
  <c r="DI525" i="2" s="1"/>
  <c r="DL525" i="2" s="1"/>
  <c r="DM525" i="2"/>
  <c r="DG525" i="2"/>
  <c r="BQ525" i="2"/>
  <c r="BP525" i="2"/>
  <c r="BO525" i="2"/>
  <c r="BN525" i="2"/>
  <c r="BM525" i="2"/>
  <c r="BL525" i="2"/>
  <c r="BK525" i="2"/>
  <c r="BJ525" i="2"/>
  <c r="BF525" i="2" s="1"/>
  <c r="BI525" i="2"/>
  <c r="AZ525" i="2" s="1"/>
  <c r="BH525" i="2"/>
  <c r="F525" i="2"/>
  <c r="D525" i="2"/>
  <c r="C525" i="2"/>
  <c r="DM524" i="2"/>
  <c r="DN524" i="2" s="1"/>
  <c r="DH524" i="2"/>
  <c r="DF524" i="2"/>
  <c r="DE524" i="2"/>
  <c r="DK524" i="2" s="1"/>
  <c r="DD524" i="2"/>
  <c r="DC524" i="2"/>
  <c r="BQ524" i="2"/>
  <c r="BP524" i="2"/>
  <c r="BO524" i="2"/>
  <c r="BN524" i="2"/>
  <c r="BM524" i="2"/>
  <c r="BL524" i="2"/>
  <c r="BK524" i="2"/>
  <c r="BJ524" i="2"/>
  <c r="BF524" i="2" s="1"/>
  <c r="BI524" i="2"/>
  <c r="AY524" i="2" s="1"/>
  <c r="BH524" i="2"/>
  <c r="BG524" i="2" s="1"/>
  <c r="F524" i="2"/>
  <c r="D524" i="2"/>
  <c r="C524" i="2"/>
  <c r="DM523" i="2"/>
  <c r="DN523" i="2" s="1"/>
  <c r="DI523" i="2" s="1"/>
  <c r="DL523" i="2" s="1"/>
  <c r="DG523" i="2"/>
  <c r="DC523" i="2"/>
  <c r="BQ523" i="2"/>
  <c r="BP523" i="2"/>
  <c r="BO523" i="2"/>
  <c r="BN523" i="2"/>
  <c r="BM523" i="2"/>
  <c r="AV523" i="2" s="1"/>
  <c r="BL523" i="2"/>
  <c r="BK523" i="2"/>
  <c r="BJ523" i="2"/>
  <c r="BI523" i="2"/>
  <c r="BH523" i="2"/>
  <c r="BF523" i="2"/>
  <c r="F523" i="2"/>
  <c r="D523" i="2"/>
  <c r="C523" i="2"/>
  <c r="DN522" i="2"/>
  <c r="DM522" i="2"/>
  <c r="DK522" i="2"/>
  <c r="DI522" i="2"/>
  <c r="DL522" i="2" s="1"/>
  <c r="DH522" i="2"/>
  <c r="DG522" i="2"/>
  <c r="DF522" i="2"/>
  <c r="DE522" i="2"/>
  <c r="DD522" i="2"/>
  <c r="DC522" i="2"/>
  <c r="DB522" i="2"/>
  <c r="DA522" i="2"/>
  <c r="DJ522" i="2" s="1"/>
  <c r="CZ522" i="2"/>
  <c r="CY522" i="2"/>
  <c r="CX522" i="2"/>
  <c r="BQ522" i="2"/>
  <c r="BP522" i="2"/>
  <c r="BO522" i="2"/>
  <c r="BE522" i="2" s="1"/>
  <c r="BN522" i="2"/>
  <c r="BM522" i="2"/>
  <c r="BG522" i="2" s="1"/>
  <c r="BL522" i="2"/>
  <c r="BK522" i="2"/>
  <c r="BJ522" i="2"/>
  <c r="BI522" i="2"/>
  <c r="BH522" i="2"/>
  <c r="BF522" i="2"/>
  <c r="F522" i="2"/>
  <c r="D522" i="2"/>
  <c r="C522" i="2"/>
  <c r="DN521" i="2"/>
  <c r="CY521" i="2" s="1"/>
  <c r="DM521" i="2"/>
  <c r="DJ521" i="2"/>
  <c r="DH521" i="2"/>
  <c r="DG521" i="2"/>
  <c r="DF521" i="2"/>
  <c r="DE521" i="2"/>
  <c r="DK521" i="2" s="1"/>
  <c r="DC521" i="2"/>
  <c r="DB521" i="2"/>
  <c r="DA521" i="2"/>
  <c r="CZ521" i="2"/>
  <c r="CX521" i="2"/>
  <c r="BQ521" i="2"/>
  <c r="BP521" i="2"/>
  <c r="BO521" i="2"/>
  <c r="BN521" i="2"/>
  <c r="BM521" i="2"/>
  <c r="BL521" i="2"/>
  <c r="BK521" i="2"/>
  <c r="BD521" i="2" s="1"/>
  <c r="BJ521" i="2"/>
  <c r="BI521" i="2"/>
  <c r="BH521" i="2"/>
  <c r="BG521" i="2"/>
  <c r="BE521" i="2"/>
  <c r="F521" i="2"/>
  <c r="D521" i="2"/>
  <c r="C521" i="2"/>
  <c r="DM520" i="2"/>
  <c r="DN520" i="2" s="1"/>
  <c r="DI520" i="2" s="1"/>
  <c r="DL520" i="2" s="1"/>
  <c r="DF520" i="2"/>
  <c r="CY520" i="2"/>
  <c r="BQ520" i="2"/>
  <c r="BP520" i="2"/>
  <c r="BO520" i="2"/>
  <c r="BN520" i="2"/>
  <c r="BM520" i="2"/>
  <c r="BL520" i="2"/>
  <c r="BK520" i="2"/>
  <c r="BF520" i="2" s="1"/>
  <c r="BJ520" i="2"/>
  <c r="BI520" i="2"/>
  <c r="AZ520" i="2" s="1"/>
  <c r="BH520" i="2"/>
  <c r="BD520" i="2" s="1"/>
  <c r="F520" i="2"/>
  <c r="D520" i="2"/>
  <c r="C520" i="2"/>
  <c r="DN519" i="2"/>
  <c r="DB519" i="2" s="1"/>
  <c r="DM519" i="2"/>
  <c r="DE519" i="2"/>
  <c r="DK519" i="2" s="1"/>
  <c r="CZ519" i="2"/>
  <c r="BQ519" i="2"/>
  <c r="BP519" i="2"/>
  <c r="BO519" i="2"/>
  <c r="BN519" i="2"/>
  <c r="BM519" i="2"/>
  <c r="BL519" i="2"/>
  <c r="BK519" i="2"/>
  <c r="BJ519" i="2"/>
  <c r="BF519" i="2" s="1"/>
  <c r="BI519" i="2"/>
  <c r="AZ519" i="2" s="1"/>
  <c r="BH519" i="2"/>
  <c r="BG519" i="2" s="1"/>
  <c r="BC519" i="2"/>
  <c r="F519" i="2"/>
  <c r="D519" i="2"/>
  <c r="C519" i="2"/>
  <c r="DM518" i="2"/>
  <c r="DN518" i="2" s="1"/>
  <c r="BQ518" i="2"/>
  <c r="BP518" i="2"/>
  <c r="BO518" i="2"/>
  <c r="BN518" i="2"/>
  <c r="BM518" i="2"/>
  <c r="AV518" i="2" s="1"/>
  <c r="BL518" i="2"/>
  <c r="BD518" i="2" s="1"/>
  <c r="BK518" i="2"/>
  <c r="BJ518" i="2"/>
  <c r="BF518" i="2" s="1"/>
  <c r="BI518" i="2"/>
  <c r="BE518" i="2" s="1"/>
  <c r="BH518" i="2"/>
  <c r="AX518" i="2" s="1"/>
  <c r="AZ518" i="2"/>
  <c r="F518" i="2"/>
  <c r="D518" i="2"/>
  <c r="C518" i="2"/>
  <c r="DN517" i="2"/>
  <c r="CZ517" i="2" s="1"/>
  <c r="DM517" i="2"/>
  <c r="DD517" i="2"/>
  <c r="BQ517" i="2"/>
  <c r="BP517" i="2"/>
  <c r="BO517" i="2"/>
  <c r="BN517" i="2"/>
  <c r="BM517" i="2"/>
  <c r="BL517" i="2"/>
  <c r="BK517" i="2"/>
  <c r="AY517" i="2" s="1"/>
  <c r="BJ517" i="2"/>
  <c r="BF517" i="2" s="1"/>
  <c r="BI517" i="2"/>
  <c r="BE517" i="2" s="1"/>
  <c r="BH517" i="2"/>
  <c r="AZ517" i="2"/>
  <c r="AX517" i="2"/>
  <c r="F517" i="2"/>
  <c r="D517" i="2"/>
  <c r="C517" i="2"/>
  <c r="DN516" i="2"/>
  <c r="CY516" i="2" s="1"/>
  <c r="DM516" i="2"/>
  <c r="DD516" i="2"/>
  <c r="DB516" i="2"/>
  <c r="CZ516" i="2"/>
  <c r="BQ516" i="2"/>
  <c r="BP516" i="2"/>
  <c r="BF516" i="2" s="1"/>
  <c r="BO516" i="2"/>
  <c r="BN516" i="2"/>
  <c r="BM516" i="2"/>
  <c r="AV516" i="2" s="1"/>
  <c r="BL516" i="2"/>
  <c r="BK516" i="2"/>
  <c r="BJ516" i="2"/>
  <c r="BI516" i="2"/>
  <c r="BC516" i="2" s="1"/>
  <c r="BH516" i="2"/>
  <c r="AY516" i="2" s="1"/>
  <c r="BG516" i="2"/>
  <c r="BE516" i="2"/>
  <c r="AZ516" i="2"/>
  <c r="F516" i="2"/>
  <c r="D516" i="2"/>
  <c r="C516" i="2"/>
  <c r="DM515" i="2"/>
  <c r="DN515" i="2" s="1"/>
  <c r="DF515" i="2" s="1"/>
  <c r="DI515" i="2"/>
  <c r="DL515" i="2" s="1"/>
  <c r="DG515" i="2"/>
  <c r="DD515" i="2"/>
  <c r="DA515" i="2"/>
  <c r="DJ515" i="2" s="1"/>
  <c r="BQ515" i="2"/>
  <c r="BP515" i="2"/>
  <c r="BO515" i="2"/>
  <c r="BE515" i="2" s="1"/>
  <c r="BN515" i="2"/>
  <c r="AZ515" i="2" s="1"/>
  <c r="BM515" i="2"/>
  <c r="BG515" i="2" s="1"/>
  <c r="BL515" i="2"/>
  <c r="BK515" i="2"/>
  <c r="BJ515" i="2"/>
  <c r="BI515" i="2"/>
  <c r="BH515" i="2"/>
  <c r="F515" i="2"/>
  <c r="D515" i="2"/>
  <c r="C515" i="2"/>
  <c r="DM514" i="2"/>
  <c r="DN514" i="2" s="1"/>
  <c r="DF514" i="2" s="1"/>
  <c r="BQ514" i="2"/>
  <c r="BP514" i="2"/>
  <c r="BO514" i="2"/>
  <c r="BN514" i="2"/>
  <c r="BM514" i="2"/>
  <c r="BL514" i="2"/>
  <c r="AY514" i="2" s="1"/>
  <c r="BK514" i="2"/>
  <c r="BJ514" i="2"/>
  <c r="BI514" i="2"/>
  <c r="BE514" i="2" s="1"/>
  <c r="BH514" i="2"/>
  <c r="BG514" i="2"/>
  <c r="AX514" i="2"/>
  <c r="F514" i="2"/>
  <c r="D514" i="2"/>
  <c r="C514" i="2"/>
  <c r="DN513" i="2"/>
  <c r="DD513" i="2" s="1"/>
  <c r="DM513" i="2"/>
  <c r="DI513" i="2"/>
  <c r="DL513" i="2" s="1"/>
  <c r="DH513" i="2"/>
  <c r="DG513" i="2"/>
  <c r="DE513" i="2"/>
  <c r="DK513" i="2" s="1"/>
  <c r="DB513" i="2"/>
  <c r="CY513" i="2"/>
  <c r="CX513" i="2"/>
  <c r="BQ513" i="2"/>
  <c r="BP513" i="2"/>
  <c r="BO513" i="2"/>
  <c r="BN513" i="2"/>
  <c r="BM513" i="2"/>
  <c r="BG513" i="2" s="1"/>
  <c r="BL513" i="2"/>
  <c r="BK513" i="2"/>
  <c r="BF513" i="2" s="1"/>
  <c r="BJ513" i="2"/>
  <c r="BI513" i="2"/>
  <c r="BH513" i="2"/>
  <c r="BD513" i="2" s="1"/>
  <c r="AX513" i="2"/>
  <c r="F513" i="2"/>
  <c r="D513" i="2"/>
  <c r="C513" i="2"/>
  <c r="DN512" i="2"/>
  <c r="DC512" i="2" s="1"/>
  <c r="DM512" i="2"/>
  <c r="DH512" i="2"/>
  <c r="DD512" i="2"/>
  <c r="CX512" i="2"/>
  <c r="BQ512" i="2"/>
  <c r="BP512" i="2"/>
  <c r="BO512" i="2"/>
  <c r="BN512" i="2"/>
  <c r="BC512" i="2" s="1"/>
  <c r="BM512" i="2"/>
  <c r="BG512" i="2" s="1"/>
  <c r="BL512" i="2"/>
  <c r="BK512" i="2"/>
  <c r="BJ512" i="2"/>
  <c r="BF512" i="2" s="1"/>
  <c r="BI512" i="2"/>
  <c r="BH512" i="2"/>
  <c r="AZ512" i="2"/>
  <c r="F512" i="2"/>
  <c r="D512" i="2"/>
  <c r="C512" i="2"/>
  <c r="DM511" i="2"/>
  <c r="DN511" i="2" s="1"/>
  <c r="DC511" i="2"/>
  <c r="BQ511" i="2"/>
  <c r="BP511" i="2"/>
  <c r="BO511" i="2"/>
  <c r="BN511" i="2"/>
  <c r="BM511" i="2"/>
  <c r="AV511" i="2" s="1"/>
  <c r="BL511" i="2"/>
  <c r="BK511" i="2"/>
  <c r="BD511" i="2" s="1"/>
  <c r="BJ511" i="2"/>
  <c r="BF511" i="2" s="1"/>
  <c r="BI511" i="2"/>
  <c r="BE511" i="2" s="1"/>
  <c r="BH511" i="2"/>
  <c r="BG511" i="2"/>
  <c r="AX511" i="2"/>
  <c r="F511" i="2"/>
  <c r="D511" i="2"/>
  <c r="C511" i="2"/>
  <c r="DN510" i="2"/>
  <c r="DC510" i="2" s="1"/>
  <c r="DM510" i="2"/>
  <c r="DL510" i="2"/>
  <c r="DI510" i="2"/>
  <c r="DH510" i="2"/>
  <c r="DG510" i="2"/>
  <c r="DF510" i="2"/>
  <c r="DE510" i="2"/>
  <c r="DK510" i="2" s="1"/>
  <c r="DD510" i="2"/>
  <c r="DB510" i="2"/>
  <c r="DA510" i="2"/>
  <c r="DJ510" i="2" s="1"/>
  <c r="CZ510" i="2"/>
  <c r="CY510" i="2"/>
  <c r="CX510" i="2"/>
  <c r="BQ510" i="2"/>
  <c r="BP510" i="2"/>
  <c r="BO510" i="2"/>
  <c r="BN510" i="2"/>
  <c r="BM510" i="2"/>
  <c r="AV510" i="2" s="1"/>
  <c r="BL510" i="2"/>
  <c r="BK510" i="2"/>
  <c r="BJ510" i="2"/>
  <c r="BC510" i="2" s="1"/>
  <c r="BI510" i="2"/>
  <c r="BE510" i="2" s="1"/>
  <c r="BH510" i="2"/>
  <c r="BD510" i="2" s="1"/>
  <c r="BF510" i="2"/>
  <c r="AX510" i="2"/>
  <c r="F510" i="2"/>
  <c r="D510" i="2"/>
  <c r="C510" i="2"/>
  <c r="DN509" i="2"/>
  <c r="CZ509" i="2" s="1"/>
  <c r="DM509" i="2"/>
  <c r="DE509" i="2"/>
  <c r="DK509" i="2" s="1"/>
  <c r="DC509" i="2"/>
  <c r="DA509" i="2"/>
  <c r="DJ509" i="2" s="1"/>
  <c r="CX509" i="2"/>
  <c r="BQ509" i="2"/>
  <c r="BP509" i="2"/>
  <c r="BO509" i="2"/>
  <c r="BN509" i="2"/>
  <c r="BM509" i="2"/>
  <c r="AV509" i="2" s="1"/>
  <c r="BL509" i="2"/>
  <c r="BK509" i="2"/>
  <c r="BJ509" i="2"/>
  <c r="BF509" i="2" s="1"/>
  <c r="BI509" i="2"/>
  <c r="BC509" i="2" s="1"/>
  <c r="BH509" i="2"/>
  <c r="BD509" i="2" s="1"/>
  <c r="BG509" i="2"/>
  <c r="BE509" i="2"/>
  <c r="F509" i="2"/>
  <c r="D509" i="2"/>
  <c r="C509" i="2"/>
  <c r="DM508" i="2"/>
  <c r="DN508" i="2" s="1"/>
  <c r="CZ508" i="2"/>
  <c r="BQ508" i="2"/>
  <c r="BP508" i="2"/>
  <c r="BO508" i="2"/>
  <c r="BN508" i="2"/>
  <c r="BM508" i="2"/>
  <c r="BL508" i="2"/>
  <c r="BK508" i="2"/>
  <c r="BJ508" i="2"/>
  <c r="BI508" i="2"/>
  <c r="BC508" i="2" s="1"/>
  <c r="BH508" i="2"/>
  <c r="AY508" i="2" s="1"/>
  <c r="BF508" i="2"/>
  <c r="BD508" i="2"/>
  <c r="AV508" i="2"/>
  <c r="F508" i="2"/>
  <c r="D508" i="2"/>
  <c r="C508" i="2"/>
  <c r="DN507" i="2"/>
  <c r="CZ507" i="2" s="1"/>
  <c r="DM507" i="2"/>
  <c r="DI507" i="2"/>
  <c r="DL507" i="2" s="1"/>
  <c r="DH507" i="2"/>
  <c r="DG507" i="2"/>
  <c r="DF507" i="2"/>
  <c r="DE507" i="2"/>
  <c r="DK507" i="2" s="1"/>
  <c r="DD507" i="2"/>
  <c r="DC507" i="2"/>
  <c r="DB507" i="2"/>
  <c r="DA507" i="2"/>
  <c r="DJ507" i="2" s="1"/>
  <c r="CY507" i="2"/>
  <c r="CX507" i="2"/>
  <c r="BQ507" i="2"/>
  <c r="BP507" i="2"/>
  <c r="BF507" i="2" s="1"/>
  <c r="BO507" i="2"/>
  <c r="BN507" i="2"/>
  <c r="BM507" i="2"/>
  <c r="AV507" i="2" s="1"/>
  <c r="BL507" i="2"/>
  <c r="BK507" i="2"/>
  <c r="BJ507" i="2"/>
  <c r="BI507" i="2"/>
  <c r="AZ507" i="2" s="1"/>
  <c r="BH507" i="2"/>
  <c r="AY507" i="2" s="1"/>
  <c r="BG507" i="2"/>
  <c r="BE507" i="2"/>
  <c r="BC507" i="2"/>
  <c r="AX507" i="2"/>
  <c r="F507" i="2"/>
  <c r="D507" i="2"/>
  <c r="C507" i="2"/>
  <c r="DN506" i="2"/>
  <c r="DM506" i="2"/>
  <c r="CX506" i="2"/>
  <c r="BQ506" i="2"/>
  <c r="BP506" i="2"/>
  <c r="BO506" i="2"/>
  <c r="BE506" i="2" s="1"/>
  <c r="BN506" i="2"/>
  <c r="BM506" i="2"/>
  <c r="AV506" i="2" s="1"/>
  <c r="BL506" i="2"/>
  <c r="BD506" i="2" s="1"/>
  <c r="BK506" i="2"/>
  <c r="BJ506" i="2"/>
  <c r="BI506" i="2"/>
  <c r="BC506" i="2" s="1"/>
  <c r="BH506" i="2"/>
  <c r="AY506" i="2" s="1"/>
  <c r="BF506" i="2"/>
  <c r="AZ506" i="2"/>
  <c r="F506" i="2"/>
  <c r="D506" i="2"/>
  <c r="C506" i="2"/>
  <c r="DM505" i="2"/>
  <c r="DN505" i="2" s="1"/>
  <c r="BQ505" i="2"/>
  <c r="BP505" i="2"/>
  <c r="BO505" i="2"/>
  <c r="BN505" i="2"/>
  <c r="BM505" i="2"/>
  <c r="BL505" i="2"/>
  <c r="BK505" i="2"/>
  <c r="BD505" i="2" s="1"/>
  <c r="BJ505" i="2"/>
  <c r="BF505" i="2" s="1"/>
  <c r="BI505" i="2"/>
  <c r="AZ505" i="2" s="1"/>
  <c r="BH505" i="2"/>
  <c r="AX505" i="2" s="1"/>
  <c r="AY505" i="2"/>
  <c r="AV505" i="2"/>
  <c r="F505" i="2"/>
  <c r="D505" i="2"/>
  <c r="C505" i="2"/>
  <c r="DN504" i="2"/>
  <c r="DH504" i="2" s="1"/>
  <c r="DM504" i="2"/>
  <c r="DL504" i="2"/>
  <c r="DI504" i="2"/>
  <c r="DF504" i="2"/>
  <c r="CZ504" i="2"/>
  <c r="CX504" i="2"/>
  <c r="BQ504" i="2"/>
  <c r="BP504" i="2"/>
  <c r="BO504" i="2"/>
  <c r="BN504" i="2"/>
  <c r="BM504" i="2"/>
  <c r="AV504" i="2" s="1"/>
  <c r="BL504" i="2"/>
  <c r="BK504" i="2"/>
  <c r="BJ504" i="2"/>
  <c r="BF504" i="2" s="1"/>
  <c r="BI504" i="2"/>
  <c r="BH504" i="2"/>
  <c r="AY504" i="2" s="1"/>
  <c r="BD504" i="2"/>
  <c r="AZ504" i="2"/>
  <c r="AX504" i="2"/>
  <c r="F504" i="2"/>
  <c r="D504" i="2"/>
  <c r="C504" i="2"/>
  <c r="DM503" i="2"/>
  <c r="DN503" i="2" s="1"/>
  <c r="BQ503" i="2"/>
  <c r="BP503" i="2"/>
  <c r="BO503" i="2"/>
  <c r="BF503" i="2" s="1"/>
  <c r="BN503" i="2"/>
  <c r="BM503" i="2"/>
  <c r="AV503" i="2" s="1"/>
  <c r="BL503" i="2"/>
  <c r="BK503" i="2"/>
  <c r="BJ503" i="2"/>
  <c r="BI503" i="2"/>
  <c r="BE503" i="2" s="1"/>
  <c r="BH503" i="2"/>
  <c r="BG503" i="2" s="1"/>
  <c r="BC503" i="2"/>
  <c r="F503" i="2"/>
  <c r="D503" i="2"/>
  <c r="C503" i="2"/>
  <c r="DN502" i="2"/>
  <c r="DI502" i="2" s="1"/>
  <c r="DL502" i="2" s="1"/>
  <c r="DM502" i="2"/>
  <c r="CX502" i="2"/>
  <c r="BQ502" i="2"/>
  <c r="BE502" i="2" s="1"/>
  <c r="BP502" i="2"/>
  <c r="BF502" i="2" s="1"/>
  <c r="BO502" i="2"/>
  <c r="BN502" i="2"/>
  <c r="BM502" i="2"/>
  <c r="BL502" i="2"/>
  <c r="BK502" i="2"/>
  <c r="BJ502" i="2"/>
  <c r="BI502" i="2"/>
  <c r="BH502" i="2"/>
  <c r="BG502" i="2" s="1"/>
  <c r="AV502" i="2"/>
  <c r="F502" i="2"/>
  <c r="D502" i="2"/>
  <c r="C502" i="2"/>
  <c r="DM501" i="2"/>
  <c r="DN501" i="2" s="1"/>
  <c r="DI501" i="2"/>
  <c r="DL501" i="2" s="1"/>
  <c r="BQ501" i="2"/>
  <c r="BE501" i="2" s="1"/>
  <c r="BP501" i="2"/>
  <c r="BO501" i="2"/>
  <c r="BN501" i="2"/>
  <c r="BM501" i="2"/>
  <c r="BL501" i="2"/>
  <c r="BK501" i="2"/>
  <c r="BJ501" i="2"/>
  <c r="BF501" i="2" s="1"/>
  <c r="BI501" i="2"/>
  <c r="BH501" i="2"/>
  <c r="AZ501" i="2"/>
  <c r="AY501" i="2"/>
  <c r="AX501" i="2"/>
  <c r="F501" i="2"/>
  <c r="D501" i="2"/>
  <c r="C501" i="2"/>
  <c r="DN500" i="2"/>
  <c r="DG500" i="2" s="1"/>
  <c r="DM500" i="2"/>
  <c r="DH500" i="2"/>
  <c r="DE500" i="2"/>
  <c r="DK500" i="2" s="1"/>
  <c r="DB500" i="2"/>
  <c r="CX500" i="2"/>
  <c r="BQ500" i="2"/>
  <c r="BP500" i="2"/>
  <c r="BF500" i="2" s="1"/>
  <c r="BO500" i="2"/>
  <c r="BN500" i="2"/>
  <c r="BM500" i="2"/>
  <c r="BL500" i="2"/>
  <c r="BD500" i="2" s="1"/>
  <c r="BK500" i="2"/>
  <c r="BJ500" i="2"/>
  <c r="BI500" i="2"/>
  <c r="BE500" i="2" s="1"/>
  <c r="BH500" i="2"/>
  <c r="BG500" i="2" s="1"/>
  <c r="AX500" i="2"/>
  <c r="AV500" i="2"/>
  <c r="F500" i="2"/>
  <c r="D500" i="2"/>
  <c r="C500" i="2"/>
  <c r="DM499" i="2"/>
  <c r="DN499" i="2" s="1"/>
  <c r="DG499" i="2"/>
  <c r="BQ499" i="2"/>
  <c r="BP499" i="2"/>
  <c r="BO499" i="2"/>
  <c r="BE499" i="2" s="1"/>
  <c r="BN499" i="2"/>
  <c r="AZ499" i="2" s="1"/>
  <c r="BM499" i="2"/>
  <c r="BG499" i="2" s="1"/>
  <c r="BL499" i="2"/>
  <c r="BK499" i="2"/>
  <c r="BJ499" i="2"/>
  <c r="BF499" i="2" s="1"/>
  <c r="BI499" i="2"/>
  <c r="BH499" i="2"/>
  <c r="F499" i="2"/>
  <c r="D499" i="2"/>
  <c r="C499" i="2"/>
  <c r="DM498" i="2"/>
  <c r="DN498" i="2" s="1"/>
  <c r="DF498" i="2"/>
  <c r="BQ498" i="2"/>
  <c r="BP498" i="2"/>
  <c r="BO498" i="2"/>
  <c r="BN498" i="2"/>
  <c r="BM498" i="2"/>
  <c r="BL498" i="2"/>
  <c r="AY498" i="2" s="1"/>
  <c r="BK498" i="2"/>
  <c r="BJ498" i="2"/>
  <c r="BI498" i="2"/>
  <c r="BE498" i="2" s="1"/>
  <c r="BH498" i="2"/>
  <c r="BG498" i="2"/>
  <c r="AX498" i="2"/>
  <c r="F498" i="2"/>
  <c r="D498" i="2"/>
  <c r="C498" i="2"/>
  <c r="DN497" i="2"/>
  <c r="DD497" i="2" s="1"/>
  <c r="DM497" i="2"/>
  <c r="DI497" i="2"/>
  <c r="DL497" i="2" s="1"/>
  <c r="DH497" i="2"/>
  <c r="DG497" i="2"/>
  <c r="DE497" i="2"/>
  <c r="DK497" i="2" s="1"/>
  <c r="DB497" i="2"/>
  <c r="CY497" i="2"/>
  <c r="CX497" i="2"/>
  <c r="BQ497" i="2"/>
  <c r="BP497" i="2"/>
  <c r="BO497" i="2"/>
  <c r="BN497" i="2"/>
  <c r="BM497" i="2"/>
  <c r="BG497" i="2" s="1"/>
  <c r="BL497" i="2"/>
  <c r="BK497" i="2"/>
  <c r="BF497" i="2" s="1"/>
  <c r="BJ497" i="2"/>
  <c r="BI497" i="2"/>
  <c r="BH497" i="2"/>
  <c r="BD497" i="2" s="1"/>
  <c r="AX497" i="2"/>
  <c r="F497" i="2"/>
  <c r="D497" i="2"/>
  <c r="C497" i="2"/>
  <c r="DN496" i="2"/>
  <c r="DC496" i="2" s="1"/>
  <c r="DM496" i="2"/>
  <c r="DH496" i="2"/>
  <c r="DD496" i="2"/>
  <c r="CX496" i="2"/>
  <c r="BQ496" i="2"/>
  <c r="BP496" i="2"/>
  <c r="BO496" i="2"/>
  <c r="BN496" i="2"/>
  <c r="BM496" i="2"/>
  <c r="BG496" i="2" s="1"/>
  <c r="BL496" i="2"/>
  <c r="BK496" i="2"/>
  <c r="BJ496" i="2"/>
  <c r="BF496" i="2" s="1"/>
  <c r="BI496" i="2"/>
  <c r="BC496" i="2" s="1"/>
  <c r="BH496" i="2"/>
  <c r="AZ496" i="2"/>
  <c r="F496" i="2"/>
  <c r="D496" i="2"/>
  <c r="C496" i="2"/>
  <c r="DM495" i="2"/>
  <c r="DN495" i="2" s="1"/>
  <c r="DC495" i="2" s="1"/>
  <c r="DG495" i="2"/>
  <c r="BQ495" i="2"/>
  <c r="BP495" i="2"/>
  <c r="BO495" i="2"/>
  <c r="BN495" i="2"/>
  <c r="BM495" i="2"/>
  <c r="AV495" i="2" s="1"/>
  <c r="BL495" i="2"/>
  <c r="BK495" i="2"/>
  <c r="BJ495" i="2"/>
  <c r="BI495" i="2"/>
  <c r="BE495" i="2" s="1"/>
  <c r="BH495" i="2"/>
  <c r="BG495" i="2"/>
  <c r="AX495" i="2"/>
  <c r="F495" i="2"/>
  <c r="D495" i="2"/>
  <c r="C495" i="2"/>
  <c r="DN494" i="2"/>
  <c r="DM494" i="2"/>
  <c r="DL494" i="2"/>
  <c r="DI494" i="2"/>
  <c r="DH494" i="2"/>
  <c r="DG494" i="2"/>
  <c r="DF494" i="2"/>
  <c r="DE494" i="2"/>
  <c r="DK494" i="2" s="1"/>
  <c r="DD494" i="2"/>
  <c r="DC494" i="2"/>
  <c r="DB494" i="2"/>
  <c r="DA494" i="2"/>
  <c r="DJ494" i="2" s="1"/>
  <c r="CZ494" i="2"/>
  <c r="CY494" i="2"/>
  <c r="CX494" i="2"/>
  <c r="BQ494" i="2"/>
  <c r="BP494" i="2"/>
  <c r="BO494" i="2"/>
  <c r="BN494" i="2"/>
  <c r="BM494" i="2"/>
  <c r="BL494" i="2"/>
  <c r="BK494" i="2"/>
  <c r="BJ494" i="2"/>
  <c r="BC494" i="2" s="1"/>
  <c r="BI494" i="2"/>
  <c r="BE494" i="2" s="1"/>
  <c r="BH494" i="2"/>
  <c r="AX494" i="2"/>
  <c r="F494" i="2"/>
  <c r="D494" i="2"/>
  <c r="C494" i="2"/>
  <c r="DN493" i="2"/>
  <c r="CZ493" i="2" s="1"/>
  <c r="DM493" i="2"/>
  <c r="DE493" i="2"/>
  <c r="DK493" i="2" s="1"/>
  <c r="DC493" i="2"/>
  <c r="DA493" i="2"/>
  <c r="DJ493" i="2" s="1"/>
  <c r="CX493" i="2"/>
  <c r="BQ493" i="2"/>
  <c r="BP493" i="2"/>
  <c r="BO493" i="2"/>
  <c r="BN493" i="2"/>
  <c r="BM493" i="2"/>
  <c r="AV493" i="2" s="1"/>
  <c r="BL493" i="2"/>
  <c r="BK493" i="2"/>
  <c r="BJ493" i="2"/>
  <c r="BF493" i="2" s="1"/>
  <c r="BI493" i="2"/>
  <c r="BH493" i="2"/>
  <c r="BD493" i="2" s="1"/>
  <c r="BG493" i="2"/>
  <c r="BE493" i="2"/>
  <c r="F493" i="2"/>
  <c r="D493" i="2"/>
  <c r="C493" i="2"/>
  <c r="DM492" i="2"/>
  <c r="DN492" i="2" s="1"/>
  <c r="DD492" i="2" s="1"/>
  <c r="BQ492" i="2"/>
  <c r="BP492" i="2"/>
  <c r="BO492" i="2"/>
  <c r="BN492" i="2"/>
  <c r="BM492" i="2"/>
  <c r="BL492" i="2"/>
  <c r="BK492" i="2"/>
  <c r="BJ492" i="2"/>
  <c r="BI492" i="2"/>
  <c r="BC492" i="2" s="1"/>
  <c r="BH492" i="2"/>
  <c r="BD492" i="2" s="1"/>
  <c r="BF492" i="2"/>
  <c r="AV492" i="2"/>
  <c r="F492" i="2"/>
  <c r="D492" i="2"/>
  <c r="C492" i="2"/>
  <c r="DN491" i="2"/>
  <c r="CZ491" i="2" s="1"/>
  <c r="DM491" i="2"/>
  <c r="DI491" i="2"/>
  <c r="DL491" i="2" s="1"/>
  <c r="DH491" i="2"/>
  <c r="DG491" i="2"/>
  <c r="DF491" i="2"/>
  <c r="DE491" i="2"/>
  <c r="DK491" i="2" s="1"/>
  <c r="DD491" i="2"/>
  <c r="DC491" i="2"/>
  <c r="DB491" i="2"/>
  <c r="DA491" i="2"/>
  <c r="DJ491" i="2" s="1"/>
  <c r="CY491" i="2"/>
  <c r="CX491" i="2"/>
  <c r="BQ491" i="2"/>
  <c r="BP491" i="2"/>
  <c r="BF491" i="2" s="1"/>
  <c r="BO491" i="2"/>
  <c r="BN491" i="2"/>
  <c r="BM491" i="2"/>
  <c r="AV491" i="2" s="1"/>
  <c r="BL491" i="2"/>
  <c r="BK491" i="2"/>
  <c r="BJ491" i="2"/>
  <c r="BI491" i="2"/>
  <c r="AZ491" i="2" s="1"/>
  <c r="BH491" i="2"/>
  <c r="AY491" i="2" s="1"/>
  <c r="BG491" i="2"/>
  <c r="BE491" i="2"/>
  <c r="BC491" i="2"/>
  <c r="AX491" i="2"/>
  <c r="F491" i="2"/>
  <c r="D491" i="2"/>
  <c r="C491" i="2"/>
  <c r="DN490" i="2"/>
  <c r="CX490" i="2" s="1"/>
  <c r="DM490" i="2"/>
  <c r="DB490" i="2"/>
  <c r="BQ490" i="2"/>
  <c r="BP490" i="2"/>
  <c r="BO490" i="2"/>
  <c r="BE490" i="2" s="1"/>
  <c r="BN490" i="2"/>
  <c r="BM490" i="2"/>
  <c r="AV490" i="2" s="1"/>
  <c r="BL490" i="2"/>
  <c r="BD490" i="2" s="1"/>
  <c r="BK490" i="2"/>
  <c r="BJ490" i="2"/>
  <c r="BI490" i="2"/>
  <c r="BC490" i="2" s="1"/>
  <c r="BH490" i="2"/>
  <c r="AY490" i="2" s="1"/>
  <c r="BF490" i="2"/>
  <c r="AZ490" i="2"/>
  <c r="F490" i="2"/>
  <c r="D490" i="2"/>
  <c r="C490" i="2"/>
  <c r="DM489" i="2"/>
  <c r="DN489" i="2" s="1"/>
  <c r="DG489" i="2" s="1"/>
  <c r="BQ489" i="2"/>
  <c r="BG489" i="2" s="1"/>
  <c r="BP489" i="2"/>
  <c r="BO489" i="2"/>
  <c r="BN489" i="2"/>
  <c r="BM489" i="2"/>
  <c r="BL489" i="2"/>
  <c r="BK489" i="2"/>
  <c r="BJ489" i="2"/>
  <c r="BF489" i="2" s="1"/>
  <c r="BI489" i="2"/>
  <c r="AZ489" i="2" s="1"/>
  <c r="BH489" i="2"/>
  <c r="AX489" i="2" s="1"/>
  <c r="AY489" i="2"/>
  <c r="AV489" i="2"/>
  <c r="F489" i="2"/>
  <c r="D489" i="2"/>
  <c r="C489" i="2"/>
  <c r="DN488" i="2"/>
  <c r="DH488" i="2" s="1"/>
  <c r="DM488" i="2"/>
  <c r="DL488" i="2"/>
  <c r="DI488" i="2"/>
  <c r="DF488" i="2"/>
  <c r="CZ488" i="2"/>
  <c r="CX488" i="2"/>
  <c r="BQ488" i="2"/>
  <c r="BP488" i="2"/>
  <c r="BO488" i="2"/>
  <c r="BN488" i="2"/>
  <c r="BM488" i="2"/>
  <c r="BL488" i="2"/>
  <c r="BK488" i="2"/>
  <c r="BJ488" i="2"/>
  <c r="BD488" i="2" s="1"/>
  <c r="BI488" i="2"/>
  <c r="BH488" i="2"/>
  <c r="AY488" i="2" s="1"/>
  <c r="AZ488" i="2"/>
  <c r="AX488" i="2"/>
  <c r="F488" i="2"/>
  <c r="D488" i="2"/>
  <c r="C488" i="2"/>
  <c r="DM487" i="2"/>
  <c r="DN487" i="2" s="1"/>
  <c r="DE487" i="2" s="1"/>
  <c r="DK487" i="2" s="1"/>
  <c r="BQ487" i="2"/>
  <c r="BP487" i="2"/>
  <c r="BO487" i="2"/>
  <c r="BF487" i="2" s="1"/>
  <c r="BN487" i="2"/>
  <c r="BM487" i="2"/>
  <c r="AV487" i="2" s="1"/>
  <c r="BL487" i="2"/>
  <c r="BK487" i="2"/>
  <c r="BJ487" i="2"/>
  <c r="BI487" i="2"/>
  <c r="BH487" i="2"/>
  <c r="BG487" i="2" s="1"/>
  <c r="BC487" i="2"/>
  <c r="F487" i="2"/>
  <c r="D487" i="2"/>
  <c r="C487" i="2"/>
  <c r="DN486" i="2"/>
  <c r="DD486" i="2" s="1"/>
  <c r="DM486" i="2"/>
  <c r="CX486" i="2"/>
  <c r="BQ486" i="2"/>
  <c r="BE486" i="2" s="1"/>
  <c r="BP486" i="2"/>
  <c r="BF486" i="2" s="1"/>
  <c r="BO486" i="2"/>
  <c r="BN486" i="2"/>
  <c r="BC486" i="2" s="1"/>
  <c r="BM486" i="2"/>
  <c r="BL486" i="2"/>
  <c r="BK486" i="2"/>
  <c r="BJ486" i="2"/>
  <c r="BI486" i="2"/>
  <c r="BH486" i="2"/>
  <c r="AV486" i="2"/>
  <c r="F486" i="2"/>
  <c r="D486" i="2"/>
  <c r="C486" i="2"/>
  <c r="DM485" i="2"/>
  <c r="DN485" i="2" s="1"/>
  <c r="DI485" i="2" s="1"/>
  <c r="DL485" i="2" s="1"/>
  <c r="BQ485" i="2"/>
  <c r="BE485" i="2" s="1"/>
  <c r="BP485" i="2"/>
  <c r="BO485" i="2"/>
  <c r="BN485" i="2"/>
  <c r="BM485" i="2"/>
  <c r="BL485" i="2"/>
  <c r="BK485" i="2"/>
  <c r="BJ485" i="2"/>
  <c r="BF485" i="2" s="1"/>
  <c r="BI485" i="2"/>
  <c r="BH485" i="2"/>
  <c r="BG485" i="2"/>
  <c r="AZ485" i="2"/>
  <c r="AY485" i="2"/>
  <c r="AW485" i="2" s="1"/>
  <c r="AX485" i="2"/>
  <c r="F485" i="2"/>
  <c r="D485" i="2"/>
  <c r="C485" i="2"/>
  <c r="DN484" i="2"/>
  <c r="DG484" i="2" s="1"/>
  <c r="DM484" i="2"/>
  <c r="DH484" i="2"/>
  <c r="DE484" i="2"/>
  <c r="DK484" i="2" s="1"/>
  <c r="DB484" i="2"/>
  <c r="CX484" i="2"/>
  <c r="BQ484" i="2"/>
  <c r="BP484" i="2"/>
  <c r="BO484" i="2"/>
  <c r="BN484" i="2"/>
  <c r="BM484" i="2"/>
  <c r="BG484" i="2" s="1"/>
  <c r="BL484" i="2"/>
  <c r="BD484" i="2" s="1"/>
  <c r="BK484" i="2"/>
  <c r="BJ484" i="2"/>
  <c r="BI484" i="2"/>
  <c r="BE484" i="2" s="1"/>
  <c r="BH484" i="2"/>
  <c r="BF484" i="2"/>
  <c r="AX484" i="2"/>
  <c r="AV484" i="2"/>
  <c r="F484" i="2"/>
  <c r="D484" i="2"/>
  <c r="C484" i="2"/>
  <c r="DM483" i="2"/>
  <c r="DN483" i="2" s="1"/>
  <c r="BQ483" i="2"/>
  <c r="BP483" i="2"/>
  <c r="BO483" i="2"/>
  <c r="BN483" i="2"/>
  <c r="AZ483" i="2" s="1"/>
  <c r="BM483" i="2"/>
  <c r="BG483" i="2" s="1"/>
  <c r="BL483" i="2"/>
  <c r="BK483" i="2"/>
  <c r="BJ483" i="2"/>
  <c r="BF483" i="2" s="1"/>
  <c r="BI483" i="2"/>
  <c r="BC483" i="2" s="1"/>
  <c r="BH483" i="2"/>
  <c r="BE483" i="2"/>
  <c r="F483" i="2"/>
  <c r="D483" i="2"/>
  <c r="C483" i="2"/>
  <c r="DM482" i="2"/>
  <c r="DN482" i="2" s="1"/>
  <c r="DF482" i="2" s="1"/>
  <c r="CZ482" i="2"/>
  <c r="BQ482" i="2"/>
  <c r="BP482" i="2"/>
  <c r="BO482" i="2"/>
  <c r="BN482" i="2"/>
  <c r="BC482" i="2" s="1"/>
  <c r="BM482" i="2"/>
  <c r="BL482" i="2"/>
  <c r="AY482" i="2" s="1"/>
  <c r="BK482" i="2"/>
  <c r="BJ482" i="2"/>
  <c r="BF482" i="2" s="1"/>
  <c r="BI482" i="2"/>
  <c r="BE482" i="2" s="1"/>
  <c r="BH482" i="2"/>
  <c r="BG482" i="2"/>
  <c r="BD482" i="2"/>
  <c r="AX482" i="2"/>
  <c r="AV482" i="2"/>
  <c r="F482" i="2"/>
  <c r="D482" i="2"/>
  <c r="C482" i="2"/>
  <c r="DN481" i="2"/>
  <c r="DD481" i="2" s="1"/>
  <c r="DM481" i="2"/>
  <c r="DI481" i="2"/>
  <c r="DL481" i="2" s="1"/>
  <c r="DH481" i="2"/>
  <c r="DG481" i="2"/>
  <c r="DE481" i="2"/>
  <c r="DK481" i="2" s="1"/>
  <c r="DB481" i="2"/>
  <c r="CY481" i="2"/>
  <c r="CX481" i="2"/>
  <c r="BQ481" i="2"/>
  <c r="BP481" i="2"/>
  <c r="BO481" i="2"/>
  <c r="BN481" i="2"/>
  <c r="BM481" i="2"/>
  <c r="BL481" i="2"/>
  <c r="BK481" i="2"/>
  <c r="BF481" i="2" s="1"/>
  <c r="BJ481" i="2"/>
  <c r="BI481" i="2"/>
  <c r="BC481" i="2" s="1"/>
  <c r="BH481" i="2"/>
  <c r="AX481" i="2"/>
  <c r="F481" i="2"/>
  <c r="D481" i="2"/>
  <c r="C481" i="2"/>
  <c r="DN480" i="2"/>
  <c r="DF480" i="2" s="1"/>
  <c r="DM480" i="2"/>
  <c r="DH480" i="2"/>
  <c r="DD480" i="2"/>
  <c r="BQ480" i="2"/>
  <c r="BP480" i="2"/>
  <c r="BO480" i="2"/>
  <c r="BN480" i="2"/>
  <c r="BM480" i="2"/>
  <c r="BG480" i="2" s="1"/>
  <c r="BL480" i="2"/>
  <c r="BK480" i="2"/>
  <c r="BJ480" i="2"/>
  <c r="BF480" i="2" s="1"/>
  <c r="BI480" i="2"/>
  <c r="BH480" i="2"/>
  <c r="AZ480" i="2"/>
  <c r="F480" i="2"/>
  <c r="D480" i="2"/>
  <c r="C480" i="2"/>
  <c r="DM479" i="2"/>
  <c r="DN479" i="2" s="1"/>
  <c r="DG479" i="2" s="1"/>
  <c r="DC479" i="2"/>
  <c r="BQ479" i="2"/>
  <c r="BP479" i="2"/>
  <c r="BO479" i="2"/>
  <c r="BN479" i="2"/>
  <c r="BM479" i="2"/>
  <c r="AV479" i="2" s="1"/>
  <c r="BL479" i="2"/>
  <c r="BK479" i="2"/>
  <c r="BD479" i="2" s="1"/>
  <c r="BJ479" i="2"/>
  <c r="BF479" i="2" s="1"/>
  <c r="BI479" i="2"/>
  <c r="AY479" i="2" s="1"/>
  <c r="BH479" i="2"/>
  <c r="BG479" i="2"/>
  <c r="AX479" i="2"/>
  <c r="F479" i="2"/>
  <c r="D479" i="2"/>
  <c r="C479" i="2"/>
  <c r="DN478" i="2"/>
  <c r="DM478" i="2"/>
  <c r="DL478" i="2"/>
  <c r="DI478" i="2"/>
  <c r="DH478" i="2"/>
  <c r="DG478" i="2"/>
  <c r="DF478" i="2"/>
  <c r="DE478" i="2"/>
  <c r="DK478" i="2" s="1"/>
  <c r="DD478" i="2"/>
  <c r="DC478" i="2"/>
  <c r="DB478" i="2"/>
  <c r="DA478" i="2"/>
  <c r="DJ478" i="2" s="1"/>
  <c r="CZ478" i="2"/>
  <c r="CY478" i="2"/>
  <c r="CX478" i="2"/>
  <c r="BQ478" i="2"/>
  <c r="BP478" i="2"/>
  <c r="BO478" i="2"/>
  <c r="BN478" i="2"/>
  <c r="BM478" i="2"/>
  <c r="BL478" i="2"/>
  <c r="BK478" i="2"/>
  <c r="BJ478" i="2"/>
  <c r="BC478" i="2" s="1"/>
  <c r="BI478" i="2"/>
  <c r="BH478" i="2"/>
  <c r="AX478" i="2"/>
  <c r="F478" i="2"/>
  <c r="D478" i="2"/>
  <c r="C478" i="2"/>
  <c r="DN477" i="2"/>
  <c r="CZ477" i="2" s="1"/>
  <c r="DM477" i="2"/>
  <c r="DK477" i="2"/>
  <c r="DG477" i="2"/>
  <c r="DE477" i="2"/>
  <c r="DC477" i="2"/>
  <c r="DA477" i="2"/>
  <c r="DJ477" i="2" s="1"/>
  <c r="CX477" i="2"/>
  <c r="BQ477" i="2"/>
  <c r="BP477" i="2"/>
  <c r="BO477" i="2"/>
  <c r="BN477" i="2"/>
  <c r="BM477" i="2"/>
  <c r="BL477" i="2"/>
  <c r="BK477" i="2"/>
  <c r="BJ477" i="2"/>
  <c r="AV477" i="2" s="1"/>
  <c r="BI477" i="2"/>
  <c r="BH477" i="2"/>
  <c r="BD477" i="2" s="1"/>
  <c r="BG477" i="2"/>
  <c r="BE477" i="2"/>
  <c r="F477" i="2"/>
  <c r="D477" i="2"/>
  <c r="C477" i="2"/>
  <c r="DM476" i="2"/>
  <c r="DN476" i="2" s="1"/>
  <c r="DD476" i="2"/>
  <c r="DB476" i="2"/>
  <c r="CZ476" i="2"/>
  <c r="BQ476" i="2"/>
  <c r="BP476" i="2"/>
  <c r="BO476" i="2"/>
  <c r="BN476" i="2"/>
  <c r="BM476" i="2"/>
  <c r="BL476" i="2"/>
  <c r="BK476" i="2"/>
  <c r="BJ476" i="2"/>
  <c r="BI476" i="2"/>
  <c r="BH476" i="2"/>
  <c r="BD476" i="2" s="1"/>
  <c r="BF476" i="2"/>
  <c r="AV476" i="2"/>
  <c r="F476" i="2"/>
  <c r="D476" i="2"/>
  <c r="C476" i="2"/>
  <c r="DN475" i="2"/>
  <c r="CZ475" i="2" s="1"/>
  <c r="DM475" i="2"/>
  <c r="DI475" i="2"/>
  <c r="DL475" i="2" s="1"/>
  <c r="DH475" i="2"/>
  <c r="DG475" i="2"/>
  <c r="DF475" i="2"/>
  <c r="DE475" i="2"/>
  <c r="DK475" i="2" s="1"/>
  <c r="DD475" i="2"/>
  <c r="DC475" i="2"/>
  <c r="DB475" i="2"/>
  <c r="DA475" i="2"/>
  <c r="DJ475" i="2" s="1"/>
  <c r="CY475" i="2"/>
  <c r="CX475" i="2"/>
  <c r="BQ475" i="2"/>
  <c r="BP475" i="2"/>
  <c r="BF475" i="2" s="1"/>
  <c r="BO475" i="2"/>
  <c r="BN475" i="2"/>
  <c r="BM475" i="2"/>
  <c r="AV475" i="2" s="1"/>
  <c r="BL475" i="2"/>
  <c r="BK475" i="2"/>
  <c r="BJ475" i="2"/>
  <c r="BI475" i="2"/>
  <c r="AZ475" i="2" s="1"/>
  <c r="BH475" i="2"/>
  <c r="AY475" i="2" s="1"/>
  <c r="BG475" i="2"/>
  <c r="BE475" i="2"/>
  <c r="BC475" i="2"/>
  <c r="AX475" i="2"/>
  <c r="AW475" i="2" s="1"/>
  <c r="F475" i="2"/>
  <c r="D475" i="2"/>
  <c r="C475" i="2"/>
  <c r="DN474" i="2"/>
  <c r="DB474" i="2" s="1"/>
  <c r="DM474" i="2"/>
  <c r="DH474" i="2"/>
  <c r="BQ474" i="2"/>
  <c r="BP474" i="2"/>
  <c r="BO474" i="2"/>
  <c r="BE474" i="2" s="1"/>
  <c r="BN474" i="2"/>
  <c r="BM474" i="2"/>
  <c r="AV474" i="2" s="1"/>
  <c r="BL474" i="2"/>
  <c r="BD474" i="2" s="1"/>
  <c r="BK474" i="2"/>
  <c r="BJ474" i="2"/>
  <c r="BI474" i="2"/>
  <c r="BC474" i="2" s="1"/>
  <c r="BH474" i="2"/>
  <c r="BG474" i="2" s="1"/>
  <c r="BF474" i="2"/>
  <c r="AZ474" i="2"/>
  <c r="F474" i="2"/>
  <c r="D474" i="2"/>
  <c r="C474" i="2"/>
  <c r="A474" i="2"/>
  <c r="DN473" i="2"/>
  <c r="DH473" i="2" s="1"/>
  <c r="DM473" i="2"/>
  <c r="BQ473" i="2"/>
  <c r="BP473" i="2"/>
  <c r="BO473" i="2"/>
  <c r="BE473" i="2" s="1"/>
  <c r="BN473" i="2"/>
  <c r="BM473" i="2"/>
  <c r="BL473" i="2"/>
  <c r="BD473" i="2" s="1"/>
  <c r="BK473" i="2"/>
  <c r="BJ473" i="2"/>
  <c r="AV473" i="2" s="1"/>
  <c r="BI473" i="2"/>
  <c r="BC473" i="2" s="1"/>
  <c r="BH473" i="2"/>
  <c r="BF473" i="2"/>
  <c r="AZ473" i="2"/>
  <c r="F473" i="2"/>
  <c r="D473" i="2"/>
  <c r="C473" i="2"/>
  <c r="DM472" i="2"/>
  <c r="DN472" i="2" s="1"/>
  <c r="DG472" i="2" s="1"/>
  <c r="BQ472" i="2"/>
  <c r="BG472" i="2" s="1"/>
  <c r="BP472" i="2"/>
  <c r="BO472" i="2"/>
  <c r="BN472" i="2"/>
  <c r="BM472" i="2"/>
  <c r="BL472" i="2"/>
  <c r="BK472" i="2"/>
  <c r="BJ472" i="2"/>
  <c r="BI472" i="2"/>
  <c r="AZ472" i="2" s="1"/>
  <c r="BH472" i="2"/>
  <c r="AX472" i="2" s="1"/>
  <c r="AV472" i="2"/>
  <c r="F472" i="2"/>
  <c r="D472" i="2"/>
  <c r="C472" i="2"/>
  <c r="DN471" i="2"/>
  <c r="DI471" i="2" s="1"/>
  <c r="DL471" i="2" s="1"/>
  <c r="DM471" i="2"/>
  <c r="CZ471" i="2"/>
  <c r="BQ471" i="2"/>
  <c r="BP471" i="2"/>
  <c r="BO471" i="2"/>
  <c r="BN471" i="2"/>
  <c r="BM471" i="2"/>
  <c r="BD471" i="2" s="1"/>
  <c r="BL471" i="2"/>
  <c r="BK471" i="2"/>
  <c r="BJ471" i="2"/>
  <c r="BC471" i="2" s="1"/>
  <c r="BI471" i="2"/>
  <c r="BE471" i="2" s="1"/>
  <c r="BH471" i="2"/>
  <c r="AY471" i="2" s="1"/>
  <c r="BF471" i="2"/>
  <c r="AZ471" i="2"/>
  <c r="AX471" i="2"/>
  <c r="F471" i="2"/>
  <c r="D471" i="2"/>
  <c r="C471" i="2"/>
  <c r="DM470" i="2"/>
  <c r="DN470" i="2" s="1"/>
  <c r="DH470" i="2"/>
  <c r="DE470" i="2"/>
  <c r="DK470" i="2" s="1"/>
  <c r="DA470" i="2"/>
  <c r="DJ470" i="2" s="1"/>
  <c r="BQ470" i="2"/>
  <c r="BP470" i="2"/>
  <c r="BO470" i="2"/>
  <c r="BF470" i="2" s="1"/>
  <c r="BN470" i="2"/>
  <c r="BM470" i="2"/>
  <c r="AV470" i="2" s="1"/>
  <c r="BL470" i="2"/>
  <c r="BK470" i="2"/>
  <c r="BJ470" i="2"/>
  <c r="BI470" i="2"/>
  <c r="AZ470" i="2" s="1"/>
  <c r="BH470" i="2"/>
  <c r="AY470" i="2"/>
  <c r="F470" i="2"/>
  <c r="D470" i="2"/>
  <c r="C470" i="2"/>
  <c r="DN469" i="2"/>
  <c r="CZ469" i="2" s="1"/>
  <c r="DM469" i="2"/>
  <c r="DG469" i="2"/>
  <c r="DD469" i="2"/>
  <c r="BQ469" i="2"/>
  <c r="BP469" i="2"/>
  <c r="BO469" i="2"/>
  <c r="BN469" i="2"/>
  <c r="BM469" i="2"/>
  <c r="BL469" i="2"/>
  <c r="BK469" i="2"/>
  <c r="BJ469" i="2"/>
  <c r="BI469" i="2"/>
  <c r="BH469" i="2"/>
  <c r="AX469" i="2"/>
  <c r="AV469" i="2"/>
  <c r="F469" i="2"/>
  <c r="D469" i="2"/>
  <c r="C469" i="2"/>
  <c r="DM468" i="2"/>
  <c r="DN468" i="2" s="1"/>
  <c r="DI468" i="2" s="1"/>
  <c r="DL468" i="2" s="1"/>
  <c r="DF468" i="2"/>
  <c r="CY468" i="2"/>
  <c r="BQ468" i="2"/>
  <c r="BG468" i="2" s="1"/>
  <c r="BP468" i="2"/>
  <c r="BO468" i="2"/>
  <c r="BN468" i="2"/>
  <c r="BM468" i="2"/>
  <c r="BL468" i="2"/>
  <c r="BK468" i="2"/>
  <c r="BJ468" i="2"/>
  <c r="BF468" i="2" s="1"/>
  <c r="BI468" i="2"/>
  <c r="BH468" i="2"/>
  <c r="AY468" i="2"/>
  <c r="AX468" i="2"/>
  <c r="F468" i="2"/>
  <c r="D468" i="2"/>
  <c r="C468" i="2"/>
  <c r="DN467" i="2"/>
  <c r="DM467" i="2"/>
  <c r="BQ467" i="2"/>
  <c r="BP467" i="2"/>
  <c r="BO467" i="2"/>
  <c r="BN467" i="2"/>
  <c r="BM467" i="2"/>
  <c r="BG467" i="2" s="1"/>
  <c r="BL467" i="2"/>
  <c r="BK467" i="2"/>
  <c r="BJ467" i="2"/>
  <c r="BI467" i="2"/>
  <c r="BH467" i="2"/>
  <c r="BD467" i="2" s="1"/>
  <c r="BF467" i="2"/>
  <c r="AX467" i="2"/>
  <c r="AV467" i="2"/>
  <c r="F467" i="2"/>
  <c r="D467" i="2"/>
  <c r="C467" i="2"/>
  <c r="DM466" i="2"/>
  <c r="DN466" i="2" s="1"/>
  <c r="DI466" i="2" s="1"/>
  <c r="DL466" i="2" s="1"/>
  <c r="BQ466" i="2"/>
  <c r="BP466" i="2"/>
  <c r="BO466" i="2"/>
  <c r="BN466" i="2"/>
  <c r="AZ466" i="2" s="1"/>
  <c r="BM466" i="2"/>
  <c r="BL466" i="2"/>
  <c r="BK466" i="2"/>
  <c r="BJ466" i="2"/>
  <c r="BF466" i="2" s="1"/>
  <c r="BI466" i="2"/>
  <c r="BH466" i="2"/>
  <c r="BE466" i="2"/>
  <c r="AY466" i="2"/>
  <c r="F466" i="2"/>
  <c r="D466" i="2"/>
  <c r="C466" i="2"/>
  <c r="DM465" i="2"/>
  <c r="DN465" i="2" s="1"/>
  <c r="DI465" i="2"/>
  <c r="DL465" i="2" s="1"/>
  <c r="DH465" i="2"/>
  <c r="DF465" i="2"/>
  <c r="DC465" i="2"/>
  <c r="CZ465" i="2"/>
  <c r="BQ465" i="2"/>
  <c r="BP465" i="2"/>
  <c r="BO465" i="2"/>
  <c r="BN465" i="2"/>
  <c r="BC465" i="2" s="1"/>
  <c r="BM465" i="2"/>
  <c r="BG465" i="2" s="1"/>
  <c r="BL465" i="2"/>
  <c r="AY465" i="2" s="1"/>
  <c r="BK465" i="2"/>
  <c r="BJ465" i="2"/>
  <c r="BF465" i="2" s="1"/>
  <c r="BI465" i="2"/>
  <c r="BH465" i="2"/>
  <c r="BD465" i="2"/>
  <c r="AX465" i="2"/>
  <c r="AV465" i="2"/>
  <c r="F465" i="2"/>
  <c r="D465" i="2"/>
  <c r="C465" i="2"/>
  <c r="DN464" i="2"/>
  <c r="DD464" i="2" s="1"/>
  <c r="DM464" i="2"/>
  <c r="DI464" i="2"/>
  <c r="DL464" i="2" s="1"/>
  <c r="DH464" i="2"/>
  <c r="DG464" i="2"/>
  <c r="DE464" i="2"/>
  <c r="DK464" i="2" s="1"/>
  <c r="DB464" i="2"/>
  <c r="CY464" i="2"/>
  <c r="CX464" i="2"/>
  <c r="BQ464" i="2"/>
  <c r="BP464" i="2"/>
  <c r="BO464" i="2"/>
  <c r="BF464" i="2" s="1"/>
  <c r="BN464" i="2"/>
  <c r="BM464" i="2"/>
  <c r="BL464" i="2"/>
  <c r="BK464" i="2"/>
  <c r="BC464" i="2" s="1"/>
  <c r="BJ464" i="2"/>
  <c r="BI464" i="2"/>
  <c r="BH464" i="2"/>
  <c r="AX464" i="2"/>
  <c r="F464" i="2"/>
  <c r="D464" i="2"/>
  <c r="C464" i="2"/>
  <c r="DN463" i="2"/>
  <c r="DI463" i="2" s="1"/>
  <c r="DL463" i="2" s="1"/>
  <c r="DM463" i="2"/>
  <c r="BQ463" i="2"/>
  <c r="BP463" i="2"/>
  <c r="BO463" i="2"/>
  <c r="BN463" i="2"/>
  <c r="AZ463" i="2" s="1"/>
  <c r="BM463" i="2"/>
  <c r="BG463" i="2" s="1"/>
  <c r="BL463" i="2"/>
  <c r="BK463" i="2"/>
  <c r="BJ463" i="2"/>
  <c r="BI463" i="2"/>
  <c r="BH463" i="2"/>
  <c r="BE463" i="2" s="1"/>
  <c r="F463" i="2"/>
  <c r="D463" i="2"/>
  <c r="C463" i="2"/>
  <c r="DM462" i="2"/>
  <c r="DN462" i="2" s="1"/>
  <c r="DI462" i="2" s="1"/>
  <c r="DL462" i="2" s="1"/>
  <c r="BQ462" i="2"/>
  <c r="BP462" i="2"/>
  <c r="BO462" i="2"/>
  <c r="BN462" i="2"/>
  <c r="BM462" i="2"/>
  <c r="AV462" i="2" s="1"/>
  <c r="BL462" i="2"/>
  <c r="BK462" i="2"/>
  <c r="BJ462" i="2"/>
  <c r="BI462" i="2"/>
  <c r="BH462" i="2"/>
  <c r="AX462" i="2"/>
  <c r="F462" i="2"/>
  <c r="D462" i="2"/>
  <c r="C462" i="2"/>
  <c r="DN461" i="2"/>
  <c r="CZ461" i="2" s="1"/>
  <c r="DM461" i="2"/>
  <c r="DL461" i="2"/>
  <c r="DI461" i="2"/>
  <c r="DH461" i="2"/>
  <c r="DG461" i="2"/>
  <c r="DF461" i="2"/>
  <c r="DE461" i="2"/>
  <c r="DK461" i="2" s="1"/>
  <c r="DD461" i="2"/>
  <c r="DB461" i="2"/>
  <c r="DA461" i="2"/>
  <c r="DJ461" i="2" s="1"/>
  <c r="CY461" i="2"/>
  <c r="CX461" i="2"/>
  <c r="BQ461" i="2"/>
  <c r="BP461" i="2"/>
  <c r="BO461" i="2"/>
  <c r="BN461" i="2"/>
  <c r="BM461" i="2"/>
  <c r="BL461" i="2"/>
  <c r="BK461" i="2"/>
  <c r="BJ461" i="2"/>
  <c r="BF461" i="2" s="1"/>
  <c r="BI461" i="2"/>
  <c r="BC461" i="2" s="1"/>
  <c r="BH461" i="2"/>
  <c r="AX461" i="2" s="1"/>
  <c r="F461" i="2"/>
  <c r="D461" i="2"/>
  <c r="C461" i="2"/>
  <c r="DN460" i="2"/>
  <c r="DH460" i="2" s="1"/>
  <c r="DM460" i="2"/>
  <c r="DK460" i="2"/>
  <c r="DG460" i="2"/>
  <c r="DE460" i="2"/>
  <c r="CX460" i="2"/>
  <c r="BQ460" i="2"/>
  <c r="BP460" i="2"/>
  <c r="BO460" i="2"/>
  <c r="BN460" i="2"/>
  <c r="BM460" i="2"/>
  <c r="BL460" i="2"/>
  <c r="BK460" i="2"/>
  <c r="BJ460" i="2"/>
  <c r="BI460" i="2"/>
  <c r="AZ460" i="2" s="1"/>
  <c r="BH460" i="2"/>
  <c r="BG460" i="2" s="1"/>
  <c r="BE460" i="2"/>
  <c r="F460" i="2"/>
  <c r="D460" i="2"/>
  <c r="C460" i="2"/>
  <c r="DM459" i="2"/>
  <c r="DN459" i="2" s="1"/>
  <c r="DF459" i="2" s="1"/>
  <c r="DI459" i="2"/>
  <c r="DL459" i="2" s="1"/>
  <c r="DG459" i="2"/>
  <c r="DE459" i="2"/>
  <c r="DK459" i="2" s="1"/>
  <c r="DC459" i="2"/>
  <c r="DB459" i="2"/>
  <c r="CZ459" i="2"/>
  <c r="BQ459" i="2"/>
  <c r="BP459" i="2"/>
  <c r="BO459" i="2"/>
  <c r="BN459" i="2"/>
  <c r="BM459" i="2"/>
  <c r="BG459" i="2" s="1"/>
  <c r="BL459" i="2"/>
  <c r="BK459" i="2"/>
  <c r="BJ459" i="2"/>
  <c r="BF459" i="2" s="1"/>
  <c r="BI459" i="2"/>
  <c r="BH459" i="2"/>
  <c r="AX459" i="2" s="1"/>
  <c r="AY459" i="2"/>
  <c r="AV459" i="2"/>
  <c r="F459" i="2"/>
  <c r="D459" i="2"/>
  <c r="C459" i="2"/>
  <c r="DN458" i="2"/>
  <c r="CZ458" i="2" s="1"/>
  <c r="DM458" i="2"/>
  <c r="DI458" i="2"/>
  <c r="DL458" i="2" s="1"/>
  <c r="DH458" i="2"/>
  <c r="DG458" i="2"/>
  <c r="DF458" i="2"/>
  <c r="DE458" i="2"/>
  <c r="DK458" i="2" s="1"/>
  <c r="DD458" i="2"/>
  <c r="DC458" i="2"/>
  <c r="DB458" i="2"/>
  <c r="DA458" i="2"/>
  <c r="DJ458" i="2" s="1"/>
  <c r="CY458" i="2"/>
  <c r="CX458" i="2"/>
  <c r="BQ458" i="2"/>
  <c r="BP458" i="2"/>
  <c r="BO458" i="2"/>
  <c r="BN458" i="2"/>
  <c r="BM458" i="2"/>
  <c r="AV458" i="2" s="1"/>
  <c r="BL458" i="2"/>
  <c r="BK458" i="2"/>
  <c r="BF458" i="2" s="1"/>
  <c r="BJ458" i="2"/>
  <c r="BI458" i="2"/>
  <c r="AZ458" i="2" s="1"/>
  <c r="BH458" i="2"/>
  <c r="AX458" i="2" s="1"/>
  <c r="F458" i="2"/>
  <c r="D458" i="2"/>
  <c r="C458" i="2"/>
  <c r="DN457" i="2"/>
  <c r="DH457" i="2" s="1"/>
  <c r="DM457" i="2"/>
  <c r="DE457" i="2"/>
  <c r="DK457" i="2" s="1"/>
  <c r="DD457" i="2"/>
  <c r="DC457" i="2"/>
  <c r="DA457" i="2"/>
  <c r="DJ457" i="2" s="1"/>
  <c r="CZ457" i="2"/>
  <c r="BQ457" i="2"/>
  <c r="BP457" i="2"/>
  <c r="BO457" i="2"/>
  <c r="BN457" i="2"/>
  <c r="BM457" i="2"/>
  <c r="BL457" i="2"/>
  <c r="BK457" i="2"/>
  <c r="BJ457" i="2"/>
  <c r="BI457" i="2"/>
  <c r="BH457" i="2"/>
  <c r="BG457" i="2"/>
  <c r="BF457" i="2"/>
  <c r="AZ457" i="2"/>
  <c r="F457" i="2"/>
  <c r="D457" i="2"/>
  <c r="C457" i="2"/>
  <c r="DM456" i="2"/>
  <c r="DN456" i="2" s="1"/>
  <c r="DG456" i="2" s="1"/>
  <c r="DI456" i="2"/>
  <c r="DL456" i="2" s="1"/>
  <c r="DF456" i="2"/>
  <c r="DD456" i="2"/>
  <c r="CZ456" i="2"/>
  <c r="CY456" i="2"/>
  <c r="BQ456" i="2"/>
  <c r="BG456" i="2" s="1"/>
  <c r="BP456" i="2"/>
  <c r="BO456" i="2"/>
  <c r="BN456" i="2"/>
  <c r="BM456" i="2"/>
  <c r="BL456" i="2"/>
  <c r="BK456" i="2"/>
  <c r="BJ456" i="2"/>
  <c r="BF456" i="2" s="1"/>
  <c r="BI456" i="2"/>
  <c r="BE456" i="2" s="1"/>
  <c r="BH456" i="2"/>
  <c r="AX456" i="2" s="1"/>
  <c r="BC456" i="2"/>
  <c r="AY456" i="2"/>
  <c r="AV456" i="2"/>
  <c r="F456" i="2"/>
  <c r="D456" i="2"/>
  <c r="C456" i="2"/>
  <c r="DN455" i="2"/>
  <c r="DG455" i="2" s="1"/>
  <c r="DM455" i="2"/>
  <c r="DE455" i="2"/>
  <c r="DK455" i="2" s="1"/>
  <c r="CY455" i="2"/>
  <c r="CX455" i="2"/>
  <c r="BQ455" i="2"/>
  <c r="BP455" i="2"/>
  <c r="BO455" i="2"/>
  <c r="BN455" i="2"/>
  <c r="BM455" i="2"/>
  <c r="AV455" i="2" s="1"/>
  <c r="BL455" i="2"/>
  <c r="BK455" i="2"/>
  <c r="BJ455" i="2"/>
  <c r="BF455" i="2" s="1"/>
  <c r="BI455" i="2"/>
  <c r="BE455" i="2" s="1"/>
  <c r="BH455" i="2"/>
  <c r="BD455" i="2" s="1"/>
  <c r="BG455" i="2"/>
  <c r="BC455" i="2"/>
  <c r="AZ455" i="2"/>
  <c r="AX455" i="2"/>
  <c r="F455" i="2"/>
  <c r="D455" i="2"/>
  <c r="C455" i="2"/>
  <c r="DN454" i="2"/>
  <c r="DF454" i="2" s="1"/>
  <c r="DM454" i="2"/>
  <c r="DE454" i="2"/>
  <c r="DK454" i="2" s="1"/>
  <c r="CY454" i="2"/>
  <c r="CX454" i="2"/>
  <c r="BQ454" i="2"/>
  <c r="BG454" i="2" s="1"/>
  <c r="BP454" i="2"/>
  <c r="BO454" i="2"/>
  <c r="BF454" i="2" s="1"/>
  <c r="BN454" i="2"/>
  <c r="BM454" i="2"/>
  <c r="AV454" i="2" s="1"/>
  <c r="BL454" i="2"/>
  <c r="BK454" i="2"/>
  <c r="BJ454" i="2"/>
  <c r="BI454" i="2"/>
  <c r="BE454" i="2" s="1"/>
  <c r="BH454" i="2"/>
  <c r="AX454" i="2" s="1"/>
  <c r="BC454" i="2"/>
  <c r="AZ454" i="2"/>
  <c r="AY454" i="2"/>
  <c r="F454" i="2"/>
  <c r="D454" i="2"/>
  <c r="C454" i="2"/>
  <c r="DN453" i="2"/>
  <c r="DE453" i="2" s="1"/>
  <c r="DK453" i="2" s="1"/>
  <c r="DM453" i="2"/>
  <c r="DH453" i="2"/>
  <c r="DC453" i="2"/>
  <c r="DB453" i="2"/>
  <c r="DA453" i="2"/>
  <c r="DJ453" i="2" s="1"/>
  <c r="CY453" i="2"/>
  <c r="BQ453" i="2"/>
  <c r="BP453" i="2"/>
  <c r="BO453" i="2"/>
  <c r="BN453" i="2"/>
  <c r="BM453" i="2"/>
  <c r="BD453" i="2" s="1"/>
  <c r="BL453" i="2"/>
  <c r="BK453" i="2"/>
  <c r="AY453" i="2" s="1"/>
  <c r="BJ453" i="2"/>
  <c r="BI453" i="2"/>
  <c r="BH453" i="2"/>
  <c r="BG453" i="2"/>
  <c r="BF453" i="2"/>
  <c r="BE453" i="2"/>
  <c r="BC453" i="2"/>
  <c r="AZ453" i="2"/>
  <c r="AX453" i="2"/>
  <c r="F453" i="2"/>
  <c r="D453" i="2"/>
  <c r="C453" i="2"/>
  <c r="DM452" i="2"/>
  <c r="DN452" i="2" s="1"/>
  <c r="BQ452" i="2"/>
  <c r="BP452" i="2"/>
  <c r="BO452" i="2"/>
  <c r="BE452" i="2" s="1"/>
  <c r="BN452" i="2"/>
  <c r="BM452" i="2"/>
  <c r="AV452" i="2" s="1"/>
  <c r="BL452" i="2"/>
  <c r="BK452" i="2"/>
  <c r="BC452" i="2" s="1"/>
  <c r="BJ452" i="2"/>
  <c r="BF452" i="2" s="1"/>
  <c r="BI452" i="2"/>
  <c r="AZ452" i="2" s="1"/>
  <c r="BH452" i="2"/>
  <c r="AX452" i="2"/>
  <c r="F452" i="2"/>
  <c r="D452" i="2"/>
  <c r="C452" i="2"/>
  <c r="DM451" i="2"/>
  <c r="DN451" i="2" s="1"/>
  <c r="DB451" i="2"/>
  <c r="BQ451" i="2"/>
  <c r="BP451" i="2"/>
  <c r="BO451" i="2"/>
  <c r="BN451" i="2"/>
  <c r="BM451" i="2"/>
  <c r="BG451" i="2" s="1"/>
  <c r="BL451" i="2"/>
  <c r="BK451" i="2"/>
  <c r="AY451" i="2" s="1"/>
  <c r="BJ451" i="2"/>
  <c r="BI451" i="2"/>
  <c r="BC451" i="2" s="1"/>
  <c r="BH451" i="2"/>
  <c r="BF451" i="2"/>
  <c r="BE451" i="2"/>
  <c r="BD451" i="2"/>
  <c r="AZ451" i="2"/>
  <c r="AX451" i="2"/>
  <c r="F451" i="2"/>
  <c r="D451" i="2"/>
  <c r="C451" i="2"/>
  <c r="DN450" i="2"/>
  <c r="DM450" i="2"/>
  <c r="BQ450" i="2"/>
  <c r="BE450" i="2" s="1"/>
  <c r="BP450" i="2"/>
  <c r="BO450" i="2"/>
  <c r="BN450" i="2"/>
  <c r="BC450" i="2" s="1"/>
  <c r="BM450" i="2"/>
  <c r="AV450" i="2" s="1"/>
  <c r="BL450" i="2"/>
  <c r="BK450" i="2"/>
  <c r="BJ450" i="2"/>
  <c r="BI450" i="2"/>
  <c r="AZ450" i="2" s="1"/>
  <c r="BH450" i="2"/>
  <c r="BD450" i="2" s="1"/>
  <c r="AY450" i="2"/>
  <c r="AX450" i="2"/>
  <c r="F450" i="2"/>
  <c r="D450" i="2"/>
  <c r="C450" i="2"/>
  <c r="DM449" i="2"/>
  <c r="DN449" i="2" s="1"/>
  <c r="BQ449" i="2"/>
  <c r="BP449" i="2"/>
  <c r="BO449" i="2"/>
  <c r="BE449" i="2" s="1"/>
  <c r="BN449" i="2"/>
  <c r="BM449" i="2"/>
  <c r="BG449" i="2" s="1"/>
  <c r="BL449" i="2"/>
  <c r="BK449" i="2"/>
  <c r="BJ449" i="2"/>
  <c r="BF449" i="2" s="1"/>
  <c r="BI449" i="2"/>
  <c r="BC449" i="2" s="1"/>
  <c r="BH449" i="2"/>
  <c r="BD449" i="2" s="1"/>
  <c r="AV449" i="2"/>
  <c r="F449" i="2"/>
  <c r="D449" i="2"/>
  <c r="C449" i="2"/>
  <c r="DN448" i="2"/>
  <c r="DG448" i="2" s="1"/>
  <c r="DM448" i="2"/>
  <c r="DI448" i="2"/>
  <c r="DL448" i="2" s="1"/>
  <c r="DH448" i="2"/>
  <c r="DF448" i="2"/>
  <c r="DD448" i="2"/>
  <c r="CZ448" i="2"/>
  <c r="CX448" i="2"/>
  <c r="BQ448" i="2"/>
  <c r="BP448" i="2"/>
  <c r="BO448" i="2"/>
  <c r="BN448" i="2"/>
  <c r="AZ448" i="2" s="1"/>
  <c r="BM448" i="2"/>
  <c r="BL448" i="2"/>
  <c r="BK448" i="2"/>
  <c r="BJ448" i="2"/>
  <c r="BF448" i="2" s="1"/>
  <c r="BI448" i="2"/>
  <c r="BE448" i="2" s="1"/>
  <c r="BH448" i="2"/>
  <c r="F448" i="2"/>
  <c r="D448" i="2"/>
  <c r="C448" i="2"/>
  <c r="DM447" i="2"/>
  <c r="DN447" i="2" s="1"/>
  <c r="DH447" i="2"/>
  <c r="BQ447" i="2"/>
  <c r="BP447" i="2"/>
  <c r="BO447" i="2"/>
  <c r="BN447" i="2"/>
  <c r="BM447" i="2"/>
  <c r="BG447" i="2" s="1"/>
  <c r="BL447" i="2"/>
  <c r="BK447" i="2"/>
  <c r="BF447" i="2" s="1"/>
  <c r="BJ447" i="2"/>
  <c r="BI447" i="2"/>
  <c r="BE447" i="2" s="1"/>
  <c r="BH447" i="2"/>
  <c r="BD447" i="2" s="1"/>
  <c r="F447" i="2"/>
  <c r="D447" i="2"/>
  <c r="C447" i="2"/>
  <c r="DN446" i="2"/>
  <c r="DE446" i="2" s="1"/>
  <c r="DK446" i="2" s="1"/>
  <c r="DM446" i="2"/>
  <c r="DH446" i="2"/>
  <c r="DG446" i="2"/>
  <c r="DF446" i="2"/>
  <c r="DD446" i="2"/>
  <c r="DB446" i="2"/>
  <c r="CX446" i="2"/>
  <c r="BQ446" i="2"/>
  <c r="BP446" i="2"/>
  <c r="BE446" i="2" s="1"/>
  <c r="BO446" i="2"/>
  <c r="BN446" i="2"/>
  <c r="BM446" i="2"/>
  <c r="BG446" i="2" s="1"/>
  <c r="BL446" i="2"/>
  <c r="BK446" i="2"/>
  <c r="BJ446" i="2"/>
  <c r="BF446" i="2" s="1"/>
  <c r="BI446" i="2"/>
  <c r="BH446" i="2"/>
  <c r="AZ446" i="2"/>
  <c r="F446" i="2"/>
  <c r="D446" i="2"/>
  <c r="C446" i="2"/>
  <c r="DM445" i="2"/>
  <c r="DN445" i="2" s="1"/>
  <c r="DF445" i="2" s="1"/>
  <c r="BQ445" i="2"/>
  <c r="BP445" i="2"/>
  <c r="BO445" i="2"/>
  <c r="BN445" i="2"/>
  <c r="BM445" i="2"/>
  <c r="BD445" i="2" s="1"/>
  <c r="BL445" i="2"/>
  <c r="BK445" i="2"/>
  <c r="BJ445" i="2"/>
  <c r="BF445" i="2" s="1"/>
  <c r="BI445" i="2"/>
  <c r="BE445" i="2" s="1"/>
  <c r="BH445" i="2"/>
  <c r="AX445" i="2" s="1"/>
  <c r="BG445" i="2"/>
  <c r="F445" i="2"/>
  <c r="D445" i="2"/>
  <c r="C445" i="2"/>
  <c r="DN444" i="2"/>
  <c r="DC444" i="2" s="1"/>
  <c r="DM444" i="2"/>
  <c r="DH444" i="2"/>
  <c r="DG444" i="2"/>
  <c r="DF444" i="2"/>
  <c r="DE444" i="2"/>
  <c r="DK444" i="2" s="1"/>
  <c r="DD444" i="2"/>
  <c r="DB444" i="2"/>
  <c r="CZ444" i="2"/>
  <c r="CX444" i="2"/>
  <c r="BQ444" i="2"/>
  <c r="BP444" i="2"/>
  <c r="BO444" i="2"/>
  <c r="BN444" i="2"/>
  <c r="BM444" i="2"/>
  <c r="BG444" i="2" s="1"/>
  <c r="BL444" i="2"/>
  <c r="BK444" i="2"/>
  <c r="BJ444" i="2"/>
  <c r="BF444" i="2" s="1"/>
  <c r="BI444" i="2"/>
  <c r="BH444" i="2"/>
  <c r="BD444" i="2" s="1"/>
  <c r="F444" i="2"/>
  <c r="D444" i="2"/>
  <c r="C444" i="2"/>
  <c r="DM443" i="2"/>
  <c r="DN443" i="2" s="1"/>
  <c r="DD443" i="2"/>
  <c r="BQ443" i="2"/>
  <c r="BP443" i="2"/>
  <c r="BO443" i="2"/>
  <c r="BN443" i="2"/>
  <c r="BM443" i="2"/>
  <c r="AV443" i="2" s="1"/>
  <c r="BL443" i="2"/>
  <c r="BK443" i="2"/>
  <c r="BJ443" i="2"/>
  <c r="BF443" i="2" s="1"/>
  <c r="BI443" i="2"/>
  <c r="BE443" i="2" s="1"/>
  <c r="BH443" i="2"/>
  <c r="F443" i="2"/>
  <c r="D443" i="2"/>
  <c r="C443" i="2"/>
  <c r="DN442" i="2"/>
  <c r="DA442" i="2" s="1"/>
  <c r="DJ442" i="2" s="1"/>
  <c r="DM442" i="2"/>
  <c r="DH442" i="2"/>
  <c r="DF442" i="2"/>
  <c r="DD442" i="2"/>
  <c r="DC442" i="2"/>
  <c r="DB442" i="2"/>
  <c r="CZ442" i="2"/>
  <c r="CX442" i="2"/>
  <c r="BQ442" i="2"/>
  <c r="BP442" i="2"/>
  <c r="BO442" i="2"/>
  <c r="BN442" i="2"/>
  <c r="BM442" i="2"/>
  <c r="BL442" i="2"/>
  <c r="BK442" i="2"/>
  <c r="BJ442" i="2"/>
  <c r="AV442" i="2" s="1"/>
  <c r="BI442" i="2"/>
  <c r="BE442" i="2" s="1"/>
  <c r="BH442" i="2"/>
  <c r="BD442" i="2" s="1"/>
  <c r="BG442" i="2"/>
  <c r="BF442" i="2"/>
  <c r="AZ442" i="2"/>
  <c r="F442" i="2"/>
  <c r="D442" i="2"/>
  <c r="C442" i="2"/>
  <c r="DM441" i="2"/>
  <c r="DN441" i="2" s="1"/>
  <c r="DB441" i="2" s="1"/>
  <c r="BQ441" i="2"/>
  <c r="BP441" i="2"/>
  <c r="BO441" i="2"/>
  <c r="BN441" i="2"/>
  <c r="BM441" i="2"/>
  <c r="AV441" i="2" s="1"/>
  <c r="BL441" i="2"/>
  <c r="BK441" i="2"/>
  <c r="BJ441" i="2"/>
  <c r="BI441" i="2"/>
  <c r="AZ441" i="2" s="1"/>
  <c r="BH441" i="2"/>
  <c r="BD441" i="2" s="1"/>
  <c r="BG441" i="2"/>
  <c r="BF441" i="2"/>
  <c r="BE441" i="2"/>
  <c r="BC441" i="2"/>
  <c r="F441" i="2"/>
  <c r="D441" i="2"/>
  <c r="C441" i="2"/>
  <c r="DN440" i="2"/>
  <c r="CY440" i="2" s="1"/>
  <c r="DM440" i="2"/>
  <c r="DH440" i="2"/>
  <c r="DB440" i="2"/>
  <c r="DA440" i="2"/>
  <c r="DJ440" i="2" s="1"/>
  <c r="CZ440" i="2"/>
  <c r="CX440" i="2"/>
  <c r="BQ440" i="2"/>
  <c r="BP440" i="2"/>
  <c r="BO440" i="2"/>
  <c r="BN440" i="2"/>
  <c r="BM440" i="2"/>
  <c r="AV440" i="2" s="1"/>
  <c r="BL440" i="2"/>
  <c r="BK440" i="2"/>
  <c r="BJ440" i="2"/>
  <c r="BI440" i="2"/>
  <c r="BC440" i="2" s="1"/>
  <c r="BH440" i="2"/>
  <c r="AY440" i="2" s="1"/>
  <c r="BF440" i="2"/>
  <c r="BE440" i="2"/>
  <c r="BD440" i="2"/>
  <c r="AZ440" i="2"/>
  <c r="F440" i="2"/>
  <c r="D440" i="2"/>
  <c r="C440" i="2"/>
  <c r="DM439" i="2"/>
  <c r="DN439" i="2" s="1"/>
  <c r="CZ439" i="2" s="1"/>
  <c r="BQ439" i="2"/>
  <c r="BP439" i="2"/>
  <c r="BO439" i="2"/>
  <c r="BN439" i="2"/>
  <c r="BM439" i="2"/>
  <c r="AV439" i="2" s="1"/>
  <c r="BL439" i="2"/>
  <c r="BK439" i="2"/>
  <c r="AY439" i="2" s="1"/>
  <c r="BJ439" i="2"/>
  <c r="BF439" i="2" s="1"/>
  <c r="BI439" i="2"/>
  <c r="AZ439" i="2" s="1"/>
  <c r="BH439" i="2"/>
  <c r="AX439" i="2" s="1"/>
  <c r="BE439" i="2"/>
  <c r="BD439" i="2"/>
  <c r="BC439" i="2"/>
  <c r="F439" i="2"/>
  <c r="D439" i="2"/>
  <c r="C439" i="2"/>
  <c r="DN438" i="2"/>
  <c r="DI438" i="2" s="1"/>
  <c r="DL438" i="2" s="1"/>
  <c r="DM438" i="2"/>
  <c r="CZ438" i="2"/>
  <c r="CY438" i="2"/>
  <c r="CX438" i="2"/>
  <c r="BQ438" i="2"/>
  <c r="BP438" i="2"/>
  <c r="BO438" i="2"/>
  <c r="BN438" i="2"/>
  <c r="BM438" i="2"/>
  <c r="AV438" i="2" s="1"/>
  <c r="BL438" i="2"/>
  <c r="BK438" i="2"/>
  <c r="BJ438" i="2"/>
  <c r="BF438" i="2" s="1"/>
  <c r="BI438" i="2"/>
  <c r="BE438" i="2" s="1"/>
  <c r="BH438" i="2"/>
  <c r="AY438" i="2" s="1"/>
  <c r="BD438" i="2"/>
  <c r="BC438" i="2"/>
  <c r="AZ438" i="2"/>
  <c r="AX438" i="2"/>
  <c r="AW438" i="2" s="1"/>
  <c r="F438" i="2"/>
  <c r="D438" i="2"/>
  <c r="C438" i="2"/>
  <c r="DN437" i="2"/>
  <c r="DM437" i="2"/>
  <c r="BQ437" i="2"/>
  <c r="BP437" i="2"/>
  <c r="BO437" i="2"/>
  <c r="BN437" i="2"/>
  <c r="BM437" i="2"/>
  <c r="AV437" i="2" s="1"/>
  <c r="BL437" i="2"/>
  <c r="BK437" i="2"/>
  <c r="BJ437" i="2"/>
  <c r="BF437" i="2" s="1"/>
  <c r="BI437" i="2"/>
  <c r="BE437" i="2" s="1"/>
  <c r="BH437" i="2"/>
  <c r="AX437" i="2" s="1"/>
  <c r="BC437" i="2"/>
  <c r="AZ437" i="2"/>
  <c r="AY437" i="2"/>
  <c r="F437" i="2"/>
  <c r="D437" i="2"/>
  <c r="C437" i="2"/>
  <c r="DM436" i="2"/>
  <c r="DN436" i="2" s="1"/>
  <c r="BQ436" i="2"/>
  <c r="BP436" i="2"/>
  <c r="BF436" i="2" s="1"/>
  <c r="BO436" i="2"/>
  <c r="BN436" i="2"/>
  <c r="BM436" i="2"/>
  <c r="BG436" i="2" s="1"/>
  <c r="BL436" i="2"/>
  <c r="BK436" i="2"/>
  <c r="BJ436" i="2"/>
  <c r="BI436" i="2"/>
  <c r="BE436" i="2" s="1"/>
  <c r="BH436" i="2"/>
  <c r="BD436" i="2" s="1"/>
  <c r="AZ436" i="2"/>
  <c r="AY436" i="2"/>
  <c r="AX436" i="2"/>
  <c r="AV436" i="2"/>
  <c r="F436" i="2"/>
  <c r="D436" i="2"/>
  <c r="C436" i="2"/>
  <c r="DM435" i="2"/>
  <c r="DN435" i="2" s="1"/>
  <c r="BQ435" i="2"/>
  <c r="BE435" i="2" s="1"/>
  <c r="BP435" i="2"/>
  <c r="BO435" i="2"/>
  <c r="BN435" i="2"/>
  <c r="BM435" i="2"/>
  <c r="AV435" i="2" s="1"/>
  <c r="BL435" i="2"/>
  <c r="BK435" i="2"/>
  <c r="BJ435" i="2"/>
  <c r="BF435" i="2" s="1"/>
  <c r="BI435" i="2"/>
  <c r="BC435" i="2" s="1"/>
  <c r="BH435" i="2"/>
  <c r="BD435" i="2" s="1"/>
  <c r="AY435" i="2"/>
  <c r="AX435" i="2"/>
  <c r="F435" i="2"/>
  <c r="D435" i="2"/>
  <c r="C435" i="2"/>
  <c r="DN434" i="2"/>
  <c r="DI434" i="2" s="1"/>
  <c r="DL434" i="2" s="1"/>
  <c r="DM434" i="2"/>
  <c r="DK434" i="2"/>
  <c r="DH434" i="2"/>
  <c r="DF434" i="2"/>
  <c r="DE434" i="2"/>
  <c r="DD434" i="2"/>
  <c r="DB434" i="2"/>
  <c r="CZ434" i="2"/>
  <c r="CX434" i="2"/>
  <c r="BQ434" i="2"/>
  <c r="BP434" i="2"/>
  <c r="BO434" i="2"/>
  <c r="BN434" i="2"/>
  <c r="BM434" i="2"/>
  <c r="BL434" i="2"/>
  <c r="BD434" i="2" s="1"/>
  <c r="BK434" i="2"/>
  <c r="BJ434" i="2"/>
  <c r="BF434" i="2" s="1"/>
  <c r="BI434" i="2"/>
  <c r="BH434" i="2"/>
  <c r="BG434" i="2" s="1"/>
  <c r="AX434" i="2"/>
  <c r="AV434" i="2"/>
  <c r="F434" i="2"/>
  <c r="D434" i="2"/>
  <c r="C434" i="2"/>
  <c r="DM433" i="2"/>
  <c r="DN433" i="2" s="1"/>
  <c r="DI433" i="2"/>
  <c r="DL433" i="2" s="1"/>
  <c r="BQ433" i="2"/>
  <c r="BP433" i="2"/>
  <c r="BO433" i="2"/>
  <c r="BN433" i="2"/>
  <c r="BM433" i="2"/>
  <c r="BG433" i="2" s="1"/>
  <c r="BL433" i="2"/>
  <c r="BK433" i="2"/>
  <c r="BJ433" i="2"/>
  <c r="BF433" i="2" s="1"/>
  <c r="BI433" i="2"/>
  <c r="BE433" i="2" s="1"/>
  <c r="BH433" i="2"/>
  <c r="F433" i="2"/>
  <c r="D433" i="2"/>
  <c r="C433" i="2"/>
  <c r="DN432" i="2"/>
  <c r="DG432" i="2" s="1"/>
  <c r="DM432" i="2"/>
  <c r="DI432" i="2"/>
  <c r="DL432" i="2" s="1"/>
  <c r="DH432" i="2"/>
  <c r="DF432" i="2"/>
  <c r="DD432" i="2"/>
  <c r="CZ432" i="2"/>
  <c r="CX432" i="2"/>
  <c r="BQ432" i="2"/>
  <c r="BP432" i="2"/>
  <c r="BO432" i="2"/>
  <c r="BN432" i="2"/>
  <c r="AZ432" i="2" s="1"/>
  <c r="BM432" i="2"/>
  <c r="BL432" i="2"/>
  <c r="BK432" i="2"/>
  <c r="BJ432" i="2"/>
  <c r="BF432" i="2" s="1"/>
  <c r="BI432" i="2"/>
  <c r="BE432" i="2" s="1"/>
  <c r="BH432" i="2"/>
  <c r="BD432" i="2" s="1"/>
  <c r="F432" i="2"/>
  <c r="D432" i="2"/>
  <c r="C432" i="2"/>
  <c r="DM431" i="2"/>
  <c r="DN431" i="2" s="1"/>
  <c r="DI431" i="2" s="1"/>
  <c r="DL431" i="2" s="1"/>
  <c r="BQ431" i="2"/>
  <c r="BP431" i="2"/>
  <c r="BO431" i="2"/>
  <c r="BN431" i="2"/>
  <c r="BM431" i="2"/>
  <c r="BL431" i="2"/>
  <c r="BK431" i="2"/>
  <c r="BF431" i="2" s="1"/>
  <c r="BJ431" i="2"/>
  <c r="BI431" i="2"/>
  <c r="BE431" i="2" s="1"/>
  <c r="BH431" i="2"/>
  <c r="F431" i="2"/>
  <c r="D431" i="2"/>
  <c r="C431" i="2"/>
  <c r="DN430" i="2"/>
  <c r="DE430" i="2" s="1"/>
  <c r="DK430" i="2" s="1"/>
  <c r="DM430" i="2"/>
  <c r="DH430" i="2"/>
  <c r="DG430" i="2"/>
  <c r="DF430" i="2"/>
  <c r="DD430" i="2"/>
  <c r="DB430" i="2"/>
  <c r="CX430" i="2"/>
  <c r="BQ430" i="2"/>
  <c r="BP430" i="2"/>
  <c r="BE430" i="2" s="1"/>
  <c r="BO430" i="2"/>
  <c r="BN430" i="2"/>
  <c r="BM430" i="2"/>
  <c r="BG430" i="2" s="1"/>
  <c r="BL430" i="2"/>
  <c r="BK430" i="2"/>
  <c r="BJ430" i="2"/>
  <c r="BI430" i="2"/>
  <c r="BC430" i="2" s="1"/>
  <c r="BH430" i="2"/>
  <c r="AZ430" i="2"/>
  <c r="F430" i="2"/>
  <c r="D430" i="2"/>
  <c r="C430" i="2"/>
  <c r="DM429" i="2"/>
  <c r="DN429" i="2" s="1"/>
  <c r="DF429" i="2" s="1"/>
  <c r="DG429" i="2"/>
  <c r="DE429" i="2"/>
  <c r="DK429" i="2" s="1"/>
  <c r="BQ429" i="2"/>
  <c r="BP429" i="2"/>
  <c r="BO429" i="2"/>
  <c r="BN429" i="2"/>
  <c r="BM429" i="2"/>
  <c r="BL429" i="2"/>
  <c r="BK429" i="2"/>
  <c r="BJ429" i="2"/>
  <c r="BF429" i="2" s="1"/>
  <c r="BI429" i="2"/>
  <c r="BH429" i="2"/>
  <c r="AX429" i="2" s="1"/>
  <c r="BG429" i="2"/>
  <c r="F429" i="2"/>
  <c r="D429" i="2"/>
  <c r="C429" i="2"/>
  <c r="DN428" i="2"/>
  <c r="DC428" i="2" s="1"/>
  <c r="DM428" i="2"/>
  <c r="DL428" i="2"/>
  <c r="DI428" i="2"/>
  <c r="DH428" i="2"/>
  <c r="DG428" i="2"/>
  <c r="DF428" i="2"/>
  <c r="DE428" i="2"/>
  <c r="DK428" i="2" s="1"/>
  <c r="DD428" i="2"/>
  <c r="DB428" i="2"/>
  <c r="CZ428" i="2"/>
  <c r="CY428" i="2"/>
  <c r="CX428" i="2"/>
  <c r="BQ428" i="2"/>
  <c r="BP428" i="2"/>
  <c r="BO428" i="2"/>
  <c r="BN428" i="2"/>
  <c r="BM428" i="2"/>
  <c r="BG428" i="2" s="1"/>
  <c r="BL428" i="2"/>
  <c r="BK428" i="2"/>
  <c r="BJ428" i="2"/>
  <c r="BI428" i="2"/>
  <c r="BH428" i="2"/>
  <c r="F428" i="2"/>
  <c r="D428" i="2"/>
  <c r="C428" i="2"/>
  <c r="DM427" i="2"/>
  <c r="DN427" i="2" s="1"/>
  <c r="DE427" i="2"/>
  <c r="DK427" i="2" s="1"/>
  <c r="DD427" i="2"/>
  <c r="BQ427" i="2"/>
  <c r="BP427" i="2"/>
  <c r="BO427" i="2"/>
  <c r="BN427" i="2"/>
  <c r="BM427" i="2"/>
  <c r="AV427" i="2" s="1"/>
  <c r="BL427" i="2"/>
  <c r="BK427" i="2"/>
  <c r="BJ427" i="2"/>
  <c r="BF427" i="2" s="1"/>
  <c r="BI427" i="2"/>
  <c r="BH427" i="2"/>
  <c r="BG427" i="2"/>
  <c r="F427" i="2"/>
  <c r="D427" i="2"/>
  <c r="C427" i="2"/>
  <c r="DN426" i="2"/>
  <c r="DA426" i="2" s="1"/>
  <c r="DJ426" i="2" s="1"/>
  <c r="DM426" i="2"/>
  <c r="DH426" i="2"/>
  <c r="DD426" i="2"/>
  <c r="DC426" i="2"/>
  <c r="DB426" i="2"/>
  <c r="CZ426" i="2"/>
  <c r="CX426" i="2"/>
  <c r="BQ426" i="2"/>
  <c r="BP426" i="2"/>
  <c r="BO426" i="2"/>
  <c r="BN426" i="2"/>
  <c r="BM426" i="2"/>
  <c r="BL426" i="2"/>
  <c r="BK426" i="2"/>
  <c r="BJ426" i="2"/>
  <c r="BI426" i="2"/>
  <c r="BE426" i="2" s="1"/>
  <c r="BH426" i="2"/>
  <c r="BG426" i="2"/>
  <c r="BF426" i="2"/>
  <c r="AZ426" i="2"/>
  <c r="AV426" i="2"/>
  <c r="F426" i="2"/>
  <c r="D426" i="2"/>
  <c r="C426" i="2"/>
  <c r="DM425" i="2"/>
  <c r="DN425" i="2" s="1"/>
  <c r="DC425" i="2" s="1"/>
  <c r="DB425" i="2"/>
  <c r="DA425" i="2"/>
  <c r="DJ425" i="2" s="1"/>
  <c r="BQ425" i="2"/>
  <c r="BP425" i="2"/>
  <c r="BO425" i="2"/>
  <c r="BN425" i="2"/>
  <c r="BM425" i="2"/>
  <c r="AV425" i="2" s="1"/>
  <c r="BL425" i="2"/>
  <c r="BK425" i="2"/>
  <c r="AY425" i="2" s="1"/>
  <c r="BJ425" i="2"/>
  <c r="BI425" i="2"/>
  <c r="AZ425" i="2" s="1"/>
  <c r="BH425" i="2"/>
  <c r="BD425" i="2" s="1"/>
  <c r="BG425" i="2"/>
  <c r="BF425" i="2"/>
  <c r="BE425" i="2"/>
  <c r="BC425" i="2"/>
  <c r="F425" i="2"/>
  <c r="D425" i="2"/>
  <c r="C425" i="2"/>
  <c r="DN424" i="2"/>
  <c r="CY424" i="2" s="1"/>
  <c r="DM424" i="2"/>
  <c r="DH424" i="2"/>
  <c r="DB424" i="2"/>
  <c r="DA424" i="2"/>
  <c r="DJ424" i="2" s="1"/>
  <c r="CZ424" i="2"/>
  <c r="CX424" i="2"/>
  <c r="BQ424" i="2"/>
  <c r="BP424" i="2"/>
  <c r="BO424" i="2"/>
  <c r="BN424" i="2"/>
  <c r="BM424" i="2"/>
  <c r="AV424" i="2" s="1"/>
  <c r="BL424" i="2"/>
  <c r="BK424" i="2"/>
  <c r="BJ424" i="2"/>
  <c r="BI424" i="2"/>
  <c r="BC424" i="2" s="1"/>
  <c r="BH424" i="2"/>
  <c r="AY424" i="2" s="1"/>
  <c r="BF424" i="2"/>
  <c r="BE424" i="2"/>
  <c r="BD424" i="2"/>
  <c r="AZ424" i="2"/>
  <c r="AX424" i="2"/>
  <c r="F424" i="2"/>
  <c r="D424" i="2"/>
  <c r="C424" i="2"/>
  <c r="DM423" i="2"/>
  <c r="DN423" i="2" s="1"/>
  <c r="CZ423" i="2" s="1"/>
  <c r="DA423" i="2"/>
  <c r="DJ423" i="2" s="1"/>
  <c r="CY423" i="2"/>
  <c r="BQ423" i="2"/>
  <c r="BP423" i="2"/>
  <c r="BO423" i="2"/>
  <c r="BN423" i="2"/>
  <c r="BM423" i="2"/>
  <c r="AV423" i="2" s="1"/>
  <c r="BL423" i="2"/>
  <c r="BK423" i="2"/>
  <c r="AY423" i="2" s="1"/>
  <c r="BJ423" i="2"/>
  <c r="BF423" i="2" s="1"/>
  <c r="BI423" i="2"/>
  <c r="AZ423" i="2" s="1"/>
  <c r="BH423" i="2"/>
  <c r="AX423" i="2" s="1"/>
  <c r="BE423" i="2"/>
  <c r="BD423" i="2"/>
  <c r="BC423" i="2"/>
  <c r="F423" i="2"/>
  <c r="D423" i="2"/>
  <c r="C423" i="2"/>
  <c r="DN422" i="2"/>
  <c r="DM422" i="2"/>
  <c r="BQ422" i="2"/>
  <c r="BP422" i="2"/>
  <c r="BO422" i="2"/>
  <c r="BN422" i="2"/>
  <c r="BM422" i="2"/>
  <c r="BG422" i="2" s="1"/>
  <c r="BL422" i="2"/>
  <c r="BK422" i="2"/>
  <c r="BJ422" i="2"/>
  <c r="AV422" i="2" s="1"/>
  <c r="BI422" i="2"/>
  <c r="BE422" i="2" s="1"/>
  <c r="BH422" i="2"/>
  <c r="AY422" i="2" s="1"/>
  <c r="BD422" i="2"/>
  <c r="BC422" i="2"/>
  <c r="AZ422" i="2"/>
  <c r="AX422" i="2"/>
  <c r="F422" i="2"/>
  <c r="D422" i="2"/>
  <c r="C422" i="2"/>
  <c r="DN421" i="2"/>
  <c r="DM421" i="2"/>
  <c r="CY421" i="2"/>
  <c r="CX421" i="2"/>
  <c r="BQ421" i="2"/>
  <c r="BP421" i="2"/>
  <c r="BO421" i="2"/>
  <c r="BN421" i="2"/>
  <c r="BM421" i="2"/>
  <c r="AV421" i="2" s="1"/>
  <c r="BL421" i="2"/>
  <c r="BK421" i="2"/>
  <c r="BJ421" i="2"/>
  <c r="BF421" i="2" s="1"/>
  <c r="BI421" i="2"/>
  <c r="BE421" i="2" s="1"/>
  <c r="BH421" i="2"/>
  <c r="AX421" i="2" s="1"/>
  <c r="BC421" i="2"/>
  <c r="AZ421" i="2"/>
  <c r="AY421" i="2"/>
  <c r="F421" i="2"/>
  <c r="D421" i="2"/>
  <c r="C421" i="2"/>
  <c r="DN420" i="2"/>
  <c r="DM420" i="2"/>
  <c r="CX420" i="2"/>
  <c r="BQ420" i="2"/>
  <c r="BP420" i="2"/>
  <c r="BF420" i="2" s="1"/>
  <c r="BO420" i="2"/>
  <c r="BN420" i="2"/>
  <c r="BM420" i="2"/>
  <c r="BL420" i="2"/>
  <c r="BK420" i="2"/>
  <c r="BJ420" i="2"/>
  <c r="BI420" i="2"/>
  <c r="BE420" i="2" s="1"/>
  <c r="BH420" i="2"/>
  <c r="AZ420" i="2"/>
  <c r="AY420" i="2"/>
  <c r="AX420" i="2"/>
  <c r="AV420" i="2"/>
  <c r="F420" i="2"/>
  <c r="D420" i="2"/>
  <c r="C420" i="2"/>
  <c r="DM419" i="2"/>
  <c r="DN419" i="2" s="1"/>
  <c r="BQ419" i="2"/>
  <c r="BE419" i="2" s="1"/>
  <c r="BP419" i="2"/>
  <c r="BO419" i="2"/>
  <c r="BN419" i="2"/>
  <c r="BM419" i="2"/>
  <c r="AV419" i="2" s="1"/>
  <c r="BL419" i="2"/>
  <c r="BK419" i="2"/>
  <c r="BJ419" i="2"/>
  <c r="BF419" i="2" s="1"/>
  <c r="BI419" i="2"/>
  <c r="BC419" i="2" s="1"/>
  <c r="BH419" i="2"/>
  <c r="BD419" i="2" s="1"/>
  <c r="AY419" i="2"/>
  <c r="AX419" i="2"/>
  <c r="F419" i="2"/>
  <c r="D419" i="2"/>
  <c r="C419" i="2"/>
  <c r="DN418" i="2"/>
  <c r="DI418" i="2" s="1"/>
  <c r="DM418" i="2"/>
  <c r="DL418" i="2"/>
  <c r="DK418" i="2"/>
  <c r="DH418" i="2"/>
  <c r="DF418" i="2"/>
  <c r="DE418" i="2"/>
  <c r="DD418" i="2"/>
  <c r="DB418" i="2"/>
  <c r="CZ418" i="2"/>
  <c r="CX418" i="2"/>
  <c r="BQ418" i="2"/>
  <c r="BP418" i="2"/>
  <c r="BO418" i="2"/>
  <c r="BF418" i="2" s="1"/>
  <c r="BN418" i="2"/>
  <c r="BM418" i="2"/>
  <c r="BG418" i="2" s="1"/>
  <c r="BL418" i="2"/>
  <c r="BD418" i="2" s="1"/>
  <c r="BK418" i="2"/>
  <c r="BJ418" i="2"/>
  <c r="BI418" i="2"/>
  <c r="BE418" i="2" s="1"/>
  <c r="BH418" i="2"/>
  <c r="AY418" i="2" s="1"/>
  <c r="AX418" i="2"/>
  <c r="AV418" i="2"/>
  <c r="F418" i="2"/>
  <c r="D418" i="2"/>
  <c r="C418" i="2"/>
  <c r="DM417" i="2"/>
  <c r="DN417" i="2" s="1"/>
  <c r="DI417" i="2"/>
  <c r="DL417" i="2" s="1"/>
  <c r="BQ417" i="2"/>
  <c r="BP417" i="2"/>
  <c r="BO417" i="2"/>
  <c r="BE417" i="2" s="1"/>
  <c r="BN417" i="2"/>
  <c r="BM417" i="2"/>
  <c r="BG417" i="2" s="1"/>
  <c r="BL417" i="2"/>
  <c r="BK417" i="2"/>
  <c r="BJ417" i="2"/>
  <c r="BI417" i="2"/>
  <c r="BC417" i="2" s="1"/>
  <c r="BH417" i="2"/>
  <c r="BD417" i="2" s="1"/>
  <c r="F417" i="2"/>
  <c r="D417" i="2"/>
  <c r="C417" i="2"/>
  <c r="DN416" i="2"/>
  <c r="DG416" i="2" s="1"/>
  <c r="DM416" i="2"/>
  <c r="DI416" i="2"/>
  <c r="DL416" i="2" s="1"/>
  <c r="DH416" i="2"/>
  <c r="DF416" i="2"/>
  <c r="DD416" i="2"/>
  <c r="CZ416" i="2"/>
  <c r="CX416" i="2"/>
  <c r="BQ416" i="2"/>
  <c r="BP416" i="2"/>
  <c r="BO416" i="2"/>
  <c r="BN416" i="2"/>
  <c r="AZ416" i="2" s="1"/>
  <c r="BM416" i="2"/>
  <c r="BL416" i="2"/>
  <c r="BK416" i="2"/>
  <c r="BJ416" i="2"/>
  <c r="BF416" i="2" s="1"/>
  <c r="BI416" i="2"/>
  <c r="BE416" i="2" s="1"/>
  <c r="BH416" i="2"/>
  <c r="AY416" i="2" s="1"/>
  <c r="AV416" i="2"/>
  <c r="F416" i="2"/>
  <c r="D416" i="2"/>
  <c r="C416" i="2"/>
  <c r="DM415" i="2"/>
  <c r="DN415" i="2" s="1"/>
  <c r="DI415" i="2"/>
  <c r="DL415" i="2" s="1"/>
  <c r="DH415" i="2"/>
  <c r="DG415" i="2"/>
  <c r="BQ415" i="2"/>
  <c r="BP415" i="2"/>
  <c r="BO415" i="2"/>
  <c r="BN415" i="2"/>
  <c r="BM415" i="2"/>
  <c r="BL415" i="2"/>
  <c r="BK415" i="2"/>
  <c r="BF415" i="2" s="1"/>
  <c r="BJ415" i="2"/>
  <c r="BI415" i="2"/>
  <c r="BE415" i="2" s="1"/>
  <c r="BH415" i="2"/>
  <c r="F415" i="2"/>
  <c r="D415" i="2"/>
  <c r="C415" i="2"/>
  <c r="DN414" i="2"/>
  <c r="DE414" i="2" s="1"/>
  <c r="DK414" i="2" s="1"/>
  <c r="DM414" i="2"/>
  <c r="DH414" i="2"/>
  <c r="DG414" i="2"/>
  <c r="DF414" i="2"/>
  <c r="DD414" i="2"/>
  <c r="CX414" i="2"/>
  <c r="BQ414" i="2"/>
  <c r="BP414" i="2"/>
  <c r="BE414" i="2" s="1"/>
  <c r="BO414" i="2"/>
  <c r="BN414" i="2"/>
  <c r="BM414" i="2"/>
  <c r="BG414" i="2" s="1"/>
  <c r="BL414" i="2"/>
  <c r="BK414" i="2"/>
  <c r="BJ414" i="2"/>
  <c r="BI414" i="2"/>
  <c r="BC414" i="2" s="1"/>
  <c r="BH414" i="2"/>
  <c r="BD414" i="2" s="1"/>
  <c r="AZ414" i="2"/>
  <c r="F414" i="2"/>
  <c r="D414" i="2"/>
  <c r="C414" i="2"/>
  <c r="DM413" i="2"/>
  <c r="DN413" i="2" s="1"/>
  <c r="DG413" i="2"/>
  <c r="DF413" i="2"/>
  <c r="BQ413" i="2"/>
  <c r="BP413" i="2"/>
  <c r="BO413" i="2"/>
  <c r="BN413" i="2"/>
  <c r="BM413" i="2"/>
  <c r="BL413" i="2"/>
  <c r="BK413" i="2"/>
  <c r="BJ413" i="2"/>
  <c r="BF413" i="2" s="1"/>
  <c r="BI413" i="2"/>
  <c r="BH413" i="2"/>
  <c r="AX413" i="2" s="1"/>
  <c r="BG413" i="2"/>
  <c r="F413" i="2"/>
  <c r="D413" i="2"/>
  <c r="C413" i="2"/>
  <c r="DN412" i="2"/>
  <c r="DC412" i="2" s="1"/>
  <c r="DM412" i="2"/>
  <c r="DL412" i="2"/>
  <c r="DI412" i="2"/>
  <c r="DH412" i="2"/>
  <c r="DG412" i="2"/>
  <c r="DF412" i="2"/>
  <c r="DE412" i="2"/>
  <c r="DK412" i="2" s="1"/>
  <c r="DD412" i="2"/>
  <c r="DB412" i="2"/>
  <c r="CZ412" i="2"/>
  <c r="CX412" i="2"/>
  <c r="BQ412" i="2"/>
  <c r="BP412" i="2"/>
  <c r="BO412" i="2"/>
  <c r="BN412" i="2"/>
  <c r="BM412" i="2"/>
  <c r="BL412" i="2"/>
  <c r="BK412" i="2"/>
  <c r="BJ412" i="2"/>
  <c r="BI412" i="2"/>
  <c r="BH412" i="2"/>
  <c r="F412" i="2"/>
  <c r="D412" i="2"/>
  <c r="C412" i="2"/>
  <c r="DM411" i="2"/>
  <c r="DN411" i="2" s="1"/>
  <c r="DE411" i="2" s="1"/>
  <c r="DK411" i="2" s="1"/>
  <c r="BQ411" i="2"/>
  <c r="BP411" i="2"/>
  <c r="BO411" i="2"/>
  <c r="BN411" i="2"/>
  <c r="BM411" i="2"/>
  <c r="AV411" i="2" s="1"/>
  <c r="BL411" i="2"/>
  <c r="BK411" i="2"/>
  <c r="BJ411" i="2"/>
  <c r="BF411" i="2" s="1"/>
  <c r="BI411" i="2"/>
  <c r="BH411" i="2"/>
  <c r="BG411" i="2"/>
  <c r="F411" i="2"/>
  <c r="D411" i="2"/>
  <c r="C411" i="2"/>
  <c r="DN410" i="2"/>
  <c r="DA410" i="2" s="1"/>
  <c r="DJ410" i="2" s="1"/>
  <c r="DM410" i="2"/>
  <c r="DH410" i="2"/>
  <c r="DD410" i="2"/>
  <c r="DC410" i="2"/>
  <c r="DB410" i="2"/>
  <c r="CZ410" i="2"/>
  <c r="CX410" i="2"/>
  <c r="BQ410" i="2"/>
  <c r="BP410" i="2"/>
  <c r="BO410" i="2"/>
  <c r="BN410" i="2"/>
  <c r="BM410" i="2"/>
  <c r="BL410" i="2"/>
  <c r="BK410" i="2"/>
  <c r="BJ410" i="2"/>
  <c r="BI410" i="2"/>
  <c r="BE410" i="2" s="1"/>
  <c r="BH410" i="2"/>
  <c r="BG410" i="2" s="1"/>
  <c r="BF410" i="2"/>
  <c r="AZ410" i="2"/>
  <c r="AV410" i="2"/>
  <c r="F410" i="2"/>
  <c r="D410" i="2"/>
  <c r="C410" i="2"/>
  <c r="DM409" i="2"/>
  <c r="DN409" i="2" s="1"/>
  <c r="DC409" i="2" s="1"/>
  <c r="BQ409" i="2"/>
  <c r="BP409" i="2"/>
  <c r="BO409" i="2"/>
  <c r="BN409" i="2"/>
  <c r="BM409" i="2"/>
  <c r="AV409" i="2" s="1"/>
  <c r="BL409" i="2"/>
  <c r="BK409" i="2"/>
  <c r="BC409" i="2" s="1"/>
  <c r="BJ409" i="2"/>
  <c r="BI409" i="2"/>
  <c r="AZ409" i="2" s="1"/>
  <c r="BH409" i="2"/>
  <c r="BD409" i="2" s="1"/>
  <c r="BG409" i="2"/>
  <c r="BF409" i="2"/>
  <c r="BE409" i="2"/>
  <c r="F409" i="2"/>
  <c r="D409" i="2"/>
  <c r="C409" i="2"/>
  <c r="DN408" i="2"/>
  <c r="CY408" i="2" s="1"/>
  <c r="DM408" i="2"/>
  <c r="DH408" i="2"/>
  <c r="DF408" i="2"/>
  <c r="DB408" i="2"/>
  <c r="DA408" i="2"/>
  <c r="DJ408" i="2" s="1"/>
  <c r="CZ408" i="2"/>
  <c r="CX408" i="2"/>
  <c r="BQ408" i="2"/>
  <c r="BP408" i="2"/>
  <c r="BO408" i="2"/>
  <c r="BN408" i="2"/>
  <c r="BM408" i="2"/>
  <c r="AV408" i="2" s="1"/>
  <c r="BL408" i="2"/>
  <c r="BK408" i="2"/>
  <c r="BJ408" i="2"/>
  <c r="BI408" i="2"/>
  <c r="BC408" i="2" s="1"/>
  <c r="BH408" i="2"/>
  <c r="AY408" i="2" s="1"/>
  <c r="BF408" i="2"/>
  <c r="BE408" i="2"/>
  <c r="BD408" i="2"/>
  <c r="AZ408" i="2"/>
  <c r="AX408" i="2"/>
  <c r="AW408" i="2" s="1"/>
  <c r="F408" i="2"/>
  <c r="D408" i="2"/>
  <c r="C408" i="2"/>
  <c r="DM407" i="2"/>
  <c r="DN407" i="2" s="1"/>
  <c r="DG407" i="2"/>
  <c r="BQ407" i="2"/>
  <c r="BP407" i="2"/>
  <c r="BO407" i="2"/>
  <c r="BN407" i="2"/>
  <c r="BM407" i="2"/>
  <c r="AV407" i="2" s="1"/>
  <c r="BL407" i="2"/>
  <c r="BK407" i="2"/>
  <c r="BJ407" i="2"/>
  <c r="BI407" i="2"/>
  <c r="AZ407" i="2" s="1"/>
  <c r="BH407" i="2"/>
  <c r="AX407" i="2" s="1"/>
  <c r="BE407" i="2"/>
  <c r="BD407" i="2"/>
  <c r="BC407" i="2"/>
  <c r="F407" i="2"/>
  <c r="D407" i="2"/>
  <c r="C407" i="2"/>
  <c r="DN406" i="2"/>
  <c r="DM406" i="2"/>
  <c r="BQ406" i="2"/>
  <c r="BP406" i="2"/>
  <c r="BO406" i="2"/>
  <c r="BN406" i="2"/>
  <c r="BM406" i="2"/>
  <c r="BG406" i="2" s="1"/>
  <c r="BL406" i="2"/>
  <c r="BK406" i="2"/>
  <c r="BJ406" i="2"/>
  <c r="BI406" i="2"/>
  <c r="BE406" i="2" s="1"/>
  <c r="BH406" i="2"/>
  <c r="AY406" i="2" s="1"/>
  <c r="BD406" i="2"/>
  <c r="BC406" i="2"/>
  <c r="AZ406" i="2"/>
  <c r="F406" i="2"/>
  <c r="D406" i="2"/>
  <c r="C406" i="2"/>
  <c r="DM405" i="2"/>
  <c r="DN405" i="2" s="1"/>
  <c r="BQ405" i="2"/>
  <c r="BP405" i="2"/>
  <c r="BO405" i="2"/>
  <c r="BN405" i="2"/>
  <c r="BM405" i="2"/>
  <c r="BL405" i="2"/>
  <c r="BK405" i="2"/>
  <c r="BJ405" i="2"/>
  <c r="BF405" i="2" s="1"/>
  <c r="BI405" i="2"/>
  <c r="BE405" i="2" s="1"/>
  <c r="BH405" i="2"/>
  <c r="AX405" i="2" s="1"/>
  <c r="BC405" i="2"/>
  <c r="AZ405" i="2"/>
  <c r="F405" i="2"/>
  <c r="D405" i="2"/>
  <c r="C405" i="2"/>
  <c r="DN404" i="2"/>
  <c r="DM404" i="2"/>
  <c r="BQ404" i="2"/>
  <c r="BP404" i="2"/>
  <c r="BF404" i="2" s="1"/>
  <c r="BO404" i="2"/>
  <c r="BN404" i="2"/>
  <c r="BM404" i="2"/>
  <c r="BL404" i="2"/>
  <c r="BK404" i="2"/>
  <c r="BJ404" i="2"/>
  <c r="BI404" i="2"/>
  <c r="BH404" i="2"/>
  <c r="AZ404" i="2"/>
  <c r="AV404" i="2"/>
  <c r="F404" i="2"/>
  <c r="D404" i="2"/>
  <c r="C404" i="2"/>
  <c r="DM403" i="2"/>
  <c r="DN403" i="2" s="1"/>
  <c r="DI403" i="2" s="1"/>
  <c r="DL403" i="2" s="1"/>
  <c r="BQ403" i="2"/>
  <c r="BE403" i="2" s="1"/>
  <c r="BP403" i="2"/>
  <c r="BO403" i="2"/>
  <c r="BN403" i="2"/>
  <c r="BM403" i="2"/>
  <c r="AV403" i="2" s="1"/>
  <c r="BL403" i="2"/>
  <c r="BK403" i="2"/>
  <c r="AY403" i="2" s="1"/>
  <c r="BJ403" i="2"/>
  <c r="BF403" i="2" s="1"/>
  <c r="BI403" i="2"/>
  <c r="BH403" i="2"/>
  <c r="AX403" i="2"/>
  <c r="F403" i="2"/>
  <c r="D403" i="2"/>
  <c r="C403" i="2"/>
  <c r="DN402" i="2"/>
  <c r="DI402" i="2" s="1"/>
  <c r="DL402" i="2" s="1"/>
  <c r="DM402" i="2"/>
  <c r="DK402" i="2"/>
  <c r="DH402" i="2"/>
  <c r="DF402" i="2"/>
  <c r="DE402" i="2"/>
  <c r="DD402" i="2"/>
  <c r="DB402" i="2"/>
  <c r="CZ402" i="2"/>
  <c r="CX402" i="2"/>
  <c r="BQ402" i="2"/>
  <c r="BP402" i="2"/>
  <c r="BO402" i="2"/>
  <c r="BN402" i="2"/>
  <c r="BM402" i="2"/>
  <c r="BG402" i="2" s="1"/>
  <c r="BL402" i="2"/>
  <c r="BK402" i="2"/>
  <c r="BJ402" i="2"/>
  <c r="BI402" i="2"/>
  <c r="BE402" i="2" s="1"/>
  <c r="BH402" i="2"/>
  <c r="BF402" i="2"/>
  <c r="BD402" i="2"/>
  <c r="AX402" i="2"/>
  <c r="AV402" i="2"/>
  <c r="F402" i="2"/>
  <c r="D402" i="2"/>
  <c r="C402" i="2"/>
  <c r="DM401" i="2"/>
  <c r="DN401" i="2" s="1"/>
  <c r="DG401" i="2" s="1"/>
  <c r="DK401" i="2"/>
  <c r="DI401" i="2"/>
  <c r="DL401" i="2" s="1"/>
  <c r="DE401" i="2"/>
  <c r="DA401" i="2"/>
  <c r="DJ401" i="2" s="1"/>
  <c r="CY401" i="2"/>
  <c r="BQ401" i="2"/>
  <c r="BP401" i="2"/>
  <c r="BO401" i="2"/>
  <c r="BE401" i="2" s="1"/>
  <c r="BN401" i="2"/>
  <c r="BC401" i="2" s="1"/>
  <c r="BM401" i="2"/>
  <c r="BG401" i="2" s="1"/>
  <c r="BL401" i="2"/>
  <c r="BK401" i="2"/>
  <c r="BJ401" i="2"/>
  <c r="BI401" i="2"/>
  <c r="BH401" i="2"/>
  <c r="BD401" i="2" s="1"/>
  <c r="AV401" i="2"/>
  <c r="F401" i="2"/>
  <c r="D401" i="2"/>
  <c r="C401" i="2"/>
  <c r="DN400" i="2"/>
  <c r="DI400" i="2" s="1"/>
  <c r="DL400" i="2" s="1"/>
  <c r="DM400" i="2"/>
  <c r="CZ400" i="2"/>
  <c r="BQ400" i="2"/>
  <c r="BP400" i="2"/>
  <c r="BO400" i="2"/>
  <c r="BN400" i="2"/>
  <c r="AZ400" i="2" s="1"/>
  <c r="BM400" i="2"/>
  <c r="BG400" i="2" s="1"/>
  <c r="BL400" i="2"/>
  <c r="BK400" i="2"/>
  <c r="BJ400" i="2"/>
  <c r="BF400" i="2" s="1"/>
  <c r="BI400" i="2"/>
  <c r="BE400" i="2" s="1"/>
  <c r="BH400" i="2"/>
  <c r="F400" i="2"/>
  <c r="D400" i="2"/>
  <c r="C400" i="2"/>
  <c r="DM399" i="2"/>
  <c r="DN399" i="2" s="1"/>
  <c r="DI399" i="2"/>
  <c r="DL399" i="2" s="1"/>
  <c r="DH399" i="2"/>
  <c r="DG399" i="2"/>
  <c r="DE399" i="2"/>
  <c r="DK399" i="2" s="1"/>
  <c r="DC399" i="2"/>
  <c r="BQ399" i="2"/>
  <c r="BP399" i="2"/>
  <c r="BO399" i="2"/>
  <c r="BN399" i="2"/>
  <c r="BM399" i="2"/>
  <c r="AV399" i="2" s="1"/>
  <c r="BL399" i="2"/>
  <c r="BK399" i="2"/>
  <c r="BF399" i="2" s="1"/>
  <c r="BJ399" i="2"/>
  <c r="BI399" i="2"/>
  <c r="BH399" i="2"/>
  <c r="BC399" i="2"/>
  <c r="F399" i="2"/>
  <c r="D399" i="2"/>
  <c r="C399" i="2"/>
  <c r="DN398" i="2"/>
  <c r="DM398" i="2"/>
  <c r="DH398" i="2"/>
  <c r="DG398" i="2"/>
  <c r="DF398" i="2"/>
  <c r="DD398" i="2"/>
  <c r="DB398" i="2"/>
  <c r="CX398" i="2"/>
  <c r="BQ398" i="2"/>
  <c r="BP398" i="2"/>
  <c r="BO398" i="2"/>
  <c r="BN398" i="2"/>
  <c r="BM398" i="2"/>
  <c r="BG398" i="2" s="1"/>
  <c r="BL398" i="2"/>
  <c r="BK398" i="2"/>
  <c r="BJ398" i="2"/>
  <c r="BI398" i="2"/>
  <c r="BH398" i="2"/>
  <c r="AZ398" i="2"/>
  <c r="AX398" i="2"/>
  <c r="F398" i="2"/>
  <c r="D398" i="2"/>
  <c r="C398" i="2"/>
  <c r="DM397" i="2"/>
  <c r="DN397" i="2" s="1"/>
  <c r="DG397" i="2" s="1"/>
  <c r="DI397" i="2"/>
  <c r="DL397" i="2" s="1"/>
  <c r="BQ397" i="2"/>
  <c r="BG397" i="2" s="1"/>
  <c r="BP397" i="2"/>
  <c r="BO397" i="2"/>
  <c r="BN397" i="2"/>
  <c r="BM397" i="2"/>
  <c r="BL397" i="2"/>
  <c r="BK397" i="2"/>
  <c r="BJ397" i="2"/>
  <c r="BF397" i="2" s="1"/>
  <c r="BI397" i="2"/>
  <c r="BE397" i="2" s="1"/>
  <c r="BH397" i="2"/>
  <c r="AX397" i="2" s="1"/>
  <c r="F397" i="2"/>
  <c r="D397" i="2"/>
  <c r="C397" i="2"/>
  <c r="DN396" i="2"/>
  <c r="DC396" i="2" s="1"/>
  <c r="DM396" i="2"/>
  <c r="DH396" i="2"/>
  <c r="DG396" i="2"/>
  <c r="DF396" i="2"/>
  <c r="DE396" i="2"/>
  <c r="DK396" i="2" s="1"/>
  <c r="DD396" i="2"/>
  <c r="DB396" i="2"/>
  <c r="CZ396" i="2"/>
  <c r="CX396" i="2"/>
  <c r="BQ396" i="2"/>
  <c r="BP396" i="2"/>
  <c r="BO396" i="2"/>
  <c r="BN396" i="2"/>
  <c r="BM396" i="2"/>
  <c r="BL396" i="2"/>
  <c r="BK396" i="2"/>
  <c r="BJ396" i="2"/>
  <c r="BF396" i="2" s="1"/>
  <c r="BI396" i="2"/>
  <c r="BH396" i="2"/>
  <c r="BD396" i="2" s="1"/>
  <c r="F396" i="2"/>
  <c r="D396" i="2"/>
  <c r="C396" i="2"/>
  <c r="DM395" i="2"/>
  <c r="DN395" i="2" s="1"/>
  <c r="BQ395" i="2"/>
  <c r="BP395" i="2"/>
  <c r="BO395" i="2"/>
  <c r="BN395" i="2"/>
  <c r="BM395" i="2"/>
  <c r="AV395" i="2" s="1"/>
  <c r="BL395" i="2"/>
  <c r="BK395" i="2"/>
  <c r="BJ395" i="2"/>
  <c r="BF395" i="2" s="1"/>
  <c r="BI395" i="2"/>
  <c r="BH395" i="2"/>
  <c r="BG395" i="2"/>
  <c r="F395" i="2"/>
  <c r="D395" i="2"/>
  <c r="C395" i="2"/>
  <c r="DN394" i="2"/>
  <c r="DM394" i="2"/>
  <c r="DH394" i="2"/>
  <c r="DF394" i="2"/>
  <c r="DD394" i="2"/>
  <c r="DC394" i="2"/>
  <c r="CZ394" i="2"/>
  <c r="BQ394" i="2"/>
  <c r="BP394" i="2"/>
  <c r="BO394" i="2"/>
  <c r="BN394" i="2"/>
  <c r="AZ394" i="2" s="1"/>
  <c r="BM394" i="2"/>
  <c r="BL394" i="2"/>
  <c r="BK394" i="2"/>
  <c r="BJ394" i="2"/>
  <c r="BI394" i="2"/>
  <c r="BH394" i="2"/>
  <c r="BF394" i="2"/>
  <c r="AV394" i="2"/>
  <c r="F394" i="2"/>
  <c r="D394" i="2"/>
  <c r="C394" i="2"/>
  <c r="DM393" i="2"/>
  <c r="DN393" i="2" s="1"/>
  <c r="DI393" i="2" s="1"/>
  <c r="DL393" i="2" s="1"/>
  <c r="DG393" i="2"/>
  <c r="DE393" i="2"/>
  <c r="DK393" i="2" s="1"/>
  <c r="DC393" i="2"/>
  <c r="DB393" i="2"/>
  <c r="DA393" i="2"/>
  <c r="DJ393" i="2" s="1"/>
  <c r="BQ393" i="2"/>
  <c r="BE393" i="2" s="1"/>
  <c r="BP393" i="2"/>
  <c r="BO393" i="2"/>
  <c r="BN393" i="2"/>
  <c r="BM393" i="2"/>
  <c r="AV393" i="2" s="1"/>
  <c r="BL393" i="2"/>
  <c r="BK393" i="2"/>
  <c r="AY393" i="2" s="1"/>
  <c r="BJ393" i="2"/>
  <c r="BI393" i="2"/>
  <c r="AZ393" i="2" s="1"/>
  <c r="BH393" i="2"/>
  <c r="BF393" i="2"/>
  <c r="BC393" i="2"/>
  <c r="F393" i="2"/>
  <c r="D393" i="2"/>
  <c r="C393" i="2"/>
  <c r="DN392" i="2"/>
  <c r="DG392" i="2" s="1"/>
  <c r="DM392" i="2"/>
  <c r="DH392" i="2"/>
  <c r="DF392" i="2"/>
  <c r="DD392" i="2"/>
  <c r="DB392" i="2"/>
  <c r="DA392" i="2"/>
  <c r="DJ392" i="2" s="1"/>
  <c r="CZ392" i="2"/>
  <c r="BQ392" i="2"/>
  <c r="BP392" i="2"/>
  <c r="BO392" i="2"/>
  <c r="BN392" i="2"/>
  <c r="BM392" i="2"/>
  <c r="AV392" i="2" s="1"/>
  <c r="BL392" i="2"/>
  <c r="BK392" i="2"/>
  <c r="BD392" i="2" s="1"/>
  <c r="BJ392" i="2"/>
  <c r="BI392" i="2"/>
  <c r="BH392" i="2"/>
  <c r="BF392" i="2"/>
  <c r="BE392" i="2"/>
  <c r="AZ392" i="2"/>
  <c r="AX392" i="2"/>
  <c r="F392" i="2"/>
  <c r="D392" i="2"/>
  <c r="C392" i="2"/>
  <c r="DM391" i="2"/>
  <c r="DN391" i="2" s="1"/>
  <c r="DC391" i="2"/>
  <c r="BQ391" i="2"/>
  <c r="BG391" i="2" s="1"/>
  <c r="BP391" i="2"/>
  <c r="BO391" i="2"/>
  <c r="BN391" i="2"/>
  <c r="BM391" i="2"/>
  <c r="BL391" i="2"/>
  <c r="BK391" i="2"/>
  <c r="AY391" i="2" s="1"/>
  <c r="BJ391" i="2"/>
  <c r="BI391" i="2"/>
  <c r="AZ391" i="2" s="1"/>
  <c r="BH391" i="2"/>
  <c r="AX391" i="2" s="1"/>
  <c r="F391" i="2"/>
  <c r="D391" i="2"/>
  <c r="C391" i="2"/>
  <c r="DN390" i="2"/>
  <c r="DC390" i="2" s="1"/>
  <c r="DM390" i="2"/>
  <c r="DA390" i="2"/>
  <c r="DJ390" i="2" s="1"/>
  <c r="BQ390" i="2"/>
  <c r="BP390" i="2"/>
  <c r="BE390" i="2" s="1"/>
  <c r="BO390" i="2"/>
  <c r="BN390" i="2"/>
  <c r="BC390" i="2" s="1"/>
  <c r="BM390" i="2"/>
  <c r="BL390" i="2"/>
  <c r="BK390" i="2"/>
  <c r="BJ390" i="2"/>
  <c r="BF390" i="2" s="1"/>
  <c r="BI390" i="2"/>
  <c r="BH390" i="2"/>
  <c r="BD390" i="2"/>
  <c r="AZ390" i="2"/>
  <c r="AX390" i="2"/>
  <c r="F390" i="2"/>
  <c r="D390" i="2"/>
  <c r="C390" i="2"/>
  <c r="DN389" i="2"/>
  <c r="DD389" i="2" s="1"/>
  <c r="DM389" i="2"/>
  <c r="DE389" i="2"/>
  <c r="DK389" i="2" s="1"/>
  <c r="CZ389" i="2"/>
  <c r="BQ389" i="2"/>
  <c r="BP389" i="2"/>
  <c r="BO389" i="2"/>
  <c r="BN389" i="2"/>
  <c r="BM389" i="2"/>
  <c r="BL389" i="2"/>
  <c r="BK389" i="2"/>
  <c r="BJ389" i="2"/>
  <c r="BF389" i="2" s="1"/>
  <c r="BI389" i="2"/>
  <c r="BH389" i="2"/>
  <c r="AX389" i="2" s="1"/>
  <c r="BG389" i="2"/>
  <c r="BD389" i="2"/>
  <c r="F389" i="2"/>
  <c r="D389" i="2"/>
  <c r="C389" i="2"/>
  <c r="DN388" i="2"/>
  <c r="DM388" i="2"/>
  <c r="BQ388" i="2"/>
  <c r="BP388" i="2"/>
  <c r="BO388" i="2"/>
  <c r="BN388" i="2"/>
  <c r="BM388" i="2"/>
  <c r="BL388" i="2"/>
  <c r="BK388" i="2"/>
  <c r="BJ388" i="2"/>
  <c r="BF388" i="2" s="1"/>
  <c r="BI388" i="2"/>
  <c r="BE388" i="2" s="1"/>
  <c r="BH388" i="2"/>
  <c r="AX388" i="2" s="1"/>
  <c r="AZ388" i="2"/>
  <c r="AY388" i="2"/>
  <c r="AV388" i="2"/>
  <c r="F388" i="2"/>
  <c r="D388" i="2"/>
  <c r="C388" i="2"/>
  <c r="DN387" i="2"/>
  <c r="DG387" i="2" s="1"/>
  <c r="DM387" i="2"/>
  <c r="DI387" i="2"/>
  <c r="DL387" i="2" s="1"/>
  <c r="DH387" i="2"/>
  <c r="DF387" i="2"/>
  <c r="DE387" i="2"/>
  <c r="DK387" i="2" s="1"/>
  <c r="DC387" i="2"/>
  <c r="DA387" i="2"/>
  <c r="DJ387" i="2" s="1"/>
  <c r="CY387" i="2"/>
  <c r="BQ387" i="2"/>
  <c r="BP387" i="2"/>
  <c r="BO387" i="2"/>
  <c r="BN387" i="2"/>
  <c r="BM387" i="2"/>
  <c r="AV387" i="2" s="1"/>
  <c r="BL387" i="2"/>
  <c r="BK387" i="2"/>
  <c r="BJ387" i="2"/>
  <c r="BF387" i="2" s="1"/>
  <c r="BI387" i="2"/>
  <c r="AZ387" i="2" s="1"/>
  <c r="BH387" i="2"/>
  <c r="BG387" i="2"/>
  <c r="BE387" i="2"/>
  <c r="BC387" i="2"/>
  <c r="AX387" i="2"/>
  <c r="F387" i="2"/>
  <c r="D387" i="2"/>
  <c r="C387" i="2"/>
  <c r="A387" i="2"/>
  <c r="DN386" i="2"/>
  <c r="DD386" i="2" s="1"/>
  <c r="DM386" i="2"/>
  <c r="DF386" i="2"/>
  <c r="DE386" i="2"/>
  <c r="DK386" i="2" s="1"/>
  <c r="DC386" i="2"/>
  <c r="CZ386" i="2"/>
  <c r="CX386" i="2"/>
  <c r="BQ386" i="2"/>
  <c r="BP386" i="2"/>
  <c r="BO386" i="2"/>
  <c r="BN386" i="2"/>
  <c r="BM386" i="2"/>
  <c r="BL386" i="2"/>
  <c r="BK386" i="2"/>
  <c r="BJ386" i="2"/>
  <c r="BF386" i="2" s="1"/>
  <c r="BI386" i="2"/>
  <c r="BH386" i="2"/>
  <c r="BG386" i="2"/>
  <c r="BD386" i="2"/>
  <c r="AX386" i="2"/>
  <c r="F386" i="2"/>
  <c r="D386" i="2"/>
  <c r="C386" i="2"/>
  <c r="DM385" i="2"/>
  <c r="DN385" i="2" s="1"/>
  <c r="DD385" i="2"/>
  <c r="BQ385" i="2"/>
  <c r="BP385" i="2"/>
  <c r="BO385" i="2"/>
  <c r="BF385" i="2" s="1"/>
  <c r="BN385" i="2"/>
  <c r="BM385" i="2"/>
  <c r="BL385" i="2"/>
  <c r="BK385" i="2"/>
  <c r="BJ385" i="2"/>
  <c r="BI385" i="2"/>
  <c r="BH385" i="2"/>
  <c r="BC385" i="2"/>
  <c r="F385" i="2"/>
  <c r="D385" i="2"/>
  <c r="C385" i="2"/>
  <c r="DN384" i="2"/>
  <c r="DB384" i="2" s="1"/>
  <c r="DM384" i="2"/>
  <c r="DC384" i="2"/>
  <c r="CX384" i="2"/>
  <c r="BQ384" i="2"/>
  <c r="BP384" i="2"/>
  <c r="BF384" i="2" s="1"/>
  <c r="BO384" i="2"/>
  <c r="BN384" i="2"/>
  <c r="BM384" i="2"/>
  <c r="BL384" i="2"/>
  <c r="BK384" i="2"/>
  <c r="BJ384" i="2"/>
  <c r="BI384" i="2"/>
  <c r="BC384" i="2" s="1"/>
  <c r="BH384" i="2"/>
  <c r="BE384" i="2" s="1"/>
  <c r="BG384" i="2"/>
  <c r="AZ384" i="2"/>
  <c r="AV384" i="2"/>
  <c r="F384" i="2"/>
  <c r="D384" i="2"/>
  <c r="C384" i="2"/>
  <c r="DM383" i="2"/>
  <c r="DN383" i="2" s="1"/>
  <c r="DB383" i="2" s="1"/>
  <c r="BQ383" i="2"/>
  <c r="BE383" i="2" s="1"/>
  <c r="BP383" i="2"/>
  <c r="BO383" i="2"/>
  <c r="BN383" i="2"/>
  <c r="BM383" i="2"/>
  <c r="BD383" i="2" s="1"/>
  <c r="BL383" i="2"/>
  <c r="BK383" i="2"/>
  <c r="BC383" i="2" s="1"/>
  <c r="BJ383" i="2"/>
  <c r="BI383" i="2"/>
  <c r="AZ383" i="2" s="1"/>
  <c r="BH383" i="2"/>
  <c r="AX383" i="2" s="1"/>
  <c r="BF383" i="2"/>
  <c r="F383" i="2"/>
  <c r="D383" i="2"/>
  <c r="C383" i="2"/>
  <c r="DN382" i="2"/>
  <c r="CZ382" i="2" s="1"/>
  <c r="DM382" i="2"/>
  <c r="DH382" i="2"/>
  <c r="DG382" i="2"/>
  <c r="DF382" i="2"/>
  <c r="DB382" i="2"/>
  <c r="DA382" i="2"/>
  <c r="DJ382" i="2" s="1"/>
  <c r="CY382" i="2"/>
  <c r="CX382" i="2"/>
  <c r="BQ382" i="2"/>
  <c r="BP382" i="2"/>
  <c r="BO382" i="2"/>
  <c r="BN382" i="2"/>
  <c r="AZ382" i="2" s="1"/>
  <c r="BM382" i="2"/>
  <c r="BD382" i="2" s="1"/>
  <c r="BL382" i="2"/>
  <c r="BK382" i="2"/>
  <c r="BJ382" i="2"/>
  <c r="BC382" i="2" s="1"/>
  <c r="BI382" i="2"/>
  <c r="BH382" i="2"/>
  <c r="AY382" i="2" s="1"/>
  <c r="BE382" i="2"/>
  <c r="AX382" i="2"/>
  <c r="F382" i="2"/>
  <c r="D382" i="2"/>
  <c r="C382" i="2"/>
  <c r="DN381" i="2"/>
  <c r="CY381" i="2" s="1"/>
  <c r="DM381" i="2"/>
  <c r="DI381" i="2"/>
  <c r="DL381" i="2" s="1"/>
  <c r="DG381" i="2"/>
  <c r="DE381" i="2"/>
  <c r="DK381" i="2" s="1"/>
  <c r="DA381" i="2"/>
  <c r="DJ381" i="2" s="1"/>
  <c r="CZ381" i="2"/>
  <c r="CX381" i="2"/>
  <c r="BQ381" i="2"/>
  <c r="BP381" i="2"/>
  <c r="BO381" i="2"/>
  <c r="BN381" i="2"/>
  <c r="BM381" i="2"/>
  <c r="AV381" i="2" s="1"/>
  <c r="BL381" i="2"/>
  <c r="BK381" i="2"/>
  <c r="BJ381" i="2"/>
  <c r="BF381" i="2" s="1"/>
  <c r="BI381" i="2"/>
  <c r="BC381" i="2" s="1"/>
  <c r="BH381" i="2"/>
  <c r="AX381" i="2" s="1"/>
  <c r="BD381" i="2"/>
  <c r="F381" i="2"/>
  <c r="D381" i="2"/>
  <c r="C381" i="2"/>
  <c r="DM380" i="2"/>
  <c r="DN380" i="2" s="1"/>
  <c r="CY380" i="2" s="1"/>
  <c r="BQ380" i="2"/>
  <c r="BP380" i="2"/>
  <c r="BO380" i="2"/>
  <c r="BN380" i="2"/>
  <c r="BM380" i="2"/>
  <c r="BG380" i="2" s="1"/>
  <c r="BL380" i="2"/>
  <c r="BK380" i="2"/>
  <c r="BJ380" i="2"/>
  <c r="AV380" i="2" s="1"/>
  <c r="BI380" i="2"/>
  <c r="AZ380" i="2" s="1"/>
  <c r="BH380" i="2"/>
  <c r="AY380" i="2" s="1"/>
  <c r="BC380" i="2"/>
  <c r="F380" i="2"/>
  <c r="D380" i="2"/>
  <c r="C380" i="2"/>
  <c r="DN379" i="2"/>
  <c r="CX379" i="2" s="1"/>
  <c r="DM379" i="2"/>
  <c r="BQ379" i="2"/>
  <c r="BP379" i="2"/>
  <c r="BO379" i="2"/>
  <c r="BN379" i="2"/>
  <c r="BM379" i="2"/>
  <c r="AV379" i="2" s="1"/>
  <c r="BL379" i="2"/>
  <c r="BK379" i="2"/>
  <c r="BJ379" i="2"/>
  <c r="BF379" i="2" s="1"/>
  <c r="BI379" i="2"/>
  <c r="BE379" i="2" s="1"/>
  <c r="BH379" i="2"/>
  <c r="AY379" i="2" s="1"/>
  <c r="AZ379" i="2"/>
  <c r="AX379" i="2"/>
  <c r="F379" i="2"/>
  <c r="D379" i="2"/>
  <c r="C379" i="2"/>
  <c r="DM378" i="2"/>
  <c r="DN378" i="2" s="1"/>
  <c r="BQ378" i="2"/>
  <c r="BP378" i="2"/>
  <c r="BO378" i="2"/>
  <c r="BN378" i="2"/>
  <c r="BM378" i="2"/>
  <c r="BL378" i="2"/>
  <c r="BK378" i="2"/>
  <c r="BJ378" i="2"/>
  <c r="AV378" i="2" s="1"/>
  <c r="BI378" i="2"/>
  <c r="BH378" i="2"/>
  <c r="AX378" i="2" s="1"/>
  <c r="AZ378" i="2"/>
  <c r="AY378" i="2"/>
  <c r="F378" i="2"/>
  <c r="D378" i="2"/>
  <c r="C378" i="2"/>
  <c r="DM377" i="2"/>
  <c r="DN377" i="2" s="1"/>
  <c r="BQ377" i="2"/>
  <c r="BP377" i="2"/>
  <c r="BF377" i="2" s="1"/>
  <c r="BO377" i="2"/>
  <c r="BN377" i="2"/>
  <c r="BM377" i="2"/>
  <c r="AV377" i="2" s="1"/>
  <c r="BL377" i="2"/>
  <c r="BK377" i="2"/>
  <c r="BJ377" i="2"/>
  <c r="BI377" i="2"/>
  <c r="BE377" i="2" s="1"/>
  <c r="BH377" i="2"/>
  <c r="BD377" i="2" s="1"/>
  <c r="BG377" i="2"/>
  <c r="AX377" i="2"/>
  <c r="F377" i="2"/>
  <c r="D377" i="2"/>
  <c r="C377" i="2"/>
  <c r="DM376" i="2"/>
  <c r="DN376" i="2" s="1"/>
  <c r="BQ376" i="2"/>
  <c r="BP376" i="2"/>
  <c r="BE376" i="2" s="1"/>
  <c r="BO376" i="2"/>
  <c r="BN376" i="2"/>
  <c r="BM376" i="2"/>
  <c r="AV376" i="2" s="1"/>
  <c r="BL376" i="2"/>
  <c r="BK376" i="2"/>
  <c r="BJ376" i="2"/>
  <c r="BF376" i="2" s="1"/>
  <c r="BI376" i="2"/>
  <c r="BC376" i="2" s="1"/>
  <c r="BH376" i="2"/>
  <c r="BD376" i="2" s="1"/>
  <c r="F376" i="2"/>
  <c r="D376" i="2"/>
  <c r="C376" i="2"/>
  <c r="DM375" i="2"/>
  <c r="DN375" i="2" s="1"/>
  <c r="BQ375" i="2"/>
  <c r="BP375" i="2"/>
  <c r="BO375" i="2"/>
  <c r="BF375" i="2" s="1"/>
  <c r="BN375" i="2"/>
  <c r="BM375" i="2"/>
  <c r="BD375" i="2" s="1"/>
  <c r="BL375" i="2"/>
  <c r="BK375" i="2"/>
  <c r="BJ375" i="2"/>
  <c r="BI375" i="2"/>
  <c r="BE375" i="2" s="1"/>
  <c r="BH375" i="2"/>
  <c r="AY375" i="2" s="1"/>
  <c r="BG375" i="2"/>
  <c r="AV375" i="2"/>
  <c r="F375" i="2"/>
  <c r="D375" i="2"/>
  <c r="C375" i="2"/>
  <c r="DN374" i="2"/>
  <c r="DH374" i="2" s="1"/>
  <c r="DM374" i="2"/>
  <c r="DI374" i="2"/>
  <c r="DL374" i="2" s="1"/>
  <c r="DG374" i="2"/>
  <c r="DD374" i="2"/>
  <c r="DB374" i="2"/>
  <c r="CZ374" i="2"/>
  <c r="CX374" i="2"/>
  <c r="BQ374" i="2"/>
  <c r="BP374" i="2"/>
  <c r="BO374" i="2"/>
  <c r="BN374" i="2"/>
  <c r="BC374" i="2" s="1"/>
  <c r="BM374" i="2"/>
  <c r="BL374" i="2"/>
  <c r="BK374" i="2"/>
  <c r="BF374" i="2" s="1"/>
  <c r="BJ374" i="2"/>
  <c r="BI374" i="2"/>
  <c r="BH374" i="2"/>
  <c r="BE374" i="2" s="1"/>
  <c r="AZ374" i="2"/>
  <c r="F374" i="2"/>
  <c r="D374" i="2"/>
  <c r="C374" i="2"/>
  <c r="DM373" i="2"/>
  <c r="DN373" i="2" s="1"/>
  <c r="DH373" i="2"/>
  <c r="BQ373" i="2"/>
  <c r="BP373" i="2"/>
  <c r="BO373" i="2"/>
  <c r="BN373" i="2"/>
  <c r="BM373" i="2"/>
  <c r="BL373" i="2"/>
  <c r="AY373" i="2" s="1"/>
  <c r="BK373" i="2"/>
  <c r="BJ373" i="2"/>
  <c r="BF373" i="2" s="1"/>
  <c r="BI373" i="2"/>
  <c r="AZ373" i="2" s="1"/>
  <c r="BH373" i="2"/>
  <c r="AX373" i="2" s="1"/>
  <c r="BG373" i="2"/>
  <c r="BE373" i="2"/>
  <c r="BC373" i="2"/>
  <c r="F373" i="2"/>
  <c r="D373" i="2"/>
  <c r="C373" i="2"/>
  <c r="DN372" i="2"/>
  <c r="DF372" i="2" s="1"/>
  <c r="DM372" i="2"/>
  <c r="DG372" i="2"/>
  <c r="DB372" i="2"/>
  <c r="CX372" i="2"/>
  <c r="BQ372" i="2"/>
  <c r="BP372" i="2"/>
  <c r="BO372" i="2"/>
  <c r="BN372" i="2"/>
  <c r="BM372" i="2"/>
  <c r="BG372" i="2" s="1"/>
  <c r="BL372" i="2"/>
  <c r="BD372" i="2" s="1"/>
  <c r="BK372" i="2"/>
  <c r="BF372" i="2" s="1"/>
  <c r="BJ372" i="2"/>
  <c r="BI372" i="2"/>
  <c r="BE372" i="2" s="1"/>
  <c r="BH372" i="2"/>
  <c r="AY372" i="2" s="1"/>
  <c r="AZ372" i="2"/>
  <c r="AX372" i="2"/>
  <c r="F372" i="2"/>
  <c r="D372" i="2"/>
  <c r="C372" i="2"/>
  <c r="DM371" i="2"/>
  <c r="DN371" i="2" s="1"/>
  <c r="DF371" i="2"/>
  <c r="BQ371" i="2"/>
  <c r="BP371" i="2"/>
  <c r="BO371" i="2"/>
  <c r="BN371" i="2"/>
  <c r="BM371" i="2"/>
  <c r="BL371" i="2"/>
  <c r="BK371" i="2"/>
  <c r="BJ371" i="2"/>
  <c r="BF371" i="2" s="1"/>
  <c r="BI371" i="2"/>
  <c r="AZ371" i="2" s="1"/>
  <c r="BH371" i="2"/>
  <c r="BG371" i="2" s="1"/>
  <c r="BE371" i="2"/>
  <c r="AY371" i="2"/>
  <c r="F371" i="2"/>
  <c r="D371" i="2"/>
  <c r="C371" i="2"/>
  <c r="DN370" i="2"/>
  <c r="DD370" i="2" s="1"/>
  <c r="DM370" i="2"/>
  <c r="DF370" i="2"/>
  <c r="DE370" i="2"/>
  <c r="DK370" i="2" s="1"/>
  <c r="DC370" i="2"/>
  <c r="CZ370" i="2"/>
  <c r="CX370" i="2"/>
  <c r="BQ370" i="2"/>
  <c r="BP370" i="2"/>
  <c r="BO370" i="2"/>
  <c r="BN370" i="2"/>
  <c r="BM370" i="2"/>
  <c r="BL370" i="2"/>
  <c r="BK370" i="2"/>
  <c r="BJ370" i="2"/>
  <c r="BF370" i="2" s="1"/>
  <c r="BI370" i="2"/>
  <c r="BH370" i="2"/>
  <c r="BG370" i="2"/>
  <c r="BD370" i="2"/>
  <c r="AX370" i="2"/>
  <c r="F370" i="2"/>
  <c r="D370" i="2"/>
  <c r="C370" i="2"/>
  <c r="DM369" i="2"/>
  <c r="DN369" i="2" s="1"/>
  <c r="DD369" i="2" s="1"/>
  <c r="BQ369" i="2"/>
  <c r="BP369" i="2"/>
  <c r="BO369" i="2"/>
  <c r="BF369" i="2" s="1"/>
  <c r="BN369" i="2"/>
  <c r="BM369" i="2"/>
  <c r="BG369" i="2" s="1"/>
  <c r="BL369" i="2"/>
  <c r="BK369" i="2"/>
  <c r="BJ369" i="2"/>
  <c r="BI369" i="2"/>
  <c r="BE369" i="2" s="1"/>
  <c r="BH369" i="2"/>
  <c r="BC369" i="2"/>
  <c r="F369" i="2"/>
  <c r="D369" i="2"/>
  <c r="C369" i="2"/>
  <c r="DN368" i="2"/>
  <c r="DB368" i="2" s="1"/>
  <c r="DM368" i="2"/>
  <c r="DH368" i="2"/>
  <c r="DC368" i="2"/>
  <c r="CX368" i="2"/>
  <c r="BQ368" i="2"/>
  <c r="BP368" i="2"/>
  <c r="BF368" i="2" s="1"/>
  <c r="BO368" i="2"/>
  <c r="BN368" i="2"/>
  <c r="BM368" i="2"/>
  <c r="BL368" i="2"/>
  <c r="BK368" i="2"/>
  <c r="BJ368" i="2"/>
  <c r="BI368" i="2"/>
  <c r="BC368" i="2" s="1"/>
  <c r="BH368" i="2"/>
  <c r="BD368" i="2" s="1"/>
  <c r="BG368" i="2"/>
  <c r="BE368" i="2"/>
  <c r="AZ368" i="2"/>
  <c r="AV368" i="2"/>
  <c r="F368" i="2"/>
  <c r="D368" i="2"/>
  <c r="C368" i="2"/>
  <c r="DM367" i="2"/>
  <c r="DN367" i="2" s="1"/>
  <c r="DB367" i="2"/>
  <c r="BQ367" i="2"/>
  <c r="BE367" i="2" s="1"/>
  <c r="BP367" i="2"/>
  <c r="BO367" i="2"/>
  <c r="BN367" i="2"/>
  <c r="BM367" i="2"/>
  <c r="BD367" i="2" s="1"/>
  <c r="BL367" i="2"/>
  <c r="BK367" i="2"/>
  <c r="BC367" i="2" s="1"/>
  <c r="BJ367" i="2"/>
  <c r="BI367" i="2"/>
  <c r="AZ367" i="2" s="1"/>
  <c r="BH367" i="2"/>
  <c r="AX367" i="2" s="1"/>
  <c r="BF367" i="2"/>
  <c r="F367" i="2"/>
  <c r="D367" i="2"/>
  <c r="C367" i="2"/>
  <c r="DN366" i="2"/>
  <c r="CZ366" i="2" s="1"/>
  <c r="DM366" i="2"/>
  <c r="DH366" i="2"/>
  <c r="DG366" i="2"/>
  <c r="DF366" i="2"/>
  <c r="DB366" i="2"/>
  <c r="DA366" i="2"/>
  <c r="DJ366" i="2" s="1"/>
  <c r="CY366" i="2"/>
  <c r="CX366" i="2"/>
  <c r="BQ366" i="2"/>
  <c r="BP366" i="2"/>
  <c r="BO366" i="2"/>
  <c r="BN366" i="2"/>
  <c r="AZ366" i="2" s="1"/>
  <c r="BM366" i="2"/>
  <c r="BD366" i="2" s="1"/>
  <c r="BL366" i="2"/>
  <c r="BK366" i="2"/>
  <c r="BJ366" i="2"/>
  <c r="BC366" i="2" s="1"/>
  <c r="BI366" i="2"/>
  <c r="BH366" i="2"/>
  <c r="AY366" i="2" s="1"/>
  <c r="BE366" i="2"/>
  <c r="AX366" i="2"/>
  <c r="F366" i="2"/>
  <c r="D366" i="2"/>
  <c r="C366" i="2"/>
  <c r="DN365" i="2"/>
  <c r="CY365" i="2" s="1"/>
  <c r="DM365" i="2"/>
  <c r="DI365" i="2"/>
  <c r="DL365" i="2" s="1"/>
  <c r="DG365" i="2"/>
  <c r="DE365" i="2"/>
  <c r="DK365" i="2" s="1"/>
  <c r="CZ365" i="2"/>
  <c r="CX365" i="2"/>
  <c r="BQ365" i="2"/>
  <c r="BP365" i="2"/>
  <c r="BO365" i="2"/>
  <c r="BN365" i="2"/>
  <c r="BM365" i="2"/>
  <c r="AV365" i="2" s="1"/>
  <c r="BL365" i="2"/>
  <c r="BK365" i="2"/>
  <c r="BJ365" i="2"/>
  <c r="BF365" i="2" s="1"/>
  <c r="BI365" i="2"/>
  <c r="BC365" i="2" s="1"/>
  <c r="BH365" i="2"/>
  <c r="AX365" i="2" s="1"/>
  <c r="BD365" i="2"/>
  <c r="F365" i="2"/>
  <c r="D365" i="2"/>
  <c r="C365" i="2"/>
  <c r="DM364" i="2"/>
  <c r="DN364" i="2" s="1"/>
  <c r="CY364" i="2" s="1"/>
  <c r="BQ364" i="2"/>
  <c r="BP364" i="2"/>
  <c r="BO364" i="2"/>
  <c r="BN364" i="2"/>
  <c r="BM364" i="2"/>
  <c r="BG364" i="2" s="1"/>
  <c r="BL364" i="2"/>
  <c r="BK364" i="2"/>
  <c r="BJ364" i="2"/>
  <c r="AV364" i="2" s="1"/>
  <c r="BI364" i="2"/>
  <c r="AZ364" i="2" s="1"/>
  <c r="BH364" i="2"/>
  <c r="AY364" i="2" s="1"/>
  <c r="BC364" i="2"/>
  <c r="F364" i="2"/>
  <c r="D364" i="2"/>
  <c r="C364" i="2"/>
  <c r="DN363" i="2"/>
  <c r="DM363" i="2"/>
  <c r="CX363" i="2"/>
  <c r="BQ363" i="2"/>
  <c r="BP363" i="2"/>
  <c r="BO363" i="2"/>
  <c r="BN363" i="2"/>
  <c r="BM363" i="2"/>
  <c r="AV363" i="2" s="1"/>
  <c r="BL363" i="2"/>
  <c r="BK363" i="2"/>
  <c r="BJ363" i="2"/>
  <c r="BF363" i="2" s="1"/>
  <c r="BI363" i="2"/>
  <c r="BE363" i="2" s="1"/>
  <c r="BH363" i="2"/>
  <c r="AY363" i="2" s="1"/>
  <c r="AZ363" i="2"/>
  <c r="AX363" i="2"/>
  <c r="AW363" i="2" s="1"/>
  <c r="F363" i="2"/>
  <c r="D363" i="2"/>
  <c r="C363" i="2"/>
  <c r="DM362" i="2"/>
  <c r="DN362" i="2" s="1"/>
  <c r="BQ362" i="2"/>
  <c r="BP362" i="2"/>
  <c r="BO362" i="2"/>
  <c r="BN362" i="2"/>
  <c r="BM362" i="2"/>
  <c r="BL362" i="2"/>
  <c r="BK362" i="2"/>
  <c r="BJ362" i="2"/>
  <c r="AV362" i="2" s="1"/>
  <c r="BI362" i="2"/>
  <c r="BH362" i="2"/>
  <c r="AX362" i="2" s="1"/>
  <c r="BF362" i="2"/>
  <c r="AZ362" i="2"/>
  <c r="AY362" i="2"/>
  <c r="F362" i="2"/>
  <c r="D362" i="2"/>
  <c r="C362" i="2"/>
  <c r="DM361" i="2"/>
  <c r="DN361" i="2" s="1"/>
  <c r="BQ361" i="2"/>
  <c r="BP361" i="2"/>
  <c r="BO361" i="2"/>
  <c r="BN361" i="2"/>
  <c r="BM361" i="2"/>
  <c r="AV361" i="2" s="1"/>
  <c r="BL361" i="2"/>
  <c r="BK361" i="2"/>
  <c r="BJ361" i="2"/>
  <c r="BI361" i="2"/>
  <c r="BC361" i="2" s="1"/>
  <c r="BH361" i="2"/>
  <c r="BD361" i="2" s="1"/>
  <c r="BG361" i="2"/>
  <c r="AX361" i="2"/>
  <c r="F361" i="2"/>
  <c r="D361" i="2"/>
  <c r="C361" i="2"/>
  <c r="DM360" i="2"/>
  <c r="DN360" i="2" s="1"/>
  <c r="BQ360" i="2"/>
  <c r="BP360" i="2"/>
  <c r="BO360" i="2"/>
  <c r="BN360" i="2"/>
  <c r="BM360" i="2"/>
  <c r="AV360" i="2" s="1"/>
  <c r="BL360" i="2"/>
  <c r="BK360" i="2"/>
  <c r="BJ360" i="2"/>
  <c r="BF360" i="2" s="1"/>
  <c r="BI360" i="2"/>
  <c r="BC360" i="2" s="1"/>
  <c r="BH360" i="2"/>
  <c r="AY360" i="2" s="1"/>
  <c r="F360" i="2"/>
  <c r="D360" i="2"/>
  <c r="C360" i="2"/>
  <c r="DM359" i="2"/>
  <c r="DN359" i="2" s="1"/>
  <c r="BQ359" i="2"/>
  <c r="BP359" i="2"/>
  <c r="BO359" i="2"/>
  <c r="BF359" i="2" s="1"/>
  <c r="BN359" i="2"/>
  <c r="BM359" i="2"/>
  <c r="BD359" i="2" s="1"/>
  <c r="BL359" i="2"/>
  <c r="BK359" i="2"/>
  <c r="BJ359" i="2"/>
  <c r="BI359" i="2"/>
  <c r="BE359" i="2" s="1"/>
  <c r="BH359" i="2"/>
  <c r="AY359" i="2" s="1"/>
  <c r="BG359" i="2"/>
  <c r="AX359" i="2"/>
  <c r="AV359" i="2"/>
  <c r="F359" i="2"/>
  <c r="D359" i="2"/>
  <c r="C359" i="2"/>
  <c r="DN358" i="2"/>
  <c r="DH358" i="2" s="1"/>
  <c r="DM358" i="2"/>
  <c r="DI358" i="2"/>
  <c r="DL358" i="2" s="1"/>
  <c r="DG358" i="2"/>
  <c r="DD358" i="2"/>
  <c r="CZ358" i="2"/>
  <c r="CX358" i="2"/>
  <c r="BQ358" i="2"/>
  <c r="BP358" i="2"/>
  <c r="BO358" i="2"/>
  <c r="BN358" i="2"/>
  <c r="BC358" i="2" s="1"/>
  <c r="BM358" i="2"/>
  <c r="BL358" i="2"/>
  <c r="BK358" i="2"/>
  <c r="BF358" i="2" s="1"/>
  <c r="BJ358" i="2"/>
  <c r="BI358" i="2"/>
  <c r="BH358" i="2"/>
  <c r="BE358" i="2" s="1"/>
  <c r="AZ358" i="2"/>
  <c r="F358" i="2"/>
  <c r="D358" i="2"/>
  <c r="C358" i="2"/>
  <c r="DM357" i="2"/>
  <c r="DN357" i="2" s="1"/>
  <c r="BQ357" i="2"/>
  <c r="BE357" i="2" s="1"/>
  <c r="BP357" i="2"/>
  <c r="BO357" i="2"/>
  <c r="BN357" i="2"/>
  <c r="BM357" i="2"/>
  <c r="BD357" i="2" s="1"/>
  <c r="BL357" i="2"/>
  <c r="AY357" i="2" s="1"/>
  <c r="BK357" i="2"/>
  <c r="BJ357" i="2"/>
  <c r="BF357" i="2" s="1"/>
  <c r="BI357" i="2"/>
  <c r="AZ357" i="2" s="1"/>
  <c r="BH357" i="2"/>
  <c r="AX357" i="2" s="1"/>
  <c r="BG357" i="2"/>
  <c r="BC357" i="2"/>
  <c r="F357" i="2"/>
  <c r="D357" i="2"/>
  <c r="C357" i="2"/>
  <c r="DN356" i="2"/>
  <c r="DF356" i="2" s="1"/>
  <c r="DM356" i="2"/>
  <c r="DG356" i="2"/>
  <c r="DB356" i="2"/>
  <c r="CX356" i="2"/>
  <c r="BQ356" i="2"/>
  <c r="BP356" i="2"/>
  <c r="BO356" i="2"/>
  <c r="BN356" i="2"/>
  <c r="BM356" i="2"/>
  <c r="BG356" i="2" s="1"/>
  <c r="BL356" i="2"/>
  <c r="BD356" i="2" s="1"/>
  <c r="BK356" i="2"/>
  <c r="BF356" i="2" s="1"/>
  <c r="BJ356" i="2"/>
  <c r="BI356" i="2"/>
  <c r="BE356" i="2" s="1"/>
  <c r="BH356" i="2"/>
  <c r="AY356" i="2" s="1"/>
  <c r="AZ356" i="2"/>
  <c r="AX356" i="2"/>
  <c r="F356" i="2"/>
  <c r="D356" i="2"/>
  <c r="C356" i="2"/>
  <c r="DM355" i="2"/>
  <c r="DN355" i="2" s="1"/>
  <c r="DF355" i="2" s="1"/>
  <c r="BQ355" i="2"/>
  <c r="BP355" i="2"/>
  <c r="BO355" i="2"/>
  <c r="BN355" i="2"/>
  <c r="BM355" i="2"/>
  <c r="BL355" i="2"/>
  <c r="BK355" i="2"/>
  <c r="BJ355" i="2"/>
  <c r="BF355" i="2" s="1"/>
  <c r="BI355" i="2"/>
  <c r="AZ355" i="2" s="1"/>
  <c r="BH355" i="2"/>
  <c r="BG355" i="2" s="1"/>
  <c r="BE355" i="2"/>
  <c r="AY355" i="2"/>
  <c r="F355" i="2"/>
  <c r="D355" i="2"/>
  <c r="C355" i="2"/>
  <c r="DN354" i="2"/>
  <c r="DD354" i="2" s="1"/>
  <c r="DM354" i="2"/>
  <c r="DF354" i="2"/>
  <c r="DE354" i="2"/>
  <c r="DK354" i="2" s="1"/>
  <c r="DC354" i="2"/>
  <c r="CZ354" i="2"/>
  <c r="CX354" i="2"/>
  <c r="BQ354" i="2"/>
  <c r="BP354" i="2"/>
  <c r="BO354" i="2"/>
  <c r="BN354" i="2"/>
  <c r="BM354" i="2"/>
  <c r="BL354" i="2"/>
  <c r="BK354" i="2"/>
  <c r="BJ354" i="2"/>
  <c r="BF354" i="2" s="1"/>
  <c r="BI354" i="2"/>
  <c r="BH354" i="2"/>
  <c r="BG354" i="2"/>
  <c r="BD354" i="2"/>
  <c r="AX354" i="2"/>
  <c r="F354" i="2"/>
  <c r="D354" i="2"/>
  <c r="C354" i="2"/>
  <c r="DM353" i="2"/>
  <c r="DN353" i="2" s="1"/>
  <c r="DD353" i="2" s="1"/>
  <c r="BQ353" i="2"/>
  <c r="BP353" i="2"/>
  <c r="BO353" i="2"/>
  <c r="BF353" i="2" s="1"/>
  <c r="BN353" i="2"/>
  <c r="BM353" i="2"/>
  <c r="BG353" i="2" s="1"/>
  <c r="BL353" i="2"/>
  <c r="BK353" i="2"/>
  <c r="BJ353" i="2"/>
  <c r="BI353" i="2"/>
  <c r="BE353" i="2" s="1"/>
  <c r="BH353" i="2"/>
  <c r="BC353" i="2"/>
  <c r="F353" i="2"/>
  <c r="D353" i="2"/>
  <c r="C353" i="2"/>
  <c r="DN352" i="2"/>
  <c r="DB352" i="2" s="1"/>
  <c r="DM352" i="2"/>
  <c r="DH352" i="2"/>
  <c r="DC352" i="2"/>
  <c r="CX352" i="2"/>
  <c r="BQ352" i="2"/>
  <c r="BP352" i="2"/>
  <c r="BF352" i="2" s="1"/>
  <c r="BO352" i="2"/>
  <c r="BN352" i="2"/>
  <c r="BM352" i="2"/>
  <c r="BL352" i="2"/>
  <c r="BK352" i="2"/>
  <c r="BJ352" i="2"/>
  <c r="BI352" i="2"/>
  <c r="BC352" i="2" s="1"/>
  <c r="BH352" i="2"/>
  <c r="BD352" i="2" s="1"/>
  <c r="BG352" i="2"/>
  <c r="BE352" i="2"/>
  <c r="AZ352" i="2"/>
  <c r="AV352" i="2"/>
  <c r="F352" i="2"/>
  <c r="D352" i="2"/>
  <c r="C352" i="2"/>
  <c r="DM351" i="2"/>
  <c r="DN351" i="2" s="1"/>
  <c r="DG351" i="2" s="1"/>
  <c r="DI351" i="2"/>
  <c r="DL351" i="2" s="1"/>
  <c r="DB351" i="2"/>
  <c r="BQ351" i="2"/>
  <c r="BE351" i="2" s="1"/>
  <c r="BP351" i="2"/>
  <c r="BO351" i="2"/>
  <c r="BN351" i="2"/>
  <c r="BM351" i="2"/>
  <c r="BL351" i="2"/>
  <c r="BK351" i="2"/>
  <c r="BJ351" i="2"/>
  <c r="BI351" i="2"/>
  <c r="AZ351" i="2" s="1"/>
  <c r="BH351" i="2"/>
  <c r="AX351" i="2" s="1"/>
  <c r="F351" i="2"/>
  <c r="D351" i="2"/>
  <c r="C351" i="2"/>
  <c r="DN350" i="2"/>
  <c r="CZ350" i="2" s="1"/>
  <c r="DM350" i="2"/>
  <c r="DH350" i="2"/>
  <c r="DG350" i="2"/>
  <c r="DF350" i="2"/>
  <c r="DB350" i="2"/>
  <c r="DA350" i="2"/>
  <c r="DJ350" i="2" s="1"/>
  <c r="CY350" i="2"/>
  <c r="CX350" i="2"/>
  <c r="BQ350" i="2"/>
  <c r="BP350" i="2"/>
  <c r="BO350" i="2"/>
  <c r="BN350" i="2"/>
  <c r="AZ350" i="2" s="1"/>
  <c r="BM350" i="2"/>
  <c r="BL350" i="2"/>
  <c r="BK350" i="2"/>
  <c r="BJ350" i="2"/>
  <c r="BI350" i="2"/>
  <c r="BH350" i="2"/>
  <c r="BE350" i="2"/>
  <c r="AX350" i="2"/>
  <c r="F350" i="2"/>
  <c r="D350" i="2"/>
  <c r="C350" i="2"/>
  <c r="DN349" i="2"/>
  <c r="CY349" i="2" s="1"/>
  <c r="DM349" i="2"/>
  <c r="DI349" i="2"/>
  <c r="DL349" i="2" s="1"/>
  <c r="DG349" i="2"/>
  <c r="DE349" i="2"/>
  <c r="DK349" i="2" s="1"/>
  <c r="CZ349" i="2"/>
  <c r="CX349" i="2"/>
  <c r="BQ349" i="2"/>
  <c r="BP349" i="2"/>
  <c r="BO349" i="2"/>
  <c r="BN349" i="2"/>
  <c r="BM349" i="2"/>
  <c r="AV349" i="2" s="1"/>
  <c r="BL349" i="2"/>
  <c r="BK349" i="2"/>
  <c r="BD349" i="2" s="1"/>
  <c r="BJ349" i="2"/>
  <c r="BI349" i="2"/>
  <c r="BH349" i="2"/>
  <c r="AX349" i="2" s="1"/>
  <c r="F349" i="2"/>
  <c r="D349" i="2"/>
  <c r="C349" i="2"/>
  <c r="DM348" i="2"/>
  <c r="DN348" i="2" s="1"/>
  <c r="DF348" i="2" s="1"/>
  <c r="BQ348" i="2"/>
  <c r="BP348" i="2"/>
  <c r="BO348" i="2"/>
  <c r="BN348" i="2"/>
  <c r="BM348" i="2"/>
  <c r="BL348" i="2"/>
  <c r="BK348" i="2"/>
  <c r="BJ348" i="2"/>
  <c r="BC348" i="2" s="1"/>
  <c r="BI348" i="2"/>
  <c r="AZ348" i="2" s="1"/>
  <c r="BH348" i="2"/>
  <c r="F348" i="2"/>
  <c r="D348" i="2"/>
  <c r="C348" i="2"/>
  <c r="DN347" i="2"/>
  <c r="DI347" i="2" s="1"/>
  <c r="DL347" i="2" s="1"/>
  <c r="DM347" i="2"/>
  <c r="DE347" i="2"/>
  <c r="DK347" i="2" s="1"/>
  <c r="DC347" i="2"/>
  <c r="CX347" i="2"/>
  <c r="BQ347" i="2"/>
  <c r="BP347" i="2"/>
  <c r="BO347" i="2"/>
  <c r="BN347" i="2"/>
  <c r="BM347" i="2"/>
  <c r="AV347" i="2" s="1"/>
  <c r="BL347" i="2"/>
  <c r="BK347" i="2"/>
  <c r="BJ347" i="2"/>
  <c r="BF347" i="2" s="1"/>
  <c r="BI347" i="2"/>
  <c r="BH347" i="2"/>
  <c r="AY347" i="2" s="1"/>
  <c r="AZ347" i="2"/>
  <c r="AX347" i="2"/>
  <c r="F347" i="2"/>
  <c r="D347" i="2"/>
  <c r="C347" i="2"/>
  <c r="DM346" i="2"/>
  <c r="DN346" i="2" s="1"/>
  <c r="DH346" i="2" s="1"/>
  <c r="BQ346" i="2"/>
  <c r="BP346" i="2"/>
  <c r="BO346" i="2"/>
  <c r="BN346" i="2"/>
  <c r="BM346" i="2"/>
  <c r="BL346" i="2"/>
  <c r="BK346" i="2"/>
  <c r="BJ346" i="2"/>
  <c r="AV346" i="2" s="1"/>
  <c r="BI346" i="2"/>
  <c r="BE346" i="2" s="1"/>
  <c r="BH346" i="2"/>
  <c r="BF346" i="2"/>
  <c r="AZ346" i="2"/>
  <c r="AY346" i="2"/>
  <c r="F346" i="2"/>
  <c r="D346" i="2"/>
  <c r="C346" i="2"/>
  <c r="DM345" i="2"/>
  <c r="DN345" i="2" s="1"/>
  <c r="DG345" i="2" s="1"/>
  <c r="BQ345" i="2"/>
  <c r="BP345" i="2"/>
  <c r="BF345" i="2" s="1"/>
  <c r="BO345" i="2"/>
  <c r="BN345" i="2"/>
  <c r="BM345" i="2"/>
  <c r="AV345" i="2" s="1"/>
  <c r="BL345" i="2"/>
  <c r="BK345" i="2"/>
  <c r="BJ345" i="2"/>
  <c r="BI345" i="2"/>
  <c r="BH345" i="2"/>
  <c r="BD345" i="2" s="1"/>
  <c r="BG345" i="2"/>
  <c r="BE345" i="2"/>
  <c r="AX345" i="2"/>
  <c r="F345" i="2"/>
  <c r="D345" i="2"/>
  <c r="C345" i="2"/>
  <c r="DM344" i="2"/>
  <c r="DN344" i="2" s="1"/>
  <c r="DD344" i="2" s="1"/>
  <c r="DI344" i="2"/>
  <c r="DL344" i="2" s="1"/>
  <c r="DF344" i="2"/>
  <c r="DB344" i="2"/>
  <c r="BQ344" i="2"/>
  <c r="BP344" i="2"/>
  <c r="BO344" i="2"/>
  <c r="BN344" i="2"/>
  <c r="BM344" i="2"/>
  <c r="BL344" i="2"/>
  <c r="BK344" i="2"/>
  <c r="BJ344" i="2"/>
  <c r="BI344" i="2"/>
  <c r="BC344" i="2" s="1"/>
  <c r="BH344" i="2"/>
  <c r="BF344" i="2"/>
  <c r="BD344" i="2"/>
  <c r="F344" i="2"/>
  <c r="D344" i="2"/>
  <c r="C344" i="2"/>
  <c r="DM343" i="2"/>
  <c r="DN343" i="2" s="1"/>
  <c r="DH343" i="2" s="1"/>
  <c r="DE343" i="2"/>
  <c r="DK343" i="2" s="1"/>
  <c r="BQ343" i="2"/>
  <c r="BP343" i="2"/>
  <c r="BO343" i="2"/>
  <c r="BF343" i="2" s="1"/>
  <c r="BN343" i="2"/>
  <c r="BC343" i="2" s="1"/>
  <c r="BM343" i="2"/>
  <c r="BL343" i="2"/>
  <c r="BK343" i="2"/>
  <c r="BJ343" i="2"/>
  <c r="BI343" i="2"/>
  <c r="BH343" i="2"/>
  <c r="BG343" i="2"/>
  <c r="BE343" i="2"/>
  <c r="AX343" i="2"/>
  <c r="AV343" i="2"/>
  <c r="F343" i="2"/>
  <c r="D343" i="2"/>
  <c r="C343" i="2"/>
  <c r="DN342" i="2"/>
  <c r="DM342" i="2"/>
  <c r="DG342" i="2"/>
  <c r="DD342" i="2"/>
  <c r="DB342" i="2"/>
  <c r="CX342" i="2"/>
  <c r="BQ342" i="2"/>
  <c r="BP342" i="2"/>
  <c r="BO342" i="2"/>
  <c r="BN342" i="2"/>
  <c r="BC342" i="2" s="1"/>
  <c r="BM342" i="2"/>
  <c r="BL342" i="2"/>
  <c r="BK342" i="2"/>
  <c r="BF342" i="2" s="1"/>
  <c r="BJ342" i="2"/>
  <c r="BI342" i="2"/>
  <c r="BH342" i="2"/>
  <c r="AZ342" i="2"/>
  <c r="F342" i="2"/>
  <c r="D342" i="2"/>
  <c r="C342" i="2"/>
  <c r="DM341" i="2"/>
  <c r="DN341" i="2" s="1"/>
  <c r="DI341" i="2"/>
  <c r="DL341" i="2" s="1"/>
  <c r="DH341" i="2"/>
  <c r="DF341" i="2"/>
  <c r="DC341" i="2"/>
  <c r="DA341" i="2"/>
  <c r="DJ341" i="2" s="1"/>
  <c r="CY341" i="2"/>
  <c r="BQ341" i="2"/>
  <c r="BP341" i="2"/>
  <c r="BO341" i="2"/>
  <c r="BN341" i="2"/>
  <c r="BM341" i="2"/>
  <c r="BG341" i="2" s="1"/>
  <c r="BL341" i="2"/>
  <c r="BK341" i="2"/>
  <c r="BJ341" i="2"/>
  <c r="BF341" i="2" s="1"/>
  <c r="BI341" i="2"/>
  <c r="AZ341" i="2" s="1"/>
  <c r="BH341" i="2"/>
  <c r="AX341" i="2" s="1"/>
  <c r="BE341" i="2"/>
  <c r="BC341" i="2"/>
  <c r="AY341" i="2"/>
  <c r="F341" i="2"/>
  <c r="D341" i="2"/>
  <c r="C341" i="2"/>
  <c r="DN340" i="2"/>
  <c r="DG340" i="2" s="1"/>
  <c r="DM340" i="2"/>
  <c r="DH340" i="2"/>
  <c r="DE340" i="2"/>
  <c r="DK340" i="2" s="1"/>
  <c r="DB340" i="2"/>
  <c r="CZ340" i="2"/>
  <c r="CX340" i="2"/>
  <c r="BQ340" i="2"/>
  <c r="BP340" i="2"/>
  <c r="BF340" i="2" s="1"/>
  <c r="BO340" i="2"/>
  <c r="BN340" i="2"/>
  <c r="BM340" i="2"/>
  <c r="BL340" i="2"/>
  <c r="BK340" i="2"/>
  <c r="BJ340" i="2"/>
  <c r="BI340" i="2"/>
  <c r="AZ340" i="2" s="1"/>
  <c r="BH340" i="2"/>
  <c r="BD340" i="2" s="1"/>
  <c r="F340" i="2"/>
  <c r="D340" i="2"/>
  <c r="C340" i="2"/>
  <c r="DM339" i="2"/>
  <c r="DN339" i="2" s="1"/>
  <c r="BQ339" i="2"/>
  <c r="BE339" i="2" s="1"/>
  <c r="BP339" i="2"/>
  <c r="BO339" i="2"/>
  <c r="BN339" i="2"/>
  <c r="BM339" i="2"/>
  <c r="AV339" i="2" s="1"/>
  <c r="BL339" i="2"/>
  <c r="BK339" i="2"/>
  <c r="BJ339" i="2"/>
  <c r="BI339" i="2"/>
  <c r="AZ339" i="2" s="1"/>
  <c r="BH339" i="2"/>
  <c r="AY339" i="2" s="1"/>
  <c r="BG339" i="2"/>
  <c r="BC339" i="2"/>
  <c r="F339" i="2"/>
  <c r="D339" i="2"/>
  <c r="C339" i="2"/>
  <c r="DN338" i="2"/>
  <c r="DM338" i="2"/>
  <c r="DF338" i="2"/>
  <c r="DC338" i="2"/>
  <c r="CZ338" i="2"/>
  <c r="BQ338" i="2"/>
  <c r="BP338" i="2"/>
  <c r="BF338" i="2" s="1"/>
  <c r="BO338" i="2"/>
  <c r="BN338" i="2"/>
  <c r="BM338" i="2"/>
  <c r="BL338" i="2"/>
  <c r="BK338" i="2"/>
  <c r="BJ338" i="2"/>
  <c r="AV338" i="2" s="1"/>
  <c r="BI338" i="2"/>
  <c r="BH338" i="2"/>
  <c r="BG338" i="2"/>
  <c r="BD338" i="2"/>
  <c r="AX338" i="2"/>
  <c r="F338" i="2"/>
  <c r="D338" i="2"/>
  <c r="C338" i="2"/>
  <c r="DM337" i="2"/>
  <c r="DN337" i="2" s="1"/>
  <c r="DI337" i="2" s="1"/>
  <c r="DL337" i="2" s="1"/>
  <c r="DE337" i="2"/>
  <c r="DK337" i="2" s="1"/>
  <c r="DB337" i="2"/>
  <c r="CY337" i="2"/>
  <c r="BQ337" i="2"/>
  <c r="BP337" i="2"/>
  <c r="BO337" i="2"/>
  <c r="BF337" i="2" s="1"/>
  <c r="BN337" i="2"/>
  <c r="BM337" i="2"/>
  <c r="BL337" i="2"/>
  <c r="BK337" i="2"/>
  <c r="BJ337" i="2"/>
  <c r="BI337" i="2"/>
  <c r="AZ337" i="2" s="1"/>
  <c r="BH337" i="2"/>
  <c r="BE337" i="2"/>
  <c r="AY337" i="2"/>
  <c r="F337" i="2"/>
  <c r="D337" i="2"/>
  <c r="C337" i="2"/>
  <c r="DN336" i="2"/>
  <c r="DI336" i="2" s="1"/>
  <c r="DL336" i="2" s="1"/>
  <c r="DM336" i="2"/>
  <c r="DD336" i="2"/>
  <c r="DA336" i="2"/>
  <c r="DJ336" i="2" s="1"/>
  <c r="CX336" i="2"/>
  <c r="BQ336" i="2"/>
  <c r="BP336" i="2"/>
  <c r="BF336" i="2" s="1"/>
  <c r="BO336" i="2"/>
  <c r="BN336" i="2"/>
  <c r="BM336" i="2"/>
  <c r="AV336" i="2" s="1"/>
  <c r="BL336" i="2"/>
  <c r="BK336" i="2"/>
  <c r="BJ336" i="2"/>
  <c r="BI336" i="2"/>
  <c r="BH336" i="2"/>
  <c r="BE336" i="2"/>
  <c r="AZ336" i="2"/>
  <c r="F336" i="2"/>
  <c r="D336" i="2"/>
  <c r="C336" i="2"/>
  <c r="DM335" i="2"/>
  <c r="DN335" i="2" s="1"/>
  <c r="DH335" i="2"/>
  <c r="DG335" i="2"/>
  <c r="DC335" i="2"/>
  <c r="CZ335" i="2"/>
  <c r="CY335" i="2"/>
  <c r="BQ335" i="2"/>
  <c r="BE335" i="2" s="1"/>
  <c r="BP335" i="2"/>
  <c r="BO335" i="2"/>
  <c r="BF335" i="2" s="1"/>
  <c r="BN335" i="2"/>
  <c r="BM335" i="2"/>
  <c r="AV335" i="2" s="1"/>
  <c r="BL335" i="2"/>
  <c r="BK335" i="2"/>
  <c r="BC335" i="2" s="1"/>
  <c r="BJ335" i="2"/>
  <c r="BI335" i="2"/>
  <c r="AZ335" i="2" s="1"/>
  <c r="BH335" i="2"/>
  <c r="AX335" i="2" s="1"/>
  <c r="BG335" i="2"/>
  <c r="BD335" i="2"/>
  <c r="AY335" i="2"/>
  <c r="F335" i="2"/>
  <c r="D335" i="2"/>
  <c r="C335" i="2"/>
  <c r="DN334" i="2"/>
  <c r="DH334" i="2" s="1"/>
  <c r="DM334" i="2"/>
  <c r="DG334" i="2"/>
  <c r="DF334" i="2"/>
  <c r="DB334" i="2"/>
  <c r="DA334" i="2"/>
  <c r="DJ334" i="2" s="1"/>
  <c r="CY334" i="2"/>
  <c r="CX334" i="2"/>
  <c r="BQ334" i="2"/>
  <c r="BP334" i="2"/>
  <c r="BO334" i="2"/>
  <c r="BN334" i="2"/>
  <c r="BM334" i="2"/>
  <c r="BD334" i="2" s="1"/>
  <c r="BL334" i="2"/>
  <c r="BK334" i="2"/>
  <c r="BF334" i="2" s="1"/>
  <c r="BJ334" i="2"/>
  <c r="BI334" i="2"/>
  <c r="BH334" i="2"/>
  <c r="BE334" i="2"/>
  <c r="AZ334" i="2"/>
  <c r="AX334" i="2"/>
  <c r="AV334" i="2"/>
  <c r="F334" i="2"/>
  <c r="D334" i="2"/>
  <c r="C334" i="2"/>
  <c r="DM333" i="2"/>
  <c r="DN333" i="2" s="1"/>
  <c r="BQ333" i="2"/>
  <c r="BP333" i="2"/>
  <c r="BO333" i="2"/>
  <c r="BN333" i="2"/>
  <c r="BM333" i="2"/>
  <c r="BL333" i="2"/>
  <c r="BK333" i="2"/>
  <c r="BJ333" i="2"/>
  <c r="BF333" i="2" s="1"/>
  <c r="BI333" i="2"/>
  <c r="AY333" i="2" s="1"/>
  <c r="BH333" i="2"/>
  <c r="AX333" i="2" s="1"/>
  <c r="BE333" i="2"/>
  <c r="AZ333" i="2"/>
  <c r="F333" i="2"/>
  <c r="D333" i="2"/>
  <c r="C333" i="2"/>
  <c r="DM332" i="2"/>
  <c r="DN332" i="2" s="1"/>
  <c r="DG332" i="2" s="1"/>
  <c r="DH332" i="2"/>
  <c r="DF332" i="2"/>
  <c r="CZ332" i="2"/>
  <c r="BQ332" i="2"/>
  <c r="BP332" i="2"/>
  <c r="BO332" i="2"/>
  <c r="BN332" i="2"/>
  <c r="BM332" i="2"/>
  <c r="BL332" i="2"/>
  <c r="BK332" i="2"/>
  <c r="BJ332" i="2"/>
  <c r="BF332" i="2" s="1"/>
  <c r="BI332" i="2"/>
  <c r="BH332" i="2"/>
  <c r="BD332" i="2" s="1"/>
  <c r="AV332" i="2"/>
  <c r="F332" i="2"/>
  <c r="D332" i="2"/>
  <c r="C332" i="2"/>
  <c r="DN331" i="2"/>
  <c r="DM331" i="2"/>
  <c r="DK331" i="2"/>
  <c r="DG331" i="2"/>
  <c r="DE331" i="2"/>
  <c r="DC331" i="2"/>
  <c r="BQ331" i="2"/>
  <c r="BP331" i="2"/>
  <c r="BO331" i="2"/>
  <c r="BN331" i="2"/>
  <c r="BM331" i="2"/>
  <c r="BL331" i="2"/>
  <c r="BK331" i="2"/>
  <c r="BJ331" i="2"/>
  <c r="BI331" i="2"/>
  <c r="BH331" i="2"/>
  <c r="AX331" i="2" s="1"/>
  <c r="AZ331" i="2"/>
  <c r="F331" i="2"/>
  <c r="D331" i="2"/>
  <c r="C331" i="2"/>
  <c r="DM330" i="2"/>
  <c r="DN330" i="2" s="1"/>
  <c r="BQ330" i="2"/>
  <c r="BP330" i="2"/>
  <c r="BO330" i="2"/>
  <c r="BF330" i="2" s="1"/>
  <c r="BN330" i="2"/>
  <c r="BM330" i="2"/>
  <c r="BL330" i="2"/>
  <c r="BK330" i="2"/>
  <c r="BJ330" i="2"/>
  <c r="BI330" i="2"/>
  <c r="AZ330" i="2" s="1"/>
  <c r="BH330" i="2"/>
  <c r="BG330" i="2" s="1"/>
  <c r="AY330" i="2"/>
  <c r="AV330" i="2"/>
  <c r="F330" i="2"/>
  <c r="D330" i="2"/>
  <c r="C330" i="2"/>
  <c r="DM329" i="2"/>
  <c r="DN329" i="2" s="1"/>
  <c r="DG329" i="2" s="1"/>
  <c r="DI329" i="2"/>
  <c r="DL329" i="2" s="1"/>
  <c r="DE329" i="2"/>
  <c r="DK329" i="2" s="1"/>
  <c r="DB329" i="2"/>
  <c r="DA329" i="2"/>
  <c r="DJ329" i="2" s="1"/>
  <c r="BQ329" i="2"/>
  <c r="BP329" i="2"/>
  <c r="BO329" i="2"/>
  <c r="BN329" i="2"/>
  <c r="BM329" i="2"/>
  <c r="AV329" i="2" s="1"/>
  <c r="BL329" i="2"/>
  <c r="BK329" i="2"/>
  <c r="BJ329" i="2"/>
  <c r="BI329" i="2"/>
  <c r="BE329" i="2" s="1"/>
  <c r="BH329" i="2"/>
  <c r="BD329" i="2" s="1"/>
  <c r="BF329" i="2"/>
  <c r="AX329" i="2"/>
  <c r="F329" i="2"/>
  <c r="D329" i="2"/>
  <c r="C329" i="2"/>
  <c r="DM328" i="2"/>
  <c r="DN328" i="2" s="1"/>
  <c r="DI328" i="2"/>
  <c r="DL328" i="2" s="1"/>
  <c r="DF328" i="2"/>
  <c r="DC328" i="2"/>
  <c r="DA328" i="2"/>
  <c r="DJ328" i="2" s="1"/>
  <c r="BQ328" i="2"/>
  <c r="BP328" i="2"/>
  <c r="BO328" i="2"/>
  <c r="BF328" i="2" s="1"/>
  <c r="BN328" i="2"/>
  <c r="AZ328" i="2" s="1"/>
  <c r="BM328" i="2"/>
  <c r="BL328" i="2"/>
  <c r="BD328" i="2" s="1"/>
  <c r="BK328" i="2"/>
  <c r="BJ328" i="2"/>
  <c r="BI328" i="2"/>
  <c r="BC328" i="2" s="1"/>
  <c r="BH328" i="2"/>
  <c r="AX328" i="2" s="1"/>
  <c r="BG328" i="2"/>
  <c r="BE328" i="2"/>
  <c r="AY328" i="2"/>
  <c r="F328" i="2"/>
  <c r="D328" i="2"/>
  <c r="C328" i="2"/>
  <c r="DM327" i="2"/>
  <c r="DN327" i="2" s="1"/>
  <c r="DI327" i="2" s="1"/>
  <c r="DL327" i="2" s="1"/>
  <c r="DH327" i="2"/>
  <c r="DF327" i="2"/>
  <c r="DC327" i="2"/>
  <c r="BQ327" i="2"/>
  <c r="BP327" i="2"/>
  <c r="BO327" i="2"/>
  <c r="BE327" i="2" s="1"/>
  <c r="BN327" i="2"/>
  <c r="BM327" i="2"/>
  <c r="BG327" i="2" s="1"/>
  <c r="BL327" i="2"/>
  <c r="BK327" i="2"/>
  <c r="BJ327" i="2"/>
  <c r="BI327" i="2"/>
  <c r="BH327" i="2"/>
  <c r="AX327" i="2"/>
  <c r="F327" i="2"/>
  <c r="D327" i="2"/>
  <c r="C327" i="2"/>
  <c r="DN326" i="2"/>
  <c r="DC326" i="2" s="1"/>
  <c r="DM326" i="2"/>
  <c r="DK326" i="2"/>
  <c r="DI326" i="2"/>
  <c r="DL326" i="2" s="1"/>
  <c r="DG326" i="2"/>
  <c r="DF326" i="2"/>
  <c r="DE326" i="2"/>
  <c r="DD326" i="2"/>
  <c r="DB326" i="2"/>
  <c r="DA326" i="2"/>
  <c r="DJ326" i="2" s="1"/>
  <c r="CZ326" i="2"/>
  <c r="CY326" i="2"/>
  <c r="BQ326" i="2"/>
  <c r="BP326" i="2"/>
  <c r="BO326" i="2"/>
  <c r="BN326" i="2"/>
  <c r="AZ326" i="2" s="1"/>
  <c r="BM326" i="2"/>
  <c r="BL326" i="2"/>
  <c r="BK326" i="2"/>
  <c r="BJ326" i="2"/>
  <c r="BF326" i="2" s="1"/>
  <c r="BI326" i="2"/>
  <c r="BE326" i="2" s="1"/>
  <c r="BH326" i="2"/>
  <c r="BD326" i="2" s="1"/>
  <c r="F326" i="2"/>
  <c r="D326" i="2"/>
  <c r="C326" i="2"/>
  <c r="DN325" i="2"/>
  <c r="DB325" i="2" s="1"/>
  <c r="DM325" i="2"/>
  <c r="BQ325" i="2"/>
  <c r="BE325" i="2" s="1"/>
  <c r="BP325" i="2"/>
  <c r="BO325" i="2"/>
  <c r="BN325" i="2"/>
  <c r="BM325" i="2"/>
  <c r="BL325" i="2"/>
  <c r="BK325" i="2"/>
  <c r="BC325" i="2" s="1"/>
  <c r="BJ325" i="2"/>
  <c r="BI325" i="2"/>
  <c r="AZ325" i="2" s="1"/>
  <c r="BH325" i="2"/>
  <c r="AX325" i="2" s="1"/>
  <c r="AV325" i="2"/>
  <c r="F325" i="2"/>
  <c r="D325" i="2"/>
  <c r="C325" i="2"/>
  <c r="DM324" i="2"/>
  <c r="DN324" i="2" s="1"/>
  <c r="CZ324" i="2"/>
  <c r="BQ324" i="2"/>
  <c r="BP324" i="2"/>
  <c r="BO324" i="2"/>
  <c r="BN324" i="2"/>
  <c r="BM324" i="2"/>
  <c r="AV324" i="2" s="1"/>
  <c r="BL324" i="2"/>
  <c r="BK324" i="2"/>
  <c r="BJ324" i="2"/>
  <c r="BF324" i="2" s="1"/>
  <c r="BI324" i="2"/>
  <c r="BH324" i="2"/>
  <c r="AX324" i="2" s="1"/>
  <c r="BC324" i="2"/>
  <c r="AY324" i="2"/>
  <c r="F324" i="2"/>
  <c r="D324" i="2"/>
  <c r="C324" i="2"/>
  <c r="DN323" i="2"/>
  <c r="CZ323" i="2" s="1"/>
  <c r="DM323" i="2"/>
  <c r="DI323" i="2"/>
  <c r="DL323" i="2" s="1"/>
  <c r="DD323" i="2"/>
  <c r="DB323" i="2"/>
  <c r="CY323" i="2"/>
  <c r="BQ323" i="2"/>
  <c r="BP323" i="2"/>
  <c r="BO323" i="2"/>
  <c r="BN323" i="2"/>
  <c r="BM323" i="2"/>
  <c r="AV323" i="2" s="1"/>
  <c r="BL323" i="2"/>
  <c r="AY323" i="2" s="1"/>
  <c r="BK323" i="2"/>
  <c r="BJ323" i="2"/>
  <c r="BF323" i="2" s="1"/>
  <c r="BI323" i="2"/>
  <c r="BC323" i="2" s="1"/>
  <c r="BH323" i="2"/>
  <c r="BG323" i="2"/>
  <c r="BE323" i="2"/>
  <c r="AZ323" i="2"/>
  <c r="AX323" i="2"/>
  <c r="F323" i="2"/>
  <c r="D323" i="2"/>
  <c r="C323" i="2"/>
  <c r="DN322" i="2"/>
  <c r="CY322" i="2" s="1"/>
  <c r="DM322" i="2"/>
  <c r="DK322" i="2"/>
  <c r="DI322" i="2"/>
  <c r="DL322" i="2" s="1"/>
  <c r="DG322" i="2"/>
  <c r="DE322" i="2"/>
  <c r="DD322" i="2"/>
  <c r="DB322" i="2"/>
  <c r="DA322" i="2"/>
  <c r="DJ322" i="2" s="1"/>
  <c r="CZ322" i="2"/>
  <c r="BQ322" i="2"/>
  <c r="BP322" i="2"/>
  <c r="BO322" i="2"/>
  <c r="BN322" i="2"/>
  <c r="AZ322" i="2" s="1"/>
  <c r="BM322" i="2"/>
  <c r="AV322" i="2" s="1"/>
  <c r="BL322" i="2"/>
  <c r="BK322" i="2"/>
  <c r="BJ322" i="2"/>
  <c r="BF322" i="2" s="1"/>
  <c r="BI322" i="2"/>
  <c r="BH322" i="2"/>
  <c r="BG322" i="2" s="1"/>
  <c r="F322" i="2"/>
  <c r="D322" i="2"/>
  <c r="C322" i="2"/>
  <c r="DM321" i="2"/>
  <c r="DN321" i="2" s="1"/>
  <c r="CX321" i="2" s="1"/>
  <c r="DH321" i="2"/>
  <c r="DE321" i="2"/>
  <c r="DK321" i="2" s="1"/>
  <c r="DC321" i="2"/>
  <c r="DA321" i="2"/>
  <c r="DJ321" i="2" s="1"/>
  <c r="CZ321" i="2"/>
  <c r="CY321" i="2"/>
  <c r="BQ321" i="2"/>
  <c r="BP321" i="2"/>
  <c r="BO321" i="2"/>
  <c r="BN321" i="2"/>
  <c r="BC321" i="2" s="1"/>
  <c r="BM321" i="2"/>
  <c r="BG321" i="2" s="1"/>
  <c r="BL321" i="2"/>
  <c r="BK321" i="2"/>
  <c r="BF321" i="2" s="1"/>
  <c r="BJ321" i="2"/>
  <c r="BI321" i="2"/>
  <c r="BH321" i="2"/>
  <c r="F321" i="2"/>
  <c r="D321" i="2"/>
  <c r="C321" i="2"/>
  <c r="DN320" i="2"/>
  <c r="CY320" i="2" s="1"/>
  <c r="DM320" i="2"/>
  <c r="DL320" i="2"/>
  <c r="DI320" i="2"/>
  <c r="CZ320" i="2"/>
  <c r="CX320" i="2"/>
  <c r="BQ320" i="2"/>
  <c r="BP320" i="2"/>
  <c r="BO320" i="2"/>
  <c r="BN320" i="2"/>
  <c r="BM320" i="2"/>
  <c r="AV320" i="2" s="1"/>
  <c r="BL320" i="2"/>
  <c r="BK320" i="2"/>
  <c r="BJ320" i="2"/>
  <c r="BF320" i="2" s="1"/>
  <c r="BI320" i="2"/>
  <c r="BC320" i="2" s="1"/>
  <c r="BH320" i="2"/>
  <c r="AY320" i="2" s="1"/>
  <c r="BD320" i="2"/>
  <c r="AZ320" i="2"/>
  <c r="AX320" i="2"/>
  <c r="AW320" i="2" s="1"/>
  <c r="F320" i="2"/>
  <c r="D320" i="2"/>
  <c r="C320" i="2"/>
  <c r="DM319" i="2"/>
  <c r="DN319" i="2" s="1"/>
  <c r="CY319" i="2" s="1"/>
  <c r="BQ319" i="2"/>
  <c r="BP319" i="2"/>
  <c r="BO319" i="2"/>
  <c r="BF319" i="2" s="1"/>
  <c r="BN319" i="2"/>
  <c r="BM319" i="2"/>
  <c r="AV319" i="2" s="1"/>
  <c r="BL319" i="2"/>
  <c r="AY319" i="2" s="1"/>
  <c r="BK319" i="2"/>
  <c r="BJ319" i="2"/>
  <c r="BI319" i="2"/>
  <c r="AZ319" i="2" s="1"/>
  <c r="BH319" i="2"/>
  <c r="AX319" i="2" s="1"/>
  <c r="BC319" i="2"/>
  <c r="F319" i="2"/>
  <c r="D319" i="2"/>
  <c r="C319" i="2"/>
  <c r="DN318" i="2"/>
  <c r="CX318" i="2" s="1"/>
  <c r="DM318" i="2"/>
  <c r="BQ318" i="2"/>
  <c r="BP318" i="2"/>
  <c r="BE318" i="2" s="1"/>
  <c r="BO318" i="2"/>
  <c r="BN318" i="2"/>
  <c r="BM318" i="2"/>
  <c r="BG318" i="2" s="1"/>
  <c r="BL318" i="2"/>
  <c r="BK318" i="2"/>
  <c r="BJ318" i="2"/>
  <c r="BF318" i="2" s="1"/>
  <c r="BI318" i="2"/>
  <c r="BC318" i="2" s="1"/>
  <c r="BH318" i="2"/>
  <c r="AY318" i="2" s="1"/>
  <c r="AZ318" i="2"/>
  <c r="AX318" i="2"/>
  <c r="AV318" i="2"/>
  <c r="F318" i="2"/>
  <c r="D318" i="2"/>
  <c r="C318" i="2"/>
  <c r="DM317" i="2"/>
  <c r="DN317" i="2" s="1"/>
  <c r="BQ317" i="2"/>
  <c r="BP317" i="2"/>
  <c r="BO317" i="2"/>
  <c r="BN317" i="2"/>
  <c r="BM317" i="2"/>
  <c r="AV317" i="2" s="1"/>
  <c r="BL317" i="2"/>
  <c r="BK317" i="2"/>
  <c r="BJ317" i="2"/>
  <c r="BF317" i="2" s="1"/>
  <c r="BI317" i="2"/>
  <c r="BH317" i="2"/>
  <c r="AX317" i="2" s="1"/>
  <c r="AY317" i="2"/>
  <c r="F317" i="2"/>
  <c r="D317" i="2"/>
  <c r="C317" i="2"/>
  <c r="DN316" i="2"/>
  <c r="CZ316" i="2" s="1"/>
  <c r="DM316" i="2"/>
  <c r="DL316" i="2"/>
  <c r="DJ316" i="2"/>
  <c r="DI316" i="2"/>
  <c r="DH316" i="2"/>
  <c r="DG316" i="2"/>
  <c r="DF316" i="2"/>
  <c r="DE316" i="2"/>
  <c r="DK316" i="2" s="1"/>
  <c r="DD316" i="2"/>
  <c r="DC316" i="2"/>
  <c r="DB316" i="2"/>
  <c r="DA316" i="2"/>
  <c r="CY316" i="2"/>
  <c r="CX316" i="2"/>
  <c r="BQ316" i="2"/>
  <c r="BP316" i="2"/>
  <c r="BO316" i="2"/>
  <c r="BN316" i="2"/>
  <c r="BM316" i="2"/>
  <c r="BL316" i="2"/>
  <c r="BK316" i="2"/>
  <c r="BJ316" i="2"/>
  <c r="AV316" i="2" s="1"/>
  <c r="BI316" i="2"/>
  <c r="BE316" i="2" s="1"/>
  <c r="BH316" i="2"/>
  <c r="BD316" i="2" s="1"/>
  <c r="BG316" i="2"/>
  <c r="AX316" i="2"/>
  <c r="F316" i="2"/>
  <c r="D316" i="2"/>
  <c r="C316" i="2"/>
  <c r="DN315" i="2"/>
  <c r="DH315" i="2" s="1"/>
  <c r="DM315" i="2"/>
  <c r="DK315" i="2"/>
  <c r="DI315" i="2"/>
  <c r="DL315" i="2" s="1"/>
  <c r="DG315" i="2"/>
  <c r="DF315" i="2"/>
  <c r="DE315" i="2"/>
  <c r="DD315" i="2"/>
  <c r="CX315" i="2"/>
  <c r="BQ315" i="2"/>
  <c r="BP315" i="2"/>
  <c r="BO315" i="2"/>
  <c r="BN315" i="2"/>
  <c r="BM315" i="2"/>
  <c r="AV315" i="2" s="1"/>
  <c r="BL315" i="2"/>
  <c r="BK315" i="2"/>
  <c r="BJ315" i="2"/>
  <c r="BF315" i="2" s="1"/>
  <c r="BI315" i="2"/>
  <c r="BE315" i="2" s="1"/>
  <c r="BH315" i="2"/>
  <c r="BD315" i="2" s="1"/>
  <c r="F315" i="2"/>
  <c r="D315" i="2"/>
  <c r="C315" i="2"/>
  <c r="DM314" i="2"/>
  <c r="DN314" i="2" s="1"/>
  <c r="BQ314" i="2"/>
  <c r="BP314" i="2"/>
  <c r="BO314" i="2"/>
  <c r="BN314" i="2"/>
  <c r="BM314" i="2"/>
  <c r="BL314" i="2"/>
  <c r="BK314" i="2"/>
  <c r="BJ314" i="2"/>
  <c r="BF314" i="2" s="1"/>
  <c r="BI314" i="2"/>
  <c r="BE314" i="2" s="1"/>
  <c r="BH314" i="2"/>
  <c r="BG314" i="2" s="1"/>
  <c r="AV314" i="2"/>
  <c r="F314" i="2"/>
  <c r="D314" i="2"/>
  <c r="C314" i="2"/>
  <c r="DN313" i="2"/>
  <c r="DH313" i="2" s="1"/>
  <c r="DM313" i="2"/>
  <c r="DI313" i="2"/>
  <c r="DL313" i="2" s="1"/>
  <c r="DG313" i="2"/>
  <c r="DE313" i="2"/>
  <c r="DK313" i="2" s="1"/>
  <c r="DD313" i="2"/>
  <c r="DC313" i="2"/>
  <c r="DB313" i="2"/>
  <c r="CX313" i="2"/>
  <c r="BQ313" i="2"/>
  <c r="BP313" i="2"/>
  <c r="BO313" i="2"/>
  <c r="BN313" i="2"/>
  <c r="BM313" i="2"/>
  <c r="BL313" i="2"/>
  <c r="BK313" i="2"/>
  <c r="BF313" i="2" s="1"/>
  <c r="BJ313" i="2"/>
  <c r="BI313" i="2"/>
  <c r="BE313" i="2" s="1"/>
  <c r="BH313" i="2"/>
  <c r="BD313" i="2" s="1"/>
  <c r="F313" i="2"/>
  <c r="D313" i="2"/>
  <c r="C313" i="2"/>
  <c r="DM312" i="2"/>
  <c r="DN312" i="2" s="1"/>
  <c r="DH312" i="2" s="1"/>
  <c r="BQ312" i="2"/>
  <c r="BP312" i="2"/>
  <c r="BO312" i="2"/>
  <c r="BN312" i="2"/>
  <c r="BM312" i="2"/>
  <c r="AV312" i="2" s="1"/>
  <c r="BL312" i="2"/>
  <c r="BK312" i="2"/>
  <c r="BC312" i="2" s="1"/>
  <c r="BJ312" i="2"/>
  <c r="BF312" i="2" s="1"/>
  <c r="BI312" i="2"/>
  <c r="BH312" i="2"/>
  <c r="BG312" i="2" s="1"/>
  <c r="AZ312" i="2"/>
  <c r="F312" i="2"/>
  <c r="D312" i="2"/>
  <c r="C312" i="2"/>
  <c r="DN311" i="2"/>
  <c r="DD311" i="2" s="1"/>
  <c r="DM311" i="2"/>
  <c r="DG311" i="2"/>
  <c r="DF311" i="2"/>
  <c r="DE311" i="2"/>
  <c r="DK311" i="2" s="1"/>
  <c r="DC311" i="2"/>
  <c r="DB311" i="2"/>
  <c r="DA311" i="2"/>
  <c r="DJ311" i="2" s="1"/>
  <c r="CZ311" i="2"/>
  <c r="CX311" i="2"/>
  <c r="BQ311" i="2"/>
  <c r="BP311" i="2"/>
  <c r="BO311" i="2"/>
  <c r="BN311" i="2"/>
  <c r="BM311" i="2"/>
  <c r="BL311" i="2"/>
  <c r="BK311" i="2"/>
  <c r="BJ311" i="2"/>
  <c r="BI311" i="2"/>
  <c r="BE311" i="2" s="1"/>
  <c r="BH311" i="2"/>
  <c r="BG311" i="2"/>
  <c r="AX311" i="2"/>
  <c r="AV311" i="2"/>
  <c r="F311" i="2"/>
  <c r="D311" i="2"/>
  <c r="C311" i="2"/>
  <c r="DM310" i="2"/>
  <c r="DN310" i="2" s="1"/>
  <c r="DF310" i="2" s="1"/>
  <c r="BQ310" i="2"/>
  <c r="BP310" i="2"/>
  <c r="BO310" i="2"/>
  <c r="BN310" i="2"/>
  <c r="BM310" i="2"/>
  <c r="BG310" i="2" s="1"/>
  <c r="BL310" i="2"/>
  <c r="BK310" i="2"/>
  <c r="BJ310" i="2"/>
  <c r="BI310" i="2"/>
  <c r="AZ310" i="2" s="1"/>
  <c r="BH310" i="2"/>
  <c r="BE310" i="2" s="1"/>
  <c r="F310" i="2"/>
  <c r="D310" i="2"/>
  <c r="C310" i="2"/>
  <c r="DN309" i="2"/>
  <c r="DD309" i="2" s="1"/>
  <c r="DM309" i="2"/>
  <c r="DH309" i="2"/>
  <c r="DE309" i="2"/>
  <c r="DK309" i="2" s="1"/>
  <c r="DC309" i="2"/>
  <c r="DA309" i="2"/>
  <c r="DJ309" i="2" s="1"/>
  <c r="CX309" i="2"/>
  <c r="BQ309" i="2"/>
  <c r="BP309" i="2"/>
  <c r="BO309" i="2"/>
  <c r="BN309" i="2"/>
  <c r="BM309" i="2"/>
  <c r="BL309" i="2"/>
  <c r="BD309" i="2" s="1"/>
  <c r="BK309" i="2"/>
  <c r="BJ309" i="2"/>
  <c r="BF309" i="2" s="1"/>
  <c r="BI309" i="2"/>
  <c r="BH309" i="2"/>
  <c r="AY309" i="2" s="1"/>
  <c r="BG309" i="2"/>
  <c r="AV309" i="2"/>
  <c r="F309" i="2"/>
  <c r="D309" i="2"/>
  <c r="C309" i="2"/>
  <c r="DM308" i="2"/>
  <c r="DN308" i="2" s="1"/>
  <c r="DD308" i="2"/>
  <c r="BQ308" i="2"/>
  <c r="BP308" i="2"/>
  <c r="BO308" i="2"/>
  <c r="BN308" i="2"/>
  <c r="BM308" i="2"/>
  <c r="BL308" i="2"/>
  <c r="BK308" i="2"/>
  <c r="BC308" i="2" s="1"/>
  <c r="BJ308" i="2"/>
  <c r="BI308" i="2"/>
  <c r="BH308" i="2"/>
  <c r="BF308" i="2"/>
  <c r="AZ308" i="2"/>
  <c r="F308" i="2"/>
  <c r="D308" i="2"/>
  <c r="C308" i="2"/>
  <c r="DM307" i="2"/>
  <c r="DN307" i="2" s="1"/>
  <c r="DC307" i="2"/>
  <c r="BQ307" i="2"/>
  <c r="BP307" i="2"/>
  <c r="BO307" i="2"/>
  <c r="BN307" i="2"/>
  <c r="BM307" i="2"/>
  <c r="AV307" i="2" s="1"/>
  <c r="BL307" i="2"/>
  <c r="BK307" i="2"/>
  <c r="BJ307" i="2"/>
  <c r="BF307" i="2" s="1"/>
  <c r="BI307" i="2"/>
  <c r="BH307" i="2"/>
  <c r="BD307" i="2" s="1"/>
  <c r="BG307" i="2"/>
  <c r="BE307" i="2"/>
  <c r="BC307" i="2"/>
  <c r="AZ307" i="2"/>
  <c r="AY307" i="2"/>
  <c r="AX307" i="2"/>
  <c r="F307" i="2"/>
  <c r="D307" i="2"/>
  <c r="C307" i="2"/>
  <c r="DN306" i="2"/>
  <c r="DA306" i="2" s="1"/>
  <c r="DJ306" i="2" s="1"/>
  <c r="DM306" i="2"/>
  <c r="DB306" i="2"/>
  <c r="CX306" i="2"/>
  <c r="BQ306" i="2"/>
  <c r="BP306" i="2"/>
  <c r="BO306" i="2"/>
  <c r="BN306" i="2"/>
  <c r="BM306" i="2"/>
  <c r="AV306" i="2" s="1"/>
  <c r="BL306" i="2"/>
  <c r="BK306" i="2"/>
  <c r="BJ306" i="2"/>
  <c r="BI306" i="2"/>
  <c r="BE306" i="2" s="1"/>
  <c r="BH306" i="2"/>
  <c r="BF306" i="2"/>
  <c r="BD306" i="2"/>
  <c r="AZ306" i="2"/>
  <c r="AX306" i="2"/>
  <c r="F306" i="2"/>
  <c r="D306" i="2"/>
  <c r="C306" i="2"/>
  <c r="DM305" i="2"/>
  <c r="DN305" i="2" s="1"/>
  <c r="DA305" i="2"/>
  <c r="DJ305" i="2" s="1"/>
  <c r="BQ305" i="2"/>
  <c r="BP305" i="2"/>
  <c r="BO305" i="2"/>
  <c r="BN305" i="2"/>
  <c r="BM305" i="2"/>
  <c r="BG305" i="2" s="1"/>
  <c r="BL305" i="2"/>
  <c r="BK305" i="2"/>
  <c r="BJ305" i="2"/>
  <c r="BF305" i="2" s="1"/>
  <c r="BI305" i="2"/>
  <c r="AZ305" i="2" s="1"/>
  <c r="BH305" i="2"/>
  <c r="BD305" i="2" s="1"/>
  <c r="BE305" i="2"/>
  <c r="BC305" i="2"/>
  <c r="AY305" i="2"/>
  <c r="AV305" i="2"/>
  <c r="F305" i="2"/>
  <c r="D305" i="2"/>
  <c r="C305" i="2"/>
  <c r="DN304" i="2"/>
  <c r="CY304" i="2" s="1"/>
  <c r="DM304" i="2"/>
  <c r="DL304" i="2"/>
  <c r="DI304" i="2"/>
  <c r="CZ304" i="2"/>
  <c r="CX304" i="2"/>
  <c r="BQ304" i="2"/>
  <c r="BP304" i="2"/>
  <c r="BO304" i="2"/>
  <c r="BN304" i="2"/>
  <c r="BM304" i="2"/>
  <c r="AV304" i="2" s="1"/>
  <c r="BL304" i="2"/>
  <c r="BK304" i="2"/>
  <c r="BJ304" i="2"/>
  <c r="BF304" i="2" s="1"/>
  <c r="BI304" i="2"/>
  <c r="BC304" i="2" s="1"/>
  <c r="BH304" i="2"/>
  <c r="AY304" i="2" s="1"/>
  <c r="BD304" i="2"/>
  <c r="AZ304" i="2"/>
  <c r="AX304" i="2"/>
  <c r="F304" i="2"/>
  <c r="D304" i="2"/>
  <c r="C304" i="2"/>
  <c r="DM303" i="2"/>
  <c r="DN303" i="2" s="1"/>
  <c r="CY303" i="2" s="1"/>
  <c r="BQ303" i="2"/>
  <c r="BP303" i="2"/>
  <c r="BO303" i="2"/>
  <c r="BF303" i="2" s="1"/>
  <c r="BN303" i="2"/>
  <c r="BM303" i="2"/>
  <c r="AV303" i="2" s="1"/>
  <c r="BL303" i="2"/>
  <c r="AY303" i="2" s="1"/>
  <c r="BK303" i="2"/>
  <c r="BJ303" i="2"/>
  <c r="BI303" i="2"/>
  <c r="AZ303" i="2" s="1"/>
  <c r="BH303" i="2"/>
  <c r="AX303" i="2" s="1"/>
  <c r="BC303" i="2"/>
  <c r="F303" i="2"/>
  <c r="D303" i="2"/>
  <c r="C303" i="2"/>
  <c r="DN302" i="2"/>
  <c r="DM302" i="2"/>
  <c r="BQ302" i="2"/>
  <c r="BP302" i="2"/>
  <c r="BE302" i="2" s="1"/>
  <c r="BO302" i="2"/>
  <c r="BN302" i="2"/>
  <c r="BM302" i="2"/>
  <c r="BG302" i="2" s="1"/>
  <c r="BL302" i="2"/>
  <c r="BK302" i="2"/>
  <c r="BJ302" i="2"/>
  <c r="BF302" i="2" s="1"/>
  <c r="BI302" i="2"/>
  <c r="BC302" i="2" s="1"/>
  <c r="BH302" i="2"/>
  <c r="AY302" i="2" s="1"/>
  <c r="AZ302" i="2"/>
  <c r="AX302" i="2"/>
  <c r="AW302" i="2" s="1"/>
  <c r="AV302" i="2"/>
  <c r="F302" i="2"/>
  <c r="D302" i="2"/>
  <c r="C302" i="2"/>
  <c r="DM301" i="2"/>
  <c r="DN301" i="2" s="1"/>
  <c r="BQ301" i="2"/>
  <c r="BP301" i="2"/>
  <c r="BO301" i="2"/>
  <c r="BN301" i="2"/>
  <c r="BM301" i="2"/>
  <c r="AV301" i="2" s="1"/>
  <c r="BL301" i="2"/>
  <c r="BK301" i="2"/>
  <c r="BJ301" i="2"/>
  <c r="BF301" i="2" s="1"/>
  <c r="BI301" i="2"/>
  <c r="BE301" i="2" s="1"/>
  <c r="BH301" i="2"/>
  <c r="AX301" i="2" s="1"/>
  <c r="AY301" i="2"/>
  <c r="F301" i="2"/>
  <c r="D301" i="2"/>
  <c r="C301" i="2"/>
  <c r="DN300" i="2"/>
  <c r="CZ300" i="2" s="1"/>
  <c r="DM300" i="2"/>
  <c r="DL300" i="2"/>
  <c r="DJ300" i="2"/>
  <c r="DI300" i="2"/>
  <c r="DH300" i="2"/>
  <c r="DG300" i="2"/>
  <c r="DF300" i="2"/>
  <c r="DE300" i="2"/>
  <c r="DK300" i="2" s="1"/>
  <c r="DD300" i="2"/>
  <c r="DC300" i="2"/>
  <c r="DB300" i="2"/>
  <c r="DA300" i="2"/>
  <c r="CY300" i="2"/>
  <c r="CX300" i="2"/>
  <c r="BQ300" i="2"/>
  <c r="BP300" i="2"/>
  <c r="BO300" i="2"/>
  <c r="BN300" i="2"/>
  <c r="BM300" i="2"/>
  <c r="BL300" i="2"/>
  <c r="BK300" i="2"/>
  <c r="BJ300" i="2"/>
  <c r="AV300" i="2" s="1"/>
  <c r="BI300" i="2"/>
  <c r="BH300" i="2"/>
  <c r="BD300" i="2" s="1"/>
  <c r="BG300" i="2"/>
  <c r="AX300" i="2"/>
  <c r="F300" i="2"/>
  <c r="D300" i="2"/>
  <c r="C300" i="2"/>
  <c r="DN299" i="2"/>
  <c r="DH299" i="2" s="1"/>
  <c r="DM299" i="2"/>
  <c r="DK299" i="2"/>
  <c r="DI299" i="2"/>
  <c r="DL299" i="2" s="1"/>
  <c r="DG299" i="2"/>
  <c r="DF299" i="2"/>
  <c r="DE299" i="2"/>
  <c r="DD299" i="2"/>
  <c r="CX299" i="2"/>
  <c r="BQ299" i="2"/>
  <c r="BP299" i="2"/>
  <c r="BO299" i="2"/>
  <c r="BN299" i="2"/>
  <c r="BM299" i="2"/>
  <c r="AV299" i="2" s="1"/>
  <c r="BL299" i="2"/>
  <c r="BK299" i="2"/>
  <c r="BJ299" i="2"/>
  <c r="BF299" i="2" s="1"/>
  <c r="BI299" i="2"/>
  <c r="BH299" i="2"/>
  <c r="BD299" i="2" s="1"/>
  <c r="F299" i="2"/>
  <c r="D299" i="2"/>
  <c r="C299" i="2"/>
  <c r="DM298" i="2"/>
  <c r="DN298" i="2" s="1"/>
  <c r="BQ298" i="2"/>
  <c r="BP298" i="2"/>
  <c r="BO298" i="2"/>
  <c r="BN298" i="2"/>
  <c r="BM298" i="2"/>
  <c r="BL298" i="2"/>
  <c r="BK298" i="2"/>
  <c r="BJ298" i="2"/>
  <c r="BF298" i="2" s="1"/>
  <c r="BI298" i="2"/>
  <c r="BE298" i="2" s="1"/>
  <c r="BH298" i="2"/>
  <c r="BD298" i="2" s="1"/>
  <c r="BG298" i="2"/>
  <c r="AV298" i="2"/>
  <c r="F298" i="2"/>
  <c r="D298" i="2"/>
  <c r="C298" i="2"/>
  <c r="DN297" i="2"/>
  <c r="DH297" i="2" s="1"/>
  <c r="DM297" i="2"/>
  <c r="DI297" i="2"/>
  <c r="DL297" i="2" s="1"/>
  <c r="DG297" i="2"/>
  <c r="DE297" i="2"/>
  <c r="DK297" i="2" s="1"/>
  <c r="DD297" i="2"/>
  <c r="DC297" i="2"/>
  <c r="DB297" i="2"/>
  <c r="CX297" i="2"/>
  <c r="BQ297" i="2"/>
  <c r="BP297" i="2"/>
  <c r="BO297" i="2"/>
  <c r="BN297" i="2"/>
  <c r="BM297" i="2"/>
  <c r="BL297" i="2"/>
  <c r="BK297" i="2"/>
  <c r="BF297" i="2" s="1"/>
  <c r="BJ297" i="2"/>
  <c r="BI297" i="2"/>
  <c r="BE297" i="2" s="1"/>
  <c r="BH297" i="2"/>
  <c r="F297" i="2"/>
  <c r="D297" i="2"/>
  <c r="C297" i="2"/>
  <c r="DM296" i="2"/>
  <c r="DN296" i="2" s="1"/>
  <c r="DH296" i="2" s="1"/>
  <c r="DD296" i="2"/>
  <c r="BQ296" i="2"/>
  <c r="BP296" i="2"/>
  <c r="BO296" i="2"/>
  <c r="BN296" i="2"/>
  <c r="BM296" i="2"/>
  <c r="AV296" i="2" s="1"/>
  <c r="BL296" i="2"/>
  <c r="BK296" i="2"/>
  <c r="BJ296" i="2"/>
  <c r="BF296" i="2" s="1"/>
  <c r="BI296" i="2"/>
  <c r="BH296" i="2"/>
  <c r="AZ296" i="2"/>
  <c r="F296" i="2"/>
  <c r="D296" i="2"/>
  <c r="C296" i="2"/>
  <c r="DN295" i="2"/>
  <c r="DF295" i="2" s="1"/>
  <c r="DM295" i="2"/>
  <c r="DG295" i="2"/>
  <c r="DE295" i="2"/>
  <c r="DK295" i="2" s="1"/>
  <c r="DC295" i="2"/>
  <c r="DB295" i="2"/>
  <c r="DA295" i="2"/>
  <c r="DJ295" i="2" s="1"/>
  <c r="CZ295" i="2"/>
  <c r="CX295" i="2"/>
  <c r="BQ295" i="2"/>
  <c r="BP295" i="2"/>
  <c r="BO295" i="2"/>
  <c r="BN295" i="2"/>
  <c r="BM295" i="2"/>
  <c r="BL295" i="2"/>
  <c r="BK295" i="2"/>
  <c r="BJ295" i="2"/>
  <c r="BI295" i="2"/>
  <c r="BE295" i="2" s="1"/>
  <c r="BH295" i="2"/>
  <c r="BG295" i="2"/>
  <c r="AX295" i="2"/>
  <c r="AV295" i="2"/>
  <c r="F295" i="2"/>
  <c r="D295" i="2"/>
  <c r="C295" i="2"/>
  <c r="DM294" i="2"/>
  <c r="DN294" i="2" s="1"/>
  <c r="DB294" i="2" s="1"/>
  <c r="DF294" i="2"/>
  <c r="BQ294" i="2"/>
  <c r="BP294" i="2"/>
  <c r="BO294" i="2"/>
  <c r="BN294" i="2"/>
  <c r="BM294" i="2"/>
  <c r="BG294" i="2" s="1"/>
  <c r="BL294" i="2"/>
  <c r="BK294" i="2"/>
  <c r="BJ294" i="2"/>
  <c r="BC294" i="2" s="1"/>
  <c r="BI294" i="2"/>
  <c r="AZ294" i="2" s="1"/>
  <c r="BH294" i="2"/>
  <c r="BE294" i="2" s="1"/>
  <c r="BF294" i="2"/>
  <c r="F294" i="2"/>
  <c r="D294" i="2"/>
  <c r="C294" i="2"/>
  <c r="DN293" i="2"/>
  <c r="DD293" i="2" s="1"/>
  <c r="DM293" i="2"/>
  <c r="DE293" i="2"/>
  <c r="DK293" i="2" s="1"/>
  <c r="DC293" i="2"/>
  <c r="DA293" i="2"/>
  <c r="DJ293" i="2" s="1"/>
  <c r="CX293" i="2"/>
  <c r="BQ293" i="2"/>
  <c r="BP293" i="2"/>
  <c r="BO293" i="2"/>
  <c r="BN293" i="2"/>
  <c r="BM293" i="2"/>
  <c r="BL293" i="2"/>
  <c r="BD293" i="2" s="1"/>
  <c r="BK293" i="2"/>
  <c r="BJ293" i="2"/>
  <c r="BF293" i="2" s="1"/>
  <c r="BI293" i="2"/>
  <c r="BH293" i="2"/>
  <c r="AY293" i="2" s="1"/>
  <c r="BG293" i="2"/>
  <c r="BE293" i="2"/>
  <c r="AX293" i="2"/>
  <c r="AV293" i="2"/>
  <c r="F293" i="2"/>
  <c r="D293" i="2"/>
  <c r="C293" i="2"/>
  <c r="DM292" i="2"/>
  <c r="DN292" i="2" s="1"/>
  <c r="DD292" i="2"/>
  <c r="CZ292" i="2"/>
  <c r="BQ292" i="2"/>
  <c r="BP292" i="2"/>
  <c r="BO292" i="2"/>
  <c r="BN292" i="2"/>
  <c r="BM292" i="2"/>
  <c r="BG292" i="2" s="1"/>
  <c r="BL292" i="2"/>
  <c r="BK292" i="2"/>
  <c r="BC292" i="2" s="1"/>
  <c r="BJ292" i="2"/>
  <c r="BI292" i="2"/>
  <c r="BE292" i="2" s="1"/>
  <c r="BH292" i="2"/>
  <c r="BF292" i="2"/>
  <c r="AZ292" i="2"/>
  <c r="F292" i="2"/>
  <c r="D292" i="2"/>
  <c r="C292" i="2"/>
  <c r="DM291" i="2"/>
  <c r="DN291" i="2" s="1"/>
  <c r="DC291" i="2" s="1"/>
  <c r="CY291" i="2"/>
  <c r="BQ291" i="2"/>
  <c r="BP291" i="2"/>
  <c r="BO291" i="2"/>
  <c r="BN291" i="2"/>
  <c r="BM291" i="2"/>
  <c r="AV291" i="2" s="1"/>
  <c r="BL291" i="2"/>
  <c r="BK291" i="2"/>
  <c r="BJ291" i="2"/>
  <c r="BF291" i="2" s="1"/>
  <c r="BI291" i="2"/>
  <c r="BH291" i="2"/>
  <c r="BD291" i="2" s="1"/>
  <c r="BG291" i="2"/>
  <c r="BE291" i="2"/>
  <c r="BC291" i="2"/>
  <c r="AZ291" i="2"/>
  <c r="AY291" i="2"/>
  <c r="AX291" i="2"/>
  <c r="F291" i="2"/>
  <c r="D291" i="2"/>
  <c r="C291" i="2"/>
  <c r="DN290" i="2"/>
  <c r="DB290" i="2" s="1"/>
  <c r="DM290" i="2"/>
  <c r="BQ290" i="2"/>
  <c r="BP290" i="2"/>
  <c r="BO290" i="2"/>
  <c r="BN290" i="2"/>
  <c r="BM290" i="2"/>
  <c r="AV290" i="2" s="1"/>
  <c r="BL290" i="2"/>
  <c r="BK290" i="2"/>
  <c r="BJ290" i="2"/>
  <c r="BI290" i="2"/>
  <c r="BE290" i="2" s="1"/>
  <c r="BH290" i="2"/>
  <c r="BF290" i="2"/>
  <c r="BD290" i="2"/>
  <c r="AZ290" i="2"/>
  <c r="AX290" i="2"/>
  <c r="F290" i="2"/>
  <c r="D290" i="2"/>
  <c r="C290" i="2"/>
  <c r="DM289" i="2"/>
  <c r="DN289" i="2" s="1"/>
  <c r="DA289" i="2"/>
  <c r="DJ289" i="2" s="1"/>
  <c r="BQ289" i="2"/>
  <c r="BP289" i="2"/>
  <c r="BO289" i="2"/>
  <c r="BN289" i="2"/>
  <c r="BM289" i="2"/>
  <c r="BG289" i="2" s="1"/>
  <c r="BL289" i="2"/>
  <c r="BK289" i="2"/>
  <c r="BJ289" i="2"/>
  <c r="BF289" i="2" s="1"/>
  <c r="BI289" i="2"/>
  <c r="AZ289" i="2" s="1"/>
  <c r="BH289" i="2"/>
  <c r="BD289" i="2" s="1"/>
  <c r="BE289" i="2"/>
  <c r="BC289" i="2"/>
  <c r="AY289" i="2"/>
  <c r="AV289" i="2"/>
  <c r="F289" i="2"/>
  <c r="D289" i="2"/>
  <c r="C289" i="2"/>
  <c r="DN288" i="2"/>
  <c r="CY288" i="2" s="1"/>
  <c r="DM288" i="2"/>
  <c r="DL288" i="2"/>
  <c r="DI288" i="2"/>
  <c r="CZ288" i="2"/>
  <c r="CX288" i="2"/>
  <c r="BQ288" i="2"/>
  <c r="BP288" i="2"/>
  <c r="BO288" i="2"/>
  <c r="BN288" i="2"/>
  <c r="BM288" i="2"/>
  <c r="AV288" i="2" s="1"/>
  <c r="BL288" i="2"/>
  <c r="BK288" i="2"/>
  <c r="BJ288" i="2"/>
  <c r="BI288" i="2"/>
  <c r="BC288" i="2" s="1"/>
  <c r="BH288" i="2"/>
  <c r="AY288" i="2" s="1"/>
  <c r="BD288" i="2"/>
  <c r="AZ288" i="2"/>
  <c r="AX288" i="2"/>
  <c r="F288" i="2"/>
  <c r="D288" i="2"/>
  <c r="C288" i="2"/>
  <c r="DM287" i="2"/>
  <c r="DN287" i="2" s="1"/>
  <c r="CY287" i="2" s="1"/>
  <c r="BQ287" i="2"/>
  <c r="BP287" i="2"/>
  <c r="BO287" i="2"/>
  <c r="BF287" i="2" s="1"/>
  <c r="BN287" i="2"/>
  <c r="BM287" i="2"/>
  <c r="AV287" i="2" s="1"/>
  <c r="BL287" i="2"/>
  <c r="AY287" i="2" s="1"/>
  <c r="BK287" i="2"/>
  <c r="BJ287" i="2"/>
  <c r="BI287" i="2"/>
  <c r="AZ287" i="2" s="1"/>
  <c r="BH287" i="2"/>
  <c r="AX287" i="2" s="1"/>
  <c r="BC287" i="2"/>
  <c r="AW287" i="2"/>
  <c r="F287" i="2"/>
  <c r="D287" i="2"/>
  <c r="C287" i="2"/>
  <c r="DN286" i="2"/>
  <c r="DG286" i="2" s="1"/>
  <c r="DM286" i="2"/>
  <c r="BQ286" i="2"/>
  <c r="BP286" i="2"/>
  <c r="BE286" i="2" s="1"/>
  <c r="BO286" i="2"/>
  <c r="BN286" i="2"/>
  <c r="AZ286" i="2" s="1"/>
  <c r="BM286" i="2"/>
  <c r="BG286" i="2" s="1"/>
  <c r="BL286" i="2"/>
  <c r="BK286" i="2"/>
  <c r="BJ286" i="2"/>
  <c r="BF286" i="2" s="1"/>
  <c r="BI286" i="2"/>
  <c r="BH286" i="2"/>
  <c r="AY286" i="2" s="1"/>
  <c r="AX286" i="2"/>
  <c r="AV286" i="2"/>
  <c r="F286" i="2"/>
  <c r="D286" i="2"/>
  <c r="C286" i="2"/>
  <c r="DM285" i="2"/>
  <c r="DN285" i="2" s="1"/>
  <c r="DI285" i="2" s="1"/>
  <c r="DL285" i="2" s="1"/>
  <c r="DF285" i="2"/>
  <c r="BQ285" i="2"/>
  <c r="BP285" i="2"/>
  <c r="BO285" i="2"/>
  <c r="BN285" i="2"/>
  <c r="BM285" i="2"/>
  <c r="BL285" i="2"/>
  <c r="BK285" i="2"/>
  <c r="BJ285" i="2"/>
  <c r="BF285" i="2" s="1"/>
  <c r="BI285" i="2"/>
  <c r="BE285" i="2" s="1"/>
  <c r="BH285" i="2"/>
  <c r="AX285" i="2" s="1"/>
  <c r="AY285" i="2"/>
  <c r="F285" i="2"/>
  <c r="D285" i="2"/>
  <c r="C285" i="2"/>
  <c r="DN284" i="2"/>
  <c r="CZ284" i="2" s="1"/>
  <c r="DM284" i="2"/>
  <c r="DL284" i="2"/>
  <c r="DJ284" i="2"/>
  <c r="DI284" i="2"/>
  <c r="DH284" i="2"/>
  <c r="DG284" i="2"/>
  <c r="DF284" i="2"/>
  <c r="DE284" i="2"/>
  <c r="DK284" i="2" s="1"/>
  <c r="DD284" i="2"/>
  <c r="DC284" i="2"/>
  <c r="DB284" i="2"/>
  <c r="DA284" i="2"/>
  <c r="CY284" i="2"/>
  <c r="CX284" i="2"/>
  <c r="BQ284" i="2"/>
  <c r="BP284" i="2"/>
  <c r="BO284" i="2"/>
  <c r="BN284" i="2"/>
  <c r="BM284" i="2"/>
  <c r="BL284" i="2"/>
  <c r="BK284" i="2"/>
  <c r="BJ284" i="2"/>
  <c r="AV284" i="2" s="1"/>
  <c r="BI284" i="2"/>
  <c r="BH284" i="2"/>
  <c r="BD284" i="2" s="1"/>
  <c r="BG284" i="2"/>
  <c r="AX284" i="2"/>
  <c r="F284" i="2"/>
  <c r="D284" i="2"/>
  <c r="C284" i="2"/>
  <c r="DN283" i="2"/>
  <c r="DH283" i="2" s="1"/>
  <c r="DM283" i="2"/>
  <c r="DK283" i="2"/>
  <c r="DI283" i="2"/>
  <c r="DL283" i="2" s="1"/>
  <c r="DG283" i="2"/>
  <c r="DF283" i="2"/>
  <c r="DE283" i="2"/>
  <c r="DD283" i="2"/>
  <c r="CX283" i="2"/>
  <c r="BQ283" i="2"/>
  <c r="BP283" i="2"/>
  <c r="BO283" i="2"/>
  <c r="BN283" i="2"/>
  <c r="BM283" i="2"/>
  <c r="BL283" i="2"/>
  <c r="BK283" i="2"/>
  <c r="BJ283" i="2"/>
  <c r="BF283" i="2" s="1"/>
  <c r="BI283" i="2"/>
  <c r="BH283" i="2"/>
  <c r="F283" i="2"/>
  <c r="D283" i="2"/>
  <c r="C283" i="2"/>
  <c r="DM282" i="2"/>
  <c r="DN282" i="2" s="1"/>
  <c r="DH282" i="2" s="1"/>
  <c r="BQ282" i="2"/>
  <c r="BP282" i="2"/>
  <c r="BO282" i="2"/>
  <c r="BN282" i="2"/>
  <c r="BM282" i="2"/>
  <c r="BL282" i="2"/>
  <c r="BK282" i="2"/>
  <c r="BJ282" i="2"/>
  <c r="BF282" i="2" s="1"/>
  <c r="BI282" i="2"/>
  <c r="BH282" i="2"/>
  <c r="BG282" i="2"/>
  <c r="F282" i="2"/>
  <c r="D282" i="2"/>
  <c r="C282" i="2"/>
  <c r="DN281" i="2"/>
  <c r="DH281" i="2" s="1"/>
  <c r="DM281" i="2"/>
  <c r="DI281" i="2"/>
  <c r="DL281" i="2" s="1"/>
  <c r="DG281" i="2"/>
  <c r="DE281" i="2"/>
  <c r="DK281" i="2" s="1"/>
  <c r="DD281" i="2"/>
  <c r="DC281" i="2"/>
  <c r="DB281" i="2"/>
  <c r="CX281" i="2"/>
  <c r="BQ281" i="2"/>
  <c r="BP281" i="2"/>
  <c r="BO281" i="2"/>
  <c r="BN281" i="2"/>
  <c r="BM281" i="2"/>
  <c r="AV281" i="2" s="1"/>
  <c r="BL281" i="2"/>
  <c r="BK281" i="2"/>
  <c r="BJ281" i="2"/>
  <c r="BI281" i="2"/>
  <c r="BH281" i="2"/>
  <c r="BF281" i="2"/>
  <c r="F281" i="2"/>
  <c r="D281" i="2"/>
  <c r="C281" i="2"/>
  <c r="DM280" i="2"/>
  <c r="DN280" i="2" s="1"/>
  <c r="DH280" i="2" s="1"/>
  <c r="DF280" i="2"/>
  <c r="DD280" i="2"/>
  <c r="DB280" i="2"/>
  <c r="DA280" i="2"/>
  <c r="DJ280" i="2" s="1"/>
  <c r="BQ280" i="2"/>
  <c r="BP280" i="2"/>
  <c r="BO280" i="2"/>
  <c r="BN280" i="2"/>
  <c r="BM280" i="2"/>
  <c r="AV280" i="2" s="1"/>
  <c r="BL280" i="2"/>
  <c r="BK280" i="2"/>
  <c r="BJ280" i="2"/>
  <c r="BC280" i="2" s="1"/>
  <c r="BI280" i="2"/>
  <c r="BH280" i="2"/>
  <c r="BE280" i="2" s="1"/>
  <c r="AZ280" i="2"/>
  <c r="F280" i="2"/>
  <c r="D280" i="2"/>
  <c r="C280" i="2"/>
  <c r="DN279" i="2"/>
  <c r="DF279" i="2" s="1"/>
  <c r="DM279" i="2"/>
  <c r="DG279" i="2"/>
  <c r="DE279" i="2"/>
  <c r="DK279" i="2" s="1"/>
  <c r="DC279" i="2"/>
  <c r="DB279" i="2"/>
  <c r="DA279" i="2"/>
  <c r="DJ279" i="2" s="1"/>
  <c r="CZ279" i="2"/>
  <c r="CX279" i="2"/>
  <c r="BQ279" i="2"/>
  <c r="BP279" i="2"/>
  <c r="BO279" i="2"/>
  <c r="BN279" i="2"/>
  <c r="BM279" i="2"/>
  <c r="BL279" i="2"/>
  <c r="BK279" i="2"/>
  <c r="BF279" i="2" s="1"/>
  <c r="BJ279" i="2"/>
  <c r="BI279" i="2"/>
  <c r="BE279" i="2" s="1"/>
  <c r="BH279" i="2"/>
  <c r="BG279" i="2"/>
  <c r="AX279" i="2"/>
  <c r="AV279" i="2"/>
  <c r="F279" i="2"/>
  <c r="D279" i="2"/>
  <c r="C279" i="2"/>
  <c r="DM278" i="2"/>
  <c r="DN278" i="2" s="1"/>
  <c r="DD278" i="2" s="1"/>
  <c r="DI278" i="2"/>
  <c r="DL278" i="2" s="1"/>
  <c r="DF278" i="2"/>
  <c r="CY278" i="2"/>
  <c r="BQ278" i="2"/>
  <c r="BP278" i="2"/>
  <c r="BO278" i="2"/>
  <c r="BN278" i="2"/>
  <c r="BM278" i="2"/>
  <c r="BL278" i="2"/>
  <c r="BK278" i="2"/>
  <c r="BJ278" i="2"/>
  <c r="BF278" i="2" s="1"/>
  <c r="BI278" i="2"/>
  <c r="AZ278" i="2" s="1"/>
  <c r="BH278" i="2"/>
  <c r="F278" i="2"/>
  <c r="D278" i="2"/>
  <c r="C278" i="2"/>
  <c r="DN277" i="2"/>
  <c r="DM277" i="2"/>
  <c r="CX277" i="2"/>
  <c r="BQ277" i="2"/>
  <c r="BP277" i="2"/>
  <c r="BO277" i="2"/>
  <c r="BN277" i="2"/>
  <c r="BM277" i="2"/>
  <c r="BL277" i="2"/>
  <c r="BD277" i="2" s="1"/>
  <c r="BK277" i="2"/>
  <c r="BJ277" i="2"/>
  <c r="BF277" i="2" s="1"/>
  <c r="BI277" i="2"/>
  <c r="BE277" i="2" s="1"/>
  <c r="BH277" i="2"/>
  <c r="AY277" i="2" s="1"/>
  <c r="BG277" i="2"/>
  <c r="AX277" i="2"/>
  <c r="AV277" i="2"/>
  <c r="F277" i="2"/>
  <c r="D277" i="2"/>
  <c r="C277" i="2"/>
  <c r="A277" i="2"/>
  <c r="DN276" i="2"/>
  <c r="DH276" i="2" s="1"/>
  <c r="DM276" i="2"/>
  <c r="DC276" i="2"/>
  <c r="DA276" i="2"/>
  <c r="DJ276" i="2" s="1"/>
  <c r="CY276" i="2"/>
  <c r="CX276" i="2"/>
  <c r="BQ276" i="2"/>
  <c r="BP276" i="2"/>
  <c r="BO276" i="2"/>
  <c r="BN276" i="2"/>
  <c r="BM276" i="2"/>
  <c r="BL276" i="2"/>
  <c r="BD276" i="2" s="1"/>
  <c r="BK276" i="2"/>
  <c r="BJ276" i="2"/>
  <c r="BF276" i="2" s="1"/>
  <c r="BI276" i="2"/>
  <c r="BE276" i="2" s="1"/>
  <c r="BH276" i="2"/>
  <c r="BG276" i="2"/>
  <c r="BC276" i="2"/>
  <c r="AZ276" i="2"/>
  <c r="AX276" i="2"/>
  <c r="AV276" i="2"/>
  <c r="F276" i="2"/>
  <c r="D276" i="2"/>
  <c r="C276" i="2"/>
  <c r="DM275" i="2"/>
  <c r="DN275" i="2" s="1"/>
  <c r="BQ275" i="2"/>
  <c r="BP275" i="2"/>
  <c r="BO275" i="2"/>
  <c r="BN275" i="2"/>
  <c r="BM275" i="2"/>
  <c r="BL275" i="2"/>
  <c r="BK275" i="2"/>
  <c r="BC275" i="2" s="1"/>
  <c r="BJ275" i="2"/>
  <c r="BI275" i="2"/>
  <c r="BH275" i="2"/>
  <c r="AX275" i="2" s="1"/>
  <c r="AZ275" i="2"/>
  <c r="F275" i="2"/>
  <c r="D275" i="2"/>
  <c r="C275" i="2"/>
  <c r="DM274" i="2"/>
  <c r="DN274" i="2" s="1"/>
  <c r="BQ274" i="2"/>
  <c r="BP274" i="2"/>
  <c r="BO274" i="2"/>
  <c r="BN274" i="2"/>
  <c r="BM274" i="2"/>
  <c r="BL274" i="2"/>
  <c r="BK274" i="2"/>
  <c r="BJ274" i="2"/>
  <c r="BF274" i="2" s="1"/>
  <c r="BI274" i="2"/>
  <c r="BH274" i="2"/>
  <c r="BD274" i="2" s="1"/>
  <c r="BG274" i="2"/>
  <c r="BE274" i="2"/>
  <c r="AZ274" i="2"/>
  <c r="AY274" i="2"/>
  <c r="AX274" i="2"/>
  <c r="F274" i="2"/>
  <c r="D274" i="2"/>
  <c r="C274" i="2"/>
  <c r="DN273" i="2"/>
  <c r="DM273" i="2"/>
  <c r="DG273" i="2"/>
  <c r="DE273" i="2"/>
  <c r="DK273" i="2" s="1"/>
  <c r="DB273" i="2"/>
  <c r="CZ273" i="2"/>
  <c r="CX273" i="2"/>
  <c r="BQ273" i="2"/>
  <c r="BP273" i="2"/>
  <c r="BO273" i="2"/>
  <c r="BN273" i="2"/>
  <c r="BM273" i="2"/>
  <c r="AV273" i="2" s="1"/>
  <c r="BL273" i="2"/>
  <c r="BK273" i="2"/>
  <c r="BJ273" i="2"/>
  <c r="BI273" i="2"/>
  <c r="BH273" i="2"/>
  <c r="BF273" i="2"/>
  <c r="BD273" i="2"/>
  <c r="AZ273" i="2"/>
  <c r="AX273" i="2"/>
  <c r="F273" i="2"/>
  <c r="D273" i="2"/>
  <c r="C273" i="2"/>
  <c r="DM272" i="2"/>
  <c r="DN272" i="2" s="1"/>
  <c r="DG272" i="2" s="1"/>
  <c r="BQ272" i="2"/>
  <c r="BP272" i="2"/>
  <c r="BO272" i="2"/>
  <c r="BN272" i="2"/>
  <c r="BC272" i="2" s="1"/>
  <c r="BM272" i="2"/>
  <c r="BL272" i="2"/>
  <c r="BK272" i="2"/>
  <c r="BJ272" i="2"/>
  <c r="AV272" i="2" s="1"/>
  <c r="BI272" i="2"/>
  <c r="AZ272" i="2" s="1"/>
  <c r="BH272" i="2"/>
  <c r="AY272" i="2"/>
  <c r="F272" i="2"/>
  <c r="D272" i="2"/>
  <c r="C272" i="2"/>
  <c r="DN271" i="2"/>
  <c r="DE271" i="2" s="1"/>
  <c r="DK271" i="2" s="1"/>
  <c r="DM271" i="2"/>
  <c r="DL271" i="2"/>
  <c r="DI271" i="2"/>
  <c r="DG271" i="2"/>
  <c r="DF271" i="2"/>
  <c r="DC271" i="2"/>
  <c r="CX271" i="2"/>
  <c r="BQ271" i="2"/>
  <c r="BP271" i="2"/>
  <c r="BO271" i="2"/>
  <c r="BN271" i="2"/>
  <c r="AZ271" i="2" s="1"/>
  <c r="BM271" i="2"/>
  <c r="BD271" i="2" s="1"/>
  <c r="BL271" i="2"/>
  <c r="BK271" i="2"/>
  <c r="BJ271" i="2"/>
  <c r="BI271" i="2"/>
  <c r="BH271" i="2"/>
  <c r="BG271" i="2"/>
  <c r="AX271" i="2"/>
  <c r="F271" i="2"/>
  <c r="D271" i="2"/>
  <c r="C271" i="2"/>
  <c r="DM270" i="2"/>
  <c r="DN270" i="2" s="1"/>
  <c r="DD270" i="2" s="1"/>
  <c r="DI270" i="2"/>
  <c r="DL270" i="2" s="1"/>
  <c r="DH270" i="2"/>
  <c r="DF270" i="2"/>
  <c r="DE270" i="2"/>
  <c r="DK270" i="2" s="1"/>
  <c r="DB270" i="2"/>
  <c r="CY270" i="2"/>
  <c r="BQ270" i="2"/>
  <c r="BP270" i="2"/>
  <c r="BO270" i="2"/>
  <c r="BF270" i="2" s="1"/>
  <c r="BN270" i="2"/>
  <c r="BM270" i="2"/>
  <c r="BL270" i="2"/>
  <c r="BK270" i="2"/>
  <c r="BJ270" i="2"/>
  <c r="BI270" i="2"/>
  <c r="BC270" i="2" s="1"/>
  <c r="BH270" i="2"/>
  <c r="AY270" i="2"/>
  <c r="F270" i="2"/>
  <c r="D270" i="2"/>
  <c r="C270" i="2"/>
  <c r="DN269" i="2"/>
  <c r="DG269" i="2" s="1"/>
  <c r="DM269" i="2"/>
  <c r="DL269" i="2"/>
  <c r="DI269" i="2"/>
  <c r="DH269" i="2"/>
  <c r="DE269" i="2"/>
  <c r="DK269" i="2" s="1"/>
  <c r="DD269" i="2"/>
  <c r="DC269" i="2"/>
  <c r="DA269" i="2"/>
  <c r="DJ269" i="2" s="1"/>
  <c r="CX269" i="2"/>
  <c r="BQ269" i="2"/>
  <c r="BP269" i="2"/>
  <c r="BO269" i="2"/>
  <c r="BN269" i="2"/>
  <c r="BM269" i="2"/>
  <c r="BG269" i="2" s="1"/>
  <c r="BL269" i="2"/>
  <c r="BK269" i="2"/>
  <c r="BJ269" i="2"/>
  <c r="BI269" i="2"/>
  <c r="BH269" i="2"/>
  <c r="BE269" i="2"/>
  <c r="AZ269" i="2"/>
  <c r="AX269" i="2"/>
  <c r="AV269" i="2"/>
  <c r="F269" i="2"/>
  <c r="D269" i="2"/>
  <c r="C269" i="2"/>
  <c r="DM268" i="2"/>
  <c r="DN268" i="2" s="1"/>
  <c r="DI268" i="2"/>
  <c r="DL268" i="2" s="1"/>
  <c r="BQ268" i="2"/>
  <c r="BP268" i="2"/>
  <c r="BO268" i="2"/>
  <c r="BN268" i="2"/>
  <c r="BM268" i="2"/>
  <c r="BL268" i="2"/>
  <c r="BK268" i="2"/>
  <c r="BJ268" i="2"/>
  <c r="BF268" i="2" s="1"/>
  <c r="BI268" i="2"/>
  <c r="BE268" i="2" s="1"/>
  <c r="BH268" i="2"/>
  <c r="AX268" i="2" s="1"/>
  <c r="F268" i="2"/>
  <c r="D268" i="2"/>
  <c r="C268" i="2"/>
  <c r="DN267" i="2"/>
  <c r="CZ267" i="2" s="1"/>
  <c r="DM267" i="2"/>
  <c r="DL267" i="2"/>
  <c r="DI267" i="2"/>
  <c r="DH267" i="2"/>
  <c r="DG267" i="2"/>
  <c r="DF267" i="2"/>
  <c r="DE267" i="2"/>
  <c r="DK267" i="2" s="1"/>
  <c r="DD267" i="2"/>
  <c r="DC267" i="2"/>
  <c r="DB267" i="2"/>
  <c r="DA267" i="2"/>
  <c r="DJ267" i="2" s="1"/>
  <c r="CY267" i="2"/>
  <c r="CX267" i="2"/>
  <c r="BQ267" i="2"/>
  <c r="BP267" i="2"/>
  <c r="BO267" i="2"/>
  <c r="BN267" i="2"/>
  <c r="BM267" i="2"/>
  <c r="BL267" i="2"/>
  <c r="BK267" i="2"/>
  <c r="BJ267" i="2"/>
  <c r="BI267" i="2"/>
  <c r="BH267" i="2"/>
  <c r="BD267" i="2" s="1"/>
  <c r="BG267" i="2"/>
  <c r="BF267" i="2"/>
  <c r="BE267" i="2"/>
  <c r="BC267" i="2"/>
  <c r="AX267" i="2"/>
  <c r="AV267" i="2"/>
  <c r="F267" i="2"/>
  <c r="D267" i="2"/>
  <c r="C267" i="2"/>
  <c r="DN266" i="2"/>
  <c r="DM266" i="2"/>
  <c r="BQ266" i="2"/>
  <c r="BP266" i="2"/>
  <c r="BO266" i="2"/>
  <c r="BE266" i="2" s="1"/>
  <c r="BN266" i="2"/>
  <c r="BM266" i="2"/>
  <c r="BL266" i="2"/>
  <c r="BK266" i="2"/>
  <c r="BJ266" i="2"/>
  <c r="BI266" i="2"/>
  <c r="AZ266" i="2" s="1"/>
  <c r="BH266" i="2"/>
  <c r="F266" i="2"/>
  <c r="D266" i="2"/>
  <c r="C266" i="2"/>
  <c r="DM265" i="2"/>
  <c r="DN265" i="2" s="1"/>
  <c r="DH265" i="2" s="1"/>
  <c r="CZ265" i="2"/>
  <c r="CY265" i="2"/>
  <c r="BQ265" i="2"/>
  <c r="BE265" i="2" s="1"/>
  <c r="BP265" i="2"/>
  <c r="BO265" i="2"/>
  <c r="BN265" i="2"/>
  <c r="BM265" i="2"/>
  <c r="BL265" i="2"/>
  <c r="BK265" i="2"/>
  <c r="BJ265" i="2"/>
  <c r="BF265" i="2" s="1"/>
  <c r="BI265" i="2"/>
  <c r="BC265" i="2" s="1"/>
  <c r="BH265" i="2"/>
  <c r="AX265" i="2" s="1"/>
  <c r="BD265" i="2"/>
  <c r="AY265" i="2"/>
  <c r="AV265" i="2"/>
  <c r="F265" i="2"/>
  <c r="D265" i="2"/>
  <c r="C265" i="2"/>
  <c r="DN264" i="2"/>
  <c r="DM264" i="2"/>
  <c r="DI264" i="2"/>
  <c r="DL264" i="2" s="1"/>
  <c r="DG264" i="2"/>
  <c r="DE264" i="2"/>
  <c r="DK264" i="2" s="1"/>
  <c r="CY264" i="2"/>
  <c r="BQ264" i="2"/>
  <c r="BP264" i="2"/>
  <c r="BO264" i="2"/>
  <c r="BN264" i="2"/>
  <c r="BM264" i="2"/>
  <c r="AV264" i="2" s="1"/>
  <c r="BL264" i="2"/>
  <c r="BK264" i="2"/>
  <c r="BF264" i="2" s="1"/>
  <c r="BJ264" i="2"/>
  <c r="BI264" i="2"/>
  <c r="BH264" i="2"/>
  <c r="BD264" i="2" s="1"/>
  <c r="F264" i="2"/>
  <c r="D264" i="2"/>
  <c r="C264" i="2"/>
  <c r="DN263" i="2"/>
  <c r="DG263" i="2" s="1"/>
  <c r="DM263" i="2"/>
  <c r="DH263" i="2"/>
  <c r="DA263" i="2"/>
  <c r="DJ263" i="2" s="1"/>
  <c r="CX263" i="2"/>
  <c r="BQ263" i="2"/>
  <c r="BG263" i="2" s="1"/>
  <c r="BP263" i="2"/>
  <c r="BO263" i="2"/>
  <c r="BN263" i="2"/>
  <c r="BM263" i="2"/>
  <c r="BL263" i="2"/>
  <c r="BK263" i="2"/>
  <c r="BJ263" i="2"/>
  <c r="BF263" i="2" s="1"/>
  <c r="BI263" i="2"/>
  <c r="BH263" i="2"/>
  <c r="AZ263" i="2"/>
  <c r="AY263" i="2"/>
  <c r="F263" i="2"/>
  <c r="D263" i="2"/>
  <c r="C263" i="2"/>
  <c r="DN262" i="2"/>
  <c r="DM262" i="2"/>
  <c r="BQ262" i="2"/>
  <c r="BP262" i="2"/>
  <c r="BO262" i="2"/>
  <c r="BN262" i="2"/>
  <c r="BM262" i="2"/>
  <c r="BL262" i="2"/>
  <c r="BK262" i="2"/>
  <c r="BJ262" i="2"/>
  <c r="BI262" i="2"/>
  <c r="AZ262" i="2" s="1"/>
  <c r="BH262" i="2"/>
  <c r="BG262" i="2"/>
  <c r="BE262" i="2"/>
  <c r="AX262" i="2"/>
  <c r="F262" i="2"/>
  <c r="D262" i="2"/>
  <c r="C262" i="2"/>
  <c r="DM261" i="2"/>
  <c r="DN261" i="2" s="1"/>
  <c r="DF261" i="2" s="1"/>
  <c r="DI261" i="2"/>
  <c r="DL261" i="2" s="1"/>
  <c r="DE261" i="2"/>
  <c r="DK261" i="2" s="1"/>
  <c r="DD261" i="2"/>
  <c r="DB261" i="2"/>
  <c r="DA261" i="2"/>
  <c r="DJ261" i="2" s="1"/>
  <c r="CZ261" i="2"/>
  <c r="CY261" i="2"/>
  <c r="BQ261" i="2"/>
  <c r="BP261" i="2"/>
  <c r="BO261" i="2"/>
  <c r="BN261" i="2"/>
  <c r="BM261" i="2"/>
  <c r="BL261" i="2"/>
  <c r="BK261" i="2"/>
  <c r="BJ261" i="2"/>
  <c r="BI261" i="2"/>
  <c r="AZ261" i="2" s="1"/>
  <c r="BH261" i="2"/>
  <c r="BF261" i="2"/>
  <c r="BE261" i="2"/>
  <c r="BD261" i="2"/>
  <c r="BC261" i="2"/>
  <c r="AX261" i="2"/>
  <c r="F261" i="2"/>
  <c r="D261" i="2"/>
  <c r="C261" i="2"/>
  <c r="DN260" i="2"/>
  <c r="DH260" i="2" s="1"/>
  <c r="DM260" i="2"/>
  <c r="DE260" i="2"/>
  <c r="DK260" i="2" s="1"/>
  <c r="DD260" i="2"/>
  <c r="DC260" i="2"/>
  <c r="BQ260" i="2"/>
  <c r="BP260" i="2"/>
  <c r="BO260" i="2"/>
  <c r="BN260" i="2"/>
  <c r="BM260" i="2"/>
  <c r="BL260" i="2"/>
  <c r="BK260" i="2"/>
  <c r="BJ260" i="2"/>
  <c r="BI260" i="2"/>
  <c r="BH260" i="2"/>
  <c r="AY260" i="2" s="1"/>
  <c r="BE260" i="2"/>
  <c r="AZ260" i="2"/>
  <c r="AV260" i="2"/>
  <c r="F260" i="2"/>
  <c r="D260" i="2"/>
  <c r="C260" i="2"/>
  <c r="DN259" i="2"/>
  <c r="DH259" i="2" s="1"/>
  <c r="DM259" i="2"/>
  <c r="DI259" i="2"/>
  <c r="DL259" i="2" s="1"/>
  <c r="DG259" i="2"/>
  <c r="DF259" i="2"/>
  <c r="DE259" i="2"/>
  <c r="DK259" i="2" s="1"/>
  <c r="DD259" i="2"/>
  <c r="DC259" i="2"/>
  <c r="DB259" i="2"/>
  <c r="DA259" i="2"/>
  <c r="DJ259" i="2" s="1"/>
  <c r="CZ259" i="2"/>
  <c r="CY259" i="2"/>
  <c r="BQ259" i="2"/>
  <c r="BP259" i="2"/>
  <c r="BO259" i="2"/>
  <c r="BN259" i="2"/>
  <c r="BM259" i="2"/>
  <c r="BL259" i="2"/>
  <c r="BK259" i="2"/>
  <c r="BJ259" i="2"/>
  <c r="BI259" i="2"/>
  <c r="BE259" i="2" s="1"/>
  <c r="BH259" i="2"/>
  <c r="AX259" i="2" s="1"/>
  <c r="BG259" i="2"/>
  <c r="F259" i="2"/>
  <c r="D259" i="2"/>
  <c r="C259" i="2"/>
  <c r="DN258" i="2"/>
  <c r="DI258" i="2" s="1"/>
  <c r="DL258" i="2" s="1"/>
  <c r="DM258" i="2"/>
  <c r="CZ258" i="2"/>
  <c r="CY258" i="2"/>
  <c r="CX258" i="2"/>
  <c r="BQ258" i="2"/>
  <c r="BP258" i="2"/>
  <c r="BO258" i="2"/>
  <c r="BN258" i="2"/>
  <c r="BM258" i="2"/>
  <c r="BG258" i="2" s="1"/>
  <c r="BL258" i="2"/>
  <c r="BK258" i="2"/>
  <c r="BJ258" i="2"/>
  <c r="BI258" i="2"/>
  <c r="BE258" i="2" s="1"/>
  <c r="BH258" i="2"/>
  <c r="BF258" i="2"/>
  <c r="BD258" i="2"/>
  <c r="BC258" i="2"/>
  <c r="AZ258" i="2"/>
  <c r="AY258" i="2"/>
  <c r="AX258" i="2"/>
  <c r="AV258" i="2"/>
  <c r="F258" i="2"/>
  <c r="D258" i="2"/>
  <c r="C258" i="2"/>
  <c r="DN257" i="2"/>
  <c r="DG257" i="2" s="1"/>
  <c r="DM257" i="2"/>
  <c r="DI257" i="2"/>
  <c r="DL257" i="2" s="1"/>
  <c r="DH257" i="2"/>
  <c r="DF257" i="2"/>
  <c r="DC257" i="2"/>
  <c r="BQ257" i="2"/>
  <c r="BP257" i="2"/>
  <c r="BO257" i="2"/>
  <c r="BN257" i="2"/>
  <c r="BM257" i="2"/>
  <c r="BL257" i="2"/>
  <c r="AY257" i="2" s="1"/>
  <c r="BK257" i="2"/>
  <c r="BJ257" i="2"/>
  <c r="BF257" i="2" s="1"/>
  <c r="BI257" i="2"/>
  <c r="BE257" i="2" s="1"/>
  <c r="BH257" i="2"/>
  <c r="F257" i="2"/>
  <c r="D257" i="2"/>
  <c r="C257" i="2"/>
  <c r="DN256" i="2"/>
  <c r="DC256" i="2" s="1"/>
  <c r="DM256" i="2"/>
  <c r="DK256" i="2"/>
  <c r="DI256" i="2"/>
  <c r="DL256" i="2" s="1"/>
  <c r="DH256" i="2"/>
  <c r="DG256" i="2"/>
  <c r="DF256" i="2"/>
  <c r="DE256" i="2"/>
  <c r="DD256" i="2"/>
  <c r="DB256" i="2"/>
  <c r="DA256" i="2"/>
  <c r="DJ256" i="2" s="1"/>
  <c r="CZ256" i="2"/>
  <c r="CX256" i="2"/>
  <c r="BQ256" i="2"/>
  <c r="BP256" i="2"/>
  <c r="BO256" i="2"/>
  <c r="BN256" i="2"/>
  <c r="BM256" i="2"/>
  <c r="BG256" i="2" s="1"/>
  <c r="BL256" i="2"/>
  <c r="BK256" i="2"/>
  <c r="BJ256" i="2"/>
  <c r="BF256" i="2" s="1"/>
  <c r="BI256" i="2"/>
  <c r="BC256" i="2" s="1"/>
  <c r="BH256" i="2"/>
  <c r="BE256" i="2"/>
  <c r="F256" i="2"/>
  <c r="D256" i="2"/>
  <c r="C256" i="2"/>
  <c r="DM255" i="2"/>
  <c r="DN255" i="2" s="1"/>
  <c r="DF255" i="2" s="1"/>
  <c r="BQ255" i="2"/>
  <c r="BP255" i="2"/>
  <c r="BO255" i="2"/>
  <c r="BN255" i="2"/>
  <c r="BM255" i="2"/>
  <c r="BL255" i="2"/>
  <c r="BD255" i="2" s="1"/>
  <c r="BK255" i="2"/>
  <c r="BJ255" i="2"/>
  <c r="BI255" i="2"/>
  <c r="BE255" i="2" s="1"/>
  <c r="BH255" i="2"/>
  <c r="AY255" i="2" s="1"/>
  <c r="BG255" i="2"/>
  <c r="F255" i="2"/>
  <c r="D255" i="2"/>
  <c r="C255" i="2"/>
  <c r="DN254" i="2"/>
  <c r="DC254" i="2" s="1"/>
  <c r="DM254" i="2"/>
  <c r="DI254" i="2"/>
  <c r="DL254" i="2" s="1"/>
  <c r="DG254" i="2"/>
  <c r="DF254" i="2"/>
  <c r="DE254" i="2"/>
  <c r="DK254" i="2" s="1"/>
  <c r="DD254" i="2"/>
  <c r="DB254" i="2"/>
  <c r="CY254" i="2"/>
  <c r="CX254" i="2"/>
  <c r="BQ254" i="2"/>
  <c r="BP254" i="2"/>
  <c r="BO254" i="2"/>
  <c r="BN254" i="2"/>
  <c r="BM254" i="2"/>
  <c r="BG254" i="2" s="1"/>
  <c r="BL254" i="2"/>
  <c r="BK254" i="2"/>
  <c r="BJ254" i="2"/>
  <c r="BF254" i="2" s="1"/>
  <c r="BI254" i="2"/>
  <c r="BH254" i="2"/>
  <c r="BD254" i="2" s="1"/>
  <c r="F254" i="2"/>
  <c r="D254" i="2"/>
  <c r="C254" i="2"/>
  <c r="DN253" i="2"/>
  <c r="DB253" i="2" s="1"/>
  <c r="DM253" i="2"/>
  <c r="DF253" i="2"/>
  <c r="DE253" i="2"/>
  <c r="DK253" i="2" s="1"/>
  <c r="DD253" i="2"/>
  <c r="DC253" i="2"/>
  <c r="CX253" i="2"/>
  <c r="BQ253" i="2"/>
  <c r="BP253" i="2"/>
  <c r="BO253" i="2"/>
  <c r="BN253" i="2"/>
  <c r="BM253" i="2"/>
  <c r="AV253" i="2" s="1"/>
  <c r="BL253" i="2"/>
  <c r="BK253" i="2"/>
  <c r="BJ253" i="2"/>
  <c r="BF253" i="2" s="1"/>
  <c r="BI253" i="2"/>
  <c r="BH253" i="2"/>
  <c r="F253" i="2"/>
  <c r="D253" i="2"/>
  <c r="C253" i="2"/>
  <c r="DM252" i="2"/>
  <c r="DN252" i="2" s="1"/>
  <c r="DC252" i="2"/>
  <c r="BQ252" i="2"/>
  <c r="BP252" i="2"/>
  <c r="BO252" i="2"/>
  <c r="BN252" i="2"/>
  <c r="BM252" i="2"/>
  <c r="AV252" i="2" s="1"/>
  <c r="BL252" i="2"/>
  <c r="BK252" i="2"/>
  <c r="BJ252" i="2"/>
  <c r="BI252" i="2"/>
  <c r="BE252" i="2" s="1"/>
  <c r="BH252" i="2"/>
  <c r="BD252" i="2" s="1"/>
  <c r="BG252" i="2"/>
  <c r="BF252" i="2"/>
  <c r="F252" i="2"/>
  <c r="D252" i="2"/>
  <c r="C252" i="2"/>
  <c r="DM251" i="2"/>
  <c r="DN251" i="2" s="1"/>
  <c r="DB251" i="2" s="1"/>
  <c r="BQ251" i="2"/>
  <c r="BP251" i="2"/>
  <c r="BO251" i="2"/>
  <c r="BN251" i="2"/>
  <c r="BM251" i="2"/>
  <c r="AV251" i="2" s="1"/>
  <c r="BL251" i="2"/>
  <c r="BK251" i="2"/>
  <c r="BJ251" i="2"/>
  <c r="BC251" i="2" s="1"/>
  <c r="BI251" i="2"/>
  <c r="AZ251" i="2" s="1"/>
  <c r="BH251" i="2"/>
  <c r="BE251" i="2" s="1"/>
  <c r="BF251" i="2"/>
  <c r="F251" i="2"/>
  <c r="D251" i="2"/>
  <c r="C251" i="2"/>
  <c r="DN250" i="2"/>
  <c r="CY250" i="2" s="1"/>
  <c r="DM250" i="2"/>
  <c r="DK250" i="2"/>
  <c r="DE250" i="2"/>
  <c r="DC250" i="2"/>
  <c r="DB250" i="2"/>
  <c r="DA250" i="2"/>
  <c r="DJ250" i="2" s="1"/>
  <c r="CZ250" i="2"/>
  <c r="CX250" i="2"/>
  <c r="BQ250" i="2"/>
  <c r="BP250" i="2"/>
  <c r="BO250" i="2"/>
  <c r="BN250" i="2"/>
  <c r="BM250" i="2"/>
  <c r="BL250" i="2"/>
  <c r="BK250" i="2"/>
  <c r="BJ250" i="2"/>
  <c r="BI250" i="2"/>
  <c r="BC250" i="2" s="1"/>
  <c r="BH250" i="2"/>
  <c r="AY250" i="2" s="1"/>
  <c r="BG250" i="2"/>
  <c r="BF250" i="2"/>
  <c r="BE250" i="2"/>
  <c r="BD250" i="2"/>
  <c r="AX250" i="2"/>
  <c r="AV250" i="2"/>
  <c r="F250" i="2"/>
  <c r="D250" i="2"/>
  <c r="C250" i="2"/>
  <c r="DM249" i="2"/>
  <c r="DN249" i="2" s="1"/>
  <c r="CZ249" i="2" s="1"/>
  <c r="BQ249" i="2"/>
  <c r="BP249" i="2"/>
  <c r="BO249" i="2"/>
  <c r="BN249" i="2"/>
  <c r="BM249" i="2"/>
  <c r="BG249" i="2" s="1"/>
  <c r="BL249" i="2"/>
  <c r="BK249" i="2"/>
  <c r="BJ249" i="2"/>
  <c r="BI249" i="2"/>
  <c r="AZ249" i="2" s="1"/>
  <c r="BH249" i="2"/>
  <c r="AY249" i="2" s="1"/>
  <c r="BF249" i="2"/>
  <c r="BE249" i="2"/>
  <c r="BD249" i="2"/>
  <c r="BC249" i="2"/>
  <c r="AV249" i="2"/>
  <c r="F249" i="2"/>
  <c r="D249" i="2"/>
  <c r="C249" i="2"/>
  <c r="DN248" i="2"/>
  <c r="DI248" i="2" s="1"/>
  <c r="DL248" i="2" s="1"/>
  <c r="DM248" i="2"/>
  <c r="DA248" i="2"/>
  <c r="DJ248" i="2" s="1"/>
  <c r="CY248" i="2"/>
  <c r="CX248" i="2"/>
  <c r="BQ248" i="2"/>
  <c r="BP248" i="2"/>
  <c r="BO248" i="2"/>
  <c r="BN248" i="2"/>
  <c r="BM248" i="2"/>
  <c r="AV248" i="2" s="1"/>
  <c r="BL248" i="2"/>
  <c r="BK248" i="2"/>
  <c r="BJ248" i="2"/>
  <c r="BF248" i="2" s="1"/>
  <c r="BI248" i="2"/>
  <c r="BH248" i="2"/>
  <c r="AY248" i="2" s="1"/>
  <c r="BE248" i="2"/>
  <c r="BC248" i="2"/>
  <c r="AZ248" i="2"/>
  <c r="AX248" i="2"/>
  <c r="AW248" i="2" s="1"/>
  <c r="F248" i="2"/>
  <c r="D248" i="2"/>
  <c r="C248" i="2"/>
  <c r="DN247" i="2"/>
  <c r="CX247" i="2" s="1"/>
  <c r="DM247" i="2"/>
  <c r="BQ247" i="2"/>
  <c r="BP247" i="2"/>
  <c r="BO247" i="2"/>
  <c r="BN247" i="2"/>
  <c r="BM247" i="2"/>
  <c r="AV247" i="2" s="1"/>
  <c r="BL247" i="2"/>
  <c r="BK247" i="2"/>
  <c r="BJ247" i="2"/>
  <c r="BI247" i="2"/>
  <c r="BE247" i="2" s="1"/>
  <c r="BH247" i="2"/>
  <c r="AX247" i="2" s="1"/>
  <c r="BF247" i="2"/>
  <c r="BD247" i="2"/>
  <c r="BC247" i="2"/>
  <c r="AZ247" i="2"/>
  <c r="AY247" i="2"/>
  <c r="F247" i="2"/>
  <c r="D247" i="2"/>
  <c r="C247" i="2"/>
  <c r="DM246" i="2"/>
  <c r="DN246" i="2" s="1"/>
  <c r="BQ246" i="2"/>
  <c r="BE246" i="2" s="1"/>
  <c r="BP246" i="2"/>
  <c r="BO246" i="2"/>
  <c r="BN246" i="2"/>
  <c r="BM246" i="2"/>
  <c r="BL246" i="2"/>
  <c r="BK246" i="2"/>
  <c r="BJ246" i="2"/>
  <c r="AV246" i="2" s="1"/>
  <c r="BI246" i="2"/>
  <c r="BH246" i="2"/>
  <c r="BC246" i="2"/>
  <c r="AZ246" i="2"/>
  <c r="AY246" i="2"/>
  <c r="AX246" i="2"/>
  <c r="F246" i="2"/>
  <c r="D246" i="2"/>
  <c r="C246" i="2"/>
  <c r="DN245" i="2"/>
  <c r="DI245" i="2" s="1"/>
  <c r="DL245" i="2" s="1"/>
  <c r="DM245" i="2"/>
  <c r="CX245" i="2"/>
  <c r="BQ245" i="2"/>
  <c r="BP245" i="2"/>
  <c r="BO245" i="2"/>
  <c r="BN245" i="2"/>
  <c r="BM245" i="2"/>
  <c r="AV245" i="2" s="1"/>
  <c r="BL245" i="2"/>
  <c r="BK245" i="2"/>
  <c r="BJ245" i="2"/>
  <c r="BF245" i="2" s="1"/>
  <c r="BI245" i="2"/>
  <c r="BH245" i="2"/>
  <c r="AZ245" i="2"/>
  <c r="AY245" i="2"/>
  <c r="AX245" i="2"/>
  <c r="F245" i="2"/>
  <c r="D245" i="2"/>
  <c r="C245" i="2"/>
  <c r="DM244" i="2"/>
  <c r="DN244" i="2" s="1"/>
  <c r="BQ244" i="2"/>
  <c r="BP244" i="2"/>
  <c r="BO244" i="2"/>
  <c r="BN244" i="2"/>
  <c r="BM244" i="2"/>
  <c r="BG244" i="2" s="1"/>
  <c r="BL244" i="2"/>
  <c r="BK244" i="2"/>
  <c r="BJ244" i="2"/>
  <c r="BF244" i="2" s="1"/>
  <c r="BI244" i="2"/>
  <c r="BE244" i="2" s="1"/>
  <c r="BH244" i="2"/>
  <c r="BD244" i="2" s="1"/>
  <c r="AY244" i="2"/>
  <c r="AX244" i="2"/>
  <c r="AV244" i="2"/>
  <c r="F244" i="2"/>
  <c r="D244" i="2"/>
  <c r="C244" i="2"/>
  <c r="DN243" i="2"/>
  <c r="DH243" i="2" s="1"/>
  <c r="DM243" i="2"/>
  <c r="DI243" i="2"/>
  <c r="DL243" i="2" s="1"/>
  <c r="DG243" i="2"/>
  <c r="DD243" i="2"/>
  <c r="CX243" i="2"/>
  <c r="BQ243" i="2"/>
  <c r="BP243" i="2"/>
  <c r="BO243" i="2"/>
  <c r="BN243" i="2"/>
  <c r="AZ243" i="2" s="1"/>
  <c r="BM243" i="2"/>
  <c r="BG243" i="2" s="1"/>
  <c r="BL243" i="2"/>
  <c r="BK243" i="2"/>
  <c r="BJ243" i="2"/>
  <c r="BF243" i="2" s="1"/>
  <c r="BI243" i="2"/>
  <c r="BE243" i="2" s="1"/>
  <c r="BH243" i="2"/>
  <c r="BD243" i="2" s="1"/>
  <c r="AX243" i="2"/>
  <c r="AV243" i="2"/>
  <c r="F243" i="2"/>
  <c r="D243" i="2"/>
  <c r="C243" i="2"/>
  <c r="DM242" i="2"/>
  <c r="DN242" i="2" s="1"/>
  <c r="BQ242" i="2"/>
  <c r="BP242" i="2"/>
  <c r="BO242" i="2"/>
  <c r="BN242" i="2"/>
  <c r="BM242" i="2"/>
  <c r="BL242" i="2"/>
  <c r="AY242" i="2" s="1"/>
  <c r="BK242" i="2"/>
  <c r="BJ242" i="2"/>
  <c r="BF242" i="2" s="1"/>
  <c r="BI242" i="2"/>
  <c r="BE242" i="2" s="1"/>
  <c r="BH242" i="2"/>
  <c r="F242" i="2"/>
  <c r="D242" i="2"/>
  <c r="C242" i="2"/>
  <c r="DN241" i="2"/>
  <c r="CZ241" i="2" s="1"/>
  <c r="DM241" i="2"/>
  <c r="DJ241" i="2"/>
  <c r="DI241" i="2"/>
  <c r="DL241" i="2" s="1"/>
  <c r="DH241" i="2"/>
  <c r="DG241" i="2"/>
  <c r="DF241" i="2"/>
  <c r="DE241" i="2"/>
  <c r="DK241" i="2" s="1"/>
  <c r="DD241" i="2"/>
  <c r="DC241" i="2"/>
  <c r="DB241" i="2"/>
  <c r="DA241" i="2"/>
  <c r="CY241" i="2"/>
  <c r="CX241" i="2"/>
  <c r="BQ241" i="2"/>
  <c r="BP241" i="2"/>
  <c r="BO241" i="2"/>
  <c r="BN241" i="2"/>
  <c r="BM241" i="2"/>
  <c r="BG241" i="2" s="1"/>
  <c r="BL241" i="2"/>
  <c r="BK241" i="2"/>
  <c r="BF241" i="2" s="1"/>
  <c r="BJ241" i="2"/>
  <c r="BI241" i="2"/>
  <c r="BE241" i="2" s="1"/>
  <c r="BH241" i="2"/>
  <c r="BD241" i="2" s="1"/>
  <c r="AX241" i="2"/>
  <c r="AV241" i="2"/>
  <c r="F241" i="2"/>
  <c r="D241" i="2"/>
  <c r="C241" i="2"/>
  <c r="DN240" i="2"/>
  <c r="DC240" i="2" s="1"/>
  <c r="DM240" i="2"/>
  <c r="DK240" i="2"/>
  <c r="DI240" i="2"/>
  <c r="DL240" i="2" s="1"/>
  <c r="DH240" i="2"/>
  <c r="DG240" i="2"/>
  <c r="DF240" i="2"/>
  <c r="DE240" i="2"/>
  <c r="DD240" i="2"/>
  <c r="DB240" i="2"/>
  <c r="DA240" i="2"/>
  <c r="DJ240" i="2" s="1"/>
  <c r="CZ240" i="2"/>
  <c r="CX240" i="2"/>
  <c r="BQ240" i="2"/>
  <c r="BP240" i="2"/>
  <c r="BO240" i="2"/>
  <c r="BN240" i="2"/>
  <c r="BM240" i="2"/>
  <c r="BG240" i="2" s="1"/>
  <c r="BL240" i="2"/>
  <c r="BK240" i="2"/>
  <c r="BJ240" i="2"/>
  <c r="BF240" i="2" s="1"/>
  <c r="BI240" i="2"/>
  <c r="BC240" i="2" s="1"/>
  <c r="BH240" i="2"/>
  <c r="BD240" i="2" s="1"/>
  <c r="BE240" i="2"/>
  <c r="F240" i="2"/>
  <c r="D240" i="2"/>
  <c r="C240" i="2"/>
  <c r="A240" i="2"/>
  <c r="DN239" i="2"/>
  <c r="DC239" i="2" s="1"/>
  <c r="DM239" i="2"/>
  <c r="DK239" i="2"/>
  <c r="DI239" i="2"/>
  <c r="DL239" i="2" s="1"/>
  <c r="DH239" i="2"/>
  <c r="DG239" i="2"/>
  <c r="DF239" i="2"/>
  <c r="DE239" i="2"/>
  <c r="DD239" i="2"/>
  <c r="DB239" i="2"/>
  <c r="DA239" i="2"/>
  <c r="DJ239" i="2" s="1"/>
  <c r="CZ239" i="2"/>
  <c r="CX239" i="2"/>
  <c r="BQ239" i="2"/>
  <c r="BP239" i="2"/>
  <c r="BO239" i="2"/>
  <c r="BN239" i="2"/>
  <c r="BM239" i="2"/>
  <c r="BG239" i="2" s="1"/>
  <c r="BL239" i="2"/>
  <c r="BK239" i="2"/>
  <c r="BJ239" i="2"/>
  <c r="BI239" i="2"/>
  <c r="BC239" i="2" s="1"/>
  <c r="BH239" i="2"/>
  <c r="BE239" i="2"/>
  <c r="F239" i="2"/>
  <c r="D239" i="2"/>
  <c r="C239" i="2"/>
  <c r="DM238" i="2"/>
  <c r="DN238" i="2" s="1"/>
  <c r="DF238" i="2"/>
  <c r="BQ238" i="2"/>
  <c r="BP238" i="2"/>
  <c r="BO238" i="2"/>
  <c r="BN238" i="2"/>
  <c r="BM238" i="2"/>
  <c r="BL238" i="2"/>
  <c r="BK238" i="2"/>
  <c r="BJ238" i="2"/>
  <c r="BF238" i="2" s="1"/>
  <c r="BI238" i="2"/>
  <c r="BE238" i="2" s="1"/>
  <c r="BH238" i="2"/>
  <c r="AY238" i="2" s="1"/>
  <c r="BG238" i="2"/>
  <c r="F238" i="2"/>
  <c r="D238" i="2"/>
  <c r="C238" i="2"/>
  <c r="DN237" i="2"/>
  <c r="DC237" i="2" s="1"/>
  <c r="DM237" i="2"/>
  <c r="DI237" i="2"/>
  <c r="DL237" i="2" s="1"/>
  <c r="DH237" i="2"/>
  <c r="DG237" i="2"/>
  <c r="DF237" i="2"/>
  <c r="DE237" i="2"/>
  <c r="DK237" i="2" s="1"/>
  <c r="DD237" i="2"/>
  <c r="DB237" i="2"/>
  <c r="CY237" i="2"/>
  <c r="CX237" i="2"/>
  <c r="BQ237" i="2"/>
  <c r="BP237" i="2"/>
  <c r="BO237" i="2"/>
  <c r="BN237" i="2"/>
  <c r="BM237" i="2"/>
  <c r="BG237" i="2" s="1"/>
  <c r="BL237" i="2"/>
  <c r="BK237" i="2"/>
  <c r="BJ237" i="2"/>
  <c r="BF237" i="2" s="1"/>
  <c r="BI237" i="2"/>
  <c r="BH237" i="2"/>
  <c r="BD237" i="2" s="1"/>
  <c r="F237" i="2"/>
  <c r="D237" i="2"/>
  <c r="C237" i="2"/>
  <c r="DN236" i="2"/>
  <c r="DB236" i="2" s="1"/>
  <c r="DM236" i="2"/>
  <c r="DF236" i="2"/>
  <c r="DE236" i="2"/>
  <c r="DK236" i="2" s="1"/>
  <c r="DD236" i="2"/>
  <c r="DC236" i="2"/>
  <c r="CX236" i="2"/>
  <c r="BQ236" i="2"/>
  <c r="BP236" i="2"/>
  <c r="BO236" i="2"/>
  <c r="BN236" i="2"/>
  <c r="BM236" i="2"/>
  <c r="AV236" i="2" s="1"/>
  <c r="BL236" i="2"/>
  <c r="BK236" i="2"/>
  <c r="BJ236" i="2"/>
  <c r="BF236" i="2" s="1"/>
  <c r="BI236" i="2"/>
  <c r="BH236" i="2"/>
  <c r="F236" i="2"/>
  <c r="D236" i="2"/>
  <c r="C236" i="2"/>
  <c r="DM235" i="2"/>
  <c r="DN235" i="2" s="1"/>
  <c r="DC235" i="2" s="1"/>
  <c r="BQ235" i="2"/>
  <c r="BP235" i="2"/>
  <c r="BO235" i="2"/>
  <c r="BN235" i="2"/>
  <c r="BM235" i="2"/>
  <c r="AV235" i="2" s="1"/>
  <c r="BL235" i="2"/>
  <c r="BK235" i="2"/>
  <c r="BJ235" i="2"/>
  <c r="BI235" i="2"/>
  <c r="BE235" i="2" s="1"/>
  <c r="BH235" i="2"/>
  <c r="BD235" i="2" s="1"/>
  <c r="BG235" i="2"/>
  <c r="BF235" i="2"/>
  <c r="F235" i="2"/>
  <c r="D235" i="2"/>
  <c r="C235" i="2"/>
  <c r="DM234" i="2"/>
  <c r="DN234" i="2" s="1"/>
  <c r="DB234" i="2" s="1"/>
  <c r="BQ234" i="2"/>
  <c r="BP234" i="2"/>
  <c r="BO234" i="2"/>
  <c r="BN234" i="2"/>
  <c r="BM234" i="2"/>
  <c r="AV234" i="2" s="1"/>
  <c r="BL234" i="2"/>
  <c r="BK234" i="2"/>
  <c r="BJ234" i="2"/>
  <c r="BI234" i="2"/>
  <c r="BC234" i="2" s="1"/>
  <c r="BH234" i="2"/>
  <c r="BE234" i="2" s="1"/>
  <c r="BF234" i="2"/>
  <c r="F234" i="2"/>
  <c r="D234" i="2"/>
  <c r="C234" i="2"/>
  <c r="DN233" i="2"/>
  <c r="CY233" i="2" s="1"/>
  <c r="DM233" i="2"/>
  <c r="DK233" i="2"/>
  <c r="DE233" i="2"/>
  <c r="DD233" i="2"/>
  <c r="DC233" i="2"/>
  <c r="DB233" i="2"/>
  <c r="DA233" i="2"/>
  <c r="DJ233" i="2" s="1"/>
  <c r="CZ233" i="2"/>
  <c r="CX233" i="2"/>
  <c r="BQ233" i="2"/>
  <c r="BP233" i="2"/>
  <c r="BO233" i="2"/>
  <c r="BN233" i="2"/>
  <c r="BM233" i="2"/>
  <c r="BL233" i="2"/>
  <c r="BK233" i="2"/>
  <c r="BJ233" i="2"/>
  <c r="BI233" i="2"/>
  <c r="BC233" i="2" s="1"/>
  <c r="BH233" i="2"/>
  <c r="AY233" i="2" s="1"/>
  <c r="BG233" i="2"/>
  <c r="BF233" i="2"/>
  <c r="BE233" i="2"/>
  <c r="BD233" i="2"/>
  <c r="AV233" i="2"/>
  <c r="F233" i="2"/>
  <c r="D233" i="2"/>
  <c r="C233" i="2"/>
  <c r="DM232" i="2"/>
  <c r="DN232" i="2" s="1"/>
  <c r="CZ232" i="2"/>
  <c r="BQ232" i="2"/>
  <c r="BP232" i="2"/>
  <c r="BO232" i="2"/>
  <c r="BN232" i="2"/>
  <c r="BM232" i="2"/>
  <c r="BG232" i="2" s="1"/>
  <c r="BL232" i="2"/>
  <c r="BK232" i="2"/>
  <c r="BJ232" i="2"/>
  <c r="BI232" i="2"/>
  <c r="AZ232" i="2" s="1"/>
  <c r="BH232" i="2"/>
  <c r="AY232" i="2" s="1"/>
  <c r="BF232" i="2"/>
  <c r="BE232" i="2"/>
  <c r="BD232" i="2"/>
  <c r="BC232" i="2"/>
  <c r="AV232" i="2"/>
  <c r="F232" i="2"/>
  <c r="D232" i="2"/>
  <c r="C232" i="2"/>
  <c r="DN231" i="2"/>
  <c r="DI231" i="2" s="1"/>
  <c r="DL231" i="2" s="1"/>
  <c r="DM231" i="2"/>
  <c r="DA231" i="2"/>
  <c r="DJ231" i="2" s="1"/>
  <c r="CY231" i="2"/>
  <c r="CX231" i="2"/>
  <c r="BQ231" i="2"/>
  <c r="BP231" i="2"/>
  <c r="BO231" i="2"/>
  <c r="BN231" i="2"/>
  <c r="BM231" i="2"/>
  <c r="AV231" i="2" s="1"/>
  <c r="BL231" i="2"/>
  <c r="BK231" i="2"/>
  <c r="BJ231" i="2"/>
  <c r="BI231" i="2"/>
  <c r="BH231" i="2"/>
  <c r="AY231" i="2" s="1"/>
  <c r="BF231" i="2"/>
  <c r="BE231" i="2"/>
  <c r="BC231" i="2"/>
  <c r="AZ231" i="2"/>
  <c r="AX231" i="2"/>
  <c r="F231" i="2"/>
  <c r="D231" i="2"/>
  <c r="C231" i="2"/>
  <c r="DN230" i="2"/>
  <c r="DM230" i="2"/>
  <c r="CX230" i="2"/>
  <c r="BQ230" i="2"/>
  <c r="BE230" i="2" s="1"/>
  <c r="BP230" i="2"/>
  <c r="BO230" i="2"/>
  <c r="BN230" i="2"/>
  <c r="BM230" i="2"/>
  <c r="AV230" i="2" s="1"/>
  <c r="BL230" i="2"/>
  <c r="BK230" i="2"/>
  <c r="BJ230" i="2"/>
  <c r="BI230" i="2"/>
  <c r="BH230" i="2"/>
  <c r="AX230" i="2" s="1"/>
  <c r="BF230" i="2"/>
  <c r="BD230" i="2"/>
  <c r="BC230" i="2"/>
  <c r="AZ230" i="2"/>
  <c r="AY230" i="2"/>
  <c r="F230" i="2"/>
  <c r="D230" i="2"/>
  <c r="C230" i="2"/>
  <c r="DM229" i="2"/>
  <c r="DN229" i="2" s="1"/>
  <c r="BQ229" i="2"/>
  <c r="BE229" i="2" s="1"/>
  <c r="BP229" i="2"/>
  <c r="BO229" i="2"/>
  <c r="BN229" i="2"/>
  <c r="BM229" i="2"/>
  <c r="BL229" i="2"/>
  <c r="BD229" i="2" s="1"/>
  <c r="BK229" i="2"/>
  <c r="BJ229" i="2"/>
  <c r="AV229" i="2" s="1"/>
  <c r="BI229" i="2"/>
  <c r="BH229" i="2"/>
  <c r="BG229" i="2" s="1"/>
  <c r="BC229" i="2"/>
  <c r="AZ229" i="2"/>
  <c r="AY229" i="2"/>
  <c r="AX229" i="2"/>
  <c r="AW229" i="2" s="1"/>
  <c r="F229" i="2"/>
  <c r="D229" i="2"/>
  <c r="C229" i="2"/>
  <c r="DN228" i="2"/>
  <c r="CX228" i="2" s="1"/>
  <c r="DM228" i="2"/>
  <c r="BQ228" i="2"/>
  <c r="BP228" i="2"/>
  <c r="BO228" i="2"/>
  <c r="BN228" i="2"/>
  <c r="BM228" i="2"/>
  <c r="AV228" i="2" s="1"/>
  <c r="BL228" i="2"/>
  <c r="BK228" i="2"/>
  <c r="BJ228" i="2"/>
  <c r="BI228" i="2"/>
  <c r="BH228" i="2"/>
  <c r="AZ228" i="2"/>
  <c r="AY228" i="2"/>
  <c r="AX228" i="2"/>
  <c r="F228" i="2"/>
  <c r="D228" i="2"/>
  <c r="C228" i="2"/>
  <c r="DM227" i="2"/>
  <c r="DN227" i="2" s="1"/>
  <c r="BQ227" i="2"/>
  <c r="BP227" i="2"/>
  <c r="BO227" i="2"/>
  <c r="BN227" i="2"/>
  <c r="BM227" i="2"/>
  <c r="BG227" i="2" s="1"/>
  <c r="BL227" i="2"/>
  <c r="BK227" i="2"/>
  <c r="BJ227" i="2"/>
  <c r="BF227" i="2" s="1"/>
  <c r="BI227" i="2"/>
  <c r="BH227" i="2"/>
  <c r="BD227" i="2" s="1"/>
  <c r="AY227" i="2"/>
  <c r="AX227" i="2"/>
  <c r="AV227" i="2"/>
  <c r="F227" i="2"/>
  <c r="D227" i="2"/>
  <c r="C227" i="2"/>
  <c r="DN226" i="2"/>
  <c r="DH226" i="2" s="1"/>
  <c r="DM226" i="2"/>
  <c r="DI226" i="2"/>
  <c r="DL226" i="2" s="1"/>
  <c r="DG226" i="2"/>
  <c r="DD226" i="2"/>
  <c r="CX226" i="2"/>
  <c r="BQ226" i="2"/>
  <c r="BP226" i="2"/>
  <c r="BO226" i="2"/>
  <c r="BN226" i="2"/>
  <c r="AZ226" i="2" s="1"/>
  <c r="BM226" i="2"/>
  <c r="BG226" i="2" s="1"/>
  <c r="BL226" i="2"/>
  <c r="BK226" i="2"/>
  <c r="BJ226" i="2"/>
  <c r="BF226" i="2" s="1"/>
  <c r="BI226" i="2"/>
  <c r="BE226" i="2" s="1"/>
  <c r="BH226" i="2"/>
  <c r="AX226" i="2"/>
  <c r="F226" i="2"/>
  <c r="D226" i="2"/>
  <c r="C226" i="2"/>
  <c r="DM225" i="2"/>
  <c r="DN225" i="2" s="1"/>
  <c r="BQ225" i="2"/>
  <c r="BP225" i="2"/>
  <c r="BO225" i="2"/>
  <c r="BN225" i="2"/>
  <c r="BM225" i="2"/>
  <c r="BL225" i="2"/>
  <c r="AY225" i="2" s="1"/>
  <c r="BK225" i="2"/>
  <c r="BJ225" i="2"/>
  <c r="BF225" i="2" s="1"/>
  <c r="BI225" i="2"/>
  <c r="BE225" i="2" s="1"/>
  <c r="BH225" i="2"/>
  <c r="F225" i="2"/>
  <c r="D225" i="2"/>
  <c r="C225" i="2"/>
  <c r="DN224" i="2"/>
  <c r="CZ224" i="2" s="1"/>
  <c r="DM224" i="2"/>
  <c r="DJ224" i="2"/>
  <c r="DI224" i="2"/>
  <c r="DL224" i="2" s="1"/>
  <c r="DH224" i="2"/>
  <c r="DG224" i="2"/>
  <c r="DF224" i="2"/>
  <c r="DE224" i="2"/>
  <c r="DK224" i="2" s="1"/>
  <c r="DD224" i="2"/>
  <c r="DC224" i="2"/>
  <c r="DB224" i="2"/>
  <c r="DA224" i="2"/>
  <c r="CY224" i="2"/>
  <c r="CX224" i="2"/>
  <c r="BQ224" i="2"/>
  <c r="BP224" i="2"/>
  <c r="BO224" i="2"/>
  <c r="BN224" i="2"/>
  <c r="BM224" i="2"/>
  <c r="BG224" i="2" s="1"/>
  <c r="BL224" i="2"/>
  <c r="BK224" i="2"/>
  <c r="BF224" i="2" s="1"/>
  <c r="BJ224" i="2"/>
  <c r="BI224" i="2"/>
  <c r="BE224" i="2" s="1"/>
  <c r="BH224" i="2"/>
  <c r="AX224" i="2"/>
  <c r="F224" i="2"/>
  <c r="D224" i="2"/>
  <c r="C224" i="2"/>
  <c r="DN223" i="2"/>
  <c r="DC223" i="2" s="1"/>
  <c r="DM223" i="2"/>
  <c r="DK223" i="2"/>
  <c r="DI223" i="2"/>
  <c r="DL223" i="2" s="1"/>
  <c r="DH223" i="2"/>
  <c r="DG223" i="2"/>
  <c r="DF223" i="2"/>
  <c r="DE223" i="2"/>
  <c r="DD223" i="2"/>
  <c r="DB223" i="2"/>
  <c r="DA223" i="2"/>
  <c r="DJ223" i="2" s="1"/>
  <c r="CZ223" i="2"/>
  <c r="CX223" i="2"/>
  <c r="BQ223" i="2"/>
  <c r="BP223" i="2"/>
  <c r="BO223" i="2"/>
  <c r="BN223" i="2"/>
  <c r="BM223" i="2"/>
  <c r="BL223" i="2"/>
  <c r="BK223" i="2"/>
  <c r="BJ223" i="2"/>
  <c r="BF223" i="2" s="1"/>
  <c r="BI223" i="2"/>
  <c r="BH223" i="2"/>
  <c r="BD223" i="2" s="1"/>
  <c r="BE223" i="2"/>
  <c r="F223" i="2"/>
  <c r="D223" i="2"/>
  <c r="C223" i="2"/>
  <c r="DM222" i="2"/>
  <c r="DN222" i="2" s="1"/>
  <c r="DH222" i="2"/>
  <c r="DG222" i="2"/>
  <c r="DF222" i="2"/>
  <c r="DE222" i="2"/>
  <c r="DK222" i="2" s="1"/>
  <c r="BQ222" i="2"/>
  <c r="BP222" i="2"/>
  <c r="BO222" i="2"/>
  <c r="BN222" i="2"/>
  <c r="BM222" i="2"/>
  <c r="AV222" i="2" s="1"/>
  <c r="BL222" i="2"/>
  <c r="BD222" i="2" s="1"/>
  <c r="BK222" i="2"/>
  <c r="BJ222" i="2"/>
  <c r="BI222" i="2"/>
  <c r="BH222" i="2"/>
  <c r="BG222" i="2"/>
  <c r="F222" i="2"/>
  <c r="D222" i="2"/>
  <c r="C222" i="2"/>
  <c r="DN221" i="2"/>
  <c r="DC221" i="2" s="1"/>
  <c r="DM221" i="2"/>
  <c r="DI221" i="2"/>
  <c r="DL221" i="2" s="1"/>
  <c r="DG221" i="2"/>
  <c r="DF221" i="2"/>
  <c r="DE221" i="2"/>
  <c r="DK221" i="2" s="1"/>
  <c r="DD221" i="2"/>
  <c r="DB221" i="2"/>
  <c r="CY221" i="2"/>
  <c r="CX221" i="2"/>
  <c r="BQ221" i="2"/>
  <c r="BP221" i="2"/>
  <c r="BO221" i="2"/>
  <c r="BN221" i="2"/>
  <c r="BM221" i="2"/>
  <c r="BL221" i="2"/>
  <c r="BK221" i="2"/>
  <c r="BJ221" i="2"/>
  <c r="BF221" i="2" s="1"/>
  <c r="BI221" i="2"/>
  <c r="BH221" i="2"/>
  <c r="F221" i="2"/>
  <c r="D221" i="2"/>
  <c r="C221" i="2"/>
  <c r="DN220" i="2"/>
  <c r="DB220" i="2" s="1"/>
  <c r="DM220" i="2"/>
  <c r="DF220" i="2"/>
  <c r="DE220" i="2"/>
  <c r="DK220" i="2" s="1"/>
  <c r="DD220" i="2"/>
  <c r="DC220" i="2"/>
  <c r="CX220" i="2"/>
  <c r="BQ220" i="2"/>
  <c r="BP220" i="2"/>
  <c r="BO220" i="2"/>
  <c r="BN220" i="2"/>
  <c r="BM220" i="2"/>
  <c r="BL220" i="2"/>
  <c r="BK220" i="2"/>
  <c r="BJ220" i="2"/>
  <c r="BF220" i="2" s="1"/>
  <c r="BI220" i="2"/>
  <c r="BH220" i="2"/>
  <c r="BG220" i="2"/>
  <c r="F220" i="2"/>
  <c r="D220" i="2"/>
  <c r="C220" i="2"/>
  <c r="DM219" i="2"/>
  <c r="DN219" i="2" s="1"/>
  <c r="DE219" i="2" s="1"/>
  <c r="DK219" i="2" s="1"/>
  <c r="DC219" i="2"/>
  <c r="DB219" i="2"/>
  <c r="BQ219" i="2"/>
  <c r="BP219" i="2"/>
  <c r="BO219" i="2"/>
  <c r="BN219" i="2"/>
  <c r="BM219" i="2"/>
  <c r="AV219" i="2" s="1"/>
  <c r="BL219" i="2"/>
  <c r="BK219" i="2"/>
  <c r="BJ219" i="2"/>
  <c r="BI219" i="2"/>
  <c r="BH219" i="2"/>
  <c r="BG219" i="2" s="1"/>
  <c r="BF219" i="2"/>
  <c r="F219" i="2"/>
  <c r="D219" i="2"/>
  <c r="C219" i="2"/>
  <c r="DM218" i="2"/>
  <c r="DN218" i="2" s="1"/>
  <c r="DD218" i="2"/>
  <c r="DC218" i="2"/>
  <c r="DB218" i="2"/>
  <c r="DA218" i="2"/>
  <c r="DJ218" i="2" s="1"/>
  <c r="BQ218" i="2"/>
  <c r="BP218" i="2"/>
  <c r="BO218" i="2"/>
  <c r="BN218" i="2"/>
  <c r="BM218" i="2"/>
  <c r="AV218" i="2" s="1"/>
  <c r="BL218" i="2"/>
  <c r="BK218" i="2"/>
  <c r="BJ218" i="2"/>
  <c r="BC218" i="2" s="1"/>
  <c r="BI218" i="2"/>
  <c r="AZ218" i="2" s="1"/>
  <c r="BH218" i="2"/>
  <c r="BG218" i="2" s="1"/>
  <c r="BF218" i="2"/>
  <c r="BE218" i="2"/>
  <c r="F218" i="2"/>
  <c r="D218" i="2"/>
  <c r="C218" i="2"/>
  <c r="DN217" i="2"/>
  <c r="CY217" i="2" s="1"/>
  <c r="DM217" i="2"/>
  <c r="DK217" i="2"/>
  <c r="DE217" i="2"/>
  <c r="DC217" i="2"/>
  <c r="DB217" i="2"/>
  <c r="DA217" i="2"/>
  <c r="DJ217" i="2" s="1"/>
  <c r="CZ217" i="2"/>
  <c r="CX217" i="2"/>
  <c r="BQ217" i="2"/>
  <c r="BP217" i="2"/>
  <c r="BO217" i="2"/>
  <c r="BN217" i="2"/>
  <c r="BM217" i="2"/>
  <c r="BL217" i="2"/>
  <c r="BK217" i="2"/>
  <c r="BJ217" i="2"/>
  <c r="BI217" i="2"/>
  <c r="BC217" i="2" s="1"/>
  <c r="BH217" i="2"/>
  <c r="AY217" i="2" s="1"/>
  <c r="BG217" i="2"/>
  <c r="BF217" i="2"/>
  <c r="BE217" i="2"/>
  <c r="BD217" i="2"/>
  <c r="AV217" i="2"/>
  <c r="F217" i="2"/>
  <c r="D217" i="2"/>
  <c r="C217" i="2"/>
  <c r="DM216" i="2"/>
  <c r="DN216" i="2" s="1"/>
  <c r="DB216" i="2"/>
  <c r="DA216" i="2"/>
  <c r="DJ216" i="2" s="1"/>
  <c r="CZ216" i="2"/>
  <c r="CY216" i="2"/>
  <c r="BQ216" i="2"/>
  <c r="BP216" i="2"/>
  <c r="BO216" i="2"/>
  <c r="BN216" i="2"/>
  <c r="BM216" i="2"/>
  <c r="BG216" i="2" s="1"/>
  <c r="BL216" i="2"/>
  <c r="BK216" i="2"/>
  <c r="BJ216" i="2"/>
  <c r="BI216" i="2"/>
  <c r="AZ216" i="2" s="1"/>
  <c r="BH216" i="2"/>
  <c r="AY216" i="2" s="1"/>
  <c r="BF216" i="2"/>
  <c r="BE216" i="2"/>
  <c r="BD216" i="2"/>
  <c r="BC216" i="2"/>
  <c r="AV216" i="2"/>
  <c r="F216" i="2"/>
  <c r="D216" i="2"/>
  <c r="C216" i="2"/>
  <c r="DN215" i="2"/>
  <c r="DA215" i="2" s="1"/>
  <c r="DJ215" i="2" s="1"/>
  <c r="DM215" i="2"/>
  <c r="DI215" i="2"/>
  <c r="DL215" i="2" s="1"/>
  <c r="CY215" i="2"/>
  <c r="CX215" i="2"/>
  <c r="BQ215" i="2"/>
  <c r="BP215" i="2"/>
  <c r="BO215" i="2"/>
  <c r="BN215" i="2"/>
  <c r="BM215" i="2"/>
  <c r="BL215" i="2"/>
  <c r="BK215" i="2"/>
  <c r="BJ215" i="2"/>
  <c r="BF215" i="2" s="1"/>
  <c r="BI215" i="2"/>
  <c r="BH215" i="2"/>
  <c r="AY215" i="2" s="1"/>
  <c r="BE215" i="2"/>
  <c r="BD215" i="2"/>
  <c r="BC215" i="2"/>
  <c r="AZ215" i="2"/>
  <c r="AX215" i="2"/>
  <c r="AW215" i="2" s="1"/>
  <c r="F215" i="2"/>
  <c r="D215" i="2"/>
  <c r="C215" i="2"/>
  <c r="DN214" i="2"/>
  <c r="DM214" i="2"/>
  <c r="BQ214" i="2"/>
  <c r="BP214" i="2"/>
  <c r="BO214" i="2"/>
  <c r="BN214" i="2"/>
  <c r="BM214" i="2"/>
  <c r="AV214" i="2" s="1"/>
  <c r="BL214" i="2"/>
  <c r="BD214" i="2" s="1"/>
  <c r="BK214" i="2"/>
  <c r="BJ214" i="2"/>
  <c r="BI214" i="2"/>
  <c r="BH214" i="2"/>
  <c r="AX214" i="2" s="1"/>
  <c r="BF214" i="2"/>
  <c r="BC214" i="2"/>
  <c r="AZ214" i="2"/>
  <c r="F214" i="2"/>
  <c r="D214" i="2"/>
  <c r="C214" i="2"/>
  <c r="DN213" i="2"/>
  <c r="DM213" i="2"/>
  <c r="DG213" i="2"/>
  <c r="CY213" i="2"/>
  <c r="CX213" i="2"/>
  <c r="BQ213" i="2"/>
  <c r="BP213" i="2"/>
  <c r="BO213" i="2"/>
  <c r="BN213" i="2"/>
  <c r="BM213" i="2"/>
  <c r="BL213" i="2"/>
  <c r="BK213" i="2"/>
  <c r="BC213" i="2" s="1"/>
  <c r="BJ213" i="2"/>
  <c r="AV213" i="2" s="1"/>
  <c r="BI213" i="2"/>
  <c r="BH213" i="2"/>
  <c r="AZ213" i="2"/>
  <c r="AX213" i="2"/>
  <c r="F213" i="2"/>
  <c r="D213" i="2"/>
  <c r="C213" i="2"/>
  <c r="DN212" i="2"/>
  <c r="DM212" i="2"/>
  <c r="DF212" i="2"/>
  <c r="CX212" i="2"/>
  <c r="BQ212" i="2"/>
  <c r="BP212" i="2"/>
  <c r="BO212" i="2"/>
  <c r="BN212" i="2"/>
  <c r="BM212" i="2"/>
  <c r="AV212" i="2" s="1"/>
  <c r="BL212" i="2"/>
  <c r="BK212" i="2"/>
  <c r="BJ212" i="2"/>
  <c r="BI212" i="2"/>
  <c r="BH212" i="2"/>
  <c r="AZ212" i="2"/>
  <c r="AY212" i="2"/>
  <c r="AX212" i="2"/>
  <c r="AW212" i="2" s="1"/>
  <c r="F212" i="2"/>
  <c r="D212" i="2"/>
  <c r="C212" i="2"/>
  <c r="DM211" i="2"/>
  <c r="DN211" i="2" s="1"/>
  <c r="DE211" i="2"/>
  <c r="DK211" i="2" s="1"/>
  <c r="BQ211" i="2"/>
  <c r="BP211" i="2"/>
  <c r="BO211" i="2"/>
  <c r="BN211" i="2"/>
  <c r="BM211" i="2"/>
  <c r="BL211" i="2"/>
  <c r="BK211" i="2"/>
  <c r="BJ211" i="2"/>
  <c r="BI211" i="2"/>
  <c r="BH211" i="2"/>
  <c r="BD211" i="2" s="1"/>
  <c r="AY211" i="2"/>
  <c r="AX211" i="2"/>
  <c r="AV211" i="2"/>
  <c r="F211" i="2"/>
  <c r="D211" i="2"/>
  <c r="C211" i="2"/>
  <c r="DN210" i="2"/>
  <c r="DH210" i="2" s="1"/>
  <c r="DM210" i="2"/>
  <c r="DL210" i="2"/>
  <c r="DI210" i="2"/>
  <c r="DG210" i="2"/>
  <c r="DD210" i="2"/>
  <c r="CX210" i="2"/>
  <c r="BQ210" i="2"/>
  <c r="BP210" i="2"/>
  <c r="BO210" i="2"/>
  <c r="BN210" i="2"/>
  <c r="AZ210" i="2" s="1"/>
  <c r="BM210" i="2"/>
  <c r="BL210" i="2"/>
  <c r="BK210" i="2"/>
  <c r="BJ210" i="2"/>
  <c r="BF210" i="2" s="1"/>
  <c r="BI210" i="2"/>
  <c r="BH210" i="2"/>
  <c r="AX210" i="2"/>
  <c r="AV210" i="2"/>
  <c r="F210" i="2"/>
  <c r="D210" i="2"/>
  <c r="C210" i="2"/>
  <c r="DM209" i="2"/>
  <c r="DN209" i="2" s="1"/>
  <c r="BQ209" i="2"/>
  <c r="BP209" i="2"/>
  <c r="BO209" i="2"/>
  <c r="BN209" i="2"/>
  <c r="BM209" i="2"/>
  <c r="BG209" i="2" s="1"/>
  <c r="BL209" i="2"/>
  <c r="AY209" i="2" s="1"/>
  <c r="BK209" i="2"/>
  <c r="BJ209" i="2"/>
  <c r="BI209" i="2"/>
  <c r="BE209" i="2" s="1"/>
  <c r="BH209" i="2"/>
  <c r="BD209" i="2" s="1"/>
  <c r="F209" i="2"/>
  <c r="D209" i="2"/>
  <c r="C209" i="2"/>
  <c r="DN208" i="2"/>
  <c r="CZ208" i="2" s="1"/>
  <c r="DM208" i="2"/>
  <c r="DJ208" i="2"/>
  <c r="DI208" i="2"/>
  <c r="DL208" i="2" s="1"/>
  <c r="DH208" i="2"/>
  <c r="DG208" i="2"/>
  <c r="DF208" i="2"/>
  <c r="DE208" i="2"/>
  <c r="DK208" i="2" s="1"/>
  <c r="DD208" i="2"/>
  <c r="DC208" i="2"/>
  <c r="DB208" i="2"/>
  <c r="DA208" i="2"/>
  <c r="CY208" i="2"/>
  <c r="CX208" i="2"/>
  <c r="BQ208" i="2"/>
  <c r="BP208" i="2"/>
  <c r="BO208" i="2"/>
  <c r="BN208" i="2"/>
  <c r="BM208" i="2"/>
  <c r="BG208" i="2" s="1"/>
  <c r="BL208" i="2"/>
  <c r="BK208" i="2"/>
  <c r="BF208" i="2" s="1"/>
  <c r="BJ208" i="2"/>
  <c r="BI208" i="2"/>
  <c r="BH208" i="2"/>
  <c r="AX208" i="2"/>
  <c r="AV208" i="2"/>
  <c r="F208" i="2"/>
  <c r="D208" i="2"/>
  <c r="C208" i="2"/>
  <c r="DN207" i="2"/>
  <c r="DC207" i="2" s="1"/>
  <c r="DM207" i="2"/>
  <c r="DK207" i="2"/>
  <c r="DI207" i="2"/>
  <c r="DL207" i="2" s="1"/>
  <c r="DH207" i="2"/>
  <c r="DG207" i="2"/>
  <c r="DF207" i="2"/>
  <c r="DE207" i="2"/>
  <c r="DD207" i="2"/>
  <c r="DB207" i="2"/>
  <c r="DA207" i="2"/>
  <c r="DJ207" i="2" s="1"/>
  <c r="CZ207" i="2"/>
  <c r="CX207" i="2"/>
  <c r="BQ207" i="2"/>
  <c r="BP207" i="2"/>
  <c r="BO207" i="2"/>
  <c r="BN207" i="2"/>
  <c r="BM207" i="2"/>
  <c r="BL207" i="2"/>
  <c r="BK207" i="2"/>
  <c r="BJ207" i="2"/>
  <c r="BI207" i="2"/>
  <c r="BC207" i="2" s="1"/>
  <c r="BH207" i="2"/>
  <c r="BE207" i="2" s="1"/>
  <c r="F207" i="2"/>
  <c r="D207" i="2"/>
  <c r="C207" i="2"/>
  <c r="DM206" i="2"/>
  <c r="DN206" i="2" s="1"/>
  <c r="BQ206" i="2"/>
  <c r="BP206" i="2"/>
  <c r="BO206" i="2"/>
  <c r="BN206" i="2"/>
  <c r="BM206" i="2"/>
  <c r="BL206" i="2"/>
  <c r="BD206" i="2" s="1"/>
  <c r="BK206" i="2"/>
  <c r="BJ206" i="2"/>
  <c r="BI206" i="2"/>
  <c r="BH206" i="2"/>
  <c r="AY206" i="2" s="1"/>
  <c r="BG206" i="2"/>
  <c r="F206" i="2"/>
  <c r="D206" i="2"/>
  <c r="C206" i="2"/>
  <c r="A206" i="2"/>
  <c r="DM205" i="2"/>
  <c r="DN205" i="2" s="1"/>
  <c r="DH205" i="2"/>
  <c r="DG205" i="2"/>
  <c r="DF205" i="2"/>
  <c r="DE205" i="2"/>
  <c r="DK205" i="2" s="1"/>
  <c r="DC205" i="2"/>
  <c r="CZ205" i="2"/>
  <c r="BQ205" i="2"/>
  <c r="BP205" i="2"/>
  <c r="BO205" i="2"/>
  <c r="BN205" i="2"/>
  <c r="BM205" i="2"/>
  <c r="BL205" i="2"/>
  <c r="BD205" i="2" s="1"/>
  <c r="BK205" i="2"/>
  <c r="BJ205" i="2"/>
  <c r="BF205" i="2" s="1"/>
  <c r="BI205" i="2"/>
  <c r="BH205" i="2"/>
  <c r="AY205" i="2" s="1"/>
  <c r="BG205" i="2"/>
  <c r="AV205" i="2"/>
  <c r="F205" i="2"/>
  <c r="D205" i="2"/>
  <c r="C205" i="2"/>
  <c r="DN204" i="2"/>
  <c r="DC204" i="2" s="1"/>
  <c r="DM204" i="2"/>
  <c r="DI204" i="2"/>
  <c r="DL204" i="2" s="1"/>
  <c r="DG204" i="2"/>
  <c r="DF204" i="2"/>
  <c r="DE204" i="2"/>
  <c r="DK204" i="2" s="1"/>
  <c r="DD204" i="2"/>
  <c r="DB204" i="2"/>
  <c r="CY204" i="2"/>
  <c r="CX204" i="2"/>
  <c r="BQ204" i="2"/>
  <c r="BP204" i="2"/>
  <c r="BO204" i="2"/>
  <c r="BN204" i="2"/>
  <c r="BM204" i="2"/>
  <c r="BL204" i="2"/>
  <c r="BK204" i="2"/>
  <c r="BJ204" i="2"/>
  <c r="BF204" i="2" s="1"/>
  <c r="BI204" i="2"/>
  <c r="AZ204" i="2" s="1"/>
  <c r="BH204" i="2"/>
  <c r="BC204" i="2"/>
  <c r="F204" i="2"/>
  <c r="D204" i="2"/>
  <c r="C204" i="2"/>
  <c r="DM203" i="2"/>
  <c r="DN203" i="2" s="1"/>
  <c r="BQ203" i="2"/>
  <c r="BG203" i="2" s="1"/>
  <c r="BP203" i="2"/>
  <c r="BO203" i="2"/>
  <c r="BN203" i="2"/>
  <c r="BM203" i="2"/>
  <c r="BL203" i="2"/>
  <c r="BK203" i="2"/>
  <c r="AY203" i="2" s="1"/>
  <c r="BJ203" i="2"/>
  <c r="BF203" i="2" s="1"/>
  <c r="BI203" i="2"/>
  <c r="AZ203" i="2" s="1"/>
  <c r="BH203" i="2"/>
  <c r="F203" i="2"/>
  <c r="D203" i="2"/>
  <c r="C203" i="2"/>
  <c r="DM202" i="2"/>
  <c r="DN202" i="2" s="1"/>
  <c r="DG202" i="2" s="1"/>
  <c r="DF202" i="2"/>
  <c r="DD202" i="2"/>
  <c r="DB202" i="2"/>
  <c r="CZ202" i="2"/>
  <c r="BQ202" i="2"/>
  <c r="BP202" i="2"/>
  <c r="BO202" i="2"/>
  <c r="BN202" i="2"/>
  <c r="BM202" i="2"/>
  <c r="AV202" i="2" s="1"/>
  <c r="BL202" i="2"/>
  <c r="BK202" i="2"/>
  <c r="BD202" i="2" s="1"/>
  <c r="BJ202" i="2"/>
  <c r="BF202" i="2" s="1"/>
  <c r="BI202" i="2"/>
  <c r="BH202" i="2"/>
  <c r="AY202" i="2" s="1"/>
  <c r="BG202" i="2"/>
  <c r="AX202" i="2"/>
  <c r="F202" i="2"/>
  <c r="D202" i="2"/>
  <c r="C202" i="2"/>
  <c r="DM201" i="2"/>
  <c r="DN201" i="2" s="1"/>
  <c r="DI201" i="2" s="1"/>
  <c r="DL201" i="2" s="1"/>
  <c r="DF201" i="2"/>
  <c r="DD201" i="2"/>
  <c r="DC201" i="2"/>
  <c r="DB201" i="2"/>
  <c r="DA201" i="2"/>
  <c r="DJ201" i="2" s="1"/>
  <c r="CY201" i="2"/>
  <c r="BQ201" i="2"/>
  <c r="BP201" i="2"/>
  <c r="BO201" i="2"/>
  <c r="BF201" i="2" s="1"/>
  <c r="BN201" i="2"/>
  <c r="BM201" i="2"/>
  <c r="BG201" i="2" s="1"/>
  <c r="BL201" i="2"/>
  <c r="BK201" i="2"/>
  <c r="BJ201" i="2"/>
  <c r="BI201" i="2"/>
  <c r="AZ201" i="2" s="1"/>
  <c r="BH201" i="2"/>
  <c r="BC201" i="2"/>
  <c r="AX201" i="2"/>
  <c r="F201" i="2"/>
  <c r="D201" i="2"/>
  <c r="C201" i="2"/>
  <c r="DN200" i="2"/>
  <c r="DG200" i="2" s="1"/>
  <c r="DM200" i="2"/>
  <c r="DH200" i="2"/>
  <c r="DD200" i="2"/>
  <c r="DC200" i="2"/>
  <c r="BQ200" i="2"/>
  <c r="BP200" i="2"/>
  <c r="BO200" i="2"/>
  <c r="BN200" i="2"/>
  <c r="BM200" i="2"/>
  <c r="BL200" i="2"/>
  <c r="BK200" i="2"/>
  <c r="BJ200" i="2"/>
  <c r="BI200" i="2"/>
  <c r="BH200" i="2"/>
  <c r="BG200" i="2"/>
  <c r="BF200" i="2"/>
  <c r="AV200" i="2"/>
  <c r="F200" i="2"/>
  <c r="D200" i="2"/>
  <c r="C200" i="2"/>
  <c r="DM199" i="2"/>
  <c r="DN199" i="2" s="1"/>
  <c r="DI199" i="2" s="1"/>
  <c r="DL199" i="2" s="1"/>
  <c r="DF199" i="2"/>
  <c r="DD199" i="2"/>
  <c r="DB199" i="2"/>
  <c r="DA199" i="2"/>
  <c r="DJ199" i="2" s="1"/>
  <c r="BQ199" i="2"/>
  <c r="BG199" i="2" s="1"/>
  <c r="BP199" i="2"/>
  <c r="BO199" i="2"/>
  <c r="BN199" i="2"/>
  <c r="BM199" i="2"/>
  <c r="BL199" i="2"/>
  <c r="BK199" i="2"/>
  <c r="BJ199" i="2"/>
  <c r="BC199" i="2" s="1"/>
  <c r="BI199" i="2"/>
  <c r="BH199" i="2"/>
  <c r="AX199" i="2" s="1"/>
  <c r="BF199" i="2"/>
  <c r="BE199" i="2"/>
  <c r="BD199" i="2"/>
  <c r="AV199" i="2"/>
  <c r="F199" i="2"/>
  <c r="D199" i="2"/>
  <c r="C199" i="2"/>
  <c r="DN198" i="2"/>
  <c r="DM198" i="2"/>
  <c r="CX198" i="2"/>
  <c r="BQ198" i="2"/>
  <c r="BP198" i="2"/>
  <c r="BO198" i="2"/>
  <c r="BN198" i="2"/>
  <c r="BM198" i="2"/>
  <c r="BL198" i="2"/>
  <c r="BK198" i="2"/>
  <c r="BJ198" i="2"/>
  <c r="BF198" i="2" s="1"/>
  <c r="BI198" i="2"/>
  <c r="BC198" i="2" s="1"/>
  <c r="BH198" i="2"/>
  <c r="BE198" i="2"/>
  <c r="AZ198" i="2"/>
  <c r="AX198" i="2"/>
  <c r="F198" i="2"/>
  <c r="D198" i="2"/>
  <c r="C198" i="2"/>
  <c r="DM197" i="2"/>
  <c r="DN197" i="2" s="1"/>
  <c r="DG197" i="2" s="1"/>
  <c r="BQ197" i="2"/>
  <c r="BP197" i="2"/>
  <c r="BO197" i="2"/>
  <c r="BF197" i="2" s="1"/>
  <c r="BN197" i="2"/>
  <c r="BM197" i="2"/>
  <c r="BL197" i="2"/>
  <c r="BK197" i="2"/>
  <c r="BJ197" i="2"/>
  <c r="BI197" i="2"/>
  <c r="BH197" i="2"/>
  <c r="AX197" i="2" s="1"/>
  <c r="F197" i="2"/>
  <c r="D197" i="2"/>
  <c r="C197" i="2"/>
  <c r="DM196" i="2"/>
  <c r="DN196" i="2" s="1"/>
  <c r="DG196" i="2"/>
  <c r="BQ196" i="2"/>
  <c r="BG196" i="2" s="1"/>
  <c r="BP196" i="2"/>
  <c r="BO196" i="2"/>
  <c r="BN196" i="2"/>
  <c r="BM196" i="2"/>
  <c r="BL196" i="2"/>
  <c r="BK196" i="2"/>
  <c r="AY196" i="2" s="1"/>
  <c r="BJ196" i="2"/>
  <c r="BI196" i="2"/>
  <c r="BH196" i="2"/>
  <c r="AX196" i="2"/>
  <c r="F196" i="2"/>
  <c r="D196" i="2"/>
  <c r="C196" i="2"/>
  <c r="DM195" i="2"/>
  <c r="DN195" i="2" s="1"/>
  <c r="BQ195" i="2"/>
  <c r="BP195" i="2"/>
  <c r="BO195" i="2"/>
  <c r="BE195" i="2" s="1"/>
  <c r="BN195" i="2"/>
  <c r="BM195" i="2"/>
  <c r="BG195" i="2" s="1"/>
  <c r="BL195" i="2"/>
  <c r="BK195" i="2"/>
  <c r="BJ195" i="2"/>
  <c r="BF195" i="2" s="1"/>
  <c r="BI195" i="2"/>
  <c r="AY195" i="2" s="1"/>
  <c r="BH195" i="2"/>
  <c r="BC195" i="2"/>
  <c r="AZ195" i="2"/>
  <c r="AX195" i="2"/>
  <c r="F195" i="2"/>
  <c r="D195" i="2"/>
  <c r="C195" i="2"/>
  <c r="DM194" i="2"/>
  <c r="DN194" i="2" s="1"/>
  <c r="DB194" i="2"/>
  <c r="BQ194" i="2"/>
  <c r="BE194" i="2" s="1"/>
  <c r="BP194" i="2"/>
  <c r="BO194" i="2"/>
  <c r="BN194" i="2"/>
  <c r="BC194" i="2" s="1"/>
  <c r="BM194" i="2"/>
  <c r="AV194" i="2" s="1"/>
  <c r="BL194" i="2"/>
  <c r="BK194" i="2"/>
  <c r="AY194" i="2" s="1"/>
  <c r="BJ194" i="2"/>
  <c r="BI194" i="2"/>
  <c r="BH194" i="2"/>
  <c r="BD194" i="2" s="1"/>
  <c r="BG194" i="2"/>
  <c r="BF194" i="2"/>
  <c r="AZ194" i="2"/>
  <c r="AX194" i="2"/>
  <c r="AW194" i="2" s="1"/>
  <c r="F194" i="2"/>
  <c r="D194" i="2"/>
  <c r="C194" i="2"/>
  <c r="DM193" i="2"/>
  <c r="DN193" i="2" s="1"/>
  <c r="BQ193" i="2"/>
  <c r="BP193" i="2"/>
  <c r="BO193" i="2"/>
  <c r="BN193" i="2"/>
  <c r="BM193" i="2"/>
  <c r="BD193" i="2" s="1"/>
  <c r="BL193" i="2"/>
  <c r="BK193" i="2"/>
  <c r="BJ193" i="2"/>
  <c r="BF193" i="2" s="1"/>
  <c r="BI193" i="2"/>
  <c r="BC193" i="2" s="1"/>
  <c r="BH193" i="2"/>
  <c r="BE193" i="2"/>
  <c r="AX193" i="2"/>
  <c r="F193" i="2"/>
  <c r="D193" i="2"/>
  <c r="C193" i="2"/>
  <c r="DM192" i="2"/>
  <c r="DN192" i="2" s="1"/>
  <c r="CZ192" i="2" s="1"/>
  <c r="BQ192" i="2"/>
  <c r="BP192" i="2"/>
  <c r="BO192" i="2"/>
  <c r="BN192" i="2"/>
  <c r="BM192" i="2"/>
  <c r="AV192" i="2" s="1"/>
  <c r="BL192" i="2"/>
  <c r="BK192" i="2"/>
  <c r="BJ192" i="2"/>
  <c r="BF192" i="2" s="1"/>
  <c r="BI192" i="2"/>
  <c r="BC192" i="2" s="1"/>
  <c r="BH192" i="2"/>
  <c r="AY192" i="2" s="1"/>
  <c r="BD192" i="2"/>
  <c r="F192" i="2"/>
  <c r="D192" i="2"/>
  <c r="C192" i="2"/>
  <c r="DN191" i="2"/>
  <c r="DB191" i="2" s="1"/>
  <c r="DM191" i="2"/>
  <c r="DK191" i="2"/>
  <c r="DJ191" i="2"/>
  <c r="DI191" i="2"/>
  <c r="DL191" i="2" s="1"/>
  <c r="DH191" i="2"/>
  <c r="DG191" i="2"/>
  <c r="DF191" i="2"/>
  <c r="DE191" i="2"/>
  <c r="DD191" i="2"/>
  <c r="DC191" i="2"/>
  <c r="DA191" i="2"/>
  <c r="CZ191" i="2"/>
  <c r="CY191" i="2"/>
  <c r="CX191" i="2"/>
  <c r="BQ191" i="2"/>
  <c r="BP191" i="2"/>
  <c r="BO191" i="2"/>
  <c r="BN191" i="2"/>
  <c r="BM191" i="2"/>
  <c r="AV191" i="2" s="1"/>
  <c r="BL191" i="2"/>
  <c r="BK191" i="2"/>
  <c r="BJ191" i="2"/>
  <c r="BF191" i="2" s="1"/>
  <c r="BI191" i="2"/>
  <c r="AZ191" i="2" s="1"/>
  <c r="BH191" i="2"/>
  <c r="AY191" i="2" s="1"/>
  <c r="BG191" i="2"/>
  <c r="BC191" i="2"/>
  <c r="F191" i="2"/>
  <c r="D191" i="2"/>
  <c r="C191" i="2"/>
  <c r="DN190" i="2"/>
  <c r="CX190" i="2" s="1"/>
  <c r="DM190" i="2"/>
  <c r="BQ190" i="2"/>
  <c r="BP190" i="2"/>
  <c r="BO190" i="2"/>
  <c r="BN190" i="2"/>
  <c r="BM190" i="2"/>
  <c r="AV190" i="2" s="1"/>
  <c r="BL190" i="2"/>
  <c r="BK190" i="2"/>
  <c r="BJ190" i="2"/>
  <c r="BI190" i="2"/>
  <c r="BE190" i="2" s="1"/>
  <c r="BH190" i="2"/>
  <c r="AY190" i="2" s="1"/>
  <c r="BG190" i="2"/>
  <c r="BF190" i="2"/>
  <c r="BC190" i="2"/>
  <c r="AZ190" i="2"/>
  <c r="F190" i="2"/>
  <c r="D190" i="2"/>
  <c r="C190" i="2"/>
  <c r="DM189" i="2"/>
  <c r="DN189" i="2" s="1"/>
  <c r="BQ189" i="2"/>
  <c r="BE189" i="2" s="1"/>
  <c r="BP189" i="2"/>
  <c r="BO189" i="2"/>
  <c r="BN189" i="2"/>
  <c r="BM189" i="2"/>
  <c r="AV189" i="2" s="1"/>
  <c r="BL189" i="2"/>
  <c r="BK189" i="2"/>
  <c r="BJ189" i="2"/>
  <c r="BI189" i="2"/>
  <c r="BC189" i="2" s="1"/>
  <c r="BH189" i="2"/>
  <c r="AX189" i="2" s="1"/>
  <c r="BF189" i="2"/>
  <c r="AZ189" i="2"/>
  <c r="AY189" i="2"/>
  <c r="F189" i="2"/>
  <c r="D189" i="2"/>
  <c r="C189" i="2"/>
  <c r="DM188" i="2"/>
  <c r="DN188" i="2" s="1"/>
  <c r="BQ188" i="2"/>
  <c r="BG188" i="2" s="1"/>
  <c r="BP188" i="2"/>
  <c r="BE188" i="2" s="1"/>
  <c r="BO188" i="2"/>
  <c r="BN188" i="2"/>
  <c r="BM188" i="2"/>
  <c r="AV188" i="2" s="1"/>
  <c r="BL188" i="2"/>
  <c r="BK188" i="2"/>
  <c r="BJ188" i="2"/>
  <c r="BI188" i="2"/>
  <c r="BC188" i="2" s="1"/>
  <c r="BH188" i="2"/>
  <c r="BD188" i="2"/>
  <c r="AY188" i="2"/>
  <c r="AX188" i="2"/>
  <c r="F188" i="2"/>
  <c r="D188" i="2"/>
  <c r="C188" i="2"/>
  <c r="A188" i="2"/>
  <c r="DM187" i="2"/>
  <c r="DN187" i="2" s="1"/>
  <c r="BQ187" i="2"/>
  <c r="BG187" i="2" s="1"/>
  <c r="BP187" i="2"/>
  <c r="BE187" i="2" s="1"/>
  <c r="BO187" i="2"/>
  <c r="BN187" i="2"/>
  <c r="BM187" i="2"/>
  <c r="AV187" i="2" s="1"/>
  <c r="BL187" i="2"/>
  <c r="BK187" i="2"/>
  <c r="BJ187" i="2"/>
  <c r="BI187" i="2"/>
  <c r="BC187" i="2" s="1"/>
  <c r="BH187" i="2"/>
  <c r="BD187" i="2"/>
  <c r="AY187" i="2"/>
  <c r="AX187" i="2"/>
  <c r="F187" i="2"/>
  <c r="D187" i="2"/>
  <c r="C187" i="2"/>
  <c r="DM186" i="2"/>
  <c r="DN186" i="2" s="1"/>
  <c r="BQ186" i="2"/>
  <c r="BP186" i="2"/>
  <c r="BO186" i="2"/>
  <c r="BN186" i="2"/>
  <c r="BM186" i="2"/>
  <c r="AV186" i="2" s="1"/>
  <c r="BL186" i="2"/>
  <c r="BK186" i="2"/>
  <c r="BJ186" i="2"/>
  <c r="BI186" i="2"/>
  <c r="BH186" i="2"/>
  <c r="AY186" i="2" s="1"/>
  <c r="BD186" i="2"/>
  <c r="BC186" i="2"/>
  <c r="AX186" i="2"/>
  <c r="F186" i="2"/>
  <c r="D186" i="2"/>
  <c r="C186" i="2"/>
  <c r="DN185" i="2"/>
  <c r="DI185" i="2" s="1"/>
  <c r="DL185" i="2" s="1"/>
  <c r="DM185" i="2"/>
  <c r="CX185" i="2"/>
  <c r="BQ185" i="2"/>
  <c r="BP185" i="2"/>
  <c r="BO185" i="2"/>
  <c r="BN185" i="2"/>
  <c r="BM185" i="2"/>
  <c r="BG185" i="2" s="1"/>
  <c r="BL185" i="2"/>
  <c r="BK185" i="2"/>
  <c r="BJ185" i="2"/>
  <c r="BF185" i="2" s="1"/>
  <c r="BI185" i="2"/>
  <c r="BE185" i="2" s="1"/>
  <c r="BH185" i="2"/>
  <c r="BD185" i="2" s="1"/>
  <c r="AV185" i="2"/>
  <c r="F185" i="2"/>
  <c r="D185" i="2"/>
  <c r="C185" i="2"/>
  <c r="DM184" i="2"/>
  <c r="DN184" i="2" s="1"/>
  <c r="DI184" i="2" s="1"/>
  <c r="DL184" i="2" s="1"/>
  <c r="BQ184" i="2"/>
  <c r="BP184" i="2"/>
  <c r="BO184" i="2"/>
  <c r="BN184" i="2"/>
  <c r="BM184" i="2"/>
  <c r="BL184" i="2"/>
  <c r="BK184" i="2"/>
  <c r="BJ184" i="2"/>
  <c r="BF184" i="2" s="1"/>
  <c r="BI184" i="2"/>
  <c r="BE184" i="2" s="1"/>
  <c r="BH184" i="2"/>
  <c r="AZ184" i="2"/>
  <c r="AY184" i="2"/>
  <c r="F184" i="2"/>
  <c r="D184" i="2"/>
  <c r="C184" i="2"/>
  <c r="DM183" i="2"/>
  <c r="DN183" i="2" s="1"/>
  <c r="DH183" i="2"/>
  <c r="BQ183" i="2"/>
  <c r="BP183" i="2"/>
  <c r="BO183" i="2"/>
  <c r="BN183" i="2"/>
  <c r="BM183" i="2"/>
  <c r="BG183" i="2" s="1"/>
  <c r="BL183" i="2"/>
  <c r="AY183" i="2" s="1"/>
  <c r="BK183" i="2"/>
  <c r="BJ183" i="2"/>
  <c r="BF183" i="2" s="1"/>
  <c r="BI183" i="2"/>
  <c r="BE183" i="2" s="1"/>
  <c r="BH183" i="2"/>
  <c r="BC183" i="2"/>
  <c r="AX183" i="2"/>
  <c r="F183" i="2"/>
  <c r="D183" i="2"/>
  <c r="C183" i="2"/>
  <c r="DN182" i="2"/>
  <c r="DF182" i="2" s="1"/>
  <c r="DM182" i="2"/>
  <c r="DH182" i="2"/>
  <c r="DG182" i="2"/>
  <c r="DB182" i="2"/>
  <c r="CX182" i="2"/>
  <c r="BQ182" i="2"/>
  <c r="BP182" i="2"/>
  <c r="BO182" i="2"/>
  <c r="BN182" i="2"/>
  <c r="BM182" i="2"/>
  <c r="AV182" i="2" s="1"/>
  <c r="BL182" i="2"/>
  <c r="BK182" i="2"/>
  <c r="BJ182" i="2"/>
  <c r="BI182" i="2"/>
  <c r="BE182" i="2" s="1"/>
  <c r="BH182" i="2"/>
  <c r="BG182" i="2"/>
  <c r="AZ182" i="2"/>
  <c r="AX182" i="2"/>
  <c r="F182" i="2"/>
  <c r="D182" i="2"/>
  <c r="C182" i="2"/>
  <c r="DM181" i="2"/>
  <c r="DN181" i="2" s="1"/>
  <c r="DF181" i="2"/>
  <c r="BQ181" i="2"/>
  <c r="BP181" i="2"/>
  <c r="BO181" i="2"/>
  <c r="BE181" i="2" s="1"/>
  <c r="BN181" i="2"/>
  <c r="AZ181" i="2" s="1"/>
  <c r="BM181" i="2"/>
  <c r="BL181" i="2"/>
  <c r="BK181" i="2"/>
  <c r="AY181" i="2" s="1"/>
  <c r="BJ181" i="2"/>
  <c r="BI181" i="2"/>
  <c r="BH181" i="2"/>
  <c r="BG181" i="2" s="1"/>
  <c r="F181" i="2"/>
  <c r="D181" i="2"/>
  <c r="C181" i="2"/>
  <c r="DM180" i="2"/>
  <c r="DN180" i="2" s="1"/>
  <c r="DE180" i="2"/>
  <c r="DK180" i="2" s="1"/>
  <c r="BQ180" i="2"/>
  <c r="BP180" i="2"/>
  <c r="BO180" i="2"/>
  <c r="BN180" i="2"/>
  <c r="BM180" i="2"/>
  <c r="BG180" i="2" s="1"/>
  <c r="BL180" i="2"/>
  <c r="BK180" i="2"/>
  <c r="BJ180" i="2"/>
  <c r="BF180" i="2" s="1"/>
  <c r="BI180" i="2"/>
  <c r="BH180" i="2"/>
  <c r="AX180" i="2"/>
  <c r="F180" i="2"/>
  <c r="D180" i="2"/>
  <c r="C180" i="2"/>
  <c r="DN179" i="2"/>
  <c r="DC179" i="2" s="1"/>
  <c r="DM179" i="2"/>
  <c r="DI179" i="2"/>
  <c r="DL179" i="2" s="1"/>
  <c r="DH179" i="2"/>
  <c r="DE179" i="2"/>
  <c r="DK179" i="2" s="1"/>
  <c r="DD179" i="2"/>
  <c r="DB179" i="2"/>
  <c r="CZ179" i="2"/>
  <c r="CY179" i="2"/>
  <c r="CX179" i="2"/>
  <c r="BQ179" i="2"/>
  <c r="BP179" i="2"/>
  <c r="BO179" i="2"/>
  <c r="BF179" i="2" s="1"/>
  <c r="BN179" i="2"/>
  <c r="BM179" i="2"/>
  <c r="BL179" i="2"/>
  <c r="BK179" i="2"/>
  <c r="BJ179" i="2"/>
  <c r="BI179" i="2"/>
  <c r="BH179" i="2"/>
  <c r="F179" i="2"/>
  <c r="D179" i="2"/>
  <c r="C179" i="2"/>
  <c r="DN178" i="2"/>
  <c r="DB178" i="2" s="1"/>
  <c r="DM178" i="2"/>
  <c r="DH178" i="2"/>
  <c r="DG178" i="2"/>
  <c r="DD178" i="2"/>
  <c r="DC178" i="2"/>
  <c r="CX178" i="2"/>
  <c r="BQ178" i="2"/>
  <c r="BP178" i="2"/>
  <c r="BO178" i="2"/>
  <c r="BF178" i="2" s="1"/>
  <c r="BN178" i="2"/>
  <c r="BC178" i="2" s="1"/>
  <c r="BM178" i="2"/>
  <c r="BL178" i="2"/>
  <c r="BK178" i="2"/>
  <c r="BJ178" i="2"/>
  <c r="BI178" i="2"/>
  <c r="BH178" i="2"/>
  <c r="BE178" i="2" s="1"/>
  <c r="BG178" i="2"/>
  <c r="AZ178" i="2"/>
  <c r="AV178" i="2"/>
  <c r="F178" i="2"/>
  <c r="D178" i="2"/>
  <c r="C178" i="2"/>
  <c r="DM177" i="2"/>
  <c r="DN177" i="2" s="1"/>
  <c r="DB177" i="2" s="1"/>
  <c r="BQ177" i="2"/>
  <c r="BE177" i="2" s="1"/>
  <c r="BP177" i="2"/>
  <c r="BO177" i="2"/>
  <c r="BN177" i="2"/>
  <c r="BC177" i="2" s="1"/>
  <c r="BM177" i="2"/>
  <c r="BD177" i="2" s="1"/>
  <c r="BL177" i="2"/>
  <c r="BK177" i="2"/>
  <c r="AY177" i="2" s="1"/>
  <c r="BJ177" i="2"/>
  <c r="BI177" i="2"/>
  <c r="BH177" i="2"/>
  <c r="BG177" i="2"/>
  <c r="BF177" i="2"/>
  <c r="AZ177" i="2"/>
  <c r="AX177" i="2"/>
  <c r="F177" i="2"/>
  <c r="D177" i="2"/>
  <c r="C177" i="2"/>
  <c r="DM176" i="2"/>
  <c r="DN176" i="2" s="1"/>
  <c r="DA176" i="2"/>
  <c r="DJ176" i="2" s="1"/>
  <c r="BQ176" i="2"/>
  <c r="BP176" i="2"/>
  <c r="BO176" i="2"/>
  <c r="BN176" i="2"/>
  <c r="BM176" i="2"/>
  <c r="BD176" i="2" s="1"/>
  <c r="BL176" i="2"/>
  <c r="BK176" i="2"/>
  <c r="BJ176" i="2"/>
  <c r="BF176" i="2" s="1"/>
  <c r="BI176" i="2"/>
  <c r="BC176" i="2" s="1"/>
  <c r="BH176" i="2"/>
  <c r="BE176" i="2"/>
  <c r="AX176" i="2"/>
  <c r="F176" i="2"/>
  <c r="D176" i="2"/>
  <c r="C176" i="2"/>
  <c r="DN175" i="2"/>
  <c r="CY175" i="2" s="1"/>
  <c r="DM175" i="2"/>
  <c r="DH175" i="2"/>
  <c r="DG175" i="2"/>
  <c r="DE175" i="2"/>
  <c r="DK175" i="2" s="1"/>
  <c r="DD175" i="2"/>
  <c r="DA175" i="2"/>
  <c r="DJ175" i="2" s="1"/>
  <c r="CZ175" i="2"/>
  <c r="CX175" i="2"/>
  <c r="BQ175" i="2"/>
  <c r="BP175" i="2"/>
  <c r="BO175" i="2"/>
  <c r="BN175" i="2"/>
  <c r="BM175" i="2"/>
  <c r="AV175" i="2" s="1"/>
  <c r="BL175" i="2"/>
  <c r="BK175" i="2"/>
  <c r="BJ175" i="2"/>
  <c r="BF175" i="2" s="1"/>
  <c r="BI175" i="2"/>
  <c r="BC175" i="2" s="1"/>
  <c r="BH175" i="2"/>
  <c r="AY175" i="2" s="1"/>
  <c r="BD175" i="2"/>
  <c r="F175" i="2"/>
  <c r="D175" i="2"/>
  <c r="C175" i="2"/>
  <c r="DM174" i="2"/>
  <c r="DN174" i="2" s="1"/>
  <c r="CY174" i="2"/>
  <c r="BQ174" i="2"/>
  <c r="BP174" i="2"/>
  <c r="BO174" i="2"/>
  <c r="BN174" i="2"/>
  <c r="BM174" i="2"/>
  <c r="BL174" i="2"/>
  <c r="BK174" i="2"/>
  <c r="BJ174" i="2"/>
  <c r="AV174" i="2" s="1"/>
  <c r="BI174" i="2"/>
  <c r="AZ174" i="2" s="1"/>
  <c r="BH174" i="2"/>
  <c r="AY174" i="2" s="1"/>
  <c r="BG174" i="2"/>
  <c r="BC174" i="2"/>
  <c r="F174" i="2"/>
  <c r="D174" i="2"/>
  <c r="C174" i="2"/>
  <c r="DN173" i="2"/>
  <c r="DM173" i="2"/>
  <c r="BQ173" i="2"/>
  <c r="BP173" i="2"/>
  <c r="BO173" i="2"/>
  <c r="BN173" i="2"/>
  <c r="BM173" i="2"/>
  <c r="AV173" i="2" s="1"/>
  <c r="BL173" i="2"/>
  <c r="BK173" i="2"/>
  <c r="BJ173" i="2"/>
  <c r="BI173" i="2"/>
  <c r="BE173" i="2" s="1"/>
  <c r="BH173" i="2"/>
  <c r="AY173" i="2" s="1"/>
  <c r="BG173" i="2"/>
  <c r="BF173" i="2"/>
  <c r="BC173" i="2"/>
  <c r="AZ173" i="2"/>
  <c r="AX173" i="2"/>
  <c r="F173" i="2"/>
  <c r="D173" i="2"/>
  <c r="C173" i="2"/>
  <c r="DM172" i="2"/>
  <c r="DN172" i="2" s="1"/>
  <c r="BQ172" i="2"/>
  <c r="BE172" i="2" s="1"/>
  <c r="BP172" i="2"/>
  <c r="BO172" i="2"/>
  <c r="BN172" i="2"/>
  <c r="BM172" i="2"/>
  <c r="AV172" i="2" s="1"/>
  <c r="BL172" i="2"/>
  <c r="BK172" i="2"/>
  <c r="BJ172" i="2"/>
  <c r="BI172" i="2"/>
  <c r="BC172" i="2" s="1"/>
  <c r="BH172" i="2"/>
  <c r="AX172" i="2" s="1"/>
  <c r="BF172" i="2"/>
  <c r="AZ172" i="2"/>
  <c r="AY172" i="2"/>
  <c r="F172" i="2"/>
  <c r="D172" i="2"/>
  <c r="C172" i="2"/>
  <c r="DM171" i="2"/>
  <c r="DN171" i="2" s="1"/>
  <c r="BQ171" i="2"/>
  <c r="BG171" i="2" s="1"/>
  <c r="BP171" i="2"/>
  <c r="BE171" i="2" s="1"/>
  <c r="BO171" i="2"/>
  <c r="BN171" i="2"/>
  <c r="BM171" i="2"/>
  <c r="BL171" i="2"/>
  <c r="BK171" i="2"/>
  <c r="BJ171" i="2"/>
  <c r="AV171" i="2" s="1"/>
  <c r="BI171" i="2"/>
  <c r="BC171" i="2" s="1"/>
  <c r="BH171" i="2"/>
  <c r="BD171" i="2"/>
  <c r="AY171" i="2"/>
  <c r="AX171" i="2"/>
  <c r="F171" i="2"/>
  <c r="D171" i="2"/>
  <c r="C171" i="2"/>
  <c r="DM170" i="2"/>
  <c r="DN170" i="2" s="1"/>
  <c r="BQ170" i="2"/>
  <c r="BP170" i="2"/>
  <c r="BO170" i="2"/>
  <c r="BN170" i="2"/>
  <c r="BM170" i="2"/>
  <c r="AV170" i="2" s="1"/>
  <c r="BL170" i="2"/>
  <c r="BK170" i="2"/>
  <c r="BJ170" i="2"/>
  <c r="BF170" i="2" s="1"/>
  <c r="BI170" i="2"/>
  <c r="BE170" i="2" s="1"/>
  <c r="BH170" i="2"/>
  <c r="AY170" i="2" s="1"/>
  <c r="BD170" i="2"/>
  <c r="BC170" i="2"/>
  <c r="AX170" i="2"/>
  <c r="F170" i="2"/>
  <c r="D170" i="2"/>
  <c r="C170" i="2"/>
  <c r="DN169" i="2"/>
  <c r="DI169" i="2" s="1"/>
  <c r="DL169" i="2" s="1"/>
  <c r="DM169" i="2"/>
  <c r="CX169" i="2"/>
  <c r="BQ169" i="2"/>
  <c r="BP169" i="2"/>
  <c r="BO169" i="2"/>
  <c r="BN169" i="2"/>
  <c r="BM169" i="2"/>
  <c r="BG169" i="2" s="1"/>
  <c r="BL169" i="2"/>
  <c r="BK169" i="2"/>
  <c r="BJ169" i="2"/>
  <c r="BF169" i="2" s="1"/>
  <c r="BI169" i="2"/>
  <c r="BE169" i="2" s="1"/>
  <c r="BH169" i="2"/>
  <c r="BD169" i="2" s="1"/>
  <c r="AV169" i="2"/>
  <c r="F169" i="2"/>
  <c r="D169" i="2"/>
  <c r="C169" i="2"/>
  <c r="DM168" i="2"/>
  <c r="DN168" i="2" s="1"/>
  <c r="DI168" i="2" s="1"/>
  <c r="DL168" i="2" s="1"/>
  <c r="BQ168" i="2"/>
  <c r="BP168" i="2"/>
  <c r="BO168" i="2"/>
  <c r="BN168" i="2"/>
  <c r="BM168" i="2"/>
  <c r="BL168" i="2"/>
  <c r="BK168" i="2"/>
  <c r="BJ168" i="2"/>
  <c r="BF168" i="2" s="1"/>
  <c r="BI168" i="2"/>
  <c r="BE168" i="2" s="1"/>
  <c r="BH168" i="2"/>
  <c r="AZ168" i="2"/>
  <c r="AY168" i="2"/>
  <c r="F168" i="2"/>
  <c r="D168" i="2"/>
  <c r="C168" i="2"/>
  <c r="DM167" i="2"/>
  <c r="DN167" i="2" s="1"/>
  <c r="DH167" i="2"/>
  <c r="BQ167" i="2"/>
  <c r="BP167" i="2"/>
  <c r="BO167" i="2"/>
  <c r="BN167" i="2"/>
  <c r="BM167" i="2"/>
  <c r="BG167" i="2" s="1"/>
  <c r="BL167" i="2"/>
  <c r="AY167" i="2" s="1"/>
  <c r="BK167" i="2"/>
  <c r="BJ167" i="2"/>
  <c r="BF167" i="2" s="1"/>
  <c r="BI167" i="2"/>
  <c r="BE167" i="2" s="1"/>
  <c r="BH167" i="2"/>
  <c r="BD167" i="2" s="1"/>
  <c r="BC167" i="2"/>
  <c r="AX167" i="2"/>
  <c r="F167" i="2"/>
  <c r="D167" i="2"/>
  <c r="C167" i="2"/>
  <c r="DN166" i="2"/>
  <c r="DF166" i="2" s="1"/>
  <c r="DM166" i="2"/>
  <c r="DH166" i="2"/>
  <c r="DG166" i="2"/>
  <c r="DB166" i="2"/>
  <c r="CX166" i="2"/>
  <c r="BQ166" i="2"/>
  <c r="BP166" i="2"/>
  <c r="BO166" i="2"/>
  <c r="BN166" i="2"/>
  <c r="BM166" i="2"/>
  <c r="AV166" i="2" s="1"/>
  <c r="BL166" i="2"/>
  <c r="BK166" i="2"/>
  <c r="BJ166" i="2"/>
  <c r="BI166" i="2"/>
  <c r="BE166" i="2" s="1"/>
  <c r="BH166" i="2"/>
  <c r="BD166" i="2" s="1"/>
  <c r="BG166" i="2"/>
  <c r="AZ166" i="2"/>
  <c r="AX166" i="2"/>
  <c r="F166" i="2"/>
  <c r="D166" i="2"/>
  <c r="C166" i="2"/>
  <c r="DM165" i="2"/>
  <c r="DN165" i="2" s="1"/>
  <c r="DF165" i="2" s="1"/>
  <c r="BQ165" i="2"/>
  <c r="BP165" i="2"/>
  <c r="BO165" i="2"/>
  <c r="BE165" i="2" s="1"/>
  <c r="BN165" i="2"/>
  <c r="AZ165" i="2" s="1"/>
  <c r="BM165" i="2"/>
  <c r="BL165" i="2"/>
  <c r="BK165" i="2"/>
  <c r="AY165" i="2" s="1"/>
  <c r="BJ165" i="2"/>
  <c r="BI165" i="2"/>
  <c r="BC165" i="2" s="1"/>
  <c r="BH165" i="2"/>
  <c r="BG165" i="2" s="1"/>
  <c r="F165" i="2"/>
  <c r="D165" i="2"/>
  <c r="C165" i="2"/>
  <c r="DM164" i="2"/>
  <c r="DN164" i="2" s="1"/>
  <c r="DE164" i="2"/>
  <c r="DK164" i="2" s="1"/>
  <c r="BQ164" i="2"/>
  <c r="BP164" i="2"/>
  <c r="BO164" i="2"/>
  <c r="BN164" i="2"/>
  <c r="BM164" i="2"/>
  <c r="BG164" i="2" s="1"/>
  <c r="BL164" i="2"/>
  <c r="BK164" i="2"/>
  <c r="BJ164" i="2"/>
  <c r="BF164" i="2" s="1"/>
  <c r="BI164" i="2"/>
  <c r="BH164" i="2"/>
  <c r="AX164" i="2"/>
  <c r="F164" i="2"/>
  <c r="D164" i="2"/>
  <c r="C164" i="2"/>
  <c r="DN163" i="2"/>
  <c r="DC163" i="2" s="1"/>
  <c r="DM163" i="2"/>
  <c r="DI163" i="2"/>
  <c r="DL163" i="2" s="1"/>
  <c r="DH163" i="2"/>
  <c r="DE163" i="2"/>
  <c r="DK163" i="2" s="1"/>
  <c r="DD163" i="2"/>
  <c r="DB163" i="2"/>
  <c r="CZ163" i="2"/>
  <c r="CY163" i="2"/>
  <c r="CX163" i="2"/>
  <c r="BQ163" i="2"/>
  <c r="BP163" i="2"/>
  <c r="BO163" i="2"/>
  <c r="BF163" i="2" s="1"/>
  <c r="BN163" i="2"/>
  <c r="BM163" i="2"/>
  <c r="BG163" i="2" s="1"/>
  <c r="BL163" i="2"/>
  <c r="BK163" i="2"/>
  <c r="BJ163" i="2"/>
  <c r="BI163" i="2"/>
  <c r="BE163" i="2" s="1"/>
  <c r="BH163" i="2"/>
  <c r="F163" i="2"/>
  <c r="D163" i="2"/>
  <c r="C163" i="2"/>
  <c r="DN162" i="2"/>
  <c r="DB162" i="2" s="1"/>
  <c r="DM162" i="2"/>
  <c r="DH162" i="2"/>
  <c r="DG162" i="2"/>
  <c r="DD162" i="2"/>
  <c r="DC162" i="2"/>
  <c r="CX162" i="2"/>
  <c r="BQ162" i="2"/>
  <c r="BP162" i="2"/>
  <c r="BO162" i="2"/>
  <c r="BF162" i="2" s="1"/>
  <c r="BN162" i="2"/>
  <c r="BC162" i="2" s="1"/>
  <c r="BM162" i="2"/>
  <c r="BL162" i="2"/>
  <c r="BK162" i="2"/>
  <c r="BJ162" i="2"/>
  <c r="BI162" i="2"/>
  <c r="BH162" i="2"/>
  <c r="BE162" i="2" s="1"/>
  <c r="BG162" i="2"/>
  <c r="AZ162" i="2"/>
  <c r="AV162" i="2"/>
  <c r="F162" i="2"/>
  <c r="D162" i="2"/>
  <c r="C162" i="2"/>
  <c r="DM161" i="2"/>
  <c r="DN161" i="2" s="1"/>
  <c r="DG161" i="2"/>
  <c r="BQ161" i="2"/>
  <c r="BE161" i="2" s="1"/>
  <c r="BP161" i="2"/>
  <c r="BO161" i="2"/>
  <c r="BN161" i="2"/>
  <c r="BM161" i="2"/>
  <c r="BD161" i="2" s="1"/>
  <c r="BL161" i="2"/>
  <c r="BK161" i="2"/>
  <c r="AY161" i="2" s="1"/>
  <c r="BJ161" i="2"/>
  <c r="BI161" i="2"/>
  <c r="BH161" i="2"/>
  <c r="BG161" i="2"/>
  <c r="AZ161" i="2"/>
  <c r="AX161" i="2"/>
  <c r="F161" i="2"/>
  <c r="D161" i="2"/>
  <c r="C161" i="2"/>
  <c r="DM160" i="2"/>
  <c r="DN160" i="2" s="1"/>
  <c r="DF160" i="2" s="1"/>
  <c r="DA160" i="2"/>
  <c r="DJ160" i="2" s="1"/>
  <c r="BQ160" i="2"/>
  <c r="BP160" i="2"/>
  <c r="BO160" i="2"/>
  <c r="BN160" i="2"/>
  <c r="BM160" i="2"/>
  <c r="BD160" i="2" s="1"/>
  <c r="BL160" i="2"/>
  <c r="BK160" i="2"/>
  <c r="BJ160" i="2"/>
  <c r="BF160" i="2" s="1"/>
  <c r="BI160" i="2"/>
  <c r="BE160" i="2" s="1"/>
  <c r="BH160" i="2"/>
  <c r="AX160" i="2"/>
  <c r="F160" i="2"/>
  <c r="D160" i="2"/>
  <c r="C160" i="2"/>
  <c r="DN159" i="2"/>
  <c r="CY159" i="2" s="1"/>
  <c r="DM159" i="2"/>
  <c r="DH159" i="2"/>
  <c r="DG159" i="2"/>
  <c r="DE159" i="2"/>
  <c r="DK159" i="2" s="1"/>
  <c r="DD159" i="2"/>
  <c r="DA159" i="2"/>
  <c r="DJ159" i="2" s="1"/>
  <c r="CZ159" i="2"/>
  <c r="CX159" i="2"/>
  <c r="BQ159" i="2"/>
  <c r="BP159" i="2"/>
  <c r="BO159" i="2"/>
  <c r="BN159" i="2"/>
  <c r="BM159" i="2"/>
  <c r="AV159" i="2" s="1"/>
  <c r="BL159" i="2"/>
  <c r="BK159" i="2"/>
  <c r="BJ159" i="2"/>
  <c r="BF159" i="2" s="1"/>
  <c r="BI159" i="2"/>
  <c r="BH159" i="2"/>
  <c r="BD159" i="2" s="1"/>
  <c r="F159" i="2"/>
  <c r="D159" i="2"/>
  <c r="C159" i="2"/>
  <c r="DM158" i="2"/>
  <c r="DN158" i="2" s="1"/>
  <c r="DD158" i="2"/>
  <c r="DC158" i="2"/>
  <c r="CY158" i="2"/>
  <c r="BQ158" i="2"/>
  <c r="BP158" i="2"/>
  <c r="BO158" i="2"/>
  <c r="BN158" i="2"/>
  <c r="BM158" i="2"/>
  <c r="BL158" i="2"/>
  <c r="BK158" i="2"/>
  <c r="BJ158" i="2"/>
  <c r="AV158" i="2" s="1"/>
  <c r="BI158" i="2"/>
  <c r="AZ158" i="2" s="1"/>
  <c r="BH158" i="2"/>
  <c r="BG158" i="2"/>
  <c r="BC158" i="2"/>
  <c r="F158" i="2"/>
  <c r="D158" i="2"/>
  <c r="C158" i="2"/>
  <c r="DN157" i="2"/>
  <c r="DM157" i="2"/>
  <c r="CX157" i="2"/>
  <c r="BQ157" i="2"/>
  <c r="BP157" i="2"/>
  <c r="BO157" i="2"/>
  <c r="BN157" i="2"/>
  <c r="BM157" i="2"/>
  <c r="AV157" i="2" s="1"/>
  <c r="BL157" i="2"/>
  <c r="BK157" i="2"/>
  <c r="BJ157" i="2"/>
  <c r="BI157" i="2"/>
  <c r="BE157" i="2" s="1"/>
  <c r="BH157" i="2"/>
  <c r="AY157" i="2" s="1"/>
  <c r="BG157" i="2"/>
  <c r="BF157" i="2"/>
  <c r="BC157" i="2"/>
  <c r="AZ157" i="2"/>
  <c r="AX157" i="2"/>
  <c r="F157" i="2"/>
  <c r="D157" i="2"/>
  <c r="C157" i="2"/>
  <c r="DM156" i="2"/>
  <c r="DN156" i="2" s="1"/>
  <c r="DB156" i="2" s="1"/>
  <c r="DA156" i="2"/>
  <c r="DJ156" i="2" s="1"/>
  <c r="BQ156" i="2"/>
  <c r="BP156" i="2"/>
  <c r="BO156" i="2"/>
  <c r="BN156" i="2"/>
  <c r="BM156" i="2"/>
  <c r="AV156" i="2" s="1"/>
  <c r="BL156" i="2"/>
  <c r="BK156" i="2"/>
  <c r="BJ156" i="2"/>
  <c r="BI156" i="2"/>
  <c r="BC156" i="2" s="1"/>
  <c r="BH156" i="2"/>
  <c r="AX156" i="2" s="1"/>
  <c r="BF156" i="2"/>
  <c r="BE156" i="2"/>
  <c r="AZ156" i="2"/>
  <c r="AY156" i="2"/>
  <c r="F156" i="2"/>
  <c r="D156" i="2"/>
  <c r="C156" i="2"/>
  <c r="DM155" i="2"/>
  <c r="DN155" i="2" s="1"/>
  <c r="DA155" i="2" s="1"/>
  <c r="DJ155" i="2" s="1"/>
  <c r="CZ155" i="2"/>
  <c r="BQ155" i="2"/>
  <c r="BG155" i="2" s="1"/>
  <c r="BP155" i="2"/>
  <c r="BO155" i="2"/>
  <c r="BN155" i="2"/>
  <c r="BM155" i="2"/>
  <c r="BL155" i="2"/>
  <c r="BK155" i="2"/>
  <c r="BJ155" i="2"/>
  <c r="AV155" i="2" s="1"/>
  <c r="BI155" i="2"/>
  <c r="BC155" i="2" s="1"/>
  <c r="BH155" i="2"/>
  <c r="BD155" i="2"/>
  <c r="AY155" i="2"/>
  <c r="AX155" i="2"/>
  <c r="F155" i="2"/>
  <c r="D155" i="2"/>
  <c r="C155" i="2"/>
  <c r="DN154" i="2"/>
  <c r="DM154" i="2"/>
  <c r="DL154" i="2"/>
  <c r="DK154" i="2"/>
  <c r="DI154" i="2"/>
  <c r="DH154" i="2"/>
  <c r="DG154" i="2"/>
  <c r="DF154" i="2"/>
  <c r="DE154" i="2"/>
  <c r="DD154" i="2"/>
  <c r="DC154" i="2"/>
  <c r="DB154" i="2"/>
  <c r="DA154" i="2"/>
  <c r="DJ154" i="2" s="1"/>
  <c r="CZ154" i="2"/>
  <c r="CY154" i="2"/>
  <c r="CX154" i="2"/>
  <c r="BQ154" i="2"/>
  <c r="BP154" i="2"/>
  <c r="BO154" i="2"/>
  <c r="BN154" i="2"/>
  <c r="BM154" i="2"/>
  <c r="AV154" i="2" s="1"/>
  <c r="BL154" i="2"/>
  <c r="BK154" i="2"/>
  <c r="BJ154" i="2"/>
  <c r="BI154" i="2"/>
  <c r="BE154" i="2" s="1"/>
  <c r="BH154" i="2"/>
  <c r="AY154" i="2" s="1"/>
  <c r="BD154" i="2"/>
  <c r="BC154" i="2"/>
  <c r="AX154" i="2"/>
  <c r="F154" i="2"/>
  <c r="D154" i="2"/>
  <c r="C154" i="2"/>
  <c r="DN153" i="2"/>
  <c r="DM153" i="2"/>
  <c r="DE153" i="2"/>
  <c r="DK153" i="2" s="1"/>
  <c r="CY153" i="2"/>
  <c r="CX153" i="2"/>
  <c r="BQ153" i="2"/>
  <c r="BP153" i="2"/>
  <c r="BO153" i="2"/>
  <c r="BN153" i="2"/>
  <c r="AZ153" i="2" s="1"/>
  <c r="BM153" i="2"/>
  <c r="BG153" i="2" s="1"/>
  <c r="BL153" i="2"/>
  <c r="BK153" i="2"/>
  <c r="BJ153" i="2"/>
  <c r="BF153" i="2" s="1"/>
  <c r="BI153" i="2"/>
  <c r="BH153" i="2"/>
  <c r="BD153" i="2" s="1"/>
  <c r="BC153" i="2"/>
  <c r="AV153" i="2"/>
  <c r="F153" i="2"/>
  <c r="D153" i="2"/>
  <c r="C153" i="2"/>
  <c r="DN152" i="2"/>
  <c r="CX152" i="2" s="1"/>
  <c r="DM152" i="2"/>
  <c r="DI152" i="2"/>
  <c r="DL152" i="2" s="1"/>
  <c r="DD152" i="2"/>
  <c r="BQ152" i="2"/>
  <c r="BP152" i="2"/>
  <c r="BO152" i="2"/>
  <c r="BN152" i="2"/>
  <c r="AZ152" i="2" s="1"/>
  <c r="BM152" i="2"/>
  <c r="BG152" i="2" s="1"/>
  <c r="BL152" i="2"/>
  <c r="BK152" i="2"/>
  <c r="BJ152" i="2"/>
  <c r="BF152" i="2" s="1"/>
  <c r="BI152" i="2"/>
  <c r="BH152" i="2"/>
  <c r="AY152" i="2" s="1"/>
  <c r="F152" i="2"/>
  <c r="D152" i="2"/>
  <c r="C152" i="2"/>
  <c r="DM151" i="2"/>
  <c r="DN151" i="2" s="1"/>
  <c r="DI151" i="2" s="1"/>
  <c r="DL151" i="2" s="1"/>
  <c r="BQ151" i="2"/>
  <c r="BP151" i="2"/>
  <c r="BO151" i="2"/>
  <c r="BN151" i="2"/>
  <c r="BM151" i="2"/>
  <c r="AV151" i="2" s="1"/>
  <c r="BL151" i="2"/>
  <c r="AY151" i="2" s="1"/>
  <c r="BK151" i="2"/>
  <c r="BJ151" i="2"/>
  <c r="BI151" i="2"/>
  <c r="BE151" i="2" s="1"/>
  <c r="BH151" i="2"/>
  <c r="BC151" i="2"/>
  <c r="AX151" i="2"/>
  <c r="F151" i="2"/>
  <c r="D151" i="2"/>
  <c r="C151" i="2"/>
  <c r="DN150" i="2"/>
  <c r="DF150" i="2" s="1"/>
  <c r="DM150" i="2"/>
  <c r="DH150" i="2"/>
  <c r="DG150" i="2"/>
  <c r="DB150" i="2"/>
  <c r="CX150" i="2"/>
  <c r="BQ150" i="2"/>
  <c r="BP150" i="2"/>
  <c r="BO150" i="2"/>
  <c r="BN150" i="2"/>
  <c r="BM150" i="2"/>
  <c r="AV150" i="2" s="1"/>
  <c r="BL150" i="2"/>
  <c r="BK150" i="2"/>
  <c r="BF150" i="2" s="1"/>
  <c r="BJ150" i="2"/>
  <c r="BI150" i="2"/>
  <c r="BE150" i="2" s="1"/>
  <c r="BH150" i="2"/>
  <c r="BG150" i="2"/>
  <c r="AZ150" i="2"/>
  <c r="AX150" i="2"/>
  <c r="F150" i="2"/>
  <c r="D150" i="2"/>
  <c r="C150" i="2"/>
  <c r="DM149" i="2"/>
  <c r="DN149" i="2" s="1"/>
  <c r="BQ149" i="2"/>
  <c r="BP149" i="2"/>
  <c r="BO149" i="2"/>
  <c r="BN149" i="2"/>
  <c r="AZ149" i="2" s="1"/>
  <c r="BM149" i="2"/>
  <c r="BL149" i="2"/>
  <c r="BK149" i="2"/>
  <c r="AY149" i="2" s="1"/>
  <c r="BJ149" i="2"/>
  <c r="BI149" i="2"/>
  <c r="BH149" i="2"/>
  <c r="BG149" i="2" s="1"/>
  <c r="BE149" i="2"/>
  <c r="AV149" i="2"/>
  <c r="F149" i="2"/>
  <c r="D149" i="2"/>
  <c r="C149" i="2"/>
  <c r="DM148" i="2"/>
  <c r="DN148" i="2" s="1"/>
  <c r="DE148" i="2" s="1"/>
  <c r="DK148" i="2" s="1"/>
  <c r="DI148" i="2"/>
  <c r="DL148" i="2" s="1"/>
  <c r="DF148" i="2"/>
  <c r="CZ148" i="2"/>
  <c r="BQ148" i="2"/>
  <c r="BP148" i="2"/>
  <c r="BO148" i="2"/>
  <c r="BN148" i="2"/>
  <c r="BM148" i="2"/>
  <c r="BG148" i="2" s="1"/>
  <c r="BL148" i="2"/>
  <c r="BK148" i="2"/>
  <c r="BJ148" i="2"/>
  <c r="BF148" i="2" s="1"/>
  <c r="BI148" i="2"/>
  <c r="BH148" i="2"/>
  <c r="AX148" i="2"/>
  <c r="F148" i="2"/>
  <c r="D148" i="2"/>
  <c r="C148" i="2"/>
  <c r="DN147" i="2"/>
  <c r="DC147" i="2" s="1"/>
  <c r="DM147" i="2"/>
  <c r="DI147" i="2"/>
  <c r="DL147" i="2" s="1"/>
  <c r="DH147" i="2"/>
  <c r="DE147" i="2"/>
  <c r="DK147" i="2" s="1"/>
  <c r="DD147" i="2"/>
  <c r="DB147" i="2"/>
  <c r="CZ147" i="2"/>
  <c r="CY147" i="2"/>
  <c r="CX147" i="2"/>
  <c r="BQ147" i="2"/>
  <c r="BP147" i="2"/>
  <c r="BO147" i="2"/>
  <c r="BF147" i="2" s="1"/>
  <c r="BN147" i="2"/>
  <c r="BM147" i="2"/>
  <c r="BL147" i="2"/>
  <c r="BK147" i="2"/>
  <c r="BJ147" i="2"/>
  <c r="BI147" i="2"/>
  <c r="BC147" i="2" s="1"/>
  <c r="BH147" i="2"/>
  <c r="AY147" i="2"/>
  <c r="F147" i="2"/>
  <c r="D147" i="2"/>
  <c r="C147" i="2"/>
  <c r="DN146" i="2"/>
  <c r="DH146" i="2" s="1"/>
  <c r="DM146" i="2"/>
  <c r="DD146" i="2"/>
  <c r="CX146" i="2"/>
  <c r="BQ146" i="2"/>
  <c r="BP146" i="2"/>
  <c r="BO146" i="2"/>
  <c r="BN146" i="2"/>
  <c r="BC146" i="2" s="1"/>
  <c r="BM146" i="2"/>
  <c r="BL146" i="2"/>
  <c r="BK146" i="2"/>
  <c r="BJ146" i="2"/>
  <c r="BF146" i="2" s="1"/>
  <c r="BI146" i="2"/>
  <c r="BH146" i="2"/>
  <c r="BG146" i="2" s="1"/>
  <c r="AZ146" i="2"/>
  <c r="AV146" i="2"/>
  <c r="F146" i="2"/>
  <c r="D146" i="2"/>
  <c r="C146" i="2"/>
  <c r="DM145" i="2"/>
  <c r="DN145" i="2" s="1"/>
  <c r="DI145" i="2" s="1"/>
  <c r="DL145" i="2" s="1"/>
  <c r="DG145" i="2"/>
  <c r="BQ145" i="2"/>
  <c r="BP145" i="2"/>
  <c r="BO145" i="2"/>
  <c r="BN145" i="2"/>
  <c r="BM145" i="2"/>
  <c r="BL145" i="2"/>
  <c r="BK145" i="2"/>
  <c r="AY145" i="2" s="1"/>
  <c r="BJ145" i="2"/>
  <c r="BF145" i="2" s="1"/>
  <c r="BI145" i="2"/>
  <c r="BH145" i="2"/>
  <c r="BG145" i="2"/>
  <c r="AZ145" i="2"/>
  <c r="AX145" i="2"/>
  <c r="F145" i="2"/>
  <c r="D145" i="2"/>
  <c r="C145" i="2"/>
  <c r="DM144" i="2"/>
  <c r="DN144" i="2" s="1"/>
  <c r="DF144" i="2" s="1"/>
  <c r="DL144" i="2"/>
  <c r="DI144" i="2"/>
  <c r="DH144" i="2"/>
  <c r="DE144" i="2"/>
  <c r="DK144" i="2" s="1"/>
  <c r="DB144" i="2"/>
  <c r="DA144" i="2"/>
  <c r="DJ144" i="2" s="1"/>
  <c r="BQ144" i="2"/>
  <c r="BP144" i="2"/>
  <c r="BE144" i="2" s="1"/>
  <c r="BO144" i="2"/>
  <c r="BN144" i="2"/>
  <c r="BM144" i="2"/>
  <c r="BL144" i="2"/>
  <c r="BK144" i="2"/>
  <c r="BJ144" i="2"/>
  <c r="BF144" i="2" s="1"/>
  <c r="BI144" i="2"/>
  <c r="BH144" i="2"/>
  <c r="BD144" i="2" s="1"/>
  <c r="AX144" i="2"/>
  <c r="F144" i="2"/>
  <c r="D144" i="2"/>
  <c r="C144" i="2"/>
  <c r="DN143" i="2"/>
  <c r="CY143" i="2" s="1"/>
  <c r="DM143" i="2"/>
  <c r="DH143" i="2"/>
  <c r="DG143" i="2"/>
  <c r="DE143" i="2"/>
  <c r="DK143" i="2" s="1"/>
  <c r="DD143" i="2"/>
  <c r="DA143" i="2"/>
  <c r="DJ143" i="2" s="1"/>
  <c r="CZ143" i="2"/>
  <c r="CX143" i="2"/>
  <c r="BQ143" i="2"/>
  <c r="BP143" i="2"/>
  <c r="BO143" i="2"/>
  <c r="BN143" i="2"/>
  <c r="BM143" i="2"/>
  <c r="AV143" i="2" s="1"/>
  <c r="BL143" i="2"/>
  <c r="BD143" i="2" s="1"/>
  <c r="BK143" i="2"/>
  <c r="BJ143" i="2"/>
  <c r="BF143" i="2" s="1"/>
  <c r="BI143" i="2"/>
  <c r="BH143" i="2"/>
  <c r="BE143" i="2"/>
  <c r="F143" i="2"/>
  <c r="D143" i="2"/>
  <c r="C143" i="2"/>
  <c r="DM142" i="2"/>
  <c r="DN142" i="2" s="1"/>
  <c r="DG142" i="2" s="1"/>
  <c r="DI142" i="2"/>
  <c r="DL142" i="2" s="1"/>
  <c r="DF142" i="2"/>
  <c r="CZ142" i="2"/>
  <c r="CY142" i="2"/>
  <c r="BQ142" i="2"/>
  <c r="BP142" i="2"/>
  <c r="BO142" i="2"/>
  <c r="BN142" i="2"/>
  <c r="BC142" i="2" s="1"/>
  <c r="BM142" i="2"/>
  <c r="AV142" i="2" s="1"/>
  <c r="BL142" i="2"/>
  <c r="BK142" i="2"/>
  <c r="BJ142" i="2"/>
  <c r="BI142" i="2"/>
  <c r="AZ142" i="2" s="1"/>
  <c r="BH142" i="2"/>
  <c r="BD142" i="2"/>
  <c r="F142" i="2"/>
  <c r="D142" i="2"/>
  <c r="C142" i="2"/>
  <c r="DN141" i="2"/>
  <c r="DF141" i="2" s="1"/>
  <c r="DM141" i="2"/>
  <c r="DI141" i="2"/>
  <c r="DL141" i="2" s="1"/>
  <c r="DH141" i="2"/>
  <c r="DE141" i="2"/>
  <c r="DK141" i="2" s="1"/>
  <c r="DB141" i="2"/>
  <c r="CY141" i="2"/>
  <c r="CX141" i="2"/>
  <c r="BQ141" i="2"/>
  <c r="BP141" i="2"/>
  <c r="BO141" i="2"/>
  <c r="BN141" i="2"/>
  <c r="BM141" i="2"/>
  <c r="AV141" i="2" s="1"/>
  <c r="BL141" i="2"/>
  <c r="BK141" i="2"/>
  <c r="BJ141" i="2"/>
  <c r="BI141" i="2"/>
  <c r="BE141" i="2" s="1"/>
  <c r="BH141" i="2"/>
  <c r="AY141" i="2" s="1"/>
  <c r="BF141" i="2"/>
  <c r="AX141" i="2"/>
  <c r="F141" i="2"/>
  <c r="D141" i="2"/>
  <c r="C141" i="2"/>
  <c r="DN140" i="2"/>
  <c r="DI140" i="2" s="1"/>
  <c r="DL140" i="2" s="1"/>
  <c r="DM140" i="2"/>
  <c r="DG140" i="2"/>
  <c r="DD140" i="2"/>
  <c r="CX140" i="2"/>
  <c r="BQ140" i="2"/>
  <c r="BP140" i="2"/>
  <c r="BO140" i="2"/>
  <c r="BN140" i="2"/>
  <c r="BM140" i="2"/>
  <c r="BL140" i="2"/>
  <c r="BK140" i="2"/>
  <c r="BJ140" i="2"/>
  <c r="BI140" i="2"/>
  <c r="BE140" i="2" s="1"/>
  <c r="BH140" i="2"/>
  <c r="BF140" i="2"/>
  <c r="AZ140" i="2"/>
  <c r="F140" i="2"/>
  <c r="D140" i="2"/>
  <c r="C140" i="2"/>
  <c r="DM139" i="2"/>
  <c r="DN139" i="2" s="1"/>
  <c r="DG139" i="2" s="1"/>
  <c r="DH139" i="2"/>
  <c r="DF139" i="2"/>
  <c r="DC139" i="2"/>
  <c r="DA139" i="2"/>
  <c r="DJ139" i="2" s="1"/>
  <c r="CZ139" i="2"/>
  <c r="BQ139" i="2"/>
  <c r="BP139" i="2"/>
  <c r="BO139" i="2"/>
  <c r="BN139" i="2"/>
  <c r="BM139" i="2"/>
  <c r="BL139" i="2"/>
  <c r="BK139" i="2"/>
  <c r="BJ139" i="2"/>
  <c r="BI139" i="2"/>
  <c r="BC139" i="2" s="1"/>
  <c r="BH139" i="2"/>
  <c r="BD139" i="2" s="1"/>
  <c r="BE139" i="2"/>
  <c r="F139" i="2"/>
  <c r="D139" i="2"/>
  <c r="C139" i="2"/>
  <c r="DN138" i="2"/>
  <c r="DM138" i="2"/>
  <c r="DK138" i="2"/>
  <c r="DI138" i="2"/>
  <c r="DL138" i="2" s="1"/>
  <c r="DH138" i="2"/>
  <c r="DG138" i="2"/>
  <c r="DF138" i="2"/>
  <c r="DE138" i="2"/>
  <c r="DD138" i="2"/>
  <c r="DC138" i="2"/>
  <c r="DB138" i="2"/>
  <c r="DA138" i="2"/>
  <c r="DJ138" i="2" s="1"/>
  <c r="CZ138" i="2"/>
  <c r="CY138" i="2"/>
  <c r="CX138" i="2"/>
  <c r="BQ138" i="2"/>
  <c r="BP138" i="2"/>
  <c r="BF138" i="2" s="1"/>
  <c r="BO138" i="2"/>
  <c r="BN138" i="2"/>
  <c r="BM138" i="2"/>
  <c r="AV138" i="2" s="1"/>
  <c r="BL138" i="2"/>
  <c r="BK138" i="2"/>
  <c r="BC138" i="2" s="1"/>
  <c r="BJ138" i="2"/>
  <c r="BI138" i="2"/>
  <c r="BH138" i="2"/>
  <c r="AX138" i="2"/>
  <c r="F138" i="2"/>
  <c r="D138" i="2"/>
  <c r="C138" i="2"/>
  <c r="DN137" i="2"/>
  <c r="DG137" i="2" s="1"/>
  <c r="DM137" i="2"/>
  <c r="DH137" i="2"/>
  <c r="DF137" i="2"/>
  <c r="DB137" i="2"/>
  <c r="BQ137" i="2"/>
  <c r="BP137" i="2"/>
  <c r="BO137" i="2"/>
  <c r="BN137" i="2"/>
  <c r="AZ137" i="2" s="1"/>
  <c r="BM137" i="2"/>
  <c r="BL137" i="2"/>
  <c r="BK137" i="2"/>
  <c r="BJ137" i="2"/>
  <c r="BF137" i="2" s="1"/>
  <c r="BI137" i="2"/>
  <c r="BH137" i="2"/>
  <c r="F137" i="2"/>
  <c r="D137" i="2"/>
  <c r="C137" i="2"/>
  <c r="DM136" i="2"/>
  <c r="DN136" i="2" s="1"/>
  <c r="CX136" i="2" s="1"/>
  <c r="BQ136" i="2"/>
  <c r="BP136" i="2"/>
  <c r="BO136" i="2"/>
  <c r="BN136" i="2"/>
  <c r="BM136" i="2"/>
  <c r="BG136" i="2" s="1"/>
  <c r="BL136" i="2"/>
  <c r="BK136" i="2"/>
  <c r="BJ136" i="2"/>
  <c r="BF136" i="2" s="1"/>
  <c r="BI136" i="2"/>
  <c r="BH136" i="2"/>
  <c r="AX136" i="2" s="1"/>
  <c r="BD136" i="2"/>
  <c r="AZ136" i="2"/>
  <c r="AV136" i="2"/>
  <c r="F136" i="2"/>
  <c r="D136" i="2"/>
  <c r="C136" i="2"/>
  <c r="DM135" i="2"/>
  <c r="DN135" i="2" s="1"/>
  <c r="BQ135" i="2"/>
  <c r="BP135" i="2"/>
  <c r="BO135" i="2"/>
  <c r="BN135" i="2"/>
  <c r="BM135" i="2"/>
  <c r="BL135" i="2"/>
  <c r="BK135" i="2"/>
  <c r="BJ135" i="2"/>
  <c r="BF135" i="2" s="1"/>
  <c r="BI135" i="2"/>
  <c r="BC135" i="2" s="1"/>
  <c r="BH135" i="2"/>
  <c r="AY135" i="2"/>
  <c r="F135" i="2"/>
  <c r="D135" i="2"/>
  <c r="C135" i="2"/>
  <c r="DN134" i="2"/>
  <c r="DM134" i="2"/>
  <c r="DF134" i="2"/>
  <c r="DC134" i="2"/>
  <c r="BQ134" i="2"/>
  <c r="BP134" i="2"/>
  <c r="BO134" i="2"/>
  <c r="BN134" i="2"/>
  <c r="BM134" i="2"/>
  <c r="BL134" i="2"/>
  <c r="BK134" i="2"/>
  <c r="BJ134" i="2"/>
  <c r="BI134" i="2"/>
  <c r="BE134" i="2" s="1"/>
  <c r="BH134" i="2"/>
  <c r="BG134" i="2"/>
  <c r="BF134" i="2"/>
  <c r="AX134" i="2"/>
  <c r="F134" i="2"/>
  <c r="D134" i="2"/>
  <c r="C134" i="2"/>
  <c r="DM133" i="2"/>
  <c r="DN133" i="2" s="1"/>
  <c r="DG133" i="2"/>
  <c r="BQ133" i="2"/>
  <c r="BP133" i="2"/>
  <c r="BO133" i="2"/>
  <c r="BN133" i="2"/>
  <c r="AZ133" i="2" s="1"/>
  <c r="BM133" i="2"/>
  <c r="BL133" i="2"/>
  <c r="BK133" i="2"/>
  <c r="BJ133" i="2"/>
  <c r="BI133" i="2"/>
  <c r="BH133" i="2"/>
  <c r="AX133" i="2" s="1"/>
  <c r="BG133" i="2"/>
  <c r="F133" i="2"/>
  <c r="D133" i="2"/>
  <c r="C133" i="2"/>
  <c r="DM132" i="2"/>
  <c r="DN132" i="2" s="1"/>
  <c r="BQ132" i="2"/>
  <c r="BP132" i="2"/>
  <c r="BO132" i="2"/>
  <c r="BN132" i="2"/>
  <c r="BM132" i="2"/>
  <c r="BL132" i="2"/>
  <c r="BK132" i="2"/>
  <c r="BJ132" i="2"/>
  <c r="BI132" i="2"/>
  <c r="BE132" i="2" s="1"/>
  <c r="BH132" i="2"/>
  <c r="BG132" i="2" s="1"/>
  <c r="BF132" i="2"/>
  <c r="AV132" i="2"/>
  <c r="F132" i="2"/>
  <c r="D132" i="2"/>
  <c r="C132" i="2"/>
  <c r="DN131" i="2"/>
  <c r="CY131" i="2" s="1"/>
  <c r="DM131" i="2"/>
  <c r="DB131" i="2"/>
  <c r="CZ131" i="2"/>
  <c r="BQ131" i="2"/>
  <c r="BP131" i="2"/>
  <c r="BO131" i="2"/>
  <c r="BN131" i="2"/>
  <c r="BM131" i="2"/>
  <c r="BL131" i="2"/>
  <c r="BK131" i="2"/>
  <c r="BJ131" i="2"/>
  <c r="BI131" i="2"/>
  <c r="BC131" i="2" s="1"/>
  <c r="BH131" i="2"/>
  <c r="BG131" i="2"/>
  <c r="BF131" i="2"/>
  <c r="BD131" i="2"/>
  <c r="AZ131" i="2"/>
  <c r="AX131" i="2"/>
  <c r="F131" i="2"/>
  <c r="D131" i="2"/>
  <c r="C131" i="2"/>
  <c r="DM130" i="2"/>
  <c r="DN130" i="2" s="1"/>
  <c r="DH130" i="2" s="1"/>
  <c r="BQ130" i="2"/>
  <c r="BP130" i="2"/>
  <c r="BO130" i="2"/>
  <c r="BN130" i="2"/>
  <c r="BM130" i="2"/>
  <c r="BL130" i="2"/>
  <c r="BK130" i="2"/>
  <c r="BJ130" i="2"/>
  <c r="BI130" i="2"/>
  <c r="BE130" i="2" s="1"/>
  <c r="BH130" i="2"/>
  <c r="AX130" i="2" s="1"/>
  <c r="BF130" i="2"/>
  <c r="AV130" i="2"/>
  <c r="F130" i="2"/>
  <c r="D130" i="2"/>
  <c r="C130" i="2"/>
  <c r="DN129" i="2"/>
  <c r="DB129" i="2" s="1"/>
  <c r="DM129" i="2"/>
  <c r="DF129" i="2"/>
  <c r="DE129" i="2"/>
  <c r="DK129" i="2" s="1"/>
  <c r="DC129" i="2"/>
  <c r="CZ129" i="2"/>
  <c r="BQ129" i="2"/>
  <c r="BP129" i="2"/>
  <c r="BO129" i="2"/>
  <c r="BN129" i="2"/>
  <c r="BM129" i="2"/>
  <c r="AV129" i="2" s="1"/>
  <c r="BL129" i="2"/>
  <c r="BK129" i="2"/>
  <c r="BJ129" i="2"/>
  <c r="BF129" i="2" s="1"/>
  <c r="BI129" i="2"/>
  <c r="BE129" i="2" s="1"/>
  <c r="BH129" i="2"/>
  <c r="BG129" i="2"/>
  <c r="AX129" i="2"/>
  <c r="F129" i="2"/>
  <c r="D129" i="2"/>
  <c r="C129" i="2"/>
  <c r="DN128" i="2"/>
  <c r="CZ128" i="2" s="1"/>
  <c r="DM128" i="2"/>
  <c r="DI128" i="2"/>
  <c r="DL128" i="2" s="1"/>
  <c r="DD128" i="2"/>
  <c r="DC128" i="2"/>
  <c r="DA128" i="2"/>
  <c r="DJ128" i="2" s="1"/>
  <c r="CX128" i="2"/>
  <c r="BQ128" i="2"/>
  <c r="BP128" i="2"/>
  <c r="BO128" i="2"/>
  <c r="BN128" i="2"/>
  <c r="BM128" i="2"/>
  <c r="AV128" i="2" s="1"/>
  <c r="BL128" i="2"/>
  <c r="BK128" i="2"/>
  <c r="BC128" i="2" s="1"/>
  <c r="BJ128" i="2"/>
  <c r="BF128" i="2" s="1"/>
  <c r="BI128" i="2"/>
  <c r="BH128" i="2"/>
  <c r="BD128" i="2" s="1"/>
  <c r="BE128" i="2"/>
  <c r="AZ128" i="2"/>
  <c r="F128" i="2"/>
  <c r="D128" i="2"/>
  <c r="C128" i="2"/>
  <c r="DM127" i="2"/>
  <c r="DN127" i="2" s="1"/>
  <c r="CZ127" i="2"/>
  <c r="BQ127" i="2"/>
  <c r="BG127" i="2" s="1"/>
  <c r="BP127" i="2"/>
  <c r="BO127" i="2"/>
  <c r="BN127" i="2"/>
  <c r="AZ127" i="2" s="1"/>
  <c r="BM127" i="2"/>
  <c r="BL127" i="2"/>
  <c r="AY127" i="2" s="1"/>
  <c r="BK127" i="2"/>
  <c r="BJ127" i="2"/>
  <c r="AV127" i="2" s="1"/>
  <c r="BI127" i="2"/>
  <c r="BC127" i="2" s="1"/>
  <c r="BH127" i="2"/>
  <c r="BF127" i="2"/>
  <c r="BD127" i="2"/>
  <c r="AX127" i="2"/>
  <c r="F127" i="2"/>
  <c r="D127" i="2"/>
  <c r="C127" i="2"/>
  <c r="DM126" i="2"/>
  <c r="DN126" i="2" s="1"/>
  <c r="CY126" i="2" s="1"/>
  <c r="BQ126" i="2"/>
  <c r="BP126" i="2"/>
  <c r="BF126" i="2" s="1"/>
  <c r="BO126" i="2"/>
  <c r="BN126" i="2"/>
  <c r="BM126" i="2"/>
  <c r="AV126" i="2" s="1"/>
  <c r="BL126" i="2"/>
  <c r="BK126" i="2"/>
  <c r="BJ126" i="2"/>
  <c r="BI126" i="2"/>
  <c r="AZ126" i="2" s="1"/>
  <c r="BH126" i="2"/>
  <c r="BD126" i="2" s="1"/>
  <c r="BE126" i="2"/>
  <c r="BC126" i="2"/>
  <c r="AX126" i="2"/>
  <c r="F126" i="2"/>
  <c r="D126" i="2"/>
  <c r="C126" i="2"/>
  <c r="DN125" i="2"/>
  <c r="DM125" i="2"/>
  <c r="CX125" i="2"/>
  <c r="BQ125" i="2"/>
  <c r="BP125" i="2"/>
  <c r="BO125" i="2"/>
  <c r="BE125" i="2" s="1"/>
  <c r="BN125" i="2"/>
  <c r="BM125" i="2"/>
  <c r="AV125" i="2" s="1"/>
  <c r="BL125" i="2"/>
  <c r="BD125" i="2" s="1"/>
  <c r="BK125" i="2"/>
  <c r="BJ125" i="2"/>
  <c r="BF125" i="2" s="1"/>
  <c r="BI125" i="2"/>
  <c r="BC125" i="2" s="1"/>
  <c r="BH125" i="2"/>
  <c r="AY125" i="2" s="1"/>
  <c r="AZ125" i="2"/>
  <c r="F125" i="2"/>
  <c r="D125" i="2"/>
  <c r="C125" i="2"/>
  <c r="DM124" i="2"/>
  <c r="DN124" i="2" s="1"/>
  <c r="BQ124" i="2"/>
  <c r="BP124" i="2"/>
  <c r="BO124" i="2"/>
  <c r="BN124" i="2"/>
  <c r="BM124" i="2"/>
  <c r="AV124" i="2" s="1"/>
  <c r="BL124" i="2"/>
  <c r="BK124" i="2"/>
  <c r="BJ124" i="2"/>
  <c r="BF124" i="2" s="1"/>
  <c r="BI124" i="2"/>
  <c r="BH124" i="2"/>
  <c r="AX124" i="2" s="1"/>
  <c r="AY124" i="2"/>
  <c r="F124" i="2"/>
  <c r="D124" i="2"/>
  <c r="C124" i="2"/>
  <c r="DN123" i="2"/>
  <c r="DG123" i="2" s="1"/>
  <c r="DM123" i="2"/>
  <c r="DL123" i="2"/>
  <c r="DI123" i="2"/>
  <c r="DH123" i="2"/>
  <c r="DF123" i="2"/>
  <c r="DD123" i="2"/>
  <c r="CX123" i="2"/>
  <c r="BQ123" i="2"/>
  <c r="BP123" i="2"/>
  <c r="BO123" i="2"/>
  <c r="BN123" i="2"/>
  <c r="BM123" i="2"/>
  <c r="AV123" i="2" s="1"/>
  <c r="BL123" i="2"/>
  <c r="BK123" i="2"/>
  <c r="BC123" i="2" s="1"/>
  <c r="BJ123" i="2"/>
  <c r="BF123" i="2" s="1"/>
  <c r="BI123" i="2"/>
  <c r="BE123" i="2" s="1"/>
  <c r="BH123" i="2"/>
  <c r="BD123" i="2" s="1"/>
  <c r="AZ123" i="2"/>
  <c r="AX123" i="2"/>
  <c r="F123" i="2"/>
  <c r="D123" i="2"/>
  <c r="C123" i="2"/>
  <c r="DM122" i="2"/>
  <c r="DN122" i="2" s="1"/>
  <c r="BQ122" i="2"/>
  <c r="BP122" i="2"/>
  <c r="BO122" i="2"/>
  <c r="BN122" i="2"/>
  <c r="BM122" i="2"/>
  <c r="AV122" i="2" s="1"/>
  <c r="BL122" i="2"/>
  <c r="BK122" i="2"/>
  <c r="BJ122" i="2"/>
  <c r="BF122" i="2" s="1"/>
  <c r="BI122" i="2"/>
  <c r="BE122" i="2" s="1"/>
  <c r="BH122" i="2"/>
  <c r="BD122" i="2" s="1"/>
  <c r="BG122" i="2"/>
  <c r="F122" i="2"/>
  <c r="D122" i="2"/>
  <c r="C122" i="2"/>
  <c r="DM121" i="2"/>
  <c r="DN121" i="2" s="1"/>
  <c r="BQ121" i="2"/>
  <c r="BP121" i="2"/>
  <c r="BO121" i="2"/>
  <c r="BN121" i="2"/>
  <c r="BM121" i="2"/>
  <c r="BL121" i="2"/>
  <c r="BK121" i="2"/>
  <c r="BJ121" i="2"/>
  <c r="BF121" i="2" s="1"/>
  <c r="BI121" i="2"/>
  <c r="BE121" i="2" s="1"/>
  <c r="BH121" i="2"/>
  <c r="BG121" i="2" s="1"/>
  <c r="AV121" i="2"/>
  <c r="F121" i="2"/>
  <c r="D121" i="2"/>
  <c r="C121" i="2"/>
  <c r="DM120" i="2"/>
  <c r="DN120" i="2" s="1"/>
  <c r="BQ120" i="2"/>
  <c r="BP120" i="2"/>
  <c r="BO120" i="2"/>
  <c r="BN120" i="2"/>
  <c r="BM120" i="2"/>
  <c r="BL120" i="2"/>
  <c r="BK120" i="2"/>
  <c r="BJ120" i="2"/>
  <c r="BF120" i="2" s="1"/>
  <c r="BI120" i="2"/>
  <c r="BE120" i="2" s="1"/>
  <c r="BH120" i="2"/>
  <c r="F120" i="2"/>
  <c r="D120" i="2"/>
  <c r="C120" i="2"/>
  <c r="DN119" i="2"/>
  <c r="DG119" i="2" s="1"/>
  <c r="DM119" i="2"/>
  <c r="DH119" i="2"/>
  <c r="DF119" i="2"/>
  <c r="DE119" i="2"/>
  <c r="DK119" i="2" s="1"/>
  <c r="DD119" i="2"/>
  <c r="DC119" i="2"/>
  <c r="DB119" i="2"/>
  <c r="CZ119" i="2"/>
  <c r="CX119" i="2"/>
  <c r="BQ119" i="2"/>
  <c r="BP119" i="2"/>
  <c r="BO119" i="2"/>
  <c r="BN119" i="2"/>
  <c r="BM119" i="2"/>
  <c r="BL119" i="2"/>
  <c r="BK119" i="2"/>
  <c r="BJ119" i="2"/>
  <c r="AV119" i="2" s="1"/>
  <c r="BI119" i="2"/>
  <c r="BE119" i="2" s="1"/>
  <c r="BH119" i="2"/>
  <c r="BG119" i="2" s="1"/>
  <c r="BF119" i="2"/>
  <c r="F119" i="2"/>
  <c r="D119" i="2"/>
  <c r="C119" i="2"/>
  <c r="DM118" i="2"/>
  <c r="DN118" i="2" s="1"/>
  <c r="DG118" i="2" s="1"/>
  <c r="BQ118" i="2"/>
  <c r="BP118" i="2"/>
  <c r="BO118" i="2"/>
  <c r="BN118" i="2"/>
  <c r="BM118" i="2"/>
  <c r="AV118" i="2" s="1"/>
  <c r="BL118" i="2"/>
  <c r="BK118" i="2"/>
  <c r="BF118" i="2" s="1"/>
  <c r="BJ118" i="2"/>
  <c r="BI118" i="2"/>
  <c r="BH118" i="2"/>
  <c r="BG118" i="2" s="1"/>
  <c r="F118" i="2"/>
  <c r="D118" i="2"/>
  <c r="C118" i="2"/>
  <c r="DN117" i="2"/>
  <c r="DE117" i="2" s="1"/>
  <c r="DK117" i="2" s="1"/>
  <c r="DM117" i="2"/>
  <c r="DH117" i="2"/>
  <c r="DF117" i="2"/>
  <c r="DD117" i="2"/>
  <c r="DC117" i="2"/>
  <c r="DB117" i="2"/>
  <c r="CZ117" i="2"/>
  <c r="CX117" i="2"/>
  <c r="BQ117" i="2"/>
  <c r="BP117" i="2"/>
  <c r="BO117" i="2"/>
  <c r="BN117" i="2"/>
  <c r="BM117" i="2"/>
  <c r="AV117" i="2" s="1"/>
  <c r="BL117" i="2"/>
  <c r="BK117" i="2"/>
  <c r="BJ117" i="2"/>
  <c r="BI117" i="2"/>
  <c r="BH117" i="2"/>
  <c r="BE117" i="2" s="1"/>
  <c r="BG117" i="2"/>
  <c r="AZ117" i="2"/>
  <c r="F117" i="2"/>
  <c r="D117" i="2"/>
  <c r="C117" i="2"/>
  <c r="DM116" i="2"/>
  <c r="DN116" i="2" s="1"/>
  <c r="DE116" i="2" s="1"/>
  <c r="DK116" i="2" s="1"/>
  <c r="BQ116" i="2"/>
  <c r="BG116" i="2" s="1"/>
  <c r="BP116" i="2"/>
  <c r="BO116" i="2"/>
  <c r="BN116" i="2"/>
  <c r="BM116" i="2"/>
  <c r="BD116" i="2" s="1"/>
  <c r="BL116" i="2"/>
  <c r="BK116" i="2"/>
  <c r="BF116" i="2" s="1"/>
  <c r="BJ116" i="2"/>
  <c r="BI116" i="2"/>
  <c r="BH116" i="2"/>
  <c r="AX116" i="2" s="1"/>
  <c r="F116" i="2"/>
  <c r="D116" i="2"/>
  <c r="C116" i="2"/>
  <c r="DN115" i="2"/>
  <c r="DC115" i="2" s="1"/>
  <c r="DM115" i="2"/>
  <c r="DF115" i="2"/>
  <c r="DD115" i="2"/>
  <c r="DA115" i="2"/>
  <c r="DJ115" i="2" s="1"/>
  <c r="CX115" i="2"/>
  <c r="BQ115" i="2"/>
  <c r="BP115" i="2"/>
  <c r="BO115" i="2"/>
  <c r="BN115" i="2"/>
  <c r="BM115" i="2"/>
  <c r="BL115" i="2"/>
  <c r="BK115" i="2"/>
  <c r="BC115" i="2" s="1"/>
  <c r="BJ115" i="2"/>
  <c r="BF115" i="2" s="1"/>
  <c r="BI115" i="2"/>
  <c r="BH115" i="2"/>
  <c r="AZ115" i="2"/>
  <c r="F115" i="2"/>
  <c r="D115" i="2"/>
  <c r="C115" i="2"/>
  <c r="DM114" i="2"/>
  <c r="DN114" i="2" s="1"/>
  <c r="DC114" i="2" s="1"/>
  <c r="BQ114" i="2"/>
  <c r="BP114" i="2"/>
  <c r="BO114" i="2"/>
  <c r="BN114" i="2"/>
  <c r="BM114" i="2"/>
  <c r="AV114" i="2" s="1"/>
  <c r="BL114" i="2"/>
  <c r="BK114" i="2"/>
  <c r="BJ114" i="2"/>
  <c r="BF114" i="2" s="1"/>
  <c r="BI114" i="2"/>
  <c r="BE114" i="2" s="1"/>
  <c r="BH114" i="2"/>
  <c r="BG114" i="2"/>
  <c r="BD114" i="2"/>
  <c r="AX114" i="2"/>
  <c r="F114" i="2"/>
  <c r="D114" i="2"/>
  <c r="C114" i="2"/>
  <c r="DN113" i="2"/>
  <c r="DA113" i="2" s="1"/>
  <c r="DJ113" i="2" s="1"/>
  <c r="DM113" i="2"/>
  <c r="DD113" i="2"/>
  <c r="DB113" i="2"/>
  <c r="CY113" i="2"/>
  <c r="CX113" i="2"/>
  <c r="BQ113" i="2"/>
  <c r="BP113" i="2"/>
  <c r="BO113" i="2"/>
  <c r="BN113" i="2"/>
  <c r="BM113" i="2"/>
  <c r="BG113" i="2" s="1"/>
  <c r="BL113" i="2"/>
  <c r="BK113" i="2"/>
  <c r="BJ113" i="2"/>
  <c r="BI113" i="2"/>
  <c r="BE113" i="2" s="1"/>
  <c r="BH113" i="2"/>
  <c r="BD113" i="2" s="1"/>
  <c r="BF113" i="2"/>
  <c r="BC113" i="2"/>
  <c r="AZ113" i="2"/>
  <c r="AV113" i="2"/>
  <c r="F113" i="2"/>
  <c r="D113" i="2"/>
  <c r="C113" i="2"/>
  <c r="DN112" i="2"/>
  <c r="CZ112" i="2" s="1"/>
  <c r="DM112" i="2"/>
  <c r="DI112" i="2"/>
  <c r="DL112" i="2" s="1"/>
  <c r="DC112" i="2"/>
  <c r="DA112" i="2"/>
  <c r="DJ112" i="2" s="1"/>
  <c r="CX112" i="2"/>
  <c r="BQ112" i="2"/>
  <c r="BP112" i="2"/>
  <c r="BO112" i="2"/>
  <c r="BN112" i="2"/>
  <c r="BM112" i="2"/>
  <c r="AV112" i="2" s="1"/>
  <c r="BL112" i="2"/>
  <c r="BK112" i="2"/>
  <c r="BC112" i="2" s="1"/>
  <c r="BJ112" i="2"/>
  <c r="BF112" i="2" s="1"/>
  <c r="BI112" i="2"/>
  <c r="BH112" i="2"/>
  <c r="BD112" i="2" s="1"/>
  <c r="BE112" i="2"/>
  <c r="AZ112" i="2"/>
  <c r="AY112" i="2"/>
  <c r="F112" i="2"/>
  <c r="D112" i="2"/>
  <c r="C112" i="2"/>
  <c r="DM111" i="2"/>
  <c r="DN111" i="2" s="1"/>
  <c r="CZ111" i="2"/>
  <c r="BQ111" i="2"/>
  <c r="BG111" i="2" s="1"/>
  <c r="BP111" i="2"/>
  <c r="BO111" i="2"/>
  <c r="BN111" i="2"/>
  <c r="AZ111" i="2" s="1"/>
  <c r="BM111" i="2"/>
  <c r="BL111" i="2"/>
  <c r="AY111" i="2" s="1"/>
  <c r="BK111" i="2"/>
  <c r="BJ111" i="2"/>
  <c r="BI111" i="2"/>
  <c r="BC111" i="2" s="1"/>
  <c r="BH111" i="2"/>
  <c r="BF111" i="2"/>
  <c r="BD111" i="2"/>
  <c r="AX111" i="2"/>
  <c r="AW111" i="2" s="1"/>
  <c r="AV111" i="2"/>
  <c r="F111" i="2"/>
  <c r="D111" i="2"/>
  <c r="C111" i="2"/>
  <c r="DM110" i="2"/>
  <c r="DN110" i="2" s="1"/>
  <c r="CY110" i="2" s="1"/>
  <c r="BQ110" i="2"/>
  <c r="BP110" i="2"/>
  <c r="BO110" i="2"/>
  <c r="BF110" i="2" s="1"/>
  <c r="BN110" i="2"/>
  <c r="BM110" i="2"/>
  <c r="AV110" i="2" s="1"/>
  <c r="BL110" i="2"/>
  <c r="BK110" i="2"/>
  <c r="BJ110" i="2"/>
  <c r="BI110" i="2"/>
  <c r="AZ110" i="2" s="1"/>
  <c r="BH110" i="2"/>
  <c r="BD110" i="2" s="1"/>
  <c r="BE110" i="2"/>
  <c r="BC110" i="2"/>
  <c r="AX110" i="2"/>
  <c r="F110" i="2"/>
  <c r="D110" i="2"/>
  <c r="C110" i="2"/>
  <c r="DN109" i="2"/>
  <c r="CX109" i="2" s="1"/>
  <c r="DM109" i="2"/>
  <c r="BQ109" i="2"/>
  <c r="BP109" i="2"/>
  <c r="BO109" i="2"/>
  <c r="BE109" i="2" s="1"/>
  <c r="BN109" i="2"/>
  <c r="BM109" i="2"/>
  <c r="BG109" i="2" s="1"/>
  <c r="BL109" i="2"/>
  <c r="BD109" i="2" s="1"/>
  <c r="BK109" i="2"/>
  <c r="BJ109" i="2"/>
  <c r="AV109" i="2" s="1"/>
  <c r="BI109" i="2"/>
  <c r="BC109" i="2" s="1"/>
  <c r="BH109" i="2"/>
  <c r="AY109" i="2" s="1"/>
  <c r="AZ109" i="2"/>
  <c r="F109" i="2"/>
  <c r="D109" i="2"/>
  <c r="C109" i="2"/>
  <c r="DM108" i="2"/>
  <c r="DN108" i="2" s="1"/>
  <c r="BQ108" i="2"/>
  <c r="BP108" i="2"/>
  <c r="BO108" i="2"/>
  <c r="BN108" i="2"/>
  <c r="BM108" i="2"/>
  <c r="AV108" i="2" s="1"/>
  <c r="BL108" i="2"/>
  <c r="BK108" i="2"/>
  <c r="BJ108" i="2"/>
  <c r="BF108" i="2" s="1"/>
  <c r="BI108" i="2"/>
  <c r="BH108" i="2"/>
  <c r="AX108" i="2" s="1"/>
  <c r="AY108" i="2"/>
  <c r="F108" i="2"/>
  <c r="D108" i="2"/>
  <c r="C108" i="2"/>
  <c r="DN107" i="2"/>
  <c r="DG107" i="2" s="1"/>
  <c r="DM107" i="2"/>
  <c r="DL107" i="2"/>
  <c r="DI107" i="2"/>
  <c r="DH107" i="2"/>
  <c r="DF107" i="2"/>
  <c r="DD107" i="2"/>
  <c r="CX107" i="2"/>
  <c r="BQ107" i="2"/>
  <c r="BP107" i="2"/>
  <c r="BO107" i="2"/>
  <c r="BN107" i="2"/>
  <c r="BM107" i="2"/>
  <c r="AV107" i="2" s="1"/>
  <c r="BL107" i="2"/>
  <c r="BK107" i="2"/>
  <c r="BC107" i="2" s="1"/>
  <c r="BJ107" i="2"/>
  <c r="BF107" i="2" s="1"/>
  <c r="BI107" i="2"/>
  <c r="BE107" i="2" s="1"/>
  <c r="BH107" i="2"/>
  <c r="BD107" i="2" s="1"/>
  <c r="AZ107" i="2"/>
  <c r="AX107" i="2"/>
  <c r="F107" i="2"/>
  <c r="D107" i="2"/>
  <c r="C107" i="2"/>
  <c r="DM106" i="2"/>
  <c r="DN106" i="2" s="1"/>
  <c r="BQ106" i="2"/>
  <c r="BP106" i="2"/>
  <c r="BO106" i="2"/>
  <c r="BN106" i="2"/>
  <c r="BM106" i="2"/>
  <c r="AV106" i="2" s="1"/>
  <c r="BL106" i="2"/>
  <c r="BK106" i="2"/>
  <c r="BJ106" i="2"/>
  <c r="BI106" i="2"/>
  <c r="BE106" i="2" s="1"/>
  <c r="BH106" i="2"/>
  <c r="BD106" i="2" s="1"/>
  <c r="BG106" i="2"/>
  <c r="F106" i="2"/>
  <c r="D106" i="2"/>
  <c r="C106" i="2"/>
  <c r="DM105" i="2"/>
  <c r="DN105" i="2" s="1"/>
  <c r="BQ105" i="2"/>
  <c r="BP105" i="2"/>
  <c r="BO105" i="2"/>
  <c r="BN105" i="2"/>
  <c r="BM105" i="2"/>
  <c r="BL105" i="2"/>
  <c r="BK105" i="2"/>
  <c r="BJ105" i="2"/>
  <c r="BF105" i="2" s="1"/>
  <c r="BI105" i="2"/>
  <c r="BE105" i="2" s="1"/>
  <c r="BH105" i="2"/>
  <c r="BG105" i="2" s="1"/>
  <c r="AV105" i="2"/>
  <c r="F105" i="2"/>
  <c r="D105" i="2"/>
  <c r="C105" i="2"/>
  <c r="DM104" i="2"/>
  <c r="DN104" i="2" s="1"/>
  <c r="DI104" i="2" s="1"/>
  <c r="DL104" i="2" s="1"/>
  <c r="BQ104" i="2"/>
  <c r="BP104" i="2"/>
  <c r="BO104" i="2"/>
  <c r="BN104" i="2"/>
  <c r="BM104" i="2"/>
  <c r="BL104" i="2"/>
  <c r="BK104" i="2"/>
  <c r="BJ104" i="2"/>
  <c r="BF104" i="2" s="1"/>
  <c r="BI104" i="2"/>
  <c r="BE104" i="2" s="1"/>
  <c r="BH104" i="2"/>
  <c r="F104" i="2"/>
  <c r="D104" i="2"/>
  <c r="C104" i="2"/>
  <c r="DN103" i="2"/>
  <c r="DG103" i="2" s="1"/>
  <c r="DM103" i="2"/>
  <c r="DH103" i="2"/>
  <c r="DF103" i="2"/>
  <c r="DE103" i="2"/>
  <c r="DK103" i="2" s="1"/>
  <c r="DD103" i="2"/>
  <c r="DC103" i="2"/>
  <c r="DB103" i="2"/>
  <c r="CZ103" i="2"/>
  <c r="CX103" i="2"/>
  <c r="BQ103" i="2"/>
  <c r="BP103" i="2"/>
  <c r="BO103" i="2"/>
  <c r="BN103" i="2"/>
  <c r="BM103" i="2"/>
  <c r="BL103" i="2"/>
  <c r="BK103" i="2"/>
  <c r="BJ103" i="2"/>
  <c r="AV103" i="2" s="1"/>
  <c r="BI103" i="2"/>
  <c r="BE103" i="2" s="1"/>
  <c r="BH103" i="2"/>
  <c r="BG103" i="2" s="1"/>
  <c r="BF103" i="2"/>
  <c r="F103" i="2"/>
  <c r="D103" i="2"/>
  <c r="C103" i="2"/>
  <c r="DM102" i="2"/>
  <c r="DN102" i="2" s="1"/>
  <c r="DG102" i="2"/>
  <c r="BQ102" i="2"/>
  <c r="BP102" i="2"/>
  <c r="BO102" i="2"/>
  <c r="BN102" i="2"/>
  <c r="BM102" i="2"/>
  <c r="BG102" i="2" s="1"/>
  <c r="BL102" i="2"/>
  <c r="BK102" i="2"/>
  <c r="BJ102" i="2"/>
  <c r="BI102" i="2"/>
  <c r="AZ102" i="2" s="1"/>
  <c r="BH102" i="2"/>
  <c r="BE102" i="2" s="1"/>
  <c r="F102" i="2"/>
  <c r="D102" i="2"/>
  <c r="C102" i="2"/>
  <c r="DN101" i="2"/>
  <c r="DE101" i="2" s="1"/>
  <c r="DK101" i="2" s="1"/>
  <c r="DM101" i="2"/>
  <c r="DH101" i="2"/>
  <c r="DF101" i="2"/>
  <c r="DC101" i="2"/>
  <c r="DB101" i="2"/>
  <c r="CZ101" i="2"/>
  <c r="CX101" i="2"/>
  <c r="BQ101" i="2"/>
  <c r="BP101" i="2"/>
  <c r="BO101" i="2"/>
  <c r="BN101" i="2"/>
  <c r="BM101" i="2"/>
  <c r="BL101" i="2"/>
  <c r="BK101" i="2"/>
  <c r="BJ101" i="2"/>
  <c r="BI101" i="2"/>
  <c r="BH101" i="2"/>
  <c r="BE101" i="2" s="1"/>
  <c r="BG101" i="2"/>
  <c r="AZ101" i="2"/>
  <c r="F101" i="2"/>
  <c r="D101" i="2"/>
  <c r="C101" i="2"/>
  <c r="DM100" i="2"/>
  <c r="DN100" i="2" s="1"/>
  <c r="DE100" i="2" s="1"/>
  <c r="DK100" i="2" s="1"/>
  <c r="BQ100" i="2"/>
  <c r="BG100" i="2" s="1"/>
  <c r="BP100" i="2"/>
  <c r="BO100" i="2"/>
  <c r="BN100" i="2"/>
  <c r="BM100" i="2"/>
  <c r="BD100" i="2" s="1"/>
  <c r="BL100" i="2"/>
  <c r="BK100" i="2"/>
  <c r="BF100" i="2" s="1"/>
  <c r="BJ100" i="2"/>
  <c r="BI100" i="2"/>
  <c r="BH100" i="2"/>
  <c r="AX100" i="2" s="1"/>
  <c r="F100" i="2"/>
  <c r="D100" i="2"/>
  <c r="C100" i="2"/>
  <c r="DN99" i="2"/>
  <c r="DC99" i="2" s="1"/>
  <c r="DM99" i="2"/>
  <c r="DF99" i="2"/>
  <c r="DD99" i="2"/>
  <c r="DA99" i="2"/>
  <c r="DJ99" i="2" s="1"/>
  <c r="CX99" i="2"/>
  <c r="BQ99" i="2"/>
  <c r="BP99" i="2"/>
  <c r="BO99" i="2"/>
  <c r="BN99" i="2"/>
  <c r="BM99" i="2"/>
  <c r="BL99" i="2"/>
  <c r="BK99" i="2"/>
  <c r="BC99" i="2" s="1"/>
  <c r="BJ99" i="2"/>
  <c r="BF99" i="2" s="1"/>
  <c r="BI99" i="2"/>
  <c r="BH99" i="2"/>
  <c r="AZ99" i="2"/>
  <c r="F99" i="2"/>
  <c r="D99" i="2"/>
  <c r="C99" i="2"/>
  <c r="DM98" i="2"/>
  <c r="DN98" i="2" s="1"/>
  <c r="DC98" i="2"/>
  <c r="BQ98" i="2"/>
  <c r="BP98" i="2"/>
  <c r="BO98" i="2"/>
  <c r="BN98" i="2"/>
  <c r="BM98" i="2"/>
  <c r="AV98" i="2" s="1"/>
  <c r="BL98" i="2"/>
  <c r="BK98" i="2"/>
  <c r="BJ98" i="2"/>
  <c r="BF98" i="2" s="1"/>
  <c r="BI98" i="2"/>
  <c r="BE98" i="2" s="1"/>
  <c r="BH98" i="2"/>
  <c r="BG98" i="2"/>
  <c r="BD98" i="2"/>
  <c r="AX98" i="2"/>
  <c r="F98" i="2"/>
  <c r="D98" i="2"/>
  <c r="C98" i="2"/>
  <c r="DN97" i="2"/>
  <c r="DA97" i="2" s="1"/>
  <c r="DJ97" i="2" s="1"/>
  <c r="DM97" i="2"/>
  <c r="DD97" i="2"/>
  <c r="DB97" i="2"/>
  <c r="CY97" i="2"/>
  <c r="CX97" i="2"/>
  <c r="BQ97" i="2"/>
  <c r="BP97" i="2"/>
  <c r="BO97" i="2"/>
  <c r="BN97" i="2"/>
  <c r="BM97" i="2"/>
  <c r="BG97" i="2" s="1"/>
  <c r="BL97" i="2"/>
  <c r="BK97" i="2"/>
  <c r="BJ97" i="2"/>
  <c r="BI97" i="2"/>
  <c r="BE97" i="2" s="1"/>
  <c r="BH97" i="2"/>
  <c r="BD97" i="2" s="1"/>
  <c r="BF97" i="2"/>
  <c r="BC97" i="2"/>
  <c r="AZ97" i="2"/>
  <c r="AV97" i="2"/>
  <c r="F97" i="2"/>
  <c r="D97" i="2"/>
  <c r="C97" i="2"/>
  <c r="DN96" i="2"/>
  <c r="CZ96" i="2" s="1"/>
  <c r="DM96" i="2"/>
  <c r="DI96" i="2"/>
  <c r="DL96" i="2" s="1"/>
  <c r="DC96" i="2"/>
  <c r="DA96" i="2"/>
  <c r="DJ96" i="2" s="1"/>
  <c r="CX96" i="2"/>
  <c r="BQ96" i="2"/>
  <c r="BP96" i="2"/>
  <c r="BO96" i="2"/>
  <c r="BN96" i="2"/>
  <c r="BM96" i="2"/>
  <c r="AV96" i="2" s="1"/>
  <c r="BL96" i="2"/>
  <c r="BK96" i="2"/>
  <c r="BC96" i="2" s="1"/>
  <c r="BJ96" i="2"/>
  <c r="BF96" i="2" s="1"/>
  <c r="BI96" i="2"/>
  <c r="BH96" i="2"/>
  <c r="BD96" i="2" s="1"/>
  <c r="BE96" i="2"/>
  <c r="AZ96" i="2"/>
  <c r="F96" i="2"/>
  <c r="D96" i="2"/>
  <c r="C96" i="2"/>
  <c r="DM95" i="2"/>
  <c r="DN95" i="2" s="1"/>
  <c r="CZ95" i="2" s="1"/>
  <c r="BQ95" i="2"/>
  <c r="BG95" i="2" s="1"/>
  <c r="BP95" i="2"/>
  <c r="BO95" i="2"/>
  <c r="BN95" i="2"/>
  <c r="AZ95" i="2" s="1"/>
  <c r="BM95" i="2"/>
  <c r="BL95" i="2"/>
  <c r="AY95" i="2" s="1"/>
  <c r="BK95" i="2"/>
  <c r="BJ95" i="2"/>
  <c r="BI95" i="2"/>
  <c r="BC95" i="2" s="1"/>
  <c r="BH95" i="2"/>
  <c r="BF95" i="2"/>
  <c r="BD95" i="2"/>
  <c r="AX95" i="2"/>
  <c r="AV95" i="2"/>
  <c r="F95" i="2"/>
  <c r="D95" i="2"/>
  <c r="C95" i="2"/>
  <c r="DM94" i="2"/>
  <c r="DN94" i="2" s="1"/>
  <c r="BQ94" i="2"/>
  <c r="BP94" i="2"/>
  <c r="BO94" i="2"/>
  <c r="BF94" i="2" s="1"/>
  <c r="BN94" i="2"/>
  <c r="BM94" i="2"/>
  <c r="BL94" i="2"/>
  <c r="BK94" i="2"/>
  <c r="BC94" i="2" s="1"/>
  <c r="BJ94" i="2"/>
  <c r="BI94" i="2"/>
  <c r="AZ94" i="2" s="1"/>
  <c r="BH94" i="2"/>
  <c r="BD94" i="2" s="1"/>
  <c r="BE94" i="2"/>
  <c r="AX94" i="2"/>
  <c r="F94" i="2"/>
  <c r="D94" i="2"/>
  <c r="C94" i="2"/>
  <c r="DN93" i="2"/>
  <c r="DH93" i="2" s="1"/>
  <c r="DM93" i="2"/>
  <c r="CX93" i="2"/>
  <c r="BQ93" i="2"/>
  <c r="BP93" i="2"/>
  <c r="BO93" i="2"/>
  <c r="BE93" i="2" s="1"/>
  <c r="BN93" i="2"/>
  <c r="BM93" i="2"/>
  <c r="BG93" i="2" s="1"/>
  <c r="BL93" i="2"/>
  <c r="BD93" i="2" s="1"/>
  <c r="BK93" i="2"/>
  <c r="BJ93" i="2"/>
  <c r="BI93" i="2"/>
  <c r="BC93" i="2" s="1"/>
  <c r="BH93" i="2"/>
  <c r="AZ93" i="2"/>
  <c r="F93" i="2"/>
  <c r="D93" i="2"/>
  <c r="C93" i="2"/>
  <c r="DM92" i="2"/>
  <c r="DN92" i="2" s="1"/>
  <c r="DG92" i="2"/>
  <c r="DE92" i="2"/>
  <c r="DK92" i="2" s="1"/>
  <c r="BQ92" i="2"/>
  <c r="BP92" i="2"/>
  <c r="BO92" i="2"/>
  <c r="BN92" i="2"/>
  <c r="BM92" i="2"/>
  <c r="AV92" i="2" s="1"/>
  <c r="BL92" i="2"/>
  <c r="BK92" i="2"/>
  <c r="BJ92" i="2"/>
  <c r="BI92" i="2"/>
  <c r="AY92" i="2" s="1"/>
  <c r="BH92" i="2"/>
  <c r="AX92" i="2" s="1"/>
  <c r="F92" i="2"/>
  <c r="D92" i="2"/>
  <c r="C92" i="2"/>
  <c r="DN91" i="2"/>
  <c r="DG91" i="2" s="1"/>
  <c r="DM91" i="2"/>
  <c r="DI91" i="2"/>
  <c r="DL91" i="2" s="1"/>
  <c r="DH91" i="2"/>
  <c r="DF91" i="2"/>
  <c r="DD91" i="2"/>
  <c r="CX91" i="2"/>
  <c r="BQ91" i="2"/>
  <c r="BP91" i="2"/>
  <c r="BO91" i="2"/>
  <c r="BN91" i="2"/>
  <c r="BM91" i="2"/>
  <c r="BL91" i="2"/>
  <c r="BK91" i="2"/>
  <c r="BC91" i="2" s="1"/>
  <c r="BJ91" i="2"/>
  <c r="BF91" i="2" s="1"/>
  <c r="BI91" i="2"/>
  <c r="BH91" i="2"/>
  <c r="AZ91" i="2"/>
  <c r="F91" i="2"/>
  <c r="D91" i="2"/>
  <c r="C91" i="2"/>
  <c r="DM90" i="2"/>
  <c r="DN90" i="2" s="1"/>
  <c r="DH90" i="2" s="1"/>
  <c r="DG90" i="2"/>
  <c r="DC90" i="2"/>
  <c r="BQ90" i="2"/>
  <c r="BP90" i="2"/>
  <c r="BO90" i="2"/>
  <c r="BN90" i="2"/>
  <c r="BM90" i="2"/>
  <c r="AV90" i="2" s="1"/>
  <c r="BL90" i="2"/>
  <c r="BK90" i="2"/>
  <c r="BJ90" i="2"/>
  <c r="BI90" i="2"/>
  <c r="BH90" i="2"/>
  <c r="BD90" i="2" s="1"/>
  <c r="BG90" i="2"/>
  <c r="F90" i="2"/>
  <c r="D90" i="2"/>
  <c r="C90" i="2"/>
  <c r="DM89" i="2"/>
  <c r="DN89" i="2" s="1"/>
  <c r="DG89" i="2" s="1"/>
  <c r="BQ89" i="2"/>
  <c r="BP89" i="2"/>
  <c r="BO89" i="2"/>
  <c r="BN89" i="2"/>
  <c r="BM89" i="2"/>
  <c r="BL89" i="2"/>
  <c r="BK89" i="2"/>
  <c r="BJ89" i="2"/>
  <c r="BI89" i="2"/>
  <c r="BE89" i="2" s="1"/>
  <c r="BH89" i="2"/>
  <c r="BF89" i="2"/>
  <c r="AV89" i="2"/>
  <c r="F89" i="2"/>
  <c r="D89" i="2"/>
  <c r="C89" i="2"/>
  <c r="DM88" i="2"/>
  <c r="DN88" i="2" s="1"/>
  <c r="DI88" i="2" s="1"/>
  <c r="DL88" i="2" s="1"/>
  <c r="BQ88" i="2"/>
  <c r="BP88" i="2"/>
  <c r="BO88" i="2"/>
  <c r="BN88" i="2"/>
  <c r="BM88" i="2"/>
  <c r="BL88" i="2"/>
  <c r="BK88" i="2"/>
  <c r="BJ88" i="2"/>
  <c r="BF88" i="2" s="1"/>
  <c r="BI88" i="2"/>
  <c r="BE88" i="2" s="1"/>
  <c r="BH88" i="2"/>
  <c r="BG88" i="2"/>
  <c r="F88" i="2"/>
  <c r="D88" i="2"/>
  <c r="C88" i="2"/>
  <c r="DN87" i="2"/>
  <c r="DG87" i="2" s="1"/>
  <c r="DM87" i="2"/>
  <c r="DH87" i="2"/>
  <c r="DF87" i="2"/>
  <c r="DE87" i="2"/>
  <c r="DK87" i="2" s="1"/>
  <c r="DD87" i="2"/>
  <c r="DC87" i="2"/>
  <c r="DB87" i="2"/>
  <c r="CZ87" i="2"/>
  <c r="CX87" i="2"/>
  <c r="BQ87" i="2"/>
  <c r="BP87" i="2"/>
  <c r="BO87" i="2"/>
  <c r="BN87" i="2"/>
  <c r="BM87" i="2"/>
  <c r="BL87" i="2"/>
  <c r="BK87" i="2"/>
  <c r="BJ87" i="2"/>
  <c r="AV87" i="2" s="1"/>
  <c r="BI87" i="2"/>
  <c r="BH87" i="2"/>
  <c r="BD87" i="2" s="1"/>
  <c r="BF87" i="2"/>
  <c r="F87" i="2"/>
  <c r="D87" i="2"/>
  <c r="C87" i="2"/>
  <c r="DM86" i="2"/>
  <c r="DN86" i="2" s="1"/>
  <c r="DI86" i="2" s="1"/>
  <c r="DL86" i="2" s="1"/>
  <c r="BQ86" i="2"/>
  <c r="BP86" i="2"/>
  <c r="BO86" i="2"/>
  <c r="BN86" i="2"/>
  <c r="BM86" i="2"/>
  <c r="AV86" i="2" s="1"/>
  <c r="BL86" i="2"/>
  <c r="BK86" i="2"/>
  <c r="BF86" i="2" s="1"/>
  <c r="BJ86" i="2"/>
  <c r="BI86" i="2"/>
  <c r="AZ86" i="2" s="1"/>
  <c r="BH86" i="2"/>
  <c r="BG86" i="2"/>
  <c r="F86" i="2"/>
  <c r="D86" i="2"/>
  <c r="C86" i="2"/>
  <c r="DN85" i="2"/>
  <c r="DH85" i="2" s="1"/>
  <c r="DM85" i="2"/>
  <c r="DD85" i="2"/>
  <c r="DB85" i="2"/>
  <c r="CX85" i="2"/>
  <c r="BQ85" i="2"/>
  <c r="BP85" i="2"/>
  <c r="BO85" i="2"/>
  <c r="BN85" i="2"/>
  <c r="BM85" i="2"/>
  <c r="BL85" i="2"/>
  <c r="BK85" i="2"/>
  <c r="BJ85" i="2"/>
  <c r="BC85" i="2" s="1"/>
  <c r="BI85" i="2"/>
  <c r="BH85" i="2"/>
  <c r="BG85" i="2" s="1"/>
  <c r="BF85" i="2"/>
  <c r="AZ85" i="2"/>
  <c r="F85" i="2"/>
  <c r="D85" i="2"/>
  <c r="C85" i="2"/>
  <c r="DM84" i="2"/>
  <c r="DN84" i="2" s="1"/>
  <c r="DG84" i="2"/>
  <c r="DE84" i="2"/>
  <c r="DK84" i="2" s="1"/>
  <c r="DC84" i="2"/>
  <c r="DB84" i="2"/>
  <c r="DA84" i="2"/>
  <c r="DJ84" i="2" s="1"/>
  <c r="CY84" i="2"/>
  <c r="BQ84" i="2"/>
  <c r="BP84" i="2"/>
  <c r="BO84" i="2"/>
  <c r="BN84" i="2"/>
  <c r="BM84" i="2"/>
  <c r="BL84" i="2"/>
  <c r="BK84" i="2"/>
  <c r="BJ84" i="2"/>
  <c r="BI84" i="2"/>
  <c r="AZ84" i="2" s="1"/>
  <c r="BH84" i="2"/>
  <c r="AX84" i="2" s="1"/>
  <c r="BG84" i="2"/>
  <c r="BF84" i="2"/>
  <c r="BE84" i="2"/>
  <c r="BC84" i="2"/>
  <c r="AY84" i="2"/>
  <c r="F84" i="2"/>
  <c r="D84" i="2"/>
  <c r="C84" i="2"/>
  <c r="DN83" i="2"/>
  <c r="DF83" i="2" s="1"/>
  <c r="DM83" i="2"/>
  <c r="DG83" i="2"/>
  <c r="CZ83" i="2"/>
  <c r="BQ83" i="2"/>
  <c r="BP83" i="2"/>
  <c r="BE83" i="2" s="1"/>
  <c r="BO83" i="2"/>
  <c r="BN83" i="2"/>
  <c r="BM83" i="2"/>
  <c r="BL83" i="2"/>
  <c r="BK83" i="2"/>
  <c r="BJ83" i="2"/>
  <c r="BF83" i="2" s="1"/>
  <c r="BI83" i="2"/>
  <c r="BH83" i="2"/>
  <c r="AY83" i="2" s="1"/>
  <c r="AZ83" i="2"/>
  <c r="F83" i="2"/>
  <c r="D83" i="2"/>
  <c r="C83" i="2"/>
  <c r="DM82" i="2"/>
  <c r="DN82" i="2" s="1"/>
  <c r="DI82" i="2" s="1"/>
  <c r="DL82" i="2" s="1"/>
  <c r="BQ82" i="2"/>
  <c r="BG82" i="2" s="1"/>
  <c r="BP82" i="2"/>
  <c r="BO82" i="2"/>
  <c r="BN82" i="2"/>
  <c r="BM82" i="2"/>
  <c r="BL82" i="2"/>
  <c r="BK82" i="2"/>
  <c r="BJ82" i="2"/>
  <c r="BF82" i="2" s="1"/>
  <c r="BI82" i="2"/>
  <c r="AZ82" i="2" s="1"/>
  <c r="BH82" i="2"/>
  <c r="AY82" i="2"/>
  <c r="AW82" i="2" s="1"/>
  <c r="AX82" i="2"/>
  <c r="F82" i="2"/>
  <c r="D82" i="2"/>
  <c r="C82" i="2"/>
  <c r="DN81" i="2"/>
  <c r="DD81" i="2" s="1"/>
  <c r="DM81" i="2"/>
  <c r="DH81" i="2"/>
  <c r="DF81" i="2"/>
  <c r="DE81" i="2"/>
  <c r="DK81" i="2" s="1"/>
  <c r="DB81" i="2"/>
  <c r="CZ81" i="2"/>
  <c r="CY81" i="2"/>
  <c r="BQ81" i="2"/>
  <c r="BP81" i="2"/>
  <c r="BO81" i="2"/>
  <c r="BN81" i="2"/>
  <c r="BM81" i="2"/>
  <c r="BL81" i="2"/>
  <c r="BK81" i="2"/>
  <c r="BJ81" i="2"/>
  <c r="AV81" i="2" s="1"/>
  <c r="BI81" i="2"/>
  <c r="BH81" i="2"/>
  <c r="AY81" i="2" s="1"/>
  <c r="BC81" i="2"/>
  <c r="AX81" i="2"/>
  <c r="F81" i="2"/>
  <c r="D81" i="2"/>
  <c r="C81" i="2"/>
  <c r="DM80" i="2"/>
  <c r="DN80" i="2" s="1"/>
  <c r="BQ80" i="2"/>
  <c r="BP80" i="2"/>
  <c r="BO80" i="2"/>
  <c r="BN80" i="2"/>
  <c r="BM80" i="2"/>
  <c r="AV80" i="2" s="1"/>
  <c r="BL80" i="2"/>
  <c r="BK80" i="2"/>
  <c r="BJ80" i="2"/>
  <c r="BI80" i="2"/>
  <c r="BE80" i="2" s="1"/>
  <c r="BH80" i="2"/>
  <c r="BG80" i="2"/>
  <c r="F80" i="2"/>
  <c r="D80" i="2"/>
  <c r="C80" i="2"/>
  <c r="DM79" i="2"/>
  <c r="DN79" i="2" s="1"/>
  <c r="BQ79" i="2"/>
  <c r="BP79" i="2"/>
  <c r="BO79" i="2"/>
  <c r="BN79" i="2"/>
  <c r="BM79" i="2"/>
  <c r="BL79" i="2"/>
  <c r="BK79" i="2"/>
  <c r="BJ79" i="2"/>
  <c r="BF79" i="2" s="1"/>
  <c r="BI79" i="2"/>
  <c r="BH79" i="2"/>
  <c r="BG79" i="2" s="1"/>
  <c r="BD79" i="2"/>
  <c r="AZ79" i="2"/>
  <c r="AV79" i="2"/>
  <c r="F79" i="2"/>
  <c r="D79" i="2"/>
  <c r="C79" i="2"/>
  <c r="DM78" i="2"/>
  <c r="DN78" i="2" s="1"/>
  <c r="DI78" i="2" s="1"/>
  <c r="DL78" i="2" s="1"/>
  <c r="DG78" i="2"/>
  <c r="DC78" i="2"/>
  <c r="DA78" i="2"/>
  <c r="DJ78" i="2" s="1"/>
  <c r="BQ78" i="2"/>
  <c r="BP78" i="2"/>
  <c r="BF78" i="2" s="1"/>
  <c r="BO78" i="2"/>
  <c r="BN78" i="2"/>
  <c r="BM78" i="2"/>
  <c r="AV78" i="2" s="1"/>
  <c r="BL78" i="2"/>
  <c r="BK78" i="2"/>
  <c r="BJ78" i="2"/>
  <c r="BI78" i="2"/>
  <c r="AZ78" i="2" s="1"/>
  <c r="BH78" i="2"/>
  <c r="BG78" i="2"/>
  <c r="BE78" i="2"/>
  <c r="AY78" i="2"/>
  <c r="AX78" i="2"/>
  <c r="AW78" i="2" s="1"/>
  <c r="F78" i="2"/>
  <c r="D78" i="2"/>
  <c r="C78" i="2"/>
  <c r="DN77" i="2"/>
  <c r="DI77" i="2" s="1"/>
  <c r="DL77" i="2" s="1"/>
  <c r="DM77" i="2"/>
  <c r="DH77" i="2"/>
  <c r="DF77" i="2"/>
  <c r="DA77" i="2"/>
  <c r="DJ77" i="2" s="1"/>
  <c r="CZ77" i="2"/>
  <c r="BQ77" i="2"/>
  <c r="BP77" i="2"/>
  <c r="BO77" i="2"/>
  <c r="BN77" i="2"/>
  <c r="AZ77" i="2" s="1"/>
  <c r="BM77" i="2"/>
  <c r="AV77" i="2" s="1"/>
  <c r="BL77" i="2"/>
  <c r="BD77" i="2" s="1"/>
  <c r="BK77" i="2"/>
  <c r="BJ77" i="2"/>
  <c r="BI77" i="2"/>
  <c r="BH77" i="2"/>
  <c r="AX77" i="2"/>
  <c r="F77" i="2"/>
  <c r="D77" i="2"/>
  <c r="C77" i="2"/>
  <c r="DM76" i="2"/>
  <c r="DN76" i="2" s="1"/>
  <c r="DI76" i="2" s="1"/>
  <c r="DL76" i="2" s="1"/>
  <c r="DG76" i="2"/>
  <c r="BQ76" i="2"/>
  <c r="BP76" i="2"/>
  <c r="BO76" i="2"/>
  <c r="BE76" i="2" s="1"/>
  <c r="BN76" i="2"/>
  <c r="BC76" i="2" s="1"/>
  <c r="BM76" i="2"/>
  <c r="BG76" i="2" s="1"/>
  <c r="BL76" i="2"/>
  <c r="BK76" i="2"/>
  <c r="AY76" i="2" s="1"/>
  <c r="BJ76" i="2"/>
  <c r="BI76" i="2"/>
  <c r="BH76" i="2"/>
  <c r="AX76" i="2" s="1"/>
  <c r="F76" i="2"/>
  <c r="D76" i="2"/>
  <c r="C76" i="2"/>
  <c r="DN75" i="2"/>
  <c r="DM75" i="2"/>
  <c r="BQ75" i="2"/>
  <c r="BP75" i="2"/>
  <c r="BO75" i="2"/>
  <c r="BN75" i="2"/>
  <c r="BM75" i="2"/>
  <c r="AV75" i="2" s="1"/>
  <c r="BL75" i="2"/>
  <c r="BK75" i="2"/>
  <c r="BJ75" i="2"/>
  <c r="BF75" i="2" s="1"/>
  <c r="BI75" i="2"/>
  <c r="BH75" i="2"/>
  <c r="BD75" i="2" s="1"/>
  <c r="F75" i="2"/>
  <c r="D75" i="2"/>
  <c r="C75" i="2"/>
  <c r="DN74" i="2"/>
  <c r="DB74" i="2" s="1"/>
  <c r="DM74" i="2"/>
  <c r="CY74" i="2"/>
  <c r="BQ74" i="2"/>
  <c r="BG74" i="2" s="1"/>
  <c r="BP74" i="2"/>
  <c r="BO74" i="2"/>
  <c r="BN74" i="2"/>
  <c r="BM74" i="2"/>
  <c r="BL74" i="2"/>
  <c r="BK74" i="2"/>
  <c r="BJ74" i="2"/>
  <c r="BI74" i="2"/>
  <c r="BC74" i="2" s="1"/>
  <c r="BH74" i="2"/>
  <c r="AX74" i="2" s="1"/>
  <c r="AZ74" i="2"/>
  <c r="F74" i="2"/>
  <c r="D74" i="2"/>
  <c r="C74" i="2"/>
  <c r="DN73" i="2"/>
  <c r="DH73" i="2" s="1"/>
  <c r="DM73" i="2"/>
  <c r="DC73" i="2"/>
  <c r="CX73" i="2"/>
  <c r="BQ73" i="2"/>
  <c r="BP73" i="2"/>
  <c r="BO73" i="2"/>
  <c r="BN73" i="2"/>
  <c r="BM73" i="2"/>
  <c r="BL73" i="2"/>
  <c r="BK73" i="2"/>
  <c r="BJ73" i="2"/>
  <c r="BD73" i="2" s="1"/>
  <c r="BI73" i="2"/>
  <c r="BE73" i="2" s="1"/>
  <c r="BH73" i="2"/>
  <c r="AX73" i="2" s="1"/>
  <c r="BF73" i="2"/>
  <c r="BC73" i="2"/>
  <c r="AY73" i="2"/>
  <c r="F73" i="2"/>
  <c r="D73" i="2"/>
  <c r="C73" i="2"/>
  <c r="DN72" i="2"/>
  <c r="DI72" i="2" s="1"/>
  <c r="DL72" i="2" s="1"/>
  <c r="DM72" i="2"/>
  <c r="DE72" i="2"/>
  <c r="DK72" i="2" s="1"/>
  <c r="DA72" i="2"/>
  <c r="DJ72" i="2" s="1"/>
  <c r="BQ72" i="2"/>
  <c r="BP72" i="2"/>
  <c r="BO72" i="2"/>
  <c r="BF72" i="2" s="1"/>
  <c r="BN72" i="2"/>
  <c r="BM72" i="2"/>
  <c r="AV72" i="2" s="1"/>
  <c r="BL72" i="2"/>
  <c r="BK72" i="2"/>
  <c r="BJ72" i="2"/>
  <c r="BI72" i="2"/>
  <c r="BH72" i="2"/>
  <c r="BC72" i="2"/>
  <c r="AZ72" i="2"/>
  <c r="F72" i="2"/>
  <c r="D72" i="2"/>
  <c r="C72" i="2"/>
  <c r="DM71" i="2"/>
  <c r="DN71" i="2" s="1"/>
  <c r="BQ71" i="2"/>
  <c r="BP71" i="2"/>
  <c r="BO71" i="2"/>
  <c r="BN71" i="2"/>
  <c r="BM71" i="2"/>
  <c r="BL71" i="2"/>
  <c r="BK71" i="2"/>
  <c r="BJ71" i="2"/>
  <c r="BF71" i="2" s="1"/>
  <c r="BI71" i="2"/>
  <c r="BH71" i="2"/>
  <c r="BG71" i="2" s="1"/>
  <c r="AZ71" i="2"/>
  <c r="F71" i="2"/>
  <c r="D71" i="2"/>
  <c r="C71" i="2"/>
  <c r="DM70" i="2"/>
  <c r="DN70" i="2" s="1"/>
  <c r="CZ70" i="2" s="1"/>
  <c r="DL70" i="2"/>
  <c r="DJ70" i="2"/>
  <c r="DI70" i="2"/>
  <c r="DG70" i="2"/>
  <c r="DF70" i="2"/>
  <c r="DE70" i="2"/>
  <c r="DK70" i="2" s="1"/>
  <c r="DD70" i="2"/>
  <c r="DC70" i="2"/>
  <c r="DB70" i="2"/>
  <c r="DA70" i="2"/>
  <c r="CY70" i="2"/>
  <c r="BQ70" i="2"/>
  <c r="BG70" i="2" s="1"/>
  <c r="BP70" i="2"/>
  <c r="BF70" i="2" s="1"/>
  <c r="BO70" i="2"/>
  <c r="BN70" i="2"/>
  <c r="BM70" i="2"/>
  <c r="AV70" i="2" s="1"/>
  <c r="BL70" i="2"/>
  <c r="BK70" i="2"/>
  <c r="BJ70" i="2"/>
  <c r="BI70" i="2"/>
  <c r="AZ70" i="2" s="1"/>
  <c r="BH70" i="2"/>
  <c r="BD70" i="2" s="1"/>
  <c r="AY70" i="2"/>
  <c r="AX70" i="2"/>
  <c r="F70" i="2"/>
  <c r="D70" i="2"/>
  <c r="C70" i="2"/>
  <c r="DN69" i="2"/>
  <c r="DF69" i="2" s="1"/>
  <c r="DM69" i="2"/>
  <c r="DG69" i="2"/>
  <c r="CX69" i="2"/>
  <c r="BQ69" i="2"/>
  <c r="BP69" i="2"/>
  <c r="BO69" i="2"/>
  <c r="BN69" i="2"/>
  <c r="BM69" i="2"/>
  <c r="BL69" i="2"/>
  <c r="BK69" i="2"/>
  <c r="BD69" i="2" s="1"/>
  <c r="BJ69" i="2"/>
  <c r="BI69" i="2"/>
  <c r="BE69" i="2" s="1"/>
  <c r="BH69" i="2"/>
  <c r="BG69" i="2"/>
  <c r="AZ69" i="2"/>
  <c r="AX69" i="2"/>
  <c r="AV69" i="2"/>
  <c r="F69" i="2"/>
  <c r="D69" i="2"/>
  <c r="C69" i="2"/>
  <c r="DM68" i="2"/>
  <c r="DN68" i="2" s="1"/>
  <c r="DB68" i="2" s="1"/>
  <c r="BQ68" i="2"/>
  <c r="BP68" i="2"/>
  <c r="BO68" i="2"/>
  <c r="BN68" i="2"/>
  <c r="BM68" i="2"/>
  <c r="BD68" i="2" s="1"/>
  <c r="BL68" i="2"/>
  <c r="BK68" i="2"/>
  <c r="BJ68" i="2"/>
  <c r="BI68" i="2"/>
  <c r="BE68" i="2" s="1"/>
  <c r="BH68" i="2"/>
  <c r="BF68" i="2"/>
  <c r="AZ68" i="2"/>
  <c r="AY68" i="2"/>
  <c r="F68" i="2"/>
  <c r="D68" i="2"/>
  <c r="C68" i="2"/>
  <c r="DN67" i="2"/>
  <c r="DM67" i="2"/>
  <c r="BQ67" i="2"/>
  <c r="BE67" i="2" s="1"/>
  <c r="BP67" i="2"/>
  <c r="BO67" i="2"/>
  <c r="BN67" i="2"/>
  <c r="BM67" i="2"/>
  <c r="AV67" i="2" s="1"/>
  <c r="BL67" i="2"/>
  <c r="BK67" i="2"/>
  <c r="BJ67" i="2"/>
  <c r="BF67" i="2" s="1"/>
  <c r="BI67" i="2"/>
  <c r="BC67" i="2" s="1"/>
  <c r="BH67" i="2"/>
  <c r="AX67" i="2" s="1"/>
  <c r="AZ67" i="2"/>
  <c r="AY67" i="2"/>
  <c r="F67" i="2"/>
  <c r="D67" i="2"/>
  <c r="C67" i="2"/>
  <c r="DM66" i="2"/>
  <c r="DN66" i="2" s="1"/>
  <c r="DH66" i="2"/>
  <c r="BQ66" i="2"/>
  <c r="BP66" i="2"/>
  <c r="BO66" i="2"/>
  <c r="BN66" i="2"/>
  <c r="BM66" i="2"/>
  <c r="BL66" i="2"/>
  <c r="BK66" i="2"/>
  <c r="BJ66" i="2"/>
  <c r="BF66" i="2" s="1"/>
  <c r="BI66" i="2"/>
  <c r="BH66" i="2"/>
  <c r="BG66" i="2" s="1"/>
  <c r="BC66" i="2"/>
  <c r="AZ66" i="2"/>
  <c r="F66" i="2"/>
  <c r="D66" i="2"/>
  <c r="C66" i="2"/>
  <c r="DM65" i="2"/>
  <c r="DN65" i="2" s="1"/>
  <c r="DF65" i="2" s="1"/>
  <c r="BQ65" i="2"/>
  <c r="BE65" i="2" s="1"/>
  <c r="BP65" i="2"/>
  <c r="BO65" i="2"/>
  <c r="BN65" i="2"/>
  <c r="BM65" i="2"/>
  <c r="BG65" i="2" s="1"/>
  <c r="BL65" i="2"/>
  <c r="BK65" i="2"/>
  <c r="BJ65" i="2"/>
  <c r="BI65" i="2"/>
  <c r="AZ65" i="2" s="1"/>
  <c r="BH65" i="2"/>
  <c r="BD65" i="2" s="1"/>
  <c r="AY65" i="2"/>
  <c r="F65" i="2"/>
  <c r="D65" i="2"/>
  <c r="C65" i="2"/>
  <c r="DN64" i="2"/>
  <c r="DD64" i="2" s="1"/>
  <c r="DM64" i="2"/>
  <c r="DL64" i="2"/>
  <c r="DI64" i="2"/>
  <c r="DH64" i="2"/>
  <c r="DE64" i="2"/>
  <c r="DK64" i="2" s="1"/>
  <c r="DA64" i="2"/>
  <c r="DJ64" i="2" s="1"/>
  <c r="CX64" i="2"/>
  <c r="BQ64" i="2"/>
  <c r="BP64" i="2"/>
  <c r="BO64" i="2"/>
  <c r="BN64" i="2"/>
  <c r="BM64" i="2"/>
  <c r="BG64" i="2" s="1"/>
  <c r="BL64" i="2"/>
  <c r="BK64" i="2"/>
  <c r="BJ64" i="2"/>
  <c r="BF64" i="2" s="1"/>
  <c r="BI64" i="2"/>
  <c r="BH64" i="2"/>
  <c r="AX64" i="2"/>
  <c r="F64" i="2"/>
  <c r="D64" i="2"/>
  <c r="C64" i="2"/>
  <c r="DM63" i="2"/>
  <c r="DN63" i="2" s="1"/>
  <c r="DD63" i="2" s="1"/>
  <c r="BQ63" i="2"/>
  <c r="BP63" i="2"/>
  <c r="BO63" i="2"/>
  <c r="BF63" i="2" s="1"/>
  <c r="BN63" i="2"/>
  <c r="BC63" i="2" s="1"/>
  <c r="BM63" i="2"/>
  <c r="BL63" i="2"/>
  <c r="BK63" i="2"/>
  <c r="BJ63" i="2"/>
  <c r="BI63" i="2"/>
  <c r="BE63" i="2" s="1"/>
  <c r="BH63" i="2"/>
  <c r="F63" i="2"/>
  <c r="D63" i="2"/>
  <c r="C63" i="2"/>
  <c r="DN62" i="2"/>
  <c r="DB62" i="2" s="1"/>
  <c r="DM62" i="2"/>
  <c r="DJ62" i="2"/>
  <c r="DI62" i="2"/>
  <c r="DL62" i="2" s="1"/>
  <c r="DH62" i="2"/>
  <c r="DG62" i="2"/>
  <c r="DF62" i="2"/>
  <c r="DC62" i="2"/>
  <c r="DA62" i="2"/>
  <c r="CY62" i="2"/>
  <c r="CX62" i="2"/>
  <c r="BQ62" i="2"/>
  <c r="BP62" i="2"/>
  <c r="BE62" i="2" s="1"/>
  <c r="BO62" i="2"/>
  <c r="BN62" i="2"/>
  <c r="BC62" i="2" s="1"/>
  <c r="BM62" i="2"/>
  <c r="BL62" i="2"/>
  <c r="BK62" i="2"/>
  <c r="AY62" i="2" s="1"/>
  <c r="BJ62" i="2"/>
  <c r="BF62" i="2" s="1"/>
  <c r="BI62" i="2"/>
  <c r="BH62" i="2"/>
  <c r="BD62" i="2" s="1"/>
  <c r="BG62" i="2"/>
  <c r="AX62" i="2"/>
  <c r="AV62" i="2"/>
  <c r="F62" i="2"/>
  <c r="D62" i="2"/>
  <c r="C62" i="2"/>
  <c r="DN61" i="2"/>
  <c r="DA61" i="2" s="1"/>
  <c r="DJ61" i="2" s="1"/>
  <c r="DM61" i="2"/>
  <c r="DI61" i="2"/>
  <c r="DL61" i="2" s="1"/>
  <c r="DH61" i="2"/>
  <c r="DF61" i="2"/>
  <c r="DE61" i="2"/>
  <c r="DK61" i="2" s="1"/>
  <c r="DB61" i="2"/>
  <c r="CX61" i="2"/>
  <c r="BQ61" i="2"/>
  <c r="BP61" i="2"/>
  <c r="BO61" i="2"/>
  <c r="BN61" i="2"/>
  <c r="BM61" i="2"/>
  <c r="BD61" i="2" s="1"/>
  <c r="BL61" i="2"/>
  <c r="BK61" i="2"/>
  <c r="BJ61" i="2"/>
  <c r="BI61" i="2"/>
  <c r="BE61" i="2" s="1"/>
  <c r="BH61" i="2"/>
  <c r="BF61" i="2"/>
  <c r="AX61" i="2"/>
  <c r="F61" i="2"/>
  <c r="D61" i="2"/>
  <c r="C61" i="2"/>
  <c r="DM60" i="2"/>
  <c r="DN60" i="2" s="1"/>
  <c r="DA60" i="2" s="1"/>
  <c r="DJ60" i="2" s="1"/>
  <c r="BQ60" i="2"/>
  <c r="BP60" i="2"/>
  <c r="BO60" i="2"/>
  <c r="BN60" i="2"/>
  <c r="BM60" i="2"/>
  <c r="BG60" i="2" s="1"/>
  <c r="BL60" i="2"/>
  <c r="BK60" i="2"/>
  <c r="BJ60" i="2"/>
  <c r="BF60" i="2" s="1"/>
  <c r="BI60" i="2"/>
  <c r="BC60" i="2" s="1"/>
  <c r="BH60" i="2"/>
  <c r="BD60" i="2" s="1"/>
  <c r="BE60" i="2"/>
  <c r="AV60" i="2"/>
  <c r="F60" i="2"/>
  <c r="D60" i="2"/>
  <c r="C60" i="2"/>
  <c r="DN59" i="2"/>
  <c r="CY59" i="2" s="1"/>
  <c r="DM59" i="2"/>
  <c r="DI59" i="2"/>
  <c r="DL59" i="2" s="1"/>
  <c r="DG59" i="2"/>
  <c r="DF59" i="2"/>
  <c r="DD59" i="2"/>
  <c r="DC59" i="2"/>
  <c r="CZ59" i="2"/>
  <c r="CX59" i="2"/>
  <c r="BQ59" i="2"/>
  <c r="BP59" i="2"/>
  <c r="BO59" i="2"/>
  <c r="BN59" i="2"/>
  <c r="BM59" i="2"/>
  <c r="AV59" i="2" s="1"/>
  <c r="BL59" i="2"/>
  <c r="BK59" i="2"/>
  <c r="BJ59" i="2"/>
  <c r="BF59" i="2" s="1"/>
  <c r="BI59" i="2"/>
  <c r="BC59" i="2" s="1"/>
  <c r="BH59" i="2"/>
  <c r="AY59" i="2" s="1"/>
  <c r="BD59" i="2"/>
  <c r="AZ59" i="2"/>
  <c r="F59" i="2"/>
  <c r="D59" i="2"/>
  <c r="C59" i="2"/>
  <c r="DM58" i="2"/>
  <c r="DN58" i="2" s="1"/>
  <c r="CY58" i="2" s="1"/>
  <c r="BQ58" i="2"/>
  <c r="BP58" i="2"/>
  <c r="BO58" i="2"/>
  <c r="BN58" i="2"/>
  <c r="BM58" i="2"/>
  <c r="AV58" i="2" s="1"/>
  <c r="BL58" i="2"/>
  <c r="BK58" i="2"/>
  <c r="BJ58" i="2"/>
  <c r="BF58" i="2" s="1"/>
  <c r="BI58" i="2"/>
  <c r="AZ58" i="2" s="1"/>
  <c r="BH58" i="2"/>
  <c r="AX58" i="2" s="1"/>
  <c r="BG58" i="2"/>
  <c r="BC58" i="2"/>
  <c r="F58" i="2"/>
  <c r="D58" i="2"/>
  <c r="C58" i="2"/>
  <c r="DN57" i="2"/>
  <c r="DM57" i="2"/>
  <c r="CX57" i="2"/>
  <c r="BQ57" i="2"/>
  <c r="BP57" i="2"/>
  <c r="BO57" i="2"/>
  <c r="BN57" i="2"/>
  <c r="BM57" i="2"/>
  <c r="BG57" i="2" s="1"/>
  <c r="BL57" i="2"/>
  <c r="BK57" i="2"/>
  <c r="BF57" i="2" s="1"/>
  <c r="BJ57" i="2"/>
  <c r="BI57" i="2"/>
  <c r="BE57" i="2" s="1"/>
  <c r="BH57" i="2"/>
  <c r="AY57" i="2" s="1"/>
  <c r="AZ57" i="2"/>
  <c r="AV57" i="2"/>
  <c r="F57" i="2"/>
  <c r="D57" i="2"/>
  <c r="C57" i="2"/>
  <c r="DM56" i="2"/>
  <c r="DN56" i="2" s="1"/>
  <c r="BQ56" i="2"/>
  <c r="BE56" i="2" s="1"/>
  <c r="BP56" i="2"/>
  <c r="BO56" i="2"/>
  <c r="BN56" i="2"/>
  <c r="BM56" i="2"/>
  <c r="AV56" i="2" s="1"/>
  <c r="BL56" i="2"/>
  <c r="BK56" i="2"/>
  <c r="BJ56" i="2"/>
  <c r="BF56" i="2" s="1"/>
  <c r="BI56" i="2"/>
  <c r="BC56" i="2" s="1"/>
  <c r="BH56" i="2"/>
  <c r="AX56" i="2" s="1"/>
  <c r="AY56" i="2"/>
  <c r="F56" i="2"/>
  <c r="D56" i="2"/>
  <c r="C56" i="2"/>
  <c r="DM55" i="2"/>
  <c r="DN55" i="2" s="1"/>
  <c r="BQ55" i="2"/>
  <c r="BP55" i="2"/>
  <c r="BF55" i="2" s="1"/>
  <c r="BO55" i="2"/>
  <c r="BN55" i="2"/>
  <c r="BM55" i="2"/>
  <c r="BL55" i="2"/>
  <c r="BD55" i="2" s="1"/>
  <c r="BK55" i="2"/>
  <c r="BJ55" i="2"/>
  <c r="AV55" i="2" s="1"/>
  <c r="BI55" i="2"/>
  <c r="BH55" i="2"/>
  <c r="AY55" i="2" s="1"/>
  <c r="BG55" i="2"/>
  <c r="AX55" i="2"/>
  <c r="F55" i="2"/>
  <c r="D55" i="2"/>
  <c r="C55" i="2"/>
  <c r="DN54" i="2"/>
  <c r="DH54" i="2" s="1"/>
  <c r="DM54" i="2"/>
  <c r="DI54" i="2"/>
  <c r="DL54" i="2" s="1"/>
  <c r="DG54" i="2"/>
  <c r="DD54" i="2"/>
  <c r="DB54" i="2"/>
  <c r="CY54" i="2"/>
  <c r="CX54" i="2"/>
  <c r="BQ54" i="2"/>
  <c r="BP54" i="2"/>
  <c r="BO54" i="2"/>
  <c r="BN54" i="2"/>
  <c r="BM54" i="2"/>
  <c r="AV54" i="2" s="1"/>
  <c r="BL54" i="2"/>
  <c r="BK54" i="2"/>
  <c r="BC54" i="2" s="1"/>
  <c r="BJ54" i="2"/>
  <c r="BI54" i="2"/>
  <c r="BH54" i="2"/>
  <c r="BD54" i="2" s="1"/>
  <c r="AZ54" i="2"/>
  <c r="F54" i="2"/>
  <c r="D54" i="2"/>
  <c r="C54" i="2"/>
  <c r="DN53" i="2"/>
  <c r="DI53" i="2" s="1"/>
  <c r="DL53" i="2" s="1"/>
  <c r="DM53" i="2"/>
  <c r="DJ53" i="2"/>
  <c r="DF53" i="2"/>
  <c r="DC53" i="2"/>
  <c r="DA53" i="2"/>
  <c r="CX53" i="2"/>
  <c r="BQ53" i="2"/>
  <c r="BP53" i="2"/>
  <c r="BO53" i="2"/>
  <c r="BN53" i="2"/>
  <c r="AZ53" i="2" s="1"/>
  <c r="BM53" i="2"/>
  <c r="BL53" i="2"/>
  <c r="BD53" i="2" s="1"/>
  <c r="BK53" i="2"/>
  <c r="BJ53" i="2"/>
  <c r="BF53" i="2" s="1"/>
  <c r="BI53" i="2"/>
  <c r="BC53" i="2" s="1"/>
  <c r="BH53" i="2"/>
  <c r="AX53" i="2" s="1"/>
  <c r="BG53" i="2"/>
  <c r="BE53" i="2"/>
  <c r="AV53" i="2"/>
  <c r="F53" i="2"/>
  <c r="D53" i="2"/>
  <c r="C53" i="2"/>
  <c r="DM52" i="2"/>
  <c r="DN52" i="2" s="1"/>
  <c r="DI52" i="2" s="1"/>
  <c r="DL52" i="2" s="1"/>
  <c r="BQ52" i="2"/>
  <c r="BP52" i="2"/>
  <c r="BO52" i="2"/>
  <c r="BN52" i="2"/>
  <c r="BM52" i="2"/>
  <c r="BL52" i="2"/>
  <c r="BK52" i="2"/>
  <c r="BJ52" i="2"/>
  <c r="BI52" i="2"/>
  <c r="BE52" i="2" s="1"/>
  <c r="BH52" i="2"/>
  <c r="BF52" i="2"/>
  <c r="AX52" i="2"/>
  <c r="F52" i="2"/>
  <c r="D52" i="2"/>
  <c r="C52" i="2"/>
  <c r="DN51" i="2"/>
  <c r="DG51" i="2" s="1"/>
  <c r="DM51" i="2"/>
  <c r="DH51" i="2"/>
  <c r="DF51" i="2"/>
  <c r="DD51" i="2"/>
  <c r="DA51" i="2"/>
  <c r="DJ51" i="2" s="1"/>
  <c r="CY51" i="2"/>
  <c r="CX51" i="2"/>
  <c r="BQ51" i="2"/>
  <c r="BP51" i="2"/>
  <c r="BO51" i="2"/>
  <c r="BN51" i="2"/>
  <c r="BM51" i="2"/>
  <c r="AV51" i="2" s="1"/>
  <c r="BL51" i="2"/>
  <c r="BK51" i="2"/>
  <c r="BJ51" i="2"/>
  <c r="BF51" i="2" s="1"/>
  <c r="BI51" i="2"/>
  <c r="BH51" i="2"/>
  <c r="BG51" i="2" s="1"/>
  <c r="BE51" i="2"/>
  <c r="BC51" i="2"/>
  <c r="AZ51" i="2"/>
  <c r="F51" i="2"/>
  <c r="D51" i="2"/>
  <c r="C51" i="2"/>
  <c r="DN50" i="2"/>
  <c r="DF50" i="2" s="1"/>
  <c r="DM50" i="2"/>
  <c r="DG50" i="2"/>
  <c r="CX50" i="2"/>
  <c r="BQ50" i="2"/>
  <c r="BP50" i="2"/>
  <c r="BO50" i="2"/>
  <c r="BF50" i="2" s="1"/>
  <c r="BN50" i="2"/>
  <c r="BM50" i="2"/>
  <c r="BL50" i="2"/>
  <c r="BK50" i="2"/>
  <c r="BD50" i="2" s="1"/>
  <c r="BJ50" i="2"/>
  <c r="BI50" i="2"/>
  <c r="BE50" i="2" s="1"/>
  <c r="BH50" i="2"/>
  <c r="BG50" i="2"/>
  <c r="AZ50" i="2"/>
  <c r="AX50" i="2"/>
  <c r="AV50" i="2"/>
  <c r="F50" i="2"/>
  <c r="D50" i="2"/>
  <c r="C50" i="2"/>
  <c r="DM49" i="2"/>
  <c r="DN49" i="2" s="1"/>
  <c r="DF49" i="2"/>
  <c r="BQ49" i="2"/>
  <c r="BE49" i="2" s="1"/>
  <c r="BP49" i="2"/>
  <c r="BO49" i="2"/>
  <c r="BN49" i="2"/>
  <c r="BM49" i="2"/>
  <c r="BG49" i="2" s="1"/>
  <c r="BL49" i="2"/>
  <c r="BK49" i="2"/>
  <c r="BJ49" i="2"/>
  <c r="BI49" i="2"/>
  <c r="AZ49" i="2" s="1"/>
  <c r="BH49" i="2"/>
  <c r="AY49" i="2"/>
  <c r="F49" i="2"/>
  <c r="D49" i="2"/>
  <c r="C49" i="2"/>
  <c r="DN48" i="2"/>
  <c r="DD48" i="2" s="1"/>
  <c r="DM48" i="2"/>
  <c r="DL48" i="2"/>
  <c r="DI48" i="2"/>
  <c r="DH48" i="2"/>
  <c r="DE48" i="2"/>
  <c r="DK48" i="2" s="1"/>
  <c r="CX48" i="2"/>
  <c r="BQ48" i="2"/>
  <c r="BP48" i="2"/>
  <c r="BO48" i="2"/>
  <c r="BN48" i="2"/>
  <c r="BM48" i="2"/>
  <c r="BG48" i="2" s="1"/>
  <c r="BL48" i="2"/>
  <c r="BK48" i="2"/>
  <c r="BJ48" i="2"/>
  <c r="BF48" i="2" s="1"/>
  <c r="BI48" i="2"/>
  <c r="BH48" i="2"/>
  <c r="AX48" i="2"/>
  <c r="F48" i="2"/>
  <c r="D48" i="2"/>
  <c r="C48" i="2"/>
  <c r="DM47" i="2"/>
  <c r="DN47" i="2" s="1"/>
  <c r="DD47" i="2" s="1"/>
  <c r="BQ47" i="2"/>
  <c r="BP47" i="2"/>
  <c r="BO47" i="2"/>
  <c r="BF47" i="2" s="1"/>
  <c r="BN47" i="2"/>
  <c r="BC47" i="2" s="1"/>
  <c r="BM47" i="2"/>
  <c r="BG47" i="2" s="1"/>
  <c r="BL47" i="2"/>
  <c r="BK47" i="2"/>
  <c r="BJ47" i="2"/>
  <c r="BI47" i="2"/>
  <c r="BE47" i="2" s="1"/>
  <c r="BH47" i="2"/>
  <c r="AV47" i="2"/>
  <c r="F47" i="2"/>
  <c r="D47" i="2"/>
  <c r="C47" i="2"/>
  <c r="DN46" i="2"/>
  <c r="DB46" i="2" s="1"/>
  <c r="DM46" i="2"/>
  <c r="DJ46" i="2"/>
  <c r="DI46" i="2"/>
  <c r="DL46" i="2" s="1"/>
  <c r="DH46" i="2"/>
  <c r="DG46" i="2"/>
  <c r="DF46" i="2"/>
  <c r="DC46" i="2"/>
  <c r="DA46" i="2"/>
  <c r="CY46" i="2"/>
  <c r="CX46" i="2"/>
  <c r="BQ46" i="2"/>
  <c r="BP46" i="2"/>
  <c r="BE46" i="2" s="1"/>
  <c r="BO46" i="2"/>
  <c r="BN46" i="2"/>
  <c r="BC46" i="2" s="1"/>
  <c r="BM46" i="2"/>
  <c r="BL46" i="2"/>
  <c r="BK46" i="2"/>
  <c r="AY46" i="2" s="1"/>
  <c r="BJ46" i="2"/>
  <c r="BF46" i="2" s="1"/>
  <c r="BI46" i="2"/>
  <c r="BH46" i="2"/>
  <c r="BD46" i="2" s="1"/>
  <c r="BG46" i="2"/>
  <c r="AX46" i="2"/>
  <c r="AV46" i="2"/>
  <c r="F46" i="2"/>
  <c r="D46" i="2"/>
  <c r="C46" i="2"/>
  <c r="DN45" i="2"/>
  <c r="DA45" i="2" s="1"/>
  <c r="DJ45" i="2" s="1"/>
  <c r="DM45" i="2"/>
  <c r="DI45" i="2"/>
  <c r="DL45" i="2" s="1"/>
  <c r="DH45" i="2"/>
  <c r="DF45" i="2"/>
  <c r="DE45" i="2"/>
  <c r="DK45" i="2" s="1"/>
  <c r="DB45" i="2"/>
  <c r="CX45" i="2"/>
  <c r="BQ45" i="2"/>
  <c r="BP45" i="2"/>
  <c r="BO45" i="2"/>
  <c r="BN45" i="2"/>
  <c r="BM45" i="2"/>
  <c r="BD45" i="2" s="1"/>
  <c r="BL45" i="2"/>
  <c r="BK45" i="2"/>
  <c r="BJ45" i="2"/>
  <c r="BI45" i="2"/>
  <c r="BE45" i="2" s="1"/>
  <c r="BH45" i="2"/>
  <c r="BF45" i="2"/>
  <c r="AX45" i="2"/>
  <c r="F45" i="2"/>
  <c r="D45" i="2"/>
  <c r="C45" i="2"/>
  <c r="DM44" i="2"/>
  <c r="DN44" i="2" s="1"/>
  <c r="DA44" i="2"/>
  <c r="DJ44" i="2" s="1"/>
  <c r="BQ44" i="2"/>
  <c r="BP44" i="2"/>
  <c r="BO44" i="2"/>
  <c r="BN44" i="2"/>
  <c r="BM44" i="2"/>
  <c r="BG44" i="2" s="1"/>
  <c r="BL44" i="2"/>
  <c r="BK44" i="2"/>
  <c r="BJ44" i="2"/>
  <c r="BF44" i="2" s="1"/>
  <c r="BI44" i="2"/>
  <c r="BC44" i="2" s="1"/>
  <c r="BH44" i="2"/>
  <c r="BD44" i="2" s="1"/>
  <c r="BE44" i="2"/>
  <c r="AV44" i="2"/>
  <c r="F44" i="2"/>
  <c r="D44" i="2"/>
  <c r="C44" i="2"/>
  <c r="DN43" i="2"/>
  <c r="CY43" i="2" s="1"/>
  <c r="DM43" i="2"/>
  <c r="DI43" i="2"/>
  <c r="DL43" i="2" s="1"/>
  <c r="DG43" i="2"/>
  <c r="DF43" i="2"/>
  <c r="DD43" i="2"/>
  <c r="DC43" i="2"/>
  <c r="CZ43" i="2"/>
  <c r="CX43" i="2"/>
  <c r="BQ43" i="2"/>
  <c r="BP43" i="2"/>
  <c r="BO43" i="2"/>
  <c r="BN43" i="2"/>
  <c r="BM43" i="2"/>
  <c r="AV43" i="2" s="1"/>
  <c r="BL43" i="2"/>
  <c r="BK43" i="2"/>
  <c r="BD43" i="2" s="1"/>
  <c r="BJ43" i="2"/>
  <c r="BI43" i="2"/>
  <c r="BH43" i="2"/>
  <c r="AZ43" i="2"/>
  <c r="F43" i="2"/>
  <c r="D43" i="2"/>
  <c r="C43" i="2"/>
  <c r="DM42" i="2"/>
  <c r="DN42" i="2" s="1"/>
  <c r="DF42" i="2" s="1"/>
  <c r="BQ42" i="2"/>
  <c r="BP42" i="2"/>
  <c r="BO42" i="2"/>
  <c r="BN42" i="2"/>
  <c r="BM42" i="2"/>
  <c r="AV42" i="2" s="1"/>
  <c r="BL42" i="2"/>
  <c r="BK42" i="2"/>
  <c r="BJ42" i="2"/>
  <c r="BF42" i="2" s="1"/>
  <c r="BI42" i="2"/>
  <c r="AZ42" i="2" s="1"/>
  <c r="BH42" i="2"/>
  <c r="AX42" i="2" s="1"/>
  <c r="BG42" i="2"/>
  <c r="F42" i="2"/>
  <c r="D42" i="2"/>
  <c r="C42" i="2"/>
  <c r="DN41" i="2"/>
  <c r="DM41" i="2"/>
  <c r="DE41" i="2"/>
  <c r="DK41" i="2" s="1"/>
  <c r="BQ41" i="2"/>
  <c r="BP41" i="2"/>
  <c r="BO41" i="2"/>
  <c r="BN41" i="2"/>
  <c r="BM41" i="2"/>
  <c r="BG41" i="2" s="1"/>
  <c r="BL41" i="2"/>
  <c r="BK41" i="2"/>
  <c r="BF41" i="2" s="1"/>
  <c r="BJ41" i="2"/>
  <c r="BI41" i="2"/>
  <c r="BH41" i="2"/>
  <c r="AY41" i="2" s="1"/>
  <c r="AZ41" i="2"/>
  <c r="AV41" i="2"/>
  <c r="F41" i="2"/>
  <c r="D41" i="2"/>
  <c r="C41" i="2"/>
  <c r="DM40" i="2"/>
  <c r="DN40" i="2" s="1"/>
  <c r="DD40" i="2" s="1"/>
  <c r="BQ40" i="2"/>
  <c r="BP40" i="2"/>
  <c r="BO40" i="2"/>
  <c r="BN40" i="2"/>
  <c r="BM40" i="2"/>
  <c r="AV40" i="2" s="1"/>
  <c r="BL40" i="2"/>
  <c r="BK40" i="2"/>
  <c r="BJ40" i="2"/>
  <c r="BF40" i="2" s="1"/>
  <c r="BI40" i="2"/>
  <c r="BC40" i="2" s="1"/>
  <c r="BH40" i="2"/>
  <c r="F40" i="2"/>
  <c r="D40" i="2"/>
  <c r="C40" i="2"/>
  <c r="DM39" i="2"/>
  <c r="DN39" i="2" s="1"/>
  <c r="DC39" i="2"/>
  <c r="BQ39" i="2"/>
  <c r="BP39" i="2"/>
  <c r="BF39" i="2" s="1"/>
  <c r="BO39" i="2"/>
  <c r="BN39" i="2"/>
  <c r="BM39" i="2"/>
  <c r="BL39" i="2"/>
  <c r="BD39" i="2" s="1"/>
  <c r="BK39" i="2"/>
  <c r="BJ39" i="2"/>
  <c r="AV39" i="2" s="1"/>
  <c r="BI39" i="2"/>
  <c r="BH39" i="2"/>
  <c r="AY39" i="2" s="1"/>
  <c r="BG39" i="2"/>
  <c r="AX39" i="2"/>
  <c r="F39" i="2"/>
  <c r="D39" i="2"/>
  <c r="C39" i="2"/>
  <c r="DN38" i="2"/>
  <c r="DH38" i="2" s="1"/>
  <c r="DM38" i="2"/>
  <c r="DI38" i="2"/>
  <c r="DL38" i="2" s="1"/>
  <c r="DG38" i="2"/>
  <c r="DD38" i="2"/>
  <c r="DB38" i="2"/>
  <c r="DA38" i="2"/>
  <c r="DJ38" i="2" s="1"/>
  <c r="CY38" i="2"/>
  <c r="CX38" i="2"/>
  <c r="BQ38" i="2"/>
  <c r="BP38" i="2"/>
  <c r="BO38" i="2"/>
  <c r="BE38" i="2" s="1"/>
  <c r="BN38" i="2"/>
  <c r="BM38" i="2"/>
  <c r="AV38" i="2" s="1"/>
  <c r="BL38" i="2"/>
  <c r="BK38" i="2"/>
  <c r="BC38" i="2" s="1"/>
  <c r="BJ38" i="2"/>
  <c r="BI38" i="2"/>
  <c r="BH38" i="2"/>
  <c r="BD38" i="2" s="1"/>
  <c r="BF38" i="2"/>
  <c r="AZ38" i="2"/>
  <c r="F38" i="2"/>
  <c r="D38" i="2"/>
  <c r="C38" i="2"/>
  <c r="DN37" i="2"/>
  <c r="DI37" i="2" s="1"/>
  <c r="DL37" i="2" s="1"/>
  <c r="DM37" i="2"/>
  <c r="DJ37" i="2"/>
  <c r="DF37" i="2"/>
  <c r="DC37" i="2"/>
  <c r="DA37" i="2"/>
  <c r="CX37" i="2"/>
  <c r="BQ37" i="2"/>
  <c r="BP37" i="2"/>
  <c r="BO37" i="2"/>
  <c r="BN37" i="2"/>
  <c r="AZ37" i="2" s="1"/>
  <c r="BM37" i="2"/>
  <c r="BL37" i="2"/>
  <c r="BD37" i="2" s="1"/>
  <c r="BK37" i="2"/>
  <c r="BJ37" i="2"/>
  <c r="BF37" i="2" s="1"/>
  <c r="BI37" i="2"/>
  <c r="BC37" i="2" s="1"/>
  <c r="BH37" i="2"/>
  <c r="AX37" i="2" s="1"/>
  <c r="BG37" i="2"/>
  <c r="BE37" i="2"/>
  <c r="AV37" i="2"/>
  <c r="F37" i="2"/>
  <c r="D37" i="2"/>
  <c r="C37" i="2"/>
  <c r="DM36" i="2"/>
  <c r="DN36" i="2" s="1"/>
  <c r="DI36" i="2"/>
  <c r="DL36" i="2" s="1"/>
  <c r="CZ36" i="2"/>
  <c r="BQ36" i="2"/>
  <c r="BP36" i="2"/>
  <c r="BO36" i="2"/>
  <c r="BN36" i="2"/>
  <c r="BM36" i="2"/>
  <c r="BL36" i="2"/>
  <c r="BK36" i="2"/>
  <c r="BJ36" i="2"/>
  <c r="BI36" i="2"/>
  <c r="BE36" i="2" s="1"/>
  <c r="BH36" i="2"/>
  <c r="BF36" i="2"/>
  <c r="BD36" i="2"/>
  <c r="AX36" i="2"/>
  <c r="F36" i="2"/>
  <c r="D36" i="2"/>
  <c r="C36" i="2"/>
  <c r="DN35" i="2"/>
  <c r="DG35" i="2" s="1"/>
  <c r="DM35" i="2"/>
  <c r="DH35" i="2"/>
  <c r="DF35" i="2"/>
  <c r="DD35" i="2"/>
  <c r="DA35" i="2"/>
  <c r="DJ35" i="2" s="1"/>
  <c r="CY35" i="2"/>
  <c r="CX35" i="2"/>
  <c r="BQ35" i="2"/>
  <c r="BP35" i="2"/>
  <c r="BO35" i="2"/>
  <c r="BN35" i="2"/>
  <c r="BM35" i="2"/>
  <c r="AV35" i="2" s="1"/>
  <c r="BL35" i="2"/>
  <c r="BK35" i="2"/>
  <c r="BJ35" i="2"/>
  <c r="BF35" i="2" s="1"/>
  <c r="BI35" i="2"/>
  <c r="BH35" i="2"/>
  <c r="BG35" i="2" s="1"/>
  <c r="BE35" i="2"/>
  <c r="BC35" i="2"/>
  <c r="AZ35" i="2"/>
  <c r="F35" i="2"/>
  <c r="D35" i="2"/>
  <c r="C35" i="2"/>
  <c r="DN34" i="2"/>
  <c r="DG34" i="2" s="1"/>
  <c r="DM34" i="2"/>
  <c r="BQ34" i="2"/>
  <c r="BP34" i="2"/>
  <c r="BO34" i="2"/>
  <c r="BN34" i="2"/>
  <c r="BM34" i="2"/>
  <c r="BL34" i="2"/>
  <c r="BK34" i="2"/>
  <c r="AY34" i="2" s="1"/>
  <c r="BJ34" i="2"/>
  <c r="BI34" i="2"/>
  <c r="BE34" i="2" s="1"/>
  <c r="BH34" i="2"/>
  <c r="BG34" i="2"/>
  <c r="BD34" i="2"/>
  <c r="AZ34" i="2"/>
  <c r="AX34" i="2"/>
  <c r="AV34" i="2"/>
  <c r="F34" i="2"/>
  <c r="D34" i="2"/>
  <c r="C34" i="2"/>
  <c r="DM33" i="2"/>
  <c r="DN33" i="2" s="1"/>
  <c r="DI33" i="2"/>
  <c r="DL33" i="2" s="1"/>
  <c r="DF33" i="2"/>
  <c r="CY33" i="2"/>
  <c r="BQ33" i="2"/>
  <c r="BE33" i="2" s="1"/>
  <c r="BP33" i="2"/>
  <c r="BO33" i="2"/>
  <c r="BN33" i="2"/>
  <c r="BM33" i="2"/>
  <c r="BL33" i="2"/>
  <c r="BK33" i="2"/>
  <c r="BJ33" i="2"/>
  <c r="BF33" i="2" s="1"/>
  <c r="BI33" i="2"/>
  <c r="AZ33" i="2" s="1"/>
  <c r="BH33" i="2"/>
  <c r="BD33" i="2" s="1"/>
  <c r="BC33" i="2"/>
  <c r="AY33" i="2"/>
  <c r="AX33" i="2"/>
  <c r="F33" i="2"/>
  <c r="D33" i="2"/>
  <c r="C33" i="2"/>
  <c r="DN32" i="2"/>
  <c r="DM32" i="2"/>
  <c r="BQ32" i="2"/>
  <c r="BP32" i="2"/>
  <c r="BO32" i="2"/>
  <c r="BN32" i="2"/>
  <c r="BM32" i="2"/>
  <c r="BL32" i="2"/>
  <c r="BK32" i="2"/>
  <c r="BJ32" i="2"/>
  <c r="BF32" i="2" s="1"/>
  <c r="BI32" i="2"/>
  <c r="BH32" i="2"/>
  <c r="AX32" i="2"/>
  <c r="F32" i="2"/>
  <c r="D32" i="2"/>
  <c r="C32" i="2"/>
  <c r="DM31" i="2"/>
  <c r="DN31" i="2" s="1"/>
  <c r="DH31" i="2"/>
  <c r="DG31" i="2"/>
  <c r="DD31" i="2"/>
  <c r="CZ31" i="2"/>
  <c r="BQ31" i="2"/>
  <c r="BP31" i="2"/>
  <c r="BO31" i="2"/>
  <c r="BN31" i="2"/>
  <c r="BM31" i="2"/>
  <c r="BG31" i="2" s="1"/>
  <c r="BL31" i="2"/>
  <c r="BD31" i="2" s="1"/>
  <c r="BK31" i="2"/>
  <c r="BJ31" i="2"/>
  <c r="BI31" i="2"/>
  <c r="BE31" i="2" s="1"/>
  <c r="BH31" i="2"/>
  <c r="AX31" i="2" s="1"/>
  <c r="AY31" i="2"/>
  <c r="AV31" i="2"/>
  <c r="F31" i="2"/>
  <c r="D31" i="2"/>
  <c r="C31" i="2"/>
  <c r="DN30" i="2"/>
  <c r="DB30" i="2" s="1"/>
  <c r="DM30" i="2"/>
  <c r="DJ30" i="2"/>
  <c r="DI30" i="2"/>
  <c r="DL30" i="2" s="1"/>
  <c r="DH30" i="2"/>
  <c r="DG30" i="2"/>
  <c r="DF30" i="2"/>
  <c r="DC30" i="2"/>
  <c r="DA30" i="2"/>
  <c r="CY30" i="2"/>
  <c r="CX30" i="2"/>
  <c r="BQ30" i="2"/>
  <c r="BP30" i="2"/>
  <c r="BE30" i="2" s="1"/>
  <c r="BO30" i="2"/>
  <c r="BN30" i="2"/>
  <c r="AZ30" i="2" s="1"/>
  <c r="BM30" i="2"/>
  <c r="BL30" i="2"/>
  <c r="BK30" i="2"/>
  <c r="AY30" i="2" s="1"/>
  <c r="BJ30" i="2"/>
  <c r="BF30" i="2" s="1"/>
  <c r="BI30" i="2"/>
  <c r="BH30" i="2"/>
  <c r="BD30" i="2" s="1"/>
  <c r="BG30" i="2"/>
  <c r="BC30" i="2"/>
  <c r="AX30" i="2"/>
  <c r="AV30" i="2"/>
  <c r="F30" i="2"/>
  <c r="D30" i="2"/>
  <c r="C30" i="2"/>
  <c r="DN29" i="2"/>
  <c r="DI29" i="2" s="1"/>
  <c r="DL29" i="2" s="1"/>
  <c r="DM29" i="2"/>
  <c r="DE29" i="2"/>
  <c r="DK29" i="2" s="1"/>
  <c r="DB29" i="2"/>
  <c r="CX29" i="2"/>
  <c r="BQ29" i="2"/>
  <c r="BP29" i="2"/>
  <c r="BO29" i="2"/>
  <c r="BN29" i="2"/>
  <c r="BM29" i="2"/>
  <c r="BL29" i="2"/>
  <c r="BK29" i="2"/>
  <c r="BJ29" i="2"/>
  <c r="BF29" i="2" s="1"/>
  <c r="BI29" i="2"/>
  <c r="AZ29" i="2" s="1"/>
  <c r="BH29" i="2"/>
  <c r="AX29" i="2"/>
  <c r="F29" i="2"/>
  <c r="D29" i="2"/>
  <c r="C29" i="2"/>
  <c r="DM28" i="2"/>
  <c r="DN28" i="2" s="1"/>
  <c r="DE28" i="2" s="1"/>
  <c r="DK28" i="2" s="1"/>
  <c r="DH28" i="2"/>
  <c r="DG28" i="2"/>
  <c r="BQ28" i="2"/>
  <c r="BP28" i="2"/>
  <c r="BO28" i="2"/>
  <c r="BN28" i="2"/>
  <c r="BM28" i="2"/>
  <c r="BG28" i="2" s="1"/>
  <c r="BL28" i="2"/>
  <c r="BK28" i="2"/>
  <c r="AY28" i="2" s="1"/>
  <c r="BJ28" i="2"/>
  <c r="BF28" i="2" s="1"/>
  <c r="BI28" i="2"/>
  <c r="BH28" i="2"/>
  <c r="BE28" i="2"/>
  <c r="AV28" i="2"/>
  <c r="F28" i="2"/>
  <c r="D28" i="2"/>
  <c r="C28" i="2"/>
  <c r="DN27" i="2"/>
  <c r="CY27" i="2" s="1"/>
  <c r="DM27" i="2"/>
  <c r="DL27" i="2"/>
  <c r="DI27" i="2"/>
  <c r="DG27" i="2"/>
  <c r="DF27" i="2"/>
  <c r="DD27" i="2"/>
  <c r="DC27" i="2"/>
  <c r="CZ27" i="2"/>
  <c r="CX27" i="2"/>
  <c r="BQ27" i="2"/>
  <c r="BP27" i="2"/>
  <c r="BO27" i="2"/>
  <c r="BN27" i="2"/>
  <c r="BM27" i="2"/>
  <c r="BL27" i="2"/>
  <c r="BK27" i="2"/>
  <c r="BJ27" i="2"/>
  <c r="BF27" i="2" s="1"/>
  <c r="BI27" i="2"/>
  <c r="BC27" i="2" s="1"/>
  <c r="BH27" i="2"/>
  <c r="AY27" i="2" s="1"/>
  <c r="BG27" i="2"/>
  <c r="BD27" i="2"/>
  <c r="AZ27" i="2"/>
  <c r="F27" i="2"/>
  <c r="D27" i="2"/>
  <c r="C27" i="2"/>
  <c r="DM26" i="2"/>
  <c r="DN26" i="2" s="1"/>
  <c r="DH26" i="2" s="1"/>
  <c r="DF26" i="2"/>
  <c r="DE26" i="2"/>
  <c r="DK26" i="2" s="1"/>
  <c r="DC26" i="2"/>
  <c r="DB26" i="2"/>
  <c r="CY26" i="2"/>
  <c r="BQ26" i="2"/>
  <c r="BP26" i="2"/>
  <c r="BO26" i="2"/>
  <c r="BF26" i="2" s="1"/>
  <c r="BN26" i="2"/>
  <c r="BM26" i="2"/>
  <c r="AV26" i="2" s="1"/>
  <c r="BL26" i="2"/>
  <c r="BK26" i="2"/>
  <c r="BJ26" i="2"/>
  <c r="BI26" i="2"/>
  <c r="BH26" i="2"/>
  <c r="AX26" i="2" s="1"/>
  <c r="BG26" i="2"/>
  <c r="BC26" i="2"/>
  <c r="F26" i="2"/>
  <c r="D26" i="2"/>
  <c r="C26" i="2"/>
  <c r="DN25" i="2"/>
  <c r="DG25" i="2" s="1"/>
  <c r="DM25" i="2"/>
  <c r="DI25" i="2"/>
  <c r="DL25" i="2" s="1"/>
  <c r="BQ25" i="2"/>
  <c r="BP25" i="2"/>
  <c r="BO25" i="2"/>
  <c r="BN25" i="2"/>
  <c r="BM25" i="2"/>
  <c r="BL25" i="2"/>
  <c r="BK25" i="2"/>
  <c r="BF25" i="2" s="1"/>
  <c r="BJ25" i="2"/>
  <c r="BI25" i="2"/>
  <c r="BE25" i="2" s="1"/>
  <c r="BH25" i="2"/>
  <c r="F25" i="2"/>
  <c r="D25" i="2"/>
  <c r="C25" i="2"/>
  <c r="DM24" i="2"/>
  <c r="DN24" i="2" s="1"/>
  <c r="DC24" i="2" s="1"/>
  <c r="DI24" i="2"/>
  <c r="DL24" i="2" s="1"/>
  <c r="DH24" i="2"/>
  <c r="DF24" i="2"/>
  <c r="DD24" i="2"/>
  <c r="DA24" i="2"/>
  <c r="DJ24" i="2" s="1"/>
  <c r="BQ24" i="2"/>
  <c r="BP24" i="2"/>
  <c r="BO24" i="2"/>
  <c r="BN24" i="2"/>
  <c r="BM24" i="2"/>
  <c r="BL24" i="2"/>
  <c r="BK24" i="2"/>
  <c r="BJ24" i="2"/>
  <c r="BF24" i="2" s="1"/>
  <c r="BI24" i="2"/>
  <c r="BH24" i="2"/>
  <c r="AX24" i="2" s="1"/>
  <c r="BG24" i="2"/>
  <c r="BE24" i="2"/>
  <c r="F24" i="2"/>
  <c r="D24" i="2"/>
  <c r="C24" i="2"/>
  <c r="DM23" i="2"/>
  <c r="DN23" i="2" s="1"/>
  <c r="BQ23" i="2"/>
  <c r="BP23" i="2"/>
  <c r="BO23" i="2"/>
  <c r="BN23" i="2"/>
  <c r="BM23" i="2"/>
  <c r="BL23" i="2"/>
  <c r="BD23" i="2" s="1"/>
  <c r="BK23" i="2"/>
  <c r="BF23" i="2" s="1"/>
  <c r="BJ23" i="2"/>
  <c r="BI23" i="2"/>
  <c r="BC23" i="2" s="1"/>
  <c r="BH23" i="2"/>
  <c r="BG23" i="2"/>
  <c r="AX23" i="2"/>
  <c r="AV23" i="2"/>
  <c r="F23" i="2"/>
  <c r="D23" i="2"/>
  <c r="C23" i="2"/>
  <c r="DN22" i="2"/>
  <c r="DG22" i="2" s="1"/>
  <c r="DM22" i="2"/>
  <c r="DI22" i="2"/>
  <c r="DL22" i="2" s="1"/>
  <c r="DB22" i="2"/>
  <c r="CY22" i="2"/>
  <c r="BQ22" i="2"/>
  <c r="BP22" i="2"/>
  <c r="BO22" i="2"/>
  <c r="BE22" i="2" s="1"/>
  <c r="BN22" i="2"/>
  <c r="BM22" i="2"/>
  <c r="BL22" i="2"/>
  <c r="BK22" i="2"/>
  <c r="BC22" i="2" s="1"/>
  <c r="BJ22" i="2"/>
  <c r="BF22" i="2" s="1"/>
  <c r="BI22" i="2"/>
  <c r="BH22" i="2"/>
  <c r="AZ22" i="2"/>
  <c r="F22" i="2"/>
  <c r="D22" i="2"/>
  <c r="C22" i="2"/>
  <c r="DM21" i="2"/>
  <c r="DN21" i="2" s="1"/>
  <c r="CZ21" i="2" s="1"/>
  <c r="CX21" i="2"/>
  <c r="BQ21" i="2"/>
  <c r="BP21" i="2"/>
  <c r="BO21" i="2"/>
  <c r="BN21" i="2"/>
  <c r="BM21" i="2"/>
  <c r="BL21" i="2"/>
  <c r="BK21" i="2"/>
  <c r="BJ21" i="2"/>
  <c r="BF21" i="2" s="1"/>
  <c r="BI21" i="2"/>
  <c r="BE21" i="2" s="1"/>
  <c r="BH21" i="2"/>
  <c r="AX21" i="2" s="1"/>
  <c r="BG21" i="2"/>
  <c r="BD21" i="2"/>
  <c r="AY21" i="2"/>
  <c r="AV21" i="2"/>
  <c r="F21" i="2"/>
  <c r="D21" i="2"/>
  <c r="C21" i="2"/>
  <c r="DM20" i="2"/>
  <c r="DN20" i="2" s="1"/>
  <c r="DI20" i="2"/>
  <c r="DL20" i="2" s="1"/>
  <c r="DG20" i="2"/>
  <c r="DC20" i="2"/>
  <c r="DB20" i="2"/>
  <c r="BQ20" i="2"/>
  <c r="BP20" i="2"/>
  <c r="BO20" i="2"/>
  <c r="BN20" i="2"/>
  <c r="BM20" i="2"/>
  <c r="AV20" i="2" s="1"/>
  <c r="BL20" i="2"/>
  <c r="BK20" i="2"/>
  <c r="BF20" i="2" s="1"/>
  <c r="BJ20" i="2"/>
  <c r="BI20" i="2"/>
  <c r="BH20" i="2"/>
  <c r="F20" i="2"/>
  <c r="D20" i="2"/>
  <c r="C20" i="2"/>
  <c r="DN19" i="2"/>
  <c r="DH19" i="2" s="1"/>
  <c r="DM19" i="2"/>
  <c r="DC19" i="2"/>
  <c r="DA19" i="2"/>
  <c r="DJ19" i="2" s="1"/>
  <c r="CX19" i="2"/>
  <c r="BQ19" i="2"/>
  <c r="BP19" i="2"/>
  <c r="BE19" i="2" s="1"/>
  <c r="BO19" i="2"/>
  <c r="BN19" i="2"/>
  <c r="BM19" i="2"/>
  <c r="BL19" i="2"/>
  <c r="BK19" i="2"/>
  <c r="BJ19" i="2"/>
  <c r="BI19" i="2"/>
  <c r="BH19" i="2"/>
  <c r="BG19" i="2"/>
  <c r="AZ19" i="2"/>
  <c r="AX19" i="2"/>
  <c r="F19" i="2"/>
  <c r="D19" i="2"/>
  <c r="C19" i="2"/>
  <c r="DM18" i="2"/>
  <c r="DN18" i="2" s="1"/>
  <c r="DE18" i="2"/>
  <c r="DK18" i="2" s="1"/>
  <c r="DC18" i="2"/>
  <c r="BQ18" i="2"/>
  <c r="BP18" i="2"/>
  <c r="BO18" i="2"/>
  <c r="BN18" i="2"/>
  <c r="BM18" i="2"/>
  <c r="BL18" i="2"/>
  <c r="BK18" i="2"/>
  <c r="BD18" i="2" s="1"/>
  <c r="BJ18" i="2"/>
  <c r="BI18" i="2"/>
  <c r="BC18" i="2" s="1"/>
  <c r="BH18" i="2"/>
  <c r="BG18" i="2"/>
  <c r="BF18" i="2"/>
  <c r="AZ18" i="2"/>
  <c r="AY18" i="2"/>
  <c r="AW18" i="2" s="1"/>
  <c r="AX18" i="2"/>
  <c r="AV18" i="2"/>
  <c r="F18" i="2"/>
  <c r="D18" i="2"/>
  <c r="C18" i="2"/>
  <c r="DM17" i="2"/>
  <c r="DN17" i="2" s="1"/>
  <c r="DF17" i="2" s="1"/>
  <c r="DL17" i="2"/>
  <c r="DJ17" i="2"/>
  <c r="DI17" i="2"/>
  <c r="DA17" i="2"/>
  <c r="CY17" i="2"/>
  <c r="BQ17" i="2"/>
  <c r="BE17" i="2" s="1"/>
  <c r="BP17" i="2"/>
  <c r="BO17" i="2"/>
  <c r="BN17" i="2"/>
  <c r="BC17" i="2" s="1"/>
  <c r="BM17" i="2"/>
  <c r="BL17" i="2"/>
  <c r="BK17" i="2"/>
  <c r="BJ17" i="2"/>
  <c r="BF17" i="2" s="1"/>
  <c r="BI17" i="2"/>
  <c r="BH17" i="2"/>
  <c r="BD17" i="2" s="1"/>
  <c r="AX17" i="2"/>
  <c r="F17" i="2"/>
  <c r="D17" i="2"/>
  <c r="C17" i="2"/>
  <c r="DN16" i="2"/>
  <c r="DM16" i="2"/>
  <c r="DK16" i="2"/>
  <c r="DI16" i="2"/>
  <c r="DL16" i="2" s="1"/>
  <c r="DF16" i="2"/>
  <c r="DE16" i="2"/>
  <c r="DC16" i="2"/>
  <c r="DA16" i="2"/>
  <c r="DJ16" i="2" s="1"/>
  <c r="BQ16" i="2"/>
  <c r="BP16" i="2"/>
  <c r="BO16" i="2"/>
  <c r="BN16" i="2"/>
  <c r="BM16" i="2"/>
  <c r="BL16" i="2"/>
  <c r="BK16" i="2"/>
  <c r="BJ16" i="2"/>
  <c r="BI16" i="2"/>
  <c r="BC16" i="2" s="1"/>
  <c r="BH16" i="2"/>
  <c r="AY16" i="2" s="1"/>
  <c r="AW16" i="2" s="1"/>
  <c r="BG16" i="2"/>
  <c r="BE16" i="2"/>
  <c r="AZ16" i="2"/>
  <c r="AX16" i="2"/>
  <c r="F16" i="2"/>
  <c r="D16" i="2"/>
  <c r="C16" i="2"/>
  <c r="DM15" i="2"/>
  <c r="DN15" i="2" s="1"/>
  <c r="DE15" i="2"/>
  <c r="DK15" i="2" s="1"/>
  <c r="DD15" i="2"/>
  <c r="BQ15" i="2"/>
  <c r="BP15" i="2"/>
  <c r="BO15" i="2"/>
  <c r="BN15" i="2"/>
  <c r="BM15" i="2"/>
  <c r="BL15" i="2"/>
  <c r="BK15" i="2"/>
  <c r="BJ15" i="2"/>
  <c r="BI15" i="2"/>
  <c r="BH15" i="2"/>
  <c r="AX15" i="2" s="1"/>
  <c r="BF15" i="2"/>
  <c r="BD15" i="2"/>
  <c r="AY15" i="2"/>
  <c r="AV15" i="2"/>
  <c r="F15" i="2"/>
  <c r="D15" i="2"/>
  <c r="C15" i="2"/>
  <c r="DM14" i="2"/>
  <c r="DN14" i="2" s="1"/>
  <c r="DC14" i="2" s="1"/>
  <c r="DA14" i="2"/>
  <c r="DJ14" i="2" s="1"/>
  <c r="BQ14" i="2"/>
  <c r="BG14" i="2" s="1"/>
  <c r="BP14" i="2"/>
  <c r="BO14" i="2"/>
  <c r="BN14" i="2"/>
  <c r="BM14" i="2"/>
  <c r="BL14" i="2"/>
  <c r="BK14" i="2"/>
  <c r="BJ14" i="2"/>
  <c r="BI14" i="2"/>
  <c r="BH14" i="2"/>
  <c r="BC14" i="2"/>
  <c r="AZ14" i="2"/>
  <c r="AX14" i="2"/>
  <c r="AV14" i="2"/>
  <c r="F14" i="2"/>
  <c r="D14" i="2"/>
  <c r="C14" i="2"/>
  <c r="DN13" i="2"/>
  <c r="DI13" i="2" s="1"/>
  <c r="DL13" i="2" s="1"/>
  <c r="DM13" i="2"/>
  <c r="DG13" i="2"/>
  <c r="DE13" i="2"/>
  <c r="DK13" i="2" s="1"/>
  <c r="DB13" i="2"/>
  <c r="CZ13" i="2"/>
  <c r="BQ13" i="2"/>
  <c r="BG13" i="2" s="1"/>
  <c r="BP13" i="2"/>
  <c r="BO13" i="2"/>
  <c r="BN13" i="2"/>
  <c r="BM13" i="2"/>
  <c r="BL13" i="2"/>
  <c r="BK13" i="2"/>
  <c r="BJ13" i="2"/>
  <c r="BD13" i="2" s="1"/>
  <c r="BI13" i="2"/>
  <c r="BH13" i="2"/>
  <c r="BF13" i="2"/>
  <c r="AZ13" i="2"/>
  <c r="AY13" i="2"/>
  <c r="AX13" i="2"/>
  <c r="F13" i="2"/>
  <c r="D13" i="2"/>
  <c r="C13" i="2"/>
  <c r="DM12" i="2"/>
  <c r="DN12" i="2" s="1"/>
  <c r="DI12" i="2" s="1"/>
  <c r="DL12" i="2" s="1"/>
  <c r="DE12" i="2"/>
  <c r="DK12" i="2" s="1"/>
  <c r="DB12" i="2"/>
  <c r="CY12" i="2"/>
  <c r="BQ12" i="2"/>
  <c r="BP12" i="2"/>
  <c r="BO12" i="2"/>
  <c r="BN12" i="2"/>
  <c r="BC12" i="2" s="1"/>
  <c r="BM12" i="2"/>
  <c r="BL12" i="2"/>
  <c r="BK12" i="2"/>
  <c r="BJ12" i="2"/>
  <c r="BF12" i="2" s="1"/>
  <c r="BI12" i="2"/>
  <c r="BH12" i="2"/>
  <c r="AX12" i="2" s="1"/>
  <c r="BE12" i="2"/>
  <c r="AY12" i="2"/>
  <c r="AV12" i="2"/>
  <c r="F12" i="2"/>
  <c r="D12" i="2"/>
  <c r="C12" i="2"/>
  <c r="DN11" i="2"/>
  <c r="DI11" i="2" s="1"/>
  <c r="DL11" i="2" s="1"/>
  <c r="DM11" i="2"/>
  <c r="DG11" i="2"/>
  <c r="DE11" i="2"/>
  <c r="DK11" i="2" s="1"/>
  <c r="DC11" i="2"/>
  <c r="DA11" i="2"/>
  <c r="DJ11" i="2" s="1"/>
  <c r="BQ11" i="2"/>
  <c r="BP11" i="2"/>
  <c r="BO11" i="2"/>
  <c r="BN11" i="2"/>
  <c r="BM11" i="2"/>
  <c r="BL11" i="2"/>
  <c r="BK11" i="2"/>
  <c r="BJ11" i="2"/>
  <c r="BI11" i="2"/>
  <c r="BH11" i="2"/>
  <c r="BG11" i="2"/>
  <c r="BD11" i="2"/>
  <c r="AZ11" i="2"/>
  <c r="AV11" i="2"/>
  <c r="F11" i="2"/>
  <c r="D11" i="2"/>
  <c r="C11" i="2"/>
  <c r="DM10" i="2"/>
  <c r="DN10" i="2" s="1"/>
  <c r="DI10" i="2"/>
  <c r="DL10" i="2" s="1"/>
  <c r="DH10" i="2"/>
  <c r="DG10" i="2"/>
  <c r="DF10" i="2"/>
  <c r="DE10" i="2"/>
  <c r="DK10" i="2" s="1"/>
  <c r="DD10" i="2"/>
  <c r="DB10" i="2"/>
  <c r="CZ10" i="2"/>
  <c r="CY10" i="2"/>
  <c r="BQ10" i="2"/>
  <c r="BP10" i="2"/>
  <c r="BO10" i="2"/>
  <c r="BN10" i="2"/>
  <c r="BM10" i="2"/>
  <c r="BL10" i="2"/>
  <c r="BK10" i="2"/>
  <c r="BF10" i="2" s="1"/>
  <c r="BJ10" i="2"/>
  <c r="BI10" i="2"/>
  <c r="BH10" i="2"/>
  <c r="AX10" i="2" s="1"/>
  <c r="BG10" i="2"/>
  <c r="AV10" i="2"/>
  <c r="F10" i="2"/>
  <c r="D10" i="2"/>
  <c r="C10" i="2"/>
  <c r="DN9" i="2"/>
  <c r="CZ9" i="2" s="1"/>
  <c r="DM9" i="2"/>
  <c r="DI9" i="2"/>
  <c r="DL9" i="2" s="1"/>
  <c r="DG9" i="2"/>
  <c r="DF9" i="2"/>
  <c r="DD9" i="2"/>
  <c r="DC9" i="2"/>
  <c r="DB9" i="2"/>
  <c r="DA9" i="2"/>
  <c r="DJ9" i="2" s="1"/>
  <c r="BQ9" i="2"/>
  <c r="BP9" i="2"/>
  <c r="BO9" i="2"/>
  <c r="BN9" i="2"/>
  <c r="BM9" i="2"/>
  <c r="BL9" i="2"/>
  <c r="BK9" i="2"/>
  <c r="BJ9" i="2"/>
  <c r="BF9" i="2" s="1"/>
  <c r="BI9" i="2"/>
  <c r="BH9" i="2"/>
  <c r="AX9" i="2" s="1"/>
  <c r="BG9" i="2"/>
  <c r="F9" i="2"/>
  <c r="D9" i="2"/>
  <c r="C9" i="2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V71" i="1"/>
  <c r="BU71" i="1"/>
  <c r="BT71" i="1"/>
  <c r="BS71" i="1"/>
  <c r="BR71" i="1"/>
  <c r="BQ71" i="1"/>
  <c r="BP71" i="1"/>
  <c r="BO71" i="1"/>
  <c r="BN71" i="1"/>
  <c r="BM71" i="1"/>
  <c r="BL71" i="1"/>
  <c r="BK71" i="1"/>
  <c r="BJ71" i="1"/>
  <c r="BI71" i="1"/>
  <c r="BH71" i="1"/>
  <c r="BG71" i="1"/>
  <c r="BF71" i="1"/>
  <c r="BE71" i="1"/>
  <c r="BD71" i="1"/>
  <c r="BC71" i="1"/>
  <c r="BB71" i="1"/>
  <c r="BA71" i="1"/>
  <c r="AZ71" i="1"/>
  <c r="AY71" i="1"/>
  <c r="AX71" i="1"/>
  <c r="AW71" i="1"/>
  <c r="AV71" i="1"/>
  <c r="AU71" i="1"/>
  <c r="AT71" i="1"/>
  <c r="AS71" i="1"/>
  <c r="AR71" i="1"/>
  <c r="AQ71" i="1"/>
  <c r="AP71" i="1"/>
  <c r="AO71" i="1"/>
  <c r="AN71" i="1"/>
  <c r="AM71" i="1"/>
  <c r="AL71" i="1"/>
  <c r="AK71" i="1"/>
  <c r="AJ71" i="1"/>
  <c r="AI71" i="1"/>
  <c r="AH71" i="1"/>
  <c r="AG71" i="1"/>
  <c r="AF71" i="1"/>
  <c r="AE71" i="1"/>
  <c r="AD71" i="1"/>
  <c r="AC71" i="1"/>
  <c r="AB71" i="1"/>
  <c r="AA71" i="1"/>
  <c r="Z71" i="1"/>
  <c r="Y71" i="1"/>
  <c r="X71" i="1"/>
  <c r="W71" i="1"/>
  <c r="V71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E71" i="1"/>
  <c r="D71" i="1"/>
  <c r="C71" i="1"/>
  <c r="B71" i="1"/>
  <c r="B67" i="1"/>
  <c r="E32" i="1"/>
  <c r="B32" i="1"/>
  <c r="C23" i="1"/>
  <c r="J19" i="1"/>
  <c r="J18" i="1"/>
  <c r="H18" i="1"/>
  <c r="B14" i="1"/>
  <c r="BD20" i="2" l="1"/>
  <c r="AY20" i="2"/>
  <c r="AX20" i="2"/>
  <c r="AZ10" i="2"/>
  <c r="BE10" i="2"/>
  <c r="BC10" i="2"/>
  <c r="AY10" i="2"/>
  <c r="AW13" i="2"/>
  <c r="BG25" i="2"/>
  <c r="AV25" i="2"/>
  <c r="BE32" i="2"/>
  <c r="BC32" i="2"/>
  <c r="AZ32" i="2"/>
  <c r="AW53" i="2"/>
  <c r="AX40" i="2"/>
  <c r="BD40" i="2"/>
  <c r="AY40" i="2"/>
  <c r="H32" i="1"/>
  <c r="AV9" i="2"/>
  <c r="BC11" i="2"/>
  <c r="BE11" i="2"/>
  <c r="BF16" i="2"/>
  <c r="BD16" i="2"/>
  <c r="DF18" i="2"/>
  <c r="DD18" i="2"/>
  <c r="CY18" i="2"/>
  <c r="DI18" i="2"/>
  <c r="DL18" i="2" s="1"/>
  <c r="DH18" i="2"/>
  <c r="DB18" i="2"/>
  <c r="DA18" i="2"/>
  <c r="DJ18" i="2" s="1"/>
  <c r="CZ18" i="2"/>
  <c r="CX18" i="2"/>
  <c r="DG18" i="2"/>
  <c r="BE20" i="2"/>
  <c r="AZ20" i="2"/>
  <c r="BC20" i="2"/>
  <c r="DC15" i="2"/>
  <c r="DA15" i="2"/>
  <c r="DJ15" i="2" s="1"/>
  <c r="DF15" i="2"/>
  <c r="DB15" i="2"/>
  <c r="CZ15" i="2"/>
  <c r="CY15" i="2"/>
  <c r="CX15" i="2"/>
  <c r="DI15" i="2"/>
  <c r="DL15" i="2" s="1"/>
  <c r="DH15" i="2"/>
  <c r="DG15" i="2"/>
  <c r="DI21" i="2"/>
  <c r="DL21" i="2" s="1"/>
  <c r="DG21" i="2"/>
  <c r="DB21" i="2"/>
  <c r="CY21" i="2"/>
  <c r="DH21" i="2"/>
  <c r="DF21" i="2"/>
  <c r="DE21" i="2"/>
  <c r="DK21" i="2" s="1"/>
  <c r="DD21" i="2"/>
  <c r="DC21" i="2"/>
  <c r="DA21" i="2"/>
  <c r="DJ21" i="2" s="1"/>
  <c r="DH120" i="2"/>
  <c r="DG120" i="2"/>
  <c r="DF120" i="2"/>
  <c r="DE120" i="2"/>
  <c r="DK120" i="2" s="1"/>
  <c r="DD120" i="2"/>
  <c r="DC120" i="2"/>
  <c r="DB120" i="2"/>
  <c r="DA120" i="2"/>
  <c r="DJ120" i="2" s="1"/>
  <c r="CZ120" i="2"/>
  <c r="CY120" i="2"/>
  <c r="CX120" i="2"/>
  <c r="DI120" i="2"/>
  <c r="DL120" i="2" s="1"/>
  <c r="DD32" i="2"/>
  <c r="DC32" i="2"/>
  <c r="DB32" i="2"/>
  <c r="DA32" i="2"/>
  <c r="DJ32" i="2" s="1"/>
  <c r="CZ32" i="2"/>
  <c r="CY32" i="2"/>
  <c r="DG32" i="2"/>
  <c r="DF32" i="2"/>
  <c r="DI32" i="2"/>
  <c r="DL32" i="2" s="1"/>
  <c r="DH32" i="2"/>
  <c r="DE32" i="2"/>
  <c r="DK32" i="2" s="1"/>
  <c r="CX32" i="2"/>
  <c r="BF69" i="2"/>
  <c r="DB14" i="2"/>
  <c r="CZ14" i="2"/>
  <c r="DE14" i="2"/>
  <c r="DK14" i="2" s="1"/>
  <c r="CY14" i="2"/>
  <c r="CX14" i="2"/>
  <c r="DI14" i="2"/>
  <c r="DL14" i="2" s="1"/>
  <c r="DH14" i="2"/>
  <c r="DG14" i="2"/>
  <c r="DF14" i="2"/>
  <c r="DD14" i="2"/>
  <c r="BE9" i="2"/>
  <c r="BC9" i="2"/>
  <c r="AZ9" i="2"/>
  <c r="BG17" i="2"/>
  <c r="AV17" i="2"/>
  <c r="BF19" i="2"/>
  <c r="DI23" i="2"/>
  <c r="DL23" i="2" s="1"/>
  <c r="DF23" i="2"/>
  <c r="DD23" i="2"/>
  <c r="DA23" i="2"/>
  <c r="DJ23" i="2" s="1"/>
  <c r="CX23" i="2"/>
  <c r="DH23" i="2"/>
  <c r="DG23" i="2"/>
  <c r="DE23" i="2"/>
  <c r="DK23" i="2" s="1"/>
  <c r="DC23" i="2"/>
  <c r="DB23" i="2"/>
  <c r="CZ23" i="2"/>
  <c r="CY23" i="2"/>
  <c r="AY32" i="2"/>
  <c r="DE49" i="2"/>
  <c r="DK49" i="2" s="1"/>
  <c r="DD49" i="2"/>
  <c r="DC49" i="2"/>
  <c r="DB49" i="2"/>
  <c r="DA49" i="2"/>
  <c r="DJ49" i="2" s="1"/>
  <c r="CZ49" i="2"/>
  <c r="CY49" i="2"/>
  <c r="CX49" i="2"/>
  <c r="DI49" i="2"/>
  <c r="DL49" i="2" s="1"/>
  <c r="DH49" i="2"/>
  <c r="DG49" i="2"/>
  <c r="BF54" i="2"/>
  <c r="BE54" i="2"/>
  <c r="DH9" i="2"/>
  <c r="DD11" i="2"/>
  <c r="DA12" i="2"/>
  <c r="DJ12" i="2" s="1"/>
  <c r="DC13" i="2"/>
  <c r="BE14" i="2"/>
  <c r="AZ21" i="2"/>
  <c r="AW34" i="2"/>
  <c r="DI41" i="2"/>
  <c r="DL41" i="2" s="1"/>
  <c r="DH41" i="2"/>
  <c r="DG41" i="2"/>
  <c r="DF41" i="2"/>
  <c r="DD41" i="2"/>
  <c r="DC41" i="2"/>
  <c r="DB41" i="2"/>
  <c r="DA41" i="2"/>
  <c r="DJ41" i="2" s="1"/>
  <c r="CZ41" i="2"/>
  <c r="CY41" i="2"/>
  <c r="BG52" i="2"/>
  <c r="BD52" i="2"/>
  <c r="AV52" i="2"/>
  <c r="BD63" i="2"/>
  <c r="AY63" i="2"/>
  <c r="AX63" i="2"/>
  <c r="AW70" i="2"/>
  <c r="BD72" i="2"/>
  <c r="BG72" i="2"/>
  <c r="AY72" i="2"/>
  <c r="AX72" i="2"/>
  <c r="BE15" i="2"/>
  <c r="AV16" i="2"/>
  <c r="DH20" i="2"/>
  <c r="DF20" i="2"/>
  <c r="DA20" i="2"/>
  <c r="DJ20" i="2" s="1"/>
  <c r="CX20" i="2"/>
  <c r="AV24" i="2"/>
  <c r="DI57" i="2"/>
  <c r="DL57" i="2" s="1"/>
  <c r="DH57" i="2"/>
  <c r="DG57" i="2"/>
  <c r="DF57" i="2"/>
  <c r="DE57" i="2"/>
  <c r="DK57" i="2" s="1"/>
  <c r="DD57" i="2"/>
  <c r="DC57" i="2"/>
  <c r="DB57" i="2"/>
  <c r="DA57" i="2"/>
  <c r="DJ57" i="2" s="1"/>
  <c r="CZ57" i="2"/>
  <c r="CY57" i="2"/>
  <c r="DA68" i="2"/>
  <c r="DJ68" i="2" s="1"/>
  <c r="CZ68" i="2"/>
  <c r="CY68" i="2"/>
  <c r="CX68" i="2"/>
  <c r="DI68" i="2"/>
  <c r="DL68" i="2" s="1"/>
  <c r="DH68" i="2"/>
  <c r="DG68" i="2"/>
  <c r="DF68" i="2"/>
  <c r="DE68" i="2"/>
  <c r="DK68" i="2" s="1"/>
  <c r="DD68" i="2"/>
  <c r="DC68" i="2"/>
  <c r="AY11" i="2"/>
  <c r="DF11" i="2"/>
  <c r="DD12" i="2"/>
  <c r="DF13" i="2"/>
  <c r="BD14" i="2"/>
  <c r="DD16" i="2"/>
  <c r="DB16" i="2"/>
  <c r="DG16" i="2"/>
  <c r="CY19" i="2"/>
  <c r="CX22" i="2"/>
  <c r="DF29" i="2"/>
  <c r="BE55" i="2"/>
  <c r="AY64" i="2"/>
  <c r="AW67" i="2"/>
  <c r="BC19" i="2"/>
  <c r="CX25" i="2"/>
  <c r="DH29" i="2"/>
  <c r="BC31" i="2"/>
  <c r="BG32" i="2"/>
  <c r="BD32" i="2"/>
  <c r="AV32" i="2"/>
  <c r="AY43" i="2"/>
  <c r="CZ60" i="2"/>
  <c r="CY60" i="2"/>
  <c r="CX60" i="2"/>
  <c r="DI60" i="2"/>
  <c r="DL60" i="2" s="1"/>
  <c r="DH60" i="2"/>
  <c r="DG60" i="2"/>
  <c r="DF60" i="2"/>
  <c r="DE60" i="2"/>
  <c r="DK60" i="2" s="1"/>
  <c r="DD60" i="2"/>
  <c r="DC60" i="2"/>
  <c r="DB60" i="2"/>
  <c r="BE64" i="2"/>
  <c r="BC64" i="2"/>
  <c r="AZ64" i="2"/>
  <c r="BF11" i="2"/>
  <c r="DH11" i="2"/>
  <c r="DF12" i="2"/>
  <c r="BE13" i="2"/>
  <c r="BC13" i="2"/>
  <c r="DH13" i="2"/>
  <c r="BF14" i="2"/>
  <c r="AY17" i="2"/>
  <c r="CZ17" i="2"/>
  <c r="DB19" i="2"/>
  <c r="AW21" i="2"/>
  <c r="DA22" i="2"/>
  <c r="DJ22" i="2" s="1"/>
  <c r="DA25" i="2"/>
  <c r="DJ25" i="2" s="1"/>
  <c r="BF31" i="2"/>
  <c r="BG33" i="2"/>
  <c r="AV33" i="2"/>
  <c r="BF34" i="2"/>
  <c r="DH36" i="2"/>
  <c r="DG36" i="2"/>
  <c r="DF36" i="2"/>
  <c r="DE36" i="2"/>
  <c r="DK36" i="2" s="1"/>
  <c r="DD36" i="2"/>
  <c r="DC36" i="2"/>
  <c r="DB36" i="2"/>
  <c r="DA36" i="2"/>
  <c r="DJ36" i="2" s="1"/>
  <c r="CY36" i="2"/>
  <c r="CX36" i="2"/>
  <c r="DI39" i="2"/>
  <c r="DL39" i="2" s="1"/>
  <c r="DH39" i="2"/>
  <c r="DG39" i="2"/>
  <c r="DF39" i="2"/>
  <c r="DE39" i="2"/>
  <c r="DK39" i="2" s="1"/>
  <c r="DD39" i="2"/>
  <c r="DB39" i="2"/>
  <c r="DA39" i="2"/>
  <c r="DJ39" i="2" s="1"/>
  <c r="CZ39" i="2"/>
  <c r="CY39" i="2"/>
  <c r="CX39" i="2"/>
  <c r="BE41" i="2"/>
  <c r="BC41" i="2"/>
  <c r="BC43" i="2"/>
  <c r="BD49" i="2"/>
  <c r="CX58" i="2"/>
  <c r="DI58" i="2"/>
  <c r="DL58" i="2" s="1"/>
  <c r="DH58" i="2"/>
  <c r="DG58" i="2"/>
  <c r="DF58" i="2"/>
  <c r="DE58" i="2"/>
  <c r="DK58" i="2" s="1"/>
  <c r="DD58" i="2"/>
  <c r="DC58" i="2"/>
  <c r="DB58" i="2"/>
  <c r="DA58" i="2"/>
  <c r="DJ58" i="2" s="1"/>
  <c r="CZ58" i="2"/>
  <c r="BD12" i="2"/>
  <c r="DG12" i="2"/>
  <c r="BG15" i="2"/>
  <c r="BC21" i="2"/>
  <c r="DB25" i="2"/>
  <c r="AZ26" i="2"/>
  <c r="AY26" i="2"/>
  <c r="BE26" i="2"/>
  <c r="CX26" i="2"/>
  <c r="DI26" i="2"/>
  <c r="DL26" i="2" s="1"/>
  <c r="DG26" i="2"/>
  <c r="DD26" i="2"/>
  <c r="DA26" i="2"/>
  <c r="DJ26" i="2" s="1"/>
  <c r="CZ26" i="2"/>
  <c r="AV27" i="2"/>
  <c r="CY42" i="2"/>
  <c r="BF43" i="2"/>
  <c r="DC47" i="2"/>
  <c r="DB47" i="2"/>
  <c r="DA47" i="2"/>
  <c r="DJ47" i="2" s="1"/>
  <c r="CZ47" i="2"/>
  <c r="CY47" i="2"/>
  <c r="CX47" i="2"/>
  <c r="DI47" i="2"/>
  <c r="DL47" i="2" s="1"/>
  <c r="DH47" i="2"/>
  <c r="DG47" i="2"/>
  <c r="DF47" i="2"/>
  <c r="DE47" i="2"/>
  <c r="DK47" i="2" s="1"/>
  <c r="BG63" i="2"/>
  <c r="BD91" i="2"/>
  <c r="AY91" i="2"/>
  <c r="AX91" i="2"/>
  <c r="CX10" i="2"/>
  <c r="DA10" i="2"/>
  <c r="DJ10" i="2" s="1"/>
  <c r="AZ12" i="2"/>
  <c r="DH12" i="2"/>
  <c r="CX16" i="2"/>
  <c r="DB17" i="2"/>
  <c r="DD19" i="2"/>
  <c r="DD22" i="2"/>
  <c r="CZ24" i="2"/>
  <c r="AZ25" i="2"/>
  <c r="DD25" i="2"/>
  <c r="DA28" i="2"/>
  <c r="DJ28" i="2" s="1"/>
  <c r="BE29" i="2"/>
  <c r="BC29" i="2"/>
  <c r="AY29" i="2"/>
  <c r="BF49" i="2"/>
  <c r="BC49" i="2"/>
  <c r="DH52" i="2"/>
  <c r="DG52" i="2"/>
  <c r="DF52" i="2"/>
  <c r="DE52" i="2"/>
  <c r="DK52" i="2" s="1"/>
  <c r="DD52" i="2"/>
  <c r="DC52" i="2"/>
  <c r="DB52" i="2"/>
  <c r="DA52" i="2"/>
  <c r="DJ52" i="2" s="1"/>
  <c r="CZ52" i="2"/>
  <c r="CY52" i="2"/>
  <c r="CX52" i="2"/>
  <c r="DE65" i="2"/>
  <c r="DK65" i="2" s="1"/>
  <c r="DD65" i="2"/>
  <c r="DC65" i="2"/>
  <c r="DB65" i="2"/>
  <c r="DA65" i="2"/>
  <c r="DJ65" i="2" s="1"/>
  <c r="CZ65" i="2"/>
  <c r="CY65" i="2"/>
  <c r="CX65" i="2"/>
  <c r="DI65" i="2"/>
  <c r="DL65" i="2" s="1"/>
  <c r="DH65" i="2"/>
  <c r="DG65" i="2"/>
  <c r="CX9" i="2"/>
  <c r="CY16" i="2"/>
  <c r="DD17" i="2"/>
  <c r="BD19" i="2"/>
  <c r="AY19" i="2"/>
  <c r="AW19" i="2" s="1"/>
  <c r="DF19" i="2"/>
  <c r="DF22" i="2"/>
  <c r="DE25" i="2"/>
  <c r="DK25" i="2" s="1"/>
  <c r="DD28" i="2"/>
  <c r="DA29" i="2"/>
  <c r="DJ29" i="2" s="1"/>
  <c r="CZ29" i="2"/>
  <c r="CY29" i="2"/>
  <c r="DG29" i="2"/>
  <c r="DD29" i="2"/>
  <c r="DC29" i="2"/>
  <c r="CX34" i="2"/>
  <c r="BE40" i="2"/>
  <c r="CX42" i="2"/>
  <c r="DI42" i="2"/>
  <c r="DL42" i="2" s="1"/>
  <c r="DH42" i="2"/>
  <c r="DG42" i="2"/>
  <c r="DE42" i="2"/>
  <c r="DK42" i="2" s="1"/>
  <c r="DD42" i="2"/>
  <c r="DC42" i="2"/>
  <c r="DB42" i="2"/>
  <c r="DA42" i="2"/>
  <c r="DJ42" i="2" s="1"/>
  <c r="CZ42" i="2"/>
  <c r="DC75" i="2"/>
  <c r="DI75" i="2"/>
  <c r="DL75" i="2" s="1"/>
  <c r="DH75" i="2"/>
  <c r="DG75" i="2"/>
  <c r="DF75" i="2"/>
  <c r="DE75" i="2"/>
  <c r="DK75" i="2" s="1"/>
  <c r="DD75" i="2"/>
  <c r="DB75" i="2"/>
  <c r="DA75" i="2"/>
  <c r="DJ75" i="2" s="1"/>
  <c r="CZ75" i="2"/>
  <c r="CY75" i="2"/>
  <c r="CX75" i="2"/>
  <c r="CX94" i="2"/>
  <c r="DH94" i="2"/>
  <c r="DF94" i="2"/>
  <c r="DE94" i="2"/>
  <c r="DK94" i="2" s="1"/>
  <c r="DD94" i="2"/>
  <c r="DC94" i="2"/>
  <c r="DB94" i="2"/>
  <c r="DA94" i="2"/>
  <c r="DJ94" i="2" s="1"/>
  <c r="CZ94" i="2"/>
  <c r="DI94" i="2"/>
  <c r="DL94" i="2" s="1"/>
  <c r="DG94" i="2"/>
  <c r="CY94" i="2"/>
  <c r="CY9" i="2"/>
  <c r="AV13" i="2"/>
  <c r="CZ16" i="2"/>
  <c r="CY20" i="2"/>
  <c r="BD22" i="2"/>
  <c r="AY22" i="2"/>
  <c r="AX22" i="2"/>
  <c r="AY24" i="2"/>
  <c r="CZ34" i="2"/>
  <c r="CY71" i="2"/>
  <c r="DI71" i="2"/>
  <c r="DL71" i="2" s="1"/>
  <c r="DH71" i="2"/>
  <c r="DG71" i="2"/>
  <c r="DF71" i="2"/>
  <c r="DE71" i="2"/>
  <c r="DK71" i="2" s="1"/>
  <c r="DD71" i="2"/>
  <c r="DC71" i="2"/>
  <c r="DB71" i="2"/>
  <c r="DA71" i="2"/>
  <c r="DJ71" i="2" s="1"/>
  <c r="CZ71" i="2"/>
  <c r="CX71" i="2"/>
  <c r="BF77" i="2"/>
  <c r="BE77" i="2"/>
  <c r="CY79" i="2"/>
  <c r="DI79" i="2"/>
  <c r="DL79" i="2" s="1"/>
  <c r="DG79" i="2"/>
  <c r="DE79" i="2"/>
  <c r="DK79" i="2" s="1"/>
  <c r="DA79" i="2"/>
  <c r="DJ79" i="2" s="1"/>
  <c r="DH79" i="2"/>
  <c r="DF79" i="2"/>
  <c r="DD79" i="2"/>
  <c r="DC79" i="2"/>
  <c r="DB79" i="2"/>
  <c r="CZ79" i="2"/>
  <c r="CX79" i="2"/>
  <c r="CZ80" i="2"/>
  <c r="DH80" i="2"/>
  <c r="DF80" i="2"/>
  <c r="DB80" i="2"/>
  <c r="DI80" i="2"/>
  <c r="DL80" i="2" s="1"/>
  <c r="DG80" i="2"/>
  <c r="DE80" i="2"/>
  <c r="DK80" i="2" s="1"/>
  <c r="DD80" i="2"/>
  <c r="DC80" i="2"/>
  <c r="DA80" i="2"/>
  <c r="DJ80" i="2" s="1"/>
  <c r="CY80" i="2"/>
  <c r="CX80" i="2"/>
  <c r="DA13" i="2"/>
  <c r="DJ13" i="2" s="1"/>
  <c r="CY13" i="2"/>
  <c r="DD13" i="2"/>
  <c r="CZ20" i="2"/>
  <c r="BD24" i="2"/>
  <c r="AY25" i="2"/>
  <c r="AX25" i="2"/>
  <c r="BD25" i="2"/>
  <c r="BE39" i="2"/>
  <c r="DI40" i="2"/>
  <c r="DL40" i="2" s="1"/>
  <c r="DH40" i="2"/>
  <c r="DG40" i="2"/>
  <c r="DF40" i="2"/>
  <c r="DE40" i="2"/>
  <c r="DK40" i="2" s="1"/>
  <c r="DC40" i="2"/>
  <c r="DB40" i="2"/>
  <c r="DA40" i="2"/>
  <c r="DJ40" i="2" s="1"/>
  <c r="CZ40" i="2"/>
  <c r="CY40" i="2"/>
  <c r="CX40" i="2"/>
  <c r="BC42" i="2"/>
  <c r="AW58" i="2"/>
  <c r="BE72" i="2"/>
  <c r="CY11" i="2"/>
  <c r="DB11" i="2"/>
  <c r="BG12" i="2"/>
  <c r="AZ17" i="2"/>
  <c r="BC25" i="2"/>
  <c r="BD29" i="2"/>
  <c r="AV29" i="2"/>
  <c r="BG29" i="2"/>
  <c r="BD47" i="2"/>
  <c r="AY47" i="2"/>
  <c r="AX47" i="2"/>
  <c r="DG66" i="2"/>
  <c r="DF66" i="2"/>
  <c r="DE66" i="2"/>
  <c r="DK66" i="2" s="1"/>
  <c r="DD66" i="2"/>
  <c r="DC66" i="2"/>
  <c r="DB66" i="2"/>
  <c r="DA66" i="2"/>
  <c r="DJ66" i="2" s="1"/>
  <c r="CZ66" i="2"/>
  <c r="CY66" i="2"/>
  <c r="CX66" i="2"/>
  <c r="DI66" i="2"/>
  <c r="DL66" i="2" s="1"/>
  <c r="CZ12" i="2"/>
  <c r="CX12" i="2"/>
  <c r="DC12" i="2"/>
  <c r="AY23" i="2"/>
  <c r="AW23" i="2" s="1"/>
  <c r="DF34" i="2"/>
  <c r="DE34" i="2"/>
  <c r="DK34" i="2" s="1"/>
  <c r="DD34" i="2"/>
  <c r="DC34" i="2"/>
  <c r="DB34" i="2"/>
  <c r="DA34" i="2"/>
  <c r="DJ34" i="2" s="1"/>
  <c r="CY34" i="2"/>
  <c r="DI34" i="2"/>
  <c r="DL34" i="2" s="1"/>
  <c r="DH34" i="2"/>
  <c r="DC63" i="2"/>
  <c r="DB63" i="2"/>
  <c r="DA63" i="2"/>
  <c r="DJ63" i="2" s="1"/>
  <c r="CZ63" i="2"/>
  <c r="CY63" i="2"/>
  <c r="CX63" i="2"/>
  <c r="DI63" i="2"/>
  <c r="DL63" i="2" s="1"/>
  <c r="DH63" i="2"/>
  <c r="DG63" i="2"/>
  <c r="DF63" i="2"/>
  <c r="DE63" i="2"/>
  <c r="DK63" i="2" s="1"/>
  <c r="CX11" i="2"/>
  <c r="AW14" i="2"/>
  <c r="AZ15" i="2"/>
  <c r="DE17" i="2"/>
  <c r="DK17" i="2" s="1"/>
  <c r="DC17" i="2"/>
  <c r="CX17" i="2"/>
  <c r="DH17" i="2"/>
  <c r="DG17" i="2"/>
  <c r="AV19" i="2"/>
  <c r="DG19" i="2"/>
  <c r="DE19" i="2"/>
  <c r="DK19" i="2" s="1"/>
  <c r="CZ19" i="2"/>
  <c r="DI19" i="2"/>
  <c r="DL19" i="2" s="1"/>
  <c r="DD20" i="2"/>
  <c r="DH22" i="2"/>
  <c r="DE22" i="2"/>
  <c r="DK22" i="2" s="1"/>
  <c r="DC22" i="2"/>
  <c r="CZ22" i="2"/>
  <c r="BE23" i="2"/>
  <c r="AZ23" i="2"/>
  <c r="DH25" i="2"/>
  <c r="DF25" i="2"/>
  <c r="DC25" i="2"/>
  <c r="CZ25" i="2"/>
  <c r="CY25" i="2"/>
  <c r="AX27" i="2"/>
  <c r="BD28" i="2"/>
  <c r="AX28" i="2"/>
  <c r="CZ28" i="2"/>
  <c r="CY28" i="2"/>
  <c r="CX28" i="2"/>
  <c r="DI28" i="2"/>
  <c r="DL28" i="2" s="1"/>
  <c r="DF28" i="2"/>
  <c r="DC28" i="2"/>
  <c r="DB28" i="2"/>
  <c r="DC31" i="2"/>
  <c r="DB31" i="2"/>
  <c r="DA31" i="2"/>
  <c r="DJ31" i="2" s="1"/>
  <c r="CY31" i="2"/>
  <c r="CX31" i="2"/>
  <c r="DI31" i="2"/>
  <c r="DL31" i="2" s="1"/>
  <c r="DF31" i="2"/>
  <c r="DE31" i="2"/>
  <c r="DK31" i="2" s="1"/>
  <c r="AW32" i="2"/>
  <c r="AW33" i="2"/>
  <c r="DE33" i="2"/>
  <c r="DK33" i="2" s="1"/>
  <c r="DD33" i="2"/>
  <c r="DC33" i="2"/>
  <c r="DB33" i="2"/>
  <c r="DA33" i="2"/>
  <c r="DJ33" i="2" s="1"/>
  <c r="CZ33" i="2"/>
  <c r="CX33" i="2"/>
  <c r="DH33" i="2"/>
  <c r="DG33" i="2"/>
  <c r="CZ44" i="2"/>
  <c r="CY44" i="2"/>
  <c r="CX44" i="2"/>
  <c r="DI44" i="2"/>
  <c r="DL44" i="2" s="1"/>
  <c r="DH44" i="2"/>
  <c r="DG44" i="2"/>
  <c r="DF44" i="2"/>
  <c r="DE44" i="2"/>
  <c r="DK44" i="2" s="1"/>
  <c r="DD44" i="2"/>
  <c r="DC44" i="2"/>
  <c r="DB44" i="2"/>
  <c r="AY48" i="2"/>
  <c r="DI55" i="2"/>
  <c r="DL55" i="2" s="1"/>
  <c r="DH55" i="2"/>
  <c r="DG55" i="2"/>
  <c r="DF55" i="2"/>
  <c r="DE55" i="2"/>
  <c r="DK55" i="2" s="1"/>
  <c r="DD55" i="2"/>
  <c r="DC55" i="2"/>
  <c r="DB55" i="2"/>
  <c r="DA55" i="2"/>
  <c r="DJ55" i="2" s="1"/>
  <c r="CZ55" i="2"/>
  <c r="CY55" i="2"/>
  <c r="CX55" i="2"/>
  <c r="AY9" i="2"/>
  <c r="BD9" i="2"/>
  <c r="DE9" i="2"/>
  <c r="DK9" i="2" s="1"/>
  <c r="BD10" i="2"/>
  <c r="DC10" i="2"/>
  <c r="AX11" i="2"/>
  <c r="CZ11" i="2"/>
  <c r="CX13" i="2"/>
  <c r="AY14" i="2"/>
  <c r="BC15" i="2"/>
  <c r="DH16" i="2"/>
  <c r="BE18" i="2"/>
  <c r="BG20" i="2"/>
  <c r="DE20" i="2"/>
  <c r="DK20" i="2" s="1"/>
  <c r="AV22" i="2"/>
  <c r="BG22" i="2"/>
  <c r="BC24" i="2"/>
  <c r="DG24" i="2"/>
  <c r="DE24" i="2"/>
  <c r="DK24" i="2" s="1"/>
  <c r="DB24" i="2"/>
  <c r="CY24" i="2"/>
  <c r="CX24" i="2"/>
  <c r="BC28" i="2"/>
  <c r="AZ28" i="2"/>
  <c r="AW30" i="2"/>
  <c r="BG36" i="2"/>
  <c r="AV36" i="2"/>
  <c r="CX41" i="2"/>
  <c r="BE48" i="2"/>
  <c r="BC48" i="2"/>
  <c r="AZ48" i="2"/>
  <c r="DI56" i="2"/>
  <c r="DL56" i="2" s="1"/>
  <c r="DH56" i="2"/>
  <c r="DG56" i="2"/>
  <c r="DF56" i="2"/>
  <c r="DE56" i="2"/>
  <c r="DK56" i="2" s="1"/>
  <c r="DD56" i="2"/>
  <c r="DC56" i="2"/>
  <c r="DB56" i="2"/>
  <c r="DA56" i="2"/>
  <c r="DJ56" i="2" s="1"/>
  <c r="CZ56" i="2"/>
  <c r="CY56" i="2"/>
  <c r="CX56" i="2"/>
  <c r="BF65" i="2"/>
  <c r="BC65" i="2"/>
  <c r="DI67" i="2"/>
  <c r="DL67" i="2" s="1"/>
  <c r="DH67" i="2"/>
  <c r="DG67" i="2"/>
  <c r="DF67" i="2"/>
  <c r="DE67" i="2"/>
  <c r="DK67" i="2" s="1"/>
  <c r="DD67" i="2"/>
  <c r="DC67" i="2"/>
  <c r="DB67" i="2"/>
  <c r="DA67" i="2"/>
  <c r="DJ67" i="2" s="1"/>
  <c r="CZ67" i="2"/>
  <c r="CY67" i="2"/>
  <c r="CX67" i="2"/>
  <c r="BE75" i="2"/>
  <c r="AZ24" i="2"/>
  <c r="BD26" i="2"/>
  <c r="BE27" i="2"/>
  <c r="DA27" i="2"/>
  <c r="DJ27" i="2" s="1"/>
  <c r="DD30" i="2"/>
  <c r="DI35" i="2"/>
  <c r="DL35" i="2" s="1"/>
  <c r="AX38" i="2"/>
  <c r="AZ40" i="2"/>
  <c r="BD42" i="2"/>
  <c r="BE43" i="2"/>
  <c r="DA43" i="2"/>
  <c r="DJ43" i="2" s="1"/>
  <c r="BG45" i="2"/>
  <c r="DC45" i="2"/>
  <c r="DD46" i="2"/>
  <c r="DF48" i="2"/>
  <c r="DH50" i="2"/>
  <c r="DI51" i="2"/>
  <c r="DL51" i="2" s="1"/>
  <c r="AX54" i="2"/>
  <c r="AZ56" i="2"/>
  <c r="BC57" i="2"/>
  <c r="BD58" i="2"/>
  <c r="BE59" i="2"/>
  <c r="DA59" i="2"/>
  <c r="DJ59" i="2" s="1"/>
  <c r="BG61" i="2"/>
  <c r="DC61" i="2"/>
  <c r="DD62" i="2"/>
  <c r="DF64" i="2"/>
  <c r="AV66" i="2"/>
  <c r="BG68" i="2"/>
  <c r="DH69" i="2"/>
  <c r="BC70" i="2"/>
  <c r="DF72" i="2"/>
  <c r="BG73" i="2"/>
  <c r="DD73" i="2"/>
  <c r="CZ74" i="2"/>
  <c r="BD78" i="2"/>
  <c r="AX79" i="2"/>
  <c r="BD81" i="2"/>
  <c r="AV82" i="2"/>
  <c r="BG83" i="2"/>
  <c r="DF85" i="2"/>
  <c r="BE90" i="2"/>
  <c r="BC90" i="2"/>
  <c r="AZ90" i="2"/>
  <c r="AY90" i="2"/>
  <c r="BE91" i="2"/>
  <c r="DF93" i="2"/>
  <c r="AV101" i="2"/>
  <c r="BD104" i="2"/>
  <c r="DI106" i="2"/>
  <c r="DL106" i="2" s="1"/>
  <c r="DH106" i="2"/>
  <c r="DG106" i="2"/>
  <c r="DF106" i="2"/>
  <c r="DE106" i="2"/>
  <c r="DK106" i="2" s="1"/>
  <c r="DD106" i="2"/>
  <c r="DC106" i="2"/>
  <c r="DB106" i="2"/>
  <c r="DA106" i="2"/>
  <c r="DJ106" i="2" s="1"/>
  <c r="CZ106" i="2"/>
  <c r="CY106" i="2"/>
  <c r="CX106" i="2"/>
  <c r="AW108" i="2"/>
  <c r="BF117" i="2"/>
  <c r="BD117" i="2"/>
  <c r="BC117" i="2"/>
  <c r="DB27" i="2"/>
  <c r="DE30" i="2"/>
  <c r="DK30" i="2" s="1"/>
  <c r="AY38" i="2"/>
  <c r="AZ39" i="2"/>
  <c r="AW39" i="2" s="1"/>
  <c r="BD41" i="2"/>
  <c r="BE42" i="2"/>
  <c r="DB43" i="2"/>
  <c r="DD45" i="2"/>
  <c r="DE46" i="2"/>
  <c r="DK46" i="2" s="1"/>
  <c r="DG48" i="2"/>
  <c r="DI50" i="2"/>
  <c r="DL50" i="2" s="1"/>
  <c r="AY54" i="2"/>
  <c r="AZ55" i="2"/>
  <c r="BD57" i="2"/>
  <c r="BE58" i="2"/>
  <c r="DB59" i="2"/>
  <c r="DD61" i="2"/>
  <c r="DE62" i="2"/>
  <c r="DK62" i="2" s="1"/>
  <c r="DG64" i="2"/>
  <c r="AY474" i="2"/>
  <c r="AX68" i="2"/>
  <c r="DI69" i="2"/>
  <c r="DL69" i="2" s="1"/>
  <c r="DG72" i="2"/>
  <c r="DE73" i="2"/>
  <c r="DK73" i="2" s="1"/>
  <c r="BD74" i="2"/>
  <c r="DA74" i="2"/>
  <c r="DJ74" i="2" s="1"/>
  <c r="AX75" i="2"/>
  <c r="AV76" i="2"/>
  <c r="CX77" i="2"/>
  <c r="AY79" i="2"/>
  <c r="BF81" i="2"/>
  <c r="BE85" i="2"/>
  <c r="AY85" i="2"/>
  <c r="AX85" i="2"/>
  <c r="AV88" i="2"/>
  <c r="BF90" i="2"/>
  <c r="BE108" i="2"/>
  <c r="CX110" i="2"/>
  <c r="DI110" i="2"/>
  <c r="DL110" i="2" s="1"/>
  <c r="DH110" i="2"/>
  <c r="DG110" i="2"/>
  <c r="DF110" i="2"/>
  <c r="DE110" i="2"/>
  <c r="DK110" i="2" s="1"/>
  <c r="DD110" i="2"/>
  <c r="DC110" i="2"/>
  <c r="DB110" i="2"/>
  <c r="DA110" i="2"/>
  <c r="DJ110" i="2" s="1"/>
  <c r="CZ110" i="2"/>
  <c r="DI121" i="2"/>
  <c r="DL121" i="2" s="1"/>
  <c r="DH121" i="2"/>
  <c r="DG121" i="2"/>
  <c r="DF121" i="2"/>
  <c r="DE121" i="2"/>
  <c r="DK121" i="2" s="1"/>
  <c r="DD121" i="2"/>
  <c r="DC121" i="2"/>
  <c r="DB121" i="2"/>
  <c r="DA121" i="2"/>
  <c r="DJ121" i="2" s="1"/>
  <c r="CZ121" i="2"/>
  <c r="CY121" i="2"/>
  <c r="CX121" i="2"/>
  <c r="DI125" i="2"/>
  <c r="DL125" i="2" s="1"/>
  <c r="DH125" i="2"/>
  <c r="DG125" i="2"/>
  <c r="DF125" i="2"/>
  <c r="DE125" i="2"/>
  <c r="DK125" i="2" s="1"/>
  <c r="DD125" i="2"/>
  <c r="DC125" i="2"/>
  <c r="DB125" i="2"/>
  <c r="DA125" i="2"/>
  <c r="DJ125" i="2" s="1"/>
  <c r="CZ125" i="2"/>
  <c r="CY125" i="2"/>
  <c r="BF133" i="2"/>
  <c r="BD133" i="2"/>
  <c r="AV133" i="2"/>
  <c r="AY37" i="2"/>
  <c r="AW37" i="2" s="1"/>
  <c r="BC39" i="2"/>
  <c r="BG43" i="2"/>
  <c r="AY53" i="2"/>
  <c r="BC55" i="2"/>
  <c r="BD56" i="2"/>
  <c r="BG59" i="2"/>
  <c r="BD67" i="2"/>
  <c r="BE70" i="2"/>
  <c r="AV71" i="2"/>
  <c r="DF73" i="2"/>
  <c r="BE74" i="2"/>
  <c r="DC74" i="2"/>
  <c r="AZ75" i="2"/>
  <c r="CY76" i="2"/>
  <c r="BE99" i="2"/>
  <c r="BD99" i="2"/>
  <c r="AY99" i="2"/>
  <c r="AX99" i="2"/>
  <c r="DD100" i="2"/>
  <c r="DC100" i="2"/>
  <c r="DB100" i="2"/>
  <c r="DA100" i="2"/>
  <c r="DJ100" i="2" s="1"/>
  <c r="CZ100" i="2"/>
  <c r="CY100" i="2"/>
  <c r="CX100" i="2"/>
  <c r="DI100" i="2"/>
  <c r="DL100" i="2" s="1"/>
  <c r="DH100" i="2"/>
  <c r="DG100" i="2"/>
  <c r="DF100" i="2"/>
  <c r="DF118" i="2"/>
  <c r="DE118" i="2"/>
  <c r="DK118" i="2" s="1"/>
  <c r="DD118" i="2"/>
  <c r="DC118" i="2"/>
  <c r="DB118" i="2"/>
  <c r="DA118" i="2"/>
  <c r="DJ118" i="2" s="1"/>
  <c r="CZ118" i="2"/>
  <c r="CY118" i="2"/>
  <c r="CX118" i="2"/>
  <c r="DI118" i="2"/>
  <c r="DL118" i="2" s="1"/>
  <c r="DH118" i="2"/>
  <c r="DA135" i="2"/>
  <c r="DJ135" i="2" s="1"/>
  <c r="CX135" i="2"/>
  <c r="DI135" i="2"/>
  <c r="DL135" i="2" s="1"/>
  <c r="DH135" i="2"/>
  <c r="DG135" i="2"/>
  <c r="DF135" i="2"/>
  <c r="DE135" i="2"/>
  <c r="DK135" i="2" s="1"/>
  <c r="DD135" i="2"/>
  <c r="DC135" i="2"/>
  <c r="DB135" i="2"/>
  <c r="CZ135" i="2"/>
  <c r="CY135" i="2"/>
  <c r="AX35" i="2"/>
  <c r="AY36" i="2"/>
  <c r="AV49" i="2"/>
  <c r="AX51" i="2"/>
  <c r="AY52" i="2"/>
  <c r="AV65" i="2"/>
  <c r="AX66" i="2"/>
  <c r="DG73" i="2"/>
  <c r="DD74" i="2"/>
  <c r="BC75" i="2"/>
  <c r="CZ76" i="2"/>
  <c r="CX78" i="2"/>
  <c r="DH78" i="2"/>
  <c r="DF78" i="2"/>
  <c r="DD78" i="2"/>
  <c r="CZ78" i="2"/>
  <c r="BE81" i="2"/>
  <c r="DE85" i="2"/>
  <c r="DK85" i="2" s="1"/>
  <c r="DA85" i="2"/>
  <c r="DJ85" i="2" s="1"/>
  <c r="CY85" i="2"/>
  <c r="DI85" i="2"/>
  <c r="DL85" i="2" s="1"/>
  <c r="DG85" i="2"/>
  <c r="BG87" i="2"/>
  <c r="AY87" i="2"/>
  <c r="AX87" i="2"/>
  <c r="DI93" i="2"/>
  <c r="DL93" i="2" s="1"/>
  <c r="DG93" i="2"/>
  <c r="DE93" i="2"/>
  <c r="DK93" i="2" s="1"/>
  <c r="DD93" i="2"/>
  <c r="DC93" i="2"/>
  <c r="DB93" i="2"/>
  <c r="DA93" i="2"/>
  <c r="DJ93" i="2" s="1"/>
  <c r="CZ93" i="2"/>
  <c r="CY93" i="2"/>
  <c r="DI173" i="2"/>
  <c r="DL173" i="2" s="1"/>
  <c r="DH173" i="2"/>
  <c r="DG173" i="2"/>
  <c r="DF173" i="2"/>
  <c r="DE173" i="2"/>
  <c r="DK173" i="2" s="1"/>
  <c r="DD173" i="2"/>
  <c r="DC173" i="2"/>
  <c r="DB173" i="2"/>
  <c r="DA173" i="2"/>
  <c r="DJ173" i="2" s="1"/>
  <c r="CZ173" i="2"/>
  <c r="CY173" i="2"/>
  <c r="CX173" i="2"/>
  <c r="DE27" i="2"/>
  <c r="DK27" i="2" s="1"/>
  <c r="AY35" i="2"/>
  <c r="AZ36" i="2"/>
  <c r="CY37" i="2"/>
  <c r="CZ38" i="2"/>
  <c r="DE43" i="2"/>
  <c r="DK43" i="2" s="1"/>
  <c r="DG45" i="2"/>
  <c r="AV48" i="2"/>
  <c r="AY51" i="2"/>
  <c r="AZ52" i="2"/>
  <c r="CY53" i="2"/>
  <c r="CZ54" i="2"/>
  <c r="DE59" i="2"/>
  <c r="DK59" i="2" s="1"/>
  <c r="DG61" i="2"/>
  <c r="AV64" i="2"/>
  <c r="AY66" i="2"/>
  <c r="AX71" i="2"/>
  <c r="DE74" i="2"/>
  <c r="DK74" i="2" s="1"/>
  <c r="DA76" i="2"/>
  <c r="DJ76" i="2" s="1"/>
  <c r="DB77" i="2"/>
  <c r="BE87" i="2"/>
  <c r="BC87" i="2"/>
  <c r="AZ87" i="2"/>
  <c r="AV91" i="2"/>
  <c r="BG91" i="2"/>
  <c r="BD120" i="2"/>
  <c r="DI122" i="2"/>
  <c r="DL122" i="2" s="1"/>
  <c r="DH122" i="2"/>
  <c r="DG122" i="2"/>
  <c r="DF122" i="2"/>
  <c r="DE122" i="2"/>
  <c r="DK122" i="2" s="1"/>
  <c r="DD122" i="2"/>
  <c r="DC122" i="2"/>
  <c r="DB122" i="2"/>
  <c r="DA122" i="2"/>
  <c r="DJ122" i="2" s="1"/>
  <c r="CZ122" i="2"/>
  <c r="CY122" i="2"/>
  <c r="CX122" i="2"/>
  <c r="AW124" i="2"/>
  <c r="BC36" i="2"/>
  <c r="CZ37" i="2"/>
  <c r="BG40" i="2"/>
  <c r="AW48" i="2"/>
  <c r="AX49" i="2"/>
  <c r="AY50" i="2"/>
  <c r="BC52" i="2"/>
  <c r="CZ53" i="2"/>
  <c r="DA54" i="2"/>
  <c r="DJ54" i="2" s="1"/>
  <c r="BG56" i="2"/>
  <c r="AV63" i="2"/>
  <c r="AX65" i="2"/>
  <c r="BG67" i="2"/>
  <c r="AY71" i="2"/>
  <c r="DF74" i="2"/>
  <c r="BD76" i="2"/>
  <c r="DC76" i="2"/>
  <c r="DD77" i="2"/>
  <c r="CY82" i="2"/>
  <c r="CX83" i="2"/>
  <c r="AY93" i="2"/>
  <c r="CY95" i="2"/>
  <c r="CX95" i="2"/>
  <c r="DI95" i="2"/>
  <c r="DL95" i="2" s="1"/>
  <c r="DH95" i="2"/>
  <c r="DG95" i="2"/>
  <c r="DF95" i="2"/>
  <c r="DE95" i="2"/>
  <c r="DK95" i="2" s="1"/>
  <c r="DD95" i="2"/>
  <c r="DC95" i="2"/>
  <c r="DB95" i="2"/>
  <c r="DA95" i="2"/>
  <c r="DJ95" i="2" s="1"/>
  <c r="BG104" i="2"/>
  <c r="AV104" i="2"/>
  <c r="BE115" i="2"/>
  <c r="BD115" i="2"/>
  <c r="AY115" i="2"/>
  <c r="AX115" i="2"/>
  <c r="DD116" i="2"/>
  <c r="DC116" i="2"/>
  <c r="DB116" i="2"/>
  <c r="DA116" i="2"/>
  <c r="DJ116" i="2" s="1"/>
  <c r="CZ116" i="2"/>
  <c r="CY116" i="2"/>
  <c r="CX116" i="2"/>
  <c r="DI116" i="2"/>
  <c r="DL116" i="2" s="1"/>
  <c r="DH116" i="2"/>
  <c r="DG116" i="2"/>
  <c r="DF116" i="2"/>
  <c r="BE124" i="2"/>
  <c r="CX126" i="2"/>
  <c r="DI126" i="2"/>
  <c r="DL126" i="2" s="1"/>
  <c r="DH126" i="2"/>
  <c r="DG126" i="2"/>
  <c r="DF126" i="2"/>
  <c r="DE126" i="2"/>
  <c r="DK126" i="2" s="1"/>
  <c r="DD126" i="2"/>
  <c r="DC126" i="2"/>
  <c r="DB126" i="2"/>
  <c r="DA126" i="2"/>
  <c r="DJ126" i="2" s="1"/>
  <c r="CZ126" i="2"/>
  <c r="DH136" i="2"/>
  <c r="DB136" i="2"/>
  <c r="CY136" i="2"/>
  <c r="DI136" i="2"/>
  <c r="DL136" i="2" s="1"/>
  <c r="DG136" i="2"/>
  <c r="DF136" i="2"/>
  <c r="DE136" i="2"/>
  <c r="DK136" i="2" s="1"/>
  <c r="DD136" i="2"/>
  <c r="DC136" i="2"/>
  <c r="DA136" i="2"/>
  <c r="DJ136" i="2" s="1"/>
  <c r="CZ136" i="2"/>
  <c r="DH72" i="2"/>
  <c r="CZ72" i="2"/>
  <c r="BF74" i="2"/>
  <c r="DG74" i="2"/>
  <c r="DE76" i="2"/>
  <c r="DK76" i="2" s="1"/>
  <c r="CZ82" i="2"/>
  <c r="AX83" i="2"/>
  <c r="AV85" i="2"/>
  <c r="CY86" i="2"/>
  <c r="DA88" i="2"/>
  <c r="DJ88" i="2" s="1"/>
  <c r="BF102" i="2"/>
  <c r="BC102" i="2"/>
  <c r="DH27" i="2"/>
  <c r="BC34" i="2"/>
  <c r="BD35" i="2"/>
  <c r="CZ35" i="2"/>
  <c r="DB37" i="2"/>
  <c r="BG38" i="2"/>
  <c r="DC38" i="2"/>
  <c r="DH43" i="2"/>
  <c r="AV45" i="2"/>
  <c r="BC50" i="2"/>
  <c r="CY50" i="2"/>
  <c r="BD51" i="2"/>
  <c r="CZ51" i="2"/>
  <c r="DB53" i="2"/>
  <c r="BG54" i="2"/>
  <c r="DC54" i="2"/>
  <c r="DH59" i="2"/>
  <c r="AV61" i="2"/>
  <c r="AW62" i="2"/>
  <c r="BD66" i="2"/>
  <c r="BC69" i="2"/>
  <c r="CY69" i="2"/>
  <c r="BD71" i="2"/>
  <c r="DH74" i="2"/>
  <c r="AY75" i="2"/>
  <c r="DF76" i="2"/>
  <c r="AY77" i="2"/>
  <c r="AW77" i="2" s="1"/>
  <c r="DG77" i="2"/>
  <c r="BC79" i="2"/>
  <c r="AY80" i="2"/>
  <c r="BG81" i="2"/>
  <c r="DA81" i="2"/>
  <c r="DJ81" i="2" s="1"/>
  <c r="DI81" i="2"/>
  <c r="DL81" i="2" s="1"/>
  <c r="DG81" i="2"/>
  <c r="DC81" i="2"/>
  <c r="BC82" i="2"/>
  <c r="DA82" i="2"/>
  <c r="DJ82" i="2" s="1"/>
  <c r="DA83" i="2"/>
  <c r="DJ83" i="2" s="1"/>
  <c r="AW84" i="2"/>
  <c r="DD84" i="2"/>
  <c r="CZ84" i="2"/>
  <c r="CX84" i="2"/>
  <c r="DI84" i="2"/>
  <c r="DL84" i="2" s="1"/>
  <c r="DH84" i="2"/>
  <c r="DF84" i="2"/>
  <c r="DA86" i="2"/>
  <c r="DJ86" i="2" s="1"/>
  <c r="DC88" i="2"/>
  <c r="AV93" i="2"/>
  <c r="BF93" i="2"/>
  <c r="AV94" i="2"/>
  <c r="BG94" i="2"/>
  <c r="AW95" i="2"/>
  <c r="BG99" i="2"/>
  <c r="BF106" i="2"/>
  <c r="CY111" i="2"/>
  <c r="CX111" i="2"/>
  <c r="DI111" i="2"/>
  <c r="DL111" i="2" s="1"/>
  <c r="DH111" i="2"/>
  <c r="DG111" i="2"/>
  <c r="DF111" i="2"/>
  <c r="DE111" i="2"/>
  <c r="DK111" i="2" s="1"/>
  <c r="DD111" i="2"/>
  <c r="DC111" i="2"/>
  <c r="DB111" i="2"/>
  <c r="DA111" i="2"/>
  <c r="DJ111" i="2" s="1"/>
  <c r="CZ50" i="2"/>
  <c r="BE66" i="2"/>
  <c r="AV68" i="2"/>
  <c r="CZ69" i="2"/>
  <c r="BE71" i="2"/>
  <c r="DI73" i="2"/>
  <c r="DL73" i="2" s="1"/>
  <c r="DA73" i="2"/>
  <c r="DJ73" i="2" s="1"/>
  <c r="DI74" i="2"/>
  <c r="DL74" i="2" s="1"/>
  <c r="BC77" i="2"/>
  <c r="AZ80" i="2"/>
  <c r="BD82" i="2"/>
  <c r="DC82" i="2"/>
  <c r="BD83" i="2"/>
  <c r="DB83" i="2"/>
  <c r="DC86" i="2"/>
  <c r="DE88" i="2"/>
  <c r="DK88" i="2" s="1"/>
  <c r="DB89" i="2"/>
  <c r="DI92" i="2"/>
  <c r="DL92" i="2" s="1"/>
  <c r="DH92" i="2"/>
  <c r="DF92" i="2"/>
  <c r="DD92" i="2"/>
  <c r="DC92" i="2"/>
  <c r="DB92" i="2"/>
  <c r="DA92" i="2"/>
  <c r="DJ92" i="2" s="1"/>
  <c r="CZ92" i="2"/>
  <c r="CY92" i="2"/>
  <c r="CX92" i="2"/>
  <c r="BE100" i="2"/>
  <c r="BC100" i="2"/>
  <c r="AZ100" i="2"/>
  <c r="AY100" i="2"/>
  <c r="AW100" i="2" s="1"/>
  <c r="BC118" i="2"/>
  <c r="BD135" i="2"/>
  <c r="AZ31" i="2"/>
  <c r="AW31" i="2" s="1"/>
  <c r="DB35" i="2"/>
  <c r="DD37" i="2"/>
  <c r="DE38" i="2"/>
  <c r="DK38" i="2" s="1"/>
  <c r="AZ47" i="2"/>
  <c r="CY48" i="2"/>
  <c r="DA50" i="2"/>
  <c r="DJ50" i="2" s="1"/>
  <c r="DB51" i="2"/>
  <c r="DD53" i="2"/>
  <c r="DE54" i="2"/>
  <c r="DK54" i="2" s="1"/>
  <c r="AZ63" i="2"/>
  <c r="CY64" i="2"/>
  <c r="DA69" i="2"/>
  <c r="DJ69" i="2" s="1"/>
  <c r="CX72" i="2"/>
  <c r="AV73" i="2"/>
  <c r="AV74" i="2"/>
  <c r="AZ76" i="2"/>
  <c r="AW76" i="2" s="1"/>
  <c r="DH76" i="2"/>
  <c r="BC80" i="2"/>
  <c r="BE82" i="2"/>
  <c r="DE82" i="2"/>
  <c r="DK82" i="2" s="1"/>
  <c r="DD83" i="2"/>
  <c r="BC86" i="2"/>
  <c r="DD86" i="2"/>
  <c r="DF88" i="2"/>
  <c r="DD89" i="2"/>
  <c r="BG120" i="2"/>
  <c r="AV120" i="2"/>
  <c r="DC35" i="2"/>
  <c r="DE37" i="2"/>
  <c r="DK37" i="2" s="1"/>
  <c r="DF38" i="2"/>
  <c r="AX44" i="2"/>
  <c r="AY45" i="2"/>
  <c r="AZ46" i="2"/>
  <c r="AW46" i="2" s="1"/>
  <c r="BD48" i="2"/>
  <c r="CZ48" i="2"/>
  <c r="DB50" i="2"/>
  <c r="DC51" i="2"/>
  <c r="DE53" i="2"/>
  <c r="DK53" i="2" s="1"/>
  <c r="DF54" i="2"/>
  <c r="AX60" i="2"/>
  <c r="AY61" i="2"/>
  <c r="AZ62" i="2"/>
  <c r="BD64" i="2"/>
  <c r="CZ64" i="2"/>
  <c r="DB69" i="2"/>
  <c r="CY72" i="2"/>
  <c r="BF76" i="2"/>
  <c r="CY78" i="2"/>
  <c r="DF82" i="2"/>
  <c r="BE86" i="2"/>
  <c r="DE86" i="2"/>
  <c r="DK86" i="2" s="1"/>
  <c r="DF89" i="2"/>
  <c r="DE90" i="2"/>
  <c r="DK90" i="2" s="1"/>
  <c r="DB98" i="2"/>
  <c r="DA98" i="2"/>
  <c r="DJ98" i="2" s="1"/>
  <c r="CZ98" i="2"/>
  <c r="CY98" i="2"/>
  <c r="CX98" i="2"/>
  <c r="DI98" i="2"/>
  <c r="DL98" i="2" s="1"/>
  <c r="DH98" i="2"/>
  <c r="DG98" i="2"/>
  <c r="DF98" i="2"/>
  <c r="DE98" i="2"/>
  <c r="DK98" i="2" s="1"/>
  <c r="DD98" i="2"/>
  <c r="DI108" i="2"/>
  <c r="DL108" i="2" s="1"/>
  <c r="DH108" i="2"/>
  <c r="DG108" i="2"/>
  <c r="DF108" i="2"/>
  <c r="DE108" i="2"/>
  <c r="DK108" i="2" s="1"/>
  <c r="DD108" i="2"/>
  <c r="DC108" i="2"/>
  <c r="DB108" i="2"/>
  <c r="DA108" i="2"/>
  <c r="DJ108" i="2" s="1"/>
  <c r="CZ108" i="2"/>
  <c r="CY108" i="2"/>
  <c r="CX108" i="2"/>
  <c r="BG115" i="2"/>
  <c r="CY127" i="2"/>
  <c r="CX127" i="2"/>
  <c r="DI127" i="2"/>
  <c r="DL127" i="2" s="1"/>
  <c r="DH127" i="2"/>
  <c r="DG127" i="2"/>
  <c r="DF127" i="2"/>
  <c r="DE127" i="2"/>
  <c r="DK127" i="2" s="1"/>
  <c r="DD127" i="2"/>
  <c r="DC127" i="2"/>
  <c r="DB127" i="2"/>
  <c r="DA127" i="2"/>
  <c r="DJ127" i="2" s="1"/>
  <c r="CY133" i="2"/>
  <c r="DI133" i="2"/>
  <c r="DL133" i="2" s="1"/>
  <c r="DH133" i="2"/>
  <c r="DF133" i="2"/>
  <c r="DE133" i="2"/>
  <c r="DK133" i="2" s="1"/>
  <c r="DD133" i="2"/>
  <c r="DC133" i="2"/>
  <c r="DB133" i="2"/>
  <c r="DA133" i="2"/>
  <c r="DJ133" i="2" s="1"/>
  <c r="CZ133" i="2"/>
  <c r="CX133" i="2"/>
  <c r="BD137" i="2"/>
  <c r="AY137" i="2"/>
  <c r="AX137" i="2"/>
  <c r="BE137" i="2"/>
  <c r="AX43" i="2"/>
  <c r="AY44" i="2"/>
  <c r="AZ45" i="2"/>
  <c r="DA48" i="2"/>
  <c r="DJ48" i="2" s="1"/>
  <c r="DC50" i="2"/>
  <c r="AX59" i="2"/>
  <c r="AY60" i="2"/>
  <c r="AZ61" i="2"/>
  <c r="DC69" i="2"/>
  <c r="DG86" i="2"/>
  <c r="DH88" i="2"/>
  <c r="DG88" i="2"/>
  <c r="DD88" i="2"/>
  <c r="DB88" i="2"/>
  <c r="CZ88" i="2"/>
  <c r="CY88" i="2"/>
  <c r="CX88" i="2"/>
  <c r="DH104" i="2"/>
  <c r="DG104" i="2"/>
  <c r="DF104" i="2"/>
  <c r="DE104" i="2"/>
  <c r="DK104" i="2" s="1"/>
  <c r="DD104" i="2"/>
  <c r="DC104" i="2"/>
  <c r="DB104" i="2"/>
  <c r="DA104" i="2"/>
  <c r="DJ104" i="2" s="1"/>
  <c r="CZ104" i="2"/>
  <c r="CY104" i="2"/>
  <c r="CX104" i="2"/>
  <c r="BE116" i="2"/>
  <c r="BC116" i="2"/>
  <c r="AZ116" i="2"/>
  <c r="AW116" i="2" s="1"/>
  <c r="AY116" i="2"/>
  <c r="DI188" i="2"/>
  <c r="DL188" i="2" s="1"/>
  <c r="DH188" i="2"/>
  <c r="DG188" i="2"/>
  <c r="DF188" i="2"/>
  <c r="DE188" i="2"/>
  <c r="DK188" i="2" s="1"/>
  <c r="DD188" i="2"/>
  <c r="DC188" i="2"/>
  <c r="DB188" i="2"/>
  <c r="DA188" i="2"/>
  <c r="DJ188" i="2" s="1"/>
  <c r="CZ188" i="2"/>
  <c r="CY188" i="2"/>
  <c r="CX188" i="2"/>
  <c r="CZ30" i="2"/>
  <c r="DE35" i="2"/>
  <c r="DK35" i="2" s="1"/>
  <c r="DG37" i="2"/>
  <c r="AZ44" i="2"/>
  <c r="BC45" i="2"/>
  <c r="CY45" i="2"/>
  <c r="CZ46" i="2"/>
  <c r="DB48" i="2"/>
  <c r="DD50" i="2"/>
  <c r="DE51" i="2"/>
  <c r="DK51" i="2" s="1"/>
  <c r="DG53" i="2"/>
  <c r="AZ60" i="2"/>
  <c r="BC61" i="2"/>
  <c r="CY61" i="2"/>
  <c r="CZ62" i="2"/>
  <c r="DB64" i="2"/>
  <c r="BC68" i="2"/>
  <c r="AY69" i="2"/>
  <c r="DD69" i="2"/>
  <c r="CX70" i="2"/>
  <c r="DH70" i="2"/>
  <c r="BC71" i="2"/>
  <c r="DB72" i="2"/>
  <c r="AZ73" i="2"/>
  <c r="CY73" i="2"/>
  <c r="BG75" i="2"/>
  <c r="BG77" i="2"/>
  <c r="BC78" i="2"/>
  <c r="DB78" i="2"/>
  <c r="BD80" i="2"/>
  <c r="AX80" i="2"/>
  <c r="CX81" i="2"/>
  <c r="BD84" i="2"/>
  <c r="CZ85" i="2"/>
  <c r="BD86" i="2"/>
  <c r="AY86" i="2"/>
  <c r="AX86" i="2"/>
  <c r="BD88" i="2"/>
  <c r="AW127" i="2"/>
  <c r="CZ193" i="2"/>
  <c r="CY193" i="2"/>
  <c r="CX193" i="2"/>
  <c r="DI193" i="2"/>
  <c r="DL193" i="2" s="1"/>
  <c r="DH193" i="2"/>
  <c r="DG193" i="2"/>
  <c r="DF193" i="2"/>
  <c r="DE193" i="2"/>
  <c r="DK193" i="2" s="1"/>
  <c r="DD193" i="2"/>
  <c r="DC193" i="2"/>
  <c r="DB193" i="2"/>
  <c r="DA193" i="2"/>
  <c r="DJ193" i="2" s="1"/>
  <c r="DH37" i="2"/>
  <c r="AX41" i="2"/>
  <c r="AY42" i="2"/>
  <c r="CZ45" i="2"/>
  <c r="DC48" i="2"/>
  <c r="DE50" i="2"/>
  <c r="DK50" i="2" s="1"/>
  <c r="DH53" i="2"/>
  <c r="AX57" i="2"/>
  <c r="AY58" i="2"/>
  <c r="CZ61" i="2"/>
  <c r="DC64" i="2"/>
  <c r="DE69" i="2"/>
  <c r="DK69" i="2" s="1"/>
  <c r="DC72" i="2"/>
  <c r="CZ73" i="2"/>
  <c r="DD76" i="2"/>
  <c r="DB76" i="2"/>
  <c r="CX76" i="2"/>
  <c r="AW81" i="2"/>
  <c r="DB82" i="2"/>
  <c r="CX82" i="2"/>
  <c r="DH82" i="2"/>
  <c r="DG82" i="2"/>
  <c r="DD82" i="2"/>
  <c r="DF86" i="2"/>
  <c r="DB86" i="2"/>
  <c r="CZ86" i="2"/>
  <c r="CX86" i="2"/>
  <c r="DH86" i="2"/>
  <c r="BC88" i="2"/>
  <c r="AZ88" i="2"/>
  <c r="DI89" i="2"/>
  <c r="DL89" i="2" s="1"/>
  <c r="DH89" i="2"/>
  <c r="DE89" i="2"/>
  <c r="DK89" i="2" s="1"/>
  <c r="DC89" i="2"/>
  <c r="DA89" i="2"/>
  <c r="DJ89" i="2" s="1"/>
  <c r="CZ89" i="2"/>
  <c r="CY89" i="2"/>
  <c r="CX89" i="2"/>
  <c r="BE92" i="2"/>
  <c r="BC92" i="2"/>
  <c r="AZ92" i="2"/>
  <c r="AW92" i="2" s="1"/>
  <c r="BF101" i="2"/>
  <c r="BD101" i="2"/>
  <c r="BC101" i="2"/>
  <c r="DI105" i="2"/>
  <c r="DL105" i="2" s="1"/>
  <c r="DH105" i="2"/>
  <c r="DG105" i="2"/>
  <c r="DF105" i="2"/>
  <c r="DE105" i="2"/>
  <c r="DK105" i="2" s="1"/>
  <c r="DD105" i="2"/>
  <c r="DC105" i="2"/>
  <c r="DB105" i="2"/>
  <c r="DA105" i="2"/>
  <c r="DJ105" i="2" s="1"/>
  <c r="CZ105" i="2"/>
  <c r="CY105" i="2"/>
  <c r="CX105" i="2"/>
  <c r="DI109" i="2"/>
  <c r="DL109" i="2" s="1"/>
  <c r="DH109" i="2"/>
  <c r="DG109" i="2"/>
  <c r="DF109" i="2"/>
  <c r="DE109" i="2"/>
  <c r="DK109" i="2" s="1"/>
  <c r="DD109" i="2"/>
  <c r="DC109" i="2"/>
  <c r="DB109" i="2"/>
  <c r="DA109" i="2"/>
  <c r="DJ109" i="2" s="1"/>
  <c r="CZ109" i="2"/>
  <c r="CY109" i="2"/>
  <c r="DB114" i="2"/>
  <c r="DA114" i="2"/>
  <c r="DJ114" i="2" s="1"/>
  <c r="CZ114" i="2"/>
  <c r="CY114" i="2"/>
  <c r="CX114" i="2"/>
  <c r="DI114" i="2"/>
  <c r="DL114" i="2" s="1"/>
  <c r="DH114" i="2"/>
  <c r="DG114" i="2"/>
  <c r="DF114" i="2"/>
  <c r="DE114" i="2"/>
  <c r="DK114" i="2" s="1"/>
  <c r="DD114" i="2"/>
  <c r="DG130" i="2"/>
  <c r="DF130" i="2"/>
  <c r="DE130" i="2"/>
  <c r="DK130" i="2" s="1"/>
  <c r="DD130" i="2"/>
  <c r="DC130" i="2"/>
  <c r="DB130" i="2"/>
  <c r="DA130" i="2"/>
  <c r="DJ130" i="2" s="1"/>
  <c r="CZ130" i="2"/>
  <c r="CY130" i="2"/>
  <c r="CX130" i="2"/>
  <c r="DI130" i="2"/>
  <c r="DL130" i="2" s="1"/>
  <c r="AV135" i="2"/>
  <c r="BG135" i="2"/>
  <c r="DD72" i="2"/>
  <c r="DB73" i="2"/>
  <c r="AY74" i="2"/>
  <c r="CX74" i="2"/>
  <c r="DE77" i="2"/>
  <c r="DK77" i="2" s="1"/>
  <c r="DC77" i="2"/>
  <c r="CY77" i="2"/>
  <c r="DE78" i="2"/>
  <c r="DK78" i="2" s="1"/>
  <c r="BF80" i="2"/>
  <c r="AZ81" i="2"/>
  <c r="BC83" i="2"/>
  <c r="DC83" i="2"/>
  <c r="CY83" i="2"/>
  <c r="DI83" i="2"/>
  <c r="DL83" i="2" s="1"/>
  <c r="DH83" i="2"/>
  <c r="DE83" i="2"/>
  <c r="DK83" i="2" s="1"/>
  <c r="BD85" i="2"/>
  <c r="DC85" i="2"/>
  <c r="BG89" i="2"/>
  <c r="BD89" i="2"/>
  <c r="AY89" i="2"/>
  <c r="AX89" i="2"/>
  <c r="DI90" i="2"/>
  <c r="DL90" i="2" s="1"/>
  <c r="DF90" i="2"/>
  <c r="DD90" i="2"/>
  <c r="DB90" i="2"/>
  <c r="DA90" i="2"/>
  <c r="DJ90" i="2" s="1"/>
  <c r="CZ90" i="2"/>
  <c r="CY90" i="2"/>
  <c r="CX90" i="2"/>
  <c r="BF92" i="2"/>
  <c r="DF102" i="2"/>
  <c r="DE102" i="2"/>
  <c r="DK102" i="2" s="1"/>
  <c r="DD102" i="2"/>
  <c r="DC102" i="2"/>
  <c r="DB102" i="2"/>
  <c r="DA102" i="2"/>
  <c r="DJ102" i="2" s="1"/>
  <c r="CZ102" i="2"/>
  <c r="CY102" i="2"/>
  <c r="CX102" i="2"/>
  <c r="DI102" i="2"/>
  <c r="DL102" i="2" s="1"/>
  <c r="DH102" i="2"/>
  <c r="DI124" i="2"/>
  <c r="DL124" i="2" s="1"/>
  <c r="DH124" i="2"/>
  <c r="DG124" i="2"/>
  <c r="DF124" i="2"/>
  <c r="DE124" i="2"/>
  <c r="DK124" i="2" s="1"/>
  <c r="DD124" i="2"/>
  <c r="DC124" i="2"/>
  <c r="DB124" i="2"/>
  <c r="DA124" i="2"/>
  <c r="DJ124" i="2" s="1"/>
  <c r="CZ124" i="2"/>
  <c r="CY124" i="2"/>
  <c r="CX124" i="2"/>
  <c r="BE79" i="2"/>
  <c r="DI87" i="2"/>
  <c r="DL87" i="2" s="1"/>
  <c r="AX90" i="2"/>
  <c r="BE95" i="2"/>
  <c r="DB96" i="2"/>
  <c r="DC97" i="2"/>
  <c r="DE99" i="2"/>
  <c r="DK99" i="2" s="1"/>
  <c r="DG101" i="2"/>
  <c r="DI103" i="2"/>
  <c r="DL103" i="2" s="1"/>
  <c r="AX106" i="2"/>
  <c r="AY107" i="2"/>
  <c r="AW107" i="2" s="1"/>
  <c r="AZ108" i="2"/>
  <c r="BE111" i="2"/>
  <c r="DB112" i="2"/>
  <c r="DC113" i="2"/>
  <c r="DE115" i="2"/>
  <c r="DK115" i="2" s="1"/>
  <c r="DG117" i="2"/>
  <c r="DI119" i="2"/>
  <c r="DL119" i="2" s="1"/>
  <c r="AX122" i="2"/>
  <c r="AY123" i="2"/>
  <c r="AZ124" i="2"/>
  <c r="BE127" i="2"/>
  <c r="DB128" i="2"/>
  <c r="DD129" i="2"/>
  <c r="BE131" i="2"/>
  <c r="DA131" i="2"/>
  <c r="DJ131" i="2" s="1"/>
  <c r="AV134" i="2"/>
  <c r="AY136" i="2"/>
  <c r="BG139" i="2"/>
  <c r="DE140" i="2"/>
  <c r="DK140" i="2" s="1"/>
  <c r="BG141" i="2"/>
  <c r="BG142" i="2"/>
  <c r="DC146" i="2"/>
  <c r="BE148" i="2"/>
  <c r="BC148" i="2"/>
  <c r="AZ148" i="2"/>
  <c r="AY148" i="2"/>
  <c r="DI157" i="2"/>
  <c r="DL157" i="2" s="1"/>
  <c r="DH157" i="2"/>
  <c r="DG157" i="2"/>
  <c r="DF157" i="2"/>
  <c r="DE157" i="2"/>
  <c r="DK157" i="2" s="1"/>
  <c r="DD157" i="2"/>
  <c r="DA157" i="2"/>
  <c r="DJ157" i="2" s="1"/>
  <c r="CZ157" i="2"/>
  <c r="CY157" i="2"/>
  <c r="AW161" i="2"/>
  <c r="DA161" i="2"/>
  <c r="DJ161" i="2" s="1"/>
  <c r="CZ161" i="2"/>
  <c r="CY161" i="2"/>
  <c r="CX161" i="2"/>
  <c r="DI161" i="2"/>
  <c r="DL161" i="2" s="1"/>
  <c r="DH161" i="2"/>
  <c r="DF161" i="2"/>
  <c r="DE161" i="2"/>
  <c r="DK161" i="2" s="1"/>
  <c r="DD161" i="2"/>
  <c r="DC161" i="2"/>
  <c r="BD163" i="2"/>
  <c r="AY163" i="2"/>
  <c r="AX163" i="2"/>
  <c r="CZ176" i="2"/>
  <c r="CY176" i="2"/>
  <c r="CX176" i="2"/>
  <c r="DI176" i="2"/>
  <c r="DL176" i="2" s="1"/>
  <c r="DH176" i="2"/>
  <c r="DG176" i="2"/>
  <c r="DF176" i="2"/>
  <c r="DE176" i="2"/>
  <c r="DK176" i="2" s="1"/>
  <c r="DD176" i="2"/>
  <c r="DC176" i="2"/>
  <c r="DB176" i="2"/>
  <c r="BE180" i="2"/>
  <c r="BC180" i="2"/>
  <c r="AZ180" i="2"/>
  <c r="AY180" i="2"/>
  <c r="BF196" i="2"/>
  <c r="AV196" i="2"/>
  <c r="BE197" i="2"/>
  <c r="BC197" i="2"/>
  <c r="AZ197" i="2"/>
  <c r="BG96" i="2"/>
  <c r="AX105" i="2"/>
  <c r="AY106" i="2"/>
  <c r="BC108" i="2"/>
  <c r="BG112" i="2"/>
  <c r="AX121" i="2"/>
  <c r="AY122" i="2"/>
  <c r="BC124" i="2"/>
  <c r="BG128" i="2"/>
  <c r="CX132" i="2"/>
  <c r="DG132" i="2"/>
  <c r="AY142" i="2"/>
  <c r="AX142" i="2"/>
  <c r="DA145" i="2"/>
  <c r="DJ145" i="2" s="1"/>
  <c r="CZ145" i="2"/>
  <c r="CY145" i="2"/>
  <c r="CX145" i="2"/>
  <c r="DH145" i="2"/>
  <c r="DE145" i="2"/>
  <c r="DK145" i="2" s="1"/>
  <c r="DD145" i="2"/>
  <c r="DE149" i="2"/>
  <c r="DK149" i="2" s="1"/>
  <c r="DD149" i="2"/>
  <c r="DC149" i="2"/>
  <c r="DB149" i="2"/>
  <c r="CZ149" i="2"/>
  <c r="CY149" i="2"/>
  <c r="CX149" i="2"/>
  <c r="DI149" i="2"/>
  <c r="DL149" i="2" s="1"/>
  <c r="DH149" i="2"/>
  <c r="DI170" i="2"/>
  <c r="DL170" i="2" s="1"/>
  <c r="DH170" i="2"/>
  <c r="DG170" i="2"/>
  <c r="DF170" i="2"/>
  <c r="DE170" i="2"/>
  <c r="DK170" i="2" s="1"/>
  <c r="DD170" i="2"/>
  <c r="DC170" i="2"/>
  <c r="DB170" i="2"/>
  <c r="DA170" i="2"/>
  <c r="DJ170" i="2" s="1"/>
  <c r="CZ170" i="2"/>
  <c r="CY170" i="2"/>
  <c r="CX170" i="2"/>
  <c r="BF187" i="2"/>
  <c r="AX88" i="2"/>
  <c r="CY91" i="2"/>
  <c r="BD92" i="2"/>
  <c r="DD96" i="2"/>
  <c r="DE97" i="2"/>
  <c r="DK97" i="2" s="1"/>
  <c r="DG99" i="2"/>
  <c r="DI101" i="2"/>
  <c r="DL101" i="2" s="1"/>
  <c r="AV102" i="2"/>
  <c r="AX104" i="2"/>
  <c r="AY105" i="2"/>
  <c r="AZ106" i="2"/>
  <c r="CY107" i="2"/>
  <c r="BD108" i="2"/>
  <c r="DD112" i="2"/>
  <c r="DE113" i="2"/>
  <c r="DK113" i="2" s="1"/>
  <c r="DG115" i="2"/>
  <c r="DI117" i="2"/>
  <c r="DL117" i="2" s="1"/>
  <c r="AX120" i="2"/>
  <c r="AY121" i="2"/>
  <c r="AZ122" i="2"/>
  <c r="CY123" i="2"/>
  <c r="BD124" i="2"/>
  <c r="DC131" i="2"/>
  <c r="CZ134" i="2"/>
  <c r="DI134" i="2"/>
  <c r="DL134" i="2" s="1"/>
  <c r="AX140" i="2"/>
  <c r="BD140" i="2"/>
  <c r="DH140" i="2"/>
  <c r="DG146" i="2"/>
  <c r="BF154" i="2"/>
  <c r="DE160" i="2"/>
  <c r="DK160" i="2" s="1"/>
  <c r="BF161" i="2"/>
  <c r="BG168" i="2"/>
  <c r="AV168" i="2"/>
  <c r="CX174" i="2"/>
  <c r="DI174" i="2"/>
  <c r="DL174" i="2" s="1"/>
  <c r="DH174" i="2"/>
  <c r="DG174" i="2"/>
  <c r="DF174" i="2"/>
  <c r="DE174" i="2"/>
  <c r="DK174" i="2" s="1"/>
  <c r="DD174" i="2"/>
  <c r="DC174" i="2"/>
  <c r="DB174" i="2"/>
  <c r="DA174" i="2"/>
  <c r="DJ174" i="2" s="1"/>
  <c r="CZ174" i="2"/>
  <c r="BC181" i="2"/>
  <c r="BD184" i="2"/>
  <c r="DI189" i="2"/>
  <c r="DL189" i="2" s="1"/>
  <c r="DH189" i="2"/>
  <c r="DG189" i="2"/>
  <c r="DF189" i="2"/>
  <c r="DE189" i="2"/>
  <c r="DK189" i="2" s="1"/>
  <c r="DD189" i="2"/>
  <c r="DC189" i="2"/>
  <c r="DB189" i="2"/>
  <c r="DA189" i="2"/>
  <c r="DJ189" i="2" s="1"/>
  <c r="CZ189" i="2"/>
  <c r="CY189" i="2"/>
  <c r="CX189" i="2"/>
  <c r="BD196" i="2"/>
  <c r="AY88" i="2"/>
  <c r="AZ89" i="2"/>
  <c r="CZ91" i="2"/>
  <c r="DE96" i="2"/>
  <c r="DK96" i="2" s="1"/>
  <c r="DF97" i="2"/>
  <c r="DH99" i="2"/>
  <c r="AX103" i="2"/>
  <c r="AY104" i="2"/>
  <c r="AZ105" i="2"/>
  <c r="BC106" i="2"/>
  <c r="CZ107" i="2"/>
  <c r="BF109" i="2"/>
  <c r="BG110" i="2"/>
  <c r="DE112" i="2"/>
  <c r="DK112" i="2" s="1"/>
  <c r="DF113" i="2"/>
  <c r="DH115" i="2"/>
  <c r="AX119" i="2"/>
  <c r="AY120" i="2"/>
  <c r="AZ121" i="2"/>
  <c r="BC122" i="2"/>
  <c r="CZ123" i="2"/>
  <c r="BG126" i="2"/>
  <c r="DE128" i="2"/>
  <c r="DK128" i="2" s="1"/>
  <c r="DG129" i="2"/>
  <c r="AW130" i="2"/>
  <c r="AY131" i="2"/>
  <c r="DD131" i="2"/>
  <c r="BE136" i="2"/>
  <c r="AV139" i="2"/>
  <c r="BF139" i="2"/>
  <c r="DI139" i="2"/>
  <c r="DL139" i="2" s="1"/>
  <c r="DE139" i="2"/>
  <c r="DK139" i="2" s="1"/>
  <c r="DB139" i="2"/>
  <c r="CY139" i="2"/>
  <c r="CX139" i="2"/>
  <c r="BC140" i="2"/>
  <c r="BF142" i="2"/>
  <c r="CX142" i="2"/>
  <c r="DH142" i="2"/>
  <c r="DE142" i="2"/>
  <c r="DK142" i="2" s="1"/>
  <c r="DB142" i="2"/>
  <c r="DA142" i="2"/>
  <c r="DJ142" i="2" s="1"/>
  <c r="BE145" i="2"/>
  <c r="BC149" i="2"/>
  <c r="DI156" i="2"/>
  <c r="DL156" i="2" s="1"/>
  <c r="DH156" i="2"/>
  <c r="DG156" i="2"/>
  <c r="DF156" i="2"/>
  <c r="DE156" i="2"/>
  <c r="DK156" i="2" s="1"/>
  <c r="DD156" i="2"/>
  <c r="DC156" i="2"/>
  <c r="CZ156" i="2"/>
  <c r="CY156" i="2"/>
  <c r="CX156" i="2"/>
  <c r="BF181" i="2"/>
  <c r="AV181" i="2"/>
  <c r="AV84" i="2"/>
  <c r="BC89" i="2"/>
  <c r="DA91" i="2"/>
  <c r="DJ91" i="2" s="1"/>
  <c r="DF96" i="2"/>
  <c r="DG97" i="2"/>
  <c r="DI99" i="2"/>
  <c r="DL99" i="2" s="1"/>
  <c r="AV100" i="2"/>
  <c r="AX102" i="2"/>
  <c r="AY103" i="2"/>
  <c r="AZ104" i="2"/>
  <c r="BC105" i="2"/>
  <c r="DA107" i="2"/>
  <c r="DJ107" i="2" s="1"/>
  <c r="DF112" i="2"/>
  <c r="DG113" i="2"/>
  <c r="DI115" i="2"/>
  <c r="DL115" i="2" s="1"/>
  <c r="AV116" i="2"/>
  <c r="AX118" i="2"/>
  <c r="AY119" i="2"/>
  <c r="AZ120" i="2"/>
  <c r="BC121" i="2"/>
  <c r="DA123" i="2"/>
  <c r="DJ123" i="2" s="1"/>
  <c r="BG125" i="2"/>
  <c r="DF128" i="2"/>
  <c r="DH129" i="2"/>
  <c r="AY130" i="2"/>
  <c r="DE131" i="2"/>
  <c r="DK131" i="2" s="1"/>
  <c r="AX132" i="2"/>
  <c r="AX135" i="2"/>
  <c r="BG137" i="2"/>
  <c r="BD138" i="2"/>
  <c r="DG141" i="2"/>
  <c r="DD141" i="2"/>
  <c r="DA141" i="2"/>
  <c r="DJ141" i="2" s="1"/>
  <c r="CZ141" i="2"/>
  <c r="BF149" i="2"/>
  <c r="CZ160" i="2"/>
  <c r="CY160" i="2"/>
  <c r="CX160" i="2"/>
  <c r="DI160" i="2"/>
  <c r="DL160" i="2" s="1"/>
  <c r="DH160" i="2"/>
  <c r="DG160" i="2"/>
  <c r="DD160" i="2"/>
  <c r="DC160" i="2"/>
  <c r="DB160" i="2"/>
  <c r="DG167" i="2"/>
  <c r="DF167" i="2"/>
  <c r="DE167" i="2"/>
  <c r="DK167" i="2" s="1"/>
  <c r="DD167" i="2"/>
  <c r="DC167" i="2"/>
  <c r="DB167" i="2"/>
  <c r="DA167" i="2"/>
  <c r="DJ167" i="2" s="1"/>
  <c r="CZ167" i="2"/>
  <c r="CY167" i="2"/>
  <c r="CX167" i="2"/>
  <c r="DI167" i="2"/>
  <c r="DL167" i="2" s="1"/>
  <c r="DA194" i="2"/>
  <c r="DJ194" i="2" s="1"/>
  <c r="CZ194" i="2"/>
  <c r="CY194" i="2"/>
  <c r="CX194" i="2"/>
  <c r="DI194" i="2"/>
  <c r="DL194" i="2" s="1"/>
  <c r="DH194" i="2"/>
  <c r="DG194" i="2"/>
  <c r="DF194" i="2"/>
  <c r="DE194" i="2"/>
  <c r="DK194" i="2" s="1"/>
  <c r="DD194" i="2"/>
  <c r="DC194" i="2"/>
  <c r="BC196" i="2"/>
  <c r="AV83" i="2"/>
  <c r="DB91" i="2"/>
  <c r="BG92" i="2"/>
  <c r="DG96" i="2"/>
  <c r="DH97" i="2"/>
  <c r="AV99" i="2"/>
  <c r="AX101" i="2"/>
  <c r="AY102" i="2"/>
  <c r="AZ103" i="2"/>
  <c r="BC104" i="2"/>
  <c r="BD105" i="2"/>
  <c r="DB107" i="2"/>
  <c r="BG108" i="2"/>
  <c r="DG112" i="2"/>
  <c r="DH113" i="2"/>
  <c r="AV115" i="2"/>
  <c r="AX117" i="2"/>
  <c r="AY118" i="2"/>
  <c r="AZ119" i="2"/>
  <c r="BC120" i="2"/>
  <c r="BD121" i="2"/>
  <c r="DB123" i="2"/>
  <c r="BG124" i="2"/>
  <c r="DG128" i="2"/>
  <c r="DI129" i="2"/>
  <c r="DL129" i="2" s="1"/>
  <c r="AZ130" i="2"/>
  <c r="DF131" i="2"/>
  <c r="AY132" i="2"/>
  <c r="CY132" i="2"/>
  <c r="CX134" i="2"/>
  <c r="AW136" i="2"/>
  <c r="DI137" i="2"/>
  <c r="DL137" i="2" s="1"/>
  <c r="DC137" i="2"/>
  <c r="CZ137" i="2"/>
  <c r="DF140" i="2"/>
  <c r="DC140" i="2"/>
  <c r="CZ140" i="2"/>
  <c r="CY140" i="2"/>
  <c r="BE146" i="2"/>
  <c r="BD146" i="2"/>
  <c r="AY146" i="2"/>
  <c r="AX146" i="2"/>
  <c r="DB146" i="2"/>
  <c r="DA146" i="2"/>
  <c r="DJ146" i="2" s="1"/>
  <c r="CZ146" i="2"/>
  <c r="CY146" i="2"/>
  <c r="DI146" i="2"/>
  <c r="DL146" i="2" s="1"/>
  <c r="DF146" i="2"/>
  <c r="DE146" i="2"/>
  <c r="DK146" i="2" s="1"/>
  <c r="DC151" i="2"/>
  <c r="BC161" i="2"/>
  <c r="DD164" i="2"/>
  <c r="DC164" i="2"/>
  <c r="DB164" i="2"/>
  <c r="DA164" i="2"/>
  <c r="DJ164" i="2" s="1"/>
  <c r="CZ164" i="2"/>
  <c r="CY164" i="2"/>
  <c r="CX164" i="2"/>
  <c r="DI164" i="2"/>
  <c r="DL164" i="2" s="1"/>
  <c r="DH164" i="2"/>
  <c r="DG164" i="2"/>
  <c r="DF164" i="2"/>
  <c r="BC169" i="2"/>
  <c r="AZ169" i="2"/>
  <c r="DI171" i="2"/>
  <c r="DL171" i="2" s="1"/>
  <c r="DH171" i="2"/>
  <c r="DG171" i="2"/>
  <c r="DF171" i="2"/>
  <c r="DE171" i="2"/>
  <c r="DK171" i="2" s="1"/>
  <c r="DD171" i="2"/>
  <c r="DC171" i="2"/>
  <c r="DB171" i="2"/>
  <c r="DA171" i="2"/>
  <c r="DJ171" i="2" s="1"/>
  <c r="CZ171" i="2"/>
  <c r="CY171" i="2"/>
  <c r="CX171" i="2"/>
  <c r="DA177" i="2"/>
  <c r="DJ177" i="2" s="1"/>
  <c r="CZ177" i="2"/>
  <c r="CY177" i="2"/>
  <c r="CX177" i="2"/>
  <c r="DI177" i="2"/>
  <c r="DL177" i="2" s="1"/>
  <c r="DH177" i="2"/>
  <c r="DG177" i="2"/>
  <c r="DF177" i="2"/>
  <c r="DE177" i="2"/>
  <c r="DK177" i="2" s="1"/>
  <c r="DD177" i="2"/>
  <c r="DC177" i="2"/>
  <c r="BD179" i="2"/>
  <c r="AY179" i="2"/>
  <c r="AX179" i="2"/>
  <c r="DB203" i="2"/>
  <c r="CZ203" i="2"/>
  <c r="CY203" i="2"/>
  <c r="DI203" i="2"/>
  <c r="DL203" i="2" s="1"/>
  <c r="DH203" i="2"/>
  <c r="DG203" i="2"/>
  <c r="DF203" i="2"/>
  <c r="DE203" i="2"/>
  <c r="DK203" i="2" s="1"/>
  <c r="DD203" i="2"/>
  <c r="DC203" i="2"/>
  <c r="DA203" i="2"/>
  <c r="DJ203" i="2" s="1"/>
  <c r="CX203" i="2"/>
  <c r="CY87" i="2"/>
  <c r="DC91" i="2"/>
  <c r="DH96" i="2"/>
  <c r="DI97" i="2"/>
  <c r="DL97" i="2" s="1"/>
  <c r="AY101" i="2"/>
  <c r="BC103" i="2"/>
  <c r="CY103" i="2"/>
  <c r="BG107" i="2"/>
  <c r="DC107" i="2"/>
  <c r="DH112" i="2"/>
  <c r="DI113" i="2"/>
  <c r="DL113" i="2" s="1"/>
  <c r="AY117" i="2"/>
  <c r="AZ118" i="2"/>
  <c r="BC119" i="2"/>
  <c r="CY119" i="2"/>
  <c r="BG123" i="2"/>
  <c r="DC123" i="2"/>
  <c r="DH128" i="2"/>
  <c r="BC130" i="2"/>
  <c r="DG131" i="2"/>
  <c r="BC132" i="2"/>
  <c r="CZ132" i="2"/>
  <c r="AW133" i="2"/>
  <c r="AZ134" i="2"/>
  <c r="CY134" i="2"/>
  <c r="BC136" i="2"/>
  <c r="BG138" i="2"/>
  <c r="BD150" i="2"/>
  <c r="DH151" i="2"/>
  <c r="AW177" i="2"/>
  <c r="BE179" i="2"/>
  <c r="BD182" i="2"/>
  <c r="DI186" i="2"/>
  <c r="DL186" i="2" s="1"/>
  <c r="DH186" i="2"/>
  <c r="DG186" i="2"/>
  <c r="DF186" i="2"/>
  <c r="DE186" i="2"/>
  <c r="DK186" i="2" s="1"/>
  <c r="DD186" i="2"/>
  <c r="DC186" i="2"/>
  <c r="DB186" i="2"/>
  <c r="DA186" i="2"/>
  <c r="DJ186" i="2" s="1"/>
  <c r="CZ186" i="2"/>
  <c r="CY186" i="2"/>
  <c r="CX186" i="2"/>
  <c r="BF188" i="2"/>
  <c r="BD103" i="2"/>
  <c r="BD119" i="2"/>
  <c r="BD130" i="2"/>
  <c r="DH131" i="2"/>
  <c r="BD132" i="2"/>
  <c r="DA132" i="2"/>
  <c r="DJ132" i="2" s="1"/>
  <c r="AY133" i="2"/>
  <c r="BC134" i="2"/>
  <c r="DA134" i="2"/>
  <c r="DJ134" i="2" s="1"/>
  <c r="AY138" i="2"/>
  <c r="AV140" i="2"/>
  <c r="BG140" i="2"/>
  <c r="BD145" i="2"/>
  <c r="AV145" i="2"/>
  <c r="AW156" i="2"/>
  <c r="AY159" i="2"/>
  <c r="AX159" i="2"/>
  <c r="DE165" i="2"/>
  <c r="DK165" i="2" s="1"/>
  <c r="DD165" i="2"/>
  <c r="DC165" i="2"/>
  <c r="DB165" i="2"/>
  <c r="DA165" i="2"/>
  <c r="DJ165" i="2" s="1"/>
  <c r="CZ165" i="2"/>
  <c r="CY165" i="2"/>
  <c r="CX165" i="2"/>
  <c r="DI165" i="2"/>
  <c r="DL165" i="2" s="1"/>
  <c r="DH165" i="2"/>
  <c r="DG165" i="2"/>
  <c r="BG184" i="2"/>
  <c r="AV184" i="2"/>
  <c r="DH195" i="2"/>
  <c r="DD195" i="2"/>
  <c r="DI195" i="2"/>
  <c r="DL195" i="2" s="1"/>
  <c r="DG195" i="2"/>
  <c r="DF195" i="2"/>
  <c r="DE195" i="2"/>
  <c r="DK195" i="2" s="1"/>
  <c r="DC195" i="2"/>
  <c r="DB195" i="2"/>
  <c r="DA195" i="2"/>
  <c r="DJ195" i="2" s="1"/>
  <c r="CZ195" i="2"/>
  <c r="CY195" i="2"/>
  <c r="CX195" i="2"/>
  <c r="DA87" i="2"/>
  <c r="DJ87" i="2" s="1"/>
  <c r="DE91" i="2"/>
  <c r="DK91" i="2" s="1"/>
  <c r="CY101" i="2"/>
  <c r="BD102" i="2"/>
  <c r="DA103" i="2"/>
  <c r="DJ103" i="2" s="1"/>
  <c r="DE107" i="2"/>
  <c r="DK107" i="2" s="1"/>
  <c r="CY117" i="2"/>
  <c r="BD118" i="2"/>
  <c r="DA119" i="2"/>
  <c r="DJ119" i="2" s="1"/>
  <c r="DE123" i="2"/>
  <c r="DK123" i="2" s="1"/>
  <c r="AV131" i="2"/>
  <c r="DI131" i="2"/>
  <c r="DL131" i="2" s="1"/>
  <c r="DB132" i="2"/>
  <c r="DB134" i="2"/>
  <c r="BE138" i="2"/>
  <c r="AZ138" i="2"/>
  <c r="BD147" i="2"/>
  <c r="AX147" i="2"/>
  <c r="DI155" i="2"/>
  <c r="DL155" i="2" s="1"/>
  <c r="DH155" i="2"/>
  <c r="DG155" i="2"/>
  <c r="DF155" i="2"/>
  <c r="DE155" i="2"/>
  <c r="DK155" i="2" s="1"/>
  <c r="DD155" i="2"/>
  <c r="DC155" i="2"/>
  <c r="DB155" i="2"/>
  <c r="CY155" i="2"/>
  <c r="CX155" i="2"/>
  <c r="BC159" i="2"/>
  <c r="AZ159" i="2"/>
  <c r="BE159" i="2"/>
  <c r="BC160" i="2"/>
  <c r="AZ160" i="2"/>
  <c r="AY160" i="2"/>
  <c r="BF166" i="2"/>
  <c r="DH168" i="2"/>
  <c r="DG168" i="2"/>
  <c r="DF168" i="2"/>
  <c r="DE168" i="2"/>
  <c r="DK168" i="2" s="1"/>
  <c r="DD168" i="2"/>
  <c r="DC168" i="2"/>
  <c r="DB168" i="2"/>
  <c r="DA168" i="2"/>
  <c r="DJ168" i="2" s="1"/>
  <c r="CZ168" i="2"/>
  <c r="CY168" i="2"/>
  <c r="CX168" i="2"/>
  <c r="DI172" i="2"/>
  <c r="DL172" i="2" s="1"/>
  <c r="DH172" i="2"/>
  <c r="DG172" i="2"/>
  <c r="DF172" i="2"/>
  <c r="DE172" i="2"/>
  <c r="DK172" i="2" s="1"/>
  <c r="DD172" i="2"/>
  <c r="DC172" i="2"/>
  <c r="DB172" i="2"/>
  <c r="DA172" i="2"/>
  <c r="DJ172" i="2" s="1"/>
  <c r="CZ172" i="2"/>
  <c r="CY172" i="2"/>
  <c r="CX172" i="2"/>
  <c r="AW189" i="2"/>
  <c r="DI190" i="2"/>
  <c r="DL190" i="2" s="1"/>
  <c r="DH190" i="2"/>
  <c r="DG190" i="2"/>
  <c r="DF190" i="2"/>
  <c r="DE190" i="2"/>
  <c r="DK190" i="2" s="1"/>
  <c r="DD190" i="2"/>
  <c r="DC190" i="2"/>
  <c r="DB190" i="2"/>
  <c r="DA190" i="2"/>
  <c r="DJ190" i="2" s="1"/>
  <c r="CZ190" i="2"/>
  <c r="CY190" i="2"/>
  <c r="AV198" i="2"/>
  <c r="BG198" i="2"/>
  <c r="BD198" i="2"/>
  <c r="AX97" i="2"/>
  <c r="AY98" i="2"/>
  <c r="AX113" i="2"/>
  <c r="AY114" i="2"/>
  <c r="BE118" i="2"/>
  <c r="AY129" i="2"/>
  <c r="AW129" i="2" s="1"/>
  <c r="DC132" i="2"/>
  <c r="AV137" i="2"/>
  <c r="CX137" i="2"/>
  <c r="BE147" i="2"/>
  <c r="AZ147" i="2"/>
  <c r="DG151" i="2"/>
  <c r="DF151" i="2"/>
  <c r="DE151" i="2"/>
  <c r="DK151" i="2" s="1"/>
  <c r="DD151" i="2"/>
  <c r="DB151" i="2"/>
  <c r="DA151" i="2"/>
  <c r="DJ151" i="2" s="1"/>
  <c r="CZ151" i="2"/>
  <c r="CY151" i="2"/>
  <c r="CX151" i="2"/>
  <c r="AV152" i="2"/>
  <c r="DG183" i="2"/>
  <c r="DF183" i="2"/>
  <c r="DE183" i="2"/>
  <c r="DK183" i="2" s="1"/>
  <c r="DD183" i="2"/>
  <c r="DC183" i="2"/>
  <c r="DB183" i="2"/>
  <c r="DA183" i="2"/>
  <c r="DJ183" i="2" s="1"/>
  <c r="CZ183" i="2"/>
  <c r="CY183" i="2"/>
  <c r="CX183" i="2"/>
  <c r="DI183" i="2"/>
  <c r="DL183" i="2" s="1"/>
  <c r="DI196" i="2"/>
  <c r="DL196" i="2" s="1"/>
  <c r="DE196" i="2"/>
  <c r="DK196" i="2" s="1"/>
  <c r="DF196" i="2"/>
  <c r="DD196" i="2"/>
  <c r="DC196" i="2"/>
  <c r="DB196" i="2"/>
  <c r="DA196" i="2"/>
  <c r="DJ196" i="2" s="1"/>
  <c r="CZ196" i="2"/>
  <c r="CY196" i="2"/>
  <c r="CX196" i="2"/>
  <c r="DH196" i="2"/>
  <c r="AX96" i="2"/>
  <c r="AY97" i="2"/>
  <c r="AZ98" i="2"/>
  <c r="CY99" i="2"/>
  <c r="DA101" i="2"/>
  <c r="DJ101" i="2" s="1"/>
  <c r="AX112" i="2"/>
  <c r="AY113" i="2"/>
  <c r="AZ114" i="2"/>
  <c r="CY115" i="2"/>
  <c r="DA117" i="2"/>
  <c r="DJ117" i="2" s="1"/>
  <c r="AX128" i="2"/>
  <c r="AZ129" i="2"/>
  <c r="CX129" i="2"/>
  <c r="BG130" i="2"/>
  <c r="DD132" i="2"/>
  <c r="BE133" i="2"/>
  <c r="DD134" i="2"/>
  <c r="CY137" i="2"/>
  <c r="BC144" i="2"/>
  <c r="AZ144" i="2"/>
  <c r="AY144" i="2"/>
  <c r="CZ144" i="2"/>
  <c r="CY144" i="2"/>
  <c r="CX144" i="2"/>
  <c r="DG144" i="2"/>
  <c r="DD144" i="2"/>
  <c r="DC144" i="2"/>
  <c r="BG151" i="2"/>
  <c r="BE155" i="2"/>
  <c r="CX158" i="2"/>
  <c r="DI158" i="2"/>
  <c r="DL158" i="2" s="1"/>
  <c r="DH158" i="2"/>
  <c r="DG158" i="2"/>
  <c r="DF158" i="2"/>
  <c r="DE158" i="2"/>
  <c r="DK158" i="2" s="1"/>
  <c r="DB158" i="2"/>
  <c r="DA158" i="2"/>
  <c r="DJ158" i="2" s="1"/>
  <c r="CZ158" i="2"/>
  <c r="BG179" i="2"/>
  <c r="DD180" i="2"/>
  <c r="DC180" i="2"/>
  <c r="DB180" i="2"/>
  <c r="DA180" i="2"/>
  <c r="DJ180" i="2" s="1"/>
  <c r="CZ180" i="2"/>
  <c r="CY180" i="2"/>
  <c r="CX180" i="2"/>
  <c r="DI180" i="2"/>
  <c r="DL180" i="2" s="1"/>
  <c r="DH180" i="2"/>
  <c r="DG180" i="2"/>
  <c r="DF180" i="2"/>
  <c r="BC185" i="2"/>
  <c r="AZ185" i="2"/>
  <c r="DI187" i="2"/>
  <c r="DL187" i="2" s="1"/>
  <c r="DH187" i="2"/>
  <c r="DG187" i="2"/>
  <c r="DF187" i="2"/>
  <c r="DE187" i="2"/>
  <c r="DK187" i="2" s="1"/>
  <c r="DD187" i="2"/>
  <c r="DC187" i="2"/>
  <c r="DB187" i="2"/>
  <c r="DA187" i="2"/>
  <c r="DJ187" i="2" s="1"/>
  <c r="CZ187" i="2"/>
  <c r="CY187" i="2"/>
  <c r="CX187" i="2"/>
  <c r="DF197" i="2"/>
  <c r="DC197" i="2"/>
  <c r="DE197" i="2"/>
  <c r="DK197" i="2" s="1"/>
  <c r="DD197" i="2"/>
  <c r="DB197" i="2"/>
  <c r="DA197" i="2"/>
  <c r="DJ197" i="2" s="1"/>
  <c r="CZ197" i="2"/>
  <c r="CY197" i="2"/>
  <c r="CX197" i="2"/>
  <c r="DI197" i="2"/>
  <c r="DL197" i="2" s="1"/>
  <c r="DH197" i="2"/>
  <c r="AY96" i="2"/>
  <c r="BC98" i="2"/>
  <c r="CZ99" i="2"/>
  <c r="BC114" i="2"/>
  <c r="CZ115" i="2"/>
  <c r="AY128" i="2"/>
  <c r="BC129" i="2"/>
  <c r="CY129" i="2"/>
  <c r="DE132" i="2"/>
  <c r="DK132" i="2" s="1"/>
  <c r="BD134" i="2"/>
  <c r="AY134" i="2"/>
  <c r="AW134" i="2" s="1"/>
  <c r="DE134" i="2"/>
  <c r="DK134" i="2" s="1"/>
  <c r="BE135" i="2"/>
  <c r="AZ135" i="2"/>
  <c r="DA137" i="2"/>
  <c r="DJ137" i="2" s="1"/>
  <c r="BD151" i="2"/>
  <c r="DH152" i="2"/>
  <c r="DG152" i="2"/>
  <c r="DF152" i="2"/>
  <c r="DE152" i="2"/>
  <c r="DK152" i="2" s="1"/>
  <c r="DC152" i="2"/>
  <c r="DB152" i="2"/>
  <c r="DA152" i="2"/>
  <c r="DJ152" i="2" s="1"/>
  <c r="CZ152" i="2"/>
  <c r="CY152" i="2"/>
  <c r="BE164" i="2"/>
  <c r="BC164" i="2"/>
  <c r="AZ164" i="2"/>
  <c r="AY164" i="2"/>
  <c r="CY192" i="2"/>
  <c r="CX192" i="2"/>
  <c r="DI192" i="2"/>
  <c r="DL192" i="2" s="1"/>
  <c r="DH192" i="2"/>
  <c r="DG192" i="2"/>
  <c r="DF192" i="2"/>
  <c r="DE192" i="2"/>
  <c r="DK192" i="2" s="1"/>
  <c r="DD192" i="2"/>
  <c r="DC192" i="2"/>
  <c r="DB192" i="2"/>
  <c r="DA192" i="2"/>
  <c r="DJ192" i="2" s="1"/>
  <c r="BD129" i="2"/>
  <c r="AZ132" i="2"/>
  <c r="DF132" i="2"/>
  <c r="BC137" i="2"/>
  <c r="AX139" i="2"/>
  <c r="DB145" i="2"/>
  <c r="AV148" i="2"/>
  <c r="DA149" i="2"/>
  <c r="DJ149" i="2" s="1"/>
  <c r="BD152" i="2"/>
  <c r="AX152" i="2"/>
  <c r="DE181" i="2"/>
  <c r="DK181" i="2" s="1"/>
  <c r="DD181" i="2"/>
  <c r="DC181" i="2"/>
  <c r="DB181" i="2"/>
  <c r="DA181" i="2"/>
  <c r="DJ181" i="2" s="1"/>
  <c r="CZ181" i="2"/>
  <c r="CY181" i="2"/>
  <c r="CX181" i="2"/>
  <c r="DI181" i="2"/>
  <c r="DL181" i="2" s="1"/>
  <c r="DH181" i="2"/>
  <c r="DG181" i="2"/>
  <c r="BE186" i="2"/>
  <c r="AX93" i="2"/>
  <c r="AY94" i="2"/>
  <c r="CY96" i="2"/>
  <c r="CZ97" i="2"/>
  <c r="DB99" i="2"/>
  <c r="DD101" i="2"/>
  <c r="AX109" i="2"/>
  <c r="AY110" i="2"/>
  <c r="CY112" i="2"/>
  <c r="CZ113" i="2"/>
  <c r="DB115" i="2"/>
  <c r="AX125" i="2"/>
  <c r="AY126" i="2"/>
  <c r="CY128" i="2"/>
  <c r="DA129" i="2"/>
  <c r="DJ129" i="2" s="1"/>
  <c r="CX131" i="2"/>
  <c r="DH132" i="2"/>
  <c r="DG134" i="2"/>
  <c r="DD137" i="2"/>
  <c r="AY139" i="2"/>
  <c r="DA140" i="2"/>
  <c r="DJ140" i="2" s="1"/>
  <c r="AZ141" i="2"/>
  <c r="AW141" i="2" s="1"/>
  <c r="DC142" i="2"/>
  <c r="AY143" i="2"/>
  <c r="AX143" i="2"/>
  <c r="AW145" i="2"/>
  <c r="DC145" i="2"/>
  <c r="BG147" i="2"/>
  <c r="AV147" i="2"/>
  <c r="DF149" i="2"/>
  <c r="BF151" i="2"/>
  <c r="BE152" i="2"/>
  <c r="DI153" i="2"/>
  <c r="DL153" i="2" s="1"/>
  <c r="DH153" i="2"/>
  <c r="DG153" i="2"/>
  <c r="DF153" i="2"/>
  <c r="DD153" i="2"/>
  <c r="DC153" i="2"/>
  <c r="DB153" i="2"/>
  <c r="DA153" i="2"/>
  <c r="DJ153" i="2" s="1"/>
  <c r="CZ153" i="2"/>
  <c r="AW157" i="2"/>
  <c r="DB157" i="2"/>
  <c r="AY158" i="2"/>
  <c r="AX158" i="2"/>
  <c r="BD158" i="2"/>
  <c r="BD168" i="2"/>
  <c r="BF182" i="2"/>
  <c r="DH184" i="2"/>
  <c r="DG184" i="2"/>
  <c r="DF184" i="2"/>
  <c r="DE184" i="2"/>
  <c r="DK184" i="2" s="1"/>
  <c r="DD184" i="2"/>
  <c r="DC184" i="2"/>
  <c r="DB184" i="2"/>
  <c r="DA184" i="2"/>
  <c r="DJ184" i="2" s="1"/>
  <c r="CZ184" i="2"/>
  <c r="CY184" i="2"/>
  <c r="CX184" i="2"/>
  <c r="BF186" i="2"/>
  <c r="DI132" i="2"/>
  <c r="DL132" i="2" s="1"/>
  <c r="BC133" i="2"/>
  <c r="DH134" i="2"/>
  <c r="DE137" i="2"/>
  <c r="DK137" i="2" s="1"/>
  <c r="DD139" i="2"/>
  <c r="AY140" i="2"/>
  <c r="DB140" i="2"/>
  <c r="BC141" i="2"/>
  <c r="DC141" i="2"/>
  <c r="DD142" i="2"/>
  <c r="BC143" i="2"/>
  <c r="AZ143" i="2"/>
  <c r="AV144" i="2"/>
  <c r="BG144" i="2"/>
  <c r="DF145" i="2"/>
  <c r="BD148" i="2"/>
  <c r="DD148" i="2"/>
  <c r="DC148" i="2"/>
  <c r="DB148" i="2"/>
  <c r="DA148" i="2"/>
  <c r="DJ148" i="2" s="1"/>
  <c r="CY148" i="2"/>
  <c r="CX148" i="2"/>
  <c r="DH148" i="2"/>
  <c r="DG148" i="2"/>
  <c r="DG149" i="2"/>
  <c r="BE153" i="2"/>
  <c r="DC157" i="2"/>
  <c r="DB161" i="2"/>
  <c r="BF165" i="2"/>
  <c r="AV165" i="2"/>
  <c r="AW172" i="2"/>
  <c r="AW173" i="2"/>
  <c r="BD183" i="2"/>
  <c r="AW195" i="2"/>
  <c r="DD206" i="2"/>
  <c r="DB206" i="2"/>
  <c r="DA206" i="2"/>
  <c r="DJ206" i="2" s="1"/>
  <c r="CY206" i="2"/>
  <c r="CX206" i="2"/>
  <c r="DI206" i="2"/>
  <c r="DL206" i="2" s="1"/>
  <c r="DG209" i="2"/>
  <c r="DE209" i="2"/>
  <c r="DK209" i="2" s="1"/>
  <c r="DD209" i="2"/>
  <c r="DB209" i="2"/>
  <c r="DA209" i="2"/>
  <c r="DJ209" i="2" s="1"/>
  <c r="CZ209" i="2"/>
  <c r="CY209" i="2"/>
  <c r="CX209" i="2"/>
  <c r="DI214" i="2"/>
  <c r="DL214" i="2" s="1"/>
  <c r="DG214" i="2"/>
  <c r="DF214" i="2"/>
  <c r="DE214" i="2"/>
  <c r="DK214" i="2" s="1"/>
  <c r="DD214" i="2"/>
  <c r="DC214" i="2"/>
  <c r="DB214" i="2"/>
  <c r="DA214" i="2"/>
  <c r="DJ214" i="2" s="1"/>
  <c r="DG225" i="2"/>
  <c r="DF225" i="2"/>
  <c r="DE225" i="2"/>
  <c r="DK225" i="2" s="1"/>
  <c r="DD225" i="2"/>
  <c r="DC225" i="2"/>
  <c r="DB225" i="2"/>
  <c r="DA225" i="2"/>
  <c r="DJ225" i="2" s="1"/>
  <c r="CZ225" i="2"/>
  <c r="CY225" i="2"/>
  <c r="CX225" i="2"/>
  <c r="DH242" i="2"/>
  <c r="DG242" i="2"/>
  <c r="DF242" i="2"/>
  <c r="DE242" i="2"/>
  <c r="DK242" i="2" s="1"/>
  <c r="DD242" i="2"/>
  <c r="DC242" i="2"/>
  <c r="DB242" i="2"/>
  <c r="DA242" i="2"/>
  <c r="DJ242" i="2" s="1"/>
  <c r="CZ242" i="2"/>
  <c r="CY242" i="2"/>
  <c r="CX242" i="2"/>
  <c r="BE398" i="2"/>
  <c r="BF398" i="2"/>
  <c r="BD174" i="2"/>
  <c r="BE175" i="2"/>
  <c r="BD191" i="2"/>
  <c r="BE192" i="2"/>
  <c r="DG198" i="2"/>
  <c r="DD198" i="2"/>
  <c r="BG204" i="2"/>
  <c r="AV204" i="2"/>
  <c r="BE206" i="2"/>
  <c r="BC206" i="2"/>
  <c r="AZ206" i="2"/>
  <c r="BE228" i="2"/>
  <c r="DE238" i="2"/>
  <c r="DK238" i="2" s="1"/>
  <c r="DD238" i="2"/>
  <c r="DC238" i="2"/>
  <c r="DB238" i="2"/>
  <c r="DA238" i="2"/>
  <c r="DJ238" i="2" s="1"/>
  <c r="CZ238" i="2"/>
  <c r="CY238" i="2"/>
  <c r="CX238" i="2"/>
  <c r="DI238" i="2"/>
  <c r="DL238" i="2" s="1"/>
  <c r="DH238" i="2"/>
  <c r="DG238" i="2"/>
  <c r="DB252" i="2"/>
  <c r="DA252" i="2"/>
  <c r="DJ252" i="2" s="1"/>
  <c r="CZ252" i="2"/>
  <c r="CY252" i="2"/>
  <c r="CX252" i="2"/>
  <c r="DI252" i="2"/>
  <c r="DL252" i="2" s="1"/>
  <c r="DH252" i="2"/>
  <c r="DG252" i="2"/>
  <c r="DF252" i="2"/>
  <c r="DE252" i="2"/>
  <c r="DK252" i="2" s="1"/>
  <c r="DD252" i="2"/>
  <c r="AZ139" i="2"/>
  <c r="BD141" i="2"/>
  <c r="BE142" i="2"/>
  <c r="DB143" i="2"/>
  <c r="DF147" i="2"/>
  <c r="DI150" i="2"/>
  <c r="DL150" i="2" s="1"/>
  <c r="AX153" i="2"/>
  <c r="AZ155" i="2"/>
  <c r="BD157" i="2"/>
  <c r="BE158" i="2"/>
  <c r="DB159" i="2"/>
  <c r="BG160" i="2"/>
  <c r="DE162" i="2"/>
  <c r="DK162" i="2" s="1"/>
  <c r="DF163" i="2"/>
  <c r="DI166" i="2"/>
  <c r="DL166" i="2" s="1"/>
  <c r="AV167" i="2"/>
  <c r="AX169" i="2"/>
  <c r="AZ171" i="2"/>
  <c r="BD173" i="2"/>
  <c r="BE174" i="2"/>
  <c r="DB175" i="2"/>
  <c r="BG176" i="2"/>
  <c r="DE178" i="2"/>
  <c r="DK178" i="2" s="1"/>
  <c r="DF179" i="2"/>
  <c r="DI182" i="2"/>
  <c r="DL182" i="2" s="1"/>
  <c r="AV183" i="2"/>
  <c r="AX185" i="2"/>
  <c r="AZ187" i="2"/>
  <c r="AZ188" i="2"/>
  <c r="AW188" i="2" s="1"/>
  <c r="BD190" i="2"/>
  <c r="BE191" i="2"/>
  <c r="BG193" i="2"/>
  <c r="AY199" i="2"/>
  <c r="CY199" i="2"/>
  <c r="AY200" i="2"/>
  <c r="AX200" i="2"/>
  <c r="DE200" i="2"/>
  <c r="DK200" i="2" s="1"/>
  <c r="BF206" i="2"/>
  <c r="AV206" i="2"/>
  <c r="BF209" i="2"/>
  <c r="BE214" i="2"/>
  <c r="CZ215" i="2"/>
  <c r="BF228" i="2"/>
  <c r="DI229" i="2"/>
  <c r="DL229" i="2" s="1"/>
  <c r="DH229" i="2"/>
  <c r="DG229" i="2"/>
  <c r="DF229" i="2"/>
  <c r="DE229" i="2"/>
  <c r="DK229" i="2" s="1"/>
  <c r="DD229" i="2"/>
  <c r="DC229" i="2"/>
  <c r="DB229" i="2"/>
  <c r="DA229" i="2"/>
  <c r="DJ229" i="2" s="1"/>
  <c r="CZ229" i="2"/>
  <c r="CY229" i="2"/>
  <c r="CX229" i="2"/>
  <c r="AW247" i="2"/>
  <c r="BG143" i="2"/>
  <c r="DC143" i="2"/>
  <c r="DG147" i="2"/>
  <c r="AY153" i="2"/>
  <c r="AZ154" i="2"/>
  <c r="BD156" i="2"/>
  <c r="BF158" i="2"/>
  <c r="BG159" i="2"/>
  <c r="DC159" i="2"/>
  <c r="DF162" i="2"/>
  <c r="DG163" i="2"/>
  <c r="AX168" i="2"/>
  <c r="AY169" i="2"/>
  <c r="AZ170" i="2"/>
  <c r="BD172" i="2"/>
  <c r="BF174" i="2"/>
  <c r="BG175" i="2"/>
  <c r="DC175" i="2"/>
  <c r="DF178" i="2"/>
  <c r="DG179" i="2"/>
  <c r="AX184" i="2"/>
  <c r="AY185" i="2"/>
  <c r="AZ186" i="2"/>
  <c r="BD189" i="2"/>
  <c r="BG192" i="2"/>
  <c r="CZ199" i="2"/>
  <c r="BC200" i="2"/>
  <c r="AV203" i="2"/>
  <c r="BD208" i="2"/>
  <c r="BD225" i="2"/>
  <c r="AW245" i="2"/>
  <c r="BE264" i="2"/>
  <c r="BC264" i="2"/>
  <c r="AZ264" i="2"/>
  <c r="BE338" i="2"/>
  <c r="BC338" i="2"/>
  <c r="AZ338" i="2"/>
  <c r="AV197" i="2"/>
  <c r="BG197" i="2"/>
  <c r="BE208" i="2"/>
  <c r="BC208" i="2"/>
  <c r="AZ208" i="2"/>
  <c r="BG236" i="2"/>
  <c r="BD236" i="2"/>
  <c r="AY236" i="2"/>
  <c r="AX236" i="2"/>
  <c r="DE255" i="2"/>
  <c r="DK255" i="2" s="1"/>
  <c r="DD255" i="2"/>
  <c r="DC255" i="2"/>
  <c r="DB255" i="2"/>
  <c r="DA255" i="2"/>
  <c r="DJ255" i="2" s="1"/>
  <c r="CZ255" i="2"/>
  <c r="CY255" i="2"/>
  <c r="CX255" i="2"/>
  <c r="DI255" i="2"/>
  <c r="DL255" i="2" s="1"/>
  <c r="DH255" i="2"/>
  <c r="DG255" i="2"/>
  <c r="DB274" i="2"/>
  <c r="CZ274" i="2"/>
  <c r="CX274" i="2"/>
  <c r="DI274" i="2"/>
  <c r="DL274" i="2" s="1"/>
  <c r="DG274" i="2"/>
  <c r="DE274" i="2"/>
  <c r="DK274" i="2" s="1"/>
  <c r="DD274" i="2"/>
  <c r="DH274" i="2"/>
  <c r="DF274" i="2"/>
  <c r="DC274" i="2"/>
  <c r="DA274" i="2"/>
  <c r="DJ274" i="2" s="1"/>
  <c r="CY274" i="2"/>
  <c r="DC275" i="2"/>
  <c r="DA275" i="2"/>
  <c r="DJ275" i="2" s="1"/>
  <c r="CY275" i="2"/>
  <c r="DH275" i="2"/>
  <c r="DF275" i="2"/>
  <c r="DE275" i="2"/>
  <c r="DK275" i="2" s="1"/>
  <c r="DI275" i="2"/>
  <c r="DL275" i="2" s="1"/>
  <c r="DG275" i="2"/>
  <c r="DD275" i="2"/>
  <c r="DB275" i="2"/>
  <c r="CZ275" i="2"/>
  <c r="CX275" i="2"/>
  <c r="AV164" i="2"/>
  <c r="CY169" i="2"/>
  <c r="AV180" i="2"/>
  <c r="CY185" i="2"/>
  <c r="DI227" i="2"/>
  <c r="DL227" i="2" s="1"/>
  <c r="DH227" i="2"/>
  <c r="DG227" i="2"/>
  <c r="DF227" i="2"/>
  <c r="DE227" i="2"/>
  <c r="DK227" i="2" s="1"/>
  <c r="DD227" i="2"/>
  <c r="DC227" i="2"/>
  <c r="DB227" i="2"/>
  <c r="DA227" i="2"/>
  <c r="DJ227" i="2" s="1"/>
  <c r="CZ227" i="2"/>
  <c r="CY227" i="2"/>
  <c r="CX227" i="2"/>
  <c r="BE236" i="2"/>
  <c r="BD242" i="2"/>
  <c r="DI302" i="2"/>
  <c r="DL302" i="2" s="1"/>
  <c r="DH302" i="2"/>
  <c r="DG302" i="2"/>
  <c r="DF302" i="2"/>
  <c r="DE302" i="2"/>
  <c r="DK302" i="2" s="1"/>
  <c r="DD302" i="2"/>
  <c r="DC302" i="2"/>
  <c r="DB302" i="2"/>
  <c r="DA302" i="2"/>
  <c r="DJ302" i="2" s="1"/>
  <c r="CZ302" i="2"/>
  <c r="CY302" i="2"/>
  <c r="CX302" i="2"/>
  <c r="DF143" i="2"/>
  <c r="AW148" i="2"/>
  <c r="AX149" i="2"/>
  <c r="AY150" i="2"/>
  <c r="AZ151" i="2"/>
  <c r="BC152" i="2"/>
  <c r="BF155" i="2"/>
  <c r="BG156" i="2"/>
  <c r="DF159" i="2"/>
  <c r="DI162" i="2"/>
  <c r="DL162" i="2" s="1"/>
  <c r="AV163" i="2"/>
  <c r="AW164" i="2"/>
  <c r="AX165" i="2"/>
  <c r="AY166" i="2"/>
  <c r="AZ167" i="2"/>
  <c r="AW167" i="2" s="1"/>
  <c r="BC168" i="2"/>
  <c r="CZ169" i="2"/>
  <c r="BF171" i="2"/>
  <c r="BG172" i="2"/>
  <c r="DF175" i="2"/>
  <c r="DI178" i="2"/>
  <c r="DL178" i="2" s="1"/>
  <c r="AV179" i="2"/>
  <c r="AW180" i="2"/>
  <c r="AX181" i="2"/>
  <c r="AY182" i="2"/>
  <c r="AZ183" i="2"/>
  <c r="BC184" i="2"/>
  <c r="CZ185" i="2"/>
  <c r="BG189" i="2"/>
  <c r="BD195" i="2"/>
  <c r="CY198" i="2"/>
  <c r="DC199" i="2"/>
  <c r="BD210" i="2"/>
  <c r="AY210" i="2"/>
  <c r="BE213" i="2"/>
  <c r="DH215" i="2"/>
  <c r="DG215" i="2"/>
  <c r="DF215" i="2"/>
  <c r="DE215" i="2"/>
  <c r="DK215" i="2" s="1"/>
  <c r="DD215" i="2"/>
  <c r="DC215" i="2"/>
  <c r="DB215" i="2"/>
  <c r="DD219" i="2"/>
  <c r="BD221" i="2"/>
  <c r="AY221" i="2"/>
  <c r="AX221" i="2"/>
  <c r="BE272" i="2"/>
  <c r="DA169" i="2"/>
  <c r="DJ169" i="2" s="1"/>
  <c r="DA185" i="2"/>
  <c r="DJ185" i="2" s="1"/>
  <c r="CZ198" i="2"/>
  <c r="BE201" i="2"/>
  <c r="BD207" i="2"/>
  <c r="AY207" i="2"/>
  <c r="AX207" i="2"/>
  <c r="BE210" i="2"/>
  <c r="CX216" i="2"/>
  <c r="DI216" i="2"/>
  <c r="DL216" i="2" s="1"/>
  <c r="DH216" i="2"/>
  <c r="DG216" i="2"/>
  <c r="DF216" i="2"/>
  <c r="DE216" i="2"/>
  <c r="DK216" i="2" s="1"/>
  <c r="DD216" i="2"/>
  <c r="DC216" i="2"/>
  <c r="BD220" i="2"/>
  <c r="AY220" i="2"/>
  <c r="AX220" i="2"/>
  <c r="BE221" i="2"/>
  <c r="BC221" i="2"/>
  <c r="AZ221" i="2"/>
  <c r="DD222" i="2"/>
  <c r="DC222" i="2"/>
  <c r="DB222" i="2"/>
  <c r="DA222" i="2"/>
  <c r="DJ222" i="2" s="1"/>
  <c r="CZ222" i="2"/>
  <c r="CY222" i="2"/>
  <c r="CX222" i="2"/>
  <c r="DI222" i="2"/>
  <c r="DL222" i="2" s="1"/>
  <c r="BE245" i="2"/>
  <c r="DI246" i="2"/>
  <c r="DL246" i="2" s="1"/>
  <c r="DH246" i="2"/>
  <c r="DG246" i="2"/>
  <c r="DF246" i="2"/>
  <c r="DE246" i="2"/>
  <c r="DK246" i="2" s="1"/>
  <c r="DD246" i="2"/>
  <c r="DC246" i="2"/>
  <c r="DB246" i="2"/>
  <c r="DA246" i="2"/>
  <c r="DJ246" i="2" s="1"/>
  <c r="CZ246" i="2"/>
  <c r="CY246" i="2"/>
  <c r="CX246" i="2"/>
  <c r="BC150" i="2"/>
  <c r="CY150" i="2"/>
  <c r="BG154" i="2"/>
  <c r="AV161" i="2"/>
  <c r="BC166" i="2"/>
  <c r="CY166" i="2"/>
  <c r="DB169" i="2"/>
  <c r="BG170" i="2"/>
  <c r="AV177" i="2"/>
  <c r="BC182" i="2"/>
  <c r="CY182" i="2"/>
  <c r="DB185" i="2"/>
  <c r="BG186" i="2"/>
  <c r="AY387" i="2"/>
  <c r="AZ196" i="2"/>
  <c r="DA198" i="2"/>
  <c r="DJ198" i="2" s="1"/>
  <c r="CY200" i="2"/>
  <c r="DI200" i="2"/>
  <c r="DL200" i="2" s="1"/>
  <c r="DF200" i="2"/>
  <c r="AW202" i="2"/>
  <c r="DI211" i="2"/>
  <c r="DL211" i="2" s="1"/>
  <c r="DH211" i="2"/>
  <c r="DG211" i="2"/>
  <c r="DF211" i="2"/>
  <c r="DD211" i="2"/>
  <c r="DC211" i="2"/>
  <c r="DB211" i="2"/>
  <c r="DA211" i="2"/>
  <c r="DJ211" i="2" s="1"/>
  <c r="CZ211" i="2"/>
  <c r="CY211" i="2"/>
  <c r="CX211" i="2"/>
  <c r="DA219" i="2"/>
  <c r="DJ219" i="2" s="1"/>
  <c r="CZ219" i="2"/>
  <c r="CY219" i="2"/>
  <c r="CX219" i="2"/>
  <c r="DI219" i="2"/>
  <c r="DL219" i="2" s="1"/>
  <c r="DH219" i="2"/>
  <c r="DG219" i="2"/>
  <c r="DF219" i="2"/>
  <c r="BE220" i="2"/>
  <c r="BC220" i="2"/>
  <c r="AZ220" i="2"/>
  <c r="BG225" i="2"/>
  <c r="AV225" i="2"/>
  <c r="BG253" i="2"/>
  <c r="BD253" i="2"/>
  <c r="AY253" i="2"/>
  <c r="AX253" i="2"/>
  <c r="DI143" i="2"/>
  <c r="DL143" i="2" s="1"/>
  <c r="CZ150" i="2"/>
  <c r="DI159" i="2"/>
  <c r="DL159" i="2" s="1"/>
  <c r="AV160" i="2"/>
  <c r="AX162" i="2"/>
  <c r="CZ166" i="2"/>
  <c r="DC169" i="2"/>
  <c r="DI175" i="2"/>
  <c r="DL175" i="2" s="1"/>
  <c r="AV176" i="2"/>
  <c r="AX178" i="2"/>
  <c r="CZ182" i="2"/>
  <c r="DC185" i="2"/>
  <c r="AV193" i="2"/>
  <c r="AY197" i="2"/>
  <c r="DB198" i="2"/>
  <c r="AZ199" i="2"/>
  <c r="AW199" i="2" s="1"/>
  <c r="DG199" i="2"/>
  <c r="DE201" i="2"/>
  <c r="DK201" i="2" s="1"/>
  <c r="DC202" i="2"/>
  <c r="BE205" i="2"/>
  <c r="BC205" i="2"/>
  <c r="AZ205" i="2"/>
  <c r="DD205" i="2"/>
  <c r="DB205" i="2"/>
  <c r="DA205" i="2"/>
  <c r="DJ205" i="2" s="1"/>
  <c r="CY205" i="2"/>
  <c r="CX205" i="2"/>
  <c r="DI205" i="2"/>
  <c r="DL205" i="2" s="1"/>
  <c r="BF207" i="2"/>
  <c r="AW213" i="2"/>
  <c r="AY222" i="2"/>
  <c r="BC223" i="2"/>
  <c r="DI230" i="2"/>
  <c r="DL230" i="2" s="1"/>
  <c r="DH230" i="2"/>
  <c r="DG230" i="2"/>
  <c r="DF230" i="2"/>
  <c r="DE230" i="2"/>
  <c r="DK230" i="2" s="1"/>
  <c r="DD230" i="2"/>
  <c r="DC230" i="2"/>
  <c r="DB230" i="2"/>
  <c r="DA230" i="2"/>
  <c r="DJ230" i="2" s="1"/>
  <c r="CZ230" i="2"/>
  <c r="CY230" i="2"/>
  <c r="CY232" i="2"/>
  <c r="CX232" i="2"/>
  <c r="DI232" i="2"/>
  <c r="DL232" i="2" s="1"/>
  <c r="DH232" i="2"/>
  <c r="DG232" i="2"/>
  <c r="DF232" i="2"/>
  <c r="DE232" i="2"/>
  <c r="DK232" i="2" s="1"/>
  <c r="DD232" i="2"/>
  <c r="DC232" i="2"/>
  <c r="DB232" i="2"/>
  <c r="DA232" i="2"/>
  <c r="DJ232" i="2" s="1"/>
  <c r="BD239" i="2"/>
  <c r="AW246" i="2"/>
  <c r="BE253" i="2"/>
  <c r="BD257" i="2"/>
  <c r="BD149" i="2"/>
  <c r="DA150" i="2"/>
  <c r="DJ150" i="2" s="1"/>
  <c r="AY162" i="2"/>
  <c r="AZ163" i="2"/>
  <c r="BD165" i="2"/>
  <c r="DA166" i="2"/>
  <c r="DJ166" i="2" s="1"/>
  <c r="DD169" i="2"/>
  <c r="AY178" i="2"/>
  <c r="AZ179" i="2"/>
  <c r="BD181" i="2"/>
  <c r="DA182" i="2"/>
  <c r="DJ182" i="2" s="1"/>
  <c r="DD185" i="2"/>
  <c r="DC198" i="2"/>
  <c r="BD201" i="2"/>
  <c r="AY201" i="2"/>
  <c r="CZ206" i="2"/>
  <c r="DC209" i="2"/>
  <c r="DI212" i="2"/>
  <c r="DL212" i="2" s="1"/>
  <c r="DH212" i="2"/>
  <c r="DG212" i="2"/>
  <c r="DE212" i="2"/>
  <c r="DK212" i="2" s="1"/>
  <c r="DD212" i="2"/>
  <c r="DC212" i="2"/>
  <c r="DB212" i="2"/>
  <c r="DA212" i="2"/>
  <c r="DJ212" i="2" s="1"/>
  <c r="CZ212" i="2"/>
  <c r="CY212" i="2"/>
  <c r="AY213" i="2"/>
  <c r="BD219" i="2"/>
  <c r="AY219" i="2"/>
  <c r="AX219" i="2"/>
  <c r="BE222" i="2"/>
  <c r="BC222" i="2"/>
  <c r="AZ222" i="2"/>
  <c r="DA234" i="2"/>
  <c r="DJ234" i="2" s="1"/>
  <c r="CZ234" i="2"/>
  <c r="CY234" i="2"/>
  <c r="CX234" i="2"/>
  <c r="DI234" i="2"/>
  <c r="DL234" i="2" s="1"/>
  <c r="DH234" i="2"/>
  <c r="DG234" i="2"/>
  <c r="DF234" i="2"/>
  <c r="DE234" i="2"/>
  <c r="DK234" i="2" s="1"/>
  <c r="DD234" i="2"/>
  <c r="DC234" i="2"/>
  <c r="BD238" i="2"/>
  <c r="BG242" i="2"/>
  <c r="AV242" i="2"/>
  <c r="BC163" i="2"/>
  <c r="BD164" i="2"/>
  <c r="DE169" i="2"/>
  <c r="DK169" i="2" s="1"/>
  <c r="BC179" i="2"/>
  <c r="BD180" i="2"/>
  <c r="DE185" i="2"/>
  <c r="DK185" i="2" s="1"/>
  <c r="BE196" i="2"/>
  <c r="AY198" i="2"/>
  <c r="AW198" i="2" s="1"/>
  <c r="DE198" i="2"/>
  <c r="DK198" i="2" s="1"/>
  <c r="DE202" i="2"/>
  <c r="DK202" i="2" s="1"/>
  <c r="DC206" i="2"/>
  <c r="DF209" i="2"/>
  <c r="BG210" i="2"/>
  <c r="BE211" i="2"/>
  <c r="BC211" i="2"/>
  <c r="AZ211" i="2"/>
  <c r="CX214" i="2"/>
  <c r="AV215" i="2"/>
  <c r="BG215" i="2"/>
  <c r="CZ218" i="2"/>
  <c r="CY218" i="2"/>
  <c r="CX218" i="2"/>
  <c r="DI218" i="2"/>
  <c r="DL218" i="2" s="1"/>
  <c r="DH218" i="2"/>
  <c r="DG218" i="2"/>
  <c r="DF218" i="2"/>
  <c r="DE218" i="2"/>
  <c r="DK218" i="2" s="1"/>
  <c r="BE219" i="2"/>
  <c r="BC219" i="2"/>
  <c r="AZ219" i="2"/>
  <c r="BG221" i="2"/>
  <c r="BF222" i="2"/>
  <c r="AV226" i="2"/>
  <c r="BE227" i="2"/>
  <c r="BE237" i="2"/>
  <c r="BC237" i="2"/>
  <c r="AZ237" i="2"/>
  <c r="AV238" i="2"/>
  <c r="BF239" i="2"/>
  <c r="BF255" i="2"/>
  <c r="AV255" i="2"/>
  <c r="DC150" i="2"/>
  <c r="CY162" i="2"/>
  <c r="DC166" i="2"/>
  <c r="DF169" i="2"/>
  <c r="AX175" i="2"/>
  <c r="AY176" i="2"/>
  <c r="CY178" i="2"/>
  <c r="DC182" i="2"/>
  <c r="DF185" i="2"/>
  <c r="AX192" i="2"/>
  <c r="AY193" i="2"/>
  <c r="BD197" i="2"/>
  <c r="DF198" i="2"/>
  <c r="CX199" i="2"/>
  <c r="DH199" i="2"/>
  <c r="DE199" i="2"/>
  <c r="DK199" i="2" s="1"/>
  <c r="CX200" i="2"/>
  <c r="BE203" i="2"/>
  <c r="BD204" i="2"/>
  <c r="AY204" i="2"/>
  <c r="AX204" i="2"/>
  <c r="DE206" i="2"/>
  <c r="DK206" i="2" s="1"/>
  <c r="BG207" i="2"/>
  <c r="AV207" i="2"/>
  <c r="DH209" i="2"/>
  <c r="BF211" i="2"/>
  <c r="BE212" i="2"/>
  <c r="DI213" i="2"/>
  <c r="DL213" i="2" s="1"/>
  <c r="DH213" i="2"/>
  <c r="DF213" i="2"/>
  <c r="DE213" i="2"/>
  <c r="DK213" i="2" s="1"/>
  <c r="DD213" i="2"/>
  <c r="DC213" i="2"/>
  <c r="DB213" i="2"/>
  <c r="DA213" i="2"/>
  <c r="DJ213" i="2" s="1"/>
  <c r="CZ213" i="2"/>
  <c r="AY214" i="2"/>
  <c r="CY214" i="2"/>
  <c r="AV220" i="2"/>
  <c r="AW226" i="2"/>
  <c r="BD256" i="2"/>
  <c r="BC145" i="2"/>
  <c r="DA147" i="2"/>
  <c r="DJ147" i="2" s="1"/>
  <c r="DD150" i="2"/>
  <c r="BD162" i="2"/>
  <c r="CZ162" i="2"/>
  <c r="DA163" i="2"/>
  <c r="DJ163" i="2" s="1"/>
  <c r="DD166" i="2"/>
  <c r="DG169" i="2"/>
  <c r="AX174" i="2"/>
  <c r="AZ176" i="2"/>
  <c r="BD178" i="2"/>
  <c r="CZ178" i="2"/>
  <c r="DA179" i="2"/>
  <c r="DJ179" i="2" s="1"/>
  <c r="DD182" i="2"/>
  <c r="DG185" i="2"/>
  <c r="AX191" i="2"/>
  <c r="AZ193" i="2"/>
  <c r="DH198" i="2"/>
  <c r="AZ200" i="2"/>
  <c r="CZ200" i="2"/>
  <c r="BE204" i="2"/>
  <c r="DF206" i="2"/>
  <c r="AV209" i="2"/>
  <c r="DI209" i="2"/>
  <c r="DL209" i="2" s="1"/>
  <c r="BF212" i="2"/>
  <c r="BG213" i="2"/>
  <c r="CZ214" i="2"/>
  <c r="BD218" i="2"/>
  <c r="AY218" i="2"/>
  <c r="AX218" i="2"/>
  <c r="BG223" i="2"/>
  <c r="AV223" i="2"/>
  <c r="AV224" i="2"/>
  <c r="DH225" i="2"/>
  <c r="BD226" i="2"/>
  <c r="AW228" i="2"/>
  <c r="DI228" i="2"/>
  <c r="DL228" i="2" s="1"/>
  <c r="DH228" i="2"/>
  <c r="DG228" i="2"/>
  <c r="DF228" i="2"/>
  <c r="DE228" i="2"/>
  <c r="DK228" i="2" s="1"/>
  <c r="DD228" i="2"/>
  <c r="DC228" i="2"/>
  <c r="DB228" i="2"/>
  <c r="DA228" i="2"/>
  <c r="DJ228" i="2" s="1"/>
  <c r="CZ228" i="2"/>
  <c r="CY228" i="2"/>
  <c r="AW230" i="2"/>
  <c r="DB235" i="2"/>
  <c r="DA235" i="2"/>
  <c r="DJ235" i="2" s="1"/>
  <c r="CZ235" i="2"/>
  <c r="CY235" i="2"/>
  <c r="CX235" i="2"/>
  <c r="DI235" i="2"/>
  <c r="DL235" i="2" s="1"/>
  <c r="DH235" i="2"/>
  <c r="DG235" i="2"/>
  <c r="DF235" i="2"/>
  <c r="DE235" i="2"/>
  <c r="DK235" i="2" s="1"/>
  <c r="DD235" i="2"/>
  <c r="DI244" i="2"/>
  <c r="DL244" i="2" s="1"/>
  <c r="DH244" i="2"/>
  <c r="DG244" i="2"/>
  <c r="DF244" i="2"/>
  <c r="DE244" i="2"/>
  <c r="DK244" i="2" s="1"/>
  <c r="DD244" i="2"/>
  <c r="DC244" i="2"/>
  <c r="DB244" i="2"/>
  <c r="DA244" i="2"/>
  <c r="DJ244" i="2" s="1"/>
  <c r="CZ244" i="2"/>
  <c r="CY244" i="2"/>
  <c r="CX244" i="2"/>
  <c r="BG246" i="2"/>
  <c r="CY249" i="2"/>
  <c r="CX249" i="2"/>
  <c r="DI249" i="2"/>
  <c r="DL249" i="2" s="1"/>
  <c r="DH249" i="2"/>
  <c r="DG249" i="2"/>
  <c r="DF249" i="2"/>
  <c r="DE249" i="2"/>
  <c r="DK249" i="2" s="1"/>
  <c r="DD249" i="2"/>
  <c r="DC249" i="2"/>
  <c r="DB249" i="2"/>
  <c r="DA249" i="2"/>
  <c r="DJ249" i="2" s="1"/>
  <c r="BF259" i="2"/>
  <c r="BD259" i="2"/>
  <c r="AV259" i="2"/>
  <c r="BF262" i="2"/>
  <c r="BF266" i="2"/>
  <c r="DE150" i="2"/>
  <c r="DK150" i="2" s="1"/>
  <c r="DA162" i="2"/>
  <c r="DJ162" i="2" s="1"/>
  <c r="DE166" i="2"/>
  <c r="DK166" i="2" s="1"/>
  <c r="DH169" i="2"/>
  <c r="AZ175" i="2"/>
  <c r="DA178" i="2"/>
  <c r="DJ178" i="2" s="1"/>
  <c r="DE182" i="2"/>
  <c r="DK182" i="2" s="1"/>
  <c r="DH185" i="2"/>
  <c r="AX190" i="2"/>
  <c r="AZ192" i="2"/>
  <c r="DI198" i="2"/>
  <c r="DL198" i="2" s="1"/>
  <c r="BD200" i="2"/>
  <c r="DA200" i="2"/>
  <c r="DJ200" i="2" s="1"/>
  <c r="CZ201" i="2"/>
  <c r="CX201" i="2"/>
  <c r="DH201" i="2"/>
  <c r="DG201" i="2"/>
  <c r="BE202" i="2"/>
  <c r="BC202" i="2"/>
  <c r="AZ202" i="2"/>
  <c r="BD203" i="2"/>
  <c r="AX203" i="2"/>
  <c r="DG206" i="2"/>
  <c r="DH214" i="2"/>
  <c r="DI225" i="2"/>
  <c r="DL225" i="2" s="1"/>
  <c r="DI247" i="2"/>
  <c r="DL247" i="2" s="1"/>
  <c r="DH247" i="2"/>
  <c r="DG247" i="2"/>
  <c r="DF247" i="2"/>
  <c r="DE247" i="2"/>
  <c r="DK247" i="2" s="1"/>
  <c r="DD247" i="2"/>
  <c r="DC247" i="2"/>
  <c r="DB247" i="2"/>
  <c r="DA247" i="2"/>
  <c r="DJ247" i="2" s="1"/>
  <c r="CZ247" i="2"/>
  <c r="CY247" i="2"/>
  <c r="DA251" i="2"/>
  <c r="DJ251" i="2" s="1"/>
  <c r="CZ251" i="2"/>
  <c r="CY251" i="2"/>
  <c r="CX251" i="2"/>
  <c r="DI251" i="2"/>
  <c r="DL251" i="2" s="1"/>
  <c r="DH251" i="2"/>
  <c r="DG251" i="2"/>
  <c r="DF251" i="2"/>
  <c r="DE251" i="2"/>
  <c r="DK251" i="2" s="1"/>
  <c r="DD251" i="2"/>
  <c r="DC251" i="2"/>
  <c r="AV257" i="2"/>
  <c r="BG257" i="2"/>
  <c r="AV195" i="2"/>
  <c r="BE200" i="2"/>
  <c r="DB200" i="2"/>
  <c r="AV201" i="2"/>
  <c r="DA202" i="2"/>
  <c r="DJ202" i="2" s="1"/>
  <c r="CY202" i="2"/>
  <c r="CX202" i="2"/>
  <c r="DI202" i="2"/>
  <c r="DL202" i="2" s="1"/>
  <c r="DH202" i="2"/>
  <c r="BC203" i="2"/>
  <c r="DH206" i="2"/>
  <c r="BG211" i="2"/>
  <c r="BD224" i="2"/>
  <c r="AW231" i="2"/>
  <c r="DI242" i="2"/>
  <c r="DL242" i="2" s="1"/>
  <c r="BE254" i="2"/>
  <c r="BC254" i="2"/>
  <c r="AZ254" i="2"/>
  <c r="BD231" i="2"/>
  <c r="CZ231" i="2"/>
  <c r="BG234" i="2"/>
  <c r="BD248" i="2"/>
  <c r="CZ248" i="2"/>
  <c r="BG251" i="2"/>
  <c r="BG260" i="2"/>
  <c r="DD277" i="2"/>
  <c r="DB277" i="2"/>
  <c r="CZ277" i="2"/>
  <c r="DI277" i="2"/>
  <c r="DL277" i="2" s="1"/>
  <c r="DG277" i="2"/>
  <c r="DF277" i="2"/>
  <c r="AV283" i="2"/>
  <c r="BG283" i="2"/>
  <c r="CZ289" i="2"/>
  <c r="CY289" i="2"/>
  <c r="CX289" i="2"/>
  <c r="DI289" i="2"/>
  <c r="DL289" i="2" s="1"/>
  <c r="DH289" i="2"/>
  <c r="DG289" i="2"/>
  <c r="DF289" i="2"/>
  <c r="DE289" i="2"/>
  <c r="DK289" i="2" s="1"/>
  <c r="DD289" i="2"/>
  <c r="DC289" i="2"/>
  <c r="DB289" i="2"/>
  <c r="AY292" i="2"/>
  <c r="AX292" i="2"/>
  <c r="BG297" i="2"/>
  <c r="AV297" i="2"/>
  <c r="DI298" i="2"/>
  <c r="DL298" i="2" s="1"/>
  <c r="DH298" i="2"/>
  <c r="DG298" i="2"/>
  <c r="DF298" i="2"/>
  <c r="DE298" i="2"/>
  <c r="DK298" i="2" s="1"/>
  <c r="DD298" i="2"/>
  <c r="DC298" i="2"/>
  <c r="DB298" i="2"/>
  <c r="DA298" i="2"/>
  <c r="DJ298" i="2" s="1"/>
  <c r="CZ298" i="2"/>
  <c r="CY298" i="2"/>
  <c r="CX298" i="2"/>
  <c r="CZ305" i="2"/>
  <c r="CY305" i="2"/>
  <c r="CX305" i="2"/>
  <c r="DI305" i="2"/>
  <c r="DL305" i="2" s="1"/>
  <c r="DH305" i="2"/>
  <c r="DG305" i="2"/>
  <c r="DF305" i="2"/>
  <c r="DE305" i="2"/>
  <c r="DK305" i="2" s="1"/>
  <c r="DD305" i="2"/>
  <c r="DC305" i="2"/>
  <c r="DB305" i="2"/>
  <c r="AW333" i="2"/>
  <c r="DD262" i="2"/>
  <c r="CY262" i="2"/>
  <c r="DI262" i="2"/>
  <c r="DL262" i="2" s="1"/>
  <c r="DH262" i="2"/>
  <c r="AV266" i="2"/>
  <c r="BG266" i="2"/>
  <c r="DH266" i="2"/>
  <c r="DC266" i="2"/>
  <c r="CY266" i="2"/>
  <c r="DE268" i="2"/>
  <c r="DK268" i="2" s="1"/>
  <c r="DA268" i="2"/>
  <c r="DJ268" i="2" s="1"/>
  <c r="CY268" i="2"/>
  <c r="CX268" i="2"/>
  <c r="CX303" i="2"/>
  <c r="DI303" i="2"/>
  <c r="DL303" i="2" s="1"/>
  <c r="DH303" i="2"/>
  <c r="DG303" i="2"/>
  <c r="DF303" i="2"/>
  <c r="DE303" i="2"/>
  <c r="DK303" i="2" s="1"/>
  <c r="DD303" i="2"/>
  <c r="DC303" i="2"/>
  <c r="DB303" i="2"/>
  <c r="DA303" i="2"/>
  <c r="DJ303" i="2" s="1"/>
  <c r="CZ303" i="2"/>
  <c r="DI317" i="2"/>
  <c r="DL317" i="2" s="1"/>
  <c r="DH317" i="2"/>
  <c r="DG317" i="2"/>
  <c r="DF317" i="2"/>
  <c r="DE317" i="2"/>
  <c r="DK317" i="2" s="1"/>
  <c r="DD317" i="2"/>
  <c r="DC317" i="2"/>
  <c r="DB317" i="2"/>
  <c r="DA317" i="2"/>
  <c r="DJ317" i="2" s="1"/>
  <c r="CZ317" i="2"/>
  <c r="CY317" i="2"/>
  <c r="CX317" i="2"/>
  <c r="BG374" i="2"/>
  <c r="AV374" i="2"/>
  <c r="DH204" i="2"/>
  <c r="AX209" i="2"/>
  <c r="BC212" i="2"/>
  <c r="BD213" i="2"/>
  <c r="DD217" i="2"/>
  <c r="DG220" i="2"/>
  <c r="DH221" i="2"/>
  <c r="AX225" i="2"/>
  <c r="AY226" i="2"/>
  <c r="AZ227" i="2"/>
  <c r="BC228" i="2"/>
  <c r="DB231" i="2"/>
  <c r="DG236" i="2"/>
  <c r="AV239" i="2"/>
  <c r="AV240" i="2"/>
  <c r="AX242" i="2"/>
  <c r="AY243" i="2"/>
  <c r="AW243" i="2" s="1"/>
  <c r="AZ244" i="2"/>
  <c r="BC245" i="2"/>
  <c r="CY245" i="2"/>
  <c r="BD246" i="2"/>
  <c r="DB248" i="2"/>
  <c r="DD250" i="2"/>
  <c r="DG253" i="2"/>
  <c r="DH254" i="2"/>
  <c r="AV256" i="2"/>
  <c r="AX257" i="2"/>
  <c r="DA258" i="2"/>
  <c r="DJ258" i="2" s="1"/>
  <c r="DF260" i="2"/>
  <c r="CY263" i="2"/>
  <c r="DA265" i="2"/>
  <c r="DJ265" i="2" s="1"/>
  <c r="AV271" i="2"/>
  <c r="CZ271" i="2"/>
  <c r="CY272" i="2"/>
  <c r="DE276" i="2"/>
  <c r="DK276" i="2" s="1"/>
  <c r="CZ278" i="2"/>
  <c r="BE300" i="2"/>
  <c r="DC308" i="2"/>
  <c r="DB308" i="2"/>
  <c r="DA308" i="2"/>
  <c r="DJ308" i="2" s="1"/>
  <c r="CZ308" i="2"/>
  <c r="CY308" i="2"/>
  <c r="CX308" i="2"/>
  <c r="DI308" i="2"/>
  <c r="DL308" i="2" s="1"/>
  <c r="DH308" i="2"/>
  <c r="DG308" i="2"/>
  <c r="DF308" i="2"/>
  <c r="DE308" i="2"/>
  <c r="DK308" i="2" s="1"/>
  <c r="BE342" i="2"/>
  <c r="AY342" i="2"/>
  <c r="AX342" i="2"/>
  <c r="BD342" i="2"/>
  <c r="BD212" i="2"/>
  <c r="DH220" i="2"/>
  <c r="BC227" i="2"/>
  <c r="BD228" i="2"/>
  <c r="BG231" i="2"/>
  <c r="DC231" i="2"/>
  <c r="DH236" i="2"/>
  <c r="BC244" i="2"/>
  <c r="BD245" i="2"/>
  <c r="CZ245" i="2"/>
  <c r="BG248" i="2"/>
  <c r="DC248" i="2"/>
  <c r="DH253" i="2"/>
  <c r="DB258" i="2"/>
  <c r="BF260" i="2"/>
  <c r="DG260" i="2"/>
  <c r="BC263" i="2"/>
  <c r="DH264" i="2"/>
  <c r="DF264" i="2"/>
  <c r="DA264" i="2"/>
  <c r="DJ264" i="2" s="1"/>
  <c r="DC265" i="2"/>
  <c r="AV268" i="2"/>
  <c r="AY269" i="2"/>
  <c r="AW269" i="2" s="1"/>
  <c r="BD269" i="2"/>
  <c r="DA272" i="2"/>
  <c r="DJ272" i="2" s="1"/>
  <c r="BE273" i="2"/>
  <c r="BC273" i="2"/>
  <c r="AY273" i="2"/>
  <c r="AW273" i="2" s="1"/>
  <c r="DB278" i="2"/>
  <c r="BF280" i="2"/>
  <c r="DG280" i="2"/>
  <c r="DE280" i="2"/>
  <c r="DK280" i="2" s="1"/>
  <c r="DC280" i="2"/>
  <c r="CZ280" i="2"/>
  <c r="CY280" i="2"/>
  <c r="CX280" i="2"/>
  <c r="DI280" i="2"/>
  <c r="DL280" i="2" s="1"/>
  <c r="CX286" i="2"/>
  <c r="DB291" i="2"/>
  <c r="DA291" i="2"/>
  <c r="DJ291" i="2" s="1"/>
  <c r="CZ291" i="2"/>
  <c r="CX291" i="2"/>
  <c r="DI291" i="2"/>
  <c r="DL291" i="2" s="1"/>
  <c r="DH291" i="2"/>
  <c r="DG291" i="2"/>
  <c r="DF291" i="2"/>
  <c r="DE291" i="2"/>
  <c r="DK291" i="2" s="1"/>
  <c r="DD291" i="2"/>
  <c r="DG296" i="2"/>
  <c r="DF296" i="2"/>
  <c r="DE296" i="2"/>
  <c r="DK296" i="2" s="1"/>
  <c r="DC296" i="2"/>
  <c r="DB296" i="2"/>
  <c r="DA296" i="2"/>
  <c r="DJ296" i="2" s="1"/>
  <c r="CZ296" i="2"/>
  <c r="CY296" i="2"/>
  <c r="CX296" i="2"/>
  <c r="DI296" i="2"/>
  <c r="DL296" i="2" s="1"/>
  <c r="BF310" i="2"/>
  <c r="BC310" i="2"/>
  <c r="BD385" i="2"/>
  <c r="AY385" i="2"/>
  <c r="AX385" i="2"/>
  <c r="AY208" i="2"/>
  <c r="AZ209" i="2"/>
  <c r="BC210" i="2"/>
  <c r="CY210" i="2"/>
  <c r="BF213" i="2"/>
  <c r="BG214" i="2"/>
  <c r="DF217" i="2"/>
  <c r="DI220" i="2"/>
  <c r="DL220" i="2" s="1"/>
  <c r="AV221" i="2"/>
  <c r="AX223" i="2"/>
  <c r="AY224" i="2"/>
  <c r="AZ225" i="2"/>
  <c r="BC226" i="2"/>
  <c r="CY226" i="2"/>
  <c r="BF229" i="2"/>
  <c r="BG230" i="2"/>
  <c r="DD231" i="2"/>
  <c r="DF233" i="2"/>
  <c r="DI236" i="2"/>
  <c r="DL236" i="2" s="1"/>
  <c r="AV237" i="2"/>
  <c r="AX239" i="2"/>
  <c r="AX240" i="2"/>
  <c r="AY241" i="2"/>
  <c r="AZ242" i="2"/>
  <c r="BC243" i="2"/>
  <c r="CY243" i="2"/>
  <c r="DA245" i="2"/>
  <c r="DJ245" i="2" s="1"/>
  <c r="BF246" i="2"/>
  <c r="BG247" i="2"/>
  <c r="DD248" i="2"/>
  <c r="DF250" i="2"/>
  <c r="DI253" i="2"/>
  <c r="DL253" i="2" s="1"/>
  <c r="AV254" i="2"/>
  <c r="AX256" i="2"/>
  <c r="AZ257" i="2"/>
  <c r="CX257" i="2"/>
  <c r="DC258" i="2"/>
  <c r="AV262" i="2"/>
  <c r="BE263" i="2"/>
  <c r="DB263" i="2"/>
  <c r="DD265" i="2"/>
  <c r="AZ267" i="2"/>
  <c r="BC269" i="2"/>
  <c r="DD272" i="2"/>
  <c r="DA273" i="2"/>
  <c r="DJ273" i="2" s="1"/>
  <c r="CY273" i="2"/>
  <c r="DI273" i="2"/>
  <c r="DL273" i="2" s="1"/>
  <c r="DH273" i="2"/>
  <c r="DF273" i="2"/>
  <c r="DD273" i="2"/>
  <c r="DC273" i="2"/>
  <c r="AV274" i="2"/>
  <c r="AY276" i="2"/>
  <c r="BC278" i="2"/>
  <c r="BG280" i="2"/>
  <c r="BD280" i="2"/>
  <c r="AY280" i="2"/>
  <c r="AX280" i="2"/>
  <c r="BG281" i="2"/>
  <c r="DC282" i="2"/>
  <c r="AV285" i="2"/>
  <c r="BG285" i="2"/>
  <c r="BD285" i="2"/>
  <c r="BC327" i="2"/>
  <c r="AX205" i="2"/>
  <c r="AX206" i="2"/>
  <c r="BC209" i="2"/>
  <c r="CZ210" i="2"/>
  <c r="DG217" i="2"/>
  <c r="AX222" i="2"/>
  <c r="AY223" i="2"/>
  <c r="AZ224" i="2"/>
  <c r="BC225" i="2"/>
  <c r="CZ226" i="2"/>
  <c r="DE231" i="2"/>
  <c r="DK231" i="2" s="1"/>
  <c r="DG233" i="2"/>
  <c r="AX238" i="2"/>
  <c r="AY239" i="2"/>
  <c r="AY240" i="2"/>
  <c r="AZ241" i="2"/>
  <c r="BC242" i="2"/>
  <c r="CZ243" i="2"/>
  <c r="DB245" i="2"/>
  <c r="DE248" i="2"/>
  <c r="DK248" i="2" s="1"/>
  <c r="DG250" i="2"/>
  <c r="AX255" i="2"/>
  <c r="AY256" i="2"/>
  <c r="BC257" i="2"/>
  <c r="CY257" i="2"/>
  <c r="DD258" i="2"/>
  <c r="DC263" i="2"/>
  <c r="BG265" i="2"/>
  <c r="DE265" i="2"/>
  <c r="DK265" i="2" s="1"/>
  <c r="BF269" i="2"/>
  <c r="DF272" i="2"/>
  <c r="AY275" i="2"/>
  <c r="BD278" i="2"/>
  <c r="BD281" i="2"/>
  <c r="DD282" i="2"/>
  <c r="BF327" i="2"/>
  <c r="BD327" i="2"/>
  <c r="AW331" i="2"/>
  <c r="AZ207" i="2"/>
  <c r="DA210" i="2"/>
  <c r="DJ210" i="2" s="1"/>
  <c r="BG212" i="2"/>
  <c r="DH217" i="2"/>
  <c r="AZ223" i="2"/>
  <c r="BC224" i="2"/>
  <c r="DA226" i="2"/>
  <c r="DJ226" i="2" s="1"/>
  <c r="BG228" i="2"/>
  <c r="DF231" i="2"/>
  <c r="DH233" i="2"/>
  <c r="AX237" i="2"/>
  <c r="AZ239" i="2"/>
  <c r="AZ240" i="2"/>
  <c r="BC241" i="2"/>
  <c r="DA243" i="2"/>
  <c r="DJ243" i="2" s="1"/>
  <c r="BG245" i="2"/>
  <c r="DC245" i="2"/>
  <c r="DF248" i="2"/>
  <c r="DH250" i="2"/>
  <c r="AX254" i="2"/>
  <c r="AZ256" i="2"/>
  <c r="CZ257" i="2"/>
  <c r="DE258" i="2"/>
  <c r="DK258" i="2" s="1"/>
  <c r="AY259" i="2"/>
  <c r="DC261" i="2"/>
  <c r="CX261" i="2"/>
  <c r="DH261" i="2"/>
  <c r="DG261" i="2"/>
  <c r="AY262" i="2"/>
  <c r="CX262" i="2"/>
  <c r="DD263" i="2"/>
  <c r="DF265" i="2"/>
  <c r="CX266" i="2"/>
  <c r="AX270" i="2"/>
  <c r="BD270" i="2"/>
  <c r="DD276" i="2"/>
  <c r="DB276" i="2"/>
  <c r="CZ276" i="2"/>
  <c r="DI276" i="2"/>
  <c r="DL276" i="2" s="1"/>
  <c r="DG276" i="2"/>
  <c r="DF276" i="2"/>
  <c r="BE281" i="2"/>
  <c r="BC281" i="2"/>
  <c r="AZ281" i="2"/>
  <c r="DF282" i="2"/>
  <c r="AW288" i="2"/>
  <c r="CX290" i="2"/>
  <c r="AW303" i="2"/>
  <c r="DI318" i="2"/>
  <c r="DL318" i="2" s="1"/>
  <c r="DH318" i="2"/>
  <c r="DG318" i="2"/>
  <c r="DF318" i="2"/>
  <c r="DE318" i="2"/>
  <c r="DK318" i="2" s="1"/>
  <c r="DD318" i="2"/>
  <c r="DC318" i="2"/>
  <c r="DB318" i="2"/>
  <c r="DA318" i="2"/>
  <c r="DJ318" i="2" s="1"/>
  <c r="CZ318" i="2"/>
  <c r="CY318" i="2"/>
  <c r="CY207" i="2"/>
  <c r="DB210" i="2"/>
  <c r="DI217" i="2"/>
  <c r="DL217" i="2" s="1"/>
  <c r="CY223" i="2"/>
  <c r="DB226" i="2"/>
  <c r="DG231" i="2"/>
  <c r="DI233" i="2"/>
  <c r="DL233" i="2" s="1"/>
  <c r="AY237" i="2"/>
  <c r="AZ238" i="2"/>
  <c r="CY239" i="2"/>
  <c r="CY240" i="2"/>
  <c r="DB243" i="2"/>
  <c r="DD245" i="2"/>
  <c r="DG248" i="2"/>
  <c r="DI250" i="2"/>
  <c r="DL250" i="2" s="1"/>
  <c r="AY254" i="2"/>
  <c r="AZ255" i="2"/>
  <c r="CY256" i="2"/>
  <c r="DA257" i="2"/>
  <c r="DJ257" i="2" s="1"/>
  <c r="DF258" i="2"/>
  <c r="AZ259" i="2"/>
  <c r="CX259" i="2"/>
  <c r="BG261" i="2"/>
  <c r="AV261" i="2"/>
  <c r="CZ262" i="2"/>
  <c r="BD263" i="2"/>
  <c r="AX263" i="2"/>
  <c r="DF263" i="2"/>
  <c r="AZ265" i="2"/>
  <c r="CZ266" i="2"/>
  <c r="AZ270" i="2"/>
  <c r="BE270" i="2"/>
  <c r="AY271" i="2"/>
  <c r="BD275" i="2"/>
  <c r="BE278" i="2"/>
  <c r="AY278" i="2"/>
  <c r="AX278" i="2"/>
  <c r="DE278" i="2"/>
  <c r="DK278" i="2" s="1"/>
  <c r="DC278" i="2"/>
  <c r="DA278" i="2"/>
  <c r="DJ278" i="2" s="1"/>
  <c r="CX278" i="2"/>
  <c r="DH278" i="2"/>
  <c r="DG278" i="2"/>
  <c r="AW286" i="2"/>
  <c r="DI286" i="2"/>
  <c r="DL286" i="2" s="1"/>
  <c r="DH286" i="2"/>
  <c r="DF286" i="2"/>
  <c r="DE286" i="2"/>
  <c r="DK286" i="2" s="1"/>
  <c r="DD286" i="2"/>
  <c r="DC286" i="2"/>
  <c r="DB286" i="2"/>
  <c r="DA286" i="2"/>
  <c r="DJ286" i="2" s="1"/>
  <c r="CZ286" i="2"/>
  <c r="CY286" i="2"/>
  <c r="BG296" i="2"/>
  <c r="BE296" i="2"/>
  <c r="BD296" i="2"/>
  <c r="AY296" i="2"/>
  <c r="AX296" i="2"/>
  <c r="BD308" i="2"/>
  <c r="AY308" i="2"/>
  <c r="AX308" i="2"/>
  <c r="DI314" i="2"/>
  <c r="DL314" i="2" s="1"/>
  <c r="DH314" i="2"/>
  <c r="DG314" i="2"/>
  <c r="DF314" i="2"/>
  <c r="DE314" i="2"/>
  <c r="DK314" i="2" s="1"/>
  <c r="DD314" i="2"/>
  <c r="DC314" i="2"/>
  <c r="DB314" i="2"/>
  <c r="DA314" i="2"/>
  <c r="DJ314" i="2" s="1"/>
  <c r="CZ314" i="2"/>
  <c r="CY314" i="2"/>
  <c r="CX314" i="2"/>
  <c r="BF331" i="2"/>
  <c r="BC331" i="2"/>
  <c r="DC210" i="2"/>
  <c r="DC226" i="2"/>
  <c r="DH231" i="2"/>
  <c r="AX235" i="2"/>
  <c r="BC238" i="2"/>
  <c r="DC243" i="2"/>
  <c r="DE245" i="2"/>
  <c r="DK245" i="2" s="1"/>
  <c r="DH248" i="2"/>
  <c r="AX252" i="2"/>
  <c r="BC255" i="2"/>
  <c r="DB257" i="2"/>
  <c r="DG258" i="2"/>
  <c r="BC259" i="2"/>
  <c r="BD262" i="2"/>
  <c r="DA262" i="2"/>
  <c r="DJ262" i="2" s="1"/>
  <c r="AX264" i="2"/>
  <c r="CX264" i="2"/>
  <c r="DA266" i="2"/>
  <c r="DJ266" i="2" s="1"/>
  <c r="CZ268" i="2"/>
  <c r="DF269" i="2"/>
  <c r="DB269" i="2"/>
  <c r="CZ269" i="2"/>
  <c r="CY269" i="2"/>
  <c r="CX270" i="2"/>
  <c r="DG270" i="2"/>
  <c r="DC270" i="2"/>
  <c r="DA270" i="2"/>
  <c r="DJ270" i="2" s="1"/>
  <c r="CZ270" i="2"/>
  <c r="BC271" i="2"/>
  <c r="BE271" i="2"/>
  <c r="BD272" i="2"/>
  <c r="AX272" i="2"/>
  <c r="BF275" i="2"/>
  <c r="AV282" i="2"/>
  <c r="BE299" i="2"/>
  <c r="AW304" i="2"/>
  <c r="BE308" i="2"/>
  <c r="BG313" i="2"/>
  <c r="AV313" i="2"/>
  <c r="BE317" i="2"/>
  <c r="AW318" i="2"/>
  <c r="CX319" i="2"/>
  <c r="DI319" i="2"/>
  <c r="DL319" i="2" s="1"/>
  <c r="DH319" i="2"/>
  <c r="DG319" i="2"/>
  <c r="DF319" i="2"/>
  <c r="DE319" i="2"/>
  <c r="DK319" i="2" s="1"/>
  <c r="DD319" i="2"/>
  <c r="DC319" i="2"/>
  <c r="DB319" i="2"/>
  <c r="DA319" i="2"/>
  <c r="DJ319" i="2" s="1"/>
  <c r="CZ319" i="2"/>
  <c r="BD321" i="2"/>
  <c r="AY321" i="2"/>
  <c r="AX321" i="2"/>
  <c r="AW323" i="2"/>
  <c r="AX234" i="2"/>
  <c r="AY235" i="2"/>
  <c r="AZ236" i="2"/>
  <c r="DF245" i="2"/>
  <c r="AX251" i="2"/>
  <c r="AY252" i="2"/>
  <c r="AZ253" i="2"/>
  <c r="DH258" i="2"/>
  <c r="DB260" i="2"/>
  <c r="DI260" i="2"/>
  <c r="DL260" i="2" s="1"/>
  <c r="DB262" i="2"/>
  <c r="DI265" i="2"/>
  <c r="DL265" i="2" s="1"/>
  <c r="DG265" i="2"/>
  <c r="DB265" i="2"/>
  <c r="CX265" i="2"/>
  <c r="BD266" i="2"/>
  <c r="DB266" i="2"/>
  <c r="DB268" i="2"/>
  <c r="BF271" i="2"/>
  <c r="CZ272" i="2"/>
  <c r="CX272" i="2"/>
  <c r="DI272" i="2"/>
  <c r="DL272" i="2" s="1"/>
  <c r="DH272" i="2"/>
  <c r="DE272" i="2"/>
  <c r="DK272" i="2" s="1"/>
  <c r="DC272" i="2"/>
  <c r="DB272" i="2"/>
  <c r="AW274" i="2"/>
  <c r="AW275" i="2"/>
  <c r="DI282" i="2"/>
  <c r="DL282" i="2" s="1"/>
  <c r="DG282" i="2"/>
  <c r="DE282" i="2"/>
  <c r="DK282" i="2" s="1"/>
  <c r="DB282" i="2"/>
  <c r="DA282" i="2"/>
  <c r="DJ282" i="2" s="1"/>
  <c r="CZ282" i="2"/>
  <c r="CY282" i="2"/>
  <c r="CX282" i="2"/>
  <c r="DA290" i="2"/>
  <c r="DJ290" i="2" s="1"/>
  <c r="CZ290" i="2"/>
  <c r="CY290" i="2"/>
  <c r="DI290" i="2"/>
  <c r="DL290" i="2" s="1"/>
  <c r="DH290" i="2"/>
  <c r="DG290" i="2"/>
  <c r="DF290" i="2"/>
  <c r="DE290" i="2"/>
  <c r="DK290" i="2" s="1"/>
  <c r="DD290" i="2"/>
  <c r="DC290" i="2"/>
  <c r="BF311" i="2"/>
  <c r="BD311" i="2"/>
  <c r="AW328" i="2"/>
  <c r="CY333" i="2"/>
  <c r="DH333" i="2"/>
  <c r="DD333" i="2"/>
  <c r="DC333" i="2"/>
  <c r="DB333" i="2"/>
  <c r="DI333" i="2"/>
  <c r="DL333" i="2" s="1"/>
  <c r="DG333" i="2"/>
  <c r="DF333" i="2"/>
  <c r="DE333" i="2"/>
  <c r="DK333" i="2" s="1"/>
  <c r="DA333" i="2"/>
  <c r="DJ333" i="2" s="1"/>
  <c r="CZ333" i="2"/>
  <c r="CX333" i="2"/>
  <c r="CZ204" i="2"/>
  <c r="DE210" i="2"/>
  <c r="DK210" i="2" s="1"/>
  <c r="AX217" i="2"/>
  <c r="CY220" i="2"/>
  <c r="CZ221" i="2"/>
  <c r="DE226" i="2"/>
  <c r="DK226" i="2" s="1"/>
  <c r="AX233" i="2"/>
  <c r="AY234" i="2"/>
  <c r="AZ235" i="2"/>
  <c r="BC236" i="2"/>
  <c r="CY236" i="2"/>
  <c r="CZ237" i="2"/>
  <c r="DE243" i="2"/>
  <c r="DK243" i="2" s="1"/>
  <c r="DG245" i="2"/>
  <c r="AY251" i="2"/>
  <c r="AZ252" i="2"/>
  <c r="BC253" i="2"/>
  <c r="CY253" i="2"/>
  <c r="CZ254" i="2"/>
  <c r="DD257" i="2"/>
  <c r="DC262" i="2"/>
  <c r="CZ264" i="2"/>
  <c r="DD266" i="2"/>
  <c r="AY268" i="2"/>
  <c r="DC268" i="2"/>
  <c r="BF272" i="2"/>
  <c r="BE275" i="2"/>
  <c r="CY277" i="2"/>
  <c r="BD279" i="2"/>
  <c r="BD282" i="2"/>
  <c r="AY282" i="2"/>
  <c r="AX282" i="2"/>
  <c r="BC286" i="2"/>
  <c r="BC293" i="2"/>
  <c r="AZ293" i="2"/>
  <c r="DI301" i="2"/>
  <c r="DL301" i="2" s="1"/>
  <c r="DH301" i="2"/>
  <c r="DG301" i="2"/>
  <c r="DF301" i="2"/>
  <c r="DE301" i="2"/>
  <c r="DK301" i="2" s="1"/>
  <c r="DD301" i="2"/>
  <c r="DC301" i="2"/>
  <c r="DB301" i="2"/>
  <c r="DA301" i="2"/>
  <c r="DJ301" i="2" s="1"/>
  <c r="CZ301" i="2"/>
  <c r="CY301" i="2"/>
  <c r="CX301" i="2"/>
  <c r="BG325" i="2"/>
  <c r="AW335" i="2"/>
  <c r="DA204" i="2"/>
  <c r="DJ204" i="2" s="1"/>
  <c r="DF210" i="2"/>
  <c r="AX216" i="2"/>
  <c r="CZ220" i="2"/>
  <c r="DA221" i="2"/>
  <c r="DJ221" i="2" s="1"/>
  <c r="DF226" i="2"/>
  <c r="AX232" i="2"/>
  <c r="AZ234" i="2"/>
  <c r="BC235" i="2"/>
  <c r="CZ236" i="2"/>
  <c r="DA237" i="2"/>
  <c r="DJ237" i="2" s="1"/>
  <c r="DF243" i="2"/>
  <c r="DH245" i="2"/>
  <c r="AX249" i="2"/>
  <c r="BC252" i="2"/>
  <c r="CZ253" i="2"/>
  <c r="DA254" i="2"/>
  <c r="DJ254" i="2" s="1"/>
  <c r="DE257" i="2"/>
  <c r="DK257" i="2" s="1"/>
  <c r="AX260" i="2"/>
  <c r="CX260" i="2"/>
  <c r="DE262" i="2"/>
  <c r="DK262" i="2" s="1"/>
  <c r="DB264" i="2"/>
  <c r="DE266" i="2"/>
  <c r="DK266" i="2" s="1"/>
  <c r="BD268" i="2"/>
  <c r="DD268" i="2"/>
  <c r="AV270" i="2"/>
  <c r="BG270" i="2"/>
  <c r="CY271" i="2"/>
  <c r="DH271" i="2"/>
  <c r="DD271" i="2"/>
  <c r="DB271" i="2"/>
  <c r="DA271" i="2"/>
  <c r="DJ271" i="2" s="1"/>
  <c r="AZ277" i="2"/>
  <c r="DA277" i="2"/>
  <c r="DJ277" i="2" s="1"/>
  <c r="BE282" i="2"/>
  <c r="BD283" i="2"/>
  <c r="AY283" i="2"/>
  <c r="AX283" i="2"/>
  <c r="BE284" i="2"/>
  <c r="BC284" i="2"/>
  <c r="AZ284" i="2"/>
  <c r="DH285" i="2"/>
  <c r="DG285" i="2"/>
  <c r="DE285" i="2"/>
  <c r="DK285" i="2" s="1"/>
  <c r="DD285" i="2"/>
  <c r="DC285" i="2"/>
  <c r="DB285" i="2"/>
  <c r="DA285" i="2"/>
  <c r="DJ285" i="2" s="1"/>
  <c r="CZ285" i="2"/>
  <c r="CY285" i="2"/>
  <c r="CX285" i="2"/>
  <c r="BF288" i="2"/>
  <c r="BD297" i="2"/>
  <c r="BE309" i="2"/>
  <c r="BC309" i="2"/>
  <c r="AZ309" i="2"/>
  <c r="AZ217" i="2"/>
  <c r="DA220" i="2"/>
  <c r="DJ220" i="2" s="1"/>
  <c r="AZ233" i="2"/>
  <c r="DA236" i="2"/>
  <c r="DJ236" i="2" s="1"/>
  <c r="AZ250" i="2"/>
  <c r="DA253" i="2"/>
  <c r="DJ253" i="2" s="1"/>
  <c r="CY260" i="2"/>
  <c r="DF262" i="2"/>
  <c r="AV263" i="2"/>
  <c r="DE263" i="2"/>
  <c r="DK263" i="2" s="1"/>
  <c r="CZ263" i="2"/>
  <c r="DI263" i="2"/>
  <c r="DL263" i="2" s="1"/>
  <c r="DC264" i="2"/>
  <c r="AY266" i="2"/>
  <c r="AX266" i="2"/>
  <c r="DF266" i="2"/>
  <c r="DF268" i="2"/>
  <c r="BC274" i="2"/>
  <c r="BC277" i="2"/>
  <c r="DC277" i="2"/>
  <c r="BG278" i="2"/>
  <c r="AV278" i="2"/>
  <c r="BE283" i="2"/>
  <c r="BC283" i="2"/>
  <c r="AZ283" i="2"/>
  <c r="DC292" i="2"/>
  <c r="DB292" i="2"/>
  <c r="DA292" i="2"/>
  <c r="DJ292" i="2" s="1"/>
  <c r="CY292" i="2"/>
  <c r="CX292" i="2"/>
  <c r="DI292" i="2"/>
  <c r="DL292" i="2" s="1"/>
  <c r="DH292" i="2"/>
  <c r="DG292" i="2"/>
  <c r="DF292" i="2"/>
  <c r="DE292" i="2"/>
  <c r="DK292" i="2" s="1"/>
  <c r="BG308" i="2"/>
  <c r="DE310" i="2"/>
  <c r="DK310" i="2" s="1"/>
  <c r="DD310" i="2"/>
  <c r="DC310" i="2"/>
  <c r="DB310" i="2"/>
  <c r="DA310" i="2"/>
  <c r="DJ310" i="2" s="1"/>
  <c r="CZ310" i="2"/>
  <c r="CY310" i="2"/>
  <c r="CX310" i="2"/>
  <c r="DI310" i="2"/>
  <c r="DL310" i="2" s="1"/>
  <c r="DH310" i="2"/>
  <c r="DG310" i="2"/>
  <c r="DG312" i="2"/>
  <c r="DF312" i="2"/>
  <c r="DE312" i="2"/>
  <c r="DK312" i="2" s="1"/>
  <c r="DD312" i="2"/>
  <c r="DC312" i="2"/>
  <c r="DB312" i="2"/>
  <c r="DA312" i="2"/>
  <c r="DJ312" i="2" s="1"/>
  <c r="CZ312" i="2"/>
  <c r="CY312" i="2"/>
  <c r="CX312" i="2"/>
  <c r="DI312" i="2"/>
  <c r="DL312" i="2" s="1"/>
  <c r="AW329" i="2"/>
  <c r="BD234" i="2"/>
  <c r="BD251" i="2"/>
  <c r="AW258" i="2"/>
  <c r="BC260" i="2"/>
  <c r="CZ260" i="2"/>
  <c r="AY261" i="2"/>
  <c r="BC262" i="2"/>
  <c r="DG262" i="2"/>
  <c r="BG264" i="2"/>
  <c r="DD264" i="2"/>
  <c r="BC266" i="2"/>
  <c r="DG266" i="2"/>
  <c r="BG268" i="2"/>
  <c r="DG268" i="2"/>
  <c r="BG272" i="2"/>
  <c r="DE277" i="2"/>
  <c r="DK277" i="2" s="1"/>
  <c r="CX287" i="2"/>
  <c r="DI287" i="2"/>
  <c r="DL287" i="2" s="1"/>
  <c r="DH287" i="2"/>
  <c r="DG287" i="2"/>
  <c r="DF287" i="2"/>
  <c r="DE287" i="2"/>
  <c r="DK287" i="2" s="1"/>
  <c r="DD287" i="2"/>
  <c r="DC287" i="2"/>
  <c r="DB287" i="2"/>
  <c r="DA287" i="2"/>
  <c r="DJ287" i="2" s="1"/>
  <c r="CZ287" i="2"/>
  <c r="BF295" i="2"/>
  <c r="BD295" i="2"/>
  <c r="AW319" i="2"/>
  <c r="BD260" i="2"/>
  <c r="DA260" i="2"/>
  <c r="DJ260" i="2" s="1"/>
  <c r="AY264" i="2"/>
  <c r="DI266" i="2"/>
  <c r="DL266" i="2" s="1"/>
  <c r="DH268" i="2"/>
  <c r="BG275" i="2"/>
  <c r="AV275" i="2"/>
  <c r="DH277" i="2"/>
  <c r="BC279" i="2"/>
  <c r="AZ279" i="2"/>
  <c r="AY279" i="2"/>
  <c r="BD292" i="2"/>
  <c r="DE294" i="2"/>
  <c r="DK294" i="2" s="1"/>
  <c r="DD294" i="2"/>
  <c r="DC294" i="2"/>
  <c r="DA294" i="2"/>
  <c r="DJ294" i="2" s="1"/>
  <c r="CZ294" i="2"/>
  <c r="CY294" i="2"/>
  <c r="CX294" i="2"/>
  <c r="DI294" i="2"/>
  <c r="DL294" i="2" s="1"/>
  <c r="DH294" i="2"/>
  <c r="DG294" i="2"/>
  <c r="DB307" i="2"/>
  <c r="DA307" i="2"/>
  <c r="DJ307" i="2" s="1"/>
  <c r="CZ307" i="2"/>
  <c r="CY307" i="2"/>
  <c r="CX307" i="2"/>
  <c r="DI307" i="2"/>
  <c r="DL307" i="2" s="1"/>
  <c r="DH307" i="2"/>
  <c r="DG307" i="2"/>
  <c r="DF307" i="2"/>
  <c r="DE307" i="2"/>
  <c r="DK307" i="2" s="1"/>
  <c r="DD307" i="2"/>
  <c r="DA324" i="2"/>
  <c r="DJ324" i="2" s="1"/>
  <c r="CY324" i="2"/>
  <c r="CX324" i="2"/>
  <c r="DI324" i="2"/>
  <c r="DL324" i="2" s="1"/>
  <c r="DH324" i="2"/>
  <c r="DG324" i="2"/>
  <c r="DF324" i="2"/>
  <c r="DE324" i="2"/>
  <c r="DK324" i="2" s="1"/>
  <c r="DD324" i="2"/>
  <c r="DC324" i="2"/>
  <c r="DB324" i="2"/>
  <c r="DI330" i="2"/>
  <c r="DL330" i="2" s="1"/>
  <c r="DG330" i="2"/>
  <c r="DA330" i="2"/>
  <c r="DJ330" i="2" s="1"/>
  <c r="CZ330" i="2"/>
  <c r="CY330" i="2"/>
  <c r="DH330" i="2"/>
  <c r="DF330" i="2"/>
  <c r="DE330" i="2"/>
  <c r="DK330" i="2" s="1"/>
  <c r="DD330" i="2"/>
  <c r="DC330" i="2"/>
  <c r="DB330" i="2"/>
  <c r="CX330" i="2"/>
  <c r="DE339" i="2"/>
  <c r="DK339" i="2" s="1"/>
  <c r="DB339" i="2"/>
  <c r="CZ339" i="2"/>
  <c r="CX339" i="2"/>
  <c r="DI339" i="2"/>
  <c r="DL339" i="2" s="1"/>
  <c r="DH339" i="2"/>
  <c r="DG339" i="2"/>
  <c r="DF339" i="2"/>
  <c r="DD339" i="2"/>
  <c r="DC339" i="2"/>
  <c r="DA339" i="2"/>
  <c r="DJ339" i="2" s="1"/>
  <c r="CY339" i="2"/>
  <c r="DG357" i="2"/>
  <c r="DF357" i="2"/>
  <c r="DE357" i="2"/>
  <c r="DK357" i="2" s="1"/>
  <c r="DD357" i="2"/>
  <c r="DC357" i="2"/>
  <c r="DB357" i="2"/>
  <c r="DA357" i="2"/>
  <c r="DJ357" i="2" s="1"/>
  <c r="CZ357" i="2"/>
  <c r="CY357" i="2"/>
  <c r="CX357" i="2"/>
  <c r="DI357" i="2"/>
  <c r="DL357" i="2" s="1"/>
  <c r="DH357" i="2"/>
  <c r="AY267" i="2"/>
  <c r="AZ268" i="2"/>
  <c r="BG273" i="2"/>
  <c r="DH279" i="2"/>
  <c r="AY284" i="2"/>
  <c r="AZ285" i="2"/>
  <c r="BD287" i="2"/>
  <c r="BE288" i="2"/>
  <c r="DA288" i="2"/>
  <c r="DJ288" i="2" s="1"/>
  <c r="BG290" i="2"/>
  <c r="DF293" i="2"/>
  <c r="DH295" i="2"/>
  <c r="AX299" i="2"/>
  <c r="AY300" i="2"/>
  <c r="AW300" i="2" s="1"/>
  <c r="AZ301" i="2"/>
  <c r="AW301" i="2" s="1"/>
  <c r="BD303" i="2"/>
  <c r="BE304" i="2"/>
  <c r="DA304" i="2"/>
  <c r="DJ304" i="2" s="1"/>
  <c r="BG306" i="2"/>
  <c r="DC306" i="2"/>
  <c r="DF309" i="2"/>
  <c r="DH311" i="2"/>
  <c r="AX315" i="2"/>
  <c r="AY316" i="2"/>
  <c r="AZ317" i="2"/>
  <c r="BD319" i="2"/>
  <c r="BE320" i="2"/>
  <c r="DA320" i="2"/>
  <c r="DJ320" i="2" s="1"/>
  <c r="AZ321" i="2"/>
  <c r="DF321" i="2"/>
  <c r="BD323" i="2"/>
  <c r="DE323" i="2"/>
  <c r="DK323" i="2" s="1"/>
  <c r="BD324" i="2"/>
  <c r="AY325" i="2"/>
  <c r="CX325" i="2"/>
  <c r="AY329" i="2"/>
  <c r="DC329" i="2"/>
  <c r="AX332" i="2"/>
  <c r="DD332" i="2"/>
  <c r="DA335" i="2"/>
  <c r="DJ335" i="2" s="1"/>
  <c r="CX335" i="2"/>
  <c r="DF335" i="2"/>
  <c r="DE335" i="2"/>
  <c r="DK335" i="2" s="1"/>
  <c r="DD335" i="2"/>
  <c r="BG336" i="2"/>
  <c r="DH336" i="2"/>
  <c r="BF339" i="2"/>
  <c r="BG340" i="2"/>
  <c r="DH342" i="2"/>
  <c r="DF342" i="2"/>
  <c r="DE342" i="2"/>
  <c r="DK342" i="2" s="1"/>
  <c r="DC342" i="2"/>
  <c r="DA342" i="2"/>
  <c r="DJ342" i="2" s="1"/>
  <c r="CY342" i="2"/>
  <c r="BC345" i="2"/>
  <c r="AY350" i="2"/>
  <c r="AY354" i="2"/>
  <c r="DI361" i="2"/>
  <c r="DL361" i="2" s="1"/>
  <c r="DH361" i="2"/>
  <c r="DG361" i="2"/>
  <c r="DF361" i="2"/>
  <c r="DE361" i="2"/>
  <c r="DK361" i="2" s="1"/>
  <c r="DD361" i="2"/>
  <c r="DC361" i="2"/>
  <c r="DB361" i="2"/>
  <c r="DA361" i="2"/>
  <c r="DJ361" i="2" s="1"/>
  <c r="CZ361" i="2"/>
  <c r="CY361" i="2"/>
  <c r="CX361" i="2"/>
  <c r="AV371" i="2"/>
  <c r="DI376" i="2"/>
  <c r="DL376" i="2" s="1"/>
  <c r="DH376" i="2"/>
  <c r="DG376" i="2"/>
  <c r="DF376" i="2"/>
  <c r="DE376" i="2"/>
  <c r="DK376" i="2" s="1"/>
  <c r="DD376" i="2"/>
  <c r="DC376" i="2"/>
  <c r="DB376" i="2"/>
  <c r="DA376" i="2"/>
  <c r="DJ376" i="2" s="1"/>
  <c r="CZ376" i="2"/>
  <c r="CY376" i="2"/>
  <c r="CX376" i="2"/>
  <c r="BE385" i="2"/>
  <c r="BC268" i="2"/>
  <c r="DI279" i="2"/>
  <c r="DL279" i="2" s="1"/>
  <c r="BC285" i="2"/>
  <c r="BD286" i="2"/>
  <c r="BE287" i="2"/>
  <c r="DB288" i="2"/>
  <c r="DG293" i="2"/>
  <c r="DI295" i="2"/>
  <c r="DL295" i="2" s="1"/>
  <c r="AX298" i="2"/>
  <c r="AY299" i="2"/>
  <c r="AZ300" i="2"/>
  <c r="BC301" i="2"/>
  <c r="BD302" i="2"/>
  <c r="BE303" i="2"/>
  <c r="DB304" i="2"/>
  <c r="DD306" i="2"/>
  <c r="DG309" i="2"/>
  <c r="DI311" i="2"/>
  <c r="DL311" i="2" s="1"/>
  <c r="AX314" i="2"/>
  <c r="AY315" i="2"/>
  <c r="AZ316" i="2"/>
  <c r="BC317" i="2"/>
  <c r="BD318" i="2"/>
  <c r="BE319" i="2"/>
  <c r="DB320" i="2"/>
  <c r="DG321" i="2"/>
  <c r="DF323" i="2"/>
  <c r="CY325" i="2"/>
  <c r="DD329" i="2"/>
  <c r="AY332" i="2"/>
  <c r="DE332" i="2"/>
  <c r="DK332" i="2" s="1"/>
  <c r="AY336" i="2"/>
  <c r="BD337" i="2"/>
  <c r="AX337" i="2"/>
  <c r="DD338" i="2"/>
  <c r="DA338" i="2"/>
  <c r="DJ338" i="2" s="1"/>
  <c r="CY338" i="2"/>
  <c r="DI338" i="2"/>
  <c r="DL338" i="2" s="1"/>
  <c r="DH338" i="2"/>
  <c r="DG338" i="2"/>
  <c r="CY343" i="2"/>
  <c r="CY348" i="2"/>
  <c r="BE354" i="2"/>
  <c r="BC354" i="2"/>
  <c r="AZ354" i="2"/>
  <c r="DA383" i="2"/>
  <c r="DJ383" i="2" s="1"/>
  <c r="CZ383" i="2"/>
  <c r="CY383" i="2"/>
  <c r="CX383" i="2"/>
  <c r="DI383" i="2"/>
  <c r="DL383" i="2" s="1"/>
  <c r="DH383" i="2"/>
  <c r="DG383" i="2"/>
  <c r="DF383" i="2"/>
  <c r="DE383" i="2"/>
  <c r="DK383" i="2" s="1"/>
  <c r="DD383" i="2"/>
  <c r="DC383" i="2"/>
  <c r="DI404" i="2"/>
  <c r="DL404" i="2" s="1"/>
  <c r="DG404" i="2"/>
  <c r="DF404" i="2"/>
  <c r="DE404" i="2"/>
  <c r="DK404" i="2" s="1"/>
  <c r="DC404" i="2"/>
  <c r="DB404" i="2"/>
  <c r="DA404" i="2"/>
  <c r="DJ404" i="2" s="1"/>
  <c r="CZ404" i="2"/>
  <c r="CY404" i="2"/>
  <c r="DH404" i="2"/>
  <c r="DD404" i="2"/>
  <c r="CX404" i="2"/>
  <c r="DH405" i="2"/>
  <c r="DG405" i="2"/>
  <c r="DF405" i="2"/>
  <c r="DD405" i="2"/>
  <c r="DC405" i="2"/>
  <c r="DB405" i="2"/>
  <c r="DA405" i="2"/>
  <c r="DJ405" i="2" s="1"/>
  <c r="CZ405" i="2"/>
  <c r="DI405" i="2"/>
  <c r="DL405" i="2" s="1"/>
  <c r="DE405" i="2"/>
  <c r="DK405" i="2" s="1"/>
  <c r="CY405" i="2"/>
  <c r="CX405" i="2"/>
  <c r="AX281" i="2"/>
  <c r="BG288" i="2"/>
  <c r="DC288" i="2"/>
  <c r="DH293" i="2"/>
  <c r="AX297" i="2"/>
  <c r="AY298" i="2"/>
  <c r="AZ299" i="2"/>
  <c r="BC300" i="2"/>
  <c r="BD301" i="2"/>
  <c r="BG304" i="2"/>
  <c r="DC304" i="2"/>
  <c r="DE306" i="2"/>
  <c r="DK306" i="2" s="1"/>
  <c r="AX313" i="2"/>
  <c r="AY314" i="2"/>
  <c r="AZ315" i="2"/>
  <c r="BC316" i="2"/>
  <c r="BD317" i="2"/>
  <c r="BG320" i="2"/>
  <c r="DC320" i="2"/>
  <c r="AX322" i="2"/>
  <c r="DG323" i="2"/>
  <c r="BG324" i="2"/>
  <c r="CZ325" i="2"/>
  <c r="AV326" i="2"/>
  <c r="DG328" i="2"/>
  <c r="DE328" i="2"/>
  <c r="DK328" i="2" s="1"/>
  <c r="CY328" i="2"/>
  <c r="CX328" i="2"/>
  <c r="AV331" i="2"/>
  <c r="DH331" i="2"/>
  <c r="DB331" i="2"/>
  <c r="DA331" i="2"/>
  <c r="DJ331" i="2" s="1"/>
  <c r="CZ331" i="2"/>
  <c r="BC332" i="2"/>
  <c r="BC336" i="2"/>
  <c r="DC337" i="2"/>
  <c r="CZ337" i="2"/>
  <c r="CX337" i="2"/>
  <c r="DH337" i="2"/>
  <c r="DG337" i="2"/>
  <c r="DF337" i="2"/>
  <c r="DA343" i="2"/>
  <c r="DJ343" i="2" s="1"/>
  <c r="DD348" i="2"/>
  <c r="BC349" i="2"/>
  <c r="AZ349" i="2"/>
  <c r="AY349" i="2"/>
  <c r="BE349" i="2"/>
  <c r="BC350" i="2"/>
  <c r="AV350" i="2"/>
  <c r="BF350" i="2"/>
  <c r="BC351" i="2"/>
  <c r="AY351" i="2"/>
  <c r="AY370" i="2"/>
  <c r="DG373" i="2"/>
  <c r="DF373" i="2"/>
  <c r="DE373" i="2"/>
  <c r="DK373" i="2" s="1"/>
  <c r="DD373" i="2"/>
  <c r="DC373" i="2"/>
  <c r="DB373" i="2"/>
  <c r="DA373" i="2"/>
  <c r="DJ373" i="2" s="1"/>
  <c r="CZ373" i="2"/>
  <c r="CY373" i="2"/>
  <c r="CX373" i="2"/>
  <c r="DI373" i="2"/>
  <c r="DL373" i="2" s="1"/>
  <c r="AY281" i="2"/>
  <c r="AZ282" i="2"/>
  <c r="CY283" i="2"/>
  <c r="BG287" i="2"/>
  <c r="DD288" i="2"/>
  <c r="DI293" i="2"/>
  <c r="DL293" i="2" s="1"/>
  <c r="AV294" i="2"/>
  <c r="AY297" i="2"/>
  <c r="AZ298" i="2"/>
  <c r="BC299" i="2"/>
  <c r="CY299" i="2"/>
  <c r="BG303" i="2"/>
  <c r="DD304" i="2"/>
  <c r="DF306" i="2"/>
  <c r="DI309" i="2"/>
  <c r="DL309" i="2" s="1"/>
  <c r="AV310" i="2"/>
  <c r="AX312" i="2"/>
  <c r="AY313" i="2"/>
  <c r="AZ314" i="2"/>
  <c r="BC315" i="2"/>
  <c r="CY315" i="2"/>
  <c r="BG319" i="2"/>
  <c r="DD320" i="2"/>
  <c r="DI321" i="2"/>
  <c r="DL321" i="2" s="1"/>
  <c r="AY322" i="2"/>
  <c r="CX322" i="2"/>
  <c r="DH323" i="2"/>
  <c r="BD325" i="2"/>
  <c r="DA325" i="2"/>
  <c r="DJ325" i="2" s="1"/>
  <c r="CX326" i="2"/>
  <c r="AV328" i="2"/>
  <c r="BG329" i="2"/>
  <c r="DC343" i="2"/>
  <c r="AV344" i="2"/>
  <c r="BG344" i="2"/>
  <c r="BF349" i="2"/>
  <c r="DI362" i="2"/>
  <c r="DL362" i="2" s="1"/>
  <c r="DH362" i="2"/>
  <c r="DG362" i="2"/>
  <c r="DF362" i="2"/>
  <c r="DE362" i="2"/>
  <c r="DK362" i="2" s="1"/>
  <c r="DD362" i="2"/>
  <c r="DC362" i="2"/>
  <c r="DB362" i="2"/>
  <c r="DA362" i="2"/>
  <c r="DJ362" i="2" s="1"/>
  <c r="CZ362" i="2"/>
  <c r="CY362" i="2"/>
  <c r="CX362" i="2"/>
  <c r="BE370" i="2"/>
  <c r="BC370" i="2"/>
  <c r="AZ370" i="2"/>
  <c r="DI377" i="2"/>
  <c r="DL377" i="2" s="1"/>
  <c r="DH377" i="2"/>
  <c r="DG377" i="2"/>
  <c r="DF377" i="2"/>
  <c r="DE377" i="2"/>
  <c r="DK377" i="2" s="1"/>
  <c r="DD377" i="2"/>
  <c r="DC377" i="2"/>
  <c r="DB377" i="2"/>
  <c r="DA377" i="2"/>
  <c r="DJ377" i="2" s="1"/>
  <c r="CZ377" i="2"/>
  <c r="CY377" i="2"/>
  <c r="CX377" i="2"/>
  <c r="AY386" i="2"/>
  <c r="AW391" i="2"/>
  <c r="BC282" i="2"/>
  <c r="CZ283" i="2"/>
  <c r="DE288" i="2"/>
  <c r="DK288" i="2" s="1"/>
  <c r="AZ297" i="2"/>
  <c r="BC298" i="2"/>
  <c r="CZ299" i="2"/>
  <c r="DE304" i="2"/>
  <c r="DK304" i="2" s="1"/>
  <c r="DG306" i="2"/>
  <c r="AY312" i="2"/>
  <c r="AZ313" i="2"/>
  <c r="BC314" i="2"/>
  <c r="CZ315" i="2"/>
  <c r="DE320" i="2"/>
  <c r="DK320" i="2" s="1"/>
  <c r="BE324" i="2"/>
  <c r="DC325" i="2"/>
  <c r="DD327" i="2"/>
  <c r="CX327" i="2"/>
  <c r="BG342" i="2"/>
  <c r="AV342" i="2"/>
  <c r="CX348" i="2"/>
  <c r="DI348" i="2"/>
  <c r="DL348" i="2" s="1"/>
  <c r="DH348" i="2"/>
  <c r="DG348" i="2"/>
  <c r="DE348" i="2"/>
  <c r="DK348" i="2" s="1"/>
  <c r="DC348" i="2"/>
  <c r="DB348" i="2"/>
  <c r="DA348" i="2"/>
  <c r="DJ348" i="2" s="1"/>
  <c r="CZ348" i="2"/>
  <c r="BD351" i="2"/>
  <c r="AV351" i="2"/>
  <c r="BG351" i="2"/>
  <c r="DE355" i="2"/>
  <c r="DK355" i="2" s="1"/>
  <c r="DD355" i="2"/>
  <c r="DC355" i="2"/>
  <c r="DB355" i="2"/>
  <c r="DA355" i="2"/>
  <c r="DJ355" i="2" s="1"/>
  <c r="CZ355" i="2"/>
  <c r="CY355" i="2"/>
  <c r="CX355" i="2"/>
  <c r="DI355" i="2"/>
  <c r="DL355" i="2" s="1"/>
  <c r="DH355" i="2"/>
  <c r="DG355" i="2"/>
  <c r="AW357" i="2"/>
  <c r="BG385" i="2"/>
  <c r="BE386" i="2"/>
  <c r="BC386" i="2"/>
  <c r="AZ386" i="2"/>
  <c r="DI388" i="2"/>
  <c r="DL388" i="2" s="1"/>
  <c r="DH388" i="2"/>
  <c r="DG388" i="2"/>
  <c r="DF388" i="2"/>
  <c r="DE388" i="2"/>
  <c r="DK388" i="2" s="1"/>
  <c r="DD388" i="2"/>
  <c r="DC388" i="2"/>
  <c r="DB388" i="2"/>
  <c r="DA388" i="2"/>
  <c r="DJ388" i="2" s="1"/>
  <c r="CZ388" i="2"/>
  <c r="CY388" i="2"/>
  <c r="CX388" i="2"/>
  <c r="DI437" i="2"/>
  <c r="DL437" i="2" s="1"/>
  <c r="DH437" i="2"/>
  <c r="DG437" i="2"/>
  <c r="DF437" i="2"/>
  <c r="DE437" i="2"/>
  <c r="DK437" i="2" s="1"/>
  <c r="DD437" i="2"/>
  <c r="DC437" i="2"/>
  <c r="DB437" i="2"/>
  <c r="DA437" i="2"/>
  <c r="DJ437" i="2" s="1"/>
  <c r="CZ437" i="2"/>
  <c r="CY437" i="2"/>
  <c r="CX437" i="2"/>
  <c r="AW276" i="2"/>
  <c r="AW277" i="2"/>
  <c r="CY281" i="2"/>
  <c r="DA283" i="2"/>
  <c r="DJ283" i="2" s="1"/>
  <c r="BF284" i="2"/>
  <c r="DF288" i="2"/>
  <c r="AV292" i="2"/>
  <c r="AW293" i="2"/>
  <c r="AX294" i="2"/>
  <c r="AY295" i="2"/>
  <c r="AW295" i="2" s="1"/>
  <c r="BC297" i="2"/>
  <c r="CY297" i="2"/>
  <c r="DA299" i="2"/>
  <c r="DJ299" i="2" s="1"/>
  <c r="BF300" i="2"/>
  <c r="BG301" i="2"/>
  <c r="DF304" i="2"/>
  <c r="DH306" i="2"/>
  <c r="AV308" i="2"/>
  <c r="AX310" i="2"/>
  <c r="AY311" i="2"/>
  <c r="AW311" i="2" s="1"/>
  <c r="BC313" i="2"/>
  <c r="CY313" i="2"/>
  <c r="BD314" i="2"/>
  <c r="DA315" i="2"/>
  <c r="DJ315" i="2" s="1"/>
  <c r="BF316" i="2"/>
  <c r="BG317" i="2"/>
  <c r="DF320" i="2"/>
  <c r="BD322" i="2"/>
  <c r="DD325" i="2"/>
  <c r="BC326" i="2"/>
  <c r="AV327" i="2"/>
  <c r="BC329" i="2"/>
  <c r="AZ329" i="2"/>
  <c r="AZ332" i="2"/>
  <c r="BE332" i="2"/>
  <c r="BD333" i="2"/>
  <c r="DB336" i="2"/>
  <c r="CY336" i="2"/>
  <c r="DG336" i="2"/>
  <c r="DF336" i="2"/>
  <c r="DE336" i="2"/>
  <c r="DK336" i="2" s="1"/>
  <c r="BD350" i="2"/>
  <c r="DI378" i="2"/>
  <c r="DL378" i="2" s="1"/>
  <c r="DH378" i="2"/>
  <c r="DG378" i="2"/>
  <c r="DF378" i="2"/>
  <c r="DE378" i="2"/>
  <c r="DK378" i="2" s="1"/>
  <c r="DD378" i="2"/>
  <c r="DC378" i="2"/>
  <c r="DB378" i="2"/>
  <c r="DA378" i="2"/>
  <c r="DJ378" i="2" s="1"/>
  <c r="CZ378" i="2"/>
  <c r="CY378" i="2"/>
  <c r="CX378" i="2"/>
  <c r="BF391" i="2"/>
  <c r="BD391" i="2"/>
  <c r="CZ281" i="2"/>
  <c r="DB283" i="2"/>
  <c r="DG288" i="2"/>
  <c r="AY294" i="2"/>
  <c r="AZ295" i="2"/>
  <c r="BC296" i="2"/>
  <c r="CZ297" i="2"/>
  <c r="DB299" i="2"/>
  <c r="DG304" i="2"/>
  <c r="DI306" i="2"/>
  <c r="DL306" i="2" s="1"/>
  <c r="AX309" i="2"/>
  <c r="AY310" i="2"/>
  <c r="AZ311" i="2"/>
  <c r="CZ313" i="2"/>
  <c r="DB315" i="2"/>
  <c r="DG320" i="2"/>
  <c r="AV321" i="2"/>
  <c r="BE322" i="2"/>
  <c r="AW325" i="2"/>
  <c r="DE325" i="2"/>
  <c r="DK325" i="2" s="1"/>
  <c r="BG337" i="2"/>
  <c r="AV337" i="2"/>
  <c r="BE344" i="2"/>
  <c r="DE371" i="2"/>
  <c r="DK371" i="2" s="1"/>
  <c r="DD371" i="2"/>
  <c r="DC371" i="2"/>
  <c r="DB371" i="2"/>
  <c r="DA371" i="2"/>
  <c r="DJ371" i="2" s="1"/>
  <c r="CZ371" i="2"/>
  <c r="CY371" i="2"/>
  <c r="CX371" i="2"/>
  <c r="DI371" i="2"/>
  <c r="DL371" i="2" s="1"/>
  <c r="DH371" i="2"/>
  <c r="DG371" i="2"/>
  <c r="AY394" i="2"/>
  <c r="AX394" i="2"/>
  <c r="BG394" i="2"/>
  <c r="BD394" i="2"/>
  <c r="DI422" i="2"/>
  <c r="DL422" i="2" s="1"/>
  <c r="DH422" i="2"/>
  <c r="DG422" i="2"/>
  <c r="DF422" i="2"/>
  <c r="DE422" i="2"/>
  <c r="DK422" i="2" s="1"/>
  <c r="DD422" i="2"/>
  <c r="DC422" i="2"/>
  <c r="DB422" i="2"/>
  <c r="DA422" i="2"/>
  <c r="DJ422" i="2" s="1"/>
  <c r="CZ422" i="2"/>
  <c r="CY422" i="2"/>
  <c r="CX422" i="2"/>
  <c r="CY279" i="2"/>
  <c r="DA281" i="2"/>
  <c r="DJ281" i="2" s="1"/>
  <c r="DC283" i="2"/>
  <c r="DH288" i="2"/>
  <c r="AW291" i="2"/>
  <c r="BC295" i="2"/>
  <c r="CY295" i="2"/>
  <c r="DA297" i="2"/>
  <c r="DJ297" i="2" s="1"/>
  <c r="BG299" i="2"/>
  <c r="DC299" i="2"/>
  <c r="DH304" i="2"/>
  <c r="AW307" i="2"/>
  <c r="BC311" i="2"/>
  <c r="CY311" i="2"/>
  <c r="BD312" i="2"/>
  <c r="DA313" i="2"/>
  <c r="DJ313" i="2" s="1"/>
  <c r="BG315" i="2"/>
  <c r="DC315" i="2"/>
  <c r="DH320" i="2"/>
  <c r="DC322" i="2"/>
  <c r="DF325" i="2"/>
  <c r="CY327" i="2"/>
  <c r="DH329" i="2"/>
  <c r="DF329" i="2"/>
  <c r="CZ329" i="2"/>
  <c r="CY329" i="2"/>
  <c r="CX329" i="2"/>
  <c r="CX331" i="2"/>
  <c r="CX332" i="2"/>
  <c r="DI332" i="2"/>
  <c r="DL332" i="2" s="1"/>
  <c r="DC332" i="2"/>
  <c r="DB332" i="2"/>
  <c r="DA332" i="2"/>
  <c r="DJ332" i="2" s="1"/>
  <c r="BC334" i="2"/>
  <c r="AX340" i="2"/>
  <c r="DI343" i="2"/>
  <c r="DL343" i="2" s="1"/>
  <c r="DG343" i="2"/>
  <c r="DF343" i="2"/>
  <c r="DD343" i="2"/>
  <c r="DB343" i="2"/>
  <c r="CZ343" i="2"/>
  <c r="CX343" i="2"/>
  <c r="AY348" i="2"/>
  <c r="AX348" i="2"/>
  <c r="BD348" i="2"/>
  <c r="DC353" i="2"/>
  <c r="DB353" i="2"/>
  <c r="DA353" i="2"/>
  <c r="DJ353" i="2" s="1"/>
  <c r="CZ353" i="2"/>
  <c r="CY353" i="2"/>
  <c r="CX353" i="2"/>
  <c r="DI353" i="2"/>
  <c r="DL353" i="2" s="1"/>
  <c r="DH353" i="2"/>
  <c r="DG353" i="2"/>
  <c r="DF353" i="2"/>
  <c r="DE353" i="2"/>
  <c r="DK353" i="2" s="1"/>
  <c r="DI363" i="2"/>
  <c r="DL363" i="2" s="1"/>
  <c r="DH363" i="2"/>
  <c r="DG363" i="2"/>
  <c r="DF363" i="2"/>
  <c r="DE363" i="2"/>
  <c r="DK363" i="2" s="1"/>
  <c r="DD363" i="2"/>
  <c r="DC363" i="2"/>
  <c r="DB363" i="2"/>
  <c r="DA363" i="2"/>
  <c r="DJ363" i="2" s="1"/>
  <c r="CZ363" i="2"/>
  <c r="CY363" i="2"/>
  <c r="AW373" i="2"/>
  <c r="BG466" i="2"/>
  <c r="AV466" i="2"/>
  <c r="BE312" i="2"/>
  <c r="BF325" i="2"/>
  <c r="DG325" i="2"/>
  <c r="CZ327" i="2"/>
  <c r="CZ328" i="2"/>
  <c r="AX330" i="2"/>
  <c r="BD330" i="2"/>
  <c r="CY331" i="2"/>
  <c r="BC333" i="2"/>
  <c r="CX338" i="2"/>
  <c r="DD340" i="2"/>
  <c r="AW341" i="2"/>
  <c r="DG341" i="2"/>
  <c r="DE341" i="2"/>
  <c r="DK341" i="2" s="1"/>
  <c r="DD341" i="2"/>
  <c r="DB341" i="2"/>
  <c r="CZ341" i="2"/>
  <c r="CX341" i="2"/>
  <c r="AZ343" i="2"/>
  <c r="AY343" i="2"/>
  <c r="CZ344" i="2"/>
  <c r="DB346" i="2"/>
  <c r="AW347" i="2"/>
  <c r="AW366" i="2"/>
  <c r="BF428" i="2"/>
  <c r="AV428" i="2"/>
  <c r="CY293" i="2"/>
  <c r="BD294" i="2"/>
  <c r="CY309" i="2"/>
  <c r="BD310" i="2"/>
  <c r="DH325" i="2"/>
  <c r="AY326" i="2"/>
  <c r="AX326" i="2"/>
  <c r="DA327" i="2"/>
  <c r="DJ327" i="2" s="1"/>
  <c r="BE330" i="2"/>
  <c r="BC330" i="2"/>
  <c r="BG332" i="2"/>
  <c r="DA345" i="2"/>
  <c r="DJ345" i="2" s="1"/>
  <c r="DD346" i="2"/>
  <c r="AV348" i="2"/>
  <c r="BF348" i="2"/>
  <c r="AW362" i="2"/>
  <c r="CX364" i="2"/>
  <c r="DI364" i="2"/>
  <c r="DL364" i="2" s="1"/>
  <c r="DH364" i="2"/>
  <c r="DG364" i="2"/>
  <c r="DF364" i="2"/>
  <c r="DE364" i="2"/>
  <c r="DK364" i="2" s="1"/>
  <c r="DD364" i="2"/>
  <c r="DC364" i="2"/>
  <c r="DB364" i="2"/>
  <c r="DA364" i="2"/>
  <c r="DJ364" i="2" s="1"/>
  <c r="CZ364" i="2"/>
  <c r="DC369" i="2"/>
  <c r="DB369" i="2"/>
  <c r="DA369" i="2"/>
  <c r="DJ369" i="2" s="1"/>
  <c r="CZ369" i="2"/>
  <c r="CY369" i="2"/>
  <c r="CX369" i="2"/>
  <c r="DI369" i="2"/>
  <c r="DL369" i="2" s="1"/>
  <c r="DH369" i="2"/>
  <c r="DG369" i="2"/>
  <c r="DF369" i="2"/>
  <c r="DE369" i="2"/>
  <c r="DK369" i="2" s="1"/>
  <c r="DI379" i="2"/>
  <c r="DL379" i="2" s="1"/>
  <c r="DH379" i="2"/>
  <c r="DG379" i="2"/>
  <c r="DF379" i="2"/>
  <c r="DE379" i="2"/>
  <c r="DK379" i="2" s="1"/>
  <c r="DD379" i="2"/>
  <c r="DC379" i="2"/>
  <c r="DB379" i="2"/>
  <c r="DA379" i="2"/>
  <c r="DJ379" i="2" s="1"/>
  <c r="CZ379" i="2"/>
  <c r="CY379" i="2"/>
  <c r="AW388" i="2"/>
  <c r="AX289" i="2"/>
  <c r="AY290" i="2"/>
  <c r="CZ293" i="2"/>
  <c r="AX305" i="2"/>
  <c r="AY306" i="2"/>
  <c r="CZ309" i="2"/>
  <c r="BC322" i="2"/>
  <c r="DF322" i="2"/>
  <c r="CX323" i="2"/>
  <c r="DI325" i="2"/>
  <c r="DL325" i="2" s="1"/>
  <c r="DB327" i="2"/>
  <c r="DB328" i="2"/>
  <c r="DD331" i="2"/>
  <c r="AY334" i="2"/>
  <c r="DB335" i="2"/>
  <c r="DB338" i="2"/>
  <c r="CZ342" i="2"/>
  <c r="DC345" i="2"/>
  <c r="BG347" i="2"/>
  <c r="DH347" i="2"/>
  <c r="DG347" i="2"/>
  <c r="DF347" i="2"/>
  <c r="DD347" i="2"/>
  <c r="DB347" i="2"/>
  <c r="DA347" i="2"/>
  <c r="DJ347" i="2" s="1"/>
  <c r="CZ347" i="2"/>
  <c r="CY347" i="2"/>
  <c r="BE360" i="2"/>
  <c r="BE362" i="2"/>
  <c r="DC385" i="2"/>
  <c r="DB385" i="2"/>
  <c r="DA385" i="2"/>
  <c r="DJ385" i="2" s="1"/>
  <c r="CZ385" i="2"/>
  <c r="CY385" i="2"/>
  <c r="CX385" i="2"/>
  <c r="DI385" i="2"/>
  <c r="DL385" i="2" s="1"/>
  <c r="DH385" i="2"/>
  <c r="DG385" i="2"/>
  <c r="DF385" i="2"/>
  <c r="DE385" i="2"/>
  <c r="DK385" i="2" s="1"/>
  <c r="AY340" i="2"/>
  <c r="DI346" i="2"/>
  <c r="DL346" i="2" s="1"/>
  <c r="DG346" i="2"/>
  <c r="DF346" i="2"/>
  <c r="DE346" i="2"/>
  <c r="DK346" i="2" s="1"/>
  <c r="DC346" i="2"/>
  <c r="DA346" i="2"/>
  <c r="DJ346" i="2" s="1"/>
  <c r="CZ346" i="2"/>
  <c r="CY346" i="2"/>
  <c r="CX346" i="2"/>
  <c r="AW356" i="2"/>
  <c r="DI359" i="2"/>
  <c r="DL359" i="2" s="1"/>
  <c r="DH359" i="2"/>
  <c r="DG359" i="2"/>
  <c r="DF359" i="2"/>
  <c r="DE359" i="2"/>
  <c r="DK359" i="2" s="1"/>
  <c r="DD359" i="2"/>
  <c r="DC359" i="2"/>
  <c r="DB359" i="2"/>
  <c r="DA359" i="2"/>
  <c r="DJ359" i="2" s="1"/>
  <c r="CZ359" i="2"/>
  <c r="CY359" i="2"/>
  <c r="CX359" i="2"/>
  <c r="AW378" i="2"/>
  <c r="AW379" i="2"/>
  <c r="CX380" i="2"/>
  <c r="DI380" i="2"/>
  <c r="DL380" i="2" s="1"/>
  <c r="DH380" i="2"/>
  <c r="DG380" i="2"/>
  <c r="DF380" i="2"/>
  <c r="DE380" i="2"/>
  <c r="DK380" i="2" s="1"/>
  <c r="DD380" i="2"/>
  <c r="DC380" i="2"/>
  <c r="DB380" i="2"/>
  <c r="DA380" i="2"/>
  <c r="DJ380" i="2" s="1"/>
  <c r="CZ380" i="2"/>
  <c r="AW382" i="2"/>
  <c r="DD279" i="2"/>
  <c r="DF281" i="2"/>
  <c r="BC290" i="2"/>
  <c r="DB293" i="2"/>
  <c r="DD295" i="2"/>
  <c r="DF297" i="2"/>
  <c r="BC306" i="2"/>
  <c r="CY306" i="2"/>
  <c r="DB309" i="2"/>
  <c r="DF313" i="2"/>
  <c r="BE321" i="2"/>
  <c r="DB321" i="2"/>
  <c r="DH322" i="2"/>
  <c r="DA323" i="2"/>
  <c r="DJ323" i="2" s="1"/>
  <c r="DH326" i="2"/>
  <c r="DE327" i="2"/>
  <c r="DK327" i="2" s="1"/>
  <c r="DD328" i="2"/>
  <c r="BG331" i="2"/>
  <c r="DF331" i="2"/>
  <c r="AV333" i="2"/>
  <c r="BG333" i="2"/>
  <c r="AX336" i="2"/>
  <c r="CZ336" i="2"/>
  <c r="DA337" i="2"/>
  <c r="DJ337" i="2" s="1"/>
  <c r="DE338" i="2"/>
  <c r="DK338" i="2" s="1"/>
  <c r="BE340" i="2"/>
  <c r="BC340" i="2"/>
  <c r="BD343" i="2"/>
  <c r="AW345" i="2"/>
  <c r="BE347" i="2"/>
  <c r="BC347" i="2"/>
  <c r="BG348" i="2"/>
  <c r="DA351" i="2"/>
  <c r="DJ351" i="2" s="1"/>
  <c r="CZ351" i="2"/>
  <c r="CY351" i="2"/>
  <c r="CX351" i="2"/>
  <c r="DH351" i="2"/>
  <c r="DF351" i="2"/>
  <c r="DE351" i="2"/>
  <c r="DK351" i="2" s="1"/>
  <c r="DD351" i="2"/>
  <c r="DC351" i="2"/>
  <c r="BD353" i="2"/>
  <c r="AY353" i="2"/>
  <c r="AX353" i="2"/>
  <c r="BC355" i="2"/>
  <c r="BG358" i="2"/>
  <c r="AV358" i="2"/>
  <c r="BD373" i="2"/>
  <c r="BE378" i="2"/>
  <c r="CZ306" i="2"/>
  <c r="AY331" i="2"/>
  <c r="BD331" i="2"/>
  <c r="BD341" i="2"/>
  <c r="AV341" i="2"/>
  <c r="DI345" i="2"/>
  <c r="DL345" i="2" s="1"/>
  <c r="DH345" i="2"/>
  <c r="DF345" i="2"/>
  <c r="DE345" i="2"/>
  <c r="DK345" i="2" s="1"/>
  <c r="DD345" i="2"/>
  <c r="DB345" i="2"/>
  <c r="CZ345" i="2"/>
  <c r="CY345" i="2"/>
  <c r="CX345" i="2"/>
  <c r="DI360" i="2"/>
  <c r="DL360" i="2" s="1"/>
  <c r="DH360" i="2"/>
  <c r="DG360" i="2"/>
  <c r="DF360" i="2"/>
  <c r="DE360" i="2"/>
  <c r="DK360" i="2" s="1"/>
  <c r="DD360" i="2"/>
  <c r="DC360" i="2"/>
  <c r="DB360" i="2"/>
  <c r="DA360" i="2"/>
  <c r="DJ360" i="2" s="1"/>
  <c r="CZ360" i="2"/>
  <c r="CY360" i="2"/>
  <c r="CX360" i="2"/>
  <c r="BF361" i="2"/>
  <c r="BE361" i="2"/>
  <c r="AW372" i="2"/>
  <c r="BE389" i="2"/>
  <c r="BC389" i="2"/>
  <c r="AZ389" i="2"/>
  <c r="AZ395" i="2"/>
  <c r="BE395" i="2"/>
  <c r="BC395" i="2"/>
  <c r="DD321" i="2"/>
  <c r="DC323" i="2"/>
  <c r="AZ324" i="2"/>
  <c r="AW324" i="2" s="1"/>
  <c r="BG326" i="2"/>
  <c r="AZ327" i="2"/>
  <c r="AY327" i="2"/>
  <c r="DG327" i="2"/>
  <c r="DH328" i="2"/>
  <c r="BE331" i="2"/>
  <c r="DI331" i="2"/>
  <c r="DL331" i="2" s="1"/>
  <c r="CY332" i="2"/>
  <c r="CZ334" i="2"/>
  <c r="DI334" i="2"/>
  <c r="DL334" i="2" s="1"/>
  <c r="DE334" i="2"/>
  <c r="DK334" i="2" s="1"/>
  <c r="DD334" i="2"/>
  <c r="DC334" i="2"/>
  <c r="DI335" i="2"/>
  <c r="DL335" i="2" s="1"/>
  <c r="BD336" i="2"/>
  <c r="DC336" i="2"/>
  <c r="BC337" i="2"/>
  <c r="DD337" i="2"/>
  <c r="AY338" i="2"/>
  <c r="BD339" i="2"/>
  <c r="AX339" i="2"/>
  <c r="DF340" i="2"/>
  <c r="DC340" i="2"/>
  <c r="DA340" i="2"/>
  <c r="DJ340" i="2" s="1"/>
  <c r="CY340" i="2"/>
  <c r="DI340" i="2"/>
  <c r="DL340" i="2" s="1"/>
  <c r="DI342" i="2"/>
  <c r="DL342" i="2" s="1"/>
  <c r="AY344" i="2"/>
  <c r="AX344" i="2"/>
  <c r="DH344" i="2"/>
  <c r="DG344" i="2"/>
  <c r="DE344" i="2"/>
  <c r="DK344" i="2" s="1"/>
  <c r="DC344" i="2"/>
  <c r="DA344" i="2"/>
  <c r="DJ344" i="2" s="1"/>
  <c r="CY344" i="2"/>
  <c r="CX344" i="2"/>
  <c r="AX346" i="2"/>
  <c r="BG346" i="2"/>
  <c r="BD346" i="2"/>
  <c r="AW350" i="2"/>
  <c r="BF351" i="2"/>
  <c r="AV355" i="2"/>
  <c r="DA367" i="2"/>
  <c r="DJ367" i="2" s="1"/>
  <c r="CZ367" i="2"/>
  <c r="CY367" i="2"/>
  <c r="CX367" i="2"/>
  <c r="DI367" i="2"/>
  <c r="DL367" i="2" s="1"/>
  <c r="DH367" i="2"/>
  <c r="DG367" i="2"/>
  <c r="DF367" i="2"/>
  <c r="DE367" i="2"/>
  <c r="DK367" i="2" s="1"/>
  <c r="DD367" i="2"/>
  <c r="DC367" i="2"/>
  <c r="BD369" i="2"/>
  <c r="AY369" i="2"/>
  <c r="AX369" i="2"/>
  <c r="BC371" i="2"/>
  <c r="DI375" i="2"/>
  <c r="DL375" i="2" s="1"/>
  <c r="DH375" i="2"/>
  <c r="DG375" i="2"/>
  <c r="DF375" i="2"/>
  <c r="DE375" i="2"/>
  <c r="DK375" i="2" s="1"/>
  <c r="DD375" i="2"/>
  <c r="DC375" i="2"/>
  <c r="DB375" i="2"/>
  <c r="DA375" i="2"/>
  <c r="DJ375" i="2" s="1"/>
  <c r="CZ375" i="2"/>
  <c r="CY375" i="2"/>
  <c r="CX375" i="2"/>
  <c r="AY345" i="2"/>
  <c r="DA349" i="2"/>
  <c r="DJ349" i="2" s="1"/>
  <c r="DD352" i="2"/>
  <c r="DH356" i="2"/>
  <c r="AX360" i="2"/>
  <c r="AY361" i="2"/>
  <c r="BC363" i="2"/>
  <c r="BD364" i="2"/>
  <c r="BE365" i="2"/>
  <c r="DA365" i="2"/>
  <c r="DJ365" i="2" s="1"/>
  <c r="BF366" i="2"/>
  <c r="BG367" i="2"/>
  <c r="DD368" i="2"/>
  <c r="DH372" i="2"/>
  <c r="AX376" i="2"/>
  <c r="AY377" i="2"/>
  <c r="BC379" i="2"/>
  <c r="BD380" i="2"/>
  <c r="BE381" i="2"/>
  <c r="BF382" i="2"/>
  <c r="BG383" i="2"/>
  <c r="DD384" i="2"/>
  <c r="DF389" i="2"/>
  <c r="DB390" i="2"/>
  <c r="CX391" i="2"/>
  <c r="DH391" i="2"/>
  <c r="DD391" i="2"/>
  <c r="DB391" i="2"/>
  <c r="BG393" i="2"/>
  <c r="BE394" i="2"/>
  <c r="DB395" i="2"/>
  <c r="CZ395" i="2"/>
  <c r="CX395" i="2"/>
  <c r="DH395" i="2"/>
  <c r="DF395" i="2"/>
  <c r="BG399" i="2"/>
  <c r="BG404" i="2"/>
  <c r="BD404" i="2"/>
  <c r="DI406" i="2"/>
  <c r="DL406" i="2" s="1"/>
  <c r="DH406" i="2"/>
  <c r="DG406" i="2"/>
  <c r="DE406" i="2"/>
  <c r="DK406" i="2" s="1"/>
  <c r="DD406" i="2"/>
  <c r="DC406" i="2"/>
  <c r="DB406" i="2"/>
  <c r="DA406" i="2"/>
  <c r="DJ406" i="2" s="1"/>
  <c r="CX407" i="2"/>
  <c r="DI407" i="2"/>
  <c r="DL407" i="2" s="1"/>
  <c r="DH407" i="2"/>
  <c r="DF407" i="2"/>
  <c r="DE407" i="2"/>
  <c r="DK407" i="2" s="1"/>
  <c r="DD407" i="2"/>
  <c r="DC407" i="2"/>
  <c r="DB407" i="2"/>
  <c r="BE444" i="2"/>
  <c r="BC444" i="2"/>
  <c r="AZ444" i="2"/>
  <c r="DG447" i="2"/>
  <c r="DF447" i="2"/>
  <c r="DE447" i="2"/>
  <c r="DK447" i="2" s="1"/>
  <c r="DD447" i="2"/>
  <c r="DC447" i="2"/>
  <c r="DB447" i="2"/>
  <c r="DA447" i="2"/>
  <c r="DJ447" i="2" s="1"/>
  <c r="CZ447" i="2"/>
  <c r="CY447" i="2"/>
  <c r="CX447" i="2"/>
  <c r="DI447" i="2"/>
  <c r="DL447" i="2" s="1"/>
  <c r="AW450" i="2"/>
  <c r="BG334" i="2"/>
  <c r="AZ345" i="2"/>
  <c r="BC346" i="2"/>
  <c r="BD347" i="2"/>
  <c r="BE348" i="2"/>
  <c r="DB349" i="2"/>
  <c r="BG350" i="2"/>
  <c r="DC350" i="2"/>
  <c r="DE352" i="2"/>
  <c r="DK352" i="2" s="1"/>
  <c r="DG354" i="2"/>
  <c r="DI356" i="2"/>
  <c r="DL356" i="2" s="1"/>
  <c r="AV357" i="2"/>
  <c r="AZ361" i="2"/>
  <c r="BC362" i="2"/>
  <c r="BD363" i="2"/>
  <c r="BE364" i="2"/>
  <c r="DB365" i="2"/>
  <c r="BG366" i="2"/>
  <c r="DC366" i="2"/>
  <c r="DE368" i="2"/>
  <c r="DK368" i="2" s="1"/>
  <c r="DG370" i="2"/>
  <c r="DI372" i="2"/>
  <c r="DL372" i="2" s="1"/>
  <c r="AV373" i="2"/>
  <c r="AX375" i="2"/>
  <c r="AY376" i="2"/>
  <c r="AZ377" i="2"/>
  <c r="BC378" i="2"/>
  <c r="BD379" i="2"/>
  <c r="BE380" i="2"/>
  <c r="DB381" i="2"/>
  <c r="BG382" i="2"/>
  <c r="DC382" i="2"/>
  <c r="DE384" i="2"/>
  <c r="DK384" i="2" s="1"/>
  <c r="DG386" i="2"/>
  <c r="BC388" i="2"/>
  <c r="DG389" i="2"/>
  <c r="DD390" i="2"/>
  <c r="AY392" i="2"/>
  <c r="BG392" i="2"/>
  <c r="BD393" i="2"/>
  <c r="BG396" i="2"/>
  <c r="BD399" i="2"/>
  <c r="DF399" i="2"/>
  <c r="DD399" i="2"/>
  <c r="DB399" i="2"/>
  <c r="DA399" i="2"/>
  <c r="DJ399" i="2" s="1"/>
  <c r="CZ399" i="2"/>
  <c r="CX399" i="2"/>
  <c r="AY402" i="2"/>
  <c r="BE404" i="2"/>
  <c r="DD413" i="2"/>
  <c r="DC413" i="2"/>
  <c r="DB413" i="2"/>
  <c r="DA413" i="2"/>
  <c r="DJ413" i="2" s="1"/>
  <c r="CZ413" i="2"/>
  <c r="CY413" i="2"/>
  <c r="CX413" i="2"/>
  <c r="DI413" i="2"/>
  <c r="DL413" i="2" s="1"/>
  <c r="DH413" i="2"/>
  <c r="BF414" i="2"/>
  <c r="BG415" i="2"/>
  <c r="AV415" i="2"/>
  <c r="DB427" i="2"/>
  <c r="DA427" i="2"/>
  <c r="DJ427" i="2" s="1"/>
  <c r="CZ427" i="2"/>
  <c r="CY427" i="2"/>
  <c r="CX427" i="2"/>
  <c r="DI427" i="2"/>
  <c r="DL427" i="2" s="1"/>
  <c r="DH427" i="2"/>
  <c r="DG427" i="2"/>
  <c r="DF427" i="2"/>
  <c r="BE429" i="2"/>
  <c r="BC429" i="2"/>
  <c r="AZ429" i="2"/>
  <c r="AY429" i="2"/>
  <c r="AW429" i="2" s="1"/>
  <c r="BE434" i="2"/>
  <c r="AW439" i="2"/>
  <c r="BD469" i="2"/>
  <c r="AV340" i="2"/>
  <c r="AZ344" i="2"/>
  <c r="BG349" i="2"/>
  <c r="DC349" i="2"/>
  <c r="DD350" i="2"/>
  <c r="DF352" i="2"/>
  <c r="DH354" i="2"/>
  <c r="AV356" i="2"/>
  <c r="AX358" i="2"/>
  <c r="AZ360" i="2"/>
  <c r="BD362" i="2"/>
  <c r="BF364" i="2"/>
  <c r="BG365" i="2"/>
  <c r="DC365" i="2"/>
  <c r="DD366" i="2"/>
  <c r="DF368" i="2"/>
  <c r="DH370" i="2"/>
  <c r="AV372" i="2"/>
  <c r="AX374" i="2"/>
  <c r="AZ376" i="2"/>
  <c r="BC377" i="2"/>
  <c r="BD378" i="2"/>
  <c r="BF380" i="2"/>
  <c r="BG381" i="2"/>
  <c r="DC381" i="2"/>
  <c r="DD382" i="2"/>
  <c r="DF384" i="2"/>
  <c r="DH386" i="2"/>
  <c r="BD388" i="2"/>
  <c r="DH389" i="2"/>
  <c r="AY390" i="2"/>
  <c r="DE390" i="2"/>
  <c r="DK390" i="2" s="1"/>
  <c r="AV391" i="2"/>
  <c r="BC392" i="2"/>
  <c r="CZ393" i="2"/>
  <c r="CX393" i="2"/>
  <c r="DH393" i="2"/>
  <c r="DF393" i="2"/>
  <c r="DD393" i="2"/>
  <c r="DA394" i="2"/>
  <c r="DJ394" i="2" s="1"/>
  <c r="CY394" i="2"/>
  <c r="DI394" i="2"/>
  <c r="DL394" i="2" s="1"/>
  <c r="DG394" i="2"/>
  <c r="DE394" i="2"/>
  <c r="DK394" i="2" s="1"/>
  <c r="BD397" i="2"/>
  <c r="AV397" i="2"/>
  <c r="BE399" i="2"/>
  <c r="AZ399" i="2"/>
  <c r="BD412" i="2"/>
  <c r="AY412" i="2"/>
  <c r="AX412" i="2"/>
  <c r="DH417" i="2"/>
  <c r="DG417" i="2"/>
  <c r="DF417" i="2"/>
  <c r="DE417" i="2"/>
  <c r="DK417" i="2" s="1"/>
  <c r="DD417" i="2"/>
  <c r="DC417" i="2"/>
  <c r="DB417" i="2"/>
  <c r="DA417" i="2"/>
  <c r="DJ417" i="2" s="1"/>
  <c r="CZ417" i="2"/>
  <c r="CY417" i="2"/>
  <c r="CX417" i="2"/>
  <c r="DI421" i="2"/>
  <c r="DL421" i="2" s="1"/>
  <c r="DH421" i="2"/>
  <c r="DG421" i="2"/>
  <c r="DF421" i="2"/>
  <c r="DE421" i="2"/>
  <c r="DK421" i="2" s="1"/>
  <c r="DD421" i="2"/>
  <c r="DC421" i="2"/>
  <c r="DB421" i="2"/>
  <c r="DA421" i="2"/>
  <c r="DJ421" i="2" s="1"/>
  <c r="CZ421" i="2"/>
  <c r="DD349" i="2"/>
  <c r="DE350" i="2"/>
  <c r="DK350" i="2" s="1"/>
  <c r="DG352" i="2"/>
  <c r="DI354" i="2"/>
  <c r="DL354" i="2" s="1"/>
  <c r="AY358" i="2"/>
  <c r="AZ359" i="2"/>
  <c r="DD365" i="2"/>
  <c r="DE366" i="2"/>
  <c r="DK366" i="2" s="1"/>
  <c r="DG368" i="2"/>
  <c r="DI370" i="2"/>
  <c r="DL370" i="2" s="1"/>
  <c r="AY374" i="2"/>
  <c r="AZ375" i="2"/>
  <c r="DD381" i="2"/>
  <c r="DE382" i="2"/>
  <c r="DK382" i="2" s="1"/>
  <c r="DG384" i="2"/>
  <c r="DI386" i="2"/>
  <c r="DL386" i="2" s="1"/>
  <c r="AV389" i="2"/>
  <c r="DI389" i="2"/>
  <c r="DL389" i="2" s="1"/>
  <c r="DF390" i="2"/>
  <c r="AV406" i="2"/>
  <c r="BF406" i="2"/>
  <c r="DC411" i="2"/>
  <c r="BE412" i="2"/>
  <c r="BC412" i="2"/>
  <c r="AZ412" i="2"/>
  <c r="AV417" i="2"/>
  <c r="DG431" i="2"/>
  <c r="AW437" i="2"/>
  <c r="DC451" i="2"/>
  <c r="DA451" i="2"/>
  <c r="DJ451" i="2" s="1"/>
  <c r="CZ451" i="2"/>
  <c r="CY451" i="2"/>
  <c r="CX451" i="2"/>
  <c r="DI451" i="2"/>
  <c r="DL451" i="2" s="1"/>
  <c r="DH451" i="2"/>
  <c r="DG451" i="2"/>
  <c r="DF451" i="2"/>
  <c r="DE451" i="2"/>
  <c r="DK451" i="2" s="1"/>
  <c r="DD451" i="2"/>
  <c r="BG501" i="2"/>
  <c r="BD501" i="2"/>
  <c r="AV501" i="2"/>
  <c r="AV354" i="2"/>
  <c r="BC359" i="2"/>
  <c r="BD360" i="2"/>
  <c r="BG363" i="2"/>
  <c r="AV370" i="2"/>
  <c r="BC375" i="2"/>
  <c r="BF378" i="2"/>
  <c r="BG379" i="2"/>
  <c r="DH384" i="2"/>
  <c r="AV386" i="2"/>
  <c r="DG390" i="2"/>
  <c r="BF407" i="2"/>
  <c r="DD411" i="2"/>
  <c r="BF412" i="2"/>
  <c r="AV412" i="2"/>
  <c r="AW413" i="2"/>
  <c r="BD427" i="2"/>
  <c r="AY427" i="2"/>
  <c r="AX427" i="2"/>
  <c r="DH431" i="2"/>
  <c r="BG558" i="2"/>
  <c r="AV558" i="2"/>
  <c r="DF349" i="2"/>
  <c r="DI352" i="2"/>
  <c r="DL352" i="2" s="1"/>
  <c r="AV353" i="2"/>
  <c r="AW354" i="2"/>
  <c r="AX355" i="2"/>
  <c r="CY358" i="2"/>
  <c r="BG362" i="2"/>
  <c r="DF365" i="2"/>
  <c r="DI368" i="2"/>
  <c r="DL368" i="2" s="1"/>
  <c r="AV369" i="2"/>
  <c r="AW370" i="2"/>
  <c r="AX371" i="2"/>
  <c r="CY374" i="2"/>
  <c r="BG378" i="2"/>
  <c r="DF381" i="2"/>
  <c r="DI384" i="2"/>
  <c r="DL384" i="2" s="1"/>
  <c r="AV385" i="2"/>
  <c r="AW386" i="2"/>
  <c r="CX387" i="2"/>
  <c r="BG388" i="2"/>
  <c r="DH390" i="2"/>
  <c r="CY392" i="2"/>
  <c r="DI392" i="2"/>
  <c r="DL392" i="2" s="1"/>
  <c r="DE392" i="2"/>
  <c r="DK392" i="2" s="1"/>
  <c r="DC392" i="2"/>
  <c r="CX400" i="2"/>
  <c r="BE413" i="2"/>
  <c r="BC413" i="2"/>
  <c r="AZ413" i="2"/>
  <c r="AY413" i="2"/>
  <c r="AW421" i="2"/>
  <c r="BE427" i="2"/>
  <c r="BC427" i="2"/>
  <c r="AZ427" i="2"/>
  <c r="BD429" i="2"/>
  <c r="BG432" i="2"/>
  <c r="AV432" i="2"/>
  <c r="DE445" i="2"/>
  <c r="DK445" i="2" s="1"/>
  <c r="DD445" i="2"/>
  <c r="DC445" i="2"/>
  <c r="DB445" i="2"/>
  <c r="DA445" i="2"/>
  <c r="DJ445" i="2" s="1"/>
  <c r="CZ445" i="2"/>
  <c r="CY445" i="2"/>
  <c r="CX445" i="2"/>
  <c r="DI445" i="2"/>
  <c r="DL445" i="2" s="1"/>
  <c r="DH445" i="2"/>
  <c r="DG445" i="2"/>
  <c r="DD452" i="2"/>
  <c r="DI452" i="2"/>
  <c r="DL452" i="2" s="1"/>
  <c r="DH452" i="2"/>
  <c r="DG452" i="2"/>
  <c r="DF452" i="2"/>
  <c r="DE452" i="2"/>
  <c r="DK452" i="2" s="1"/>
  <c r="DC452" i="2"/>
  <c r="DB452" i="2"/>
  <c r="DA452" i="2"/>
  <c r="DJ452" i="2" s="1"/>
  <c r="CZ452" i="2"/>
  <c r="CY452" i="2"/>
  <c r="CX452" i="2"/>
  <c r="BD358" i="2"/>
  <c r="BD374" i="2"/>
  <c r="DI390" i="2"/>
  <c r="DL390" i="2" s="1"/>
  <c r="AV405" i="2"/>
  <c r="BG405" i="2"/>
  <c r="DB411" i="2"/>
  <c r="DA411" i="2"/>
  <c r="DJ411" i="2" s="1"/>
  <c r="CZ411" i="2"/>
  <c r="CY411" i="2"/>
  <c r="CX411" i="2"/>
  <c r="DI411" i="2"/>
  <c r="DL411" i="2" s="1"/>
  <c r="DH411" i="2"/>
  <c r="DG411" i="2"/>
  <c r="DF411" i="2"/>
  <c r="DF431" i="2"/>
  <c r="DE431" i="2"/>
  <c r="DK431" i="2" s="1"/>
  <c r="DD431" i="2"/>
  <c r="DC431" i="2"/>
  <c r="DB431" i="2"/>
  <c r="DA431" i="2"/>
  <c r="DJ431" i="2" s="1"/>
  <c r="CZ431" i="2"/>
  <c r="CY431" i="2"/>
  <c r="CX431" i="2"/>
  <c r="DI435" i="2"/>
  <c r="DL435" i="2" s="1"/>
  <c r="DH435" i="2"/>
  <c r="DG435" i="2"/>
  <c r="DF435" i="2"/>
  <c r="DE435" i="2"/>
  <c r="DK435" i="2" s="1"/>
  <c r="DD435" i="2"/>
  <c r="DC435" i="2"/>
  <c r="DB435" i="2"/>
  <c r="DA435" i="2"/>
  <c r="DJ435" i="2" s="1"/>
  <c r="CZ435" i="2"/>
  <c r="CY435" i="2"/>
  <c r="CX435" i="2"/>
  <c r="AW454" i="2"/>
  <c r="DH349" i="2"/>
  <c r="DI350" i="2"/>
  <c r="DL350" i="2" s="1"/>
  <c r="BC356" i="2"/>
  <c r="CY356" i="2"/>
  <c r="DA358" i="2"/>
  <c r="DJ358" i="2" s="1"/>
  <c r="BG360" i="2"/>
  <c r="DH365" i="2"/>
  <c r="DI366" i="2"/>
  <c r="DL366" i="2" s="1"/>
  <c r="AV367" i="2"/>
  <c r="BC372" i="2"/>
  <c r="CY372" i="2"/>
  <c r="DA374" i="2"/>
  <c r="DJ374" i="2" s="1"/>
  <c r="BG376" i="2"/>
  <c r="DH381" i="2"/>
  <c r="DI382" i="2"/>
  <c r="DL382" i="2" s="1"/>
  <c r="AV383" i="2"/>
  <c r="BD387" i="2"/>
  <c r="CZ387" i="2"/>
  <c r="AY389" i="2"/>
  <c r="BG390" i="2"/>
  <c r="CY391" i="2"/>
  <c r="DA397" i="2"/>
  <c r="DJ397" i="2" s="1"/>
  <c r="BD398" i="2"/>
  <c r="AY398" i="2"/>
  <c r="DD400" i="2"/>
  <c r="AZ401" i="2"/>
  <c r="DH401" i="2"/>
  <c r="DF401" i="2"/>
  <c r="DD401" i="2"/>
  <c r="DC401" i="2"/>
  <c r="DB401" i="2"/>
  <c r="CZ401" i="2"/>
  <c r="CX401" i="2"/>
  <c r="DC403" i="2"/>
  <c r="BG412" i="2"/>
  <c r="BF417" i="2"/>
  <c r="AW424" i="2"/>
  <c r="BD426" i="2"/>
  <c r="AY426" i="2"/>
  <c r="AX426" i="2"/>
  <c r="DH433" i="2"/>
  <c r="DG433" i="2"/>
  <c r="DF433" i="2"/>
  <c r="DE433" i="2"/>
  <c r="DK433" i="2" s="1"/>
  <c r="DD433" i="2"/>
  <c r="DC433" i="2"/>
  <c r="DB433" i="2"/>
  <c r="DA433" i="2"/>
  <c r="DJ433" i="2" s="1"/>
  <c r="CZ433" i="2"/>
  <c r="CY433" i="2"/>
  <c r="CX433" i="2"/>
  <c r="BD448" i="2"/>
  <c r="DG467" i="2"/>
  <c r="DF467" i="2"/>
  <c r="DD467" i="2"/>
  <c r="DC467" i="2"/>
  <c r="DA467" i="2"/>
  <c r="DJ467" i="2" s="1"/>
  <c r="CZ467" i="2"/>
  <c r="CY467" i="2"/>
  <c r="DI467" i="2"/>
  <c r="DL467" i="2" s="1"/>
  <c r="DH467" i="2"/>
  <c r="DE467" i="2"/>
  <c r="DK467" i="2" s="1"/>
  <c r="DB467" i="2"/>
  <c r="CX467" i="2"/>
  <c r="AX352" i="2"/>
  <c r="CZ356" i="2"/>
  <c r="DB358" i="2"/>
  <c r="AV366" i="2"/>
  <c r="AX368" i="2"/>
  <c r="CZ372" i="2"/>
  <c r="AV382" i="2"/>
  <c r="AX384" i="2"/>
  <c r="CX389" i="2"/>
  <c r="CZ391" i="2"/>
  <c r="CY395" i="2"/>
  <c r="AV396" i="2"/>
  <c r="DC397" i="2"/>
  <c r="BC398" i="2"/>
  <c r="AV400" i="2"/>
  <c r="DF400" i="2"/>
  <c r="BF401" i="2"/>
  <c r="DG403" i="2"/>
  <c r="AW420" i="2"/>
  <c r="DI420" i="2"/>
  <c r="DL420" i="2" s="1"/>
  <c r="DH420" i="2"/>
  <c r="DG420" i="2"/>
  <c r="DF420" i="2"/>
  <c r="DE420" i="2"/>
  <c r="DK420" i="2" s="1"/>
  <c r="DD420" i="2"/>
  <c r="DC420" i="2"/>
  <c r="DB420" i="2"/>
  <c r="DA420" i="2"/>
  <c r="DJ420" i="2" s="1"/>
  <c r="CZ420" i="2"/>
  <c r="CY420" i="2"/>
  <c r="CZ425" i="2"/>
  <c r="CY425" i="2"/>
  <c r="CX425" i="2"/>
  <c r="DI425" i="2"/>
  <c r="DL425" i="2" s="1"/>
  <c r="DH425" i="2"/>
  <c r="DG425" i="2"/>
  <c r="DF425" i="2"/>
  <c r="DE425" i="2"/>
  <c r="DK425" i="2" s="1"/>
  <c r="DD425" i="2"/>
  <c r="AY352" i="2"/>
  <c r="AZ353" i="2"/>
  <c r="CY354" i="2"/>
  <c r="BD355" i="2"/>
  <c r="DA356" i="2"/>
  <c r="DJ356" i="2" s="1"/>
  <c r="DC358" i="2"/>
  <c r="AY368" i="2"/>
  <c r="AZ369" i="2"/>
  <c r="CY370" i="2"/>
  <c r="BD371" i="2"/>
  <c r="DA372" i="2"/>
  <c r="DJ372" i="2" s="1"/>
  <c r="DC374" i="2"/>
  <c r="AY384" i="2"/>
  <c r="AZ385" i="2"/>
  <c r="CY386" i="2"/>
  <c r="DB387" i="2"/>
  <c r="CY389" i="2"/>
  <c r="BC391" i="2"/>
  <c r="DA391" i="2"/>
  <c r="DJ391" i="2" s="1"/>
  <c r="CX394" i="2"/>
  <c r="DA395" i="2"/>
  <c r="DJ395" i="2" s="1"/>
  <c r="AX396" i="2"/>
  <c r="DE397" i="2"/>
  <c r="DK397" i="2" s="1"/>
  <c r="DE398" i="2"/>
  <c r="DK398" i="2" s="1"/>
  <c r="DC398" i="2"/>
  <c r="DA398" i="2"/>
  <c r="DJ398" i="2" s="1"/>
  <c r="CZ398" i="2"/>
  <c r="CY398" i="2"/>
  <c r="DI398" i="2"/>
  <c r="DL398" i="2" s="1"/>
  <c r="DH400" i="2"/>
  <c r="BD411" i="2"/>
  <c r="AY411" i="2"/>
  <c r="AX411" i="2"/>
  <c r="BD413" i="2"/>
  <c r="DF415" i="2"/>
  <c r="DE415" i="2"/>
  <c r="DK415" i="2" s="1"/>
  <c r="DD415" i="2"/>
  <c r="DC415" i="2"/>
  <c r="DB415" i="2"/>
  <c r="DA415" i="2"/>
  <c r="DJ415" i="2" s="1"/>
  <c r="CZ415" i="2"/>
  <c r="CY415" i="2"/>
  <c r="CX415" i="2"/>
  <c r="BD431" i="2"/>
  <c r="DC443" i="2"/>
  <c r="DB443" i="2"/>
  <c r="DA443" i="2"/>
  <c r="DJ443" i="2" s="1"/>
  <c r="CZ443" i="2"/>
  <c r="CY443" i="2"/>
  <c r="CX443" i="2"/>
  <c r="DI443" i="2"/>
  <c r="DL443" i="2" s="1"/>
  <c r="DH443" i="2"/>
  <c r="DG443" i="2"/>
  <c r="DF443" i="2"/>
  <c r="DE443" i="2"/>
  <c r="DK443" i="2" s="1"/>
  <c r="AY367" i="2"/>
  <c r="AY383" i="2"/>
  <c r="DC395" i="2"/>
  <c r="AY397" i="2"/>
  <c r="AW397" i="2" s="1"/>
  <c r="DF397" i="2"/>
  <c r="BD400" i="2"/>
  <c r="DA409" i="2"/>
  <c r="DJ409" i="2" s="1"/>
  <c r="BE411" i="2"/>
  <c r="BC411" i="2"/>
  <c r="AZ411" i="2"/>
  <c r="AV433" i="2"/>
  <c r="DI436" i="2"/>
  <c r="DL436" i="2" s="1"/>
  <c r="DH436" i="2"/>
  <c r="DG436" i="2"/>
  <c r="DF436" i="2"/>
  <c r="DE436" i="2"/>
  <c r="DK436" i="2" s="1"/>
  <c r="DD436" i="2"/>
  <c r="DC436" i="2"/>
  <c r="DB436" i="2"/>
  <c r="DA436" i="2"/>
  <c r="DJ436" i="2" s="1"/>
  <c r="CZ436" i="2"/>
  <c r="CY436" i="2"/>
  <c r="CX436" i="2"/>
  <c r="AW445" i="2"/>
  <c r="DI449" i="2"/>
  <c r="DL449" i="2" s="1"/>
  <c r="DH449" i="2"/>
  <c r="DG449" i="2"/>
  <c r="DF449" i="2"/>
  <c r="DE449" i="2"/>
  <c r="DK449" i="2" s="1"/>
  <c r="DD449" i="2"/>
  <c r="DC449" i="2"/>
  <c r="DB449" i="2"/>
  <c r="DA449" i="2"/>
  <c r="DJ449" i="2" s="1"/>
  <c r="CZ449" i="2"/>
  <c r="CY449" i="2"/>
  <c r="CX449" i="2"/>
  <c r="CY352" i="2"/>
  <c r="DA354" i="2"/>
  <c r="DJ354" i="2" s="1"/>
  <c r="DC356" i="2"/>
  <c r="DE358" i="2"/>
  <c r="DK358" i="2" s="1"/>
  <c r="CY368" i="2"/>
  <c r="DA370" i="2"/>
  <c r="DJ370" i="2" s="1"/>
  <c r="DC372" i="2"/>
  <c r="DE374" i="2"/>
  <c r="DK374" i="2" s="1"/>
  <c r="CY384" i="2"/>
  <c r="DA386" i="2"/>
  <c r="DJ386" i="2" s="1"/>
  <c r="DD387" i="2"/>
  <c r="DA389" i="2"/>
  <c r="DJ389" i="2" s="1"/>
  <c r="AV390" i="2"/>
  <c r="BE391" i="2"/>
  <c r="DE391" i="2"/>
  <c r="DK391" i="2" s="1"/>
  <c r="CX392" i="2"/>
  <c r="CY393" i="2"/>
  <c r="DB394" i="2"/>
  <c r="DD395" i="2"/>
  <c r="CY399" i="2"/>
  <c r="AY400" i="2"/>
  <c r="AX400" i="2"/>
  <c r="CX406" i="2"/>
  <c r="DB409" i="2"/>
  <c r="BG416" i="2"/>
  <c r="BD416" i="2"/>
  <c r="BG420" i="2"/>
  <c r="CX423" i="2"/>
  <c r="DI423" i="2"/>
  <c r="DL423" i="2" s="1"/>
  <c r="DH423" i="2"/>
  <c r="DG423" i="2"/>
  <c r="DF423" i="2"/>
  <c r="DE423" i="2"/>
  <c r="DK423" i="2" s="1"/>
  <c r="DD423" i="2"/>
  <c r="DC423" i="2"/>
  <c r="DB423" i="2"/>
  <c r="BD430" i="2"/>
  <c r="BD433" i="2"/>
  <c r="AW451" i="2"/>
  <c r="AY462" i="2"/>
  <c r="DI518" i="2"/>
  <c r="DL518" i="2" s="1"/>
  <c r="DA518" i="2"/>
  <c r="DJ518" i="2" s="1"/>
  <c r="DH518" i="2"/>
  <c r="DG518" i="2"/>
  <c r="DF518" i="2"/>
  <c r="DE518" i="2"/>
  <c r="DK518" i="2" s="1"/>
  <c r="DD518" i="2"/>
  <c r="DC518" i="2"/>
  <c r="DB518" i="2"/>
  <c r="CZ518" i="2"/>
  <c r="CY518" i="2"/>
  <c r="CX518" i="2"/>
  <c r="CZ352" i="2"/>
  <c r="DB354" i="2"/>
  <c r="DD356" i="2"/>
  <c r="DF358" i="2"/>
  <c r="AX364" i="2"/>
  <c r="AY365" i="2"/>
  <c r="CZ368" i="2"/>
  <c r="DB370" i="2"/>
  <c r="DD372" i="2"/>
  <c r="DF374" i="2"/>
  <c r="AX380" i="2"/>
  <c r="AY381" i="2"/>
  <c r="BD384" i="2"/>
  <c r="CZ384" i="2"/>
  <c r="DB386" i="2"/>
  <c r="DB389" i="2"/>
  <c r="AW390" i="2"/>
  <c r="CX390" i="2"/>
  <c r="DF391" i="2"/>
  <c r="AW392" i="2"/>
  <c r="DE395" i="2"/>
  <c r="DK395" i="2" s="1"/>
  <c r="AY396" i="2"/>
  <c r="BG403" i="2"/>
  <c r="DH403" i="2"/>
  <c r="DF403" i="2"/>
  <c r="DE403" i="2"/>
  <c r="DK403" i="2" s="1"/>
  <c r="DD403" i="2"/>
  <c r="DB403" i="2"/>
  <c r="DA403" i="2"/>
  <c r="DJ403" i="2" s="1"/>
  <c r="CZ403" i="2"/>
  <c r="CY403" i="2"/>
  <c r="CX403" i="2"/>
  <c r="CY406" i="2"/>
  <c r="CY407" i="2"/>
  <c r="BD410" i="2"/>
  <c r="AY410" i="2"/>
  <c r="AX410" i="2"/>
  <c r="BD415" i="2"/>
  <c r="CY439" i="2"/>
  <c r="CX439" i="2"/>
  <c r="DI439" i="2"/>
  <c r="DL439" i="2" s="1"/>
  <c r="DH439" i="2"/>
  <c r="DG439" i="2"/>
  <c r="DF439" i="2"/>
  <c r="DE439" i="2"/>
  <c r="DK439" i="2" s="1"/>
  <c r="DD439" i="2"/>
  <c r="DC439" i="2"/>
  <c r="DB439" i="2"/>
  <c r="DA439" i="2"/>
  <c r="DJ439" i="2" s="1"/>
  <c r="DA441" i="2"/>
  <c r="DJ441" i="2" s="1"/>
  <c r="CZ441" i="2"/>
  <c r="CY441" i="2"/>
  <c r="CX441" i="2"/>
  <c r="DI441" i="2"/>
  <c r="DL441" i="2" s="1"/>
  <c r="DH441" i="2"/>
  <c r="DG441" i="2"/>
  <c r="DF441" i="2"/>
  <c r="DE441" i="2"/>
  <c r="DK441" i="2" s="1"/>
  <c r="DD441" i="2"/>
  <c r="DC441" i="2"/>
  <c r="BG448" i="2"/>
  <c r="AV448" i="2"/>
  <c r="DA352" i="2"/>
  <c r="DJ352" i="2" s="1"/>
  <c r="DE356" i="2"/>
  <c r="DK356" i="2" s="1"/>
  <c r="AZ365" i="2"/>
  <c r="DA368" i="2"/>
  <c r="DJ368" i="2" s="1"/>
  <c r="DE372" i="2"/>
  <c r="DK372" i="2" s="1"/>
  <c r="AZ381" i="2"/>
  <c r="DA384" i="2"/>
  <c r="DJ384" i="2" s="1"/>
  <c r="DC389" i="2"/>
  <c r="CY390" i="2"/>
  <c r="DG391" i="2"/>
  <c r="DG395" i="2"/>
  <c r="BE396" i="2"/>
  <c r="BC396" i="2"/>
  <c r="AZ396" i="2"/>
  <c r="DG400" i="2"/>
  <c r="DE400" i="2"/>
  <c r="DK400" i="2" s="1"/>
  <c r="DC400" i="2"/>
  <c r="DB400" i="2"/>
  <c r="DA400" i="2"/>
  <c r="DJ400" i="2" s="1"/>
  <c r="CY400" i="2"/>
  <c r="BD403" i="2"/>
  <c r="AX404" i="2"/>
  <c r="CZ406" i="2"/>
  <c r="CZ407" i="2"/>
  <c r="CZ409" i="2"/>
  <c r="CY409" i="2"/>
  <c r="CX409" i="2"/>
  <c r="DI409" i="2"/>
  <c r="DL409" i="2" s="1"/>
  <c r="DH409" i="2"/>
  <c r="DG409" i="2"/>
  <c r="DF409" i="2"/>
  <c r="DE409" i="2"/>
  <c r="DK409" i="2" s="1"/>
  <c r="DD409" i="2"/>
  <c r="DI419" i="2"/>
  <c r="DL419" i="2" s="1"/>
  <c r="DH419" i="2"/>
  <c r="DG419" i="2"/>
  <c r="DF419" i="2"/>
  <c r="DE419" i="2"/>
  <c r="DK419" i="2" s="1"/>
  <c r="DD419" i="2"/>
  <c r="DC419" i="2"/>
  <c r="DB419" i="2"/>
  <c r="DA419" i="2"/>
  <c r="DJ419" i="2" s="1"/>
  <c r="CZ419" i="2"/>
  <c r="CY419" i="2"/>
  <c r="CX419" i="2"/>
  <c r="AW422" i="2"/>
  <c r="BD428" i="2"/>
  <c r="AY428" i="2"/>
  <c r="AX428" i="2"/>
  <c r="DD429" i="2"/>
  <c r="DC429" i="2"/>
  <c r="DB429" i="2"/>
  <c r="DA429" i="2"/>
  <c r="DJ429" i="2" s="1"/>
  <c r="CZ429" i="2"/>
  <c r="CY429" i="2"/>
  <c r="CX429" i="2"/>
  <c r="DI429" i="2"/>
  <c r="DL429" i="2" s="1"/>
  <c r="DH429" i="2"/>
  <c r="BF430" i="2"/>
  <c r="AW436" i="2"/>
  <c r="BD446" i="2"/>
  <c r="DB450" i="2"/>
  <c r="DI450" i="2"/>
  <c r="DL450" i="2" s="1"/>
  <c r="DH450" i="2"/>
  <c r="DG450" i="2"/>
  <c r="DF450" i="2"/>
  <c r="DE450" i="2"/>
  <c r="DK450" i="2" s="1"/>
  <c r="DD450" i="2"/>
  <c r="DC450" i="2"/>
  <c r="DA450" i="2"/>
  <c r="DJ450" i="2" s="1"/>
  <c r="CZ450" i="2"/>
  <c r="CY450" i="2"/>
  <c r="CX450" i="2"/>
  <c r="BE467" i="2"/>
  <c r="BC467" i="2"/>
  <c r="AZ467" i="2"/>
  <c r="CZ390" i="2"/>
  <c r="DI391" i="2"/>
  <c r="DL391" i="2" s="1"/>
  <c r="BD395" i="2"/>
  <c r="AY395" i="2"/>
  <c r="AX395" i="2"/>
  <c r="DI395" i="2"/>
  <c r="DL395" i="2" s="1"/>
  <c r="BC397" i="2"/>
  <c r="AZ397" i="2"/>
  <c r="DD397" i="2"/>
  <c r="DB397" i="2"/>
  <c r="CZ397" i="2"/>
  <c r="CY397" i="2"/>
  <c r="CX397" i="2"/>
  <c r="DH397" i="2"/>
  <c r="AY399" i="2"/>
  <c r="BC403" i="2"/>
  <c r="AY404" i="2"/>
  <c r="AY405" i="2"/>
  <c r="DF406" i="2"/>
  <c r="DA407" i="2"/>
  <c r="DJ407" i="2" s="1"/>
  <c r="DE413" i="2"/>
  <c r="DK413" i="2" s="1"/>
  <c r="AW423" i="2"/>
  <c r="DC427" i="2"/>
  <c r="BE428" i="2"/>
  <c r="BC428" i="2"/>
  <c r="AZ428" i="2"/>
  <c r="BG431" i="2"/>
  <c r="AV431" i="2"/>
  <c r="BG443" i="2"/>
  <c r="BD443" i="2"/>
  <c r="AY443" i="2"/>
  <c r="AX443" i="2"/>
  <c r="BC446" i="2"/>
  <c r="BD472" i="2"/>
  <c r="BC472" i="2"/>
  <c r="AY472" i="2"/>
  <c r="AY457" i="2"/>
  <c r="AX457" i="2"/>
  <c r="DF483" i="2"/>
  <c r="DE483" i="2"/>
  <c r="DK483" i="2" s="1"/>
  <c r="DD483" i="2"/>
  <c r="DC483" i="2"/>
  <c r="DB483" i="2"/>
  <c r="CZ483" i="2"/>
  <c r="CY483" i="2"/>
  <c r="CX483" i="2"/>
  <c r="DI483" i="2"/>
  <c r="DL483" i="2" s="1"/>
  <c r="DH483" i="2"/>
  <c r="CY508" i="2"/>
  <c r="CX508" i="2"/>
  <c r="DI508" i="2"/>
  <c r="DL508" i="2" s="1"/>
  <c r="DH508" i="2"/>
  <c r="DG508" i="2"/>
  <c r="DF508" i="2"/>
  <c r="DE508" i="2"/>
  <c r="DK508" i="2" s="1"/>
  <c r="DD508" i="2"/>
  <c r="DC508" i="2"/>
  <c r="DB508" i="2"/>
  <c r="DA508" i="2"/>
  <c r="DJ508" i="2" s="1"/>
  <c r="CZ569" i="2"/>
  <c r="CY569" i="2"/>
  <c r="CX569" i="2"/>
  <c r="DI569" i="2"/>
  <c r="DL569" i="2" s="1"/>
  <c r="DH569" i="2"/>
  <c r="DG569" i="2"/>
  <c r="DF569" i="2"/>
  <c r="DE569" i="2"/>
  <c r="DK569" i="2" s="1"/>
  <c r="DD569" i="2"/>
  <c r="DC569" i="2"/>
  <c r="DB569" i="2"/>
  <c r="DA569" i="2"/>
  <c r="DJ569" i="2" s="1"/>
  <c r="AX401" i="2"/>
  <c r="AZ403" i="2"/>
  <c r="BC404" i="2"/>
  <c r="BD405" i="2"/>
  <c r="BG408" i="2"/>
  <c r="DC408" i="2"/>
  <c r="DE410" i="2"/>
  <c r="DK410" i="2" s="1"/>
  <c r="DI414" i="2"/>
  <c r="DL414" i="2" s="1"/>
  <c r="AX417" i="2"/>
  <c r="AZ419" i="2"/>
  <c r="BC420" i="2"/>
  <c r="BD421" i="2"/>
  <c r="BG424" i="2"/>
  <c r="DC424" i="2"/>
  <c r="DE426" i="2"/>
  <c r="DK426" i="2" s="1"/>
  <c r="DI430" i="2"/>
  <c r="DL430" i="2" s="1"/>
  <c r="AX433" i="2"/>
  <c r="AY434" i="2"/>
  <c r="AZ435" i="2"/>
  <c r="BC436" i="2"/>
  <c r="BD437" i="2"/>
  <c r="DA438" i="2"/>
  <c r="DJ438" i="2" s="1"/>
  <c r="BG440" i="2"/>
  <c r="DC440" i="2"/>
  <c r="DE442" i="2"/>
  <c r="DK442" i="2" s="1"/>
  <c r="DI446" i="2"/>
  <c r="DL446" i="2" s="1"/>
  <c r="AV447" i="2"/>
  <c r="AX449" i="2"/>
  <c r="DD453" i="2"/>
  <c r="BD454" i="2"/>
  <c r="CZ454" i="2"/>
  <c r="CZ455" i="2"/>
  <c r="BD456" i="2"/>
  <c r="DA456" i="2"/>
  <c r="DJ456" i="2" s="1"/>
  <c r="BC457" i="2"/>
  <c r="DF457" i="2"/>
  <c r="BD459" i="2"/>
  <c r="DD459" i="2"/>
  <c r="DA460" i="2"/>
  <c r="DJ460" i="2" s="1"/>
  <c r="DC468" i="2"/>
  <c r="BC470" i="2"/>
  <c r="CY476" i="2"/>
  <c r="CX476" i="2"/>
  <c r="DI476" i="2"/>
  <c r="DL476" i="2" s="1"/>
  <c r="DH476" i="2"/>
  <c r="DG476" i="2"/>
  <c r="DF476" i="2"/>
  <c r="DE476" i="2"/>
  <c r="DK476" i="2" s="1"/>
  <c r="DC476" i="2"/>
  <c r="DA476" i="2"/>
  <c r="DJ476" i="2" s="1"/>
  <c r="BF478" i="2"/>
  <c r="CX480" i="2"/>
  <c r="BE487" i="2"/>
  <c r="AZ487" i="2"/>
  <c r="AY487" i="2"/>
  <c r="AV488" i="2"/>
  <c r="BE497" i="2"/>
  <c r="BC497" i="2"/>
  <c r="AZ497" i="2"/>
  <c r="BC498" i="2"/>
  <c r="AW507" i="2"/>
  <c r="AV398" i="2"/>
  <c r="AY401" i="2"/>
  <c r="AZ402" i="2"/>
  <c r="BG407" i="2"/>
  <c r="DD408" i="2"/>
  <c r="DF410" i="2"/>
  <c r="AV414" i="2"/>
  <c r="AX416" i="2"/>
  <c r="AY417" i="2"/>
  <c r="AZ418" i="2"/>
  <c r="BD420" i="2"/>
  <c r="BF422" i="2"/>
  <c r="BG423" i="2"/>
  <c r="DD424" i="2"/>
  <c r="DF426" i="2"/>
  <c r="AV430" i="2"/>
  <c r="AX432" i="2"/>
  <c r="AY433" i="2"/>
  <c r="AZ434" i="2"/>
  <c r="DB438" i="2"/>
  <c r="BG439" i="2"/>
  <c r="DD440" i="2"/>
  <c r="AV446" i="2"/>
  <c r="AX448" i="2"/>
  <c r="AY449" i="2"/>
  <c r="AY452" i="2"/>
  <c r="DF453" i="2"/>
  <c r="DA454" i="2"/>
  <c r="DJ454" i="2" s="1"/>
  <c r="DA455" i="2"/>
  <c r="DJ455" i="2" s="1"/>
  <c r="DB456" i="2"/>
  <c r="DG457" i="2"/>
  <c r="DC460" i="2"/>
  <c r="BC469" i="2"/>
  <c r="BE470" i="2"/>
  <c r="DI470" i="2"/>
  <c r="DL470" i="2" s="1"/>
  <c r="DG470" i="2"/>
  <c r="DF470" i="2"/>
  <c r="DD470" i="2"/>
  <c r="DC470" i="2"/>
  <c r="DB470" i="2"/>
  <c r="CZ470" i="2"/>
  <c r="CX470" i="2"/>
  <c r="BC477" i="2"/>
  <c r="AZ477" i="2"/>
  <c r="BD478" i="2"/>
  <c r="AY478" i="2"/>
  <c r="AW478" i="2" s="1"/>
  <c r="BD485" i="2"/>
  <c r="AV485" i="2"/>
  <c r="BC502" i="2"/>
  <c r="AZ502" i="2"/>
  <c r="AW504" i="2"/>
  <c r="BE512" i="2"/>
  <c r="BD512" i="2"/>
  <c r="AY512" i="2"/>
  <c r="AX512" i="2"/>
  <c r="AW529" i="2"/>
  <c r="CY580" i="2"/>
  <c r="DC580" i="2"/>
  <c r="DB580" i="2"/>
  <c r="DA580" i="2"/>
  <c r="DJ580" i="2" s="1"/>
  <c r="CZ580" i="2"/>
  <c r="CX580" i="2"/>
  <c r="DI580" i="2"/>
  <c r="DL580" i="2" s="1"/>
  <c r="DH580" i="2"/>
  <c r="DG580" i="2"/>
  <c r="DF580" i="2"/>
  <c r="DE580" i="2"/>
  <c r="DK580" i="2" s="1"/>
  <c r="DD580" i="2"/>
  <c r="DI396" i="2"/>
  <c r="DL396" i="2" s="1"/>
  <c r="AX399" i="2"/>
  <c r="BC402" i="2"/>
  <c r="CY402" i="2"/>
  <c r="DE408" i="2"/>
  <c r="DK408" i="2" s="1"/>
  <c r="DG410" i="2"/>
  <c r="AV413" i="2"/>
  <c r="AX415" i="2"/>
  <c r="AZ417" i="2"/>
  <c r="BC418" i="2"/>
  <c r="CY418" i="2"/>
  <c r="DE424" i="2"/>
  <c r="DK424" i="2" s="1"/>
  <c r="DG426" i="2"/>
  <c r="AV429" i="2"/>
  <c r="AX431" i="2"/>
  <c r="AY432" i="2"/>
  <c r="AZ433" i="2"/>
  <c r="BC434" i="2"/>
  <c r="CY434" i="2"/>
  <c r="BG438" i="2"/>
  <c r="DC438" i="2"/>
  <c r="DE440" i="2"/>
  <c r="DK440" i="2" s="1"/>
  <c r="DG442" i="2"/>
  <c r="DI444" i="2"/>
  <c r="DL444" i="2" s="1"/>
  <c r="AV445" i="2"/>
  <c r="AX447" i="2"/>
  <c r="AY448" i="2"/>
  <c r="AZ449" i="2"/>
  <c r="DG453" i="2"/>
  <c r="DB454" i="2"/>
  <c r="DB455" i="2"/>
  <c r="DC456" i="2"/>
  <c r="DD460" i="2"/>
  <c r="CX463" i="2"/>
  <c r="BE465" i="2"/>
  <c r="DE465" i="2"/>
  <c r="DK465" i="2" s="1"/>
  <c r="DD465" i="2"/>
  <c r="DB465" i="2"/>
  <c r="DA465" i="2"/>
  <c r="DJ465" i="2" s="1"/>
  <c r="CY465" i="2"/>
  <c r="CX465" i="2"/>
  <c r="DG465" i="2"/>
  <c r="BD470" i="2"/>
  <c r="CX471" i="2"/>
  <c r="AY476" i="2"/>
  <c r="AX476" i="2"/>
  <c r="BG476" i="2"/>
  <c r="BE478" i="2"/>
  <c r="BD483" i="2"/>
  <c r="AV494" i="2"/>
  <c r="BF495" i="2"/>
  <c r="AX414" i="2"/>
  <c r="AY415" i="2"/>
  <c r="BG421" i="2"/>
  <c r="DF424" i="2"/>
  <c r="AX430" i="2"/>
  <c r="AY431" i="2"/>
  <c r="BC433" i="2"/>
  <c r="BG437" i="2"/>
  <c r="DD438" i="2"/>
  <c r="DF440" i="2"/>
  <c r="AV444" i="2"/>
  <c r="AX446" i="2"/>
  <c r="AY447" i="2"/>
  <c r="DC454" i="2"/>
  <c r="DC455" i="2"/>
  <c r="AW459" i="2"/>
  <c r="DA463" i="2"/>
  <c r="DJ463" i="2" s="1"/>
  <c r="DA466" i="2"/>
  <c r="DJ466" i="2" s="1"/>
  <c r="BC468" i="2"/>
  <c r="CX473" i="2"/>
  <c r="BC476" i="2"/>
  <c r="DI486" i="2"/>
  <c r="DL486" i="2" s="1"/>
  <c r="DH486" i="2"/>
  <c r="DG486" i="2"/>
  <c r="DF486" i="2"/>
  <c r="DE486" i="2"/>
  <c r="DK486" i="2" s="1"/>
  <c r="DC486" i="2"/>
  <c r="DB486" i="2"/>
  <c r="DA486" i="2"/>
  <c r="DJ486" i="2" s="1"/>
  <c r="CZ486" i="2"/>
  <c r="CY486" i="2"/>
  <c r="BD495" i="2"/>
  <c r="AY495" i="2"/>
  <c r="BF514" i="2"/>
  <c r="BD514" i="2"/>
  <c r="AV514" i="2"/>
  <c r="BD515" i="2"/>
  <c r="BC400" i="2"/>
  <c r="DA402" i="2"/>
  <c r="DJ402" i="2" s="1"/>
  <c r="DG408" i="2"/>
  <c r="DI410" i="2"/>
  <c r="DL410" i="2" s="1"/>
  <c r="AY414" i="2"/>
  <c r="AZ415" i="2"/>
  <c r="BC416" i="2"/>
  <c r="CY416" i="2"/>
  <c r="DA418" i="2"/>
  <c r="DJ418" i="2" s="1"/>
  <c r="DG424" i="2"/>
  <c r="DI426" i="2"/>
  <c r="DL426" i="2" s="1"/>
  <c r="AY430" i="2"/>
  <c r="AZ431" i="2"/>
  <c r="BC432" i="2"/>
  <c r="CY432" i="2"/>
  <c r="DA434" i="2"/>
  <c r="DJ434" i="2" s="1"/>
  <c r="DE438" i="2"/>
  <c r="DK438" i="2" s="1"/>
  <c r="DG440" i="2"/>
  <c r="DI442" i="2"/>
  <c r="DL442" i="2" s="1"/>
  <c r="AY446" i="2"/>
  <c r="AZ447" i="2"/>
  <c r="BC448" i="2"/>
  <c r="CY448" i="2"/>
  <c r="BG450" i="2"/>
  <c r="BD452" i="2"/>
  <c r="DI453" i="2"/>
  <c r="DL453" i="2" s="1"/>
  <c r="DD454" i="2"/>
  <c r="AY455" i="2"/>
  <c r="DD455" i="2"/>
  <c r="DE456" i="2"/>
  <c r="DK456" i="2" s="1"/>
  <c r="AV457" i="2"/>
  <c r="BC459" i="2"/>
  <c r="AZ459" i="2"/>
  <c r="BE459" i="2"/>
  <c r="DF460" i="2"/>
  <c r="CZ462" i="2"/>
  <c r="DD463" i="2"/>
  <c r="BD464" i="2"/>
  <c r="DD466" i="2"/>
  <c r="DH468" i="2"/>
  <c r="DG468" i="2"/>
  <c r="DE468" i="2"/>
  <c r="DK468" i="2" s="1"/>
  <c r="DD468" i="2"/>
  <c r="DB468" i="2"/>
  <c r="DA468" i="2"/>
  <c r="DJ468" i="2" s="1"/>
  <c r="CZ468" i="2"/>
  <c r="CX468" i="2"/>
  <c r="BE469" i="2"/>
  <c r="AW471" i="2"/>
  <c r="DB471" i="2"/>
  <c r="CZ473" i="2"/>
  <c r="CX474" i="2"/>
  <c r="DE479" i="2"/>
  <c r="DK479" i="2" s="1"/>
  <c r="DE482" i="2"/>
  <c r="DK482" i="2" s="1"/>
  <c r="DD482" i="2"/>
  <c r="DC482" i="2"/>
  <c r="DB482" i="2"/>
  <c r="DA482" i="2"/>
  <c r="DJ482" i="2" s="1"/>
  <c r="CY482" i="2"/>
  <c r="CX482" i="2"/>
  <c r="DI482" i="2"/>
  <c r="DL482" i="2" s="1"/>
  <c r="DH482" i="2"/>
  <c r="DG482" i="2"/>
  <c r="AZ486" i="2"/>
  <c r="DA489" i="2"/>
  <c r="DJ489" i="2" s="1"/>
  <c r="BC493" i="2"/>
  <c r="AZ493" i="2"/>
  <c r="DH501" i="2"/>
  <c r="DG501" i="2"/>
  <c r="DF501" i="2"/>
  <c r="DE501" i="2"/>
  <c r="DK501" i="2" s="1"/>
  <c r="DD501" i="2"/>
  <c r="DC501" i="2"/>
  <c r="DB501" i="2"/>
  <c r="DA501" i="2"/>
  <c r="DJ501" i="2" s="1"/>
  <c r="CZ501" i="2"/>
  <c r="CY501" i="2"/>
  <c r="CX501" i="2"/>
  <c r="BC515" i="2"/>
  <c r="DI532" i="2"/>
  <c r="DL532" i="2" s="1"/>
  <c r="DH532" i="2"/>
  <c r="DG532" i="2"/>
  <c r="DF532" i="2"/>
  <c r="DE532" i="2"/>
  <c r="DK532" i="2" s="1"/>
  <c r="DD532" i="2"/>
  <c r="DC532" i="2"/>
  <c r="DB532" i="2"/>
  <c r="DA532" i="2"/>
  <c r="DJ532" i="2" s="1"/>
  <c r="CY532" i="2"/>
  <c r="CZ532" i="2"/>
  <c r="CX532" i="2"/>
  <c r="DD557" i="2"/>
  <c r="DC557" i="2"/>
  <c r="DB557" i="2"/>
  <c r="DA557" i="2"/>
  <c r="DJ557" i="2" s="1"/>
  <c r="CZ557" i="2"/>
  <c r="CY557" i="2"/>
  <c r="CX557" i="2"/>
  <c r="DI557" i="2"/>
  <c r="DL557" i="2" s="1"/>
  <c r="DG557" i="2"/>
  <c r="DF557" i="2"/>
  <c r="DH557" i="2"/>
  <c r="DE557" i="2"/>
  <c r="DK557" i="2" s="1"/>
  <c r="BC415" i="2"/>
  <c r="BG419" i="2"/>
  <c r="BC431" i="2"/>
  <c r="BG435" i="2"/>
  <c r="DF438" i="2"/>
  <c r="AX444" i="2"/>
  <c r="AY445" i="2"/>
  <c r="BC447" i="2"/>
  <c r="AZ456" i="2"/>
  <c r="DI457" i="2"/>
  <c r="DL457" i="2" s="1"/>
  <c r="CY457" i="2"/>
  <c r="BD460" i="2"/>
  <c r="AY460" i="2"/>
  <c r="AX460" i="2"/>
  <c r="DC462" i="2"/>
  <c r="AV463" i="2"/>
  <c r="DF463" i="2"/>
  <c r="BE464" i="2"/>
  <c r="AZ464" i="2"/>
  <c r="DG466" i="2"/>
  <c r="CX469" i="2"/>
  <c r="DF471" i="2"/>
  <c r="CY472" i="2"/>
  <c r="DB473" i="2"/>
  <c r="CZ474" i="2"/>
  <c r="DC480" i="2"/>
  <c r="DB480" i="2"/>
  <c r="DA480" i="2"/>
  <c r="DJ480" i="2" s="1"/>
  <c r="CZ480" i="2"/>
  <c r="CY480" i="2"/>
  <c r="DI480" i="2"/>
  <c r="DL480" i="2" s="1"/>
  <c r="DG480" i="2"/>
  <c r="DE480" i="2"/>
  <c r="DK480" i="2" s="1"/>
  <c r="BD481" i="2"/>
  <c r="BG486" i="2"/>
  <c r="BD486" i="2"/>
  <c r="AY486" i="2"/>
  <c r="AX486" i="2"/>
  <c r="AW491" i="2"/>
  <c r="DE498" i="2"/>
  <c r="DK498" i="2" s="1"/>
  <c r="DD498" i="2"/>
  <c r="DC498" i="2"/>
  <c r="DB498" i="2"/>
  <c r="DA498" i="2"/>
  <c r="DJ498" i="2" s="1"/>
  <c r="CZ498" i="2"/>
  <c r="CY498" i="2"/>
  <c r="CX498" i="2"/>
  <c r="DI498" i="2"/>
  <c r="DL498" i="2" s="1"/>
  <c r="DH498" i="2"/>
  <c r="DG498" i="2"/>
  <c r="BE504" i="2"/>
  <c r="BG505" i="2"/>
  <c r="BE505" i="2"/>
  <c r="BF515" i="2"/>
  <c r="BG517" i="2"/>
  <c r="AV517" i="2"/>
  <c r="DD573" i="2"/>
  <c r="DC573" i="2"/>
  <c r="DB573" i="2"/>
  <c r="DA573" i="2"/>
  <c r="DJ573" i="2" s="1"/>
  <c r="CZ573" i="2"/>
  <c r="CY573" i="2"/>
  <c r="CX573" i="2"/>
  <c r="DI573" i="2"/>
  <c r="DL573" i="2" s="1"/>
  <c r="DH573" i="2"/>
  <c r="DG573" i="2"/>
  <c r="DF573" i="2"/>
  <c r="DE573" i="2"/>
  <c r="DK573" i="2" s="1"/>
  <c r="AW585" i="2"/>
  <c r="DC402" i="2"/>
  <c r="DI408" i="2"/>
  <c r="DL408" i="2" s="1"/>
  <c r="CY414" i="2"/>
  <c r="DA416" i="2"/>
  <c r="DJ416" i="2" s="1"/>
  <c r="DC418" i="2"/>
  <c r="DI424" i="2"/>
  <c r="DL424" i="2" s="1"/>
  <c r="CY430" i="2"/>
  <c r="DA432" i="2"/>
  <c r="DJ432" i="2" s="1"/>
  <c r="DC434" i="2"/>
  <c r="DG438" i="2"/>
  <c r="DI440" i="2"/>
  <c r="DL440" i="2" s="1"/>
  <c r="AY444" i="2"/>
  <c r="AZ445" i="2"/>
  <c r="CY446" i="2"/>
  <c r="DA448" i="2"/>
  <c r="DJ448" i="2" s="1"/>
  <c r="DG454" i="2"/>
  <c r="DF455" i="2"/>
  <c r="BC458" i="2"/>
  <c r="CY459" i="2"/>
  <c r="CX459" i="2"/>
  <c r="DH459" i="2"/>
  <c r="DA459" i="2"/>
  <c r="DJ459" i="2" s="1"/>
  <c r="BC460" i="2"/>
  <c r="DE462" i="2"/>
  <c r="DK462" i="2" s="1"/>
  <c r="DG463" i="2"/>
  <c r="BE468" i="2"/>
  <c r="DA472" i="2"/>
  <c r="DJ472" i="2" s="1"/>
  <c r="AV478" i="2"/>
  <c r="DB479" i="2"/>
  <c r="DA479" i="2"/>
  <c r="DJ479" i="2" s="1"/>
  <c r="CZ479" i="2"/>
  <c r="CY479" i="2"/>
  <c r="CX479" i="2"/>
  <c r="DI479" i="2"/>
  <c r="DL479" i="2" s="1"/>
  <c r="DH479" i="2"/>
  <c r="DF479" i="2"/>
  <c r="DD479" i="2"/>
  <c r="BE480" i="2"/>
  <c r="BD480" i="2"/>
  <c r="AY480" i="2"/>
  <c r="AX480" i="2"/>
  <c r="BE481" i="2"/>
  <c r="AZ481" i="2"/>
  <c r="DC485" i="2"/>
  <c r="DI489" i="2"/>
  <c r="DL489" i="2" s="1"/>
  <c r="DH489" i="2"/>
  <c r="DF489" i="2"/>
  <c r="DE489" i="2"/>
  <c r="DK489" i="2" s="1"/>
  <c r="DD489" i="2"/>
  <c r="DC489" i="2"/>
  <c r="DB489" i="2"/>
  <c r="CZ489" i="2"/>
  <c r="CY489" i="2"/>
  <c r="CX489" i="2"/>
  <c r="CZ492" i="2"/>
  <c r="DI505" i="2"/>
  <c r="DL505" i="2" s="1"/>
  <c r="DH505" i="2"/>
  <c r="DG505" i="2"/>
  <c r="DF505" i="2"/>
  <c r="DE505" i="2"/>
  <c r="DK505" i="2" s="1"/>
  <c r="DD505" i="2"/>
  <c r="DC505" i="2"/>
  <c r="DB505" i="2"/>
  <c r="DA505" i="2"/>
  <c r="DJ505" i="2" s="1"/>
  <c r="CZ505" i="2"/>
  <c r="CY505" i="2"/>
  <c r="CX505" i="2"/>
  <c r="CZ414" i="2"/>
  <c r="DB416" i="2"/>
  <c r="CZ430" i="2"/>
  <c r="DB432" i="2"/>
  <c r="DH438" i="2"/>
  <c r="AX442" i="2"/>
  <c r="BC445" i="2"/>
  <c r="CZ446" i="2"/>
  <c r="DB448" i="2"/>
  <c r="BF450" i="2"/>
  <c r="AV451" i="2"/>
  <c r="BG452" i="2"/>
  <c r="AV453" i="2"/>
  <c r="DH454" i="2"/>
  <c r="DH455" i="2"/>
  <c r="BE458" i="2"/>
  <c r="BF460" i="2"/>
  <c r="BD461" i="2"/>
  <c r="AY461" i="2"/>
  <c r="AW461" i="2" s="1"/>
  <c r="DF462" i="2"/>
  <c r="DH463" i="2"/>
  <c r="BC480" i="2"/>
  <c r="BE496" i="2"/>
  <c r="BD496" i="2"/>
  <c r="AY496" i="2"/>
  <c r="AX496" i="2"/>
  <c r="DF499" i="2"/>
  <c r="DE499" i="2"/>
  <c r="DK499" i="2" s="1"/>
  <c r="DD499" i="2"/>
  <c r="DC499" i="2"/>
  <c r="DB499" i="2"/>
  <c r="DA499" i="2"/>
  <c r="DJ499" i="2" s="1"/>
  <c r="CZ499" i="2"/>
  <c r="CY499" i="2"/>
  <c r="CX499" i="2"/>
  <c r="DI499" i="2"/>
  <c r="DL499" i="2" s="1"/>
  <c r="DH499" i="2"/>
  <c r="BE513" i="2"/>
  <c r="BC513" i="2"/>
  <c r="AZ513" i="2"/>
  <c r="BC514" i="2"/>
  <c r="AX393" i="2"/>
  <c r="CY396" i="2"/>
  <c r="AX409" i="2"/>
  <c r="CY412" i="2"/>
  <c r="DA414" i="2"/>
  <c r="DJ414" i="2" s="1"/>
  <c r="DC416" i="2"/>
  <c r="AX425" i="2"/>
  <c r="DA430" i="2"/>
  <c r="DJ430" i="2" s="1"/>
  <c r="DC432" i="2"/>
  <c r="AX441" i="2"/>
  <c r="AY442" i="2"/>
  <c r="AZ443" i="2"/>
  <c r="CY444" i="2"/>
  <c r="DA446" i="2"/>
  <c r="DJ446" i="2" s="1"/>
  <c r="DC448" i="2"/>
  <c r="AW453" i="2"/>
  <c r="DI454" i="2"/>
  <c r="DL454" i="2" s="1"/>
  <c r="DI455" i="2"/>
  <c r="DL455" i="2" s="1"/>
  <c r="BE461" i="2"/>
  <c r="AZ461" i="2"/>
  <c r="BD462" i="2"/>
  <c r="DG462" i="2"/>
  <c r="BD463" i="2"/>
  <c r="AY463" i="2"/>
  <c r="AX463" i="2"/>
  <c r="DF466" i="2"/>
  <c r="DE466" i="2"/>
  <c r="DK466" i="2" s="1"/>
  <c r="DC466" i="2"/>
  <c r="DB466" i="2"/>
  <c r="CZ466" i="2"/>
  <c r="CY466" i="2"/>
  <c r="CX466" i="2"/>
  <c r="DH466" i="2"/>
  <c r="DI472" i="2"/>
  <c r="DL472" i="2" s="1"/>
  <c r="DH472" i="2"/>
  <c r="DF472" i="2"/>
  <c r="DE472" i="2"/>
  <c r="DK472" i="2" s="1"/>
  <c r="DD472" i="2"/>
  <c r="DC472" i="2"/>
  <c r="DB472" i="2"/>
  <c r="CZ472" i="2"/>
  <c r="CX472" i="2"/>
  <c r="DI473" i="2"/>
  <c r="DL473" i="2" s="1"/>
  <c r="DG473" i="2"/>
  <c r="DF473" i="2"/>
  <c r="DE473" i="2"/>
  <c r="DK473" i="2" s="1"/>
  <c r="DD473" i="2"/>
  <c r="DC473" i="2"/>
  <c r="DA473" i="2"/>
  <c r="DJ473" i="2" s="1"/>
  <c r="CY473" i="2"/>
  <c r="DH485" i="2"/>
  <c r="DG485" i="2"/>
  <c r="DF485" i="2"/>
  <c r="DE485" i="2"/>
  <c r="DK485" i="2" s="1"/>
  <c r="DD485" i="2"/>
  <c r="DB485" i="2"/>
  <c r="DA485" i="2"/>
  <c r="DJ485" i="2" s="1"/>
  <c r="CZ485" i="2"/>
  <c r="CY485" i="2"/>
  <c r="CX485" i="2"/>
  <c r="AW488" i="2"/>
  <c r="CY492" i="2"/>
  <c r="CX492" i="2"/>
  <c r="DI492" i="2"/>
  <c r="DL492" i="2" s="1"/>
  <c r="DH492" i="2"/>
  <c r="DG492" i="2"/>
  <c r="DF492" i="2"/>
  <c r="DE492" i="2"/>
  <c r="DK492" i="2" s="1"/>
  <c r="DC492" i="2"/>
  <c r="DB492" i="2"/>
  <c r="DA492" i="2"/>
  <c r="DJ492" i="2" s="1"/>
  <c r="AY409" i="2"/>
  <c r="DB414" i="2"/>
  <c r="AX440" i="2"/>
  <c r="AY441" i="2"/>
  <c r="BC443" i="2"/>
  <c r="DH456" i="2"/>
  <c r="CX456" i="2"/>
  <c r="CX457" i="2"/>
  <c r="BG458" i="2"/>
  <c r="CZ460" i="2"/>
  <c r="CY460" i="2"/>
  <c r="DI460" i="2"/>
  <c r="DL460" i="2" s="1"/>
  <c r="DB460" i="2"/>
  <c r="BG462" i="2"/>
  <c r="DH462" i="2"/>
  <c r="BC463" i="2"/>
  <c r="BG464" i="2"/>
  <c r="AV464" i="2"/>
  <c r="BD466" i="2"/>
  <c r="AX466" i="2"/>
  <c r="AZ469" i="2"/>
  <c r="DH471" i="2"/>
  <c r="DG471" i="2"/>
  <c r="DE471" i="2"/>
  <c r="DK471" i="2" s="1"/>
  <c r="DD471" i="2"/>
  <c r="DC471" i="2"/>
  <c r="DA471" i="2"/>
  <c r="DJ471" i="2" s="1"/>
  <c r="CY471" i="2"/>
  <c r="AY473" i="2"/>
  <c r="DI474" i="2"/>
  <c r="DL474" i="2" s="1"/>
  <c r="DG474" i="2"/>
  <c r="DF474" i="2"/>
  <c r="DE474" i="2"/>
  <c r="DK474" i="2" s="1"/>
  <c r="DD474" i="2"/>
  <c r="DC474" i="2"/>
  <c r="DA474" i="2"/>
  <c r="DJ474" i="2" s="1"/>
  <c r="CY474" i="2"/>
  <c r="CY487" i="2"/>
  <c r="BE489" i="2"/>
  <c r="DB511" i="2"/>
  <c r="DA511" i="2"/>
  <c r="DJ511" i="2" s="1"/>
  <c r="CZ511" i="2"/>
  <c r="CY511" i="2"/>
  <c r="CX511" i="2"/>
  <c r="DI511" i="2"/>
  <c r="DL511" i="2" s="1"/>
  <c r="DH511" i="2"/>
  <c r="DG511" i="2"/>
  <c r="DF511" i="2"/>
  <c r="DE511" i="2"/>
  <c r="DK511" i="2" s="1"/>
  <c r="DD511" i="2"/>
  <c r="BC394" i="2"/>
  <c r="DA396" i="2"/>
  <c r="DJ396" i="2" s="1"/>
  <c r="DG402" i="2"/>
  <c r="BC410" i="2"/>
  <c r="CY410" i="2"/>
  <c r="DA412" i="2"/>
  <c r="DJ412" i="2" s="1"/>
  <c r="DC414" i="2"/>
  <c r="DE416" i="2"/>
  <c r="DK416" i="2" s="1"/>
  <c r="DG418" i="2"/>
  <c r="BC426" i="2"/>
  <c r="CY426" i="2"/>
  <c r="DA428" i="2"/>
  <c r="DJ428" i="2" s="1"/>
  <c r="DC430" i="2"/>
  <c r="DE432" i="2"/>
  <c r="DK432" i="2" s="1"/>
  <c r="DG434" i="2"/>
  <c r="BC442" i="2"/>
  <c r="CY442" i="2"/>
  <c r="DA444" i="2"/>
  <c r="DJ444" i="2" s="1"/>
  <c r="DC446" i="2"/>
  <c r="DE448" i="2"/>
  <c r="DK448" i="2" s="1"/>
  <c r="CX453" i="2"/>
  <c r="AY458" i="2"/>
  <c r="BD458" i="2"/>
  <c r="AV460" i="2"/>
  <c r="BF463" i="2"/>
  <c r="BC466" i="2"/>
  <c r="BD468" i="2"/>
  <c r="AV468" i="2"/>
  <c r="BE472" i="2"/>
  <c r="BE479" i="2"/>
  <c r="BC479" i="2"/>
  <c r="AZ479" i="2"/>
  <c r="BG481" i="2"/>
  <c r="AV481" i="2"/>
  <c r="AW489" i="2"/>
  <c r="DI506" i="2"/>
  <c r="DL506" i="2" s="1"/>
  <c r="DH506" i="2"/>
  <c r="DG506" i="2"/>
  <c r="DF506" i="2"/>
  <c r="DE506" i="2"/>
  <c r="DK506" i="2" s="1"/>
  <c r="DD506" i="2"/>
  <c r="DC506" i="2"/>
  <c r="DB506" i="2"/>
  <c r="DA506" i="2"/>
  <c r="DJ506" i="2" s="1"/>
  <c r="CZ506" i="2"/>
  <c r="CY506" i="2"/>
  <c r="BG577" i="2"/>
  <c r="AV577" i="2"/>
  <c r="AX406" i="2"/>
  <c r="AY407" i="2"/>
  <c r="BD457" i="2"/>
  <c r="BE462" i="2"/>
  <c r="BC462" i="2"/>
  <c r="AZ462" i="2"/>
  <c r="DB462" i="2"/>
  <c r="DA462" i="2"/>
  <c r="DJ462" i="2" s="1"/>
  <c r="CY462" i="2"/>
  <c r="CX462" i="2"/>
  <c r="DD462" i="2"/>
  <c r="DC463" i="2"/>
  <c r="DB463" i="2"/>
  <c r="CZ463" i="2"/>
  <c r="CY463" i="2"/>
  <c r="DE463" i="2"/>
  <c r="DK463" i="2" s="1"/>
  <c r="BG469" i="2"/>
  <c r="AY469" i="2"/>
  <c r="AW472" i="2"/>
  <c r="DI503" i="2"/>
  <c r="DL503" i="2" s="1"/>
  <c r="DH503" i="2"/>
  <c r="DG503" i="2"/>
  <c r="DF503" i="2"/>
  <c r="DE503" i="2"/>
  <c r="DK503" i="2" s="1"/>
  <c r="DD503" i="2"/>
  <c r="DC503" i="2"/>
  <c r="DB503" i="2"/>
  <c r="DA503" i="2"/>
  <c r="DJ503" i="2" s="1"/>
  <c r="CZ503" i="2"/>
  <c r="CY503" i="2"/>
  <c r="CX503" i="2"/>
  <c r="CZ453" i="2"/>
  <c r="BE457" i="2"/>
  <c r="DB457" i="2"/>
  <c r="AV461" i="2"/>
  <c r="BG461" i="2"/>
  <c r="BF462" i="2"/>
  <c r="DI469" i="2"/>
  <c r="DL469" i="2" s="1"/>
  <c r="DH469" i="2"/>
  <c r="DF469" i="2"/>
  <c r="DE469" i="2"/>
  <c r="DK469" i="2" s="1"/>
  <c r="DC469" i="2"/>
  <c r="DB469" i="2"/>
  <c r="DA469" i="2"/>
  <c r="DJ469" i="2" s="1"/>
  <c r="CY469" i="2"/>
  <c r="CY470" i="2"/>
  <c r="DA483" i="2"/>
  <c r="DJ483" i="2" s="1"/>
  <c r="DI487" i="2"/>
  <c r="DL487" i="2" s="1"/>
  <c r="DH487" i="2"/>
  <c r="DG487" i="2"/>
  <c r="DF487" i="2"/>
  <c r="DD487" i="2"/>
  <c r="DC487" i="2"/>
  <c r="DB487" i="2"/>
  <c r="DA487" i="2"/>
  <c r="DJ487" i="2" s="1"/>
  <c r="CZ487" i="2"/>
  <c r="CX487" i="2"/>
  <c r="BE488" i="2"/>
  <c r="AY492" i="2"/>
  <c r="AX492" i="2"/>
  <c r="BG492" i="2"/>
  <c r="BF494" i="2"/>
  <c r="DB495" i="2"/>
  <c r="DA495" i="2"/>
  <c r="DJ495" i="2" s="1"/>
  <c r="CZ495" i="2"/>
  <c r="CY495" i="2"/>
  <c r="CX495" i="2"/>
  <c r="DI495" i="2"/>
  <c r="DL495" i="2" s="1"/>
  <c r="DH495" i="2"/>
  <c r="DF495" i="2"/>
  <c r="DE495" i="2"/>
  <c r="DK495" i="2" s="1"/>
  <c r="DD495" i="2"/>
  <c r="BF498" i="2"/>
  <c r="BD498" i="2"/>
  <c r="AV498" i="2"/>
  <c r="BD499" i="2"/>
  <c r="AW505" i="2"/>
  <c r="DE514" i="2"/>
  <c r="DK514" i="2" s="1"/>
  <c r="DD514" i="2"/>
  <c r="DC514" i="2"/>
  <c r="DB514" i="2"/>
  <c r="DA514" i="2"/>
  <c r="DJ514" i="2" s="1"/>
  <c r="CZ514" i="2"/>
  <c r="CY514" i="2"/>
  <c r="CX514" i="2"/>
  <c r="DI514" i="2"/>
  <c r="DL514" i="2" s="1"/>
  <c r="DH514" i="2"/>
  <c r="DG514" i="2"/>
  <c r="BF521" i="2"/>
  <c r="AW530" i="2"/>
  <c r="BE538" i="2"/>
  <c r="BD538" i="2"/>
  <c r="AY538" i="2"/>
  <c r="AX538" i="2"/>
  <c r="BG538" i="2"/>
  <c r="AW455" i="2"/>
  <c r="BF469" i="2"/>
  <c r="AV471" i="2"/>
  <c r="BG471" i="2"/>
  <c r="BF472" i="2"/>
  <c r="DG483" i="2"/>
  <c r="BF488" i="2"/>
  <c r="BC488" i="2"/>
  <c r="BD489" i="2"/>
  <c r="BC489" i="2"/>
  <c r="DI490" i="2"/>
  <c r="DL490" i="2" s="1"/>
  <c r="DH490" i="2"/>
  <c r="DG490" i="2"/>
  <c r="DF490" i="2"/>
  <c r="DE490" i="2"/>
  <c r="DK490" i="2" s="1"/>
  <c r="DD490" i="2"/>
  <c r="DC490" i="2"/>
  <c r="DA490" i="2"/>
  <c r="DJ490" i="2" s="1"/>
  <c r="CZ490" i="2"/>
  <c r="CY490" i="2"/>
  <c r="BD494" i="2"/>
  <c r="BC499" i="2"/>
  <c r="DC461" i="2"/>
  <c r="DF464" i="2"/>
  <c r="AX470" i="2"/>
  <c r="BD475" i="2"/>
  <c r="BE476" i="2"/>
  <c r="BF477" i="2"/>
  <c r="DB477" i="2"/>
  <c r="BG478" i="2"/>
  <c r="DF481" i="2"/>
  <c r="DI484" i="2"/>
  <c r="DL484" i="2" s="1"/>
  <c r="AX487" i="2"/>
  <c r="BD491" i="2"/>
  <c r="BE492" i="2"/>
  <c r="DB493" i="2"/>
  <c r="BG494" i="2"/>
  <c r="DE496" i="2"/>
  <c r="DK496" i="2" s="1"/>
  <c r="DF497" i="2"/>
  <c r="DI500" i="2"/>
  <c r="DL500" i="2" s="1"/>
  <c r="AX503" i="2"/>
  <c r="BD507" i="2"/>
  <c r="BE508" i="2"/>
  <c r="DB509" i="2"/>
  <c r="BG510" i="2"/>
  <c r="DE512" i="2"/>
  <c r="DK512" i="2" s="1"/>
  <c r="DF513" i="2"/>
  <c r="DH515" i="2"/>
  <c r="BD516" i="2"/>
  <c r="DA516" i="2"/>
  <c r="DJ516" i="2" s="1"/>
  <c r="BD519" i="2"/>
  <c r="DA519" i="2"/>
  <c r="DJ519" i="2" s="1"/>
  <c r="BG523" i="2"/>
  <c r="BG525" i="2"/>
  <c r="AV525" i="2"/>
  <c r="AW528" i="2"/>
  <c r="AZ530" i="2"/>
  <c r="BE531" i="2"/>
  <c r="CY533" i="2"/>
  <c r="CZ534" i="2"/>
  <c r="BC538" i="2"/>
  <c r="DC540" i="2"/>
  <c r="DB540" i="2"/>
  <c r="DA540" i="2"/>
  <c r="DJ540" i="2" s="1"/>
  <c r="CZ540" i="2"/>
  <c r="CY540" i="2"/>
  <c r="CX540" i="2"/>
  <c r="DI540" i="2"/>
  <c r="DL540" i="2" s="1"/>
  <c r="DG540" i="2"/>
  <c r="DF540" i="2"/>
  <c r="BF548" i="2"/>
  <c r="DA553" i="2"/>
  <c r="DJ553" i="2" s="1"/>
  <c r="BF556" i="2"/>
  <c r="DF496" i="2"/>
  <c r="AW501" i="2"/>
  <c r="AX502" i="2"/>
  <c r="AY503" i="2"/>
  <c r="BC505" i="2"/>
  <c r="DF512" i="2"/>
  <c r="BE519" i="2"/>
  <c r="DC519" i="2"/>
  <c r="BD522" i="2"/>
  <c r="AY522" i="2"/>
  <c r="AX522" i="2"/>
  <c r="BD523" i="2"/>
  <c r="AY523" i="2"/>
  <c r="BD526" i="2"/>
  <c r="DD526" i="2"/>
  <c r="DC526" i="2"/>
  <c r="DB526" i="2"/>
  <c r="DA526" i="2"/>
  <c r="DJ526" i="2" s="1"/>
  <c r="CZ526" i="2"/>
  <c r="CX526" i="2"/>
  <c r="DI526" i="2"/>
  <c r="DL526" i="2" s="1"/>
  <c r="BG541" i="2"/>
  <c r="AV541" i="2"/>
  <c r="AV555" i="2"/>
  <c r="AW566" i="2"/>
  <c r="BF575" i="2"/>
  <c r="DD477" i="2"/>
  <c r="AV483" i="2"/>
  <c r="CY488" i="2"/>
  <c r="DD493" i="2"/>
  <c r="DG496" i="2"/>
  <c r="AV499" i="2"/>
  <c r="AY502" i="2"/>
  <c r="AZ503" i="2"/>
  <c r="BC504" i="2"/>
  <c r="CY504" i="2"/>
  <c r="BG508" i="2"/>
  <c r="DD509" i="2"/>
  <c r="DG512" i="2"/>
  <c r="AV515" i="2"/>
  <c r="DC516" i="2"/>
  <c r="AY518" i="2"/>
  <c r="DD519" i="2"/>
  <c r="BC522" i="2"/>
  <c r="BE523" i="2"/>
  <c r="BC523" i="2"/>
  <c r="AZ523" i="2"/>
  <c r="DA523" i="2"/>
  <c r="DJ523" i="2" s="1"/>
  <c r="CZ523" i="2"/>
  <c r="CY523" i="2"/>
  <c r="CX523" i="2"/>
  <c r="DH523" i="2"/>
  <c r="DF523" i="2"/>
  <c r="BE526" i="2"/>
  <c r="AZ526" i="2"/>
  <c r="AY526" i="2"/>
  <c r="BG529" i="2"/>
  <c r="BD529" i="2"/>
  <c r="AW532" i="2"/>
  <c r="CZ553" i="2"/>
  <c r="CY553" i="2"/>
  <c r="CX553" i="2"/>
  <c r="DI553" i="2"/>
  <c r="DL553" i="2" s="1"/>
  <c r="DH553" i="2"/>
  <c r="DG553" i="2"/>
  <c r="DF553" i="2"/>
  <c r="DE553" i="2"/>
  <c r="DK553" i="2" s="1"/>
  <c r="DC553" i="2"/>
  <c r="DB553" i="2"/>
  <c r="BG561" i="2"/>
  <c r="AV561" i="2"/>
  <c r="AW621" i="2"/>
  <c r="AW517" i="2"/>
  <c r="AY519" i="2"/>
  <c r="AX519" i="2"/>
  <c r="DH530" i="2"/>
  <c r="DG530" i="2"/>
  <c r="DF530" i="2"/>
  <c r="DE530" i="2"/>
  <c r="DK530" i="2" s="1"/>
  <c r="DD530" i="2"/>
  <c r="DB530" i="2"/>
  <c r="DA530" i="2"/>
  <c r="DJ530" i="2" s="1"/>
  <c r="CZ530" i="2"/>
  <c r="CY530" i="2"/>
  <c r="DI533" i="2"/>
  <c r="DL533" i="2" s="1"/>
  <c r="DH533" i="2"/>
  <c r="DG533" i="2"/>
  <c r="DF533" i="2"/>
  <c r="DE533" i="2"/>
  <c r="DK533" i="2" s="1"/>
  <c r="DD533" i="2"/>
  <c r="DC533" i="2"/>
  <c r="DB533" i="2"/>
  <c r="CZ533" i="2"/>
  <c r="DI534" i="2"/>
  <c r="DL534" i="2" s="1"/>
  <c r="DH534" i="2"/>
  <c r="DG534" i="2"/>
  <c r="DF534" i="2"/>
  <c r="DE534" i="2"/>
  <c r="DK534" i="2" s="1"/>
  <c r="DD534" i="2"/>
  <c r="DC534" i="2"/>
  <c r="DA534" i="2"/>
  <c r="DJ534" i="2" s="1"/>
  <c r="BG540" i="2"/>
  <c r="BD540" i="2"/>
  <c r="AY540" i="2"/>
  <c r="AX540" i="2"/>
  <c r="DI564" i="2"/>
  <c r="DL564" i="2" s="1"/>
  <c r="DH564" i="2"/>
  <c r="DG564" i="2"/>
  <c r="DF564" i="2"/>
  <c r="DE564" i="2"/>
  <c r="DK564" i="2" s="1"/>
  <c r="DD564" i="2"/>
  <c r="DC564" i="2"/>
  <c r="DB564" i="2"/>
  <c r="DA564" i="2"/>
  <c r="DJ564" i="2" s="1"/>
  <c r="CZ564" i="2"/>
  <c r="CY564" i="2"/>
  <c r="CX564" i="2"/>
  <c r="BG572" i="2"/>
  <c r="BD572" i="2"/>
  <c r="AY572" i="2"/>
  <c r="AX572" i="2"/>
  <c r="DE644" i="2"/>
  <c r="DK644" i="2" s="1"/>
  <c r="DC644" i="2"/>
  <c r="DH644" i="2"/>
  <c r="CX644" i="2"/>
  <c r="DI644" i="2"/>
  <c r="DL644" i="2" s="1"/>
  <c r="DG644" i="2"/>
  <c r="DF644" i="2"/>
  <c r="DD644" i="2"/>
  <c r="DB644" i="2"/>
  <c r="DA644" i="2"/>
  <c r="DJ644" i="2" s="1"/>
  <c r="CZ644" i="2"/>
  <c r="CY644" i="2"/>
  <c r="AY467" i="2"/>
  <c r="AW467" i="2" s="1"/>
  <c r="AZ468" i="2"/>
  <c r="AW468" i="2" s="1"/>
  <c r="BG473" i="2"/>
  <c r="DF477" i="2"/>
  <c r="AW482" i="2"/>
  <c r="AX483" i="2"/>
  <c r="AY484" i="2"/>
  <c r="BD487" i="2"/>
  <c r="DA488" i="2"/>
  <c r="DJ488" i="2" s="1"/>
  <c r="BG490" i="2"/>
  <c r="DF493" i="2"/>
  <c r="DI496" i="2"/>
  <c r="DL496" i="2" s="1"/>
  <c r="AV497" i="2"/>
  <c r="AW498" i="2"/>
  <c r="AX499" i="2"/>
  <c r="AY500" i="2"/>
  <c r="CY502" i="2"/>
  <c r="BD503" i="2"/>
  <c r="DA504" i="2"/>
  <c r="DJ504" i="2" s="1"/>
  <c r="BG506" i="2"/>
  <c r="DF509" i="2"/>
  <c r="DI512" i="2"/>
  <c r="DL512" i="2" s="1"/>
  <c r="AV513" i="2"/>
  <c r="AX515" i="2"/>
  <c r="DE516" i="2"/>
  <c r="DK516" i="2" s="1"/>
  <c r="CX517" i="2"/>
  <c r="BC518" i="2"/>
  <c r="DF519" i="2"/>
  <c r="CZ520" i="2"/>
  <c r="BF528" i="2"/>
  <c r="BF530" i="2"/>
  <c r="CZ536" i="2"/>
  <c r="AV538" i="2"/>
  <c r="DB539" i="2"/>
  <c r="DA539" i="2"/>
  <c r="DJ539" i="2" s="1"/>
  <c r="CZ539" i="2"/>
  <c r="CY539" i="2"/>
  <c r="CX539" i="2"/>
  <c r="DI539" i="2"/>
  <c r="DL539" i="2" s="1"/>
  <c r="DH539" i="2"/>
  <c r="DF539" i="2"/>
  <c r="BE540" i="2"/>
  <c r="BC540" i="2"/>
  <c r="AZ540" i="2"/>
  <c r="BE557" i="2"/>
  <c r="BC557" i="2"/>
  <c r="AZ557" i="2"/>
  <c r="BF559" i="2"/>
  <c r="BF563" i="2"/>
  <c r="BE572" i="2"/>
  <c r="AY548" i="2"/>
  <c r="AV480" i="2"/>
  <c r="AY483" i="2"/>
  <c r="AZ484" i="2"/>
  <c r="BC485" i="2"/>
  <c r="DB488" i="2"/>
  <c r="DG493" i="2"/>
  <c r="AV496" i="2"/>
  <c r="AY499" i="2"/>
  <c r="AZ500" i="2"/>
  <c r="BC501" i="2"/>
  <c r="BD502" i="2"/>
  <c r="CZ502" i="2"/>
  <c r="DB504" i="2"/>
  <c r="DG509" i="2"/>
  <c r="AV512" i="2"/>
  <c r="AY515" i="2"/>
  <c r="DF516" i="2"/>
  <c r="CY517" i="2"/>
  <c r="DG519" i="2"/>
  <c r="BC520" i="2"/>
  <c r="DA520" i="2"/>
  <c r="DJ520" i="2" s="1"/>
  <c r="CX525" i="2"/>
  <c r="DI531" i="2"/>
  <c r="DL531" i="2" s="1"/>
  <c r="DH531" i="2"/>
  <c r="DG531" i="2"/>
  <c r="DF531" i="2"/>
  <c r="DE531" i="2"/>
  <c r="DK531" i="2" s="1"/>
  <c r="DC531" i="2"/>
  <c r="DB531" i="2"/>
  <c r="DA531" i="2"/>
  <c r="DJ531" i="2" s="1"/>
  <c r="CZ531" i="2"/>
  <c r="CX531" i="2"/>
  <c r="AW533" i="2"/>
  <c r="DA536" i="2"/>
  <c r="DJ536" i="2" s="1"/>
  <c r="AY543" i="2"/>
  <c r="DI548" i="2"/>
  <c r="DL548" i="2" s="1"/>
  <c r="DH548" i="2"/>
  <c r="DG548" i="2"/>
  <c r="DF548" i="2"/>
  <c r="DE548" i="2"/>
  <c r="DK548" i="2" s="1"/>
  <c r="DD548" i="2"/>
  <c r="DC548" i="2"/>
  <c r="DB548" i="2"/>
  <c r="DA548" i="2"/>
  <c r="DJ548" i="2" s="1"/>
  <c r="CZ548" i="2"/>
  <c r="CX548" i="2"/>
  <c r="AY560" i="2"/>
  <c r="BE573" i="2"/>
  <c r="BC573" i="2"/>
  <c r="AZ573" i="2"/>
  <c r="BC575" i="2"/>
  <c r="DH577" i="2"/>
  <c r="DG577" i="2"/>
  <c r="DF577" i="2"/>
  <c r="DE577" i="2"/>
  <c r="DK577" i="2" s="1"/>
  <c r="DD577" i="2"/>
  <c r="DC577" i="2"/>
  <c r="DB577" i="2"/>
  <c r="DA577" i="2"/>
  <c r="DJ577" i="2" s="1"/>
  <c r="CZ577" i="2"/>
  <c r="CY577" i="2"/>
  <c r="CX577" i="2"/>
  <c r="AW605" i="2"/>
  <c r="DH477" i="2"/>
  <c r="BC484" i="2"/>
  <c r="CY484" i="2"/>
  <c r="BG488" i="2"/>
  <c r="DC488" i="2"/>
  <c r="DH493" i="2"/>
  <c r="BC500" i="2"/>
  <c r="CY500" i="2"/>
  <c r="DA502" i="2"/>
  <c r="DJ502" i="2" s="1"/>
  <c r="BG504" i="2"/>
  <c r="DC504" i="2"/>
  <c r="DH509" i="2"/>
  <c r="CX515" i="2"/>
  <c r="DG516" i="2"/>
  <c r="BC517" i="2"/>
  <c r="DA517" i="2"/>
  <c r="DJ517" i="2" s="1"/>
  <c r="DH519" i="2"/>
  <c r="DB520" i="2"/>
  <c r="AV522" i="2"/>
  <c r="DB524" i="2"/>
  <c r="DA524" i="2"/>
  <c r="DJ524" i="2" s="1"/>
  <c r="CZ524" i="2"/>
  <c r="CY524" i="2"/>
  <c r="CX524" i="2"/>
  <c r="DI524" i="2"/>
  <c r="DL524" i="2" s="1"/>
  <c r="DG524" i="2"/>
  <c r="DD525" i="2"/>
  <c r="DB536" i="2"/>
  <c r="BD539" i="2"/>
  <c r="AY539" i="2"/>
  <c r="AX539" i="2"/>
  <c r="BE543" i="2"/>
  <c r="BD553" i="2"/>
  <c r="AY553" i="2"/>
  <c r="AX553" i="2"/>
  <c r="AW462" i="2"/>
  <c r="AY464" i="2"/>
  <c r="AZ465" i="2"/>
  <c r="BG470" i="2"/>
  <c r="DI477" i="2"/>
  <c r="DL477" i="2" s="1"/>
  <c r="AW479" i="2"/>
  <c r="AY481" i="2"/>
  <c r="AZ482" i="2"/>
  <c r="CZ484" i="2"/>
  <c r="DD488" i="2"/>
  <c r="DI493" i="2"/>
  <c r="DL493" i="2" s="1"/>
  <c r="AW495" i="2"/>
  <c r="AY497" i="2"/>
  <c r="AZ498" i="2"/>
  <c r="CZ500" i="2"/>
  <c r="DB502" i="2"/>
  <c r="DD504" i="2"/>
  <c r="DI509" i="2"/>
  <c r="DL509" i="2" s="1"/>
  <c r="AY513" i="2"/>
  <c r="AZ514" i="2"/>
  <c r="CY515" i="2"/>
  <c r="DH516" i="2"/>
  <c r="DB517" i="2"/>
  <c r="BG518" i="2"/>
  <c r="DI519" i="2"/>
  <c r="DL519" i="2" s="1"/>
  <c r="BE520" i="2"/>
  <c r="DD520" i="2"/>
  <c r="AV521" i="2"/>
  <c r="BD524" i="2"/>
  <c r="AX524" i="2"/>
  <c r="DE525" i="2"/>
  <c r="DK525" i="2" s="1"/>
  <c r="DB529" i="2"/>
  <c r="BE532" i="2"/>
  <c r="BE539" i="2"/>
  <c r="BC539" i="2"/>
  <c r="AZ539" i="2"/>
  <c r="DE542" i="2"/>
  <c r="DK542" i="2" s="1"/>
  <c r="DD542" i="2"/>
  <c r="DC542" i="2"/>
  <c r="DB542" i="2"/>
  <c r="DA542" i="2"/>
  <c r="DJ542" i="2" s="1"/>
  <c r="CZ542" i="2"/>
  <c r="CY542" i="2"/>
  <c r="CX542" i="2"/>
  <c r="DI542" i="2"/>
  <c r="DL542" i="2" s="1"/>
  <c r="DH542" i="2"/>
  <c r="BF543" i="2"/>
  <c r="BG544" i="2"/>
  <c r="AV544" i="2"/>
  <c r="DI546" i="2"/>
  <c r="DL546" i="2" s="1"/>
  <c r="DH546" i="2"/>
  <c r="DG546" i="2"/>
  <c r="DF546" i="2"/>
  <c r="DE546" i="2"/>
  <c r="DK546" i="2" s="1"/>
  <c r="DD546" i="2"/>
  <c r="DC546" i="2"/>
  <c r="DB546" i="2"/>
  <c r="DA546" i="2"/>
  <c r="DJ546" i="2" s="1"/>
  <c r="CZ546" i="2"/>
  <c r="CY546" i="2"/>
  <c r="DI550" i="2"/>
  <c r="DL550" i="2" s="1"/>
  <c r="DH550" i="2"/>
  <c r="DG550" i="2"/>
  <c r="DF550" i="2"/>
  <c r="DE550" i="2"/>
  <c r="DK550" i="2" s="1"/>
  <c r="DD550" i="2"/>
  <c r="DC550" i="2"/>
  <c r="DB550" i="2"/>
  <c r="CZ550" i="2"/>
  <c r="CY550" i="2"/>
  <c r="DI562" i="2"/>
  <c r="DL562" i="2" s="1"/>
  <c r="DH562" i="2"/>
  <c r="DG562" i="2"/>
  <c r="DF562" i="2"/>
  <c r="DE562" i="2"/>
  <c r="DK562" i="2" s="1"/>
  <c r="DD562" i="2"/>
  <c r="DC562" i="2"/>
  <c r="DB562" i="2"/>
  <c r="DA562" i="2"/>
  <c r="DJ562" i="2" s="1"/>
  <c r="CZ562" i="2"/>
  <c r="CY562" i="2"/>
  <c r="CX562" i="2"/>
  <c r="DI565" i="2"/>
  <c r="DL565" i="2" s="1"/>
  <c r="DH565" i="2"/>
  <c r="DG565" i="2"/>
  <c r="DF565" i="2"/>
  <c r="DE565" i="2"/>
  <c r="DK565" i="2" s="1"/>
  <c r="DD565" i="2"/>
  <c r="DC565" i="2"/>
  <c r="DB565" i="2"/>
  <c r="DA565" i="2"/>
  <c r="DJ565" i="2" s="1"/>
  <c r="CZ565" i="2"/>
  <c r="CY565" i="2"/>
  <c r="CX565" i="2"/>
  <c r="BD574" i="2"/>
  <c r="DA582" i="2"/>
  <c r="DJ582" i="2" s="1"/>
  <c r="DG582" i="2"/>
  <c r="DF582" i="2"/>
  <c r="DE582" i="2"/>
  <c r="DK582" i="2" s="1"/>
  <c r="DD582" i="2"/>
  <c r="DC582" i="2"/>
  <c r="DB582" i="2"/>
  <c r="CZ582" i="2"/>
  <c r="CY582" i="2"/>
  <c r="CX582" i="2"/>
  <c r="DI582" i="2"/>
  <c r="DL582" i="2" s="1"/>
  <c r="DD585" i="2"/>
  <c r="DC585" i="2"/>
  <c r="CZ585" i="2"/>
  <c r="CY585" i="2"/>
  <c r="DI585" i="2"/>
  <c r="DL585" i="2" s="1"/>
  <c r="DH585" i="2"/>
  <c r="DG585" i="2"/>
  <c r="DF585" i="2"/>
  <c r="DE585" i="2"/>
  <c r="DK585" i="2" s="1"/>
  <c r="DB585" i="2"/>
  <c r="DA585" i="2"/>
  <c r="DJ585" i="2" s="1"/>
  <c r="CX585" i="2"/>
  <c r="DA597" i="2"/>
  <c r="DJ597" i="2" s="1"/>
  <c r="CZ597" i="2"/>
  <c r="CY597" i="2"/>
  <c r="DI597" i="2"/>
  <c r="DL597" i="2" s="1"/>
  <c r="DG597" i="2"/>
  <c r="DE597" i="2"/>
  <c r="DK597" i="2" s="1"/>
  <c r="DD597" i="2"/>
  <c r="DH597" i="2"/>
  <c r="DF597" i="2"/>
  <c r="DC597" i="2"/>
  <c r="DB597" i="2"/>
  <c r="CX597" i="2"/>
  <c r="DA484" i="2"/>
  <c r="DJ484" i="2" s="1"/>
  <c r="DE488" i="2"/>
  <c r="DK488" i="2" s="1"/>
  <c r="DA500" i="2"/>
  <c r="DJ500" i="2" s="1"/>
  <c r="DC502" i="2"/>
  <c r="DE504" i="2"/>
  <c r="DK504" i="2" s="1"/>
  <c r="CZ515" i="2"/>
  <c r="DI516" i="2"/>
  <c r="DL516" i="2" s="1"/>
  <c r="DC517" i="2"/>
  <c r="AW518" i="2"/>
  <c r="AV519" i="2"/>
  <c r="DE520" i="2"/>
  <c r="DK520" i="2" s="1"/>
  <c r="BE524" i="2"/>
  <c r="BC524" i="2"/>
  <c r="AZ524" i="2"/>
  <c r="DF525" i="2"/>
  <c r="CY536" i="2"/>
  <c r="CX536" i="2"/>
  <c r="DI536" i="2"/>
  <c r="DL536" i="2" s="1"/>
  <c r="DH536" i="2"/>
  <c r="DG536" i="2"/>
  <c r="DF536" i="2"/>
  <c r="DE536" i="2"/>
  <c r="DK536" i="2" s="1"/>
  <c r="DC536" i="2"/>
  <c r="DI578" i="2"/>
  <c r="DL578" i="2" s="1"/>
  <c r="DH578" i="2"/>
  <c r="DG578" i="2"/>
  <c r="DF578" i="2"/>
  <c r="DE578" i="2"/>
  <c r="DK578" i="2" s="1"/>
  <c r="DD578" i="2"/>
  <c r="DC578" i="2"/>
  <c r="DB578" i="2"/>
  <c r="DA578" i="2"/>
  <c r="DJ578" i="2" s="1"/>
  <c r="CZ578" i="2"/>
  <c r="CY578" i="2"/>
  <c r="CX578" i="2"/>
  <c r="DD502" i="2"/>
  <c r="AY511" i="2"/>
  <c r="AY520" i="2"/>
  <c r="AX520" i="2"/>
  <c r="BG673" i="2"/>
  <c r="BD673" i="2"/>
  <c r="AY673" i="2"/>
  <c r="AX673" i="2"/>
  <c r="CZ464" i="2"/>
  <c r="AX477" i="2"/>
  <c r="CZ481" i="2"/>
  <c r="DC484" i="2"/>
  <c r="DG488" i="2"/>
  <c r="AX493" i="2"/>
  <c r="AY494" i="2"/>
  <c r="AW494" i="2" s="1"/>
  <c r="AZ495" i="2"/>
  <c r="CY496" i="2"/>
  <c r="CZ497" i="2"/>
  <c r="DC500" i="2"/>
  <c r="DE502" i="2"/>
  <c r="DK502" i="2" s="1"/>
  <c r="DG504" i="2"/>
  <c r="AX509" i="2"/>
  <c r="AY510" i="2"/>
  <c r="AZ511" i="2"/>
  <c r="CY512" i="2"/>
  <c r="CZ513" i="2"/>
  <c r="DB515" i="2"/>
  <c r="BD517" i="2"/>
  <c r="DE517" i="2"/>
  <c r="DK517" i="2" s="1"/>
  <c r="DG520" i="2"/>
  <c r="BE530" i="2"/>
  <c r="AY536" i="2"/>
  <c r="AX536" i="2"/>
  <c r="BC537" i="2"/>
  <c r="AZ537" i="2"/>
  <c r="BD542" i="2"/>
  <c r="BE548" i="2"/>
  <c r="AW550" i="2"/>
  <c r="CY552" i="2"/>
  <c r="CX552" i="2"/>
  <c r="DI552" i="2"/>
  <c r="DL552" i="2" s="1"/>
  <c r="DH552" i="2"/>
  <c r="DG552" i="2"/>
  <c r="DF552" i="2"/>
  <c r="DE552" i="2"/>
  <c r="DK552" i="2" s="1"/>
  <c r="DD552" i="2"/>
  <c r="DB552" i="2"/>
  <c r="DA552" i="2"/>
  <c r="DJ552" i="2" s="1"/>
  <c r="DC556" i="2"/>
  <c r="DB556" i="2"/>
  <c r="DA556" i="2"/>
  <c r="DJ556" i="2" s="1"/>
  <c r="CZ556" i="2"/>
  <c r="CY556" i="2"/>
  <c r="CX556" i="2"/>
  <c r="DI556" i="2"/>
  <c r="DL556" i="2" s="1"/>
  <c r="DH556" i="2"/>
  <c r="DF556" i="2"/>
  <c r="DE556" i="2"/>
  <c r="DK556" i="2" s="1"/>
  <c r="BD558" i="2"/>
  <c r="BE563" i="2"/>
  <c r="DF575" i="2"/>
  <c r="DE575" i="2"/>
  <c r="DK575" i="2" s="1"/>
  <c r="DD575" i="2"/>
  <c r="DC575" i="2"/>
  <c r="DB575" i="2"/>
  <c r="DA575" i="2"/>
  <c r="DJ575" i="2" s="1"/>
  <c r="CZ575" i="2"/>
  <c r="CY575" i="2"/>
  <c r="CX575" i="2"/>
  <c r="DI575" i="2"/>
  <c r="DL575" i="2" s="1"/>
  <c r="DH575" i="2"/>
  <c r="BD577" i="2"/>
  <c r="BE581" i="2"/>
  <c r="DE586" i="2"/>
  <c r="DK586" i="2" s="1"/>
  <c r="DD586" i="2"/>
  <c r="DA586" i="2"/>
  <c r="DJ586" i="2" s="1"/>
  <c r="CZ586" i="2"/>
  <c r="DI586" i="2"/>
  <c r="DL586" i="2" s="1"/>
  <c r="DH586" i="2"/>
  <c r="DG586" i="2"/>
  <c r="DF586" i="2"/>
  <c r="DC586" i="2"/>
  <c r="DB586" i="2"/>
  <c r="CY586" i="2"/>
  <c r="CX586" i="2"/>
  <c r="DB598" i="2"/>
  <c r="DA598" i="2"/>
  <c r="DJ598" i="2" s="1"/>
  <c r="CZ598" i="2"/>
  <c r="DH598" i="2"/>
  <c r="DF598" i="2"/>
  <c r="DE598" i="2"/>
  <c r="DK598" i="2" s="1"/>
  <c r="DI598" i="2"/>
  <c r="DL598" i="2" s="1"/>
  <c r="DG598" i="2"/>
  <c r="DD598" i="2"/>
  <c r="DC598" i="2"/>
  <c r="CY598" i="2"/>
  <c r="CX598" i="2"/>
  <c r="DA464" i="2"/>
  <c r="DJ464" i="2" s="1"/>
  <c r="AY477" i="2"/>
  <c r="AZ478" i="2"/>
  <c r="DA481" i="2"/>
  <c r="DJ481" i="2" s="1"/>
  <c r="DD484" i="2"/>
  <c r="AY493" i="2"/>
  <c r="AZ494" i="2"/>
  <c r="BC495" i="2"/>
  <c r="CZ496" i="2"/>
  <c r="DA497" i="2"/>
  <c r="DJ497" i="2" s="1"/>
  <c r="DD500" i="2"/>
  <c r="DF502" i="2"/>
  <c r="AX508" i="2"/>
  <c r="AY509" i="2"/>
  <c r="AZ510" i="2"/>
  <c r="BC511" i="2"/>
  <c r="CZ512" i="2"/>
  <c r="DA513" i="2"/>
  <c r="DJ513" i="2" s="1"/>
  <c r="DC515" i="2"/>
  <c r="DF517" i="2"/>
  <c r="DB523" i="2"/>
  <c r="BD525" i="2"/>
  <c r="AY525" i="2"/>
  <c r="AX525" i="2"/>
  <c r="CY526" i="2"/>
  <c r="BF527" i="2"/>
  <c r="CY568" i="2"/>
  <c r="CX568" i="2"/>
  <c r="DI568" i="2"/>
  <c r="DL568" i="2" s="1"/>
  <c r="DH568" i="2"/>
  <c r="DG568" i="2"/>
  <c r="DF568" i="2"/>
  <c r="DE568" i="2"/>
  <c r="DK568" i="2" s="1"/>
  <c r="DD568" i="2"/>
  <c r="DC568" i="2"/>
  <c r="DB568" i="2"/>
  <c r="DA568" i="2"/>
  <c r="DJ568" i="2" s="1"/>
  <c r="BE579" i="2"/>
  <c r="DA496" i="2"/>
  <c r="DJ496" i="2" s="1"/>
  <c r="DG502" i="2"/>
  <c r="AZ509" i="2"/>
  <c r="DA512" i="2"/>
  <c r="DJ512" i="2" s="1"/>
  <c r="DG517" i="2"/>
  <c r="CX520" i="2"/>
  <c r="DH520" i="2"/>
  <c r="DC520" i="2"/>
  <c r="AY521" i="2"/>
  <c r="AV524" i="2"/>
  <c r="BE525" i="2"/>
  <c r="BC525" i="2"/>
  <c r="DC525" i="2"/>
  <c r="DB525" i="2"/>
  <c r="DA525" i="2"/>
  <c r="DJ525" i="2" s="1"/>
  <c r="CZ525" i="2"/>
  <c r="CY525" i="2"/>
  <c r="DH525" i="2"/>
  <c r="DE526" i="2"/>
  <c r="DK526" i="2" s="1"/>
  <c r="DG529" i="2"/>
  <c r="DF529" i="2"/>
  <c r="DE529" i="2"/>
  <c r="DK529" i="2" s="1"/>
  <c r="DD529" i="2"/>
  <c r="DC529" i="2"/>
  <c r="DA529" i="2"/>
  <c r="DJ529" i="2" s="1"/>
  <c r="CZ529" i="2"/>
  <c r="CY529" i="2"/>
  <c r="CX529" i="2"/>
  <c r="BF546" i="2"/>
  <c r="BD555" i="2"/>
  <c r="AW562" i="2"/>
  <c r="DC464" i="2"/>
  <c r="AX473" i="2"/>
  <c r="AX474" i="2"/>
  <c r="AZ476" i="2"/>
  <c r="CY477" i="2"/>
  <c r="DC481" i="2"/>
  <c r="DF484" i="2"/>
  <c r="AX490" i="2"/>
  <c r="AZ492" i="2"/>
  <c r="CY493" i="2"/>
  <c r="DB496" i="2"/>
  <c r="DC497" i="2"/>
  <c r="DF500" i="2"/>
  <c r="DH502" i="2"/>
  <c r="AX506" i="2"/>
  <c r="AZ508" i="2"/>
  <c r="CY509" i="2"/>
  <c r="DB512" i="2"/>
  <c r="DC513" i="2"/>
  <c r="DE515" i="2"/>
  <c r="DK515" i="2" s="1"/>
  <c r="AX516" i="2"/>
  <c r="DH517" i="2"/>
  <c r="CX519" i="2"/>
  <c r="BC521" i="2"/>
  <c r="AZ521" i="2"/>
  <c r="DD523" i="2"/>
  <c r="DF526" i="2"/>
  <c r="AV530" i="2"/>
  <c r="DC530" i="2"/>
  <c r="BE541" i="2"/>
  <c r="BC541" i="2"/>
  <c r="AZ541" i="2"/>
  <c r="DI545" i="2"/>
  <c r="DL545" i="2" s="1"/>
  <c r="DH545" i="2"/>
  <c r="DG545" i="2"/>
  <c r="DF545" i="2"/>
  <c r="DE545" i="2"/>
  <c r="DK545" i="2" s="1"/>
  <c r="DD545" i="2"/>
  <c r="DC545" i="2"/>
  <c r="DB545" i="2"/>
  <c r="DA545" i="2"/>
  <c r="DJ545" i="2" s="1"/>
  <c r="CZ545" i="2"/>
  <c r="CY545" i="2"/>
  <c r="CX545" i="2"/>
  <c r="DI549" i="2"/>
  <c r="DL549" i="2" s="1"/>
  <c r="DH549" i="2"/>
  <c r="DG549" i="2"/>
  <c r="DF549" i="2"/>
  <c r="DE549" i="2"/>
  <c r="DK549" i="2" s="1"/>
  <c r="DD549" i="2"/>
  <c r="DC549" i="2"/>
  <c r="DB549" i="2"/>
  <c r="DA549" i="2"/>
  <c r="DJ549" i="2" s="1"/>
  <c r="CY549" i="2"/>
  <c r="CX549" i="2"/>
  <c r="DF559" i="2"/>
  <c r="DE559" i="2"/>
  <c r="DK559" i="2" s="1"/>
  <c r="DD559" i="2"/>
  <c r="DC559" i="2"/>
  <c r="DB559" i="2"/>
  <c r="DA559" i="2"/>
  <c r="DJ559" i="2" s="1"/>
  <c r="CZ559" i="2"/>
  <c r="CY559" i="2"/>
  <c r="CX559" i="2"/>
  <c r="DI559" i="2"/>
  <c r="DL559" i="2" s="1"/>
  <c r="DH559" i="2"/>
  <c r="BD561" i="2"/>
  <c r="DI566" i="2"/>
  <c r="DL566" i="2" s="1"/>
  <c r="DH566" i="2"/>
  <c r="DG566" i="2"/>
  <c r="DF566" i="2"/>
  <c r="DE566" i="2"/>
  <c r="DK566" i="2" s="1"/>
  <c r="DD566" i="2"/>
  <c r="DC566" i="2"/>
  <c r="DB566" i="2"/>
  <c r="DA566" i="2"/>
  <c r="DJ566" i="2" s="1"/>
  <c r="CZ566" i="2"/>
  <c r="CY566" i="2"/>
  <c r="BC582" i="2"/>
  <c r="AY583" i="2"/>
  <c r="BG583" i="2"/>
  <c r="BD583" i="2"/>
  <c r="AX583" i="2"/>
  <c r="AW590" i="2"/>
  <c r="DI640" i="2"/>
  <c r="DL640" i="2" s="1"/>
  <c r="DH640" i="2"/>
  <c r="DG640" i="2"/>
  <c r="DF640" i="2"/>
  <c r="DE640" i="2"/>
  <c r="DK640" i="2" s="1"/>
  <c r="DD640" i="2"/>
  <c r="DC640" i="2"/>
  <c r="DB640" i="2"/>
  <c r="DA640" i="2"/>
  <c r="DJ640" i="2" s="1"/>
  <c r="CZ640" i="2"/>
  <c r="CY640" i="2"/>
  <c r="CX640" i="2"/>
  <c r="CX516" i="2"/>
  <c r="DI517" i="2"/>
  <c r="DL517" i="2" s="1"/>
  <c r="CY519" i="2"/>
  <c r="AV520" i="2"/>
  <c r="BG520" i="2"/>
  <c r="AX523" i="2"/>
  <c r="DE523" i="2"/>
  <c r="DK523" i="2" s="1"/>
  <c r="DG526" i="2"/>
  <c r="BG527" i="2"/>
  <c r="AV527" i="2"/>
  <c r="DI530" i="2"/>
  <c r="DL530" i="2" s="1"/>
  <c r="BF531" i="2"/>
  <c r="CX534" i="2"/>
  <c r="DI547" i="2"/>
  <c r="DL547" i="2" s="1"/>
  <c r="DH547" i="2"/>
  <c r="DG547" i="2"/>
  <c r="DF547" i="2"/>
  <c r="DE547" i="2"/>
  <c r="DK547" i="2" s="1"/>
  <c r="DD547" i="2"/>
  <c r="DC547" i="2"/>
  <c r="DB547" i="2"/>
  <c r="DA547" i="2"/>
  <c r="DJ547" i="2" s="1"/>
  <c r="CZ547" i="2"/>
  <c r="CX547" i="2"/>
  <c r="AW549" i="2"/>
  <c r="BE554" i="2"/>
  <c r="BC554" i="2"/>
  <c r="AZ554" i="2"/>
  <c r="BG556" i="2"/>
  <c r="BD556" i="2"/>
  <c r="AY556" i="2"/>
  <c r="AX556" i="2"/>
  <c r="DC572" i="2"/>
  <c r="DB572" i="2"/>
  <c r="DA572" i="2"/>
  <c r="DJ572" i="2" s="1"/>
  <c r="CZ572" i="2"/>
  <c r="CY572" i="2"/>
  <c r="CX572" i="2"/>
  <c r="DI572" i="2"/>
  <c r="DL572" i="2" s="1"/>
  <c r="DH572" i="2"/>
  <c r="DG572" i="2"/>
  <c r="DF572" i="2"/>
  <c r="DE572" i="2"/>
  <c r="DK572" i="2" s="1"/>
  <c r="BF582" i="2"/>
  <c r="BF589" i="2"/>
  <c r="BC589" i="2"/>
  <c r="CZ551" i="2"/>
  <c r="CZ567" i="2"/>
  <c r="CX581" i="2"/>
  <c r="BE583" i="2"/>
  <c r="BD588" i="2"/>
  <c r="DD588" i="2"/>
  <c r="BE596" i="2"/>
  <c r="DC602" i="2"/>
  <c r="AW606" i="2"/>
  <c r="CZ611" i="2"/>
  <c r="CY611" i="2"/>
  <c r="CX611" i="2"/>
  <c r="DI611" i="2"/>
  <c r="DL611" i="2" s="1"/>
  <c r="DH611" i="2"/>
  <c r="DG611" i="2"/>
  <c r="DF611" i="2"/>
  <c r="DE611" i="2"/>
  <c r="DK611" i="2" s="1"/>
  <c r="DD611" i="2"/>
  <c r="DC611" i="2"/>
  <c r="DB611" i="2"/>
  <c r="AW639" i="2"/>
  <c r="AW644" i="2"/>
  <c r="AW759" i="2"/>
  <c r="DD521" i="2"/>
  <c r="BC532" i="2"/>
  <c r="BD533" i="2"/>
  <c r="DB535" i="2"/>
  <c r="BG536" i="2"/>
  <c r="DH541" i="2"/>
  <c r="AV543" i="2"/>
  <c r="AY546" i="2"/>
  <c r="AZ547" i="2"/>
  <c r="AZ548" i="2"/>
  <c r="BC549" i="2"/>
  <c r="BD550" i="2"/>
  <c r="DA551" i="2"/>
  <c r="DJ551" i="2" s="1"/>
  <c r="BG553" i="2"/>
  <c r="DH558" i="2"/>
  <c r="AV560" i="2"/>
  <c r="AW561" i="2"/>
  <c r="AY563" i="2"/>
  <c r="AZ564" i="2"/>
  <c r="BC565" i="2"/>
  <c r="BD566" i="2"/>
  <c r="DA567" i="2"/>
  <c r="DJ567" i="2" s="1"/>
  <c r="BG569" i="2"/>
  <c r="DH574" i="2"/>
  <c r="AV576" i="2"/>
  <c r="AY579" i="2"/>
  <c r="BC580" i="2"/>
  <c r="AZ581" i="2"/>
  <c r="CY581" i="2"/>
  <c r="BF583" i="2"/>
  <c r="BC584" i="2"/>
  <c r="AZ584" i="2"/>
  <c r="AX587" i="2"/>
  <c r="CX587" i="2"/>
  <c r="DE588" i="2"/>
  <c r="DK588" i="2" s="1"/>
  <c r="CX593" i="2"/>
  <c r="BG600" i="2"/>
  <c r="AV600" i="2"/>
  <c r="BC601" i="2"/>
  <c r="DG618" i="2"/>
  <c r="DF618" i="2"/>
  <c r="DE618" i="2"/>
  <c r="DK618" i="2" s="1"/>
  <c r="DD618" i="2"/>
  <c r="DC618" i="2"/>
  <c r="DB618" i="2"/>
  <c r="DA618" i="2"/>
  <c r="DJ618" i="2" s="1"/>
  <c r="CZ618" i="2"/>
  <c r="CY618" i="2"/>
  <c r="CX618" i="2"/>
  <c r="DI618" i="2"/>
  <c r="DL618" i="2" s="1"/>
  <c r="DI623" i="2"/>
  <c r="DL623" i="2" s="1"/>
  <c r="DH623" i="2"/>
  <c r="DG623" i="2"/>
  <c r="DF623" i="2"/>
  <c r="DE623" i="2"/>
  <c r="DK623" i="2" s="1"/>
  <c r="DD623" i="2"/>
  <c r="DC623" i="2"/>
  <c r="DB623" i="2"/>
  <c r="DA623" i="2"/>
  <c r="DJ623" i="2" s="1"/>
  <c r="CZ623" i="2"/>
  <c r="CY623" i="2"/>
  <c r="CX623" i="2"/>
  <c r="DG634" i="2"/>
  <c r="DF634" i="2"/>
  <c r="DE634" i="2"/>
  <c r="DK634" i="2" s="1"/>
  <c r="DD634" i="2"/>
  <c r="DC634" i="2"/>
  <c r="DB634" i="2"/>
  <c r="DA634" i="2"/>
  <c r="DJ634" i="2" s="1"/>
  <c r="CZ634" i="2"/>
  <c r="CY634" i="2"/>
  <c r="CX634" i="2"/>
  <c r="DI634" i="2"/>
  <c r="DL634" i="2" s="1"/>
  <c r="AW638" i="2"/>
  <c r="BG585" i="2"/>
  <c r="BD585" i="2"/>
  <c r="DH589" i="2"/>
  <c r="DG589" i="2"/>
  <c r="DD589" i="2"/>
  <c r="DC589" i="2"/>
  <c r="CZ596" i="2"/>
  <c r="CY596" i="2"/>
  <c r="CX596" i="2"/>
  <c r="DH596" i="2"/>
  <c r="DF596" i="2"/>
  <c r="DD596" i="2"/>
  <c r="DC596" i="2"/>
  <c r="AY599" i="2"/>
  <c r="AX599" i="2"/>
  <c r="DI605" i="2"/>
  <c r="DL605" i="2" s="1"/>
  <c r="DH605" i="2"/>
  <c r="DG605" i="2"/>
  <c r="DD605" i="2"/>
  <c r="DC605" i="2"/>
  <c r="DB605" i="2"/>
  <c r="DA605" i="2"/>
  <c r="DJ605" i="2" s="1"/>
  <c r="CZ605" i="2"/>
  <c r="CY605" i="2"/>
  <c r="DH608" i="2"/>
  <c r="DG608" i="2"/>
  <c r="DF608" i="2"/>
  <c r="DE608" i="2"/>
  <c r="DK608" i="2" s="1"/>
  <c r="DD608" i="2"/>
  <c r="DC608" i="2"/>
  <c r="DB608" i="2"/>
  <c r="CZ608" i="2"/>
  <c r="CY608" i="2"/>
  <c r="BG614" i="2"/>
  <c r="BD614" i="2"/>
  <c r="AY614" i="2"/>
  <c r="AX614" i="2"/>
  <c r="DE616" i="2"/>
  <c r="DK616" i="2" s="1"/>
  <c r="DD616" i="2"/>
  <c r="DC616" i="2"/>
  <c r="DB616" i="2"/>
  <c r="DA616" i="2"/>
  <c r="DJ616" i="2" s="1"/>
  <c r="CZ616" i="2"/>
  <c r="CY616" i="2"/>
  <c r="CX616" i="2"/>
  <c r="DI616" i="2"/>
  <c r="DL616" i="2" s="1"/>
  <c r="DH616" i="2"/>
  <c r="DG616" i="2"/>
  <c r="DB641" i="2"/>
  <c r="CZ641" i="2"/>
  <c r="DA641" i="2"/>
  <c r="DJ641" i="2" s="1"/>
  <c r="CY641" i="2"/>
  <c r="CX641" i="2"/>
  <c r="DI641" i="2"/>
  <c r="DL641" i="2" s="1"/>
  <c r="DH641" i="2"/>
  <c r="DG641" i="2"/>
  <c r="DF641" i="2"/>
  <c r="DE641" i="2"/>
  <c r="DK641" i="2" s="1"/>
  <c r="DD641" i="2"/>
  <c r="AX527" i="2"/>
  <c r="AY528" i="2"/>
  <c r="AZ529" i="2"/>
  <c r="BG534" i="2"/>
  <c r="DD535" i="2"/>
  <c r="AX543" i="2"/>
  <c r="AY544" i="2"/>
  <c r="AZ545" i="2"/>
  <c r="BD548" i="2"/>
  <c r="BG551" i="2"/>
  <c r="DC551" i="2"/>
  <c r="AX560" i="2"/>
  <c r="AY561" i="2"/>
  <c r="AZ562" i="2"/>
  <c r="CY563" i="2"/>
  <c r="BG567" i="2"/>
  <c r="DC567" i="2"/>
  <c r="AV574" i="2"/>
  <c r="AX576" i="2"/>
  <c r="AY577" i="2"/>
  <c r="AZ578" i="2"/>
  <c r="AW578" i="2" s="1"/>
  <c r="DB581" i="2"/>
  <c r="AV586" i="2"/>
  <c r="BE590" i="2"/>
  <c r="CY591" i="2"/>
  <c r="AZ592" i="2"/>
  <c r="CZ592" i="2"/>
  <c r="AZ593" i="2"/>
  <c r="DA593" i="2"/>
  <c r="DJ593" i="2" s="1"/>
  <c r="BC596" i="2"/>
  <c r="AZ596" i="2"/>
  <c r="BE599" i="2"/>
  <c r="AZ599" i="2"/>
  <c r="DA612" i="2"/>
  <c r="DJ612" i="2" s="1"/>
  <c r="CZ612" i="2"/>
  <c r="CY612" i="2"/>
  <c r="CX612" i="2"/>
  <c r="DI612" i="2"/>
  <c r="DL612" i="2" s="1"/>
  <c r="DH612" i="2"/>
  <c r="DG612" i="2"/>
  <c r="DF612" i="2"/>
  <c r="DE612" i="2"/>
  <c r="DK612" i="2" s="1"/>
  <c r="DD612" i="2"/>
  <c r="DC612" i="2"/>
  <c r="BE614" i="2"/>
  <c r="CZ627" i="2"/>
  <c r="CY627" i="2"/>
  <c r="CX627" i="2"/>
  <c r="DI627" i="2"/>
  <c r="DL627" i="2" s="1"/>
  <c r="DH627" i="2"/>
  <c r="DG627" i="2"/>
  <c r="DF627" i="2"/>
  <c r="DE627" i="2"/>
  <c r="DK627" i="2" s="1"/>
  <c r="DD627" i="2"/>
  <c r="DC627" i="2"/>
  <c r="DB627" i="2"/>
  <c r="DE632" i="2"/>
  <c r="DK632" i="2" s="1"/>
  <c r="DD632" i="2"/>
  <c r="DC632" i="2"/>
  <c r="DB632" i="2"/>
  <c r="DA632" i="2"/>
  <c r="DJ632" i="2" s="1"/>
  <c r="CZ632" i="2"/>
  <c r="CY632" i="2"/>
  <c r="CX632" i="2"/>
  <c r="DI632" i="2"/>
  <c r="DL632" i="2" s="1"/>
  <c r="DH632" i="2"/>
  <c r="DG632" i="2"/>
  <c r="DH635" i="2"/>
  <c r="DG635" i="2"/>
  <c r="DF635" i="2"/>
  <c r="DE635" i="2"/>
  <c r="DK635" i="2" s="1"/>
  <c r="DD635" i="2"/>
  <c r="DC635" i="2"/>
  <c r="DB635" i="2"/>
  <c r="DA635" i="2"/>
  <c r="DJ635" i="2" s="1"/>
  <c r="CZ635" i="2"/>
  <c r="CY635" i="2"/>
  <c r="CX635" i="2"/>
  <c r="AW640" i="2"/>
  <c r="AX526" i="2"/>
  <c r="AZ528" i="2"/>
  <c r="BG533" i="2"/>
  <c r="AX542" i="2"/>
  <c r="AZ544" i="2"/>
  <c r="BG550" i="2"/>
  <c r="DD551" i="2"/>
  <c r="AV557" i="2"/>
  <c r="AX559" i="2"/>
  <c r="BC562" i="2"/>
  <c r="CZ563" i="2"/>
  <c r="BG566" i="2"/>
  <c r="DD567" i="2"/>
  <c r="AV573" i="2"/>
  <c r="AX575" i="2"/>
  <c r="BC578" i="2"/>
  <c r="DC581" i="2"/>
  <c r="AV582" i="2"/>
  <c r="AW586" i="2"/>
  <c r="BE586" i="2"/>
  <c r="DC587" i="2"/>
  <c r="BF588" i="2"/>
  <c r="AY591" i="2"/>
  <c r="CZ591" i="2"/>
  <c r="BD592" i="2"/>
  <c r="DA592" i="2"/>
  <c r="DJ592" i="2" s="1"/>
  <c r="DB593" i="2"/>
  <c r="DF602" i="2"/>
  <c r="DE602" i="2"/>
  <c r="DK602" i="2" s="1"/>
  <c r="DD602" i="2"/>
  <c r="DA602" i="2"/>
  <c r="DJ602" i="2" s="1"/>
  <c r="CZ602" i="2"/>
  <c r="CY602" i="2"/>
  <c r="CX602" i="2"/>
  <c r="DI602" i="2"/>
  <c r="DL602" i="2" s="1"/>
  <c r="BG603" i="2"/>
  <c r="DI604" i="2"/>
  <c r="DL604" i="2" s="1"/>
  <c r="DH604" i="2"/>
  <c r="DG604" i="2"/>
  <c r="DF604" i="2"/>
  <c r="DC604" i="2"/>
  <c r="DB604" i="2"/>
  <c r="DA604" i="2"/>
  <c r="DJ604" i="2" s="1"/>
  <c r="CZ604" i="2"/>
  <c r="CY604" i="2"/>
  <c r="CX604" i="2"/>
  <c r="BE605" i="2"/>
  <c r="BC605" i="2"/>
  <c r="AY605" i="2"/>
  <c r="AW608" i="2"/>
  <c r="DC642" i="2"/>
  <c r="DA642" i="2"/>
  <c r="DJ642" i="2" s="1"/>
  <c r="DI642" i="2"/>
  <c r="DL642" i="2" s="1"/>
  <c r="DH642" i="2"/>
  <c r="DG642" i="2"/>
  <c r="DF642" i="2"/>
  <c r="DE642" i="2"/>
  <c r="DK642" i="2" s="1"/>
  <c r="DD642" i="2"/>
  <c r="DB642" i="2"/>
  <c r="CZ642" i="2"/>
  <c r="CY642" i="2"/>
  <c r="CX642" i="2"/>
  <c r="DH647" i="2"/>
  <c r="DF647" i="2"/>
  <c r="DI647" i="2"/>
  <c r="DL647" i="2" s="1"/>
  <c r="DG647" i="2"/>
  <c r="DE647" i="2"/>
  <c r="DK647" i="2" s="1"/>
  <c r="DD647" i="2"/>
  <c r="DC647" i="2"/>
  <c r="DB647" i="2"/>
  <c r="DA647" i="2"/>
  <c r="DJ647" i="2" s="1"/>
  <c r="CZ647" i="2"/>
  <c r="CY647" i="2"/>
  <c r="CX647" i="2"/>
  <c r="AX541" i="2"/>
  <c r="AY542" i="2"/>
  <c r="BD545" i="2"/>
  <c r="DE551" i="2"/>
  <c r="DK551" i="2" s="1"/>
  <c r="BD562" i="2"/>
  <c r="DA563" i="2"/>
  <c r="DJ563" i="2" s="1"/>
  <c r="DE567" i="2"/>
  <c r="DK567" i="2" s="1"/>
  <c r="BD578" i="2"/>
  <c r="AV580" i="2"/>
  <c r="DD581" i="2"/>
  <c r="BG584" i="2"/>
  <c r="DC584" i="2"/>
  <c r="DB584" i="2"/>
  <c r="CY584" i="2"/>
  <c r="CX584" i="2"/>
  <c r="BD587" i="2"/>
  <c r="AV589" i="2"/>
  <c r="DB591" i="2"/>
  <c r="BE592" i="2"/>
  <c r="DC592" i="2"/>
  <c r="DD593" i="2"/>
  <c r="BD602" i="2"/>
  <c r="BD603" i="2"/>
  <c r="AY603" i="2"/>
  <c r="BF605" i="2"/>
  <c r="AY606" i="2"/>
  <c r="DI607" i="2"/>
  <c r="DL607" i="2" s="1"/>
  <c r="DF607" i="2"/>
  <c r="DE607" i="2"/>
  <c r="DK607" i="2" s="1"/>
  <c r="DD607" i="2"/>
  <c r="DC607" i="2"/>
  <c r="DB607" i="2"/>
  <c r="DA607" i="2"/>
  <c r="DJ607" i="2" s="1"/>
  <c r="CY607" i="2"/>
  <c r="CX607" i="2"/>
  <c r="BE621" i="2"/>
  <c r="BG630" i="2"/>
  <c r="BD630" i="2"/>
  <c r="AY630" i="2"/>
  <c r="AX630" i="2"/>
  <c r="DI636" i="2"/>
  <c r="DL636" i="2" s="1"/>
  <c r="DH636" i="2"/>
  <c r="DG636" i="2"/>
  <c r="DF636" i="2"/>
  <c r="DE636" i="2"/>
  <c r="DK636" i="2" s="1"/>
  <c r="DD636" i="2"/>
  <c r="DC636" i="2"/>
  <c r="DB636" i="2"/>
  <c r="DA636" i="2"/>
  <c r="DJ636" i="2" s="1"/>
  <c r="CZ636" i="2"/>
  <c r="CY636" i="2"/>
  <c r="CX636" i="2"/>
  <c r="DI521" i="2"/>
  <c r="DL521" i="2" s="1"/>
  <c r="BC527" i="2"/>
  <c r="CY527" i="2"/>
  <c r="CZ528" i="2"/>
  <c r="DG535" i="2"/>
  <c r="AY541" i="2"/>
  <c r="AZ542" i="2"/>
  <c r="BC543" i="2"/>
  <c r="CY543" i="2"/>
  <c r="CZ544" i="2"/>
  <c r="BG547" i="2"/>
  <c r="BG548" i="2"/>
  <c r="DF551" i="2"/>
  <c r="AX557" i="2"/>
  <c r="AY558" i="2"/>
  <c r="AZ559" i="2"/>
  <c r="BC560" i="2"/>
  <c r="CY560" i="2"/>
  <c r="DB563" i="2"/>
  <c r="BG564" i="2"/>
  <c r="DF567" i="2"/>
  <c r="AX573" i="2"/>
  <c r="AY574" i="2"/>
  <c r="AZ575" i="2"/>
  <c r="BC576" i="2"/>
  <c r="CY576" i="2"/>
  <c r="BD581" i="2"/>
  <c r="DE581" i="2"/>
  <c r="DK581" i="2" s="1"/>
  <c r="AY582" i="2"/>
  <c r="AV585" i="2"/>
  <c r="DD591" i="2"/>
  <c r="DE592" i="2"/>
  <c r="DK592" i="2" s="1"/>
  <c r="AY594" i="2"/>
  <c r="BF597" i="2"/>
  <c r="BE603" i="2"/>
  <c r="AV606" i="2"/>
  <c r="BF606" i="2"/>
  <c r="BD606" i="2"/>
  <c r="BD618" i="2"/>
  <c r="BF621" i="2"/>
  <c r="DI624" i="2"/>
  <c r="DL624" i="2" s="1"/>
  <c r="DH624" i="2"/>
  <c r="DG624" i="2"/>
  <c r="DF624" i="2"/>
  <c r="DE624" i="2"/>
  <c r="DK624" i="2" s="1"/>
  <c r="DD624" i="2"/>
  <c r="DC624" i="2"/>
  <c r="DB624" i="2"/>
  <c r="DA624" i="2"/>
  <c r="DJ624" i="2" s="1"/>
  <c r="CZ624" i="2"/>
  <c r="CY624" i="2"/>
  <c r="DA628" i="2"/>
  <c r="DJ628" i="2" s="1"/>
  <c r="CZ628" i="2"/>
  <c r="CY628" i="2"/>
  <c r="CX628" i="2"/>
  <c r="DI628" i="2"/>
  <c r="DL628" i="2" s="1"/>
  <c r="DH628" i="2"/>
  <c r="DG628" i="2"/>
  <c r="DF628" i="2"/>
  <c r="DE628" i="2"/>
  <c r="DK628" i="2" s="1"/>
  <c r="DD628" i="2"/>
  <c r="DC628" i="2"/>
  <c r="BD634" i="2"/>
  <c r="BF638" i="2"/>
  <c r="BC542" i="2"/>
  <c r="BD543" i="2"/>
  <c r="DG551" i="2"/>
  <c r="AY557" i="2"/>
  <c r="AZ558" i="2"/>
  <c r="BD560" i="2"/>
  <c r="DC563" i="2"/>
  <c r="DG567" i="2"/>
  <c r="AY573" i="2"/>
  <c r="AZ574" i="2"/>
  <c r="BD576" i="2"/>
  <c r="DF581" i="2"/>
  <c r="BG588" i="2"/>
  <c r="DG588" i="2"/>
  <c r="DF588" i="2"/>
  <c r="DC588" i="2"/>
  <c r="DB588" i="2"/>
  <c r="CX589" i="2"/>
  <c r="AY593" i="2"/>
  <c r="AX593" i="2"/>
  <c r="BD593" i="2"/>
  <c r="AZ594" i="2"/>
  <c r="BE594" i="2"/>
  <c r="AV596" i="2"/>
  <c r="BG596" i="2"/>
  <c r="BG599" i="2"/>
  <c r="BD604" i="2"/>
  <c r="AX604" i="2"/>
  <c r="AW616" i="2"/>
  <c r="AW623" i="2"/>
  <c r="DA527" i="2"/>
  <c r="DJ527" i="2" s="1"/>
  <c r="DB528" i="2"/>
  <c r="CY541" i="2"/>
  <c r="DA543" i="2"/>
  <c r="DJ543" i="2" s="1"/>
  <c r="DH551" i="2"/>
  <c r="AX555" i="2"/>
  <c r="BC558" i="2"/>
  <c r="CY558" i="2"/>
  <c r="DA560" i="2"/>
  <c r="DJ560" i="2" s="1"/>
  <c r="DD563" i="2"/>
  <c r="DH567" i="2"/>
  <c r="AX571" i="2"/>
  <c r="BC574" i="2"/>
  <c r="CY574" i="2"/>
  <c r="DA576" i="2"/>
  <c r="DJ576" i="2" s="1"/>
  <c r="DG581" i="2"/>
  <c r="BE587" i="2"/>
  <c r="AZ589" i="2"/>
  <c r="CY589" i="2"/>
  <c r="AW592" i="2"/>
  <c r="AY595" i="2"/>
  <c r="BG595" i="2"/>
  <c r="BD597" i="2"/>
  <c r="DE600" i="2"/>
  <c r="DK600" i="2" s="1"/>
  <c r="BC602" i="2"/>
  <c r="AY602" i="2"/>
  <c r="BE604" i="2"/>
  <c r="BC604" i="2"/>
  <c r="AZ604" i="2"/>
  <c r="AW607" i="2"/>
  <c r="BE615" i="2"/>
  <c r="BC615" i="2"/>
  <c r="AZ615" i="2"/>
  <c r="BC616" i="2"/>
  <c r="AV668" i="2"/>
  <c r="BF668" i="2"/>
  <c r="BC668" i="2"/>
  <c r="AX521" i="2"/>
  <c r="DB527" i="2"/>
  <c r="DC528" i="2"/>
  <c r="AX537" i="2"/>
  <c r="CZ541" i="2"/>
  <c r="DB543" i="2"/>
  <c r="DC544" i="2"/>
  <c r="AX554" i="2"/>
  <c r="AY555" i="2"/>
  <c r="AZ556" i="2"/>
  <c r="CZ558" i="2"/>
  <c r="DB560" i="2"/>
  <c r="DE563" i="2"/>
  <c r="DK563" i="2" s="1"/>
  <c r="AX570" i="2"/>
  <c r="AY571" i="2"/>
  <c r="AZ572" i="2"/>
  <c r="CZ574" i="2"/>
  <c r="DB576" i="2"/>
  <c r="AX580" i="2"/>
  <c r="DH581" i="2"/>
  <c r="BD582" i="2"/>
  <c r="CZ589" i="2"/>
  <c r="BG591" i="2"/>
  <c r="BC595" i="2"/>
  <c r="CY595" i="2"/>
  <c r="CX595" i="2"/>
  <c r="DI595" i="2"/>
  <c r="DL595" i="2" s="1"/>
  <c r="DG595" i="2"/>
  <c r="DE595" i="2"/>
  <c r="DK595" i="2" s="1"/>
  <c r="DC595" i="2"/>
  <c r="DB595" i="2"/>
  <c r="BE597" i="2"/>
  <c r="AV608" i="2"/>
  <c r="BG608" i="2"/>
  <c r="BD608" i="2"/>
  <c r="AW622" i="2"/>
  <c r="AW628" i="2"/>
  <c r="BC632" i="2"/>
  <c r="AZ522" i="2"/>
  <c r="DC527" i="2"/>
  <c r="AZ538" i="2"/>
  <c r="DA541" i="2"/>
  <c r="DJ541" i="2" s="1"/>
  <c r="DC543" i="2"/>
  <c r="AY554" i="2"/>
  <c r="AZ555" i="2"/>
  <c r="BC556" i="2"/>
  <c r="DA558" i="2"/>
  <c r="DJ558" i="2" s="1"/>
  <c r="DC560" i="2"/>
  <c r="DF563" i="2"/>
  <c r="AX569" i="2"/>
  <c r="AY570" i="2"/>
  <c r="AZ571" i="2"/>
  <c r="BC572" i="2"/>
  <c r="DA574" i="2"/>
  <c r="DJ574" i="2" s="1"/>
  <c r="DC576" i="2"/>
  <c r="AY580" i="2"/>
  <c r="DI581" i="2"/>
  <c r="DL581" i="2" s="1"/>
  <c r="AV584" i="2"/>
  <c r="CZ584" i="2"/>
  <c r="BD589" i="2"/>
  <c r="DA589" i="2"/>
  <c r="DJ589" i="2" s="1"/>
  <c r="DI591" i="2"/>
  <c r="DL591" i="2" s="1"/>
  <c r="DF591" i="2"/>
  <c r="DE591" i="2"/>
  <c r="DK591" i="2" s="1"/>
  <c r="DC591" i="2"/>
  <c r="DA591" i="2"/>
  <c r="DJ591" i="2" s="1"/>
  <c r="CX591" i="2"/>
  <c r="DG592" i="2"/>
  <c r="DF592" i="2"/>
  <c r="DD592" i="2"/>
  <c r="DB592" i="2"/>
  <c r="CY592" i="2"/>
  <c r="DH593" i="2"/>
  <c r="DG593" i="2"/>
  <c r="DE593" i="2"/>
  <c r="DK593" i="2" s="1"/>
  <c r="DC593" i="2"/>
  <c r="CZ593" i="2"/>
  <c r="BF595" i="2"/>
  <c r="AW624" i="2"/>
  <c r="DI639" i="2"/>
  <c r="DL639" i="2" s="1"/>
  <c r="DH639" i="2"/>
  <c r="DG639" i="2"/>
  <c r="DF639" i="2"/>
  <c r="DE639" i="2"/>
  <c r="DK639" i="2" s="1"/>
  <c r="DD639" i="2"/>
  <c r="DC639" i="2"/>
  <c r="DB639" i="2"/>
  <c r="DA639" i="2"/>
  <c r="DJ639" i="2" s="1"/>
  <c r="CZ639" i="2"/>
  <c r="CY639" i="2"/>
  <c r="CX639" i="2"/>
  <c r="DD643" i="2"/>
  <c r="DB643" i="2"/>
  <c r="DE643" i="2"/>
  <c r="DK643" i="2" s="1"/>
  <c r="DC643" i="2"/>
  <c r="DA643" i="2"/>
  <c r="DJ643" i="2" s="1"/>
  <c r="CZ643" i="2"/>
  <c r="CY643" i="2"/>
  <c r="CX643" i="2"/>
  <c r="DI643" i="2"/>
  <c r="DL643" i="2" s="1"/>
  <c r="DH643" i="2"/>
  <c r="DG643" i="2"/>
  <c r="AW649" i="2"/>
  <c r="DD527" i="2"/>
  <c r="AX535" i="2"/>
  <c r="DB541" i="2"/>
  <c r="AX552" i="2"/>
  <c r="BC555" i="2"/>
  <c r="DB558" i="2"/>
  <c r="DD560" i="2"/>
  <c r="DG563" i="2"/>
  <c r="AX568" i="2"/>
  <c r="AY569" i="2"/>
  <c r="AZ570" i="2"/>
  <c r="BC571" i="2"/>
  <c r="DB574" i="2"/>
  <c r="DD576" i="2"/>
  <c r="AZ583" i="2"/>
  <c r="DA584" i="2"/>
  <c r="DJ584" i="2" s="1"/>
  <c r="BD586" i="2"/>
  <c r="AV588" i="2"/>
  <c r="DB589" i="2"/>
  <c r="DI590" i="2"/>
  <c r="DL590" i="2" s="1"/>
  <c r="DH590" i="2"/>
  <c r="DE590" i="2"/>
  <c r="DK590" i="2" s="1"/>
  <c r="DD590" i="2"/>
  <c r="DD600" i="2"/>
  <c r="DC600" i="2"/>
  <c r="DB600" i="2"/>
  <c r="CY600" i="2"/>
  <c r="CX600" i="2"/>
  <c r="DH600" i="2"/>
  <c r="DG600" i="2"/>
  <c r="BF607" i="2"/>
  <c r="BC607" i="2"/>
  <c r="BE631" i="2"/>
  <c r="BC631" i="2"/>
  <c r="AZ631" i="2"/>
  <c r="AX534" i="2"/>
  <c r="AX551" i="2"/>
  <c r="AZ553" i="2"/>
  <c r="CY554" i="2"/>
  <c r="DC558" i="2"/>
  <c r="DE560" i="2"/>
  <c r="DK560" i="2" s="1"/>
  <c r="DH563" i="2"/>
  <c r="AX567" i="2"/>
  <c r="AZ569" i="2"/>
  <c r="BC570" i="2"/>
  <c r="DC574" i="2"/>
  <c r="DE576" i="2"/>
  <c r="DK576" i="2" s="1"/>
  <c r="BC583" i="2"/>
  <c r="AX584" i="2"/>
  <c r="DD584" i="2"/>
  <c r="DF587" i="2"/>
  <c r="DE587" i="2"/>
  <c r="DK587" i="2" s="1"/>
  <c r="DB587" i="2"/>
  <c r="DA587" i="2"/>
  <c r="DJ587" i="2" s="1"/>
  <c r="AX588" i="2"/>
  <c r="CX588" i="2"/>
  <c r="DE589" i="2"/>
  <c r="DK589" i="2" s="1"/>
  <c r="BG593" i="2"/>
  <c r="DA596" i="2"/>
  <c r="DJ596" i="2" s="1"/>
  <c r="BF603" i="2"/>
  <c r="BG604" i="2"/>
  <c r="BE582" i="2"/>
  <c r="AY584" i="2"/>
  <c r="DE584" i="2"/>
  <c r="DK584" i="2" s="1"/>
  <c r="CY588" i="2"/>
  <c r="DF589" i="2"/>
  <c r="DB596" i="2"/>
  <c r="BC600" i="2"/>
  <c r="AZ600" i="2"/>
  <c r="AY600" i="2"/>
  <c r="CX605" i="2"/>
  <c r="BC617" i="2"/>
  <c r="DI620" i="2"/>
  <c r="DL620" i="2" s="1"/>
  <c r="DH620" i="2"/>
  <c r="DG620" i="2"/>
  <c r="DF620" i="2"/>
  <c r="DE620" i="2"/>
  <c r="DK620" i="2" s="1"/>
  <c r="DD620" i="2"/>
  <c r="DC620" i="2"/>
  <c r="DB620" i="2"/>
  <c r="DA620" i="2"/>
  <c r="DJ620" i="2" s="1"/>
  <c r="CZ620" i="2"/>
  <c r="CY620" i="2"/>
  <c r="CX620" i="2"/>
  <c r="BC633" i="2"/>
  <c r="BG635" i="2"/>
  <c r="AV635" i="2"/>
  <c r="BE637" i="2"/>
  <c r="AW646" i="2"/>
  <c r="AW655" i="2"/>
  <c r="DE707" i="2"/>
  <c r="DK707" i="2" s="1"/>
  <c r="DD707" i="2"/>
  <c r="DC707" i="2"/>
  <c r="DB707" i="2"/>
  <c r="DA707" i="2"/>
  <c r="DJ707" i="2" s="1"/>
  <c r="CZ707" i="2"/>
  <c r="CY707" i="2"/>
  <c r="CX707" i="2"/>
  <c r="DI707" i="2"/>
  <c r="DL707" i="2" s="1"/>
  <c r="DH707" i="2"/>
  <c r="DG707" i="2"/>
  <c r="DF707" i="2"/>
  <c r="DF584" i="2"/>
  <c r="BC585" i="2"/>
  <c r="BF587" i="2"/>
  <c r="CZ588" i="2"/>
  <c r="DI589" i="2"/>
  <c r="DL589" i="2" s="1"/>
  <c r="AW596" i="2"/>
  <c r="DE596" i="2"/>
  <c r="DK596" i="2" s="1"/>
  <c r="BD598" i="2"/>
  <c r="AY598" i="2"/>
  <c r="AX598" i="2"/>
  <c r="BE602" i="2"/>
  <c r="DE605" i="2"/>
  <c r="DK605" i="2" s="1"/>
  <c r="CX608" i="2"/>
  <c r="BG619" i="2"/>
  <c r="AV619" i="2"/>
  <c r="AW658" i="2"/>
  <c r="DD659" i="2"/>
  <c r="DC659" i="2"/>
  <c r="DB659" i="2"/>
  <c r="CZ659" i="2"/>
  <c r="DH659" i="2"/>
  <c r="DG659" i="2"/>
  <c r="DI659" i="2"/>
  <c r="DL659" i="2" s="1"/>
  <c r="DF659" i="2"/>
  <c r="DE659" i="2"/>
  <c r="DK659" i="2" s="1"/>
  <c r="DA659" i="2"/>
  <c r="DJ659" i="2" s="1"/>
  <c r="CY659" i="2"/>
  <c r="CX659" i="2"/>
  <c r="DH601" i="2"/>
  <c r="BC608" i="2"/>
  <c r="BD609" i="2"/>
  <c r="CZ609" i="2"/>
  <c r="BE610" i="2"/>
  <c r="BG612" i="2"/>
  <c r="DD613" i="2"/>
  <c r="DE614" i="2"/>
  <c r="DK614" i="2" s="1"/>
  <c r="DH617" i="2"/>
  <c r="BC624" i="2"/>
  <c r="BD625" i="2"/>
  <c r="CZ625" i="2"/>
  <c r="BE626" i="2"/>
  <c r="BG628" i="2"/>
  <c r="DD629" i="2"/>
  <c r="DE630" i="2"/>
  <c r="DK630" i="2" s="1"/>
  <c r="DH633" i="2"/>
  <c r="BC640" i="2"/>
  <c r="BE641" i="2"/>
  <c r="AV642" i="2"/>
  <c r="AY645" i="2"/>
  <c r="BC649" i="2"/>
  <c r="BG650" i="2"/>
  <c r="DA651" i="2"/>
  <c r="DJ651" i="2" s="1"/>
  <c r="DE652" i="2"/>
  <c r="DK652" i="2" s="1"/>
  <c r="DA652" i="2"/>
  <c r="DJ652" i="2" s="1"/>
  <c r="CZ652" i="2"/>
  <c r="DE653" i="2"/>
  <c r="DK653" i="2" s="1"/>
  <c r="BD655" i="2"/>
  <c r="AY660" i="2"/>
  <c r="BD662" i="2"/>
  <c r="BD664" i="2"/>
  <c r="AY664" i="2"/>
  <c r="AX664" i="2"/>
  <c r="AY669" i="2"/>
  <c r="CX676" i="2"/>
  <c r="DI682" i="2"/>
  <c r="DL682" i="2" s="1"/>
  <c r="DH682" i="2"/>
  <c r="DG682" i="2"/>
  <c r="DF682" i="2"/>
  <c r="DE682" i="2"/>
  <c r="DK682" i="2" s="1"/>
  <c r="DC682" i="2"/>
  <c r="DB682" i="2"/>
  <c r="DA682" i="2"/>
  <c r="DJ682" i="2" s="1"/>
  <c r="CZ682" i="2"/>
  <c r="CY682" i="2"/>
  <c r="CX682" i="2"/>
  <c r="DB687" i="2"/>
  <c r="BE689" i="2"/>
  <c r="AW720" i="2"/>
  <c r="DI601" i="2"/>
  <c r="DL601" i="2" s="1"/>
  <c r="BE609" i="2"/>
  <c r="DA609" i="2"/>
  <c r="DJ609" i="2" s="1"/>
  <c r="BG611" i="2"/>
  <c r="DE613" i="2"/>
  <c r="DK613" i="2" s="1"/>
  <c r="DF614" i="2"/>
  <c r="DI617" i="2"/>
  <c r="DL617" i="2" s="1"/>
  <c r="AX620" i="2"/>
  <c r="AY621" i="2"/>
  <c r="BD624" i="2"/>
  <c r="BE625" i="2"/>
  <c r="DA625" i="2"/>
  <c r="DJ625" i="2" s="1"/>
  <c r="BG627" i="2"/>
  <c r="DE629" i="2"/>
  <c r="DK629" i="2" s="1"/>
  <c r="DF630" i="2"/>
  <c r="DI633" i="2"/>
  <c r="DL633" i="2" s="1"/>
  <c r="AX636" i="2"/>
  <c r="AY637" i="2"/>
  <c r="BD640" i="2"/>
  <c r="BG641" i="2"/>
  <c r="BF643" i="2"/>
  <c r="BD644" i="2"/>
  <c r="AZ645" i="2"/>
  <c r="CX645" i="2"/>
  <c r="CX646" i="2"/>
  <c r="BD649" i="2"/>
  <c r="BC650" i="2"/>
  <c r="AZ650" i="2"/>
  <c r="AZ651" i="2"/>
  <c r="AW651" i="2" s="1"/>
  <c r="DB651" i="2"/>
  <c r="DG653" i="2"/>
  <c r="BC655" i="2"/>
  <c r="AZ655" i="2"/>
  <c r="BG657" i="2"/>
  <c r="DE660" i="2"/>
  <c r="DK660" i="2" s="1"/>
  <c r="DD660" i="2"/>
  <c r="DC660" i="2"/>
  <c r="DA660" i="2"/>
  <c r="DJ660" i="2" s="1"/>
  <c r="DI660" i="2"/>
  <c r="DL660" i="2" s="1"/>
  <c r="DH660" i="2"/>
  <c r="BE664" i="2"/>
  <c r="BF673" i="2"/>
  <c r="BF692" i="2"/>
  <c r="BD692" i="2"/>
  <c r="BC692" i="2"/>
  <c r="BE696" i="2"/>
  <c r="AW699" i="2"/>
  <c r="DG747" i="2"/>
  <c r="DF747" i="2"/>
  <c r="DI747" i="2"/>
  <c r="DL747" i="2" s="1"/>
  <c r="DH747" i="2"/>
  <c r="DE747" i="2"/>
  <c r="DK747" i="2" s="1"/>
  <c r="DD747" i="2"/>
  <c r="DC747" i="2"/>
  <c r="DB747" i="2"/>
  <c r="DA747" i="2"/>
  <c r="DJ747" i="2" s="1"/>
  <c r="CZ747" i="2"/>
  <c r="CY747" i="2"/>
  <c r="CX747" i="2"/>
  <c r="DG790" i="2"/>
  <c r="DF790" i="2"/>
  <c r="DE790" i="2"/>
  <c r="DK790" i="2" s="1"/>
  <c r="DD790" i="2"/>
  <c r="DC790" i="2"/>
  <c r="DB790" i="2"/>
  <c r="DA790" i="2"/>
  <c r="DJ790" i="2" s="1"/>
  <c r="CZ790" i="2"/>
  <c r="CY790" i="2"/>
  <c r="CX790" i="2"/>
  <c r="DI790" i="2"/>
  <c r="DL790" i="2" s="1"/>
  <c r="DH790" i="2"/>
  <c r="AX619" i="2"/>
  <c r="AY620" i="2"/>
  <c r="AZ621" i="2"/>
  <c r="AX635" i="2"/>
  <c r="AY636" i="2"/>
  <c r="AZ637" i="2"/>
  <c r="BC646" i="2"/>
  <c r="BD647" i="2"/>
  <c r="DC651" i="2"/>
  <c r="AY653" i="2"/>
  <c r="AX653" i="2"/>
  <c r="CZ655" i="2"/>
  <c r="CY655" i="2"/>
  <c r="CX655" i="2"/>
  <c r="DH655" i="2"/>
  <c r="DD655" i="2"/>
  <c r="DC655" i="2"/>
  <c r="AV666" i="2"/>
  <c r="AV667" i="2"/>
  <c r="BG667" i="2"/>
  <c r="AV670" i="2"/>
  <c r="BG670" i="2"/>
  <c r="BF675" i="2"/>
  <c r="BC675" i="2"/>
  <c r="AV684" i="2"/>
  <c r="BF684" i="2"/>
  <c r="DA687" i="2"/>
  <c r="DJ687" i="2" s="1"/>
  <c r="CZ687" i="2"/>
  <c r="CY687" i="2"/>
  <c r="CX687" i="2"/>
  <c r="DH687" i="2"/>
  <c r="DG687" i="2"/>
  <c r="DF687" i="2"/>
  <c r="DE687" i="2"/>
  <c r="DK687" i="2" s="1"/>
  <c r="DD687" i="2"/>
  <c r="DC687" i="2"/>
  <c r="BE705" i="2"/>
  <c r="CZ606" i="2"/>
  <c r="BG609" i="2"/>
  <c r="DC609" i="2"/>
  <c r="DG613" i="2"/>
  <c r="DH614" i="2"/>
  <c r="AV616" i="2"/>
  <c r="AY619" i="2"/>
  <c r="AZ620" i="2"/>
  <c r="BC621" i="2"/>
  <c r="CY621" i="2"/>
  <c r="BD622" i="2"/>
  <c r="BG625" i="2"/>
  <c r="DC625" i="2"/>
  <c r="DG629" i="2"/>
  <c r="DH630" i="2"/>
  <c r="AV632" i="2"/>
  <c r="AY635" i="2"/>
  <c r="AZ636" i="2"/>
  <c r="BC637" i="2"/>
  <c r="CY637" i="2"/>
  <c r="BD638" i="2"/>
  <c r="AY642" i="2"/>
  <c r="CZ645" i="2"/>
  <c r="BD646" i="2"/>
  <c r="CZ646" i="2"/>
  <c r="DI650" i="2"/>
  <c r="DL650" i="2" s="1"/>
  <c r="DC650" i="2"/>
  <c r="CY650" i="2"/>
  <c r="CX650" i="2"/>
  <c r="DE651" i="2"/>
  <c r="DK651" i="2" s="1"/>
  <c r="AZ653" i="2"/>
  <c r="BE653" i="2"/>
  <c r="DB657" i="2"/>
  <c r="DA657" i="2"/>
  <c r="DJ657" i="2" s="1"/>
  <c r="CZ657" i="2"/>
  <c r="CX657" i="2"/>
  <c r="DH657" i="2"/>
  <c r="DF657" i="2"/>
  <c r="DE657" i="2"/>
  <c r="DK657" i="2" s="1"/>
  <c r="AW659" i="2"/>
  <c r="AY662" i="2"/>
  <c r="AX662" i="2"/>
  <c r="AV671" i="2"/>
  <c r="BG671" i="2"/>
  <c r="DF676" i="2"/>
  <c r="DE676" i="2"/>
  <c r="DK676" i="2" s="1"/>
  <c r="DD676" i="2"/>
  <c r="DC676" i="2"/>
  <c r="DB676" i="2"/>
  <c r="DA676" i="2"/>
  <c r="DJ676" i="2" s="1"/>
  <c r="CZ676" i="2"/>
  <c r="CY676" i="2"/>
  <c r="DI676" i="2"/>
  <c r="DL676" i="2" s="1"/>
  <c r="DH676" i="2"/>
  <c r="CX683" i="2"/>
  <c r="DC689" i="2"/>
  <c r="DB689" i="2"/>
  <c r="DA689" i="2"/>
  <c r="DJ689" i="2" s="1"/>
  <c r="CZ689" i="2"/>
  <c r="CY689" i="2"/>
  <c r="CX689" i="2"/>
  <c r="DI689" i="2"/>
  <c r="DL689" i="2" s="1"/>
  <c r="DH689" i="2"/>
  <c r="DG689" i="2"/>
  <c r="DF689" i="2"/>
  <c r="DE689" i="2"/>
  <c r="DK689" i="2" s="1"/>
  <c r="DE691" i="2"/>
  <c r="DK691" i="2" s="1"/>
  <c r="DD691" i="2"/>
  <c r="DC691" i="2"/>
  <c r="DB691" i="2"/>
  <c r="DA691" i="2"/>
  <c r="DJ691" i="2" s="1"/>
  <c r="CZ691" i="2"/>
  <c r="CY691" i="2"/>
  <c r="CX691" i="2"/>
  <c r="DI691" i="2"/>
  <c r="DL691" i="2" s="1"/>
  <c r="DH691" i="2"/>
  <c r="DG691" i="2"/>
  <c r="CZ732" i="2"/>
  <c r="CY732" i="2"/>
  <c r="CX732" i="2"/>
  <c r="DI732" i="2"/>
  <c r="DL732" i="2" s="1"/>
  <c r="DG732" i="2"/>
  <c r="DF732" i="2"/>
  <c r="DE732" i="2"/>
  <c r="DK732" i="2" s="1"/>
  <c r="DD732" i="2"/>
  <c r="DC732" i="2"/>
  <c r="DB732" i="2"/>
  <c r="DH732" i="2"/>
  <c r="DA732" i="2"/>
  <c r="DJ732" i="2" s="1"/>
  <c r="AV599" i="2"/>
  <c r="BD605" i="2"/>
  <c r="DH613" i="2"/>
  <c r="DI614" i="2"/>
  <c r="DL614" i="2" s="1"/>
  <c r="AV615" i="2"/>
  <c r="AY618" i="2"/>
  <c r="BC620" i="2"/>
  <c r="BD621" i="2"/>
  <c r="CZ621" i="2"/>
  <c r="BG624" i="2"/>
  <c r="DD625" i="2"/>
  <c r="DH629" i="2"/>
  <c r="DI630" i="2"/>
  <c r="DL630" i="2" s="1"/>
  <c r="AV631" i="2"/>
  <c r="AY634" i="2"/>
  <c r="AZ635" i="2"/>
  <c r="BC636" i="2"/>
  <c r="BD637" i="2"/>
  <c r="CZ637" i="2"/>
  <c r="BG640" i="2"/>
  <c r="BF641" i="2"/>
  <c r="AZ642" i="2"/>
  <c r="DA645" i="2"/>
  <c r="DJ645" i="2" s="1"/>
  <c r="DA646" i="2"/>
  <c r="DJ646" i="2" s="1"/>
  <c r="BG649" i="2"/>
  <c r="BG651" i="2"/>
  <c r="DF651" i="2"/>
  <c r="BF653" i="2"/>
  <c r="AY656" i="2"/>
  <c r="AW656" i="2" s="1"/>
  <c r="BF657" i="2"/>
  <c r="CY661" i="2"/>
  <c r="BD665" i="2"/>
  <c r="AY665" i="2"/>
  <c r="DG693" i="2"/>
  <c r="DF693" i="2"/>
  <c r="DE693" i="2"/>
  <c r="DK693" i="2" s="1"/>
  <c r="DD693" i="2"/>
  <c r="DC693" i="2"/>
  <c r="DB693" i="2"/>
  <c r="DA693" i="2"/>
  <c r="DJ693" i="2" s="1"/>
  <c r="CZ693" i="2"/>
  <c r="CX693" i="2"/>
  <c r="DI693" i="2"/>
  <c r="DL693" i="2" s="1"/>
  <c r="DC705" i="2"/>
  <c r="DB705" i="2"/>
  <c r="DA705" i="2"/>
  <c r="DJ705" i="2" s="1"/>
  <c r="CZ705" i="2"/>
  <c r="CY705" i="2"/>
  <c r="CX705" i="2"/>
  <c r="DI705" i="2"/>
  <c r="DL705" i="2" s="1"/>
  <c r="DH705" i="2"/>
  <c r="DG705" i="2"/>
  <c r="DF705" i="2"/>
  <c r="DE705" i="2"/>
  <c r="DK705" i="2" s="1"/>
  <c r="AY601" i="2"/>
  <c r="AW601" i="2" s="1"/>
  <c r="CY603" i="2"/>
  <c r="DB606" i="2"/>
  <c r="BG607" i="2"/>
  <c r="DE609" i="2"/>
  <c r="DK609" i="2" s="1"/>
  <c r="DI613" i="2"/>
  <c r="DL613" i="2" s="1"/>
  <c r="AY617" i="2"/>
  <c r="AW617" i="2" s="1"/>
  <c r="BC619" i="2"/>
  <c r="CY619" i="2"/>
  <c r="DA621" i="2"/>
  <c r="DJ621" i="2" s="1"/>
  <c r="BF622" i="2"/>
  <c r="DB622" i="2"/>
  <c r="BG623" i="2"/>
  <c r="DE625" i="2"/>
  <c r="DK625" i="2" s="1"/>
  <c r="DI629" i="2"/>
  <c r="DL629" i="2" s="1"/>
  <c r="AY633" i="2"/>
  <c r="BC635" i="2"/>
  <c r="DA637" i="2"/>
  <c r="DJ637" i="2" s="1"/>
  <c r="BG639" i="2"/>
  <c r="BG647" i="2"/>
  <c r="AY648" i="2"/>
  <c r="AX648" i="2"/>
  <c r="AY649" i="2"/>
  <c r="AV650" i="2"/>
  <c r="DG651" i="2"/>
  <c r="CX652" i="2"/>
  <c r="BG655" i="2"/>
  <c r="DA656" i="2"/>
  <c r="DJ656" i="2" s="1"/>
  <c r="CZ656" i="2"/>
  <c r="CY656" i="2"/>
  <c r="DI656" i="2"/>
  <c r="DL656" i="2" s="1"/>
  <c r="DE656" i="2"/>
  <c r="DK656" i="2" s="1"/>
  <c r="DD656" i="2"/>
  <c r="BC659" i="2"/>
  <c r="CZ661" i="2"/>
  <c r="BE665" i="2"/>
  <c r="BC665" i="2"/>
  <c r="AZ665" i="2"/>
  <c r="AV669" i="2"/>
  <c r="BG669" i="2"/>
  <c r="BG675" i="2"/>
  <c r="DH678" i="2"/>
  <c r="DG678" i="2"/>
  <c r="DF678" i="2"/>
  <c r="DE678" i="2"/>
  <c r="DK678" i="2" s="1"/>
  <c r="DD678" i="2"/>
  <c r="DC678" i="2"/>
  <c r="DB678" i="2"/>
  <c r="DA678" i="2"/>
  <c r="DJ678" i="2" s="1"/>
  <c r="CY678" i="2"/>
  <c r="CX678" i="2"/>
  <c r="BE681" i="2"/>
  <c r="AX682" i="2"/>
  <c r="BG682" i="2"/>
  <c r="BD682" i="2"/>
  <c r="BD686" i="2"/>
  <c r="DA733" i="2"/>
  <c r="DJ733" i="2" s="1"/>
  <c r="CZ733" i="2"/>
  <c r="CY733" i="2"/>
  <c r="DH733" i="2"/>
  <c r="DG733" i="2"/>
  <c r="DF733" i="2"/>
  <c r="DE733" i="2"/>
  <c r="DK733" i="2" s="1"/>
  <c r="DD733" i="2"/>
  <c r="DC733" i="2"/>
  <c r="DI733" i="2"/>
  <c r="DL733" i="2" s="1"/>
  <c r="DB733" i="2"/>
  <c r="CX733" i="2"/>
  <c r="AV613" i="2"/>
  <c r="AX615" i="2"/>
  <c r="AY616" i="2"/>
  <c r="DB621" i="2"/>
  <c r="AV629" i="2"/>
  <c r="AX631" i="2"/>
  <c r="AY632" i="2"/>
  <c r="DB637" i="2"/>
  <c r="AW647" i="2"/>
  <c r="DH651" i="2"/>
  <c r="CX653" i="2"/>
  <c r="DF653" i="2"/>
  <c r="DB653" i="2"/>
  <c r="DA653" i="2"/>
  <c r="DJ653" i="2" s="1"/>
  <c r="AX654" i="2"/>
  <c r="DA661" i="2"/>
  <c r="DJ661" i="2" s="1"/>
  <c r="BE674" i="2"/>
  <c r="BC674" i="2"/>
  <c r="AZ674" i="2"/>
  <c r="AY674" i="2"/>
  <c r="AW674" i="2" s="1"/>
  <c r="DI683" i="2"/>
  <c r="DL683" i="2" s="1"/>
  <c r="DH683" i="2"/>
  <c r="DG683" i="2"/>
  <c r="DF683" i="2"/>
  <c r="DD683" i="2"/>
  <c r="DC683" i="2"/>
  <c r="DB683" i="2"/>
  <c r="DA683" i="2"/>
  <c r="DJ683" i="2" s="1"/>
  <c r="CZ683" i="2"/>
  <c r="CY683" i="2"/>
  <c r="AW691" i="2"/>
  <c r="BG694" i="2"/>
  <c r="AV694" i="2"/>
  <c r="DI695" i="2"/>
  <c r="DL695" i="2" s="1"/>
  <c r="DH695" i="2"/>
  <c r="DG695" i="2"/>
  <c r="DF695" i="2"/>
  <c r="DE695" i="2"/>
  <c r="DK695" i="2" s="1"/>
  <c r="DD695" i="2"/>
  <c r="DC695" i="2"/>
  <c r="DB695" i="2"/>
  <c r="CZ695" i="2"/>
  <c r="CY695" i="2"/>
  <c r="CX695" i="2"/>
  <c r="BF707" i="2"/>
  <c r="BC707" i="2"/>
  <c r="BE718" i="2"/>
  <c r="BC718" i="2"/>
  <c r="AZ718" i="2"/>
  <c r="DH594" i="2"/>
  <c r="CY601" i="2"/>
  <c r="DA603" i="2"/>
  <c r="DJ603" i="2" s="1"/>
  <c r="BG605" i="2"/>
  <c r="DD606" i="2"/>
  <c r="DG609" i="2"/>
  <c r="AZ616" i="2"/>
  <c r="CY617" i="2"/>
  <c r="DA619" i="2"/>
  <c r="DJ619" i="2" s="1"/>
  <c r="BG621" i="2"/>
  <c r="DC621" i="2"/>
  <c r="DD622" i="2"/>
  <c r="DG625" i="2"/>
  <c r="AZ632" i="2"/>
  <c r="CY633" i="2"/>
  <c r="BG637" i="2"/>
  <c r="DC637" i="2"/>
  <c r="DD638" i="2"/>
  <c r="DE645" i="2"/>
  <c r="DK645" i="2" s="1"/>
  <c r="DD646" i="2"/>
  <c r="DB652" i="2"/>
  <c r="BD654" i="2"/>
  <c r="CZ658" i="2"/>
  <c r="DC661" i="2"/>
  <c r="CZ685" i="2"/>
  <c r="BG689" i="2"/>
  <c r="BD689" i="2"/>
  <c r="AY689" i="2"/>
  <c r="AX689" i="2"/>
  <c r="BD716" i="2"/>
  <c r="AY716" i="2"/>
  <c r="BG716" i="2"/>
  <c r="AX716" i="2"/>
  <c r="AX597" i="2"/>
  <c r="BD601" i="2"/>
  <c r="CZ601" i="2"/>
  <c r="DB603" i="2"/>
  <c r="DE606" i="2"/>
  <c r="DK606" i="2" s="1"/>
  <c r="AX613" i="2"/>
  <c r="BD617" i="2"/>
  <c r="CZ617" i="2"/>
  <c r="DB619" i="2"/>
  <c r="DD621" i="2"/>
  <c r="DE622" i="2"/>
  <c r="DK622" i="2" s="1"/>
  <c r="AX629" i="2"/>
  <c r="BD633" i="2"/>
  <c r="CZ633" i="2"/>
  <c r="DD637" i="2"/>
  <c r="DE638" i="2"/>
  <c r="DK638" i="2" s="1"/>
  <c r="DD658" i="2"/>
  <c r="DG661" i="2"/>
  <c r="BG662" i="2"/>
  <c r="AV662" i="2"/>
  <c r="DB671" i="2"/>
  <c r="BE673" i="2"/>
  <c r="DI698" i="2"/>
  <c r="DL698" i="2" s="1"/>
  <c r="DH698" i="2"/>
  <c r="DG698" i="2"/>
  <c r="DF698" i="2"/>
  <c r="DE698" i="2"/>
  <c r="DK698" i="2" s="1"/>
  <c r="DC698" i="2"/>
  <c r="DB698" i="2"/>
  <c r="DA698" i="2"/>
  <c r="DJ698" i="2" s="1"/>
  <c r="CZ698" i="2"/>
  <c r="CY698" i="2"/>
  <c r="CX698" i="2"/>
  <c r="CY701" i="2"/>
  <c r="CX701" i="2"/>
  <c r="DI701" i="2"/>
  <c r="DL701" i="2" s="1"/>
  <c r="DH701" i="2"/>
  <c r="DG701" i="2"/>
  <c r="DF701" i="2"/>
  <c r="DE701" i="2"/>
  <c r="DK701" i="2" s="1"/>
  <c r="DD701" i="2"/>
  <c r="DC701" i="2"/>
  <c r="DB701" i="2"/>
  <c r="DA701" i="2"/>
  <c r="DJ701" i="2" s="1"/>
  <c r="AY708" i="2"/>
  <c r="BG714" i="2"/>
  <c r="BD714" i="2"/>
  <c r="AV714" i="2"/>
  <c r="BD616" i="2"/>
  <c r="BD632" i="2"/>
  <c r="BE642" i="2"/>
  <c r="DD651" i="2"/>
  <c r="CZ651" i="2"/>
  <c r="CY651" i="2"/>
  <c r="AV663" i="2"/>
  <c r="BF676" i="2"/>
  <c r="BD676" i="2"/>
  <c r="BC676" i="2"/>
  <c r="BE680" i="2"/>
  <c r="CY685" i="2"/>
  <c r="CX685" i="2"/>
  <c r="DI685" i="2"/>
  <c r="DL685" i="2" s="1"/>
  <c r="DH685" i="2"/>
  <c r="DF685" i="2"/>
  <c r="DE685" i="2"/>
  <c r="DK685" i="2" s="1"/>
  <c r="DD685" i="2"/>
  <c r="DC685" i="2"/>
  <c r="DB685" i="2"/>
  <c r="DA685" i="2"/>
  <c r="DJ685" i="2" s="1"/>
  <c r="AY827" i="2"/>
  <c r="BG705" i="2"/>
  <c r="BD705" i="2"/>
  <c r="AX705" i="2"/>
  <c r="AX611" i="2"/>
  <c r="AY612" i="2"/>
  <c r="AX627" i="2"/>
  <c r="AY628" i="2"/>
  <c r="BC654" i="2"/>
  <c r="AZ654" i="2"/>
  <c r="DA655" i="2"/>
  <c r="DJ655" i="2" s="1"/>
  <c r="DF661" i="2"/>
  <c r="DE661" i="2"/>
  <c r="DK661" i="2" s="1"/>
  <c r="DD661" i="2"/>
  <c r="DB661" i="2"/>
  <c r="CX661" i="2"/>
  <c r="DI661" i="2"/>
  <c r="DL661" i="2" s="1"/>
  <c r="CZ669" i="2"/>
  <c r="DA671" i="2"/>
  <c r="DJ671" i="2" s="1"/>
  <c r="CZ671" i="2"/>
  <c r="CY671" i="2"/>
  <c r="CX671" i="2"/>
  <c r="DH671" i="2"/>
  <c r="DG671" i="2"/>
  <c r="DF671" i="2"/>
  <c r="DE671" i="2"/>
  <c r="DK671" i="2" s="1"/>
  <c r="DD671" i="2"/>
  <c r="DC671" i="2"/>
  <c r="AY683" i="2"/>
  <c r="BE683" i="2"/>
  <c r="BC683" i="2"/>
  <c r="BF691" i="2"/>
  <c r="BC691" i="2"/>
  <c r="DA703" i="2"/>
  <c r="DJ703" i="2" s="1"/>
  <c r="CZ703" i="2"/>
  <c r="CY703" i="2"/>
  <c r="CX703" i="2"/>
  <c r="DI703" i="2"/>
  <c r="DL703" i="2" s="1"/>
  <c r="DH703" i="2"/>
  <c r="DG703" i="2"/>
  <c r="DF703" i="2"/>
  <c r="DE703" i="2"/>
  <c r="DK703" i="2" s="1"/>
  <c r="DD703" i="2"/>
  <c r="DC703" i="2"/>
  <c r="DA583" i="2"/>
  <c r="DJ583" i="2" s="1"/>
  <c r="AX594" i="2"/>
  <c r="BC597" i="2"/>
  <c r="DA599" i="2"/>
  <c r="DJ599" i="2" s="1"/>
  <c r="DC601" i="2"/>
  <c r="DE603" i="2"/>
  <c r="DK603" i="2" s="1"/>
  <c r="DH606" i="2"/>
  <c r="AX610" i="2"/>
  <c r="AY611" i="2"/>
  <c r="AZ612" i="2"/>
  <c r="BC613" i="2"/>
  <c r="CY613" i="2"/>
  <c r="CZ614" i="2"/>
  <c r="DC617" i="2"/>
  <c r="DE619" i="2"/>
  <c r="DK619" i="2" s="1"/>
  <c r="DG621" i="2"/>
  <c r="DH622" i="2"/>
  <c r="AX626" i="2"/>
  <c r="AY627" i="2"/>
  <c r="AZ628" i="2"/>
  <c r="BC629" i="2"/>
  <c r="CY629" i="2"/>
  <c r="CZ630" i="2"/>
  <c r="DC633" i="2"/>
  <c r="DG637" i="2"/>
  <c r="DH638" i="2"/>
  <c r="BC643" i="2"/>
  <c r="AV644" i="2"/>
  <c r="AX650" i="2"/>
  <c r="DA650" i="2"/>
  <c r="DJ650" i="2" s="1"/>
  <c r="AY652" i="2"/>
  <c r="AX652" i="2"/>
  <c r="BD652" i="2"/>
  <c r="DG652" i="2"/>
  <c r="BF654" i="2"/>
  <c r="DB655" i="2"/>
  <c r="BE657" i="2"/>
  <c r="CY660" i="2"/>
  <c r="DI666" i="2"/>
  <c r="DL666" i="2" s="1"/>
  <c r="DG666" i="2"/>
  <c r="DC666" i="2"/>
  <c r="DB666" i="2"/>
  <c r="DA666" i="2"/>
  <c r="DJ666" i="2" s="1"/>
  <c r="CZ666" i="2"/>
  <c r="CY666" i="2"/>
  <c r="CX666" i="2"/>
  <c r="DG669" i="2"/>
  <c r="DC673" i="2"/>
  <c r="DB673" i="2"/>
  <c r="DA673" i="2"/>
  <c r="DJ673" i="2" s="1"/>
  <c r="CZ673" i="2"/>
  <c r="CY673" i="2"/>
  <c r="CX673" i="2"/>
  <c r="DI673" i="2"/>
  <c r="DL673" i="2" s="1"/>
  <c r="DH673" i="2"/>
  <c r="DG673" i="2"/>
  <c r="DF673" i="2"/>
  <c r="DE673" i="2"/>
  <c r="DK673" i="2" s="1"/>
  <c r="DE675" i="2"/>
  <c r="DK675" i="2" s="1"/>
  <c r="DD675" i="2"/>
  <c r="DC675" i="2"/>
  <c r="DB675" i="2"/>
  <c r="DA675" i="2"/>
  <c r="DJ675" i="2" s="1"/>
  <c r="CZ675" i="2"/>
  <c r="CY675" i="2"/>
  <c r="CX675" i="2"/>
  <c r="DI675" i="2"/>
  <c r="DL675" i="2" s="1"/>
  <c r="DH675" i="2"/>
  <c r="DG675" i="2"/>
  <c r="AV687" i="2"/>
  <c r="BG687" i="2"/>
  <c r="DF692" i="2"/>
  <c r="DE692" i="2"/>
  <c r="DK692" i="2" s="1"/>
  <c r="DD692" i="2"/>
  <c r="DC692" i="2"/>
  <c r="DB692" i="2"/>
  <c r="DA692" i="2"/>
  <c r="DJ692" i="2" s="1"/>
  <c r="CZ692" i="2"/>
  <c r="CY692" i="2"/>
  <c r="DI692" i="2"/>
  <c r="DL692" i="2" s="1"/>
  <c r="DH692" i="2"/>
  <c r="BF708" i="2"/>
  <c r="BD708" i="2"/>
  <c r="BC708" i="2"/>
  <c r="AZ595" i="2"/>
  <c r="DD601" i="2"/>
  <c r="AX609" i="2"/>
  <c r="AZ611" i="2"/>
  <c r="BC612" i="2"/>
  <c r="CZ613" i="2"/>
  <c r="DA614" i="2"/>
  <c r="DJ614" i="2" s="1"/>
  <c r="DD617" i="2"/>
  <c r="DH621" i="2"/>
  <c r="AX625" i="2"/>
  <c r="AZ627" i="2"/>
  <c r="BC628" i="2"/>
  <c r="CZ629" i="2"/>
  <c r="DA630" i="2"/>
  <c r="DJ630" i="2" s="1"/>
  <c r="DD633" i="2"/>
  <c r="DH637" i="2"/>
  <c r="AX641" i="2"/>
  <c r="AV646" i="2"/>
  <c r="DI648" i="2"/>
  <c r="DL648" i="2" s="1"/>
  <c r="DG648" i="2"/>
  <c r="AY650" i="2"/>
  <c r="DB650" i="2"/>
  <c r="BE652" i="2"/>
  <c r="DH652" i="2"/>
  <c r="CY653" i="2"/>
  <c r="DE655" i="2"/>
  <c r="DK655" i="2" s="1"/>
  <c r="DB656" i="2"/>
  <c r="CY657" i="2"/>
  <c r="BG659" i="2"/>
  <c r="BD659" i="2"/>
  <c r="AV659" i="2"/>
  <c r="CZ660" i="2"/>
  <c r="DH669" i="2"/>
  <c r="DG677" i="2"/>
  <c r="DF677" i="2"/>
  <c r="DE677" i="2"/>
  <c r="DK677" i="2" s="1"/>
  <c r="DD677" i="2"/>
  <c r="DC677" i="2"/>
  <c r="DB677" i="2"/>
  <c r="DA677" i="2"/>
  <c r="DJ677" i="2" s="1"/>
  <c r="CZ677" i="2"/>
  <c r="CX677" i="2"/>
  <c r="DI677" i="2"/>
  <c r="DL677" i="2" s="1"/>
  <c r="AZ610" i="2"/>
  <c r="DA613" i="2"/>
  <c r="DJ613" i="2" s="1"/>
  <c r="DB614" i="2"/>
  <c r="DA629" i="2"/>
  <c r="DJ629" i="2" s="1"/>
  <c r="DB630" i="2"/>
  <c r="AY641" i="2"/>
  <c r="BG642" i="2"/>
  <c r="DF645" i="2"/>
  <c r="DD645" i="2"/>
  <c r="DI645" i="2"/>
  <c r="DL645" i="2" s="1"/>
  <c r="DG646" i="2"/>
  <c r="DE646" i="2"/>
  <c r="DK646" i="2" s="1"/>
  <c r="BD650" i="2"/>
  <c r="CZ653" i="2"/>
  <c r="DF655" i="2"/>
  <c r="AX657" i="2"/>
  <c r="BE658" i="2"/>
  <c r="BC658" i="2"/>
  <c r="DC658" i="2"/>
  <c r="DB658" i="2"/>
  <c r="DA658" i="2"/>
  <c r="DJ658" i="2" s="1"/>
  <c r="CY658" i="2"/>
  <c r="DI658" i="2"/>
  <c r="DL658" i="2" s="1"/>
  <c r="DG658" i="2"/>
  <c r="DF658" i="2"/>
  <c r="BD660" i="2"/>
  <c r="BD663" i="2"/>
  <c r="DH663" i="2"/>
  <c r="DG663" i="2"/>
  <c r="DF663" i="2"/>
  <c r="DD663" i="2"/>
  <c r="CZ663" i="2"/>
  <c r="CY663" i="2"/>
  <c r="CX663" i="2"/>
  <c r="AX666" i="2"/>
  <c r="BG666" i="2"/>
  <c r="BD666" i="2"/>
  <c r="AW667" i="2"/>
  <c r="DH667" i="2"/>
  <c r="DD667" i="2"/>
  <c r="DC667" i="2"/>
  <c r="DB667" i="2"/>
  <c r="DA667" i="2"/>
  <c r="DJ667" i="2" s="1"/>
  <c r="CZ667" i="2"/>
  <c r="CY667" i="2"/>
  <c r="AY668" i="2"/>
  <c r="BD670" i="2"/>
  <c r="AY685" i="2"/>
  <c r="BG691" i="2"/>
  <c r="DH694" i="2"/>
  <c r="DG694" i="2"/>
  <c r="DF694" i="2"/>
  <c r="DE694" i="2"/>
  <c r="DK694" i="2" s="1"/>
  <c r="DD694" i="2"/>
  <c r="DC694" i="2"/>
  <c r="DB694" i="2"/>
  <c r="DA694" i="2"/>
  <c r="DJ694" i="2" s="1"/>
  <c r="CY694" i="2"/>
  <c r="CX694" i="2"/>
  <c r="BE697" i="2"/>
  <c r="AX698" i="2"/>
  <c r="BG698" i="2"/>
  <c r="BD698" i="2"/>
  <c r="DI699" i="2"/>
  <c r="DL699" i="2" s="1"/>
  <c r="DH699" i="2"/>
  <c r="DG699" i="2"/>
  <c r="DF699" i="2"/>
  <c r="DE699" i="2"/>
  <c r="DK699" i="2" s="1"/>
  <c r="DD699" i="2"/>
  <c r="DC699" i="2"/>
  <c r="DB699" i="2"/>
  <c r="DA699" i="2"/>
  <c r="DJ699" i="2" s="1"/>
  <c r="CZ699" i="2"/>
  <c r="CY699" i="2"/>
  <c r="BE706" i="2"/>
  <c r="BC706" i="2"/>
  <c r="AZ706" i="2"/>
  <c r="AY706" i="2"/>
  <c r="BE709" i="2"/>
  <c r="BF719" i="2"/>
  <c r="AV719" i="2"/>
  <c r="BG654" i="2"/>
  <c r="BC663" i="2"/>
  <c r="AZ663" i="2"/>
  <c r="BE666" i="2"/>
  <c r="BC666" i="2"/>
  <c r="AZ666" i="2"/>
  <c r="AY667" i="2"/>
  <c r="BE667" i="2"/>
  <c r="BC667" i="2"/>
  <c r="CY669" i="2"/>
  <c r="CX669" i="2"/>
  <c r="DF669" i="2"/>
  <c r="DE669" i="2"/>
  <c r="DK669" i="2" s="1"/>
  <c r="DD669" i="2"/>
  <c r="DC669" i="2"/>
  <c r="DB669" i="2"/>
  <c r="DA669" i="2"/>
  <c r="DJ669" i="2" s="1"/>
  <c r="AW675" i="2"/>
  <c r="BG678" i="2"/>
  <c r="AV678" i="2"/>
  <c r="DI679" i="2"/>
  <c r="DL679" i="2" s="1"/>
  <c r="DH679" i="2"/>
  <c r="DG679" i="2"/>
  <c r="DF679" i="2"/>
  <c r="DE679" i="2"/>
  <c r="DK679" i="2" s="1"/>
  <c r="DD679" i="2"/>
  <c r="DC679" i="2"/>
  <c r="DB679" i="2"/>
  <c r="CZ679" i="2"/>
  <c r="CY679" i="2"/>
  <c r="CX679" i="2"/>
  <c r="BE690" i="2"/>
  <c r="BC690" i="2"/>
  <c r="AZ690" i="2"/>
  <c r="AY690" i="2"/>
  <c r="AW690" i="2" s="1"/>
  <c r="DB654" i="2"/>
  <c r="BD668" i="2"/>
  <c r="CZ668" i="2"/>
  <c r="BE669" i="2"/>
  <c r="DB670" i="2"/>
  <c r="DD672" i="2"/>
  <c r="DF674" i="2"/>
  <c r="AX680" i="2"/>
  <c r="AY681" i="2"/>
  <c r="AZ682" i="2"/>
  <c r="BD684" i="2"/>
  <c r="CZ684" i="2"/>
  <c r="BE685" i="2"/>
  <c r="DB686" i="2"/>
  <c r="DD688" i="2"/>
  <c r="DF690" i="2"/>
  <c r="AX696" i="2"/>
  <c r="AY697" i="2"/>
  <c r="AW697" i="2" s="1"/>
  <c r="AZ698" i="2"/>
  <c r="BC699" i="2"/>
  <c r="BD700" i="2"/>
  <c r="CZ700" i="2"/>
  <c r="BE701" i="2"/>
  <c r="DB702" i="2"/>
  <c r="BG703" i="2"/>
  <c r="DD704" i="2"/>
  <c r="DF706" i="2"/>
  <c r="DH708" i="2"/>
  <c r="AX709" i="2"/>
  <c r="DD710" i="2"/>
  <c r="BC711" i="2"/>
  <c r="CY711" i="2"/>
  <c r="CY714" i="2"/>
  <c r="CX714" i="2"/>
  <c r="BE716" i="2"/>
  <c r="BC716" i="2"/>
  <c r="BF718" i="2"/>
  <c r="DD719" i="2"/>
  <c r="DC719" i="2"/>
  <c r="DB719" i="2"/>
  <c r="CZ719" i="2"/>
  <c r="DH719" i="2"/>
  <c r="DG719" i="2"/>
  <c r="BG720" i="2"/>
  <c r="BD721" i="2"/>
  <c r="BG722" i="2"/>
  <c r="BE728" i="2"/>
  <c r="BC737" i="2"/>
  <c r="AY737" i="2"/>
  <c r="CZ740" i="2"/>
  <c r="DF740" i="2"/>
  <c r="DE740" i="2"/>
  <c r="DK740" i="2" s="1"/>
  <c r="DD740" i="2"/>
  <c r="DB740" i="2"/>
  <c r="DA740" i="2"/>
  <c r="DJ740" i="2" s="1"/>
  <c r="CX740" i="2"/>
  <c r="DI740" i="2"/>
  <c r="DL740" i="2" s="1"/>
  <c r="DH740" i="2"/>
  <c r="BD651" i="2"/>
  <c r="AX663" i="2"/>
  <c r="BD667" i="2"/>
  <c r="DA668" i="2"/>
  <c r="DJ668" i="2" s="1"/>
  <c r="DE672" i="2"/>
  <c r="DK672" i="2" s="1"/>
  <c r="DG674" i="2"/>
  <c r="AX679" i="2"/>
  <c r="AY680" i="2"/>
  <c r="AZ681" i="2"/>
  <c r="BC682" i="2"/>
  <c r="BD683" i="2"/>
  <c r="DA684" i="2"/>
  <c r="DJ684" i="2" s="1"/>
  <c r="BG686" i="2"/>
  <c r="DE688" i="2"/>
  <c r="DK688" i="2" s="1"/>
  <c r="DG690" i="2"/>
  <c r="AX695" i="2"/>
  <c r="AY696" i="2"/>
  <c r="AZ697" i="2"/>
  <c r="BC698" i="2"/>
  <c r="BD699" i="2"/>
  <c r="DA700" i="2"/>
  <c r="DJ700" i="2" s="1"/>
  <c r="BG702" i="2"/>
  <c r="DE704" i="2"/>
  <c r="DK704" i="2" s="1"/>
  <c r="DG706" i="2"/>
  <c r="DI708" i="2"/>
  <c r="DL708" i="2" s="1"/>
  <c r="AY709" i="2"/>
  <c r="DE710" i="2"/>
  <c r="DK710" i="2" s="1"/>
  <c r="BD711" i="2"/>
  <c r="CZ711" i="2"/>
  <c r="AV715" i="2"/>
  <c r="DC718" i="2"/>
  <c r="DB718" i="2"/>
  <c r="DA718" i="2"/>
  <c r="DJ718" i="2" s="1"/>
  <c r="CY718" i="2"/>
  <c r="DF718" i="2"/>
  <c r="BE723" i="2"/>
  <c r="BC723" i="2"/>
  <c r="AY723" i="2"/>
  <c r="DH723" i="2"/>
  <c r="DG723" i="2"/>
  <c r="DF723" i="2"/>
  <c r="DD723" i="2"/>
  <c r="DA723" i="2"/>
  <c r="DJ723" i="2" s="1"/>
  <c r="CY723" i="2"/>
  <c r="BG725" i="2"/>
  <c r="AY725" i="2"/>
  <c r="AX725" i="2"/>
  <c r="CY731" i="2"/>
  <c r="CX731" i="2"/>
  <c r="DH731" i="2"/>
  <c r="DF731" i="2"/>
  <c r="DE731" i="2"/>
  <c r="DK731" i="2" s="1"/>
  <c r="DD731" i="2"/>
  <c r="DC731" i="2"/>
  <c r="DB731" i="2"/>
  <c r="DA731" i="2"/>
  <c r="DJ731" i="2" s="1"/>
  <c r="DC736" i="2"/>
  <c r="DB736" i="2"/>
  <c r="DA736" i="2"/>
  <c r="DJ736" i="2" s="1"/>
  <c r="CY736" i="2"/>
  <c r="CX736" i="2"/>
  <c r="DI736" i="2"/>
  <c r="DL736" i="2" s="1"/>
  <c r="DH736" i="2"/>
  <c r="DG736" i="2"/>
  <c r="DF736" i="2"/>
  <c r="DE736" i="2"/>
  <c r="DK736" i="2" s="1"/>
  <c r="BG743" i="2"/>
  <c r="AV743" i="2"/>
  <c r="AW761" i="2"/>
  <c r="AY663" i="2"/>
  <c r="AZ664" i="2"/>
  <c r="DF672" i="2"/>
  <c r="DH674" i="2"/>
  <c r="AX678" i="2"/>
  <c r="AY679" i="2"/>
  <c r="AZ680" i="2"/>
  <c r="BC681" i="2"/>
  <c r="BG685" i="2"/>
  <c r="DF688" i="2"/>
  <c r="DH690" i="2"/>
  <c r="AX694" i="2"/>
  <c r="AY695" i="2"/>
  <c r="AZ696" i="2"/>
  <c r="BC697" i="2"/>
  <c r="BE699" i="2"/>
  <c r="BF700" i="2"/>
  <c r="DB700" i="2"/>
  <c r="BG701" i="2"/>
  <c r="DF704" i="2"/>
  <c r="DH706" i="2"/>
  <c r="AV708" i="2"/>
  <c r="AZ709" i="2"/>
  <c r="CX709" i="2"/>
  <c r="DF710" i="2"/>
  <c r="BE711" i="2"/>
  <c r="AZ712" i="2"/>
  <c r="BE725" i="2"/>
  <c r="BC725" i="2"/>
  <c r="AZ725" i="2"/>
  <c r="CX730" i="2"/>
  <c r="DI730" i="2"/>
  <c r="DL730" i="2" s="1"/>
  <c r="DG730" i="2"/>
  <c r="DE730" i="2"/>
  <c r="DK730" i="2" s="1"/>
  <c r="DD730" i="2"/>
  <c r="DC730" i="2"/>
  <c r="DB730" i="2"/>
  <c r="DA730" i="2"/>
  <c r="DJ730" i="2" s="1"/>
  <c r="CZ730" i="2"/>
  <c r="BD732" i="2"/>
  <c r="CZ831" i="2"/>
  <c r="DF831" i="2"/>
  <c r="DE831" i="2"/>
  <c r="DK831" i="2" s="1"/>
  <c r="DD831" i="2"/>
  <c r="DC831" i="2"/>
  <c r="DB831" i="2"/>
  <c r="DA831" i="2"/>
  <c r="DJ831" i="2" s="1"/>
  <c r="CY831" i="2"/>
  <c r="CX831" i="2"/>
  <c r="DI831" i="2"/>
  <c r="DL831" i="2" s="1"/>
  <c r="DH831" i="2"/>
  <c r="DG831" i="2"/>
  <c r="BC664" i="2"/>
  <c r="CY664" i="2"/>
  <c r="DC668" i="2"/>
  <c r="DG672" i="2"/>
  <c r="DI674" i="2"/>
  <c r="DL674" i="2" s="1"/>
  <c r="AV675" i="2"/>
  <c r="AY678" i="2"/>
  <c r="AZ679" i="2"/>
  <c r="BC680" i="2"/>
  <c r="CY680" i="2"/>
  <c r="DC684" i="2"/>
  <c r="DG688" i="2"/>
  <c r="DI690" i="2"/>
  <c r="DL690" i="2" s="1"/>
  <c r="AV691" i="2"/>
  <c r="AY694" i="2"/>
  <c r="AZ695" i="2"/>
  <c r="BC696" i="2"/>
  <c r="CY696" i="2"/>
  <c r="DC700" i="2"/>
  <c r="DG704" i="2"/>
  <c r="DI706" i="2"/>
  <c r="DL706" i="2" s="1"/>
  <c r="AV707" i="2"/>
  <c r="BC709" i="2"/>
  <c r="CY709" i="2"/>
  <c r="DG710" i="2"/>
  <c r="DB711" i="2"/>
  <c r="BC712" i="2"/>
  <c r="CY712" i="2"/>
  <c r="BG718" i="2"/>
  <c r="AV718" i="2"/>
  <c r="AY721" i="2"/>
  <c r="DI727" i="2"/>
  <c r="DL727" i="2" s="1"/>
  <c r="DG727" i="2"/>
  <c r="DD727" i="2"/>
  <c r="DB727" i="2"/>
  <c r="DA727" i="2"/>
  <c r="DJ727" i="2" s="1"/>
  <c r="CZ727" i="2"/>
  <c r="CY727" i="2"/>
  <c r="CX727" i="2"/>
  <c r="BC730" i="2"/>
  <c r="AY731" i="2"/>
  <c r="AW731" i="2" s="1"/>
  <c r="BC732" i="2"/>
  <c r="CY735" i="2"/>
  <c r="BF738" i="2"/>
  <c r="DI744" i="2"/>
  <c r="DL744" i="2" s="1"/>
  <c r="DD744" i="2"/>
  <c r="DA744" i="2"/>
  <c r="DJ744" i="2" s="1"/>
  <c r="CZ744" i="2"/>
  <c r="CY744" i="2"/>
  <c r="CX744" i="2"/>
  <c r="DH744" i="2"/>
  <c r="DG744" i="2"/>
  <c r="DF744" i="2"/>
  <c r="DE744" i="2"/>
  <c r="DK744" i="2" s="1"/>
  <c r="DC744" i="2"/>
  <c r="CX749" i="2"/>
  <c r="DI749" i="2"/>
  <c r="DL749" i="2" s="1"/>
  <c r="DH749" i="2"/>
  <c r="DG749" i="2"/>
  <c r="DF749" i="2"/>
  <c r="DE749" i="2"/>
  <c r="DK749" i="2" s="1"/>
  <c r="DD749" i="2"/>
  <c r="DC749" i="2"/>
  <c r="DB749" i="2"/>
  <c r="DA749" i="2"/>
  <c r="DJ749" i="2" s="1"/>
  <c r="CZ749" i="2"/>
  <c r="CY749" i="2"/>
  <c r="AV658" i="2"/>
  <c r="AX660" i="2"/>
  <c r="AY661" i="2"/>
  <c r="CZ664" i="2"/>
  <c r="DD668" i="2"/>
  <c r="DH672" i="2"/>
  <c r="AV674" i="2"/>
  <c r="AX676" i="2"/>
  <c r="AY677" i="2"/>
  <c r="BD680" i="2"/>
  <c r="CZ680" i="2"/>
  <c r="BF682" i="2"/>
  <c r="BG683" i="2"/>
  <c r="DD684" i="2"/>
  <c r="DH688" i="2"/>
  <c r="AV690" i="2"/>
  <c r="AX692" i="2"/>
  <c r="AY693" i="2"/>
  <c r="BD696" i="2"/>
  <c r="CZ696" i="2"/>
  <c r="BF698" i="2"/>
  <c r="BG699" i="2"/>
  <c r="DD700" i="2"/>
  <c r="DH704" i="2"/>
  <c r="AV706" i="2"/>
  <c r="AW707" i="2"/>
  <c r="AX708" i="2"/>
  <c r="BD709" i="2"/>
  <c r="CZ709" i="2"/>
  <c r="DH710" i="2"/>
  <c r="BG711" i="2"/>
  <c r="DC711" i="2"/>
  <c r="BD712" i="2"/>
  <c r="BC713" i="2"/>
  <c r="AV716" i="2"/>
  <c r="DF721" i="2"/>
  <c r="DE721" i="2"/>
  <c r="DK721" i="2" s="1"/>
  <c r="DD721" i="2"/>
  <c r="DB721" i="2"/>
  <c r="CY721" i="2"/>
  <c r="DI721" i="2"/>
  <c r="DL721" i="2" s="1"/>
  <c r="DH721" i="2"/>
  <c r="AV724" i="2"/>
  <c r="DI729" i="2"/>
  <c r="DL729" i="2" s="1"/>
  <c r="DH729" i="2"/>
  <c r="DF729" i="2"/>
  <c r="DD729" i="2"/>
  <c r="DC729" i="2"/>
  <c r="DB729" i="2"/>
  <c r="DA729" i="2"/>
  <c r="DJ729" i="2" s="1"/>
  <c r="CZ729" i="2"/>
  <c r="CY729" i="2"/>
  <c r="BC731" i="2"/>
  <c r="CY662" i="2"/>
  <c r="DA664" i="2"/>
  <c r="DJ664" i="2" s="1"/>
  <c r="DI672" i="2"/>
  <c r="DL672" i="2" s="1"/>
  <c r="DA680" i="2"/>
  <c r="DJ680" i="2" s="1"/>
  <c r="DI688" i="2"/>
  <c r="DL688" i="2" s="1"/>
  <c r="DA696" i="2"/>
  <c r="DJ696" i="2" s="1"/>
  <c r="DI704" i="2"/>
  <c r="DL704" i="2" s="1"/>
  <c r="DA709" i="2"/>
  <c r="DJ709" i="2" s="1"/>
  <c r="AV710" i="2"/>
  <c r="DI710" i="2"/>
  <c r="DL710" i="2" s="1"/>
  <c r="AW711" i="2"/>
  <c r="AX714" i="2"/>
  <c r="DA716" i="2"/>
  <c r="DJ716" i="2" s="1"/>
  <c r="CZ716" i="2"/>
  <c r="CY716" i="2"/>
  <c r="BF721" i="2"/>
  <c r="CY722" i="2"/>
  <c r="BC724" i="2"/>
  <c r="BE727" i="2"/>
  <c r="BC727" i="2"/>
  <c r="AZ727" i="2"/>
  <c r="AY727" i="2"/>
  <c r="DH728" i="2"/>
  <c r="DE728" i="2"/>
  <c r="DK728" i="2" s="1"/>
  <c r="DC728" i="2"/>
  <c r="DB728" i="2"/>
  <c r="DA728" i="2"/>
  <c r="DJ728" i="2" s="1"/>
  <c r="CZ728" i="2"/>
  <c r="CY728" i="2"/>
  <c r="CX728" i="2"/>
  <c r="AY729" i="2"/>
  <c r="BF731" i="2"/>
  <c r="AV733" i="2"/>
  <c r="BG733" i="2"/>
  <c r="AW736" i="2"/>
  <c r="CZ739" i="2"/>
  <c r="DA739" i="2"/>
  <c r="DJ739" i="2" s="1"/>
  <c r="CY739" i="2"/>
  <c r="CX739" i="2"/>
  <c r="DI739" i="2"/>
  <c r="DL739" i="2" s="1"/>
  <c r="DH739" i="2"/>
  <c r="DG739" i="2"/>
  <c r="DF739" i="2"/>
  <c r="DE739" i="2"/>
  <c r="DK739" i="2" s="1"/>
  <c r="DD739" i="2"/>
  <c r="DC739" i="2"/>
  <c r="BC742" i="2"/>
  <c r="BF754" i="2"/>
  <c r="AV754" i="2"/>
  <c r="BE729" i="2"/>
  <c r="BC729" i="2"/>
  <c r="DB735" i="2"/>
  <c r="DA735" i="2"/>
  <c r="DJ735" i="2" s="1"/>
  <c r="CZ735" i="2"/>
  <c r="CX735" i="2"/>
  <c r="DI735" i="2"/>
  <c r="DL735" i="2" s="1"/>
  <c r="DH735" i="2"/>
  <c r="DG735" i="2"/>
  <c r="DF735" i="2"/>
  <c r="DE735" i="2"/>
  <c r="DK735" i="2" s="1"/>
  <c r="DD735" i="2"/>
  <c r="AW740" i="2"/>
  <c r="AW672" i="2"/>
  <c r="AW688" i="2"/>
  <c r="AW704" i="2"/>
  <c r="CY708" i="2"/>
  <c r="BD715" i="2"/>
  <c r="AX715" i="2"/>
  <c r="AX728" i="2"/>
  <c r="BD728" i="2"/>
  <c r="CZ708" i="2"/>
  <c r="AW710" i="2"/>
  <c r="AY712" i="2"/>
  <c r="AX712" i="2"/>
  <c r="BC715" i="2"/>
  <c r="AZ715" i="2"/>
  <c r="BC720" i="2"/>
  <c r="BD724" i="2"/>
  <c r="AY724" i="2"/>
  <c r="AX724" i="2"/>
  <c r="BD727" i="2"/>
  <c r="BC728" i="2"/>
  <c r="AV731" i="2"/>
  <c r="BG731" i="2"/>
  <c r="BG739" i="2"/>
  <c r="DA741" i="2"/>
  <c r="DJ741" i="2" s="1"/>
  <c r="DH741" i="2"/>
  <c r="DG741" i="2"/>
  <c r="DE741" i="2"/>
  <c r="DK741" i="2" s="1"/>
  <c r="DD741" i="2"/>
  <c r="DC741" i="2"/>
  <c r="DB741" i="2"/>
  <c r="CZ741" i="2"/>
  <c r="CY741" i="2"/>
  <c r="CX741" i="2"/>
  <c r="DE745" i="2"/>
  <c r="DK745" i="2" s="1"/>
  <c r="DI745" i="2"/>
  <c r="DL745" i="2" s="1"/>
  <c r="DH745" i="2"/>
  <c r="DG745" i="2"/>
  <c r="DF745" i="2"/>
  <c r="DD745" i="2"/>
  <c r="DC745" i="2"/>
  <c r="DB745" i="2"/>
  <c r="DA745" i="2"/>
  <c r="DJ745" i="2" s="1"/>
  <c r="CZ745" i="2"/>
  <c r="CY745" i="2"/>
  <c r="CX745" i="2"/>
  <c r="DH759" i="2"/>
  <c r="DG759" i="2"/>
  <c r="DF759" i="2"/>
  <c r="DD759" i="2"/>
  <c r="DC759" i="2"/>
  <c r="DB759" i="2"/>
  <c r="DA759" i="2"/>
  <c r="DJ759" i="2" s="1"/>
  <c r="CY759" i="2"/>
  <c r="DI759" i="2"/>
  <c r="DL759" i="2" s="1"/>
  <c r="DE759" i="2"/>
  <c r="DK759" i="2" s="1"/>
  <c r="CZ759" i="2"/>
  <c r="CX759" i="2"/>
  <c r="CY674" i="2"/>
  <c r="BD675" i="2"/>
  <c r="CY690" i="2"/>
  <c r="BD691" i="2"/>
  <c r="CY706" i="2"/>
  <c r="BD707" i="2"/>
  <c r="DA708" i="2"/>
  <c r="DJ708" i="2" s="1"/>
  <c r="AY713" i="2"/>
  <c r="AX713" i="2"/>
  <c r="BD717" i="2"/>
  <c r="BD720" i="2"/>
  <c r="AV727" i="2"/>
  <c r="BF728" i="2"/>
  <c r="AV730" i="2"/>
  <c r="CY738" i="2"/>
  <c r="DI738" i="2"/>
  <c r="DL738" i="2" s="1"/>
  <c r="DG738" i="2"/>
  <c r="DF738" i="2"/>
  <c r="DD738" i="2"/>
  <c r="DC738" i="2"/>
  <c r="DB738" i="2"/>
  <c r="DA738" i="2"/>
  <c r="DJ738" i="2" s="1"/>
  <c r="CZ738" i="2"/>
  <c r="CX738" i="2"/>
  <c r="BE744" i="2"/>
  <c r="DH775" i="2"/>
  <c r="DG775" i="2"/>
  <c r="DF775" i="2"/>
  <c r="DE775" i="2"/>
  <c r="DK775" i="2" s="1"/>
  <c r="DD775" i="2"/>
  <c r="DC775" i="2"/>
  <c r="DB775" i="2"/>
  <c r="DA775" i="2"/>
  <c r="DJ775" i="2" s="1"/>
  <c r="CZ775" i="2"/>
  <c r="CY775" i="2"/>
  <c r="CX775" i="2"/>
  <c r="DI775" i="2"/>
  <c r="DL775" i="2" s="1"/>
  <c r="DB708" i="2"/>
  <c r="AY714" i="2"/>
  <c r="BE717" i="2"/>
  <c r="AZ717" i="2"/>
  <c r="AZ719" i="2"/>
  <c r="DG722" i="2"/>
  <c r="DF722" i="2"/>
  <c r="DE722" i="2"/>
  <c r="DK722" i="2" s="1"/>
  <c r="DC722" i="2"/>
  <c r="CZ722" i="2"/>
  <c r="CX722" i="2"/>
  <c r="DI722" i="2"/>
  <c r="DL722" i="2" s="1"/>
  <c r="DB734" i="2"/>
  <c r="DA734" i="2"/>
  <c r="DJ734" i="2" s="1"/>
  <c r="CZ734" i="2"/>
  <c r="CX734" i="2"/>
  <c r="DI734" i="2"/>
  <c r="DL734" i="2" s="1"/>
  <c r="DH734" i="2"/>
  <c r="DG734" i="2"/>
  <c r="DF734" i="2"/>
  <c r="DE734" i="2"/>
  <c r="DK734" i="2" s="1"/>
  <c r="DD734" i="2"/>
  <c r="BE735" i="2"/>
  <c r="BG736" i="2"/>
  <c r="BC656" i="2"/>
  <c r="DE662" i="2"/>
  <c r="DK662" i="2" s="1"/>
  <c r="DG664" i="2"/>
  <c r="AX669" i="2"/>
  <c r="AY670" i="2"/>
  <c r="AZ671" i="2"/>
  <c r="BC672" i="2"/>
  <c r="CY672" i="2"/>
  <c r="DA674" i="2"/>
  <c r="DJ674" i="2" s="1"/>
  <c r="DG680" i="2"/>
  <c r="AX685" i="2"/>
  <c r="AY686" i="2"/>
  <c r="AZ687" i="2"/>
  <c r="BC688" i="2"/>
  <c r="CY688" i="2"/>
  <c r="DA690" i="2"/>
  <c r="DJ690" i="2" s="1"/>
  <c r="DG696" i="2"/>
  <c r="AX701" i="2"/>
  <c r="AY702" i="2"/>
  <c r="AZ703" i="2"/>
  <c r="AW703" i="2" s="1"/>
  <c r="BC704" i="2"/>
  <c r="CY704" i="2"/>
  <c r="DA706" i="2"/>
  <c r="DJ706" i="2" s="1"/>
  <c r="DC708" i="2"/>
  <c r="DG709" i="2"/>
  <c r="BC710" i="2"/>
  <c r="CY710" i="2"/>
  <c r="BC714" i="2"/>
  <c r="AZ714" i="2"/>
  <c r="DG714" i="2"/>
  <c r="CZ715" i="2"/>
  <c r="CY715" i="2"/>
  <c r="CX715" i="2"/>
  <c r="DI715" i="2"/>
  <c r="DL715" i="2" s="1"/>
  <c r="DC716" i="2"/>
  <c r="BF717" i="2"/>
  <c r="AY718" i="2"/>
  <c r="DE718" i="2"/>
  <c r="DK718" i="2" s="1"/>
  <c r="BC719" i="2"/>
  <c r="DF719" i="2"/>
  <c r="DE720" i="2"/>
  <c r="DK720" i="2" s="1"/>
  <c r="DD720" i="2"/>
  <c r="DC720" i="2"/>
  <c r="DA720" i="2"/>
  <c r="DJ720" i="2" s="1"/>
  <c r="CX720" i="2"/>
  <c r="DI720" i="2"/>
  <c r="DL720" i="2" s="1"/>
  <c r="DH720" i="2"/>
  <c r="BD722" i="2"/>
  <c r="AX722" i="2"/>
  <c r="CZ723" i="2"/>
  <c r="BG726" i="2"/>
  <c r="BD726" i="2"/>
  <c r="AX726" i="2"/>
  <c r="BF735" i="2"/>
  <c r="DI760" i="2"/>
  <c r="DL760" i="2" s="1"/>
  <c r="DH760" i="2"/>
  <c r="DG760" i="2"/>
  <c r="DE760" i="2"/>
  <c r="DK760" i="2" s="1"/>
  <c r="DD760" i="2"/>
  <c r="DC760" i="2"/>
  <c r="DB760" i="2"/>
  <c r="CZ760" i="2"/>
  <c r="DF760" i="2"/>
  <c r="DA760" i="2"/>
  <c r="DJ760" i="2" s="1"/>
  <c r="CY760" i="2"/>
  <c r="CX760" i="2"/>
  <c r="DH664" i="2"/>
  <c r="AX668" i="2"/>
  <c r="AZ670" i="2"/>
  <c r="BC671" i="2"/>
  <c r="CZ672" i="2"/>
  <c r="DB674" i="2"/>
  <c r="DH680" i="2"/>
  <c r="AX684" i="2"/>
  <c r="AZ686" i="2"/>
  <c r="BC687" i="2"/>
  <c r="CZ688" i="2"/>
  <c r="DB690" i="2"/>
  <c r="DH696" i="2"/>
  <c r="AX700" i="2"/>
  <c r="AZ702" i="2"/>
  <c r="CZ704" i="2"/>
  <c r="DB706" i="2"/>
  <c r="DD708" i="2"/>
  <c r="DH709" i="2"/>
  <c r="CZ710" i="2"/>
  <c r="DD716" i="2"/>
  <c r="DG718" i="2"/>
  <c r="DI719" i="2"/>
  <c r="DL719" i="2" s="1"/>
  <c r="BE720" i="2"/>
  <c r="AZ723" i="2"/>
  <c r="DB723" i="2"/>
  <c r="BE726" i="2"/>
  <c r="BC726" i="2"/>
  <c r="AZ726" i="2"/>
  <c r="AV728" i="2"/>
  <c r="BG728" i="2"/>
  <c r="BG738" i="2"/>
  <c r="BD738" i="2"/>
  <c r="AY738" i="2"/>
  <c r="AX738" i="2"/>
  <c r="BD743" i="2"/>
  <c r="DA672" i="2"/>
  <c r="DJ672" i="2" s="1"/>
  <c r="DC674" i="2"/>
  <c r="DA688" i="2"/>
  <c r="DJ688" i="2" s="1"/>
  <c r="DC690" i="2"/>
  <c r="DA704" i="2"/>
  <c r="DJ704" i="2" s="1"/>
  <c r="DC706" i="2"/>
  <c r="DE708" i="2"/>
  <c r="DK708" i="2" s="1"/>
  <c r="AV709" i="2"/>
  <c r="DA710" i="2"/>
  <c r="DJ710" i="2" s="1"/>
  <c r="DI714" i="2"/>
  <c r="DL714" i="2" s="1"/>
  <c r="DE716" i="2"/>
  <c r="DK716" i="2" s="1"/>
  <c r="DB717" i="2"/>
  <c r="DA717" i="2"/>
  <c r="DJ717" i="2" s="1"/>
  <c r="CZ717" i="2"/>
  <c r="CX717" i="2"/>
  <c r="BD718" i="2"/>
  <c r="DH718" i="2"/>
  <c r="BD719" i="2"/>
  <c r="CX721" i="2"/>
  <c r="DC723" i="2"/>
  <c r="CZ731" i="2"/>
  <c r="AZ737" i="2"/>
  <c r="CY740" i="2"/>
  <c r="BE741" i="2"/>
  <c r="BC741" i="2"/>
  <c r="AZ741" i="2"/>
  <c r="AY741" i="2"/>
  <c r="AW721" i="2"/>
  <c r="DC740" i="2"/>
  <c r="BF741" i="2"/>
  <c r="AY799" i="2"/>
  <c r="BD799" i="2"/>
  <c r="AX799" i="2"/>
  <c r="BD730" i="2"/>
  <c r="BE731" i="2"/>
  <c r="BE742" i="2"/>
  <c r="DC742" i="2"/>
  <c r="DD746" i="2"/>
  <c r="AZ747" i="2"/>
  <c r="DB748" i="2"/>
  <c r="DB751" i="2"/>
  <c r="CY752" i="2"/>
  <c r="DC754" i="2"/>
  <c r="DB754" i="2"/>
  <c r="CZ754" i="2"/>
  <c r="CY754" i="2"/>
  <c r="CX754" i="2"/>
  <c r="BE755" i="2"/>
  <c r="BC755" i="2"/>
  <c r="AZ755" i="2"/>
  <c r="BD756" i="2"/>
  <c r="AX757" i="2"/>
  <c r="CX764" i="2"/>
  <c r="CZ767" i="2"/>
  <c r="CY767" i="2"/>
  <c r="CX767" i="2"/>
  <c r="DI767" i="2"/>
  <c r="DL767" i="2" s="1"/>
  <c r="DH767" i="2"/>
  <c r="DG767" i="2"/>
  <c r="DD767" i="2"/>
  <c r="DB767" i="2"/>
  <c r="BD768" i="2"/>
  <c r="AY768" i="2"/>
  <c r="AX768" i="2"/>
  <c r="DB769" i="2"/>
  <c r="DA769" i="2"/>
  <c r="DJ769" i="2" s="1"/>
  <c r="CZ769" i="2"/>
  <c r="CY769" i="2"/>
  <c r="CX769" i="2"/>
  <c r="DI769" i="2"/>
  <c r="DL769" i="2" s="1"/>
  <c r="DF769" i="2"/>
  <c r="DD769" i="2"/>
  <c r="BD770" i="2"/>
  <c r="AY770" i="2"/>
  <c r="AX770" i="2"/>
  <c r="BC776" i="2"/>
  <c r="AZ776" i="2"/>
  <c r="DD787" i="2"/>
  <c r="DC787" i="2"/>
  <c r="DB787" i="2"/>
  <c r="DA787" i="2"/>
  <c r="DJ787" i="2" s="1"/>
  <c r="CZ787" i="2"/>
  <c r="CY787" i="2"/>
  <c r="CX787" i="2"/>
  <c r="DI787" i="2"/>
  <c r="DL787" i="2" s="1"/>
  <c r="DH787" i="2"/>
  <c r="DG787" i="2"/>
  <c r="DF787" i="2"/>
  <c r="BF801" i="2"/>
  <c r="DI803" i="2"/>
  <c r="DL803" i="2" s="1"/>
  <c r="DG803" i="2"/>
  <c r="DF803" i="2"/>
  <c r="DC803" i="2"/>
  <c r="DA803" i="2"/>
  <c r="DJ803" i="2" s="1"/>
  <c r="CY803" i="2"/>
  <c r="CX803" i="2"/>
  <c r="DH803" i="2"/>
  <c r="DE803" i="2"/>
  <c r="DK803" i="2" s="1"/>
  <c r="DD803" i="2"/>
  <c r="DB803" i="2"/>
  <c r="AV722" i="2"/>
  <c r="AY726" i="2"/>
  <c r="BD729" i="2"/>
  <c r="BE730" i="2"/>
  <c r="BG732" i="2"/>
  <c r="DH737" i="2"/>
  <c r="BG742" i="2"/>
  <c r="DD742" i="2"/>
  <c r="AX745" i="2"/>
  <c r="DE746" i="2"/>
  <c r="DK746" i="2" s="1"/>
  <c r="DC748" i="2"/>
  <c r="DC751" i="2"/>
  <c r="DB752" i="2"/>
  <c r="DD755" i="2"/>
  <c r="DC755" i="2"/>
  <c r="DA755" i="2"/>
  <c r="DJ755" i="2" s="1"/>
  <c r="CZ755" i="2"/>
  <c r="CY755" i="2"/>
  <c r="CX755" i="2"/>
  <c r="AY757" i="2"/>
  <c r="CZ764" i="2"/>
  <c r="DI737" i="2"/>
  <c r="DL737" i="2" s="1"/>
  <c r="BD739" i="2"/>
  <c r="DE742" i="2"/>
  <c r="DK742" i="2" s="1"/>
  <c r="DH743" i="2"/>
  <c r="DC743" i="2"/>
  <c r="AY745" i="2"/>
  <c r="DG746" i="2"/>
  <c r="BD747" i="2"/>
  <c r="AY748" i="2"/>
  <c r="AX748" i="2"/>
  <c r="DD748" i="2"/>
  <c r="DD751" i="2"/>
  <c r="AV752" i="2"/>
  <c r="DC752" i="2"/>
  <c r="BG754" i="2"/>
  <c r="BF756" i="2"/>
  <c r="BE758" i="2"/>
  <c r="BC758" i="2"/>
  <c r="BG759" i="2"/>
  <c r="AV759" i="2"/>
  <c r="AV760" i="2"/>
  <c r="DI763" i="2"/>
  <c r="DL763" i="2" s="1"/>
  <c r="DH763" i="2"/>
  <c r="DG763" i="2"/>
  <c r="DF763" i="2"/>
  <c r="DE763" i="2"/>
  <c r="DK763" i="2" s="1"/>
  <c r="DC763" i="2"/>
  <c r="CZ763" i="2"/>
  <c r="CX763" i="2"/>
  <c r="DB764" i="2"/>
  <c r="CY766" i="2"/>
  <c r="CX766" i="2"/>
  <c r="DI766" i="2"/>
  <c r="DL766" i="2" s="1"/>
  <c r="DH766" i="2"/>
  <c r="DF766" i="2"/>
  <c r="DC766" i="2"/>
  <c r="DA766" i="2"/>
  <c r="DJ766" i="2" s="1"/>
  <c r="BD769" i="2"/>
  <c r="BD771" i="2"/>
  <c r="AW775" i="2"/>
  <c r="AW779" i="2"/>
  <c r="BC789" i="2"/>
  <c r="BD801" i="2"/>
  <c r="AW802" i="2"/>
  <c r="AV720" i="2"/>
  <c r="BG730" i="2"/>
  <c r="DF742" i="2"/>
  <c r="DH746" i="2"/>
  <c r="DE748" i="2"/>
  <c r="DK748" i="2" s="1"/>
  <c r="BC750" i="2"/>
  <c r="AZ750" i="2"/>
  <c r="DE751" i="2"/>
  <c r="DK751" i="2" s="1"/>
  <c r="BC752" i="2"/>
  <c r="DH758" i="2"/>
  <c r="DG758" i="2"/>
  <c r="DF758" i="2"/>
  <c r="DD758" i="2"/>
  <c r="DC758" i="2"/>
  <c r="DB758" i="2"/>
  <c r="DA758" i="2"/>
  <c r="DJ758" i="2" s="1"/>
  <c r="CY758" i="2"/>
  <c r="AW760" i="2"/>
  <c r="AY766" i="2"/>
  <c r="AX766" i="2"/>
  <c r="BG766" i="2"/>
  <c r="BC767" i="2"/>
  <c r="AZ767" i="2"/>
  <c r="BE769" i="2"/>
  <c r="BC769" i="2"/>
  <c r="AZ769" i="2"/>
  <c r="BE771" i="2"/>
  <c r="BC771" i="2"/>
  <c r="AZ771" i="2"/>
  <c r="DI780" i="2"/>
  <c r="DL780" i="2" s="1"/>
  <c r="DH780" i="2"/>
  <c r="DG780" i="2"/>
  <c r="DF780" i="2"/>
  <c r="DE780" i="2"/>
  <c r="DK780" i="2" s="1"/>
  <c r="DD780" i="2"/>
  <c r="DC780" i="2"/>
  <c r="DB780" i="2"/>
  <c r="DA780" i="2"/>
  <c r="DJ780" i="2" s="1"/>
  <c r="CZ780" i="2"/>
  <c r="CY780" i="2"/>
  <c r="DE788" i="2"/>
  <c r="DK788" i="2" s="1"/>
  <c r="DD788" i="2"/>
  <c r="DC788" i="2"/>
  <c r="DB788" i="2"/>
  <c r="DA788" i="2"/>
  <c r="DJ788" i="2" s="1"/>
  <c r="CZ788" i="2"/>
  <c r="CY788" i="2"/>
  <c r="CX788" i="2"/>
  <c r="DI788" i="2"/>
  <c r="DL788" i="2" s="1"/>
  <c r="DH788" i="2"/>
  <c r="DG788" i="2"/>
  <c r="AV737" i="2"/>
  <c r="AV740" i="2"/>
  <c r="BD741" i="2"/>
  <c r="BF742" i="2"/>
  <c r="DG742" i="2"/>
  <c r="AY743" i="2"/>
  <c r="CX743" i="2"/>
  <c r="DI746" i="2"/>
  <c r="DL746" i="2" s="1"/>
  <c r="DF748" i="2"/>
  <c r="BD751" i="2"/>
  <c r="AY751" i="2"/>
  <c r="AX751" i="2"/>
  <c r="DF751" i="2"/>
  <c r="DE752" i="2"/>
  <c r="DK752" i="2" s="1"/>
  <c r="BG755" i="2"/>
  <c r="BD755" i="2"/>
  <c r="DE756" i="2"/>
  <c r="DK756" i="2" s="1"/>
  <c r="DD756" i="2"/>
  <c r="DB756" i="2"/>
  <c r="DA756" i="2"/>
  <c r="DJ756" i="2" s="1"/>
  <c r="CZ756" i="2"/>
  <c r="CY756" i="2"/>
  <c r="BE757" i="2"/>
  <c r="AX763" i="2"/>
  <c r="BD763" i="2"/>
  <c r="BC766" i="2"/>
  <c r="AZ766" i="2"/>
  <c r="BE766" i="2"/>
  <c r="BE777" i="2"/>
  <c r="AW778" i="2"/>
  <c r="BD790" i="2"/>
  <c r="DI791" i="2"/>
  <c r="DL791" i="2" s="1"/>
  <c r="DH791" i="2"/>
  <c r="DG791" i="2"/>
  <c r="DF791" i="2"/>
  <c r="DE791" i="2"/>
  <c r="DK791" i="2" s="1"/>
  <c r="DD791" i="2"/>
  <c r="DC791" i="2"/>
  <c r="DB791" i="2"/>
  <c r="DA791" i="2"/>
  <c r="DJ791" i="2" s="1"/>
  <c r="CZ791" i="2"/>
  <c r="CY791" i="2"/>
  <c r="CX791" i="2"/>
  <c r="CZ724" i="2"/>
  <c r="AV736" i="2"/>
  <c r="AW737" i="2"/>
  <c r="DH742" i="2"/>
  <c r="AZ743" i="2"/>
  <c r="CY743" i="2"/>
  <c r="BG747" i="2"/>
  <c r="AX749" i="2"/>
  <c r="CY750" i="2"/>
  <c r="CX750" i="2"/>
  <c r="DI750" i="2"/>
  <c r="DL750" i="2" s="1"/>
  <c r="BC751" i="2"/>
  <c r="DG751" i="2"/>
  <c r="DF752" i="2"/>
  <c r="DF757" i="2"/>
  <c r="DE757" i="2"/>
  <c r="DK757" i="2" s="1"/>
  <c r="DC757" i="2"/>
  <c r="DB757" i="2"/>
  <c r="DA757" i="2"/>
  <c r="DJ757" i="2" s="1"/>
  <c r="CZ757" i="2"/>
  <c r="CX757" i="2"/>
  <c r="BE761" i="2"/>
  <c r="DI761" i="2"/>
  <c r="DL761" i="2" s="1"/>
  <c r="DH761" i="2"/>
  <c r="DF761" i="2"/>
  <c r="DE761" i="2"/>
  <c r="DK761" i="2" s="1"/>
  <c r="DD761" i="2"/>
  <c r="DC761" i="2"/>
  <c r="DA761" i="2"/>
  <c r="DJ761" i="2" s="1"/>
  <c r="AV768" i="2"/>
  <c r="BG770" i="2"/>
  <c r="AV770" i="2"/>
  <c r="DE772" i="2"/>
  <c r="DK772" i="2" s="1"/>
  <c r="DD772" i="2"/>
  <c r="DC772" i="2"/>
  <c r="DB772" i="2"/>
  <c r="DA772" i="2"/>
  <c r="DJ772" i="2" s="1"/>
  <c r="CZ772" i="2"/>
  <c r="CY772" i="2"/>
  <c r="CX772" i="2"/>
  <c r="DI772" i="2"/>
  <c r="DL772" i="2" s="1"/>
  <c r="DH772" i="2"/>
  <c r="DG772" i="2"/>
  <c r="BE775" i="2"/>
  <c r="AW791" i="2"/>
  <c r="BF795" i="2"/>
  <c r="BG741" i="2"/>
  <c r="DI742" i="2"/>
  <c r="DL742" i="2" s="1"/>
  <c r="CZ743" i="2"/>
  <c r="AW747" i="2"/>
  <c r="BC749" i="2"/>
  <c r="BD752" i="2"/>
  <c r="AY752" i="2"/>
  <c r="AX752" i="2"/>
  <c r="DG752" i="2"/>
  <c r="BD753" i="2"/>
  <c r="BC756" i="2"/>
  <c r="BG758" i="2"/>
  <c r="BC760" i="2"/>
  <c r="DI764" i="2"/>
  <c r="DL764" i="2" s="1"/>
  <c r="DH764" i="2"/>
  <c r="DG764" i="2"/>
  <c r="DF764" i="2"/>
  <c r="DD764" i="2"/>
  <c r="DA764" i="2"/>
  <c r="DJ764" i="2" s="1"/>
  <c r="CY764" i="2"/>
  <c r="CY782" i="2"/>
  <c r="CX782" i="2"/>
  <c r="DI782" i="2"/>
  <c r="DL782" i="2" s="1"/>
  <c r="DH782" i="2"/>
  <c r="DG782" i="2"/>
  <c r="DF782" i="2"/>
  <c r="DE782" i="2"/>
  <c r="DK782" i="2" s="1"/>
  <c r="DD782" i="2"/>
  <c r="DC782" i="2"/>
  <c r="DB782" i="2"/>
  <c r="DA782" i="2"/>
  <c r="DJ782" i="2" s="1"/>
  <c r="BE787" i="2"/>
  <c r="BC787" i="2"/>
  <c r="AZ787" i="2"/>
  <c r="AY719" i="2"/>
  <c r="AW719" i="2" s="1"/>
  <c r="AZ720" i="2"/>
  <c r="DB724" i="2"/>
  <c r="DA743" i="2"/>
  <c r="DJ743" i="2" s="1"/>
  <c r="AV744" i="2"/>
  <c r="AV748" i="2"/>
  <c r="BD749" i="2"/>
  <c r="AV750" i="2"/>
  <c r="BE752" i="2"/>
  <c r="AZ752" i="2"/>
  <c r="AW762" i="2"/>
  <c r="BE764" i="2"/>
  <c r="BC764" i="2"/>
  <c r="BC765" i="2"/>
  <c r="BG771" i="2"/>
  <c r="AV771" i="2"/>
  <c r="AW746" i="2"/>
  <c r="DH748" i="2"/>
  <c r="DG748" i="2"/>
  <c r="CZ751" i="2"/>
  <c r="CY751" i="2"/>
  <c r="DH751" i="2"/>
  <c r="AY753" i="2"/>
  <c r="AX753" i="2"/>
  <c r="BG757" i="2"/>
  <c r="DG774" i="2"/>
  <c r="DF774" i="2"/>
  <c r="DE774" i="2"/>
  <c r="DK774" i="2" s="1"/>
  <c r="DD774" i="2"/>
  <c r="DC774" i="2"/>
  <c r="DB774" i="2"/>
  <c r="DA774" i="2"/>
  <c r="DJ774" i="2" s="1"/>
  <c r="CZ774" i="2"/>
  <c r="CY774" i="2"/>
  <c r="CX774" i="2"/>
  <c r="DI774" i="2"/>
  <c r="DL774" i="2" s="1"/>
  <c r="BD786" i="2"/>
  <c r="AY786" i="2"/>
  <c r="AX786" i="2"/>
  <c r="BC738" i="2"/>
  <c r="AY746" i="2"/>
  <c r="DA752" i="2"/>
  <c r="DJ752" i="2" s="1"/>
  <c r="CZ752" i="2"/>
  <c r="CX752" i="2"/>
  <c r="DI752" i="2"/>
  <c r="DL752" i="2" s="1"/>
  <c r="BE753" i="2"/>
  <c r="BC753" i="2"/>
  <c r="AZ753" i="2"/>
  <c r="BE773" i="2"/>
  <c r="BG775" i="2"/>
  <c r="BD775" i="2"/>
  <c r="AV775" i="2"/>
  <c r="BE786" i="2"/>
  <c r="BF793" i="2"/>
  <c r="AV793" i="2"/>
  <c r="DE724" i="2"/>
  <c r="DK724" i="2" s="1"/>
  <c r="AX732" i="2"/>
  <c r="AY733" i="2"/>
  <c r="AZ734" i="2"/>
  <c r="AZ735" i="2"/>
  <c r="AW735" i="2" s="1"/>
  <c r="BC736" i="2"/>
  <c r="BD737" i="2"/>
  <c r="DA737" i="2"/>
  <c r="DJ737" i="2" s="1"/>
  <c r="DE743" i="2"/>
  <c r="DK743" i="2" s="1"/>
  <c r="AY744" i="2"/>
  <c r="CX746" i="2"/>
  <c r="BG749" i="2"/>
  <c r="BF753" i="2"/>
  <c r="AV755" i="2"/>
  <c r="CX756" i="2"/>
  <c r="BF757" i="2"/>
  <c r="AY765" i="2"/>
  <c r="AX765" i="2"/>
  <c r="BD765" i="2"/>
  <c r="CZ783" i="2"/>
  <c r="CY783" i="2"/>
  <c r="CX783" i="2"/>
  <c r="DI783" i="2"/>
  <c r="DL783" i="2" s="1"/>
  <c r="DH783" i="2"/>
  <c r="DG783" i="2"/>
  <c r="DF783" i="2"/>
  <c r="DE783" i="2"/>
  <c r="DK783" i="2" s="1"/>
  <c r="DD783" i="2"/>
  <c r="DC783" i="2"/>
  <c r="DB783" i="2"/>
  <c r="BF788" i="2"/>
  <c r="AV788" i="2"/>
  <c r="CY827" i="2"/>
  <c r="CX827" i="2"/>
  <c r="DI827" i="2"/>
  <c r="DL827" i="2" s="1"/>
  <c r="DH827" i="2"/>
  <c r="DG827" i="2"/>
  <c r="DF827" i="2"/>
  <c r="DE827" i="2"/>
  <c r="DK827" i="2" s="1"/>
  <c r="DD827" i="2"/>
  <c r="DC827" i="2"/>
  <c r="DB827" i="2"/>
  <c r="DA827" i="2"/>
  <c r="DJ827" i="2" s="1"/>
  <c r="CZ827" i="2"/>
  <c r="BC746" i="2"/>
  <c r="CY746" i="2"/>
  <c r="AW754" i="2"/>
  <c r="DC756" i="2"/>
  <c r="AV758" i="2"/>
  <c r="CX758" i="2"/>
  <c r="BF778" i="2"/>
  <c r="DI805" i="2"/>
  <c r="DL805" i="2" s="1"/>
  <c r="DH805" i="2"/>
  <c r="DE805" i="2"/>
  <c r="DK805" i="2" s="1"/>
  <c r="DC805" i="2"/>
  <c r="DG805" i="2"/>
  <c r="DF805" i="2"/>
  <c r="DD805" i="2"/>
  <c r="DB805" i="2"/>
  <c r="DA805" i="2"/>
  <c r="DJ805" i="2" s="1"/>
  <c r="CZ805" i="2"/>
  <c r="CY805" i="2"/>
  <c r="CX805" i="2"/>
  <c r="BG815" i="2"/>
  <c r="AV815" i="2"/>
  <c r="AX730" i="2"/>
  <c r="AZ732" i="2"/>
  <c r="BC733" i="2"/>
  <c r="DC737" i="2"/>
  <c r="AY739" i="2"/>
  <c r="CX742" i="2"/>
  <c r="DG743" i="2"/>
  <c r="BC744" i="2"/>
  <c r="CZ746" i="2"/>
  <c r="AZ748" i="2"/>
  <c r="CX748" i="2"/>
  <c r="DF756" i="2"/>
  <c r="CZ758" i="2"/>
  <c r="BD759" i="2"/>
  <c r="DI779" i="2"/>
  <c r="DL779" i="2" s="1"/>
  <c r="DH779" i="2"/>
  <c r="DG779" i="2"/>
  <c r="DF779" i="2"/>
  <c r="DE779" i="2"/>
  <c r="DK779" i="2" s="1"/>
  <c r="DD779" i="2"/>
  <c r="DC779" i="2"/>
  <c r="DB779" i="2"/>
  <c r="DA779" i="2"/>
  <c r="DJ779" i="2" s="1"/>
  <c r="CZ779" i="2"/>
  <c r="CY779" i="2"/>
  <c r="CX779" i="2"/>
  <c r="BD789" i="2"/>
  <c r="BF791" i="2"/>
  <c r="BE795" i="2"/>
  <c r="AZ800" i="2"/>
  <c r="BE800" i="2"/>
  <c r="BC800" i="2"/>
  <c r="AY800" i="2"/>
  <c r="DH724" i="2"/>
  <c r="AX729" i="2"/>
  <c r="AZ731" i="2"/>
  <c r="DD737" i="2"/>
  <c r="AZ739" i="2"/>
  <c r="BD740" i="2"/>
  <c r="AZ742" i="2"/>
  <c r="CY742" i="2"/>
  <c r="DI743" i="2"/>
  <c r="DL743" i="2" s="1"/>
  <c r="DA746" i="2"/>
  <c r="DJ746" i="2" s="1"/>
  <c r="CY748" i="2"/>
  <c r="AY750" i="2"/>
  <c r="AW750" i="2" s="1"/>
  <c r="AV753" i="2"/>
  <c r="BD754" i="2"/>
  <c r="AY754" i="2"/>
  <c r="DG756" i="2"/>
  <c r="DE758" i="2"/>
  <c r="DK758" i="2" s="1"/>
  <c r="BG786" i="2"/>
  <c r="DF802" i="2"/>
  <c r="DE802" i="2"/>
  <c r="DK802" i="2" s="1"/>
  <c r="DB802" i="2"/>
  <c r="CZ802" i="2"/>
  <c r="DI802" i="2"/>
  <c r="DL802" i="2" s="1"/>
  <c r="DH802" i="2"/>
  <c r="DG802" i="2"/>
  <c r="DD802" i="2"/>
  <c r="DC802" i="2"/>
  <c r="DA802" i="2"/>
  <c r="DJ802" i="2" s="1"/>
  <c r="CY802" i="2"/>
  <c r="CX802" i="2"/>
  <c r="DE737" i="2"/>
  <c r="DK737" i="2" s="1"/>
  <c r="CZ742" i="2"/>
  <c r="AV745" i="2"/>
  <c r="DB746" i="2"/>
  <c r="BD748" i="2"/>
  <c r="CZ748" i="2"/>
  <c r="BD750" i="2"/>
  <c r="DB750" i="2"/>
  <c r="CX751" i="2"/>
  <c r="BC754" i="2"/>
  <c r="AZ754" i="2"/>
  <c r="DI755" i="2"/>
  <c r="DL755" i="2" s="1"/>
  <c r="AZ756" i="2"/>
  <c r="DH756" i="2"/>
  <c r="AV757" i="2"/>
  <c r="DD757" i="2"/>
  <c r="AY758" i="2"/>
  <c r="AW758" i="2" s="1"/>
  <c r="DI758" i="2"/>
  <c r="DL758" i="2" s="1"/>
  <c r="BE759" i="2"/>
  <c r="BC759" i="2"/>
  <c r="CX761" i="2"/>
  <c r="DI762" i="2"/>
  <c r="DL762" i="2" s="1"/>
  <c r="DH762" i="2"/>
  <c r="DG762" i="2"/>
  <c r="DF762" i="2"/>
  <c r="DE762" i="2"/>
  <c r="DK762" i="2" s="1"/>
  <c r="DD762" i="2"/>
  <c r="DB762" i="2"/>
  <c r="CY763" i="2"/>
  <c r="DB766" i="2"/>
  <c r="DD771" i="2"/>
  <c r="DC771" i="2"/>
  <c r="DB771" i="2"/>
  <c r="DA771" i="2"/>
  <c r="DJ771" i="2" s="1"/>
  <c r="CZ771" i="2"/>
  <c r="CY771" i="2"/>
  <c r="CX771" i="2"/>
  <c r="DH771" i="2"/>
  <c r="DG771" i="2"/>
  <c r="DF771" i="2"/>
  <c r="DI777" i="2"/>
  <c r="DL777" i="2" s="1"/>
  <c r="DH777" i="2"/>
  <c r="DG777" i="2"/>
  <c r="DF777" i="2"/>
  <c r="DE777" i="2"/>
  <c r="DK777" i="2" s="1"/>
  <c r="DD777" i="2"/>
  <c r="DC777" i="2"/>
  <c r="DB777" i="2"/>
  <c r="DA777" i="2"/>
  <c r="DJ777" i="2" s="1"/>
  <c r="CZ777" i="2"/>
  <c r="CY777" i="2"/>
  <c r="CX777" i="2"/>
  <c r="BF789" i="2"/>
  <c r="BG768" i="2"/>
  <c r="AW776" i="2"/>
  <c r="BC780" i="2"/>
  <c r="BD781" i="2"/>
  <c r="BE782" i="2"/>
  <c r="BG784" i="2"/>
  <c r="BG814" i="2"/>
  <c r="AV814" i="2"/>
  <c r="DI841" i="2"/>
  <c r="DL841" i="2" s="1"/>
  <c r="DD841" i="2"/>
  <c r="DC841" i="2"/>
  <c r="DA841" i="2"/>
  <c r="DJ841" i="2" s="1"/>
  <c r="CY841" i="2"/>
  <c r="CX841" i="2"/>
  <c r="DH841" i="2"/>
  <c r="DG841" i="2"/>
  <c r="DF841" i="2"/>
  <c r="DE841" i="2"/>
  <c r="DK841" i="2" s="1"/>
  <c r="DB841" i="2"/>
  <c r="AV774" i="2"/>
  <c r="BE781" i="2"/>
  <c r="AV790" i="2"/>
  <c r="BF799" i="2"/>
  <c r="BD803" i="2"/>
  <c r="CX804" i="2"/>
  <c r="BD807" i="2"/>
  <c r="BF818" i="2"/>
  <c r="DI819" i="2"/>
  <c r="DL819" i="2" s="1"/>
  <c r="DH819" i="2"/>
  <c r="DG819" i="2"/>
  <c r="DF819" i="2"/>
  <c r="DE819" i="2"/>
  <c r="DK819" i="2" s="1"/>
  <c r="DD819" i="2"/>
  <c r="DC819" i="2"/>
  <c r="DB819" i="2"/>
  <c r="DA819" i="2"/>
  <c r="DJ819" i="2" s="1"/>
  <c r="CZ819" i="2"/>
  <c r="CY819" i="2"/>
  <c r="AW837" i="2"/>
  <c r="AV773" i="2"/>
  <c r="CY778" i="2"/>
  <c r="BD779" i="2"/>
  <c r="BG782" i="2"/>
  <c r="AV789" i="2"/>
  <c r="AW790" i="2"/>
  <c r="AY794" i="2"/>
  <c r="BD797" i="2"/>
  <c r="AY797" i="2"/>
  <c r="BE798" i="2"/>
  <c r="AZ798" i="2"/>
  <c r="BC801" i="2"/>
  <c r="DE801" i="2"/>
  <c r="DK801" i="2" s="1"/>
  <c r="DD801" i="2"/>
  <c r="DA801" i="2"/>
  <c r="DJ801" i="2" s="1"/>
  <c r="CY801" i="2"/>
  <c r="AW819" i="2"/>
  <c r="DE842" i="2"/>
  <c r="DK842" i="2" s="1"/>
  <c r="DD842" i="2"/>
  <c r="DB842" i="2"/>
  <c r="DI842" i="2"/>
  <c r="DL842" i="2" s="1"/>
  <c r="DH842" i="2"/>
  <c r="DG842" i="2"/>
  <c r="DF842" i="2"/>
  <c r="DC842" i="2"/>
  <c r="DA842" i="2"/>
  <c r="DJ842" i="2" s="1"/>
  <c r="CZ842" i="2"/>
  <c r="CY842" i="2"/>
  <c r="CX842" i="2"/>
  <c r="DD800" i="2"/>
  <c r="DC800" i="2"/>
  <c r="CZ800" i="2"/>
  <c r="CX800" i="2"/>
  <c r="AV802" i="2"/>
  <c r="BG852" i="2"/>
  <c r="BD852" i="2"/>
  <c r="AV852" i="2"/>
  <c r="CY776" i="2"/>
  <c r="AV787" i="2"/>
  <c r="BE791" i="2"/>
  <c r="BG799" i="2"/>
  <c r="AV801" i="2"/>
  <c r="BE803" i="2"/>
  <c r="DA804" i="2"/>
  <c r="DJ804" i="2" s="1"/>
  <c r="BG807" i="2"/>
  <c r="BD809" i="2"/>
  <c r="AY809" i="2"/>
  <c r="AX809" i="2"/>
  <c r="DC811" i="2"/>
  <c r="DB811" i="2"/>
  <c r="DA811" i="2"/>
  <c r="DJ811" i="2" s="1"/>
  <c r="CZ811" i="2"/>
  <c r="CY811" i="2"/>
  <c r="CX811" i="2"/>
  <c r="DI811" i="2"/>
  <c r="DL811" i="2" s="1"/>
  <c r="DG811" i="2"/>
  <c r="DF825" i="2"/>
  <c r="DE825" i="2"/>
  <c r="DK825" i="2" s="1"/>
  <c r="DD825" i="2"/>
  <c r="DC825" i="2"/>
  <c r="DB825" i="2"/>
  <c r="DA825" i="2"/>
  <c r="DJ825" i="2" s="1"/>
  <c r="CZ825" i="2"/>
  <c r="CY825" i="2"/>
  <c r="CX825" i="2"/>
  <c r="DI825" i="2"/>
  <c r="DL825" i="2" s="1"/>
  <c r="DH825" i="2"/>
  <c r="AY756" i="2"/>
  <c r="AZ757" i="2"/>
  <c r="BG763" i="2"/>
  <c r="DH768" i="2"/>
  <c r="AY773" i="2"/>
  <c r="AZ774" i="2"/>
  <c r="BC775" i="2"/>
  <c r="CZ776" i="2"/>
  <c r="DB778" i="2"/>
  <c r="BG779" i="2"/>
  <c r="DH784" i="2"/>
  <c r="AV786" i="2"/>
  <c r="AY789" i="2"/>
  <c r="AZ790" i="2"/>
  <c r="DG792" i="2"/>
  <c r="BD796" i="2"/>
  <c r="AX796" i="2"/>
  <c r="DF796" i="2"/>
  <c r="DC804" i="2"/>
  <c r="DE808" i="2"/>
  <c r="DK808" i="2" s="1"/>
  <c r="BE809" i="2"/>
  <c r="BC809" i="2"/>
  <c r="CZ814" i="2"/>
  <c r="BF817" i="2"/>
  <c r="DA832" i="2"/>
  <c r="DJ832" i="2" s="1"/>
  <c r="CY832" i="2"/>
  <c r="CX832" i="2"/>
  <c r="DI832" i="2"/>
  <c r="DL832" i="2" s="1"/>
  <c r="DH832" i="2"/>
  <c r="DG832" i="2"/>
  <c r="DF832" i="2"/>
  <c r="DE832" i="2"/>
  <c r="DK832" i="2" s="1"/>
  <c r="DD832" i="2"/>
  <c r="DC832" i="2"/>
  <c r="DB832" i="2"/>
  <c r="AV769" i="2"/>
  <c r="DA776" i="2"/>
  <c r="DJ776" i="2" s="1"/>
  <c r="DC778" i="2"/>
  <c r="AV785" i="2"/>
  <c r="AY793" i="2"/>
  <c r="BC796" i="2"/>
  <c r="DG796" i="2"/>
  <c r="DB798" i="2"/>
  <c r="DA798" i="2"/>
  <c r="DJ798" i="2" s="1"/>
  <c r="CX798" i="2"/>
  <c r="DC799" i="2"/>
  <c r="DB799" i="2"/>
  <c r="CY799" i="2"/>
  <c r="CX801" i="2"/>
  <c r="BG804" i="2"/>
  <c r="DE804" i="2"/>
  <c r="DK804" i="2" s="1"/>
  <c r="AZ805" i="2"/>
  <c r="BG811" i="2"/>
  <c r="BD811" i="2"/>
  <c r="AX811" i="2"/>
  <c r="BD812" i="2"/>
  <c r="DD812" i="2"/>
  <c r="DC812" i="2"/>
  <c r="DB812" i="2"/>
  <c r="DA812" i="2"/>
  <c r="DJ812" i="2" s="1"/>
  <c r="CZ812" i="2"/>
  <c r="CY812" i="2"/>
  <c r="DH812" i="2"/>
  <c r="DG814" i="2"/>
  <c r="BE819" i="2"/>
  <c r="BE828" i="2"/>
  <c r="BC828" i="2"/>
  <c r="AZ828" i="2"/>
  <c r="DB833" i="2"/>
  <c r="DI833" i="2"/>
  <c r="DL833" i="2" s="1"/>
  <c r="DH833" i="2"/>
  <c r="DG833" i="2"/>
  <c r="DF833" i="2"/>
  <c r="DE833" i="2"/>
  <c r="DK833" i="2" s="1"/>
  <c r="DD833" i="2"/>
  <c r="DC833" i="2"/>
  <c r="DA833" i="2"/>
  <c r="DJ833" i="2" s="1"/>
  <c r="CZ833" i="2"/>
  <c r="CY833" i="2"/>
  <c r="CX833" i="2"/>
  <c r="DG765" i="2"/>
  <c r="AY771" i="2"/>
  <c r="AZ772" i="2"/>
  <c r="CY773" i="2"/>
  <c r="DB776" i="2"/>
  <c r="DD778" i="2"/>
  <c r="AY787" i="2"/>
  <c r="AZ788" i="2"/>
  <c r="CY789" i="2"/>
  <c r="DI792" i="2"/>
  <c r="DL792" i="2" s="1"/>
  <c r="AZ793" i="2"/>
  <c r="CX793" i="2"/>
  <c r="AV794" i="2"/>
  <c r="DH796" i="2"/>
  <c r="AV800" i="2"/>
  <c r="CZ801" i="2"/>
  <c r="DF804" i="2"/>
  <c r="BD808" i="2"/>
  <c r="AX808" i="2"/>
  <c r="BE811" i="2"/>
  <c r="BC811" i="2"/>
  <c r="AZ811" i="2"/>
  <c r="BE812" i="2"/>
  <c r="BC812" i="2"/>
  <c r="BD813" i="2"/>
  <c r="DH814" i="2"/>
  <c r="AX769" i="2"/>
  <c r="BC772" i="2"/>
  <c r="CZ773" i="2"/>
  <c r="DC776" i="2"/>
  <c r="DE778" i="2"/>
  <c r="DK778" i="2" s="1"/>
  <c r="AX785" i="2"/>
  <c r="BC788" i="2"/>
  <c r="CZ789" i="2"/>
  <c r="BC793" i="2"/>
  <c r="CY793" i="2"/>
  <c r="BC795" i="2"/>
  <c r="AZ795" i="2"/>
  <c r="CY800" i="2"/>
  <c r="AZ801" i="2"/>
  <c r="DB801" i="2"/>
  <c r="AV803" i="2"/>
  <c r="BG803" i="2"/>
  <c r="CY807" i="2"/>
  <c r="CX807" i="2"/>
  <c r="DG807" i="2"/>
  <c r="DE807" i="2"/>
  <c r="DK807" i="2" s="1"/>
  <c r="BC808" i="2"/>
  <c r="AZ808" i="2"/>
  <c r="BF812" i="2"/>
  <c r="DH816" i="2"/>
  <c r="DG816" i="2"/>
  <c r="DF816" i="2"/>
  <c r="DE816" i="2"/>
  <c r="DK816" i="2" s="1"/>
  <c r="DD816" i="2"/>
  <c r="DC816" i="2"/>
  <c r="DB816" i="2"/>
  <c r="DA816" i="2"/>
  <c r="DJ816" i="2" s="1"/>
  <c r="CZ816" i="2"/>
  <c r="CY816" i="2"/>
  <c r="CX816" i="2"/>
  <c r="BE818" i="2"/>
  <c r="AY769" i="2"/>
  <c r="AZ770" i="2"/>
  <c r="BD772" i="2"/>
  <c r="DA773" i="2"/>
  <c r="DJ773" i="2" s="1"/>
  <c r="DD776" i="2"/>
  <c r="DF778" i="2"/>
  <c r="AX784" i="2"/>
  <c r="AY785" i="2"/>
  <c r="AZ786" i="2"/>
  <c r="BD788" i="2"/>
  <c r="DA789" i="2"/>
  <c r="DJ789" i="2" s="1"/>
  <c r="BD793" i="2"/>
  <c r="CZ793" i="2"/>
  <c r="DA797" i="2"/>
  <c r="DJ797" i="2" s="1"/>
  <c r="CZ797" i="2"/>
  <c r="AV799" i="2"/>
  <c r="DA800" i="2"/>
  <c r="DJ800" i="2" s="1"/>
  <c r="DC801" i="2"/>
  <c r="CZ808" i="2"/>
  <c r="CY808" i="2"/>
  <c r="CX808" i="2"/>
  <c r="DH808" i="2"/>
  <c r="DF808" i="2"/>
  <c r="BF813" i="2"/>
  <c r="DF814" i="2"/>
  <c r="DE814" i="2"/>
  <c r="DK814" i="2" s="1"/>
  <c r="DD814" i="2"/>
  <c r="DC814" i="2"/>
  <c r="DB814" i="2"/>
  <c r="DA814" i="2"/>
  <c r="DJ814" i="2" s="1"/>
  <c r="CY814" i="2"/>
  <c r="CX814" i="2"/>
  <c r="DI826" i="2"/>
  <c r="DL826" i="2" s="1"/>
  <c r="DH826" i="2"/>
  <c r="DG826" i="2"/>
  <c r="DF826" i="2"/>
  <c r="DE826" i="2"/>
  <c r="DK826" i="2" s="1"/>
  <c r="DD826" i="2"/>
  <c r="DC826" i="2"/>
  <c r="DB826" i="2"/>
  <c r="DA826" i="2"/>
  <c r="DJ826" i="2" s="1"/>
  <c r="CZ826" i="2"/>
  <c r="CY826" i="2"/>
  <c r="CX826" i="2"/>
  <c r="CY753" i="2"/>
  <c r="AX767" i="2"/>
  <c r="BC770" i="2"/>
  <c r="CY770" i="2"/>
  <c r="DB773" i="2"/>
  <c r="DE776" i="2"/>
  <c r="DK776" i="2" s="1"/>
  <c r="DG778" i="2"/>
  <c r="AX783" i="2"/>
  <c r="AY784" i="2"/>
  <c r="AZ785" i="2"/>
  <c r="BC786" i="2"/>
  <c r="DB789" i="2"/>
  <c r="AX792" i="2"/>
  <c r="DA793" i="2"/>
  <c r="DJ793" i="2" s="1"/>
  <c r="DB800" i="2"/>
  <c r="DF801" i="2"/>
  <c r="DH804" i="2"/>
  <c r="DG804" i="2"/>
  <c r="DD804" i="2"/>
  <c r="DB804" i="2"/>
  <c r="BC806" i="2"/>
  <c r="BD814" i="2"/>
  <c r="BD815" i="2"/>
  <c r="DI818" i="2"/>
  <c r="DL818" i="2" s="1"/>
  <c r="DH818" i="2"/>
  <c r="DG818" i="2"/>
  <c r="DF818" i="2"/>
  <c r="DE818" i="2"/>
  <c r="DK818" i="2" s="1"/>
  <c r="DD818" i="2"/>
  <c r="DC818" i="2"/>
  <c r="DB818" i="2"/>
  <c r="DA818" i="2"/>
  <c r="DJ818" i="2" s="1"/>
  <c r="CZ818" i="2"/>
  <c r="CY818" i="2"/>
  <c r="CX818" i="2"/>
  <c r="DI820" i="2"/>
  <c r="DL820" i="2" s="1"/>
  <c r="DH820" i="2"/>
  <c r="DG820" i="2"/>
  <c r="DF820" i="2"/>
  <c r="DE820" i="2"/>
  <c r="DK820" i="2" s="1"/>
  <c r="DD820" i="2"/>
  <c r="DC820" i="2"/>
  <c r="DB820" i="2"/>
  <c r="DA820" i="2"/>
  <c r="DJ820" i="2" s="1"/>
  <c r="CZ820" i="2"/>
  <c r="AY767" i="2"/>
  <c r="AZ768" i="2"/>
  <c r="DF776" i="2"/>
  <c r="DH778" i="2"/>
  <c r="AX782" i="2"/>
  <c r="AY783" i="2"/>
  <c r="AZ784" i="2"/>
  <c r="BC785" i="2"/>
  <c r="DC789" i="2"/>
  <c r="AY792" i="2"/>
  <c r="DB793" i="2"/>
  <c r="CZ796" i="2"/>
  <c r="CY796" i="2"/>
  <c r="AV798" i="2"/>
  <c r="DE800" i="2"/>
  <c r="DK800" i="2" s="1"/>
  <c r="DG801" i="2"/>
  <c r="BD802" i="2"/>
  <c r="AY805" i="2"/>
  <c r="AX805" i="2"/>
  <c r="BG805" i="2"/>
  <c r="BG810" i="2"/>
  <c r="BG812" i="2"/>
  <c r="AV812" i="2"/>
  <c r="BF825" i="2"/>
  <c r="BG829" i="2"/>
  <c r="BD829" i="2"/>
  <c r="AV829" i="2"/>
  <c r="BC768" i="2"/>
  <c r="CY768" i="2"/>
  <c r="DD773" i="2"/>
  <c r="DG776" i="2"/>
  <c r="AX781" i="2"/>
  <c r="AZ783" i="2"/>
  <c r="BC784" i="2"/>
  <c r="CY784" i="2"/>
  <c r="DD789" i="2"/>
  <c r="AZ792" i="2"/>
  <c r="AX794" i="2"/>
  <c r="AZ799" i="2"/>
  <c r="DF800" i="2"/>
  <c r="DH801" i="2"/>
  <c r="BE806" i="2"/>
  <c r="BD810" i="2"/>
  <c r="AY810" i="2"/>
  <c r="AW810" i="2" s="1"/>
  <c r="BE816" i="2"/>
  <c r="AW818" i="2"/>
  <c r="AX764" i="2"/>
  <c r="CZ768" i="2"/>
  <c r="DE773" i="2"/>
  <c r="DK773" i="2" s="1"/>
  <c r="DH776" i="2"/>
  <c r="AX780" i="2"/>
  <c r="AZ782" i="2"/>
  <c r="CZ784" i="2"/>
  <c r="DE789" i="2"/>
  <c r="DK789" i="2" s="1"/>
  <c r="BC794" i="2"/>
  <c r="CY795" i="2"/>
  <c r="CX795" i="2"/>
  <c r="AX797" i="2"/>
  <c r="CY797" i="2"/>
  <c r="AY798" i="2"/>
  <c r="DC798" i="2"/>
  <c r="DE799" i="2"/>
  <c r="DK799" i="2" s="1"/>
  <c r="DG800" i="2"/>
  <c r="BE801" i="2"/>
  <c r="DI801" i="2"/>
  <c r="DL801" i="2" s="1"/>
  <c r="BF802" i="2"/>
  <c r="AX803" i="2"/>
  <c r="BE810" i="2"/>
  <c r="BC810" i="2"/>
  <c r="AZ810" i="2"/>
  <c r="BF814" i="2"/>
  <c r="DI840" i="2"/>
  <c r="DL840" i="2" s="1"/>
  <c r="DC840" i="2"/>
  <c r="DB840" i="2"/>
  <c r="CZ840" i="2"/>
  <c r="DH840" i="2"/>
  <c r="DG840" i="2"/>
  <c r="DF840" i="2"/>
  <c r="DE840" i="2"/>
  <c r="DK840" i="2" s="1"/>
  <c r="DD840" i="2"/>
  <c r="DA840" i="2"/>
  <c r="DJ840" i="2" s="1"/>
  <c r="CY840" i="2"/>
  <c r="CX840" i="2"/>
  <c r="BD794" i="2"/>
  <c r="AZ797" i="2"/>
  <c r="BC798" i="2"/>
  <c r="BE799" i="2"/>
  <c r="BD800" i="2"/>
  <c r="DH800" i="2"/>
  <c r="BF810" i="2"/>
  <c r="BC814" i="2"/>
  <c r="AY814" i="2"/>
  <c r="AY843" i="2"/>
  <c r="AX843" i="2"/>
  <c r="BE850" i="2"/>
  <c r="AZ850" i="2"/>
  <c r="BC819" i="2"/>
  <c r="BD820" i="2"/>
  <c r="BE821" i="2"/>
  <c r="DA821" i="2"/>
  <c r="DJ821" i="2" s="1"/>
  <c r="BG823" i="2"/>
  <c r="DD824" i="2"/>
  <c r="BE830" i="2"/>
  <c r="AZ835" i="2"/>
  <c r="AY835" i="2"/>
  <c r="BE836" i="2"/>
  <c r="DC836" i="2"/>
  <c r="BE839" i="2"/>
  <c r="BC839" i="2"/>
  <c r="BD841" i="2"/>
  <c r="AY844" i="2"/>
  <c r="AV845" i="2"/>
  <c r="DA845" i="2"/>
  <c r="DJ845" i="2" s="1"/>
  <c r="DF848" i="2"/>
  <c r="BF850" i="2"/>
  <c r="CZ851" i="2"/>
  <c r="BF852" i="2"/>
  <c r="BE854" i="2"/>
  <c r="DI855" i="2"/>
  <c r="DL855" i="2" s="1"/>
  <c r="DH855" i="2"/>
  <c r="DF855" i="2"/>
  <c r="DE855" i="2"/>
  <c r="DK855" i="2" s="1"/>
  <c r="DD855" i="2"/>
  <c r="DC855" i="2"/>
  <c r="DB855" i="2"/>
  <c r="CZ855" i="2"/>
  <c r="AW856" i="2"/>
  <c r="AV813" i="2"/>
  <c r="AX815" i="2"/>
  <c r="AY816" i="2"/>
  <c r="AZ817" i="2"/>
  <c r="DB821" i="2"/>
  <c r="AV831" i="2"/>
  <c r="DD836" i="2"/>
  <c r="BF841" i="2"/>
  <c r="BD845" i="2"/>
  <c r="BD846" i="2"/>
  <c r="AY846" i="2"/>
  <c r="AX846" i="2"/>
  <c r="DF851" i="2"/>
  <c r="AW863" i="2"/>
  <c r="DD806" i="2"/>
  <c r="DG809" i="2"/>
  <c r="AY815" i="2"/>
  <c r="AZ816" i="2"/>
  <c r="CY817" i="2"/>
  <c r="BD818" i="2"/>
  <c r="BG821" i="2"/>
  <c r="DC821" i="2"/>
  <c r="DF824" i="2"/>
  <c r="AV825" i="2"/>
  <c r="BD826" i="2"/>
  <c r="BG830" i="2"/>
  <c r="DD830" i="2"/>
  <c r="AY833" i="2"/>
  <c r="BG836" i="2"/>
  <c r="DF836" i="2"/>
  <c r="DD837" i="2"/>
  <c r="BD838" i="2"/>
  <c r="DC845" i="2"/>
  <c r="BC846" i="2"/>
  <c r="AZ846" i="2"/>
  <c r="CZ846" i="2"/>
  <c r="CY846" i="2"/>
  <c r="CX846" i="2"/>
  <c r="DI846" i="2"/>
  <c r="DL846" i="2" s="1"/>
  <c r="DH846" i="2"/>
  <c r="DF846" i="2"/>
  <c r="CX849" i="2"/>
  <c r="DG851" i="2"/>
  <c r="BF856" i="2"/>
  <c r="DC864" i="2"/>
  <c r="CZ864" i="2"/>
  <c r="DB864" i="2"/>
  <c r="DA864" i="2"/>
  <c r="DJ864" i="2" s="1"/>
  <c r="CY864" i="2"/>
  <c r="CX864" i="2"/>
  <c r="DI864" i="2"/>
  <c r="DL864" i="2" s="1"/>
  <c r="DH864" i="2"/>
  <c r="DG864" i="2"/>
  <c r="DF864" i="2"/>
  <c r="DE864" i="2"/>
  <c r="DK864" i="2" s="1"/>
  <c r="BF888" i="2"/>
  <c r="AV888" i="2"/>
  <c r="BC816" i="2"/>
  <c r="BD817" i="2"/>
  <c r="CZ817" i="2"/>
  <c r="BG820" i="2"/>
  <c r="DD821" i="2"/>
  <c r="BE826" i="2"/>
  <c r="CY829" i="2"/>
  <c r="BE838" i="2"/>
  <c r="AZ838" i="2"/>
  <c r="DF843" i="2"/>
  <c r="DE843" i="2"/>
  <c r="DK843" i="2" s="1"/>
  <c r="DC843" i="2"/>
  <c r="BD848" i="2"/>
  <c r="AX848" i="2"/>
  <c r="DB848" i="2"/>
  <c r="DA848" i="2"/>
  <c r="DJ848" i="2" s="1"/>
  <c r="CZ848" i="2"/>
  <c r="CY848" i="2"/>
  <c r="CX848" i="2"/>
  <c r="DH848" i="2"/>
  <c r="DD849" i="2"/>
  <c r="BG850" i="2"/>
  <c r="BD850" i="2"/>
  <c r="AV850" i="2"/>
  <c r="DF806" i="2"/>
  <c r="DI809" i="2"/>
  <c r="DL809" i="2" s="1"/>
  <c r="AX812" i="2"/>
  <c r="AY813" i="2"/>
  <c r="AZ814" i="2"/>
  <c r="CY815" i="2"/>
  <c r="DA817" i="2"/>
  <c r="DJ817" i="2" s="1"/>
  <c r="BG819" i="2"/>
  <c r="DE821" i="2"/>
  <c r="DK821" i="2" s="1"/>
  <c r="DF822" i="2"/>
  <c r="DH824" i="2"/>
  <c r="AY825" i="2"/>
  <c r="CZ829" i="2"/>
  <c r="BC830" i="2"/>
  <c r="DF830" i="2"/>
  <c r="BC833" i="2"/>
  <c r="AV834" i="2"/>
  <c r="DH836" i="2"/>
  <c r="BD837" i="2"/>
  <c r="AY842" i="2"/>
  <c r="AV843" i="2"/>
  <c r="BG843" i="2"/>
  <c r="DB847" i="2"/>
  <c r="BE848" i="2"/>
  <c r="BC848" i="2"/>
  <c r="AZ848" i="2"/>
  <c r="DE849" i="2"/>
  <c r="DK849" i="2" s="1"/>
  <c r="DG852" i="2"/>
  <c r="BD856" i="2"/>
  <c r="AY856" i="2"/>
  <c r="BF858" i="2"/>
  <c r="DG860" i="2"/>
  <c r="CY860" i="2"/>
  <c r="CZ860" i="2"/>
  <c r="CX860" i="2"/>
  <c r="DI860" i="2"/>
  <c r="DL860" i="2" s="1"/>
  <c r="DH860" i="2"/>
  <c r="DF860" i="2"/>
  <c r="DE860" i="2"/>
  <c r="DK860" i="2" s="1"/>
  <c r="DD860" i="2"/>
  <c r="DC860" i="2"/>
  <c r="DB860" i="2"/>
  <c r="AY812" i="2"/>
  <c r="AZ813" i="2"/>
  <c r="DB817" i="2"/>
  <c r="DF821" i="2"/>
  <c r="AZ825" i="2"/>
  <c r="DA829" i="2"/>
  <c r="DJ829" i="2" s="1"/>
  <c r="BD833" i="2"/>
  <c r="CX834" i="2"/>
  <c r="DH839" i="2"/>
  <c r="DB839" i="2"/>
  <c r="DA839" i="2"/>
  <c r="DJ839" i="2" s="1"/>
  <c r="CY839" i="2"/>
  <c r="AY845" i="2"/>
  <c r="AX845" i="2"/>
  <c r="DF849" i="2"/>
  <c r="DE851" i="2"/>
  <c r="DK851" i="2" s="1"/>
  <c r="DD851" i="2"/>
  <c r="DC851" i="2"/>
  <c r="DB851" i="2"/>
  <c r="DA851" i="2"/>
  <c r="DJ851" i="2" s="1"/>
  <c r="CY851" i="2"/>
  <c r="CX851" i="2"/>
  <c r="DI851" i="2"/>
  <c r="DL851" i="2" s="1"/>
  <c r="DD865" i="2"/>
  <c r="DA865" i="2"/>
  <c r="DJ865" i="2" s="1"/>
  <c r="DH865" i="2"/>
  <c r="DG865" i="2"/>
  <c r="DF865" i="2"/>
  <c r="DE865" i="2"/>
  <c r="DK865" i="2" s="1"/>
  <c r="DC865" i="2"/>
  <c r="DB865" i="2"/>
  <c r="CZ865" i="2"/>
  <c r="CY865" i="2"/>
  <c r="CX865" i="2"/>
  <c r="AX828" i="2"/>
  <c r="DB829" i="2"/>
  <c r="AZ834" i="2"/>
  <c r="CY834" i="2"/>
  <c r="DD835" i="2"/>
  <c r="CX835" i="2"/>
  <c r="AY840" i="2"/>
  <c r="BC845" i="2"/>
  <c r="DG849" i="2"/>
  <c r="BD858" i="2"/>
  <c r="BG876" i="2"/>
  <c r="AV876" i="2"/>
  <c r="CZ813" i="2"/>
  <c r="DB815" i="2"/>
  <c r="DD817" i="2"/>
  <c r="DH821" i="2"/>
  <c r="AV823" i="2"/>
  <c r="DC829" i="2"/>
  <c r="DI830" i="2"/>
  <c r="DL830" i="2" s="1"/>
  <c r="AZ831" i="2"/>
  <c r="AW831" i="2" s="1"/>
  <c r="CZ834" i="2"/>
  <c r="AV835" i="2"/>
  <c r="DG838" i="2"/>
  <c r="DA838" i="2"/>
  <c r="DJ838" i="2" s="1"/>
  <c r="CZ838" i="2"/>
  <c r="CX838" i="2"/>
  <c r="BD842" i="2"/>
  <c r="CY845" i="2"/>
  <c r="CX845" i="2"/>
  <c r="DH845" i="2"/>
  <c r="DG845" i="2"/>
  <c r="DE845" i="2"/>
  <c r="DK845" i="2" s="1"/>
  <c r="AW847" i="2"/>
  <c r="AZ851" i="2"/>
  <c r="DA813" i="2"/>
  <c r="DJ813" i="2" s="1"/>
  <c r="DC815" i="2"/>
  <c r="DE817" i="2"/>
  <c r="DK817" i="2" s="1"/>
  <c r="AX824" i="2"/>
  <c r="DD829" i="2"/>
  <c r="BC831" i="2"/>
  <c r="AW833" i="2"/>
  <c r="BD834" i="2"/>
  <c r="DA834" i="2"/>
  <c r="DJ834" i="2" s="1"/>
  <c r="AV839" i="2"/>
  <c r="AV848" i="2"/>
  <c r="BD849" i="2"/>
  <c r="AY849" i="2"/>
  <c r="AX849" i="2"/>
  <c r="BF851" i="2"/>
  <c r="DF852" i="2"/>
  <c r="DE852" i="2"/>
  <c r="DK852" i="2" s="1"/>
  <c r="DD852" i="2"/>
  <c r="DC852" i="2"/>
  <c r="DB852" i="2"/>
  <c r="CZ852" i="2"/>
  <c r="CY852" i="2"/>
  <c r="CX852" i="2"/>
  <c r="DD857" i="2"/>
  <c r="DI857" i="2"/>
  <c r="DL857" i="2" s="1"/>
  <c r="DH857" i="2"/>
  <c r="DG857" i="2"/>
  <c r="DF857" i="2"/>
  <c r="DE857" i="2"/>
  <c r="DK857" i="2" s="1"/>
  <c r="DC857" i="2"/>
  <c r="DB857" i="2"/>
  <c r="DA857" i="2"/>
  <c r="DJ857" i="2" s="1"/>
  <c r="CZ857" i="2"/>
  <c r="CY857" i="2"/>
  <c r="CX857" i="2"/>
  <c r="AW868" i="2"/>
  <c r="AX823" i="2"/>
  <c r="AY824" i="2"/>
  <c r="BD828" i="2"/>
  <c r="DE829" i="2"/>
  <c r="DK829" i="2" s="1"/>
  <c r="DB834" i="2"/>
  <c r="BC836" i="2"/>
  <c r="AZ836" i="2"/>
  <c r="DE836" i="2"/>
  <c r="DK836" i="2" s="1"/>
  <c r="CY836" i="2"/>
  <c r="CX836" i="2"/>
  <c r="BG842" i="2"/>
  <c r="BE849" i="2"/>
  <c r="BC849" i="2"/>
  <c r="DC849" i="2"/>
  <c r="DB849" i="2"/>
  <c r="DA849" i="2"/>
  <c r="DJ849" i="2" s="1"/>
  <c r="CZ849" i="2"/>
  <c r="CY849" i="2"/>
  <c r="DI849" i="2"/>
  <c r="DL849" i="2" s="1"/>
  <c r="DC854" i="2"/>
  <c r="AX806" i="2"/>
  <c r="CY809" i="2"/>
  <c r="DC813" i="2"/>
  <c r="DE815" i="2"/>
  <c r="DK815" i="2" s="1"/>
  <c r="DG817" i="2"/>
  <c r="AX822" i="2"/>
  <c r="AZ824" i="2"/>
  <c r="CX824" i="2"/>
  <c r="AZ829" i="2"/>
  <c r="DF829" i="2"/>
  <c r="DD834" i="2"/>
  <c r="BC835" i="2"/>
  <c r="CZ835" i="2"/>
  <c r="AX839" i="2"/>
  <c r="CZ839" i="2"/>
  <c r="BG840" i="2"/>
  <c r="BD840" i="2"/>
  <c r="CY843" i="2"/>
  <c r="BD847" i="2"/>
  <c r="AY847" i="2"/>
  <c r="BF849" i="2"/>
  <c r="AV849" i="2"/>
  <c r="BF853" i="2"/>
  <c r="CZ809" i="2"/>
  <c r="AX821" i="2"/>
  <c r="AZ823" i="2"/>
  <c r="CY824" i="2"/>
  <c r="DG829" i="2"/>
  <c r="BG831" i="2"/>
  <c r="AY834" i="2"/>
  <c r="AX834" i="2"/>
  <c r="DE834" i="2"/>
  <c r="DK834" i="2" s="1"/>
  <c r="DA835" i="2"/>
  <c r="DJ835" i="2" s="1"/>
  <c r="DF837" i="2"/>
  <c r="CZ837" i="2"/>
  <c r="CY837" i="2"/>
  <c r="AY839" i="2"/>
  <c r="DC839" i="2"/>
  <c r="CZ843" i="2"/>
  <c r="BC844" i="2"/>
  <c r="BE847" i="2"/>
  <c r="BC847" i="2"/>
  <c r="AZ847" i="2"/>
  <c r="DA847" i="2"/>
  <c r="DJ847" i="2" s="1"/>
  <c r="CZ847" i="2"/>
  <c r="CY847" i="2"/>
  <c r="CX847" i="2"/>
  <c r="DI847" i="2"/>
  <c r="DL847" i="2" s="1"/>
  <c r="DG847" i="2"/>
  <c r="BD853" i="2"/>
  <c r="CX855" i="2"/>
  <c r="DA870" i="2"/>
  <c r="DJ870" i="2" s="1"/>
  <c r="CZ870" i="2"/>
  <c r="CY870" i="2"/>
  <c r="DI870" i="2"/>
  <c r="DL870" i="2" s="1"/>
  <c r="DF870" i="2"/>
  <c r="DE870" i="2"/>
  <c r="DK870" i="2" s="1"/>
  <c r="DD870" i="2"/>
  <c r="DC870" i="2"/>
  <c r="DB870" i="2"/>
  <c r="CX870" i="2"/>
  <c r="DH870" i="2"/>
  <c r="AZ827" i="2"/>
  <c r="DH829" i="2"/>
  <c r="AX830" i="2"/>
  <c r="BD831" i="2"/>
  <c r="AY832" i="2"/>
  <c r="DF834" i="2"/>
  <c r="BE835" i="2"/>
  <c r="AZ839" i="2"/>
  <c r="DD839" i="2"/>
  <c r="AV840" i="2"/>
  <c r="BF840" i="2"/>
  <c r="AW841" i="2"/>
  <c r="BF842" i="2"/>
  <c r="BD843" i="2"/>
  <c r="DA843" i="2"/>
  <c r="DJ843" i="2" s="1"/>
  <c r="BD844" i="2"/>
  <c r="BC851" i="2"/>
  <c r="AY852" i="2"/>
  <c r="AW852" i="2" s="1"/>
  <c r="BC853" i="2"/>
  <c r="AW855" i="2"/>
  <c r="AY828" i="2"/>
  <c r="DI829" i="2"/>
  <c r="DL829" i="2" s="1"/>
  <c r="CZ836" i="2"/>
  <c r="BE843" i="2"/>
  <c r="BE844" i="2"/>
  <c r="BC850" i="2"/>
  <c r="DH854" i="2"/>
  <c r="DG854" i="2"/>
  <c r="DF854" i="2"/>
  <c r="DE854" i="2"/>
  <c r="DK854" i="2" s="1"/>
  <c r="DD854" i="2"/>
  <c r="DB854" i="2"/>
  <c r="DA854" i="2"/>
  <c r="DJ854" i="2" s="1"/>
  <c r="CZ854" i="2"/>
  <c r="CY854" i="2"/>
  <c r="CX854" i="2"/>
  <c r="BF865" i="2"/>
  <c r="BC865" i="2"/>
  <c r="AY865" i="2"/>
  <c r="CY868" i="2"/>
  <c r="CX868" i="2"/>
  <c r="DG868" i="2"/>
  <c r="DD868" i="2"/>
  <c r="BD870" i="2"/>
  <c r="AX870" i="2"/>
  <c r="BG874" i="2"/>
  <c r="BD874" i="2"/>
  <c r="AV874" i="2"/>
  <c r="DI878" i="2"/>
  <c r="DL878" i="2" s="1"/>
  <c r="DH878" i="2"/>
  <c r="DG878" i="2"/>
  <c r="DF878" i="2"/>
  <c r="DD878" i="2"/>
  <c r="DC878" i="2"/>
  <c r="DB878" i="2"/>
  <c r="DA878" i="2"/>
  <c r="DJ878" i="2" s="1"/>
  <c r="CY878" i="2"/>
  <c r="CX878" i="2"/>
  <c r="AY857" i="2"/>
  <c r="BF860" i="2"/>
  <c r="DB862" i="2"/>
  <c r="DD863" i="2"/>
  <c r="BD864" i="2"/>
  <c r="BD867" i="2"/>
  <c r="DB867" i="2"/>
  <c r="BC869" i="2"/>
  <c r="BE870" i="2"/>
  <c r="BC870" i="2"/>
  <c r="BD871" i="2"/>
  <c r="AY871" i="2"/>
  <c r="AX871" i="2"/>
  <c r="AW872" i="2"/>
  <c r="BG884" i="2"/>
  <c r="AV884" i="2"/>
  <c r="BD888" i="2"/>
  <c r="AY890" i="2"/>
  <c r="BG890" i="2"/>
  <c r="BD890" i="2"/>
  <c r="AX890" i="2"/>
  <c r="AV900" i="2"/>
  <c r="BG900" i="2"/>
  <c r="AX854" i="2"/>
  <c r="DF856" i="2"/>
  <c r="AZ857" i="2"/>
  <c r="AV858" i="2"/>
  <c r="BD862" i="2"/>
  <c r="DE863" i="2"/>
  <c r="DK863" i="2" s="1"/>
  <c r="BE867" i="2"/>
  <c r="DD867" i="2"/>
  <c r="CZ869" i="2"/>
  <c r="CY869" i="2"/>
  <c r="CX869" i="2"/>
  <c r="DH869" i="2"/>
  <c r="DE869" i="2"/>
  <c r="DK869" i="2" s="1"/>
  <c r="AW875" i="2"/>
  <c r="BE878" i="2"/>
  <c r="BC878" i="2"/>
  <c r="AZ878" i="2"/>
  <c r="AY878" i="2"/>
  <c r="DH879" i="2"/>
  <c r="DG879" i="2"/>
  <c r="DF879" i="2"/>
  <c r="DE879" i="2"/>
  <c r="DK879" i="2" s="1"/>
  <c r="DC879" i="2"/>
  <c r="DB879" i="2"/>
  <c r="DA879" i="2"/>
  <c r="DJ879" i="2" s="1"/>
  <c r="DE880" i="2"/>
  <c r="DK880" i="2" s="1"/>
  <c r="DF887" i="2"/>
  <c r="DB887" i="2"/>
  <c r="DI887" i="2"/>
  <c r="DL887" i="2" s="1"/>
  <c r="DH887" i="2"/>
  <c r="DG887" i="2"/>
  <c r="DE887" i="2"/>
  <c r="DK887" i="2" s="1"/>
  <c r="DC887" i="2"/>
  <c r="DA887" i="2"/>
  <c r="DJ887" i="2" s="1"/>
  <c r="CZ887" i="2"/>
  <c r="CY887" i="2"/>
  <c r="CX887" i="2"/>
  <c r="BC857" i="2"/>
  <c r="DF863" i="2"/>
  <c r="DE867" i="2"/>
  <c r="DK867" i="2" s="1"/>
  <c r="CZ873" i="2"/>
  <c r="BF878" i="2"/>
  <c r="AY879" i="2"/>
  <c r="AX879" i="2"/>
  <c r="BE879" i="2"/>
  <c r="BF890" i="2"/>
  <c r="BC890" i="2"/>
  <c r="AV890" i="2"/>
  <c r="CZ904" i="2"/>
  <c r="CY904" i="2"/>
  <c r="CX904" i="2"/>
  <c r="DI904" i="2"/>
  <c r="DL904" i="2" s="1"/>
  <c r="DG904" i="2"/>
  <c r="DE904" i="2"/>
  <c r="DK904" i="2" s="1"/>
  <c r="DD904" i="2"/>
  <c r="DC904" i="2"/>
  <c r="DF904" i="2"/>
  <c r="DB904" i="2"/>
  <c r="DA904" i="2"/>
  <c r="DJ904" i="2" s="1"/>
  <c r="DH904" i="2"/>
  <c r="AY853" i="2"/>
  <c r="AZ854" i="2"/>
  <c r="DH856" i="2"/>
  <c r="BC860" i="2"/>
  <c r="BG861" i="2"/>
  <c r="DE862" i="2"/>
  <c r="DK862" i="2" s="1"/>
  <c r="BC863" i="2"/>
  <c r="DG863" i="2"/>
  <c r="CZ866" i="2"/>
  <c r="AY867" i="2"/>
  <c r="AX867" i="2"/>
  <c r="DG867" i="2"/>
  <c r="AY872" i="2"/>
  <c r="AV873" i="2"/>
  <c r="DA873" i="2"/>
  <c r="DJ873" i="2" s="1"/>
  <c r="BF875" i="2"/>
  <c r="DF875" i="2"/>
  <c r="DE875" i="2"/>
  <c r="DK875" i="2" s="1"/>
  <c r="DD875" i="2"/>
  <c r="DC875" i="2"/>
  <c r="DA875" i="2"/>
  <c r="DJ875" i="2" s="1"/>
  <c r="CZ875" i="2"/>
  <c r="CY875" i="2"/>
  <c r="CX875" i="2"/>
  <c r="DB880" i="2"/>
  <c r="DA880" i="2"/>
  <c r="DJ880" i="2" s="1"/>
  <c r="CZ880" i="2"/>
  <c r="CY880" i="2"/>
  <c r="DH880" i="2"/>
  <c r="DG880" i="2"/>
  <c r="DF880" i="2"/>
  <c r="DE886" i="2"/>
  <c r="DK886" i="2" s="1"/>
  <c r="DA886" i="2"/>
  <c r="DJ886" i="2" s="1"/>
  <c r="DH886" i="2"/>
  <c r="DG886" i="2"/>
  <c r="DF886" i="2"/>
  <c r="DD886" i="2"/>
  <c r="DC886" i="2"/>
  <c r="DB886" i="2"/>
  <c r="CZ886" i="2"/>
  <c r="CY886" i="2"/>
  <c r="DI856" i="2"/>
  <c r="DL856" i="2" s="1"/>
  <c r="BD861" i="2"/>
  <c r="AY861" i="2"/>
  <c r="DF862" i="2"/>
  <c r="BF863" i="2"/>
  <c r="BD866" i="2"/>
  <c r="DH867" i="2"/>
  <c r="AV869" i="2"/>
  <c r="DB871" i="2"/>
  <c r="DA871" i="2"/>
  <c r="DJ871" i="2" s="1"/>
  <c r="CZ871" i="2"/>
  <c r="DG871" i="2"/>
  <c r="BE872" i="2"/>
  <c r="AZ872" i="2"/>
  <c r="DE873" i="2"/>
  <c r="DK873" i="2" s="1"/>
  <c r="BD880" i="2"/>
  <c r="AY880" i="2"/>
  <c r="AX880" i="2"/>
  <c r="DG928" i="2"/>
  <c r="DF928" i="2"/>
  <c r="DE928" i="2"/>
  <c r="DK928" i="2" s="1"/>
  <c r="DC928" i="2"/>
  <c r="DB928" i="2"/>
  <c r="DA928" i="2"/>
  <c r="DJ928" i="2" s="1"/>
  <c r="CZ928" i="2"/>
  <c r="CY928" i="2"/>
  <c r="DI928" i="2"/>
  <c r="DL928" i="2" s="1"/>
  <c r="DH928" i="2"/>
  <c r="DD928" i="2"/>
  <c r="CX928" i="2"/>
  <c r="BG841" i="2"/>
  <c r="AX850" i="2"/>
  <c r="AY851" i="2"/>
  <c r="AZ852" i="2"/>
  <c r="CY853" i="2"/>
  <c r="BE862" i="2"/>
  <c r="AZ862" i="2"/>
  <c r="AV864" i="2"/>
  <c r="BG864" i="2"/>
  <c r="BE866" i="2"/>
  <c r="DC866" i="2"/>
  <c r="CZ868" i="2"/>
  <c r="AV871" i="2"/>
  <c r="AY873" i="2"/>
  <c r="DF873" i="2"/>
  <c r="BE880" i="2"/>
  <c r="BC880" i="2"/>
  <c r="AV891" i="2"/>
  <c r="BG891" i="2"/>
  <c r="BD891" i="2"/>
  <c r="CZ853" i="2"/>
  <c r="CX858" i="2"/>
  <c r="DF859" i="2"/>
  <c r="CX859" i="2"/>
  <c r="DD866" i="2"/>
  <c r="DA868" i="2"/>
  <c r="DJ868" i="2" s="1"/>
  <c r="DG873" i="2"/>
  <c r="CX882" i="2"/>
  <c r="DD885" i="2"/>
  <c r="CZ885" i="2"/>
  <c r="DC885" i="2"/>
  <c r="DB885" i="2"/>
  <c r="DA885" i="2"/>
  <c r="DJ885" i="2" s="1"/>
  <c r="CY885" i="2"/>
  <c r="DI885" i="2"/>
  <c r="DL885" i="2" s="1"/>
  <c r="DH885" i="2"/>
  <c r="BE893" i="2"/>
  <c r="DA853" i="2"/>
  <c r="DJ853" i="2" s="1"/>
  <c r="CY858" i="2"/>
  <c r="AY866" i="2"/>
  <c r="AX866" i="2"/>
  <c r="BD868" i="2"/>
  <c r="DB868" i="2"/>
  <c r="AV879" i="2"/>
  <c r="BG879" i="2"/>
  <c r="CY882" i="2"/>
  <c r="DI863" i="2"/>
  <c r="DL863" i="2" s="1"/>
  <c r="DB863" i="2"/>
  <c r="CY863" i="2"/>
  <c r="CX867" i="2"/>
  <c r="DF867" i="2"/>
  <c r="DC867" i="2"/>
  <c r="DC868" i="2"/>
  <c r="BE874" i="2"/>
  <c r="DC884" i="2"/>
  <c r="CY884" i="2"/>
  <c r="DI884" i="2"/>
  <c r="DL884" i="2" s="1"/>
  <c r="DH884" i="2"/>
  <c r="DG884" i="2"/>
  <c r="DE884" i="2"/>
  <c r="DK884" i="2" s="1"/>
  <c r="DD884" i="2"/>
  <c r="DB884" i="2"/>
  <c r="DA884" i="2"/>
  <c r="DJ884" i="2" s="1"/>
  <c r="CZ884" i="2"/>
  <c r="CX884" i="2"/>
  <c r="BE889" i="2"/>
  <c r="BC889" i="2"/>
  <c r="AZ889" i="2"/>
  <c r="AY889" i="2"/>
  <c r="CZ850" i="2"/>
  <c r="DC853" i="2"/>
  <c r="DA858" i="2"/>
  <c r="DJ858" i="2" s="1"/>
  <c r="AX859" i="2"/>
  <c r="DI862" i="2"/>
  <c r="DL862" i="2" s="1"/>
  <c r="DH862" i="2"/>
  <c r="DA862" i="2"/>
  <c r="DJ862" i="2" s="1"/>
  <c r="CX862" i="2"/>
  <c r="BF866" i="2"/>
  <c r="DE868" i="2"/>
  <c r="DK868" i="2" s="1"/>
  <c r="DA869" i="2"/>
  <c r="DJ869" i="2" s="1"/>
  <c r="BC873" i="2"/>
  <c r="AZ873" i="2"/>
  <c r="BG875" i="2"/>
  <c r="BD875" i="2"/>
  <c r="AV875" i="2"/>
  <c r="BD876" i="2"/>
  <c r="DG876" i="2"/>
  <c r="DF876" i="2"/>
  <c r="DE876" i="2"/>
  <c r="DK876" i="2" s="1"/>
  <c r="DD876" i="2"/>
  <c r="DB876" i="2"/>
  <c r="DA876" i="2"/>
  <c r="DJ876" i="2" s="1"/>
  <c r="CZ876" i="2"/>
  <c r="CY876" i="2"/>
  <c r="AV877" i="2"/>
  <c r="BE885" i="2"/>
  <c r="BC885" i="2"/>
  <c r="AZ885" i="2"/>
  <c r="AV887" i="2"/>
  <c r="BD887" i="2"/>
  <c r="AZ896" i="2"/>
  <c r="DA850" i="2"/>
  <c r="DJ850" i="2" s="1"/>
  <c r="DD853" i="2"/>
  <c r="AV855" i="2"/>
  <c r="CX856" i="2"/>
  <c r="DB858" i="2"/>
  <c r="AY859" i="2"/>
  <c r="AW864" i="2"/>
  <c r="DF868" i="2"/>
  <c r="AX869" i="2"/>
  <c r="BF873" i="2"/>
  <c r="DD873" i="2"/>
  <c r="DC873" i="2"/>
  <c r="DB873" i="2"/>
  <c r="CY873" i="2"/>
  <c r="CX873" i="2"/>
  <c r="DI873" i="2"/>
  <c r="DL873" i="2" s="1"/>
  <c r="AY874" i="2"/>
  <c r="BC876" i="2"/>
  <c r="CX891" i="2"/>
  <c r="DH891" i="2"/>
  <c r="DG891" i="2"/>
  <c r="DF891" i="2"/>
  <c r="DI891" i="2"/>
  <c r="DL891" i="2" s="1"/>
  <c r="DE891" i="2"/>
  <c r="DK891" i="2" s="1"/>
  <c r="DD891" i="2"/>
  <c r="DC891" i="2"/>
  <c r="DB891" i="2"/>
  <c r="DA891" i="2"/>
  <c r="DJ891" i="2" s="1"/>
  <c r="CZ891" i="2"/>
  <c r="CY891" i="2"/>
  <c r="AX844" i="2"/>
  <c r="DB850" i="2"/>
  <c r="DE853" i="2"/>
  <c r="DK853" i="2" s="1"/>
  <c r="BC856" i="2"/>
  <c r="CY856" i="2"/>
  <c r="BG858" i="2"/>
  <c r="DC858" i="2"/>
  <c r="BC859" i="2"/>
  <c r="AY864" i="2"/>
  <c r="AW865" i="2"/>
  <c r="AY868" i="2"/>
  <c r="DH868" i="2"/>
  <c r="AY869" i="2"/>
  <c r="DC869" i="2"/>
  <c r="AY870" i="2"/>
  <c r="CY871" i="2"/>
  <c r="BC877" i="2"/>
  <c r="DE878" i="2"/>
  <c r="DK878" i="2" s="1"/>
  <c r="DI882" i="2"/>
  <c r="DL882" i="2" s="1"/>
  <c r="DG882" i="2"/>
  <c r="DF882" i="2"/>
  <c r="DE882" i="2"/>
  <c r="DK882" i="2" s="1"/>
  <c r="DD882" i="2"/>
  <c r="DB882" i="2"/>
  <c r="DA882" i="2"/>
  <c r="DJ882" i="2" s="1"/>
  <c r="CZ882" i="2"/>
  <c r="BD884" i="2"/>
  <c r="AY884" i="2"/>
  <c r="AX884" i="2"/>
  <c r="AY900" i="2"/>
  <c r="AZ845" i="2"/>
  <c r="DC850" i="2"/>
  <c r="DF853" i="2"/>
  <c r="CZ856" i="2"/>
  <c r="AY858" i="2"/>
  <c r="DD858" i="2"/>
  <c r="DA859" i="2"/>
  <c r="DJ859" i="2" s="1"/>
  <c r="AY860" i="2"/>
  <c r="AW860" i="2" s="1"/>
  <c r="DH861" i="2"/>
  <c r="CZ861" i="2"/>
  <c r="CX863" i="2"/>
  <c r="AZ864" i="2"/>
  <c r="BE865" i="2"/>
  <c r="BC868" i="2"/>
  <c r="AZ868" i="2"/>
  <c r="DI868" i="2"/>
  <c r="DL868" i="2" s="1"/>
  <c r="DD869" i="2"/>
  <c r="AZ870" i="2"/>
  <c r="DC871" i="2"/>
  <c r="BD877" i="2"/>
  <c r="AY877" i="2"/>
  <c r="AX877" i="2"/>
  <c r="CX879" i="2"/>
  <c r="AZ884" i="2"/>
  <c r="BC886" i="2"/>
  <c r="DA856" i="2"/>
  <c r="DJ856" i="2" s="1"/>
  <c r="DF858" i="2"/>
  <c r="BE859" i="2"/>
  <c r="CZ863" i="2"/>
  <c r="DE866" i="2"/>
  <c r="DK866" i="2" s="1"/>
  <c r="DB866" i="2"/>
  <c r="AV867" i="2"/>
  <c r="CY867" i="2"/>
  <c r="DF869" i="2"/>
  <c r="AZ871" i="2"/>
  <c r="DD871" i="2"/>
  <c r="BG873" i="2"/>
  <c r="BE877" i="2"/>
  <c r="CY879" i="2"/>
  <c r="CX883" i="2"/>
  <c r="DA883" i="2"/>
  <c r="DJ883" i="2" s="1"/>
  <c r="CZ883" i="2"/>
  <c r="CY883" i="2"/>
  <c r="DI883" i="2"/>
  <c r="DL883" i="2" s="1"/>
  <c r="DG883" i="2"/>
  <c r="DF883" i="2"/>
  <c r="DE883" i="2"/>
  <c r="DK883" i="2" s="1"/>
  <c r="BF884" i="2"/>
  <c r="BE888" i="2"/>
  <c r="BC888" i="2"/>
  <c r="AZ888" i="2"/>
  <c r="AY888" i="2"/>
  <c r="BF903" i="2"/>
  <c r="DG918" i="2"/>
  <c r="DF918" i="2"/>
  <c r="DE918" i="2"/>
  <c r="DK918" i="2" s="1"/>
  <c r="CZ918" i="2"/>
  <c r="DC918" i="2"/>
  <c r="DB918" i="2"/>
  <c r="DA918" i="2"/>
  <c r="DJ918" i="2" s="1"/>
  <c r="CY918" i="2"/>
  <c r="CX918" i="2"/>
  <c r="DI918" i="2"/>
  <c r="DL918" i="2" s="1"/>
  <c r="DH918" i="2"/>
  <c r="BE922" i="2"/>
  <c r="BC922" i="2"/>
  <c r="AY922" i="2"/>
  <c r="AZ922" i="2"/>
  <c r="BD882" i="2"/>
  <c r="DC893" i="2"/>
  <c r="DC894" i="2"/>
  <c r="CY895" i="2"/>
  <c r="BD901" i="2"/>
  <c r="BG906" i="2"/>
  <c r="BE906" i="2"/>
  <c r="BD906" i="2"/>
  <c r="AY906" i="2"/>
  <c r="AX906" i="2"/>
  <c r="DA909" i="2"/>
  <c r="DJ909" i="2" s="1"/>
  <c r="CZ909" i="2"/>
  <c r="CY909" i="2"/>
  <c r="CX909" i="2"/>
  <c r="DI909" i="2"/>
  <c r="DL909" i="2" s="1"/>
  <c r="DG909" i="2"/>
  <c r="DE909" i="2"/>
  <c r="DK909" i="2" s="1"/>
  <c r="DD909" i="2"/>
  <c r="DC909" i="2"/>
  <c r="BD911" i="2"/>
  <c r="BG911" i="2"/>
  <c r="AY911" i="2"/>
  <c r="AX911" i="2"/>
  <c r="DA912" i="2"/>
  <c r="DJ912" i="2" s="1"/>
  <c r="CZ912" i="2"/>
  <c r="CY912" i="2"/>
  <c r="DI912" i="2"/>
  <c r="DL912" i="2" s="1"/>
  <c r="DH912" i="2"/>
  <c r="DG912" i="2"/>
  <c r="DF912" i="2"/>
  <c r="DE912" i="2"/>
  <c r="DK912" i="2" s="1"/>
  <c r="DD912" i="2"/>
  <c r="DC912" i="2"/>
  <c r="DB912" i="2"/>
  <c r="CX912" i="2"/>
  <c r="BG918" i="2"/>
  <c r="AV946" i="2"/>
  <c r="BG946" i="2"/>
  <c r="DH872" i="2"/>
  <c r="AX876" i="2"/>
  <c r="AZ883" i="2"/>
  <c r="BG888" i="2"/>
  <c r="BC892" i="2"/>
  <c r="DD893" i="2"/>
  <c r="DD894" i="2"/>
  <c r="DC895" i="2"/>
  <c r="CX896" i="2"/>
  <c r="CY897" i="2"/>
  <c r="AY901" i="2"/>
  <c r="BE901" i="2"/>
  <c r="DH901" i="2"/>
  <c r="DG901" i="2"/>
  <c r="DF901" i="2"/>
  <c r="DD901" i="2"/>
  <c r="DB901" i="2"/>
  <c r="DA901" i="2"/>
  <c r="DJ901" i="2" s="1"/>
  <c r="CZ901" i="2"/>
  <c r="BC904" i="2"/>
  <c r="DH929" i="2"/>
  <c r="DG929" i="2"/>
  <c r="DF929" i="2"/>
  <c r="DD929" i="2"/>
  <c r="DC929" i="2"/>
  <c r="DB929" i="2"/>
  <c r="DA929" i="2"/>
  <c r="DJ929" i="2" s="1"/>
  <c r="CZ929" i="2"/>
  <c r="DI929" i="2"/>
  <c r="DL929" i="2" s="1"/>
  <c r="DE929" i="2"/>
  <c r="DK929" i="2" s="1"/>
  <c r="CY929" i="2"/>
  <c r="CX929" i="2"/>
  <c r="AY881" i="2"/>
  <c r="AW881" i="2" s="1"/>
  <c r="AV889" i="2"/>
  <c r="DE893" i="2"/>
  <c r="DK893" i="2" s="1"/>
  <c r="DE894" i="2"/>
  <c r="DK894" i="2" s="1"/>
  <c r="DD895" i="2"/>
  <c r="DA897" i="2"/>
  <c r="DJ897" i="2" s="1"/>
  <c r="BG910" i="2"/>
  <c r="AV910" i="2"/>
  <c r="DG888" i="2"/>
  <c r="DC888" i="2"/>
  <c r="DH889" i="2"/>
  <c r="DD889" i="2"/>
  <c r="DF893" i="2"/>
  <c r="DF894" i="2"/>
  <c r="AY895" i="2"/>
  <c r="DE895" i="2"/>
  <c r="DK895" i="2" s="1"/>
  <c r="DE897" i="2"/>
  <c r="DK897" i="2" s="1"/>
  <c r="AY898" i="2"/>
  <c r="BG899" i="2"/>
  <c r="DA908" i="2"/>
  <c r="DJ908" i="2" s="1"/>
  <c r="CZ877" i="2"/>
  <c r="CY881" i="2"/>
  <c r="AY882" i="2"/>
  <c r="BG886" i="2"/>
  <c r="AZ887" i="2"/>
  <c r="AW887" i="2" s="1"/>
  <c r="DI890" i="2"/>
  <c r="DL890" i="2" s="1"/>
  <c r="DE890" i="2"/>
  <c r="DK890" i="2" s="1"/>
  <c r="AY891" i="2"/>
  <c r="BD893" i="2"/>
  <c r="AX893" i="2"/>
  <c r="BD894" i="2"/>
  <c r="AY894" i="2"/>
  <c r="AW894" i="2" s="1"/>
  <c r="DG894" i="2"/>
  <c r="DF895" i="2"/>
  <c r="AV896" i="2"/>
  <c r="DE896" i="2"/>
  <c r="DK896" i="2" s="1"/>
  <c r="BE898" i="2"/>
  <c r="BD899" i="2"/>
  <c r="DF899" i="2"/>
  <c r="DE899" i="2"/>
  <c r="DK899" i="2" s="1"/>
  <c r="DD899" i="2"/>
  <c r="DB899" i="2"/>
  <c r="CZ899" i="2"/>
  <c r="CY899" i="2"/>
  <c r="CX899" i="2"/>
  <c r="CX900" i="2"/>
  <c r="BD904" i="2"/>
  <c r="AW928" i="2"/>
  <c r="BC957" i="2"/>
  <c r="BF957" i="2"/>
  <c r="DA877" i="2"/>
  <c r="DJ877" i="2" s="1"/>
  <c r="BD881" i="2"/>
  <c r="AW888" i="2"/>
  <c r="BC893" i="2"/>
  <c r="AZ893" i="2"/>
  <c r="BE894" i="2"/>
  <c r="BC894" i="2"/>
  <c r="DG895" i="2"/>
  <c r="BC897" i="2"/>
  <c r="AY902" i="2"/>
  <c r="AX902" i="2"/>
  <c r="AV904" i="2"/>
  <c r="BC905" i="2"/>
  <c r="AY905" i="2"/>
  <c r="BC909" i="2"/>
  <c r="AV909" i="2"/>
  <c r="AY912" i="2"/>
  <c r="AW912" i="2" s="1"/>
  <c r="CY874" i="2"/>
  <c r="DB877" i="2"/>
  <c r="BE881" i="2"/>
  <c r="BE886" i="2"/>
  <c r="CZ893" i="2"/>
  <c r="CY893" i="2"/>
  <c r="CX893" i="2"/>
  <c r="DI893" i="2"/>
  <c r="DL893" i="2" s="1"/>
  <c r="DH893" i="2"/>
  <c r="BD895" i="2"/>
  <c r="AX895" i="2"/>
  <c r="DH895" i="2"/>
  <c r="BC906" i="2"/>
  <c r="AZ906" i="2"/>
  <c r="DI908" i="2"/>
  <c r="DL908" i="2" s="1"/>
  <c r="DH908" i="2"/>
  <c r="DG908" i="2"/>
  <c r="DF908" i="2"/>
  <c r="DE908" i="2"/>
  <c r="DK908" i="2" s="1"/>
  <c r="DD908" i="2"/>
  <c r="DB908" i="2"/>
  <c r="CZ908" i="2"/>
  <c r="CY908" i="2"/>
  <c r="CX908" i="2"/>
  <c r="DB913" i="2"/>
  <c r="DA913" i="2"/>
  <c r="DJ913" i="2" s="1"/>
  <c r="CZ913" i="2"/>
  <c r="DI913" i="2"/>
  <c r="DL913" i="2" s="1"/>
  <c r="DH913" i="2"/>
  <c r="DG913" i="2"/>
  <c r="DF913" i="2"/>
  <c r="DE913" i="2"/>
  <c r="DK913" i="2" s="1"/>
  <c r="DD913" i="2"/>
  <c r="CY913" i="2"/>
  <c r="CX913" i="2"/>
  <c r="CZ874" i="2"/>
  <c r="DC877" i="2"/>
  <c r="DB881" i="2"/>
  <c r="CY888" i="2"/>
  <c r="CX889" i="2"/>
  <c r="BE891" i="2"/>
  <c r="BE895" i="2"/>
  <c r="AZ895" i="2"/>
  <c r="AY896" i="2"/>
  <c r="AX896" i="2"/>
  <c r="BD897" i="2"/>
  <c r="AV902" i="2"/>
  <c r="BF902" i="2"/>
  <c r="BD905" i="2"/>
  <c r="AV905" i="2"/>
  <c r="BD909" i="2"/>
  <c r="AY909" i="2"/>
  <c r="DA894" i="2"/>
  <c r="DJ894" i="2" s="1"/>
  <c r="CZ894" i="2"/>
  <c r="CY894" i="2"/>
  <c r="DI894" i="2"/>
  <c r="DL894" i="2" s="1"/>
  <c r="DB895" i="2"/>
  <c r="DA895" i="2"/>
  <c r="DJ895" i="2" s="1"/>
  <c r="CZ895" i="2"/>
  <c r="CX895" i="2"/>
  <c r="BE896" i="2"/>
  <c r="BC896" i="2"/>
  <c r="AZ897" i="2"/>
  <c r="AW903" i="2"/>
  <c r="AZ919" i="2"/>
  <c r="AW919" i="2" s="1"/>
  <c r="BE919" i="2"/>
  <c r="BC919" i="2"/>
  <c r="DE877" i="2"/>
  <c r="DK877" i="2" s="1"/>
  <c r="AX883" i="2"/>
  <c r="BC884" i="2"/>
  <c r="DA888" i="2"/>
  <c r="DJ888" i="2" s="1"/>
  <c r="BD889" i="2"/>
  <c r="CZ889" i="2"/>
  <c r="AV893" i="2"/>
  <c r="AV894" i="2"/>
  <c r="BF897" i="2"/>
  <c r="DH897" i="2"/>
  <c r="DD897" i="2"/>
  <c r="DC897" i="2"/>
  <c r="DB897" i="2"/>
  <c r="CZ897" i="2"/>
  <c r="CX897" i="2"/>
  <c r="AZ869" i="2"/>
  <c r="DA872" i="2"/>
  <c r="DJ872" i="2" s="1"/>
  <c r="DC874" i="2"/>
  <c r="DF877" i="2"/>
  <c r="DE881" i="2"/>
  <c r="DK881" i="2" s="1"/>
  <c r="AY883" i="2"/>
  <c r="DB888" i="2"/>
  <c r="DA889" i="2"/>
  <c r="DJ889" i="2" s="1"/>
  <c r="AX892" i="2"/>
  <c r="AX900" i="2"/>
  <c r="BD900" i="2"/>
  <c r="DG900" i="2"/>
  <c r="DF900" i="2"/>
  <c r="DE900" i="2"/>
  <c r="DK900" i="2" s="1"/>
  <c r="DC900" i="2"/>
  <c r="DA900" i="2"/>
  <c r="DJ900" i="2" s="1"/>
  <c r="CZ900" i="2"/>
  <c r="CY900" i="2"/>
  <c r="BG902" i="2"/>
  <c r="CY903" i="2"/>
  <c r="CX903" i="2"/>
  <c r="DI903" i="2"/>
  <c r="DL903" i="2" s="1"/>
  <c r="DH903" i="2"/>
  <c r="DF903" i="2"/>
  <c r="DD903" i="2"/>
  <c r="DC903" i="2"/>
  <c r="DB903" i="2"/>
  <c r="DG907" i="2"/>
  <c r="DF907" i="2"/>
  <c r="DE907" i="2"/>
  <c r="DK907" i="2" s="1"/>
  <c r="DD907" i="2"/>
  <c r="DC907" i="2"/>
  <c r="DB907" i="2"/>
  <c r="DA907" i="2"/>
  <c r="DJ907" i="2" s="1"/>
  <c r="CZ907" i="2"/>
  <c r="CY907" i="2"/>
  <c r="DI907" i="2"/>
  <c r="DL907" i="2" s="1"/>
  <c r="BF915" i="2"/>
  <c r="BD915" i="2"/>
  <c r="BG916" i="2"/>
  <c r="BD916" i="2"/>
  <c r="AV916" i="2"/>
  <c r="DB872" i="2"/>
  <c r="DD874" i="2"/>
  <c r="DG877" i="2"/>
  <c r="DF881" i="2"/>
  <c r="BF887" i="2"/>
  <c r="DD888" i="2"/>
  <c r="DB889" i="2"/>
  <c r="AV895" i="2"/>
  <c r="DC896" i="2"/>
  <c r="DB896" i="2"/>
  <c r="DA896" i="2"/>
  <c r="DJ896" i="2" s="1"/>
  <c r="CY896" i="2"/>
  <c r="BE900" i="2"/>
  <c r="CZ911" i="2"/>
  <c r="CY911" i="2"/>
  <c r="CX911" i="2"/>
  <c r="DF911" i="2"/>
  <c r="DE911" i="2"/>
  <c r="DK911" i="2" s="1"/>
  <c r="DD911" i="2"/>
  <c r="DC911" i="2"/>
  <c r="DB911" i="2"/>
  <c r="DA911" i="2"/>
  <c r="DJ911" i="2" s="1"/>
  <c r="DI911" i="2"/>
  <c r="DL911" i="2" s="1"/>
  <c r="DH911" i="2"/>
  <c r="DD918" i="2"/>
  <c r="DE888" i="2"/>
  <c r="DK888" i="2" s="1"/>
  <c r="BG889" i="2"/>
  <c r="DC889" i="2"/>
  <c r="DC890" i="2"/>
  <c r="BD892" i="2"/>
  <c r="BG896" i="2"/>
  <c r="DC901" i="2"/>
  <c r="BC903" i="2"/>
  <c r="AZ903" i="2"/>
  <c r="AY903" i="2"/>
  <c r="AY904" i="2"/>
  <c r="AW904" i="2" s="1"/>
  <c r="BF912" i="2"/>
  <c r="BG924" i="2"/>
  <c r="BD924" i="2"/>
  <c r="AV924" i="2"/>
  <c r="DG892" i="2"/>
  <c r="AX897" i="2"/>
  <c r="AZ899" i="2"/>
  <c r="AW899" i="2" s="1"/>
  <c r="BC900" i="2"/>
  <c r="DA902" i="2"/>
  <c r="DJ902" i="2" s="1"/>
  <c r="BG904" i="2"/>
  <c r="DD905" i="2"/>
  <c r="DE906" i="2"/>
  <c r="DK906" i="2" s="1"/>
  <c r="AV907" i="2"/>
  <c r="BC911" i="2"/>
  <c r="AZ911" i="2"/>
  <c r="DA915" i="2"/>
  <c r="DJ915" i="2" s="1"/>
  <c r="AY918" i="2"/>
  <c r="BD918" i="2"/>
  <c r="DB919" i="2"/>
  <c r="AV920" i="2"/>
  <c r="CX920" i="2"/>
  <c r="AW922" i="2"/>
  <c r="DC922" i="2"/>
  <c r="BE923" i="2"/>
  <c r="BD923" i="2"/>
  <c r="AY923" i="2"/>
  <c r="AX923" i="2"/>
  <c r="AW926" i="2"/>
  <c r="BF935" i="2"/>
  <c r="AV935" i="2"/>
  <c r="CY977" i="2"/>
  <c r="DF977" i="2"/>
  <c r="DD977" i="2"/>
  <c r="DA977" i="2"/>
  <c r="DJ977" i="2" s="1"/>
  <c r="DC977" i="2"/>
  <c r="DB977" i="2"/>
  <c r="CZ977" i="2"/>
  <c r="CX977" i="2"/>
  <c r="DI977" i="2"/>
  <c r="DL977" i="2" s="1"/>
  <c r="DH977" i="2"/>
  <c r="DG977" i="2"/>
  <c r="DE977" i="2"/>
  <c r="DK977" i="2" s="1"/>
  <c r="DH892" i="2"/>
  <c r="AY897" i="2"/>
  <c r="AZ898" i="2"/>
  <c r="DB902" i="2"/>
  <c r="BG903" i="2"/>
  <c r="DE905" i="2"/>
  <c r="DK905" i="2" s="1"/>
  <c r="DF906" i="2"/>
  <c r="AV912" i="2"/>
  <c r="CX914" i="2"/>
  <c r="AW917" i="2"/>
  <c r="CZ920" i="2"/>
  <c r="DB923" i="2"/>
  <c r="DA923" i="2"/>
  <c r="DJ923" i="2" s="1"/>
  <c r="CZ923" i="2"/>
  <c r="CX923" i="2"/>
  <c r="DE923" i="2"/>
  <c r="DK923" i="2" s="1"/>
  <c r="DI930" i="2"/>
  <c r="DL930" i="2" s="1"/>
  <c r="DH930" i="2"/>
  <c r="DG930" i="2"/>
  <c r="DE930" i="2"/>
  <c r="DK930" i="2" s="1"/>
  <c r="DD930" i="2"/>
  <c r="DC930" i="2"/>
  <c r="DB930" i="2"/>
  <c r="DA930" i="2"/>
  <c r="DJ930" i="2" s="1"/>
  <c r="BC935" i="2"/>
  <c r="AY935" i="2"/>
  <c r="DG964" i="2"/>
  <c r="DF964" i="2"/>
  <c r="DE964" i="2"/>
  <c r="DK964" i="2" s="1"/>
  <c r="DD964" i="2"/>
  <c r="DC964" i="2"/>
  <c r="DB964" i="2"/>
  <c r="DA964" i="2"/>
  <c r="DJ964" i="2" s="1"/>
  <c r="CZ964" i="2"/>
  <c r="CY964" i="2"/>
  <c r="DI964" i="2"/>
  <c r="DL964" i="2" s="1"/>
  <c r="DH964" i="2"/>
  <c r="CX964" i="2"/>
  <c r="DI892" i="2"/>
  <c r="DL892" i="2" s="1"/>
  <c r="BC898" i="2"/>
  <c r="CY898" i="2"/>
  <c r="DC902" i="2"/>
  <c r="DF905" i="2"/>
  <c r="DG906" i="2"/>
  <c r="BD908" i="2"/>
  <c r="CY914" i="2"/>
  <c r="DA920" i="2"/>
  <c r="DJ920" i="2" s="1"/>
  <c r="BF923" i="2"/>
  <c r="DF927" i="2"/>
  <c r="DE927" i="2"/>
  <c r="DK927" i="2" s="1"/>
  <c r="DD927" i="2"/>
  <c r="DB927" i="2"/>
  <c r="DA927" i="2"/>
  <c r="DJ927" i="2" s="1"/>
  <c r="CZ927" i="2"/>
  <c r="CY927" i="2"/>
  <c r="CX927" i="2"/>
  <c r="DI927" i="2"/>
  <c r="DL927" i="2" s="1"/>
  <c r="BD935" i="2"/>
  <c r="CZ968" i="2"/>
  <c r="CY968" i="2"/>
  <c r="CX968" i="2"/>
  <c r="DI968" i="2"/>
  <c r="DL968" i="2" s="1"/>
  <c r="DH968" i="2"/>
  <c r="DG968" i="2"/>
  <c r="DF968" i="2"/>
  <c r="DE968" i="2"/>
  <c r="DK968" i="2" s="1"/>
  <c r="DD968" i="2"/>
  <c r="DC968" i="2"/>
  <c r="DB968" i="2"/>
  <c r="DA968" i="2"/>
  <c r="DJ968" i="2" s="1"/>
  <c r="DC920" i="2"/>
  <c r="BD926" i="2"/>
  <c r="BD927" i="2"/>
  <c r="AV930" i="2"/>
  <c r="BF930" i="2"/>
  <c r="BC931" i="2"/>
  <c r="AW937" i="2"/>
  <c r="DE902" i="2"/>
  <c r="DK902" i="2" s="1"/>
  <c r="DH905" i="2"/>
  <c r="DI906" i="2"/>
  <c r="DL906" i="2" s="1"/>
  <c r="AY907" i="2"/>
  <c r="AW907" i="2" s="1"/>
  <c r="AX910" i="2"/>
  <c r="AX913" i="2"/>
  <c r="DD914" i="2"/>
  <c r="DE916" i="2"/>
  <c r="DK916" i="2" s="1"/>
  <c r="DD916" i="2"/>
  <c r="DC916" i="2"/>
  <c r="CX916" i="2"/>
  <c r="CZ917" i="2"/>
  <c r="BE920" i="2"/>
  <c r="DD920" i="2"/>
  <c r="DB921" i="2"/>
  <c r="AY925" i="2"/>
  <c r="BC926" i="2"/>
  <c r="BE927" i="2"/>
  <c r="DG937" i="2"/>
  <c r="DI937" i="2"/>
  <c r="DL937" i="2" s="1"/>
  <c r="DH937" i="2"/>
  <c r="DF937" i="2"/>
  <c r="DE937" i="2"/>
  <c r="DK937" i="2" s="1"/>
  <c r="DD937" i="2"/>
  <c r="DC937" i="2"/>
  <c r="DA937" i="2"/>
  <c r="DJ937" i="2" s="1"/>
  <c r="CY937" i="2"/>
  <c r="CX937" i="2"/>
  <c r="AY952" i="2"/>
  <c r="BC925" i="2"/>
  <c r="AZ925" i="2"/>
  <c r="BG936" i="2"/>
  <c r="BE936" i="2"/>
  <c r="CY940" i="2"/>
  <c r="CZ940" i="2"/>
  <c r="CX940" i="2"/>
  <c r="DI940" i="2"/>
  <c r="DL940" i="2" s="1"/>
  <c r="DH940" i="2"/>
  <c r="DG940" i="2"/>
  <c r="DF940" i="2"/>
  <c r="DE940" i="2"/>
  <c r="DK940" i="2" s="1"/>
  <c r="DD940" i="2"/>
  <c r="DC940" i="2"/>
  <c r="DB940" i="2"/>
  <c r="BG898" i="2"/>
  <c r="DG902" i="2"/>
  <c r="BC907" i="2"/>
  <c r="AZ913" i="2"/>
  <c r="BD914" i="2"/>
  <c r="DF914" i="2"/>
  <c r="DB917" i="2"/>
  <c r="CX919" i="2"/>
  <c r="DH919" i="2"/>
  <c r="DG919" i="2"/>
  <c r="DF919" i="2"/>
  <c r="DA919" i="2"/>
  <c r="DJ919" i="2" s="1"/>
  <c r="AY920" i="2"/>
  <c r="AW920" i="2" s="1"/>
  <c r="BE921" i="2"/>
  <c r="DE921" i="2"/>
  <c r="DK921" i="2" s="1"/>
  <c r="DA922" i="2"/>
  <c r="DJ922" i="2" s="1"/>
  <c r="CZ922" i="2"/>
  <c r="CY922" i="2"/>
  <c r="DI922" i="2"/>
  <c r="DL922" i="2" s="1"/>
  <c r="DD922" i="2"/>
  <c r="BF925" i="2"/>
  <c r="AY931" i="2"/>
  <c r="BD943" i="2"/>
  <c r="BE945" i="2"/>
  <c r="BE910" i="2"/>
  <c r="DG914" i="2"/>
  <c r="DC917" i="2"/>
  <c r="DF921" i="2"/>
  <c r="AY939" i="2"/>
  <c r="BE914" i="2"/>
  <c r="DH914" i="2"/>
  <c r="AV915" i="2"/>
  <c r="BG915" i="2"/>
  <c r="BG917" i="2"/>
  <c r="DG917" i="2"/>
  <c r="BD921" i="2"/>
  <c r="AX921" i="2"/>
  <c r="BG921" i="2"/>
  <c r="BD922" i="2"/>
  <c r="BD928" i="2"/>
  <c r="BF931" i="2"/>
  <c r="CZ932" i="2"/>
  <c r="CY934" i="2"/>
  <c r="BF914" i="2"/>
  <c r="DD915" i="2"/>
  <c r="DC915" i="2"/>
  <c r="DB915" i="2"/>
  <c r="CZ921" i="2"/>
  <c r="CX921" i="2"/>
  <c r="DI921" i="2"/>
  <c r="DL921" i="2" s="1"/>
  <c r="DH921" i="2"/>
  <c r="DC921" i="2"/>
  <c r="BG925" i="2"/>
  <c r="BD925" i="2"/>
  <c r="BE928" i="2"/>
  <c r="AW932" i="2"/>
  <c r="DF936" i="2"/>
  <c r="DH936" i="2"/>
  <c r="DG936" i="2"/>
  <c r="DE936" i="2"/>
  <c r="DK936" i="2" s="1"/>
  <c r="DD936" i="2"/>
  <c r="DC936" i="2"/>
  <c r="DB936" i="2"/>
  <c r="DA936" i="2"/>
  <c r="DJ936" i="2" s="1"/>
  <c r="CZ936" i="2"/>
  <c r="CY936" i="2"/>
  <c r="CX936" i="2"/>
  <c r="CZ941" i="2"/>
  <c r="DH941" i="2"/>
  <c r="CY941" i="2"/>
  <c r="CX941" i="2"/>
  <c r="DI941" i="2"/>
  <c r="DL941" i="2" s="1"/>
  <c r="DG941" i="2"/>
  <c r="DF941" i="2"/>
  <c r="DE941" i="2"/>
  <c r="DK941" i="2" s="1"/>
  <c r="DD941" i="2"/>
  <c r="DC941" i="2"/>
  <c r="DB941" i="2"/>
  <c r="AY910" i="2"/>
  <c r="BE913" i="2"/>
  <c r="AW918" i="2"/>
  <c r="CY920" i="2"/>
  <c r="DI920" i="2"/>
  <c r="DL920" i="2" s="1"/>
  <c r="DH920" i="2"/>
  <c r="DG920" i="2"/>
  <c r="DB920" i="2"/>
  <c r="AY924" i="2"/>
  <c r="AX924" i="2"/>
  <c r="BF927" i="2"/>
  <c r="DC934" i="2"/>
  <c r="CY905" i="2"/>
  <c r="CZ906" i="2"/>
  <c r="BF913" i="2"/>
  <c r="AY916" i="2"/>
  <c r="DC923" i="2"/>
  <c r="BE924" i="2"/>
  <c r="BC924" i="2"/>
  <c r="AZ924" i="2"/>
  <c r="CX930" i="2"/>
  <c r="DI932" i="2"/>
  <c r="DL932" i="2" s="1"/>
  <c r="DH932" i="2"/>
  <c r="DG932" i="2"/>
  <c r="DF932" i="2"/>
  <c r="DE932" i="2"/>
  <c r="DK932" i="2" s="1"/>
  <c r="DD932" i="2"/>
  <c r="DC932" i="2"/>
  <c r="CY932" i="2"/>
  <c r="CX932" i="2"/>
  <c r="AW935" i="2"/>
  <c r="CZ905" i="2"/>
  <c r="DA906" i="2"/>
  <c r="DJ906" i="2" s="1"/>
  <c r="BD912" i="2"/>
  <c r="BG914" i="2"/>
  <c r="DD923" i="2"/>
  <c r="CY930" i="2"/>
  <c r="DD934" i="2"/>
  <c r="CX934" i="2"/>
  <c r="DI934" i="2"/>
  <c r="DL934" i="2" s="1"/>
  <c r="DH934" i="2"/>
  <c r="DG934" i="2"/>
  <c r="DF934" i="2"/>
  <c r="DA934" i="2"/>
  <c r="DJ934" i="2" s="1"/>
  <c r="CZ934" i="2"/>
  <c r="BF952" i="2"/>
  <c r="BE912" i="2"/>
  <c r="BC912" i="2"/>
  <c r="DC914" i="2"/>
  <c r="DB914" i="2"/>
  <c r="DA914" i="2"/>
  <c r="DJ914" i="2" s="1"/>
  <c r="AW915" i="2"/>
  <c r="DF917" i="2"/>
  <c r="DE917" i="2"/>
  <c r="DK917" i="2" s="1"/>
  <c r="DD917" i="2"/>
  <c r="CY917" i="2"/>
  <c r="AV921" i="2"/>
  <c r="BG928" i="2"/>
  <c r="AV928" i="2"/>
  <c r="BD929" i="2"/>
  <c r="CZ930" i="2"/>
  <c r="DI933" i="2"/>
  <c r="DL933" i="2" s="1"/>
  <c r="DH933" i="2"/>
  <c r="DG933" i="2"/>
  <c r="DF933" i="2"/>
  <c r="DE933" i="2"/>
  <c r="DK933" i="2" s="1"/>
  <c r="DD933" i="2"/>
  <c r="CZ933" i="2"/>
  <c r="CY933" i="2"/>
  <c r="BC939" i="2"/>
  <c r="AW908" i="2"/>
  <c r="CX922" i="2"/>
  <c r="DG923" i="2"/>
  <c r="DG927" i="2"/>
  <c r="DF930" i="2"/>
  <c r="AY934" i="2"/>
  <c r="AX934" i="2"/>
  <c r="BE934" i="2"/>
  <c r="BD934" i="2"/>
  <c r="BD938" i="2"/>
  <c r="BF939" i="2"/>
  <c r="DF924" i="2"/>
  <c r="AX930" i="2"/>
  <c r="DD935" i="2"/>
  <c r="BG938" i="2"/>
  <c r="DC938" i="2"/>
  <c r="DH939" i="2"/>
  <c r="BE940" i="2"/>
  <c r="BE941" i="2"/>
  <c r="BE942" i="2"/>
  <c r="DG942" i="2"/>
  <c r="DA944" i="2"/>
  <c r="DJ944" i="2" s="1"/>
  <c r="CX948" i="2"/>
  <c r="DD960" i="2"/>
  <c r="AX929" i="2"/>
  <c r="BD933" i="2"/>
  <c r="DF935" i="2"/>
  <c r="DD938" i="2"/>
  <c r="DB943" i="2"/>
  <c r="DE943" i="2"/>
  <c r="DK943" i="2" s="1"/>
  <c r="BD944" i="2"/>
  <c r="DB944" i="2"/>
  <c r="CZ948" i="2"/>
  <c r="AV957" i="2"/>
  <c r="BG957" i="2"/>
  <c r="BE961" i="2"/>
  <c r="BC961" i="2"/>
  <c r="AZ961" i="2"/>
  <c r="AY961" i="2"/>
  <c r="AV983" i="2"/>
  <c r="BG983" i="2"/>
  <c r="BE944" i="2"/>
  <c r="CZ950" i="2"/>
  <c r="BF961" i="2"/>
  <c r="DG963" i="2"/>
  <c r="AW939" i="2"/>
  <c r="DC960" i="2"/>
  <c r="DB960" i="2"/>
  <c r="DA960" i="2"/>
  <c r="DJ960" i="2" s="1"/>
  <c r="CZ960" i="2"/>
  <c r="CY960" i="2"/>
  <c r="CX960" i="2"/>
  <c r="DI960" i="2"/>
  <c r="DL960" i="2" s="1"/>
  <c r="DH960" i="2"/>
  <c r="DG960" i="2"/>
  <c r="DF960" i="2"/>
  <c r="BF967" i="2"/>
  <c r="AW979" i="2"/>
  <c r="AW993" i="2"/>
  <c r="DA942" i="2"/>
  <c r="DJ942" i="2" s="1"/>
  <c r="DI942" i="2"/>
  <c r="DL942" i="2" s="1"/>
  <c r="DD942" i="2"/>
  <c r="DF963" i="2"/>
  <c r="DE963" i="2"/>
  <c r="DK963" i="2" s="1"/>
  <c r="DD963" i="2"/>
  <c r="DC963" i="2"/>
  <c r="DB963" i="2"/>
  <c r="DA963" i="2"/>
  <c r="DJ963" i="2" s="1"/>
  <c r="CZ963" i="2"/>
  <c r="CY963" i="2"/>
  <c r="CX963" i="2"/>
  <c r="DI963" i="2"/>
  <c r="DL963" i="2" s="1"/>
  <c r="CY972" i="2"/>
  <c r="DC972" i="2"/>
  <c r="DB972" i="2"/>
  <c r="DA972" i="2"/>
  <c r="DJ972" i="2" s="1"/>
  <c r="CZ972" i="2"/>
  <c r="CX972" i="2"/>
  <c r="DI972" i="2"/>
  <c r="DL972" i="2" s="1"/>
  <c r="DH972" i="2"/>
  <c r="DG972" i="2"/>
  <c r="DF972" i="2"/>
  <c r="DE972" i="2"/>
  <c r="DK972" i="2" s="1"/>
  <c r="BG976" i="2"/>
  <c r="AV976" i="2"/>
  <c r="AX925" i="2"/>
  <c r="AY926" i="2"/>
  <c r="AZ927" i="2"/>
  <c r="BC928" i="2"/>
  <c r="DB931" i="2"/>
  <c r="BG932" i="2"/>
  <c r="AZ936" i="2"/>
  <c r="BG937" i="2"/>
  <c r="DI938" i="2"/>
  <c r="DL938" i="2" s="1"/>
  <c r="CX943" i="2"/>
  <c r="AZ944" i="2"/>
  <c r="DC945" i="2"/>
  <c r="DA946" i="2"/>
  <c r="DJ946" i="2" s="1"/>
  <c r="DC947" i="2"/>
  <c r="BG948" i="2"/>
  <c r="DF948" i="2"/>
  <c r="BD949" i="2"/>
  <c r="AY949" i="2"/>
  <c r="AX949" i="2"/>
  <c r="DF950" i="2"/>
  <c r="BD951" i="2"/>
  <c r="CX955" i="2"/>
  <c r="DI955" i="2"/>
  <c r="DL955" i="2" s="1"/>
  <c r="DH955" i="2"/>
  <c r="DF955" i="2"/>
  <c r="DD955" i="2"/>
  <c r="DC955" i="2"/>
  <c r="DB955" i="2"/>
  <c r="DA955" i="2"/>
  <c r="DJ955" i="2" s="1"/>
  <c r="AV961" i="2"/>
  <c r="AZ926" i="2"/>
  <c r="BC927" i="2"/>
  <c r="BG931" i="2"/>
  <c r="DC931" i="2"/>
  <c r="CX939" i="2"/>
  <c r="CY943" i="2"/>
  <c r="DB946" i="2"/>
  <c r="AY948" i="2"/>
  <c r="AX948" i="2"/>
  <c r="DH948" i="2"/>
  <c r="AZ949" i="2"/>
  <c r="BC954" i="2"/>
  <c r="DI954" i="2"/>
  <c r="DL954" i="2" s="1"/>
  <c r="DH954" i="2"/>
  <c r="DG954" i="2"/>
  <c r="DE954" i="2"/>
  <c r="DK954" i="2" s="1"/>
  <c r="DC954" i="2"/>
  <c r="DB954" i="2"/>
  <c r="DA954" i="2"/>
  <c r="DJ954" i="2" s="1"/>
  <c r="CZ954" i="2"/>
  <c r="BD955" i="2"/>
  <c r="BD960" i="2"/>
  <c r="AY960" i="2"/>
  <c r="AX960" i="2"/>
  <c r="BG964" i="2"/>
  <c r="BD964" i="2"/>
  <c r="AV964" i="2"/>
  <c r="BD979" i="2"/>
  <c r="BC979" i="2"/>
  <c r="CY939" i="2"/>
  <c r="CZ943" i="2"/>
  <c r="BE946" i="2"/>
  <c r="DC946" i="2"/>
  <c r="BE948" i="2"/>
  <c r="BC948" i="2"/>
  <c r="BF949" i="2"/>
  <c r="BF951" i="2"/>
  <c r="DI953" i="2"/>
  <c r="DL953" i="2" s="1"/>
  <c r="DH953" i="2"/>
  <c r="DG953" i="2"/>
  <c r="DF953" i="2"/>
  <c r="DD953" i="2"/>
  <c r="DB953" i="2"/>
  <c r="DA953" i="2"/>
  <c r="DJ953" i="2" s="1"/>
  <c r="CZ953" i="2"/>
  <c r="CY953" i="2"/>
  <c r="AY954" i="2"/>
  <c r="AX954" i="2"/>
  <c r="BD954" i="2"/>
  <c r="BE960" i="2"/>
  <c r="BC960" i="2"/>
  <c r="AZ960" i="2"/>
  <c r="AY963" i="2"/>
  <c r="CZ939" i="2"/>
  <c r="DC944" i="2"/>
  <c r="CX944" i="2"/>
  <c r="DH944" i="2"/>
  <c r="DF944" i="2"/>
  <c r="DD946" i="2"/>
  <c r="AZ955" i="2"/>
  <c r="AY955" i="2"/>
  <c r="BE955" i="2"/>
  <c r="BE959" i="2"/>
  <c r="BD959" i="2"/>
  <c r="AY959" i="2"/>
  <c r="AX959" i="2"/>
  <c r="BF969" i="2"/>
  <c r="BD969" i="2"/>
  <c r="AV969" i="2"/>
  <c r="BE982" i="2"/>
  <c r="BC982" i="2"/>
  <c r="AY982" i="2"/>
  <c r="AZ982" i="2"/>
  <c r="CY924" i="2"/>
  <c r="AX938" i="2"/>
  <c r="DA939" i="2"/>
  <c r="DJ939" i="2" s="1"/>
  <c r="AY942" i="2"/>
  <c r="AW942" i="2" s="1"/>
  <c r="CX942" i="2"/>
  <c r="DC943" i="2"/>
  <c r="BG944" i="2"/>
  <c r="BC945" i="2"/>
  <c r="AZ945" i="2"/>
  <c r="DF946" i="2"/>
  <c r="BD947" i="2"/>
  <c r="AX947" i="2"/>
  <c r="DG948" i="2"/>
  <c r="DB948" i="2"/>
  <c r="DA948" i="2"/>
  <c r="DJ948" i="2" s="1"/>
  <c r="CY948" i="2"/>
  <c r="BE950" i="2"/>
  <c r="BC950" i="2"/>
  <c r="AZ950" i="2"/>
  <c r="AY950" i="2"/>
  <c r="AX952" i="2"/>
  <c r="AW953" i="2"/>
  <c r="DI966" i="2"/>
  <c r="DL966" i="2" s="1"/>
  <c r="DH966" i="2"/>
  <c r="DG966" i="2"/>
  <c r="DF966" i="2"/>
  <c r="DE966" i="2"/>
  <c r="DK966" i="2" s="1"/>
  <c r="DD966" i="2"/>
  <c r="DC966" i="2"/>
  <c r="DB966" i="2"/>
  <c r="DA966" i="2"/>
  <c r="DJ966" i="2" s="1"/>
  <c r="CZ966" i="2"/>
  <c r="CY966" i="2"/>
  <c r="CX966" i="2"/>
  <c r="CX935" i="2"/>
  <c r="AY938" i="2"/>
  <c r="DB939" i="2"/>
  <c r="CY942" i="2"/>
  <c r="DD945" i="2"/>
  <c r="CY945" i="2"/>
  <c r="CX945" i="2"/>
  <c r="DI945" i="2"/>
  <c r="DL945" i="2" s="1"/>
  <c r="DG945" i="2"/>
  <c r="BD946" i="2"/>
  <c r="AY946" i="2"/>
  <c r="DG946" i="2"/>
  <c r="BE947" i="2"/>
  <c r="AZ947" i="2"/>
  <c r="DF947" i="2"/>
  <c r="DA947" i="2"/>
  <c r="DJ947" i="2" s="1"/>
  <c r="CZ947" i="2"/>
  <c r="CX947" i="2"/>
  <c r="DI947" i="2"/>
  <c r="DL947" i="2" s="1"/>
  <c r="DI950" i="2"/>
  <c r="DL950" i="2" s="1"/>
  <c r="DD950" i="2"/>
  <c r="DC950" i="2"/>
  <c r="DA950" i="2"/>
  <c r="DJ950" i="2" s="1"/>
  <c r="CY950" i="2"/>
  <c r="CX950" i="2"/>
  <c r="AV951" i="2"/>
  <c r="DI952" i="2"/>
  <c r="DL952" i="2" s="1"/>
  <c r="DH952" i="2"/>
  <c r="DF952" i="2"/>
  <c r="DE952" i="2"/>
  <c r="DK952" i="2" s="1"/>
  <c r="DC952" i="2"/>
  <c r="DA952" i="2"/>
  <c r="DJ952" i="2" s="1"/>
  <c r="CZ952" i="2"/>
  <c r="CY952" i="2"/>
  <c r="CX952" i="2"/>
  <c r="BE953" i="2"/>
  <c r="BC953" i="2"/>
  <c r="DA958" i="2"/>
  <c r="DJ958" i="2" s="1"/>
  <c r="CZ958" i="2"/>
  <c r="CY958" i="2"/>
  <c r="CX958" i="2"/>
  <c r="DI958" i="2"/>
  <c r="DL958" i="2" s="1"/>
  <c r="DG958" i="2"/>
  <c r="DF958" i="2"/>
  <c r="DE958" i="2"/>
  <c r="DK958" i="2" s="1"/>
  <c r="DD958" i="2"/>
  <c r="BD971" i="2"/>
  <c r="BF979" i="2"/>
  <c r="DA924" i="2"/>
  <c r="DJ924" i="2" s="1"/>
  <c r="CY935" i="2"/>
  <c r="AZ938" i="2"/>
  <c r="CX938" i="2"/>
  <c r="DC939" i="2"/>
  <c r="CZ942" i="2"/>
  <c r="AY943" i="2"/>
  <c r="AX943" i="2"/>
  <c r="DI967" i="2"/>
  <c r="DL967" i="2" s="1"/>
  <c r="DH967" i="2"/>
  <c r="DG967" i="2"/>
  <c r="DF967" i="2"/>
  <c r="DE967" i="2"/>
  <c r="DK967" i="2" s="1"/>
  <c r="DD967" i="2"/>
  <c r="DC967" i="2"/>
  <c r="DB967" i="2"/>
  <c r="DA967" i="2"/>
  <c r="DJ967" i="2" s="1"/>
  <c r="CZ967" i="2"/>
  <c r="CY967" i="2"/>
  <c r="CX967" i="2"/>
  <c r="BD986" i="2"/>
  <c r="AY986" i="2"/>
  <c r="AX986" i="2"/>
  <c r="CZ935" i="2"/>
  <c r="BC938" i="2"/>
  <c r="CY938" i="2"/>
  <c r="DD939" i="2"/>
  <c r="AX940" i="2"/>
  <c r="AX941" i="2"/>
  <c r="DB942" i="2"/>
  <c r="DG943" i="2"/>
  <c r="BD952" i="2"/>
  <c r="BD957" i="2"/>
  <c r="BC975" i="2"/>
  <c r="BE975" i="2"/>
  <c r="AZ975" i="2"/>
  <c r="DA935" i="2"/>
  <c r="DJ935" i="2" s="1"/>
  <c r="CZ938" i="2"/>
  <c r="DE939" i="2"/>
  <c r="DK939" i="2" s="1"/>
  <c r="AY941" i="2"/>
  <c r="DC942" i="2"/>
  <c r="BF943" i="2"/>
  <c r="DH943" i="2"/>
  <c r="AV945" i="2"/>
  <c r="BE952" i="2"/>
  <c r="DD961" i="2"/>
  <c r="DC961" i="2"/>
  <c r="DB961" i="2"/>
  <c r="DA961" i="2"/>
  <c r="DJ961" i="2" s="1"/>
  <c r="CZ961" i="2"/>
  <c r="CY961" i="2"/>
  <c r="CX961" i="2"/>
  <c r="DI961" i="2"/>
  <c r="DL961" i="2" s="1"/>
  <c r="DH961" i="2"/>
  <c r="DG961" i="2"/>
  <c r="BF962" i="2"/>
  <c r="BD965" i="2"/>
  <c r="BC980" i="2"/>
  <c r="AY980" i="2"/>
  <c r="BE980" i="2"/>
  <c r="AZ980" i="2"/>
  <c r="DA938" i="2"/>
  <c r="DJ938" i="2" s="1"/>
  <c r="DF939" i="2"/>
  <c r="AZ940" i="2"/>
  <c r="DE942" i="2"/>
  <c r="DK942" i="2" s="1"/>
  <c r="DE946" i="2"/>
  <c r="DK946" i="2" s="1"/>
  <c r="CZ946" i="2"/>
  <c r="CY946" i="2"/>
  <c r="DH946" i="2"/>
  <c r="AW961" i="2"/>
  <c r="AZ965" i="2"/>
  <c r="AY951" i="2"/>
  <c r="AZ952" i="2"/>
  <c r="DB956" i="2"/>
  <c r="DC957" i="2"/>
  <c r="DE959" i="2"/>
  <c r="DK959" i="2" s="1"/>
  <c r="DH962" i="2"/>
  <c r="AY967" i="2"/>
  <c r="BF968" i="2"/>
  <c r="DG969" i="2"/>
  <c r="BC970" i="2"/>
  <c r="CY970" i="2"/>
  <c r="DH971" i="2"/>
  <c r="BF973" i="2"/>
  <c r="DC973" i="2"/>
  <c r="BF975" i="2"/>
  <c r="BG977" i="2"/>
  <c r="BF980" i="2"/>
  <c r="BC981" i="2"/>
  <c r="DD981" i="2"/>
  <c r="DD982" i="2"/>
  <c r="DA982" i="2"/>
  <c r="DJ982" i="2" s="1"/>
  <c r="CY982" i="2"/>
  <c r="DI982" i="2"/>
  <c r="DL982" i="2" s="1"/>
  <c r="DF982" i="2"/>
  <c r="BE986" i="2"/>
  <c r="BF988" i="2"/>
  <c r="DI991" i="2"/>
  <c r="DL991" i="2" s="1"/>
  <c r="DH991" i="2"/>
  <c r="DF991" i="2"/>
  <c r="DE991" i="2"/>
  <c r="DK991" i="2" s="1"/>
  <c r="DD991" i="2"/>
  <c r="DC991" i="2"/>
  <c r="DB991" i="2"/>
  <c r="DA991" i="2"/>
  <c r="DJ991" i="2" s="1"/>
  <c r="CY991" i="2"/>
  <c r="BE998" i="2"/>
  <c r="BC998" i="2"/>
  <c r="AZ998" i="2"/>
  <c r="AY998" i="2"/>
  <c r="DE999" i="2"/>
  <c r="DK999" i="2" s="1"/>
  <c r="DI999" i="2"/>
  <c r="DL999" i="2" s="1"/>
  <c r="DH999" i="2"/>
  <c r="DG999" i="2"/>
  <c r="DF999" i="2"/>
  <c r="DD999" i="2"/>
  <c r="DC999" i="2"/>
  <c r="DB999" i="2"/>
  <c r="DA999" i="2"/>
  <c r="DJ999" i="2" s="1"/>
  <c r="CZ999" i="2"/>
  <c r="CY999" i="2"/>
  <c r="CX999" i="2"/>
  <c r="BC952" i="2"/>
  <c r="BD953" i="2"/>
  <c r="DC956" i="2"/>
  <c r="DI962" i="2"/>
  <c r="DL962" i="2" s="1"/>
  <c r="AX965" i="2"/>
  <c r="AY966" i="2"/>
  <c r="DH969" i="2"/>
  <c r="BD970" i="2"/>
  <c r="CZ970" i="2"/>
  <c r="DI971" i="2"/>
  <c r="DL971" i="2" s="1"/>
  <c r="BG973" i="2"/>
  <c r="DD973" i="2"/>
  <c r="BD974" i="2"/>
  <c r="AV979" i="2"/>
  <c r="BG979" i="2"/>
  <c r="DF981" i="2"/>
  <c r="AY984" i="2"/>
  <c r="AX984" i="2"/>
  <c r="CY990" i="2"/>
  <c r="AV993" i="2"/>
  <c r="BG993" i="2"/>
  <c r="BF1023" i="2"/>
  <c r="BC1023" i="2"/>
  <c r="CY951" i="2"/>
  <c r="BG955" i="2"/>
  <c r="DD956" i="2"/>
  <c r="DE957" i="2"/>
  <c r="DK957" i="2" s="1"/>
  <c r="DG959" i="2"/>
  <c r="AV962" i="2"/>
  <c r="AX964" i="2"/>
  <c r="AY965" i="2"/>
  <c r="AZ966" i="2"/>
  <c r="DI969" i="2"/>
  <c r="DL969" i="2" s="1"/>
  <c r="DA970" i="2"/>
  <c r="DJ970" i="2" s="1"/>
  <c r="BD973" i="2"/>
  <c r="AY973" i="2"/>
  <c r="DE973" i="2"/>
  <c r="DK973" i="2" s="1"/>
  <c r="BC977" i="2"/>
  <c r="BE977" i="2"/>
  <c r="AV978" i="2"/>
  <c r="DB980" i="2"/>
  <c r="CY980" i="2"/>
  <c r="DI980" i="2"/>
  <c r="DL980" i="2" s="1"/>
  <c r="DG980" i="2"/>
  <c r="DD980" i="2"/>
  <c r="DG981" i="2"/>
  <c r="BE984" i="2"/>
  <c r="BC984" i="2"/>
  <c r="AZ984" i="2"/>
  <c r="AY992" i="2"/>
  <c r="DA995" i="2"/>
  <c r="DJ995" i="2" s="1"/>
  <c r="CZ995" i="2"/>
  <c r="CY995" i="2"/>
  <c r="CX995" i="2"/>
  <c r="DI995" i="2"/>
  <c r="DL995" i="2" s="1"/>
  <c r="DH995" i="2"/>
  <c r="DG995" i="2"/>
  <c r="DF995" i="2"/>
  <c r="DE995" i="2"/>
  <c r="DK995" i="2" s="1"/>
  <c r="DC995" i="2"/>
  <c r="CZ951" i="2"/>
  <c r="BG954" i="2"/>
  <c r="DE956" i="2"/>
  <c r="DK956" i="2" s="1"/>
  <c r="DH959" i="2"/>
  <c r="AX963" i="2"/>
  <c r="BC966" i="2"/>
  <c r="DB970" i="2"/>
  <c r="DF973" i="2"/>
  <c r="BD981" i="2"/>
  <c r="AX981" i="2"/>
  <c r="AV988" i="2"/>
  <c r="BG988" i="2"/>
  <c r="DI990" i="2"/>
  <c r="DL990" i="2" s="1"/>
  <c r="DH990" i="2"/>
  <c r="DG990" i="2"/>
  <c r="DE990" i="2"/>
  <c r="DK990" i="2" s="1"/>
  <c r="DD990" i="2"/>
  <c r="DC990" i="2"/>
  <c r="DB990" i="2"/>
  <c r="DA990" i="2"/>
  <c r="DJ990" i="2" s="1"/>
  <c r="CZ990" i="2"/>
  <c r="CX990" i="2"/>
  <c r="DF1000" i="2"/>
  <c r="DC1000" i="2"/>
  <c r="DB1000" i="2"/>
  <c r="DA1000" i="2"/>
  <c r="DJ1000" i="2" s="1"/>
  <c r="CZ1000" i="2"/>
  <c r="CY1000" i="2"/>
  <c r="CX1000" i="2"/>
  <c r="DI1000" i="2"/>
  <c r="DL1000" i="2" s="1"/>
  <c r="DH1000" i="2"/>
  <c r="DG1000" i="2"/>
  <c r="DE1000" i="2"/>
  <c r="DK1000" i="2" s="1"/>
  <c r="BE974" i="2"/>
  <c r="AZ974" i="2"/>
  <c r="DD975" i="2"/>
  <c r="DB975" i="2"/>
  <c r="CY975" i="2"/>
  <c r="DC981" i="2"/>
  <c r="CZ981" i="2"/>
  <c r="CX981" i="2"/>
  <c r="DH981" i="2"/>
  <c r="DE981" i="2"/>
  <c r="DK981" i="2" s="1"/>
  <c r="BG986" i="2"/>
  <c r="AV986" i="2"/>
  <c r="CZ949" i="2"/>
  <c r="DB951" i="2"/>
  <c r="BG952" i="2"/>
  <c r="DG956" i="2"/>
  <c r="DH957" i="2"/>
  <c r="AY962" i="2"/>
  <c r="AZ963" i="2"/>
  <c r="BC964" i="2"/>
  <c r="CZ965" i="2"/>
  <c r="AY970" i="2"/>
  <c r="AW970" i="2" s="1"/>
  <c r="DD970" i="2"/>
  <c r="AV972" i="2"/>
  <c r="DH973" i="2"/>
  <c r="AX976" i="2"/>
  <c r="DA976" i="2"/>
  <c r="DJ976" i="2" s="1"/>
  <c r="DA983" i="2"/>
  <c r="DJ983" i="2" s="1"/>
  <c r="DE985" i="2"/>
  <c r="DK985" i="2" s="1"/>
  <c r="DC987" i="2"/>
  <c r="CX989" i="2"/>
  <c r="DC997" i="2"/>
  <c r="DI997" i="2"/>
  <c r="DL997" i="2" s="1"/>
  <c r="DH997" i="2"/>
  <c r="DG997" i="2"/>
  <c r="DF997" i="2"/>
  <c r="DE997" i="2"/>
  <c r="DK997" i="2" s="1"/>
  <c r="DD997" i="2"/>
  <c r="DB997" i="2"/>
  <c r="DA997" i="2"/>
  <c r="DJ997" i="2" s="1"/>
  <c r="CZ997" i="2"/>
  <c r="CY997" i="2"/>
  <c r="CX997" i="2"/>
  <c r="BC963" i="2"/>
  <c r="BG967" i="2"/>
  <c r="AY969" i="2"/>
  <c r="DE970" i="2"/>
  <c r="DK970" i="2" s="1"/>
  <c r="AW971" i="2"/>
  <c r="DI973" i="2"/>
  <c r="DL973" i="2" s="1"/>
  <c r="DB976" i="2"/>
  <c r="DC983" i="2"/>
  <c r="BG984" i="2"/>
  <c r="AV984" i="2"/>
  <c r="AV985" i="2"/>
  <c r="DE987" i="2"/>
  <c r="DK987" i="2" s="1"/>
  <c r="BC990" i="2"/>
  <c r="BD995" i="2"/>
  <c r="AY995" i="2"/>
  <c r="AX995" i="2"/>
  <c r="DG1001" i="2"/>
  <c r="DI1001" i="2"/>
  <c r="DL1001" i="2" s="1"/>
  <c r="DH1001" i="2"/>
  <c r="DF1001" i="2"/>
  <c r="DE1001" i="2"/>
  <c r="DK1001" i="2" s="1"/>
  <c r="DD1001" i="2"/>
  <c r="DC1001" i="2"/>
  <c r="DB1001" i="2"/>
  <c r="DA1001" i="2"/>
  <c r="DJ1001" i="2" s="1"/>
  <c r="CZ1001" i="2"/>
  <c r="CY1001" i="2"/>
  <c r="CX1001" i="2"/>
  <c r="DD951" i="2"/>
  <c r="DI956" i="2"/>
  <c r="DL956" i="2" s="1"/>
  <c r="CY962" i="2"/>
  <c r="BD963" i="2"/>
  <c r="AZ969" i="2"/>
  <c r="CX969" i="2"/>
  <c r="DF970" i="2"/>
  <c r="AY971" i="2"/>
  <c r="CY971" i="2"/>
  <c r="BC976" i="2"/>
  <c r="DD976" i="2"/>
  <c r="BC983" i="2"/>
  <c r="CZ962" i="2"/>
  <c r="BC969" i="2"/>
  <c r="CY969" i="2"/>
  <c r="DG970" i="2"/>
  <c r="BC971" i="2"/>
  <c r="CZ971" i="2"/>
  <c r="BG974" i="2"/>
  <c r="DC974" i="2"/>
  <c r="DA974" i="2"/>
  <c r="DJ974" i="2" s="1"/>
  <c r="CX974" i="2"/>
  <c r="CX975" i="2"/>
  <c r="DF976" i="2"/>
  <c r="BD978" i="2"/>
  <c r="AY978" i="2"/>
  <c r="AW978" i="2" s="1"/>
  <c r="AY979" i="2"/>
  <c r="AV980" i="2"/>
  <c r="CX980" i="2"/>
  <c r="BG981" i="2"/>
  <c r="AV981" i="2"/>
  <c r="CX982" i="2"/>
  <c r="DF983" i="2"/>
  <c r="DD988" i="2"/>
  <c r="BE990" i="2"/>
  <c r="AW997" i="2"/>
  <c r="BE1000" i="2"/>
  <c r="BD1000" i="2"/>
  <c r="AY1000" i="2"/>
  <c r="AX1000" i="2"/>
  <c r="AX957" i="2"/>
  <c r="AY958" i="2"/>
  <c r="AW958" i="2" s="1"/>
  <c r="DA962" i="2"/>
  <c r="DJ962" i="2" s="1"/>
  <c r="AV968" i="2"/>
  <c r="DH970" i="2"/>
  <c r="DA971" i="2"/>
  <c r="DJ971" i="2" s="1"/>
  <c r="CZ975" i="2"/>
  <c r="DG976" i="2"/>
  <c r="AW980" i="2"/>
  <c r="AW982" i="2"/>
  <c r="BD985" i="2"/>
  <c r="DG985" i="2"/>
  <c r="DD985" i="2"/>
  <c r="DB985" i="2"/>
  <c r="CZ985" i="2"/>
  <c r="CY985" i="2"/>
  <c r="CX985" i="2"/>
  <c r="DI985" i="2"/>
  <c r="DL985" i="2" s="1"/>
  <c r="DF988" i="2"/>
  <c r="CY992" i="2"/>
  <c r="AY957" i="2"/>
  <c r="AZ958" i="2"/>
  <c r="BC959" i="2"/>
  <c r="CY959" i="2"/>
  <c r="DB962" i="2"/>
  <c r="BE971" i="2"/>
  <c r="DB971" i="2"/>
  <c r="AY972" i="2"/>
  <c r="DA975" i="2"/>
  <c r="DJ975" i="2" s="1"/>
  <c r="BD976" i="2"/>
  <c r="BD983" i="2"/>
  <c r="AY983" i="2"/>
  <c r="AX983" i="2"/>
  <c r="BC985" i="2"/>
  <c r="AZ985" i="2"/>
  <c r="DI989" i="2"/>
  <c r="DL989" i="2" s="1"/>
  <c r="DH989" i="2"/>
  <c r="DF989" i="2"/>
  <c r="DD989" i="2"/>
  <c r="DC989" i="2"/>
  <c r="DB989" i="2"/>
  <c r="DA989" i="2"/>
  <c r="DJ989" i="2" s="1"/>
  <c r="CZ989" i="2"/>
  <c r="CY989" i="2"/>
  <c r="DA992" i="2"/>
  <c r="DJ992" i="2" s="1"/>
  <c r="BD993" i="2"/>
  <c r="AY956" i="2"/>
  <c r="BC958" i="2"/>
  <c r="CZ959" i="2"/>
  <c r="DC962" i="2"/>
  <c r="AY968" i="2"/>
  <c r="DB969" i="2"/>
  <c r="DC971" i="2"/>
  <c r="AZ972" i="2"/>
  <c r="BD975" i="2"/>
  <c r="DC975" i="2"/>
  <c r="DE983" i="2"/>
  <c r="DK983" i="2" s="1"/>
  <c r="DB983" i="2"/>
  <c r="CZ983" i="2"/>
  <c r="CX983" i="2"/>
  <c r="DG983" i="2"/>
  <c r="BD987" i="2"/>
  <c r="DI987" i="2"/>
  <c r="DL987" i="2" s="1"/>
  <c r="DF987" i="2"/>
  <c r="DD987" i="2"/>
  <c r="DB987" i="2"/>
  <c r="DA987" i="2"/>
  <c r="DJ987" i="2" s="1"/>
  <c r="CZ987" i="2"/>
  <c r="CY987" i="2"/>
  <c r="CX987" i="2"/>
  <c r="BD989" i="2"/>
  <c r="AY996" i="2"/>
  <c r="DA1010" i="2"/>
  <c r="DJ1010" i="2" s="1"/>
  <c r="CZ1010" i="2"/>
  <c r="CY1010" i="2"/>
  <c r="CX1010" i="2"/>
  <c r="DI1010" i="2"/>
  <c r="DL1010" i="2" s="1"/>
  <c r="DF1010" i="2"/>
  <c r="DD1010" i="2"/>
  <c r="DC1010" i="2"/>
  <c r="DH1010" i="2"/>
  <c r="DG1010" i="2"/>
  <c r="DE1010" i="2"/>
  <c r="DK1010" i="2" s="1"/>
  <c r="DB1010" i="2"/>
  <c r="DD971" i="2"/>
  <c r="AW973" i="2"/>
  <c r="BE987" i="2"/>
  <c r="BC987" i="2"/>
  <c r="AZ987" i="2"/>
  <c r="DH988" i="2"/>
  <c r="DG988" i="2"/>
  <c r="DE988" i="2"/>
  <c r="DK988" i="2" s="1"/>
  <c r="DC988" i="2"/>
  <c r="DB988" i="2"/>
  <c r="DA988" i="2"/>
  <c r="DJ988" i="2" s="1"/>
  <c r="CZ988" i="2"/>
  <c r="CY988" i="2"/>
  <c r="CX988" i="2"/>
  <c r="BE989" i="2"/>
  <c r="BC989" i="2"/>
  <c r="AW992" i="2"/>
  <c r="CX992" i="2"/>
  <c r="DI992" i="2"/>
  <c r="DL992" i="2" s="1"/>
  <c r="DG992" i="2"/>
  <c r="DF992" i="2"/>
  <c r="DE992" i="2"/>
  <c r="DK992" i="2" s="1"/>
  <c r="DD992" i="2"/>
  <c r="DC992" i="2"/>
  <c r="DB992" i="2"/>
  <c r="CZ992" i="2"/>
  <c r="AW1001" i="2"/>
  <c r="AY1006" i="2"/>
  <c r="AX1006" i="2"/>
  <c r="BD1006" i="2"/>
  <c r="BE1006" i="2"/>
  <c r="DE971" i="2"/>
  <c r="DK971" i="2" s="1"/>
  <c r="BE972" i="2"/>
  <c r="CY973" i="2"/>
  <c r="AV974" i="2"/>
  <c r="CY974" i="2"/>
  <c r="BG975" i="2"/>
  <c r="DF975" i="2"/>
  <c r="AZ977" i="2"/>
  <c r="CZ978" i="2"/>
  <c r="DG978" i="2"/>
  <c r="DE978" i="2"/>
  <c r="DK978" i="2" s="1"/>
  <c r="DB978" i="2"/>
  <c r="BE979" i="2"/>
  <c r="AZ979" i="2"/>
  <c r="DF980" i="2"/>
  <c r="CY981" i="2"/>
  <c r="DG982" i="2"/>
  <c r="BF987" i="2"/>
  <c r="BF989" i="2"/>
  <c r="CZ991" i="2"/>
  <c r="BF996" i="2"/>
  <c r="BC996" i="2"/>
  <c r="AW998" i="2"/>
  <c r="DF971" i="2"/>
  <c r="AY975" i="2"/>
  <c r="CX976" i="2"/>
  <c r="DE976" i="2"/>
  <c r="DK976" i="2" s="1"/>
  <c r="DC976" i="2"/>
  <c r="CZ976" i="2"/>
  <c r="DA979" i="2"/>
  <c r="DJ979" i="2" s="1"/>
  <c r="CX979" i="2"/>
  <c r="DH979" i="2"/>
  <c r="DF979" i="2"/>
  <c r="DC979" i="2"/>
  <c r="AY981" i="2"/>
  <c r="DA981" i="2"/>
  <c r="DJ981" i="2" s="1"/>
  <c r="BD988" i="2"/>
  <c r="AX988" i="2"/>
  <c r="DH984" i="2"/>
  <c r="AY989" i="2"/>
  <c r="AW989" i="2" s="1"/>
  <c r="AZ990" i="2"/>
  <c r="AW990" i="2" s="1"/>
  <c r="BC991" i="2"/>
  <c r="BE993" i="2"/>
  <c r="DA993" i="2"/>
  <c r="DJ993" i="2" s="1"/>
  <c r="DB994" i="2"/>
  <c r="BG995" i="2"/>
  <c r="DH996" i="2"/>
  <c r="DE998" i="2"/>
  <c r="DK998" i="2" s="1"/>
  <c r="AX999" i="2"/>
  <c r="DF1006" i="2"/>
  <c r="DC1012" i="2"/>
  <c r="DB1012" i="2"/>
  <c r="DA1012" i="2"/>
  <c r="DJ1012" i="2" s="1"/>
  <c r="CZ1012" i="2"/>
  <c r="CX1012" i="2"/>
  <c r="DH1012" i="2"/>
  <c r="DF1012" i="2"/>
  <c r="DE1012" i="2"/>
  <c r="DK1012" i="2" s="1"/>
  <c r="BC1033" i="2"/>
  <c r="BF1033" i="2"/>
  <c r="BD1010" i="2"/>
  <c r="DC1017" i="2"/>
  <c r="DD1017" i="2"/>
  <c r="DB1017" i="2"/>
  <c r="DA1017" i="2"/>
  <c r="DJ1017" i="2" s="1"/>
  <c r="CZ1017" i="2"/>
  <c r="CX1017" i="2"/>
  <c r="DI1017" i="2"/>
  <c r="DL1017" i="2" s="1"/>
  <c r="DH1017" i="2"/>
  <c r="DG1017" i="2"/>
  <c r="DF1017" i="2"/>
  <c r="BG1020" i="2"/>
  <c r="AV1020" i="2"/>
  <c r="AY987" i="2"/>
  <c r="AZ988" i="2"/>
  <c r="BD990" i="2"/>
  <c r="AY997" i="2"/>
  <c r="DG998" i="2"/>
  <c r="BD1001" i="2"/>
  <c r="AV1003" i="2"/>
  <c r="AV1004" i="2"/>
  <c r="DH1004" i="2"/>
  <c r="CX1004" i="2"/>
  <c r="AY1005" i="2"/>
  <c r="CX1005" i="2"/>
  <c r="BE1010" i="2"/>
  <c r="BC1010" i="2"/>
  <c r="AZ1010" i="2"/>
  <c r="AW1010" i="2" s="1"/>
  <c r="DB1011" i="2"/>
  <c r="DA1011" i="2"/>
  <c r="DJ1011" i="2" s="1"/>
  <c r="CZ1011" i="2"/>
  <c r="CY1011" i="2"/>
  <c r="DG1011" i="2"/>
  <c r="DE1011" i="2"/>
  <c r="DK1011" i="2" s="1"/>
  <c r="DD1011" i="2"/>
  <c r="BD1012" i="2"/>
  <c r="AY1012" i="2"/>
  <c r="AX1012" i="2"/>
  <c r="AX985" i="2"/>
  <c r="BC988" i="2"/>
  <c r="BG992" i="2"/>
  <c r="DD993" i="2"/>
  <c r="DE994" i="2"/>
  <c r="DK994" i="2" s="1"/>
  <c r="AZ997" i="2"/>
  <c r="AZ1005" i="2"/>
  <c r="CZ1005" i="2"/>
  <c r="BD1007" i="2"/>
  <c r="BE1012" i="2"/>
  <c r="AY985" i="2"/>
  <c r="AZ986" i="2"/>
  <c r="BG991" i="2"/>
  <c r="DE993" i="2"/>
  <c r="DK993" i="2" s="1"/>
  <c r="DF994" i="2"/>
  <c r="AV996" i="2"/>
  <c r="BC997" i="2"/>
  <c r="BD999" i="2"/>
  <c r="DH1002" i="2"/>
  <c r="DF1002" i="2"/>
  <c r="DI1003" i="2"/>
  <c r="DL1003" i="2" s="1"/>
  <c r="DG1003" i="2"/>
  <c r="DA1005" i="2"/>
  <c r="DJ1005" i="2" s="1"/>
  <c r="AV1006" i="2"/>
  <c r="DH1006" i="2"/>
  <c r="CZ1006" i="2"/>
  <c r="AW1016" i="2"/>
  <c r="BF1037" i="2"/>
  <c r="BD1037" i="2"/>
  <c r="AV1037" i="2"/>
  <c r="BC986" i="2"/>
  <c r="BG990" i="2"/>
  <c r="DF993" i="2"/>
  <c r="DG994" i="2"/>
  <c r="BE1005" i="2"/>
  <c r="DB1005" i="2"/>
  <c r="BD1017" i="2"/>
  <c r="AY1017" i="2"/>
  <c r="AX1017" i="2"/>
  <c r="DD1018" i="2"/>
  <c r="CZ1018" i="2"/>
  <c r="CY1018" i="2"/>
  <c r="CX1018" i="2"/>
  <c r="DI1018" i="2"/>
  <c r="DL1018" i="2" s="1"/>
  <c r="DH1018" i="2"/>
  <c r="DG1018" i="2"/>
  <c r="DF1018" i="2"/>
  <c r="DE1018" i="2"/>
  <c r="DK1018" i="2" s="1"/>
  <c r="DC1018" i="2"/>
  <c r="DB1018" i="2"/>
  <c r="BG989" i="2"/>
  <c r="AX996" i="2"/>
  <c r="AV998" i="2"/>
  <c r="AY1002" i="2"/>
  <c r="AW1002" i="2" s="1"/>
  <c r="AX1003" i="2"/>
  <c r="AX1004" i="2"/>
  <c r="DC1005" i="2"/>
  <c r="AY1007" i="2"/>
  <c r="AX1007" i="2"/>
  <c r="CZ1008" i="2"/>
  <c r="CY984" i="2"/>
  <c r="CX996" i="2"/>
  <c r="AZ1002" i="2"/>
  <c r="CX1002" i="2"/>
  <c r="AZ1003" i="2"/>
  <c r="CX1003" i="2"/>
  <c r="AY1004" i="2"/>
  <c r="CY1004" i="2"/>
  <c r="DD1005" i="2"/>
  <c r="AZ1007" i="2"/>
  <c r="BE1007" i="2"/>
  <c r="DC1008" i="2"/>
  <c r="BD1009" i="2"/>
  <c r="AY1009" i="2"/>
  <c r="AW1009" i="2" s="1"/>
  <c r="AV1011" i="2"/>
  <c r="BG1012" i="2"/>
  <c r="AV1012" i="2"/>
  <c r="CZ1013" i="2"/>
  <c r="BE1014" i="2"/>
  <c r="BC1014" i="2"/>
  <c r="AZ1014" i="2"/>
  <c r="AY1014" i="2"/>
  <c r="DD998" i="2"/>
  <c r="DH998" i="2"/>
  <c r="BC1002" i="2"/>
  <c r="CY1002" i="2"/>
  <c r="BC1003" i="2"/>
  <c r="CY1003" i="2"/>
  <c r="BC1004" i="2"/>
  <c r="CZ1004" i="2"/>
  <c r="DE1005" i="2"/>
  <c r="DK1005" i="2" s="1"/>
  <c r="DD1008" i="2"/>
  <c r="BC1009" i="2"/>
  <c r="AZ1009" i="2"/>
  <c r="BG1021" i="2"/>
  <c r="AV1021" i="2"/>
  <c r="DA984" i="2"/>
  <c r="DJ984" i="2" s="1"/>
  <c r="BD1002" i="2"/>
  <c r="CZ1002" i="2"/>
  <c r="BD1003" i="2"/>
  <c r="CZ1003" i="2"/>
  <c r="BD1004" i="2"/>
  <c r="DF1005" i="2"/>
  <c r="CX1006" i="2"/>
  <c r="BF1009" i="2"/>
  <c r="AX994" i="2"/>
  <c r="BD996" i="2"/>
  <c r="CX998" i="2"/>
  <c r="DA1002" i="2"/>
  <c r="DJ1002" i="2" s="1"/>
  <c r="DA1003" i="2"/>
  <c r="DJ1003" i="2" s="1"/>
  <c r="BE1004" i="2"/>
  <c r="DB1004" i="2"/>
  <c r="DG1005" i="2"/>
  <c r="AZ1006" i="2"/>
  <c r="CY1006" i="2"/>
  <c r="DD1013" i="2"/>
  <c r="DC1013" i="2"/>
  <c r="DB1013" i="2"/>
  <c r="DA1013" i="2"/>
  <c r="DJ1013" i="2" s="1"/>
  <c r="CY1013" i="2"/>
  <c r="CX1013" i="2"/>
  <c r="DI1013" i="2"/>
  <c r="DL1013" i="2" s="1"/>
  <c r="DG1013" i="2"/>
  <c r="DF1013" i="2"/>
  <c r="DD1016" i="2"/>
  <c r="DC984" i="2"/>
  <c r="AY994" i="2"/>
  <c r="AZ995" i="2"/>
  <c r="CY998" i="2"/>
  <c r="DB1002" i="2"/>
  <c r="DB1003" i="2"/>
  <c r="DA1006" i="2"/>
  <c r="DJ1006" i="2" s="1"/>
  <c r="BG1008" i="2"/>
  <c r="DB1024" i="2"/>
  <c r="DA1024" i="2"/>
  <c r="DJ1024" i="2" s="1"/>
  <c r="DI1024" i="2"/>
  <c r="DL1024" i="2" s="1"/>
  <c r="DH1024" i="2"/>
  <c r="DG1024" i="2"/>
  <c r="DF1024" i="2"/>
  <c r="DE1024" i="2"/>
  <c r="DK1024" i="2" s="1"/>
  <c r="DD1024" i="2"/>
  <c r="DC1024" i="2"/>
  <c r="CZ1024" i="2"/>
  <c r="CY1024" i="2"/>
  <c r="CX1024" i="2"/>
  <c r="AZ1026" i="2"/>
  <c r="BE1026" i="2"/>
  <c r="BC1026" i="2"/>
  <c r="AZ994" i="2"/>
  <c r="BC995" i="2"/>
  <c r="BD998" i="2"/>
  <c r="CZ998" i="2"/>
  <c r="BG1002" i="2"/>
  <c r="AY1008" i="2"/>
  <c r="AX1008" i="2"/>
  <c r="AV1009" i="2"/>
  <c r="BG1009" i="2"/>
  <c r="DB1016" i="2"/>
  <c r="DH1016" i="2"/>
  <c r="DG1016" i="2"/>
  <c r="DF1016" i="2"/>
  <c r="DE1016" i="2"/>
  <c r="DK1016" i="2" s="1"/>
  <c r="DC1016" i="2"/>
  <c r="DA1016" i="2"/>
  <c r="DJ1016" i="2" s="1"/>
  <c r="CZ1016" i="2"/>
  <c r="CY1016" i="2"/>
  <c r="CX1016" i="2"/>
  <c r="CX1053" i="2"/>
  <c r="DI1053" i="2"/>
  <c r="DL1053" i="2" s="1"/>
  <c r="DH1053" i="2"/>
  <c r="DD1053" i="2"/>
  <c r="DB1053" i="2"/>
  <c r="DG1053" i="2"/>
  <c r="DF1053" i="2"/>
  <c r="DE1053" i="2"/>
  <c r="DK1053" i="2" s="1"/>
  <c r="DC1053" i="2"/>
  <c r="DA1053" i="2"/>
  <c r="DJ1053" i="2" s="1"/>
  <c r="CZ1053" i="2"/>
  <c r="CY1053" i="2"/>
  <c r="BG997" i="2"/>
  <c r="DA998" i="2"/>
  <c r="DJ998" i="2" s="1"/>
  <c r="AY1003" i="2"/>
  <c r="DI1005" i="2"/>
  <c r="DL1005" i="2" s="1"/>
  <c r="CY1005" i="2"/>
  <c r="BC1008" i="2"/>
  <c r="AZ1008" i="2"/>
  <c r="BE1008" i="2"/>
  <c r="DC1011" i="2"/>
  <c r="DD1012" i="2"/>
  <c r="DH1021" i="2"/>
  <c r="DG1021" i="2"/>
  <c r="CY1021" i="2"/>
  <c r="CX1021" i="2"/>
  <c r="DI1021" i="2"/>
  <c r="DL1021" i="2" s="1"/>
  <c r="DF1021" i="2"/>
  <c r="DE1021" i="2"/>
  <c r="DK1021" i="2" s="1"/>
  <c r="DD1021" i="2"/>
  <c r="DC1021" i="2"/>
  <c r="DB1021" i="2"/>
  <c r="DA1021" i="2"/>
  <c r="DJ1021" i="2" s="1"/>
  <c r="CZ1021" i="2"/>
  <c r="DF996" i="2"/>
  <c r="DB998" i="2"/>
  <c r="BG1000" i="2"/>
  <c r="DE1002" i="2"/>
  <c r="DK1002" i="2" s="1"/>
  <c r="DE1003" i="2"/>
  <c r="DK1003" i="2" s="1"/>
  <c r="DF1004" i="2"/>
  <c r="BG1006" i="2"/>
  <c r="DD1006" i="2"/>
  <c r="CY1008" i="2"/>
  <c r="CX1008" i="2"/>
  <c r="DG1008" i="2"/>
  <c r="DB1008" i="2"/>
  <c r="DA1008" i="2"/>
  <c r="DJ1008" i="2" s="1"/>
  <c r="DF1011" i="2"/>
  <c r="BE1013" i="2"/>
  <c r="BC1013" i="2"/>
  <c r="AZ1013" i="2"/>
  <c r="AY1013" i="2"/>
  <c r="AV1027" i="2"/>
  <c r="BG1027" i="2"/>
  <c r="BD1027" i="2"/>
  <c r="CX1019" i="2"/>
  <c r="AZ1022" i="2"/>
  <c r="DB1022" i="2"/>
  <c r="DD1028" i="2"/>
  <c r="BD1029" i="2"/>
  <c r="AX1029" i="2"/>
  <c r="DD1031" i="2"/>
  <c r="BC1032" i="2"/>
  <c r="AZ1032" i="2"/>
  <c r="DC1034" i="2"/>
  <c r="DH1036" i="2"/>
  <c r="DG1036" i="2"/>
  <c r="DF1036" i="2"/>
  <c r="DC1036" i="2"/>
  <c r="DB1036" i="2"/>
  <c r="DA1036" i="2"/>
  <c r="DJ1036" i="2" s="1"/>
  <c r="CZ1036" i="2"/>
  <c r="CY1036" i="2"/>
  <c r="CX1036" i="2"/>
  <c r="CX1039" i="2"/>
  <c r="CZ1039" i="2"/>
  <c r="CY1039" i="2"/>
  <c r="DI1039" i="2"/>
  <c r="DL1039" i="2" s="1"/>
  <c r="DH1039" i="2"/>
  <c r="DG1039" i="2"/>
  <c r="DF1039" i="2"/>
  <c r="DE1039" i="2"/>
  <c r="DK1039" i="2" s="1"/>
  <c r="DD1039" i="2"/>
  <c r="DC1039" i="2"/>
  <c r="DB1039" i="2"/>
  <c r="BD1041" i="2"/>
  <c r="AY1041" i="2"/>
  <c r="BG1041" i="2"/>
  <c r="AX1041" i="2"/>
  <c r="BF1055" i="2"/>
  <c r="BC1055" i="2"/>
  <c r="DC1009" i="2"/>
  <c r="DC1015" i="2"/>
  <c r="BG1018" i="2"/>
  <c r="CY1019" i="2"/>
  <c r="DF1020" i="2"/>
  <c r="CX1020" i="2"/>
  <c r="DC1022" i="2"/>
  <c r="BE1025" i="2"/>
  <c r="DG1028" i="2"/>
  <c r="BE1029" i="2"/>
  <c r="BC1029" i="2"/>
  <c r="DA1029" i="2"/>
  <c r="DJ1029" i="2" s="1"/>
  <c r="CZ1029" i="2"/>
  <c r="CY1029" i="2"/>
  <c r="DI1029" i="2"/>
  <c r="DL1029" i="2" s="1"/>
  <c r="DG1029" i="2"/>
  <c r="DF1029" i="2"/>
  <c r="DE1031" i="2"/>
  <c r="DK1031" i="2" s="1"/>
  <c r="BG1033" i="2"/>
  <c r="BD1033" i="2"/>
  <c r="AV1033" i="2"/>
  <c r="DB1043" i="2"/>
  <c r="CY1043" i="2"/>
  <c r="CX1043" i="2"/>
  <c r="DI1043" i="2"/>
  <c r="DL1043" i="2" s="1"/>
  <c r="DG1043" i="2"/>
  <c r="DF1043" i="2"/>
  <c r="DE1043" i="2"/>
  <c r="DK1043" i="2" s="1"/>
  <c r="DD1043" i="2"/>
  <c r="DC1043" i="2"/>
  <c r="DA1043" i="2"/>
  <c r="DJ1043" i="2" s="1"/>
  <c r="CZ1043" i="2"/>
  <c r="AV1023" i="2"/>
  <c r="DI1023" i="2"/>
  <c r="DL1023" i="2" s="1"/>
  <c r="DA1023" i="2"/>
  <c r="DJ1023" i="2" s="1"/>
  <c r="CZ1023" i="2"/>
  <c r="AY1024" i="2"/>
  <c r="AY1025" i="2"/>
  <c r="AX1025" i="2"/>
  <c r="BG1028" i="2"/>
  <c r="DF1031" i="2"/>
  <c r="DC1044" i="2"/>
  <c r="CZ1044" i="2"/>
  <c r="CY1044" i="2"/>
  <c r="DI1044" i="2"/>
  <c r="DL1044" i="2" s="1"/>
  <c r="DH1044" i="2"/>
  <c r="DG1044" i="2"/>
  <c r="DF1044" i="2"/>
  <c r="DE1044" i="2"/>
  <c r="DK1044" i="2" s="1"/>
  <c r="DD1044" i="2"/>
  <c r="DB1044" i="2"/>
  <c r="DA1044" i="2"/>
  <c r="DJ1044" i="2" s="1"/>
  <c r="CX1044" i="2"/>
  <c r="CX1014" i="2"/>
  <c r="DF1034" i="2"/>
  <c r="DE1034" i="2"/>
  <c r="DK1034" i="2" s="1"/>
  <c r="DD1034" i="2"/>
  <c r="DA1034" i="2"/>
  <c r="DJ1034" i="2" s="1"/>
  <c r="CZ1034" i="2"/>
  <c r="CY1034" i="2"/>
  <c r="CX1034" i="2"/>
  <c r="DI1034" i="2"/>
  <c r="DL1034" i="2" s="1"/>
  <c r="BD1036" i="2"/>
  <c r="AY1036" i="2"/>
  <c r="AX1036" i="2"/>
  <c r="AV1013" i="2"/>
  <c r="CY1014" i="2"/>
  <c r="BE1015" i="2"/>
  <c r="BG1017" i="2"/>
  <c r="AV1017" i="2"/>
  <c r="BF1019" i="2"/>
  <c r="DB1019" i="2"/>
  <c r="AX1020" i="2"/>
  <c r="CY1020" i="2"/>
  <c r="AX1021" i="2"/>
  <c r="BD1022" i="2"/>
  <c r="BF1025" i="2"/>
  <c r="AW1027" i="2"/>
  <c r="BC1028" i="2"/>
  <c r="CY1030" i="2"/>
  <c r="BG1031" i="2"/>
  <c r="AY1031" i="2"/>
  <c r="AX1031" i="2"/>
  <c r="BG1034" i="2"/>
  <c r="BE1036" i="2"/>
  <c r="BC1036" i="2"/>
  <c r="AZ1036" i="2"/>
  <c r="BC1022" i="2"/>
  <c r="BD1024" i="2"/>
  <c r="CZ1028" i="2"/>
  <c r="CY1028" i="2"/>
  <c r="CX1028" i="2"/>
  <c r="DF1028" i="2"/>
  <c r="DE1028" i="2"/>
  <c r="DK1028" i="2" s="1"/>
  <c r="BE1031" i="2"/>
  <c r="AZ1031" i="2"/>
  <c r="DC1031" i="2"/>
  <c r="DB1031" i="2"/>
  <c r="DA1031" i="2"/>
  <c r="DJ1031" i="2" s="1"/>
  <c r="CX1031" i="2"/>
  <c r="DI1031" i="2"/>
  <c r="DL1031" i="2" s="1"/>
  <c r="DH1031" i="2"/>
  <c r="DI1050" i="2"/>
  <c r="DL1050" i="2" s="1"/>
  <c r="DH1050" i="2"/>
  <c r="DF1050" i="2"/>
  <c r="DE1050" i="2"/>
  <c r="DK1050" i="2" s="1"/>
  <c r="DA1050" i="2"/>
  <c r="DJ1050" i="2" s="1"/>
  <c r="CY1050" i="2"/>
  <c r="DG1050" i="2"/>
  <c r="DD1050" i="2"/>
  <c r="DC1050" i="2"/>
  <c r="DB1050" i="2"/>
  <c r="CZ1050" i="2"/>
  <c r="CX1050" i="2"/>
  <c r="BF1052" i="2"/>
  <c r="BD1052" i="2"/>
  <c r="BC1052" i="2"/>
  <c r="DH1009" i="2"/>
  <c r="DB1014" i="2"/>
  <c r="DH1015" i="2"/>
  <c r="AY1019" i="2"/>
  <c r="AX1019" i="2"/>
  <c r="DD1019" i="2"/>
  <c r="BD1020" i="2"/>
  <c r="DA1020" i="2"/>
  <c r="DJ1020" i="2" s="1"/>
  <c r="DD1030" i="2"/>
  <c r="BF1031" i="2"/>
  <c r="BE1035" i="2"/>
  <c r="BD1035" i="2"/>
  <c r="AY1035" i="2"/>
  <c r="AX1035" i="2"/>
  <c r="CY1040" i="2"/>
  <c r="DI1040" i="2"/>
  <c r="DL1040" i="2" s="1"/>
  <c r="DH1040" i="2"/>
  <c r="DG1040" i="2"/>
  <c r="DE1040" i="2"/>
  <c r="DK1040" i="2" s="1"/>
  <c r="DD1040" i="2"/>
  <c r="DC1040" i="2"/>
  <c r="DB1040" i="2"/>
  <c r="DA1040" i="2"/>
  <c r="DJ1040" i="2" s="1"/>
  <c r="CZ1040" i="2"/>
  <c r="CX1040" i="2"/>
  <c r="AZ1053" i="2"/>
  <c r="BE1053" i="2"/>
  <c r="BC1053" i="2"/>
  <c r="AY1053" i="2"/>
  <c r="BD1057" i="2"/>
  <c r="AY1057" i="2"/>
  <c r="AX1057" i="2"/>
  <c r="BG1057" i="2"/>
  <c r="BE1020" i="2"/>
  <c r="AW1024" i="2"/>
  <c r="BG1025" i="2"/>
  <c r="BC1043" i="2"/>
  <c r="AZ1043" i="2"/>
  <c r="BE1043" i="2"/>
  <c r="AX1011" i="2"/>
  <c r="DD1014" i="2"/>
  <c r="BD1016" i="2"/>
  <c r="DC1020" i="2"/>
  <c r="AY1023" i="2"/>
  <c r="AW1023" i="2" s="1"/>
  <c r="CY1023" i="2"/>
  <c r="BE1024" i="2"/>
  <c r="DC1025" i="2"/>
  <c r="DB1025" i="2"/>
  <c r="AV1026" i="2"/>
  <c r="BG1036" i="2"/>
  <c r="AV1036" i="2"/>
  <c r="BD1042" i="2"/>
  <c r="BF1054" i="2"/>
  <c r="BD1054" i="2"/>
  <c r="AY1011" i="2"/>
  <c r="AZ1012" i="2"/>
  <c r="BD1014" i="2"/>
  <c r="DE1014" i="2"/>
  <c r="DK1014" i="2" s="1"/>
  <c r="DH1019" i="2"/>
  <c r="DI1022" i="2"/>
  <c r="DL1022" i="2" s="1"/>
  <c r="DH1022" i="2"/>
  <c r="CZ1022" i="2"/>
  <c r="CY1022" i="2"/>
  <c r="DB1023" i="2"/>
  <c r="BF1024" i="2"/>
  <c r="BD1030" i="2"/>
  <c r="AY1030" i="2"/>
  <c r="AX1030" i="2"/>
  <c r="AW1048" i="2"/>
  <c r="DC1023" i="2"/>
  <c r="CX1029" i="2"/>
  <c r="BE1030" i="2"/>
  <c r="DI1037" i="2"/>
  <c r="DL1037" i="2" s="1"/>
  <c r="DH1037" i="2"/>
  <c r="DG1037" i="2"/>
  <c r="DD1037" i="2"/>
  <c r="DC1037" i="2"/>
  <c r="DB1037" i="2"/>
  <c r="DA1037" i="2"/>
  <c r="DJ1037" i="2" s="1"/>
  <c r="CZ1037" i="2"/>
  <c r="CY1037" i="2"/>
  <c r="CX1037" i="2"/>
  <c r="BC1038" i="2"/>
  <c r="BC1011" i="2"/>
  <c r="DG1014" i="2"/>
  <c r="BC1017" i="2"/>
  <c r="AY1018" i="2"/>
  <c r="AZ1020" i="2"/>
  <c r="DG1020" i="2"/>
  <c r="BC1021" i="2"/>
  <c r="AZ1021" i="2"/>
  <c r="DD1023" i="2"/>
  <c r="BD1026" i="2"/>
  <c r="DB1029" i="2"/>
  <c r="DB1030" i="2"/>
  <c r="DA1030" i="2"/>
  <c r="DJ1030" i="2" s="1"/>
  <c r="CZ1030" i="2"/>
  <c r="DH1030" i="2"/>
  <c r="DG1030" i="2"/>
  <c r="BC1040" i="2"/>
  <c r="BE1040" i="2"/>
  <c r="AZ1040" i="2"/>
  <c r="AV1074" i="2"/>
  <c r="BG1074" i="2"/>
  <c r="DH1014" i="2"/>
  <c r="AX1015" i="2"/>
  <c r="AZ1018" i="2"/>
  <c r="DH1020" i="2"/>
  <c r="DE1023" i="2"/>
  <c r="DK1023" i="2" s="1"/>
  <c r="AV1024" i="2"/>
  <c r="AY1029" i="2"/>
  <c r="DC1029" i="2"/>
  <c r="BG1044" i="2"/>
  <c r="AV1044" i="2"/>
  <c r="CY1009" i="2"/>
  <c r="DI1014" i="2"/>
  <c r="DL1014" i="2" s="1"/>
  <c r="CX1015" i="2"/>
  <c r="BF1016" i="2"/>
  <c r="DI1020" i="2"/>
  <c r="DL1020" i="2" s="1"/>
  <c r="BD1023" i="2"/>
  <c r="DF1023" i="2"/>
  <c r="AV1025" i="2"/>
  <c r="CY1025" i="2"/>
  <c r="BC1027" i="2"/>
  <c r="DA1028" i="2"/>
  <c r="DJ1028" i="2" s="1"/>
  <c r="AZ1029" i="2"/>
  <c r="DD1029" i="2"/>
  <c r="DD1036" i="2"/>
  <c r="AW1037" i="2"/>
  <c r="AZ1015" i="2"/>
  <c r="BE1023" i="2"/>
  <c r="DG1023" i="2"/>
  <c r="AY1026" i="2"/>
  <c r="AX1028" i="2"/>
  <c r="DB1028" i="2"/>
  <c r="DE1029" i="2"/>
  <c r="DK1029" i="2" s="1"/>
  <c r="AV1030" i="2"/>
  <c r="CY1031" i="2"/>
  <c r="BE1037" i="2"/>
  <c r="BC1037" i="2"/>
  <c r="AZ1037" i="2"/>
  <c r="AY1037" i="2"/>
  <c r="AV1038" i="2"/>
  <c r="BF1048" i="2"/>
  <c r="BD1048" i="2"/>
  <c r="AV1048" i="2"/>
  <c r="DD1059" i="2"/>
  <c r="DB1059" i="2"/>
  <c r="DA1059" i="2"/>
  <c r="DJ1059" i="2" s="1"/>
  <c r="CZ1059" i="2"/>
  <c r="CY1059" i="2"/>
  <c r="CX1059" i="2"/>
  <c r="DH1059" i="2"/>
  <c r="DI1059" i="2"/>
  <c r="DL1059" i="2" s="1"/>
  <c r="DG1059" i="2"/>
  <c r="DF1059" i="2"/>
  <c r="DE1059" i="2"/>
  <c r="DK1059" i="2" s="1"/>
  <c r="DC1059" i="2"/>
  <c r="BE1046" i="2"/>
  <c r="AV1053" i="2"/>
  <c r="BF1053" i="2"/>
  <c r="CY1054" i="2"/>
  <c r="DI1054" i="2"/>
  <c r="DL1054" i="2" s="1"/>
  <c r="DE1054" i="2"/>
  <c r="DK1054" i="2" s="1"/>
  <c r="DC1054" i="2"/>
  <c r="BC1057" i="2"/>
  <c r="AZ1057" i="2"/>
  <c r="BE1059" i="2"/>
  <c r="BC1059" i="2"/>
  <c r="AZ1059" i="2"/>
  <c r="BF1063" i="2"/>
  <c r="BG1071" i="2"/>
  <c r="BD1071" i="2"/>
  <c r="AV1071" i="2"/>
  <c r="AY1038" i="2"/>
  <c r="BF1039" i="2"/>
  <c r="AV1040" i="2"/>
  <c r="DG1041" i="2"/>
  <c r="AY1042" i="2"/>
  <c r="DH1052" i="2"/>
  <c r="DG1052" i="2"/>
  <c r="DC1052" i="2"/>
  <c r="DA1052" i="2"/>
  <c r="DJ1052" i="2" s="1"/>
  <c r="CZ1060" i="2"/>
  <c r="DG1060" i="2"/>
  <c r="DE1060" i="2"/>
  <c r="DK1060" i="2" s="1"/>
  <c r="DD1060" i="2"/>
  <c r="DC1060" i="2"/>
  <c r="DB1060" i="2"/>
  <c r="DA1060" i="2"/>
  <c r="DJ1060" i="2" s="1"/>
  <c r="CY1060" i="2"/>
  <c r="CX1060" i="2"/>
  <c r="DB1062" i="2"/>
  <c r="DA1062" i="2"/>
  <c r="DJ1062" i="2" s="1"/>
  <c r="CZ1062" i="2"/>
  <c r="CY1062" i="2"/>
  <c r="CX1062" i="2"/>
  <c r="DH1062" i="2"/>
  <c r="DG1062" i="2"/>
  <c r="DF1062" i="2"/>
  <c r="DH1068" i="2"/>
  <c r="DB1068" i="2"/>
  <c r="DA1068" i="2"/>
  <c r="DJ1068" i="2" s="1"/>
  <c r="CZ1068" i="2"/>
  <c r="CY1068" i="2"/>
  <c r="CX1068" i="2"/>
  <c r="DI1068" i="2"/>
  <c r="DL1068" i="2" s="1"/>
  <c r="DG1068" i="2"/>
  <c r="DF1068" i="2"/>
  <c r="DE1068" i="2"/>
  <c r="DK1068" i="2" s="1"/>
  <c r="DC1070" i="2"/>
  <c r="DI1070" i="2"/>
  <c r="DL1070" i="2" s="1"/>
  <c r="DH1070" i="2"/>
  <c r="DG1070" i="2"/>
  <c r="DF1070" i="2"/>
  <c r="DE1070" i="2"/>
  <c r="DK1070" i="2" s="1"/>
  <c r="DD1070" i="2"/>
  <c r="DB1070" i="2"/>
  <c r="DA1070" i="2"/>
  <c r="DJ1070" i="2" s="1"/>
  <c r="CZ1070" i="2"/>
  <c r="CY1070" i="2"/>
  <c r="CX1070" i="2"/>
  <c r="BC1073" i="2"/>
  <c r="BE1073" i="2"/>
  <c r="AZ1073" i="2"/>
  <c r="AX1075" i="2"/>
  <c r="BD1075" i="2"/>
  <c r="AY1075" i="2"/>
  <c r="AV1034" i="2"/>
  <c r="DH1041" i="2"/>
  <c r="AY1046" i="2"/>
  <c r="AW1046" i="2" s="1"/>
  <c r="BE1047" i="2"/>
  <c r="BE1050" i="2"/>
  <c r="AV1052" i="2"/>
  <c r="BG1052" i="2"/>
  <c r="AV1054" i="2"/>
  <c r="DA1061" i="2"/>
  <c r="DJ1061" i="2" s="1"/>
  <c r="DI1061" i="2"/>
  <c r="DL1061" i="2" s="1"/>
  <c r="DH1061" i="2"/>
  <c r="DG1061" i="2"/>
  <c r="DF1061" i="2"/>
  <c r="DE1061" i="2"/>
  <c r="DK1061" i="2" s="1"/>
  <c r="DC1061" i="2"/>
  <c r="DB1061" i="2"/>
  <c r="CZ1061" i="2"/>
  <c r="DI1083" i="2"/>
  <c r="DL1083" i="2" s="1"/>
  <c r="DH1083" i="2"/>
  <c r="DG1083" i="2"/>
  <c r="DD1083" i="2"/>
  <c r="DC1083" i="2"/>
  <c r="DB1083" i="2"/>
  <c r="CZ1083" i="2"/>
  <c r="CY1083" i="2"/>
  <c r="DF1083" i="2"/>
  <c r="DE1083" i="2"/>
  <c r="DK1083" i="2" s="1"/>
  <c r="DA1083" i="2"/>
  <c r="DJ1083" i="2" s="1"/>
  <c r="CX1083" i="2"/>
  <c r="DI1032" i="2"/>
  <c r="DL1032" i="2" s="1"/>
  <c r="CY1038" i="2"/>
  <c r="AY1040" i="2"/>
  <c r="DI1041" i="2"/>
  <c r="DL1041" i="2" s="1"/>
  <c r="AY1045" i="2"/>
  <c r="CY1045" i="2"/>
  <c r="DG1048" i="2"/>
  <c r="DD1048" i="2"/>
  <c r="DC1048" i="2"/>
  <c r="CY1048" i="2"/>
  <c r="DC1049" i="2"/>
  <c r="AX1050" i="2"/>
  <c r="BE1060" i="2"/>
  <c r="BC1060" i="2"/>
  <c r="AZ1060" i="2"/>
  <c r="AY1060" i="2"/>
  <c r="BD1062" i="2"/>
  <c r="AY1062" i="2"/>
  <c r="AX1062" i="2"/>
  <c r="BG1063" i="2"/>
  <c r="BD1063" i="2"/>
  <c r="AV1063" i="2"/>
  <c r="BG1064" i="2"/>
  <c r="BE1064" i="2"/>
  <c r="AV1032" i="2"/>
  <c r="BD1038" i="2"/>
  <c r="CZ1038" i="2"/>
  <c r="AZ1039" i="2"/>
  <c r="AX1043" i="2"/>
  <c r="DB1045" i="2"/>
  <c r="BC1046" i="2"/>
  <c r="AZ1047" i="2"/>
  <c r="AY1050" i="2"/>
  <c r="DC1056" i="2"/>
  <c r="DD1058" i="2"/>
  <c r="AV1059" i="2"/>
  <c r="BF1060" i="2"/>
  <c r="BD1040" i="2"/>
  <c r="AY1043" i="2"/>
  <c r="AX1044" i="2"/>
  <c r="BC1045" i="2"/>
  <c r="BD1056" i="2"/>
  <c r="AW1064" i="2"/>
  <c r="BE1068" i="2"/>
  <c r="BD1068" i="2"/>
  <c r="AY1068" i="2"/>
  <c r="AX1068" i="2"/>
  <c r="AX1072" i="2"/>
  <c r="BE1072" i="2"/>
  <c r="BD1072" i="2"/>
  <c r="AY1072" i="2"/>
  <c r="BF1077" i="2"/>
  <c r="DI1084" i="2"/>
  <c r="DL1084" i="2" s="1"/>
  <c r="DH1084" i="2"/>
  <c r="DE1084" i="2"/>
  <c r="DK1084" i="2" s="1"/>
  <c r="DD1084" i="2"/>
  <c r="DC1084" i="2"/>
  <c r="DA1084" i="2"/>
  <c r="DJ1084" i="2" s="1"/>
  <c r="CZ1084" i="2"/>
  <c r="DG1084" i="2"/>
  <c r="DF1084" i="2"/>
  <c r="DB1084" i="2"/>
  <c r="CY1084" i="2"/>
  <c r="CX1084" i="2"/>
  <c r="AX1032" i="2"/>
  <c r="AY1033" i="2"/>
  <c r="AZ1034" i="2"/>
  <c r="CY1035" i="2"/>
  <c r="DB1038" i="2"/>
  <c r="BD1043" i="2"/>
  <c r="AY1051" i="2"/>
  <c r="DD1064" i="2"/>
  <c r="DI1064" i="2"/>
  <c r="DL1064" i="2" s="1"/>
  <c r="DH1064" i="2"/>
  <c r="DG1064" i="2"/>
  <c r="DF1064" i="2"/>
  <c r="DE1064" i="2"/>
  <c r="DK1064" i="2" s="1"/>
  <c r="DC1064" i="2"/>
  <c r="DB1064" i="2"/>
  <c r="DA1064" i="2"/>
  <c r="DJ1064" i="2" s="1"/>
  <c r="CZ1064" i="2"/>
  <c r="CY1064" i="2"/>
  <c r="CZ1035" i="2"/>
  <c r="DC1038" i="2"/>
  <c r="BE1042" i="2"/>
  <c r="AZ1042" i="2"/>
  <c r="DF1047" i="2"/>
  <c r="DC1047" i="2"/>
  <c r="DB1047" i="2"/>
  <c r="CX1047" i="2"/>
  <c r="CX1048" i="2"/>
  <c r="AZ1051" i="2"/>
  <c r="DA1051" i="2"/>
  <c r="DJ1051" i="2" s="1"/>
  <c r="CX1052" i="2"/>
  <c r="DA1055" i="2"/>
  <c r="DJ1055" i="2" s="1"/>
  <c r="DH1056" i="2"/>
  <c r="AV1058" i="2"/>
  <c r="BG1060" i="2"/>
  <c r="AV1060" i="2"/>
  <c r="DA1035" i="2"/>
  <c r="DJ1035" i="2" s="1"/>
  <c r="BG1047" i="2"/>
  <c r="CZ1048" i="2"/>
  <c r="AW1052" i="2"/>
  <c r="CY1052" i="2"/>
  <c r="CZ1054" i="2"/>
  <c r="DB1055" i="2"/>
  <c r="AY1056" i="2"/>
  <c r="AX1056" i="2"/>
  <c r="BF1067" i="2"/>
  <c r="CY1032" i="2"/>
  <c r="DB1035" i="2"/>
  <c r="DE1038" i="2"/>
  <c r="DK1038" i="2" s="1"/>
  <c r="CX1041" i="2"/>
  <c r="BE1045" i="2"/>
  <c r="BF1046" i="2"/>
  <c r="DH1049" i="2"/>
  <c r="DE1049" i="2"/>
  <c r="DK1049" i="2" s="1"/>
  <c r="DD1049" i="2"/>
  <c r="CZ1049" i="2"/>
  <c r="CX1049" i="2"/>
  <c r="CZ1052" i="2"/>
  <c r="DA1056" i="2"/>
  <c r="DJ1056" i="2" s="1"/>
  <c r="CY1056" i="2"/>
  <c r="CX1056" i="2"/>
  <c r="DG1056" i="2"/>
  <c r="DE1056" i="2"/>
  <c r="DK1056" i="2" s="1"/>
  <c r="BD1058" i="2"/>
  <c r="AY1058" i="2"/>
  <c r="AX1058" i="2"/>
  <c r="DC1058" i="2"/>
  <c r="DA1058" i="2"/>
  <c r="DJ1058" i="2" s="1"/>
  <c r="CZ1058" i="2"/>
  <c r="CY1058" i="2"/>
  <c r="CX1058" i="2"/>
  <c r="DI1058" i="2"/>
  <c r="DL1058" i="2" s="1"/>
  <c r="DG1058" i="2"/>
  <c r="BD1044" i="2"/>
  <c r="BC1050" i="2"/>
  <c r="BE1058" i="2"/>
  <c r="BC1058" i="2"/>
  <c r="AZ1058" i="2"/>
  <c r="AW1070" i="2"/>
  <c r="AW1084" i="2"/>
  <c r="BC1041" i="2"/>
  <c r="DA1041" i="2"/>
  <c r="DJ1041" i="2" s="1"/>
  <c r="BF1043" i="2"/>
  <c r="BC1044" i="2"/>
  <c r="AV1049" i="2"/>
  <c r="BD1049" i="2"/>
  <c r="AX1051" i="2"/>
  <c r="BD1051" i="2"/>
  <c r="DD1052" i="2"/>
  <c r="BG1055" i="2"/>
  <c r="AW1096" i="2"/>
  <c r="AX1026" i="2"/>
  <c r="AZ1028" i="2"/>
  <c r="DB1032" i="2"/>
  <c r="DC1033" i="2"/>
  <c r="DE1035" i="2"/>
  <c r="DK1035" i="2" s="1"/>
  <c r="DH1038" i="2"/>
  <c r="AX1039" i="2"/>
  <c r="DB1041" i="2"/>
  <c r="DF1048" i="2"/>
  <c r="DE1052" i="2"/>
  <c r="DK1052" i="2" s="1"/>
  <c r="BD1055" i="2"/>
  <c r="DF1060" i="2"/>
  <c r="DG1067" i="2"/>
  <c r="DI1067" i="2"/>
  <c r="DL1067" i="2" s="1"/>
  <c r="DH1067" i="2"/>
  <c r="DF1067" i="2"/>
  <c r="DE1067" i="2"/>
  <c r="DK1067" i="2" s="1"/>
  <c r="DD1067" i="2"/>
  <c r="DC1067" i="2"/>
  <c r="DB1067" i="2"/>
  <c r="DA1067" i="2"/>
  <c r="DJ1067" i="2" s="1"/>
  <c r="CZ1067" i="2"/>
  <c r="CY1067" i="2"/>
  <c r="CX1067" i="2"/>
  <c r="DC1032" i="2"/>
  <c r="DF1035" i="2"/>
  <c r="DC1041" i="2"/>
  <c r="DA1042" i="2"/>
  <c r="DJ1042" i="2" s="1"/>
  <c r="CX1042" i="2"/>
  <c r="BD1045" i="2"/>
  <c r="AV1045" i="2"/>
  <c r="DE1046" i="2"/>
  <c r="DK1046" i="2" s="1"/>
  <c r="DB1046" i="2"/>
  <c r="DA1046" i="2"/>
  <c r="DJ1046" i="2" s="1"/>
  <c r="AV1047" i="2"/>
  <c r="CY1047" i="2"/>
  <c r="DH1048" i="2"/>
  <c r="AY1052" i="2"/>
  <c r="DF1052" i="2"/>
  <c r="AY1054" i="2"/>
  <c r="AX1054" i="2"/>
  <c r="BG1054" i="2"/>
  <c r="DG1054" i="2"/>
  <c r="AV1056" i="2"/>
  <c r="BE1057" i="2"/>
  <c r="DH1060" i="2"/>
  <c r="DC1062" i="2"/>
  <c r="BF1070" i="2"/>
  <c r="BE1070" i="2"/>
  <c r="DD1041" i="2"/>
  <c r="DD1045" i="2"/>
  <c r="DA1045" i="2"/>
  <c r="DJ1045" i="2" s="1"/>
  <c r="CZ1045" i="2"/>
  <c r="BC1048" i="2"/>
  <c r="AY1048" i="2"/>
  <c r="DI1048" i="2"/>
  <c r="DL1048" i="2" s="1"/>
  <c r="DI1051" i="2"/>
  <c r="DL1051" i="2" s="1"/>
  <c r="DG1051" i="2"/>
  <c r="DF1051" i="2"/>
  <c r="DB1051" i="2"/>
  <c r="CZ1051" i="2"/>
  <c r="BE1052" i="2"/>
  <c r="DI1052" i="2"/>
  <c r="DL1052" i="2" s="1"/>
  <c r="AW1053" i="2"/>
  <c r="BC1054" i="2"/>
  <c r="CZ1055" i="2"/>
  <c r="CX1055" i="2"/>
  <c r="DF1055" i="2"/>
  <c r="DD1055" i="2"/>
  <c r="BG1058" i="2"/>
  <c r="DI1060" i="2"/>
  <c r="DL1060" i="2" s="1"/>
  <c r="AW1061" i="2"/>
  <c r="CX1061" i="2"/>
  <c r="DD1062" i="2"/>
  <c r="BC1069" i="2"/>
  <c r="CZ1069" i="2"/>
  <c r="AZ1072" i="2"/>
  <c r="BE1075" i="2"/>
  <c r="BC1075" i="2"/>
  <c r="DG1075" i="2"/>
  <c r="AZ1076" i="2"/>
  <c r="AX1081" i="2"/>
  <c r="DF1081" i="2"/>
  <c r="AV1086" i="2"/>
  <c r="BG1086" i="2"/>
  <c r="AZ1087" i="2"/>
  <c r="DH1097" i="2"/>
  <c r="DG1097" i="2"/>
  <c r="DF1097" i="2"/>
  <c r="DE1097" i="2"/>
  <c r="DK1097" i="2" s="1"/>
  <c r="DD1097" i="2"/>
  <c r="DB1097" i="2"/>
  <c r="DA1097" i="2"/>
  <c r="DJ1097" i="2" s="1"/>
  <c r="CZ1097" i="2"/>
  <c r="CY1097" i="2"/>
  <c r="DI1097" i="2"/>
  <c r="DL1097" i="2" s="1"/>
  <c r="DA1069" i="2"/>
  <c r="DJ1069" i="2" s="1"/>
  <c r="BC1076" i="2"/>
  <c r="DE1080" i="2"/>
  <c r="DK1080" i="2" s="1"/>
  <c r="BC1081" i="2"/>
  <c r="BE1092" i="2"/>
  <c r="BC1092" i="2"/>
  <c r="AZ1092" i="2"/>
  <c r="BG1094" i="2"/>
  <c r="BD1094" i="2"/>
  <c r="AV1094" i="2"/>
  <c r="DC1069" i="2"/>
  <c r="CY1077" i="2"/>
  <c r="CZ1078" i="2"/>
  <c r="BE1082" i="2"/>
  <c r="BC1082" i="2"/>
  <c r="AZ1082" i="2"/>
  <c r="DH1082" i="2"/>
  <c r="DF1082" i="2"/>
  <c r="DC1082" i="2"/>
  <c r="DB1082" i="2"/>
  <c r="DA1082" i="2"/>
  <c r="DJ1082" i="2" s="1"/>
  <c r="CY1082" i="2"/>
  <c r="CX1082" i="2"/>
  <c r="BD1085" i="2"/>
  <c r="DA1075" i="2"/>
  <c r="DJ1075" i="2" s="1"/>
  <c r="CY1075" i="2"/>
  <c r="DH1075" i="2"/>
  <c r="BD1081" i="2"/>
  <c r="AY1081" i="2"/>
  <c r="BF1096" i="2"/>
  <c r="AY1096" i="2"/>
  <c r="DI1098" i="2"/>
  <c r="DL1098" i="2" s="1"/>
  <c r="DH1098" i="2"/>
  <c r="DG1098" i="2"/>
  <c r="DF1098" i="2"/>
  <c r="DE1098" i="2"/>
  <c r="DK1098" i="2" s="1"/>
  <c r="DC1098" i="2"/>
  <c r="DB1098" i="2"/>
  <c r="DA1098" i="2"/>
  <c r="DJ1098" i="2" s="1"/>
  <c r="CZ1098" i="2"/>
  <c r="DD1098" i="2"/>
  <c r="CY1098" i="2"/>
  <c r="CX1098" i="2"/>
  <c r="AY1063" i="2"/>
  <c r="AW1063" i="2" s="1"/>
  <c r="CX1063" i="2"/>
  <c r="AX1066" i="2"/>
  <c r="AV1068" i="2"/>
  <c r="DE1069" i="2"/>
  <c r="DK1069" i="2" s="1"/>
  <c r="AZ1071" i="2"/>
  <c r="CX1071" i="2"/>
  <c r="CX1072" i="2"/>
  <c r="DI1072" i="2"/>
  <c r="DL1072" i="2" s="1"/>
  <c r="DE1072" i="2"/>
  <c r="DK1072" i="2" s="1"/>
  <c r="CY1073" i="2"/>
  <c r="DF1073" i="2"/>
  <c r="AY1074" i="2"/>
  <c r="AW1074" i="2" s="1"/>
  <c r="DA1074" i="2"/>
  <c r="DJ1074" i="2" s="1"/>
  <c r="AV1075" i="2"/>
  <c r="DB1077" i="2"/>
  <c r="DC1078" i="2"/>
  <c r="AW1083" i="2"/>
  <c r="BD1091" i="2"/>
  <c r="AX1091" i="2"/>
  <c r="AY1091" i="2"/>
  <c r="AY1059" i="2"/>
  <c r="BE1061" i="2"/>
  <c r="AZ1063" i="2"/>
  <c r="CY1063" i="2"/>
  <c r="AY1066" i="2"/>
  <c r="DF1069" i="2"/>
  <c r="BC1071" i="2"/>
  <c r="BC1074" i="2"/>
  <c r="BE1080" i="2"/>
  <c r="BC1080" i="2"/>
  <c r="AY1080" i="2"/>
  <c r="DI1081" i="2"/>
  <c r="DL1081" i="2" s="1"/>
  <c r="DG1081" i="2"/>
  <c r="DE1081" i="2"/>
  <c r="DK1081" i="2" s="1"/>
  <c r="DB1081" i="2"/>
  <c r="DA1081" i="2"/>
  <c r="DJ1081" i="2" s="1"/>
  <c r="CZ1081" i="2"/>
  <c r="CX1081" i="2"/>
  <c r="AY1085" i="2"/>
  <c r="AX1085" i="2"/>
  <c r="CZ1086" i="2"/>
  <c r="BE1091" i="2"/>
  <c r="BC1091" i="2"/>
  <c r="AZ1091" i="2"/>
  <c r="DI1101" i="2"/>
  <c r="DL1101" i="2" s="1"/>
  <c r="DH1101" i="2"/>
  <c r="DF1101" i="2"/>
  <c r="DE1101" i="2"/>
  <c r="DK1101" i="2" s="1"/>
  <c r="DD1101" i="2"/>
  <c r="DC1101" i="2"/>
  <c r="CY1101" i="2"/>
  <c r="CZ1101" i="2"/>
  <c r="CX1101" i="2"/>
  <c r="DG1101" i="2"/>
  <c r="DA1101" i="2"/>
  <c r="DJ1101" i="2" s="1"/>
  <c r="BC1063" i="2"/>
  <c r="CZ1063" i="2"/>
  <c r="AZ1066" i="2"/>
  <c r="CX1066" i="2"/>
  <c r="BG1067" i="2"/>
  <c r="BF1069" i="2"/>
  <c r="DG1069" i="2"/>
  <c r="CZ1071" i="2"/>
  <c r="BE1074" i="2"/>
  <c r="DC1074" i="2"/>
  <c r="BF1076" i="2"/>
  <c r="DF1077" i="2"/>
  <c r="DG1078" i="2"/>
  <c r="AV1082" i="2"/>
  <c r="BG1082" i="2"/>
  <c r="DA1086" i="2"/>
  <c r="DJ1086" i="2" s="1"/>
  <c r="DA1063" i="2"/>
  <c r="DJ1063" i="2" s="1"/>
  <c r="BC1066" i="2"/>
  <c r="CY1066" i="2"/>
  <c r="DA1071" i="2"/>
  <c r="DJ1071" i="2" s="1"/>
  <c r="AV1072" i="2"/>
  <c r="AX1073" i="2"/>
  <c r="CX1073" i="2"/>
  <c r="DD1074" i="2"/>
  <c r="DG1077" i="2"/>
  <c r="BG1078" i="2"/>
  <c r="DH1078" i="2"/>
  <c r="BD1079" i="2"/>
  <c r="AX1079" i="2"/>
  <c r="DH1080" i="2"/>
  <c r="DF1080" i="2"/>
  <c r="DD1080" i="2"/>
  <c r="DA1080" i="2"/>
  <c r="DJ1080" i="2" s="1"/>
  <c r="CZ1080" i="2"/>
  <c r="CY1080" i="2"/>
  <c r="DG1086" i="2"/>
  <c r="BF1089" i="2"/>
  <c r="BD1089" i="2"/>
  <c r="BC1104" i="2"/>
  <c r="AZ1104" i="2"/>
  <c r="BE1104" i="2"/>
  <c r="DH1113" i="2"/>
  <c r="DG1113" i="2"/>
  <c r="DF1113" i="2"/>
  <c r="DE1113" i="2"/>
  <c r="DK1113" i="2" s="1"/>
  <c r="DD1113" i="2"/>
  <c r="DC1113" i="2"/>
  <c r="DB1113" i="2"/>
  <c r="DA1113" i="2"/>
  <c r="DJ1113" i="2" s="1"/>
  <c r="CZ1113" i="2"/>
  <c r="CY1113" i="2"/>
  <c r="DI1113" i="2"/>
  <c r="DL1113" i="2" s="1"/>
  <c r="CX1113" i="2"/>
  <c r="AX1055" i="2"/>
  <c r="DB1063" i="2"/>
  <c r="CZ1066" i="2"/>
  <c r="DB1071" i="2"/>
  <c r="CZ1073" i="2"/>
  <c r="DE1074" i="2"/>
  <c r="DK1074" i="2" s="1"/>
  <c r="DD1076" i="2"/>
  <c r="DB1076" i="2"/>
  <c r="CZ1076" i="2"/>
  <c r="DI1076" i="2"/>
  <c r="DL1076" i="2" s="1"/>
  <c r="AY1077" i="2"/>
  <c r="AX1077" i="2"/>
  <c r="DH1077" i="2"/>
  <c r="BC1079" i="2"/>
  <c r="DG1079" i="2"/>
  <c r="DE1079" i="2"/>
  <c r="DK1079" i="2" s="1"/>
  <c r="DC1079" i="2"/>
  <c r="CZ1079" i="2"/>
  <c r="CY1079" i="2"/>
  <c r="CX1079" i="2"/>
  <c r="BF1082" i="2"/>
  <c r="BD1083" i="2"/>
  <c r="DH1086" i="2"/>
  <c r="BF1088" i="2"/>
  <c r="BD1088" i="2"/>
  <c r="AW1095" i="2"/>
  <c r="AY1055" i="2"/>
  <c r="AZ1056" i="2"/>
  <c r="CY1057" i="2"/>
  <c r="DD1063" i="2"/>
  <c r="AX1065" i="2"/>
  <c r="DA1066" i="2"/>
  <c r="DJ1066" i="2" s="1"/>
  <c r="AZ1068" i="2"/>
  <c r="DC1071" i="2"/>
  <c r="CY1072" i="2"/>
  <c r="DA1073" i="2"/>
  <c r="DJ1073" i="2" s="1"/>
  <c r="BD1074" i="2"/>
  <c r="CX1075" i="2"/>
  <c r="BE1077" i="2"/>
  <c r="BC1078" i="2"/>
  <c r="AZ1078" i="2"/>
  <c r="AY1078" i="2"/>
  <c r="BD1080" i="2"/>
  <c r="BC1083" i="2"/>
  <c r="BD1086" i="2"/>
  <c r="BC1056" i="2"/>
  <c r="BD1060" i="2"/>
  <c r="DE1063" i="2"/>
  <c r="DK1063" i="2" s="1"/>
  <c r="DB1066" i="2"/>
  <c r="AY1071" i="2"/>
  <c r="AW1071" i="2" s="1"/>
  <c r="DE1071" i="2"/>
  <c r="DK1071" i="2" s="1"/>
  <c r="CZ1075" i="2"/>
  <c r="BF1078" i="2"/>
  <c r="DF1078" i="2"/>
  <c r="DD1078" i="2"/>
  <c r="DB1078" i="2"/>
  <c r="CY1078" i="2"/>
  <c r="CX1078" i="2"/>
  <c r="AV1083" i="2"/>
  <c r="BF1083" i="2"/>
  <c r="AV1085" i="2"/>
  <c r="BG1085" i="2"/>
  <c r="DF1096" i="2"/>
  <c r="DE1096" i="2"/>
  <c r="DK1096" i="2" s="1"/>
  <c r="DD1096" i="2"/>
  <c r="DC1096" i="2"/>
  <c r="DA1096" i="2"/>
  <c r="DJ1096" i="2" s="1"/>
  <c r="CZ1096" i="2"/>
  <c r="CY1096" i="2"/>
  <c r="CX1096" i="2"/>
  <c r="DI1096" i="2"/>
  <c r="DL1096" i="2" s="1"/>
  <c r="DH1096" i="2"/>
  <c r="DG1096" i="2"/>
  <c r="DB1096" i="2"/>
  <c r="AW1111" i="2"/>
  <c r="DI1114" i="2"/>
  <c r="DL1114" i="2" s="1"/>
  <c r="DH1114" i="2"/>
  <c r="DG1114" i="2"/>
  <c r="DF1114" i="2"/>
  <c r="DE1114" i="2"/>
  <c r="DK1114" i="2" s="1"/>
  <c r="DD1114" i="2"/>
  <c r="DC1114" i="2"/>
  <c r="DB1114" i="2"/>
  <c r="CY1114" i="2"/>
  <c r="CX1114" i="2"/>
  <c r="DA1114" i="2"/>
  <c r="DJ1114" i="2" s="1"/>
  <c r="CZ1114" i="2"/>
  <c r="DF1063" i="2"/>
  <c r="DI1069" i="2"/>
  <c r="DL1069" i="2" s="1"/>
  <c r="DB1069" i="2"/>
  <c r="DB1075" i="2"/>
  <c r="DE1077" i="2"/>
  <c r="DK1077" i="2" s="1"/>
  <c r="DC1077" i="2"/>
  <c r="DA1077" i="2"/>
  <c r="DJ1077" i="2" s="1"/>
  <c r="CX1077" i="2"/>
  <c r="DF1086" i="2"/>
  <c r="DE1086" i="2"/>
  <c r="DK1086" i="2" s="1"/>
  <c r="DD1086" i="2"/>
  <c r="DC1086" i="2"/>
  <c r="DB1086" i="2"/>
  <c r="CY1086" i="2"/>
  <c r="CX1086" i="2"/>
  <c r="DG1063" i="2"/>
  <c r="AV1070" i="2"/>
  <c r="BG1070" i="2"/>
  <c r="DC1075" i="2"/>
  <c r="BG1079" i="2"/>
  <c r="BE1081" i="2"/>
  <c r="DD1082" i="2"/>
  <c r="BC1086" i="2"/>
  <c r="BF1090" i="2"/>
  <c r="AY1090" i="2"/>
  <c r="AW1090" i="2" s="1"/>
  <c r="AW1069" i="2"/>
  <c r="DC1072" i="2"/>
  <c r="AY1073" i="2"/>
  <c r="DE1073" i="2"/>
  <c r="DK1073" i="2" s="1"/>
  <c r="CZ1074" i="2"/>
  <c r="CX1074" i="2"/>
  <c r="DG1074" i="2"/>
  <c r="DD1075" i="2"/>
  <c r="BG1077" i="2"/>
  <c r="AV1077" i="2"/>
  <c r="CY1081" i="2"/>
  <c r="DE1082" i="2"/>
  <c r="DK1082" i="2" s="1"/>
  <c r="BF1086" i="2"/>
  <c r="BF1087" i="2"/>
  <c r="AY1104" i="2"/>
  <c r="AX1104" i="2"/>
  <c r="BF1108" i="2"/>
  <c r="DF1111" i="2"/>
  <c r="DE1111" i="2"/>
  <c r="DK1111" i="2" s="1"/>
  <c r="DD1111" i="2"/>
  <c r="DC1111" i="2"/>
  <c r="DB1111" i="2"/>
  <c r="DA1111" i="2"/>
  <c r="DJ1111" i="2" s="1"/>
  <c r="CZ1111" i="2"/>
  <c r="CY1111" i="2"/>
  <c r="CX1111" i="2"/>
  <c r="DI1111" i="2"/>
  <c r="DL1111" i="2" s="1"/>
  <c r="AY1127" i="2"/>
  <c r="BF1127" i="2"/>
  <c r="BD1127" i="2"/>
  <c r="BD1105" i="2"/>
  <c r="AY1105" i="2"/>
  <c r="AX1105" i="2"/>
  <c r="BG1105" i="2"/>
  <c r="BC1124" i="2"/>
  <c r="AY1124" i="2"/>
  <c r="BD1084" i="2"/>
  <c r="AY1087" i="2"/>
  <c r="AX1087" i="2"/>
  <c r="DE1095" i="2"/>
  <c r="DK1095" i="2" s="1"/>
  <c r="DD1095" i="2"/>
  <c r="DC1095" i="2"/>
  <c r="DB1095" i="2"/>
  <c r="CZ1095" i="2"/>
  <c r="CY1095" i="2"/>
  <c r="CX1095" i="2"/>
  <c r="AW1097" i="2"/>
  <c r="AY1103" i="2"/>
  <c r="AX1103" i="2"/>
  <c r="BE1103" i="2"/>
  <c r="BC1105" i="2"/>
  <c r="AZ1105" i="2"/>
  <c r="BG1108" i="2"/>
  <c r="AV1108" i="2"/>
  <c r="DI1122" i="2"/>
  <c r="DL1122" i="2" s="1"/>
  <c r="DD1122" i="2"/>
  <c r="DC1122" i="2"/>
  <c r="DA1122" i="2"/>
  <c r="DJ1122" i="2" s="1"/>
  <c r="CZ1122" i="2"/>
  <c r="CY1122" i="2"/>
  <c r="DE1122" i="2"/>
  <c r="DK1122" i="2" s="1"/>
  <c r="DB1122" i="2"/>
  <c r="CX1122" i="2"/>
  <c r="DH1122" i="2"/>
  <c r="DC1085" i="2"/>
  <c r="BE1088" i="2"/>
  <c r="DB1088" i="2"/>
  <c r="DD1090" i="2"/>
  <c r="CY1092" i="2"/>
  <c r="BG1096" i="2"/>
  <c r="BD1096" i="2"/>
  <c r="BE1099" i="2"/>
  <c r="AY1099" i="2"/>
  <c r="AW1099" i="2" s="1"/>
  <c r="DI1099" i="2"/>
  <c r="DL1099" i="2" s="1"/>
  <c r="DH1099" i="2"/>
  <c r="DG1099" i="2"/>
  <c r="DF1099" i="2"/>
  <c r="DD1099" i="2"/>
  <c r="DC1099" i="2"/>
  <c r="DB1099" i="2"/>
  <c r="DA1099" i="2"/>
  <c r="DJ1099" i="2" s="1"/>
  <c r="AW1101" i="2"/>
  <c r="BF1111" i="2"/>
  <c r="BG1113" i="2"/>
  <c r="BC1118" i="2"/>
  <c r="AZ1118" i="2"/>
  <c r="DI1138" i="2"/>
  <c r="DL1138" i="2" s="1"/>
  <c r="DH1138" i="2"/>
  <c r="DG1138" i="2"/>
  <c r="DF1138" i="2"/>
  <c r="DE1138" i="2"/>
  <c r="DK1138" i="2" s="1"/>
  <c r="DD1138" i="2"/>
  <c r="DC1138" i="2"/>
  <c r="DB1138" i="2"/>
  <c r="DA1138" i="2"/>
  <c r="DJ1138" i="2" s="1"/>
  <c r="CZ1138" i="2"/>
  <c r="CY1138" i="2"/>
  <c r="AV1091" i="2"/>
  <c r="DA1091" i="2"/>
  <c r="DJ1091" i="2" s="1"/>
  <c r="CZ1091" i="2"/>
  <c r="CY1091" i="2"/>
  <c r="BE1093" i="2"/>
  <c r="AZ1093" i="2"/>
  <c r="BF1099" i="2"/>
  <c r="AW1122" i="2"/>
  <c r="BG1084" i="2"/>
  <c r="DE1085" i="2"/>
  <c r="DK1085" i="2" s="1"/>
  <c r="AY1086" i="2"/>
  <c r="DD1088" i="2"/>
  <c r="DF1090" i="2"/>
  <c r="DD1092" i="2"/>
  <c r="DC1106" i="2"/>
  <c r="BG1112" i="2"/>
  <c r="BD1112" i="2"/>
  <c r="AV1112" i="2"/>
  <c r="AX1076" i="2"/>
  <c r="DF1085" i="2"/>
  <c r="AZ1086" i="2"/>
  <c r="AY1088" i="2"/>
  <c r="AX1088" i="2"/>
  <c r="DE1088" i="2"/>
  <c r="DK1088" i="2" s="1"/>
  <c r="AY1089" i="2"/>
  <c r="BD1090" i="2"/>
  <c r="DG1090" i="2"/>
  <c r="DE1092" i="2"/>
  <c r="DK1092" i="2" s="1"/>
  <c r="BC1095" i="2"/>
  <c r="BD1097" i="2"/>
  <c r="AW1100" i="2"/>
  <c r="AV1105" i="2"/>
  <c r="DE1106" i="2"/>
  <c r="DK1106" i="2" s="1"/>
  <c r="AX1115" i="2"/>
  <c r="BD1115" i="2"/>
  <c r="AY1115" i="2"/>
  <c r="DB1144" i="2"/>
  <c r="DA1144" i="2"/>
  <c r="DJ1144" i="2" s="1"/>
  <c r="CZ1144" i="2"/>
  <c r="CY1144" i="2"/>
  <c r="CX1144" i="2"/>
  <c r="DI1144" i="2"/>
  <c r="DL1144" i="2" s="1"/>
  <c r="DH1144" i="2"/>
  <c r="DG1144" i="2"/>
  <c r="DF1144" i="2"/>
  <c r="DE1144" i="2"/>
  <c r="DK1144" i="2" s="1"/>
  <c r="DC1144" i="2"/>
  <c r="AY1076" i="2"/>
  <c r="AZ1077" i="2"/>
  <c r="DG1085" i="2"/>
  <c r="DF1088" i="2"/>
  <c r="BC1089" i="2"/>
  <c r="AZ1089" i="2"/>
  <c r="BC1090" i="2"/>
  <c r="AZ1090" i="2"/>
  <c r="DC1093" i="2"/>
  <c r="DB1093" i="2"/>
  <c r="DA1093" i="2"/>
  <c r="DJ1093" i="2" s="1"/>
  <c r="CX1093" i="2"/>
  <c r="AW1106" i="2"/>
  <c r="DF1106" i="2"/>
  <c r="BC1111" i="2"/>
  <c r="BE1115" i="2"/>
  <c r="BC1115" i="2"/>
  <c r="AZ1115" i="2"/>
  <c r="BD1092" i="2"/>
  <c r="AY1092" i="2"/>
  <c r="BF1097" i="2"/>
  <c r="AW1114" i="2"/>
  <c r="AY1116" i="2"/>
  <c r="AX1116" i="2"/>
  <c r="BG1116" i="2"/>
  <c r="DA1106" i="2"/>
  <c r="DJ1106" i="2" s="1"/>
  <c r="CZ1106" i="2"/>
  <c r="CY1106" i="2"/>
  <c r="CX1106" i="2"/>
  <c r="DI1106" i="2"/>
  <c r="DL1106" i="2" s="1"/>
  <c r="DH1106" i="2"/>
  <c r="DD1106" i="2"/>
  <c r="BC1116" i="2"/>
  <c r="AZ1116" i="2"/>
  <c r="DI1088" i="2"/>
  <c r="DL1088" i="2" s="1"/>
  <c r="DB1091" i="2"/>
  <c r="BF1092" i="2"/>
  <c r="AY1094" i="2"/>
  <c r="DA1095" i="2"/>
  <c r="DJ1095" i="2" s="1"/>
  <c r="AZ1098" i="2"/>
  <c r="AY1102" i="2"/>
  <c r="DA1104" i="2"/>
  <c r="DJ1104" i="2" s="1"/>
  <c r="BD1106" i="2"/>
  <c r="DH1112" i="2"/>
  <c r="AV1113" i="2"/>
  <c r="AV1089" i="2"/>
  <c r="CZ1090" i="2"/>
  <c r="CY1090" i="2"/>
  <c r="CX1090" i="2"/>
  <c r="DC1091" i="2"/>
  <c r="BC1094" i="2"/>
  <c r="AZ1094" i="2"/>
  <c r="AV1095" i="2"/>
  <c r="DF1095" i="2"/>
  <c r="DI1100" i="2"/>
  <c r="DL1100" i="2" s="1"/>
  <c r="DH1100" i="2"/>
  <c r="DG1100" i="2"/>
  <c r="DE1100" i="2"/>
  <c r="DK1100" i="2" s="1"/>
  <c r="DD1100" i="2"/>
  <c r="DC1100" i="2"/>
  <c r="DB1100" i="2"/>
  <c r="CX1100" i="2"/>
  <c r="DI1102" i="2"/>
  <c r="DL1102" i="2" s="1"/>
  <c r="DG1102" i="2"/>
  <c r="DF1102" i="2"/>
  <c r="DE1102" i="2"/>
  <c r="DK1102" i="2" s="1"/>
  <c r="DD1102" i="2"/>
  <c r="CZ1102" i="2"/>
  <c r="BD1104" i="2"/>
  <c r="DC1104" i="2"/>
  <c r="BE1106" i="2"/>
  <c r="BC1106" i="2"/>
  <c r="AZ1106" i="2"/>
  <c r="DB1107" i="2"/>
  <c r="DA1107" i="2"/>
  <c r="DJ1107" i="2" s="1"/>
  <c r="CZ1107" i="2"/>
  <c r="CY1107" i="2"/>
  <c r="CX1107" i="2"/>
  <c r="DI1107" i="2"/>
  <c r="DL1107" i="2" s="1"/>
  <c r="DE1107" i="2"/>
  <c r="DK1107" i="2" s="1"/>
  <c r="DD1109" i="2"/>
  <c r="DC1109" i="2"/>
  <c r="DB1109" i="2"/>
  <c r="DA1109" i="2"/>
  <c r="DJ1109" i="2" s="1"/>
  <c r="CZ1109" i="2"/>
  <c r="CY1109" i="2"/>
  <c r="CX1109" i="2"/>
  <c r="DH1109" i="2"/>
  <c r="DG1109" i="2"/>
  <c r="DG1111" i="2"/>
  <c r="AV1115" i="2"/>
  <c r="BG1115" i="2"/>
  <c r="DB1128" i="2"/>
  <c r="CZ1128" i="2"/>
  <c r="CY1128" i="2"/>
  <c r="CX1128" i="2"/>
  <c r="DI1128" i="2"/>
  <c r="DL1128" i="2" s="1"/>
  <c r="DG1128" i="2"/>
  <c r="DF1128" i="2"/>
  <c r="DE1128" i="2"/>
  <c r="DK1128" i="2" s="1"/>
  <c r="DD1128" i="2"/>
  <c r="DC1128" i="2"/>
  <c r="DA1128" i="2"/>
  <c r="DJ1128" i="2" s="1"/>
  <c r="DD1091" i="2"/>
  <c r="BF1094" i="2"/>
  <c r="DG1095" i="2"/>
  <c r="BD1098" i="2"/>
  <c r="AX1098" i="2"/>
  <c r="CX1099" i="2"/>
  <c r="BG1100" i="2"/>
  <c r="DD1104" i="2"/>
  <c r="BD1107" i="2"/>
  <c r="AY1107" i="2"/>
  <c r="AX1107" i="2"/>
  <c r="AV1109" i="2"/>
  <c r="AY1110" i="2"/>
  <c r="DH1111" i="2"/>
  <c r="DE1091" i="2"/>
  <c r="DK1091" i="2" s="1"/>
  <c r="CY1093" i="2"/>
  <c r="DH1095" i="2"/>
  <c r="BD1108" i="2"/>
  <c r="AY1108" i="2"/>
  <c r="AX1108" i="2"/>
  <c r="BD1109" i="2"/>
  <c r="BE1110" i="2"/>
  <c r="AW1112" i="2"/>
  <c r="DG1112" i="2"/>
  <c r="DF1112" i="2"/>
  <c r="DE1112" i="2"/>
  <c r="DK1112" i="2" s="1"/>
  <c r="DD1112" i="2"/>
  <c r="DC1112" i="2"/>
  <c r="DB1112" i="2"/>
  <c r="DA1112" i="2"/>
  <c r="DJ1112" i="2" s="1"/>
  <c r="CZ1112" i="2"/>
  <c r="CY1112" i="2"/>
  <c r="CX1112" i="2"/>
  <c r="BD1131" i="2"/>
  <c r="AY1131" i="2"/>
  <c r="AX1131" i="2"/>
  <c r="BD1087" i="2"/>
  <c r="BG1091" i="2"/>
  <c r="DF1091" i="2"/>
  <c r="DB1092" i="2"/>
  <c r="DA1092" i="2"/>
  <c r="DJ1092" i="2" s="1"/>
  <c r="CZ1092" i="2"/>
  <c r="CZ1093" i="2"/>
  <c r="DI1095" i="2"/>
  <c r="DL1095" i="2" s="1"/>
  <c r="BF1100" i="2"/>
  <c r="BG1104" i="2"/>
  <c r="CY1104" i="2"/>
  <c r="CX1104" i="2"/>
  <c r="DI1104" i="2"/>
  <c r="DL1104" i="2" s="1"/>
  <c r="DH1104" i="2"/>
  <c r="DG1104" i="2"/>
  <c r="DF1104" i="2"/>
  <c r="DB1104" i="2"/>
  <c r="BF1107" i="2"/>
  <c r="BE1108" i="2"/>
  <c r="BC1108" i="2"/>
  <c r="AZ1108" i="2"/>
  <c r="BE1109" i="2"/>
  <c r="BC1109" i="2"/>
  <c r="AZ1109" i="2"/>
  <c r="BF1110" i="2"/>
  <c r="AV1147" i="2"/>
  <c r="BG1147" i="2"/>
  <c r="DF1108" i="2"/>
  <c r="AW1113" i="2"/>
  <c r="BE1117" i="2"/>
  <c r="DB1117" i="2"/>
  <c r="DD1118" i="2"/>
  <c r="BD1119" i="2"/>
  <c r="AY1119" i="2"/>
  <c r="AX1119" i="2"/>
  <c r="AV1120" i="2"/>
  <c r="AV1121" i="2"/>
  <c r="AY1123" i="2"/>
  <c r="AW1123" i="2" s="1"/>
  <c r="CX1125" i="2"/>
  <c r="BC1131" i="2"/>
  <c r="AY1132" i="2"/>
  <c r="DH1133" i="2"/>
  <c r="CX1140" i="2"/>
  <c r="DI1140" i="2"/>
  <c r="DL1140" i="2" s="1"/>
  <c r="DH1140" i="2"/>
  <c r="DG1140" i="2"/>
  <c r="DF1140" i="2"/>
  <c r="DE1140" i="2"/>
  <c r="DK1140" i="2" s="1"/>
  <c r="DD1140" i="2"/>
  <c r="DC1140" i="2"/>
  <c r="DB1140" i="2"/>
  <c r="DA1140" i="2"/>
  <c r="DJ1140" i="2" s="1"/>
  <c r="AY1146" i="2"/>
  <c r="DI1148" i="2"/>
  <c r="DL1148" i="2" s="1"/>
  <c r="DH1148" i="2"/>
  <c r="DG1148" i="2"/>
  <c r="DF1148" i="2"/>
  <c r="DE1148" i="2"/>
  <c r="DK1148" i="2" s="1"/>
  <c r="DD1148" i="2"/>
  <c r="DC1148" i="2"/>
  <c r="DB1148" i="2"/>
  <c r="DA1148" i="2"/>
  <c r="DJ1148" i="2" s="1"/>
  <c r="CZ1148" i="2"/>
  <c r="CY1148" i="2"/>
  <c r="AW1161" i="2"/>
  <c r="AV1111" i="2"/>
  <c r="BC1114" i="2"/>
  <c r="DC1117" i="2"/>
  <c r="AY1118" i="2"/>
  <c r="AX1118" i="2"/>
  <c r="DE1118" i="2"/>
  <c r="DK1118" i="2" s="1"/>
  <c r="BF1123" i="2"/>
  <c r="AV1124" i="2"/>
  <c r="BG1124" i="2"/>
  <c r="CZ1125" i="2"/>
  <c r="BD1128" i="2"/>
  <c r="AX1128" i="2"/>
  <c r="BD1129" i="2"/>
  <c r="AY1129" i="2"/>
  <c r="AX1129" i="2"/>
  <c r="DC1129" i="2"/>
  <c r="DA1129" i="2"/>
  <c r="DJ1129" i="2" s="1"/>
  <c r="CZ1129" i="2"/>
  <c r="CY1129" i="2"/>
  <c r="DH1129" i="2"/>
  <c r="DG1129" i="2"/>
  <c r="DF1129" i="2"/>
  <c r="BE1130" i="2"/>
  <c r="AZ1130" i="2"/>
  <c r="BF1131" i="2"/>
  <c r="BE1132" i="2"/>
  <c r="BC1132" i="2"/>
  <c r="AZ1132" i="2"/>
  <c r="AW1132" i="2" s="1"/>
  <c r="BE1146" i="2"/>
  <c r="BC1146" i="2"/>
  <c r="AZ1146" i="2"/>
  <c r="BE1122" i="2"/>
  <c r="BC1122" i="2"/>
  <c r="DE1123" i="2"/>
  <c r="DK1123" i="2" s="1"/>
  <c r="DD1123" i="2"/>
  <c r="DB1123" i="2"/>
  <c r="DA1123" i="2"/>
  <c r="DJ1123" i="2" s="1"/>
  <c r="CZ1123" i="2"/>
  <c r="DA1125" i="2"/>
  <c r="DJ1125" i="2" s="1"/>
  <c r="BE1129" i="2"/>
  <c r="BC1129" i="2"/>
  <c r="BF1130" i="2"/>
  <c r="BD1130" i="2"/>
  <c r="AV1130" i="2"/>
  <c r="DG1133" i="2"/>
  <c r="DE1133" i="2"/>
  <c r="DK1133" i="2" s="1"/>
  <c r="DD1133" i="2"/>
  <c r="DC1133" i="2"/>
  <c r="DB1133" i="2"/>
  <c r="DA1133" i="2"/>
  <c r="DJ1133" i="2" s="1"/>
  <c r="CZ1133" i="2"/>
  <c r="CY1133" i="2"/>
  <c r="CX1133" i="2"/>
  <c r="DD1151" i="2"/>
  <c r="DB1151" i="2"/>
  <c r="DA1151" i="2"/>
  <c r="DJ1151" i="2" s="1"/>
  <c r="DH1151" i="2"/>
  <c r="DI1151" i="2"/>
  <c r="DL1151" i="2" s="1"/>
  <c r="DG1151" i="2"/>
  <c r="DF1151" i="2"/>
  <c r="DE1151" i="2"/>
  <c r="DK1151" i="2" s="1"/>
  <c r="DC1151" i="2"/>
  <c r="CZ1151" i="2"/>
  <c r="CY1151" i="2"/>
  <c r="CX1151" i="2"/>
  <c r="DG1118" i="2"/>
  <c r="DE1125" i="2"/>
  <c r="DK1125" i="2" s="1"/>
  <c r="BE1144" i="2"/>
  <c r="BD1144" i="2"/>
  <c r="AY1144" i="2"/>
  <c r="AX1144" i="2"/>
  <c r="CZ1149" i="2"/>
  <c r="DF1149" i="2"/>
  <c r="DE1149" i="2"/>
  <c r="DK1149" i="2" s="1"/>
  <c r="DD1149" i="2"/>
  <c r="DC1149" i="2"/>
  <c r="DB1149" i="2"/>
  <c r="DA1149" i="2"/>
  <c r="DJ1149" i="2" s="1"/>
  <c r="CY1149" i="2"/>
  <c r="CX1149" i="2"/>
  <c r="DI1149" i="2"/>
  <c r="DL1149" i="2" s="1"/>
  <c r="DH1149" i="2"/>
  <c r="AW1162" i="2"/>
  <c r="BF1114" i="2"/>
  <c r="DF1117" i="2"/>
  <c r="DH1118" i="2"/>
  <c r="BD1121" i="2"/>
  <c r="BD1125" i="2"/>
  <c r="DH1125" i="2"/>
  <c r="BG1131" i="2"/>
  <c r="BD1132" i="2"/>
  <c r="BG1137" i="2"/>
  <c r="AW1138" i="2"/>
  <c r="AW1159" i="2"/>
  <c r="DE1169" i="2"/>
  <c r="DK1169" i="2" s="1"/>
  <c r="DA1169" i="2"/>
  <c r="DJ1169" i="2" s="1"/>
  <c r="CZ1169" i="2"/>
  <c r="CY1169" i="2"/>
  <c r="CX1169" i="2"/>
  <c r="DI1169" i="2"/>
  <c r="DL1169" i="2" s="1"/>
  <c r="DH1169" i="2"/>
  <c r="DG1169" i="2"/>
  <c r="DF1169" i="2"/>
  <c r="DD1169" i="2"/>
  <c r="DC1169" i="2"/>
  <c r="DB1169" i="2"/>
  <c r="BC1096" i="2"/>
  <c r="AX1109" i="2"/>
  <c r="BC1112" i="2"/>
  <c r="DG1116" i="2"/>
  <c r="DG1117" i="2"/>
  <c r="DI1118" i="2"/>
  <c r="DL1118" i="2" s="1"/>
  <c r="BC1121" i="2"/>
  <c r="AZ1121" i="2"/>
  <c r="AW1121" i="2" s="1"/>
  <c r="BD1126" i="2"/>
  <c r="AV1126" i="2"/>
  <c r="BG1126" i="2"/>
  <c r="AW1133" i="2"/>
  <c r="AY1109" i="2"/>
  <c r="AZ1110" i="2"/>
  <c r="DH1117" i="2"/>
  <c r="DH1121" i="2"/>
  <c r="DC1121" i="2"/>
  <c r="DB1121" i="2"/>
  <c r="CZ1121" i="2"/>
  <c r="CY1121" i="2"/>
  <c r="CX1121" i="2"/>
  <c r="AV1122" i="2"/>
  <c r="BG1129" i="2"/>
  <c r="AV1129" i="2"/>
  <c r="BE1131" i="2"/>
  <c r="CY1094" i="2"/>
  <c r="BC1110" i="2"/>
  <c r="CY1110" i="2"/>
  <c r="AV1116" i="2"/>
  <c r="DI1116" i="2"/>
  <c r="DL1116" i="2" s="1"/>
  <c r="DI1117" i="2"/>
  <c r="DL1117" i="2" s="1"/>
  <c r="DB1127" i="2"/>
  <c r="DA1143" i="2"/>
  <c r="DJ1143" i="2" s="1"/>
  <c r="CZ1143" i="2"/>
  <c r="CY1143" i="2"/>
  <c r="CX1143" i="2"/>
  <c r="DI1143" i="2"/>
  <c r="DL1143" i="2" s="1"/>
  <c r="DH1143" i="2"/>
  <c r="DG1143" i="2"/>
  <c r="DF1143" i="2"/>
  <c r="DE1143" i="2"/>
  <c r="DK1143" i="2" s="1"/>
  <c r="DD1143" i="2"/>
  <c r="BD1110" i="2"/>
  <c r="CY1125" i="2"/>
  <c r="DG1125" i="2"/>
  <c r="DF1125" i="2"/>
  <c r="DD1125" i="2"/>
  <c r="DC1125" i="2"/>
  <c r="DB1125" i="2"/>
  <c r="AW1142" i="2"/>
  <c r="AY1106" i="2"/>
  <c r="AZ1107" i="2"/>
  <c r="CY1108" i="2"/>
  <c r="CX1123" i="2"/>
  <c r="BE1135" i="2"/>
  <c r="DI1139" i="2"/>
  <c r="DL1139" i="2" s="1"/>
  <c r="DH1139" i="2"/>
  <c r="DG1139" i="2"/>
  <c r="DF1139" i="2"/>
  <c r="DE1139" i="2"/>
  <c r="DK1139" i="2" s="1"/>
  <c r="DD1139" i="2"/>
  <c r="DC1139" i="2"/>
  <c r="DB1139" i="2"/>
  <c r="DA1139" i="2"/>
  <c r="DJ1139" i="2" s="1"/>
  <c r="CZ1139" i="2"/>
  <c r="BD1145" i="2"/>
  <c r="AY1145" i="2"/>
  <c r="AX1145" i="2"/>
  <c r="DB1094" i="2"/>
  <c r="BC1107" i="2"/>
  <c r="CZ1108" i="2"/>
  <c r="DB1110" i="2"/>
  <c r="CZ1115" i="2"/>
  <c r="CY1123" i="2"/>
  <c r="BG1133" i="2"/>
  <c r="BD1133" i="2"/>
  <c r="AV1133" i="2"/>
  <c r="DI1137" i="2"/>
  <c r="DL1137" i="2" s="1"/>
  <c r="DH1137" i="2"/>
  <c r="DG1137" i="2"/>
  <c r="DF1137" i="2"/>
  <c r="DE1137" i="2"/>
  <c r="DK1137" i="2" s="1"/>
  <c r="DD1137" i="2"/>
  <c r="DC1137" i="2"/>
  <c r="DB1137" i="2"/>
  <c r="DA1137" i="2"/>
  <c r="DJ1137" i="2" s="1"/>
  <c r="CZ1137" i="2"/>
  <c r="CY1137" i="2"/>
  <c r="CX1137" i="2"/>
  <c r="BE1145" i="2"/>
  <c r="BC1145" i="2"/>
  <c r="AZ1145" i="2"/>
  <c r="BD1147" i="2"/>
  <c r="BC1150" i="2"/>
  <c r="BE1150" i="2"/>
  <c r="AZ1150" i="2"/>
  <c r="AY1150" i="2"/>
  <c r="DC1094" i="2"/>
  <c r="DA1108" i="2"/>
  <c r="DJ1108" i="2" s="1"/>
  <c r="DC1110" i="2"/>
  <c r="DA1115" i="2"/>
  <c r="DJ1115" i="2" s="1"/>
  <c r="CX1118" i="2"/>
  <c r="AY1120" i="2"/>
  <c r="AW1120" i="2" s="1"/>
  <c r="DC1123" i="2"/>
  <c r="BD1124" i="2"/>
  <c r="AW1126" i="2"/>
  <c r="DA1127" i="2"/>
  <c r="DJ1127" i="2" s="1"/>
  <c r="CY1127" i="2"/>
  <c r="CX1127" i="2"/>
  <c r="DI1127" i="2"/>
  <c r="DL1127" i="2" s="1"/>
  <c r="DH1127" i="2"/>
  <c r="DF1127" i="2"/>
  <c r="DE1127" i="2"/>
  <c r="DK1127" i="2" s="1"/>
  <c r="DD1127" i="2"/>
  <c r="CX1129" i="2"/>
  <c r="BC1164" i="2"/>
  <c r="AZ1164" i="2"/>
  <c r="AX1102" i="2"/>
  <c r="DB1108" i="2"/>
  <c r="CZ1118" i="2"/>
  <c r="BC1119" i="2"/>
  <c r="BE1120" i="2"/>
  <c r="BC1120" i="2"/>
  <c r="AZ1120" i="2"/>
  <c r="DF1123" i="2"/>
  <c r="AW1124" i="2"/>
  <c r="CX1124" i="2"/>
  <c r="DF1124" i="2"/>
  <c r="DE1124" i="2"/>
  <c r="DK1124" i="2" s="1"/>
  <c r="DC1124" i="2"/>
  <c r="DB1124" i="2"/>
  <c r="DA1124" i="2"/>
  <c r="DJ1124" i="2" s="1"/>
  <c r="AY1128" i="2"/>
  <c r="DB1129" i="2"/>
  <c r="BE1136" i="2"/>
  <c r="AY1117" i="2"/>
  <c r="CY1117" i="2"/>
  <c r="BD1118" i="2"/>
  <c r="DA1118" i="2"/>
  <c r="DJ1118" i="2" s="1"/>
  <c r="BE1119" i="2"/>
  <c r="BF1120" i="2"/>
  <c r="DG1123" i="2"/>
  <c r="BC1127" i="2"/>
  <c r="AV1134" i="2"/>
  <c r="BF1136" i="2"/>
  <c r="DF1158" i="2"/>
  <c r="DB1158" i="2"/>
  <c r="DA1158" i="2"/>
  <c r="DJ1158" i="2" s="1"/>
  <c r="CZ1158" i="2"/>
  <c r="CY1158" i="2"/>
  <c r="DD1158" i="2"/>
  <c r="DC1158" i="2"/>
  <c r="CX1158" i="2"/>
  <c r="DI1158" i="2"/>
  <c r="DL1158" i="2" s="1"/>
  <c r="DH1158" i="2"/>
  <c r="DG1158" i="2"/>
  <c r="DB1154" i="2"/>
  <c r="CX1154" i="2"/>
  <c r="DH1154" i="2"/>
  <c r="DF1154" i="2"/>
  <c r="DE1154" i="2"/>
  <c r="DK1154" i="2" s="1"/>
  <c r="DD1154" i="2"/>
  <c r="DC1154" i="2"/>
  <c r="AV1162" i="2"/>
  <c r="BG1162" i="2"/>
  <c r="AV1163" i="2"/>
  <c r="BG1163" i="2"/>
  <c r="DG1130" i="2"/>
  <c r="DH1131" i="2"/>
  <c r="AX1135" i="2"/>
  <c r="AZ1137" i="2"/>
  <c r="BC1138" i="2"/>
  <c r="DB1141" i="2"/>
  <c r="BG1142" i="2"/>
  <c r="DF1145" i="2"/>
  <c r="DG1146" i="2"/>
  <c r="BD1148" i="2"/>
  <c r="DA1152" i="2"/>
  <c r="DJ1152" i="2" s="1"/>
  <c r="AZ1154" i="2"/>
  <c r="BE1154" i="2"/>
  <c r="BD1122" i="2"/>
  <c r="BE1123" i="2"/>
  <c r="DH1130" i="2"/>
  <c r="DI1131" i="2"/>
  <c r="DL1131" i="2" s="1"/>
  <c r="AV1132" i="2"/>
  <c r="AX1134" i="2"/>
  <c r="AY1135" i="2"/>
  <c r="AZ1136" i="2"/>
  <c r="BD1138" i="2"/>
  <c r="BE1139" i="2"/>
  <c r="BG1141" i="2"/>
  <c r="DC1141" i="2"/>
  <c r="DG1145" i="2"/>
  <c r="DH1146" i="2"/>
  <c r="AX1147" i="2"/>
  <c r="BE1148" i="2"/>
  <c r="DA1153" i="2"/>
  <c r="DJ1153" i="2" s="1"/>
  <c r="DF1153" i="2"/>
  <c r="DD1153" i="2"/>
  <c r="DC1153" i="2"/>
  <c r="BF1154" i="2"/>
  <c r="DE1157" i="2"/>
  <c r="DK1157" i="2" s="1"/>
  <c r="DA1157" i="2"/>
  <c r="DJ1157" i="2" s="1"/>
  <c r="CZ1157" i="2"/>
  <c r="CY1157" i="2"/>
  <c r="CX1157" i="2"/>
  <c r="DI1157" i="2"/>
  <c r="DL1157" i="2" s="1"/>
  <c r="DH1157" i="2"/>
  <c r="DG1157" i="2"/>
  <c r="DF1157" i="2"/>
  <c r="DD1157" i="2"/>
  <c r="DI1130" i="2"/>
  <c r="DL1130" i="2" s="1"/>
  <c r="AV1131" i="2"/>
  <c r="AY1134" i="2"/>
  <c r="AZ1135" i="2"/>
  <c r="BC1136" i="2"/>
  <c r="BG1140" i="2"/>
  <c r="DD1141" i="2"/>
  <c r="DH1145" i="2"/>
  <c r="DI1146" i="2"/>
  <c r="DL1146" i="2" s="1"/>
  <c r="AY1147" i="2"/>
  <c r="AV1150" i="2"/>
  <c r="BG1150" i="2"/>
  <c r="BG1172" i="2"/>
  <c r="AV1172" i="2"/>
  <c r="DB1193" i="2"/>
  <c r="CZ1193" i="2"/>
  <c r="CY1193" i="2"/>
  <c r="CX1193" i="2"/>
  <c r="DI1193" i="2"/>
  <c r="DL1193" i="2" s="1"/>
  <c r="DG1193" i="2"/>
  <c r="DF1193" i="2"/>
  <c r="DH1193" i="2"/>
  <c r="DE1193" i="2"/>
  <c r="DK1193" i="2" s="1"/>
  <c r="DD1193" i="2"/>
  <c r="DC1193" i="2"/>
  <c r="DA1193" i="2"/>
  <c r="DJ1193" i="2" s="1"/>
  <c r="BD1136" i="2"/>
  <c r="AV1146" i="2"/>
  <c r="BG1148" i="2"/>
  <c r="BG1157" i="2"/>
  <c r="BG1158" i="2"/>
  <c r="CZ1161" i="2"/>
  <c r="BG1122" i="2"/>
  <c r="AZ1133" i="2"/>
  <c r="CY1134" i="2"/>
  <c r="BD1135" i="2"/>
  <c r="BF1137" i="2"/>
  <c r="BG1138" i="2"/>
  <c r="DF1141" i="2"/>
  <c r="AV1145" i="2"/>
  <c r="CY1147" i="2"/>
  <c r="AV1149" i="2"/>
  <c r="AX1152" i="2"/>
  <c r="BD1152" i="2"/>
  <c r="DE1152" i="2"/>
  <c r="DK1152" i="2" s="1"/>
  <c r="BE1157" i="2"/>
  <c r="CX1162" i="2"/>
  <c r="CZ1163" i="2"/>
  <c r="BE1167" i="2"/>
  <c r="AX1130" i="2"/>
  <c r="BD1134" i="2"/>
  <c r="CZ1134" i="2"/>
  <c r="DG1141" i="2"/>
  <c r="AX1146" i="2"/>
  <c r="CZ1147" i="2"/>
  <c r="DF1152" i="2"/>
  <c r="BF1157" i="2"/>
  <c r="BF1169" i="2"/>
  <c r="BD1170" i="2"/>
  <c r="AY1170" i="2"/>
  <c r="AX1170" i="2"/>
  <c r="AZ1131" i="2"/>
  <c r="DA1134" i="2"/>
  <c r="DJ1134" i="2" s="1"/>
  <c r="BG1136" i="2"/>
  <c r="DH1141" i="2"/>
  <c r="DA1147" i="2"/>
  <c r="DJ1147" i="2" s="1"/>
  <c r="AY1149" i="2"/>
  <c r="AY1151" i="2"/>
  <c r="AW1151" i="2" s="1"/>
  <c r="BE1156" i="2"/>
  <c r="BD1159" i="2"/>
  <c r="AY1159" i="2"/>
  <c r="DH1160" i="2"/>
  <c r="DD1160" i="2"/>
  <c r="DC1160" i="2"/>
  <c r="DB1160" i="2"/>
  <c r="DA1160" i="2"/>
  <c r="DJ1160" i="2" s="1"/>
  <c r="CX1160" i="2"/>
  <c r="DI1160" i="2"/>
  <c r="DL1160" i="2" s="1"/>
  <c r="DG1160" i="2"/>
  <c r="DF1160" i="2"/>
  <c r="DE1160" i="2"/>
  <c r="DK1160" i="2" s="1"/>
  <c r="CZ1160" i="2"/>
  <c r="BE1168" i="2"/>
  <c r="DB1134" i="2"/>
  <c r="AV1142" i="2"/>
  <c r="AZ1151" i="2"/>
  <c r="AV1153" i="2"/>
  <c r="BE1159" i="2"/>
  <c r="BF1166" i="2"/>
  <c r="BE1166" i="2"/>
  <c r="DI1152" i="2"/>
  <c r="DL1152" i="2" s="1"/>
  <c r="CZ1152" i="2"/>
  <c r="AW1153" i="2"/>
  <c r="DI1161" i="2"/>
  <c r="DL1161" i="2" s="1"/>
  <c r="DE1161" i="2"/>
  <c r="DK1161" i="2" s="1"/>
  <c r="DD1161" i="2"/>
  <c r="DC1161" i="2"/>
  <c r="DB1161" i="2"/>
  <c r="CY1161" i="2"/>
  <c r="DH1161" i="2"/>
  <c r="DG1161" i="2"/>
  <c r="DF1161" i="2"/>
  <c r="DF1162" i="2"/>
  <c r="DE1162" i="2"/>
  <c r="DK1162" i="2" s="1"/>
  <c r="DD1162" i="2"/>
  <c r="DC1162" i="2"/>
  <c r="CZ1162" i="2"/>
  <c r="DI1162" i="2"/>
  <c r="DL1162" i="2" s="1"/>
  <c r="DH1162" i="2"/>
  <c r="DG1162" i="2"/>
  <c r="DB1162" i="2"/>
  <c r="BD1163" i="2"/>
  <c r="DG1163" i="2"/>
  <c r="DF1163" i="2"/>
  <c r="DE1163" i="2"/>
  <c r="DK1163" i="2" s="1"/>
  <c r="DD1163" i="2"/>
  <c r="DA1163" i="2"/>
  <c r="DJ1163" i="2" s="1"/>
  <c r="CY1163" i="2"/>
  <c r="CX1163" i="2"/>
  <c r="DI1163" i="2"/>
  <c r="DL1163" i="2" s="1"/>
  <c r="DH1163" i="2"/>
  <c r="DD1134" i="2"/>
  <c r="AY1143" i="2"/>
  <c r="AW1143" i="2" s="1"/>
  <c r="CY1145" i="2"/>
  <c r="BD1146" i="2"/>
  <c r="CY1154" i="2"/>
  <c r="BD1156" i="2"/>
  <c r="BC1171" i="2"/>
  <c r="AX1125" i="2"/>
  <c r="AZ1127" i="2"/>
  <c r="DA1130" i="2"/>
  <c r="DJ1130" i="2" s="1"/>
  <c r="DB1131" i="2"/>
  <c r="DE1134" i="2"/>
  <c r="DK1134" i="2" s="1"/>
  <c r="AX1141" i="2"/>
  <c r="AZ1143" i="2"/>
  <c r="CZ1145" i="2"/>
  <c r="DA1146" i="2"/>
  <c r="DJ1146" i="2" s="1"/>
  <c r="DE1147" i="2"/>
  <c r="DK1147" i="2" s="1"/>
  <c r="BD1150" i="2"/>
  <c r="BC1153" i="2"/>
  <c r="DB1153" i="2"/>
  <c r="CZ1154" i="2"/>
  <c r="BC1156" i="2"/>
  <c r="AZ1156" i="2"/>
  <c r="AY1156" i="2"/>
  <c r="BE1160" i="2"/>
  <c r="AZ1160" i="2"/>
  <c r="BC1160" i="2"/>
  <c r="AY1160" i="2"/>
  <c r="BF1161" i="2"/>
  <c r="AV1161" i="2"/>
  <c r="BF1171" i="2"/>
  <c r="BD1171" i="2"/>
  <c r="DF1134" i="2"/>
  <c r="AX1140" i="2"/>
  <c r="DA1145" i="2"/>
  <c r="DJ1145" i="2" s="1"/>
  <c r="DE1153" i="2"/>
  <c r="DK1153" i="2" s="1"/>
  <c r="AV1154" i="2"/>
  <c r="DA1154" i="2"/>
  <c r="DJ1154" i="2" s="1"/>
  <c r="BG1155" i="2"/>
  <c r="AY1155" i="2"/>
  <c r="AW1155" i="2" s="1"/>
  <c r="BF1160" i="2"/>
  <c r="BD1160" i="2"/>
  <c r="BD1167" i="2"/>
  <c r="AY1167" i="2"/>
  <c r="AX1167" i="2"/>
  <c r="AZ1141" i="2"/>
  <c r="AW1148" i="2"/>
  <c r="AX1149" i="2"/>
  <c r="BD1149" i="2"/>
  <c r="BE1151" i="2"/>
  <c r="DG1154" i="2"/>
  <c r="BC1155" i="2"/>
  <c r="AZ1155" i="2"/>
  <c r="BF1151" i="2"/>
  <c r="AY1153" i="2"/>
  <c r="BG1153" i="2"/>
  <c r="DH1153" i="2"/>
  <c r="AY1154" i="2"/>
  <c r="DI1154" i="2"/>
  <c r="DL1154" i="2" s="1"/>
  <c r="DB1157" i="2"/>
  <c r="BG1164" i="2"/>
  <c r="AV1164" i="2"/>
  <c r="BE1177" i="2"/>
  <c r="BC1177" i="2"/>
  <c r="AZ1177" i="2"/>
  <c r="AY1177" i="2"/>
  <c r="DD1179" i="2"/>
  <c r="DB1179" i="2"/>
  <c r="DE1179" i="2"/>
  <c r="DK1179" i="2" s="1"/>
  <c r="DC1179" i="2"/>
  <c r="DA1179" i="2"/>
  <c r="DJ1179" i="2" s="1"/>
  <c r="CZ1179" i="2"/>
  <c r="CY1179" i="2"/>
  <c r="CX1179" i="2"/>
  <c r="DI1179" i="2"/>
  <c r="DL1179" i="2" s="1"/>
  <c r="DC1150" i="2"/>
  <c r="BD1158" i="2"/>
  <c r="AX1158" i="2"/>
  <c r="AZ1168" i="2"/>
  <c r="AV1169" i="2"/>
  <c r="DC1170" i="2"/>
  <c r="DI1170" i="2"/>
  <c r="DL1170" i="2" s="1"/>
  <c r="DH1170" i="2"/>
  <c r="DG1170" i="2"/>
  <c r="DF1170" i="2"/>
  <c r="DB1170" i="2"/>
  <c r="CZ1183" i="2"/>
  <c r="DH1183" i="2"/>
  <c r="DF1183" i="2"/>
  <c r="DG1183" i="2"/>
  <c r="DE1183" i="2"/>
  <c r="DK1183" i="2" s="1"/>
  <c r="DD1183" i="2"/>
  <c r="DC1183" i="2"/>
  <c r="DB1183" i="2"/>
  <c r="DA1183" i="2"/>
  <c r="DJ1183" i="2" s="1"/>
  <c r="CY1183" i="2"/>
  <c r="CX1183" i="2"/>
  <c r="BE1158" i="2"/>
  <c r="BC1158" i="2"/>
  <c r="BG1160" i="2"/>
  <c r="BC1168" i="2"/>
  <c r="AV1171" i="2"/>
  <c r="BG1171" i="2"/>
  <c r="BE1175" i="2"/>
  <c r="BE1179" i="2"/>
  <c r="BC1179" i="2"/>
  <c r="AZ1179" i="2"/>
  <c r="AY1179" i="2"/>
  <c r="CX1164" i="2"/>
  <c r="CY1167" i="2"/>
  <c r="DI1167" i="2"/>
  <c r="DL1167" i="2" s="1"/>
  <c r="DH1167" i="2"/>
  <c r="DE1167" i="2"/>
  <c r="DK1167" i="2" s="1"/>
  <c r="BG1170" i="2"/>
  <c r="AV1170" i="2"/>
  <c r="BC1173" i="2"/>
  <c r="AV1177" i="2"/>
  <c r="BG1177" i="2"/>
  <c r="BF1179" i="2"/>
  <c r="AV1179" i="2"/>
  <c r="BC1174" i="2"/>
  <c r="AZ1216" i="2"/>
  <c r="AY1216" i="2"/>
  <c r="BE1216" i="2"/>
  <c r="BC1216" i="2"/>
  <c r="DI1165" i="2"/>
  <c r="DL1165" i="2" s="1"/>
  <c r="DH1165" i="2"/>
  <c r="DG1165" i="2"/>
  <c r="DF1165" i="2"/>
  <c r="DC1165" i="2"/>
  <c r="BD1168" i="2"/>
  <c r="AX1168" i="2"/>
  <c r="AV1174" i="2"/>
  <c r="BF1174" i="2"/>
  <c r="DC1178" i="2"/>
  <c r="DA1178" i="2"/>
  <c r="DJ1178" i="2" s="1"/>
  <c r="DH1178" i="2"/>
  <c r="DG1178" i="2"/>
  <c r="DF1178" i="2"/>
  <c r="DE1178" i="2"/>
  <c r="DK1178" i="2" s="1"/>
  <c r="DD1178" i="2"/>
  <c r="DB1178" i="2"/>
  <c r="CZ1178" i="2"/>
  <c r="CY1178" i="2"/>
  <c r="CX1178" i="2"/>
  <c r="DF1186" i="2"/>
  <c r="DE1186" i="2"/>
  <c r="DK1186" i="2" s="1"/>
  <c r="DD1186" i="2"/>
  <c r="DB1186" i="2"/>
  <c r="CZ1186" i="2"/>
  <c r="DI1186" i="2"/>
  <c r="DL1186" i="2" s="1"/>
  <c r="DH1186" i="2"/>
  <c r="DG1186" i="2"/>
  <c r="DC1186" i="2"/>
  <c r="DA1186" i="2"/>
  <c r="DJ1186" i="2" s="1"/>
  <c r="CY1186" i="2"/>
  <c r="CX1186" i="2"/>
  <c r="AW1190" i="2"/>
  <c r="BF1193" i="2"/>
  <c r="BC1193" i="2"/>
  <c r="AW1169" i="2"/>
  <c r="CY1171" i="2"/>
  <c r="DB1182" i="2"/>
  <c r="BF1159" i="2"/>
  <c r="DC1164" i="2"/>
  <c r="CZ1171" i="2"/>
  <c r="AX1173" i="2"/>
  <c r="BD1173" i="2"/>
  <c r="AY1173" i="2"/>
  <c r="BD1178" i="2"/>
  <c r="DC1182" i="2"/>
  <c r="AY1193" i="2"/>
  <c r="BD1193" i="2"/>
  <c r="DD1156" i="2"/>
  <c r="CZ1156" i="2"/>
  <c r="CY1156" i="2"/>
  <c r="CX1156" i="2"/>
  <c r="DD1164" i="2"/>
  <c r="CX1170" i="2"/>
  <c r="DF1171" i="2"/>
  <c r="AV1183" i="2"/>
  <c r="BG1183" i="2"/>
  <c r="BE1188" i="2"/>
  <c r="AV1152" i="2"/>
  <c r="BD1154" i="2"/>
  <c r="AV1156" i="2"/>
  <c r="AY1157" i="2"/>
  <c r="CX1167" i="2"/>
  <c r="DI1168" i="2"/>
  <c r="DL1168" i="2" s="1"/>
  <c r="CZ1168" i="2"/>
  <c r="DF1168" i="2"/>
  <c r="CY1170" i="2"/>
  <c r="AY1171" i="2"/>
  <c r="DG1171" i="2"/>
  <c r="CY1182" i="2"/>
  <c r="DG1182" i="2"/>
  <c r="DE1182" i="2"/>
  <c r="DK1182" i="2" s="1"/>
  <c r="DA1182" i="2"/>
  <c r="DJ1182" i="2" s="1"/>
  <c r="CZ1182" i="2"/>
  <c r="CX1182" i="2"/>
  <c r="DI1182" i="2"/>
  <c r="DL1182" i="2" s="1"/>
  <c r="DH1182" i="2"/>
  <c r="DD1182" i="2"/>
  <c r="BG1189" i="2"/>
  <c r="AV1189" i="2"/>
  <c r="BG1159" i="2"/>
  <c r="DG1159" i="2"/>
  <c r="DC1159" i="2"/>
  <c r="DB1159" i="2"/>
  <c r="DA1159" i="2"/>
  <c r="DJ1159" i="2" s="1"/>
  <c r="CZ1159" i="2"/>
  <c r="BD1162" i="2"/>
  <c r="AW1163" i="2"/>
  <c r="AX1165" i="2"/>
  <c r="CX1165" i="2"/>
  <c r="CZ1167" i="2"/>
  <c r="BG1169" i="2"/>
  <c r="AZ1170" i="2"/>
  <c r="CZ1170" i="2"/>
  <c r="BD1172" i="2"/>
  <c r="BF1183" i="2"/>
  <c r="BF1164" i="2"/>
  <c r="CY1165" i="2"/>
  <c r="CX1166" i="2"/>
  <c r="DI1166" i="2"/>
  <c r="DL1166" i="2" s="1"/>
  <c r="DH1166" i="2"/>
  <c r="DG1166" i="2"/>
  <c r="DD1166" i="2"/>
  <c r="DA1167" i="2"/>
  <c r="DJ1167" i="2" s="1"/>
  <c r="BD1169" i="2"/>
  <c r="DA1170" i="2"/>
  <c r="DJ1170" i="2" s="1"/>
  <c r="DB1177" i="2"/>
  <c r="CZ1177" i="2"/>
  <c r="DI1177" i="2"/>
  <c r="DL1177" i="2" s="1"/>
  <c r="DH1177" i="2"/>
  <c r="DF1177" i="2"/>
  <c r="DE1177" i="2"/>
  <c r="DK1177" i="2" s="1"/>
  <c r="DD1177" i="2"/>
  <c r="DC1177" i="2"/>
  <c r="DA1177" i="2"/>
  <c r="DJ1177" i="2" s="1"/>
  <c r="CY1177" i="2"/>
  <c r="CX1177" i="2"/>
  <c r="DF1179" i="2"/>
  <c r="BD1157" i="2"/>
  <c r="CZ1165" i="2"/>
  <c r="DB1167" i="2"/>
  <c r="BE1169" i="2"/>
  <c r="DD1170" i="2"/>
  <c r="BF1172" i="2"/>
  <c r="DE1172" i="2"/>
  <c r="DK1172" i="2" s="1"/>
  <c r="DD1172" i="2"/>
  <c r="DB1172" i="2"/>
  <c r="CZ1172" i="2"/>
  <c r="CY1172" i="2"/>
  <c r="CX1172" i="2"/>
  <c r="BG1178" i="2"/>
  <c r="AV1178" i="2"/>
  <c r="DG1179" i="2"/>
  <c r="AY1180" i="2"/>
  <c r="AX1180" i="2"/>
  <c r="BD1182" i="2"/>
  <c r="AY1182" i="2"/>
  <c r="AX1182" i="2"/>
  <c r="BG1182" i="2"/>
  <c r="BE1186" i="2"/>
  <c r="DH1164" i="2"/>
  <c r="DG1164" i="2"/>
  <c r="DF1164" i="2"/>
  <c r="DE1164" i="2"/>
  <c r="DK1164" i="2" s="1"/>
  <c r="DB1164" i="2"/>
  <c r="DA1165" i="2"/>
  <c r="DJ1165" i="2" s="1"/>
  <c r="BE1171" i="2"/>
  <c r="AZ1171" i="2"/>
  <c r="DD1171" i="2"/>
  <c r="DI1171" i="2"/>
  <c r="DL1171" i="2" s="1"/>
  <c r="DE1171" i="2"/>
  <c r="DK1171" i="2" s="1"/>
  <c r="DC1171" i="2"/>
  <c r="DB1171" i="2"/>
  <c r="DA1171" i="2"/>
  <c r="DJ1171" i="2" s="1"/>
  <c r="CX1171" i="2"/>
  <c r="AW1176" i="2"/>
  <c r="DI1176" i="2"/>
  <c r="DL1176" i="2" s="1"/>
  <c r="DA1176" i="2"/>
  <c r="DJ1176" i="2" s="1"/>
  <c r="CY1176" i="2"/>
  <c r="DH1176" i="2"/>
  <c r="DG1176" i="2"/>
  <c r="DF1176" i="2"/>
  <c r="DE1176" i="2"/>
  <c r="DK1176" i="2" s="1"/>
  <c r="DD1176" i="2"/>
  <c r="DC1176" i="2"/>
  <c r="DB1176" i="2"/>
  <c r="CX1176" i="2"/>
  <c r="DH1179" i="2"/>
  <c r="DI1183" i="2"/>
  <c r="DL1183" i="2" s="1"/>
  <c r="DA1175" i="2"/>
  <c r="DJ1175" i="2" s="1"/>
  <c r="BF1180" i="2"/>
  <c r="AW1184" i="2"/>
  <c r="AY1185" i="2"/>
  <c r="BF1189" i="2"/>
  <c r="CZ1205" i="2"/>
  <c r="DF1205" i="2"/>
  <c r="DE1205" i="2"/>
  <c r="DK1205" i="2" s="1"/>
  <c r="DH1205" i="2"/>
  <c r="DD1205" i="2"/>
  <c r="DI1205" i="2"/>
  <c r="DL1205" i="2" s="1"/>
  <c r="DG1205" i="2"/>
  <c r="DC1205" i="2"/>
  <c r="DB1205" i="2"/>
  <c r="DA1205" i="2"/>
  <c r="DJ1205" i="2" s="1"/>
  <c r="CY1205" i="2"/>
  <c r="AV1206" i="2"/>
  <c r="BG1206" i="2"/>
  <c r="DC1208" i="2"/>
  <c r="DE1208" i="2"/>
  <c r="DK1208" i="2" s="1"/>
  <c r="DI1208" i="2"/>
  <c r="DL1208" i="2" s="1"/>
  <c r="DH1208" i="2"/>
  <c r="DB1208" i="2"/>
  <c r="DA1208" i="2"/>
  <c r="DJ1208" i="2" s="1"/>
  <c r="CY1208" i="2"/>
  <c r="DG1208" i="2"/>
  <c r="DF1208" i="2"/>
  <c r="DD1208" i="2"/>
  <c r="CZ1208" i="2"/>
  <c r="CX1208" i="2"/>
  <c r="DI1155" i="2"/>
  <c r="DL1155" i="2" s="1"/>
  <c r="AY1174" i="2"/>
  <c r="DC1175" i="2"/>
  <c r="BC1182" i="2"/>
  <c r="AW1186" i="2"/>
  <c r="AV1193" i="2"/>
  <c r="BD1198" i="2"/>
  <c r="DG1198" i="2"/>
  <c r="DE1198" i="2"/>
  <c r="DK1198" i="2" s="1"/>
  <c r="DI1198" i="2"/>
  <c r="DL1198" i="2" s="1"/>
  <c r="DH1198" i="2"/>
  <c r="DF1198" i="2"/>
  <c r="DC1198" i="2"/>
  <c r="DA1198" i="2"/>
  <c r="DJ1198" i="2" s="1"/>
  <c r="CZ1198" i="2"/>
  <c r="DB1199" i="2"/>
  <c r="CZ1189" i="2"/>
  <c r="DE1196" i="2"/>
  <c r="DK1196" i="2" s="1"/>
  <c r="DC1196" i="2"/>
  <c r="DH1196" i="2"/>
  <c r="DG1196" i="2"/>
  <c r="DF1196" i="2"/>
  <c r="DB1196" i="2"/>
  <c r="CZ1196" i="2"/>
  <c r="CY1196" i="2"/>
  <c r="CZ1197" i="2"/>
  <c r="DF1211" i="2"/>
  <c r="CY1211" i="2"/>
  <c r="CZ1211" i="2"/>
  <c r="CX1211" i="2"/>
  <c r="DB1211" i="2"/>
  <c r="DI1211" i="2"/>
  <c r="DL1211" i="2" s="1"/>
  <c r="DH1211" i="2"/>
  <c r="DC1211" i="2"/>
  <c r="DA1211" i="2"/>
  <c r="DJ1211" i="2" s="1"/>
  <c r="DG1211" i="2"/>
  <c r="DE1211" i="2"/>
  <c r="DK1211" i="2" s="1"/>
  <c r="DD1211" i="2"/>
  <c r="AX1178" i="2"/>
  <c r="DE1185" i="2"/>
  <c r="DK1185" i="2" s="1"/>
  <c r="DA1185" i="2"/>
  <c r="DJ1185" i="2" s="1"/>
  <c r="CY1185" i="2"/>
  <c r="DB1189" i="2"/>
  <c r="DC1194" i="2"/>
  <c r="DA1194" i="2"/>
  <c r="DJ1194" i="2" s="1"/>
  <c r="DI1194" i="2"/>
  <c r="DL1194" i="2" s="1"/>
  <c r="DG1194" i="2"/>
  <c r="DF1194" i="2"/>
  <c r="DE1194" i="2"/>
  <c r="DK1194" i="2" s="1"/>
  <c r="DB1194" i="2"/>
  <c r="CY1194" i="2"/>
  <c r="CX1194" i="2"/>
  <c r="BE1209" i="2"/>
  <c r="DH1213" i="2"/>
  <c r="DA1213" i="2"/>
  <c r="DJ1213" i="2" s="1"/>
  <c r="DD1213" i="2"/>
  <c r="DC1213" i="2"/>
  <c r="DF1213" i="2"/>
  <c r="DG1213" i="2"/>
  <c r="DE1213" i="2"/>
  <c r="DK1213" i="2" s="1"/>
  <c r="DB1213" i="2"/>
  <c r="CY1213" i="2"/>
  <c r="DI1213" i="2"/>
  <c r="DL1213" i="2" s="1"/>
  <c r="CZ1213" i="2"/>
  <c r="CX1213" i="2"/>
  <c r="DF1175" i="2"/>
  <c r="AY1178" i="2"/>
  <c r="DF1189" i="2"/>
  <c r="DA1192" i="2"/>
  <c r="DJ1192" i="2" s="1"/>
  <c r="DI1192" i="2"/>
  <c r="DL1192" i="2" s="1"/>
  <c r="DG1192" i="2"/>
  <c r="DF1192" i="2"/>
  <c r="DE1192" i="2"/>
  <c r="DK1192" i="2" s="1"/>
  <c r="DC1192" i="2"/>
  <c r="CZ1192" i="2"/>
  <c r="CY1192" i="2"/>
  <c r="DA1199" i="2"/>
  <c r="DJ1199" i="2" s="1"/>
  <c r="DI1199" i="2"/>
  <c r="DL1199" i="2" s="1"/>
  <c r="DH1199" i="2"/>
  <c r="DG1199" i="2"/>
  <c r="DE1199" i="2"/>
  <c r="DK1199" i="2" s="1"/>
  <c r="DD1199" i="2"/>
  <c r="DC1199" i="2"/>
  <c r="CZ1199" i="2"/>
  <c r="CX1199" i="2"/>
  <c r="BC1157" i="2"/>
  <c r="BC1169" i="2"/>
  <c r="DF1173" i="2"/>
  <c r="CX1173" i="2"/>
  <c r="AZ1175" i="2"/>
  <c r="AW1175" i="2" s="1"/>
  <c r="DG1175" i="2"/>
  <c r="AZ1178" i="2"/>
  <c r="BG1180" i="2"/>
  <c r="AY1183" i="2"/>
  <c r="AY1184" i="2"/>
  <c r="BE1187" i="2"/>
  <c r="DB1187" i="2"/>
  <c r="DH1197" i="2"/>
  <c r="AW1210" i="2"/>
  <c r="BG1224" i="2"/>
  <c r="AV1224" i="2"/>
  <c r="BE1176" i="2"/>
  <c r="BC1176" i="2"/>
  <c r="BC1178" i="2"/>
  <c r="CX1181" i="2"/>
  <c r="DF1181" i="2"/>
  <c r="DD1181" i="2"/>
  <c r="AZ1183" i="2"/>
  <c r="BE1184" i="2"/>
  <c r="DF1184" i="2"/>
  <c r="DC1187" i="2"/>
  <c r="BC1189" i="2"/>
  <c r="DG1191" i="2"/>
  <c r="BF1192" i="2"/>
  <c r="BF1194" i="2"/>
  <c r="AV1195" i="2"/>
  <c r="DF1195" i="2"/>
  <c r="BG1198" i="2"/>
  <c r="DA1206" i="2"/>
  <c r="DJ1206" i="2" s="1"/>
  <c r="DC1206" i="2"/>
  <c r="DD1206" i="2"/>
  <c r="DB1206" i="2"/>
  <c r="DI1206" i="2"/>
  <c r="DL1206" i="2" s="1"/>
  <c r="DH1206" i="2"/>
  <c r="DG1206" i="2"/>
  <c r="DF1206" i="2"/>
  <c r="DE1206" i="2"/>
  <c r="DK1206" i="2" s="1"/>
  <c r="CZ1206" i="2"/>
  <c r="CX1206" i="2"/>
  <c r="BD1177" i="2"/>
  <c r="BC1183" i="2"/>
  <c r="BE1185" i="2"/>
  <c r="BD1186" i="2"/>
  <c r="DD1187" i="2"/>
  <c r="BE1199" i="2"/>
  <c r="BC1199" i="2"/>
  <c r="DF1200" i="2"/>
  <c r="DH1200" i="2"/>
  <c r="DD1200" i="2"/>
  <c r="DB1200" i="2"/>
  <c r="DI1200" i="2"/>
  <c r="DL1200" i="2" s="1"/>
  <c r="DG1200" i="2"/>
  <c r="DE1200" i="2"/>
  <c r="DK1200" i="2" s="1"/>
  <c r="DA1200" i="2"/>
  <c r="DJ1200" i="2" s="1"/>
  <c r="CY1200" i="2"/>
  <c r="CX1200" i="2"/>
  <c r="BG1207" i="2"/>
  <c r="BD1207" i="2"/>
  <c r="AV1207" i="2"/>
  <c r="DD1216" i="2"/>
  <c r="CX1216" i="2"/>
  <c r="DC1216" i="2"/>
  <c r="DB1216" i="2"/>
  <c r="DA1216" i="2"/>
  <c r="DJ1216" i="2" s="1"/>
  <c r="CZ1216" i="2"/>
  <c r="DI1216" i="2"/>
  <c r="DL1216" i="2" s="1"/>
  <c r="DF1216" i="2"/>
  <c r="DE1216" i="2"/>
  <c r="DK1216" i="2" s="1"/>
  <c r="CY1216" i="2"/>
  <c r="DG1216" i="2"/>
  <c r="AV1180" i="2"/>
  <c r="DE1180" i="2"/>
  <c r="DK1180" i="2" s="1"/>
  <c r="DC1180" i="2"/>
  <c r="AX1187" i="2"/>
  <c r="AY1187" i="2"/>
  <c r="BC1188" i="2"/>
  <c r="AZ1188" i="2"/>
  <c r="BD1189" i="2"/>
  <c r="BD1203" i="2"/>
  <c r="AY1203" i="2"/>
  <c r="DG1174" i="2"/>
  <c r="CY1174" i="2"/>
  <c r="BF1177" i="2"/>
  <c r="BF1188" i="2"/>
  <c r="AZ1189" i="2"/>
  <c r="CX1189" i="2"/>
  <c r="DI1189" i="2"/>
  <c r="DL1189" i="2" s="1"/>
  <c r="DG1189" i="2"/>
  <c r="DE1189" i="2"/>
  <c r="DK1189" i="2" s="1"/>
  <c r="DD1189" i="2"/>
  <c r="DC1189" i="2"/>
  <c r="DA1189" i="2"/>
  <c r="DJ1189" i="2" s="1"/>
  <c r="CY1189" i="2"/>
  <c r="BG1195" i="2"/>
  <c r="BE1197" i="2"/>
  <c r="BC1197" i="2"/>
  <c r="AZ1197" i="2"/>
  <c r="AY1197" i="2"/>
  <c r="DF1197" i="2"/>
  <c r="DD1197" i="2"/>
  <c r="DC1197" i="2"/>
  <c r="DB1197" i="2"/>
  <c r="DA1197" i="2"/>
  <c r="DJ1197" i="2" s="1"/>
  <c r="CY1197" i="2"/>
  <c r="CX1197" i="2"/>
  <c r="BE1200" i="2"/>
  <c r="BG1201" i="2"/>
  <c r="DH1175" i="2"/>
  <c r="CZ1175" i="2"/>
  <c r="CX1175" i="2"/>
  <c r="AX1185" i="2"/>
  <c r="CZ1185" i="2"/>
  <c r="CY1187" i="2"/>
  <c r="DI1187" i="2"/>
  <c r="DL1187" i="2" s="1"/>
  <c r="DG1187" i="2"/>
  <c r="DE1187" i="2"/>
  <c r="DK1187" i="2" s="1"/>
  <c r="DD1195" i="2"/>
  <c r="DB1195" i="2"/>
  <c r="DC1195" i="2"/>
  <c r="DA1195" i="2"/>
  <c r="DJ1195" i="2" s="1"/>
  <c r="CZ1195" i="2"/>
  <c r="CX1195" i="2"/>
  <c r="DI1195" i="2"/>
  <c r="DL1195" i="2" s="1"/>
  <c r="BE1198" i="2"/>
  <c r="AX1201" i="2"/>
  <c r="BD1201" i="2"/>
  <c r="AY1201" i="2"/>
  <c r="BC1205" i="2"/>
  <c r="AZ1205" i="2"/>
  <c r="BE1210" i="2"/>
  <c r="AY1172" i="2"/>
  <c r="AW1172" i="2" s="1"/>
  <c r="DA1173" i="2"/>
  <c r="DJ1173" i="2" s="1"/>
  <c r="AX1174" i="2"/>
  <c r="CX1174" i="2"/>
  <c r="CY1180" i="2"/>
  <c r="AY1181" i="2"/>
  <c r="BD1183" i="2"/>
  <c r="AX1183" i="2"/>
  <c r="DA1184" i="2"/>
  <c r="DJ1184" i="2" s="1"/>
  <c r="DI1184" i="2"/>
  <c r="DL1184" i="2" s="1"/>
  <c r="DG1184" i="2"/>
  <c r="DB1185" i="2"/>
  <c r="BC1191" i="2"/>
  <c r="AZ1191" i="2"/>
  <c r="AY1191" i="2"/>
  <c r="AW1191" i="2" s="1"/>
  <c r="CZ1191" i="2"/>
  <c r="DE1191" i="2"/>
  <c r="DK1191" i="2" s="1"/>
  <c r="DD1191" i="2"/>
  <c r="DC1191" i="2"/>
  <c r="DA1191" i="2"/>
  <c r="DJ1191" i="2" s="1"/>
  <c r="CY1191" i="2"/>
  <c r="CX1191" i="2"/>
  <c r="BE1195" i="2"/>
  <c r="BC1195" i="2"/>
  <c r="AY1195" i="2"/>
  <c r="AV1199" i="2"/>
  <c r="BG1199" i="2"/>
  <c r="AZ1200" i="2"/>
  <c r="AW1200" i="2" s="1"/>
  <c r="BF1205" i="2"/>
  <c r="BE1205" i="2"/>
  <c r="BC1181" i="2"/>
  <c r="BD1188" i="2"/>
  <c r="BF1191" i="2"/>
  <c r="AW1198" i="2"/>
  <c r="AW1202" i="2"/>
  <c r="AY1214" i="2"/>
  <c r="AX1214" i="2"/>
  <c r="BE1215" i="2"/>
  <c r="BC1214" i="2"/>
  <c r="AZ1214" i="2"/>
  <c r="CX1215" i="2"/>
  <c r="AV1216" i="2"/>
  <c r="DD1190" i="2"/>
  <c r="AZ1192" i="2"/>
  <c r="AW1192" i="2" s="1"/>
  <c r="AX1194" i="2"/>
  <c r="AX1199" i="2"/>
  <c r="AY1200" i="2"/>
  <c r="BC1201" i="2"/>
  <c r="AZ1204" i="2"/>
  <c r="DA1204" i="2"/>
  <c r="DJ1204" i="2" s="1"/>
  <c r="BG1213" i="2"/>
  <c r="AV1213" i="2"/>
  <c r="AW1215" i="2"/>
  <c r="DA1222" i="2"/>
  <c r="DJ1222" i="2" s="1"/>
  <c r="CZ1222" i="2"/>
  <c r="DH1222" i="2"/>
  <c r="CY1222" i="2"/>
  <c r="CX1222" i="2"/>
  <c r="DI1222" i="2"/>
  <c r="DL1222" i="2" s="1"/>
  <c r="DF1222" i="2"/>
  <c r="DE1222" i="2"/>
  <c r="DK1222" i="2" s="1"/>
  <c r="DD1222" i="2"/>
  <c r="DG1222" i="2"/>
  <c r="DC1222" i="2"/>
  <c r="DB1222" i="2"/>
  <c r="AY1189" i="2"/>
  <c r="DE1190" i="2"/>
  <c r="DK1190" i="2" s="1"/>
  <c r="DB1204" i="2"/>
  <c r="BC1213" i="2"/>
  <c r="AZ1213" i="2"/>
  <c r="BD1217" i="2"/>
  <c r="BC1217" i="2"/>
  <c r="AY1217" i="2"/>
  <c r="DG1190" i="2"/>
  <c r="CZ1201" i="2"/>
  <c r="CY1201" i="2"/>
  <c r="BD1209" i="2"/>
  <c r="DB1210" i="2"/>
  <c r="BG1211" i="2"/>
  <c r="AV1211" i="2"/>
  <c r="BF1212" i="2"/>
  <c r="BC1215" i="2"/>
  <c r="DC1215" i="2"/>
  <c r="DF1215" i="2"/>
  <c r="DE1215" i="2"/>
  <c r="DK1215" i="2" s="1"/>
  <c r="DI1215" i="2"/>
  <c r="DL1215" i="2" s="1"/>
  <c r="DH1215" i="2"/>
  <c r="DD1215" i="2"/>
  <c r="DG1215" i="2"/>
  <c r="CZ1215" i="2"/>
  <c r="AY1206" i="2"/>
  <c r="DD1210" i="2"/>
  <c r="BD1212" i="2"/>
  <c r="AX1212" i="2"/>
  <c r="BG1212" i="2"/>
  <c r="CX1218" i="2"/>
  <c r="DI1190" i="2"/>
  <c r="DL1190" i="2" s="1"/>
  <c r="AY1202" i="2"/>
  <c r="BD1202" i="2"/>
  <c r="DH1218" i="2"/>
  <c r="BE1192" i="2"/>
  <c r="BC1202" i="2"/>
  <c r="CZ1188" i="2"/>
  <c r="BE1194" i="2"/>
  <c r="CY1204" i="2"/>
  <c r="DD1204" i="2"/>
  <c r="DH1204" i="2"/>
  <c r="DF1204" i="2"/>
  <c r="BD1206" i="2"/>
  <c r="DE1210" i="2"/>
  <c r="DK1210" i="2" s="1"/>
  <c r="CX1210" i="2"/>
  <c r="DF1210" i="2"/>
  <c r="DI1210" i="2"/>
  <c r="DL1210" i="2" s="1"/>
  <c r="DA1210" i="2"/>
  <c r="DJ1210" i="2" s="1"/>
  <c r="CZ1210" i="2"/>
  <c r="DG1210" i="2"/>
  <c r="DC1210" i="2"/>
  <c r="BF1215" i="2"/>
  <c r="BE1206" i="2"/>
  <c r="BC1206" i="2"/>
  <c r="DF1218" i="2"/>
  <c r="CZ1218" i="2"/>
  <c r="CY1218" i="2"/>
  <c r="DE1218" i="2"/>
  <c r="DK1218" i="2" s="1"/>
  <c r="DD1218" i="2"/>
  <c r="DC1218" i="2"/>
  <c r="DB1218" i="2"/>
  <c r="DA1218" i="2"/>
  <c r="DJ1218" i="2" s="1"/>
  <c r="DG1218" i="2"/>
  <c r="DB1188" i="2"/>
  <c r="BF1206" i="2"/>
  <c r="BG1196" i="2"/>
  <c r="BC1207" i="2"/>
  <c r="AZ1207" i="2"/>
  <c r="BF1210" i="2"/>
  <c r="AY1188" i="2"/>
  <c r="CX1190" i="2"/>
  <c r="BD1191" i="2"/>
  <c r="BG1194" i="2"/>
  <c r="AZ1201" i="2"/>
  <c r="DB1201" i="2"/>
  <c r="BF1207" i="2"/>
  <c r="BE1208" i="2"/>
  <c r="AZ1208" i="2"/>
  <c r="AW1208" i="2" s="1"/>
  <c r="BC1209" i="2"/>
  <c r="BD1213" i="2"/>
  <c r="AX1213" i="2"/>
  <c r="BD1214" i="2"/>
  <c r="BD1221" i="2"/>
  <c r="AY1221" i="2"/>
  <c r="BE1221" i="2"/>
  <c r="AX1221" i="2"/>
  <c r="AV1219" i="2"/>
  <c r="BD1226" i="2"/>
  <c r="BD1227" i="2"/>
  <c r="AY1227" i="2"/>
  <c r="AX1227" i="2"/>
  <c r="BE1222" i="2"/>
  <c r="BC1222" i="2"/>
  <c r="AZ1222" i="2"/>
  <c r="AZ1203" i="2"/>
  <c r="AW1203" i="2" s="1"/>
  <c r="DB1207" i="2"/>
  <c r="CX1207" i="2"/>
  <c r="BF1214" i="2"/>
  <c r="AV1214" i="2"/>
  <c r="DF1220" i="2"/>
  <c r="BG1227" i="2"/>
  <c r="AV1227" i="2"/>
  <c r="BC1218" i="2"/>
  <c r="DD1229" i="2"/>
  <c r="CZ1202" i="2"/>
  <c r="CY1202" i="2"/>
  <c r="BG1203" i="2"/>
  <c r="CY1217" i="2"/>
  <c r="AX1220" i="2"/>
  <c r="BD1220" i="2"/>
  <c r="AY1220" i="2"/>
  <c r="CY1220" i="2"/>
  <c r="CX1220" i="2"/>
  <c r="DH1220" i="2"/>
  <c r="CZ1220" i="2"/>
  <c r="DE1220" i="2"/>
  <c r="DK1220" i="2" s="1"/>
  <c r="DC1220" i="2"/>
  <c r="DB1220" i="2"/>
  <c r="CX1203" i="2"/>
  <c r="DE1203" i="2"/>
  <c r="DK1203" i="2" s="1"/>
  <c r="DD1203" i="2"/>
  <c r="BG1204" i="2"/>
  <c r="DG1212" i="2"/>
  <c r="CZ1212" i="2"/>
  <c r="DI1212" i="2"/>
  <c r="DL1212" i="2" s="1"/>
  <c r="BC1220" i="2"/>
  <c r="AZ1220" i="2"/>
  <c r="AV1220" i="2"/>
  <c r="BF1220" i="2"/>
  <c r="DC1224" i="2"/>
  <c r="DB1224" i="2"/>
  <c r="DD1224" i="2"/>
  <c r="DA1224" i="2"/>
  <c r="DJ1224" i="2" s="1"/>
  <c r="CZ1224" i="2"/>
  <c r="CY1224" i="2"/>
  <c r="DG1224" i="2"/>
  <c r="DE1224" i="2"/>
  <c r="DK1224" i="2" s="1"/>
  <c r="CX1224" i="2"/>
  <c r="DE1229" i="2"/>
  <c r="DK1229" i="2" s="1"/>
  <c r="DI1229" i="2"/>
  <c r="DL1229" i="2" s="1"/>
  <c r="DH1229" i="2"/>
  <c r="DF1229" i="2"/>
  <c r="DC1229" i="2"/>
  <c r="DB1229" i="2"/>
  <c r="DA1229" i="2"/>
  <c r="DJ1229" i="2" s="1"/>
  <c r="CZ1229" i="2"/>
  <c r="CY1229" i="2"/>
  <c r="CX1229" i="2"/>
  <c r="AX1224" i="2"/>
  <c r="BD1224" i="2"/>
  <c r="AY1224" i="2"/>
  <c r="BC1224" i="2"/>
  <c r="AZ1224" i="2"/>
  <c r="BG1225" i="2"/>
  <c r="AV1225" i="2"/>
  <c r="AY1207" i="2"/>
  <c r="AX1207" i="2"/>
  <c r="BD1210" i="2"/>
  <c r="BF1213" i="2"/>
  <c r="DE1217" i="2"/>
  <c r="DK1217" i="2" s="1"/>
  <c r="DG1217" i="2"/>
  <c r="DF1217" i="2"/>
  <c r="DI1217" i="2"/>
  <c r="DL1217" i="2" s="1"/>
  <c r="DH1217" i="2"/>
  <c r="DD1217" i="2"/>
  <c r="CZ1217" i="2"/>
  <c r="BF1218" i="2"/>
  <c r="BE1218" i="2"/>
  <c r="BC1221" i="2"/>
  <c r="AZ1221" i="2"/>
  <c r="AZ1210" i="2"/>
  <c r="BC1210" i="2"/>
  <c r="AV1221" i="2"/>
  <c r="BF1221" i="2"/>
  <c r="AY1223" i="2"/>
  <c r="AX1223" i="2"/>
  <c r="BG1223" i="2"/>
  <c r="BD1223" i="2"/>
  <c r="BF1225" i="2"/>
  <c r="DF1223" i="2"/>
  <c r="AX1229" i="2"/>
  <c r="AV1239" i="2"/>
  <c r="BG1239" i="2"/>
  <c r="BD1239" i="2"/>
  <c r="AY1225" i="2"/>
  <c r="AX1225" i="2"/>
  <c r="BD1225" i="2"/>
  <c r="BF1230" i="2"/>
  <c r="AY1230" i="2"/>
  <c r="BE1223" i="2"/>
  <c r="BC1223" i="2"/>
  <c r="AZ1223" i="2"/>
  <c r="DB1223" i="2"/>
  <c r="DA1223" i="2"/>
  <c r="DJ1223" i="2" s="1"/>
  <c r="DI1223" i="2"/>
  <c r="DL1223" i="2" s="1"/>
  <c r="DC1223" i="2"/>
  <c r="CZ1223" i="2"/>
  <c r="CY1223" i="2"/>
  <c r="CX1223" i="2"/>
  <c r="AY1226" i="2"/>
  <c r="AX1226" i="2"/>
  <c r="CX1231" i="2"/>
  <c r="BF1238" i="2"/>
  <c r="BD1238" i="2"/>
  <c r="BD1205" i="2"/>
  <c r="AY1211" i="2"/>
  <c r="AY1219" i="2"/>
  <c r="BD1219" i="2"/>
  <c r="AX1219" i="2"/>
  <c r="DD1231" i="2"/>
  <c r="BG1208" i="2"/>
  <c r="AY1209" i="2"/>
  <c r="BC1211" i="2"/>
  <c r="AZ1211" i="2"/>
  <c r="BE1211" i="2"/>
  <c r="BG1216" i="2"/>
  <c r="BD1216" i="2"/>
  <c r="AZ1219" i="2"/>
  <c r="BE1219" i="2"/>
  <c r="BC1219" i="2"/>
  <c r="BF1226" i="2"/>
  <c r="DD1227" i="2"/>
  <c r="DE1231" i="2"/>
  <c r="DK1231" i="2" s="1"/>
  <c r="DF1231" i="2"/>
  <c r="BD1222" i="2"/>
  <c r="AY1222" i="2"/>
  <c r="AX1222" i="2"/>
  <c r="DI1231" i="2"/>
  <c r="DL1231" i="2" s="1"/>
  <c r="DG1231" i="2"/>
  <c r="DC1231" i="2"/>
  <c r="DB1231" i="2"/>
  <c r="DA1231" i="2"/>
  <c r="DJ1231" i="2" s="1"/>
  <c r="CZ1231" i="2"/>
  <c r="CY1231" i="2"/>
  <c r="BG1236" i="2"/>
  <c r="BD1236" i="2"/>
  <c r="AV1236" i="2"/>
  <c r="DC1227" i="2"/>
  <c r="DB1227" i="2"/>
  <c r="DA1227" i="2"/>
  <c r="DJ1227" i="2" s="1"/>
  <c r="CZ1227" i="2"/>
  <c r="CX1227" i="2"/>
  <c r="DI1227" i="2"/>
  <c r="DL1227" i="2" s="1"/>
  <c r="DH1227" i="2"/>
  <c r="BE1213" i="2"/>
  <c r="BE1225" i="2"/>
  <c r="BC1225" i="2"/>
  <c r="BG1240" i="2"/>
  <c r="BD1240" i="2"/>
  <c r="AY1240" i="2"/>
  <c r="AX1240" i="2"/>
  <c r="CZ1221" i="2"/>
  <c r="CY1221" i="2"/>
  <c r="DI1221" i="2"/>
  <c r="DL1221" i="2" s="1"/>
  <c r="BE1229" i="2"/>
  <c r="AV1230" i="2"/>
  <c r="BG1230" i="2"/>
  <c r="BD1230" i="2"/>
  <c r="AZ1235" i="2"/>
  <c r="BE1235" i="2"/>
  <c r="AV1215" i="2"/>
  <c r="BG1215" i="2"/>
  <c r="AY1218" i="2"/>
  <c r="AX1218" i="2"/>
  <c r="DA1225" i="2"/>
  <c r="DJ1225" i="2" s="1"/>
  <c r="DH1225" i="2"/>
  <c r="DG1225" i="2"/>
  <c r="CZ1225" i="2"/>
  <c r="CX1225" i="2"/>
  <c r="AW1236" i="2"/>
  <c r="BD1234" i="2"/>
  <c r="AY1234" i="2"/>
  <c r="DH1251" i="2"/>
  <c r="CZ1251" i="2"/>
  <c r="DD1251" i="2"/>
  <c r="DI1251" i="2"/>
  <c r="DL1251" i="2" s="1"/>
  <c r="DG1251" i="2"/>
  <c r="DB1251" i="2"/>
  <c r="DA1251" i="2"/>
  <c r="DJ1251" i="2" s="1"/>
  <c r="CY1251" i="2"/>
  <c r="CX1251" i="2"/>
  <c r="DF1251" i="2"/>
  <c r="DE1251" i="2"/>
  <c r="DK1251" i="2" s="1"/>
  <c r="DC1251" i="2"/>
  <c r="AY1246" i="2"/>
  <c r="BF1246" i="2"/>
  <c r="BD1246" i="2"/>
  <c r="BG1243" i="2"/>
  <c r="AV1243" i="2"/>
  <c r="AV1226" i="2"/>
  <c r="BG1226" i="2"/>
  <c r="BE1227" i="2"/>
  <c r="BC1227" i="2"/>
  <c r="DH1230" i="2"/>
  <c r="DF1230" i="2"/>
  <c r="DG1230" i="2"/>
  <c r="DE1230" i="2"/>
  <c r="DK1230" i="2" s="1"/>
  <c r="DD1230" i="2"/>
  <c r="DC1230" i="2"/>
  <c r="DB1230" i="2"/>
  <c r="CZ1230" i="2"/>
  <c r="CX1230" i="2"/>
  <c r="BG1231" i="2"/>
  <c r="BD1231" i="2"/>
  <c r="AY1231" i="2"/>
  <c r="AX1232" i="2"/>
  <c r="BD1232" i="2"/>
  <c r="AY1232" i="2"/>
  <c r="BE1237" i="2"/>
  <c r="CZ1240" i="2"/>
  <c r="DI1240" i="2"/>
  <c r="DL1240" i="2" s="1"/>
  <c r="DC1240" i="2"/>
  <c r="CY1240" i="2"/>
  <c r="DH1240" i="2"/>
  <c r="DF1240" i="2"/>
  <c r="DB1240" i="2"/>
  <c r="DG1240" i="2"/>
  <c r="DE1240" i="2"/>
  <c r="DK1240" i="2" s="1"/>
  <c r="DD1240" i="2"/>
  <c r="DA1240" i="2"/>
  <c r="DJ1240" i="2" s="1"/>
  <c r="CX1240" i="2"/>
  <c r="AW1230" i="2"/>
  <c r="BE1231" i="2"/>
  <c r="BC1231" i="2"/>
  <c r="AZ1232" i="2"/>
  <c r="BE1232" i="2"/>
  <c r="BC1232" i="2"/>
  <c r="BE1233" i="2"/>
  <c r="BC1233" i="2"/>
  <c r="AZ1233" i="2"/>
  <c r="AW1233" i="2" s="1"/>
  <c r="CX1219" i="2"/>
  <c r="DG1219" i="2"/>
  <c r="AV1222" i="2"/>
  <c r="DE1225" i="2"/>
  <c r="DK1225" i="2" s="1"/>
  <c r="AV1229" i="2"/>
  <c r="BF1231" i="2"/>
  <c r="AV1231" i="2"/>
  <c r="DD1236" i="2"/>
  <c r="CY1236" i="2"/>
  <c r="DE1236" i="2"/>
  <c r="DK1236" i="2" s="1"/>
  <c r="DH1236" i="2"/>
  <c r="DF1236" i="2"/>
  <c r="DI1236" i="2"/>
  <c r="DL1236" i="2" s="1"/>
  <c r="DG1236" i="2"/>
  <c r="DC1236" i="2"/>
  <c r="DB1236" i="2"/>
  <c r="CZ1236" i="2"/>
  <c r="BD1237" i="2"/>
  <c r="AY1237" i="2"/>
  <c r="AX1237" i="2"/>
  <c r="BE1242" i="2"/>
  <c r="AZ1242" i="2"/>
  <c r="BC1242" i="2"/>
  <c r="AY1242" i="2"/>
  <c r="DI1214" i="2"/>
  <c r="DL1214" i="2" s="1"/>
  <c r="DB1214" i="2"/>
  <c r="BD1218" i="2"/>
  <c r="DF1225" i="2"/>
  <c r="DB1234" i="2"/>
  <c r="DF1234" i="2"/>
  <c r="DI1234" i="2"/>
  <c r="DL1234" i="2" s="1"/>
  <c r="DH1234" i="2"/>
  <c r="DG1234" i="2"/>
  <c r="DE1234" i="2"/>
  <c r="DK1234" i="2" s="1"/>
  <c r="DD1234" i="2"/>
  <c r="DC1234" i="2"/>
  <c r="CZ1234" i="2"/>
  <c r="CX1234" i="2"/>
  <c r="AY1235" i="2"/>
  <c r="DC1235" i="2"/>
  <c r="CY1235" i="2"/>
  <c r="DH1235" i="2"/>
  <c r="DF1235" i="2"/>
  <c r="DG1235" i="2"/>
  <c r="DE1235" i="2"/>
  <c r="DK1235" i="2" s="1"/>
  <c r="DD1235" i="2"/>
  <c r="DB1235" i="2"/>
  <c r="AY1243" i="2"/>
  <c r="BD1243" i="2"/>
  <c r="DC1226" i="2"/>
  <c r="BD1233" i="2"/>
  <c r="DC1242" i="2"/>
  <c r="DD1226" i="2"/>
  <c r="AY1228" i="2"/>
  <c r="BG1232" i="2"/>
  <c r="AV1232" i="2"/>
  <c r="DD1233" i="2"/>
  <c r="DE1233" i="2"/>
  <c r="DK1233" i="2" s="1"/>
  <c r="DB1233" i="2"/>
  <c r="CZ1233" i="2"/>
  <c r="AW1234" i="2"/>
  <c r="AY1238" i="2"/>
  <c r="AY1239" i="2"/>
  <c r="BE1249" i="2"/>
  <c r="BF1249" i="2"/>
  <c r="DI1252" i="2"/>
  <c r="DL1252" i="2" s="1"/>
  <c r="DE1252" i="2"/>
  <c r="DK1252" i="2" s="1"/>
  <c r="CY1252" i="2"/>
  <c r="CZ1252" i="2"/>
  <c r="DH1252" i="2"/>
  <c r="DG1252" i="2"/>
  <c r="DD1252" i="2"/>
  <c r="DB1252" i="2"/>
  <c r="CX1252" i="2"/>
  <c r="DF1252" i="2"/>
  <c r="DC1252" i="2"/>
  <c r="DA1252" i="2"/>
  <c r="DJ1252" i="2" s="1"/>
  <c r="DC1232" i="2"/>
  <c r="CY1232" i="2"/>
  <c r="DE1237" i="2"/>
  <c r="DK1237" i="2" s="1"/>
  <c r="DC1237" i="2"/>
  <c r="CZ1237" i="2"/>
  <c r="DI1237" i="2"/>
  <c r="DL1237" i="2" s="1"/>
  <c r="BE1239" i="2"/>
  <c r="BC1239" i="2"/>
  <c r="DG1239" i="2"/>
  <c r="DD1239" i="2"/>
  <c r="DB1239" i="2"/>
  <c r="DI1239" i="2"/>
  <c r="DL1239" i="2" s="1"/>
  <c r="DC1239" i="2"/>
  <c r="CZ1239" i="2"/>
  <c r="CX1239" i="2"/>
  <c r="DF1226" i="2"/>
  <c r="CY1228" i="2"/>
  <c r="BG1229" i="2"/>
  <c r="AV1233" i="2"/>
  <c r="BG1237" i="2"/>
  <c r="AV1237" i="2"/>
  <c r="DB1242" i="2"/>
  <c r="DD1242" i="2"/>
  <c r="DH1242" i="2"/>
  <c r="DE1242" i="2"/>
  <c r="DK1242" i="2" s="1"/>
  <c r="DG1242" i="2"/>
  <c r="DA1242" i="2"/>
  <c r="DJ1242" i="2" s="1"/>
  <c r="AX1247" i="2"/>
  <c r="BG1247" i="2"/>
  <c r="AY1247" i="2"/>
  <c r="AZ1241" i="2"/>
  <c r="BE1247" i="2"/>
  <c r="BC1247" i="2"/>
  <c r="AZ1247" i="2"/>
  <c r="CZ1232" i="2"/>
  <c r="BC1238" i="2"/>
  <c r="AV1240" i="2"/>
  <c r="DA1232" i="2"/>
  <c r="DJ1232" i="2" s="1"/>
  <c r="BG1235" i="2"/>
  <c r="CX1237" i="2"/>
  <c r="DF1246" i="2"/>
  <c r="DG1246" i="2"/>
  <c r="DE1246" i="2"/>
  <c r="DK1246" i="2" s="1"/>
  <c r="CY1246" i="2"/>
  <c r="DI1246" i="2"/>
  <c r="DL1246" i="2" s="1"/>
  <c r="DD1246" i="2"/>
  <c r="DH1246" i="2"/>
  <c r="DC1246" i="2"/>
  <c r="DB1246" i="2"/>
  <c r="CZ1246" i="2"/>
  <c r="DB1232" i="2"/>
  <c r="DF1233" i="2"/>
  <c r="CY1237" i="2"/>
  <c r="DG1228" i="2"/>
  <c r="DD1232" i="2"/>
  <c r="BG1233" i="2"/>
  <c r="DG1233" i="2"/>
  <c r="DA1237" i="2"/>
  <c r="DJ1237" i="2" s="1"/>
  <c r="BE1241" i="2"/>
  <c r="DA1241" i="2"/>
  <c r="DJ1241" i="2" s="1"/>
  <c r="CX1241" i="2"/>
  <c r="DE1241" i="2"/>
  <c r="DK1241" i="2" s="1"/>
  <c r="DC1241" i="2"/>
  <c r="DH1241" i="2"/>
  <c r="DB1241" i="2"/>
  <c r="CY1241" i="2"/>
  <c r="DE1232" i="2"/>
  <c r="DK1232" i="2" s="1"/>
  <c r="DH1233" i="2"/>
  <c r="AV1235" i="2"/>
  <c r="DB1237" i="2"/>
  <c r="AX1238" i="2"/>
  <c r="CY1239" i="2"/>
  <c r="AX1243" i="2"/>
  <c r="BE1245" i="2"/>
  <c r="CX1249" i="2"/>
  <c r="CZ1249" i="2"/>
  <c r="CY1245" i="2"/>
  <c r="BC1246" i="2"/>
  <c r="AZ1249" i="2"/>
  <c r="DB1249" i="2"/>
  <c r="BD1249" i="2"/>
  <c r="DC1249" i="2"/>
  <c r="BF1252" i="2"/>
  <c r="BD1252" i="2"/>
  <c r="AV1260" i="2"/>
  <c r="BG1260" i="2"/>
  <c r="DF1238" i="2"/>
  <c r="DI1238" i="2"/>
  <c r="DL1238" i="2" s="1"/>
  <c r="DE1238" i="2"/>
  <c r="DK1238" i="2" s="1"/>
  <c r="CY1238" i="2"/>
  <c r="AY1244" i="2"/>
  <c r="AZ1244" i="2"/>
  <c r="BD1254" i="2"/>
  <c r="AY1249" i="2"/>
  <c r="AX1249" i="2"/>
  <c r="DF1249" i="2"/>
  <c r="DG1249" i="2"/>
  <c r="DI1249" i="2"/>
  <c r="DL1249" i="2" s="1"/>
  <c r="DH1249" i="2"/>
  <c r="DE1249" i="2"/>
  <c r="DK1249" i="2" s="1"/>
  <c r="DA1249" i="2"/>
  <c r="DJ1249" i="2" s="1"/>
  <c r="CY1249" i="2"/>
  <c r="AV1251" i="2"/>
  <c r="BG1251" i="2"/>
  <c r="AW1253" i="2"/>
  <c r="BE1254" i="2"/>
  <c r="BC1254" i="2"/>
  <c r="AZ1254" i="2"/>
  <c r="AV1234" i="2"/>
  <c r="BC1236" i="2"/>
  <c r="BC1240" i="2"/>
  <c r="DD1244" i="2"/>
  <c r="DH1244" i="2"/>
  <c r="DG1244" i="2"/>
  <c r="CZ1244" i="2"/>
  <c r="CX1244" i="2"/>
  <c r="AZ1246" i="2"/>
  <c r="DC1248" i="2"/>
  <c r="DB1255" i="2"/>
  <c r="DA1255" i="2"/>
  <c r="DJ1255" i="2" s="1"/>
  <c r="DF1255" i="2"/>
  <c r="DD1255" i="2"/>
  <c r="CX1255" i="2"/>
  <c r="CZ1255" i="2"/>
  <c r="DG1255" i="2"/>
  <c r="DC1255" i="2"/>
  <c r="AW1250" i="2"/>
  <c r="BF1245" i="2"/>
  <c r="DE1245" i="2"/>
  <c r="DK1245" i="2" s="1"/>
  <c r="DA1245" i="2"/>
  <c r="DJ1245" i="2" s="1"/>
  <c r="CZ1245" i="2"/>
  <c r="DG1245" i="2"/>
  <c r="DD1245" i="2"/>
  <c r="DC1245" i="2"/>
  <c r="AY1248" i="2"/>
  <c r="DG1248" i="2"/>
  <c r="BF1256" i="2"/>
  <c r="BE1256" i="2"/>
  <c r="BE1248" i="2"/>
  <c r="BD1248" i="2"/>
  <c r="AX1248" i="2"/>
  <c r="DE1248" i="2"/>
  <c r="DK1248" i="2" s="1"/>
  <c r="DI1248" i="2"/>
  <c r="DL1248" i="2" s="1"/>
  <c r="CZ1248" i="2"/>
  <c r="CY1248" i="2"/>
  <c r="DD1248" i="2"/>
  <c r="DB1248" i="2"/>
  <c r="CX1248" i="2"/>
  <c r="BF1239" i="2"/>
  <c r="AY1241" i="2"/>
  <c r="BG1241" i="2"/>
  <c r="BD1241" i="2"/>
  <c r="BC1245" i="2"/>
  <c r="BC1248" i="2"/>
  <c r="AZ1248" i="2"/>
  <c r="DG1250" i="2"/>
  <c r="DE1250" i="2"/>
  <c r="DK1250" i="2" s="1"/>
  <c r="DH1250" i="2"/>
  <c r="DF1250" i="2"/>
  <c r="DD1250" i="2"/>
  <c r="DC1250" i="2"/>
  <c r="DA1250" i="2"/>
  <c r="DJ1250" i="2" s="1"/>
  <c r="CY1250" i="2"/>
  <c r="AV1252" i="2"/>
  <c r="BD1251" i="2"/>
  <c r="DD1253" i="2"/>
  <c r="DH1253" i="2"/>
  <c r="DD1243" i="2"/>
  <c r="DA1247" i="2"/>
  <c r="DJ1247" i="2" s="1"/>
  <c r="AV1254" i="2"/>
  <c r="DC1247" i="2"/>
  <c r="CY1253" i="2"/>
  <c r="BC1258" i="2"/>
  <c r="BD1258" i="2"/>
  <c r="AY1258" i="2"/>
  <c r="AX1258" i="2"/>
  <c r="AV1247" i="2"/>
  <c r="AX1251" i="2"/>
  <c r="DC1253" i="2"/>
  <c r="DC1243" i="2"/>
  <c r="DI1243" i="2"/>
  <c r="DL1243" i="2" s="1"/>
  <c r="AY1251" i="2"/>
  <c r="DE1253" i="2"/>
  <c r="DK1253" i="2" s="1"/>
  <c r="DD1257" i="2"/>
  <c r="DF1257" i="2"/>
  <c r="DC1257" i="2"/>
  <c r="DH1257" i="2"/>
  <c r="DG1257" i="2"/>
  <c r="DB1257" i="2"/>
  <c r="DA1257" i="2"/>
  <c r="DJ1257" i="2" s="1"/>
  <c r="CY1257" i="2"/>
  <c r="BC1252" i="2"/>
  <c r="AZ1252" i="2"/>
  <c r="DF1253" i="2"/>
  <c r="BG1254" i="2"/>
  <c r="AV1258" i="2"/>
  <c r="BG1258" i="2"/>
  <c r="BF1242" i="2"/>
  <c r="CX1243" i="2"/>
  <c r="BD1245" i="2"/>
  <c r="DG1253" i="2"/>
  <c r="AY1254" i="2"/>
  <c r="AW1255" i="2"/>
  <c r="DE1258" i="2"/>
  <c r="DK1258" i="2" s="1"/>
  <c r="DC1258" i="2"/>
  <c r="DG1258" i="2"/>
  <c r="DA1258" i="2"/>
  <c r="DJ1258" i="2" s="1"/>
  <c r="CY1258" i="2"/>
  <c r="DH1258" i="2"/>
  <c r="DF1258" i="2"/>
  <c r="AX1260" i="2"/>
  <c r="BD1260" i="2"/>
  <c r="AY1260" i="2"/>
  <c r="CZ1265" i="2"/>
  <c r="DH1265" i="2"/>
  <c r="DC1265" i="2"/>
  <c r="DG1265" i="2"/>
  <c r="CX1265" i="2"/>
  <c r="DI1265" i="2"/>
  <c r="DL1265" i="2" s="1"/>
  <c r="DD1265" i="2"/>
  <c r="DB1265" i="2"/>
  <c r="DA1265" i="2"/>
  <c r="DJ1265" i="2" s="1"/>
  <c r="AW1269" i="2"/>
  <c r="BD1265" i="2"/>
  <c r="AX1265" i="2"/>
  <c r="AY1265" i="2"/>
  <c r="BE1267" i="2"/>
  <c r="BD1267" i="2"/>
  <c r="AX1267" i="2"/>
  <c r="CY1264" i="2"/>
  <c r="DB1264" i="2"/>
  <c r="CZ1264" i="2"/>
  <c r="DI1264" i="2"/>
  <c r="DL1264" i="2" s="1"/>
  <c r="DH1264" i="2"/>
  <c r="DG1264" i="2"/>
  <c r="DF1264" i="2"/>
  <c r="DE1264" i="2"/>
  <c r="DK1264" i="2" s="1"/>
  <c r="DD1264" i="2"/>
  <c r="DC1264" i="2"/>
  <c r="CX1264" i="2"/>
  <c r="AV1270" i="2"/>
  <c r="BF1270" i="2"/>
  <c r="BD1270" i="2"/>
  <c r="BE1255" i="2"/>
  <c r="BD1256" i="2"/>
  <c r="BG1259" i="2"/>
  <c r="BD1262" i="2"/>
  <c r="AX1262" i="2"/>
  <c r="AZ1263" i="2"/>
  <c r="BE1263" i="2"/>
  <c r="AY1263" i="2"/>
  <c r="AV1253" i="2"/>
  <c r="BC1256" i="2"/>
  <c r="BE1258" i="2"/>
  <c r="DF1259" i="2"/>
  <c r="DB1259" i="2"/>
  <c r="CY1259" i="2"/>
  <c r="CX1259" i="2"/>
  <c r="DI1259" i="2"/>
  <c r="DL1259" i="2" s="1"/>
  <c r="DH1259" i="2"/>
  <c r="DE1259" i="2"/>
  <c r="DK1259" i="2" s="1"/>
  <c r="AX1261" i="2"/>
  <c r="BD1261" i="2"/>
  <c r="AY1261" i="2"/>
  <c r="CX1258" i="2"/>
  <c r="BE1261" i="2"/>
  <c r="AZ1261" i="2"/>
  <c r="BC1261" i="2"/>
  <c r="AX1266" i="2"/>
  <c r="BD1266" i="2"/>
  <c r="AY1266" i="2"/>
  <c r="BG1264" i="2"/>
  <c r="BD1264" i="2"/>
  <c r="CY1265" i="2"/>
  <c r="DF1271" i="2"/>
  <c r="CX1271" i="2"/>
  <c r="DB1271" i="2"/>
  <c r="CZ1271" i="2"/>
  <c r="DE1271" i="2"/>
  <c r="DK1271" i="2" s="1"/>
  <c r="DH1271" i="2"/>
  <c r="DG1271" i="2"/>
  <c r="DD1271" i="2"/>
  <c r="DC1271" i="2"/>
  <c r="DA1271" i="2"/>
  <c r="DJ1271" i="2" s="1"/>
  <c r="CY1271" i="2"/>
  <c r="DA1254" i="2"/>
  <c r="DJ1254" i="2" s="1"/>
  <c r="CZ1254" i="2"/>
  <c r="AY1256" i="2"/>
  <c r="AW1256" i="2" s="1"/>
  <c r="CY1256" i="2"/>
  <c r="DB1261" i="2"/>
  <c r="DC1261" i="2"/>
  <c r="DA1261" i="2"/>
  <c r="DJ1261" i="2" s="1"/>
  <c r="CX1261" i="2"/>
  <c r="DG1262" i="2"/>
  <c r="DB1262" i="2"/>
  <c r="DH1262" i="2"/>
  <c r="CY1262" i="2"/>
  <c r="DI1262" i="2"/>
  <c r="DL1262" i="2" s="1"/>
  <c r="DD1262" i="2"/>
  <c r="DC1262" i="2"/>
  <c r="CZ1262" i="2"/>
  <c r="BG1266" i="2"/>
  <c r="DA1266" i="2"/>
  <c r="DJ1266" i="2" s="1"/>
  <c r="DI1266" i="2"/>
  <c r="DL1266" i="2" s="1"/>
  <c r="DG1266" i="2"/>
  <c r="DF1266" i="2"/>
  <c r="DC1266" i="2"/>
  <c r="DB1266" i="2"/>
  <c r="CZ1266" i="2"/>
  <c r="CY1266" i="2"/>
  <c r="CX1266" i="2"/>
  <c r="DA1268" i="2"/>
  <c r="DJ1268" i="2" s="1"/>
  <c r="DD1269" i="2"/>
  <c r="DI1269" i="2"/>
  <c r="DL1269" i="2" s="1"/>
  <c r="DF1269" i="2"/>
  <c r="DC1269" i="2"/>
  <c r="CZ1269" i="2"/>
  <c r="CX1269" i="2"/>
  <c r="DG1269" i="2"/>
  <c r="DB1256" i="2"/>
  <c r="AW1259" i="2"/>
  <c r="AW1268" i="2"/>
  <c r="DE1268" i="2"/>
  <c r="DK1268" i="2" s="1"/>
  <c r="BC1259" i="2"/>
  <c r="AZ1259" i="2"/>
  <c r="AV1263" i="2"/>
  <c r="BG1263" i="2"/>
  <c r="DC1268" i="2"/>
  <c r="CY1268" i="2"/>
  <c r="DI1268" i="2"/>
  <c r="DL1268" i="2" s="1"/>
  <c r="DG1268" i="2"/>
  <c r="DD1268" i="2"/>
  <c r="CX1268" i="2"/>
  <c r="CZ1268" i="2"/>
  <c r="DF1268" i="2"/>
  <c r="F35" i="4"/>
  <c r="F33" i="4"/>
  <c r="F31" i="4"/>
  <c r="F34" i="4"/>
  <c r="BE1262" i="2"/>
  <c r="F32" i="4"/>
  <c r="G32" i="4" s="1"/>
  <c r="BC1266" i="2"/>
  <c r="AZ1266" i="2"/>
  <c r="DD1261" i="2"/>
  <c r="DA1262" i="2"/>
  <c r="DJ1262" i="2" s="1"/>
  <c r="BF1266" i="2"/>
  <c r="DC1256" i="2"/>
  <c r="DG1256" i="2"/>
  <c r="CZ1256" i="2"/>
  <c r="DE1261" i="2"/>
  <c r="DK1261" i="2" s="1"/>
  <c r="DE1262" i="2"/>
  <c r="DK1262" i="2" s="1"/>
  <c r="AW1257" i="2"/>
  <c r="DF1261" i="2"/>
  <c r="DF1262" i="2"/>
  <c r="DD1266" i="2"/>
  <c r="CY1269" i="2"/>
  <c r="BG1272" i="2"/>
  <c r="BD1272" i="2"/>
  <c r="AV1272" i="2"/>
  <c r="J70" i="4"/>
  <c r="L70" i="4"/>
  <c r="L73" i="4"/>
  <c r="J73" i="4"/>
  <c r="AZ1271" i="2"/>
  <c r="BC1271" i="2"/>
  <c r="F1270" i="2"/>
  <c r="F1266" i="2"/>
  <c r="F1258" i="2"/>
  <c r="F1269" i="2"/>
  <c r="K73" i="4"/>
  <c r="M73" i="4"/>
  <c r="M75" i="4" s="1"/>
  <c r="DE1270" i="2"/>
  <c r="DK1270" i="2" s="1"/>
  <c r="DD1270" i="2"/>
  <c r="DB1270" i="2"/>
  <c r="CY1270" i="2"/>
  <c r="DF1270" i="2"/>
  <c r="DA1270" i="2"/>
  <c r="DJ1270" i="2" s="1"/>
  <c r="DA1272" i="2"/>
  <c r="DJ1272" i="2" s="1"/>
  <c r="M63" i="4"/>
  <c r="L67" i="4"/>
  <c r="L75" i="4" s="1"/>
  <c r="J67" i="4"/>
  <c r="BF1265" i="2"/>
  <c r="BC1267" i="2"/>
  <c r="DB1267" i="2"/>
  <c r="DF1267" i="2"/>
  <c r="DD1267" i="2"/>
  <c r="CZ1267" i="2"/>
  <c r="DA1267" i="2"/>
  <c r="DJ1267" i="2" s="1"/>
  <c r="DC1272" i="2"/>
  <c r="AX1273" i="2"/>
  <c r="BD1273" i="2"/>
  <c r="AZ1270" i="2"/>
  <c r="BC1270" i="2"/>
  <c r="DE1272" i="2"/>
  <c r="DK1272" i="2" s="1"/>
  <c r="DH1273" i="2"/>
  <c r="CZ1273" i="2"/>
  <c r="DB1273" i="2"/>
  <c r="CY1273" i="2"/>
  <c r="DD1273" i="2"/>
  <c r="DA1273" i="2"/>
  <c r="DJ1273" i="2" s="1"/>
  <c r="BC1264" i="2"/>
  <c r="BE1264" i="2"/>
  <c r="DF1272" i="2"/>
  <c r="J61" i="4"/>
  <c r="BE1270" i="2"/>
  <c r="BD1255" i="2"/>
  <c r="AY1262" i="2"/>
  <c r="AY1270" i="2"/>
  <c r="AW1270" i="2" s="1"/>
  <c r="J181" i="4"/>
  <c r="G20" i="1" s="1"/>
  <c r="AY1268" i="2"/>
  <c r="AY1273" i="2"/>
  <c r="AY1267" i="2"/>
  <c r="AY1264" i="2"/>
  <c r="AY1272" i="2"/>
  <c r="J68" i="4"/>
  <c r="CX1270" i="2"/>
  <c r="M71" i="4"/>
  <c r="CZ1270" i="2"/>
  <c r="DG1272" i="2"/>
  <c r="CY1272" i="2"/>
  <c r="DB1272" i="2"/>
  <c r="CZ1272" i="2"/>
  <c r="DH1272" i="2"/>
  <c r="DD1272" i="2"/>
  <c r="F23" i="4"/>
  <c r="F24" i="4"/>
  <c r="G24" i="4" s="1"/>
  <c r="F22" i="4"/>
  <c r="G22" i="4" s="1"/>
  <c r="DC1270" i="2"/>
  <c r="AY1271" i="2"/>
  <c r="BC1272" i="2"/>
  <c r="AZ1272" i="2"/>
  <c r="F25" i="4"/>
  <c r="G25" i="4" s="1"/>
  <c r="AZ1262" i="2"/>
  <c r="BE1266" i="2"/>
  <c r="CY1267" i="2"/>
  <c r="DG1270" i="2"/>
  <c r="BE1271" i="2"/>
  <c r="CX1273" i="2"/>
  <c r="F26" i="4"/>
  <c r="G26" i="4" s="1"/>
  <c r="F192" i="4" s="1"/>
  <c r="I192" i="4" s="1"/>
  <c r="J192" i="4" s="1"/>
  <c r="K39" i="4"/>
  <c r="J179" i="4" s="1"/>
  <c r="G18" i="1" s="1"/>
  <c r="DE1260" i="2"/>
  <c r="DK1260" i="2" s="1"/>
  <c r="CX1263" i="2"/>
  <c r="DG1263" i="2"/>
  <c r="AV1267" i="2"/>
  <c r="BG1267" i="2"/>
  <c r="BG1270" i="2"/>
  <c r="BD1271" i="2"/>
  <c r="BF1262" i="2"/>
  <c r="DB1263" i="2"/>
  <c r="H26" i="10"/>
  <c r="H25" i="10"/>
  <c r="BG1268" i="2"/>
  <c r="BP1273" i="2"/>
  <c r="BP1261" i="2"/>
  <c r="BF1261" i="2" s="1"/>
  <c r="BP1269" i="2"/>
  <c r="BF1269" i="2" s="1"/>
  <c r="I17" i="12"/>
  <c r="BO1268" i="2"/>
  <c r="BF1268" i="2" s="1"/>
  <c r="J5" i="12"/>
  <c r="J17" i="12" s="1"/>
  <c r="J13" i="12"/>
  <c r="G3" i="12"/>
  <c r="G11" i="12"/>
  <c r="H3" i="12"/>
  <c r="H11" i="12"/>
  <c r="G6" i="12"/>
  <c r="G14" i="12"/>
  <c r="H14" i="12"/>
  <c r="G9" i="12"/>
  <c r="H4" i="12"/>
  <c r="H12" i="12"/>
  <c r="G15" i="12"/>
  <c r="H15" i="12"/>
  <c r="G10" i="12"/>
  <c r="AW1267" i="2" l="1"/>
  <c r="AW925" i="2"/>
  <c r="AW913" i="2"/>
  <c r="AW898" i="2"/>
  <c r="AW857" i="2"/>
  <c r="AW870" i="2"/>
  <c r="AW806" i="2"/>
  <c r="AW632" i="2"/>
  <c r="AW620" i="2"/>
  <c r="AW526" i="2"/>
  <c r="AW435" i="2"/>
  <c r="AW381" i="2"/>
  <c r="AW1141" i="2"/>
  <c r="AW985" i="2"/>
  <c r="AW911" i="2"/>
  <c r="AW803" i="2"/>
  <c r="AW785" i="2"/>
  <c r="AW380" i="2"/>
  <c r="AW1212" i="2"/>
  <c r="AW1029" i="2"/>
  <c r="AW941" i="2"/>
  <c r="AW966" i="2"/>
  <c r="AW780" i="2"/>
  <c r="AW1241" i="2"/>
  <c r="AW1150" i="2"/>
  <c r="AW965" i="2"/>
  <c r="AW960" i="2"/>
  <c r="AW839" i="2"/>
  <c r="AW1262" i="2"/>
  <c r="AW1249" i="2"/>
  <c r="AW1235" i="2"/>
  <c r="AW1219" i="2"/>
  <c r="AW1206" i="2"/>
  <c r="AW1187" i="2"/>
  <c r="AW1165" i="2"/>
  <c r="AW1152" i="2"/>
  <c r="AW1119" i="2"/>
  <c r="AW1131" i="2"/>
  <c r="AW1103" i="2"/>
  <c r="AW1055" i="2"/>
  <c r="AW1080" i="2"/>
  <c r="AW1044" i="2"/>
  <c r="AW1062" i="2"/>
  <c r="AW1045" i="2"/>
  <c r="AW994" i="2"/>
  <c r="AW968" i="2"/>
  <c r="AW964" i="2"/>
  <c r="AW955" i="2"/>
  <c r="AW924" i="2"/>
  <c r="AW923" i="2"/>
  <c r="AW883" i="2"/>
  <c r="AW889" i="2"/>
  <c r="AW813" i="2"/>
  <c r="AW846" i="2"/>
  <c r="AW782" i="2"/>
  <c r="AW784" i="2"/>
  <c r="AW551" i="2"/>
  <c r="AW589" i="2"/>
  <c r="AW593" i="2"/>
  <c r="AW348" i="2"/>
  <c r="AW211" i="2"/>
  <c r="F188" i="4"/>
  <c r="I188" i="4" s="1"/>
  <c r="J95" i="4"/>
  <c r="AW1265" i="2"/>
  <c r="AW1247" i="2"/>
  <c r="AW1246" i="2"/>
  <c r="AW1229" i="2"/>
  <c r="AW1214" i="2"/>
  <c r="AW1195" i="2"/>
  <c r="AW1149" i="2"/>
  <c r="AW1140" i="2"/>
  <c r="AW1109" i="2"/>
  <c r="AW1107" i="2"/>
  <c r="AW1091" i="2"/>
  <c r="AW1054" i="2"/>
  <c r="AW1032" i="2"/>
  <c r="AW1043" i="2"/>
  <c r="AW1041" i="2"/>
  <c r="AW1004" i="2"/>
  <c r="AW977" i="2"/>
  <c r="AW905" i="2"/>
  <c r="AW882" i="2"/>
  <c r="AW850" i="2"/>
  <c r="AW871" i="2"/>
  <c r="AW812" i="2"/>
  <c r="AW788" i="2"/>
  <c r="AW706" i="2"/>
  <c r="AW573" i="2"/>
  <c r="AW349" i="2"/>
  <c r="AW1102" i="2"/>
  <c r="AW995" i="2"/>
  <c r="AW909" i="2"/>
  <c r="F190" i="4"/>
  <c r="I190" i="4" s="1"/>
  <c r="J190" i="4" s="1"/>
  <c r="AW1261" i="2"/>
  <c r="AW1260" i="2"/>
  <c r="AW1220" i="2"/>
  <c r="AW1221" i="2"/>
  <c r="AW1185" i="2"/>
  <c r="AW1125" i="2"/>
  <c r="AW1146" i="2"/>
  <c r="AW1134" i="2"/>
  <c r="AW1144" i="2"/>
  <c r="AW1108" i="2"/>
  <c r="AW1076" i="2"/>
  <c r="AW1093" i="2"/>
  <c r="AW1104" i="2"/>
  <c r="AW1028" i="2"/>
  <c r="AW1033" i="2"/>
  <c r="AW1003" i="2"/>
  <c r="AW1022" i="2"/>
  <c r="AW999" i="2"/>
  <c r="AW987" i="2"/>
  <c r="AW984" i="2"/>
  <c r="AW954" i="2"/>
  <c r="AW895" i="2"/>
  <c r="AW901" i="2"/>
  <c r="AW844" i="2"/>
  <c r="AW764" i="2"/>
  <c r="AW805" i="2"/>
  <c r="AW787" i="2"/>
  <c r="AW679" i="2"/>
  <c r="AW503" i="2"/>
  <c r="AW470" i="2"/>
  <c r="AW404" i="2"/>
  <c r="AW294" i="2"/>
  <c r="AW224" i="2"/>
  <c r="AW54" i="2"/>
  <c r="AW972" i="2"/>
  <c r="AW940" i="2"/>
  <c r="AW947" i="2"/>
  <c r="AW885" i="2"/>
  <c r="AW1271" i="2"/>
  <c r="AW1218" i="2"/>
  <c r="AW1115" i="2"/>
  <c r="F27" i="4"/>
  <c r="G27" i="4" s="1"/>
  <c r="G23" i="4"/>
  <c r="F189" i="4" s="1"/>
  <c r="I189" i="4" s="1"/>
  <c r="J189" i="4" s="1"/>
  <c r="AW1204" i="2"/>
  <c r="AW1173" i="2"/>
  <c r="AW1030" i="2"/>
  <c r="AW1019" i="2"/>
  <c r="AW1031" i="2"/>
  <c r="AW986" i="2"/>
  <c r="AW944" i="2"/>
  <c r="AW900" i="2"/>
  <c r="AW845" i="2"/>
  <c r="AW794" i="2"/>
  <c r="AW792" i="2"/>
  <c r="AW769" i="2"/>
  <c r="AW756" i="2"/>
  <c r="AW280" i="2"/>
  <c r="AW267" i="2"/>
  <c r="AW24" i="2"/>
  <c r="AW1059" i="2"/>
  <c r="AW910" i="2"/>
  <c r="AW317" i="2"/>
  <c r="AW1258" i="2"/>
  <c r="AW1237" i="2"/>
  <c r="AW1224" i="2"/>
  <c r="AW1201" i="2"/>
  <c r="AW1188" i="2"/>
  <c r="AW1168" i="2"/>
  <c r="AW1179" i="2"/>
  <c r="AW1154" i="2"/>
  <c r="AW1135" i="2"/>
  <c r="AW1156" i="2"/>
  <c r="AW1136" i="2"/>
  <c r="AW1086" i="2"/>
  <c r="AW1092" i="2"/>
  <c r="AW1073" i="2"/>
  <c r="AW1072" i="2"/>
  <c r="AW1042" i="2"/>
  <c r="AW1017" i="2"/>
  <c r="AW988" i="2"/>
  <c r="AW956" i="2"/>
  <c r="AW934" i="2"/>
  <c r="AW892" i="2"/>
  <c r="AW902" i="2"/>
  <c r="AW884" i="2"/>
  <c r="AW873" i="2"/>
  <c r="AW834" i="2"/>
  <c r="AW861" i="2"/>
  <c r="AW824" i="2"/>
  <c r="AW726" i="2"/>
  <c r="AW718" i="2"/>
  <c r="AW728" i="2"/>
  <c r="AW670" i="2"/>
  <c r="AW683" i="2"/>
  <c r="AW560" i="2"/>
  <c r="AW514" i="2"/>
  <c r="AW469" i="2"/>
  <c r="AW395" i="2"/>
  <c r="AW383" i="2"/>
  <c r="AW458" i="2"/>
  <c r="AW308" i="2"/>
  <c r="AW1026" i="2"/>
  <c r="AW1025" i="2"/>
  <c r="AW981" i="2"/>
  <c r="AW843" i="2"/>
  <c r="AW1264" i="2"/>
  <c r="BE1268" i="2"/>
  <c r="AW1239" i="2"/>
  <c r="AW1242" i="2"/>
  <c r="AW1217" i="2"/>
  <c r="AW1183" i="2"/>
  <c r="AW1167" i="2"/>
  <c r="AW1094" i="2"/>
  <c r="AW1077" i="2"/>
  <c r="AW1066" i="2"/>
  <c r="AW1018" i="2"/>
  <c r="AW1008" i="2"/>
  <c r="AW996" i="2"/>
  <c r="AW1012" i="2"/>
  <c r="AW976" i="2"/>
  <c r="AW952" i="2"/>
  <c r="AW897" i="2"/>
  <c r="AW896" i="2"/>
  <c r="AW874" i="2"/>
  <c r="AW880" i="2"/>
  <c r="AW851" i="2"/>
  <c r="AW848" i="2"/>
  <c r="AW798" i="2"/>
  <c r="AW808" i="2"/>
  <c r="AW559" i="2"/>
  <c r="AW513" i="2"/>
  <c r="AW547" i="2"/>
  <c r="AW425" i="2"/>
  <c r="AW353" i="2"/>
  <c r="AW262" i="2"/>
  <c r="AW962" i="2"/>
  <c r="AW948" i="2"/>
  <c r="AW1199" i="2"/>
  <c r="AW1157" i="2"/>
  <c r="AW1170" i="2"/>
  <c r="AW1130" i="2"/>
  <c r="AW1145" i="2"/>
  <c r="AW1085" i="2"/>
  <c r="AW1078" i="2"/>
  <c r="AW1056" i="2"/>
  <c r="AW1068" i="2"/>
  <c r="AW1011" i="2"/>
  <c r="AW1057" i="2"/>
  <c r="AW963" i="2"/>
  <c r="AW950" i="2"/>
  <c r="AW921" i="2"/>
  <c r="AW890" i="2"/>
  <c r="AW830" i="2"/>
  <c r="AW836" i="2"/>
  <c r="AW828" i="2"/>
  <c r="AW751" i="2"/>
  <c r="AW692" i="2"/>
  <c r="AW521" i="2"/>
  <c r="AW571" i="2"/>
  <c r="AW361" i="2"/>
  <c r="AW1079" i="2"/>
  <c r="AW1228" i="2"/>
  <c r="AW1007" i="2"/>
  <c r="AW854" i="2"/>
  <c r="AW767" i="2"/>
  <c r="AW1128" i="2"/>
  <c r="AW1110" i="2"/>
  <c r="AW800" i="2"/>
  <c r="G34" i="4"/>
  <c r="BE1269" i="2"/>
  <c r="AW1244" i="2"/>
  <c r="AW1232" i="2"/>
  <c r="AW1223" i="2"/>
  <c r="AW1213" i="2"/>
  <c r="AW1194" i="2"/>
  <c r="AW1181" i="2"/>
  <c r="AW1118" i="2"/>
  <c r="AW1081" i="2"/>
  <c r="AW1005" i="2"/>
  <c r="AW957" i="2"/>
  <c r="AW959" i="2"/>
  <c r="AW936" i="2"/>
  <c r="AW929" i="2"/>
  <c r="AW931" i="2"/>
  <c r="AW853" i="2"/>
  <c r="AW797" i="2"/>
  <c r="AW795" i="2"/>
  <c r="AW789" i="2"/>
  <c r="AW702" i="2"/>
  <c r="AW603" i="2"/>
  <c r="AW591" i="2"/>
  <c r="AW428" i="2"/>
  <c r="AW360" i="2"/>
  <c r="AW309" i="2"/>
  <c r="AW1020" i="2"/>
  <c r="AW541" i="2"/>
  <c r="AW1047" i="2"/>
  <c r="AW825" i="2"/>
  <c r="G31" i="4"/>
  <c r="AW1226" i="2"/>
  <c r="AW1177" i="2"/>
  <c r="AW1105" i="2"/>
  <c r="AW1039" i="2"/>
  <c r="AW1058" i="2"/>
  <c r="AW1050" i="2"/>
  <c r="AW1060" i="2"/>
  <c r="AW1038" i="2"/>
  <c r="AW1015" i="2"/>
  <c r="AW1036" i="2"/>
  <c r="AW983" i="2"/>
  <c r="AW938" i="2"/>
  <c r="AW946" i="2"/>
  <c r="AW859" i="2"/>
  <c r="AW879" i="2"/>
  <c r="AW827" i="2"/>
  <c r="AW822" i="2"/>
  <c r="AW835" i="2"/>
  <c r="AW783" i="2"/>
  <c r="AW520" i="2"/>
  <c r="AW418" i="2"/>
  <c r="AW344" i="2"/>
  <c r="AW203" i="2"/>
  <c r="AW1189" i="2"/>
  <c r="AW1240" i="2"/>
  <c r="AW1088" i="2"/>
  <c r="AW774" i="2"/>
  <c r="AW527" i="2"/>
  <c r="AW1272" i="2"/>
  <c r="G33" i="4"/>
  <c r="AW1248" i="2"/>
  <c r="AW1243" i="2"/>
  <c r="AW1231" i="2"/>
  <c r="AW1211" i="2"/>
  <c r="AW1197" i="2"/>
  <c r="AW1205" i="2"/>
  <c r="AW1182" i="2"/>
  <c r="AW1164" i="2"/>
  <c r="AW1147" i="2"/>
  <c r="AW1098" i="2"/>
  <c r="AW1006" i="2"/>
  <c r="AW975" i="2"/>
  <c r="AW916" i="2"/>
  <c r="AW867" i="2"/>
  <c r="AW849" i="2"/>
  <c r="AW781" i="2"/>
  <c r="AW832" i="2"/>
  <c r="AW734" i="2"/>
  <c r="AW801" i="2"/>
  <c r="AW474" i="2"/>
  <c r="AW399" i="2"/>
  <c r="AW191" i="2"/>
  <c r="AW183" i="2"/>
  <c r="AW155" i="2"/>
  <c r="AW73" i="2"/>
  <c r="BF1273" i="2"/>
  <c r="BE1273" i="2"/>
  <c r="AW1273" i="2"/>
  <c r="AW1251" i="2"/>
  <c r="AW1222" i="2"/>
  <c r="AW1225" i="2"/>
  <c r="AW1174" i="2"/>
  <c r="AW1137" i="2"/>
  <c r="AW1127" i="2"/>
  <c r="AW1051" i="2"/>
  <c r="AW1035" i="2"/>
  <c r="AW1034" i="2"/>
  <c r="AW1014" i="2"/>
  <c r="AW1000" i="2"/>
  <c r="AW949" i="2"/>
  <c r="AW945" i="2"/>
  <c r="AW974" i="2"/>
  <c r="AW930" i="2"/>
  <c r="AW951" i="2"/>
  <c r="AW893" i="2"/>
  <c r="AW821" i="2"/>
  <c r="AW829" i="2"/>
  <c r="AW567" i="2"/>
  <c r="AW448" i="2"/>
  <c r="AW153" i="2"/>
  <c r="AW869" i="2"/>
  <c r="AW1263" i="2"/>
  <c r="AW1266" i="2"/>
  <c r="AW1252" i="2"/>
  <c r="AW1209" i="2"/>
  <c r="AW1207" i="2"/>
  <c r="AW1216" i="2"/>
  <c r="AW1193" i="2"/>
  <c r="AW1158" i="2"/>
  <c r="AW1117" i="2"/>
  <c r="AW1065" i="2"/>
  <c r="AW1075" i="2"/>
  <c r="AW1021" i="2"/>
  <c r="AW969" i="2"/>
  <c r="AW943" i="2"/>
  <c r="AW927" i="2"/>
  <c r="AW876" i="2"/>
  <c r="AW877" i="2"/>
  <c r="AW866" i="2"/>
  <c r="AW842" i="2"/>
  <c r="AW838" i="2"/>
  <c r="AW816" i="2"/>
  <c r="AW814" i="2"/>
  <c r="AW840" i="2"/>
  <c r="AW732" i="2"/>
  <c r="AW817" i="2"/>
  <c r="AW627" i="2"/>
  <c r="AW564" i="2"/>
  <c r="AW572" i="2"/>
  <c r="AW252" i="2"/>
  <c r="AW227" i="2"/>
  <c r="AW218" i="2"/>
  <c r="AW192" i="2"/>
  <c r="AW168" i="2"/>
  <c r="AW41" i="2"/>
  <c r="R180" i="4"/>
  <c r="R179" i="4"/>
  <c r="F191" i="4"/>
  <c r="I191" i="4" s="1"/>
  <c r="J191" i="4" s="1"/>
  <c r="J100" i="4"/>
  <c r="J98" i="4"/>
  <c r="J99" i="4"/>
  <c r="AW1254" i="2"/>
  <c r="AW1238" i="2"/>
  <c r="AW1227" i="2"/>
  <c r="AW1178" i="2"/>
  <c r="AW1180" i="2"/>
  <c r="AW1171" i="2"/>
  <c r="AW1160" i="2"/>
  <c r="AW1129" i="2"/>
  <c r="AW1116" i="2"/>
  <c r="AW1089" i="2"/>
  <c r="AW1087" i="2"/>
  <c r="AW1082" i="2"/>
  <c r="AW1040" i="2"/>
  <c r="AW1013" i="2"/>
  <c r="AW967" i="2"/>
  <c r="AW891" i="2"/>
  <c r="AW906" i="2"/>
  <c r="AW858" i="2"/>
  <c r="AW878" i="2"/>
  <c r="AW823" i="2"/>
  <c r="AW862" i="2"/>
  <c r="AW815" i="2"/>
  <c r="AW809" i="2"/>
  <c r="AW687" i="2"/>
  <c r="AW708" i="2"/>
  <c r="AW612" i="2"/>
  <c r="AW642" i="2"/>
  <c r="AW540" i="2"/>
  <c r="AW89" i="2"/>
  <c r="AW773" i="2"/>
  <c r="AW757" i="2"/>
  <c r="AW668" i="2"/>
  <c r="AW597" i="2"/>
  <c r="AW631" i="2"/>
  <c r="AW618" i="2"/>
  <c r="AW534" i="2"/>
  <c r="AW602" i="2"/>
  <c r="AW604" i="2"/>
  <c r="AW558" i="2"/>
  <c r="AW587" i="2"/>
  <c r="AW563" i="2"/>
  <c r="AW525" i="2"/>
  <c r="AW477" i="2"/>
  <c r="AW511" i="2"/>
  <c r="AW460" i="2"/>
  <c r="AW446" i="2"/>
  <c r="AW416" i="2"/>
  <c r="AW434" i="2"/>
  <c r="AW358" i="2"/>
  <c r="AW369" i="2"/>
  <c r="AW326" i="2"/>
  <c r="AW249" i="2"/>
  <c r="AW282" i="2"/>
  <c r="AW217" i="2"/>
  <c r="AW237" i="2"/>
  <c r="AW255" i="2"/>
  <c r="AW222" i="2"/>
  <c r="AW223" i="2"/>
  <c r="AW182" i="2"/>
  <c r="AW94" i="2"/>
  <c r="AW771" i="2"/>
  <c r="AW744" i="2"/>
  <c r="AW763" i="2"/>
  <c r="AW685" i="2"/>
  <c r="AW715" i="2"/>
  <c r="AW739" i="2"/>
  <c r="AW677" i="2"/>
  <c r="AW678" i="2"/>
  <c r="AW666" i="2"/>
  <c r="AW626" i="2"/>
  <c r="AW594" i="2"/>
  <c r="AW705" i="2"/>
  <c r="AW552" i="2"/>
  <c r="AW570" i="2"/>
  <c r="AW557" i="2"/>
  <c r="AW464" i="2"/>
  <c r="AW487" i="2"/>
  <c r="AW512" i="2"/>
  <c r="AW433" i="2"/>
  <c r="AW401" i="2"/>
  <c r="AW426" i="2"/>
  <c r="AW313" i="2"/>
  <c r="AW332" i="2"/>
  <c r="AW315" i="2"/>
  <c r="AW225" i="2"/>
  <c r="AW181" i="2"/>
  <c r="AW93" i="2"/>
  <c r="AW128" i="2"/>
  <c r="AW114" i="2"/>
  <c r="AW676" i="2"/>
  <c r="AW698" i="2"/>
  <c r="AW653" i="2"/>
  <c r="AW582" i="2"/>
  <c r="AW673" i="2"/>
  <c r="AW538" i="2"/>
  <c r="AW406" i="2"/>
  <c r="AW409" i="2"/>
  <c r="AW476" i="2"/>
  <c r="AW431" i="2"/>
  <c r="AW410" i="2"/>
  <c r="AW396" i="2"/>
  <c r="AW407" i="2"/>
  <c r="AW394" i="2"/>
  <c r="AW334" i="2"/>
  <c r="AW278" i="2"/>
  <c r="AW204" i="2"/>
  <c r="AW176" i="2"/>
  <c r="AW162" i="2"/>
  <c r="AW200" i="2"/>
  <c r="AW158" i="2"/>
  <c r="AW101" i="2"/>
  <c r="AW796" i="2"/>
  <c r="AW752" i="2"/>
  <c r="AW768" i="2"/>
  <c r="AW713" i="2"/>
  <c r="AW712" i="2"/>
  <c r="AW680" i="2"/>
  <c r="AW625" i="2"/>
  <c r="AW652" i="2"/>
  <c r="AW682" i="2"/>
  <c r="AW584" i="2"/>
  <c r="AW535" i="2"/>
  <c r="AW569" i="2"/>
  <c r="AW523" i="2"/>
  <c r="AW515" i="2"/>
  <c r="AW519" i="2"/>
  <c r="AW502" i="2"/>
  <c r="AW510" i="2"/>
  <c r="AW284" i="2"/>
  <c r="AW235" i="2"/>
  <c r="AW240" i="2"/>
  <c r="AW175" i="2"/>
  <c r="AW219" i="2"/>
  <c r="AW186" i="2"/>
  <c r="AW98" i="2"/>
  <c r="AW135" i="2"/>
  <c r="AW131" i="2"/>
  <c r="AW52" i="2"/>
  <c r="P183" i="4"/>
  <c r="AW772" i="2"/>
  <c r="AW786" i="2"/>
  <c r="AW766" i="2"/>
  <c r="AW799" i="2"/>
  <c r="AW700" i="2"/>
  <c r="AW663" i="2"/>
  <c r="AW657" i="2"/>
  <c r="AW716" i="2"/>
  <c r="AW615" i="2"/>
  <c r="AW686" i="2"/>
  <c r="AW543" i="2"/>
  <c r="AW556" i="2"/>
  <c r="AW490" i="2"/>
  <c r="AW509" i="2"/>
  <c r="AW524" i="2"/>
  <c r="AW466" i="2"/>
  <c r="AW393" i="2"/>
  <c r="AW355" i="2"/>
  <c r="AW375" i="2"/>
  <c r="AW376" i="2"/>
  <c r="AW206" i="2"/>
  <c r="AW239" i="2"/>
  <c r="AW221" i="2"/>
  <c r="AW236" i="2"/>
  <c r="AW171" i="2"/>
  <c r="AW97" i="2"/>
  <c r="AW51" i="2"/>
  <c r="AW730" i="2"/>
  <c r="AW629" i="2"/>
  <c r="AW654" i="2"/>
  <c r="AW637" i="2"/>
  <c r="AW555" i="2"/>
  <c r="AW440" i="2"/>
  <c r="AW364" i="2"/>
  <c r="AW336" i="2"/>
  <c r="AW310" i="2"/>
  <c r="AW403" i="2"/>
  <c r="AW251" i="2"/>
  <c r="AW321" i="2"/>
  <c r="AW205" i="2"/>
  <c r="AW342" i="2"/>
  <c r="AW174" i="2"/>
  <c r="AW261" i="2"/>
  <c r="AW210" i="2"/>
  <c r="AW150" i="2"/>
  <c r="AW184" i="2"/>
  <c r="AW169" i="2"/>
  <c r="AW126" i="2"/>
  <c r="AW152" i="2"/>
  <c r="AW121" i="2"/>
  <c r="AW64" i="2"/>
  <c r="AW729" i="2"/>
  <c r="AW765" i="2"/>
  <c r="AW727" i="2"/>
  <c r="AW695" i="2"/>
  <c r="AW650" i="2"/>
  <c r="AW755" i="2"/>
  <c r="AW648" i="2"/>
  <c r="AW636" i="2"/>
  <c r="AW664" i="2"/>
  <c r="AW600" i="2"/>
  <c r="AW645" i="2"/>
  <c r="AW542" i="2"/>
  <c r="AW599" i="2"/>
  <c r="AW536" i="2"/>
  <c r="AW497" i="2"/>
  <c r="AW553" i="2"/>
  <c r="AW483" i="2"/>
  <c r="AW486" i="2"/>
  <c r="AW456" i="2"/>
  <c r="AW432" i="2"/>
  <c r="AW449" i="2"/>
  <c r="AW384" i="2"/>
  <c r="AW374" i="2"/>
  <c r="AW346" i="2"/>
  <c r="AW298" i="2"/>
  <c r="AW283" i="2"/>
  <c r="AW256" i="2"/>
  <c r="AW292" i="2"/>
  <c r="AW387" i="2"/>
  <c r="AW149" i="2"/>
  <c r="AW125" i="2"/>
  <c r="AW144" i="2"/>
  <c r="AW112" i="2"/>
  <c r="AW160" i="2"/>
  <c r="AW104" i="2"/>
  <c r="AW661" i="2"/>
  <c r="AW742" i="2"/>
  <c r="AW725" i="2"/>
  <c r="AW634" i="2"/>
  <c r="AW554" i="2"/>
  <c r="AW630" i="2"/>
  <c r="AW575" i="2"/>
  <c r="AW576" i="2"/>
  <c r="AW579" i="2"/>
  <c r="AW516" i="2"/>
  <c r="AW595" i="2"/>
  <c r="AW447" i="2"/>
  <c r="AW457" i="2"/>
  <c r="AW411" i="2"/>
  <c r="AW398" i="2"/>
  <c r="AW339" i="2"/>
  <c r="AW312" i="2"/>
  <c r="AW266" i="2"/>
  <c r="AW232" i="2"/>
  <c r="AW272" i="2"/>
  <c r="AW264" i="2"/>
  <c r="AW296" i="2"/>
  <c r="AW270" i="2"/>
  <c r="AW254" i="2"/>
  <c r="AW244" i="2"/>
  <c r="AW250" i="2"/>
  <c r="AW201" i="2"/>
  <c r="AW154" i="2"/>
  <c r="AW733" i="2"/>
  <c r="AW753" i="2"/>
  <c r="AW745" i="2"/>
  <c r="AW770" i="2"/>
  <c r="AW669" i="2"/>
  <c r="AW693" i="2"/>
  <c r="AW660" i="2"/>
  <c r="AW723" i="2"/>
  <c r="AW696" i="2"/>
  <c r="AW665" i="2"/>
  <c r="AW574" i="2"/>
  <c r="AW577" i="2"/>
  <c r="AW545" i="2"/>
  <c r="AW484" i="2"/>
  <c r="AW444" i="2"/>
  <c r="AW430" i="2"/>
  <c r="AW443" i="2"/>
  <c r="AW400" i="2"/>
  <c r="AW419" i="2"/>
  <c r="AW359" i="2"/>
  <c r="AW209" i="2"/>
  <c r="AW285" i="2"/>
  <c r="AW214" i="2"/>
  <c r="AW415" i="2"/>
  <c r="AW417" i="2"/>
  <c r="AW368" i="2"/>
  <c r="AW465" i="2"/>
  <c r="AW405" i="2"/>
  <c r="AW327" i="2"/>
  <c r="AW306" i="2"/>
  <c r="AW340" i="2"/>
  <c r="AW297" i="2"/>
  <c r="AW234" i="2"/>
  <c r="AW238" i="2"/>
  <c r="AW271" i="2"/>
  <c r="AW242" i="2"/>
  <c r="AW197" i="2"/>
  <c r="AW143" i="2"/>
  <c r="AW123" i="2"/>
  <c r="Q189" i="4"/>
  <c r="Q188" i="4"/>
  <c r="AW684" i="2"/>
  <c r="AW701" i="2"/>
  <c r="AW694" i="2"/>
  <c r="AW709" i="2"/>
  <c r="AW671" i="2"/>
  <c r="AW609" i="2"/>
  <c r="AW662" i="2"/>
  <c r="AW635" i="2"/>
  <c r="AW546" i="2"/>
  <c r="AW473" i="2"/>
  <c r="AW544" i="2"/>
  <c r="AW480" i="2"/>
  <c r="AW389" i="2"/>
  <c r="AW305" i="2"/>
  <c r="AW338" i="2"/>
  <c r="AW377" i="2"/>
  <c r="AW322" i="2"/>
  <c r="AW365" i="2"/>
  <c r="AW316" i="2"/>
  <c r="AW265" i="2"/>
  <c r="AW385" i="2"/>
  <c r="AW196" i="2"/>
  <c r="AW208" i="2"/>
  <c r="AW110" i="2"/>
  <c r="AW122" i="2"/>
  <c r="AW90" i="2"/>
  <c r="S179" i="4"/>
  <c r="S180" i="4"/>
  <c r="AW9" i="2"/>
  <c r="AW741" i="2"/>
  <c r="AW722" i="2"/>
  <c r="AW610" i="2"/>
  <c r="AW611" i="2"/>
  <c r="AW613" i="2"/>
  <c r="AW537" i="2"/>
  <c r="AW717" i="2"/>
  <c r="AW581" i="2"/>
  <c r="AW539" i="2"/>
  <c r="AW522" i="2"/>
  <c r="AW441" i="2"/>
  <c r="AW496" i="2"/>
  <c r="AW442" i="2"/>
  <c r="AW427" i="2"/>
  <c r="AW402" i="2"/>
  <c r="AW330" i="2"/>
  <c r="AW337" i="2"/>
  <c r="AW314" i="2"/>
  <c r="AW299" i="2"/>
  <c r="AW260" i="2"/>
  <c r="AW216" i="2"/>
  <c r="AW259" i="2"/>
  <c r="AW207" i="2"/>
  <c r="AW166" i="2"/>
  <c r="AW185" i="2"/>
  <c r="AW109" i="2"/>
  <c r="AW96" i="2"/>
  <c r="T188" i="4"/>
  <c r="AW811" i="2"/>
  <c r="AW793" i="2"/>
  <c r="AW749" i="2"/>
  <c r="AW748" i="2"/>
  <c r="AW724" i="2"/>
  <c r="AW641" i="2"/>
  <c r="AW633" i="2"/>
  <c r="AW681" i="2"/>
  <c r="AW568" i="2"/>
  <c r="AW580" i="2"/>
  <c r="AW614" i="2"/>
  <c r="AW583" i="2"/>
  <c r="AW493" i="2"/>
  <c r="AW548" i="2"/>
  <c r="AW481" i="2"/>
  <c r="AW492" i="2"/>
  <c r="AW463" i="2"/>
  <c r="AW414" i="2"/>
  <c r="AW452" i="2"/>
  <c r="AW290" i="2"/>
  <c r="AW343" i="2"/>
  <c r="AW233" i="2"/>
  <c r="AW279" i="2"/>
  <c r="AW263" i="2"/>
  <c r="AW268" i="2"/>
  <c r="AW165" i="2"/>
  <c r="AW139" i="2"/>
  <c r="AW738" i="2"/>
  <c r="AW743" i="2"/>
  <c r="AW714" i="2"/>
  <c r="AW689" i="2"/>
  <c r="AW619" i="2"/>
  <c r="AW598" i="2"/>
  <c r="AW588" i="2"/>
  <c r="AW506" i="2"/>
  <c r="AW508" i="2"/>
  <c r="AW499" i="2"/>
  <c r="AW500" i="2"/>
  <c r="AW352" i="2"/>
  <c r="AW371" i="2"/>
  <c r="AW412" i="2"/>
  <c r="AW289" i="2"/>
  <c r="AW367" i="2"/>
  <c r="AW281" i="2"/>
  <c r="AW257" i="2"/>
  <c r="AW351" i="2"/>
  <c r="AW190" i="2"/>
  <c r="AW193" i="2"/>
  <c r="AW178" i="2"/>
  <c r="AW253" i="2"/>
  <c r="AW220" i="2"/>
  <c r="AW241" i="2"/>
  <c r="AW170" i="2"/>
  <c r="AW187" i="2"/>
  <c r="AW151" i="2"/>
  <c r="AW42" i="2"/>
  <c r="AW113" i="2"/>
  <c r="AW44" i="2"/>
  <c r="AW83" i="2"/>
  <c r="AW49" i="2"/>
  <c r="AW72" i="2"/>
  <c r="AW86" i="2"/>
  <c r="AW71" i="2"/>
  <c r="AW91" i="2"/>
  <c r="S189" i="4"/>
  <c r="AW132" i="2"/>
  <c r="P179" i="4"/>
  <c r="P180" i="4"/>
  <c r="S188" i="4"/>
  <c r="AW103" i="2"/>
  <c r="AW163" i="2"/>
  <c r="AW115" i="2"/>
  <c r="AW35" i="2"/>
  <c r="AW28" i="2"/>
  <c r="T189" i="4"/>
  <c r="T180" i="4"/>
  <c r="T179" i="4"/>
  <c r="K32" i="1"/>
  <c r="AW105" i="2"/>
  <c r="AW74" i="2"/>
  <c r="AW61" i="2"/>
  <c r="AW75" i="2"/>
  <c r="AW22" i="2"/>
  <c r="P188" i="4"/>
  <c r="K188" i="4" s="1" a="1"/>
  <c r="P189" i="4"/>
  <c r="AW10" i="2"/>
  <c r="AW179" i="2"/>
  <c r="AW102" i="2"/>
  <c r="AW120" i="2"/>
  <c r="AW69" i="2"/>
  <c r="AW137" i="2"/>
  <c r="AW60" i="2"/>
  <c r="AW27" i="2"/>
  <c r="R189" i="4"/>
  <c r="R188" i="4"/>
  <c r="R182" i="4"/>
  <c r="AW138" i="2"/>
  <c r="AW65" i="2"/>
  <c r="AW26" i="2"/>
  <c r="AW63" i="2"/>
  <c r="R183" i="4"/>
  <c r="P182" i="4"/>
  <c r="AW117" i="2"/>
  <c r="AW99" i="2"/>
  <c r="AW88" i="2"/>
  <c r="AW80" i="2"/>
  <c r="AW59" i="2"/>
  <c r="AW47" i="2"/>
  <c r="AW25" i="2"/>
  <c r="AW56" i="2"/>
  <c r="AW20" i="2"/>
  <c r="AW119" i="2"/>
  <c r="AW142" i="2"/>
  <c r="AW106" i="2"/>
  <c r="AW17" i="2"/>
  <c r="S182" i="4"/>
  <c r="AW55" i="2"/>
  <c r="AW40" i="2"/>
  <c r="AW159" i="2"/>
  <c r="AW57" i="2"/>
  <c r="AW87" i="2"/>
  <c r="AW85" i="2"/>
  <c r="AW68" i="2"/>
  <c r="AW38" i="2"/>
  <c r="T183" i="4"/>
  <c r="T182" i="4"/>
  <c r="AW12" i="2"/>
  <c r="S183" i="4"/>
  <c r="AW147" i="2"/>
  <c r="AW140" i="2"/>
  <c r="AW11" i="2"/>
  <c r="AW29" i="2"/>
  <c r="AW15" i="2"/>
  <c r="AW118" i="2"/>
  <c r="AW79" i="2"/>
  <c r="AW146" i="2"/>
  <c r="AW43" i="2"/>
  <c r="AW45" i="2"/>
  <c r="AW50" i="2"/>
  <c r="AW66" i="2"/>
  <c r="AW36" i="2"/>
  <c r="J97" i="4" l="1"/>
  <c r="J96" i="4"/>
  <c r="N32" i="1"/>
  <c r="L188" i="4" a="1"/>
  <c r="K190" i="4"/>
  <c r="K189" i="4"/>
  <c r="K188" i="4"/>
  <c r="K192" i="4"/>
  <c r="K191" i="4"/>
  <c r="Q182" i="4"/>
  <c r="Q183" i="4"/>
  <c r="L99" i="4"/>
  <c r="K99" i="4"/>
  <c r="K98" i="4"/>
  <c r="L98" i="4"/>
  <c r="L100" i="4"/>
  <c r="K100" i="4"/>
  <c r="F38" i="4"/>
  <c r="K38" i="4" s="1"/>
  <c r="L95" i="4"/>
  <c r="K95" i="4"/>
  <c r="Q180" i="4"/>
  <c r="L179" i="4" s="1" a="1"/>
  <c r="Q179" i="4"/>
  <c r="K179" i="4" s="1" a="1"/>
  <c r="J188" i="4"/>
  <c r="AQ1" i="2" a="1"/>
  <c r="K181" i="4" l="1"/>
  <c r="K182" i="4"/>
  <c r="K180" i="4"/>
  <c r="K179" i="4"/>
  <c r="K183" i="4"/>
  <c r="L183" i="4"/>
  <c r="L180" i="4"/>
  <c r="L182" i="4"/>
  <c r="L181" i="4"/>
  <c r="L179" i="4"/>
  <c r="K96" i="4"/>
  <c r="L96" i="4"/>
  <c r="L97" i="4"/>
  <c r="K97" i="4"/>
  <c r="AT1259" i="2"/>
  <c r="AT1102" i="2"/>
  <c r="AT899" i="2"/>
  <c r="AT608" i="2"/>
  <c r="AT496" i="2"/>
  <c r="AT214" i="2"/>
  <c r="AT44" i="2"/>
  <c r="AT113" i="2"/>
  <c r="AT184" i="2"/>
  <c r="AT125" i="2"/>
  <c r="AT145" i="2"/>
  <c r="AT87" i="2"/>
  <c r="AT150" i="2"/>
  <c r="AT33" i="2"/>
  <c r="AT485" i="2"/>
  <c r="AT748" i="2"/>
  <c r="AT439" i="2"/>
  <c r="AT379" i="2"/>
  <c r="AT677" i="2"/>
  <c r="AT392" i="2"/>
  <c r="AT774" i="2"/>
  <c r="AT408" i="2"/>
  <c r="AT330" i="2"/>
  <c r="AT555" i="2"/>
  <c r="AT264" i="2"/>
  <c r="AT431" i="2"/>
  <c r="AT759" i="2"/>
  <c r="AT617" i="2"/>
  <c r="AT355" i="2"/>
  <c r="AT775" i="2"/>
  <c r="AT584" i="2"/>
  <c r="AT387" i="2"/>
  <c r="AT730" i="2"/>
  <c r="AT420" i="2"/>
  <c r="AT287" i="2"/>
  <c r="AT501" i="2"/>
  <c r="AT318" i="2"/>
  <c r="AT659" i="2"/>
  <c r="AT1062" i="2"/>
  <c r="AT1167" i="2"/>
  <c r="AT1141" i="2"/>
  <c r="AT1004" i="2"/>
  <c r="AT920" i="2"/>
  <c r="AT308" i="2"/>
  <c r="AT845" i="2"/>
  <c r="AT1022" i="2"/>
  <c r="AT981" i="2"/>
  <c r="AT869" i="2"/>
  <c r="AT1148" i="2"/>
  <c r="AT508" i="2"/>
  <c r="AT1236" i="2"/>
  <c r="AT970" i="2"/>
  <c r="AT42" i="2"/>
  <c r="AT1084" i="2"/>
  <c r="AT859" i="2"/>
  <c r="AT374" i="2"/>
  <c r="AT1156" i="2"/>
  <c r="AT538" i="2"/>
  <c r="AT1092" i="2"/>
  <c r="AT575" i="2"/>
  <c r="AT735" i="2"/>
  <c r="AT16" i="2"/>
  <c r="AT1160" i="2"/>
  <c r="AT391" i="2"/>
  <c r="AT1037" i="2"/>
  <c r="AT271" i="2"/>
  <c r="AT54" i="2"/>
  <c r="AT171" i="2"/>
  <c r="AT527" i="2"/>
  <c r="AT778" i="2"/>
  <c r="AT961" i="2"/>
  <c r="AT1076" i="2"/>
  <c r="AT1009" i="2"/>
  <c r="AT607" i="2"/>
  <c r="AT117" i="2"/>
  <c r="AT14" i="2"/>
  <c r="AT463" i="2"/>
  <c r="AT728" i="2"/>
  <c r="AT109" i="2"/>
  <c r="AU1257" i="2"/>
  <c r="AU1040" i="2"/>
  <c r="AU745" i="2"/>
  <c r="AU66" i="2"/>
  <c r="AU18" i="2"/>
  <c r="AU31" i="2"/>
  <c r="AU23" i="2"/>
  <c r="AU183" i="2"/>
  <c r="AU169" i="2"/>
  <c r="AU457" i="2"/>
  <c r="AU218" i="2"/>
  <c r="AU515" i="2"/>
  <c r="AU575" i="2"/>
  <c r="AU330" i="2"/>
  <c r="AU241" i="2"/>
  <c r="AU441" i="2"/>
  <c r="AU237" i="2"/>
  <c r="AU208" i="2"/>
  <c r="AU773" i="2"/>
  <c r="AU163" i="2"/>
  <c r="AU474" i="2"/>
  <c r="AU239" i="2"/>
  <c r="AU780" i="2"/>
  <c r="AU513" i="2"/>
  <c r="AU327" i="2"/>
  <c r="AU696" i="2"/>
  <c r="AU426" i="2"/>
  <c r="AU800" i="2"/>
  <c r="AU729" i="2"/>
  <c r="AU632" i="2"/>
  <c r="AU512" i="2"/>
  <c r="AU1179" i="2"/>
  <c r="AU961" i="2"/>
  <c r="AU254" i="2"/>
  <c r="AU953" i="2"/>
  <c r="AU1062" i="2"/>
  <c r="AU987" i="2"/>
  <c r="AU430" i="2"/>
  <c r="AU1188" i="2"/>
  <c r="AU1222" i="2"/>
  <c r="AU293" i="2"/>
  <c r="AU1186" i="2"/>
  <c r="AU851" i="2"/>
  <c r="AU1076" i="2"/>
  <c r="AU458" i="2"/>
  <c r="AU1236" i="2"/>
  <c r="AU670" i="2"/>
  <c r="AU647" i="2"/>
  <c r="AU758" i="2"/>
  <c r="AU952" i="2"/>
  <c r="AU251" i="2"/>
  <c r="AU691" i="2"/>
  <c r="AU1212" i="2"/>
  <c r="AU470" i="2"/>
  <c r="AU805" i="2"/>
  <c r="AU770" i="2"/>
  <c r="AU1027" i="2"/>
  <c r="AU1138" i="2"/>
  <c r="AU179" i="2"/>
  <c r="AU1172" i="2"/>
  <c r="AU420" i="2"/>
  <c r="AU1207" i="2"/>
  <c r="AU228" i="2"/>
  <c r="AU879" i="2"/>
  <c r="AU1240" i="2"/>
  <c r="AU204" i="2"/>
  <c r="AU583" i="2"/>
  <c r="AU840" i="2"/>
  <c r="AU325" i="2"/>
  <c r="AU399" i="2"/>
  <c r="AU303" i="2"/>
  <c r="AU360" i="2"/>
  <c r="AU732" i="2"/>
  <c r="AU1171" i="2"/>
  <c r="AU635" i="2"/>
  <c r="AU438" i="2"/>
  <c r="AU585" i="2"/>
  <c r="AU141" i="2"/>
  <c r="AU649" i="2"/>
  <c r="AQ1273" i="2"/>
  <c r="AQ204" i="2"/>
  <c r="AQ53" i="2"/>
  <c r="AQ115" i="2"/>
  <c r="AQ26" i="2"/>
  <c r="AQ14" i="2"/>
  <c r="AQ288" i="2"/>
  <c r="AQ344" i="2"/>
  <c r="AQ761" i="2"/>
  <c r="AQ693" i="2"/>
  <c r="AQ757" i="2"/>
  <c r="AQ246" i="2"/>
  <c r="AQ781" i="2"/>
  <c r="AQ669" i="2"/>
  <c r="AQ171" i="2"/>
  <c r="AQ155" i="2"/>
  <c r="AQ258" i="2"/>
  <c r="AQ267" i="2"/>
  <c r="AQ270" i="2"/>
  <c r="AQ792" i="2"/>
  <c r="AQ567" i="2"/>
  <c r="AQ1051" i="2"/>
  <c r="AQ1165" i="2"/>
  <c r="AQ1198" i="2"/>
  <c r="AQ1000" i="2"/>
  <c r="AQ854" i="2"/>
  <c r="AQ994" i="2"/>
  <c r="AQ858" i="2"/>
  <c r="AQ1093" i="2"/>
  <c r="AQ881" i="2"/>
  <c r="AQ700" i="2"/>
  <c r="AQ1061" i="2"/>
  <c r="AQ1208" i="2"/>
  <c r="AQ627" i="2"/>
  <c r="AQ216" i="2"/>
  <c r="AQ1076" i="2"/>
  <c r="AQ1210" i="2"/>
  <c r="AQ1221" i="2"/>
  <c r="AQ888" i="2"/>
  <c r="AQ467" i="2"/>
  <c r="AQ786" i="2"/>
  <c r="AQ628" i="2"/>
  <c r="AQ1225" i="2"/>
  <c r="AQ480" i="2"/>
  <c r="AQ1219" i="2"/>
  <c r="AQ1246" i="2"/>
  <c r="AQ457" i="2"/>
  <c r="AQ1073" i="2"/>
  <c r="AQ1106" i="2"/>
  <c r="AQ459" i="2"/>
  <c r="AQ857" i="2"/>
  <c r="AQ1215" i="2"/>
  <c r="AQ168" i="2"/>
  <c r="AQ1240" i="2"/>
  <c r="AQ98" i="2"/>
  <c r="AQ472" i="2"/>
  <c r="AQ753" i="2"/>
  <c r="AQ1060" i="2"/>
  <c r="AQ758" i="2"/>
  <c r="AQ1201" i="2"/>
  <c r="AQ1092" i="2"/>
  <c r="AQ560" i="2"/>
  <c r="AQ876" i="2"/>
  <c r="AQ538" i="2"/>
  <c r="AQ811" i="2"/>
  <c r="AQ814" i="2"/>
  <c r="AQ725" i="2"/>
  <c r="AQ10" i="2"/>
  <c r="AQ31" i="2"/>
  <c r="AQ749" i="2"/>
  <c r="AQ514" i="2"/>
  <c r="AQ432" i="2"/>
  <c r="AQ958" i="2"/>
  <c r="AQ52" i="2"/>
  <c r="AQ77" i="2"/>
  <c r="AQ70" i="2"/>
  <c r="AQ65" i="2"/>
  <c r="AQ557" i="2"/>
  <c r="AQ281" i="2"/>
  <c r="AQ32" i="2"/>
  <c r="AS1" i="2"/>
  <c r="AU1" i="2"/>
  <c r="AR1" i="2"/>
  <c r="AQ1" i="2"/>
  <c r="AT1" i="2"/>
  <c r="AR767" i="2"/>
  <c r="AR73" i="2"/>
  <c r="AR61" i="2"/>
  <c r="AR31" i="2"/>
  <c r="AR177" i="2"/>
  <c r="AR241" i="2"/>
  <c r="AR785" i="2"/>
  <c r="AR169" i="2"/>
  <c r="AR307" i="2"/>
  <c r="AR584" i="2"/>
  <c r="AR205" i="2"/>
  <c r="AR565" i="2"/>
  <c r="AR77" i="2"/>
  <c r="AR695" i="2"/>
  <c r="AR636" i="2"/>
  <c r="AR731" i="2"/>
  <c r="AR570" i="2"/>
  <c r="AR504" i="2"/>
  <c r="AR521" i="2"/>
  <c r="AR546" i="2"/>
  <c r="AR1174" i="2"/>
  <c r="AR744" i="2"/>
  <c r="AR816" i="2"/>
  <c r="AR735" i="2"/>
  <c r="AR1253" i="2"/>
  <c r="AR258" i="2"/>
  <c r="AR541" i="2"/>
  <c r="AR1018" i="2"/>
  <c r="AR641" i="2"/>
  <c r="AR967" i="2"/>
  <c r="AR869" i="2"/>
  <c r="AR1073" i="2"/>
  <c r="AR1240" i="2"/>
  <c r="AR894" i="2"/>
  <c r="AR443" i="2"/>
  <c r="AR1088" i="2"/>
  <c r="AR430" i="2"/>
  <c r="AR834" i="2"/>
  <c r="AR1112" i="2"/>
  <c r="AR502" i="2"/>
  <c r="AR343" i="2"/>
  <c r="AR548" i="2"/>
  <c r="AR1191" i="2"/>
  <c r="AR429" i="2"/>
  <c r="AR906" i="2"/>
  <c r="AR1213" i="2"/>
  <c r="AR1062" i="2"/>
  <c r="AR314" i="2"/>
  <c r="AR560" i="2"/>
  <c r="AR951" i="2"/>
  <c r="AR294" i="2"/>
  <c r="AR969" i="2"/>
  <c r="AR1193" i="2"/>
  <c r="AR650" i="2"/>
  <c r="AR1105" i="2"/>
  <c r="AR9" i="2"/>
  <c r="AR1147" i="2"/>
  <c r="AR494" i="2"/>
  <c r="AR1227" i="2"/>
  <c r="AR1157" i="2"/>
  <c r="AR1041" i="2"/>
  <c r="AR925" i="2"/>
  <c r="AR996" i="2"/>
  <c r="AR1083" i="2"/>
  <c r="AR640" i="2"/>
  <c r="AR1201" i="2"/>
  <c r="AR415" i="2"/>
  <c r="AR934" i="2"/>
  <c r="AR102" i="2"/>
  <c r="AR179" i="2"/>
  <c r="AR385" i="2"/>
  <c r="AR337" i="2"/>
  <c r="AR246" i="2"/>
  <c r="AR64" i="2"/>
  <c r="AR726" i="2"/>
  <c r="AR632" i="2"/>
  <c r="AR466" i="2"/>
  <c r="AR581" i="2"/>
  <c r="AR748" i="2"/>
  <c r="AS1066" i="2"/>
  <c r="AS814" i="2"/>
  <c r="AS516" i="2"/>
  <c r="AS240" i="2"/>
  <c r="AS17" i="2"/>
  <c r="AS140" i="2"/>
  <c r="AS177" i="2"/>
  <c r="AS65" i="2"/>
  <c r="AS104" i="2"/>
  <c r="AS267" i="2"/>
  <c r="AS748" i="2"/>
  <c r="AS622" i="2"/>
  <c r="AS371" i="2"/>
  <c r="AS724" i="2"/>
  <c r="AS503" i="2"/>
  <c r="AS190" i="2"/>
  <c r="AS234" i="2"/>
  <c r="AS693" i="2"/>
  <c r="AS620" i="2"/>
  <c r="AS556" i="2"/>
  <c r="AS323" i="2"/>
  <c r="AS784" i="2"/>
  <c r="AS507" i="2"/>
  <c r="AS327" i="2"/>
  <c r="AS827" i="2"/>
  <c r="AS514" i="2"/>
  <c r="AS842" i="2"/>
  <c r="AS768" i="2"/>
  <c r="AS450" i="2"/>
  <c r="AS825" i="2"/>
  <c r="AS549" i="2"/>
  <c r="AS855" i="2"/>
  <c r="AS1189" i="2"/>
  <c r="AS1134" i="2"/>
  <c r="AS973" i="2"/>
  <c r="AS249" i="2"/>
  <c r="AS852" i="2"/>
  <c r="AS1183" i="2"/>
  <c r="AS1260" i="2"/>
  <c r="AS494" i="2"/>
  <c r="AS1084" i="2"/>
  <c r="AS932" i="2"/>
  <c r="AS707" i="2"/>
  <c r="AS1228" i="2"/>
  <c r="AS650" i="2"/>
  <c r="AS977" i="2"/>
  <c r="AS581" i="2"/>
  <c r="AS1046" i="2"/>
  <c r="AS389" i="2"/>
  <c r="AS944" i="2"/>
  <c r="AS1192" i="2"/>
  <c r="AS848" i="2"/>
  <c r="AS1029" i="2"/>
  <c r="AS152" i="2"/>
  <c r="AS1119" i="2"/>
  <c r="AS1092" i="2"/>
  <c r="AS142" i="2"/>
  <c r="AS984" i="2"/>
  <c r="AS1008" i="2"/>
  <c r="AS830" i="2"/>
  <c r="AS726" i="2"/>
  <c r="AS836" i="2"/>
  <c r="AS1050" i="2"/>
  <c r="AS1005" i="2"/>
  <c r="AS952" i="2"/>
  <c r="AS1070" i="2"/>
  <c r="AS590" i="2"/>
  <c r="AS879" i="2"/>
  <c r="AS398" i="2"/>
  <c r="AS782" i="2"/>
  <c r="AS124" i="2"/>
  <c r="AS81" i="2"/>
  <c r="AS58" i="2"/>
  <c r="AS626" i="2"/>
  <c r="AS133" i="2"/>
  <c r="AS212" i="2"/>
  <c r="AS513" i="2"/>
  <c r="AS71" i="2"/>
  <c r="AS272" i="2"/>
  <c r="AS191" i="2"/>
  <c r="L192" i="4"/>
  <c r="AU1248" i="2" s="1"/>
  <c r="L189" i="4"/>
  <c r="AR344" i="2" s="1"/>
  <c r="L191" i="4"/>
  <c r="AT1273" i="2" s="1"/>
  <c r="L190" i="4"/>
  <c r="AS1273" i="2" s="1"/>
  <c r="L188" i="4"/>
  <c r="AQ1268" i="2" s="1"/>
  <c r="Q32" i="1"/>
  <c r="F179" i="4"/>
  <c r="I179" i="4" s="1"/>
  <c r="AJ1" i="2" s="1" a="1"/>
  <c r="F81" i="4"/>
  <c r="F78" i="4"/>
  <c r="F82" i="4"/>
  <c r="F80" i="4"/>
  <c r="F79" i="4"/>
  <c r="F183" i="4"/>
  <c r="I183" i="4" s="1"/>
  <c r="J183" i="4" s="1"/>
  <c r="G22" i="1" s="1"/>
  <c r="F181" i="4"/>
  <c r="I181" i="4" s="1"/>
  <c r="F182" i="4"/>
  <c r="I182" i="4" s="1"/>
  <c r="J182" i="4" s="1"/>
  <c r="G21" i="1" s="1"/>
  <c r="F55" i="4"/>
  <c r="G55" i="4"/>
  <c r="D22" i="1" s="1"/>
  <c r="AS324" i="2" l="1"/>
  <c r="AS755" i="2"/>
  <c r="AS338" i="2"/>
  <c r="AS631" i="2"/>
  <c r="AS766" i="2"/>
  <c r="AS539" i="2"/>
  <c r="AS457" i="2"/>
  <c r="AS20" i="2"/>
  <c r="AS180" i="2"/>
  <c r="AS557" i="2"/>
  <c r="AS476" i="2"/>
  <c r="AS524" i="2"/>
  <c r="AS340" i="2"/>
  <c r="AS1144" i="2"/>
  <c r="AS725" i="2"/>
  <c r="AS843" i="2"/>
  <c r="AG843" i="2" s="1"/>
  <c r="U843" i="2" s="1"/>
  <c r="AS1150" i="2"/>
  <c r="AS987" i="2"/>
  <c r="AS866" i="2"/>
  <c r="AS816" i="2"/>
  <c r="AS849" i="2"/>
  <c r="AS1159" i="2"/>
  <c r="AS596" i="2"/>
  <c r="AS469" i="2"/>
  <c r="AS1199" i="2"/>
  <c r="AS928" i="2"/>
  <c r="AS980" i="2"/>
  <c r="AS1258" i="2"/>
  <c r="AS799" i="2"/>
  <c r="AS344" i="2"/>
  <c r="AS228" i="2"/>
  <c r="AS982" i="2"/>
  <c r="AG982" i="2" s="1"/>
  <c r="U982" i="2" s="1"/>
  <c r="AS653" i="2"/>
  <c r="AS1109" i="2"/>
  <c r="AS529" i="2"/>
  <c r="AS1178" i="2"/>
  <c r="AS643" i="2"/>
  <c r="AS949" i="2"/>
  <c r="AS1076" i="2"/>
  <c r="AS1032" i="2"/>
  <c r="AS1265" i="2"/>
  <c r="AS1161" i="2"/>
  <c r="AS815" i="2"/>
  <c r="AS1153" i="2"/>
  <c r="AS916" i="2"/>
  <c r="AS1097" i="2"/>
  <c r="AS1125" i="2"/>
  <c r="AS851" i="2"/>
  <c r="AG851" i="2" s="1"/>
  <c r="U851" i="2" s="1"/>
  <c r="AS325" i="2"/>
  <c r="AS841" i="2"/>
  <c r="AS415" i="2"/>
  <c r="AS687" i="2"/>
  <c r="AS822" i="2"/>
  <c r="AS423" i="2"/>
  <c r="AS740" i="2"/>
  <c r="AS383" i="2"/>
  <c r="AS484" i="2"/>
  <c r="AS719" i="2"/>
  <c r="AS277" i="2"/>
  <c r="AS402" i="2"/>
  <c r="AS595" i="2"/>
  <c r="AS684" i="2"/>
  <c r="AS252" i="2"/>
  <c r="AS187" i="2"/>
  <c r="AG187" i="2" s="1"/>
  <c r="U187" i="2" s="1"/>
  <c r="AS474" i="2"/>
  <c r="AS732" i="2"/>
  <c r="AS359" i="2"/>
  <c r="AS640" i="2"/>
  <c r="AS763" i="2"/>
  <c r="AS315" i="2"/>
  <c r="AS33" i="2"/>
  <c r="AS61" i="2"/>
  <c r="AS141" i="2"/>
  <c r="AS143" i="2"/>
  <c r="AS194" i="2"/>
  <c r="AS239" i="2"/>
  <c r="AS528" i="2"/>
  <c r="AS833" i="2"/>
  <c r="AS1055" i="2"/>
  <c r="AR489" i="2"/>
  <c r="AF489" i="2" s="1"/>
  <c r="T489" i="2" s="1"/>
  <c r="AR25" i="2"/>
  <c r="AR1037" i="2"/>
  <c r="AR1272" i="2"/>
  <c r="AR983" i="2"/>
  <c r="AR592" i="2"/>
  <c r="AR904" i="2"/>
  <c r="AR364" i="2"/>
  <c r="AR481" i="2"/>
  <c r="AR74" i="2"/>
  <c r="AR40" i="2"/>
  <c r="AR226" i="2"/>
  <c r="AR135" i="2"/>
  <c r="AR625" i="2"/>
  <c r="AR750" i="2"/>
  <c r="AR483" i="2"/>
  <c r="AR1218" i="2"/>
  <c r="AF1218" i="2" s="1"/>
  <c r="T1218" i="2" s="1"/>
  <c r="AR1106" i="2"/>
  <c r="AR1254" i="2"/>
  <c r="AR485" i="2"/>
  <c r="AR26" i="2"/>
  <c r="AR585" i="2"/>
  <c r="AR238" i="2"/>
  <c r="AR201" i="2"/>
  <c r="AR918" i="2"/>
  <c r="AR321" i="2"/>
  <c r="AR891" i="2"/>
  <c r="AR1016" i="2"/>
  <c r="AR355" i="2"/>
  <c r="AR1202" i="2"/>
  <c r="AR622" i="2"/>
  <c r="AR801" i="2"/>
  <c r="AR905" i="2"/>
  <c r="AF905" i="2" s="1"/>
  <c r="T905" i="2" s="1"/>
  <c r="AR1243" i="2"/>
  <c r="AR1125" i="2"/>
  <c r="AR852" i="2"/>
  <c r="AR770" i="2"/>
  <c r="AR394" i="2"/>
  <c r="AR831" i="2"/>
  <c r="AR174" i="2"/>
  <c r="AR601" i="2"/>
  <c r="AR848" i="2"/>
  <c r="AR141" i="2"/>
  <c r="AR1145" i="2"/>
  <c r="AR676" i="2"/>
  <c r="AR1080" i="2"/>
  <c r="AR877" i="2"/>
  <c r="AR941" i="2"/>
  <c r="AR822" i="2"/>
  <c r="AF822" i="2" s="1"/>
  <c r="T822" i="2" s="1"/>
  <c r="AR939" i="2"/>
  <c r="AR432" i="2"/>
  <c r="AR1242" i="2"/>
  <c r="AR284" i="2"/>
  <c r="AR1032" i="2"/>
  <c r="AR1259" i="2"/>
  <c r="AR950" i="2"/>
  <c r="AR569" i="2"/>
  <c r="AR671" i="2"/>
  <c r="AR1123" i="2"/>
  <c r="AR530" i="2"/>
  <c r="AR505" i="2"/>
  <c r="AR441" i="2"/>
  <c r="AR528" i="2"/>
  <c r="AR619" i="2"/>
  <c r="AR626" i="2"/>
  <c r="AF626" i="2" s="1"/>
  <c r="T626" i="2" s="1"/>
  <c r="AR653" i="2"/>
  <c r="AR701" i="2"/>
  <c r="AR595" i="2"/>
  <c r="AR434" i="2"/>
  <c r="AR559" i="2"/>
  <c r="AR216" i="2"/>
  <c r="AR766" i="2"/>
  <c r="AR825" i="2"/>
  <c r="AR215" i="2"/>
  <c r="AR128" i="2"/>
  <c r="AR131" i="2"/>
  <c r="AR17" i="2"/>
  <c r="AR55" i="2"/>
  <c r="AR804" i="2"/>
  <c r="AQ25" i="2"/>
  <c r="AQ413" i="2"/>
  <c r="AE413" i="2" s="1"/>
  <c r="S413" i="2" s="1"/>
  <c r="AQ306" i="2"/>
  <c r="AQ169" i="2"/>
  <c r="AQ180" i="2"/>
  <c r="AQ108" i="2"/>
  <c r="AQ78" i="2"/>
  <c r="AQ1036" i="2"/>
  <c r="AQ436" i="2"/>
  <c r="AQ613" i="2"/>
  <c r="AQ981" i="2"/>
  <c r="AQ119" i="2"/>
  <c r="AQ19" i="2"/>
  <c r="AQ687" i="2"/>
  <c r="AQ1155" i="2"/>
  <c r="AQ1033" i="2"/>
  <c r="AQ755" i="2"/>
  <c r="AQ1171" i="2"/>
  <c r="AE1171" i="2" s="1"/>
  <c r="S1171" i="2" s="1"/>
  <c r="AQ1026" i="2"/>
  <c r="AQ1094" i="2"/>
  <c r="AQ674" i="2"/>
  <c r="AQ395" i="2"/>
  <c r="AQ816" i="2"/>
  <c r="AQ222" i="2"/>
  <c r="AQ900" i="2"/>
  <c r="AQ391" i="2"/>
  <c r="AQ849" i="2"/>
  <c r="AQ595" i="2"/>
  <c r="AQ565" i="2"/>
  <c r="AQ948" i="2"/>
  <c r="AQ731" i="2"/>
  <c r="AQ524" i="2"/>
  <c r="AQ863" i="2"/>
  <c r="AQ1002" i="2"/>
  <c r="AE1002" i="2" s="1"/>
  <c r="S1002" i="2" s="1"/>
  <c r="AQ1264" i="2"/>
  <c r="AQ1220" i="2"/>
  <c r="AQ495" i="2"/>
  <c r="AQ1048" i="2"/>
  <c r="AQ227" i="2"/>
  <c r="AQ853" i="2"/>
  <c r="AQ314" i="2"/>
  <c r="AQ1114" i="2"/>
  <c r="AQ485" i="2"/>
  <c r="AQ1022" i="2"/>
  <c r="AQ1150" i="2"/>
  <c r="AQ1257" i="2"/>
  <c r="AQ1139" i="2"/>
  <c r="AQ1237" i="2"/>
  <c r="AQ932" i="2"/>
  <c r="AQ239" i="2"/>
  <c r="AE239" i="2" s="1"/>
  <c r="S239" i="2" s="1"/>
  <c r="AQ834" i="2"/>
  <c r="AQ1064" i="2"/>
  <c r="AQ826" i="2"/>
  <c r="AQ956" i="2"/>
  <c r="AQ855" i="2"/>
  <c r="AQ942" i="2"/>
  <c r="AQ1142" i="2"/>
  <c r="AQ1140" i="2"/>
  <c r="AQ967" i="2"/>
  <c r="AQ453" i="2"/>
  <c r="AQ790" i="2"/>
  <c r="AQ256" i="2"/>
  <c r="AQ153" i="2"/>
  <c r="AQ199" i="2"/>
  <c r="AQ695" i="2"/>
  <c r="AQ823" i="2"/>
  <c r="AQ642" i="2"/>
  <c r="AQ748" i="2"/>
  <c r="AQ191" i="2"/>
  <c r="AQ702" i="2"/>
  <c r="AQ694" i="2"/>
  <c r="AQ735" i="2"/>
  <c r="AQ261" i="2"/>
  <c r="AQ348" i="2"/>
  <c r="AQ40" i="2"/>
  <c r="AQ174" i="2"/>
  <c r="AQ12" i="2"/>
  <c r="AQ30" i="2"/>
  <c r="AQ592" i="2"/>
  <c r="AU91" i="2"/>
  <c r="AU334" i="2"/>
  <c r="AU342" i="2"/>
  <c r="AI342" i="2" s="1"/>
  <c r="W342" i="2" s="1"/>
  <c r="AU1230" i="2"/>
  <c r="AU268" i="2"/>
  <c r="AU308" i="2"/>
  <c r="AU81" i="2"/>
  <c r="AU247" i="2"/>
  <c r="AU290" i="2"/>
  <c r="AU365" i="2"/>
  <c r="AU170" i="2"/>
  <c r="AU337" i="2"/>
  <c r="AU946" i="2"/>
  <c r="AU363" i="2"/>
  <c r="AU874" i="2"/>
  <c r="AU910" i="2"/>
  <c r="AU900" i="2"/>
  <c r="AU701" i="2"/>
  <c r="AU1008" i="2"/>
  <c r="AI1008" i="2" s="1"/>
  <c r="W1008" i="2" s="1"/>
  <c r="AU551" i="2"/>
  <c r="AU988" i="2"/>
  <c r="AU210" i="2"/>
  <c r="AU1204" i="2"/>
  <c r="AU1060" i="2"/>
  <c r="AU211" i="2"/>
  <c r="AU823" i="2"/>
  <c r="AU1199" i="2"/>
  <c r="AU1116" i="2"/>
  <c r="AU821" i="2"/>
  <c r="AU655" i="2"/>
  <c r="AU1017" i="2"/>
  <c r="AU888" i="2"/>
  <c r="AU144" i="2"/>
  <c r="AU469" i="2"/>
  <c r="AU858" i="2"/>
  <c r="AI858" i="2" s="1"/>
  <c r="W858" i="2" s="1"/>
  <c r="AU829" i="2"/>
  <c r="AU559" i="2"/>
  <c r="AU865" i="2"/>
  <c r="AU1173" i="2"/>
  <c r="AU1261" i="2"/>
  <c r="AU1106" i="2"/>
  <c r="AU1149" i="2"/>
  <c r="AU377" i="2"/>
  <c r="AU919" i="2"/>
  <c r="AU1010" i="2"/>
  <c r="AU1252" i="2"/>
  <c r="AU1050" i="2"/>
  <c r="AU920" i="2"/>
  <c r="AU868" i="2"/>
  <c r="AU364" i="2"/>
  <c r="AU1043" i="2"/>
  <c r="AI1043" i="2" s="1"/>
  <c r="W1043" i="2" s="1"/>
  <c r="AU459" i="2"/>
  <c r="AU776" i="2"/>
  <c r="AU414" i="2"/>
  <c r="AU664" i="2"/>
  <c r="AU312" i="2"/>
  <c r="AU483" i="2"/>
  <c r="AU753" i="2"/>
  <c r="AU85" i="2"/>
  <c r="AU568" i="2"/>
  <c r="AU95" i="2"/>
  <c r="AU824" i="2"/>
  <c r="AU11" i="2"/>
  <c r="AU220" i="2"/>
  <c r="AU400" i="2"/>
  <c r="AU233" i="2"/>
  <c r="AU307" i="2"/>
  <c r="AU411" i="2"/>
  <c r="AU491" i="2"/>
  <c r="AU164" i="2"/>
  <c r="AU434" i="2"/>
  <c r="AU166" i="2"/>
  <c r="AU153" i="2"/>
  <c r="AU19" i="2"/>
  <c r="AU51" i="2"/>
  <c r="AU37" i="2"/>
  <c r="AU180" i="2"/>
  <c r="AU748" i="2"/>
  <c r="AU1048" i="2"/>
  <c r="AU1269" i="2"/>
  <c r="AT311" i="2"/>
  <c r="AT269" i="2"/>
  <c r="AT548" i="2"/>
  <c r="AH548" i="2" s="1"/>
  <c r="V548" i="2" s="1"/>
  <c r="AT65" i="2"/>
  <c r="AT92" i="2"/>
  <c r="AT348" i="2"/>
  <c r="AT1194" i="2"/>
  <c r="AT675" i="2"/>
  <c r="AT1137" i="2"/>
  <c r="AT1086" i="2"/>
  <c r="AT887" i="2"/>
  <c r="AT698" i="2"/>
  <c r="AT155" i="2"/>
  <c r="AT583" i="2"/>
  <c r="AT1108" i="2"/>
  <c r="AT1270" i="2"/>
  <c r="AT1242" i="2"/>
  <c r="AT873" i="2"/>
  <c r="AT430" i="2"/>
  <c r="AT912" i="2"/>
  <c r="AT1214" i="2"/>
  <c r="AT337" i="2"/>
  <c r="AT1142" i="2"/>
  <c r="AT1140" i="2"/>
  <c r="AT843" i="2"/>
  <c r="AT1068" i="2"/>
  <c r="AT1091" i="2"/>
  <c r="AT941" i="2"/>
  <c r="AT1219" i="2"/>
  <c r="AT236" i="2"/>
  <c r="AT1104" i="2"/>
  <c r="AT636" i="2"/>
  <c r="AT870" i="2"/>
  <c r="AT1257" i="2"/>
  <c r="AT857" i="2"/>
  <c r="AH857" i="2" s="1"/>
  <c r="V857" i="2" s="1"/>
  <c r="AT1271" i="2"/>
  <c r="AT864" i="2"/>
  <c r="AT972" i="2"/>
  <c r="AT1093" i="2"/>
  <c r="AT1197" i="2"/>
  <c r="AT1258" i="2"/>
  <c r="AT667" i="2"/>
  <c r="AT299" i="2"/>
  <c r="AT466" i="2"/>
  <c r="AT274" i="2"/>
  <c r="AT434" i="2"/>
  <c r="AT725" i="2"/>
  <c r="AT291" i="2"/>
  <c r="AT623" i="2"/>
  <c r="AT768" i="2"/>
  <c r="AT354" i="2"/>
  <c r="AH354" i="2" s="1"/>
  <c r="V354" i="2" s="1"/>
  <c r="AT547" i="2"/>
  <c r="AT704" i="2"/>
  <c r="AT432" i="2"/>
  <c r="AT233" i="2"/>
  <c r="AT554" i="2"/>
  <c r="AT286" i="2"/>
  <c r="AT347" i="2"/>
  <c r="AT681" i="2"/>
  <c r="AT356" i="2"/>
  <c r="AT631" i="2"/>
  <c r="AT219" i="2"/>
  <c r="AT601" i="2"/>
  <c r="AT716" i="2"/>
  <c r="AT437" i="2"/>
  <c r="AT40" i="2"/>
  <c r="AT138" i="2"/>
  <c r="AH138" i="2" s="1"/>
  <c r="V138" i="2" s="1"/>
  <c r="AT41" i="2"/>
  <c r="AT128" i="2"/>
  <c r="AT131" i="2"/>
  <c r="AT27" i="2"/>
  <c r="AT195" i="2"/>
  <c r="AT35" i="2"/>
  <c r="AT312" i="2"/>
  <c r="AT467" i="2"/>
  <c r="AT624" i="2"/>
  <c r="AT871" i="2"/>
  <c r="AT1132" i="2"/>
  <c r="AT1264" i="2"/>
  <c r="G19" i="1"/>
  <c r="T32" i="1"/>
  <c r="AS1057" i="2"/>
  <c r="AS1209" i="2"/>
  <c r="AS100" i="2"/>
  <c r="AS728" i="2"/>
  <c r="AS75" i="2"/>
  <c r="AS467" i="2"/>
  <c r="AS621" i="2"/>
  <c r="AS148" i="2"/>
  <c r="AG148" i="2" s="1"/>
  <c r="U148" i="2" s="1"/>
  <c r="AS72" i="2"/>
  <c r="AS92" i="2"/>
  <c r="AS615" i="2"/>
  <c r="AS380" i="2"/>
  <c r="AS458" i="2"/>
  <c r="AS1235" i="2"/>
  <c r="AS1052" i="2"/>
  <c r="AS1241" i="2"/>
  <c r="AS412" i="2"/>
  <c r="AS809" i="2"/>
  <c r="AS1255" i="2"/>
  <c r="AS959" i="2"/>
  <c r="AS810" i="2"/>
  <c r="AS940" i="2"/>
  <c r="AS391" i="2"/>
  <c r="AS220" i="2"/>
  <c r="AG220" i="2" s="1"/>
  <c r="U220" i="2" s="1"/>
  <c r="AS1218" i="2"/>
  <c r="AS1177" i="2"/>
  <c r="AS912" i="2"/>
  <c r="AS847" i="2"/>
  <c r="AS496" i="2"/>
  <c r="AS1058" i="2"/>
  <c r="AS579" i="2"/>
  <c r="AS974" i="2"/>
  <c r="AS610" i="2"/>
  <c r="AS155" i="2"/>
  <c r="AS598" i="2"/>
  <c r="AS1163" i="2"/>
  <c r="AS346" i="2"/>
  <c r="AS954" i="2"/>
  <c r="AS1021" i="2"/>
  <c r="AS1162" i="2"/>
  <c r="AG1162" i="2" s="1"/>
  <c r="U1162" i="2" s="1"/>
  <c r="AS1143" i="2"/>
  <c r="AS1172" i="2"/>
  <c r="AS522" i="2"/>
  <c r="AS1027" i="2"/>
  <c r="AS892" i="2"/>
  <c r="AS1100" i="2"/>
  <c r="AS1116" i="2"/>
  <c r="AS792" i="2"/>
  <c r="AS1251" i="2"/>
  <c r="AS783" i="2"/>
  <c r="AS358" i="2"/>
  <c r="AS632" i="2"/>
  <c r="AS774" i="2"/>
  <c r="AS400" i="2"/>
  <c r="AS754" i="2"/>
  <c r="AS305" i="2"/>
  <c r="AG305" i="2" s="1"/>
  <c r="U305" i="2" s="1"/>
  <c r="AS419" i="2"/>
  <c r="AS721" i="2"/>
  <c r="AS244" i="2"/>
  <c r="AS436" i="2"/>
  <c r="AS567" i="2"/>
  <c r="AS636" i="2"/>
  <c r="AS559" i="2"/>
  <c r="AS767" i="2"/>
  <c r="AS409" i="2"/>
  <c r="AS677" i="2"/>
  <c r="AS290" i="2"/>
  <c r="AS634" i="2"/>
  <c r="AS704" i="2"/>
  <c r="AS139" i="2"/>
  <c r="AS44" i="2"/>
  <c r="AS38" i="2"/>
  <c r="AG38" i="2" s="1"/>
  <c r="U38" i="2" s="1"/>
  <c r="AS132" i="2"/>
  <c r="AS128" i="2"/>
  <c r="AS171" i="2"/>
  <c r="AS256" i="2"/>
  <c r="AS575" i="2"/>
  <c r="AS834" i="2"/>
  <c r="AS1071" i="2"/>
  <c r="AR99" i="2"/>
  <c r="AR196" i="2"/>
  <c r="AR48" i="2"/>
  <c r="AR104" i="2"/>
  <c r="AR864" i="2"/>
  <c r="AR52" i="2"/>
  <c r="AR1130" i="2"/>
  <c r="AR655" i="2"/>
  <c r="AR727" i="2"/>
  <c r="AF727" i="2" s="1"/>
  <c r="T727" i="2" s="1"/>
  <c r="AR496" i="2"/>
  <c r="AR56" i="2"/>
  <c r="AR266" i="2"/>
  <c r="AR970" i="2"/>
  <c r="AR1091" i="2"/>
  <c r="AR278" i="2"/>
  <c r="AR1003" i="2"/>
  <c r="AR901" i="2"/>
  <c r="AR709" i="2"/>
  <c r="AR871" i="2"/>
  <c r="AR460" i="2"/>
  <c r="AR1162" i="2"/>
  <c r="AR538" i="2"/>
  <c r="AR772" i="2"/>
  <c r="AR475" i="2"/>
  <c r="AR1024" i="2"/>
  <c r="AF1024" i="2" s="1"/>
  <c r="T1024" i="2" s="1"/>
  <c r="AR318" i="2"/>
  <c r="AR924" i="2"/>
  <c r="AR253" i="2"/>
  <c r="AR637" i="2"/>
  <c r="AR1012" i="2"/>
  <c r="AR331" i="2"/>
  <c r="AR203" i="2"/>
  <c r="AR173" i="2"/>
  <c r="AR1135" i="2"/>
  <c r="AR1127" i="2"/>
  <c r="AR428" i="2"/>
  <c r="AR411" i="2"/>
  <c r="AR462" i="2"/>
  <c r="AR1168" i="2"/>
  <c r="AR270" i="2"/>
  <c r="AR976" i="2"/>
  <c r="AF976" i="2" s="1"/>
  <c r="T976" i="2" s="1"/>
  <c r="AR933" i="2"/>
  <c r="AR248" i="2"/>
  <c r="AR974" i="2"/>
  <c r="AR732" i="2"/>
  <c r="AR630" i="2"/>
  <c r="AR961" i="2"/>
  <c r="AR886" i="2"/>
  <c r="AR444" i="2"/>
  <c r="AR782" i="2"/>
  <c r="AR1061" i="2"/>
  <c r="AR1021" i="2"/>
  <c r="AR273" i="2"/>
  <c r="AR1199" i="2"/>
  <c r="AR1244" i="2"/>
  <c r="AR839" i="2"/>
  <c r="AR334" i="2"/>
  <c r="AF334" i="2" s="1"/>
  <c r="T334" i="2" s="1"/>
  <c r="AR596" i="2"/>
  <c r="AR1117" i="2"/>
  <c r="AR527" i="2"/>
  <c r="AR471" i="2"/>
  <c r="AR407" i="2"/>
  <c r="AR508" i="2"/>
  <c r="AR610" i="2"/>
  <c r="AR506" i="2"/>
  <c r="AR645" i="2"/>
  <c r="AR642" i="2"/>
  <c r="AR564" i="2"/>
  <c r="AR465" i="2"/>
  <c r="AR544" i="2"/>
  <c r="AR193" i="2"/>
  <c r="AR690" i="2"/>
  <c r="AR798" i="2"/>
  <c r="AF798" i="2" s="1"/>
  <c r="T798" i="2" s="1"/>
  <c r="AR159" i="2"/>
  <c r="AR112" i="2"/>
  <c r="AR59" i="2"/>
  <c r="AR271" i="2"/>
  <c r="AR214" i="2"/>
  <c r="AR883" i="2"/>
  <c r="AQ45" i="2"/>
  <c r="AQ513" i="2"/>
  <c r="AQ394" i="2"/>
  <c r="AQ11" i="2"/>
  <c r="AQ69" i="2"/>
  <c r="AQ666" i="2"/>
  <c r="AQ117" i="2"/>
  <c r="AQ87" i="2"/>
  <c r="AQ907" i="2"/>
  <c r="AQ736" i="2"/>
  <c r="AE736" i="2" s="1"/>
  <c r="S736" i="2" s="1"/>
  <c r="AQ120" i="2"/>
  <c r="AQ269" i="2"/>
  <c r="AQ41" i="2"/>
  <c r="AQ329" i="2"/>
  <c r="AQ1121" i="2"/>
  <c r="AQ1079" i="2"/>
  <c r="AQ767" i="2"/>
  <c r="AQ905" i="2"/>
  <c r="AQ1156" i="2"/>
  <c r="AQ501" i="2"/>
  <c r="AQ211" i="2"/>
  <c r="AQ573" i="2"/>
  <c r="AQ1233" i="2"/>
  <c r="AQ668" i="2"/>
  <c r="AQ798" i="2"/>
  <c r="AQ787" i="2"/>
  <c r="AE787" i="2" s="1"/>
  <c r="S787" i="2" s="1"/>
  <c r="AQ971" i="2"/>
  <c r="AQ237" i="2"/>
  <c r="AQ794" i="2"/>
  <c r="AQ1214" i="2"/>
  <c r="AQ479" i="2"/>
  <c r="AQ845" i="2"/>
  <c r="AQ935" i="2"/>
  <c r="AQ515" i="2"/>
  <c r="AQ744" i="2"/>
  <c r="AQ780" i="2"/>
  <c r="AQ542" i="2"/>
  <c r="AQ926" i="2"/>
  <c r="AQ311" i="2"/>
  <c r="AQ997" i="2"/>
  <c r="AQ392" i="2"/>
  <c r="AQ1211" i="2"/>
  <c r="AE1211" i="2" s="1"/>
  <c r="S1211" i="2" s="1"/>
  <c r="AQ873" i="2"/>
  <c r="AQ1146" i="2"/>
  <c r="AQ520" i="2"/>
  <c r="AQ773" i="2"/>
  <c r="AQ1065" i="2"/>
  <c r="AQ1192" i="2"/>
  <c r="AQ1152" i="2"/>
  <c r="AQ1113" i="2"/>
  <c r="AQ817" i="2"/>
  <c r="AQ1034" i="2"/>
  <c r="AQ841" i="2"/>
  <c r="AQ875" i="2"/>
  <c r="AQ813" i="2"/>
  <c r="AQ916" i="2"/>
  <c r="AQ1117" i="2"/>
  <c r="AQ1128" i="2"/>
  <c r="AE1128" i="2" s="1"/>
  <c r="S1128" i="2" s="1"/>
  <c r="AQ978" i="2"/>
  <c r="AQ496" i="2"/>
  <c r="AQ799" i="2"/>
  <c r="AQ791" i="2"/>
  <c r="AQ782" i="2"/>
  <c r="AQ175" i="2"/>
  <c r="AQ647" i="2"/>
  <c r="AQ734" i="2"/>
  <c r="AQ593" i="2"/>
  <c r="AQ598" i="2"/>
  <c r="AQ195" i="2"/>
  <c r="AQ684" i="2"/>
  <c r="AQ579" i="2"/>
  <c r="AQ721" i="2"/>
  <c r="AQ232" i="2"/>
  <c r="AQ343" i="2"/>
  <c r="AE343" i="2" s="1"/>
  <c r="S343" i="2" s="1"/>
  <c r="AQ73" i="2"/>
  <c r="AQ177" i="2"/>
  <c r="AQ111" i="2"/>
  <c r="AQ23" i="2"/>
  <c r="AQ740" i="2"/>
  <c r="AU138" i="2"/>
  <c r="AU440" i="2"/>
  <c r="AU143" i="2"/>
  <c r="AU36" i="2"/>
  <c r="AU662" i="2"/>
  <c r="AU558" i="2"/>
  <c r="AU33" i="2"/>
  <c r="AU347" i="2"/>
  <c r="AU92" i="2"/>
  <c r="AU450" i="2"/>
  <c r="AU471" i="2"/>
  <c r="AI471" i="2" s="1"/>
  <c r="W471" i="2" s="1"/>
  <c r="AU529" i="2"/>
  <c r="AU160" i="2"/>
  <c r="AU890" i="2"/>
  <c r="AU973" i="2"/>
  <c r="AU466" i="2"/>
  <c r="AU1082" i="2"/>
  <c r="AU640" i="2"/>
  <c r="AU1025" i="2"/>
  <c r="AU1067" i="2"/>
  <c r="AU1070" i="2"/>
  <c r="AU381" i="2"/>
  <c r="AU1071" i="2"/>
  <c r="AU1223" i="2"/>
  <c r="AU588" i="2"/>
  <c r="AU612" i="2"/>
  <c r="AU317" i="2"/>
  <c r="AI317" i="2" s="1"/>
  <c r="W317" i="2" s="1"/>
  <c r="AU231" i="2"/>
  <c r="AU462" i="2"/>
  <c r="AU1163" i="2"/>
  <c r="AU1229" i="2"/>
  <c r="AU1159" i="2"/>
  <c r="AU464" i="2"/>
  <c r="AU1160" i="2"/>
  <c r="AU415" i="2"/>
  <c r="AU984" i="2"/>
  <c r="AU581" i="2"/>
  <c r="AU860" i="2"/>
  <c r="AU1127" i="2"/>
  <c r="AU1219" i="2"/>
  <c r="AU1069" i="2"/>
  <c r="AU1107" i="2"/>
  <c r="AU1265" i="2"/>
  <c r="AI1265" i="2" s="1"/>
  <c r="W1265" i="2" s="1"/>
  <c r="AU845" i="2"/>
  <c r="AU1019" i="2"/>
  <c r="AU1256" i="2"/>
  <c r="AU1003" i="2"/>
  <c r="AU887" i="2"/>
  <c r="AU589" i="2"/>
  <c r="AU318" i="2"/>
  <c r="AU1273" i="2"/>
  <c r="AU436" i="2"/>
  <c r="AU674" i="2"/>
  <c r="AU427" i="2"/>
  <c r="AU615" i="2"/>
  <c r="AU250" i="2"/>
  <c r="AU463" i="2"/>
  <c r="AU668" i="2"/>
  <c r="AU846" i="2"/>
  <c r="AI846" i="2" s="1"/>
  <c r="W846" i="2" s="1"/>
  <c r="AU477" i="2"/>
  <c r="AU113" i="2"/>
  <c r="AU735" i="2"/>
  <c r="AU676" i="2"/>
  <c r="AU187" i="2"/>
  <c r="AU352" i="2"/>
  <c r="AU256" i="2"/>
  <c r="AU263" i="2"/>
  <c r="AU372" i="2"/>
  <c r="AU493" i="2"/>
  <c r="AU789" i="2"/>
  <c r="AU456" i="2"/>
  <c r="AU127" i="2"/>
  <c r="AU129" i="2"/>
  <c r="AU26" i="2"/>
  <c r="AU155" i="2"/>
  <c r="AI155" i="2" s="1"/>
  <c r="W155" i="2" s="1"/>
  <c r="AU117" i="2"/>
  <c r="AU84" i="2"/>
  <c r="AU801" i="2"/>
  <c r="AU1059" i="2"/>
  <c r="AT101" i="2"/>
  <c r="AT422" i="2"/>
  <c r="AT700" i="2"/>
  <c r="AT595" i="2"/>
  <c r="AT74" i="2"/>
  <c r="AT93" i="2"/>
  <c r="AT718" i="2"/>
  <c r="AT316" i="2"/>
  <c r="AT863" i="2"/>
  <c r="AT841" i="2"/>
  <c r="AT1025" i="2"/>
  <c r="AT1090" i="2"/>
  <c r="AH1090" i="2" s="1"/>
  <c r="V1090" i="2" s="1"/>
  <c r="AT284" i="2"/>
  <c r="AT754" i="2"/>
  <c r="AT789" i="2"/>
  <c r="AT559" i="2"/>
  <c r="AT1111" i="2"/>
  <c r="AT719" i="2"/>
  <c r="AT1215" i="2"/>
  <c r="AT587" i="2"/>
  <c r="AT1099" i="2"/>
  <c r="AT931" i="2"/>
  <c r="AT1224" i="2"/>
  <c r="AT1064" i="2"/>
  <c r="AT983" i="2"/>
  <c r="AT821" i="2"/>
  <c r="AT954" i="2"/>
  <c r="AT1027" i="2"/>
  <c r="AH1027" i="2" s="1"/>
  <c r="V1027" i="2" s="1"/>
  <c r="AT945" i="2"/>
  <c r="AT1079" i="2"/>
  <c r="AT156" i="2"/>
  <c r="AT1125" i="2"/>
  <c r="AT376" i="2"/>
  <c r="AT894" i="2"/>
  <c r="AT1248" i="2"/>
  <c r="AT838" i="2"/>
  <c r="AT1234" i="2"/>
  <c r="AT824" i="2"/>
  <c r="AT891" i="2"/>
  <c r="AT1059" i="2"/>
  <c r="AT1126" i="2"/>
  <c r="AT1237" i="2"/>
  <c r="AT646" i="2"/>
  <c r="AT191" i="2"/>
  <c r="AH191" i="2" s="1"/>
  <c r="V191" i="2" s="1"/>
  <c r="AT561" i="2"/>
  <c r="AT164" i="2"/>
  <c r="AT383" i="2"/>
  <c r="AT679" i="2"/>
  <c r="AT305" i="2"/>
  <c r="AT579" i="2"/>
  <c r="AT683" i="2"/>
  <c r="AT293" i="2"/>
  <c r="AT570" i="2"/>
  <c r="AT678" i="2"/>
  <c r="AT403" i="2"/>
  <c r="AT268" i="2"/>
  <c r="AT590" i="2"/>
  <c r="AT338" i="2"/>
  <c r="AT375" i="2"/>
  <c r="AT699" i="2"/>
  <c r="AH699" i="2" s="1"/>
  <c r="V699" i="2" s="1"/>
  <c r="AT321" i="2"/>
  <c r="AT639" i="2"/>
  <c r="AT152" i="2"/>
  <c r="AT402" i="2"/>
  <c r="AT690" i="2"/>
  <c r="AT500" i="2"/>
  <c r="AT23" i="2"/>
  <c r="AT99" i="2"/>
  <c r="AT64" i="2"/>
  <c r="AT83" i="2"/>
  <c r="AT97" i="2"/>
  <c r="AT47" i="2"/>
  <c r="AT57" i="2"/>
  <c r="AT32" i="2"/>
  <c r="AT282" i="2"/>
  <c r="AT465" i="2"/>
  <c r="AH465" i="2" s="1"/>
  <c r="V465" i="2" s="1"/>
  <c r="AT640" i="2"/>
  <c r="AT906" i="2"/>
  <c r="AT1095" i="2"/>
  <c r="AS1117" i="2"/>
  <c r="AS1186" i="2"/>
  <c r="AS525" i="2"/>
  <c r="AS986" i="2"/>
  <c r="AS79" i="2"/>
  <c r="AS705" i="2"/>
  <c r="AS625" i="2"/>
  <c r="AS23" i="2"/>
  <c r="AS87" i="2"/>
  <c r="AS127" i="2"/>
  <c r="AS787" i="2"/>
  <c r="AS998" i="2"/>
  <c r="AS253" i="2"/>
  <c r="AG253" i="2" s="1"/>
  <c r="U253" i="2" s="1"/>
  <c r="AS1077" i="2"/>
  <c r="AS1185" i="2"/>
  <c r="AS1222" i="2"/>
  <c r="AS304" i="2"/>
  <c r="AS941" i="2"/>
  <c r="AS919" i="2"/>
  <c r="AS1154" i="2"/>
  <c r="AS196" i="2"/>
  <c r="AS462" i="2"/>
  <c r="AS1248" i="2"/>
  <c r="AS254" i="2"/>
  <c r="AS1104" i="2"/>
  <c r="AS910" i="2"/>
  <c r="AS1216" i="2"/>
  <c r="AS488" i="2"/>
  <c r="AS781" i="2"/>
  <c r="AG781" i="2" s="1"/>
  <c r="U781" i="2" s="1"/>
  <c r="AS979" i="2"/>
  <c r="AS395" i="2"/>
  <c r="AS1231" i="2"/>
  <c r="AS731" i="2"/>
  <c r="AS946" i="2"/>
  <c r="AS408" i="2"/>
  <c r="AS1124" i="2"/>
  <c r="AS294" i="2"/>
  <c r="AS904" i="2"/>
  <c r="AS1018" i="2"/>
  <c r="AS1246" i="2"/>
  <c r="AS1126" i="2"/>
  <c r="AS1165" i="2"/>
  <c r="AS352" i="2"/>
  <c r="AS1034" i="2"/>
  <c r="AS873" i="2"/>
  <c r="AG873" i="2" s="1"/>
  <c r="U873" i="2" s="1"/>
  <c r="AS1086" i="2"/>
  <c r="AS1111" i="2"/>
  <c r="AS576" i="2"/>
  <c r="AS1272" i="2"/>
  <c r="AS770" i="2"/>
  <c r="AS341" i="2"/>
  <c r="AS544" i="2"/>
  <c r="AS785" i="2"/>
  <c r="AS426" i="2"/>
  <c r="AS698" i="2"/>
  <c r="AS307" i="2"/>
  <c r="AS447" i="2"/>
  <c r="AS648" i="2"/>
  <c r="AS229" i="2"/>
  <c r="AS418" i="2"/>
  <c r="AS553" i="2"/>
  <c r="AG553" i="2" s="1"/>
  <c r="U553" i="2" s="1"/>
  <c r="AS639" i="2"/>
  <c r="AS515" i="2"/>
  <c r="AS745" i="2"/>
  <c r="AS374" i="2"/>
  <c r="AS670" i="2"/>
  <c r="AS369" i="2"/>
  <c r="AS482" i="2"/>
  <c r="AS668" i="2"/>
  <c r="AS51" i="2"/>
  <c r="AS185" i="2"/>
  <c r="AS83" i="2"/>
  <c r="AS114" i="2"/>
  <c r="AS49" i="2"/>
  <c r="AS84" i="2"/>
  <c r="AS295" i="2"/>
  <c r="AS617" i="2"/>
  <c r="AS837" i="2"/>
  <c r="AS1085" i="2"/>
  <c r="AR51" i="2"/>
  <c r="AR92" i="2"/>
  <c r="AR19" i="2"/>
  <c r="AR138" i="2"/>
  <c r="AR137" i="2"/>
  <c r="AR24" i="2"/>
  <c r="AR84" i="2"/>
  <c r="AR234" i="2"/>
  <c r="AR828" i="2"/>
  <c r="AR515" i="2"/>
  <c r="AR115" i="2"/>
  <c r="AR523" i="2"/>
  <c r="AR793" i="2"/>
  <c r="AR1118" i="2"/>
  <c r="AF1118" i="2" s="1"/>
  <c r="T1118" i="2" s="1"/>
  <c r="AR448" i="2"/>
  <c r="AR1160" i="2"/>
  <c r="AR1219" i="2"/>
  <c r="AR893" i="2"/>
  <c r="AR916" i="2"/>
  <c r="AR327" i="2"/>
  <c r="AR781" i="2"/>
  <c r="AR512" i="2"/>
  <c r="AR987" i="2"/>
  <c r="AR149" i="2"/>
  <c r="AR719" i="2"/>
  <c r="AR696" i="2"/>
  <c r="AR973" i="2"/>
  <c r="AR458" i="2"/>
  <c r="AR790" i="2"/>
  <c r="AR1267" i="2"/>
  <c r="AF1267" i="2" s="1"/>
  <c r="T1267" i="2" s="1"/>
  <c r="AR526" i="2"/>
  <c r="AR1133" i="2"/>
  <c r="AR399" i="2"/>
  <c r="AR589" i="2"/>
  <c r="AR927" i="2"/>
  <c r="AR698" i="2"/>
  <c r="AR303" i="2"/>
  <c r="AR943" i="2"/>
  <c r="AR817" i="2"/>
  <c r="AR577" i="2"/>
  <c r="AR858" i="2"/>
  <c r="AR915" i="2"/>
  <c r="AR753" i="2"/>
  <c r="AR1167" i="2"/>
  <c r="AR755" i="2"/>
  <c r="AR890" i="2"/>
  <c r="AF890" i="2" s="1"/>
  <c r="T890" i="2" s="1"/>
  <c r="AR930" i="2"/>
  <c r="AR746" i="2"/>
  <c r="AR1190" i="2"/>
  <c r="AR761" i="2"/>
  <c r="AR1229" i="2"/>
  <c r="AR1269" i="2"/>
  <c r="AR1263" i="2"/>
  <c r="AR942" i="2"/>
  <c r="AR1180" i="2"/>
  <c r="AR697" i="2"/>
  <c r="AR54" i="2"/>
  <c r="AR488" i="2"/>
  <c r="AR1059" i="2"/>
  <c r="AR473" i="2"/>
  <c r="AR453" i="2"/>
  <c r="AR357" i="2"/>
  <c r="AF357" i="2" s="1"/>
  <c r="T357" i="2" s="1"/>
  <c r="AR575" i="2"/>
  <c r="AR484" i="2"/>
  <c r="AR511" i="2"/>
  <c r="AR557" i="2"/>
  <c r="AR612" i="2"/>
  <c r="AR567" i="2"/>
  <c r="AR390" i="2"/>
  <c r="AR590" i="2"/>
  <c r="AR175" i="2"/>
  <c r="AR687" i="2"/>
  <c r="AR658" i="2"/>
  <c r="AR194" i="2"/>
  <c r="AR18" i="2"/>
  <c r="AR125" i="2"/>
  <c r="AR113" i="2"/>
  <c r="AR192" i="2"/>
  <c r="AF192" i="2" s="1"/>
  <c r="T192" i="2" s="1"/>
  <c r="AR920" i="2"/>
  <c r="AQ241" i="2"/>
  <c r="AQ732" i="2"/>
  <c r="AQ692" i="2"/>
  <c r="AQ255" i="2"/>
  <c r="AQ104" i="2"/>
  <c r="AQ828" i="2"/>
  <c r="AQ118" i="2"/>
  <c r="AQ28" i="2"/>
  <c r="AQ1179" i="2"/>
  <c r="AQ976" i="2"/>
  <c r="AQ34" i="2"/>
  <c r="AQ764" i="2"/>
  <c r="AQ124" i="2"/>
  <c r="AQ646" i="2"/>
  <c r="AQ1052" i="2"/>
  <c r="AE1052" i="2" s="1"/>
  <c r="S1052" i="2" s="1"/>
  <c r="AQ957" i="2"/>
  <c r="AQ220" i="2"/>
  <c r="AQ1138" i="2"/>
  <c r="AQ1239" i="2"/>
  <c r="AQ1037" i="2"/>
  <c r="AQ675" i="2"/>
  <c r="AQ282" i="2"/>
  <c r="AQ889" i="2"/>
  <c r="AQ345" i="2"/>
  <c r="AQ1197" i="2"/>
  <c r="AQ742" i="2"/>
  <c r="AQ984" i="2"/>
  <c r="AQ476" i="2"/>
  <c r="AQ931" i="2"/>
  <c r="AQ878" i="2"/>
  <c r="AQ359" i="2"/>
  <c r="AE359" i="2" s="1"/>
  <c r="S359" i="2" s="1"/>
  <c r="AQ870" i="2"/>
  <c r="AQ296" i="2"/>
  <c r="AQ333" i="2"/>
  <c r="AQ1032" i="2"/>
  <c r="AQ1096" i="2"/>
  <c r="AQ371" i="2"/>
  <c r="AQ1041" i="2"/>
  <c r="AQ988" i="2"/>
  <c r="AQ1193" i="2"/>
  <c r="AQ543" i="2"/>
  <c r="AQ904" i="2"/>
  <c r="AQ1081" i="2"/>
  <c r="AQ1116" i="2"/>
  <c r="AQ1054" i="2"/>
  <c r="AQ553" i="2"/>
  <c r="AQ993" i="2"/>
  <c r="AE993" i="2" s="1"/>
  <c r="S993" i="2" s="1"/>
  <c r="AQ1185" i="2"/>
  <c r="AQ1144" i="2"/>
  <c r="AQ1250" i="2"/>
  <c r="AQ1226" i="2"/>
  <c r="AQ1019" i="2"/>
  <c r="AQ838" i="2"/>
  <c r="AQ866" i="2"/>
  <c r="AQ559" i="2"/>
  <c r="AQ867" i="2"/>
  <c r="AQ1015" i="2"/>
  <c r="AQ1135" i="2"/>
  <c r="AQ940" i="2"/>
  <c r="AQ508" i="2"/>
  <c r="AQ622" i="2"/>
  <c r="AQ777" i="2"/>
  <c r="AQ661" i="2"/>
  <c r="AE661" i="2" s="1"/>
  <c r="S661" i="2" s="1"/>
  <c r="AQ778" i="2"/>
  <c r="AQ618" i="2"/>
  <c r="AQ678" i="2"/>
  <c r="AQ581" i="2"/>
  <c r="AQ609" i="2"/>
  <c r="AQ146" i="2"/>
  <c r="AQ651" i="2"/>
  <c r="AQ530" i="2"/>
  <c r="AQ705" i="2"/>
  <c r="AQ158" i="2"/>
  <c r="AQ214" i="2"/>
  <c r="AQ33" i="2"/>
  <c r="AQ172" i="2"/>
  <c r="AQ113" i="2"/>
  <c r="AQ72" i="2"/>
  <c r="AQ717" i="2"/>
  <c r="AE717" i="2" s="1"/>
  <c r="S717" i="2" s="1"/>
  <c r="AU123" i="2"/>
  <c r="AU566" i="2"/>
  <c r="AU564" i="2"/>
  <c r="AU52" i="2"/>
  <c r="AU741" i="2"/>
  <c r="AU350" i="2"/>
  <c r="AU683" i="2"/>
  <c r="AU520" i="2"/>
  <c r="AU358" i="2"/>
  <c r="AU730" i="2"/>
  <c r="AU799" i="2"/>
  <c r="AU759" i="2"/>
  <c r="AU771" i="2"/>
  <c r="AU896" i="2"/>
  <c r="AU1237" i="2"/>
  <c r="AU319" i="2"/>
  <c r="AI319" i="2" s="1"/>
  <c r="W319" i="2" s="1"/>
  <c r="AU1264" i="2"/>
  <c r="AU207" i="2"/>
  <c r="AU886" i="2"/>
  <c r="AU1270" i="2"/>
  <c r="AU1178" i="2"/>
  <c r="AU538" i="2"/>
  <c r="AU1157" i="2"/>
  <c r="AU1031" i="2"/>
  <c r="AU264" i="2"/>
  <c r="AU137" i="2"/>
  <c r="AU904" i="2"/>
  <c r="AU864" i="2"/>
  <c r="AU605" i="2"/>
  <c r="AU1169" i="2"/>
  <c r="AU1239" i="2"/>
  <c r="AU995" i="2"/>
  <c r="AI995" i="2" s="1"/>
  <c r="W995" i="2" s="1"/>
  <c r="AU349" i="2"/>
  <c r="AU1012" i="2"/>
  <c r="AU301" i="2"/>
  <c r="AU1086" i="2"/>
  <c r="AU1175" i="2"/>
  <c r="AU838" i="2"/>
  <c r="AU1092" i="2"/>
  <c r="AU1190" i="2"/>
  <c r="AU1072" i="2"/>
  <c r="AU1102" i="2"/>
  <c r="AU922" i="2"/>
  <c r="AU792" i="2"/>
  <c r="AU1016" i="2"/>
  <c r="AU1245" i="2"/>
  <c r="AU949" i="2"/>
  <c r="AU849" i="2"/>
  <c r="AI849" i="2" s="1"/>
  <c r="W849" i="2" s="1"/>
  <c r="AU1253" i="2"/>
  <c r="AU1255" i="2"/>
  <c r="AU1218" i="2"/>
  <c r="AU418" i="2"/>
  <c r="AU707" i="2"/>
  <c r="AU389" i="2"/>
  <c r="AU601" i="2"/>
  <c r="AU854" i="2"/>
  <c r="AU449" i="2"/>
  <c r="AU613" i="2"/>
  <c r="AU828" i="2"/>
  <c r="AU465" i="2"/>
  <c r="AU764" i="2"/>
  <c r="AU709" i="2"/>
  <c r="AU695" i="2"/>
  <c r="AU848" i="2"/>
  <c r="AI848" i="2" s="1"/>
  <c r="W848" i="2" s="1"/>
  <c r="AU370" i="2"/>
  <c r="AU177" i="2"/>
  <c r="AU229" i="2"/>
  <c r="AU335" i="2"/>
  <c r="AU514" i="2"/>
  <c r="AU715" i="2"/>
  <c r="AU309" i="2"/>
  <c r="AU199" i="2"/>
  <c r="AU122" i="2"/>
  <c r="AU65" i="2"/>
  <c r="AU71" i="2"/>
  <c r="AU42" i="2"/>
  <c r="AU16" i="2"/>
  <c r="AU816" i="2"/>
  <c r="AU1097" i="2"/>
  <c r="AT187" i="2"/>
  <c r="AH187" i="2" s="1"/>
  <c r="V187" i="2" s="1"/>
  <c r="AT521" i="2"/>
  <c r="AT563" i="2"/>
  <c r="AT90" i="2"/>
  <c r="AT80" i="2"/>
  <c r="AT255" i="2"/>
  <c r="AT622" i="2"/>
  <c r="AT967" i="2"/>
  <c r="AT987" i="2"/>
  <c r="AT939" i="2"/>
  <c r="AT1213" i="2"/>
  <c r="AT1252" i="2"/>
  <c r="AT793" i="2"/>
  <c r="AT582" i="2"/>
  <c r="AT588" i="2"/>
  <c r="AT1212" i="2"/>
  <c r="AT460" i="2"/>
  <c r="AH460" i="2" s="1"/>
  <c r="V460" i="2" s="1"/>
  <c r="AT1055" i="2"/>
  <c r="AT980" i="2"/>
  <c r="AT556" i="2"/>
  <c r="AT266" i="2"/>
  <c r="AT1207" i="2"/>
  <c r="AT1217" i="2"/>
  <c r="AT1028" i="2"/>
  <c r="AT1250" i="2"/>
  <c r="AT770" i="2"/>
  <c r="AT971" i="2"/>
  <c r="AT798" i="2"/>
  <c r="AT942" i="2"/>
  <c r="AT1071" i="2"/>
  <c r="AT192" i="2"/>
  <c r="AT1098" i="2"/>
  <c r="AT306" i="2"/>
  <c r="AH306" i="2" s="1"/>
  <c r="V306" i="2" s="1"/>
  <c r="AT839" i="2"/>
  <c r="AT1240" i="2"/>
  <c r="AT861" i="2"/>
  <c r="AT1235" i="2"/>
  <c r="AT819" i="2"/>
  <c r="AT855" i="2"/>
  <c r="AT1051" i="2"/>
  <c r="AT1106" i="2"/>
  <c r="AT1158" i="2"/>
  <c r="AT619" i="2"/>
  <c r="AT96" i="2"/>
  <c r="AT483" i="2"/>
  <c r="AT776" i="2"/>
  <c r="AT322" i="2"/>
  <c r="AT610" i="2"/>
  <c r="AT324" i="2"/>
  <c r="AH324" i="2" s="1"/>
  <c r="V324" i="2" s="1"/>
  <c r="AT572" i="2"/>
  <c r="AT695" i="2"/>
  <c r="AT253" i="2"/>
  <c r="AT591" i="2"/>
  <c r="AT647" i="2"/>
  <c r="AT385" i="2"/>
  <c r="AT203" i="2"/>
  <c r="AT545" i="2"/>
  <c r="AT335" i="2"/>
  <c r="AT397" i="2"/>
  <c r="AT715" i="2"/>
  <c r="AT334" i="2"/>
  <c r="AT666" i="2"/>
  <c r="AT179" i="2"/>
  <c r="AT370" i="2"/>
  <c r="AT662" i="2"/>
  <c r="AH662" i="2" s="1"/>
  <c r="V662" i="2" s="1"/>
  <c r="AT396" i="2"/>
  <c r="AT20" i="2"/>
  <c r="AT98" i="2"/>
  <c r="AT197" i="2"/>
  <c r="AT52" i="2"/>
  <c r="AT143" i="2"/>
  <c r="AT21" i="2"/>
  <c r="AT63" i="2"/>
  <c r="AT103" i="2"/>
  <c r="AT231" i="2"/>
  <c r="AT470" i="2"/>
  <c r="AT722" i="2"/>
  <c r="AT917" i="2"/>
  <c r="AT1133" i="2"/>
  <c r="AS689" i="2"/>
  <c r="AS175" i="2"/>
  <c r="AG175" i="2" s="1"/>
  <c r="U175" i="2" s="1"/>
  <c r="AS411" i="2"/>
  <c r="AS1115" i="2"/>
  <c r="AS862" i="2"/>
  <c r="AS227" i="2"/>
  <c r="AS828" i="2"/>
  <c r="AS479" i="2"/>
  <c r="AS1122" i="2"/>
  <c r="AS1208" i="2"/>
  <c r="AS1184" i="2"/>
  <c r="AS1039" i="2"/>
  <c r="AS345" i="2"/>
  <c r="AS908" i="2"/>
  <c r="AS967" i="2"/>
  <c r="AS1214" i="2"/>
  <c r="AS1065" i="2"/>
  <c r="AS1141" i="2"/>
  <c r="AG1141" i="2" s="1"/>
  <c r="U1141" i="2" s="1"/>
  <c r="AS926" i="2"/>
  <c r="AS747" i="2"/>
  <c r="AS856" i="2"/>
  <c r="AS1049" i="2"/>
  <c r="AS1054" i="2"/>
  <c r="AS397" i="2"/>
  <c r="AS1238" i="2"/>
  <c r="AS820" i="2"/>
  <c r="AS306" i="2"/>
  <c r="AS577" i="2"/>
  <c r="AS808" i="2"/>
  <c r="AS451" i="2"/>
  <c r="AS694" i="2"/>
  <c r="AS257" i="2"/>
  <c r="AS405" i="2"/>
  <c r="AS715" i="2"/>
  <c r="AG715" i="2" s="1"/>
  <c r="U715" i="2" s="1"/>
  <c r="AS224" i="2"/>
  <c r="AS279" i="2"/>
  <c r="AS546" i="2"/>
  <c r="AS585" i="2"/>
  <c r="AS416" i="2"/>
  <c r="AS796" i="2"/>
  <c r="AS343" i="2"/>
  <c r="AS686" i="2"/>
  <c r="AS232" i="2"/>
  <c r="AS495" i="2"/>
  <c r="AS629" i="2"/>
  <c r="AS207" i="2"/>
  <c r="AS184" i="2"/>
  <c r="AS96" i="2"/>
  <c r="AS53" i="2"/>
  <c r="AS78" i="2"/>
  <c r="AG78" i="2" s="1"/>
  <c r="U78" i="2" s="1"/>
  <c r="AS25" i="2"/>
  <c r="AS326" i="2"/>
  <c r="AS633" i="2"/>
  <c r="AS875" i="2"/>
  <c r="AS1087" i="2"/>
  <c r="AR28" i="2"/>
  <c r="AR207" i="2"/>
  <c r="AR140" i="2"/>
  <c r="AR420" i="2"/>
  <c r="AR47" i="2"/>
  <c r="AR163" i="2"/>
  <c r="AR22" i="2"/>
  <c r="AR633" i="2"/>
  <c r="AR1169" i="2"/>
  <c r="AR236" i="2"/>
  <c r="AR58" i="2"/>
  <c r="AF58" i="2" s="1"/>
  <c r="T58" i="2" s="1"/>
  <c r="AR350" i="2"/>
  <c r="AR843" i="2"/>
  <c r="AR1265" i="2"/>
  <c r="AR699" i="2"/>
  <c r="AR1152" i="2"/>
  <c r="AR1245" i="2"/>
  <c r="AR971" i="2"/>
  <c r="AR946" i="2"/>
  <c r="AR380" i="2"/>
  <c r="AR1029" i="2"/>
  <c r="AR578" i="2"/>
  <c r="AR1092" i="2"/>
  <c r="AR752" i="2"/>
  <c r="AR1057" i="2"/>
  <c r="AR609" i="2"/>
  <c r="AR1002" i="2"/>
  <c r="AR1234" i="2"/>
  <c r="AR618" i="2"/>
  <c r="AR1134" i="2"/>
  <c r="AR616" i="2"/>
  <c r="AR1042" i="2"/>
  <c r="AR516" i="2"/>
  <c r="AR814" i="2"/>
  <c r="AR711" i="2"/>
  <c r="AR1043" i="2"/>
  <c r="AR239" i="2"/>
  <c r="AR985" i="2"/>
  <c r="AR1072" i="2"/>
  <c r="AR275" i="2"/>
  <c r="AR1036" i="2"/>
  <c r="AR1048" i="2"/>
  <c r="AR66" i="2"/>
  <c r="AF66" i="2" s="1"/>
  <c r="T66" i="2" s="1"/>
  <c r="AR1206" i="2"/>
  <c r="AR339" i="2"/>
  <c r="AR1086" i="2"/>
  <c r="AR860" i="2"/>
  <c r="AR1235" i="2"/>
  <c r="AR1101" i="2"/>
  <c r="AR392" i="2"/>
  <c r="AR1194" i="2"/>
  <c r="AR1208" i="2"/>
  <c r="AR1204" i="2"/>
  <c r="AR1184" i="2"/>
  <c r="AR1181" i="2"/>
  <c r="AR492" i="2"/>
  <c r="AR1247" i="2"/>
  <c r="AR1250" i="2"/>
  <c r="AR1011" i="2"/>
  <c r="AF1011" i="2" s="1"/>
  <c r="T1011" i="2" s="1"/>
  <c r="AR354" i="2"/>
  <c r="AR377" i="2"/>
  <c r="AR375" i="2"/>
  <c r="AR435" i="2"/>
  <c r="AR510" i="2"/>
  <c r="AR401" i="2"/>
  <c r="AR547" i="2"/>
  <c r="AR563" i="2"/>
  <c r="AR599" i="2"/>
  <c r="AR365" i="2"/>
  <c r="AR500" i="2"/>
  <c r="AR806" i="2"/>
  <c r="AR635" i="2"/>
  <c r="AR704" i="2"/>
  <c r="AR97" i="2"/>
  <c r="AR167" i="2"/>
  <c r="AF167" i="2" s="1"/>
  <c r="T167" i="2" s="1"/>
  <c r="AR154" i="2"/>
  <c r="AR107" i="2"/>
  <c r="AR90" i="2"/>
  <c r="AR913" i="2"/>
  <c r="AQ462" i="2"/>
  <c r="AQ759" i="2"/>
  <c r="AQ1261" i="2"/>
  <c r="AQ809" i="2"/>
  <c r="AQ375" i="2"/>
  <c r="AQ635" i="2"/>
  <c r="AQ136" i="2"/>
  <c r="AQ9" i="2"/>
  <c r="AQ36" i="2"/>
  <c r="AQ257" i="2"/>
  <c r="AQ49" i="2"/>
  <c r="AQ656" i="2"/>
  <c r="AE656" i="2" s="1"/>
  <c r="S656" i="2" s="1"/>
  <c r="AQ493" i="2"/>
  <c r="AQ386" i="2"/>
  <c r="AQ1075" i="2"/>
  <c r="AQ1021" i="2"/>
  <c r="AQ663" i="2"/>
  <c r="AQ1040" i="2"/>
  <c r="AQ349" i="2"/>
  <c r="AQ928" i="2"/>
  <c r="AQ1010" i="2"/>
  <c r="AQ378" i="2"/>
  <c r="AQ945" i="2"/>
  <c r="AQ340" i="2"/>
  <c r="AQ924" i="2"/>
  <c r="AQ20" i="2"/>
  <c r="AQ1109" i="2"/>
  <c r="AQ605" i="2"/>
  <c r="AE605" i="2" s="1"/>
  <c r="S605" i="2" s="1"/>
  <c r="AQ1089" i="2"/>
  <c r="AQ982" i="2"/>
  <c r="AQ754" i="2"/>
  <c r="AQ219" i="2"/>
  <c r="AQ715" i="2"/>
  <c r="AQ570" i="2"/>
  <c r="AQ1218" i="2"/>
  <c r="AQ680" i="2"/>
  <c r="AQ859" i="2"/>
  <c r="AQ676" i="2"/>
  <c r="AQ1050" i="2"/>
  <c r="AQ906" i="2"/>
  <c r="AQ640" i="2"/>
  <c r="AQ1115" i="2"/>
  <c r="AQ808" i="2"/>
  <c r="AQ1056" i="2"/>
  <c r="AE1056" i="2" s="1"/>
  <c r="S1056" i="2" s="1"/>
  <c r="AQ1173" i="2"/>
  <c r="AQ1265" i="2"/>
  <c r="AQ1269" i="2"/>
  <c r="AQ1148" i="2"/>
  <c r="AQ1102" i="2"/>
  <c r="AQ1251" i="2"/>
  <c r="AQ1133" i="2"/>
  <c r="AQ965" i="2"/>
  <c r="AQ360" i="2"/>
  <c r="AQ891" i="2"/>
  <c r="AQ534" i="2"/>
  <c r="AQ832" i="2"/>
  <c r="AQ1012" i="2"/>
  <c r="AQ1097" i="2"/>
  <c r="AQ843" i="2"/>
  <c r="AQ506" i="2"/>
  <c r="AE506" i="2" s="1"/>
  <c r="S506" i="2" s="1"/>
  <c r="AQ564" i="2"/>
  <c r="AQ779" i="2"/>
  <c r="AQ626" i="2"/>
  <c r="AQ657" i="2"/>
  <c r="AQ611" i="2"/>
  <c r="AQ662" i="2"/>
  <c r="AQ594" i="2"/>
  <c r="AQ588" i="2"/>
  <c r="AQ430" i="2"/>
  <c r="AQ482" i="2"/>
  <c r="AQ454" i="2"/>
  <c r="AQ644" i="2"/>
  <c r="AQ189" i="2"/>
  <c r="AQ230" i="2"/>
  <c r="AQ188" i="2"/>
  <c r="AQ96" i="2"/>
  <c r="AE96" i="2" s="1"/>
  <c r="S96" i="2" s="1"/>
  <c r="AQ109" i="2"/>
  <c r="AQ16" i="2"/>
  <c r="AQ887" i="2"/>
  <c r="AU382" i="2"/>
  <c r="AU593" i="2"/>
  <c r="AU720" i="2"/>
  <c r="AU225" i="2"/>
  <c r="AU591" i="2"/>
  <c r="AU621" i="2"/>
  <c r="AU786" i="2"/>
  <c r="AU1044" i="2"/>
  <c r="AU600" i="2"/>
  <c r="AU245" i="2"/>
  <c r="AU421" i="2"/>
  <c r="AU154" i="2"/>
  <c r="AU324" i="2"/>
  <c r="AU1033" i="2"/>
  <c r="AU903" i="2"/>
  <c r="AU899" i="2"/>
  <c r="AU1021" i="2"/>
  <c r="AU376" i="2"/>
  <c r="AU976" i="2"/>
  <c r="AU992" i="2"/>
  <c r="AU1194" i="2"/>
  <c r="AU1074" i="2"/>
  <c r="AU1247" i="2"/>
  <c r="AU130" i="2"/>
  <c r="AU261" i="2"/>
  <c r="AU270" i="2"/>
  <c r="AU1052" i="2"/>
  <c r="AU986" i="2"/>
  <c r="AU40" i="2"/>
  <c r="AI40" i="2" s="1"/>
  <c r="W40" i="2" s="1"/>
  <c r="AU917" i="2"/>
  <c r="AU850" i="2"/>
  <c r="AU1126" i="2"/>
  <c r="AU257" i="2"/>
  <c r="AU1182" i="2"/>
  <c r="AU815" i="2"/>
  <c r="AU842" i="2"/>
  <c r="AU1168" i="2"/>
  <c r="AU688" i="2"/>
  <c r="AU1038" i="2"/>
  <c r="AU1152" i="2"/>
  <c r="AU1061" i="2"/>
  <c r="AU1146" i="2"/>
  <c r="AU1234" i="2"/>
  <c r="AU744" i="2"/>
  <c r="AU1007" i="2"/>
  <c r="AI1007" i="2" s="1"/>
  <c r="W1007" i="2" s="1"/>
  <c r="AU1156" i="2"/>
  <c r="AU878" i="2"/>
  <c r="AU893" i="2"/>
  <c r="AU1250" i="2"/>
  <c r="AU1220" i="2"/>
  <c r="AU1192" i="2"/>
  <c r="AU343" i="2"/>
  <c r="AU684" i="2"/>
  <c r="AU353" i="2"/>
  <c r="AU610" i="2"/>
  <c r="AU833" i="2"/>
  <c r="AU368" i="2"/>
  <c r="AU597" i="2"/>
  <c r="AU760" i="2"/>
  <c r="AU402" i="2"/>
  <c r="AU750" i="2"/>
  <c r="AI750" i="2" s="1"/>
  <c r="W750" i="2" s="1"/>
  <c r="AU700" i="2"/>
  <c r="AU723" i="2"/>
  <c r="AU817" i="2"/>
  <c r="AU286" i="2"/>
  <c r="AU28" i="2"/>
  <c r="AU249" i="2"/>
  <c r="AU354" i="2"/>
  <c r="AU497" i="2"/>
  <c r="AU717" i="2"/>
  <c r="AU310" i="2"/>
  <c r="AU114" i="2"/>
  <c r="AU70" i="2"/>
  <c r="AU157" i="2"/>
  <c r="AU145" i="2"/>
  <c r="AU58" i="2"/>
  <c r="AU53" i="2"/>
  <c r="AI53" i="2" s="1"/>
  <c r="W53" i="2" s="1"/>
  <c r="AU834" i="2"/>
  <c r="AU1073" i="2"/>
  <c r="AT211" i="2"/>
  <c r="AT151" i="2"/>
  <c r="AT812" i="2"/>
  <c r="AT181" i="2"/>
  <c r="AT597" i="2"/>
  <c r="AT401" i="2"/>
  <c r="AT469" i="2"/>
  <c r="AT1246" i="2"/>
  <c r="AT840" i="2"/>
  <c r="AT788" i="2"/>
  <c r="AT1205" i="2"/>
  <c r="AT1172" i="2"/>
  <c r="AT546" i="2"/>
  <c r="AT791" i="2"/>
  <c r="AH791" i="2" s="1"/>
  <c r="V791" i="2" s="1"/>
  <c r="AT799" i="2"/>
  <c r="AT1016" i="2"/>
  <c r="AT1130" i="2"/>
  <c r="AT856" i="2"/>
  <c r="AT801" i="2"/>
  <c r="AT280" i="2"/>
  <c r="AT717" i="2"/>
  <c r="AT944" i="2"/>
  <c r="AT1134" i="2"/>
  <c r="AT1020" i="2"/>
  <c r="AT1253" i="2"/>
  <c r="AT687" i="2"/>
  <c r="AT946" i="2"/>
  <c r="AT1223" i="2"/>
  <c r="AT874" i="2"/>
  <c r="AT1010" i="2"/>
  <c r="AH1010" i="2" s="1"/>
  <c r="V1010" i="2" s="1"/>
  <c r="AT1263" i="2"/>
  <c r="AT1073" i="2"/>
  <c r="AT254" i="2"/>
  <c r="AT763" i="2"/>
  <c r="AT1244" i="2"/>
  <c r="AT489" i="2"/>
  <c r="AT1152" i="2"/>
  <c r="AT764" i="2"/>
  <c r="AT831" i="2"/>
  <c r="AT1041" i="2"/>
  <c r="AT1057" i="2"/>
  <c r="AT1121" i="2"/>
  <c r="AT598" i="2"/>
  <c r="AT12" i="2"/>
  <c r="AT516" i="2"/>
  <c r="AT777" i="2"/>
  <c r="AH777" i="2" s="1"/>
  <c r="V777" i="2" s="1"/>
  <c r="AT250" i="2"/>
  <c r="AT650" i="2"/>
  <c r="AT294" i="2"/>
  <c r="AT569" i="2"/>
  <c r="AT714" i="2"/>
  <c r="AT249" i="2"/>
  <c r="AT566" i="2"/>
  <c r="AT616" i="2"/>
  <c r="AT390" i="2"/>
  <c r="AT170" i="2"/>
  <c r="AT596" i="2"/>
  <c r="AT281" i="2"/>
  <c r="AT309" i="2"/>
  <c r="AT627" i="2"/>
  <c r="AT273" i="2"/>
  <c r="AT532" i="2"/>
  <c r="AH532" i="2" s="1"/>
  <c r="V532" i="2" s="1"/>
  <c r="AT834" i="2"/>
  <c r="AT297" i="2"/>
  <c r="AT612" i="2"/>
  <c r="AT394" i="2"/>
  <c r="AT147" i="2"/>
  <c r="AT60" i="2"/>
  <c r="AT162" i="2"/>
  <c r="AT68" i="2"/>
  <c r="AT85" i="2"/>
  <c r="AT10" i="2"/>
  <c r="AT45" i="2"/>
  <c r="AT119" i="2"/>
  <c r="AT230" i="2"/>
  <c r="AT540" i="2"/>
  <c r="AT732" i="2"/>
  <c r="AT896" i="2"/>
  <c r="AH896" i="2" s="1"/>
  <c r="V896" i="2" s="1"/>
  <c r="AT1147" i="2"/>
  <c r="AS40" i="2"/>
  <c r="AS1110" i="2"/>
  <c r="AS699" i="2"/>
  <c r="AS136" i="2"/>
  <c r="AS1256" i="2"/>
  <c r="AS1074" i="2"/>
  <c r="AS758" i="2"/>
  <c r="AS214" i="2"/>
  <c r="AS213" i="2"/>
  <c r="AS777" i="2"/>
  <c r="AS1239" i="2"/>
  <c r="AS1012" i="2"/>
  <c r="AS587" i="2"/>
  <c r="AS271" i="2"/>
  <c r="AS936" i="2"/>
  <c r="AG936" i="2" s="1"/>
  <c r="U936" i="2" s="1"/>
  <c r="AS492" i="2"/>
  <c r="AS146" i="2"/>
  <c r="AS657" i="2"/>
  <c r="AS478" i="2"/>
  <c r="AS1013" i="2"/>
  <c r="AS1078" i="2"/>
  <c r="AS966" i="2"/>
  <c r="AS863" i="2"/>
  <c r="AS905" i="2"/>
  <c r="AS1212" i="2"/>
  <c r="AS958" i="2"/>
  <c r="AS1041" i="2"/>
  <c r="AS502" i="2"/>
  <c r="AS1002" i="2"/>
  <c r="AS824" i="2"/>
  <c r="AS929" i="2"/>
  <c r="AG929" i="2" s="1"/>
  <c r="U929" i="2" s="1"/>
  <c r="AS1001" i="2"/>
  <c r="AS1190" i="2"/>
  <c r="AS1217" i="2"/>
  <c r="AS779" i="2"/>
  <c r="AS313" i="2"/>
  <c r="AS471" i="2"/>
  <c r="AS712" i="2"/>
  <c r="AS421" i="2"/>
  <c r="AS243" i="2"/>
  <c r="AS393" i="2"/>
  <c r="AS645" i="2"/>
  <c r="AS176" i="2"/>
  <c r="AS259" i="2"/>
  <c r="AS501" i="2"/>
  <c r="AS551" i="2"/>
  <c r="AS439" i="2"/>
  <c r="AG439" i="2" s="1"/>
  <c r="U439" i="2" s="1"/>
  <c r="AS733" i="2"/>
  <c r="AS316" i="2"/>
  <c r="AS646" i="2"/>
  <c r="AS260" i="2"/>
  <c r="AS441" i="2"/>
  <c r="AS500" i="2"/>
  <c r="AS165" i="2"/>
  <c r="AS36" i="2"/>
  <c r="AS52" i="2"/>
  <c r="AS109" i="2"/>
  <c r="AS45" i="2"/>
  <c r="AS21" i="2"/>
  <c r="AS387" i="2"/>
  <c r="AS661" i="2"/>
  <c r="AS887" i="2"/>
  <c r="AS1107" i="2"/>
  <c r="AG1107" i="2" s="1"/>
  <c r="U1107" i="2" s="1"/>
  <c r="AR384" i="2"/>
  <c r="AR263" i="2"/>
  <c r="AR121" i="2"/>
  <c r="AR197" i="2"/>
  <c r="AR120" i="2"/>
  <c r="AR10" i="2"/>
  <c r="AR67" i="2"/>
  <c r="AR1136" i="2"/>
  <c r="AR49" i="2"/>
  <c r="AR279" i="2"/>
  <c r="AR91" i="2"/>
  <c r="AR231" i="2"/>
  <c r="AR1271" i="2"/>
  <c r="AR938" i="2"/>
  <c r="AR146" i="2"/>
  <c r="AR1068" i="2"/>
  <c r="AF1068" i="2" s="1"/>
  <c r="T1068" i="2" s="1"/>
  <c r="AR929" i="2"/>
  <c r="AR1182" i="2"/>
  <c r="AR797" i="2"/>
  <c r="AR604" i="2"/>
  <c r="AR837" i="2"/>
  <c r="AR165" i="2"/>
  <c r="AR1256" i="2"/>
  <c r="AR796" i="2"/>
  <c r="AR1150" i="2"/>
  <c r="AR219" i="2"/>
  <c r="AR1159" i="2"/>
  <c r="AR1261" i="2"/>
  <c r="AR705" i="2"/>
  <c r="AR663" i="2"/>
  <c r="AR152" i="2"/>
  <c r="AR1273" i="2"/>
  <c r="AF1273" i="2" s="1"/>
  <c r="T1273" i="2" s="1"/>
  <c r="AR602" i="2"/>
  <c r="AR988" i="2"/>
  <c r="AR262" i="2"/>
  <c r="AR887" i="2"/>
  <c r="AR558" i="2"/>
  <c r="AR868" i="2"/>
  <c r="AR1252" i="2"/>
  <c r="AR301" i="2"/>
  <c r="AR1266" i="2"/>
  <c r="AR1241" i="2"/>
  <c r="AR379" i="2"/>
  <c r="AR853" i="2"/>
  <c r="AR654" i="2"/>
  <c r="AR1023" i="2"/>
  <c r="AR467" i="2"/>
  <c r="AR1176" i="2"/>
  <c r="AF1176" i="2" s="1"/>
  <c r="T1176" i="2" s="1"/>
  <c r="AR1077" i="2"/>
  <c r="AR1165" i="2"/>
  <c r="AR1111" i="2"/>
  <c r="AR1187" i="2"/>
  <c r="AR1142" i="2"/>
  <c r="AR1211" i="2"/>
  <c r="AR1034" i="2"/>
  <c r="AR447" i="2"/>
  <c r="AR1161" i="2"/>
  <c r="AR1215" i="2"/>
  <c r="AR857" i="2"/>
  <c r="AR329" i="2"/>
  <c r="AR376" i="2"/>
  <c r="AR277" i="2"/>
  <c r="AR455" i="2"/>
  <c r="AR497" i="2"/>
  <c r="AF497" i="2" s="1"/>
  <c r="T497" i="2" s="1"/>
  <c r="AR440" i="2"/>
  <c r="AR551" i="2"/>
  <c r="AR549" i="2"/>
  <c r="AR513" i="2"/>
  <c r="AR439" i="2"/>
  <c r="AR536" i="2"/>
  <c r="AR657" i="2"/>
  <c r="AR643" i="2"/>
  <c r="AR681" i="2"/>
  <c r="AR161" i="2"/>
  <c r="AR160" i="2"/>
  <c r="AR100" i="2"/>
  <c r="AR106" i="2"/>
  <c r="AR27" i="2"/>
  <c r="AR1005" i="2"/>
  <c r="AQ527" i="2"/>
  <c r="AE527" i="2" s="1"/>
  <c r="S527" i="2" s="1"/>
  <c r="AQ362" i="2"/>
  <c r="AQ83" i="2"/>
  <c r="AQ206" i="2"/>
  <c r="AQ283" i="2"/>
  <c r="AQ293" i="2"/>
  <c r="AQ141" i="2"/>
  <c r="AQ105" i="2"/>
  <c r="AQ415" i="2"/>
  <c r="AQ29" i="2"/>
  <c r="AQ226" i="2"/>
  <c r="AQ370" i="2"/>
  <c r="AQ621" i="2"/>
  <c r="AQ442" i="2"/>
  <c r="AQ894" i="2"/>
  <c r="AQ846" i="2"/>
  <c r="AQ572" i="2"/>
  <c r="AE572" i="2" s="1"/>
  <c r="S572" i="2" s="1"/>
  <c r="AQ1080" i="2"/>
  <c r="AQ1027" i="2"/>
  <c r="AQ991" i="2"/>
  <c r="AQ1063" i="2"/>
  <c r="AQ602" i="2"/>
  <c r="AQ1078" i="2"/>
  <c r="AQ398" i="2"/>
  <c r="AQ835" i="2"/>
  <c r="AQ133" i="2"/>
  <c r="AQ1082" i="2"/>
  <c r="AQ727" i="2"/>
  <c r="AQ1209" i="2"/>
  <c r="AQ164" i="2"/>
  <c r="AQ571" i="2"/>
  <c r="AQ868" i="2"/>
  <c r="AQ801" i="2"/>
  <c r="AE801" i="2" s="1"/>
  <c r="S801" i="2" s="1"/>
  <c r="AQ726" i="2"/>
  <c r="AQ1256" i="2"/>
  <c r="AQ880" i="2"/>
  <c r="AQ448" i="2"/>
  <c r="AQ346" i="2"/>
  <c r="AQ1177" i="2"/>
  <c r="AQ286" i="2"/>
  <c r="AQ576" i="2"/>
  <c r="AQ1104" i="2"/>
  <c r="AQ912" i="2"/>
  <c r="AQ1182" i="2"/>
  <c r="AQ986" i="2"/>
  <c r="AQ1151" i="2"/>
  <c r="AQ1230" i="2"/>
  <c r="AQ1103" i="2"/>
  <c r="AQ1088" i="2"/>
  <c r="AE1088" i="2" s="1"/>
  <c r="S1088" i="2" s="1"/>
  <c r="AQ1184" i="2"/>
  <c r="AQ1123" i="2"/>
  <c r="AQ921" i="2"/>
  <c r="AQ999" i="2"/>
  <c r="AQ820" i="2"/>
  <c r="AQ390" i="2"/>
  <c r="AQ824" i="2"/>
  <c r="AQ946" i="2"/>
  <c r="AQ1099" i="2"/>
  <c r="AQ393" i="2"/>
  <c r="AQ408" i="2"/>
  <c r="AQ587" i="2"/>
  <c r="AQ652" i="2"/>
  <c r="AQ653" i="2"/>
  <c r="AQ645" i="2"/>
  <c r="AQ561" i="2"/>
  <c r="AE561" i="2" s="1"/>
  <c r="S561" i="2" s="1"/>
  <c r="AQ685" i="2"/>
  <c r="AQ569" i="2"/>
  <c r="AQ547" i="2"/>
  <c r="AQ367" i="2"/>
  <c r="AQ465" i="2"/>
  <c r="AQ409" i="2"/>
  <c r="AQ634" i="2"/>
  <c r="AQ825" i="2"/>
  <c r="AQ207" i="2"/>
  <c r="AQ85" i="2"/>
  <c r="AQ151" i="2"/>
  <c r="AQ62" i="2"/>
  <c r="AQ22" i="2"/>
  <c r="AQ895" i="2"/>
  <c r="AU448" i="2"/>
  <c r="AU510" i="2"/>
  <c r="AI510" i="2" s="1"/>
  <c r="W510" i="2" s="1"/>
  <c r="AU755" i="2"/>
  <c r="AU523" i="2"/>
  <c r="AU346" i="2"/>
  <c r="AU1155" i="2"/>
  <c r="AU492" i="2"/>
  <c r="AU403" i="2"/>
  <c r="AU678" i="2"/>
  <c r="AU326" i="2"/>
  <c r="AU630" i="2"/>
  <c r="AU736" i="2"/>
  <c r="AU297" i="2"/>
  <c r="AU979" i="2"/>
  <c r="AU1113" i="2"/>
  <c r="AU983" i="2"/>
  <c r="AU1215" i="2"/>
  <c r="AU884" i="2"/>
  <c r="AI884" i="2" s="1"/>
  <c r="W884" i="2" s="1"/>
  <c r="AU1078" i="2"/>
  <c r="AU1232" i="2"/>
  <c r="AU1177" i="2"/>
  <c r="AU1259" i="2"/>
  <c r="AU331" i="2"/>
  <c r="AU1009" i="2"/>
  <c r="AU659" i="2"/>
  <c r="AU599" i="2"/>
  <c r="AU623" i="2"/>
  <c r="AU873" i="2"/>
  <c r="AU248" i="2"/>
  <c r="AU957" i="2"/>
  <c r="AU366" i="2"/>
  <c r="AU1203" i="2"/>
  <c r="AU287" i="2"/>
  <c r="AU812" i="2"/>
  <c r="AI812" i="2" s="1"/>
  <c r="W812" i="2" s="1"/>
  <c r="AU385" i="2"/>
  <c r="AU993" i="2"/>
  <c r="AU1187" i="2"/>
  <c r="AU554" i="2"/>
  <c r="AU1039" i="2"/>
  <c r="AU1081" i="2"/>
  <c r="AU1065" i="2"/>
  <c r="AU1022" i="2"/>
  <c r="AU1221" i="2"/>
  <c r="AU724" i="2"/>
  <c r="AU996" i="2"/>
  <c r="AU1119" i="2"/>
  <c r="AU837" i="2"/>
  <c r="AU856" i="2"/>
  <c r="AU1176" i="2"/>
  <c r="AU1117" i="2"/>
  <c r="AI1117" i="2" s="1"/>
  <c r="W1117" i="2" s="1"/>
  <c r="AU1165" i="2"/>
  <c r="AU1238" i="2"/>
  <c r="AU616" i="2"/>
  <c r="AU433" i="2"/>
  <c r="AU552" i="2"/>
  <c r="AU772" i="2"/>
  <c r="AU375" i="2"/>
  <c r="AU594" i="2"/>
  <c r="AU785" i="2"/>
  <c r="AU442" i="2"/>
  <c r="AU713" i="2"/>
  <c r="AU680" i="2"/>
  <c r="AU646" i="2"/>
  <c r="AU808" i="2"/>
  <c r="AU267" i="2"/>
  <c r="AU796" i="2"/>
  <c r="AI796" i="2" s="1"/>
  <c r="W796" i="2" s="1"/>
  <c r="AU244" i="2"/>
  <c r="AU216" i="2"/>
  <c r="AU454" i="2"/>
  <c r="AU708" i="2"/>
  <c r="AU243" i="2"/>
  <c r="AU136" i="2"/>
  <c r="AU49" i="2"/>
  <c r="AU131" i="2"/>
  <c r="AU78" i="2"/>
  <c r="AU64" i="2"/>
  <c r="AU195" i="2"/>
  <c r="AU872" i="2"/>
  <c r="AU1121" i="2"/>
  <c r="AT331" i="2"/>
  <c r="AT818" i="2"/>
  <c r="AT1096" i="2"/>
  <c r="AH1096" i="2" s="1"/>
  <c r="V1096" i="2" s="1"/>
  <c r="AT11" i="2"/>
  <c r="AT472" i="2"/>
  <c r="AT495" i="2"/>
  <c r="AT884" i="2"/>
  <c r="AT1077" i="2"/>
  <c r="AT753" i="2"/>
  <c r="AT860" i="2"/>
  <c r="AT1230" i="2"/>
  <c r="AT1221" i="2"/>
  <c r="AT654" i="2"/>
  <c r="AT878" i="2"/>
  <c r="AT930" i="2"/>
  <c r="AT996" i="2"/>
  <c r="AT1070" i="2"/>
  <c r="AT890" i="2"/>
  <c r="AT1193" i="2"/>
  <c r="AH1193" i="2" s="1"/>
  <c r="V1193" i="2" s="1"/>
  <c r="AT1206" i="2"/>
  <c r="AT398" i="2"/>
  <c r="AT907" i="2"/>
  <c r="AT1115" i="2"/>
  <c r="AT1026" i="2"/>
  <c r="AT1227" i="2"/>
  <c r="AT453" i="2"/>
  <c r="AT926" i="2"/>
  <c r="AT1139" i="2"/>
  <c r="AT886" i="2"/>
  <c r="AT938" i="2"/>
  <c r="AT1260" i="2"/>
  <c r="AT1074" i="2"/>
  <c r="AT910" i="2"/>
  <c r="AT737" i="2"/>
  <c r="AT1170" i="2"/>
  <c r="AH1170" i="2" s="1"/>
  <c r="V1170" i="2" s="1"/>
  <c r="AT523" i="2"/>
  <c r="AT1116" i="2"/>
  <c r="AT724" i="2"/>
  <c r="AT800" i="2"/>
  <c r="AT1017" i="2"/>
  <c r="AT1030" i="2"/>
  <c r="AT1135" i="2"/>
  <c r="AT585" i="2"/>
  <c r="AT59" i="2"/>
  <c r="AT435" i="2"/>
  <c r="AT787" i="2"/>
  <c r="AT270" i="2"/>
  <c r="AT635" i="2"/>
  <c r="AT220" i="2"/>
  <c r="AT562" i="2"/>
  <c r="AT644" i="2"/>
  <c r="AH644" i="2" s="1"/>
  <c r="V644" i="2" s="1"/>
  <c r="AT204" i="2"/>
  <c r="AT645" i="2"/>
  <c r="AT661" i="2"/>
  <c r="AT377" i="2"/>
  <c r="AT194" i="2"/>
  <c r="AT626" i="2"/>
  <c r="AT261" i="2"/>
  <c r="AT317" i="2"/>
  <c r="AT609" i="2"/>
  <c r="AT232" i="2"/>
  <c r="AT536" i="2"/>
  <c r="AT751" i="2"/>
  <c r="AT332" i="2"/>
  <c r="AT652" i="2"/>
  <c r="AT384" i="2"/>
  <c r="AT148" i="2"/>
  <c r="AH148" i="2" s="1"/>
  <c r="V148" i="2" s="1"/>
  <c r="AT67" i="2"/>
  <c r="AT122" i="2"/>
  <c r="AT66" i="2"/>
  <c r="AT72" i="2"/>
  <c r="AT157" i="2"/>
  <c r="AT79" i="2"/>
  <c r="AT132" i="2"/>
  <c r="AT247" i="2"/>
  <c r="AT557" i="2"/>
  <c r="AT790" i="2"/>
  <c r="AT900" i="2"/>
  <c r="AT1128" i="2"/>
  <c r="AS378" i="2"/>
  <c r="AS59" i="2"/>
  <c r="AS210" i="2"/>
  <c r="AS14" i="2"/>
  <c r="AG14" i="2" s="1"/>
  <c r="U14" i="2" s="1"/>
  <c r="AS1213" i="2"/>
  <c r="AS523" i="2"/>
  <c r="AS1195" i="2"/>
  <c r="AS1227" i="2"/>
  <c r="AS803" i="2"/>
  <c r="AS1006" i="2"/>
  <c r="AS1206" i="2"/>
  <c r="AS717" i="2"/>
  <c r="AS955" i="2"/>
  <c r="AS741" i="2"/>
  <c r="AS1056" i="2"/>
  <c r="AS1268" i="2"/>
  <c r="AS99" i="2"/>
  <c r="AS365" i="2"/>
  <c r="AS29" i="2"/>
  <c r="AS179" i="2"/>
  <c r="AG179" i="2" s="1"/>
  <c r="U179" i="2" s="1"/>
  <c r="AS13" i="2"/>
  <c r="AS349" i="2"/>
  <c r="AS15" i="2"/>
  <c r="AS197" i="2"/>
  <c r="AS1020" i="2"/>
  <c r="AS850" i="2"/>
  <c r="AS1080" i="2"/>
  <c r="AS1210" i="2"/>
  <c r="AS284" i="2"/>
  <c r="AS1261" i="2"/>
  <c r="AS1043" i="2"/>
  <c r="AS331" i="2"/>
  <c r="AS1120" i="2"/>
  <c r="AS1263" i="2"/>
  <c r="AS1266" i="2"/>
  <c r="AS204" i="2"/>
  <c r="AG204" i="2" s="1"/>
  <c r="U204" i="2" s="1"/>
  <c r="AS1224" i="2"/>
  <c r="AS671" i="2"/>
  <c r="AS1269" i="2"/>
  <c r="AS131" i="2"/>
  <c r="AS603" i="2"/>
  <c r="AS459" i="2"/>
  <c r="AS116" i="2"/>
  <c r="AS43" i="2"/>
  <c r="AS138" i="2"/>
  <c r="AS480" i="2"/>
  <c r="AS429" i="2"/>
  <c r="AS42" i="2"/>
  <c r="AS10" i="2"/>
  <c r="AS798" i="2"/>
  <c r="AS1215" i="2"/>
  <c r="AS1169" i="2"/>
  <c r="AG1169" i="2" s="1"/>
  <c r="U1169" i="2" s="1"/>
  <c r="AS236" i="2"/>
  <c r="AS674" i="2"/>
  <c r="AS1135" i="2"/>
  <c r="AS665" i="2"/>
  <c r="AS667" i="2"/>
  <c r="AS604" i="2"/>
  <c r="AS1060" i="2"/>
  <c r="AS641" i="2"/>
  <c r="AS812" i="2"/>
  <c r="AS465" i="2"/>
  <c r="AS872" i="2"/>
  <c r="AS720" i="2"/>
  <c r="AS1000" i="2"/>
  <c r="AS592" i="2"/>
  <c r="AS1267" i="2"/>
  <c r="AS237" i="2"/>
  <c r="AG237" i="2" s="1"/>
  <c r="U237" i="2" s="1"/>
  <c r="AS1237" i="2"/>
  <c r="AS706" i="2"/>
  <c r="AS1233" i="2"/>
  <c r="AS989" i="2"/>
  <c r="AS548" i="2"/>
  <c r="AS1240" i="2"/>
  <c r="AS994" i="2"/>
  <c r="AS1243" i="2"/>
  <c r="AS654" i="2"/>
  <c r="AS858" i="2"/>
  <c r="AS1112" i="2"/>
  <c r="AS999" i="2"/>
  <c r="AS1033" i="2"/>
  <c r="AS376" i="2"/>
  <c r="AS890" i="2"/>
  <c r="AS630" i="2"/>
  <c r="AG630" i="2" s="1"/>
  <c r="U630" i="2" s="1"/>
  <c r="AS930" i="2"/>
  <c r="AS938" i="2"/>
  <c r="AS1191" i="2"/>
  <c r="AS1203" i="2"/>
  <c r="AS738" i="2"/>
  <c r="AS336" i="2"/>
  <c r="AS445" i="2"/>
  <c r="AS624" i="2"/>
  <c r="AS382" i="2"/>
  <c r="AS627" i="2"/>
  <c r="AS311" i="2"/>
  <c r="AS392" i="2"/>
  <c r="AS550" i="2"/>
  <c r="AS102" i="2"/>
  <c r="AS218" i="2"/>
  <c r="AS486" i="2"/>
  <c r="AG486" i="2" s="1"/>
  <c r="U486" i="2" s="1"/>
  <c r="AS533" i="2"/>
  <c r="AS363" i="2"/>
  <c r="AS688" i="2"/>
  <c r="AS372" i="2"/>
  <c r="AS635" i="2"/>
  <c r="AS248" i="2"/>
  <c r="AS425" i="2"/>
  <c r="AS420" i="2"/>
  <c r="AS189" i="2"/>
  <c r="AS46" i="2"/>
  <c r="AS12" i="2"/>
  <c r="AS121" i="2"/>
  <c r="AS170" i="2"/>
  <c r="AS22" i="2"/>
  <c r="AS351" i="2"/>
  <c r="AS676" i="2"/>
  <c r="AG676" i="2" s="1"/>
  <c r="U676" i="2" s="1"/>
  <c r="AS911" i="2"/>
  <c r="AS1121" i="2"/>
  <c r="AR105" i="2"/>
  <c r="AR437" i="2"/>
  <c r="AR86" i="2"/>
  <c r="AR683" i="2"/>
  <c r="AR81" i="2"/>
  <c r="AR132" i="2"/>
  <c r="AR130" i="2"/>
  <c r="AR76" i="2"/>
  <c r="AR566" i="2"/>
  <c r="AR1104" i="2"/>
  <c r="AR83" i="2"/>
  <c r="AR156" i="2"/>
  <c r="AR993" i="2"/>
  <c r="AR1258" i="2"/>
  <c r="AF1258" i="2" s="1"/>
  <c r="T1258" i="2" s="1"/>
  <c r="AR88" i="2"/>
  <c r="AR1056" i="2"/>
  <c r="AR1209" i="2"/>
  <c r="AR998" i="2"/>
  <c r="AR686" i="2"/>
  <c r="AR118" i="2"/>
  <c r="AR944" i="2"/>
  <c r="AR1009" i="2"/>
  <c r="AR1119" i="2"/>
  <c r="AR561" i="2"/>
  <c r="AR1177" i="2"/>
  <c r="AR470" i="2"/>
  <c r="AR862" i="2"/>
  <c r="AR1087" i="2"/>
  <c r="AR740" i="2"/>
  <c r="AR829" i="2"/>
  <c r="AF829" i="2" s="1"/>
  <c r="T829" i="2" s="1"/>
  <c r="AR221" i="2"/>
  <c r="AR979" i="2"/>
  <c r="AR833" i="2"/>
  <c r="AR1030" i="2"/>
  <c r="AR295" i="2"/>
  <c r="AR662" i="2"/>
  <c r="AR524" i="2"/>
  <c r="AR963" i="2"/>
  <c r="AR1138" i="2"/>
  <c r="AR373" i="2"/>
  <c r="AR844" i="2"/>
  <c r="AR856" i="2"/>
  <c r="AR684" i="2"/>
  <c r="AR809" i="2"/>
  <c r="AR256" i="2"/>
  <c r="AR1154" i="2"/>
  <c r="AF1154" i="2" s="1"/>
  <c r="T1154" i="2" s="1"/>
  <c r="AR381" i="2"/>
  <c r="AR1113" i="2"/>
  <c r="AR1047" i="2"/>
  <c r="AR984" i="2"/>
  <c r="AR1103" i="2"/>
  <c r="AR1179" i="2"/>
  <c r="AR1140" i="2"/>
  <c r="AR1039" i="2"/>
  <c r="AR977" i="2"/>
  <c r="AR396" i="2"/>
  <c r="AR1137" i="2"/>
  <c r="AR1141" i="2"/>
  <c r="AR382" i="2"/>
  <c r="AR309" i="2"/>
  <c r="AR332" i="2"/>
  <c r="AR300" i="2"/>
  <c r="AF300" i="2" s="1"/>
  <c r="T300" i="2" s="1"/>
  <c r="AR335" i="2"/>
  <c r="AR418" i="2"/>
  <c r="AR367" i="2"/>
  <c r="AR725" i="2"/>
  <c r="AR305" i="2"/>
  <c r="AR417" i="2"/>
  <c r="AR217" i="2"/>
  <c r="AR442" i="2"/>
  <c r="AR591" i="2"/>
  <c r="AR594" i="2"/>
  <c r="AR679" i="2"/>
  <c r="AR143" i="2"/>
  <c r="AR96" i="2"/>
  <c r="AR109" i="2"/>
  <c r="AR114" i="2"/>
  <c r="AR15" i="2"/>
  <c r="AF15" i="2" s="1"/>
  <c r="T15" i="2" s="1"/>
  <c r="AR1031" i="2"/>
  <c r="AQ331" i="2"/>
  <c r="AQ88" i="2"/>
  <c r="AQ75" i="2"/>
  <c r="AQ738" i="2"/>
  <c r="AQ540" i="2"/>
  <c r="AQ477" i="2"/>
  <c r="AQ330" i="2"/>
  <c r="AQ71" i="2"/>
  <c r="AQ431" i="2"/>
  <c r="AQ160" i="2"/>
  <c r="AQ363" i="2"/>
  <c r="AQ326" i="2"/>
  <c r="AQ682" i="2"/>
  <c r="AQ377" i="2"/>
  <c r="AQ1004" i="2"/>
  <c r="AE1004" i="2" s="1"/>
  <c r="S1004" i="2" s="1"/>
  <c r="AQ770" i="2"/>
  <c r="AQ989" i="2"/>
  <c r="AQ1232" i="2"/>
  <c r="AQ1223" i="2"/>
  <c r="AQ1053" i="2"/>
  <c r="AQ768" i="2"/>
  <c r="AQ597" i="2"/>
  <c r="AQ1202" i="2"/>
  <c r="AQ720" i="2"/>
  <c r="AQ1124" i="2"/>
  <c r="AQ427" i="2"/>
  <c r="AQ181" i="2"/>
  <c r="AQ315" i="2"/>
  <c r="AQ1266" i="2"/>
  <c r="AQ445" i="2"/>
  <c r="AQ1252" i="2"/>
  <c r="AQ1008" i="2"/>
  <c r="AQ996" i="2"/>
  <c r="AQ185" i="2"/>
  <c r="AQ760" i="2"/>
  <c r="AQ1046" i="2"/>
  <c r="AQ1176" i="2"/>
  <c r="AQ144" i="2"/>
  <c r="AQ896" i="2"/>
  <c r="AQ539" i="2"/>
  <c r="AQ537" i="2"/>
  <c r="AQ795" i="2"/>
  <c r="AQ259" i="2"/>
  <c r="AQ927" i="2"/>
  <c r="AQ990" i="2"/>
  <c r="AQ1035" i="2"/>
  <c r="AQ1194" i="2"/>
  <c r="AE1194" i="2" s="1"/>
  <c r="S1194" i="2" s="1"/>
  <c r="AQ1049" i="2"/>
  <c r="AQ1084" i="2"/>
  <c r="AQ1170" i="2"/>
  <c r="AQ947" i="2"/>
  <c r="AQ862" i="2"/>
  <c r="AQ1228" i="2"/>
  <c r="AQ837" i="2"/>
  <c r="AQ280" i="2"/>
  <c r="AQ762" i="2"/>
  <c r="AQ852" i="2"/>
  <c r="AQ1068" i="2"/>
  <c r="AQ797" i="2"/>
  <c r="AQ385" i="2"/>
  <c r="AQ529" i="2"/>
  <c r="AQ586" i="2"/>
  <c r="AQ639" i="2"/>
  <c r="AE639" i="2" s="1"/>
  <c r="S639" i="2" s="1"/>
  <c r="AQ478" i="2"/>
  <c r="AQ533" i="2"/>
  <c r="AQ641" i="2"/>
  <c r="AQ486" i="2"/>
  <c r="AQ526" i="2"/>
  <c r="AQ308" i="2"/>
  <c r="AQ491" i="2"/>
  <c r="AQ376" i="2"/>
  <c r="AQ590" i="2"/>
  <c r="AQ686" i="2"/>
  <c r="AQ58" i="2"/>
  <c r="AQ63" i="2"/>
  <c r="AQ167" i="2"/>
  <c r="AQ128" i="2"/>
  <c r="AQ139" i="2"/>
  <c r="AQ972" i="2"/>
  <c r="AE972" i="2" s="1"/>
  <c r="S972" i="2" s="1"/>
  <c r="AU608" i="2"/>
  <c r="AU716" i="2"/>
  <c r="AU348" i="2"/>
  <c r="AU22" i="2"/>
  <c r="AU997" i="2"/>
  <c r="AU75" i="2"/>
  <c r="AU711" i="2"/>
  <c r="AU128" i="2"/>
  <c r="AU193" i="2"/>
  <c r="AU567" i="2"/>
  <c r="AU547" i="2"/>
  <c r="AU253" i="2"/>
  <c r="AU396" i="2"/>
  <c r="AU584" i="2"/>
  <c r="AU1198" i="2"/>
  <c r="AU967" i="2"/>
  <c r="AI967" i="2" s="1"/>
  <c r="W967" i="2" s="1"/>
  <c r="AU1225" i="2"/>
  <c r="AU1208" i="2"/>
  <c r="AU435" i="2"/>
  <c r="AU938" i="2"/>
  <c r="AU172" i="2"/>
  <c r="AU639" i="2"/>
  <c r="AU186" i="2"/>
  <c r="AU948" i="2"/>
  <c r="AU843" i="2"/>
  <c r="AU275" i="2"/>
  <c r="AU731" i="2"/>
  <c r="AU1055" i="2"/>
  <c r="AU506" i="2"/>
  <c r="AU1150" i="2"/>
  <c r="AU742" i="2"/>
  <c r="AU916" i="2"/>
  <c r="AI916" i="2" s="1"/>
  <c r="W916" i="2" s="1"/>
  <c r="AU213" i="2"/>
  <c r="AU722" i="2"/>
  <c r="AU556" i="2"/>
  <c r="AU488" i="2"/>
  <c r="AU959" i="2"/>
  <c r="AU499" i="2"/>
  <c r="AU968" i="2"/>
  <c r="AU1066" i="2"/>
  <c r="AU1053" i="2"/>
  <c r="AU1042" i="2"/>
  <c r="AU1191" i="2"/>
  <c r="AU573" i="2"/>
  <c r="AU966" i="2"/>
  <c r="AU1128" i="2"/>
  <c r="AU1083" i="2"/>
  <c r="AU871" i="2"/>
  <c r="AI871" i="2" s="1"/>
  <c r="W871" i="2" s="1"/>
  <c r="AU1167" i="2"/>
  <c r="AU1090" i="2"/>
  <c r="AU1161" i="2"/>
  <c r="AU1075" i="2"/>
  <c r="AU622" i="2"/>
  <c r="AU328" i="2"/>
  <c r="AU537" i="2"/>
  <c r="AU787" i="2"/>
  <c r="AU274" i="2"/>
  <c r="AU531" i="2"/>
  <c r="AU790" i="2"/>
  <c r="AU428" i="2"/>
  <c r="AU606" i="2"/>
  <c r="AU681" i="2"/>
  <c r="AU555" i="2"/>
  <c r="AU797" i="2"/>
  <c r="AI797" i="2" s="1"/>
  <c r="W797" i="2" s="1"/>
  <c r="AU322" i="2"/>
  <c r="AU721" i="2"/>
  <c r="AU194" i="2"/>
  <c r="AU188" i="2"/>
  <c r="AU397" i="2"/>
  <c r="AU645" i="2"/>
  <c r="AU90" i="2"/>
  <c r="AU10" i="2"/>
  <c r="AU44" i="2"/>
  <c r="AU146" i="2"/>
  <c r="AU48" i="2"/>
  <c r="AU76" i="2"/>
  <c r="AU271" i="2"/>
  <c r="AU853" i="2"/>
  <c r="AU1125" i="2"/>
  <c r="AT222" i="2"/>
  <c r="AH222" i="2" s="1"/>
  <c r="V222" i="2" s="1"/>
  <c r="AT149" i="2"/>
  <c r="AT106" i="2"/>
  <c r="AT272" i="2"/>
  <c r="AT676" i="2"/>
  <c r="AT1174" i="2"/>
  <c r="AT1052" i="2"/>
  <c r="AT757" i="2"/>
  <c r="AT166" i="2"/>
  <c r="AT1136" i="2"/>
  <c r="AT902" i="2"/>
  <c r="AT888" i="2"/>
  <c r="AT1082" i="2"/>
  <c r="AT1151" i="2"/>
  <c r="AT814" i="2"/>
  <c r="AT1238" i="2"/>
  <c r="AT1189" i="2"/>
  <c r="AH1189" i="2" s="1"/>
  <c r="V1189" i="2" s="1"/>
  <c r="AT969" i="2"/>
  <c r="AT927" i="2"/>
  <c r="AT515" i="2"/>
  <c r="AT488" i="2"/>
  <c r="AT854" i="2"/>
  <c r="AT990" i="2"/>
  <c r="AT974" i="2"/>
  <c r="AT1138" i="2"/>
  <c r="AT995" i="2"/>
  <c r="AT928" i="2"/>
  <c r="AT1208" i="2"/>
  <c r="AT847" i="2"/>
  <c r="AT868" i="2"/>
  <c r="AT1165" i="2"/>
  <c r="AT1065" i="2"/>
  <c r="AT1254" i="2"/>
  <c r="AH1254" i="2" s="1"/>
  <c r="V1254" i="2" s="1"/>
  <c r="AT711" i="2"/>
  <c r="AT1117" i="2"/>
  <c r="AT346" i="2"/>
  <c r="AT1122" i="2"/>
  <c r="AT637" i="2"/>
  <c r="AT664" i="2"/>
  <c r="AT999" i="2"/>
  <c r="AT1042" i="2"/>
  <c r="AT966" i="2"/>
  <c r="AT550" i="2"/>
  <c r="AT820" i="2"/>
  <c r="AT505" i="2"/>
  <c r="AT796" i="2"/>
  <c r="AT202" i="2"/>
  <c r="AT493" i="2"/>
  <c r="AT258" i="2"/>
  <c r="AH258" i="2" s="1"/>
  <c r="V258" i="2" s="1"/>
  <c r="AT552" i="2"/>
  <c r="AT581" i="2"/>
  <c r="AT835" i="2"/>
  <c r="AT471" i="2"/>
  <c r="AT507" i="2"/>
  <c r="AT368" i="2"/>
  <c r="AT18" i="2"/>
  <c r="AT594" i="2"/>
  <c r="AT218" i="2"/>
  <c r="AT302" i="2"/>
  <c r="AT539" i="2"/>
  <c r="AT237" i="2"/>
  <c r="AT537" i="2"/>
  <c r="AT733" i="2"/>
  <c r="AT342" i="2"/>
  <c r="AT651" i="2"/>
  <c r="AH651" i="2" s="1"/>
  <c r="V651" i="2" s="1"/>
  <c r="AT301" i="2"/>
  <c r="AT137" i="2"/>
  <c r="AT28" i="2"/>
  <c r="AT118" i="2"/>
  <c r="AT75" i="2"/>
  <c r="AT30" i="2"/>
  <c r="AT100" i="2"/>
  <c r="AT24" i="2"/>
  <c r="AT146" i="2"/>
  <c r="AT276" i="2"/>
  <c r="AT560" i="2"/>
  <c r="AT809" i="2"/>
  <c r="AT922" i="2"/>
  <c r="AT1168" i="2"/>
  <c r="AS761" i="2"/>
  <c r="AS1035" i="2"/>
  <c r="AG1035" i="2" s="1"/>
  <c r="U1035" i="2" s="1"/>
  <c r="H54" i="4"/>
  <c r="F54" i="4" s="1"/>
  <c r="I54" i="4"/>
  <c r="G54" i="4" s="1"/>
  <c r="D21" i="1" s="1"/>
  <c r="AS264" i="2"/>
  <c r="AS186" i="2"/>
  <c r="AS1099" i="2"/>
  <c r="AS159" i="2"/>
  <c r="AS70" i="2"/>
  <c r="AS206" i="2"/>
  <c r="AS364" i="2"/>
  <c r="AS135" i="2"/>
  <c r="AS9" i="2"/>
  <c r="AS111" i="2"/>
  <c r="AS222" i="2"/>
  <c r="AS1264" i="2"/>
  <c r="AS894" i="2"/>
  <c r="AS1040" i="2"/>
  <c r="AG1040" i="2" s="1"/>
  <c r="U1040" i="2" s="1"/>
  <c r="AS1091" i="2"/>
  <c r="AS920" i="2"/>
  <c r="AS752" i="2"/>
  <c r="AS308" i="2"/>
  <c r="AS219" i="2"/>
  <c r="AS960" i="2"/>
  <c r="AS609" i="2"/>
  <c r="AS1232" i="2"/>
  <c r="AS666" i="2"/>
  <c r="AS1030" i="2"/>
  <c r="AS434" i="2"/>
  <c r="AS1007" i="2"/>
  <c r="AS317" i="2"/>
  <c r="AS673" i="2"/>
  <c r="AS652" i="2"/>
  <c r="AS481" i="2"/>
  <c r="AG481" i="2" s="1"/>
  <c r="U481" i="2" s="1"/>
  <c r="AS1146" i="2"/>
  <c r="AS1139" i="2"/>
  <c r="AS690" i="2"/>
  <c r="AS1031" i="2"/>
  <c r="AS1048" i="2"/>
  <c r="AS983" i="2"/>
  <c r="AS1226" i="2"/>
  <c r="AS552" i="2"/>
  <c r="AS860" i="2"/>
  <c r="AS1079" i="2"/>
  <c r="AS918" i="2"/>
  <c r="AS1009" i="2"/>
  <c r="AS1196" i="2"/>
  <c r="AS1259" i="2"/>
  <c r="AS608" i="2"/>
  <c r="AS869" i="2"/>
  <c r="AG869" i="2" s="1"/>
  <c r="U869" i="2" s="1"/>
  <c r="AS883" i="2"/>
  <c r="AS1164" i="2"/>
  <c r="AS1170" i="2"/>
  <c r="AS672" i="2"/>
  <c r="AS286" i="2"/>
  <c r="AS454" i="2"/>
  <c r="AS656" i="2"/>
  <c r="AS407" i="2"/>
  <c r="AS616" i="2"/>
  <c r="AS160" i="2"/>
  <c r="AS314" i="2"/>
  <c r="AS560" i="2"/>
  <c r="AS857" i="2"/>
  <c r="AS241" i="2"/>
  <c r="AS437" i="2"/>
  <c r="AS473" i="2"/>
  <c r="AG473" i="2" s="1"/>
  <c r="U473" i="2" s="1"/>
  <c r="AS390" i="2"/>
  <c r="AS695" i="2"/>
  <c r="AS276" i="2"/>
  <c r="AS601" i="2"/>
  <c r="AS231" i="2"/>
  <c r="AS356" i="2"/>
  <c r="AS448" i="2"/>
  <c r="AS166" i="2"/>
  <c r="AS31" i="2"/>
  <c r="AS154" i="2"/>
  <c r="AS69" i="2"/>
  <c r="AS112" i="2"/>
  <c r="AS28" i="2"/>
  <c r="AS431" i="2"/>
  <c r="AS708" i="2"/>
  <c r="AS884" i="2"/>
  <c r="AS1230" i="2"/>
  <c r="AR124" i="2"/>
  <c r="AR498" i="2"/>
  <c r="AR29" i="2"/>
  <c r="AR840" i="2"/>
  <c r="AR101" i="2"/>
  <c r="AR80" i="2"/>
  <c r="AR464" i="2"/>
  <c r="AR157" i="2"/>
  <c r="AR649" i="2"/>
  <c r="AR348" i="2"/>
  <c r="AR150" i="2"/>
  <c r="AR478" i="2"/>
  <c r="AR1132" i="2"/>
  <c r="AR220" i="2"/>
  <c r="AR280" i="2"/>
  <c r="AF280" i="2" s="1"/>
  <c r="T280" i="2" s="1"/>
  <c r="AR1148" i="2"/>
  <c r="AR1239" i="2"/>
  <c r="AR1051" i="2"/>
  <c r="AR1131" i="2"/>
  <c r="AR1189" i="2"/>
  <c r="AR224" i="2"/>
  <c r="AR1248" i="2"/>
  <c r="AR259" i="2"/>
  <c r="AR189" i="2"/>
  <c r="AR1055" i="2"/>
  <c r="AR346" i="2"/>
  <c r="AR826" i="2"/>
  <c r="AR870" i="2"/>
  <c r="AR218" i="2"/>
  <c r="AR371" i="2"/>
  <c r="AR707" i="2"/>
  <c r="AF707" i="2" s="1"/>
  <c r="T707" i="2" s="1"/>
  <c r="AR947" i="2"/>
  <c r="AR876" i="2"/>
  <c r="AR794" i="2"/>
  <c r="AR147" i="2"/>
  <c r="AR978" i="2"/>
  <c r="AR692" i="2"/>
  <c r="AR1058" i="2"/>
  <c r="AR1109" i="2"/>
  <c r="AR191" i="2"/>
  <c r="AR959" i="2"/>
  <c r="AR1089" i="2"/>
  <c r="AR714" i="2"/>
  <c r="AR1079" i="2"/>
  <c r="AR647" i="2"/>
  <c r="AR1232" i="2"/>
  <c r="AR1228" i="2"/>
  <c r="AF1228" i="2" s="1"/>
  <c r="T1228" i="2" s="1"/>
  <c r="AR1114" i="2"/>
  <c r="AR1025" i="2"/>
  <c r="AR1185" i="2"/>
  <c r="AR1095" i="2"/>
  <c r="AR1155" i="2"/>
  <c r="AR1069" i="2"/>
  <c r="AR980" i="2"/>
  <c r="AR958" i="2"/>
  <c r="AR1200" i="2"/>
  <c r="AR982" i="2"/>
  <c r="AR1099" i="2"/>
  <c r="AR328" i="2"/>
  <c r="AR288" i="2"/>
  <c r="AR274" i="2"/>
  <c r="AR176" i="2"/>
  <c r="AR320" i="2"/>
  <c r="AF320" i="2" s="1"/>
  <c r="T320" i="2" s="1"/>
  <c r="AR422" i="2"/>
  <c r="AR361" i="2"/>
  <c r="AR520" i="2"/>
  <c r="AR313" i="2"/>
  <c r="AR474" i="2"/>
  <c r="AR235" i="2"/>
  <c r="AR476" i="2"/>
  <c r="AR678" i="2"/>
  <c r="AR537" i="2"/>
  <c r="AR628" i="2"/>
  <c r="AR116" i="2"/>
  <c r="AR144" i="2"/>
  <c r="AR69" i="2"/>
  <c r="AR60" i="2"/>
  <c r="AR65" i="2"/>
  <c r="AR1019" i="2"/>
  <c r="AF1019" i="2" s="1"/>
  <c r="T1019" i="2" s="1"/>
  <c r="AQ596" i="2"/>
  <c r="AQ225" i="2"/>
  <c r="AQ64" i="2"/>
  <c r="AQ699" i="2"/>
  <c r="AQ746" i="2"/>
  <c r="AQ295" i="2"/>
  <c r="AQ416" i="2"/>
  <c r="AQ633" i="2"/>
  <c r="AQ796" i="2"/>
  <c r="AQ650" i="2"/>
  <c r="AQ327" i="2"/>
  <c r="AQ235" i="2"/>
  <c r="AQ771" i="2"/>
  <c r="AQ262" i="2"/>
  <c r="AQ1206" i="2"/>
  <c r="AQ691" i="2"/>
  <c r="AE691" i="2" s="1"/>
  <c r="S691" i="2" s="1"/>
  <c r="AQ1058" i="2"/>
  <c r="AQ1044" i="2"/>
  <c r="AQ1091" i="2"/>
  <c r="AQ1119" i="2"/>
  <c r="AQ148" i="2"/>
  <c r="AQ756" i="2"/>
  <c r="AQ412" i="2"/>
  <c r="AQ1216" i="2"/>
  <c r="AQ1136" i="2"/>
  <c r="AQ238" i="2"/>
  <c r="AQ667" i="2"/>
  <c r="AQ313" i="2"/>
  <c r="AQ681" i="2"/>
  <c r="AQ468" i="2"/>
  <c r="AQ925" i="2"/>
  <c r="AQ671" i="2"/>
  <c r="AE671" i="2" s="1"/>
  <c r="S671" i="2" s="1"/>
  <c r="AQ309" i="2"/>
  <c r="AQ242" i="2"/>
  <c r="AQ892" i="2"/>
  <c r="AQ775" i="2"/>
  <c r="AQ1083" i="2"/>
  <c r="AQ310" i="2"/>
  <c r="AQ847" i="2"/>
  <c r="AQ704" i="2"/>
  <c r="AQ654" i="2"/>
  <c r="AQ953" i="2"/>
  <c r="AQ541" i="2"/>
  <c r="AQ1074" i="2"/>
  <c r="AQ879" i="2"/>
  <c r="AQ1042" i="2"/>
  <c r="AQ1172" i="2"/>
  <c r="AQ1039" i="2"/>
  <c r="AE1039" i="2" s="1"/>
  <c r="S1039" i="2" s="1"/>
  <c r="AQ1072" i="2"/>
  <c r="AQ1180" i="2"/>
  <c r="AQ872" i="2"/>
  <c r="AQ842" i="2"/>
  <c r="AQ1235" i="2"/>
  <c r="AQ807" i="2"/>
  <c r="AQ250" i="2"/>
  <c r="AQ745" i="2"/>
  <c r="AQ822" i="2"/>
  <c r="AQ968" i="2"/>
  <c r="AQ802" i="2"/>
  <c r="AQ422" i="2"/>
  <c r="AQ516" i="2"/>
  <c r="AQ528" i="2"/>
  <c r="AQ563" i="2"/>
  <c r="AQ455" i="2"/>
  <c r="AE455" i="2" s="1"/>
  <c r="S455" i="2" s="1"/>
  <c r="AQ551" i="2"/>
  <c r="AQ610" i="2"/>
  <c r="AQ471" i="2"/>
  <c r="AQ566" i="2"/>
  <c r="AQ217" i="2"/>
  <c r="AQ464" i="2"/>
  <c r="AQ361" i="2"/>
  <c r="AQ546" i="2"/>
  <c r="AQ703" i="2"/>
  <c r="AQ51" i="2"/>
  <c r="AQ38" i="2"/>
  <c r="AQ147" i="2"/>
  <c r="AQ93" i="2"/>
  <c r="AQ138" i="2"/>
  <c r="AQ1030" i="2"/>
  <c r="AU624" i="2"/>
  <c r="AI624" i="2" s="1"/>
  <c r="W624" i="2" s="1"/>
  <c r="AU419" i="2"/>
  <c r="AU627" i="2"/>
  <c r="AU374" i="2"/>
  <c r="AU139" i="2"/>
  <c r="AU17" i="2"/>
  <c r="AU336" i="2"/>
  <c r="AU83" i="2"/>
  <c r="AU407" i="2"/>
  <c r="AU671" i="2"/>
  <c r="AU405" i="2"/>
  <c r="AU725" i="2"/>
  <c r="AU763" i="2"/>
  <c r="AU944" i="2"/>
  <c r="AU1133" i="2"/>
  <c r="AU1206" i="2"/>
  <c r="AU1241" i="2"/>
  <c r="AI1241" i="2" s="1"/>
  <c r="W1241" i="2" s="1"/>
  <c r="AU473" i="2"/>
  <c r="AU230" i="2"/>
  <c r="AU1115" i="2"/>
  <c r="AU733" i="2"/>
  <c r="AU932" i="2"/>
  <c r="AU533" i="2"/>
  <c r="AU1148" i="2"/>
  <c r="AU891" i="2"/>
  <c r="AU439" i="2"/>
  <c r="AU657" i="2"/>
  <c r="AU625" i="2"/>
  <c r="AU329" i="2"/>
  <c r="AU1243" i="2"/>
  <c r="AU607" i="2"/>
  <c r="AU1213" i="2"/>
  <c r="AU553" i="2"/>
  <c r="AI553" i="2" s="1"/>
  <c r="W553" i="2" s="1"/>
  <c r="AU1226" i="2"/>
  <c r="AU72" i="2"/>
  <c r="AU1217" i="2"/>
  <c r="AU806" i="2"/>
  <c r="AU238" i="2"/>
  <c r="AU956" i="2"/>
  <c r="AU1032" i="2"/>
  <c r="AU926" i="2"/>
  <c r="AU1013" i="2"/>
  <c r="AU1166" i="2"/>
  <c r="AU579" i="2"/>
  <c r="AU960" i="2"/>
  <c r="AU1095" i="2"/>
  <c r="AU1098" i="2"/>
  <c r="AU496" i="2"/>
  <c r="AU1143" i="2"/>
  <c r="AI1143" i="2" s="1"/>
  <c r="W1143" i="2" s="1"/>
  <c r="AU1035" i="2"/>
  <c r="AU1051" i="2"/>
  <c r="AU999" i="2"/>
  <c r="AU570" i="2"/>
  <c r="AU341" i="2"/>
  <c r="AU576" i="2"/>
  <c r="AU798" i="2"/>
  <c r="AU314" i="2"/>
  <c r="AU565" i="2"/>
  <c r="AU774" i="2"/>
  <c r="AU410" i="2"/>
  <c r="AU617" i="2"/>
  <c r="AU677" i="2"/>
  <c r="AU546" i="2"/>
  <c r="AU778" i="2"/>
  <c r="AU269" i="2"/>
  <c r="AI269" i="2" s="1"/>
  <c r="W269" i="2" s="1"/>
  <c r="AU602" i="2"/>
  <c r="AU106" i="2"/>
  <c r="AU178" i="2"/>
  <c r="AU373" i="2"/>
  <c r="AU648" i="2"/>
  <c r="AU100" i="2"/>
  <c r="AU201" i="2"/>
  <c r="AU74" i="2"/>
  <c r="AU34" i="2"/>
  <c r="AU9" i="2"/>
  <c r="AU174" i="2"/>
  <c r="AU259" i="2"/>
  <c r="AU881" i="2"/>
  <c r="AU1120" i="2"/>
  <c r="AT133" i="2"/>
  <c r="AT531" i="2"/>
  <c r="AH531" i="2" s="1"/>
  <c r="V531" i="2" s="1"/>
  <c r="AT188" i="2"/>
  <c r="AT756" i="2"/>
  <c r="AT657" i="2"/>
  <c r="AT19" i="2"/>
  <c r="AT1069" i="2"/>
  <c r="AT603" i="2"/>
  <c r="AT327" i="2"/>
  <c r="AT1023" i="2"/>
  <c r="AT1154" i="2"/>
  <c r="AT1191" i="2"/>
  <c r="AT589" i="2"/>
  <c r="AT1268" i="2"/>
  <c r="AT1220" i="2"/>
  <c r="AT1179" i="2"/>
  <c r="AT1269" i="2"/>
  <c r="AT813" i="2"/>
  <c r="AH813" i="2" s="1"/>
  <c r="V813" i="2" s="1"/>
  <c r="AT875" i="2"/>
  <c r="AT1043" i="2"/>
  <c r="AT349" i="2"/>
  <c r="AT827" i="2"/>
  <c r="AT1040" i="2"/>
  <c r="AT984" i="2"/>
  <c r="AT1155" i="2"/>
  <c r="AT1007" i="2"/>
  <c r="AT885" i="2"/>
  <c r="AT1185" i="2"/>
  <c r="AT837" i="2"/>
  <c r="AT883" i="2"/>
  <c r="AT994" i="2"/>
  <c r="AT1003" i="2"/>
  <c r="AT1251" i="2"/>
  <c r="AT604" i="2"/>
  <c r="AH604" i="2" s="1"/>
  <c r="V604" i="2" s="1"/>
  <c r="AT1066" i="2"/>
  <c r="AT221" i="2"/>
  <c r="AT1075" i="2"/>
  <c r="AT461" i="2"/>
  <c r="AT573" i="2"/>
  <c r="AT993" i="2"/>
  <c r="AT1036" i="2"/>
  <c r="AT963" i="2"/>
  <c r="AT669" i="2"/>
  <c r="AT723" i="2"/>
  <c r="AT436" i="2"/>
  <c r="AT766" i="2"/>
  <c r="AT183" i="2"/>
  <c r="AT502" i="2"/>
  <c r="AT244" i="2"/>
  <c r="AT492" i="2"/>
  <c r="AH492" i="2" s="1"/>
  <c r="V492" i="2" s="1"/>
  <c r="AT568" i="2"/>
  <c r="AT765" i="2"/>
  <c r="AT475" i="2"/>
  <c r="AT518" i="2"/>
  <c r="AT303" i="2"/>
  <c r="AT9" i="2"/>
  <c r="AT486" i="2"/>
  <c r="AT248" i="2"/>
  <c r="AT285" i="2"/>
  <c r="AT578" i="2"/>
  <c r="AT243" i="2"/>
  <c r="AT534" i="2"/>
  <c r="AT655" i="2"/>
  <c r="AT217" i="2"/>
  <c r="AT574" i="2"/>
  <c r="AT226" i="2"/>
  <c r="AH226" i="2" s="1"/>
  <c r="V226" i="2" s="1"/>
  <c r="AT105" i="2"/>
  <c r="AT29" i="2"/>
  <c r="AT153" i="2"/>
  <c r="AT15" i="2"/>
  <c r="AT78" i="2"/>
  <c r="AT115" i="2"/>
  <c r="AT13" i="2"/>
  <c r="AT95" i="2"/>
  <c r="AT343" i="2"/>
  <c r="AT519" i="2"/>
  <c r="AT747" i="2"/>
  <c r="AT936" i="2"/>
  <c r="AT1144" i="2"/>
  <c r="AS90" i="2"/>
  <c r="AS32" i="2"/>
  <c r="AS320" i="2"/>
  <c r="AG320" i="2" s="1"/>
  <c r="U320" i="2" s="1"/>
  <c r="AS709" i="2"/>
  <c r="AS541" i="2"/>
  <c r="AS55" i="2"/>
  <c r="AS137" i="2"/>
  <c r="AS263" i="2"/>
  <c r="AS282" i="2"/>
  <c r="AS1176" i="2"/>
  <c r="AS470" i="2"/>
  <c r="AS1151" i="2"/>
  <c r="AS1198" i="2"/>
  <c r="AS718" i="2"/>
  <c r="AS342" i="2"/>
  <c r="AS865" i="2"/>
  <c r="AS354" i="2"/>
  <c r="AS192" i="2"/>
  <c r="AS1168" i="2"/>
  <c r="AG1168" i="2" s="1"/>
  <c r="U1168" i="2" s="1"/>
  <c r="AS281" i="2"/>
  <c r="AS1270" i="2"/>
  <c r="AS319" i="2"/>
  <c r="AS1106" i="2"/>
  <c r="AS658" i="2"/>
  <c r="AS1175" i="2"/>
  <c r="AS642" i="2"/>
  <c r="AS942" i="2"/>
  <c r="AS913" i="2"/>
  <c r="AS153" i="2"/>
  <c r="AS953" i="2"/>
  <c r="AS1010" i="2"/>
  <c r="AS736" i="2"/>
  <c r="AS976" i="2"/>
  <c r="AS1174" i="2"/>
  <c r="AS491" i="2"/>
  <c r="AG491" i="2" s="1"/>
  <c r="U491" i="2" s="1"/>
  <c r="AS832" i="2"/>
  <c r="AS1016" i="2"/>
  <c r="AS882" i="2"/>
  <c r="AS1019" i="2"/>
  <c r="AS1182" i="2"/>
  <c r="AS1180" i="2"/>
  <c r="AS261" i="2"/>
  <c r="AS780" i="2"/>
  <c r="AS823" i="2"/>
  <c r="AS1155" i="2"/>
  <c r="AS1142" i="2"/>
  <c r="AS613" i="2"/>
  <c r="AS217" i="2"/>
  <c r="AS438" i="2"/>
  <c r="AS565" i="2"/>
  <c r="AS373" i="2"/>
  <c r="AG373" i="2" s="1"/>
  <c r="U373" i="2" s="1"/>
  <c r="AS578" i="2"/>
  <c r="AS149" i="2"/>
  <c r="AS292" i="2"/>
  <c r="AS571" i="2"/>
  <c r="AS802" i="2"/>
  <c r="AS258" i="2"/>
  <c r="AS367" i="2"/>
  <c r="AS433" i="2"/>
  <c r="AS375" i="2"/>
  <c r="AS700" i="2"/>
  <c r="AS246" i="2"/>
  <c r="AS561" i="2"/>
  <c r="AS268" i="2"/>
  <c r="AS262" i="2"/>
  <c r="AS455" i="2"/>
  <c r="AS107" i="2"/>
  <c r="AG107" i="2" s="1"/>
  <c r="U107" i="2" s="1"/>
  <c r="AS163" i="2"/>
  <c r="AS117" i="2"/>
  <c r="AS62" i="2"/>
  <c r="AS47" i="2"/>
  <c r="AS130" i="2"/>
  <c r="AS430" i="2"/>
  <c r="AS644" i="2"/>
  <c r="AS909" i="2"/>
  <c r="AS1236" i="2"/>
  <c r="AR184" i="2"/>
  <c r="AR387" i="2"/>
  <c r="AR89" i="2"/>
  <c r="AR957" i="2"/>
  <c r="AR427" i="2"/>
  <c r="AR182" i="2"/>
  <c r="AR242" i="2"/>
  <c r="AF242" i="2" s="1"/>
  <c r="T242" i="2" s="1"/>
  <c r="AR583" i="2"/>
  <c r="AR728" i="2"/>
  <c r="AR747" i="2"/>
  <c r="AR208" i="2"/>
  <c r="AR550" i="2"/>
  <c r="AR1156" i="2"/>
  <c r="AR1149" i="2"/>
  <c r="AR360" i="2"/>
  <c r="AR712" i="2"/>
  <c r="AR312" i="2"/>
  <c r="AR603" i="2"/>
  <c r="AR1173" i="2"/>
  <c r="AR1203" i="2"/>
  <c r="AR225" i="2"/>
  <c r="AR892" i="2"/>
  <c r="AR954" i="2"/>
  <c r="AF954" i="2" s="1"/>
  <c r="T954" i="2" s="1"/>
  <c r="AR308" i="2"/>
  <c r="AR1108" i="2"/>
  <c r="AR605" i="2"/>
  <c r="AR1225" i="2"/>
  <c r="AR468" i="2"/>
  <c r="AR456" i="2"/>
  <c r="AR1224" i="2"/>
  <c r="AR495" i="2"/>
  <c r="AR908" i="2"/>
  <c r="AR1049" i="2"/>
  <c r="AR897" i="2"/>
  <c r="AR545" i="2"/>
  <c r="AR1216" i="2"/>
  <c r="AR204" i="2"/>
  <c r="AR1098" i="2"/>
  <c r="AR800" i="2"/>
  <c r="AF800" i="2" s="1"/>
  <c r="T800" i="2" s="1"/>
  <c r="AR410" i="2"/>
  <c r="AR1231" i="2"/>
  <c r="AR841" i="2"/>
  <c r="AR849" i="2"/>
  <c r="AR815" i="2"/>
  <c r="AR393" i="2"/>
  <c r="AR986" i="2"/>
  <c r="AR1268" i="2"/>
  <c r="AR1116" i="2"/>
  <c r="AR945" i="2"/>
  <c r="AR1102" i="2"/>
  <c r="AR1078" i="2"/>
  <c r="AR1166" i="2"/>
  <c r="AR1046" i="2"/>
  <c r="AR873" i="2"/>
  <c r="AR931" i="2"/>
  <c r="AF931" i="2" s="1"/>
  <c r="T931" i="2" s="1"/>
  <c r="AR1197" i="2"/>
  <c r="AR997" i="2"/>
  <c r="AR1050" i="2"/>
  <c r="AR291" i="2"/>
  <c r="AR237" i="2"/>
  <c r="AR264" i="2"/>
  <c r="AR188" i="2"/>
  <c r="AR249" i="2"/>
  <c r="AR383" i="2"/>
  <c r="AR316" i="2"/>
  <c r="AR493" i="2"/>
  <c r="AR232" i="2"/>
  <c r="AR419" i="2"/>
  <c r="AR187" i="2"/>
  <c r="AR389" i="2"/>
  <c r="AR535" i="2"/>
  <c r="AF535" i="2" s="1"/>
  <c r="T535" i="2" s="1"/>
  <c r="AR573" i="2"/>
  <c r="AR661" i="2"/>
  <c r="AR11" i="2"/>
  <c r="AR37" i="2"/>
  <c r="AR185" i="2"/>
  <c r="AR53" i="2"/>
  <c r="AR30" i="2"/>
  <c r="AR1192" i="2"/>
  <c r="AQ712" i="2"/>
  <c r="AQ334" i="2"/>
  <c r="AQ132" i="2"/>
  <c r="AQ1111" i="2"/>
  <c r="AQ350" i="2"/>
  <c r="AQ772" i="2"/>
  <c r="AQ264" i="2"/>
  <c r="AQ285" i="2"/>
  <c r="AE285" i="2" s="1"/>
  <c r="S285" i="2" s="1"/>
  <c r="AQ751" i="2"/>
  <c r="AQ221" i="2"/>
  <c r="AQ336" i="2"/>
  <c r="AQ100" i="2"/>
  <c r="AQ179" i="2"/>
  <c r="AQ428" i="2"/>
  <c r="AQ1023" i="2"/>
  <c r="AQ338" i="2"/>
  <c r="AQ1207" i="2"/>
  <c r="AQ785" i="2"/>
  <c r="AQ885" i="2"/>
  <c r="AQ659" i="2"/>
  <c r="AQ612" i="2"/>
  <c r="AQ208" i="2"/>
  <c r="AQ601" i="2"/>
  <c r="AQ1003" i="2"/>
  <c r="AE1003" i="2" s="1"/>
  <c r="S1003" i="2" s="1"/>
  <c r="AQ268" i="2"/>
  <c r="AQ664" i="2"/>
  <c r="AQ963" i="2"/>
  <c r="AQ400" i="2"/>
  <c r="AQ848" i="2"/>
  <c r="AQ690" i="2"/>
  <c r="AQ995" i="2"/>
  <c r="AQ877" i="2"/>
  <c r="AQ228" i="2"/>
  <c r="AQ114" i="2"/>
  <c r="AQ1222" i="2"/>
  <c r="AQ511" i="2"/>
  <c r="AQ1013" i="2"/>
  <c r="AQ290" i="2"/>
  <c r="AQ950" i="2"/>
  <c r="AQ998" i="2"/>
  <c r="AE998" i="2" s="1"/>
  <c r="S998" i="2" s="1"/>
  <c r="AQ737" i="2"/>
  <c r="AQ830" i="2"/>
  <c r="AQ236" i="2"/>
  <c r="AQ574" i="2"/>
  <c r="AQ804" i="2"/>
  <c r="AQ1018" i="2"/>
  <c r="AQ1200" i="2"/>
  <c r="AQ974" i="2"/>
  <c r="AQ1067" i="2"/>
  <c r="AQ1163" i="2"/>
  <c r="AQ1255" i="2"/>
  <c r="AQ1260" i="2"/>
  <c r="AQ1204" i="2"/>
  <c r="AQ701" i="2"/>
  <c r="AQ1085" i="2"/>
  <c r="AQ673" i="2"/>
  <c r="AE673" i="2" s="1"/>
  <c r="S673" i="2" s="1"/>
  <c r="AQ815" i="2"/>
  <c r="AQ941" i="2"/>
  <c r="AQ805" i="2"/>
  <c r="AQ323" i="2"/>
  <c r="AQ490" i="2"/>
  <c r="AQ599" i="2"/>
  <c r="AQ483" i="2"/>
  <c r="AQ425" i="2"/>
  <c r="AQ473" i="2"/>
  <c r="AQ568" i="2"/>
  <c r="AQ509" i="2"/>
  <c r="AQ519" i="2"/>
  <c r="AQ248" i="2"/>
  <c r="AQ373" i="2"/>
  <c r="AQ342" i="2"/>
  <c r="AQ552" i="2"/>
  <c r="AQ625" i="2"/>
  <c r="AQ156" i="2"/>
  <c r="AQ66" i="2"/>
  <c r="AQ46" i="2"/>
  <c r="AQ142" i="2"/>
  <c r="AQ91" i="2"/>
  <c r="AQ1125" i="2"/>
  <c r="AU443" i="2"/>
  <c r="AU569" i="2"/>
  <c r="AU577" i="2"/>
  <c r="AU743" i="2"/>
  <c r="AU296" i="2"/>
  <c r="AU104" i="2"/>
  <c r="AU388" i="2"/>
  <c r="AU536" i="2"/>
  <c r="AU728" i="2"/>
  <c r="AI728" i="2" s="1"/>
  <c r="W728" i="2" s="1"/>
  <c r="AU125" i="2"/>
  <c r="AU1195" i="2"/>
  <c r="AU1272" i="2"/>
  <c r="AU572" i="2"/>
  <c r="AU814" i="2"/>
  <c r="AU989" i="2"/>
  <c r="AU902" i="2"/>
  <c r="AU272" i="2"/>
  <c r="AU954" i="2"/>
  <c r="AU807" i="2"/>
  <c r="AU1227" i="2"/>
  <c r="AU273" i="2"/>
  <c r="AU1263" i="2"/>
  <c r="AU306" i="2"/>
  <c r="AU1077" i="2"/>
  <c r="AU889" i="2"/>
  <c r="AI889" i="2" s="1"/>
  <c r="W889" i="2" s="1"/>
  <c r="AU176" i="2"/>
  <c r="AU739" i="2"/>
  <c r="AU931" i="2"/>
  <c r="AU619" i="2"/>
  <c r="AU1137" i="2"/>
  <c r="AU754" i="2"/>
  <c r="AU561" i="2"/>
  <c r="AU504" i="2"/>
  <c r="AU461" i="2"/>
  <c r="AU299" i="2"/>
  <c r="AU950" i="2"/>
  <c r="AU939" i="2"/>
  <c r="AU970" i="2"/>
  <c r="AU972" i="2"/>
  <c r="AU998" i="2"/>
  <c r="AU901" i="2"/>
  <c r="AI901" i="2" s="1"/>
  <c r="W901" i="2" s="1"/>
  <c r="AU1015" i="2"/>
  <c r="AU1132" i="2"/>
  <c r="AU1271" i="2"/>
  <c r="AU963" i="2"/>
  <c r="AU980" i="2"/>
  <c r="AU927" i="2"/>
  <c r="AU522" i="2"/>
  <c r="AU1135" i="2"/>
  <c r="AU1024" i="2"/>
  <c r="AU1029" i="2"/>
  <c r="AU1001" i="2"/>
  <c r="AU578" i="2"/>
  <c r="AU200" i="2"/>
  <c r="AU500" i="2"/>
  <c r="AU734" i="2"/>
  <c r="AU316" i="2"/>
  <c r="AI316" i="2" s="1"/>
  <c r="W316" i="2" s="1"/>
  <c r="AU582" i="2"/>
  <c r="AU740" i="2"/>
  <c r="AU380" i="2"/>
  <c r="AU574" i="2"/>
  <c r="AU644" i="2"/>
  <c r="AU586" i="2"/>
  <c r="AU769" i="2"/>
  <c r="AU252" i="2"/>
  <c r="AU526" i="2"/>
  <c r="AU41" i="2"/>
  <c r="AU134" i="2"/>
  <c r="AU369" i="2"/>
  <c r="AU690" i="2"/>
  <c r="AU46" i="2"/>
  <c r="AU226" i="2"/>
  <c r="AU14" i="2"/>
  <c r="AI14" i="2" s="1"/>
  <c r="W14" i="2" s="1"/>
  <c r="AU86" i="2"/>
  <c r="AU203" i="2"/>
  <c r="AU171" i="2"/>
  <c r="AU401" i="2"/>
  <c r="AU877" i="2"/>
  <c r="AU1151" i="2"/>
  <c r="AT31" i="2"/>
  <c r="AT262" i="2"/>
  <c r="AT186" i="2"/>
  <c r="AT412" i="2"/>
  <c r="AT528" i="2"/>
  <c r="AT102" i="2"/>
  <c r="AT943" i="2"/>
  <c r="AT260" i="2"/>
  <c r="AT621" i="2"/>
  <c r="AT849" i="2"/>
  <c r="AH849" i="2" s="1"/>
  <c r="V849" i="2" s="1"/>
  <c r="AT1226" i="2"/>
  <c r="AT1039" i="2"/>
  <c r="AT1088" i="2"/>
  <c r="AT1054" i="2"/>
  <c r="AT1261" i="2"/>
  <c r="AT903" i="2"/>
  <c r="AT1249" i="2"/>
  <c r="AT988" i="2"/>
  <c r="AT913" i="2"/>
  <c r="AT914" i="2"/>
  <c r="AT643" i="2"/>
  <c r="AT781" i="2"/>
  <c r="AT960" i="2"/>
  <c r="AT950" i="2"/>
  <c r="AT1124" i="2"/>
  <c r="AT1228" i="2"/>
  <c r="AH1228" i="2" s="1"/>
  <c r="V1228" i="2" s="1"/>
  <c r="AT895" i="2"/>
  <c r="AT1173" i="2"/>
  <c r="AT830" i="2"/>
  <c r="AT882" i="2"/>
  <c r="AT911" i="2"/>
  <c r="AT1008" i="2"/>
  <c r="AT1222" i="2"/>
  <c r="AT611" i="2"/>
  <c r="AT1044" i="2"/>
  <c r="AT1049" i="2"/>
  <c r="AT1056" i="2"/>
  <c r="AT365" i="2"/>
  <c r="AT482" i="2"/>
  <c r="AT918" i="2"/>
  <c r="AT1012" i="2"/>
  <c r="AT921" i="2"/>
  <c r="AH921" i="2" s="1"/>
  <c r="V921" i="2" s="1"/>
  <c r="AT526" i="2"/>
  <c r="AT703" i="2"/>
  <c r="AT444" i="2"/>
  <c r="AT674" i="2"/>
  <c r="AT168" i="2"/>
  <c r="AT433" i="2"/>
  <c r="AT826" i="2"/>
  <c r="AT418" i="2"/>
  <c r="AT551" i="2"/>
  <c r="AT844" i="2"/>
  <c r="AT421" i="2"/>
  <c r="AT504" i="2"/>
  <c r="AT283" i="2"/>
  <c r="AT761" i="2"/>
  <c r="AT529" i="2"/>
  <c r="AT238" i="2"/>
  <c r="AH238" i="2" s="1"/>
  <c r="V238" i="2" s="1"/>
  <c r="AT296" i="2"/>
  <c r="AT544" i="2"/>
  <c r="AT278" i="2"/>
  <c r="AT586" i="2"/>
  <c r="AT600" i="2"/>
  <c r="AT210" i="2"/>
  <c r="AT533" i="2"/>
  <c r="AT227" i="2"/>
  <c r="AT55" i="2"/>
  <c r="AT208" i="2"/>
  <c r="AT91" i="2"/>
  <c r="AT159" i="2"/>
  <c r="AT50" i="2"/>
  <c r="AT124" i="2"/>
  <c r="AT198" i="2"/>
  <c r="AT111" i="2"/>
  <c r="AH111" i="2" s="1"/>
  <c r="V111" i="2" s="1"/>
  <c r="AT357" i="2"/>
  <c r="AT599" i="2"/>
  <c r="AT811" i="2"/>
  <c r="AT947" i="2"/>
  <c r="AT1178" i="2"/>
  <c r="AM1" i="2"/>
  <c r="AL1" i="2"/>
  <c r="AK1" i="2"/>
  <c r="AJ1" i="2"/>
  <c r="AN1" i="2"/>
  <c r="AS54" i="2"/>
  <c r="AS91" i="2"/>
  <c r="AS200" i="2"/>
  <c r="AS413" i="2"/>
  <c r="AS95" i="2"/>
  <c r="AS487" i="2"/>
  <c r="AG487" i="2" s="1"/>
  <c r="U487" i="2" s="1"/>
  <c r="AS27" i="2"/>
  <c r="AS572" i="2"/>
  <c r="AS769" i="2"/>
  <c r="AS399" i="2"/>
  <c r="AS886" i="2"/>
  <c r="AS174" i="2"/>
  <c r="AS201" i="2"/>
  <c r="AS811" i="2"/>
  <c r="AS118" i="2"/>
  <c r="AS273" i="2"/>
  <c r="AS972" i="2"/>
  <c r="AS1262" i="2"/>
  <c r="AS1188" i="2"/>
  <c r="AS896" i="2"/>
  <c r="AS1271" i="2"/>
  <c r="AS685" i="2"/>
  <c r="AG685" i="2" s="1"/>
  <c r="U685" i="2" s="1"/>
  <c r="AS444" i="2"/>
  <c r="AS1179" i="2"/>
  <c r="AS735" i="2"/>
  <c r="AS1023" i="2"/>
  <c r="AS332" i="2"/>
  <c r="AS880" i="2"/>
  <c r="AS844" i="2"/>
  <c r="AS396" i="2"/>
  <c r="AS1068" i="2"/>
  <c r="AS1024" i="2"/>
  <c r="AS1102" i="2"/>
  <c r="AS970" i="2"/>
  <c r="AS1149" i="2"/>
  <c r="AS493" i="2"/>
  <c r="AS734" i="2"/>
  <c r="AS1011" i="2"/>
  <c r="AG1011" i="2" s="1"/>
  <c r="U1011" i="2" s="1"/>
  <c r="AS555" i="2"/>
  <c r="AS988" i="2"/>
  <c r="AS1098" i="2"/>
  <c r="AS1181" i="2"/>
  <c r="AS269" i="2"/>
  <c r="AS662" i="2"/>
  <c r="AS593" i="2"/>
  <c r="AS1113" i="2"/>
  <c r="AS1133" i="2"/>
  <c r="AS611" i="2"/>
  <c r="AS215" i="2"/>
  <c r="AS424" i="2"/>
  <c r="AS562" i="2"/>
  <c r="AS443" i="2"/>
  <c r="AS564" i="2"/>
  <c r="AS772" i="2"/>
  <c r="AG772" i="2" s="1"/>
  <c r="U772" i="2" s="1"/>
  <c r="AS285" i="2"/>
  <c r="AS537" i="2"/>
  <c r="AS746" i="2"/>
  <c r="AS235" i="2"/>
  <c r="AS384" i="2"/>
  <c r="AS435" i="2"/>
  <c r="AS274" i="2"/>
  <c r="AS679" i="2"/>
  <c r="AS265" i="2"/>
  <c r="AS545" i="2"/>
  <c r="AS188" i="2"/>
  <c r="AS242" i="2"/>
  <c r="AS401" i="2"/>
  <c r="AS60" i="2"/>
  <c r="AS125" i="2"/>
  <c r="AS119" i="2"/>
  <c r="AG119" i="2" s="1"/>
  <c r="U119" i="2" s="1"/>
  <c r="AS68" i="2"/>
  <c r="AS34" i="2"/>
  <c r="AS30" i="2"/>
  <c r="AS414" i="2"/>
  <c r="AS660" i="2"/>
  <c r="AS935" i="2"/>
  <c r="AS1257" i="2"/>
  <c r="AR646" i="2"/>
  <c r="AR311" i="2"/>
  <c r="AR16" i="2"/>
  <c r="AR145" i="2"/>
  <c r="AR522" i="2"/>
  <c r="AR32" i="2"/>
  <c r="AR743" i="2"/>
  <c r="AR499" i="2"/>
  <c r="AR162" i="2"/>
  <c r="AF162" i="2" s="1"/>
  <c r="T162" i="2" s="1"/>
  <c r="AR108" i="2"/>
  <c r="AR103" i="2"/>
  <c r="AR651" i="2"/>
  <c r="AR867" i="2"/>
  <c r="AR319" i="2"/>
  <c r="AR540" i="2"/>
  <c r="AR884" i="2"/>
  <c r="AR739" i="2"/>
  <c r="AR1170" i="2"/>
  <c r="AR911" i="2"/>
  <c r="AR1246" i="2"/>
  <c r="AR245" i="2"/>
  <c r="AR1172" i="2"/>
  <c r="AR1207" i="2"/>
  <c r="AR351" i="2"/>
  <c r="AR391" i="2"/>
  <c r="AF391" i="2" s="1"/>
  <c r="T391" i="2" s="1"/>
  <c r="AR369" i="2"/>
  <c r="AR1251" i="2"/>
  <c r="AR374" i="2"/>
  <c r="AR638" i="2"/>
  <c r="AR846" i="2"/>
  <c r="AR562" i="2"/>
  <c r="AR1097" i="2"/>
  <c r="AR1090" i="2"/>
  <c r="AR1007" i="2"/>
  <c r="AR421" i="2"/>
  <c r="AR1074" i="2"/>
  <c r="AR487" i="2"/>
  <c r="AR881" i="2"/>
  <c r="AR1129" i="2"/>
  <c r="AR588" i="2"/>
  <c r="AR1084" i="2"/>
  <c r="AF1084" i="2" s="1"/>
  <c r="T1084" i="2" s="1"/>
  <c r="AR1110" i="2"/>
  <c r="AR989" i="2"/>
  <c r="AR1223" i="2"/>
  <c r="AR737" i="2"/>
  <c r="AR1238" i="2"/>
  <c r="AR620" i="2"/>
  <c r="AR1093" i="2"/>
  <c r="AR919" i="2"/>
  <c r="AR1120" i="2"/>
  <c r="AR1070" i="2"/>
  <c r="AR1082" i="2"/>
  <c r="AR937" i="2"/>
  <c r="AR623" i="2"/>
  <c r="AR898" i="2"/>
  <c r="AR1139" i="2"/>
  <c r="AR1008" i="2"/>
  <c r="AF1008" i="2" s="1"/>
  <c r="T1008" i="2" s="1"/>
  <c r="AR1065" i="2"/>
  <c r="AR824" i="2"/>
  <c r="AR247" i="2"/>
  <c r="AR787" i="2"/>
  <c r="AR827" i="2"/>
  <c r="AR261" i="2"/>
  <c r="AR368" i="2"/>
  <c r="AR276" i="2"/>
  <c r="AR425" i="2"/>
  <c r="AR240" i="2"/>
  <c r="AR409" i="2"/>
  <c r="AR792" i="2"/>
  <c r="AR414" i="2"/>
  <c r="AR479" i="2"/>
  <c r="AR534" i="2"/>
  <c r="AR579" i="2"/>
  <c r="AF579" i="2" s="1"/>
  <c r="T579" i="2" s="1"/>
  <c r="AR255" i="2"/>
  <c r="AR199" i="2"/>
  <c r="AR139" i="2"/>
  <c r="AR70" i="2"/>
  <c r="AR87" i="2"/>
  <c r="AR1196" i="2"/>
  <c r="AQ607" i="2"/>
  <c r="AQ718" i="2"/>
  <c r="AQ121" i="2"/>
  <c r="AQ856" i="2"/>
  <c r="AQ429" i="2"/>
  <c r="AQ55" i="2"/>
  <c r="AQ279" i="2"/>
  <c r="AQ502" i="2"/>
  <c r="AQ752" i="2"/>
  <c r="AQ347" i="2"/>
  <c r="AE347" i="2" s="1"/>
  <c r="S347" i="2" s="1"/>
  <c r="AQ61" i="2"/>
  <c r="AQ1055" i="2"/>
  <c r="AQ337" i="2"/>
  <c r="AQ616" i="2"/>
  <c r="AQ1160" i="2"/>
  <c r="AQ580" i="2"/>
  <c r="AQ1169" i="2"/>
  <c r="AQ209" i="2"/>
  <c r="AQ698" i="2"/>
  <c r="AQ1168" i="2"/>
  <c r="AQ418" i="2"/>
  <c r="AQ688" i="2"/>
  <c r="AQ389" i="2"/>
  <c r="AQ806" i="2"/>
  <c r="AQ812" i="2"/>
  <c r="AQ575" i="2"/>
  <c r="AE575" i="2" s="1"/>
  <c r="S575" i="2" s="1"/>
  <c r="AQ730" i="2"/>
  <c r="AQ202" i="2"/>
  <c r="AQ1129" i="2"/>
  <c r="AQ556" i="2"/>
  <c r="AQ1059" i="2"/>
  <c r="AQ1191" i="2"/>
  <c r="AQ460" i="2"/>
  <c r="AQ583" i="2"/>
  <c r="AQ1254" i="2"/>
  <c r="AQ711" i="2"/>
  <c r="AQ851" i="2"/>
  <c r="AQ396" i="2"/>
  <c r="AQ1066" i="2"/>
  <c r="AQ1258" i="2"/>
  <c r="AQ733" i="2"/>
  <c r="AQ961" i="2"/>
  <c r="AE961" i="2" s="1"/>
  <c r="S961" i="2" s="1"/>
  <c r="AQ420" i="2"/>
  <c r="AQ890" i="2"/>
  <c r="AQ630" i="2"/>
  <c r="AQ973" i="2"/>
  <c r="AQ1162" i="2"/>
  <c r="AQ944" i="2"/>
  <c r="AQ936" i="2"/>
  <c r="AQ1147" i="2"/>
  <c r="AQ1243" i="2"/>
  <c r="AQ1186" i="2"/>
  <c r="AQ1167" i="2"/>
  <c r="AQ603" i="2"/>
  <c r="AQ992" i="2"/>
  <c r="AQ648" i="2"/>
  <c r="AQ827" i="2"/>
  <c r="AQ949" i="2"/>
  <c r="AE949" i="2" s="1"/>
  <c r="S949" i="2" s="1"/>
  <c r="AQ783" i="2"/>
  <c r="AQ335" i="2"/>
  <c r="AQ424" i="2"/>
  <c r="AQ503" i="2"/>
  <c r="AQ461" i="2"/>
  <c r="AQ358" i="2"/>
  <c r="AQ591" i="2"/>
  <c r="AQ510" i="2"/>
  <c r="AQ507" i="2"/>
  <c r="AQ449" i="2"/>
  <c r="AQ251" i="2"/>
  <c r="AQ292" i="2"/>
  <c r="AQ304" i="2"/>
  <c r="AQ550" i="2"/>
  <c r="AQ623" i="2"/>
  <c r="AQ178" i="2"/>
  <c r="AE178" i="2" s="1"/>
  <c r="S178" i="2" s="1"/>
  <c r="AQ186" i="2"/>
  <c r="AQ131" i="2"/>
  <c r="AQ74" i="2"/>
  <c r="AQ59" i="2"/>
  <c r="AQ1166" i="2"/>
  <c r="AU112" i="2"/>
  <c r="AU221" i="2"/>
  <c r="AU667" i="2"/>
  <c r="AU265" i="2"/>
  <c r="AU698" i="2"/>
  <c r="AU54" i="2"/>
  <c r="AU214" i="2"/>
  <c r="AU747" i="2"/>
  <c r="AU686" i="2"/>
  <c r="AU67" i="2"/>
  <c r="AU614" i="2"/>
  <c r="AI614" i="2" s="1"/>
  <c r="W614" i="2" s="1"/>
  <c r="AU703" i="2"/>
  <c r="AU280" i="2"/>
  <c r="AU820" i="2"/>
  <c r="AU955" i="2"/>
  <c r="AU1094" i="2"/>
  <c r="AU236" i="2"/>
  <c r="AU1211" i="2"/>
  <c r="AU313" i="2"/>
  <c r="AU1105" i="2"/>
  <c r="AU304" i="2"/>
  <c r="AU918" i="2"/>
  <c r="AU501" i="2"/>
  <c r="AU1028" i="2"/>
  <c r="AU1064" i="2"/>
  <c r="AU666" i="2"/>
  <c r="AU505" i="2"/>
  <c r="AI505" i="2" s="1"/>
  <c r="W505" i="2" s="1"/>
  <c r="AU1047" i="2"/>
  <c r="AU147" i="2"/>
  <c r="AU1100" i="2"/>
  <c r="AU673" i="2"/>
  <c r="AU1034" i="2"/>
  <c r="AU654" i="2"/>
  <c r="AU1258" i="2"/>
  <c r="AU548" i="2"/>
  <c r="AU962" i="2"/>
  <c r="AU978" i="2"/>
  <c r="AU1087" i="2"/>
  <c r="AU941" i="2"/>
  <c r="AU894" i="2"/>
  <c r="AU855" i="2"/>
  <c r="AU982" i="2"/>
  <c r="AU1101" i="2"/>
  <c r="AI1101" i="2" s="1"/>
  <c r="W1101" i="2" s="1"/>
  <c r="AU1214" i="2"/>
  <c r="AU912" i="2"/>
  <c r="AU958" i="2"/>
  <c r="AU1249" i="2"/>
  <c r="AU479" i="2"/>
  <c r="AU1114" i="2"/>
  <c r="AU969" i="2"/>
  <c r="AU994" i="2"/>
  <c r="AU940" i="2"/>
  <c r="AU502" i="2"/>
  <c r="AU165" i="2"/>
  <c r="AU422" i="2"/>
  <c r="AU727" i="2"/>
  <c r="AU258" i="2"/>
  <c r="AU571" i="2"/>
  <c r="AU697" i="2"/>
  <c r="AI697" i="2" s="1"/>
  <c r="W697" i="2" s="1"/>
  <c r="AU356" i="2"/>
  <c r="AU560" i="2"/>
  <c r="AU634" i="2"/>
  <c r="AU482" i="2"/>
  <c r="AU746" i="2"/>
  <c r="AU232" i="2"/>
  <c r="AU557" i="2"/>
  <c r="AU809" i="2"/>
  <c r="AU794" i="2"/>
  <c r="AU386" i="2"/>
  <c r="AU643" i="2"/>
  <c r="AU35" i="2"/>
  <c r="AU181" i="2"/>
  <c r="AU24" i="2"/>
  <c r="AU62" i="2"/>
  <c r="AU97" i="2"/>
  <c r="AI97" i="2" s="1"/>
  <c r="W97" i="2" s="1"/>
  <c r="AU173" i="2"/>
  <c r="AU417" i="2"/>
  <c r="AU897" i="2"/>
  <c r="AU1154" i="2"/>
  <c r="AT49" i="2"/>
  <c r="AT406" i="2"/>
  <c r="AT275" i="2"/>
  <c r="AT142" i="2"/>
  <c r="AT246" i="2"/>
  <c r="AT154" i="2"/>
  <c r="AT1245" i="2"/>
  <c r="AT239" i="2"/>
  <c r="AT852" i="2"/>
  <c r="AT968" i="2"/>
  <c r="AT691" i="2"/>
  <c r="AT795" i="2"/>
  <c r="AH795" i="2" s="1"/>
  <c r="V795" i="2" s="1"/>
  <c r="AT1171" i="2"/>
  <c r="AT1225" i="2"/>
  <c r="AT1087" i="2"/>
  <c r="AT1114" i="2"/>
  <c r="AT1256" i="2"/>
  <c r="AT1067" i="2"/>
  <c r="AT951" i="2"/>
  <c r="AT1024" i="2"/>
  <c r="AT1266" i="2"/>
  <c r="AH1266" i="2" s="1"/>
  <c r="V1266" i="2" s="1"/>
  <c r="AT389" i="2"/>
  <c r="AT876" i="2"/>
  <c r="AT933" i="2"/>
  <c r="AT1072" i="2"/>
  <c r="AT1216" i="2"/>
  <c r="AT892" i="2"/>
  <c r="AT1187" i="2"/>
  <c r="AH1187" i="2" s="1"/>
  <c r="V1187" i="2" s="1"/>
  <c r="AT792" i="2"/>
  <c r="AT804" i="2"/>
  <c r="AT1006" i="2"/>
  <c r="AT965" i="2"/>
  <c r="AT1181" i="2"/>
  <c r="AT593" i="2"/>
  <c r="AT1058" i="2"/>
  <c r="AT976" i="2"/>
  <c r="AT1032" i="2"/>
  <c r="AT314" i="2"/>
  <c r="AT372" i="2"/>
  <c r="AT889" i="2"/>
  <c r="AT1000" i="2"/>
  <c r="AT828" i="2"/>
  <c r="AT517" i="2"/>
  <c r="AT665" i="2"/>
  <c r="AH665" i="2" s="1"/>
  <c r="V665" i="2" s="1"/>
  <c r="AT352" i="2"/>
  <c r="AT694" i="2"/>
  <c r="AT786" i="2"/>
  <c r="AT419" i="2"/>
  <c r="AT772" i="2"/>
  <c r="AT454" i="2"/>
  <c r="AT506" i="2"/>
  <c r="AT803" i="2"/>
  <c r="AT446" i="2"/>
  <c r="AT522" i="2"/>
  <c r="AT340" i="2"/>
  <c r="AT755" i="2"/>
  <c r="AT468" i="2"/>
  <c r="AT199" i="2"/>
  <c r="AT292" i="2"/>
  <c r="AT520" i="2"/>
  <c r="AH520" i="2" s="1"/>
  <c r="V520" i="2" s="1"/>
  <c r="AT201" i="2"/>
  <c r="AT479" i="2"/>
  <c r="AT629" i="2"/>
  <c r="AT242" i="2"/>
  <c r="AT564" i="2"/>
  <c r="AT240" i="2"/>
  <c r="AT46" i="2"/>
  <c r="AT180" i="2"/>
  <c r="AT73" i="2"/>
  <c r="AT163" i="2"/>
  <c r="AT71" i="2"/>
  <c r="AT84" i="2"/>
  <c r="AT120" i="2"/>
  <c r="AT127" i="2"/>
  <c r="AT341" i="2"/>
  <c r="AT592" i="2"/>
  <c r="AH592" i="2" s="1"/>
  <c r="V592" i="2" s="1"/>
  <c r="AT829" i="2"/>
  <c r="AT956" i="2"/>
  <c r="AT1184" i="2"/>
  <c r="AS347" i="2"/>
  <c r="AS540" i="2"/>
  <c r="AS773" i="2"/>
  <c r="AS945" i="2"/>
  <c r="AS759" i="2"/>
  <c r="AS1167" i="2"/>
  <c r="AS723" i="2"/>
  <c r="AS330" i="2"/>
  <c r="AS1042" i="2"/>
  <c r="AS321" i="2"/>
  <c r="AS727" i="2"/>
  <c r="AS893" i="2"/>
  <c r="AS922" i="2"/>
  <c r="AG922" i="2" s="1"/>
  <c r="U922" i="2" s="1"/>
  <c r="AS1247" i="2"/>
  <c r="AS1131" i="2"/>
  <c r="AS1130" i="2"/>
  <c r="AS519" i="2"/>
  <c r="AS472" i="2"/>
  <c r="AS1245" i="2"/>
  <c r="AS208" i="2"/>
  <c r="AS1187" i="2"/>
  <c r="AS681" i="2"/>
  <c r="AS990" i="2"/>
  <c r="AS950" i="2"/>
  <c r="AS520" i="2"/>
  <c r="AS300" i="2"/>
  <c r="AS1082" i="2"/>
  <c r="AS1089" i="2"/>
  <c r="AS943" i="2"/>
  <c r="AG943" i="2" s="1"/>
  <c r="U943" i="2" s="1"/>
  <c r="AS1140" i="2"/>
  <c r="AS446" i="2"/>
  <c r="AS722" i="2"/>
  <c r="AS992" i="2"/>
  <c r="AS456" i="2"/>
  <c r="AS964" i="2"/>
  <c r="AS1090" i="2"/>
  <c r="AS1152" i="2"/>
  <c r="AS1234" i="2"/>
  <c r="AS337" i="2"/>
  <c r="AS1207" i="2"/>
  <c r="AS1083" i="2"/>
  <c r="AS1095" i="2"/>
  <c r="AS568" i="2"/>
  <c r="AS251" i="2"/>
  <c r="AS379" i="2"/>
  <c r="AG379" i="2" s="1"/>
  <c r="U379" i="2" s="1"/>
  <c r="AS580" i="2"/>
  <c r="AS333" i="2"/>
  <c r="AS511" i="2"/>
  <c r="AS751" i="2"/>
  <c r="AS255" i="2"/>
  <c r="AS453" i="2"/>
  <c r="AS655" i="2"/>
  <c r="AS173" i="2"/>
  <c r="AS226" i="2"/>
  <c r="AS477" i="2"/>
  <c r="AS335" i="2"/>
  <c r="AS589" i="2"/>
  <c r="AS233" i="2"/>
  <c r="AS588" i="2"/>
  <c r="AS88" i="2"/>
  <c r="AS225" i="2"/>
  <c r="AG225" i="2" s="1"/>
  <c r="U225" i="2" s="1"/>
  <c r="AS339" i="2"/>
  <c r="AS169" i="2"/>
  <c r="AS122" i="2"/>
  <c r="AS120" i="2"/>
  <c r="AS63" i="2"/>
  <c r="AS195" i="2"/>
  <c r="AS150" i="2"/>
  <c r="AS460" i="2"/>
  <c r="AS692" i="2"/>
  <c r="AS957" i="2"/>
  <c r="AR57" i="2"/>
  <c r="AR200" i="2"/>
  <c r="AR668" i="2"/>
  <c r="AR459" i="2"/>
  <c r="AR72" i="2"/>
  <c r="AR172" i="2"/>
  <c r="AF172" i="2" s="1"/>
  <c r="T172" i="2" s="1"/>
  <c r="AR555" i="2"/>
  <c r="AR119" i="2"/>
  <c r="AR433" i="2"/>
  <c r="AR759" i="2"/>
  <c r="AR20" i="2"/>
  <c r="AR388" i="2"/>
  <c r="AR768" i="2"/>
  <c r="AR362" i="2"/>
  <c r="AR347" i="2"/>
  <c r="AR751" i="2"/>
  <c r="AR1017" i="2"/>
  <c r="AR378" i="2"/>
  <c r="AR880" i="2"/>
  <c r="AR960" i="2"/>
  <c r="AR1249" i="2"/>
  <c r="AR503" i="2"/>
  <c r="AF503" i="2" s="1"/>
  <c r="T503" i="2" s="1"/>
  <c r="AR1270" i="2"/>
  <c r="AR1128" i="2"/>
  <c r="AR949" i="2"/>
  <c r="AR900" i="2"/>
  <c r="AR574" i="2"/>
  <c r="AR461" i="2"/>
  <c r="AR283" i="2"/>
  <c r="AR708" i="2"/>
  <c r="AR923" i="2"/>
  <c r="AR586" i="2"/>
  <c r="AR1122" i="2"/>
  <c r="AR1075" i="2"/>
  <c r="AR1144" i="2"/>
  <c r="AR807" i="2"/>
  <c r="AR1221" i="2"/>
  <c r="AR700" i="2"/>
  <c r="AF700" i="2" s="1"/>
  <c r="T700" i="2" s="1"/>
  <c r="AR847" i="2"/>
  <c r="AR875" i="2"/>
  <c r="AR212" i="2"/>
  <c r="AR1001" i="2"/>
  <c r="AR718" i="2"/>
  <c r="AR1052" i="2"/>
  <c r="AR1186" i="2"/>
  <c r="AR572" i="2"/>
  <c r="AR457" i="2"/>
  <c r="AR438" i="2"/>
  <c r="AR1076" i="2"/>
  <c r="AR855" i="2"/>
  <c r="AR1067" i="2"/>
  <c r="AR972" i="2"/>
  <c r="AR1064" i="2"/>
  <c r="AR917" i="2"/>
  <c r="AF917" i="2" s="1"/>
  <c r="T917" i="2" s="1"/>
  <c r="AR607" i="2"/>
  <c r="AR835" i="2"/>
  <c r="AR1066" i="2"/>
  <c r="AR968" i="2"/>
  <c r="AR940" i="2"/>
  <c r="AR674" i="2"/>
  <c r="AR153" i="2"/>
  <c r="AR795" i="2"/>
  <c r="AR774" i="2"/>
  <c r="AR233" i="2"/>
  <c r="AR211" i="2"/>
  <c r="AR299" i="2"/>
  <c r="AR445" i="2"/>
  <c r="AR252" i="2"/>
  <c r="AR402" i="2"/>
  <c r="AR693" i="2"/>
  <c r="AF693" i="2" s="1"/>
  <c r="T693" i="2" s="1"/>
  <c r="AR449" i="2"/>
  <c r="AR424" i="2"/>
  <c r="AR423" i="2"/>
  <c r="AR509" i="2"/>
  <c r="AR95" i="2"/>
  <c r="AR142" i="2"/>
  <c r="AR127" i="2"/>
  <c r="AR43" i="2"/>
  <c r="AR93" i="2"/>
  <c r="AR1257" i="2"/>
  <c r="AQ810" i="2"/>
  <c r="AQ298" i="2"/>
  <c r="AQ15" i="2"/>
  <c r="AQ137" i="2"/>
  <c r="AQ271" i="2"/>
  <c r="AQ130" i="2"/>
  <c r="AE130" i="2" s="1"/>
  <c r="S130" i="2" s="1"/>
  <c r="AQ683" i="2"/>
  <c r="AQ466" i="2"/>
  <c r="AQ403" i="2"/>
  <c r="AQ631" i="2"/>
  <c r="AQ92" i="2"/>
  <c r="AQ523" i="2"/>
  <c r="AQ24" i="2"/>
  <c r="AQ716" i="2"/>
  <c r="AQ1071" i="2"/>
  <c r="AQ444" i="2"/>
  <c r="AQ977" i="2"/>
  <c r="AQ555" i="2"/>
  <c r="AQ637" i="2"/>
  <c r="AQ1095" i="2"/>
  <c r="AQ600" i="2"/>
  <c r="AQ1247" i="2"/>
  <c r="AQ260" i="2"/>
  <c r="AQ1213" i="2"/>
  <c r="AQ909" i="2"/>
  <c r="AQ893" i="2"/>
  <c r="AQ1122" i="2"/>
  <c r="AQ253" i="2"/>
  <c r="AQ402" i="2"/>
  <c r="AQ724" i="2"/>
  <c r="AQ434" i="2"/>
  <c r="AQ1242" i="2"/>
  <c r="AQ1231" i="2"/>
  <c r="AQ649" i="2"/>
  <c r="AQ708" i="2"/>
  <c r="AQ446" i="2"/>
  <c r="AQ1153" i="2"/>
  <c r="AQ608" i="2"/>
  <c r="AE608" i="2" s="1"/>
  <c r="S608" i="2" s="1"/>
  <c r="AQ166" i="2"/>
  <c r="AQ819" i="2"/>
  <c r="AQ263" i="2"/>
  <c r="AQ884" i="2"/>
  <c r="AQ203" i="2"/>
  <c r="AQ1014" i="2"/>
  <c r="AQ452" i="2"/>
  <c r="AQ951" i="2"/>
  <c r="AQ1098" i="2"/>
  <c r="AQ915" i="2"/>
  <c r="AQ913" i="2"/>
  <c r="AQ1154" i="2"/>
  <c r="AQ1137" i="2"/>
  <c r="AQ1190" i="2"/>
  <c r="AQ1161" i="2"/>
  <c r="AQ535" i="2"/>
  <c r="AE535" i="2" s="1"/>
  <c r="S535" i="2" s="1"/>
  <c r="AQ934" i="2"/>
  <c r="AQ492" i="2"/>
  <c r="AQ722" i="2"/>
  <c r="AQ902" i="2"/>
  <c r="AQ747" i="2"/>
  <c r="AQ218" i="2"/>
  <c r="AQ423" i="2"/>
  <c r="AQ369" i="2"/>
  <c r="AQ364" i="2"/>
  <c r="AQ481" i="2"/>
  <c r="AQ438" i="2"/>
  <c r="AQ494" i="2"/>
  <c r="AQ435" i="2"/>
  <c r="AQ366" i="2"/>
  <c r="AQ272" i="2"/>
  <c r="AQ324" i="2"/>
  <c r="AE324" i="2" s="1"/>
  <c r="S324" i="2" s="1"/>
  <c r="AQ318" i="2"/>
  <c r="AQ544" i="2"/>
  <c r="AQ536" i="2"/>
  <c r="AQ107" i="2"/>
  <c r="AQ157" i="2"/>
  <c r="AQ162" i="2"/>
  <c r="AQ125" i="2"/>
  <c r="AQ187" i="2"/>
  <c r="AQ1175" i="2"/>
  <c r="AU525" i="2"/>
  <c r="AU59" i="2"/>
  <c r="AU20" i="2"/>
  <c r="AU234" i="2"/>
  <c r="AU120" i="2"/>
  <c r="AU126" i="2"/>
  <c r="AU1131" i="2"/>
  <c r="AI1131" i="2" s="1"/>
  <c r="W1131" i="2" s="1"/>
  <c r="AU189" i="2"/>
  <c r="AU990" i="2"/>
  <c r="AU61" i="2"/>
  <c r="AU423" i="2"/>
  <c r="AU1036" i="2"/>
  <c r="AU669" i="2"/>
  <c r="AU911" i="2"/>
  <c r="AU1268" i="2"/>
  <c r="AU1147" i="2"/>
  <c r="AU508" i="2"/>
  <c r="AU830" i="2"/>
  <c r="AU340" i="2"/>
  <c r="AU1216" i="2"/>
  <c r="AU437" i="2"/>
  <c r="AU1233" i="2"/>
  <c r="AU246" i="2"/>
  <c r="AI246" i="2" s="1"/>
  <c r="W246" i="2" s="1"/>
  <c r="AU285" i="2"/>
  <c r="AU1196" i="2"/>
  <c r="AU924" i="2"/>
  <c r="AU852" i="2"/>
  <c r="AU1136" i="2"/>
  <c r="AU452" i="2"/>
  <c r="AU784" i="2"/>
  <c r="AU641" i="2"/>
  <c r="AU861" i="2"/>
  <c r="AU362" i="2"/>
  <c r="AU977" i="2"/>
  <c r="AU609" i="2"/>
  <c r="AU933" i="2"/>
  <c r="AU882" i="2"/>
  <c r="AU1093" i="2"/>
  <c r="AU930" i="2"/>
  <c r="AI930" i="2" s="1"/>
  <c r="W930" i="2" s="1"/>
  <c r="AU885" i="2"/>
  <c r="AU818" i="2"/>
  <c r="AU985" i="2"/>
  <c r="AU1134" i="2"/>
  <c r="AU1185" i="2"/>
  <c r="AU866" i="2"/>
  <c r="AU947" i="2"/>
  <c r="AU1184" i="2"/>
  <c r="AU446" i="2"/>
  <c r="AU1080" i="2"/>
  <c r="AU909" i="2"/>
  <c r="AU1014" i="2"/>
  <c r="AU859" i="2"/>
  <c r="AU472" i="2"/>
  <c r="AU209" i="2"/>
  <c r="AU406" i="2"/>
  <c r="AI406" i="2" s="1"/>
  <c r="W406" i="2" s="1"/>
  <c r="AU756" i="2"/>
  <c r="AU235" i="2"/>
  <c r="AU562" i="2"/>
  <c r="AU658" i="2"/>
  <c r="AU359" i="2"/>
  <c r="AU495" i="2"/>
  <c r="AU524" i="2"/>
  <c r="AU489" i="2"/>
  <c r="AU712" i="2"/>
  <c r="AU445" i="2"/>
  <c r="AU545" i="2"/>
  <c r="AU788" i="2"/>
  <c r="AU692" i="2"/>
  <c r="AU289" i="2"/>
  <c r="AU618" i="2"/>
  <c r="AU88" i="2"/>
  <c r="AI88" i="2" s="1"/>
  <c r="W88" i="2" s="1"/>
  <c r="AU98" i="2"/>
  <c r="AU149" i="2"/>
  <c r="AU82" i="2"/>
  <c r="AU101" i="2"/>
  <c r="AU132" i="2"/>
  <c r="AU587" i="2"/>
  <c r="AU951" i="2"/>
  <c r="AU1210" i="2"/>
  <c r="AT364" i="2"/>
  <c r="AT530" i="2"/>
  <c r="AT802" i="2"/>
  <c r="AT605" i="2"/>
  <c r="AT514" i="2"/>
  <c r="AT684" i="2"/>
  <c r="AT1060" i="2"/>
  <c r="AT842" i="2"/>
  <c r="AH842" i="2" s="1"/>
  <c r="V842" i="2" s="1"/>
  <c r="AT1083" i="2"/>
  <c r="AT1019" i="2"/>
  <c r="AT1078" i="2"/>
  <c r="AT1231" i="2"/>
  <c r="AT915" i="2"/>
  <c r="AT866" i="2"/>
  <c r="AT851" i="2"/>
  <c r="AT973" i="2"/>
  <c r="AT1157" i="2"/>
  <c r="AH1157" i="2" s="1"/>
  <c r="V1157" i="2" s="1"/>
  <c r="AT858" i="2"/>
  <c r="AH858" i="2" s="1"/>
  <c r="V858" i="2" s="1"/>
  <c r="AT494" i="2"/>
  <c r="AT952" i="2"/>
  <c r="AH952" i="2" s="1"/>
  <c r="V952" i="2" s="1"/>
  <c r="AT865" i="2"/>
  <c r="AT289" i="2"/>
  <c r="AT1209" i="2"/>
  <c r="AT948" i="2"/>
  <c r="AH948" i="2" s="1"/>
  <c r="V948" i="2" s="1"/>
  <c r="AT1029" i="2"/>
  <c r="AT1186" i="2"/>
  <c r="AT862" i="2"/>
  <c r="AT1196" i="2"/>
  <c r="AT696" i="2"/>
  <c r="AT816" i="2"/>
  <c r="AT1002" i="2"/>
  <c r="AH1002" i="2" s="1"/>
  <c r="V1002" i="2" s="1"/>
  <c r="AT919" i="2"/>
  <c r="AT1162" i="2"/>
  <c r="AT252" i="2"/>
  <c r="AT1018" i="2"/>
  <c r="AT932" i="2"/>
  <c r="AT1021" i="2"/>
  <c r="AH1021" i="2" s="1"/>
  <c r="V1021" i="2" s="1"/>
  <c r="AT1229" i="2"/>
  <c r="AH1229" i="2" s="1"/>
  <c r="V1229" i="2" s="1"/>
  <c r="AT1211" i="2"/>
  <c r="AH1211" i="2" s="1"/>
  <c r="V1211" i="2" s="1"/>
  <c r="AT784" i="2"/>
  <c r="AH784" i="2" s="1"/>
  <c r="V784" i="2" s="1"/>
  <c r="AT940" i="2"/>
  <c r="AT760" i="2"/>
  <c r="AH760" i="2" s="1"/>
  <c r="V760" i="2" s="1"/>
  <c r="AT491" i="2"/>
  <c r="AT706" i="2"/>
  <c r="AH706" i="2" s="1"/>
  <c r="V706" i="2" s="1"/>
  <c r="AT371" i="2"/>
  <c r="AT688" i="2"/>
  <c r="AT780" i="2"/>
  <c r="AT429" i="2"/>
  <c r="AH429" i="2" s="1"/>
  <c r="V429" i="2" s="1"/>
  <c r="AT806" i="2"/>
  <c r="AH806" i="2" s="1"/>
  <c r="V806" i="2" s="1"/>
  <c r="AT363" i="2"/>
  <c r="AT565" i="2"/>
  <c r="AT762" i="2"/>
  <c r="AT304" i="2"/>
  <c r="AT490" i="2"/>
  <c r="AT415" i="2"/>
  <c r="AT769" i="2"/>
  <c r="AH769" i="2" s="1"/>
  <c r="V769" i="2" s="1"/>
  <c r="AT633" i="2"/>
  <c r="AT200" i="2"/>
  <c r="AT177" i="2"/>
  <c r="AT510" i="2"/>
  <c r="AT808" i="2"/>
  <c r="AT513" i="2"/>
  <c r="AT558" i="2"/>
  <c r="AT267" i="2"/>
  <c r="AT481" i="2"/>
  <c r="AT216" i="2"/>
  <c r="AT51" i="2"/>
  <c r="AT88" i="2"/>
  <c r="AT37" i="2"/>
  <c r="AT193" i="2"/>
  <c r="AT110" i="2"/>
  <c r="AT140" i="2"/>
  <c r="AH140" i="2" s="1"/>
  <c r="V140" i="2" s="1"/>
  <c r="AT114" i="2"/>
  <c r="AT225" i="2"/>
  <c r="AT336" i="2"/>
  <c r="AT618" i="2"/>
  <c r="AT807" i="2"/>
  <c r="AT992" i="2"/>
  <c r="AT1176" i="2"/>
  <c r="AH1176" i="2" s="1"/>
  <c r="V1176" i="2" s="1"/>
  <c r="AS275" i="2"/>
  <c r="AS1197" i="2"/>
  <c r="AS370" i="2"/>
  <c r="AS1157" i="2"/>
  <c r="AS205" i="2"/>
  <c r="AS1037" i="2"/>
  <c r="AS427" i="2"/>
  <c r="AS1221" i="2"/>
  <c r="AS878" i="2"/>
  <c r="AG878" i="2" s="1"/>
  <c r="U878" i="2" s="1"/>
  <c r="AS1047" i="2"/>
  <c r="AS1219" i="2"/>
  <c r="AS605" i="2"/>
  <c r="AS906" i="2"/>
  <c r="AS381" i="2"/>
  <c r="AS898" i="2"/>
  <c r="AS716" i="2"/>
  <c r="AS927" i="2"/>
  <c r="AS993" i="2"/>
  <c r="AS270" i="2"/>
  <c r="AS1103" i="2"/>
  <c r="AS924" i="2"/>
  <c r="AS991" i="2"/>
  <c r="AS933" i="2"/>
  <c r="AS1147" i="2"/>
  <c r="AS238" i="2"/>
  <c r="AG238" i="2" s="1"/>
  <c r="U238" i="2" s="1"/>
  <c r="AS713" i="2"/>
  <c r="AS903" i="2"/>
  <c r="AS98" i="2"/>
  <c r="AS925" i="2"/>
  <c r="AS1096" i="2"/>
  <c r="AS1127" i="2"/>
  <c r="AS1253" i="2"/>
  <c r="AS899" i="2"/>
  <c r="AS1118" i="2"/>
  <c r="AS1022" i="2"/>
  <c r="AS1105" i="2"/>
  <c r="AS591" i="2"/>
  <c r="AS266" i="2"/>
  <c r="AS301" i="2"/>
  <c r="AS607" i="2"/>
  <c r="AS298" i="2"/>
  <c r="AG298" i="2" s="1"/>
  <c r="U298" i="2" s="1"/>
  <c r="AS466" i="2"/>
  <c r="AS659" i="2"/>
  <c r="AS198" i="2"/>
  <c r="AS463" i="2"/>
  <c r="AS600" i="2"/>
  <c r="AS157" i="2"/>
  <c r="AS151" i="2"/>
  <c r="AS432" i="2"/>
  <c r="AS334" i="2"/>
  <c r="AS536" i="2"/>
  <c r="AS199" i="2"/>
  <c r="AS518" i="2"/>
  <c r="AS817" i="2"/>
  <c r="AS329" i="2"/>
  <c r="AS297" i="2"/>
  <c r="AS97" i="2"/>
  <c r="AG97" i="2" s="1"/>
  <c r="U97" i="2" s="1"/>
  <c r="AS106" i="2"/>
  <c r="AS56" i="2"/>
  <c r="AS50" i="2"/>
  <c r="AS93" i="2"/>
  <c r="AS161" i="2"/>
  <c r="AS483" i="2"/>
  <c r="AS743" i="2"/>
  <c r="AS962" i="2"/>
  <c r="AR181" i="2"/>
  <c r="AR431" i="2"/>
  <c r="AR292" i="2"/>
  <c r="AR517" i="2"/>
  <c r="AR35" i="2"/>
  <c r="AR325" i="2"/>
  <c r="AR771" i="2"/>
  <c r="AR195" i="2"/>
  <c r="AF195" i="2" s="1"/>
  <c r="T195" i="2" s="1"/>
  <c r="AR363" i="2"/>
  <c r="AR899" i="2"/>
  <c r="AR41" i="2"/>
  <c r="AR400" i="2"/>
  <c r="AR342" i="2"/>
  <c r="AR1033" i="2"/>
  <c r="AR634" i="2"/>
  <c r="AR134" i="2"/>
  <c r="AR995" i="2"/>
  <c r="AR667" i="2"/>
  <c r="AR1060" i="2"/>
  <c r="AR1071" i="2"/>
  <c r="AR813" i="2"/>
  <c r="AR660" i="2"/>
  <c r="AR1163" i="2"/>
  <c r="AR1115" i="2"/>
  <c r="AF1115" i="2" s="1"/>
  <c r="T1115" i="2" s="1"/>
  <c r="AR1000" i="2"/>
  <c r="AR1262" i="2"/>
  <c r="AR756" i="2"/>
  <c r="AR1230" i="2"/>
  <c r="AR716" i="2"/>
  <c r="AR614" i="2"/>
  <c r="AR1264" i="2"/>
  <c r="AR665" i="2"/>
  <c r="AR842" i="2"/>
  <c r="AR1210" i="2"/>
  <c r="AR1198" i="2"/>
  <c r="AR765" i="2"/>
  <c r="AR999" i="2"/>
  <c r="AR749" i="2"/>
  <c r="AR965" i="2"/>
  <c r="AR180" i="2"/>
  <c r="AF180" i="2" s="1"/>
  <c r="T180" i="2" s="1"/>
  <c r="AR302" i="2"/>
  <c r="AR1126" i="2"/>
  <c r="AR928" i="2"/>
  <c r="AR1081" i="2"/>
  <c r="AR779" i="2"/>
  <c r="AR472" i="2"/>
  <c r="AR895" i="2"/>
  <c r="AR1164" i="2"/>
  <c r="AR991" i="2"/>
  <c r="AR685" i="2"/>
  <c r="AR1028" i="2"/>
  <c r="AR902" i="2"/>
  <c r="AR1053" i="2"/>
  <c r="AR851" i="2"/>
  <c r="AR531" i="2"/>
  <c r="AR571" i="2"/>
  <c r="AF571" i="2" s="1"/>
  <c r="T571" i="2" s="1"/>
  <c r="AR1015" i="2"/>
  <c r="AR932" i="2"/>
  <c r="AR830" i="2"/>
  <c r="AR669" i="2"/>
  <c r="AR672" i="2"/>
  <c r="AR734" i="2"/>
  <c r="AR776" i="2"/>
  <c r="AR209" i="2"/>
  <c r="AR778" i="2"/>
  <c r="AR243" i="2"/>
  <c r="AR406" i="2"/>
  <c r="AR202" i="2"/>
  <c r="AR372" i="2"/>
  <c r="AR758" i="2"/>
  <c r="AR386" i="2"/>
  <c r="AR518" i="2"/>
  <c r="AF518" i="2" s="1"/>
  <c r="T518" i="2" s="1"/>
  <c r="AR352" i="2"/>
  <c r="AR490" i="2"/>
  <c r="AR75" i="2"/>
  <c r="AR98" i="2"/>
  <c r="AR122" i="2"/>
  <c r="AR33" i="2"/>
  <c r="AR79" i="2"/>
  <c r="AH1263" i="2"/>
  <c r="V1263" i="2" s="1"/>
  <c r="AH1271" i="2"/>
  <c r="V1271" i="2" s="1"/>
  <c r="AH1268" i="2"/>
  <c r="V1268" i="2" s="1"/>
  <c r="AH1273" i="2"/>
  <c r="V1273" i="2" s="1"/>
  <c r="AH1269" i="2"/>
  <c r="V1269" i="2" s="1"/>
  <c r="AH1264" i="2"/>
  <c r="V1264" i="2" s="1"/>
  <c r="AH1255" i="2"/>
  <c r="V1255" i="2" s="1"/>
  <c r="AH1252" i="2"/>
  <c r="V1252" i="2" s="1"/>
  <c r="AH1270" i="2"/>
  <c r="V1270" i="2" s="1"/>
  <c r="AH1260" i="2"/>
  <c r="V1260" i="2" s="1"/>
  <c r="AH1256" i="2"/>
  <c r="V1256" i="2" s="1"/>
  <c r="AH1261" i="2"/>
  <c r="V1261" i="2" s="1"/>
  <c r="AH1257" i="2"/>
  <c r="V1257" i="2" s="1"/>
  <c r="AH1259" i="2"/>
  <c r="V1259" i="2" s="1"/>
  <c r="AH1248" i="2"/>
  <c r="V1248" i="2" s="1"/>
  <c r="AH1236" i="2"/>
  <c r="V1236" i="2" s="1"/>
  <c r="AH1253" i="2"/>
  <c r="V1253" i="2" s="1"/>
  <c r="AH1240" i="2"/>
  <c r="V1240" i="2" s="1"/>
  <c r="AH1250" i="2"/>
  <c r="V1250" i="2" s="1"/>
  <c r="AH1258" i="2"/>
  <c r="V1258" i="2" s="1"/>
  <c r="AH1244" i="2"/>
  <c r="V1244" i="2" s="1"/>
  <c r="AH1238" i="2"/>
  <c r="V1238" i="2" s="1"/>
  <c r="AH1251" i="2"/>
  <c r="V1251" i="2" s="1"/>
  <c r="AH1246" i="2"/>
  <c r="V1246" i="2" s="1"/>
  <c r="AH1249" i="2"/>
  <c r="V1249" i="2" s="1"/>
  <c r="AH1245" i="2"/>
  <c r="V1245" i="2" s="1"/>
  <c r="AH1219" i="2"/>
  <c r="V1219" i="2" s="1"/>
  <c r="AH1242" i="2"/>
  <c r="V1242" i="2" s="1"/>
  <c r="AH1231" i="2"/>
  <c r="V1231" i="2" s="1"/>
  <c r="AH1227" i="2"/>
  <c r="V1227" i="2" s="1"/>
  <c r="AH1220" i="2"/>
  <c r="V1220" i="2" s="1"/>
  <c r="AH1234" i="2"/>
  <c r="V1234" i="2" s="1"/>
  <c r="AH1225" i="2"/>
  <c r="V1225" i="2" s="1"/>
  <c r="AH1237" i="2"/>
  <c r="V1237" i="2" s="1"/>
  <c r="AH1216" i="2"/>
  <c r="V1216" i="2" s="1"/>
  <c r="AH1235" i="2"/>
  <c r="V1235" i="2" s="1"/>
  <c r="AH1230" i="2"/>
  <c r="V1230" i="2" s="1"/>
  <c r="AH1217" i="2"/>
  <c r="V1217" i="2" s="1"/>
  <c r="AH1215" i="2"/>
  <c r="V1215" i="2" s="1"/>
  <c r="AH1224" i="2"/>
  <c r="V1224" i="2" s="1"/>
  <c r="AH1226" i="2"/>
  <c r="V1226" i="2" s="1"/>
  <c r="AH1222" i="2"/>
  <c r="V1222" i="2" s="1"/>
  <c r="AH1221" i="2"/>
  <c r="V1221" i="2" s="1"/>
  <c r="AH1207" i="2"/>
  <c r="V1207" i="2" s="1"/>
  <c r="AH1223" i="2"/>
  <c r="V1223" i="2" s="1"/>
  <c r="AH1214" i="2"/>
  <c r="V1214" i="2" s="1"/>
  <c r="AH1205" i="2"/>
  <c r="V1205" i="2" s="1"/>
  <c r="AH1181" i="2"/>
  <c r="V1181" i="2" s="1"/>
  <c r="AH1209" i="2"/>
  <c r="V1209" i="2" s="1"/>
  <c r="AH1191" i="2"/>
  <c r="V1191" i="2" s="1"/>
  <c r="AH1185" i="2"/>
  <c r="V1185" i="2" s="1"/>
  <c r="AH1213" i="2"/>
  <c r="V1213" i="2" s="1"/>
  <c r="AH1173" i="2"/>
  <c r="V1173" i="2" s="1"/>
  <c r="AH1208" i="2"/>
  <c r="V1208" i="2" s="1"/>
  <c r="AH1194" i="2"/>
  <c r="V1194" i="2" s="1"/>
  <c r="AH1179" i="2"/>
  <c r="V1179" i="2" s="1"/>
  <c r="AH1196" i="2"/>
  <c r="V1196" i="2" s="1"/>
  <c r="AH1186" i="2"/>
  <c r="V1186" i="2" s="1"/>
  <c r="AH1178" i="2"/>
  <c r="V1178" i="2" s="1"/>
  <c r="AH1212" i="2"/>
  <c r="V1212" i="2" s="1"/>
  <c r="AH1154" i="2"/>
  <c r="V1154" i="2" s="1"/>
  <c r="AH1155" i="2"/>
  <c r="V1155" i="2" s="1"/>
  <c r="AH1206" i="2"/>
  <c r="V1206" i="2" s="1"/>
  <c r="AH1184" i="2"/>
  <c r="V1184" i="2" s="1"/>
  <c r="AH1156" i="2"/>
  <c r="V1156" i="2" s="1"/>
  <c r="AH1171" i="2"/>
  <c r="V1171" i="2" s="1"/>
  <c r="AH1160" i="2"/>
  <c r="V1160" i="2" s="1"/>
  <c r="AH1182" i="2"/>
  <c r="V1182" i="2" s="1"/>
  <c r="AH1174" i="2"/>
  <c r="V1174" i="2" s="1"/>
  <c r="AH1172" i="2"/>
  <c r="V1172" i="2" s="1"/>
  <c r="AH1197" i="2"/>
  <c r="V1197" i="2" s="1"/>
  <c r="AH1162" i="2"/>
  <c r="V1162" i="2" s="1"/>
  <c r="AH1168" i="2"/>
  <c r="V1168" i="2" s="1"/>
  <c r="AH1165" i="2"/>
  <c r="V1165" i="2" s="1"/>
  <c r="AH1167" i="2"/>
  <c r="V1167" i="2" s="1"/>
  <c r="AH1152" i="2"/>
  <c r="V1152" i="2" s="1"/>
  <c r="AH1140" i="2"/>
  <c r="V1140" i="2" s="1"/>
  <c r="AH1124" i="2"/>
  <c r="V1124" i="2" s="1"/>
  <c r="AH1151" i="2"/>
  <c r="V1151" i="2" s="1"/>
  <c r="AH1141" i="2"/>
  <c r="V1141" i="2" s="1"/>
  <c r="AH1142" i="2"/>
  <c r="V1142" i="2" s="1"/>
  <c r="AH1126" i="2"/>
  <c r="V1126" i="2" s="1"/>
  <c r="AH1144" i="2"/>
  <c r="V1144" i="2" s="1"/>
  <c r="AH1128" i="2"/>
  <c r="V1128" i="2" s="1"/>
  <c r="AH1130" i="2"/>
  <c r="V1130" i="2" s="1"/>
  <c r="AH1132" i="2"/>
  <c r="V1132" i="2" s="1"/>
  <c r="AH1147" i="2"/>
  <c r="V1147" i="2" s="1"/>
  <c r="AH1133" i="2"/>
  <c r="V1133" i="2" s="1"/>
  <c r="AH1117" i="2"/>
  <c r="V1117" i="2" s="1"/>
  <c r="AH1134" i="2"/>
  <c r="V1134" i="2" s="1"/>
  <c r="AH1135" i="2"/>
  <c r="V1135" i="2" s="1"/>
  <c r="AH1136" i="2"/>
  <c r="V1136" i="2" s="1"/>
  <c r="AH1137" i="2"/>
  <c r="V1137" i="2" s="1"/>
  <c r="AH1121" i="2"/>
  <c r="V1121" i="2" s="1"/>
  <c r="AH1148" i="2"/>
  <c r="V1148" i="2" s="1"/>
  <c r="AH1125" i="2"/>
  <c r="V1125" i="2" s="1"/>
  <c r="AH1104" i="2"/>
  <c r="V1104" i="2" s="1"/>
  <c r="AH1088" i="2"/>
  <c r="V1088" i="2" s="1"/>
  <c r="AH1115" i="2"/>
  <c r="V1115" i="2" s="1"/>
  <c r="AH1106" i="2"/>
  <c r="V1106" i="2" s="1"/>
  <c r="AH1108" i="2"/>
  <c r="V1108" i="2" s="1"/>
  <c r="AH1122" i="2"/>
  <c r="V1122" i="2" s="1"/>
  <c r="AH1093" i="2"/>
  <c r="V1093" i="2" s="1"/>
  <c r="AH1139" i="2"/>
  <c r="V1139" i="2" s="1"/>
  <c r="AH1111" i="2"/>
  <c r="V1111" i="2" s="1"/>
  <c r="AH1095" i="2"/>
  <c r="V1095" i="2" s="1"/>
  <c r="AH1138" i="2"/>
  <c r="V1138" i="2" s="1"/>
  <c r="AH1114" i="2"/>
  <c r="V1114" i="2" s="1"/>
  <c r="AH1158" i="2"/>
  <c r="V1158" i="2" s="1"/>
  <c r="AH1072" i="2"/>
  <c r="V1072" i="2" s="1"/>
  <c r="AH1092" i="2"/>
  <c r="V1092" i="2" s="1"/>
  <c r="AH1074" i="2"/>
  <c r="V1074" i="2" s="1"/>
  <c r="AH1099" i="2"/>
  <c r="V1099" i="2" s="1"/>
  <c r="AH1077" i="2"/>
  <c r="V1077" i="2" s="1"/>
  <c r="AH1078" i="2"/>
  <c r="V1078" i="2" s="1"/>
  <c r="AH1079" i="2"/>
  <c r="V1079" i="2" s="1"/>
  <c r="AH1098" i="2"/>
  <c r="V1098" i="2" s="1"/>
  <c r="AH1116" i="2"/>
  <c r="V1116" i="2" s="1"/>
  <c r="AH1082" i="2"/>
  <c r="V1082" i="2" s="1"/>
  <c r="AH1102" i="2"/>
  <c r="V1102" i="2" s="1"/>
  <c r="AH1073" i="2"/>
  <c r="V1073" i="2" s="1"/>
  <c r="AH1065" i="2"/>
  <c r="V1065" i="2" s="1"/>
  <c r="AH1068" i="2"/>
  <c r="V1068" i="2" s="1"/>
  <c r="AH1062" i="2"/>
  <c r="V1062" i="2" s="1"/>
  <c r="AH1055" i="2"/>
  <c r="V1055" i="2" s="1"/>
  <c r="AH1039" i="2"/>
  <c r="V1039" i="2" s="1"/>
  <c r="AH1056" i="2"/>
  <c r="V1056" i="2" s="1"/>
  <c r="AH1057" i="2"/>
  <c r="V1057" i="2" s="1"/>
  <c r="AH1076" i="2"/>
  <c r="V1076" i="2" s="1"/>
  <c r="AH1071" i="2"/>
  <c r="V1071" i="2" s="1"/>
  <c r="AH1066" i="2"/>
  <c r="V1066" i="2" s="1"/>
  <c r="AH1058" i="2"/>
  <c r="V1058" i="2" s="1"/>
  <c r="AH1042" i="2"/>
  <c r="V1042" i="2" s="1"/>
  <c r="AH1087" i="2"/>
  <c r="V1087" i="2" s="1"/>
  <c r="AH1059" i="2"/>
  <c r="V1059" i="2" s="1"/>
  <c r="AH1043" i="2"/>
  <c r="V1043" i="2" s="1"/>
  <c r="AH1084" i="2"/>
  <c r="V1084" i="2" s="1"/>
  <c r="AH1070" i="2"/>
  <c r="V1070" i="2" s="1"/>
  <c r="AH1060" i="2"/>
  <c r="V1060" i="2" s="1"/>
  <c r="AH1086" i="2"/>
  <c r="V1086" i="2" s="1"/>
  <c r="AH1091" i="2"/>
  <c r="V1091" i="2" s="1"/>
  <c r="AH1069" i="2"/>
  <c r="V1069" i="2" s="1"/>
  <c r="AH1067" i="2"/>
  <c r="V1067" i="2" s="1"/>
  <c r="AH1075" i="2"/>
  <c r="V1075" i="2" s="1"/>
  <c r="AH1083" i="2"/>
  <c r="V1083" i="2" s="1"/>
  <c r="AH1064" i="2"/>
  <c r="V1064" i="2" s="1"/>
  <c r="AH1049" i="2"/>
  <c r="V1049" i="2" s="1"/>
  <c r="AH1051" i="2"/>
  <c r="V1051" i="2" s="1"/>
  <c r="AH1026" i="2"/>
  <c r="V1026" i="2" s="1"/>
  <c r="AH1041" i="2"/>
  <c r="V1041" i="2" s="1"/>
  <c r="AH1028" i="2"/>
  <c r="V1028" i="2" s="1"/>
  <c r="AH1044" i="2"/>
  <c r="V1044" i="2" s="1"/>
  <c r="AH1032" i="2"/>
  <c r="V1032" i="2" s="1"/>
  <c r="AH1040" i="2"/>
  <c r="V1040" i="2" s="1"/>
  <c r="AH1036" i="2"/>
  <c r="V1036" i="2" s="1"/>
  <c r="AH1020" i="2"/>
  <c r="V1020" i="2" s="1"/>
  <c r="AH1037" i="2"/>
  <c r="V1037" i="2" s="1"/>
  <c r="AH1054" i="2"/>
  <c r="V1054" i="2" s="1"/>
  <c r="AH1052" i="2"/>
  <c r="V1052" i="2" s="1"/>
  <c r="AH1023" i="2"/>
  <c r="V1023" i="2" s="1"/>
  <c r="AH1007" i="2"/>
  <c r="V1007" i="2" s="1"/>
  <c r="AH1017" i="2"/>
  <c r="V1017" i="2" s="1"/>
  <c r="AH1008" i="2"/>
  <c r="V1008" i="2" s="1"/>
  <c r="AH1009" i="2"/>
  <c r="V1009" i="2" s="1"/>
  <c r="AH1012" i="2"/>
  <c r="V1012" i="2" s="1"/>
  <c r="AH1024" i="2"/>
  <c r="V1024" i="2" s="1"/>
  <c r="AH1016" i="2"/>
  <c r="V1016" i="2" s="1"/>
  <c r="AH1013" i="2"/>
  <c r="V1013" i="2" s="1"/>
  <c r="AH1029" i="2"/>
  <c r="V1029" i="2" s="1"/>
  <c r="AH1022" i="2"/>
  <c r="V1022" i="2" s="1"/>
  <c r="AH1025" i="2"/>
  <c r="V1025" i="2" s="1"/>
  <c r="AH1019" i="2"/>
  <c r="V1019" i="2" s="1"/>
  <c r="AH1004" i="2"/>
  <c r="V1004" i="2" s="1"/>
  <c r="AH992" i="2"/>
  <c r="V992" i="2" s="1"/>
  <c r="AH976" i="2"/>
  <c r="V976" i="2" s="1"/>
  <c r="AH993" i="2"/>
  <c r="V993" i="2" s="1"/>
  <c r="AH994" i="2"/>
  <c r="V994" i="2" s="1"/>
  <c r="AH1030" i="2"/>
  <c r="V1030" i="2" s="1"/>
  <c r="AH1003" i="2"/>
  <c r="V1003" i="2" s="1"/>
  <c r="AH1000" i="2"/>
  <c r="V1000" i="2" s="1"/>
  <c r="AH995" i="2"/>
  <c r="V995" i="2" s="1"/>
  <c r="AH996" i="2"/>
  <c r="V996" i="2" s="1"/>
  <c r="AH981" i="2"/>
  <c r="V981" i="2" s="1"/>
  <c r="AH1018" i="2"/>
  <c r="V1018" i="2" s="1"/>
  <c r="AH983" i="2"/>
  <c r="V983" i="2" s="1"/>
  <c r="AH984" i="2"/>
  <c r="V984" i="2" s="1"/>
  <c r="AH999" i="2"/>
  <c r="V999" i="2" s="1"/>
  <c r="AH987" i="2"/>
  <c r="V987" i="2" s="1"/>
  <c r="AH971" i="2"/>
  <c r="V971" i="2" s="1"/>
  <c r="AH988" i="2"/>
  <c r="V988" i="2" s="1"/>
  <c r="AH1006" i="2"/>
  <c r="V1006" i="2" s="1"/>
  <c r="AH990" i="2"/>
  <c r="V990" i="2" s="1"/>
  <c r="AH974" i="2"/>
  <c r="V974" i="2" s="1"/>
  <c r="AH972" i="2"/>
  <c r="V972" i="2" s="1"/>
  <c r="AH968" i="2"/>
  <c r="V968" i="2" s="1"/>
  <c r="AH955" i="2"/>
  <c r="V955" i="2" s="1"/>
  <c r="AH956" i="2"/>
  <c r="V956" i="2" s="1"/>
  <c r="AH969" i="2"/>
  <c r="V969" i="2" s="1"/>
  <c r="AH960" i="2"/>
  <c r="V960" i="2" s="1"/>
  <c r="AH944" i="2"/>
  <c r="V944" i="2" s="1"/>
  <c r="AH961" i="2"/>
  <c r="V961" i="2" s="1"/>
  <c r="AH945" i="2"/>
  <c r="V945" i="2" s="1"/>
  <c r="AH963" i="2"/>
  <c r="V963" i="2" s="1"/>
  <c r="AH947" i="2"/>
  <c r="V947" i="2" s="1"/>
  <c r="AH965" i="2"/>
  <c r="V965" i="2" s="1"/>
  <c r="AH966" i="2"/>
  <c r="V966" i="2" s="1"/>
  <c r="AH950" i="2"/>
  <c r="V950" i="2" s="1"/>
  <c r="AH980" i="2"/>
  <c r="V980" i="2" s="1"/>
  <c r="AH970" i="2"/>
  <c r="V970" i="2" s="1"/>
  <c r="AH967" i="2"/>
  <c r="V967" i="2" s="1"/>
  <c r="AH951" i="2"/>
  <c r="V951" i="2" s="1"/>
  <c r="AH973" i="2"/>
  <c r="V973" i="2" s="1"/>
  <c r="AH946" i="2"/>
  <c r="V946" i="2" s="1"/>
  <c r="AH919" i="2"/>
  <c r="V919" i="2" s="1"/>
  <c r="AH938" i="2"/>
  <c r="V938" i="2" s="1"/>
  <c r="AH943" i="2"/>
  <c r="V943" i="2" s="1"/>
  <c r="AH939" i="2"/>
  <c r="V939" i="2" s="1"/>
  <c r="AH936" i="2"/>
  <c r="V936" i="2" s="1"/>
  <c r="AH926" i="2"/>
  <c r="V926" i="2" s="1"/>
  <c r="AH910" i="2"/>
  <c r="V910" i="2" s="1"/>
  <c r="AH927" i="2"/>
  <c r="V927" i="2" s="1"/>
  <c r="AH911" i="2"/>
  <c r="V911" i="2" s="1"/>
  <c r="AH941" i="2"/>
  <c r="V941" i="2" s="1"/>
  <c r="AH954" i="2"/>
  <c r="V954" i="2" s="1"/>
  <c r="AH931" i="2"/>
  <c r="V931" i="2" s="1"/>
  <c r="AH940" i="2"/>
  <c r="V940" i="2" s="1"/>
  <c r="AH932" i="2"/>
  <c r="V932" i="2" s="1"/>
  <c r="AH942" i="2"/>
  <c r="V942" i="2" s="1"/>
  <c r="AH912" i="2"/>
  <c r="V912" i="2" s="1"/>
  <c r="AH902" i="2"/>
  <c r="V902" i="2" s="1"/>
  <c r="AH903" i="2"/>
  <c r="V903" i="2" s="1"/>
  <c r="AH913" i="2"/>
  <c r="V913" i="2" s="1"/>
  <c r="AH930" i="2"/>
  <c r="V930" i="2" s="1"/>
  <c r="AH922" i="2"/>
  <c r="V922" i="2" s="1"/>
  <c r="AH920" i="2"/>
  <c r="V920" i="2" s="1"/>
  <c r="AH917" i="2"/>
  <c r="V917" i="2" s="1"/>
  <c r="AH906" i="2"/>
  <c r="V906" i="2" s="1"/>
  <c r="AH914" i="2"/>
  <c r="V914" i="2" s="1"/>
  <c r="AH891" i="2"/>
  <c r="V891" i="2" s="1"/>
  <c r="AH907" i="2"/>
  <c r="V907" i="2" s="1"/>
  <c r="AH933" i="2"/>
  <c r="V933" i="2" s="1"/>
  <c r="AH915" i="2"/>
  <c r="V915" i="2" s="1"/>
  <c r="AH895" i="2"/>
  <c r="V895" i="2" s="1"/>
  <c r="AH928" i="2"/>
  <c r="V928" i="2" s="1"/>
  <c r="AH918" i="2"/>
  <c r="V918" i="2" s="1"/>
  <c r="AH899" i="2"/>
  <c r="V899" i="2" s="1"/>
  <c r="AH883" i="2"/>
  <c r="V883" i="2" s="1"/>
  <c r="AH890" i="2"/>
  <c r="V890" i="2" s="1"/>
  <c r="AH885" i="2"/>
  <c r="V885" i="2" s="1"/>
  <c r="AH868" i="2"/>
  <c r="V868" i="2" s="1"/>
  <c r="AH889" i="2"/>
  <c r="V889" i="2" s="1"/>
  <c r="AH888" i="2"/>
  <c r="V888" i="2" s="1"/>
  <c r="AH869" i="2"/>
  <c r="V869" i="2" s="1"/>
  <c r="AH894" i="2"/>
  <c r="V894" i="2" s="1"/>
  <c r="AH887" i="2"/>
  <c r="V887" i="2" s="1"/>
  <c r="AH884" i="2"/>
  <c r="V884" i="2" s="1"/>
  <c r="AH873" i="2"/>
  <c r="V873" i="2" s="1"/>
  <c r="AH875" i="2"/>
  <c r="V875" i="2" s="1"/>
  <c r="AH859" i="2"/>
  <c r="V859" i="2" s="1"/>
  <c r="AH900" i="2"/>
  <c r="V900" i="2" s="1"/>
  <c r="AH886" i="2"/>
  <c r="V886" i="2" s="1"/>
  <c r="AH892" i="2"/>
  <c r="V892" i="2" s="1"/>
  <c r="AH878" i="2"/>
  <c r="V878" i="2" s="1"/>
  <c r="AH862" i="2"/>
  <c r="V862" i="2" s="1"/>
  <c r="AH844" i="2"/>
  <c r="V844" i="2" s="1"/>
  <c r="AH845" i="2"/>
  <c r="V845" i="2" s="1"/>
  <c r="AH829" i="2"/>
  <c r="V829" i="2" s="1"/>
  <c r="AH865" i="2"/>
  <c r="V865" i="2" s="1"/>
  <c r="AH856" i="2"/>
  <c r="V856" i="2" s="1"/>
  <c r="AH847" i="2"/>
  <c r="V847" i="2" s="1"/>
  <c r="AH866" i="2"/>
  <c r="V866" i="2" s="1"/>
  <c r="AH851" i="2"/>
  <c r="V851" i="2" s="1"/>
  <c r="AH835" i="2"/>
  <c r="V835" i="2" s="1"/>
  <c r="AH882" i="2"/>
  <c r="V882" i="2" s="1"/>
  <c r="AH852" i="2"/>
  <c r="V852" i="2" s="1"/>
  <c r="AH871" i="2"/>
  <c r="V871" i="2" s="1"/>
  <c r="AH870" i="2"/>
  <c r="V870" i="2" s="1"/>
  <c r="AH854" i="2"/>
  <c r="V854" i="2" s="1"/>
  <c r="AH838" i="2"/>
  <c r="V838" i="2" s="1"/>
  <c r="AH863" i="2"/>
  <c r="V863" i="2" s="1"/>
  <c r="AH861" i="2"/>
  <c r="V861" i="2" s="1"/>
  <c r="AH876" i="2"/>
  <c r="V876" i="2" s="1"/>
  <c r="AH864" i="2"/>
  <c r="V864" i="2" s="1"/>
  <c r="AH860" i="2"/>
  <c r="V860" i="2" s="1"/>
  <c r="AH827" i="2"/>
  <c r="V827" i="2" s="1"/>
  <c r="AH821" i="2"/>
  <c r="V821" i="2" s="1"/>
  <c r="AH840" i="2"/>
  <c r="V840" i="2" s="1"/>
  <c r="AH807" i="2"/>
  <c r="V807" i="2" s="1"/>
  <c r="AH824" i="2"/>
  <c r="V824" i="2" s="1"/>
  <c r="AH808" i="2"/>
  <c r="V808" i="2" s="1"/>
  <c r="AH855" i="2"/>
  <c r="V855" i="2" s="1"/>
  <c r="AH834" i="2"/>
  <c r="V834" i="2" s="1"/>
  <c r="AH831" i="2"/>
  <c r="V831" i="2" s="1"/>
  <c r="AH828" i="2"/>
  <c r="V828" i="2" s="1"/>
  <c r="AH811" i="2"/>
  <c r="V811" i="2" s="1"/>
  <c r="AH841" i="2"/>
  <c r="V841" i="2" s="1"/>
  <c r="AH814" i="2"/>
  <c r="V814" i="2" s="1"/>
  <c r="AH798" i="2"/>
  <c r="V798" i="2" s="1"/>
  <c r="AH837" i="2"/>
  <c r="V837" i="2" s="1"/>
  <c r="AH815" i="2"/>
  <c r="V815" i="2" s="1"/>
  <c r="AH874" i="2"/>
  <c r="V874" i="2" s="1"/>
  <c r="AH816" i="2"/>
  <c r="V816" i="2" s="1"/>
  <c r="AH800" i="2"/>
  <c r="V800" i="2" s="1"/>
  <c r="AH843" i="2"/>
  <c r="V843" i="2" s="1"/>
  <c r="AH826" i="2"/>
  <c r="V826" i="2" s="1"/>
  <c r="AH839" i="2"/>
  <c r="V839" i="2" s="1"/>
  <c r="AH818" i="2"/>
  <c r="V818" i="2" s="1"/>
  <c r="AH830" i="2"/>
  <c r="V830" i="2" s="1"/>
  <c r="AH781" i="2"/>
  <c r="V781" i="2" s="1"/>
  <c r="AH765" i="2"/>
  <c r="V765" i="2" s="1"/>
  <c r="AH792" i="2"/>
  <c r="V792" i="2" s="1"/>
  <c r="AH766" i="2"/>
  <c r="V766" i="2" s="1"/>
  <c r="AH801" i="2"/>
  <c r="V801" i="2" s="1"/>
  <c r="AH767" i="2"/>
  <c r="V767" i="2" s="1"/>
  <c r="AH802" i="2"/>
  <c r="V802" i="2" s="1"/>
  <c r="AH768" i="2"/>
  <c r="V768" i="2" s="1"/>
  <c r="AH809" i="2"/>
  <c r="V809" i="2" s="1"/>
  <c r="AH786" i="2"/>
  <c r="V786" i="2" s="1"/>
  <c r="AH770" i="2"/>
  <c r="V770" i="2" s="1"/>
  <c r="AH753" i="2"/>
  <c r="V753" i="2" s="1"/>
  <c r="AH804" i="2"/>
  <c r="V804" i="2" s="1"/>
  <c r="AH793" i="2"/>
  <c r="V793" i="2" s="1"/>
  <c r="AH787" i="2"/>
  <c r="V787" i="2" s="1"/>
  <c r="AH754" i="2"/>
  <c r="V754" i="2" s="1"/>
  <c r="AH820" i="2"/>
  <c r="V820" i="2" s="1"/>
  <c r="AH788" i="2"/>
  <c r="V788" i="2" s="1"/>
  <c r="AH772" i="2"/>
  <c r="V772" i="2" s="1"/>
  <c r="AH755" i="2"/>
  <c r="V755" i="2" s="1"/>
  <c r="AH789" i="2"/>
  <c r="V789" i="2" s="1"/>
  <c r="AH803" i="2"/>
  <c r="V803" i="2" s="1"/>
  <c r="AH796" i="2"/>
  <c r="V796" i="2" s="1"/>
  <c r="AH790" i="2"/>
  <c r="V790" i="2" s="1"/>
  <c r="AH774" i="2"/>
  <c r="V774" i="2" s="1"/>
  <c r="AH757" i="2"/>
  <c r="V757" i="2" s="1"/>
  <c r="AH775" i="2"/>
  <c r="V775" i="2" s="1"/>
  <c r="AH819" i="2"/>
  <c r="V819" i="2" s="1"/>
  <c r="AH778" i="2"/>
  <c r="V778" i="2" s="1"/>
  <c r="AH812" i="2"/>
  <c r="V812" i="2" s="1"/>
  <c r="AH799" i="2"/>
  <c r="V799" i="2" s="1"/>
  <c r="AH763" i="2"/>
  <c r="V763" i="2" s="1"/>
  <c r="AH730" i="2"/>
  <c r="V730" i="2" s="1"/>
  <c r="AH744" i="2"/>
  <c r="V744" i="2" s="1"/>
  <c r="AH714" i="2"/>
  <c r="V714" i="2" s="1"/>
  <c r="AH764" i="2"/>
  <c r="V764" i="2" s="1"/>
  <c r="AH732" i="2"/>
  <c r="V732" i="2" s="1"/>
  <c r="AH715" i="2"/>
  <c r="V715" i="2" s="1"/>
  <c r="AH735" i="2"/>
  <c r="V735" i="2" s="1"/>
  <c r="AH717" i="2"/>
  <c r="V717" i="2" s="1"/>
  <c r="AH761" i="2"/>
  <c r="V761" i="2" s="1"/>
  <c r="AH751" i="2"/>
  <c r="V751" i="2" s="1"/>
  <c r="AH720" i="2"/>
  <c r="V720" i="2" s="1"/>
  <c r="AH776" i="2"/>
  <c r="V776" i="2" s="1"/>
  <c r="AH756" i="2"/>
  <c r="V756" i="2" s="1"/>
  <c r="AH722" i="2"/>
  <c r="V722" i="2" s="1"/>
  <c r="AH759" i="2"/>
  <c r="V759" i="2" s="1"/>
  <c r="AH747" i="2"/>
  <c r="V747" i="2" s="1"/>
  <c r="AH724" i="2"/>
  <c r="V724" i="2" s="1"/>
  <c r="AH762" i="2"/>
  <c r="V762" i="2" s="1"/>
  <c r="AH725" i="2"/>
  <c r="V725" i="2" s="1"/>
  <c r="AH780" i="2"/>
  <c r="V780" i="2" s="1"/>
  <c r="AH748" i="2"/>
  <c r="V748" i="2" s="1"/>
  <c r="AH728" i="2"/>
  <c r="V728" i="2" s="1"/>
  <c r="AH700" i="2"/>
  <c r="V700" i="2" s="1"/>
  <c r="AH684" i="2"/>
  <c r="V684" i="2" s="1"/>
  <c r="AH669" i="2"/>
  <c r="V669" i="2" s="1"/>
  <c r="AH654" i="2"/>
  <c r="V654" i="2" s="1"/>
  <c r="AH703" i="2"/>
  <c r="V703" i="2" s="1"/>
  <c r="AH687" i="2"/>
  <c r="V687" i="2" s="1"/>
  <c r="AH655" i="2"/>
  <c r="V655" i="2" s="1"/>
  <c r="AH704" i="2"/>
  <c r="V704" i="2" s="1"/>
  <c r="AH688" i="2"/>
  <c r="V688" i="2" s="1"/>
  <c r="AH737" i="2"/>
  <c r="V737" i="2" s="1"/>
  <c r="AH733" i="2"/>
  <c r="V733" i="2" s="1"/>
  <c r="AH657" i="2"/>
  <c r="V657" i="2" s="1"/>
  <c r="AH690" i="2"/>
  <c r="V690" i="2" s="1"/>
  <c r="AH674" i="2"/>
  <c r="V674" i="2" s="1"/>
  <c r="AH691" i="2"/>
  <c r="V691" i="2" s="1"/>
  <c r="AH675" i="2"/>
  <c r="V675" i="2" s="1"/>
  <c r="AH723" i="2"/>
  <c r="V723" i="2" s="1"/>
  <c r="AH677" i="2"/>
  <c r="V677" i="2" s="1"/>
  <c r="AH661" i="2"/>
  <c r="V661" i="2" s="1"/>
  <c r="AH694" i="2"/>
  <c r="V694" i="2" s="1"/>
  <c r="AH678" i="2"/>
  <c r="V678" i="2" s="1"/>
  <c r="AH718" i="2"/>
  <c r="V718" i="2" s="1"/>
  <c r="AH695" i="2"/>
  <c r="V695" i="2" s="1"/>
  <c r="AH679" i="2"/>
  <c r="V679" i="2" s="1"/>
  <c r="AH719" i="2"/>
  <c r="V719" i="2" s="1"/>
  <c r="AH711" i="2"/>
  <c r="V711" i="2" s="1"/>
  <c r="AH696" i="2"/>
  <c r="V696" i="2" s="1"/>
  <c r="AH664" i="2"/>
  <c r="V664" i="2" s="1"/>
  <c r="AH716" i="2"/>
  <c r="V716" i="2" s="1"/>
  <c r="AH681" i="2"/>
  <c r="V681" i="2" s="1"/>
  <c r="AH698" i="2"/>
  <c r="V698" i="2" s="1"/>
  <c r="AH666" i="2"/>
  <c r="V666" i="2" s="1"/>
  <c r="AH650" i="2"/>
  <c r="V650" i="2" s="1"/>
  <c r="AH609" i="2"/>
  <c r="V609" i="2" s="1"/>
  <c r="AH652" i="2"/>
  <c r="V652" i="2" s="1"/>
  <c r="AH626" i="2"/>
  <c r="V626" i="2" s="1"/>
  <c r="AH610" i="2"/>
  <c r="V610" i="2" s="1"/>
  <c r="AH594" i="2"/>
  <c r="V594" i="2" s="1"/>
  <c r="AH659" i="2"/>
  <c r="V659" i="2" s="1"/>
  <c r="AH643" i="2"/>
  <c r="V643" i="2" s="1"/>
  <c r="AH627" i="2"/>
  <c r="V627" i="2" s="1"/>
  <c r="AH611" i="2"/>
  <c r="V611" i="2" s="1"/>
  <c r="AH595" i="2"/>
  <c r="V595" i="2" s="1"/>
  <c r="AH612" i="2"/>
  <c r="V612" i="2" s="1"/>
  <c r="AH596" i="2"/>
  <c r="V596" i="2" s="1"/>
  <c r="AH629" i="2"/>
  <c r="V629" i="2" s="1"/>
  <c r="AH630" i="2"/>
  <c r="V630" i="2" s="1"/>
  <c r="AH631" i="2"/>
  <c r="V631" i="2" s="1"/>
  <c r="AH599" i="2"/>
  <c r="V599" i="2" s="1"/>
  <c r="AH667" i="2"/>
  <c r="V667" i="2" s="1"/>
  <c r="AH616" i="2"/>
  <c r="V616" i="2" s="1"/>
  <c r="AH600" i="2"/>
  <c r="V600" i="2" s="1"/>
  <c r="AH584" i="2"/>
  <c r="V584" i="2" s="1"/>
  <c r="AH683" i="2"/>
  <c r="V683" i="2" s="1"/>
  <c r="AH633" i="2"/>
  <c r="V633" i="2" s="1"/>
  <c r="AH617" i="2"/>
  <c r="V617" i="2" s="1"/>
  <c r="AH601" i="2"/>
  <c r="V601" i="2" s="1"/>
  <c r="AH660" i="2"/>
  <c r="V660" i="2" s="1"/>
  <c r="AH646" i="2"/>
  <c r="V646" i="2" s="1"/>
  <c r="AH618" i="2"/>
  <c r="V618" i="2" s="1"/>
  <c r="AH647" i="2"/>
  <c r="V647" i="2" s="1"/>
  <c r="AH645" i="2"/>
  <c r="V645" i="2" s="1"/>
  <c r="AH635" i="2"/>
  <c r="V635" i="2" s="1"/>
  <c r="AH619" i="2"/>
  <c r="V619" i="2" s="1"/>
  <c r="AH603" i="2"/>
  <c r="V603" i="2" s="1"/>
  <c r="AH636" i="2"/>
  <c r="V636" i="2" s="1"/>
  <c r="AH676" i="2"/>
  <c r="V676" i="2" s="1"/>
  <c r="AH637" i="2"/>
  <c r="V637" i="2" s="1"/>
  <c r="AH621" i="2"/>
  <c r="V621" i="2" s="1"/>
  <c r="AH622" i="2"/>
  <c r="V622" i="2" s="1"/>
  <c r="AH639" i="2"/>
  <c r="V639" i="2" s="1"/>
  <c r="AH623" i="2"/>
  <c r="V623" i="2" s="1"/>
  <c r="AH607" i="2"/>
  <c r="V607" i="2" s="1"/>
  <c r="AH591" i="2"/>
  <c r="V591" i="2" s="1"/>
  <c r="AH608" i="2"/>
  <c r="V608" i="2" s="1"/>
  <c r="AH605" i="2"/>
  <c r="V605" i="2" s="1"/>
  <c r="AH585" i="2"/>
  <c r="V585" i="2" s="1"/>
  <c r="AH583" i="2"/>
  <c r="V583" i="2" s="1"/>
  <c r="AH567" i="2"/>
  <c r="V567" i="2" s="1"/>
  <c r="AH551" i="2"/>
  <c r="V551" i="2" s="1"/>
  <c r="AH589" i="2"/>
  <c r="V589" i="2" s="1"/>
  <c r="AH568" i="2"/>
  <c r="V568" i="2" s="1"/>
  <c r="AH552" i="2"/>
  <c r="V552" i="2" s="1"/>
  <c r="AH569" i="2"/>
  <c r="V569" i="2" s="1"/>
  <c r="AH536" i="2"/>
  <c r="V536" i="2" s="1"/>
  <c r="AH593" i="2"/>
  <c r="V593" i="2" s="1"/>
  <c r="AH586" i="2"/>
  <c r="V586" i="2" s="1"/>
  <c r="AH570" i="2"/>
  <c r="V570" i="2" s="1"/>
  <c r="AH554" i="2"/>
  <c r="V554" i="2" s="1"/>
  <c r="AH537" i="2"/>
  <c r="V537" i="2" s="1"/>
  <c r="AH521" i="2"/>
  <c r="V521" i="2" s="1"/>
  <c r="AH555" i="2"/>
  <c r="V555" i="2" s="1"/>
  <c r="AH538" i="2"/>
  <c r="V538" i="2" s="1"/>
  <c r="AH522" i="2"/>
  <c r="V522" i="2" s="1"/>
  <c r="AH582" i="2"/>
  <c r="V582" i="2" s="1"/>
  <c r="AH572" i="2"/>
  <c r="V572" i="2" s="1"/>
  <c r="AH556" i="2"/>
  <c r="V556" i="2" s="1"/>
  <c r="AH539" i="2"/>
  <c r="V539" i="2" s="1"/>
  <c r="AH523" i="2"/>
  <c r="V523" i="2" s="1"/>
  <c r="AH587" i="2"/>
  <c r="V587" i="2" s="1"/>
  <c r="AH573" i="2"/>
  <c r="V573" i="2" s="1"/>
  <c r="AH557" i="2"/>
  <c r="V557" i="2" s="1"/>
  <c r="AH540" i="2"/>
  <c r="V540" i="2" s="1"/>
  <c r="AH574" i="2"/>
  <c r="V574" i="2" s="1"/>
  <c r="AH558" i="2"/>
  <c r="V558" i="2" s="1"/>
  <c r="AH624" i="2"/>
  <c r="V624" i="2" s="1"/>
  <c r="AH590" i="2"/>
  <c r="V590" i="2" s="1"/>
  <c r="AH575" i="2"/>
  <c r="V575" i="2" s="1"/>
  <c r="AH559" i="2"/>
  <c r="V559" i="2" s="1"/>
  <c r="AH526" i="2"/>
  <c r="V526" i="2" s="1"/>
  <c r="AH598" i="2"/>
  <c r="V598" i="2" s="1"/>
  <c r="AH560" i="2"/>
  <c r="V560" i="2" s="1"/>
  <c r="AH527" i="2"/>
  <c r="V527" i="2" s="1"/>
  <c r="AH561" i="2"/>
  <c r="V561" i="2" s="1"/>
  <c r="AH544" i="2"/>
  <c r="V544" i="2" s="1"/>
  <c r="AH528" i="2"/>
  <c r="V528" i="2" s="1"/>
  <c r="AH588" i="2"/>
  <c r="V588" i="2" s="1"/>
  <c r="AH581" i="2"/>
  <c r="V581" i="2" s="1"/>
  <c r="AH578" i="2"/>
  <c r="V578" i="2" s="1"/>
  <c r="AH562" i="2"/>
  <c r="V562" i="2" s="1"/>
  <c r="AH545" i="2"/>
  <c r="V545" i="2" s="1"/>
  <c r="AH529" i="2"/>
  <c r="V529" i="2" s="1"/>
  <c r="AH579" i="2"/>
  <c r="V579" i="2" s="1"/>
  <c r="AH563" i="2"/>
  <c r="V563" i="2" s="1"/>
  <c r="AH564" i="2"/>
  <c r="V564" i="2" s="1"/>
  <c r="AH547" i="2"/>
  <c r="V547" i="2" s="1"/>
  <c r="AH565" i="2"/>
  <c r="V565" i="2" s="1"/>
  <c r="AH640" i="2"/>
  <c r="V640" i="2" s="1"/>
  <c r="AH533" i="2"/>
  <c r="V533" i="2" s="1"/>
  <c r="AH507" i="2"/>
  <c r="V507" i="2" s="1"/>
  <c r="AH491" i="2"/>
  <c r="V491" i="2" s="1"/>
  <c r="AH475" i="2"/>
  <c r="V475" i="2" s="1"/>
  <c r="AH508" i="2"/>
  <c r="V508" i="2" s="1"/>
  <c r="AH566" i="2"/>
  <c r="V566" i="2" s="1"/>
  <c r="AH534" i="2"/>
  <c r="V534" i="2" s="1"/>
  <c r="AH493" i="2"/>
  <c r="V493" i="2" s="1"/>
  <c r="AH510" i="2"/>
  <c r="V510" i="2" s="1"/>
  <c r="AH494" i="2"/>
  <c r="V494" i="2" s="1"/>
  <c r="AH461" i="2"/>
  <c r="V461" i="2" s="1"/>
  <c r="AH597" i="2"/>
  <c r="V597" i="2" s="1"/>
  <c r="AH530" i="2"/>
  <c r="V530" i="2" s="1"/>
  <c r="AH495" i="2"/>
  <c r="V495" i="2" s="1"/>
  <c r="AH479" i="2"/>
  <c r="V479" i="2" s="1"/>
  <c r="AH462" i="2"/>
  <c r="V462" i="2" s="1"/>
  <c r="AH496" i="2"/>
  <c r="V496" i="2" s="1"/>
  <c r="AH518" i="2"/>
  <c r="V518" i="2" s="1"/>
  <c r="AH513" i="2"/>
  <c r="V513" i="2" s="1"/>
  <c r="AH481" i="2"/>
  <c r="V481" i="2" s="1"/>
  <c r="AH517" i="2"/>
  <c r="V517" i="2" s="1"/>
  <c r="AH514" i="2"/>
  <c r="V514" i="2" s="1"/>
  <c r="AH482" i="2"/>
  <c r="V482" i="2" s="1"/>
  <c r="AH515" i="2"/>
  <c r="V515" i="2" s="1"/>
  <c r="AH483" i="2"/>
  <c r="V483" i="2" s="1"/>
  <c r="AH466" i="2"/>
  <c r="V466" i="2" s="1"/>
  <c r="AH500" i="2"/>
  <c r="V500" i="2" s="1"/>
  <c r="AH550" i="2"/>
  <c r="V550" i="2" s="1"/>
  <c r="AH546" i="2"/>
  <c r="V546" i="2" s="1"/>
  <c r="AH501" i="2"/>
  <c r="V501" i="2" s="1"/>
  <c r="AH485" i="2"/>
  <c r="V485" i="2" s="1"/>
  <c r="AH468" i="2"/>
  <c r="V468" i="2" s="1"/>
  <c r="AH519" i="2"/>
  <c r="V519" i="2" s="1"/>
  <c r="AH502" i="2"/>
  <c r="V502" i="2" s="1"/>
  <c r="AH470" i="2"/>
  <c r="V470" i="2" s="1"/>
  <c r="AH516" i="2"/>
  <c r="V516" i="2" s="1"/>
  <c r="AH504" i="2"/>
  <c r="V504" i="2" s="1"/>
  <c r="AH488" i="2"/>
  <c r="V488" i="2" s="1"/>
  <c r="AH505" i="2"/>
  <c r="V505" i="2" s="1"/>
  <c r="AH489" i="2"/>
  <c r="V489" i="2" s="1"/>
  <c r="AH472" i="2"/>
  <c r="V472" i="2" s="1"/>
  <c r="AH490" i="2"/>
  <c r="V490" i="2" s="1"/>
  <c r="AH453" i="2"/>
  <c r="V453" i="2" s="1"/>
  <c r="AH439" i="2"/>
  <c r="V439" i="2" s="1"/>
  <c r="AH391" i="2"/>
  <c r="V391" i="2" s="1"/>
  <c r="AH506" i="2"/>
  <c r="V506" i="2" s="1"/>
  <c r="AH408" i="2"/>
  <c r="V408" i="2" s="1"/>
  <c r="AH426" i="2"/>
  <c r="V426" i="2" s="1"/>
  <c r="AH444" i="2"/>
  <c r="V444" i="2" s="1"/>
  <c r="AH412" i="2"/>
  <c r="V412" i="2" s="1"/>
  <c r="AH396" i="2"/>
  <c r="V396" i="2" s="1"/>
  <c r="AH397" i="2"/>
  <c r="V397" i="2" s="1"/>
  <c r="AH467" i="2"/>
  <c r="V467" i="2" s="1"/>
  <c r="AH446" i="2"/>
  <c r="V446" i="2" s="1"/>
  <c r="AH430" i="2"/>
  <c r="V430" i="2" s="1"/>
  <c r="AH431" i="2"/>
  <c r="V431" i="2" s="1"/>
  <c r="AH415" i="2"/>
  <c r="V415" i="2" s="1"/>
  <c r="AH469" i="2"/>
  <c r="V469" i="2" s="1"/>
  <c r="AH432" i="2"/>
  <c r="V432" i="2" s="1"/>
  <c r="AH433" i="2"/>
  <c r="V433" i="2" s="1"/>
  <c r="AH401" i="2"/>
  <c r="V401" i="2" s="1"/>
  <c r="AH486" i="2"/>
  <c r="V486" i="2" s="1"/>
  <c r="AH454" i="2"/>
  <c r="V454" i="2" s="1"/>
  <c r="AH434" i="2"/>
  <c r="V434" i="2" s="1"/>
  <c r="AH418" i="2"/>
  <c r="V418" i="2" s="1"/>
  <c r="AH402" i="2"/>
  <c r="V402" i="2" s="1"/>
  <c r="AH435" i="2"/>
  <c r="V435" i="2" s="1"/>
  <c r="AH419" i="2"/>
  <c r="V419" i="2" s="1"/>
  <c r="AH403" i="2"/>
  <c r="V403" i="2" s="1"/>
  <c r="AH471" i="2"/>
  <c r="V471" i="2" s="1"/>
  <c r="AH436" i="2"/>
  <c r="V436" i="2" s="1"/>
  <c r="AH398" i="2"/>
  <c r="V398" i="2" s="1"/>
  <c r="AH380" i="2"/>
  <c r="V380" i="2" s="1"/>
  <c r="AH364" i="2"/>
  <c r="V364" i="2" s="1"/>
  <c r="AH348" i="2"/>
  <c r="V348" i="2" s="1"/>
  <c r="AH332" i="2"/>
  <c r="V332" i="2" s="1"/>
  <c r="AH365" i="2"/>
  <c r="V365" i="2" s="1"/>
  <c r="AH349" i="2"/>
  <c r="V349" i="2" s="1"/>
  <c r="AH383" i="2"/>
  <c r="V383" i="2" s="1"/>
  <c r="AH335" i="2"/>
  <c r="V335" i="2" s="1"/>
  <c r="AH422" i="2"/>
  <c r="V422" i="2" s="1"/>
  <c r="AH406" i="2"/>
  <c r="V406" i="2" s="1"/>
  <c r="AH405" i="2"/>
  <c r="V405" i="2" s="1"/>
  <c r="AH389" i="2"/>
  <c r="V389" i="2" s="1"/>
  <c r="AH384" i="2"/>
  <c r="V384" i="2" s="1"/>
  <c r="AH368" i="2"/>
  <c r="V368" i="2" s="1"/>
  <c r="AH352" i="2"/>
  <c r="V352" i="2" s="1"/>
  <c r="AH385" i="2"/>
  <c r="V385" i="2" s="1"/>
  <c r="AH337" i="2"/>
  <c r="V337" i="2" s="1"/>
  <c r="AH321" i="2"/>
  <c r="V321" i="2" s="1"/>
  <c r="AH463" i="2"/>
  <c r="V463" i="2" s="1"/>
  <c r="AH370" i="2"/>
  <c r="V370" i="2" s="1"/>
  <c r="AH371" i="2"/>
  <c r="V371" i="2" s="1"/>
  <c r="AH355" i="2"/>
  <c r="V355" i="2" s="1"/>
  <c r="AH420" i="2"/>
  <c r="V420" i="2" s="1"/>
  <c r="AH387" i="2"/>
  <c r="V387" i="2" s="1"/>
  <c r="AH372" i="2"/>
  <c r="V372" i="2" s="1"/>
  <c r="AH356" i="2"/>
  <c r="V356" i="2" s="1"/>
  <c r="AH357" i="2"/>
  <c r="V357" i="2" s="1"/>
  <c r="AH341" i="2"/>
  <c r="V341" i="2" s="1"/>
  <c r="AH392" i="2"/>
  <c r="V392" i="2" s="1"/>
  <c r="AH374" i="2"/>
  <c r="V374" i="2" s="1"/>
  <c r="AH394" i="2"/>
  <c r="V394" i="2" s="1"/>
  <c r="AH375" i="2"/>
  <c r="V375" i="2" s="1"/>
  <c r="AH343" i="2"/>
  <c r="V343" i="2" s="1"/>
  <c r="AH327" i="2"/>
  <c r="V327" i="2" s="1"/>
  <c r="AH376" i="2"/>
  <c r="V376" i="2" s="1"/>
  <c r="AH388" i="2"/>
  <c r="V388" i="2" s="1"/>
  <c r="AH377" i="2"/>
  <c r="V377" i="2" s="1"/>
  <c r="AH421" i="2"/>
  <c r="V421" i="2" s="1"/>
  <c r="AH390" i="2"/>
  <c r="V390" i="2" s="1"/>
  <c r="AH346" i="2"/>
  <c r="V346" i="2" s="1"/>
  <c r="AH319" i="2"/>
  <c r="V319" i="2" s="1"/>
  <c r="AH303" i="2"/>
  <c r="V303" i="2" s="1"/>
  <c r="AH287" i="2"/>
  <c r="V287" i="2" s="1"/>
  <c r="AH270" i="2"/>
  <c r="V270" i="2" s="1"/>
  <c r="AH334" i="2"/>
  <c r="V334" i="2" s="1"/>
  <c r="AH304" i="2"/>
  <c r="V304" i="2" s="1"/>
  <c r="AH305" i="2"/>
  <c r="V305" i="2" s="1"/>
  <c r="AH289" i="2"/>
  <c r="V289" i="2" s="1"/>
  <c r="AH272" i="2"/>
  <c r="V272" i="2" s="1"/>
  <c r="AH330" i="2"/>
  <c r="V330" i="2" s="1"/>
  <c r="AH379" i="2"/>
  <c r="V379" i="2" s="1"/>
  <c r="AH307" i="2"/>
  <c r="V307" i="2" s="1"/>
  <c r="AH291" i="2"/>
  <c r="V291" i="2" s="1"/>
  <c r="AH274" i="2"/>
  <c r="V274" i="2" s="1"/>
  <c r="AH308" i="2"/>
  <c r="V308" i="2" s="1"/>
  <c r="AH292" i="2"/>
  <c r="V292" i="2" s="1"/>
  <c r="AH363" i="2"/>
  <c r="V363" i="2" s="1"/>
  <c r="AH309" i="2"/>
  <c r="V309" i="2" s="1"/>
  <c r="AH293" i="2"/>
  <c r="V293" i="2" s="1"/>
  <c r="AH294" i="2"/>
  <c r="V294" i="2" s="1"/>
  <c r="AH278" i="2"/>
  <c r="V278" i="2" s="1"/>
  <c r="AH261" i="2"/>
  <c r="V261" i="2" s="1"/>
  <c r="AH342" i="2"/>
  <c r="V342" i="2" s="1"/>
  <c r="AH311" i="2"/>
  <c r="V311" i="2" s="1"/>
  <c r="AH279" i="2"/>
  <c r="V279" i="2" s="1"/>
  <c r="AH437" i="2"/>
  <c r="V437" i="2" s="1"/>
  <c r="AH322" i="2"/>
  <c r="V322" i="2" s="1"/>
  <c r="AH312" i="2"/>
  <c r="V312" i="2" s="1"/>
  <c r="AH296" i="2"/>
  <c r="V296" i="2" s="1"/>
  <c r="AH280" i="2"/>
  <c r="V280" i="2" s="1"/>
  <c r="AH347" i="2"/>
  <c r="V347" i="2" s="1"/>
  <c r="AH336" i="2"/>
  <c r="V336" i="2" s="1"/>
  <c r="AH297" i="2"/>
  <c r="V297" i="2" s="1"/>
  <c r="AH281" i="2"/>
  <c r="V281" i="2" s="1"/>
  <c r="AH314" i="2"/>
  <c r="V314" i="2" s="1"/>
  <c r="AH282" i="2"/>
  <c r="V282" i="2" s="1"/>
  <c r="AH338" i="2"/>
  <c r="V338" i="2" s="1"/>
  <c r="AH299" i="2"/>
  <c r="V299" i="2" s="1"/>
  <c r="AH283" i="2"/>
  <c r="V283" i="2" s="1"/>
  <c r="AH316" i="2"/>
  <c r="V316" i="2" s="1"/>
  <c r="AH284" i="2"/>
  <c r="V284" i="2" s="1"/>
  <c r="AH267" i="2"/>
  <c r="V267" i="2" s="1"/>
  <c r="AH340" i="2"/>
  <c r="V340" i="2" s="1"/>
  <c r="AH331" i="2"/>
  <c r="V331" i="2" s="1"/>
  <c r="AH317" i="2"/>
  <c r="V317" i="2" s="1"/>
  <c r="AH301" i="2"/>
  <c r="V301" i="2" s="1"/>
  <c r="AH285" i="2"/>
  <c r="V285" i="2" s="1"/>
  <c r="AH268" i="2"/>
  <c r="V268" i="2" s="1"/>
  <c r="AH266" i="2"/>
  <c r="V266" i="2" s="1"/>
  <c r="AH248" i="2"/>
  <c r="V248" i="2" s="1"/>
  <c r="AH231" i="2"/>
  <c r="V231" i="2" s="1"/>
  <c r="AH249" i="2"/>
  <c r="V249" i="2" s="1"/>
  <c r="AH232" i="2"/>
  <c r="V232" i="2" s="1"/>
  <c r="AH216" i="2"/>
  <c r="V216" i="2" s="1"/>
  <c r="AH199" i="2"/>
  <c r="V199" i="2" s="1"/>
  <c r="AH262" i="2"/>
  <c r="V262" i="2" s="1"/>
  <c r="AH250" i="2"/>
  <c r="V250" i="2" s="1"/>
  <c r="AH233" i="2"/>
  <c r="V233" i="2" s="1"/>
  <c r="AH217" i="2"/>
  <c r="V217" i="2" s="1"/>
  <c r="AH271" i="2"/>
  <c r="V271" i="2" s="1"/>
  <c r="AH218" i="2"/>
  <c r="V218" i="2" s="1"/>
  <c r="AH201" i="2"/>
  <c r="V201" i="2" s="1"/>
  <c r="AH252" i="2"/>
  <c r="V252" i="2" s="1"/>
  <c r="AH235" i="2"/>
  <c r="V235" i="2" s="1"/>
  <c r="AH219" i="2"/>
  <c r="V219" i="2" s="1"/>
  <c r="AH202" i="2"/>
  <c r="V202" i="2" s="1"/>
  <c r="AH253" i="2"/>
  <c r="V253" i="2" s="1"/>
  <c r="AH236" i="2"/>
  <c r="V236" i="2" s="1"/>
  <c r="AH220" i="2"/>
  <c r="V220" i="2" s="1"/>
  <c r="AH276" i="2"/>
  <c r="V276" i="2" s="1"/>
  <c r="AH273" i="2"/>
  <c r="V273" i="2" s="1"/>
  <c r="AH254" i="2"/>
  <c r="V254" i="2" s="1"/>
  <c r="AH237" i="2"/>
  <c r="V237" i="2" s="1"/>
  <c r="AH221" i="2"/>
  <c r="V221" i="2" s="1"/>
  <c r="AH255" i="2"/>
  <c r="V255" i="2" s="1"/>
  <c r="AH206" i="2"/>
  <c r="V206" i="2" s="1"/>
  <c r="AH318" i="2"/>
  <c r="V318" i="2" s="1"/>
  <c r="AH269" i="2"/>
  <c r="V269" i="2" s="1"/>
  <c r="AH240" i="2"/>
  <c r="V240" i="2" s="1"/>
  <c r="AH239" i="2"/>
  <c r="V239" i="2" s="1"/>
  <c r="AH208" i="2"/>
  <c r="V208" i="2" s="1"/>
  <c r="AH286" i="2"/>
  <c r="V286" i="2" s="1"/>
  <c r="AH242" i="2"/>
  <c r="V242" i="2" s="1"/>
  <c r="AH225" i="2"/>
  <c r="V225" i="2" s="1"/>
  <c r="AH243" i="2"/>
  <c r="V243" i="2" s="1"/>
  <c r="AH210" i="2"/>
  <c r="V210" i="2" s="1"/>
  <c r="AH244" i="2"/>
  <c r="V244" i="2" s="1"/>
  <c r="AH227" i="2"/>
  <c r="V227" i="2" s="1"/>
  <c r="AH211" i="2"/>
  <c r="V211" i="2" s="1"/>
  <c r="AH246" i="2"/>
  <c r="V246" i="2" s="1"/>
  <c r="AH142" i="2"/>
  <c r="V142" i="2" s="1"/>
  <c r="AH197" i="2"/>
  <c r="V197" i="2" s="1"/>
  <c r="AH192" i="2"/>
  <c r="V192" i="2" s="1"/>
  <c r="AH159" i="2"/>
  <c r="V159" i="2" s="1"/>
  <c r="AH143" i="2"/>
  <c r="V143" i="2" s="1"/>
  <c r="AH193" i="2"/>
  <c r="V193" i="2" s="1"/>
  <c r="AH247" i="2"/>
  <c r="V247" i="2" s="1"/>
  <c r="AH194" i="2"/>
  <c r="V194" i="2" s="1"/>
  <c r="AH177" i="2"/>
  <c r="V177" i="2" s="1"/>
  <c r="AH145" i="2"/>
  <c r="V145" i="2" s="1"/>
  <c r="AH162" i="2"/>
  <c r="V162" i="2" s="1"/>
  <c r="AH198" i="2"/>
  <c r="V198" i="2" s="1"/>
  <c r="AH179" i="2"/>
  <c r="V179" i="2" s="1"/>
  <c r="AH163" i="2"/>
  <c r="V163" i="2" s="1"/>
  <c r="AH147" i="2"/>
  <c r="V147" i="2" s="1"/>
  <c r="AH180" i="2"/>
  <c r="V180" i="2" s="1"/>
  <c r="AH164" i="2"/>
  <c r="V164" i="2" s="1"/>
  <c r="AH132" i="2"/>
  <c r="V132" i="2" s="1"/>
  <c r="AH275" i="2"/>
  <c r="V275" i="2" s="1"/>
  <c r="AH214" i="2"/>
  <c r="V214" i="2" s="1"/>
  <c r="AH181" i="2"/>
  <c r="V181" i="2" s="1"/>
  <c r="AH149" i="2"/>
  <c r="V149" i="2" s="1"/>
  <c r="AH230" i="2"/>
  <c r="V230" i="2" s="1"/>
  <c r="AH195" i="2"/>
  <c r="V195" i="2" s="1"/>
  <c r="AH166" i="2"/>
  <c r="V166" i="2" s="1"/>
  <c r="AH150" i="2"/>
  <c r="V150" i="2" s="1"/>
  <c r="AH302" i="2"/>
  <c r="V302" i="2" s="1"/>
  <c r="AH183" i="2"/>
  <c r="V183" i="2" s="1"/>
  <c r="AH151" i="2"/>
  <c r="V151" i="2" s="1"/>
  <c r="AH260" i="2"/>
  <c r="V260" i="2" s="1"/>
  <c r="AH184" i="2"/>
  <c r="V184" i="2" s="1"/>
  <c r="AH168" i="2"/>
  <c r="V168" i="2" s="1"/>
  <c r="AH185" i="2"/>
  <c r="V185" i="2" s="1"/>
  <c r="AH186" i="2"/>
  <c r="V186" i="2" s="1"/>
  <c r="AH170" i="2"/>
  <c r="V170" i="2" s="1"/>
  <c r="AH154" i="2"/>
  <c r="V154" i="2" s="1"/>
  <c r="AH203" i="2"/>
  <c r="V203" i="2" s="1"/>
  <c r="AH200" i="2"/>
  <c r="V200" i="2" s="1"/>
  <c r="AH188" i="2"/>
  <c r="V188" i="2" s="1"/>
  <c r="AH171" i="2"/>
  <c r="V171" i="2" s="1"/>
  <c r="AH155" i="2"/>
  <c r="V155" i="2" s="1"/>
  <c r="AH264" i="2"/>
  <c r="V264" i="2" s="1"/>
  <c r="AH204" i="2"/>
  <c r="V204" i="2" s="1"/>
  <c r="AH172" i="2"/>
  <c r="V172" i="2" s="1"/>
  <c r="AH156" i="2"/>
  <c r="V156" i="2" s="1"/>
  <c r="AH110" i="2"/>
  <c r="V110" i="2" s="1"/>
  <c r="AH78" i="2"/>
  <c r="V78" i="2" s="1"/>
  <c r="AH146" i="2"/>
  <c r="V146" i="2" s="1"/>
  <c r="AH127" i="2"/>
  <c r="V127" i="2" s="1"/>
  <c r="AH95" i="2"/>
  <c r="V95" i="2" s="1"/>
  <c r="AH128" i="2"/>
  <c r="V128" i="2" s="1"/>
  <c r="AH96" i="2"/>
  <c r="V96" i="2" s="1"/>
  <c r="AH133" i="2"/>
  <c r="V133" i="2" s="1"/>
  <c r="AH113" i="2"/>
  <c r="V113" i="2" s="1"/>
  <c r="AH97" i="2"/>
  <c r="V97" i="2" s="1"/>
  <c r="AH157" i="2"/>
  <c r="V157" i="2" s="1"/>
  <c r="AH114" i="2"/>
  <c r="V114" i="2" s="1"/>
  <c r="AH98" i="2"/>
  <c r="V98" i="2" s="1"/>
  <c r="AH115" i="2"/>
  <c r="V115" i="2" s="1"/>
  <c r="AH99" i="2"/>
  <c r="V99" i="2" s="1"/>
  <c r="AH100" i="2"/>
  <c r="V100" i="2" s="1"/>
  <c r="AH84" i="2"/>
  <c r="V84" i="2" s="1"/>
  <c r="AH117" i="2"/>
  <c r="V117" i="2" s="1"/>
  <c r="AH101" i="2"/>
  <c r="V101" i="2" s="1"/>
  <c r="AH153" i="2"/>
  <c r="V153" i="2" s="1"/>
  <c r="AH152" i="2"/>
  <c r="V152" i="2" s="1"/>
  <c r="AH118" i="2"/>
  <c r="V118" i="2" s="1"/>
  <c r="AH102" i="2"/>
  <c r="V102" i="2" s="1"/>
  <c r="AH119" i="2"/>
  <c r="V119" i="2" s="1"/>
  <c r="AH103" i="2"/>
  <c r="V103" i="2" s="1"/>
  <c r="AH87" i="2"/>
  <c r="V87" i="2" s="1"/>
  <c r="AH120" i="2"/>
  <c r="V120" i="2" s="1"/>
  <c r="AH88" i="2"/>
  <c r="V88" i="2" s="1"/>
  <c r="AH105" i="2"/>
  <c r="V105" i="2" s="1"/>
  <c r="AH122" i="2"/>
  <c r="V122" i="2" s="1"/>
  <c r="AH106" i="2"/>
  <c r="V106" i="2" s="1"/>
  <c r="AH90" i="2"/>
  <c r="V90" i="2" s="1"/>
  <c r="AH91" i="2"/>
  <c r="V91" i="2" s="1"/>
  <c r="AH137" i="2"/>
  <c r="V137" i="2" s="1"/>
  <c r="AH124" i="2"/>
  <c r="V124" i="2" s="1"/>
  <c r="AH92" i="2"/>
  <c r="V92" i="2" s="1"/>
  <c r="AH80" i="2"/>
  <c r="V80" i="2" s="1"/>
  <c r="AH42" i="2"/>
  <c r="V42" i="2" s="1"/>
  <c r="AH26" i="2"/>
  <c r="V26" i="2" s="1"/>
  <c r="AH10" i="2"/>
  <c r="V10" i="2" s="1"/>
  <c r="AH72" i="2"/>
  <c r="V72" i="2" s="1"/>
  <c r="AH59" i="2"/>
  <c r="V59" i="2" s="1"/>
  <c r="AH27" i="2"/>
  <c r="V27" i="2" s="1"/>
  <c r="AH68" i="2"/>
  <c r="V68" i="2" s="1"/>
  <c r="AH60" i="2"/>
  <c r="V60" i="2" s="1"/>
  <c r="AH44" i="2"/>
  <c r="V44" i="2" s="1"/>
  <c r="AH28" i="2"/>
  <c r="V28" i="2" s="1"/>
  <c r="AH12" i="2"/>
  <c r="V12" i="2" s="1"/>
  <c r="AH45" i="2"/>
  <c r="V45" i="2" s="1"/>
  <c r="AH46" i="2"/>
  <c r="V46" i="2" s="1"/>
  <c r="AH30" i="2"/>
  <c r="V30" i="2" s="1"/>
  <c r="AH63" i="2"/>
  <c r="V63" i="2" s="1"/>
  <c r="AH47" i="2"/>
  <c r="V47" i="2" s="1"/>
  <c r="AH31" i="2"/>
  <c r="V31" i="2" s="1"/>
  <c r="AH79" i="2"/>
  <c r="V79" i="2" s="1"/>
  <c r="AH71" i="2"/>
  <c r="V71" i="2" s="1"/>
  <c r="AH64" i="2"/>
  <c r="V64" i="2" s="1"/>
  <c r="AH65" i="2"/>
  <c r="V65" i="2" s="1"/>
  <c r="AH49" i="2"/>
  <c r="V49" i="2" s="1"/>
  <c r="AH33" i="2"/>
  <c r="V33" i="2" s="1"/>
  <c r="AH85" i="2"/>
  <c r="V85" i="2" s="1"/>
  <c r="AH66" i="2"/>
  <c r="V66" i="2" s="1"/>
  <c r="AH50" i="2"/>
  <c r="V50" i="2" s="1"/>
  <c r="AH75" i="2"/>
  <c r="V75" i="2" s="1"/>
  <c r="AH51" i="2"/>
  <c r="V51" i="2" s="1"/>
  <c r="AH35" i="2"/>
  <c r="V35" i="2" s="1"/>
  <c r="AH52" i="2"/>
  <c r="V52" i="2" s="1"/>
  <c r="AH20" i="2"/>
  <c r="V20" i="2" s="1"/>
  <c r="AH125" i="2"/>
  <c r="V125" i="2" s="1"/>
  <c r="AH53" i="2"/>
  <c r="V53" i="2" s="1"/>
  <c r="AH37" i="2"/>
  <c r="V37" i="2" s="1"/>
  <c r="AH131" i="2"/>
  <c r="V131" i="2" s="1"/>
  <c r="AH74" i="2"/>
  <c r="V74" i="2" s="1"/>
  <c r="AH54" i="2"/>
  <c r="V54" i="2" s="1"/>
  <c r="AH93" i="2"/>
  <c r="V93" i="2" s="1"/>
  <c r="AH67" i="2"/>
  <c r="V67" i="2" s="1"/>
  <c r="AH55" i="2"/>
  <c r="V55" i="2" s="1"/>
  <c r="AH23" i="2"/>
  <c r="V23" i="2" s="1"/>
  <c r="AH40" i="2"/>
  <c r="V40" i="2" s="1"/>
  <c r="AH24" i="2"/>
  <c r="V24" i="2" s="1"/>
  <c r="AH16" i="2"/>
  <c r="V16" i="2" s="1"/>
  <c r="AH29" i="2"/>
  <c r="V29" i="2" s="1"/>
  <c r="AH9" i="2"/>
  <c r="V9" i="2" s="1"/>
  <c r="AH32" i="2"/>
  <c r="V32" i="2" s="1"/>
  <c r="AH19" i="2"/>
  <c r="V19" i="2" s="1"/>
  <c r="AH83" i="2"/>
  <c r="V83" i="2" s="1"/>
  <c r="AH21" i="2"/>
  <c r="V21" i="2" s="1"/>
  <c r="AH73" i="2"/>
  <c r="V73" i="2" s="1"/>
  <c r="AH57" i="2"/>
  <c r="V57" i="2" s="1"/>
  <c r="AH14" i="2"/>
  <c r="V14" i="2" s="1"/>
  <c r="AH109" i="2"/>
  <c r="V109" i="2" s="1"/>
  <c r="AH11" i="2"/>
  <c r="V11" i="2" s="1"/>
  <c r="AH18" i="2"/>
  <c r="V18" i="2" s="1"/>
  <c r="AH15" i="2"/>
  <c r="V15" i="2" s="1"/>
  <c r="AH41" i="2"/>
  <c r="V41" i="2" s="1"/>
  <c r="AH13" i="2"/>
  <c r="V13" i="2" s="1"/>
  <c r="AQ1120" i="2"/>
  <c r="AQ604" i="2"/>
  <c r="AQ122" i="2"/>
  <c r="AQ297" i="2"/>
  <c r="AQ499" i="2"/>
  <c r="AQ102" i="2"/>
  <c r="AQ244" i="2"/>
  <c r="AQ709" i="2"/>
  <c r="AE709" i="2" s="1"/>
  <c r="S709" i="2" s="1"/>
  <c r="AQ584" i="2"/>
  <c r="AQ182" i="2"/>
  <c r="AQ68" i="2"/>
  <c r="AQ57" i="2"/>
  <c r="AQ697" i="2"/>
  <c r="AQ278" i="2"/>
  <c r="AQ1174" i="2"/>
  <c r="AQ636" i="2"/>
  <c r="AQ1178" i="2"/>
  <c r="AQ964" i="2"/>
  <c r="AQ223" i="2"/>
  <c r="AQ1105" i="2"/>
  <c r="AQ273" i="2"/>
  <c r="AQ1043" i="2"/>
  <c r="AQ447" i="2"/>
  <c r="AQ1236" i="2"/>
  <c r="AE1236" i="2" s="1"/>
  <c r="S1236" i="2" s="1"/>
  <c r="AQ1132" i="2"/>
  <c r="AQ954" i="2"/>
  <c r="AQ266" i="2"/>
  <c r="AQ379" i="2"/>
  <c r="AQ886" i="2"/>
  <c r="AQ411" i="2"/>
  <c r="AQ729" i="2"/>
  <c r="AQ1267" i="2"/>
  <c r="AQ1199" i="2"/>
  <c r="AQ277" i="2"/>
  <c r="AQ354" i="2"/>
  <c r="AQ300" i="2"/>
  <c r="AQ1238" i="2"/>
  <c r="AQ488" i="2"/>
  <c r="AQ1045" i="2"/>
  <c r="AQ629" i="2"/>
  <c r="AE629" i="2" s="1"/>
  <c r="S629" i="2" s="1"/>
  <c r="AQ898" i="2"/>
  <c r="AQ1271" i="2"/>
  <c r="AQ615" i="2"/>
  <c r="AQ833" i="2"/>
  <c r="AQ440" i="2"/>
  <c r="AQ943" i="2"/>
  <c r="AQ1024" i="2"/>
  <c r="AQ821" i="2"/>
  <c r="AQ923" i="2"/>
  <c r="AQ1101" i="2"/>
  <c r="AQ1100" i="2"/>
  <c r="AQ1006" i="2"/>
  <c r="AQ1141" i="2"/>
  <c r="AQ1020" i="2"/>
  <c r="AQ955" i="2"/>
  <c r="AQ475" i="2"/>
  <c r="AE475" i="2" s="1"/>
  <c r="S475" i="2" s="1"/>
  <c r="AQ614" i="2"/>
  <c r="AQ861" i="2"/>
  <c r="AQ670" i="2"/>
  <c r="AQ276" i="2"/>
  <c r="AQ437" i="2"/>
  <c r="AQ387" i="2"/>
  <c r="AQ384" i="2"/>
  <c r="AQ374" i="2"/>
  <c r="AQ417" i="2"/>
  <c r="AQ353" i="2"/>
  <c r="AQ451" i="2"/>
  <c r="AQ383" i="2"/>
  <c r="AQ154" i="2"/>
  <c r="AQ265" i="2"/>
  <c r="AQ305" i="2"/>
  <c r="AQ474" i="2"/>
  <c r="AE474" i="2" s="1"/>
  <c r="S474" i="2" s="1"/>
  <c r="AQ606" i="2"/>
  <c r="AQ194" i="2"/>
  <c r="AQ126" i="2"/>
  <c r="AQ127" i="2"/>
  <c r="AQ81" i="2"/>
  <c r="AQ99" i="2"/>
  <c r="AQ1187" i="2"/>
  <c r="AU108" i="2"/>
  <c r="AU628" i="2"/>
  <c r="AU38" i="2"/>
  <c r="AU527" i="2"/>
  <c r="AU87" i="2"/>
  <c r="AU142" i="2"/>
  <c r="AU1140" i="2"/>
  <c r="AU320" i="2"/>
  <c r="AU25" i="2"/>
  <c r="AI25" i="2" s="1"/>
  <c r="W25" i="2" s="1"/>
  <c r="AU43" i="2"/>
  <c r="AU212" i="2"/>
  <c r="AU1018" i="2"/>
  <c r="AU278" i="2"/>
  <c r="AU975" i="2"/>
  <c r="AU1162" i="2"/>
  <c r="AU936" i="2"/>
  <c r="AU333" i="2"/>
  <c r="AU1254" i="2"/>
  <c r="AU694" i="2"/>
  <c r="AU914" i="2"/>
  <c r="AU478" i="2"/>
  <c r="AU1096" i="2"/>
  <c r="AU819" i="2"/>
  <c r="AU518" i="2"/>
  <c r="AU223" i="2"/>
  <c r="AI223" i="2" s="1"/>
  <c r="W223" i="2" s="1"/>
  <c r="AU915" i="2"/>
  <c r="AU394" i="2"/>
  <c r="AU1235" i="2"/>
  <c r="AU604" i="2"/>
  <c r="AU486" i="2"/>
  <c r="AU124" i="2"/>
  <c r="AU1054" i="2"/>
  <c r="AU650" i="2"/>
  <c r="AU974" i="2"/>
  <c r="AU94" i="2"/>
  <c r="AU913" i="2"/>
  <c r="AU1246" i="2"/>
  <c r="AU1037" i="2"/>
  <c r="AU907" i="2"/>
  <c r="AU862" i="2"/>
  <c r="AU704" i="2"/>
  <c r="AI704" i="2" s="1"/>
  <c r="W704" i="2" s="1"/>
  <c r="AU935" i="2"/>
  <c r="AU1110" i="2"/>
  <c r="AU1181" i="2"/>
  <c r="AU869" i="2"/>
  <c r="AU905" i="2"/>
  <c r="AU1200" i="2"/>
  <c r="AU361" i="2"/>
  <c r="AU929" i="2"/>
  <c r="AU923" i="2"/>
  <c r="AU942" i="2"/>
  <c r="AU826" i="2"/>
  <c r="AU507" i="2"/>
  <c r="AU835" i="2"/>
  <c r="AU391" i="2"/>
  <c r="AU672" i="2"/>
  <c r="AU167" i="2"/>
  <c r="AI167" i="2" s="1"/>
  <c r="W167" i="2" s="1"/>
  <c r="AU398" i="2"/>
  <c r="AU626" i="2"/>
  <c r="AU291" i="2"/>
  <c r="AU453" i="2"/>
  <c r="AU532" i="2"/>
  <c r="AU485" i="2"/>
  <c r="AU660" i="2"/>
  <c r="AU460" i="2"/>
  <c r="AU480" i="2"/>
  <c r="AU752" i="2"/>
  <c r="AU706" i="2"/>
  <c r="AU302" i="2"/>
  <c r="AU592" i="2"/>
  <c r="AU109" i="2"/>
  <c r="AU191" i="2"/>
  <c r="AU119" i="2"/>
  <c r="AI119" i="2" s="1"/>
  <c r="W119" i="2" s="1"/>
  <c r="AU133" i="2"/>
  <c r="AU118" i="2"/>
  <c r="AU102" i="2"/>
  <c r="AU475" i="2"/>
  <c r="AU943" i="2"/>
  <c r="AU1174" i="2"/>
  <c r="AT543" i="2"/>
  <c r="AH543" i="2" s="1"/>
  <c r="V543" i="2" s="1"/>
  <c r="AT174" i="2"/>
  <c r="AH174" i="2" s="1"/>
  <c r="V174" i="2" s="1"/>
  <c r="AT378" i="2"/>
  <c r="AH378" i="2" s="1"/>
  <c r="V378" i="2" s="1"/>
  <c r="AT165" i="2"/>
  <c r="AH165" i="2" s="1"/>
  <c r="V165" i="2" s="1"/>
  <c r="AT462" i="2"/>
  <c r="AT300" i="2"/>
  <c r="AH300" i="2" s="1"/>
  <c r="V300" i="2" s="1"/>
  <c r="AT1031" i="2"/>
  <c r="AH1031" i="2" s="1"/>
  <c r="V1031" i="2" s="1"/>
  <c r="AT682" i="2"/>
  <c r="AH682" i="2" s="1"/>
  <c r="V682" i="2" s="1"/>
  <c r="AT1262" i="2"/>
  <c r="AH1262" i="2" s="1"/>
  <c r="V1262" i="2" s="1"/>
  <c r="AT1188" i="2"/>
  <c r="AH1188" i="2" s="1"/>
  <c r="V1188" i="2" s="1"/>
  <c r="AT975" i="2"/>
  <c r="AH975" i="2" s="1"/>
  <c r="V975" i="2" s="1"/>
  <c r="AT1033" i="2"/>
  <c r="AH1033" i="2" s="1"/>
  <c r="V1033" i="2" s="1"/>
  <c r="AT1089" i="2"/>
  <c r="AH1089" i="2" s="1"/>
  <c r="V1089" i="2" s="1"/>
  <c r="AT923" i="2"/>
  <c r="AH923" i="2" s="1"/>
  <c r="V923" i="2" s="1"/>
  <c r="AT498" i="2"/>
  <c r="AH498" i="2" s="1"/>
  <c r="V498" i="2" s="1"/>
  <c r="AT325" i="2"/>
  <c r="AH325" i="2" s="1"/>
  <c r="V325" i="2" s="1"/>
  <c r="AT207" i="2"/>
  <c r="AH207" i="2" s="1"/>
  <c r="V207" i="2" s="1"/>
  <c r="AT925" i="2"/>
  <c r="AH925" i="2" s="1"/>
  <c r="V925" i="2" s="1"/>
  <c r="AT339" i="2"/>
  <c r="AH339" i="2" s="1"/>
  <c r="V339" i="2" s="1"/>
  <c r="AT1100" i="2"/>
  <c r="AH1100" i="2" s="1"/>
  <c r="V1100" i="2" s="1"/>
  <c r="AT1169" i="2"/>
  <c r="AH1169" i="2" s="1"/>
  <c r="V1169" i="2" s="1"/>
  <c r="AT319" i="2"/>
  <c r="AT977" i="2"/>
  <c r="AH977" i="2" s="1"/>
  <c r="V977" i="2" s="1"/>
  <c r="AT822" i="2"/>
  <c r="AH822" i="2" s="1"/>
  <c r="V822" i="2" s="1"/>
  <c r="AT1001" i="2"/>
  <c r="AH1001" i="2" s="1"/>
  <c r="V1001" i="2" s="1"/>
  <c r="AT1204" i="2"/>
  <c r="AH1204" i="2" s="1"/>
  <c r="V1204" i="2" s="1"/>
  <c r="AT848" i="2"/>
  <c r="AH848" i="2" s="1"/>
  <c r="V848" i="2" s="1"/>
  <c r="AT1150" i="2"/>
  <c r="AH1150" i="2" s="1"/>
  <c r="V1150" i="2" s="1"/>
  <c r="AT405" i="2"/>
  <c r="AT815" i="2"/>
  <c r="AT908" i="2"/>
  <c r="AH908" i="2" s="1"/>
  <c r="V908" i="2" s="1"/>
  <c r="AT909" i="2"/>
  <c r="AH909" i="2" s="1"/>
  <c r="V909" i="2" s="1"/>
  <c r="AT1061" i="2"/>
  <c r="AH1061" i="2" s="1"/>
  <c r="V1061" i="2" s="1"/>
  <c r="AT959" i="2"/>
  <c r="AH959" i="2" s="1"/>
  <c r="V959" i="2" s="1"/>
  <c r="AT1045" i="2"/>
  <c r="AH1045" i="2" s="1"/>
  <c r="V1045" i="2" s="1"/>
  <c r="AT958" i="2"/>
  <c r="AH958" i="2" s="1"/>
  <c r="V958" i="2" s="1"/>
  <c r="AT1013" i="2"/>
  <c r="AT1109" i="2"/>
  <c r="AH1109" i="2" s="1"/>
  <c r="V1109" i="2" s="1"/>
  <c r="AT1203" i="2"/>
  <c r="AH1203" i="2" s="1"/>
  <c r="V1203" i="2" s="1"/>
  <c r="AT620" i="2"/>
  <c r="AH620" i="2" s="1"/>
  <c r="V620" i="2" s="1"/>
  <c r="AT877" i="2"/>
  <c r="AH877" i="2" s="1"/>
  <c r="V877" i="2" s="1"/>
  <c r="AT752" i="2"/>
  <c r="AH752" i="2" s="1"/>
  <c r="V752" i="2" s="1"/>
  <c r="AT451" i="2"/>
  <c r="AH451" i="2" s="1"/>
  <c r="V451" i="2" s="1"/>
  <c r="AT625" i="2"/>
  <c r="AH625" i="2" s="1"/>
  <c r="V625" i="2" s="1"/>
  <c r="AT388" i="2"/>
  <c r="AT630" i="2"/>
  <c r="AT758" i="2"/>
  <c r="AH758" i="2" s="1"/>
  <c r="V758" i="2" s="1"/>
  <c r="AT423" i="2"/>
  <c r="AH423" i="2" s="1"/>
  <c r="V423" i="2" s="1"/>
  <c r="AT697" i="2"/>
  <c r="AH697" i="2" s="1"/>
  <c r="V697" i="2" s="1"/>
  <c r="AT328" i="2"/>
  <c r="AH328" i="2" s="1"/>
  <c r="V328" i="2" s="1"/>
  <c r="AT524" i="2"/>
  <c r="AH524" i="2" s="1"/>
  <c r="V524" i="2" s="1"/>
  <c r="AT727" i="2"/>
  <c r="AH727" i="2" s="1"/>
  <c r="V727" i="2" s="1"/>
  <c r="AT290" i="2"/>
  <c r="AH290" i="2" s="1"/>
  <c r="V290" i="2" s="1"/>
  <c r="AT484" i="2"/>
  <c r="AH484" i="2" s="1"/>
  <c r="V484" i="2" s="1"/>
  <c r="AT393" i="2"/>
  <c r="AH393" i="2" s="1"/>
  <c r="V393" i="2" s="1"/>
  <c r="AT740" i="2"/>
  <c r="AH740" i="2" s="1"/>
  <c r="V740" i="2" s="1"/>
  <c r="AT457" i="2"/>
  <c r="AH457" i="2" s="1"/>
  <c r="V457" i="2" s="1"/>
  <c r="AT224" i="2"/>
  <c r="AH224" i="2" s="1"/>
  <c r="V224" i="2" s="1"/>
  <c r="AT39" i="2"/>
  <c r="AH39" i="2" s="1"/>
  <c r="V39" i="2" s="1"/>
  <c r="AT425" i="2"/>
  <c r="AH425" i="2" s="1"/>
  <c r="V425" i="2" s="1"/>
  <c r="AT767" i="2"/>
  <c r="AT452" i="2"/>
  <c r="AH452" i="2" s="1"/>
  <c r="V452" i="2" s="1"/>
  <c r="AT535" i="2"/>
  <c r="AH535" i="2" s="1"/>
  <c r="V535" i="2" s="1"/>
  <c r="AT175" i="2"/>
  <c r="AH175" i="2" s="1"/>
  <c r="V175" i="2" s="1"/>
  <c r="AT512" i="2"/>
  <c r="AH512" i="2" s="1"/>
  <c r="V512" i="2" s="1"/>
  <c r="AT235" i="2"/>
  <c r="AT169" i="2"/>
  <c r="AH169" i="2" s="1"/>
  <c r="V169" i="2" s="1"/>
  <c r="AT167" i="2"/>
  <c r="AH167" i="2" s="1"/>
  <c r="V167" i="2" s="1"/>
  <c r="AT53" i="2"/>
  <c r="AT178" i="2"/>
  <c r="AH178" i="2" s="1"/>
  <c r="V178" i="2" s="1"/>
  <c r="AT112" i="2"/>
  <c r="AH112" i="2" s="1"/>
  <c r="V112" i="2" s="1"/>
  <c r="AT126" i="2"/>
  <c r="AH126" i="2" s="1"/>
  <c r="V126" i="2" s="1"/>
  <c r="AT38" i="2"/>
  <c r="AH38" i="2" s="1"/>
  <c r="V38" i="2" s="1"/>
  <c r="AT205" i="2"/>
  <c r="AH205" i="2" s="1"/>
  <c r="V205" i="2" s="1"/>
  <c r="AT416" i="2"/>
  <c r="AH416" i="2" s="1"/>
  <c r="V416" i="2" s="1"/>
  <c r="AT634" i="2"/>
  <c r="AH634" i="2" s="1"/>
  <c r="V634" i="2" s="1"/>
  <c r="AT833" i="2"/>
  <c r="AH833" i="2" s="1"/>
  <c r="V833" i="2" s="1"/>
  <c r="AT1005" i="2"/>
  <c r="AH1005" i="2" s="1"/>
  <c r="V1005" i="2" s="1"/>
  <c r="AT1200" i="2"/>
  <c r="AH1200" i="2" s="1"/>
  <c r="V1200" i="2" s="1"/>
  <c r="AN1258" i="2"/>
  <c r="AB1258" i="2" s="1"/>
  <c r="P1258" i="2" s="1"/>
  <c r="AN1268" i="2"/>
  <c r="AB1268" i="2" s="1"/>
  <c r="P1268" i="2" s="1"/>
  <c r="AN1260" i="2"/>
  <c r="AB1260" i="2" s="1"/>
  <c r="P1260" i="2" s="1"/>
  <c r="AN1245" i="2"/>
  <c r="AB1245" i="2" s="1"/>
  <c r="P1245" i="2" s="1"/>
  <c r="AN1240" i="2"/>
  <c r="AB1240" i="2" s="1"/>
  <c r="P1240" i="2" s="1"/>
  <c r="AN1237" i="2"/>
  <c r="AB1237" i="2" s="1"/>
  <c r="P1237" i="2" s="1"/>
  <c r="AN1230" i="2"/>
  <c r="AB1230" i="2" s="1"/>
  <c r="P1230" i="2" s="1"/>
  <c r="AN1234" i="2"/>
  <c r="AB1234" i="2" s="1"/>
  <c r="P1234" i="2" s="1"/>
  <c r="AN1225" i="2"/>
  <c r="AB1225" i="2" s="1"/>
  <c r="P1225" i="2" s="1"/>
  <c r="AN1196" i="2"/>
  <c r="AB1196" i="2" s="1"/>
  <c r="P1196" i="2" s="1"/>
  <c r="AN1215" i="2"/>
  <c r="AB1215" i="2" s="1"/>
  <c r="P1215" i="2" s="1"/>
  <c r="AN1182" i="2"/>
  <c r="AB1182" i="2" s="1"/>
  <c r="P1182" i="2" s="1"/>
  <c r="AN1180" i="2"/>
  <c r="AB1180" i="2" s="1"/>
  <c r="P1180" i="2" s="1"/>
  <c r="AN1176" i="2"/>
  <c r="AB1176" i="2" s="1"/>
  <c r="P1176" i="2" s="1"/>
  <c r="AN1167" i="2"/>
  <c r="AB1167" i="2" s="1"/>
  <c r="P1167" i="2" s="1"/>
  <c r="AN1172" i="2"/>
  <c r="AB1172" i="2" s="1"/>
  <c r="P1172" i="2" s="1"/>
  <c r="AN1173" i="2"/>
  <c r="AB1173" i="2" s="1"/>
  <c r="P1173" i="2" s="1"/>
  <c r="AN1157" i="2"/>
  <c r="AB1157" i="2" s="1"/>
  <c r="P1157" i="2" s="1"/>
  <c r="AN1128" i="2"/>
  <c r="AB1128" i="2" s="1"/>
  <c r="P1128" i="2" s="1"/>
  <c r="AN1149" i="2"/>
  <c r="AB1149" i="2" s="1"/>
  <c r="P1149" i="2" s="1"/>
  <c r="AN1144" i="2"/>
  <c r="AB1144" i="2" s="1"/>
  <c r="P1144" i="2" s="1"/>
  <c r="AN1081" i="2"/>
  <c r="AB1081" i="2" s="1"/>
  <c r="P1081" i="2" s="1"/>
  <c r="AN1088" i="2"/>
  <c r="AB1088" i="2" s="1"/>
  <c r="P1088" i="2" s="1"/>
  <c r="AN1046" i="2"/>
  <c r="AB1046" i="2" s="1"/>
  <c r="P1046" i="2" s="1"/>
  <c r="AN1079" i="2"/>
  <c r="AB1079" i="2" s="1"/>
  <c r="P1079" i="2" s="1"/>
  <c r="AN1038" i="2"/>
  <c r="AB1038" i="2" s="1"/>
  <c r="P1038" i="2" s="1"/>
  <c r="AN1074" i="2"/>
  <c r="AB1074" i="2" s="1"/>
  <c r="P1074" i="2" s="1"/>
  <c r="AN1054" i="2"/>
  <c r="AB1054" i="2" s="1"/>
  <c r="P1054" i="2" s="1"/>
  <c r="AN1019" i="2"/>
  <c r="AB1019" i="2" s="1"/>
  <c r="P1019" i="2" s="1"/>
  <c r="AN1035" i="2"/>
  <c r="AB1035" i="2" s="1"/>
  <c r="P1035" i="2" s="1"/>
  <c r="AN1004" i="2"/>
  <c r="AB1004" i="2" s="1"/>
  <c r="P1004" i="2" s="1"/>
  <c r="AN1000" i="2"/>
  <c r="AB1000" i="2" s="1"/>
  <c r="P1000" i="2" s="1"/>
  <c r="AN962" i="2"/>
  <c r="AB962" i="2" s="1"/>
  <c r="P962" i="2" s="1"/>
  <c r="AN981" i="2"/>
  <c r="AB981" i="2" s="1"/>
  <c r="P981" i="2" s="1"/>
  <c r="AN967" i="2"/>
  <c r="AB967" i="2" s="1"/>
  <c r="P967" i="2" s="1"/>
  <c r="AN983" i="2"/>
  <c r="AB983" i="2" s="1"/>
  <c r="P983" i="2" s="1"/>
  <c r="AN957" i="2"/>
  <c r="AB957" i="2" s="1"/>
  <c r="P957" i="2" s="1"/>
  <c r="AN976" i="2"/>
  <c r="AB976" i="2" s="1"/>
  <c r="P976" i="2" s="1"/>
  <c r="AN959" i="2"/>
  <c r="AB959" i="2" s="1"/>
  <c r="P959" i="2" s="1"/>
  <c r="AN971" i="2"/>
  <c r="AB971" i="2" s="1"/>
  <c r="P971" i="2" s="1"/>
  <c r="AN954" i="2"/>
  <c r="AB954" i="2" s="1"/>
  <c r="P954" i="2" s="1"/>
  <c r="AN946" i="2"/>
  <c r="AB946" i="2" s="1"/>
  <c r="P946" i="2" s="1"/>
  <c r="AN943" i="2"/>
  <c r="AB943" i="2" s="1"/>
  <c r="P943" i="2" s="1"/>
  <c r="AN920" i="2"/>
  <c r="AB920" i="2" s="1"/>
  <c r="P920" i="2" s="1"/>
  <c r="AN934" i="2"/>
  <c r="AB934" i="2" s="1"/>
  <c r="P934" i="2" s="1"/>
  <c r="AN923" i="2"/>
  <c r="AB923" i="2" s="1"/>
  <c r="P923" i="2" s="1"/>
  <c r="AN928" i="2"/>
  <c r="AB928" i="2" s="1"/>
  <c r="P928" i="2" s="1"/>
  <c r="AN891" i="2"/>
  <c r="AB891" i="2" s="1"/>
  <c r="P891" i="2" s="1"/>
  <c r="AN867" i="2"/>
  <c r="AB867" i="2" s="1"/>
  <c r="P867" i="2" s="1"/>
  <c r="AN818" i="2"/>
  <c r="AB818" i="2" s="1"/>
  <c r="P818" i="2" s="1"/>
  <c r="AN858" i="2"/>
  <c r="AB858" i="2" s="1"/>
  <c r="P858" i="2" s="1"/>
  <c r="AN840" i="2"/>
  <c r="AB840" i="2" s="1"/>
  <c r="P840" i="2" s="1"/>
  <c r="AN809" i="2"/>
  <c r="AB809" i="2" s="1"/>
  <c r="P809" i="2" s="1"/>
  <c r="AN807" i="2"/>
  <c r="AB807" i="2" s="1"/>
  <c r="P807" i="2" s="1"/>
  <c r="AN779" i="2"/>
  <c r="AB779" i="2" s="1"/>
  <c r="P779" i="2" s="1"/>
  <c r="AN763" i="2"/>
  <c r="AB763" i="2" s="1"/>
  <c r="P763" i="2" s="1"/>
  <c r="AN751" i="2"/>
  <c r="AB751" i="2" s="1"/>
  <c r="P751" i="2" s="1"/>
  <c r="AN765" i="2"/>
  <c r="AB765" i="2" s="1"/>
  <c r="P765" i="2" s="1"/>
  <c r="AN694" i="2"/>
  <c r="AB694" i="2" s="1"/>
  <c r="P694" i="2" s="1"/>
  <c r="AN678" i="2"/>
  <c r="AB678" i="2" s="1"/>
  <c r="P678" i="2" s="1"/>
  <c r="AN802" i="2"/>
  <c r="AB802" i="2" s="1"/>
  <c r="P802" i="2" s="1"/>
  <c r="AN722" i="2"/>
  <c r="AB722" i="2" s="1"/>
  <c r="P722" i="2" s="1"/>
  <c r="AN716" i="2"/>
  <c r="AB716" i="2" s="1"/>
  <c r="P716" i="2" s="1"/>
  <c r="AN736" i="2"/>
  <c r="AB736" i="2" s="1"/>
  <c r="P736" i="2" s="1"/>
  <c r="AN728" i="2"/>
  <c r="AB728" i="2" s="1"/>
  <c r="P728" i="2" s="1"/>
  <c r="AN662" i="2"/>
  <c r="AB662" i="2" s="1"/>
  <c r="P662" i="2" s="1"/>
  <c r="AN673" i="2"/>
  <c r="AB673" i="2" s="1"/>
  <c r="P673" i="2" s="1"/>
  <c r="AN647" i="2"/>
  <c r="AB647" i="2" s="1"/>
  <c r="P647" i="2" s="1"/>
  <c r="AN619" i="2"/>
  <c r="AB619" i="2" s="1"/>
  <c r="P619" i="2" s="1"/>
  <c r="AN657" i="2"/>
  <c r="AB657" i="2" s="1"/>
  <c r="P657" i="2" s="1"/>
  <c r="AN649" i="2"/>
  <c r="AB649" i="2" s="1"/>
  <c r="P649" i="2" s="1"/>
  <c r="AN705" i="2"/>
  <c r="AB705" i="2" s="1"/>
  <c r="P705" i="2" s="1"/>
  <c r="AN639" i="2"/>
  <c r="AB639" i="2" s="1"/>
  <c r="P639" i="2" s="1"/>
  <c r="AN623" i="2"/>
  <c r="AB623" i="2" s="1"/>
  <c r="P623" i="2" s="1"/>
  <c r="AN607" i="2"/>
  <c r="AB607" i="2" s="1"/>
  <c r="P607" i="2" s="1"/>
  <c r="AN689" i="2"/>
  <c r="AB689" i="2" s="1"/>
  <c r="P689" i="2" s="1"/>
  <c r="AN543" i="2"/>
  <c r="AB543" i="2" s="1"/>
  <c r="P543" i="2" s="1"/>
  <c r="AN630" i="2"/>
  <c r="AB630" i="2" s="1"/>
  <c r="P630" i="2" s="1"/>
  <c r="AN580" i="2"/>
  <c r="AB580" i="2" s="1"/>
  <c r="P580" i="2" s="1"/>
  <c r="AN614" i="2"/>
  <c r="AB614" i="2" s="1"/>
  <c r="P614" i="2" s="1"/>
  <c r="AN603" i="2"/>
  <c r="AB603" i="2" s="1"/>
  <c r="P603" i="2" s="1"/>
  <c r="AN591" i="2"/>
  <c r="AB591" i="2" s="1"/>
  <c r="P591" i="2" s="1"/>
  <c r="AN517" i="2"/>
  <c r="AB517" i="2" s="1"/>
  <c r="P517" i="2" s="1"/>
  <c r="AN531" i="2"/>
  <c r="AB531" i="2" s="1"/>
  <c r="P531" i="2" s="1"/>
  <c r="AN446" i="2"/>
  <c r="AB446" i="2" s="1"/>
  <c r="P446" i="2" s="1"/>
  <c r="AN430" i="2"/>
  <c r="AB430" i="2" s="1"/>
  <c r="P430" i="2" s="1"/>
  <c r="AN414" i="2"/>
  <c r="AB414" i="2" s="1"/>
  <c r="P414" i="2" s="1"/>
  <c r="AN496" i="2"/>
  <c r="AB496" i="2" s="1"/>
  <c r="P496" i="2" s="1"/>
  <c r="AN512" i="2"/>
  <c r="AB512" i="2" s="1"/>
  <c r="P512" i="2" s="1"/>
  <c r="AN458" i="2"/>
  <c r="AB458" i="2" s="1"/>
  <c r="P458" i="2" s="1"/>
  <c r="AN442" i="2"/>
  <c r="AB442" i="2" s="1"/>
  <c r="P442" i="2" s="1"/>
  <c r="AN374" i="2"/>
  <c r="AB374" i="2" s="1"/>
  <c r="P374" i="2" s="1"/>
  <c r="AN358" i="2"/>
  <c r="AB358" i="2" s="1"/>
  <c r="P358" i="2" s="1"/>
  <c r="AN410" i="2"/>
  <c r="AB410" i="2" s="1"/>
  <c r="P410" i="2" s="1"/>
  <c r="AN378" i="2"/>
  <c r="AB378" i="2" s="1"/>
  <c r="P378" i="2" s="1"/>
  <c r="AN362" i="2"/>
  <c r="AB362" i="2" s="1"/>
  <c r="P362" i="2" s="1"/>
  <c r="AN426" i="2"/>
  <c r="AB426" i="2" s="1"/>
  <c r="P426" i="2" s="1"/>
  <c r="AN398" i="2"/>
  <c r="AB398" i="2" s="1"/>
  <c r="P398" i="2" s="1"/>
  <c r="AN312" i="2"/>
  <c r="AB312" i="2" s="1"/>
  <c r="P312" i="2" s="1"/>
  <c r="AN346" i="2"/>
  <c r="AB346" i="2" s="1"/>
  <c r="P346" i="2" s="1"/>
  <c r="AN342" i="2"/>
  <c r="AB342" i="2" s="1"/>
  <c r="P342" i="2" s="1"/>
  <c r="AN337" i="2"/>
  <c r="AB337" i="2" s="1"/>
  <c r="P337" i="2" s="1"/>
  <c r="AN348" i="2"/>
  <c r="AB348" i="2" s="1"/>
  <c r="P348" i="2" s="1"/>
  <c r="AN280" i="2"/>
  <c r="AB280" i="2" s="1"/>
  <c r="P280" i="2" s="1"/>
  <c r="AN292" i="2"/>
  <c r="AB292" i="2" s="1"/>
  <c r="P292" i="2" s="1"/>
  <c r="AN263" i="2"/>
  <c r="AB263" i="2" s="1"/>
  <c r="P263" i="2" s="1"/>
  <c r="AN308" i="2"/>
  <c r="AB308" i="2" s="1"/>
  <c r="P308" i="2" s="1"/>
  <c r="AN296" i="2"/>
  <c r="AB296" i="2" s="1"/>
  <c r="P296" i="2" s="1"/>
  <c r="AN278" i="2"/>
  <c r="AB278" i="2" s="1"/>
  <c r="P278" i="2" s="1"/>
  <c r="AN272" i="2"/>
  <c r="AB272" i="2" s="1"/>
  <c r="P272" i="2" s="1"/>
  <c r="AN178" i="2"/>
  <c r="AB178" i="2" s="1"/>
  <c r="P178" i="2" s="1"/>
  <c r="AN162" i="2"/>
  <c r="AB162" i="2" s="1"/>
  <c r="P162" i="2" s="1"/>
  <c r="AN210" i="2"/>
  <c r="AB210" i="2" s="1"/>
  <c r="P210" i="2" s="1"/>
  <c r="AN201" i="2"/>
  <c r="AB201" i="2" s="1"/>
  <c r="P201" i="2" s="1"/>
  <c r="AN117" i="2"/>
  <c r="AB117" i="2" s="1"/>
  <c r="P117" i="2" s="1"/>
  <c r="AN123" i="2"/>
  <c r="AB123" i="2" s="1"/>
  <c r="P123" i="2" s="1"/>
  <c r="AN107" i="2"/>
  <c r="AB107" i="2" s="1"/>
  <c r="P107" i="2" s="1"/>
  <c r="AN131" i="2"/>
  <c r="AB131" i="2" s="1"/>
  <c r="P131" i="2" s="1"/>
  <c r="AN128" i="2"/>
  <c r="AB128" i="2" s="1"/>
  <c r="P128" i="2" s="1"/>
  <c r="AN113" i="2"/>
  <c r="AB113" i="2" s="1"/>
  <c r="P113" i="2" s="1"/>
  <c r="AN97" i="2"/>
  <c r="AB97" i="2" s="1"/>
  <c r="P97" i="2" s="1"/>
  <c r="AN51" i="2"/>
  <c r="AB51" i="2" s="1"/>
  <c r="P51" i="2" s="1"/>
  <c r="AN35" i="2"/>
  <c r="AB35" i="2" s="1"/>
  <c r="P35" i="2" s="1"/>
  <c r="AN91" i="2"/>
  <c r="AB91" i="2" s="1"/>
  <c r="P91" i="2" s="1"/>
  <c r="AN54" i="2"/>
  <c r="AB54" i="2" s="1"/>
  <c r="P54" i="2" s="1"/>
  <c r="AN38" i="2"/>
  <c r="AB38" i="2" s="1"/>
  <c r="P38" i="2" s="1"/>
  <c r="AN115" i="2"/>
  <c r="AB115" i="2" s="1"/>
  <c r="P115" i="2" s="1"/>
  <c r="AN83" i="2"/>
  <c r="AB83" i="2" s="1"/>
  <c r="P83" i="2" s="1"/>
  <c r="AN59" i="2"/>
  <c r="AB59" i="2" s="1"/>
  <c r="P59" i="2" s="1"/>
  <c r="AN43" i="2"/>
  <c r="AB43" i="2" s="1"/>
  <c r="P43" i="2" s="1"/>
  <c r="AN146" i="2"/>
  <c r="AB146" i="2" s="1"/>
  <c r="P146" i="2" s="1"/>
  <c r="AN72" i="2"/>
  <c r="AB72" i="2" s="1"/>
  <c r="P72" i="2" s="1"/>
  <c r="AN99" i="2"/>
  <c r="AB99" i="2" s="1"/>
  <c r="P99" i="2" s="1"/>
  <c r="AN27" i="2"/>
  <c r="AB27" i="2" s="1"/>
  <c r="P27" i="2" s="1"/>
  <c r="AN22" i="2"/>
  <c r="AB22" i="2" s="1"/>
  <c r="P22" i="2" s="1"/>
  <c r="AN11" i="2"/>
  <c r="AB11" i="2" s="1"/>
  <c r="P11" i="2" s="1"/>
  <c r="AN53" i="2"/>
  <c r="AB53" i="2" s="1"/>
  <c r="P53" i="2" s="1"/>
  <c r="AN16" i="2"/>
  <c r="AB16" i="2" s="1"/>
  <c r="P16" i="2" s="1"/>
  <c r="AN109" i="2"/>
  <c r="AB109" i="2" s="1"/>
  <c r="P109" i="2" s="1"/>
  <c r="AN125" i="2"/>
  <c r="AB125" i="2" s="1"/>
  <c r="P125" i="2" s="1"/>
  <c r="AN14" i="2"/>
  <c r="AB14" i="2" s="1"/>
  <c r="P14" i="2" s="1"/>
  <c r="AN70" i="2"/>
  <c r="AB70" i="2" s="1"/>
  <c r="P70" i="2" s="1"/>
  <c r="AN18" i="2"/>
  <c r="AB18" i="2" s="1"/>
  <c r="P18" i="2" s="1"/>
  <c r="AN191" i="2"/>
  <c r="AB191" i="2" s="1"/>
  <c r="P191" i="2" s="1"/>
  <c r="AN150" i="2"/>
  <c r="AB150" i="2" s="1"/>
  <c r="P150" i="2" s="1"/>
  <c r="AN13" i="2"/>
  <c r="AB13" i="2" s="1"/>
  <c r="P13" i="2" s="1"/>
  <c r="AN19" i="2"/>
  <c r="AB19" i="2" s="1"/>
  <c r="P19" i="2" s="1"/>
  <c r="AN112" i="2"/>
  <c r="AB112" i="2" s="1"/>
  <c r="P112" i="2" s="1"/>
  <c r="AN74" i="2"/>
  <c r="AB74" i="2" s="1"/>
  <c r="P74" i="2" s="1"/>
  <c r="AN96" i="2"/>
  <c r="AB96" i="2" s="1"/>
  <c r="P96" i="2" s="1"/>
  <c r="AN182" i="2"/>
  <c r="AB182" i="2" s="1"/>
  <c r="P182" i="2" s="1"/>
  <c r="AN30" i="2"/>
  <c r="AB30" i="2" s="1"/>
  <c r="P30" i="2" s="1"/>
  <c r="AN149" i="2"/>
  <c r="AB149" i="2" s="1"/>
  <c r="P149" i="2" s="1"/>
  <c r="AN189" i="2"/>
  <c r="AB189" i="2" s="1"/>
  <c r="P189" i="2" s="1"/>
  <c r="AN37" i="2"/>
  <c r="AB37" i="2" s="1"/>
  <c r="P37" i="2" s="1"/>
  <c r="AN127" i="2"/>
  <c r="AB127" i="2" s="1"/>
  <c r="P127" i="2" s="1"/>
  <c r="AN110" i="2"/>
  <c r="AB110" i="2" s="1"/>
  <c r="P110" i="2" s="1"/>
  <c r="AN111" i="2"/>
  <c r="AB111" i="2" s="1"/>
  <c r="P111" i="2" s="1"/>
  <c r="AN152" i="2"/>
  <c r="AB152" i="2" s="1"/>
  <c r="P152" i="2" s="1"/>
  <c r="AN156" i="2"/>
  <c r="AB156" i="2" s="1"/>
  <c r="P156" i="2" s="1"/>
  <c r="AN194" i="2"/>
  <c r="AB194" i="2" s="1"/>
  <c r="P194" i="2" s="1"/>
  <c r="AN67" i="2"/>
  <c r="AB67" i="2" s="1"/>
  <c r="P67" i="2" s="1"/>
  <c r="AN66" i="2"/>
  <c r="AB66" i="2" s="1"/>
  <c r="P66" i="2" s="1"/>
  <c r="AN153" i="2"/>
  <c r="AB153" i="2" s="1"/>
  <c r="P153" i="2" s="1"/>
  <c r="AN82" i="2"/>
  <c r="AB82" i="2" s="1"/>
  <c r="P82" i="2" s="1"/>
  <c r="AN33" i="2"/>
  <c r="AB33" i="2" s="1"/>
  <c r="P33" i="2" s="1"/>
  <c r="AN69" i="2"/>
  <c r="AB69" i="2" s="1"/>
  <c r="P69" i="2" s="1"/>
  <c r="AN93" i="2"/>
  <c r="AB93" i="2" s="1"/>
  <c r="P93" i="2" s="1"/>
  <c r="AN173" i="2"/>
  <c r="AB173" i="2" s="1"/>
  <c r="P173" i="2" s="1"/>
  <c r="AN133" i="2"/>
  <c r="AB133" i="2" s="1"/>
  <c r="P133" i="2" s="1"/>
  <c r="AN126" i="2"/>
  <c r="AB126" i="2" s="1"/>
  <c r="P126" i="2" s="1"/>
  <c r="AN161" i="2"/>
  <c r="AB161" i="2" s="1"/>
  <c r="P161" i="2" s="1"/>
  <c r="AN177" i="2"/>
  <c r="AB177" i="2" s="1"/>
  <c r="P177" i="2" s="1"/>
  <c r="AN41" i="2"/>
  <c r="AB41" i="2" s="1"/>
  <c r="P41" i="2" s="1"/>
  <c r="AN58" i="2"/>
  <c r="AB58" i="2" s="1"/>
  <c r="P58" i="2" s="1"/>
  <c r="AN42" i="2"/>
  <c r="AB42" i="2" s="1"/>
  <c r="P42" i="2" s="1"/>
  <c r="AN65" i="2"/>
  <c r="AB65" i="2" s="1"/>
  <c r="P65" i="2" s="1"/>
  <c r="AN140" i="2"/>
  <c r="AB140" i="2" s="1"/>
  <c r="P140" i="2" s="1"/>
  <c r="AN166" i="2"/>
  <c r="AB166" i="2" s="1"/>
  <c r="P166" i="2" s="1"/>
  <c r="AN181" i="2"/>
  <c r="AB181" i="2" s="1"/>
  <c r="P181" i="2" s="1"/>
  <c r="AN77" i="2"/>
  <c r="AB77" i="2" s="1"/>
  <c r="P77" i="2" s="1"/>
  <c r="AN71" i="2"/>
  <c r="AB71" i="2" s="1"/>
  <c r="P71" i="2" s="1"/>
  <c r="AN145" i="2"/>
  <c r="AB145" i="2" s="1"/>
  <c r="P145" i="2" s="1"/>
  <c r="AN190" i="2"/>
  <c r="AB190" i="2" s="1"/>
  <c r="P190" i="2" s="1"/>
  <c r="AN57" i="2"/>
  <c r="AB57" i="2" s="1"/>
  <c r="P57" i="2" s="1"/>
  <c r="AN68" i="2"/>
  <c r="AB68" i="2" s="1"/>
  <c r="P68" i="2" s="1"/>
  <c r="AN86" i="2"/>
  <c r="AB86" i="2" s="1"/>
  <c r="P86" i="2" s="1"/>
  <c r="AN137" i="2"/>
  <c r="AB137" i="2" s="1"/>
  <c r="P137" i="2" s="1"/>
  <c r="AN102" i="2"/>
  <c r="AB102" i="2" s="1"/>
  <c r="P102" i="2" s="1"/>
  <c r="AN184" i="2"/>
  <c r="AB184" i="2" s="1"/>
  <c r="P184" i="2" s="1"/>
  <c r="AN85" i="2"/>
  <c r="AB85" i="2" s="1"/>
  <c r="P85" i="2" s="1"/>
  <c r="AN79" i="2"/>
  <c r="AB79" i="2" s="1"/>
  <c r="P79" i="2" s="1"/>
  <c r="AN95" i="2"/>
  <c r="AB95" i="2" s="1"/>
  <c r="P95" i="2" s="1"/>
  <c r="AN142" i="2"/>
  <c r="AB142" i="2" s="1"/>
  <c r="P142" i="2" s="1"/>
  <c r="AN49" i="2"/>
  <c r="AB49" i="2" s="1"/>
  <c r="P49" i="2" s="1"/>
  <c r="AN50" i="2"/>
  <c r="AB50" i="2" s="1"/>
  <c r="P50" i="2" s="1"/>
  <c r="AN78" i="2"/>
  <c r="AB78" i="2" s="1"/>
  <c r="P78" i="2" s="1"/>
  <c r="AN165" i="2"/>
  <c r="AB165" i="2" s="1"/>
  <c r="P165" i="2" s="1"/>
  <c r="AN172" i="2"/>
  <c r="AB172" i="2" s="1"/>
  <c r="P172" i="2" s="1"/>
  <c r="AN213" i="2"/>
  <c r="AB213" i="2" s="1"/>
  <c r="P213" i="2" s="1"/>
  <c r="AN339" i="2"/>
  <c r="AB339" i="2" s="1"/>
  <c r="P339" i="2" s="1"/>
  <c r="AN319" i="2"/>
  <c r="AB319" i="2" s="1"/>
  <c r="P319" i="2" s="1"/>
  <c r="AN350" i="2"/>
  <c r="AB350" i="2" s="1"/>
  <c r="P350" i="2" s="1"/>
  <c r="AN383" i="2"/>
  <c r="AB383" i="2" s="1"/>
  <c r="P383" i="2" s="1"/>
  <c r="AN400" i="2"/>
  <c r="AB400" i="2" s="1"/>
  <c r="P400" i="2" s="1"/>
  <c r="AN363" i="2"/>
  <c r="AB363" i="2" s="1"/>
  <c r="P363" i="2" s="1"/>
  <c r="AN424" i="2"/>
  <c r="AB424" i="2" s="1"/>
  <c r="P424" i="2" s="1"/>
  <c r="AN452" i="2"/>
  <c r="AB452" i="2" s="1"/>
  <c r="P452" i="2" s="1"/>
  <c r="AN448" i="2"/>
  <c r="AB448" i="2" s="1"/>
  <c r="P448" i="2" s="1"/>
  <c r="AN552" i="2"/>
  <c r="AB552" i="2" s="1"/>
  <c r="P552" i="2" s="1"/>
  <c r="AN485" i="2"/>
  <c r="AB485" i="2" s="1"/>
  <c r="P485" i="2" s="1"/>
  <c r="AN475" i="2"/>
  <c r="AB475" i="2" s="1"/>
  <c r="P475" i="2" s="1"/>
  <c r="AN576" i="2"/>
  <c r="AB576" i="2" s="1"/>
  <c r="P576" i="2" s="1"/>
  <c r="AN533" i="2"/>
  <c r="AB533" i="2" s="1"/>
  <c r="P533" i="2" s="1"/>
  <c r="AN582" i="2"/>
  <c r="AB582" i="2" s="1"/>
  <c r="P582" i="2" s="1"/>
  <c r="AN638" i="2"/>
  <c r="AB638" i="2" s="1"/>
  <c r="P638" i="2" s="1"/>
  <c r="AN721" i="2"/>
  <c r="AB721" i="2" s="1"/>
  <c r="P721" i="2" s="1"/>
  <c r="AN749" i="2"/>
  <c r="AB749" i="2" s="1"/>
  <c r="P749" i="2" s="1"/>
  <c r="AN744" i="2"/>
  <c r="AB744" i="2" s="1"/>
  <c r="P744" i="2" s="1"/>
  <c r="AN215" i="2"/>
  <c r="AB215" i="2" s="1"/>
  <c r="P215" i="2" s="1"/>
  <c r="AN302" i="2"/>
  <c r="AB302" i="2" s="1"/>
  <c r="P302" i="2" s="1"/>
  <c r="AN325" i="2"/>
  <c r="AB325" i="2" s="1"/>
  <c r="P325" i="2" s="1"/>
  <c r="AN274" i="2"/>
  <c r="AB274" i="2" s="1"/>
  <c r="P274" i="2" s="1"/>
  <c r="AN351" i="2"/>
  <c r="AB351" i="2" s="1"/>
  <c r="P351" i="2" s="1"/>
  <c r="AN356" i="2"/>
  <c r="AB356" i="2" s="1"/>
  <c r="P356" i="2" s="1"/>
  <c r="AN407" i="2"/>
  <c r="AB407" i="2" s="1"/>
  <c r="P407" i="2" s="1"/>
  <c r="AN488" i="2"/>
  <c r="AB488" i="2" s="1"/>
  <c r="P488" i="2" s="1"/>
  <c r="AN579" i="2"/>
  <c r="AB579" i="2" s="1"/>
  <c r="P579" i="2" s="1"/>
  <c r="AN609" i="2"/>
  <c r="AB609" i="2" s="1"/>
  <c r="P609" i="2" s="1"/>
  <c r="AN652" i="2"/>
  <c r="AB652" i="2" s="1"/>
  <c r="P652" i="2" s="1"/>
  <c r="AN667" i="2"/>
  <c r="AB667" i="2" s="1"/>
  <c r="P667" i="2" s="1"/>
  <c r="AN669" i="2"/>
  <c r="AB669" i="2" s="1"/>
  <c r="P669" i="2" s="1"/>
  <c r="AN729" i="2"/>
  <c r="AB729" i="2" s="1"/>
  <c r="P729" i="2" s="1"/>
  <c r="AN691" i="2"/>
  <c r="AB691" i="2" s="1"/>
  <c r="P691" i="2" s="1"/>
  <c r="AN660" i="2"/>
  <c r="AB660" i="2" s="1"/>
  <c r="P660" i="2" s="1"/>
  <c r="AN804" i="2"/>
  <c r="AB804" i="2" s="1"/>
  <c r="P804" i="2" s="1"/>
  <c r="AN812" i="2"/>
  <c r="AB812" i="2" s="1"/>
  <c r="P812" i="2" s="1"/>
  <c r="AN245" i="2"/>
  <c r="AB245" i="2" s="1"/>
  <c r="P245" i="2" s="1"/>
  <c r="AN275" i="2"/>
  <c r="AB275" i="2" s="1"/>
  <c r="P275" i="2" s="1"/>
  <c r="AN228" i="2"/>
  <c r="AB228" i="2" s="1"/>
  <c r="P228" i="2" s="1"/>
  <c r="AN364" i="2"/>
  <c r="AB364" i="2" s="1"/>
  <c r="P364" i="2" s="1"/>
  <c r="AN404" i="2"/>
  <c r="AB404" i="2" s="1"/>
  <c r="P404" i="2" s="1"/>
  <c r="AN440" i="2"/>
  <c r="AB440" i="2" s="1"/>
  <c r="P440" i="2" s="1"/>
  <c r="AN457" i="2"/>
  <c r="AB457" i="2" s="1"/>
  <c r="P457" i="2" s="1"/>
  <c r="AN408" i="2"/>
  <c r="AB408" i="2" s="1"/>
  <c r="P408" i="2" s="1"/>
  <c r="AN483" i="2"/>
  <c r="AB483" i="2" s="1"/>
  <c r="P483" i="2" s="1"/>
  <c r="AN520" i="2"/>
  <c r="AB520" i="2" s="1"/>
  <c r="P520" i="2" s="1"/>
  <c r="AN585" i="2"/>
  <c r="AB585" i="2" s="1"/>
  <c r="P585" i="2" s="1"/>
  <c r="AN625" i="2"/>
  <c r="AB625" i="2" s="1"/>
  <c r="P625" i="2" s="1"/>
  <c r="AN683" i="2"/>
  <c r="AB683" i="2" s="1"/>
  <c r="P683" i="2" s="1"/>
  <c r="AN601" i="2"/>
  <c r="AB601" i="2" s="1"/>
  <c r="P601" i="2" s="1"/>
  <c r="AN692" i="2"/>
  <c r="AB692" i="2" s="1"/>
  <c r="P692" i="2" s="1"/>
  <c r="AN685" i="2"/>
  <c r="AB685" i="2" s="1"/>
  <c r="P685" i="2" s="1"/>
  <c r="AN764" i="2"/>
  <c r="AB764" i="2" s="1"/>
  <c r="P764" i="2" s="1"/>
  <c r="AN174" i="2"/>
  <c r="AB174" i="2" s="1"/>
  <c r="P174" i="2" s="1"/>
  <c r="AN248" i="2"/>
  <c r="AB248" i="2" s="1"/>
  <c r="P248" i="2" s="1"/>
  <c r="AN387" i="2"/>
  <c r="AB387" i="2" s="1"/>
  <c r="P387" i="2" s="1"/>
  <c r="AN405" i="2"/>
  <c r="AB405" i="2" s="1"/>
  <c r="P405" i="2" s="1"/>
  <c r="AN425" i="2"/>
  <c r="AB425" i="2" s="1"/>
  <c r="P425" i="2" s="1"/>
  <c r="AN453" i="2"/>
  <c r="AB453" i="2" s="1"/>
  <c r="P453" i="2" s="1"/>
  <c r="AN515" i="2"/>
  <c r="AB515" i="2" s="1"/>
  <c r="P515" i="2" s="1"/>
  <c r="AN491" i="2"/>
  <c r="AB491" i="2" s="1"/>
  <c r="P491" i="2" s="1"/>
  <c r="AN587" i="2"/>
  <c r="AB587" i="2" s="1"/>
  <c r="P587" i="2" s="1"/>
  <c r="AN532" i="2"/>
  <c r="AB532" i="2" s="1"/>
  <c r="P532" i="2" s="1"/>
  <c r="AN550" i="2"/>
  <c r="AB550" i="2" s="1"/>
  <c r="P550" i="2" s="1"/>
  <c r="AN640" i="2"/>
  <c r="AB640" i="2" s="1"/>
  <c r="P640" i="2" s="1"/>
  <c r="AN648" i="2"/>
  <c r="AB648" i="2" s="1"/>
  <c r="P648" i="2" s="1"/>
  <c r="AN634" i="2"/>
  <c r="AB634" i="2" s="1"/>
  <c r="P634" i="2" s="1"/>
  <c r="AN677" i="2"/>
  <c r="AB677" i="2" s="1"/>
  <c r="P677" i="2" s="1"/>
  <c r="AN661" i="2"/>
  <c r="AB661" i="2" s="1"/>
  <c r="P661" i="2" s="1"/>
  <c r="AN789" i="2"/>
  <c r="AB789" i="2" s="1"/>
  <c r="P789" i="2" s="1"/>
  <c r="AN218" i="2"/>
  <c r="AB218" i="2" s="1"/>
  <c r="P218" i="2" s="1"/>
  <c r="AN226" i="2"/>
  <c r="AB226" i="2" s="1"/>
  <c r="P226" i="2" s="1"/>
  <c r="AN271" i="2"/>
  <c r="AB271" i="2" s="1"/>
  <c r="P271" i="2" s="1"/>
  <c r="AN232" i="2"/>
  <c r="AB232" i="2" s="1"/>
  <c r="P232" i="2" s="1"/>
  <c r="AN294" i="2"/>
  <c r="AB294" i="2" s="1"/>
  <c r="P294" i="2" s="1"/>
  <c r="AN331" i="2"/>
  <c r="AB331" i="2" s="1"/>
  <c r="P331" i="2" s="1"/>
  <c r="AN341" i="2"/>
  <c r="AB341" i="2" s="1"/>
  <c r="P341" i="2" s="1"/>
  <c r="AN157" i="2"/>
  <c r="AB157" i="2" s="1"/>
  <c r="P157" i="2" s="1"/>
  <c r="AN258" i="2"/>
  <c r="AB258" i="2" s="1"/>
  <c r="P258" i="2" s="1"/>
  <c r="AN328" i="2"/>
  <c r="AB328" i="2" s="1"/>
  <c r="P328" i="2" s="1"/>
  <c r="AN336" i="2"/>
  <c r="AB336" i="2" s="1"/>
  <c r="P336" i="2" s="1"/>
  <c r="AN318" i="2"/>
  <c r="AB318" i="2" s="1"/>
  <c r="P318" i="2" s="1"/>
  <c r="AN366" i="2"/>
  <c r="AB366" i="2" s="1"/>
  <c r="P366" i="2" s="1"/>
  <c r="AN382" i="2"/>
  <c r="AB382" i="2" s="1"/>
  <c r="P382" i="2" s="1"/>
  <c r="AN450" i="2"/>
  <c r="AB450" i="2" s="1"/>
  <c r="P450" i="2" s="1"/>
  <c r="AN438" i="2"/>
  <c r="AB438" i="2" s="1"/>
  <c r="P438" i="2" s="1"/>
  <c r="AN490" i="2"/>
  <c r="AB490" i="2" s="1"/>
  <c r="P490" i="2" s="1"/>
  <c r="AN422" i="2"/>
  <c r="AB422" i="2" s="1"/>
  <c r="P422" i="2" s="1"/>
  <c r="AN499" i="2"/>
  <c r="AB499" i="2" s="1"/>
  <c r="P499" i="2" s="1"/>
  <c r="AN470" i="2"/>
  <c r="AB470" i="2" s="1"/>
  <c r="P470" i="2" s="1"/>
  <c r="AN471" i="2"/>
  <c r="AB471" i="2" s="1"/>
  <c r="P471" i="2" s="1"/>
  <c r="AN506" i="2"/>
  <c r="AB506" i="2" s="1"/>
  <c r="P506" i="2" s="1"/>
  <c r="AN577" i="2"/>
  <c r="AB577" i="2" s="1"/>
  <c r="P577" i="2" s="1"/>
  <c r="AN668" i="2"/>
  <c r="AB668" i="2" s="1"/>
  <c r="P668" i="2" s="1"/>
  <c r="AN693" i="2"/>
  <c r="AB693" i="2" s="1"/>
  <c r="P693" i="2" s="1"/>
  <c r="AN780" i="2"/>
  <c r="AB780" i="2" s="1"/>
  <c r="P780" i="2" s="1"/>
  <c r="AN822" i="2"/>
  <c r="AB822" i="2" s="1"/>
  <c r="P822" i="2" s="1"/>
  <c r="AN832" i="2"/>
  <c r="AB832" i="2" s="1"/>
  <c r="P832" i="2" s="1"/>
  <c r="AN260" i="2"/>
  <c r="AB260" i="2" s="1"/>
  <c r="P260" i="2" s="1"/>
  <c r="AN216" i="2"/>
  <c r="AB216" i="2" s="1"/>
  <c r="P216" i="2" s="1"/>
  <c r="AN273" i="2"/>
  <c r="AB273" i="2" s="1"/>
  <c r="P273" i="2" s="1"/>
  <c r="AN323" i="2"/>
  <c r="AB323" i="2" s="1"/>
  <c r="P323" i="2" s="1"/>
  <c r="AN357" i="2"/>
  <c r="AB357" i="2" s="1"/>
  <c r="P357" i="2" s="1"/>
  <c r="AN423" i="2"/>
  <c r="AB423" i="2" s="1"/>
  <c r="P423" i="2" s="1"/>
  <c r="AN518" i="2"/>
  <c r="AB518" i="2" s="1"/>
  <c r="P518" i="2" s="1"/>
  <c r="AN516" i="2"/>
  <c r="AB516" i="2" s="1"/>
  <c r="P516" i="2" s="1"/>
  <c r="AN525" i="2"/>
  <c r="AB525" i="2" s="1"/>
  <c r="P525" i="2" s="1"/>
  <c r="AN646" i="2"/>
  <c r="AB646" i="2" s="1"/>
  <c r="P646" i="2" s="1"/>
  <c r="AN606" i="2"/>
  <c r="AB606" i="2" s="1"/>
  <c r="P606" i="2" s="1"/>
  <c r="AN707" i="2"/>
  <c r="AB707" i="2" s="1"/>
  <c r="P707" i="2" s="1"/>
  <c r="AN713" i="2"/>
  <c r="AB713" i="2" s="1"/>
  <c r="P713" i="2" s="1"/>
  <c r="AN643" i="2"/>
  <c r="AB643" i="2" s="1"/>
  <c r="P643" i="2" s="1"/>
  <c r="AN724" i="2"/>
  <c r="AB724" i="2" s="1"/>
  <c r="P724" i="2" s="1"/>
  <c r="AN203" i="2"/>
  <c r="AB203" i="2" s="1"/>
  <c r="P203" i="2" s="1"/>
  <c r="AN269" i="2"/>
  <c r="AB269" i="2" s="1"/>
  <c r="P269" i="2" s="1"/>
  <c r="AN307" i="2"/>
  <c r="AB307" i="2" s="1"/>
  <c r="P307" i="2" s="1"/>
  <c r="AN320" i="2"/>
  <c r="AB320" i="2" s="1"/>
  <c r="P320" i="2" s="1"/>
  <c r="AN340" i="2"/>
  <c r="AB340" i="2" s="1"/>
  <c r="P340" i="2" s="1"/>
  <c r="AN289" i="2"/>
  <c r="AB289" i="2" s="1"/>
  <c r="P289" i="2" s="1"/>
  <c r="AN380" i="2"/>
  <c r="AB380" i="2" s="1"/>
  <c r="P380" i="2" s="1"/>
  <c r="AN347" i="2"/>
  <c r="AB347" i="2" s="1"/>
  <c r="P347" i="2" s="1"/>
  <c r="AN371" i="2"/>
  <c r="AB371" i="2" s="1"/>
  <c r="P371" i="2" s="1"/>
  <c r="AN393" i="2"/>
  <c r="AB393" i="2" s="1"/>
  <c r="P393" i="2" s="1"/>
  <c r="AN460" i="2"/>
  <c r="AB460" i="2" s="1"/>
  <c r="P460" i="2" s="1"/>
  <c r="AN504" i="2"/>
  <c r="AB504" i="2" s="1"/>
  <c r="P504" i="2" s="1"/>
  <c r="AN519" i="2"/>
  <c r="AB519" i="2" s="1"/>
  <c r="P519" i="2" s="1"/>
  <c r="AN505" i="2"/>
  <c r="AB505" i="2" s="1"/>
  <c r="P505" i="2" s="1"/>
  <c r="AN549" i="2"/>
  <c r="AB549" i="2" s="1"/>
  <c r="P549" i="2" s="1"/>
  <c r="AN608" i="2"/>
  <c r="AB608" i="2" s="1"/>
  <c r="P608" i="2" s="1"/>
  <c r="AN602" i="2"/>
  <c r="AB602" i="2" s="1"/>
  <c r="P602" i="2" s="1"/>
  <c r="AN659" i="2"/>
  <c r="AB659" i="2" s="1"/>
  <c r="P659" i="2" s="1"/>
  <c r="AN762" i="2"/>
  <c r="AB762" i="2" s="1"/>
  <c r="P762" i="2" s="1"/>
  <c r="AN806" i="2"/>
  <c r="AB806" i="2" s="1"/>
  <c r="P806" i="2" s="1"/>
  <c r="AN94" i="2"/>
  <c r="AB94" i="2" s="1"/>
  <c r="P94" i="2" s="1"/>
  <c r="AN291" i="2"/>
  <c r="AB291" i="2" s="1"/>
  <c r="P291" i="2" s="1"/>
  <c r="AN463" i="2"/>
  <c r="AB463" i="2" s="1"/>
  <c r="P463" i="2" s="1"/>
  <c r="AN409" i="2"/>
  <c r="AB409" i="2" s="1"/>
  <c r="P409" i="2" s="1"/>
  <c r="AN437" i="2"/>
  <c r="AB437" i="2" s="1"/>
  <c r="P437" i="2" s="1"/>
  <c r="AN432" i="2"/>
  <c r="AB432" i="2" s="1"/>
  <c r="P432" i="2" s="1"/>
  <c r="AN489" i="2"/>
  <c r="AB489" i="2" s="1"/>
  <c r="P489" i="2" s="1"/>
  <c r="AN534" i="2"/>
  <c r="AB534" i="2" s="1"/>
  <c r="P534" i="2" s="1"/>
  <c r="AN567" i="2"/>
  <c r="AB567" i="2" s="1"/>
  <c r="P567" i="2" s="1"/>
  <c r="AN624" i="2"/>
  <c r="AB624" i="2" s="1"/>
  <c r="P624" i="2" s="1"/>
  <c r="AN704" i="2"/>
  <c r="AB704" i="2" s="1"/>
  <c r="P704" i="2" s="1"/>
  <c r="AN195" i="2"/>
  <c r="AB195" i="2" s="1"/>
  <c r="P195" i="2" s="1"/>
  <c r="AN262" i="2"/>
  <c r="AB262" i="2" s="1"/>
  <c r="P262" i="2" s="1"/>
  <c r="AN322" i="2"/>
  <c r="AB322" i="2" s="1"/>
  <c r="P322" i="2" s="1"/>
  <c r="AN303" i="2"/>
  <c r="AB303" i="2" s="1"/>
  <c r="P303" i="2" s="1"/>
  <c r="AN368" i="2"/>
  <c r="AB368" i="2" s="1"/>
  <c r="P368" i="2" s="1"/>
  <c r="AN474" i="2"/>
  <c r="AB474" i="2" s="1"/>
  <c r="P474" i="2" s="1"/>
  <c r="AN565" i="2"/>
  <c r="AB565" i="2" s="1"/>
  <c r="P565" i="2" s="1"/>
  <c r="AN708" i="2"/>
  <c r="AB708" i="2" s="1"/>
  <c r="P708" i="2" s="1"/>
  <c r="AN738" i="2"/>
  <c r="AB738" i="2" s="1"/>
  <c r="P738" i="2" s="1"/>
  <c r="AN778" i="2"/>
  <c r="AB778" i="2" s="1"/>
  <c r="P778" i="2" s="1"/>
  <c r="AN781" i="2"/>
  <c r="AB781" i="2" s="1"/>
  <c r="P781" i="2" s="1"/>
  <c r="AN841" i="2"/>
  <c r="AB841" i="2" s="1"/>
  <c r="P841" i="2" s="1"/>
  <c r="AN84" i="2"/>
  <c r="AB84" i="2" s="1"/>
  <c r="P84" i="2" s="1"/>
  <c r="AN101" i="2"/>
  <c r="AB101" i="2" s="1"/>
  <c r="P101" i="2" s="1"/>
  <c r="AN212" i="2"/>
  <c r="AB212" i="2" s="1"/>
  <c r="P212" i="2" s="1"/>
  <c r="AN266" i="2"/>
  <c r="AB266" i="2" s="1"/>
  <c r="P266" i="2" s="1"/>
  <c r="AN214" i="2"/>
  <c r="AB214" i="2" s="1"/>
  <c r="P214" i="2" s="1"/>
  <c r="AN334" i="2"/>
  <c r="AB334" i="2" s="1"/>
  <c r="P334" i="2" s="1"/>
  <c r="AN373" i="2"/>
  <c r="AB373" i="2" s="1"/>
  <c r="P373" i="2" s="1"/>
  <c r="AN379" i="2"/>
  <c r="AB379" i="2" s="1"/>
  <c r="P379" i="2" s="1"/>
  <c r="AN420" i="2"/>
  <c r="AB420" i="2" s="1"/>
  <c r="P420" i="2" s="1"/>
  <c r="AN561" i="2"/>
  <c r="AB561" i="2" s="1"/>
  <c r="P561" i="2" s="1"/>
  <c r="AN759" i="2"/>
  <c r="AB759" i="2" s="1"/>
  <c r="P759" i="2" s="1"/>
  <c r="AN605" i="2"/>
  <c r="AB605" i="2" s="1"/>
  <c r="P605" i="2" s="1"/>
  <c r="AN586" i="2"/>
  <c r="AB586" i="2" s="1"/>
  <c r="P586" i="2" s="1"/>
  <c r="AN688" i="2"/>
  <c r="AB688" i="2" s="1"/>
  <c r="P688" i="2" s="1"/>
  <c r="AN710" i="2"/>
  <c r="AB710" i="2" s="1"/>
  <c r="P710" i="2" s="1"/>
  <c r="AN700" i="2"/>
  <c r="AB700" i="2" s="1"/>
  <c r="P700" i="2" s="1"/>
  <c r="AN777" i="2"/>
  <c r="AB777" i="2" s="1"/>
  <c r="P777" i="2" s="1"/>
  <c r="AN815" i="2"/>
  <c r="AB815" i="2" s="1"/>
  <c r="P815" i="2" s="1"/>
  <c r="AN849" i="2"/>
  <c r="AB849" i="2" s="1"/>
  <c r="P849" i="2" s="1"/>
  <c r="AN261" i="2"/>
  <c r="AB261" i="2" s="1"/>
  <c r="P261" i="2" s="1"/>
  <c r="AN198" i="2"/>
  <c r="AB198" i="2" s="1"/>
  <c r="P198" i="2" s="1"/>
  <c r="AN229" i="2"/>
  <c r="AB229" i="2" s="1"/>
  <c r="P229" i="2" s="1"/>
  <c r="AN243" i="2"/>
  <c r="AB243" i="2" s="1"/>
  <c r="P243" i="2" s="1"/>
  <c r="AN306" i="2"/>
  <c r="AB306" i="2" s="1"/>
  <c r="P306" i="2" s="1"/>
  <c r="AN390" i="2"/>
  <c r="AB390" i="2" s="1"/>
  <c r="P390" i="2" s="1"/>
  <c r="AN355" i="2"/>
  <c r="AB355" i="2" s="1"/>
  <c r="P355" i="2" s="1"/>
  <c r="AN391" i="2"/>
  <c r="AB391" i="2" s="1"/>
  <c r="P391" i="2" s="1"/>
  <c r="AN551" i="2"/>
  <c r="AB551" i="2" s="1"/>
  <c r="P551" i="2" s="1"/>
  <c r="AN560" i="2"/>
  <c r="AB560" i="2" s="1"/>
  <c r="P560" i="2" s="1"/>
  <c r="AN527" i="2"/>
  <c r="AB527" i="2" s="1"/>
  <c r="P527" i="2" s="1"/>
  <c r="AN590" i="2"/>
  <c r="AB590" i="2" s="1"/>
  <c r="P590" i="2" s="1"/>
  <c r="AN597" i="2"/>
  <c r="AB597" i="2" s="1"/>
  <c r="P597" i="2" s="1"/>
  <c r="AN658" i="2"/>
  <c r="AB658" i="2" s="1"/>
  <c r="P658" i="2" s="1"/>
  <c r="AN656" i="2"/>
  <c r="AB656" i="2" s="1"/>
  <c r="P656" i="2" s="1"/>
  <c r="AN701" i="2"/>
  <c r="AB701" i="2" s="1"/>
  <c r="P701" i="2" s="1"/>
  <c r="AN833" i="2"/>
  <c r="AB833" i="2" s="1"/>
  <c r="P833" i="2" s="1"/>
  <c r="AN34" i="2"/>
  <c r="AB34" i="2" s="1"/>
  <c r="P34" i="2" s="1"/>
  <c r="AN204" i="2"/>
  <c r="AB204" i="2" s="1"/>
  <c r="P204" i="2" s="1"/>
  <c r="AN249" i="2"/>
  <c r="AB249" i="2" s="1"/>
  <c r="P249" i="2" s="1"/>
  <c r="AN287" i="2"/>
  <c r="AB287" i="2" s="1"/>
  <c r="P287" i="2" s="1"/>
  <c r="AN335" i="2"/>
  <c r="AB335" i="2" s="1"/>
  <c r="P335" i="2" s="1"/>
  <c r="AN352" i="2"/>
  <c r="AB352" i="2" s="1"/>
  <c r="P352" i="2" s="1"/>
  <c r="AN466" i="2"/>
  <c r="AB466" i="2" s="1"/>
  <c r="P466" i="2" s="1"/>
  <c r="AN421" i="2"/>
  <c r="AB421" i="2" s="1"/>
  <c r="P421" i="2" s="1"/>
  <c r="AN451" i="2"/>
  <c r="AB451" i="2" s="1"/>
  <c r="P451" i="2" s="1"/>
  <c r="AN507" i="2"/>
  <c r="AB507" i="2" s="1"/>
  <c r="P507" i="2" s="1"/>
  <c r="AN563" i="2"/>
  <c r="AB563" i="2" s="1"/>
  <c r="P563" i="2" s="1"/>
  <c r="AN566" i="2"/>
  <c r="AB566" i="2" s="1"/>
  <c r="P566" i="2" s="1"/>
  <c r="AN644" i="2"/>
  <c r="AB644" i="2" s="1"/>
  <c r="P644" i="2" s="1"/>
  <c r="AN613" i="2"/>
  <c r="AB613" i="2" s="1"/>
  <c r="P613" i="2" s="1"/>
  <c r="AN745" i="2"/>
  <c r="AB745" i="2" s="1"/>
  <c r="P745" i="2" s="1"/>
  <c r="AN791" i="2"/>
  <c r="AB791" i="2" s="1"/>
  <c r="P791" i="2" s="1"/>
  <c r="AN863" i="2"/>
  <c r="AB863" i="2" s="1"/>
  <c r="P863" i="2" s="1"/>
  <c r="AN251" i="2"/>
  <c r="AB251" i="2" s="1"/>
  <c r="P251" i="2" s="1"/>
  <c r="AN246" i="2"/>
  <c r="AB246" i="2" s="1"/>
  <c r="P246" i="2" s="1"/>
  <c r="AN247" i="2"/>
  <c r="AB247" i="2" s="1"/>
  <c r="P247" i="2" s="1"/>
  <c r="AN330" i="2"/>
  <c r="AB330" i="2" s="1"/>
  <c r="P330" i="2" s="1"/>
  <c r="AN288" i="2"/>
  <c r="AB288" i="2" s="1"/>
  <c r="P288" i="2" s="1"/>
  <c r="AN384" i="2"/>
  <c r="AB384" i="2" s="1"/>
  <c r="P384" i="2" s="1"/>
  <c r="AN394" i="2"/>
  <c r="AB394" i="2" s="1"/>
  <c r="P394" i="2" s="1"/>
  <c r="AN439" i="2"/>
  <c r="AB439" i="2" s="1"/>
  <c r="P439" i="2" s="1"/>
  <c r="AN480" i="2"/>
  <c r="AB480" i="2" s="1"/>
  <c r="P480" i="2" s="1"/>
  <c r="AN416" i="2"/>
  <c r="AB416" i="2" s="1"/>
  <c r="P416" i="2" s="1"/>
  <c r="AN406" i="2"/>
  <c r="AB406" i="2" s="1"/>
  <c r="P406" i="2" s="1"/>
  <c r="AN617" i="2"/>
  <c r="AB617" i="2" s="1"/>
  <c r="P617" i="2" s="1"/>
  <c r="AN626" i="2"/>
  <c r="AB626" i="2" s="1"/>
  <c r="P626" i="2" s="1"/>
  <c r="AN699" i="2"/>
  <c r="AB699" i="2" s="1"/>
  <c r="P699" i="2" s="1"/>
  <c r="AN733" i="2"/>
  <c r="AB733" i="2" s="1"/>
  <c r="P733" i="2" s="1"/>
  <c r="AN796" i="2"/>
  <c r="AB796" i="2" s="1"/>
  <c r="P796" i="2" s="1"/>
  <c r="AN436" i="2"/>
  <c r="AB436" i="2" s="1"/>
  <c r="P436" i="2" s="1"/>
  <c r="AN455" i="2"/>
  <c r="AB455" i="2" s="1"/>
  <c r="P455" i="2" s="1"/>
  <c r="AN598" i="2"/>
  <c r="AB598" i="2" s="1"/>
  <c r="P598" i="2" s="1"/>
  <c r="AN821" i="2"/>
  <c r="AB821" i="2" s="1"/>
  <c r="P821" i="2" s="1"/>
  <c r="AN939" i="2"/>
  <c r="AB939" i="2" s="1"/>
  <c r="P939" i="2" s="1"/>
  <c r="AN933" i="2"/>
  <c r="AB933" i="2" s="1"/>
  <c r="P933" i="2" s="1"/>
  <c r="AN929" i="2"/>
  <c r="AB929" i="2" s="1"/>
  <c r="P929" i="2" s="1"/>
  <c r="AN964" i="2"/>
  <c r="AB964" i="2" s="1"/>
  <c r="P964" i="2" s="1"/>
  <c r="AN993" i="2"/>
  <c r="AB993" i="2" s="1"/>
  <c r="P993" i="2" s="1"/>
  <c r="AN1067" i="2"/>
  <c r="AB1067" i="2" s="1"/>
  <c r="P1067" i="2" s="1"/>
  <c r="AN1153" i="2"/>
  <c r="AB1153" i="2" s="1"/>
  <c r="P1153" i="2" s="1"/>
  <c r="AN1140" i="2"/>
  <c r="AB1140" i="2" s="1"/>
  <c r="P1140" i="2" s="1"/>
  <c r="AN1190" i="2"/>
  <c r="AB1190" i="2" s="1"/>
  <c r="P1190" i="2" s="1"/>
  <c r="AN1264" i="2"/>
  <c r="AB1264" i="2" s="1"/>
  <c r="P1264" i="2" s="1"/>
  <c r="AN1049" i="2"/>
  <c r="AB1049" i="2" s="1"/>
  <c r="P1049" i="2" s="1"/>
  <c r="AN1229" i="2"/>
  <c r="AB1229" i="2" s="1"/>
  <c r="P1229" i="2" s="1"/>
  <c r="AN641" i="2"/>
  <c r="AB641" i="2" s="1"/>
  <c r="P641" i="2" s="1"/>
  <c r="AN629" i="2"/>
  <c r="AB629" i="2" s="1"/>
  <c r="P629" i="2" s="1"/>
  <c r="AN859" i="2"/>
  <c r="AB859" i="2" s="1"/>
  <c r="P859" i="2" s="1"/>
  <c r="AN909" i="2"/>
  <c r="AB909" i="2" s="1"/>
  <c r="P909" i="2" s="1"/>
  <c r="AN1065" i="2"/>
  <c r="AB1065" i="2" s="1"/>
  <c r="P1065" i="2" s="1"/>
  <c r="AN1165" i="2"/>
  <c r="AB1165" i="2" s="1"/>
  <c r="P1165" i="2" s="1"/>
  <c r="AN286" i="2"/>
  <c r="AB286" i="2" s="1"/>
  <c r="P286" i="2" s="1"/>
  <c r="AN372" i="2"/>
  <c r="AB372" i="2" s="1"/>
  <c r="P372" i="2" s="1"/>
  <c r="AN775" i="2"/>
  <c r="AB775" i="2" s="1"/>
  <c r="P775" i="2" s="1"/>
  <c r="AN837" i="2"/>
  <c r="AB837" i="2" s="1"/>
  <c r="P837" i="2" s="1"/>
  <c r="AN830" i="2"/>
  <c r="AB830" i="2" s="1"/>
  <c r="P830" i="2" s="1"/>
  <c r="AN877" i="2"/>
  <c r="AB877" i="2" s="1"/>
  <c r="P877" i="2" s="1"/>
  <c r="AN942" i="2"/>
  <c r="AB942" i="2" s="1"/>
  <c r="P942" i="2" s="1"/>
  <c r="AN1045" i="2"/>
  <c r="AB1045" i="2" s="1"/>
  <c r="P1045" i="2" s="1"/>
  <c r="AN1103" i="2"/>
  <c r="AB1103" i="2" s="1"/>
  <c r="P1103" i="2" s="1"/>
  <c r="AN1111" i="2"/>
  <c r="AB1111" i="2" s="1"/>
  <c r="P1111" i="2" s="1"/>
  <c r="AN1124" i="2"/>
  <c r="AB1124" i="2" s="1"/>
  <c r="P1124" i="2" s="1"/>
  <c r="AN1142" i="2"/>
  <c r="AB1142" i="2" s="1"/>
  <c r="P1142" i="2" s="1"/>
  <c r="AN1174" i="2"/>
  <c r="AB1174" i="2" s="1"/>
  <c r="P1174" i="2" s="1"/>
  <c r="AN1198" i="2"/>
  <c r="AB1198" i="2" s="1"/>
  <c r="P1198" i="2" s="1"/>
  <c r="AN388" i="2"/>
  <c r="AB388" i="2" s="1"/>
  <c r="P388" i="2" s="1"/>
  <c r="AN441" i="2"/>
  <c r="AB441" i="2" s="1"/>
  <c r="P441" i="2" s="1"/>
  <c r="AN546" i="2"/>
  <c r="AB546" i="2" s="1"/>
  <c r="P546" i="2" s="1"/>
  <c r="AN803" i="2"/>
  <c r="AB803" i="2" s="1"/>
  <c r="P803" i="2" s="1"/>
  <c r="AN855" i="2"/>
  <c r="AB855" i="2" s="1"/>
  <c r="P855" i="2" s="1"/>
  <c r="AN876" i="2"/>
  <c r="AB876" i="2" s="1"/>
  <c r="P876" i="2" s="1"/>
  <c r="AN948" i="2"/>
  <c r="AB948" i="2" s="1"/>
  <c r="P948" i="2" s="1"/>
  <c r="AN978" i="2"/>
  <c r="AB978" i="2" s="1"/>
  <c r="P978" i="2" s="1"/>
  <c r="AN1041" i="2"/>
  <c r="AB1041" i="2" s="1"/>
  <c r="P1041" i="2" s="1"/>
  <c r="AN1052" i="2"/>
  <c r="AB1052" i="2" s="1"/>
  <c r="P1052" i="2" s="1"/>
  <c r="AN1044" i="2"/>
  <c r="AB1044" i="2" s="1"/>
  <c r="P1044" i="2" s="1"/>
  <c r="AN1122" i="2"/>
  <c r="AB1122" i="2" s="1"/>
  <c r="P1122" i="2" s="1"/>
  <c r="AN1114" i="2"/>
  <c r="AB1114" i="2" s="1"/>
  <c r="P1114" i="2" s="1"/>
  <c r="AN1125" i="2"/>
  <c r="AB1125" i="2" s="1"/>
  <c r="P1125" i="2" s="1"/>
  <c r="AN1134" i="2"/>
  <c r="AB1134" i="2" s="1"/>
  <c r="P1134" i="2" s="1"/>
  <c r="AN1163" i="2"/>
  <c r="AB1163" i="2" s="1"/>
  <c r="P1163" i="2" s="1"/>
  <c r="AN1161" i="2"/>
  <c r="AB1161" i="2" s="1"/>
  <c r="P1161" i="2" s="1"/>
  <c r="AN1202" i="2"/>
  <c r="AB1202" i="2" s="1"/>
  <c r="P1202" i="2" s="1"/>
  <c r="AN1181" i="2"/>
  <c r="AB1181" i="2" s="1"/>
  <c r="P1181" i="2" s="1"/>
  <c r="AN1199" i="2"/>
  <c r="AB1199" i="2" s="1"/>
  <c r="P1199" i="2" s="1"/>
  <c r="AN1218" i="2"/>
  <c r="AB1218" i="2" s="1"/>
  <c r="P1218" i="2" s="1"/>
  <c r="AN1195" i="2"/>
  <c r="AB1195" i="2" s="1"/>
  <c r="P1195" i="2" s="1"/>
  <c r="AN1269" i="2"/>
  <c r="AB1269" i="2" s="1"/>
  <c r="P1269" i="2" s="1"/>
  <c r="AN730" i="2"/>
  <c r="AB730" i="2" s="1"/>
  <c r="P730" i="2" s="1"/>
  <c r="AN1001" i="2"/>
  <c r="AB1001" i="2" s="1"/>
  <c r="P1001" i="2" s="1"/>
  <c r="AN1152" i="2"/>
  <c r="AB1152" i="2" s="1"/>
  <c r="P1152" i="2" s="1"/>
  <c r="AN886" i="2"/>
  <c r="AB886" i="2" s="1"/>
  <c r="P886" i="2" s="1"/>
  <c r="AN1083" i="2"/>
  <c r="AB1083" i="2" s="1"/>
  <c r="P1083" i="2" s="1"/>
  <c r="AN1055" i="2"/>
  <c r="AB1055" i="2" s="1"/>
  <c r="P1055" i="2" s="1"/>
  <c r="AN1239" i="2"/>
  <c r="AB1239" i="2" s="1"/>
  <c r="P1239" i="2" s="1"/>
  <c r="AN820" i="2"/>
  <c r="AB820" i="2" s="1"/>
  <c r="P820" i="2" s="1"/>
  <c r="AN874" i="2"/>
  <c r="AB874" i="2" s="1"/>
  <c r="P874" i="2" s="1"/>
  <c r="AN912" i="2"/>
  <c r="AB912" i="2" s="1"/>
  <c r="P912" i="2" s="1"/>
  <c r="AN951" i="2"/>
  <c r="AB951" i="2" s="1"/>
  <c r="P951" i="2" s="1"/>
  <c r="AN992" i="2"/>
  <c r="AB992" i="2" s="1"/>
  <c r="P992" i="2" s="1"/>
  <c r="AN996" i="2"/>
  <c r="AB996" i="2" s="1"/>
  <c r="P996" i="2" s="1"/>
  <c r="AN1023" i="2"/>
  <c r="AB1023" i="2" s="1"/>
  <c r="P1023" i="2" s="1"/>
  <c r="AN1061" i="2"/>
  <c r="AB1061" i="2" s="1"/>
  <c r="P1061" i="2" s="1"/>
  <c r="AN1194" i="2"/>
  <c r="AB1194" i="2" s="1"/>
  <c r="P1194" i="2" s="1"/>
  <c r="AN1206" i="2"/>
  <c r="AB1206" i="2" s="1"/>
  <c r="P1206" i="2" s="1"/>
  <c r="AN1187" i="2"/>
  <c r="AB1187" i="2" s="1"/>
  <c r="P1187" i="2" s="1"/>
  <c r="AN1231" i="2"/>
  <c r="AB1231" i="2" s="1"/>
  <c r="P1231" i="2" s="1"/>
  <c r="AN1226" i="2"/>
  <c r="AB1226" i="2" s="1"/>
  <c r="P1226" i="2" s="1"/>
  <c r="AN230" i="2"/>
  <c r="AB230" i="2" s="1"/>
  <c r="P230" i="2" s="1"/>
  <c r="AN853" i="2"/>
  <c r="AB853" i="2" s="1"/>
  <c r="P853" i="2" s="1"/>
  <c r="AN989" i="2"/>
  <c r="AB989" i="2" s="1"/>
  <c r="P989" i="2" s="1"/>
  <c r="AN29" i="2"/>
  <c r="AB29" i="2" s="1"/>
  <c r="P29" i="2" s="1"/>
  <c r="AN158" i="2"/>
  <c r="AB158" i="2" s="1"/>
  <c r="P158" i="2" s="1"/>
  <c r="AN367" i="2"/>
  <c r="AB367" i="2" s="1"/>
  <c r="P367" i="2" s="1"/>
  <c r="AN536" i="2"/>
  <c r="AB536" i="2" s="1"/>
  <c r="P536" i="2" s="1"/>
  <c r="AN675" i="2"/>
  <c r="AB675" i="2" s="1"/>
  <c r="P675" i="2" s="1"/>
  <c r="AN618" i="2"/>
  <c r="AB618" i="2" s="1"/>
  <c r="P618" i="2" s="1"/>
  <c r="AN900" i="2"/>
  <c r="AB900" i="2" s="1"/>
  <c r="P900" i="2" s="1"/>
  <c r="AN892" i="2"/>
  <c r="AB892" i="2" s="1"/>
  <c r="P892" i="2" s="1"/>
  <c r="AN908" i="2"/>
  <c r="AB908" i="2" s="1"/>
  <c r="P908" i="2" s="1"/>
  <c r="AN917" i="2"/>
  <c r="AB917" i="2" s="1"/>
  <c r="P917" i="2" s="1"/>
  <c r="AN930" i="2"/>
  <c r="AB930" i="2" s="1"/>
  <c r="P930" i="2" s="1"/>
  <c r="AN1050" i="2"/>
  <c r="AB1050" i="2" s="1"/>
  <c r="P1050" i="2" s="1"/>
  <c r="AN1062" i="2"/>
  <c r="AB1062" i="2" s="1"/>
  <c r="P1062" i="2" s="1"/>
  <c r="AN1048" i="2"/>
  <c r="AB1048" i="2" s="1"/>
  <c r="P1048" i="2" s="1"/>
  <c r="AN1117" i="2"/>
  <c r="AB1117" i="2" s="1"/>
  <c r="P1117" i="2" s="1"/>
  <c r="AN1138" i="2"/>
  <c r="AB1138" i="2" s="1"/>
  <c r="P1138" i="2" s="1"/>
  <c r="AN918" i="2"/>
  <c r="AB918" i="2" s="1"/>
  <c r="P918" i="2" s="1"/>
  <c r="AN937" i="2"/>
  <c r="AB937" i="2" s="1"/>
  <c r="P937" i="2" s="1"/>
  <c r="AN1027" i="2"/>
  <c r="AB1027" i="2" s="1"/>
  <c r="P1027" i="2" s="1"/>
  <c r="AN1250" i="2"/>
  <c r="AB1250" i="2" s="1"/>
  <c r="P1250" i="2" s="1"/>
  <c r="AN136" i="2"/>
  <c r="AB136" i="2" s="1"/>
  <c r="P136" i="2" s="1"/>
  <c r="AN304" i="2"/>
  <c r="AB304" i="2" s="1"/>
  <c r="P304" i="2" s="1"/>
  <c r="AN843" i="2"/>
  <c r="AB843" i="2" s="1"/>
  <c r="P843" i="2" s="1"/>
  <c r="AN826" i="2"/>
  <c r="AB826" i="2" s="1"/>
  <c r="P826" i="2" s="1"/>
  <c r="AN860" i="2"/>
  <c r="AB860" i="2" s="1"/>
  <c r="P860" i="2" s="1"/>
  <c r="AN894" i="2"/>
  <c r="AB894" i="2" s="1"/>
  <c r="P894" i="2" s="1"/>
  <c r="AN935" i="2"/>
  <c r="AB935" i="2" s="1"/>
  <c r="P935" i="2" s="1"/>
  <c r="AN1017" i="2"/>
  <c r="AB1017" i="2" s="1"/>
  <c r="P1017" i="2" s="1"/>
  <c r="AN1069" i="2"/>
  <c r="AB1069" i="2" s="1"/>
  <c r="P1069" i="2" s="1"/>
  <c r="AN1095" i="2"/>
  <c r="AB1095" i="2" s="1"/>
  <c r="P1095" i="2" s="1"/>
  <c r="AN1101" i="2"/>
  <c r="AB1101" i="2" s="1"/>
  <c r="P1101" i="2" s="1"/>
  <c r="AN1158" i="2"/>
  <c r="AB1158" i="2" s="1"/>
  <c r="P1158" i="2" s="1"/>
  <c r="AN1123" i="2"/>
  <c r="AB1123" i="2" s="1"/>
  <c r="P1123" i="2" s="1"/>
  <c r="AN1162" i="2"/>
  <c r="AB1162" i="2" s="1"/>
  <c r="P1162" i="2" s="1"/>
  <c r="AN1228" i="2"/>
  <c r="AB1228" i="2" s="1"/>
  <c r="P1228" i="2" s="1"/>
  <c r="AN760" i="2"/>
  <c r="AB760" i="2" s="1"/>
  <c r="P760" i="2" s="1"/>
  <c r="AN1102" i="2"/>
  <c r="AB1102" i="2" s="1"/>
  <c r="P1102" i="2" s="1"/>
  <c r="AN333" i="2"/>
  <c r="AB333" i="2" s="1"/>
  <c r="P333" i="2" s="1"/>
  <c r="AN454" i="2"/>
  <c r="AB454" i="2" s="1"/>
  <c r="P454" i="2" s="1"/>
  <c r="AN676" i="2"/>
  <c r="AB676" i="2" s="1"/>
  <c r="P676" i="2" s="1"/>
  <c r="AN740" i="2"/>
  <c r="AB740" i="2" s="1"/>
  <c r="P740" i="2" s="1"/>
  <c r="AN761" i="2"/>
  <c r="AB761" i="2" s="1"/>
  <c r="P761" i="2" s="1"/>
  <c r="AN880" i="2"/>
  <c r="AB880" i="2" s="1"/>
  <c r="P880" i="2" s="1"/>
  <c r="AN842" i="2"/>
  <c r="AB842" i="2" s="1"/>
  <c r="P842" i="2" s="1"/>
  <c r="AN890" i="2"/>
  <c r="AB890" i="2" s="1"/>
  <c r="P890" i="2" s="1"/>
  <c r="AN910" i="2"/>
  <c r="AB910" i="2" s="1"/>
  <c r="P910" i="2" s="1"/>
  <c r="AN931" i="2"/>
  <c r="AB931" i="2" s="1"/>
  <c r="P931" i="2" s="1"/>
  <c r="AN1024" i="2"/>
  <c r="AB1024" i="2" s="1"/>
  <c r="P1024" i="2" s="1"/>
  <c r="AN1129" i="2"/>
  <c r="AB1129" i="2" s="1"/>
  <c r="P1129" i="2" s="1"/>
  <c r="AN1139" i="2"/>
  <c r="AB1139" i="2" s="1"/>
  <c r="P1139" i="2" s="1"/>
  <c r="AN1147" i="2"/>
  <c r="AB1147" i="2" s="1"/>
  <c r="P1147" i="2" s="1"/>
  <c r="AN1251" i="2"/>
  <c r="AB1251" i="2" s="1"/>
  <c r="P1251" i="2" s="1"/>
  <c r="AN1273" i="2"/>
  <c r="AB1273" i="2" s="1"/>
  <c r="P1273" i="2" s="1"/>
  <c r="AN1265" i="2"/>
  <c r="AB1265" i="2" s="1"/>
  <c r="P1265" i="2" s="1"/>
  <c r="AN1033" i="2"/>
  <c r="AB1033" i="2" s="1"/>
  <c r="P1033" i="2" s="1"/>
  <c r="AN1119" i="2"/>
  <c r="AB1119" i="2" s="1"/>
  <c r="P1119" i="2" s="1"/>
  <c r="AN472" i="2"/>
  <c r="AB472" i="2" s="1"/>
  <c r="P472" i="2" s="1"/>
  <c r="AN535" i="2"/>
  <c r="AB535" i="2" s="1"/>
  <c r="P535" i="2" s="1"/>
  <c r="AN588" i="2"/>
  <c r="AB588" i="2" s="1"/>
  <c r="P588" i="2" s="1"/>
  <c r="AN684" i="2"/>
  <c r="AB684" i="2" s="1"/>
  <c r="P684" i="2" s="1"/>
  <c r="AN844" i="2"/>
  <c r="AB844" i="2" s="1"/>
  <c r="P844" i="2" s="1"/>
  <c r="AN881" i="2"/>
  <c r="AB881" i="2" s="1"/>
  <c r="P881" i="2" s="1"/>
  <c r="AN865" i="2"/>
  <c r="AB865" i="2" s="1"/>
  <c r="P865" i="2" s="1"/>
  <c r="AN901" i="2"/>
  <c r="AB901" i="2" s="1"/>
  <c r="P901" i="2" s="1"/>
  <c r="AN921" i="2"/>
  <c r="AB921" i="2" s="1"/>
  <c r="P921" i="2" s="1"/>
  <c r="AN968" i="2"/>
  <c r="AB968" i="2" s="1"/>
  <c r="P968" i="2" s="1"/>
  <c r="AN1030" i="2"/>
  <c r="AB1030" i="2" s="1"/>
  <c r="P1030" i="2" s="1"/>
  <c r="AN1070" i="2"/>
  <c r="AB1070" i="2" s="1"/>
  <c r="P1070" i="2" s="1"/>
  <c r="AN1064" i="2"/>
  <c r="AB1064" i="2" s="1"/>
  <c r="P1064" i="2" s="1"/>
  <c r="AN1099" i="2"/>
  <c r="AB1099" i="2" s="1"/>
  <c r="P1099" i="2" s="1"/>
  <c r="AN1112" i="2"/>
  <c r="AB1112" i="2" s="1"/>
  <c r="P1112" i="2" s="1"/>
  <c r="AN1184" i="2"/>
  <c r="AB1184" i="2" s="1"/>
  <c r="P1184" i="2" s="1"/>
  <c r="AN1227" i="2"/>
  <c r="AB1227" i="2" s="1"/>
  <c r="P1227" i="2" s="1"/>
  <c r="AN1217" i="2"/>
  <c r="AB1217" i="2" s="1"/>
  <c r="P1217" i="2" s="1"/>
  <c r="AN1255" i="2"/>
  <c r="AB1255" i="2" s="1"/>
  <c r="P1255" i="2" s="1"/>
  <c r="AN1267" i="2"/>
  <c r="AB1267" i="2" s="1"/>
  <c r="P1267" i="2" s="1"/>
  <c r="AN1256" i="2"/>
  <c r="AB1256" i="2" s="1"/>
  <c r="P1256" i="2" s="1"/>
  <c r="AN231" i="2"/>
  <c r="AB231" i="2" s="1"/>
  <c r="P231" i="2" s="1"/>
  <c r="AN310" i="2"/>
  <c r="AB310" i="2" s="1"/>
  <c r="P310" i="2" s="1"/>
  <c r="AN672" i="2"/>
  <c r="AB672" i="2" s="1"/>
  <c r="P672" i="2" s="1"/>
  <c r="AN794" i="2"/>
  <c r="AB794" i="2" s="1"/>
  <c r="P794" i="2" s="1"/>
  <c r="AN819" i="2"/>
  <c r="AB819" i="2" s="1"/>
  <c r="P819" i="2" s="1"/>
  <c r="AN932" i="2"/>
  <c r="AB932" i="2" s="1"/>
  <c r="P932" i="2" s="1"/>
  <c r="AN916" i="2"/>
  <c r="AB916" i="2" s="1"/>
  <c r="P916" i="2" s="1"/>
  <c r="AN973" i="2"/>
  <c r="AB973" i="2" s="1"/>
  <c r="P973" i="2" s="1"/>
  <c r="AN1113" i="2"/>
  <c r="AB1113" i="2" s="1"/>
  <c r="P1113" i="2" s="1"/>
  <c r="AN1169" i="2"/>
  <c r="AB1169" i="2" s="1"/>
  <c r="P1169" i="2" s="1"/>
  <c r="AN879" i="2"/>
  <c r="AB879" i="2" s="1"/>
  <c r="P879" i="2" s="1"/>
  <c r="AN168" i="2"/>
  <c r="AB168" i="2" s="1"/>
  <c r="P168" i="2" s="1"/>
  <c r="AN392" i="2"/>
  <c r="AB392" i="2" s="1"/>
  <c r="P392" i="2" s="1"/>
  <c r="AN473" i="2"/>
  <c r="AB473" i="2" s="1"/>
  <c r="P473" i="2" s="1"/>
  <c r="AN622" i="2"/>
  <c r="AB622" i="2" s="1"/>
  <c r="P622" i="2" s="1"/>
  <c r="AN746" i="2"/>
  <c r="AB746" i="2" s="1"/>
  <c r="P746" i="2" s="1"/>
  <c r="AN902" i="2"/>
  <c r="AB902" i="2" s="1"/>
  <c r="P902" i="2" s="1"/>
  <c r="AN875" i="2"/>
  <c r="AB875" i="2" s="1"/>
  <c r="P875" i="2" s="1"/>
  <c r="AN904" i="2"/>
  <c r="AB904" i="2" s="1"/>
  <c r="P904" i="2" s="1"/>
  <c r="AN907" i="2"/>
  <c r="AB907" i="2" s="1"/>
  <c r="P907" i="2" s="1"/>
  <c r="AN956" i="2"/>
  <c r="AB956" i="2" s="1"/>
  <c r="P956" i="2" s="1"/>
  <c r="AN991" i="2"/>
  <c r="AB991" i="2" s="1"/>
  <c r="P991" i="2" s="1"/>
  <c r="AN1075" i="2"/>
  <c r="AB1075" i="2" s="1"/>
  <c r="P1075" i="2" s="1"/>
  <c r="AN1193" i="2"/>
  <c r="AB1193" i="2" s="1"/>
  <c r="P1193" i="2" s="1"/>
  <c r="AN1166" i="2"/>
  <c r="AB1166" i="2" s="1"/>
  <c r="P1166" i="2" s="1"/>
  <c r="AN1238" i="2"/>
  <c r="AB1238" i="2" s="1"/>
  <c r="P1238" i="2" s="1"/>
  <c r="AN1253" i="2"/>
  <c r="AB1253" i="2" s="1"/>
  <c r="P1253" i="2" s="1"/>
  <c r="AN1257" i="2"/>
  <c r="AB1257" i="2" s="1"/>
  <c r="P1257" i="2" s="1"/>
  <c r="AN290" i="2"/>
  <c r="AB290" i="2" s="1"/>
  <c r="P290" i="2" s="1"/>
  <c r="AN568" i="2"/>
  <c r="AB568" i="2" s="1"/>
  <c r="P568" i="2" s="1"/>
  <c r="AN758" i="2"/>
  <c r="AB758" i="2" s="1"/>
  <c r="P758" i="2" s="1"/>
  <c r="AN866" i="2"/>
  <c r="AB866" i="2" s="1"/>
  <c r="P866" i="2" s="1"/>
  <c r="AN970" i="2"/>
  <c r="AB970" i="2" s="1"/>
  <c r="P970" i="2" s="1"/>
  <c r="AN1085" i="2"/>
  <c r="AB1085" i="2" s="1"/>
  <c r="P1085" i="2" s="1"/>
  <c r="AN1096" i="2"/>
  <c r="AB1096" i="2" s="1"/>
  <c r="P1096" i="2" s="1"/>
  <c r="AN1100" i="2"/>
  <c r="AB1100" i="2" s="1"/>
  <c r="P1100" i="2" s="1"/>
  <c r="AN1126" i="2"/>
  <c r="AB1126" i="2" s="1"/>
  <c r="P1126" i="2" s="1"/>
  <c r="AN1185" i="2"/>
  <c r="AB1185" i="2" s="1"/>
  <c r="P1185" i="2" s="1"/>
  <c r="AN1236" i="2"/>
  <c r="AB1236" i="2" s="1"/>
  <c r="P1236" i="2" s="1"/>
  <c r="AN1016" i="2"/>
  <c r="AB1016" i="2" s="1"/>
  <c r="P1016" i="2" s="1"/>
  <c r="AN305" i="2"/>
  <c r="AB305" i="2" s="1"/>
  <c r="P305" i="2" s="1"/>
  <c r="AN501" i="2"/>
  <c r="AB501" i="2" s="1"/>
  <c r="P501" i="2" s="1"/>
  <c r="AN861" i="2"/>
  <c r="AB861" i="2" s="1"/>
  <c r="P861" i="2" s="1"/>
  <c r="AN882" i="2"/>
  <c r="AB882" i="2" s="1"/>
  <c r="P882" i="2" s="1"/>
  <c r="AN941" i="2"/>
  <c r="AB941" i="2" s="1"/>
  <c r="P941" i="2" s="1"/>
  <c r="AN999" i="2"/>
  <c r="AB999" i="2" s="1"/>
  <c r="P999" i="2" s="1"/>
  <c r="AN1011" i="2"/>
  <c r="AB1011" i="2" s="1"/>
  <c r="P1011" i="2" s="1"/>
  <c r="AN1025" i="2"/>
  <c r="AB1025" i="2" s="1"/>
  <c r="P1025" i="2" s="1"/>
  <c r="AN1084" i="2"/>
  <c r="AB1084" i="2" s="1"/>
  <c r="P1084" i="2" s="1"/>
  <c r="AN1097" i="2"/>
  <c r="AB1097" i="2" s="1"/>
  <c r="P1097" i="2" s="1"/>
  <c r="AN1148" i="2"/>
  <c r="AB1148" i="2" s="1"/>
  <c r="P1148" i="2" s="1"/>
  <c r="AN1159" i="2"/>
  <c r="AB1159" i="2" s="1"/>
  <c r="P1159" i="2" s="1"/>
  <c r="AN1212" i="2"/>
  <c r="AB1212" i="2" s="1"/>
  <c r="P1212" i="2" s="1"/>
  <c r="AN1080" i="2"/>
  <c r="AB1080" i="2" s="1"/>
  <c r="P1080" i="2" s="1"/>
  <c r="AN1209" i="2"/>
  <c r="AB1209" i="2" s="1"/>
  <c r="P1209" i="2" s="1"/>
  <c r="AN1186" i="2"/>
  <c r="AB1186" i="2" s="1"/>
  <c r="P1186" i="2" s="1"/>
  <c r="AN276" i="2"/>
  <c r="AB276" i="2" s="1"/>
  <c r="P276" i="2" s="1"/>
  <c r="AN1243" i="2"/>
  <c r="AB1243" i="2" s="1"/>
  <c r="P1243" i="2" s="1"/>
  <c r="AN326" i="2"/>
  <c r="AB326" i="2" s="1"/>
  <c r="P326" i="2" s="1"/>
  <c r="AN633" i="2"/>
  <c r="AB633" i="2" s="1"/>
  <c r="P633" i="2" s="1"/>
  <c r="AN711" i="2"/>
  <c r="AB711" i="2" s="1"/>
  <c r="P711" i="2" s="1"/>
  <c r="AN773" i="2"/>
  <c r="AB773" i="2" s="1"/>
  <c r="P773" i="2" s="1"/>
  <c r="AN856" i="2"/>
  <c r="AB856" i="2" s="1"/>
  <c r="P856" i="2" s="1"/>
  <c r="AN905" i="2"/>
  <c r="AB905" i="2" s="1"/>
  <c r="P905" i="2" s="1"/>
  <c r="AN914" i="2"/>
  <c r="AB914" i="2" s="1"/>
  <c r="P914" i="2" s="1"/>
  <c r="AN915" i="2"/>
  <c r="AB915" i="2" s="1"/>
  <c r="P915" i="2" s="1"/>
  <c r="AN953" i="2"/>
  <c r="AB953" i="2" s="1"/>
  <c r="P953" i="2" s="1"/>
  <c r="AN786" i="2"/>
  <c r="AB786" i="2" s="1"/>
  <c r="P786" i="2" s="1"/>
  <c r="AN977" i="2"/>
  <c r="AB977" i="2" s="1"/>
  <c r="P977" i="2" s="1"/>
  <c r="AN1098" i="2"/>
  <c r="AB1098" i="2" s="1"/>
  <c r="P1098" i="2" s="1"/>
  <c r="AN1205" i="2"/>
  <c r="AB1205" i="2" s="1"/>
  <c r="P1205" i="2" s="1"/>
  <c r="AN889" i="2"/>
  <c r="AB889" i="2" s="1"/>
  <c r="P889" i="2" s="1"/>
  <c r="AN811" i="2"/>
  <c r="AB811" i="2" s="1"/>
  <c r="P811" i="2" s="1"/>
  <c r="AN224" i="2"/>
  <c r="AB224" i="2" s="1"/>
  <c r="P224" i="2" s="1"/>
  <c r="AN899" i="2"/>
  <c r="AB899" i="2" s="1"/>
  <c r="P899" i="2" s="1"/>
  <c r="AN834" i="2"/>
  <c r="AB834" i="2" s="1"/>
  <c r="P834" i="2" s="1"/>
  <c r="AN1060" i="2"/>
  <c r="AB1060" i="2" s="1"/>
  <c r="P1060" i="2" s="1"/>
  <c r="AN1006" i="2"/>
  <c r="AB1006" i="2" s="1"/>
  <c r="P1006" i="2" s="1"/>
  <c r="AN919" i="2"/>
  <c r="AB919" i="2" s="1"/>
  <c r="P919" i="2" s="1"/>
  <c r="AN827" i="2"/>
  <c r="AB827" i="2" s="1"/>
  <c r="P827" i="2" s="1"/>
  <c r="AN1077" i="2"/>
  <c r="AB1077" i="2" s="1"/>
  <c r="P1077" i="2" s="1"/>
  <c r="AN1213" i="2"/>
  <c r="AB1213" i="2" s="1"/>
  <c r="P1213" i="2" s="1"/>
  <c r="AN734" i="2"/>
  <c r="AB734" i="2" s="1"/>
  <c r="P734" i="2" s="1"/>
  <c r="AN155" i="2"/>
  <c r="AB155" i="2" s="1"/>
  <c r="P155" i="2" s="1"/>
  <c r="AN883" i="2"/>
  <c r="AB883" i="2" s="1"/>
  <c r="P883" i="2" s="1"/>
  <c r="AN927" i="2"/>
  <c r="AB927" i="2" s="1"/>
  <c r="P927" i="2" s="1"/>
  <c r="AN871" i="2"/>
  <c r="AB871" i="2" s="1"/>
  <c r="P871" i="2" s="1"/>
  <c r="AN1013" i="2"/>
  <c r="AB1013" i="2" s="1"/>
  <c r="P1013" i="2" s="1"/>
  <c r="AN952" i="2"/>
  <c r="AB952" i="2" s="1"/>
  <c r="P952" i="2" s="1"/>
  <c r="AN805" i="2"/>
  <c r="AB805" i="2" s="1"/>
  <c r="P805" i="2" s="1"/>
  <c r="AN752" i="2"/>
  <c r="AB752" i="2" s="1"/>
  <c r="P752" i="2" s="1"/>
  <c r="AN427" i="2"/>
  <c r="AB427" i="2" s="1"/>
  <c r="P427" i="2" s="1"/>
  <c r="AN739" i="2"/>
  <c r="AB739" i="2" s="1"/>
  <c r="P739" i="2" s="1"/>
  <c r="AN702" i="2"/>
  <c r="AB702" i="2" s="1"/>
  <c r="P702" i="2" s="1"/>
  <c r="AN284" i="2"/>
  <c r="AB284" i="2" s="1"/>
  <c r="P284" i="2" s="1"/>
  <c r="AN726" i="2"/>
  <c r="AB726" i="2" s="1"/>
  <c r="P726" i="2" s="1"/>
  <c r="AN314" i="2"/>
  <c r="AB314" i="2" s="1"/>
  <c r="P314" i="2" s="1"/>
  <c r="AN790" i="2"/>
  <c r="AB790" i="2" s="1"/>
  <c r="P790" i="2" s="1"/>
  <c r="AN698" i="2"/>
  <c r="AB698" i="2" s="1"/>
  <c r="P698" i="2" s="1"/>
  <c r="AN574" i="2"/>
  <c r="AB574" i="2" s="1"/>
  <c r="P574" i="2" s="1"/>
  <c r="AN575" i="2"/>
  <c r="AB575" i="2" s="1"/>
  <c r="P575" i="2" s="1"/>
  <c r="AN412" i="2"/>
  <c r="AB412" i="2" s="1"/>
  <c r="P412" i="2" s="1"/>
  <c r="AN542" i="2"/>
  <c r="AB542" i="2" s="1"/>
  <c r="P542" i="2" s="1"/>
  <c r="AN481" i="2"/>
  <c r="AB481" i="2" s="1"/>
  <c r="P481" i="2" s="1"/>
  <c r="AN631" i="2"/>
  <c r="AB631" i="2" s="1"/>
  <c r="P631" i="2" s="1"/>
  <c r="AN955" i="2"/>
  <c r="AB955" i="2" s="1"/>
  <c r="P955" i="2" s="1"/>
  <c r="AN1031" i="2"/>
  <c r="AB1031" i="2" s="1"/>
  <c r="P1031" i="2" s="1"/>
  <c r="AN1087" i="2"/>
  <c r="AB1087" i="2" s="1"/>
  <c r="P1087" i="2" s="1"/>
  <c r="AN1263" i="2"/>
  <c r="AB1263" i="2" s="1"/>
  <c r="P1263" i="2" s="1"/>
  <c r="AN1261" i="2"/>
  <c r="AB1261" i="2" s="1"/>
  <c r="P1261" i="2" s="1"/>
  <c r="AN903" i="2"/>
  <c r="AB903" i="2" s="1"/>
  <c r="P903" i="2" s="1"/>
  <c r="AN1259" i="2"/>
  <c r="AB1259" i="2" s="1"/>
  <c r="P1259" i="2" s="1"/>
  <c r="AN828" i="2"/>
  <c r="AB828" i="2" s="1"/>
  <c r="P828" i="2" s="1"/>
  <c r="AN208" i="2"/>
  <c r="AB208" i="2" s="1"/>
  <c r="P208" i="2" s="1"/>
  <c r="AN1143" i="2"/>
  <c r="AB1143" i="2" s="1"/>
  <c r="P1143" i="2" s="1"/>
  <c r="AN940" i="2"/>
  <c r="AB940" i="2" s="1"/>
  <c r="P940" i="2" s="1"/>
  <c r="AN808" i="2"/>
  <c r="AB808" i="2" s="1"/>
  <c r="P808" i="2" s="1"/>
  <c r="AN365" i="2"/>
  <c r="AB365" i="2" s="1"/>
  <c r="P365" i="2" s="1"/>
  <c r="AN295" i="2"/>
  <c r="AB295" i="2" s="1"/>
  <c r="P295" i="2" s="1"/>
  <c r="AN731" i="2"/>
  <c r="AB731" i="2" s="1"/>
  <c r="P731" i="2" s="1"/>
  <c r="AN255" i="2"/>
  <c r="AB255" i="2" s="1"/>
  <c r="P255" i="2" s="1"/>
  <c r="AN703" i="2"/>
  <c r="AB703" i="2" s="1"/>
  <c r="P703" i="2" s="1"/>
  <c r="AN209" i="2"/>
  <c r="AB209" i="2" s="1"/>
  <c r="P209" i="2" s="1"/>
  <c r="AN159" i="2"/>
  <c r="AB159" i="2" s="1"/>
  <c r="P159" i="2" s="1"/>
  <c r="AN570" i="2"/>
  <c r="AB570" i="2" s="1"/>
  <c r="P570" i="2" s="1"/>
  <c r="AN1179" i="2"/>
  <c r="AB1179" i="2" s="1"/>
  <c r="P1179" i="2" s="1"/>
  <c r="AN885" i="2"/>
  <c r="AB885" i="2" s="1"/>
  <c r="P885" i="2" s="1"/>
  <c r="AN1110" i="2"/>
  <c r="AB1110" i="2" s="1"/>
  <c r="P1110" i="2" s="1"/>
  <c r="AN1086" i="2"/>
  <c r="AB1086" i="2" s="1"/>
  <c r="P1086" i="2" s="1"/>
  <c r="AN443" i="2"/>
  <c r="AB443" i="2" s="1"/>
  <c r="P443" i="2" s="1"/>
  <c r="AN1254" i="2"/>
  <c r="AB1254" i="2" s="1"/>
  <c r="P1254" i="2" s="1"/>
  <c r="AN1008" i="2"/>
  <c r="AB1008" i="2" s="1"/>
  <c r="P1008" i="2" s="1"/>
  <c r="AN349" i="2"/>
  <c r="AB349" i="2" s="1"/>
  <c r="P349" i="2" s="1"/>
  <c r="AN1130" i="2"/>
  <c r="AB1130" i="2" s="1"/>
  <c r="P1130" i="2" s="1"/>
  <c r="AN1183" i="2"/>
  <c r="AB1183" i="2" s="1"/>
  <c r="P1183" i="2" s="1"/>
  <c r="AN1106" i="2"/>
  <c r="AB1106" i="2" s="1"/>
  <c r="P1106" i="2" s="1"/>
  <c r="AN795" i="2"/>
  <c r="AB795" i="2" s="1"/>
  <c r="P795" i="2" s="1"/>
  <c r="AN1133" i="2"/>
  <c r="AB1133" i="2" s="1"/>
  <c r="P1133" i="2" s="1"/>
  <c r="AN1089" i="2"/>
  <c r="AB1089" i="2" s="1"/>
  <c r="P1089" i="2" s="1"/>
  <c r="AN1092" i="2"/>
  <c r="AB1092" i="2" s="1"/>
  <c r="P1092" i="2" s="1"/>
  <c r="AN663" i="2"/>
  <c r="AB663" i="2" s="1"/>
  <c r="P663" i="2" s="1"/>
  <c r="AN252" i="2"/>
  <c r="AB252" i="2" s="1"/>
  <c r="P252" i="2" s="1"/>
  <c r="AN186" i="2"/>
  <c r="AB186" i="2" s="1"/>
  <c r="P186" i="2" s="1"/>
  <c r="AN36" i="2"/>
  <c r="AB36" i="2" s="1"/>
  <c r="P36" i="2" s="1"/>
  <c r="AN557" i="2"/>
  <c r="AB557" i="2" s="1"/>
  <c r="P557" i="2" s="1"/>
  <c r="AN176" i="2"/>
  <c r="AB176" i="2" s="1"/>
  <c r="P176" i="2" s="1"/>
  <c r="AN411" i="2"/>
  <c r="AB411" i="2" s="1"/>
  <c r="P411" i="2" s="1"/>
  <c r="AN338" i="2"/>
  <c r="AB338" i="2" s="1"/>
  <c r="P338" i="2" s="1"/>
  <c r="AN655" i="2"/>
  <c r="AB655" i="2" s="1"/>
  <c r="P655" i="2" s="1"/>
  <c r="AN370" i="2"/>
  <c r="AB370" i="2" s="1"/>
  <c r="P370" i="2" s="1"/>
  <c r="AN148" i="2"/>
  <c r="AB148" i="2" s="1"/>
  <c r="P148" i="2" s="1"/>
  <c r="AN385" i="2"/>
  <c r="AB385" i="2" s="1"/>
  <c r="P385" i="2" s="1"/>
  <c r="AN265" i="2"/>
  <c r="AB265" i="2" s="1"/>
  <c r="P265" i="2" s="1"/>
  <c r="AN1189" i="2"/>
  <c r="AB1189" i="2" s="1"/>
  <c r="P1189" i="2" s="1"/>
  <c r="AN1188" i="2"/>
  <c r="AB1188" i="2" s="1"/>
  <c r="P1188" i="2" s="1"/>
  <c r="AN1034" i="2"/>
  <c r="AB1034" i="2" s="1"/>
  <c r="P1034" i="2" s="1"/>
  <c r="AN852" i="2"/>
  <c r="AB852" i="2" s="1"/>
  <c r="P852" i="2" s="1"/>
  <c r="AN1136" i="2"/>
  <c r="AB1136" i="2" s="1"/>
  <c r="P1136" i="2" s="1"/>
  <c r="AN974" i="2"/>
  <c r="AB974" i="2" s="1"/>
  <c r="P974" i="2" s="1"/>
  <c r="AN797" i="2"/>
  <c r="AB797" i="2" s="1"/>
  <c r="P797" i="2" s="1"/>
  <c r="AN267" i="2"/>
  <c r="AB267" i="2" s="1"/>
  <c r="P267" i="2" s="1"/>
  <c r="AN514" i="2"/>
  <c r="AB514" i="2" s="1"/>
  <c r="P514" i="2" s="1"/>
  <c r="AN1241" i="2"/>
  <c r="AB1241" i="2" s="1"/>
  <c r="P1241" i="2" s="1"/>
  <c r="AN887" i="2"/>
  <c r="AB887" i="2" s="1"/>
  <c r="P887" i="2" s="1"/>
  <c r="AN1203" i="2"/>
  <c r="AB1203" i="2" s="1"/>
  <c r="P1203" i="2" s="1"/>
  <c r="AN770" i="2"/>
  <c r="AB770" i="2" s="1"/>
  <c r="P770" i="2" s="1"/>
  <c r="AN1235" i="2"/>
  <c r="AB1235" i="2" s="1"/>
  <c r="P1235" i="2" s="1"/>
  <c r="AN1059" i="2"/>
  <c r="AB1059" i="2" s="1"/>
  <c r="P1059" i="2" s="1"/>
  <c r="AN888" i="2"/>
  <c r="AB888" i="2" s="1"/>
  <c r="P888" i="2" s="1"/>
  <c r="AN73" i="2"/>
  <c r="AB73" i="2" s="1"/>
  <c r="P73" i="2" s="1"/>
  <c r="AN1094" i="2"/>
  <c r="AB1094" i="2" s="1"/>
  <c r="P1094" i="2" s="1"/>
  <c r="AN838" i="2"/>
  <c r="AB838" i="2" s="1"/>
  <c r="P838" i="2" s="1"/>
  <c r="AN1051" i="2"/>
  <c r="AB1051" i="2" s="1"/>
  <c r="P1051" i="2" s="1"/>
  <c r="AN988" i="2"/>
  <c r="AB988" i="2" s="1"/>
  <c r="P988" i="2" s="1"/>
  <c r="AN706" i="2"/>
  <c r="AB706" i="2" s="1"/>
  <c r="P706" i="2" s="1"/>
  <c r="AN285" i="2"/>
  <c r="AB285" i="2" s="1"/>
  <c r="P285" i="2" s="1"/>
  <c r="AN253" i="2"/>
  <c r="AB253" i="2" s="1"/>
  <c r="P253" i="2" s="1"/>
  <c r="AN444" i="2"/>
  <c r="AB444" i="2" s="1"/>
  <c r="P444" i="2" s="1"/>
  <c r="AN256" i="2"/>
  <c r="AB256" i="2" s="1"/>
  <c r="P256" i="2" s="1"/>
  <c r="AN719" i="2"/>
  <c r="AB719" i="2" s="1"/>
  <c r="P719" i="2" s="1"/>
  <c r="AN690" i="2"/>
  <c r="AB690" i="2" s="1"/>
  <c r="P690" i="2" s="1"/>
  <c r="AN344" i="2"/>
  <c r="AB344" i="2" s="1"/>
  <c r="P344" i="2" s="1"/>
  <c r="AN144" i="2"/>
  <c r="AB144" i="2" s="1"/>
  <c r="P144" i="2" s="1"/>
  <c r="AN345" i="2"/>
  <c r="AB345" i="2" s="1"/>
  <c r="P345" i="2" s="1"/>
  <c r="AN513" i="2"/>
  <c r="AB513" i="2" s="1"/>
  <c r="P513" i="2" s="1"/>
  <c r="AN1224" i="2"/>
  <c r="AB1224" i="2" s="1"/>
  <c r="P1224" i="2" s="1"/>
  <c r="AN718" i="2"/>
  <c r="AB718" i="2" s="1"/>
  <c r="P718" i="2" s="1"/>
  <c r="AN868" i="2"/>
  <c r="AB868" i="2" s="1"/>
  <c r="P868" i="2" s="1"/>
  <c r="AN1141" i="2"/>
  <c r="AB1141" i="2" s="1"/>
  <c r="P1141" i="2" s="1"/>
  <c r="AN1109" i="2"/>
  <c r="AB1109" i="2" s="1"/>
  <c r="P1109" i="2" s="1"/>
  <c r="AN1042" i="2"/>
  <c r="AB1042" i="2" s="1"/>
  <c r="P1042" i="2" s="1"/>
  <c r="AN317" i="2"/>
  <c r="AB317" i="2" s="1"/>
  <c r="P317" i="2" s="1"/>
  <c r="AN801" i="2"/>
  <c r="AB801" i="2" s="1"/>
  <c r="P801" i="2" s="1"/>
  <c r="AN1168" i="2"/>
  <c r="AB1168" i="2" s="1"/>
  <c r="P1168" i="2" s="1"/>
  <c r="AN985" i="2"/>
  <c r="AB985" i="2" s="1"/>
  <c r="P985" i="2" s="1"/>
  <c r="AN847" i="2"/>
  <c r="AB847" i="2" s="1"/>
  <c r="P847" i="2" s="1"/>
  <c r="AN979" i="2"/>
  <c r="AB979" i="2" s="1"/>
  <c r="P979" i="2" s="1"/>
  <c r="AN966" i="2"/>
  <c r="AB966" i="2" s="1"/>
  <c r="P966" i="2" s="1"/>
  <c r="AN823" i="2"/>
  <c r="AB823" i="2" s="1"/>
  <c r="P823" i="2" s="1"/>
  <c r="AN415" i="2"/>
  <c r="AB415" i="2" s="1"/>
  <c r="P415" i="2" s="1"/>
  <c r="AN1032" i="2"/>
  <c r="AB1032" i="2" s="1"/>
  <c r="P1032" i="2" s="1"/>
  <c r="AN911" i="2"/>
  <c r="AB911" i="2" s="1"/>
  <c r="P911" i="2" s="1"/>
  <c r="AN831" i="2"/>
  <c r="AB831" i="2" s="1"/>
  <c r="P831" i="2" s="1"/>
  <c r="AN642" i="2"/>
  <c r="AB642" i="2" s="1"/>
  <c r="P642" i="2" s="1"/>
  <c r="AN584" i="2"/>
  <c r="AB584" i="2" s="1"/>
  <c r="P584" i="2" s="1"/>
  <c r="AN511" i="2"/>
  <c r="AB511" i="2" s="1"/>
  <c r="P511" i="2" s="1"/>
  <c r="AN787" i="2"/>
  <c r="AB787" i="2" s="1"/>
  <c r="P787" i="2" s="1"/>
  <c r="AN386" i="2"/>
  <c r="AB386" i="2" s="1"/>
  <c r="P386" i="2" s="1"/>
  <c r="AN237" i="2"/>
  <c r="AB237" i="2" s="1"/>
  <c r="P237" i="2" s="1"/>
  <c r="AN498" i="2"/>
  <c r="AB498" i="2" s="1"/>
  <c r="P498" i="2" s="1"/>
  <c r="AN223" i="2"/>
  <c r="AB223" i="2" s="1"/>
  <c r="P223" i="2" s="1"/>
  <c r="AN478" i="2"/>
  <c r="AB478" i="2" s="1"/>
  <c r="P478" i="2" s="1"/>
  <c r="AN717" i="2"/>
  <c r="AB717" i="2" s="1"/>
  <c r="P717" i="2" s="1"/>
  <c r="AN528" i="2"/>
  <c r="AB528" i="2" s="1"/>
  <c r="P528" i="2" s="1"/>
  <c r="AN495" i="2"/>
  <c r="AB495" i="2" s="1"/>
  <c r="P495" i="2" s="1"/>
  <c r="AN327" i="2"/>
  <c r="AB327" i="2" s="1"/>
  <c r="P327" i="2" s="1"/>
  <c r="AN25" i="2"/>
  <c r="AB25" i="2" s="1"/>
  <c r="P25" i="2" s="1"/>
  <c r="AN1104" i="2"/>
  <c r="AB1104" i="2" s="1"/>
  <c r="P1104" i="2" s="1"/>
  <c r="AN799" i="2"/>
  <c r="AB799" i="2" s="1"/>
  <c r="P799" i="2" s="1"/>
  <c r="AN1093" i="2"/>
  <c r="AB1093" i="2" s="1"/>
  <c r="P1093" i="2" s="1"/>
  <c r="AN1039" i="2"/>
  <c r="AB1039" i="2" s="1"/>
  <c r="P1039" i="2" s="1"/>
  <c r="AN750" i="2"/>
  <c r="AB750" i="2" s="1"/>
  <c r="P750" i="2" s="1"/>
  <c r="AN1156" i="2"/>
  <c r="AB1156" i="2" s="1"/>
  <c r="P1156" i="2" s="1"/>
  <c r="AN670" i="2"/>
  <c r="AB670" i="2" s="1"/>
  <c r="P670" i="2" s="1"/>
  <c r="AN547" i="2"/>
  <c r="AB547" i="2" s="1"/>
  <c r="P547" i="2" s="1"/>
  <c r="AN1108" i="2"/>
  <c r="AB1108" i="2" s="1"/>
  <c r="P1108" i="2" s="1"/>
  <c r="AN1090" i="2"/>
  <c r="AB1090" i="2" s="1"/>
  <c r="P1090" i="2" s="1"/>
  <c r="AN950" i="2"/>
  <c r="AB950" i="2" s="1"/>
  <c r="P950" i="2" s="1"/>
  <c r="AN963" i="2"/>
  <c r="AB963" i="2" s="1"/>
  <c r="P963" i="2" s="1"/>
  <c r="AN873" i="2"/>
  <c r="AB873" i="2" s="1"/>
  <c r="P873" i="2" s="1"/>
  <c r="AN884" i="2"/>
  <c r="AB884" i="2" s="1"/>
  <c r="P884" i="2" s="1"/>
  <c r="AN75" i="2"/>
  <c r="AB75" i="2" s="1"/>
  <c r="P75" i="2" s="1"/>
  <c r="AN817" i="2"/>
  <c r="AB817" i="2" s="1"/>
  <c r="P817" i="2" s="1"/>
  <c r="AN1208" i="2"/>
  <c r="AB1208" i="2" s="1"/>
  <c r="P1208" i="2" s="1"/>
  <c r="AN1155" i="2"/>
  <c r="AB1155" i="2" s="1"/>
  <c r="P1155" i="2" s="1"/>
  <c r="AN522" i="2"/>
  <c r="AB522" i="2" s="1"/>
  <c r="P522" i="2" s="1"/>
  <c r="AN381" i="2"/>
  <c r="AB381" i="2" s="1"/>
  <c r="P381" i="2" s="1"/>
  <c r="AN254" i="2"/>
  <c r="AB254" i="2" s="1"/>
  <c r="P254" i="2" s="1"/>
  <c r="AN767" i="2"/>
  <c r="AB767" i="2" s="1"/>
  <c r="P767" i="2" s="1"/>
  <c r="AN202" i="2"/>
  <c r="AB202" i="2" s="1"/>
  <c r="P202" i="2" s="1"/>
  <c r="AN798" i="2"/>
  <c r="AB798" i="2" s="1"/>
  <c r="P798" i="2" s="1"/>
  <c r="AN627" i="2"/>
  <c r="AB627" i="2" s="1"/>
  <c r="P627" i="2" s="1"/>
  <c r="AN428" i="2"/>
  <c r="AB428" i="2" s="1"/>
  <c r="P428" i="2" s="1"/>
  <c r="AN401" i="2"/>
  <c r="AB401" i="2" s="1"/>
  <c r="P401" i="2" s="1"/>
  <c r="AN435" i="2"/>
  <c r="AB435" i="2" s="1"/>
  <c r="P435" i="2" s="1"/>
  <c r="AN1028" i="2"/>
  <c r="AB1028" i="2" s="1"/>
  <c r="P1028" i="2" s="1"/>
  <c r="AN1201" i="2"/>
  <c r="AB1201" i="2" s="1"/>
  <c r="P1201" i="2" s="1"/>
  <c r="AN1150" i="2"/>
  <c r="AB1150" i="2" s="1"/>
  <c r="P1150" i="2" s="1"/>
  <c r="AN1127" i="2"/>
  <c r="AB1127" i="2" s="1"/>
  <c r="P1127" i="2" s="1"/>
  <c r="AN1242" i="2"/>
  <c r="AB1242" i="2" s="1"/>
  <c r="P1242" i="2" s="1"/>
  <c r="AN965" i="2"/>
  <c r="AB965" i="2" s="1"/>
  <c r="P965" i="2" s="1"/>
  <c r="AN998" i="2"/>
  <c r="AB998" i="2" s="1"/>
  <c r="P998" i="2" s="1"/>
  <c r="AN913" i="2"/>
  <c r="AB913" i="2" s="1"/>
  <c r="P913" i="2" s="1"/>
  <c r="AN792" i="2"/>
  <c r="AB792" i="2" s="1"/>
  <c r="P792" i="2" s="1"/>
  <c r="AN987" i="2"/>
  <c r="AB987" i="2" s="1"/>
  <c r="P987" i="2" s="1"/>
  <c r="AN961" i="2"/>
  <c r="AB961" i="2" s="1"/>
  <c r="P961" i="2" s="1"/>
  <c r="AN870" i="2"/>
  <c r="AB870" i="2" s="1"/>
  <c r="P870" i="2" s="1"/>
  <c r="AN785" i="2"/>
  <c r="AB785" i="2" s="1"/>
  <c r="P785" i="2" s="1"/>
  <c r="AN997" i="2"/>
  <c r="AB997" i="2" s="1"/>
  <c r="P997" i="2" s="1"/>
  <c r="AN824" i="2"/>
  <c r="AB824" i="2" s="1"/>
  <c r="P824" i="2" s="1"/>
  <c r="AN1270" i="2"/>
  <c r="AB1270" i="2" s="1"/>
  <c r="P1270" i="2" s="1"/>
  <c r="AN1207" i="2"/>
  <c r="AB1207" i="2" s="1"/>
  <c r="P1207" i="2" s="1"/>
  <c r="AN1076" i="2"/>
  <c r="AB1076" i="2" s="1"/>
  <c r="P1076" i="2" s="1"/>
  <c r="AN924" i="2"/>
  <c r="AB924" i="2" s="1"/>
  <c r="P924" i="2" s="1"/>
  <c r="AN814" i="2"/>
  <c r="AB814" i="2" s="1"/>
  <c r="P814" i="2" s="1"/>
  <c r="AN1211" i="2"/>
  <c r="AB1211" i="2" s="1"/>
  <c r="P1211" i="2" s="1"/>
  <c r="AN1171" i="2"/>
  <c r="AB1171" i="2" s="1"/>
  <c r="P1171" i="2" s="1"/>
  <c r="AN969" i="2"/>
  <c r="AB969" i="2" s="1"/>
  <c r="P969" i="2" s="1"/>
  <c r="AN1252" i="2"/>
  <c r="AB1252" i="2" s="1"/>
  <c r="P1252" i="2" s="1"/>
  <c r="AN994" i="2"/>
  <c r="AB994" i="2" s="1"/>
  <c r="P994" i="2" s="1"/>
  <c r="AN132" i="2"/>
  <c r="AB132" i="2" s="1"/>
  <c r="P132" i="2" s="1"/>
  <c r="AN960" i="2"/>
  <c r="AB960" i="2" s="1"/>
  <c r="P960" i="2" s="1"/>
  <c r="AN754" i="2"/>
  <c r="AB754" i="2" s="1"/>
  <c r="P754" i="2" s="1"/>
  <c r="AN486" i="2"/>
  <c r="AB486" i="2" s="1"/>
  <c r="P486" i="2" s="1"/>
  <c r="AN571" i="2"/>
  <c r="AB571" i="2" s="1"/>
  <c r="P571" i="2" s="1"/>
  <c r="AN175" i="2"/>
  <c r="AB175" i="2" s="1"/>
  <c r="P175" i="2" s="1"/>
  <c r="AN377" i="2"/>
  <c r="AB377" i="2" s="1"/>
  <c r="P377" i="2" s="1"/>
  <c r="AN114" i="2"/>
  <c r="AB114" i="2" s="1"/>
  <c r="P114" i="2" s="1"/>
  <c r="AN241" i="2"/>
  <c r="AB241" i="2" s="1"/>
  <c r="P241" i="2" s="1"/>
  <c r="AN431" i="2"/>
  <c r="AB431" i="2" s="1"/>
  <c r="P431" i="2" s="1"/>
  <c r="AN396" i="2"/>
  <c r="AB396" i="2" s="1"/>
  <c r="P396" i="2" s="1"/>
  <c r="AN199" i="2"/>
  <c r="AB199" i="2" s="1"/>
  <c r="P199" i="2" s="1"/>
  <c r="AN221" i="2"/>
  <c r="AB221" i="2" s="1"/>
  <c r="P221" i="2" s="1"/>
  <c r="AN723" i="2"/>
  <c r="AB723" i="2" s="1"/>
  <c r="P723" i="2" s="1"/>
  <c r="AN1022" i="2"/>
  <c r="AB1022" i="2" s="1"/>
  <c r="P1022" i="2" s="1"/>
  <c r="AN1232" i="2"/>
  <c r="AB1232" i="2" s="1"/>
  <c r="P1232" i="2" s="1"/>
  <c r="AN972" i="2"/>
  <c r="AB972" i="2" s="1"/>
  <c r="P972" i="2" s="1"/>
  <c r="AN1132" i="2"/>
  <c r="AB1132" i="2" s="1"/>
  <c r="P1132" i="2" s="1"/>
  <c r="AN864" i="2"/>
  <c r="AB864" i="2" s="1"/>
  <c r="P864" i="2" s="1"/>
  <c r="AN240" i="2"/>
  <c r="AB240" i="2" s="1"/>
  <c r="P240" i="2" s="1"/>
  <c r="AN1120" i="2"/>
  <c r="AB1120" i="2" s="1"/>
  <c r="P1120" i="2" s="1"/>
  <c r="AN848" i="2"/>
  <c r="AB848" i="2" s="1"/>
  <c r="P848" i="2" s="1"/>
  <c r="AN1068" i="2"/>
  <c r="AB1068" i="2" s="1"/>
  <c r="P1068" i="2" s="1"/>
  <c r="AN1043" i="2"/>
  <c r="AB1043" i="2" s="1"/>
  <c r="P1043" i="2" s="1"/>
  <c r="AN1037" i="2"/>
  <c r="AB1037" i="2" s="1"/>
  <c r="P1037" i="2" s="1"/>
  <c r="AN564" i="2"/>
  <c r="AB564" i="2" s="1"/>
  <c r="P564" i="2" s="1"/>
  <c r="AN1073" i="2"/>
  <c r="AB1073" i="2" s="1"/>
  <c r="P1073" i="2" s="1"/>
  <c r="AN869" i="2"/>
  <c r="AB869" i="2" s="1"/>
  <c r="P869" i="2" s="1"/>
  <c r="AN862" i="2"/>
  <c r="AB862" i="2" s="1"/>
  <c r="P862" i="2" s="1"/>
  <c r="AN465" i="2"/>
  <c r="AB465" i="2" s="1"/>
  <c r="P465" i="2" s="1"/>
  <c r="AN298" i="2"/>
  <c r="AB298" i="2" s="1"/>
  <c r="P298" i="2" s="1"/>
  <c r="AN742" i="2"/>
  <c r="AB742" i="2" s="1"/>
  <c r="P742" i="2" s="1"/>
  <c r="AN250" i="2"/>
  <c r="AB250" i="2" s="1"/>
  <c r="P250" i="2" s="1"/>
  <c r="AN469" i="2"/>
  <c r="AB469" i="2" s="1"/>
  <c r="P469" i="2" s="1"/>
  <c r="AN610" i="2"/>
  <c r="AB610" i="2" s="1"/>
  <c r="P610" i="2" s="1"/>
  <c r="AN615" i="2"/>
  <c r="AB615" i="2" s="1"/>
  <c r="P615" i="2" s="1"/>
  <c r="AN257" i="2"/>
  <c r="AB257" i="2" s="1"/>
  <c r="P257" i="2" s="1"/>
  <c r="AN299" i="2"/>
  <c r="AB299" i="2" s="1"/>
  <c r="P299" i="2" s="1"/>
  <c r="AN236" i="2"/>
  <c r="AB236" i="2" s="1"/>
  <c r="P236" i="2" s="1"/>
  <c r="AN637" i="2"/>
  <c r="AB637" i="2" s="1"/>
  <c r="P637" i="2" s="1"/>
  <c r="AN530" i="2"/>
  <c r="AB530" i="2" s="1"/>
  <c r="P530" i="2" s="1"/>
  <c r="AN686" i="2"/>
  <c r="AB686" i="2" s="1"/>
  <c r="P686" i="2" s="1"/>
  <c r="AN1007" i="2"/>
  <c r="AB1007" i="2" s="1"/>
  <c r="P1007" i="2" s="1"/>
  <c r="AN1221" i="2"/>
  <c r="AB1221" i="2" s="1"/>
  <c r="P1221" i="2" s="1"/>
  <c r="AN553" i="2"/>
  <c r="AB553" i="2" s="1"/>
  <c r="P553" i="2" s="1"/>
  <c r="AN315" i="2"/>
  <c r="AB315" i="2" s="1"/>
  <c r="P315" i="2" s="1"/>
  <c r="AN938" i="2"/>
  <c r="AB938" i="2" s="1"/>
  <c r="P938" i="2" s="1"/>
  <c r="AN839" i="2"/>
  <c r="AB839" i="2" s="1"/>
  <c r="P839" i="2" s="1"/>
  <c r="AN788" i="2"/>
  <c r="AB788" i="2" s="1"/>
  <c r="P788" i="2" s="1"/>
  <c r="AN975" i="2"/>
  <c r="AB975" i="2" s="1"/>
  <c r="P975" i="2" s="1"/>
  <c r="AN1009" i="2"/>
  <c r="AB1009" i="2" s="1"/>
  <c r="P1009" i="2" s="1"/>
  <c r="AN768" i="2"/>
  <c r="AB768" i="2" s="1"/>
  <c r="P768" i="2" s="1"/>
  <c r="AN1192" i="2"/>
  <c r="AB1192" i="2" s="1"/>
  <c r="P1192" i="2" s="1"/>
  <c r="AN1116" i="2"/>
  <c r="AB1116" i="2" s="1"/>
  <c r="P1116" i="2" s="1"/>
  <c r="AN774" i="2"/>
  <c r="AB774" i="2" s="1"/>
  <c r="P774" i="2" s="1"/>
  <c r="AN1146" i="2"/>
  <c r="AB1146" i="2" s="1"/>
  <c r="P1146" i="2" s="1"/>
  <c r="AN925" i="2"/>
  <c r="AB925" i="2" s="1"/>
  <c r="P925" i="2" s="1"/>
  <c r="AN896" i="2"/>
  <c r="AB896" i="2" s="1"/>
  <c r="P896" i="2" s="1"/>
  <c r="AN986" i="2"/>
  <c r="AB986" i="2" s="1"/>
  <c r="P986" i="2" s="1"/>
  <c r="AN898" i="2"/>
  <c r="AB898" i="2" s="1"/>
  <c r="P898" i="2" s="1"/>
  <c r="AN238" i="2"/>
  <c r="AB238" i="2" s="1"/>
  <c r="P238" i="2" s="1"/>
  <c r="AN878" i="2"/>
  <c r="AB878" i="2" s="1"/>
  <c r="P878" i="2" s="1"/>
  <c r="AN714" i="2"/>
  <c r="AB714" i="2" s="1"/>
  <c r="P714" i="2" s="1"/>
  <c r="AN541" i="2"/>
  <c r="AB541" i="2" s="1"/>
  <c r="P541" i="2" s="1"/>
  <c r="AN592" i="2"/>
  <c r="AB592" i="2" s="1"/>
  <c r="P592" i="2" s="1"/>
  <c r="AN369" i="2"/>
  <c r="AB369" i="2" s="1"/>
  <c r="P369" i="2" s="1"/>
  <c r="AN151" i="2"/>
  <c r="AB151" i="2" s="1"/>
  <c r="P151" i="2" s="1"/>
  <c r="AN544" i="2"/>
  <c r="AB544" i="2" s="1"/>
  <c r="P544" i="2" s="1"/>
  <c r="AN105" i="2"/>
  <c r="AB105" i="2" s="1"/>
  <c r="P105" i="2" s="1"/>
  <c r="AN389" i="2"/>
  <c r="AB389" i="2" s="1"/>
  <c r="P389" i="2" s="1"/>
  <c r="AN268" i="2"/>
  <c r="AB268" i="2" s="1"/>
  <c r="P268" i="2" s="1"/>
  <c r="AN616" i="2"/>
  <c r="AB616" i="2" s="1"/>
  <c r="P616" i="2" s="1"/>
  <c r="AN599" i="2"/>
  <c r="AB599" i="2" s="1"/>
  <c r="P599" i="2" s="1"/>
  <c r="AN313" i="2"/>
  <c r="AB313" i="2" s="1"/>
  <c r="P313" i="2" s="1"/>
  <c r="AN316" i="2"/>
  <c r="AB316" i="2" s="1"/>
  <c r="P316" i="2" s="1"/>
  <c r="AN782" i="2"/>
  <c r="AB782" i="2" s="1"/>
  <c r="P782" i="2" s="1"/>
  <c r="AN1056" i="2"/>
  <c r="AB1056" i="2" s="1"/>
  <c r="P1056" i="2" s="1"/>
  <c r="AN1197" i="2"/>
  <c r="AB1197" i="2" s="1"/>
  <c r="P1197" i="2" s="1"/>
  <c r="AN1026" i="2"/>
  <c r="AB1026" i="2" s="1"/>
  <c r="P1026" i="2" s="1"/>
  <c r="AN945" i="2"/>
  <c r="AB945" i="2" s="1"/>
  <c r="P945" i="2" s="1"/>
  <c r="AN628" i="2"/>
  <c r="AB628" i="2" s="1"/>
  <c r="P628" i="2" s="1"/>
  <c r="AN225" i="2"/>
  <c r="AB225" i="2" s="1"/>
  <c r="P225" i="2" s="1"/>
  <c r="AN1266" i="2"/>
  <c r="AB1266" i="2" s="1"/>
  <c r="P1266" i="2" s="1"/>
  <c r="AN1135" i="2"/>
  <c r="AB1135" i="2" s="1"/>
  <c r="P1135" i="2" s="1"/>
  <c r="AN897" i="2"/>
  <c r="AB897" i="2" s="1"/>
  <c r="P897" i="2" s="1"/>
  <c r="AN1014" i="2"/>
  <c r="AB1014" i="2" s="1"/>
  <c r="P1014" i="2" s="1"/>
  <c r="AN1118" i="2"/>
  <c r="AB1118" i="2" s="1"/>
  <c r="P1118" i="2" s="1"/>
  <c r="AN239" i="2"/>
  <c r="AB239" i="2" s="1"/>
  <c r="P239" i="2" s="1"/>
  <c r="AN926" i="2"/>
  <c r="AB926" i="2" s="1"/>
  <c r="P926" i="2" s="1"/>
  <c r="AN1115" i="2"/>
  <c r="AB1115" i="2" s="1"/>
  <c r="P1115" i="2" s="1"/>
  <c r="AN1058" i="2"/>
  <c r="AB1058" i="2" s="1"/>
  <c r="P1058" i="2" s="1"/>
  <c r="AN418" i="2"/>
  <c r="AB418" i="2" s="1"/>
  <c r="P418" i="2" s="1"/>
  <c r="AN1220" i="2"/>
  <c r="AB1220" i="2" s="1"/>
  <c r="P1220" i="2" s="1"/>
  <c r="AN1248" i="2"/>
  <c r="AB1248" i="2" s="1"/>
  <c r="P1248" i="2" s="1"/>
  <c r="AN1249" i="2"/>
  <c r="AB1249" i="2" s="1"/>
  <c r="P1249" i="2" s="1"/>
  <c r="AN850" i="2"/>
  <c r="AB850" i="2" s="1"/>
  <c r="P850" i="2" s="1"/>
  <c r="AN1057" i="2"/>
  <c r="AB1057" i="2" s="1"/>
  <c r="P1057" i="2" s="1"/>
  <c r="AN857" i="2"/>
  <c r="AB857" i="2" s="1"/>
  <c r="P857" i="2" s="1"/>
  <c r="AN687" i="2"/>
  <c r="AB687" i="2" s="1"/>
  <c r="P687" i="2" s="1"/>
  <c r="AN645" i="2"/>
  <c r="AB645" i="2" s="1"/>
  <c r="P645" i="2" s="1"/>
  <c r="AN129" i="2"/>
  <c r="AB129" i="2" s="1"/>
  <c r="P129" i="2" s="1"/>
  <c r="AN727" i="2"/>
  <c r="AB727" i="2" s="1"/>
  <c r="P727" i="2" s="1"/>
  <c r="AN395" i="2"/>
  <c r="AB395" i="2" s="1"/>
  <c r="P395" i="2" s="1"/>
  <c r="AN300" i="2"/>
  <c r="AB300" i="2" s="1"/>
  <c r="P300" i="2" s="1"/>
  <c r="AN578" i="2"/>
  <c r="AB578" i="2" s="1"/>
  <c r="P578" i="2" s="1"/>
  <c r="AN526" i="2"/>
  <c r="AB526" i="2" s="1"/>
  <c r="P526" i="2" s="1"/>
  <c r="AN449" i="2"/>
  <c r="AB449" i="2" s="1"/>
  <c r="P449" i="2" s="1"/>
  <c r="AN376" i="2"/>
  <c r="AB376" i="2" s="1"/>
  <c r="P376" i="2" s="1"/>
  <c r="AN217" i="2"/>
  <c r="AB217" i="2" s="1"/>
  <c r="P217" i="2" s="1"/>
  <c r="AN139" i="2"/>
  <c r="AB139" i="2" s="1"/>
  <c r="P139" i="2" s="1"/>
  <c r="AN353" i="2"/>
  <c r="AB353" i="2" s="1"/>
  <c r="P353" i="2" s="1"/>
  <c r="AN569" i="2"/>
  <c r="AB569" i="2" s="1"/>
  <c r="P569" i="2" s="1"/>
  <c r="AN301" i="2"/>
  <c r="AB301" i="2" s="1"/>
  <c r="P301" i="2" s="1"/>
  <c r="AN188" i="2"/>
  <c r="AB188" i="2" s="1"/>
  <c r="P188" i="2" s="1"/>
  <c r="AN500" i="2"/>
  <c r="AB500" i="2" s="1"/>
  <c r="P500" i="2" s="1"/>
  <c r="AN167" i="2"/>
  <c r="AB167" i="2" s="1"/>
  <c r="P167" i="2" s="1"/>
  <c r="AN147" i="2"/>
  <c r="AB147" i="2" s="1"/>
  <c r="P147" i="2" s="1"/>
  <c r="AN589" i="2"/>
  <c r="AB589" i="2" s="1"/>
  <c r="P589" i="2" s="1"/>
  <c r="AN211" i="2"/>
  <c r="AB211" i="2" s="1"/>
  <c r="P211" i="2" s="1"/>
  <c r="AN813" i="2"/>
  <c r="AB813" i="2" s="1"/>
  <c r="P813" i="2" s="1"/>
  <c r="AN1020" i="2"/>
  <c r="AB1020" i="2" s="1"/>
  <c r="P1020" i="2" s="1"/>
  <c r="AN1003" i="2"/>
  <c r="AB1003" i="2" s="1"/>
  <c r="P1003" i="2" s="1"/>
  <c r="AN854" i="2"/>
  <c r="AB854" i="2" s="1"/>
  <c r="P854" i="2" s="1"/>
  <c r="AN297" i="2"/>
  <c r="AB297" i="2" s="1"/>
  <c r="P297" i="2" s="1"/>
  <c r="AN24" i="2"/>
  <c r="AB24" i="2" s="1"/>
  <c r="P24" i="2" s="1"/>
  <c r="AN1040" i="2"/>
  <c r="AB1040" i="2" s="1"/>
  <c r="P1040" i="2" s="1"/>
  <c r="AN1244" i="2"/>
  <c r="AB1244" i="2" s="1"/>
  <c r="P1244" i="2" s="1"/>
  <c r="AN1272" i="2"/>
  <c r="AB1272" i="2" s="1"/>
  <c r="P1272" i="2" s="1"/>
  <c r="AN1018" i="2"/>
  <c r="AB1018" i="2" s="1"/>
  <c r="P1018" i="2" s="1"/>
  <c r="AN936" i="2"/>
  <c r="AB936" i="2" s="1"/>
  <c r="P936" i="2" s="1"/>
  <c r="AN895" i="2"/>
  <c r="AB895" i="2" s="1"/>
  <c r="P895" i="2" s="1"/>
  <c r="AN769" i="2"/>
  <c r="AB769" i="2" s="1"/>
  <c r="P769" i="2" s="1"/>
  <c r="AN872" i="2"/>
  <c r="AB872" i="2" s="1"/>
  <c r="P872" i="2" s="1"/>
  <c r="AN835" i="2"/>
  <c r="AB835" i="2" s="1"/>
  <c r="P835" i="2" s="1"/>
  <c r="AN611" i="2"/>
  <c r="AB611" i="2" s="1"/>
  <c r="P611" i="2" s="1"/>
  <c r="AN1154" i="2"/>
  <c r="AB1154" i="2" s="1"/>
  <c r="P1154" i="2" s="1"/>
  <c r="AN554" i="2"/>
  <c r="AB554" i="2" s="1"/>
  <c r="P554" i="2" s="1"/>
  <c r="AN484" i="2"/>
  <c r="AB484" i="2" s="1"/>
  <c r="P484" i="2" s="1"/>
  <c r="AN433" i="2"/>
  <c r="AB433" i="2" s="1"/>
  <c r="P433" i="2" s="1"/>
  <c r="AN737" i="2"/>
  <c r="AB737" i="2" s="1"/>
  <c r="P737" i="2" s="1"/>
  <c r="AN479" i="2"/>
  <c r="AB479" i="2" s="1"/>
  <c r="P479" i="2" s="1"/>
  <c r="AN772" i="2"/>
  <c r="AB772" i="2" s="1"/>
  <c r="P772" i="2" s="1"/>
  <c r="AN521" i="2"/>
  <c r="AB521" i="2" s="1"/>
  <c r="P521" i="2" s="1"/>
  <c r="AN757" i="2"/>
  <c r="AB757" i="2" s="1"/>
  <c r="P757" i="2" s="1"/>
  <c r="AN654" i="2"/>
  <c r="AB654" i="2" s="1"/>
  <c r="P654" i="2" s="1"/>
  <c r="AN332" i="2"/>
  <c r="AB332" i="2" s="1"/>
  <c r="P332" i="2" s="1"/>
  <c r="AN196" i="2"/>
  <c r="AB196" i="2" s="1"/>
  <c r="P196" i="2" s="1"/>
  <c r="AN244" i="2"/>
  <c r="AB244" i="2" s="1"/>
  <c r="P244" i="2" s="1"/>
  <c r="AN555" i="2"/>
  <c r="AB555" i="2" s="1"/>
  <c r="P555" i="2" s="1"/>
  <c r="AN417" i="2"/>
  <c r="AB417" i="2" s="1"/>
  <c r="P417" i="2" s="1"/>
  <c r="AN399" i="2"/>
  <c r="AB399" i="2" s="1"/>
  <c r="P399" i="2" s="1"/>
  <c r="AN487" i="2"/>
  <c r="AB487" i="2" s="1"/>
  <c r="P487" i="2" s="1"/>
  <c r="AN143" i="2"/>
  <c r="AB143" i="2" s="1"/>
  <c r="P143" i="2" s="1"/>
  <c r="AN651" i="2"/>
  <c r="AB651" i="2" s="1"/>
  <c r="P651" i="2" s="1"/>
  <c r="AN596" i="2"/>
  <c r="AB596" i="2" s="1"/>
  <c r="P596" i="2" s="1"/>
  <c r="AN949" i="2"/>
  <c r="AB949" i="2" s="1"/>
  <c r="P949" i="2" s="1"/>
  <c r="AN784" i="2"/>
  <c r="AB784" i="2" s="1"/>
  <c r="P784" i="2" s="1"/>
  <c r="AN980" i="2"/>
  <c r="AB980" i="2" s="1"/>
  <c r="P980" i="2" s="1"/>
  <c r="AN756" i="2"/>
  <c r="AB756" i="2" s="1"/>
  <c r="P756" i="2" s="1"/>
  <c r="AN1078" i="2"/>
  <c r="AB1078" i="2" s="1"/>
  <c r="P1078" i="2" s="1"/>
  <c r="AN1204" i="2"/>
  <c r="AB1204" i="2" s="1"/>
  <c r="P1204" i="2" s="1"/>
  <c r="AN995" i="2"/>
  <c r="AB995" i="2" s="1"/>
  <c r="P995" i="2" s="1"/>
  <c r="AN1191" i="2"/>
  <c r="AB1191" i="2" s="1"/>
  <c r="P1191" i="2" s="1"/>
  <c r="AN1271" i="2"/>
  <c r="AB1271" i="2" s="1"/>
  <c r="P1271" i="2" s="1"/>
  <c r="AN1246" i="2"/>
  <c r="AB1246" i="2" s="1"/>
  <c r="P1246" i="2" s="1"/>
  <c r="AN447" i="2"/>
  <c r="AB447" i="2" s="1"/>
  <c r="P447" i="2" s="1"/>
  <c r="AN893" i="2"/>
  <c r="AB893" i="2" s="1"/>
  <c r="P893" i="2" s="1"/>
  <c r="AN810" i="2"/>
  <c r="AB810" i="2" s="1"/>
  <c r="P810" i="2" s="1"/>
  <c r="AN227" i="2"/>
  <c r="AB227" i="2" s="1"/>
  <c r="P227" i="2" s="1"/>
  <c r="AN1210" i="2"/>
  <c r="AB1210" i="2" s="1"/>
  <c r="P1210" i="2" s="1"/>
  <c r="AN695" i="2"/>
  <c r="AB695" i="2" s="1"/>
  <c r="P695" i="2" s="1"/>
  <c r="AN259" i="2"/>
  <c r="AB259" i="2" s="1"/>
  <c r="P259" i="2" s="1"/>
  <c r="AN492" i="2"/>
  <c r="AB492" i="2" s="1"/>
  <c r="P492" i="2" s="1"/>
  <c r="AN1066" i="2"/>
  <c r="AB1066" i="2" s="1"/>
  <c r="P1066" i="2" s="1"/>
  <c r="AN947" i="2"/>
  <c r="AB947" i="2" s="1"/>
  <c r="P947" i="2" s="1"/>
  <c r="AN1091" i="2"/>
  <c r="AB1091" i="2" s="1"/>
  <c r="P1091" i="2" s="1"/>
  <c r="AN1029" i="2"/>
  <c r="AB1029" i="2" s="1"/>
  <c r="P1029" i="2" s="1"/>
  <c r="AN906" i="2"/>
  <c r="AB906" i="2" s="1"/>
  <c r="P906" i="2" s="1"/>
  <c r="AN1137" i="2"/>
  <c r="AB1137" i="2" s="1"/>
  <c r="P1137" i="2" s="1"/>
  <c r="AN829" i="2"/>
  <c r="AB829" i="2" s="1"/>
  <c r="P829" i="2" s="1"/>
  <c r="AN1010" i="2"/>
  <c r="AB1010" i="2" s="1"/>
  <c r="P1010" i="2" s="1"/>
  <c r="AN836" i="2"/>
  <c r="AB836" i="2" s="1"/>
  <c r="P836" i="2" s="1"/>
  <c r="AN825" i="2"/>
  <c r="AB825" i="2" s="1"/>
  <c r="P825" i="2" s="1"/>
  <c r="AN1082" i="2"/>
  <c r="AB1082" i="2" s="1"/>
  <c r="P1082" i="2" s="1"/>
  <c r="AN1216" i="2"/>
  <c r="AB1216" i="2" s="1"/>
  <c r="P1216" i="2" s="1"/>
  <c r="AN1177" i="2"/>
  <c r="AB1177" i="2" s="1"/>
  <c r="P1177" i="2" s="1"/>
  <c r="AN1247" i="2"/>
  <c r="AB1247" i="2" s="1"/>
  <c r="P1247" i="2" s="1"/>
  <c r="AN1072" i="2"/>
  <c r="AB1072" i="2" s="1"/>
  <c r="P1072" i="2" s="1"/>
  <c r="AN1053" i="2"/>
  <c r="AB1053" i="2" s="1"/>
  <c r="P1053" i="2" s="1"/>
  <c r="AN222" i="2"/>
  <c r="AB222" i="2" s="1"/>
  <c r="P222" i="2" s="1"/>
  <c r="AN103" i="2"/>
  <c r="AB103" i="2" s="1"/>
  <c r="P103" i="2" s="1"/>
  <c r="AN682" i="2"/>
  <c r="AB682" i="2" s="1"/>
  <c r="P682" i="2" s="1"/>
  <c r="AN461" i="2"/>
  <c r="AB461" i="2" s="1"/>
  <c r="P461" i="2" s="1"/>
  <c r="AN205" i="2"/>
  <c r="AB205" i="2" s="1"/>
  <c r="P205" i="2" s="1"/>
  <c r="AN494" i="2"/>
  <c r="AB494" i="2" s="1"/>
  <c r="P494" i="2" s="1"/>
  <c r="AN944" i="2"/>
  <c r="AB944" i="2" s="1"/>
  <c r="P944" i="2" s="1"/>
  <c r="AN958" i="2"/>
  <c r="AB958" i="2" s="1"/>
  <c r="P958" i="2" s="1"/>
  <c r="AN1200" i="2"/>
  <c r="AB1200" i="2" s="1"/>
  <c r="P1200" i="2" s="1"/>
  <c r="AN1222" i="2"/>
  <c r="AB1222" i="2" s="1"/>
  <c r="P1222" i="2" s="1"/>
  <c r="AN572" i="2"/>
  <c r="AB572" i="2" s="1"/>
  <c r="P572" i="2" s="1"/>
  <c r="AN846" i="2"/>
  <c r="AB846" i="2" s="1"/>
  <c r="P846" i="2" s="1"/>
  <c r="AN183" i="2"/>
  <c r="AB183" i="2" s="1"/>
  <c r="P183" i="2" s="1"/>
  <c r="AN1262" i="2"/>
  <c r="AB1262" i="2" s="1"/>
  <c r="P1262" i="2" s="1"/>
  <c r="AN1121" i="2"/>
  <c r="AB1121" i="2" s="1"/>
  <c r="P1121" i="2" s="1"/>
  <c r="AN1107" i="2"/>
  <c r="AB1107" i="2" s="1"/>
  <c r="P1107" i="2" s="1"/>
  <c r="AN982" i="2"/>
  <c r="AB982" i="2" s="1"/>
  <c r="P982" i="2" s="1"/>
  <c r="AN1233" i="2"/>
  <c r="AB1233" i="2" s="1"/>
  <c r="P1233" i="2" s="1"/>
  <c r="AN984" i="2"/>
  <c r="AB984" i="2" s="1"/>
  <c r="P984" i="2" s="1"/>
  <c r="AN573" i="2"/>
  <c r="AB573" i="2" s="1"/>
  <c r="P573" i="2" s="1"/>
  <c r="AN459" i="2"/>
  <c r="AB459" i="2" s="1"/>
  <c r="P459" i="2" s="1"/>
  <c r="AN665" i="2"/>
  <c r="AB665" i="2" s="1"/>
  <c r="P665" i="2" s="1"/>
  <c r="AN497" i="2"/>
  <c r="AB497" i="2" s="1"/>
  <c r="P497" i="2" s="1"/>
  <c r="AN776" i="2"/>
  <c r="AB776" i="2" s="1"/>
  <c r="P776" i="2" s="1"/>
  <c r="AN664" i="2"/>
  <c r="AB664" i="2" s="1"/>
  <c r="P664" i="2" s="1"/>
  <c r="AN329" i="2"/>
  <c r="AB329" i="2" s="1"/>
  <c r="P329" i="2" s="1"/>
  <c r="AN160" i="2"/>
  <c r="AB160" i="2" s="1"/>
  <c r="P160" i="2" s="1"/>
  <c r="AN476" i="2"/>
  <c r="AB476" i="2" s="1"/>
  <c r="P476" i="2" s="1"/>
  <c r="AN419" i="2"/>
  <c r="AB419" i="2" s="1"/>
  <c r="P419" i="2" s="1"/>
  <c r="AN235" i="2"/>
  <c r="AB235" i="2" s="1"/>
  <c r="P235" i="2" s="1"/>
  <c r="AN1214" i="2"/>
  <c r="AB1214" i="2" s="1"/>
  <c r="P1214" i="2" s="1"/>
  <c r="AN1021" i="2"/>
  <c r="AB1021" i="2" s="1"/>
  <c r="P1021" i="2" s="1"/>
  <c r="AN743" i="2"/>
  <c r="AB743" i="2" s="1"/>
  <c r="P743" i="2" s="1"/>
  <c r="AN1223" i="2"/>
  <c r="AB1223" i="2" s="1"/>
  <c r="P1223" i="2" s="1"/>
  <c r="AN922" i="2"/>
  <c r="AB922" i="2" s="1"/>
  <c r="P922" i="2" s="1"/>
  <c r="AN816" i="2"/>
  <c r="AB816" i="2" s="1"/>
  <c r="P816" i="2" s="1"/>
  <c r="AN851" i="2"/>
  <c r="AB851" i="2" s="1"/>
  <c r="P851" i="2" s="1"/>
  <c r="AN1047" i="2"/>
  <c r="AB1047" i="2" s="1"/>
  <c r="P1047" i="2" s="1"/>
  <c r="AN1131" i="2"/>
  <c r="AB1131" i="2" s="1"/>
  <c r="P1131" i="2" s="1"/>
  <c r="AN1002" i="2"/>
  <c r="AB1002" i="2" s="1"/>
  <c r="P1002" i="2" s="1"/>
  <c r="AN1145" i="2"/>
  <c r="AB1145" i="2" s="1"/>
  <c r="P1145" i="2" s="1"/>
  <c r="AN1105" i="2"/>
  <c r="AB1105" i="2" s="1"/>
  <c r="P1105" i="2" s="1"/>
  <c r="AN1178" i="2"/>
  <c r="AB1178" i="2" s="1"/>
  <c r="P1178" i="2" s="1"/>
  <c r="AN783" i="2"/>
  <c r="AB783" i="2" s="1"/>
  <c r="P783" i="2" s="1"/>
  <c r="AN360" i="2"/>
  <c r="AB360" i="2" s="1"/>
  <c r="P360" i="2" s="1"/>
  <c r="AN1164" i="2"/>
  <c r="AB1164" i="2" s="1"/>
  <c r="P1164" i="2" s="1"/>
  <c r="AN1175" i="2"/>
  <c r="AB1175" i="2" s="1"/>
  <c r="P1175" i="2" s="1"/>
  <c r="AN709" i="2"/>
  <c r="AB709" i="2" s="1"/>
  <c r="P709" i="2" s="1"/>
  <c r="AN1170" i="2"/>
  <c r="AB1170" i="2" s="1"/>
  <c r="P1170" i="2" s="1"/>
  <c r="AN990" i="2"/>
  <c r="AB990" i="2" s="1"/>
  <c r="P990" i="2" s="1"/>
  <c r="AN632" i="2"/>
  <c r="AB632" i="2" s="1"/>
  <c r="P632" i="2" s="1"/>
  <c r="AN359" i="2"/>
  <c r="AB359" i="2" s="1"/>
  <c r="P359" i="2" s="1"/>
  <c r="AN545" i="2"/>
  <c r="AB545" i="2" s="1"/>
  <c r="P545" i="2" s="1"/>
  <c r="AN697" i="2"/>
  <c r="AB697" i="2" s="1"/>
  <c r="P697" i="2" s="1"/>
  <c r="AN653" i="2"/>
  <c r="AB653" i="2" s="1"/>
  <c r="P653" i="2" s="1"/>
  <c r="AN725" i="2"/>
  <c r="AB725" i="2" s="1"/>
  <c r="P725" i="2" s="1"/>
  <c r="AN293" i="2"/>
  <c r="AB293" i="2" s="1"/>
  <c r="P293" i="2" s="1"/>
  <c r="AN164" i="2"/>
  <c r="AB164" i="2" s="1"/>
  <c r="P164" i="2" s="1"/>
  <c r="AN720" i="2"/>
  <c r="AB720" i="2" s="1"/>
  <c r="P720" i="2" s="1"/>
  <c r="AN1036" i="2"/>
  <c r="AB1036" i="2" s="1"/>
  <c r="P1036" i="2" s="1"/>
  <c r="AN63" i="2"/>
  <c r="AB63" i="2" s="1"/>
  <c r="P63" i="2" s="1"/>
  <c r="AN529" i="2"/>
  <c r="AB529" i="2" s="1"/>
  <c r="P529" i="2" s="1"/>
  <c r="AN467" i="2"/>
  <c r="AB467" i="2" s="1"/>
  <c r="P467" i="2" s="1"/>
  <c r="AN539" i="2"/>
  <c r="AB539" i="2" s="1"/>
  <c r="P539" i="2" s="1"/>
  <c r="AN321" i="2"/>
  <c r="AB321" i="2" s="1"/>
  <c r="P321" i="2" s="1"/>
  <c r="AN56" i="2"/>
  <c r="AB56" i="2" s="1"/>
  <c r="P56" i="2" s="1"/>
  <c r="AN180" i="2"/>
  <c r="AB180" i="2" s="1"/>
  <c r="P180" i="2" s="1"/>
  <c r="AN61" i="2"/>
  <c r="AB61" i="2" s="1"/>
  <c r="P61" i="2" s="1"/>
  <c r="AN17" i="2"/>
  <c r="AB17" i="2" s="1"/>
  <c r="P17" i="2" s="1"/>
  <c r="AN28" i="2"/>
  <c r="AB28" i="2" s="1"/>
  <c r="P28" i="2" s="1"/>
  <c r="AN10" i="2"/>
  <c r="AB10" i="2" s="1"/>
  <c r="P10" i="2" s="1"/>
  <c r="AN40" i="2"/>
  <c r="AB40" i="2" s="1"/>
  <c r="P40" i="2" s="1"/>
  <c r="AN81" i="2"/>
  <c r="AB81" i="2" s="1"/>
  <c r="P81" i="2" s="1"/>
  <c r="AN12" i="2"/>
  <c r="AB12" i="2" s="1"/>
  <c r="P12" i="2" s="1"/>
  <c r="AN1012" i="2"/>
  <c r="AB1012" i="2" s="1"/>
  <c r="P1012" i="2" s="1"/>
  <c r="AN1005" i="2"/>
  <c r="AB1005" i="2" s="1"/>
  <c r="P1005" i="2" s="1"/>
  <c r="AN220" i="2"/>
  <c r="AB220" i="2" s="1"/>
  <c r="P220" i="2" s="1"/>
  <c r="AN434" i="2"/>
  <c r="AB434" i="2" s="1"/>
  <c r="P434" i="2" s="1"/>
  <c r="AN456" i="2"/>
  <c r="AB456" i="2" s="1"/>
  <c r="P456" i="2" s="1"/>
  <c r="AN735" i="2"/>
  <c r="AB735" i="2" s="1"/>
  <c r="P735" i="2" s="1"/>
  <c r="AN98" i="2"/>
  <c r="AB98" i="2" s="1"/>
  <c r="P98" i="2" s="1"/>
  <c r="AN604" i="2"/>
  <c r="AB604" i="2" s="1"/>
  <c r="P604" i="2" s="1"/>
  <c r="AN281" i="2"/>
  <c r="AB281" i="2" s="1"/>
  <c r="P281" i="2" s="1"/>
  <c r="AN170" i="2"/>
  <c r="AB170" i="2" s="1"/>
  <c r="P170" i="2" s="1"/>
  <c r="AN122" i="2"/>
  <c r="AB122" i="2" s="1"/>
  <c r="P122" i="2" s="1"/>
  <c r="AN119" i="2"/>
  <c r="AB119" i="2" s="1"/>
  <c r="P119" i="2" s="1"/>
  <c r="AN80" i="2"/>
  <c r="AB80" i="2" s="1"/>
  <c r="P80" i="2" s="1"/>
  <c r="AN64" i="2"/>
  <c r="AB64" i="2" s="1"/>
  <c r="P64" i="2" s="1"/>
  <c r="AN46" i="2"/>
  <c r="AB46" i="2" s="1"/>
  <c r="P46" i="2" s="1"/>
  <c r="AN106" i="2"/>
  <c r="AB106" i="2" s="1"/>
  <c r="P106" i="2" s="1"/>
  <c r="AN403" i="2"/>
  <c r="AB403" i="2" s="1"/>
  <c r="P403" i="2" s="1"/>
  <c r="AN282" i="2"/>
  <c r="AB282" i="2" s="1"/>
  <c r="P282" i="2" s="1"/>
  <c r="AN445" i="2"/>
  <c r="AB445" i="2" s="1"/>
  <c r="P445" i="2" s="1"/>
  <c r="AN413" i="2"/>
  <c r="AB413" i="2" s="1"/>
  <c r="P413" i="2" s="1"/>
  <c r="AN666" i="2"/>
  <c r="AB666" i="2" s="1"/>
  <c r="P666" i="2" s="1"/>
  <c r="AN354" i="2"/>
  <c r="AB354" i="2" s="1"/>
  <c r="P354" i="2" s="1"/>
  <c r="AN219" i="2"/>
  <c r="AB219" i="2" s="1"/>
  <c r="P219" i="2" s="1"/>
  <c r="AN124" i="2"/>
  <c r="AB124" i="2" s="1"/>
  <c r="P124" i="2" s="1"/>
  <c r="AN169" i="2"/>
  <c r="AB169" i="2" s="1"/>
  <c r="P169" i="2" s="1"/>
  <c r="AN402" i="2"/>
  <c r="AB402" i="2" s="1"/>
  <c r="P402" i="2" s="1"/>
  <c r="AN510" i="2"/>
  <c r="AB510" i="2" s="1"/>
  <c r="P510" i="2" s="1"/>
  <c r="AN279" i="2"/>
  <c r="AB279" i="2" s="1"/>
  <c r="P279" i="2" s="1"/>
  <c r="AN15" i="2"/>
  <c r="AB15" i="2" s="1"/>
  <c r="P15" i="2" s="1"/>
  <c r="AN671" i="2"/>
  <c r="AB671" i="2" s="1"/>
  <c r="P671" i="2" s="1"/>
  <c r="AN583" i="2"/>
  <c r="AB583" i="2" s="1"/>
  <c r="P583" i="2" s="1"/>
  <c r="AN793" i="2"/>
  <c r="AB793" i="2" s="1"/>
  <c r="P793" i="2" s="1"/>
  <c r="AN464" i="2"/>
  <c r="AB464" i="2" s="1"/>
  <c r="P464" i="2" s="1"/>
  <c r="AN283" i="2"/>
  <c r="AB283" i="2" s="1"/>
  <c r="P283" i="2" s="1"/>
  <c r="AN766" i="2"/>
  <c r="AB766" i="2" s="1"/>
  <c r="P766" i="2" s="1"/>
  <c r="AN179" i="2"/>
  <c r="AB179" i="2" s="1"/>
  <c r="P179" i="2" s="1"/>
  <c r="AN1160" i="2"/>
  <c r="AB1160" i="2" s="1"/>
  <c r="P1160" i="2" s="1"/>
  <c r="AN680" i="2"/>
  <c r="AB680" i="2" s="1"/>
  <c r="P680" i="2" s="1"/>
  <c r="AN600" i="2"/>
  <c r="AB600" i="2" s="1"/>
  <c r="P600" i="2" s="1"/>
  <c r="AN277" i="2"/>
  <c r="AB277" i="2" s="1"/>
  <c r="P277" i="2" s="1"/>
  <c r="AN741" i="2"/>
  <c r="AB741" i="2" s="1"/>
  <c r="P741" i="2" s="1"/>
  <c r="AN462" i="2"/>
  <c r="AB462" i="2" s="1"/>
  <c r="P462" i="2" s="1"/>
  <c r="AN523" i="2"/>
  <c r="AB523" i="2" s="1"/>
  <c r="P523" i="2" s="1"/>
  <c r="AN1071" i="2"/>
  <c r="AB1071" i="2" s="1"/>
  <c r="P1071" i="2" s="1"/>
  <c r="AN593" i="2"/>
  <c r="AB593" i="2" s="1"/>
  <c r="P593" i="2" s="1"/>
  <c r="AN242" i="2"/>
  <c r="AB242" i="2" s="1"/>
  <c r="P242" i="2" s="1"/>
  <c r="AN537" i="2"/>
  <c r="AB537" i="2" s="1"/>
  <c r="P537" i="2" s="1"/>
  <c r="AN556" i="2"/>
  <c r="AB556" i="2" s="1"/>
  <c r="P556" i="2" s="1"/>
  <c r="AN482" i="2"/>
  <c r="AB482" i="2" s="1"/>
  <c r="P482" i="2" s="1"/>
  <c r="AN493" i="2"/>
  <c r="AB493" i="2" s="1"/>
  <c r="P493" i="2" s="1"/>
  <c r="AN595" i="2"/>
  <c r="AB595" i="2" s="1"/>
  <c r="P595" i="2" s="1"/>
  <c r="AN562" i="2"/>
  <c r="AB562" i="2" s="1"/>
  <c r="P562" i="2" s="1"/>
  <c r="AN324" i="2"/>
  <c r="AB324" i="2" s="1"/>
  <c r="P324" i="2" s="1"/>
  <c r="AN192" i="2"/>
  <c r="AB192" i="2" s="1"/>
  <c r="P192" i="2" s="1"/>
  <c r="AN9" i="2"/>
  <c r="AB9" i="2" s="1"/>
  <c r="P9" i="2" s="1"/>
  <c r="AN47" i="2"/>
  <c r="AB47" i="2" s="1"/>
  <c r="P47" i="2" s="1"/>
  <c r="AN76" i="2"/>
  <c r="AB76" i="2" s="1"/>
  <c r="P76" i="2" s="1"/>
  <c r="AN108" i="2"/>
  <c r="AB108" i="2" s="1"/>
  <c r="P108" i="2" s="1"/>
  <c r="AN45" i="2"/>
  <c r="AB45" i="2" s="1"/>
  <c r="P45" i="2" s="1"/>
  <c r="AN21" i="2"/>
  <c r="AB21" i="2" s="1"/>
  <c r="P21" i="2" s="1"/>
  <c r="AN753" i="2"/>
  <c r="AB753" i="2" s="1"/>
  <c r="P753" i="2" s="1"/>
  <c r="AN233" i="2"/>
  <c r="AB233" i="2" s="1"/>
  <c r="P233" i="2" s="1"/>
  <c r="AN732" i="2"/>
  <c r="AB732" i="2" s="1"/>
  <c r="P732" i="2" s="1"/>
  <c r="AN234" i="2"/>
  <c r="AB234" i="2" s="1"/>
  <c r="P234" i="2" s="1"/>
  <c r="AN187" i="2"/>
  <c r="AB187" i="2" s="1"/>
  <c r="P187" i="2" s="1"/>
  <c r="AN800" i="2"/>
  <c r="AB800" i="2" s="1"/>
  <c r="P800" i="2" s="1"/>
  <c r="AN681" i="2"/>
  <c r="AB681" i="2" s="1"/>
  <c r="P681" i="2" s="1"/>
  <c r="AN100" i="2"/>
  <c r="AB100" i="2" s="1"/>
  <c r="P100" i="2" s="1"/>
  <c r="AN32" i="2"/>
  <c r="AB32" i="2" s="1"/>
  <c r="P32" i="2" s="1"/>
  <c r="AN90" i="2"/>
  <c r="AB90" i="2" s="1"/>
  <c r="P90" i="2" s="1"/>
  <c r="AN121" i="2"/>
  <c r="AB121" i="2" s="1"/>
  <c r="P121" i="2" s="1"/>
  <c r="AN31" i="2"/>
  <c r="AB31" i="2" s="1"/>
  <c r="P31" i="2" s="1"/>
  <c r="AN39" i="2"/>
  <c r="AB39" i="2" s="1"/>
  <c r="P39" i="2" s="1"/>
  <c r="AN48" i="2"/>
  <c r="AB48" i="2" s="1"/>
  <c r="P48" i="2" s="1"/>
  <c r="AN397" i="2"/>
  <c r="AB397" i="2" s="1"/>
  <c r="P397" i="2" s="1"/>
  <c r="AN1063" i="2"/>
  <c r="AB1063" i="2" s="1"/>
  <c r="P1063" i="2" s="1"/>
  <c r="AN163" i="2"/>
  <c r="AB163" i="2" s="1"/>
  <c r="P163" i="2" s="1"/>
  <c r="AN270" i="2"/>
  <c r="AB270" i="2" s="1"/>
  <c r="P270" i="2" s="1"/>
  <c r="AN375" i="2"/>
  <c r="AB375" i="2" s="1"/>
  <c r="P375" i="2" s="1"/>
  <c r="AN712" i="2"/>
  <c r="AB712" i="2" s="1"/>
  <c r="P712" i="2" s="1"/>
  <c r="AN748" i="2"/>
  <c r="AB748" i="2" s="1"/>
  <c r="P748" i="2" s="1"/>
  <c r="AN509" i="2"/>
  <c r="AB509" i="2" s="1"/>
  <c r="P509" i="2" s="1"/>
  <c r="AN343" i="2"/>
  <c r="AB343" i="2" s="1"/>
  <c r="P343" i="2" s="1"/>
  <c r="AN309" i="2"/>
  <c r="AB309" i="2" s="1"/>
  <c r="P309" i="2" s="1"/>
  <c r="AN130" i="2"/>
  <c r="AB130" i="2" s="1"/>
  <c r="P130" i="2" s="1"/>
  <c r="AN55" i="2"/>
  <c r="AB55" i="2" s="1"/>
  <c r="P55" i="2" s="1"/>
  <c r="AN134" i="2"/>
  <c r="AB134" i="2" s="1"/>
  <c r="P134" i="2" s="1"/>
  <c r="AN116" i="2"/>
  <c r="AB116" i="2" s="1"/>
  <c r="P116" i="2" s="1"/>
  <c r="AN60" i="2"/>
  <c r="AB60" i="2" s="1"/>
  <c r="P60" i="2" s="1"/>
  <c r="AN138" i="2"/>
  <c r="AB138" i="2" s="1"/>
  <c r="P138" i="2" s="1"/>
  <c r="AN23" i="2"/>
  <c r="AB23" i="2" s="1"/>
  <c r="P23" i="2" s="1"/>
  <c r="AN20" i="2"/>
  <c r="AB20" i="2" s="1"/>
  <c r="P20" i="2" s="1"/>
  <c r="AN845" i="2"/>
  <c r="AB845" i="2" s="1"/>
  <c r="P845" i="2" s="1"/>
  <c r="AN1219" i="2"/>
  <c r="AB1219" i="2" s="1"/>
  <c r="P1219" i="2" s="1"/>
  <c r="AN636" i="2"/>
  <c r="AB636" i="2" s="1"/>
  <c r="P636" i="2" s="1"/>
  <c r="AN581" i="2"/>
  <c r="AB581" i="2" s="1"/>
  <c r="P581" i="2" s="1"/>
  <c r="AN468" i="2"/>
  <c r="AB468" i="2" s="1"/>
  <c r="P468" i="2" s="1"/>
  <c r="AN429" i="2"/>
  <c r="AB429" i="2" s="1"/>
  <c r="P429" i="2" s="1"/>
  <c r="AN264" i="2"/>
  <c r="AB264" i="2" s="1"/>
  <c r="P264" i="2" s="1"/>
  <c r="AN88" i="2"/>
  <c r="AB88" i="2" s="1"/>
  <c r="P88" i="2" s="1"/>
  <c r="AN361" i="2"/>
  <c r="AB361" i="2" s="1"/>
  <c r="P361" i="2" s="1"/>
  <c r="AN559" i="2"/>
  <c r="AB559" i="2" s="1"/>
  <c r="P559" i="2" s="1"/>
  <c r="AN715" i="2"/>
  <c r="AB715" i="2" s="1"/>
  <c r="P715" i="2" s="1"/>
  <c r="AN594" i="2"/>
  <c r="AB594" i="2" s="1"/>
  <c r="P594" i="2" s="1"/>
  <c r="AN558" i="2"/>
  <c r="AB558" i="2" s="1"/>
  <c r="P558" i="2" s="1"/>
  <c r="AN118" i="2"/>
  <c r="AB118" i="2" s="1"/>
  <c r="P118" i="2" s="1"/>
  <c r="AN135" i="2"/>
  <c r="AB135" i="2" s="1"/>
  <c r="P135" i="2" s="1"/>
  <c r="AN502" i="2"/>
  <c r="AB502" i="2" s="1"/>
  <c r="P502" i="2" s="1"/>
  <c r="AN747" i="2"/>
  <c r="AB747" i="2" s="1"/>
  <c r="P747" i="2" s="1"/>
  <c r="AN92" i="2"/>
  <c r="AB92" i="2" s="1"/>
  <c r="P92" i="2" s="1"/>
  <c r="AN120" i="2"/>
  <c r="AB120" i="2" s="1"/>
  <c r="P120" i="2" s="1"/>
  <c r="AN44" i="2"/>
  <c r="AB44" i="2" s="1"/>
  <c r="P44" i="2" s="1"/>
  <c r="AN52" i="2"/>
  <c r="AB52" i="2" s="1"/>
  <c r="P52" i="2" s="1"/>
  <c r="AN635" i="2"/>
  <c r="AB635" i="2" s="1"/>
  <c r="P635" i="2" s="1"/>
  <c r="AN696" i="2"/>
  <c r="AB696" i="2" s="1"/>
  <c r="P696" i="2" s="1"/>
  <c r="AN503" i="2"/>
  <c r="AB503" i="2" s="1"/>
  <c r="P503" i="2" s="1"/>
  <c r="AN171" i="2"/>
  <c r="AB171" i="2" s="1"/>
  <c r="P171" i="2" s="1"/>
  <c r="AN477" i="2"/>
  <c r="AB477" i="2" s="1"/>
  <c r="P477" i="2" s="1"/>
  <c r="AN154" i="2"/>
  <c r="AB154" i="2" s="1"/>
  <c r="P154" i="2" s="1"/>
  <c r="AN207" i="2"/>
  <c r="AB207" i="2" s="1"/>
  <c r="P207" i="2" s="1"/>
  <c r="AN771" i="2"/>
  <c r="AB771" i="2" s="1"/>
  <c r="P771" i="2" s="1"/>
  <c r="AN621" i="2"/>
  <c r="AB621" i="2" s="1"/>
  <c r="P621" i="2" s="1"/>
  <c r="AN200" i="2"/>
  <c r="AB200" i="2" s="1"/>
  <c r="P200" i="2" s="1"/>
  <c r="AN141" i="2"/>
  <c r="AB141" i="2" s="1"/>
  <c r="P141" i="2" s="1"/>
  <c r="AN674" i="2"/>
  <c r="AB674" i="2" s="1"/>
  <c r="P674" i="2" s="1"/>
  <c r="AN524" i="2"/>
  <c r="AB524" i="2" s="1"/>
  <c r="P524" i="2" s="1"/>
  <c r="AN193" i="2"/>
  <c r="AB193" i="2" s="1"/>
  <c r="P193" i="2" s="1"/>
  <c r="AN89" i="2"/>
  <c r="AB89" i="2" s="1"/>
  <c r="P89" i="2" s="1"/>
  <c r="AN1151" i="2"/>
  <c r="AB1151" i="2" s="1"/>
  <c r="P1151" i="2" s="1"/>
  <c r="AN612" i="2"/>
  <c r="AB612" i="2" s="1"/>
  <c r="P612" i="2" s="1"/>
  <c r="AN540" i="2"/>
  <c r="AB540" i="2" s="1"/>
  <c r="P540" i="2" s="1"/>
  <c r="AN538" i="2"/>
  <c r="AB538" i="2" s="1"/>
  <c r="P538" i="2" s="1"/>
  <c r="AN104" i="2"/>
  <c r="AB104" i="2" s="1"/>
  <c r="P104" i="2" s="1"/>
  <c r="AN62" i="2"/>
  <c r="AB62" i="2" s="1"/>
  <c r="P62" i="2" s="1"/>
  <c r="AN87" i="2"/>
  <c r="AB87" i="2" s="1"/>
  <c r="P87" i="2" s="1"/>
  <c r="AN26" i="2"/>
  <c r="AB26" i="2" s="1"/>
  <c r="P26" i="2" s="1"/>
  <c r="AN1015" i="2"/>
  <c r="AB1015" i="2" s="1"/>
  <c r="P1015" i="2" s="1"/>
  <c r="AN755" i="2"/>
  <c r="AB755" i="2" s="1"/>
  <c r="P755" i="2" s="1"/>
  <c r="AN185" i="2"/>
  <c r="AB185" i="2" s="1"/>
  <c r="P185" i="2" s="1"/>
  <c r="AN548" i="2"/>
  <c r="AB548" i="2" s="1"/>
  <c r="P548" i="2" s="1"/>
  <c r="AN679" i="2"/>
  <c r="AB679" i="2" s="1"/>
  <c r="P679" i="2" s="1"/>
  <c r="AN650" i="2"/>
  <c r="AB650" i="2" s="1"/>
  <c r="P650" i="2" s="1"/>
  <c r="AN206" i="2"/>
  <c r="AB206" i="2" s="1"/>
  <c r="P206" i="2" s="1"/>
  <c r="AN508" i="2"/>
  <c r="AB508" i="2" s="1"/>
  <c r="P508" i="2" s="1"/>
  <c r="AN311" i="2"/>
  <c r="AB311" i="2" s="1"/>
  <c r="P311" i="2" s="1"/>
  <c r="AN620" i="2"/>
  <c r="AB620" i="2" s="1"/>
  <c r="P620" i="2" s="1"/>
  <c r="AN197" i="2"/>
  <c r="AB197" i="2" s="1"/>
  <c r="P197" i="2" s="1"/>
  <c r="G1271" i="2"/>
  <c r="G1273" i="2"/>
  <c r="G1272" i="2"/>
  <c r="G1268" i="2"/>
  <c r="G1259" i="2"/>
  <c r="G1264" i="2"/>
  <c r="G1266" i="2"/>
  <c r="G1260" i="2"/>
  <c r="G1249" i="2"/>
  <c r="G1270" i="2"/>
  <c r="G1269" i="2"/>
  <c r="G1263" i="2"/>
  <c r="G1267" i="2"/>
  <c r="G1254" i="2"/>
  <c r="G1261" i="2"/>
  <c r="G1262" i="2"/>
  <c r="G1246" i="2"/>
  <c r="G1257" i="2"/>
  <c r="G1258" i="2"/>
  <c r="G1255" i="2"/>
  <c r="G1238" i="2"/>
  <c r="G1265" i="2"/>
  <c r="G1256" i="2"/>
  <c r="G1241" i="2"/>
  <c r="G1252" i="2"/>
  <c r="G1243" i="2"/>
  <c r="G1240" i="2"/>
  <c r="G1251" i="2"/>
  <c r="G1237" i="2"/>
  <c r="G1245" i="2"/>
  <c r="G1250" i="2"/>
  <c r="G1244" i="2"/>
  <c r="G1234" i="2"/>
  <c r="G1242" i="2"/>
  <c r="G1247" i="2"/>
  <c r="G1230" i="2"/>
  <c r="G1253" i="2"/>
  <c r="G1239" i="2"/>
  <c r="G1232" i="2"/>
  <c r="G1211" i="2"/>
  <c r="G1229" i="2"/>
  <c r="G1233" i="2"/>
  <c r="G1231" i="2"/>
  <c r="G1218" i="2"/>
  <c r="G1214" i="2"/>
  <c r="G1205" i="2"/>
  <c r="G1224" i="2"/>
  <c r="G1217" i="2"/>
  <c r="G1236" i="2"/>
  <c r="G1228" i="2"/>
  <c r="G1227" i="2"/>
  <c r="G1225" i="2"/>
  <c r="G1219" i="2"/>
  <c r="G1248" i="2"/>
  <c r="G1235" i="2"/>
  <c r="G1215" i="2"/>
  <c r="G1207" i="2"/>
  <c r="G1210" i="2"/>
  <c r="G1204" i="2"/>
  <c r="G1222" i="2"/>
  <c r="G1221" i="2"/>
  <c r="G1220" i="2"/>
  <c r="G1223" i="2"/>
  <c r="G1226" i="2"/>
  <c r="G1216" i="2"/>
  <c r="G1208" i="2"/>
  <c r="G1209" i="2"/>
  <c r="G1197" i="2"/>
  <c r="G1199" i="2"/>
  <c r="G1213" i="2"/>
  <c r="G1198" i="2"/>
  <c r="G1173" i="2"/>
  <c r="G1192" i="2"/>
  <c r="G1190" i="2"/>
  <c r="G1193" i="2"/>
  <c r="G1187" i="2"/>
  <c r="G1212" i="2"/>
  <c r="G1181" i="2"/>
  <c r="G1183" i="2"/>
  <c r="G1206" i="2"/>
  <c r="G1203" i="2"/>
  <c r="G1191" i="2"/>
  <c r="G1200" i="2"/>
  <c r="G1158" i="2"/>
  <c r="G1180" i="2"/>
  <c r="G1186" i="2"/>
  <c r="G1195" i="2"/>
  <c r="G1162" i="2"/>
  <c r="G1184" i="2"/>
  <c r="G1179" i="2"/>
  <c r="G1163" i="2"/>
  <c r="G1172" i="2"/>
  <c r="G1164" i="2"/>
  <c r="G1178" i="2"/>
  <c r="G1165" i="2"/>
  <c r="G1202" i="2"/>
  <c r="G1194" i="2"/>
  <c r="G1185" i="2"/>
  <c r="G1177" i="2"/>
  <c r="G1189" i="2"/>
  <c r="G1171" i="2"/>
  <c r="G1168" i="2"/>
  <c r="G1175" i="2"/>
  <c r="G1152" i="2"/>
  <c r="G1166" i="2"/>
  <c r="G1154" i="2"/>
  <c r="G1159" i="2"/>
  <c r="G1201" i="2"/>
  <c r="G1176" i="2"/>
  <c r="G1182" i="2"/>
  <c r="G1170" i="2"/>
  <c r="G1188" i="2"/>
  <c r="G1167" i="2"/>
  <c r="G1169" i="2"/>
  <c r="G1196" i="2"/>
  <c r="G1174" i="2"/>
  <c r="G1132" i="2"/>
  <c r="G1160" i="2"/>
  <c r="G1134" i="2"/>
  <c r="G1161" i="2"/>
  <c r="G1151" i="2"/>
  <c r="G1150" i="2"/>
  <c r="G1135" i="2"/>
  <c r="G1148" i="2"/>
  <c r="G1136" i="2"/>
  <c r="G1137" i="2"/>
  <c r="G1138" i="2"/>
  <c r="G1155" i="2"/>
  <c r="G1139" i="2"/>
  <c r="G1156" i="2"/>
  <c r="G1140" i="2"/>
  <c r="G1124" i="2"/>
  <c r="G1149" i="2"/>
  <c r="G1141" i="2"/>
  <c r="G1125" i="2"/>
  <c r="G1142" i="2"/>
  <c r="G1143" i="2"/>
  <c r="G1127" i="2"/>
  <c r="G1144" i="2"/>
  <c r="G1128" i="2"/>
  <c r="G1157" i="2"/>
  <c r="G1145" i="2"/>
  <c r="G1129" i="2"/>
  <c r="G1153" i="2"/>
  <c r="G1146" i="2"/>
  <c r="G1126" i="2"/>
  <c r="G1116" i="2"/>
  <c r="G1111" i="2"/>
  <c r="G1133" i="2"/>
  <c r="G1112" i="2"/>
  <c r="G1096" i="2"/>
  <c r="G1121" i="2"/>
  <c r="G1113" i="2"/>
  <c r="G1097" i="2"/>
  <c r="G1122" i="2"/>
  <c r="G1114" i="2"/>
  <c r="G1098" i="2"/>
  <c r="G1099" i="2"/>
  <c r="G1131" i="2"/>
  <c r="G1123" i="2"/>
  <c r="G1101" i="2"/>
  <c r="G1147" i="2"/>
  <c r="G1115" i="2"/>
  <c r="G1102" i="2"/>
  <c r="G1130" i="2"/>
  <c r="G1103" i="2"/>
  <c r="G1104" i="2"/>
  <c r="G1117" i="2"/>
  <c r="G1108" i="2"/>
  <c r="G1107" i="2"/>
  <c r="G1078" i="2"/>
  <c r="G1094" i="2"/>
  <c r="G1080" i="2"/>
  <c r="G1118" i="2"/>
  <c r="G1106" i="2"/>
  <c r="G1087" i="2"/>
  <c r="G1082" i="2"/>
  <c r="G1066" i="2"/>
  <c r="G1100" i="2"/>
  <c r="G1085" i="2"/>
  <c r="G1120" i="2"/>
  <c r="G1095" i="2"/>
  <c r="G1119" i="2"/>
  <c r="G1105" i="2"/>
  <c r="G1093" i="2"/>
  <c r="G1090" i="2"/>
  <c r="G1089" i="2"/>
  <c r="G1073" i="2"/>
  <c r="G1109" i="2"/>
  <c r="G1110" i="2"/>
  <c r="G1091" i="2"/>
  <c r="G1086" i="2"/>
  <c r="G1084" i="2"/>
  <c r="G1081" i="2"/>
  <c r="G1067" i="2"/>
  <c r="G1088" i="2"/>
  <c r="G1074" i="2"/>
  <c r="G1047" i="2"/>
  <c r="G1076" i="2"/>
  <c r="G1072" i="2"/>
  <c r="G1064" i="2"/>
  <c r="G1061" i="2"/>
  <c r="G1092" i="2"/>
  <c r="G1083" i="2"/>
  <c r="G1068" i="2"/>
  <c r="G1050" i="2"/>
  <c r="G1051" i="2"/>
  <c r="G1065" i="2"/>
  <c r="G1071" i="2"/>
  <c r="G1062" i="2"/>
  <c r="G1075" i="2"/>
  <c r="G1070" i="2"/>
  <c r="G1055" i="2"/>
  <c r="G1079" i="2"/>
  <c r="G1057" i="2"/>
  <c r="G1077" i="2"/>
  <c r="G1042" i="2"/>
  <c r="G1034" i="2"/>
  <c r="G1059" i="2"/>
  <c r="G1048" i="2"/>
  <c r="G1035" i="2"/>
  <c r="G1036" i="2"/>
  <c r="G1020" i="2"/>
  <c r="G1058" i="2"/>
  <c r="G1039" i="2"/>
  <c r="G1049" i="2"/>
  <c r="G1053" i="2"/>
  <c r="G1041" i="2"/>
  <c r="G1063" i="2"/>
  <c r="G1054" i="2"/>
  <c r="G1069" i="2"/>
  <c r="G1045" i="2"/>
  <c r="G1044" i="2"/>
  <c r="G1060" i="2"/>
  <c r="G1056" i="2"/>
  <c r="G1052" i="2"/>
  <c r="G1046" i="2"/>
  <c r="G1043" i="2"/>
  <c r="G1028" i="2"/>
  <c r="G1029" i="2"/>
  <c r="G1040" i="2"/>
  <c r="G1038" i="2"/>
  <c r="G1026" i="2"/>
  <c r="G1023" i="2"/>
  <c r="G1014" i="2"/>
  <c r="G1000" i="2"/>
  <c r="G1027" i="2"/>
  <c r="G1018" i="2"/>
  <c r="G1032" i="2"/>
  <c r="G1024" i="2"/>
  <c r="G1021" i="2"/>
  <c r="G1015" i="2"/>
  <c r="G1033" i="2"/>
  <c r="G1030" i="2"/>
  <c r="G1022" i="2"/>
  <c r="G1037" i="2"/>
  <c r="G1025" i="2"/>
  <c r="G1016" i="2"/>
  <c r="G1010" i="2"/>
  <c r="G1031" i="2"/>
  <c r="G1012" i="2"/>
  <c r="G1019" i="2"/>
  <c r="G1013" i="2"/>
  <c r="G1001" i="2"/>
  <c r="G984" i="2"/>
  <c r="G997" i="2"/>
  <c r="G1004" i="2"/>
  <c r="G1003" i="2"/>
  <c r="G987" i="2"/>
  <c r="G1007" i="2"/>
  <c r="G1005" i="2"/>
  <c r="G989" i="2"/>
  <c r="G998" i="2"/>
  <c r="G991" i="2"/>
  <c r="G992" i="2"/>
  <c r="G1008" i="2"/>
  <c r="G1002" i="2"/>
  <c r="G993" i="2"/>
  <c r="G977" i="2"/>
  <c r="G1009" i="2"/>
  <c r="G994" i="2"/>
  <c r="G1011" i="2"/>
  <c r="G1006" i="2"/>
  <c r="G995" i="2"/>
  <c r="G979" i="2"/>
  <c r="G996" i="2"/>
  <c r="G1017" i="2"/>
  <c r="G982" i="2"/>
  <c r="G990" i="2"/>
  <c r="G986" i="2"/>
  <c r="G975" i="2"/>
  <c r="G973" i="2"/>
  <c r="G970" i="2"/>
  <c r="G963" i="2"/>
  <c r="G947" i="2"/>
  <c r="G964" i="2"/>
  <c r="G978" i="2"/>
  <c r="G972" i="2"/>
  <c r="G965" i="2"/>
  <c r="G976" i="2"/>
  <c r="G966" i="2"/>
  <c r="G967" i="2"/>
  <c r="G985" i="2"/>
  <c r="G981" i="2"/>
  <c r="G952" i="2"/>
  <c r="G936" i="2"/>
  <c r="G968" i="2"/>
  <c r="G953" i="2"/>
  <c r="G983" i="2"/>
  <c r="G971" i="2"/>
  <c r="G955" i="2"/>
  <c r="G980" i="2"/>
  <c r="G957" i="2"/>
  <c r="G969" i="2"/>
  <c r="G958" i="2"/>
  <c r="G959" i="2"/>
  <c r="G999" i="2"/>
  <c r="G988" i="2"/>
  <c r="G974" i="2"/>
  <c r="G960" i="2"/>
  <c r="G944" i="2"/>
  <c r="G945" i="2"/>
  <c r="G927" i="2"/>
  <c r="G954" i="2"/>
  <c r="G928" i="2"/>
  <c r="G956" i="2"/>
  <c r="G943" i="2"/>
  <c r="G940" i="2"/>
  <c r="G937" i="2"/>
  <c r="G929" i="2"/>
  <c r="G931" i="2"/>
  <c r="G932" i="2"/>
  <c r="G961" i="2"/>
  <c r="G933" i="2"/>
  <c r="G917" i="2"/>
  <c r="G938" i="2"/>
  <c r="G934" i="2"/>
  <c r="G918" i="2"/>
  <c r="G919" i="2"/>
  <c r="G962" i="2"/>
  <c r="G941" i="2"/>
  <c r="G939" i="2"/>
  <c r="G950" i="2"/>
  <c r="G948" i="2"/>
  <c r="G946" i="2"/>
  <c r="G924" i="2"/>
  <c r="G922" i="2"/>
  <c r="G942" i="2"/>
  <c r="G920" i="2"/>
  <c r="G923" i="2"/>
  <c r="G908" i="2"/>
  <c r="G912" i="2"/>
  <c r="G911" i="2"/>
  <c r="G899" i="2"/>
  <c r="G913" i="2"/>
  <c r="G900" i="2"/>
  <c r="G951" i="2"/>
  <c r="G909" i="2"/>
  <c r="G901" i="2"/>
  <c r="G949" i="2"/>
  <c r="G903" i="2"/>
  <c r="G887" i="2"/>
  <c r="G925" i="2"/>
  <c r="G915" i="2"/>
  <c r="G935" i="2"/>
  <c r="G930" i="2"/>
  <c r="G905" i="2"/>
  <c r="G926" i="2"/>
  <c r="G910" i="2"/>
  <c r="G906" i="2"/>
  <c r="G921" i="2"/>
  <c r="G907" i="2"/>
  <c r="G891" i="2"/>
  <c r="G886" i="2"/>
  <c r="G875" i="2"/>
  <c r="G859" i="2"/>
  <c r="G894" i="2"/>
  <c r="G893" i="2"/>
  <c r="G876" i="2"/>
  <c r="G914" i="2"/>
  <c r="G890" i="2"/>
  <c r="G877" i="2"/>
  <c r="G889" i="2"/>
  <c r="G882" i="2"/>
  <c r="G878" i="2"/>
  <c r="G902" i="2"/>
  <c r="G888" i="2"/>
  <c r="G885" i="2"/>
  <c r="G883" i="2"/>
  <c r="G892" i="2"/>
  <c r="G867" i="2"/>
  <c r="G870" i="2"/>
  <c r="G897" i="2"/>
  <c r="G860" i="2"/>
  <c r="G852" i="2"/>
  <c r="G853" i="2"/>
  <c r="G837" i="2"/>
  <c r="G865" i="2"/>
  <c r="G854" i="2"/>
  <c r="G872" i="2"/>
  <c r="G855" i="2"/>
  <c r="G881" i="2"/>
  <c r="G880" i="2"/>
  <c r="G871" i="2"/>
  <c r="G866" i="2"/>
  <c r="G858" i="2"/>
  <c r="G843" i="2"/>
  <c r="G869" i="2"/>
  <c r="G856" i="2"/>
  <c r="G844" i="2"/>
  <c r="G916" i="2"/>
  <c r="G879" i="2"/>
  <c r="G904" i="2"/>
  <c r="G846" i="2"/>
  <c r="G896" i="2"/>
  <c r="G884" i="2"/>
  <c r="G862" i="2"/>
  <c r="G863" i="2"/>
  <c r="G898" i="2"/>
  <c r="G874" i="2"/>
  <c r="G861" i="2"/>
  <c r="G850" i="2"/>
  <c r="G839" i="2"/>
  <c r="G836" i="2"/>
  <c r="G842" i="2"/>
  <c r="G814" i="2"/>
  <c r="G840" i="2"/>
  <c r="G826" i="2"/>
  <c r="G815" i="2"/>
  <c r="G832" i="2"/>
  <c r="G816" i="2"/>
  <c r="G835" i="2"/>
  <c r="G817" i="2"/>
  <c r="G849" i="2"/>
  <c r="G830" i="2"/>
  <c r="G818" i="2"/>
  <c r="G802" i="2"/>
  <c r="G857" i="2"/>
  <c r="G847" i="2"/>
  <c r="G827" i="2"/>
  <c r="G819" i="2"/>
  <c r="G803" i="2"/>
  <c r="G868" i="2"/>
  <c r="G834" i="2"/>
  <c r="G820" i="2"/>
  <c r="G851" i="2"/>
  <c r="G821" i="2"/>
  <c r="G841" i="2"/>
  <c r="G822" i="2"/>
  <c r="G806" i="2"/>
  <c r="G823" i="2"/>
  <c r="G873" i="2"/>
  <c r="G864" i="2"/>
  <c r="G831" i="2"/>
  <c r="G828" i="2"/>
  <c r="G824" i="2"/>
  <c r="G808" i="2"/>
  <c r="G895" i="2"/>
  <c r="G833" i="2"/>
  <c r="G848" i="2"/>
  <c r="G838" i="2"/>
  <c r="G825" i="2"/>
  <c r="G810" i="2"/>
  <c r="G809" i="2"/>
  <c r="G789" i="2"/>
  <c r="G773" i="2"/>
  <c r="G799" i="2"/>
  <c r="G794" i="2"/>
  <c r="G790" i="2"/>
  <c r="G774" i="2"/>
  <c r="G757" i="2"/>
  <c r="G845" i="2"/>
  <c r="G804" i="2"/>
  <c r="G791" i="2"/>
  <c r="G775" i="2"/>
  <c r="G759" i="2"/>
  <c r="G758" i="2"/>
  <c r="G807" i="2"/>
  <c r="G800" i="2"/>
  <c r="G776" i="2"/>
  <c r="G813" i="2"/>
  <c r="G777" i="2"/>
  <c r="G761" i="2"/>
  <c r="G811" i="2"/>
  <c r="G778" i="2"/>
  <c r="G762" i="2"/>
  <c r="G812" i="2"/>
  <c r="G801" i="2"/>
  <c r="G779" i="2"/>
  <c r="G763" i="2"/>
  <c r="G746" i="2"/>
  <c r="G792" i="2"/>
  <c r="G780" i="2"/>
  <c r="G764" i="2"/>
  <c r="G781" i="2"/>
  <c r="G782" i="2"/>
  <c r="G766" i="2"/>
  <c r="G783" i="2"/>
  <c r="G796" i="2"/>
  <c r="G784" i="2"/>
  <c r="G829" i="2"/>
  <c r="G795" i="2"/>
  <c r="G793" i="2"/>
  <c r="G785" i="2"/>
  <c r="G769" i="2"/>
  <c r="G805" i="2"/>
  <c r="G786" i="2"/>
  <c r="G797" i="2"/>
  <c r="G787" i="2"/>
  <c r="G771" i="2"/>
  <c r="G721" i="2"/>
  <c r="G752" i="2"/>
  <c r="G738" i="2"/>
  <c r="G722" i="2"/>
  <c r="G765" i="2"/>
  <c r="G741" i="2"/>
  <c r="G723" i="2"/>
  <c r="G751" i="2"/>
  <c r="G726" i="2"/>
  <c r="G725" i="2"/>
  <c r="G767" i="2"/>
  <c r="G742" i="2"/>
  <c r="G739" i="2"/>
  <c r="G729" i="2"/>
  <c r="G750" i="2"/>
  <c r="G770" i="2"/>
  <c r="G768" i="2"/>
  <c r="G756" i="2"/>
  <c r="G731" i="2"/>
  <c r="G788" i="2"/>
  <c r="G755" i="2"/>
  <c r="G754" i="2"/>
  <c r="G732" i="2"/>
  <c r="G798" i="2"/>
  <c r="G760" i="2"/>
  <c r="G748" i="2"/>
  <c r="G733" i="2"/>
  <c r="G772" i="2"/>
  <c r="G743" i="2"/>
  <c r="G740" i="2"/>
  <c r="G735" i="2"/>
  <c r="G734" i="2"/>
  <c r="G736" i="2"/>
  <c r="G745" i="2"/>
  <c r="G737" i="2"/>
  <c r="G708" i="2"/>
  <c r="G692" i="2"/>
  <c r="G676" i="2"/>
  <c r="G709" i="2"/>
  <c r="G693" i="2"/>
  <c r="G677" i="2"/>
  <c r="G661" i="2"/>
  <c r="G645" i="2"/>
  <c r="G694" i="2"/>
  <c r="G678" i="2"/>
  <c r="G662" i="2"/>
  <c r="G695" i="2"/>
  <c r="G679" i="2"/>
  <c r="G663" i="2"/>
  <c r="G647" i="2"/>
  <c r="G717" i="2"/>
  <c r="G696" i="2"/>
  <c r="G680" i="2"/>
  <c r="G697" i="2"/>
  <c r="G681" i="2"/>
  <c r="G665" i="2"/>
  <c r="G730" i="2"/>
  <c r="G728" i="2"/>
  <c r="G714" i="2"/>
  <c r="G710" i="2"/>
  <c r="G698" i="2"/>
  <c r="G682" i="2"/>
  <c r="G724" i="2"/>
  <c r="G713" i="2"/>
  <c r="G699" i="2"/>
  <c r="G683" i="2"/>
  <c r="G749" i="2"/>
  <c r="G727" i="2"/>
  <c r="G719" i="2"/>
  <c r="G715" i="2"/>
  <c r="G700" i="2"/>
  <c r="G720" i="2"/>
  <c r="G701" i="2"/>
  <c r="G685" i="2"/>
  <c r="G669" i="2"/>
  <c r="G653" i="2"/>
  <c r="G702" i="2"/>
  <c r="G686" i="2"/>
  <c r="G670" i="2"/>
  <c r="G753" i="2"/>
  <c r="G718" i="2"/>
  <c r="G712" i="2"/>
  <c r="G703" i="2"/>
  <c r="G687" i="2"/>
  <c r="G671" i="2"/>
  <c r="G704" i="2"/>
  <c r="G688" i="2"/>
  <c r="G672" i="2"/>
  <c r="G747" i="2"/>
  <c r="G705" i="2"/>
  <c r="G689" i="2"/>
  <c r="G673" i="2"/>
  <c r="G657" i="2"/>
  <c r="G716" i="2"/>
  <c r="G706" i="2"/>
  <c r="G690" i="2"/>
  <c r="G674" i="2"/>
  <c r="G658" i="2"/>
  <c r="G707" i="2"/>
  <c r="G652" i="2"/>
  <c r="G644" i="2"/>
  <c r="G633" i="2"/>
  <c r="G617" i="2"/>
  <c r="G660" i="2"/>
  <c r="G654" i="2"/>
  <c r="G634" i="2"/>
  <c r="G618" i="2"/>
  <c r="G602" i="2"/>
  <c r="G635" i="2"/>
  <c r="G619" i="2"/>
  <c r="G603" i="2"/>
  <c r="G587" i="2"/>
  <c r="G636" i="2"/>
  <c r="G620" i="2"/>
  <c r="G604" i="2"/>
  <c r="G588" i="2"/>
  <c r="G684" i="2"/>
  <c r="G637" i="2"/>
  <c r="G621" i="2"/>
  <c r="G711" i="2"/>
  <c r="G638" i="2"/>
  <c r="G622" i="2"/>
  <c r="G675" i="2"/>
  <c r="G651" i="2"/>
  <c r="G639" i="2"/>
  <c r="G623" i="2"/>
  <c r="G607" i="2"/>
  <c r="G591" i="2"/>
  <c r="G640" i="2"/>
  <c r="G624" i="2"/>
  <c r="G608" i="2"/>
  <c r="G592" i="2"/>
  <c r="G656" i="2"/>
  <c r="G643" i="2"/>
  <c r="G641" i="2"/>
  <c r="G625" i="2"/>
  <c r="G609" i="2"/>
  <c r="G655" i="2"/>
  <c r="G626" i="2"/>
  <c r="G610" i="2"/>
  <c r="G594" i="2"/>
  <c r="G650" i="2"/>
  <c r="G646" i="2"/>
  <c r="G627" i="2"/>
  <c r="G611" i="2"/>
  <c r="G649" i="2"/>
  <c r="G648" i="2"/>
  <c r="G628" i="2"/>
  <c r="G612" i="2"/>
  <c r="G596" i="2"/>
  <c r="G664" i="2"/>
  <c r="G659" i="2"/>
  <c r="G629" i="2"/>
  <c r="G613" i="2"/>
  <c r="G668" i="2"/>
  <c r="G630" i="2"/>
  <c r="G614" i="2"/>
  <c r="G598" i="2"/>
  <c r="G691" i="2"/>
  <c r="G666" i="2"/>
  <c r="G642" i="2"/>
  <c r="G631" i="2"/>
  <c r="G615" i="2"/>
  <c r="G599" i="2"/>
  <c r="G600" i="2"/>
  <c r="G584" i="2"/>
  <c r="G581" i="2"/>
  <c r="G575" i="2"/>
  <c r="G559" i="2"/>
  <c r="G589" i="2"/>
  <c r="G576" i="2"/>
  <c r="G560" i="2"/>
  <c r="G543" i="2"/>
  <c r="G577" i="2"/>
  <c r="G561" i="2"/>
  <c r="G544" i="2"/>
  <c r="G528" i="2"/>
  <c r="G578" i="2"/>
  <c r="G562" i="2"/>
  <c r="G545" i="2"/>
  <c r="G529" i="2"/>
  <c r="G585" i="2"/>
  <c r="G583" i="2"/>
  <c r="G579" i="2"/>
  <c r="G563" i="2"/>
  <c r="G546" i="2"/>
  <c r="G530" i="2"/>
  <c r="G564" i="2"/>
  <c r="G548" i="2"/>
  <c r="G547" i="2"/>
  <c r="G531" i="2"/>
  <c r="G605" i="2"/>
  <c r="G590" i="2"/>
  <c r="G580" i="2"/>
  <c r="G565" i="2"/>
  <c r="G549" i="2"/>
  <c r="G532" i="2"/>
  <c r="G586" i="2"/>
  <c r="G566" i="2"/>
  <c r="G550" i="2"/>
  <c r="G533" i="2"/>
  <c r="G606" i="2"/>
  <c r="G597" i="2"/>
  <c r="G567" i="2"/>
  <c r="G551" i="2"/>
  <c r="G534" i="2"/>
  <c r="G568" i="2"/>
  <c r="G552" i="2"/>
  <c r="G535" i="2"/>
  <c r="G632" i="2"/>
  <c r="G595" i="2"/>
  <c r="G582" i="2"/>
  <c r="G569" i="2"/>
  <c r="G553" i="2"/>
  <c r="G536" i="2"/>
  <c r="G616" i="2"/>
  <c r="G570" i="2"/>
  <c r="G554" i="2"/>
  <c r="G537" i="2"/>
  <c r="G744" i="2"/>
  <c r="G667" i="2"/>
  <c r="G571" i="2"/>
  <c r="G572" i="2"/>
  <c r="G556" i="2"/>
  <c r="G539" i="2"/>
  <c r="G523" i="2"/>
  <c r="G601" i="2"/>
  <c r="G593" i="2"/>
  <c r="G573" i="2"/>
  <c r="G557" i="2"/>
  <c r="G515" i="2"/>
  <c r="G499" i="2"/>
  <c r="G483" i="2"/>
  <c r="G466" i="2"/>
  <c r="G500" i="2"/>
  <c r="G484" i="2"/>
  <c r="G467" i="2"/>
  <c r="G516" i="2"/>
  <c r="G501" i="2"/>
  <c r="G485" i="2"/>
  <c r="G525" i="2"/>
  <c r="G502" i="2"/>
  <c r="G486" i="2"/>
  <c r="G469" i="2"/>
  <c r="G503" i="2"/>
  <c r="G487" i="2"/>
  <c r="G470" i="2"/>
  <c r="G454" i="2"/>
  <c r="G540" i="2"/>
  <c r="G504" i="2"/>
  <c r="G505" i="2"/>
  <c r="G489" i="2"/>
  <c r="G472" i="2"/>
  <c r="G524" i="2"/>
  <c r="G522" i="2"/>
  <c r="G518" i="2"/>
  <c r="G506" i="2"/>
  <c r="G490" i="2"/>
  <c r="G474" i="2"/>
  <c r="G473" i="2"/>
  <c r="G555" i="2"/>
  <c r="G527" i="2"/>
  <c r="G507" i="2"/>
  <c r="G491" i="2"/>
  <c r="G475" i="2"/>
  <c r="G508" i="2"/>
  <c r="G492" i="2"/>
  <c r="G476" i="2"/>
  <c r="G541" i="2"/>
  <c r="G538" i="2"/>
  <c r="G519" i="2"/>
  <c r="G509" i="2"/>
  <c r="G493" i="2"/>
  <c r="G477" i="2"/>
  <c r="G574" i="2"/>
  <c r="G558" i="2"/>
  <c r="G510" i="2"/>
  <c r="G521" i="2"/>
  <c r="G517" i="2"/>
  <c r="G511" i="2"/>
  <c r="G495" i="2"/>
  <c r="G479" i="2"/>
  <c r="G542" i="2"/>
  <c r="G512" i="2"/>
  <c r="G496" i="2"/>
  <c r="G526" i="2"/>
  <c r="G520" i="2"/>
  <c r="G513" i="2"/>
  <c r="G497" i="2"/>
  <c r="G481" i="2"/>
  <c r="G464" i="2"/>
  <c r="G446" i="2"/>
  <c r="G514" i="2"/>
  <c r="G482" i="2"/>
  <c r="G465" i="2"/>
  <c r="G460" i="2"/>
  <c r="G447" i="2"/>
  <c r="G431" i="2"/>
  <c r="G415" i="2"/>
  <c r="G399" i="2"/>
  <c r="G480" i="2"/>
  <c r="G458" i="2"/>
  <c r="G448" i="2"/>
  <c r="G432" i="2"/>
  <c r="G416" i="2"/>
  <c r="G449" i="2"/>
  <c r="G433" i="2"/>
  <c r="G417" i="2"/>
  <c r="G401" i="2"/>
  <c r="G450" i="2"/>
  <c r="G434" i="2"/>
  <c r="G418" i="2"/>
  <c r="G435" i="2"/>
  <c r="G419" i="2"/>
  <c r="G403" i="2"/>
  <c r="G459" i="2"/>
  <c r="G453" i="2"/>
  <c r="G436" i="2"/>
  <c r="G420" i="2"/>
  <c r="G404" i="2"/>
  <c r="G494" i="2"/>
  <c r="G478" i="2"/>
  <c r="G471" i="2"/>
  <c r="G437" i="2"/>
  <c r="G421" i="2"/>
  <c r="G405" i="2"/>
  <c r="G498" i="2"/>
  <c r="G451" i="2"/>
  <c r="G438" i="2"/>
  <c r="G422" i="2"/>
  <c r="G439" i="2"/>
  <c r="G423" i="2"/>
  <c r="G407" i="2"/>
  <c r="G440" i="2"/>
  <c r="G424" i="2"/>
  <c r="G408" i="2"/>
  <c r="G468" i="2"/>
  <c r="G462" i="2"/>
  <c r="G456" i="2"/>
  <c r="G455" i="2"/>
  <c r="G441" i="2"/>
  <c r="G425" i="2"/>
  <c r="G409" i="2"/>
  <c r="G393" i="2"/>
  <c r="G488" i="2"/>
  <c r="G463" i="2"/>
  <c r="G442" i="2"/>
  <c r="G426" i="2"/>
  <c r="G410" i="2"/>
  <c r="G457" i="2"/>
  <c r="G443" i="2"/>
  <c r="G427" i="2"/>
  <c r="G411" i="2"/>
  <c r="G395" i="2"/>
  <c r="G452" i="2"/>
  <c r="G444" i="2"/>
  <c r="G372" i="2"/>
  <c r="G356" i="2"/>
  <c r="G340" i="2"/>
  <c r="G390" i="2"/>
  <c r="G373" i="2"/>
  <c r="G357" i="2"/>
  <c r="G402" i="2"/>
  <c r="G374" i="2"/>
  <c r="G358" i="2"/>
  <c r="G342" i="2"/>
  <c r="G461" i="2"/>
  <c r="G413" i="2"/>
  <c r="G412" i="2"/>
  <c r="G388" i="2"/>
  <c r="G375" i="2"/>
  <c r="G359" i="2"/>
  <c r="G343" i="2"/>
  <c r="G376" i="2"/>
  <c r="G360" i="2"/>
  <c r="G377" i="2"/>
  <c r="G361" i="2"/>
  <c r="G345" i="2"/>
  <c r="G329" i="2"/>
  <c r="G394" i="2"/>
  <c r="G378" i="2"/>
  <c r="G362" i="2"/>
  <c r="G346" i="2"/>
  <c r="G429" i="2"/>
  <c r="G400" i="2"/>
  <c r="G392" i="2"/>
  <c r="G379" i="2"/>
  <c r="G363" i="2"/>
  <c r="G347" i="2"/>
  <c r="G445" i="2"/>
  <c r="G428" i="2"/>
  <c r="G397" i="2"/>
  <c r="G396" i="2"/>
  <c r="G389" i="2"/>
  <c r="G380" i="2"/>
  <c r="G364" i="2"/>
  <c r="G414" i="2"/>
  <c r="G406" i="2"/>
  <c r="G381" i="2"/>
  <c r="G365" i="2"/>
  <c r="G349" i="2"/>
  <c r="G382" i="2"/>
  <c r="G366" i="2"/>
  <c r="G398" i="2"/>
  <c r="G383" i="2"/>
  <c r="G367" i="2"/>
  <c r="G351" i="2"/>
  <c r="G335" i="2"/>
  <c r="G384" i="2"/>
  <c r="G368" i="2"/>
  <c r="G352" i="2"/>
  <c r="G336" i="2"/>
  <c r="G430" i="2"/>
  <c r="G385" i="2"/>
  <c r="G369" i="2"/>
  <c r="G353" i="2"/>
  <c r="G337" i="2"/>
  <c r="G391" i="2"/>
  <c r="G387" i="2"/>
  <c r="G386" i="2"/>
  <c r="G370" i="2"/>
  <c r="G354" i="2"/>
  <c r="G324" i="2"/>
  <c r="G322" i="2"/>
  <c r="G311" i="2"/>
  <c r="G295" i="2"/>
  <c r="G279" i="2"/>
  <c r="G344" i="2"/>
  <c r="G333" i="2"/>
  <c r="G312" i="2"/>
  <c r="G296" i="2"/>
  <c r="G330" i="2"/>
  <c r="G313" i="2"/>
  <c r="G297" i="2"/>
  <c r="G281" i="2"/>
  <c r="G264" i="2"/>
  <c r="G328" i="2"/>
  <c r="G314" i="2"/>
  <c r="G298" i="2"/>
  <c r="G315" i="2"/>
  <c r="G299" i="2"/>
  <c r="G283" i="2"/>
  <c r="G316" i="2"/>
  <c r="G300" i="2"/>
  <c r="G284" i="2"/>
  <c r="G332" i="2"/>
  <c r="G323" i="2"/>
  <c r="G317" i="2"/>
  <c r="G301" i="2"/>
  <c r="G339" i="2"/>
  <c r="G338" i="2"/>
  <c r="G327" i="2"/>
  <c r="G318" i="2"/>
  <c r="G302" i="2"/>
  <c r="G286" i="2"/>
  <c r="G269" i="2"/>
  <c r="G371" i="2"/>
  <c r="G350" i="2"/>
  <c r="G319" i="2"/>
  <c r="G303" i="2"/>
  <c r="G287" i="2"/>
  <c r="G320" i="2"/>
  <c r="G304" i="2"/>
  <c r="G288" i="2"/>
  <c r="G355" i="2"/>
  <c r="G326" i="2"/>
  <c r="G321" i="2"/>
  <c r="G305" i="2"/>
  <c r="G289" i="2"/>
  <c r="G341" i="2"/>
  <c r="G306" i="2"/>
  <c r="G290" i="2"/>
  <c r="G273" i="2"/>
  <c r="G307" i="2"/>
  <c r="G291" i="2"/>
  <c r="G331" i="2"/>
  <c r="G325" i="2"/>
  <c r="G308" i="2"/>
  <c r="G292" i="2"/>
  <c r="G275" i="2"/>
  <c r="G309" i="2"/>
  <c r="G293" i="2"/>
  <c r="G277" i="2"/>
  <c r="G276" i="2"/>
  <c r="G310" i="2"/>
  <c r="G256" i="2"/>
  <c r="G240" i="2"/>
  <c r="G239" i="2"/>
  <c r="G334" i="2"/>
  <c r="G271" i="2"/>
  <c r="G270" i="2"/>
  <c r="G257" i="2"/>
  <c r="G241" i="2"/>
  <c r="G224" i="2"/>
  <c r="G208" i="2"/>
  <c r="G294" i="2"/>
  <c r="G282" i="2"/>
  <c r="G262" i="2"/>
  <c r="G260" i="2"/>
  <c r="G242" i="2"/>
  <c r="G225" i="2"/>
  <c r="G243" i="2"/>
  <c r="G226" i="2"/>
  <c r="G210" i="2"/>
  <c r="G265" i="2"/>
  <c r="G258" i="2"/>
  <c r="G244" i="2"/>
  <c r="G227" i="2"/>
  <c r="G211" i="2"/>
  <c r="G274" i="2"/>
  <c r="G245" i="2"/>
  <c r="G228" i="2"/>
  <c r="G246" i="2"/>
  <c r="G229" i="2"/>
  <c r="G213" i="2"/>
  <c r="G263" i="2"/>
  <c r="G247" i="2"/>
  <c r="G230" i="2"/>
  <c r="G214" i="2"/>
  <c r="G197" i="2"/>
  <c r="G285" i="2"/>
  <c r="G278" i="2"/>
  <c r="G267" i="2"/>
  <c r="G248" i="2"/>
  <c r="G231" i="2"/>
  <c r="G215" i="2"/>
  <c r="G348" i="2"/>
  <c r="G280" i="2"/>
  <c r="G259" i="2"/>
  <c r="G249" i="2"/>
  <c r="G232" i="2"/>
  <c r="G216" i="2"/>
  <c r="G250" i="2"/>
  <c r="G233" i="2"/>
  <c r="G217" i="2"/>
  <c r="G200" i="2"/>
  <c r="G251" i="2"/>
  <c r="G234" i="2"/>
  <c r="G218" i="2"/>
  <c r="G252" i="2"/>
  <c r="G235" i="2"/>
  <c r="G219" i="2"/>
  <c r="G272" i="2"/>
  <c r="G268" i="2"/>
  <c r="G253" i="2"/>
  <c r="G236" i="2"/>
  <c r="G266" i="2"/>
  <c r="G261" i="2"/>
  <c r="G254" i="2"/>
  <c r="G237" i="2"/>
  <c r="G206" i="2"/>
  <c r="G182" i="2"/>
  <c r="G166" i="2"/>
  <c r="G150" i="2"/>
  <c r="G209" i="2"/>
  <c r="G201" i="2"/>
  <c r="G183" i="2"/>
  <c r="G167" i="2"/>
  <c r="G151" i="2"/>
  <c r="G222" i="2"/>
  <c r="G220" i="2"/>
  <c r="G184" i="2"/>
  <c r="G168" i="2"/>
  <c r="G152" i="2"/>
  <c r="G221" i="2"/>
  <c r="G212" i="2"/>
  <c r="G185" i="2"/>
  <c r="G169" i="2"/>
  <c r="G153" i="2"/>
  <c r="G223" i="2"/>
  <c r="G198" i="2"/>
  <c r="G186" i="2"/>
  <c r="G170" i="2"/>
  <c r="G188" i="2"/>
  <c r="G187" i="2"/>
  <c r="G171" i="2"/>
  <c r="G155" i="2"/>
  <c r="G189" i="2"/>
  <c r="G172" i="2"/>
  <c r="G156" i="2"/>
  <c r="G140" i="2"/>
  <c r="G199" i="2"/>
  <c r="G196" i="2"/>
  <c r="G190" i="2"/>
  <c r="G173" i="2"/>
  <c r="G157" i="2"/>
  <c r="G191" i="2"/>
  <c r="G174" i="2"/>
  <c r="G158" i="2"/>
  <c r="G207" i="2"/>
  <c r="G204" i="2"/>
  <c r="G192" i="2"/>
  <c r="G175" i="2"/>
  <c r="G159" i="2"/>
  <c r="G143" i="2"/>
  <c r="G255" i="2"/>
  <c r="G203" i="2"/>
  <c r="G193" i="2"/>
  <c r="G176" i="2"/>
  <c r="G205" i="2"/>
  <c r="G202" i="2"/>
  <c r="G194" i="2"/>
  <c r="G177" i="2"/>
  <c r="G195" i="2"/>
  <c r="G178" i="2"/>
  <c r="G162" i="2"/>
  <c r="G146" i="2"/>
  <c r="G238" i="2"/>
  <c r="G179" i="2"/>
  <c r="G163" i="2"/>
  <c r="G147" i="2"/>
  <c r="G180" i="2"/>
  <c r="G164" i="2"/>
  <c r="G181" i="2"/>
  <c r="G160" i="2"/>
  <c r="G145" i="2"/>
  <c r="G118" i="2"/>
  <c r="G102" i="2"/>
  <c r="G86" i="2"/>
  <c r="G119" i="2"/>
  <c r="G103" i="2"/>
  <c r="G120" i="2"/>
  <c r="G104" i="2"/>
  <c r="G131" i="2"/>
  <c r="G121" i="2"/>
  <c r="G105" i="2"/>
  <c r="G142" i="2"/>
  <c r="G138" i="2"/>
  <c r="G122" i="2"/>
  <c r="G106" i="2"/>
  <c r="G90" i="2"/>
  <c r="G165" i="2"/>
  <c r="G141" i="2"/>
  <c r="G134" i="2"/>
  <c r="G123" i="2"/>
  <c r="G107" i="2"/>
  <c r="G161" i="2"/>
  <c r="G135" i="2"/>
  <c r="G133" i="2"/>
  <c r="G124" i="2"/>
  <c r="G108" i="2"/>
  <c r="G92" i="2"/>
  <c r="G139" i="2"/>
  <c r="G125" i="2"/>
  <c r="G109" i="2"/>
  <c r="G136" i="2"/>
  <c r="G126" i="2"/>
  <c r="G110" i="2"/>
  <c r="G94" i="2"/>
  <c r="G78" i="2"/>
  <c r="G144" i="2"/>
  <c r="G127" i="2"/>
  <c r="G111" i="2"/>
  <c r="G95" i="2"/>
  <c r="G128" i="2"/>
  <c r="G112" i="2"/>
  <c r="G96" i="2"/>
  <c r="G80" i="2"/>
  <c r="G149" i="2"/>
  <c r="G132" i="2"/>
  <c r="G129" i="2"/>
  <c r="G113" i="2"/>
  <c r="G97" i="2"/>
  <c r="G154" i="2"/>
  <c r="G114" i="2"/>
  <c r="G98" i="2"/>
  <c r="G115" i="2"/>
  <c r="G99" i="2"/>
  <c r="G148" i="2"/>
  <c r="G137" i="2"/>
  <c r="G130" i="2"/>
  <c r="G116" i="2"/>
  <c r="G100" i="2"/>
  <c r="G84" i="2"/>
  <c r="G66" i="2"/>
  <c r="G50" i="2"/>
  <c r="G34" i="2"/>
  <c r="G18" i="2"/>
  <c r="G85" i="2"/>
  <c r="G82" i="2"/>
  <c r="G70" i="2"/>
  <c r="G51" i="2"/>
  <c r="G35" i="2"/>
  <c r="G93" i="2"/>
  <c r="G73" i="2"/>
  <c r="G52" i="2"/>
  <c r="G36" i="2"/>
  <c r="G20" i="2"/>
  <c r="G88" i="2"/>
  <c r="G67" i="2"/>
  <c r="G53" i="2"/>
  <c r="G37" i="2"/>
  <c r="G54" i="2"/>
  <c r="G38" i="2"/>
  <c r="G117" i="2"/>
  <c r="G79" i="2"/>
  <c r="G72" i="2"/>
  <c r="G55" i="2"/>
  <c r="G39" i="2"/>
  <c r="G23" i="2"/>
  <c r="G56" i="2"/>
  <c r="G40" i="2"/>
  <c r="G57" i="2"/>
  <c r="G41" i="2"/>
  <c r="G25" i="2"/>
  <c r="G101" i="2"/>
  <c r="G81" i="2"/>
  <c r="G68" i="2"/>
  <c r="G58" i="2"/>
  <c r="G76" i="2"/>
  <c r="G59" i="2"/>
  <c r="G43" i="2"/>
  <c r="G83" i="2"/>
  <c r="G77" i="2"/>
  <c r="G60" i="2"/>
  <c r="G44" i="2"/>
  <c r="G28" i="2"/>
  <c r="G91" i="2"/>
  <c r="G87" i="2"/>
  <c r="G71" i="2"/>
  <c r="G61" i="2"/>
  <c r="G45" i="2"/>
  <c r="G75" i="2"/>
  <c r="G62" i="2"/>
  <c r="G46" i="2"/>
  <c r="G69" i="2"/>
  <c r="G63" i="2"/>
  <c r="G47" i="2"/>
  <c r="G31" i="2"/>
  <c r="G15" i="2"/>
  <c r="G89" i="2"/>
  <c r="G64" i="2"/>
  <c r="G48" i="2"/>
  <c r="G32" i="2"/>
  <c r="G11" i="2"/>
  <c r="G16" i="2"/>
  <c r="G30" i="2"/>
  <c r="G27" i="2"/>
  <c r="G10" i="2"/>
  <c r="G19" i="2"/>
  <c r="G17" i="2"/>
  <c r="G21" i="2"/>
  <c r="G9" i="2"/>
  <c r="G74" i="2"/>
  <c r="G65" i="2"/>
  <c r="G24" i="2"/>
  <c r="G42" i="2"/>
  <c r="G33" i="2"/>
  <c r="G49" i="2"/>
  <c r="G29" i="2"/>
  <c r="G26" i="2"/>
  <c r="G13" i="2"/>
  <c r="G12" i="2"/>
  <c r="G22" i="2"/>
  <c r="G14" i="2"/>
  <c r="C22" i="1"/>
  <c r="AS74" i="2"/>
  <c r="AS66" i="2"/>
  <c r="AS85" i="2"/>
  <c r="AS147" i="2"/>
  <c r="AS158" i="2"/>
  <c r="AS348" i="2"/>
  <c r="AS278" i="2"/>
  <c r="AS701" i="2"/>
  <c r="AG701" i="2" s="1"/>
  <c r="U701" i="2" s="1"/>
  <c r="AS1229" i="2"/>
  <c r="AS508" i="2"/>
  <c r="AS881" i="2"/>
  <c r="AS586" i="2"/>
  <c r="AS900" i="2"/>
  <c r="AS1061" i="2"/>
  <c r="AS512" i="2"/>
  <c r="AS757" i="2"/>
  <c r="AS889" i="2"/>
  <c r="AS1004" i="2"/>
  <c r="AS287" i="2"/>
  <c r="AS1223" i="2"/>
  <c r="AS1072" i="2"/>
  <c r="AS385" i="2"/>
  <c r="AS1225" i="2"/>
  <c r="AS309" i="2"/>
  <c r="AG309" i="2" s="1"/>
  <c r="U309" i="2" s="1"/>
  <c r="AS934" i="2"/>
  <c r="AS202" i="2"/>
  <c r="AS1036" i="2"/>
  <c r="AS1242" i="2"/>
  <c r="AS386" i="2"/>
  <c r="AS1145" i="2"/>
  <c r="AS818" i="2"/>
  <c r="AS710" i="2"/>
  <c r="AS963" i="2"/>
  <c r="AS1114" i="2"/>
  <c r="AS1244" i="2"/>
  <c r="AS612" i="2"/>
  <c r="AS619" i="2"/>
  <c r="AS1051" i="2"/>
  <c r="AS868" i="2"/>
  <c r="AS1067" i="2"/>
  <c r="AG1067" i="2" s="1"/>
  <c r="U1067" i="2" s="1"/>
  <c r="AS1094" i="2"/>
  <c r="AS1220" i="2"/>
  <c r="AS776" i="2"/>
  <c r="AS969" i="2"/>
  <c r="AS956" i="2"/>
  <c r="AS1038" i="2"/>
  <c r="AS566" i="2"/>
  <c r="AS80" i="2"/>
  <c r="AS230" i="2"/>
  <c r="AS651" i="2"/>
  <c r="AS310" i="2"/>
  <c r="AS449" i="2"/>
  <c r="AS714" i="2"/>
  <c r="AS167" i="2"/>
  <c r="AS442" i="2"/>
  <c r="AS558" i="2"/>
  <c r="AG558" i="2" s="1"/>
  <c r="U558" i="2" s="1"/>
  <c r="AS794" i="2"/>
  <c r="AS76" i="2"/>
  <c r="AS353" i="2"/>
  <c r="AS250" i="2"/>
  <c r="AS547" i="2"/>
  <c r="AS89" i="2"/>
  <c r="AS499" i="2"/>
  <c r="AS760" i="2"/>
  <c r="AS178" i="2"/>
  <c r="AS328" i="2"/>
  <c r="AS144" i="2"/>
  <c r="AS182" i="2"/>
  <c r="AS16" i="2"/>
  <c r="AS19" i="2"/>
  <c r="AS113" i="2"/>
  <c r="AS94" i="2"/>
  <c r="AG94" i="2" s="1"/>
  <c r="U94" i="2" s="1"/>
  <c r="AS517" i="2"/>
  <c r="AS756" i="2"/>
  <c r="AS951" i="2"/>
  <c r="AR286" i="2"/>
  <c r="AR398" i="2"/>
  <c r="AR788" i="2"/>
  <c r="AR480" i="2"/>
  <c r="AR811" i="2"/>
  <c r="AR469" i="2"/>
  <c r="AR722" i="2"/>
  <c r="AR269" i="2"/>
  <c r="AR82" i="2"/>
  <c r="AR42" i="2"/>
  <c r="AR133" i="2"/>
  <c r="AR721" i="2"/>
  <c r="AR454" i="2"/>
  <c r="AF454" i="2" s="1"/>
  <c r="T454" i="2" s="1"/>
  <c r="AR1237" i="2"/>
  <c r="AR213" i="2"/>
  <c r="AR1035" i="2"/>
  <c r="AR922" i="2"/>
  <c r="AR281" i="2"/>
  <c r="AR1255" i="2"/>
  <c r="AR1260" i="2"/>
  <c r="AR1014" i="2"/>
  <c r="AR675" i="2"/>
  <c r="AR1096" i="2"/>
  <c r="AR810" i="2"/>
  <c r="AR1222" i="2"/>
  <c r="AR889" i="2"/>
  <c r="AR789" i="2"/>
  <c r="AR621" i="2"/>
  <c r="AR151" i="2"/>
  <c r="AR975" i="2"/>
  <c r="AR598" i="2"/>
  <c r="AR333" i="2"/>
  <c r="AR1205" i="2"/>
  <c r="AR724" i="2"/>
  <c r="AR838" i="2"/>
  <c r="AR670" i="2"/>
  <c r="AR914" i="2"/>
  <c r="AR178" i="2"/>
  <c r="AR1063" i="2"/>
  <c r="AR582" i="2"/>
  <c r="AR525" i="2"/>
  <c r="AR921" i="2"/>
  <c r="AR1220" i="2"/>
  <c r="AR666" i="2"/>
  <c r="AR845" i="2"/>
  <c r="AF845" i="2" s="1"/>
  <c r="T845" i="2" s="1"/>
  <c r="AR405" i="2"/>
  <c r="AR769" i="2"/>
  <c r="AR1153" i="2"/>
  <c r="AR962" i="2"/>
  <c r="AR340" i="2"/>
  <c r="AR992" i="2"/>
  <c r="AR863" i="2"/>
  <c r="AR966" i="2"/>
  <c r="AR783" i="2"/>
  <c r="AR482" i="2"/>
  <c r="AR345" i="2"/>
  <c r="AR994" i="2"/>
  <c r="AR948" i="2"/>
  <c r="AR823" i="2"/>
  <c r="AR694" i="2"/>
  <c r="AR631" i="2"/>
  <c r="AF631" i="2" s="1"/>
  <c r="T631" i="2" s="1"/>
  <c r="AR736" i="2"/>
  <c r="AR791" i="2"/>
  <c r="AR223" i="2"/>
  <c r="AR773" i="2"/>
  <c r="AR110" i="2"/>
  <c r="AR359" i="2"/>
  <c r="AR821" i="2"/>
  <c r="AR254" i="2"/>
  <c r="AR713" i="2"/>
  <c r="AR293" i="2"/>
  <c r="AR436" i="2"/>
  <c r="AR356" i="2"/>
  <c r="AR477" i="2"/>
  <c r="AR23" i="2"/>
  <c r="AR123" i="2"/>
  <c r="AR50" i="2"/>
  <c r="AF50" i="2" s="1"/>
  <c r="T50" i="2" s="1"/>
  <c r="AR111" i="2"/>
  <c r="AR136" i="2"/>
  <c r="AE1268" i="2"/>
  <c r="S1268" i="2" s="1"/>
  <c r="AE1271" i="2"/>
  <c r="S1271" i="2" s="1"/>
  <c r="AE1266" i="2"/>
  <c r="S1266" i="2" s="1"/>
  <c r="AE1254" i="2"/>
  <c r="S1254" i="2" s="1"/>
  <c r="AE1273" i="2"/>
  <c r="S1273" i="2" s="1"/>
  <c r="AE1258" i="2"/>
  <c r="S1258" i="2" s="1"/>
  <c r="AE1269" i="2"/>
  <c r="S1269" i="2" s="1"/>
  <c r="AE1267" i="2"/>
  <c r="S1267" i="2" s="1"/>
  <c r="AE1264" i="2"/>
  <c r="S1264" i="2" s="1"/>
  <c r="AE1252" i="2"/>
  <c r="S1252" i="2" s="1"/>
  <c r="AE1265" i="2"/>
  <c r="S1265" i="2" s="1"/>
  <c r="AE1256" i="2"/>
  <c r="S1256" i="2" s="1"/>
  <c r="AE1257" i="2"/>
  <c r="S1257" i="2" s="1"/>
  <c r="AE1255" i="2"/>
  <c r="S1255" i="2" s="1"/>
  <c r="AE1261" i="2"/>
  <c r="S1261" i="2" s="1"/>
  <c r="AE1243" i="2"/>
  <c r="S1243" i="2" s="1"/>
  <c r="AE1260" i="2"/>
  <c r="S1260" i="2" s="1"/>
  <c r="AE1246" i="2"/>
  <c r="S1246" i="2" s="1"/>
  <c r="AE1239" i="2"/>
  <c r="S1239" i="2" s="1"/>
  <c r="AE1231" i="2"/>
  <c r="S1231" i="2" s="1"/>
  <c r="AE1251" i="2"/>
  <c r="S1251" i="2" s="1"/>
  <c r="AE1232" i="2"/>
  <c r="S1232" i="2" s="1"/>
  <c r="AE1242" i="2"/>
  <c r="S1242" i="2" s="1"/>
  <c r="AE1250" i="2"/>
  <c r="S1250" i="2" s="1"/>
  <c r="AE1216" i="2"/>
  <c r="S1216" i="2" s="1"/>
  <c r="AE1200" i="2"/>
  <c r="S1200" i="2" s="1"/>
  <c r="AE1233" i="2"/>
  <c r="S1233" i="2" s="1"/>
  <c r="AE1238" i="2"/>
  <c r="S1238" i="2" s="1"/>
  <c r="AE1230" i="2"/>
  <c r="S1230" i="2" s="1"/>
  <c r="AE1223" i="2"/>
  <c r="S1223" i="2" s="1"/>
  <c r="AE1207" i="2"/>
  <c r="S1207" i="2" s="1"/>
  <c r="AE1235" i="2"/>
  <c r="S1235" i="2" s="1"/>
  <c r="AE1240" i="2"/>
  <c r="S1240" i="2" s="1"/>
  <c r="AE1247" i="2"/>
  <c r="S1247" i="2" s="1"/>
  <c r="AE1228" i="2"/>
  <c r="S1228" i="2" s="1"/>
  <c r="AE1225" i="2"/>
  <c r="S1225" i="2" s="1"/>
  <c r="AE1218" i="2"/>
  <c r="S1218" i="2" s="1"/>
  <c r="AE1237" i="2"/>
  <c r="S1237" i="2" s="1"/>
  <c r="AE1219" i="2"/>
  <c r="S1219" i="2" s="1"/>
  <c r="AE1214" i="2"/>
  <c r="S1214" i="2" s="1"/>
  <c r="AE1226" i="2"/>
  <c r="S1226" i="2" s="1"/>
  <c r="AE1210" i="2"/>
  <c r="S1210" i="2" s="1"/>
  <c r="AE1222" i="2"/>
  <c r="S1222" i="2" s="1"/>
  <c r="AE1208" i="2"/>
  <c r="S1208" i="2" s="1"/>
  <c r="AE1215" i="2"/>
  <c r="S1215" i="2" s="1"/>
  <c r="AE1186" i="2"/>
  <c r="S1186" i="2" s="1"/>
  <c r="AE1221" i="2"/>
  <c r="S1221" i="2" s="1"/>
  <c r="AE1206" i="2"/>
  <c r="S1206" i="2" s="1"/>
  <c r="AE1178" i="2"/>
  <c r="S1178" i="2" s="1"/>
  <c r="AE1190" i="2"/>
  <c r="S1190" i="2" s="1"/>
  <c r="AE1209" i="2"/>
  <c r="S1209" i="2" s="1"/>
  <c r="AE1193" i="2"/>
  <c r="S1193" i="2" s="1"/>
  <c r="AE1187" i="2"/>
  <c r="S1187" i="2" s="1"/>
  <c r="AE1182" i="2"/>
  <c r="S1182" i="2" s="1"/>
  <c r="AE1202" i="2"/>
  <c r="S1202" i="2" s="1"/>
  <c r="AE1197" i="2"/>
  <c r="S1197" i="2" s="1"/>
  <c r="AE1184" i="2"/>
  <c r="S1184" i="2" s="1"/>
  <c r="AE1204" i="2"/>
  <c r="S1204" i="2" s="1"/>
  <c r="AE1213" i="2"/>
  <c r="S1213" i="2" s="1"/>
  <c r="AE1170" i="2"/>
  <c r="S1170" i="2" s="1"/>
  <c r="AE1172" i="2"/>
  <c r="S1172" i="2" s="1"/>
  <c r="AE1220" i="2"/>
  <c r="S1220" i="2" s="1"/>
  <c r="AE1180" i="2"/>
  <c r="S1180" i="2" s="1"/>
  <c r="AE1173" i="2"/>
  <c r="S1173" i="2" s="1"/>
  <c r="AE1163" i="2"/>
  <c r="S1163" i="2" s="1"/>
  <c r="AE1192" i="2"/>
  <c r="S1192" i="2" s="1"/>
  <c r="AE1179" i="2"/>
  <c r="S1179" i="2" s="1"/>
  <c r="AE1167" i="2"/>
  <c r="S1167" i="2" s="1"/>
  <c r="AE1151" i="2"/>
  <c r="S1151" i="2" s="1"/>
  <c r="AE1168" i="2"/>
  <c r="S1168" i="2" s="1"/>
  <c r="AE1198" i="2"/>
  <c r="S1198" i="2" s="1"/>
  <c r="AE1153" i="2"/>
  <c r="S1153" i="2" s="1"/>
  <c r="AE1201" i="2"/>
  <c r="S1201" i="2" s="1"/>
  <c r="AE1177" i="2"/>
  <c r="S1177" i="2" s="1"/>
  <c r="AE1191" i="2"/>
  <c r="S1191" i="2" s="1"/>
  <c r="AE1176" i="2"/>
  <c r="S1176" i="2" s="1"/>
  <c r="AE1185" i="2"/>
  <c r="S1185" i="2" s="1"/>
  <c r="AE1199" i="2"/>
  <c r="S1199" i="2" s="1"/>
  <c r="AE1169" i="2"/>
  <c r="S1169" i="2" s="1"/>
  <c r="AE1148" i="2"/>
  <c r="S1148" i="2" s="1"/>
  <c r="AE1154" i="2"/>
  <c r="S1154" i="2" s="1"/>
  <c r="AE1162" i="2"/>
  <c r="S1162" i="2" s="1"/>
  <c r="AE1150" i="2"/>
  <c r="S1150" i="2" s="1"/>
  <c r="AE1174" i="2"/>
  <c r="S1174" i="2" s="1"/>
  <c r="AE1166" i="2"/>
  <c r="S1166" i="2" s="1"/>
  <c r="AE1175" i="2"/>
  <c r="S1175" i="2" s="1"/>
  <c r="AE1137" i="2"/>
  <c r="S1137" i="2" s="1"/>
  <c r="AE1121" i="2"/>
  <c r="S1121" i="2" s="1"/>
  <c r="AE1138" i="2"/>
  <c r="S1138" i="2" s="1"/>
  <c r="AE1139" i="2"/>
  <c r="S1139" i="2" s="1"/>
  <c r="AE1123" i="2"/>
  <c r="S1123" i="2" s="1"/>
  <c r="AE1140" i="2"/>
  <c r="S1140" i="2" s="1"/>
  <c r="AE1124" i="2"/>
  <c r="S1124" i="2" s="1"/>
  <c r="AE1141" i="2"/>
  <c r="S1141" i="2" s="1"/>
  <c r="AE1125" i="2"/>
  <c r="S1125" i="2" s="1"/>
  <c r="AE1142" i="2"/>
  <c r="S1142" i="2" s="1"/>
  <c r="AE1144" i="2"/>
  <c r="S1144" i="2" s="1"/>
  <c r="AE1145" i="2"/>
  <c r="S1145" i="2" s="1"/>
  <c r="AE1129" i="2"/>
  <c r="S1129" i="2" s="1"/>
  <c r="AE1146" i="2"/>
  <c r="S1146" i="2" s="1"/>
  <c r="AE1114" i="2"/>
  <c r="S1114" i="2" s="1"/>
  <c r="AE1152" i="2"/>
  <c r="S1152" i="2" s="1"/>
  <c r="AE1132" i="2"/>
  <c r="S1132" i="2" s="1"/>
  <c r="AE1116" i="2"/>
  <c r="S1116" i="2" s="1"/>
  <c r="AE1160" i="2"/>
  <c r="S1160" i="2" s="1"/>
  <c r="AE1147" i="2"/>
  <c r="S1147" i="2" s="1"/>
  <c r="AE1133" i="2"/>
  <c r="S1133" i="2" s="1"/>
  <c r="AE1117" i="2"/>
  <c r="S1117" i="2" s="1"/>
  <c r="AE1155" i="2"/>
  <c r="S1155" i="2" s="1"/>
  <c r="AE1161" i="2"/>
  <c r="S1161" i="2" s="1"/>
  <c r="AE1120" i="2"/>
  <c r="S1120" i="2" s="1"/>
  <c r="AE1100" i="2"/>
  <c r="S1100" i="2" s="1"/>
  <c r="AE1101" i="2"/>
  <c r="S1101" i="2" s="1"/>
  <c r="AE1102" i="2"/>
  <c r="S1102" i="2" s="1"/>
  <c r="AE1103" i="2"/>
  <c r="S1103" i="2" s="1"/>
  <c r="AE1104" i="2"/>
  <c r="S1104" i="2" s="1"/>
  <c r="AE1115" i="2"/>
  <c r="S1115" i="2" s="1"/>
  <c r="AE1105" i="2"/>
  <c r="S1105" i="2" s="1"/>
  <c r="AE1165" i="2"/>
  <c r="S1165" i="2" s="1"/>
  <c r="AE1136" i="2"/>
  <c r="S1136" i="2" s="1"/>
  <c r="AE1106" i="2"/>
  <c r="S1106" i="2" s="1"/>
  <c r="AE1156" i="2"/>
  <c r="S1156" i="2" s="1"/>
  <c r="AE1135" i="2"/>
  <c r="S1135" i="2" s="1"/>
  <c r="AE1122" i="2"/>
  <c r="S1122" i="2" s="1"/>
  <c r="AE1092" i="2"/>
  <c r="S1092" i="2" s="1"/>
  <c r="AE1109" i="2"/>
  <c r="S1109" i="2" s="1"/>
  <c r="AE1113" i="2"/>
  <c r="S1113" i="2" s="1"/>
  <c r="AE1097" i="2"/>
  <c r="S1097" i="2" s="1"/>
  <c r="AE1083" i="2"/>
  <c r="S1083" i="2" s="1"/>
  <c r="AE1084" i="2"/>
  <c r="S1084" i="2" s="1"/>
  <c r="AE1094" i="2"/>
  <c r="S1094" i="2" s="1"/>
  <c r="AE1085" i="2"/>
  <c r="S1085" i="2" s="1"/>
  <c r="AE1111" i="2"/>
  <c r="S1111" i="2" s="1"/>
  <c r="AE1071" i="2"/>
  <c r="S1071" i="2" s="1"/>
  <c r="AE1119" i="2"/>
  <c r="S1119" i="2" s="1"/>
  <c r="AE1099" i="2"/>
  <c r="S1099" i="2" s="1"/>
  <c r="AE1074" i="2"/>
  <c r="S1074" i="2" s="1"/>
  <c r="AE1075" i="2"/>
  <c r="S1075" i="2" s="1"/>
  <c r="AE1076" i="2"/>
  <c r="S1076" i="2" s="1"/>
  <c r="AE1093" i="2"/>
  <c r="S1093" i="2" s="1"/>
  <c r="AE1089" i="2"/>
  <c r="S1089" i="2" s="1"/>
  <c r="AE1095" i="2"/>
  <c r="S1095" i="2" s="1"/>
  <c r="AE1078" i="2"/>
  <c r="S1078" i="2" s="1"/>
  <c r="AE1098" i="2"/>
  <c r="S1098" i="2" s="1"/>
  <c r="AE1096" i="2"/>
  <c r="S1096" i="2" s="1"/>
  <c r="AE1079" i="2"/>
  <c r="S1079" i="2" s="1"/>
  <c r="AE1064" i="2"/>
  <c r="S1064" i="2" s="1"/>
  <c r="AE1050" i="2"/>
  <c r="S1050" i="2" s="1"/>
  <c r="AE1072" i="2"/>
  <c r="S1072" i="2" s="1"/>
  <c r="AE1073" i="2"/>
  <c r="S1073" i="2" s="1"/>
  <c r="AE1065" i="2"/>
  <c r="S1065" i="2" s="1"/>
  <c r="AE1053" i="2"/>
  <c r="S1053" i="2" s="1"/>
  <c r="AE1068" i="2"/>
  <c r="S1068" i="2" s="1"/>
  <c r="AE1054" i="2"/>
  <c r="S1054" i="2" s="1"/>
  <c r="AE1081" i="2"/>
  <c r="S1081" i="2" s="1"/>
  <c r="AE1080" i="2"/>
  <c r="S1080" i="2" s="1"/>
  <c r="AE1055" i="2"/>
  <c r="S1055" i="2" s="1"/>
  <c r="AE1082" i="2"/>
  <c r="S1082" i="2" s="1"/>
  <c r="AE1066" i="2"/>
  <c r="S1066" i="2" s="1"/>
  <c r="AE1058" i="2"/>
  <c r="S1058" i="2" s="1"/>
  <c r="AE1063" i="2"/>
  <c r="S1063" i="2" s="1"/>
  <c r="AE1060" i="2"/>
  <c r="S1060" i="2" s="1"/>
  <c r="AE1091" i="2"/>
  <c r="S1091" i="2" s="1"/>
  <c r="AE1046" i="2"/>
  <c r="S1046" i="2" s="1"/>
  <c r="AE1023" i="2"/>
  <c r="S1023" i="2" s="1"/>
  <c r="AE1024" i="2"/>
  <c r="S1024" i="2" s="1"/>
  <c r="AE1067" i="2"/>
  <c r="S1067" i="2" s="1"/>
  <c r="AE1051" i="2"/>
  <c r="S1051" i="2" s="1"/>
  <c r="AE1048" i="2"/>
  <c r="S1048" i="2" s="1"/>
  <c r="AE1061" i="2"/>
  <c r="S1061" i="2" s="1"/>
  <c r="AE1044" i="2"/>
  <c r="S1044" i="2" s="1"/>
  <c r="AE1030" i="2"/>
  <c r="S1030" i="2" s="1"/>
  <c r="AE1059" i="2"/>
  <c r="S1059" i="2" s="1"/>
  <c r="AE1043" i="2"/>
  <c r="S1043" i="2" s="1"/>
  <c r="AE1049" i="2"/>
  <c r="S1049" i="2" s="1"/>
  <c r="AE1045" i="2"/>
  <c r="S1045" i="2" s="1"/>
  <c r="AE1040" i="2"/>
  <c r="S1040" i="2" s="1"/>
  <c r="AE1033" i="2"/>
  <c r="S1033" i="2" s="1"/>
  <c r="AE1034" i="2"/>
  <c r="S1034" i="2" s="1"/>
  <c r="AE1018" i="2"/>
  <c r="S1018" i="2" s="1"/>
  <c r="AE1035" i="2"/>
  <c r="S1035" i="2" s="1"/>
  <c r="AE1042" i="2"/>
  <c r="S1042" i="2" s="1"/>
  <c r="AE1036" i="2"/>
  <c r="S1036" i="2" s="1"/>
  <c r="AE1037" i="2"/>
  <c r="S1037" i="2" s="1"/>
  <c r="AE1026" i="2"/>
  <c r="S1026" i="2" s="1"/>
  <c r="AE1041" i="2"/>
  <c r="S1041" i="2" s="1"/>
  <c r="AE1015" i="2"/>
  <c r="S1015" i="2" s="1"/>
  <c r="AE1006" i="2"/>
  <c r="S1006" i="2" s="1"/>
  <c r="AE1027" i="2"/>
  <c r="S1027" i="2" s="1"/>
  <c r="AE1010" i="2"/>
  <c r="S1010" i="2" s="1"/>
  <c r="AE1021" i="2"/>
  <c r="S1021" i="2" s="1"/>
  <c r="AE1020" i="2"/>
  <c r="S1020" i="2" s="1"/>
  <c r="AE1012" i="2"/>
  <c r="S1012" i="2" s="1"/>
  <c r="AE1032" i="2"/>
  <c r="S1032" i="2" s="1"/>
  <c r="AE1013" i="2"/>
  <c r="S1013" i="2" s="1"/>
  <c r="AE1022" i="2"/>
  <c r="S1022" i="2" s="1"/>
  <c r="AE1019" i="2"/>
  <c r="S1019" i="2" s="1"/>
  <c r="AE1014" i="2"/>
  <c r="S1014" i="2" s="1"/>
  <c r="AE1001" i="2"/>
  <c r="S1001" i="2" s="1"/>
  <c r="AE989" i="2"/>
  <c r="S989" i="2" s="1"/>
  <c r="AE973" i="2"/>
  <c r="S973" i="2" s="1"/>
  <c r="AE990" i="2"/>
  <c r="S990" i="2" s="1"/>
  <c r="AE991" i="2"/>
  <c r="S991" i="2" s="1"/>
  <c r="AE992" i="2"/>
  <c r="S992" i="2" s="1"/>
  <c r="AE976" i="2"/>
  <c r="S976" i="2" s="1"/>
  <c r="AE994" i="2"/>
  <c r="S994" i="2" s="1"/>
  <c r="AE978" i="2"/>
  <c r="S978" i="2" s="1"/>
  <c r="AE1000" i="2"/>
  <c r="S1000" i="2" s="1"/>
  <c r="AE995" i="2"/>
  <c r="S995" i="2" s="1"/>
  <c r="AE996" i="2"/>
  <c r="S996" i="2" s="1"/>
  <c r="AE982" i="2"/>
  <c r="S982" i="2" s="1"/>
  <c r="AE984" i="2"/>
  <c r="S984" i="2" s="1"/>
  <c r="AE968" i="2"/>
  <c r="S968" i="2" s="1"/>
  <c r="AE1008" i="2"/>
  <c r="S1008" i="2" s="1"/>
  <c r="AE999" i="2"/>
  <c r="S999" i="2" s="1"/>
  <c r="AE971" i="2"/>
  <c r="S971" i="2" s="1"/>
  <c r="AE967" i="2"/>
  <c r="S967" i="2" s="1"/>
  <c r="AE953" i="2"/>
  <c r="S953" i="2" s="1"/>
  <c r="AE954" i="2"/>
  <c r="S954" i="2" s="1"/>
  <c r="AE955" i="2"/>
  <c r="S955" i="2" s="1"/>
  <c r="AE956" i="2"/>
  <c r="S956" i="2" s="1"/>
  <c r="AE957" i="2"/>
  <c r="S957" i="2" s="1"/>
  <c r="AE941" i="2"/>
  <c r="S941" i="2" s="1"/>
  <c r="AE988" i="2"/>
  <c r="S988" i="2" s="1"/>
  <c r="AE986" i="2"/>
  <c r="S986" i="2" s="1"/>
  <c r="AE958" i="2"/>
  <c r="S958" i="2" s="1"/>
  <c r="AE942" i="2"/>
  <c r="S942" i="2" s="1"/>
  <c r="AE997" i="2"/>
  <c r="S997" i="2" s="1"/>
  <c r="AE944" i="2"/>
  <c r="S944" i="2" s="1"/>
  <c r="AE981" i="2"/>
  <c r="S981" i="2" s="1"/>
  <c r="AE946" i="2"/>
  <c r="S946" i="2" s="1"/>
  <c r="AE974" i="2"/>
  <c r="S974" i="2" s="1"/>
  <c r="AE963" i="2"/>
  <c r="S963" i="2" s="1"/>
  <c r="AE947" i="2"/>
  <c r="S947" i="2" s="1"/>
  <c r="AE964" i="2"/>
  <c r="S964" i="2" s="1"/>
  <c r="AE948" i="2"/>
  <c r="S948" i="2" s="1"/>
  <c r="AE977" i="2"/>
  <c r="S977" i="2" s="1"/>
  <c r="AE965" i="2"/>
  <c r="S965" i="2" s="1"/>
  <c r="AE931" i="2"/>
  <c r="S931" i="2" s="1"/>
  <c r="AE940" i="2"/>
  <c r="S940" i="2" s="1"/>
  <c r="AE932" i="2"/>
  <c r="S932" i="2" s="1"/>
  <c r="AE916" i="2"/>
  <c r="S916" i="2" s="1"/>
  <c r="AE950" i="2"/>
  <c r="S950" i="2" s="1"/>
  <c r="AE933" i="2"/>
  <c r="S933" i="2" s="1"/>
  <c r="AE934" i="2"/>
  <c r="S934" i="2" s="1"/>
  <c r="AE943" i="2"/>
  <c r="S943" i="2" s="1"/>
  <c r="AE951" i="2"/>
  <c r="S951" i="2" s="1"/>
  <c r="AE945" i="2"/>
  <c r="S945" i="2" s="1"/>
  <c r="AE935" i="2"/>
  <c r="S935" i="2" s="1"/>
  <c r="AE923" i="2"/>
  <c r="S923" i="2" s="1"/>
  <c r="AE924" i="2"/>
  <c r="S924" i="2" s="1"/>
  <c r="AE936" i="2"/>
  <c r="S936" i="2" s="1"/>
  <c r="AE928" i="2"/>
  <c r="S928" i="2" s="1"/>
  <c r="AE913" i="2"/>
  <c r="S913" i="2" s="1"/>
  <c r="AE925" i="2"/>
  <c r="S925" i="2" s="1"/>
  <c r="AE900" i="2"/>
  <c r="S900" i="2" s="1"/>
  <c r="AE921" i="2"/>
  <c r="S921" i="2" s="1"/>
  <c r="AE926" i="2"/>
  <c r="S926" i="2" s="1"/>
  <c r="AE912" i="2"/>
  <c r="S912" i="2" s="1"/>
  <c r="AE909" i="2"/>
  <c r="S909" i="2" s="1"/>
  <c r="AE927" i="2"/>
  <c r="S927" i="2" s="1"/>
  <c r="AE904" i="2"/>
  <c r="S904" i="2" s="1"/>
  <c r="AE888" i="2"/>
  <c r="S888" i="2" s="1"/>
  <c r="AE905" i="2"/>
  <c r="S905" i="2" s="1"/>
  <c r="AE906" i="2"/>
  <c r="S906" i="2" s="1"/>
  <c r="AE890" i="2"/>
  <c r="S890" i="2" s="1"/>
  <c r="AE892" i="2"/>
  <c r="S892" i="2" s="1"/>
  <c r="AE915" i="2"/>
  <c r="S915" i="2" s="1"/>
  <c r="AE894" i="2"/>
  <c r="S894" i="2" s="1"/>
  <c r="AE895" i="2"/>
  <c r="S895" i="2" s="1"/>
  <c r="AE896" i="2"/>
  <c r="S896" i="2" s="1"/>
  <c r="AE880" i="2"/>
  <c r="S880" i="2" s="1"/>
  <c r="AE879" i="2"/>
  <c r="S879" i="2" s="1"/>
  <c r="AE865" i="2"/>
  <c r="S865" i="2" s="1"/>
  <c r="AE866" i="2"/>
  <c r="S866" i="2" s="1"/>
  <c r="AE907" i="2"/>
  <c r="S907" i="2" s="1"/>
  <c r="AE898" i="2"/>
  <c r="S898" i="2" s="1"/>
  <c r="AE891" i="2"/>
  <c r="S891" i="2" s="1"/>
  <c r="AE889" i="2"/>
  <c r="S889" i="2" s="1"/>
  <c r="AE893" i="2"/>
  <c r="S893" i="2" s="1"/>
  <c r="AE870" i="2"/>
  <c r="S870" i="2" s="1"/>
  <c r="AE887" i="2"/>
  <c r="S887" i="2" s="1"/>
  <c r="AE872" i="2"/>
  <c r="S872" i="2" s="1"/>
  <c r="AE856" i="2"/>
  <c r="S856" i="2" s="1"/>
  <c r="AE884" i="2"/>
  <c r="S884" i="2" s="1"/>
  <c r="AE881" i="2"/>
  <c r="S881" i="2" s="1"/>
  <c r="AE875" i="2"/>
  <c r="S875" i="2" s="1"/>
  <c r="AE859" i="2"/>
  <c r="S859" i="2" s="1"/>
  <c r="AE876" i="2"/>
  <c r="S876" i="2" s="1"/>
  <c r="AE902" i="2"/>
  <c r="S902" i="2" s="1"/>
  <c r="AE855" i="2"/>
  <c r="S855" i="2" s="1"/>
  <c r="AE841" i="2"/>
  <c r="S841" i="2" s="1"/>
  <c r="AE842" i="2"/>
  <c r="S842" i="2" s="1"/>
  <c r="AE825" i="2"/>
  <c r="S825" i="2" s="1"/>
  <c r="AE873" i="2"/>
  <c r="S873" i="2" s="1"/>
  <c r="AE868" i="2"/>
  <c r="S868" i="2" s="1"/>
  <c r="AE843" i="2"/>
  <c r="S843" i="2" s="1"/>
  <c r="AE845" i="2"/>
  <c r="S845" i="2" s="1"/>
  <c r="AE878" i="2"/>
  <c r="S878" i="2" s="1"/>
  <c r="AE858" i="2"/>
  <c r="S858" i="2" s="1"/>
  <c r="AE847" i="2"/>
  <c r="S847" i="2" s="1"/>
  <c r="AE848" i="2"/>
  <c r="S848" i="2" s="1"/>
  <c r="AE832" i="2"/>
  <c r="S832" i="2" s="1"/>
  <c r="AE877" i="2"/>
  <c r="S877" i="2" s="1"/>
  <c r="AE849" i="2"/>
  <c r="S849" i="2" s="1"/>
  <c r="AE867" i="2"/>
  <c r="S867" i="2" s="1"/>
  <c r="AE851" i="2"/>
  <c r="S851" i="2" s="1"/>
  <c r="AE862" i="2"/>
  <c r="S862" i="2" s="1"/>
  <c r="AE857" i="2"/>
  <c r="S857" i="2" s="1"/>
  <c r="AE853" i="2"/>
  <c r="S853" i="2" s="1"/>
  <c r="AE886" i="2"/>
  <c r="S886" i="2" s="1"/>
  <c r="AE885" i="2"/>
  <c r="S885" i="2" s="1"/>
  <c r="AE861" i="2"/>
  <c r="S861" i="2" s="1"/>
  <c r="AE863" i="2"/>
  <c r="S863" i="2" s="1"/>
  <c r="AE830" i="2"/>
  <c r="S830" i="2" s="1"/>
  <c r="AE819" i="2"/>
  <c r="S819" i="2" s="1"/>
  <c r="AE803" i="2"/>
  <c r="S803" i="2" s="1"/>
  <c r="AE835" i="2"/>
  <c r="S835" i="2" s="1"/>
  <c r="AE827" i="2"/>
  <c r="S827" i="2" s="1"/>
  <c r="AE820" i="2"/>
  <c r="S820" i="2" s="1"/>
  <c r="AE804" i="2"/>
  <c r="S804" i="2" s="1"/>
  <c r="AE821" i="2"/>
  <c r="S821" i="2" s="1"/>
  <c r="AE805" i="2"/>
  <c r="S805" i="2" s="1"/>
  <c r="AE822" i="2"/>
  <c r="S822" i="2" s="1"/>
  <c r="AE834" i="2"/>
  <c r="S834" i="2" s="1"/>
  <c r="AE823" i="2"/>
  <c r="S823" i="2" s="1"/>
  <c r="AE807" i="2"/>
  <c r="S807" i="2" s="1"/>
  <c r="AE854" i="2"/>
  <c r="S854" i="2" s="1"/>
  <c r="AE824" i="2"/>
  <c r="S824" i="2" s="1"/>
  <c r="AE808" i="2"/>
  <c r="S808" i="2" s="1"/>
  <c r="AE792" i="2"/>
  <c r="S792" i="2" s="1"/>
  <c r="AE828" i="2"/>
  <c r="S828" i="2" s="1"/>
  <c r="AE846" i="2"/>
  <c r="S846" i="2" s="1"/>
  <c r="AE810" i="2"/>
  <c r="S810" i="2" s="1"/>
  <c r="AE833" i="2"/>
  <c r="S833" i="2" s="1"/>
  <c r="AE811" i="2"/>
  <c r="S811" i="2" s="1"/>
  <c r="AE795" i="2"/>
  <c r="S795" i="2" s="1"/>
  <c r="AE812" i="2"/>
  <c r="S812" i="2" s="1"/>
  <c r="AE852" i="2"/>
  <c r="S852" i="2" s="1"/>
  <c r="AE829" i="2"/>
  <c r="S829" i="2" s="1"/>
  <c r="AE813" i="2"/>
  <c r="S813" i="2" s="1"/>
  <c r="AE797" i="2"/>
  <c r="S797" i="2" s="1"/>
  <c r="AE814" i="2"/>
  <c r="S814" i="2" s="1"/>
  <c r="AE838" i="2"/>
  <c r="S838" i="2" s="1"/>
  <c r="AE837" i="2"/>
  <c r="S837" i="2" s="1"/>
  <c r="AE815" i="2"/>
  <c r="S815" i="2" s="1"/>
  <c r="AE826" i="2"/>
  <c r="S826" i="2" s="1"/>
  <c r="AE817" i="2"/>
  <c r="S817" i="2" s="1"/>
  <c r="AE799" i="2"/>
  <c r="S799" i="2" s="1"/>
  <c r="AE794" i="2"/>
  <c r="S794" i="2" s="1"/>
  <c r="AE778" i="2"/>
  <c r="S778" i="2" s="1"/>
  <c r="AE762" i="2"/>
  <c r="S762" i="2" s="1"/>
  <c r="AE779" i="2"/>
  <c r="S779" i="2" s="1"/>
  <c r="AE746" i="2"/>
  <c r="S746" i="2" s="1"/>
  <c r="AE780" i="2"/>
  <c r="S780" i="2" s="1"/>
  <c r="AE764" i="2"/>
  <c r="S764" i="2" s="1"/>
  <c r="AE781" i="2"/>
  <c r="S781" i="2" s="1"/>
  <c r="AE782" i="2"/>
  <c r="S782" i="2" s="1"/>
  <c r="AE749" i="2"/>
  <c r="S749" i="2" s="1"/>
  <c r="AE783" i="2"/>
  <c r="S783" i="2" s="1"/>
  <c r="AE767" i="2"/>
  <c r="S767" i="2" s="1"/>
  <c r="AE809" i="2"/>
  <c r="S809" i="2" s="1"/>
  <c r="AE802" i="2"/>
  <c r="S802" i="2" s="1"/>
  <c r="AE768" i="2"/>
  <c r="S768" i="2" s="1"/>
  <c r="AE751" i="2"/>
  <c r="S751" i="2" s="1"/>
  <c r="AE785" i="2"/>
  <c r="S785" i="2" s="1"/>
  <c r="AE752" i="2"/>
  <c r="S752" i="2" s="1"/>
  <c r="AE816" i="2"/>
  <c r="S816" i="2" s="1"/>
  <c r="AE786" i="2"/>
  <c r="S786" i="2" s="1"/>
  <c r="AE770" i="2"/>
  <c r="S770" i="2" s="1"/>
  <c r="AE771" i="2"/>
  <c r="S771" i="2" s="1"/>
  <c r="AE754" i="2"/>
  <c r="S754" i="2" s="1"/>
  <c r="AE788" i="2"/>
  <c r="S788" i="2" s="1"/>
  <c r="AE772" i="2"/>
  <c r="S772" i="2" s="1"/>
  <c r="AE796" i="2"/>
  <c r="S796" i="2" s="1"/>
  <c r="AE790" i="2"/>
  <c r="S790" i="2" s="1"/>
  <c r="AE775" i="2"/>
  <c r="S775" i="2" s="1"/>
  <c r="AE806" i="2"/>
  <c r="S806" i="2" s="1"/>
  <c r="AE798" i="2"/>
  <c r="S798" i="2" s="1"/>
  <c r="AE776" i="2"/>
  <c r="S776" i="2" s="1"/>
  <c r="AE760" i="2"/>
  <c r="S760" i="2" s="1"/>
  <c r="AE727" i="2"/>
  <c r="S727" i="2" s="1"/>
  <c r="AE711" i="2"/>
  <c r="S711" i="2" s="1"/>
  <c r="AE777" i="2"/>
  <c r="S777" i="2" s="1"/>
  <c r="AE773" i="2"/>
  <c r="S773" i="2" s="1"/>
  <c r="AE753" i="2"/>
  <c r="S753" i="2" s="1"/>
  <c r="AE729" i="2"/>
  <c r="S729" i="2" s="1"/>
  <c r="AE712" i="2"/>
  <c r="S712" i="2" s="1"/>
  <c r="AE742" i="2"/>
  <c r="S742" i="2" s="1"/>
  <c r="AE744" i="2"/>
  <c r="S744" i="2" s="1"/>
  <c r="AE731" i="2"/>
  <c r="S731" i="2" s="1"/>
  <c r="AE732" i="2"/>
  <c r="S732" i="2" s="1"/>
  <c r="AE735" i="2"/>
  <c r="S735" i="2" s="1"/>
  <c r="AE734" i="2"/>
  <c r="S734" i="2" s="1"/>
  <c r="AE761" i="2"/>
  <c r="S761" i="2" s="1"/>
  <c r="AE757" i="2"/>
  <c r="S757" i="2" s="1"/>
  <c r="AE740" i="2"/>
  <c r="S740" i="2" s="1"/>
  <c r="AE737" i="2"/>
  <c r="S737" i="2" s="1"/>
  <c r="AE791" i="2"/>
  <c r="S791" i="2" s="1"/>
  <c r="AE758" i="2"/>
  <c r="S758" i="2" s="1"/>
  <c r="AE743" i="2"/>
  <c r="S743" i="2" s="1"/>
  <c r="AE756" i="2"/>
  <c r="S756" i="2" s="1"/>
  <c r="AE721" i="2"/>
  <c r="S721" i="2" s="1"/>
  <c r="AE755" i="2"/>
  <c r="S755" i="2" s="1"/>
  <c r="AE745" i="2"/>
  <c r="S745" i="2" s="1"/>
  <c r="AE722" i="2"/>
  <c r="S722" i="2" s="1"/>
  <c r="AE759" i="2"/>
  <c r="S759" i="2" s="1"/>
  <c r="AE747" i="2"/>
  <c r="S747" i="2" s="1"/>
  <c r="AE738" i="2"/>
  <c r="S738" i="2" s="1"/>
  <c r="AE748" i="2"/>
  <c r="S748" i="2" s="1"/>
  <c r="AE724" i="2"/>
  <c r="S724" i="2" s="1"/>
  <c r="AE730" i="2"/>
  <c r="S730" i="2" s="1"/>
  <c r="AE720" i="2"/>
  <c r="S720" i="2" s="1"/>
  <c r="AE697" i="2"/>
  <c r="S697" i="2" s="1"/>
  <c r="AE681" i="2"/>
  <c r="S681" i="2" s="1"/>
  <c r="AE698" i="2"/>
  <c r="S698" i="2" s="1"/>
  <c r="AE682" i="2"/>
  <c r="S682" i="2" s="1"/>
  <c r="AE666" i="2"/>
  <c r="S666" i="2" s="1"/>
  <c r="AE650" i="2"/>
  <c r="S650" i="2" s="1"/>
  <c r="AE699" i="2"/>
  <c r="S699" i="2" s="1"/>
  <c r="AE683" i="2"/>
  <c r="S683" i="2" s="1"/>
  <c r="AE667" i="2"/>
  <c r="S667" i="2" s="1"/>
  <c r="AE651" i="2"/>
  <c r="S651" i="2" s="1"/>
  <c r="AE700" i="2"/>
  <c r="S700" i="2" s="1"/>
  <c r="AE684" i="2"/>
  <c r="S684" i="2" s="1"/>
  <c r="AE668" i="2"/>
  <c r="S668" i="2" s="1"/>
  <c r="AE652" i="2"/>
  <c r="S652" i="2" s="1"/>
  <c r="AE701" i="2"/>
  <c r="S701" i="2" s="1"/>
  <c r="AE685" i="2"/>
  <c r="S685" i="2" s="1"/>
  <c r="AE669" i="2"/>
  <c r="S669" i="2" s="1"/>
  <c r="AE702" i="2"/>
  <c r="S702" i="2" s="1"/>
  <c r="AE686" i="2"/>
  <c r="S686" i="2" s="1"/>
  <c r="AE670" i="2"/>
  <c r="S670" i="2" s="1"/>
  <c r="AE733" i="2"/>
  <c r="S733" i="2" s="1"/>
  <c r="AE725" i="2"/>
  <c r="S725" i="2" s="1"/>
  <c r="AE703" i="2"/>
  <c r="S703" i="2" s="1"/>
  <c r="AE687" i="2"/>
  <c r="S687" i="2" s="1"/>
  <c r="AE715" i="2"/>
  <c r="S715" i="2" s="1"/>
  <c r="AE704" i="2"/>
  <c r="S704" i="2" s="1"/>
  <c r="AE688" i="2"/>
  <c r="S688" i="2" s="1"/>
  <c r="AE705" i="2"/>
  <c r="S705" i="2" s="1"/>
  <c r="AE690" i="2"/>
  <c r="S690" i="2" s="1"/>
  <c r="AE674" i="2"/>
  <c r="S674" i="2" s="1"/>
  <c r="AE726" i="2"/>
  <c r="S726" i="2" s="1"/>
  <c r="AE675" i="2"/>
  <c r="S675" i="2" s="1"/>
  <c r="AE659" i="2"/>
  <c r="S659" i="2" s="1"/>
  <c r="AE708" i="2"/>
  <c r="S708" i="2" s="1"/>
  <c r="AE692" i="2"/>
  <c r="S692" i="2" s="1"/>
  <c r="AE676" i="2"/>
  <c r="S676" i="2" s="1"/>
  <c r="AE693" i="2"/>
  <c r="S693" i="2" s="1"/>
  <c r="AE718" i="2"/>
  <c r="S718" i="2" s="1"/>
  <c r="AE694" i="2"/>
  <c r="S694" i="2" s="1"/>
  <c r="AE678" i="2"/>
  <c r="S678" i="2" s="1"/>
  <c r="AE662" i="2"/>
  <c r="S662" i="2" s="1"/>
  <c r="AE646" i="2"/>
  <c r="S646" i="2" s="1"/>
  <c r="AE695" i="2"/>
  <c r="S695" i="2" s="1"/>
  <c r="AE663" i="2"/>
  <c r="S663" i="2" s="1"/>
  <c r="AE647" i="2"/>
  <c r="S647" i="2" s="1"/>
  <c r="AE622" i="2"/>
  <c r="S622" i="2" s="1"/>
  <c r="AE606" i="2"/>
  <c r="S606" i="2" s="1"/>
  <c r="AE623" i="2"/>
  <c r="S623" i="2" s="1"/>
  <c r="AE607" i="2"/>
  <c r="S607" i="2" s="1"/>
  <c r="AE591" i="2"/>
  <c r="S591" i="2" s="1"/>
  <c r="AE640" i="2"/>
  <c r="S640" i="2" s="1"/>
  <c r="AE592" i="2"/>
  <c r="S592" i="2" s="1"/>
  <c r="AE654" i="2"/>
  <c r="S654" i="2" s="1"/>
  <c r="AE641" i="2"/>
  <c r="S641" i="2" s="1"/>
  <c r="AE625" i="2"/>
  <c r="S625" i="2" s="1"/>
  <c r="AE609" i="2"/>
  <c r="S609" i="2" s="1"/>
  <c r="AE593" i="2"/>
  <c r="S593" i="2" s="1"/>
  <c r="AE626" i="2"/>
  <c r="S626" i="2" s="1"/>
  <c r="AE610" i="2"/>
  <c r="S610" i="2" s="1"/>
  <c r="AE627" i="2"/>
  <c r="S627" i="2" s="1"/>
  <c r="AE611" i="2"/>
  <c r="S611" i="2" s="1"/>
  <c r="AE664" i="2"/>
  <c r="S664" i="2" s="1"/>
  <c r="AE628" i="2"/>
  <c r="S628" i="2" s="1"/>
  <c r="AE612" i="2"/>
  <c r="S612" i="2" s="1"/>
  <c r="AE596" i="2"/>
  <c r="S596" i="2" s="1"/>
  <c r="AE613" i="2"/>
  <c r="S613" i="2" s="1"/>
  <c r="AE597" i="2"/>
  <c r="S597" i="2" s="1"/>
  <c r="AE581" i="2"/>
  <c r="S581" i="2" s="1"/>
  <c r="AE630" i="2"/>
  <c r="S630" i="2" s="1"/>
  <c r="AE614" i="2"/>
  <c r="S614" i="2" s="1"/>
  <c r="AE598" i="2"/>
  <c r="S598" i="2" s="1"/>
  <c r="AE716" i="2"/>
  <c r="S716" i="2" s="1"/>
  <c r="AE631" i="2"/>
  <c r="S631" i="2" s="1"/>
  <c r="AE615" i="2"/>
  <c r="S615" i="2" s="1"/>
  <c r="AE599" i="2"/>
  <c r="S599" i="2" s="1"/>
  <c r="AE680" i="2"/>
  <c r="S680" i="2" s="1"/>
  <c r="AE657" i="2"/>
  <c r="S657" i="2" s="1"/>
  <c r="AE653" i="2"/>
  <c r="S653" i="2" s="1"/>
  <c r="AE616" i="2"/>
  <c r="S616" i="2" s="1"/>
  <c r="AE600" i="2"/>
  <c r="S600" i="2" s="1"/>
  <c r="AE642" i="2"/>
  <c r="S642" i="2" s="1"/>
  <c r="AE633" i="2"/>
  <c r="S633" i="2" s="1"/>
  <c r="AE601" i="2"/>
  <c r="S601" i="2" s="1"/>
  <c r="AE649" i="2"/>
  <c r="S649" i="2" s="1"/>
  <c r="AE648" i="2"/>
  <c r="S648" i="2" s="1"/>
  <c r="AE634" i="2"/>
  <c r="S634" i="2" s="1"/>
  <c r="AE618" i="2"/>
  <c r="S618" i="2" s="1"/>
  <c r="AE645" i="2"/>
  <c r="S645" i="2" s="1"/>
  <c r="AE635" i="2"/>
  <c r="S635" i="2" s="1"/>
  <c r="AE603" i="2"/>
  <c r="S603" i="2" s="1"/>
  <c r="AE636" i="2"/>
  <c r="S636" i="2" s="1"/>
  <c r="AE620" i="2"/>
  <c r="S620" i="2" s="1"/>
  <c r="AE604" i="2"/>
  <c r="S604" i="2" s="1"/>
  <c r="AE588" i="2"/>
  <c r="S588" i="2" s="1"/>
  <c r="AE564" i="2"/>
  <c r="S564" i="2" s="1"/>
  <c r="AE547" i="2"/>
  <c r="S547" i="2" s="1"/>
  <c r="AE595" i="2"/>
  <c r="S595" i="2" s="1"/>
  <c r="AE565" i="2"/>
  <c r="S565" i="2" s="1"/>
  <c r="AE532" i="2"/>
  <c r="S532" i="2" s="1"/>
  <c r="AE602" i="2"/>
  <c r="S602" i="2" s="1"/>
  <c r="AE583" i="2"/>
  <c r="S583" i="2" s="1"/>
  <c r="AE566" i="2"/>
  <c r="S566" i="2" s="1"/>
  <c r="AE550" i="2"/>
  <c r="S550" i="2" s="1"/>
  <c r="AE533" i="2"/>
  <c r="S533" i="2" s="1"/>
  <c r="AE567" i="2"/>
  <c r="S567" i="2" s="1"/>
  <c r="AE551" i="2"/>
  <c r="S551" i="2" s="1"/>
  <c r="AE534" i="2"/>
  <c r="S534" i="2" s="1"/>
  <c r="AE637" i="2"/>
  <c r="S637" i="2" s="1"/>
  <c r="AE580" i="2"/>
  <c r="S580" i="2" s="1"/>
  <c r="AE568" i="2"/>
  <c r="S568" i="2" s="1"/>
  <c r="AE552" i="2"/>
  <c r="S552" i="2" s="1"/>
  <c r="AE519" i="2"/>
  <c r="S519" i="2" s="1"/>
  <c r="AE594" i="2"/>
  <c r="S594" i="2" s="1"/>
  <c r="AE569" i="2"/>
  <c r="S569" i="2" s="1"/>
  <c r="AE553" i="2"/>
  <c r="S553" i="2" s="1"/>
  <c r="AE536" i="2"/>
  <c r="S536" i="2" s="1"/>
  <c r="AE520" i="2"/>
  <c r="S520" i="2" s="1"/>
  <c r="AE586" i="2"/>
  <c r="S586" i="2" s="1"/>
  <c r="AE570" i="2"/>
  <c r="S570" i="2" s="1"/>
  <c r="AE537" i="2"/>
  <c r="S537" i="2" s="1"/>
  <c r="AE571" i="2"/>
  <c r="S571" i="2" s="1"/>
  <c r="AE555" i="2"/>
  <c r="S555" i="2" s="1"/>
  <c r="AE538" i="2"/>
  <c r="S538" i="2" s="1"/>
  <c r="AE556" i="2"/>
  <c r="S556" i="2" s="1"/>
  <c r="AE539" i="2"/>
  <c r="S539" i="2" s="1"/>
  <c r="AE523" i="2"/>
  <c r="S523" i="2" s="1"/>
  <c r="AE587" i="2"/>
  <c r="S587" i="2" s="1"/>
  <c r="AE573" i="2"/>
  <c r="S573" i="2" s="1"/>
  <c r="AE557" i="2"/>
  <c r="S557" i="2" s="1"/>
  <c r="AE540" i="2"/>
  <c r="S540" i="2" s="1"/>
  <c r="AE524" i="2"/>
  <c r="S524" i="2" s="1"/>
  <c r="AE590" i="2"/>
  <c r="S590" i="2" s="1"/>
  <c r="AE574" i="2"/>
  <c r="S574" i="2" s="1"/>
  <c r="AE541" i="2"/>
  <c r="S541" i="2" s="1"/>
  <c r="AE559" i="2"/>
  <c r="S559" i="2" s="1"/>
  <c r="AE542" i="2"/>
  <c r="S542" i="2" s="1"/>
  <c r="AE526" i="2"/>
  <c r="S526" i="2" s="1"/>
  <c r="AE621" i="2"/>
  <c r="S621" i="2" s="1"/>
  <c r="AE576" i="2"/>
  <c r="S576" i="2" s="1"/>
  <c r="AE560" i="2"/>
  <c r="S560" i="2" s="1"/>
  <c r="AE544" i="2"/>
  <c r="S544" i="2" s="1"/>
  <c r="AE528" i="2"/>
  <c r="S528" i="2" s="1"/>
  <c r="AE516" i="2"/>
  <c r="S516" i="2" s="1"/>
  <c r="AE488" i="2"/>
  <c r="S488" i="2" s="1"/>
  <c r="AE471" i="2"/>
  <c r="S471" i="2" s="1"/>
  <c r="AE579" i="2"/>
  <c r="S579" i="2" s="1"/>
  <c r="AE472" i="2"/>
  <c r="S472" i="2" s="1"/>
  <c r="AE563" i="2"/>
  <c r="S563" i="2" s="1"/>
  <c r="AE490" i="2"/>
  <c r="S490" i="2" s="1"/>
  <c r="AE473" i="2"/>
  <c r="S473" i="2" s="1"/>
  <c r="AE507" i="2"/>
  <c r="S507" i="2" s="1"/>
  <c r="AE491" i="2"/>
  <c r="S491" i="2" s="1"/>
  <c r="AE458" i="2"/>
  <c r="S458" i="2" s="1"/>
  <c r="AE508" i="2"/>
  <c r="S508" i="2" s="1"/>
  <c r="AE492" i="2"/>
  <c r="S492" i="2" s="1"/>
  <c r="AE476" i="2"/>
  <c r="S476" i="2" s="1"/>
  <c r="AE459" i="2"/>
  <c r="S459" i="2" s="1"/>
  <c r="AE509" i="2"/>
  <c r="S509" i="2" s="1"/>
  <c r="AE493" i="2"/>
  <c r="S493" i="2" s="1"/>
  <c r="AE530" i="2"/>
  <c r="S530" i="2" s="1"/>
  <c r="AE510" i="2"/>
  <c r="S510" i="2" s="1"/>
  <c r="AE494" i="2"/>
  <c r="S494" i="2" s="1"/>
  <c r="AE478" i="2"/>
  <c r="S478" i="2" s="1"/>
  <c r="AE461" i="2"/>
  <c r="S461" i="2" s="1"/>
  <c r="AE584" i="2"/>
  <c r="S584" i="2" s="1"/>
  <c r="AE511" i="2"/>
  <c r="S511" i="2" s="1"/>
  <c r="AE495" i="2"/>
  <c r="S495" i="2" s="1"/>
  <c r="AE479" i="2"/>
  <c r="S479" i="2" s="1"/>
  <c r="AE462" i="2"/>
  <c r="S462" i="2" s="1"/>
  <c r="AE512" i="2"/>
  <c r="S512" i="2" s="1"/>
  <c r="AE496" i="2"/>
  <c r="S496" i="2" s="1"/>
  <c r="AE480" i="2"/>
  <c r="S480" i="2" s="1"/>
  <c r="AE513" i="2"/>
  <c r="S513" i="2" s="1"/>
  <c r="AE481" i="2"/>
  <c r="S481" i="2" s="1"/>
  <c r="AE644" i="2"/>
  <c r="S644" i="2" s="1"/>
  <c r="AE529" i="2"/>
  <c r="S529" i="2" s="1"/>
  <c r="AE514" i="2"/>
  <c r="S514" i="2" s="1"/>
  <c r="AE482" i="2"/>
  <c r="S482" i="2" s="1"/>
  <c r="AE465" i="2"/>
  <c r="S465" i="2" s="1"/>
  <c r="AE546" i="2"/>
  <c r="S546" i="2" s="1"/>
  <c r="AE515" i="2"/>
  <c r="S515" i="2" s="1"/>
  <c r="AE499" i="2"/>
  <c r="S499" i="2" s="1"/>
  <c r="AE467" i="2"/>
  <c r="S467" i="2" s="1"/>
  <c r="AE501" i="2"/>
  <c r="S501" i="2" s="1"/>
  <c r="AE485" i="2"/>
  <c r="S485" i="2" s="1"/>
  <c r="AE543" i="2"/>
  <c r="S543" i="2" s="1"/>
  <c r="AE502" i="2"/>
  <c r="S502" i="2" s="1"/>
  <c r="AE486" i="2"/>
  <c r="S486" i="2" s="1"/>
  <c r="AE453" i="2"/>
  <c r="S453" i="2" s="1"/>
  <c r="AE503" i="2"/>
  <c r="S503" i="2" s="1"/>
  <c r="AE483" i="2"/>
  <c r="S483" i="2" s="1"/>
  <c r="AE435" i="2"/>
  <c r="S435" i="2" s="1"/>
  <c r="AE436" i="2"/>
  <c r="S436" i="2" s="1"/>
  <c r="AE420" i="2"/>
  <c r="S420" i="2" s="1"/>
  <c r="AE437" i="2"/>
  <c r="S437" i="2" s="1"/>
  <c r="AE405" i="2"/>
  <c r="S405" i="2" s="1"/>
  <c r="AE468" i="2"/>
  <c r="S468" i="2" s="1"/>
  <c r="AE438" i="2"/>
  <c r="S438" i="2" s="1"/>
  <c r="AE422" i="2"/>
  <c r="S422" i="2" s="1"/>
  <c r="AE390" i="2"/>
  <c r="S390" i="2" s="1"/>
  <c r="AE477" i="2"/>
  <c r="S477" i="2" s="1"/>
  <c r="AE464" i="2"/>
  <c r="S464" i="2" s="1"/>
  <c r="AE451" i="2"/>
  <c r="S451" i="2" s="1"/>
  <c r="AE439" i="2"/>
  <c r="S439" i="2" s="1"/>
  <c r="AE423" i="2"/>
  <c r="S423" i="2" s="1"/>
  <c r="AE460" i="2"/>
  <c r="S460" i="2" s="1"/>
  <c r="AE440" i="2"/>
  <c r="S440" i="2" s="1"/>
  <c r="AE424" i="2"/>
  <c r="S424" i="2" s="1"/>
  <c r="AE408" i="2"/>
  <c r="S408" i="2" s="1"/>
  <c r="AE392" i="2"/>
  <c r="S392" i="2" s="1"/>
  <c r="AE425" i="2"/>
  <c r="S425" i="2" s="1"/>
  <c r="AE409" i="2"/>
  <c r="S409" i="2" s="1"/>
  <c r="AE393" i="2"/>
  <c r="S393" i="2" s="1"/>
  <c r="AE442" i="2"/>
  <c r="S442" i="2" s="1"/>
  <c r="AE426" i="2"/>
  <c r="S426" i="2" s="1"/>
  <c r="AE394" i="2"/>
  <c r="S394" i="2" s="1"/>
  <c r="AE427" i="2"/>
  <c r="S427" i="2" s="1"/>
  <c r="AE411" i="2"/>
  <c r="S411" i="2" s="1"/>
  <c r="AE444" i="2"/>
  <c r="S444" i="2" s="1"/>
  <c r="AE428" i="2"/>
  <c r="S428" i="2" s="1"/>
  <c r="AE412" i="2"/>
  <c r="S412" i="2" s="1"/>
  <c r="AE396" i="2"/>
  <c r="S396" i="2" s="1"/>
  <c r="AE445" i="2"/>
  <c r="S445" i="2" s="1"/>
  <c r="AE429" i="2"/>
  <c r="S429" i="2" s="1"/>
  <c r="AE446" i="2"/>
  <c r="S446" i="2" s="1"/>
  <c r="AE430" i="2"/>
  <c r="S430" i="2" s="1"/>
  <c r="AE398" i="2"/>
  <c r="S398" i="2" s="1"/>
  <c r="AE452" i="2"/>
  <c r="S452" i="2" s="1"/>
  <c r="AE447" i="2"/>
  <c r="S447" i="2" s="1"/>
  <c r="AE431" i="2"/>
  <c r="S431" i="2" s="1"/>
  <c r="AE415" i="2"/>
  <c r="S415" i="2" s="1"/>
  <c r="AE466" i="2"/>
  <c r="S466" i="2" s="1"/>
  <c r="AE448" i="2"/>
  <c r="S448" i="2" s="1"/>
  <c r="AE432" i="2"/>
  <c r="S432" i="2" s="1"/>
  <c r="AE416" i="2"/>
  <c r="S416" i="2" s="1"/>
  <c r="AE400" i="2"/>
  <c r="S400" i="2" s="1"/>
  <c r="AE454" i="2"/>
  <c r="S454" i="2" s="1"/>
  <c r="AE449" i="2"/>
  <c r="S449" i="2" s="1"/>
  <c r="AE377" i="2"/>
  <c r="S377" i="2" s="1"/>
  <c r="AE361" i="2"/>
  <c r="S361" i="2" s="1"/>
  <c r="AE345" i="2"/>
  <c r="S345" i="2" s="1"/>
  <c r="AE329" i="2"/>
  <c r="S329" i="2" s="1"/>
  <c r="AE391" i="2"/>
  <c r="S391" i="2" s="1"/>
  <c r="AE378" i="2"/>
  <c r="S378" i="2" s="1"/>
  <c r="AE362" i="2"/>
  <c r="S362" i="2" s="1"/>
  <c r="AE346" i="2"/>
  <c r="S346" i="2" s="1"/>
  <c r="AE434" i="2"/>
  <c r="S434" i="2" s="1"/>
  <c r="AE379" i="2"/>
  <c r="S379" i="2" s="1"/>
  <c r="AE363" i="2"/>
  <c r="S363" i="2" s="1"/>
  <c r="AE364" i="2"/>
  <c r="S364" i="2" s="1"/>
  <c r="AE348" i="2"/>
  <c r="S348" i="2" s="1"/>
  <c r="AE457" i="2"/>
  <c r="S457" i="2" s="1"/>
  <c r="AE418" i="2"/>
  <c r="S418" i="2" s="1"/>
  <c r="AE381" i="2"/>
  <c r="S381" i="2" s="1"/>
  <c r="AE349" i="2"/>
  <c r="S349" i="2" s="1"/>
  <c r="AE366" i="2"/>
  <c r="S366" i="2" s="1"/>
  <c r="AE350" i="2"/>
  <c r="S350" i="2" s="1"/>
  <c r="AE334" i="2"/>
  <c r="S334" i="2" s="1"/>
  <c r="AE389" i="2"/>
  <c r="S389" i="2" s="1"/>
  <c r="AE383" i="2"/>
  <c r="S383" i="2" s="1"/>
  <c r="AE367" i="2"/>
  <c r="S367" i="2" s="1"/>
  <c r="AE384" i="2"/>
  <c r="S384" i="2" s="1"/>
  <c r="AE336" i="2"/>
  <c r="S336" i="2" s="1"/>
  <c r="AE402" i="2"/>
  <c r="S402" i="2" s="1"/>
  <c r="AE385" i="2"/>
  <c r="S385" i="2" s="1"/>
  <c r="AE369" i="2"/>
  <c r="S369" i="2" s="1"/>
  <c r="AE353" i="2"/>
  <c r="S353" i="2" s="1"/>
  <c r="AE386" i="2"/>
  <c r="S386" i="2" s="1"/>
  <c r="AE370" i="2"/>
  <c r="S370" i="2" s="1"/>
  <c r="AE354" i="2"/>
  <c r="S354" i="2" s="1"/>
  <c r="AE338" i="2"/>
  <c r="S338" i="2" s="1"/>
  <c r="AE371" i="2"/>
  <c r="S371" i="2" s="1"/>
  <c r="AE403" i="2"/>
  <c r="S403" i="2" s="1"/>
  <c r="AE387" i="2"/>
  <c r="S387" i="2" s="1"/>
  <c r="AE356" i="2"/>
  <c r="S356" i="2" s="1"/>
  <c r="AE340" i="2"/>
  <c r="S340" i="2" s="1"/>
  <c r="AE395" i="2"/>
  <c r="S395" i="2" s="1"/>
  <c r="AE373" i="2"/>
  <c r="S373" i="2" s="1"/>
  <c r="AE417" i="2"/>
  <c r="S417" i="2" s="1"/>
  <c r="AE374" i="2"/>
  <c r="S374" i="2" s="1"/>
  <c r="AE358" i="2"/>
  <c r="S358" i="2" s="1"/>
  <c r="AE342" i="2"/>
  <c r="S342" i="2" s="1"/>
  <c r="AE375" i="2"/>
  <c r="S375" i="2" s="1"/>
  <c r="AE331" i="2"/>
  <c r="S331" i="2" s="1"/>
  <c r="AE300" i="2"/>
  <c r="S300" i="2" s="1"/>
  <c r="AE267" i="2"/>
  <c r="S267" i="2" s="1"/>
  <c r="AE318" i="2"/>
  <c r="S318" i="2" s="1"/>
  <c r="AE302" i="2"/>
  <c r="S302" i="2" s="1"/>
  <c r="AE286" i="2"/>
  <c r="S286" i="2" s="1"/>
  <c r="AE269" i="2"/>
  <c r="S269" i="2" s="1"/>
  <c r="AE323" i="2"/>
  <c r="S323" i="2" s="1"/>
  <c r="AE304" i="2"/>
  <c r="S304" i="2" s="1"/>
  <c r="AE288" i="2"/>
  <c r="S288" i="2" s="1"/>
  <c r="AE271" i="2"/>
  <c r="S271" i="2" s="1"/>
  <c r="AE333" i="2"/>
  <c r="S333" i="2" s="1"/>
  <c r="AE330" i="2"/>
  <c r="S330" i="2" s="1"/>
  <c r="AE327" i="2"/>
  <c r="S327" i="2" s="1"/>
  <c r="AE305" i="2"/>
  <c r="S305" i="2" s="1"/>
  <c r="AE306" i="2"/>
  <c r="S306" i="2" s="1"/>
  <c r="AE290" i="2"/>
  <c r="S290" i="2" s="1"/>
  <c r="AE258" i="2"/>
  <c r="S258" i="2" s="1"/>
  <c r="AE326" i="2"/>
  <c r="S326" i="2" s="1"/>
  <c r="AE308" i="2"/>
  <c r="S308" i="2" s="1"/>
  <c r="AE292" i="2"/>
  <c r="S292" i="2" s="1"/>
  <c r="AE344" i="2"/>
  <c r="S344" i="2" s="1"/>
  <c r="AE309" i="2"/>
  <c r="S309" i="2" s="1"/>
  <c r="AE293" i="2"/>
  <c r="S293" i="2" s="1"/>
  <c r="AE277" i="2"/>
  <c r="S277" i="2" s="1"/>
  <c r="AE276" i="2"/>
  <c r="S276" i="2" s="1"/>
  <c r="AE337" i="2"/>
  <c r="S337" i="2" s="1"/>
  <c r="AE310" i="2"/>
  <c r="S310" i="2" s="1"/>
  <c r="AE278" i="2"/>
  <c r="S278" i="2" s="1"/>
  <c r="AE376" i="2"/>
  <c r="S376" i="2" s="1"/>
  <c r="AE311" i="2"/>
  <c r="S311" i="2" s="1"/>
  <c r="AE295" i="2"/>
  <c r="S295" i="2" s="1"/>
  <c r="AE279" i="2"/>
  <c r="S279" i="2" s="1"/>
  <c r="AE262" i="2"/>
  <c r="S262" i="2" s="1"/>
  <c r="AE296" i="2"/>
  <c r="S296" i="2" s="1"/>
  <c r="AE280" i="2"/>
  <c r="S280" i="2" s="1"/>
  <c r="AE313" i="2"/>
  <c r="S313" i="2" s="1"/>
  <c r="AE297" i="2"/>
  <c r="S297" i="2" s="1"/>
  <c r="AE281" i="2"/>
  <c r="S281" i="2" s="1"/>
  <c r="AE264" i="2"/>
  <c r="S264" i="2" s="1"/>
  <c r="AE360" i="2"/>
  <c r="S360" i="2" s="1"/>
  <c r="AE314" i="2"/>
  <c r="S314" i="2" s="1"/>
  <c r="AE298" i="2"/>
  <c r="S298" i="2" s="1"/>
  <c r="AE282" i="2"/>
  <c r="S282" i="2" s="1"/>
  <c r="AE265" i="2"/>
  <c r="S265" i="2" s="1"/>
  <c r="AE228" i="2"/>
  <c r="S228" i="2" s="1"/>
  <c r="AE266" i="2"/>
  <c r="S266" i="2" s="1"/>
  <c r="AE260" i="2"/>
  <c r="S260" i="2" s="1"/>
  <c r="AE246" i="2"/>
  <c r="S246" i="2" s="1"/>
  <c r="AE315" i="2"/>
  <c r="S315" i="2" s="1"/>
  <c r="AE272" i="2"/>
  <c r="S272" i="2" s="1"/>
  <c r="AE230" i="2"/>
  <c r="S230" i="2" s="1"/>
  <c r="AE214" i="2"/>
  <c r="S214" i="2" s="1"/>
  <c r="AE248" i="2"/>
  <c r="S248" i="2" s="1"/>
  <c r="AE232" i="2"/>
  <c r="S232" i="2" s="1"/>
  <c r="AE216" i="2"/>
  <c r="S216" i="2" s="1"/>
  <c r="AE199" i="2"/>
  <c r="S199" i="2" s="1"/>
  <c r="AE335" i="2"/>
  <c r="S335" i="2" s="1"/>
  <c r="AE270" i="2"/>
  <c r="S270" i="2" s="1"/>
  <c r="AE250" i="2"/>
  <c r="S250" i="2" s="1"/>
  <c r="AE217" i="2"/>
  <c r="S217" i="2" s="1"/>
  <c r="AE251" i="2"/>
  <c r="S251" i="2" s="1"/>
  <c r="AE218" i="2"/>
  <c r="S218" i="2" s="1"/>
  <c r="AE259" i="2"/>
  <c r="S259" i="2" s="1"/>
  <c r="AE235" i="2"/>
  <c r="S235" i="2" s="1"/>
  <c r="AE219" i="2"/>
  <c r="S219" i="2" s="1"/>
  <c r="AE202" i="2"/>
  <c r="S202" i="2" s="1"/>
  <c r="AE273" i="2"/>
  <c r="S273" i="2" s="1"/>
  <c r="AE253" i="2"/>
  <c r="S253" i="2" s="1"/>
  <c r="AE236" i="2"/>
  <c r="S236" i="2" s="1"/>
  <c r="AE220" i="2"/>
  <c r="S220" i="2" s="1"/>
  <c r="AE203" i="2"/>
  <c r="S203" i="2" s="1"/>
  <c r="AE283" i="2"/>
  <c r="S283" i="2" s="1"/>
  <c r="AE263" i="2"/>
  <c r="S263" i="2" s="1"/>
  <c r="AE237" i="2"/>
  <c r="S237" i="2" s="1"/>
  <c r="AE221" i="2"/>
  <c r="S221" i="2" s="1"/>
  <c r="AE204" i="2"/>
  <c r="S204" i="2" s="1"/>
  <c r="AE255" i="2"/>
  <c r="S255" i="2" s="1"/>
  <c r="AE238" i="2"/>
  <c r="S238" i="2" s="1"/>
  <c r="AE222" i="2"/>
  <c r="S222" i="2" s="1"/>
  <c r="AE206" i="2"/>
  <c r="S206" i="2" s="1"/>
  <c r="AE205" i="2"/>
  <c r="S205" i="2" s="1"/>
  <c r="AE256" i="2"/>
  <c r="S256" i="2" s="1"/>
  <c r="AE223" i="2"/>
  <c r="S223" i="2" s="1"/>
  <c r="AE207" i="2"/>
  <c r="S207" i="2" s="1"/>
  <c r="AE257" i="2"/>
  <c r="S257" i="2" s="1"/>
  <c r="AE241" i="2"/>
  <c r="S241" i="2" s="1"/>
  <c r="AE208" i="2"/>
  <c r="S208" i="2" s="1"/>
  <c r="AE242" i="2"/>
  <c r="S242" i="2" s="1"/>
  <c r="AE226" i="2"/>
  <c r="S226" i="2" s="1"/>
  <c r="AE225" i="2"/>
  <c r="S225" i="2" s="1"/>
  <c r="AE188" i="2"/>
  <c r="S188" i="2" s="1"/>
  <c r="AE187" i="2"/>
  <c r="S187" i="2" s="1"/>
  <c r="AE171" i="2"/>
  <c r="S171" i="2" s="1"/>
  <c r="AE155" i="2"/>
  <c r="S155" i="2" s="1"/>
  <c r="AE139" i="2"/>
  <c r="S139" i="2" s="1"/>
  <c r="AE268" i="2"/>
  <c r="S268" i="2" s="1"/>
  <c r="AE189" i="2"/>
  <c r="S189" i="2" s="1"/>
  <c r="AE172" i="2"/>
  <c r="S172" i="2" s="1"/>
  <c r="AE156" i="2"/>
  <c r="S156" i="2" s="1"/>
  <c r="AE244" i="2"/>
  <c r="S244" i="2" s="1"/>
  <c r="AE157" i="2"/>
  <c r="S157" i="2" s="1"/>
  <c r="AE141" i="2"/>
  <c r="S141" i="2" s="1"/>
  <c r="AE191" i="2"/>
  <c r="S191" i="2" s="1"/>
  <c r="AE174" i="2"/>
  <c r="S174" i="2" s="1"/>
  <c r="AE158" i="2"/>
  <c r="S158" i="2" s="1"/>
  <c r="AE142" i="2"/>
  <c r="S142" i="2" s="1"/>
  <c r="AE261" i="2"/>
  <c r="S261" i="2" s="1"/>
  <c r="AE175" i="2"/>
  <c r="S175" i="2" s="1"/>
  <c r="AE160" i="2"/>
  <c r="S160" i="2" s="1"/>
  <c r="AE144" i="2"/>
  <c r="S144" i="2" s="1"/>
  <c r="AE194" i="2"/>
  <c r="S194" i="2" s="1"/>
  <c r="AE177" i="2"/>
  <c r="S177" i="2" s="1"/>
  <c r="AE161" i="2"/>
  <c r="S161" i="2" s="1"/>
  <c r="AE209" i="2"/>
  <c r="S209" i="2" s="1"/>
  <c r="AE162" i="2"/>
  <c r="S162" i="2" s="1"/>
  <c r="AE146" i="2"/>
  <c r="S146" i="2" s="1"/>
  <c r="AE179" i="2"/>
  <c r="S179" i="2" s="1"/>
  <c r="AE147" i="2"/>
  <c r="S147" i="2" s="1"/>
  <c r="AE180" i="2"/>
  <c r="S180" i="2" s="1"/>
  <c r="AE164" i="2"/>
  <c r="S164" i="2" s="1"/>
  <c r="AE148" i="2"/>
  <c r="S148" i="2" s="1"/>
  <c r="AE132" i="2"/>
  <c r="S132" i="2" s="1"/>
  <c r="AE181" i="2"/>
  <c r="S181" i="2" s="1"/>
  <c r="AE227" i="2"/>
  <c r="S227" i="2" s="1"/>
  <c r="AE195" i="2"/>
  <c r="S195" i="2" s="1"/>
  <c r="AE182" i="2"/>
  <c r="S182" i="2" s="1"/>
  <c r="AE166" i="2"/>
  <c r="S166" i="2" s="1"/>
  <c r="AE167" i="2"/>
  <c r="S167" i="2" s="1"/>
  <c r="AE151" i="2"/>
  <c r="S151" i="2" s="1"/>
  <c r="AE211" i="2"/>
  <c r="S211" i="2" s="1"/>
  <c r="AE184" i="2"/>
  <c r="S184" i="2" s="1"/>
  <c r="AE168" i="2"/>
  <c r="S168" i="2" s="1"/>
  <c r="AE136" i="2"/>
  <c r="S136" i="2" s="1"/>
  <c r="AE185" i="2"/>
  <c r="S185" i="2" s="1"/>
  <c r="AE169" i="2"/>
  <c r="S169" i="2" s="1"/>
  <c r="AE107" i="2"/>
  <c r="S107" i="2" s="1"/>
  <c r="AE91" i="2"/>
  <c r="S91" i="2" s="1"/>
  <c r="AE75" i="2"/>
  <c r="S75" i="2" s="1"/>
  <c r="AE131" i="2"/>
  <c r="S131" i="2" s="1"/>
  <c r="AE124" i="2"/>
  <c r="S124" i="2" s="1"/>
  <c r="AE108" i="2"/>
  <c r="S108" i="2" s="1"/>
  <c r="AE92" i="2"/>
  <c r="S92" i="2" s="1"/>
  <c r="AE125" i="2"/>
  <c r="S125" i="2" s="1"/>
  <c r="AE109" i="2"/>
  <c r="S109" i="2" s="1"/>
  <c r="AE93" i="2"/>
  <c r="S93" i="2" s="1"/>
  <c r="AE126" i="2"/>
  <c r="S126" i="2" s="1"/>
  <c r="AE127" i="2"/>
  <c r="S127" i="2" s="1"/>
  <c r="AE111" i="2"/>
  <c r="S111" i="2" s="1"/>
  <c r="AE95" i="2"/>
  <c r="S95" i="2" s="1"/>
  <c r="AE133" i="2"/>
  <c r="S133" i="2" s="1"/>
  <c r="AE128" i="2"/>
  <c r="S128" i="2" s="1"/>
  <c r="AE154" i="2"/>
  <c r="S154" i="2" s="1"/>
  <c r="AE129" i="2"/>
  <c r="S129" i="2" s="1"/>
  <c r="AE113" i="2"/>
  <c r="S113" i="2" s="1"/>
  <c r="AE81" i="2"/>
  <c r="S81" i="2" s="1"/>
  <c r="AE138" i="2"/>
  <c r="S138" i="2" s="1"/>
  <c r="AE114" i="2"/>
  <c r="S114" i="2" s="1"/>
  <c r="AE98" i="2"/>
  <c r="S98" i="2" s="1"/>
  <c r="AE186" i="2"/>
  <c r="S186" i="2" s="1"/>
  <c r="AE115" i="2"/>
  <c r="S115" i="2" s="1"/>
  <c r="AE99" i="2"/>
  <c r="S99" i="2" s="1"/>
  <c r="AE83" i="2"/>
  <c r="S83" i="2" s="1"/>
  <c r="AE153" i="2"/>
  <c r="S153" i="2" s="1"/>
  <c r="AE100" i="2"/>
  <c r="S100" i="2" s="1"/>
  <c r="AE117" i="2"/>
  <c r="S117" i="2" s="1"/>
  <c r="AE85" i="2"/>
  <c r="S85" i="2" s="1"/>
  <c r="AE118" i="2"/>
  <c r="S118" i="2" s="1"/>
  <c r="AE102" i="2"/>
  <c r="S102" i="2" s="1"/>
  <c r="AE119" i="2"/>
  <c r="S119" i="2" s="1"/>
  <c r="AE87" i="2"/>
  <c r="S87" i="2" s="1"/>
  <c r="AE120" i="2"/>
  <c r="S120" i="2" s="1"/>
  <c r="AE104" i="2"/>
  <c r="S104" i="2" s="1"/>
  <c r="AE88" i="2"/>
  <c r="S88" i="2" s="1"/>
  <c r="AE121" i="2"/>
  <c r="S121" i="2" s="1"/>
  <c r="AE105" i="2"/>
  <c r="S105" i="2" s="1"/>
  <c r="AE73" i="2"/>
  <c r="S73" i="2" s="1"/>
  <c r="AE55" i="2"/>
  <c r="S55" i="2" s="1"/>
  <c r="AE23" i="2"/>
  <c r="S23" i="2" s="1"/>
  <c r="AE40" i="2"/>
  <c r="S40" i="2" s="1"/>
  <c r="AE24" i="2"/>
  <c r="S24" i="2" s="1"/>
  <c r="AE57" i="2"/>
  <c r="S57" i="2" s="1"/>
  <c r="AE41" i="2"/>
  <c r="S41" i="2" s="1"/>
  <c r="AE25" i="2"/>
  <c r="S25" i="2" s="1"/>
  <c r="AE9" i="2"/>
  <c r="S9" i="2" s="1"/>
  <c r="AE58" i="2"/>
  <c r="S58" i="2" s="1"/>
  <c r="AE42" i="2"/>
  <c r="S42" i="2" s="1"/>
  <c r="AE72" i="2"/>
  <c r="S72" i="2" s="1"/>
  <c r="AE68" i="2"/>
  <c r="S68" i="2" s="1"/>
  <c r="AE59" i="2"/>
  <c r="S59" i="2" s="1"/>
  <c r="AE137" i="2"/>
  <c r="S137" i="2" s="1"/>
  <c r="AE44" i="2"/>
  <c r="S44" i="2" s="1"/>
  <c r="AE28" i="2"/>
  <c r="S28" i="2" s="1"/>
  <c r="AE61" i="2"/>
  <c r="S61" i="2" s="1"/>
  <c r="AE45" i="2"/>
  <c r="S45" i="2" s="1"/>
  <c r="AE62" i="2"/>
  <c r="S62" i="2" s="1"/>
  <c r="AE46" i="2"/>
  <c r="S46" i="2" s="1"/>
  <c r="AE30" i="2"/>
  <c r="S30" i="2" s="1"/>
  <c r="AE14" i="2"/>
  <c r="S14" i="2" s="1"/>
  <c r="AE122" i="2"/>
  <c r="S122" i="2" s="1"/>
  <c r="AE63" i="2"/>
  <c r="S63" i="2" s="1"/>
  <c r="AE77" i="2"/>
  <c r="S77" i="2" s="1"/>
  <c r="AE71" i="2"/>
  <c r="S71" i="2" s="1"/>
  <c r="AE69" i="2"/>
  <c r="S69" i="2" s="1"/>
  <c r="AE64" i="2"/>
  <c r="S64" i="2" s="1"/>
  <c r="AE32" i="2"/>
  <c r="S32" i="2" s="1"/>
  <c r="AE65" i="2"/>
  <c r="S65" i="2" s="1"/>
  <c r="AE49" i="2"/>
  <c r="S49" i="2" s="1"/>
  <c r="AE33" i="2"/>
  <c r="S33" i="2" s="1"/>
  <c r="AE66" i="2"/>
  <c r="S66" i="2" s="1"/>
  <c r="AE34" i="2"/>
  <c r="S34" i="2" s="1"/>
  <c r="AE51" i="2"/>
  <c r="S51" i="2" s="1"/>
  <c r="AE52" i="2"/>
  <c r="S52" i="2" s="1"/>
  <c r="AE36" i="2"/>
  <c r="S36" i="2" s="1"/>
  <c r="AE20" i="2"/>
  <c r="S20" i="2" s="1"/>
  <c r="AE74" i="2"/>
  <c r="S74" i="2" s="1"/>
  <c r="AE53" i="2"/>
  <c r="S53" i="2" s="1"/>
  <c r="AE10" i="2"/>
  <c r="S10" i="2" s="1"/>
  <c r="AE29" i="2"/>
  <c r="S29" i="2" s="1"/>
  <c r="AE22" i="2"/>
  <c r="S22" i="2" s="1"/>
  <c r="AE16" i="2"/>
  <c r="S16" i="2" s="1"/>
  <c r="AE26" i="2"/>
  <c r="S26" i="2" s="1"/>
  <c r="AE38" i="2"/>
  <c r="S38" i="2" s="1"/>
  <c r="AE19" i="2"/>
  <c r="S19" i="2" s="1"/>
  <c r="AE78" i="2"/>
  <c r="S78" i="2" s="1"/>
  <c r="AE31" i="2"/>
  <c r="S31" i="2" s="1"/>
  <c r="AE12" i="2"/>
  <c r="S12" i="2" s="1"/>
  <c r="AE18" i="2"/>
  <c r="S18" i="2" s="1"/>
  <c r="AE11" i="2"/>
  <c r="S11" i="2" s="1"/>
  <c r="AE70" i="2"/>
  <c r="S70" i="2" s="1"/>
  <c r="AE15" i="2"/>
  <c r="S15" i="2" s="1"/>
  <c r="AQ149" i="2"/>
  <c r="AE149" i="2" s="1"/>
  <c r="S149" i="2" s="1"/>
  <c r="AQ741" i="2"/>
  <c r="AE741" i="2" s="1"/>
  <c r="S741" i="2" s="1"/>
  <c r="AQ101" i="2"/>
  <c r="AE101" i="2" s="1"/>
  <c r="S101" i="2" s="1"/>
  <c r="AQ632" i="2"/>
  <c r="AE632" i="2" s="1"/>
  <c r="S632" i="2" s="1"/>
  <c r="AQ619" i="2"/>
  <c r="AE619" i="2" s="1"/>
  <c r="S619" i="2" s="1"/>
  <c r="AQ80" i="2"/>
  <c r="AE80" i="2" s="1"/>
  <c r="S80" i="2" s="1"/>
  <c r="AQ426" i="2"/>
  <c r="AQ356" i="2"/>
  <c r="AQ1157" i="2"/>
  <c r="AE1157" i="2" s="1"/>
  <c r="S1157" i="2" s="1"/>
  <c r="AQ470" i="2"/>
  <c r="AE470" i="2" s="1"/>
  <c r="S470" i="2" s="1"/>
  <c r="AQ86" i="2"/>
  <c r="AE86" i="2" s="1"/>
  <c r="S86" i="2" s="1"/>
  <c r="AQ42" i="2"/>
  <c r="AQ500" i="2"/>
  <c r="AE500" i="2" s="1"/>
  <c r="S500" i="2" s="1"/>
  <c r="AQ706" i="2"/>
  <c r="AE706" i="2" s="1"/>
  <c r="S706" i="2" s="1"/>
  <c r="AQ1188" i="2"/>
  <c r="AE1188" i="2" s="1"/>
  <c r="S1188" i="2" s="1"/>
  <c r="AQ776" i="2"/>
  <c r="AQ784" i="2"/>
  <c r="AE784" i="2" s="1"/>
  <c r="S784" i="2" s="1"/>
  <c r="AQ844" i="2"/>
  <c r="AE844" i="2" s="1"/>
  <c r="S844" i="2" s="1"/>
  <c r="AQ410" i="2"/>
  <c r="AE410" i="2" s="1"/>
  <c r="S410" i="2" s="1"/>
  <c r="AQ897" i="2"/>
  <c r="AE897" i="2" s="1"/>
  <c r="S897" i="2" s="1"/>
  <c r="AQ585" i="2"/>
  <c r="AE585" i="2" s="1"/>
  <c r="S585" i="2" s="1"/>
  <c r="AQ1181" i="2"/>
  <c r="AE1181" i="2" s="1"/>
  <c r="S1181" i="2" s="1"/>
  <c r="AQ106" i="2"/>
  <c r="AE106" i="2" s="1"/>
  <c r="S106" i="2" s="1"/>
  <c r="AQ1145" i="2"/>
  <c r="AQ960" i="2"/>
  <c r="AE960" i="2" s="1"/>
  <c r="S960" i="2" s="1"/>
  <c r="AQ1248" i="2"/>
  <c r="AE1248" i="2" s="1"/>
  <c r="S1248" i="2" s="1"/>
  <c r="AQ1205" i="2"/>
  <c r="AE1205" i="2" s="1"/>
  <c r="S1205" i="2" s="1"/>
  <c r="AQ129" i="2"/>
  <c r="AQ1118" i="2"/>
  <c r="AE1118" i="2" s="1"/>
  <c r="S1118" i="2" s="1"/>
  <c r="AQ161" i="2"/>
  <c r="AQ184" i="2"/>
  <c r="AQ620" i="2"/>
  <c r="AQ975" i="2"/>
  <c r="AE975" i="2" s="1"/>
  <c r="S975" i="2" s="1"/>
  <c r="AQ498" i="2"/>
  <c r="AE498" i="2" s="1"/>
  <c r="S498" i="2" s="1"/>
  <c r="AQ1017" i="2"/>
  <c r="AE1017" i="2" s="1"/>
  <c r="S1017" i="2" s="1"/>
  <c r="AQ224" i="2"/>
  <c r="AE224" i="2" s="1"/>
  <c r="S224" i="2" s="1"/>
  <c r="AQ1057" i="2"/>
  <c r="AE1057" i="2" s="1"/>
  <c r="S1057" i="2" s="1"/>
  <c r="AQ719" i="2"/>
  <c r="AE719" i="2" s="1"/>
  <c r="S719" i="2" s="1"/>
  <c r="AQ850" i="2"/>
  <c r="AE850" i="2" s="1"/>
  <c r="S850" i="2" s="1"/>
  <c r="AQ788" i="2"/>
  <c r="AQ1245" i="2"/>
  <c r="AE1245" i="2" s="1"/>
  <c r="S1245" i="2" s="1"/>
  <c r="AQ299" i="2"/>
  <c r="AE299" i="2" s="1"/>
  <c r="S299" i="2" s="1"/>
  <c r="AQ152" i="2"/>
  <c r="AE152" i="2" s="1"/>
  <c r="S152" i="2" s="1"/>
  <c r="AQ959" i="2"/>
  <c r="AE959" i="2" s="1"/>
  <c r="S959" i="2" s="1"/>
  <c r="AQ319" i="2"/>
  <c r="AE319" i="2" s="1"/>
  <c r="S319" i="2" s="1"/>
  <c r="AQ910" i="2"/>
  <c r="AE910" i="2" s="1"/>
  <c r="S910" i="2" s="1"/>
  <c r="AQ908" i="2"/>
  <c r="AE908" i="2" s="1"/>
  <c r="S908" i="2" s="1"/>
  <c r="AQ803" i="2"/>
  <c r="AQ882" i="2"/>
  <c r="AE882" i="2" s="1"/>
  <c r="S882" i="2" s="1"/>
  <c r="AQ1087" i="2"/>
  <c r="AE1087" i="2" s="1"/>
  <c r="S1087" i="2" s="1"/>
  <c r="AQ1149" i="2"/>
  <c r="AE1149" i="2" s="1"/>
  <c r="S1149" i="2" s="1"/>
  <c r="AQ1001" i="2"/>
  <c r="AQ1143" i="2"/>
  <c r="AE1143" i="2" s="1"/>
  <c r="S1143" i="2" s="1"/>
  <c r="AQ1229" i="2"/>
  <c r="AE1229" i="2" s="1"/>
  <c r="S1229" i="2" s="1"/>
  <c r="AQ883" i="2"/>
  <c r="AE883" i="2" s="1"/>
  <c r="S883" i="2" s="1"/>
  <c r="AQ405" i="2"/>
  <c r="AQ545" i="2"/>
  <c r="AE545" i="2" s="1"/>
  <c r="S545" i="2" s="1"/>
  <c r="AQ829" i="2"/>
  <c r="AQ677" i="2"/>
  <c r="AE677" i="2" s="1"/>
  <c r="S677" i="2" s="1"/>
  <c r="AQ229" i="2"/>
  <c r="AE229" i="2" s="1"/>
  <c r="S229" i="2" s="1"/>
  <c r="AQ419" i="2"/>
  <c r="AE419" i="2" s="1"/>
  <c r="S419" i="2" s="1"/>
  <c r="AQ339" i="2"/>
  <c r="AE339" i="2" s="1"/>
  <c r="S339" i="2" s="1"/>
  <c r="AQ357" i="2"/>
  <c r="AE357" i="2" s="1"/>
  <c r="S357" i="2" s="1"/>
  <c r="AQ302" i="2"/>
  <c r="AQ407" i="2"/>
  <c r="AE407" i="2" s="1"/>
  <c r="S407" i="2" s="1"/>
  <c r="AQ382" i="2"/>
  <c r="AE382" i="2" s="1"/>
  <c r="S382" i="2" s="1"/>
  <c r="AQ487" i="2"/>
  <c r="AE487" i="2" s="1"/>
  <c r="S487" i="2" s="1"/>
  <c r="AQ381" i="2"/>
  <c r="AQ183" i="2"/>
  <c r="AE183" i="2" s="1"/>
  <c r="S183" i="2" s="1"/>
  <c r="AQ27" i="2"/>
  <c r="AE27" i="2" s="1"/>
  <c r="S27" i="2" s="1"/>
  <c r="AQ215" i="2"/>
  <c r="AE215" i="2" s="1"/>
  <c r="S215" i="2" s="1"/>
  <c r="AQ512" i="2"/>
  <c r="AQ548" i="2"/>
  <c r="AE548" i="2" s="1"/>
  <c r="S548" i="2" s="1"/>
  <c r="AQ97" i="2"/>
  <c r="AE97" i="2" s="1"/>
  <c r="S97" i="2" s="1"/>
  <c r="AQ84" i="2"/>
  <c r="AE84" i="2" s="1"/>
  <c r="S84" i="2" s="1"/>
  <c r="AQ54" i="2"/>
  <c r="AE54" i="2" s="1"/>
  <c r="S54" i="2" s="1"/>
  <c r="AQ176" i="2"/>
  <c r="AE176" i="2" s="1"/>
  <c r="S176" i="2" s="1"/>
  <c r="AQ135" i="2"/>
  <c r="AE135" i="2" s="1"/>
  <c r="S135" i="2" s="1"/>
  <c r="AQ1212" i="2"/>
  <c r="AE1212" i="2" s="1"/>
  <c r="S1212" i="2" s="1"/>
  <c r="AU68" i="2"/>
  <c r="AU99" i="2"/>
  <c r="AU494" i="2"/>
  <c r="AU12" i="2"/>
  <c r="AU115" i="2"/>
  <c r="AU685" i="2"/>
  <c r="AU77" i="2"/>
  <c r="AU544" i="2"/>
  <c r="AU110" i="2"/>
  <c r="AU135" i="2"/>
  <c r="AU283" i="2"/>
  <c r="AU876" i="2"/>
  <c r="AU689" i="2"/>
  <c r="AU1164" i="2"/>
  <c r="AI1164" i="2" s="1"/>
  <c r="W1164" i="2" s="1"/>
  <c r="AU1183" i="2"/>
  <c r="AU981" i="2"/>
  <c r="AU392" i="2"/>
  <c r="AU1180" i="2"/>
  <c r="AU534" i="2"/>
  <c r="AU1063" i="2"/>
  <c r="AU595" i="2"/>
  <c r="AU1006" i="2"/>
  <c r="AU642" i="2"/>
  <c r="AU390" i="2"/>
  <c r="AU1122" i="2"/>
  <c r="AU1000" i="2"/>
  <c r="AU260" i="2"/>
  <c r="AU1112" i="2"/>
  <c r="AU550" i="2"/>
  <c r="AU1124" i="2"/>
  <c r="AI1124" i="2" s="1"/>
  <c r="W1124" i="2" s="1"/>
  <c r="AU192" i="2"/>
  <c r="AU1158" i="2"/>
  <c r="AU156" i="2"/>
  <c r="AU1091" i="2"/>
  <c r="AU702" i="2"/>
  <c r="AU767" i="2"/>
  <c r="AU1242" i="2"/>
  <c r="AU1030" i="2"/>
  <c r="AU847" i="2"/>
  <c r="AU870" i="2"/>
  <c r="AU277" i="2"/>
  <c r="AU793" i="2"/>
  <c r="AU1109" i="2"/>
  <c r="AU1139" i="2"/>
  <c r="AU839" i="2"/>
  <c r="AU867" i="2"/>
  <c r="AI867" i="2" s="1"/>
  <c r="W867" i="2" s="1"/>
  <c r="AU1099" i="2"/>
  <c r="AU190" i="2"/>
  <c r="AU934" i="2"/>
  <c r="AU892" i="2"/>
  <c r="AU908" i="2"/>
  <c r="AU447" i="2"/>
  <c r="AU503" i="2"/>
  <c r="AU844" i="2"/>
  <c r="AU429" i="2"/>
  <c r="AU629" i="2"/>
  <c r="AU224" i="2"/>
  <c r="AU444" i="2"/>
  <c r="AU652" i="2"/>
  <c r="AU206" i="2"/>
  <c r="AU371" i="2"/>
  <c r="AU467" i="2"/>
  <c r="AI467" i="2" s="1"/>
  <c r="W467" i="2" s="1"/>
  <c r="AU345" i="2"/>
  <c r="AU620" i="2"/>
  <c r="AU387" i="2"/>
  <c r="AU498" i="2"/>
  <c r="AU693" i="2"/>
  <c r="AU663" i="2"/>
  <c r="AU294" i="2"/>
  <c r="AU631" i="2"/>
  <c r="AU152" i="2"/>
  <c r="AU50" i="2"/>
  <c r="AU103" i="2"/>
  <c r="AU93" i="2"/>
  <c r="AU105" i="2"/>
  <c r="AU121" i="2"/>
  <c r="AU530" i="2"/>
  <c r="AU1011" i="2"/>
  <c r="AI1011" i="2" s="1"/>
  <c r="W1011" i="2" s="1"/>
  <c r="AU1205" i="2"/>
  <c r="AT673" i="2"/>
  <c r="AH673" i="2" s="1"/>
  <c r="V673" i="2" s="1"/>
  <c r="AT414" i="2"/>
  <c r="AH414" i="2" s="1"/>
  <c r="V414" i="2" s="1"/>
  <c r="AT69" i="2"/>
  <c r="AH69" i="2" s="1"/>
  <c r="V69" i="2" s="1"/>
  <c r="AT209" i="2"/>
  <c r="AH209" i="2" s="1"/>
  <c r="V209" i="2" s="1"/>
  <c r="AT158" i="2"/>
  <c r="AH158" i="2" s="1"/>
  <c r="V158" i="2" s="1"/>
  <c r="AT366" i="2"/>
  <c r="AH366" i="2" s="1"/>
  <c r="V366" i="2" s="1"/>
  <c r="AT825" i="2"/>
  <c r="AH825" i="2" s="1"/>
  <c r="V825" i="2" s="1"/>
  <c r="AT962" i="2"/>
  <c r="AH962" i="2" s="1"/>
  <c r="V962" i="2" s="1"/>
  <c r="AT1107" i="2"/>
  <c r="AH1107" i="2" s="1"/>
  <c r="V1107" i="2" s="1"/>
  <c r="AT853" i="2"/>
  <c r="AH853" i="2" s="1"/>
  <c r="V853" i="2" s="1"/>
  <c r="AT361" i="2"/>
  <c r="AH361" i="2" s="1"/>
  <c r="V361" i="2" s="1"/>
  <c r="AT1053" i="2"/>
  <c r="AH1053" i="2" s="1"/>
  <c r="V1053" i="2" s="1"/>
  <c r="AT1265" i="2"/>
  <c r="AH1265" i="2" s="1"/>
  <c r="V1265" i="2" s="1"/>
  <c r="AT259" i="2"/>
  <c r="AH259" i="2" s="1"/>
  <c r="V259" i="2" s="1"/>
  <c r="AT721" i="2"/>
  <c r="AH721" i="2" s="1"/>
  <c r="V721" i="2" s="1"/>
  <c r="AT350" i="2"/>
  <c r="AH350" i="2" s="1"/>
  <c r="V350" i="2" s="1"/>
  <c r="AT450" i="2"/>
  <c r="AH450" i="2" s="1"/>
  <c r="V450" i="2" s="1"/>
  <c r="AT1239" i="2"/>
  <c r="AH1239" i="2" s="1"/>
  <c r="V1239" i="2" s="1"/>
  <c r="AT288" i="2"/>
  <c r="AH288" i="2" s="1"/>
  <c r="V288" i="2" s="1"/>
  <c r="AT1097" i="2"/>
  <c r="AH1097" i="2" s="1"/>
  <c r="V1097" i="2" s="1"/>
  <c r="AT979" i="2"/>
  <c r="AH979" i="2" s="1"/>
  <c r="V979" i="2" s="1"/>
  <c r="AT998" i="2"/>
  <c r="AH998" i="2" s="1"/>
  <c r="V998" i="2" s="1"/>
  <c r="AT745" i="2"/>
  <c r="AH745" i="2" s="1"/>
  <c r="V745" i="2" s="1"/>
  <c r="AT628" i="2"/>
  <c r="AH628" i="2" s="1"/>
  <c r="V628" i="2" s="1"/>
  <c r="AT924" i="2"/>
  <c r="AH924" i="2" s="1"/>
  <c r="V924" i="2" s="1"/>
  <c r="AT1145" i="2"/>
  <c r="AH1145" i="2" s="1"/>
  <c r="V1145" i="2" s="1"/>
  <c r="AT750" i="2"/>
  <c r="AH750" i="2" s="1"/>
  <c r="V750" i="2" s="1"/>
  <c r="AT1149" i="2"/>
  <c r="AH1149" i="2" s="1"/>
  <c r="V1149" i="2" s="1"/>
  <c r="AT359" i="2"/>
  <c r="AH359" i="2" s="1"/>
  <c r="V359" i="2" s="1"/>
  <c r="AT729" i="2"/>
  <c r="AH729" i="2" s="1"/>
  <c r="V729" i="2" s="1"/>
  <c r="AT1272" i="2"/>
  <c r="AH1272" i="2" s="1"/>
  <c r="V1272" i="2" s="1"/>
  <c r="AT872" i="2"/>
  <c r="AH872" i="2" s="1"/>
  <c r="V872" i="2" s="1"/>
  <c r="AT1050" i="2"/>
  <c r="AH1050" i="2" s="1"/>
  <c r="V1050" i="2" s="1"/>
  <c r="AT1112" i="2"/>
  <c r="AH1112" i="2" s="1"/>
  <c r="V1112" i="2" s="1"/>
  <c r="AT1014" i="2"/>
  <c r="AH1014" i="2" s="1"/>
  <c r="V1014" i="2" s="1"/>
  <c r="AT846" i="2"/>
  <c r="AH846" i="2" s="1"/>
  <c r="V846" i="2" s="1"/>
  <c r="AT991" i="2"/>
  <c r="AH991" i="2" s="1"/>
  <c r="V991" i="2" s="1"/>
  <c r="AT1199" i="2"/>
  <c r="AH1199" i="2" s="1"/>
  <c r="V1199" i="2" s="1"/>
  <c r="AT1198" i="2"/>
  <c r="AH1198" i="2" s="1"/>
  <c r="V1198" i="2" s="1"/>
  <c r="AT541" i="2"/>
  <c r="AH541" i="2" s="1"/>
  <c r="V541" i="2" s="1"/>
  <c r="AT783" i="2"/>
  <c r="AH783" i="2" s="1"/>
  <c r="V783" i="2" s="1"/>
  <c r="AT734" i="2"/>
  <c r="AH734" i="2" s="1"/>
  <c r="V734" i="2" s="1"/>
  <c r="AT449" i="2"/>
  <c r="AH449" i="2" s="1"/>
  <c r="V449" i="2" s="1"/>
  <c r="AT701" i="2"/>
  <c r="AH701" i="2" s="1"/>
  <c r="V701" i="2" s="1"/>
  <c r="AT358" i="2"/>
  <c r="AH358" i="2" s="1"/>
  <c r="V358" i="2" s="1"/>
  <c r="AT680" i="2"/>
  <c r="AH680" i="2" s="1"/>
  <c r="V680" i="2" s="1"/>
  <c r="AT794" i="2"/>
  <c r="AH794" i="2" s="1"/>
  <c r="V794" i="2" s="1"/>
  <c r="AT395" i="2"/>
  <c r="AH395" i="2" s="1"/>
  <c r="V395" i="2" s="1"/>
  <c r="AT672" i="2"/>
  <c r="AH672" i="2" s="1"/>
  <c r="V672" i="2" s="1"/>
  <c r="AT234" i="2"/>
  <c r="AH234" i="2" s="1"/>
  <c r="V234" i="2" s="1"/>
  <c r="AT487" i="2"/>
  <c r="AH487" i="2" s="1"/>
  <c r="V487" i="2" s="1"/>
  <c r="AT709" i="2"/>
  <c r="AH709" i="2" s="1"/>
  <c r="V709" i="2" s="1"/>
  <c r="AT326" i="2"/>
  <c r="AH326" i="2" s="1"/>
  <c r="V326" i="2" s="1"/>
  <c r="AT424" i="2"/>
  <c r="AH424" i="2" s="1"/>
  <c r="V424" i="2" s="1"/>
  <c r="AT315" i="2"/>
  <c r="AH315" i="2" s="1"/>
  <c r="V315" i="2" s="1"/>
  <c r="AT702" i="2"/>
  <c r="AH702" i="2" s="1"/>
  <c r="V702" i="2" s="1"/>
  <c r="AT410" i="2"/>
  <c r="AH410" i="2" s="1"/>
  <c r="V410" i="2" s="1"/>
  <c r="AT189" i="2"/>
  <c r="AH189" i="2" s="1"/>
  <c r="V189" i="2" s="1"/>
  <c r="AT743" i="2"/>
  <c r="AH743" i="2" s="1"/>
  <c r="V743" i="2" s="1"/>
  <c r="AT456" i="2"/>
  <c r="AH456" i="2" s="1"/>
  <c r="V456" i="2" s="1"/>
  <c r="AT823" i="2"/>
  <c r="AH823" i="2" s="1"/>
  <c r="V823" i="2" s="1"/>
  <c r="AT455" i="2"/>
  <c r="AH455" i="2" s="1"/>
  <c r="V455" i="2" s="1"/>
  <c r="AT580" i="2"/>
  <c r="AH580" i="2" s="1"/>
  <c r="V580" i="2" s="1"/>
  <c r="AT176" i="2"/>
  <c r="AH176" i="2" s="1"/>
  <c r="V176" i="2" s="1"/>
  <c r="AT576" i="2"/>
  <c r="AH576" i="2" s="1"/>
  <c r="V576" i="2" s="1"/>
  <c r="AT172" i="2"/>
  <c r="AT89" i="2"/>
  <c r="AH89" i="2" s="1"/>
  <c r="V89" i="2" s="1"/>
  <c r="AT173" i="2"/>
  <c r="AH173" i="2" s="1"/>
  <c r="V173" i="2" s="1"/>
  <c r="AT86" i="2"/>
  <c r="AH86" i="2" s="1"/>
  <c r="V86" i="2" s="1"/>
  <c r="AT144" i="2"/>
  <c r="AH144" i="2" s="1"/>
  <c r="V144" i="2" s="1"/>
  <c r="AT108" i="2"/>
  <c r="AH108" i="2" s="1"/>
  <c r="V108" i="2" s="1"/>
  <c r="AT104" i="2"/>
  <c r="AH104" i="2" s="1"/>
  <c r="V104" i="2" s="1"/>
  <c r="AT70" i="2"/>
  <c r="AH70" i="2" s="1"/>
  <c r="V70" i="2" s="1"/>
  <c r="AT241" i="2"/>
  <c r="AH241" i="2" s="1"/>
  <c r="V241" i="2" s="1"/>
  <c r="AT447" i="2"/>
  <c r="AH447" i="2" s="1"/>
  <c r="V447" i="2" s="1"/>
  <c r="AT686" i="2"/>
  <c r="AH686" i="2" s="1"/>
  <c r="V686" i="2" s="1"/>
  <c r="AT836" i="2"/>
  <c r="AH836" i="2" s="1"/>
  <c r="V836" i="2" s="1"/>
  <c r="AT1011" i="2"/>
  <c r="AH1011" i="2" s="1"/>
  <c r="V1011" i="2" s="1"/>
  <c r="AT1202" i="2"/>
  <c r="AH1202" i="2" s="1"/>
  <c r="V1202" i="2" s="1"/>
  <c r="AJ1268" i="2"/>
  <c r="X1268" i="2" s="1"/>
  <c r="AJ1249" i="2"/>
  <c r="X1249" i="2" s="1"/>
  <c r="AJ1244" i="2"/>
  <c r="X1244" i="2" s="1"/>
  <c r="AJ1248" i="2"/>
  <c r="X1248" i="2" s="1"/>
  <c r="AJ1246" i="2"/>
  <c r="X1246" i="2" s="1"/>
  <c r="AJ1238" i="2"/>
  <c r="X1238" i="2" s="1"/>
  <c r="AJ1223" i="2"/>
  <c r="X1223" i="2" s="1"/>
  <c r="AJ1217" i="2"/>
  <c r="X1217" i="2" s="1"/>
  <c r="AJ1202" i="2"/>
  <c r="X1202" i="2" s="1"/>
  <c r="AJ1210" i="2"/>
  <c r="X1210" i="2" s="1"/>
  <c r="AJ1198" i="2"/>
  <c r="X1198" i="2" s="1"/>
  <c r="AJ1181" i="2"/>
  <c r="X1181" i="2" s="1"/>
  <c r="AJ1173" i="2"/>
  <c r="X1173" i="2" s="1"/>
  <c r="AJ1203" i="2"/>
  <c r="X1203" i="2" s="1"/>
  <c r="AJ1165" i="2"/>
  <c r="X1165" i="2" s="1"/>
  <c r="AJ1141" i="2"/>
  <c r="X1141" i="2" s="1"/>
  <c r="AJ1117" i="2"/>
  <c r="X1117" i="2" s="1"/>
  <c r="AJ1103" i="2"/>
  <c r="X1103" i="2" s="1"/>
  <c r="AJ1093" i="2"/>
  <c r="X1093" i="2" s="1"/>
  <c r="AJ1104" i="2"/>
  <c r="X1104" i="2" s="1"/>
  <c r="AJ1078" i="2"/>
  <c r="X1078" i="2" s="1"/>
  <c r="AJ1062" i="2"/>
  <c r="X1062" i="2" s="1"/>
  <c r="AJ1000" i="2"/>
  <c r="X1000" i="2" s="1"/>
  <c r="AJ1016" i="2"/>
  <c r="X1016" i="2" s="1"/>
  <c r="AJ1005" i="2"/>
  <c r="X1005" i="2" s="1"/>
  <c r="AJ999" i="2"/>
  <c r="X999" i="2" s="1"/>
  <c r="AJ958" i="2"/>
  <c r="X958" i="2" s="1"/>
  <c r="AJ966" i="2"/>
  <c r="X966" i="2" s="1"/>
  <c r="AJ982" i="2"/>
  <c r="X982" i="2" s="1"/>
  <c r="AJ936" i="2"/>
  <c r="X936" i="2" s="1"/>
  <c r="AJ955" i="2"/>
  <c r="X955" i="2" s="1"/>
  <c r="AJ940" i="2"/>
  <c r="X940" i="2" s="1"/>
  <c r="AJ917" i="2"/>
  <c r="X917" i="2" s="1"/>
  <c r="AJ914" i="2"/>
  <c r="X914" i="2" s="1"/>
  <c r="AJ931" i="2"/>
  <c r="X931" i="2" s="1"/>
  <c r="AJ878" i="2"/>
  <c r="X878" i="2" s="1"/>
  <c r="AJ859" i="2"/>
  <c r="X859" i="2" s="1"/>
  <c r="AJ841" i="2"/>
  <c r="X841" i="2" s="1"/>
  <c r="AJ826" i="2"/>
  <c r="X826" i="2" s="1"/>
  <c r="AJ832" i="2"/>
  <c r="X832" i="2" s="1"/>
  <c r="AJ851" i="2"/>
  <c r="X851" i="2" s="1"/>
  <c r="AJ827" i="2"/>
  <c r="X827" i="2" s="1"/>
  <c r="AJ804" i="2"/>
  <c r="X804" i="2" s="1"/>
  <c r="AJ791" i="2"/>
  <c r="X791" i="2" s="1"/>
  <c r="AJ821" i="2"/>
  <c r="X821" i="2" s="1"/>
  <c r="AJ806" i="2"/>
  <c r="X806" i="2" s="1"/>
  <c r="AJ780" i="2"/>
  <c r="X780" i="2" s="1"/>
  <c r="AJ805" i="2"/>
  <c r="X805" i="2" s="1"/>
  <c r="AJ764" i="2"/>
  <c r="X764" i="2" s="1"/>
  <c r="AJ761" i="2"/>
  <c r="X761" i="2" s="1"/>
  <c r="AJ792" i="2"/>
  <c r="X792" i="2" s="1"/>
  <c r="AJ782" i="2"/>
  <c r="X782" i="2" s="1"/>
  <c r="AJ721" i="2"/>
  <c r="X721" i="2" s="1"/>
  <c r="AJ723" i="2"/>
  <c r="X723" i="2" s="1"/>
  <c r="AJ653" i="2"/>
  <c r="X653" i="2" s="1"/>
  <c r="AJ645" i="2"/>
  <c r="X645" i="2" s="1"/>
  <c r="AJ591" i="2"/>
  <c r="X591" i="2" s="1"/>
  <c r="AJ537" i="2"/>
  <c r="X537" i="2" s="1"/>
  <c r="AJ587" i="2"/>
  <c r="X587" i="2" s="1"/>
  <c r="AJ590" i="2"/>
  <c r="X590" i="2" s="1"/>
  <c r="AJ626" i="2"/>
  <c r="X626" i="2" s="1"/>
  <c r="AJ607" i="2"/>
  <c r="X607" i="2" s="1"/>
  <c r="AJ610" i="2"/>
  <c r="X610" i="2" s="1"/>
  <c r="AJ535" i="2"/>
  <c r="X535" i="2" s="1"/>
  <c r="AJ552" i="2"/>
  <c r="X552" i="2" s="1"/>
  <c r="AJ595" i="2"/>
  <c r="X595" i="2" s="1"/>
  <c r="AJ532" i="2"/>
  <c r="X532" i="2" s="1"/>
  <c r="AJ426" i="2"/>
  <c r="X426" i="2" s="1"/>
  <c r="AJ410" i="2"/>
  <c r="X410" i="2" s="1"/>
  <c r="AJ492" i="2"/>
  <c r="X492" i="2" s="1"/>
  <c r="AJ473" i="2"/>
  <c r="X473" i="2" s="1"/>
  <c r="AJ454" i="2"/>
  <c r="X454" i="2" s="1"/>
  <c r="AJ508" i="2"/>
  <c r="X508" i="2" s="1"/>
  <c r="AJ462" i="2"/>
  <c r="X462" i="2" s="1"/>
  <c r="AJ439" i="2"/>
  <c r="X439" i="2" s="1"/>
  <c r="AJ422" i="2"/>
  <c r="X422" i="2" s="1"/>
  <c r="AJ407" i="2"/>
  <c r="X407" i="2" s="1"/>
  <c r="AJ424" i="2"/>
  <c r="X424" i="2" s="1"/>
  <c r="AJ394" i="2"/>
  <c r="X394" i="2" s="1"/>
  <c r="AJ349" i="2"/>
  <c r="X349" i="2" s="1"/>
  <c r="AJ309" i="2"/>
  <c r="X309" i="2" s="1"/>
  <c r="AJ293" i="2"/>
  <c r="X293" i="2" s="1"/>
  <c r="AJ277" i="2"/>
  <c r="X277" i="2" s="1"/>
  <c r="AJ311" i="2"/>
  <c r="X311" i="2" s="1"/>
  <c r="AJ295" i="2"/>
  <c r="X295" i="2" s="1"/>
  <c r="AJ335" i="2"/>
  <c r="X335" i="2" s="1"/>
  <c r="AJ381" i="2"/>
  <c r="X381" i="2" s="1"/>
  <c r="AJ320" i="2"/>
  <c r="X320" i="2" s="1"/>
  <c r="AJ250" i="2"/>
  <c r="X250" i="2" s="1"/>
  <c r="AJ233" i="2"/>
  <c r="X233" i="2" s="1"/>
  <c r="AJ365" i="2"/>
  <c r="X365" i="2" s="1"/>
  <c r="AJ273" i="2"/>
  <c r="X273" i="2" s="1"/>
  <c r="AJ304" i="2"/>
  <c r="X304" i="2" s="1"/>
  <c r="AJ288" i="2"/>
  <c r="X288" i="2" s="1"/>
  <c r="AJ279" i="2"/>
  <c r="X279" i="2" s="1"/>
  <c r="AJ264" i="2"/>
  <c r="X264" i="2" s="1"/>
  <c r="AJ260" i="2"/>
  <c r="X260" i="2" s="1"/>
  <c r="AJ249" i="2"/>
  <c r="X249" i="2" s="1"/>
  <c r="AJ232" i="2"/>
  <c r="X232" i="2" s="1"/>
  <c r="AJ200" i="2"/>
  <c r="X200" i="2" s="1"/>
  <c r="AJ217" i="2"/>
  <c r="X217" i="2" s="1"/>
  <c r="AJ216" i="2"/>
  <c r="X216" i="2" s="1"/>
  <c r="AJ202" i="2"/>
  <c r="X202" i="2" s="1"/>
  <c r="AJ132" i="2"/>
  <c r="X132" i="2" s="1"/>
  <c r="AJ155" i="2"/>
  <c r="X155" i="2" s="1"/>
  <c r="AJ127" i="2"/>
  <c r="X127" i="2" s="1"/>
  <c r="AJ87" i="2"/>
  <c r="X87" i="2" s="1"/>
  <c r="AJ47" i="2"/>
  <c r="X47" i="2" s="1"/>
  <c r="AJ50" i="2"/>
  <c r="X50" i="2" s="1"/>
  <c r="AJ111" i="2"/>
  <c r="X111" i="2" s="1"/>
  <c r="AJ95" i="2"/>
  <c r="X95" i="2" s="1"/>
  <c r="AJ34" i="2"/>
  <c r="X34" i="2" s="1"/>
  <c r="AJ31" i="2"/>
  <c r="X31" i="2" s="1"/>
  <c r="AJ20" i="2"/>
  <c r="X20" i="2" s="1"/>
  <c r="AJ18" i="2"/>
  <c r="X18" i="2" s="1"/>
  <c r="AJ43" i="2"/>
  <c r="X43" i="2" s="1"/>
  <c r="AJ23" i="2"/>
  <c r="X23" i="2" s="1"/>
  <c r="AJ56" i="2"/>
  <c r="X56" i="2" s="1"/>
  <c r="AJ97" i="2"/>
  <c r="X97" i="2" s="1"/>
  <c r="AJ143" i="2"/>
  <c r="X143" i="2" s="1"/>
  <c r="AJ110" i="2"/>
  <c r="X110" i="2" s="1"/>
  <c r="AJ151" i="2"/>
  <c r="X151" i="2" s="1"/>
  <c r="AJ190" i="2"/>
  <c r="X190" i="2" s="1"/>
  <c r="AJ41" i="2"/>
  <c r="X41" i="2" s="1"/>
  <c r="AJ39" i="2"/>
  <c r="X39" i="2" s="1"/>
  <c r="AJ46" i="2"/>
  <c r="X46" i="2" s="1"/>
  <c r="AJ114" i="2"/>
  <c r="X114" i="2" s="1"/>
  <c r="AJ199" i="2"/>
  <c r="X199" i="2" s="1"/>
  <c r="AJ157" i="2"/>
  <c r="X157" i="2" s="1"/>
  <c r="AJ30" i="2"/>
  <c r="X30" i="2" s="1"/>
  <c r="AJ109" i="2"/>
  <c r="X109" i="2" s="1"/>
  <c r="AJ138" i="2"/>
  <c r="X138" i="2" s="1"/>
  <c r="AJ103" i="2"/>
  <c r="X103" i="2" s="1"/>
  <c r="AJ172" i="2"/>
  <c r="X172" i="2" s="1"/>
  <c r="AJ173" i="2"/>
  <c r="X173" i="2" s="1"/>
  <c r="AJ15" i="2"/>
  <c r="X15" i="2" s="1"/>
  <c r="AJ58" i="2"/>
  <c r="X58" i="2" s="1"/>
  <c r="AJ44" i="2"/>
  <c r="X44" i="2" s="1"/>
  <c r="AJ35" i="2"/>
  <c r="X35" i="2" s="1"/>
  <c r="AJ67" i="2"/>
  <c r="X67" i="2" s="1"/>
  <c r="AJ59" i="2"/>
  <c r="X59" i="2" s="1"/>
  <c r="AJ75" i="2"/>
  <c r="X75" i="2" s="1"/>
  <c r="AJ55" i="2"/>
  <c r="X55" i="2" s="1"/>
  <c r="AJ69" i="2"/>
  <c r="X69" i="2" s="1"/>
  <c r="AJ86" i="2"/>
  <c r="X86" i="2" s="1"/>
  <c r="AJ142" i="2"/>
  <c r="X142" i="2" s="1"/>
  <c r="AJ108" i="2"/>
  <c r="X108" i="2" s="1"/>
  <c r="AJ106" i="2"/>
  <c r="X106" i="2" s="1"/>
  <c r="AJ205" i="2"/>
  <c r="X205" i="2" s="1"/>
  <c r="AJ21" i="2"/>
  <c r="X21" i="2" s="1"/>
  <c r="AJ126" i="2"/>
  <c r="X126" i="2" s="1"/>
  <c r="AJ10" i="2"/>
  <c r="X10" i="2" s="1"/>
  <c r="AJ79" i="2"/>
  <c r="X79" i="2" s="1"/>
  <c r="AJ149" i="2"/>
  <c r="X149" i="2" s="1"/>
  <c r="AJ90" i="2"/>
  <c r="X90" i="2" s="1"/>
  <c r="AJ124" i="2"/>
  <c r="X124" i="2" s="1"/>
  <c r="AJ187" i="2"/>
  <c r="X187" i="2" s="1"/>
  <c r="AJ214" i="2"/>
  <c r="X214" i="2" s="1"/>
  <c r="AJ11" i="2"/>
  <c r="X11" i="2" s="1"/>
  <c r="AJ81" i="2"/>
  <c r="X81" i="2" s="1"/>
  <c r="AJ118" i="2"/>
  <c r="X118" i="2" s="1"/>
  <c r="AJ146" i="2"/>
  <c r="X146" i="2" s="1"/>
  <c r="AJ57" i="2"/>
  <c r="X57" i="2" s="1"/>
  <c r="AJ70" i="2"/>
  <c r="X70" i="2" s="1"/>
  <c r="AJ26" i="2"/>
  <c r="X26" i="2" s="1"/>
  <c r="AJ117" i="2"/>
  <c r="X117" i="2" s="1"/>
  <c r="AJ121" i="2"/>
  <c r="X121" i="2" s="1"/>
  <c r="AJ119" i="2"/>
  <c r="X119" i="2" s="1"/>
  <c r="AJ122" i="2"/>
  <c r="X122" i="2" s="1"/>
  <c r="AJ12" i="2"/>
  <c r="X12" i="2" s="1"/>
  <c r="AJ77" i="2"/>
  <c r="X77" i="2" s="1"/>
  <c r="AJ28" i="2"/>
  <c r="X28" i="2" s="1"/>
  <c r="AJ53" i="2"/>
  <c r="X53" i="2" s="1"/>
  <c r="AJ129" i="2"/>
  <c r="X129" i="2" s="1"/>
  <c r="AJ92" i="2"/>
  <c r="X92" i="2" s="1"/>
  <c r="AJ123" i="2"/>
  <c r="X123" i="2" s="1"/>
  <c r="AJ158" i="2"/>
  <c r="X158" i="2" s="1"/>
  <c r="AJ159" i="2"/>
  <c r="X159" i="2" s="1"/>
  <c r="AJ107" i="2"/>
  <c r="X107" i="2" s="1"/>
  <c r="AJ54" i="2"/>
  <c r="X54" i="2" s="1"/>
  <c r="AJ130" i="2"/>
  <c r="X130" i="2" s="1"/>
  <c r="AJ98" i="2"/>
  <c r="X98" i="2" s="1"/>
  <c r="AJ136" i="2"/>
  <c r="X136" i="2" s="1"/>
  <c r="AJ141" i="2"/>
  <c r="X141" i="2" s="1"/>
  <c r="AJ42" i="2"/>
  <c r="X42" i="2" s="1"/>
  <c r="AJ60" i="2"/>
  <c r="X60" i="2" s="1"/>
  <c r="AJ175" i="2"/>
  <c r="X175" i="2" s="1"/>
  <c r="AJ154" i="2"/>
  <c r="X154" i="2" s="1"/>
  <c r="AJ185" i="2"/>
  <c r="X185" i="2" s="1"/>
  <c r="AJ37" i="2"/>
  <c r="X37" i="2" s="1"/>
  <c r="AJ105" i="2"/>
  <c r="X105" i="2" s="1"/>
  <c r="AJ128" i="2"/>
  <c r="X128" i="2" s="1"/>
  <c r="AJ125" i="2"/>
  <c r="X125" i="2" s="1"/>
  <c r="AJ14" i="2"/>
  <c r="X14" i="2" s="1"/>
  <c r="AJ80" i="2"/>
  <c r="X80" i="2" s="1"/>
  <c r="AJ96" i="2"/>
  <c r="X96" i="2" s="1"/>
  <c r="AJ113" i="2"/>
  <c r="X113" i="2" s="1"/>
  <c r="AJ186" i="2"/>
  <c r="X186" i="2" s="1"/>
  <c r="AJ166" i="2"/>
  <c r="X166" i="2" s="1"/>
  <c r="AJ188" i="2"/>
  <c r="X188" i="2" s="1"/>
  <c r="AJ241" i="2"/>
  <c r="X241" i="2" s="1"/>
  <c r="AJ300" i="2"/>
  <c r="X300" i="2" s="1"/>
  <c r="AJ322" i="2"/>
  <c r="X322" i="2" s="1"/>
  <c r="AJ267" i="2"/>
  <c r="X267" i="2" s="1"/>
  <c r="AJ368" i="2"/>
  <c r="X368" i="2" s="1"/>
  <c r="AJ452" i="2"/>
  <c r="X452" i="2" s="1"/>
  <c r="AJ377" i="2"/>
  <c r="X377" i="2" s="1"/>
  <c r="AJ500" i="2"/>
  <c r="X500" i="2" s="1"/>
  <c r="AJ547" i="2"/>
  <c r="X547" i="2" s="1"/>
  <c r="AJ539" i="2"/>
  <c r="X539" i="2" s="1"/>
  <c r="AJ548" i="2"/>
  <c r="X548" i="2" s="1"/>
  <c r="AJ604" i="2"/>
  <c r="X604" i="2" s="1"/>
  <c r="AJ665" i="2"/>
  <c r="X665" i="2" s="1"/>
  <c r="AJ689" i="2"/>
  <c r="X689" i="2" s="1"/>
  <c r="AJ741" i="2"/>
  <c r="X741" i="2" s="1"/>
  <c r="AJ40" i="2"/>
  <c r="X40" i="2" s="1"/>
  <c r="AJ230" i="2"/>
  <c r="X230" i="2" s="1"/>
  <c r="AJ210" i="2"/>
  <c r="X210" i="2" s="1"/>
  <c r="AJ247" i="2"/>
  <c r="X247" i="2" s="1"/>
  <c r="AJ319" i="2"/>
  <c r="X319" i="2" s="1"/>
  <c r="AJ325" i="2"/>
  <c r="X325" i="2" s="1"/>
  <c r="AJ312" i="2"/>
  <c r="X312" i="2" s="1"/>
  <c r="AJ314" i="2"/>
  <c r="X314" i="2" s="1"/>
  <c r="AJ299" i="2"/>
  <c r="X299" i="2" s="1"/>
  <c r="AJ384" i="2"/>
  <c r="X384" i="2" s="1"/>
  <c r="AJ402" i="2"/>
  <c r="X402" i="2" s="1"/>
  <c r="AJ479" i="2"/>
  <c r="X479" i="2" s="1"/>
  <c r="AJ378" i="2"/>
  <c r="X378" i="2" s="1"/>
  <c r="AJ435" i="2"/>
  <c r="X435" i="2" s="1"/>
  <c r="AJ465" i="2"/>
  <c r="X465" i="2" s="1"/>
  <c r="AJ474" i="2"/>
  <c r="X474" i="2" s="1"/>
  <c r="AJ583" i="2"/>
  <c r="X583" i="2" s="1"/>
  <c r="AJ529" i="2"/>
  <c r="X529" i="2" s="1"/>
  <c r="AJ614" i="2"/>
  <c r="X614" i="2" s="1"/>
  <c r="AJ704" i="2"/>
  <c r="X704" i="2" s="1"/>
  <c r="AJ696" i="2"/>
  <c r="X696" i="2" s="1"/>
  <c r="AJ683" i="2"/>
  <c r="X683" i="2" s="1"/>
  <c r="AJ742" i="2"/>
  <c r="X742" i="2" s="1"/>
  <c r="AJ807" i="2"/>
  <c r="X807" i="2" s="1"/>
  <c r="AJ174" i="2"/>
  <c r="X174" i="2" s="1"/>
  <c r="AJ208" i="2"/>
  <c r="X208" i="2" s="1"/>
  <c r="AJ243" i="2"/>
  <c r="X243" i="2" s="1"/>
  <c r="AJ272" i="2"/>
  <c r="X272" i="2" s="1"/>
  <c r="AJ280" i="2"/>
  <c r="X280" i="2" s="1"/>
  <c r="AJ363" i="2"/>
  <c r="X363" i="2" s="1"/>
  <c r="AJ423" i="2"/>
  <c r="X423" i="2" s="1"/>
  <c r="AJ345" i="2"/>
  <c r="X345" i="2" s="1"/>
  <c r="AJ323" i="2"/>
  <c r="X323" i="2" s="1"/>
  <c r="AJ456" i="2"/>
  <c r="X456" i="2" s="1"/>
  <c r="AJ411" i="2"/>
  <c r="X411" i="2" s="1"/>
  <c r="AJ528" i="2"/>
  <c r="X528" i="2" s="1"/>
  <c r="AJ551" i="2"/>
  <c r="X551" i="2" s="1"/>
  <c r="AJ649" i="2"/>
  <c r="X649" i="2" s="1"/>
  <c r="AJ605" i="2"/>
  <c r="X605" i="2" s="1"/>
  <c r="AJ686" i="2"/>
  <c r="X686" i="2" s="1"/>
  <c r="AJ762" i="2"/>
  <c r="X762" i="2" s="1"/>
  <c r="AJ767" i="2"/>
  <c r="X767" i="2" s="1"/>
  <c r="AJ739" i="2"/>
  <c r="X739" i="2" s="1"/>
  <c r="AJ818" i="2"/>
  <c r="X818" i="2" s="1"/>
  <c r="AJ836" i="2"/>
  <c r="X836" i="2" s="1"/>
  <c r="AJ38" i="2"/>
  <c r="X38" i="2" s="1"/>
  <c r="AJ191" i="2"/>
  <c r="X191" i="2" s="1"/>
  <c r="AJ189" i="2"/>
  <c r="X189" i="2" s="1"/>
  <c r="AJ218" i="2"/>
  <c r="X218" i="2" s="1"/>
  <c r="AJ222" i="2"/>
  <c r="X222" i="2" s="1"/>
  <c r="AJ301" i="2"/>
  <c r="X301" i="2" s="1"/>
  <c r="AJ286" i="2"/>
  <c r="X286" i="2" s="1"/>
  <c r="AJ284" i="2"/>
  <c r="X284" i="2" s="1"/>
  <c r="AJ364" i="2"/>
  <c r="X364" i="2" s="1"/>
  <c r="AJ440" i="2"/>
  <c r="X440" i="2" s="1"/>
  <c r="AJ510" i="2"/>
  <c r="X510" i="2" s="1"/>
  <c r="AJ601" i="2"/>
  <c r="X601" i="2" s="1"/>
  <c r="AJ546" i="2"/>
  <c r="X546" i="2" s="1"/>
  <c r="AJ609" i="2"/>
  <c r="X609" i="2" s="1"/>
  <c r="AJ698" i="2"/>
  <c r="X698" i="2" s="1"/>
  <c r="AJ640" i="2"/>
  <c r="X640" i="2" s="1"/>
  <c r="AJ636" i="2"/>
  <c r="X636" i="2" s="1"/>
  <c r="AJ711" i="2"/>
  <c r="X711" i="2" s="1"/>
  <c r="AJ652" i="2"/>
  <c r="X652" i="2" s="1"/>
  <c r="AJ688" i="2"/>
  <c r="X688" i="2" s="1"/>
  <c r="AJ734" i="2"/>
  <c r="X734" i="2" s="1"/>
  <c r="AJ746" i="2"/>
  <c r="X746" i="2" s="1"/>
  <c r="AJ287" i="2"/>
  <c r="X287" i="2" s="1"/>
  <c r="AJ307" i="2"/>
  <c r="X307" i="2" s="1"/>
  <c r="AJ291" i="2"/>
  <c r="X291" i="2" s="1"/>
  <c r="AJ443" i="2"/>
  <c r="X443" i="2" s="1"/>
  <c r="AJ416" i="2"/>
  <c r="X416" i="2" s="1"/>
  <c r="AJ427" i="2"/>
  <c r="X427" i="2" s="1"/>
  <c r="AJ78" i="2"/>
  <c r="X78" i="2" s="1"/>
  <c r="AJ234" i="2"/>
  <c r="X234" i="2" s="1"/>
  <c r="AJ306" i="2"/>
  <c r="X306" i="2" s="1"/>
  <c r="AJ469" i="2"/>
  <c r="X469" i="2" s="1"/>
  <c r="AJ376" i="2"/>
  <c r="X376" i="2" s="1"/>
  <c r="AJ507" i="2"/>
  <c r="X507" i="2" s="1"/>
  <c r="AJ518" i="2"/>
  <c r="X518" i="2" s="1"/>
  <c r="AJ505" i="2"/>
  <c r="X505" i="2" s="1"/>
  <c r="AJ533" i="2"/>
  <c r="X533" i="2" s="1"/>
  <c r="AJ655" i="2"/>
  <c r="X655" i="2" s="1"/>
  <c r="AJ639" i="2"/>
  <c r="X639" i="2" s="1"/>
  <c r="AJ630" i="2"/>
  <c r="X630" i="2" s="1"/>
  <c r="AJ643" i="2"/>
  <c r="X643" i="2" s="1"/>
  <c r="AJ700" i="2"/>
  <c r="X700" i="2" s="1"/>
  <c r="AJ712" i="2"/>
  <c r="X712" i="2" s="1"/>
  <c r="AJ676" i="2"/>
  <c r="X676" i="2" s="1"/>
  <c r="AJ679" i="2"/>
  <c r="X679" i="2" s="1"/>
  <c r="AJ749" i="2"/>
  <c r="X749" i="2" s="1"/>
  <c r="AJ772" i="2"/>
  <c r="X772" i="2" s="1"/>
  <c r="AJ751" i="2"/>
  <c r="X751" i="2" s="1"/>
  <c r="AJ756" i="2"/>
  <c r="X756" i="2" s="1"/>
  <c r="AJ150" i="2"/>
  <c r="X150" i="2" s="1"/>
  <c r="AJ194" i="2"/>
  <c r="X194" i="2" s="1"/>
  <c r="AJ236" i="2"/>
  <c r="X236" i="2" s="1"/>
  <c r="AJ289" i="2"/>
  <c r="X289" i="2" s="1"/>
  <c r="AJ316" i="2"/>
  <c r="X316" i="2" s="1"/>
  <c r="AJ375" i="2"/>
  <c r="X375" i="2" s="1"/>
  <c r="AJ362" i="2"/>
  <c r="X362" i="2" s="1"/>
  <c r="AJ401" i="2"/>
  <c r="X401" i="2" s="1"/>
  <c r="AJ393" i="2"/>
  <c r="X393" i="2" s="1"/>
  <c r="AJ420" i="2"/>
  <c r="X420" i="2" s="1"/>
  <c r="AJ404" i="2"/>
  <c r="X404" i="2" s="1"/>
  <c r="AJ475" i="2"/>
  <c r="X475" i="2" s="1"/>
  <c r="AJ536" i="2"/>
  <c r="X536" i="2" s="1"/>
  <c r="AJ470" i="2"/>
  <c r="X470" i="2" s="1"/>
  <c r="AJ550" i="2"/>
  <c r="X550" i="2" s="1"/>
  <c r="AJ556" i="2"/>
  <c r="X556" i="2" s="1"/>
  <c r="AJ578" i="2"/>
  <c r="X578" i="2" s="1"/>
  <c r="AJ567" i="2"/>
  <c r="X567" i="2" s="1"/>
  <c r="AJ641" i="2"/>
  <c r="X641" i="2" s="1"/>
  <c r="AJ581" i="2"/>
  <c r="X581" i="2" s="1"/>
  <c r="AJ702" i="2"/>
  <c r="X702" i="2" s="1"/>
  <c r="AJ657" i="2"/>
  <c r="X657" i="2" s="1"/>
  <c r="AJ693" i="2"/>
  <c r="X693" i="2" s="1"/>
  <c r="AJ726" i="2"/>
  <c r="X726" i="2" s="1"/>
  <c r="AJ62" i="2"/>
  <c r="X62" i="2" s="1"/>
  <c r="AJ170" i="2"/>
  <c r="X170" i="2" s="1"/>
  <c r="AJ265" i="2"/>
  <c r="X265" i="2" s="1"/>
  <c r="AJ290" i="2"/>
  <c r="X290" i="2" s="1"/>
  <c r="AJ315" i="2"/>
  <c r="X315" i="2" s="1"/>
  <c r="AJ336" i="2"/>
  <c r="X336" i="2" s="1"/>
  <c r="AJ352" i="2"/>
  <c r="X352" i="2" s="1"/>
  <c r="AJ339" i="2"/>
  <c r="X339" i="2" s="1"/>
  <c r="AJ387" i="2"/>
  <c r="X387" i="2" s="1"/>
  <c r="AJ388" i="2"/>
  <c r="X388" i="2" s="1"/>
  <c r="AJ491" i="2"/>
  <c r="X491" i="2" s="1"/>
  <c r="AJ399" i="2"/>
  <c r="X399" i="2" s="1"/>
  <c r="AJ441" i="2"/>
  <c r="X441" i="2" s="1"/>
  <c r="AJ436" i="2"/>
  <c r="X436" i="2" s="1"/>
  <c r="AJ449" i="2"/>
  <c r="X449" i="2" s="1"/>
  <c r="AJ458" i="2"/>
  <c r="X458" i="2" s="1"/>
  <c r="AJ503" i="2"/>
  <c r="X503" i="2" s="1"/>
  <c r="AJ568" i="2"/>
  <c r="X568" i="2" s="1"/>
  <c r="AJ565" i="2"/>
  <c r="X565" i="2" s="1"/>
  <c r="AJ625" i="2"/>
  <c r="X625" i="2" s="1"/>
  <c r="AJ617" i="2"/>
  <c r="X617" i="2" s="1"/>
  <c r="AJ597" i="2"/>
  <c r="X597" i="2" s="1"/>
  <c r="AJ681" i="2"/>
  <c r="X681" i="2" s="1"/>
  <c r="AJ651" i="2"/>
  <c r="X651" i="2" s="1"/>
  <c r="AJ766" i="2"/>
  <c r="X766" i="2" s="1"/>
  <c r="AJ776" i="2"/>
  <c r="X776" i="2" s="1"/>
  <c r="AJ824" i="2"/>
  <c r="X824" i="2" s="1"/>
  <c r="AJ246" i="2"/>
  <c r="X246" i="2" s="1"/>
  <c r="AJ392" i="2"/>
  <c r="X392" i="2" s="1"/>
  <c r="AJ476" i="2"/>
  <c r="X476" i="2" s="1"/>
  <c r="AJ403" i="2"/>
  <c r="X403" i="2" s="1"/>
  <c r="AJ490" i="2"/>
  <c r="X490" i="2" s="1"/>
  <c r="AJ472" i="2"/>
  <c r="X472" i="2" s="1"/>
  <c r="AJ549" i="2"/>
  <c r="X549" i="2" s="1"/>
  <c r="AJ592" i="2"/>
  <c r="X592" i="2" s="1"/>
  <c r="AJ624" i="2"/>
  <c r="X624" i="2" s="1"/>
  <c r="AJ572" i="2"/>
  <c r="X572" i="2" s="1"/>
  <c r="AJ661" i="2"/>
  <c r="X661" i="2" s="1"/>
  <c r="AJ602" i="2"/>
  <c r="X602" i="2" s="1"/>
  <c r="AJ622" i="2"/>
  <c r="X622" i="2" s="1"/>
  <c r="AJ695" i="2"/>
  <c r="X695" i="2" s="1"/>
  <c r="AJ783" i="2"/>
  <c r="X783" i="2" s="1"/>
  <c r="AJ777" i="2"/>
  <c r="X777" i="2" s="1"/>
  <c r="AJ72" i="2"/>
  <c r="X72" i="2" s="1"/>
  <c r="AJ112" i="2"/>
  <c r="X112" i="2" s="1"/>
  <c r="AJ211" i="2"/>
  <c r="X211" i="2" s="1"/>
  <c r="AJ258" i="2"/>
  <c r="X258" i="2" s="1"/>
  <c r="AJ302" i="2"/>
  <c r="X302" i="2" s="1"/>
  <c r="AJ305" i="2"/>
  <c r="X305" i="2" s="1"/>
  <c r="AJ534" i="2"/>
  <c r="X534" i="2" s="1"/>
  <c r="AJ509" i="2"/>
  <c r="X509" i="2" s="1"/>
  <c r="AJ559" i="2"/>
  <c r="X559" i="2" s="1"/>
  <c r="AJ562" i="2"/>
  <c r="X562" i="2" s="1"/>
  <c r="AJ575" i="2"/>
  <c r="X575" i="2" s="1"/>
  <c r="AJ660" i="2"/>
  <c r="X660" i="2" s="1"/>
  <c r="AJ648" i="2"/>
  <c r="X648" i="2" s="1"/>
  <c r="AJ603" i="2"/>
  <c r="X603" i="2" s="1"/>
  <c r="AJ725" i="2"/>
  <c r="X725" i="2" s="1"/>
  <c r="AJ729" i="2"/>
  <c r="X729" i="2" s="1"/>
  <c r="AJ779" i="2"/>
  <c r="X779" i="2" s="1"/>
  <c r="AJ156" i="2"/>
  <c r="X156" i="2" s="1"/>
  <c r="AJ227" i="2"/>
  <c r="X227" i="2" s="1"/>
  <c r="AJ231" i="2"/>
  <c r="X231" i="2" s="1"/>
  <c r="AJ324" i="2"/>
  <c r="X324" i="2" s="1"/>
  <c r="AJ332" i="2"/>
  <c r="X332" i="2" s="1"/>
  <c r="AJ281" i="2"/>
  <c r="X281" i="2" s="1"/>
  <c r="AJ269" i="2"/>
  <c r="X269" i="2" s="1"/>
  <c r="AJ408" i="2"/>
  <c r="X408" i="2" s="1"/>
  <c r="AJ359" i="2"/>
  <c r="X359" i="2" s="1"/>
  <c r="AJ419" i="2"/>
  <c r="X419" i="2" s="1"/>
  <c r="AJ442" i="2"/>
  <c r="X442" i="2" s="1"/>
  <c r="AJ467" i="2"/>
  <c r="X467" i="2" s="1"/>
  <c r="AJ685" i="2"/>
  <c r="X685" i="2" s="1"/>
  <c r="AJ654" i="2"/>
  <c r="X654" i="2" s="1"/>
  <c r="AJ656" i="2"/>
  <c r="X656" i="2" s="1"/>
  <c r="AJ621" i="2"/>
  <c r="X621" i="2" s="1"/>
  <c r="AJ692" i="2"/>
  <c r="X692" i="2" s="1"/>
  <c r="AJ682" i="2"/>
  <c r="X682" i="2" s="1"/>
  <c r="AJ51" i="2"/>
  <c r="X51" i="2" s="1"/>
  <c r="AJ192" i="2"/>
  <c r="X192" i="2" s="1"/>
  <c r="AJ178" i="2"/>
  <c r="X178" i="2" s="1"/>
  <c r="AJ212" i="2"/>
  <c r="X212" i="2" s="1"/>
  <c r="AJ228" i="2"/>
  <c r="X228" i="2" s="1"/>
  <c r="AJ253" i="2"/>
  <c r="X253" i="2" s="1"/>
  <c r="AJ329" i="2"/>
  <c r="X329" i="2" s="1"/>
  <c r="AJ303" i="2"/>
  <c r="X303" i="2" s="1"/>
  <c r="AJ343" i="2"/>
  <c r="X343" i="2" s="1"/>
  <c r="AJ425" i="2"/>
  <c r="X425" i="2" s="1"/>
  <c r="AJ421" i="2"/>
  <c r="X421" i="2" s="1"/>
  <c r="AJ434" i="2"/>
  <c r="X434" i="2" s="1"/>
  <c r="AJ486" i="2"/>
  <c r="X486" i="2" s="1"/>
  <c r="AJ495" i="2"/>
  <c r="X495" i="2" s="1"/>
  <c r="AJ566" i="2"/>
  <c r="X566" i="2" s="1"/>
  <c r="AJ579" i="2"/>
  <c r="X579" i="2" s="1"/>
  <c r="AJ611" i="2"/>
  <c r="X611" i="2" s="1"/>
  <c r="AJ732" i="2"/>
  <c r="X732" i="2" s="1"/>
  <c r="AJ182" i="2"/>
  <c r="X182" i="2" s="1"/>
  <c r="AJ251" i="2"/>
  <c r="X251" i="2" s="1"/>
  <c r="AJ245" i="2"/>
  <c r="X245" i="2" s="1"/>
  <c r="AJ244" i="2"/>
  <c r="X244" i="2" s="1"/>
  <c r="AJ213" i="2"/>
  <c r="X213" i="2" s="1"/>
  <c r="AJ317" i="2"/>
  <c r="X317" i="2" s="1"/>
  <c r="AJ379" i="2"/>
  <c r="X379" i="2" s="1"/>
  <c r="AJ450" i="2"/>
  <c r="X450" i="2" s="1"/>
  <c r="AJ516" i="2"/>
  <c r="X516" i="2" s="1"/>
  <c r="AJ506" i="2"/>
  <c r="X506" i="2" s="1"/>
  <c r="AJ489" i="2"/>
  <c r="X489" i="2" s="1"/>
  <c r="AJ493" i="2"/>
  <c r="X493" i="2" s="1"/>
  <c r="AJ569" i="2"/>
  <c r="X569" i="2" s="1"/>
  <c r="AJ554" i="2"/>
  <c r="X554" i="2" s="1"/>
  <c r="AJ563" i="2"/>
  <c r="X563" i="2" s="1"/>
  <c r="AJ618" i="2"/>
  <c r="X618" i="2" s="1"/>
  <c r="AJ612" i="2"/>
  <c r="X612" i="2" s="1"/>
  <c r="AJ697" i="2"/>
  <c r="X697" i="2" s="1"/>
  <c r="AJ673" i="2"/>
  <c r="X673" i="2" s="1"/>
  <c r="AJ781" i="2"/>
  <c r="X781" i="2" s="1"/>
  <c r="AJ169" i="2"/>
  <c r="X169" i="2" s="1"/>
  <c r="AJ330" i="2"/>
  <c r="X330" i="2" s="1"/>
  <c r="AJ380" i="2"/>
  <c r="X380" i="2" s="1"/>
  <c r="AJ395" i="2"/>
  <c r="X395" i="2" s="1"/>
  <c r="AJ455" i="2"/>
  <c r="X455" i="2" s="1"/>
  <c r="AJ437" i="2"/>
  <c r="X437" i="2" s="1"/>
  <c r="AJ477" i="2"/>
  <c r="X477" i="2" s="1"/>
  <c r="AJ531" i="2"/>
  <c r="X531" i="2" s="1"/>
  <c r="AJ540" i="2"/>
  <c r="X540" i="2" s="1"/>
  <c r="AJ570" i="2"/>
  <c r="X570" i="2" s="1"/>
  <c r="AJ564" i="2"/>
  <c r="X564" i="2" s="1"/>
  <c r="AJ593" i="2"/>
  <c r="X593" i="2" s="1"/>
  <c r="AJ627" i="2"/>
  <c r="X627" i="2" s="1"/>
  <c r="AJ633" i="2"/>
  <c r="X633" i="2" s="1"/>
  <c r="AJ672" i="2"/>
  <c r="X672" i="2" s="1"/>
  <c r="AJ705" i="2"/>
  <c r="X705" i="2" s="1"/>
  <c r="AJ765" i="2"/>
  <c r="X765" i="2" s="1"/>
  <c r="AJ738" i="2"/>
  <c r="X738" i="2" s="1"/>
  <c r="AJ717" i="2"/>
  <c r="X717" i="2" s="1"/>
  <c r="AJ795" i="2"/>
  <c r="X795" i="2" s="1"/>
  <c r="AJ809" i="2"/>
  <c r="X809" i="2" s="1"/>
  <c r="AJ856" i="2"/>
  <c r="X856" i="2" s="1"/>
  <c r="AJ901" i="2"/>
  <c r="X901" i="2" s="1"/>
  <c r="AJ965" i="2"/>
  <c r="X965" i="2" s="1"/>
  <c r="AJ997" i="2"/>
  <c r="X997" i="2" s="1"/>
  <c r="AJ1046" i="2"/>
  <c r="X1046" i="2" s="1"/>
  <c r="AJ1039" i="2"/>
  <c r="X1039" i="2" s="1"/>
  <c r="AJ1028" i="2"/>
  <c r="X1028" i="2" s="1"/>
  <c r="AJ1022" i="2"/>
  <c r="X1022" i="2" s="1"/>
  <c r="AJ1055" i="2"/>
  <c r="X1055" i="2" s="1"/>
  <c r="AJ1067" i="2"/>
  <c r="X1067" i="2" s="1"/>
  <c r="AJ1079" i="2"/>
  <c r="X1079" i="2" s="1"/>
  <c r="AJ1119" i="2"/>
  <c r="X1119" i="2" s="1"/>
  <c r="AJ1139" i="2"/>
  <c r="X1139" i="2" s="1"/>
  <c r="AJ1257" i="2"/>
  <c r="X1257" i="2" s="1"/>
  <c r="AJ1264" i="2"/>
  <c r="X1264" i="2" s="1"/>
  <c r="AJ438" i="2"/>
  <c r="X438" i="2" s="1"/>
  <c r="AJ553" i="2"/>
  <c r="X553" i="2" s="1"/>
  <c r="AJ620" i="2"/>
  <c r="X620" i="2" s="1"/>
  <c r="AJ844" i="2"/>
  <c r="X844" i="2" s="1"/>
  <c r="AJ828" i="2"/>
  <c r="X828" i="2" s="1"/>
  <c r="AJ860" i="2"/>
  <c r="X860" i="2" s="1"/>
  <c r="AJ952" i="2"/>
  <c r="X952" i="2" s="1"/>
  <c r="AJ967" i="2"/>
  <c r="X967" i="2" s="1"/>
  <c r="AJ1007" i="2"/>
  <c r="X1007" i="2" s="1"/>
  <c r="AJ1015" i="2"/>
  <c r="X1015" i="2" s="1"/>
  <c r="AJ1057" i="2"/>
  <c r="X1057" i="2" s="1"/>
  <c r="AJ1110" i="2"/>
  <c r="X1110" i="2" s="1"/>
  <c r="AJ1262" i="2"/>
  <c r="X1262" i="2" s="1"/>
  <c r="AJ89" i="2"/>
  <c r="X89" i="2" s="1"/>
  <c r="AJ816" i="2"/>
  <c r="X816" i="2" s="1"/>
  <c r="AJ872" i="2"/>
  <c r="X872" i="2" s="1"/>
  <c r="AJ942" i="2"/>
  <c r="X942" i="2" s="1"/>
  <c r="AJ938" i="2"/>
  <c r="X938" i="2" s="1"/>
  <c r="AJ929" i="2"/>
  <c r="X929" i="2" s="1"/>
  <c r="AJ943" i="2"/>
  <c r="X943" i="2" s="1"/>
  <c r="AJ1042" i="2"/>
  <c r="X1042" i="2" s="1"/>
  <c r="AJ1143" i="2"/>
  <c r="X1143" i="2" s="1"/>
  <c r="AJ1166" i="2"/>
  <c r="X1166" i="2" s="1"/>
  <c r="AJ1159" i="2"/>
  <c r="X1159" i="2" s="1"/>
  <c r="AJ1175" i="2"/>
  <c r="X1175" i="2" s="1"/>
  <c r="AJ1192" i="2"/>
  <c r="X1192" i="2" s="1"/>
  <c r="AJ1242" i="2"/>
  <c r="X1242" i="2" s="1"/>
  <c r="AJ1241" i="2"/>
  <c r="X1241" i="2" s="1"/>
  <c r="AJ1265" i="2"/>
  <c r="X1265" i="2" s="1"/>
  <c r="AJ153" i="2"/>
  <c r="X153" i="2" s="1"/>
  <c r="AJ701" i="2"/>
  <c r="X701" i="2" s="1"/>
  <c r="AJ747" i="2"/>
  <c r="X747" i="2" s="1"/>
  <c r="AJ838" i="2"/>
  <c r="X838" i="2" s="1"/>
  <c r="AJ863" i="2"/>
  <c r="X863" i="2" s="1"/>
  <c r="AJ862" i="2"/>
  <c r="X862" i="2" s="1"/>
  <c r="AJ933" i="2"/>
  <c r="X933" i="2" s="1"/>
  <c r="AJ944" i="2"/>
  <c r="X944" i="2" s="1"/>
  <c r="AJ975" i="2"/>
  <c r="X975" i="2" s="1"/>
  <c r="AJ970" i="2"/>
  <c r="X970" i="2" s="1"/>
  <c r="AJ947" i="2"/>
  <c r="X947" i="2" s="1"/>
  <c r="AJ954" i="2"/>
  <c r="X954" i="2" s="1"/>
  <c r="AJ995" i="2"/>
  <c r="X995" i="2" s="1"/>
  <c r="AJ990" i="2"/>
  <c r="X990" i="2" s="1"/>
  <c r="AJ1061" i="2"/>
  <c r="X1061" i="2" s="1"/>
  <c r="AJ1084" i="2"/>
  <c r="X1084" i="2" s="1"/>
  <c r="AJ1182" i="2"/>
  <c r="X1182" i="2" s="1"/>
  <c r="AJ1201" i="2"/>
  <c r="X1201" i="2" s="1"/>
  <c r="AJ346" i="2"/>
  <c r="X346" i="2" s="1"/>
  <c r="AJ459" i="2"/>
  <c r="X459" i="2" s="1"/>
  <c r="AJ526" i="2"/>
  <c r="X526" i="2" s="1"/>
  <c r="AJ853" i="2"/>
  <c r="X853" i="2" s="1"/>
  <c r="AJ903" i="2"/>
  <c r="X903" i="2" s="1"/>
  <c r="AJ1092" i="2"/>
  <c r="X1092" i="2" s="1"/>
  <c r="AJ1271" i="2"/>
  <c r="X1271" i="2" s="1"/>
  <c r="AJ892" i="2"/>
  <c r="X892" i="2" s="1"/>
  <c r="AJ594" i="2"/>
  <c r="X594" i="2" s="1"/>
  <c r="AJ664" i="2"/>
  <c r="X664" i="2" s="1"/>
  <c r="AJ703" i="2"/>
  <c r="X703" i="2" s="1"/>
  <c r="AJ763" i="2"/>
  <c r="X763" i="2" s="1"/>
  <c r="AJ778" i="2"/>
  <c r="X778" i="2" s="1"/>
  <c r="AJ819" i="2"/>
  <c r="X819" i="2" s="1"/>
  <c r="AJ866" i="2"/>
  <c r="X866" i="2" s="1"/>
  <c r="AJ846" i="2"/>
  <c r="X846" i="2" s="1"/>
  <c r="AJ925" i="2"/>
  <c r="X925" i="2" s="1"/>
  <c r="AJ934" i="2"/>
  <c r="X934" i="2" s="1"/>
  <c r="AJ991" i="2"/>
  <c r="X991" i="2" s="1"/>
  <c r="AJ971" i="2"/>
  <c r="X971" i="2" s="1"/>
  <c r="AJ963" i="2"/>
  <c r="X963" i="2" s="1"/>
  <c r="AJ1001" i="2"/>
  <c r="X1001" i="2" s="1"/>
  <c r="AJ1002" i="2"/>
  <c r="X1002" i="2" s="1"/>
  <c r="AJ1043" i="2"/>
  <c r="X1043" i="2" s="1"/>
  <c r="AJ1088" i="2"/>
  <c r="X1088" i="2" s="1"/>
  <c r="AJ1125" i="2"/>
  <c r="X1125" i="2" s="1"/>
  <c r="AJ1167" i="2"/>
  <c r="X1167" i="2" s="1"/>
  <c r="AJ1158" i="2"/>
  <c r="X1158" i="2" s="1"/>
  <c r="AJ1218" i="2"/>
  <c r="X1218" i="2" s="1"/>
  <c r="AJ911" i="2"/>
  <c r="X911" i="2" s="1"/>
  <c r="AJ885" i="2"/>
  <c r="X885" i="2" s="1"/>
  <c r="AJ1184" i="2"/>
  <c r="X1184" i="2" s="1"/>
  <c r="AJ252" i="2"/>
  <c r="X252" i="2" s="1"/>
  <c r="AJ318" i="2"/>
  <c r="X318" i="2" s="1"/>
  <c r="AJ409" i="2"/>
  <c r="X409" i="2" s="1"/>
  <c r="AJ542" i="2"/>
  <c r="X542" i="2" s="1"/>
  <c r="AJ810" i="2"/>
  <c r="X810" i="2" s="1"/>
  <c r="AJ932" i="2"/>
  <c r="X932" i="2" s="1"/>
  <c r="AJ949" i="2"/>
  <c r="X949" i="2" s="1"/>
  <c r="AJ960" i="2"/>
  <c r="X960" i="2" s="1"/>
  <c r="AJ992" i="2"/>
  <c r="X992" i="2" s="1"/>
  <c r="AJ1065" i="2"/>
  <c r="X1065" i="2" s="1"/>
  <c r="AJ1080" i="2"/>
  <c r="X1080" i="2" s="1"/>
  <c r="AJ1140" i="2"/>
  <c r="X1140" i="2" s="1"/>
  <c r="AJ1096" i="2"/>
  <c r="X1096" i="2" s="1"/>
  <c r="AJ1160" i="2"/>
  <c r="X1160" i="2" s="1"/>
  <c r="AJ1191" i="2"/>
  <c r="X1191" i="2" s="1"/>
  <c r="AJ1185" i="2"/>
  <c r="X1185" i="2" s="1"/>
  <c r="AJ1273" i="2"/>
  <c r="X1273" i="2" s="1"/>
  <c r="AJ817" i="2"/>
  <c r="X817" i="2" s="1"/>
  <c r="AJ1008" i="2"/>
  <c r="X1008" i="2" s="1"/>
  <c r="AJ1123" i="2"/>
  <c r="X1123" i="2" s="1"/>
  <c r="AJ484" i="2"/>
  <c r="X484" i="2" s="1"/>
  <c r="AJ571" i="2"/>
  <c r="X571" i="2" s="1"/>
  <c r="AJ623" i="2"/>
  <c r="X623" i="2" s="1"/>
  <c r="AJ906" i="2"/>
  <c r="X906" i="2" s="1"/>
  <c r="AJ908" i="2"/>
  <c r="X908" i="2" s="1"/>
  <c r="AJ918" i="2"/>
  <c r="X918" i="2" s="1"/>
  <c r="AJ956" i="2"/>
  <c r="X956" i="2" s="1"/>
  <c r="AJ941" i="2"/>
  <c r="X941" i="2" s="1"/>
  <c r="AJ1064" i="2"/>
  <c r="X1064" i="2" s="1"/>
  <c r="AJ1107" i="2"/>
  <c r="X1107" i="2" s="1"/>
  <c r="AJ1118" i="2"/>
  <c r="X1118" i="2" s="1"/>
  <c r="AJ1136" i="2"/>
  <c r="X1136" i="2" s="1"/>
  <c r="AJ1138" i="2"/>
  <c r="X1138" i="2" s="1"/>
  <c r="AJ1151" i="2"/>
  <c r="X1151" i="2" s="1"/>
  <c r="AJ1200" i="2"/>
  <c r="X1200" i="2" s="1"/>
  <c r="AJ811" i="2"/>
  <c r="X811" i="2" s="1"/>
  <c r="AJ1069" i="2"/>
  <c r="X1069" i="2" s="1"/>
  <c r="AJ296" i="2"/>
  <c r="X296" i="2" s="1"/>
  <c r="AJ504" i="2"/>
  <c r="X504" i="2" s="1"/>
  <c r="AJ699" i="2"/>
  <c r="X699" i="2" s="1"/>
  <c r="AJ680" i="2"/>
  <c r="X680" i="2" s="1"/>
  <c r="AJ784" i="2"/>
  <c r="X784" i="2" s="1"/>
  <c r="AJ822" i="2"/>
  <c r="X822" i="2" s="1"/>
  <c r="AJ808" i="2"/>
  <c r="X808" i="2" s="1"/>
  <c r="AJ830" i="2"/>
  <c r="X830" i="2" s="1"/>
  <c r="AJ898" i="2"/>
  <c r="X898" i="2" s="1"/>
  <c r="AJ923" i="2"/>
  <c r="X923" i="2" s="1"/>
  <c r="AJ950" i="2"/>
  <c r="X950" i="2" s="1"/>
  <c r="AJ953" i="2"/>
  <c r="X953" i="2" s="1"/>
  <c r="AJ1041" i="2"/>
  <c r="X1041" i="2" s="1"/>
  <c r="AJ1099" i="2"/>
  <c r="X1099" i="2" s="1"/>
  <c r="AJ1102" i="2"/>
  <c r="X1102" i="2" s="1"/>
  <c r="AJ1259" i="2"/>
  <c r="X1259" i="2" s="1"/>
  <c r="AJ219" i="2"/>
  <c r="X219" i="2" s="1"/>
  <c r="AJ926" i="2"/>
  <c r="X926" i="2" s="1"/>
  <c r="AJ1245" i="2"/>
  <c r="X1245" i="2" s="1"/>
  <c r="AJ1188" i="2"/>
  <c r="X1188" i="2" s="1"/>
  <c r="AJ298" i="2"/>
  <c r="X298" i="2" s="1"/>
  <c r="AJ276" i="2"/>
  <c r="X276" i="2" s="1"/>
  <c r="AJ334" i="2"/>
  <c r="X334" i="2" s="1"/>
  <c r="AJ361" i="2"/>
  <c r="X361" i="2" s="1"/>
  <c r="AJ502" i="2"/>
  <c r="X502" i="2" s="1"/>
  <c r="AJ545" i="2"/>
  <c r="X545" i="2" s="1"/>
  <c r="AJ897" i="2"/>
  <c r="X897" i="2" s="1"/>
  <c r="AJ939" i="2"/>
  <c r="X939" i="2" s="1"/>
  <c r="AJ937" i="2"/>
  <c r="X937" i="2" s="1"/>
  <c r="AJ959" i="2"/>
  <c r="X959" i="2" s="1"/>
  <c r="AJ1035" i="2"/>
  <c r="X1035" i="2" s="1"/>
  <c r="AJ1051" i="2"/>
  <c r="X1051" i="2" s="1"/>
  <c r="AJ1066" i="2"/>
  <c r="X1066" i="2" s="1"/>
  <c r="AJ1114" i="2"/>
  <c r="X1114" i="2" s="1"/>
  <c r="AJ1148" i="2"/>
  <c r="X1148" i="2" s="1"/>
  <c r="AJ1187" i="2"/>
  <c r="X1187" i="2" s="1"/>
  <c r="AJ1194" i="2"/>
  <c r="X1194" i="2" s="1"/>
  <c r="AJ1209" i="2"/>
  <c r="X1209" i="2" s="1"/>
  <c r="AJ1186" i="2"/>
  <c r="X1186" i="2" s="1"/>
  <c r="AJ162" i="2"/>
  <c r="X162" i="2" s="1"/>
  <c r="AJ511" i="2"/>
  <c r="X511" i="2" s="1"/>
  <c r="AJ637" i="2"/>
  <c r="X637" i="2" s="1"/>
  <c r="AJ842" i="2"/>
  <c r="X842" i="2" s="1"/>
  <c r="AJ865" i="2"/>
  <c r="X865" i="2" s="1"/>
  <c r="AJ886" i="2"/>
  <c r="X886" i="2" s="1"/>
  <c r="AJ913" i="2"/>
  <c r="X913" i="2" s="1"/>
  <c r="AJ989" i="2"/>
  <c r="X989" i="2" s="1"/>
  <c r="AJ987" i="2"/>
  <c r="X987" i="2" s="1"/>
  <c r="AJ1014" i="2"/>
  <c r="X1014" i="2" s="1"/>
  <c r="AJ1029" i="2"/>
  <c r="X1029" i="2" s="1"/>
  <c r="AJ1081" i="2"/>
  <c r="X1081" i="2" s="1"/>
  <c r="AJ1090" i="2"/>
  <c r="X1090" i="2" s="1"/>
  <c r="AJ1100" i="2"/>
  <c r="X1100" i="2" s="1"/>
  <c r="AJ1128" i="2"/>
  <c r="X1128" i="2" s="1"/>
  <c r="AJ1144" i="2"/>
  <c r="X1144" i="2" s="1"/>
  <c r="AJ1190" i="2"/>
  <c r="X1190" i="2" s="1"/>
  <c r="AJ1261" i="2"/>
  <c r="X1261" i="2" s="1"/>
  <c r="AJ922" i="2"/>
  <c r="X922" i="2" s="1"/>
  <c r="AJ1137" i="2"/>
  <c r="X1137" i="2" s="1"/>
  <c r="AJ235" i="2"/>
  <c r="X235" i="2" s="1"/>
  <c r="AJ360" i="2"/>
  <c r="X360" i="2" s="1"/>
  <c r="AJ628" i="2"/>
  <c r="X628" i="2" s="1"/>
  <c r="AJ647" i="2"/>
  <c r="X647" i="2" s="1"/>
  <c r="AJ634" i="2"/>
  <c r="X634" i="2" s="1"/>
  <c r="AJ797" i="2"/>
  <c r="X797" i="2" s="1"/>
  <c r="AJ948" i="2"/>
  <c r="X948" i="2" s="1"/>
  <c r="AJ927" i="2"/>
  <c r="X927" i="2" s="1"/>
  <c r="AJ1018" i="2"/>
  <c r="X1018" i="2" s="1"/>
  <c r="AJ1196" i="2"/>
  <c r="X1196" i="2" s="1"/>
  <c r="AJ1269" i="2"/>
  <c r="X1269" i="2" s="1"/>
  <c r="AJ1076" i="2"/>
  <c r="X1076" i="2" s="1"/>
  <c r="AJ1135" i="2"/>
  <c r="X1135" i="2" s="1"/>
  <c r="AJ171" i="2"/>
  <c r="X171" i="2" s="1"/>
  <c r="AJ482" i="2"/>
  <c r="X482" i="2" s="1"/>
  <c r="AJ418" i="2"/>
  <c r="X418" i="2" s="1"/>
  <c r="AJ677" i="2"/>
  <c r="X677" i="2" s="1"/>
  <c r="AJ735" i="2"/>
  <c r="X735" i="2" s="1"/>
  <c r="AJ820" i="2"/>
  <c r="X820" i="2" s="1"/>
  <c r="AJ796" i="2"/>
  <c r="X796" i="2" s="1"/>
  <c r="AJ833" i="2"/>
  <c r="X833" i="2" s="1"/>
  <c r="AJ882" i="2"/>
  <c r="X882" i="2" s="1"/>
  <c r="AJ880" i="2"/>
  <c r="X880" i="2" s="1"/>
  <c r="AJ899" i="2"/>
  <c r="X899" i="2" s="1"/>
  <c r="AJ1019" i="2"/>
  <c r="X1019" i="2" s="1"/>
  <c r="AJ1087" i="2"/>
  <c r="X1087" i="2" s="1"/>
  <c r="AJ1106" i="2"/>
  <c r="X1106" i="2" s="1"/>
  <c r="AJ1098" i="2"/>
  <c r="X1098" i="2" s="1"/>
  <c r="AJ1157" i="2"/>
  <c r="X1157" i="2" s="1"/>
  <c r="AJ1176" i="2"/>
  <c r="X1176" i="2" s="1"/>
  <c r="AJ1205" i="2"/>
  <c r="X1205" i="2" s="1"/>
  <c r="AJ1250" i="2"/>
  <c r="X1250" i="2" s="1"/>
  <c r="AJ1127" i="2"/>
  <c r="X1127" i="2" s="1"/>
  <c r="AJ229" i="2"/>
  <c r="X229" i="2" s="1"/>
  <c r="AJ598" i="2"/>
  <c r="X598" i="2" s="1"/>
  <c r="AJ837" i="2"/>
  <c r="X837" i="2" s="1"/>
  <c r="AJ861" i="2"/>
  <c r="X861" i="2" s="1"/>
  <c r="AJ881" i="2"/>
  <c r="X881" i="2" s="1"/>
  <c r="AJ977" i="2"/>
  <c r="X977" i="2" s="1"/>
  <c r="AJ1010" i="2"/>
  <c r="X1010" i="2" s="1"/>
  <c r="AJ1073" i="2"/>
  <c r="X1073" i="2" s="1"/>
  <c r="AJ1101" i="2"/>
  <c r="X1101" i="2" s="1"/>
  <c r="AJ1097" i="2"/>
  <c r="X1097" i="2" s="1"/>
  <c r="AJ1204" i="2"/>
  <c r="X1204" i="2" s="1"/>
  <c r="AJ1197" i="2"/>
  <c r="X1197" i="2" s="1"/>
  <c r="AJ1255" i="2"/>
  <c r="X1255" i="2" s="1"/>
  <c r="AJ868" i="2"/>
  <c r="X868" i="2" s="1"/>
  <c r="AJ973" i="2"/>
  <c r="X973" i="2" s="1"/>
  <c r="AJ1208" i="2"/>
  <c r="X1208" i="2" s="1"/>
  <c r="AJ854" i="2"/>
  <c r="X854" i="2" s="1"/>
  <c r="AJ1256" i="2"/>
  <c r="X1256" i="2" s="1"/>
  <c r="AJ1050" i="2"/>
  <c r="X1050" i="2" s="1"/>
  <c r="AJ248" i="2"/>
  <c r="X248" i="2" s="1"/>
  <c r="AJ347" i="2"/>
  <c r="X347" i="2" s="1"/>
  <c r="AJ487" i="2"/>
  <c r="X487" i="2" s="1"/>
  <c r="AJ713" i="2"/>
  <c r="X713" i="2" s="1"/>
  <c r="AJ994" i="2"/>
  <c r="X994" i="2" s="1"/>
  <c r="AJ1031" i="2"/>
  <c r="X1031" i="2" s="1"/>
  <c r="AJ1155" i="2"/>
  <c r="X1155" i="2" s="1"/>
  <c r="AJ1212" i="2"/>
  <c r="X1212" i="2" s="1"/>
  <c r="AJ1228" i="2"/>
  <c r="X1228" i="2" s="1"/>
  <c r="AJ338" i="2"/>
  <c r="X338" i="2" s="1"/>
  <c r="AJ523" i="2"/>
  <c r="X523" i="2" s="1"/>
  <c r="AJ638" i="2"/>
  <c r="X638" i="2" s="1"/>
  <c r="AJ847" i="2"/>
  <c r="X847" i="2" s="1"/>
  <c r="AJ883" i="2"/>
  <c r="X883" i="2" s="1"/>
  <c r="AJ857" i="2"/>
  <c r="X857" i="2" s="1"/>
  <c r="AJ870" i="2"/>
  <c r="X870" i="2" s="1"/>
  <c r="AJ919" i="2"/>
  <c r="X919" i="2" s="1"/>
  <c r="AJ1168" i="2"/>
  <c r="X1168" i="2" s="1"/>
  <c r="AJ1266" i="2"/>
  <c r="X1266" i="2" s="1"/>
  <c r="AJ207" i="2"/>
  <c r="X207" i="2" s="1"/>
  <c r="AJ1260" i="2"/>
  <c r="X1260" i="2" s="1"/>
  <c r="AJ1109" i="2"/>
  <c r="X1109" i="2" s="1"/>
  <c r="AJ497" i="2"/>
  <c r="X497" i="2" s="1"/>
  <c r="AJ1231" i="2"/>
  <c r="X1231" i="2" s="1"/>
  <c r="AJ1180" i="2"/>
  <c r="X1180" i="2" s="1"/>
  <c r="AJ871" i="2"/>
  <c r="X871" i="2" s="1"/>
  <c r="AJ658" i="2"/>
  <c r="X658" i="2" s="1"/>
  <c r="AJ1094" i="2"/>
  <c r="X1094" i="2" s="1"/>
  <c r="AJ1026" i="2"/>
  <c r="X1026" i="2" s="1"/>
  <c r="AJ1272" i="2"/>
  <c r="X1272" i="2" s="1"/>
  <c r="AJ1253" i="2"/>
  <c r="X1253" i="2" s="1"/>
  <c r="AJ1206" i="2"/>
  <c r="X1206" i="2" s="1"/>
  <c r="AJ1161" i="2"/>
  <c r="X1161" i="2" s="1"/>
  <c r="AJ930" i="2"/>
  <c r="X930" i="2" s="1"/>
  <c r="AJ161" i="2"/>
  <c r="X161" i="2" s="1"/>
  <c r="AJ615" i="2"/>
  <c r="X615" i="2" s="1"/>
  <c r="AJ580" i="2"/>
  <c r="X580" i="2" s="1"/>
  <c r="AJ444" i="2"/>
  <c r="X444" i="2" s="1"/>
  <c r="AJ390" i="2"/>
  <c r="X390" i="2" s="1"/>
  <c r="AJ221" i="2"/>
  <c r="X221" i="2" s="1"/>
  <c r="AJ560" i="2"/>
  <c r="X560" i="2" s="1"/>
  <c r="AJ577" i="2"/>
  <c r="X577" i="2" s="1"/>
  <c r="AJ266" i="2"/>
  <c r="X266" i="2" s="1"/>
  <c r="AJ297" i="2"/>
  <c r="X297" i="2" s="1"/>
  <c r="AJ524" i="2"/>
  <c r="X524" i="2" s="1"/>
  <c r="AJ283" i="2"/>
  <c r="X283" i="2" s="1"/>
  <c r="AJ167" i="2"/>
  <c r="X167" i="2" s="1"/>
  <c r="AJ198" i="2"/>
  <c r="X198" i="2" s="1"/>
  <c r="AJ350" i="2"/>
  <c r="X350" i="2" s="1"/>
  <c r="AJ226" i="2"/>
  <c r="X226" i="2" s="1"/>
  <c r="AJ839" i="2"/>
  <c r="X839" i="2" s="1"/>
  <c r="AJ1225" i="2"/>
  <c r="X1225" i="2" s="1"/>
  <c r="AJ845" i="2"/>
  <c r="X845" i="2" s="1"/>
  <c r="AJ985" i="2"/>
  <c r="X985" i="2" s="1"/>
  <c r="AJ1006" i="2"/>
  <c r="X1006" i="2" s="1"/>
  <c r="AJ904" i="2"/>
  <c r="X904" i="2" s="1"/>
  <c r="AJ998" i="2"/>
  <c r="X998" i="2" s="1"/>
  <c r="AJ278" i="2"/>
  <c r="X278" i="2" s="1"/>
  <c r="AJ1156" i="2"/>
  <c r="X1156" i="2" s="1"/>
  <c r="AJ1004" i="2"/>
  <c r="X1004" i="2" s="1"/>
  <c r="AJ799" i="2"/>
  <c r="X799" i="2" s="1"/>
  <c r="AJ1222" i="2"/>
  <c r="X1222" i="2" s="1"/>
  <c r="AJ1059" i="2"/>
  <c r="X1059" i="2" s="1"/>
  <c r="AJ835" i="2"/>
  <c r="X835" i="2" s="1"/>
  <c r="AJ446" i="2"/>
  <c r="X446" i="2" s="1"/>
  <c r="AJ1049" i="2"/>
  <c r="X1049" i="2" s="1"/>
  <c r="AJ432" i="2"/>
  <c r="X432" i="2" s="1"/>
  <c r="AJ769" i="2"/>
  <c r="X769" i="2" s="1"/>
  <c r="AJ722" i="2"/>
  <c r="X722" i="2" s="1"/>
  <c r="AJ431" i="2"/>
  <c r="X431" i="2" s="1"/>
  <c r="AJ294" i="2"/>
  <c r="X294" i="2" s="1"/>
  <c r="AJ270" i="2"/>
  <c r="X270" i="2" s="1"/>
  <c r="AJ197" i="2"/>
  <c r="X197" i="2" s="1"/>
  <c r="AJ512" i="2"/>
  <c r="X512" i="2" s="1"/>
  <c r="AJ632" i="2"/>
  <c r="X632" i="2" s="1"/>
  <c r="AJ257" i="2"/>
  <c r="X257" i="2" s="1"/>
  <c r="AJ715" i="2"/>
  <c r="X715" i="2" s="1"/>
  <c r="AJ478" i="2"/>
  <c r="X478" i="2" s="1"/>
  <c r="AJ843" i="2"/>
  <c r="X843" i="2" s="1"/>
  <c r="AJ1211" i="2"/>
  <c r="X1211" i="2" s="1"/>
  <c r="AJ1105" i="2"/>
  <c r="X1105" i="2" s="1"/>
  <c r="AJ984" i="2"/>
  <c r="X984" i="2" s="1"/>
  <c r="AJ873" i="2"/>
  <c r="X873" i="2" s="1"/>
  <c r="AJ678" i="2"/>
  <c r="X678" i="2" s="1"/>
  <c r="AJ463" i="2"/>
  <c r="X463" i="2" s="1"/>
  <c r="AJ659" i="2"/>
  <c r="X659" i="2" s="1"/>
  <c r="AJ786" i="2"/>
  <c r="X786" i="2" s="1"/>
  <c r="AJ499" i="2"/>
  <c r="X499" i="2" s="1"/>
  <c r="AJ1147" i="2"/>
  <c r="X1147" i="2" s="1"/>
  <c r="AJ980" i="2"/>
  <c r="X980" i="2" s="1"/>
  <c r="AJ1111" i="2"/>
  <c r="X1111" i="2" s="1"/>
  <c r="AJ850" i="2"/>
  <c r="X850" i="2" s="1"/>
  <c r="AJ433" i="2"/>
  <c r="X433" i="2" s="1"/>
  <c r="AJ203" i="2"/>
  <c r="X203" i="2" s="1"/>
  <c r="AJ848" i="2"/>
  <c r="X848" i="2" s="1"/>
  <c r="AJ794" i="2"/>
  <c r="X794" i="2" s="1"/>
  <c r="AJ357" i="2"/>
  <c r="X357" i="2" s="1"/>
  <c r="AJ754" i="2"/>
  <c r="X754" i="2" s="1"/>
  <c r="AJ557" i="2"/>
  <c r="X557" i="2" s="1"/>
  <c r="AJ466" i="2"/>
  <c r="X466" i="2" s="1"/>
  <c r="AJ354" i="2"/>
  <c r="X354" i="2" s="1"/>
  <c r="AJ728" i="2"/>
  <c r="X728" i="2" s="1"/>
  <c r="AJ453" i="2"/>
  <c r="X453" i="2" s="1"/>
  <c r="AJ667" i="2"/>
  <c r="X667" i="2" s="1"/>
  <c r="AJ326" i="2"/>
  <c r="X326" i="2" s="1"/>
  <c r="AJ372" i="2"/>
  <c r="X372" i="2" s="1"/>
  <c r="AJ461" i="2"/>
  <c r="X461" i="2" s="1"/>
  <c r="AJ1056" i="2"/>
  <c r="X1056" i="2" s="1"/>
  <c r="AJ1017" i="2"/>
  <c r="X1017" i="2" s="1"/>
  <c r="AJ1214" i="2"/>
  <c r="X1214" i="2" s="1"/>
  <c r="AJ331" i="2"/>
  <c r="X331" i="2" s="1"/>
  <c r="AJ815" i="2"/>
  <c r="X815" i="2" s="1"/>
  <c r="AJ1048" i="2"/>
  <c r="X1048" i="2" s="1"/>
  <c r="AJ1130" i="2"/>
  <c r="X1130" i="2" s="1"/>
  <c r="AJ1047" i="2"/>
  <c r="X1047" i="2" s="1"/>
  <c r="AJ1091" i="2"/>
  <c r="X1091" i="2" s="1"/>
  <c r="AJ1220" i="2"/>
  <c r="X1220" i="2" s="1"/>
  <c r="AJ935" i="2"/>
  <c r="X935" i="2" s="1"/>
  <c r="AJ887" i="2"/>
  <c r="X887" i="2" s="1"/>
  <c r="AJ485" i="2"/>
  <c r="X485" i="2" s="1"/>
  <c r="AJ750" i="2"/>
  <c r="X750" i="2" s="1"/>
  <c r="AJ165" i="2"/>
  <c r="X165" i="2" s="1"/>
  <c r="AJ428" i="2"/>
  <c r="X428" i="2" s="1"/>
  <c r="AJ743" i="2"/>
  <c r="X743" i="2" s="1"/>
  <c r="AJ891" i="2"/>
  <c r="X891" i="2" s="1"/>
  <c r="AJ1239" i="2"/>
  <c r="X1239" i="2" s="1"/>
  <c r="AJ1207" i="2"/>
  <c r="X1207" i="2" s="1"/>
  <c r="AJ962" i="2"/>
  <c r="X962" i="2" s="1"/>
  <c r="AJ834" i="2"/>
  <c r="X834" i="2" s="1"/>
  <c r="AJ921" i="2"/>
  <c r="X921" i="2" s="1"/>
  <c r="AJ1025" i="2"/>
  <c r="X1025" i="2" s="1"/>
  <c r="AJ890" i="2"/>
  <c r="X890" i="2" s="1"/>
  <c r="AJ1169" i="2"/>
  <c r="X1169" i="2" s="1"/>
  <c r="AJ576" i="2"/>
  <c r="X576" i="2" s="1"/>
  <c r="AJ909" i="2"/>
  <c r="X909" i="2" s="1"/>
  <c r="AJ1012" i="2"/>
  <c r="X1012" i="2" s="1"/>
  <c r="AJ945" i="2"/>
  <c r="X945" i="2" s="1"/>
  <c r="AJ1171" i="2"/>
  <c r="X1171" i="2" s="1"/>
  <c r="AJ1038" i="2"/>
  <c r="X1038" i="2" s="1"/>
  <c r="AJ910" i="2"/>
  <c r="X910" i="2" s="1"/>
  <c r="AJ1230" i="2"/>
  <c r="X1230" i="2" s="1"/>
  <c r="AJ1221" i="2"/>
  <c r="X1221" i="2" s="1"/>
  <c r="AJ1142" i="2"/>
  <c r="X1142" i="2" s="1"/>
  <c r="AJ1095" i="2"/>
  <c r="X1095" i="2" s="1"/>
  <c r="AJ825" i="2"/>
  <c r="X825" i="2" s="1"/>
  <c r="AJ1045" i="2"/>
  <c r="X1045" i="2" s="1"/>
  <c r="AJ355" i="2"/>
  <c r="X355" i="2" s="1"/>
  <c r="AJ1134" i="2"/>
  <c r="X1134" i="2" s="1"/>
  <c r="AJ875" i="2"/>
  <c r="X875" i="2" s="1"/>
  <c r="AJ616" i="2"/>
  <c r="X616" i="2" s="1"/>
  <c r="AJ852" i="2"/>
  <c r="X852" i="2" s="1"/>
  <c r="AJ706" i="2"/>
  <c r="X706" i="2" s="1"/>
  <c r="AJ586" i="2"/>
  <c r="X586" i="2" s="1"/>
  <c r="AJ650" i="2"/>
  <c r="X650" i="2" s="1"/>
  <c r="AJ282" i="2"/>
  <c r="X282" i="2" s="1"/>
  <c r="AJ596" i="2"/>
  <c r="X596" i="2" s="1"/>
  <c r="AJ644" i="2"/>
  <c r="X644" i="2" s="1"/>
  <c r="AJ631" i="2"/>
  <c r="X631" i="2" s="1"/>
  <c r="AJ561" i="2"/>
  <c r="X561" i="2" s="1"/>
  <c r="AJ366" i="2"/>
  <c r="X366" i="2" s="1"/>
  <c r="AJ193" i="2"/>
  <c r="X193" i="2" s="1"/>
  <c r="AJ813" i="2"/>
  <c r="X813" i="2" s="1"/>
  <c r="AJ1234" i="2"/>
  <c r="X1234" i="2" s="1"/>
  <c r="AJ1213" i="2"/>
  <c r="X1213" i="2" s="1"/>
  <c r="AJ1063" i="2"/>
  <c r="X1063" i="2" s="1"/>
  <c r="AJ900" i="2"/>
  <c r="X900" i="2" s="1"/>
  <c r="AJ869" i="2"/>
  <c r="X869" i="2" s="1"/>
  <c r="AJ849" i="2"/>
  <c r="X849" i="2" s="1"/>
  <c r="AJ1113" i="2"/>
  <c r="X1113" i="2" s="1"/>
  <c r="AJ1270" i="2"/>
  <c r="X1270" i="2" s="1"/>
  <c r="AJ204" i="2"/>
  <c r="X204" i="2" s="1"/>
  <c r="AJ261" i="2"/>
  <c r="X261" i="2" s="1"/>
  <c r="AJ337" i="2"/>
  <c r="X337" i="2" s="1"/>
  <c r="AJ867" i="2"/>
  <c r="X867" i="2" s="1"/>
  <c r="AJ1089" i="2"/>
  <c r="X1089" i="2" s="1"/>
  <c r="AJ829" i="2"/>
  <c r="X829" i="2" s="1"/>
  <c r="AJ1068" i="2"/>
  <c r="X1068" i="2" s="1"/>
  <c r="AJ896" i="2"/>
  <c r="X896" i="2" s="1"/>
  <c r="AJ1033" i="2"/>
  <c r="X1033" i="2" s="1"/>
  <c r="AJ1267" i="2"/>
  <c r="X1267" i="2" s="1"/>
  <c r="AJ1058" i="2"/>
  <c r="X1058" i="2" s="1"/>
  <c r="AJ1112" i="2"/>
  <c r="X1112" i="2" s="1"/>
  <c r="AJ351" i="2"/>
  <c r="X351" i="2" s="1"/>
  <c r="AJ414" i="2"/>
  <c r="X414" i="2" s="1"/>
  <c r="AJ768" i="2"/>
  <c r="X768" i="2" s="1"/>
  <c r="AJ515" i="2"/>
  <c r="X515" i="2" s="1"/>
  <c r="AJ457" i="2"/>
  <c r="X457" i="2" s="1"/>
  <c r="AJ344" i="2"/>
  <c r="X344" i="2" s="1"/>
  <c r="AJ513" i="2"/>
  <c r="X513" i="2" s="1"/>
  <c r="AJ348" i="2"/>
  <c r="X348" i="2" s="1"/>
  <c r="AJ521" i="2"/>
  <c r="X521" i="2" s="1"/>
  <c r="AJ451" i="2"/>
  <c r="X451" i="2" s="1"/>
  <c r="AJ731" i="2"/>
  <c r="X731" i="2" s="1"/>
  <c r="AJ321" i="2"/>
  <c r="X321" i="2" s="1"/>
  <c r="AJ358" i="2"/>
  <c r="X358" i="2" s="1"/>
  <c r="AJ1149" i="2"/>
  <c r="X1149" i="2" s="1"/>
  <c r="AJ1183" i="2"/>
  <c r="X1183" i="2" s="1"/>
  <c r="AJ1145" i="2"/>
  <c r="X1145" i="2" s="1"/>
  <c r="AJ1053" i="2"/>
  <c r="X1053" i="2" s="1"/>
  <c r="AJ1124" i="2"/>
  <c r="X1124" i="2" s="1"/>
  <c r="AJ1086" i="2"/>
  <c r="X1086" i="2" s="1"/>
  <c r="AJ876" i="2"/>
  <c r="X876" i="2" s="1"/>
  <c r="AJ787" i="2"/>
  <c r="X787" i="2" s="1"/>
  <c r="AJ840" i="2"/>
  <c r="X840" i="2" s="1"/>
  <c r="AJ1226" i="2"/>
  <c r="X1226" i="2" s="1"/>
  <c r="AJ920" i="2"/>
  <c r="X920" i="2" s="1"/>
  <c r="AJ481" i="2"/>
  <c r="X481" i="2" s="1"/>
  <c r="AJ176" i="2"/>
  <c r="X176" i="2" s="1"/>
  <c r="AJ1154" i="2"/>
  <c r="X1154" i="2" s="1"/>
  <c r="AJ163" i="2"/>
  <c r="X163" i="2" s="1"/>
  <c r="AJ1150" i="2"/>
  <c r="X1150" i="2" s="1"/>
  <c r="AJ1247" i="2"/>
  <c r="X1247" i="2" s="1"/>
  <c r="AJ1216" i="2"/>
  <c r="X1216" i="2" s="1"/>
  <c r="AJ964" i="2"/>
  <c r="X964" i="2" s="1"/>
  <c r="AJ195" i="2"/>
  <c r="X195" i="2" s="1"/>
  <c r="AJ759" i="2"/>
  <c r="X759" i="2" s="1"/>
  <c r="AJ292" i="2"/>
  <c r="X292" i="2" s="1"/>
  <c r="AJ674" i="2"/>
  <c r="X674" i="2" s="1"/>
  <c r="AJ405" i="2"/>
  <c r="X405" i="2" s="1"/>
  <c r="AJ238" i="2"/>
  <c r="X238" i="2" s="1"/>
  <c r="AJ748" i="2"/>
  <c r="X748" i="2" s="1"/>
  <c r="AJ716" i="2"/>
  <c r="X716" i="2" s="1"/>
  <c r="AJ254" i="2"/>
  <c r="X254" i="2" s="1"/>
  <c r="AJ740" i="2"/>
  <c r="X740" i="2" s="1"/>
  <c r="AJ719" i="2"/>
  <c r="X719" i="2" s="1"/>
  <c r="AJ574" i="2"/>
  <c r="X574" i="2" s="1"/>
  <c r="AJ327" i="2"/>
  <c r="X327" i="2" s="1"/>
  <c r="AJ1219" i="2"/>
  <c r="X1219" i="2" s="1"/>
  <c r="AJ905" i="2"/>
  <c r="X905" i="2" s="1"/>
  <c r="AJ1172" i="2"/>
  <c r="X1172" i="2" s="1"/>
  <c r="AJ916" i="2"/>
  <c r="X916" i="2" s="1"/>
  <c r="AJ907" i="2"/>
  <c r="X907" i="2" s="1"/>
  <c r="AJ1162" i="2"/>
  <c r="X1162" i="2" s="1"/>
  <c r="AJ1146" i="2"/>
  <c r="X1146" i="2" s="1"/>
  <c r="AJ1115" i="2"/>
  <c r="X1115" i="2" s="1"/>
  <c r="AJ1013" i="2"/>
  <c r="X1013" i="2" s="1"/>
  <c r="AJ1003" i="2"/>
  <c r="X1003" i="2" s="1"/>
  <c r="AJ1121" i="2"/>
  <c r="X1121" i="2" s="1"/>
  <c r="AJ771" i="2"/>
  <c r="X771" i="2" s="1"/>
  <c r="AJ1263" i="2"/>
  <c r="X1263" i="2" s="1"/>
  <c r="AJ206" i="2"/>
  <c r="X206" i="2" s="1"/>
  <c r="AJ1108" i="2"/>
  <c r="X1108" i="2" s="1"/>
  <c r="AJ744" i="2"/>
  <c r="X744" i="2" s="1"/>
  <c r="AJ1232" i="2"/>
  <c r="X1232" i="2" s="1"/>
  <c r="AJ788" i="2"/>
  <c r="X788" i="2" s="1"/>
  <c r="AJ588" i="2"/>
  <c r="X588" i="2" s="1"/>
  <c r="AJ687" i="2"/>
  <c r="X687" i="2" s="1"/>
  <c r="AJ367" i="2"/>
  <c r="X367" i="2" s="1"/>
  <c r="AJ274" i="2"/>
  <c r="X274" i="2" s="1"/>
  <c r="AJ417" i="2"/>
  <c r="X417" i="2" s="1"/>
  <c r="AJ237" i="2"/>
  <c r="X237" i="2" s="1"/>
  <c r="AJ758" i="2"/>
  <c r="X758" i="2" s="1"/>
  <c r="AJ694" i="2"/>
  <c r="X694" i="2" s="1"/>
  <c r="AJ385" i="2"/>
  <c r="X385" i="2" s="1"/>
  <c r="AJ558" i="2"/>
  <c r="X558" i="2" s="1"/>
  <c r="AJ988" i="2"/>
  <c r="X988" i="2" s="1"/>
  <c r="AJ1233" i="2"/>
  <c r="X1233" i="2" s="1"/>
  <c r="AJ1021" i="2"/>
  <c r="X1021" i="2" s="1"/>
  <c r="AJ1215" i="2"/>
  <c r="X1215" i="2" s="1"/>
  <c r="AJ877" i="2"/>
  <c r="X877" i="2" s="1"/>
  <c r="AJ1024" i="2"/>
  <c r="X1024" i="2" s="1"/>
  <c r="AJ663" i="2"/>
  <c r="X663" i="2" s="1"/>
  <c r="AJ1131" i="2"/>
  <c r="X1131" i="2" s="1"/>
  <c r="AJ1072" i="2"/>
  <c r="X1072" i="2" s="1"/>
  <c r="AJ1258" i="2"/>
  <c r="X1258" i="2" s="1"/>
  <c r="AJ978" i="2"/>
  <c r="X978" i="2" s="1"/>
  <c r="AJ888" i="2"/>
  <c r="X888" i="2" s="1"/>
  <c r="AJ986" i="2"/>
  <c r="X986" i="2" s="1"/>
  <c r="AJ1036" i="2"/>
  <c r="X1036" i="2" s="1"/>
  <c r="AJ1224" i="2"/>
  <c r="X1224" i="2" s="1"/>
  <c r="AJ864" i="2"/>
  <c r="X864" i="2" s="1"/>
  <c r="AJ220" i="2"/>
  <c r="X220" i="2" s="1"/>
  <c r="AJ356" i="2"/>
  <c r="X356" i="2" s="1"/>
  <c r="AJ669" i="2"/>
  <c r="X669" i="2" s="1"/>
  <c r="AJ429" i="2"/>
  <c r="X429" i="2" s="1"/>
  <c r="AJ412" i="2"/>
  <c r="X412" i="2" s="1"/>
  <c r="AJ180" i="2"/>
  <c r="X180" i="2" s="1"/>
  <c r="AJ613" i="2"/>
  <c r="X613" i="2" s="1"/>
  <c r="AJ642" i="2"/>
  <c r="X642" i="2" s="1"/>
  <c r="AJ619" i="2"/>
  <c r="X619" i="2" s="1"/>
  <c r="AJ752" i="2"/>
  <c r="X752" i="2" s="1"/>
  <c r="AJ445" i="2"/>
  <c r="X445" i="2" s="1"/>
  <c r="AJ328" i="2"/>
  <c r="X328" i="2" s="1"/>
  <c r="AJ386" i="2"/>
  <c r="X386" i="2" s="1"/>
  <c r="AJ801" i="2"/>
  <c r="X801" i="2" s="1"/>
  <c r="AJ1236" i="2"/>
  <c r="X1236" i="2" s="1"/>
  <c r="AJ1178" i="2"/>
  <c r="X1178" i="2" s="1"/>
  <c r="AJ527" i="2"/>
  <c r="X527" i="2" s="1"/>
  <c r="AJ1052" i="2"/>
  <c r="X1052" i="2" s="1"/>
  <c r="AJ1037" i="2"/>
  <c r="X1037" i="2" s="1"/>
  <c r="AJ1237" i="2"/>
  <c r="X1237" i="2" s="1"/>
  <c r="AJ1120" i="2"/>
  <c r="X1120" i="2" s="1"/>
  <c r="AJ979" i="2"/>
  <c r="X979" i="2" s="1"/>
  <c r="AJ1075" i="2"/>
  <c r="X1075" i="2" s="1"/>
  <c r="AJ924" i="2"/>
  <c r="X924" i="2" s="1"/>
  <c r="AJ874" i="2"/>
  <c r="X874" i="2" s="1"/>
  <c r="AJ800" i="2"/>
  <c r="X800" i="2" s="1"/>
  <c r="AJ1083" i="2"/>
  <c r="X1083" i="2" s="1"/>
  <c r="AJ893" i="2"/>
  <c r="X893" i="2" s="1"/>
  <c r="AJ256" i="2"/>
  <c r="X256" i="2" s="1"/>
  <c r="AJ1179" i="2"/>
  <c r="X1179" i="2" s="1"/>
  <c r="AJ710" i="2"/>
  <c r="X710" i="2" s="1"/>
  <c r="AJ519" i="2"/>
  <c r="X519" i="2" s="1"/>
  <c r="AJ483" i="2"/>
  <c r="X483" i="2" s="1"/>
  <c r="AJ501" i="2"/>
  <c r="X501" i="2" s="1"/>
  <c r="AJ341" i="2"/>
  <c r="X341" i="2" s="1"/>
  <c r="AJ555" i="2"/>
  <c r="X555" i="2" s="1"/>
  <c r="AJ333" i="2"/>
  <c r="X333" i="2" s="1"/>
  <c r="AJ789" i="2"/>
  <c r="X789" i="2" s="1"/>
  <c r="AJ310" i="2"/>
  <c r="X310" i="2" s="1"/>
  <c r="AJ514" i="2"/>
  <c r="X514" i="2" s="1"/>
  <c r="AJ1177" i="2"/>
  <c r="X1177" i="2" s="1"/>
  <c r="AJ1071" i="2"/>
  <c r="X1071" i="2" s="1"/>
  <c r="AJ1132" i="2"/>
  <c r="X1132" i="2" s="1"/>
  <c r="AJ951" i="2"/>
  <c r="X951" i="2" s="1"/>
  <c r="AJ803" i="2"/>
  <c r="X803" i="2" s="1"/>
  <c r="AJ1023" i="2"/>
  <c r="X1023" i="2" s="1"/>
  <c r="AJ1116" i="2"/>
  <c r="X1116" i="2" s="1"/>
  <c r="AJ1034" i="2"/>
  <c r="X1034" i="2" s="1"/>
  <c r="AJ889" i="2"/>
  <c r="X889" i="2" s="1"/>
  <c r="AJ400" i="2"/>
  <c r="X400" i="2" s="1"/>
  <c r="AJ823" i="2"/>
  <c r="X823" i="2" s="1"/>
  <c r="AJ1153" i="2"/>
  <c r="X1153" i="2" s="1"/>
  <c r="AJ831" i="2"/>
  <c r="X831" i="2" s="1"/>
  <c r="AJ1254" i="2"/>
  <c r="X1254" i="2" s="1"/>
  <c r="AJ894" i="2"/>
  <c r="X894" i="2" s="1"/>
  <c r="AJ858" i="2"/>
  <c r="X858" i="2" s="1"/>
  <c r="AJ724" i="2"/>
  <c r="X724" i="2" s="1"/>
  <c r="AJ709" i="2"/>
  <c r="X709" i="2" s="1"/>
  <c r="AJ629" i="2"/>
  <c r="X629" i="2" s="1"/>
  <c r="AJ770" i="2"/>
  <c r="X770" i="2" s="1"/>
  <c r="AJ480" i="2"/>
  <c r="X480" i="2" s="1"/>
  <c r="AJ389" i="2"/>
  <c r="X389" i="2" s="1"/>
  <c r="AJ961" i="2"/>
  <c r="X961" i="2" s="1"/>
  <c r="AJ812" i="2"/>
  <c r="X812" i="2" s="1"/>
  <c r="AJ1235" i="2"/>
  <c r="X1235" i="2" s="1"/>
  <c r="AJ589" i="2"/>
  <c r="X589" i="2" s="1"/>
  <c r="AJ1129" i="2"/>
  <c r="X1129" i="2" s="1"/>
  <c r="AJ1070" i="2"/>
  <c r="X1070" i="2" s="1"/>
  <c r="AJ1122" i="2"/>
  <c r="X1122" i="2" s="1"/>
  <c r="AJ774" i="2"/>
  <c r="X774" i="2" s="1"/>
  <c r="AJ1240" i="2"/>
  <c r="X1240" i="2" s="1"/>
  <c r="AJ1040" i="2"/>
  <c r="X1040" i="2" s="1"/>
  <c r="AJ1152" i="2"/>
  <c r="X1152" i="2" s="1"/>
  <c r="AJ1251" i="2"/>
  <c r="X1251" i="2" s="1"/>
  <c r="AJ369" i="2"/>
  <c r="X369" i="2" s="1"/>
  <c r="AJ1133" i="2"/>
  <c r="X1133" i="2" s="1"/>
  <c r="AJ884" i="2"/>
  <c r="X884" i="2" s="1"/>
  <c r="AJ1195" i="2"/>
  <c r="X1195" i="2" s="1"/>
  <c r="AJ275" i="2"/>
  <c r="X275" i="2" s="1"/>
  <c r="AJ736" i="2"/>
  <c r="X736" i="2" s="1"/>
  <c r="AJ670" i="2"/>
  <c r="X670" i="2" s="1"/>
  <c r="AJ396" i="2"/>
  <c r="X396" i="2" s="1"/>
  <c r="AJ160" i="2"/>
  <c r="X160" i="2" s="1"/>
  <c r="AJ814" i="2"/>
  <c r="X814" i="2" s="1"/>
  <c r="AJ691" i="2"/>
  <c r="X691" i="2" s="1"/>
  <c r="AJ946" i="2"/>
  <c r="X946" i="2" s="1"/>
  <c r="AJ1174" i="2"/>
  <c r="X1174" i="2" s="1"/>
  <c r="AJ406" i="2"/>
  <c r="X406" i="2" s="1"/>
  <c r="AJ1020" i="2"/>
  <c r="X1020" i="2" s="1"/>
  <c r="AJ1163" i="2"/>
  <c r="X1163" i="2" s="1"/>
  <c r="AJ1009" i="2"/>
  <c r="X1009" i="2" s="1"/>
  <c r="AJ912" i="2"/>
  <c r="X912" i="2" s="1"/>
  <c r="AJ993" i="2"/>
  <c r="X993" i="2" s="1"/>
  <c r="AJ1030" i="2"/>
  <c r="X1030" i="2" s="1"/>
  <c r="AJ1126" i="2"/>
  <c r="X1126" i="2" s="1"/>
  <c r="AJ370" i="2"/>
  <c r="X370" i="2" s="1"/>
  <c r="AJ1164" i="2"/>
  <c r="X1164" i="2" s="1"/>
  <c r="AJ600" i="2"/>
  <c r="X600" i="2" s="1"/>
  <c r="AJ957" i="2"/>
  <c r="X957" i="2" s="1"/>
  <c r="AJ1074" i="2"/>
  <c r="X1074" i="2" s="1"/>
  <c r="AJ1227" i="2"/>
  <c r="X1227" i="2" s="1"/>
  <c r="AJ915" i="2"/>
  <c r="X915" i="2" s="1"/>
  <c r="AJ708" i="2"/>
  <c r="X708" i="2" s="1"/>
  <c r="AJ585" i="2"/>
  <c r="X585" i="2" s="1"/>
  <c r="AJ668" i="2"/>
  <c r="X668" i="2" s="1"/>
  <c r="AJ671" i="2"/>
  <c r="X671" i="2" s="1"/>
  <c r="AJ538" i="2"/>
  <c r="X538" i="2" s="1"/>
  <c r="AJ353" i="2"/>
  <c r="X353" i="2" s="1"/>
  <c r="AJ398" i="2"/>
  <c r="X398" i="2" s="1"/>
  <c r="AJ468" i="2"/>
  <c r="X468" i="2" s="1"/>
  <c r="AJ148" i="2"/>
  <c r="X148" i="2" s="1"/>
  <c r="AJ413" i="2"/>
  <c r="X413" i="2" s="1"/>
  <c r="AJ397" i="2"/>
  <c r="X397" i="2" s="1"/>
  <c r="AJ1054" i="2"/>
  <c r="X1054" i="2" s="1"/>
  <c r="AJ573" i="2"/>
  <c r="X573" i="2" s="1"/>
  <c r="AJ1170" i="2"/>
  <c r="X1170" i="2" s="1"/>
  <c r="AJ974" i="2"/>
  <c r="X974" i="2" s="1"/>
  <c r="AJ606" i="2"/>
  <c r="X606" i="2" s="1"/>
  <c r="AJ969" i="2"/>
  <c r="X969" i="2" s="1"/>
  <c r="AJ968" i="2"/>
  <c r="X968" i="2" s="1"/>
  <c r="AJ855" i="2"/>
  <c r="X855" i="2" s="1"/>
  <c r="AJ1193" i="2"/>
  <c r="X1193" i="2" s="1"/>
  <c r="AJ1060" i="2"/>
  <c r="X1060" i="2" s="1"/>
  <c r="AJ996" i="2"/>
  <c r="X996" i="2" s="1"/>
  <c r="AJ981" i="2"/>
  <c r="X981" i="2" s="1"/>
  <c r="AJ1243" i="2"/>
  <c r="X1243" i="2" s="1"/>
  <c r="AJ895" i="2"/>
  <c r="X895" i="2" s="1"/>
  <c r="AJ793" i="2"/>
  <c r="X793" i="2" s="1"/>
  <c r="AJ582" i="2"/>
  <c r="X582" i="2" s="1"/>
  <c r="AJ599" i="2"/>
  <c r="X599" i="2" s="1"/>
  <c r="AJ520" i="2"/>
  <c r="X520" i="2" s="1"/>
  <c r="AJ308" i="2"/>
  <c r="X308" i="2" s="1"/>
  <c r="AJ313" i="2"/>
  <c r="X313" i="2" s="1"/>
  <c r="AJ488" i="2"/>
  <c r="X488" i="2" s="1"/>
  <c r="AJ745" i="2"/>
  <c r="X745" i="2" s="1"/>
  <c r="AJ690" i="2"/>
  <c r="X690" i="2" s="1"/>
  <c r="AJ1085" i="2"/>
  <c r="X1085" i="2" s="1"/>
  <c r="AJ718" i="2"/>
  <c r="X718" i="2" s="1"/>
  <c r="AJ666" i="2"/>
  <c r="X666" i="2" s="1"/>
  <c r="AJ164" i="2"/>
  <c r="X164" i="2" s="1"/>
  <c r="AJ144" i="2"/>
  <c r="X144" i="2" s="1"/>
  <c r="AJ240" i="2"/>
  <c r="X240" i="2" s="1"/>
  <c r="AJ543" i="2"/>
  <c r="X543" i="2" s="1"/>
  <c r="AJ342" i="2"/>
  <c r="X342" i="2" s="1"/>
  <c r="AJ727" i="2"/>
  <c r="X727" i="2" s="1"/>
  <c r="AJ133" i="2"/>
  <c r="X133" i="2" s="1"/>
  <c r="AJ88" i="2"/>
  <c r="X88" i="2" s="1"/>
  <c r="AJ45" i="2"/>
  <c r="X45" i="2" s="1"/>
  <c r="AJ83" i="2"/>
  <c r="X83" i="2" s="1"/>
  <c r="AJ120" i="2"/>
  <c r="X120" i="2" s="1"/>
  <c r="AJ17" i="2"/>
  <c r="X17" i="2" s="1"/>
  <c r="AJ85" i="2"/>
  <c r="X85" i="2" s="1"/>
  <c r="AJ52" i="2"/>
  <c r="X52" i="2" s="1"/>
  <c r="AJ928" i="2"/>
  <c r="X928" i="2" s="1"/>
  <c r="AJ1229" i="2"/>
  <c r="X1229" i="2" s="1"/>
  <c r="AJ1044" i="2"/>
  <c r="X1044" i="2" s="1"/>
  <c r="AJ374" i="2"/>
  <c r="X374" i="2" s="1"/>
  <c r="AJ635" i="2"/>
  <c r="X635" i="2" s="1"/>
  <c r="AJ242" i="2"/>
  <c r="X242" i="2" s="1"/>
  <c r="AJ802" i="2"/>
  <c r="X802" i="2" s="1"/>
  <c r="AJ498" i="2"/>
  <c r="X498" i="2" s="1"/>
  <c r="AJ33" i="2"/>
  <c r="X33" i="2" s="1"/>
  <c r="AJ29" i="2"/>
  <c r="X29" i="2" s="1"/>
  <c r="AJ64" i="2"/>
  <c r="X64" i="2" s="1"/>
  <c r="AJ91" i="2"/>
  <c r="X91" i="2" s="1"/>
  <c r="AJ134" i="2"/>
  <c r="X134" i="2" s="1"/>
  <c r="AJ104" i="2"/>
  <c r="X104" i="2" s="1"/>
  <c r="AJ196" i="2"/>
  <c r="X196" i="2" s="1"/>
  <c r="AJ73" i="2"/>
  <c r="X73" i="2" s="1"/>
  <c r="AJ1199" i="2"/>
  <c r="X1199" i="2" s="1"/>
  <c r="AJ1082" i="2"/>
  <c r="X1082" i="2" s="1"/>
  <c r="AJ1032" i="2"/>
  <c r="X1032" i="2" s="1"/>
  <c r="AJ1077" i="2"/>
  <c r="X1077" i="2" s="1"/>
  <c r="AJ1189" i="2"/>
  <c r="X1189" i="2" s="1"/>
  <c r="AJ382" i="2"/>
  <c r="X382" i="2" s="1"/>
  <c r="AJ730" i="2"/>
  <c r="X730" i="2" s="1"/>
  <c r="AJ525" i="2"/>
  <c r="X525" i="2" s="1"/>
  <c r="AJ177" i="2"/>
  <c r="X177" i="2" s="1"/>
  <c r="AJ773" i="2"/>
  <c r="X773" i="2" s="1"/>
  <c r="AJ32" i="2"/>
  <c r="X32" i="2" s="1"/>
  <c r="AJ530" i="2"/>
  <c r="X530" i="2" s="1"/>
  <c r="AJ1011" i="2"/>
  <c r="X1011" i="2" s="1"/>
  <c r="AJ464" i="2"/>
  <c r="X464" i="2" s="1"/>
  <c r="AJ285" i="2"/>
  <c r="X285" i="2" s="1"/>
  <c r="AJ268" i="2"/>
  <c r="X268" i="2" s="1"/>
  <c r="AJ99" i="2"/>
  <c r="X99" i="2" s="1"/>
  <c r="AJ101" i="2"/>
  <c r="X101" i="2" s="1"/>
  <c r="AJ757" i="2"/>
  <c r="X757" i="2" s="1"/>
  <c r="AJ383" i="2"/>
  <c r="X383" i="2" s="1"/>
  <c r="AJ27" i="2"/>
  <c r="X27" i="2" s="1"/>
  <c r="AJ225" i="2"/>
  <c r="X225" i="2" s="1"/>
  <c r="AJ983" i="2"/>
  <c r="X983" i="2" s="1"/>
  <c r="AJ262" i="2"/>
  <c r="X262" i="2" s="1"/>
  <c r="AJ714" i="2"/>
  <c r="X714" i="2" s="1"/>
  <c r="AJ662" i="2"/>
  <c r="X662" i="2" s="1"/>
  <c r="AJ584" i="2"/>
  <c r="X584" i="2" s="1"/>
  <c r="AJ544" i="2"/>
  <c r="X544" i="2" s="1"/>
  <c r="AJ9" i="2"/>
  <c r="X9" i="2" s="1"/>
  <c r="AJ71" i="2"/>
  <c r="X71" i="2" s="1"/>
  <c r="AJ879" i="2"/>
  <c r="X879" i="2" s="1"/>
  <c r="AJ798" i="2"/>
  <c r="X798" i="2" s="1"/>
  <c r="AJ373" i="2"/>
  <c r="X373" i="2" s="1"/>
  <c r="AJ147" i="2"/>
  <c r="X147" i="2" s="1"/>
  <c r="AJ720" i="2"/>
  <c r="X720" i="2" s="1"/>
  <c r="AJ76" i="2"/>
  <c r="X76" i="2" s="1"/>
  <c r="AJ19" i="2"/>
  <c r="X19" i="2" s="1"/>
  <c r="AJ82" i="2"/>
  <c r="X82" i="2" s="1"/>
  <c r="AJ152" i="2"/>
  <c r="X152" i="2" s="1"/>
  <c r="AJ135" i="2"/>
  <c r="X135" i="2" s="1"/>
  <c r="AJ36" i="2"/>
  <c r="X36" i="2" s="1"/>
  <c r="AJ209" i="2"/>
  <c r="X209" i="2" s="1"/>
  <c r="AJ775" i="2"/>
  <c r="X775" i="2" s="1"/>
  <c r="AJ753" i="2"/>
  <c r="X753" i="2" s="1"/>
  <c r="AJ263" i="2"/>
  <c r="X263" i="2" s="1"/>
  <c r="AJ94" i="2"/>
  <c r="X94" i="2" s="1"/>
  <c r="AJ460" i="2"/>
  <c r="X460" i="2" s="1"/>
  <c r="AJ65" i="2"/>
  <c r="X65" i="2" s="1"/>
  <c r="AJ684" i="2"/>
  <c r="X684" i="2" s="1"/>
  <c r="AJ522" i="2"/>
  <c r="X522" i="2" s="1"/>
  <c r="AJ239" i="2"/>
  <c r="X239" i="2" s="1"/>
  <c r="AJ496" i="2"/>
  <c r="X496" i="2" s="1"/>
  <c r="AJ224" i="2"/>
  <c r="X224" i="2" s="1"/>
  <c r="AJ61" i="2"/>
  <c r="X61" i="2" s="1"/>
  <c r="AJ24" i="2"/>
  <c r="X24" i="2" s="1"/>
  <c r="AJ25" i="2"/>
  <c r="X25" i="2" s="1"/>
  <c r="AJ66" i="2"/>
  <c r="X66" i="2" s="1"/>
  <c r="AJ13" i="2"/>
  <c r="X13" i="2" s="1"/>
  <c r="AJ100" i="2"/>
  <c r="X100" i="2" s="1"/>
  <c r="AJ16" i="2"/>
  <c r="X16" i="2" s="1"/>
  <c r="AJ976" i="2"/>
  <c r="X976" i="2" s="1"/>
  <c r="AJ183" i="2"/>
  <c r="X183" i="2" s="1"/>
  <c r="AJ737" i="2"/>
  <c r="X737" i="2" s="1"/>
  <c r="AJ760" i="2"/>
  <c r="X760" i="2" s="1"/>
  <c r="AJ415" i="2"/>
  <c r="X415" i="2" s="1"/>
  <c r="AJ494" i="2"/>
  <c r="X494" i="2" s="1"/>
  <c r="AJ201" i="2"/>
  <c r="X201" i="2" s="1"/>
  <c r="AJ785" i="2"/>
  <c r="X785" i="2" s="1"/>
  <c r="AJ259" i="2"/>
  <c r="X259" i="2" s="1"/>
  <c r="AJ1252" i="2"/>
  <c r="X1252" i="2" s="1"/>
  <c r="AJ1027" i="2"/>
  <c r="X1027" i="2" s="1"/>
  <c r="AJ271" i="2"/>
  <c r="X271" i="2" s="1"/>
  <c r="AJ733" i="2"/>
  <c r="X733" i="2" s="1"/>
  <c r="AJ448" i="2"/>
  <c r="X448" i="2" s="1"/>
  <c r="AJ255" i="2"/>
  <c r="X255" i="2" s="1"/>
  <c r="AJ608" i="2"/>
  <c r="X608" i="2" s="1"/>
  <c r="AJ471" i="2"/>
  <c r="X471" i="2" s="1"/>
  <c r="AJ223" i="2"/>
  <c r="X223" i="2" s="1"/>
  <c r="AJ181" i="2"/>
  <c r="X181" i="2" s="1"/>
  <c r="AJ115" i="2"/>
  <c r="X115" i="2" s="1"/>
  <c r="AJ63" i="2"/>
  <c r="X63" i="2" s="1"/>
  <c r="AJ48" i="2"/>
  <c r="X48" i="2" s="1"/>
  <c r="AJ84" i="2"/>
  <c r="X84" i="2" s="1"/>
  <c r="AJ116" i="2"/>
  <c r="X116" i="2" s="1"/>
  <c r="AJ215" i="2"/>
  <c r="X215" i="2" s="1"/>
  <c r="AJ22" i="2"/>
  <c r="X22" i="2" s="1"/>
  <c r="AJ902" i="2"/>
  <c r="X902" i="2" s="1"/>
  <c r="AJ707" i="2"/>
  <c r="X707" i="2" s="1"/>
  <c r="AJ137" i="2"/>
  <c r="X137" i="2" s="1"/>
  <c r="AJ49" i="2"/>
  <c r="X49" i="2" s="1"/>
  <c r="AJ139" i="2"/>
  <c r="X139" i="2" s="1"/>
  <c r="AJ68" i="2"/>
  <c r="X68" i="2" s="1"/>
  <c r="AJ74" i="2"/>
  <c r="X74" i="2" s="1"/>
  <c r="AJ102" i="2"/>
  <c r="X102" i="2" s="1"/>
  <c r="AJ755" i="2"/>
  <c r="X755" i="2" s="1"/>
  <c r="AJ145" i="2"/>
  <c r="X145" i="2" s="1"/>
  <c r="AJ179" i="2"/>
  <c r="X179" i="2" s="1"/>
  <c r="AJ430" i="2"/>
  <c r="X430" i="2" s="1"/>
  <c r="AJ675" i="2"/>
  <c r="X675" i="2" s="1"/>
  <c r="AJ541" i="2"/>
  <c r="X541" i="2" s="1"/>
  <c r="AJ517" i="2"/>
  <c r="X517" i="2" s="1"/>
  <c r="AJ790" i="2"/>
  <c r="X790" i="2" s="1"/>
  <c r="AJ131" i="2"/>
  <c r="X131" i="2" s="1"/>
  <c r="AJ140" i="2"/>
  <c r="X140" i="2" s="1"/>
  <c r="AJ371" i="2"/>
  <c r="X371" i="2" s="1"/>
  <c r="AJ340" i="2"/>
  <c r="X340" i="2" s="1"/>
  <c r="AJ972" i="2"/>
  <c r="X972" i="2" s="1"/>
  <c r="AJ447" i="2"/>
  <c r="X447" i="2" s="1"/>
  <c r="AJ391" i="2"/>
  <c r="X391" i="2" s="1"/>
  <c r="AJ646" i="2"/>
  <c r="X646" i="2" s="1"/>
  <c r="AJ168" i="2"/>
  <c r="X168" i="2" s="1"/>
  <c r="AJ184" i="2"/>
  <c r="X184" i="2" s="1"/>
  <c r="AJ93" i="2"/>
  <c r="X93" i="2" s="1"/>
  <c r="AS39" i="2"/>
  <c r="AS428" i="2"/>
  <c r="AS730" i="2"/>
  <c r="AS786" i="2"/>
  <c r="AS961" i="2"/>
  <c r="AS362" i="2"/>
  <c r="AS18" i="2"/>
  <c r="AS77" i="2"/>
  <c r="AS312" i="2"/>
  <c r="AS888" i="2"/>
  <c r="AS530" i="2"/>
  <c r="AS891" i="2"/>
  <c r="AS1059" i="2"/>
  <c r="AS461" i="2"/>
  <c r="AS1064" i="2"/>
  <c r="AG1064" i="2" s="1"/>
  <c r="U1064" i="2" s="1"/>
  <c r="AS669" i="2"/>
  <c r="AS1249" i="2"/>
  <c r="AS764" i="2"/>
  <c r="AS1088" i="2"/>
  <c r="AS1015" i="2"/>
  <c r="AS573" i="2"/>
  <c r="AS885" i="2"/>
  <c r="AS1073" i="2"/>
  <c r="AS1211" i="2"/>
  <c r="AS1128" i="2"/>
  <c r="AS703" i="2"/>
  <c r="AS902" i="2"/>
  <c r="AS985" i="2"/>
  <c r="AS1193" i="2"/>
  <c r="AS534" i="2"/>
  <c r="AS623" i="2"/>
  <c r="AG623" i="2" s="1"/>
  <c r="U623" i="2" s="1"/>
  <c r="AS1028" i="2"/>
  <c r="AS897" i="2"/>
  <c r="AS1069" i="2"/>
  <c r="AS1044" i="2"/>
  <c r="AS1201" i="2"/>
  <c r="AS939" i="2"/>
  <c r="AS931" i="2"/>
  <c r="AS937" i="2"/>
  <c r="AS1017" i="2"/>
  <c r="AS475" i="2"/>
  <c r="AS793" i="2"/>
  <c r="AS168" i="2"/>
  <c r="AS535" i="2"/>
  <c r="AS406" i="2"/>
  <c r="AS649" i="2"/>
  <c r="AS788" i="2"/>
  <c r="AG788" i="2" s="1"/>
  <c r="U788" i="2" s="1"/>
  <c r="AS422" i="2"/>
  <c r="AS584" i="2"/>
  <c r="AS691" i="2"/>
  <c r="AS797" i="2"/>
  <c r="AS355" i="2"/>
  <c r="AS216" i="2"/>
  <c r="AS521" i="2"/>
  <c r="AS807" i="2"/>
  <c r="AS440" i="2"/>
  <c r="AS749" i="2"/>
  <c r="AS162" i="2"/>
  <c r="AS293" i="2"/>
  <c r="AS156" i="2"/>
  <c r="AS24" i="2"/>
  <c r="AS73" i="2"/>
  <c r="AS123" i="2"/>
  <c r="AG123" i="2" s="1"/>
  <c r="U123" i="2" s="1"/>
  <c r="AS134" i="2"/>
  <c r="AS110" i="2"/>
  <c r="AS527" i="2"/>
  <c r="AS789" i="2"/>
  <c r="AS996" i="2"/>
  <c r="AR404" i="2"/>
  <c r="AR597" i="2"/>
  <c r="AR198" i="2"/>
  <c r="AR691" i="2"/>
  <c r="AR775" i="2"/>
  <c r="AR514" i="2"/>
  <c r="AR397" i="2"/>
  <c r="AR608" i="2"/>
  <c r="AF608" i="2" s="1"/>
  <c r="T608" i="2" s="1"/>
  <c r="AR164" i="2"/>
  <c r="AR85" i="2"/>
  <c r="AR78" i="2"/>
  <c r="AF78" i="2" s="1"/>
  <c r="T78" i="2" s="1"/>
  <c r="AR803" i="2"/>
  <c r="AR673" i="2"/>
  <c r="AR861" i="2"/>
  <c r="AR786" i="2"/>
  <c r="AF786" i="2" s="1"/>
  <c r="T786" i="2" s="1"/>
  <c r="AR1158" i="2"/>
  <c r="AR543" i="2"/>
  <c r="AR682" i="2"/>
  <c r="AR1212" i="2"/>
  <c r="AR926" i="2"/>
  <c r="AR741" i="2"/>
  <c r="AF741" i="2" s="1"/>
  <c r="T741" i="2" s="1"/>
  <c r="AR754" i="2"/>
  <c r="AR463" i="2"/>
  <c r="AF463" i="2" s="1"/>
  <c r="T463" i="2" s="1"/>
  <c r="AR964" i="2"/>
  <c r="AR228" i="2"/>
  <c r="AR285" i="2"/>
  <c r="AR129" i="2"/>
  <c r="AF129" i="2" s="1"/>
  <c r="T129" i="2" s="1"/>
  <c r="AR808" i="2"/>
  <c r="AR210" i="2"/>
  <c r="AR1146" i="2"/>
  <c r="AR659" i="2"/>
  <c r="AR282" i="2"/>
  <c r="AR403" i="2"/>
  <c r="AR882" i="2"/>
  <c r="AR866" i="2"/>
  <c r="AR426" i="2"/>
  <c r="AR953" i="2"/>
  <c r="AR310" i="2"/>
  <c r="AR912" i="2"/>
  <c r="AR617" i="2"/>
  <c r="AR529" i="2"/>
  <c r="AF529" i="2" s="1"/>
  <c r="T529" i="2" s="1"/>
  <c r="AR1004" i="2"/>
  <c r="AR1236" i="2"/>
  <c r="AF1236" i="2" s="1"/>
  <c r="T1236" i="2" s="1"/>
  <c r="AR1022" i="2"/>
  <c r="AR955" i="2"/>
  <c r="AR1045" i="2"/>
  <c r="AR1020" i="2"/>
  <c r="AR1151" i="2"/>
  <c r="AR910" i="2"/>
  <c r="AF910" i="2" s="1"/>
  <c r="T910" i="2" s="1"/>
  <c r="AR227" i="2"/>
  <c r="AR859" i="2"/>
  <c r="AR836" i="2"/>
  <c r="AR936" i="2"/>
  <c r="AR580" i="2"/>
  <c r="AR315" i="2"/>
  <c r="AR267" i="2"/>
  <c r="AF267" i="2" s="1"/>
  <c r="T267" i="2" s="1"/>
  <c r="AR903" i="2"/>
  <c r="AR879" i="2"/>
  <c r="AR611" i="2"/>
  <c r="AF611" i="2" s="1"/>
  <c r="T611" i="2" s="1"/>
  <c r="AR627" i="2"/>
  <c r="AR656" i="2"/>
  <c r="AR706" i="2"/>
  <c r="AR805" i="2"/>
  <c r="AR186" i="2"/>
  <c r="AR723" i="2"/>
  <c r="AR38" i="2"/>
  <c r="AR370" i="2"/>
  <c r="AR762" i="2"/>
  <c r="AR230" i="2"/>
  <c r="AF230" i="2" s="1"/>
  <c r="T230" i="2" s="1"/>
  <c r="AR639" i="2"/>
  <c r="AR338" i="2"/>
  <c r="AF338" i="2" s="1"/>
  <c r="T338" i="2" s="1"/>
  <c r="AR304" i="2"/>
  <c r="AR349" i="2"/>
  <c r="AF349" i="2" s="1"/>
  <c r="T349" i="2" s="1"/>
  <c r="AR408" i="2"/>
  <c r="AR46" i="2"/>
  <c r="AF46" i="2" s="1"/>
  <c r="T46" i="2" s="1"/>
  <c r="AR39" i="2"/>
  <c r="AR34" i="2"/>
  <c r="AR94" i="2"/>
  <c r="AR222" i="2"/>
  <c r="AF1261" i="2"/>
  <c r="T1261" i="2" s="1"/>
  <c r="AF1269" i="2"/>
  <c r="T1269" i="2" s="1"/>
  <c r="AF1260" i="2"/>
  <c r="T1260" i="2" s="1"/>
  <c r="AF1259" i="2"/>
  <c r="T1259" i="2" s="1"/>
  <c r="AF1263" i="2"/>
  <c r="T1263" i="2" s="1"/>
  <c r="AF1268" i="2"/>
  <c r="T1268" i="2" s="1"/>
  <c r="AF1270" i="2"/>
  <c r="T1270" i="2" s="1"/>
  <c r="AF1264" i="2"/>
  <c r="T1264" i="2" s="1"/>
  <c r="AF1265" i="2"/>
  <c r="T1265" i="2" s="1"/>
  <c r="AF1272" i="2"/>
  <c r="T1272" i="2" s="1"/>
  <c r="AF1249" i="2"/>
  <c r="T1249" i="2" s="1"/>
  <c r="AF1271" i="2"/>
  <c r="T1271" i="2" s="1"/>
  <c r="AF1257" i="2"/>
  <c r="T1257" i="2" s="1"/>
  <c r="AF1256" i="2"/>
  <c r="T1256" i="2" s="1"/>
  <c r="AF1244" i="2"/>
  <c r="T1244" i="2" s="1"/>
  <c r="AF1241" i="2"/>
  <c r="T1241" i="2" s="1"/>
  <c r="AF1255" i="2"/>
  <c r="T1255" i="2" s="1"/>
  <c r="AF1266" i="2"/>
  <c r="T1266" i="2" s="1"/>
  <c r="AF1246" i="2"/>
  <c r="T1246" i="2" s="1"/>
  <c r="AF1239" i="2"/>
  <c r="T1239" i="2" s="1"/>
  <c r="AF1253" i="2"/>
  <c r="T1253" i="2" s="1"/>
  <c r="AF1245" i="2"/>
  <c r="T1245" i="2" s="1"/>
  <c r="AF1262" i="2"/>
  <c r="T1262" i="2" s="1"/>
  <c r="AF1250" i="2"/>
  <c r="T1250" i="2" s="1"/>
  <c r="AF1238" i="2"/>
  <c r="T1238" i="2" s="1"/>
  <c r="AF1254" i="2"/>
  <c r="T1254" i="2" s="1"/>
  <c r="AF1251" i="2"/>
  <c r="T1251" i="2" s="1"/>
  <c r="AF1252" i="2"/>
  <c r="T1252" i="2" s="1"/>
  <c r="AF1240" i="2"/>
  <c r="T1240" i="2" s="1"/>
  <c r="AF1248" i="2"/>
  <c r="T1248" i="2" s="1"/>
  <c r="AF1247" i="2"/>
  <c r="T1247" i="2" s="1"/>
  <c r="AF1232" i="2"/>
  <c r="T1232" i="2" s="1"/>
  <c r="AF1201" i="2"/>
  <c r="T1201" i="2" s="1"/>
  <c r="AF1242" i="2"/>
  <c r="T1242" i="2" s="1"/>
  <c r="AF1231" i="2"/>
  <c r="T1231" i="2" s="1"/>
  <c r="AF1227" i="2"/>
  <c r="T1227" i="2" s="1"/>
  <c r="AF1235" i="2"/>
  <c r="T1235" i="2" s="1"/>
  <c r="AF1224" i="2"/>
  <c r="T1224" i="2" s="1"/>
  <c r="AF1208" i="2"/>
  <c r="T1208" i="2" s="1"/>
  <c r="AF1225" i="2"/>
  <c r="T1225" i="2" s="1"/>
  <c r="AF1237" i="2"/>
  <c r="T1237" i="2" s="1"/>
  <c r="AF1216" i="2"/>
  <c r="T1216" i="2" s="1"/>
  <c r="AF1211" i="2"/>
  <c r="T1211" i="2" s="1"/>
  <c r="AF1234" i="2"/>
  <c r="T1234" i="2" s="1"/>
  <c r="AF1230" i="2"/>
  <c r="T1230" i="2" s="1"/>
  <c r="AF1219" i="2"/>
  <c r="T1219" i="2" s="1"/>
  <c r="AF1243" i="2"/>
  <c r="T1243" i="2" s="1"/>
  <c r="AF1223" i="2"/>
  <c r="T1223" i="2" s="1"/>
  <c r="AF1206" i="2"/>
  <c r="T1206" i="2" s="1"/>
  <c r="AF1213" i="2"/>
  <c r="T1213" i="2" s="1"/>
  <c r="AF1222" i="2"/>
  <c r="T1222" i="2" s="1"/>
  <c r="AF1229" i="2"/>
  <c r="T1229" i="2" s="1"/>
  <c r="AF1215" i="2"/>
  <c r="T1215" i="2" s="1"/>
  <c r="AF1209" i="2"/>
  <c r="T1209" i="2" s="1"/>
  <c r="AF1187" i="2"/>
  <c r="T1187" i="2" s="1"/>
  <c r="AF1221" i="2"/>
  <c r="T1221" i="2" s="1"/>
  <c r="AF1212" i="2"/>
  <c r="T1212" i="2" s="1"/>
  <c r="AF1190" i="2"/>
  <c r="T1190" i="2" s="1"/>
  <c r="AF1179" i="2"/>
  <c r="T1179" i="2" s="1"/>
  <c r="AF1205" i="2"/>
  <c r="T1205" i="2" s="1"/>
  <c r="AF1193" i="2"/>
  <c r="T1193" i="2" s="1"/>
  <c r="AF1202" i="2"/>
  <c r="T1202" i="2" s="1"/>
  <c r="AF1197" i="2"/>
  <c r="T1197" i="2" s="1"/>
  <c r="AF1204" i="2"/>
  <c r="T1204" i="2" s="1"/>
  <c r="AF1191" i="2"/>
  <c r="T1191" i="2" s="1"/>
  <c r="AF1199" i="2"/>
  <c r="T1199" i="2" s="1"/>
  <c r="AF1185" i="2"/>
  <c r="T1185" i="2" s="1"/>
  <c r="AF1220" i="2"/>
  <c r="T1220" i="2" s="1"/>
  <c r="AF1189" i="2"/>
  <c r="T1189" i="2" s="1"/>
  <c r="AF1173" i="2"/>
  <c r="T1173" i="2" s="1"/>
  <c r="AF1196" i="2"/>
  <c r="T1196" i="2" s="1"/>
  <c r="AF1207" i="2"/>
  <c r="T1207" i="2" s="1"/>
  <c r="AF1210" i="2"/>
  <c r="T1210" i="2" s="1"/>
  <c r="AF1194" i="2"/>
  <c r="T1194" i="2" s="1"/>
  <c r="AF1164" i="2"/>
  <c r="T1164" i="2" s="1"/>
  <c r="AF1192" i="2"/>
  <c r="T1192" i="2" s="1"/>
  <c r="AF1186" i="2"/>
  <c r="T1186" i="2" s="1"/>
  <c r="AF1172" i="2"/>
  <c r="T1172" i="2" s="1"/>
  <c r="AF1168" i="2"/>
  <c r="T1168" i="2" s="1"/>
  <c r="AF1152" i="2"/>
  <c r="T1152" i="2" s="1"/>
  <c r="AF1198" i="2"/>
  <c r="T1198" i="2" s="1"/>
  <c r="AF1184" i="2"/>
  <c r="T1184" i="2" s="1"/>
  <c r="AF1177" i="2"/>
  <c r="T1177" i="2" s="1"/>
  <c r="AF1200" i="2"/>
  <c r="T1200" i="2" s="1"/>
  <c r="AF1158" i="2"/>
  <c r="T1158" i="2" s="1"/>
  <c r="AF1169" i="2"/>
  <c r="T1169" i="2" s="1"/>
  <c r="AF1149" i="2"/>
  <c r="T1149" i="2" s="1"/>
  <c r="AF1203" i="2"/>
  <c r="T1203" i="2" s="1"/>
  <c r="AF1162" i="2"/>
  <c r="T1162" i="2" s="1"/>
  <c r="AF1174" i="2"/>
  <c r="T1174" i="2" s="1"/>
  <c r="AF1159" i="2"/>
  <c r="T1159" i="2" s="1"/>
  <c r="AF1166" i="2"/>
  <c r="T1166" i="2" s="1"/>
  <c r="AF1182" i="2"/>
  <c r="T1182" i="2" s="1"/>
  <c r="AF1181" i="2"/>
  <c r="T1181" i="2" s="1"/>
  <c r="AF1180" i="2"/>
  <c r="T1180" i="2" s="1"/>
  <c r="AF1170" i="2"/>
  <c r="T1170" i="2" s="1"/>
  <c r="AF1165" i="2"/>
  <c r="T1165" i="2" s="1"/>
  <c r="AF1163" i="2"/>
  <c r="T1163" i="2" s="1"/>
  <c r="AF1148" i="2"/>
  <c r="T1148" i="2" s="1"/>
  <c r="AF1138" i="2"/>
  <c r="T1138" i="2" s="1"/>
  <c r="AF1122" i="2"/>
  <c r="T1122" i="2" s="1"/>
  <c r="AF1139" i="2"/>
  <c r="T1139" i="2" s="1"/>
  <c r="AF1150" i="2"/>
  <c r="T1150" i="2" s="1"/>
  <c r="AF1140" i="2"/>
  <c r="T1140" i="2" s="1"/>
  <c r="AF1151" i="2"/>
  <c r="T1151" i="2" s="1"/>
  <c r="AF1141" i="2"/>
  <c r="T1141" i="2" s="1"/>
  <c r="AF1125" i="2"/>
  <c r="T1125" i="2" s="1"/>
  <c r="AF1157" i="2"/>
  <c r="T1157" i="2" s="1"/>
  <c r="AF1142" i="2"/>
  <c r="T1142" i="2" s="1"/>
  <c r="AF1126" i="2"/>
  <c r="T1126" i="2" s="1"/>
  <c r="AF1144" i="2"/>
  <c r="T1144" i="2" s="1"/>
  <c r="AF1128" i="2"/>
  <c r="T1128" i="2" s="1"/>
  <c r="AF1145" i="2"/>
  <c r="T1145" i="2" s="1"/>
  <c r="AF1129" i="2"/>
  <c r="T1129" i="2" s="1"/>
  <c r="AF1167" i="2"/>
  <c r="T1167" i="2" s="1"/>
  <c r="AF1146" i="2"/>
  <c r="T1146" i="2" s="1"/>
  <c r="AF1130" i="2"/>
  <c r="T1130" i="2" s="1"/>
  <c r="AF1131" i="2"/>
  <c r="T1131" i="2" s="1"/>
  <c r="AF1132" i="2"/>
  <c r="T1132" i="2" s="1"/>
  <c r="AF1160" i="2"/>
  <c r="T1160" i="2" s="1"/>
  <c r="AF1147" i="2"/>
  <c r="T1147" i="2" s="1"/>
  <c r="AF1133" i="2"/>
  <c r="T1133" i="2" s="1"/>
  <c r="AF1117" i="2"/>
  <c r="T1117" i="2" s="1"/>
  <c r="AF1155" i="2"/>
  <c r="T1155" i="2" s="1"/>
  <c r="AF1134" i="2"/>
  <c r="T1134" i="2" s="1"/>
  <c r="AF1161" i="2"/>
  <c r="T1161" i="2" s="1"/>
  <c r="AF1135" i="2"/>
  <c r="T1135" i="2" s="1"/>
  <c r="AF1119" i="2"/>
  <c r="T1119" i="2" s="1"/>
  <c r="AF1156" i="2"/>
  <c r="T1156" i="2" s="1"/>
  <c r="AF1101" i="2"/>
  <c r="T1101" i="2" s="1"/>
  <c r="AF1102" i="2"/>
  <c r="T1102" i="2" s="1"/>
  <c r="AF1086" i="2"/>
  <c r="T1086" i="2" s="1"/>
  <c r="AF1137" i="2"/>
  <c r="T1137" i="2" s="1"/>
  <c r="AF1103" i="2"/>
  <c r="T1103" i="2" s="1"/>
  <c r="AF1104" i="2"/>
  <c r="T1104" i="2" s="1"/>
  <c r="AF1088" i="2"/>
  <c r="T1088" i="2" s="1"/>
  <c r="AF1105" i="2"/>
  <c r="T1105" i="2" s="1"/>
  <c r="AF1136" i="2"/>
  <c r="T1136" i="2" s="1"/>
  <c r="AF1106" i="2"/>
  <c r="T1106" i="2" s="1"/>
  <c r="AF1091" i="2"/>
  <c r="T1091" i="2" s="1"/>
  <c r="AF1108" i="2"/>
  <c r="T1108" i="2" s="1"/>
  <c r="AF1109" i="2"/>
  <c r="T1109" i="2" s="1"/>
  <c r="AF1093" i="2"/>
  <c r="T1093" i="2" s="1"/>
  <c r="AF1110" i="2"/>
  <c r="T1110" i="2" s="1"/>
  <c r="AF1127" i="2"/>
  <c r="T1127" i="2" s="1"/>
  <c r="AF1123" i="2"/>
  <c r="T1123" i="2" s="1"/>
  <c r="AF1113" i="2"/>
  <c r="T1113" i="2" s="1"/>
  <c r="AF1153" i="2"/>
  <c r="T1153" i="2" s="1"/>
  <c r="AF1098" i="2"/>
  <c r="T1098" i="2" s="1"/>
  <c r="AF1087" i="2"/>
  <c r="T1087" i="2" s="1"/>
  <c r="AF1111" i="2"/>
  <c r="T1111" i="2" s="1"/>
  <c r="AF1097" i="2"/>
  <c r="T1097" i="2" s="1"/>
  <c r="AF1070" i="2"/>
  <c r="T1070" i="2" s="1"/>
  <c r="AF1072" i="2"/>
  <c r="T1072" i="2" s="1"/>
  <c r="AF1112" i="2"/>
  <c r="T1112" i="2" s="1"/>
  <c r="AF1099" i="2"/>
  <c r="T1099" i="2" s="1"/>
  <c r="AF1120" i="2"/>
  <c r="T1120" i="2" s="1"/>
  <c r="AF1075" i="2"/>
  <c r="T1075" i="2" s="1"/>
  <c r="AF1076" i="2"/>
  <c r="T1076" i="2" s="1"/>
  <c r="AF1114" i="2"/>
  <c r="T1114" i="2" s="1"/>
  <c r="AF1090" i="2"/>
  <c r="T1090" i="2" s="1"/>
  <c r="AF1089" i="2"/>
  <c r="T1089" i="2" s="1"/>
  <c r="AF1077" i="2"/>
  <c r="T1077" i="2" s="1"/>
  <c r="AF1095" i="2"/>
  <c r="T1095" i="2" s="1"/>
  <c r="AF1096" i="2"/>
  <c r="T1096" i="2" s="1"/>
  <c r="AF1079" i="2"/>
  <c r="T1079" i="2" s="1"/>
  <c r="AF1116" i="2"/>
  <c r="T1116" i="2" s="1"/>
  <c r="AF1080" i="2"/>
  <c r="T1080" i="2" s="1"/>
  <c r="AF1078" i="2"/>
  <c r="T1078" i="2" s="1"/>
  <c r="AF1051" i="2"/>
  <c r="T1051" i="2" s="1"/>
  <c r="AF1092" i="2"/>
  <c r="T1092" i="2" s="1"/>
  <c r="AF1073" i="2"/>
  <c r="T1073" i="2" s="1"/>
  <c r="AF1065" i="2"/>
  <c r="T1065" i="2" s="1"/>
  <c r="AF1053" i="2"/>
  <c r="T1053" i="2" s="1"/>
  <c r="AF1062" i="2"/>
  <c r="T1062" i="2" s="1"/>
  <c r="AF1054" i="2"/>
  <c r="T1054" i="2" s="1"/>
  <c r="AF1081" i="2"/>
  <c r="T1081" i="2" s="1"/>
  <c r="AF1074" i="2"/>
  <c r="T1074" i="2" s="1"/>
  <c r="AF1055" i="2"/>
  <c r="T1055" i="2" s="1"/>
  <c r="AF1056" i="2"/>
  <c r="T1056" i="2" s="1"/>
  <c r="AF1082" i="2"/>
  <c r="T1082" i="2" s="1"/>
  <c r="AF1071" i="2"/>
  <c r="T1071" i="2" s="1"/>
  <c r="AF1057" i="2"/>
  <c r="T1057" i="2" s="1"/>
  <c r="AF1066" i="2"/>
  <c r="T1066" i="2" s="1"/>
  <c r="AF1058" i="2"/>
  <c r="T1058" i="2" s="1"/>
  <c r="AF1063" i="2"/>
  <c r="T1063" i="2" s="1"/>
  <c r="AF1059" i="2"/>
  <c r="T1059" i="2" s="1"/>
  <c r="AF1069" i="2"/>
  <c r="T1069" i="2" s="1"/>
  <c r="AF1067" i="2"/>
  <c r="T1067" i="2" s="1"/>
  <c r="AF1047" i="2"/>
  <c r="T1047" i="2" s="1"/>
  <c r="AF1039" i="2"/>
  <c r="T1039" i="2" s="1"/>
  <c r="AF1048" i="2"/>
  <c r="T1048" i="2" s="1"/>
  <c r="AF1025" i="2"/>
  <c r="T1025" i="2" s="1"/>
  <c r="AF1060" i="2"/>
  <c r="T1060" i="2" s="1"/>
  <c r="AF1041" i="2"/>
  <c r="T1041" i="2" s="1"/>
  <c r="AF1061" i="2"/>
  <c r="T1061" i="2" s="1"/>
  <c r="AF1050" i="2"/>
  <c r="T1050" i="2" s="1"/>
  <c r="AF1029" i="2"/>
  <c r="T1029" i="2" s="1"/>
  <c r="AF1030" i="2"/>
  <c r="T1030" i="2" s="1"/>
  <c r="AF1043" i="2"/>
  <c r="T1043" i="2" s="1"/>
  <c r="AF1031" i="2"/>
  <c r="T1031" i="2" s="1"/>
  <c r="AF1049" i="2"/>
  <c r="T1049" i="2" s="1"/>
  <c r="AF1045" i="2"/>
  <c r="T1045" i="2" s="1"/>
  <c r="AF1032" i="2"/>
  <c r="T1032" i="2" s="1"/>
  <c r="AF1046" i="2"/>
  <c r="T1046" i="2" s="1"/>
  <c r="AF1083" i="2"/>
  <c r="T1083" i="2" s="1"/>
  <c r="AF1034" i="2"/>
  <c r="T1034" i="2" s="1"/>
  <c r="AF1018" i="2"/>
  <c r="T1018" i="2" s="1"/>
  <c r="AF1035" i="2"/>
  <c r="T1035" i="2" s="1"/>
  <c r="AF1064" i="2"/>
  <c r="T1064" i="2" s="1"/>
  <c r="AF1042" i="2"/>
  <c r="T1042" i="2" s="1"/>
  <c r="AF1036" i="2"/>
  <c r="T1036" i="2" s="1"/>
  <c r="AF1037" i="2"/>
  <c r="T1037" i="2" s="1"/>
  <c r="AF1005" i="2"/>
  <c r="T1005" i="2" s="1"/>
  <c r="AF1015" i="2"/>
  <c r="T1015" i="2" s="1"/>
  <c r="AF1023" i="2"/>
  <c r="T1023" i="2" s="1"/>
  <c r="AF1007" i="2"/>
  <c r="T1007" i="2" s="1"/>
  <c r="AF1017" i="2"/>
  <c r="T1017" i="2" s="1"/>
  <c r="AF1021" i="2"/>
  <c r="T1021" i="2" s="1"/>
  <c r="AF1020" i="2"/>
  <c r="T1020" i="2" s="1"/>
  <c r="AF1012" i="2"/>
  <c r="T1012" i="2" s="1"/>
  <c r="AF1016" i="2"/>
  <c r="T1016" i="2" s="1"/>
  <c r="AF1028" i="2"/>
  <c r="T1028" i="2" s="1"/>
  <c r="AF1022" i="2"/>
  <c r="T1022" i="2" s="1"/>
  <c r="AF1014" i="2"/>
  <c r="T1014" i="2" s="1"/>
  <c r="AF1033" i="2"/>
  <c r="T1033" i="2" s="1"/>
  <c r="AF1002" i="2"/>
  <c r="T1002" i="2" s="1"/>
  <c r="AF1052" i="2"/>
  <c r="T1052" i="2" s="1"/>
  <c r="AF1009" i="2"/>
  <c r="T1009" i="2" s="1"/>
  <c r="AF974" i="2"/>
  <c r="T974" i="2" s="1"/>
  <c r="AF991" i="2"/>
  <c r="T991" i="2" s="1"/>
  <c r="AF992" i="2"/>
  <c r="T992" i="2" s="1"/>
  <c r="AF993" i="2"/>
  <c r="T993" i="2" s="1"/>
  <c r="AF977" i="2"/>
  <c r="T977" i="2" s="1"/>
  <c r="AF1004" i="2"/>
  <c r="T1004" i="2" s="1"/>
  <c r="AF1003" i="2"/>
  <c r="T1003" i="2" s="1"/>
  <c r="AF998" i="2"/>
  <c r="T998" i="2" s="1"/>
  <c r="AF994" i="2"/>
  <c r="T994" i="2" s="1"/>
  <c r="AF1000" i="2"/>
  <c r="T1000" i="2" s="1"/>
  <c r="AF995" i="2"/>
  <c r="T995" i="2" s="1"/>
  <c r="AF979" i="2"/>
  <c r="T979" i="2" s="1"/>
  <c r="AF996" i="2"/>
  <c r="T996" i="2" s="1"/>
  <c r="AF982" i="2"/>
  <c r="T982" i="2" s="1"/>
  <c r="AF983" i="2"/>
  <c r="T983" i="2" s="1"/>
  <c r="AF984" i="2"/>
  <c r="T984" i="2" s="1"/>
  <c r="AF985" i="2"/>
  <c r="T985" i="2" s="1"/>
  <c r="AF969" i="2"/>
  <c r="T969" i="2" s="1"/>
  <c r="AF999" i="2"/>
  <c r="T999" i="2" s="1"/>
  <c r="AF997" i="2"/>
  <c r="T997" i="2" s="1"/>
  <c r="AF986" i="2"/>
  <c r="T986" i="2" s="1"/>
  <c r="AF1001" i="2"/>
  <c r="T1001" i="2" s="1"/>
  <c r="AF988" i="2"/>
  <c r="T988" i="2" s="1"/>
  <c r="AF972" i="2"/>
  <c r="T972" i="2" s="1"/>
  <c r="AF975" i="2"/>
  <c r="T975" i="2" s="1"/>
  <c r="AF953" i="2"/>
  <c r="T953" i="2" s="1"/>
  <c r="AF968" i="2"/>
  <c r="T968" i="2" s="1"/>
  <c r="AF955" i="2"/>
  <c r="T955" i="2" s="1"/>
  <c r="AF978" i="2"/>
  <c r="T978" i="2" s="1"/>
  <c r="AF957" i="2"/>
  <c r="T957" i="2" s="1"/>
  <c r="AF971" i="2"/>
  <c r="T971" i="2" s="1"/>
  <c r="AF958" i="2"/>
  <c r="T958" i="2" s="1"/>
  <c r="AF942" i="2"/>
  <c r="T942" i="2" s="1"/>
  <c r="AF959" i="2"/>
  <c r="T959" i="2" s="1"/>
  <c r="AF943" i="2"/>
  <c r="T943" i="2" s="1"/>
  <c r="AF960" i="2"/>
  <c r="T960" i="2" s="1"/>
  <c r="AF989" i="2"/>
  <c r="T989" i="2" s="1"/>
  <c r="AF961" i="2"/>
  <c r="T961" i="2" s="1"/>
  <c r="AF945" i="2"/>
  <c r="T945" i="2" s="1"/>
  <c r="AF987" i="2"/>
  <c r="T987" i="2" s="1"/>
  <c r="AF963" i="2"/>
  <c r="T963" i="2" s="1"/>
  <c r="AF947" i="2"/>
  <c r="T947" i="2" s="1"/>
  <c r="AF964" i="2"/>
  <c r="T964" i="2" s="1"/>
  <c r="AF948" i="2"/>
  <c r="T948" i="2" s="1"/>
  <c r="AF965" i="2"/>
  <c r="T965" i="2" s="1"/>
  <c r="AF949" i="2"/>
  <c r="T949" i="2" s="1"/>
  <c r="AF980" i="2"/>
  <c r="T980" i="2" s="1"/>
  <c r="AF970" i="2"/>
  <c r="T970" i="2" s="1"/>
  <c r="AF966" i="2"/>
  <c r="T966" i="2" s="1"/>
  <c r="AF950" i="2"/>
  <c r="T950" i="2" s="1"/>
  <c r="AF967" i="2"/>
  <c r="T967" i="2" s="1"/>
  <c r="AF940" i="2"/>
  <c r="T940" i="2" s="1"/>
  <c r="AF932" i="2"/>
  <c r="T932" i="2" s="1"/>
  <c r="AF933" i="2"/>
  <c r="T933" i="2" s="1"/>
  <c r="AF946" i="2"/>
  <c r="T946" i="2" s="1"/>
  <c r="AF934" i="2"/>
  <c r="T934" i="2" s="1"/>
  <c r="AF919" i="2"/>
  <c r="T919" i="2" s="1"/>
  <c r="AF951" i="2"/>
  <c r="T951" i="2" s="1"/>
  <c r="AF938" i="2"/>
  <c r="T938" i="2" s="1"/>
  <c r="AF973" i="2"/>
  <c r="T973" i="2" s="1"/>
  <c r="AF921" i="2"/>
  <c r="T921" i="2" s="1"/>
  <c r="AF922" i="2"/>
  <c r="T922" i="2" s="1"/>
  <c r="AF923" i="2"/>
  <c r="T923" i="2" s="1"/>
  <c r="AF962" i="2"/>
  <c r="T962" i="2" s="1"/>
  <c r="AF924" i="2"/>
  <c r="T924" i="2" s="1"/>
  <c r="AF944" i="2"/>
  <c r="T944" i="2" s="1"/>
  <c r="AF939" i="2"/>
  <c r="T939" i="2" s="1"/>
  <c r="AF925" i="2"/>
  <c r="T925" i="2" s="1"/>
  <c r="AF929" i="2"/>
  <c r="T929" i="2" s="1"/>
  <c r="AF941" i="2"/>
  <c r="T941" i="2" s="1"/>
  <c r="AF930" i="2"/>
  <c r="T930" i="2" s="1"/>
  <c r="AF914" i="2"/>
  <c r="T914" i="2" s="1"/>
  <c r="AF911" i="2"/>
  <c r="T911" i="2" s="1"/>
  <c r="AF900" i="2"/>
  <c r="T900" i="2" s="1"/>
  <c r="AF901" i="2"/>
  <c r="T901" i="2" s="1"/>
  <c r="AF926" i="2"/>
  <c r="T926" i="2" s="1"/>
  <c r="AF912" i="2"/>
  <c r="T912" i="2" s="1"/>
  <c r="AF902" i="2"/>
  <c r="T902" i="2" s="1"/>
  <c r="AF927" i="2"/>
  <c r="T927" i="2" s="1"/>
  <c r="AF904" i="2"/>
  <c r="T904" i="2" s="1"/>
  <c r="AF920" i="2"/>
  <c r="T920" i="2" s="1"/>
  <c r="AF913" i="2"/>
  <c r="T913" i="2" s="1"/>
  <c r="AF889" i="2"/>
  <c r="T889" i="2" s="1"/>
  <c r="AF906" i="2"/>
  <c r="T906" i="2" s="1"/>
  <c r="AF936" i="2"/>
  <c r="T936" i="2" s="1"/>
  <c r="AF891" i="2"/>
  <c r="T891" i="2" s="1"/>
  <c r="AF893" i="2"/>
  <c r="T893" i="2" s="1"/>
  <c r="AF915" i="2"/>
  <c r="T915" i="2" s="1"/>
  <c r="AF895" i="2"/>
  <c r="T895" i="2" s="1"/>
  <c r="AF937" i="2"/>
  <c r="T937" i="2" s="1"/>
  <c r="AF918" i="2"/>
  <c r="T918" i="2" s="1"/>
  <c r="AF897" i="2"/>
  <c r="T897" i="2" s="1"/>
  <c r="AF881" i="2"/>
  <c r="T881" i="2" s="1"/>
  <c r="AF879" i="2"/>
  <c r="T879" i="2" s="1"/>
  <c r="AF866" i="2"/>
  <c r="T866" i="2" s="1"/>
  <c r="AF883" i="2"/>
  <c r="T883" i="2" s="1"/>
  <c r="AF867" i="2"/>
  <c r="T867" i="2" s="1"/>
  <c r="AF899" i="2"/>
  <c r="T899" i="2" s="1"/>
  <c r="AF898" i="2"/>
  <c r="T898" i="2" s="1"/>
  <c r="AF894" i="2"/>
  <c r="T894" i="2" s="1"/>
  <c r="AF880" i="2"/>
  <c r="T880" i="2" s="1"/>
  <c r="AF870" i="2"/>
  <c r="T870" i="2" s="1"/>
  <c r="AF871" i="2"/>
  <c r="T871" i="2" s="1"/>
  <c r="AF887" i="2"/>
  <c r="T887" i="2" s="1"/>
  <c r="AF884" i="2"/>
  <c r="T884" i="2" s="1"/>
  <c r="AF873" i="2"/>
  <c r="T873" i="2" s="1"/>
  <c r="AF857" i="2"/>
  <c r="T857" i="2" s="1"/>
  <c r="AF903" i="2"/>
  <c r="T903" i="2" s="1"/>
  <c r="AF928" i="2"/>
  <c r="T928" i="2" s="1"/>
  <c r="AF908" i="2"/>
  <c r="T908" i="2" s="1"/>
  <c r="AF876" i="2"/>
  <c r="T876" i="2" s="1"/>
  <c r="AF860" i="2"/>
  <c r="T860" i="2" s="1"/>
  <c r="AF916" i="2"/>
  <c r="T916" i="2" s="1"/>
  <c r="AF892" i="2"/>
  <c r="T892" i="2" s="1"/>
  <c r="AF886" i="2"/>
  <c r="T886" i="2" s="1"/>
  <c r="AF877" i="2"/>
  <c r="T877" i="2" s="1"/>
  <c r="AF842" i="2"/>
  <c r="T842" i="2" s="1"/>
  <c r="AF868" i="2"/>
  <c r="T868" i="2" s="1"/>
  <c r="AF859" i="2"/>
  <c r="T859" i="2" s="1"/>
  <c r="AF843" i="2"/>
  <c r="T843" i="2" s="1"/>
  <c r="AF827" i="2"/>
  <c r="T827" i="2" s="1"/>
  <c r="AF826" i="2"/>
  <c r="T826" i="2" s="1"/>
  <c r="AF875" i="2"/>
  <c r="T875" i="2" s="1"/>
  <c r="AF844" i="2"/>
  <c r="T844" i="2" s="1"/>
  <c r="AF856" i="2"/>
  <c r="T856" i="2" s="1"/>
  <c r="AF846" i="2"/>
  <c r="T846" i="2" s="1"/>
  <c r="AF858" i="2"/>
  <c r="T858" i="2" s="1"/>
  <c r="AF848" i="2"/>
  <c r="T848" i="2" s="1"/>
  <c r="AF849" i="2"/>
  <c r="T849" i="2" s="1"/>
  <c r="AF833" i="2"/>
  <c r="T833" i="2" s="1"/>
  <c r="AF834" i="2"/>
  <c r="T834" i="2" s="1"/>
  <c r="AF882" i="2"/>
  <c r="T882" i="2" s="1"/>
  <c r="AF851" i="2"/>
  <c r="T851" i="2" s="1"/>
  <c r="AF852" i="2"/>
  <c r="T852" i="2" s="1"/>
  <c r="AF862" i="2"/>
  <c r="T862" i="2" s="1"/>
  <c r="AF869" i="2"/>
  <c r="T869" i="2" s="1"/>
  <c r="AF861" i="2"/>
  <c r="T861" i="2" s="1"/>
  <c r="AF863" i="2"/>
  <c r="T863" i="2" s="1"/>
  <c r="AF830" i="2"/>
  <c r="T830" i="2" s="1"/>
  <c r="AF835" i="2"/>
  <c r="T835" i="2" s="1"/>
  <c r="AF804" i="2"/>
  <c r="T804" i="2" s="1"/>
  <c r="AF821" i="2"/>
  <c r="T821" i="2" s="1"/>
  <c r="AF805" i="2"/>
  <c r="T805" i="2" s="1"/>
  <c r="AF840" i="2"/>
  <c r="T840" i="2" s="1"/>
  <c r="AF806" i="2"/>
  <c r="T806" i="2" s="1"/>
  <c r="AF823" i="2"/>
  <c r="T823" i="2" s="1"/>
  <c r="AF824" i="2"/>
  <c r="T824" i="2" s="1"/>
  <c r="AF808" i="2"/>
  <c r="T808" i="2" s="1"/>
  <c r="AF855" i="2"/>
  <c r="T855" i="2" s="1"/>
  <c r="AF831" i="2"/>
  <c r="T831" i="2" s="1"/>
  <c r="AF828" i="2"/>
  <c r="T828" i="2" s="1"/>
  <c r="AF809" i="2"/>
  <c r="T809" i="2" s="1"/>
  <c r="AF793" i="2"/>
  <c r="T793" i="2" s="1"/>
  <c r="AF811" i="2"/>
  <c r="T811" i="2" s="1"/>
  <c r="AF853" i="2"/>
  <c r="T853" i="2" s="1"/>
  <c r="AF825" i="2"/>
  <c r="T825" i="2" s="1"/>
  <c r="AF796" i="2"/>
  <c r="T796" i="2" s="1"/>
  <c r="AF864" i="2"/>
  <c r="T864" i="2" s="1"/>
  <c r="AF813" i="2"/>
  <c r="T813" i="2" s="1"/>
  <c r="AF841" i="2"/>
  <c r="T841" i="2" s="1"/>
  <c r="AF814" i="2"/>
  <c r="T814" i="2" s="1"/>
  <c r="AF838" i="2"/>
  <c r="T838" i="2" s="1"/>
  <c r="AF837" i="2"/>
  <c r="T837" i="2" s="1"/>
  <c r="AF815" i="2"/>
  <c r="T815" i="2" s="1"/>
  <c r="AF847" i="2"/>
  <c r="T847" i="2" s="1"/>
  <c r="AF836" i="2"/>
  <c r="T836" i="2" s="1"/>
  <c r="AF816" i="2"/>
  <c r="T816" i="2" s="1"/>
  <c r="AF779" i="2"/>
  <c r="T779" i="2" s="1"/>
  <c r="AF747" i="2"/>
  <c r="T747" i="2" s="1"/>
  <c r="AF781" i="2"/>
  <c r="T781" i="2" s="1"/>
  <c r="AF765" i="2"/>
  <c r="T765" i="2" s="1"/>
  <c r="AF748" i="2"/>
  <c r="T748" i="2" s="1"/>
  <c r="AF792" i="2"/>
  <c r="T792" i="2" s="1"/>
  <c r="AF782" i="2"/>
  <c r="T782" i="2" s="1"/>
  <c r="AF766" i="2"/>
  <c r="T766" i="2" s="1"/>
  <c r="AF801" i="2"/>
  <c r="T801" i="2" s="1"/>
  <c r="AF783" i="2"/>
  <c r="T783" i="2" s="1"/>
  <c r="AF767" i="2"/>
  <c r="T767" i="2" s="1"/>
  <c r="AF750" i="2"/>
  <c r="T750" i="2" s="1"/>
  <c r="AF839" i="2"/>
  <c r="T839" i="2" s="1"/>
  <c r="AF768" i="2"/>
  <c r="T768" i="2" s="1"/>
  <c r="AF751" i="2"/>
  <c r="T751" i="2" s="1"/>
  <c r="AF785" i="2"/>
  <c r="T785" i="2" s="1"/>
  <c r="AF769" i="2"/>
  <c r="T769" i="2" s="1"/>
  <c r="AF752" i="2"/>
  <c r="T752" i="2" s="1"/>
  <c r="AF807" i="2"/>
  <c r="T807" i="2" s="1"/>
  <c r="AF770" i="2"/>
  <c r="T770" i="2" s="1"/>
  <c r="AF753" i="2"/>
  <c r="T753" i="2" s="1"/>
  <c r="AF787" i="2"/>
  <c r="T787" i="2" s="1"/>
  <c r="AF771" i="2"/>
  <c r="T771" i="2" s="1"/>
  <c r="AF788" i="2"/>
  <c r="T788" i="2" s="1"/>
  <c r="AF772" i="2"/>
  <c r="T772" i="2" s="1"/>
  <c r="AF755" i="2"/>
  <c r="T755" i="2" s="1"/>
  <c r="AF810" i="2"/>
  <c r="T810" i="2" s="1"/>
  <c r="AF795" i="2"/>
  <c r="T795" i="2" s="1"/>
  <c r="AF789" i="2"/>
  <c r="T789" i="2" s="1"/>
  <c r="AF773" i="2"/>
  <c r="T773" i="2" s="1"/>
  <c r="AF803" i="2"/>
  <c r="T803" i="2" s="1"/>
  <c r="AF790" i="2"/>
  <c r="T790" i="2" s="1"/>
  <c r="AF775" i="2"/>
  <c r="T775" i="2" s="1"/>
  <c r="AF797" i="2"/>
  <c r="T797" i="2" s="1"/>
  <c r="AF776" i="2"/>
  <c r="T776" i="2" s="1"/>
  <c r="AF791" i="2"/>
  <c r="T791" i="2" s="1"/>
  <c r="AF761" i="2"/>
  <c r="T761" i="2" s="1"/>
  <c r="AF817" i="2"/>
  <c r="T817" i="2" s="1"/>
  <c r="AF794" i="2"/>
  <c r="T794" i="2" s="1"/>
  <c r="AF728" i="2"/>
  <c r="T728" i="2" s="1"/>
  <c r="AF711" i="2"/>
  <c r="T711" i="2" s="1"/>
  <c r="AF712" i="2"/>
  <c r="T712" i="2" s="1"/>
  <c r="AF739" i="2"/>
  <c r="T739" i="2" s="1"/>
  <c r="AF713" i="2"/>
  <c r="T713" i="2" s="1"/>
  <c r="AF749" i="2"/>
  <c r="T749" i="2" s="1"/>
  <c r="AF744" i="2"/>
  <c r="T744" i="2" s="1"/>
  <c r="AF746" i="2"/>
  <c r="T746" i="2" s="1"/>
  <c r="AF732" i="2"/>
  <c r="T732" i="2" s="1"/>
  <c r="AF774" i="2"/>
  <c r="T774" i="2" s="1"/>
  <c r="AF740" i="2"/>
  <c r="T740" i="2" s="1"/>
  <c r="AF736" i="2"/>
  <c r="T736" i="2" s="1"/>
  <c r="AF718" i="2"/>
  <c r="T718" i="2" s="1"/>
  <c r="AF737" i="2"/>
  <c r="T737" i="2" s="1"/>
  <c r="AF758" i="2"/>
  <c r="T758" i="2" s="1"/>
  <c r="AF743" i="2"/>
  <c r="T743" i="2" s="1"/>
  <c r="AF756" i="2"/>
  <c r="T756" i="2" s="1"/>
  <c r="AF778" i="2"/>
  <c r="T778" i="2" s="1"/>
  <c r="AF722" i="2"/>
  <c r="T722" i="2" s="1"/>
  <c r="AF759" i="2"/>
  <c r="T759" i="2" s="1"/>
  <c r="AF754" i="2"/>
  <c r="T754" i="2" s="1"/>
  <c r="AF723" i="2"/>
  <c r="T723" i="2" s="1"/>
  <c r="AF762" i="2"/>
  <c r="T762" i="2" s="1"/>
  <c r="AF724" i="2"/>
  <c r="T724" i="2" s="1"/>
  <c r="AF726" i="2"/>
  <c r="T726" i="2" s="1"/>
  <c r="AF725" i="2"/>
  <c r="T725" i="2" s="1"/>
  <c r="AF698" i="2"/>
  <c r="T698" i="2" s="1"/>
  <c r="AF682" i="2"/>
  <c r="T682" i="2" s="1"/>
  <c r="AF666" i="2"/>
  <c r="T666" i="2" s="1"/>
  <c r="AF731" i="2"/>
  <c r="T731" i="2" s="1"/>
  <c r="AF699" i="2"/>
  <c r="T699" i="2" s="1"/>
  <c r="AF683" i="2"/>
  <c r="T683" i="2" s="1"/>
  <c r="AF667" i="2"/>
  <c r="T667" i="2" s="1"/>
  <c r="AF651" i="2"/>
  <c r="T651" i="2" s="1"/>
  <c r="AF684" i="2"/>
  <c r="T684" i="2" s="1"/>
  <c r="AF668" i="2"/>
  <c r="T668" i="2" s="1"/>
  <c r="AF701" i="2"/>
  <c r="T701" i="2" s="1"/>
  <c r="AF685" i="2"/>
  <c r="T685" i="2" s="1"/>
  <c r="AF669" i="2"/>
  <c r="T669" i="2" s="1"/>
  <c r="AF653" i="2"/>
  <c r="T653" i="2" s="1"/>
  <c r="AF717" i="2"/>
  <c r="T717" i="2" s="1"/>
  <c r="AF686" i="2"/>
  <c r="T686" i="2" s="1"/>
  <c r="AF670" i="2"/>
  <c r="T670" i="2" s="1"/>
  <c r="AF714" i="2"/>
  <c r="T714" i="2" s="1"/>
  <c r="AF687" i="2"/>
  <c r="T687" i="2" s="1"/>
  <c r="AF671" i="2"/>
  <c r="T671" i="2" s="1"/>
  <c r="AF655" i="2"/>
  <c r="T655" i="2" s="1"/>
  <c r="AF721" i="2"/>
  <c r="T721" i="2" s="1"/>
  <c r="AF704" i="2"/>
  <c r="T704" i="2" s="1"/>
  <c r="AF672" i="2"/>
  <c r="T672" i="2" s="1"/>
  <c r="AF705" i="2"/>
  <c r="T705" i="2" s="1"/>
  <c r="AF673" i="2"/>
  <c r="T673" i="2" s="1"/>
  <c r="AF734" i="2"/>
  <c r="T734" i="2" s="1"/>
  <c r="AF706" i="2"/>
  <c r="T706" i="2" s="1"/>
  <c r="AF691" i="2"/>
  <c r="T691" i="2" s="1"/>
  <c r="AF675" i="2"/>
  <c r="T675" i="2" s="1"/>
  <c r="AF659" i="2"/>
  <c r="T659" i="2" s="1"/>
  <c r="AF708" i="2"/>
  <c r="T708" i="2" s="1"/>
  <c r="AF692" i="2"/>
  <c r="T692" i="2" s="1"/>
  <c r="AF676" i="2"/>
  <c r="T676" i="2" s="1"/>
  <c r="AF660" i="2"/>
  <c r="T660" i="2" s="1"/>
  <c r="AF661" i="2"/>
  <c r="T661" i="2" s="1"/>
  <c r="AF735" i="2"/>
  <c r="T735" i="2" s="1"/>
  <c r="AF694" i="2"/>
  <c r="T694" i="2" s="1"/>
  <c r="AF678" i="2"/>
  <c r="T678" i="2" s="1"/>
  <c r="AF662" i="2"/>
  <c r="T662" i="2" s="1"/>
  <c r="AF719" i="2"/>
  <c r="T719" i="2" s="1"/>
  <c r="AF709" i="2"/>
  <c r="T709" i="2" s="1"/>
  <c r="AF695" i="2"/>
  <c r="T695" i="2" s="1"/>
  <c r="AF679" i="2"/>
  <c r="T679" i="2" s="1"/>
  <c r="AF663" i="2"/>
  <c r="T663" i="2" s="1"/>
  <c r="AF647" i="2"/>
  <c r="T647" i="2" s="1"/>
  <c r="AF716" i="2"/>
  <c r="T716" i="2" s="1"/>
  <c r="AF696" i="2"/>
  <c r="T696" i="2" s="1"/>
  <c r="AF639" i="2"/>
  <c r="T639" i="2" s="1"/>
  <c r="AF623" i="2"/>
  <c r="T623" i="2" s="1"/>
  <c r="AF607" i="2"/>
  <c r="T607" i="2" s="1"/>
  <c r="AF665" i="2"/>
  <c r="T665" i="2" s="1"/>
  <c r="AF640" i="2"/>
  <c r="T640" i="2" s="1"/>
  <c r="AF592" i="2"/>
  <c r="T592" i="2" s="1"/>
  <c r="AF654" i="2"/>
  <c r="T654" i="2" s="1"/>
  <c r="AF641" i="2"/>
  <c r="T641" i="2" s="1"/>
  <c r="AF625" i="2"/>
  <c r="T625" i="2" s="1"/>
  <c r="AF609" i="2"/>
  <c r="T609" i="2" s="1"/>
  <c r="AF610" i="2"/>
  <c r="T610" i="2" s="1"/>
  <c r="AF594" i="2"/>
  <c r="T594" i="2" s="1"/>
  <c r="AF643" i="2"/>
  <c r="T643" i="2" s="1"/>
  <c r="AF627" i="2"/>
  <c r="T627" i="2" s="1"/>
  <c r="AF690" i="2"/>
  <c r="T690" i="2" s="1"/>
  <c r="AF628" i="2"/>
  <c r="T628" i="2" s="1"/>
  <c r="AF612" i="2"/>
  <c r="T612" i="2" s="1"/>
  <c r="AF697" i="2"/>
  <c r="T697" i="2" s="1"/>
  <c r="AF597" i="2"/>
  <c r="T597" i="2" s="1"/>
  <c r="AF630" i="2"/>
  <c r="T630" i="2" s="1"/>
  <c r="AF614" i="2"/>
  <c r="T614" i="2" s="1"/>
  <c r="AF598" i="2"/>
  <c r="T598" i="2" s="1"/>
  <c r="AF582" i="2"/>
  <c r="T582" i="2" s="1"/>
  <c r="AF599" i="2"/>
  <c r="T599" i="2" s="1"/>
  <c r="AF657" i="2"/>
  <c r="T657" i="2" s="1"/>
  <c r="AF632" i="2"/>
  <c r="T632" i="2" s="1"/>
  <c r="AF616" i="2"/>
  <c r="T616" i="2" s="1"/>
  <c r="AF656" i="2"/>
  <c r="T656" i="2" s="1"/>
  <c r="AF642" i="2"/>
  <c r="T642" i="2" s="1"/>
  <c r="AF633" i="2"/>
  <c r="T633" i="2" s="1"/>
  <c r="AF617" i="2"/>
  <c r="T617" i="2" s="1"/>
  <c r="AF601" i="2"/>
  <c r="T601" i="2" s="1"/>
  <c r="AF649" i="2"/>
  <c r="T649" i="2" s="1"/>
  <c r="AF646" i="2"/>
  <c r="T646" i="2" s="1"/>
  <c r="AF634" i="2"/>
  <c r="T634" i="2" s="1"/>
  <c r="AF618" i="2"/>
  <c r="T618" i="2" s="1"/>
  <c r="AF602" i="2"/>
  <c r="T602" i="2" s="1"/>
  <c r="AF645" i="2"/>
  <c r="T645" i="2" s="1"/>
  <c r="AF635" i="2"/>
  <c r="T635" i="2" s="1"/>
  <c r="AF619" i="2"/>
  <c r="T619" i="2" s="1"/>
  <c r="AF674" i="2"/>
  <c r="T674" i="2" s="1"/>
  <c r="AF658" i="2"/>
  <c r="T658" i="2" s="1"/>
  <c r="AF650" i="2"/>
  <c r="T650" i="2" s="1"/>
  <c r="AF636" i="2"/>
  <c r="T636" i="2" s="1"/>
  <c r="AF620" i="2"/>
  <c r="T620" i="2" s="1"/>
  <c r="AF604" i="2"/>
  <c r="T604" i="2" s="1"/>
  <c r="AF681" i="2"/>
  <c r="T681" i="2" s="1"/>
  <c r="AF637" i="2"/>
  <c r="T637" i="2" s="1"/>
  <c r="AF621" i="2"/>
  <c r="T621" i="2" s="1"/>
  <c r="AF605" i="2"/>
  <c r="T605" i="2" s="1"/>
  <c r="AF589" i="2"/>
  <c r="T589" i="2" s="1"/>
  <c r="AF603" i="2"/>
  <c r="T603" i="2" s="1"/>
  <c r="AF595" i="2"/>
  <c r="T595" i="2" s="1"/>
  <c r="AF565" i="2"/>
  <c r="T565" i="2" s="1"/>
  <c r="AF549" i="2"/>
  <c r="T549" i="2" s="1"/>
  <c r="AF583" i="2"/>
  <c r="T583" i="2" s="1"/>
  <c r="AF566" i="2"/>
  <c r="T566" i="2" s="1"/>
  <c r="AF550" i="2"/>
  <c r="T550" i="2" s="1"/>
  <c r="AF585" i="2"/>
  <c r="T585" i="2" s="1"/>
  <c r="AF567" i="2"/>
  <c r="T567" i="2" s="1"/>
  <c r="AF551" i="2"/>
  <c r="T551" i="2" s="1"/>
  <c r="AF534" i="2"/>
  <c r="T534" i="2" s="1"/>
  <c r="AF591" i="2"/>
  <c r="T591" i="2" s="1"/>
  <c r="AF580" i="2"/>
  <c r="T580" i="2" s="1"/>
  <c r="AF569" i="2"/>
  <c r="T569" i="2" s="1"/>
  <c r="AF553" i="2"/>
  <c r="T553" i="2" s="1"/>
  <c r="AF536" i="2"/>
  <c r="T536" i="2" s="1"/>
  <c r="AF520" i="2"/>
  <c r="T520" i="2" s="1"/>
  <c r="AF586" i="2"/>
  <c r="T586" i="2" s="1"/>
  <c r="AF570" i="2"/>
  <c r="T570" i="2" s="1"/>
  <c r="AF537" i="2"/>
  <c r="T537" i="2" s="1"/>
  <c r="AF521" i="2"/>
  <c r="T521" i="2" s="1"/>
  <c r="AF622" i="2"/>
  <c r="T622" i="2" s="1"/>
  <c r="AF555" i="2"/>
  <c r="T555" i="2" s="1"/>
  <c r="AF538" i="2"/>
  <c r="T538" i="2" s="1"/>
  <c r="AF522" i="2"/>
  <c r="T522" i="2" s="1"/>
  <c r="AF596" i="2"/>
  <c r="T596" i="2" s="1"/>
  <c r="AF572" i="2"/>
  <c r="T572" i="2" s="1"/>
  <c r="AF539" i="2"/>
  <c r="T539" i="2" s="1"/>
  <c r="AF573" i="2"/>
  <c r="T573" i="2" s="1"/>
  <c r="AF557" i="2"/>
  <c r="T557" i="2" s="1"/>
  <c r="AF540" i="2"/>
  <c r="T540" i="2" s="1"/>
  <c r="AF524" i="2"/>
  <c r="T524" i="2" s="1"/>
  <c r="AF590" i="2"/>
  <c r="T590" i="2" s="1"/>
  <c r="AF574" i="2"/>
  <c r="T574" i="2" s="1"/>
  <c r="AF558" i="2"/>
  <c r="T558" i="2" s="1"/>
  <c r="AF541" i="2"/>
  <c r="T541" i="2" s="1"/>
  <c r="AF525" i="2"/>
  <c r="T525" i="2" s="1"/>
  <c r="AF575" i="2"/>
  <c r="T575" i="2" s="1"/>
  <c r="AF559" i="2"/>
  <c r="T559" i="2" s="1"/>
  <c r="AF526" i="2"/>
  <c r="T526" i="2" s="1"/>
  <c r="AF560" i="2"/>
  <c r="T560" i="2" s="1"/>
  <c r="AF543" i="2"/>
  <c r="T543" i="2" s="1"/>
  <c r="AF527" i="2"/>
  <c r="T527" i="2" s="1"/>
  <c r="AF577" i="2"/>
  <c r="T577" i="2" s="1"/>
  <c r="AF561" i="2"/>
  <c r="T561" i="2" s="1"/>
  <c r="AF588" i="2"/>
  <c r="T588" i="2" s="1"/>
  <c r="AF581" i="2"/>
  <c r="T581" i="2" s="1"/>
  <c r="AF578" i="2"/>
  <c r="T578" i="2" s="1"/>
  <c r="AF562" i="2"/>
  <c r="T562" i="2" s="1"/>
  <c r="AF545" i="2"/>
  <c r="T545" i="2" s="1"/>
  <c r="AF638" i="2"/>
  <c r="T638" i="2" s="1"/>
  <c r="AF584" i="2"/>
  <c r="T584" i="2" s="1"/>
  <c r="AF563" i="2"/>
  <c r="T563" i="2" s="1"/>
  <c r="AF546" i="2"/>
  <c r="T546" i="2" s="1"/>
  <c r="AF532" i="2"/>
  <c r="T532" i="2" s="1"/>
  <c r="AF531" i="2"/>
  <c r="T531" i="2" s="1"/>
  <c r="AF505" i="2"/>
  <c r="T505" i="2" s="1"/>
  <c r="AF472" i="2"/>
  <c r="T472" i="2" s="1"/>
  <c r="AF456" i="2"/>
  <c r="T456" i="2" s="1"/>
  <c r="AF547" i="2"/>
  <c r="T547" i="2" s="1"/>
  <c r="AF506" i="2"/>
  <c r="T506" i="2" s="1"/>
  <c r="AF490" i="2"/>
  <c r="T490" i="2" s="1"/>
  <c r="AF474" i="2"/>
  <c r="T474" i="2" s="1"/>
  <c r="AF473" i="2"/>
  <c r="T473" i="2" s="1"/>
  <c r="AF457" i="2"/>
  <c r="T457" i="2" s="1"/>
  <c r="AF475" i="2"/>
  <c r="T475" i="2" s="1"/>
  <c r="AF508" i="2"/>
  <c r="T508" i="2" s="1"/>
  <c r="AF492" i="2"/>
  <c r="T492" i="2" s="1"/>
  <c r="AF476" i="2"/>
  <c r="T476" i="2" s="1"/>
  <c r="AF459" i="2"/>
  <c r="T459" i="2" s="1"/>
  <c r="AF528" i="2"/>
  <c r="T528" i="2" s="1"/>
  <c r="AF509" i="2"/>
  <c r="T509" i="2" s="1"/>
  <c r="AF493" i="2"/>
  <c r="T493" i="2" s="1"/>
  <c r="AF477" i="2"/>
  <c r="T477" i="2" s="1"/>
  <c r="AF460" i="2"/>
  <c r="T460" i="2" s="1"/>
  <c r="AF530" i="2"/>
  <c r="T530" i="2" s="1"/>
  <c r="AF510" i="2"/>
  <c r="T510" i="2" s="1"/>
  <c r="AF494" i="2"/>
  <c r="T494" i="2" s="1"/>
  <c r="AF511" i="2"/>
  <c r="T511" i="2" s="1"/>
  <c r="AF495" i="2"/>
  <c r="T495" i="2" s="1"/>
  <c r="AF479" i="2"/>
  <c r="T479" i="2" s="1"/>
  <c r="AF462" i="2"/>
  <c r="T462" i="2" s="1"/>
  <c r="AF523" i="2"/>
  <c r="T523" i="2" s="1"/>
  <c r="AF512" i="2"/>
  <c r="T512" i="2" s="1"/>
  <c r="AF496" i="2"/>
  <c r="T496" i="2" s="1"/>
  <c r="AF480" i="2"/>
  <c r="T480" i="2" s="1"/>
  <c r="AF513" i="2"/>
  <c r="T513" i="2" s="1"/>
  <c r="AF481" i="2"/>
  <c r="T481" i="2" s="1"/>
  <c r="AF464" i="2"/>
  <c r="T464" i="2" s="1"/>
  <c r="AF548" i="2"/>
  <c r="T548" i="2" s="1"/>
  <c r="AF517" i="2"/>
  <c r="T517" i="2" s="1"/>
  <c r="AF514" i="2"/>
  <c r="T514" i="2" s="1"/>
  <c r="AF498" i="2"/>
  <c r="T498" i="2" s="1"/>
  <c r="AF482" i="2"/>
  <c r="T482" i="2" s="1"/>
  <c r="AF564" i="2"/>
  <c r="T564" i="2" s="1"/>
  <c r="AF515" i="2"/>
  <c r="T515" i="2" s="1"/>
  <c r="AF499" i="2"/>
  <c r="T499" i="2" s="1"/>
  <c r="AF483" i="2"/>
  <c r="T483" i="2" s="1"/>
  <c r="AF466" i="2"/>
  <c r="T466" i="2" s="1"/>
  <c r="AF500" i="2"/>
  <c r="T500" i="2" s="1"/>
  <c r="AF485" i="2"/>
  <c r="T485" i="2" s="1"/>
  <c r="AF468" i="2"/>
  <c r="T468" i="2" s="1"/>
  <c r="AF502" i="2"/>
  <c r="T502" i="2" s="1"/>
  <c r="AF487" i="2"/>
  <c r="T487" i="2" s="1"/>
  <c r="AF470" i="2"/>
  <c r="T470" i="2" s="1"/>
  <c r="AF436" i="2"/>
  <c r="T436" i="2" s="1"/>
  <c r="AF437" i="2"/>
  <c r="T437" i="2" s="1"/>
  <c r="AF421" i="2"/>
  <c r="T421" i="2" s="1"/>
  <c r="AF405" i="2"/>
  <c r="T405" i="2" s="1"/>
  <c r="AF389" i="2"/>
  <c r="T389" i="2" s="1"/>
  <c r="AF544" i="2"/>
  <c r="T544" i="2" s="1"/>
  <c r="AF478" i="2"/>
  <c r="T478" i="2" s="1"/>
  <c r="AF461" i="2"/>
  <c r="T461" i="2" s="1"/>
  <c r="AF438" i="2"/>
  <c r="T438" i="2" s="1"/>
  <c r="AF422" i="2"/>
  <c r="T422" i="2" s="1"/>
  <c r="AF406" i="2"/>
  <c r="T406" i="2" s="1"/>
  <c r="AF458" i="2"/>
  <c r="T458" i="2" s="1"/>
  <c r="AF453" i="2"/>
  <c r="T453" i="2" s="1"/>
  <c r="AF439" i="2"/>
  <c r="T439" i="2" s="1"/>
  <c r="AF423" i="2"/>
  <c r="T423" i="2" s="1"/>
  <c r="AF407" i="2"/>
  <c r="T407" i="2" s="1"/>
  <c r="AF440" i="2"/>
  <c r="T440" i="2" s="1"/>
  <c r="AF424" i="2"/>
  <c r="T424" i="2" s="1"/>
  <c r="AF408" i="2"/>
  <c r="T408" i="2" s="1"/>
  <c r="AF441" i="2"/>
  <c r="T441" i="2" s="1"/>
  <c r="AF425" i="2"/>
  <c r="T425" i="2" s="1"/>
  <c r="AF409" i="2"/>
  <c r="T409" i="2" s="1"/>
  <c r="AF393" i="2"/>
  <c r="T393" i="2" s="1"/>
  <c r="AF484" i="2"/>
  <c r="T484" i="2" s="1"/>
  <c r="AF465" i="2"/>
  <c r="T465" i="2" s="1"/>
  <c r="AF442" i="2"/>
  <c r="T442" i="2" s="1"/>
  <c r="AF426" i="2"/>
  <c r="T426" i="2" s="1"/>
  <c r="AF410" i="2"/>
  <c r="T410" i="2" s="1"/>
  <c r="AF394" i="2"/>
  <c r="T394" i="2" s="1"/>
  <c r="AF516" i="2"/>
  <c r="T516" i="2" s="1"/>
  <c r="AF443" i="2"/>
  <c r="T443" i="2" s="1"/>
  <c r="AF427" i="2"/>
  <c r="T427" i="2" s="1"/>
  <c r="AF411" i="2"/>
  <c r="T411" i="2" s="1"/>
  <c r="AF488" i="2"/>
  <c r="T488" i="2" s="1"/>
  <c r="AF444" i="2"/>
  <c r="T444" i="2" s="1"/>
  <c r="AF428" i="2"/>
  <c r="T428" i="2" s="1"/>
  <c r="AF467" i="2"/>
  <c r="T467" i="2" s="1"/>
  <c r="AF445" i="2"/>
  <c r="T445" i="2" s="1"/>
  <c r="AF429" i="2"/>
  <c r="T429" i="2" s="1"/>
  <c r="AF397" i="2"/>
  <c r="T397" i="2" s="1"/>
  <c r="AF430" i="2"/>
  <c r="T430" i="2" s="1"/>
  <c r="AF414" i="2"/>
  <c r="T414" i="2" s="1"/>
  <c r="AF469" i="2"/>
  <c r="T469" i="2" s="1"/>
  <c r="AF447" i="2"/>
  <c r="T447" i="2" s="1"/>
  <c r="AF431" i="2"/>
  <c r="T431" i="2" s="1"/>
  <c r="AF415" i="2"/>
  <c r="T415" i="2" s="1"/>
  <c r="AF399" i="2"/>
  <c r="T399" i="2" s="1"/>
  <c r="AF455" i="2"/>
  <c r="T455" i="2" s="1"/>
  <c r="AF448" i="2"/>
  <c r="T448" i="2" s="1"/>
  <c r="AF432" i="2"/>
  <c r="T432" i="2" s="1"/>
  <c r="AF400" i="2"/>
  <c r="T400" i="2" s="1"/>
  <c r="AF504" i="2"/>
  <c r="T504" i="2" s="1"/>
  <c r="AF449" i="2"/>
  <c r="T449" i="2" s="1"/>
  <c r="AF433" i="2"/>
  <c r="T433" i="2" s="1"/>
  <c r="AF417" i="2"/>
  <c r="T417" i="2" s="1"/>
  <c r="AF401" i="2"/>
  <c r="T401" i="2" s="1"/>
  <c r="AF434" i="2"/>
  <c r="T434" i="2" s="1"/>
  <c r="AF378" i="2"/>
  <c r="T378" i="2" s="1"/>
  <c r="AF362" i="2"/>
  <c r="T362" i="2" s="1"/>
  <c r="AF346" i="2"/>
  <c r="T346" i="2" s="1"/>
  <c r="AF398" i="2"/>
  <c r="T398" i="2" s="1"/>
  <c r="AF379" i="2"/>
  <c r="T379" i="2" s="1"/>
  <c r="AF363" i="2"/>
  <c r="T363" i="2" s="1"/>
  <c r="AF347" i="2"/>
  <c r="T347" i="2" s="1"/>
  <c r="AF419" i="2"/>
  <c r="T419" i="2" s="1"/>
  <c r="AF380" i="2"/>
  <c r="T380" i="2" s="1"/>
  <c r="AF364" i="2"/>
  <c r="T364" i="2" s="1"/>
  <c r="AF348" i="2"/>
  <c r="T348" i="2" s="1"/>
  <c r="AF418" i="2"/>
  <c r="T418" i="2" s="1"/>
  <c r="AF381" i="2"/>
  <c r="T381" i="2" s="1"/>
  <c r="AF365" i="2"/>
  <c r="T365" i="2" s="1"/>
  <c r="AF333" i="2"/>
  <c r="T333" i="2" s="1"/>
  <c r="AF382" i="2"/>
  <c r="T382" i="2" s="1"/>
  <c r="AF366" i="2"/>
  <c r="T366" i="2" s="1"/>
  <c r="AF350" i="2"/>
  <c r="T350" i="2" s="1"/>
  <c r="AF383" i="2"/>
  <c r="T383" i="2" s="1"/>
  <c r="AF367" i="2"/>
  <c r="T367" i="2" s="1"/>
  <c r="AF351" i="2"/>
  <c r="T351" i="2" s="1"/>
  <c r="AF335" i="2"/>
  <c r="T335" i="2" s="1"/>
  <c r="AF435" i="2"/>
  <c r="T435" i="2" s="1"/>
  <c r="AF384" i="2"/>
  <c r="T384" i="2" s="1"/>
  <c r="AF368" i="2"/>
  <c r="T368" i="2" s="1"/>
  <c r="AF352" i="2"/>
  <c r="T352" i="2" s="1"/>
  <c r="AF404" i="2"/>
  <c r="T404" i="2" s="1"/>
  <c r="AF402" i="2"/>
  <c r="T402" i="2" s="1"/>
  <c r="AF385" i="2"/>
  <c r="T385" i="2" s="1"/>
  <c r="AF369" i="2"/>
  <c r="T369" i="2" s="1"/>
  <c r="AF353" i="2"/>
  <c r="T353" i="2" s="1"/>
  <c r="AF337" i="2"/>
  <c r="T337" i="2" s="1"/>
  <c r="AF386" i="2"/>
  <c r="T386" i="2" s="1"/>
  <c r="AF370" i="2"/>
  <c r="T370" i="2" s="1"/>
  <c r="AF354" i="2"/>
  <c r="T354" i="2" s="1"/>
  <c r="AF471" i="2"/>
  <c r="T471" i="2" s="1"/>
  <c r="AF371" i="2"/>
  <c r="T371" i="2" s="1"/>
  <c r="AF355" i="2"/>
  <c r="T355" i="2" s="1"/>
  <c r="AF339" i="2"/>
  <c r="T339" i="2" s="1"/>
  <c r="AF420" i="2"/>
  <c r="T420" i="2" s="1"/>
  <c r="AF403" i="2"/>
  <c r="T403" i="2" s="1"/>
  <c r="AF387" i="2"/>
  <c r="T387" i="2" s="1"/>
  <c r="AF372" i="2"/>
  <c r="T372" i="2" s="1"/>
  <c r="AF356" i="2"/>
  <c r="T356" i="2" s="1"/>
  <c r="AF392" i="2"/>
  <c r="T392" i="2" s="1"/>
  <c r="AF373" i="2"/>
  <c r="T373" i="2" s="1"/>
  <c r="AF325" i="2"/>
  <c r="T325" i="2" s="1"/>
  <c r="AF374" i="2"/>
  <c r="T374" i="2" s="1"/>
  <c r="AF342" i="2"/>
  <c r="T342" i="2" s="1"/>
  <c r="AF396" i="2"/>
  <c r="T396" i="2" s="1"/>
  <c r="AF375" i="2"/>
  <c r="T375" i="2" s="1"/>
  <c r="AF359" i="2"/>
  <c r="T359" i="2" s="1"/>
  <c r="AF343" i="2"/>
  <c r="T343" i="2" s="1"/>
  <c r="AF376" i="2"/>
  <c r="T376" i="2" s="1"/>
  <c r="AF360" i="2"/>
  <c r="T360" i="2" s="1"/>
  <c r="AF344" i="2"/>
  <c r="T344" i="2" s="1"/>
  <c r="AF390" i="2"/>
  <c r="T390" i="2" s="1"/>
  <c r="AF301" i="2"/>
  <c r="T301" i="2" s="1"/>
  <c r="AF285" i="2"/>
  <c r="T285" i="2" s="1"/>
  <c r="AF268" i="2"/>
  <c r="T268" i="2" s="1"/>
  <c r="AF318" i="2"/>
  <c r="T318" i="2" s="1"/>
  <c r="AF302" i="2"/>
  <c r="T302" i="2" s="1"/>
  <c r="AF286" i="2"/>
  <c r="T286" i="2" s="1"/>
  <c r="AF328" i="2"/>
  <c r="T328" i="2" s="1"/>
  <c r="AF319" i="2"/>
  <c r="T319" i="2" s="1"/>
  <c r="AF303" i="2"/>
  <c r="T303" i="2" s="1"/>
  <c r="AF270" i="2"/>
  <c r="T270" i="2" s="1"/>
  <c r="AF304" i="2"/>
  <c r="T304" i="2" s="1"/>
  <c r="AF327" i="2"/>
  <c r="T327" i="2" s="1"/>
  <c r="AF305" i="2"/>
  <c r="T305" i="2" s="1"/>
  <c r="AF272" i="2"/>
  <c r="T272" i="2" s="1"/>
  <c r="AF321" i="2"/>
  <c r="T321" i="2" s="1"/>
  <c r="AF345" i="2"/>
  <c r="T345" i="2" s="1"/>
  <c r="AF307" i="2"/>
  <c r="T307" i="2" s="1"/>
  <c r="AF291" i="2"/>
  <c r="T291" i="2" s="1"/>
  <c r="AF308" i="2"/>
  <c r="T308" i="2" s="1"/>
  <c r="AF292" i="2"/>
  <c r="T292" i="2" s="1"/>
  <c r="AF275" i="2"/>
  <c r="T275" i="2" s="1"/>
  <c r="AF259" i="2"/>
  <c r="T259" i="2" s="1"/>
  <c r="AF332" i="2"/>
  <c r="T332" i="2" s="1"/>
  <c r="AF309" i="2"/>
  <c r="T309" i="2" s="1"/>
  <c r="AF293" i="2"/>
  <c r="T293" i="2" s="1"/>
  <c r="AF277" i="2"/>
  <c r="T277" i="2" s="1"/>
  <c r="AF276" i="2"/>
  <c r="T276" i="2" s="1"/>
  <c r="AF388" i="2"/>
  <c r="T388" i="2" s="1"/>
  <c r="AF377" i="2"/>
  <c r="T377" i="2" s="1"/>
  <c r="AF329" i="2"/>
  <c r="T329" i="2" s="1"/>
  <c r="AF310" i="2"/>
  <c r="T310" i="2" s="1"/>
  <c r="AF294" i="2"/>
  <c r="T294" i="2" s="1"/>
  <c r="AF278" i="2"/>
  <c r="T278" i="2" s="1"/>
  <c r="AF311" i="2"/>
  <c r="T311" i="2" s="1"/>
  <c r="AF295" i="2"/>
  <c r="T295" i="2" s="1"/>
  <c r="AF279" i="2"/>
  <c r="T279" i="2" s="1"/>
  <c r="AF312" i="2"/>
  <c r="T312" i="2" s="1"/>
  <c r="AF263" i="2"/>
  <c r="T263" i="2" s="1"/>
  <c r="AF361" i="2"/>
  <c r="T361" i="2" s="1"/>
  <c r="AF313" i="2"/>
  <c r="T313" i="2" s="1"/>
  <c r="AF281" i="2"/>
  <c r="T281" i="2" s="1"/>
  <c r="AF314" i="2"/>
  <c r="T314" i="2" s="1"/>
  <c r="AF282" i="2"/>
  <c r="T282" i="2" s="1"/>
  <c r="AF315" i="2"/>
  <c r="T315" i="2" s="1"/>
  <c r="AF299" i="2"/>
  <c r="T299" i="2" s="1"/>
  <c r="AF283" i="2"/>
  <c r="T283" i="2" s="1"/>
  <c r="AF266" i="2"/>
  <c r="T266" i="2" s="1"/>
  <c r="AF264" i="2"/>
  <c r="T264" i="2" s="1"/>
  <c r="AF258" i="2"/>
  <c r="T258" i="2" s="1"/>
  <c r="AF246" i="2"/>
  <c r="T246" i="2" s="1"/>
  <c r="AF247" i="2"/>
  <c r="T247" i="2" s="1"/>
  <c r="AF214" i="2"/>
  <c r="T214" i="2" s="1"/>
  <c r="AF197" i="2"/>
  <c r="T197" i="2" s="1"/>
  <c r="AF248" i="2"/>
  <c r="T248" i="2" s="1"/>
  <c r="AF231" i="2"/>
  <c r="T231" i="2" s="1"/>
  <c r="AF215" i="2"/>
  <c r="T215" i="2" s="1"/>
  <c r="AF249" i="2"/>
  <c r="T249" i="2" s="1"/>
  <c r="AF232" i="2"/>
  <c r="T232" i="2" s="1"/>
  <c r="AF216" i="2"/>
  <c r="T216" i="2" s="1"/>
  <c r="AF199" i="2"/>
  <c r="T199" i="2" s="1"/>
  <c r="AF271" i="2"/>
  <c r="T271" i="2" s="1"/>
  <c r="AF262" i="2"/>
  <c r="T262" i="2" s="1"/>
  <c r="AF233" i="2"/>
  <c r="T233" i="2" s="1"/>
  <c r="AF217" i="2"/>
  <c r="T217" i="2" s="1"/>
  <c r="AF200" i="2"/>
  <c r="T200" i="2" s="1"/>
  <c r="AF234" i="2"/>
  <c r="T234" i="2" s="1"/>
  <c r="AF218" i="2"/>
  <c r="T218" i="2" s="1"/>
  <c r="AF252" i="2"/>
  <c r="T252" i="2" s="1"/>
  <c r="AF235" i="2"/>
  <c r="T235" i="2" s="1"/>
  <c r="AF219" i="2"/>
  <c r="T219" i="2" s="1"/>
  <c r="AF273" i="2"/>
  <c r="T273" i="2" s="1"/>
  <c r="AF253" i="2"/>
  <c r="T253" i="2" s="1"/>
  <c r="AF236" i="2"/>
  <c r="T236" i="2" s="1"/>
  <c r="AF220" i="2"/>
  <c r="T220" i="2" s="1"/>
  <c r="AF203" i="2"/>
  <c r="T203" i="2" s="1"/>
  <c r="AF254" i="2"/>
  <c r="T254" i="2" s="1"/>
  <c r="AF237" i="2"/>
  <c r="T237" i="2" s="1"/>
  <c r="AF221" i="2"/>
  <c r="T221" i="2" s="1"/>
  <c r="AF204" i="2"/>
  <c r="T204" i="2" s="1"/>
  <c r="AF316" i="2"/>
  <c r="T316" i="2" s="1"/>
  <c r="AF284" i="2"/>
  <c r="T284" i="2" s="1"/>
  <c r="AF269" i="2"/>
  <c r="T269" i="2" s="1"/>
  <c r="AF255" i="2"/>
  <c r="T255" i="2" s="1"/>
  <c r="AF238" i="2"/>
  <c r="T238" i="2" s="1"/>
  <c r="AF222" i="2"/>
  <c r="T222" i="2" s="1"/>
  <c r="AF205" i="2"/>
  <c r="T205" i="2" s="1"/>
  <c r="AF288" i="2"/>
  <c r="T288" i="2" s="1"/>
  <c r="AF256" i="2"/>
  <c r="T256" i="2" s="1"/>
  <c r="AF240" i="2"/>
  <c r="T240" i="2" s="1"/>
  <c r="AF239" i="2"/>
  <c r="T239" i="2" s="1"/>
  <c r="AF223" i="2"/>
  <c r="T223" i="2" s="1"/>
  <c r="AF207" i="2"/>
  <c r="T207" i="2" s="1"/>
  <c r="AF331" i="2"/>
  <c r="T331" i="2" s="1"/>
  <c r="AF241" i="2"/>
  <c r="T241" i="2" s="1"/>
  <c r="AF224" i="2"/>
  <c r="T224" i="2" s="1"/>
  <c r="AF208" i="2"/>
  <c r="T208" i="2" s="1"/>
  <c r="AF340" i="2"/>
  <c r="T340" i="2" s="1"/>
  <c r="AF274" i="2"/>
  <c r="T274" i="2" s="1"/>
  <c r="AF225" i="2"/>
  <c r="T225" i="2" s="1"/>
  <c r="AF209" i="2"/>
  <c r="T209" i="2" s="1"/>
  <c r="AF243" i="2"/>
  <c r="T243" i="2" s="1"/>
  <c r="AF261" i="2"/>
  <c r="T261" i="2" s="1"/>
  <c r="AF227" i="2"/>
  <c r="T227" i="2" s="1"/>
  <c r="AF210" i="2"/>
  <c r="T210" i="2" s="1"/>
  <c r="AF202" i="2"/>
  <c r="T202" i="2" s="1"/>
  <c r="AF189" i="2"/>
  <c r="T189" i="2" s="1"/>
  <c r="AF156" i="2"/>
  <c r="T156" i="2" s="1"/>
  <c r="AF140" i="2"/>
  <c r="T140" i="2" s="1"/>
  <c r="AF173" i="2"/>
  <c r="T173" i="2" s="1"/>
  <c r="AF157" i="2"/>
  <c r="T157" i="2" s="1"/>
  <c r="AF141" i="2"/>
  <c r="T141" i="2" s="1"/>
  <c r="AF191" i="2"/>
  <c r="T191" i="2" s="1"/>
  <c r="AF174" i="2"/>
  <c r="T174" i="2" s="1"/>
  <c r="AF142" i="2"/>
  <c r="T142" i="2" s="1"/>
  <c r="AF175" i="2"/>
  <c r="T175" i="2" s="1"/>
  <c r="AF159" i="2"/>
  <c r="T159" i="2" s="1"/>
  <c r="AF143" i="2"/>
  <c r="T143" i="2" s="1"/>
  <c r="AF228" i="2"/>
  <c r="T228" i="2" s="1"/>
  <c r="AF201" i="2"/>
  <c r="T201" i="2" s="1"/>
  <c r="AF193" i="2"/>
  <c r="T193" i="2" s="1"/>
  <c r="AF176" i="2"/>
  <c r="T176" i="2" s="1"/>
  <c r="AF160" i="2"/>
  <c r="T160" i="2" s="1"/>
  <c r="AF194" i="2"/>
  <c r="T194" i="2" s="1"/>
  <c r="AF177" i="2"/>
  <c r="T177" i="2" s="1"/>
  <c r="AF161" i="2"/>
  <c r="T161" i="2" s="1"/>
  <c r="AF145" i="2"/>
  <c r="T145" i="2" s="1"/>
  <c r="AF226" i="2"/>
  <c r="T226" i="2" s="1"/>
  <c r="AF198" i="2"/>
  <c r="T198" i="2" s="1"/>
  <c r="AF196" i="2"/>
  <c r="T196" i="2" s="1"/>
  <c r="AF178" i="2"/>
  <c r="T178" i="2" s="1"/>
  <c r="AF146" i="2"/>
  <c r="T146" i="2" s="1"/>
  <c r="AF130" i="2"/>
  <c r="T130" i="2" s="1"/>
  <c r="AF179" i="2"/>
  <c r="T179" i="2" s="1"/>
  <c r="AF163" i="2"/>
  <c r="T163" i="2" s="1"/>
  <c r="AF147" i="2"/>
  <c r="T147" i="2" s="1"/>
  <c r="AF164" i="2"/>
  <c r="T164" i="2" s="1"/>
  <c r="AF181" i="2"/>
  <c r="T181" i="2" s="1"/>
  <c r="AF165" i="2"/>
  <c r="T165" i="2" s="1"/>
  <c r="AF149" i="2"/>
  <c r="T149" i="2" s="1"/>
  <c r="AF133" i="2"/>
  <c r="T133" i="2" s="1"/>
  <c r="AF182" i="2"/>
  <c r="T182" i="2" s="1"/>
  <c r="AF213" i="2"/>
  <c r="T213" i="2" s="1"/>
  <c r="AF183" i="2"/>
  <c r="T183" i="2" s="1"/>
  <c r="AF212" i="2"/>
  <c r="T212" i="2" s="1"/>
  <c r="AF211" i="2"/>
  <c r="T211" i="2" s="1"/>
  <c r="AF184" i="2"/>
  <c r="T184" i="2" s="1"/>
  <c r="AF152" i="2"/>
  <c r="T152" i="2" s="1"/>
  <c r="AF136" i="2"/>
  <c r="T136" i="2" s="1"/>
  <c r="AF245" i="2"/>
  <c r="T245" i="2" s="1"/>
  <c r="AF185" i="2"/>
  <c r="T185" i="2" s="1"/>
  <c r="AF169" i="2"/>
  <c r="T169" i="2" s="1"/>
  <c r="AF153" i="2"/>
  <c r="T153" i="2" s="1"/>
  <c r="AF137" i="2"/>
  <c r="T137" i="2" s="1"/>
  <c r="AF186" i="2"/>
  <c r="T186" i="2" s="1"/>
  <c r="AF131" i="2"/>
  <c r="T131" i="2" s="1"/>
  <c r="AF124" i="2"/>
  <c r="T124" i="2" s="1"/>
  <c r="AF108" i="2"/>
  <c r="T108" i="2" s="1"/>
  <c r="AF92" i="2"/>
  <c r="T92" i="2" s="1"/>
  <c r="AF76" i="2"/>
  <c r="T76" i="2" s="1"/>
  <c r="AF150" i="2"/>
  <c r="T150" i="2" s="1"/>
  <c r="AF125" i="2"/>
  <c r="T125" i="2" s="1"/>
  <c r="AF109" i="2"/>
  <c r="T109" i="2" s="1"/>
  <c r="AF93" i="2"/>
  <c r="T93" i="2" s="1"/>
  <c r="AF110" i="2"/>
  <c r="T110" i="2" s="1"/>
  <c r="AF94" i="2"/>
  <c r="T94" i="2" s="1"/>
  <c r="AF187" i="2"/>
  <c r="T187" i="2" s="1"/>
  <c r="AF127" i="2"/>
  <c r="T127" i="2" s="1"/>
  <c r="AF111" i="2"/>
  <c r="T111" i="2" s="1"/>
  <c r="AF95" i="2"/>
  <c r="T95" i="2" s="1"/>
  <c r="AF128" i="2"/>
  <c r="T128" i="2" s="1"/>
  <c r="AF112" i="2"/>
  <c r="T112" i="2" s="1"/>
  <c r="AF96" i="2"/>
  <c r="T96" i="2" s="1"/>
  <c r="AF80" i="2"/>
  <c r="T80" i="2" s="1"/>
  <c r="AF154" i="2"/>
  <c r="T154" i="2" s="1"/>
  <c r="AF134" i="2"/>
  <c r="T134" i="2" s="1"/>
  <c r="AF113" i="2"/>
  <c r="T113" i="2" s="1"/>
  <c r="AF97" i="2"/>
  <c r="T97" i="2" s="1"/>
  <c r="AF138" i="2"/>
  <c r="T138" i="2" s="1"/>
  <c r="AF135" i="2"/>
  <c r="T135" i="2" s="1"/>
  <c r="AF114" i="2"/>
  <c r="T114" i="2" s="1"/>
  <c r="AF98" i="2"/>
  <c r="T98" i="2" s="1"/>
  <c r="AF82" i="2"/>
  <c r="T82" i="2" s="1"/>
  <c r="AF115" i="2"/>
  <c r="T115" i="2" s="1"/>
  <c r="AF99" i="2"/>
  <c r="T99" i="2" s="1"/>
  <c r="AF132" i="2"/>
  <c r="T132" i="2" s="1"/>
  <c r="AF116" i="2"/>
  <c r="T116" i="2" s="1"/>
  <c r="AF100" i="2"/>
  <c r="T100" i="2" s="1"/>
  <c r="AF84" i="2"/>
  <c r="T84" i="2" s="1"/>
  <c r="AF101" i="2"/>
  <c r="T101" i="2" s="1"/>
  <c r="AF85" i="2"/>
  <c r="T85" i="2" s="1"/>
  <c r="AF118" i="2"/>
  <c r="T118" i="2" s="1"/>
  <c r="AF102" i="2"/>
  <c r="T102" i="2" s="1"/>
  <c r="AF86" i="2"/>
  <c r="T86" i="2" s="1"/>
  <c r="AF139" i="2"/>
  <c r="T139" i="2" s="1"/>
  <c r="AF119" i="2"/>
  <c r="T119" i="2" s="1"/>
  <c r="AF103" i="2"/>
  <c r="T103" i="2" s="1"/>
  <c r="AF87" i="2"/>
  <c r="T87" i="2" s="1"/>
  <c r="AF151" i="2"/>
  <c r="T151" i="2" s="1"/>
  <c r="AF120" i="2"/>
  <c r="T120" i="2" s="1"/>
  <c r="AF104" i="2"/>
  <c r="T104" i="2" s="1"/>
  <c r="AF88" i="2"/>
  <c r="T88" i="2" s="1"/>
  <c r="AF121" i="2"/>
  <c r="T121" i="2" s="1"/>
  <c r="AF105" i="2"/>
  <c r="T105" i="2" s="1"/>
  <c r="AF89" i="2"/>
  <c r="T89" i="2" s="1"/>
  <c r="AF188" i="2"/>
  <c r="T188" i="2" s="1"/>
  <c r="AF122" i="2"/>
  <c r="T122" i="2" s="1"/>
  <c r="AF106" i="2"/>
  <c r="T106" i="2" s="1"/>
  <c r="AF90" i="2"/>
  <c r="T90" i="2" s="1"/>
  <c r="AF74" i="2"/>
  <c r="T74" i="2" s="1"/>
  <c r="AF83" i="2"/>
  <c r="T83" i="2" s="1"/>
  <c r="AF56" i="2"/>
  <c r="T56" i="2" s="1"/>
  <c r="AF40" i="2"/>
  <c r="T40" i="2" s="1"/>
  <c r="AF24" i="2"/>
  <c r="T24" i="2" s="1"/>
  <c r="AF73" i="2"/>
  <c r="T73" i="2" s="1"/>
  <c r="AF57" i="2"/>
  <c r="T57" i="2" s="1"/>
  <c r="AF41" i="2"/>
  <c r="T41" i="2" s="1"/>
  <c r="AF25" i="2"/>
  <c r="T25" i="2" s="1"/>
  <c r="AF42" i="2"/>
  <c r="T42" i="2" s="1"/>
  <c r="AF26" i="2"/>
  <c r="T26" i="2" s="1"/>
  <c r="AF10" i="2"/>
  <c r="T10" i="2" s="1"/>
  <c r="AF72" i="2"/>
  <c r="T72" i="2" s="1"/>
  <c r="AF59" i="2"/>
  <c r="T59" i="2" s="1"/>
  <c r="AF43" i="2"/>
  <c r="T43" i="2" s="1"/>
  <c r="AF60" i="2"/>
  <c r="T60" i="2" s="1"/>
  <c r="AF28" i="2"/>
  <c r="T28" i="2" s="1"/>
  <c r="AF144" i="2"/>
  <c r="T144" i="2" s="1"/>
  <c r="AF123" i="2"/>
  <c r="T123" i="2" s="1"/>
  <c r="AF91" i="2"/>
  <c r="T91" i="2" s="1"/>
  <c r="AF61" i="2"/>
  <c r="T61" i="2" s="1"/>
  <c r="AF29" i="2"/>
  <c r="T29" i="2" s="1"/>
  <c r="AF47" i="2"/>
  <c r="T47" i="2" s="1"/>
  <c r="AF31" i="2"/>
  <c r="T31" i="2" s="1"/>
  <c r="AF79" i="2"/>
  <c r="T79" i="2" s="1"/>
  <c r="AF77" i="2"/>
  <c r="T77" i="2" s="1"/>
  <c r="AF69" i="2"/>
  <c r="T69" i="2" s="1"/>
  <c r="AF64" i="2"/>
  <c r="T64" i="2" s="1"/>
  <c r="AF48" i="2"/>
  <c r="T48" i="2" s="1"/>
  <c r="AF107" i="2"/>
  <c r="T107" i="2" s="1"/>
  <c r="AF65" i="2"/>
  <c r="T65" i="2" s="1"/>
  <c r="AF49" i="2"/>
  <c r="T49" i="2" s="1"/>
  <c r="AF33" i="2"/>
  <c r="T33" i="2" s="1"/>
  <c r="AF75" i="2"/>
  <c r="T75" i="2" s="1"/>
  <c r="AF34" i="2"/>
  <c r="T34" i="2" s="1"/>
  <c r="AF18" i="2"/>
  <c r="T18" i="2" s="1"/>
  <c r="AF81" i="2"/>
  <c r="T81" i="2" s="1"/>
  <c r="AF51" i="2"/>
  <c r="T51" i="2" s="1"/>
  <c r="AF35" i="2"/>
  <c r="T35" i="2" s="1"/>
  <c r="AF52" i="2"/>
  <c r="T52" i="2" s="1"/>
  <c r="AF53" i="2"/>
  <c r="T53" i="2" s="1"/>
  <c r="AF37" i="2"/>
  <c r="T37" i="2" s="1"/>
  <c r="AF21" i="2"/>
  <c r="T21" i="2" s="1"/>
  <c r="AF70" i="2"/>
  <c r="T70" i="2" s="1"/>
  <c r="AF54" i="2"/>
  <c r="T54" i="2" s="1"/>
  <c r="AF38" i="2"/>
  <c r="T38" i="2" s="1"/>
  <c r="AF22" i="2"/>
  <c r="T22" i="2" s="1"/>
  <c r="AF23" i="2"/>
  <c r="T23" i="2" s="1"/>
  <c r="AF16" i="2"/>
  <c r="T16" i="2" s="1"/>
  <c r="AF9" i="2"/>
  <c r="T9" i="2" s="1"/>
  <c r="AF17" i="2"/>
  <c r="T17" i="2" s="1"/>
  <c r="AF32" i="2"/>
  <c r="T32" i="2" s="1"/>
  <c r="AF19" i="2"/>
  <c r="T19" i="2" s="1"/>
  <c r="AF30" i="2"/>
  <c r="T30" i="2" s="1"/>
  <c r="AF27" i="2"/>
  <c r="T27" i="2" s="1"/>
  <c r="AF39" i="2"/>
  <c r="T39" i="2" s="1"/>
  <c r="AF14" i="2"/>
  <c r="T14" i="2" s="1"/>
  <c r="AF11" i="2"/>
  <c r="T11" i="2" s="1"/>
  <c r="AF20" i="2"/>
  <c r="T20" i="2" s="1"/>
  <c r="AF55" i="2"/>
  <c r="T55" i="2" s="1"/>
  <c r="AF67" i="2"/>
  <c r="T67" i="2" s="1"/>
  <c r="AQ196" i="2"/>
  <c r="AE196" i="2" s="1"/>
  <c r="S196" i="2" s="1"/>
  <c r="AQ765" i="2"/>
  <c r="AE765" i="2" s="1"/>
  <c r="S765" i="2" s="1"/>
  <c r="AQ13" i="2"/>
  <c r="AE13" i="2" s="1"/>
  <c r="S13" i="2" s="1"/>
  <c r="AQ397" i="2"/>
  <c r="AE397" i="2" s="1"/>
  <c r="S397" i="2" s="1"/>
  <c r="AQ103" i="2"/>
  <c r="AE103" i="2" s="1"/>
  <c r="S103" i="2" s="1"/>
  <c r="AQ43" i="2"/>
  <c r="AE43" i="2" s="1"/>
  <c r="S43" i="2" s="1"/>
  <c r="AQ322" i="2"/>
  <c r="AE322" i="2" s="1"/>
  <c r="S322" i="2" s="1"/>
  <c r="AQ800" i="2"/>
  <c r="AE800" i="2" s="1"/>
  <c r="S800" i="2" s="1"/>
  <c r="AQ355" i="2"/>
  <c r="AE355" i="2" s="1"/>
  <c r="S355" i="2" s="1"/>
  <c r="AQ351" i="2"/>
  <c r="AE351" i="2" s="1"/>
  <c r="S351" i="2" s="1"/>
  <c r="AQ90" i="2"/>
  <c r="AE90" i="2" s="1"/>
  <c r="S90" i="2" s="1"/>
  <c r="AQ140" i="2"/>
  <c r="AE140" i="2" s="1"/>
  <c r="S140" i="2" s="1"/>
  <c r="AQ865" i="2"/>
  <c r="AQ243" i="2"/>
  <c r="AE243" i="2" s="1"/>
  <c r="S243" i="2" s="1"/>
  <c r="AQ769" i="2"/>
  <c r="AE769" i="2" s="1"/>
  <c r="S769" i="2" s="1"/>
  <c r="AQ284" i="2"/>
  <c r="AE284" i="2" s="1"/>
  <c r="S284" i="2" s="1"/>
  <c r="AQ1028" i="2"/>
  <c r="AE1028" i="2" s="1"/>
  <c r="S1028" i="2" s="1"/>
  <c r="AQ589" i="2"/>
  <c r="AE589" i="2" s="1"/>
  <c r="S589" i="2" s="1"/>
  <c r="AQ723" i="2"/>
  <c r="AE723" i="2" s="1"/>
  <c r="S723" i="2" s="1"/>
  <c r="AQ985" i="2"/>
  <c r="AE985" i="2" s="1"/>
  <c r="S985" i="2" s="1"/>
  <c r="AQ469" i="2"/>
  <c r="AE469" i="2" s="1"/>
  <c r="S469" i="2" s="1"/>
  <c r="AQ1131" i="2"/>
  <c r="AE1131" i="2" s="1"/>
  <c r="S1131" i="2" s="1"/>
  <c r="AQ489" i="2"/>
  <c r="AE489" i="2" s="1"/>
  <c r="S489" i="2" s="1"/>
  <c r="AQ624" i="2"/>
  <c r="AE624" i="2" s="1"/>
  <c r="S624" i="2" s="1"/>
  <c r="AQ713" i="2"/>
  <c r="AE713" i="2" s="1"/>
  <c r="S713" i="2" s="1"/>
  <c r="AQ766" i="2"/>
  <c r="AE766" i="2" s="1"/>
  <c r="S766" i="2" s="1"/>
  <c r="AQ1112" i="2"/>
  <c r="AE1112" i="2" s="1"/>
  <c r="S1112" i="2" s="1"/>
  <c r="AQ696" i="2"/>
  <c r="AE696" i="2" s="1"/>
  <c r="S696" i="2" s="1"/>
  <c r="AQ903" i="2"/>
  <c r="AE903" i="2" s="1"/>
  <c r="S903" i="2" s="1"/>
  <c r="AQ707" i="2"/>
  <c r="AE707" i="2" s="1"/>
  <c r="S707" i="2" s="1"/>
  <c r="AQ1272" i="2"/>
  <c r="AE1272" i="2" s="1"/>
  <c r="S1272" i="2" s="1"/>
  <c r="AQ860" i="2"/>
  <c r="AE860" i="2" s="1"/>
  <c r="S860" i="2" s="1"/>
  <c r="AQ952" i="2"/>
  <c r="AE952" i="2" s="1"/>
  <c r="S952" i="2" s="1"/>
  <c r="AQ658" i="2"/>
  <c r="AE658" i="2" s="1"/>
  <c r="S658" i="2" s="1"/>
  <c r="AQ839" i="2"/>
  <c r="AE839" i="2" s="1"/>
  <c r="S839" i="2" s="1"/>
  <c r="AQ672" i="2"/>
  <c r="AE672" i="2" s="1"/>
  <c r="S672" i="2" s="1"/>
  <c r="AQ987" i="2"/>
  <c r="AE987" i="2" s="1"/>
  <c r="S987" i="2" s="1"/>
  <c r="AQ443" i="2"/>
  <c r="AE443" i="2" s="1"/>
  <c r="S443" i="2" s="1"/>
  <c r="AQ1108" i="2"/>
  <c r="AE1108" i="2" s="1"/>
  <c r="S1108" i="2" s="1"/>
  <c r="AQ143" i="2"/>
  <c r="AE143" i="2" s="1"/>
  <c r="S143" i="2" s="1"/>
  <c r="AQ1038" i="2"/>
  <c r="AE1038" i="2" s="1"/>
  <c r="S1038" i="2" s="1"/>
  <c r="AQ517" i="2"/>
  <c r="AE517" i="2" s="1"/>
  <c r="S517" i="2" s="1"/>
  <c r="AQ82" i="2"/>
  <c r="AE82" i="2" s="1"/>
  <c r="S82" i="2" s="1"/>
  <c r="AQ1127" i="2"/>
  <c r="AE1127" i="2" s="1"/>
  <c r="S1127" i="2" s="1"/>
  <c r="AQ47" i="2"/>
  <c r="AE47" i="2" s="1"/>
  <c r="S47" i="2" s="1"/>
  <c r="AQ930" i="2"/>
  <c r="AE930" i="2" s="1"/>
  <c r="S930" i="2" s="1"/>
  <c r="AQ929" i="2"/>
  <c r="AE929" i="2" s="1"/>
  <c r="S929" i="2" s="1"/>
  <c r="AQ456" i="2"/>
  <c r="AE456" i="2" s="1"/>
  <c r="S456" i="2" s="1"/>
  <c r="AQ901" i="2"/>
  <c r="AE901" i="2" s="1"/>
  <c r="S901" i="2" s="1"/>
  <c r="AQ1031" i="2"/>
  <c r="AE1031" i="2" s="1"/>
  <c r="S1031" i="2" s="1"/>
  <c r="AQ1134" i="2"/>
  <c r="AE1134" i="2" s="1"/>
  <c r="S1134" i="2" s="1"/>
  <c r="AQ962" i="2"/>
  <c r="AE962" i="2" s="1"/>
  <c r="S962" i="2" s="1"/>
  <c r="AQ1062" i="2"/>
  <c r="AE1062" i="2" s="1"/>
  <c r="S1062" i="2" s="1"/>
  <c r="AQ1047" i="2"/>
  <c r="AE1047" i="2" s="1"/>
  <c r="S1047" i="2" s="1"/>
  <c r="AQ577" i="2"/>
  <c r="AE577" i="2" s="1"/>
  <c r="S577" i="2" s="1"/>
  <c r="AQ1263" i="2"/>
  <c r="AE1263" i="2" s="1"/>
  <c r="S1263" i="2" s="1"/>
  <c r="AQ421" i="2"/>
  <c r="AE421" i="2" s="1"/>
  <c r="S421" i="2" s="1"/>
  <c r="AQ441" i="2"/>
  <c r="AE441" i="2" s="1"/>
  <c r="S441" i="2" s="1"/>
  <c r="AQ660" i="2"/>
  <c r="AE660" i="2" s="1"/>
  <c r="S660" i="2" s="1"/>
  <c r="AQ233" i="2"/>
  <c r="AE233" i="2" s="1"/>
  <c r="S233" i="2" s="1"/>
  <c r="AQ399" i="2"/>
  <c r="AE399" i="2" s="1"/>
  <c r="S399" i="2" s="1"/>
  <c r="AQ368" i="2"/>
  <c r="AE368" i="2" s="1"/>
  <c r="S368" i="2" s="1"/>
  <c r="AQ275" i="2"/>
  <c r="AE275" i="2" s="1"/>
  <c r="S275" i="2" s="1"/>
  <c r="AQ247" i="2"/>
  <c r="AE247" i="2" s="1"/>
  <c r="S247" i="2" s="1"/>
  <c r="AQ320" i="2"/>
  <c r="AE320" i="2" s="1"/>
  <c r="S320" i="2" s="1"/>
  <c r="AQ294" i="2"/>
  <c r="AE294" i="2" s="1"/>
  <c r="S294" i="2" s="1"/>
  <c r="AQ414" i="2"/>
  <c r="AE414" i="2" s="1"/>
  <c r="S414" i="2" s="1"/>
  <c r="AQ401" i="2"/>
  <c r="AE401" i="2" s="1"/>
  <c r="S401" i="2" s="1"/>
  <c r="AQ193" i="2"/>
  <c r="AE193" i="2" s="1"/>
  <c r="S193" i="2" s="1"/>
  <c r="AQ840" i="2"/>
  <c r="AE840" i="2" s="1"/>
  <c r="S840" i="2" s="1"/>
  <c r="AQ190" i="2"/>
  <c r="AE190" i="2" s="1"/>
  <c r="S190" i="2" s="1"/>
  <c r="AQ450" i="2"/>
  <c r="AE450" i="2" s="1"/>
  <c r="S450" i="2" s="1"/>
  <c r="AQ439" i="2"/>
  <c r="AQ112" i="2"/>
  <c r="AE112" i="2" s="1"/>
  <c r="S112" i="2" s="1"/>
  <c r="AQ56" i="2"/>
  <c r="AE56" i="2" s="1"/>
  <c r="S56" i="2" s="1"/>
  <c r="AQ67" i="2"/>
  <c r="AE67" i="2" s="1"/>
  <c r="S67" i="2" s="1"/>
  <c r="AQ192" i="2"/>
  <c r="AE192" i="2" s="1"/>
  <c r="S192" i="2" s="1"/>
  <c r="AQ37" i="2"/>
  <c r="AE37" i="2" s="1"/>
  <c r="S37" i="2" s="1"/>
  <c r="AQ1253" i="2"/>
  <c r="AE1253" i="2" s="1"/>
  <c r="S1253" i="2" s="1"/>
  <c r="AU408" i="2"/>
  <c r="AU56" i="2"/>
  <c r="AU332" i="2"/>
  <c r="AU107" i="2"/>
  <c r="AU45" i="2"/>
  <c r="AU379" i="2"/>
  <c r="AU517" i="2"/>
  <c r="AU768" i="2"/>
  <c r="AU15" i="2"/>
  <c r="AU140" i="2"/>
  <c r="AU393" i="2"/>
  <c r="AU803" i="2"/>
  <c r="AI803" i="2" s="1"/>
  <c r="W803" i="2" s="1"/>
  <c r="AU1058" i="2"/>
  <c r="AU490" i="2"/>
  <c r="AU1267" i="2"/>
  <c r="AU1085" i="2"/>
  <c r="AU718" i="2"/>
  <c r="AU831" i="2"/>
  <c r="AU344" i="2"/>
  <c r="AU1260" i="2"/>
  <c r="AU29" i="2"/>
  <c r="AU1084" i="2"/>
  <c r="AU1201" i="2"/>
  <c r="AU367" i="2"/>
  <c r="AU898" i="2"/>
  <c r="AU964" i="2"/>
  <c r="AU738" i="2"/>
  <c r="AU810" i="2"/>
  <c r="AI810" i="2" s="1"/>
  <c r="W810" i="2" s="1"/>
  <c r="AU611" i="2"/>
  <c r="AU1170" i="2"/>
  <c r="AU481" i="2"/>
  <c r="AU925" i="2"/>
  <c r="AU476" i="2"/>
  <c r="AU928" i="2"/>
  <c r="AU991" i="2"/>
  <c r="AU795" i="2"/>
  <c r="AU1111" i="2"/>
  <c r="AU1004" i="2"/>
  <c r="AU710" i="2"/>
  <c r="AU832" i="2"/>
  <c r="AU279" i="2"/>
  <c r="AU762" i="2"/>
  <c r="AU1145" i="2"/>
  <c r="AU1123" i="2"/>
  <c r="AI1123" i="2" s="1"/>
  <c r="W1123" i="2" s="1"/>
  <c r="AU222" i="2"/>
  <c r="AU825" i="2"/>
  <c r="AU1118" i="2"/>
  <c r="AU1026" i="2"/>
  <c r="AU863" i="2"/>
  <c r="AU880" i="2"/>
  <c r="AU857" i="2"/>
  <c r="AU13" i="2"/>
  <c r="AU451" i="2"/>
  <c r="AU777" i="2"/>
  <c r="AU321" i="2"/>
  <c r="AU543" i="2"/>
  <c r="AU158" i="2"/>
  <c r="AU355" i="2"/>
  <c r="AU638" i="2"/>
  <c r="AU217" i="2"/>
  <c r="AI217" i="2" s="1"/>
  <c r="W217" i="2" s="1"/>
  <c r="AU311" i="2"/>
  <c r="AU413" i="2"/>
  <c r="AU338" i="2"/>
  <c r="AU590" i="2"/>
  <c r="AU409" i="2"/>
  <c r="AU519" i="2"/>
  <c r="AU656" i="2"/>
  <c r="AU598" i="2"/>
  <c r="AU292" i="2"/>
  <c r="AU542" i="2"/>
  <c r="AU27" i="2"/>
  <c r="AU185" i="2"/>
  <c r="AU148" i="2"/>
  <c r="AU111" i="2"/>
  <c r="AU60" i="2"/>
  <c r="AU39" i="2"/>
  <c r="AI39" i="2" s="1"/>
  <c r="W39" i="2" s="1"/>
  <c r="AU528" i="2"/>
  <c r="AU965" i="2"/>
  <c r="AU1209" i="2"/>
  <c r="AT229" i="2"/>
  <c r="AH229" i="2" s="1"/>
  <c r="V229" i="2" s="1"/>
  <c r="AT310" i="2"/>
  <c r="AH310" i="2" s="1"/>
  <c r="V310" i="2" s="1"/>
  <c r="AT77" i="2"/>
  <c r="AH77" i="2" s="1"/>
  <c r="V77" i="2" s="1"/>
  <c r="AT76" i="2"/>
  <c r="AH76" i="2" s="1"/>
  <c r="V76" i="2" s="1"/>
  <c r="AT81" i="2"/>
  <c r="AH81" i="2" s="1"/>
  <c r="V81" i="2" s="1"/>
  <c r="AT606" i="2"/>
  <c r="AH606" i="2" s="1"/>
  <c r="V606" i="2" s="1"/>
  <c r="AT850" i="2"/>
  <c r="AH850" i="2" s="1"/>
  <c r="V850" i="2" s="1"/>
  <c r="AT1164" i="2"/>
  <c r="AH1164" i="2" s="1"/>
  <c r="V1164" i="2" s="1"/>
  <c r="AT1192" i="2"/>
  <c r="AH1192" i="2" s="1"/>
  <c r="V1192" i="2" s="1"/>
  <c r="AT1110" i="2"/>
  <c r="AH1110" i="2" s="1"/>
  <c r="V1110" i="2" s="1"/>
  <c r="AT213" i="2"/>
  <c r="AH213" i="2" s="1"/>
  <c r="V213" i="2" s="1"/>
  <c r="AT1131" i="2"/>
  <c r="AH1131" i="2" s="1"/>
  <c r="V1131" i="2" s="1"/>
  <c r="AT417" i="2"/>
  <c r="AH417" i="2" s="1"/>
  <c r="V417" i="2" s="1"/>
  <c r="AT1180" i="2"/>
  <c r="AH1180" i="2" s="1"/>
  <c r="V1180" i="2" s="1"/>
  <c r="AT1120" i="2"/>
  <c r="AH1120" i="2" s="1"/>
  <c r="V1120" i="2" s="1"/>
  <c r="AT380" i="2"/>
  <c r="AT708" i="2"/>
  <c r="AH708" i="2" s="1"/>
  <c r="V708" i="2" s="1"/>
  <c r="AT741" i="2"/>
  <c r="AH741" i="2" s="1"/>
  <c r="V741" i="2" s="1"/>
  <c r="AT477" i="2"/>
  <c r="AH477" i="2" s="1"/>
  <c r="V477" i="2" s="1"/>
  <c r="AT989" i="2"/>
  <c r="AH989" i="2" s="1"/>
  <c r="V989" i="2" s="1"/>
  <c r="AT382" i="2"/>
  <c r="AH382" i="2" s="1"/>
  <c r="V382" i="2" s="1"/>
  <c r="AT1081" i="2"/>
  <c r="AH1081" i="2" s="1"/>
  <c r="V1081" i="2" s="1"/>
  <c r="AT549" i="2"/>
  <c r="AH549" i="2" s="1"/>
  <c r="V549" i="2" s="1"/>
  <c r="AT649" i="2"/>
  <c r="AH649" i="2" s="1"/>
  <c r="V649" i="2" s="1"/>
  <c r="AT901" i="2"/>
  <c r="AH901" i="2" s="1"/>
  <c r="V901" i="2" s="1"/>
  <c r="AT1101" i="2"/>
  <c r="AH1101" i="2" s="1"/>
  <c r="V1101" i="2" s="1"/>
  <c r="AT749" i="2"/>
  <c r="AH749" i="2" s="1"/>
  <c r="V749" i="2" s="1"/>
  <c r="AT1080" i="2"/>
  <c r="AH1080" i="2" s="1"/>
  <c r="V1080" i="2" s="1"/>
  <c r="AT215" i="2"/>
  <c r="AH215" i="2" s="1"/>
  <c r="V215" i="2" s="1"/>
  <c r="AT689" i="2"/>
  <c r="AH689" i="2" s="1"/>
  <c r="V689" i="2" s="1"/>
  <c r="AT1247" i="2"/>
  <c r="AH1247" i="2" s="1"/>
  <c r="V1247" i="2" s="1"/>
  <c r="AT867" i="2"/>
  <c r="AH867" i="2" s="1"/>
  <c r="V867" i="2" s="1"/>
  <c r="AT986" i="2"/>
  <c r="AH986" i="2" s="1"/>
  <c r="V986" i="2" s="1"/>
  <c r="AT929" i="2"/>
  <c r="AH929" i="2" s="1"/>
  <c r="V929" i="2" s="1"/>
  <c r="AT997" i="2"/>
  <c r="AH997" i="2" s="1"/>
  <c r="V997" i="2" s="1"/>
  <c r="AT1195" i="2"/>
  <c r="AH1195" i="2" s="1"/>
  <c r="V1195" i="2" s="1"/>
  <c r="AT953" i="2"/>
  <c r="AH953" i="2" s="1"/>
  <c r="V953" i="2" s="1"/>
  <c r="AT1143" i="2"/>
  <c r="AH1143" i="2" s="1"/>
  <c r="V1143" i="2" s="1"/>
  <c r="AT1153" i="2"/>
  <c r="AH1153" i="2" s="1"/>
  <c r="V1153" i="2" s="1"/>
  <c r="AT571" i="2"/>
  <c r="AH571" i="2" s="1"/>
  <c r="V571" i="2" s="1"/>
  <c r="AT720" i="2"/>
  <c r="AT320" i="2"/>
  <c r="AH320" i="2" s="1"/>
  <c r="V320" i="2" s="1"/>
  <c r="AT360" i="2"/>
  <c r="AH360" i="2" s="1"/>
  <c r="V360" i="2" s="1"/>
  <c r="AT660" i="2"/>
  <c r="AT345" i="2"/>
  <c r="AH345" i="2" s="1"/>
  <c r="V345" i="2" s="1"/>
  <c r="AT542" i="2"/>
  <c r="AH542" i="2" s="1"/>
  <c r="V542" i="2" s="1"/>
  <c r="AT671" i="2"/>
  <c r="AH671" i="2" s="1"/>
  <c r="V671" i="2" s="1"/>
  <c r="AT344" i="2"/>
  <c r="AH344" i="2" s="1"/>
  <c r="V344" i="2" s="1"/>
  <c r="AT648" i="2"/>
  <c r="AH648" i="2" s="1"/>
  <c r="V648" i="2" s="1"/>
  <c r="AT245" i="2"/>
  <c r="AH245" i="2" s="1"/>
  <c r="V245" i="2" s="1"/>
  <c r="AT480" i="2"/>
  <c r="AH480" i="2" s="1"/>
  <c r="V480" i="2" s="1"/>
  <c r="AT713" i="2"/>
  <c r="AH713" i="2" s="1"/>
  <c r="V713" i="2" s="1"/>
  <c r="AT298" i="2"/>
  <c r="AH298" i="2" s="1"/>
  <c r="V298" i="2" s="1"/>
  <c r="AT440" i="2"/>
  <c r="AH440" i="2" s="1"/>
  <c r="V440" i="2" s="1"/>
  <c r="AT279" i="2"/>
  <c r="AT726" i="2"/>
  <c r="AH726" i="2" s="1"/>
  <c r="V726" i="2" s="1"/>
  <c r="AT448" i="2"/>
  <c r="AH448" i="2" s="1"/>
  <c r="V448" i="2" s="1"/>
  <c r="AT497" i="2"/>
  <c r="AH497" i="2" s="1"/>
  <c r="V497" i="2" s="1"/>
  <c r="AT771" i="2"/>
  <c r="AH771" i="2" s="1"/>
  <c r="V771" i="2" s="1"/>
  <c r="AT459" i="2"/>
  <c r="AH459" i="2" s="1"/>
  <c r="V459" i="2" s="1"/>
  <c r="AT746" i="2"/>
  <c r="AH746" i="2" s="1"/>
  <c r="V746" i="2" s="1"/>
  <c r="AT333" i="2"/>
  <c r="AH333" i="2" s="1"/>
  <c r="V333" i="2" s="1"/>
  <c r="AT602" i="2"/>
  <c r="AH602" i="2" s="1"/>
  <c r="V602" i="2" s="1"/>
  <c r="AT785" i="2"/>
  <c r="AH785" i="2" s="1"/>
  <c r="V785" i="2" s="1"/>
  <c r="AT511" i="2"/>
  <c r="AH511" i="2" s="1"/>
  <c r="V511" i="2" s="1"/>
  <c r="AT160" i="2"/>
  <c r="AH160" i="2" s="1"/>
  <c r="V160" i="2" s="1"/>
  <c r="AT141" i="2"/>
  <c r="AH141" i="2" s="1"/>
  <c r="V141" i="2" s="1"/>
  <c r="AT123" i="2"/>
  <c r="AH123" i="2" s="1"/>
  <c r="V123" i="2" s="1"/>
  <c r="AT22" i="2"/>
  <c r="AH22" i="2" s="1"/>
  <c r="V22" i="2" s="1"/>
  <c r="AT129" i="2"/>
  <c r="AH129" i="2" s="1"/>
  <c r="V129" i="2" s="1"/>
  <c r="AT130" i="2"/>
  <c r="AH130" i="2" s="1"/>
  <c r="V130" i="2" s="1"/>
  <c r="AT56" i="2"/>
  <c r="AH56" i="2" s="1"/>
  <c r="V56" i="2" s="1"/>
  <c r="AT62" i="2"/>
  <c r="AH62" i="2" s="1"/>
  <c r="V62" i="2" s="1"/>
  <c r="AT223" i="2"/>
  <c r="AH223" i="2" s="1"/>
  <c r="V223" i="2" s="1"/>
  <c r="AT400" i="2"/>
  <c r="AH400" i="2" s="1"/>
  <c r="V400" i="2" s="1"/>
  <c r="AT693" i="2"/>
  <c r="AH693" i="2" s="1"/>
  <c r="V693" i="2" s="1"/>
  <c r="AT879" i="2"/>
  <c r="AH879" i="2" s="1"/>
  <c r="V879" i="2" s="1"/>
  <c r="AT1034" i="2"/>
  <c r="AH1034" i="2" s="1"/>
  <c r="V1034" i="2" s="1"/>
  <c r="AT1232" i="2"/>
  <c r="AH1232" i="2" s="1"/>
  <c r="V1232" i="2" s="1"/>
  <c r="AK18" i="2"/>
  <c r="AK111" i="2"/>
  <c r="AK82" i="2"/>
  <c r="AK212" i="2"/>
  <c r="AK78" i="2"/>
  <c r="AK16" i="2"/>
  <c r="AK194" i="2"/>
  <c r="AK438" i="2"/>
  <c r="AK229" i="2"/>
  <c r="AK320" i="2"/>
  <c r="AK643" i="2"/>
  <c r="AK531" i="2"/>
  <c r="AK287" i="2"/>
  <c r="AK215" i="2"/>
  <c r="AK565" i="2"/>
  <c r="AK248" i="2"/>
  <c r="AK408" i="2"/>
  <c r="AK804" i="2"/>
  <c r="AK777" i="2"/>
  <c r="AK302" i="2"/>
  <c r="AK914" i="2"/>
  <c r="AK933" i="2"/>
  <c r="AK991" i="2"/>
  <c r="AK1166" i="2"/>
  <c r="AK1196" i="2"/>
  <c r="AK485" i="2"/>
  <c r="AK1067" i="2"/>
  <c r="AK886" i="2"/>
  <c r="AK1139" i="2"/>
  <c r="AK826" i="2"/>
  <c r="AK363" i="2"/>
  <c r="AK807" i="2"/>
  <c r="AK475" i="2"/>
  <c r="AK820" i="2"/>
  <c r="AK1245" i="2"/>
  <c r="AK1049" i="2"/>
  <c r="AK1233" i="2"/>
  <c r="AK1256" i="2"/>
  <c r="AK1172" i="2"/>
  <c r="AK908" i="2"/>
  <c r="AK864" i="2"/>
  <c r="AK856" i="2"/>
  <c r="AK993" i="2"/>
  <c r="AK345" i="2"/>
  <c r="AK1269" i="2"/>
  <c r="AK324" i="2"/>
  <c r="AK498" i="2"/>
  <c r="AK872" i="2"/>
  <c r="AK918" i="2"/>
  <c r="AK494" i="2"/>
  <c r="AK455" i="2"/>
  <c r="AK373" i="2"/>
  <c r="AK335" i="2"/>
  <c r="AK362" i="2"/>
  <c r="AK246" i="2"/>
  <c r="AK422" i="2"/>
  <c r="AK350" i="2"/>
  <c r="AK145" i="2"/>
  <c r="AK505" i="2"/>
  <c r="AK1192" i="2"/>
  <c r="AK1155" i="2"/>
  <c r="AK958" i="2"/>
  <c r="AK1114" i="2"/>
  <c r="AK1024" i="2"/>
  <c r="AK1053" i="2"/>
  <c r="AK616" i="2"/>
  <c r="AK1142" i="2"/>
  <c r="AK461" i="2"/>
  <c r="AK301" i="2"/>
  <c r="AK437" i="2"/>
  <c r="AK62" i="2"/>
  <c r="AK721" i="2"/>
  <c r="AK759" i="2"/>
  <c r="AK608" i="2"/>
  <c r="AK116" i="2"/>
  <c r="AK92" i="2"/>
  <c r="AK390" i="2"/>
  <c r="AK228" i="2"/>
  <c r="AK775" i="2"/>
  <c r="AK1200" i="2"/>
  <c r="AK1099" i="2"/>
  <c r="AK978" i="2"/>
  <c r="AK621" i="2"/>
  <c r="AK980" i="2"/>
  <c r="AK605" i="2"/>
  <c r="AK1084" i="2"/>
  <c r="AK928" i="2"/>
  <c r="AK750" i="2"/>
  <c r="AK935" i="2"/>
  <c r="AK1236" i="2"/>
  <c r="AK269" i="2"/>
  <c r="AK129" i="2"/>
  <c r="AK601" i="2"/>
  <c r="AK1250" i="2"/>
  <c r="AK329" i="2"/>
  <c r="AK108" i="2"/>
  <c r="AK737" i="2"/>
  <c r="AK586" i="2"/>
  <c r="AK378" i="2"/>
  <c r="AK323" i="2"/>
  <c r="AK453" i="2"/>
  <c r="AK819" i="2"/>
  <c r="AK1121" i="2"/>
  <c r="AK1023" i="2"/>
  <c r="AK894" i="2"/>
  <c r="AK488" i="2"/>
  <c r="AK979" i="2"/>
  <c r="AK1153" i="2"/>
  <c r="AK731" i="2"/>
  <c r="AK1124" i="2"/>
  <c r="AK1253" i="2"/>
  <c r="AK451" i="2"/>
  <c r="AK1048" i="2"/>
  <c r="AK1190" i="2"/>
  <c r="AK735" i="2"/>
  <c r="AK656" i="2"/>
  <c r="AK436" i="2"/>
  <c r="AK596" i="2"/>
  <c r="AK566" i="2"/>
  <c r="AK307" i="2"/>
  <c r="AK622" i="2"/>
  <c r="AK424" i="2"/>
  <c r="AK530" i="2"/>
  <c r="AK450" i="2"/>
  <c r="AK607" i="2"/>
  <c r="AK420" i="2"/>
  <c r="AK1151" i="2"/>
  <c r="AK919" i="2"/>
  <c r="AK1270" i="2"/>
  <c r="AK1112" i="2"/>
  <c r="AK331" i="2"/>
  <c r="AK507" i="2"/>
  <c r="AK1257" i="2"/>
  <c r="AK1113" i="2"/>
  <c r="AK1234" i="2"/>
  <c r="AK937" i="2"/>
  <c r="AK915" i="2"/>
  <c r="AK274" i="2"/>
  <c r="AK333" i="2"/>
  <c r="AK318" i="2"/>
  <c r="AK423" i="2"/>
  <c r="AK1120" i="2"/>
  <c r="AK1132" i="2"/>
  <c r="AK1208" i="2"/>
  <c r="AK746" i="2"/>
  <c r="AK674" i="2"/>
  <c r="AK1268" i="2"/>
  <c r="AK273" i="2"/>
  <c r="AK1083" i="2"/>
  <c r="AK711" i="2"/>
  <c r="AK1095" i="2"/>
  <c r="AK1016" i="2"/>
  <c r="AK311" i="2"/>
  <c r="AK198" i="2"/>
  <c r="AK1255" i="2"/>
  <c r="AK1064" i="2"/>
  <c r="AK837" i="2"/>
  <c r="AK293" i="2"/>
  <c r="AK561" i="2"/>
  <c r="AK413" i="2"/>
  <c r="AK990" i="2"/>
  <c r="AK970" i="2"/>
  <c r="AK1071" i="2"/>
  <c r="AK779" i="2"/>
  <c r="AK562" i="2"/>
  <c r="AK917" i="2"/>
  <c r="AK997" i="2"/>
  <c r="AK992" i="2"/>
  <c r="AK932" i="2"/>
  <c r="AK1052" i="2"/>
  <c r="AK578" i="2"/>
  <c r="AK1215" i="2"/>
  <c r="AK1001" i="2"/>
  <c r="AK180" i="2"/>
  <c r="AK107" i="2"/>
  <c r="AK688" i="2"/>
  <c r="AK354" i="2"/>
  <c r="AK495" i="2"/>
  <c r="AK48" i="2"/>
  <c r="AK778" i="2"/>
  <c r="AK77" i="2"/>
  <c r="AK942" i="2"/>
  <c r="AK920" i="2"/>
  <c r="AK1191" i="2"/>
  <c r="AK532" i="2"/>
  <c r="AK961" i="2"/>
  <c r="AK697" i="2"/>
  <c r="AK953" i="2"/>
  <c r="AK855" i="2"/>
  <c r="AK1100" i="2"/>
  <c r="AK973" i="2"/>
  <c r="AK971" i="2"/>
  <c r="AK865" i="2"/>
  <c r="AK1122" i="2"/>
  <c r="AK134" i="2"/>
  <c r="AK1210" i="2"/>
  <c r="AK372" i="2"/>
  <c r="AK518" i="2"/>
  <c r="AK100" i="2"/>
  <c r="AK704" i="2"/>
  <c r="AK501" i="2"/>
  <c r="AK130" i="2"/>
  <c r="AK672" i="2"/>
  <c r="AK39" i="2"/>
  <c r="AK899" i="2"/>
  <c r="AK904" i="2"/>
  <c r="AK1123" i="2"/>
  <c r="AK1176" i="2"/>
  <c r="AK478" i="2"/>
  <c r="AK243" i="2"/>
  <c r="AK1198" i="2"/>
  <c r="AK529" i="2"/>
  <c r="AK172" i="2"/>
  <c r="AK667" i="2"/>
  <c r="AK1101" i="2"/>
  <c r="AK81" i="2"/>
  <c r="AK982" i="2"/>
  <c r="AK226" i="2"/>
  <c r="AK699" i="2"/>
  <c r="AK357" i="2"/>
  <c r="AK736" i="2"/>
  <c r="AK517" i="2"/>
  <c r="AK325" i="2"/>
  <c r="AK14" i="2"/>
  <c r="AK295" i="2"/>
  <c r="AK912" i="2"/>
  <c r="AK907" i="2"/>
  <c r="AK1184" i="2"/>
  <c r="AK606" i="2"/>
  <c r="AK833" i="2"/>
  <c r="AK76" i="2"/>
  <c r="AK847" i="2"/>
  <c r="AK939" i="2"/>
  <c r="AK875" i="2"/>
  <c r="AK651" i="2"/>
  <c r="AK863" i="2"/>
  <c r="AK762" i="2"/>
  <c r="AK533" i="2"/>
  <c r="AK462" i="2"/>
  <c r="AK482" i="2"/>
  <c r="AK148" i="2"/>
  <c r="AK504" i="2"/>
  <c r="AK1002" i="2"/>
  <c r="AK852" i="2"/>
  <c r="AK860" i="2"/>
  <c r="AK903" i="2"/>
  <c r="AK790" i="2"/>
  <c r="AK1097" i="2"/>
  <c r="AK1070" i="2"/>
  <c r="AK1230" i="2"/>
  <c r="AK31" i="2"/>
  <c r="AK628" i="2"/>
  <c r="AK1069" i="2"/>
  <c r="AK760" i="2"/>
  <c r="AK868" i="2"/>
  <c r="AK1027" i="2"/>
  <c r="AK300" i="2"/>
  <c r="AK1161" i="2"/>
  <c r="AK467" i="2"/>
  <c r="AK303" i="2"/>
  <c r="AK592" i="2"/>
  <c r="AK776" i="2"/>
  <c r="AK1010" i="2"/>
  <c r="AK1143" i="2"/>
  <c r="AK1175" i="2"/>
  <c r="AK888" i="2"/>
  <c r="AK445" i="2"/>
  <c r="AK691" i="2"/>
  <c r="AK703" i="2"/>
  <c r="AK1111" i="2"/>
  <c r="AK1186" i="2"/>
  <c r="AK690" i="2"/>
  <c r="AK649" i="2"/>
  <c r="AK818" i="2"/>
  <c r="AK791" i="2"/>
  <c r="AK707" i="2"/>
  <c r="AK454" i="2"/>
  <c r="AK989" i="2"/>
  <c r="AK1063" i="2"/>
  <c r="AK1090" i="2"/>
  <c r="AK199" i="2"/>
  <c r="AK1163" i="2"/>
  <c r="AK397" i="2"/>
  <c r="AK1202" i="2"/>
  <c r="AK617" i="2"/>
  <c r="AK167" i="2"/>
  <c r="AK1096" i="2"/>
  <c r="AK370" i="2"/>
  <c r="AK754" i="2"/>
  <c r="AK1037" i="2"/>
  <c r="AK468" i="2"/>
  <c r="AK640" i="2"/>
  <c r="AK471" i="2"/>
  <c r="AK887" i="2"/>
  <c r="AK1046" i="2"/>
  <c r="AK1074" i="2"/>
  <c r="AK841" i="2"/>
  <c r="AK141" i="2"/>
  <c r="AK1259" i="2"/>
  <c r="AK202" i="2"/>
  <c r="AK1106" i="2"/>
  <c r="AK188" i="2"/>
  <c r="AK719" i="2"/>
  <c r="AK590" i="2"/>
  <c r="AK802" i="2"/>
  <c r="AK319" i="2"/>
  <c r="AK356" i="2"/>
  <c r="AK328" i="2"/>
  <c r="AK19" i="2"/>
  <c r="AK421" i="2"/>
  <c r="AK288" i="2"/>
  <c r="AK658" i="2"/>
  <c r="AK231" i="2"/>
  <c r="AK810" i="2"/>
  <c r="AK881" i="2"/>
  <c r="AK1009" i="2"/>
  <c r="AK1169" i="2"/>
  <c r="AK747" i="2"/>
  <c r="AK926" i="2"/>
  <c r="AK1133" i="2"/>
  <c r="AK528" i="2"/>
  <c r="AK922" i="2"/>
  <c r="AK720" i="2"/>
  <c r="AK1138" i="2"/>
  <c r="AK1159" i="2"/>
  <c r="AK585" i="2"/>
  <c r="AK379" i="2"/>
  <c r="AK157" i="2"/>
  <c r="AK386" i="2"/>
  <c r="AK258" i="2"/>
  <c r="AK247" i="2"/>
  <c r="AK758" i="2"/>
  <c r="AK491" i="2"/>
  <c r="AK286" i="2"/>
  <c r="AK32" i="2"/>
  <c r="AK13" i="2"/>
  <c r="AK659" i="2"/>
  <c r="AK1203" i="2"/>
  <c r="AK1162" i="2"/>
  <c r="AK388" i="2"/>
  <c r="AK291" i="2"/>
  <c r="AK675" i="2"/>
  <c r="AK161" i="2"/>
  <c r="AK34" i="2"/>
  <c r="AK30" i="2"/>
  <c r="AK831" i="2"/>
  <c r="AK366" i="2"/>
  <c r="AK37" i="2"/>
  <c r="AK70" i="2"/>
  <c r="AK472" i="2"/>
  <c r="AK277" i="2"/>
  <c r="AK459" i="2"/>
  <c r="AK84" i="2"/>
  <c r="AK1061" i="2"/>
  <c r="AK95" i="2"/>
  <c r="AK655" i="2"/>
  <c r="AK195" i="2"/>
  <c r="AK740" i="2"/>
  <c r="AK646" i="2"/>
  <c r="AK33" i="2"/>
  <c r="AK489" i="2"/>
  <c r="AK58" i="2"/>
  <c r="AK173" i="2"/>
  <c r="AK67" i="2"/>
  <c r="AK439" i="2"/>
  <c r="AK761" i="2"/>
  <c r="AK46" i="2"/>
  <c r="AK230" i="2"/>
  <c r="AK177" i="2"/>
  <c r="AK133" i="2"/>
  <c r="AK644" i="2"/>
  <c r="AK710" i="2"/>
  <c r="AK124" i="2"/>
  <c r="AK156" i="2"/>
  <c r="AK623" i="2"/>
  <c r="AK276" i="2"/>
  <c r="AK639" i="2"/>
  <c r="AK275" i="2"/>
  <c r="AK382" i="2"/>
  <c r="AK213" i="2"/>
  <c r="AK647" i="2"/>
  <c r="AK549" i="2"/>
  <c r="AK127" i="2"/>
  <c r="AK136" i="2"/>
  <c r="AK1148" i="2"/>
  <c r="AK638" i="2"/>
  <c r="AK245" i="2"/>
  <c r="AK392" i="2"/>
  <c r="AK53" i="2"/>
  <c r="AK189" i="2"/>
  <c r="AK1126" i="2"/>
  <c r="AK998" i="2"/>
  <c r="AK624" i="2"/>
  <c r="AK347" i="2"/>
  <c r="AK550" i="2"/>
  <c r="AK341" i="2"/>
  <c r="AK304" i="2"/>
  <c r="AK23" i="2"/>
  <c r="AK429" i="2"/>
  <c r="AK391" i="2"/>
  <c r="AK479" i="2"/>
  <c r="AK164" i="2"/>
  <c r="AK21" i="2"/>
  <c r="AK49" i="2"/>
  <c r="AK137" i="2"/>
  <c r="AK64" i="2"/>
  <c r="AK846" i="2"/>
  <c r="AK220" i="2"/>
  <c r="AK508" i="2"/>
  <c r="AK452" i="2"/>
  <c r="AK368" i="2"/>
  <c r="AK330" i="2"/>
  <c r="AK268" i="2"/>
  <c r="AK499" i="2"/>
  <c r="AK299" i="2"/>
  <c r="AK709" i="2"/>
  <c r="AK179" i="2"/>
  <c r="AK90" i="2"/>
  <c r="AK326" i="2"/>
  <c r="AK950" i="2"/>
  <c r="AK1080" i="2"/>
  <c r="AK716" i="2"/>
  <c r="AK1105" i="2"/>
  <c r="AK502" i="2"/>
  <c r="AK781" i="2"/>
  <c r="AK1134" i="2"/>
  <c r="AK425" i="2"/>
  <c r="AK1119" i="2"/>
  <c r="AK396" i="2"/>
  <c r="AK874" i="2"/>
  <c r="AK635" i="2"/>
  <c r="AK446" i="2"/>
  <c r="AK788" i="2"/>
  <c r="AK169" i="2"/>
  <c r="AK963" i="2"/>
  <c r="AK97" i="2"/>
  <c r="AK969" i="2"/>
  <c r="AK1185" i="2"/>
  <c r="AK637" i="2"/>
  <c r="AK1077" i="2"/>
  <c r="AK460" i="2"/>
  <c r="AK1057" i="2"/>
  <c r="AK662" i="2"/>
  <c r="AK625" i="2"/>
  <c r="AK591" i="2"/>
  <c r="AK850" i="2"/>
  <c r="AK152" i="2"/>
  <c r="AK862" i="2"/>
  <c r="AK1094" i="2"/>
  <c r="AK733" i="2"/>
  <c r="AK1207" i="2"/>
  <c r="AK1149" i="2"/>
  <c r="AK431" i="2"/>
  <c r="AK952" i="2"/>
  <c r="AK104" i="2"/>
  <c r="AK612" i="2"/>
  <c r="AK873" i="2"/>
  <c r="AK174" i="2"/>
  <c r="AK1254" i="2"/>
  <c r="AK250" i="2"/>
  <c r="AK1266" i="2"/>
  <c r="AK889" i="2"/>
  <c r="AK560" i="2"/>
  <c r="AK374" i="2"/>
  <c r="AK823" i="2"/>
  <c r="AK1019" i="2"/>
  <c r="AK712" i="2"/>
  <c r="AK360" i="2"/>
  <c r="AK1193" i="2"/>
  <c r="AK597" i="2"/>
  <c r="AK575" i="2"/>
  <c r="AK795" i="2"/>
  <c r="AK1145" i="2"/>
  <c r="AK830" i="2"/>
  <c r="AK642" i="2"/>
  <c r="AK738" i="2"/>
  <c r="AK151" i="2"/>
  <c r="AK1222" i="2"/>
  <c r="AK50" i="2"/>
  <c r="AK689" i="2"/>
  <c r="AK463" i="2"/>
  <c r="AK614" i="2"/>
  <c r="AK342" i="2"/>
  <c r="AK745" i="2"/>
  <c r="AK414" i="2"/>
  <c r="AK641" i="2"/>
  <c r="AK91" i="2"/>
  <c r="AK296" i="2"/>
  <c r="AK545" i="2"/>
  <c r="AK22" i="2"/>
  <c r="AK208" i="2"/>
  <c r="AK434" i="2"/>
  <c r="AK1085" i="2"/>
  <c r="AK1131" i="2"/>
  <c r="AK135" i="2"/>
  <c r="AK836" i="2"/>
  <c r="AK796" i="2"/>
  <c r="AK867" i="2"/>
  <c r="AK1261" i="2"/>
  <c r="AK817" i="2"/>
  <c r="AK1066" i="2"/>
  <c r="AK1235" i="2"/>
  <c r="AK676" i="2"/>
  <c r="AK683" i="2"/>
  <c r="AK411" i="2"/>
  <c r="AK891" i="2"/>
  <c r="AK1043" i="2"/>
  <c r="AK654" i="2"/>
  <c r="AK1068" i="2"/>
  <c r="AK221" i="2"/>
  <c r="AK1182" i="2"/>
  <c r="AK349" i="2"/>
  <c r="AK376" i="2"/>
  <c r="AK1217" i="2"/>
  <c r="AK668" i="2"/>
  <c r="AK1056" i="2"/>
  <c r="AK123" i="2"/>
  <c r="AK752" i="2"/>
  <c r="AK1194" i="2"/>
  <c r="AK728" i="2"/>
  <c r="AK715" i="2"/>
  <c r="AK785" i="2"/>
  <c r="AK930" i="2"/>
  <c r="AK854" i="2"/>
  <c r="AK238" i="2"/>
  <c r="AK1181" i="2"/>
  <c r="AK217" i="2"/>
  <c r="AK1060" i="2"/>
  <c r="AK497" i="2"/>
  <c r="AK361" i="2"/>
  <c r="AK799" i="2"/>
  <c r="AK741" i="2"/>
  <c r="AK241" i="2"/>
  <c r="AK692" i="2"/>
  <c r="AK55" i="2"/>
  <c r="AK343" i="2"/>
  <c r="AK441" i="2"/>
  <c r="AK166" i="2"/>
  <c r="AK509" i="2"/>
  <c r="AK112" i="2"/>
  <c r="AK481" i="2"/>
  <c r="AK609" i="2"/>
  <c r="AK113" i="2"/>
  <c r="AK483" i="2"/>
  <c r="AK264" i="2"/>
  <c r="AK115" i="2"/>
  <c r="AK546" i="2"/>
  <c r="AK89" i="2"/>
  <c r="AK962" i="2"/>
  <c r="AK1262" i="2"/>
  <c r="AK158" i="2"/>
  <c r="AK1026" i="2"/>
  <c r="AK176" i="2"/>
  <c r="AK1211" i="2"/>
  <c r="AK812" i="2"/>
  <c r="AK943" i="2"/>
  <c r="AK395" i="2"/>
  <c r="AK338" i="2"/>
  <c r="AK678" i="2"/>
  <c r="AK834" i="2"/>
  <c r="AK447" i="2"/>
  <c r="AK41" i="2"/>
  <c r="AK1246" i="2"/>
  <c r="AK766" i="2"/>
  <c r="AK1170" i="2"/>
  <c r="AK206" i="2"/>
  <c r="AK1039" i="2"/>
  <c r="AK871" i="2"/>
  <c r="AK657" i="2"/>
  <c r="AK1239" i="2"/>
  <c r="AK809" i="2"/>
  <c r="AK808" i="2"/>
  <c r="AK327" i="2"/>
  <c r="AK101" i="2"/>
  <c r="AK1007" i="2"/>
  <c r="AK555" i="2"/>
  <c r="AK840" i="2"/>
  <c r="AK892" i="2"/>
  <c r="AK645" i="2"/>
  <c r="AK951" i="2"/>
  <c r="AK1187" i="2"/>
  <c r="AK631" i="2"/>
  <c r="AK718" i="2"/>
  <c r="AK432" i="2"/>
  <c r="AK858" i="2"/>
  <c r="AK1271" i="2"/>
  <c r="AK216" i="2"/>
  <c r="AK960" i="2"/>
  <c r="AK1248" i="2"/>
  <c r="AK1065" i="2"/>
  <c r="AK884" i="2"/>
  <c r="AK255" i="2"/>
  <c r="AK1154" i="2"/>
  <c r="AK661" i="2"/>
  <c r="AK1045" i="2"/>
  <c r="AK219" i="2"/>
  <c r="AK513" i="2"/>
  <c r="AK1167" i="2"/>
  <c r="AK162" i="2"/>
  <c r="AK923" i="2"/>
  <c r="AK1021" i="2"/>
  <c r="AK1073" i="2"/>
  <c r="AK1197" i="2"/>
  <c r="AK1219" i="2"/>
  <c r="AK1135" i="2"/>
  <c r="AK150" i="2"/>
  <c r="AK1089" i="2"/>
  <c r="AK786" i="2"/>
  <c r="AK966" i="2"/>
  <c r="AK440" i="2"/>
  <c r="AK512" i="2"/>
  <c r="AK1218" i="2"/>
  <c r="AK1020" i="2"/>
  <c r="AK1173" i="2"/>
  <c r="AK1117" i="2"/>
  <c r="AK538" i="2"/>
  <c r="AK1051" i="2"/>
  <c r="AK1221" i="2"/>
  <c r="AK121" i="2"/>
  <c r="AK1258" i="2"/>
  <c r="AK203" i="2"/>
  <c r="AK1103" i="2"/>
  <c r="AK666" i="2"/>
  <c r="AK385" i="2"/>
  <c r="AK309" i="2"/>
  <c r="AK122" i="2"/>
  <c r="AK367" i="2"/>
  <c r="AK1237" i="2"/>
  <c r="AK88" i="2"/>
  <c r="AK724" i="2"/>
  <c r="AK539" i="2"/>
  <c r="AK557" i="2"/>
  <c r="AK283" i="2"/>
  <c r="AK207" i="2"/>
  <c r="AK254" i="2"/>
  <c r="AK352" i="2"/>
  <c r="AK664" i="2"/>
  <c r="AK663" i="2"/>
  <c r="AK42" i="2"/>
  <c r="AK242" i="2"/>
  <c r="AK878" i="2"/>
  <c r="AK798" i="2"/>
  <c r="AK744" i="2"/>
  <c r="AK383" i="2"/>
  <c r="AK394" i="2"/>
  <c r="AK593" i="2"/>
  <c r="AK285" i="2"/>
  <c r="AK1137" i="2"/>
  <c r="AK490" i="2"/>
  <c r="AK905" i="2"/>
  <c r="AK673" i="2"/>
  <c r="AK972" i="2"/>
  <c r="AK1087" i="2"/>
  <c r="AK400" i="2"/>
  <c r="AK890" i="2"/>
  <c r="AK730" i="2"/>
  <c r="AK375" i="2"/>
  <c r="AK1013" i="2"/>
  <c r="AK901" i="2"/>
  <c r="AK280" i="2"/>
  <c r="AK627" i="2"/>
  <c r="AK896" i="2"/>
  <c r="AK1014" i="2"/>
  <c r="AK713" i="2"/>
  <c r="AK1212" i="2"/>
  <c r="AK171" i="2"/>
  <c r="AK1152" i="2"/>
  <c r="AK940" i="2"/>
  <c r="AK393" i="2"/>
  <c r="AK814" i="2"/>
  <c r="AK1042" i="2"/>
  <c r="AK650" i="2"/>
  <c r="AK984" i="2"/>
  <c r="AK197" i="2"/>
  <c r="AK139" i="2"/>
  <c r="AK987" i="2"/>
  <c r="AK743" i="2"/>
  <c r="AK271" i="2"/>
  <c r="AK717" i="2"/>
  <c r="AK767" i="2"/>
  <c r="AK448" i="2"/>
  <c r="AK427" i="2"/>
  <c r="AK398" i="2"/>
  <c r="AK714" i="2"/>
  <c r="AK51" i="2"/>
  <c r="AK893" i="2"/>
  <c r="AK193" i="2"/>
  <c r="AK579" i="2"/>
  <c r="AK1178" i="2"/>
  <c r="AK1264" i="2"/>
  <c r="AK803" i="2"/>
  <c r="AK563" i="2"/>
  <c r="AK861" i="2"/>
  <c r="AK464" i="2"/>
  <c r="AK1189" i="2"/>
  <c r="AK1206" i="2"/>
  <c r="AK1252" i="2"/>
  <c r="AK934" i="2"/>
  <c r="AK577" i="2"/>
  <c r="AK534" i="2"/>
  <c r="AK54" i="2"/>
  <c r="AK553" i="2"/>
  <c r="AK774" i="2"/>
  <c r="AK965" i="2"/>
  <c r="AK519" i="2"/>
  <c r="AK670" i="2"/>
  <c r="AK235" i="2"/>
  <c r="AK853" i="2"/>
  <c r="AK784" i="2"/>
  <c r="AK677" i="2"/>
  <c r="AK224" i="2"/>
  <c r="AK1171" i="2"/>
  <c r="AK317" i="2"/>
  <c r="AK444" i="2"/>
  <c r="AK406" i="2"/>
  <c r="AK921" i="2"/>
  <c r="AK913" i="2"/>
  <c r="AK700" i="2"/>
  <c r="AK1158" i="2"/>
  <c r="AK910" i="2"/>
  <c r="AK1226" i="2"/>
  <c r="AK1180" i="2"/>
  <c r="AK1102" i="2"/>
  <c r="AK186" i="2"/>
  <c r="AK927" i="2"/>
  <c r="AK1225" i="2"/>
  <c r="AK1125" i="2"/>
  <c r="AK1030" i="2"/>
  <c r="AK175" i="2"/>
  <c r="AK405" i="2"/>
  <c r="AK1144" i="2"/>
  <c r="AK559" i="2"/>
  <c r="AK387" i="2"/>
  <c r="AK279" i="2"/>
  <c r="AK103" i="2"/>
  <c r="AK294" i="2"/>
  <c r="AK261" i="2"/>
  <c r="AK684" i="2"/>
  <c r="AK580" i="2"/>
  <c r="AK1034" i="2"/>
  <c r="AK1260" i="2"/>
  <c r="AK196" i="2"/>
  <c r="AK364" i="2"/>
  <c r="AK96" i="2"/>
  <c r="AK1227" i="2"/>
  <c r="AK929" i="2"/>
  <c r="AK281" i="2"/>
  <c r="AK160" i="2"/>
  <c r="AK572" i="2"/>
  <c r="AK981" i="2"/>
  <c r="AK526" i="2"/>
  <c r="AK708" i="2"/>
  <c r="AK1086" i="2"/>
  <c r="AK685" i="2"/>
  <c r="AK1036" i="2"/>
  <c r="AK620" i="2"/>
  <c r="AK869" i="2"/>
  <c r="AK956" i="2"/>
  <c r="AK693" i="2"/>
  <c r="AK687" i="2"/>
  <c r="AK404" i="2"/>
  <c r="AK755" i="2"/>
  <c r="AK859" i="2"/>
  <c r="AK780" i="2"/>
  <c r="AK237" i="2"/>
  <c r="AK988" i="2"/>
  <c r="AK515" i="2"/>
  <c r="AK959" i="2"/>
  <c r="AK994" i="2"/>
  <c r="AK511" i="2"/>
  <c r="AK470" i="2"/>
  <c r="AK1238" i="2"/>
  <c r="AK944" i="2"/>
  <c r="AK696" i="2"/>
  <c r="AK583" i="2"/>
  <c r="AK793" i="2"/>
  <c r="AK17" i="2"/>
  <c r="AK806" i="2"/>
  <c r="AK465" i="2"/>
  <c r="AK610" i="2"/>
  <c r="AK344" i="2"/>
  <c r="AK924" i="2"/>
  <c r="AK244" i="2"/>
  <c r="AK967" i="2"/>
  <c r="AK671" i="2"/>
  <c r="AK756" i="2"/>
  <c r="AK1025" i="2"/>
  <c r="AK619" i="2"/>
  <c r="AK695" i="2"/>
  <c r="AK876" i="2"/>
  <c r="AK458" i="2"/>
  <c r="AK925" i="2"/>
  <c r="AK906" i="2"/>
  <c r="AK1201" i="2"/>
  <c r="AK222" i="2"/>
  <c r="AK825" i="2"/>
  <c r="AK569" i="2"/>
  <c r="AK829" i="2"/>
  <c r="AK1136" i="2"/>
  <c r="AK576" i="2"/>
  <c r="AK153" i="2"/>
  <c r="AK679" i="2"/>
  <c r="AK765" i="2"/>
  <c r="AK751" i="2"/>
  <c r="AK380" i="2"/>
  <c r="AK1082" i="2"/>
  <c r="AK1022" i="2"/>
  <c r="AK523" i="2"/>
  <c r="AK521" i="2"/>
  <c r="AK1062" i="2"/>
  <c r="AK618" i="2"/>
  <c r="AK1093" i="2"/>
  <c r="AK567" i="2"/>
  <c r="AK947" i="2"/>
  <c r="AK753" i="2"/>
  <c r="AK552" i="2"/>
  <c r="AK1012" i="2"/>
  <c r="AK1229" i="2"/>
  <c r="AK749" i="2"/>
  <c r="AK119" i="2"/>
  <c r="AK146" i="2"/>
  <c r="AK233" i="2"/>
  <c r="AK599" i="2"/>
  <c r="AK36" i="2"/>
  <c r="AK118" i="2"/>
  <c r="AK355" i="2"/>
  <c r="AK783" i="2"/>
  <c r="AK484" i="2"/>
  <c r="AK99" i="2"/>
  <c r="AK159" i="2"/>
  <c r="AK263" i="2"/>
  <c r="AK210" i="2"/>
  <c r="AK1209" i="2"/>
  <c r="AK726" i="2"/>
  <c r="AK377" i="2"/>
  <c r="AK1116" i="2"/>
  <c r="AK769" i="2"/>
  <c r="AK416" i="2"/>
  <c r="AK957" i="2"/>
  <c r="AK682" i="2"/>
  <c r="AK24" i="2"/>
  <c r="AK144" i="2"/>
  <c r="AK949" i="2"/>
  <c r="AK764" i="2"/>
  <c r="AK686" i="2"/>
  <c r="AK547" i="2"/>
  <c r="AK857" i="2"/>
  <c r="AK1129" i="2"/>
  <c r="AK706" i="2"/>
  <c r="AK584" i="2"/>
  <c r="AK1242" i="2"/>
  <c r="AK1249" i="2"/>
  <c r="AK732" i="2"/>
  <c r="AK1146" i="2"/>
  <c r="AK916" i="2"/>
  <c r="AK1041" i="2"/>
  <c r="AK201" i="2"/>
  <c r="AK626" i="2"/>
  <c r="AK308" i="2"/>
  <c r="AK9" i="2"/>
  <c r="AK407" i="2"/>
  <c r="AK801" i="2"/>
  <c r="AK995" i="2"/>
  <c r="AK698" i="2"/>
  <c r="AK603" i="2"/>
  <c r="AK1141" i="2"/>
  <c r="AK155" i="2"/>
  <c r="AK524" i="2"/>
  <c r="AK381" i="2"/>
  <c r="AK525" i="2"/>
  <c r="AK205" i="2"/>
  <c r="AK877" i="2"/>
  <c r="AK56" i="2"/>
  <c r="AK811" i="2"/>
  <c r="AK412" i="2"/>
  <c r="AK11" i="2"/>
  <c r="AK568" i="2"/>
  <c r="AK147" i="2"/>
  <c r="AK75" i="2"/>
  <c r="AK25" i="2"/>
  <c r="AK163" i="2"/>
  <c r="AK680" i="2"/>
  <c r="AK1241" i="2"/>
  <c r="AK600" i="2"/>
  <c r="AK117" i="2"/>
  <c r="AK80" i="2"/>
  <c r="AK493" i="2"/>
  <c r="AK251" i="2"/>
  <c r="AK974" i="2"/>
  <c r="AK824" i="2"/>
  <c r="AK544" i="2"/>
  <c r="AK845" i="2"/>
  <c r="AK540" i="2"/>
  <c r="AK1223" i="2"/>
  <c r="AK768" i="2"/>
  <c r="AK191" i="2"/>
  <c r="AK1115" i="2"/>
  <c r="AK149" i="2"/>
  <c r="AK1028" i="2"/>
  <c r="AK535" i="2"/>
  <c r="AK848" i="2"/>
  <c r="AK306" i="2"/>
  <c r="AK564" i="2"/>
  <c r="AK551" i="2"/>
  <c r="AK652" i="2"/>
  <c r="AK843" i="2"/>
  <c r="AK435" i="2"/>
  <c r="AK816" i="2"/>
  <c r="AK1214" i="2"/>
  <c r="AK1147" i="2"/>
  <c r="AK1032" i="2"/>
  <c r="AK125" i="2"/>
  <c r="AK477" i="2"/>
  <c r="AK514" i="2"/>
  <c r="AK316" i="2"/>
  <c r="AK315" i="2"/>
  <c r="AK1006" i="2"/>
  <c r="AK1140" i="2"/>
  <c r="AK225" i="2"/>
  <c r="AK1081" i="2"/>
  <c r="AK473" i="2"/>
  <c r="AK734" i="2"/>
  <c r="AK882" i="2"/>
  <c r="AK543" i="2"/>
  <c r="AK1000" i="2"/>
  <c r="AK322" i="2"/>
  <c r="AK1244" i="2"/>
  <c r="AK234" i="2"/>
  <c r="AK1054" i="2"/>
  <c r="AK131" i="2"/>
  <c r="AK1243" i="2"/>
  <c r="AK476" i="2"/>
  <c r="AK794" i="2"/>
  <c r="AK52" i="2"/>
  <c r="AK725" i="2"/>
  <c r="AK60" i="2"/>
  <c r="AK185" i="2"/>
  <c r="AK633" i="2"/>
  <c r="AK87" i="2"/>
  <c r="AK337" i="2"/>
  <c r="AK105" i="2"/>
  <c r="AK45" i="2"/>
  <c r="AK27" i="2"/>
  <c r="AK86" i="2"/>
  <c r="AK192" i="2"/>
  <c r="AK334" i="2"/>
  <c r="AK66" i="2"/>
  <c r="AK106" i="2"/>
  <c r="AK522" i="2"/>
  <c r="AK466" i="2"/>
  <c r="AK1273" i="2"/>
  <c r="AK1092" i="2"/>
  <c r="AK417" i="2"/>
  <c r="AK900" i="2"/>
  <c r="AK880" i="2"/>
  <c r="AK114" i="2"/>
  <c r="AK879" i="2"/>
  <c r="AK885" i="2"/>
  <c r="AK456" i="2"/>
  <c r="AK418" i="2"/>
  <c r="AK909" i="2"/>
  <c r="AK204" i="2"/>
  <c r="AK976" i="2"/>
  <c r="AK415" i="2"/>
  <c r="AK1075" i="2"/>
  <c r="AK1055" i="2"/>
  <c r="AK410" i="2"/>
  <c r="AK469" i="2"/>
  <c r="AK389" i="2"/>
  <c r="AK866" i="2"/>
  <c r="AK348" i="2"/>
  <c r="AK1205" i="2"/>
  <c r="AK1107" i="2"/>
  <c r="AK536" i="2"/>
  <c r="AK168" i="2"/>
  <c r="AK1156" i="2"/>
  <c r="AK739" i="2"/>
  <c r="AK1272" i="2"/>
  <c r="AK426" i="2"/>
  <c r="AK1164" i="2"/>
  <c r="AK832" i="2"/>
  <c r="AK336" i="2"/>
  <c r="AK369" i="2"/>
  <c r="AK1157" i="2"/>
  <c r="AK109" i="2"/>
  <c r="AK259" i="2"/>
  <c r="AK402" i="2"/>
  <c r="AK63" i="2"/>
  <c r="AK110" i="2"/>
  <c r="AK47" i="2"/>
  <c r="AK10" i="2"/>
  <c r="AK72" i="2"/>
  <c r="AK15" i="2"/>
  <c r="AK44" i="2"/>
  <c r="AK842" i="2"/>
  <c r="AK1050" i="2"/>
  <c r="AK29" i="2"/>
  <c r="AK102" i="2"/>
  <c r="AK143" i="2"/>
  <c r="AK772" i="2"/>
  <c r="AK183" i="2"/>
  <c r="AK1059" i="2"/>
  <c r="AK214" i="2"/>
  <c r="AK218" i="2"/>
  <c r="AK573" i="2"/>
  <c r="AK1008" i="2"/>
  <c r="AK401" i="2"/>
  <c r="AK797" i="2"/>
  <c r="AK954" i="2"/>
  <c r="AK648" i="2"/>
  <c r="AK946" i="2"/>
  <c r="AK1165" i="2"/>
  <c r="AK278" i="2"/>
  <c r="AK1018" i="2"/>
  <c r="AK430" i="2"/>
  <c r="AK1216" i="2"/>
  <c r="AK941" i="2"/>
  <c r="AK487" i="2"/>
  <c r="AK902" i="2"/>
  <c r="AK209" i="2"/>
  <c r="AK849" i="2"/>
  <c r="AK955" i="2"/>
  <c r="AK1231" i="2"/>
  <c r="AK782" i="2"/>
  <c r="AK636" i="2"/>
  <c r="AK838" i="2"/>
  <c r="AK1188" i="2"/>
  <c r="AK574" i="2"/>
  <c r="AK763" i="2"/>
  <c r="AK938" i="2"/>
  <c r="AK182" i="2"/>
  <c r="AK353" i="2"/>
  <c r="AK457" i="2"/>
  <c r="AK1088" i="2"/>
  <c r="AK1247" i="2"/>
  <c r="AK181" i="2"/>
  <c r="AK1118" i="2"/>
  <c r="AK340" i="2"/>
  <c r="AK510" i="2"/>
  <c r="AK474" i="2"/>
  <c r="AK1033" i="2"/>
  <c r="AK770" i="2"/>
  <c r="AK1263" i="2"/>
  <c r="AK977" i="2"/>
  <c r="AK227" i="2"/>
  <c r="AK1072" i="2"/>
  <c r="AK587" i="2"/>
  <c r="AK936" i="2"/>
  <c r="AK999" i="2"/>
  <c r="AK727" i="2"/>
  <c r="AK983" i="2"/>
  <c r="AK911" i="2"/>
  <c r="AK409" i="2"/>
  <c r="AK1183" i="2"/>
  <c r="AK339" i="2"/>
  <c r="AK1251" i="2"/>
  <c r="AK985" i="2"/>
  <c r="AK570" i="2"/>
  <c r="AK1168" i="2"/>
  <c r="AK665" i="2"/>
  <c r="AK1015" i="2"/>
  <c r="AK1029" i="2"/>
  <c r="AK931" i="2"/>
  <c r="AK883" i="2"/>
  <c r="AK184" i="2"/>
  <c r="AK73" i="2"/>
  <c r="AK267" i="2"/>
  <c r="AK270" i="2"/>
  <c r="AK771" i="2"/>
  <c r="AK1038" i="2"/>
  <c r="AK964" i="2"/>
  <c r="AK282" i="2"/>
  <c r="AK1017" i="2"/>
  <c r="AK516" i="2"/>
  <c r="AK827" i="2"/>
  <c r="AK1267" i="2"/>
  <c r="AK332" i="2"/>
  <c r="AK828" i="2"/>
  <c r="AK419" i="2"/>
  <c r="AK1108" i="2"/>
  <c r="AK154" i="2"/>
  <c r="AK821" i="2"/>
  <c r="AK1004" i="2"/>
  <c r="AK1195" i="2"/>
  <c r="AK1058" i="2"/>
  <c r="AK582" i="2"/>
  <c r="AK1179" i="2"/>
  <c r="AK554" i="2"/>
  <c r="AK399" i="2"/>
  <c r="AK594" i="2"/>
  <c r="AK1177" i="2"/>
  <c r="AK1044" i="2"/>
  <c r="AK232" i="2"/>
  <c r="AK126" i="2"/>
  <c r="AK705" i="2"/>
  <c r="AK365" i="2"/>
  <c r="AK996" i="2"/>
  <c r="AK442" i="2"/>
  <c r="AK314" i="2"/>
  <c r="AK305" i="2"/>
  <c r="AK69" i="2"/>
  <c r="AK701" i="2"/>
  <c r="AK26" i="2"/>
  <c r="AK43" i="2"/>
  <c r="AK371" i="2"/>
  <c r="AK20" i="2"/>
  <c r="AK257" i="2"/>
  <c r="AK975" i="2"/>
  <c r="AK968" i="2"/>
  <c r="AK85" i="2"/>
  <c r="AK722" i="2"/>
  <c r="AK496" i="2"/>
  <c r="AK384" i="2"/>
  <c r="AK74" i="2"/>
  <c r="AK312" i="2"/>
  <c r="AK253" i="2"/>
  <c r="AK38" i="2"/>
  <c r="AK260" i="2"/>
  <c r="AK138" i="2"/>
  <c r="AK289" i="2"/>
  <c r="AK520" i="2"/>
  <c r="AK170" i="2"/>
  <c r="AK57" i="2"/>
  <c r="AK480" i="2"/>
  <c r="AK660" i="2"/>
  <c r="AK310" i="2"/>
  <c r="AK28" i="2"/>
  <c r="AK236" i="2"/>
  <c r="AK190" i="2"/>
  <c r="AK59" i="2"/>
  <c r="AK581" i="2"/>
  <c r="AK178" i="2"/>
  <c r="AK506" i="2"/>
  <c r="AK35" i="2"/>
  <c r="AK492" i="2"/>
  <c r="AK61" i="2"/>
  <c r="AK12" i="2"/>
  <c r="AK272" i="2"/>
  <c r="AK653" i="2"/>
  <c r="AK1098" i="2"/>
  <c r="AK1220" i="2"/>
  <c r="AK634" i="2"/>
  <c r="AK1035" i="2"/>
  <c r="AK813" i="2"/>
  <c r="AK945" i="2"/>
  <c r="AK1204" i="2"/>
  <c r="AK815" i="2"/>
  <c r="AK1228" i="2"/>
  <c r="AK1265" i="2"/>
  <c r="AK239" i="2"/>
  <c r="AK428" i="2"/>
  <c r="AK632" i="2"/>
  <c r="AK128" i="2"/>
  <c r="AK1224" i="2"/>
  <c r="AK256" i="2"/>
  <c r="AK1240" i="2"/>
  <c r="AK297" i="2"/>
  <c r="AK94" i="2"/>
  <c r="AK844" i="2"/>
  <c r="AK298" i="2"/>
  <c r="AK541" i="2"/>
  <c r="AK284" i="2"/>
  <c r="AK1232" i="2"/>
  <c r="AK839" i="2"/>
  <c r="AK629" i="2"/>
  <c r="AK822" i="2"/>
  <c r="AK503" i="2"/>
  <c r="AK630" i="2"/>
  <c r="AK757" i="2"/>
  <c r="AK1005" i="2"/>
  <c r="AK694" i="2"/>
  <c r="AK604" i="2"/>
  <c r="AK1031" i="2"/>
  <c r="AK321" i="2"/>
  <c r="AK1079" i="2"/>
  <c r="AK359" i="2"/>
  <c r="AK223" i="2"/>
  <c r="AK948" i="2"/>
  <c r="AK187" i="2"/>
  <c r="AK1174" i="2"/>
  <c r="AK1130" i="2"/>
  <c r="AK200" i="2"/>
  <c r="AK986" i="2"/>
  <c r="AK252" i="2"/>
  <c r="AK262" i="2"/>
  <c r="AK1076" i="2"/>
  <c r="AK602" i="2"/>
  <c r="AK79" i="2"/>
  <c r="AK266" i="2"/>
  <c r="AK71" i="2"/>
  <c r="AK240" i="2"/>
  <c r="AK588" i="2"/>
  <c r="AK120" i="2"/>
  <c r="AK537" i="2"/>
  <c r="AK351" i="2"/>
  <c r="AK598" i="2"/>
  <c r="AK140" i="2"/>
  <c r="AK548" i="2"/>
  <c r="AK681" i="2"/>
  <c r="AK40" i="2"/>
  <c r="AK346" i="2"/>
  <c r="AK313" i="2"/>
  <c r="AK702" i="2"/>
  <c r="AK1091" i="2"/>
  <c r="AK742" i="2"/>
  <c r="AK527" i="2"/>
  <c r="AK1150" i="2"/>
  <c r="AK1127" i="2"/>
  <c r="AK805" i="2"/>
  <c r="AK1040" i="2"/>
  <c r="AK571" i="2"/>
  <c r="AK211" i="2"/>
  <c r="AK98" i="2"/>
  <c r="AK1110" i="2"/>
  <c r="AK870" i="2"/>
  <c r="AK433" i="2"/>
  <c r="AK792" i="2"/>
  <c r="AK486" i="2"/>
  <c r="AK1128" i="2"/>
  <c r="AK595" i="2"/>
  <c r="AK558" i="2"/>
  <c r="AK1104" i="2"/>
  <c r="AK729" i="2"/>
  <c r="AK789" i="2"/>
  <c r="AK93" i="2"/>
  <c r="AK800" i="2"/>
  <c r="AK265" i="2"/>
  <c r="AK556" i="2"/>
  <c r="AK1047" i="2"/>
  <c r="AK1003" i="2"/>
  <c r="AK449" i="2"/>
  <c r="AK773" i="2"/>
  <c r="AK1011" i="2"/>
  <c r="AK723" i="2"/>
  <c r="AK1160" i="2"/>
  <c r="AK787" i="2"/>
  <c r="AK615" i="2"/>
  <c r="AK1078" i="2"/>
  <c r="AK443" i="2"/>
  <c r="AK358" i="2"/>
  <c r="AK897" i="2"/>
  <c r="AK65" i="2"/>
  <c r="AK292" i="2"/>
  <c r="AK83" i="2"/>
  <c r="AK290" i="2"/>
  <c r="AK613" i="2"/>
  <c r="AK500" i="2"/>
  <c r="AK165" i="2"/>
  <c r="AK132" i="2"/>
  <c r="AK68" i="2"/>
  <c r="AK748" i="2"/>
  <c r="AK611" i="2"/>
  <c r="AK142" i="2"/>
  <c r="AK851" i="2"/>
  <c r="AK249" i="2"/>
  <c r="AK1213" i="2"/>
  <c r="AK1109" i="2"/>
  <c r="AK403" i="2"/>
  <c r="AK835" i="2"/>
  <c r="AK898" i="2"/>
  <c r="AK895" i="2"/>
  <c r="AK589" i="2"/>
  <c r="AK1199" i="2"/>
  <c r="AK542" i="2"/>
  <c r="AK669" i="2"/>
  <c r="AS41" i="2"/>
  <c r="AS26" i="2"/>
  <c r="AS299" i="2"/>
  <c r="AS680" i="2"/>
  <c r="AS729" i="2"/>
  <c r="AS582" i="2"/>
  <c r="AS696" i="2"/>
  <c r="AS664" i="2"/>
  <c r="AS602" i="2"/>
  <c r="AS322" i="2"/>
  <c r="AS1158" i="2"/>
  <c r="AS1254" i="2"/>
  <c r="AS854" i="2"/>
  <c r="AG854" i="2" s="1"/>
  <c r="U854" i="2" s="1"/>
  <c r="AS64" i="2"/>
  <c r="AS86" i="2"/>
  <c r="AS744" i="2"/>
  <c r="AS543" i="2"/>
  <c r="AS303" i="2"/>
  <c r="AS221" i="2"/>
  <c r="AS826" i="2"/>
  <c r="AS795" i="2"/>
  <c r="AS791" i="2"/>
  <c r="AS583" i="2"/>
  <c r="AS489" i="2"/>
  <c r="AS594" i="2"/>
  <c r="AS1129" i="2"/>
  <c r="AS164" i="2"/>
  <c r="AS1171" i="2"/>
  <c r="AS497" i="2"/>
  <c r="AS1123" i="2"/>
  <c r="AS211" i="2"/>
  <c r="AS874" i="2"/>
  <c r="AS11" i="2"/>
  <c r="AS923" i="2"/>
  <c r="AS245" i="2"/>
  <c r="AS504" i="2"/>
  <c r="AS526" i="2"/>
  <c r="AS247" i="2"/>
  <c r="AS464" i="2"/>
  <c r="AS614" i="2"/>
  <c r="AS115" i="2"/>
  <c r="AS1053" i="2"/>
  <c r="AS800" i="2"/>
  <c r="AS48" i="2"/>
  <c r="AS835" i="2"/>
  <c r="AG835" i="2" s="1"/>
  <c r="U835" i="2" s="1"/>
  <c r="AS914" i="2"/>
  <c r="AS1045" i="2"/>
  <c r="AS468" i="2"/>
  <c r="AS532" i="2"/>
  <c r="AS1148" i="2"/>
  <c r="AS538" i="2"/>
  <c r="AS839" i="2"/>
  <c r="AS597" i="2"/>
  <c r="AS288" i="2"/>
  <c r="AS901" i="2"/>
  <c r="AS1136" i="2"/>
  <c r="AS742" i="2"/>
  <c r="AS1205" i="2"/>
  <c r="AS975" i="2"/>
  <c r="AS921" i="2"/>
  <c r="AS599" i="2"/>
  <c r="AG599" i="2" s="1"/>
  <c r="U599" i="2" s="1"/>
  <c r="AS1026" i="2"/>
  <c r="AS1160" i="2"/>
  <c r="AS394" i="2"/>
  <c r="AS1025" i="2"/>
  <c r="AS1194" i="2"/>
  <c r="AS859" i="2"/>
  <c r="AS697" i="2"/>
  <c r="AS296" i="2"/>
  <c r="AS895" i="2"/>
  <c r="AS775" i="2"/>
  <c r="AS819" i="2"/>
  <c r="AS995" i="2"/>
  <c r="AS682" i="2"/>
  <c r="AS915" i="2"/>
  <c r="AS981" i="2"/>
  <c r="AS1138" i="2"/>
  <c r="AG1138" i="2" s="1"/>
  <c r="U1138" i="2" s="1"/>
  <c r="AS510" i="2"/>
  <c r="AS452" i="2"/>
  <c r="AS840" i="2"/>
  <c r="AS864" i="2"/>
  <c r="AS978" i="2"/>
  <c r="AS997" i="2"/>
  <c r="AS1173" i="2"/>
  <c r="AS1252" i="2"/>
  <c r="AS861" i="2"/>
  <c r="AS917" i="2"/>
  <c r="AS1063" i="2"/>
  <c r="AS490" i="2"/>
  <c r="AS790" i="2"/>
  <c r="AS193" i="2"/>
  <c r="AS498" i="2"/>
  <c r="AS37" i="2"/>
  <c r="AG37" i="2" s="1"/>
  <c r="U37" i="2" s="1"/>
  <c r="AS366" i="2"/>
  <c r="AS574" i="2"/>
  <c r="AS765" i="2"/>
  <c r="AS357" i="2"/>
  <c r="AS570" i="2"/>
  <c r="AS638" i="2"/>
  <c r="AS762" i="2"/>
  <c r="AS368" i="2"/>
  <c r="AS280" i="2"/>
  <c r="AS509" i="2"/>
  <c r="AS845" i="2"/>
  <c r="AS403" i="2"/>
  <c r="AS675" i="2"/>
  <c r="AS737" i="2"/>
  <c r="AS291" i="2"/>
  <c r="AS129" i="2"/>
  <c r="AG129" i="2" s="1"/>
  <c r="U129" i="2" s="1"/>
  <c r="AS35" i="2"/>
  <c r="AS181" i="2"/>
  <c r="AS101" i="2"/>
  <c r="AS105" i="2"/>
  <c r="AS126" i="2"/>
  <c r="AS606" i="2"/>
  <c r="AS813" i="2"/>
  <c r="AS965" i="2"/>
  <c r="AR330" i="2"/>
  <c r="AF330" i="2" s="1"/>
  <c r="T330" i="2" s="1"/>
  <c r="AR491" i="2"/>
  <c r="AF491" i="2" s="1"/>
  <c r="T491" i="2" s="1"/>
  <c r="AR317" i="2"/>
  <c r="AF317" i="2" s="1"/>
  <c r="T317" i="2" s="1"/>
  <c r="AR606" i="2"/>
  <c r="AF606" i="2" s="1"/>
  <c r="T606" i="2" s="1"/>
  <c r="AR183" i="2"/>
  <c r="AR296" i="2"/>
  <c r="AF296" i="2" s="1"/>
  <c r="T296" i="2" s="1"/>
  <c r="AR452" i="2"/>
  <c r="AF452" i="2" s="1"/>
  <c r="T452" i="2" s="1"/>
  <c r="AR251" i="2"/>
  <c r="AF251" i="2" s="1"/>
  <c r="T251" i="2" s="1"/>
  <c r="AR336" i="2"/>
  <c r="AF336" i="2" s="1"/>
  <c r="T336" i="2" s="1"/>
  <c r="AR63" i="2"/>
  <c r="AF63" i="2" s="1"/>
  <c r="T63" i="2" s="1"/>
  <c r="AR12" i="2"/>
  <c r="AF12" i="2" s="1"/>
  <c r="T12" i="2" s="1"/>
  <c r="AR268" i="2"/>
  <c r="AR542" i="2"/>
  <c r="AF542" i="2" s="1"/>
  <c r="T542" i="2" s="1"/>
  <c r="AR168" i="2"/>
  <c r="AF168" i="2" s="1"/>
  <c r="T168" i="2" s="1"/>
  <c r="AR148" i="2"/>
  <c r="AF148" i="2" s="1"/>
  <c r="T148" i="2" s="1"/>
  <c r="AR874" i="2"/>
  <c r="AF874" i="2" s="1"/>
  <c r="T874" i="2" s="1"/>
  <c r="AR1054" i="2"/>
  <c r="AR680" i="2"/>
  <c r="AF680" i="2" s="1"/>
  <c r="T680" i="2" s="1"/>
  <c r="AR1183" i="2"/>
  <c r="AF1183" i="2" s="1"/>
  <c r="T1183" i="2" s="1"/>
  <c r="AR1010" i="2"/>
  <c r="AF1010" i="2" s="1"/>
  <c r="T1010" i="2" s="1"/>
  <c r="AR257" i="2"/>
  <c r="AF257" i="2" s="1"/>
  <c r="T257" i="2" s="1"/>
  <c r="AR260" i="2"/>
  <c r="AF260" i="2" s="1"/>
  <c r="T260" i="2" s="1"/>
  <c r="AR738" i="2"/>
  <c r="AF738" i="2" s="1"/>
  <c r="T738" i="2" s="1"/>
  <c r="AR358" i="2"/>
  <c r="AF358" i="2" s="1"/>
  <c r="T358" i="2" s="1"/>
  <c r="AR533" i="2"/>
  <c r="AF533" i="2" s="1"/>
  <c r="T533" i="2" s="1"/>
  <c r="AR507" i="2"/>
  <c r="AF507" i="2" s="1"/>
  <c r="T507" i="2" s="1"/>
  <c r="AR353" i="2"/>
  <c r="AR1214" i="2"/>
  <c r="AF1214" i="2" s="1"/>
  <c r="T1214" i="2" s="1"/>
  <c r="AR324" i="2"/>
  <c r="AF324" i="2" s="1"/>
  <c r="T324" i="2" s="1"/>
  <c r="AR952" i="2"/>
  <c r="AF952" i="2" s="1"/>
  <c r="T952" i="2" s="1"/>
  <c r="AR1026" i="2"/>
  <c r="AF1026" i="2" s="1"/>
  <c r="T1026" i="2" s="1"/>
  <c r="AR652" i="2"/>
  <c r="AF652" i="2" s="1"/>
  <c r="T652" i="2" s="1"/>
  <c r="AR720" i="2"/>
  <c r="AF720" i="2" s="1"/>
  <c r="T720" i="2" s="1"/>
  <c r="AR1006" i="2"/>
  <c r="AF1006" i="2" s="1"/>
  <c r="T1006" i="2" s="1"/>
  <c r="AR1233" i="2"/>
  <c r="AF1233" i="2" s="1"/>
  <c r="T1233" i="2" s="1"/>
  <c r="AR717" i="2"/>
  <c r="AR1040" i="2"/>
  <c r="AF1040" i="2" s="1"/>
  <c r="T1040" i="2" s="1"/>
  <c r="AR416" i="2"/>
  <c r="AF416" i="2" s="1"/>
  <c r="T416" i="2" s="1"/>
  <c r="AR1085" i="2"/>
  <c r="AF1085" i="2" s="1"/>
  <c r="T1085" i="2" s="1"/>
  <c r="AR323" i="2"/>
  <c r="AF323" i="2" s="1"/>
  <c r="T323" i="2" s="1"/>
  <c r="AR644" i="2"/>
  <c r="AF644" i="2" s="1"/>
  <c r="T644" i="2" s="1"/>
  <c r="AR1171" i="2"/>
  <c r="AF1171" i="2" s="1"/>
  <c r="T1171" i="2" s="1"/>
  <c r="AR553" i="2"/>
  <c r="AR1188" i="2"/>
  <c r="AF1188" i="2" s="1"/>
  <c r="T1188" i="2" s="1"/>
  <c r="AR820" i="2"/>
  <c r="AF820" i="2" s="1"/>
  <c r="T820" i="2" s="1"/>
  <c r="AR1044" i="2"/>
  <c r="AF1044" i="2" s="1"/>
  <c r="T1044" i="2" s="1"/>
  <c r="AR14" i="2"/>
  <c r="AR956" i="2"/>
  <c r="AF956" i="2" s="1"/>
  <c r="T956" i="2" s="1"/>
  <c r="AR896" i="2"/>
  <c r="AF896" i="2" s="1"/>
  <c r="T896" i="2" s="1"/>
  <c r="AR1143" i="2"/>
  <c r="AF1143" i="2" s="1"/>
  <c r="T1143" i="2" s="1"/>
  <c r="AR819" i="2"/>
  <c r="AF819" i="2" s="1"/>
  <c r="T819" i="2" s="1"/>
  <c r="AR677" i="2"/>
  <c r="AF677" i="2" s="1"/>
  <c r="T677" i="2" s="1"/>
  <c r="AR885" i="2"/>
  <c r="AF885" i="2" s="1"/>
  <c r="T885" i="2" s="1"/>
  <c r="AR326" i="2"/>
  <c r="AF326" i="2" s="1"/>
  <c r="T326" i="2" s="1"/>
  <c r="AR126" i="2"/>
  <c r="AF126" i="2" s="1"/>
  <c r="T126" i="2" s="1"/>
  <c r="AR155" i="2"/>
  <c r="AF155" i="2" s="1"/>
  <c r="T155" i="2" s="1"/>
  <c r="AR878" i="2"/>
  <c r="AF878" i="2" s="1"/>
  <c r="T878" i="2" s="1"/>
  <c r="AR832" i="2"/>
  <c r="AF832" i="2" s="1"/>
  <c r="T832" i="2" s="1"/>
  <c r="AR1175" i="2"/>
  <c r="AF1175" i="2" s="1"/>
  <c r="T1175" i="2" s="1"/>
  <c r="AR648" i="2"/>
  <c r="AF648" i="2" s="1"/>
  <c r="T648" i="2" s="1"/>
  <c r="AR703" i="2"/>
  <c r="AF703" i="2" s="1"/>
  <c r="T703" i="2" s="1"/>
  <c r="AR613" i="2"/>
  <c r="AF613" i="2" s="1"/>
  <c r="T613" i="2" s="1"/>
  <c r="AR568" i="2"/>
  <c r="AF568" i="2" s="1"/>
  <c r="T568" i="2" s="1"/>
  <c r="AR757" i="2"/>
  <c r="AF757" i="2" s="1"/>
  <c r="T757" i="2" s="1"/>
  <c r="AR733" i="2"/>
  <c r="AF733" i="2" s="1"/>
  <c r="T733" i="2" s="1"/>
  <c r="AR780" i="2"/>
  <c r="AF780" i="2" s="1"/>
  <c r="T780" i="2" s="1"/>
  <c r="AR206" i="2"/>
  <c r="AF206" i="2" s="1"/>
  <c r="T206" i="2" s="1"/>
  <c r="AR777" i="2"/>
  <c r="AF777" i="2" s="1"/>
  <c r="T777" i="2" s="1"/>
  <c r="AR250" i="2"/>
  <c r="AF250" i="2" s="1"/>
  <c r="T250" i="2" s="1"/>
  <c r="AR552" i="2"/>
  <c r="AF552" i="2" s="1"/>
  <c r="T552" i="2" s="1"/>
  <c r="AR306" i="2"/>
  <c r="AF306" i="2" s="1"/>
  <c r="T306" i="2" s="1"/>
  <c r="AR290" i="2"/>
  <c r="AF290" i="2" s="1"/>
  <c r="T290" i="2" s="1"/>
  <c r="AR229" i="2"/>
  <c r="AF229" i="2" s="1"/>
  <c r="T229" i="2" s="1"/>
  <c r="AR451" i="2"/>
  <c r="AF451" i="2" s="1"/>
  <c r="T451" i="2" s="1"/>
  <c r="AR171" i="2"/>
  <c r="AF171" i="2" s="1"/>
  <c r="T171" i="2" s="1"/>
  <c r="AR45" i="2"/>
  <c r="AF45" i="2" s="1"/>
  <c r="T45" i="2" s="1"/>
  <c r="AR36" i="2"/>
  <c r="AF36" i="2" s="1"/>
  <c r="T36" i="2" s="1"/>
  <c r="AR68" i="2"/>
  <c r="AF68" i="2" s="1"/>
  <c r="T68" i="2" s="1"/>
  <c r="AR265" i="2"/>
  <c r="AF265" i="2" s="1"/>
  <c r="T265" i="2" s="1"/>
  <c r="AI1264" i="2"/>
  <c r="W1264" i="2" s="1"/>
  <c r="AI1272" i="2"/>
  <c r="W1272" i="2" s="1"/>
  <c r="AI1270" i="2"/>
  <c r="W1270" i="2" s="1"/>
  <c r="AI1269" i="2"/>
  <c r="W1269" i="2" s="1"/>
  <c r="AI1273" i="2"/>
  <c r="W1273" i="2" s="1"/>
  <c r="AI1255" i="2"/>
  <c r="W1255" i="2" s="1"/>
  <c r="AI1259" i="2"/>
  <c r="W1259" i="2" s="1"/>
  <c r="AI1251" i="2"/>
  <c r="W1251" i="2" s="1"/>
  <c r="AI1263" i="2"/>
  <c r="W1263" i="2" s="1"/>
  <c r="AI1268" i="2"/>
  <c r="W1268" i="2" s="1"/>
  <c r="AI1267" i="2"/>
  <c r="W1267" i="2" s="1"/>
  <c r="AI1271" i="2"/>
  <c r="W1271" i="2" s="1"/>
  <c r="AI1260" i="2"/>
  <c r="W1260" i="2" s="1"/>
  <c r="AI1266" i="2"/>
  <c r="W1266" i="2" s="1"/>
  <c r="AI1261" i="2"/>
  <c r="W1261" i="2" s="1"/>
  <c r="AI1257" i="2"/>
  <c r="W1257" i="2" s="1"/>
  <c r="AI1256" i="2"/>
  <c r="W1256" i="2" s="1"/>
  <c r="AI1248" i="2"/>
  <c r="W1248" i="2" s="1"/>
  <c r="AI1245" i="2"/>
  <c r="W1245" i="2" s="1"/>
  <c r="AI1258" i="2"/>
  <c r="W1258" i="2" s="1"/>
  <c r="AI1253" i="2"/>
  <c r="W1253" i="2" s="1"/>
  <c r="AI1242" i="2"/>
  <c r="W1242" i="2" s="1"/>
  <c r="AI1237" i="2"/>
  <c r="W1237" i="2" s="1"/>
  <c r="AI1254" i="2"/>
  <c r="W1254" i="2" s="1"/>
  <c r="AI1249" i="2"/>
  <c r="W1249" i="2" s="1"/>
  <c r="AI1252" i="2"/>
  <c r="W1252" i="2" s="1"/>
  <c r="AI1240" i="2"/>
  <c r="W1240" i="2" s="1"/>
  <c r="AI1233" i="2"/>
  <c r="W1233" i="2" s="1"/>
  <c r="AI1250" i="2"/>
  <c r="W1250" i="2" s="1"/>
  <c r="AI1247" i="2"/>
  <c r="W1247" i="2" s="1"/>
  <c r="AI1243" i="2"/>
  <c r="W1243" i="2" s="1"/>
  <c r="AI1227" i="2"/>
  <c r="W1227" i="2" s="1"/>
  <c r="AI1220" i="2"/>
  <c r="W1220" i="2" s="1"/>
  <c r="AI1204" i="2"/>
  <c r="W1204" i="2" s="1"/>
  <c r="AI1234" i="2"/>
  <c r="W1234" i="2" s="1"/>
  <c r="AI1221" i="2"/>
  <c r="W1221" i="2" s="1"/>
  <c r="AI1230" i="2"/>
  <c r="W1230" i="2" s="1"/>
  <c r="AI1238" i="2"/>
  <c r="W1238" i="2" s="1"/>
  <c r="AI1235" i="2"/>
  <c r="W1235" i="2" s="1"/>
  <c r="AI1246" i="2"/>
  <c r="W1246" i="2" s="1"/>
  <c r="AI1211" i="2"/>
  <c r="W1211" i="2" s="1"/>
  <c r="AI1229" i="2"/>
  <c r="W1229" i="2" s="1"/>
  <c r="AI1213" i="2"/>
  <c r="W1213" i="2" s="1"/>
  <c r="AI1206" i="2"/>
  <c r="W1206" i="2" s="1"/>
  <c r="AI1236" i="2"/>
  <c r="W1236" i="2" s="1"/>
  <c r="AI1239" i="2"/>
  <c r="W1239" i="2" s="1"/>
  <c r="AI1225" i="2"/>
  <c r="W1225" i="2" s="1"/>
  <c r="AI1216" i="2"/>
  <c r="W1216" i="2" s="1"/>
  <c r="AI1218" i="2"/>
  <c r="W1218" i="2" s="1"/>
  <c r="AI1215" i="2"/>
  <c r="W1215" i="2" s="1"/>
  <c r="AI1202" i="2"/>
  <c r="W1202" i="2" s="1"/>
  <c r="AI1232" i="2"/>
  <c r="W1232" i="2" s="1"/>
  <c r="AI1222" i="2"/>
  <c r="W1222" i="2" s="1"/>
  <c r="AI1223" i="2"/>
  <c r="W1223" i="2" s="1"/>
  <c r="AI1210" i="2"/>
  <c r="W1210" i="2" s="1"/>
  <c r="AI1212" i="2"/>
  <c r="W1212" i="2" s="1"/>
  <c r="AI1209" i="2"/>
  <c r="W1209" i="2" s="1"/>
  <c r="AI1190" i="2"/>
  <c r="W1190" i="2" s="1"/>
  <c r="AI1195" i="2"/>
  <c r="W1195" i="2" s="1"/>
  <c r="AI1182" i="2"/>
  <c r="W1182" i="2" s="1"/>
  <c r="AI1214" i="2"/>
  <c r="W1214" i="2" s="1"/>
  <c r="AI1200" i="2"/>
  <c r="W1200" i="2" s="1"/>
  <c r="AI1188" i="2"/>
  <c r="W1188" i="2" s="1"/>
  <c r="AI1217" i="2"/>
  <c r="W1217" i="2" s="1"/>
  <c r="AI1199" i="2"/>
  <c r="W1199" i="2" s="1"/>
  <c r="AI1194" i="2"/>
  <c r="W1194" i="2" s="1"/>
  <c r="AI1196" i="2"/>
  <c r="W1196" i="2" s="1"/>
  <c r="AI1174" i="2"/>
  <c r="W1174" i="2" s="1"/>
  <c r="AI1208" i="2"/>
  <c r="W1208" i="2" s="1"/>
  <c r="AI1203" i="2"/>
  <c r="W1203" i="2" s="1"/>
  <c r="AI1198" i="2"/>
  <c r="W1198" i="2" s="1"/>
  <c r="AI1186" i="2"/>
  <c r="W1186" i="2" s="1"/>
  <c r="AI1176" i="2"/>
  <c r="W1176" i="2" s="1"/>
  <c r="AI1226" i="2"/>
  <c r="W1226" i="2" s="1"/>
  <c r="AI1201" i="2"/>
  <c r="W1201" i="2" s="1"/>
  <c r="AI1219" i="2"/>
  <c r="W1219" i="2" s="1"/>
  <c r="AI1183" i="2"/>
  <c r="W1183" i="2" s="1"/>
  <c r="AI1192" i="2"/>
  <c r="W1192" i="2" s="1"/>
  <c r="AI1187" i="2"/>
  <c r="W1187" i="2" s="1"/>
  <c r="AI1179" i="2"/>
  <c r="W1179" i="2" s="1"/>
  <c r="AI1167" i="2"/>
  <c r="W1167" i="2" s="1"/>
  <c r="AI1178" i="2"/>
  <c r="W1178" i="2" s="1"/>
  <c r="AI1172" i="2"/>
  <c r="W1172" i="2" s="1"/>
  <c r="AI1177" i="2"/>
  <c r="W1177" i="2" s="1"/>
  <c r="AI1155" i="2"/>
  <c r="W1155" i="2" s="1"/>
  <c r="AI1184" i="2"/>
  <c r="W1184" i="2" s="1"/>
  <c r="AI1169" i="2"/>
  <c r="W1169" i="2" s="1"/>
  <c r="AI1156" i="2"/>
  <c r="W1156" i="2" s="1"/>
  <c r="AI1171" i="2"/>
  <c r="W1171" i="2" s="1"/>
  <c r="AI1157" i="2"/>
  <c r="W1157" i="2" s="1"/>
  <c r="AI1158" i="2"/>
  <c r="W1158" i="2" s="1"/>
  <c r="AI1191" i="2"/>
  <c r="W1191" i="2" s="1"/>
  <c r="AI1185" i="2"/>
  <c r="W1185" i="2" s="1"/>
  <c r="AI1170" i="2"/>
  <c r="W1170" i="2" s="1"/>
  <c r="AI1161" i="2"/>
  <c r="W1161" i="2" s="1"/>
  <c r="AI1180" i="2"/>
  <c r="W1180" i="2" s="1"/>
  <c r="AI1173" i="2"/>
  <c r="W1173" i="2" s="1"/>
  <c r="AI1154" i="2"/>
  <c r="W1154" i="2" s="1"/>
  <c r="AI1159" i="2"/>
  <c r="W1159" i="2" s="1"/>
  <c r="AI1166" i="2"/>
  <c r="W1166" i="2" s="1"/>
  <c r="AI1181" i="2"/>
  <c r="W1181" i="2" s="1"/>
  <c r="AI1168" i="2"/>
  <c r="W1168" i="2" s="1"/>
  <c r="AI1207" i="2"/>
  <c r="W1207" i="2" s="1"/>
  <c r="AI1175" i="2"/>
  <c r="W1175" i="2" s="1"/>
  <c r="AI1163" i="2"/>
  <c r="W1163" i="2" s="1"/>
  <c r="AI1165" i="2"/>
  <c r="W1165" i="2" s="1"/>
  <c r="AI1205" i="2"/>
  <c r="W1205" i="2" s="1"/>
  <c r="AI1160" i="2"/>
  <c r="W1160" i="2" s="1"/>
  <c r="AI1151" i="2"/>
  <c r="W1151" i="2" s="1"/>
  <c r="AI1150" i="2"/>
  <c r="W1150" i="2" s="1"/>
  <c r="AI1125" i="2"/>
  <c r="W1125" i="2" s="1"/>
  <c r="AI1127" i="2"/>
  <c r="W1127" i="2" s="1"/>
  <c r="AI1149" i="2"/>
  <c r="W1149" i="2" s="1"/>
  <c r="AI1128" i="2"/>
  <c r="W1128" i="2" s="1"/>
  <c r="AI1145" i="2"/>
  <c r="W1145" i="2" s="1"/>
  <c r="AI1146" i="2"/>
  <c r="W1146" i="2" s="1"/>
  <c r="AI1132" i="2"/>
  <c r="W1132" i="2" s="1"/>
  <c r="AI1152" i="2"/>
  <c r="W1152" i="2" s="1"/>
  <c r="AI1147" i="2"/>
  <c r="W1147" i="2" s="1"/>
  <c r="AI1133" i="2"/>
  <c r="W1133" i="2" s="1"/>
  <c r="AI1134" i="2"/>
  <c r="W1134" i="2" s="1"/>
  <c r="AI1118" i="2"/>
  <c r="W1118" i="2" s="1"/>
  <c r="AI1162" i="2"/>
  <c r="W1162" i="2" s="1"/>
  <c r="AI1135" i="2"/>
  <c r="W1135" i="2" s="1"/>
  <c r="AI1136" i="2"/>
  <c r="W1136" i="2" s="1"/>
  <c r="AI1120" i="2"/>
  <c r="W1120" i="2" s="1"/>
  <c r="AI1137" i="2"/>
  <c r="W1137" i="2" s="1"/>
  <c r="AI1121" i="2"/>
  <c r="W1121" i="2" s="1"/>
  <c r="AI1148" i="2"/>
  <c r="W1148" i="2" s="1"/>
  <c r="AI1138" i="2"/>
  <c r="W1138" i="2" s="1"/>
  <c r="AI1122" i="2"/>
  <c r="W1122" i="2" s="1"/>
  <c r="AI1105" i="2"/>
  <c r="W1105" i="2" s="1"/>
  <c r="AI1115" i="2"/>
  <c r="W1115" i="2" s="1"/>
  <c r="AI1106" i="2"/>
  <c r="W1106" i="2" s="1"/>
  <c r="AI1090" i="2"/>
  <c r="W1090" i="2" s="1"/>
  <c r="AI1107" i="2"/>
  <c r="W1107" i="2" s="1"/>
  <c r="AI1091" i="2"/>
  <c r="W1091" i="2" s="1"/>
  <c r="AI1109" i="2"/>
  <c r="W1109" i="2" s="1"/>
  <c r="AI1139" i="2"/>
  <c r="W1139" i="2" s="1"/>
  <c r="AI1110" i="2"/>
  <c r="W1110" i="2" s="1"/>
  <c r="AI1094" i="2"/>
  <c r="W1094" i="2" s="1"/>
  <c r="AI1126" i="2"/>
  <c r="W1126" i="2" s="1"/>
  <c r="AI1111" i="2"/>
  <c r="W1111" i="2" s="1"/>
  <c r="AI1095" i="2"/>
  <c r="W1095" i="2" s="1"/>
  <c r="AI1112" i="2"/>
  <c r="W1112" i="2" s="1"/>
  <c r="AI1096" i="2"/>
  <c r="W1096" i="2" s="1"/>
  <c r="AI1113" i="2"/>
  <c r="W1113" i="2" s="1"/>
  <c r="AI1097" i="2"/>
  <c r="W1097" i="2" s="1"/>
  <c r="AI1140" i="2"/>
  <c r="W1140" i="2" s="1"/>
  <c r="AI1119" i="2"/>
  <c r="W1119" i="2" s="1"/>
  <c r="AI1116" i="2"/>
  <c r="W1116" i="2" s="1"/>
  <c r="AI1073" i="2"/>
  <c r="W1073" i="2" s="1"/>
  <c r="AI1092" i="2"/>
  <c r="W1092" i="2" s="1"/>
  <c r="AI1099" i="2"/>
  <c r="W1099" i="2" s="1"/>
  <c r="AI1075" i="2"/>
  <c r="W1075" i="2" s="1"/>
  <c r="AI1078" i="2"/>
  <c r="W1078" i="2" s="1"/>
  <c r="AI1114" i="2"/>
  <c r="W1114" i="2" s="1"/>
  <c r="AI1093" i="2"/>
  <c r="W1093" i="2" s="1"/>
  <c r="AI1079" i="2"/>
  <c r="W1079" i="2" s="1"/>
  <c r="AI1098" i="2"/>
  <c r="W1098" i="2" s="1"/>
  <c r="AI1080" i="2"/>
  <c r="W1080" i="2" s="1"/>
  <c r="AI1082" i="2"/>
  <c r="W1082" i="2" s="1"/>
  <c r="AI1100" i="2"/>
  <c r="W1100" i="2" s="1"/>
  <c r="AI1083" i="2"/>
  <c r="W1083" i="2" s="1"/>
  <c r="AI1072" i="2"/>
  <c r="W1072" i="2" s="1"/>
  <c r="AI1065" i="2"/>
  <c r="W1065" i="2" s="1"/>
  <c r="AI1085" i="2"/>
  <c r="W1085" i="2" s="1"/>
  <c r="AI1077" i="2"/>
  <c r="W1077" i="2" s="1"/>
  <c r="AI1062" i="2"/>
  <c r="W1062" i="2" s="1"/>
  <c r="AI1054" i="2"/>
  <c r="W1054" i="2" s="1"/>
  <c r="AI1074" i="2"/>
  <c r="W1074" i="2" s="1"/>
  <c r="AI1056" i="2"/>
  <c r="W1056" i="2" s="1"/>
  <c r="AI1040" i="2"/>
  <c r="W1040" i="2" s="1"/>
  <c r="AI1102" i="2"/>
  <c r="W1102" i="2" s="1"/>
  <c r="AI1081" i="2"/>
  <c r="W1081" i="2" s="1"/>
  <c r="AI1076" i="2"/>
  <c r="W1076" i="2" s="1"/>
  <c r="AI1071" i="2"/>
  <c r="W1071" i="2" s="1"/>
  <c r="AI1066" i="2"/>
  <c r="W1066" i="2" s="1"/>
  <c r="AI1058" i="2"/>
  <c r="W1058" i="2" s="1"/>
  <c r="AI1087" i="2"/>
  <c r="W1087" i="2" s="1"/>
  <c r="AI1063" i="2"/>
  <c r="W1063" i="2" s="1"/>
  <c r="AI1059" i="2"/>
  <c r="W1059" i="2" s="1"/>
  <c r="AI1084" i="2"/>
  <c r="W1084" i="2" s="1"/>
  <c r="AI1070" i="2"/>
  <c r="W1070" i="2" s="1"/>
  <c r="AI1060" i="2"/>
  <c r="W1060" i="2" s="1"/>
  <c r="AI1044" i="2"/>
  <c r="W1044" i="2" s="1"/>
  <c r="AI1086" i="2"/>
  <c r="W1086" i="2" s="1"/>
  <c r="AI1069" i="2"/>
  <c r="W1069" i="2" s="1"/>
  <c r="AI1067" i="2"/>
  <c r="W1067" i="2" s="1"/>
  <c r="AI1048" i="2"/>
  <c r="W1048" i="2" s="1"/>
  <c r="AI1064" i="2"/>
  <c r="W1064" i="2" s="1"/>
  <c r="AI1061" i="2"/>
  <c r="W1061" i="2" s="1"/>
  <c r="AI1050" i="2"/>
  <c r="W1050" i="2" s="1"/>
  <c r="AI1027" i="2"/>
  <c r="W1027" i="2" s="1"/>
  <c r="AI1028" i="2"/>
  <c r="W1028" i="2" s="1"/>
  <c r="AI1029" i="2"/>
  <c r="W1029" i="2" s="1"/>
  <c r="AI1032" i="2"/>
  <c r="W1032" i="2" s="1"/>
  <c r="AI1049" i="2"/>
  <c r="W1049" i="2" s="1"/>
  <c r="AI1033" i="2"/>
  <c r="W1033" i="2" s="1"/>
  <c r="AI1034" i="2"/>
  <c r="W1034" i="2" s="1"/>
  <c r="AI1035" i="2"/>
  <c r="W1035" i="2" s="1"/>
  <c r="AI1047" i="2"/>
  <c r="W1047" i="2" s="1"/>
  <c r="AI1036" i="2"/>
  <c r="W1036" i="2" s="1"/>
  <c r="AI1042" i="2"/>
  <c r="W1042" i="2" s="1"/>
  <c r="AI1037" i="2"/>
  <c r="W1037" i="2" s="1"/>
  <c r="AI1021" i="2"/>
  <c r="W1021" i="2" s="1"/>
  <c r="AI1038" i="2"/>
  <c r="W1038" i="2" s="1"/>
  <c r="AI1022" i="2"/>
  <c r="W1022" i="2" s="1"/>
  <c r="AI1053" i="2"/>
  <c r="W1053" i="2" s="1"/>
  <c r="AI1052" i="2"/>
  <c r="W1052" i="2" s="1"/>
  <c r="AI1055" i="2"/>
  <c r="W1055" i="2" s="1"/>
  <c r="AI1039" i="2"/>
  <c r="W1039" i="2" s="1"/>
  <c r="AI1017" i="2"/>
  <c r="W1017" i="2" s="1"/>
  <c r="AI1009" i="2"/>
  <c r="W1009" i="2" s="1"/>
  <c r="AI1010" i="2"/>
  <c r="W1010" i="2" s="1"/>
  <c r="AI1031" i="2"/>
  <c r="W1031" i="2" s="1"/>
  <c r="AI1051" i="2"/>
  <c r="W1051" i="2" s="1"/>
  <c r="AI1024" i="2"/>
  <c r="W1024" i="2" s="1"/>
  <c r="AI1016" i="2"/>
  <c r="W1016" i="2" s="1"/>
  <c r="AI1013" i="2"/>
  <c r="W1013" i="2" s="1"/>
  <c r="AI1014" i="2"/>
  <c r="W1014" i="2" s="1"/>
  <c r="AI1025" i="2"/>
  <c r="W1025" i="2" s="1"/>
  <c r="AI1019" i="2"/>
  <c r="W1019" i="2" s="1"/>
  <c r="AI1030" i="2"/>
  <c r="W1030" i="2" s="1"/>
  <c r="AI1018" i="2"/>
  <c r="W1018" i="2" s="1"/>
  <c r="AI1015" i="2"/>
  <c r="W1015" i="2" s="1"/>
  <c r="AI993" i="2"/>
  <c r="W993" i="2" s="1"/>
  <c r="AI977" i="2"/>
  <c r="W977" i="2" s="1"/>
  <c r="AI1012" i="2"/>
  <c r="W1012" i="2" s="1"/>
  <c r="AI998" i="2"/>
  <c r="W998" i="2" s="1"/>
  <c r="AI994" i="2"/>
  <c r="W994" i="2" s="1"/>
  <c r="AI1004" i="2"/>
  <c r="W1004" i="2" s="1"/>
  <c r="AI1003" i="2"/>
  <c r="W1003" i="2" s="1"/>
  <c r="AI1000" i="2"/>
  <c r="W1000" i="2" s="1"/>
  <c r="AI980" i="2"/>
  <c r="W980" i="2" s="1"/>
  <c r="AI996" i="2"/>
  <c r="W996" i="2" s="1"/>
  <c r="AI1026" i="2"/>
  <c r="W1026" i="2" s="1"/>
  <c r="AI982" i="2"/>
  <c r="W982" i="2" s="1"/>
  <c r="AI984" i="2"/>
  <c r="W984" i="2" s="1"/>
  <c r="AI985" i="2"/>
  <c r="W985" i="2" s="1"/>
  <c r="AI999" i="2"/>
  <c r="W999" i="2" s="1"/>
  <c r="AI997" i="2"/>
  <c r="W997" i="2" s="1"/>
  <c r="AI986" i="2"/>
  <c r="W986" i="2" s="1"/>
  <c r="AI987" i="2"/>
  <c r="W987" i="2" s="1"/>
  <c r="AI1001" i="2"/>
  <c r="W1001" i="2" s="1"/>
  <c r="AI988" i="2"/>
  <c r="W988" i="2" s="1"/>
  <c r="AI972" i="2"/>
  <c r="W972" i="2" s="1"/>
  <c r="AI989" i="2"/>
  <c r="W989" i="2" s="1"/>
  <c r="AI1006" i="2"/>
  <c r="W1006" i="2" s="1"/>
  <c r="AI991" i="2"/>
  <c r="W991" i="2" s="1"/>
  <c r="AI975" i="2"/>
  <c r="W975" i="2" s="1"/>
  <c r="AI968" i="2"/>
  <c r="W968" i="2" s="1"/>
  <c r="AI956" i="2"/>
  <c r="W956" i="2" s="1"/>
  <c r="AI940" i="2"/>
  <c r="W940" i="2" s="1"/>
  <c r="AI976" i="2"/>
  <c r="W976" i="2" s="1"/>
  <c r="AI957" i="2"/>
  <c r="W957" i="2" s="1"/>
  <c r="AI978" i="2"/>
  <c r="W978" i="2" s="1"/>
  <c r="AI958" i="2"/>
  <c r="W958" i="2" s="1"/>
  <c r="AI959" i="2"/>
  <c r="W959" i="2" s="1"/>
  <c r="AI992" i="2"/>
  <c r="W992" i="2" s="1"/>
  <c r="AI969" i="2"/>
  <c r="W969" i="2" s="1"/>
  <c r="AI960" i="2"/>
  <c r="W960" i="2" s="1"/>
  <c r="AI961" i="2"/>
  <c r="W961" i="2" s="1"/>
  <c r="AI962" i="2"/>
  <c r="W962" i="2" s="1"/>
  <c r="AI946" i="2"/>
  <c r="W946" i="2" s="1"/>
  <c r="AI981" i="2"/>
  <c r="W981" i="2" s="1"/>
  <c r="AI963" i="2"/>
  <c r="W963" i="2" s="1"/>
  <c r="AI964" i="2"/>
  <c r="W964" i="2" s="1"/>
  <c r="AI948" i="2"/>
  <c r="W948" i="2" s="1"/>
  <c r="AI974" i="2"/>
  <c r="W974" i="2" s="1"/>
  <c r="AI990" i="2"/>
  <c r="W990" i="2" s="1"/>
  <c r="AI966" i="2"/>
  <c r="W966" i="2" s="1"/>
  <c r="AI950" i="2"/>
  <c r="W950" i="2" s="1"/>
  <c r="AI970" i="2"/>
  <c r="W970" i="2" s="1"/>
  <c r="AI951" i="2"/>
  <c r="W951" i="2" s="1"/>
  <c r="AI973" i="2"/>
  <c r="W973" i="2" s="1"/>
  <c r="AI952" i="2"/>
  <c r="W952" i="2" s="1"/>
  <c r="AI983" i="2"/>
  <c r="W983" i="2" s="1"/>
  <c r="AI979" i="2"/>
  <c r="W979" i="2" s="1"/>
  <c r="AI953" i="2"/>
  <c r="W953" i="2" s="1"/>
  <c r="AI947" i="2"/>
  <c r="W947" i="2" s="1"/>
  <c r="AI938" i="2"/>
  <c r="W938" i="2" s="1"/>
  <c r="AI920" i="2"/>
  <c r="W920" i="2" s="1"/>
  <c r="AI943" i="2"/>
  <c r="W943" i="2" s="1"/>
  <c r="AI935" i="2"/>
  <c r="W935" i="2" s="1"/>
  <c r="AI949" i="2"/>
  <c r="W949" i="2" s="1"/>
  <c r="AI922" i="2"/>
  <c r="W922" i="2" s="1"/>
  <c r="AI924" i="2"/>
  <c r="W924" i="2" s="1"/>
  <c r="AI965" i="2"/>
  <c r="W965" i="2" s="1"/>
  <c r="AI939" i="2"/>
  <c r="W939" i="2" s="1"/>
  <c r="AI925" i="2"/>
  <c r="W925" i="2" s="1"/>
  <c r="AI936" i="2"/>
  <c r="W936" i="2" s="1"/>
  <c r="AI926" i="2"/>
  <c r="W926" i="2" s="1"/>
  <c r="AI944" i="2"/>
  <c r="W944" i="2" s="1"/>
  <c r="AI927" i="2"/>
  <c r="W927" i="2" s="1"/>
  <c r="AI911" i="2"/>
  <c r="W911" i="2" s="1"/>
  <c r="AI928" i="2"/>
  <c r="W928" i="2" s="1"/>
  <c r="AI912" i="2"/>
  <c r="W912" i="2" s="1"/>
  <c r="AI941" i="2"/>
  <c r="W941" i="2" s="1"/>
  <c r="AI954" i="2"/>
  <c r="W954" i="2" s="1"/>
  <c r="AI932" i="2"/>
  <c r="W932" i="2" s="1"/>
  <c r="AI955" i="2"/>
  <c r="W955" i="2" s="1"/>
  <c r="AI942" i="2"/>
  <c r="W942" i="2" s="1"/>
  <c r="AI933" i="2"/>
  <c r="W933" i="2" s="1"/>
  <c r="AI917" i="2"/>
  <c r="W917" i="2" s="1"/>
  <c r="AI931" i="2"/>
  <c r="W931" i="2" s="1"/>
  <c r="AI909" i="2"/>
  <c r="W909" i="2" s="1"/>
  <c r="AI903" i="2"/>
  <c r="W903" i="2" s="1"/>
  <c r="AI904" i="2"/>
  <c r="W904" i="2" s="1"/>
  <c r="AI913" i="2"/>
  <c r="W913" i="2" s="1"/>
  <c r="AI905" i="2"/>
  <c r="W905" i="2" s="1"/>
  <c r="AI914" i="2"/>
  <c r="W914" i="2" s="1"/>
  <c r="AI892" i="2"/>
  <c r="W892" i="2" s="1"/>
  <c r="AI919" i="2"/>
  <c r="W919" i="2" s="1"/>
  <c r="AI910" i="2"/>
  <c r="W910" i="2" s="1"/>
  <c r="AI907" i="2"/>
  <c r="W907" i="2" s="1"/>
  <c r="AI893" i="2"/>
  <c r="W893" i="2" s="1"/>
  <c r="AI934" i="2"/>
  <c r="W934" i="2" s="1"/>
  <c r="AI929" i="2"/>
  <c r="W929" i="2" s="1"/>
  <c r="AI923" i="2"/>
  <c r="W923" i="2" s="1"/>
  <c r="AI894" i="2"/>
  <c r="W894" i="2" s="1"/>
  <c r="AI896" i="2"/>
  <c r="W896" i="2" s="1"/>
  <c r="AI918" i="2"/>
  <c r="W918" i="2" s="1"/>
  <c r="AI908" i="2"/>
  <c r="W908" i="2" s="1"/>
  <c r="AI898" i="2"/>
  <c r="W898" i="2" s="1"/>
  <c r="AI899" i="2"/>
  <c r="W899" i="2" s="1"/>
  <c r="AI900" i="2"/>
  <c r="W900" i="2" s="1"/>
  <c r="AI890" i="2"/>
  <c r="W890" i="2" s="1"/>
  <c r="AI885" i="2"/>
  <c r="W885" i="2" s="1"/>
  <c r="AI868" i="2"/>
  <c r="W868" i="2" s="1"/>
  <c r="AI888" i="2"/>
  <c r="W888" i="2" s="1"/>
  <c r="AI869" i="2"/>
  <c r="W869" i="2" s="1"/>
  <c r="AI891" i="2"/>
  <c r="W891" i="2" s="1"/>
  <c r="AI880" i="2"/>
  <c r="W880" i="2" s="1"/>
  <c r="AI870" i="2"/>
  <c r="W870" i="2" s="1"/>
  <c r="AI873" i="2"/>
  <c r="W873" i="2" s="1"/>
  <c r="AI874" i="2"/>
  <c r="W874" i="2" s="1"/>
  <c r="AI915" i="2"/>
  <c r="W915" i="2" s="1"/>
  <c r="AI881" i="2"/>
  <c r="W881" i="2" s="1"/>
  <c r="AI876" i="2"/>
  <c r="W876" i="2" s="1"/>
  <c r="AI860" i="2"/>
  <c r="W860" i="2" s="1"/>
  <c r="AI886" i="2"/>
  <c r="W886" i="2" s="1"/>
  <c r="AI878" i="2"/>
  <c r="W878" i="2" s="1"/>
  <c r="AI863" i="2"/>
  <c r="W863" i="2" s="1"/>
  <c r="AI882" i="2"/>
  <c r="W882" i="2" s="1"/>
  <c r="AI887" i="2"/>
  <c r="W887" i="2" s="1"/>
  <c r="AI845" i="2"/>
  <c r="W845" i="2" s="1"/>
  <c r="AI897" i="2"/>
  <c r="W897" i="2" s="1"/>
  <c r="AI879" i="2"/>
  <c r="W879" i="2" s="1"/>
  <c r="AI865" i="2"/>
  <c r="W865" i="2" s="1"/>
  <c r="AI856" i="2"/>
  <c r="W856" i="2" s="1"/>
  <c r="AI830" i="2"/>
  <c r="W830" i="2" s="1"/>
  <c r="AI847" i="2"/>
  <c r="W847" i="2" s="1"/>
  <c r="AI872" i="2"/>
  <c r="W872" i="2" s="1"/>
  <c r="AI866" i="2"/>
  <c r="W866" i="2" s="1"/>
  <c r="AI902" i="2"/>
  <c r="W902" i="2" s="1"/>
  <c r="AI851" i="2"/>
  <c r="W851" i="2" s="1"/>
  <c r="AI877" i="2"/>
  <c r="W877" i="2" s="1"/>
  <c r="AI852" i="2"/>
  <c r="W852" i="2" s="1"/>
  <c r="AI853" i="2"/>
  <c r="W853" i="2" s="1"/>
  <c r="AI837" i="2"/>
  <c r="W837" i="2" s="1"/>
  <c r="AI862" i="2"/>
  <c r="W862" i="2" s="1"/>
  <c r="AI857" i="2"/>
  <c r="W857" i="2" s="1"/>
  <c r="AI854" i="2"/>
  <c r="W854" i="2" s="1"/>
  <c r="AI861" i="2"/>
  <c r="W861" i="2" s="1"/>
  <c r="AI839" i="2"/>
  <c r="W839" i="2" s="1"/>
  <c r="AI864" i="2"/>
  <c r="W864" i="2" s="1"/>
  <c r="AI855" i="2"/>
  <c r="W855" i="2" s="1"/>
  <c r="AI840" i="2"/>
  <c r="W840" i="2" s="1"/>
  <c r="AI835" i="2"/>
  <c r="W835" i="2" s="1"/>
  <c r="AI842" i="2"/>
  <c r="W842" i="2" s="1"/>
  <c r="AI823" i="2"/>
  <c r="W823" i="2" s="1"/>
  <c r="AI807" i="2"/>
  <c r="W807" i="2" s="1"/>
  <c r="AI824" i="2"/>
  <c r="W824" i="2" s="1"/>
  <c r="AI808" i="2"/>
  <c r="W808" i="2" s="1"/>
  <c r="AI834" i="2"/>
  <c r="W834" i="2" s="1"/>
  <c r="AI831" i="2"/>
  <c r="W831" i="2" s="1"/>
  <c r="AI809" i="2"/>
  <c r="W809" i="2" s="1"/>
  <c r="AI828" i="2"/>
  <c r="W828" i="2" s="1"/>
  <c r="AI795" i="2"/>
  <c r="W795" i="2" s="1"/>
  <c r="AI859" i="2"/>
  <c r="W859" i="2" s="1"/>
  <c r="AI850" i="2"/>
  <c r="W850" i="2" s="1"/>
  <c r="AI833" i="2"/>
  <c r="W833" i="2" s="1"/>
  <c r="AI825" i="2"/>
  <c r="W825" i="2" s="1"/>
  <c r="AI829" i="2"/>
  <c r="W829" i="2" s="1"/>
  <c r="AI814" i="2"/>
  <c r="W814" i="2" s="1"/>
  <c r="AI815" i="2"/>
  <c r="W815" i="2" s="1"/>
  <c r="AI799" i="2"/>
  <c r="W799" i="2" s="1"/>
  <c r="AI844" i="2"/>
  <c r="W844" i="2" s="1"/>
  <c r="AI838" i="2"/>
  <c r="W838" i="2" s="1"/>
  <c r="AI816" i="2"/>
  <c r="W816" i="2" s="1"/>
  <c r="AI843" i="2"/>
  <c r="W843" i="2" s="1"/>
  <c r="AI826" i="2"/>
  <c r="W826" i="2" s="1"/>
  <c r="AI817" i="2"/>
  <c r="W817" i="2" s="1"/>
  <c r="AI801" i="2"/>
  <c r="W801" i="2" s="1"/>
  <c r="AI818" i="2"/>
  <c r="W818" i="2" s="1"/>
  <c r="AI832" i="2"/>
  <c r="W832" i="2" s="1"/>
  <c r="AI819" i="2"/>
  <c r="W819" i="2" s="1"/>
  <c r="AI805" i="2"/>
  <c r="W805" i="2" s="1"/>
  <c r="AI792" i="2"/>
  <c r="W792" i="2" s="1"/>
  <c r="AI767" i="2"/>
  <c r="W767" i="2" s="1"/>
  <c r="AI802" i="2"/>
  <c r="W802" i="2" s="1"/>
  <c r="AI784" i="2"/>
  <c r="W784" i="2" s="1"/>
  <c r="AI768" i="2"/>
  <c r="W768" i="2" s="1"/>
  <c r="AI785" i="2"/>
  <c r="W785" i="2" s="1"/>
  <c r="AI769" i="2"/>
  <c r="W769" i="2" s="1"/>
  <c r="AI786" i="2"/>
  <c r="W786" i="2" s="1"/>
  <c r="AI770" i="2"/>
  <c r="W770" i="2" s="1"/>
  <c r="AI753" i="2"/>
  <c r="W753" i="2" s="1"/>
  <c r="AI793" i="2"/>
  <c r="W793" i="2" s="1"/>
  <c r="AI787" i="2"/>
  <c r="W787" i="2" s="1"/>
  <c r="AI771" i="2"/>
  <c r="W771" i="2" s="1"/>
  <c r="AI754" i="2"/>
  <c r="W754" i="2" s="1"/>
  <c r="AI820" i="2"/>
  <c r="W820" i="2" s="1"/>
  <c r="AI788" i="2"/>
  <c r="W788" i="2" s="1"/>
  <c r="AI772" i="2"/>
  <c r="W772" i="2" s="1"/>
  <c r="AI755" i="2"/>
  <c r="W755" i="2" s="1"/>
  <c r="AI738" i="2"/>
  <c r="W738" i="2" s="1"/>
  <c r="AI789" i="2"/>
  <c r="W789" i="2" s="1"/>
  <c r="AI773" i="2"/>
  <c r="W773" i="2" s="1"/>
  <c r="AI756" i="2"/>
  <c r="W756" i="2" s="1"/>
  <c r="AI790" i="2"/>
  <c r="W790" i="2" s="1"/>
  <c r="AI774" i="2"/>
  <c r="W774" i="2" s="1"/>
  <c r="AI759" i="2"/>
  <c r="W759" i="2" s="1"/>
  <c r="AI758" i="2"/>
  <c r="W758" i="2" s="1"/>
  <c r="AI776" i="2"/>
  <c r="W776" i="2" s="1"/>
  <c r="AI791" i="2"/>
  <c r="W791" i="2" s="1"/>
  <c r="AI777" i="2"/>
  <c r="W777" i="2" s="1"/>
  <c r="AI798" i="2"/>
  <c r="W798" i="2" s="1"/>
  <c r="AI778" i="2"/>
  <c r="W778" i="2" s="1"/>
  <c r="AI821" i="2"/>
  <c r="W821" i="2" s="1"/>
  <c r="AI806" i="2"/>
  <c r="W806" i="2" s="1"/>
  <c r="AI794" i="2"/>
  <c r="W794" i="2" s="1"/>
  <c r="AI780" i="2"/>
  <c r="W780" i="2" s="1"/>
  <c r="AI764" i="2"/>
  <c r="W764" i="2" s="1"/>
  <c r="AI744" i="2"/>
  <c r="W744" i="2" s="1"/>
  <c r="AI731" i="2"/>
  <c r="W731" i="2" s="1"/>
  <c r="AI746" i="2"/>
  <c r="W746" i="2" s="1"/>
  <c r="AI732" i="2"/>
  <c r="W732" i="2" s="1"/>
  <c r="AI715" i="2"/>
  <c r="W715" i="2" s="1"/>
  <c r="AI733" i="2"/>
  <c r="W733" i="2" s="1"/>
  <c r="AI716" i="2"/>
  <c r="W716" i="2" s="1"/>
  <c r="AI763" i="2"/>
  <c r="W763" i="2" s="1"/>
  <c r="AI752" i="2"/>
  <c r="W752" i="2" s="1"/>
  <c r="AI740" i="2"/>
  <c r="W740" i="2" s="1"/>
  <c r="AI736" i="2"/>
  <c r="W736" i="2" s="1"/>
  <c r="AI718" i="2"/>
  <c r="W718" i="2" s="1"/>
  <c r="AI800" i="2"/>
  <c r="W800" i="2" s="1"/>
  <c r="AI721" i="2"/>
  <c r="W721" i="2" s="1"/>
  <c r="AI745" i="2"/>
  <c r="W745" i="2" s="1"/>
  <c r="AI723" i="2"/>
  <c r="W723" i="2" s="1"/>
  <c r="AI747" i="2"/>
  <c r="W747" i="2" s="1"/>
  <c r="AI741" i="2"/>
  <c r="W741" i="2" s="1"/>
  <c r="AI762" i="2"/>
  <c r="W762" i="2" s="1"/>
  <c r="AI725" i="2"/>
  <c r="W725" i="2" s="1"/>
  <c r="AI748" i="2"/>
  <c r="W748" i="2" s="1"/>
  <c r="AI727" i="2"/>
  <c r="W727" i="2" s="1"/>
  <c r="AI729" i="2"/>
  <c r="W729" i="2" s="1"/>
  <c r="AI701" i="2"/>
  <c r="W701" i="2" s="1"/>
  <c r="AI685" i="2"/>
  <c r="W685" i="2" s="1"/>
  <c r="AI669" i="2"/>
  <c r="W669" i="2" s="1"/>
  <c r="AI760" i="2"/>
  <c r="W760" i="2" s="1"/>
  <c r="AI710" i="2"/>
  <c r="W710" i="2" s="1"/>
  <c r="AI702" i="2"/>
  <c r="W702" i="2" s="1"/>
  <c r="AI686" i="2"/>
  <c r="W686" i="2" s="1"/>
  <c r="AI670" i="2"/>
  <c r="W670" i="2" s="1"/>
  <c r="AI654" i="2"/>
  <c r="W654" i="2" s="1"/>
  <c r="AI717" i="2"/>
  <c r="W717" i="2" s="1"/>
  <c r="AI703" i="2"/>
  <c r="W703" i="2" s="1"/>
  <c r="AI671" i="2"/>
  <c r="W671" i="2" s="1"/>
  <c r="AI655" i="2"/>
  <c r="W655" i="2" s="1"/>
  <c r="AI688" i="2"/>
  <c r="W688" i="2" s="1"/>
  <c r="AI672" i="2"/>
  <c r="W672" i="2" s="1"/>
  <c r="AI656" i="2"/>
  <c r="W656" i="2" s="1"/>
  <c r="AI689" i="2"/>
  <c r="W689" i="2" s="1"/>
  <c r="AI673" i="2"/>
  <c r="W673" i="2" s="1"/>
  <c r="AI706" i="2"/>
  <c r="W706" i="2" s="1"/>
  <c r="AI690" i="2"/>
  <c r="W690" i="2" s="1"/>
  <c r="AI674" i="2"/>
  <c r="W674" i="2" s="1"/>
  <c r="AI658" i="2"/>
  <c r="W658" i="2" s="1"/>
  <c r="AI713" i="2"/>
  <c r="W713" i="2" s="1"/>
  <c r="AI707" i="2"/>
  <c r="W707" i="2" s="1"/>
  <c r="AI691" i="2"/>
  <c r="W691" i="2" s="1"/>
  <c r="AI743" i="2"/>
  <c r="W743" i="2" s="1"/>
  <c r="AI734" i="2"/>
  <c r="W734" i="2" s="1"/>
  <c r="AI708" i="2"/>
  <c r="W708" i="2" s="1"/>
  <c r="AI692" i="2"/>
  <c r="W692" i="2" s="1"/>
  <c r="AI676" i="2"/>
  <c r="W676" i="2" s="1"/>
  <c r="AI712" i="2"/>
  <c r="W712" i="2" s="1"/>
  <c r="AI694" i="2"/>
  <c r="W694" i="2" s="1"/>
  <c r="AI678" i="2"/>
  <c r="W678" i="2" s="1"/>
  <c r="AI662" i="2"/>
  <c r="W662" i="2" s="1"/>
  <c r="AI709" i="2"/>
  <c r="W709" i="2" s="1"/>
  <c r="AI695" i="2"/>
  <c r="W695" i="2" s="1"/>
  <c r="AI663" i="2"/>
  <c r="W663" i="2" s="1"/>
  <c r="AI735" i="2"/>
  <c r="W735" i="2" s="1"/>
  <c r="AI711" i="2"/>
  <c r="W711" i="2" s="1"/>
  <c r="AI696" i="2"/>
  <c r="W696" i="2" s="1"/>
  <c r="AI680" i="2"/>
  <c r="W680" i="2" s="1"/>
  <c r="AI664" i="2"/>
  <c r="W664" i="2" s="1"/>
  <c r="AI739" i="2"/>
  <c r="W739" i="2" s="1"/>
  <c r="AI722" i="2"/>
  <c r="W722" i="2" s="1"/>
  <c r="AI681" i="2"/>
  <c r="W681" i="2" s="1"/>
  <c r="AI665" i="2"/>
  <c r="W665" i="2" s="1"/>
  <c r="AI698" i="2"/>
  <c r="W698" i="2" s="1"/>
  <c r="AI666" i="2"/>
  <c r="W666" i="2" s="1"/>
  <c r="AI650" i="2"/>
  <c r="W650" i="2" s="1"/>
  <c r="AI720" i="2"/>
  <c r="W720" i="2" s="1"/>
  <c r="AI683" i="2"/>
  <c r="W683" i="2" s="1"/>
  <c r="AI667" i="2"/>
  <c r="W667" i="2" s="1"/>
  <c r="AI652" i="2"/>
  <c r="W652" i="2" s="1"/>
  <c r="AI626" i="2"/>
  <c r="W626" i="2" s="1"/>
  <c r="AI610" i="2"/>
  <c r="W610" i="2" s="1"/>
  <c r="AI684" i="2"/>
  <c r="W684" i="2" s="1"/>
  <c r="AI659" i="2"/>
  <c r="W659" i="2" s="1"/>
  <c r="AI643" i="2"/>
  <c r="W643" i="2" s="1"/>
  <c r="AI627" i="2"/>
  <c r="W627" i="2" s="1"/>
  <c r="AI611" i="2"/>
  <c r="W611" i="2" s="1"/>
  <c r="AI595" i="2"/>
  <c r="W595" i="2" s="1"/>
  <c r="AI628" i="2"/>
  <c r="W628" i="2" s="1"/>
  <c r="AI612" i="2"/>
  <c r="W612" i="2" s="1"/>
  <c r="AI629" i="2"/>
  <c r="W629" i="2" s="1"/>
  <c r="AI613" i="2"/>
  <c r="W613" i="2" s="1"/>
  <c r="AI597" i="2"/>
  <c r="W597" i="2" s="1"/>
  <c r="AI677" i="2"/>
  <c r="W677" i="2" s="1"/>
  <c r="AI630" i="2"/>
  <c r="W630" i="2" s="1"/>
  <c r="AI631" i="2"/>
  <c r="W631" i="2" s="1"/>
  <c r="AI615" i="2"/>
  <c r="W615" i="2" s="1"/>
  <c r="AI668" i="2"/>
  <c r="W668" i="2" s="1"/>
  <c r="AI632" i="2"/>
  <c r="W632" i="2" s="1"/>
  <c r="AI616" i="2"/>
  <c r="W616" i="2" s="1"/>
  <c r="AI600" i="2"/>
  <c r="W600" i="2" s="1"/>
  <c r="AI584" i="2"/>
  <c r="W584" i="2" s="1"/>
  <c r="AI657" i="2"/>
  <c r="W657" i="2" s="1"/>
  <c r="AI642" i="2"/>
  <c r="W642" i="2" s="1"/>
  <c r="AI617" i="2"/>
  <c r="W617" i="2" s="1"/>
  <c r="AI601" i="2"/>
  <c r="W601" i="2" s="1"/>
  <c r="AI585" i="2"/>
  <c r="W585" i="2" s="1"/>
  <c r="AI660" i="2"/>
  <c r="W660" i="2" s="1"/>
  <c r="AI646" i="2"/>
  <c r="W646" i="2" s="1"/>
  <c r="AI634" i="2"/>
  <c r="W634" i="2" s="1"/>
  <c r="AI618" i="2"/>
  <c r="W618" i="2" s="1"/>
  <c r="AI602" i="2"/>
  <c r="W602" i="2" s="1"/>
  <c r="AI742" i="2"/>
  <c r="W742" i="2" s="1"/>
  <c r="AI653" i="2"/>
  <c r="W653" i="2" s="1"/>
  <c r="AI647" i="2"/>
  <c r="W647" i="2" s="1"/>
  <c r="AI645" i="2"/>
  <c r="W645" i="2" s="1"/>
  <c r="AI635" i="2"/>
  <c r="W635" i="2" s="1"/>
  <c r="AI619" i="2"/>
  <c r="W619" i="2" s="1"/>
  <c r="AI730" i="2"/>
  <c r="W730" i="2" s="1"/>
  <c r="AI724" i="2"/>
  <c r="W724" i="2" s="1"/>
  <c r="AI649" i="2"/>
  <c r="W649" i="2" s="1"/>
  <c r="AI648" i="2"/>
  <c r="W648" i="2" s="1"/>
  <c r="AI620" i="2"/>
  <c r="W620" i="2" s="1"/>
  <c r="AI604" i="2"/>
  <c r="W604" i="2" s="1"/>
  <c r="AI644" i="2"/>
  <c r="W644" i="2" s="1"/>
  <c r="AI621" i="2"/>
  <c r="W621" i="2" s="1"/>
  <c r="AI605" i="2"/>
  <c r="W605" i="2" s="1"/>
  <c r="AI700" i="2"/>
  <c r="W700" i="2" s="1"/>
  <c r="AI693" i="2"/>
  <c r="W693" i="2" s="1"/>
  <c r="AI638" i="2"/>
  <c r="W638" i="2" s="1"/>
  <c r="AI622" i="2"/>
  <c r="W622" i="2" s="1"/>
  <c r="AI639" i="2"/>
  <c r="W639" i="2" s="1"/>
  <c r="AI623" i="2"/>
  <c r="W623" i="2" s="1"/>
  <c r="AI607" i="2"/>
  <c r="W607" i="2" s="1"/>
  <c r="AI640" i="2"/>
  <c r="W640" i="2" s="1"/>
  <c r="AI608" i="2"/>
  <c r="W608" i="2" s="1"/>
  <c r="AI592" i="2"/>
  <c r="W592" i="2" s="1"/>
  <c r="AI589" i="2"/>
  <c r="W589" i="2" s="1"/>
  <c r="AI568" i="2"/>
  <c r="W568" i="2" s="1"/>
  <c r="AI552" i="2"/>
  <c r="W552" i="2" s="1"/>
  <c r="AI606" i="2"/>
  <c r="W606" i="2" s="1"/>
  <c r="AI591" i="2"/>
  <c r="W591" i="2" s="1"/>
  <c r="AI569" i="2"/>
  <c r="W569" i="2" s="1"/>
  <c r="AI536" i="2"/>
  <c r="W536" i="2" s="1"/>
  <c r="AI593" i="2"/>
  <c r="W593" i="2" s="1"/>
  <c r="AI586" i="2"/>
  <c r="W586" i="2" s="1"/>
  <c r="AI570" i="2"/>
  <c r="W570" i="2" s="1"/>
  <c r="AI554" i="2"/>
  <c r="W554" i="2" s="1"/>
  <c r="AI537" i="2"/>
  <c r="W537" i="2" s="1"/>
  <c r="AI625" i="2"/>
  <c r="W625" i="2" s="1"/>
  <c r="AI599" i="2"/>
  <c r="W599" i="2" s="1"/>
  <c r="AI571" i="2"/>
  <c r="W571" i="2" s="1"/>
  <c r="AI555" i="2"/>
  <c r="W555" i="2" s="1"/>
  <c r="AI538" i="2"/>
  <c r="W538" i="2" s="1"/>
  <c r="AI522" i="2"/>
  <c r="W522" i="2" s="1"/>
  <c r="AI594" i="2"/>
  <c r="W594" i="2" s="1"/>
  <c r="AI582" i="2"/>
  <c r="W582" i="2" s="1"/>
  <c r="AI572" i="2"/>
  <c r="W572" i="2" s="1"/>
  <c r="AI556" i="2"/>
  <c r="W556" i="2" s="1"/>
  <c r="AI539" i="2"/>
  <c r="W539" i="2" s="1"/>
  <c r="AI523" i="2"/>
  <c r="W523" i="2" s="1"/>
  <c r="AI587" i="2"/>
  <c r="W587" i="2" s="1"/>
  <c r="AI573" i="2"/>
  <c r="W573" i="2" s="1"/>
  <c r="AI557" i="2"/>
  <c r="W557" i="2" s="1"/>
  <c r="AI540" i="2"/>
  <c r="W540" i="2" s="1"/>
  <c r="AI524" i="2"/>
  <c r="W524" i="2" s="1"/>
  <c r="AI574" i="2"/>
  <c r="W574" i="2" s="1"/>
  <c r="AI558" i="2"/>
  <c r="W558" i="2" s="1"/>
  <c r="AI525" i="2"/>
  <c r="W525" i="2" s="1"/>
  <c r="AI609" i="2"/>
  <c r="W609" i="2" s="1"/>
  <c r="AI590" i="2"/>
  <c r="W590" i="2" s="1"/>
  <c r="AI575" i="2"/>
  <c r="W575" i="2" s="1"/>
  <c r="AI559" i="2"/>
  <c r="W559" i="2" s="1"/>
  <c r="AI542" i="2"/>
  <c r="W542" i="2" s="1"/>
  <c r="AI598" i="2"/>
  <c r="W598" i="2" s="1"/>
  <c r="AI576" i="2"/>
  <c r="W576" i="2" s="1"/>
  <c r="AI560" i="2"/>
  <c r="W560" i="2" s="1"/>
  <c r="AI543" i="2"/>
  <c r="W543" i="2" s="1"/>
  <c r="AI527" i="2"/>
  <c r="W527" i="2" s="1"/>
  <c r="AI577" i="2"/>
  <c r="W577" i="2" s="1"/>
  <c r="AI561" i="2"/>
  <c r="W561" i="2" s="1"/>
  <c r="AI544" i="2"/>
  <c r="W544" i="2" s="1"/>
  <c r="AI528" i="2"/>
  <c r="W528" i="2" s="1"/>
  <c r="AI641" i="2"/>
  <c r="W641" i="2" s="1"/>
  <c r="AI588" i="2"/>
  <c r="W588" i="2" s="1"/>
  <c r="AI581" i="2"/>
  <c r="W581" i="2" s="1"/>
  <c r="AI578" i="2"/>
  <c r="W578" i="2" s="1"/>
  <c r="AI562" i="2"/>
  <c r="W562" i="2" s="1"/>
  <c r="AI545" i="2"/>
  <c r="W545" i="2" s="1"/>
  <c r="AI529" i="2"/>
  <c r="W529" i="2" s="1"/>
  <c r="AI579" i="2"/>
  <c r="W579" i="2" s="1"/>
  <c r="AI546" i="2"/>
  <c r="W546" i="2" s="1"/>
  <c r="AI530" i="2"/>
  <c r="W530" i="2" s="1"/>
  <c r="AI564" i="2"/>
  <c r="W564" i="2" s="1"/>
  <c r="AI565" i="2"/>
  <c r="W565" i="2" s="1"/>
  <c r="AI532" i="2"/>
  <c r="W532" i="2" s="1"/>
  <c r="AI566" i="2"/>
  <c r="W566" i="2" s="1"/>
  <c r="AI550" i="2"/>
  <c r="W550" i="2" s="1"/>
  <c r="AI547" i="2"/>
  <c r="W547" i="2" s="1"/>
  <c r="AI508" i="2"/>
  <c r="W508" i="2" s="1"/>
  <c r="AI492" i="2"/>
  <c r="W492" i="2" s="1"/>
  <c r="AI476" i="2"/>
  <c r="W476" i="2" s="1"/>
  <c r="AI459" i="2"/>
  <c r="W459" i="2" s="1"/>
  <c r="AI551" i="2"/>
  <c r="W551" i="2" s="1"/>
  <c r="AI534" i="2"/>
  <c r="W534" i="2" s="1"/>
  <c r="AI493" i="2"/>
  <c r="W493" i="2" s="1"/>
  <c r="AI477" i="2"/>
  <c r="W477" i="2" s="1"/>
  <c r="AI460" i="2"/>
  <c r="W460" i="2" s="1"/>
  <c r="AI583" i="2"/>
  <c r="W583" i="2" s="1"/>
  <c r="AI520" i="2"/>
  <c r="W520" i="2" s="1"/>
  <c r="AI494" i="2"/>
  <c r="W494" i="2" s="1"/>
  <c r="AI478" i="2"/>
  <c r="W478" i="2" s="1"/>
  <c r="AI495" i="2"/>
  <c r="W495" i="2" s="1"/>
  <c r="AI479" i="2"/>
  <c r="W479" i="2" s="1"/>
  <c r="AI462" i="2"/>
  <c r="W462" i="2" s="1"/>
  <c r="AI526" i="2"/>
  <c r="W526" i="2" s="1"/>
  <c r="AI512" i="2"/>
  <c r="W512" i="2" s="1"/>
  <c r="AI496" i="2"/>
  <c r="W496" i="2" s="1"/>
  <c r="AI480" i="2"/>
  <c r="W480" i="2" s="1"/>
  <c r="AI463" i="2"/>
  <c r="W463" i="2" s="1"/>
  <c r="AI518" i="2"/>
  <c r="W518" i="2" s="1"/>
  <c r="AI513" i="2"/>
  <c r="W513" i="2" s="1"/>
  <c r="AI497" i="2"/>
  <c r="W497" i="2" s="1"/>
  <c r="AI517" i="2"/>
  <c r="W517" i="2" s="1"/>
  <c r="AI514" i="2"/>
  <c r="W514" i="2" s="1"/>
  <c r="AI498" i="2"/>
  <c r="W498" i="2" s="1"/>
  <c r="AI482" i="2"/>
  <c r="W482" i="2" s="1"/>
  <c r="AI465" i="2"/>
  <c r="W465" i="2" s="1"/>
  <c r="AI515" i="2"/>
  <c r="W515" i="2" s="1"/>
  <c r="AI499" i="2"/>
  <c r="W499" i="2" s="1"/>
  <c r="AI483" i="2"/>
  <c r="W483" i="2" s="1"/>
  <c r="AI466" i="2"/>
  <c r="W466" i="2" s="1"/>
  <c r="AI548" i="2"/>
  <c r="W548" i="2" s="1"/>
  <c r="AI500" i="2"/>
  <c r="W500" i="2" s="1"/>
  <c r="AI501" i="2"/>
  <c r="W501" i="2" s="1"/>
  <c r="AI485" i="2"/>
  <c r="W485" i="2" s="1"/>
  <c r="AI519" i="2"/>
  <c r="W519" i="2" s="1"/>
  <c r="AI502" i="2"/>
  <c r="W502" i="2" s="1"/>
  <c r="AI486" i="2"/>
  <c r="W486" i="2" s="1"/>
  <c r="AI469" i="2"/>
  <c r="W469" i="2" s="1"/>
  <c r="AI503" i="2"/>
  <c r="W503" i="2" s="1"/>
  <c r="AI567" i="2"/>
  <c r="W567" i="2" s="1"/>
  <c r="AI504" i="2"/>
  <c r="W504" i="2" s="1"/>
  <c r="AI488" i="2"/>
  <c r="W488" i="2" s="1"/>
  <c r="AI489" i="2"/>
  <c r="W489" i="2" s="1"/>
  <c r="AI531" i="2"/>
  <c r="W531" i="2" s="1"/>
  <c r="AI506" i="2"/>
  <c r="W506" i="2" s="1"/>
  <c r="AI490" i="2"/>
  <c r="W490" i="2" s="1"/>
  <c r="AI474" i="2"/>
  <c r="W474" i="2" s="1"/>
  <c r="AI473" i="2"/>
  <c r="W473" i="2" s="1"/>
  <c r="AI457" i="2"/>
  <c r="W457" i="2" s="1"/>
  <c r="AI453" i="2"/>
  <c r="W453" i="2" s="1"/>
  <c r="AI451" i="2"/>
  <c r="W451" i="2" s="1"/>
  <c r="AI439" i="2"/>
  <c r="W439" i="2" s="1"/>
  <c r="AI468" i="2"/>
  <c r="W468" i="2" s="1"/>
  <c r="AI461" i="2"/>
  <c r="W461" i="2" s="1"/>
  <c r="AI440" i="2"/>
  <c r="W440" i="2" s="1"/>
  <c r="AI408" i="2"/>
  <c r="W408" i="2" s="1"/>
  <c r="AI392" i="2"/>
  <c r="W392" i="2" s="1"/>
  <c r="AI458" i="2"/>
  <c r="W458" i="2" s="1"/>
  <c r="AI441" i="2"/>
  <c r="W441" i="2" s="1"/>
  <c r="AI409" i="2"/>
  <c r="W409" i="2" s="1"/>
  <c r="AI470" i="2"/>
  <c r="W470" i="2" s="1"/>
  <c r="AI464" i="2"/>
  <c r="W464" i="2" s="1"/>
  <c r="AI442" i="2"/>
  <c r="W442" i="2" s="1"/>
  <c r="AI426" i="2"/>
  <c r="W426" i="2" s="1"/>
  <c r="AI410" i="2"/>
  <c r="W410" i="2" s="1"/>
  <c r="AI394" i="2"/>
  <c r="W394" i="2" s="1"/>
  <c r="AI443" i="2"/>
  <c r="W443" i="2" s="1"/>
  <c r="AI427" i="2"/>
  <c r="W427" i="2" s="1"/>
  <c r="AI411" i="2"/>
  <c r="W411" i="2" s="1"/>
  <c r="AI533" i="2"/>
  <c r="W533" i="2" s="1"/>
  <c r="AI444" i="2"/>
  <c r="W444" i="2" s="1"/>
  <c r="AI428" i="2"/>
  <c r="W428" i="2" s="1"/>
  <c r="AI396" i="2"/>
  <c r="W396" i="2" s="1"/>
  <c r="AI445" i="2"/>
  <c r="W445" i="2" s="1"/>
  <c r="AI429" i="2"/>
  <c r="W429" i="2" s="1"/>
  <c r="AI413" i="2"/>
  <c r="W413" i="2" s="1"/>
  <c r="AI397" i="2"/>
  <c r="W397" i="2" s="1"/>
  <c r="AI446" i="2"/>
  <c r="W446" i="2" s="1"/>
  <c r="AI430" i="2"/>
  <c r="W430" i="2" s="1"/>
  <c r="AI414" i="2"/>
  <c r="W414" i="2" s="1"/>
  <c r="AI398" i="2"/>
  <c r="W398" i="2" s="1"/>
  <c r="AI452" i="2"/>
  <c r="W452" i="2" s="1"/>
  <c r="AI447" i="2"/>
  <c r="W447" i="2" s="1"/>
  <c r="AI415" i="2"/>
  <c r="W415" i="2" s="1"/>
  <c r="AI472" i="2"/>
  <c r="W472" i="2" s="1"/>
  <c r="AI448" i="2"/>
  <c r="W448" i="2" s="1"/>
  <c r="AI400" i="2"/>
  <c r="W400" i="2" s="1"/>
  <c r="AI491" i="2"/>
  <c r="W491" i="2" s="1"/>
  <c r="AI475" i="2"/>
  <c r="W475" i="2" s="1"/>
  <c r="AI456" i="2"/>
  <c r="W456" i="2" s="1"/>
  <c r="AI449" i="2"/>
  <c r="W449" i="2" s="1"/>
  <c r="AI433" i="2"/>
  <c r="W433" i="2" s="1"/>
  <c r="AI417" i="2"/>
  <c r="W417" i="2" s="1"/>
  <c r="AI454" i="2"/>
  <c r="W454" i="2" s="1"/>
  <c r="AI450" i="2"/>
  <c r="W450" i="2" s="1"/>
  <c r="AI434" i="2"/>
  <c r="W434" i="2" s="1"/>
  <c r="AI418" i="2"/>
  <c r="W418" i="2" s="1"/>
  <c r="AI402" i="2"/>
  <c r="W402" i="2" s="1"/>
  <c r="AI435" i="2"/>
  <c r="W435" i="2" s="1"/>
  <c r="AI419" i="2"/>
  <c r="W419" i="2" s="1"/>
  <c r="AI403" i="2"/>
  <c r="W403" i="2" s="1"/>
  <c r="AI436" i="2"/>
  <c r="W436" i="2" s="1"/>
  <c r="AI420" i="2"/>
  <c r="W420" i="2" s="1"/>
  <c r="AI507" i="2"/>
  <c r="W507" i="2" s="1"/>
  <c r="AI481" i="2"/>
  <c r="W481" i="2" s="1"/>
  <c r="AI437" i="2"/>
  <c r="W437" i="2" s="1"/>
  <c r="AI381" i="2"/>
  <c r="W381" i="2" s="1"/>
  <c r="AI365" i="2"/>
  <c r="W365" i="2" s="1"/>
  <c r="AI349" i="2"/>
  <c r="W349" i="2" s="1"/>
  <c r="AI333" i="2"/>
  <c r="W333" i="2" s="1"/>
  <c r="AI401" i="2"/>
  <c r="W401" i="2" s="1"/>
  <c r="AI382" i="2"/>
  <c r="W382" i="2" s="1"/>
  <c r="AI366" i="2"/>
  <c r="W366" i="2" s="1"/>
  <c r="AI350" i="2"/>
  <c r="W350" i="2" s="1"/>
  <c r="AI367" i="2"/>
  <c r="W367" i="2" s="1"/>
  <c r="AI422" i="2"/>
  <c r="W422" i="2" s="1"/>
  <c r="AI407" i="2"/>
  <c r="W407" i="2" s="1"/>
  <c r="AI405" i="2"/>
  <c r="W405" i="2" s="1"/>
  <c r="AI389" i="2"/>
  <c r="W389" i="2" s="1"/>
  <c r="AI368" i="2"/>
  <c r="W368" i="2" s="1"/>
  <c r="AI352" i="2"/>
  <c r="W352" i="2" s="1"/>
  <c r="AI336" i="2"/>
  <c r="W336" i="2" s="1"/>
  <c r="AI385" i="2"/>
  <c r="W385" i="2" s="1"/>
  <c r="AI369" i="2"/>
  <c r="W369" i="2" s="1"/>
  <c r="AI353" i="2"/>
  <c r="W353" i="2" s="1"/>
  <c r="AI386" i="2"/>
  <c r="W386" i="2" s="1"/>
  <c r="AI370" i="2"/>
  <c r="W370" i="2" s="1"/>
  <c r="AI354" i="2"/>
  <c r="W354" i="2" s="1"/>
  <c r="AI338" i="2"/>
  <c r="W338" i="2" s="1"/>
  <c r="AI322" i="2"/>
  <c r="W322" i="2" s="1"/>
  <c r="AI423" i="2"/>
  <c r="W423" i="2" s="1"/>
  <c r="AI399" i="2"/>
  <c r="W399" i="2" s="1"/>
  <c r="AI371" i="2"/>
  <c r="W371" i="2" s="1"/>
  <c r="AI355" i="2"/>
  <c r="W355" i="2" s="1"/>
  <c r="AI387" i="2"/>
  <c r="W387" i="2" s="1"/>
  <c r="AI372" i="2"/>
  <c r="W372" i="2" s="1"/>
  <c r="AI356" i="2"/>
  <c r="W356" i="2" s="1"/>
  <c r="AI340" i="2"/>
  <c r="W340" i="2" s="1"/>
  <c r="AI373" i="2"/>
  <c r="W373" i="2" s="1"/>
  <c r="AI393" i="2"/>
  <c r="W393" i="2" s="1"/>
  <c r="AI374" i="2"/>
  <c r="W374" i="2" s="1"/>
  <c r="AI358" i="2"/>
  <c r="W358" i="2" s="1"/>
  <c r="AI438" i="2"/>
  <c r="W438" i="2" s="1"/>
  <c r="AI375" i="2"/>
  <c r="W375" i="2" s="1"/>
  <c r="AI359" i="2"/>
  <c r="W359" i="2" s="1"/>
  <c r="AI376" i="2"/>
  <c r="W376" i="2" s="1"/>
  <c r="AI360" i="2"/>
  <c r="W360" i="2" s="1"/>
  <c r="AI344" i="2"/>
  <c r="W344" i="2" s="1"/>
  <c r="AI328" i="2"/>
  <c r="W328" i="2" s="1"/>
  <c r="AI388" i="2"/>
  <c r="W388" i="2" s="1"/>
  <c r="AI377" i="2"/>
  <c r="W377" i="2" s="1"/>
  <c r="AI361" i="2"/>
  <c r="W361" i="2" s="1"/>
  <c r="AI345" i="2"/>
  <c r="W345" i="2" s="1"/>
  <c r="AI329" i="2"/>
  <c r="W329" i="2" s="1"/>
  <c r="AI421" i="2"/>
  <c r="W421" i="2" s="1"/>
  <c r="AI390" i="2"/>
  <c r="W390" i="2" s="1"/>
  <c r="AI362" i="2"/>
  <c r="W362" i="2" s="1"/>
  <c r="AI346" i="2"/>
  <c r="W346" i="2" s="1"/>
  <c r="AI330" i="2"/>
  <c r="W330" i="2" s="1"/>
  <c r="AI379" i="2"/>
  <c r="W379" i="2" s="1"/>
  <c r="AI363" i="2"/>
  <c r="W363" i="2" s="1"/>
  <c r="AI347" i="2"/>
  <c r="W347" i="2" s="1"/>
  <c r="AI380" i="2"/>
  <c r="W380" i="2" s="1"/>
  <c r="AI341" i="2"/>
  <c r="W341" i="2" s="1"/>
  <c r="AI334" i="2"/>
  <c r="W334" i="2" s="1"/>
  <c r="AI320" i="2"/>
  <c r="W320" i="2" s="1"/>
  <c r="AI304" i="2"/>
  <c r="W304" i="2" s="1"/>
  <c r="AI271" i="2"/>
  <c r="W271" i="2" s="1"/>
  <c r="AI343" i="2"/>
  <c r="W343" i="2" s="1"/>
  <c r="AI289" i="2"/>
  <c r="W289" i="2" s="1"/>
  <c r="AI364" i="2"/>
  <c r="W364" i="2" s="1"/>
  <c r="AI306" i="2"/>
  <c r="W306" i="2" s="1"/>
  <c r="AI290" i="2"/>
  <c r="W290" i="2" s="1"/>
  <c r="AI273" i="2"/>
  <c r="W273" i="2" s="1"/>
  <c r="AI327" i="2"/>
  <c r="W327" i="2" s="1"/>
  <c r="AI321" i="2"/>
  <c r="W321" i="2" s="1"/>
  <c r="AI307" i="2"/>
  <c r="W307" i="2" s="1"/>
  <c r="AI308" i="2"/>
  <c r="W308" i="2" s="1"/>
  <c r="AI292" i="2"/>
  <c r="W292" i="2" s="1"/>
  <c r="AI275" i="2"/>
  <c r="W275" i="2" s="1"/>
  <c r="AI309" i="2"/>
  <c r="W309" i="2" s="1"/>
  <c r="AI293" i="2"/>
  <c r="W293" i="2" s="1"/>
  <c r="AI332" i="2"/>
  <c r="W332" i="2" s="1"/>
  <c r="AI326" i="2"/>
  <c r="W326" i="2" s="1"/>
  <c r="AI310" i="2"/>
  <c r="W310" i="2" s="1"/>
  <c r="AI294" i="2"/>
  <c r="W294" i="2" s="1"/>
  <c r="AI311" i="2"/>
  <c r="W311" i="2" s="1"/>
  <c r="AI279" i="2"/>
  <c r="W279" i="2" s="1"/>
  <c r="AI337" i="2"/>
  <c r="W337" i="2" s="1"/>
  <c r="AI312" i="2"/>
  <c r="W312" i="2" s="1"/>
  <c r="AI296" i="2"/>
  <c r="W296" i="2" s="1"/>
  <c r="AI280" i="2"/>
  <c r="W280" i="2" s="1"/>
  <c r="AI325" i="2"/>
  <c r="W325" i="2" s="1"/>
  <c r="AI313" i="2"/>
  <c r="W313" i="2" s="1"/>
  <c r="AI297" i="2"/>
  <c r="W297" i="2" s="1"/>
  <c r="AI314" i="2"/>
  <c r="W314" i="2" s="1"/>
  <c r="AI348" i="2"/>
  <c r="W348" i="2" s="1"/>
  <c r="AI339" i="2"/>
  <c r="W339" i="2" s="1"/>
  <c r="AI299" i="2"/>
  <c r="W299" i="2" s="1"/>
  <c r="AI283" i="2"/>
  <c r="W283" i="2" s="1"/>
  <c r="AI266" i="2"/>
  <c r="W266" i="2" s="1"/>
  <c r="AI391" i="2"/>
  <c r="W391" i="2" s="1"/>
  <c r="AI324" i="2"/>
  <c r="W324" i="2" s="1"/>
  <c r="AI335" i="2"/>
  <c r="W335" i="2" s="1"/>
  <c r="AI331" i="2"/>
  <c r="W331" i="2" s="1"/>
  <c r="AI301" i="2"/>
  <c r="W301" i="2" s="1"/>
  <c r="AI285" i="2"/>
  <c r="W285" i="2" s="1"/>
  <c r="AI268" i="2"/>
  <c r="W268" i="2" s="1"/>
  <c r="AI318" i="2"/>
  <c r="W318" i="2" s="1"/>
  <c r="AI302" i="2"/>
  <c r="W302" i="2" s="1"/>
  <c r="AI286" i="2"/>
  <c r="W286" i="2" s="1"/>
  <c r="AI287" i="2"/>
  <c r="W287" i="2" s="1"/>
  <c r="AI278" i="2"/>
  <c r="W278" i="2" s="1"/>
  <c r="AI272" i="2"/>
  <c r="W272" i="2" s="1"/>
  <c r="AI249" i="2"/>
  <c r="W249" i="2" s="1"/>
  <c r="AI232" i="2"/>
  <c r="W232" i="2" s="1"/>
  <c r="AI250" i="2"/>
  <c r="W250" i="2" s="1"/>
  <c r="AI233" i="2"/>
  <c r="W233" i="2" s="1"/>
  <c r="AI200" i="2"/>
  <c r="W200" i="2" s="1"/>
  <c r="AI251" i="2"/>
  <c r="W251" i="2" s="1"/>
  <c r="AI234" i="2"/>
  <c r="W234" i="2" s="1"/>
  <c r="AI218" i="2"/>
  <c r="W218" i="2" s="1"/>
  <c r="AI270" i="2"/>
  <c r="W270" i="2" s="1"/>
  <c r="AI252" i="2"/>
  <c r="W252" i="2" s="1"/>
  <c r="AI235" i="2"/>
  <c r="W235" i="2" s="1"/>
  <c r="AI219" i="2"/>
  <c r="W219" i="2" s="1"/>
  <c r="AI259" i="2"/>
  <c r="W259" i="2" s="1"/>
  <c r="AI253" i="2"/>
  <c r="W253" i="2" s="1"/>
  <c r="AI236" i="2"/>
  <c r="W236" i="2" s="1"/>
  <c r="AI220" i="2"/>
  <c r="W220" i="2" s="1"/>
  <c r="AI203" i="2"/>
  <c r="W203" i="2" s="1"/>
  <c r="AI254" i="2"/>
  <c r="W254" i="2" s="1"/>
  <c r="AI237" i="2"/>
  <c r="W237" i="2" s="1"/>
  <c r="AI221" i="2"/>
  <c r="W221" i="2" s="1"/>
  <c r="AI265" i="2"/>
  <c r="W265" i="2" s="1"/>
  <c r="AI263" i="2"/>
  <c r="W263" i="2" s="1"/>
  <c r="AI238" i="2"/>
  <c r="W238" i="2" s="1"/>
  <c r="AI222" i="2"/>
  <c r="W222" i="2" s="1"/>
  <c r="AI206" i="2"/>
  <c r="W206" i="2" s="1"/>
  <c r="AI256" i="2"/>
  <c r="W256" i="2" s="1"/>
  <c r="AI240" i="2"/>
  <c r="W240" i="2" s="1"/>
  <c r="AI239" i="2"/>
  <c r="W239" i="2" s="1"/>
  <c r="AI207" i="2"/>
  <c r="W207" i="2" s="1"/>
  <c r="AI257" i="2"/>
  <c r="W257" i="2" s="1"/>
  <c r="AI241" i="2"/>
  <c r="W241" i="2" s="1"/>
  <c r="AI224" i="2"/>
  <c r="W224" i="2" s="1"/>
  <c r="AI208" i="2"/>
  <c r="W208" i="2" s="1"/>
  <c r="AI267" i="2"/>
  <c r="W267" i="2" s="1"/>
  <c r="AI242" i="2"/>
  <c r="W242" i="2" s="1"/>
  <c r="AI225" i="2"/>
  <c r="W225" i="2" s="1"/>
  <c r="AI209" i="2"/>
  <c r="W209" i="2" s="1"/>
  <c r="AI303" i="2"/>
  <c r="W303" i="2" s="1"/>
  <c r="AI277" i="2"/>
  <c r="W277" i="2" s="1"/>
  <c r="AI274" i="2"/>
  <c r="W274" i="2" s="1"/>
  <c r="AI243" i="2"/>
  <c r="W243" i="2" s="1"/>
  <c r="AI226" i="2"/>
  <c r="W226" i="2" s="1"/>
  <c r="AI210" i="2"/>
  <c r="W210" i="2" s="1"/>
  <c r="AI244" i="2"/>
  <c r="W244" i="2" s="1"/>
  <c r="AI211" i="2"/>
  <c r="W211" i="2" s="1"/>
  <c r="AI261" i="2"/>
  <c r="W261" i="2" s="1"/>
  <c r="AI245" i="2"/>
  <c r="W245" i="2" s="1"/>
  <c r="AI228" i="2"/>
  <c r="W228" i="2" s="1"/>
  <c r="AI212" i="2"/>
  <c r="W212" i="2" s="1"/>
  <c r="AI258" i="2"/>
  <c r="W258" i="2" s="1"/>
  <c r="AI229" i="2"/>
  <c r="W229" i="2" s="1"/>
  <c r="AI264" i="2"/>
  <c r="W264" i="2" s="1"/>
  <c r="AI260" i="2"/>
  <c r="W260" i="2" s="1"/>
  <c r="AI247" i="2"/>
  <c r="W247" i="2" s="1"/>
  <c r="AI230" i="2"/>
  <c r="W230" i="2" s="1"/>
  <c r="AI192" i="2"/>
  <c r="W192" i="2" s="1"/>
  <c r="AI143" i="2"/>
  <c r="W143" i="2" s="1"/>
  <c r="AI231" i="2"/>
  <c r="W231" i="2" s="1"/>
  <c r="AI193" i="2"/>
  <c r="W193" i="2" s="1"/>
  <c r="AI176" i="2"/>
  <c r="W176" i="2" s="1"/>
  <c r="AI160" i="2"/>
  <c r="W160" i="2" s="1"/>
  <c r="AI144" i="2"/>
  <c r="W144" i="2" s="1"/>
  <c r="AI194" i="2"/>
  <c r="W194" i="2" s="1"/>
  <c r="AI177" i="2"/>
  <c r="W177" i="2" s="1"/>
  <c r="AI145" i="2"/>
  <c r="W145" i="2" s="1"/>
  <c r="AI201" i="2"/>
  <c r="W201" i="2" s="1"/>
  <c r="AI178" i="2"/>
  <c r="W178" i="2" s="1"/>
  <c r="AI146" i="2"/>
  <c r="W146" i="2" s="1"/>
  <c r="AI179" i="2"/>
  <c r="W179" i="2" s="1"/>
  <c r="AI163" i="2"/>
  <c r="W163" i="2" s="1"/>
  <c r="AI180" i="2"/>
  <c r="W180" i="2" s="1"/>
  <c r="AI164" i="2"/>
  <c r="W164" i="2" s="1"/>
  <c r="AI148" i="2"/>
  <c r="W148" i="2" s="1"/>
  <c r="AI214" i="2"/>
  <c r="W214" i="2" s="1"/>
  <c r="AI181" i="2"/>
  <c r="W181" i="2" s="1"/>
  <c r="AI165" i="2"/>
  <c r="W165" i="2" s="1"/>
  <c r="AI149" i="2"/>
  <c r="W149" i="2" s="1"/>
  <c r="AI133" i="2"/>
  <c r="W133" i="2" s="1"/>
  <c r="AI199" i="2"/>
  <c r="W199" i="2" s="1"/>
  <c r="AI195" i="2"/>
  <c r="W195" i="2" s="1"/>
  <c r="AI166" i="2"/>
  <c r="W166" i="2" s="1"/>
  <c r="AI213" i="2"/>
  <c r="W213" i="2" s="1"/>
  <c r="AI183" i="2"/>
  <c r="W183" i="2" s="1"/>
  <c r="AI152" i="2"/>
  <c r="W152" i="2" s="1"/>
  <c r="AI136" i="2"/>
  <c r="W136" i="2" s="1"/>
  <c r="AI185" i="2"/>
  <c r="W185" i="2" s="1"/>
  <c r="AI169" i="2"/>
  <c r="W169" i="2" s="1"/>
  <c r="AI186" i="2"/>
  <c r="W186" i="2" s="1"/>
  <c r="AI170" i="2"/>
  <c r="W170" i="2" s="1"/>
  <c r="AI248" i="2"/>
  <c r="W248" i="2" s="1"/>
  <c r="AI188" i="2"/>
  <c r="W188" i="2" s="1"/>
  <c r="AI187" i="2"/>
  <c r="W187" i="2" s="1"/>
  <c r="AI171" i="2"/>
  <c r="W171" i="2" s="1"/>
  <c r="AI139" i="2"/>
  <c r="W139" i="2" s="1"/>
  <c r="AI291" i="2"/>
  <c r="W291" i="2" s="1"/>
  <c r="AI204" i="2"/>
  <c r="W204" i="2" s="1"/>
  <c r="AI189" i="2"/>
  <c r="W189" i="2" s="1"/>
  <c r="AI172" i="2"/>
  <c r="W172" i="2" s="1"/>
  <c r="AI156" i="2"/>
  <c r="W156" i="2" s="1"/>
  <c r="AI140" i="2"/>
  <c r="W140" i="2" s="1"/>
  <c r="AI190" i="2"/>
  <c r="W190" i="2" s="1"/>
  <c r="AI173" i="2"/>
  <c r="W173" i="2" s="1"/>
  <c r="AI157" i="2"/>
  <c r="W157" i="2" s="1"/>
  <c r="AI216" i="2"/>
  <c r="W216" i="2" s="1"/>
  <c r="AI127" i="2"/>
  <c r="W127" i="2" s="1"/>
  <c r="AI111" i="2"/>
  <c r="W111" i="2" s="1"/>
  <c r="AI95" i="2"/>
  <c r="W95" i="2" s="1"/>
  <c r="AI191" i="2"/>
  <c r="W191" i="2" s="1"/>
  <c r="AI128" i="2"/>
  <c r="W128" i="2" s="1"/>
  <c r="AI112" i="2"/>
  <c r="W112" i="2" s="1"/>
  <c r="AI96" i="2"/>
  <c r="W96" i="2" s="1"/>
  <c r="AI129" i="2"/>
  <c r="W129" i="2" s="1"/>
  <c r="AI113" i="2"/>
  <c r="W113" i="2" s="1"/>
  <c r="AI134" i="2"/>
  <c r="W134" i="2" s="1"/>
  <c r="AI114" i="2"/>
  <c r="W114" i="2" s="1"/>
  <c r="AI98" i="2"/>
  <c r="W98" i="2" s="1"/>
  <c r="AI154" i="2"/>
  <c r="W154" i="2" s="1"/>
  <c r="AI135" i="2"/>
  <c r="W135" i="2" s="1"/>
  <c r="AI115" i="2"/>
  <c r="W115" i="2" s="1"/>
  <c r="AI99" i="2"/>
  <c r="W99" i="2" s="1"/>
  <c r="AI83" i="2"/>
  <c r="W83" i="2" s="1"/>
  <c r="AI138" i="2"/>
  <c r="W138" i="2" s="1"/>
  <c r="AI100" i="2"/>
  <c r="W100" i="2" s="1"/>
  <c r="AI158" i="2"/>
  <c r="W158" i="2" s="1"/>
  <c r="AI132" i="2"/>
  <c r="W132" i="2" s="1"/>
  <c r="AI117" i="2"/>
  <c r="W117" i="2" s="1"/>
  <c r="AI101" i="2"/>
  <c r="W101" i="2" s="1"/>
  <c r="AI85" i="2"/>
  <c r="W85" i="2" s="1"/>
  <c r="AI153" i="2"/>
  <c r="W153" i="2" s="1"/>
  <c r="AI130" i="2"/>
  <c r="W130" i="2" s="1"/>
  <c r="AI118" i="2"/>
  <c r="W118" i="2" s="1"/>
  <c r="AI102" i="2"/>
  <c r="W102" i="2" s="1"/>
  <c r="AI142" i="2"/>
  <c r="W142" i="2" s="1"/>
  <c r="AI103" i="2"/>
  <c r="W103" i="2" s="1"/>
  <c r="AI87" i="2"/>
  <c r="W87" i="2" s="1"/>
  <c r="AI71" i="2"/>
  <c r="W71" i="2" s="1"/>
  <c r="AI141" i="2"/>
  <c r="W141" i="2" s="1"/>
  <c r="AI120" i="2"/>
  <c r="W120" i="2" s="1"/>
  <c r="AI104" i="2"/>
  <c r="W104" i="2" s="1"/>
  <c r="AI174" i="2"/>
  <c r="W174" i="2" s="1"/>
  <c r="AI121" i="2"/>
  <c r="W121" i="2" s="1"/>
  <c r="AI105" i="2"/>
  <c r="W105" i="2" s="1"/>
  <c r="AI122" i="2"/>
  <c r="W122" i="2" s="1"/>
  <c r="AI106" i="2"/>
  <c r="W106" i="2" s="1"/>
  <c r="AI90" i="2"/>
  <c r="W90" i="2" s="1"/>
  <c r="AI123" i="2"/>
  <c r="W123" i="2" s="1"/>
  <c r="AI107" i="2"/>
  <c r="W107" i="2" s="1"/>
  <c r="AI91" i="2"/>
  <c r="W91" i="2" s="1"/>
  <c r="AI147" i="2"/>
  <c r="W147" i="2" s="1"/>
  <c r="AI137" i="2"/>
  <c r="W137" i="2" s="1"/>
  <c r="AI124" i="2"/>
  <c r="W124" i="2" s="1"/>
  <c r="AI108" i="2"/>
  <c r="W108" i="2" s="1"/>
  <c r="AI92" i="2"/>
  <c r="W92" i="2" s="1"/>
  <c r="AI131" i="2"/>
  <c r="W131" i="2" s="1"/>
  <c r="AI125" i="2"/>
  <c r="W125" i="2" s="1"/>
  <c r="AI109" i="2"/>
  <c r="W109" i="2" s="1"/>
  <c r="AI93" i="2"/>
  <c r="W93" i="2" s="1"/>
  <c r="AI77" i="2"/>
  <c r="W77" i="2" s="1"/>
  <c r="AI72" i="2"/>
  <c r="W72" i="2" s="1"/>
  <c r="AI59" i="2"/>
  <c r="W59" i="2" s="1"/>
  <c r="AI43" i="2"/>
  <c r="W43" i="2" s="1"/>
  <c r="AI27" i="2"/>
  <c r="W27" i="2" s="1"/>
  <c r="AI11" i="2"/>
  <c r="W11" i="2" s="1"/>
  <c r="AI68" i="2"/>
  <c r="W68" i="2" s="1"/>
  <c r="AI60" i="2"/>
  <c r="W60" i="2" s="1"/>
  <c r="AI44" i="2"/>
  <c r="W44" i="2" s="1"/>
  <c r="AI28" i="2"/>
  <c r="W28" i="2" s="1"/>
  <c r="AI94" i="2"/>
  <c r="W94" i="2" s="1"/>
  <c r="AI84" i="2"/>
  <c r="W84" i="2" s="1"/>
  <c r="AI82" i="2"/>
  <c r="W82" i="2" s="1"/>
  <c r="AI61" i="2"/>
  <c r="W61" i="2" s="1"/>
  <c r="AI45" i="2"/>
  <c r="W45" i="2" s="1"/>
  <c r="AI29" i="2"/>
  <c r="W29" i="2" s="1"/>
  <c r="AI13" i="2"/>
  <c r="W13" i="2" s="1"/>
  <c r="AI62" i="2"/>
  <c r="W62" i="2" s="1"/>
  <c r="AI46" i="2"/>
  <c r="W46" i="2" s="1"/>
  <c r="AI31" i="2"/>
  <c r="W31" i="2" s="1"/>
  <c r="AI64" i="2"/>
  <c r="W64" i="2" s="1"/>
  <c r="AI48" i="2"/>
  <c r="W48" i="2" s="1"/>
  <c r="AI76" i="2"/>
  <c r="W76" i="2" s="1"/>
  <c r="AI65" i="2"/>
  <c r="W65" i="2" s="1"/>
  <c r="AI49" i="2"/>
  <c r="W49" i="2" s="1"/>
  <c r="AI66" i="2"/>
  <c r="W66" i="2" s="1"/>
  <c r="AI50" i="2"/>
  <c r="W50" i="2" s="1"/>
  <c r="AI34" i="2"/>
  <c r="W34" i="2" s="1"/>
  <c r="AI18" i="2"/>
  <c r="W18" i="2" s="1"/>
  <c r="AI126" i="2"/>
  <c r="W126" i="2" s="1"/>
  <c r="AI75" i="2"/>
  <c r="W75" i="2" s="1"/>
  <c r="AI51" i="2"/>
  <c r="W51" i="2" s="1"/>
  <c r="AI81" i="2"/>
  <c r="W81" i="2" s="1"/>
  <c r="AI52" i="2"/>
  <c r="W52" i="2" s="1"/>
  <c r="AI36" i="2"/>
  <c r="W36" i="2" s="1"/>
  <c r="AI37" i="2"/>
  <c r="W37" i="2" s="1"/>
  <c r="AI74" i="2"/>
  <c r="W74" i="2" s="1"/>
  <c r="AI54" i="2"/>
  <c r="W54" i="2" s="1"/>
  <c r="AI38" i="2"/>
  <c r="W38" i="2" s="1"/>
  <c r="AI110" i="2"/>
  <c r="W110" i="2" s="1"/>
  <c r="AI86" i="2"/>
  <c r="W86" i="2" s="1"/>
  <c r="AI78" i="2"/>
  <c r="W78" i="2" s="1"/>
  <c r="AI70" i="2"/>
  <c r="W70" i="2" s="1"/>
  <c r="AI67" i="2"/>
  <c r="W67" i="2" s="1"/>
  <c r="AI56" i="2"/>
  <c r="W56" i="2" s="1"/>
  <c r="AI24" i="2"/>
  <c r="W24" i="2" s="1"/>
  <c r="AI41" i="2"/>
  <c r="W41" i="2" s="1"/>
  <c r="AI16" i="2"/>
  <c r="W16" i="2" s="1"/>
  <c r="AI22" i="2"/>
  <c r="W22" i="2" s="1"/>
  <c r="AI9" i="2"/>
  <c r="W9" i="2" s="1"/>
  <c r="AI26" i="2"/>
  <c r="W26" i="2" s="1"/>
  <c r="AI17" i="2"/>
  <c r="W17" i="2" s="1"/>
  <c r="AI33" i="2"/>
  <c r="W33" i="2" s="1"/>
  <c r="AI19" i="2"/>
  <c r="W19" i="2" s="1"/>
  <c r="AI42" i="2"/>
  <c r="W42" i="2" s="1"/>
  <c r="AI30" i="2"/>
  <c r="W30" i="2" s="1"/>
  <c r="AI58" i="2"/>
  <c r="W58" i="2" s="1"/>
  <c r="AI12" i="2"/>
  <c r="W12" i="2" s="1"/>
  <c r="AI35" i="2"/>
  <c r="W35" i="2" s="1"/>
  <c r="AI15" i="2"/>
  <c r="W15" i="2" s="1"/>
  <c r="AI20" i="2"/>
  <c r="W20" i="2" s="1"/>
  <c r="AI10" i="2"/>
  <c r="W10" i="2" s="1"/>
  <c r="AI23" i="2"/>
  <c r="W23" i="2" s="1"/>
  <c r="AQ274" i="2"/>
  <c r="AE274" i="2" s="1"/>
  <c r="S274" i="2" s="1"/>
  <c r="AQ728" i="2"/>
  <c r="AE728" i="2" s="1"/>
  <c r="S728" i="2" s="1"/>
  <c r="AQ21" i="2"/>
  <c r="AE21" i="2" s="1"/>
  <c r="S21" i="2" s="1"/>
  <c r="AQ484" i="2"/>
  <c r="AE484" i="2" s="1"/>
  <c r="S484" i="2" s="1"/>
  <c r="AQ134" i="2"/>
  <c r="AE134" i="2" s="1"/>
  <c r="S134" i="2" s="1"/>
  <c r="AQ79" i="2"/>
  <c r="AE79" i="2" s="1"/>
  <c r="S79" i="2" s="1"/>
  <c r="AQ433" i="2"/>
  <c r="AE433" i="2" s="1"/>
  <c r="S433" i="2" s="1"/>
  <c r="AQ212" i="2"/>
  <c r="AE212" i="2" s="1"/>
  <c r="S212" i="2" s="1"/>
  <c r="AQ554" i="2"/>
  <c r="AE554" i="2" s="1"/>
  <c r="S554" i="2" s="1"/>
  <c r="AQ643" i="2"/>
  <c r="AE643" i="2" s="1"/>
  <c r="S643" i="2" s="1"/>
  <c r="AQ48" i="2"/>
  <c r="AE48" i="2" s="1"/>
  <c r="S48" i="2" s="1"/>
  <c r="AQ39" i="2"/>
  <c r="AE39" i="2" s="1"/>
  <c r="S39" i="2" s="1"/>
  <c r="AQ1009" i="2"/>
  <c r="AE1009" i="2" s="1"/>
  <c r="S1009" i="2" s="1"/>
  <c r="AQ522" i="2"/>
  <c r="AE522" i="2" s="1"/>
  <c r="S522" i="2" s="1"/>
  <c r="AQ562" i="2"/>
  <c r="AE562" i="2" s="1"/>
  <c r="S562" i="2" s="1"/>
  <c r="AQ497" i="2"/>
  <c r="AE497" i="2" s="1"/>
  <c r="S497" i="2" s="1"/>
  <c r="AQ1270" i="2"/>
  <c r="AE1270" i="2" s="1"/>
  <c r="S1270" i="2" s="1"/>
  <c r="AQ969" i="2"/>
  <c r="AE969" i="2" s="1"/>
  <c r="S969" i="2" s="1"/>
  <c r="AQ518" i="2"/>
  <c r="AE518" i="2" s="1"/>
  <c r="S518" i="2" s="1"/>
  <c r="AQ1011" i="2"/>
  <c r="AE1011" i="2" s="1"/>
  <c r="S1011" i="2" s="1"/>
  <c r="AQ789" i="2"/>
  <c r="AE789" i="2" s="1"/>
  <c r="S789" i="2" s="1"/>
  <c r="AQ617" i="2"/>
  <c r="AE617" i="2" s="1"/>
  <c r="S617" i="2" s="1"/>
  <c r="AQ525" i="2"/>
  <c r="AE525" i="2" s="1"/>
  <c r="S525" i="2" s="1"/>
  <c r="AQ919" i="2"/>
  <c r="AE919" i="2" s="1"/>
  <c r="S919" i="2" s="1"/>
  <c r="AQ750" i="2"/>
  <c r="AE750" i="2" s="1"/>
  <c r="S750" i="2" s="1"/>
  <c r="AQ836" i="2"/>
  <c r="AE836" i="2" s="1"/>
  <c r="S836" i="2" s="1"/>
  <c r="AQ404" i="2"/>
  <c r="AE404" i="2" s="1"/>
  <c r="S404" i="2" s="1"/>
  <c r="AQ714" i="2"/>
  <c r="AE714" i="2" s="1"/>
  <c r="S714" i="2" s="1"/>
  <c r="AQ980" i="2"/>
  <c r="AE980" i="2" s="1"/>
  <c r="S980" i="2" s="1"/>
  <c r="AQ521" i="2"/>
  <c r="AE521" i="2" s="1"/>
  <c r="S521" i="2" s="1"/>
  <c r="AQ1164" i="2"/>
  <c r="AE1164" i="2" s="1"/>
  <c r="S1164" i="2" s="1"/>
  <c r="AQ1189" i="2"/>
  <c r="AE1189" i="2" s="1"/>
  <c r="S1189" i="2" s="1"/>
  <c r="AQ1195" i="2"/>
  <c r="AE1195" i="2" s="1"/>
  <c r="S1195" i="2" s="1"/>
  <c r="AQ254" i="2"/>
  <c r="AE254" i="2" s="1"/>
  <c r="S254" i="2" s="1"/>
  <c r="AQ970" i="2"/>
  <c r="AE970" i="2" s="1"/>
  <c r="S970" i="2" s="1"/>
  <c r="AQ458" i="2"/>
  <c r="AQ163" i="2"/>
  <c r="AE163" i="2" s="1"/>
  <c r="S163" i="2" s="1"/>
  <c r="AQ205" i="2"/>
  <c r="AQ1069" i="2"/>
  <c r="AE1069" i="2" s="1"/>
  <c r="S1069" i="2" s="1"/>
  <c r="AQ332" i="2"/>
  <c r="AE332" i="2" s="1"/>
  <c r="S332" i="2" s="1"/>
  <c r="AQ1158" i="2"/>
  <c r="AE1158" i="2" s="1"/>
  <c r="S1158" i="2" s="1"/>
  <c r="AQ831" i="2"/>
  <c r="AE831" i="2" s="1"/>
  <c r="S831" i="2" s="1"/>
  <c r="AQ582" i="2"/>
  <c r="AE582" i="2" s="1"/>
  <c r="S582" i="2" s="1"/>
  <c r="AQ939" i="2"/>
  <c r="AE939" i="2" s="1"/>
  <c r="S939" i="2" s="1"/>
  <c r="AQ1262" i="2"/>
  <c r="AE1262" i="2" s="1"/>
  <c r="S1262" i="2" s="1"/>
  <c r="AQ933" i="2"/>
  <c r="AQ914" i="2"/>
  <c r="AE914" i="2" s="1"/>
  <c r="S914" i="2" s="1"/>
  <c r="AQ234" i="2"/>
  <c r="AE234" i="2" s="1"/>
  <c r="S234" i="2" s="1"/>
  <c r="AQ818" i="2"/>
  <c r="AE818" i="2" s="1"/>
  <c r="S818" i="2" s="1"/>
  <c r="AQ1025" i="2"/>
  <c r="AE1025" i="2" s="1"/>
  <c r="S1025" i="2" s="1"/>
  <c r="AQ1077" i="2"/>
  <c r="AE1077" i="2" s="1"/>
  <c r="S1077" i="2" s="1"/>
  <c r="AQ899" i="2"/>
  <c r="AE899" i="2" s="1"/>
  <c r="S899" i="2" s="1"/>
  <c r="AQ1005" i="2"/>
  <c r="AE1005" i="2" s="1"/>
  <c r="S1005" i="2" s="1"/>
  <c r="AQ917" i="2"/>
  <c r="AE917" i="2" s="1"/>
  <c r="S917" i="2" s="1"/>
  <c r="AQ1130" i="2"/>
  <c r="AE1130" i="2" s="1"/>
  <c r="S1130" i="2" s="1"/>
  <c r="AQ1203" i="2"/>
  <c r="AE1203" i="2" s="1"/>
  <c r="S1203" i="2" s="1"/>
  <c r="AQ1234" i="2"/>
  <c r="AE1234" i="2" s="1"/>
  <c r="S1234" i="2" s="1"/>
  <c r="AQ1244" i="2"/>
  <c r="AE1244" i="2" s="1"/>
  <c r="S1244" i="2" s="1"/>
  <c r="AQ638" i="2"/>
  <c r="AE638" i="2" s="1"/>
  <c r="S638" i="2" s="1"/>
  <c r="AQ165" i="2"/>
  <c r="AE165" i="2" s="1"/>
  <c r="S165" i="2" s="1"/>
  <c r="AQ365" i="2"/>
  <c r="AE365" i="2" s="1"/>
  <c r="S365" i="2" s="1"/>
  <c r="AQ328" i="2"/>
  <c r="AE328" i="2" s="1"/>
  <c r="S328" i="2" s="1"/>
  <c r="AQ380" i="2"/>
  <c r="AE380" i="2" s="1"/>
  <c r="S380" i="2" s="1"/>
  <c r="AQ249" i="2"/>
  <c r="AE249" i="2" s="1"/>
  <c r="S249" i="2" s="1"/>
  <c r="AQ240" i="2"/>
  <c r="AE240" i="2" s="1"/>
  <c r="S240" i="2" s="1"/>
  <c r="AQ289" i="2"/>
  <c r="AE289" i="2" s="1"/>
  <c r="S289" i="2" s="1"/>
  <c r="AQ291" i="2"/>
  <c r="AE291" i="2" s="1"/>
  <c r="S291" i="2" s="1"/>
  <c r="AQ303" i="2"/>
  <c r="AE303" i="2" s="1"/>
  <c r="S303" i="2" s="1"/>
  <c r="AQ110" i="2"/>
  <c r="AE110" i="2" s="1"/>
  <c r="S110" i="2" s="1"/>
  <c r="AQ763" i="2"/>
  <c r="AE763" i="2" s="1"/>
  <c r="S763" i="2" s="1"/>
  <c r="AQ35" i="2"/>
  <c r="AE35" i="2" s="1"/>
  <c r="S35" i="2" s="1"/>
  <c r="AQ341" i="2"/>
  <c r="AE341" i="2" s="1"/>
  <c r="S341" i="2" s="1"/>
  <c r="AQ352" i="2"/>
  <c r="AE352" i="2" s="1"/>
  <c r="S352" i="2" s="1"/>
  <c r="AQ60" i="2"/>
  <c r="AE60" i="2" s="1"/>
  <c r="S60" i="2" s="1"/>
  <c r="AQ76" i="2"/>
  <c r="AE76" i="2" s="1"/>
  <c r="S76" i="2" s="1"/>
  <c r="AQ18" i="2"/>
  <c r="AQ95" i="2"/>
  <c r="AQ198" i="2"/>
  <c r="AE198" i="2" s="1"/>
  <c r="S198" i="2" s="1"/>
  <c r="AQ1249" i="2"/>
  <c r="AE1249" i="2" s="1"/>
  <c r="S1249" i="2" s="1"/>
  <c r="AU242" i="2"/>
  <c r="AU63" i="2"/>
  <c r="AI63" i="2" s="1"/>
  <c r="W63" i="2" s="1"/>
  <c r="AU775" i="2"/>
  <c r="AI775" i="2" s="1"/>
  <c r="W775" i="2" s="1"/>
  <c r="AU96" i="2"/>
  <c r="AU89" i="2"/>
  <c r="AI89" i="2" s="1"/>
  <c r="W89" i="2" s="1"/>
  <c r="AU779" i="2"/>
  <c r="AI779" i="2" s="1"/>
  <c r="W779" i="2" s="1"/>
  <c r="AU288" i="2"/>
  <c r="AI288" i="2" s="1"/>
  <c r="W288" i="2" s="1"/>
  <c r="AU378" i="2"/>
  <c r="AI378" i="2" s="1"/>
  <c r="W378" i="2" s="1"/>
  <c r="AU383" i="2"/>
  <c r="AI383" i="2" s="1"/>
  <c r="W383" i="2" s="1"/>
  <c r="AU32" i="2"/>
  <c r="AI32" i="2" s="1"/>
  <c r="W32" i="2" s="1"/>
  <c r="AU424" i="2"/>
  <c r="AI424" i="2" s="1"/>
  <c r="W424" i="2" s="1"/>
  <c r="AU1079" i="2"/>
  <c r="AU1224" i="2"/>
  <c r="AI1224" i="2" s="1"/>
  <c r="W1224" i="2" s="1"/>
  <c r="AU431" i="2"/>
  <c r="AI431" i="2" s="1"/>
  <c r="W431" i="2" s="1"/>
  <c r="AU841" i="2"/>
  <c r="AI841" i="2" s="1"/>
  <c r="W841" i="2" s="1"/>
  <c r="AU726" i="2"/>
  <c r="AI726" i="2" s="1"/>
  <c r="W726" i="2" s="1"/>
  <c r="AU596" i="2"/>
  <c r="AI596" i="2" s="1"/>
  <c r="W596" i="2" s="1"/>
  <c r="AU921" i="2"/>
  <c r="AI921" i="2" s="1"/>
  <c r="W921" i="2" s="1"/>
  <c r="AU705" i="2"/>
  <c r="AI705" i="2" s="1"/>
  <c r="W705" i="2" s="1"/>
  <c r="AU1266" i="2"/>
  <c r="AU197" i="2"/>
  <c r="AI197" i="2" s="1"/>
  <c r="W197" i="2" s="1"/>
  <c r="AU151" i="2"/>
  <c r="AI151" i="2" s="1"/>
  <c r="W151" i="2" s="1"/>
  <c r="AU637" i="2"/>
  <c r="AI637" i="2" s="1"/>
  <c r="W637" i="2" s="1"/>
  <c r="AU416" i="2"/>
  <c r="AI416" i="2" s="1"/>
  <c r="W416" i="2" s="1"/>
  <c r="AU1057" i="2"/>
  <c r="AI1057" i="2" s="1"/>
  <c r="W1057" i="2" s="1"/>
  <c r="AU1153" i="2"/>
  <c r="AI1153" i="2" s="1"/>
  <c r="W1153" i="2" s="1"/>
  <c r="AU1108" i="2"/>
  <c r="AI1108" i="2" s="1"/>
  <c r="W1108" i="2" s="1"/>
  <c r="AU1142" i="2"/>
  <c r="AI1142" i="2" s="1"/>
  <c r="W1142" i="2" s="1"/>
  <c r="AU266" i="2"/>
  <c r="AU782" i="2"/>
  <c r="AI782" i="2" s="1"/>
  <c r="W782" i="2" s="1"/>
  <c r="AU675" i="2"/>
  <c r="AI675" i="2" s="1"/>
  <c r="W675" i="2" s="1"/>
  <c r="AU215" i="2"/>
  <c r="AI215" i="2" s="1"/>
  <c r="W215" i="2" s="1"/>
  <c r="AU540" i="2"/>
  <c r="AU1041" i="2"/>
  <c r="AI1041" i="2" s="1"/>
  <c r="W1041" i="2" s="1"/>
  <c r="AU1002" i="2"/>
  <c r="AI1002" i="2" s="1"/>
  <c r="W1002" i="2" s="1"/>
  <c r="AU240" i="2"/>
  <c r="AU1103" i="2"/>
  <c r="AI1103" i="2" s="1"/>
  <c r="W1103" i="2" s="1"/>
  <c r="AU1197" i="2"/>
  <c r="AI1197" i="2" s="1"/>
  <c r="W1197" i="2" s="1"/>
  <c r="AU653" i="2"/>
  <c r="AU1049" i="2"/>
  <c r="AU1244" i="2"/>
  <c r="AI1244" i="2" s="1"/>
  <c r="W1244" i="2" s="1"/>
  <c r="AU765" i="2"/>
  <c r="AI765" i="2" s="1"/>
  <c r="W765" i="2" s="1"/>
  <c r="AU1068" i="2"/>
  <c r="AI1068" i="2" s="1"/>
  <c r="W1068" i="2" s="1"/>
  <c r="AU1130" i="2"/>
  <c r="AI1130" i="2" s="1"/>
  <c r="W1130" i="2" s="1"/>
  <c r="AU1045" i="2"/>
  <c r="AI1045" i="2" s="1"/>
  <c r="W1045" i="2" s="1"/>
  <c r="AU665" i="2"/>
  <c r="AU1088" i="2"/>
  <c r="AI1088" i="2" s="1"/>
  <c r="W1088" i="2" s="1"/>
  <c r="AU1005" i="2"/>
  <c r="AI1005" i="2" s="1"/>
  <c r="W1005" i="2" s="1"/>
  <c r="AU883" i="2"/>
  <c r="AI883" i="2" s="1"/>
  <c r="W883" i="2" s="1"/>
  <c r="AU822" i="2"/>
  <c r="AI822" i="2" s="1"/>
  <c r="W822" i="2" s="1"/>
  <c r="AU813" i="2"/>
  <c r="AI813" i="2" s="1"/>
  <c r="W813" i="2" s="1"/>
  <c r="AU802" i="2"/>
  <c r="AU425" i="2"/>
  <c r="AI425" i="2" s="1"/>
  <c r="W425" i="2" s="1"/>
  <c r="AU781" i="2"/>
  <c r="AI781" i="2" s="1"/>
  <c r="W781" i="2" s="1"/>
  <c r="AU295" i="2"/>
  <c r="AI295" i="2" s="1"/>
  <c r="W295" i="2" s="1"/>
  <c r="AU563" i="2"/>
  <c r="AI563" i="2" s="1"/>
  <c r="W563" i="2" s="1"/>
  <c r="AU783" i="2"/>
  <c r="AI783" i="2" s="1"/>
  <c r="W783" i="2" s="1"/>
  <c r="AU455" i="2"/>
  <c r="AI455" i="2" s="1"/>
  <c r="W455" i="2" s="1"/>
  <c r="AU521" i="2"/>
  <c r="AI521" i="2" s="1"/>
  <c r="W521" i="2" s="1"/>
  <c r="AU219" i="2"/>
  <c r="AU298" i="2"/>
  <c r="AI298" i="2" s="1"/>
  <c r="W298" i="2" s="1"/>
  <c r="AU339" i="2"/>
  <c r="AU384" i="2"/>
  <c r="AI384" i="2" s="1"/>
  <c r="W384" i="2" s="1"/>
  <c r="AU535" i="2"/>
  <c r="AI535" i="2" s="1"/>
  <c r="W535" i="2" s="1"/>
  <c r="AU323" i="2"/>
  <c r="AI323" i="2" s="1"/>
  <c r="W323" i="2" s="1"/>
  <c r="AU305" i="2"/>
  <c r="AI305" i="2" s="1"/>
  <c r="W305" i="2" s="1"/>
  <c r="AU633" i="2"/>
  <c r="AI633" i="2" s="1"/>
  <c r="W633" i="2" s="1"/>
  <c r="AU539" i="2"/>
  <c r="AU227" i="2"/>
  <c r="AI227" i="2" s="1"/>
  <c r="W227" i="2" s="1"/>
  <c r="AU509" i="2"/>
  <c r="AI509" i="2" s="1"/>
  <c r="W509" i="2" s="1"/>
  <c r="AU79" i="2"/>
  <c r="AI79" i="2" s="1"/>
  <c r="W79" i="2" s="1"/>
  <c r="AU182" i="2"/>
  <c r="AI182" i="2" s="1"/>
  <c r="W182" i="2" s="1"/>
  <c r="AU80" i="2"/>
  <c r="AI80" i="2" s="1"/>
  <c r="W80" i="2" s="1"/>
  <c r="AU116" i="2"/>
  <c r="AI116" i="2" s="1"/>
  <c r="W116" i="2" s="1"/>
  <c r="AU69" i="2"/>
  <c r="AI69" i="2" s="1"/>
  <c r="W69" i="2" s="1"/>
  <c r="AU30" i="2"/>
  <c r="AU751" i="2"/>
  <c r="AI751" i="2" s="1"/>
  <c r="W751" i="2" s="1"/>
  <c r="AU971" i="2"/>
  <c r="AI971" i="2" s="1"/>
  <c r="W971" i="2" s="1"/>
  <c r="AU1228" i="2"/>
  <c r="AI1228" i="2" s="1"/>
  <c r="W1228" i="2" s="1"/>
  <c r="AT897" i="2"/>
  <c r="AH897" i="2" s="1"/>
  <c r="V897" i="2" s="1"/>
  <c r="AT1094" i="2"/>
  <c r="AH1094" i="2" s="1"/>
  <c r="V1094" i="2" s="1"/>
  <c r="AT196" i="2"/>
  <c r="AH196" i="2" s="1"/>
  <c r="V196" i="2" s="1"/>
  <c r="AT295" i="2"/>
  <c r="AH295" i="2" s="1"/>
  <c r="V295" i="2" s="1"/>
  <c r="AT43" i="2"/>
  <c r="AH43" i="2" s="1"/>
  <c r="V43" i="2" s="1"/>
  <c r="AT638" i="2"/>
  <c r="AH638" i="2" s="1"/>
  <c r="V638" i="2" s="1"/>
  <c r="AT1048" i="2"/>
  <c r="AH1048" i="2" s="1"/>
  <c r="V1048" i="2" s="1"/>
  <c r="AT1159" i="2"/>
  <c r="AH1159" i="2" s="1"/>
  <c r="V1159" i="2" s="1"/>
  <c r="AT1046" i="2"/>
  <c r="AH1046" i="2" s="1"/>
  <c r="V1046" i="2" s="1"/>
  <c r="AT1127" i="2"/>
  <c r="AH1127" i="2" s="1"/>
  <c r="V1127" i="2" s="1"/>
  <c r="AT738" i="2"/>
  <c r="AH738" i="2" s="1"/>
  <c r="V738" i="2" s="1"/>
  <c r="AT957" i="2"/>
  <c r="AH957" i="2" s="1"/>
  <c r="V957" i="2" s="1"/>
  <c r="AT731" i="2"/>
  <c r="AH731" i="2" s="1"/>
  <c r="V731" i="2" s="1"/>
  <c r="AT810" i="2"/>
  <c r="AH810" i="2" s="1"/>
  <c r="V810" i="2" s="1"/>
  <c r="AT1166" i="2"/>
  <c r="AH1166" i="2" s="1"/>
  <c r="V1166" i="2" s="1"/>
  <c r="AT668" i="2"/>
  <c r="AH668" i="2" s="1"/>
  <c r="V668" i="2" s="1"/>
  <c r="AT817" i="2"/>
  <c r="AH817" i="2" s="1"/>
  <c r="V817" i="2" s="1"/>
  <c r="AT182" i="2"/>
  <c r="AH182" i="2" s="1"/>
  <c r="V182" i="2" s="1"/>
  <c r="AT692" i="2"/>
  <c r="AH692" i="2" s="1"/>
  <c r="V692" i="2" s="1"/>
  <c r="AT1218" i="2"/>
  <c r="AH1218" i="2" s="1"/>
  <c r="V1218" i="2" s="1"/>
  <c r="AT1210" i="2"/>
  <c r="AH1210" i="2" s="1"/>
  <c r="V1210" i="2" s="1"/>
  <c r="AT904" i="2"/>
  <c r="AH904" i="2" s="1"/>
  <c r="V904" i="2" s="1"/>
  <c r="AT1201" i="2"/>
  <c r="AH1201" i="2" s="1"/>
  <c r="V1201" i="2" s="1"/>
  <c r="AT656" i="2"/>
  <c r="AH656" i="2" s="1"/>
  <c r="V656" i="2" s="1"/>
  <c r="AT905" i="2"/>
  <c r="AH905" i="2" s="1"/>
  <c r="V905" i="2" s="1"/>
  <c r="AT1118" i="2"/>
  <c r="AH1118" i="2" s="1"/>
  <c r="V1118" i="2" s="1"/>
  <c r="AT427" i="2"/>
  <c r="AH427" i="2" s="1"/>
  <c r="V427" i="2" s="1"/>
  <c r="AT1038" i="2"/>
  <c r="AH1038" i="2" s="1"/>
  <c r="V1038" i="2" s="1"/>
  <c r="AT1175" i="2"/>
  <c r="AH1175" i="2" s="1"/>
  <c r="V1175" i="2" s="1"/>
  <c r="AT685" i="2"/>
  <c r="AH685" i="2" s="1"/>
  <c r="V685" i="2" s="1"/>
  <c r="AT1182" i="2"/>
  <c r="AT880" i="2"/>
  <c r="AH880" i="2" s="1"/>
  <c r="V880" i="2" s="1"/>
  <c r="AT978" i="2"/>
  <c r="AH978" i="2" s="1"/>
  <c r="V978" i="2" s="1"/>
  <c r="AT1241" i="2"/>
  <c r="AH1241" i="2" s="1"/>
  <c r="V1241" i="2" s="1"/>
  <c r="AT955" i="2"/>
  <c r="AT934" i="2"/>
  <c r="AH934" i="2" s="1"/>
  <c r="V934" i="2" s="1"/>
  <c r="AT982" i="2"/>
  <c r="AH982" i="2" s="1"/>
  <c r="V982" i="2" s="1"/>
  <c r="AT1119" i="2"/>
  <c r="AH1119" i="2" s="1"/>
  <c r="V1119" i="2" s="1"/>
  <c r="AT1146" i="2"/>
  <c r="AH1146" i="2" s="1"/>
  <c r="V1146" i="2" s="1"/>
  <c r="AT445" i="2"/>
  <c r="AH445" i="2" s="1"/>
  <c r="V445" i="2" s="1"/>
  <c r="AT614" i="2"/>
  <c r="AH614" i="2" s="1"/>
  <c r="V614" i="2" s="1"/>
  <c r="AT782" i="2"/>
  <c r="AH782" i="2" s="1"/>
  <c r="V782" i="2" s="1"/>
  <c r="AT353" i="2"/>
  <c r="AH353" i="2" s="1"/>
  <c r="V353" i="2" s="1"/>
  <c r="AT525" i="2"/>
  <c r="AH525" i="2" s="1"/>
  <c r="V525" i="2" s="1"/>
  <c r="AT386" i="2"/>
  <c r="AH386" i="2" s="1"/>
  <c r="V386" i="2" s="1"/>
  <c r="AT438" i="2"/>
  <c r="AH438" i="2" s="1"/>
  <c r="V438" i="2" s="1"/>
  <c r="AT705" i="2"/>
  <c r="AH705" i="2" s="1"/>
  <c r="V705" i="2" s="1"/>
  <c r="AT381" i="2"/>
  <c r="AH381" i="2" s="1"/>
  <c r="V381" i="2" s="1"/>
  <c r="AT670" i="2"/>
  <c r="AH670" i="2" s="1"/>
  <c r="V670" i="2" s="1"/>
  <c r="AT251" i="2"/>
  <c r="AH251" i="2" s="1"/>
  <c r="V251" i="2" s="1"/>
  <c r="AT411" i="2"/>
  <c r="AH411" i="2" s="1"/>
  <c r="V411" i="2" s="1"/>
  <c r="AT642" i="2"/>
  <c r="AH642" i="2" s="1"/>
  <c r="V642" i="2" s="1"/>
  <c r="AT307" i="2"/>
  <c r="AT413" i="2"/>
  <c r="AH413" i="2" s="1"/>
  <c r="V413" i="2" s="1"/>
  <c r="AT256" i="2"/>
  <c r="AH256" i="2" s="1"/>
  <c r="V256" i="2" s="1"/>
  <c r="AT613" i="2"/>
  <c r="AH613" i="2" s="1"/>
  <c r="V613" i="2" s="1"/>
  <c r="AT399" i="2"/>
  <c r="AH399" i="2" s="1"/>
  <c r="V399" i="2" s="1"/>
  <c r="AT476" i="2"/>
  <c r="AH476" i="2" s="1"/>
  <c r="V476" i="2" s="1"/>
  <c r="AT773" i="2"/>
  <c r="AH773" i="2" s="1"/>
  <c r="V773" i="2" s="1"/>
  <c r="AT442" i="2"/>
  <c r="AH442" i="2" s="1"/>
  <c r="V442" i="2" s="1"/>
  <c r="AT736" i="2"/>
  <c r="AH736" i="2" s="1"/>
  <c r="V736" i="2" s="1"/>
  <c r="AT323" i="2"/>
  <c r="AH323" i="2" s="1"/>
  <c r="V323" i="2" s="1"/>
  <c r="AT509" i="2"/>
  <c r="AH509" i="2" s="1"/>
  <c r="V509" i="2" s="1"/>
  <c r="AT797" i="2"/>
  <c r="AH797" i="2" s="1"/>
  <c r="V797" i="2" s="1"/>
  <c r="AT474" i="2"/>
  <c r="AH474" i="2" s="1"/>
  <c r="V474" i="2" s="1"/>
  <c r="AT263" i="2"/>
  <c r="AH263" i="2" s="1"/>
  <c r="V263" i="2" s="1"/>
  <c r="AT61" i="2"/>
  <c r="AH61" i="2" s="1"/>
  <c r="V61" i="2" s="1"/>
  <c r="AT121" i="2"/>
  <c r="AH121" i="2" s="1"/>
  <c r="V121" i="2" s="1"/>
  <c r="AT136" i="2"/>
  <c r="AH136" i="2" s="1"/>
  <c r="V136" i="2" s="1"/>
  <c r="AT135" i="2"/>
  <c r="AH135" i="2" s="1"/>
  <c r="V135" i="2" s="1"/>
  <c r="AT58" i="2"/>
  <c r="AH58" i="2" s="1"/>
  <c r="V58" i="2" s="1"/>
  <c r="AT17" i="2"/>
  <c r="AH17" i="2" s="1"/>
  <c r="V17" i="2" s="1"/>
  <c r="AT36" i="2"/>
  <c r="AH36" i="2" s="1"/>
  <c r="V36" i="2" s="1"/>
  <c r="AT265" i="2"/>
  <c r="AH265" i="2" s="1"/>
  <c r="V265" i="2" s="1"/>
  <c r="AT464" i="2"/>
  <c r="AH464" i="2" s="1"/>
  <c r="V464" i="2" s="1"/>
  <c r="AT712" i="2"/>
  <c r="AH712" i="2" s="1"/>
  <c r="V712" i="2" s="1"/>
  <c r="AT881" i="2"/>
  <c r="AH881" i="2" s="1"/>
  <c r="V881" i="2" s="1"/>
  <c r="AT1035" i="2"/>
  <c r="AH1035" i="2" s="1"/>
  <c r="V1035" i="2" s="1"/>
  <c r="AT1255" i="2"/>
  <c r="AM1250" i="2"/>
  <c r="AA1250" i="2" s="1"/>
  <c r="O1250" i="2" s="1"/>
  <c r="AM1166" i="2"/>
  <c r="AA1166" i="2" s="1"/>
  <c r="O1166" i="2" s="1"/>
  <c r="AM1164" i="2"/>
  <c r="AA1164" i="2" s="1"/>
  <c r="O1164" i="2" s="1"/>
  <c r="AM1130" i="2"/>
  <c r="AA1130" i="2" s="1"/>
  <c r="O1130" i="2" s="1"/>
  <c r="AM1097" i="2"/>
  <c r="AA1097" i="2" s="1"/>
  <c r="O1097" i="2" s="1"/>
  <c r="AM1027" i="2"/>
  <c r="AA1027" i="2" s="1"/>
  <c r="O1027" i="2" s="1"/>
  <c r="AM933" i="2"/>
  <c r="AA933" i="2" s="1"/>
  <c r="O933" i="2" s="1"/>
  <c r="AM885" i="2"/>
  <c r="AA885" i="2" s="1"/>
  <c r="O885" i="2" s="1"/>
  <c r="AM876" i="2"/>
  <c r="AA876" i="2" s="1"/>
  <c r="O876" i="2" s="1"/>
  <c r="AM804" i="2"/>
  <c r="AA804" i="2" s="1"/>
  <c r="O804" i="2" s="1"/>
  <c r="AM762" i="2"/>
  <c r="AA762" i="2" s="1"/>
  <c r="O762" i="2" s="1"/>
  <c r="AM764" i="2"/>
  <c r="AA764" i="2" s="1"/>
  <c r="O764" i="2" s="1"/>
  <c r="AM735" i="2"/>
  <c r="AA735" i="2" s="1"/>
  <c r="O735" i="2" s="1"/>
  <c r="AM646" i="2"/>
  <c r="AA646" i="2" s="1"/>
  <c r="O646" i="2" s="1"/>
  <c r="AM688" i="2"/>
  <c r="AA688" i="2" s="1"/>
  <c r="O688" i="2" s="1"/>
  <c r="AM672" i="2"/>
  <c r="AA672" i="2" s="1"/>
  <c r="O672" i="2" s="1"/>
  <c r="AM629" i="2"/>
  <c r="AA629" i="2" s="1"/>
  <c r="O629" i="2" s="1"/>
  <c r="AM613" i="2"/>
  <c r="AA613" i="2" s="1"/>
  <c r="O613" i="2" s="1"/>
  <c r="AM704" i="2"/>
  <c r="AA704" i="2" s="1"/>
  <c r="O704" i="2" s="1"/>
  <c r="AM552" i="2"/>
  <c r="AA552" i="2" s="1"/>
  <c r="O552" i="2" s="1"/>
  <c r="AM468" i="2"/>
  <c r="AA468" i="2" s="1"/>
  <c r="O468" i="2" s="1"/>
  <c r="AM465" i="2"/>
  <c r="AA465" i="2" s="1"/>
  <c r="O465" i="2" s="1"/>
  <c r="AM485" i="2"/>
  <c r="AA485" i="2" s="1"/>
  <c r="O485" i="2" s="1"/>
  <c r="AM491" i="2"/>
  <c r="AA491" i="2" s="1"/>
  <c r="O491" i="2" s="1"/>
  <c r="AM425" i="2"/>
  <c r="AA425" i="2" s="1"/>
  <c r="O425" i="2" s="1"/>
  <c r="AM335" i="2"/>
  <c r="AA335" i="2" s="1"/>
  <c r="O335" i="2" s="1"/>
  <c r="AM307" i="2"/>
  <c r="AA307" i="2" s="1"/>
  <c r="O307" i="2" s="1"/>
  <c r="AM274" i="2"/>
  <c r="AA274" i="2" s="1"/>
  <c r="O274" i="2" s="1"/>
  <c r="AM291" i="2"/>
  <c r="AA291" i="2" s="1"/>
  <c r="O291" i="2" s="1"/>
  <c r="AM147" i="2"/>
  <c r="AA147" i="2" s="1"/>
  <c r="O147" i="2" s="1"/>
  <c r="AM217" i="2"/>
  <c r="AA217" i="2" s="1"/>
  <c r="O217" i="2" s="1"/>
  <c r="AM205" i="2"/>
  <c r="AA205" i="2" s="1"/>
  <c r="O205" i="2" s="1"/>
  <c r="AM157" i="2"/>
  <c r="AA157" i="2" s="1"/>
  <c r="O157" i="2" s="1"/>
  <c r="AM112" i="2"/>
  <c r="AA112" i="2" s="1"/>
  <c r="O112" i="2" s="1"/>
  <c r="AM68" i="2"/>
  <c r="AA68" i="2" s="1"/>
  <c r="O68" i="2" s="1"/>
  <c r="AM84" i="2"/>
  <c r="AA84" i="2" s="1"/>
  <c r="O84" i="2" s="1"/>
  <c r="AM30" i="2"/>
  <c r="AA30" i="2" s="1"/>
  <c r="O30" i="2" s="1"/>
  <c r="AM82" i="2"/>
  <c r="AA82" i="2" s="1"/>
  <c r="O82" i="2" s="1"/>
  <c r="AM39" i="2"/>
  <c r="AA39" i="2" s="1"/>
  <c r="O39" i="2" s="1"/>
  <c r="AM62" i="2"/>
  <c r="AA62" i="2" s="1"/>
  <c r="O62" i="2" s="1"/>
  <c r="AM76" i="2"/>
  <c r="AA76" i="2" s="1"/>
  <c r="O76" i="2" s="1"/>
  <c r="AM15" i="2"/>
  <c r="AA15" i="2" s="1"/>
  <c r="O15" i="2" s="1"/>
  <c r="AM81" i="2"/>
  <c r="AA81" i="2" s="1"/>
  <c r="O81" i="2" s="1"/>
  <c r="AM188" i="2"/>
  <c r="AA188" i="2" s="1"/>
  <c r="O188" i="2" s="1"/>
  <c r="AM170" i="2"/>
  <c r="AA170" i="2" s="1"/>
  <c r="O170" i="2" s="1"/>
  <c r="AM21" i="2"/>
  <c r="AA21" i="2" s="1"/>
  <c r="O21" i="2" s="1"/>
  <c r="AM28" i="2"/>
  <c r="AA28" i="2" s="1"/>
  <c r="O28" i="2" s="1"/>
  <c r="AM111" i="2"/>
  <c r="AA111" i="2" s="1"/>
  <c r="O111" i="2" s="1"/>
  <c r="AM154" i="2"/>
  <c r="AA154" i="2" s="1"/>
  <c r="O154" i="2" s="1"/>
  <c r="AM191" i="2"/>
  <c r="AA191" i="2" s="1"/>
  <c r="O191" i="2" s="1"/>
  <c r="AM181" i="2"/>
  <c r="AA181" i="2" s="1"/>
  <c r="O181" i="2" s="1"/>
  <c r="AM27" i="2"/>
  <c r="AA27" i="2" s="1"/>
  <c r="O27" i="2" s="1"/>
  <c r="AM49" i="2"/>
  <c r="AA49" i="2" s="1"/>
  <c r="O49" i="2" s="1"/>
  <c r="AM59" i="2"/>
  <c r="AA59" i="2" s="1"/>
  <c r="O59" i="2" s="1"/>
  <c r="AM196" i="2"/>
  <c r="AA196" i="2" s="1"/>
  <c r="O196" i="2" s="1"/>
  <c r="AM192" i="2"/>
  <c r="AA192" i="2" s="1"/>
  <c r="O192" i="2" s="1"/>
  <c r="AM209" i="2"/>
  <c r="AA209" i="2" s="1"/>
  <c r="O209" i="2" s="1"/>
  <c r="AM156" i="2"/>
  <c r="AA156" i="2" s="1"/>
  <c r="O156" i="2" s="1"/>
  <c r="AM108" i="2"/>
  <c r="AA108" i="2" s="1"/>
  <c r="O108" i="2" s="1"/>
  <c r="AM57" i="2"/>
  <c r="AA57" i="2" s="1"/>
  <c r="O57" i="2" s="1"/>
  <c r="AM31" i="2"/>
  <c r="AA31" i="2" s="1"/>
  <c r="O31" i="2" s="1"/>
  <c r="AM173" i="2"/>
  <c r="AA173" i="2" s="1"/>
  <c r="O173" i="2" s="1"/>
  <c r="AM161" i="2"/>
  <c r="AA161" i="2" s="1"/>
  <c r="O161" i="2" s="1"/>
  <c r="AM12" i="2"/>
  <c r="AA12" i="2" s="1"/>
  <c r="O12" i="2" s="1"/>
  <c r="AM18" i="2"/>
  <c r="AA18" i="2" s="1"/>
  <c r="O18" i="2" s="1"/>
  <c r="AM171" i="2"/>
  <c r="AA171" i="2" s="1"/>
  <c r="O171" i="2" s="1"/>
  <c r="AM13" i="2"/>
  <c r="AA13" i="2" s="1"/>
  <c r="O13" i="2" s="1"/>
  <c r="AM16" i="2"/>
  <c r="AA16" i="2" s="1"/>
  <c r="O16" i="2" s="1"/>
  <c r="AM145" i="2"/>
  <c r="AA145" i="2" s="1"/>
  <c r="O145" i="2" s="1"/>
  <c r="AM165" i="2"/>
  <c r="AA165" i="2" s="1"/>
  <c r="O165" i="2" s="1"/>
  <c r="AM55" i="2"/>
  <c r="AA55" i="2" s="1"/>
  <c r="O55" i="2" s="1"/>
  <c r="AM73" i="2"/>
  <c r="AA73" i="2" s="1"/>
  <c r="O73" i="2" s="1"/>
  <c r="AM124" i="2"/>
  <c r="AA124" i="2" s="1"/>
  <c r="O124" i="2" s="1"/>
  <c r="AM135" i="2"/>
  <c r="AA135" i="2" s="1"/>
  <c r="O135" i="2" s="1"/>
  <c r="AM95" i="2"/>
  <c r="AA95" i="2" s="1"/>
  <c r="O95" i="2" s="1"/>
  <c r="AM149" i="2"/>
  <c r="AA149" i="2" s="1"/>
  <c r="O149" i="2" s="1"/>
  <c r="AM34" i="2"/>
  <c r="AA34" i="2" s="1"/>
  <c r="O34" i="2" s="1"/>
  <c r="AM67" i="2"/>
  <c r="AA67" i="2" s="1"/>
  <c r="O67" i="2" s="1"/>
  <c r="AM33" i="2"/>
  <c r="AA33" i="2" s="1"/>
  <c r="O33" i="2" s="1"/>
  <c r="AM127" i="2"/>
  <c r="AA127" i="2" s="1"/>
  <c r="O127" i="2" s="1"/>
  <c r="AM125" i="2"/>
  <c r="AA125" i="2" s="1"/>
  <c r="O125" i="2" s="1"/>
  <c r="AM83" i="2"/>
  <c r="AA83" i="2" s="1"/>
  <c r="O83" i="2" s="1"/>
  <c r="AM92" i="2"/>
  <c r="AA92" i="2" s="1"/>
  <c r="O92" i="2" s="1"/>
  <c r="AM70" i="2"/>
  <c r="AA70" i="2" s="1"/>
  <c r="O70" i="2" s="1"/>
  <c r="AM78" i="2"/>
  <c r="AA78" i="2" s="1"/>
  <c r="O78" i="2" s="1"/>
  <c r="AM151" i="2"/>
  <c r="AA151" i="2" s="1"/>
  <c r="O151" i="2" s="1"/>
  <c r="AM56" i="2"/>
  <c r="AA56" i="2" s="1"/>
  <c r="O56" i="2" s="1"/>
  <c r="AM65" i="2"/>
  <c r="AA65" i="2" s="1"/>
  <c r="O65" i="2" s="1"/>
  <c r="AM46" i="2"/>
  <c r="AA46" i="2" s="1"/>
  <c r="O46" i="2" s="1"/>
  <c r="AM41" i="2"/>
  <c r="AA41" i="2" s="1"/>
  <c r="O41" i="2" s="1"/>
  <c r="AM141" i="2"/>
  <c r="AA141" i="2" s="1"/>
  <c r="O141" i="2" s="1"/>
  <c r="AM174" i="2"/>
  <c r="AA174" i="2" s="1"/>
  <c r="O174" i="2" s="1"/>
  <c r="AM206" i="2"/>
  <c r="AA206" i="2" s="1"/>
  <c r="O206" i="2" s="1"/>
  <c r="AM258" i="2"/>
  <c r="AA258" i="2" s="1"/>
  <c r="O258" i="2" s="1"/>
  <c r="AM260" i="2"/>
  <c r="AA260" i="2" s="1"/>
  <c r="O260" i="2" s="1"/>
  <c r="AM347" i="2"/>
  <c r="AA347" i="2" s="1"/>
  <c r="O347" i="2" s="1"/>
  <c r="AM504" i="2"/>
  <c r="AA504" i="2" s="1"/>
  <c r="O504" i="2" s="1"/>
  <c r="AM489" i="2"/>
  <c r="AA489" i="2" s="1"/>
  <c r="O489" i="2" s="1"/>
  <c r="AM559" i="2"/>
  <c r="AA559" i="2" s="1"/>
  <c r="O559" i="2" s="1"/>
  <c r="AM527" i="2"/>
  <c r="AA527" i="2" s="1"/>
  <c r="O527" i="2" s="1"/>
  <c r="AM589" i="2"/>
  <c r="AA589" i="2" s="1"/>
  <c r="O589" i="2" s="1"/>
  <c r="AM728" i="2"/>
  <c r="AA728" i="2" s="1"/>
  <c r="O728" i="2" s="1"/>
  <c r="AM659" i="2"/>
  <c r="AA659" i="2" s="1"/>
  <c r="O659" i="2" s="1"/>
  <c r="AM675" i="2"/>
  <c r="AA675" i="2" s="1"/>
  <c r="O675" i="2" s="1"/>
  <c r="AM811" i="2"/>
  <c r="AA811" i="2" s="1"/>
  <c r="O811" i="2" s="1"/>
  <c r="AM152" i="2"/>
  <c r="AA152" i="2" s="1"/>
  <c r="O152" i="2" s="1"/>
  <c r="AM177" i="2"/>
  <c r="AA177" i="2" s="1"/>
  <c r="O177" i="2" s="1"/>
  <c r="AM187" i="2"/>
  <c r="AA187" i="2" s="1"/>
  <c r="O187" i="2" s="1"/>
  <c r="AM302" i="2"/>
  <c r="AA302" i="2" s="1"/>
  <c r="O302" i="2" s="1"/>
  <c r="AM303" i="2"/>
  <c r="AA303" i="2" s="1"/>
  <c r="O303" i="2" s="1"/>
  <c r="AM418" i="2"/>
  <c r="AA418" i="2" s="1"/>
  <c r="O418" i="2" s="1"/>
  <c r="AM366" i="2"/>
  <c r="AA366" i="2" s="1"/>
  <c r="O366" i="2" s="1"/>
  <c r="AM420" i="2"/>
  <c r="AA420" i="2" s="1"/>
  <c r="O420" i="2" s="1"/>
  <c r="AM507" i="2"/>
  <c r="AA507" i="2" s="1"/>
  <c r="O507" i="2" s="1"/>
  <c r="AM587" i="2"/>
  <c r="AA587" i="2" s="1"/>
  <c r="O587" i="2" s="1"/>
  <c r="AM531" i="2"/>
  <c r="AA531" i="2" s="1"/>
  <c r="O531" i="2" s="1"/>
  <c r="AM666" i="2"/>
  <c r="AA666" i="2" s="1"/>
  <c r="O666" i="2" s="1"/>
  <c r="AM682" i="2"/>
  <c r="AA682" i="2" s="1"/>
  <c r="O682" i="2" s="1"/>
  <c r="AM740" i="2"/>
  <c r="AA740" i="2" s="1"/>
  <c r="O740" i="2" s="1"/>
  <c r="AM803" i="2"/>
  <c r="AA803" i="2" s="1"/>
  <c r="O803" i="2" s="1"/>
  <c r="AM788" i="2"/>
  <c r="AA788" i="2" s="1"/>
  <c r="O788" i="2" s="1"/>
  <c r="AM831" i="2"/>
  <c r="AA831" i="2" s="1"/>
  <c r="O831" i="2" s="1"/>
  <c r="AM189" i="2"/>
  <c r="AA189" i="2" s="1"/>
  <c r="O189" i="2" s="1"/>
  <c r="AM305" i="2"/>
  <c r="AA305" i="2" s="1"/>
  <c r="O305" i="2" s="1"/>
  <c r="AM320" i="2"/>
  <c r="AA320" i="2" s="1"/>
  <c r="O320" i="2" s="1"/>
  <c r="AM328" i="2"/>
  <c r="AA328" i="2" s="1"/>
  <c r="O328" i="2" s="1"/>
  <c r="AM388" i="2"/>
  <c r="AA388" i="2" s="1"/>
  <c r="O388" i="2" s="1"/>
  <c r="AM403" i="2"/>
  <c r="AA403" i="2" s="1"/>
  <c r="O403" i="2" s="1"/>
  <c r="AM379" i="2"/>
  <c r="AA379" i="2" s="1"/>
  <c r="O379" i="2" s="1"/>
  <c r="AM475" i="2"/>
  <c r="AA475" i="2" s="1"/>
  <c r="O475" i="2" s="1"/>
  <c r="AM424" i="2"/>
  <c r="AA424" i="2" s="1"/>
  <c r="O424" i="2" s="1"/>
  <c r="AM508" i="2"/>
  <c r="AA508" i="2" s="1"/>
  <c r="O508" i="2" s="1"/>
  <c r="AM516" i="2"/>
  <c r="AA516" i="2" s="1"/>
  <c r="O516" i="2" s="1"/>
  <c r="AM586" i="2"/>
  <c r="AA586" i="2" s="1"/>
  <c r="O586" i="2" s="1"/>
  <c r="AM623" i="2"/>
  <c r="AA623" i="2" s="1"/>
  <c r="O623" i="2" s="1"/>
  <c r="AM615" i="2"/>
  <c r="AA615" i="2" s="1"/>
  <c r="O615" i="2" s="1"/>
  <c r="AM699" i="2"/>
  <c r="AA699" i="2" s="1"/>
  <c r="O699" i="2" s="1"/>
  <c r="AM676" i="2"/>
  <c r="AA676" i="2" s="1"/>
  <c r="O676" i="2" s="1"/>
  <c r="AM711" i="2"/>
  <c r="AA711" i="2" s="1"/>
  <c r="O711" i="2" s="1"/>
  <c r="AM687" i="2"/>
  <c r="AA687" i="2" s="1"/>
  <c r="O687" i="2" s="1"/>
  <c r="AM795" i="2"/>
  <c r="AA795" i="2" s="1"/>
  <c r="O795" i="2" s="1"/>
  <c r="AM775" i="2"/>
  <c r="AA775" i="2" s="1"/>
  <c r="O775" i="2" s="1"/>
  <c r="AM190" i="2"/>
  <c r="AA190" i="2" s="1"/>
  <c r="O190" i="2" s="1"/>
  <c r="AM231" i="2"/>
  <c r="AA231" i="2" s="1"/>
  <c r="O231" i="2" s="1"/>
  <c r="AM263" i="2"/>
  <c r="AA263" i="2" s="1"/>
  <c r="O263" i="2" s="1"/>
  <c r="AM270" i="2"/>
  <c r="AA270" i="2" s="1"/>
  <c r="O270" i="2" s="1"/>
  <c r="AM362" i="2"/>
  <c r="AA362" i="2" s="1"/>
  <c r="O362" i="2" s="1"/>
  <c r="AM382" i="2"/>
  <c r="AA382" i="2" s="1"/>
  <c r="O382" i="2" s="1"/>
  <c r="AM437" i="2"/>
  <c r="AA437" i="2" s="1"/>
  <c r="O437" i="2" s="1"/>
  <c r="AM585" i="2"/>
  <c r="AA585" i="2" s="1"/>
  <c r="O585" i="2" s="1"/>
  <c r="AM590" i="2"/>
  <c r="AA590" i="2" s="1"/>
  <c r="O590" i="2" s="1"/>
  <c r="AM691" i="2"/>
  <c r="AA691" i="2" s="1"/>
  <c r="O691" i="2" s="1"/>
  <c r="AM717" i="2"/>
  <c r="AA717" i="2" s="1"/>
  <c r="O717" i="2" s="1"/>
  <c r="AM749" i="2"/>
  <c r="AA749" i="2" s="1"/>
  <c r="O749" i="2" s="1"/>
  <c r="AM759" i="2"/>
  <c r="AA759" i="2" s="1"/>
  <c r="O759" i="2" s="1"/>
  <c r="AM194" i="2"/>
  <c r="AA194" i="2" s="1"/>
  <c r="O194" i="2" s="1"/>
  <c r="AM230" i="2"/>
  <c r="AA230" i="2" s="1"/>
  <c r="O230" i="2" s="1"/>
  <c r="AM265" i="2"/>
  <c r="AA265" i="2" s="1"/>
  <c r="O265" i="2" s="1"/>
  <c r="AM211" i="2"/>
  <c r="AA211" i="2" s="1"/>
  <c r="O211" i="2" s="1"/>
  <c r="AM246" i="2"/>
  <c r="AA246" i="2" s="1"/>
  <c r="O246" i="2" s="1"/>
  <c r="AM372" i="2"/>
  <c r="AA372" i="2" s="1"/>
  <c r="O372" i="2" s="1"/>
  <c r="AM285" i="2"/>
  <c r="AA285" i="2" s="1"/>
  <c r="O285" i="2" s="1"/>
  <c r="AM359" i="2"/>
  <c r="AA359" i="2" s="1"/>
  <c r="O359" i="2" s="1"/>
  <c r="AM530" i="2"/>
  <c r="AA530" i="2" s="1"/>
  <c r="O530" i="2" s="1"/>
  <c r="AM212" i="2"/>
  <c r="AA212" i="2" s="1"/>
  <c r="O212" i="2" s="1"/>
  <c r="AM317" i="2"/>
  <c r="AA317" i="2" s="1"/>
  <c r="O317" i="2" s="1"/>
  <c r="AM309" i="2"/>
  <c r="AA309" i="2" s="1"/>
  <c r="O309" i="2" s="1"/>
  <c r="AM337" i="2"/>
  <c r="AA337" i="2" s="1"/>
  <c r="O337" i="2" s="1"/>
  <c r="AM479" i="2"/>
  <c r="AA479" i="2" s="1"/>
  <c r="O479" i="2" s="1"/>
  <c r="AM517" i="2"/>
  <c r="AA517" i="2" s="1"/>
  <c r="O517" i="2" s="1"/>
  <c r="AM454" i="2"/>
  <c r="AA454" i="2" s="1"/>
  <c r="O454" i="2" s="1"/>
  <c r="AM547" i="2"/>
  <c r="AA547" i="2" s="1"/>
  <c r="O547" i="2" s="1"/>
  <c r="AM551" i="2"/>
  <c r="AA551" i="2" s="1"/>
  <c r="O551" i="2" s="1"/>
  <c r="AM722" i="2"/>
  <c r="AA722" i="2" s="1"/>
  <c r="O722" i="2" s="1"/>
  <c r="AM698" i="2"/>
  <c r="AA698" i="2" s="1"/>
  <c r="O698" i="2" s="1"/>
  <c r="AM747" i="2"/>
  <c r="AA747" i="2" s="1"/>
  <c r="O747" i="2" s="1"/>
  <c r="AM806" i="2"/>
  <c r="AA806" i="2" s="1"/>
  <c r="O806" i="2" s="1"/>
  <c r="AM850" i="2"/>
  <c r="AA850" i="2" s="1"/>
  <c r="O850" i="2" s="1"/>
  <c r="AM168" i="2"/>
  <c r="AA168" i="2" s="1"/>
  <c r="O168" i="2" s="1"/>
  <c r="AM339" i="2"/>
  <c r="AA339" i="2" s="1"/>
  <c r="O339" i="2" s="1"/>
  <c r="AM375" i="2"/>
  <c r="AA375" i="2" s="1"/>
  <c r="O375" i="2" s="1"/>
  <c r="AM357" i="2"/>
  <c r="AA357" i="2" s="1"/>
  <c r="O357" i="2" s="1"/>
  <c r="AM406" i="2"/>
  <c r="AA406" i="2" s="1"/>
  <c r="O406" i="2" s="1"/>
  <c r="AM422" i="2"/>
  <c r="AA422" i="2" s="1"/>
  <c r="O422" i="2" s="1"/>
  <c r="AM597" i="2"/>
  <c r="AA597" i="2" s="1"/>
  <c r="O597" i="2" s="1"/>
  <c r="AM596" i="2"/>
  <c r="AA596" i="2" s="1"/>
  <c r="O596" i="2" s="1"/>
  <c r="AM647" i="2"/>
  <c r="AA647" i="2" s="1"/>
  <c r="O647" i="2" s="1"/>
  <c r="AM631" i="2"/>
  <c r="AA631" i="2" s="1"/>
  <c r="O631" i="2" s="1"/>
  <c r="AM684" i="2"/>
  <c r="AA684" i="2" s="1"/>
  <c r="O684" i="2" s="1"/>
  <c r="AM734" i="2"/>
  <c r="AA734" i="2" s="1"/>
  <c r="O734" i="2" s="1"/>
  <c r="AM707" i="2"/>
  <c r="AA707" i="2" s="1"/>
  <c r="O707" i="2" s="1"/>
  <c r="AM755" i="2"/>
  <c r="AA755" i="2" s="1"/>
  <c r="O755" i="2" s="1"/>
  <c r="AM761" i="2"/>
  <c r="AA761" i="2" s="1"/>
  <c r="O761" i="2" s="1"/>
  <c r="AM195" i="2"/>
  <c r="AA195" i="2" s="1"/>
  <c r="O195" i="2" s="1"/>
  <c r="AM244" i="2"/>
  <c r="AA244" i="2" s="1"/>
  <c r="O244" i="2" s="1"/>
  <c r="AM250" i="2"/>
  <c r="AA250" i="2" s="1"/>
  <c r="O250" i="2" s="1"/>
  <c r="AM228" i="2"/>
  <c r="AA228" i="2" s="1"/>
  <c r="O228" i="2" s="1"/>
  <c r="AM318" i="2"/>
  <c r="AA318" i="2" s="1"/>
  <c r="O318" i="2" s="1"/>
  <c r="AM380" i="2"/>
  <c r="AA380" i="2" s="1"/>
  <c r="O380" i="2" s="1"/>
  <c r="AM371" i="2"/>
  <c r="AA371" i="2" s="1"/>
  <c r="O371" i="2" s="1"/>
  <c r="AM363" i="2"/>
  <c r="AA363" i="2" s="1"/>
  <c r="O363" i="2" s="1"/>
  <c r="AM356" i="2"/>
  <c r="AA356" i="2" s="1"/>
  <c r="O356" i="2" s="1"/>
  <c r="AM408" i="2"/>
  <c r="AA408" i="2" s="1"/>
  <c r="O408" i="2" s="1"/>
  <c r="AM423" i="2"/>
  <c r="AA423" i="2" s="1"/>
  <c r="O423" i="2" s="1"/>
  <c r="AM439" i="2"/>
  <c r="AA439" i="2" s="1"/>
  <c r="O439" i="2" s="1"/>
  <c r="AM416" i="2"/>
  <c r="AA416" i="2" s="1"/>
  <c r="O416" i="2" s="1"/>
  <c r="AM498" i="2"/>
  <c r="AA498" i="2" s="1"/>
  <c r="O498" i="2" s="1"/>
  <c r="AM490" i="2"/>
  <c r="AA490" i="2" s="1"/>
  <c r="O490" i="2" s="1"/>
  <c r="AM488" i="2"/>
  <c r="AA488" i="2" s="1"/>
  <c r="O488" i="2" s="1"/>
  <c r="AM658" i="2"/>
  <c r="AA658" i="2" s="1"/>
  <c r="O658" i="2" s="1"/>
  <c r="AM532" i="2"/>
  <c r="AA532" i="2" s="1"/>
  <c r="O532" i="2" s="1"/>
  <c r="AM655" i="2"/>
  <c r="AA655" i="2" s="1"/>
  <c r="O655" i="2" s="1"/>
  <c r="AM671" i="2"/>
  <c r="AA671" i="2" s="1"/>
  <c r="O671" i="2" s="1"/>
  <c r="AM774" i="2"/>
  <c r="AA774" i="2" s="1"/>
  <c r="O774" i="2" s="1"/>
  <c r="AM155" i="2"/>
  <c r="AA155" i="2" s="1"/>
  <c r="O155" i="2" s="1"/>
  <c r="AM249" i="2"/>
  <c r="AA249" i="2" s="1"/>
  <c r="O249" i="2" s="1"/>
  <c r="AM216" i="2"/>
  <c r="AA216" i="2" s="1"/>
  <c r="O216" i="2" s="1"/>
  <c r="AM232" i="2"/>
  <c r="AA232" i="2" s="1"/>
  <c r="O232" i="2" s="1"/>
  <c r="AM323" i="2"/>
  <c r="AA323" i="2" s="1"/>
  <c r="O323" i="2" s="1"/>
  <c r="AM272" i="2"/>
  <c r="AA272" i="2" s="1"/>
  <c r="O272" i="2" s="1"/>
  <c r="AM341" i="2"/>
  <c r="AA341" i="2" s="1"/>
  <c r="O341" i="2" s="1"/>
  <c r="AM391" i="2"/>
  <c r="AA391" i="2" s="1"/>
  <c r="O391" i="2" s="1"/>
  <c r="AM419" i="2"/>
  <c r="AA419" i="2" s="1"/>
  <c r="O419" i="2" s="1"/>
  <c r="AM438" i="2"/>
  <c r="AA438" i="2" s="1"/>
  <c r="O438" i="2" s="1"/>
  <c r="AM470" i="2"/>
  <c r="AA470" i="2" s="1"/>
  <c r="O470" i="2" s="1"/>
  <c r="AM588" i="2"/>
  <c r="AA588" i="2" s="1"/>
  <c r="O588" i="2" s="1"/>
  <c r="AM562" i="2"/>
  <c r="AA562" i="2" s="1"/>
  <c r="O562" i="2" s="1"/>
  <c r="AM657" i="2"/>
  <c r="AA657" i="2" s="1"/>
  <c r="O657" i="2" s="1"/>
  <c r="AM643" i="2"/>
  <c r="AA643" i="2" s="1"/>
  <c r="O643" i="2" s="1"/>
  <c r="AM732" i="2"/>
  <c r="AA732" i="2" s="1"/>
  <c r="O732" i="2" s="1"/>
  <c r="AM692" i="2"/>
  <c r="AA692" i="2" s="1"/>
  <c r="O692" i="2" s="1"/>
  <c r="AM772" i="2"/>
  <c r="AA772" i="2" s="1"/>
  <c r="O772" i="2" s="1"/>
  <c r="AM109" i="2"/>
  <c r="AA109" i="2" s="1"/>
  <c r="O109" i="2" s="1"/>
  <c r="AM172" i="2"/>
  <c r="AA172" i="2" s="1"/>
  <c r="O172" i="2" s="1"/>
  <c r="AM203" i="2"/>
  <c r="AA203" i="2" s="1"/>
  <c r="O203" i="2" s="1"/>
  <c r="AM277" i="2"/>
  <c r="AA277" i="2" s="1"/>
  <c r="O277" i="2" s="1"/>
  <c r="AM301" i="2"/>
  <c r="AA301" i="2" s="1"/>
  <c r="O301" i="2" s="1"/>
  <c r="AM242" i="2"/>
  <c r="AA242" i="2" s="1"/>
  <c r="O242" i="2" s="1"/>
  <c r="AM319" i="2"/>
  <c r="AA319" i="2" s="1"/>
  <c r="O319" i="2" s="1"/>
  <c r="AM393" i="2"/>
  <c r="AA393" i="2" s="1"/>
  <c r="O393" i="2" s="1"/>
  <c r="AM378" i="2"/>
  <c r="AA378" i="2" s="1"/>
  <c r="O378" i="2" s="1"/>
  <c r="AM373" i="2"/>
  <c r="AA373" i="2" s="1"/>
  <c r="O373" i="2" s="1"/>
  <c r="AM440" i="2"/>
  <c r="AA440" i="2" s="1"/>
  <c r="O440" i="2" s="1"/>
  <c r="AM604" i="2"/>
  <c r="AA604" i="2" s="1"/>
  <c r="O604" i="2" s="1"/>
  <c r="AM564" i="2"/>
  <c r="AA564" i="2" s="1"/>
  <c r="O564" i="2" s="1"/>
  <c r="AM567" i="2"/>
  <c r="AA567" i="2" s="1"/>
  <c r="O567" i="2" s="1"/>
  <c r="AM625" i="2"/>
  <c r="AA625" i="2" s="1"/>
  <c r="O625" i="2" s="1"/>
  <c r="AM701" i="2"/>
  <c r="AA701" i="2" s="1"/>
  <c r="O701" i="2" s="1"/>
  <c r="AM644" i="2"/>
  <c r="AA644" i="2" s="1"/>
  <c r="O644" i="2" s="1"/>
  <c r="AM730" i="2"/>
  <c r="AA730" i="2" s="1"/>
  <c r="O730" i="2" s="1"/>
  <c r="AM779" i="2"/>
  <c r="AA779" i="2" s="1"/>
  <c r="O779" i="2" s="1"/>
  <c r="AM822" i="2"/>
  <c r="AA822" i="2" s="1"/>
  <c r="O822" i="2" s="1"/>
  <c r="AM175" i="2"/>
  <c r="AA175" i="2" s="1"/>
  <c r="O175" i="2" s="1"/>
  <c r="AM248" i="2"/>
  <c r="AA248" i="2" s="1"/>
  <c r="O248" i="2" s="1"/>
  <c r="AM333" i="2"/>
  <c r="AA333" i="2" s="1"/>
  <c r="O333" i="2" s="1"/>
  <c r="AM535" i="2"/>
  <c r="AA535" i="2" s="1"/>
  <c r="O535" i="2" s="1"/>
  <c r="AM505" i="2"/>
  <c r="AA505" i="2" s="1"/>
  <c r="O505" i="2" s="1"/>
  <c r="AM575" i="2"/>
  <c r="AA575" i="2" s="1"/>
  <c r="O575" i="2" s="1"/>
  <c r="AM578" i="2"/>
  <c r="AA578" i="2" s="1"/>
  <c r="O578" i="2" s="1"/>
  <c r="AM609" i="2"/>
  <c r="AA609" i="2" s="1"/>
  <c r="O609" i="2" s="1"/>
  <c r="AM791" i="2"/>
  <c r="AA791" i="2" s="1"/>
  <c r="O791" i="2" s="1"/>
  <c r="AM780" i="2"/>
  <c r="AA780" i="2" s="1"/>
  <c r="O780" i="2" s="1"/>
  <c r="AM790" i="2"/>
  <c r="AA790" i="2" s="1"/>
  <c r="O790" i="2" s="1"/>
  <c r="AM829" i="2"/>
  <c r="AA829" i="2" s="1"/>
  <c r="O829" i="2" s="1"/>
  <c r="AM245" i="2"/>
  <c r="AA245" i="2" s="1"/>
  <c r="O245" i="2" s="1"/>
  <c r="AM215" i="2"/>
  <c r="AA215" i="2" s="1"/>
  <c r="O215" i="2" s="1"/>
  <c r="AM293" i="2"/>
  <c r="AA293" i="2" s="1"/>
  <c r="O293" i="2" s="1"/>
  <c r="AM360" i="2"/>
  <c r="AA360" i="2" s="1"/>
  <c r="O360" i="2" s="1"/>
  <c r="AM459" i="2"/>
  <c r="AA459" i="2" s="1"/>
  <c r="O459" i="2" s="1"/>
  <c r="AM576" i="2"/>
  <c r="AA576" i="2" s="1"/>
  <c r="O576" i="2" s="1"/>
  <c r="AM565" i="2"/>
  <c r="AA565" i="2" s="1"/>
  <c r="O565" i="2" s="1"/>
  <c r="AM622" i="2"/>
  <c r="AA622" i="2" s="1"/>
  <c r="O622" i="2" s="1"/>
  <c r="AM760" i="2"/>
  <c r="AA760" i="2" s="1"/>
  <c r="O760" i="2" s="1"/>
  <c r="AM817" i="2"/>
  <c r="AA817" i="2" s="1"/>
  <c r="O817" i="2" s="1"/>
  <c r="AM229" i="2"/>
  <c r="AA229" i="2" s="1"/>
  <c r="O229" i="2" s="1"/>
  <c r="AM225" i="2"/>
  <c r="AA225" i="2" s="1"/>
  <c r="O225" i="2" s="1"/>
  <c r="AM324" i="2"/>
  <c r="AA324" i="2" s="1"/>
  <c r="O324" i="2" s="1"/>
  <c r="AM330" i="2"/>
  <c r="AA330" i="2" s="1"/>
  <c r="O330" i="2" s="1"/>
  <c r="AM304" i="2"/>
  <c r="AA304" i="2" s="1"/>
  <c r="O304" i="2" s="1"/>
  <c r="AM355" i="2"/>
  <c r="AA355" i="2" s="1"/>
  <c r="O355" i="2" s="1"/>
  <c r="AM471" i="2"/>
  <c r="AA471" i="2" s="1"/>
  <c r="O471" i="2" s="1"/>
  <c r="AM608" i="2"/>
  <c r="AA608" i="2" s="1"/>
  <c r="O608" i="2" s="1"/>
  <c r="AM626" i="2"/>
  <c r="AA626" i="2" s="1"/>
  <c r="O626" i="2" s="1"/>
  <c r="AM654" i="2"/>
  <c r="AA654" i="2" s="1"/>
  <c r="O654" i="2" s="1"/>
  <c r="AM763" i="2"/>
  <c r="AA763" i="2" s="1"/>
  <c r="O763" i="2" s="1"/>
  <c r="AM823" i="2"/>
  <c r="AA823" i="2" s="1"/>
  <c r="O823" i="2" s="1"/>
  <c r="AM184" i="2"/>
  <c r="AA184" i="2" s="1"/>
  <c r="O184" i="2" s="1"/>
  <c r="AM186" i="2"/>
  <c r="AA186" i="2" s="1"/>
  <c r="O186" i="2" s="1"/>
  <c r="AM233" i="2"/>
  <c r="AA233" i="2" s="1"/>
  <c r="O233" i="2" s="1"/>
  <c r="AM227" i="2"/>
  <c r="AA227" i="2" s="1"/>
  <c r="O227" i="2" s="1"/>
  <c r="AM257" i="2"/>
  <c r="AA257" i="2" s="1"/>
  <c r="O257" i="2" s="1"/>
  <c r="AM289" i="2"/>
  <c r="AA289" i="2" s="1"/>
  <c r="O289" i="2" s="1"/>
  <c r="AM286" i="2"/>
  <c r="AA286" i="2" s="1"/>
  <c r="O286" i="2" s="1"/>
  <c r="AM346" i="2"/>
  <c r="AA346" i="2" s="1"/>
  <c r="O346" i="2" s="1"/>
  <c r="AM421" i="2"/>
  <c r="AA421" i="2" s="1"/>
  <c r="O421" i="2" s="1"/>
  <c r="AM453" i="2"/>
  <c r="AA453" i="2" s="1"/>
  <c r="O453" i="2" s="1"/>
  <c r="AM549" i="2"/>
  <c r="AA549" i="2" s="1"/>
  <c r="O549" i="2" s="1"/>
  <c r="AM529" i="2"/>
  <c r="AA529" i="2" s="1"/>
  <c r="O529" i="2" s="1"/>
  <c r="AM533" i="2"/>
  <c r="AA533" i="2" s="1"/>
  <c r="O533" i="2" s="1"/>
  <c r="AM581" i="2"/>
  <c r="AA581" i="2" s="1"/>
  <c r="O581" i="2" s="1"/>
  <c r="AM610" i="2"/>
  <c r="AA610" i="2" s="1"/>
  <c r="O610" i="2" s="1"/>
  <c r="AM742" i="2"/>
  <c r="AA742" i="2" s="1"/>
  <c r="O742" i="2" s="1"/>
  <c r="AM720" i="2"/>
  <c r="AA720" i="2" s="1"/>
  <c r="O720" i="2" s="1"/>
  <c r="AM802" i="2"/>
  <c r="AA802" i="2" s="1"/>
  <c r="O802" i="2" s="1"/>
  <c r="AM778" i="2"/>
  <c r="AA778" i="2" s="1"/>
  <c r="O778" i="2" s="1"/>
  <c r="AM848" i="2"/>
  <c r="AA848" i="2" s="1"/>
  <c r="O848" i="2" s="1"/>
  <c r="AM837" i="2"/>
  <c r="AA837" i="2" s="1"/>
  <c r="O837" i="2" s="1"/>
  <c r="AM436" i="2"/>
  <c r="AA436" i="2" s="1"/>
  <c r="O436" i="2" s="1"/>
  <c r="AM524" i="2"/>
  <c r="AA524" i="2" s="1"/>
  <c r="O524" i="2" s="1"/>
  <c r="AM703" i="2"/>
  <c r="AA703" i="2" s="1"/>
  <c r="O703" i="2" s="1"/>
  <c r="AM838" i="2"/>
  <c r="AA838" i="2" s="1"/>
  <c r="O838" i="2" s="1"/>
  <c r="AM855" i="2"/>
  <c r="AA855" i="2" s="1"/>
  <c r="O855" i="2" s="1"/>
  <c r="AM875" i="2"/>
  <c r="AA875" i="2" s="1"/>
  <c r="O875" i="2" s="1"/>
  <c r="AM908" i="2"/>
  <c r="AA908" i="2" s="1"/>
  <c r="O908" i="2" s="1"/>
  <c r="AM993" i="2"/>
  <c r="AA993" i="2" s="1"/>
  <c r="O993" i="2" s="1"/>
  <c r="AM1122" i="2"/>
  <c r="AA1122" i="2" s="1"/>
  <c r="O1122" i="2" s="1"/>
  <c r="AM1138" i="2"/>
  <c r="AA1138" i="2" s="1"/>
  <c r="O1138" i="2" s="1"/>
  <c r="AM1176" i="2"/>
  <c r="AA1176" i="2" s="1"/>
  <c r="O1176" i="2" s="1"/>
  <c r="AM1252" i="2"/>
  <c r="AA1252" i="2" s="1"/>
  <c r="O1252" i="2" s="1"/>
  <c r="AM1257" i="2"/>
  <c r="AA1257" i="2" s="1"/>
  <c r="O1257" i="2" s="1"/>
  <c r="AM1113" i="2"/>
  <c r="AA1113" i="2" s="1"/>
  <c r="O1113" i="2" s="1"/>
  <c r="AM917" i="2"/>
  <c r="AA917" i="2" s="1"/>
  <c r="O917" i="2" s="1"/>
  <c r="AM974" i="2"/>
  <c r="AA974" i="2" s="1"/>
  <c r="O974" i="2" s="1"/>
  <c r="AM991" i="2"/>
  <c r="AA991" i="2" s="1"/>
  <c r="O991" i="2" s="1"/>
  <c r="AM1049" i="2"/>
  <c r="AA1049" i="2" s="1"/>
  <c r="O1049" i="2" s="1"/>
  <c r="AM1126" i="2"/>
  <c r="AA1126" i="2" s="1"/>
  <c r="O1126" i="2" s="1"/>
  <c r="AM1148" i="2"/>
  <c r="AA1148" i="2" s="1"/>
  <c r="O1148" i="2" s="1"/>
  <c r="AM1196" i="2"/>
  <c r="AA1196" i="2" s="1"/>
  <c r="O1196" i="2" s="1"/>
  <c r="AM1233" i="2"/>
  <c r="AA1233" i="2" s="1"/>
  <c r="O1233" i="2" s="1"/>
  <c r="AM364" i="2"/>
  <c r="AA364" i="2" s="1"/>
  <c r="O364" i="2" s="1"/>
  <c r="AM435" i="2"/>
  <c r="AA435" i="2" s="1"/>
  <c r="O435" i="2" s="1"/>
  <c r="AM796" i="2"/>
  <c r="AA796" i="2" s="1"/>
  <c r="O796" i="2" s="1"/>
  <c r="AM830" i="2"/>
  <c r="AA830" i="2" s="1"/>
  <c r="O830" i="2" s="1"/>
  <c r="AM863" i="2"/>
  <c r="AA863" i="2" s="1"/>
  <c r="O863" i="2" s="1"/>
  <c r="AM1065" i="2"/>
  <c r="AA1065" i="2" s="1"/>
  <c r="O1065" i="2" s="1"/>
  <c r="AM1067" i="2"/>
  <c r="AA1067" i="2" s="1"/>
  <c r="O1067" i="2" s="1"/>
  <c r="AM1114" i="2"/>
  <c r="AA1114" i="2" s="1"/>
  <c r="O1114" i="2" s="1"/>
  <c r="AM1194" i="2"/>
  <c r="AA1194" i="2" s="1"/>
  <c r="O1194" i="2" s="1"/>
  <c r="AM640" i="2"/>
  <c r="AA640" i="2" s="1"/>
  <c r="O640" i="2" s="1"/>
  <c r="AM700" i="2"/>
  <c r="AA700" i="2" s="1"/>
  <c r="O700" i="2" s="1"/>
  <c r="AM818" i="2"/>
  <c r="AA818" i="2" s="1"/>
  <c r="O818" i="2" s="1"/>
  <c r="AM953" i="2"/>
  <c r="AA953" i="2" s="1"/>
  <c r="O953" i="2" s="1"/>
  <c r="AM940" i="2"/>
  <c r="AA940" i="2" s="1"/>
  <c r="O940" i="2" s="1"/>
  <c r="AM1028" i="2"/>
  <c r="AA1028" i="2" s="1"/>
  <c r="O1028" i="2" s="1"/>
  <c r="AM1039" i="2"/>
  <c r="AA1039" i="2" s="1"/>
  <c r="O1039" i="2" s="1"/>
  <c r="AM1095" i="2"/>
  <c r="AA1095" i="2" s="1"/>
  <c r="O1095" i="2" s="1"/>
  <c r="AM1064" i="2"/>
  <c r="AA1064" i="2" s="1"/>
  <c r="O1064" i="2" s="1"/>
  <c r="AM1084" i="2"/>
  <c r="AA1084" i="2" s="1"/>
  <c r="O1084" i="2" s="1"/>
  <c r="AM1093" i="2"/>
  <c r="AA1093" i="2" s="1"/>
  <c r="O1093" i="2" s="1"/>
  <c r="AM1158" i="2"/>
  <c r="AA1158" i="2" s="1"/>
  <c r="O1158" i="2" s="1"/>
  <c r="AM1204" i="2"/>
  <c r="AA1204" i="2" s="1"/>
  <c r="O1204" i="2" s="1"/>
  <c r="AM247" i="2"/>
  <c r="AA247" i="2" s="1"/>
  <c r="O247" i="2" s="1"/>
  <c r="AM1212" i="2"/>
  <c r="AA1212" i="2" s="1"/>
  <c r="O1212" i="2" s="1"/>
  <c r="AM638" i="2"/>
  <c r="AA638" i="2" s="1"/>
  <c r="O638" i="2" s="1"/>
  <c r="AM736" i="2"/>
  <c r="AA736" i="2" s="1"/>
  <c r="O736" i="2" s="1"/>
  <c r="AM841" i="2"/>
  <c r="AA841" i="2" s="1"/>
  <c r="O841" i="2" s="1"/>
  <c r="AM944" i="2"/>
  <c r="AA944" i="2" s="1"/>
  <c r="O944" i="2" s="1"/>
  <c r="AM1016" i="2"/>
  <c r="AA1016" i="2" s="1"/>
  <c r="O1016" i="2" s="1"/>
  <c r="AM1082" i="2"/>
  <c r="AA1082" i="2" s="1"/>
  <c r="O1082" i="2" s="1"/>
  <c r="AM1083" i="2"/>
  <c r="AA1083" i="2" s="1"/>
  <c r="O1083" i="2" s="1"/>
  <c r="AM1133" i="2"/>
  <c r="AA1133" i="2" s="1"/>
  <c r="O1133" i="2" s="1"/>
  <c r="AM1141" i="2"/>
  <c r="AA1141" i="2" s="1"/>
  <c r="O1141" i="2" s="1"/>
  <c r="AM1139" i="2"/>
  <c r="AA1139" i="2" s="1"/>
  <c r="O1139" i="2" s="1"/>
  <c r="AM1165" i="2"/>
  <c r="AA1165" i="2" s="1"/>
  <c r="O1165" i="2" s="1"/>
  <c r="AM1186" i="2"/>
  <c r="AA1186" i="2" s="1"/>
  <c r="O1186" i="2" s="1"/>
  <c r="AM1215" i="2"/>
  <c r="AA1215" i="2" s="1"/>
  <c r="O1215" i="2" s="1"/>
  <c r="AM929" i="2"/>
  <c r="AA929" i="2" s="1"/>
  <c r="O929" i="2" s="1"/>
  <c r="AM287" i="2"/>
  <c r="AA287" i="2" s="1"/>
  <c r="O287" i="2" s="1"/>
  <c r="AM451" i="2"/>
  <c r="AA451" i="2" s="1"/>
  <c r="O451" i="2" s="1"/>
  <c r="AM566" i="2"/>
  <c r="AA566" i="2" s="1"/>
  <c r="O566" i="2" s="1"/>
  <c r="AM639" i="2"/>
  <c r="AA639" i="2" s="1"/>
  <c r="O639" i="2" s="1"/>
  <c r="AM777" i="2"/>
  <c r="AA777" i="2" s="1"/>
  <c r="O777" i="2" s="1"/>
  <c r="AM820" i="2"/>
  <c r="AA820" i="2" s="1"/>
  <c r="O820" i="2" s="1"/>
  <c r="AM927" i="2"/>
  <c r="AA927" i="2" s="1"/>
  <c r="O927" i="2" s="1"/>
  <c r="AM930" i="2"/>
  <c r="AA930" i="2" s="1"/>
  <c r="O930" i="2" s="1"/>
  <c r="AM1034" i="2"/>
  <c r="AA1034" i="2" s="1"/>
  <c r="O1034" i="2" s="1"/>
  <c r="AM1015" i="2"/>
  <c r="AA1015" i="2" s="1"/>
  <c r="O1015" i="2" s="1"/>
  <c r="AM1044" i="2"/>
  <c r="AA1044" i="2" s="1"/>
  <c r="O1044" i="2" s="1"/>
  <c r="AM1136" i="2"/>
  <c r="AA1136" i="2" s="1"/>
  <c r="O1136" i="2" s="1"/>
  <c r="AM1199" i="2"/>
  <c r="AA1199" i="2" s="1"/>
  <c r="O1199" i="2" s="1"/>
  <c r="AM1236" i="2"/>
  <c r="AA1236" i="2" s="1"/>
  <c r="O1236" i="2" s="1"/>
  <c r="AM821" i="2"/>
  <c r="AA821" i="2" s="1"/>
  <c r="O821" i="2" s="1"/>
  <c r="AM506" i="2"/>
  <c r="AA506" i="2" s="1"/>
  <c r="O506" i="2" s="1"/>
  <c r="AM537" i="2"/>
  <c r="AA537" i="2" s="1"/>
  <c r="O537" i="2" s="1"/>
  <c r="AM624" i="2"/>
  <c r="AA624" i="2" s="1"/>
  <c r="O624" i="2" s="1"/>
  <c r="AM807" i="2"/>
  <c r="AA807" i="2" s="1"/>
  <c r="O807" i="2" s="1"/>
  <c r="AM826" i="2"/>
  <c r="AA826" i="2" s="1"/>
  <c r="O826" i="2" s="1"/>
  <c r="AM945" i="2"/>
  <c r="AA945" i="2" s="1"/>
  <c r="O945" i="2" s="1"/>
  <c r="AM999" i="2"/>
  <c r="AA999" i="2" s="1"/>
  <c r="O999" i="2" s="1"/>
  <c r="AM1001" i="2"/>
  <c r="AA1001" i="2" s="1"/>
  <c r="O1001" i="2" s="1"/>
  <c r="AM1020" i="2"/>
  <c r="AA1020" i="2" s="1"/>
  <c r="O1020" i="2" s="1"/>
  <c r="AM1098" i="2"/>
  <c r="AA1098" i="2" s="1"/>
  <c r="O1098" i="2" s="1"/>
  <c r="AM1192" i="2"/>
  <c r="AA1192" i="2" s="1"/>
  <c r="O1192" i="2" s="1"/>
  <c r="AM1190" i="2"/>
  <c r="AA1190" i="2" s="1"/>
  <c r="O1190" i="2" s="1"/>
  <c r="AM1208" i="2"/>
  <c r="AA1208" i="2" s="1"/>
  <c r="O1208" i="2" s="1"/>
  <c r="AM1213" i="2"/>
  <c r="AA1213" i="2" s="1"/>
  <c r="O1213" i="2" s="1"/>
  <c r="AM1253" i="2"/>
  <c r="AA1253" i="2" s="1"/>
  <c r="O1253" i="2" s="1"/>
  <c r="AM1269" i="2"/>
  <c r="AA1269" i="2" s="1"/>
  <c r="O1269" i="2" s="1"/>
  <c r="AM167" i="2"/>
  <c r="AA167" i="2" s="1"/>
  <c r="O167" i="2" s="1"/>
  <c r="AM255" i="2"/>
  <c r="AA255" i="2" s="1"/>
  <c r="O255" i="2" s="1"/>
  <c r="AM456" i="2"/>
  <c r="AA456" i="2" s="1"/>
  <c r="O456" i="2" s="1"/>
  <c r="AM715" i="2"/>
  <c r="AA715" i="2" s="1"/>
  <c r="O715" i="2" s="1"/>
  <c r="AM781" i="2"/>
  <c r="AA781" i="2" s="1"/>
  <c r="O781" i="2" s="1"/>
  <c r="AM1070" i="2"/>
  <c r="AA1070" i="2" s="1"/>
  <c r="O1070" i="2" s="1"/>
  <c r="AM1069" i="2"/>
  <c r="AA1069" i="2" s="1"/>
  <c r="O1069" i="2" s="1"/>
  <c r="AM1140" i="2"/>
  <c r="AA1140" i="2" s="1"/>
  <c r="O1140" i="2" s="1"/>
  <c r="AM1152" i="2"/>
  <c r="AA1152" i="2" s="1"/>
  <c r="O1152" i="2" s="1"/>
  <c r="AM1142" i="2"/>
  <c r="AA1142" i="2" s="1"/>
  <c r="O1142" i="2" s="1"/>
  <c r="AM1255" i="2"/>
  <c r="AA1255" i="2" s="1"/>
  <c r="O1255" i="2" s="1"/>
  <c r="AM651" i="2"/>
  <c r="AA651" i="2" s="1"/>
  <c r="O651" i="2" s="1"/>
  <c r="AM990" i="2"/>
  <c r="AA990" i="2" s="1"/>
  <c r="O990" i="2" s="1"/>
  <c r="AM450" i="2"/>
  <c r="AA450" i="2" s="1"/>
  <c r="O450" i="2" s="1"/>
  <c r="AM545" i="2"/>
  <c r="AA545" i="2" s="1"/>
  <c r="O545" i="2" s="1"/>
  <c r="AM782" i="2"/>
  <c r="AA782" i="2" s="1"/>
  <c r="O782" i="2" s="1"/>
  <c r="AM854" i="2"/>
  <c r="AA854" i="2" s="1"/>
  <c r="O854" i="2" s="1"/>
  <c r="AM836" i="2"/>
  <c r="AA836" i="2" s="1"/>
  <c r="O836" i="2" s="1"/>
  <c r="AM892" i="2"/>
  <c r="AA892" i="2" s="1"/>
  <c r="O892" i="2" s="1"/>
  <c r="AM887" i="2"/>
  <c r="AA887" i="2" s="1"/>
  <c r="O887" i="2" s="1"/>
  <c r="AM928" i="2"/>
  <c r="AA928" i="2" s="1"/>
  <c r="O928" i="2" s="1"/>
  <c r="AM976" i="2"/>
  <c r="AA976" i="2" s="1"/>
  <c r="O976" i="2" s="1"/>
  <c r="AM1010" i="2"/>
  <c r="AA1010" i="2" s="1"/>
  <c r="O1010" i="2" s="1"/>
  <c r="AM1061" i="2"/>
  <c r="AA1061" i="2" s="1"/>
  <c r="O1061" i="2" s="1"/>
  <c r="AM1079" i="2"/>
  <c r="AA1079" i="2" s="1"/>
  <c r="O1079" i="2" s="1"/>
  <c r="AM1101" i="2"/>
  <c r="AA1101" i="2" s="1"/>
  <c r="O1101" i="2" s="1"/>
  <c r="AM1121" i="2"/>
  <c r="AA1121" i="2" s="1"/>
  <c r="O1121" i="2" s="1"/>
  <c r="AM1162" i="2"/>
  <c r="AA1162" i="2" s="1"/>
  <c r="O1162" i="2" s="1"/>
  <c r="AM1125" i="2"/>
  <c r="AA1125" i="2" s="1"/>
  <c r="O1125" i="2" s="1"/>
  <c r="AM1168" i="2"/>
  <c r="AA1168" i="2" s="1"/>
  <c r="O1168" i="2" s="1"/>
  <c r="AM238" i="2"/>
  <c r="AA238" i="2" s="1"/>
  <c r="O238" i="2" s="1"/>
  <c r="AM466" i="2"/>
  <c r="AA466" i="2" s="1"/>
  <c r="O466" i="2" s="1"/>
  <c r="AM776" i="2"/>
  <c r="AA776" i="2" s="1"/>
  <c r="O776" i="2" s="1"/>
  <c r="AM886" i="2"/>
  <c r="AA886" i="2" s="1"/>
  <c r="O886" i="2" s="1"/>
  <c r="AM964" i="2"/>
  <c r="AA964" i="2" s="1"/>
  <c r="O964" i="2" s="1"/>
  <c r="AM977" i="2"/>
  <c r="AA977" i="2" s="1"/>
  <c r="O977" i="2" s="1"/>
  <c r="AM1032" i="2"/>
  <c r="AA1032" i="2" s="1"/>
  <c r="O1032" i="2" s="1"/>
  <c r="AM1137" i="2"/>
  <c r="AA1137" i="2" s="1"/>
  <c r="O1137" i="2" s="1"/>
  <c r="AM1163" i="2"/>
  <c r="AA1163" i="2" s="1"/>
  <c r="O1163" i="2" s="1"/>
  <c r="AM1198" i="2"/>
  <c r="AA1198" i="2" s="1"/>
  <c r="O1198" i="2" s="1"/>
  <c r="AM1111" i="2"/>
  <c r="AA1111" i="2" s="1"/>
  <c r="O1111" i="2" s="1"/>
  <c r="AM183" i="2"/>
  <c r="AA183" i="2" s="1"/>
  <c r="O183" i="2" s="1"/>
  <c r="AM288" i="2"/>
  <c r="AA288" i="2" s="1"/>
  <c r="O288" i="2" s="1"/>
  <c r="AM482" i="2"/>
  <c r="AA482" i="2" s="1"/>
  <c r="O482" i="2" s="1"/>
  <c r="AM705" i="2"/>
  <c r="AA705" i="2" s="1"/>
  <c r="O705" i="2" s="1"/>
  <c r="AM801" i="2"/>
  <c r="AA801" i="2" s="1"/>
  <c r="O801" i="2" s="1"/>
  <c r="AM914" i="2"/>
  <c r="AA914" i="2" s="1"/>
  <c r="O914" i="2" s="1"/>
  <c r="AM1021" i="2"/>
  <c r="AA1021" i="2" s="1"/>
  <c r="O1021" i="2" s="1"/>
  <c r="AM1175" i="2"/>
  <c r="AA1175" i="2" s="1"/>
  <c r="O1175" i="2" s="1"/>
  <c r="AM1245" i="2"/>
  <c r="AA1245" i="2" s="1"/>
  <c r="O1245" i="2" s="1"/>
  <c r="AM1229" i="2"/>
  <c r="AA1229" i="2" s="1"/>
  <c r="O1229" i="2" s="1"/>
  <c r="AM1022" i="2"/>
  <c r="AA1022" i="2" s="1"/>
  <c r="O1022" i="2" s="1"/>
  <c r="AM936" i="2"/>
  <c r="AA936" i="2" s="1"/>
  <c r="O936" i="2" s="1"/>
  <c r="AM202" i="2"/>
  <c r="AA202" i="2" s="1"/>
  <c r="O202" i="2" s="1"/>
  <c r="AM501" i="2"/>
  <c r="AA501" i="2" s="1"/>
  <c r="O501" i="2" s="1"/>
  <c r="AM607" i="2"/>
  <c r="AA607" i="2" s="1"/>
  <c r="O607" i="2" s="1"/>
  <c r="AM808" i="2"/>
  <c r="AA808" i="2" s="1"/>
  <c r="O808" i="2" s="1"/>
  <c r="AM862" i="2"/>
  <c r="AA862" i="2" s="1"/>
  <c r="O862" i="2" s="1"/>
  <c r="AM893" i="2"/>
  <c r="AA893" i="2" s="1"/>
  <c r="O893" i="2" s="1"/>
  <c r="AM915" i="2"/>
  <c r="AA915" i="2" s="1"/>
  <c r="O915" i="2" s="1"/>
  <c r="AM947" i="2"/>
  <c r="AA947" i="2" s="1"/>
  <c r="O947" i="2" s="1"/>
  <c r="AM1112" i="2"/>
  <c r="AA1112" i="2" s="1"/>
  <c r="O1112" i="2" s="1"/>
  <c r="AM1205" i="2"/>
  <c r="AA1205" i="2" s="1"/>
  <c r="O1205" i="2" s="1"/>
  <c r="AM1259" i="2"/>
  <c r="AA1259" i="2" s="1"/>
  <c r="O1259" i="2" s="1"/>
  <c r="AM514" i="2"/>
  <c r="AA514" i="2" s="1"/>
  <c r="O514" i="2" s="1"/>
  <c r="AM568" i="2"/>
  <c r="AA568" i="2" s="1"/>
  <c r="O568" i="2" s="1"/>
  <c r="AM710" i="2"/>
  <c r="AA710" i="2" s="1"/>
  <c r="O710" i="2" s="1"/>
  <c r="AM919" i="2"/>
  <c r="AA919" i="2" s="1"/>
  <c r="O919" i="2" s="1"/>
  <c r="AM913" i="2"/>
  <c r="AA913" i="2" s="1"/>
  <c r="O913" i="2" s="1"/>
  <c r="AM1047" i="2"/>
  <c r="AA1047" i="2" s="1"/>
  <c r="O1047" i="2" s="1"/>
  <c r="AM1100" i="2"/>
  <c r="AA1100" i="2" s="1"/>
  <c r="O1100" i="2" s="1"/>
  <c r="AM937" i="2"/>
  <c r="AA937" i="2" s="1"/>
  <c r="O937" i="2" s="1"/>
  <c r="AM988" i="2"/>
  <c r="AA988" i="2" s="1"/>
  <c r="O988" i="2" s="1"/>
  <c r="AM932" i="2"/>
  <c r="AA932" i="2" s="1"/>
  <c r="O932" i="2" s="1"/>
  <c r="AM1161" i="2"/>
  <c r="AA1161" i="2" s="1"/>
  <c r="O1161" i="2" s="1"/>
  <c r="AM1169" i="2"/>
  <c r="AA1169" i="2" s="1"/>
  <c r="O1169" i="2" s="1"/>
  <c r="AM1210" i="2"/>
  <c r="AA1210" i="2" s="1"/>
  <c r="O1210" i="2" s="1"/>
  <c r="AM550" i="2"/>
  <c r="AA550" i="2" s="1"/>
  <c r="O550" i="2" s="1"/>
  <c r="AM534" i="2"/>
  <c r="AA534" i="2" s="1"/>
  <c r="O534" i="2" s="1"/>
  <c r="AM592" i="2"/>
  <c r="AA592" i="2" s="1"/>
  <c r="O592" i="2" s="1"/>
  <c r="AM819" i="2"/>
  <c r="AA819" i="2" s="1"/>
  <c r="O819" i="2" s="1"/>
  <c r="AM899" i="2"/>
  <c r="AA899" i="2" s="1"/>
  <c r="O899" i="2" s="1"/>
  <c r="AM921" i="2"/>
  <c r="AA921" i="2" s="1"/>
  <c r="O921" i="2" s="1"/>
  <c r="AM1160" i="2"/>
  <c r="AA1160" i="2" s="1"/>
  <c r="O1160" i="2" s="1"/>
  <c r="AM1265" i="2"/>
  <c r="AA1265" i="2" s="1"/>
  <c r="O1265" i="2" s="1"/>
  <c r="AM1249" i="2"/>
  <c r="AA1249" i="2" s="1"/>
  <c r="O1249" i="2" s="1"/>
  <c r="AM1119" i="2"/>
  <c r="AA1119" i="2" s="1"/>
  <c r="O1119" i="2" s="1"/>
  <c r="AM916" i="2"/>
  <c r="AA916" i="2" s="1"/>
  <c r="O916" i="2" s="1"/>
  <c r="AM1240" i="2"/>
  <c r="AA1240" i="2" s="1"/>
  <c r="O1240" i="2" s="1"/>
  <c r="AM1156" i="2"/>
  <c r="AA1156" i="2" s="1"/>
  <c r="O1156" i="2" s="1"/>
  <c r="AM1144" i="2"/>
  <c r="AA1144" i="2" s="1"/>
  <c r="O1144" i="2" s="1"/>
  <c r="AM756" i="2"/>
  <c r="AA756" i="2" s="1"/>
  <c r="O756" i="2" s="1"/>
  <c r="AM1073" i="2"/>
  <c r="AA1073" i="2" s="1"/>
  <c r="O1073" i="2" s="1"/>
  <c r="AM1046" i="2"/>
  <c r="AA1046" i="2" s="1"/>
  <c r="O1046" i="2" s="1"/>
  <c r="AM718" i="2"/>
  <c r="AA718" i="2" s="1"/>
  <c r="O718" i="2" s="1"/>
  <c r="AM952" i="2"/>
  <c r="AA952" i="2" s="1"/>
  <c r="O952" i="2" s="1"/>
  <c r="AM1012" i="2"/>
  <c r="AA1012" i="2" s="1"/>
  <c r="O1012" i="2" s="1"/>
  <c r="AM1151" i="2"/>
  <c r="AA1151" i="2" s="1"/>
  <c r="O1151" i="2" s="1"/>
  <c r="AM1153" i="2"/>
  <c r="AA1153" i="2" s="1"/>
  <c r="O1153" i="2" s="1"/>
  <c r="AM784" i="2"/>
  <c r="AA784" i="2" s="1"/>
  <c r="O784" i="2" s="1"/>
  <c r="AM1182" i="2"/>
  <c r="AA1182" i="2" s="1"/>
  <c r="O1182" i="2" s="1"/>
  <c r="AM849" i="2"/>
  <c r="AA849" i="2" s="1"/>
  <c r="O849" i="2" s="1"/>
  <c r="AM1074" i="2"/>
  <c r="AA1074" i="2" s="1"/>
  <c r="O1074" i="2" s="1"/>
  <c r="AM1035" i="2"/>
  <c r="AA1035" i="2" s="1"/>
  <c r="O1035" i="2" s="1"/>
  <c r="AM824" i="2"/>
  <c r="AA824" i="2" s="1"/>
  <c r="O824" i="2" s="1"/>
  <c r="AM810" i="2"/>
  <c r="AA810" i="2" s="1"/>
  <c r="O810" i="2" s="1"/>
  <c r="AM745" i="2"/>
  <c r="AA745" i="2" s="1"/>
  <c r="O745" i="2" s="1"/>
  <c r="AM681" i="2"/>
  <c r="AA681" i="2" s="1"/>
  <c r="O681" i="2" s="1"/>
  <c r="AM503" i="2"/>
  <c r="AA503" i="2" s="1"/>
  <c r="O503" i="2" s="1"/>
  <c r="AM241" i="2"/>
  <c r="AA241" i="2" s="1"/>
  <c r="O241" i="2" s="1"/>
  <c r="AM128" i="2"/>
  <c r="AA128" i="2" s="1"/>
  <c r="O128" i="2" s="1"/>
  <c r="AM673" i="2"/>
  <c r="AA673" i="2" s="1"/>
  <c r="O673" i="2" s="1"/>
  <c r="AM399" i="2"/>
  <c r="AA399" i="2" s="1"/>
  <c r="O399" i="2" s="1"/>
  <c r="AM251" i="2"/>
  <c r="AA251" i="2" s="1"/>
  <c r="O251" i="2" s="1"/>
  <c r="AM668" i="2"/>
  <c r="AA668" i="2" s="1"/>
  <c r="O668" i="2" s="1"/>
  <c r="AM126" i="2"/>
  <c r="AA126" i="2" s="1"/>
  <c r="O126" i="2" s="1"/>
  <c r="AM271" i="2"/>
  <c r="AA271" i="2" s="1"/>
  <c r="O271" i="2" s="1"/>
  <c r="AM664" i="2"/>
  <c r="AA664" i="2" s="1"/>
  <c r="O664" i="2" s="1"/>
  <c r="AM725" i="2"/>
  <c r="AA725" i="2" s="1"/>
  <c r="O725" i="2" s="1"/>
  <c r="AM239" i="2"/>
  <c r="AA239" i="2" s="1"/>
  <c r="O239" i="2" s="1"/>
  <c r="AM540" i="2"/>
  <c r="AA540" i="2" s="1"/>
  <c r="O540" i="2" s="1"/>
  <c r="AM1193" i="2"/>
  <c r="AA1193" i="2" s="1"/>
  <c r="O1193" i="2" s="1"/>
  <c r="AM966" i="2"/>
  <c r="AA966" i="2" s="1"/>
  <c r="O966" i="2" s="1"/>
  <c r="AM1260" i="2"/>
  <c r="AA1260" i="2" s="1"/>
  <c r="O1260" i="2" s="1"/>
  <c r="AM1197" i="2"/>
  <c r="AA1197" i="2" s="1"/>
  <c r="O1197" i="2" s="1"/>
  <c r="AM931" i="2"/>
  <c r="AA931" i="2" s="1"/>
  <c r="O931" i="2" s="1"/>
  <c r="AM924" i="2"/>
  <c r="AA924" i="2" s="1"/>
  <c r="O924" i="2" s="1"/>
  <c r="AM726" i="2"/>
  <c r="AA726" i="2" s="1"/>
  <c r="O726" i="2" s="1"/>
  <c r="AM1248" i="2"/>
  <c r="AA1248" i="2" s="1"/>
  <c r="O1248" i="2" s="1"/>
  <c r="AM901" i="2"/>
  <c r="AA901" i="2" s="1"/>
  <c r="O901" i="2" s="1"/>
  <c r="AM787" i="2"/>
  <c r="AA787" i="2" s="1"/>
  <c r="O787" i="2" s="1"/>
  <c r="AM458" i="2"/>
  <c r="AA458" i="2" s="1"/>
  <c r="O458" i="2" s="1"/>
  <c r="AM1071" i="2"/>
  <c r="AA1071" i="2" s="1"/>
  <c r="O1071" i="2" s="1"/>
  <c r="AM1042" i="2"/>
  <c r="AA1042" i="2" s="1"/>
  <c r="O1042" i="2" s="1"/>
  <c r="AM903" i="2"/>
  <c r="AA903" i="2" s="1"/>
  <c r="O903" i="2" s="1"/>
  <c r="AM861" i="2"/>
  <c r="AA861" i="2" s="1"/>
  <c r="O861" i="2" s="1"/>
  <c r="AM845" i="2"/>
  <c r="AA845" i="2" s="1"/>
  <c r="O845" i="2" s="1"/>
  <c r="AM1017" i="2"/>
  <c r="AA1017" i="2" s="1"/>
  <c r="O1017" i="2" s="1"/>
  <c r="AM880" i="2"/>
  <c r="AA880" i="2" s="1"/>
  <c r="O880" i="2" s="1"/>
  <c r="AM1244" i="2"/>
  <c r="AA1244" i="2" s="1"/>
  <c r="O1244" i="2" s="1"/>
  <c r="AM994" i="2"/>
  <c r="AA994" i="2" s="1"/>
  <c r="O994" i="2" s="1"/>
  <c r="AM865" i="2"/>
  <c r="AA865" i="2" s="1"/>
  <c r="O865" i="2" s="1"/>
  <c r="AM603" i="2"/>
  <c r="AA603" i="2" s="1"/>
  <c r="O603" i="2" s="1"/>
  <c r="AM520" i="2"/>
  <c r="AA520" i="2" s="1"/>
  <c r="O520" i="2" s="1"/>
  <c r="AM1089" i="2"/>
  <c r="AA1089" i="2" s="1"/>
  <c r="O1089" i="2" s="1"/>
  <c r="AM858" i="2"/>
  <c r="AA858" i="2" s="1"/>
  <c r="O858" i="2" s="1"/>
  <c r="AM348" i="2"/>
  <c r="AA348" i="2" s="1"/>
  <c r="O348" i="2" s="1"/>
  <c r="AM182" i="2"/>
  <c r="AA182" i="2" s="1"/>
  <c r="O182" i="2" s="1"/>
  <c r="AM368" i="2"/>
  <c r="AA368" i="2" s="1"/>
  <c r="O368" i="2" s="1"/>
  <c r="AM326" i="2"/>
  <c r="AA326" i="2" s="1"/>
  <c r="O326" i="2" s="1"/>
  <c r="AM222" i="2"/>
  <c r="AA222" i="2" s="1"/>
  <c r="O222" i="2" s="1"/>
  <c r="AM653" i="2"/>
  <c r="AA653" i="2" s="1"/>
  <c r="O653" i="2" s="1"/>
  <c r="AM252" i="2"/>
  <c r="AA252" i="2" s="1"/>
  <c r="O252" i="2" s="1"/>
  <c r="AM595" i="2"/>
  <c r="AA595" i="2" s="1"/>
  <c r="O595" i="2" s="1"/>
  <c r="AM236" i="2"/>
  <c r="AA236" i="2" s="1"/>
  <c r="O236" i="2" s="1"/>
  <c r="AM809" i="2"/>
  <c r="AA809" i="2" s="1"/>
  <c r="O809" i="2" s="1"/>
  <c r="AM690" i="2"/>
  <c r="AA690" i="2" s="1"/>
  <c r="O690" i="2" s="1"/>
  <c r="AM401" i="2"/>
  <c r="AA401" i="2" s="1"/>
  <c r="O401" i="2" s="1"/>
  <c r="AM313" i="2"/>
  <c r="AA313" i="2" s="1"/>
  <c r="O313" i="2" s="1"/>
  <c r="AM254" i="2"/>
  <c r="AA254" i="2" s="1"/>
  <c r="O254" i="2" s="1"/>
  <c r="AM198" i="2"/>
  <c r="AA198" i="2" s="1"/>
  <c r="O198" i="2" s="1"/>
  <c r="AM733" i="2"/>
  <c r="AA733" i="2" s="1"/>
  <c r="O733" i="2" s="1"/>
  <c r="AM630" i="2"/>
  <c r="AA630" i="2" s="1"/>
  <c r="O630" i="2" s="1"/>
  <c r="AM164" i="2"/>
  <c r="AA164" i="2" s="1"/>
  <c r="O164" i="2" s="1"/>
  <c r="AM312" i="2"/>
  <c r="AA312" i="2" s="1"/>
  <c r="O312" i="2" s="1"/>
  <c r="AM462" i="2"/>
  <c r="AA462" i="2" s="1"/>
  <c r="O462" i="2" s="1"/>
  <c r="AM1055" i="2"/>
  <c r="AA1055" i="2" s="1"/>
  <c r="O1055" i="2" s="1"/>
  <c r="AM1258" i="2"/>
  <c r="AA1258" i="2" s="1"/>
  <c r="O1258" i="2" s="1"/>
  <c r="AM843" i="2"/>
  <c r="AA843" i="2" s="1"/>
  <c r="O843" i="2" s="1"/>
  <c r="AM1131" i="2"/>
  <c r="AA1131" i="2" s="1"/>
  <c r="O1131" i="2" s="1"/>
  <c r="AM1054" i="2"/>
  <c r="AA1054" i="2" s="1"/>
  <c r="O1054" i="2" s="1"/>
  <c r="AM922" i="2"/>
  <c r="AA922" i="2" s="1"/>
  <c r="O922" i="2" s="1"/>
  <c r="AM812" i="2"/>
  <c r="AA812" i="2" s="1"/>
  <c r="O812" i="2" s="1"/>
  <c r="AM1116" i="2"/>
  <c r="AA1116" i="2" s="1"/>
  <c r="O1116" i="2" s="1"/>
  <c r="AM962" i="2"/>
  <c r="AA962" i="2" s="1"/>
  <c r="O962" i="2" s="1"/>
  <c r="AM1117" i="2"/>
  <c r="AA1117" i="2" s="1"/>
  <c r="O1117" i="2" s="1"/>
  <c r="AM1251" i="2"/>
  <c r="AA1251" i="2" s="1"/>
  <c r="O1251" i="2" s="1"/>
  <c r="AM1096" i="2"/>
  <c r="AA1096" i="2" s="1"/>
  <c r="O1096" i="2" s="1"/>
  <c r="AM967" i="2"/>
  <c r="AA967" i="2" s="1"/>
  <c r="O967" i="2" s="1"/>
  <c r="AM1038" i="2"/>
  <c r="AA1038" i="2" s="1"/>
  <c r="O1038" i="2" s="1"/>
  <c r="AM894" i="2"/>
  <c r="AA894" i="2" s="1"/>
  <c r="O894" i="2" s="1"/>
  <c r="AM1075" i="2"/>
  <c r="AA1075" i="2" s="1"/>
  <c r="O1075" i="2" s="1"/>
  <c r="AM864" i="2"/>
  <c r="AA864" i="2" s="1"/>
  <c r="O864" i="2" s="1"/>
  <c r="AM943" i="2"/>
  <c r="AA943" i="2" s="1"/>
  <c r="O943" i="2" s="1"/>
  <c r="AM935" i="2"/>
  <c r="AA935" i="2" s="1"/>
  <c r="O935" i="2" s="1"/>
  <c r="AM642" i="2"/>
  <c r="AA642" i="2" s="1"/>
  <c r="O642" i="2" s="1"/>
  <c r="AM773" i="2"/>
  <c r="AA773" i="2" s="1"/>
  <c r="O773" i="2" s="1"/>
  <c r="AM432" i="2"/>
  <c r="AA432" i="2" s="1"/>
  <c r="O432" i="2" s="1"/>
  <c r="AM570" i="2"/>
  <c r="AA570" i="2" s="1"/>
  <c r="O570" i="2" s="1"/>
  <c r="AM512" i="2"/>
  <c r="AA512" i="2" s="1"/>
  <c r="O512" i="2" s="1"/>
  <c r="AM410" i="2"/>
  <c r="AA410" i="2" s="1"/>
  <c r="O410" i="2" s="1"/>
  <c r="AM600" i="2"/>
  <c r="AA600" i="2" s="1"/>
  <c r="O600" i="2" s="1"/>
  <c r="AM392" i="2"/>
  <c r="AA392" i="2" s="1"/>
  <c r="O392" i="2" s="1"/>
  <c r="AM670" i="2"/>
  <c r="AA670" i="2" s="1"/>
  <c r="O670" i="2" s="1"/>
  <c r="AM697" i="2"/>
  <c r="AA697" i="2" s="1"/>
  <c r="O697" i="2" s="1"/>
  <c r="AM409" i="2"/>
  <c r="AA409" i="2" s="1"/>
  <c r="O409" i="2" s="1"/>
  <c r="AM386" i="2"/>
  <c r="AA386" i="2" s="1"/>
  <c r="O386" i="2" s="1"/>
  <c r="AM283" i="2"/>
  <c r="AA283" i="2" s="1"/>
  <c r="O283" i="2" s="1"/>
  <c r="AM96" i="2"/>
  <c r="AA96" i="2" s="1"/>
  <c r="O96" i="2" s="1"/>
  <c r="AM542" i="2"/>
  <c r="AA542" i="2" s="1"/>
  <c r="O542" i="2" s="1"/>
  <c r="AM400" i="2"/>
  <c r="AA400" i="2" s="1"/>
  <c r="O400" i="2" s="1"/>
  <c r="AM9" i="2"/>
  <c r="AA9" i="2" s="1"/>
  <c r="O9" i="2" s="1"/>
  <c r="AM1033" i="2"/>
  <c r="AA1033" i="2" s="1"/>
  <c r="O1033" i="2" s="1"/>
  <c r="AM889" i="2"/>
  <c r="AA889" i="2" s="1"/>
  <c r="O889" i="2" s="1"/>
  <c r="AM523" i="2"/>
  <c r="AA523" i="2" s="1"/>
  <c r="O523" i="2" s="1"/>
  <c r="AM1014" i="2"/>
  <c r="AA1014" i="2" s="1"/>
  <c r="O1014" i="2" s="1"/>
  <c r="AM853" i="2"/>
  <c r="AA853" i="2" s="1"/>
  <c r="O853" i="2" s="1"/>
  <c r="AM591" i="2"/>
  <c r="AA591" i="2" s="1"/>
  <c r="O591" i="2" s="1"/>
  <c r="AM1223" i="2"/>
  <c r="AA1223" i="2" s="1"/>
  <c r="O1223" i="2" s="1"/>
  <c r="AM981" i="2"/>
  <c r="AA981" i="2" s="1"/>
  <c r="O981" i="2" s="1"/>
  <c r="AM881" i="2"/>
  <c r="AA881" i="2" s="1"/>
  <c r="O881" i="2" s="1"/>
  <c r="AM370" i="2"/>
  <c r="AA370" i="2" s="1"/>
  <c r="O370" i="2" s="1"/>
  <c r="AM910" i="2"/>
  <c r="AA910" i="2" s="1"/>
  <c r="O910" i="2" s="1"/>
  <c r="AM938" i="2"/>
  <c r="AA938" i="2" s="1"/>
  <c r="O938" i="2" s="1"/>
  <c r="AM226" i="2"/>
  <c r="AA226" i="2" s="1"/>
  <c r="O226" i="2" s="1"/>
  <c r="AM515" i="2"/>
  <c r="AA515" i="2" s="1"/>
  <c r="O515" i="2" s="1"/>
  <c r="AM52" i="2"/>
  <c r="AA52" i="2" s="1"/>
  <c r="O52" i="2" s="1"/>
  <c r="AM396" i="2"/>
  <c r="AA396" i="2" s="1"/>
  <c r="O396" i="2" s="1"/>
  <c r="AM311" i="2"/>
  <c r="AA311" i="2" s="1"/>
  <c r="O311" i="2" s="1"/>
  <c r="AM299" i="2"/>
  <c r="AA299" i="2" s="1"/>
  <c r="O299" i="2" s="1"/>
  <c r="AM794" i="2"/>
  <c r="AA794" i="2" s="1"/>
  <c r="O794" i="2" s="1"/>
  <c r="AM799" i="2"/>
  <c r="AA799" i="2" s="1"/>
  <c r="O799" i="2" s="1"/>
  <c r="AM521" i="2"/>
  <c r="AA521" i="2" s="1"/>
  <c r="O521" i="2" s="1"/>
  <c r="AM201" i="2"/>
  <c r="AA201" i="2" s="1"/>
  <c r="O201" i="2" s="1"/>
  <c r="AM656" i="2"/>
  <c r="AA656" i="2" s="1"/>
  <c r="O656" i="2" s="1"/>
  <c r="AM338" i="2"/>
  <c r="AA338" i="2" s="1"/>
  <c r="O338" i="2" s="1"/>
  <c r="AM281" i="2"/>
  <c r="AA281" i="2" s="1"/>
  <c r="O281" i="2" s="1"/>
  <c r="AM123" i="2"/>
  <c r="AA123" i="2" s="1"/>
  <c r="O123" i="2" s="1"/>
  <c r="AM143" i="2"/>
  <c r="AA143" i="2" s="1"/>
  <c r="O143" i="2" s="1"/>
  <c r="AM1050" i="2"/>
  <c r="AA1050" i="2" s="1"/>
  <c r="O1050" i="2" s="1"/>
  <c r="AM1024" i="2"/>
  <c r="AA1024" i="2" s="1"/>
  <c r="O1024" i="2" s="1"/>
  <c r="AM412" i="2"/>
  <c r="AA412" i="2" s="1"/>
  <c r="O412" i="2" s="1"/>
  <c r="AM923" i="2"/>
  <c r="AA923" i="2" s="1"/>
  <c r="O923" i="2" s="1"/>
  <c r="AM1214" i="2"/>
  <c r="AA1214" i="2" s="1"/>
  <c r="O1214" i="2" s="1"/>
  <c r="AM984" i="2"/>
  <c r="AA984" i="2" s="1"/>
  <c r="O984" i="2" s="1"/>
  <c r="AM1264" i="2"/>
  <c r="AA1264" i="2" s="1"/>
  <c r="O1264" i="2" s="1"/>
  <c r="AM834" i="2"/>
  <c r="AA834" i="2" s="1"/>
  <c r="O834" i="2" s="1"/>
  <c r="AM833" i="2"/>
  <c r="AA833" i="2" s="1"/>
  <c r="O833" i="2" s="1"/>
  <c r="AM361" i="2"/>
  <c r="AA361" i="2" s="1"/>
  <c r="O361" i="2" s="1"/>
  <c r="AM800" i="2"/>
  <c r="AA800" i="2" s="1"/>
  <c r="O800" i="2" s="1"/>
  <c r="AM1170" i="2"/>
  <c r="AA1170" i="2" s="1"/>
  <c r="O1170" i="2" s="1"/>
  <c r="AM771" i="2"/>
  <c r="AA771" i="2" s="1"/>
  <c r="O771" i="2" s="1"/>
  <c r="AM1063" i="2"/>
  <c r="AA1063" i="2" s="1"/>
  <c r="O1063" i="2" s="1"/>
  <c r="AM1178" i="2"/>
  <c r="AA1178" i="2" s="1"/>
  <c r="O1178" i="2" s="1"/>
  <c r="AM1037" i="2"/>
  <c r="AA1037" i="2" s="1"/>
  <c r="O1037" i="2" s="1"/>
  <c r="AM1051" i="2"/>
  <c r="AA1051" i="2" s="1"/>
  <c r="O1051" i="2" s="1"/>
  <c r="AM1000" i="2"/>
  <c r="AA1000" i="2" s="1"/>
  <c r="O1000" i="2" s="1"/>
  <c r="AM619" i="2"/>
  <c r="AA619" i="2" s="1"/>
  <c r="O619" i="2" s="1"/>
  <c r="AM989" i="2"/>
  <c r="AA989" i="2" s="1"/>
  <c r="O989" i="2" s="1"/>
  <c r="AM982" i="2"/>
  <c r="AA982" i="2" s="1"/>
  <c r="O982" i="2" s="1"/>
  <c r="AM558" i="2"/>
  <c r="AA558" i="2" s="1"/>
  <c r="O558" i="2" s="1"/>
  <c r="AM548" i="2"/>
  <c r="AA548" i="2" s="1"/>
  <c r="O548" i="2" s="1"/>
  <c r="AM394" i="2"/>
  <c r="AA394" i="2" s="1"/>
  <c r="O394" i="2" s="1"/>
  <c r="AM204" i="2"/>
  <c r="AA204" i="2" s="1"/>
  <c r="O204" i="2" s="1"/>
  <c r="AM200" i="2"/>
  <c r="AA200" i="2" s="1"/>
  <c r="O200" i="2" s="1"/>
  <c r="AM519" i="2"/>
  <c r="AA519" i="2" s="1"/>
  <c r="O519" i="2" s="1"/>
  <c r="AM365" i="2"/>
  <c r="AA365" i="2" s="1"/>
  <c r="O365" i="2" s="1"/>
  <c r="AM398" i="2"/>
  <c r="AA398" i="2" s="1"/>
  <c r="O398" i="2" s="1"/>
  <c r="AM387" i="2"/>
  <c r="AA387" i="2" s="1"/>
  <c r="O387" i="2" s="1"/>
  <c r="AM486" i="2"/>
  <c r="AA486" i="2" s="1"/>
  <c r="O486" i="2" s="1"/>
  <c r="AM243" i="2"/>
  <c r="AA243" i="2" s="1"/>
  <c r="O243" i="2" s="1"/>
  <c r="AM197" i="2"/>
  <c r="AA197" i="2" s="1"/>
  <c r="O197" i="2" s="1"/>
  <c r="AM442" i="2"/>
  <c r="AA442" i="2" s="1"/>
  <c r="O442" i="2" s="1"/>
  <c r="AM110" i="2"/>
  <c r="AA110" i="2" s="1"/>
  <c r="O110" i="2" s="1"/>
  <c r="AM1124" i="2"/>
  <c r="AA1124" i="2" s="1"/>
  <c r="O1124" i="2" s="1"/>
  <c r="AM851" i="2"/>
  <c r="AA851" i="2" s="1"/>
  <c r="O851" i="2" s="1"/>
  <c r="AM1273" i="2"/>
  <c r="AA1273" i="2" s="1"/>
  <c r="O1273" i="2" s="1"/>
  <c r="AM680" i="2"/>
  <c r="AA680" i="2" s="1"/>
  <c r="O680" i="2" s="1"/>
  <c r="AM998" i="2"/>
  <c r="AA998" i="2" s="1"/>
  <c r="O998" i="2" s="1"/>
  <c r="AM925" i="2"/>
  <c r="AA925" i="2" s="1"/>
  <c r="O925" i="2" s="1"/>
  <c r="AM900" i="2"/>
  <c r="AA900" i="2" s="1"/>
  <c r="O900" i="2" s="1"/>
  <c r="AM224" i="2"/>
  <c r="AA224" i="2" s="1"/>
  <c r="O224" i="2" s="1"/>
  <c r="AM1211" i="2"/>
  <c r="AA1211" i="2" s="1"/>
  <c r="O1211" i="2" s="1"/>
  <c r="AM1108" i="2"/>
  <c r="AA1108" i="2" s="1"/>
  <c r="O1108" i="2" s="1"/>
  <c r="AM1041" i="2"/>
  <c r="AA1041" i="2" s="1"/>
  <c r="O1041" i="2" s="1"/>
  <c r="AM472" i="2"/>
  <c r="AA472" i="2" s="1"/>
  <c r="O472" i="2" s="1"/>
  <c r="AM1018" i="2"/>
  <c r="AA1018" i="2" s="1"/>
  <c r="O1018" i="2" s="1"/>
  <c r="AM256" i="2"/>
  <c r="AA256" i="2" s="1"/>
  <c r="O256" i="2" s="1"/>
  <c r="AM1239" i="2"/>
  <c r="AA1239" i="2" s="1"/>
  <c r="O1239" i="2" s="1"/>
  <c r="AM1217" i="2"/>
  <c r="AA1217" i="2" s="1"/>
  <c r="O1217" i="2" s="1"/>
  <c r="AM902" i="2"/>
  <c r="AA902" i="2" s="1"/>
  <c r="O902" i="2" s="1"/>
  <c r="AM262" i="2"/>
  <c r="AA262" i="2" s="1"/>
  <c r="O262" i="2" s="1"/>
  <c r="AM911" i="2"/>
  <c r="AA911" i="2" s="1"/>
  <c r="O911" i="2" s="1"/>
  <c r="AM958" i="2"/>
  <c r="AA958" i="2" s="1"/>
  <c r="O958" i="2" s="1"/>
  <c r="AM951" i="2"/>
  <c r="AA951" i="2" s="1"/>
  <c r="O951" i="2" s="1"/>
  <c r="AM1149" i="2"/>
  <c r="AA1149" i="2" s="1"/>
  <c r="O1149" i="2" s="1"/>
  <c r="AM1056" i="2"/>
  <c r="AA1056" i="2" s="1"/>
  <c r="O1056" i="2" s="1"/>
  <c r="AM847" i="2"/>
  <c r="AA847" i="2" s="1"/>
  <c r="O847" i="2" s="1"/>
  <c r="AM789" i="2"/>
  <c r="AA789" i="2" s="1"/>
  <c r="O789" i="2" s="1"/>
  <c r="AM1007" i="2"/>
  <c r="AA1007" i="2" s="1"/>
  <c r="O1007" i="2" s="1"/>
  <c r="AM1177" i="2"/>
  <c r="AA1177" i="2" s="1"/>
  <c r="O1177" i="2" s="1"/>
  <c r="AM1118" i="2"/>
  <c r="AA1118" i="2" s="1"/>
  <c r="O1118" i="2" s="1"/>
  <c r="AM959" i="2"/>
  <c r="AA959" i="2" s="1"/>
  <c r="O959" i="2" s="1"/>
  <c r="AM1105" i="2"/>
  <c r="AA1105" i="2" s="1"/>
  <c r="O1105" i="2" s="1"/>
  <c r="AM983" i="2"/>
  <c r="AA983" i="2" s="1"/>
  <c r="O983" i="2" s="1"/>
  <c r="AM447" i="2"/>
  <c r="AA447" i="2" s="1"/>
  <c r="O447" i="2" s="1"/>
  <c r="AM1159" i="2"/>
  <c r="AA1159" i="2" s="1"/>
  <c r="O1159" i="2" s="1"/>
  <c r="AM992" i="2"/>
  <c r="AA992" i="2" s="1"/>
  <c r="O992" i="2" s="1"/>
  <c r="AM920" i="2"/>
  <c r="AA920" i="2" s="1"/>
  <c r="O920" i="2" s="1"/>
  <c r="AM1013" i="2"/>
  <c r="AA1013" i="2" s="1"/>
  <c r="O1013" i="2" s="1"/>
  <c r="AM979" i="2"/>
  <c r="AA979" i="2" s="1"/>
  <c r="O979" i="2" s="1"/>
  <c r="AM816" i="2"/>
  <c r="AA816" i="2" s="1"/>
  <c r="O816" i="2" s="1"/>
  <c r="AM765" i="2"/>
  <c r="AA765" i="2" s="1"/>
  <c r="O765" i="2" s="1"/>
  <c r="AM1128" i="2"/>
  <c r="AA1128" i="2" s="1"/>
  <c r="O1128" i="2" s="1"/>
  <c r="AM866" i="2"/>
  <c r="AA866" i="2" s="1"/>
  <c r="O866" i="2" s="1"/>
  <c r="AM621" i="2"/>
  <c r="AA621" i="2" s="1"/>
  <c r="O621" i="2" s="1"/>
  <c r="AM618" i="2"/>
  <c r="AA618" i="2" s="1"/>
  <c r="O618" i="2" s="1"/>
  <c r="AM511" i="2"/>
  <c r="AA511" i="2" s="1"/>
  <c r="O511" i="2" s="1"/>
  <c r="AM308" i="2"/>
  <c r="AA308" i="2" s="1"/>
  <c r="O308" i="2" s="1"/>
  <c r="AM677" i="2"/>
  <c r="AA677" i="2" s="1"/>
  <c r="O677" i="2" s="1"/>
  <c r="AM727" i="2"/>
  <c r="AA727" i="2" s="1"/>
  <c r="O727" i="2" s="1"/>
  <c r="AM544" i="2"/>
  <c r="AA544" i="2" s="1"/>
  <c r="O544" i="2" s="1"/>
  <c r="AM987" i="2"/>
  <c r="AA987" i="2" s="1"/>
  <c r="O987" i="2" s="1"/>
  <c r="AM770" i="2"/>
  <c r="AA770" i="2" s="1"/>
  <c r="O770" i="2" s="1"/>
  <c r="AM1185" i="2"/>
  <c r="AA1185" i="2" s="1"/>
  <c r="O1185" i="2" s="1"/>
  <c r="AM1072" i="2"/>
  <c r="AA1072" i="2" s="1"/>
  <c r="O1072" i="2" s="1"/>
  <c r="AM980" i="2"/>
  <c r="AA980" i="2" s="1"/>
  <c r="O980" i="2" s="1"/>
  <c r="AM295" i="2"/>
  <c r="AA295" i="2" s="1"/>
  <c r="O295" i="2" s="1"/>
  <c r="AM1201" i="2"/>
  <c r="AA1201" i="2" s="1"/>
  <c r="O1201" i="2" s="1"/>
  <c r="AM815" i="2"/>
  <c r="AA815" i="2" s="1"/>
  <c r="O815" i="2" s="1"/>
  <c r="AM1157" i="2"/>
  <c r="AA1157" i="2" s="1"/>
  <c r="O1157" i="2" s="1"/>
  <c r="AM1030" i="2"/>
  <c r="AA1030" i="2" s="1"/>
  <c r="O1030" i="2" s="1"/>
  <c r="AM986" i="2"/>
  <c r="AA986" i="2" s="1"/>
  <c r="O986" i="2" s="1"/>
  <c r="AM695" i="2"/>
  <c r="AA695" i="2" s="1"/>
  <c r="O695" i="2" s="1"/>
  <c r="AM469" i="2"/>
  <c r="AA469" i="2" s="1"/>
  <c r="O469" i="2" s="1"/>
  <c r="AM223" i="2"/>
  <c r="AA223" i="2" s="1"/>
  <c r="O223" i="2" s="1"/>
  <c r="AM1143" i="2"/>
  <c r="AA1143" i="2" s="1"/>
  <c r="O1143" i="2" s="1"/>
  <c r="AM1230" i="2"/>
  <c r="AA1230" i="2" s="1"/>
  <c r="O1230" i="2" s="1"/>
  <c r="AM1167" i="2"/>
  <c r="AA1167" i="2" s="1"/>
  <c r="O1167" i="2" s="1"/>
  <c r="AM971" i="2"/>
  <c r="AA971" i="2" s="1"/>
  <c r="O971" i="2" s="1"/>
  <c r="AM554" i="2"/>
  <c r="AA554" i="2" s="1"/>
  <c r="O554" i="2" s="1"/>
  <c r="AM353" i="2"/>
  <c r="AA353" i="2" s="1"/>
  <c r="O353" i="2" s="1"/>
  <c r="AM1181" i="2"/>
  <c r="AA1181" i="2" s="1"/>
  <c r="O1181" i="2" s="1"/>
  <c r="AM1132" i="2"/>
  <c r="AA1132" i="2" s="1"/>
  <c r="O1132" i="2" s="1"/>
  <c r="AM888" i="2"/>
  <c r="AA888" i="2" s="1"/>
  <c r="O888" i="2" s="1"/>
  <c r="AM912" i="2"/>
  <c r="AA912" i="2" s="1"/>
  <c r="O912" i="2" s="1"/>
  <c r="AM860" i="2"/>
  <c r="AA860" i="2" s="1"/>
  <c r="O860" i="2" s="1"/>
  <c r="AM973" i="2"/>
  <c r="AA973" i="2" s="1"/>
  <c r="O973" i="2" s="1"/>
  <c r="AM867" i="2"/>
  <c r="AA867" i="2" s="1"/>
  <c r="O867" i="2" s="1"/>
  <c r="AM1155" i="2"/>
  <c r="AA1155" i="2" s="1"/>
  <c r="O1155" i="2" s="1"/>
  <c r="AM969" i="2"/>
  <c r="AA969" i="2" s="1"/>
  <c r="O969" i="2" s="1"/>
  <c r="AM1171" i="2"/>
  <c r="AA1171" i="2" s="1"/>
  <c r="O1171" i="2" s="1"/>
  <c r="AM237" i="2"/>
  <c r="AA237" i="2" s="1"/>
  <c r="O237" i="2" s="1"/>
  <c r="AM344" i="2"/>
  <c r="AA344" i="2" s="1"/>
  <c r="O344" i="2" s="1"/>
  <c r="AM94" i="2"/>
  <c r="AA94" i="2" s="1"/>
  <c r="O94" i="2" s="1"/>
  <c r="AM404" i="2"/>
  <c r="AA404" i="2" s="1"/>
  <c r="O404" i="2" s="1"/>
  <c r="AM72" i="2"/>
  <c r="AA72" i="2" s="1"/>
  <c r="O72" i="2" s="1"/>
  <c r="AM712" i="2"/>
  <c r="AA712" i="2" s="1"/>
  <c r="O712" i="2" s="1"/>
  <c r="AM786" i="2"/>
  <c r="AA786" i="2" s="1"/>
  <c r="O786" i="2" s="1"/>
  <c r="AM325" i="2"/>
  <c r="AA325" i="2" s="1"/>
  <c r="O325" i="2" s="1"/>
  <c r="AM199" i="2"/>
  <c r="AA199" i="2" s="1"/>
  <c r="O199" i="2" s="1"/>
  <c r="AM716" i="2"/>
  <c r="AA716" i="2" s="1"/>
  <c r="O716" i="2" s="1"/>
  <c r="AM351" i="2"/>
  <c r="AA351" i="2" s="1"/>
  <c r="O351" i="2" s="1"/>
  <c r="AM240" i="2"/>
  <c r="AA240" i="2" s="1"/>
  <c r="O240" i="2" s="1"/>
  <c r="AM430" i="2"/>
  <c r="AA430" i="2" s="1"/>
  <c r="O430" i="2" s="1"/>
  <c r="AM411" i="2"/>
  <c r="AA411" i="2" s="1"/>
  <c r="O411" i="2" s="1"/>
  <c r="AM266" i="2"/>
  <c r="AA266" i="2" s="1"/>
  <c r="O266" i="2" s="1"/>
  <c r="AM965" i="2"/>
  <c r="AA965" i="2" s="1"/>
  <c r="O965" i="2" s="1"/>
  <c r="AM1220" i="2"/>
  <c r="AA1220" i="2" s="1"/>
  <c r="O1220" i="2" s="1"/>
  <c r="AM1078" i="2"/>
  <c r="AA1078" i="2" s="1"/>
  <c r="O1078" i="2" s="1"/>
  <c r="AM1195" i="2"/>
  <c r="AA1195" i="2" s="1"/>
  <c r="O1195" i="2" s="1"/>
  <c r="AM1094" i="2"/>
  <c r="AA1094" i="2" s="1"/>
  <c r="O1094" i="2" s="1"/>
  <c r="AM1043" i="2"/>
  <c r="AA1043" i="2" s="1"/>
  <c r="O1043" i="2" s="1"/>
  <c r="AM706" i="2"/>
  <c r="AA706" i="2" s="1"/>
  <c r="O706" i="2" s="1"/>
  <c r="AM1268" i="2"/>
  <c r="AA1268" i="2" s="1"/>
  <c r="O1268" i="2" s="1"/>
  <c r="AM1040" i="2"/>
  <c r="AA1040" i="2" s="1"/>
  <c r="O1040" i="2" s="1"/>
  <c r="AM972" i="2"/>
  <c r="AA972" i="2" s="1"/>
  <c r="O972" i="2" s="1"/>
  <c r="AM1092" i="2"/>
  <c r="AA1092" i="2" s="1"/>
  <c r="O1092" i="2" s="1"/>
  <c r="AM805" i="2"/>
  <c r="AA805" i="2" s="1"/>
  <c r="O805" i="2" s="1"/>
  <c r="AM280" i="2"/>
  <c r="AA280" i="2" s="1"/>
  <c r="O280" i="2" s="1"/>
  <c r="AM1200" i="2"/>
  <c r="AA1200" i="2" s="1"/>
  <c r="O1200" i="2" s="1"/>
  <c r="AM957" i="2"/>
  <c r="AA957" i="2" s="1"/>
  <c r="O957" i="2" s="1"/>
  <c r="AM513" i="2"/>
  <c r="AA513" i="2" s="1"/>
  <c r="O513" i="2" s="1"/>
  <c r="AM1262" i="2"/>
  <c r="AA1262" i="2" s="1"/>
  <c r="O1262" i="2" s="1"/>
  <c r="AM852" i="2"/>
  <c r="AA852" i="2" s="1"/>
  <c r="O852" i="2" s="1"/>
  <c r="AM769" i="2"/>
  <c r="AA769" i="2" s="1"/>
  <c r="O769" i="2" s="1"/>
  <c r="AM1068" i="2"/>
  <c r="AA1068" i="2" s="1"/>
  <c r="O1068" i="2" s="1"/>
  <c r="AM753" i="2"/>
  <c r="AA753" i="2" s="1"/>
  <c r="O753" i="2" s="1"/>
  <c r="AM907" i="2"/>
  <c r="AA907" i="2" s="1"/>
  <c r="O907" i="2" s="1"/>
  <c r="AM842" i="2"/>
  <c r="AA842" i="2" s="1"/>
  <c r="O842" i="2" s="1"/>
  <c r="AM1226" i="2"/>
  <c r="AA1226" i="2" s="1"/>
  <c r="O1226" i="2" s="1"/>
  <c r="AM1009" i="2"/>
  <c r="AA1009" i="2" s="1"/>
  <c r="O1009" i="2" s="1"/>
  <c r="AM169" i="2"/>
  <c r="AA169" i="2" s="1"/>
  <c r="O169" i="2" s="1"/>
  <c r="AM897" i="2"/>
  <c r="AA897" i="2" s="1"/>
  <c r="O897" i="2" s="1"/>
  <c r="AM1106" i="2"/>
  <c r="AA1106" i="2" s="1"/>
  <c r="O1106" i="2" s="1"/>
  <c r="AM758" i="2"/>
  <c r="AA758" i="2" s="1"/>
  <c r="O758" i="2" s="1"/>
  <c r="AM446" i="2"/>
  <c r="AA446" i="2" s="1"/>
  <c r="O446" i="2" s="1"/>
  <c r="AM367" i="2"/>
  <c r="AA367" i="2" s="1"/>
  <c r="O367" i="2" s="1"/>
  <c r="AM358" i="2"/>
  <c r="AA358" i="2" s="1"/>
  <c r="O358" i="2" s="1"/>
  <c r="AM743" i="2"/>
  <c r="AA743" i="2" s="1"/>
  <c r="O743" i="2" s="1"/>
  <c r="AM495" i="2"/>
  <c r="AA495" i="2" s="1"/>
  <c r="O495" i="2" s="1"/>
  <c r="AM345" i="2"/>
  <c r="AA345" i="2" s="1"/>
  <c r="O345" i="2" s="1"/>
  <c r="AM484" i="2"/>
  <c r="AA484" i="2" s="1"/>
  <c r="O484" i="2" s="1"/>
  <c r="AM497" i="2"/>
  <c r="AA497" i="2" s="1"/>
  <c r="O497" i="2" s="1"/>
  <c r="AM431" i="2"/>
  <c r="AA431" i="2" s="1"/>
  <c r="O431" i="2" s="1"/>
  <c r="AM955" i="2"/>
  <c r="AA955" i="2" s="1"/>
  <c r="O955" i="2" s="1"/>
  <c r="AM857" i="2"/>
  <c r="AA857" i="2" s="1"/>
  <c r="O857" i="2" s="1"/>
  <c r="AM1187" i="2"/>
  <c r="AA1187" i="2" s="1"/>
  <c r="O1187" i="2" s="1"/>
  <c r="AM1045" i="2"/>
  <c r="AA1045" i="2" s="1"/>
  <c r="O1045" i="2" s="1"/>
  <c r="AM960" i="2"/>
  <c r="AA960" i="2" s="1"/>
  <c r="O960" i="2" s="1"/>
  <c r="AM1246" i="2"/>
  <c r="AA1246" i="2" s="1"/>
  <c r="O1246" i="2" s="1"/>
  <c r="AM1103" i="2"/>
  <c r="AA1103" i="2" s="1"/>
  <c r="O1103" i="2" s="1"/>
  <c r="AM905" i="2"/>
  <c r="AA905" i="2" s="1"/>
  <c r="O905" i="2" s="1"/>
  <c r="AM995" i="2"/>
  <c r="AA995" i="2" s="1"/>
  <c r="O995" i="2" s="1"/>
  <c r="AM844" i="2"/>
  <c r="AA844" i="2" s="1"/>
  <c r="O844" i="2" s="1"/>
  <c r="AM1026" i="2"/>
  <c r="AA1026" i="2" s="1"/>
  <c r="O1026" i="2" s="1"/>
  <c r="AM1052" i="2"/>
  <c r="AA1052" i="2" s="1"/>
  <c r="O1052" i="2" s="1"/>
  <c r="AM832" i="2"/>
  <c r="AA832" i="2" s="1"/>
  <c r="O832" i="2" s="1"/>
  <c r="AM1237" i="2"/>
  <c r="AA1237" i="2" s="1"/>
  <c r="O1237" i="2" s="1"/>
  <c r="AM934" i="2"/>
  <c r="AA934" i="2" s="1"/>
  <c r="O934" i="2" s="1"/>
  <c r="AM884" i="2"/>
  <c r="AA884" i="2" s="1"/>
  <c r="O884" i="2" s="1"/>
  <c r="AM1203" i="2"/>
  <c r="AA1203" i="2" s="1"/>
  <c r="O1203" i="2" s="1"/>
  <c r="AM1120" i="2"/>
  <c r="AA1120" i="2" s="1"/>
  <c r="O1120" i="2" s="1"/>
  <c r="AM883" i="2"/>
  <c r="AA883" i="2" s="1"/>
  <c r="O883" i="2" s="1"/>
  <c r="AM996" i="2"/>
  <c r="AA996" i="2" s="1"/>
  <c r="O996" i="2" s="1"/>
  <c r="AM868" i="2"/>
  <c r="AA868" i="2" s="1"/>
  <c r="O868" i="2" s="1"/>
  <c r="AM825" i="2"/>
  <c r="AA825" i="2" s="1"/>
  <c r="O825" i="2" s="1"/>
  <c r="AM1053" i="2"/>
  <c r="AA1053" i="2" s="1"/>
  <c r="O1053" i="2" s="1"/>
  <c r="AM970" i="2"/>
  <c r="AA970" i="2" s="1"/>
  <c r="O970" i="2" s="1"/>
  <c r="AM686" i="2"/>
  <c r="AA686" i="2" s="1"/>
  <c r="O686" i="2" s="1"/>
  <c r="AM314" i="2"/>
  <c r="AA314" i="2" s="1"/>
  <c r="O314" i="2" s="1"/>
  <c r="AM218" i="2"/>
  <c r="AA218" i="2" s="1"/>
  <c r="O218" i="2" s="1"/>
  <c r="AM282" i="2"/>
  <c r="AA282" i="2" s="1"/>
  <c r="O282" i="2" s="1"/>
  <c r="AM582" i="2"/>
  <c r="AA582" i="2" s="1"/>
  <c r="O582" i="2" s="1"/>
  <c r="AM214" i="2"/>
  <c r="AA214" i="2" s="1"/>
  <c r="O214" i="2" s="1"/>
  <c r="AM721" i="2"/>
  <c r="AA721" i="2" s="1"/>
  <c r="O721" i="2" s="1"/>
  <c r="AM476" i="2"/>
  <c r="AA476" i="2" s="1"/>
  <c r="O476" i="2" s="1"/>
  <c r="AM278" i="2"/>
  <c r="AA278" i="2" s="1"/>
  <c r="O278" i="2" s="1"/>
  <c r="AM669" i="2"/>
  <c r="AA669" i="2" s="1"/>
  <c r="O669" i="2" s="1"/>
  <c r="AM577" i="2"/>
  <c r="AA577" i="2" s="1"/>
  <c r="O577" i="2" s="1"/>
  <c r="AM553" i="2"/>
  <c r="AA553" i="2" s="1"/>
  <c r="O553" i="2" s="1"/>
  <c r="AM528" i="2"/>
  <c r="AA528" i="2" s="1"/>
  <c r="O528" i="2" s="1"/>
  <c r="AM235" i="2"/>
  <c r="AA235" i="2" s="1"/>
  <c r="O235" i="2" s="1"/>
  <c r="AM213" i="2"/>
  <c r="AA213" i="2" s="1"/>
  <c r="O213" i="2" s="1"/>
  <c r="AM632" i="2"/>
  <c r="AA632" i="2" s="1"/>
  <c r="O632" i="2" s="1"/>
  <c r="AM381" i="2"/>
  <c r="AA381" i="2" s="1"/>
  <c r="O381" i="2" s="1"/>
  <c r="AM1272" i="2"/>
  <c r="AA1272" i="2" s="1"/>
  <c r="O1272" i="2" s="1"/>
  <c r="AM948" i="2"/>
  <c r="AA948" i="2" s="1"/>
  <c r="O948" i="2" s="1"/>
  <c r="AM946" i="2"/>
  <c r="AA946" i="2" s="1"/>
  <c r="O946" i="2" s="1"/>
  <c r="AM473" i="2"/>
  <c r="AA473" i="2" s="1"/>
  <c r="O473" i="2" s="1"/>
  <c r="AM1109" i="2"/>
  <c r="AA1109" i="2" s="1"/>
  <c r="O1109" i="2" s="1"/>
  <c r="AM1099" i="2"/>
  <c r="AA1099" i="2" s="1"/>
  <c r="O1099" i="2" s="1"/>
  <c r="AM1019" i="2"/>
  <c r="AA1019" i="2" s="1"/>
  <c r="O1019" i="2" s="1"/>
  <c r="AM961" i="2"/>
  <c r="AA961" i="2" s="1"/>
  <c r="O961" i="2" s="1"/>
  <c r="AM767" i="2"/>
  <c r="AA767" i="2" s="1"/>
  <c r="O767" i="2" s="1"/>
  <c r="AM683" i="2"/>
  <c r="AA683" i="2" s="1"/>
  <c r="O683" i="2" s="1"/>
  <c r="AM783" i="2"/>
  <c r="AA783" i="2" s="1"/>
  <c r="O783" i="2" s="1"/>
  <c r="AM874" i="2"/>
  <c r="AA874" i="2" s="1"/>
  <c r="O874" i="2" s="1"/>
  <c r="AM1003" i="2"/>
  <c r="AA1003" i="2" s="1"/>
  <c r="O1003" i="2" s="1"/>
  <c r="AM1110" i="2"/>
  <c r="AA1110" i="2" s="1"/>
  <c r="O1110" i="2" s="1"/>
  <c r="AM751" i="2"/>
  <c r="AA751" i="2" s="1"/>
  <c r="O751" i="2" s="1"/>
  <c r="AM1266" i="2"/>
  <c r="AA1266" i="2" s="1"/>
  <c r="O1266" i="2" s="1"/>
  <c r="AM1146" i="2"/>
  <c r="AA1146" i="2" s="1"/>
  <c r="O1146" i="2" s="1"/>
  <c r="AM1066" i="2"/>
  <c r="AA1066" i="2" s="1"/>
  <c r="O1066" i="2" s="1"/>
  <c r="AM641" i="2"/>
  <c r="AA641" i="2" s="1"/>
  <c r="O641" i="2" s="1"/>
  <c r="AM417" i="2"/>
  <c r="AA417" i="2" s="1"/>
  <c r="O417" i="2" s="1"/>
  <c r="AM918" i="2"/>
  <c r="AA918" i="2" s="1"/>
  <c r="O918" i="2" s="1"/>
  <c r="AM583" i="2"/>
  <c r="AA583" i="2" s="1"/>
  <c r="O583" i="2" s="1"/>
  <c r="AM1147" i="2"/>
  <c r="AA1147" i="2" s="1"/>
  <c r="O1147" i="2" s="1"/>
  <c r="AM941" i="2"/>
  <c r="AA941" i="2" s="1"/>
  <c r="O941" i="2" s="1"/>
  <c r="AM1191" i="2"/>
  <c r="AA1191" i="2" s="1"/>
  <c r="O1191" i="2" s="1"/>
  <c r="AM178" i="2"/>
  <c r="AA178" i="2" s="1"/>
  <c r="O178" i="2" s="1"/>
  <c r="AM627" i="2"/>
  <c r="AA627" i="2" s="1"/>
  <c r="O627" i="2" s="1"/>
  <c r="AM739" i="2"/>
  <c r="AA739" i="2" s="1"/>
  <c r="O739" i="2" s="1"/>
  <c r="AM525" i="2"/>
  <c r="AA525" i="2" s="1"/>
  <c r="O525" i="2" s="1"/>
  <c r="AM407" i="2"/>
  <c r="AA407" i="2" s="1"/>
  <c r="O407" i="2" s="1"/>
  <c r="AM694" i="2"/>
  <c r="AA694" i="2" s="1"/>
  <c r="O694" i="2" s="1"/>
  <c r="AM259" i="2"/>
  <c r="AA259" i="2" s="1"/>
  <c r="O259" i="2" s="1"/>
  <c r="AM158" i="2"/>
  <c r="AA158" i="2" s="1"/>
  <c r="O158" i="2" s="1"/>
  <c r="AM652" i="2"/>
  <c r="AA652" i="2" s="1"/>
  <c r="O652" i="2" s="1"/>
  <c r="AM294" i="2"/>
  <c r="AA294" i="2" s="1"/>
  <c r="O294" i="2" s="1"/>
  <c r="AM144" i="2"/>
  <c r="AA144" i="2" s="1"/>
  <c r="O144" i="2" s="1"/>
  <c r="AM693" i="2"/>
  <c r="AA693" i="2" s="1"/>
  <c r="O693" i="2" s="1"/>
  <c r="AM650" i="2"/>
  <c r="AA650" i="2" s="1"/>
  <c r="O650" i="2" s="1"/>
  <c r="AM306" i="2"/>
  <c r="AA306" i="2" s="1"/>
  <c r="O306" i="2" s="1"/>
  <c r="AM714" i="2"/>
  <c r="AA714" i="2" s="1"/>
  <c r="O714" i="2" s="1"/>
  <c r="AM279" i="2"/>
  <c r="AA279" i="2" s="1"/>
  <c r="O279" i="2" s="1"/>
  <c r="AM1235" i="2"/>
  <c r="AA1235" i="2" s="1"/>
  <c r="O1235" i="2" s="1"/>
  <c r="AM840" i="2"/>
  <c r="AA840" i="2" s="1"/>
  <c r="O840" i="2" s="1"/>
  <c r="AM1234" i="2"/>
  <c r="AA1234" i="2" s="1"/>
  <c r="O1234" i="2" s="1"/>
  <c r="AM1135" i="2"/>
  <c r="AA1135" i="2" s="1"/>
  <c r="O1135" i="2" s="1"/>
  <c r="AM1062" i="2"/>
  <c r="AA1062" i="2" s="1"/>
  <c r="O1062" i="2" s="1"/>
  <c r="AM882" i="2"/>
  <c r="AA882" i="2" s="1"/>
  <c r="O882" i="2" s="1"/>
  <c r="AM1256" i="2"/>
  <c r="AA1256" i="2" s="1"/>
  <c r="O1256" i="2" s="1"/>
  <c r="AM1188" i="2"/>
  <c r="AA1188" i="2" s="1"/>
  <c r="O1188" i="2" s="1"/>
  <c r="AM1134" i="2"/>
  <c r="AA1134" i="2" s="1"/>
  <c r="O1134" i="2" s="1"/>
  <c r="AM904" i="2"/>
  <c r="AA904" i="2" s="1"/>
  <c r="O904" i="2" s="1"/>
  <c r="AM689" i="2"/>
  <c r="AA689" i="2" s="1"/>
  <c r="O689" i="2" s="1"/>
  <c r="AM1221" i="2"/>
  <c r="AA1221" i="2" s="1"/>
  <c r="O1221" i="2" s="1"/>
  <c r="AM1031" i="2"/>
  <c r="AA1031" i="2" s="1"/>
  <c r="O1031" i="2" s="1"/>
  <c r="AM785" i="2"/>
  <c r="AA785" i="2" s="1"/>
  <c r="O785" i="2" s="1"/>
  <c r="AM1008" i="2"/>
  <c r="AA1008" i="2" s="1"/>
  <c r="O1008" i="2" s="1"/>
  <c r="AM896" i="2"/>
  <c r="AA896" i="2" s="1"/>
  <c r="O896" i="2" s="1"/>
  <c r="AM1228" i="2"/>
  <c r="AA1228" i="2" s="1"/>
  <c r="O1228" i="2" s="1"/>
  <c r="AM1145" i="2"/>
  <c r="AA1145" i="2" s="1"/>
  <c r="O1145" i="2" s="1"/>
  <c r="AM1076" i="2"/>
  <c r="AA1076" i="2" s="1"/>
  <c r="O1076" i="2" s="1"/>
  <c r="AM1247" i="2"/>
  <c r="AA1247" i="2" s="1"/>
  <c r="O1247" i="2" s="1"/>
  <c r="AM1227" i="2"/>
  <c r="AA1227" i="2" s="1"/>
  <c r="O1227" i="2" s="1"/>
  <c r="AM685" i="2"/>
  <c r="AA685" i="2" s="1"/>
  <c r="O685" i="2" s="1"/>
  <c r="AM997" i="2"/>
  <c r="AA997" i="2" s="1"/>
  <c r="O997" i="2" s="1"/>
  <c r="AM1174" i="2"/>
  <c r="AA1174" i="2" s="1"/>
  <c r="O1174" i="2" s="1"/>
  <c r="AM878" i="2"/>
  <c r="AA878" i="2" s="1"/>
  <c r="O878" i="2" s="1"/>
  <c r="AM814" i="2"/>
  <c r="AA814" i="2" s="1"/>
  <c r="O814" i="2" s="1"/>
  <c r="AM1172" i="2"/>
  <c r="AA1172" i="2" s="1"/>
  <c r="O1172" i="2" s="1"/>
  <c r="AM978" i="2"/>
  <c r="AA978" i="2" s="1"/>
  <c r="O978" i="2" s="1"/>
  <c r="AM926" i="2"/>
  <c r="AA926" i="2" s="1"/>
  <c r="O926" i="2" s="1"/>
  <c r="AM891" i="2"/>
  <c r="AA891" i="2" s="1"/>
  <c r="O891" i="2" s="1"/>
  <c r="AM316" i="2"/>
  <c r="AA316" i="2" s="1"/>
  <c r="O316" i="2" s="1"/>
  <c r="AM616" i="2"/>
  <c r="AA616" i="2" s="1"/>
  <c r="O616" i="2" s="1"/>
  <c r="AM162" i="2"/>
  <c r="AA162" i="2" s="1"/>
  <c r="O162" i="2" s="1"/>
  <c r="AM635" i="2"/>
  <c r="AA635" i="2" s="1"/>
  <c r="O635" i="2" s="1"/>
  <c r="AM493" i="2"/>
  <c r="AA493" i="2" s="1"/>
  <c r="O493" i="2" s="1"/>
  <c r="AM261" i="2"/>
  <c r="AA261" i="2" s="1"/>
  <c r="O261" i="2" s="1"/>
  <c r="AM122" i="2"/>
  <c r="AA122" i="2" s="1"/>
  <c r="O122" i="2" s="1"/>
  <c r="AM766" i="2"/>
  <c r="AA766" i="2" s="1"/>
  <c r="O766" i="2" s="1"/>
  <c r="AM478" i="2"/>
  <c r="AA478" i="2" s="1"/>
  <c r="O478" i="2" s="1"/>
  <c r="AM342" i="2"/>
  <c r="AA342" i="2" s="1"/>
  <c r="O342" i="2" s="1"/>
  <c r="AM661" i="2"/>
  <c r="AA661" i="2" s="1"/>
  <c r="O661" i="2" s="1"/>
  <c r="AM648" i="2"/>
  <c r="AA648" i="2" s="1"/>
  <c r="O648" i="2" s="1"/>
  <c r="AM352" i="2"/>
  <c r="AA352" i="2" s="1"/>
  <c r="O352" i="2" s="1"/>
  <c r="AM208" i="2"/>
  <c r="AA208" i="2" s="1"/>
  <c r="O208" i="2" s="1"/>
  <c r="AM413" i="2"/>
  <c r="AA413" i="2" s="1"/>
  <c r="O413" i="2" s="1"/>
  <c r="AM220" i="2"/>
  <c r="AA220" i="2" s="1"/>
  <c r="O220" i="2" s="1"/>
  <c r="AM1206" i="2"/>
  <c r="AA1206" i="2" s="1"/>
  <c r="O1206" i="2" s="1"/>
  <c r="AM895" i="2"/>
  <c r="AA895" i="2" s="1"/>
  <c r="O895" i="2" s="1"/>
  <c r="AM909" i="2"/>
  <c r="AA909" i="2" s="1"/>
  <c r="O909" i="2" s="1"/>
  <c r="AM1219" i="2"/>
  <c r="AA1219" i="2" s="1"/>
  <c r="O1219" i="2" s="1"/>
  <c r="AM1104" i="2"/>
  <c r="AA1104" i="2" s="1"/>
  <c r="O1104" i="2" s="1"/>
  <c r="AM1002" i="2"/>
  <c r="AA1002" i="2" s="1"/>
  <c r="O1002" i="2" s="1"/>
  <c r="AM322" i="2"/>
  <c r="AA322" i="2" s="1"/>
  <c r="O322" i="2" s="1"/>
  <c r="AM1154" i="2"/>
  <c r="AA1154" i="2" s="1"/>
  <c r="O1154" i="2" s="1"/>
  <c r="AM1232" i="2"/>
  <c r="AA1232" i="2" s="1"/>
  <c r="O1232" i="2" s="1"/>
  <c r="AM1127" i="2"/>
  <c r="AA1127" i="2" s="1"/>
  <c r="O1127" i="2" s="1"/>
  <c r="AM1180" i="2"/>
  <c r="AA1180" i="2" s="1"/>
  <c r="O1180" i="2" s="1"/>
  <c r="AM428" i="2"/>
  <c r="AA428" i="2" s="1"/>
  <c r="O428" i="2" s="1"/>
  <c r="AM1189" i="2"/>
  <c r="AA1189" i="2" s="1"/>
  <c r="O1189" i="2" s="1"/>
  <c r="AM598" i="2"/>
  <c r="AA598" i="2" s="1"/>
  <c r="O598" i="2" s="1"/>
  <c r="AM1036" i="2"/>
  <c r="AA1036" i="2" s="1"/>
  <c r="O1036" i="2" s="1"/>
  <c r="AM1090" i="2"/>
  <c r="AA1090" i="2" s="1"/>
  <c r="O1090" i="2" s="1"/>
  <c r="AM1179" i="2"/>
  <c r="AA1179" i="2" s="1"/>
  <c r="O1179" i="2" s="1"/>
  <c r="AM464" i="2"/>
  <c r="AA464" i="2" s="1"/>
  <c r="O464" i="2" s="1"/>
  <c r="AM176" i="2"/>
  <c r="AA176" i="2" s="1"/>
  <c r="O176" i="2" s="1"/>
  <c r="AM329" i="2"/>
  <c r="AA329" i="2" s="1"/>
  <c r="O329" i="2" s="1"/>
  <c r="AM275" i="2"/>
  <c r="AA275" i="2" s="1"/>
  <c r="O275" i="2" s="1"/>
  <c r="AM98" i="2"/>
  <c r="AA98" i="2" s="1"/>
  <c r="O98" i="2" s="1"/>
  <c r="AM898" i="2"/>
  <c r="AA898" i="2" s="1"/>
  <c r="O898" i="2" s="1"/>
  <c r="AM828" i="2"/>
  <c r="AA828" i="2" s="1"/>
  <c r="O828" i="2" s="1"/>
  <c r="AM1267" i="2"/>
  <c r="AA1267" i="2" s="1"/>
  <c r="O1267" i="2" s="1"/>
  <c r="AM1242" i="2"/>
  <c r="AA1242" i="2" s="1"/>
  <c r="O1242" i="2" s="1"/>
  <c r="AM813" i="2"/>
  <c r="AA813" i="2" s="1"/>
  <c r="O813" i="2" s="1"/>
  <c r="AM754" i="2"/>
  <c r="AA754" i="2" s="1"/>
  <c r="O754" i="2" s="1"/>
  <c r="AM1004" i="2"/>
  <c r="AA1004" i="2" s="1"/>
  <c r="O1004" i="2" s="1"/>
  <c r="AM253" i="2"/>
  <c r="AA253" i="2" s="1"/>
  <c r="O253" i="2" s="1"/>
  <c r="AM975" i="2"/>
  <c r="AA975" i="2" s="1"/>
  <c r="O975" i="2" s="1"/>
  <c r="AM1005" i="2"/>
  <c r="AA1005" i="2" s="1"/>
  <c r="O1005" i="2" s="1"/>
  <c r="AM1086" i="2"/>
  <c r="AA1086" i="2" s="1"/>
  <c r="O1086" i="2" s="1"/>
  <c r="AM956" i="2"/>
  <c r="AA956" i="2" s="1"/>
  <c r="O956" i="2" s="1"/>
  <c r="AM870" i="2"/>
  <c r="AA870" i="2" s="1"/>
  <c r="O870" i="2" s="1"/>
  <c r="AM383" i="2"/>
  <c r="AA383" i="2" s="1"/>
  <c r="O383" i="2" s="1"/>
  <c r="AM1077" i="2"/>
  <c r="AA1077" i="2" s="1"/>
  <c r="O1077" i="2" s="1"/>
  <c r="AM702" i="2"/>
  <c r="AA702" i="2" s="1"/>
  <c r="O702" i="2" s="1"/>
  <c r="AM1057" i="2"/>
  <c r="AA1057" i="2" s="1"/>
  <c r="O1057" i="2" s="1"/>
  <c r="AM835" i="2"/>
  <c r="AA835" i="2" s="1"/>
  <c r="O835" i="2" s="1"/>
  <c r="AM1006" i="2"/>
  <c r="AA1006" i="2" s="1"/>
  <c r="O1006" i="2" s="1"/>
  <c r="AM414" i="2"/>
  <c r="AA414" i="2" s="1"/>
  <c r="O414" i="2" s="1"/>
  <c r="AM1222" i="2"/>
  <c r="AA1222" i="2" s="1"/>
  <c r="O1222" i="2" s="1"/>
  <c r="AM985" i="2"/>
  <c r="AA985" i="2" s="1"/>
  <c r="O985" i="2" s="1"/>
  <c r="AM1207" i="2"/>
  <c r="AA1207" i="2" s="1"/>
  <c r="O1207" i="2" s="1"/>
  <c r="AM563" i="2"/>
  <c r="AA563" i="2" s="1"/>
  <c r="O563" i="2" s="1"/>
  <c r="AM572" i="2"/>
  <c r="AA572" i="2" s="1"/>
  <c r="O572" i="2" s="1"/>
  <c r="AM334" i="2"/>
  <c r="AA334" i="2" s="1"/>
  <c r="O334" i="2" s="1"/>
  <c r="AM744" i="2"/>
  <c r="AA744" i="2" s="1"/>
  <c r="O744" i="2" s="1"/>
  <c r="AM369" i="2"/>
  <c r="AA369" i="2" s="1"/>
  <c r="O369" i="2" s="1"/>
  <c r="AM297" i="2"/>
  <c r="AA297" i="2" s="1"/>
  <c r="O297" i="2" s="1"/>
  <c r="AM114" i="2"/>
  <c r="AA114" i="2" s="1"/>
  <c r="O114" i="2" s="1"/>
  <c r="AM284" i="2"/>
  <c r="AA284" i="2" s="1"/>
  <c r="O284" i="2" s="1"/>
  <c r="AM839" i="2"/>
  <c r="AA839" i="2" s="1"/>
  <c r="O839" i="2" s="1"/>
  <c r="AM1216" i="2"/>
  <c r="AA1216" i="2" s="1"/>
  <c r="O1216" i="2" s="1"/>
  <c r="AM1261" i="2"/>
  <c r="AA1261" i="2" s="1"/>
  <c r="O1261" i="2" s="1"/>
  <c r="AM1080" i="2"/>
  <c r="AA1080" i="2" s="1"/>
  <c r="O1080" i="2" s="1"/>
  <c r="AM1173" i="2"/>
  <c r="AA1173" i="2" s="1"/>
  <c r="O1173" i="2" s="1"/>
  <c r="AM746" i="2"/>
  <c r="AA746" i="2" s="1"/>
  <c r="O746" i="2" s="1"/>
  <c r="AM1224" i="2"/>
  <c r="AA1224" i="2" s="1"/>
  <c r="O1224" i="2" s="1"/>
  <c r="AM1029" i="2"/>
  <c r="AA1029" i="2" s="1"/>
  <c r="O1029" i="2" s="1"/>
  <c r="AM332" i="2"/>
  <c r="AA332" i="2" s="1"/>
  <c r="O332" i="2" s="1"/>
  <c r="AM1243" i="2"/>
  <c r="AA1243" i="2" s="1"/>
  <c r="O1243" i="2" s="1"/>
  <c r="AM738" i="2"/>
  <c r="AA738" i="2" s="1"/>
  <c r="O738" i="2" s="1"/>
  <c r="AM1270" i="2"/>
  <c r="AA1270" i="2" s="1"/>
  <c r="O1270" i="2" s="1"/>
  <c r="AM1184" i="2"/>
  <c r="AA1184" i="2" s="1"/>
  <c r="O1184" i="2" s="1"/>
  <c r="AM636" i="2"/>
  <c r="AA636" i="2" s="1"/>
  <c r="O636" i="2" s="1"/>
  <c r="AM395" i="2"/>
  <c r="AA395" i="2" s="1"/>
  <c r="O395" i="2" s="1"/>
  <c r="AM1238" i="2"/>
  <c r="AA1238" i="2" s="1"/>
  <c r="O1238" i="2" s="1"/>
  <c r="AM950" i="2"/>
  <c r="AA950" i="2" s="1"/>
  <c r="O950" i="2" s="1"/>
  <c r="AM1115" i="2"/>
  <c r="AA1115" i="2" s="1"/>
  <c r="O1115" i="2" s="1"/>
  <c r="AM1085" i="2"/>
  <c r="AA1085" i="2" s="1"/>
  <c r="O1085" i="2" s="1"/>
  <c r="AM872" i="2"/>
  <c r="AA872" i="2" s="1"/>
  <c r="O872" i="2" s="1"/>
  <c r="AM1231" i="2"/>
  <c r="AA1231" i="2" s="1"/>
  <c r="O1231" i="2" s="1"/>
  <c r="AM879" i="2"/>
  <c r="AA879" i="2" s="1"/>
  <c r="O879" i="2" s="1"/>
  <c r="AM1081" i="2"/>
  <c r="AA1081" i="2" s="1"/>
  <c r="O1081" i="2" s="1"/>
  <c r="AM1209" i="2"/>
  <c r="AA1209" i="2" s="1"/>
  <c r="O1209" i="2" s="1"/>
  <c r="AM792" i="2"/>
  <c r="AA792" i="2" s="1"/>
  <c r="O792" i="2" s="1"/>
  <c r="AM434" i="2"/>
  <c r="AA434" i="2" s="1"/>
  <c r="O434" i="2" s="1"/>
  <c r="AM405" i="2"/>
  <c r="AA405" i="2" s="1"/>
  <c r="O405" i="2" s="1"/>
  <c r="AM737" i="2"/>
  <c r="AA737" i="2" s="1"/>
  <c r="O737" i="2" s="1"/>
  <c r="AM276" i="2"/>
  <c r="AA276" i="2" s="1"/>
  <c r="O276" i="2" s="1"/>
  <c r="AM605" i="2"/>
  <c r="AA605" i="2" s="1"/>
  <c r="O605" i="2" s="1"/>
  <c r="AM185" i="2"/>
  <c r="AA185" i="2" s="1"/>
  <c r="O185" i="2" s="1"/>
  <c r="AM35" i="2"/>
  <c r="AA35" i="2" s="1"/>
  <c r="O35" i="2" s="1"/>
  <c r="AM696" i="2"/>
  <c r="AA696" i="2" s="1"/>
  <c r="O696" i="2" s="1"/>
  <c r="AM556" i="2"/>
  <c r="AA556" i="2" s="1"/>
  <c r="O556" i="2" s="1"/>
  <c r="AM210" i="2"/>
  <c r="AA210" i="2" s="1"/>
  <c r="O210" i="2" s="1"/>
  <c r="AM555" i="2"/>
  <c r="AA555" i="2" s="1"/>
  <c r="O555" i="2" s="1"/>
  <c r="AM448" i="2"/>
  <c r="AA448" i="2" s="1"/>
  <c r="O448" i="2" s="1"/>
  <c r="AM321" i="2"/>
  <c r="AA321" i="2" s="1"/>
  <c r="O321" i="2" s="1"/>
  <c r="AM573" i="2"/>
  <c r="AA573" i="2" s="1"/>
  <c r="O573" i="2" s="1"/>
  <c r="AM579" i="2"/>
  <c r="AA579" i="2" s="1"/>
  <c r="O579" i="2" s="1"/>
  <c r="AM264" i="2"/>
  <c r="AA264" i="2" s="1"/>
  <c r="O264" i="2" s="1"/>
  <c r="AM292" i="2"/>
  <c r="AA292" i="2" s="1"/>
  <c r="O292" i="2" s="1"/>
  <c r="AM731" i="2"/>
  <c r="AA731" i="2" s="1"/>
  <c r="O731" i="2" s="1"/>
  <c r="AM729" i="2"/>
  <c r="AA729" i="2" s="1"/>
  <c r="O729" i="2" s="1"/>
  <c r="AM546" i="2"/>
  <c r="AA546" i="2" s="1"/>
  <c r="O546" i="2" s="1"/>
  <c r="AM1241" i="2"/>
  <c r="AA1241" i="2" s="1"/>
  <c r="O1241" i="2" s="1"/>
  <c r="AM1150" i="2"/>
  <c r="AA1150" i="2" s="1"/>
  <c r="O1150" i="2" s="1"/>
  <c r="AM968" i="2"/>
  <c r="AA968" i="2" s="1"/>
  <c r="O968" i="2" s="1"/>
  <c r="AM541" i="2"/>
  <c r="AA541" i="2" s="1"/>
  <c r="O541" i="2" s="1"/>
  <c r="AM140" i="2"/>
  <c r="AA140" i="2" s="1"/>
  <c r="O140" i="2" s="1"/>
  <c r="AM871" i="2"/>
  <c r="AA871" i="2" s="1"/>
  <c r="O871" i="2" s="1"/>
  <c r="AM939" i="2"/>
  <c r="AA939" i="2" s="1"/>
  <c r="O939" i="2" s="1"/>
  <c r="AM1183" i="2"/>
  <c r="AA1183" i="2" s="1"/>
  <c r="O1183" i="2" s="1"/>
  <c r="AM869" i="2"/>
  <c r="AA869" i="2" s="1"/>
  <c r="O869" i="2" s="1"/>
  <c r="AM1087" i="2"/>
  <c r="AA1087" i="2" s="1"/>
  <c r="O1087" i="2" s="1"/>
  <c r="AM1025" i="2"/>
  <c r="AA1025" i="2" s="1"/>
  <c r="O1025" i="2" s="1"/>
  <c r="AM1123" i="2"/>
  <c r="AA1123" i="2" s="1"/>
  <c r="O1123" i="2" s="1"/>
  <c r="AM1058" i="2"/>
  <c r="AA1058" i="2" s="1"/>
  <c r="O1058" i="2" s="1"/>
  <c r="AM890" i="2"/>
  <c r="AA890" i="2" s="1"/>
  <c r="O890" i="2" s="1"/>
  <c r="AM963" i="2"/>
  <c r="AA963" i="2" s="1"/>
  <c r="O963" i="2" s="1"/>
  <c r="AM1048" i="2"/>
  <c r="AA1048" i="2" s="1"/>
  <c r="O1048" i="2" s="1"/>
  <c r="AM679" i="2"/>
  <c r="AA679" i="2" s="1"/>
  <c r="O679" i="2" s="1"/>
  <c r="AM571" i="2"/>
  <c r="AA571" i="2" s="1"/>
  <c r="O571" i="2" s="1"/>
  <c r="AM483" i="2"/>
  <c r="AA483" i="2" s="1"/>
  <c r="O483" i="2" s="1"/>
  <c r="AM460" i="2"/>
  <c r="AA460" i="2" s="1"/>
  <c r="O460" i="2" s="1"/>
  <c r="AM102" i="2"/>
  <c r="AA102" i="2" s="1"/>
  <c r="O102" i="2" s="1"/>
  <c r="AM426" i="2"/>
  <c r="AA426" i="2" s="1"/>
  <c r="O426" i="2" s="1"/>
  <c r="AM665" i="2"/>
  <c r="AA665" i="2" s="1"/>
  <c r="O665" i="2" s="1"/>
  <c r="AM376" i="2"/>
  <c r="AA376" i="2" s="1"/>
  <c r="O376" i="2" s="1"/>
  <c r="AM768" i="2"/>
  <c r="AA768" i="2" s="1"/>
  <c r="O768" i="2" s="1"/>
  <c r="AM64" i="2"/>
  <c r="AA64" i="2" s="1"/>
  <c r="O64" i="2" s="1"/>
  <c r="AM628" i="2"/>
  <c r="AA628" i="2" s="1"/>
  <c r="O628" i="2" s="1"/>
  <c r="AM477" i="2"/>
  <c r="AA477" i="2" s="1"/>
  <c r="O477" i="2" s="1"/>
  <c r="AM457" i="2"/>
  <c r="AA457" i="2" s="1"/>
  <c r="O457" i="2" s="1"/>
  <c r="AM298" i="2"/>
  <c r="AA298" i="2" s="1"/>
  <c r="O298" i="2" s="1"/>
  <c r="AM443" i="2"/>
  <c r="AA443" i="2" s="1"/>
  <c r="O443" i="2" s="1"/>
  <c r="AM429" i="2"/>
  <c r="AA429" i="2" s="1"/>
  <c r="O429" i="2" s="1"/>
  <c r="AM611" i="2"/>
  <c r="AA611" i="2" s="1"/>
  <c r="O611" i="2" s="1"/>
  <c r="AM390" i="2"/>
  <c r="AA390" i="2" s="1"/>
  <c r="O390" i="2" s="1"/>
  <c r="AM617" i="2"/>
  <c r="AA617" i="2" s="1"/>
  <c r="O617" i="2" s="1"/>
  <c r="AM480" i="2"/>
  <c r="AA480" i="2" s="1"/>
  <c r="O480" i="2" s="1"/>
  <c r="AM561" i="2"/>
  <c r="AA561" i="2" s="1"/>
  <c r="O561" i="2" s="1"/>
  <c r="AM463" i="2"/>
  <c r="AA463" i="2" s="1"/>
  <c r="O463" i="2" s="1"/>
  <c r="AM397" i="2"/>
  <c r="AA397" i="2" s="1"/>
  <c r="O397" i="2" s="1"/>
  <c r="AM53" i="2"/>
  <c r="AA53" i="2" s="1"/>
  <c r="O53" i="2" s="1"/>
  <c r="AM119" i="2"/>
  <c r="AA119" i="2" s="1"/>
  <c r="O119" i="2" s="1"/>
  <c r="AM29" i="2"/>
  <c r="AA29" i="2" s="1"/>
  <c r="O29" i="2" s="1"/>
  <c r="AM44" i="2"/>
  <c r="AA44" i="2" s="1"/>
  <c r="O44" i="2" s="1"/>
  <c r="AM40" i="2"/>
  <c r="AA40" i="2" s="1"/>
  <c r="O40" i="2" s="1"/>
  <c r="AM32" i="2"/>
  <c r="AA32" i="2" s="1"/>
  <c r="O32" i="2" s="1"/>
  <c r="AM138" i="2"/>
  <c r="AA138" i="2" s="1"/>
  <c r="O138" i="2" s="1"/>
  <c r="AM137" i="2"/>
  <c r="AA137" i="2" s="1"/>
  <c r="O137" i="2" s="1"/>
  <c r="AM14" i="2"/>
  <c r="AA14" i="2" s="1"/>
  <c r="O14" i="2" s="1"/>
  <c r="AM85" i="2"/>
  <c r="AA85" i="2" s="1"/>
  <c r="O85" i="2" s="1"/>
  <c r="AM340" i="2"/>
  <c r="AA340" i="2" s="1"/>
  <c r="O340" i="2" s="1"/>
  <c r="AM131" i="2"/>
  <c r="AA131" i="2" s="1"/>
  <c r="O131" i="2" s="1"/>
  <c r="AM599" i="2"/>
  <c r="AA599" i="2" s="1"/>
  <c r="O599" i="2" s="1"/>
  <c r="AM384" i="2"/>
  <c r="AA384" i="2" s="1"/>
  <c r="O384" i="2" s="1"/>
  <c r="AM724" i="2"/>
  <c r="AA724" i="2" s="1"/>
  <c r="O724" i="2" s="1"/>
  <c r="AM614" i="2"/>
  <c r="AA614" i="2" s="1"/>
  <c r="O614" i="2" s="1"/>
  <c r="AM148" i="2"/>
  <c r="AA148" i="2" s="1"/>
  <c r="O148" i="2" s="1"/>
  <c r="AM117" i="2"/>
  <c r="AA117" i="2" s="1"/>
  <c r="O117" i="2" s="1"/>
  <c r="AM107" i="2"/>
  <c r="AA107" i="2" s="1"/>
  <c r="O107" i="2" s="1"/>
  <c r="AM20" i="2"/>
  <c r="AA20" i="2" s="1"/>
  <c r="O20" i="2" s="1"/>
  <c r="AM17" i="2"/>
  <c r="AA17" i="2" s="1"/>
  <c r="O17" i="2" s="1"/>
  <c r="AM130" i="2"/>
  <c r="AA130" i="2" s="1"/>
  <c r="O130" i="2" s="1"/>
  <c r="AM11" i="2"/>
  <c r="AA11" i="2" s="1"/>
  <c r="O11" i="2" s="1"/>
  <c r="AM63" i="2"/>
  <c r="AA63" i="2" s="1"/>
  <c r="O63" i="2" s="1"/>
  <c r="AM1107" i="2"/>
  <c r="AA1107" i="2" s="1"/>
  <c r="O1107" i="2" s="1"/>
  <c r="AM637" i="2"/>
  <c r="AA637" i="2" s="1"/>
  <c r="O637" i="2" s="1"/>
  <c r="AM433" i="2"/>
  <c r="AA433" i="2" s="1"/>
  <c r="O433" i="2" s="1"/>
  <c r="AM584" i="2"/>
  <c r="AA584" i="2" s="1"/>
  <c r="O584" i="2" s="1"/>
  <c r="AM620" i="2"/>
  <c r="AA620" i="2" s="1"/>
  <c r="O620" i="2" s="1"/>
  <c r="AM557" i="2"/>
  <c r="AA557" i="2" s="1"/>
  <c r="O557" i="2" s="1"/>
  <c r="AM207" i="2"/>
  <c r="AA207" i="2" s="1"/>
  <c r="O207" i="2" s="1"/>
  <c r="AM461" i="2"/>
  <c r="AA461" i="2" s="1"/>
  <c r="O461" i="2" s="1"/>
  <c r="AM106" i="2"/>
  <c r="AA106" i="2" s="1"/>
  <c r="O106" i="2" s="1"/>
  <c r="AM61" i="2"/>
  <c r="AA61" i="2" s="1"/>
  <c r="O61" i="2" s="1"/>
  <c r="AM80" i="2"/>
  <c r="AA80" i="2" s="1"/>
  <c r="O80" i="2" s="1"/>
  <c r="AM859" i="2"/>
  <c r="AA859" i="2" s="1"/>
  <c r="O859" i="2" s="1"/>
  <c r="AM1254" i="2"/>
  <c r="AA1254" i="2" s="1"/>
  <c r="O1254" i="2" s="1"/>
  <c r="AM798" i="2"/>
  <c r="AA798" i="2" s="1"/>
  <c r="O798" i="2" s="1"/>
  <c r="AM602" i="2"/>
  <c r="AA602" i="2" s="1"/>
  <c r="O602" i="2" s="1"/>
  <c r="AM79" i="2"/>
  <c r="AA79" i="2" s="1"/>
  <c r="O79" i="2" s="1"/>
  <c r="AM336" i="2"/>
  <c r="AA336" i="2" s="1"/>
  <c r="O336" i="2" s="1"/>
  <c r="AM89" i="2"/>
  <c r="AA89" i="2" s="1"/>
  <c r="O89" i="2" s="1"/>
  <c r="AM87" i="2"/>
  <c r="AA87" i="2" s="1"/>
  <c r="O87" i="2" s="1"/>
  <c r="AM103" i="2"/>
  <c r="AA103" i="2" s="1"/>
  <c r="O103" i="2" s="1"/>
  <c r="AM88" i="2"/>
  <c r="AA88" i="2" s="1"/>
  <c r="O88" i="2" s="1"/>
  <c r="AM942" i="2"/>
  <c r="AA942" i="2" s="1"/>
  <c r="O942" i="2" s="1"/>
  <c r="AM538" i="2"/>
  <c r="AA538" i="2" s="1"/>
  <c r="O538" i="2" s="1"/>
  <c r="AM827" i="2"/>
  <c r="AA827" i="2" s="1"/>
  <c r="O827" i="2" s="1"/>
  <c r="AM634" i="2"/>
  <c r="AA634" i="2" s="1"/>
  <c r="O634" i="2" s="1"/>
  <c r="AM315" i="2"/>
  <c r="AA315" i="2" s="1"/>
  <c r="O315" i="2" s="1"/>
  <c r="AM708" i="2"/>
  <c r="AA708" i="2" s="1"/>
  <c r="O708" i="2" s="1"/>
  <c r="AM569" i="2"/>
  <c r="AA569" i="2" s="1"/>
  <c r="O569" i="2" s="1"/>
  <c r="AM494" i="2"/>
  <c r="AA494" i="2" s="1"/>
  <c r="O494" i="2" s="1"/>
  <c r="AM481" i="2"/>
  <c r="AA481" i="2" s="1"/>
  <c r="O481" i="2" s="1"/>
  <c r="AM269" i="2"/>
  <c r="AA269" i="2" s="1"/>
  <c r="O269" i="2" s="1"/>
  <c r="AM350" i="2"/>
  <c r="AA350" i="2" s="1"/>
  <c r="O350" i="2" s="1"/>
  <c r="AM797" i="2"/>
  <c r="AA797" i="2" s="1"/>
  <c r="O797" i="2" s="1"/>
  <c r="AM536" i="2"/>
  <c r="AA536" i="2" s="1"/>
  <c r="O536" i="2" s="1"/>
  <c r="AM612" i="2"/>
  <c r="AA612" i="2" s="1"/>
  <c r="O612" i="2" s="1"/>
  <c r="AM389" i="2"/>
  <c r="AA389" i="2" s="1"/>
  <c r="O389" i="2" s="1"/>
  <c r="AM385" i="2"/>
  <c r="AA385" i="2" s="1"/>
  <c r="O385" i="2" s="1"/>
  <c r="AM42" i="2"/>
  <c r="AA42" i="2" s="1"/>
  <c r="O42" i="2" s="1"/>
  <c r="AM139" i="2"/>
  <c r="AA139" i="2" s="1"/>
  <c r="O139" i="2" s="1"/>
  <c r="AM377" i="2"/>
  <c r="AA377" i="2" s="1"/>
  <c r="O377" i="2" s="1"/>
  <c r="AM273" i="2"/>
  <c r="AA273" i="2" s="1"/>
  <c r="O273" i="2" s="1"/>
  <c r="AM455" i="2"/>
  <c r="AA455" i="2" s="1"/>
  <c r="O455" i="2" s="1"/>
  <c r="AM300" i="2"/>
  <c r="AA300" i="2" s="1"/>
  <c r="O300" i="2" s="1"/>
  <c r="AM750" i="2"/>
  <c r="AA750" i="2" s="1"/>
  <c r="O750" i="2" s="1"/>
  <c r="AM539" i="2"/>
  <c r="AA539" i="2" s="1"/>
  <c r="O539" i="2" s="1"/>
  <c r="AM66" i="2"/>
  <c r="AA66" i="2" s="1"/>
  <c r="O66" i="2" s="1"/>
  <c r="AM160" i="2"/>
  <c r="AA160" i="2" s="1"/>
  <c r="O160" i="2" s="1"/>
  <c r="AM116" i="2"/>
  <c r="AA116" i="2" s="1"/>
  <c r="O116" i="2" s="1"/>
  <c r="AM58" i="2"/>
  <c r="AA58" i="2" s="1"/>
  <c r="O58" i="2" s="1"/>
  <c r="AM474" i="2"/>
  <c r="AA474" i="2" s="1"/>
  <c r="O474" i="2" s="1"/>
  <c r="AM163" i="2"/>
  <c r="AA163" i="2" s="1"/>
  <c r="O163" i="2" s="1"/>
  <c r="AM877" i="2"/>
  <c r="AA877" i="2" s="1"/>
  <c r="O877" i="2" s="1"/>
  <c r="AM518" i="2"/>
  <c r="AA518" i="2" s="1"/>
  <c r="O518" i="2" s="1"/>
  <c r="AM296" i="2"/>
  <c r="AA296" i="2" s="1"/>
  <c r="O296" i="2" s="1"/>
  <c r="AM678" i="2"/>
  <c r="AA678" i="2" s="1"/>
  <c r="O678" i="2" s="1"/>
  <c r="AM166" i="2"/>
  <c r="AA166" i="2" s="1"/>
  <c r="O166" i="2" s="1"/>
  <c r="AM560" i="2"/>
  <c r="AA560" i="2" s="1"/>
  <c r="O560" i="2" s="1"/>
  <c r="AM452" i="2"/>
  <c r="AA452" i="2" s="1"/>
  <c r="O452" i="2" s="1"/>
  <c r="AM146" i="2"/>
  <c r="AA146" i="2" s="1"/>
  <c r="O146" i="2" s="1"/>
  <c r="AM104" i="2"/>
  <c r="AA104" i="2" s="1"/>
  <c r="O104" i="2" s="1"/>
  <c r="AM36" i="2"/>
  <c r="AA36" i="2" s="1"/>
  <c r="O36" i="2" s="1"/>
  <c r="AM54" i="2"/>
  <c r="AA54" i="2" s="1"/>
  <c r="O54" i="2" s="1"/>
  <c r="AM121" i="2"/>
  <c r="AA121" i="2" s="1"/>
  <c r="O121" i="2" s="1"/>
  <c r="AM115" i="2"/>
  <c r="AA115" i="2" s="1"/>
  <c r="O115" i="2" s="1"/>
  <c r="AM26" i="2"/>
  <c r="AA26" i="2" s="1"/>
  <c r="O26" i="2" s="1"/>
  <c r="AM47" i="2"/>
  <c r="AA47" i="2" s="1"/>
  <c r="O47" i="2" s="1"/>
  <c r="AM133" i="2"/>
  <c r="AA133" i="2" s="1"/>
  <c r="O133" i="2" s="1"/>
  <c r="AM129" i="2"/>
  <c r="AA129" i="2" s="1"/>
  <c r="O129" i="2" s="1"/>
  <c r="AM93" i="2"/>
  <c r="AA93" i="2" s="1"/>
  <c r="O93" i="2" s="1"/>
  <c r="AM19" i="2"/>
  <c r="AA19" i="2" s="1"/>
  <c r="O19" i="2" s="1"/>
  <c r="AM99" i="2"/>
  <c r="AA99" i="2" s="1"/>
  <c r="O99" i="2" s="1"/>
  <c r="AM1225" i="2"/>
  <c r="AA1225" i="2" s="1"/>
  <c r="O1225" i="2" s="1"/>
  <c r="AM510" i="2"/>
  <c r="AA510" i="2" s="1"/>
  <c r="O510" i="2" s="1"/>
  <c r="AM150" i="2"/>
  <c r="AA150" i="2" s="1"/>
  <c r="O150" i="2" s="1"/>
  <c r="AM193" i="2"/>
  <c r="AA193" i="2" s="1"/>
  <c r="O193" i="2" s="1"/>
  <c r="AM906" i="2"/>
  <c r="AA906" i="2" s="1"/>
  <c r="O906" i="2" s="1"/>
  <c r="AM846" i="2"/>
  <c r="AA846" i="2" s="1"/>
  <c r="O846" i="2" s="1"/>
  <c r="AM1271" i="2"/>
  <c r="AA1271" i="2" s="1"/>
  <c r="O1271" i="2" s="1"/>
  <c r="AM219" i="2"/>
  <c r="AA219" i="2" s="1"/>
  <c r="O219" i="2" s="1"/>
  <c r="AM374" i="2"/>
  <c r="AA374" i="2" s="1"/>
  <c r="O374" i="2" s="1"/>
  <c r="AM748" i="2"/>
  <c r="AA748" i="2" s="1"/>
  <c r="O748" i="2" s="1"/>
  <c r="AM71" i="2"/>
  <c r="AA71" i="2" s="1"/>
  <c r="O71" i="2" s="1"/>
  <c r="AM179" i="2"/>
  <c r="AA179" i="2" s="1"/>
  <c r="O179" i="2" s="1"/>
  <c r="AM25" i="2"/>
  <c r="AA25" i="2" s="1"/>
  <c r="O25" i="2" s="1"/>
  <c r="AM75" i="2"/>
  <c r="AA75" i="2" s="1"/>
  <c r="O75" i="2" s="1"/>
  <c r="AM132" i="2"/>
  <c r="AA132" i="2" s="1"/>
  <c r="O132" i="2" s="1"/>
  <c r="AM118" i="2"/>
  <c r="AA118" i="2" s="1"/>
  <c r="O118" i="2" s="1"/>
  <c r="AM136" i="2"/>
  <c r="AA136" i="2" s="1"/>
  <c r="O136" i="2" s="1"/>
  <c r="AM10" i="2"/>
  <c r="AA10" i="2" s="1"/>
  <c r="O10" i="2" s="1"/>
  <c r="AM77" i="2"/>
  <c r="AA77" i="2" s="1"/>
  <c r="O77" i="2" s="1"/>
  <c r="AM37" i="2"/>
  <c r="AA37" i="2" s="1"/>
  <c r="O37" i="2" s="1"/>
  <c r="AM23" i="2"/>
  <c r="AA23" i="2" s="1"/>
  <c r="O23" i="2" s="1"/>
  <c r="AM1023" i="2"/>
  <c r="AA1023" i="2" s="1"/>
  <c r="O1023" i="2" s="1"/>
  <c r="AM954" i="2"/>
  <c r="AA954" i="2" s="1"/>
  <c r="O954" i="2" s="1"/>
  <c r="AM1059" i="2"/>
  <c r="AA1059" i="2" s="1"/>
  <c r="O1059" i="2" s="1"/>
  <c r="AM1202" i="2"/>
  <c r="AA1202" i="2" s="1"/>
  <c r="O1202" i="2" s="1"/>
  <c r="AM752" i="2"/>
  <c r="AA752" i="2" s="1"/>
  <c r="O752" i="2" s="1"/>
  <c r="AM113" i="2"/>
  <c r="AA113" i="2" s="1"/>
  <c r="O113" i="2" s="1"/>
  <c r="AM487" i="2"/>
  <c r="AA487" i="2" s="1"/>
  <c r="O487" i="2" s="1"/>
  <c r="AM601" i="2"/>
  <c r="AA601" i="2" s="1"/>
  <c r="O601" i="2" s="1"/>
  <c r="AM415" i="2"/>
  <c r="AA415" i="2" s="1"/>
  <c r="O415" i="2" s="1"/>
  <c r="AM674" i="2"/>
  <c r="AA674" i="2" s="1"/>
  <c r="O674" i="2" s="1"/>
  <c r="AM290" i="2"/>
  <c r="AA290" i="2" s="1"/>
  <c r="O290" i="2" s="1"/>
  <c r="AM757" i="2"/>
  <c r="AA757" i="2" s="1"/>
  <c r="O757" i="2" s="1"/>
  <c r="AM580" i="2"/>
  <c r="AA580" i="2" s="1"/>
  <c r="O580" i="2" s="1"/>
  <c r="AM449" i="2"/>
  <c r="AA449" i="2" s="1"/>
  <c r="O449" i="2" s="1"/>
  <c r="AM310" i="2"/>
  <c r="AA310" i="2" s="1"/>
  <c r="O310" i="2" s="1"/>
  <c r="AM873" i="2"/>
  <c r="AA873" i="2" s="1"/>
  <c r="O873" i="2" s="1"/>
  <c r="AM1129" i="2"/>
  <c r="AA1129" i="2" s="1"/>
  <c r="O1129" i="2" s="1"/>
  <c r="AM526" i="2"/>
  <c r="AA526" i="2" s="1"/>
  <c r="O526" i="2" s="1"/>
  <c r="AM663" i="2"/>
  <c r="AA663" i="2" s="1"/>
  <c r="O663" i="2" s="1"/>
  <c r="AM445" i="2"/>
  <c r="AA445" i="2" s="1"/>
  <c r="O445" i="2" s="1"/>
  <c r="AM574" i="2"/>
  <c r="AA574" i="2" s="1"/>
  <c r="O574" i="2" s="1"/>
  <c r="AM331" i="2"/>
  <c r="AA331" i="2" s="1"/>
  <c r="O331" i="2" s="1"/>
  <c r="AM719" i="2"/>
  <c r="AA719" i="2" s="1"/>
  <c r="O719" i="2" s="1"/>
  <c r="AM268" i="2"/>
  <c r="AA268" i="2" s="1"/>
  <c r="O268" i="2" s="1"/>
  <c r="AM496" i="2"/>
  <c r="AA496" i="2" s="1"/>
  <c r="O496" i="2" s="1"/>
  <c r="AM45" i="2"/>
  <c r="AA45" i="2" s="1"/>
  <c r="O45" i="2" s="1"/>
  <c r="AM51" i="2"/>
  <c r="AA51" i="2" s="1"/>
  <c r="O51" i="2" s="1"/>
  <c r="AM267" i="2"/>
  <c r="AA267" i="2" s="1"/>
  <c r="O267" i="2" s="1"/>
  <c r="AM662" i="2"/>
  <c r="AA662" i="2" s="1"/>
  <c r="O662" i="2" s="1"/>
  <c r="AM543" i="2"/>
  <c r="AA543" i="2" s="1"/>
  <c r="O543" i="2" s="1"/>
  <c r="AM402" i="2"/>
  <c r="AA402" i="2" s="1"/>
  <c r="O402" i="2" s="1"/>
  <c r="AM234" i="2"/>
  <c r="AA234" i="2" s="1"/>
  <c r="O234" i="2" s="1"/>
  <c r="AM633" i="2"/>
  <c r="AA633" i="2" s="1"/>
  <c r="O633" i="2" s="1"/>
  <c r="AM500" i="2"/>
  <c r="AA500" i="2" s="1"/>
  <c r="O500" i="2" s="1"/>
  <c r="AM134" i="2"/>
  <c r="AA134" i="2" s="1"/>
  <c r="O134" i="2" s="1"/>
  <c r="AM69" i="2"/>
  <c r="AA69" i="2" s="1"/>
  <c r="O69" i="2" s="1"/>
  <c r="AM159" i="2"/>
  <c r="AA159" i="2" s="1"/>
  <c r="O159" i="2" s="1"/>
  <c r="AM100" i="2"/>
  <c r="AA100" i="2" s="1"/>
  <c r="O100" i="2" s="1"/>
  <c r="AM90" i="2"/>
  <c r="AA90" i="2" s="1"/>
  <c r="O90" i="2" s="1"/>
  <c r="AM60" i="2"/>
  <c r="AA60" i="2" s="1"/>
  <c r="O60" i="2" s="1"/>
  <c r="AM120" i="2"/>
  <c r="AA120" i="2" s="1"/>
  <c r="O120" i="2" s="1"/>
  <c r="AM38" i="2"/>
  <c r="AA38" i="2" s="1"/>
  <c r="O38" i="2" s="1"/>
  <c r="AM43" i="2"/>
  <c r="AA43" i="2" s="1"/>
  <c r="O43" i="2" s="1"/>
  <c r="AM709" i="2"/>
  <c r="AA709" i="2" s="1"/>
  <c r="O709" i="2" s="1"/>
  <c r="AM509" i="2"/>
  <c r="AA509" i="2" s="1"/>
  <c r="O509" i="2" s="1"/>
  <c r="AM1263" i="2"/>
  <c r="AA1263" i="2" s="1"/>
  <c r="O1263" i="2" s="1"/>
  <c r="AM1011" i="2"/>
  <c r="AA1011" i="2" s="1"/>
  <c r="O1011" i="2" s="1"/>
  <c r="AM1102" i="2"/>
  <c r="AA1102" i="2" s="1"/>
  <c r="O1102" i="2" s="1"/>
  <c r="AM660" i="2"/>
  <c r="AA660" i="2" s="1"/>
  <c r="O660" i="2" s="1"/>
  <c r="AM97" i="2"/>
  <c r="AA97" i="2" s="1"/>
  <c r="O97" i="2" s="1"/>
  <c r="AM606" i="2"/>
  <c r="AA606" i="2" s="1"/>
  <c r="O606" i="2" s="1"/>
  <c r="AM499" i="2"/>
  <c r="AA499" i="2" s="1"/>
  <c r="O499" i="2" s="1"/>
  <c r="AM502" i="2"/>
  <c r="AA502" i="2" s="1"/>
  <c r="O502" i="2" s="1"/>
  <c r="AM444" i="2"/>
  <c r="AA444" i="2" s="1"/>
  <c r="O444" i="2" s="1"/>
  <c r="AM343" i="2"/>
  <c r="AA343" i="2" s="1"/>
  <c r="O343" i="2" s="1"/>
  <c r="AM22" i="2"/>
  <c r="AA22" i="2" s="1"/>
  <c r="O22" i="2" s="1"/>
  <c r="AM142" i="2"/>
  <c r="AA142" i="2" s="1"/>
  <c r="O142" i="2" s="1"/>
  <c r="AM101" i="2"/>
  <c r="AA101" i="2" s="1"/>
  <c r="O101" i="2" s="1"/>
  <c r="AM50" i="2"/>
  <c r="AA50" i="2" s="1"/>
  <c r="O50" i="2" s="1"/>
  <c r="AM1218" i="2"/>
  <c r="AA1218" i="2" s="1"/>
  <c r="O1218" i="2" s="1"/>
  <c r="AM649" i="2"/>
  <c r="AA649" i="2" s="1"/>
  <c r="O649" i="2" s="1"/>
  <c r="AM354" i="2"/>
  <c r="AA354" i="2" s="1"/>
  <c r="O354" i="2" s="1"/>
  <c r="AM105" i="2"/>
  <c r="AA105" i="2" s="1"/>
  <c r="O105" i="2" s="1"/>
  <c r="AM1091" i="2"/>
  <c r="AA1091" i="2" s="1"/>
  <c r="O1091" i="2" s="1"/>
  <c r="AM723" i="2"/>
  <c r="AA723" i="2" s="1"/>
  <c r="O723" i="2" s="1"/>
  <c r="AM180" i="2"/>
  <c r="AA180" i="2" s="1"/>
  <c r="O180" i="2" s="1"/>
  <c r="AM645" i="2"/>
  <c r="AA645" i="2" s="1"/>
  <c r="O645" i="2" s="1"/>
  <c r="AM221" i="2"/>
  <c r="AA221" i="2" s="1"/>
  <c r="O221" i="2" s="1"/>
  <c r="AM153" i="2"/>
  <c r="AA153" i="2" s="1"/>
  <c r="O153" i="2" s="1"/>
  <c r="AM327" i="2"/>
  <c r="AA327" i="2" s="1"/>
  <c r="O327" i="2" s="1"/>
  <c r="AM741" i="2"/>
  <c r="AA741" i="2" s="1"/>
  <c r="O741" i="2" s="1"/>
  <c r="AM667" i="2"/>
  <c r="AA667" i="2" s="1"/>
  <c r="O667" i="2" s="1"/>
  <c r="AM594" i="2"/>
  <c r="AA594" i="2" s="1"/>
  <c r="O594" i="2" s="1"/>
  <c r="AM492" i="2"/>
  <c r="AA492" i="2" s="1"/>
  <c r="O492" i="2" s="1"/>
  <c r="AM86" i="2"/>
  <c r="AA86" i="2" s="1"/>
  <c r="O86" i="2" s="1"/>
  <c r="AM74" i="2"/>
  <c r="AA74" i="2" s="1"/>
  <c r="O74" i="2" s="1"/>
  <c r="AM48" i="2"/>
  <c r="AA48" i="2" s="1"/>
  <c r="O48" i="2" s="1"/>
  <c r="AM1088" i="2"/>
  <c r="AA1088" i="2" s="1"/>
  <c r="O1088" i="2" s="1"/>
  <c r="AM949" i="2"/>
  <c r="AA949" i="2" s="1"/>
  <c r="O949" i="2" s="1"/>
  <c r="AM713" i="2"/>
  <c r="AA713" i="2" s="1"/>
  <c r="O713" i="2" s="1"/>
  <c r="AM24" i="2"/>
  <c r="AA24" i="2" s="1"/>
  <c r="O24" i="2" s="1"/>
  <c r="AM856" i="2"/>
  <c r="AA856" i="2" s="1"/>
  <c r="O856" i="2" s="1"/>
  <c r="AM1060" i="2"/>
  <c r="AA1060" i="2" s="1"/>
  <c r="O1060" i="2" s="1"/>
  <c r="AM441" i="2"/>
  <c r="AA441" i="2" s="1"/>
  <c r="O441" i="2" s="1"/>
  <c r="AM593" i="2"/>
  <c r="AA593" i="2" s="1"/>
  <c r="O593" i="2" s="1"/>
  <c r="AM467" i="2"/>
  <c r="AA467" i="2" s="1"/>
  <c r="O467" i="2" s="1"/>
  <c r="AM793" i="2"/>
  <c r="AA793" i="2" s="1"/>
  <c r="O793" i="2" s="1"/>
  <c r="AM522" i="2"/>
  <c r="AA522" i="2" s="1"/>
  <c r="O522" i="2" s="1"/>
  <c r="AM427" i="2"/>
  <c r="AA427" i="2" s="1"/>
  <c r="O427" i="2" s="1"/>
  <c r="AM349" i="2"/>
  <c r="AA349" i="2" s="1"/>
  <c r="O349" i="2" s="1"/>
  <c r="AM91" i="2"/>
  <c r="AA91" i="2" s="1"/>
  <c r="O91" i="2" s="1"/>
  <c r="AS82" i="2"/>
  <c r="AS771" i="2"/>
  <c r="AG771" i="2" s="1"/>
  <c r="U771" i="2" s="1"/>
  <c r="AS711" i="2"/>
  <c r="AS108" i="2"/>
  <c r="AS145" i="2"/>
  <c r="AS683" i="2"/>
  <c r="AS531" i="2"/>
  <c r="AG531" i="2" s="1"/>
  <c r="U531" i="2" s="1"/>
  <c r="AS283" i="2"/>
  <c r="AG283" i="2" s="1"/>
  <c r="U283" i="2" s="1"/>
  <c r="AS1132" i="2"/>
  <c r="AS867" i="2"/>
  <c r="AG867" i="2" s="1"/>
  <c r="U867" i="2" s="1"/>
  <c r="AS1156" i="2"/>
  <c r="AG1156" i="2" s="1"/>
  <c r="U1156" i="2" s="1"/>
  <c r="AS554" i="2"/>
  <c r="AS637" i="2"/>
  <c r="AS821" i="2"/>
  <c r="AS563" i="2"/>
  <c r="AG563" i="2" s="1"/>
  <c r="U563" i="2" s="1"/>
  <c r="AS1014" i="2"/>
  <c r="AG1014" i="2" s="1"/>
  <c r="U1014" i="2" s="1"/>
  <c r="AS877" i="2"/>
  <c r="AS360" i="2"/>
  <c r="AS948" i="2"/>
  <c r="AS1200" i="2"/>
  <c r="AG1200" i="2" s="1"/>
  <c r="U1200" i="2" s="1"/>
  <c r="AS838" i="2"/>
  <c r="AS1081" i="2"/>
  <c r="AS1093" i="2"/>
  <c r="AG1093" i="2" s="1"/>
  <c r="U1093" i="2" s="1"/>
  <c r="AS1108" i="2"/>
  <c r="AG1108" i="2" s="1"/>
  <c r="U1108" i="2" s="1"/>
  <c r="AS203" i="2"/>
  <c r="AG203" i="2" s="1"/>
  <c r="U203" i="2" s="1"/>
  <c r="AS971" i="2"/>
  <c r="AG971" i="2" s="1"/>
  <c r="U971" i="2" s="1"/>
  <c r="AS947" i="2"/>
  <c r="AS505" i="2"/>
  <c r="AS801" i="2"/>
  <c r="AS1075" i="2"/>
  <c r="AS1166" i="2"/>
  <c r="AS753" i="2"/>
  <c r="AS404" i="2"/>
  <c r="AS870" i="2"/>
  <c r="AS361" i="2"/>
  <c r="AG361" i="2" s="1"/>
  <c r="U361" i="2" s="1"/>
  <c r="AS806" i="2"/>
  <c r="AS1202" i="2"/>
  <c r="AS647" i="2"/>
  <c r="AS871" i="2"/>
  <c r="AG871" i="2" s="1"/>
  <c r="U871" i="2" s="1"/>
  <c r="AS968" i="2"/>
  <c r="AG968" i="2" s="1"/>
  <c r="U968" i="2" s="1"/>
  <c r="AS1101" i="2"/>
  <c r="AG1101" i="2" s="1"/>
  <c r="U1101" i="2" s="1"/>
  <c r="AS417" i="2"/>
  <c r="AG417" i="2" s="1"/>
  <c r="U417" i="2" s="1"/>
  <c r="AS350" i="2"/>
  <c r="AS1250" i="2"/>
  <c r="AG1250" i="2" s="1"/>
  <c r="U1250" i="2" s="1"/>
  <c r="AS829" i="2"/>
  <c r="AS702" i="2"/>
  <c r="AS1003" i="2"/>
  <c r="AG1003" i="2" s="1"/>
  <c r="U1003" i="2" s="1"/>
  <c r="AS1137" i="2"/>
  <c r="AS1204" i="2"/>
  <c r="AS853" i="2"/>
  <c r="AG853" i="2" s="1"/>
  <c r="U853" i="2" s="1"/>
  <c r="AS876" i="2"/>
  <c r="AS907" i="2"/>
  <c r="AG907" i="2" s="1"/>
  <c r="U907" i="2" s="1"/>
  <c r="AS410" i="2"/>
  <c r="AS778" i="2"/>
  <c r="AS831" i="2"/>
  <c r="AG831" i="2" s="1"/>
  <c r="U831" i="2" s="1"/>
  <c r="AS506" i="2"/>
  <c r="AG506" i="2" s="1"/>
  <c r="U506" i="2" s="1"/>
  <c r="AS846" i="2"/>
  <c r="AG846" i="2" s="1"/>
  <c r="U846" i="2" s="1"/>
  <c r="AS302" i="2"/>
  <c r="AG302" i="2" s="1"/>
  <c r="U302" i="2" s="1"/>
  <c r="AS569" i="2"/>
  <c r="AS804" i="2"/>
  <c r="AS377" i="2"/>
  <c r="AS618" i="2"/>
  <c r="AS663" i="2"/>
  <c r="AG663" i="2" s="1"/>
  <c r="U663" i="2" s="1"/>
  <c r="AS678" i="2"/>
  <c r="AG678" i="2" s="1"/>
  <c r="U678" i="2" s="1"/>
  <c r="AS289" i="2"/>
  <c r="AS209" i="2"/>
  <c r="AS485" i="2"/>
  <c r="AS750" i="2"/>
  <c r="AG750" i="2" s="1"/>
  <c r="U750" i="2" s="1"/>
  <c r="AS388" i="2"/>
  <c r="AS628" i="2"/>
  <c r="AS739" i="2"/>
  <c r="AG739" i="2" s="1"/>
  <c r="U739" i="2" s="1"/>
  <c r="AS318" i="2"/>
  <c r="AS183" i="2"/>
  <c r="AS57" i="2"/>
  <c r="AG57" i="2" s="1"/>
  <c r="U57" i="2" s="1"/>
  <c r="AS172" i="2"/>
  <c r="AS103" i="2"/>
  <c r="AS67" i="2"/>
  <c r="AS223" i="2"/>
  <c r="AS542" i="2"/>
  <c r="AS805" i="2"/>
  <c r="AG805" i="2" s="1"/>
  <c r="U805" i="2" s="1"/>
  <c r="AS1062" i="2"/>
  <c r="AR190" i="2"/>
  <c r="AF190" i="2" s="1"/>
  <c r="T190" i="2" s="1"/>
  <c r="AR539" i="2"/>
  <c r="AR322" i="2"/>
  <c r="AF322" i="2" s="1"/>
  <c r="T322" i="2" s="1"/>
  <c r="AR556" i="2"/>
  <c r="AF556" i="2" s="1"/>
  <c r="T556" i="2" s="1"/>
  <c r="AR593" i="2"/>
  <c r="AF593" i="2" s="1"/>
  <c r="T593" i="2" s="1"/>
  <c r="AR576" i="2"/>
  <c r="AF576" i="2" s="1"/>
  <c r="T576" i="2" s="1"/>
  <c r="AR799" i="2"/>
  <c r="AF799" i="2" s="1"/>
  <c r="T799" i="2" s="1"/>
  <c r="AR1121" i="2"/>
  <c r="AF1121" i="2" s="1"/>
  <c r="T1121" i="2" s="1"/>
  <c r="AR624" i="2"/>
  <c r="AF624" i="2" s="1"/>
  <c r="T624" i="2" s="1"/>
  <c r="AR117" i="2"/>
  <c r="AF117" i="2" s="1"/>
  <c r="T117" i="2" s="1"/>
  <c r="AR71" i="2"/>
  <c r="AF71" i="2" s="1"/>
  <c r="T71" i="2" s="1"/>
  <c r="AR297" i="2"/>
  <c r="AF297" i="2" s="1"/>
  <c r="T297" i="2" s="1"/>
  <c r="AR730" i="2"/>
  <c r="AF730" i="2" s="1"/>
  <c r="T730" i="2" s="1"/>
  <c r="AR1038" i="2"/>
  <c r="AF1038" i="2" s="1"/>
  <c r="T1038" i="2" s="1"/>
  <c r="AR501" i="2"/>
  <c r="AF501" i="2" s="1"/>
  <c r="T501" i="2" s="1"/>
  <c r="AR990" i="2"/>
  <c r="AF990" i="2" s="1"/>
  <c r="T990" i="2" s="1"/>
  <c r="AR1124" i="2"/>
  <c r="AF1124" i="2" s="1"/>
  <c r="T1124" i="2" s="1"/>
  <c r="AR763" i="2"/>
  <c r="AF763" i="2" s="1"/>
  <c r="T763" i="2" s="1"/>
  <c r="AR935" i="2"/>
  <c r="AF935" i="2" s="1"/>
  <c r="T935" i="2" s="1"/>
  <c r="AR1178" i="2"/>
  <c r="AF1178" i="2" s="1"/>
  <c r="T1178" i="2" s="1"/>
  <c r="AR689" i="2"/>
  <c r="AF689" i="2" s="1"/>
  <c r="T689" i="2" s="1"/>
  <c r="AR272" i="2"/>
  <c r="AR1027" i="2"/>
  <c r="AF1027" i="2" s="1"/>
  <c r="T1027" i="2" s="1"/>
  <c r="AR587" i="2"/>
  <c r="AF587" i="2" s="1"/>
  <c r="T587" i="2" s="1"/>
  <c r="AR888" i="2"/>
  <c r="AF888" i="2" s="1"/>
  <c r="T888" i="2" s="1"/>
  <c r="AR664" i="2"/>
  <c r="AF664" i="2" s="1"/>
  <c r="T664" i="2" s="1"/>
  <c r="AR850" i="2"/>
  <c r="AF850" i="2" s="1"/>
  <c r="T850" i="2" s="1"/>
  <c r="AR802" i="2"/>
  <c r="AF802" i="2" s="1"/>
  <c r="T802" i="2" s="1"/>
  <c r="AR413" i="2"/>
  <c r="AF413" i="2" s="1"/>
  <c r="T413" i="2" s="1"/>
  <c r="AR818" i="2"/>
  <c r="AF818" i="2" s="1"/>
  <c r="T818" i="2" s="1"/>
  <c r="AR812" i="2"/>
  <c r="AF812" i="2" s="1"/>
  <c r="T812" i="2" s="1"/>
  <c r="AR715" i="2"/>
  <c r="AF715" i="2" s="1"/>
  <c r="T715" i="2" s="1"/>
  <c r="AR1107" i="2"/>
  <c r="AF1107" i="2" s="1"/>
  <c r="T1107" i="2" s="1"/>
  <c r="AR1094" i="2"/>
  <c r="AF1094" i="2" s="1"/>
  <c r="T1094" i="2" s="1"/>
  <c r="AR1226" i="2"/>
  <c r="AF1226" i="2" s="1"/>
  <c r="T1226" i="2" s="1"/>
  <c r="AR287" i="2"/>
  <c r="AF287" i="2" s="1"/>
  <c r="T287" i="2" s="1"/>
  <c r="AR412" i="2"/>
  <c r="AF412" i="2" s="1"/>
  <c r="T412" i="2" s="1"/>
  <c r="AR158" i="2"/>
  <c r="AF158" i="2" s="1"/>
  <c r="T158" i="2" s="1"/>
  <c r="AR909" i="2"/>
  <c r="AF909" i="2" s="1"/>
  <c r="T909" i="2" s="1"/>
  <c r="AR486" i="2"/>
  <c r="AF486" i="2" s="1"/>
  <c r="T486" i="2" s="1"/>
  <c r="AR395" i="2"/>
  <c r="AF395" i="2" s="1"/>
  <c r="T395" i="2" s="1"/>
  <c r="AR1217" i="2"/>
  <c r="AF1217" i="2" s="1"/>
  <c r="T1217" i="2" s="1"/>
  <c r="AR341" i="2"/>
  <c r="AF341" i="2" s="1"/>
  <c r="T341" i="2" s="1"/>
  <c r="AR519" i="2"/>
  <c r="AF519" i="2" s="1"/>
  <c r="T519" i="2" s="1"/>
  <c r="AR981" i="2"/>
  <c r="AF981" i="2" s="1"/>
  <c r="T981" i="2" s="1"/>
  <c r="AR446" i="2"/>
  <c r="AF446" i="2" s="1"/>
  <c r="T446" i="2" s="1"/>
  <c r="AR729" i="2"/>
  <c r="AF729" i="2" s="1"/>
  <c r="T729" i="2" s="1"/>
  <c r="AR872" i="2"/>
  <c r="AF872" i="2" s="1"/>
  <c r="T872" i="2" s="1"/>
  <c r="AR907" i="2"/>
  <c r="AF907" i="2" s="1"/>
  <c r="T907" i="2" s="1"/>
  <c r="AR1013" i="2"/>
  <c r="AF1013" i="2" s="1"/>
  <c r="T1013" i="2" s="1"/>
  <c r="AR702" i="2"/>
  <c r="AF702" i="2" s="1"/>
  <c r="T702" i="2" s="1"/>
  <c r="AR688" i="2"/>
  <c r="AF688" i="2" s="1"/>
  <c r="T688" i="2" s="1"/>
  <c r="AR745" i="2"/>
  <c r="AF745" i="2" s="1"/>
  <c r="T745" i="2" s="1"/>
  <c r="AR289" i="2"/>
  <c r="AF289" i="2" s="1"/>
  <c r="T289" i="2" s="1"/>
  <c r="AR1100" i="2"/>
  <c r="AF1100" i="2" s="1"/>
  <c r="T1100" i="2" s="1"/>
  <c r="AR13" i="2"/>
  <c r="AF13" i="2" s="1"/>
  <c r="T13" i="2" s="1"/>
  <c r="AR854" i="2"/>
  <c r="AF854" i="2" s="1"/>
  <c r="T854" i="2" s="1"/>
  <c r="AR784" i="2"/>
  <c r="AF784" i="2" s="1"/>
  <c r="T784" i="2" s="1"/>
  <c r="AR1195" i="2"/>
  <c r="AF1195" i="2" s="1"/>
  <c r="T1195" i="2" s="1"/>
  <c r="AR554" i="2"/>
  <c r="AF554" i="2" s="1"/>
  <c r="T554" i="2" s="1"/>
  <c r="AR532" i="2"/>
  <c r="AR615" i="2"/>
  <c r="AF615" i="2" s="1"/>
  <c r="T615" i="2" s="1"/>
  <c r="AR600" i="2"/>
  <c r="AF600" i="2" s="1"/>
  <c r="T600" i="2" s="1"/>
  <c r="AR742" i="2"/>
  <c r="AF742" i="2" s="1"/>
  <c r="T742" i="2" s="1"/>
  <c r="AR710" i="2"/>
  <c r="AF710" i="2" s="1"/>
  <c r="T710" i="2" s="1"/>
  <c r="AR764" i="2"/>
  <c r="AF764" i="2" s="1"/>
  <c r="T764" i="2" s="1"/>
  <c r="AR170" i="2"/>
  <c r="AF170" i="2" s="1"/>
  <c r="T170" i="2" s="1"/>
  <c r="AR760" i="2"/>
  <c r="AF760" i="2" s="1"/>
  <c r="T760" i="2" s="1"/>
  <c r="AR244" i="2"/>
  <c r="AF244" i="2" s="1"/>
  <c r="T244" i="2" s="1"/>
  <c r="AR629" i="2"/>
  <c r="AF629" i="2" s="1"/>
  <c r="T629" i="2" s="1"/>
  <c r="AR366" i="2"/>
  <c r="AR298" i="2"/>
  <c r="AF298" i="2" s="1"/>
  <c r="T298" i="2" s="1"/>
  <c r="AR865" i="2"/>
  <c r="AF865" i="2" s="1"/>
  <c r="T865" i="2" s="1"/>
  <c r="AR450" i="2"/>
  <c r="AF450" i="2" s="1"/>
  <c r="T450" i="2" s="1"/>
  <c r="AR166" i="2"/>
  <c r="AF166" i="2" s="1"/>
  <c r="T166" i="2" s="1"/>
  <c r="AR21" i="2"/>
  <c r="AR62" i="2"/>
  <c r="AF62" i="2" s="1"/>
  <c r="T62" i="2" s="1"/>
  <c r="AR44" i="2"/>
  <c r="AF44" i="2" s="1"/>
  <c r="T44" i="2" s="1"/>
  <c r="AG1262" i="2"/>
  <c r="U1262" i="2" s="1"/>
  <c r="AG1270" i="2"/>
  <c r="U1270" i="2" s="1"/>
  <c r="AG1267" i="2"/>
  <c r="U1267" i="2" s="1"/>
  <c r="AG1272" i="2"/>
  <c r="U1272" i="2" s="1"/>
  <c r="AG1263" i="2"/>
  <c r="U1263" i="2" s="1"/>
  <c r="AG1271" i="2"/>
  <c r="U1271" i="2" s="1"/>
  <c r="AG1261" i="2"/>
  <c r="U1261" i="2" s="1"/>
  <c r="AG1256" i="2"/>
  <c r="U1256" i="2" s="1"/>
  <c r="AG1273" i="2"/>
  <c r="U1273" i="2" s="1"/>
  <c r="AG1258" i="2"/>
  <c r="U1258" i="2" s="1"/>
  <c r="AG1268" i="2"/>
  <c r="U1268" i="2" s="1"/>
  <c r="AG1269" i="2"/>
  <c r="U1269" i="2" s="1"/>
  <c r="AG1264" i="2"/>
  <c r="U1264" i="2" s="1"/>
  <c r="AG1266" i="2"/>
  <c r="U1266" i="2" s="1"/>
  <c r="AG1265" i="2"/>
  <c r="U1265" i="2" s="1"/>
  <c r="AG1259" i="2"/>
  <c r="U1259" i="2" s="1"/>
  <c r="AG1255" i="2"/>
  <c r="U1255" i="2" s="1"/>
  <c r="AG1257" i="2"/>
  <c r="U1257" i="2" s="1"/>
  <c r="AG1260" i="2"/>
  <c r="U1260" i="2" s="1"/>
  <c r="AG1253" i="2"/>
  <c r="U1253" i="2" s="1"/>
  <c r="AG1245" i="2"/>
  <c r="U1245" i="2" s="1"/>
  <c r="AG1249" i="2"/>
  <c r="U1249" i="2" s="1"/>
  <c r="AG1248" i="2"/>
  <c r="U1248" i="2" s="1"/>
  <c r="AG1235" i="2"/>
  <c r="U1235" i="2" s="1"/>
  <c r="AG1252" i="2"/>
  <c r="U1252" i="2" s="1"/>
  <c r="AG1232" i="2"/>
  <c r="U1232" i="2" s="1"/>
  <c r="AG1251" i="2"/>
  <c r="U1251" i="2" s="1"/>
  <c r="AG1242" i="2"/>
  <c r="U1242" i="2" s="1"/>
  <c r="AG1244" i="2"/>
  <c r="U1244" i="2" s="1"/>
  <c r="AG1247" i="2"/>
  <c r="U1247" i="2" s="1"/>
  <c r="AG1236" i="2"/>
  <c r="U1236" i="2" s="1"/>
  <c r="AG1233" i="2"/>
  <c r="U1233" i="2" s="1"/>
  <c r="AG1218" i="2"/>
  <c r="U1218" i="2" s="1"/>
  <c r="AG1202" i="2"/>
  <c r="U1202" i="2" s="1"/>
  <c r="AG1219" i="2"/>
  <c r="U1219" i="2" s="1"/>
  <c r="AG1231" i="2"/>
  <c r="U1231" i="2" s="1"/>
  <c r="AG1234" i="2"/>
  <c r="U1234" i="2" s="1"/>
  <c r="AG1243" i="2"/>
  <c r="U1243" i="2" s="1"/>
  <c r="AG1230" i="2"/>
  <c r="U1230" i="2" s="1"/>
  <c r="AG1246" i="2"/>
  <c r="U1246" i="2" s="1"/>
  <c r="AG1209" i="2"/>
  <c r="U1209" i="2" s="1"/>
  <c r="AG1240" i="2"/>
  <c r="U1240" i="2" s="1"/>
  <c r="AG1254" i="2"/>
  <c r="U1254" i="2" s="1"/>
  <c r="AG1237" i="2"/>
  <c r="U1237" i="2" s="1"/>
  <c r="AG1228" i="2"/>
  <c r="U1228" i="2" s="1"/>
  <c r="AG1239" i="2"/>
  <c r="U1239" i="2" s="1"/>
  <c r="AG1238" i="2"/>
  <c r="U1238" i="2" s="1"/>
  <c r="AG1241" i="2"/>
  <c r="U1241" i="2" s="1"/>
  <c r="AG1229" i="2"/>
  <c r="U1229" i="2" s="1"/>
  <c r="AG1225" i="2"/>
  <c r="U1225" i="2" s="1"/>
  <c r="AG1216" i="2"/>
  <c r="U1216" i="2" s="1"/>
  <c r="AG1206" i="2"/>
  <c r="U1206" i="2" s="1"/>
  <c r="AG1217" i="2"/>
  <c r="U1217" i="2" s="1"/>
  <c r="AG1211" i="2"/>
  <c r="U1211" i="2" s="1"/>
  <c r="AG1227" i="2"/>
  <c r="U1227" i="2" s="1"/>
  <c r="AG1224" i="2"/>
  <c r="U1224" i="2" s="1"/>
  <c r="AG1213" i="2"/>
  <c r="U1213" i="2" s="1"/>
  <c r="AG1222" i="2"/>
  <c r="U1222" i="2" s="1"/>
  <c r="AG1215" i="2"/>
  <c r="U1215" i="2" s="1"/>
  <c r="AG1210" i="2"/>
  <c r="U1210" i="2" s="1"/>
  <c r="AG1201" i="2"/>
  <c r="U1201" i="2" s="1"/>
  <c r="AG1223" i="2"/>
  <c r="U1223" i="2" s="1"/>
  <c r="AG1212" i="2"/>
  <c r="U1212" i="2" s="1"/>
  <c r="AG1188" i="2"/>
  <c r="U1188" i="2" s="1"/>
  <c r="AG1221" i="2"/>
  <c r="U1221" i="2" s="1"/>
  <c r="AG1220" i="2"/>
  <c r="U1220" i="2" s="1"/>
  <c r="AG1205" i="2"/>
  <c r="U1205" i="2" s="1"/>
  <c r="AG1193" i="2"/>
  <c r="U1193" i="2" s="1"/>
  <c r="AG1180" i="2"/>
  <c r="U1180" i="2" s="1"/>
  <c r="AG1195" i="2"/>
  <c r="U1195" i="2" s="1"/>
  <c r="AG1197" i="2"/>
  <c r="U1197" i="2" s="1"/>
  <c r="AG1184" i="2"/>
  <c r="U1184" i="2" s="1"/>
  <c r="AG1214" i="2"/>
  <c r="U1214" i="2" s="1"/>
  <c r="AG1204" i="2"/>
  <c r="U1204" i="2" s="1"/>
  <c r="AG1191" i="2"/>
  <c r="U1191" i="2" s="1"/>
  <c r="AG1194" i="2"/>
  <c r="U1194" i="2" s="1"/>
  <c r="AG1172" i="2"/>
  <c r="U1172" i="2" s="1"/>
  <c r="AG1196" i="2"/>
  <c r="U1196" i="2" s="1"/>
  <c r="AG1174" i="2"/>
  <c r="U1174" i="2" s="1"/>
  <c r="AG1203" i="2"/>
  <c r="U1203" i="2" s="1"/>
  <c r="AG1192" i="2"/>
  <c r="U1192" i="2" s="1"/>
  <c r="AG1226" i="2"/>
  <c r="U1226" i="2" s="1"/>
  <c r="AG1165" i="2"/>
  <c r="U1165" i="2" s="1"/>
  <c r="AG1187" i="2"/>
  <c r="U1187" i="2" s="1"/>
  <c r="AG1183" i="2"/>
  <c r="U1183" i="2" s="1"/>
  <c r="AG1179" i="2"/>
  <c r="U1179" i="2" s="1"/>
  <c r="AG1186" i="2"/>
  <c r="U1186" i="2" s="1"/>
  <c r="AG1198" i="2"/>
  <c r="U1198" i="2" s="1"/>
  <c r="AG1178" i="2"/>
  <c r="U1178" i="2" s="1"/>
  <c r="AG1153" i="2"/>
  <c r="U1153" i="2" s="1"/>
  <c r="AG1190" i="2"/>
  <c r="U1190" i="2" s="1"/>
  <c r="AG1177" i="2"/>
  <c r="U1177" i="2" s="1"/>
  <c r="AG1155" i="2"/>
  <c r="U1155" i="2" s="1"/>
  <c r="AG1176" i="2"/>
  <c r="U1176" i="2" s="1"/>
  <c r="AG1159" i="2"/>
  <c r="U1159" i="2" s="1"/>
  <c r="AG1208" i="2"/>
  <c r="U1208" i="2" s="1"/>
  <c r="AG1181" i="2"/>
  <c r="U1181" i="2" s="1"/>
  <c r="AG1199" i="2"/>
  <c r="U1199" i="2" s="1"/>
  <c r="AG1173" i="2"/>
  <c r="U1173" i="2" s="1"/>
  <c r="AG1154" i="2"/>
  <c r="U1154" i="2" s="1"/>
  <c r="AG1164" i="2"/>
  <c r="U1164" i="2" s="1"/>
  <c r="AG1185" i="2"/>
  <c r="U1185" i="2" s="1"/>
  <c r="AG1166" i="2"/>
  <c r="U1166" i="2" s="1"/>
  <c r="AG1182" i="2"/>
  <c r="U1182" i="2" s="1"/>
  <c r="AG1207" i="2"/>
  <c r="U1207" i="2" s="1"/>
  <c r="AG1175" i="2"/>
  <c r="U1175" i="2" s="1"/>
  <c r="AG1171" i="2"/>
  <c r="U1171" i="2" s="1"/>
  <c r="AG1170" i="2"/>
  <c r="U1170" i="2" s="1"/>
  <c r="AG1163" i="2"/>
  <c r="U1163" i="2" s="1"/>
  <c r="AG1189" i="2"/>
  <c r="U1189" i="2" s="1"/>
  <c r="AG1158" i="2"/>
  <c r="U1158" i="2" s="1"/>
  <c r="AG1139" i="2"/>
  <c r="U1139" i="2" s="1"/>
  <c r="AG1123" i="2"/>
  <c r="U1123" i="2" s="1"/>
  <c r="AG1150" i="2"/>
  <c r="U1150" i="2" s="1"/>
  <c r="AG1140" i="2"/>
  <c r="U1140" i="2" s="1"/>
  <c r="AG1151" i="2"/>
  <c r="U1151" i="2" s="1"/>
  <c r="AG1125" i="2"/>
  <c r="U1125" i="2" s="1"/>
  <c r="AG1157" i="2"/>
  <c r="U1157" i="2" s="1"/>
  <c r="AG1142" i="2"/>
  <c r="U1142" i="2" s="1"/>
  <c r="AG1126" i="2"/>
  <c r="U1126" i="2" s="1"/>
  <c r="AG1143" i="2"/>
  <c r="U1143" i="2" s="1"/>
  <c r="AG1127" i="2"/>
  <c r="U1127" i="2" s="1"/>
  <c r="AG1149" i="2"/>
  <c r="U1149" i="2" s="1"/>
  <c r="AG1144" i="2"/>
  <c r="U1144" i="2" s="1"/>
  <c r="AG1145" i="2"/>
  <c r="U1145" i="2" s="1"/>
  <c r="AG1129" i="2"/>
  <c r="U1129" i="2" s="1"/>
  <c r="AG1167" i="2"/>
  <c r="U1167" i="2" s="1"/>
  <c r="AG1146" i="2"/>
  <c r="U1146" i="2" s="1"/>
  <c r="AG1130" i="2"/>
  <c r="U1130" i="2" s="1"/>
  <c r="AG1131" i="2"/>
  <c r="U1131" i="2" s="1"/>
  <c r="AG1152" i="2"/>
  <c r="U1152" i="2" s="1"/>
  <c r="AG1132" i="2"/>
  <c r="U1132" i="2" s="1"/>
  <c r="AG1116" i="2"/>
  <c r="U1116" i="2" s="1"/>
  <c r="AG1160" i="2"/>
  <c r="U1160" i="2" s="1"/>
  <c r="AG1147" i="2"/>
  <c r="U1147" i="2" s="1"/>
  <c r="AG1133" i="2"/>
  <c r="U1133" i="2" s="1"/>
  <c r="AG1134" i="2"/>
  <c r="U1134" i="2" s="1"/>
  <c r="AG1118" i="2"/>
  <c r="U1118" i="2" s="1"/>
  <c r="AG1161" i="2"/>
  <c r="U1161" i="2" s="1"/>
  <c r="AG1135" i="2"/>
  <c r="U1135" i="2" s="1"/>
  <c r="AG1119" i="2"/>
  <c r="U1119" i="2" s="1"/>
  <c r="AG1136" i="2"/>
  <c r="U1136" i="2" s="1"/>
  <c r="AG1120" i="2"/>
  <c r="U1120" i="2" s="1"/>
  <c r="AG1102" i="2"/>
  <c r="U1102" i="2" s="1"/>
  <c r="AG1137" i="2"/>
  <c r="U1137" i="2" s="1"/>
  <c r="AG1103" i="2"/>
  <c r="U1103" i="2" s="1"/>
  <c r="AG1087" i="2"/>
  <c r="U1087" i="2" s="1"/>
  <c r="AG1104" i="2"/>
  <c r="U1104" i="2" s="1"/>
  <c r="AG1088" i="2"/>
  <c r="U1088" i="2" s="1"/>
  <c r="AG1105" i="2"/>
  <c r="U1105" i="2" s="1"/>
  <c r="AG1089" i="2"/>
  <c r="U1089" i="2" s="1"/>
  <c r="AG1121" i="2"/>
  <c r="U1121" i="2" s="1"/>
  <c r="AG1115" i="2"/>
  <c r="U1115" i="2" s="1"/>
  <c r="AG1106" i="2"/>
  <c r="U1106" i="2" s="1"/>
  <c r="AG1128" i="2"/>
  <c r="U1128" i="2" s="1"/>
  <c r="AG1092" i="2"/>
  <c r="U1092" i="2" s="1"/>
  <c r="AG1122" i="2"/>
  <c r="U1122" i="2" s="1"/>
  <c r="AG1109" i="2"/>
  <c r="U1109" i="2" s="1"/>
  <c r="AG1110" i="2"/>
  <c r="U1110" i="2" s="1"/>
  <c r="AG1094" i="2"/>
  <c r="U1094" i="2" s="1"/>
  <c r="AG1111" i="2"/>
  <c r="U1111" i="2" s="1"/>
  <c r="AG1124" i="2"/>
  <c r="U1124" i="2" s="1"/>
  <c r="AG1148" i="2"/>
  <c r="U1148" i="2" s="1"/>
  <c r="AG1117" i="2"/>
  <c r="U1117" i="2" s="1"/>
  <c r="AG1114" i="2"/>
  <c r="U1114" i="2" s="1"/>
  <c r="AG1099" i="2"/>
  <c r="U1099" i="2" s="1"/>
  <c r="AG1085" i="2"/>
  <c r="U1085" i="2" s="1"/>
  <c r="AG1097" i="2"/>
  <c r="U1097" i="2" s="1"/>
  <c r="AG1071" i="2"/>
  <c r="U1071" i="2" s="1"/>
  <c r="AG1112" i="2"/>
  <c r="U1112" i="2" s="1"/>
  <c r="AG1073" i="2"/>
  <c r="U1073" i="2" s="1"/>
  <c r="AG1113" i="2"/>
  <c r="U1113" i="2" s="1"/>
  <c r="AG1086" i="2"/>
  <c r="U1086" i="2" s="1"/>
  <c r="AG1076" i="2"/>
  <c r="U1076" i="2" s="1"/>
  <c r="AG1090" i="2"/>
  <c r="U1090" i="2" s="1"/>
  <c r="AG1077" i="2"/>
  <c r="U1077" i="2" s="1"/>
  <c r="AG1095" i="2"/>
  <c r="U1095" i="2" s="1"/>
  <c r="AG1078" i="2"/>
  <c r="U1078" i="2" s="1"/>
  <c r="AG1096" i="2"/>
  <c r="U1096" i="2" s="1"/>
  <c r="AG1098" i="2"/>
  <c r="U1098" i="2" s="1"/>
  <c r="AG1080" i="2"/>
  <c r="U1080" i="2" s="1"/>
  <c r="AG1081" i="2"/>
  <c r="U1081" i="2" s="1"/>
  <c r="AG1100" i="2"/>
  <c r="U1100" i="2" s="1"/>
  <c r="AG1079" i="2"/>
  <c r="U1079" i="2" s="1"/>
  <c r="AG1072" i="2"/>
  <c r="U1072" i="2" s="1"/>
  <c r="AG1052" i="2"/>
  <c r="U1052" i="2" s="1"/>
  <c r="AG1065" i="2"/>
  <c r="U1065" i="2" s="1"/>
  <c r="AG1068" i="2"/>
  <c r="U1068" i="2" s="1"/>
  <c r="AG1062" i="2"/>
  <c r="U1062" i="2" s="1"/>
  <c r="AG1054" i="2"/>
  <c r="U1054" i="2" s="1"/>
  <c r="AG1074" i="2"/>
  <c r="U1074" i="2" s="1"/>
  <c r="AG1055" i="2"/>
  <c r="U1055" i="2" s="1"/>
  <c r="AG1056" i="2"/>
  <c r="U1056" i="2" s="1"/>
  <c r="AG1082" i="2"/>
  <c r="U1082" i="2" s="1"/>
  <c r="AG1057" i="2"/>
  <c r="U1057" i="2" s="1"/>
  <c r="AG1041" i="2"/>
  <c r="U1041" i="2" s="1"/>
  <c r="AG1066" i="2"/>
  <c r="U1066" i="2" s="1"/>
  <c r="AG1058" i="2"/>
  <c r="U1058" i="2" s="1"/>
  <c r="AG1063" i="2"/>
  <c r="U1063" i="2" s="1"/>
  <c r="AG1059" i="2"/>
  <c r="U1059" i="2" s="1"/>
  <c r="AG1084" i="2"/>
  <c r="U1084" i="2" s="1"/>
  <c r="AG1070" i="2"/>
  <c r="U1070" i="2" s="1"/>
  <c r="AG1060" i="2"/>
  <c r="U1060" i="2" s="1"/>
  <c r="AG1091" i="2"/>
  <c r="U1091" i="2" s="1"/>
  <c r="AG1069" i="2"/>
  <c r="U1069" i="2" s="1"/>
  <c r="AG1075" i="2"/>
  <c r="U1075" i="2" s="1"/>
  <c r="AG1048" i="2"/>
  <c r="U1048" i="2" s="1"/>
  <c r="AG1025" i="2"/>
  <c r="U1025" i="2" s="1"/>
  <c r="AG1051" i="2"/>
  <c r="U1051" i="2" s="1"/>
  <c r="AG1026" i="2"/>
  <c r="U1026" i="2" s="1"/>
  <c r="AG1027" i="2"/>
  <c r="U1027" i="2" s="1"/>
  <c r="AG1061" i="2"/>
  <c r="U1061" i="2" s="1"/>
  <c r="AG1050" i="2"/>
  <c r="U1050" i="2" s="1"/>
  <c r="AG1044" i="2"/>
  <c r="U1044" i="2" s="1"/>
  <c r="AG1030" i="2"/>
  <c r="U1030" i="2" s="1"/>
  <c r="AG1043" i="2"/>
  <c r="U1043" i="2" s="1"/>
  <c r="AG1031" i="2"/>
  <c r="U1031" i="2" s="1"/>
  <c r="AG1049" i="2"/>
  <c r="U1049" i="2" s="1"/>
  <c r="AG1045" i="2"/>
  <c r="U1045" i="2" s="1"/>
  <c r="AG1032" i="2"/>
  <c r="U1032" i="2" s="1"/>
  <c r="AG1046" i="2"/>
  <c r="U1046" i="2" s="1"/>
  <c r="AG1033" i="2"/>
  <c r="U1033" i="2" s="1"/>
  <c r="AG1083" i="2"/>
  <c r="U1083" i="2" s="1"/>
  <c r="AG1047" i="2"/>
  <c r="U1047" i="2" s="1"/>
  <c r="AG1019" i="2"/>
  <c r="U1019" i="2" s="1"/>
  <c r="AG1042" i="2"/>
  <c r="U1042" i="2" s="1"/>
  <c r="AG1036" i="2"/>
  <c r="U1036" i="2" s="1"/>
  <c r="AG1020" i="2"/>
  <c r="U1020" i="2" s="1"/>
  <c r="AG1037" i="2"/>
  <c r="U1037" i="2" s="1"/>
  <c r="AG1053" i="2"/>
  <c r="U1053" i="2" s="1"/>
  <c r="AG1038" i="2"/>
  <c r="U1038" i="2" s="1"/>
  <c r="AG1018" i="2"/>
  <c r="U1018" i="2" s="1"/>
  <c r="AG1015" i="2"/>
  <c r="U1015" i="2" s="1"/>
  <c r="AG1006" i="2"/>
  <c r="U1006" i="2" s="1"/>
  <c r="AG1034" i="2"/>
  <c r="U1034" i="2" s="1"/>
  <c r="AG1023" i="2"/>
  <c r="U1023" i="2" s="1"/>
  <c r="AG1007" i="2"/>
  <c r="U1007" i="2" s="1"/>
  <c r="AG1017" i="2"/>
  <c r="U1017" i="2" s="1"/>
  <c r="AG1008" i="2"/>
  <c r="U1008" i="2" s="1"/>
  <c r="AG1009" i="2"/>
  <c r="U1009" i="2" s="1"/>
  <c r="AG1021" i="2"/>
  <c r="U1021" i="2" s="1"/>
  <c r="AG1012" i="2"/>
  <c r="U1012" i="2" s="1"/>
  <c r="AG1024" i="2"/>
  <c r="U1024" i="2" s="1"/>
  <c r="AG1016" i="2"/>
  <c r="U1016" i="2" s="1"/>
  <c r="AG1013" i="2"/>
  <c r="U1013" i="2" s="1"/>
  <c r="AG1028" i="2"/>
  <c r="U1028" i="2" s="1"/>
  <c r="AG1029" i="2"/>
  <c r="U1029" i="2" s="1"/>
  <c r="AG1022" i="2"/>
  <c r="U1022" i="2" s="1"/>
  <c r="AG1039" i="2"/>
  <c r="U1039" i="2" s="1"/>
  <c r="AG991" i="2"/>
  <c r="U991" i="2" s="1"/>
  <c r="AG975" i="2"/>
  <c r="U975" i="2" s="1"/>
  <c r="AG992" i="2"/>
  <c r="U992" i="2" s="1"/>
  <c r="AG993" i="2"/>
  <c r="U993" i="2" s="1"/>
  <c r="AG1004" i="2"/>
  <c r="U1004" i="2" s="1"/>
  <c r="AG998" i="2"/>
  <c r="U998" i="2" s="1"/>
  <c r="AG994" i="2"/>
  <c r="U994" i="2" s="1"/>
  <c r="AG978" i="2"/>
  <c r="U978" i="2" s="1"/>
  <c r="AG1000" i="2"/>
  <c r="U1000" i="2" s="1"/>
  <c r="AG995" i="2"/>
  <c r="U995" i="2" s="1"/>
  <c r="AG980" i="2"/>
  <c r="U980" i="2" s="1"/>
  <c r="AG1010" i="2"/>
  <c r="U1010" i="2" s="1"/>
  <c r="AG1002" i="2"/>
  <c r="U1002" i="2" s="1"/>
  <c r="AG996" i="2"/>
  <c r="U996" i="2" s="1"/>
  <c r="AG1005" i="2"/>
  <c r="U1005" i="2" s="1"/>
  <c r="AG983" i="2"/>
  <c r="U983" i="2" s="1"/>
  <c r="AG984" i="2"/>
  <c r="U984" i="2" s="1"/>
  <c r="AG985" i="2"/>
  <c r="U985" i="2" s="1"/>
  <c r="AG999" i="2"/>
  <c r="U999" i="2" s="1"/>
  <c r="AG997" i="2"/>
  <c r="U997" i="2" s="1"/>
  <c r="AG986" i="2"/>
  <c r="U986" i="2" s="1"/>
  <c r="AG970" i="2"/>
  <c r="U970" i="2" s="1"/>
  <c r="AG987" i="2"/>
  <c r="U987" i="2" s="1"/>
  <c r="AG1001" i="2"/>
  <c r="U1001" i="2" s="1"/>
  <c r="AG989" i="2"/>
  <c r="U989" i="2" s="1"/>
  <c r="AG973" i="2"/>
  <c r="U973" i="2" s="1"/>
  <c r="AG972" i="2"/>
  <c r="U972" i="2" s="1"/>
  <c r="AG954" i="2"/>
  <c r="U954" i="2" s="1"/>
  <c r="AG955" i="2"/>
  <c r="U955" i="2" s="1"/>
  <c r="AG976" i="2"/>
  <c r="U976" i="2" s="1"/>
  <c r="AG956" i="2"/>
  <c r="U956" i="2" s="1"/>
  <c r="AG957" i="2"/>
  <c r="U957" i="2" s="1"/>
  <c r="AG958" i="2"/>
  <c r="U958" i="2" s="1"/>
  <c r="AG988" i="2"/>
  <c r="U988" i="2" s="1"/>
  <c r="AG959" i="2"/>
  <c r="U959" i="2" s="1"/>
  <c r="AG969" i="2"/>
  <c r="U969" i="2" s="1"/>
  <c r="AG960" i="2"/>
  <c r="U960" i="2" s="1"/>
  <c r="AG944" i="2"/>
  <c r="U944" i="2" s="1"/>
  <c r="AG961" i="2"/>
  <c r="U961" i="2" s="1"/>
  <c r="AG981" i="2"/>
  <c r="U981" i="2" s="1"/>
  <c r="AG962" i="2"/>
  <c r="U962" i="2" s="1"/>
  <c r="AG946" i="2"/>
  <c r="U946" i="2" s="1"/>
  <c r="AG974" i="2"/>
  <c r="U974" i="2" s="1"/>
  <c r="AG964" i="2"/>
  <c r="U964" i="2" s="1"/>
  <c r="AG948" i="2"/>
  <c r="U948" i="2" s="1"/>
  <c r="AG990" i="2"/>
  <c r="U990" i="2" s="1"/>
  <c r="AG965" i="2"/>
  <c r="U965" i="2" s="1"/>
  <c r="AG949" i="2"/>
  <c r="U949" i="2" s="1"/>
  <c r="AG977" i="2"/>
  <c r="U977" i="2" s="1"/>
  <c r="AG966" i="2"/>
  <c r="U966" i="2" s="1"/>
  <c r="AG950" i="2"/>
  <c r="U950" i="2" s="1"/>
  <c r="AG967" i="2"/>
  <c r="U967" i="2" s="1"/>
  <c r="AG951" i="2"/>
  <c r="U951" i="2" s="1"/>
  <c r="AG942" i="2"/>
  <c r="U942" i="2" s="1"/>
  <c r="AG933" i="2"/>
  <c r="U933" i="2" s="1"/>
  <c r="AG947" i="2"/>
  <c r="U947" i="2" s="1"/>
  <c r="AG934" i="2"/>
  <c r="U934" i="2" s="1"/>
  <c r="AG918" i="2"/>
  <c r="U918" i="2" s="1"/>
  <c r="AG938" i="2"/>
  <c r="U938" i="2" s="1"/>
  <c r="AG920" i="2"/>
  <c r="U920" i="2" s="1"/>
  <c r="AG945" i="2"/>
  <c r="U945" i="2" s="1"/>
  <c r="AG935" i="2"/>
  <c r="U935" i="2" s="1"/>
  <c r="AG923" i="2"/>
  <c r="U923" i="2" s="1"/>
  <c r="AG924" i="2"/>
  <c r="U924" i="2" s="1"/>
  <c r="AG939" i="2"/>
  <c r="U939" i="2" s="1"/>
  <c r="AG925" i="2"/>
  <c r="U925" i="2" s="1"/>
  <c r="AG952" i="2"/>
  <c r="U952" i="2" s="1"/>
  <c r="AG926" i="2"/>
  <c r="U926" i="2" s="1"/>
  <c r="AG910" i="2"/>
  <c r="U910" i="2" s="1"/>
  <c r="AG963" i="2"/>
  <c r="U963" i="2" s="1"/>
  <c r="AG979" i="2"/>
  <c r="U979" i="2" s="1"/>
  <c r="AG953" i="2"/>
  <c r="U953" i="2" s="1"/>
  <c r="AG941" i="2"/>
  <c r="U941" i="2" s="1"/>
  <c r="AG930" i="2"/>
  <c r="U930" i="2" s="1"/>
  <c r="AG937" i="2"/>
  <c r="U937" i="2" s="1"/>
  <c r="AG931" i="2"/>
  <c r="U931" i="2" s="1"/>
  <c r="AG915" i="2"/>
  <c r="U915" i="2" s="1"/>
  <c r="AG911" i="2"/>
  <c r="U911" i="2" s="1"/>
  <c r="AG901" i="2"/>
  <c r="U901" i="2" s="1"/>
  <c r="AG921" i="2"/>
  <c r="U921" i="2" s="1"/>
  <c r="AG912" i="2"/>
  <c r="U912" i="2" s="1"/>
  <c r="AG902" i="2"/>
  <c r="U902" i="2" s="1"/>
  <c r="AG927" i="2"/>
  <c r="U927" i="2" s="1"/>
  <c r="AG909" i="2"/>
  <c r="U909" i="2" s="1"/>
  <c r="AG903" i="2"/>
  <c r="U903" i="2" s="1"/>
  <c r="AG913" i="2"/>
  <c r="U913" i="2" s="1"/>
  <c r="AG905" i="2"/>
  <c r="U905" i="2" s="1"/>
  <c r="AG917" i="2"/>
  <c r="U917" i="2" s="1"/>
  <c r="AG906" i="2"/>
  <c r="U906" i="2" s="1"/>
  <c r="AG890" i="2"/>
  <c r="U890" i="2" s="1"/>
  <c r="AG940" i="2"/>
  <c r="U940" i="2" s="1"/>
  <c r="AG914" i="2"/>
  <c r="U914" i="2" s="1"/>
  <c r="AG919" i="2"/>
  <c r="U919" i="2" s="1"/>
  <c r="AG892" i="2"/>
  <c r="U892" i="2" s="1"/>
  <c r="AG932" i="2"/>
  <c r="U932" i="2" s="1"/>
  <c r="AG894" i="2"/>
  <c r="U894" i="2" s="1"/>
  <c r="AG896" i="2"/>
  <c r="U896" i="2" s="1"/>
  <c r="AG897" i="2"/>
  <c r="U897" i="2" s="1"/>
  <c r="AG928" i="2"/>
  <c r="U928" i="2" s="1"/>
  <c r="AG916" i="2"/>
  <c r="U916" i="2" s="1"/>
  <c r="AG908" i="2"/>
  <c r="U908" i="2" s="1"/>
  <c r="AG898" i="2"/>
  <c r="U898" i="2" s="1"/>
  <c r="AG882" i="2"/>
  <c r="U882" i="2" s="1"/>
  <c r="AG866" i="2"/>
  <c r="U866" i="2" s="1"/>
  <c r="AG883" i="2"/>
  <c r="U883" i="2" s="1"/>
  <c r="AG899" i="2"/>
  <c r="U899" i="2" s="1"/>
  <c r="AG895" i="2"/>
  <c r="U895" i="2" s="1"/>
  <c r="AG885" i="2"/>
  <c r="U885" i="2" s="1"/>
  <c r="AG868" i="2"/>
  <c r="U868" i="2" s="1"/>
  <c r="AG891" i="2"/>
  <c r="U891" i="2" s="1"/>
  <c r="AG889" i="2"/>
  <c r="U889" i="2" s="1"/>
  <c r="AG888" i="2"/>
  <c r="U888" i="2" s="1"/>
  <c r="AG893" i="2"/>
  <c r="U893" i="2" s="1"/>
  <c r="AG904" i="2"/>
  <c r="U904" i="2" s="1"/>
  <c r="AG887" i="2"/>
  <c r="U887" i="2" s="1"/>
  <c r="AG872" i="2"/>
  <c r="U872" i="2" s="1"/>
  <c r="AG884" i="2"/>
  <c r="U884" i="2" s="1"/>
  <c r="AG874" i="2"/>
  <c r="U874" i="2" s="1"/>
  <c r="AG858" i="2"/>
  <c r="U858" i="2" s="1"/>
  <c r="AG900" i="2"/>
  <c r="U900" i="2" s="1"/>
  <c r="AG886" i="2"/>
  <c r="U886" i="2" s="1"/>
  <c r="AG877" i="2"/>
  <c r="U877" i="2" s="1"/>
  <c r="AG861" i="2"/>
  <c r="U861" i="2" s="1"/>
  <c r="AG880" i="2"/>
  <c r="U880" i="2" s="1"/>
  <c r="AG859" i="2"/>
  <c r="U859" i="2" s="1"/>
  <c r="AG875" i="2"/>
  <c r="U875" i="2" s="1"/>
  <c r="AG844" i="2"/>
  <c r="U844" i="2" s="1"/>
  <c r="AG828" i="2"/>
  <c r="U828" i="2" s="1"/>
  <c r="AG845" i="2"/>
  <c r="U845" i="2" s="1"/>
  <c r="AG879" i="2"/>
  <c r="U879" i="2" s="1"/>
  <c r="AG865" i="2"/>
  <c r="U865" i="2" s="1"/>
  <c r="AG856" i="2"/>
  <c r="U856" i="2" s="1"/>
  <c r="AG847" i="2"/>
  <c r="U847" i="2" s="1"/>
  <c r="AG849" i="2"/>
  <c r="U849" i="2" s="1"/>
  <c r="AG850" i="2"/>
  <c r="U850" i="2" s="1"/>
  <c r="AG834" i="2"/>
  <c r="U834" i="2" s="1"/>
  <c r="AG852" i="2"/>
  <c r="U852" i="2" s="1"/>
  <c r="AG862" i="2"/>
  <c r="U862" i="2" s="1"/>
  <c r="AG870" i="2"/>
  <c r="U870" i="2" s="1"/>
  <c r="AG857" i="2"/>
  <c r="U857" i="2" s="1"/>
  <c r="AG863" i="2"/>
  <c r="U863" i="2" s="1"/>
  <c r="AG876" i="2"/>
  <c r="U876" i="2" s="1"/>
  <c r="AG881" i="2"/>
  <c r="U881" i="2" s="1"/>
  <c r="AG864" i="2"/>
  <c r="U864" i="2" s="1"/>
  <c r="AG820" i="2"/>
  <c r="U820" i="2" s="1"/>
  <c r="AG827" i="2"/>
  <c r="U827" i="2" s="1"/>
  <c r="AG821" i="2"/>
  <c r="U821" i="2" s="1"/>
  <c r="AG840" i="2"/>
  <c r="U840" i="2" s="1"/>
  <c r="AG822" i="2"/>
  <c r="U822" i="2" s="1"/>
  <c r="AG806" i="2"/>
  <c r="U806" i="2" s="1"/>
  <c r="AG848" i="2"/>
  <c r="U848" i="2" s="1"/>
  <c r="AG842" i="2"/>
  <c r="U842" i="2" s="1"/>
  <c r="AG823" i="2"/>
  <c r="U823" i="2" s="1"/>
  <c r="AG807" i="2"/>
  <c r="U807" i="2" s="1"/>
  <c r="AG824" i="2"/>
  <c r="U824" i="2" s="1"/>
  <c r="AG855" i="2"/>
  <c r="U855" i="2" s="1"/>
  <c r="AG809" i="2"/>
  <c r="U809" i="2" s="1"/>
  <c r="AG810" i="2"/>
  <c r="U810" i="2" s="1"/>
  <c r="AG794" i="2"/>
  <c r="U794" i="2" s="1"/>
  <c r="AG860" i="2"/>
  <c r="U860" i="2" s="1"/>
  <c r="AG833" i="2"/>
  <c r="U833" i="2" s="1"/>
  <c r="AG825" i="2"/>
  <c r="U825" i="2" s="1"/>
  <c r="AG812" i="2"/>
  <c r="U812" i="2" s="1"/>
  <c r="AG829" i="2"/>
  <c r="U829" i="2" s="1"/>
  <c r="AG813" i="2"/>
  <c r="U813" i="2" s="1"/>
  <c r="AG797" i="2"/>
  <c r="U797" i="2" s="1"/>
  <c r="AG841" i="2"/>
  <c r="U841" i="2" s="1"/>
  <c r="AG814" i="2"/>
  <c r="U814" i="2" s="1"/>
  <c r="AG838" i="2"/>
  <c r="U838" i="2" s="1"/>
  <c r="AG837" i="2"/>
  <c r="U837" i="2" s="1"/>
  <c r="AG815" i="2"/>
  <c r="U815" i="2" s="1"/>
  <c r="AG799" i="2"/>
  <c r="U799" i="2" s="1"/>
  <c r="AG836" i="2"/>
  <c r="U836" i="2" s="1"/>
  <c r="AG816" i="2"/>
  <c r="U816" i="2" s="1"/>
  <c r="AG826" i="2"/>
  <c r="U826" i="2" s="1"/>
  <c r="AG817" i="2"/>
  <c r="U817" i="2" s="1"/>
  <c r="AG839" i="2"/>
  <c r="U839" i="2" s="1"/>
  <c r="AG800" i="2"/>
  <c r="U800" i="2" s="1"/>
  <c r="AG780" i="2"/>
  <c r="U780" i="2" s="1"/>
  <c r="AG764" i="2"/>
  <c r="U764" i="2" s="1"/>
  <c r="AG765" i="2"/>
  <c r="U765" i="2" s="1"/>
  <c r="AG748" i="2"/>
  <c r="U748" i="2" s="1"/>
  <c r="AG792" i="2"/>
  <c r="U792" i="2" s="1"/>
  <c r="AG782" i="2"/>
  <c r="U782" i="2" s="1"/>
  <c r="AG766" i="2"/>
  <c r="U766" i="2" s="1"/>
  <c r="AG749" i="2"/>
  <c r="U749" i="2" s="1"/>
  <c r="AG818" i="2"/>
  <c r="U818" i="2" s="1"/>
  <c r="AG801" i="2"/>
  <c r="U801" i="2" s="1"/>
  <c r="AG783" i="2"/>
  <c r="U783" i="2" s="1"/>
  <c r="AG767" i="2"/>
  <c r="U767" i="2" s="1"/>
  <c r="AG808" i="2"/>
  <c r="U808" i="2" s="1"/>
  <c r="AG802" i="2"/>
  <c r="U802" i="2" s="1"/>
  <c r="AG784" i="2"/>
  <c r="U784" i="2" s="1"/>
  <c r="AG768" i="2"/>
  <c r="U768" i="2" s="1"/>
  <c r="AG751" i="2"/>
  <c r="U751" i="2" s="1"/>
  <c r="AG785" i="2"/>
  <c r="U785" i="2" s="1"/>
  <c r="AG769" i="2"/>
  <c r="U769" i="2" s="1"/>
  <c r="AG752" i="2"/>
  <c r="U752" i="2" s="1"/>
  <c r="AG786" i="2"/>
  <c r="U786" i="2" s="1"/>
  <c r="AG770" i="2"/>
  <c r="U770" i="2" s="1"/>
  <c r="AG753" i="2"/>
  <c r="U753" i="2" s="1"/>
  <c r="AG804" i="2"/>
  <c r="U804" i="2" s="1"/>
  <c r="AG793" i="2"/>
  <c r="U793" i="2" s="1"/>
  <c r="AG787" i="2"/>
  <c r="U787" i="2" s="1"/>
  <c r="AG754" i="2"/>
  <c r="U754" i="2" s="1"/>
  <c r="AG830" i="2"/>
  <c r="U830" i="2" s="1"/>
  <c r="AG795" i="2"/>
  <c r="U795" i="2" s="1"/>
  <c r="AG789" i="2"/>
  <c r="U789" i="2" s="1"/>
  <c r="AG773" i="2"/>
  <c r="U773" i="2" s="1"/>
  <c r="AG756" i="2"/>
  <c r="U756" i="2" s="1"/>
  <c r="AG832" i="2"/>
  <c r="U832" i="2" s="1"/>
  <c r="AG803" i="2"/>
  <c r="U803" i="2" s="1"/>
  <c r="AG796" i="2"/>
  <c r="U796" i="2" s="1"/>
  <c r="AG790" i="2"/>
  <c r="U790" i="2" s="1"/>
  <c r="AG774" i="2"/>
  <c r="U774" i="2" s="1"/>
  <c r="AG776" i="2"/>
  <c r="U776" i="2" s="1"/>
  <c r="AG798" i="2"/>
  <c r="U798" i="2" s="1"/>
  <c r="AG791" i="2"/>
  <c r="U791" i="2" s="1"/>
  <c r="AG777" i="2"/>
  <c r="U777" i="2" s="1"/>
  <c r="AG819" i="2"/>
  <c r="U819" i="2" s="1"/>
  <c r="AG811" i="2"/>
  <c r="U811" i="2" s="1"/>
  <c r="AG778" i="2"/>
  <c r="U778" i="2" s="1"/>
  <c r="AG762" i="2"/>
  <c r="U762" i="2" s="1"/>
  <c r="AG729" i="2"/>
  <c r="U729" i="2" s="1"/>
  <c r="AG712" i="2"/>
  <c r="U712" i="2" s="1"/>
  <c r="AG779" i="2"/>
  <c r="U779" i="2" s="1"/>
  <c r="AG760" i="2"/>
  <c r="U760" i="2" s="1"/>
  <c r="AG742" i="2"/>
  <c r="U742" i="2" s="1"/>
  <c r="AG730" i="2"/>
  <c r="U730" i="2" s="1"/>
  <c r="AG713" i="2"/>
  <c r="U713" i="2" s="1"/>
  <c r="AG744" i="2"/>
  <c r="U744" i="2" s="1"/>
  <c r="AG731" i="2"/>
  <c r="U731" i="2" s="1"/>
  <c r="AG714" i="2"/>
  <c r="U714" i="2" s="1"/>
  <c r="AG746" i="2"/>
  <c r="U746" i="2" s="1"/>
  <c r="AG763" i="2"/>
  <c r="U763" i="2" s="1"/>
  <c r="AG733" i="2"/>
  <c r="U733" i="2" s="1"/>
  <c r="AG716" i="2"/>
  <c r="U716" i="2" s="1"/>
  <c r="AG735" i="2"/>
  <c r="U735" i="2" s="1"/>
  <c r="AG734" i="2"/>
  <c r="U734" i="2" s="1"/>
  <c r="AG757" i="2"/>
  <c r="U757" i="2" s="1"/>
  <c r="AG761" i="2"/>
  <c r="U761" i="2" s="1"/>
  <c r="AG737" i="2"/>
  <c r="U737" i="2" s="1"/>
  <c r="AG719" i="2"/>
  <c r="U719" i="2" s="1"/>
  <c r="AG758" i="2"/>
  <c r="U758" i="2" s="1"/>
  <c r="AG743" i="2"/>
  <c r="U743" i="2" s="1"/>
  <c r="AG721" i="2"/>
  <c r="U721" i="2" s="1"/>
  <c r="AG745" i="2"/>
  <c r="U745" i="2" s="1"/>
  <c r="AG759" i="2"/>
  <c r="U759" i="2" s="1"/>
  <c r="AG755" i="2"/>
  <c r="U755" i="2" s="1"/>
  <c r="AG738" i="2"/>
  <c r="U738" i="2" s="1"/>
  <c r="AG723" i="2"/>
  <c r="U723" i="2" s="1"/>
  <c r="AG747" i="2"/>
  <c r="U747" i="2" s="1"/>
  <c r="AG741" i="2"/>
  <c r="U741" i="2" s="1"/>
  <c r="AG724" i="2"/>
  <c r="U724" i="2" s="1"/>
  <c r="AG726" i="2"/>
  <c r="U726" i="2" s="1"/>
  <c r="AG725" i="2"/>
  <c r="U725" i="2" s="1"/>
  <c r="AG727" i="2"/>
  <c r="U727" i="2" s="1"/>
  <c r="AG699" i="2"/>
  <c r="U699" i="2" s="1"/>
  <c r="AG683" i="2"/>
  <c r="U683" i="2" s="1"/>
  <c r="AG667" i="2"/>
  <c r="U667" i="2" s="1"/>
  <c r="AG740" i="2"/>
  <c r="U740" i="2" s="1"/>
  <c r="AG700" i="2"/>
  <c r="U700" i="2" s="1"/>
  <c r="AG684" i="2"/>
  <c r="U684" i="2" s="1"/>
  <c r="AG668" i="2"/>
  <c r="U668" i="2" s="1"/>
  <c r="AG652" i="2"/>
  <c r="U652" i="2" s="1"/>
  <c r="AG732" i="2"/>
  <c r="U732" i="2" s="1"/>
  <c r="AG669" i="2"/>
  <c r="U669" i="2" s="1"/>
  <c r="AG653" i="2"/>
  <c r="U653" i="2" s="1"/>
  <c r="AG775" i="2"/>
  <c r="U775" i="2" s="1"/>
  <c r="AG717" i="2"/>
  <c r="U717" i="2" s="1"/>
  <c r="AG710" i="2"/>
  <c r="U710" i="2" s="1"/>
  <c r="AG702" i="2"/>
  <c r="U702" i="2" s="1"/>
  <c r="AG686" i="2"/>
  <c r="U686" i="2" s="1"/>
  <c r="AG670" i="2"/>
  <c r="U670" i="2" s="1"/>
  <c r="AG654" i="2"/>
  <c r="U654" i="2" s="1"/>
  <c r="AG703" i="2"/>
  <c r="U703" i="2" s="1"/>
  <c r="AG687" i="2"/>
  <c r="U687" i="2" s="1"/>
  <c r="AG671" i="2"/>
  <c r="U671" i="2" s="1"/>
  <c r="AG704" i="2"/>
  <c r="U704" i="2" s="1"/>
  <c r="AG688" i="2"/>
  <c r="U688" i="2" s="1"/>
  <c r="AG672" i="2"/>
  <c r="U672" i="2" s="1"/>
  <c r="AG656" i="2"/>
  <c r="U656" i="2" s="1"/>
  <c r="AG705" i="2"/>
  <c r="U705" i="2" s="1"/>
  <c r="AG689" i="2"/>
  <c r="U689" i="2" s="1"/>
  <c r="AG673" i="2"/>
  <c r="U673" i="2" s="1"/>
  <c r="AG706" i="2"/>
  <c r="U706" i="2" s="1"/>
  <c r="AG690" i="2"/>
  <c r="U690" i="2" s="1"/>
  <c r="AG674" i="2"/>
  <c r="U674" i="2" s="1"/>
  <c r="AG707" i="2"/>
  <c r="U707" i="2" s="1"/>
  <c r="AG708" i="2"/>
  <c r="U708" i="2" s="1"/>
  <c r="AG692" i="2"/>
  <c r="U692" i="2" s="1"/>
  <c r="AG660" i="2"/>
  <c r="U660" i="2" s="1"/>
  <c r="AG693" i="2"/>
  <c r="U693" i="2" s="1"/>
  <c r="AG677" i="2"/>
  <c r="U677" i="2" s="1"/>
  <c r="AG661" i="2"/>
  <c r="U661" i="2" s="1"/>
  <c r="AG694" i="2"/>
  <c r="U694" i="2" s="1"/>
  <c r="AG662" i="2"/>
  <c r="U662" i="2" s="1"/>
  <c r="AG718" i="2"/>
  <c r="U718" i="2" s="1"/>
  <c r="AG709" i="2"/>
  <c r="U709" i="2" s="1"/>
  <c r="AG695" i="2"/>
  <c r="U695" i="2" s="1"/>
  <c r="AG679" i="2"/>
  <c r="U679" i="2" s="1"/>
  <c r="AG722" i="2"/>
  <c r="U722" i="2" s="1"/>
  <c r="AG711" i="2"/>
  <c r="U711" i="2" s="1"/>
  <c r="AG696" i="2"/>
  <c r="U696" i="2" s="1"/>
  <c r="AG680" i="2"/>
  <c r="U680" i="2" s="1"/>
  <c r="AG664" i="2"/>
  <c r="U664" i="2" s="1"/>
  <c r="AG648" i="2"/>
  <c r="U648" i="2" s="1"/>
  <c r="AG728" i="2"/>
  <c r="U728" i="2" s="1"/>
  <c r="AG697" i="2"/>
  <c r="U697" i="2" s="1"/>
  <c r="AG681" i="2"/>
  <c r="U681" i="2" s="1"/>
  <c r="AG665" i="2"/>
  <c r="U665" i="2" s="1"/>
  <c r="AG649" i="2"/>
  <c r="U649" i="2" s="1"/>
  <c r="AG720" i="2"/>
  <c r="U720" i="2" s="1"/>
  <c r="AG640" i="2"/>
  <c r="U640" i="2" s="1"/>
  <c r="AG624" i="2"/>
  <c r="U624" i="2" s="1"/>
  <c r="AG608" i="2"/>
  <c r="U608" i="2" s="1"/>
  <c r="AG641" i="2"/>
  <c r="U641" i="2" s="1"/>
  <c r="AG625" i="2"/>
  <c r="U625" i="2" s="1"/>
  <c r="AG609" i="2"/>
  <c r="U609" i="2" s="1"/>
  <c r="AG593" i="2"/>
  <c r="U593" i="2" s="1"/>
  <c r="AG626" i="2"/>
  <c r="U626" i="2" s="1"/>
  <c r="AG610" i="2"/>
  <c r="U610" i="2" s="1"/>
  <c r="AG594" i="2"/>
  <c r="U594" i="2" s="1"/>
  <c r="AG675" i="2"/>
  <c r="U675" i="2" s="1"/>
  <c r="AG659" i="2"/>
  <c r="U659" i="2" s="1"/>
  <c r="AG643" i="2"/>
  <c r="U643" i="2" s="1"/>
  <c r="AG627" i="2"/>
  <c r="U627" i="2" s="1"/>
  <c r="AG611" i="2"/>
  <c r="U611" i="2" s="1"/>
  <c r="AG595" i="2"/>
  <c r="U595" i="2" s="1"/>
  <c r="AG698" i="2"/>
  <c r="U698" i="2" s="1"/>
  <c r="AG628" i="2"/>
  <c r="U628" i="2" s="1"/>
  <c r="AG612" i="2"/>
  <c r="U612" i="2" s="1"/>
  <c r="AG629" i="2"/>
  <c r="U629" i="2" s="1"/>
  <c r="AG613" i="2"/>
  <c r="U613" i="2" s="1"/>
  <c r="AG614" i="2"/>
  <c r="U614" i="2" s="1"/>
  <c r="AG598" i="2"/>
  <c r="U598" i="2" s="1"/>
  <c r="AG666" i="2"/>
  <c r="U666" i="2" s="1"/>
  <c r="AG631" i="2"/>
  <c r="U631" i="2" s="1"/>
  <c r="AG615" i="2"/>
  <c r="U615" i="2" s="1"/>
  <c r="AG583" i="2"/>
  <c r="U583" i="2" s="1"/>
  <c r="AG657" i="2"/>
  <c r="U657" i="2" s="1"/>
  <c r="AG651" i="2"/>
  <c r="U651" i="2" s="1"/>
  <c r="AG632" i="2"/>
  <c r="U632" i="2" s="1"/>
  <c r="AG616" i="2"/>
  <c r="U616" i="2" s="1"/>
  <c r="AG600" i="2"/>
  <c r="U600" i="2" s="1"/>
  <c r="AG642" i="2"/>
  <c r="U642" i="2" s="1"/>
  <c r="AG633" i="2"/>
  <c r="U633" i="2" s="1"/>
  <c r="AG617" i="2"/>
  <c r="U617" i="2" s="1"/>
  <c r="AG601" i="2"/>
  <c r="U601" i="2" s="1"/>
  <c r="AG646" i="2"/>
  <c r="U646" i="2" s="1"/>
  <c r="AG634" i="2"/>
  <c r="U634" i="2" s="1"/>
  <c r="AG618" i="2"/>
  <c r="U618" i="2" s="1"/>
  <c r="AG602" i="2"/>
  <c r="U602" i="2" s="1"/>
  <c r="AG691" i="2"/>
  <c r="U691" i="2" s="1"/>
  <c r="AG655" i="2"/>
  <c r="U655" i="2" s="1"/>
  <c r="AG647" i="2"/>
  <c r="U647" i="2" s="1"/>
  <c r="AG645" i="2"/>
  <c r="U645" i="2" s="1"/>
  <c r="AG635" i="2"/>
  <c r="U635" i="2" s="1"/>
  <c r="AG619" i="2"/>
  <c r="U619" i="2" s="1"/>
  <c r="AG603" i="2"/>
  <c r="U603" i="2" s="1"/>
  <c r="AG682" i="2"/>
  <c r="U682" i="2" s="1"/>
  <c r="AG658" i="2"/>
  <c r="U658" i="2" s="1"/>
  <c r="AG650" i="2"/>
  <c r="U650" i="2" s="1"/>
  <c r="AG636" i="2"/>
  <c r="U636" i="2" s="1"/>
  <c r="AG620" i="2"/>
  <c r="U620" i="2" s="1"/>
  <c r="AG736" i="2"/>
  <c r="U736" i="2" s="1"/>
  <c r="AG644" i="2"/>
  <c r="U644" i="2" s="1"/>
  <c r="AG637" i="2"/>
  <c r="U637" i="2" s="1"/>
  <c r="AG621" i="2"/>
  <c r="U621" i="2" s="1"/>
  <c r="AG605" i="2"/>
  <c r="U605" i="2" s="1"/>
  <c r="AG638" i="2"/>
  <c r="U638" i="2" s="1"/>
  <c r="AG622" i="2"/>
  <c r="U622" i="2" s="1"/>
  <c r="AG606" i="2"/>
  <c r="U606" i="2" s="1"/>
  <c r="AG590" i="2"/>
  <c r="U590" i="2" s="1"/>
  <c r="AG597" i="2"/>
  <c r="U597" i="2" s="1"/>
  <c r="AG566" i="2"/>
  <c r="U566" i="2" s="1"/>
  <c r="AG550" i="2"/>
  <c r="U550" i="2" s="1"/>
  <c r="AG639" i="2"/>
  <c r="U639" i="2" s="1"/>
  <c r="AG585" i="2"/>
  <c r="U585" i="2" s="1"/>
  <c r="AG567" i="2"/>
  <c r="U567" i="2" s="1"/>
  <c r="AG551" i="2"/>
  <c r="U551" i="2" s="1"/>
  <c r="AG534" i="2"/>
  <c r="U534" i="2" s="1"/>
  <c r="AG591" i="2"/>
  <c r="U591" i="2" s="1"/>
  <c r="AG589" i="2"/>
  <c r="U589" i="2" s="1"/>
  <c r="AG580" i="2"/>
  <c r="U580" i="2" s="1"/>
  <c r="AG568" i="2"/>
  <c r="U568" i="2" s="1"/>
  <c r="AG552" i="2"/>
  <c r="U552" i="2" s="1"/>
  <c r="AG535" i="2"/>
  <c r="U535" i="2" s="1"/>
  <c r="AG519" i="2"/>
  <c r="U519" i="2" s="1"/>
  <c r="AG569" i="2"/>
  <c r="U569" i="2" s="1"/>
  <c r="AG536" i="2"/>
  <c r="U536" i="2" s="1"/>
  <c r="AG520" i="2"/>
  <c r="U520" i="2" s="1"/>
  <c r="AG592" i="2"/>
  <c r="U592" i="2" s="1"/>
  <c r="AG586" i="2"/>
  <c r="U586" i="2" s="1"/>
  <c r="AG570" i="2"/>
  <c r="U570" i="2" s="1"/>
  <c r="AG554" i="2"/>
  <c r="U554" i="2" s="1"/>
  <c r="AG537" i="2"/>
  <c r="U537" i="2" s="1"/>
  <c r="AG521" i="2"/>
  <c r="U521" i="2" s="1"/>
  <c r="AG571" i="2"/>
  <c r="U571" i="2" s="1"/>
  <c r="AG555" i="2"/>
  <c r="U555" i="2" s="1"/>
  <c r="AG538" i="2"/>
  <c r="U538" i="2" s="1"/>
  <c r="AG522" i="2"/>
  <c r="U522" i="2" s="1"/>
  <c r="AG596" i="2"/>
  <c r="U596" i="2" s="1"/>
  <c r="AG582" i="2"/>
  <c r="U582" i="2" s="1"/>
  <c r="AG572" i="2"/>
  <c r="U572" i="2" s="1"/>
  <c r="AG556" i="2"/>
  <c r="U556" i="2" s="1"/>
  <c r="AG539" i="2"/>
  <c r="U539" i="2" s="1"/>
  <c r="AG523" i="2"/>
  <c r="U523" i="2" s="1"/>
  <c r="AG587" i="2"/>
  <c r="U587" i="2" s="1"/>
  <c r="AG573" i="2"/>
  <c r="U573" i="2" s="1"/>
  <c r="AG557" i="2"/>
  <c r="U557" i="2" s="1"/>
  <c r="AG540" i="2"/>
  <c r="U540" i="2" s="1"/>
  <c r="AG574" i="2"/>
  <c r="U574" i="2" s="1"/>
  <c r="AG541" i="2"/>
  <c r="U541" i="2" s="1"/>
  <c r="AG525" i="2"/>
  <c r="U525" i="2" s="1"/>
  <c r="AG575" i="2"/>
  <c r="U575" i="2" s="1"/>
  <c r="AG559" i="2"/>
  <c r="U559" i="2" s="1"/>
  <c r="AG542" i="2"/>
  <c r="U542" i="2" s="1"/>
  <c r="AG526" i="2"/>
  <c r="U526" i="2" s="1"/>
  <c r="AG576" i="2"/>
  <c r="U576" i="2" s="1"/>
  <c r="AG560" i="2"/>
  <c r="U560" i="2" s="1"/>
  <c r="AG543" i="2"/>
  <c r="U543" i="2" s="1"/>
  <c r="AG527" i="2"/>
  <c r="U527" i="2" s="1"/>
  <c r="AG577" i="2"/>
  <c r="U577" i="2" s="1"/>
  <c r="AG561" i="2"/>
  <c r="U561" i="2" s="1"/>
  <c r="AG544" i="2"/>
  <c r="U544" i="2" s="1"/>
  <c r="AG528" i="2"/>
  <c r="U528" i="2" s="1"/>
  <c r="AG604" i="2"/>
  <c r="U604" i="2" s="1"/>
  <c r="AG588" i="2"/>
  <c r="U588" i="2" s="1"/>
  <c r="AG581" i="2"/>
  <c r="U581" i="2" s="1"/>
  <c r="AG578" i="2"/>
  <c r="U578" i="2" s="1"/>
  <c r="AG562" i="2"/>
  <c r="U562" i="2" s="1"/>
  <c r="AG607" i="2"/>
  <c r="U607" i="2" s="1"/>
  <c r="AG584" i="2"/>
  <c r="U584" i="2" s="1"/>
  <c r="AG579" i="2"/>
  <c r="U579" i="2" s="1"/>
  <c r="AG546" i="2"/>
  <c r="U546" i="2" s="1"/>
  <c r="AG530" i="2"/>
  <c r="U530" i="2" s="1"/>
  <c r="AG564" i="2"/>
  <c r="U564" i="2" s="1"/>
  <c r="AG548" i="2"/>
  <c r="U548" i="2" s="1"/>
  <c r="AG547" i="2"/>
  <c r="U547" i="2" s="1"/>
  <c r="AG490" i="2"/>
  <c r="U490" i="2" s="1"/>
  <c r="AG474" i="2"/>
  <c r="U474" i="2" s="1"/>
  <c r="AG457" i="2"/>
  <c r="U457" i="2" s="1"/>
  <c r="AG533" i="2"/>
  <c r="U533" i="2" s="1"/>
  <c r="AG507" i="2"/>
  <c r="U507" i="2" s="1"/>
  <c r="AG475" i="2"/>
  <c r="U475" i="2" s="1"/>
  <c r="AG458" i="2"/>
  <c r="U458" i="2" s="1"/>
  <c r="AG549" i="2"/>
  <c r="U549" i="2" s="1"/>
  <c r="AG508" i="2"/>
  <c r="U508" i="2" s="1"/>
  <c r="AG492" i="2"/>
  <c r="U492" i="2" s="1"/>
  <c r="AG476" i="2"/>
  <c r="U476" i="2" s="1"/>
  <c r="AG509" i="2"/>
  <c r="U509" i="2" s="1"/>
  <c r="AG493" i="2"/>
  <c r="U493" i="2" s="1"/>
  <c r="AG477" i="2"/>
  <c r="U477" i="2" s="1"/>
  <c r="AG460" i="2"/>
  <c r="U460" i="2" s="1"/>
  <c r="AG510" i="2"/>
  <c r="U510" i="2" s="1"/>
  <c r="AG494" i="2"/>
  <c r="U494" i="2" s="1"/>
  <c r="AG478" i="2"/>
  <c r="U478" i="2" s="1"/>
  <c r="AG461" i="2"/>
  <c r="U461" i="2" s="1"/>
  <c r="AG511" i="2"/>
  <c r="U511" i="2" s="1"/>
  <c r="AG495" i="2"/>
  <c r="U495" i="2" s="1"/>
  <c r="AG565" i="2"/>
  <c r="U565" i="2" s="1"/>
  <c r="AG512" i="2"/>
  <c r="U512" i="2" s="1"/>
  <c r="AG496" i="2"/>
  <c r="U496" i="2" s="1"/>
  <c r="AG480" i="2"/>
  <c r="U480" i="2" s="1"/>
  <c r="AG463" i="2"/>
  <c r="U463" i="2" s="1"/>
  <c r="AG518" i="2"/>
  <c r="U518" i="2" s="1"/>
  <c r="AG513" i="2"/>
  <c r="U513" i="2" s="1"/>
  <c r="AG497" i="2"/>
  <c r="U497" i="2" s="1"/>
  <c r="AG464" i="2"/>
  <c r="U464" i="2" s="1"/>
  <c r="AG517" i="2"/>
  <c r="U517" i="2" s="1"/>
  <c r="AG514" i="2"/>
  <c r="U514" i="2" s="1"/>
  <c r="AG498" i="2"/>
  <c r="U498" i="2" s="1"/>
  <c r="AG482" i="2"/>
  <c r="U482" i="2" s="1"/>
  <c r="AG465" i="2"/>
  <c r="U465" i="2" s="1"/>
  <c r="AG529" i="2"/>
  <c r="U529" i="2" s="1"/>
  <c r="AG515" i="2"/>
  <c r="U515" i="2" s="1"/>
  <c r="AG499" i="2"/>
  <c r="U499" i="2" s="1"/>
  <c r="AG483" i="2"/>
  <c r="U483" i="2" s="1"/>
  <c r="AG500" i="2"/>
  <c r="U500" i="2" s="1"/>
  <c r="AG484" i="2"/>
  <c r="U484" i="2" s="1"/>
  <c r="AG467" i="2"/>
  <c r="U467" i="2" s="1"/>
  <c r="AG501" i="2"/>
  <c r="U501" i="2" s="1"/>
  <c r="AG502" i="2"/>
  <c r="U502" i="2" s="1"/>
  <c r="AG469" i="2"/>
  <c r="U469" i="2" s="1"/>
  <c r="AG503" i="2"/>
  <c r="U503" i="2" s="1"/>
  <c r="AG516" i="2"/>
  <c r="U516" i="2" s="1"/>
  <c r="AG504" i="2"/>
  <c r="U504" i="2" s="1"/>
  <c r="AG488" i="2"/>
  <c r="U488" i="2" s="1"/>
  <c r="AG471" i="2"/>
  <c r="U471" i="2" s="1"/>
  <c r="AG455" i="2"/>
  <c r="U455" i="2" s="1"/>
  <c r="AG437" i="2"/>
  <c r="U437" i="2" s="1"/>
  <c r="AG438" i="2"/>
  <c r="U438" i="2" s="1"/>
  <c r="AG422" i="2"/>
  <c r="U422" i="2" s="1"/>
  <c r="AG406" i="2"/>
  <c r="U406" i="2" s="1"/>
  <c r="AG390" i="2"/>
  <c r="U390" i="2" s="1"/>
  <c r="AG468" i="2"/>
  <c r="U468" i="2" s="1"/>
  <c r="AG453" i="2"/>
  <c r="U453" i="2" s="1"/>
  <c r="AG451" i="2"/>
  <c r="U451" i="2" s="1"/>
  <c r="AG423" i="2"/>
  <c r="U423" i="2" s="1"/>
  <c r="AG407" i="2"/>
  <c r="U407" i="2" s="1"/>
  <c r="AG440" i="2"/>
  <c r="U440" i="2" s="1"/>
  <c r="AG424" i="2"/>
  <c r="U424" i="2" s="1"/>
  <c r="AG408" i="2"/>
  <c r="U408" i="2" s="1"/>
  <c r="AG392" i="2"/>
  <c r="U392" i="2" s="1"/>
  <c r="AG505" i="2"/>
  <c r="U505" i="2" s="1"/>
  <c r="AG470" i="2"/>
  <c r="U470" i="2" s="1"/>
  <c r="AG441" i="2"/>
  <c r="U441" i="2" s="1"/>
  <c r="AG425" i="2"/>
  <c r="U425" i="2" s="1"/>
  <c r="AG409" i="2"/>
  <c r="U409" i="2" s="1"/>
  <c r="AG442" i="2"/>
  <c r="U442" i="2" s="1"/>
  <c r="AG426" i="2"/>
  <c r="U426" i="2" s="1"/>
  <c r="AG410" i="2"/>
  <c r="U410" i="2" s="1"/>
  <c r="AG394" i="2"/>
  <c r="U394" i="2" s="1"/>
  <c r="AG443" i="2"/>
  <c r="U443" i="2" s="1"/>
  <c r="AG427" i="2"/>
  <c r="U427" i="2" s="1"/>
  <c r="AG411" i="2"/>
  <c r="U411" i="2" s="1"/>
  <c r="AG395" i="2"/>
  <c r="U395" i="2" s="1"/>
  <c r="AG545" i="2"/>
  <c r="U545" i="2" s="1"/>
  <c r="AG444" i="2"/>
  <c r="U444" i="2" s="1"/>
  <c r="AG428" i="2"/>
  <c r="U428" i="2" s="1"/>
  <c r="AG412" i="2"/>
  <c r="U412" i="2" s="1"/>
  <c r="AG396" i="2"/>
  <c r="U396" i="2" s="1"/>
  <c r="AG532" i="2"/>
  <c r="U532" i="2" s="1"/>
  <c r="AG485" i="2"/>
  <c r="U485" i="2" s="1"/>
  <c r="AG459" i="2"/>
  <c r="U459" i="2" s="1"/>
  <c r="AG445" i="2"/>
  <c r="U445" i="2" s="1"/>
  <c r="AG429" i="2"/>
  <c r="U429" i="2" s="1"/>
  <c r="AG413" i="2"/>
  <c r="U413" i="2" s="1"/>
  <c r="AG489" i="2"/>
  <c r="U489" i="2" s="1"/>
  <c r="AG446" i="2"/>
  <c r="U446" i="2" s="1"/>
  <c r="AG430" i="2"/>
  <c r="U430" i="2" s="1"/>
  <c r="AG414" i="2"/>
  <c r="U414" i="2" s="1"/>
  <c r="AG398" i="2"/>
  <c r="U398" i="2" s="1"/>
  <c r="AG524" i="2"/>
  <c r="U524" i="2" s="1"/>
  <c r="AG472" i="2"/>
  <c r="U472" i="2" s="1"/>
  <c r="AG452" i="2"/>
  <c r="U452" i="2" s="1"/>
  <c r="AG447" i="2"/>
  <c r="U447" i="2" s="1"/>
  <c r="AG431" i="2"/>
  <c r="U431" i="2" s="1"/>
  <c r="AG415" i="2"/>
  <c r="U415" i="2" s="1"/>
  <c r="AG479" i="2"/>
  <c r="U479" i="2" s="1"/>
  <c r="AG456" i="2"/>
  <c r="U456" i="2" s="1"/>
  <c r="AG448" i="2"/>
  <c r="U448" i="2" s="1"/>
  <c r="AG432" i="2"/>
  <c r="U432" i="2" s="1"/>
  <c r="AG416" i="2"/>
  <c r="U416" i="2" s="1"/>
  <c r="AG400" i="2"/>
  <c r="U400" i="2" s="1"/>
  <c r="AG466" i="2"/>
  <c r="U466" i="2" s="1"/>
  <c r="AG449" i="2"/>
  <c r="U449" i="2" s="1"/>
  <c r="AG433" i="2"/>
  <c r="U433" i="2" s="1"/>
  <c r="AG401" i="2"/>
  <c r="U401" i="2" s="1"/>
  <c r="AG454" i="2"/>
  <c r="U454" i="2" s="1"/>
  <c r="AG450" i="2"/>
  <c r="U450" i="2" s="1"/>
  <c r="AG434" i="2"/>
  <c r="U434" i="2" s="1"/>
  <c r="AG418" i="2"/>
  <c r="U418" i="2" s="1"/>
  <c r="AG402" i="2"/>
  <c r="U402" i="2" s="1"/>
  <c r="AG435" i="2"/>
  <c r="U435" i="2" s="1"/>
  <c r="AG391" i="2"/>
  <c r="U391" i="2" s="1"/>
  <c r="AG363" i="2"/>
  <c r="U363" i="2" s="1"/>
  <c r="AG347" i="2"/>
  <c r="U347" i="2" s="1"/>
  <c r="AG331" i="2"/>
  <c r="U331" i="2" s="1"/>
  <c r="AG419" i="2"/>
  <c r="U419" i="2" s="1"/>
  <c r="AG380" i="2"/>
  <c r="U380" i="2" s="1"/>
  <c r="AG364" i="2"/>
  <c r="U364" i="2" s="1"/>
  <c r="AG348" i="2"/>
  <c r="U348" i="2" s="1"/>
  <c r="AG381" i="2"/>
  <c r="U381" i="2" s="1"/>
  <c r="AG365" i="2"/>
  <c r="U365" i="2" s="1"/>
  <c r="AG349" i="2"/>
  <c r="U349" i="2" s="1"/>
  <c r="AG436" i="2"/>
  <c r="U436" i="2" s="1"/>
  <c r="AG382" i="2"/>
  <c r="U382" i="2" s="1"/>
  <c r="AG366" i="2"/>
  <c r="U366" i="2" s="1"/>
  <c r="AG350" i="2"/>
  <c r="U350" i="2" s="1"/>
  <c r="AG334" i="2"/>
  <c r="U334" i="2" s="1"/>
  <c r="AG383" i="2"/>
  <c r="U383" i="2" s="1"/>
  <c r="AG367" i="2"/>
  <c r="U367" i="2" s="1"/>
  <c r="AG351" i="2"/>
  <c r="U351" i="2" s="1"/>
  <c r="AG405" i="2"/>
  <c r="U405" i="2" s="1"/>
  <c r="AG389" i="2"/>
  <c r="U389" i="2" s="1"/>
  <c r="AG384" i="2"/>
  <c r="U384" i="2" s="1"/>
  <c r="AG368" i="2"/>
  <c r="U368" i="2" s="1"/>
  <c r="AG352" i="2"/>
  <c r="U352" i="2" s="1"/>
  <c r="AG336" i="2"/>
  <c r="U336" i="2" s="1"/>
  <c r="AG462" i="2"/>
  <c r="U462" i="2" s="1"/>
  <c r="AG404" i="2"/>
  <c r="U404" i="2" s="1"/>
  <c r="AG385" i="2"/>
  <c r="U385" i="2" s="1"/>
  <c r="AG369" i="2"/>
  <c r="U369" i="2" s="1"/>
  <c r="AG353" i="2"/>
  <c r="U353" i="2" s="1"/>
  <c r="AG399" i="2"/>
  <c r="U399" i="2" s="1"/>
  <c r="AG386" i="2"/>
  <c r="U386" i="2" s="1"/>
  <c r="AG370" i="2"/>
  <c r="U370" i="2" s="1"/>
  <c r="AG354" i="2"/>
  <c r="U354" i="2" s="1"/>
  <c r="AG338" i="2"/>
  <c r="U338" i="2" s="1"/>
  <c r="AG371" i="2"/>
  <c r="U371" i="2" s="1"/>
  <c r="AG355" i="2"/>
  <c r="U355" i="2" s="1"/>
  <c r="AG420" i="2"/>
  <c r="U420" i="2" s="1"/>
  <c r="AG403" i="2"/>
  <c r="U403" i="2" s="1"/>
  <c r="AG387" i="2"/>
  <c r="U387" i="2" s="1"/>
  <c r="AG372" i="2"/>
  <c r="U372" i="2" s="1"/>
  <c r="AG356" i="2"/>
  <c r="U356" i="2" s="1"/>
  <c r="AG340" i="2"/>
  <c r="U340" i="2" s="1"/>
  <c r="AG393" i="2"/>
  <c r="U393" i="2" s="1"/>
  <c r="AG357" i="2"/>
  <c r="U357" i="2" s="1"/>
  <c r="AG374" i="2"/>
  <c r="U374" i="2" s="1"/>
  <c r="AG358" i="2"/>
  <c r="U358" i="2" s="1"/>
  <c r="AG342" i="2"/>
  <c r="U342" i="2" s="1"/>
  <c r="AG326" i="2"/>
  <c r="U326" i="2" s="1"/>
  <c r="AG397" i="2"/>
  <c r="U397" i="2" s="1"/>
  <c r="AG375" i="2"/>
  <c r="U375" i="2" s="1"/>
  <c r="AG359" i="2"/>
  <c r="U359" i="2" s="1"/>
  <c r="AG343" i="2"/>
  <c r="U343" i="2" s="1"/>
  <c r="AG327" i="2"/>
  <c r="U327" i="2" s="1"/>
  <c r="AG376" i="2"/>
  <c r="U376" i="2" s="1"/>
  <c r="AG360" i="2"/>
  <c r="U360" i="2" s="1"/>
  <c r="AG344" i="2"/>
  <c r="U344" i="2" s="1"/>
  <c r="AG388" i="2"/>
  <c r="U388" i="2" s="1"/>
  <c r="AG377" i="2"/>
  <c r="U377" i="2" s="1"/>
  <c r="AG345" i="2"/>
  <c r="U345" i="2" s="1"/>
  <c r="AG318" i="2"/>
  <c r="U318" i="2" s="1"/>
  <c r="AG286" i="2"/>
  <c r="U286" i="2" s="1"/>
  <c r="AG269" i="2"/>
  <c r="U269" i="2" s="1"/>
  <c r="AG341" i="2"/>
  <c r="U341" i="2" s="1"/>
  <c r="AG328" i="2"/>
  <c r="U328" i="2" s="1"/>
  <c r="AG319" i="2"/>
  <c r="U319" i="2" s="1"/>
  <c r="AG303" i="2"/>
  <c r="U303" i="2" s="1"/>
  <c r="AG287" i="2"/>
  <c r="U287" i="2" s="1"/>
  <c r="AG323" i="2"/>
  <c r="U323" i="2" s="1"/>
  <c r="AG304" i="2"/>
  <c r="U304" i="2" s="1"/>
  <c r="AG288" i="2"/>
  <c r="U288" i="2" s="1"/>
  <c r="AG271" i="2"/>
  <c r="U271" i="2" s="1"/>
  <c r="AG333" i="2"/>
  <c r="U333" i="2" s="1"/>
  <c r="AG330" i="2"/>
  <c r="U330" i="2" s="1"/>
  <c r="AG321" i="2"/>
  <c r="U321" i="2" s="1"/>
  <c r="AG306" i="2"/>
  <c r="U306" i="2" s="1"/>
  <c r="AG290" i="2"/>
  <c r="U290" i="2" s="1"/>
  <c r="AG273" i="2"/>
  <c r="U273" i="2" s="1"/>
  <c r="AG307" i="2"/>
  <c r="U307" i="2" s="1"/>
  <c r="AG291" i="2"/>
  <c r="U291" i="2" s="1"/>
  <c r="AG378" i="2"/>
  <c r="U378" i="2" s="1"/>
  <c r="AG308" i="2"/>
  <c r="U308" i="2" s="1"/>
  <c r="AG292" i="2"/>
  <c r="U292" i="2" s="1"/>
  <c r="AG346" i="2"/>
  <c r="U346" i="2" s="1"/>
  <c r="AG332" i="2"/>
  <c r="U332" i="2" s="1"/>
  <c r="AG293" i="2"/>
  <c r="U293" i="2" s="1"/>
  <c r="AG277" i="2"/>
  <c r="U277" i="2" s="1"/>
  <c r="AG276" i="2"/>
  <c r="U276" i="2" s="1"/>
  <c r="AG260" i="2"/>
  <c r="U260" i="2" s="1"/>
  <c r="AG329" i="2"/>
  <c r="U329" i="2" s="1"/>
  <c r="AG310" i="2"/>
  <c r="U310" i="2" s="1"/>
  <c r="AG294" i="2"/>
  <c r="U294" i="2" s="1"/>
  <c r="AG278" i="2"/>
  <c r="U278" i="2" s="1"/>
  <c r="AG362" i="2"/>
  <c r="U362" i="2" s="1"/>
  <c r="AG337" i="2"/>
  <c r="U337" i="2" s="1"/>
  <c r="AG311" i="2"/>
  <c r="U311" i="2" s="1"/>
  <c r="AG295" i="2"/>
  <c r="U295" i="2" s="1"/>
  <c r="AG279" i="2"/>
  <c r="U279" i="2" s="1"/>
  <c r="AG322" i="2"/>
  <c r="U322" i="2" s="1"/>
  <c r="AG312" i="2"/>
  <c r="U312" i="2" s="1"/>
  <c r="AG296" i="2"/>
  <c r="U296" i="2" s="1"/>
  <c r="AG280" i="2"/>
  <c r="U280" i="2" s="1"/>
  <c r="AG325" i="2"/>
  <c r="U325" i="2" s="1"/>
  <c r="AG313" i="2"/>
  <c r="U313" i="2" s="1"/>
  <c r="AG297" i="2"/>
  <c r="U297" i="2" s="1"/>
  <c r="AG281" i="2"/>
  <c r="U281" i="2" s="1"/>
  <c r="AG264" i="2"/>
  <c r="U264" i="2" s="1"/>
  <c r="AG421" i="2"/>
  <c r="U421" i="2" s="1"/>
  <c r="AG339" i="2"/>
  <c r="U339" i="2" s="1"/>
  <c r="AG314" i="2"/>
  <c r="U314" i="2" s="1"/>
  <c r="AG282" i="2"/>
  <c r="U282" i="2" s="1"/>
  <c r="AG315" i="2"/>
  <c r="U315" i="2" s="1"/>
  <c r="AG299" i="2"/>
  <c r="U299" i="2" s="1"/>
  <c r="AG266" i="2"/>
  <c r="U266" i="2" s="1"/>
  <c r="AG335" i="2"/>
  <c r="U335" i="2" s="1"/>
  <c r="AG324" i="2"/>
  <c r="U324" i="2" s="1"/>
  <c r="AG316" i="2"/>
  <c r="U316" i="2" s="1"/>
  <c r="AG300" i="2"/>
  <c r="U300" i="2" s="1"/>
  <c r="AG284" i="2"/>
  <c r="U284" i="2" s="1"/>
  <c r="AG267" i="2"/>
  <c r="U267" i="2" s="1"/>
  <c r="AG301" i="2"/>
  <c r="U301" i="2" s="1"/>
  <c r="AG275" i="2"/>
  <c r="U275" i="2" s="1"/>
  <c r="AG247" i="2"/>
  <c r="U247" i="2" s="1"/>
  <c r="AG230" i="2"/>
  <c r="U230" i="2" s="1"/>
  <c r="AG272" i="2"/>
  <c r="U272" i="2" s="1"/>
  <c r="AG248" i="2"/>
  <c r="U248" i="2" s="1"/>
  <c r="AG231" i="2"/>
  <c r="U231" i="2" s="1"/>
  <c r="AG215" i="2"/>
  <c r="U215" i="2" s="1"/>
  <c r="AG198" i="2"/>
  <c r="U198" i="2" s="1"/>
  <c r="AG249" i="2"/>
  <c r="U249" i="2" s="1"/>
  <c r="AG232" i="2"/>
  <c r="U232" i="2" s="1"/>
  <c r="AG216" i="2"/>
  <c r="U216" i="2" s="1"/>
  <c r="AG285" i="2"/>
  <c r="U285" i="2" s="1"/>
  <c r="AG262" i="2"/>
  <c r="U262" i="2" s="1"/>
  <c r="AG250" i="2"/>
  <c r="U250" i="2" s="1"/>
  <c r="AG233" i="2"/>
  <c r="U233" i="2" s="1"/>
  <c r="AG217" i="2"/>
  <c r="U217" i="2" s="1"/>
  <c r="AG200" i="2"/>
  <c r="U200" i="2" s="1"/>
  <c r="AG270" i="2"/>
  <c r="U270" i="2" s="1"/>
  <c r="AG251" i="2"/>
  <c r="U251" i="2" s="1"/>
  <c r="AG234" i="2"/>
  <c r="U234" i="2" s="1"/>
  <c r="AG218" i="2"/>
  <c r="U218" i="2" s="1"/>
  <c r="AG201" i="2"/>
  <c r="U201" i="2" s="1"/>
  <c r="AG252" i="2"/>
  <c r="U252" i="2" s="1"/>
  <c r="AG235" i="2"/>
  <c r="U235" i="2" s="1"/>
  <c r="AG219" i="2"/>
  <c r="U219" i="2" s="1"/>
  <c r="AG259" i="2"/>
  <c r="U259" i="2" s="1"/>
  <c r="AG236" i="2"/>
  <c r="U236" i="2" s="1"/>
  <c r="AG265" i="2"/>
  <c r="U265" i="2" s="1"/>
  <c r="AG254" i="2"/>
  <c r="U254" i="2" s="1"/>
  <c r="AG221" i="2"/>
  <c r="U221" i="2" s="1"/>
  <c r="AG263" i="2"/>
  <c r="U263" i="2" s="1"/>
  <c r="AG255" i="2"/>
  <c r="U255" i="2" s="1"/>
  <c r="AG222" i="2"/>
  <c r="U222" i="2" s="1"/>
  <c r="AG206" i="2"/>
  <c r="U206" i="2" s="1"/>
  <c r="AG205" i="2"/>
  <c r="U205" i="2" s="1"/>
  <c r="AG317" i="2"/>
  <c r="U317" i="2" s="1"/>
  <c r="AG256" i="2"/>
  <c r="U256" i="2" s="1"/>
  <c r="AG240" i="2"/>
  <c r="U240" i="2" s="1"/>
  <c r="AG239" i="2"/>
  <c r="U239" i="2" s="1"/>
  <c r="AG223" i="2"/>
  <c r="U223" i="2" s="1"/>
  <c r="AG207" i="2"/>
  <c r="U207" i="2" s="1"/>
  <c r="AG257" i="2"/>
  <c r="U257" i="2" s="1"/>
  <c r="AG241" i="2"/>
  <c r="U241" i="2" s="1"/>
  <c r="AG224" i="2"/>
  <c r="U224" i="2" s="1"/>
  <c r="AG208" i="2"/>
  <c r="U208" i="2" s="1"/>
  <c r="AG274" i="2"/>
  <c r="U274" i="2" s="1"/>
  <c r="AG242" i="2"/>
  <c r="U242" i="2" s="1"/>
  <c r="AG209" i="2"/>
  <c r="U209" i="2" s="1"/>
  <c r="AG243" i="2"/>
  <c r="U243" i="2" s="1"/>
  <c r="AG226" i="2"/>
  <c r="U226" i="2" s="1"/>
  <c r="AG210" i="2"/>
  <c r="U210" i="2" s="1"/>
  <c r="AG261" i="2"/>
  <c r="U261" i="2" s="1"/>
  <c r="AG244" i="2"/>
  <c r="U244" i="2" s="1"/>
  <c r="AG268" i="2"/>
  <c r="U268" i="2" s="1"/>
  <c r="AG245" i="2"/>
  <c r="U245" i="2" s="1"/>
  <c r="AG228" i="2"/>
  <c r="U228" i="2" s="1"/>
  <c r="AG190" i="2"/>
  <c r="U190" i="2" s="1"/>
  <c r="AG173" i="2"/>
  <c r="U173" i="2" s="1"/>
  <c r="AG157" i="2"/>
  <c r="U157" i="2" s="1"/>
  <c r="AG141" i="2"/>
  <c r="U141" i="2" s="1"/>
  <c r="AG191" i="2"/>
  <c r="U191" i="2" s="1"/>
  <c r="AG174" i="2"/>
  <c r="U174" i="2" s="1"/>
  <c r="AG158" i="2"/>
  <c r="U158" i="2" s="1"/>
  <c r="AG142" i="2"/>
  <c r="U142" i="2" s="1"/>
  <c r="AG258" i="2"/>
  <c r="U258" i="2" s="1"/>
  <c r="AG197" i="2"/>
  <c r="U197" i="2" s="1"/>
  <c r="AG192" i="2"/>
  <c r="U192" i="2" s="1"/>
  <c r="AG159" i="2"/>
  <c r="U159" i="2" s="1"/>
  <c r="AG143" i="2"/>
  <c r="U143" i="2" s="1"/>
  <c r="AG193" i="2"/>
  <c r="U193" i="2" s="1"/>
  <c r="AG176" i="2"/>
  <c r="U176" i="2" s="1"/>
  <c r="AG160" i="2"/>
  <c r="U160" i="2" s="1"/>
  <c r="AG144" i="2"/>
  <c r="U144" i="2" s="1"/>
  <c r="AG289" i="2"/>
  <c r="U289" i="2" s="1"/>
  <c r="AG194" i="2"/>
  <c r="U194" i="2" s="1"/>
  <c r="AG177" i="2"/>
  <c r="U177" i="2" s="1"/>
  <c r="AG161" i="2"/>
  <c r="U161" i="2" s="1"/>
  <c r="AG196" i="2"/>
  <c r="U196" i="2" s="1"/>
  <c r="AG178" i="2"/>
  <c r="U178" i="2" s="1"/>
  <c r="AG162" i="2"/>
  <c r="U162" i="2" s="1"/>
  <c r="AG146" i="2"/>
  <c r="U146" i="2" s="1"/>
  <c r="AG163" i="2"/>
  <c r="U163" i="2" s="1"/>
  <c r="AG147" i="2"/>
  <c r="U147" i="2" s="1"/>
  <c r="AG131" i="2"/>
  <c r="U131" i="2" s="1"/>
  <c r="AG246" i="2"/>
  <c r="U246" i="2" s="1"/>
  <c r="AG180" i="2"/>
  <c r="U180" i="2" s="1"/>
  <c r="AG164" i="2"/>
  <c r="U164" i="2" s="1"/>
  <c r="AG214" i="2"/>
  <c r="U214" i="2" s="1"/>
  <c r="AG199" i="2"/>
  <c r="U199" i="2" s="1"/>
  <c r="AG181" i="2"/>
  <c r="U181" i="2" s="1"/>
  <c r="AG165" i="2"/>
  <c r="U165" i="2" s="1"/>
  <c r="AG149" i="2"/>
  <c r="U149" i="2" s="1"/>
  <c r="AG195" i="2"/>
  <c r="U195" i="2" s="1"/>
  <c r="AG182" i="2"/>
  <c r="U182" i="2" s="1"/>
  <c r="AG166" i="2"/>
  <c r="U166" i="2" s="1"/>
  <c r="AG150" i="2"/>
  <c r="U150" i="2" s="1"/>
  <c r="AG134" i="2"/>
  <c r="U134" i="2" s="1"/>
  <c r="AG227" i="2"/>
  <c r="U227" i="2" s="1"/>
  <c r="AG213" i="2"/>
  <c r="U213" i="2" s="1"/>
  <c r="AG183" i="2"/>
  <c r="U183" i="2" s="1"/>
  <c r="AG167" i="2"/>
  <c r="U167" i="2" s="1"/>
  <c r="AG212" i="2"/>
  <c r="U212" i="2" s="1"/>
  <c r="AG211" i="2"/>
  <c r="U211" i="2" s="1"/>
  <c r="AG184" i="2"/>
  <c r="U184" i="2" s="1"/>
  <c r="AG168" i="2"/>
  <c r="U168" i="2" s="1"/>
  <c r="AG229" i="2"/>
  <c r="U229" i="2" s="1"/>
  <c r="AG185" i="2"/>
  <c r="U185" i="2" s="1"/>
  <c r="AG169" i="2"/>
  <c r="U169" i="2" s="1"/>
  <c r="AG153" i="2"/>
  <c r="U153" i="2" s="1"/>
  <c r="AG137" i="2"/>
  <c r="U137" i="2" s="1"/>
  <c r="AG186" i="2"/>
  <c r="U186" i="2" s="1"/>
  <c r="AG170" i="2"/>
  <c r="U170" i="2" s="1"/>
  <c r="AG154" i="2"/>
  <c r="U154" i="2" s="1"/>
  <c r="AG138" i="2"/>
  <c r="U138" i="2" s="1"/>
  <c r="AG188" i="2"/>
  <c r="U188" i="2" s="1"/>
  <c r="AG171" i="2"/>
  <c r="U171" i="2" s="1"/>
  <c r="AG202" i="2"/>
  <c r="U202" i="2" s="1"/>
  <c r="AG125" i="2"/>
  <c r="U125" i="2" s="1"/>
  <c r="AG109" i="2"/>
  <c r="U109" i="2" s="1"/>
  <c r="AG93" i="2"/>
  <c r="U93" i="2" s="1"/>
  <c r="AG77" i="2"/>
  <c r="U77" i="2" s="1"/>
  <c r="AG126" i="2"/>
  <c r="U126" i="2" s="1"/>
  <c r="AG110" i="2"/>
  <c r="U110" i="2" s="1"/>
  <c r="AG127" i="2"/>
  <c r="U127" i="2" s="1"/>
  <c r="AG111" i="2"/>
  <c r="U111" i="2" s="1"/>
  <c r="AG95" i="2"/>
  <c r="U95" i="2" s="1"/>
  <c r="AG128" i="2"/>
  <c r="U128" i="2" s="1"/>
  <c r="AG112" i="2"/>
  <c r="U112" i="2" s="1"/>
  <c r="AG96" i="2"/>
  <c r="U96" i="2" s="1"/>
  <c r="AG172" i="2"/>
  <c r="U172" i="2" s="1"/>
  <c r="AG133" i="2"/>
  <c r="U133" i="2" s="1"/>
  <c r="AG113" i="2"/>
  <c r="U113" i="2" s="1"/>
  <c r="AG81" i="2"/>
  <c r="U81" i="2" s="1"/>
  <c r="AG135" i="2"/>
  <c r="U135" i="2" s="1"/>
  <c r="AG114" i="2"/>
  <c r="U114" i="2" s="1"/>
  <c r="AG98" i="2"/>
  <c r="U98" i="2" s="1"/>
  <c r="AG115" i="2"/>
  <c r="U115" i="2" s="1"/>
  <c r="AG99" i="2"/>
  <c r="U99" i="2" s="1"/>
  <c r="AG83" i="2"/>
  <c r="U83" i="2" s="1"/>
  <c r="AG145" i="2"/>
  <c r="U145" i="2" s="1"/>
  <c r="AG132" i="2"/>
  <c r="U132" i="2" s="1"/>
  <c r="AG116" i="2"/>
  <c r="U116" i="2" s="1"/>
  <c r="AG100" i="2"/>
  <c r="U100" i="2" s="1"/>
  <c r="AG117" i="2"/>
  <c r="U117" i="2" s="1"/>
  <c r="AG101" i="2"/>
  <c r="U101" i="2" s="1"/>
  <c r="AG85" i="2"/>
  <c r="U85" i="2" s="1"/>
  <c r="AG69" i="2"/>
  <c r="U69" i="2" s="1"/>
  <c r="AG152" i="2"/>
  <c r="U152" i="2" s="1"/>
  <c r="AG140" i="2"/>
  <c r="U140" i="2" s="1"/>
  <c r="AG136" i="2"/>
  <c r="U136" i="2" s="1"/>
  <c r="AG130" i="2"/>
  <c r="U130" i="2" s="1"/>
  <c r="AG118" i="2"/>
  <c r="U118" i="2" s="1"/>
  <c r="AG102" i="2"/>
  <c r="U102" i="2" s="1"/>
  <c r="AG86" i="2"/>
  <c r="U86" i="2" s="1"/>
  <c r="AG189" i="2"/>
  <c r="U189" i="2" s="1"/>
  <c r="AG155" i="2"/>
  <c r="U155" i="2" s="1"/>
  <c r="AG139" i="2"/>
  <c r="U139" i="2" s="1"/>
  <c r="AG103" i="2"/>
  <c r="U103" i="2" s="1"/>
  <c r="AG87" i="2"/>
  <c r="U87" i="2" s="1"/>
  <c r="AG151" i="2"/>
  <c r="U151" i="2" s="1"/>
  <c r="AG120" i="2"/>
  <c r="U120" i="2" s="1"/>
  <c r="AG104" i="2"/>
  <c r="U104" i="2" s="1"/>
  <c r="AG88" i="2"/>
  <c r="U88" i="2" s="1"/>
  <c r="AG121" i="2"/>
  <c r="U121" i="2" s="1"/>
  <c r="AG105" i="2"/>
  <c r="U105" i="2" s="1"/>
  <c r="AG89" i="2"/>
  <c r="U89" i="2" s="1"/>
  <c r="AG122" i="2"/>
  <c r="U122" i="2" s="1"/>
  <c r="AG106" i="2"/>
  <c r="U106" i="2" s="1"/>
  <c r="AG90" i="2"/>
  <c r="U90" i="2" s="1"/>
  <c r="AG156" i="2"/>
  <c r="U156" i="2" s="1"/>
  <c r="AG91" i="2"/>
  <c r="U91" i="2" s="1"/>
  <c r="AG75" i="2"/>
  <c r="U75" i="2" s="1"/>
  <c r="AG108" i="2"/>
  <c r="U108" i="2" s="1"/>
  <c r="AG73" i="2"/>
  <c r="U73" i="2" s="1"/>
  <c r="AG41" i="2"/>
  <c r="U41" i="2" s="1"/>
  <c r="AG25" i="2"/>
  <c r="U25" i="2" s="1"/>
  <c r="AG9" i="2"/>
  <c r="U9" i="2" s="1"/>
  <c r="AG80" i="2"/>
  <c r="U80" i="2" s="1"/>
  <c r="AG58" i="2"/>
  <c r="U58" i="2" s="1"/>
  <c r="AG42" i="2"/>
  <c r="U42" i="2" s="1"/>
  <c r="AG26" i="2"/>
  <c r="U26" i="2" s="1"/>
  <c r="AG72" i="2"/>
  <c r="U72" i="2" s="1"/>
  <c r="AG59" i="2"/>
  <c r="U59" i="2" s="1"/>
  <c r="AG43" i="2"/>
  <c r="U43" i="2" s="1"/>
  <c r="AG27" i="2"/>
  <c r="U27" i="2" s="1"/>
  <c r="AG11" i="2"/>
  <c r="U11" i="2" s="1"/>
  <c r="AG84" i="2"/>
  <c r="U84" i="2" s="1"/>
  <c r="AG82" i="2"/>
  <c r="U82" i="2" s="1"/>
  <c r="AG68" i="2"/>
  <c r="U68" i="2" s="1"/>
  <c r="AG60" i="2"/>
  <c r="U60" i="2" s="1"/>
  <c r="AG44" i="2"/>
  <c r="U44" i="2" s="1"/>
  <c r="AG61" i="2"/>
  <c r="U61" i="2" s="1"/>
  <c r="AG45" i="2"/>
  <c r="U45" i="2" s="1"/>
  <c r="AG29" i="2"/>
  <c r="U29" i="2" s="1"/>
  <c r="AG62" i="2"/>
  <c r="U62" i="2" s="1"/>
  <c r="AG46" i="2"/>
  <c r="U46" i="2" s="1"/>
  <c r="AG30" i="2"/>
  <c r="U30" i="2" s="1"/>
  <c r="AG92" i="2"/>
  <c r="U92" i="2" s="1"/>
  <c r="AG63" i="2"/>
  <c r="U63" i="2" s="1"/>
  <c r="AG47" i="2"/>
  <c r="U47" i="2" s="1"/>
  <c r="AG79" i="2"/>
  <c r="U79" i="2" s="1"/>
  <c r="AG76" i="2"/>
  <c r="U76" i="2" s="1"/>
  <c r="AG71" i="2"/>
  <c r="U71" i="2" s="1"/>
  <c r="AG64" i="2"/>
  <c r="U64" i="2" s="1"/>
  <c r="AG48" i="2"/>
  <c r="U48" i="2" s="1"/>
  <c r="AG32" i="2"/>
  <c r="U32" i="2" s="1"/>
  <c r="AG16" i="2"/>
  <c r="U16" i="2" s="1"/>
  <c r="AG65" i="2"/>
  <c r="U65" i="2" s="1"/>
  <c r="AG49" i="2"/>
  <c r="U49" i="2" s="1"/>
  <c r="AG66" i="2"/>
  <c r="U66" i="2" s="1"/>
  <c r="AG50" i="2"/>
  <c r="U50" i="2" s="1"/>
  <c r="AG34" i="2"/>
  <c r="U34" i="2" s="1"/>
  <c r="AG51" i="2"/>
  <c r="U51" i="2" s="1"/>
  <c r="AG35" i="2"/>
  <c r="U35" i="2" s="1"/>
  <c r="AG19" i="2"/>
  <c r="U19" i="2" s="1"/>
  <c r="AG52" i="2"/>
  <c r="U52" i="2" s="1"/>
  <c r="AG36" i="2"/>
  <c r="U36" i="2" s="1"/>
  <c r="AG124" i="2"/>
  <c r="U124" i="2" s="1"/>
  <c r="AG53" i="2"/>
  <c r="U53" i="2" s="1"/>
  <c r="AG74" i="2"/>
  <c r="U74" i="2" s="1"/>
  <c r="AG70" i="2"/>
  <c r="U70" i="2" s="1"/>
  <c r="AG54" i="2"/>
  <c r="U54" i="2" s="1"/>
  <c r="AG22" i="2"/>
  <c r="U22" i="2" s="1"/>
  <c r="AG67" i="2"/>
  <c r="U67" i="2" s="1"/>
  <c r="AG55" i="2"/>
  <c r="U55" i="2" s="1"/>
  <c r="AG39" i="2"/>
  <c r="U39" i="2" s="1"/>
  <c r="AG23" i="2"/>
  <c r="U23" i="2" s="1"/>
  <c r="AG40" i="2"/>
  <c r="U40" i="2" s="1"/>
  <c r="AG17" i="2"/>
  <c r="U17" i="2" s="1"/>
  <c r="AG33" i="2"/>
  <c r="U33" i="2" s="1"/>
  <c r="AG21" i="2"/>
  <c r="U21" i="2" s="1"/>
  <c r="AG31" i="2"/>
  <c r="U31" i="2" s="1"/>
  <c r="AG12" i="2"/>
  <c r="U12" i="2" s="1"/>
  <c r="AG28" i="2"/>
  <c r="U28" i="2" s="1"/>
  <c r="AG13" i="2"/>
  <c r="U13" i="2" s="1"/>
  <c r="AG56" i="2"/>
  <c r="U56" i="2" s="1"/>
  <c r="AG24" i="2"/>
  <c r="U24" i="2" s="1"/>
  <c r="AG18" i="2"/>
  <c r="U18" i="2" s="1"/>
  <c r="AG10" i="2"/>
  <c r="U10" i="2" s="1"/>
  <c r="AG20" i="2"/>
  <c r="U20" i="2" s="1"/>
  <c r="AG15" i="2"/>
  <c r="U15" i="2" s="1"/>
  <c r="AQ145" i="2"/>
  <c r="AE145" i="2" s="1"/>
  <c r="S145" i="2" s="1"/>
  <c r="AQ245" i="2"/>
  <c r="AE245" i="2" s="1"/>
  <c r="S245" i="2" s="1"/>
  <c r="AQ50" i="2"/>
  <c r="AE50" i="2" s="1"/>
  <c r="S50" i="2" s="1"/>
  <c r="AQ504" i="2"/>
  <c r="AE504" i="2" s="1"/>
  <c r="S504" i="2" s="1"/>
  <c r="AQ197" i="2"/>
  <c r="AE197" i="2" s="1"/>
  <c r="S197" i="2" s="1"/>
  <c r="AQ159" i="2"/>
  <c r="AE159" i="2" s="1"/>
  <c r="S159" i="2" s="1"/>
  <c r="AQ578" i="2"/>
  <c r="AE578" i="2" s="1"/>
  <c r="S578" i="2" s="1"/>
  <c r="AQ655" i="2"/>
  <c r="AE655" i="2" s="1"/>
  <c r="S655" i="2" s="1"/>
  <c r="AQ317" i="2"/>
  <c r="AE317" i="2" s="1"/>
  <c r="S317" i="2" s="1"/>
  <c r="AQ549" i="2"/>
  <c r="AE549" i="2" s="1"/>
  <c r="S549" i="2" s="1"/>
  <c r="AQ89" i="2"/>
  <c r="AE89" i="2" s="1"/>
  <c r="S89" i="2" s="1"/>
  <c r="AQ116" i="2"/>
  <c r="AE116" i="2" s="1"/>
  <c r="S116" i="2" s="1"/>
  <c r="AQ463" i="2"/>
  <c r="AE463" i="2" s="1"/>
  <c r="S463" i="2" s="1"/>
  <c r="AQ532" i="2"/>
  <c r="AQ252" i="2"/>
  <c r="AE252" i="2" s="1"/>
  <c r="S252" i="2" s="1"/>
  <c r="AQ150" i="2"/>
  <c r="AE150" i="2" s="1"/>
  <c r="S150" i="2" s="1"/>
  <c r="AQ1183" i="2"/>
  <c r="AE1183" i="2" s="1"/>
  <c r="S1183" i="2" s="1"/>
  <c r="AQ1110" i="2"/>
  <c r="AE1110" i="2" s="1"/>
  <c r="S1110" i="2" s="1"/>
  <c r="AQ200" i="2"/>
  <c r="AE200" i="2" s="1"/>
  <c r="S200" i="2" s="1"/>
  <c r="AQ966" i="2"/>
  <c r="AE966" i="2" s="1"/>
  <c r="S966" i="2" s="1"/>
  <c r="AQ301" i="2"/>
  <c r="AE301" i="2" s="1"/>
  <c r="S301" i="2" s="1"/>
  <c r="AQ1090" i="2"/>
  <c r="AE1090" i="2" s="1"/>
  <c r="S1090" i="2" s="1"/>
  <c r="AQ558" i="2"/>
  <c r="AE558" i="2" s="1"/>
  <c r="S558" i="2" s="1"/>
  <c r="AQ1217" i="2"/>
  <c r="AE1217" i="2" s="1"/>
  <c r="S1217" i="2" s="1"/>
  <c r="AQ210" i="2"/>
  <c r="AE210" i="2" s="1"/>
  <c r="S210" i="2" s="1"/>
  <c r="AQ979" i="2"/>
  <c r="AE979" i="2" s="1"/>
  <c r="S979" i="2" s="1"/>
  <c r="AQ911" i="2"/>
  <c r="AE911" i="2" s="1"/>
  <c r="S911" i="2" s="1"/>
  <c r="AQ1086" i="2"/>
  <c r="AE1086" i="2" s="1"/>
  <c r="S1086" i="2" s="1"/>
  <c r="AQ938" i="2"/>
  <c r="AE938" i="2" s="1"/>
  <c r="S938" i="2" s="1"/>
  <c r="AQ372" i="2"/>
  <c r="AE372" i="2" s="1"/>
  <c r="S372" i="2" s="1"/>
  <c r="AQ869" i="2"/>
  <c r="AE869" i="2" s="1"/>
  <c r="S869" i="2" s="1"/>
  <c r="AQ1224" i="2"/>
  <c r="AE1224" i="2" s="1"/>
  <c r="S1224" i="2" s="1"/>
  <c r="AQ1029" i="2"/>
  <c r="AE1029" i="2" s="1"/>
  <c r="S1029" i="2" s="1"/>
  <c r="AQ505" i="2"/>
  <c r="AE505" i="2" s="1"/>
  <c r="S505" i="2" s="1"/>
  <c r="AQ922" i="2"/>
  <c r="AE922" i="2" s="1"/>
  <c r="S922" i="2" s="1"/>
  <c r="AQ665" i="2"/>
  <c r="AE665" i="2" s="1"/>
  <c r="S665" i="2" s="1"/>
  <c r="AQ1227" i="2"/>
  <c r="AE1227" i="2" s="1"/>
  <c r="S1227" i="2" s="1"/>
  <c r="AQ710" i="2"/>
  <c r="AE710" i="2" s="1"/>
  <c r="S710" i="2" s="1"/>
  <c r="AQ316" i="2"/>
  <c r="AE316" i="2" s="1"/>
  <c r="S316" i="2" s="1"/>
  <c r="AQ388" i="2"/>
  <c r="AE388" i="2" s="1"/>
  <c r="S388" i="2" s="1"/>
  <c r="AQ1259" i="2"/>
  <c r="AE1259" i="2" s="1"/>
  <c r="S1259" i="2" s="1"/>
  <c r="AQ1107" i="2"/>
  <c r="AE1107" i="2" s="1"/>
  <c r="S1107" i="2" s="1"/>
  <c r="AQ793" i="2"/>
  <c r="AE793" i="2" s="1"/>
  <c r="S793" i="2" s="1"/>
  <c r="AQ983" i="2"/>
  <c r="AE983" i="2" s="1"/>
  <c r="S983" i="2" s="1"/>
  <c r="AQ871" i="2"/>
  <c r="AE871" i="2" s="1"/>
  <c r="S871" i="2" s="1"/>
  <c r="AQ864" i="2"/>
  <c r="AE864" i="2" s="1"/>
  <c r="S864" i="2" s="1"/>
  <c r="AQ1126" i="2"/>
  <c r="AE1126" i="2" s="1"/>
  <c r="S1126" i="2" s="1"/>
  <c r="AQ937" i="2"/>
  <c r="AE937" i="2" s="1"/>
  <c r="S937" i="2" s="1"/>
  <c r="AQ739" i="2"/>
  <c r="AE739" i="2" s="1"/>
  <c r="S739" i="2" s="1"/>
  <c r="AQ918" i="2"/>
  <c r="AE918" i="2" s="1"/>
  <c r="S918" i="2" s="1"/>
  <c r="AQ1070" i="2"/>
  <c r="AE1070" i="2" s="1"/>
  <c r="S1070" i="2" s="1"/>
  <c r="AQ920" i="2"/>
  <c r="AE920" i="2" s="1"/>
  <c r="S920" i="2" s="1"/>
  <c r="AQ1007" i="2"/>
  <c r="AE1007" i="2" s="1"/>
  <c r="S1007" i="2" s="1"/>
  <c r="AQ874" i="2"/>
  <c r="AE874" i="2" s="1"/>
  <c r="S874" i="2" s="1"/>
  <c r="AQ1016" i="2"/>
  <c r="AE1016" i="2" s="1"/>
  <c r="S1016" i="2" s="1"/>
  <c r="AQ1196" i="2"/>
  <c r="AE1196" i="2" s="1"/>
  <c r="S1196" i="2" s="1"/>
  <c r="AQ1241" i="2"/>
  <c r="AE1241" i="2" s="1"/>
  <c r="S1241" i="2" s="1"/>
  <c r="AQ1159" i="2"/>
  <c r="AE1159" i="2" s="1"/>
  <c r="S1159" i="2" s="1"/>
  <c r="AQ531" i="2"/>
  <c r="AE531" i="2" s="1"/>
  <c r="S531" i="2" s="1"/>
  <c r="AQ173" i="2"/>
  <c r="AE173" i="2" s="1"/>
  <c r="S173" i="2" s="1"/>
  <c r="AQ312" i="2"/>
  <c r="AE312" i="2" s="1"/>
  <c r="S312" i="2" s="1"/>
  <c r="AQ325" i="2"/>
  <c r="AE325" i="2" s="1"/>
  <c r="S325" i="2" s="1"/>
  <c r="AQ287" i="2"/>
  <c r="AE287" i="2" s="1"/>
  <c r="S287" i="2" s="1"/>
  <c r="AQ231" i="2"/>
  <c r="AE231" i="2" s="1"/>
  <c r="S231" i="2" s="1"/>
  <c r="AQ213" i="2"/>
  <c r="AE213" i="2" s="1"/>
  <c r="S213" i="2" s="1"/>
  <c r="AQ679" i="2"/>
  <c r="AE679" i="2" s="1"/>
  <c r="S679" i="2" s="1"/>
  <c r="AQ170" i="2"/>
  <c r="AE170" i="2" s="1"/>
  <c r="S170" i="2" s="1"/>
  <c r="AQ307" i="2"/>
  <c r="AE307" i="2" s="1"/>
  <c r="S307" i="2" s="1"/>
  <c r="AQ743" i="2"/>
  <c r="AQ689" i="2"/>
  <c r="AE689" i="2" s="1"/>
  <c r="S689" i="2" s="1"/>
  <c r="AQ774" i="2"/>
  <c r="AE774" i="2" s="1"/>
  <c r="S774" i="2" s="1"/>
  <c r="AQ321" i="2"/>
  <c r="AE321" i="2" s="1"/>
  <c r="S321" i="2" s="1"/>
  <c r="AQ406" i="2"/>
  <c r="AE406" i="2" s="1"/>
  <c r="S406" i="2" s="1"/>
  <c r="AQ123" i="2"/>
  <c r="AE123" i="2" s="1"/>
  <c r="S123" i="2" s="1"/>
  <c r="AQ44" i="2"/>
  <c r="AQ17" i="2"/>
  <c r="AE17" i="2" s="1"/>
  <c r="S17" i="2" s="1"/>
  <c r="AQ94" i="2"/>
  <c r="AE94" i="2" s="1"/>
  <c r="S94" i="2" s="1"/>
  <c r="AQ201" i="2"/>
  <c r="AE201" i="2" s="1"/>
  <c r="S201" i="2" s="1"/>
  <c r="AU315" i="2"/>
  <c r="AI315" i="2" s="1"/>
  <c r="W315" i="2" s="1"/>
  <c r="AU198" i="2"/>
  <c r="AI198" i="2" s="1"/>
  <c r="W198" i="2" s="1"/>
  <c r="AU651" i="2"/>
  <c r="AI651" i="2" s="1"/>
  <c r="W651" i="2" s="1"/>
  <c r="AU184" i="2"/>
  <c r="AI184" i="2" s="1"/>
  <c r="W184" i="2" s="1"/>
  <c r="AU541" i="2"/>
  <c r="AI541" i="2" s="1"/>
  <c r="W541" i="2" s="1"/>
  <c r="AU175" i="2"/>
  <c r="AI175" i="2" s="1"/>
  <c r="W175" i="2" s="1"/>
  <c r="AU404" i="2"/>
  <c r="AI404" i="2" s="1"/>
  <c r="W404" i="2" s="1"/>
  <c r="AU412" i="2"/>
  <c r="AI412" i="2" s="1"/>
  <c r="W412" i="2" s="1"/>
  <c r="AU168" i="2"/>
  <c r="AI168" i="2" s="1"/>
  <c r="W168" i="2" s="1"/>
  <c r="AU281" i="2"/>
  <c r="AI281" i="2" s="1"/>
  <c r="W281" i="2" s="1"/>
  <c r="AU159" i="2"/>
  <c r="AI159" i="2" s="1"/>
  <c r="W159" i="2" s="1"/>
  <c r="AU906" i="2"/>
  <c r="AI906" i="2" s="1"/>
  <c r="W906" i="2" s="1"/>
  <c r="AU1231" i="2"/>
  <c r="AI1231" i="2" s="1"/>
  <c r="W1231" i="2" s="1"/>
  <c r="AU432" i="2"/>
  <c r="AI432" i="2" s="1"/>
  <c r="W432" i="2" s="1"/>
  <c r="AU749" i="2"/>
  <c r="AI749" i="2" s="1"/>
  <c r="W749" i="2" s="1"/>
  <c r="AU836" i="2"/>
  <c r="AI836" i="2" s="1"/>
  <c r="W836" i="2" s="1"/>
  <c r="AU699" i="2"/>
  <c r="AI699" i="2" s="1"/>
  <c r="W699" i="2" s="1"/>
  <c r="AU875" i="2"/>
  <c r="AI875" i="2" s="1"/>
  <c r="W875" i="2" s="1"/>
  <c r="AU766" i="2"/>
  <c r="AI766" i="2" s="1"/>
  <c r="W766" i="2" s="1"/>
  <c r="AU73" i="2"/>
  <c r="AI73" i="2" s="1"/>
  <c r="W73" i="2" s="1"/>
  <c r="AU682" i="2"/>
  <c r="AI682" i="2" s="1"/>
  <c r="W682" i="2" s="1"/>
  <c r="AU757" i="2"/>
  <c r="AI757" i="2" s="1"/>
  <c r="W757" i="2" s="1"/>
  <c r="AU351" i="2"/>
  <c r="AI351" i="2" s="1"/>
  <c r="W351" i="2" s="1"/>
  <c r="AU687" i="2"/>
  <c r="AI687" i="2" s="1"/>
  <c r="W687" i="2" s="1"/>
  <c r="AU1020" i="2"/>
  <c r="AI1020" i="2" s="1"/>
  <c r="W1020" i="2" s="1"/>
  <c r="AU937" i="2"/>
  <c r="AI937" i="2" s="1"/>
  <c r="W937" i="2" s="1"/>
  <c r="AU1189" i="2"/>
  <c r="AI1189" i="2" s="1"/>
  <c r="W1189" i="2" s="1"/>
  <c r="AU1141" i="2"/>
  <c r="AI1141" i="2" s="1"/>
  <c r="W1141" i="2" s="1"/>
  <c r="AU804" i="2"/>
  <c r="AI804" i="2" s="1"/>
  <c r="W804" i="2" s="1"/>
  <c r="AU1129" i="2"/>
  <c r="AI1129" i="2" s="1"/>
  <c r="W1129" i="2" s="1"/>
  <c r="AU811" i="2"/>
  <c r="AI811" i="2" s="1"/>
  <c r="W811" i="2" s="1"/>
  <c r="AU714" i="2"/>
  <c r="AI714" i="2" s="1"/>
  <c r="W714" i="2" s="1"/>
  <c r="AU603" i="2"/>
  <c r="AI603" i="2" s="1"/>
  <c r="W603" i="2" s="1"/>
  <c r="AU1104" i="2"/>
  <c r="AI1104" i="2" s="1"/>
  <c r="W1104" i="2" s="1"/>
  <c r="AU1251" i="2"/>
  <c r="AU205" i="2"/>
  <c r="AI205" i="2" s="1"/>
  <c r="W205" i="2" s="1"/>
  <c r="AU895" i="2"/>
  <c r="AI895" i="2" s="1"/>
  <c r="W895" i="2" s="1"/>
  <c r="AU1202" i="2"/>
  <c r="AU395" i="2"/>
  <c r="AI395" i="2" s="1"/>
  <c r="W395" i="2" s="1"/>
  <c r="AU1144" i="2"/>
  <c r="AI1144" i="2" s="1"/>
  <c r="W1144" i="2" s="1"/>
  <c r="AU1193" i="2"/>
  <c r="AI1193" i="2" s="1"/>
  <c r="W1193" i="2" s="1"/>
  <c r="AU661" i="2"/>
  <c r="AI661" i="2" s="1"/>
  <c r="W661" i="2" s="1"/>
  <c r="AU1023" i="2"/>
  <c r="AI1023" i="2" s="1"/>
  <c r="W1023" i="2" s="1"/>
  <c r="AU1089" i="2"/>
  <c r="AI1089" i="2" s="1"/>
  <c r="W1089" i="2" s="1"/>
  <c r="AU1262" i="2"/>
  <c r="AI1262" i="2" s="1"/>
  <c r="W1262" i="2" s="1"/>
  <c r="AU357" i="2"/>
  <c r="AI357" i="2" s="1"/>
  <c r="W357" i="2" s="1"/>
  <c r="AU1056" i="2"/>
  <c r="AU945" i="2"/>
  <c r="AI945" i="2" s="1"/>
  <c r="W945" i="2" s="1"/>
  <c r="AU516" i="2"/>
  <c r="AI516" i="2" s="1"/>
  <c r="W516" i="2" s="1"/>
  <c r="AU679" i="2"/>
  <c r="AI679" i="2" s="1"/>
  <c r="W679" i="2" s="1"/>
  <c r="AU827" i="2"/>
  <c r="AI827" i="2" s="1"/>
  <c r="W827" i="2" s="1"/>
  <c r="AU791" i="2"/>
  <c r="AU468" i="2"/>
  <c r="AU737" i="2"/>
  <c r="AI737" i="2" s="1"/>
  <c r="W737" i="2" s="1"/>
  <c r="AU284" i="2"/>
  <c r="AI284" i="2" s="1"/>
  <c r="W284" i="2" s="1"/>
  <c r="AU511" i="2"/>
  <c r="AI511" i="2" s="1"/>
  <c r="W511" i="2" s="1"/>
  <c r="AU761" i="2"/>
  <c r="AI761" i="2" s="1"/>
  <c r="W761" i="2" s="1"/>
  <c r="AU276" i="2"/>
  <c r="AI276" i="2" s="1"/>
  <c r="W276" i="2" s="1"/>
  <c r="AU636" i="2"/>
  <c r="AI636" i="2" s="1"/>
  <c r="W636" i="2" s="1"/>
  <c r="AU162" i="2"/>
  <c r="AI162" i="2" s="1"/>
  <c r="W162" i="2" s="1"/>
  <c r="AU161" i="2"/>
  <c r="AI161" i="2" s="1"/>
  <c r="W161" i="2" s="1"/>
  <c r="AU202" i="2"/>
  <c r="AI202" i="2" s="1"/>
  <c r="W202" i="2" s="1"/>
  <c r="AU300" i="2"/>
  <c r="AI300" i="2" s="1"/>
  <c r="W300" i="2" s="1"/>
  <c r="AU487" i="2"/>
  <c r="AI487" i="2" s="1"/>
  <c r="W487" i="2" s="1"/>
  <c r="AU262" i="2"/>
  <c r="AI262" i="2" s="1"/>
  <c r="W262" i="2" s="1"/>
  <c r="AU282" i="2"/>
  <c r="AI282" i="2" s="1"/>
  <c r="W282" i="2" s="1"/>
  <c r="AU549" i="2"/>
  <c r="AI549" i="2" s="1"/>
  <c r="W549" i="2" s="1"/>
  <c r="AU580" i="2"/>
  <c r="AI580" i="2" s="1"/>
  <c r="W580" i="2" s="1"/>
  <c r="AU255" i="2"/>
  <c r="AI255" i="2" s="1"/>
  <c r="W255" i="2" s="1"/>
  <c r="AU484" i="2"/>
  <c r="AI484" i="2" s="1"/>
  <c r="W484" i="2" s="1"/>
  <c r="AU196" i="2"/>
  <c r="AI196" i="2" s="1"/>
  <c r="W196" i="2" s="1"/>
  <c r="AU150" i="2"/>
  <c r="AI150" i="2" s="1"/>
  <c r="W150" i="2" s="1"/>
  <c r="AU57" i="2"/>
  <c r="AI57" i="2" s="1"/>
  <c r="W57" i="2" s="1"/>
  <c r="AU21" i="2"/>
  <c r="AI21" i="2" s="1"/>
  <c r="W21" i="2" s="1"/>
  <c r="AU55" i="2"/>
  <c r="AI55" i="2" s="1"/>
  <c r="W55" i="2" s="1"/>
  <c r="AU47" i="2"/>
  <c r="AI47" i="2" s="1"/>
  <c r="W47" i="2" s="1"/>
  <c r="AU719" i="2"/>
  <c r="AI719" i="2" s="1"/>
  <c r="W719" i="2" s="1"/>
  <c r="AU1046" i="2"/>
  <c r="AI1046" i="2" s="1"/>
  <c r="W1046" i="2" s="1"/>
  <c r="AT161" i="2"/>
  <c r="AH161" i="2" s="1"/>
  <c r="V161" i="2" s="1"/>
  <c r="AT478" i="2"/>
  <c r="AH478" i="2" s="1"/>
  <c r="V478" i="2" s="1"/>
  <c r="AT34" i="2"/>
  <c r="AH34" i="2" s="1"/>
  <c r="V34" i="2" s="1"/>
  <c r="AT641" i="2"/>
  <c r="AH641" i="2" s="1"/>
  <c r="V641" i="2" s="1"/>
  <c r="AT139" i="2"/>
  <c r="AH139" i="2" s="1"/>
  <c r="V139" i="2" s="1"/>
  <c r="AT407" i="2"/>
  <c r="AH407" i="2" s="1"/>
  <c r="V407" i="2" s="1"/>
  <c r="AT1123" i="2"/>
  <c r="AH1123" i="2" s="1"/>
  <c r="V1123" i="2" s="1"/>
  <c r="AT1063" i="2"/>
  <c r="AH1063" i="2" s="1"/>
  <c r="V1063" i="2" s="1"/>
  <c r="AT1161" i="2"/>
  <c r="AH1161" i="2" s="1"/>
  <c r="V1161" i="2" s="1"/>
  <c r="AT428" i="2"/>
  <c r="AH428" i="2" s="1"/>
  <c r="V428" i="2" s="1"/>
  <c r="AT351" i="2"/>
  <c r="AH351" i="2" s="1"/>
  <c r="V351" i="2" s="1"/>
  <c r="AT228" i="2"/>
  <c r="AH228" i="2" s="1"/>
  <c r="V228" i="2" s="1"/>
  <c r="AT707" i="2"/>
  <c r="AH707" i="2" s="1"/>
  <c r="V707" i="2" s="1"/>
  <c r="AT935" i="2"/>
  <c r="AH935" i="2" s="1"/>
  <c r="V935" i="2" s="1"/>
  <c r="AT1177" i="2"/>
  <c r="AH1177" i="2" s="1"/>
  <c r="V1177" i="2" s="1"/>
  <c r="AT206" i="2"/>
  <c r="AT653" i="2"/>
  <c r="AH653" i="2" s="1"/>
  <c r="V653" i="2" s="1"/>
  <c r="AT212" i="2"/>
  <c r="AH212" i="2" s="1"/>
  <c r="V212" i="2" s="1"/>
  <c r="AT742" i="2"/>
  <c r="AH742" i="2" s="1"/>
  <c r="V742" i="2" s="1"/>
  <c r="AT949" i="2"/>
  <c r="AH949" i="2" s="1"/>
  <c r="V949" i="2" s="1"/>
  <c r="AT1183" i="2"/>
  <c r="AH1183" i="2" s="1"/>
  <c r="V1183" i="2" s="1"/>
  <c r="AT663" i="2"/>
  <c r="AH663" i="2" s="1"/>
  <c r="V663" i="2" s="1"/>
  <c r="AT1190" i="2"/>
  <c r="AH1190" i="2" s="1"/>
  <c r="V1190" i="2" s="1"/>
  <c r="AT503" i="2"/>
  <c r="AH503" i="2" s="1"/>
  <c r="V503" i="2" s="1"/>
  <c r="AT893" i="2"/>
  <c r="AH893" i="2" s="1"/>
  <c r="V893" i="2" s="1"/>
  <c r="AT1105" i="2"/>
  <c r="AH1105" i="2" s="1"/>
  <c r="V1105" i="2" s="1"/>
  <c r="AT441" i="2"/>
  <c r="AH441" i="2" s="1"/>
  <c r="V441" i="2" s="1"/>
  <c r="AT1015" i="2"/>
  <c r="AH1015" i="2" s="1"/>
  <c r="V1015" i="2" s="1"/>
  <c r="AT1243" i="2"/>
  <c r="AH1243" i="2" s="1"/>
  <c r="V1243" i="2" s="1"/>
  <c r="AT553" i="2"/>
  <c r="AH553" i="2" s="1"/>
  <c r="V553" i="2" s="1"/>
  <c r="AT1163" i="2"/>
  <c r="AH1163" i="2" s="1"/>
  <c r="V1163" i="2" s="1"/>
  <c r="AT832" i="2"/>
  <c r="AH832" i="2" s="1"/>
  <c r="V832" i="2" s="1"/>
  <c r="AT985" i="2"/>
  <c r="AH985" i="2" s="1"/>
  <c r="V985" i="2" s="1"/>
  <c r="AT1113" i="2"/>
  <c r="AH1113" i="2" s="1"/>
  <c r="V1113" i="2" s="1"/>
  <c r="AT916" i="2"/>
  <c r="AH916" i="2" s="1"/>
  <c r="V916" i="2" s="1"/>
  <c r="AT937" i="2"/>
  <c r="AH937" i="2" s="1"/>
  <c r="V937" i="2" s="1"/>
  <c r="AT964" i="2"/>
  <c r="AH964" i="2" s="1"/>
  <c r="V964" i="2" s="1"/>
  <c r="AT1047" i="2"/>
  <c r="AH1047" i="2" s="1"/>
  <c r="V1047" i="2" s="1"/>
  <c r="AT1129" i="2"/>
  <c r="AH1129" i="2" s="1"/>
  <c r="V1129" i="2" s="1"/>
  <c r="AT1233" i="2"/>
  <c r="AH1233" i="2" s="1"/>
  <c r="V1233" i="2" s="1"/>
  <c r="AT1103" i="2"/>
  <c r="AH1103" i="2" s="1"/>
  <c r="V1103" i="2" s="1"/>
  <c r="AT779" i="2"/>
  <c r="AH779" i="2" s="1"/>
  <c r="V779" i="2" s="1"/>
  <c r="AT367" i="2"/>
  <c r="AH367" i="2" s="1"/>
  <c r="V367" i="2" s="1"/>
  <c r="AT567" i="2"/>
  <c r="AT329" i="2"/>
  <c r="AH329" i="2" s="1"/>
  <c r="V329" i="2" s="1"/>
  <c r="AT499" i="2"/>
  <c r="AH499" i="2" s="1"/>
  <c r="V499" i="2" s="1"/>
  <c r="AT744" i="2"/>
  <c r="AT369" i="2"/>
  <c r="AH369" i="2" s="1"/>
  <c r="V369" i="2" s="1"/>
  <c r="AT577" i="2"/>
  <c r="AH577" i="2" s="1"/>
  <c r="V577" i="2" s="1"/>
  <c r="AT94" i="2"/>
  <c r="AH94" i="2" s="1"/>
  <c r="V94" i="2" s="1"/>
  <c r="AT426" i="2"/>
  <c r="AT632" i="2"/>
  <c r="AH632" i="2" s="1"/>
  <c r="V632" i="2" s="1"/>
  <c r="AT190" i="2"/>
  <c r="AH190" i="2" s="1"/>
  <c r="V190" i="2" s="1"/>
  <c r="AT443" i="2"/>
  <c r="AH443" i="2" s="1"/>
  <c r="V443" i="2" s="1"/>
  <c r="AT277" i="2"/>
  <c r="AH277" i="2" s="1"/>
  <c r="V277" i="2" s="1"/>
  <c r="AT615" i="2"/>
  <c r="AH615" i="2" s="1"/>
  <c r="V615" i="2" s="1"/>
  <c r="AT373" i="2"/>
  <c r="AH373" i="2" s="1"/>
  <c r="V373" i="2" s="1"/>
  <c r="AT473" i="2"/>
  <c r="AH473" i="2" s="1"/>
  <c r="V473" i="2" s="1"/>
  <c r="AT739" i="2"/>
  <c r="AH739" i="2" s="1"/>
  <c r="V739" i="2" s="1"/>
  <c r="AT404" i="2"/>
  <c r="AH404" i="2" s="1"/>
  <c r="V404" i="2" s="1"/>
  <c r="AT710" i="2"/>
  <c r="AH710" i="2" s="1"/>
  <c r="V710" i="2" s="1"/>
  <c r="AT313" i="2"/>
  <c r="AH313" i="2" s="1"/>
  <c r="V313" i="2" s="1"/>
  <c r="AT409" i="2"/>
  <c r="AH409" i="2" s="1"/>
  <c r="V409" i="2" s="1"/>
  <c r="AT805" i="2"/>
  <c r="AH805" i="2" s="1"/>
  <c r="V805" i="2" s="1"/>
  <c r="AT458" i="2"/>
  <c r="AH458" i="2" s="1"/>
  <c r="V458" i="2" s="1"/>
  <c r="AT82" i="2"/>
  <c r="AH82" i="2" s="1"/>
  <c r="V82" i="2" s="1"/>
  <c r="AT48" i="2"/>
  <c r="AH48" i="2" s="1"/>
  <c r="V48" i="2" s="1"/>
  <c r="AT134" i="2"/>
  <c r="AH134" i="2" s="1"/>
  <c r="V134" i="2" s="1"/>
  <c r="AT185" i="2"/>
  <c r="AT107" i="2"/>
  <c r="AH107" i="2" s="1"/>
  <c r="V107" i="2" s="1"/>
  <c r="AT25" i="2"/>
  <c r="AH25" i="2" s="1"/>
  <c r="V25" i="2" s="1"/>
  <c r="AT116" i="2"/>
  <c r="AH116" i="2" s="1"/>
  <c r="V116" i="2" s="1"/>
  <c r="AT26" i="2"/>
  <c r="AT257" i="2"/>
  <c r="AH257" i="2" s="1"/>
  <c r="V257" i="2" s="1"/>
  <c r="AT362" i="2"/>
  <c r="AH362" i="2" s="1"/>
  <c r="V362" i="2" s="1"/>
  <c r="AT658" i="2"/>
  <c r="AH658" i="2" s="1"/>
  <c r="V658" i="2" s="1"/>
  <c r="AT898" i="2"/>
  <c r="AH898" i="2" s="1"/>
  <c r="V898" i="2" s="1"/>
  <c r="AT1085" i="2"/>
  <c r="AH1085" i="2" s="1"/>
  <c r="V1085" i="2" s="1"/>
  <c r="AT1267" i="2"/>
  <c r="AH1267" i="2" s="1"/>
  <c r="V1267" i="2" s="1"/>
  <c r="AL1269" i="2"/>
  <c r="Z1269" i="2" s="1"/>
  <c r="AL1271" i="2"/>
  <c r="Z1271" i="2" s="1"/>
  <c r="AL1272" i="2"/>
  <c r="Z1272" i="2" s="1"/>
  <c r="AL1257" i="2"/>
  <c r="Z1257" i="2" s="1"/>
  <c r="AL1259" i="2"/>
  <c r="Z1259" i="2" s="1"/>
  <c r="AL1253" i="2"/>
  <c r="Z1253" i="2" s="1"/>
  <c r="AL1244" i="2"/>
  <c r="Z1244" i="2" s="1"/>
  <c r="AL1236" i="2"/>
  <c r="Z1236" i="2" s="1"/>
  <c r="AL1246" i="2"/>
  <c r="Z1246" i="2" s="1"/>
  <c r="AL1239" i="2"/>
  <c r="Z1239" i="2" s="1"/>
  <c r="AL1228" i="2"/>
  <c r="Z1228" i="2" s="1"/>
  <c r="AL1245" i="2"/>
  <c r="Z1245" i="2" s="1"/>
  <c r="AL1241" i="2"/>
  <c r="Z1241" i="2" s="1"/>
  <c r="AL1234" i="2"/>
  <c r="Z1234" i="2" s="1"/>
  <c r="AL1233" i="2"/>
  <c r="Z1233" i="2" s="1"/>
  <c r="AL1231" i="2"/>
  <c r="Z1231" i="2" s="1"/>
  <c r="AL1209" i="2"/>
  <c r="Z1209" i="2" s="1"/>
  <c r="AL1208" i="2"/>
  <c r="Z1208" i="2" s="1"/>
  <c r="AL1217" i="2"/>
  <c r="Z1217" i="2" s="1"/>
  <c r="AL1211" i="2"/>
  <c r="Z1211" i="2" s="1"/>
  <c r="AL1189" i="2"/>
  <c r="Z1189" i="2" s="1"/>
  <c r="AL1206" i="2"/>
  <c r="Z1206" i="2" s="1"/>
  <c r="AL1181" i="2"/>
  <c r="Z1181" i="2" s="1"/>
  <c r="AL1188" i="2"/>
  <c r="Z1188" i="2" s="1"/>
  <c r="AL1171" i="2"/>
  <c r="Z1171" i="2" s="1"/>
  <c r="AL1172" i="2"/>
  <c r="Z1172" i="2" s="1"/>
  <c r="AL1162" i="2"/>
  <c r="Z1162" i="2" s="1"/>
  <c r="AL1163" i="2"/>
  <c r="Z1163" i="2" s="1"/>
  <c r="AL1156" i="2"/>
  <c r="Z1156" i="2" s="1"/>
  <c r="AL1169" i="2"/>
  <c r="Z1169" i="2" s="1"/>
  <c r="AL1126" i="2"/>
  <c r="Z1126" i="2" s="1"/>
  <c r="AL1122" i="2"/>
  <c r="Z1122" i="2" s="1"/>
  <c r="AL1143" i="2"/>
  <c r="Z1143" i="2" s="1"/>
  <c r="AL1151" i="2"/>
  <c r="Z1151" i="2" s="1"/>
  <c r="AL1142" i="2"/>
  <c r="Z1142" i="2" s="1"/>
  <c r="AL1086" i="2"/>
  <c r="Z1086" i="2" s="1"/>
  <c r="AL1106" i="2"/>
  <c r="Z1106" i="2" s="1"/>
  <c r="AL1080" i="2"/>
  <c r="Z1080" i="2" s="1"/>
  <c r="AL1061" i="2"/>
  <c r="Z1061" i="2" s="1"/>
  <c r="AL1049" i="2"/>
  <c r="Z1049" i="2" s="1"/>
  <c r="AL1045" i="2"/>
  <c r="Z1045" i="2" s="1"/>
  <c r="AL1040" i="2"/>
  <c r="Z1040" i="2" s="1"/>
  <c r="AL1052" i="2"/>
  <c r="Z1052" i="2" s="1"/>
  <c r="AL1048" i="2"/>
  <c r="Z1048" i="2" s="1"/>
  <c r="AL1022" i="2"/>
  <c r="Z1022" i="2" s="1"/>
  <c r="AL1002" i="2"/>
  <c r="Z1002" i="2" s="1"/>
  <c r="AL1005" i="2"/>
  <c r="Z1005" i="2" s="1"/>
  <c r="AL1010" i="2"/>
  <c r="Z1010" i="2" s="1"/>
  <c r="AL992" i="2"/>
  <c r="Z992" i="2" s="1"/>
  <c r="AL969" i="2"/>
  <c r="Z969" i="2" s="1"/>
  <c r="AL993" i="2"/>
  <c r="Z993" i="2" s="1"/>
  <c r="AL974" i="2"/>
  <c r="Z974" i="2" s="1"/>
  <c r="AL966" i="2"/>
  <c r="Z966" i="2" s="1"/>
  <c r="AL982" i="2"/>
  <c r="Z982" i="2" s="1"/>
  <c r="AL977" i="2"/>
  <c r="Z977" i="2" s="1"/>
  <c r="AL972" i="2"/>
  <c r="Z972" i="2" s="1"/>
  <c r="AL950" i="2"/>
  <c r="Z950" i="2" s="1"/>
  <c r="AL958" i="2"/>
  <c r="Z958" i="2" s="1"/>
  <c r="AL912" i="2"/>
  <c r="Z912" i="2" s="1"/>
  <c r="AL917" i="2"/>
  <c r="Z917" i="2" s="1"/>
  <c r="AL922" i="2"/>
  <c r="Z922" i="2" s="1"/>
  <c r="AL919" i="2"/>
  <c r="Z919" i="2" s="1"/>
  <c r="AL932" i="2"/>
  <c r="Z932" i="2" s="1"/>
  <c r="AL935" i="2"/>
  <c r="Z935" i="2" s="1"/>
  <c r="AL933" i="2"/>
  <c r="Z933" i="2" s="1"/>
  <c r="AL901" i="2"/>
  <c r="Z901" i="2" s="1"/>
  <c r="AL905" i="2"/>
  <c r="Z905" i="2" s="1"/>
  <c r="AL904" i="2"/>
  <c r="Z904" i="2" s="1"/>
  <c r="AL908" i="2"/>
  <c r="Z908" i="2" s="1"/>
  <c r="AL858" i="2"/>
  <c r="Z858" i="2" s="1"/>
  <c r="AL891" i="2"/>
  <c r="Z891" i="2" s="1"/>
  <c r="AL888" i="2"/>
  <c r="Z888" i="2" s="1"/>
  <c r="AL857" i="2"/>
  <c r="Z857" i="2" s="1"/>
  <c r="AL889" i="2"/>
  <c r="Z889" i="2" s="1"/>
  <c r="AL855" i="2"/>
  <c r="Z855" i="2" s="1"/>
  <c r="AL885" i="2"/>
  <c r="Z885" i="2" s="1"/>
  <c r="AL881" i="2"/>
  <c r="Z881" i="2" s="1"/>
  <c r="AL874" i="2"/>
  <c r="Z874" i="2" s="1"/>
  <c r="AL868" i="2"/>
  <c r="Z868" i="2" s="1"/>
  <c r="AL856" i="2"/>
  <c r="Z856" i="2" s="1"/>
  <c r="AL813" i="2"/>
  <c r="Z813" i="2" s="1"/>
  <c r="AL865" i="2"/>
  <c r="Z865" i="2" s="1"/>
  <c r="AL816" i="2"/>
  <c r="Z816" i="2" s="1"/>
  <c r="AL853" i="2"/>
  <c r="Z853" i="2" s="1"/>
  <c r="AL826" i="2"/>
  <c r="Z826" i="2" s="1"/>
  <c r="AL847" i="2"/>
  <c r="Z847" i="2" s="1"/>
  <c r="AL827" i="2"/>
  <c r="Z827" i="2" s="1"/>
  <c r="AL801" i="2"/>
  <c r="Z801" i="2" s="1"/>
  <c r="AL793" i="2"/>
  <c r="Z793" i="2" s="1"/>
  <c r="AL788" i="2"/>
  <c r="Z788" i="2" s="1"/>
  <c r="AL772" i="2"/>
  <c r="Z772" i="2" s="1"/>
  <c r="AL777" i="2"/>
  <c r="Z777" i="2" s="1"/>
  <c r="AL740" i="2"/>
  <c r="Z740" i="2" s="1"/>
  <c r="AL761" i="2"/>
  <c r="Z761" i="2" s="1"/>
  <c r="AL743" i="2"/>
  <c r="Z743" i="2" s="1"/>
  <c r="AL750" i="2"/>
  <c r="Z750" i="2" s="1"/>
  <c r="AL755" i="2"/>
  <c r="Z755" i="2" s="1"/>
  <c r="AL733" i="2"/>
  <c r="Z733" i="2" s="1"/>
  <c r="AL693" i="2"/>
  <c r="Z693" i="2" s="1"/>
  <c r="AL677" i="2"/>
  <c r="Z677" i="2" s="1"/>
  <c r="AL661" i="2"/>
  <c r="Z661" i="2" s="1"/>
  <c r="AL723" i="2"/>
  <c r="Z723" i="2" s="1"/>
  <c r="AL711" i="2"/>
  <c r="Z711" i="2" s="1"/>
  <c r="AL720" i="2"/>
  <c r="Z720" i="2" s="1"/>
  <c r="AL703" i="2"/>
  <c r="Z703" i="2" s="1"/>
  <c r="AL633" i="2"/>
  <c r="Z633" i="2" s="1"/>
  <c r="AL617" i="2"/>
  <c r="Z617" i="2" s="1"/>
  <c r="AL671" i="2"/>
  <c r="Z671" i="2" s="1"/>
  <c r="AL651" i="2"/>
  <c r="Z651" i="2" s="1"/>
  <c r="AL642" i="2"/>
  <c r="Z642" i="2" s="1"/>
  <c r="AL634" i="2"/>
  <c r="Z634" i="2" s="1"/>
  <c r="AL618" i="2"/>
  <c r="Z618" i="2" s="1"/>
  <c r="AL656" i="2"/>
  <c r="Z656" i="2" s="1"/>
  <c r="AL644" i="2"/>
  <c r="Z644" i="2" s="1"/>
  <c r="AL655" i="2"/>
  <c r="Z655" i="2" s="1"/>
  <c r="AL687" i="2"/>
  <c r="Z687" i="2" s="1"/>
  <c r="AL602" i="2"/>
  <c r="Z602" i="2" s="1"/>
  <c r="AL582" i="2"/>
  <c r="Z582" i="2" s="1"/>
  <c r="AL596" i="2"/>
  <c r="Z596" i="2" s="1"/>
  <c r="AL601" i="2"/>
  <c r="Z601" i="2" s="1"/>
  <c r="AL628" i="2"/>
  <c r="Z628" i="2" s="1"/>
  <c r="AL612" i="2"/>
  <c r="Z612" i="2" s="1"/>
  <c r="AL585" i="2"/>
  <c r="Z585" i="2" s="1"/>
  <c r="AL513" i="2"/>
  <c r="Z513" i="2" s="1"/>
  <c r="AL497" i="2"/>
  <c r="Z497" i="2" s="1"/>
  <c r="AL481" i="2"/>
  <c r="Z481" i="2" s="1"/>
  <c r="AL591" i="2"/>
  <c r="Z591" i="2" s="1"/>
  <c r="AL510" i="2"/>
  <c r="Z510" i="2" s="1"/>
  <c r="AL464" i="2"/>
  <c r="Z464" i="2" s="1"/>
  <c r="AL494" i="2"/>
  <c r="Z494" i="2" s="1"/>
  <c r="AL484" i="2"/>
  <c r="Z484" i="2" s="1"/>
  <c r="AL452" i="2"/>
  <c r="Z452" i="2" s="1"/>
  <c r="AL467" i="2"/>
  <c r="Z467" i="2" s="1"/>
  <c r="AL454" i="2"/>
  <c r="Z454" i="2" s="1"/>
  <c r="AL471" i="2"/>
  <c r="Z471" i="2" s="1"/>
  <c r="AL389" i="2"/>
  <c r="Z389" i="2" s="1"/>
  <c r="AL408" i="2"/>
  <c r="Z408" i="2" s="1"/>
  <c r="AL387" i="2"/>
  <c r="Z387" i="2" s="1"/>
  <c r="AL372" i="2"/>
  <c r="Z372" i="2" s="1"/>
  <c r="AL356" i="2"/>
  <c r="Z356" i="2" s="1"/>
  <c r="AL359" i="2"/>
  <c r="Z359" i="2" s="1"/>
  <c r="AL343" i="2"/>
  <c r="Z343" i="2" s="1"/>
  <c r="AL424" i="2"/>
  <c r="Z424" i="2" s="1"/>
  <c r="AL327" i="2"/>
  <c r="Z327" i="2" s="1"/>
  <c r="AL311" i="2"/>
  <c r="Z311" i="2" s="1"/>
  <c r="AL295" i="2"/>
  <c r="Z295" i="2" s="1"/>
  <c r="AL279" i="2"/>
  <c r="Z279" i="2" s="1"/>
  <c r="AL398" i="2"/>
  <c r="Z398" i="2" s="1"/>
  <c r="AL383" i="2"/>
  <c r="Z383" i="2" s="1"/>
  <c r="AL338" i="2"/>
  <c r="Z338" i="2" s="1"/>
  <c r="AL335" i="2"/>
  <c r="Z335" i="2" s="1"/>
  <c r="AL367" i="2"/>
  <c r="Z367" i="2" s="1"/>
  <c r="AL259" i="2"/>
  <c r="Z259" i="2" s="1"/>
  <c r="AL241" i="2"/>
  <c r="Z241" i="2" s="1"/>
  <c r="AL224" i="2"/>
  <c r="Z224" i="2" s="1"/>
  <c r="AL290" i="2"/>
  <c r="Z290" i="2" s="1"/>
  <c r="AL306" i="2"/>
  <c r="Z306" i="2" s="1"/>
  <c r="AL231" i="2"/>
  <c r="Z231" i="2" s="1"/>
  <c r="AL275" i="2"/>
  <c r="Z275" i="2" s="1"/>
  <c r="AL250" i="2"/>
  <c r="Z250" i="2" s="1"/>
  <c r="AL208" i="2"/>
  <c r="Z208" i="2" s="1"/>
  <c r="AL195" i="2"/>
  <c r="Z195" i="2" s="1"/>
  <c r="AL262" i="2"/>
  <c r="Z262" i="2" s="1"/>
  <c r="AL173" i="2"/>
  <c r="Z173" i="2" s="1"/>
  <c r="AL197" i="2"/>
  <c r="Z197" i="2" s="1"/>
  <c r="AL193" i="2"/>
  <c r="Z193" i="2" s="1"/>
  <c r="AL176" i="2"/>
  <c r="Z176" i="2" s="1"/>
  <c r="AL160" i="2"/>
  <c r="Z160" i="2" s="1"/>
  <c r="AL161" i="2"/>
  <c r="Z161" i="2" s="1"/>
  <c r="AL157" i="2"/>
  <c r="Z157" i="2" s="1"/>
  <c r="AL145" i="2"/>
  <c r="Z145" i="2" s="1"/>
  <c r="AL141" i="2"/>
  <c r="Z141" i="2" s="1"/>
  <c r="AL177" i="2"/>
  <c r="Z177" i="2" s="1"/>
  <c r="AL194" i="2"/>
  <c r="Z194" i="2" s="1"/>
  <c r="AL144" i="2"/>
  <c r="Z144" i="2" s="1"/>
  <c r="AL127" i="2"/>
  <c r="Z127" i="2" s="1"/>
  <c r="AL111" i="2"/>
  <c r="Z111" i="2" s="1"/>
  <c r="AL95" i="2"/>
  <c r="Z95" i="2" s="1"/>
  <c r="AL84" i="2"/>
  <c r="Z84" i="2" s="1"/>
  <c r="AL69" i="2"/>
  <c r="Z69" i="2" s="1"/>
  <c r="AL33" i="2"/>
  <c r="Z33" i="2" s="1"/>
  <c r="AL50" i="2"/>
  <c r="Z50" i="2" s="1"/>
  <c r="AL34" i="2"/>
  <c r="Z34" i="2" s="1"/>
  <c r="AL129" i="2"/>
  <c r="Z129" i="2" s="1"/>
  <c r="AL52" i="2"/>
  <c r="Z52" i="2" s="1"/>
  <c r="AL36" i="2"/>
  <c r="Z36" i="2" s="1"/>
  <c r="AL78" i="2"/>
  <c r="Z78" i="2" s="1"/>
  <c r="AL29" i="2"/>
  <c r="Z29" i="2" s="1"/>
  <c r="AL26" i="2"/>
  <c r="Z26" i="2" s="1"/>
  <c r="AL19" i="2"/>
  <c r="Z19" i="2" s="1"/>
  <c r="AL61" i="2"/>
  <c r="Z61" i="2" s="1"/>
  <c r="AL13" i="2"/>
  <c r="Z13" i="2" s="1"/>
  <c r="AL18" i="2"/>
  <c r="Z18" i="2" s="1"/>
  <c r="AL15" i="2"/>
  <c r="Z15" i="2" s="1"/>
  <c r="AL45" i="2"/>
  <c r="Z45" i="2" s="1"/>
  <c r="AL23" i="2"/>
  <c r="Z23" i="2" s="1"/>
  <c r="AL10" i="2"/>
  <c r="Z10" i="2" s="1"/>
  <c r="AL67" i="2"/>
  <c r="Z67" i="2" s="1"/>
  <c r="AL42" i="2"/>
  <c r="Z42" i="2" s="1"/>
  <c r="AL92" i="2"/>
  <c r="Z92" i="2" s="1"/>
  <c r="AL170" i="2"/>
  <c r="Z170" i="2" s="1"/>
  <c r="AL70" i="2"/>
  <c r="Z70" i="2" s="1"/>
  <c r="AL100" i="2"/>
  <c r="Z100" i="2" s="1"/>
  <c r="AL167" i="2"/>
  <c r="Z167" i="2" s="1"/>
  <c r="AL133" i="2"/>
  <c r="Z133" i="2" s="1"/>
  <c r="AL24" i="2"/>
  <c r="Z24" i="2" s="1"/>
  <c r="AL62" i="2"/>
  <c r="Z62" i="2" s="1"/>
  <c r="AL48" i="2"/>
  <c r="Z48" i="2" s="1"/>
  <c r="AL201" i="2"/>
  <c r="Z201" i="2" s="1"/>
  <c r="AL110" i="2"/>
  <c r="Z110" i="2" s="1"/>
  <c r="AL130" i="2"/>
  <c r="Z130" i="2" s="1"/>
  <c r="AL98" i="2"/>
  <c r="Z98" i="2" s="1"/>
  <c r="AL136" i="2"/>
  <c r="Z136" i="2" s="1"/>
  <c r="AL171" i="2"/>
  <c r="Z171" i="2" s="1"/>
  <c r="AL9" i="2"/>
  <c r="Z9" i="2" s="1"/>
  <c r="AL55" i="2"/>
  <c r="Z55" i="2" s="1"/>
  <c r="AL64" i="2"/>
  <c r="Z64" i="2" s="1"/>
  <c r="AL16" i="2"/>
  <c r="Z16" i="2" s="1"/>
  <c r="AL46" i="2"/>
  <c r="Z46" i="2" s="1"/>
  <c r="AL150" i="2"/>
  <c r="Z150" i="2" s="1"/>
  <c r="AL116" i="2"/>
  <c r="Z116" i="2" s="1"/>
  <c r="AL77" i="2"/>
  <c r="Z77" i="2" s="1"/>
  <c r="AL56" i="2"/>
  <c r="Z56" i="2" s="1"/>
  <c r="AL30" i="2"/>
  <c r="Z30" i="2" s="1"/>
  <c r="AL76" i="2"/>
  <c r="Z76" i="2" s="1"/>
  <c r="AL21" i="2"/>
  <c r="Z21" i="2" s="1"/>
  <c r="AL39" i="2"/>
  <c r="Z39" i="2" s="1"/>
  <c r="AL138" i="2"/>
  <c r="Z138" i="2" s="1"/>
  <c r="AL17" i="2"/>
  <c r="Z17" i="2" s="1"/>
  <c r="AL31" i="2"/>
  <c r="Z31" i="2" s="1"/>
  <c r="AL94" i="2"/>
  <c r="Z94" i="2" s="1"/>
  <c r="AL182" i="2"/>
  <c r="Z182" i="2" s="1"/>
  <c r="AL164" i="2"/>
  <c r="Z164" i="2" s="1"/>
  <c r="AL12" i="2"/>
  <c r="Z12" i="2" s="1"/>
  <c r="AL73" i="2"/>
  <c r="Z73" i="2" s="1"/>
  <c r="AL81" i="2"/>
  <c r="Z81" i="2" s="1"/>
  <c r="AL189" i="2"/>
  <c r="Z189" i="2" s="1"/>
  <c r="AL134" i="2"/>
  <c r="Z134" i="2" s="1"/>
  <c r="AL37" i="2"/>
  <c r="Z37" i="2" s="1"/>
  <c r="AL114" i="2"/>
  <c r="Z114" i="2" s="1"/>
  <c r="AL32" i="2"/>
  <c r="Z32" i="2" s="1"/>
  <c r="AL107" i="2"/>
  <c r="Z107" i="2" s="1"/>
  <c r="AL123" i="2"/>
  <c r="Z123" i="2" s="1"/>
  <c r="AL156" i="2"/>
  <c r="Z156" i="2" s="1"/>
  <c r="AL108" i="2"/>
  <c r="Z108" i="2" s="1"/>
  <c r="AL124" i="2"/>
  <c r="Z124" i="2" s="1"/>
  <c r="AL82" i="2"/>
  <c r="Z82" i="2" s="1"/>
  <c r="AL155" i="2"/>
  <c r="Z155" i="2" s="1"/>
  <c r="AL246" i="2"/>
  <c r="Z246" i="2" s="1"/>
  <c r="AL329" i="2"/>
  <c r="Z329" i="2" s="1"/>
  <c r="AL302" i="2"/>
  <c r="Z302" i="2" s="1"/>
  <c r="AL345" i="2"/>
  <c r="Z345" i="2" s="1"/>
  <c r="AL437" i="2"/>
  <c r="Z437" i="2" s="1"/>
  <c r="AL458" i="2"/>
  <c r="Z458" i="2" s="1"/>
  <c r="AL472" i="2"/>
  <c r="Z472" i="2" s="1"/>
  <c r="AL579" i="2"/>
  <c r="Z579" i="2" s="1"/>
  <c r="AL574" i="2"/>
  <c r="Z574" i="2" s="1"/>
  <c r="AL550" i="2"/>
  <c r="Z550" i="2" s="1"/>
  <c r="AL606" i="2"/>
  <c r="Z606" i="2" s="1"/>
  <c r="AL589" i="2"/>
  <c r="Z589" i="2" s="1"/>
  <c r="AL638" i="2"/>
  <c r="Z638" i="2" s="1"/>
  <c r="AL621" i="2"/>
  <c r="Z621" i="2" s="1"/>
  <c r="AL704" i="2"/>
  <c r="Z704" i="2" s="1"/>
  <c r="AL667" i="2"/>
  <c r="Z667" i="2" s="1"/>
  <c r="AL686" i="2"/>
  <c r="Z686" i="2" s="1"/>
  <c r="AL841" i="2"/>
  <c r="Z841" i="2" s="1"/>
  <c r="AL53" i="2"/>
  <c r="Z53" i="2" s="1"/>
  <c r="AL187" i="2"/>
  <c r="Z187" i="2" s="1"/>
  <c r="AL351" i="2"/>
  <c r="Z351" i="2" s="1"/>
  <c r="AL361" i="2"/>
  <c r="Z361" i="2" s="1"/>
  <c r="AL453" i="2"/>
  <c r="Z453" i="2" s="1"/>
  <c r="AL391" i="2"/>
  <c r="Z391" i="2" s="1"/>
  <c r="AL422" i="2"/>
  <c r="Z422" i="2" s="1"/>
  <c r="AL482" i="2"/>
  <c r="Z482" i="2" s="1"/>
  <c r="AL478" i="2"/>
  <c r="Z478" i="2" s="1"/>
  <c r="AL577" i="2"/>
  <c r="Z577" i="2" s="1"/>
  <c r="AL565" i="2"/>
  <c r="Z565" i="2" s="1"/>
  <c r="AL717" i="2"/>
  <c r="Z717" i="2" s="1"/>
  <c r="AL691" i="2"/>
  <c r="Z691" i="2" s="1"/>
  <c r="AL836" i="2"/>
  <c r="Z836" i="2" s="1"/>
  <c r="AL58" i="2"/>
  <c r="Z58" i="2" s="1"/>
  <c r="AL180" i="2"/>
  <c r="Z180" i="2" s="1"/>
  <c r="AL243" i="2"/>
  <c r="Z243" i="2" s="1"/>
  <c r="AL211" i="2"/>
  <c r="Z211" i="2" s="1"/>
  <c r="AL227" i="2"/>
  <c r="Z227" i="2" s="1"/>
  <c r="AL230" i="2"/>
  <c r="Z230" i="2" s="1"/>
  <c r="AL198" i="2"/>
  <c r="Z198" i="2" s="1"/>
  <c r="AL229" i="2"/>
  <c r="Z229" i="2" s="1"/>
  <c r="AL261" i="2"/>
  <c r="Z261" i="2" s="1"/>
  <c r="AL265" i="2"/>
  <c r="Z265" i="2" s="1"/>
  <c r="AL333" i="2"/>
  <c r="Z333" i="2" s="1"/>
  <c r="AL434" i="2"/>
  <c r="Z434" i="2" s="1"/>
  <c r="AL461" i="2"/>
  <c r="Z461" i="2" s="1"/>
  <c r="AL489" i="2"/>
  <c r="Z489" i="2" s="1"/>
  <c r="AL544" i="2"/>
  <c r="Z544" i="2" s="1"/>
  <c r="AL531" i="2"/>
  <c r="Z531" i="2" s="1"/>
  <c r="AL548" i="2"/>
  <c r="Z548" i="2" s="1"/>
  <c r="AL561" i="2"/>
  <c r="Z561" i="2" s="1"/>
  <c r="AL586" i="2"/>
  <c r="Z586" i="2" s="1"/>
  <c r="AL639" i="2"/>
  <c r="Z639" i="2" s="1"/>
  <c r="AL624" i="2"/>
  <c r="Z624" i="2" s="1"/>
  <c r="AL658" i="2"/>
  <c r="Z658" i="2" s="1"/>
  <c r="AL707" i="2"/>
  <c r="Z707" i="2" s="1"/>
  <c r="AL681" i="2"/>
  <c r="Z681" i="2" s="1"/>
  <c r="AL798" i="2"/>
  <c r="Z798" i="2" s="1"/>
  <c r="AL829" i="2"/>
  <c r="Z829" i="2" s="1"/>
  <c r="AL370" i="2"/>
  <c r="Z370" i="2" s="1"/>
  <c r="AL465" i="2"/>
  <c r="Z465" i="2" s="1"/>
  <c r="AL403" i="2"/>
  <c r="Z403" i="2" s="1"/>
  <c r="AL485" i="2"/>
  <c r="Z485" i="2" s="1"/>
  <c r="AL528" i="2"/>
  <c r="Z528" i="2" s="1"/>
  <c r="AL581" i="2"/>
  <c r="Z581" i="2" s="1"/>
  <c r="AL562" i="2"/>
  <c r="Z562" i="2" s="1"/>
  <c r="AL616" i="2"/>
  <c r="Z616" i="2" s="1"/>
  <c r="AL659" i="2"/>
  <c r="Z659" i="2" s="1"/>
  <c r="AL760" i="2"/>
  <c r="Z760" i="2" s="1"/>
  <c r="AL754" i="2"/>
  <c r="Z754" i="2" s="1"/>
  <c r="AL202" i="2"/>
  <c r="Z202" i="2" s="1"/>
  <c r="AL269" i="2"/>
  <c r="Z269" i="2" s="1"/>
  <c r="AL316" i="2"/>
  <c r="Z316" i="2" s="1"/>
  <c r="AL323" i="2"/>
  <c r="Z323" i="2" s="1"/>
  <c r="AL365" i="2"/>
  <c r="Z365" i="2" s="1"/>
  <c r="AL381" i="2"/>
  <c r="Z381" i="2" s="1"/>
  <c r="AL377" i="2"/>
  <c r="Z377" i="2" s="1"/>
  <c r="AL419" i="2"/>
  <c r="Z419" i="2" s="1"/>
  <c r="AL366" i="2"/>
  <c r="Z366" i="2" s="1"/>
  <c r="AL420" i="2"/>
  <c r="Z420" i="2" s="1"/>
  <c r="AL455" i="2"/>
  <c r="Z455" i="2" s="1"/>
  <c r="AL418" i="2"/>
  <c r="Z418" i="2" s="1"/>
  <c r="AL14" i="2"/>
  <c r="Z14" i="2" s="1"/>
  <c r="AL126" i="2"/>
  <c r="Z126" i="2" s="1"/>
  <c r="AL186" i="2"/>
  <c r="Z186" i="2" s="1"/>
  <c r="AL228" i="2"/>
  <c r="Z228" i="2" s="1"/>
  <c r="AL267" i="2"/>
  <c r="Z267" i="2" s="1"/>
  <c r="AL287" i="2"/>
  <c r="Z287" i="2" s="1"/>
  <c r="AL271" i="2"/>
  <c r="Z271" i="2" s="1"/>
  <c r="AL273" i="2"/>
  <c r="Z273" i="2" s="1"/>
  <c r="AL405" i="2"/>
  <c r="Z405" i="2" s="1"/>
  <c r="AL379" i="2"/>
  <c r="Z379" i="2" s="1"/>
  <c r="AL563" i="2"/>
  <c r="Z563" i="2" s="1"/>
  <c r="AL504" i="2"/>
  <c r="Z504" i="2" s="1"/>
  <c r="AL501" i="2"/>
  <c r="Z501" i="2" s="1"/>
  <c r="AL507" i="2"/>
  <c r="Z507" i="2" s="1"/>
  <c r="AL595" i="2"/>
  <c r="Z595" i="2" s="1"/>
  <c r="AL590" i="2"/>
  <c r="Z590" i="2" s="1"/>
  <c r="AL649" i="2"/>
  <c r="Z649" i="2" s="1"/>
  <c r="AL637" i="2"/>
  <c r="Z637" i="2" s="1"/>
  <c r="AL646" i="2"/>
  <c r="Z646" i="2" s="1"/>
  <c r="AL670" i="2"/>
  <c r="Z670" i="2" s="1"/>
  <c r="AL756" i="2"/>
  <c r="Z756" i="2" s="1"/>
  <c r="AL214" i="2"/>
  <c r="Z214" i="2" s="1"/>
  <c r="AL285" i="2"/>
  <c r="Z285" i="2" s="1"/>
  <c r="AL300" i="2"/>
  <c r="Z300" i="2" s="1"/>
  <c r="AL268" i="2"/>
  <c r="Z268" i="2" s="1"/>
  <c r="AL288" i="2"/>
  <c r="Z288" i="2" s="1"/>
  <c r="AL354" i="2"/>
  <c r="Z354" i="2" s="1"/>
  <c r="AL450" i="2"/>
  <c r="Z450" i="2" s="1"/>
  <c r="AL451" i="2"/>
  <c r="Z451" i="2" s="1"/>
  <c r="AL479" i="2"/>
  <c r="Z479" i="2" s="1"/>
  <c r="AL530" i="2"/>
  <c r="Z530" i="2" s="1"/>
  <c r="AL600" i="2"/>
  <c r="Z600" i="2" s="1"/>
  <c r="AL665" i="2"/>
  <c r="Z665" i="2" s="1"/>
  <c r="AL773" i="2"/>
  <c r="Z773" i="2" s="1"/>
  <c r="AL154" i="2"/>
  <c r="Z154" i="2" s="1"/>
  <c r="AL247" i="2"/>
  <c r="Z247" i="2" s="1"/>
  <c r="AL213" i="2"/>
  <c r="Z213" i="2" s="1"/>
  <c r="AL277" i="2"/>
  <c r="Z277" i="2" s="1"/>
  <c r="AL286" i="2"/>
  <c r="Z286" i="2" s="1"/>
  <c r="AL392" i="2"/>
  <c r="Z392" i="2" s="1"/>
  <c r="AL325" i="2"/>
  <c r="Z325" i="2" s="1"/>
  <c r="AL347" i="2"/>
  <c r="Z347" i="2" s="1"/>
  <c r="AL421" i="2"/>
  <c r="Z421" i="2" s="1"/>
  <c r="AL435" i="2"/>
  <c r="Z435" i="2" s="1"/>
  <c r="AL495" i="2"/>
  <c r="Z495" i="2" s="1"/>
  <c r="AL397" i="2"/>
  <c r="Z397" i="2" s="1"/>
  <c r="AL423" i="2"/>
  <c r="Z423" i="2" s="1"/>
  <c r="AL511" i="2"/>
  <c r="Z511" i="2" s="1"/>
  <c r="AL605" i="2"/>
  <c r="Z605" i="2" s="1"/>
  <c r="AL623" i="2"/>
  <c r="Z623" i="2" s="1"/>
  <c r="AL592" i="2"/>
  <c r="Z592" i="2" s="1"/>
  <c r="AL746" i="2"/>
  <c r="Z746" i="2" s="1"/>
  <c r="AL706" i="2"/>
  <c r="Z706" i="2" s="1"/>
  <c r="AL771" i="2"/>
  <c r="Z771" i="2" s="1"/>
  <c r="AL779" i="2"/>
  <c r="Z779" i="2" s="1"/>
  <c r="AL747" i="2"/>
  <c r="Z747" i="2" s="1"/>
  <c r="AL758" i="2"/>
  <c r="Z758" i="2" s="1"/>
  <c r="AL831" i="2"/>
  <c r="Z831" i="2" s="1"/>
  <c r="AL199" i="2"/>
  <c r="Z199" i="2" s="1"/>
  <c r="AL301" i="2"/>
  <c r="Z301" i="2" s="1"/>
  <c r="AL291" i="2"/>
  <c r="Z291" i="2" s="1"/>
  <c r="AL215" i="2"/>
  <c r="Z215" i="2" s="1"/>
  <c r="AL307" i="2"/>
  <c r="Z307" i="2" s="1"/>
  <c r="AL320" i="2"/>
  <c r="Z320" i="2" s="1"/>
  <c r="AL341" i="2"/>
  <c r="Z341" i="2" s="1"/>
  <c r="AL388" i="2"/>
  <c r="Z388" i="2" s="1"/>
  <c r="AL468" i="2"/>
  <c r="Z468" i="2" s="1"/>
  <c r="AL436" i="2"/>
  <c r="Z436" i="2" s="1"/>
  <c r="AL456" i="2"/>
  <c r="Z456" i="2" s="1"/>
  <c r="AL475" i="2"/>
  <c r="Z475" i="2" s="1"/>
  <c r="AL518" i="2"/>
  <c r="Z518" i="2" s="1"/>
  <c r="AL603" i="2"/>
  <c r="Z603" i="2" s="1"/>
  <c r="AL645" i="2"/>
  <c r="Z645" i="2" s="1"/>
  <c r="AL731" i="2"/>
  <c r="Z731" i="2" s="1"/>
  <c r="AL727" i="2"/>
  <c r="Z727" i="2" s="1"/>
  <c r="AL735" i="2"/>
  <c r="Z735" i="2" s="1"/>
  <c r="AL131" i="2"/>
  <c r="Z131" i="2" s="1"/>
  <c r="AL148" i="2"/>
  <c r="Z148" i="2" s="1"/>
  <c r="AL328" i="2"/>
  <c r="Z328" i="2" s="1"/>
  <c r="AL386" i="2"/>
  <c r="Z386" i="2" s="1"/>
  <c r="AL558" i="2"/>
  <c r="Z558" i="2" s="1"/>
  <c r="AL549" i="2"/>
  <c r="Z549" i="2" s="1"/>
  <c r="AL672" i="2"/>
  <c r="Z672" i="2" s="1"/>
  <c r="AL683" i="2"/>
  <c r="Z683" i="2" s="1"/>
  <c r="AL697" i="2"/>
  <c r="Z697" i="2" s="1"/>
  <c r="AL718" i="2"/>
  <c r="Z718" i="2" s="1"/>
  <c r="AL787" i="2"/>
  <c r="Z787" i="2" s="1"/>
  <c r="AL817" i="2"/>
  <c r="Z817" i="2" s="1"/>
  <c r="AL74" i="2"/>
  <c r="Z74" i="2" s="1"/>
  <c r="AL166" i="2"/>
  <c r="Z166" i="2" s="1"/>
  <c r="AL245" i="2"/>
  <c r="Z245" i="2" s="1"/>
  <c r="AL248" i="2"/>
  <c r="Z248" i="2" s="1"/>
  <c r="AL324" i="2"/>
  <c r="Z324" i="2" s="1"/>
  <c r="AL293" i="2"/>
  <c r="Z293" i="2" s="1"/>
  <c r="AL402" i="2"/>
  <c r="Z402" i="2" s="1"/>
  <c r="AL439" i="2"/>
  <c r="Z439" i="2" s="1"/>
  <c r="AL500" i="2"/>
  <c r="Z500" i="2" s="1"/>
  <c r="AL438" i="2"/>
  <c r="Z438" i="2" s="1"/>
  <c r="AL469" i="2"/>
  <c r="Z469" i="2" s="1"/>
  <c r="AL674" i="2"/>
  <c r="Z674" i="2" s="1"/>
  <c r="AL736" i="2"/>
  <c r="Z736" i="2" s="1"/>
  <c r="AL721" i="2"/>
  <c r="Z721" i="2" s="1"/>
  <c r="AL775" i="2"/>
  <c r="Z775" i="2" s="1"/>
  <c r="AL790" i="2"/>
  <c r="Z790" i="2" s="1"/>
  <c r="AL774" i="2"/>
  <c r="Z774" i="2" s="1"/>
  <c r="AL284" i="2"/>
  <c r="Z284" i="2" s="1"/>
  <c r="AL319" i="2"/>
  <c r="Z319" i="2" s="1"/>
  <c r="AL318" i="2"/>
  <c r="Z318" i="2" s="1"/>
  <c r="AL357" i="2"/>
  <c r="Z357" i="2" s="1"/>
  <c r="AL378" i="2"/>
  <c r="Z378" i="2" s="1"/>
  <c r="AL350" i="2"/>
  <c r="Z350" i="2" s="1"/>
  <c r="AL413" i="2"/>
  <c r="Z413" i="2" s="1"/>
  <c r="AL514" i="2"/>
  <c r="Z514" i="2" s="1"/>
  <c r="AL578" i="2"/>
  <c r="Z578" i="2" s="1"/>
  <c r="AL608" i="2"/>
  <c r="Z608" i="2" s="1"/>
  <c r="AL688" i="2"/>
  <c r="Z688" i="2" s="1"/>
  <c r="AL741" i="2"/>
  <c r="Z741" i="2" s="1"/>
  <c r="AL244" i="2"/>
  <c r="Z244" i="2" s="1"/>
  <c r="AL210" i="2"/>
  <c r="Z210" i="2" s="1"/>
  <c r="AL334" i="2"/>
  <c r="Z334" i="2" s="1"/>
  <c r="AL349" i="2"/>
  <c r="Z349" i="2" s="1"/>
  <c r="AL373" i="2"/>
  <c r="Z373" i="2" s="1"/>
  <c r="AL429" i="2"/>
  <c r="Z429" i="2" s="1"/>
  <c r="AL407" i="2"/>
  <c r="Z407" i="2" s="1"/>
  <c r="AL491" i="2"/>
  <c r="Z491" i="2" s="1"/>
  <c r="AL640" i="2"/>
  <c r="Z640" i="2" s="1"/>
  <c r="AL622" i="2"/>
  <c r="Z622" i="2" s="1"/>
  <c r="AL690" i="2"/>
  <c r="Z690" i="2" s="1"/>
  <c r="AL675" i="2"/>
  <c r="Z675" i="2" s="1"/>
  <c r="AL702" i="2"/>
  <c r="Z702" i="2" s="1"/>
  <c r="AL719" i="2"/>
  <c r="Z719" i="2" s="1"/>
  <c r="AL737" i="2"/>
  <c r="Z737" i="2" s="1"/>
  <c r="AL802" i="2"/>
  <c r="Z802" i="2" s="1"/>
  <c r="AL276" i="2"/>
  <c r="Z276" i="2" s="1"/>
  <c r="AL303" i="2"/>
  <c r="Z303" i="2" s="1"/>
  <c r="AL317" i="2"/>
  <c r="Z317" i="2" s="1"/>
  <c r="AL304" i="2"/>
  <c r="Z304" i="2" s="1"/>
  <c r="AL362" i="2"/>
  <c r="Z362" i="2" s="1"/>
  <c r="AL445" i="2"/>
  <c r="Z445" i="2" s="1"/>
  <c r="AL459" i="2"/>
  <c r="Z459" i="2" s="1"/>
  <c r="AL566" i="2"/>
  <c r="Z566" i="2" s="1"/>
  <c r="AL710" i="2"/>
  <c r="Z710" i="2" s="1"/>
  <c r="AL643" i="2"/>
  <c r="Z643" i="2" s="1"/>
  <c r="AL739" i="2"/>
  <c r="Z739" i="2" s="1"/>
  <c r="AL759" i="2"/>
  <c r="Z759" i="2" s="1"/>
  <c r="AL488" i="2"/>
  <c r="Z488" i="2" s="1"/>
  <c r="AL545" i="2"/>
  <c r="Z545" i="2" s="1"/>
  <c r="AL517" i="2"/>
  <c r="Z517" i="2" s="1"/>
  <c r="AL632" i="2"/>
  <c r="Z632" i="2" s="1"/>
  <c r="AL647" i="2"/>
  <c r="Z647" i="2" s="1"/>
  <c r="AL814" i="2"/>
  <c r="Z814" i="2" s="1"/>
  <c r="AL916" i="2"/>
  <c r="Z916" i="2" s="1"/>
  <c r="AL903" i="2"/>
  <c r="Z903" i="2" s="1"/>
  <c r="AL915" i="2"/>
  <c r="Z915" i="2" s="1"/>
  <c r="AL951" i="2"/>
  <c r="Z951" i="2" s="1"/>
  <c r="AL1037" i="2"/>
  <c r="Z1037" i="2" s="1"/>
  <c r="AL1161" i="2"/>
  <c r="Z1161" i="2" s="1"/>
  <c r="AL196" i="2"/>
  <c r="Z196" i="2" s="1"/>
  <c r="AL789" i="2"/>
  <c r="Z789" i="2" s="1"/>
  <c r="AL800" i="2"/>
  <c r="Z800" i="2" s="1"/>
  <c r="AL862" i="2"/>
  <c r="Z862" i="2" s="1"/>
  <c r="AL967" i="2"/>
  <c r="Z967" i="2" s="1"/>
  <c r="AL1001" i="2"/>
  <c r="Z1001" i="2" s="1"/>
  <c r="AL991" i="2"/>
  <c r="Z991" i="2" s="1"/>
  <c r="AL1042" i="2"/>
  <c r="Z1042" i="2" s="1"/>
  <c r="AL1059" i="2"/>
  <c r="Z1059" i="2" s="1"/>
  <c r="AL1132" i="2"/>
  <c r="Z1132" i="2" s="1"/>
  <c r="AL1176" i="2"/>
  <c r="Z1176" i="2" s="1"/>
  <c r="AL1204" i="2"/>
  <c r="Z1204" i="2" s="1"/>
  <c r="AL1191" i="2"/>
  <c r="Z1191" i="2" s="1"/>
  <c r="AL1203" i="2"/>
  <c r="Z1203" i="2" s="1"/>
  <c r="AL1250" i="2"/>
  <c r="Z1250" i="2" s="1"/>
  <c r="AL1255" i="2"/>
  <c r="Z1255" i="2" s="1"/>
  <c r="AL835" i="2"/>
  <c r="Z835" i="2" s="1"/>
  <c r="AL863" i="2"/>
  <c r="Z863" i="2" s="1"/>
  <c r="AL842" i="2"/>
  <c r="Z842" i="2" s="1"/>
  <c r="AL894" i="2"/>
  <c r="Z894" i="2" s="1"/>
  <c r="AL936" i="2"/>
  <c r="Z936" i="2" s="1"/>
  <c r="AL973" i="2"/>
  <c r="Z973" i="2" s="1"/>
  <c r="AL970" i="2"/>
  <c r="Z970" i="2" s="1"/>
  <c r="AL1014" i="2"/>
  <c r="Z1014" i="2" s="1"/>
  <c r="AL1070" i="2"/>
  <c r="Z1070" i="2" s="1"/>
  <c r="AL1136" i="2"/>
  <c r="Z1136" i="2" s="1"/>
  <c r="AL1196" i="2"/>
  <c r="Z1196" i="2" s="1"/>
  <c r="AL1205" i="2"/>
  <c r="Z1205" i="2" s="1"/>
  <c r="AL1190" i="2"/>
  <c r="Z1190" i="2" s="1"/>
  <c r="AL1216" i="2"/>
  <c r="Z1216" i="2" s="1"/>
  <c r="AL776" i="2"/>
  <c r="Z776" i="2" s="1"/>
  <c r="AL795" i="2"/>
  <c r="Z795" i="2" s="1"/>
  <c r="AL807" i="2"/>
  <c r="Z807" i="2" s="1"/>
  <c r="AL926" i="2"/>
  <c r="Z926" i="2" s="1"/>
  <c r="AL909" i="2"/>
  <c r="Z909" i="2" s="1"/>
  <c r="AL914" i="2"/>
  <c r="Z914" i="2" s="1"/>
  <c r="AL1060" i="2"/>
  <c r="Z1060" i="2" s="1"/>
  <c r="AL1148" i="2"/>
  <c r="Z1148" i="2" s="1"/>
  <c r="AL1137" i="2"/>
  <c r="Z1137" i="2" s="1"/>
  <c r="AL1150" i="2"/>
  <c r="Z1150" i="2" s="1"/>
  <c r="AL1177" i="2"/>
  <c r="Z1177" i="2" s="1"/>
  <c r="AL898" i="2"/>
  <c r="Z898" i="2" s="1"/>
  <c r="AL997" i="2"/>
  <c r="Z997" i="2" s="1"/>
  <c r="AL1114" i="2"/>
  <c r="Z1114" i="2" s="1"/>
  <c r="AL1082" i="2"/>
  <c r="Z1082" i="2" s="1"/>
  <c r="AL258" i="2"/>
  <c r="Z258" i="2" s="1"/>
  <c r="AL382" i="2"/>
  <c r="Z382" i="2" s="1"/>
  <c r="AL810" i="2"/>
  <c r="Z810" i="2" s="1"/>
  <c r="AL832" i="2"/>
  <c r="Z832" i="2" s="1"/>
  <c r="AL818" i="2"/>
  <c r="Z818" i="2" s="1"/>
  <c r="AL852" i="2"/>
  <c r="Z852" i="2" s="1"/>
  <c r="AL945" i="2"/>
  <c r="Z945" i="2" s="1"/>
  <c r="AL1009" i="2"/>
  <c r="Z1009" i="2" s="1"/>
  <c r="AL1093" i="2"/>
  <c r="Z1093" i="2" s="1"/>
  <c r="AL1095" i="2"/>
  <c r="Z1095" i="2" s="1"/>
  <c r="AL1153" i="2"/>
  <c r="Z1153" i="2" s="1"/>
  <c r="AL1166" i="2"/>
  <c r="Z1166" i="2" s="1"/>
  <c r="AL1202" i="2"/>
  <c r="Z1202" i="2" s="1"/>
  <c r="AL838" i="2"/>
  <c r="Z838" i="2" s="1"/>
  <c r="AL956" i="2"/>
  <c r="Z956" i="2" s="1"/>
  <c r="AL955" i="2"/>
  <c r="Z955" i="2" s="1"/>
  <c r="AL1112" i="2"/>
  <c r="Z1112" i="2" s="1"/>
  <c r="AL1013" i="2"/>
  <c r="Z1013" i="2" s="1"/>
  <c r="AL172" i="2"/>
  <c r="Z172" i="2" s="1"/>
  <c r="AL462" i="2"/>
  <c r="Z462" i="2" s="1"/>
  <c r="AL734" i="2"/>
  <c r="Z734" i="2" s="1"/>
  <c r="AL837" i="2"/>
  <c r="Z837" i="2" s="1"/>
  <c r="AL875" i="2"/>
  <c r="Z875" i="2" s="1"/>
  <c r="AL887" i="2"/>
  <c r="Z887" i="2" s="1"/>
  <c r="AL1063" i="2"/>
  <c r="Z1063" i="2" s="1"/>
  <c r="AL1067" i="2"/>
  <c r="Z1067" i="2" s="1"/>
  <c r="AL1078" i="2"/>
  <c r="Z1078" i="2" s="1"/>
  <c r="AL1111" i="2"/>
  <c r="Z1111" i="2" s="1"/>
  <c r="AL1157" i="2"/>
  <c r="Z1157" i="2" s="1"/>
  <c r="AL1155" i="2"/>
  <c r="Z1155" i="2" s="1"/>
  <c r="AL1193" i="2"/>
  <c r="Z1193" i="2" s="1"/>
  <c r="AL927" i="2"/>
  <c r="Z927" i="2" s="1"/>
  <c r="AL1038" i="2"/>
  <c r="Z1038" i="2" s="1"/>
  <c r="AL1200" i="2"/>
  <c r="Z1200" i="2" s="1"/>
  <c r="AL529" i="2"/>
  <c r="Z529" i="2" s="1"/>
  <c r="AL791" i="2"/>
  <c r="Z791" i="2" s="1"/>
  <c r="AL851" i="2"/>
  <c r="Z851" i="2" s="1"/>
  <c r="AL864" i="2"/>
  <c r="Z864" i="2" s="1"/>
  <c r="AL840" i="2"/>
  <c r="Z840" i="2" s="1"/>
  <c r="AL931" i="2"/>
  <c r="Z931" i="2" s="1"/>
  <c r="AL937" i="2"/>
  <c r="Z937" i="2" s="1"/>
  <c r="AL971" i="2"/>
  <c r="Z971" i="2" s="1"/>
  <c r="AL1064" i="2"/>
  <c r="Z1064" i="2" s="1"/>
  <c r="AL1090" i="2"/>
  <c r="Z1090" i="2" s="1"/>
  <c r="AL1071" i="2"/>
  <c r="Z1071" i="2" s="1"/>
  <c r="AL1069" i="2"/>
  <c r="Z1069" i="2" s="1"/>
  <c r="AL1101" i="2"/>
  <c r="Z1101" i="2" s="1"/>
  <c r="AL1099" i="2"/>
  <c r="Z1099" i="2" s="1"/>
  <c r="AL1138" i="2"/>
  <c r="Z1138" i="2" s="1"/>
  <c r="AL1210" i="2"/>
  <c r="Z1210" i="2" s="1"/>
  <c r="AL1230" i="2"/>
  <c r="Z1230" i="2" s="1"/>
  <c r="AL1242" i="2"/>
  <c r="Z1242" i="2" s="1"/>
  <c r="AL1252" i="2"/>
  <c r="Z1252" i="2" s="1"/>
  <c r="AL920" i="2"/>
  <c r="Z920" i="2" s="1"/>
  <c r="AL183" i="2"/>
  <c r="Z183" i="2" s="1"/>
  <c r="AL546" i="2"/>
  <c r="Z546" i="2" s="1"/>
  <c r="AL804" i="2"/>
  <c r="Z804" i="2" s="1"/>
  <c r="AL825" i="2"/>
  <c r="Z825" i="2" s="1"/>
  <c r="AL939" i="2"/>
  <c r="Z939" i="2" s="1"/>
  <c r="AL979" i="2"/>
  <c r="Z979" i="2" s="1"/>
  <c r="AL1018" i="2"/>
  <c r="Z1018" i="2" s="1"/>
  <c r="AL1092" i="2"/>
  <c r="Z1092" i="2" s="1"/>
  <c r="AL1100" i="2"/>
  <c r="Z1100" i="2" s="1"/>
  <c r="AL1123" i="2"/>
  <c r="Z1123" i="2" s="1"/>
  <c r="AL1179" i="2"/>
  <c r="Z1179" i="2" s="1"/>
  <c r="AL1160" i="2"/>
  <c r="Z1160" i="2" s="1"/>
  <c r="AL1263" i="2"/>
  <c r="Z1263" i="2" s="1"/>
  <c r="AL1264" i="2"/>
  <c r="Z1264" i="2" s="1"/>
  <c r="AL990" i="2"/>
  <c r="Z990" i="2" s="1"/>
  <c r="AL989" i="2"/>
  <c r="Z989" i="2" s="1"/>
  <c r="AL1023" i="2"/>
  <c r="Z1023" i="2" s="1"/>
  <c r="AL1033" i="2"/>
  <c r="Z1033" i="2" s="1"/>
  <c r="AL151" i="2"/>
  <c r="Z151" i="2" s="1"/>
  <c r="AL212" i="2"/>
  <c r="Z212" i="2" s="1"/>
  <c r="AL547" i="2"/>
  <c r="Z547" i="2" s="1"/>
  <c r="AL699" i="2"/>
  <c r="Z699" i="2" s="1"/>
  <c r="AL762" i="2"/>
  <c r="Z762" i="2" s="1"/>
  <c r="AL882" i="2"/>
  <c r="Z882" i="2" s="1"/>
  <c r="AL928" i="2"/>
  <c r="Z928" i="2" s="1"/>
  <c r="AL998" i="2"/>
  <c r="Z998" i="2" s="1"/>
  <c r="AL1097" i="2"/>
  <c r="Z1097" i="2" s="1"/>
  <c r="AL1133" i="2"/>
  <c r="Z1133" i="2" s="1"/>
  <c r="AL1175" i="2"/>
  <c r="Z1175" i="2" s="1"/>
  <c r="AL1254" i="2"/>
  <c r="Z1254" i="2" s="1"/>
  <c r="AL1268" i="2"/>
  <c r="Z1268" i="2" s="1"/>
  <c r="AL331" i="2"/>
  <c r="Z331" i="2" s="1"/>
  <c r="AL533" i="2"/>
  <c r="Z533" i="2" s="1"/>
  <c r="AL861" i="2"/>
  <c r="Z861" i="2" s="1"/>
  <c r="AL886" i="2"/>
  <c r="Z886" i="2" s="1"/>
  <c r="AL873" i="2"/>
  <c r="Z873" i="2" s="1"/>
  <c r="AL942" i="2"/>
  <c r="Z942" i="2" s="1"/>
  <c r="AL953" i="2"/>
  <c r="Z953" i="2" s="1"/>
  <c r="AL987" i="2"/>
  <c r="Z987" i="2" s="1"/>
  <c r="AL1046" i="2"/>
  <c r="Z1046" i="2" s="1"/>
  <c r="AL1083" i="2"/>
  <c r="Z1083" i="2" s="1"/>
  <c r="AL1127" i="2"/>
  <c r="Z1127" i="2" s="1"/>
  <c r="AL1110" i="2"/>
  <c r="Z1110" i="2" s="1"/>
  <c r="AL1124" i="2"/>
  <c r="Z1124" i="2" s="1"/>
  <c r="AL1164" i="2"/>
  <c r="Z1164" i="2" s="1"/>
  <c r="AL820" i="2"/>
  <c r="Z820" i="2" s="1"/>
  <c r="AL946" i="2"/>
  <c r="Z946" i="2" s="1"/>
  <c r="AL1047" i="2"/>
  <c r="Z1047" i="2" s="1"/>
  <c r="AL1034" i="2"/>
  <c r="Z1034" i="2" s="1"/>
  <c r="AL390" i="2"/>
  <c r="Z390" i="2" s="1"/>
  <c r="AL505" i="2"/>
  <c r="Z505" i="2" s="1"/>
  <c r="AL564" i="2"/>
  <c r="Z564" i="2" s="1"/>
  <c r="AL607" i="2"/>
  <c r="Z607" i="2" s="1"/>
  <c r="AL778" i="2"/>
  <c r="Z778" i="2" s="1"/>
  <c r="AL819" i="2"/>
  <c r="Z819" i="2" s="1"/>
  <c r="AL899" i="2"/>
  <c r="Z899" i="2" s="1"/>
  <c r="AL944" i="2"/>
  <c r="Z944" i="2" s="1"/>
  <c r="AL1016" i="2"/>
  <c r="Z1016" i="2" s="1"/>
  <c r="AL1084" i="2"/>
  <c r="Z1084" i="2" s="1"/>
  <c r="AL1089" i="2"/>
  <c r="Z1089" i="2" s="1"/>
  <c r="AL1053" i="2"/>
  <c r="Z1053" i="2" s="1"/>
  <c r="AL1094" i="2"/>
  <c r="Z1094" i="2" s="1"/>
  <c r="AL1192" i="2"/>
  <c r="Z1192" i="2" s="1"/>
  <c r="AL1235" i="2"/>
  <c r="Z1235" i="2" s="1"/>
  <c r="AL1186" i="2"/>
  <c r="Z1186" i="2" s="1"/>
  <c r="AL1215" i="2"/>
  <c r="Z1215" i="2" s="1"/>
  <c r="AL188" i="2"/>
  <c r="Z188" i="2" s="1"/>
  <c r="AL363" i="2"/>
  <c r="Z363" i="2" s="1"/>
  <c r="AL498" i="2"/>
  <c r="Z498" i="2" s="1"/>
  <c r="AL833" i="2"/>
  <c r="Z833" i="2" s="1"/>
  <c r="AL860" i="2"/>
  <c r="Z860" i="2" s="1"/>
  <c r="AL907" i="2"/>
  <c r="Z907" i="2" s="1"/>
  <c r="AL918" i="2"/>
  <c r="Z918" i="2" s="1"/>
  <c r="AL968" i="2"/>
  <c r="Z968" i="2" s="1"/>
  <c r="AL978" i="2"/>
  <c r="Z978" i="2" s="1"/>
  <c r="AL975" i="2"/>
  <c r="Z975" i="2" s="1"/>
  <c r="AL1027" i="2"/>
  <c r="Z1027" i="2" s="1"/>
  <c r="AL1074" i="2"/>
  <c r="Z1074" i="2" s="1"/>
  <c r="AL1121" i="2"/>
  <c r="Z1121" i="2" s="1"/>
  <c r="AL1113" i="2"/>
  <c r="Z1113" i="2" s="1"/>
  <c r="AL1120" i="2"/>
  <c r="Z1120" i="2" s="1"/>
  <c r="AL1184" i="2"/>
  <c r="Z1184" i="2" s="1"/>
  <c r="AL1195" i="2"/>
  <c r="Z1195" i="2" s="1"/>
  <c r="AL744" i="2"/>
  <c r="Z744" i="2" s="1"/>
  <c r="AL872" i="2"/>
  <c r="Z872" i="2" s="1"/>
  <c r="AL962" i="2"/>
  <c r="Z962" i="2" s="1"/>
  <c r="AL1096" i="2"/>
  <c r="Z1096" i="2" s="1"/>
  <c r="AL1159" i="2"/>
  <c r="Z1159" i="2" s="1"/>
  <c r="AL1139" i="2"/>
  <c r="Z1139" i="2" s="1"/>
  <c r="AL1197" i="2"/>
  <c r="Z1197" i="2" s="1"/>
  <c r="AL1198" i="2"/>
  <c r="Z1198" i="2" s="1"/>
  <c r="AL1256" i="2"/>
  <c r="Z1256" i="2" s="1"/>
  <c r="AL1270" i="2"/>
  <c r="Z1270" i="2" s="1"/>
  <c r="AL1024" i="2"/>
  <c r="Z1024" i="2" s="1"/>
  <c r="AL1154" i="2"/>
  <c r="Z1154" i="2" s="1"/>
  <c r="AL1117" i="2"/>
  <c r="Z1117" i="2" s="1"/>
  <c r="AL961" i="2"/>
  <c r="Z961" i="2" s="1"/>
  <c r="AL980" i="2"/>
  <c r="Z980" i="2" s="1"/>
  <c r="AL226" i="2"/>
  <c r="Z226" i="2" s="1"/>
  <c r="AL274" i="2"/>
  <c r="Z274" i="2" s="1"/>
  <c r="AL532" i="2"/>
  <c r="Z532" i="2" s="1"/>
  <c r="AL742" i="2"/>
  <c r="Z742" i="2" s="1"/>
  <c r="AL878" i="2"/>
  <c r="Z878" i="2" s="1"/>
  <c r="AL1267" i="2"/>
  <c r="Z1267" i="2" s="1"/>
  <c r="AL806" i="2"/>
  <c r="Z806" i="2" s="1"/>
  <c r="AL846" i="2"/>
  <c r="Z846" i="2" s="1"/>
  <c r="AL1229" i="2"/>
  <c r="Z1229" i="2" s="1"/>
  <c r="AL1260" i="2"/>
  <c r="Z1260" i="2" s="1"/>
  <c r="AL294" i="2"/>
  <c r="Z294" i="2" s="1"/>
  <c r="AL1135" i="2"/>
  <c r="Z1135" i="2" s="1"/>
  <c r="AL560" i="2"/>
  <c r="Z560" i="2" s="1"/>
  <c r="AL1025" i="2"/>
  <c r="Z1025" i="2" s="1"/>
  <c r="AL767" i="2"/>
  <c r="Z767" i="2" s="1"/>
  <c r="AL1050" i="2"/>
  <c r="Z1050" i="2" s="1"/>
  <c r="AL783" i="2"/>
  <c r="Z783" i="2" s="1"/>
  <c r="AL520" i="2"/>
  <c r="Z520" i="2" s="1"/>
  <c r="AL344" i="2"/>
  <c r="Z344" i="2" s="1"/>
  <c r="AL1088" i="2"/>
  <c r="Z1088" i="2" s="1"/>
  <c r="AL1222" i="2"/>
  <c r="Z1222" i="2" s="1"/>
  <c r="AL1051" i="2"/>
  <c r="Z1051" i="2" s="1"/>
  <c r="AL192" i="2"/>
  <c r="Z192" i="2" s="1"/>
  <c r="AL631" i="2"/>
  <c r="Z631" i="2" s="1"/>
  <c r="AL715" i="2"/>
  <c r="Z715" i="2" s="1"/>
  <c r="AL431" i="2"/>
  <c r="Z431" i="2" s="1"/>
  <c r="AL680" i="2"/>
  <c r="Z680" i="2" s="1"/>
  <c r="AL799" i="2"/>
  <c r="Z799" i="2" s="1"/>
  <c r="AL663" i="2"/>
  <c r="Z663" i="2" s="1"/>
  <c r="AL615" i="2"/>
  <c r="Z615" i="2" s="1"/>
  <c r="AL364" i="2"/>
  <c r="Z364" i="2" s="1"/>
  <c r="AL321" i="2"/>
  <c r="Z321" i="2" s="1"/>
  <c r="AL266" i="2"/>
  <c r="Z266" i="2" s="1"/>
  <c r="AL785" i="2"/>
  <c r="Z785" i="2" s="1"/>
  <c r="AL1212" i="2"/>
  <c r="Z1212" i="2" s="1"/>
  <c r="AL1152" i="2"/>
  <c r="Z1152" i="2" s="1"/>
  <c r="AL1149" i="2"/>
  <c r="Z1149" i="2" s="1"/>
  <c r="AL1102" i="2"/>
  <c r="Z1102" i="2" s="1"/>
  <c r="AL1031" i="2"/>
  <c r="Z1031" i="2" s="1"/>
  <c r="AL353" i="2"/>
  <c r="Z353" i="2" s="1"/>
  <c r="AL1118" i="2"/>
  <c r="Z1118" i="2" s="1"/>
  <c r="AL1081" i="2"/>
  <c r="Z1081" i="2" s="1"/>
  <c r="AL360" i="2"/>
  <c r="Z360" i="2" s="1"/>
  <c r="AL1020" i="2"/>
  <c r="Z1020" i="2" s="1"/>
  <c r="AL1226" i="2"/>
  <c r="Z1226" i="2" s="1"/>
  <c r="AL1000" i="2"/>
  <c r="Z1000" i="2" s="1"/>
  <c r="AL1207" i="2"/>
  <c r="Z1207" i="2" s="1"/>
  <c r="AL877" i="2"/>
  <c r="Z877" i="2" s="1"/>
  <c r="AL627" i="2"/>
  <c r="Z627" i="2" s="1"/>
  <c r="AL823" i="2"/>
  <c r="Z823" i="2" s="1"/>
  <c r="AL604" i="2"/>
  <c r="Z604" i="2" s="1"/>
  <c r="AL525" i="2"/>
  <c r="Z525" i="2" s="1"/>
  <c r="AL282" i="2"/>
  <c r="Z282" i="2" s="1"/>
  <c r="AL666" i="2"/>
  <c r="Z666" i="2" s="1"/>
  <c r="AL332" i="2"/>
  <c r="Z332" i="2" s="1"/>
  <c r="AL225" i="2"/>
  <c r="Z225" i="2" s="1"/>
  <c r="AL713" i="2"/>
  <c r="Z713" i="2" s="1"/>
  <c r="AL786" i="2"/>
  <c r="Z786" i="2" s="1"/>
  <c r="AL393" i="2"/>
  <c r="Z393" i="2" s="1"/>
  <c r="AL375" i="2"/>
  <c r="Z375" i="2" s="1"/>
  <c r="AL440" i="2"/>
  <c r="Z440" i="2" s="1"/>
  <c r="AL725" i="2"/>
  <c r="Z725" i="2" s="1"/>
  <c r="AL694" i="2"/>
  <c r="Z694" i="2" s="1"/>
  <c r="AL964" i="2"/>
  <c r="Z964" i="2" s="1"/>
  <c r="AL1247" i="2"/>
  <c r="Z1247" i="2" s="1"/>
  <c r="AL1054" i="2"/>
  <c r="Z1054" i="2" s="1"/>
  <c r="AL1221" i="2"/>
  <c r="Z1221" i="2" s="1"/>
  <c r="AL1125" i="2"/>
  <c r="Z1125" i="2" s="1"/>
  <c r="AL1218" i="2"/>
  <c r="Z1218" i="2" s="1"/>
  <c r="AL1173" i="2"/>
  <c r="Z1173" i="2" s="1"/>
  <c r="AL280" i="2"/>
  <c r="Z280" i="2" s="1"/>
  <c r="AL910" i="2"/>
  <c r="Z910" i="2" s="1"/>
  <c r="AL952" i="2"/>
  <c r="Z952" i="2" s="1"/>
  <c r="AL559" i="2"/>
  <c r="Z559" i="2" s="1"/>
  <c r="AL1011" i="2"/>
  <c r="Z1011" i="2" s="1"/>
  <c r="AL1079" i="2"/>
  <c r="Z1079" i="2" s="1"/>
  <c r="AL1225" i="2"/>
  <c r="Z1225" i="2" s="1"/>
  <c r="AL1158" i="2"/>
  <c r="Z1158" i="2" s="1"/>
  <c r="AL1021" i="2"/>
  <c r="Z1021" i="2" s="1"/>
  <c r="AL1180" i="2"/>
  <c r="Z1180" i="2" s="1"/>
  <c r="AL757" i="2"/>
  <c r="Z757" i="2" s="1"/>
  <c r="AL315" i="2"/>
  <c r="Z315" i="2" s="1"/>
  <c r="AL730" i="2"/>
  <c r="Z730" i="2" s="1"/>
  <c r="AL555" i="2"/>
  <c r="Z555" i="2" s="1"/>
  <c r="AL152" i="2"/>
  <c r="Z152" i="2" s="1"/>
  <c r="AL449" i="2"/>
  <c r="Z449" i="2" s="1"/>
  <c r="AL630" i="2"/>
  <c r="Z630" i="2" s="1"/>
  <c r="AL516" i="2"/>
  <c r="Z516" i="2" s="1"/>
  <c r="AL457" i="2"/>
  <c r="Z457" i="2" s="1"/>
  <c r="AL270" i="2"/>
  <c r="Z270" i="2" s="1"/>
  <c r="AL234" i="2"/>
  <c r="Z234" i="2" s="1"/>
  <c r="AL473" i="2"/>
  <c r="Z473" i="2" s="1"/>
  <c r="AL322" i="2"/>
  <c r="Z322" i="2" s="1"/>
  <c r="AL913" i="2"/>
  <c r="Z913" i="2" s="1"/>
  <c r="AL1141" i="2"/>
  <c r="Z1141" i="2" s="1"/>
  <c r="AL1219" i="2"/>
  <c r="Z1219" i="2" s="1"/>
  <c r="AL1187" i="2"/>
  <c r="Z1187" i="2" s="1"/>
  <c r="AL923" i="2"/>
  <c r="Z923" i="2" s="1"/>
  <c r="AL850" i="2"/>
  <c r="Z850" i="2" s="1"/>
  <c r="AL1076" i="2"/>
  <c r="Z1076" i="2" s="1"/>
  <c r="AL984" i="2"/>
  <c r="Z984" i="2" s="1"/>
  <c r="AL503" i="2"/>
  <c r="Z503" i="2" s="1"/>
  <c r="AL1017" i="2"/>
  <c r="Z1017" i="2" s="1"/>
  <c r="AL308" i="2"/>
  <c r="Z308" i="2" s="1"/>
  <c r="AL1012" i="2"/>
  <c r="Z1012" i="2" s="1"/>
  <c r="AL896" i="2"/>
  <c r="Z896" i="2" s="1"/>
  <c r="AL1194" i="2"/>
  <c r="Z1194" i="2" s="1"/>
  <c r="AL309" i="2"/>
  <c r="Z309" i="2" s="1"/>
  <c r="AL203" i="2"/>
  <c r="Z203" i="2" s="1"/>
  <c r="AL1266" i="2"/>
  <c r="Z1266" i="2" s="1"/>
  <c r="AL168" i="2"/>
  <c r="Z168" i="2" s="1"/>
  <c r="AL477" i="2"/>
  <c r="Z477" i="2" s="1"/>
  <c r="AL512" i="2"/>
  <c r="Z512" i="2" s="1"/>
  <c r="AL426" i="2"/>
  <c r="Z426" i="2" s="1"/>
  <c r="AL698" i="2"/>
  <c r="Z698" i="2" s="1"/>
  <c r="AL538" i="2"/>
  <c r="Z538" i="2" s="1"/>
  <c r="AL162" i="2"/>
  <c r="Z162" i="2" s="1"/>
  <c r="AL101" i="2"/>
  <c r="Z101" i="2" s="1"/>
  <c r="AL556" i="2"/>
  <c r="Z556" i="2" s="1"/>
  <c r="AL629" i="2"/>
  <c r="Z629" i="2" s="1"/>
  <c r="AL336" i="2"/>
  <c r="Z336" i="2" s="1"/>
  <c r="AL184" i="2"/>
  <c r="Z184" i="2" s="1"/>
  <c r="AL636" i="2"/>
  <c r="Z636" i="2" s="1"/>
  <c r="AL753" i="2"/>
  <c r="Z753" i="2" s="1"/>
  <c r="AL669" i="2"/>
  <c r="Z669" i="2" s="1"/>
  <c r="AL444" i="2"/>
  <c r="Z444" i="2" s="1"/>
  <c r="AL400" i="2"/>
  <c r="Z400" i="2" s="1"/>
  <c r="AL839" i="2"/>
  <c r="Z839" i="2" s="1"/>
  <c r="AL1103" i="2"/>
  <c r="Z1103" i="2" s="1"/>
  <c r="AL1044" i="2"/>
  <c r="Z1044" i="2" s="1"/>
  <c r="AL1140" i="2"/>
  <c r="Z1140" i="2" s="1"/>
  <c r="AL1107" i="2"/>
  <c r="Z1107" i="2" s="1"/>
  <c r="AL1032" i="2"/>
  <c r="Z1032" i="2" s="1"/>
  <c r="AL995" i="2"/>
  <c r="Z995" i="2" s="1"/>
  <c r="AL940" i="2"/>
  <c r="Z940" i="2" s="1"/>
  <c r="AL1073" i="2"/>
  <c r="Z1073" i="2" s="1"/>
  <c r="AL892" i="2"/>
  <c r="Z892" i="2" s="1"/>
  <c r="AL728" i="2"/>
  <c r="Z728" i="2" s="1"/>
  <c r="AL1057" i="2"/>
  <c r="Z1057" i="2" s="1"/>
  <c r="AL938" i="2"/>
  <c r="Z938" i="2" s="1"/>
  <c r="AL1147" i="2"/>
  <c r="Z1147" i="2" s="1"/>
  <c r="AL1006" i="2"/>
  <c r="Z1006" i="2" s="1"/>
  <c r="AL809" i="2"/>
  <c r="Z809" i="2" s="1"/>
  <c r="AL460" i="2"/>
  <c r="Z460" i="2" s="1"/>
  <c r="AL369" i="2"/>
  <c r="Z369" i="2" s="1"/>
  <c r="AL217" i="2"/>
  <c r="Z217" i="2" s="1"/>
  <c r="AL763" i="2"/>
  <c r="Z763" i="2" s="1"/>
  <c r="AL712" i="2"/>
  <c r="Z712" i="2" s="1"/>
  <c r="AL700" i="2"/>
  <c r="Z700" i="2" s="1"/>
  <c r="AL174" i="2"/>
  <c r="Z174" i="2" s="1"/>
  <c r="AL650" i="2"/>
  <c r="Z650" i="2" s="1"/>
  <c r="AL312" i="2"/>
  <c r="Z312" i="2" s="1"/>
  <c r="AL232" i="2"/>
  <c r="Z232" i="2" s="1"/>
  <c r="AL254" i="2"/>
  <c r="Z254" i="2" s="1"/>
  <c r="AL368" i="2"/>
  <c r="Z368" i="2" s="1"/>
  <c r="AL1214" i="2"/>
  <c r="Z1214" i="2" s="1"/>
  <c r="AL1146" i="2"/>
  <c r="Z1146" i="2" s="1"/>
  <c r="AL1003" i="2"/>
  <c r="Z1003" i="2" s="1"/>
  <c r="AL470" i="2"/>
  <c r="Z470" i="2" s="1"/>
  <c r="AL794" i="2"/>
  <c r="Z794" i="2" s="1"/>
  <c r="AL921" i="2"/>
  <c r="Z921" i="2" s="1"/>
  <c r="AL890" i="2"/>
  <c r="Z890" i="2" s="1"/>
  <c r="AL1007" i="2"/>
  <c r="Z1007" i="2" s="1"/>
  <c r="AL541" i="2"/>
  <c r="Z541" i="2" s="1"/>
  <c r="AL822" i="2"/>
  <c r="Z822" i="2" s="1"/>
  <c r="AL849" i="2"/>
  <c r="Z849" i="2" s="1"/>
  <c r="AL626" i="2"/>
  <c r="Z626" i="2" s="1"/>
  <c r="AL552" i="2"/>
  <c r="Z552" i="2" s="1"/>
  <c r="AL673" i="2"/>
  <c r="Z673" i="2" s="1"/>
  <c r="AL406" i="2"/>
  <c r="Z406" i="2" s="1"/>
  <c r="AL752" i="2"/>
  <c r="Z752" i="2" s="1"/>
  <c r="AL625" i="2"/>
  <c r="Z625" i="2" s="1"/>
  <c r="AL1249" i="2"/>
  <c r="Z1249" i="2" s="1"/>
  <c r="AL1062" i="2"/>
  <c r="Z1062" i="2" s="1"/>
  <c r="AL883" i="2"/>
  <c r="Z883" i="2" s="1"/>
  <c r="AL782" i="2"/>
  <c r="Z782" i="2" s="1"/>
  <c r="AL1041" i="2"/>
  <c r="Z1041" i="2" s="1"/>
  <c r="AL871" i="2"/>
  <c r="Z871" i="2" s="1"/>
  <c r="AL1144" i="2"/>
  <c r="Z1144" i="2" s="1"/>
  <c r="AL947" i="2"/>
  <c r="Z947" i="2" s="1"/>
  <c r="AL1258" i="2"/>
  <c r="Z1258" i="2" s="1"/>
  <c r="AL902" i="2"/>
  <c r="Z902" i="2" s="1"/>
  <c r="AL1167" i="2"/>
  <c r="Z1167" i="2" s="1"/>
  <c r="AL808" i="2"/>
  <c r="Z808" i="2" s="1"/>
  <c r="AL1056" i="2"/>
  <c r="Z1056" i="2" s="1"/>
  <c r="AL1232" i="2"/>
  <c r="Z1232" i="2" s="1"/>
  <c r="AL959" i="2"/>
  <c r="Z959" i="2" s="1"/>
  <c r="AL567" i="2"/>
  <c r="Z567" i="2" s="1"/>
  <c r="AL252" i="2"/>
  <c r="Z252" i="2" s="1"/>
  <c r="AL1238" i="2"/>
  <c r="Z1238" i="2" s="1"/>
  <c r="AL1087" i="2"/>
  <c r="Z1087" i="2" s="1"/>
  <c r="AL668" i="2"/>
  <c r="Z668" i="2" s="1"/>
  <c r="AL594" i="2"/>
  <c r="Z594" i="2" s="1"/>
  <c r="AL487" i="2"/>
  <c r="Z487" i="2" s="1"/>
  <c r="AL93" i="2"/>
  <c r="Z93" i="2" s="1"/>
  <c r="AL584" i="2"/>
  <c r="Z584" i="2" s="1"/>
  <c r="AL515" i="2"/>
  <c r="Z515" i="2" s="1"/>
  <c r="AL235" i="2"/>
  <c r="Z235" i="2" s="1"/>
  <c r="AL175" i="2"/>
  <c r="Z175" i="2" s="1"/>
  <c r="AL206" i="2"/>
  <c r="Z206" i="2" s="1"/>
  <c r="AL221" i="2"/>
  <c r="Z221" i="2" s="1"/>
  <c r="AL664" i="2"/>
  <c r="Z664" i="2" s="1"/>
  <c r="AL542" i="2"/>
  <c r="Z542" i="2" s="1"/>
  <c r="AL346" i="2"/>
  <c r="Z346" i="2" s="1"/>
  <c r="AL297" i="2"/>
  <c r="Z297" i="2" s="1"/>
  <c r="AL238" i="2"/>
  <c r="Z238" i="2" s="1"/>
  <c r="AL684" i="2"/>
  <c r="Z684" i="2" s="1"/>
  <c r="AL709" i="2"/>
  <c r="Z709" i="2" s="1"/>
  <c r="AL985" i="2"/>
  <c r="Z985" i="2" s="1"/>
  <c r="AL1029" i="2"/>
  <c r="Z1029" i="2" s="1"/>
  <c r="AL348" i="2"/>
  <c r="Z348" i="2" s="1"/>
  <c r="AL988" i="2"/>
  <c r="Z988" i="2" s="1"/>
  <c r="AL1077" i="2"/>
  <c r="Z1077" i="2" s="1"/>
  <c r="AL963" i="2"/>
  <c r="Z963" i="2" s="1"/>
  <c r="AL1128" i="2"/>
  <c r="Z1128" i="2" s="1"/>
  <c r="AL1015" i="2"/>
  <c r="Z1015" i="2" s="1"/>
  <c r="AL1240" i="2"/>
  <c r="Z1240" i="2" s="1"/>
  <c r="AL399" i="2"/>
  <c r="Z399" i="2" s="1"/>
  <c r="AL1251" i="2"/>
  <c r="Z1251" i="2" s="1"/>
  <c r="AL866" i="2"/>
  <c r="Z866" i="2" s="1"/>
  <c r="AL732" i="2"/>
  <c r="Z732" i="2" s="1"/>
  <c r="AL237" i="2"/>
  <c r="Z237" i="2" s="1"/>
  <c r="AL654" i="2"/>
  <c r="Z654" i="2" s="1"/>
  <c r="AL169" i="2"/>
  <c r="Z169" i="2" s="1"/>
  <c r="AL729" i="2"/>
  <c r="Z729" i="2" s="1"/>
  <c r="AL486" i="2"/>
  <c r="Z486" i="2" s="1"/>
  <c r="AL256" i="2"/>
  <c r="Z256" i="2" s="1"/>
  <c r="AL339" i="2"/>
  <c r="Z339" i="2" s="1"/>
  <c r="AL430" i="2"/>
  <c r="Z430" i="2" s="1"/>
  <c r="AL415" i="2"/>
  <c r="Z415" i="2" s="1"/>
  <c r="AL965" i="2"/>
  <c r="Z965" i="2" s="1"/>
  <c r="AL994" i="2"/>
  <c r="Z994" i="2" s="1"/>
  <c r="AL784" i="2"/>
  <c r="Z784" i="2" s="1"/>
  <c r="AL1043" i="2"/>
  <c r="Z1043" i="2" s="1"/>
  <c r="AL1185" i="2"/>
  <c r="Z1185" i="2" s="1"/>
  <c r="AL1104" i="2"/>
  <c r="Z1104" i="2" s="1"/>
  <c r="AL844" i="2"/>
  <c r="Z844" i="2" s="1"/>
  <c r="AL1224" i="2"/>
  <c r="Z1224" i="2" s="1"/>
  <c r="AL1168" i="2"/>
  <c r="Z1168" i="2" s="1"/>
  <c r="AL843" i="2"/>
  <c r="Z843" i="2" s="1"/>
  <c r="AL848" i="2"/>
  <c r="Z848" i="2" s="1"/>
  <c r="AL521" i="2"/>
  <c r="Z521" i="2" s="1"/>
  <c r="AL1039" i="2"/>
  <c r="Z1039" i="2" s="1"/>
  <c r="AL1182" i="2"/>
  <c r="Z1182" i="2" s="1"/>
  <c r="AL446" i="2"/>
  <c r="Z446" i="2" s="1"/>
  <c r="AL705" i="2"/>
  <c r="Z705" i="2" s="1"/>
  <c r="AL570" i="2"/>
  <c r="Z570" i="2" s="1"/>
  <c r="AL433" i="2"/>
  <c r="Z433" i="2" s="1"/>
  <c r="AL410" i="2"/>
  <c r="Z410" i="2" s="1"/>
  <c r="AL652" i="2"/>
  <c r="Z652" i="2" s="1"/>
  <c r="AL523" i="2"/>
  <c r="Z523" i="2" s="1"/>
  <c r="AL490" i="2"/>
  <c r="Z490" i="2" s="1"/>
  <c r="AL97" i="2"/>
  <c r="Z97" i="2" s="1"/>
  <c r="AL447" i="2"/>
  <c r="Z447" i="2" s="1"/>
  <c r="AL411" i="2"/>
  <c r="Z411" i="2" s="1"/>
  <c r="AL941" i="2"/>
  <c r="Z941" i="2" s="1"/>
  <c r="AL1055" i="2"/>
  <c r="Z1055" i="2" s="1"/>
  <c r="AL551" i="2"/>
  <c r="Z551" i="2" s="1"/>
  <c r="AL679" i="2"/>
  <c r="Z679" i="2" s="1"/>
  <c r="AL54" i="2"/>
  <c r="Z54" i="2" s="1"/>
  <c r="AL834" i="2"/>
  <c r="Z834" i="2" s="1"/>
  <c r="AL1170" i="2"/>
  <c r="Z1170" i="2" s="1"/>
  <c r="AL1068" i="2"/>
  <c r="Z1068" i="2" s="1"/>
  <c r="AL830" i="2"/>
  <c r="Z830" i="2" s="1"/>
  <c r="AL428" i="2"/>
  <c r="Z428" i="2" s="1"/>
  <c r="AL983" i="2"/>
  <c r="Z983" i="2" s="1"/>
  <c r="AL949" i="2"/>
  <c r="Z949" i="2" s="1"/>
  <c r="AL153" i="2"/>
  <c r="Z153" i="2" s="1"/>
  <c r="AL1075" i="2"/>
  <c r="Z1075" i="2" s="1"/>
  <c r="AL1129" i="2"/>
  <c r="Z1129" i="2" s="1"/>
  <c r="AL255" i="2"/>
  <c r="Z255" i="2" s="1"/>
  <c r="AL678" i="2"/>
  <c r="Z678" i="2" s="1"/>
  <c r="AL676" i="2"/>
  <c r="Z676" i="2" s="1"/>
  <c r="AL519" i="2"/>
  <c r="Z519" i="2" s="1"/>
  <c r="AL219" i="2"/>
  <c r="Z219" i="2" s="1"/>
  <c r="AL766" i="2"/>
  <c r="Z766" i="2" s="1"/>
  <c r="AL239" i="2"/>
  <c r="Z239" i="2" s="1"/>
  <c r="AL121" i="2"/>
  <c r="Z121" i="2" s="1"/>
  <c r="AL149" i="2"/>
  <c r="Z149" i="2" s="1"/>
  <c r="AL554" i="2"/>
  <c r="Z554" i="2" s="1"/>
  <c r="AL576" i="2"/>
  <c r="Z576" i="2" s="1"/>
  <c r="AL305" i="2"/>
  <c r="Z305" i="2" s="1"/>
  <c r="AL380" i="2"/>
  <c r="Z380" i="2" s="1"/>
  <c r="AL780" i="2"/>
  <c r="Z780" i="2" s="1"/>
  <c r="AL1265" i="2"/>
  <c r="Z1265" i="2" s="1"/>
  <c r="AL999" i="2"/>
  <c r="Z999" i="2" s="1"/>
  <c r="AL986" i="2"/>
  <c r="Z986" i="2" s="1"/>
  <c r="AL792" i="2"/>
  <c r="Z792" i="2" s="1"/>
  <c r="AL884" i="2"/>
  <c r="Z884" i="2" s="1"/>
  <c r="AL395" i="2"/>
  <c r="Z395" i="2" s="1"/>
  <c r="AL1183" i="2"/>
  <c r="Z1183" i="2" s="1"/>
  <c r="AL1066" i="2"/>
  <c r="Z1066" i="2" s="1"/>
  <c r="AL976" i="2"/>
  <c r="Z976" i="2" s="1"/>
  <c r="AL1130" i="2"/>
  <c r="Z1130" i="2" s="1"/>
  <c r="AL751" i="2"/>
  <c r="Z751" i="2" s="1"/>
  <c r="AL571" i="2"/>
  <c r="Z571" i="2" s="1"/>
  <c r="AL854" i="2"/>
  <c r="Z854" i="2" s="1"/>
  <c r="AL859" i="2"/>
  <c r="Z859" i="2" s="1"/>
  <c r="AL943" i="2"/>
  <c r="Z943" i="2" s="1"/>
  <c r="AL41" i="2"/>
  <c r="Z41" i="2" s="1"/>
  <c r="AL815" i="2"/>
  <c r="Z815" i="2" s="1"/>
  <c r="AL587" i="2"/>
  <c r="Z587" i="2" s="1"/>
  <c r="AL401" i="2"/>
  <c r="Z401" i="2" s="1"/>
  <c r="AL128" i="2"/>
  <c r="Z128" i="2" s="1"/>
  <c r="AL409" i="2"/>
  <c r="Z409" i="2" s="1"/>
  <c r="AL278" i="2"/>
  <c r="Z278" i="2" s="1"/>
  <c r="AL204" i="2"/>
  <c r="Z204" i="2" s="1"/>
  <c r="AL535" i="2"/>
  <c r="Z535" i="2" s="1"/>
  <c r="AL355" i="2"/>
  <c r="Z355" i="2" s="1"/>
  <c r="AL236" i="2"/>
  <c r="Z236" i="2" s="1"/>
  <c r="AL765" i="2"/>
  <c r="Z765" i="2" s="1"/>
  <c r="AL599" i="2"/>
  <c r="Z599" i="2" s="1"/>
  <c r="AL553" i="2"/>
  <c r="Z553" i="2" s="1"/>
  <c r="AL384" i="2"/>
  <c r="Z384" i="2" s="1"/>
  <c r="AL283" i="2"/>
  <c r="Z283" i="2" s="1"/>
  <c r="AL272" i="2"/>
  <c r="Z272" i="2" s="1"/>
  <c r="AL745" i="2"/>
  <c r="Z745" i="2" s="1"/>
  <c r="AL870" i="2"/>
  <c r="Z870" i="2" s="1"/>
  <c r="AL620" i="2"/>
  <c r="Z620" i="2" s="1"/>
  <c r="AL911" i="2"/>
  <c r="Z911" i="2" s="1"/>
  <c r="AL1165" i="2"/>
  <c r="Z1165" i="2" s="1"/>
  <c r="AL812" i="2"/>
  <c r="Z812" i="2" s="1"/>
  <c r="AL1134" i="2"/>
  <c r="Z1134" i="2" s="1"/>
  <c r="AL1028" i="2"/>
  <c r="Z1028" i="2" s="1"/>
  <c r="AL895" i="2"/>
  <c r="Z895" i="2" s="1"/>
  <c r="AL764" i="2"/>
  <c r="Z764" i="2" s="1"/>
  <c r="AL404" i="2"/>
  <c r="Z404" i="2" s="1"/>
  <c r="AL1030" i="2"/>
  <c r="Z1030" i="2" s="1"/>
  <c r="AL1008" i="2"/>
  <c r="Z1008" i="2" s="1"/>
  <c r="AL1199" i="2"/>
  <c r="Z1199" i="2" s="1"/>
  <c r="AL1223" i="2"/>
  <c r="Z1223" i="2" s="1"/>
  <c r="AL1058" i="2"/>
  <c r="Z1058" i="2" s="1"/>
  <c r="AL1036" i="2"/>
  <c r="Z1036" i="2" s="1"/>
  <c r="AL867" i="2"/>
  <c r="Z867" i="2" s="1"/>
  <c r="AL1174" i="2"/>
  <c r="Z1174" i="2" s="1"/>
  <c r="AL540" i="2"/>
  <c r="Z540" i="2" s="1"/>
  <c r="AL534" i="2"/>
  <c r="Z534" i="2" s="1"/>
  <c r="AL416" i="2"/>
  <c r="Z416" i="2" s="1"/>
  <c r="AL222" i="2"/>
  <c r="Z222" i="2" s="1"/>
  <c r="AL396" i="2"/>
  <c r="Z396" i="2" s="1"/>
  <c r="AL200" i="2"/>
  <c r="Z200" i="2" s="1"/>
  <c r="AL796" i="2"/>
  <c r="Z796" i="2" s="1"/>
  <c r="AL502" i="2"/>
  <c r="Z502" i="2" s="1"/>
  <c r="AL1119" i="2"/>
  <c r="Z1119" i="2" s="1"/>
  <c r="AL573" i="2"/>
  <c r="Z573" i="2" s="1"/>
  <c r="AL954" i="2"/>
  <c r="Z954" i="2" s="1"/>
  <c r="AL1115" i="2"/>
  <c r="Z1115" i="2" s="1"/>
  <c r="AL769" i="2"/>
  <c r="Z769" i="2" s="1"/>
  <c r="AL934" i="2"/>
  <c r="Z934" i="2" s="1"/>
  <c r="AL425" i="2"/>
  <c r="Z425" i="2" s="1"/>
  <c r="AL797" i="2"/>
  <c r="Z797" i="2" s="1"/>
  <c r="AL879" i="2"/>
  <c r="Z879" i="2" s="1"/>
  <c r="AL527" i="2"/>
  <c r="Z527" i="2" s="1"/>
  <c r="AL191" i="2"/>
  <c r="Z191" i="2" s="1"/>
  <c r="AL1035" i="2"/>
  <c r="Z1035" i="2" s="1"/>
  <c r="AL869" i="2"/>
  <c r="Z869" i="2" s="1"/>
  <c r="AL1065" i="2"/>
  <c r="Z1065" i="2" s="1"/>
  <c r="AL906" i="2"/>
  <c r="Z906" i="2" s="1"/>
  <c r="AL708" i="2"/>
  <c r="Z708" i="2" s="1"/>
  <c r="AL597" i="2"/>
  <c r="Z597" i="2" s="1"/>
  <c r="AL768" i="2"/>
  <c r="Z768" i="2" s="1"/>
  <c r="AL682" i="2"/>
  <c r="Z682" i="2" s="1"/>
  <c r="AL569" i="2"/>
  <c r="Z569" i="2" s="1"/>
  <c r="AL925" i="2"/>
  <c r="Z925" i="2" s="1"/>
  <c r="AL526" i="2"/>
  <c r="Z526" i="2" s="1"/>
  <c r="AL960" i="2"/>
  <c r="Z960" i="2" s="1"/>
  <c r="AL1131" i="2"/>
  <c r="Z1131" i="2" s="1"/>
  <c r="AL593" i="2"/>
  <c r="Z593" i="2" s="1"/>
  <c r="AL1109" i="2"/>
  <c r="Z1109" i="2" s="1"/>
  <c r="AL1261" i="2"/>
  <c r="Z1261" i="2" s="1"/>
  <c r="AL1108" i="2"/>
  <c r="Z1108" i="2" s="1"/>
  <c r="AL805" i="2"/>
  <c r="Z805" i="2" s="1"/>
  <c r="AL1072" i="2"/>
  <c r="Z1072" i="2" s="1"/>
  <c r="AL880" i="2"/>
  <c r="Z880" i="2" s="1"/>
  <c r="AL957" i="2"/>
  <c r="Z957" i="2" s="1"/>
  <c r="AL1248" i="2"/>
  <c r="Z1248" i="2" s="1"/>
  <c r="AL1098" i="2"/>
  <c r="Z1098" i="2" s="1"/>
  <c r="AL781" i="2"/>
  <c r="Z781" i="2" s="1"/>
  <c r="AL876" i="2"/>
  <c r="Z876" i="2" s="1"/>
  <c r="AL572" i="2"/>
  <c r="Z572" i="2" s="1"/>
  <c r="AL326" i="2"/>
  <c r="Z326" i="2" s="1"/>
  <c r="AL685" i="2"/>
  <c r="Z685" i="2" s="1"/>
  <c r="AL313" i="2"/>
  <c r="Z313" i="2" s="1"/>
  <c r="AL653" i="2"/>
  <c r="Z653" i="2" s="1"/>
  <c r="AL394" i="2"/>
  <c r="Z394" i="2" s="1"/>
  <c r="AL509" i="2"/>
  <c r="Z509" i="2" s="1"/>
  <c r="AL466" i="2"/>
  <c r="Z466" i="2" s="1"/>
  <c r="AL695" i="2"/>
  <c r="Z695" i="2" s="1"/>
  <c r="AL264" i="2"/>
  <c r="Z264" i="2" s="1"/>
  <c r="AL340" i="2"/>
  <c r="Z340" i="2" s="1"/>
  <c r="AL242" i="2"/>
  <c r="Z242" i="2" s="1"/>
  <c r="AL609" i="2"/>
  <c r="Z609" i="2" s="1"/>
  <c r="AL90" i="2"/>
  <c r="Z90" i="2" s="1"/>
  <c r="AL924" i="2"/>
  <c r="Z924" i="2" s="1"/>
  <c r="AL1004" i="2"/>
  <c r="Z1004" i="2" s="1"/>
  <c r="AL900" i="2"/>
  <c r="Z900" i="2" s="1"/>
  <c r="AL845" i="2"/>
  <c r="Z845" i="2" s="1"/>
  <c r="AL1237" i="2"/>
  <c r="Z1237" i="2" s="1"/>
  <c r="AL1201" i="2"/>
  <c r="Z1201" i="2" s="1"/>
  <c r="AL1026" i="2"/>
  <c r="Z1026" i="2" s="1"/>
  <c r="AL692" i="2"/>
  <c r="Z692" i="2" s="1"/>
  <c r="AL929" i="2"/>
  <c r="Z929" i="2" s="1"/>
  <c r="AL1105" i="2"/>
  <c r="Z1105" i="2" s="1"/>
  <c r="AL893" i="2"/>
  <c r="Z893" i="2" s="1"/>
  <c r="AL821" i="2"/>
  <c r="Z821" i="2" s="1"/>
  <c r="AL448" i="2"/>
  <c r="Z448" i="2" s="1"/>
  <c r="AL218" i="2"/>
  <c r="Z218" i="2" s="1"/>
  <c r="AL1227" i="2"/>
  <c r="Z1227" i="2" s="1"/>
  <c r="AL1116" i="2"/>
  <c r="Z1116" i="2" s="1"/>
  <c r="AL557" i="2"/>
  <c r="Z557" i="2" s="1"/>
  <c r="AL158" i="2"/>
  <c r="Z158" i="2" s="1"/>
  <c r="AL240" i="2"/>
  <c r="Z240" i="2" s="1"/>
  <c r="AL135" i="2"/>
  <c r="Z135" i="2" s="1"/>
  <c r="AL716" i="2"/>
  <c r="Z716" i="2" s="1"/>
  <c r="AL51" i="2"/>
  <c r="Z51" i="2" s="1"/>
  <c r="AL483" i="2"/>
  <c r="Z483" i="2" s="1"/>
  <c r="AL292" i="2"/>
  <c r="Z292" i="2" s="1"/>
  <c r="AL296" i="2"/>
  <c r="Z296" i="2" s="1"/>
  <c r="AL722" i="2"/>
  <c r="Z722" i="2" s="1"/>
  <c r="AL610" i="2"/>
  <c r="Z610" i="2" s="1"/>
  <c r="AL109" i="2"/>
  <c r="Z109" i="2" s="1"/>
  <c r="AL580" i="2"/>
  <c r="Z580" i="2" s="1"/>
  <c r="AL60" i="2"/>
  <c r="Z60" i="2" s="1"/>
  <c r="AL66" i="2"/>
  <c r="Z66" i="2" s="1"/>
  <c r="AL80" i="2"/>
  <c r="Z80" i="2" s="1"/>
  <c r="AL68" i="2"/>
  <c r="Z68" i="2" s="1"/>
  <c r="AL140" i="2"/>
  <c r="Z140" i="2" s="1"/>
  <c r="AL726" i="2"/>
  <c r="Z726" i="2" s="1"/>
  <c r="AL474" i="2"/>
  <c r="Z474" i="2" s="1"/>
  <c r="AL543" i="2"/>
  <c r="Z543" i="2" s="1"/>
  <c r="AL522" i="2"/>
  <c r="Z522" i="2" s="1"/>
  <c r="AL299" i="2"/>
  <c r="Z299" i="2" s="1"/>
  <c r="AL493" i="2"/>
  <c r="Z493" i="2" s="1"/>
  <c r="AL281" i="2"/>
  <c r="Z281" i="2" s="1"/>
  <c r="AL22" i="2"/>
  <c r="Z22" i="2" s="1"/>
  <c r="AL142" i="2"/>
  <c r="Z142" i="2" s="1"/>
  <c r="AL40" i="2"/>
  <c r="Z40" i="2" s="1"/>
  <c r="AL117" i="2"/>
  <c r="Z117" i="2" s="1"/>
  <c r="AL99" i="2"/>
  <c r="Z99" i="2" s="1"/>
  <c r="AL57" i="2"/>
  <c r="Z57" i="2" s="1"/>
  <c r="AL85" i="2"/>
  <c r="Z85" i="2" s="1"/>
  <c r="AL35" i="2"/>
  <c r="Z35" i="2" s="1"/>
  <c r="AL102" i="2"/>
  <c r="Z102" i="2" s="1"/>
  <c r="AL657" i="2"/>
  <c r="Z657" i="2" s="1"/>
  <c r="AL696" i="2"/>
  <c r="Z696" i="2" s="1"/>
  <c r="AL611" i="2"/>
  <c r="Z611" i="2" s="1"/>
  <c r="AL352" i="2"/>
  <c r="Z352" i="2" s="1"/>
  <c r="AL981" i="2"/>
  <c r="Z981" i="2" s="1"/>
  <c r="AL1213" i="2"/>
  <c r="Z1213" i="2" s="1"/>
  <c r="AL358" i="2"/>
  <c r="Z358" i="2" s="1"/>
  <c r="AL251" i="2"/>
  <c r="Z251" i="2" s="1"/>
  <c r="AL748" i="2"/>
  <c r="Z748" i="2" s="1"/>
  <c r="AL492" i="2"/>
  <c r="Z492" i="2" s="1"/>
  <c r="AL499" i="2"/>
  <c r="Z499" i="2" s="1"/>
  <c r="AL106" i="2"/>
  <c r="Z106" i="2" s="1"/>
  <c r="AL1019" i="2"/>
  <c r="Z1019" i="2" s="1"/>
  <c r="AL1178" i="2"/>
  <c r="Z1178" i="2" s="1"/>
  <c r="AL298" i="2"/>
  <c r="Z298" i="2" s="1"/>
  <c r="AL125" i="2"/>
  <c r="Z125" i="2" s="1"/>
  <c r="AL417" i="2"/>
  <c r="Z417" i="2" s="1"/>
  <c r="AL427" i="2"/>
  <c r="Z427" i="2" s="1"/>
  <c r="AL207" i="2"/>
  <c r="Z207" i="2" s="1"/>
  <c r="AL96" i="2"/>
  <c r="Z96" i="2" s="1"/>
  <c r="AL414" i="2"/>
  <c r="Z414" i="2" s="1"/>
  <c r="AL165" i="2"/>
  <c r="Z165" i="2" s="1"/>
  <c r="AL714" i="2"/>
  <c r="Z714" i="2" s="1"/>
  <c r="AL598" i="2"/>
  <c r="Z598" i="2" s="1"/>
  <c r="AL257" i="2"/>
  <c r="Z257" i="2" s="1"/>
  <c r="AL113" i="2"/>
  <c r="Z113" i="2" s="1"/>
  <c r="AL86" i="2"/>
  <c r="Z86" i="2" s="1"/>
  <c r="AL91" i="2"/>
  <c r="Z91" i="2" s="1"/>
  <c r="AL163" i="2"/>
  <c r="Z163" i="2" s="1"/>
  <c r="AL996" i="2"/>
  <c r="Z996" i="2" s="1"/>
  <c r="AL1243" i="2"/>
  <c r="Z1243" i="2" s="1"/>
  <c r="AL205" i="2"/>
  <c r="Z205" i="2" s="1"/>
  <c r="AL330" i="2"/>
  <c r="Z330" i="2" s="1"/>
  <c r="AL641" i="2"/>
  <c r="Z641" i="2" s="1"/>
  <c r="AL178" i="2"/>
  <c r="Z178" i="2" s="1"/>
  <c r="AL132" i="2"/>
  <c r="Z132" i="2" s="1"/>
  <c r="AL613" i="2"/>
  <c r="Z613" i="2" s="1"/>
  <c r="AL260" i="2"/>
  <c r="Z260" i="2" s="1"/>
  <c r="AL506" i="2"/>
  <c r="Z506" i="2" s="1"/>
  <c r="AL371" i="2"/>
  <c r="Z371" i="2" s="1"/>
  <c r="AL289" i="2"/>
  <c r="Z289" i="2" s="1"/>
  <c r="AL44" i="2"/>
  <c r="Z44" i="2" s="1"/>
  <c r="AL120" i="2"/>
  <c r="Z120" i="2" s="1"/>
  <c r="AL159" i="2"/>
  <c r="Z159" i="2" s="1"/>
  <c r="AL1145" i="2"/>
  <c r="Z1145" i="2" s="1"/>
  <c r="AL112" i="2"/>
  <c r="Z112" i="2" s="1"/>
  <c r="AL770" i="2"/>
  <c r="Z770" i="2" s="1"/>
  <c r="AL662" i="2"/>
  <c r="Z662" i="2" s="1"/>
  <c r="AL614" i="2"/>
  <c r="Z614" i="2" s="1"/>
  <c r="AL588" i="2"/>
  <c r="Z588" i="2" s="1"/>
  <c r="AL253" i="2"/>
  <c r="Z253" i="2" s="1"/>
  <c r="AL47" i="2"/>
  <c r="Z47" i="2" s="1"/>
  <c r="AL20" i="2"/>
  <c r="Z20" i="2" s="1"/>
  <c r="AL147" i="2"/>
  <c r="Z147" i="2" s="1"/>
  <c r="AL115" i="2"/>
  <c r="Z115" i="2" s="1"/>
  <c r="AL179" i="2"/>
  <c r="Z179" i="2" s="1"/>
  <c r="AL1091" i="2"/>
  <c r="Z1091" i="2" s="1"/>
  <c r="AL1220" i="2"/>
  <c r="Z1220" i="2" s="1"/>
  <c r="AL89" i="2"/>
  <c r="Z89" i="2" s="1"/>
  <c r="AL181" i="2"/>
  <c r="Z181" i="2" s="1"/>
  <c r="AL524" i="2"/>
  <c r="Z524" i="2" s="1"/>
  <c r="AL342" i="2"/>
  <c r="Z342" i="2" s="1"/>
  <c r="AL432" i="2"/>
  <c r="Z432" i="2" s="1"/>
  <c r="AL537" i="2"/>
  <c r="Z537" i="2" s="1"/>
  <c r="AL539" i="2"/>
  <c r="Z539" i="2" s="1"/>
  <c r="AL463" i="2"/>
  <c r="Z463" i="2" s="1"/>
  <c r="AL72" i="2"/>
  <c r="Z72" i="2" s="1"/>
  <c r="AL105" i="2"/>
  <c r="Z105" i="2" s="1"/>
  <c r="AL59" i="2"/>
  <c r="Z59" i="2" s="1"/>
  <c r="AL38" i="2"/>
  <c r="Z38" i="2" s="1"/>
  <c r="AL43" i="2"/>
  <c r="Z43" i="2" s="1"/>
  <c r="AL118" i="2"/>
  <c r="Z118" i="2" s="1"/>
  <c r="AL87" i="2"/>
  <c r="Z87" i="2" s="1"/>
  <c r="AL88" i="2"/>
  <c r="Z88" i="2" s="1"/>
  <c r="AL803" i="2"/>
  <c r="Z803" i="2" s="1"/>
  <c r="AL249" i="2"/>
  <c r="Z249" i="2" s="1"/>
  <c r="AL376" i="2"/>
  <c r="Z376" i="2" s="1"/>
  <c r="AL104" i="2"/>
  <c r="Z104" i="2" s="1"/>
  <c r="AL635" i="2"/>
  <c r="Z635" i="2" s="1"/>
  <c r="AL216" i="2"/>
  <c r="Z216" i="2" s="1"/>
  <c r="AL190" i="2"/>
  <c r="Z190" i="2" s="1"/>
  <c r="AL1085" i="2"/>
  <c r="Z1085" i="2" s="1"/>
  <c r="AL828" i="2"/>
  <c r="Z828" i="2" s="1"/>
  <c r="AL443" i="2"/>
  <c r="Z443" i="2" s="1"/>
  <c r="AL209" i="2"/>
  <c r="Z209" i="2" s="1"/>
  <c r="AL441" i="2"/>
  <c r="Z441" i="2" s="1"/>
  <c r="AL724" i="2"/>
  <c r="Z724" i="2" s="1"/>
  <c r="AL689" i="2"/>
  <c r="Z689" i="2" s="1"/>
  <c r="AL508" i="2"/>
  <c r="Z508" i="2" s="1"/>
  <c r="AL220" i="2"/>
  <c r="Z220" i="2" s="1"/>
  <c r="AL71" i="2"/>
  <c r="Z71" i="2" s="1"/>
  <c r="AL897" i="2"/>
  <c r="Z897" i="2" s="1"/>
  <c r="AL1273" i="2"/>
  <c r="Z1273" i="2" s="1"/>
  <c r="AL310" i="2"/>
  <c r="Z310" i="2" s="1"/>
  <c r="AL701" i="2"/>
  <c r="Z701" i="2" s="1"/>
  <c r="AL337" i="2"/>
  <c r="Z337" i="2" s="1"/>
  <c r="AL568" i="2"/>
  <c r="Z568" i="2" s="1"/>
  <c r="AL233" i="2"/>
  <c r="Z233" i="2" s="1"/>
  <c r="AL412" i="2"/>
  <c r="Z412" i="2" s="1"/>
  <c r="AL75" i="2"/>
  <c r="Z75" i="2" s="1"/>
  <c r="AL27" i="2"/>
  <c r="Z27" i="2" s="1"/>
  <c r="AL63" i="2"/>
  <c r="Z63" i="2" s="1"/>
  <c r="AL25" i="2"/>
  <c r="Z25" i="2" s="1"/>
  <c r="AL11" i="2"/>
  <c r="Z11" i="2" s="1"/>
  <c r="AL146" i="2"/>
  <c r="Z146" i="2" s="1"/>
  <c r="AL28" i="2"/>
  <c r="Z28" i="2" s="1"/>
  <c r="AL65" i="2"/>
  <c r="Z65" i="2" s="1"/>
  <c r="AL223" i="2"/>
  <c r="Z223" i="2" s="1"/>
  <c r="AL1262" i="2"/>
  <c r="Z1262" i="2" s="1"/>
  <c r="AL476" i="2"/>
  <c r="Z476" i="2" s="1"/>
  <c r="AL496" i="2"/>
  <c r="Z496" i="2" s="1"/>
  <c r="AL314" i="2"/>
  <c r="Z314" i="2" s="1"/>
  <c r="AL185" i="2"/>
  <c r="Z185" i="2" s="1"/>
  <c r="AL811" i="2"/>
  <c r="Z811" i="2" s="1"/>
  <c r="AL583" i="2"/>
  <c r="Z583" i="2" s="1"/>
  <c r="AL83" i="2"/>
  <c r="Z83" i="2" s="1"/>
  <c r="AL119" i="2"/>
  <c r="Z119" i="2" s="1"/>
  <c r="AL536" i="2"/>
  <c r="Z536" i="2" s="1"/>
  <c r="AL575" i="2"/>
  <c r="Z575" i="2" s="1"/>
  <c r="AL122" i="2"/>
  <c r="Z122" i="2" s="1"/>
  <c r="AL738" i="2"/>
  <c r="Z738" i="2" s="1"/>
  <c r="AL49" i="2"/>
  <c r="Z49" i="2" s="1"/>
  <c r="AL824" i="2"/>
  <c r="Z824" i="2" s="1"/>
  <c r="AL143" i="2"/>
  <c r="Z143" i="2" s="1"/>
  <c r="AL263" i="2"/>
  <c r="Z263" i="2" s="1"/>
  <c r="AL619" i="2"/>
  <c r="Z619" i="2" s="1"/>
  <c r="AL79" i="2"/>
  <c r="Z79" i="2" s="1"/>
  <c r="AL948" i="2"/>
  <c r="Z948" i="2" s="1"/>
  <c r="AL930" i="2"/>
  <c r="Z930" i="2" s="1"/>
  <c r="AL648" i="2"/>
  <c r="Z648" i="2" s="1"/>
  <c r="AL374" i="2"/>
  <c r="Z374" i="2" s="1"/>
  <c r="AL660" i="2"/>
  <c r="Z660" i="2" s="1"/>
  <c r="AL480" i="2"/>
  <c r="Z480" i="2" s="1"/>
  <c r="AL385" i="2"/>
  <c r="Z385" i="2" s="1"/>
  <c r="AL442" i="2"/>
  <c r="Z442" i="2" s="1"/>
  <c r="AL749" i="2"/>
  <c r="Z749" i="2" s="1"/>
  <c r="AL139" i="2"/>
  <c r="Z139" i="2" s="1"/>
  <c r="AL103" i="2"/>
  <c r="Z103" i="2" s="1"/>
  <c r="AL137" i="2"/>
  <c r="Z137" i="2" s="1"/>
  <c r="Y738" i="2" l="1"/>
  <c r="M738" i="2" s="1"/>
  <c r="N738" i="2"/>
  <c r="N869" i="2"/>
  <c r="Y869" i="2"/>
  <c r="M869" i="2" s="1"/>
  <c r="N947" i="2"/>
  <c r="Y947" i="2"/>
  <c r="M947" i="2" s="1"/>
  <c r="N962" i="2"/>
  <c r="Y962" i="2"/>
  <c r="M962" i="2" s="1"/>
  <c r="N1059" i="2"/>
  <c r="Y1059" i="2"/>
  <c r="M1059" i="2" s="1"/>
  <c r="N707" i="2"/>
  <c r="Y707" i="2"/>
  <c r="M707" i="2" s="1"/>
  <c r="N424" i="2"/>
  <c r="Y424" i="2"/>
  <c r="M424" i="2" s="1"/>
  <c r="L145" i="2"/>
  <c r="K145" i="2"/>
  <c r="B145" i="2" s="1" a="1"/>
  <c r="B145" i="2" s="1"/>
  <c r="H145" i="2" s="1"/>
  <c r="L52" i="2"/>
  <c r="L1177" i="2"/>
  <c r="L849" i="2"/>
  <c r="L1212" i="2"/>
  <c r="K1212" i="2"/>
  <c r="L763" i="2"/>
  <c r="L565" i="2"/>
  <c r="L349" i="2"/>
  <c r="N749" i="2"/>
  <c r="Y749" i="2"/>
  <c r="M749" i="2" s="1"/>
  <c r="Y122" i="2"/>
  <c r="M122" i="2" s="1"/>
  <c r="N122" i="2"/>
  <c r="Y11" i="2"/>
  <c r="M11" i="2" s="1"/>
  <c r="N11" i="2"/>
  <c r="N689" i="2"/>
  <c r="Y689" i="2"/>
  <c r="M689" i="2" s="1"/>
  <c r="N118" i="2"/>
  <c r="Y118" i="2"/>
  <c r="M118" i="2" s="1"/>
  <c r="N179" i="2"/>
  <c r="Y179" i="2"/>
  <c r="M179" i="2" s="1"/>
  <c r="N371" i="2"/>
  <c r="Y371" i="2"/>
  <c r="M371" i="2" s="1"/>
  <c r="Y598" i="2"/>
  <c r="M598" i="2" s="1"/>
  <c r="N598" i="2"/>
  <c r="N251" i="2"/>
  <c r="Y251" i="2"/>
  <c r="M251" i="2" s="1"/>
  <c r="Y22" i="2"/>
  <c r="M22" i="2" s="1"/>
  <c r="N22" i="2"/>
  <c r="Y722" i="2"/>
  <c r="M722" i="2" s="1"/>
  <c r="N722" i="2"/>
  <c r="N1105" i="2"/>
  <c r="Y1105" i="2"/>
  <c r="M1105" i="2" s="1"/>
  <c r="N466" i="2"/>
  <c r="Y466" i="2"/>
  <c r="M466" i="2" s="1"/>
  <c r="N1108" i="2"/>
  <c r="Y1108" i="2"/>
  <c r="M1108" i="2" s="1"/>
  <c r="Y1035" i="2"/>
  <c r="M1035" i="2" s="1"/>
  <c r="N1035" i="2"/>
  <c r="N222" i="2"/>
  <c r="Y222" i="2"/>
  <c r="M222" i="2" s="1"/>
  <c r="N1134" i="2"/>
  <c r="Y1134" i="2"/>
  <c r="M1134" i="2" s="1"/>
  <c r="Y204" i="2"/>
  <c r="M204" i="2" s="1"/>
  <c r="N204" i="2"/>
  <c r="Y1183" i="2"/>
  <c r="M1183" i="2" s="1"/>
  <c r="N1183" i="2"/>
  <c r="N219" i="2"/>
  <c r="Y219" i="2"/>
  <c r="M219" i="2" s="1"/>
  <c r="Y679" i="2"/>
  <c r="M679" i="2" s="1"/>
  <c r="N679" i="2"/>
  <c r="N1039" i="2"/>
  <c r="Y1039" i="2"/>
  <c r="M1039" i="2" s="1"/>
  <c r="N256" i="2"/>
  <c r="Y256" i="2"/>
  <c r="M256" i="2" s="1"/>
  <c r="N348" i="2"/>
  <c r="Y348" i="2"/>
  <c r="M348" i="2" s="1"/>
  <c r="Y93" i="2"/>
  <c r="M93" i="2" s="1"/>
  <c r="N93" i="2"/>
  <c r="N1144" i="2"/>
  <c r="Y1144" i="2"/>
  <c r="M1144" i="2" s="1"/>
  <c r="N1007" i="2"/>
  <c r="Y1007" i="2"/>
  <c r="M1007" i="2" s="1"/>
  <c r="Y763" i="2"/>
  <c r="M763" i="2" s="1"/>
  <c r="N763" i="2"/>
  <c r="N1140" i="2"/>
  <c r="Y1140" i="2"/>
  <c r="M1140" i="2" s="1"/>
  <c r="Y698" i="2"/>
  <c r="M698" i="2" s="1"/>
  <c r="N698" i="2"/>
  <c r="N850" i="2"/>
  <c r="Y850" i="2"/>
  <c r="M850" i="2" s="1"/>
  <c r="N730" i="2"/>
  <c r="Y730" i="2"/>
  <c r="M730" i="2" s="1"/>
  <c r="Y1221" i="2"/>
  <c r="M1221" i="2" s="1"/>
  <c r="N1221" i="2"/>
  <c r="Y604" i="2"/>
  <c r="M604" i="2" s="1"/>
  <c r="N604" i="2"/>
  <c r="Y1212" i="2"/>
  <c r="M1212" i="2" s="1"/>
  <c r="N1212" i="2"/>
  <c r="Y344" i="2"/>
  <c r="M344" i="2" s="1"/>
  <c r="N344" i="2"/>
  <c r="Y532" i="2"/>
  <c r="M532" i="2" s="1"/>
  <c r="N532" i="2"/>
  <c r="N872" i="2"/>
  <c r="Y872" i="2"/>
  <c r="M872" i="2" s="1"/>
  <c r="N498" i="2"/>
  <c r="Y498" i="2"/>
  <c r="M498" i="2" s="1"/>
  <c r="N607" i="2"/>
  <c r="Y607" i="2"/>
  <c r="M607" i="2" s="1"/>
  <c r="Y942" i="2"/>
  <c r="M942" i="2" s="1"/>
  <c r="N942" i="2"/>
  <c r="Y547" i="2"/>
  <c r="M547" i="2" s="1"/>
  <c r="N547" i="2"/>
  <c r="N939" i="2"/>
  <c r="Y939" i="2"/>
  <c r="M939" i="2" s="1"/>
  <c r="Y1064" i="2"/>
  <c r="M1064" i="2" s="1"/>
  <c r="N1064" i="2"/>
  <c r="N1078" i="2"/>
  <c r="Y1078" i="2"/>
  <c r="M1078" i="2" s="1"/>
  <c r="N1153" i="2"/>
  <c r="Y1153" i="2"/>
  <c r="M1153" i="2" s="1"/>
  <c r="Y1150" i="2"/>
  <c r="M1150" i="2" s="1"/>
  <c r="N1150" i="2"/>
  <c r="Y1014" i="2"/>
  <c r="M1014" i="2" s="1"/>
  <c r="N1014" i="2"/>
  <c r="N1042" i="2"/>
  <c r="Y1042" i="2"/>
  <c r="M1042" i="2" s="1"/>
  <c r="N632" i="2"/>
  <c r="Y632" i="2"/>
  <c r="M632" i="2" s="1"/>
  <c r="Y802" i="2"/>
  <c r="M802" i="2" s="1"/>
  <c r="N802" i="2"/>
  <c r="Y741" i="2"/>
  <c r="M741" i="2" s="1"/>
  <c r="N741" i="2"/>
  <c r="N736" i="2"/>
  <c r="Y736" i="2"/>
  <c r="M736" i="2" s="1"/>
  <c r="Y697" i="2"/>
  <c r="M697" i="2" s="1"/>
  <c r="N697" i="2"/>
  <c r="N456" i="2"/>
  <c r="Y456" i="2"/>
  <c r="M456" i="2" s="1"/>
  <c r="N706" i="2"/>
  <c r="Y706" i="2"/>
  <c r="M706" i="2" s="1"/>
  <c r="Y213" i="2"/>
  <c r="M213" i="2" s="1"/>
  <c r="N213" i="2"/>
  <c r="N756" i="2"/>
  <c r="Y756" i="2"/>
  <c r="M756" i="2" s="1"/>
  <c r="N267" i="2"/>
  <c r="Y267" i="2"/>
  <c r="M267" i="2" s="1"/>
  <c r="N202" i="2"/>
  <c r="Y202" i="2"/>
  <c r="M202" i="2" s="1"/>
  <c r="Y658" i="2"/>
  <c r="M658" i="2" s="1"/>
  <c r="N658" i="2"/>
  <c r="Y230" i="2"/>
  <c r="M230" i="2" s="1"/>
  <c r="N230" i="2"/>
  <c r="Y361" i="2"/>
  <c r="M361" i="2" s="1"/>
  <c r="N361" i="2"/>
  <c r="N458" i="2"/>
  <c r="Y458" i="2"/>
  <c r="M458" i="2" s="1"/>
  <c r="N134" i="2"/>
  <c r="Y134" i="2"/>
  <c r="M134" i="2" s="1"/>
  <c r="N77" i="2"/>
  <c r="Y77" i="2"/>
  <c r="M77" i="2" s="1"/>
  <c r="Y24" i="2"/>
  <c r="M24" i="2" s="1"/>
  <c r="N24" i="2"/>
  <c r="Y19" i="2"/>
  <c r="M19" i="2" s="1"/>
  <c r="N19" i="2"/>
  <c r="N194" i="2"/>
  <c r="Y194" i="2"/>
  <c r="M194" i="2" s="1"/>
  <c r="N231" i="2"/>
  <c r="Y231" i="2"/>
  <c r="M231" i="2" s="1"/>
  <c r="Y343" i="2"/>
  <c r="M343" i="2" s="1"/>
  <c r="N343" i="2"/>
  <c r="N481" i="2"/>
  <c r="Y481" i="2"/>
  <c r="M481" i="2" s="1"/>
  <c r="N642" i="2"/>
  <c r="Y642" i="2"/>
  <c r="M642" i="2" s="1"/>
  <c r="Y761" i="2"/>
  <c r="M761" i="2" s="1"/>
  <c r="N761" i="2"/>
  <c r="Y874" i="2"/>
  <c r="M874" i="2" s="1"/>
  <c r="N874" i="2"/>
  <c r="N919" i="2"/>
  <c r="Y919" i="2"/>
  <c r="M919" i="2" s="1"/>
  <c r="N1002" i="2"/>
  <c r="Y1002" i="2"/>
  <c r="M1002" i="2" s="1"/>
  <c r="N1169" i="2"/>
  <c r="Y1169" i="2"/>
  <c r="M1169" i="2" s="1"/>
  <c r="Y1234" i="2"/>
  <c r="M1234" i="2" s="1"/>
  <c r="N1234" i="2"/>
  <c r="L168" i="2"/>
  <c r="L755" i="2"/>
  <c r="K755" i="2"/>
  <c r="B755" i="2" s="1" a="1"/>
  <c r="B755" i="2" s="1"/>
  <c r="H755" i="2" s="1"/>
  <c r="L181" i="2"/>
  <c r="L737" i="2"/>
  <c r="L460" i="2"/>
  <c r="L879" i="2"/>
  <c r="L285" i="2"/>
  <c r="L196" i="2"/>
  <c r="L85" i="2"/>
  <c r="K690" i="2"/>
  <c r="L690" i="2"/>
  <c r="L968" i="2"/>
  <c r="L585" i="2"/>
  <c r="L406" i="2"/>
  <c r="L1040" i="2"/>
  <c r="L858" i="2"/>
  <c r="L514" i="2"/>
  <c r="L924" i="2"/>
  <c r="L642" i="2"/>
  <c r="K642" i="2"/>
  <c r="B642" i="2" s="1" a="1"/>
  <c r="B642" i="2" s="1"/>
  <c r="H642" i="2" s="1"/>
  <c r="L1131" i="2"/>
  <c r="L687" i="2"/>
  <c r="L916" i="2"/>
  <c r="L195" i="2"/>
  <c r="L1053" i="2"/>
  <c r="L351" i="2"/>
  <c r="K869" i="2"/>
  <c r="B869" i="2" s="1" a="1"/>
  <c r="B869" i="2" s="1"/>
  <c r="L869" i="2"/>
  <c r="L852" i="2"/>
  <c r="K852" i="2"/>
  <c r="B852" i="2" s="1" a="1"/>
  <c r="B852" i="2" s="1"/>
  <c r="H852" i="2" s="1"/>
  <c r="L909" i="2"/>
  <c r="L887" i="2"/>
  <c r="L453" i="2"/>
  <c r="L786" i="2"/>
  <c r="L294" i="2"/>
  <c r="L1006" i="2"/>
  <c r="L390" i="2"/>
  <c r="L497" i="2"/>
  <c r="K497" i="2"/>
  <c r="B497" i="2" s="1" a="1"/>
  <c r="B497" i="2" s="1"/>
  <c r="H497" i="2" s="1"/>
  <c r="L1155" i="2"/>
  <c r="L1097" i="2"/>
  <c r="L1106" i="2"/>
  <c r="L1269" i="2"/>
  <c r="L1128" i="2"/>
  <c r="L1209" i="2"/>
  <c r="L276" i="2"/>
  <c r="L822" i="2"/>
  <c r="K822" i="2"/>
  <c r="B822" i="2" s="1" a="1"/>
  <c r="B822" i="2" s="1"/>
  <c r="H822" i="2" s="1"/>
  <c r="L956" i="2"/>
  <c r="L1080" i="2"/>
  <c r="L1167" i="2"/>
  <c r="L703" i="2"/>
  <c r="L995" i="2"/>
  <c r="L1192" i="2"/>
  <c r="L1015" i="2"/>
  <c r="L1055" i="2"/>
  <c r="K1055" i="2"/>
  <c r="B1055" i="2" s="1" a="1"/>
  <c r="B1055" i="2" s="1"/>
  <c r="H1055" i="2" s="1"/>
  <c r="L633" i="2"/>
  <c r="L697" i="2"/>
  <c r="L251" i="2"/>
  <c r="L212" i="2"/>
  <c r="L281" i="2"/>
  <c r="L534" i="2"/>
  <c r="L549" i="2"/>
  <c r="L568" i="2"/>
  <c r="K568" i="2"/>
  <c r="B568" i="2" s="1" a="1"/>
  <c r="B568" i="2" s="1"/>
  <c r="H568" i="2" s="1"/>
  <c r="I568" i="2" s="1"/>
  <c r="L170" i="2"/>
  <c r="L420" i="2"/>
  <c r="L712" i="2"/>
  <c r="L416" i="2"/>
  <c r="L510" i="2"/>
  <c r="L686" i="2"/>
  <c r="L807" i="2"/>
  <c r="L314" i="2"/>
  <c r="K314" i="2"/>
  <c r="B314" i="2" s="1" a="1"/>
  <c r="B314" i="2" s="1"/>
  <c r="H314" i="2" s="1"/>
  <c r="L377" i="2"/>
  <c r="L105" i="2"/>
  <c r="L92" i="2"/>
  <c r="K11" i="2"/>
  <c r="L11" i="2"/>
  <c r="L55" i="2"/>
  <c r="L114" i="2"/>
  <c r="L95" i="2"/>
  <c r="L279" i="2"/>
  <c r="K279" i="2"/>
  <c r="B279" i="2" s="1" a="1"/>
  <c r="B279" i="2" s="1"/>
  <c r="H279" i="2" s="1"/>
  <c r="I279" i="2" s="1"/>
  <c r="L394" i="2"/>
  <c r="L610" i="2"/>
  <c r="L780" i="2"/>
  <c r="L955" i="2"/>
  <c r="L1165" i="2"/>
  <c r="Y748" i="2"/>
  <c r="M748" i="2" s="1"/>
  <c r="N748" i="2"/>
  <c r="N1066" i="2"/>
  <c r="Y1066" i="2"/>
  <c r="M1066" i="2" s="1"/>
  <c r="N538" i="2"/>
  <c r="Y538" i="2"/>
  <c r="M538" i="2" s="1"/>
  <c r="N833" i="2"/>
  <c r="Y833" i="2"/>
  <c r="M833" i="2" s="1"/>
  <c r="N1070" i="2"/>
  <c r="Y1070" i="2"/>
  <c r="M1070" i="2" s="1"/>
  <c r="N269" i="2"/>
  <c r="Y269" i="2"/>
  <c r="M269" i="2" s="1"/>
  <c r="Y275" i="2"/>
  <c r="M275" i="2" s="1"/>
  <c r="N275" i="2"/>
  <c r="L184" i="2"/>
  <c r="L73" i="2"/>
  <c r="L1152" i="2"/>
  <c r="L759" i="2"/>
  <c r="K759" i="2"/>
  <c r="B759" i="2" s="1" a="1"/>
  <c r="B759" i="2" s="1"/>
  <c r="H759" i="2" s="1"/>
  <c r="L499" i="2"/>
  <c r="L808" i="2"/>
  <c r="L509" i="2"/>
  <c r="L69" i="2"/>
  <c r="Y25" i="2"/>
  <c r="M25" i="2" s="1"/>
  <c r="N25" i="2"/>
  <c r="N395" i="2"/>
  <c r="Y395" i="2"/>
  <c r="M395" i="2" s="1"/>
  <c r="Y487" i="2"/>
  <c r="M487" i="2" s="1"/>
  <c r="N487" i="2"/>
  <c r="N426" i="2"/>
  <c r="Y426" i="2"/>
  <c r="M426" i="2" s="1"/>
  <c r="N823" i="2"/>
  <c r="Y823" i="2"/>
  <c r="M823" i="2" s="1"/>
  <c r="Y363" i="2"/>
  <c r="M363" i="2" s="1"/>
  <c r="N363" i="2"/>
  <c r="Y212" i="2"/>
  <c r="M212" i="2" s="1"/>
  <c r="N212" i="2"/>
  <c r="Y1067" i="2"/>
  <c r="M1067" i="2" s="1"/>
  <c r="N1067" i="2"/>
  <c r="Y1137" i="2"/>
  <c r="M1137" i="2" s="1"/>
  <c r="N1137" i="2"/>
  <c r="Y970" i="2"/>
  <c r="M970" i="2" s="1"/>
  <c r="N970" i="2"/>
  <c r="Y991" i="2"/>
  <c r="M991" i="2" s="1"/>
  <c r="N991" i="2"/>
  <c r="N517" i="2"/>
  <c r="Y517" i="2"/>
  <c r="M517" i="2" s="1"/>
  <c r="N688" i="2"/>
  <c r="Y688" i="2"/>
  <c r="M688" i="2" s="1"/>
  <c r="Y436" i="2"/>
  <c r="M436" i="2" s="1"/>
  <c r="N436" i="2"/>
  <c r="N746" i="2"/>
  <c r="Y746" i="2"/>
  <c r="M746" i="2" s="1"/>
  <c r="Y247" i="2"/>
  <c r="M247" i="2" s="1"/>
  <c r="N247" i="2"/>
  <c r="N670" i="2"/>
  <c r="Y670" i="2"/>
  <c r="M670" i="2" s="1"/>
  <c r="Y228" i="2"/>
  <c r="M228" i="2" s="1"/>
  <c r="N228" i="2"/>
  <c r="N754" i="2"/>
  <c r="Y754" i="2"/>
  <c r="M754" i="2" s="1"/>
  <c r="Y624" i="2"/>
  <c r="M624" i="2" s="1"/>
  <c r="N624" i="2"/>
  <c r="Y227" i="2"/>
  <c r="M227" i="2" s="1"/>
  <c r="N227" i="2"/>
  <c r="N351" i="2"/>
  <c r="Y351" i="2"/>
  <c r="M351" i="2" s="1"/>
  <c r="Y437" i="2"/>
  <c r="M437" i="2" s="1"/>
  <c r="N437" i="2"/>
  <c r="Y189" i="2"/>
  <c r="M189" i="2" s="1"/>
  <c r="N189" i="2"/>
  <c r="N116" i="2"/>
  <c r="Y116" i="2"/>
  <c r="M116" i="2" s="1"/>
  <c r="N133" i="2"/>
  <c r="Y133" i="2"/>
  <c r="M133" i="2" s="1"/>
  <c r="N26" i="2"/>
  <c r="Y26" i="2"/>
  <c r="M26" i="2" s="1"/>
  <c r="N177" i="2"/>
  <c r="Y177" i="2"/>
  <c r="M177" i="2" s="1"/>
  <c r="N306" i="2"/>
  <c r="Y306" i="2"/>
  <c r="M306" i="2" s="1"/>
  <c r="Y359" i="2"/>
  <c r="M359" i="2" s="1"/>
  <c r="N359" i="2"/>
  <c r="N497" i="2"/>
  <c r="Y497" i="2"/>
  <c r="M497" i="2" s="1"/>
  <c r="N651" i="2"/>
  <c r="Y651" i="2"/>
  <c r="M651" i="2" s="1"/>
  <c r="N740" i="2"/>
  <c r="Y740" i="2"/>
  <c r="M740" i="2" s="1"/>
  <c r="N881" i="2"/>
  <c r="Y881" i="2"/>
  <c r="M881" i="2" s="1"/>
  <c r="Y922" i="2"/>
  <c r="M922" i="2" s="1"/>
  <c r="N922" i="2"/>
  <c r="N1022" i="2"/>
  <c r="Y1022" i="2"/>
  <c r="M1022" i="2" s="1"/>
  <c r="N1156" i="2"/>
  <c r="Y1156" i="2"/>
  <c r="M1156" i="2" s="1"/>
  <c r="N1241" i="2"/>
  <c r="Y1241" i="2"/>
  <c r="M1241" i="2" s="1"/>
  <c r="L646" i="2"/>
  <c r="L102" i="2"/>
  <c r="L223" i="2"/>
  <c r="L183" i="2"/>
  <c r="L94" i="2"/>
  <c r="L71" i="2"/>
  <c r="K71" i="2"/>
  <c r="B71" i="2" s="1" a="1"/>
  <c r="B71" i="2" s="1"/>
  <c r="H71" i="2" s="1"/>
  <c r="L464" i="2"/>
  <c r="L104" i="2"/>
  <c r="L17" i="2"/>
  <c r="L745" i="2"/>
  <c r="L969" i="2"/>
  <c r="L708" i="2"/>
  <c r="L1174" i="2"/>
  <c r="K1240" i="2"/>
  <c r="L1240" i="2"/>
  <c r="L894" i="2"/>
  <c r="L310" i="2"/>
  <c r="L1075" i="2"/>
  <c r="L613" i="2"/>
  <c r="L663" i="2"/>
  <c r="L588" i="2"/>
  <c r="L1172" i="2"/>
  <c r="L964" i="2"/>
  <c r="K964" i="2"/>
  <c r="B964" i="2" s="1" a="1"/>
  <c r="B964" i="2" s="1"/>
  <c r="H964" i="2" s="1"/>
  <c r="L1145" i="2"/>
  <c r="L1112" i="2"/>
  <c r="L900" i="2"/>
  <c r="L616" i="2"/>
  <c r="L576" i="2"/>
  <c r="L935" i="2"/>
  <c r="L728" i="2"/>
  <c r="L659" i="2"/>
  <c r="K659" i="2"/>
  <c r="B659" i="2" s="1" a="1"/>
  <c r="B659" i="2" s="1"/>
  <c r="H659" i="2" s="1"/>
  <c r="L431" i="2"/>
  <c r="L985" i="2"/>
  <c r="L444" i="2"/>
  <c r="L1109" i="2"/>
  <c r="L1031" i="2"/>
  <c r="L1101" i="2"/>
  <c r="L1087" i="2"/>
  <c r="K1196" i="2"/>
  <c r="L1196" i="2"/>
  <c r="L1100" i="2"/>
  <c r="L1194" i="2"/>
  <c r="L298" i="2"/>
  <c r="L784" i="2"/>
  <c r="L918" i="2"/>
  <c r="L1065" i="2"/>
  <c r="L1125" i="2"/>
  <c r="L664" i="2"/>
  <c r="K664" i="2"/>
  <c r="B664" i="2" s="1" a="1"/>
  <c r="B664" i="2" s="1"/>
  <c r="H664" i="2" s="1"/>
  <c r="L954" i="2"/>
  <c r="L1175" i="2"/>
  <c r="L1007" i="2"/>
  <c r="K1007" i="2"/>
  <c r="L1022" i="2"/>
  <c r="L627" i="2"/>
  <c r="L612" i="2"/>
  <c r="L182" i="2"/>
  <c r="L178" i="2"/>
  <c r="K178" i="2"/>
  <c r="B178" i="2" s="1" a="1"/>
  <c r="B178" i="2" s="1"/>
  <c r="H178" i="2" s="1"/>
  <c r="L332" i="2"/>
  <c r="L305" i="2"/>
  <c r="L472" i="2"/>
  <c r="L503" i="2"/>
  <c r="L62" i="2"/>
  <c r="L393" i="2"/>
  <c r="L700" i="2"/>
  <c r="L443" i="2"/>
  <c r="L440" i="2"/>
  <c r="L605" i="2"/>
  <c r="L742" i="2"/>
  <c r="L312" i="2"/>
  <c r="L452" i="2"/>
  <c r="L37" i="2"/>
  <c r="L129" i="2"/>
  <c r="L214" i="2"/>
  <c r="K214" i="2"/>
  <c r="B214" i="2" s="1" a="1"/>
  <c r="B214" i="2" s="1"/>
  <c r="H214" i="2" s="1"/>
  <c r="L75" i="2"/>
  <c r="L46" i="2"/>
  <c r="L111" i="2"/>
  <c r="L288" i="2"/>
  <c r="L424" i="2"/>
  <c r="K424" i="2"/>
  <c r="B424" i="2" s="1" a="1"/>
  <c r="B424" i="2" s="1"/>
  <c r="L607" i="2"/>
  <c r="K607" i="2"/>
  <c r="B607" i="2" s="1" a="1"/>
  <c r="B607" i="2" s="1"/>
  <c r="L806" i="2"/>
  <c r="L936" i="2"/>
  <c r="L1203" i="2"/>
  <c r="Y257" i="2"/>
  <c r="M257" i="2" s="1"/>
  <c r="N257" i="2"/>
  <c r="N535" i="2"/>
  <c r="Y535" i="2"/>
  <c r="M535" i="2" s="1"/>
  <c r="N712" i="2"/>
  <c r="Y712" i="2"/>
  <c r="M712" i="2" s="1"/>
  <c r="Y742" i="2"/>
  <c r="M742" i="2" s="1"/>
  <c r="N742" i="2"/>
  <c r="N1177" i="2"/>
  <c r="Y1177" i="2"/>
  <c r="M1177" i="2" s="1"/>
  <c r="N287" i="2"/>
  <c r="Y287" i="2"/>
  <c r="M287" i="2" s="1"/>
  <c r="N144" i="2"/>
  <c r="Y144" i="2"/>
  <c r="M144" i="2" s="1"/>
  <c r="N1126" i="2"/>
  <c r="Y1126" i="2"/>
  <c r="M1126" i="2" s="1"/>
  <c r="L115" i="2"/>
  <c r="L907" i="2"/>
  <c r="L990" i="2"/>
  <c r="L265" i="2"/>
  <c r="L174" i="2"/>
  <c r="L199" i="2"/>
  <c r="Y929" i="2"/>
  <c r="M929" i="2" s="1"/>
  <c r="N929" i="2"/>
  <c r="N551" i="2"/>
  <c r="Y551" i="2"/>
  <c r="M551" i="2" s="1"/>
  <c r="Y1029" i="2"/>
  <c r="M1029" i="2" s="1"/>
  <c r="N1029" i="2"/>
  <c r="Y890" i="2"/>
  <c r="M890" i="2" s="1"/>
  <c r="N890" i="2"/>
  <c r="N923" i="2"/>
  <c r="Y923" i="2"/>
  <c r="M923" i="2" s="1"/>
  <c r="N520" i="2"/>
  <c r="Y520" i="2"/>
  <c r="M520" i="2" s="1"/>
  <c r="Y564" i="2"/>
  <c r="M564" i="2" s="1"/>
  <c r="N564" i="2"/>
  <c r="N825" i="2"/>
  <c r="Y825" i="2"/>
  <c r="M825" i="2" s="1"/>
  <c r="N674" i="2"/>
  <c r="Y674" i="2"/>
  <c r="M674" i="2" s="1"/>
  <c r="N536" i="2"/>
  <c r="Y536" i="2"/>
  <c r="M536" i="2" s="1"/>
  <c r="Y38" i="2"/>
  <c r="M38" i="2" s="1"/>
  <c r="N38" i="2"/>
  <c r="Y260" i="2"/>
  <c r="M260" i="2" s="1"/>
  <c r="N260" i="2"/>
  <c r="N292" i="2"/>
  <c r="Y292" i="2"/>
  <c r="M292" i="2" s="1"/>
  <c r="N1109" i="2"/>
  <c r="Y1109" i="2"/>
  <c r="M1109" i="2" s="1"/>
  <c r="Y1165" i="2"/>
  <c r="M1165" i="2" s="1"/>
  <c r="N1165" i="2"/>
  <c r="N884" i="2"/>
  <c r="Y884" i="2"/>
  <c r="M884" i="2" s="1"/>
  <c r="N848" i="2"/>
  <c r="Y848" i="2"/>
  <c r="M848" i="2" s="1"/>
  <c r="N594" i="2"/>
  <c r="Y594" i="2"/>
  <c r="M594" i="2" s="1"/>
  <c r="N369" i="2"/>
  <c r="Y369" i="2"/>
  <c r="M369" i="2" s="1"/>
  <c r="Y1187" i="2"/>
  <c r="M1187" i="2" s="1"/>
  <c r="N1187" i="2"/>
  <c r="N627" i="2"/>
  <c r="Y627" i="2"/>
  <c r="M627" i="2" s="1"/>
  <c r="Y1195" i="2"/>
  <c r="M1195" i="2" s="1"/>
  <c r="N1195" i="2"/>
  <c r="Y886" i="2"/>
  <c r="M886" i="2" s="1"/>
  <c r="N886" i="2"/>
  <c r="Y937" i="2"/>
  <c r="M937" i="2" s="1"/>
  <c r="N937" i="2"/>
  <c r="Y973" i="2"/>
  <c r="M973" i="2" s="1"/>
  <c r="N973" i="2"/>
  <c r="Y719" i="2"/>
  <c r="M719" i="2" s="1"/>
  <c r="N719" i="2"/>
  <c r="Y468" i="2"/>
  <c r="M468" i="2" s="1"/>
  <c r="N468" i="2"/>
  <c r="Y646" i="2"/>
  <c r="M646" i="2" s="1"/>
  <c r="N646" i="2"/>
  <c r="Y211" i="2"/>
  <c r="M211" i="2" s="1"/>
  <c r="N211" i="2"/>
  <c r="N150" i="2"/>
  <c r="Y150" i="2"/>
  <c r="M150" i="2" s="1"/>
  <c r="Y141" i="2"/>
  <c r="M141" i="2" s="1"/>
  <c r="N141" i="2"/>
  <c r="N356" i="2"/>
  <c r="Y356" i="2"/>
  <c r="M356" i="2" s="1"/>
  <c r="Y777" i="2"/>
  <c r="M777" i="2" s="1"/>
  <c r="N777" i="2"/>
  <c r="Y917" i="2"/>
  <c r="M917" i="2" s="1"/>
  <c r="N917" i="2"/>
  <c r="N1245" i="2"/>
  <c r="Y1245" i="2"/>
  <c r="M1245" i="2" s="1"/>
  <c r="L391" i="2"/>
  <c r="L74" i="2"/>
  <c r="L471" i="2"/>
  <c r="L976" i="2"/>
  <c r="L263" i="2"/>
  <c r="K9" i="2"/>
  <c r="L9" i="2"/>
  <c r="L1011" i="2"/>
  <c r="L134" i="2"/>
  <c r="L120" i="2"/>
  <c r="L488" i="2"/>
  <c r="L606" i="2"/>
  <c r="L915" i="2"/>
  <c r="L946" i="2"/>
  <c r="K774" i="2"/>
  <c r="L774" i="2"/>
  <c r="L1254" i="2"/>
  <c r="L789" i="2"/>
  <c r="L979" i="2"/>
  <c r="L180" i="2"/>
  <c r="L1024" i="2"/>
  <c r="L788" i="2"/>
  <c r="L905" i="2"/>
  <c r="K1216" i="2"/>
  <c r="L1216" i="2"/>
  <c r="L1183" i="2"/>
  <c r="K1183" i="2"/>
  <c r="B1183" i="2" s="1" a="1"/>
  <c r="B1183" i="2" s="1"/>
  <c r="L1058" i="2"/>
  <c r="L1063" i="2"/>
  <c r="L875" i="2"/>
  <c r="L1169" i="2"/>
  <c r="K1169" i="2"/>
  <c r="B1169" i="2" s="1" a="1"/>
  <c r="B1169" i="2" s="1"/>
  <c r="L1220" i="2"/>
  <c r="L354" i="2"/>
  <c r="L463" i="2"/>
  <c r="K463" i="2"/>
  <c r="B463" i="2" s="1" a="1"/>
  <c r="B463" i="2" s="1"/>
  <c r="H463" i="2" s="1"/>
  <c r="L722" i="2"/>
  <c r="K722" i="2"/>
  <c r="B722" i="2" s="1" a="1"/>
  <c r="B722" i="2" s="1"/>
  <c r="L845" i="2"/>
  <c r="L580" i="2"/>
  <c r="L1260" i="2"/>
  <c r="L994" i="2"/>
  <c r="L1073" i="2"/>
  <c r="L1019" i="2"/>
  <c r="L1018" i="2"/>
  <c r="K1018" i="2"/>
  <c r="B1018" i="2" s="1" a="1"/>
  <c r="B1018" i="2" s="1"/>
  <c r="H1018" i="2" s="1"/>
  <c r="L1090" i="2"/>
  <c r="L1187" i="2"/>
  <c r="K1187" i="2"/>
  <c r="B1187" i="2" s="1" a="1"/>
  <c r="B1187" i="2" s="1"/>
  <c r="L1188" i="2"/>
  <c r="L680" i="2"/>
  <c r="L908" i="2"/>
  <c r="L992" i="2"/>
  <c r="L1088" i="2"/>
  <c r="L594" i="2"/>
  <c r="K594" i="2"/>
  <c r="B594" i="2" s="1" a="1"/>
  <c r="B594" i="2" s="1"/>
  <c r="H594" i="2" s="1"/>
  <c r="L947" i="2"/>
  <c r="K947" i="2"/>
  <c r="B947" i="2" s="1" a="1"/>
  <c r="B947" i="2" s="1"/>
  <c r="L1159" i="2"/>
  <c r="K967" i="2"/>
  <c r="L967" i="2"/>
  <c r="L1028" i="2"/>
  <c r="L593" i="2"/>
  <c r="L618" i="2"/>
  <c r="L732" i="2"/>
  <c r="L192" i="2"/>
  <c r="K192" i="2"/>
  <c r="B192" i="2" s="1" a="1"/>
  <c r="B192" i="2" s="1"/>
  <c r="H192" i="2" s="1"/>
  <c r="L324" i="2"/>
  <c r="L302" i="2"/>
  <c r="L490" i="2"/>
  <c r="K458" i="2"/>
  <c r="B458" i="2" s="1" a="1"/>
  <c r="B458" i="2" s="1"/>
  <c r="L458" i="2"/>
  <c r="L726" i="2"/>
  <c r="L401" i="2"/>
  <c r="L643" i="2"/>
  <c r="L291" i="2"/>
  <c r="K291" i="2"/>
  <c r="B291" i="2" s="1" a="1"/>
  <c r="B291" i="2" s="1"/>
  <c r="H291" i="2" s="1"/>
  <c r="L364" i="2"/>
  <c r="L649" i="2"/>
  <c r="L683" i="2"/>
  <c r="L325" i="2"/>
  <c r="L368" i="2"/>
  <c r="L185" i="2"/>
  <c r="L53" i="2"/>
  <c r="K187" i="2"/>
  <c r="L187" i="2"/>
  <c r="L59" i="2"/>
  <c r="L39" i="2"/>
  <c r="L50" i="2"/>
  <c r="L304" i="2"/>
  <c r="L407" i="2"/>
  <c r="L626" i="2"/>
  <c r="L821" i="2"/>
  <c r="L982" i="2"/>
  <c r="K982" i="2"/>
  <c r="B982" i="2" s="1" a="1"/>
  <c r="B982" i="2" s="1"/>
  <c r="H982" i="2" s="1"/>
  <c r="L1173" i="2"/>
  <c r="Y1091" i="2"/>
  <c r="M1091" i="2" s="1"/>
  <c r="N1091" i="2"/>
  <c r="Y54" i="2"/>
  <c r="M54" i="2" s="1"/>
  <c r="N54" i="2"/>
  <c r="N525" i="2"/>
  <c r="Y525" i="2"/>
  <c r="M525" i="2" s="1"/>
  <c r="N647" i="2"/>
  <c r="Y647" i="2"/>
  <c r="M647" i="2" s="1"/>
  <c r="Y37" i="2"/>
  <c r="M37" i="2" s="1"/>
  <c r="N37" i="2"/>
  <c r="L367" i="2"/>
  <c r="L672" i="2"/>
  <c r="K672" i="2"/>
  <c r="B672" i="2" s="1" a="1"/>
  <c r="B672" i="2" s="1"/>
  <c r="H672" i="2" s="1"/>
  <c r="N714" i="2"/>
  <c r="Y714" i="2"/>
  <c r="M714" i="2" s="1"/>
  <c r="N519" i="2"/>
  <c r="Y519" i="2"/>
  <c r="M519" i="2" s="1"/>
  <c r="Y486" i="2"/>
  <c r="M486" i="2" s="1"/>
  <c r="N486" i="2"/>
  <c r="N217" i="2"/>
  <c r="Y217" i="2"/>
  <c r="M217" i="2" s="1"/>
  <c r="Y315" i="2"/>
  <c r="M315" i="2" s="1"/>
  <c r="N315" i="2"/>
  <c r="N274" i="2"/>
  <c r="Y274" i="2"/>
  <c r="M274" i="2" s="1"/>
  <c r="Y737" i="2"/>
  <c r="M737" i="2" s="1"/>
  <c r="N737" i="2"/>
  <c r="N385" i="2"/>
  <c r="Y385" i="2"/>
  <c r="M385" i="2" s="1"/>
  <c r="N441" i="2"/>
  <c r="Y441" i="2"/>
  <c r="M441" i="2" s="1"/>
  <c r="N1213" i="2"/>
  <c r="Y1213" i="2"/>
  <c r="M1213" i="2" s="1"/>
  <c r="Y692" i="2"/>
  <c r="M692" i="2" s="1"/>
  <c r="N692" i="2"/>
  <c r="Y534" i="2"/>
  <c r="M534" i="2" s="1"/>
  <c r="N534" i="2"/>
  <c r="Y676" i="2"/>
  <c r="M676" i="2" s="1"/>
  <c r="N676" i="2"/>
  <c r="Y729" i="2"/>
  <c r="M729" i="2" s="1"/>
  <c r="N729" i="2"/>
  <c r="N1041" i="2"/>
  <c r="Y1041" i="2"/>
  <c r="M1041" i="2" s="1"/>
  <c r="N512" i="2"/>
  <c r="Y512" i="2"/>
  <c r="M512" i="2" s="1"/>
  <c r="Y1247" i="2"/>
  <c r="M1247" i="2" s="1"/>
  <c r="N1247" i="2"/>
  <c r="N783" i="2"/>
  <c r="Y783" i="2"/>
  <c r="M783" i="2" s="1"/>
  <c r="Y188" i="2"/>
  <c r="M188" i="2" s="1"/>
  <c r="N188" i="2"/>
  <c r="Y151" i="2"/>
  <c r="M151" i="2" s="1"/>
  <c r="N151" i="2"/>
  <c r="N1063" i="2"/>
  <c r="Y1063" i="2"/>
  <c r="M1063" i="2" s="1"/>
  <c r="Y1148" i="2"/>
  <c r="M1148" i="2" s="1"/>
  <c r="N1148" i="2"/>
  <c r="Y545" i="2"/>
  <c r="M545" i="2" s="1"/>
  <c r="N545" i="2"/>
  <c r="N469" i="2"/>
  <c r="Y469" i="2"/>
  <c r="M469" i="2" s="1"/>
  <c r="Y592" i="2"/>
  <c r="M592" i="2" s="1"/>
  <c r="N592" i="2"/>
  <c r="Y186" i="2"/>
  <c r="M186" i="2" s="1"/>
  <c r="N186" i="2"/>
  <c r="Y639" i="2"/>
  <c r="M639" i="2" s="1"/>
  <c r="N639" i="2"/>
  <c r="N345" i="2"/>
  <c r="Y345" i="2"/>
  <c r="M345" i="2" s="1"/>
  <c r="Y29" i="2"/>
  <c r="M29" i="2" s="1"/>
  <c r="N29" i="2"/>
  <c r="N513" i="2"/>
  <c r="Y513" i="2"/>
  <c r="M513" i="2" s="1"/>
  <c r="Y119" i="2"/>
  <c r="M119" i="2" s="1"/>
  <c r="N119" i="2"/>
  <c r="N20" i="2"/>
  <c r="Y20" i="2"/>
  <c r="M20" i="2" s="1"/>
  <c r="N414" i="2"/>
  <c r="Y414" i="2"/>
  <c r="M414" i="2" s="1"/>
  <c r="N483" i="2"/>
  <c r="Y483" i="2"/>
  <c r="M483" i="2" s="1"/>
  <c r="N653" i="2"/>
  <c r="Y653" i="2"/>
  <c r="M653" i="2" s="1"/>
  <c r="Y879" i="2"/>
  <c r="M879" i="2" s="1"/>
  <c r="N879" i="2"/>
  <c r="N911" i="2"/>
  <c r="Y911" i="2"/>
  <c r="M911" i="2" s="1"/>
  <c r="Y678" i="2"/>
  <c r="M678" i="2" s="1"/>
  <c r="N678" i="2"/>
  <c r="N843" i="2"/>
  <c r="Y843" i="2"/>
  <c r="M843" i="2" s="1"/>
  <c r="Y709" i="2"/>
  <c r="M709" i="2" s="1"/>
  <c r="N709" i="2"/>
  <c r="N782" i="2"/>
  <c r="Y782" i="2"/>
  <c r="M782" i="2" s="1"/>
  <c r="Y839" i="2"/>
  <c r="M839" i="2" s="1"/>
  <c r="N839" i="2"/>
  <c r="N1219" i="2"/>
  <c r="Y1219" i="2"/>
  <c r="M1219" i="2" s="1"/>
  <c r="Y964" i="2"/>
  <c r="M964" i="2" s="1"/>
  <c r="N964" i="2"/>
  <c r="Y1050" i="2"/>
  <c r="M1050" i="2" s="1"/>
  <c r="N1050" i="2"/>
  <c r="Y1184" i="2"/>
  <c r="M1184" i="2" s="1"/>
  <c r="N1184" i="2"/>
  <c r="Y861" i="2"/>
  <c r="M861" i="2" s="1"/>
  <c r="N861" i="2"/>
  <c r="Y546" i="2"/>
  <c r="M546" i="2" s="1"/>
  <c r="N546" i="2"/>
  <c r="N1009" i="2"/>
  <c r="Y1009" i="2"/>
  <c r="M1009" i="2" s="1"/>
  <c r="Y967" i="2"/>
  <c r="M967" i="2" s="1"/>
  <c r="N967" i="2"/>
  <c r="N702" i="2"/>
  <c r="Y702" i="2"/>
  <c r="M702" i="2" s="1"/>
  <c r="N438" i="2"/>
  <c r="Y438" i="2"/>
  <c r="M438" i="2" s="1"/>
  <c r="Y623" i="2"/>
  <c r="M623" i="2" s="1"/>
  <c r="N623" i="2"/>
  <c r="Y637" i="2"/>
  <c r="M637" i="2" s="1"/>
  <c r="N637" i="2"/>
  <c r="Y659" i="2"/>
  <c r="M659" i="2" s="1"/>
  <c r="N659" i="2"/>
  <c r="Y53" i="2"/>
  <c r="M53" i="2" s="1"/>
  <c r="N53" i="2"/>
  <c r="Y73" i="2"/>
  <c r="M73" i="2" s="1"/>
  <c r="N73" i="2"/>
  <c r="N100" i="2"/>
  <c r="Y100" i="2"/>
  <c r="M100" i="2" s="1"/>
  <c r="N145" i="2"/>
  <c r="Y145" i="2"/>
  <c r="M145" i="2" s="1"/>
  <c r="N224" i="2"/>
  <c r="Y224" i="2"/>
  <c r="M224" i="2" s="1"/>
  <c r="Y585" i="2"/>
  <c r="M585" i="2" s="1"/>
  <c r="N585" i="2"/>
  <c r="N617" i="2"/>
  <c r="Y617" i="2"/>
  <c r="M617" i="2" s="1"/>
  <c r="N772" i="2"/>
  <c r="Y772" i="2"/>
  <c r="M772" i="2" s="1"/>
  <c r="Y855" i="2"/>
  <c r="M855" i="2" s="1"/>
  <c r="N855" i="2"/>
  <c r="Y912" i="2"/>
  <c r="M912" i="2" s="1"/>
  <c r="N912" i="2"/>
  <c r="Y1052" i="2"/>
  <c r="M1052" i="2" s="1"/>
  <c r="N1052" i="2"/>
  <c r="N1162" i="2"/>
  <c r="Y1162" i="2"/>
  <c r="M1162" i="2" s="1"/>
  <c r="Y1228" i="2"/>
  <c r="M1228" i="2" s="1"/>
  <c r="N1228" i="2"/>
  <c r="L447" i="2"/>
  <c r="L68" i="2"/>
  <c r="L608" i="2"/>
  <c r="L16" i="2"/>
  <c r="K16" i="2"/>
  <c r="B16" i="2" s="1" a="1"/>
  <c r="B16" i="2" s="1"/>
  <c r="H16" i="2" s="1"/>
  <c r="L753" i="2"/>
  <c r="L544" i="2"/>
  <c r="L530" i="2"/>
  <c r="L91" i="2"/>
  <c r="L83" i="2"/>
  <c r="L313" i="2"/>
  <c r="L974" i="2"/>
  <c r="L1227" i="2"/>
  <c r="K1227" i="2"/>
  <c r="B1227" i="2" s="1" a="1"/>
  <c r="B1227" i="2" s="1"/>
  <c r="H1227" i="2" s="1"/>
  <c r="L691" i="2"/>
  <c r="L1122" i="2"/>
  <c r="L831" i="2"/>
  <c r="L333" i="2"/>
  <c r="L1120" i="2"/>
  <c r="L412" i="2"/>
  <c r="L877" i="2"/>
  <c r="L1232" i="2"/>
  <c r="K1232" i="2"/>
  <c r="B1232" i="2" s="1" a="1"/>
  <c r="B1232" i="2" s="1"/>
  <c r="H1232" i="2" s="1"/>
  <c r="L1219" i="2"/>
  <c r="K1219" i="2"/>
  <c r="B1219" i="2" s="1" a="1"/>
  <c r="B1219" i="2" s="1"/>
  <c r="L1247" i="2"/>
  <c r="L1149" i="2"/>
  <c r="L1267" i="2"/>
  <c r="L1213" i="2"/>
  <c r="K1213" i="2"/>
  <c r="B1213" i="2" s="1" a="1"/>
  <c r="B1213" i="2" s="1"/>
  <c r="L1134" i="2"/>
  <c r="K890" i="2"/>
  <c r="B890" i="2" s="1" a="1"/>
  <c r="B890" i="2" s="1"/>
  <c r="L890" i="2"/>
  <c r="L1091" i="2"/>
  <c r="K1091" i="2"/>
  <c r="B1091" i="2" s="1" a="1"/>
  <c r="B1091" i="2" s="1"/>
  <c r="H1091" i="2" s="1"/>
  <c r="L466" i="2"/>
  <c r="K466" i="2"/>
  <c r="B466" i="2" s="1" a="1"/>
  <c r="B466" i="2" s="1"/>
  <c r="L678" i="2"/>
  <c r="K678" i="2"/>
  <c r="B678" i="2" s="1" a="1"/>
  <c r="B678" i="2" s="1"/>
  <c r="L769" i="2"/>
  <c r="L1225" i="2"/>
  <c r="L615" i="2"/>
  <c r="L207" i="2"/>
  <c r="L713" i="2"/>
  <c r="L1010" i="2"/>
  <c r="L899" i="2"/>
  <c r="L927" i="2"/>
  <c r="L1081" i="2"/>
  <c r="K1148" i="2"/>
  <c r="B1148" i="2" s="1" a="1"/>
  <c r="B1148" i="2" s="1"/>
  <c r="L1148" i="2"/>
  <c r="L1245" i="2"/>
  <c r="K1245" i="2"/>
  <c r="B1245" i="2" s="1" a="1"/>
  <c r="B1245" i="2" s="1"/>
  <c r="L699" i="2"/>
  <c r="L906" i="2"/>
  <c r="L960" i="2"/>
  <c r="K960" i="2"/>
  <c r="B960" i="2" s="1" a="1"/>
  <c r="B960" i="2" s="1"/>
  <c r="H960" i="2" s="1"/>
  <c r="L1043" i="2"/>
  <c r="L892" i="2"/>
  <c r="L970" i="2"/>
  <c r="K970" i="2"/>
  <c r="L1166" i="2"/>
  <c r="L952" i="2"/>
  <c r="K1039" i="2"/>
  <c r="L1039" i="2"/>
  <c r="K564" i="2"/>
  <c r="B564" i="2" s="1" a="1"/>
  <c r="B564" i="2" s="1"/>
  <c r="L564" i="2"/>
  <c r="L563" i="2"/>
  <c r="K563" i="2"/>
  <c r="B563" i="2" s="1" a="1"/>
  <c r="B563" i="2" s="1"/>
  <c r="H563" i="2" s="1"/>
  <c r="L611" i="2"/>
  <c r="L51" i="2"/>
  <c r="L231" i="2"/>
  <c r="K231" i="2"/>
  <c r="L258" i="2"/>
  <c r="L403" i="2"/>
  <c r="L449" i="2"/>
  <c r="L693" i="2"/>
  <c r="L362" i="2"/>
  <c r="K362" i="2"/>
  <c r="B362" i="2" s="1" a="1"/>
  <c r="B362" i="2" s="1"/>
  <c r="H362" i="2" s="1"/>
  <c r="L630" i="2"/>
  <c r="L307" i="2"/>
  <c r="L284" i="2"/>
  <c r="L551" i="2"/>
  <c r="K551" i="2"/>
  <c r="L696" i="2"/>
  <c r="L319" i="2"/>
  <c r="K267" i="2"/>
  <c r="B267" i="2" s="1" a="1"/>
  <c r="B267" i="2" s="1"/>
  <c r="L267" i="2"/>
  <c r="L154" i="2"/>
  <c r="K154" i="2"/>
  <c r="B154" i="2" s="1" a="1"/>
  <c r="B154" i="2" s="1"/>
  <c r="H154" i="2" s="1"/>
  <c r="L28" i="2"/>
  <c r="L124" i="2"/>
  <c r="L67" i="2"/>
  <c r="L41" i="2"/>
  <c r="L47" i="2"/>
  <c r="L273" i="2"/>
  <c r="L422" i="2"/>
  <c r="L590" i="2"/>
  <c r="K590" i="2"/>
  <c r="B590" i="2" s="1" a="1"/>
  <c r="B590" i="2" s="1"/>
  <c r="H590" i="2" s="1"/>
  <c r="L791" i="2"/>
  <c r="L966" i="2"/>
  <c r="L1181" i="2"/>
  <c r="Y805" i="2"/>
  <c r="M805" i="2" s="1"/>
  <c r="N805" i="2"/>
  <c r="N1107" i="2"/>
  <c r="Y1107" i="2"/>
  <c r="M1107" i="2" s="1"/>
  <c r="Y953" i="2"/>
  <c r="M953" i="2" s="1"/>
  <c r="N953" i="2"/>
  <c r="Y718" i="2"/>
  <c r="M718" i="2" s="1"/>
  <c r="N718" i="2"/>
  <c r="Y56" i="2"/>
  <c r="M56" i="2" s="1"/>
  <c r="N56" i="2"/>
  <c r="N1233" i="2"/>
  <c r="Y1233" i="2"/>
  <c r="M1233" i="2" s="1"/>
  <c r="L760" i="2"/>
  <c r="L855" i="2"/>
  <c r="L619" i="2"/>
  <c r="L485" i="2"/>
  <c r="L221" i="2"/>
  <c r="L334" i="2"/>
  <c r="K245" i="2"/>
  <c r="L245" i="2"/>
  <c r="L601" i="2"/>
  <c r="L535" i="2"/>
  <c r="K535" i="2"/>
  <c r="B535" i="2" s="1" a="1"/>
  <c r="B535" i="2" s="1"/>
  <c r="Y416" i="2"/>
  <c r="M416" i="2" s="1"/>
  <c r="N416" i="2"/>
  <c r="N521" i="2"/>
  <c r="Y521" i="2"/>
  <c r="M521" i="2" s="1"/>
  <c r="Y871" i="2"/>
  <c r="M871" i="2" s="1"/>
  <c r="N871" i="2"/>
  <c r="N1044" i="2"/>
  <c r="Y1044" i="2"/>
  <c r="M1044" i="2" s="1"/>
  <c r="N1054" i="2"/>
  <c r="Y1054" i="2"/>
  <c r="M1054" i="2" s="1"/>
  <c r="N785" i="2"/>
  <c r="Y785" i="2"/>
  <c r="M785" i="2" s="1"/>
  <c r="Y744" i="2"/>
  <c r="M744" i="2" s="1"/>
  <c r="N744" i="2"/>
  <c r="N873" i="2"/>
  <c r="Y873" i="2"/>
  <c r="M873" i="2" s="1"/>
  <c r="N971" i="2"/>
  <c r="Y971" i="2"/>
  <c r="M971" i="2" s="1"/>
  <c r="N1095" i="2"/>
  <c r="Y1095" i="2"/>
  <c r="M1095" i="2" s="1"/>
  <c r="Y683" i="2"/>
  <c r="M683" i="2" s="1"/>
  <c r="N683" i="2"/>
  <c r="N63" i="2"/>
  <c r="Y63" i="2"/>
  <c r="M63" i="2" s="1"/>
  <c r="N147" i="2"/>
  <c r="Y147" i="2"/>
  <c r="M147" i="2" s="1"/>
  <c r="N165" i="2"/>
  <c r="Y165" i="2"/>
  <c r="M165" i="2" s="1"/>
  <c r="N493" i="2"/>
  <c r="Y493" i="2"/>
  <c r="M493" i="2" s="1"/>
  <c r="Y394" i="2"/>
  <c r="M394" i="2" s="1"/>
  <c r="N394" i="2"/>
  <c r="N527" i="2"/>
  <c r="Y527" i="2"/>
  <c r="M527" i="2" s="1"/>
  <c r="N409" i="2"/>
  <c r="Y409" i="2"/>
  <c r="M409" i="2" s="1"/>
  <c r="N1055" i="2"/>
  <c r="Y1055" i="2"/>
  <c r="M1055" i="2" s="1"/>
  <c r="Y985" i="2"/>
  <c r="M985" i="2" s="1"/>
  <c r="N985" i="2"/>
  <c r="N921" i="2"/>
  <c r="Y921" i="2"/>
  <c r="M921" i="2" s="1"/>
  <c r="N1103" i="2"/>
  <c r="Y1103" i="2"/>
  <c r="M1103" i="2" s="1"/>
  <c r="N757" i="2"/>
  <c r="Y757" i="2"/>
  <c r="M757" i="2" s="1"/>
  <c r="Y266" i="2"/>
  <c r="M266" i="2" s="1"/>
  <c r="N266" i="2"/>
  <c r="Y226" i="2"/>
  <c r="M226" i="2" s="1"/>
  <c r="N226" i="2"/>
  <c r="Y505" i="2"/>
  <c r="M505" i="2" s="1"/>
  <c r="N505" i="2"/>
  <c r="Y804" i="2"/>
  <c r="M804" i="2" s="1"/>
  <c r="N804" i="2"/>
  <c r="N1093" i="2"/>
  <c r="Y1093" i="2"/>
  <c r="M1093" i="2" s="1"/>
  <c r="Y1001" i="2"/>
  <c r="M1001" i="2" s="1"/>
  <c r="N1001" i="2"/>
  <c r="Y608" i="2"/>
  <c r="M608" i="2" s="1"/>
  <c r="N608" i="2"/>
  <c r="N672" i="2"/>
  <c r="Y672" i="2"/>
  <c r="M672" i="2" s="1"/>
  <c r="Y154" i="2"/>
  <c r="M154" i="2" s="1"/>
  <c r="N154" i="2"/>
  <c r="Y760" i="2"/>
  <c r="M760" i="2" s="1"/>
  <c r="N760" i="2"/>
  <c r="Y187" i="2"/>
  <c r="M187" i="2" s="1"/>
  <c r="N187" i="2"/>
  <c r="Y81" i="2"/>
  <c r="M81" i="2" s="1"/>
  <c r="N81" i="2"/>
  <c r="Y167" i="2"/>
  <c r="M167" i="2" s="1"/>
  <c r="N167" i="2"/>
  <c r="Y290" i="2"/>
  <c r="M290" i="2" s="1"/>
  <c r="N290" i="2"/>
  <c r="N671" i="2"/>
  <c r="Y671" i="2"/>
  <c r="M671" i="2" s="1"/>
  <c r="Y885" i="2"/>
  <c r="M885" i="2" s="1"/>
  <c r="N885" i="2"/>
  <c r="Y1048" i="2"/>
  <c r="M1048" i="2" s="1"/>
  <c r="N1048" i="2"/>
  <c r="Y1163" i="2"/>
  <c r="M1163" i="2" s="1"/>
  <c r="N1163" i="2"/>
  <c r="Y480" i="2"/>
  <c r="M480" i="2" s="1"/>
  <c r="N480" i="2"/>
  <c r="N27" i="2"/>
  <c r="Y27" i="2"/>
  <c r="M27" i="2" s="1"/>
  <c r="Y209" i="2"/>
  <c r="M209" i="2" s="1"/>
  <c r="N209" i="2"/>
  <c r="N59" i="2"/>
  <c r="Y59" i="2"/>
  <c r="M59" i="2" s="1"/>
  <c r="N613" i="2"/>
  <c r="Y613" i="2"/>
  <c r="M613" i="2" s="1"/>
  <c r="N981" i="2"/>
  <c r="Y981" i="2"/>
  <c r="M981" i="2" s="1"/>
  <c r="Y299" i="2"/>
  <c r="M299" i="2" s="1"/>
  <c r="N299" i="2"/>
  <c r="N1026" i="2"/>
  <c r="Y1026" i="2"/>
  <c r="M1026" i="2" s="1"/>
  <c r="Y593" i="2"/>
  <c r="M593" i="2" s="1"/>
  <c r="N593" i="2"/>
  <c r="N540" i="2"/>
  <c r="Y540" i="2"/>
  <c r="M540" i="2" s="1"/>
  <c r="N128" i="2"/>
  <c r="Y128" i="2"/>
  <c r="M128" i="2" s="1"/>
  <c r="N792" i="2"/>
  <c r="Y792" i="2"/>
  <c r="M792" i="2" s="1"/>
  <c r="Y941" i="2"/>
  <c r="M941" i="2" s="1"/>
  <c r="N941" i="2"/>
  <c r="Y169" i="2"/>
  <c r="M169" i="2" s="1"/>
  <c r="N169" i="2"/>
  <c r="N668" i="2"/>
  <c r="Y668" i="2"/>
  <c r="M668" i="2" s="1"/>
  <c r="N794" i="2"/>
  <c r="Y794" i="2"/>
  <c r="M794" i="2" s="1"/>
  <c r="Y460" i="2"/>
  <c r="M460" i="2" s="1"/>
  <c r="N460" i="2"/>
  <c r="N477" i="2"/>
  <c r="Y477" i="2"/>
  <c r="M477" i="2" s="1"/>
  <c r="Y1180" i="2"/>
  <c r="M1180" i="2" s="1"/>
  <c r="N1180" i="2"/>
  <c r="Y877" i="2"/>
  <c r="M877" i="2" s="1"/>
  <c r="N877" i="2"/>
  <c r="N321" i="2"/>
  <c r="Y321" i="2"/>
  <c r="M321" i="2" s="1"/>
  <c r="Y980" i="2"/>
  <c r="M980" i="2" s="1"/>
  <c r="N980" i="2"/>
  <c r="Y1215" i="2"/>
  <c r="M1215" i="2" s="1"/>
  <c r="N1215" i="2"/>
  <c r="Y390" i="2"/>
  <c r="M390" i="2" s="1"/>
  <c r="N390" i="2"/>
  <c r="N1033" i="2"/>
  <c r="Y1033" i="2"/>
  <c r="M1033" i="2" s="1"/>
  <c r="N931" i="2"/>
  <c r="Y931" i="2"/>
  <c r="M931" i="2" s="1"/>
  <c r="N887" i="2"/>
  <c r="Y887" i="2"/>
  <c r="M887" i="2" s="1"/>
  <c r="N1060" i="2"/>
  <c r="Y1060" i="2"/>
  <c r="M1060" i="2" s="1"/>
  <c r="N936" i="2"/>
  <c r="Y936" i="2"/>
  <c r="M936" i="2" s="1"/>
  <c r="Y488" i="2"/>
  <c r="M488" i="2" s="1"/>
  <c r="N488" i="2"/>
  <c r="Y578" i="2"/>
  <c r="M578" i="2" s="1"/>
  <c r="N578" i="2"/>
  <c r="Y549" i="2"/>
  <c r="M549" i="2" s="1"/>
  <c r="N549" i="2"/>
  <c r="Y388" i="2"/>
  <c r="M388" i="2" s="1"/>
  <c r="N388" i="2"/>
  <c r="N773" i="2"/>
  <c r="Y773" i="2"/>
  <c r="M773" i="2" s="1"/>
  <c r="N126" i="2"/>
  <c r="Y126" i="2"/>
  <c r="M126" i="2" s="1"/>
  <c r="Y586" i="2"/>
  <c r="M586" i="2" s="1"/>
  <c r="N586" i="2"/>
  <c r="Y243" i="2"/>
  <c r="M243" i="2" s="1"/>
  <c r="N243" i="2"/>
  <c r="Y302" i="2"/>
  <c r="M302" i="2" s="1"/>
  <c r="N302" i="2"/>
  <c r="N46" i="2"/>
  <c r="Y46" i="2"/>
  <c r="M46" i="2" s="1"/>
  <c r="N78" i="2"/>
  <c r="Y78" i="2"/>
  <c r="M78" i="2" s="1"/>
  <c r="N372" i="2"/>
  <c r="Y372" i="2"/>
  <c r="M372" i="2" s="1"/>
  <c r="Y660" i="2"/>
  <c r="M660" i="2" s="1"/>
  <c r="N660" i="2"/>
  <c r="Y83" i="2"/>
  <c r="M83" i="2" s="1"/>
  <c r="N83" i="2"/>
  <c r="N75" i="2"/>
  <c r="Y75" i="2"/>
  <c r="M75" i="2" s="1"/>
  <c r="N443" i="2"/>
  <c r="Y443" i="2"/>
  <c r="M443" i="2" s="1"/>
  <c r="Y105" i="2"/>
  <c r="M105" i="2" s="1"/>
  <c r="N105" i="2"/>
  <c r="N47" i="2"/>
  <c r="Y47" i="2"/>
  <c r="M47" i="2" s="1"/>
  <c r="N132" i="2"/>
  <c r="Y132" i="2"/>
  <c r="M132" i="2" s="1"/>
  <c r="N96" i="2"/>
  <c r="Y96" i="2"/>
  <c r="M96" i="2" s="1"/>
  <c r="N352" i="2"/>
  <c r="Y352" i="2"/>
  <c r="M352" i="2" s="1"/>
  <c r="N522" i="2"/>
  <c r="Y522" i="2"/>
  <c r="M522" i="2" s="1"/>
  <c r="Y51" i="2"/>
  <c r="M51" i="2" s="1"/>
  <c r="N51" i="2"/>
  <c r="Y1201" i="2"/>
  <c r="M1201" i="2" s="1"/>
  <c r="N1201" i="2"/>
  <c r="Y313" i="2"/>
  <c r="M313" i="2" s="1"/>
  <c r="N313" i="2"/>
  <c r="N1131" i="2"/>
  <c r="Y1131" i="2"/>
  <c r="M1131" i="2" s="1"/>
  <c r="Y797" i="2"/>
  <c r="M797" i="2" s="1"/>
  <c r="N797" i="2"/>
  <c r="Y1174" i="2"/>
  <c r="M1174" i="2" s="1"/>
  <c r="N1174" i="2"/>
  <c r="Y620" i="2"/>
  <c r="M620" i="2" s="1"/>
  <c r="N620" i="2"/>
  <c r="N401" i="2"/>
  <c r="Y401" i="2"/>
  <c r="M401" i="2" s="1"/>
  <c r="N986" i="2"/>
  <c r="Y986" i="2"/>
  <c r="M986" i="2" s="1"/>
  <c r="N255" i="2"/>
  <c r="Y255" i="2"/>
  <c r="M255" i="2" s="1"/>
  <c r="N411" i="2"/>
  <c r="Y411" i="2"/>
  <c r="M411" i="2" s="1"/>
  <c r="N1168" i="2"/>
  <c r="Y1168" i="2"/>
  <c r="M1168" i="2" s="1"/>
  <c r="N654" i="2"/>
  <c r="Y654" i="2"/>
  <c r="M654" i="2" s="1"/>
  <c r="N684" i="2"/>
  <c r="Y684" i="2"/>
  <c r="M684" i="2" s="1"/>
  <c r="Y1087" i="2"/>
  <c r="M1087" i="2" s="1"/>
  <c r="N1087" i="2"/>
  <c r="N883" i="2"/>
  <c r="Y883" i="2"/>
  <c r="M883" i="2" s="1"/>
  <c r="Y470" i="2"/>
  <c r="M470" i="2" s="1"/>
  <c r="N470" i="2"/>
  <c r="Y809" i="2"/>
  <c r="M809" i="2" s="1"/>
  <c r="N809" i="2"/>
  <c r="Y400" i="2"/>
  <c r="M400" i="2" s="1"/>
  <c r="N400" i="2"/>
  <c r="Y168" i="2"/>
  <c r="M168" i="2" s="1"/>
  <c r="N168" i="2"/>
  <c r="N1141" i="2"/>
  <c r="Y1141" i="2"/>
  <c r="M1141" i="2" s="1"/>
  <c r="Y1021" i="2"/>
  <c r="M1021" i="2" s="1"/>
  <c r="N1021" i="2"/>
  <c r="Y694" i="2"/>
  <c r="M694" i="2" s="1"/>
  <c r="N694" i="2"/>
  <c r="Y1207" i="2"/>
  <c r="M1207" i="2" s="1"/>
  <c r="N1207" i="2"/>
  <c r="N364" i="2"/>
  <c r="Y364" i="2"/>
  <c r="M364" i="2" s="1"/>
  <c r="N767" i="2"/>
  <c r="Y767" i="2"/>
  <c r="M767" i="2" s="1"/>
  <c r="N961" i="2"/>
  <c r="Y961" i="2"/>
  <c r="M961" i="2" s="1"/>
  <c r="N1120" i="2"/>
  <c r="Y1120" i="2"/>
  <c r="M1120" i="2" s="1"/>
  <c r="N1186" i="2"/>
  <c r="Y1186" i="2"/>
  <c r="M1186" i="2" s="1"/>
  <c r="N1034" i="2"/>
  <c r="Y1034" i="2"/>
  <c r="M1034" i="2" s="1"/>
  <c r="Y533" i="2"/>
  <c r="M533" i="2" s="1"/>
  <c r="N533" i="2"/>
  <c r="Y1023" i="2"/>
  <c r="M1023" i="2" s="1"/>
  <c r="N1023" i="2"/>
  <c r="Y183" i="2"/>
  <c r="M183" i="2" s="1"/>
  <c r="N183" i="2"/>
  <c r="Y840" i="2"/>
  <c r="M840" i="2" s="1"/>
  <c r="N840" i="2"/>
  <c r="N875" i="2"/>
  <c r="Y875" i="2"/>
  <c r="M875" i="2" s="1"/>
  <c r="N945" i="2"/>
  <c r="Y945" i="2"/>
  <c r="M945" i="2" s="1"/>
  <c r="N914" i="2"/>
  <c r="Y914" i="2"/>
  <c r="M914" i="2" s="1"/>
  <c r="Y894" i="2"/>
  <c r="M894" i="2" s="1"/>
  <c r="N894" i="2"/>
  <c r="N862" i="2"/>
  <c r="Y862" i="2"/>
  <c r="M862" i="2" s="1"/>
  <c r="Y759" i="2"/>
  <c r="M759" i="2" s="1"/>
  <c r="N759" i="2"/>
  <c r="N675" i="2"/>
  <c r="Y675" i="2"/>
  <c r="M675" i="2" s="1"/>
  <c r="N514" i="2"/>
  <c r="Y514" i="2"/>
  <c r="M514" i="2" s="1"/>
  <c r="Y500" i="2"/>
  <c r="M500" i="2" s="1"/>
  <c r="N500" i="2"/>
  <c r="N558" i="2"/>
  <c r="Y558" i="2"/>
  <c r="M558" i="2" s="1"/>
  <c r="Y341" i="2"/>
  <c r="M341" i="2" s="1"/>
  <c r="N341" i="2"/>
  <c r="Y605" i="2"/>
  <c r="M605" i="2" s="1"/>
  <c r="N605" i="2"/>
  <c r="N665" i="2"/>
  <c r="Y665" i="2"/>
  <c r="M665" i="2" s="1"/>
  <c r="N649" i="2"/>
  <c r="Y649" i="2"/>
  <c r="M649" i="2" s="1"/>
  <c r="Y14" i="2"/>
  <c r="M14" i="2" s="1"/>
  <c r="N14" i="2"/>
  <c r="N616" i="2"/>
  <c r="Y616" i="2"/>
  <c r="M616" i="2" s="1"/>
  <c r="Y561" i="2"/>
  <c r="M561" i="2" s="1"/>
  <c r="N561" i="2"/>
  <c r="N180" i="2"/>
  <c r="Y180" i="2"/>
  <c r="M180" i="2" s="1"/>
  <c r="N841" i="2"/>
  <c r="Y841" i="2"/>
  <c r="M841" i="2" s="1"/>
  <c r="N329" i="2"/>
  <c r="Y329" i="2"/>
  <c r="M329" i="2" s="1"/>
  <c r="N12" i="2"/>
  <c r="Y12" i="2"/>
  <c r="M12" i="2" s="1"/>
  <c r="Y16" i="2"/>
  <c r="M16" i="2" s="1"/>
  <c r="N16" i="2"/>
  <c r="N70" i="2"/>
  <c r="Y70" i="2"/>
  <c r="M70" i="2" s="1"/>
  <c r="Y36" i="2"/>
  <c r="M36" i="2" s="1"/>
  <c r="N36" i="2"/>
  <c r="Y157" i="2"/>
  <c r="M157" i="2" s="1"/>
  <c r="N157" i="2"/>
  <c r="Y241" i="2"/>
  <c r="M241" i="2" s="1"/>
  <c r="N241" i="2"/>
  <c r="N387" i="2"/>
  <c r="Y387" i="2"/>
  <c r="M387" i="2" s="1"/>
  <c r="N612" i="2"/>
  <c r="Y612" i="2"/>
  <c r="M612" i="2" s="1"/>
  <c r="N633" i="2"/>
  <c r="Y633" i="2"/>
  <c r="M633" i="2" s="1"/>
  <c r="N788" i="2"/>
  <c r="Y788" i="2"/>
  <c r="M788" i="2" s="1"/>
  <c r="Y889" i="2"/>
  <c r="M889" i="2" s="1"/>
  <c r="N889" i="2"/>
  <c r="N958" i="2"/>
  <c r="Y958" i="2"/>
  <c r="M958" i="2" s="1"/>
  <c r="N1040" i="2"/>
  <c r="Y1040" i="2"/>
  <c r="M1040" i="2" s="1"/>
  <c r="N1172" i="2"/>
  <c r="Y1172" i="2"/>
  <c r="M1172" i="2" s="1"/>
  <c r="Y1239" i="2"/>
  <c r="M1239" i="2" s="1"/>
  <c r="N1239" i="2"/>
  <c r="L972" i="2"/>
  <c r="L139" i="2"/>
  <c r="L255" i="2"/>
  <c r="L100" i="2"/>
  <c r="K100" i="2"/>
  <c r="L775" i="2"/>
  <c r="K775" i="2"/>
  <c r="L584" i="2"/>
  <c r="L32" i="2"/>
  <c r="L64" i="2"/>
  <c r="L45" i="2"/>
  <c r="L308" i="2"/>
  <c r="L1170" i="2"/>
  <c r="L1074" i="2"/>
  <c r="L814" i="2"/>
  <c r="K814" i="2"/>
  <c r="B814" i="2" s="1" a="1"/>
  <c r="B814" i="2" s="1"/>
  <c r="H814" i="2" s="1"/>
  <c r="L1070" i="2"/>
  <c r="K1070" i="2"/>
  <c r="B1070" i="2" s="1" a="1"/>
  <c r="B1070" i="2" s="1"/>
  <c r="K1153" i="2"/>
  <c r="L1153" i="2"/>
  <c r="L555" i="2"/>
  <c r="L1237" i="2"/>
  <c r="L429" i="2"/>
  <c r="K1215" i="2"/>
  <c r="L1215" i="2"/>
  <c r="L744" i="2"/>
  <c r="K744" i="2"/>
  <c r="L327" i="2"/>
  <c r="K327" i="2"/>
  <c r="B327" i="2" s="1" a="1"/>
  <c r="B327" i="2" s="1"/>
  <c r="L1150" i="2"/>
  <c r="K1150" i="2"/>
  <c r="B1150" i="2" s="1" a="1"/>
  <c r="B1150" i="2" s="1"/>
  <c r="L358" i="2"/>
  <c r="K1033" i="2"/>
  <c r="B1033" i="2" s="1" a="1"/>
  <c r="B1033" i="2" s="1"/>
  <c r="L1033" i="2"/>
  <c r="L1234" i="2"/>
  <c r="K1234" i="2"/>
  <c r="L355" i="2"/>
  <c r="L1025" i="2"/>
  <c r="L1047" i="2"/>
  <c r="L557" i="2"/>
  <c r="K557" i="2"/>
  <c r="B557" i="2" s="1" a="1"/>
  <c r="B557" i="2" s="1"/>
  <c r="H557" i="2" s="1"/>
  <c r="L873" i="2"/>
  <c r="K873" i="2"/>
  <c r="B873" i="2" s="1" a="1"/>
  <c r="B873" i="2" s="1"/>
  <c r="L432" i="2"/>
  <c r="L839" i="2"/>
  <c r="K839" i="2"/>
  <c r="L161" i="2"/>
  <c r="L1266" i="2"/>
  <c r="L487" i="2"/>
  <c r="K487" i="2"/>
  <c r="B487" i="2" s="1" a="1"/>
  <c r="B487" i="2" s="1"/>
  <c r="L977" i="2"/>
  <c r="K880" i="2"/>
  <c r="L880" i="2"/>
  <c r="L948" i="2"/>
  <c r="L1029" i="2"/>
  <c r="K1029" i="2"/>
  <c r="B1029" i="2" s="1" a="1"/>
  <c r="B1029" i="2" s="1"/>
  <c r="L1114" i="2"/>
  <c r="L926" i="2"/>
  <c r="L504" i="2"/>
  <c r="L623" i="2"/>
  <c r="K623" i="2"/>
  <c r="B623" i="2" s="1" a="1"/>
  <c r="B623" i="2" s="1"/>
  <c r="L949" i="2"/>
  <c r="L1002" i="2"/>
  <c r="K1002" i="2"/>
  <c r="B1002" i="2" s="1" a="1"/>
  <c r="B1002" i="2" s="1"/>
  <c r="H1002" i="2" s="1"/>
  <c r="L1271" i="2"/>
  <c r="L975" i="2"/>
  <c r="L1143" i="2"/>
  <c r="L860" i="2"/>
  <c r="L1046" i="2"/>
  <c r="L570" i="2"/>
  <c r="L554" i="2"/>
  <c r="L579" i="2"/>
  <c r="K579" i="2"/>
  <c r="B579" i="2" s="1" a="1"/>
  <c r="B579" i="2" s="1"/>
  <c r="H579" i="2" s="1"/>
  <c r="L682" i="2"/>
  <c r="L227" i="2"/>
  <c r="K227" i="2"/>
  <c r="B227" i="2" s="1" a="1"/>
  <c r="B227" i="2" s="1"/>
  <c r="L211" i="2"/>
  <c r="K211" i="2"/>
  <c r="L476" i="2"/>
  <c r="L436" i="2"/>
  <c r="K436" i="2"/>
  <c r="B436" i="2" s="1" a="1"/>
  <c r="B436" i="2" s="1"/>
  <c r="L657" i="2"/>
  <c r="L375" i="2"/>
  <c r="L639" i="2"/>
  <c r="K639" i="2"/>
  <c r="B639" i="2" s="1" a="1"/>
  <c r="B639" i="2" s="1"/>
  <c r="H639" i="2" s="1"/>
  <c r="L287" i="2"/>
  <c r="K287" i="2"/>
  <c r="B287" i="2" s="1" a="1"/>
  <c r="B287" i="2" s="1"/>
  <c r="L286" i="2"/>
  <c r="L528" i="2"/>
  <c r="L704" i="2"/>
  <c r="L247" i="2"/>
  <c r="K247" i="2"/>
  <c r="B247" i="2" s="1" a="1"/>
  <c r="B247" i="2" s="1"/>
  <c r="L322" i="2"/>
  <c r="L175" i="2"/>
  <c r="L77" i="2"/>
  <c r="K77" i="2"/>
  <c r="B77" i="2" s="1" a="1"/>
  <c r="B77" i="2" s="1"/>
  <c r="H77" i="2" s="1"/>
  <c r="L90" i="2"/>
  <c r="L35" i="2"/>
  <c r="L190" i="2"/>
  <c r="L87" i="2"/>
  <c r="L365" i="2"/>
  <c r="L439" i="2"/>
  <c r="L587" i="2"/>
  <c r="L804" i="2"/>
  <c r="K804" i="2"/>
  <c r="B804" i="2" s="1" a="1"/>
  <c r="B804" i="2" s="1"/>
  <c r="H804" i="2" s="1"/>
  <c r="L958" i="2"/>
  <c r="L1198" i="2"/>
  <c r="N412" i="2"/>
  <c r="Y412" i="2"/>
  <c r="M412" i="2" s="1"/>
  <c r="N960" i="2"/>
  <c r="Y960" i="2"/>
  <c r="M960" i="2" s="1"/>
  <c r="Y1238" i="2"/>
  <c r="M1238" i="2" s="1"/>
  <c r="N1238" i="2"/>
  <c r="N1025" i="2"/>
  <c r="Y1025" i="2"/>
  <c r="M1025" i="2" s="1"/>
  <c r="Y837" i="2"/>
  <c r="M837" i="2" s="1"/>
  <c r="N837" i="2"/>
  <c r="N800" i="2"/>
  <c r="Y800" i="2"/>
  <c r="M800" i="2" s="1"/>
  <c r="N386" i="2"/>
  <c r="Y386" i="2"/>
  <c r="M386" i="2" s="1"/>
  <c r="N58" i="2"/>
  <c r="Y58" i="2"/>
  <c r="M58" i="2" s="1"/>
  <c r="N164" i="2"/>
  <c r="Y164" i="2"/>
  <c r="M164" i="2" s="1"/>
  <c r="Y170" i="2"/>
  <c r="M170" i="2" s="1"/>
  <c r="N170" i="2"/>
  <c r="N161" i="2"/>
  <c r="Y161" i="2"/>
  <c r="M161" i="2" s="1"/>
  <c r="N408" i="2"/>
  <c r="Y408" i="2"/>
  <c r="M408" i="2" s="1"/>
  <c r="N793" i="2"/>
  <c r="Y793" i="2"/>
  <c r="M793" i="2" s="1"/>
  <c r="N950" i="2"/>
  <c r="Y950" i="2"/>
  <c r="M950" i="2" s="1"/>
  <c r="N1246" i="2"/>
  <c r="Y1246" i="2"/>
  <c r="M1246" i="2" s="1"/>
  <c r="L340" i="2"/>
  <c r="L49" i="2"/>
  <c r="L448" i="2"/>
  <c r="L13" i="2"/>
  <c r="L209" i="2"/>
  <c r="K209" i="2"/>
  <c r="B209" i="2" s="1" a="1"/>
  <c r="B209" i="2" s="1"/>
  <c r="L662" i="2"/>
  <c r="L773" i="2"/>
  <c r="K773" i="2"/>
  <c r="B773" i="2" s="1" a="1"/>
  <c r="B773" i="2" s="1"/>
  <c r="L29" i="2"/>
  <c r="K29" i="2"/>
  <c r="B29" i="2" s="1" a="1"/>
  <c r="B29" i="2" s="1"/>
  <c r="L88" i="2"/>
  <c r="L520" i="2"/>
  <c r="K520" i="2"/>
  <c r="L573" i="2"/>
  <c r="L957" i="2"/>
  <c r="L160" i="2"/>
  <c r="L1129" i="2"/>
  <c r="L823" i="2"/>
  <c r="K823" i="2"/>
  <c r="B823" i="2" s="1" a="1"/>
  <c r="B823" i="2" s="1"/>
  <c r="H823" i="2" s="1"/>
  <c r="L341" i="2"/>
  <c r="K341" i="2"/>
  <c r="B341" i="2" s="1" a="1"/>
  <c r="B341" i="2" s="1"/>
  <c r="L1037" i="2"/>
  <c r="L669" i="2"/>
  <c r="L1021" i="2"/>
  <c r="K1021" i="2"/>
  <c r="L1108" i="2"/>
  <c r="K1108" i="2"/>
  <c r="B1108" i="2" s="1" a="1"/>
  <c r="B1108" i="2" s="1"/>
  <c r="L574" i="2"/>
  <c r="L163" i="2"/>
  <c r="L321" i="2"/>
  <c r="K321" i="2"/>
  <c r="B321" i="2" s="1" a="1"/>
  <c r="B321" i="2" s="1"/>
  <c r="H321" i="2" s="1"/>
  <c r="I321" i="2" s="1"/>
  <c r="L896" i="2"/>
  <c r="L813" i="2"/>
  <c r="L1045" i="2"/>
  <c r="L921" i="2"/>
  <c r="K921" i="2"/>
  <c r="B921" i="2" s="1" a="1"/>
  <c r="B921" i="2" s="1"/>
  <c r="L1130" i="2"/>
  <c r="K754" i="2"/>
  <c r="L754" i="2"/>
  <c r="L984" i="2"/>
  <c r="L1049" i="2"/>
  <c r="K1049" i="2"/>
  <c r="B1049" i="2" s="1" a="1"/>
  <c r="B1049" i="2" s="1"/>
  <c r="H1049" i="2" s="1"/>
  <c r="K226" i="2"/>
  <c r="L226" i="2"/>
  <c r="L930" i="2"/>
  <c r="L1168" i="2"/>
  <c r="K1168" i="2"/>
  <c r="L347" i="2"/>
  <c r="L881" i="2"/>
  <c r="K881" i="2"/>
  <c r="B881" i="2" s="1" a="1"/>
  <c r="B881" i="2" s="1"/>
  <c r="L882" i="2"/>
  <c r="K797" i="2"/>
  <c r="B797" i="2" s="1" a="1"/>
  <c r="B797" i="2" s="1"/>
  <c r="L797" i="2"/>
  <c r="L1014" i="2"/>
  <c r="K1014" i="2"/>
  <c r="B1014" i="2" s="1" a="1"/>
  <c r="B1014" i="2" s="1"/>
  <c r="H1014" i="2" s="1"/>
  <c r="L1066" i="2"/>
  <c r="K1066" i="2"/>
  <c r="B1066" i="2" s="1" a="1"/>
  <c r="B1066" i="2" s="1"/>
  <c r="L219" i="2"/>
  <c r="K219" i="2"/>
  <c r="B219" i="2" s="1" a="1"/>
  <c r="B219" i="2" s="1"/>
  <c r="L296" i="2"/>
  <c r="L571" i="2"/>
  <c r="L932" i="2"/>
  <c r="K1001" i="2"/>
  <c r="L1001" i="2"/>
  <c r="L1092" i="2"/>
  <c r="K944" i="2"/>
  <c r="L944" i="2"/>
  <c r="L1042" i="2"/>
  <c r="L828" i="2"/>
  <c r="L997" i="2"/>
  <c r="L540" i="2"/>
  <c r="K540" i="2"/>
  <c r="B540" i="2" s="1" a="1"/>
  <c r="B540" i="2" s="1"/>
  <c r="L569" i="2"/>
  <c r="L566" i="2"/>
  <c r="L692" i="2"/>
  <c r="K692" i="2"/>
  <c r="L156" i="2"/>
  <c r="K156" i="2"/>
  <c r="B156" i="2" s="1" a="1"/>
  <c r="B156" i="2" s="1"/>
  <c r="H156" i="2" s="1"/>
  <c r="L112" i="2"/>
  <c r="L392" i="2"/>
  <c r="L441" i="2"/>
  <c r="K441" i="2"/>
  <c r="L702" i="2"/>
  <c r="K702" i="2"/>
  <c r="B702" i="2" s="1" a="1"/>
  <c r="B702" i="2" s="1"/>
  <c r="L316" i="2"/>
  <c r="L655" i="2"/>
  <c r="K746" i="2"/>
  <c r="B746" i="2" s="1" a="1"/>
  <c r="B746" i="2" s="1"/>
  <c r="L746" i="2"/>
  <c r="L301" i="2"/>
  <c r="K301" i="2"/>
  <c r="B301" i="2" s="1" a="1"/>
  <c r="B301" i="2" s="1"/>
  <c r="H301" i="2" s="1"/>
  <c r="L411" i="2"/>
  <c r="K411" i="2"/>
  <c r="B411" i="2" s="1" a="1"/>
  <c r="B411" i="2" s="1"/>
  <c r="L614" i="2"/>
  <c r="L210" i="2"/>
  <c r="L300" i="2"/>
  <c r="L60" i="2"/>
  <c r="L12" i="2"/>
  <c r="K12" i="2"/>
  <c r="B12" i="2" s="1" a="1"/>
  <c r="B12" i="2" s="1"/>
  <c r="L149" i="2"/>
  <c r="L44" i="2"/>
  <c r="K44" i="2"/>
  <c r="B44" i="2" s="1" a="1"/>
  <c r="B44" i="2" s="1"/>
  <c r="H44" i="2" s="1"/>
  <c r="I44" i="2" s="1"/>
  <c r="K151" i="2"/>
  <c r="L151" i="2"/>
  <c r="L127" i="2"/>
  <c r="L233" i="2"/>
  <c r="L462" i="2"/>
  <c r="L537" i="2"/>
  <c r="L827" i="2"/>
  <c r="L999" i="2"/>
  <c r="L1210" i="2"/>
  <c r="K1210" i="2"/>
  <c r="B1210" i="2" s="1" a="1"/>
  <c r="B1210" i="2" s="1"/>
  <c r="H1210" i="2" s="1"/>
  <c r="I1210" i="2" s="1"/>
  <c r="Y146" i="2"/>
  <c r="M146" i="2" s="1"/>
  <c r="N146" i="2"/>
  <c r="N1076" i="2"/>
  <c r="Y1076" i="2"/>
  <c r="M1076" i="2" s="1"/>
  <c r="N475" i="2"/>
  <c r="Y475" i="2"/>
  <c r="M475" i="2" s="1"/>
  <c r="L1098" i="2"/>
  <c r="N575" i="2"/>
  <c r="Y575" i="2"/>
  <c r="M575" i="2" s="1"/>
  <c r="Y296" i="2"/>
  <c r="M296" i="2" s="1"/>
  <c r="N296" i="2"/>
  <c r="Y72" i="2"/>
  <c r="M72" i="2" s="1"/>
  <c r="N72" i="2"/>
  <c r="N867" i="2"/>
  <c r="Y867" i="2"/>
  <c r="M867" i="2" s="1"/>
  <c r="N1062" i="2"/>
  <c r="Y1062" i="2"/>
  <c r="M1062" i="2" s="1"/>
  <c r="N615" i="2"/>
  <c r="Y615" i="2"/>
  <c r="M615" i="2" s="1"/>
  <c r="Y864" i="2"/>
  <c r="M864" i="2" s="1"/>
  <c r="N864" i="2"/>
  <c r="Y842" i="2"/>
  <c r="M842" i="2" s="1"/>
  <c r="N842" i="2"/>
  <c r="N690" i="2"/>
  <c r="Y690" i="2"/>
  <c r="M690" i="2" s="1"/>
  <c r="N320" i="2"/>
  <c r="Y320" i="2"/>
  <c r="M320" i="2" s="1"/>
  <c r="N686" i="2"/>
  <c r="Y686" i="2"/>
  <c r="M686" i="2" s="1"/>
  <c r="Y246" i="2"/>
  <c r="M246" i="2" s="1"/>
  <c r="N246" i="2"/>
  <c r="N64" i="2"/>
  <c r="Y64" i="2"/>
  <c r="M64" i="2" s="1"/>
  <c r="Y52" i="2"/>
  <c r="M52" i="2" s="1"/>
  <c r="N52" i="2"/>
  <c r="N259" i="2"/>
  <c r="Y259" i="2"/>
  <c r="M259" i="2" s="1"/>
  <c r="N628" i="2"/>
  <c r="Y628" i="2"/>
  <c r="M628" i="2" s="1"/>
  <c r="N703" i="2"/>
  <c r="Y703" i="2"/>
  <c r="M703" i="2" s="1"/>
  <c r="Y857" i="2"/>
  <c r="M857" i="2" s="1"/>
  <c r="N857" i="2"/>
  <c r="N1045" i="2"/>
  <c r="Y1045" i="2"/>
  <c r="M1045" i="2" s="1"/>
  <c r="Y648" i="2"/>
  <c r="M648" i="2" s="1"/>
  <c r="N648" i="2"/>
  <c r="N811" i="2"/>
  <c r="Y811" i="2"/>
  <c r="M811" i="2" s="1"/>
  <c r="N233" i="2"/>
  <c r="Y233" i="2"/>
  <c r="M233" i="2" s="1"/>
  <c r="Y1085" i="2"/>
  <c r="M1085" i="2" s="1"/>
  <c r="N1085" i="2"/>
  <c r="Y463" i="2"/>
  <c r="M463" i="2" s="1"/>
  <c r="N463" i="2"/>
  <c r="Y588" i="2"/>
  <c r="M588" i="2" s="1"/>
  <c r="N588" i="2"/>
  <c r="N641" i="2"/>
  <c r="Y641" i="2"/>
  <c r="M641" i="2" s="1"/>
  <c r="N427" i="2"/>
  <c r="Y427" i="2"/>
  <c r="M427" i="2" s="1"/>
  <c r="Y696" i="2"/>
  <c r="M696" i="2" s="1"/>
  <c r="N696" i="2"/>
  <c r="Y474" i="2"/>
  <c r="M474" i="2" s="1"/>
  <c r="N474" i="2"/>
  <c r="N135" i="2"/>
  <c r="Y135" i="2"/>
  <c r="M135" i="2" s="1"/>
  <c r="N845" i="2"/>
  <c r="Y845" i="2"/>
  <c r="M845" i="2" s="1"/>
  <c r="N326" i="2"/>
  <c r="Y326" i="2"/>
  <c r="M326" i="2" s="1"/>
  <c r="N526" i="2"/>
  <c r="Y526" i="2"/>
  <c r="M526" i="2" s="1"/>
  <c r="N934" i="2"/>
  <c r="Y934" i="2"/>
  <c r="M934" i="2" s="1"/>
  <c r="Y1036" i="2"/>
  <c r="M1036" i="2" s="1"/>
  <c r="N1036" i="2"/>
  <c r="N745" i="2"/>
  <c r="Y745" i="2"/>
  <c r="M745" i="2" s="1"/>
  <c r="Y815" i="2"/>
  <c r="M815" i="2" s="1"/>
  <c r="N815" i="2"/>
  <c r="Y1265" i="2"/>
  <c r="M1265" i="2" s="1"/>
  <c r="N1265" i="2"/>
  <c r="N1075" i="2"/>
  <c r="Y1075" i="2"/>
  <c r="M1075" i="2" s="1"/>
  <c r="N97" i="2"/>
  <c r="Y97" i="2"/>
  <c r="M97" i="2" s="1"/>
  <c r="N844" i="2"/>
  <c r="Y844" i="2"/>
  <c r="M844" i="2" s="1"/>
  <c r="N732" i="2"/>
  <c r="Y732" i="2"/>
  <c r="M732" i="2" s="1"/>
  <c r="Y297" i="2"/>
  <c r="M297" i="2" s="1"/>
  <c r="N297" i="2"/>
  <c r="N252" i="2"/>
  <c r="Y252" i="2"/>
  <c r="M252" i="2" s="1"/>
  <c r="N1249" i="2"/>
  <c r="Y1249" i="2"/>
  <c r="M1249" i="2" s="1"/>
  <c r="N1146" i="2"/>
  <c r="Y1146" i="2"/>
  <c r="M1146" i="2" s="1"/>
  <c r="N1147" i="2"/>
  <c r="Y1147" i="2"/>
  <c r="M1147" i="2" s="1"/>
  <c r="N669" i="2"/>
  <c r="Y669" i="2"/>
  <c r="M669" i="2" s="1"/>
  <c r="Y203" i="2"/>
  <c r="M203" i="2" s="1"/>
  <c r="N203" i="2"/>
  <c r="Y322" i="2"/>
  <c r="M322" i="2" s="1"/>
  <c r="N322" i="2"/>
  <c r="Y1225" i="2"/>
  <c r="M1225" i="2" s="1"/>
  <c r="N1225" i="2"/>
  <c r="N440" i="2"/>
  <c r="Y440" i="2"/>
  <c r="M440" i="2" s="1"/>
  <c r="Y1226" i="2"/>
  <c r="M1226" i="2" s="1"/>
  <c r="N1226" i="2"/>
  <c r="Y663" i="2"/>
  <c r="M663" i="2" s="1"/>
  <c r="N663" i="2"/>
  <c r="Y560" i="2"/>
  <c r="M560" i="2" s="1"/>
  <c r="N560" i="2"/>
  <c r="N1154" i="2"/>
  <c r="Y1154" i="2"/>
  <c r="M1154" i="2" s="1"/>
  <c r="N1121" i="2"/>
  <c r="Y1121" i="2"/>
  <c r="M1121" i="2" s="1"/>
  <c r="Y1192" i="2"/>
  <c r="M1192" i="2" s="1"/>
  <c r="N1192" i="2"/>
  <c r="Y946" i="2"/>
  <c r="M946" i="2" s="1"/>
  <c r="N946" i="2"/>
  <c r="Y1268" i="2"/>
  <c r="M1268" i="2" s="1"/>
  <c r="N1268" i="2"/>
  <c r="Y990" i="2"/>
  <c r="M990" i="2" s="1"/>
  <c r="N990" i="2"/>
  <c r="N1252" i="2"/>
  <c r="Y1252" i="2"/>
  <c r="M1252" i="2" s="1"/>
  <c r="N851" i="2"/>
  <c r="Y851" i="2"/>
  <c r="M851" i="2" s="1"/>
  <c r="N734" i="2"/>
  <c r="Y734" i="2"/>
  <c r="M734" i="2" s="1"/>
  <c r="Y818" i="2"/>
  <c r="M818" i="2" s="1"/>
  <c r="N818" i="2"/>
  <c r="N926" i="2"/>
  <c r="Y926" i="2"/>
  <c r="M926" i="2" s="1"/>
  <c r="Y863" i="2"/>
  <c r="M863" i="2" s="1"/>
  <c r="N863" i="2"/>
  <c r="N789" i="2"/>
  <c r="Y789" i="2"/>
  <c r="M789" i="2" s="1"/>
  <c r="N643" i="2"/>
  <c r="Y643" i="2"/>
  <c r="M643" i="2" s="1"/>
  <c r="Y622" i="2"/>
  <c r="M622" i="2" s="1"/>
  <c r="N622" i="2"/>
  <c r="N350" i="2"/>
  <c r="Y350" i="2"/>
  <c r="M350" i="2" s="1"/>
  <c r="Y402" i="2"/>
  <c r="M402" i="2" s="1"/>
  <c r="N402" i="2"/>
  <c r="N328" i="2"/>
  <c r="Y328" i="2"/>
  <c r="M328" i="2" s="1"/>
  <c r="N307" i="2"/>
  <c r="Y307" i="2"/>
  <c r="M307" i="2" s="1"/>
  <c r="N423" i="2"/>
  <c r="Y423" i="2"/>
  <c r="M423" i="2" s="1"/>
  <c r="Y530" i="2"/>
  <c r="M530" i="2" s="1"/>
  <c r="N530" i="2"/>
  <c r="N595" i="2"/>
  <c r="Y595" i="2"/>
  <c r="M595" i="2" s="1"/>
  <c r="Y455" i="2"/>
  <c r="M455" i="2" s="1"/>
  <c r="N455" i="2"/>
  <c r="Y581" i="2"/>
  <c r="M581" i="2" s="1"/>
  <c r="N581" i="2"/>
  <c r="Y531" i="2"/>
  <c r="M531" i="2" s="1"/>
  <c r="N531" i="2"/>
  <c r="N836" i="2"/>
  <c r="Y836" i="2"/>
  <c r="M836" i="2" s="1"/>
  <c r="Y667" i="2"/>
  <c r="M667" i="2" s="1"/>
  <c r="N667" i="2"/>
  <c r="Y155" i="2"/>
  <c r="M155" i="2" s="1"/>
  <c r="N155" i="2"/>
  <c r="N182" i="2"/>
  <c r="Y182" i="2"/>
  <c r="M182" i="2" s="1"/>
  <c r="Y55" i="2"/>
  <c r="M55" i="2" s="1"/>
  <c r="N55" i="2"/>
  <c r="N92" i="2"/>
  <c r="Y92" i="2"/>
  <c r="M92" i="2" s="1"/>
  <c r="N129" i="2"/>
  <c r="Y129" i="2"/>
  <c r="M129" i="2" s="1"/>
  <c r="N160" i="2"/>
  <c r="Y160" i="2"/>
  <c r="M160" i="2" s="1"/>
  <c r="N367" i="2"/>
  <c r="Y367" i="2"/>
  <c r="M367" i="2" s="1"/>
  <c r="N389" i="2"/>
  <c r="Y389" i="2"/>
  <c r="M389" i="2" s="1"/>
  <c r="N601" i="2"/>
  <c r="Y601" i="2"/>
  <c r="M601" i="2" s="1"/>
  <c r="N720" i="2"/>
  <c r="Y720" i="2"/>
  <c r="M720" i="2" s="1"/>
  <c r="Y801" i="2"/>
  <c r="M801" i="2" s="1"/>
  <c r="N801" i="2"/>
  <c r="Y888" i="2"/>
  <c r="M888" i="2" s="1"/>
  <c r="N888" i="2"/>
  <c r="Y972" i="2"/>
  <c r="M972" i="2" s="1"/>
  <c r="N972" i="2"/>
  <c r="N1049" i="2"/>
  <c r="Y1049" i="2"/>
  <c r="M1049" i="2" s="1"/>
  <c r="N1188" i="2"/>
  <c r="Y1188" i="2"/>
  <c r="M1188" i="2" s="1"/>
  <c r="N1236" i="2"/>
  <c r="Y1236" i="2"/>
  <c r="M1236" i="2" s="1"/>
  <c r="L371" i="2"/>
  <c r="K371" i="2"/>
  <c r="L137" i="2"/>
  <c r="K137" i="2"/>
  <c r="B137" i="2" s="1" a="1"/>
  <c r="B137" i="2" s="1"/>
  <c r="H137" i="2" s="1"/>
  <c r="L733" i="2"/>
  <c r="L66" i="2"/>
  <c r="L36" i="2"/>
  <c r="K714" i="2"/>
  <c r="L714" i="2"/>
  <c r="L177" i="2"/>
  <c r="L33" i="2"/>
  <c r="L133" i="2"/>
  <c r="K133" i="2"/>
  <c r="L599" i="2"/>
  <c r="K599" i="2"/>
  <c r="B599" i="2" s="1" a="1"/>
  <c r="B599" i="2" s="1"/>
  <c r="H599" i="2" s="1"/>
  <c r="L1054" i="2"/>
  <c r="K1054" i="2"/>
  <c r="B1054" i="2" s="1" a="1"/>
  <c r="B1054" i="2" s="1"/>
  <c r="L600" i="2"/>
  <c r="L396" i="2"/>
  <c r="L589" i="2"/>
  <c r="L400" i="2"/>
  <c r="K400" i="2"/>
  <c r="B400" i="2" s="1" a="1"/>
  <c r="B400" i="2" s="1"/>
  <c r="L501" i="2"/>
  <c r="K1052" i="2"/>
  <c r="B1052" i="2" s="1" a="1"/>
  <c r="B1052" i="2" s="1"/>
  <c r="L1052" i="2"/>
  <c r="L356" i="2"/>
  <c r="K356" i="2"/>
  <c r="B356" i="2" s="1" a="1"/>
  <c r="B356" i="2" s="1"/>
  <c r="H356" i="2" s="1"/>
  <c r="K1233" i="2"/>
  <c r="L1233" i="2"/>
  <c r="L206" i="2"/>
  <c r="K719" i="2"/>
  <c r="B719" i="2" s="1" a="1"/>
  <c r="B719" i="2" s="1"/>
  <c r="L719" i="2"/>
  <c r="L1154" i="2"/>
  <c r="K1154" i="2"/>
  <c r="B1154" i="2" s="1" a="1"/>
  <c r="B1154" i="2" s="1"/>
  <c r="L731" i="2"/>
  <c r="L1068" i="2"/>
  <c r="L193" i="2"/>
  <c r="K825" i="2"/>
  <c r="L825" i="2"/>
  <c r="L834" i="2"/>
  <c r="L1048" i="2"/>
  <c r="K1048" i="2"/>
  <c r="B1048" i="2" s="1" a="1"/>
  <c r="B1048" i="2" s="1"/>
  <c r="L357" i="2"/>
  <c r="L1105" i="2"/>
  <c r="K1105" i="2"/>
  <c r="B1105" i="2" s="1" a="1"/>
  <c r="B1105" i="2" s="1"/>
  <c r="L446" i="2"/>
  <c r="L350" i="2"/>
  <c r="K350" i="2"/>
  <c r="B350" i="2" s="1" a="1"/>
  <c r="B350" i="2" s="1"/>
  <c r="L1161" i="2"/>
  <c r="L919" i="2"/>
  <c r="K919" i="2"/>
  <c r="B919" i="2" s="1" a="1"/>
  <c r="B919" i="2" s="1"/>
  <c r="H919" i="2" s="1"/>
  <c r="L248" i="2"/>
  <c r="L861" i="2"/>
  <c r="K861" i="2"/>
  <c r="B861" i="2" s="1" a="1"/>
  <c r="B861" i="2" s="1"/>
  <c r="L833" i="2"/>
  <c r="K833" i="2"/>
  <c r="L634" i="2"/>
  <c r="L987" i="2"/>
  <c r="L1051" i="2"/>
  <c r="L1259" i="2"/>
  <c r="K1069" i="2"/>
  <c r="L1069" i="2"/>
  <c r="L484" i="2"/>
  <c r="L810" i="2"/>
  <c r="L963" i="2"/>
  <c r="L903" i="2"/>
  <c r="L933" i="2"/>
  <c r="L943" i="2"/>
  <c r="L844" i="2"/>
  <c r="L965" i="2"/>
  <c r="K965" i="2"/>
  <c r="L531" i="2"/>
  <c r="K531" i="2"/>
  <c r="B531" i="2" s="1" a="1"/>
  <c r="B531" i="2" s="1"/>
  <c r="L493" i="2"/>
  <c r="K493" i="2"/>
  <c r="B493" i="2" s="1" a="1"/>
  <c r="B493" i="2" s="1"/>
  <c r="L495" i="2"/>
  <c r="L621" i="2"/>
  <c r="L779" i="2"/>
  <c r="L72" i="2"/>
  <c r="K72" i="2"/>
  <c r="B72" i="2" s="1" a="1"/>
  <c r="B72" i="2" s="1"/>
  <c r="L246" i="2"/>
  <c r="L399" i="2"/>
  <c r="K399" i="2"/>
  <c r="B399" i="2" s="1" a="1"/>
  <c r="B399" i="2" s="1"/>
  <c r="H399" i="2" s="1"/>
  <c r="K581" i="2"/>
  <c r="L581" i="2"/>
  <c r="L289" i="2"/>
  <c r="L533" i="2"/>
  <c r="K533" i="2"/>
  <c r="K734" i="2"/>
  <c r="L734" i="2"/>
  <c r="L222" i="2"/>
  <c r="K222" i="2"/>
  <c r="B222" i="2" s="1" a="1"/>
  <c r="B222" i="2" s="1"/>
  <c r="L456" i="2"/>
  <c r="K456" i="2"/>
  <c r="B456" i="2" s="1" a="1"/>
  <c r="B456" i="2" s="1"/>
  <c r="L529" i="2"/>
  <c r="L230" i="2"/>
  <c r="K230" i="2"/>
  <c r="B230" i="2" s="1" a="1"/>
  <c r="B230" i="2" s="1"/>
  <c r="L241" i="2"/>
  <c r="K241" i="2"/>
  <c r="B241" i="2" s="1" a="1"/>
  <c r="B241" i="2" s="1"/>
  <c r="L42" i="2"/>
  <c r="L122" i="2"/>
  <c r="K122" i="2"/>
  <c r="L79" i="2"/>
  <c r="L58" i="2"/>
  <c r="K58" i="2"/>
  <c r="B58" i="2" s="1" a="1"/>
  <c r="B58" i="2" s="1"/>
  <c r="L110" i="2"/>
  <c r="K155" i="2"/>
  <c r="B155" i="2" s="1" a="1"/>
  <c r="B155" i="2" s="1"/>
  <c r="L155" i="2"/>
  <c r="L250" i="2"/>
  <c r="K250" i="2"/>
  <c r="B250" i="2" s="1" a="1"/>
  <c r="B250" i="2" s="1"/>
  <c r="H250" i="2" s="1"/>
  <c r="L508" i="2"/>
  <c r="L591" i="2"/>
  <c r="L851" i="2"/>
  <c r="K851" i="2"/>
  <c r="L1005" i="2"/>
  <c r="L1202" i="2"/>
  <c r="N610" i="2"/>
  <c r="Y610" i="2"/>
  <c r="M610" i="2" s="1"/>
  <c r="L1067" i="2"/>
  <c r="K1067" i="2"/>
  <c r="N115" i="2"/>
  <c r="Y115" i="2"/>
  <c r="M115" i="2" s="1"/>
  <c r="N509" i="2"/>
  <c r="Y509" i="2"/>
  <c r="M509" i="2" s="1"/>
  <c r="Y716" i="2"/>
  <c r="M716" i="2" s="1"/>
  <c r="N716" i="2"/>
  <c r="Y447" i="2"/>
  <c r="M447" i="2" s="1"/>
  <c r="N447" i="2"/>
  <c r="N913" i="2"/>
  <c r="Y913" i="2"/>
  <c r="M913" i="2" s="1"/>
  <c r="Y1113" i="2"/>
  <c r="M1113" i="2" s="1"/>
  <c r="N1113" i="2"/>
  <c r="N852" i="2"/>
  <c r="Y852" i="2"/>
  <c r="M852" i="2" s="1"/>
  <c r="N413" i="2"/>
  <c r="Y413" i="2"/>
  <c r="M413" i="2" s="1"/>
  <c r="N1171" i="2"/>
  <c r="Y1171" i="2"/>
  <c r="M1171" i="2" s="1"/>
  <c r="Y930" i="2"/>
  <c r="M930" i="2" s="1"/>
  <c r="N930" i="2"/>
  <c r="N568" i="2"/>
  <c r="Y568" i="2"/>
  <c r="M568" i="2" s="1"/>
  <c r="N539" i="2"/>
  <c r="Y539" i="2"/>
  <c r="M539" i="2" s="1"/>
  <c r="Y330" i="2"/>
  <c r="M330" i="2" s="1"/>
  <c r="N330" i="2"/>
  <c r="N726" i="2"/>
  <c r="Y726" i="2"/>
  <c r="M726" i="2" s="1"/>
  <c r="Y900" i="2"/>
  <c r="M900" i="2" s="1"/>
  <c r="N900" i="2"/>
  <c r="N925" i="2"/>
  <c r="Y925" i="2"/>
  <c r="M925" i="2" s="1"/>
  <c r="N1058" i="2"/>
  <c r="Y1058" i="2"/>
  <c r="M1058" i="2" s="1"/>
  <c r="Y41" i="2"/>
  <c r="M41" i="2" s="1"/>
  <c r="N41" i="2"/>
  <c r="Y153" i="2"/>
  <c r="M153" i="2" s="1"/>
  <c r="N153" i="2"/>
  <c r="N1104" i="2"/>
  <c r="Y1104" i="2"/>
  <c r="M1104" i="2" s="1"/>
  <c r="Y346" i="2"/>
  <c r="M346" i="2" s="1"/>
  <c r="N346" i="2"/>
  <c r="N625" i="2"/>
  <c r="Y625" i="2"/>
  <c r="M625" i="2" s="1"/>
  <c r="Y1214" i="2"/>
  <c r="M1214" i="2" s="1"/>
  <c r="N1214" i="2"/>
  <c r="N938" i="2"/>
  <c r="Y938" i="2"/>
  <c r="M938" i="2" s="1"/>
  <c r="N753" i="2"/>
  <c r="Y753" i="2"/>
  <c r="M753" i="2" s="1"/>
  <c r="N309" i="2"/>
  <c r="Y309" i="2"/>
  <c r="M309" i="2" s="1"/>
  <c r="Y1079" i="2"/>
  <c r="M1079" i="2" s="1"/>
  <c r="N1079" i="2"/>
  <c r="Y375" i="2"/>
  <c r="M375" i="2" s="1"/>
  <c r="N375" i="2"/>
  <c r="N1020" i="2"/>
  <c r="Y1020" i="2"/>
  <c r="M1020" i="2" s="1"/>
  <c r="Y799" i="2"/>
  <c r="M799" i="2" s="1"/>
  <c r="N799" i="2"/>
  <c r="Y1135" i="2"/>
  <c r="M1135" i="2" s="1"/>
  <c r="N1135" i="2"/>
  <c r="N1024" i="2"/>
  <c r="Y1024" i="2"/>
  <c r="M1024" i="2" s="1"/>
  <c r="N1074" i="2"/>
  <c r="Y1074" i="2"/>
  <c r="M1074" i="2" s="1"/>
  <c r="N1094" i="2"/>
  <c r="Y1094" i="2"/>
  <c r="M1094" i="2" s="1"/>
  <c r="Y820" i="2"/>
  <c r="M820" i="2" s="1"/>
  <c r="N820" i="2"/>
  <c r="Y1254" i="2"/>
  <c r="M1254" i="2" s="1"/>
  <c r="N1254" i="2"/>
  <c r="N1264" i="2"/>
  <c r="Y1264" i="2"/>
  <c r="M1264" i="2" s="1"/>
  <c r="Y1242" i="2"/>
  <c r="M1242" i="2" s="1"/>
  <c r="N1242" i="2"/>
  <c r="Y791" i="2"/>
  <c r="M791" i="2" s="1"/>
  <c r="N791" i="2"/>
  <c r="N462" i="2"/>
  <c r="Y462" i="2"/>
  <c r="M462" i="2" s="1"/>
  <c r="Y832" i="2"/>
  <c r="M832" i="2" s="1"/>
  <c r="N832" i="2"/>
  <c r="N807" i="2"/>
  <c r="Y807" i="2"/>
  <c r="M807" i="2" s="1"/>
  <c r="N835" i="2"/>
  <c r="Y835" i="2"/>
  <c r="M835" i="2" s="1"/>
  <c r="N196" i="2"/>
  <c r="Y196" i="2"/>
  <c r="M196" i="2" s="1"/>
  <c r="N710" i="2"/>
  <c r="Y710" i="2"/>
  <c r="M710" i="2" s="1"/>
  <c r="Y640" i="2"/>
  <c r="M640" i="2" s="1"/>
  <c r="N640" i="2"/>
  <c r="Y378" i="2"/>
  <c r="M378" i="2" s="1"/>
  <c r="N378" i="2"/>
  <c r="N293" i="2"/>
  <c r="Y293" i="2"/>
  <c r="M293" i="2" s="1"/>
  <c r="N148" i="2"/>
  <c r="Y148" i="2"/>
  <c r="M148" i="2" s="1"/>
  <c r="Y215" i="2"/>
  <c r="M215" i="2" s="1"/>
  <c r="N215" i="2"/>
  <c r="N397" i="2"/>
  <c r="Y397" i="2"/>
  <c r="M397" i="2" s="1"/>
  <c r="N479" i="2"/>
  <c r="Y479" i="2"/>
  <c r="M479" i="2" s="1"/>
  <c r="N507" i="2"/>
  <c r="Y507" i="2"/>
  <c r="M507" i="2" s="1"/>
  <c r="Y420" i="2"/>
  <c r="M420" i="2" s="1"/>
  <c r="N420" i="2"/>
  <c r="N528" i="2"/>
  <c r="Y528" i="2"/>
  <c r="M528" i="2" s="1"/>
  <c r="Y544" i="2"/>
  <c r="M544" i="2" s="1"/>
  <c r="N544" i="2"/>
  <c r="N691" i="2"/>
  <c r="Y691" i="2"/>
  <c r="M691" i="2" s="1"/>
  <c r="N704" i="2"/>
  <c r="Y704" i="2"/>
  <c r="M704" i="2" s="1"/>
  <c r="N82" i="2"/>
  <c r="Y82" i="2"/>
  <c r="M82" i="2" s="1"/>
  <c r="N94" i="2"/>
  <c r="Y94" i="2"/>
  <c r="M94" i="2" s="1"/>
  <c r="Y9" i="2"/>
  <c r="M9" i="2" s="1"/>
  <c r="N9" i="2"/>
  <c r="N42" i="2"/>
  <c r="Y42" i="2"/>
  <c r="M42" i="2" s="1"/>
  <c r="Y34" i="2"/>
  <c r="M34" i="2" s="1"/>
  <c r="N34" i="2"/>
  <c r="N176" i="2"/>
  <c r="Y176" i="2"/>
  <c r="M176" i="2" s="1"/>
  <c r="N335" i="2"/>
  <c r="Y335" i="2"/>
  <c r="M335" i="2" s="1"/>
  <c r="Y471" i="2"/>
  <c r="M471" i="2" s="1"/>
  <c r="N471" i="2"/>
  <c r="N596" i="2"/>
  <c r="Y596" i="2"/>
  <c r="M596" i="2" s="1"/>
  <c r="Y711" i="2"/>
  <c r="M711" i="2" s="1"/>
  <c r="N711" i="2"/>
  <c r="Y827" i="2"/>
  <c r="M827" i="2" s="1"/>
  <c r="N827" i="2"/>
  <c r="N891" i="2"/>
  <c r="Y891" i="2"/>
  <c r="M891" i="2" s="1"/>
  <c r="Y977" i="2"/>
  <c r="M977" i="2" s="1"/>
  <c r="N977" i="2"/>
  <c r="Y1061" i="2"/>
  <c r="M1061" i="2" s="1"/>
  <c r="N1061" i="2"/>
  <c r="N1181" i="2"/>
  <c r="Y1181" i="2"/>
  <c r="M1181" i="2" s="1"/>
  <c r="N1244" i="2"/>
  <c r="Y1244" i="2"/>
  <c r="M1244" i="2" s="1"/>
  <c r="L140" i="2"/>
  <c r="L707" i="2"/>
  <c r="K707" i="2"/>
  <c r="L271" i="2"/>
  <c r="L25" i="2"/>
  <c r="K25" i="2"/>
  <c r="B25" i="2" s="1" a="1"/>
  <c r="B25" i="2" s="1"/>
  <c r="K135" i="2"/>
  <c r="L135" i="2"/>
  <c r="L262" i="2"/>
  <c r="L525" i="2"/>
  <c r="K525" i="2"/>
  <c r="B525" i="2" s="1" a="1"/>
  <c r="B525" i="2" s="1"/>
  <c r="H525" i="2" s="1"/>
  <c r="L498" i="2"/>
  <c r="K498" i="2"/>
  <c r="B498" i="2" s="1" a="1"/>
  <c r="B498" i="2" s="1"/>
  <c r="L727" i="2"/>
  <c r="L582" i="2"/>
  <c r="L397" i="2"/>
  <c r="K397" i="2"/>
  <c r="B397" i="2" s="1" a="1"/>
  <c r="B397" i="2" s="1"/>
  <c r="L1164" i="2"/>
  <c r="K1164" i="2"/>
  <c r="B1164" i="2" s="1" a="1"/>
  <c r="B1164" i="2" s="1"/>
  <c r="L670" i="2"/>
  <c r="K670" i="2"/>
  <c r="B670" i="2" s="1" a="1"/>
  <c r="B670" i="2" s="1"/>
  <c r="L1235" i="2"/>
  <c r="L889" i="2"/>
  <c r="K889" i="2"/>
  <c r="B889" i="2" s="1" a="1"/>
  <c r="B889" i="2" s="1"/>
  <c r="H889" i="2" s="1"/>
  <c r="L483" i="2"/>
  <c r="K483" i="2"/>
  <c r="B483" i="2" s="1" a="1"/>
  <c r="B483" i="2" s="1"/>
  <c r="L527" i="2"/>
  <c r="K527" i="2"/>
  <c r="B527" i="2" s="1" a="1"/>
  <c r="B527" i="2" s="1"/>
  <c r="L220" i="2"/>
  <c r="L988" i="2"/>
  <c r="L1263" i="2"/>
  <c r="K740" i="2"/>
  <c r="L740" i="2"/>
  <c r="L176" i="2"/>
  <c r="K176" i="2"/>
  <c r="L451" i="2"/>
  <c r="L829" i="2"/>
  <c r="L366" i="2"/>
  <c r="L1095" i="2"/>
  <c r="K1095" i="2"/>
  <c r="K962" i="2"/>
  <c r="L962" i="2"/>
  <c r="L815" i="2"/>
  <c r="K815" i="2"/>
  <c r="B815" i="2" s="1" a="1"/>
  <c r="B815" i="2" s="1"/>
  <c r="L794" i="2"/>
  <c r="K794" i="2"/>
  <c r="B794" i="2" s="1" a="1"/>
  <c r="B794" i="2" s="1"/>
  <c r="L1211" i="2"/>
  <c r="L835" i="2"/>
  <c r="K835" i="2"/>
  <c r="B835" i="2" s="1" a="1"/>
  <c r="B835" i="2" s="1"/>
  <c r="H835" i="2" s="1"/>
  <c r="L198" i="2"/>
  <c r="L1206" i="2"/>
  <c r="L870" i="2"/>
  <c r="K1050" i="2"/>
  <c r="L1050" i="2"/>
  <c r="L837" i="2"/>
  <c r="K837" i="2"/>
  <c r="B837" i="2" s="1" a="1"/>
  <c r="B837" i="2" s="1"/>
  <c r="L796" i="2"/>
  <c r="L647" i="2"/>
  <c r="K647" i="2"/>
  <c r="K989" i="2"/>
  <c r="L989" i="2"/>
  <c r="L1035" i="2"/>
  <c r="K1035" i="2"/>
  <c r="B1035" i="2" s="1" a="1"/>
  <c r="B1035" i="2" s="1"/>
  <c r="L1102" i="2"/>
  <c r="L811" i="2"/>
  <c r="K811" i="2"/>
  <c r="L1123" i="2"/>
  <c r="L542" i="2"/>
  <c r="K542" i="2"/>
  <c r="B542" i="2" s="1" a="1"/>
  <c r="B542" i="2" s="1"/>
  <c r="K971" i="2"/>
  <c r="L971" i="2"/>
  <c r="L853" i="2"/>
  <c r="L862" i="2"/>
  <c r="K862" i="2"/>
  <c r="B862" i="2" s="1" a="1"/>
  <c r="B862" i="2" s="1"/>
  <c r="H862" i="2" s="1"/>
  <c r="L929" i="2"/>
  <c r="L620" i="2"/>
  <c r="K620" i="2"/>
  <c r="B620" i="2" s="1" a="1"/>
  <c r="B620" i="2" s="1"/>
  <c r="L901" i="2"/>
  <c r="L477" i="2"/>
  <c r="K477" i="2"/>
  <c r="B477" i="2" s="1" a="1"/>
  <c r="B477" i="2" s="1"/>
  <c r="L489" i="2"/>
  <c r="L486" i="2"/>
  <c r="K486" i="2"/>
  <c r="B486" i="2" s="1" a="1"/>
  <c r="B486" i="2" s="1"/>
  <c r="L656" i="2"/>
  <c r="L729" i="2"/>
  <c r="K729" i="2"/>
  <c r="B729" i="2" s="1" a="1"/>
  <c r="B729" i="2" s="1"/>
  <c r="H729" i="2" s="1"/>
  <c r="L777" i="2"/>
  <c r="L824" i="2"/>
  <c r="L491" i="2"/>
  <c r="L641" i="2"/>
  <c r="K641" i="2"/>
  <c r="B641" i="2" s="1" a="1"/>
  <c r="B641" i="2" s="1"/>
  <c r="L236" i="2"/>
  <c r="L505" i="2"/>
  <c r="K505" i="2"/>
  <c r="B505" i="2" s="1" a="1"/>
  <c r="B505" i="2" s="1"/>
  <c r="L688" i="2"/>
  <c r="K688" i="2"/>
  <c r="L218" i="2"/>
  <c r="K218" i="2"/>
  <c r="B218" i="2" s="1" a="1"/>
  <c r="B218" i="2" s="1"/>
  <c r="H218" i="2" s="1"/>
  <c r="L323" i="2"/>
  <c r="L583" i="2"/>
  <c r="K583" i="2"/>
  <c r="L40" i="2"/>
  <c r="K188" i="2"/>
  <c r="L188" i="2"/>
  <c r="H49" i="9" s="1" a="1"/>
  <c r="L141" i="2"/>
  <c r="K141" i="2"/>
  <c r="B141" i="2" s="1" a="1"/>
  <c r="B141" i="2" s="1"/>
  <c r="L119" i="2"/>
  <c r="K119" i="2"/>
  <c r="B119" i="2" s="1" a="1"/>
  <c r="B119" i="2" s="1"/>
  <c r="L10" i="2"/>
  <c r="L15" i="2"/>
  <c r="K15" i="2"/>
  <c r="B15" i="2" s="1" a="1"/>
  <c r="B15" i="2" s="1"/>
  <c r="H15" i="2" s="1"/>
  <c r="L143" i="2"/>
  <c r="K132" i="2"/>
  <c r="L132" i="2"/>
  <c r="L320" i="2"/>
  <c r="K320" i="2"/>
  <c r="L454" i="2"/>
  <c r="K454" i="2"/>
  <c r="L645" i="2"/>
  <c r="L832" i="2"/>
  <c r="L1016" i="2"/>
  <c r="L1217" i="2"/>
  <c r="K1217" i="2"/>
  <c r="B1217" i="2" s="1" a="1"/>
  <c r="B1217" i="2" s="1"/>
  <c r="H1217" i="2" s="1"/>
  <c r="N289" i="2"/>
  <c r="Y289" i="2"/>
  <c r="M289" i="2" s="1"/>
  <c r="N766" i="2"/>
  <c r="Y766" i="2"/>
  <c r="M766" i="2" s="1"/>
  <c r="N555" i="2"/>
  <c r="Y555" i="2"/>
  <c r="M555" i="2" s="1"/>
  <c r="N979" i="2"/>
  <c r="Y979" i="2"/>
  <c r="M979" i="2" s="1"/>
  <c r="Y276" i="2"/>
  <c r="M276" i="2" s="1"/>
  <c r="N276" i="2"/>
  <c r="Y198" i="2"/>
  <c r="M198" i="2" s="1"/>
  <c r="N198" i="2"/>
  <c r="N591" i="2"/>
  <c r="Y591" i="2"/>
  <c r="M591" i="2" s="1"/>
  <c r="K1020" i="2"/>
  <c r="L1020" i="2"/>
  <c r="L1124" i="2"/>
  <c r="L270" i="2"/>
  <c r="L1076" i="2"/>
  <c r="K1076" i="2"/>
  <c r="L1242" i="2"/>
  <c r="K1242" i="2"/>
  <c r="B1242" i="2" s="1" a="1"/>
  <c r="B1242" i="2" s="1"/>
  <c r="K228" i="2"/>
  <c r="L228" i="2"/>
  <c r="L404" i="2"/>
  <c r="L500" i="2"/>
  <c r="K500" i="2"/>
  <c r="L264" i="2"/>
  <c r="Y506" i="2"/>
  <c r="M506" i="2" s="1"/>
  <c r="N506" i="2"/>
  <c r="Y583" i="2"/>
  <c r="M583" i="2" s="1"/>
  <c r="N583" i="2"/>
  <c r="N685" i="2"/>
  <c r="Y685" i="2"/>
  <c r="M685" i="2" s="1"/>
  <c r="N238" i="2"/>
  <c r="Y238" i="2"/>
  <c r="M238" i="2" s="1"/>
  <c r="N725" i="2"/>
  <c r="Y725" i="2"/>
  <c r="M725" i="2" s="1"/>
  <c r="Y920" i="2"/>
  <c r="M920" i="2" s="1"/>
  <c r="N920" i="2"/>
  <c r="N909" i="2"/>
  <c r="Y909" i="2"/>
  <c r="M909" i="2" s="1"/>
  <c r="Y739" i="2"/>
  <c r="M739" i="2" s="1"/>
  <c r="N739" i="2"/>
  <c r="N600" i="2"/>
  <c r="Y600" i="2"/>
  <c r="M600" i="2" s="1"/>
  <c r="Y185" i="2"/>
  <c r="M185" i="2" s="1"/>
  <c r="N185" i="2"/>
  <c r="Y190" i="2"/>
  <c r="M190" i="2" s="1"/>
  <c r="N190" i="2"/>
  <c r="N614" i="2"/>
  <c r="Y614" i="2"/>
  <c r="M614" i="2" s="1"/>
  <c r="Y417" i="2"/>
  <c r="M417" i="2" s="1"/>
  <c r="N417" i="2"/>
  <c r="N657" i="2"/>
  <c r="Y657" i="2"/>
  <c r="M657" i="2" s="1"/>
  <c r="N240" i="2"/>
  <c r="Y240" i="2"/>
  <c r="M240" i="2" s="1"/>
  <c r="N572" i="2"/>
  <c r="Y572" i="2"/>
  <c r="M572" i="2" s="1"/>
  <c r="N769" i="2"/>
  <c r="Y769" i="2"/>
  <c r="M769" i="2" s="1"/>
  <c r="N272" i="2"/>
  <c r="Y272" i="2"/>
  <c r="M272" i="2" s="1"/>
  <c r="Y780" i="2"/>
  <c r="M780" i="2" s="1"/>
  <c r="N780" i="2"/>
  <c r="Y490" i="2"/>
  <c r="M490" i="2" s="1"/>
  <c r="N490" i="2"/>
  <c r="N866" i="2"/>
  <c r="Y866" i="2"/>
  <c r="M866" i="2" s="1"/>
  <c r="N567" i="2"/>
  <c r="Y567" i="2"/>
  <c r="M567" i="2" s="1"/>
  <c r="Y473" i="2"/>
  <c r="M473" i="2" s="1"/>
  <c r="N473" i="2"/>
  <c r="Y948" i="2"/>
  <c r="M948" i="2" s="1"/>
  <c r="N948" i="2"/>
  <c r="Y314" i="2"/>
  <c r="M314" i="2" s="1"/>
  <c r="N314" i="2"/>
  <c r="N337" i="2"/>
  <c r="Y337" i="2"/>
  <c r="M337" i="2" s="1"/>
  <c r="N216" i="2"/>
  <c r="Y216" i="2"/>
  <c r="M216" i="2" s="1"/>
  <c r="N537" i="2"/>
  <c r="Y537" i="2"/>
  <c r="M537" i="2" s="1"/>
  <c r="Y662" i="2"/>
  <c r="M662" i="2" s="1"/>
  <c r="N662" i="2"/>
  <c r="N205" i="2"/>
  <c r="Y205" i="2"/>
  <c r="M205" i="2" s="1"/>
  <c r="Y125" i="2"/>
  <c r="M125" i="2" s="1"/>
  <c r="N125" i="2"/>
  <c r="N102" i="2"/>
  <c r="Y102" i="2"/>
  <c r="M102" i="2" s="1"/>
  <c r="N140" i="2"/>
  <c r="Y140" i="2"/>
  <c r="M140" i="2" s="1"/>
  <c r="N158" i="2"/>
  <c r="Y158" i="2"/>
  <c r="M158" i="2" s="1"/>
  <c r="N1004" i="2"/>
  <c r="Y1004" i="2"/>
  <c r="M1004" i="2" s="1"/>
  <c r="Y876" i="2"/>
  <c r="M876" i="2" s="1"/>
  <c r="N876" i="2"/>
  <c r="N569" i="2"/>
  <c r="Y569" i="2"/>
  <c r="M569" i="2" s="1"/>
  <c r="N1115" i="2"/>
  <c r="Y1115" i="2"/>
  <c r="M1115" i="2" s="1"/>
  <c r="Y1223" i="2"/>
  <c r="M1223" i="2" s="1"/>
  <c r="N1223" i="2"/>
  <c r="N283" i="2"/>
  <c r="Y283" i="2"/>
  <c r="M283" i="2" s="1"/>
  <c r="Y943" i="2"/>
  <c r="M943" i="2" s="1"/>
  <c r="N943" i="2"/>
  <c r="N380" i="2"/>
  <c r="Y380" i="2"/>
  <c r="M380" i="2" s="1"/>
  <c r="N949" i="2"/>
  <c r="Y949" i="2"/>
  <c r="M949" i="2" s="1"/>
  <c r="N523" i="2"/>
  <c r="Y523" i="2"/>
  <c r="M523" i="2" s="1"/>
  <c r="N1185" i="2"/>
  <c r="Y1185" i="2"/>
  <c r="M1185" i="2" s="1"/>
  <c r="N1251" i="2"/>
  <c r="Y1251" i="2"/>
  <c r="M1251" i="2" s="1"/>
  <c r="N542" i="2"/>
  <c r="Y542" i="2"/>
  <c r="M542" i="2" s="1"/>
  <c r="N959" i="2"/>
  <c r="Y959" i="2"/>
  <c r="M959" i="2" s="1"/>
  <c r="N752" i="2"/>
  <c r="Y752" i="2"/>
  <c r="M752" i="2" s="1"/>
  <c r="N368" i="2"/>
  <c r="Y368" i="2"/>
  <c r="M368" i="2" s="1"/>
  <c r="N1057" i="2"/>
  <c r="Y1057" i="2"/>
  <c r="M1057" i="2" s="1"/>
  <c r="Y636" i="2"/>
  <c r="M636" i="2" s="1"/>
  <c r="N636" i="2"/>
  <c r="N1194" i="2"/>
  <c r="Y1194" i="2"/>
  <c r="M1194" i="2" s="1"/>
  <c r="N234" i="2"/>
  <c r="Y234" i="2"/>
  <c r="M234" i="2" s="1"/>
  <c r="Y1011" i="2"/>
  <c r="M1011" i="2" s="1"/>
  <c r="N1011" i="2"/>
  <c r="N393" i="2"/>
  <c r="Y393" i="2"/>
  <c r="M393" i="2" s="1"/>
  <c r="Y360" i="2"/>
  <c r="M360" i="2" s="1"/>
  <c r="N360" i="2"/>
  <c r="Y680" i="2"/>
  <c r="M680" i="2" s="1"/>
  <c r="N680" i="2"/>
  <c r="N294" i="2"/>
  <c r="Y294" i="2"/>
  <c r="M294" i="2" s="1"/>
  <c r="N1270" i="2"/>
  <c r="Y1270" i="2"/>
  <c r="M1270" i="2" s="1"/>
  <c r="N1027" i="2"/>
  <c r="Y1027" i="2"/>
  <c r="M1027" i="2" s="1"/>
  <c r="N1053" i="2"/>
  <c r="Y1053" i="2"/>
  <c r="M1053" i="2" s="1"/>
  <c r="Y1164" i="2"/>
  <c r="M1164" i="2" s="1"/>
  <c r="N1164" i="2"/>
  <c r="N1175" i="2"/>
  <c r="Y1175" i="2"/>
  <c r="M1175" i="2" s="1"/>
  <c r="N1263" i="2"/>
  <c r="Y1263" i="2"/>
  <c r="M1263" i="2" s="1"/>
  <c r="N1230" i="2"/>
  <c r="Y1230" i="2"/>
  <c r="M1230" i="2" s="1"/>
  <c r="Y529" i="2"/>
  <c r="M529" i="2" s="1"/>
  <c r="N529" i="2"/>
  <c r="Y172" i="2"/>
  <c r="M172" i="2" s="1"/>
  <c r="N172" i="2"/>
  <c r="N810" i="2"/>
  <c r="Y810" i="2"/>
  <c r="M810" i="2" s="1"/>
  <c r="N795" i="2"/>
  <c r="Y795" i="2"/>
  <c r="M795" i="2" s="1"/>
  <c r="N1255" i="2"/>
  <c r="Y1255" i="2"/>
  <c r="M1255" i="2" s="1"/>
  <c r="N1161" i="2"/>
  <c r="Y1161" i="2"/>
  <c r="M1161" i="2" s="1"/>
  <c r="Y566" i="2"/>
  <c r="M566" i="2" s="1"/>
  <c r="N566" i="2"/>
  <c r="N491" i="2"/>
  <c r="Y491" i="2"/>
  <c r="M491" i="2" s="1"/>
  <c r="Y357" i="2"/>
  <c r="M357" i="2" s="1"/>
  <c r="N357" i="2"/>
  <c r="Y324" i="2"/>
  <c r="M324" i="2" s="1"/>
  <c r="N324" i="2"/>
  <c r="Y131" i="2"/>
  <c r="M131" i="2" s="1"/>
  <c r="N131" i="2"/>
  <c r="N291" i="2"/>
  <c r="Y291" i="2"/>
  <c r="M291" i="2" s="1"/>
  <c r="N495" i="2"/>
  <c r="Y495" i="2"/>
  <c r="M495" i="2" s="1"/>
  <c r="N451" i="2"/>
  <c r="Y451" i="2"/>
  <c r="M451" i="2" s="1"/>
  <c r="Y501" i="2"/>
  <c r="M501" i="2" s="1"/>
  <c r="N501" i="2"/>
  <c r="N366" i="2"/>
  <c r="Y366" i="2"/>
  <c r="M366" i="2" s="1"/>
  <c r="Y485" i="2"/>
  <c r="M485" i="2" s="1"/>
  <c r="N485" i="2"/>
  <c r="N489" i="2"/>
  <c r="Y489" i="2"/>
  <c r="M489" i="2" s="1"/>
  <c r="N717" i="2"/>
  <c r="Y717" i="2"/>
  <c r="M717" i="2" s="1"/>
  <c r="Y621" i="2"/>
  <c r="M621" i="2" s="1"/>
  <c r="N621" i="2"/>
  <c r="Y124" i="2"/>
  <c r="M124" i="2" s="1"/>
  <c r="N124" i="2"/>
  <c r="N31" i="2"/>
  <c r="Y31" i="2"/>
  <c r="M31" i="2" s="1"/>
  <c r="Y171" i="2"/>
  <c r="M171" i="2" s="1"/>
  <c r="N171" i="2"/>
  <c r="Y67" i="2"/>
  <c r="M67" i="2" s="1"/>
  <c r="N67" i="2"/>
  <c r="N50" i="2"/>
  <c r="Y50" i="2"/>
  <c r="M50" i="2" s="1"/>
  <c r="N193" i="2"/>
  <c r="Y193" i="2"/>
  <c r="M193" i="2" s="1"/>
  <c r="Y338" i="2"/>
  <c r="M338" i="2" s="1"/>
  <c r="N338" i="2"/>
  <c r="Y454" i="2"/>
  <c r="M454" i="2" s="1"/>
  <c r="N454" i="2"/>
  <c r="N582" i="2"/>
  <c r="Y582" i="2"/>
  <c r="M582" i="2" s="1"/>
  <c r="Y723" i="2"/>
  <c r="M723" i="2" s="1"/>
  <c r="N723" i="2"/>
  <c r="N847" i="2"/>
  <c r="Y847" i="2"/>
  <c r="M847" i="2" s="1"/>
  <c r="N858" i="2"/>
  <c r="Y858" i="2"/>
  <c r="M858" i="2" s="1"/>
  <c r="N982" i="2"/>
  <c r="Y982" i="2"/>
  <c r="M982" i="2" s="1"/>
  <c r="Y1080" i="2"/>
  <c r="M1080" i="2" s="1"/>
  <c r="N1080" i="2"/>
  <c r="Y1206" i="2"/>
  <c r="M1206" i="2" s="1"/>
  <c r="N1206" i="2"/>
  <c r="Y1253" i="2"/>
  <c r="M1253" i="2" s="1"/>
  <c r="N1253" i="2"/>
  <c r="L131" i="2"/>
  <c r="K131" i="2"/>
  <c r="L902" i="2"/>
  <c r="K902" i="2"/>
  <c r="B902" i="2" s="1" a="1"/>
  <c r="B902" i="2" s="1"/>
  <c r="H902" i="2" s="1"/>
  <c r="L1027" i="2"/>
  <c r="L24" i="2"/>
  <c r="K24" i="2"/>
  <c r="B24" i="2" s="1" a="1"/>
  <c r="B24" i="2" s="1"/>
  <c r="L152" i="2"/>
  <c r="L983" i="2"/>
  <c r="L730" i="2"/>
  <c r="K730" i="2"/>
  <c r="B730" i="2" s="1" a="1"/>
  <c r="B730" i="2" s="1"/>
  <c r="L802" i="2"/>
  <c r="K802" i="2"/>
  <c r="B802" i="2" s="1" a="1"/>
  <c r="B802" i="2" s="1"/>
  <c r="L342" i="2"/>
  <c r="L793" i="2"/>
  <c r="K793" i="2"/>
  <c r="B793" i="2" s="1" a="1"/>
  <c r="B793" i="2" s="1"/>
  <c r="H793" i="2" s="1"/>
  <c r="L413" i="2"/>
  <c r="K413" i="2"/>
  <c r="B413" i="2" s="1" a="1"/>
  <c r="B413" i="2" s="1"/>
  <c r="L370" i="2"/>
  <c r="L736" i="2"/>
  <c r="K736" i="2"/>
  <c r="B736" i="2" s="1" a="1"/>
  <c r="B736" i="2" s="1"/>
  <c r="L812" i="2"/>
  <c r="L1034" i="2"/>
  <c r="K1034" i="2"/>
  <c r="B1034" i="2" s="1" a="1"/>
  <c r="B1034" i="2" s="1"/>
  <c r="H1034" i="2" s="1"/>
  <c r="L519" i="2"/>
  <c r="K519" i="2"/>
  <c r="B519" i="2" s="1" a="1"/>
  <c r="B519" i="2" s="1"/>
  <c r="L1178" i="2"/>
  <c r="K864" i="2"/>
  <c r="L864" i="2"/>
  <c r="L558" i="2"/>
  <c r="K558" i="2"/>
  <c r="B558" i="2" s="1" a="1"/>
  <c r="B558" i="2" s="1"/>
  <c r="L771" i="2"/>
  <c r="L254" i="2"/>
  <c r="L481" i="2"/>
  <c r="K481" i="2"/>
  <c r="B481" i="2" s="1" a="1"/>
  <c r="B481" i="2" s="1"/>
  <c r="L521" i="2"/>
  <c r="K521" i="2"/>
  <c r="B521" i="2" s="1" a="1"/>
  <c r="B521" i="2" s="1"/>
  <c r="H521" i="2" s="1"/>
  <c r="L1089" i="2"/>
  <c r="L561" i="2"/>
  <c r="K561" i="2"/>
  <c r="L1142" i="2"/>
  <c r="K1142" i="2"/>
  <c r="B1142" i="2" s="1" a="1"/>
  <c r="B1142" i="2" s="1"/>
  <c r="H1142" i="2" s="1"/>
  <c r="K1207" i="2"/>
  <c r="L1207" i="2"/>
  <c r="L331" i="2"/>
  <c r="L848" i="2"/>
  <c r="L843" i="2"/>
  <c r="K843" i="2"/>
  <c r="B843" i="2" s="1" a="1"/>
  <c r="B843" i="2" s="1"/>
  <c r="L1059" i="2"/>
  <c r="K1059" i="2"/>
  <c r="B1059" i="2" s="1" a="1"/>
  <c r="B1059" i="2" s="1"/>
  <c r="H1059" i="2" s="1"/>
  <c r="L167" i="2"/>
  <c r="K167" i="2"/>
  <c r="B167" i="2" s="1" a="1"/>
  <c r="B167" i="2" s="1"/>
  <c r="L1253" i="2"/>
  <c r="K1253" i="2"/>
  <c r="L857" i="2"/>
  <c r="K857" i="2"/>
  <c r="B857" i="2" s="1" a="1"/>
  <c r="B857" i="2" s="1"/>
  <c r="H857" i="2" s="1"/>
  <c r="L1256" i="2"/>
  <c r="L598" i="2"/>
  <c r="K598" i="2"/>
  <c r="B598" i="2" s="1" a="1"/>
  <c r="B598" i="2" s="1"/>
  <c r="L820" i="2"/>
  <c r="K820" i="2"/>
  <c r="B820" i="2" s="1" a="1"/>
  <c r="B820" i="2" s="1"/>
  <c r="L628" i="2"/>
  <c r="K628" i="2"/>
  <c r="B628" i="2" s="1" a="1"/>
  <c r="B628" i="2" s="1"/>
  <c r="K913" i="2"/>
  <c r="L913" i="2"/>
  <c r="L959" i="2"/>
  <c r="L1099" i="2"/>
  <c r="K1200" i="2"/>
  <c r="L1200" i="2"/>
  <c r="L1008" i="2"/>
  <c r="L409" i="2"/>
  <c r="K409" i="2"/>
  <c r="B409" i="2" s="1" a="1"/>
  <c r="B409" i="2" s="1"/>
  <c r="L991" i="2"/>
  <c r="K991" i="2"/>
  <c r="B991" i="2" s="1" a="1"/>
  <c r="B991" i="2" s="1"/>
  <c r="L526" i="2"/>
  <c r="K526" i="2"/>
  <c r="B526" i="2" s="1" a="1"/>
  <c r="B526" i="2" s="1"/>
  <c r="L863" i="2"/>
  <c r="K863" i="2"/>
  <c r="B863" i="2" s="1" a="1"/>
  <c r="B863" i="2" s="1"/>
  <c r="H863" i="2" s="1"/>
  <c r="L938" i="2"/>
  <c r="K938" i="2"/>
  <c r="B938" i="2" s="1" a="1"/>
  <c r="B938" i="2" s="1"/>
  <c r="L553" i="2"/>
  <c r="K856" i="2"/>
  <c r="L856" i="2"/>
  <c r="L437" i="2"/>
  <c r="K437" i="2"/>
  <c r="B437" i="2" s="1" a="1"/>
  <c r="B437" i="2" s="1"/>
  <c r="L506" i="2"/>
  <c r="K506" i="2"/>
  <c r="B506" i="2" s="1" a="1"/>
  <c r="B506" i="2" s="1"/>
  <c r="L434" i="2"/>
  <c r="L654" i="2"/>
  <c r="K654" i="2"/>
  <c r="B654" i="2" s="1" a="1"/>
  <c r="B654" i="2" s="1"/>
  <c r="L725" i="2"/>
  <c r="K725" i="2"/>
  <c r="B725" i="2" s="1" a="1"/>
  <c r="B725" i="2" s="1"/>
  <c r="H725" i="2" s="1"/>
  <c r="L783" i="2"/>
  <c r="K783" i="2"/>
  <c r="B783" i="2" s="1" a="1"/>
  <c r="B783" i="2" s="1"/>
  <c r="L776" i="2"/>
  <c r="K776" i="2"/>
  <c r="K388" i="2"/>
  <c r="L388" i="2"/>
  <c r="L567" i="2"/>
  <c r="K567" i="2"/>
  <c r="B567" i="2" s="1" a="1"/>
  <c r="B567" i="2" s="1"/>
  <c r="L194" i="2"/>
  <c r="K194" i="2"/>
  <c r="B194" i="2" s="1" a="1"/>
  <c r="B194" i="2" s="1"/>
  <c r="L518" i="2"/>
  <c r="L652" i="2"/>
  <c r="L189" i="2"/>
  <c r="K189" i="2"/>
  <c r="B189" i="2" s="1" a="1"/>
  <c r="B189" i="2" s="1"/>
  <c r="H189" i="2" s="1"/>
  <c r="K345" i="2"/>
  <c r="L345" i="2"/>
  <c r="L474" i="2"/>
  <c r="K474" i="2"/>
  <c r="B474" i="2" s="1" a="1"/>
  <c r="B474" i="2" s="1"/>
  <c r="L741" i="2"/>
  <c r="K741" i="2"/>
  <c r="B741" i="2" s="1" a="1"/>
  <c r="B741" i="2" s="1"/>
  <c r="L166" i="2"/>
  <c r="L136" i="2"/>
  <c r="K136" i="2"/>
  <c r="B136" i="2" s="1" a="1"/>
  <c r="B136" i="2" s="1"/>
  <c r="L121" i="2"/>
  <c r="L126" i="2"/>
  <c r="K126" i="2"/>
  <c r="B126" i="2" s="1" a="1"/>
  <c r="B126" i="2" s="1"/>
  <c r="L173" i="2"/>
  <c r="K173" i="2"/>
  <c r="B173" i="2" s="1" a="1"/>
  <c r="B173" i="2" s="1"/>
  <c r="L97" i="2"/>
  <c r="K97" i="2"/>
  <c r="B97" i="2" s="1" a="1"/>
  <c r="B97" i="2" s="1"/>
  <c r="K202" i="2"/>
  <c r="L202" i="2"/>
  <c r="L381" i="2"/>
  <c r="K381" i="2"/>
  <c r="B381" i="2" s="1" a="1"/>
  <c r="B381" i="2" s="1"/>
  <c r="H381" i="2" s="1"/>
  <c r="L473" i="2"/>
  <c r="K473" i="2"/>
  <c r="B473" i="2" s="1" a="1"/>
  <c r="B473" i="2" s="1"/>
  <c r="L653" i="2"/>
  <c r="K653" i="2"/>
  <c r="B653" i="2" s="1" a="1"/>
  <c r="B653" i="2" s="1"/>
  <c r="L826" i="2"/>
  <c r="L1000" i="2"/>
  <c r="K1000" i="2"/>
  <c r="B1000" i="2" s="1" a="1"/>
  <c r="B1000" i="2" s="1"/>
  <c r="K1223" i="2"/>
  <c r="L1223" i="2"/>
  <c r="N442" i="2"/>
  <c r="Y442" i="2"/>
  <c r="M442" i="2" s="1"/>
  <c r="N278" i="2"/>
  <c r="Y278" i="2"/>
  <c r="M278" i="2" s="1"/>
  <c r="N253" i="2"/>
  <c r="Y253" i="2"/>
  <c r="M253" i="2" s="1"/>
  <c r="N425" i="2"/>
  <c r="Y425" i="2"/>
  <c r="M425" i="2" s="1"/>
  <c r="N237" i="2"/>
  <c r="Y237" i="2"/>
  <c r="M237" i="2" s="1"/>
  <c r="N1000" i="2"/>
  <c r="Y1000" i="2"/>
  <c r="M1000" i="2" s="1"/>
  <c r="N439" i="2"/>
  <c r="Y439" i="2"/>
  <c r="M439" i="2" s="1"/>
  <c r="Y432" i="2"/>
  <c r="M432" i="2" s="1"/>
  <c r="N432" i="2"/>
  <c r="Y1199" i="2"/>
  <c r="M1199" i="2" s="1"/>
  <c r="N1199" i="2"/>
  <c r="Y1232" i="2"/>
  <c r="M1232" i="2" s="1"/>
  <c r="N1232" i="2"/>
  <c r="N559" i="2"/>
  <c r="Y559" i="2"/>
  <c r="M559" i="2" s="1"/>
  <c r="Y1260" i="2"/>
  <c r="M1260" i="2" s="1"/>
  <c r="N1260" i="2"/>
  <c r="N1124" i="2"/>
  <c r="Y1124" i="2"/>
  <c r="M1124" i="2" s="1"/>
  <c r="Y1133" i="2"/>
  <c r="M1133" i="2" s="1"/>
  <c r="N1133" i="2"/>
  <c r="N1160" i="2"/>
  <c r="Y1160" i="2"/>
  <c r="M1160" i="2" s="1"/>
  <c r="N1200" i="2"/>
  <c r="Y1200" i="2"/>
  <c r="M1200" i="2" s="1"/>
  <c r="Y776" i="2"/>
  <c r="M776" i="2" s="1"/>
  <c r="N776" i="2"/>
  <c r="N459" i="2"/>
  <c r="Y459" i="2"/>
  <c r="M459" i="2" s="1"/>
  <c r="N407" i="2"/>
  <c r="Y407" i="2"/>
  <c r="M407" i="2" s="1"/>
  <c r="Y318" i="2"/>
  <c r="M318" i="2" s="1"/>
  <c r="N318" i="2"/>
  <c r="N248" i="2"/>
  <c r="Y248" i="2"/>
  <c r="M248" i="2" s="1"/>
  <c r="N735" i="2"/>
  <c r="Y735" i="2"/>
  <c r="M735" i="2" s="1"/>
  <c r="Y301" i="2"/>
  <c r="M301" i="2" s="1"/>
  <c r="N301" i="2"/>
  <c r="Y435" i="2"/>
  <c r="M435" i="2" s="1"/>
  <c r="N435" i="2"/>
  <c r="Y450" i="2"/>
  <c r="M450" i="2" s="1"/>
  <c r="N450" i="2"/>
  <c r="Y504" i="2"/>
  <c r="M504" i="2" s="1"/>
  <c r="N504" i="2"/>
  <c r="Y419" i="2"/>
  <c r="M419" i="2" s="1"/>
  <c r="N419" i="2"/>
  <c r="N403" i="2"/>
  <c r="Y403" i="2"/>
  <c r="M403" i="2" s="1"/>
  <c r="N461" i="2"/>
  <c r="Y461" i="2"/>
  <c r="M461" i="2" s="1"/>
  <c r="Y565" i="2"/>
  <c r="M565" i="2" s="1"/>
  <c r="N565" i="2"/>
  <c r="Y638" i="2"/>
  <c r="M638" i="2" s="1"/>
  <c r="N638" i="2"/>
  <c r="Y108" i="2"/>
  <c r="M108" i="2" s="1"/>
  <c r="N108" i="2"/>
  <c r="N17" i="2"/>
  <c r="Y17" i="2"/>
  <c r="M17" i="2" s="1"/>
  <c r="N136" i="2"/>
  <c r="Y136" i="2"/>
  <c r="M136" i="2" s="1"/>
  <c r="N10" i="2"/>
  <c r="Y10" i="2"/>
  <c r="M10" i="2" s="1"/>
  <c r="N33" i="2"/>
  <c r="Y33" i="2"/>
  <c r="M33" i="2" s="1"/>
  <c r="Y197" i="2"/>
  <c r="M197" i="2" s="1"/>
  <c r="N197" i="2"/>
  <c r="N383" i="2"/>
  <c r="Y383" i="2"/>
  <c r="M383" i="2" s="1"/>
  <c r="Y467" i="2"/>
  <c r="M467" i="2" s="1"/>
  <c r="N467" i="2"/>
  <c r="N602" i="2"/>
  <c r="Y602" i="2"/>
  <c r="M602" i="2" s="1"/>
  <c r="N661" i="2"/>
  <c r="Y661" i="2"/>
  <c r="M661" i="2" s="1"/>
  <c r="Y826" i="2"/>
  <c r="M826" i="2" s="1"/>
  <c r="N826" i="2"/>
  <c r="Y908" i="2"/>
  <c r="M908" i="2" s="1"/>
  <c r="N908" i="2"/>
  <c r="Y966" i="2"/>
  <c r="M966" i="2" s="1"/>
  <c r="N966" i="2"/>
  <c r="N1106" i="2"/>
  <c r="Y1106" i="2"/>
  <c r="M1106" i="2" s="1"/>
  <c r="N1189" i="2"/>
  <c r="Y1189" i="2"/>
  <c r="M1189" i="2" s="1"/>
  <c r="Y1259" i="2"/>
  <c r="M1259" i="2" s="1"/>
  <c r="N1259" i="2"/>
  <c r="L790" i="2"/>
  <c r="K790" i="2"/>
  <c r="B790" i="2" s="1" a="1"/>
  <c r="B790" i="2" s="1"/>
  <c r="H790" i="2" s="1"/>
  <c r="L22" i="2"/>
  <c r="K22" i="2"/>
  <c r="B22" i="2" s="1" a="1"/>
  <c r="B22" i="2" s="1"/>
  <c r="L1252" i="2"/>
  <c r="K1252" i="2"/>
  <c r="B1252" i="2" s="1" a="1"/>
  <c r="B1252" i="2" s="1"/>
  <c r="L61" i="2"/>
  <c r="K61" i="2"/>
  <c r="B61" i="2" s="1" a="1"/>
  <c r="B61" i="2" s="1"/>
  <c r="H61" i="2" s="1"/>
  <c r="L82" i="2"/>
  <c r="K82" i="2"/>
  <c r="B82" i="2" s="1" a="1"/>
  <c r="B82" i="2" s="1"/>
  <c r="L225" i="2"/>
  <c r="L382" i="2"/>
  <c r="L242" i="2"/>
  <c r="L543" i="2"/>
  <c r="K543" i="2"/>
  <c r="B543" i="2" s="1" a="1"/>
  <c r="B543" i="2" s="1"/>
  <c r="L895" i="2"/>
  <c r="L148" i="2"/>
  <c r="L1126" i="2"/>
  <c r="K1126" i="2"/>
  <c r="B1126" i="2" s="1" a="1"/>
  <c r="B1126" i="2" s="1"/>
  <c r="H1126" i="2" s="1"/>
  <c r="L275" i="2"/>
  <c r="K275" i="2"/>
  <c r="B275" i="2" s="1" a="1"/>
  <c r="B275" i="2" s="1"/>
  <c r="L961" i="2"/>
  <c r="K961" i="2"/>
  <c r="B961" i="2" s="1" a="1"/>
  <c r="B961" i="2" s="1"/>
  <c r="L1116" i="2"/>
  <c r="K710" i="2"/>
  <c r="L710" i="2"/>
  <c r="K1236" i="2"/>
  <c r="L1236" i="2"/>
  <c r="L1224" i="2"/>
  <c r="K1224" i="2"/>
  <c r="L385" i="2"/>
  <c r="K1121" i="2"/>
  <c r="L1121" i="2"/>
  <c r="L716" i="2"/>
  <c r="K716" i="2"/>
  <c r="B716" i="2" s="1" a="1"/>
  <c r="B716" i="2" s="1"/>
  <c r="K920" i="2"/>
  <c r="L920" i="2"/>
  <c r="L348" i="2"/>
  <c r="K348" i="2"/>
  <c r="B348" i="2" s="1" a="1"/>
  <c r="B348" i="2" s="1"/>
  <c r="L867" i="2"/>
  <c r="L631" i="2"/>
  <c r="K631" i="2"/>
  <c r="B631" i="2" s="1" a="1"/>
  <c r="B631" i="2" s="1"/>
  <c r="H631" i="2" s="1"/>
  <c r="I631" i="2" s="1"/>
  <c r="L1221" i="2"/>
  <c r="K1239" i="2"/>
  <c r="L1239" i="2"/>
  <c r="L1214" i="2"/>
  <c r="K1214" i="2"/>
  <c r="B1214" i="2" s="1" a="1"/>
  <c r="B1214" i="2" s="1"/>
  <c r="H1214" i="2" s="1"/>
  <c r="L203" i="2"/>
  <c r="K203" i="2"/>
  <c r="B203" i="2" s="1" a="1"/>
  <c r="B203" i="2" s="1"/>
  <c r="L478" i="2"/>
  <c r="L1222" i="2"/>
  <c r="L283" i="2"/>
  <c r="L1272" i="2"/>
  <c r="L883" i="2"/>
  <c r="K883" i="2"/>
  <c r="B883" i="2" s="1" a="1"/>
  <c r="B883" i="2" s="1"/>
  <c r="L854" i="2"/>
  <c r="L229" i="2"/>
  <c r="K229" i="2"/>
  <c r="B229" i="2" s="1" a="1"/>
  <c r="B229" i="2" s="1"/>
  <c r="H229" i="2" s="1"/>
  <c r="L735" i="2"/>
  <c r="L360" i="2"/>
  <c r="K360" i="2"/>
  <c r="B360" i="2" s="1" a="1"/>
  <c r="B360" i="2" s="1"/>
  <c r="L886" i="2"/>
  <c r="K886" i="2"/>
  <c r="B886" i="2" s="1" a="1"/>
  <c r="B886" i="2" s="1"/>
  <c r="L937" i="2"/>
  <c r="K937" i="2"/>
  <c r="B937" i="2" s="1" a="1"/>
  <c r="B937" i="2" s="1"/>
  <c r="L1041" i="2"/>
  <c r="K1041" i="2"/>
  <c r="B1041" i="2" s="1" a="1"/>
  <c r="B1041" i="2" s="1"/>
  <c r="L1151" i="2"/>
  <c r="L817" i="2"/>
  <c r="L318" i="2"/>
  <c r="K318" i="2"/>
  <c r="B318" i="2" s="1" a="1"/>
  <c r="B318" i="2" s="1"/>
  <c r="L934" i="2"/>
  <c r="K934" i="2"/>
  <c r="B934" i="2" s="1" a="1"/>
  <c r="B934" i="2" s="1"/>
  <c r="L459" i="2"/>
  <c r="K459" i="2"/>
  <c r="B459" i="2" s="1" a="1"/>
  <c r="B459" i="2" s="1"/>
  <c r="L838" i="2"/>
  <c r="L942" i="2"/>
  <c r="L438" i="2"/>
  <c r="K438" i="2"/>
  <c r="B438" i="2" s="1" a="1"/>
  <c r="B438" i="2" s="1"/>
  <c r="H438" i="2" s="1"/>
  <c r="L809" i="2"/>
  <c r="K455" i="2"/>
  <c r="L455" i="2"/>
  <c r="L516" i="2"/>
  <c r="K516" i="2"/>
  <c r="B516" i="2" s="1" a="1"/>
  <c r="B516" i="2" s="1"/>
  <c r="H516" i="2" s="1"/>
  <c r="L421" i="2"/>
  <c r="K421" i="2"/>
  <c r="L685" i="2"/>
  <c r="K685" i="2"/>
  <c r="B685" i="2" s="1" a="1"/>
  <c r="B685" i="2" s="1"/>
  <c r="L603" i="2"/>
  <c r="L695" i="2"/>
  <c r="L766" i="2"/>
  <c r="K766" i="2"/>
  <c r="B766" i="2" s="1" a="1"/>
  <c r="B766" i="2" s="1"/>
  <c r="L387" i="2"/>
  <c r="K387" i="2"/>
  <c r="B387" i="2" s="1" a="1"/>
  <c r="B387" i="2" s="1"/>
  <c r="L578" i="2"/>
  <c r="K578" i="2"/>
  <c r="B578" i="2" s="1" a="1"/>
  <c r="B578" i="2" s="1"/>
  <c r="L150" i="2"/>
  <c r="K150" i="2"/>
  <c r="B150" i="2" s="1" a="1"/>
  <c r="B150" i="2" s="1"/>
  <c r="H150" i="2" s="1"/>
  <c r="L507" i="2"/>
  <c r="K507" i="2"/>
  <c r="B507" i="2" s="1" a="1"/>
  <c r="B507" i="2" s="1"/>
  <c r="L711" i="2"/>
  <c r="K711" i="2"/>
  <c r="B711" i="2" s="1" a="1"/>
  <c r="B711" i="2" s="1"/>
  <c r="L191" i="2"/>
  <c r="L423" i="2"/>
  <c r="K423" i="2"/>
  <c r="B423" i="2" s="1" a="1"/>
  <c r="B423" i="2" s="1"/>
  <c r="L465" i="2"/>
  <c r="L689" i="2"/>
  <c r="K689" i="2"/>
  <c r="B689" i="2" s="1" a="1"/>
  <c r="B689" i="2" s="1"/>
  <c r="L186" i="2"/>
  <c r="K186" i="2"/>
  <c r="B186" i="2" s="1" a="1"/>
  <c r="B186" i="2" s="1"/>
  <c r="L98" i="2"/>
  <c r="K98" i="2"/>
  <c r="B98" i="2" s="1" a="1"/>
  <c r="B98" i="2" s="1"/>
  <c r="H98" i="2" s="1"/>
  <c r="L117" i="2"/>
  <c r="L21" i="2"/>
  <c r="L172" i="2"/>
  <c r="K172" i="2"/>
  <c r="B172" i="2" s="1" a="1"/>
  <c r="B172" i="2" s="1"/>
  <c r="L56" i="2"/>
  <c r="L216" i="2"/>
  <c r="H76" i="9" s="1" a="1"/>
  <c r="K216" i="2"/>
  <c r="L335" i="2"/>
  <c r="L492" i="2"/>
  <c r="L723" i="2"/>
  <c r="K723" i="2"/>
  <c r="B723" i="2" s="1" a="1"/>
  <c r="B723" i="2" s="1"/>
  <c r="H723" i="2" s="1"/>
  <c r="K841" i="2"/>
  <c r="L841" i="2"/>
  <c r="L1062" i="2"/>
  <c r="K1062" i="2"/>
  <c r="B1062" i="2" s="1" a="1"/>
  <c r="B1062" i="2" s="1"/>
  <c r="K1238" i="2"/>
  <c r="L1238" i="2"/>
  <c r="N142" i="2"/>
  <c r="Y142" i="2"/>
  <c r="M142" i="2" s="1"/>
  <c r="Y1182" i="2"/>
  <c r="M1182" i="2" s="1"/>
  <c r="N1182" i="2"/>
  <c r="Y1125" i="2"/>
  <c r="M1125" i="2" s="1"/>
  <c r="N1125" i="2"/>
  <c r="N1090" i="2"/>
  <c r="Y1090" i="2"/>
  <c r="M1090" i="2" s="1"/>
  <c r="Y721" i="2"/>
  <c r="M721" i="2" s="1"/>
  <c r="N721" i="2"/>
  <c r="Y453" i="2"/>
  <c r="M453" i="2" s="1"/>
  <c r="N453" i="2"/>
  <c r="N743" i="2"/>
  <c r="Y743" i="2"/>
  <c r="M743" i="2" s="1"/>
  <c r="L65" i="2"/>
  <c r="L706" i="2"/>
  <c r="K706" i="2"/>
  <c r="B706" i="2" s="1" a="1"/>
  <c r="B706" i="2" s="1"/>
  <c r="L904" i="2"/>
  <c r="K904" i="2"/>
  <c r="B904" i="2" s="1" a="1"/>
  <c r="B904" i="2" s="1"/>
  <c r="H904" i="2" s="1"/>
  <c r="K1186" i="2"/>
  <c r="L1186" i="2"/>
  <c r="L1057" i="2"/>
  <c r="K1057" i="2"/>
  <c r="B1057" i="2" s="1" a="1"/>
  <c r="B1057" i="2" s="1"/>
  <c r="L592" i="2"/>
  <c r="K592" i="2"/>
  <c r="B592" i="2" s="1" a="1"/>
  <c r="B592" i="2" s="1"/>
  <c r="H592" i="2" s="1"/>
  <c r="L427" i="2"/>
  <c r="K427" i="2"/>
  <c r="B427" i="2" s="1" a="1"/>
  <c r="B427" i="2" s="1"/>
  <c r="L123" i="2"/>
  <c r="L940" i="2"/>
  <c r="N281" i="2"/>
  <c r="Y281" i="2"/>
  <c r="M281" i="2" s="1"/>
  <c r="Y374" i="2"/>
  <c r="M374" i="2" s="1"/>
  <c r="N374" i="2"/>
  <c r="N543" i="2"/>
  <c r="Y543" i="2"/>
  <c r="M543" i="2" s="1"/>
  <c r="Y999" i="2"/>
  <c r="M999" i="2" s="1"/>
  <c r="N999" i="2"/>
  <c r="N444" i="2"/>
  <c r="Y444" i="2"/>
  <c r="M444" i="2" s="1"/>
  <c r="N1047" i="2"/>
  <c r="Y1047" i="2"/>
  <c r="M1047" i="2" s="1"/>
  <c r="Y562" i="2"/>
  <c r="M562" i="2" s="1"/>
  <c r="N562" i="2"/>
  <c r="Y635" i="2"/>
  <c r="M635" i="2" s="1"/>
  <c r="N635" i="2"/>
  <c r="N68" i="2"/>
  <c r="Y68" i="2"/>
  <c r="M68" i="2" s="1"/>
  <c r="Y682" i="2"/>
  <c r="M682" i="2" s="1"/>
  <c r="N682" i="2"/>
  <c r="N305" i="2"/>
  <c r="Y305" i="2"/>
  <c r="M305" i="2" s="1"/>
  <c r="N399" i="2"/>
  <c r="Y399" i="2"/>
  <c r="M399" i="2" s="1"/>
  <c r="N254" i="2"/>
  <c r="Y254" i="2"/>
  <c r="M254" i="2" s="1"/>
  <c r="N786" i="2"/>
  <c r="Y786" i="2"/>
  <c r="M786" i="2" s="1"/>
  <c r="Y1256" i="2"/>
  <c r="M1256" i="2" s="1"/>
  <c r="N1256" i="2"/>
  <c r="Y1250" i="2"/>
  <c r="M1250" i="2" s="1"/>
  <c r="N1250" i="2"/>
  <c r="Y104" i="2"/>
  <c r="M104" i="2" s="1"/>
  <c r="N104" i="2"/>
  <c r="N996" i="2"/>
  <c r="Y996" i="2"/>
  <c r="M996" i="2" s="1"/>
  <c r="Y1116" i="2"/>
  <c r="M1116" i="2" s="1"/>
  <c r="N1116" i="2"/>
  <c r="N768" i="2"/>
  <c r="Y768" i="2"/>
  <c r="M768" i="2" s="1"/>
  <c r="N553" i="2"/>
  <c r="Y553" i="2"/>
  <c r="M553" i="2" s="1"/>
  <c r="N428" i="2"/>
  <c r="Y428" i="2"/>
  <c r="M428" i="2" s="1"/>
  <c r="N784" i="2"/>
  <c r="Y784" i="2"/>
  <c r="M784" i="2" s="1"/>
  <c r="N1056" i="2"/>
  <c r="Y1056" i="2"/>
  <c r="M1056" i="2" s="1"/>
  <c r="Y892" i="2"/>
  <c r="M892" i="2" s="1"/>
  <c r="N892" i="2"/>
  <c r="Y457" i="2"/>
  <c r="M457" i="2" s="1"/>
  <c r="N457" i="2"/>
  <c r="N715" i="2"/>
  <c r="Y715" i="2"/>
  <c r="M715" i="2" s="1"/>
  <c r="Y978" i="2"/>
  <c r="M978" i="2" s="1"/>
  <c r="N978" i="2"/>
  <c r="Y1097" i="2"/>
  <c r="M1097" i="2" s="1"/>
  <c r="N1097" i="2"/>
  <c r="N1038" i="2"/>
  <c r="Y1038" i="2"/>
  <c r="M1038" i="2" s="1"/>
  <c r="N1216" i="2"/>
  <c r="Y1216" i="2"/>
  <c r="M1216" i="2" s="1"/>
  <c r="N445" i="2"/>
  <c r="Y445" i="2"/>
  <c r="M445" i="2" s="1"/>
  <c r="Y245" i="2"/>
  <c r="M245" i="2" s="1"/>
  <c r="N245" i="2"/>
  <c r="Y421" i="2"/>
  <c r="M421" i="2" s="1"/>
  <c r="N421" i="2"/>
  <c r="Y377" i="2"/>
  <c r="M377" i="2" s="1"/>
  <c r="N377" i="2"/>
  <c r="Y577" i="2"/>
  <c r="M577" i="2" s="1"/>
  <c r="N577" i="2"/>
  <c r="N138" i="2"/>
  <c r="Y138" i="2"/>
  <c r="M138" i="2" s="1"/>
  <c r="N69" i="2"/>
  <c r="Y69" i="2"/>
  <c r="M69" i="2" s="1"/>
  <c r="N687" i="2"/>
  <c r="Y687" i="2"/>
  <c r="M687" i="2" s="1"/>
  <c r="N904" i="2"/>
  <c r="Y904" i="2"/>
  <c r="M904" i="2" s="1"/>
  <c r="N1086" i="2"/>
  <c r="Y1086" i="2"/>
  <c r="M1086" i="2" s="1"/>
  <c r="Y1257" i="2"/>
  <c r="M1257" i="2" s="1"/>
  <c r="N1257" i="2"/>
  <c r="L517" i="2"/>
  <c r="L215" i="2"/>
  <c r="K215" i="2"/>
  <c r="B215" i="2" s="1" a="1"/>
  <c r="B215" i="2" s="1"/>
  <c r="L259" i="2"/>
  <c r="K259" i="2"/>
  <c r="B259" i="2" s="1" a="1"/>
  <c r="B259" i="2" s="1"/>
  <c r="H259" i="2" s="1"/>
  <c r="L224" i="2"/>
  <c r="K224" i="2"/>
  <c r="B224" i="2" s="1" a="1"/>
  <c r="B224" i="2" s="1"/>
  <c r="L19" i="2"/>
  <c r="K19" i="2"/>
  <c r="B19" i="2" s="1" a="1"/>
  <c r="B19" i="2" s="1"/>
  <c r="K27" i="2"/>
  <c r="L27" i="2"/>
  <c r="K1189" i="2"/>
  <c r="L1189" i="2"/>
  <c r="L635" i="2"/>
  <c r="K635" i="2"/>
  <c r="B635" i="2" s="1" a="1"/>
  <c r="B635" i="2" s="1"/>
  <c r="H635" i="2" s="1"/>
  <c r="L240" i="2"/>
  <c r="K240" i="2"/>
  <c r="B240" i="2" s="1" a="1"/>
  <c r="B240" i="2" s="1"/>
  <c r="L1243" i="2"/>
  <c r="L468" i="2"/>
  <c r="K468" i="2"/>
  <c r="B468" i="2" s="1" a="1"/>
  <c r="B468" i="2" s="1"/>
  <c r="H468" i="2" s="1"/>
  <c r="L1030" i="2"/>
  <c r="K1030" i="2"/>
  <c r="L1195" i="2"/>
  <c r="K1195" i="2"/>
  <c r="B1195" i="2" s="1" a="1"/>
  <c r="B1195" i="2" s="1"/>
  <c r="L389" i="2"/>
  <c r="K389" i="2"/>
  <c r="B389" i="2" s="1" a="1"/>
  <c r="B389" i="2" s="1"/>
  <c r="K1023" i="2"/>
  <c r="L1023" i="2"/>
  <c r="L1179" i="2"/>
  <c r="K1179" i="2"/>
  <c r="B1179" i="2" s="1" a="1"/>
  <c r="B1179" i="2" s="1"/>
  <c r="H1179" i="2" s="1"/>
  <c r="L801" i="2"/>
  <c r="K801" i="2"/>
  <c r="B801" i="2" s="1" a="1"/>
  <c r="B801" i="2" s="1"/>
  <c r="L1036" i="2"/>
  <c r="K1036" i="2"/>
  <c r="B1036" i="2" s="1" a="1"/>
  <c r="B1036" i="2" s="1"/>
  <c r="L694" i="2"/>
  <c r="K694" i="2"/>
  <c r="B694" i="2" s="1" a="1"/>
  <c r="B694" i="2" s="1"/>
  <c r="H694" i="2" s="1"/>
  <c r="L1003" i="2"/>
  <c r="K1003" i="2"/>
  <c r="L748" i="2"/>
  <c r="K748" i="2"/>
  <c r="B748" i="2" s="1" a="1"/>
  <c r="B748" i="2" s="1"/>
  <c r="L1226" i="2"/>
  <c r="K1226" i="2"/>
  <c r="B1226" i="2" s="1" a="1"/>
  <c r="B1226" i="2" s="1"/>
  <c r="L513" i="2"/>
  <c r="K513" i="2"/>
  <c r="B513" i="2" s="1" a="1"/>
  <c r="B513" i="2" s="1"/>
  <c r="L337" i="2"/>
  <c r="K337" i="2"/>
  <c r="B337" i="2" s="1" a="1"/>
  <c r="B337" i="2" s="1"/>
  <c r="H337" i="2" s="1"/>
  <c r="L644" i="2"/>
  <c r="K644" i="2"/>
  <c r="L1230" i="2"/>
  <c r="K1230" i="2"/>
  <c r="B1230" i="2" s="1" a="1"/>
  <c r="B1230" i="2" s="1"/>
  <c r="L891" i="2"/>
  <c r="K891" i="2"/>
  <c r="B891" i="2" s="1" a="1"/>
  <c r="B891" i="2" s="1"/>
  <c r="H891" i="2" s="1"/>
  <c r="L1017" i="2"/>
  <c r="L433" i="2"/>
  <c r="K433" i="2"/>
  <c r="L715" i="2"/>
  <c r="L799" i="2"/>
  <c r="K799" i="2"/>
  <c r="B799" i="2" s="1" a="1"/>
  <c r="B799" i="2" s="1"/>
  <c r="L524" i="2"/>
  <c r="L1026" i="2"/>
  <c r="K1026" i="2"/>
  <c r="B1026" i="2" s="1" a="1"/>
  <c r="B1026" i="2" s="1"/>
  <c r="K847" i="2"/>
  <c r="L847" i="2"/>
  <c r="L1208" i="2"/>
  <c r="L1127" i="2"/>
  <c r="L677" i="2"/>
  <c r="K677" i="2"/>
  <c r="L235" i="2"/>
  <c r="L865" i="2"/>
  <c r="L939" i="2"/>
  <c r="K939" i="2"/>
  <c r="B939" i="2" s="1" a="1"/>
  <c r="B939" i="2" s="1"/>
  <c r="H939" i="2" s="1"/>
  <c r="L953" i="2"/>
  <c r="K953" i="2"/>
  <c r="B953" i="2" s="1" a="1"/>
  <c r="B953" i="2" s="1"/>
  <c r="L1138" i="2"/>
  <c r="L1273" i="2"/>
  <c r="K1273" i="2"/>
  <c r="B1273" i="2" s="1" a="1"/>
  <c r="B1273" i="2" s="1"/>
  <c r="H1273" i="2" s="1"/>
  <c r="L252" i="2"/>
  <c r="L925" i="2"/>
  <c r="K925" i="2"/>
  <c r="B925" i="2" s="1" a="1"/>
  <c r="B925" i="2" s="1"/>
  <c r="L346" i="2"/>
  <c r="K346" i="2"/>
  <c r="B346" i="2" s="1" a="1"/>
  <c r="B346" i="2" s="1"/>
  <c r="L747" i="2"/>
  <c r="K872" i="2"/>
  <c r="L872" i="2"/>
  <c r="L1264" i="2"/>
  <c r="K1264" i="2"/>
  <c r="B1264" i="2" s="1" a="1"/>
  <c r="B1264" i="2" s="1"/>
  <c r="K795" i="2"/>
  <c r="L795" i="2"/>
  <c r="L395" i="2"/>
  <c r="K395" i="2"/>
  <c r="B395" i="2" s="1" a="1"/>
  <c r="B395" i="2" s="1"/>
  <c r="H395" i="2" s="1"/>
  <c r="L450" i="2"/>
  <c r="K450" i="2"/>
  <c r="B450" i="2" s="1" a="1"/>
  <c r="B450" i="2" s="1"/>
  <c r="L425" i="2"/>
  <c r="K425" i="2"/>
  <c r="B425" i="2" s="1" a="1"/>
  <c r="B425" i="2" s="1"/>
  <c r="K467" i="2"/>
  <c r="L467" i="2"/>
  <c r="L648" i="2"/>
  <c r="K622" i="2"/>
  <c r="L622" i="2"/>
  <c r="L651" i="2"/>
  <c r="K651" i="2"/>
  <c r="B651" i="2" s="1" a="1"/>
  <c r="B651" i="2" s="1"/>
  <c r="L339" i="2"/>
  <c r="L556" i="2"/>
  <c r="K556" i="2"/>
  <c r="B556" i="2" s="1" a="1"/>
  <c r="B556" i="2" s="1"/>
  <c r="H556" i="2" s="1"/>
  <c r="L756" i="2"/>
  <c r="K756" i="2"/>
  <c r="B756" i="2" s="1" a="1"/>
  <c r="B756" i="2" s="1"/>
  <c r="L376" i="2"/>
  <c r="K376" i="2"/>
  <c r="L636" i="2"/>
  <c r="K636" i="2"/>
  <c r="B636" i="2" s="1" a="1"/>
  <c r="B636" i="2" s="1"/>
  <c r="L38" i="2"/>
  <c r="K38" i="2"/>
  <c r="B38" i="2" s="1" a="1"/>
  <c r="B38" i="2" s="1"/>
  <c r="L363" i="2"/>
  <c r="K363" i="2"/>
  <c r="B363" i="2" s="1" a="1"/>
  <c r="B363" i="2" s="1"/>
  <c r="H363" i="2" s="1"/>
  <c r="K435" i="2"/>
  <c r="L435" i="2"/>
  <c r="K665" i="2"/>
  <c r="L665" i="2"/>
  <c r="L113" i="2"/>
  <c r="K113" i="2"/>
  <c r="B113" i="2" s="1" a="1"/>
  <c r="B113" i="2" s="1"/>
  <c r="H113" i="2" s="1"/>
  <c r="I113" i="2" s="1"/>
  <c r="L130" i="2"/>
  <c r="K130" i="2"/>
  <c r="B130" i="2" s="1" a="1"/>
  <c r="B130" i="2" s="1"/>
  <c r="L26" i="2"/>
  <c r="K26" i="2"/>
  <c r="B26" i="2" s="1" a="1"/>
  <c r="B26" i="2" s="1"/>
  <c r="L205" i="2"/>
  <c r="K205" i="2"/>
  <c r="B205" i="2" s="1" a="1"/>
  <c r="B205" i="2" s="1"/>
  <c r="L103" i="2"/>
  <c r="L23" i="2"/>
  <c r="L217" i="2"/>
  <c r="K217" i="2"/>
  <c r="B217" i="2" s="1" a="1"/>
  <c r="B217" i="2" s="1"/>
  <c r="L295" i="2"/>
  <c r="L410" i="2"/>
  <c r="K410" i="2"/>
  <c r="B410" i="2" s="1" a="1"/>
  <c r="B410" i="2" s="1"/>
  <c r="H410" i="2" s="1"/>
  <c r="I410" i="2" s="1"/>
  <c r="L721" i="2"/>
  <c r="L859" i="2"/>
  <c r="K1078" i="2"/>
  <c r="L1078" i="2"/>
  <c r="L1246" i="2"/>
  <c r="K1246" i="2"/>
  <c r="B1246" i="2" s="1" a="1"/>
  <c r="B1246" i="2" s="1"/>
  <c r="Y87" i="2"/>
  <c r="M87" i="2" s="1"/>
  <c r="N87" i="2"/>
  <c r="N396" i="2"/>
  <c r="Y396" i="2"/>
  <c r="M396" i="2" s="1"/>
  <c r="N584" i="2"/>
  <c r="Y584" i="2"/>
  <c r="M584" i="2" s="1"/>
  <c r="N1088" i="2"/>
  <c r="Y1088" i="2"/>
  <c r="M1088" i="2" s="1"/>
  <c r="N1166" i="2"/>
  <c r="Y1166" i="2"/>
  <c r="M1166" i="2" s="1"/>
  <c r="Y214" i="2"/>
  <c r="M214" i="2" s="1"/>
  <c r="N214" i="2"/>
  <c r="N61" i="2"/>
  <c r="Y61" i="2"/>
  <c r="M61" i="2" s="1"/>
  <c r="N1005" i="2"/>
  <c r="Y1005" i="2"/>
  <c r="M1005" i="2" s="1"/>
  <c r="L874" i="2"/>
  <c r="K874" i="2"/>
  <c r="B874" i="2" s="1" a="1"/>
  <c r="B874" i="2" s="1"/>
  <c r="L1144" i="2"/>
  <c r="K1144" i="2"/>
  <c r="B1144" i="2" s="1" a="1"/>
  <c r="B1144" i="2" s="1"/>
  <c r="L299" i="2"/>
  <c r="K299" i="2"/>
  <c r="B299" i="2" s="1" a="1"/>
  <c r="B299" i="2" s="1"/>
  <c r="L34" i="2"/>
  <c r="K34" i="2"/>
  <c r="B34" i="2" s="1" a="1"/>
  <c r="B34" i="2" s="1"/>
  <c r="H34" i="2" s="1"/>
  <c r="I34" i="2" s="1"/>
  <c r="N43" i="2"/>
  <c r="Y43" i="2"/>
  <c r="M43" i="2" s="1"/>
  <c r="Y812" i="2"/>
  <c r="M812" i="2" s="1"/>
  <c r="N812" i="2"/>
  <c r="N207" i="2"/>
  <c r="Y207" i="2"/>
  <c r="M207" i="2" s="1"/>
  <c r="N870" i="2"/>
  <c r="Y870" i="2"/>
  <c r="M870" i="2" s="1"/>
  <c r="Y1003" i="2"/>
  <c r="M1003" i="2" s="1"/>
  <c r="N1003" i="2"/>
  <c r="Y331" i="2"/>
  <c r="M331" i="2" s="1"/>
  <c r="N331" i="2"/>
  <c r="Y418" i="2"/>
  <c r="M418" i="2" s="1"/>
  <c r="N418" i="2"/>
  <c r="N701" i="2"/>
  <c r="Y701" i="2"/>
  <c r="M701" i="2" s="1"/>
  <c r="N1243" i="2"/>
  <c r="Y1243" i="2"/>
  <c r="M1243" i="2" s="1"/>
  <c r="N557" i="2"/>
  <c r="Y557" i="2"/>
  <c r="M557" i="2" s="1"/>
  <c r="N384" i="2"/>
  <c r="Y384" i="2"/>
  <c r="M384" i="2" s="1"/>
  <c r="N1043" i="2"/>
  <c r="Y1043" i="2"/>
  <c r="M1043" i="2" s="1"/>
  <c r="Y406" i="2"/>
  <c r="M406" i="2" s="1"/>
  <c r="N406" i="2"/>
  <c r="N270" i="2"/>
  <c r="Y270" i="2"/>
  <c r="M270" i="2" s="1"/>
  <c r="N431" i="2"/>
  <c r="Y431" i="2"/>
  <c r="M431" i="2" s="1"/>
  <c r="N1089" i="2"/>
  <c r="Y1089" i="2"/>
  <c r="M1089" i="2" s="1"/>
  <c r="N1013" i="2"/>
  <c r="Y1013" i="2"/>
  <c r="M1013" i="2" s="1"/>
  <c r="Y619" i="2"/>
  <c r="M619" i="2" s="1"/>
  <c r="N619" i="2"/>
  <c r="Y342" i="2"/>
  <c r="M342" i="2" s="1"/>
  <c r="N342" i="2"/>
  <c r="Y85" i="2"/>
  <c r="M85" i="2" s="1"/>
  <c r="N85" i="2"/>
  <c r="N90" i="2"/>
  <c r="Y90" i="2"/>
  <c r="M90" i="2" s="1"/>
  <c r="N573" i="2"/>
  <c r="Y573" i="2"/>
  <c r="M573" i="2" s="1"/>
  <c r="Y854" i="2"/>
  <c r="M854" i="2" s="1"/>
  <c r="N854" i="2"/>
  <c r="N410" i="2"/>
  <c r="Y410" i="2"/>
  <c r="M410" i="2" s="1"/>
  <c r="N221" i="2"/>
  <c r="Y221" i="2"/>
  <c r="M221" i="2" s="1"/>
  <c r="N673" i="2"/>
  <c r="Y673" i="2"/>
  <c r="M673" i="2" s="1"/>
  <c r="Y336" i="2"/>
  <c r="M336" i="2" s="1"/>
  <c r="N336" i="2"/>
  <c r="N952" i="2"/>
  <c r="Y952" i="2"/>
  <c r="M952" i="2" s="1"/>
  <c r="Y1118" i="2"/>
  <c r="M1118" i="2" s="1"/>
  <c r="N1118" i="2"/>
  <c r="Y1198" i="2"/>
  <c r="M1198" i="2" s="1"/>
  <c r="N1198" i="2"/>
  <c r="N1110" i="2"/>
  <c r="Y1110" i="2"/>
  <c r="M1110" i="2" s="1"/>
  <c r="Y1138" i="2"/>
  <c r="M1138" i="2" s="1"/>
  <c r="N1138" i="2"/>
  <c r="Y258" i="2"/>
  <c r="M258" i="2" s="1"/>
  <c r="N258" i="2"/>
  <c r="N951" i="2"/>
  <c r="Y951" i="2"/>
  <c r="M951" i="2" s="1"/>
  <c r="N319" i="2"/>
  <c r="Y319" i="2"/>
  <c r="M319" i="2" s="1"/>
  <c r="N199" i="2"/>
  <c r="Y199" i="2"/>
  <c r="M199" i="2" s="1"/>
  <c r="Y563" i="2"/>
  <c r="M563" i="2" s="1"/>
  <c r="N563" i="2"/>
  <c r="Y434" i="2"/>
  <c r="M434" i="2" s="1"/>
  <c r="N434" i="2"/>
  <c r="Y156" i="2"/>
  <c r="M156" i="2" s="1"/>
  <c r="N156" i="2"/>
  <c r="N23" i="2"/>
  <c r="Y23" i="2"/>
  <c r="M23" i="2" s="1"/>
  <c r="Y173" i="2"/>
  <c r="M173" i="2" s="1"/>
  <c r="N173" i="2"/>
  <c r="N452" i="2"/>
  <c r="Y452" i="2"/>
  <c r="M452" i="2" s="1"/>
  <c r="Y853" i="2"/>
  <c r="M853" i="2" s="1"/>
  <c r="N853" i="2"/>
  <c r="N974" i="2"/>
  <c r="Y974" i="2"/>
  <c r="M974" i="2" s="1"/>
  <c r="Y1262" i="2"/>
  <c r="M1262" i="2" s="1"/>
  <c r="N1262" i="2"/>
  <c r="Y376" i="2"/>
  <c r="M376" i="2" s="1"/>
  <c r="N376" i="2"/>
  <c r="N1145" i="2"/>
  <c r="Y1145" i="2"/>
  <c r="M1145" i="2" s="1"/>
  <c r="Y1019" i="2"/>
  <c r="M1019" i="2" s="1"/>
  <c r="N1019" i="2"/>
  <c r="N1227" i="2"/>
  <c r="Y1227" i="2"/>
  <c r="M1227" i="2" s="1"/>
  <c r="N1248" i="2"/>
  <c r="Y1248" i="2"/>
  <c r="M1248" i="2" s="1"/>
  <c r="N1119" i="2"/>
  <c r="Y1119" i="2"/>
  <c r="M1119" i="2" s="1"/>
  <c r="N571" i="2"/>
  <c r="Y571" i="2"/>
  <c r="M571" i="2" s="1"/>
  <c r="Y830" i="2"/>
  <c r="M830" i="2" s="1"/>
  <c r="N830" i="2"/>
  <c r="N994" i="2"/>
  <c r="Y994" i="2"/>
  <c r="M994" i="2" s="1"/>
  <c r="N206" i="2"/>
  <c r="Y206" i="2"/>
  <c r="M206" i="2" s="1"/>
  <c r="Y312" i="2"/>
  <c r="M312" i="2" s="1"/>
  <c r="N312" i="2"/>
  <c r="N629" i="2"/>
  <c r="Y629" i="2"/>
  <c r="M629" i="2" s="1"/>
  <c r="N910" i="2"/>
  <c r="Y910" i="2"/>
  <c r="M910" i="2" s="1"/>
  <c r="N353" i="2"/>
  <c r="Y353" i="2"/>
  <c r="M353" i="2" s="1"/>
  <c r="N846" i="2"/>
  <c r="Y846" i="2"/>
  <c r="M846" i="2" s="1"/>
  <c r="Y1016" i="2"/>
  <c r="M1016" i="2" s="1"/>
  <c r="N1016" i="2"/>
  <c r="N998" i="2"/>
  <c r="Y998" i="2"/>
  <c r="M998" i="2" s="1"/>
  <c r="N927" i="2"/>
  <c r="Y927" i="2"/>
  <c r="M927" i="2" s="1"/>
  <c r="N1082" i="2"/>
  <c r="Y1082" i="2"/>
  <c r="M1082" i="2" s="1"/>
  <c r="N915" i="2"/>
  <c r="Y915" i="2"/>
  <c r="M915" i="2" s="1"/>
  <c r="Y284" i="2"/>
  <c r="M284" i="2" s="1"/>
  <c r="N284" i="2"/>
  <c r="N731" i="2"/>
  <c r="Y731" i="2"/>
  <c r="M731" i="2" s="1"/>
  <c r="Y347" i="2"/>
  <c r="M347" i="2" s="1"/>
  <c r="N347" i="2"/>
  <c r="N381" i="2"/>
  <c r="Y381" i="2"/>
  <c r="M381" i="2" s="1"/>
  <c r="Y333" i="2"/>
  <c r="M333" i="2" s="1"/>
  <c r="N333" i="2"/>
  <c r="N478" i="2"/>
  <c r="Y478" i="2"/>
  <c r="M478" i="2" s="1"/>
  <c r="Y123" i="2"/>
  <c r="M123" i="2" s="1"/>
  <c r="N123" i="2"/>
  <c r="Y39" i="2"/>
  <c r="M39" i="2" s="1"/>
  <c r="N39" i="2"/>
  <c r="N130" i="2"/>
  <c r="Y130" i="2"/>
  <c r="M130" i="2" s="1"/>
  <c r="N45" i="2"/>
  <c r="Y45" i="2"/>
  <c r="M45" i="2" s="1"/>
  <c r="N84" i="2"/>
  <c r="Y84" i="2"/>
  <c r="M84" i="2" s="1"/>
  <c r="Y262" i="2"/>
  <c r="M262" i="2" s="1"/>
  <c r="N262" i="2"/>
  <c r="N279" i="2"/>
  <c r="Y279" i="2"/>
  <c r="M279" i="2" s="1"/>
  <c r="Y484" i="2"/>
  <c r="M484" i="2" s="1"/>
  <c r="N484" i="2"/>
  <c r="N655" i="2"/>
  <c r="Y655" i="2"/>
  <c r="M655" i="2" s="1"/>
  <c r="Y693" i="2"/>
  <c r="M693" i="2" s="1"/>
  <c r="N693" i="2"/>
  <c r="Y816" i="2"/>
  <c r="M816" i="2" s="1"/>
  <c r="N816" i="2"/>
  <c r="N993" i="2"/>
  <c r="Y993" i="2"/>
  <c r="M993" i="2" s="1"/>
  <c r="N1142" i="2"/>
  <c r="Y1142" i="2"/>
  <c r="M1142" i="2" s="1"/>
  <c r="Y1217" i="2"/>
  <c r="M1217" i="2" s="1"/>
  <c r="N1217" i="2"/>
  <c r="Y1272" i="2"/>
  <c r="M1272" i="2" s="1"/>
  <c r="N1272" i="2"/>
  <c r="L541" i="2"/>
  <c r="L116" i="2"/>
  <c r="K116" i="2"/>
  <c r="B116" i="2" s="1" a="1"/>
  <c r="B116" i="2" s="1"/>
  <c r="H116" i="2" s="1"/>
  <c r="L785" i="2"/>
  <c r="L496" i="2"/>
  <c r="L76" i="2"/>
  <c r="L383" i="2"/>
  <c r="K383" i="2"/>
  <c r="B383" i="2" s="1" a="1"/>
  <c r="B383" i="2" s="1"/>
  <c r="L1077" i="2"/>
  <c r="K1077" i="2"/>
  <c r="B1077" i="2" s="1" a="1"/>
  <c r="B1077" i="2" s="1"/>
  <c r="H1077" i="2" s="1"/>
  <c r="L374" i="2"/>
  <c r="K374" i="2"/>
  <c r="L144" i="2"/>
  <c r="L981" i="2"/>
  <c r="K981" i="2"/>
  <c r="B981" i="2" s="1" a="1"/>
  <c r="B981" i="2" s="1"/>
  <c r="H981" i="2" s="1"/>
  <c r="L398" i="2"/>
  <c r="L993" i="2"/>
  <c r="K993" i="2"/>
  <c r="B993" i="2" s="1" a="1"/>
  <c r="B993" i="2" s="1"/>
  <c r="L884" i="2"/>
  <c r="K884" i="2"/>
  <c r="B884" i="2" s="1" a="1"/>
  <c r="B884" i="2" s="1"/>
  <c r="L480" i="2"/>
  <c r="K480" i="2"/>
  <c r="B480" i="2" s="1" a="1"/>
  <c r="B480" i="2" s="1"/>
  <c r="L803" i="2"/>
  <c r="L256" i="2"/>
  <c r="K256" i="2"/>
  <c r="B256" i="2" s="1" a="1"/>
  <c r="B256" i="2" s="1"/>
  <c r="L386" i="2"/>
  <c r="K386" i="2"/>
  <c r="B386" i="2" s="1" a="1"/>
  <c r="B386" i="2" s="1"/>
  <c r="L986" i="2"/>
  <c r="K986" i="2"/>
  <c r="B986" i="2" s="1" a="1"/>
  <c r="B986" i="2" s="1"/>
  <c r="H986" i="2" s="1"/>
  <c r="L758" i="2"/>
  <c r="K758" i="2"/>
  <c r="L1013" i="2"/>
  <c r="L238" i="2"/>
  <c r="K238" i="2"/>
  <c r="B238" i="2" s="1" a="1"/>
  <c r="B238" i="2" s="1"/>
  <c r="L840" i="2"/>
  <c r="L344" i="2"/>
  <c r="K344" i="2"/>
  <c r="B344" i="2" s="1" a="1"/>
  <c r="B344" i="2" s="1"/>
  <c r="H344" i="2" s="1"/>
  <c r="L261" i="2"/>
  <c r="K596" i="2"/>
  <c r="L596" i="2"/>
  <c r="L910" i="2"/>
  <c r="K910" i="2"/>
  <c r="B910" i="2" s="1" a="1"/>
  <c r="B910" i="2" s="1"/>
  <c r="H910" i="2" s="1"/>
  <c r="L743" i="2"/>
  <c r="K743" i="2"/>
  <c r="B743" i="2" s="1" a="1"/>
  <c r="B743" i="2" s="1"/>
  <c r="L1056" i="2"/>
  <c r="K1056" i="2"/>
  <c r="B1056" i="2" s="1" a="1"/>
  <c r="B1056" i="2" s="1"/>
  <c r="L850" i="2"/>
  <c r="K850" i="2"/>
  <c r="B850" i="2" s="1" a="1"/>
  <c r="B850" i="2" s="1"/>
  <c r="L257" i="2"/>
  <c r="K257" i="2"/>
  <c r="B257" i="2" s="1" a="1"/>
  <c r="B257" i="2" s="1"/>
  <c r="K1004" i="2"/>
  <c r="L1004" i="2"/>
  <c r="L297" i="2"/>
  <c r="K297" i="2"/>
  <c r="B297" i="2" s="1" a="1"/>
  <c r="B297" i="2" s="1"/>
  <c r="L1094" i="2"/>
  <c r="K1094" i="2"/>
  <c r="B1094" i="2" s="1" a="1"/>
  <c r="B1094" i="2" s="1"/>
  <c r="K638" i="2"/>
  <c r="L638" i="2"/>
  <c r="L973" i="2"/>
  <c r="K1250" i="2"/>
  <c r="L1250" i="2"/>
  <c r="L418" i="2"/>
  <c r="K418" i="2"/>
  <c r="B418" i="2" s="1" a="1"/>
  <c r="B418" i="2" s="1"/>
  <c r="K1137" i="2"/>
  <c r="L1137" i="2"/>
  <c r="L842" i="2"/>
  <c r="K842" i="2"/>
  <c r="B842" i="2" s="1" a="1"/>
  <c r="B842" i="2" s="1"/>
  <c r="H842" i="2" s="1"/>
  <c r="L897" i="2"/>
  <c r="L950" i="2"/>
  <c r="L1136" i="2"/>
  <c r="K1136" i="2"/>
  <c r="B1136" i="2" s="1" a="1"/>
  <c r="B1136" i="2" s="1"/>
  <c r="H1136" i="2" s="1"/>
  <c r="K1185" i="2"/>
  <c r="L1185" i="2"/>
  <c r="K1184" i="2"/>
  <c r="L1184" i="2"/>
  <c r="L846" i="2"/>
  <c r="L1201" i="2"/>
  <c r="L701" i="2"/>
  <c r="L816" i="2"/>
  <c r="K816" i="2"/>
  <c r="B816" i="2" s="1" a="1"/>
  <c r="B816" i="2" s="1"/>
  <c r="L1257" i="2"/>
  <c r="K1257" i="2"/>
  <c r="K717" i="2"/>
  <c r="L717" i="2"/>
  <c r="L380" i="2"/>
  <c r="K380" i="2"/>
  <c r="B380" i="2" s="1" a="1"/>
  <c r="B380" i="2" s="1"/>
  <c r="L379" i="2"/>
  <c r="K379" i="2"/>
  <c r="B379" i="2" s="1" a="1"/>
  <c r="B379" i="2" s="1"/>
  <c r="L343" i="2"/>
  <c r="K343" i="2"/>
  <c r="B343" i="2" s="1" a="1"/>
  <c r="B343" i="2" s="1"/>
  <c r="L442" i="2"/>
  <c r="K442" i="2"/>
  <c r="B442" i="2" s="1" a="1"/>
  <c r="B442" i="2" s="1"/>
  <c r="L660" i="2"/>
  <c r="K660" i="2"/>
  <c r="B660" i="2" s="1" a="1"/>
  <c r="B660" i="2" s="1"/>
  <c r="H660" i="2" s="1"/>
  <c r="L602" i="2"/>
  <c r="L681" i="2"/>
  <c r="L352" i="2"/>
  <c r="K352" i="2"/>
  <c r="B352" i="2" s="1" a="1"/>
  <c r="B352" i="2" s="1"/>
  <c r="H352" i="2" s="1"/>
  <c r="L550" i="2"/>
  <c r="K550" i="2"/>
  <c r="L751" i="2"/>
  <c r="L469" i="2"/>
  <c r="L640" i="2"/>
  <c r="K640" i="2"/>
  <c r="B640" i="2" s="1" a="1"/>
  <c r="B640" i="2" s="1"/>
  <c r="L836" i="2"/>
  <c r="K836" i="2"/>
  <c r="B836" i="2" s="1" a="1"/>
  <c r="B836" i="2" s="1"/>
  <c r="H836" i="2" s="1"/>
  <c r="L280" i="2"/>
  <c r="K280" i="2"/>
  <c r="B280" i="2" s="1" a="1"/>
  <c r="B280" i="2" s="1"/>
  <c r="L378" i="2"/>
  <c r="K378" i="2"/>
  <c r="B378" i="2" s="1" a="1"/>
  <c r="B378" i="2" s="1"/>
  <c r="L604" i="2"/>
  <c r="K604" i="2"/>
  <c r="B604" i="2" s="1" a="1"/>
  <c r="B604" i="2" s="1"/>
  <c r="H604" i="2" s="1"/>
  <c r="L96" i="2"/>
  <c r="K96" i="2"/>
  <c r="B96" i="2" s="1" a="1"/>
  <c r="B96" i="2" s="1"/>
  <c r="L54" i="2"/>
  <c r="K54" i="2"/>
  <c r="B54" i="2" s="1" a="1"/>
  <c r="B54" i="2" s="1"/>
  <c r="L70" i="2"/>
  <c r="K70" i="2"/>
  <c r="B70" i="2" s="1" a="1"/>
  <c r="B70" i="2" s="1"/>
  <c r="L106" i="2"/>
  <c r="K106" i="2"/>
  <c r="L138" i="2"/>
  <c r="L43" i="2"/>
  <c r="K43" i="2"/>
  <c r="B43" i="2" s="1" a="1"/>
  <c r="B43" i="2" s="1"/>
  <c r="L200" i="2"/>
  <c r="L311" i="2"/>
  <c r="K311" i="2"/>
  <c r="B311" i="2" s="1" a="1"/>
  <c r="B311" i="2" s="1"/>
  <c r="H311" i="2" s="1"/>
  <c r="I311" i="2" s="1"/>
  <c r="L426" i="2"/>
  <c r="L782" i="2"/>
  <c r="K782" i="2"/>
  <c r="B782" i="2" s="1" a="1"/>
  <c r="B782" i="2" s="1"/>
  <c r="L878" i="2"/>
  <c r="L1104" i="2"/>
  <c r="K1104" i="2"/>
  <c r="B1104" i="2" s="1" a="1"/>
  <c r="B1104" i="2" s="1"/>
  <c r="L1248" i="2"/>
  <c r="K1248" i="2"/>
  <c r="B1248" i="2" s="1" a="1"/>
  <c r="B1248" i="2" s="1"/>
  <c r="H1248" i="2" s="1"/>
  <c r="I1248" i="2" s="1"/>
  <c r="N508" i="2"/>
  <c r="Y508" i="2"/>
  <c r="M508" i="2" s="1"/>
  <c r="N339" i="2"/>
  <c r="Y339" i="2"/>
  <c r="M339" i="2" s="1"/>
  <c r="Y699" i="2"/>
  <c r="M699" i="2" s="1"/>
  <c r="N699" i="2"/>
  <c r="N771" i="2"/>
  <c r="Y771" i="2"/>
  <c r="M771" i="2" s="1"/>
  <c r="Y634" i="2"/>
  <c r="M634" i="2" s="1"/>
  <c r="N634" i="2"/>
  <c r="L1085" i="2"/>
  <c r="K1085" i="2"/>
  <c r="B1085" i="2" s="1" a="1"/>
  <c r="B1085" i="2" s="1"/>
  <c r="L1012" i="2"/>
  <c r="L1140" i="2"/>
  <c r="K1140" i="2"/>
  <c r="B1140" i="2" s="1" a="1"/>
  <c r="B1140" i="2" s="1"/>
  <c r="H1140" i="2" s="1"/>
  <c r="L128" i="2"/>
  <c r="K128" i="2"/>
  <c r="B128" i="2" s="1" a="1"/>
  <c r="B128" i="2" s="1"/>
  <c r="Y358" i="2"/>
  <c r="M358" i="2" s="1"/>
  <c r="N358" i="2"/>
  <c r="N828" i="2"/>
  <c r="Y828" i="2"/>
  <c r="M828" i="2" s="1"/>
  <c r="N1237" i="2"/>
  <c r="Y1237" i="2"/>
  <c r="M1237" i="2" s="1"/>
  <c r="Y1224" i="2"/>
  <c r="M1224" i="2" s="1"/>
  <c r="N1224" i="2"/>
  <c r="Y1266" i="2"/>
  <c r="M1266" i="2" s="1"/>
  <c r="N1266" i="2"/>
  <c r="N1235" i="2"/>
  <c r="Y1235" i="2"/>
  <c r="M1235" i="2" s="1"/>
  <c r="N590" i="2"/>
  <c r="Y590" i="2"/>
  <c r="M590" i="2" s="1"/>
  <c r="Y79" i="2"/>
  <c r="M79" i="2" s="1"/>
  <c r="N79" i="2"/>
  <c r="Y298" i="2"/>
  <c r="M298" i="2" s="1"/>
  <c r="N298" i="2"/>
  <c r="N781" i="2"/>
  <c r="Y781" i="2"/>
  <c r="M781" i="2" s="1"/>
  <c r="N859" i="2"/>
  <c r="Y859" i="2"/>
  <c r="M859" i="2" s="1"/>
  <c r="Y664" i="2"/>
  <c r="M664" i="2" s="1"/>
  <c r="N664" i="2"/>
  <c r="N728" i="2"/>
  <c r="Y728" i="2"/>
  <c r="M728" i="2" s="1"/>
  <c r="Y1081" i="2"/>
  <c r="M1081" i="2" s="1"/>
  <c r="N1081" i="2"/>
  <c r="Y975" i="2"/>
  <c r="M975" i="2" s="1"/>
  <c r="N975" i="2"/>
  <c r="N382" i="2"/>
  <c r="Y382" i="2"/>
  <c r="M382" i="2" s="1"/>
  <c r="N476" i="2"/>
  <c r="Y476" i="2"/>
  <c r="M476" i="2" s="1"/>
  <c r="N1178" i="2"/>
  <c r="Y1178" i="2"/>
  <c r="M1178" i="2" s="1"/>
  <c r="Y1098" i="2"/>
  <c r="M1098" i="2" s="1"/>
  <c r="N1098" i="2"/>
  <c r="N1008" i="2"/>
  <c r="Y1008" i="2"/>
  <c r="M1008" i="2" s="1"/>
  <c r="Y576" i="2"/>
  <c r="M576" i="2" s="1"/>
  <c r="N576" i="2"/>
  <c r="Y1240" i="2"/>
  <c r="M1240" i="2" s="1"/>
  <c r="N1240" i="2"/>
  <c r="N232" i="2"/>
  <c r="Y232" i="2"/>
  <c r="M232" i="2" s="1"/>
  <c r="N1012" i="2"/>
  <c r="Y1012" i="2"/>
  <c r="M1012" i="2" s="1"/>
  <c r="N713" i="2"/>
  <c r="Y713" i="2"/>
  <c r="M713" i="2" s="1"/>
  <c r="Y1229" i="2"/>
  <c r="M1229" i="2" s="1"/>
  <c r="N1229" i="2"/>
  <c r="Y1084" i="2"/>
  <c r="M1084" i="2" s="1"/>
  <c r="N1084" i="2"/>
  <c r="Y1179" i="2"/>
  <c r="M1179" i="2" s="1"/>
  <c r="N1179" i="2"/>
  <c r="Y1112" i="2"/>
  <c r="M1112" i="2" s="1"/>
  <c r="N1112" i="2"/>
  <c r="N1203" i="2"/>
  <c r="Y1203" i="2"/>
  <c r="M1203" i="2" s="1"/>
  <c r="N429" i="2"/>
  <c r="Y429" i="2"/>
  <c r="M429" i="2" s="1"/>
  <c r="Y727" i="2"/>
  <c r="M727" i="2" s="1"/>
  <c r="N727" i="2"/>
  <c r="N354" i="2"/>
  <c r="Y354" i="2"/>
  <c r="M354" i="2" s="1"/>
  <c r="N465" i="2"/>
  <c r="Y465" i="2"/>
  <c r="M465" i="2" s="1"/>
  <c r="Y589" i="2"/>
  <c r="M589" i="2" s="1"/>
  <c r="N589" i="2"/>
  <c r="N98" i="2"/>
  <c r="Y98" i="2"/>
  <c r="M98" i="2" s="1"/>
  <c r="Y398" i="2"/>
  <c r="M398" i="2" s="1"/>
  <c r="N398" i="2"/>
  <c r="Y677" i="2"/>
  <c r="M677" i="2" s="1"/>
  <c r="N677" i="2"/>
  <c r="Y1211" i="2"/>
  <c r="M1211" i="2" s="1"/>
  <c r="N1211" i="2"/>
  <c r="N263" i="2"/>
  <c r="Y263" i="2"/>
  <c r="M263" i="2" s="1"/>
  <c r="Y1273" i="2"/>
  <c r="M1273" i="2" s="1"/>
  <c r="N1273" i="2"/>
  <c r="N524" i="2"/>
  <c r="Y524" i="2"/>
  <c r="M524" i="2" s="1"/>
  <c r="N163" i="2"/>
  <c r="Y163" i="2"/>
  <c r="M163" i="2" s="1"/>
  <c r="Y57" i="2"/>
  <c r="M57" i="2" s="1"/>
  <c r="N57" i="2"/>
  <c r="N66" i="2"/>
  <c r="Y66" i="2"/>
  <c r="M66" i="2" s="1"/>
  <c r="N609" i="2"/>
  <c r="Y609" i="2"/>
  <c r="M609" i="2" s="1"/>
  <c r="Y597" i="2"/>
  <c r="M597" i="2" s="1"/>
  <c r="N597" i="2"/>
  <c r="Y1030" i="2"/>
  <c r="M1030" i="2" s="1"/>
  <c r="N1030" i="2"/>
  <c r="N599" i="2"/>
  <c r="Y599" i="2"/>
  <c r="M599" i="2" s="1"/>
  <c r="N554" i="2"/>
  <c r="Y554" i="2"/>
  <c r="M554" i="2" s="1"/>
  <c r="Y433" i="2"/>
  <c r="M433" i="2" s="1"/>
  <c r="N433" i="2"/>
  <c r="Y1015" i="2"/>
  <c r="M1015" i="2" s="1"/>
  <c r="N1015" i="2"/>
  <c r="N808" i="2"/>
  <c r="Y808" i="2"/>
  <c r="M808" i="2" s="1"/>
  <c r="N552" i="2"/>
  <c r="Y552" i="2"/>
  <c r="M552" i="2" s="1"/>
  <c r="Y1073" i="2"/>
  <c r="M1073" i="2" s="1"/>
  <c r="N1073" i="2"/>
  <c r="N308" i="2"/>
  <c r="Y308" i="2"/>
  <c r="M308" i="2" s="1"/>
  <c r="Y516" i="2"/>
  <c r="M516" i="2" s="1"/>
  <c r="N516" i="2"/>
  <c r="Y225" i="2"/>
  <c r="M225" i="2" s="1"/>
  <c r="N225" i="2"/>
  <c r="N631" i="2"/>
  <c r="Y631" i="2"/>
  <c r="M631" i="2" s="1"/>
  <c r="N1197" i="2"/>
  <c r="Y1197" i="2"/>
  <c r="M1197" i="2" s="1"/>
  <c r="N968" i="2"/>
  <c r="Y968" i="2"/>
  <c r="M968" i="2" s="1"/>
  <c r="N1127" i="2"/>
  <c r="Y1127" i="2"/>
  <c r="M1127" i="2" s="1"/>
  <c r="N1123" i="2"/>
  <c r="Y1123" i="2"/>
  <c r="M1123" i="2" s="1"/>
  <c r="Y1099" i="2"/>
  <c r="M1099" i="2" s="1"/>
  <c r="N1099" i="2"/>
  <c r="N955" i="2"/>
  <c r="Y955" i="2"/>
  <c r="M955" i="2" s="1"/>
  <c r="Y1190" i="2"/>
  <c r="M1190" i="2" s="1"/>
  <c r="N1190" i="2"/>
  <c r="Y1191" i="2"/>
  <c r="M1191" i="2" s="1"/>
  <c r="N1191" i="2"/>
  <c r="Y362" i="2"/>
  <c r="M362" i="2" s="1"/>
  <c r="N362" i="2"/>
  <c r="Y373" i="2"/>
  <c r="M373" i="2" s="1"/>
  <c r="N373" i="2"/>
  <c r="N166" i="2"/>
  <c r="Y166" i="2"/>
  <c r="M166" i="2" s="1"/>
  <c r="N831" i="2"/>
  <c r="Y831" i="2"/>
  <c r="M831" i="2" s="1"/>
  <c r="N288" i="2"/>
  <c r="Y288" i="2"/>
  <c r="M288" i="2" s="1"/>
  <c r="Y379" i="2"/>
  <c r="M379" i="2" s="1"/>
  <c r="N379" i="2"/>
  <c r="N370" i="2"/>
  <c r="Y370" i="2"/>
  <c r="M370" i="2" s="1"/>
  <c r="N606" i="2"/>
  <c r="Y606" i="2"/>
  <c r="M606" i="2" s="1"/>
  <c r="Y905" i="2"/>
  <c r="M905" i="2" s="1"/>
  <c r="N905" i="2"/>
  <c r="N143" i="2"/>
  <c r="Y143" i="2"/>
  <c r="M143" i="2" s="1"/>
  <c r="N223" i="2"/>
  <c r="Y223" i="2"/>
  <c r="M223" i="2" s="1"/>
  <c r="N897" i="2"/>
  <c r="Y897" i="2"/>
  <c r="M897" i="2" s="1"/>
  <c r="N249" i="2"/>
  <c r="Y249" i="2"/>
  <c r="M249" i="2" s="1"/>
  <c r="N181" i="2"/>
  <c r="Y181" i="2"/>
  <c r="M181" i="2" s="1"/>
  <c r="N159" i="2"/>
  <c r="Y159" i="2"/>
  <c r="M159" i="2" s="1"/>
  <c r="Y91" i="2"/>
  <c r="M91" i="2" s="1"/>
  <c r="N91" i="2"/>
  <c r="Y106" i="2"/>
  <c r="M106" i="2" s="1"/>
  <c r="N106" i="2"/>
  <c r="N99" i="2"/>
  <c r="Y99" i="2"/>
  <c r="M99" i="2" s="1"/>
  <c r="N60" i="2"/>
  <c r="Y60" i="2"/>
  <c r="M60" i="2" s="1"/>
  <c r="N218" i="2"/>
  <c r="Y218" i="2"/>
  <c r="M218" i="2" s="1"/>
  <c r="Y242" i="2"/>
  <c r="M242" i="2" s="1"/>
  <c r="N242" i="2"/>
  <c r="N957" i="2"/>
  <c r="Y957" i="2"/>
  <c r="M957" i="2" s="1"/>
  <c r="N708" i="2"/>
  <c r="Y708" i="2"/>
  <c r="M708" i="2" s="1"/>
  <c r="Y502" i="2"/>
  <c r="M502" i="2" s="1"/>
  <c r="N502" i="2"/>
  <c r="Y404" i="2"/>
  <c r="M404" i="2" s="1"/>
  <c r="N404" i="2"/>
  <c r="N765" i="2"/>
  <c r="Y765" i="2"/>
  <c r="M765" i="2" s="1"/>
  <c r="N751" i="2"/>
  <c r="Y751" i="2"/>
  <c r="M751" i="2" s="1"/>
  <c r="N149" i="2"/>
  <c r="Y149" i="2"/>
  <c r="M149" i="2" s="1"/>
  <c r="N1068" i="2"/>
  <c r="Y1068" i="2"/>
  <c r="M1068" i="2" s="1"/>
  <c r="N570" i="2"/>
  <c r="Y570" i="2"/>
  <c r="M570" i="2" s="1"/>
  <c r="Y965" i="2"/>
  <c r="M965" i="2" s="1"/>
  <c r="N965" i="2"/>
  <c r="N1128" i="2"/>
  <c r="Y1128" i="2"/>
  <c r="M1128" i="2" s="1"/>
  <c r="N175" i="2"/>
  <c r="Y175" i="2"/>
  <c r="M175" i="2" s="1"/>
  <c r="Y1167" i="2"/>
  <c r="M1167" i="2" s="1"/>
  <c r="N1167" i="2"/>
  <c r="N626" i="2"/>
  <c r="Y626" i="2"/>
  <c r="M626" i="2" s="1"/>
  <c r="N650" i="2"/>
  <c r="Y650" i="2"/>
  <c r="M650" i="2" s="1"/>
  <c r="Y940" i="2"/>
  <c r="M940" i="2" s="1"/>
  <c r="N940" i="2"/>
  <c r="N556" i="2"/>
  <c r="Y556" i="2"/>
  <c r="M556" i="2" s="1"/>
  <c r="Y1017" i="2"/>
  <c r="M1017" i="2" s="1"/>
  <c r="N1017" i="2"/>
  <c r="N630" i="2"/>
  <c r="Y630" i="2"/>
  <c r="M630" i="2" s="1"/>
  <c r="Y280" i="2"/>
  <c r="M280" i="2" s="1"/>
  <c r="N280" i="2"/>
  <c r="N332" i="2"/>
  <c r="Y332" i="2"/>
  <c r="M332" i="2" s="1"/>
  <c r="N1031" i="2"/>
  <c r="Y1031" i="2"/>
  <c r="M1031" i="2" s="1"/>
  <c r="N192" i="2"/>
  <c r="Y192" i="2"/>
  <c r="M192" i="2" s="1"/>
  <c r="N806" i="2"/>
  <c r="Y806" i="2"/>
  <c r="M806" i="2" s="1"/>
  <c r="Y1139" i="2"/>
  <c r="M1139" i="2" s="1"/>
  <c r="N1139" i="2"/>
  <c r="Y918" i="2"/>
  <c r="M918" i="2" s="1"/>
  <c r="N918" i="2"/>
  <c r="N944" i="2"/>
  <c r="Y944" i="2"/>
  <c r="M944" i="2" s="1"/>
  <c r="Y1083" i="2"/>
  <c r="M1083" i="2" s="1"/>
  <c r="N1083" i="2"/>
  <c r="Y928" i="2"/>
  <c r="M928" i="2" s="1"/>
  <c r="N928" i="2"/>
  <c r="Y1100" i="2"/>
  <c r="M1100" i="2" s="1"/>
  <c r="N1100" i="2"/>
  <c r="Y1101" i="2"/>
  <c r="M1101" i="2" s="1"/>
  <c r="N1101" i="2"/>
  <c r="Y1193" i="2"/>
  <c r="M1193" i="2" s="1"/>
  <c r="N1193" i="2"/>
  <c r="N956" i="2"/>
  <c r="Y956" i="2"/>
  <c r="M956" i="2" s="1"/>
  <c r="Y1114" i="2"/>
  <c r="M1114" i="2" s="1"/>
  <c r="N1114" i="2"/>
  <c r="Y1205" i="2"/>
  <c r="M1205" i="2" s="1"/>
  <c r="N1205" i="2"/>
  <c r="Y1204" i="2"/>
  <c r="M1204" i="2" s="1"/>
  <c r="N1204" i="2"/>
  <c r="N903" i="2"/>
  <c r="Y903" i="2"/>
  <c r="M903" i="2" s="1"/>
  <c r="N304" i="2"/>
  <c r="Y304" i="2"/>
  <c r="M304" i="2" s="1"/>
  <c r="N349" i="2"/>
  <c r="Y349" i="2"/>
  <c r="M349" i="2" s="1"/>
  <c r="Y774" i="2"/>
  <c r="M774" i="2" s="1"/>
  <c r="N774" i="2"/>
  <c r="Y74" i="2"/>
  <c r="M74" i="2" s="1"/>
  <c r="N74" i="2"/>
  <c r="Y645" i="2"/>
  <c r="M645" i="2" s="1"/>
  <c r="N645" i="2"/>
  <c r="Y758" i="2"/>
  <c r="M758" i="2" s="1"/>
  <c r="N758" i="2"/>
  <c r="N325" i="2"/>
  <c r="Y325" i="2"/>
  <c r="M325" i="2" s="1"/>
  <c r="N268" i="2"/>
  <c r="Y268" i="2"/>
  <c r="M268" i="2" s="1"/>
  <c r="Y405" i="2"/>
  <c r="M405" i="2" s="1"/>
  <c r="N405" i="2"/>
  <c r="N365" i="2"/>
  <c r="Y365" i="2"/>
  <c r="M365" i="2" s="1"/>
  <c r="N829" i="2"/>
  <c r="Y829" i="2"/>
  <c r="M829" i="2" s="1"/>
  <c r="Y265" i="2"/>
  <c r="M265" i="2" s="1"/>
  <c r="N265" i="2"/>
  <c r="N482" i="2"/>
  <c r="Y482" i="2"/>
  <c r="M482" i="2" s="1"/>
  <c r="Y550" i="2"/>
  <c r="M550" i="2" s="1"/>
  <c r="N550" i="2"/>
  <c r="Y107" i="2"/>
  <c r="M107" i="2" s="1"/>
  <c r="N107" i="2"/>
  <c r="Y21" i="2"/>
  <c r="M21" i="2" s="1"/>
  <c r="N21" i="2"/>
  <c r="N110" i="2"/>
  <c r="Y110" i="2"/>
  <c r="M110" i="2" s="1"/>
  <c r="Y15" i="2"/>
  <c r="M15" i="2" s="1"/>
  <c r="N15" i="2"/>
  <c r="N95" i="2"/>
  <c r="Y95" i="2"/>
  <c r="M95" i="2" s="1"/>
  <c r="N195" i="2"/>
  <c r="Y195" i="2"/>
  <c r="M195" i="2" s="1"/>
  <c r="N295" i="2"/>
  <c r="Y295" i="2"/>
  <c r="M295" i="2" s="1"/>
  <c r="N494" i="2"/>
  <c r="Y494" i="2"/>
  <c r="M494" i="2" s="1"/>
  <c r="Y644" i="2"/>
  <c r="M644" i="2" s="1"/>
  <c r="N644" i="2"/>
  <c r="Y733" i="2"/>
  <c r="M733" i="2" s="1"/>
  <c r="N733" i="2"/>
  <c r="Y865" i="2"/>
  <c r="M865" i="2" s="1"/>
  <c r="N865" i="2"/>
  <c r="Y901" i="2"/>
  <c r="M901" i="2" s="1"/>
  <c r="N901" i="2"/>
  <c r="N969" i="2"/>
  <c r="Y969" i="2"/>
  <c r="M969" i="2" s="1"/>
  <c r="Y1151" i="2"/>
  <c r="M1151" i="2" s="1"/>
  <c r="N1151" i="2"/>
  <c r="N1208" i="2"/>
  <c r="Y1208" i="2"/>
  <c r="M1208" i="2" s="1"/>
  <c r="N1271" i="2"/>
  <c r="Y1271" i="2"/>
  <c r="M1271" i="2" s="1"/>
  <c r="L675" i="2"/>
  <c r="K675" i="2"/>
  <c r="B675" i="2" s="1" a="1"/>
  <c r="B675" i="2" s="1"/>
  <c r="L84" i="2"/>
  <c r="K84" i="2"/>
  <c r="B84" i="2" s="1" a="1"/>
  <c r="B84" i="2" s="1"/>
  <c r="L201" i="2"/>
  <c r="L239" i="2"/>
  <c r="K239" i="2"/>
  <c r="B239" i="2" s="1" a="1"/>
  <c r="B239" i="2" s="1"/>
  <c r="H239" i="2" s="1"/>
  <c r="L720" i="2"/>
  <c r="L757" i="2"/>
  <c r="K757" i="2"/>
  <c r="B757" i="2" s="1" a="1"/>
  <c r="B757" i="2" s="1"/>
  <c r="L1032" i="2"/>
  <c r="L1044" i="2"/>
  <c r="K1044" i="2"/>
  <c r="B1044" i="2" s="1" a="1"/>
  <c r="B1044" i="2" s="1"/>
  <c r="L164" i="2"/>
  <c r="K164" i="2"/>
  <c r="B164" i="2" s="1" a="1"/>
  <c r="B164" i="2" s="1"/>
  <c r="L996" i="2"/>
  <c r="L353" i="2"/>
  <c r="K353" i="2"/>
  <c r="B353" i="2" s="1" a="1"/>
  <c r="B353" i="2" s="1"/>
  <c r="K912" i="2"/>
  <c r="L912" i="2"/>
  <c r="L1133" i="2"/>
  <c r="K1133" i="2"/>
  <c r="B1133" i="2" s="1" a="1"/>
  <c r="B1133" i="2" s="1"/>
  <c r="L770" i="2"/>
  <c r="L951" i="2"/>
  <c r="K951" i="2"/>
  <c r="B951" i="2" s="1" a="1"/>
  <c r="B951" i="2" s="1"/>
  <c r="H951" i="2" s="1"/>
  <c r="L893" i="2"/>
  <c r="L328" i="2"/>
  <c r="K328" i="2"/>
  <c r="B328" i="2" s="1" a="1"/>
  <c r="B328" i="2" s="1"/>
  <c r="K888" i="2"/>
  <c r="L888" i="2"/>
  <c r="L237" i="2"/>
  <c r="K237" i="2"/>
  <c r="B237" i="2" s="1" a="1"/>
  <c r="B237" i="2" s="1"/>
  <c r="L1115" i="2"/>
  <c r="K1115" i="2"/>
  <c r="B1115" i="2" s="1" a="1"/>
  <c r="B1115" i="2" s="1"/>
  <c r="H1115" i="2" s="1"/>
  <c r="L405" i="2"/>
  <c r="K405" i="2"/>
  <c r="B405" i="2" s="1" a="1"/>
  <c r="B405" i="2" s="1"/>
  <c r="L787" i="2"/>
  <c r="L457" i="2"/>
  <c r="K457" i="2"/>
  <c r="B457" i="2" s="1" a="1"/>
  <c r="B457" i="2" s="1"/>
  <c r="H457" i="2" s="1"/>
  <c r="L204" i="2"/>
  <c r="K204" i="2"/>
  <c r="B204" i="2" s="1" a="1"/>
  <c r="B204" i="2" s="1"/>
  <c r="L282" i="2"/>
  <c r="K282" i="2"/>
  <c r="L1038" i="2"/>
  <c r="K1038" i="2"/>
  <c r="B1038" i="2" s="1" a="1"/>
  <c r="B1038" i="2" s="1"/>
  <c r="L428" i="2"/>
  <c r="K428" i="2"/>
  <c r="B428" i="2" s="1" a="1"/>
  <c r="B428" i="2" s="1"/>
  <c r="K461" i="2"/>
  <c r="L461" i="2"/>
  <c r="L1111" i="2"/>
  <c r="L632" i="2"/>
  <c r="K632" i="2"/>
  <c r="B632" i="2" s="1" a="1"/>
  <c r="B632" i="2" s="1"/>
  <c r="L1156" i="2"/>
  <c r="K1156" i="2"/>
  <c r="B1156" i="2" s="1" a="1"/>
  <c r="B1156" i="2" s="1"/>
  <c r="H1156" i="2" s="1"/>
  <c r="L266" i="2"/>
  <c r="K266" i="2"/>
  <c r="B266" i="2" s="1" a="1"/>
  <c r="B266" i="2" s="1"/>
  <c r="K658" i="2"/>
  <c r="L658" i="2"/>
  <c r="K523" i="2"/>
  <c r="L523" i="2"/>
  <c r="L868" i="2"/>
  <c r="L1205" i="2"/>
  <c r="K1205" i="2"/>
  <c r="B1205" i="2" s="1" a="1"/>
  <c r="B1205" i="2" s="1"/>
  <c r="H1205" i="2" s="1"/>
  <c r="L482" i="2"/>
  <c r="L922" i="2"/>
  <c r="K922" i="2"/>
  <c r="B922" i="2" s="1" a="1"/>
  <c r="B922" i="2" s="1"/>
  <c r="L637" i="2"/>
  <c r="K637" i="2"/>
  <c r="B637" i="2" s="1" a="1"/>
  <c r="B637" i="2" s="1"/>
  <c r="H637" i="2" s="1"/>
  <c r="L545" i="2"/>
  <c r="K545" i="2"/>
  <c r="B545" i="2" s="1" a="1"/>
  <c r="B545" i="2" s="1"/>
  <c r="L923" i="2"/>
  <c r="K923" i="2"/>
  <c r="B923" i="2" s="1" a="1"/>
  <c r="B923" i="2" s="1"/>
  <c r="L1118" i="2"/>
  <c r="K1118" i="2"/>
  <c r="L1191" i="2"/>
  <c r="K1191" i="2"/>
  <c r="L885" i="2"/>
  <c r="K885" i="2"/>
  <c r="B885" i="2" s="1" a="1"/>
  <c r="B885" i="2" s="1"/>
  <c r="L866" i="2"/>
  <c r="K866" i="2"/>
  <c r="B866" i="2" s="1" a="1"/>
  <c r="B866" i="2" s="1"/>
  <c r="K1182" i="2"/>
  <c r="L1182" i="2"/>
  <c r="L153" i="2"/>
  <c r="K153" i="2"/>
  <c r="B153" i="2" s="1" a="1"/>
  <c r="B153" i="2" s="1"/>
  <c r="H153" i="2" s="1"/>
  <c r="L89" i="2"/>
  <c r="K89" i="2"/>
  <c r="B89" i="2" s="1" a="1"/>
  <c r="B89" i="2" s="1"/>
  <c r="L1139" i="2"/>
  <c r="K1139" i="2"/>
  <c r="B1139" i="2" s="1" a="1"/>
  <c r="B1139" i="2" s="1"/>
  <c r="L738" i="2"/>
  <c r="K738" i="2"/>
  <c r="B738" i="2" s="1" a="1"/>
  <c r="B738" i="2" s="1"/>
  <c r="L330" i="2"/>
  <c r="K330" i="2"/>
  <c r="B330" i="2" s="1" a="1"/>
  <c r="B330" i="2" s="1"/>
  <c r="L317" i="2"/>
  <c r="L303" i="2"/>
  <c r="L419" i="2"/>
  <c r="L575" i="2"/>
  <c r="K575" i="2"/>
  <c r="B575" i="2" s="1" a="1"/>
  <c r="B575" i="2" s="1"/>
  <c r="H575" i="2" s="1"/>
  <c r="L661" i="2"/>
  <c r="K661" i="2"/>
  <c r="B661" i="2" s="1" a="1"/>
  <c r="B661" i="2" s="1"/>
  <c r="H661" i="2" s="1"/>
  <c r="L597" i="2"/>
  <c r="K597" i="2"/>
  <c r="K336" i="2"/>
  <c r="L336" i="2"/>
  <c r="L470" i="2"/>
  <c r="K470" i="2"/>
  <c r="B470" i="2" s="1" a="1"/>
  <c r="B470" i="2" s="1"/>
  <c r="L772" i="2"/>
  <c r="K772" i="2"/>
  <c r="B772" i="2" s="1" a="1"/>
  <c r="B772" i="2" s="1"/>
  <c r="L306" i="2"/>
  <c r="K306" i="2"/>
  <c r="B306" i="2" s="1" a="1"/>
  <c r="B306" i="2" s="1"/>
  <c r="L698" i="2"/>
  <c r="K698" i="2"/>
  <c r="B698" i="2" s="1" a="1"/>
  <c r="B698" i="2" s="1"/>
  <c r="K818" i="2"/>
  <c r="L818" i="2"/>
  <c r="L272" i="2"/>
  <c r="K272" i="2"/>
  <c r="B272" i="2" s="1" a="1"/>
  <c r="B272" i="2" s="1"/>
  <c r="L479" i="2"/>
  <c r="K479" i="2"/>
  <c r="B479" i="2" s="1" a="1"/>
  <c r="B479" i="2" s="1"/>
  <c r="K548" i="2"/>
  <c r="L548" i="2"/>
  <c r="L80" i="2"/>
  <c r="K80" i="2"/>
  <c r="K107" i="2"/>
  <c r="L107" i="2"/>
  <c r="L57" i="2"/>
  <c r="K57" i="2"/>
  <c r="B57" i="2" s="1" a="1"/>
  <c r="B57" i="2" s="1"/>
  <c r="L108" i="2"/>
  <c r="K108" i="2"/>
  <c r="L109" i="2"/>
  <c r="K109" i="2"/>
  <c r="B109" i="2" s="1" a="1"/>
  <c r="B109" i="2" s="1"/>
  <c r="L18" i="2"/>
  <c r="K18" i="2"/>
  <c r="L232" i="2"/>
  <c r="L277" i="2"/>
  <c r="K277" i="2"/>
  <c r="K532" i="2"/>
  <c r="L532" i="2"/>
  <c r="K792" i="2"/>
  <c r="L792" i="2"/>
  <c r="K931" i="2"/>
  <c r="L931" i="2"/>
  <c r="L1093" i="2"/>
  <c r="K1093" i="2"/>
  <c r="B1093" i="2" s="1" a="1"/>
  <c r="B1093" i="2" s="1"/>
  <c r="K1244" i="2"/>
  <c r="L1244" i="2"/>
  <c r="Y695" i="2"/>
  <c r="M695" i="2" s="1"/>
  <c r="N695" i="2"/>
  <c r="N541" i="2"/>
  <c r="Y541" i="2"/>
  <c r="M541" i="2" s="1"/>
  <c r="Y778" i="2"/>
  <c r="M778" i="2" s="1"/>
  <c r="N778" i="2"/>
  <c r="Y244" i="2"/>
  <c r="M244" i="2" s="1"/>
  <c r="N244" i="2"/>
  <c r="N472" i="2"/>
  <c r="Y472" i="2"/>
  <c r="M472" i="2" s="1"/>
  <c r="Y932" i="2"/>
  <c r="M932" i="2" s="1"/>
  <c r="N932" i="2"/>
  <c r="L798" i="2"/>
  <c r="L668" i="2"/>
  <c r="K668" i="2"/>
  <c r="B668" i="2" s="1" a="1"/>
  <c r="B668" i="2" s="1"/>
  <c r="H668" i="2" s="1"/>
  <c r="L1072" i="2"/>
  <c r="L667" i="2"/>
  <c r="K667" i="2"/>
  <c r="B667" i="2" s="1" a="1"/>
  <c r="B667" i="2" s="1"/>
  <c r="L1204" i="2"/>
  <c r="K1204" i="2"/>
  <c r="L1158" i="2"/>
  <c r="K1158" i="2"/>
  <c r="B1158" i="2" s="1" a="1"/>
  <c r="B1158" i="2" s="1"/>
  <c r="K269" i="2"/>
  <c r="L269" i="2"/>
  <c r="L762" i="2"/>
  <c r="L805" i="2"/>
  <c r="K805" i="2"/>
  <c r="B805" i="2" s="1" a="1"/>
  <c r="B805" i="2" s="1"/>
  <c r="N191" i="2"/>
  <c r="Y191" i="2"/>
  <c r="M191" i="2" s="1"/>
  <c r="N611" i="2"/>
  <c r="Y611" i="2"/>
  <c r="M611" i="2" s="1"/>
  <c r="Y1129" i="2"/>
  <c r="M1129" i="2" s="1"/>
  <c r="N1129" i="2"/>
  <c r="N1158" i="2"/>
  <c r="Y1158" i="2"/>
  <c r="M1158" i="2" s="1"/>
  <c r="Y989" i="2"/>
  <c r="M989" i="2" s="1"/>
  <c r="N989" i="2"/>
  <c r="Y548" i="2"/>
  <c r="M548" i="2" s="1"/>
  <c r="N548" i="2"/>
  <c r="N770" i="2"/>
  <c r="Y770" i="2"/>
  <c r="M770" i="2" s="1"/>
  <c r="N924" i="2"/>
  <c r="Y924" i="2"/>
  <c r="M924" i="2" s="1"/>
  <c r="N983" i="2"/>
  <c r="Y983" i="2"/>
  <c r="M983" i="2" s="1"/>
  <c r="Y896" i="2"/>
  <c r="M896" i="2" s="1"/>
  <c r="N896" i="2"/>
  <c r="Y1037" i="2"/>
  <c r="M1037" i="2" s="1"/>
  <c r="N1037" i="2"/>
  <c r="N310" i="2"/>
  <c r="Y310" i="2"/>
  <c r="M310" i="2" s="1"/>
  <c r="N112" i="2"/>
  <c r="Y112" i="2"/>
  <c r="M112" i="2" s="1"/>
  <c r="Y80" i="2"/>
  <c r="M80" i="2" s="1"/>
  <c r="N80" i="2"/>
  <c r="Y137" i="2"/>
  <c r="M137" i="2" s="1"/>
  <c r="N137" i="2"/>
  <c r="N824" i="2"/>
  <c r="Y824" i="2"/>
  <c r="M824" i="2" s="1"/>
  <c r="N65" i="2"/>
  <c r="Y65" i="2"/>
  <c r="M65" i="2" s="1"/>
  <c r="N71" i="2"/>
  <c r="Y71" i="2"/>
  <c r="M71" i="2" s="1"/>
  <c r="Y803" i="2"/>
  <c r="M803" i="2" s="1"/>
  <c r="N803" i="2"/>
  <c r="N89" i="2"/>
  <c r="Y89" i="2"/>
  <c r="M89" i="2" s="1"/>
  <c r="Y120" i="2"/>
  <c r="M120" i="2" s="1"/>
  <c r="N120" i="2"/>
  <c r="N86" i="2"/>
  <c r="Y86" i="2"/>
  <c r="M86" i="2" s="1"/>
  <c r="N499" i="2"/>
  <c r="Y499" i="2"/>
  <c r="M499" i="2" s="1"/>
  <c r="N117" i="2"/>
  <c r="Y117" i="2"/>
  <c r="M117" i="2" s="1"/>
  <c r="Y580" i="2"/>
  <c r="M580" i="2" s="1"/>
  <c r="N580" i="2"/>
  <c r="Y448" i="2"/>
  <c r="M448" i="2" s="1"/>
  <c r="N448" i="2"/>
  <c r="Y340" i="2"/>
  <c r="M340" i="2" s="1"/>
  <c r="N340" i="2"/>
  <c r="N880" i="2"/>
  <c r="Y880" i="2"/>
  <c r="M880" i="2" s="1"/>
  <c r="N906" i="2"/>
  <c r="Y906" i="2"/>
  <c r="M906" i="2" s="1"/>
  <c r="N796" i="2"/>
  <c r="Y796" i="2"/>
  <c r="M796" i="2" s="1"/>
  <c r="Y764" i="2"/>
  <c r="M764" i="2" s="1"/>
  <c r="N764" i="2"/>
  <c r="N236" i="2"/>
  <c r="Y236" i="2"/>
  <c r="M236" i="2" s="1"/>
  <c r="N1130" i="2"/>
  <c r="Y1130" i="2"/>
  <c r="M1130" i="2" s="1"/>
  <c r="Y121" i="2"/>
  <c r="M121" i="2" s="1"/>
  <c r="N121" i="2"/>
  <c r="N1170" i="2"/>
  <c r="Y1170" i="2"/>
  <c r="M1170" i="2" s="1"/>
  <c r="N705" i="2"/>
  <c r="Y705" i="2"/>
  <c r="M705" i="2" s="1"/>
  <c r="N415" i="2"/>
  <c r="Y415" i="2"/>
  <c r="M415" i="2" s="1"/>
  <c r="N963" i="2"/>
  <c r="Y963" i="2"/>
  <c r="M963" i="2" s="1"/>
  <c r="N235" i="2"/>
  <c r="Y235" i="2"/>
  <c r="M235" i="2" s="1"/>
  <c r="N902" i="2"/>
  <c r="Y902" i="2"/>
  <c r="M902" i="2" s="1"/>
  <c r="N849" i="2"/>
  <c r="Y849" i="2"/>
  <c r="M849" i="2" s="1"/>
  <c r="N174" i="2"/>
  <c r="Y174" i="2"/>
  <c r="M174" i="2" s="1"/>
  <c r="N995" i="2"/>
  <c r="Y995" i="2"/>
  <c r="M995" i="2" s="1"/>
  <c r="N101" i="2"/>
  <c r="Y101" i="2"/>
  <c r="M101" i="2" s="1"/>
  <c r="Y503" i="2"/>
  <c r="M503" i="2" s="1"/>
  <c r="N503" i="2"/>
  <c r="Y449" i="2"/>
  <c r="M449" i="2" s="1"/>
  <c r="N449" i="2"/>
  <c r="N1173" i="2"/>
  <c r="Y1173" i="2"/>
  <c r="M1173" i="2" s="1"/>
  <c r="Y666" i="2"/>
  <c r="M666" i="2" s="1"/>
  <c r="N666" i="2"/>
  <c r="Y1102" i="2"/>
  <c r="M1102" i="2" s="1"/>
  <c r="N1102" i="2"/>
  <c r="Y1051" i="2"/>
  <c r="M1051" i="2" s="1"/>
  <c r="N1051" i="2"/>
  <c r="N1267" i="2"/>
  <c r="Y1267" i="2"/>
  <c r="M1267" i="2" s="1"/>
  <c r="Y1159" i="2"/>
  <c r="M1159" i="2" s="1"/>
  <c r="N1159" i="2"/>
  <c r="N907" i="2"/>
  <c r="Y907" i="2"/>
  <c r="M907" i="2" s="1"/>
  <c r="N899" i="2"/>
  <c r="Y899" i="2"/>
  <c r="M899" i="2" s="1"/>
  <c r="N1046" i="2"/>
  <c r="Y1046" i="2"/>
  <c r="M1046" i="2" s="1"/>
  <c r="Y882" i="2"/>
  <c r="M882" i="2" s="1"/>
  <c r="N882" i="2"/>
  <c r="Y1092" i="2"/>
  <c r="M1092" i="2" s="1"/>
  <c r="N1092" i="2"/>
  <c r="Y1069" i="2"/>
  <c r="M1069" i="2" s="1"/>
  <c r="N1069" i="2"/>
  <c r="N1155" i="2"/>
  <c r="Y1155" i="2"/>
  <c r="M1155" i="2" s="1"/>
  <c r="Y838" i="2"/>
  <c r="M838" i="2" s="1"/>
  <c r="N838" i="2"/>
  <c r="Y997" i="2"/>
  <c r="M997" i="2" s="1"/>
  <c r="N997" i="2"/>
  <c r="Y1196" i="2"/>
  <c r="M1196" i="2" s="1"/>
  <c r="N1196" i="2"/>
  <c r="N1176" i="2"/>
  <c r="Y1176" i="2"/>
  <c r="M1176" i="2" s="1"/>
  <c r="N916" i="2"/>
  <c r="Y916" i="2"/>
  <c r="M916" i="2" s="1"/>
  <c r="Y317" i="2"/>
  <c r="M317" i="2" s="1"/>
  <c r="N317" i="2"/>
  <c r="Y334" i="2"/>
  <c r="M334" i="2" s="1"/>
  <c r="N334" i="2"/>
  <c r="Y790" i="2"/>
  <c r="M790" i="2" s="1"/>
  <c r="N790" i="2"/>
  <c r="Y817" i="2"/>
  <c r="M817" i="2" s="1"/>
  <c r="N817" i="2"/>
  <c r="Y603" i="2"/>
  <c r="M603" i="2" s="1"/>
  <c r="N603" i="2"/>
  <c r="Y747" i="2"/>
  <c r="M747" i="2" s="1"/>
  <c r="N747" i="2"/>
  <c r="N392" i="2"/>
  <c r="Y392" i="2"/>
  <c r="M392" i="2" s="1"/>
  <c r="Y300" i="2"/>
  <c r="M300" i="2" s="1"/>
  <c r="N300" i="2"/>
  <c r="Y273" i="2"/>
  <c r="M273" i="2" s="1"/>
  <c r="N273" i="2"/>
  <c r="Y323" i="2"/>
  <c r="M323" i="2" s="1"/>
  <c r="N323" i="2"/>
  <c r="N798" i="2"/>
  <c r="Y798" i="2"/>
  <c r="M798" i="2" s="1"/>
  <c r="N261" i="2"/>
  <c r="Y261" i="2"/>
  <c r="M261" i="2" s="1"/>
  <c r="Y422" i="2"/>
  <c r="M422" i="2" s="1"/>
  <c r="N422" i="2"/>
  <c r="N574" i="2"/>
  <c r="Y574" i="2"/>
  <c r="M574" i="2" s="1"/>
  <c r="Y32" i="2"/>
  <c r="M32" i="2" s="1"/>
  <c r="N32" i="2"/>
  <c r="N76" i="2"/>
  <c r="Y76" i="2"/>
  <c r="M76" i="2" s="1"/>
  <c r="N201" i="2"/>
  <c r="Y201" i="2"/>
  <c r="M201" i="2" s="1"/>
  <c r="Y18" i="2"/>
  <c r="M18" i="2" s="1"/>
  <c r="N18" i="2"/>
  <c r="N111" i="2"/>
  <c r="Y111" i="2"/>
  <c r="M111" i="2" s="1"/>
  <c r="N208" i="2"/>
  <c r="Y208" i="2"/>
  <c r="M208" i="2" s="1"/>
  <c r="N311" i="2"/>
  <c r="Y311" i="2"/>
  <c r="M311" i="2" s="1"/>
  <c r="N464" i="2"/>
  <c r="Y464" i="2"/>
  <c r="M464" i="2" s="1"/>
  <c r="N656" i="2"/>
  <c r="Y656" i="2"/>
  <c r="M656" i="2" s="1"/>
  <c r="N755" i="2"/>
  <c r="Y755" i="2"/>
  <c r="M755" i="2" s="1"/>
  <c r="N813" i="2"/>
  <c r="Y813" i="2"/>
  <c r="M813" i="2" s="1"/>
  <c r="Y933" i="2"/>
  <c r="M933" i="2" s="1"/>
  <c r="N933" i="2"/>
  <c r="N992" i="2"/>
  <c r="Y992" i="2"/>
  <c r="M992" i="2" s="1"/>
  <c r="N1143" i="2"/>
  <c r="Y1143" i="2"/>
  <c r="M1143" i="2" s="1"/>
  <c r="Y1209" i="2"/>
  <c r="M1209" i="2" s="1"/>
  <c r="N1209" i="2"/>
  <c r="N1269" i="2"/>
  <c r="Y1269" i="2"/>
  <c r="M1269" i="2" s="1"/>
  <c r="L430" i="2"/>
  <c r="L48" i="2"/>
  <c r="L494" i="2"/>
  <c r="K494" i="2"/>
  <c r="B494" i="2" s="1" a="1"/>
  <c r="B494" i="2" s="1"/>
  <c r="H494" i="2" s="1"/>
  <c r="L522" i="2"/>
  <c r="K522" i="2"/>
  <c r="B522" i="2" s="1" a="1"/>
  <c r="B522" i="2" s="1"/>
  <c r="H522" i="2" s="1"/>
  <c r="L147" i="2"/>
  <c r="H29" i="9" s="1" a="1"/>
  <c r="K147" i="2"/>
  <c r="L101" i="2"/>
  <c r="K101" i="2"/>
  <c r="B101" i="2" s="1" a="1"/>
  <c r="B101" i="2" s="1"/>
  <c r="L1082" i="2"/>
  <c r="L1229" i="2"/>
  <c r="L666" i="2"/>
  <c r="K666" i="2"/>
  <c r="B666" i="2" s="1" a="1"/>
  <c r="B666" i="2" s="1"/>
  <c r="H666" i="2" s="1"/>
  <c r="K1060" i="2"/>
  <c r="L1060" i="2"/>
  <c r="L538" i="2"/>
  <c r="K538" i="2"/>
  <c r="B538" i="2" s="1" a="1"/>
  <c r="B538" i="2" s="1"/>
  <c r="H538" i="2" s="1"/>
  <c r="K1009" i="2"/>
  <c r="L1009" i="2"/>
  <c r="L369" i="2"/>
  <c r="K369" i="2"/>
  <c r="B369" i="2" s="1" a="1"/>
  <c r="B369" i="2" s="1"/>
  <c r="L629" i="2"/>
  <c r="K629" i="2"/>
  <c r="B629" i="2" s="1" a="1"/>
  <c r="B629" i="2" s="1"/>
  <c r="L1132" i="2"/>
  <c r="K1083" i="2"/>
  <c r="L1083" i="2"/>
  <c r="L445" i="2"/>
  <c r="K445" i="2"/>
  <c r="B445" i="2" s="1" a="1"/>
  <c r="B445" i="2" s="1"/>
  <c r="K978" i="2"/>
  <c r="L978" i="2"/>
  <c r="L417" i="2"/>
  <c r="K417" i="2"/>
  <c r="B417" i="2" s="1" a="1"/>
  <c r="B417" i="2" s="1"/>
  <c r="H417" i="2" s="1"/>
  <c r="L1146" i="2"/>
  <c r="K1146" i="2"/>
  <c r="B1146" i="2" s="1" a="1"/>
  <c r="B1146" i="2" s="1"/>
  <c r="L674" i="2"/>
  <c r="L876" i="2"/>
  <c r="K876" i="2"/>
  <c r="B876" i="2" s="1" a="1"/>
  <c r="B876" i="2" s="1"/>
  <c r="L515" i="2"/>
  <c r="L1270" i="2"/>
  <c r="K1270" i="2"/>
  <c r="B1270" i="2" s="1" a="1"/>
  <c r="B1270" i="2" s="1"/>
  <c r="H1270" i="2" s="1"/>
  <c r="L650" i="2"/>
  <c r="L1171" i="2"/>
  <c r="L165" i="2"/>
  <c r="K165" i="2"/>
  <c r="B165" i="2" s="1" a="1"/>
  <c r="B165" i="2" s="1"/>
  <c r="H165" i="2" s="1"/>
  <c r="L372" i="2"/>
  <c r="K372" i="2"/>
  <c r="B372" i="2" s="1" a="1"/>
  <c r="B372" i="2" s="1"/>
  <c r="K980" i="2"/>
  <c r="L980" i="2"/>
  <c r="L512" i="2"/>
  <c r="L278" i="2"/>
  <c r="K278" i="2"/>
  <c r="B278" i="2" s="1" a="1"/>
  <c r="B278" i="2" s="1"/>
  <c r="L577" i="2"/>
  <c r="K577" i="2"/>
  <c r="B577" i="2" s="1" a="1"/>
  <c r="B577" i="2" s="1"/>
  <c r="H577" i="2" s="1"/>
  <c r="L871" i="2"/>
  <c r="K871" i="2"/>
  <c r="B871" i="2" s="1" a="1"/>
  <c r="B871" i="2" s="1"/>
  <c r="H871" i="2" s="1"/>
  <c r="I871" i="2" s="1"/>
  <c r="K338" i="2"/>
  <c r="L338" i="2"/>
  <c r="L1255" i="2"/>
  <c r="K1255" i="2"/>
  <c r="B1255" i="2" s="1" a="1"/>
  <c r="B1255" i="2" s="1"/>
  <c r="H1255" i="2" s="1"/>
  <c r="L1176" i="2"/>
  <c r="K1176" i="2"/>
  <c r="B1176" i="2" s="1" a="1"/>
  <c r="B1176" i="2" s="1"/>
  <c r="H1176" i="2" s="1"/>
  <c r="K171" i="2"/>
  <c r="L171" i="2"/>
  <c r="L1261" i="2"/>
  <c r="L511" i="2"/>
  <c r="L502" i="2"/>
  <c r="K502" i="2"/>
  <c r="B502" i="2" s="1" a="1"/>
  <c r="B502" i="2" s="1"/>
  <c r="H502" i="2" s="1"/>
  <c r="L898" i="2"/>
  <c r="K898" i="2"/>
  <c r="B898" i="2" s="1" a="1"/>
  <c r="B898" i="2" s="1"/>
  <c r="L1107" i="2"/>
  <c r="K1107" i="2"/>
  <c r="B1107" i="2" s="1" a="1"/>
  <c r="B1107" i="2" s="1"/>
  <c r="K1160" i="2"/>
  <c r="L1160" i="2"/>
  <c r="L911" i="2"/>
  <c r="K911" i="2"/>
  <c r="B911" i="2" s="1" a="1"/>
  <c r="B911" i="2" s="1"/>
  <c r="H911" i="2" s="1"/>
  <c r="L819" i="2"/>
  <c r="K819" i="2"/>
  <c r="B819" i="2" s="1" a="1"/>
  <c r="B819" i="2" s="1"/>
  <c r="L1084" i="2"/>
  <c r="K1084" i="2"/>
  <c r="L1265" i="2"/>
  <c r="K1265" i="2"/>
  <c r="B1265" i="2" s="1" a="1"/>
  <c r="B1265" i="2" s="1"/>
  <c r="H1265" i="2" s="1"/>
  <c r="L1262" i="2"/>
  <c r="K1262" i="2"/>
  <c r="B1262" i="2" s="1" a="1"/>
  <c r="B1262" i="2" s="1"/>
  <c r="H1262" i="2" s="1"/>
  <c r="I1262" i="2" s="1"/>
  <c r="L1119" i="2"/>
  <c r="K1119" i="2"/>
  <c r="B1119" i="2" s="1" a="1"/>
  <c r="B1119" i="2" s="1"/>
  <c r="L765" i="2"/>
  <c r="K765" i="2"/>
  <c r="B765" i="2" s="1" a="1"/>
  <c r="B765" i="2" s="1"/>
  <c r="L169" i="2"/>
  <c r="K169" i="2"/>
  <c r="B169" i="2" s="1" a="1"/>
  <c r="B169" i="2" s="1"/>
  <c r="H169" i="2" s="1"/>
  <c r="L213" i="2"/>
  <c r="K329" i="2"/>
  <c r="L329" i="2"/>
  <c r="L359" i="2"/>
  <c r="K359" i="2"/>
  <c r="B359" i="2" s="1" a="1"/>
  <c r="B359" i="2" s="1"/>
  <c r="L562" i="2"/>
  <c r="K562" i="2"/>
  <c r="B562" i="2" s="1" a="1"/>
  <c r="B562" i="2" s="1"/>
  <c r="H562" i="2" s="1"/>
  <c r="L572" i="2"/>
  <c r="L617" i="2"/>
  <c r="K617" i="2"/>
  <c r="B617" i="2" s="1" a="1"/>
  <c r="B617" i="2" s="1"/>
  <c r="L315" i="2"/>
  <c r="K315" i="2"/>
  <c r="B315" i="2" s="1" a="1"/>
  <c r="B315" i="2" s="1"/>
  <c r="L536" i="2"/>
  <c r="K536" i="2"/>
  <c r="B536" i="2" s="1" a="1"/>
  <c r="B536" i="2" s="1"/>
  <c r="H536" i="2" s="1"/>
  <c r="L749" i="2"/>
  <c r="L234" i="2"/>
  <c r="K234" i="2"/>
  <c r="B234" i="2" s="1" a="1"/>
  <c r="B234" i="2" s="1"/>
  <c r="L609" i="2"/>
  <c r="K609" i="2"/>
  <c r="B609" i="2" s="1" a="1"/>
  <c r="B609" i="2" s="1"/>
  <c r="L739" i="2"/>
  <c r="L243" i="2"/>
  <c r="L402" i="2"/>
  <c r="K402" i="2"/>
  <c r="B402" i="2" s="1" a="1"/>
  <c r="B402" i="2" s="1"/>
  <c r="H402" i="2" s="1"/>
  <c r="L539" i="2"/>
  <c r="K539" i="2"/>
  <c r="B539" i="2" s="1" a="1"/>
  <c r="B539" i="2" s="1"/>
  <c r="K14" i="2"/>
  <c r="L14" i="2"/>
  <c r="L159" i="2"/>
  <c r="L146" i="2"/>
  <c r="K146" i="2"/>
  <c r="B146" i="2" s="1" a="1"/>
  <c r="B146" i="2" s="1"/>
  <c r="L142" i="2"/>
  <c r="K142" i="2"/>
  <c r="B142" i="2" s="1" a="1"/>
  <c r="B142" i="2" s="1"/>
  <c r="L30" i="2"/>
  <c r="L20" i="2"/>
  <c r="L249" i="2"/>
  <c r="K249" i="2"/>
  <c r="B249" i="2" s="1" a="1"/>
  <c r="B249" i="2" s="1"/>
  <c r="L293" i="2"/>
  <c r="K293" i="2"/>
  <c r="B293" i="2" s="1" a="1"/>
  <c r="B293" i="2" s="1"/>
  <c r="L595" i="2"/>
  <c r="K595" i="2"/>
  <c r="B595" i="2" s="1" a="1"/>
  <c r="B595" i="2" s="1"/>
  <c r="H595" i="2" s="1"/>
  <c r="L761" i="2"/>
  <c r="K761" i="2"/>
  <c r="B761" i="2" s="1" a="1"/>
  <c r="B761" i="2" s="1"/>
  <c r="L914" i="2"/>
  <c r="K914" i="2"/>
  <c r="B914" i="2" s="1" a="1"/>
  <c r="B914" i="2" s="1"/>
  <c r="L1103" i="2"/>
  <c r="K1249" i="2"/>
  <c r="L1249" i="2"/>
  <c r="N139" i="2"/>
  <c r="Y139" i="2"/>
  <c r="M139" i="2" s="1"/>
  <c r="N893" i="2"/>
  <c r="Y893" i="2"/>
  <c r="M893" i="2" s="1"/>
  <c r="N1028" i="2"/>
  <c r="Y1028" i="2"/>
  <c r="M1028" i="2" s="1"/>
  <c r="Y988" i="2"/>
  <c r="M988" i="2" s="1"/>
  <c r="N988" i="2"/>
  <c r="N1152" i="2"/>
  <c r="Y1152" i="2"/>
  <c r="M1152" i="2" s="1"/>
  <c r="N1111" i="2"/>
  <c r="Y1111" i="2"/>
  <c r="M1111" i="2" s="1"/>
  <c r="Y277" i="2"/>
  <c r="M277" i="2" s="1"/>
  <c r="N277" i="2"/>
  <c r="N62" i="2"/>
  <c r="Y62" i="2"/>
  <c r="M62" i="2" s="1"/>
  <c r="N868" i="2"/>
  <c r="Y868" i="2"/>
  <c r="M868" i="2" s="1"/>
  <c r="L268" i="2"/>
  <c r="K268" i="2"/>
  <c r="B268" i="2" s="1" a="1"/>
  <c r="B268" i="2" s="1"/>
  <c r="L724" i="2"/>
  <c r="K724" i="2"/>
  <c r="L414" i="2"/>
  <c r="K414" i="2"/>
  <c r="B414" i="2" s="1" a="1"/>
  <c r="B414" i="2" s="1"/>
  <c r="H414" i="2" s="1"/>
  <c r="L1231" i="2"/>
  <c r="L941" i="2"/>
  <c r="L673" i="2"/>
  <c r="K673" i="2"/>
  <c r="B673" i="2" s="1" a="1"/>
  <c r="B673" i="2" s="1"/>
  <c r="L676" i="2"/>
  <c r="K676" i="2"/>
  <c r="B676" i="2" s="1" a="1"/>
  <c r="B676" i="2" s="1"/>
  <c r="K81" i="2"/>
  <c r="L81" i="2"/>
  <c r="L1141" i="2"/>
  <c r="K1141" i="2"/>
  <c r="B1141" i="2" s="1" a="1"/>
  <c r="B1141" i="2" s="1"/>
  <c r="Y724" i="2"/>
  <c r="M724" i="2" s="1"/>
  <c r="N724" i="2"/>
  <c r="Y1261" i="2"/>
  <c r="M1261" i="2" s="1"/>
  <c r="N1261" i="2"/>
  <c r="N178" i="2"/>
  <c r="Y178" i="2"/>
  <c r="M178" i="2" s="1"/>
  <c r="N587" i="2"/>
  <c r="Y587" i="2"/>
  <c r="M587" i="2" s="1"/>
  <c r="Y1006" i="2"/>
  <c r="M1006" i="2" s="1"/>
  <c r="N1006" i="2"/>
  <c r="N1117" i="2"/>
  <c r="Y1117" i="2"/>
  <c r="M1117" i="2" s="1"/>
  <c r="N511" i="2"/>
  <c r="Y511" i="2"/>
  <c r="M511" i="2" s="1"/>
  <c r="N496" i="2"/>
  <c r="Y496" i="2"/>
  <c r="M496" i="2" s="1"/>
  <c r="Y35" i="2"/>
  <c r="M35" i="2" s="1"/>
  <c r="N35" i="2"/>
  <c r="Y954" i="2"/>
  <c r="M954" i="2" s="1"/>
  <c r="N954" i="2"/>
  <c r="Y652" i="2"/>
  <c r="M652" i="2" s="1"/>
  <c r="N652" i="2"/>
  <c r="Y184" i="2"/>
  <c r="M184" i="2" s="1"/>
  <c r="N184" i="2"/>
  <c r="N1210" i="2"/>
  <c r="Y1210" i="2"/>
  <c r="M1210" i="2" s="1"/>
  <c r="Y103" i="2"/>
  <c r="M103" i="2" s="1"/>
  <c r="N103" i="2"/>
  <c r="N49" i="2"/>
  <c r="Y49" i="2"/>
  <c r="M49" i="2" s="1"/>
  <c r="N28" i="2"/>
  <c r="Y28" i="2"/>
  <c r="M28" i="2" s="1"/>
  <c r="N220" i="2"/>
  <c r="Y220" i="2"/>
  <c r="M220" i="2" s="1"/>
  <c r="N88" i="2"/>
  <c r="Y88" i="2"/>
  <c r="M88" i="2" s="1"/>
  <c r="N1220" i="2"/>
  <c r="Y1220" i="2"/>
  <c r="M1220" i="2" s="1"/>
  <c r="N44" i="2"/>
  <c r="Y44" i="2"/>
  <c r="M44" i="2" s="1"/>
  <c r="N113" i="2"/>
  <c r="Y113" i="2"/>
  <c r="M113" i="2" s="1"/>
  <c r="N492" i="2"/>
  <c r="Y492" i="2"/>
  <c r="M492" i="2" s="1"/>
  <c r="Y40" i="2"/>
  <c r="M40" i="2" s="1"/>
  <c r="N40" i="2"/>
  <c r="Y109" i="2"/>
  <c r="M109" i="2" s="1"/>
  <c r="N109" i="2"/>
  <c r="N821" i="2"/>
  <c r="Y821" i="2"/>
  <c r="M821" i="2" s="1"/>
  <c r="Y264" i="2"/>
  <c r="M264" i="2" s="1"/>
  <c r="N264" i="2"/>
  <c r="N1072" i="2"/>
  <c r="Y1072" i="2"/>
  <c r="M1072" i="2" s="1"/>
  <c r="N1065" i="2"/>
  <c r="Y1065" i="2"/>
  <c r="M1065" i="2" s="1"/>
  <c r="Y200" i="2"/>
  <c r="M200" i="2" s="1"/>
  <c r="N200" i="2"/>
  <c r="N895" i="2"/>
  <c r="Y895" i="2"/>
  <c r="M895" i="2" s="1"/>
  <c r="N355" i="2"/>
  <c r="Y355" i="2"/>
  <c r="M355" i="2" s="1"/>
  <c r="N976" i="2"/>
  <c r="Y976" i="2"/>
  <c r="M976" i="2" s="1"/>
  <c r="N239" i="2"/>
  <c r="Y239" i="2"/>
  <c r="M239" i="2" s="1"/>
  <c r="N834" i="2"/>
  <c r="Y834" i="2"/>
  <c r="M834" i="2" s="1"/>
  <c r="N446" i="2"/>
  <c r="Y446" i="2"/>
  <c r="M446" i="2" s="1"/>
  <c r="N430" i="2"/>
  <c r="Y430" i="2"/>
  <c r="M430" i="2" s="1"/>
  <c r="N1077" i="2"/>
  <c r="Y1077" i="2"/>
  <c r="M1077" i="2" s="1"/>
  <c r="N515" i="2"/>
  <c r="Y515" i="2"/>
  <c r="M515" i="2" s="1"/>
  <c r="N1258" i="2"/>
  <c r="Y1258" i="2"/>
  <c r="M1258" i="2" s="1"/>
  <c r="N822" i="2"/>
  <c r="Y822" i="2"/>
  <c r="M822" i="2" s="1"/>
  <c r="N700" i="2"/>
  <c r="Y700" i="2"/>
  <c r="M700" i="2" s="1"/>
  <c r="N1032" i="2"/>
  <c r="Y1032" i="2"/>
  <c r="M1032" i="2" s="1"/>
  <c r="N162" i="2"/>
  <c r="Y162" i="2"/>
  <c r="M162" i="2" s="1"/>
  <c r="N984" i="2"/>
  <c r="Y984" i="2"/>
  <c r="M984" i="2" s="1"/>
  <c r="Y152" i="2"/>
  <c r="M152" i="2" s="1"/>
  <c r="N152" i="2"/>
  <c r="N1218" i="2"/>
  <c r="Y1218" i="2"/>
  <c r="M1218" i="2" s="1"/>
  <c r="Y282" i="2"/>
  <c r="M282" i="2" s="1"/>
  <c r="N282" i="2"/>
  <c r="N1149" i="2"/>
  <c r="Y1149" i="2"/>
  <c r="M1149" i="2" s="1"/>
  <c r="N1222" i="2"/>
  <c r="Y1222" i="2"/>
  <c r="M1222" i="2" s="1"/>
  <c r="Y878" i="2"/>
  <c r="M878" i="2" s="1"/>
  <c r="N878" i="2"/>
  <c r="N1096" i="2"/>
  <c r="Y1096" i="2"/>
  <c r="M1096" i="2" s="1"/>
  <c r="Y860" i="2"/>
  <c r="M860" i="2" s="1"/>
  <c r="N860" i="2"/>
  <c r="Y819" i="2"/>
  <c r="M819" i="2" s="1"/>
  <c r="N819" i="2"/>
  <c r="N987" i="2"/>
  <c r="Y987" i="2"/>
  <c r="M987" i="2" s="1"/>
  <c r="Y762" i="2"/>
  <c r="M762" i="2" s="1"/>
  <c r="N762" i="2"/>
  <c r="N1018" i="2"/>
  <c r="Y1018" i="2"/>
  <c r="M1018" i="2" s="1"/>
  <c r="N1071" i="2"/>
  <c r="Y1071" i="2"/>
  <c r="M1071" i="2" s="1"/>
  <c r="Y1157" i="2"/>
  <c r="M1157" i="2" s="1"/>
  <c r="N1157" i="2"/>
  <c r="N1202" i="2"/>
  <c r="Y1202" i="2"/>
  <c r="M1202" i="2" s="1"/>
  <c r="N898" i="2"/>
  <c r="Y898" i="2"/>
  <c r="M898" i="2" s="1"/>
  <c r="Y1136" i="2"/>
  <c r="M1136" i="2" s="1"/>
  <c r="N1136" i="2"/>
  <c r="N1132" i="2"/>
  <c r="Y1132" i="2"/>
  <c r="M1132" i="2" s="1"/>
  <c r="N814" i="2"/>
  <c r="Y814" i="2"/>
  <c r="M814" i="2" s="1"/>
  <c r="N303" i="2"/>
  <c r="Y303" i="2"/>
  <c r="M303" i="2" s="1"/>
  <c r="N210" i="2"/>
  <c r="Y210" i="2"/>
  <c r="M210" i="2" s="1"/>
  <c r="Y775" i="2"/>
  <c r="M775" i="2" s="1"/>
  <c r="N775" i="2"/>
  <c r="N787" i="2"/>
  <c r="Y787" i="2"/>
  <c r="M787" i="2" s="1"/>
  <c r="N518" i="2"/>
  <c r="Y518" i="2"/>
  <c r="M518" i="2" s="1"/>
  <c r="Y779" i="2"/>
  <c r="M779" i="2" s="1"/>
  <c r="N779" i="2"/>
  <c r="Y286" i="2"/>
  <c r="M286" i="2" s="1"/>
  <c r="N286" i="2"/>
  <c r="Y285" i="2"/>
  <c r="M285" i="2" s="1"/>
  <c r="N285" i="2"/>
  <c r="Y271" i="2"/>
  <c r="M271" i="2" s="1"/>
  <c r="N271" i="2"/>
  <c r="Y316" i="2"/>
  <c r="M316" i="2" s="1"/>
  <c r="N316" i="2"/>
  <c r="Y681" i="2"/>
  <c r="M681" i="2" s="1"/>
  <c r="N681" i="2"/>
  <c r="Y229" i="2"/>
  <c r="M229" i="2" s="1"/>
  <c r="N229" i="2"/>
  <c r="N391" i="2"/>
  <c r="Y391" i="2"/>
  <c r="M391" i="2" s="1"/>
  <c r="Y579" i="2"/>
  <c r="M579" i="2" s="1"/>
  <c r="N579" i="2"/>
  <c r="N114" i="2"/>
  <c r="Y114" i="2"/>
  <c r="M114" i="2" s="1"/>
  <c r="N30" i="2"/>
  <c r="Y30" i="2"/>
  <c r="M30" i="2" s="1"/>
  <c r="N48" i="2"/>
  <c r="Y48" i="2"/>
  <c r="M48" i="2" s="1"/>
  <c r="Y13" i="2"/>
  <c r="M13" i="2" s="1"/>
  <c r="N13" i="2"/>
  <c r="N127" i="2"/>
  <c r="Y127" i="2"/>
  <c r="M127" i="2" s="1"/>
  <c r="N250" i="2"/>
  <c r="Y250" i="2"/>
  <c r="M250" i="2" s="1"/>
  <c r="N327" i="2"/>
  <c r="Y327" i="2"/>
  <c r="M327" i="2" s="1"/>
  <c r="N510" i="2"/>
  <c r="Y510" i="2"/>
  <c r="M510" i="2" s="1"/>
  <c r="Y618" i="2"/>
  <c r="M618" i="2" s="1"/>
  <c r="N618" i="2"/>
  <c r="N750" i="2"/>
  <c r="Y750" i="2"/>
  <c r="M750" i="2" s="1"/>
  <c r="N856" i="2"/>
  <c r="Y856" i="2"/>
  <c r="M856" i="2" s="1"/>
  <c r="N935" i="2"/>
  <c r="Y935" i="2"/>
  <c r="M935" i="2" s="1"/>
  <c r="N1010" i="2"/>
  <c r="Y1010" i="2"/>
  <c r="M1010" i="2" s="1"/>
  <c r="Y1122" i="2"/>
  <c r="M1122" i="2" s="1"/>
  <c r="N1122" i="2"/>
  <c r="Y1231" i="2"/>
  <c r="M1231" i="2" s="1"/>
  <c r="N1231" i="2"/>
  <c r="L93" i="2"/>
  <c r="L179" i="2"/>
  <c r="K179" i="2"/>
  <c r="B179" i="2" s="1" a="1"/>
  <c r="B179" i="2" s="1"/>
  <c r="L63" i="2"/>
  <c r="K63" i="2"/>
  <c r="B63" i="2" s="1" a="1"/>
  <c r="B63" i="2" s="1"/>
  <c r="H63" i="2" s="1"/>
  <c r="L415" i="2"/>
  <c r="K415" i="2"/>
  <c r="B415" i="2" s="1" a="1"/>
  <c r="B415" i="2" s="1"/>
  <c r="H415" i="2" s="1"/>
  <c r="L684" i="2"/>
  <c r="K684" i="2"/>
  <c r="B684" i="2" s="1" a="1"/>
  <c r="B684" i="2" s="1"/>
  <c r="L373" i="2"/>
  <c r="K373" i="2"/>
  <c r="B373" i="2" s="1" a="1"/>
  <c r="B373" i="2" s="1"/>
  <c r="H373" i="2" s="1"/>
  <c r="L99" i="2"/>
  <c r="K99" i="2"/>
  <c r="B99" i="2" s="1" a="1"/>
  <c r="B99" i="2" s="1"/>
  <c r="H99" i="2" s="1"/>
  <c r="L1199" i="2"/>
  <c r="K1199" i="2"/>
  <c r="B1199" i="2" s="1" a="1"/>
  <c r="B1199" i="2" s="1"/>
  <c r="K928" i="2"/>
  <c r="L928" i="2"/>
  <c r="L718" i="2"/>
  <c r="K718" i="2"/>
  <c r="B718" i="2" s="1" a="1"/>
  <c r="B718" i="2" s="1"/>
  <c r="H718" i="2" s="1"/>
  <c r="L1193" i="2"/>
  <c r="K1193" i="2"/>
  <c r="B1193" i="2" s="1" a="1"/>
  <c r="B1193" i="2" s="1"/>
  <c r="H1193" i="2" s="1"/>
  <c r="I1193" i="2" s="1"/>
  <c r="L671" i="2"/>
  <c r="K1163" i="2"/>
  <c r="L1163" i="2"/>
  <c r="L1251" i="2"/>
  <c r="K1251" i="2"/>
  <c r="B1251" i="2" s="1" a="1"/>
  <c r="B1251" i="2" s="1"/>
  <c r="H1251" i="2" s="1"/>
  <c r="L709" i="2"/>
  <c r="L1071" i="2"/>
  <c r="L800" i="2"/>
  <c r="L752" i="2"/>
  <c r="K752" i="2"/>
  <c r="B752" i="2" s="1" a="1"/>
  <c r="B752" i="2" s="1"/>
  <c r="L1258" i="2"/>
  <c r="K1258" i="2"/>
  <c r="B1258" i="2" s="1" a="1"/>
  <c r="B1258" i="2" s="1"/>
  <c r="H1258" i="2" s="1"/>
  <c r="K274" i="2"/>
  <c r="L274" i="2"/>
  <c r="L1162" i="2"/>
  <c r="K1162" i="2"/>
  <c r="B1162" i="2" s="1" a="1"/>
  <c r="B1162" i="2" s="1"/>
  <c r="H1162" i="2" s="1"/>
  <c r="L292" i="2"/>
  <c r="K292" i="2"/>
  <c r="B292" i="2" s="1" a="1"/>
  <c r="B292" i="2" s="1"/>
  <c r="H292" i="2" s="1"/>
  <c r="L1086" i="2"/>
  <c r="K1086" i="2"/>
  <c r="B1086" i="2" s="1" a="1"/>
  <c r="B1086" i="2" s="1"/>
  <c r="H1086" i="2" s="1"/>
  <c r="L768" i="2"/>
  <c r="K768" i="2"/>
  <c r="B768" i="2" s="1" a="1"/>
  <c r="B768" i="2" s="1"/>
  <c r="L1113" i="2"/>
  <c r="K1113" i="2"/>
  <c r="B1113" i="2" s="1" a="1"/>
  <c r="B1113" i="2" s="1"/>
  <c r="L586" i="2"/>
  <c r="K586" i="2"/>
  <c r="B586" i="2" s="1" a="1"/>
  <c r="B586" i="2" s="1"/>
  <c r="H586" i="2" s="1"/>
  <c r="L945" i="2"/>
  <c r="K945" i="2"/>
  <c r="B945" i="2" s="1" a="1"/>
  <c r="B945" i="2" s="1"/>
  <c r="H945" i="2" s="1"/>
  <c r="L750" i="2"/>
  <c r="L326" i="2"/>
  <c r="K326" i="2"/>
  <c r="B326" i="2" s="1" a="1"/>
  <c r="B326" i="2" s="1"/>
  <c r="L1147" i="2"/>
  <c r="K1147" i="2"/>
  <c r="B1147" i="2" s="1" a="1"/>
  <c r="B1147" i="2" s="1"/>
  <c r="H1147" i="2" s="1"/>
  <c r="L197" i="2"/>
  <c r="K197" i="2"/>
  <c r="B197" i="2" s="1" a="1"/>
  <c r="B197" i="2" s="1"/>
  <c r="L998" i="2"/>
  <c r="K998" i="2"/>
  <c r="B998" i="2" s="1" a="1"/>
  <c r="B998" i="2" s="1"/>
  <c r="H998" i="2" s="1"/>
  <c r="L560" i="2"/>
  <c r="K560" i="2"/>
  <c r="B560" i="2" s="1" a="1"/>
  <c r="B560" i="2" s="1"/>
  <c r="K1180" i="2"/>
  <c r="L1180" i="2"/>
  <c r="K1228" i="2"/>
  <c r="L1228" i="2"/>
  <c r="L1197" i="2"/>
  <c r="L1157" i="2"/>
  <c r="L1135" i="2"/>
  <c r="K1135" i="2"/>
  <c r="B1135" i="2" s="1" a="1"/>
  <c r="B1135" i="2" s="1"/>
  <c r="H1135" i="2" s="1"/>
  <c r="L1190" i="2"/>
  <c r="L162" i="2"/>
  <c r="K361" i="2"/>
  <c r="L361" i="2"/>
  <c r="K830" i="2"/>
  <c r="L830" i="2"/>
  <c r="L1064" i="2"/>
  <c r="K1064" i="2"/>
  <c r="B1064" i="2" s="1" a="1"/>
  <c r="B1064" i="2" s="1"/>
  <c r="H1064" i="2" s="1"/>
  <c r="L1096" i="2"/>
  <c r="K1096" i="2"/>
  <c r="B1096" i="2" s="1" a="1"/>
  <c r="B1096" i="2" s="1"/>
  <c r="L1218" i="2"/>
  <c r="K778" i="2"/>
  <c r="L778" i="2"/>
  <c r="L1061" i="2"/>
  <c r="K1061" i="2"/>
  <c r="B1061" i="2" s="1" a="1"/>
  <c r="B1061" i="2" s="1"/>
  <c r="K1241" i="2"/>
  <c r="L1241" i="2"/>
  <c r="L1110" i="2"/>
  <c r="K1110" i="2"/>
  <c r="B1110" i="2" s="1" a="1"/>
  <c r="B1110" i="2" s="1"/>
  <c r="H1110" i="2" s="1"/>
  <c r="L1079" i="2"/>
  <c r="K1079" i="2"/>
  <c r="B1079" i="2" s="1" a="1"/>
  <c r="B1079" i="2" s="1"/>
  <c r="L705" i="2"/>
  <c r="K705" i="2"/>
  <c r="B705" i="2" s="1" a="1"/>
  <c r="B705" i="2" s="1"/>
  <c r="H705" i="2" s="1"/>
  <c r="L781" i="2"/>
  <c r="L244" i="2"/>
  <c r="K244" i="2"/>
  <c r="B244" i="2" s="1" a="1"/>
  <c r="B244" i="2" s="1"/>
  <c r="L253" i="2"/>
  <c r="K253" i="2"/>
  <c r="B253" i="2" s="1" a="1"/>
  <c r="B253" i="2" s="1"/>
  <c r="H253" i="2" s="1"/>
  <c r="L408" i="2"/>
  <c r="K408" i="2"/>
  <c r="B408" i="2" s="1" a="1"/>
  <c r="B408" i="2" s="1"/>
  <c r="L559" i="2"/>
  <c r="L624" i="2"/>
  <c r="L625" i="2"/>
  <c r="K625" i="2"/>
  <c r="B625" i="2" s="1" a="1"/>
  <c r="B625" i="2" s="1"/>
  <c r="L290" i="2"/>
  <c r="K290" i="2"/>
  <c r="B290" i="2" s="1" a="1"/>
  <c r="B290" i="2" s="1"/>
  <c r="H290" i="2" s="1"/>
  <c r="L475" i="2"/>
  <c r="K475" i="2"/>
  <c r="B475" i="2" s="1" a="1"/>
  <c r="B475" i="2" s="1"/>
  <c r="H475" i="2" s="1"/>
  <c r="L679" i="2"/>
  <c r="K679" i="2"/>
  <c r="B679" i="2" s="1" a="1"/>
  <c r="B679" i="2" s="1"/>
  <c r="H679" i="2" s="1"/>
  <c r="L78" i="2"/>
  <c r="K78" i="2"/>
  <c r="B78" i="2" s="1" a="1"/>
  <c r="B78" i="2" s="1"/>
  <c r="H78" i="2" s="1"/>
  <c r="L546" i="2"/>
  <c r="L767" i="2"/>
  <c r="L208" i="2"/>
  <c r="K208" i="2"/>
  <c r="B208" i="2" s="1" a="1"/>
  <c r="B208" i="2" s="1"/>
  <c r="L384" i="2"/>
  <c r="K384" i="2"/>
  <c r="B384" i="2" s="1" a="1"/>
  <c r="B384" i="2" s="1"/>
  <c r="K547" i="2"/>
  <c r="L547" i="2"/>
  <c r="L125" i="2"/>
  <c r="K125" i="2"/>
  <c r="B125" i="2" s="1" a="1"/>
  <c r="B125" i="2" s="1"/>
  <c r="L158" i="2"/>
  <c r="K158" i="2"/>
  <c r="B158" i="2" s="1" a="1"/>
  <c r="B158" i="2" s="1"/>
  <c r="L118" i="2"/>
  <c r="K118" i="2"/>
  <c r="B118" i="2" s="1" a="1"/>
  <c r="B118" i="2" s="1"/>
  <c r="H118" i="2" s="1"/>
  <c r="L86" i="2"/>
  <c r="L157" i="2"/>
  <c r="K157" i="2"/>
  <c r="B157" i="2" s="1" a="1"/>
  <c r="B157" i="2" s="1"/>
  <c r="L31" i="2"/>
  <c r="L260" i="2"/>
  <c r="K260" i="2"/>
  <c r="B260" i="2" s="1" a="1"/>
  <c r="B260" i="2" s="1"/>
  <c r="H260" i="2" s="1"/>
  <c r="L309" i="2"/>
  <c r="K309" i="2"/>
  <c r="B309" i="2" s="1" a="1"/>
  <c r="B309" i="2" s="1"/>
  <c r="H309" i="2" s="1"/>
  <c r="L552" i="2"/>
  <c r="K552" i="2"/>
  <c r="B552" i="2" s="1" a="1"/>
  <c r="B552" i="2" s="1"/>
  <c r="L764" i="2"/>
  <c r="K764" i="2"/>
  <c r="B764" i="2" s="1" a="1"/>
  <c r="B764" i="2" s="1"/>
  <c r="H764" i="2" s="1"/>
  <c r="L917" i="2"/>
  <c r="K917" i="2"/>
  <c r="B917" i="2" s="1" a="1"/>
  <c r="B917" i="2" s="1"/>
  <c r="H917" i="2" s="1"/>
  <c r="I917" i="2" s="1"/>
  <c r="L1117" i="2"/>
  <c r="K1117" i="2"/>
  <c r="B1117" i="2" s="1" a="1"/>
  <c r="B1117" i="2" s="1"/>
  <c r="H1117" i="2" s="1"/>
  <c r="L1268" i="2"/>
  <c r="E1269" i="2"/>
  <c r="E1265" i="2"/>
  <c r="E1262" i="2"/>
  <c r="E1273" i="2"/>
  <c r="E1272" i="2"/>
  <c r="E1271" i="2"/>
  <c r="E1257" i="2"/>
  <c r="E1268" i="2"/>
  <c r="E1270" i="2"/>
  <c r="E1263" i="2"/>
  <c r="E1267" i="2"/>
  <c r="E1264" i="2"/>
  <c r="E1260" i="2"/>
  <c r="E1259" i="2"/>
  <c r="E1256" i="2"/>
  <c r="E1253" i="2"/>
  <c r="E1244" i="2"/>
  <c r="E1258" i="2"/>
  <c r="E1261" i="2"/>
  <c r="E1236" i="2"/>
  <c r="E1255" i="2"/>
  <c r="E1266" i="2"/>
  <c r="E1233" i="2"/>
  <c r="E1254" i="2"/>
  <c r="E1240" i="2"/>
  <c r="E1251" i="2"/>
  <c r="E1245" i="2"/>
  <c r="E1250" i="2"/>
  <c r="E1239" i="2"/>
  <c r="E1234" i="2"/>
  <c r="E1242" i="2"/>
  <c r="E1228" i="2"/>
  <c r="E1247" i="2"/>
  <c r="E1252" i="2"/>
  <c r="E1249" i="2"/>
  <c r="E1248" i="2"/>
  <c r="E1225" i="2"/>
  <c r="E1209" i="2"/>
  <c r="E1243" i="2"/>
  <c r="E1232" i="2"/>
  <c r="E1231" i="2"/>
  <c r="E1216" i="2"/>
  <c r="E1241" i="2"/>
  <c r="E1237" i="2"/>
  <c r="E1235" i="2"/>
  <c r="E1230" i="2"/>
  <c r="E1227" i="2"/>
  <c r="E1221" i="2"/>
  <c r="E1215" i="2"/>
  <c r="E1223" i="2"/>
  <c r="E1220" i="2"/>
  <c r="E1224" i="2"/>
  <c r="E1217" i="2"/>
  <c r="E1246" i="2"/>
  <c r="E1238" i="2"/>
  <c r="E1226" i="2"/>
  <c r="E1213" i="2"/>
  <c r="E1219" i="2"/>
  <c r="E1202" i="2"/>
  <c r="E1195" i="2"/>
  <c r="E1229" i="2"/>
  <c r="E1222" i="2"/>
  <c r="E1214" i="2"/>
  <c r="E1197" i="2"/>
  <c r="E1211" i="2"/>
  <c r="E1205" i="2"/>
  <c r="E1171" i="2"/>
  <c r="E1196" i="2"/>
  <c r="E1198" i="2"/>
  <c r="E1204" i="2"/>
  <c r="E1208" i="2"/>
  <c r="E1193" i="2"/>
  <c r="E1187" i="2"/>
  <c r="E1179" i="2"/>
  <c r="E1212" i="2"/>
  <c r="E1199" i="2"/>
  <c r="E1181" i="2"/>
  <c r="E1218" i="2"/>
  <c r="E1207" i="2"/>
  <c r="E1201" i="2"/>
  <c r="E1190" i="2"/>
  <c r="E1182" i="2"/>
  <c r="E1156" i="2"/>
  <c r="E1183" i="2"/>
  <c r="E1200" i="2"/>
  <c r="E1210" i="2"/>
  <c r="E1180" i="2"/>
  <c r="E1203" i="2"/>
  <c r="E1191" i="2"/>
  <c r="E1186" i="2"/>
  <c r="E1160" i="2"/>
  <c r="E1161" i="2"/>
  <c r="E1162" i="2"/>
  <c r="E1184" i="2"/>
  <c r="E1163" i="2"/>
  <c r="E1206" i="2"/>
  <c r="E1178" i="2"/>
  <c r="E1166" i="2"/>
  <c r="E1189" i="2"/>
  <c r="E1174" i="2"/>
  <c r="E1157" i="2"/>
  <c r="E1175" i="2"/>
  <c r="E1164" i="2"/>
  <c r="E1152" i="2"/>
  <c r="E1168" i="2"/>
  <c r="E1159" i="2"/>
  <c r="E1192" i="2"/>
  <c r="E1185" i="2"/>
  <c r="E1176" i="2"/>
  <c r="E1172" i="2"/>
  <c r="E1165" i="2"/>
  <c r="E1194" i="2"/>
  <c r="E1177" i="2"/>
  <c r="E1170" i="2"/>
  <c r="E1188" i="2"/>
  <c r="E1167" i="2"/>
  <c r="E1153" i="2"/>
  <c r="E1146" i="2"/>
  <c r="E1130" i="2"/>
  <c r="E1147" i="2"/>
  <c r="E1169" i="2"/>
  <c r="E1132" i="2"/>
  <c r="E1133" i="2"/>
  <c r="E1134" i="2"/>
  <c r="E1151" i="2"/>
  <c r="E1150" i="2"/>
  <c r="E1135" i="2"/>
  <c r="E1148" i="2"/>
  <c r="E1136" i="2"/>
  <c r="E1154" i="2"/>
  <c r="E1137" i="2"/>
  <c r="E1138" i="2"/>
  <c r="E1122" i="2"/>
  <c r="E1158" i="2"/>
  <c r="E1155" i="2"/>
  <c r="E1139" i="2"/>
  <c r="E1123" i="2"/>
  <c r="E1140" i="2"/>
  <c r="E1149" i="2"/>
  <c r="E1141" i="2"/>
  <c r="E1125" i="2"/>
  <c r="E1173" i="2"/>
  <c r="E1142" i="2"/>
  <c r="E1126" i="2"/>
  <c r="E1143" i="2"/>
  <c r="E1127" i="2"/>
  <c r="E1120" i="2"/>
  <c r="E1118" i="2"/>
  <c r="E1109" i="2"/>
  <c r="E1119" i="2"/>
  <c r="E1110" i="2"/>
  <c r="E1094" i="2"/>
  <c r="E1116" i="2"/>
  <c r="E1111" i="2"/>
  <c r="E1095" i="2"/>
  <c r="E1144" i="2"/>
  <c r="E1112" i="2"/>
  <c r="E1096" i="2"/>
  <c r="E1121" i="2"/>
  <c r="E1113" i="2"/>
  <c r="E1097" i="2"/>
  <c r="E1114" i="2"/>
  <c r="E1099" i="2"/>
  <c r="E1124" i="2"/>
  <c r="E1100" i="2"/>
  <c r="E1131" i="2"/>
  <c r="E1101" i="2"/>
  <c r="E1115" i="2"/>
  <c r="E1102" i="2"/>
  <c r="E1145" i="2"/>
  <c r="E1129" i="2"/>
  <c r="E1106" i="2"/>
  <c r="E1108" i="2"/>
  <c r="E1104" i="2"/>
  <c r="E1091" i="2"/>
  <c r="E1107" i="2"/>
  <c r="E1078" i="2"/>
  <c r="E1128" i="2"/>
  <c r="E1080" i="2"/>
  <c r="E1064" i="2"/>
  <c r="E1098" i="2"/>
  <c r="E1092" i="2"/>
  <c r="E1083" i="2"/>
  <c r="E1084" i="2"/>
  <c r="E1085" i="2"/>
  <c r="E1071" i="2"/>
  <c r="E1105" i="2"/>
  <c r="E1093" i="2"/>
  <c r="E1090" i="2"/>
  <c r="E1089" i="2"/>
  <c r="E1086" i="2"/>
  <c r="E1117" i="2"/>
  <c r="E1103" i="2"/>
  <c r="E1077" i="2"/>
  <c r="E1069" i="2"/>
  <c r="E1059" i="2"/>
  <c r="E1081" i="2"/>
  <c r="E1067" i="2"/>
  <c r="E1045" i="2"/>
  <c r="E1088" i="2"/>
  <c r="E1082" i="2"/>
  <c r="E1073" i="2"/>
  <c r="E1074" i="2"/>
  <c r="E1076" i="2"/>
  <c r="E1072" i="2"/>
  <c r="E1061" i="2"/>
  <c r="E1048" i="2"/>
  <c r="E1049" i="2"/>
  <c r="E1068" i="2"/>
  <c r="E1065" i="2"/>
  <c r="E1062" i="2"/>
  <c r="E1053" i="2"/>
  <c r="E1075" i="2"/>
  <c r="E1070" i="2"/>
  <c r="E1055" i="2"/>
  <c r="E1032" i="2"/>
  <c r="E1057" i="2"/>
  <c r="E1050" i="2"/>
  <c r="E1033" i="2"/>
  <c r="E1066" i="2"/>
  <c r="E1042" i="2"/>
  <c r="E1034" i="2"/>
  <c r="E1018" i="2"/>
  <c r="E1037" i="2"/>
  <c r="E1038" i="2"/>
  <c r="E1058" i="2"/>
  <c r="E1039" i="2"/>
  <c r="E1079" i="2"/>
  <c r="E1087" i="2"/>
  <c r="E1041" i="2"/>
  <c r="E1063" i="2"/>
  <c r="E1054" i="2"/>
  <c r="E1026" i="2"/>
  <c r="E1044" i="2"/>
  <c r="E1027" i="2"/>
  <c r="E1060" i="2"/>
  <c r="E1056" i="2"/>
  <c r="E1052" i="2"/>
  <c r="E1047" i="2"/>
  <c r="E1046" i="2"/>
  <c r="E1043" i="2"/>
  <c r="E1051" i="2"/>
  <c r="E1019" i="2"/>
  <c r="E1013" i="2"/>
  <c r="E998" i="2"/>
  <c r="E1023" i="2"/>
  <c r="E1014" i="2"/>
  <c r="E1036" i="2"/>
  <c r="E1029" i="2"/>
  <c r="E1017" i="2"/>
  <c r="E1028" i="2"/>
  <c r="E1035" i="2"/>
  <c r="E1024" i="2"/>
  <c r="E1021" i="2"/>
  <c r="E1015" i="2"/>
  <c r="E1030" i="2"/>
  <c r="E1040" i="2"/>
  <c r="E1022" i="2"/>
  <c r="E1020" i="2"/>
  <c r="E1025" i="2"/>
  <c r="E1016" i="2"/>
  <c r="E1010" i="2"/>
  <c r="E1011" i="2"/>
  <c r="E982" i="2"/>
  <c r="E999" i="2"/>
  <c r="E1001" i="2"/>
  <c r="E997" i="2"/>
  <c r="E985" i="2"/>
  <c r="E1004" i="2"/>
  <c r="E1003" i="2"/>
  <c r="E987" i="2"/>
  <c r="E1007" i="2"/>
  <c r="E1005" i="2"/>
  <c r="E989" i="2"/>
  <c r="E990" i="2"/>
  <c r="E1012" i="2"/>
  <c r="E1000" i="2"/>
  <c r="E991" i="2"/>
  <c r="E975" i="2"/>
  <c r="E992" i="2"/>
  <c r="E1008" i="2"/>
  <c r="E1002" i="2"/>
  <c r="E993" i="2"/>
  <c r="E977" i="2"/>
  <c r="E1009" i="2"/>
  <c r="E994" i="2"/>
  <c r="E1006" i="2"/>
  <c r="E996" i="2"/>
  <c r="E980" i="2"/>
  <c r="E988" i="2"/>
  <c r="E974" i="2"/>
  <c r="E961" i="2"/>
  <c r="E945" i="2"/>
  <c r="E986" i="2"/>
  <c r="E962" i="2"/>
  <c r="E973" i="2"/>
  <c r="E970" i="2"/>
  <c r="E963" i="2"/>
  <c r="E964" i="2"/>
  <c r="E1031" i="2"/>
  <c r="E978" i="2"/>
  <c r="E972" i="2"/>
  <c r="E965" i="2"/>
  <c r="E976" i="2"/>
  <c r="E966" i="2"/>
  <c r="E950" i="2"/>
  <c r="E967" i="2"/>
  <c r="E951" i="2"/>
  <c r="E981" i="2"/>
  <c r="E968" i="2"/>
  <c r="E953" i="2"/>
  <c r="E983" i="2"/>
  <c r="E971" i="2"/>
  <c r="E955" i="2"/>
  <c r="E956" i="2"/>
  <c r="E979" i="2"/>
  <c r="E957" i="2"/>
  <c r="E969" i="2"/>
  <c r="E958" i="2"/>
  <c r="E948" i="2"/>
  <c r="E946" i="2"/>
  <c r="E936" i="2"/>
  <c r="E959" i="2"/>
  <c r="E949" i="2"/>
  <c r="E942" i="2"/>
  <c r="E925" i="2"/>
  <c r="E984" i="2"/>
  <c r="E960" i="2"/>
  <c r="E952" i="2"/>
  <c r="E926" i="2"/>
  <c r="E927" i="2"/>
  <c r="E954" i="2"/>
  <c r="E943" i="2"/>
  <c r="E940" i="2"/>
  <c r="E937" i="2"/>
  <c r="E929" i="2"/>
  <c r="E930" i="2"/>
  <c r="E931" i="2"/>
  <c r="E915" i="2"/>
  <c r="E944" i="2"/>
  <c r="E932" i="2"/>
  <c r="E916" i="2"/>
  <c r="E933" i="2"/>
  <c r="E917" i="2"/>
  <c r="E947" i="2"/>
  <c r="E922" i="2"/>
  <c r="E921" i="2"/>
  <c r="E907" i="2"/>
  <c r="E920" i="2"/>
  <c r="E923" i="2"/>
  <c r="E919" i="2"/>
  <c r="E908" i="2"/>
  <c r="E941" i="2"/>
  <c r="E912" i="2"/>
  <c r="E911" i="2"/>
  <c r="E897" i="2"/>
  <c r="E938" i="2"/>
  <c r="E898" i="2"/>
  <c r="E899" i="2"/>
  <c r="E928" i="2"/>
  <c r="E909" i="2"/>
  <c r="E901" i="2"/>
  <c r="E885" i="2"/>
  <c r="E914" i="2"/>
  <c r="E995" i="2"/>
  <c r="E903" i="2"/>
  <c r="E918" i="2"/>
  <c r="E904" i="2"/>
  <c r="E939" i="2"/>
  <c r="E935" i="2"/>
  <c r="E934" i="2"/>
  <c r="E905" i="2"/>
  <c r="E889" i="2"/>
  <c r="E896" i="2"/>
  <c r="E881" i="2"/>
  <c r="E873" i="2"/>
  <c r="E857" i="2"/>
  <c r="E895" i="2"/>
  <c r="E874" i="2"/>
  <c r="E886" i="2"/>
  <c r="E875" i="2"/>
  <c r="E894" i="2"/>
  <c r="E893" i="2"/>
  <c r="E891" i="2"/>
  <c r="E876" i="2"/>
  <c r="E890" i="2"/>
  <c r="E900" i="2"/>
  <c r="E882" i="2"/>
  <c r="E878" i="2"/>
  <c r="E879" i="2"/>
  <c r="E906" i="2"/>
  <c r="E902" i="2"/>
  <c r="E888" i="2"/>
  <c r="E865" i="2"/>
  <c r="E924" i="2"/>
  <c r="E913" i="2"/>
  <c r="E910" i="2"/>
  <c r="E892" i="2"/>
  <c r="E887" i="2"/>
  <c r="E880" i="2"/>
  <c r="E868" i="2"/>
  <c r="E861" i="2"/>
  <c r="E850" i="2"/>
  <c r="E877" i="2"/>
  <c r="E864" i="2"/>
  <c r="E851" i="2"/>
  <c r="E835" i="2"/>
  <c r="E860" i="2"/>
  <c r="E852" i="2"/>
  <c r="E853" i="2"/>
  <c r="E859" i="2"/>
  <c r="E854" i="2"/>
  <c r="E872" i="2"/>
  <c r="E841" i="2"/>
  <c r="E871" i="2"/>
  <c r="E866" i="2"/>
  <c r="E842" i="2"/>
  <c r="E870" i="2"/>
  <c r="E858" i="2"/>
  <c r="E869" i="2"/>
  <c r="E856" i="2"/>
  <c r="E844" i="2"/>
  <c r="E867" i="2"/>
  <c r="E884" i="2"/>
  <c r="E862" i="2"/>
  <c r="E883" i="2"/>
  <c r="E837" i="2"/>
  <c r="E845" i="2"/>
  <c r="E829" i="2"/>
  <c r="E812" i="2"/>
  <c r="E846" i="2"/>
  <c r="E839" i="2"/>
  <c r="E836" i="2"/>
  <c r="E813" i="2"/>
  <c r="E863" i="2"/>
  <c r="E814" i="2"/>
  <c r="E840" i="2"/>
  <c r="E826" i="2"/>
  <c r="E815" i="2"/>
  <c r="E832" i="2"/>
  <c r="E816" i="2"/>
  <c r="E800" i="2"/>
  <c r="E817" i="2"/>
  <c r="E801" i="2"/>
  <c r="E849" i="2"/>
  <c r="E830" i="2"/>
  <c r="E818" i="2"/>
  <c r="E847" i="2"/>
  <c r="E827" i="2"/>
  <c r="E819" i="2"/>
  <c r="E834" i="2"/>
  <c r="E820" i="2"/>
  <c r="E804" i="2"/>
  <c r="E843" i="2"/>
  <c r="E821" i="2"/>
  <c r="E822" i="2"/>
  <c r="E806" i="2"/>
  <c r="E823" i="2"/>
  <c r="E855" i="2"/>
  <c r="E831" i="2"/>
  <c r="E828" i="2"/>
  <c r="E824" i="2"/>
  <c r="E833" i="2"/>
  <c r="E797" i="2"/>
  <c r="E787" i="2"/>
  <c r="E771" i="2"/>
  <c r="E848" i="2"/>
  <c r="E798" i="2"/>
  <c r="E788" i="2"/>
  <c r="E772" i="2"/>
  <c r="E755" i="2"/>
  <c r="E838" i="2"/>
  <c r="E809" i="2"/>
  <c r="E808" i="2"/>
  <c r="E789" i="2"/>
  <c r="E773" i="2"/>
  <c r="E756" i="2"/>
  <c r="E799" i="2"/>
  <c r="E794" i="2"/>
  <c r="E790" i="2"/>
  <c r="E774" i="2"/>
  <c r="E810" i="2"/>
  <c r="E791" i="2"/>
  <c r="E775" i="2"/>
  <c r="E759" i="2"/>
  <c r="E758" i="2"/>
  <c r="E807" i="2"/>
  <c r="E776" i="2"/>
  <c r="E760" i="2"/>
  <c r="E777" i="2"/>
  <c r="E761" i="2"/>
  <c r="E744" i="2"/>
  <c r="E811" i="2"/>
  <c r="E778" i="2"/>
  <c r="E762" i="2"/>
  <c r="E802" i="2"/>
  <c r="E779" i="2"/>
  <c r="E803" i="2"/>
  <c r="E792" i="2"/>
  <c r="E780" i="2"/>
  <c r="E764" i="2"/>
  <c r="E825" i="2"/>
  <c r="E781" i="2"/>
  <c r="E782" i="2"/>
  <c r="E783" i="2"/>
  <c r="E767" i="2"/>
  <c r="E796" i="2"/>
  <c r="E784" i="2"/>
  <c r="E795" i="2"/>
  <c r="E793" i="2"/>
  <c r="E785" i="2"/>
  <c r="E769" i="2"/>
  <c r="E745" i="2"/>
  <c r="E737" i="2"/>
  <c r="E719" i="2"/>
  <c r="E753" i="2"/>
  <c r="E749" i="2"/>
  <c r="E747" i="2"/>
  <c r="E720" i="2"/>
  <c r="E721" i="2"/>
  <c r="E805" i="2"/>
  <c r="E752" i="2"/>
  <c r="E765" i="2"/>
  <c r="E741" i="2"/>
  <c r="E723" i="2"/>
  <c r="E751" i="2"/>
  <c r="E757" i="2"/>
  <c r="E727" i="2"/>
  <c r="E746" i="2"/>
  <c r="E742" i="2"/>
  <c r="E739" i="2"/>
  <c r="E729" i="2"/>
  <c r="E786" i="2"/>
  <c r="E766" i="2"/>
  <c r="E750" i="2"/>
  <c r="E730" i="2"/>
  <c r="E770" i="2"/>
  <c r="E768" i="2"/>
  <c r="E763" i="2"/>
  <c r="E731" i="2"/>
  <c r="E754" i="2"/>
  <c r="E732" i="2"/>
  <c r="E748" i="2"/>
  <c r="E733" i="2"/>
  <c r="E743" i="2"/>
  <c r="E740" i="2"/>
  <c r="E735" i="2"/>
  <c r="E734" i="2"/>
  <c r="E716" i="2"/>
  <c r="E706" i="2"/>
  <c r="E690" i="2"/>
  <c r="E674" i="2"/>
  <c r="E711" i="2"/>
  <c r="E707" i="2"/>
  <c r="E691" i="2"/>
  <c r="E675" i="2"/>
  <c r="E659" i="2"/>
  <c r="E643" i="2"/>
  <c r="E726" i="2"/>
  <c r="E708" i="2"/>
  <c r="E692" i="2"/>
  <c r="E676" i="2"/>
  <c r="E660" i="2"/>
  <c r="E709" i="2"/>
  <c r="E693" i="2"/>
  <c r="E677" i="2"/>
  <c r="E661" i="2"/>
  <c r="E645" i="2"/>
  <c r="E736" i="2"/>
  <c r="E694" i="2"/>
  <c r="E678" i="2"/>
  <c r="E695" i="2"/>
  <c r="E679" i="2"/>
  <c r="E663" i="2"/>
  <c r="E722" i="2"/>
  <c r="E717" i="2"/>
  <c r="E696" i="2"/>
  <c r="E680" i="2"/>
  <c r="E697" i="2"/>
  <c r="E681" i="2"/>
  <c r="E728" i="2"/>
  <c r="E714" i="2"/>
  <c r="E710" i="2"/>
  <c r="E724" i="2"/>
  <c r="E713" i="2"/>
  <c r="E699" i="2"/>
  <c r="E683" i="2"/>
  <c r="E667" i="2"/>
  <c r="E651" i="2"/>
  <c r="E715" i="2"/>
  <c r="E700" i="2"/>
  <c r="E684" i="2"/>
  <c r="E668" i="2"/>
  <c r="E701" i="2"/>
  <c r="E685" i="2"/>
  <c r="E669" i="2"/>
  <c r="E738" i="2"/>
  <c r="E702" i="2"/>
  <c r="E686" i="2"/>
  <c r="E670" i="2"/>
  <c r="E718" i="2"/>
  <c r="E712" i="2"/>
  <c r="E703" i="2"/>
  <c r="E687" i="2"/>
  <c r="E671" i="2"/>
  <c r="E655" i="2"/>
  <c r="E704" i="2"/>
  <c r="E688" i="2"/>
  <c r="E672" i="2"/>
  <c r="E656" i="2"/>
  <c r="E689" i="2"/>
  <c r="E682" i="2"/>
  <c r="E666" i="2"/>
  <c r="E642" i="2"/>
  <c r="E631" i="2"/>
  <c r="E615" i="2"/>
  <c r="E725" i="2"/>
  <c r="E632" i="2"/>
  <c r="E616" i="2"/>
  <c r="E600" i="2"/>
  <c r="E652" i="2"/>
  <c r="E644" i="2"/>
  <c r="E633" i="2"/>
  <c r="E617" i="2"/>
  <c r="E601" i="2"/>
  <c r="E585" i="2"/>
  <c r="E654" i="2"/>
  <c r="E634" i="2"/>
  <c r="E618" i="2"/>
  <c r="E602" i="2"/>
  <c r="E586" i="2"/>
  <c r="E635" i="2"/>
  <c r="E619" i="2"/>
  <c r="E636" i="2"/>
  <c r="E620" i="2"/>
  <c r="E657" i="2"/>
  <c r="E637" i="2"/>
  <c r="E621" i="2"/>
  <c r="E605" i="2"/>
  <c r="E589" i="2"/>
  <c r="E658" i="2"/>
  <c r="E638" i="2"/>
  <c r="E622" i="2"/>
  <c r="E606" i="2"/>
  <c r="E590" i="2"/>
  <c r="E698" i="2"/>
  <c r="E673" i="2"/>
  <c r="E639" i="2"/>
  <c r="E623" i="2"/>
  <c r="E607" i="2"/>
  <c r="E665" i="2"/>
  <c r="E640" i="2"/>
  <c r="E624" i="2"/>
  <c r="E608" i="2"/>
  <c r="E592" i="2"/>
  <c r="E653" i="2"/>
  <c r="E641" i="2"/>
  <c r="E625" i="2"/>
  <c r="E609" i="2"/>
  <c r="E705" i="2"/>
  <c r="E626" i="2"/>
  <c r="E610" i="2"/>
  <c r="E594" i="2"/>
  <c r="E650" i="2"/>
  <c r="E647" i="2"/>
  <c r="E646" i="2"/>
  <c r="E627" i="2"/>
  <c r="E611" i="2"/>
  <c r="E649" i="2"/>
  <c r="E648" i="2"/>
  <c r="E628" i="2"/>
  <c r="E612" i="2"/>
  <c r="E596" i="2"/>
  <c r="E664" i="2"/>
  <c r="E629" i="2"/>
  <c r="E613" i="2"/>
  <c r="E597" i="2"/>
  <c r="E593" i="2"/>
  <c r="E573" i="2"/>
  <c r="E557" i="2"/>
  <c r="E614" i="2"/>
  <c r="E574" i="2"/>
  <c r="E558" i="2"/>
  <c r="E541" i="2"/>
  <c r="E584" i="2"/>
  <c r="E581" i="2"/>
  <c r="E575" i="2"/>
  <c r="E559" i="2"/>
  <c r="E542" i="2"/>
  <c r="E526" i="2"/>
  <c r="E662" i="2"/>
  <c r="E604" i="2"/>
  <c r="E598" i="2"/>
  <c r="E576" i="2"/>
  <c r="E560" i="2"/>
  <c r="E543" i="2"/>
  <c r="E527" i="2"/>
  <c r="E577" i="2"/>
  <c r="E561" i="2"/>
  <c r="E544" i="2"/>
  <c r="E528" i="2"/>
  <c r="E578" i="2"/>
  <c r="E562" i="2"/>
  <c r="E545" i="2"/>
  <c r="E529" i="2"/>
  <c r="E583" i="2"/>
  <c r="E579" i="2"/>
  <c r="E563" i="2"/>
  <c r="E546" i="2"/>
  <c r="E530" i="2"/>
  <c r="E603" i="2"/>
  <c r="E564" i="2"/>
  <c r="E548" i="2"/>
  <c r="E547" i="2"/>
  <c r="E580" i="2"/>
  <c r="E565" i="2"/>
  <c r="E549" i="2"/>
  <c r="E532" i="2"/>
  <c r="E587" i="2"/>
  <c r="E566" i="2"/>
  <c r="E550" i="2"/>
  <c r="E533" i="2"/>
  <c r="E567" i="2"/>
  <c r="E551" i="2"/>
  <c r="E534" i="2"/>
  <c r="E599" i="2"/>
  <c r="E568" i="2"/>
  <c r="E552" i="2"/>
  <c r="E535" i="2"/>
  <c r="E595" i="2"/>
  <c r="E582" i="2"/>
  <c r="E569" i="2"/>
  <c r="E588" i="2"/>
  <c r="E570" i="2"/>
  <c r="E554" i="2"/>
  <c r="E537" i="2"/>
  <c r="E521" i="2"/>
  <c r="E630" i="2"/>
  <c r="E571" i="2"/>
  <c r="E555" i="2"/>
  <c r="E553" i="2"/>
  <c r="E520" i="2"/>
  <c r="E513" i="2"/>
  <c r="E497" i="2"/>
  <c r="E481" i="2"/>
  <c r="E464" i="2"/>
  <c r="E536" i="2"/>
  <c r="E514" i="2"/>
  <c r="E498" i="2"/>
  <c r="E482" i="2"/>
  <c r="E465" i="2"/>
  <c r="E523" i="2"/>
  <c r="E515" i="2"/>
  <c r="E499" i="2"/>
  <c r="E483" i="2"/>
  <c r="E500" i="2"/>
  <c r="E484" i="2"/>
  <c r="E467" i="2"/>
  <c r="E539" i="2"/>
  <c r="E516" i="2"/>
  <c r="E501" i="2"/>
  <c r="E485" i="2"/>
  <c r="E468" i="2"/>
  <c r="E452" i="2"/>
  <c r="E525" i="2"/>
  <c r="E502" i="2"/>
  <c r="E503" i="2"/>
  <c r="E487" i="2"/>
  <c r="E470" i="2"/>
  <c r="E591" i="2"/>
  <c r="E556" i="2"/>
  <c r="E540" i="2"/>
  <c r="E504" i="2"/>
  <c r="E488" i="2"/>
  <c r="E471" i="2"/>
  <c r="E531" i="2"/>
  <c r="E505" i="2"/>
  <c r="E489" i="2"/>
  <c r="E472" i="2"/>
  <c r="E524" i="2"/>
  <c r="E522" i="2"/>
  <c r="E518" i="2"/>
  <c r="E506" i="2"/>
  <c r="E490" i="2"/>
  <c r="E474" i="2"/>
  <c r="E473" i="2"/>
  <c r="E507" i="2"/>
  <c r="E491" i="2"/>
  <c r="E475" i="2"/>
  <c r="E508" i="2"/>
  <c r="E538" i="2"/>
  <c r="E519" i="2"/>
  <c r="E509" i="2"/>
  <c r="E493" i="2"/>
  <c r="E477" i="2"/>
  <c r="E510" i="2"/>
  <c r="E494" i="2"/>
  <c r="E517" i="2"/>
  <c r="E511" i="2"/>
  <c r="E495" i="2"/>
  <c r="E479" i="2"/>
  <c r="E462" i="2"/>
  <c r="E454" i="2"/>
  <c r="E444" i="2"/>
  <c r="E512" i="2"/>
  <c r="E461" i="2"/>
  <c r="E445" i="2"/>
  <c r="E429" i="2"/>
  <c r="E413" i="2"/>
  <c r="E397" i="2"/>
  <c r="E572" i="2"/>
  <c r="E486" i="2"/>
  <c r="E446" i="2"/>
  <c r="E430" i="2"/>
  <c r="E414" i="2"/>
  <c r="E460" i="2"/>
  <c r="E447" i="2"/>
  <c r="E431" i="2"/>
  <c r="E415" i="2"/>
  <c r="E399" i="2"/>
  <c r="E480" i="2"/>
  <c r="E458" i="2"/>
  <c r="E448" i="2"/>
  <c r="E432" i="2"/>
  <c r="E416" i="2"/>
  <c r="E469" i="2"/>
  <c r="E449" i="2"/>
  <c r="E433" i="2"/>
  <c r="E417" i="2"/>
  <c r="E401" i="2"/>
  <c r="E450" i="2"/>
  <c r="E434" i="2"/>
  <c r="E418" i="2"/>
  <c r="E402" i="2"/>
  <c r="E466" i="2"/>
  <c r="E435" i="2"/>
  <c r="E419" i="2"/>
  <c r="E403" i="2"/>
  <c r="E476" i="2"/>
  <c r="E459" i="2"/>
  <c r="E453" i="2"/>
  <c r="E436" i="2"/>
  <c r="E420" i="2"/>
  <c r="E478" i="2"/>
  <c r="E437" i="2"/>
  <c r="E421" i="2"/>
  <c r="E405" i="2"/>
  <c r="E492" i="2"/>
  <c r="E451" i="2"/>
  <c r="E438" i="2"/>
  <c r="E422" i="2"/>
  <c r="E406" i="2"/>
  <c r="E439" i="2"/>
  <c r="E423" i="2"/>
  <c r="E407" i="2"/>
  <c r="E391" i="2"/>
  <c r="E440" i="2"/>
  <c r="E424" i="2"/>
  <c r="E408" i="2"/>
  <c r="E456" i="2"/>
  <c r="E455" i="2"/>
  <c r="E441" i="2"/>
  <c r="E425" i="2"/>
  <c r="E409" i="2"/>
  <c r="E393" i="2"/>
  <c r="E496" i="2"/>
  <c r="E463" i="2"/>
  <c r="E442" i="2"/>
  <c r="E387" i="2"/>
  <c r="E386" i="2"/>
  <c r="E370" i="2"/>
  <c r="E354" i="2"/>
  <c r="E338" i="2"/>
  <c r="E371" i="2"/>
  <c r="E355" i="2"/>
  <c r="E372" i="2"/>
  <c r="E356" i="2"/>
  <c r="E427" i="2"/>
  <c r="E426" i="2"/>
  <c r="E390" i="2"/>
  <c r="E373" i="2"/>
  <c r="E357" i="2"/>
  <c r="E341" i="2"/>
  <c r="E443" i="2"/>
  <c r="E374" i="2"/>
  <c r="E358" i="2"/>
  <c r="E412" i="2"/>
  <c r="E388" i="2"/>
  <c r="E375" i="2"/>
  <c r="E359" i="2"/>
  <c r="E343" i="2"/>
  <c r="E327" i="2"/>
  <c r="E457" i="2"/>
  <c r="E376" i="2"/>
  <c r="E360" i="2"/>
  <c r="E377" i="2"/>
  <c r="E361" i="2"/>
  <c r="E345" i="2"/>
  <c r="E395" i="2"/>
  <c r="E394" i="2"/>
  <c r="E378" i="2"/>
  <c r="E362" i="2"/>
  <c r="E400" i="2"/>
  <c r="E392" i="2"/>
  <c r="E379" i="2"/>
  <c r="E363" i="2"/>
  <c r="E347" i="2"/>
  <c r="E428" i="2"/>
  <c r="E396" i="2"/>
  <c r="E389" i="2"/>
  <c r="E380" i="2"/>
  <c r="E364" i="2"/>
  <c r="E381" i="2"/>
  <c r="E365" i="2"/>
  <c r="E349" i="2"/>
  <c r="E333" i="2"/>
  <c r="E382" i="2"/>
  <c r="E366" i="2"/>
  <c r="E350" i="2"/>
  <c r="E334" i="2"/>
  <c r="E398" i="2"/>
  <c r="E383" i="2"/>
  <c r="E367" i="2"/>
  <c r="E351" i="2"/>
  <c r="E335" i="2"/>
  <c r="E411" i="2"/>
  <c r="E410" i="2"/>
  <c r="E384" i="2"/>
  <c r="E368" i="2"/>
  <c r="E352" i="2"/>
  <c r="E309" i="2"/>
  <c r="E293" i="2"/>
  <c r="E277" i="2"/>
  <c r="E276" i="2"/>
  <c r="E348" i="2"/>
  <c r="E310" i="2"/>
  <c r="E294" i="2"/>
  <c r="E342" i="2"/>
  <c r="E324" i="2"/>
  <c r="E322" i="2"/>
  <c r="E311" i="2"/>
  <c r="E295" i="2"/>
  <c r="E279" i="2"/>
  <c r="E262" i="2"/>
  <c r="E344" i="2"/>
  <c r="E312" i="2"/>
  <c r="E385" i="2"/>
  <c r="E330" i="2"/>
  <c r="E313" i="2"/>
  <c r="E297" i="2"/>
  <c r="E281" i="2"/>
  <c r="E369" i="2"/>
  <c r="E337" i="2"/>
  <c r="E328" i="2"/>
  <c r="E314" i="2"/>
  <c r="E298" i="2"/>
  <c r="E315" i="2"/>
  <c r="E299" i="2"/>
  <c r="E353" i="2"/>
  <c r="E316" i="2"/>
  <c r="E300" i="2"/>
  <c r="E284" i="2"/>
  <c r="E267" i="2"/>
  <c r="E332" i="2"/>
  <c r="E329" i="2"/>
  <c r="E323" i="2"/>
  <c r="E317" i="2"/>
  <c r="E301" i="2"/>
  <c r="E285" i="2"/>
  <c r="E339" i="2"/>
  <c r="E336" i="2"/>
  <c r="E318" i="2"/>
  <c r="E302" i="2"/>
  <c r="E286" i="2"/>
  <c r="E319" i="2"/>
  <c r="E303" i="2"/>
  <c r="E287" i="2"/>
  <c r="E340" i="2"/>
  <c r="E320" i="2"/>
  <c r="E304" i="2"/>
  <c r="E288" i="2"/>
  <c r="E271" i="2"/>
  <c r="E404" i="2"/>
  <c r="E326" i="2"/>
  <c r="E321" i="2"/>
  <c r="E305" i="2"/>
  <c r="E289" i="2"/>
  <c r="E306" i="2"/>
  <c r="E290" i="2"/>
  <c r="E273" i="2"/>
  <c r="E346" i="2"/>
  <c r="E307" i="2"/>
  <c r="E291" i="2"/>
  <c r="E274" i="2"/>
  <c r="E266" i="2"/>
  <c r="E261" i="2"/>
  <c r="E254" i="2"/>
  <c r="E237" i="2"/>
  <c r="E255" i="2"/>
  <c r="E238" i="2"/>
  <c r="E222" i="2"/>
  <c r="E206" i="2"/>
  <c r="E205" i="2"/>
  <c r="E283" i="2"/>
  <c r="E256" i="2"/>
  <c r="E240" i="2"/>
  <c r="E239" i="2"/>
  <c r="E223" i="2"/>
  <c r="E270" i="2"/>
  <c r="E257" i="2"/>
  <c r="E241" i="2"/>
  <c r="E224" i="2"/>
  <c r="E208" i="2"/>
  <c r="E282" i="2"/>
  <c r="E260" i="2"/>
  <c r="E242" i="2"/>
  <c r="E225" i="2"/>
  <c r="E209" i="2"/>
  <c r="E243" i="2"/>
  <c r="E226" i="2"/>
  <c r="E265" i="2"/>
  <c r="E258" i="2"/>
  <c r="E244" i="2"/>
  <c r="E227" i="2"/>
  <c r="E211" i="2"/>
  <c r="E292" i="2"/>
  <c r="E245" i="2"/>
  <c r="E228" i="2"/>
  <c r="E212" i="2"/>
  <c r="E246" i="2"/>
  <c r="E229" i="2"/>
  <c r="E213" i="2"/>
  <c r="E269" i="2"/>
  <c r="E263" i="2"/>
  <c r="E247" i="2"/>
  <c r="E230" i="2"/>
  <c r="E214" i="2"/>
  <c r="E278" i="2"/>
  <c r="E248" i="2"/>
  <c r="E231" i="2"/>
  <c r="E215" i="2"/>
  <c r="E198" i="2"/>
  <c r="E280" i="2"/>
  <c r="E275" i="2"/>
  <c r="E259" i="2"/>
  <c r="E249" i="2"/>
  <c r="E232" i="2"/>
  <c r="E216" i="2"/>
  <c r="E250" i="2"/>
  <c r="E233" i="2"/>
  <c r="E217" i="2"/>
  <c r="E331" i="2"/>
  <c r="E325" i="2"/>
  <c r="E308" i="2"/>
  <c r="E251" i="2"/>
  <c r="E234" i="2"/>
  <c r="E264" i="2"/>
  <c r="E252" i="2"/>
  <c r="E235" i="2"/>
  <c r="E180" i="2"/>
  <c r="E164" i="2"/>
  <c r="E148" i="2"/>
  <c r="E219" i="2"/>
  <c r="E181" i="2"/>
  <c r="E165" i="2"/>
  <c r="E149" i="2"/>
  <c r="E182" i="2"/>
  <c r="E166" i="2"/>
  <c r="E150" i="2"/>
  <c r="E268" i="2"/>
  <c r="E201" i="2"/>
  <c r="E183" i="2"/>
  <c r="E167" i="2"/>
  <c r="E151" i="2"/>
  <c r="E220" i="2"/>
  <c r="E184" i="2"/>
  <c r="E168" i="2"/>
  <c r="E296" i="2"/>
  <c r="E221" i="2"/>
  <c r="E197" i="2"/>
  <c r="E185" i="2"/>
  <c r="E169" i="2"/>
  <c r="E153" i="2"/>
  <c r="E272" i="2"/>
  <c r="E186" i="2"/>
  <c r="E170" i="2"/>
  <c r="E154" i="2"/>
  <c r="E138" i="2"/>
  <c r="E188" i="2"/>
  <c r="E187" i="2"/>
  <c r="E171" i="2"/>
  <c r="E155" i="2"/>
  <c r="E189" i="2"/>
  <c r="E172" i="2"/>
  <c r="E156" i="2"/>
  <c r="E199" i="2"/>
  <c r="E196" i="2"/>
  <c r="E190" i="2"/>
  <c r="E173" i="2"/>
  <c r="E157" i="2"/>
  <c r="E141" i="2"/>
  <c r="E191" i="2"/>
  <c r="E174" i="2"/>
  <c r="E253" i="2"/>
  <c r="E207" i="2"/>
  <c r="E204" i="2"/>
  <c r="E192" i="2"/>
  <c r="E175" i="2"/>
  <c r="E210" i="2"/>
  <c r="E203" i="2"/>
  <c r="E193" i="2"/>
  <c r="E176" i="2"/>
  <c r="E160" i="2"/>
  <c r="E144" i="2"/>
  <c r="E202" i="2"/>
  <c r="E194" i="2"/>
  <c r="E177" i="2"/>
  <c r="E161" i="2"/>
  <c r="E145" i="2"/>
  <c r="E200" i="2"/>
  <c r="E195" i="2"/>
  <c r="E178" i="2"/>
  <c r="E162" i="2"/>
  <c r="E236" i="2"/>
  <c r="E218" i="2"/>
  <c r="E159" i="2"/>
  <c r="E137" i="2"/>
  <c r="E130" i="2"/>
  <c r="E116" i="2"/>
  <c r="E100" i="2"/>
  <c r="E84" i="2"/>
  <c r="E117" i="2"/>
  <c r="E101" i="2"/>
  <c r="E163" i="2"/>
  <c r="E152" i="2"/>
  <c r="E118" i="2"/>
  <c r="E102" i="2"/>
  <c r="E119" i="2"/>
  <c r="E103" i="2"/>
  <c r="E120" i="2"/>
  <c r="E104" i="2"/>
  <c r="E88" i="2"/>
  <c r="E131" i="2"/>
  <c r="E121" i="2"/>
  <c r="E105" i="2"/>
  <c r="E147" i="2"/>
  <c r="E143" i="2"/>
  <c r="E142" i="2"/>
  <c r="E122" i="2"/>
  <c r="E106" i="2"/>
  <c r="E90" i="2"/>
  <c r="E140" i="2"/>
  <c r="E134" i="2"/>
  <c r="E123" i="2"/>
  <c r="E107" i="2"/>
  <c r="E135" i="2"/>
  <c r="E133" i="2"/>
  <c r="E124" i="2"/>
  <c r="E108" i="2"/>
  <c r="E92" i="2"/>
  <c r="E76" i="2"/>
  <c r="E139" i="2"/>
  <c r="E125" i="2"/>
  <c r="E109" i="2"/>
  <c r="E93" i="2"/>
  <c r="E146" i="2"/>
  <c r="E136" i="2"/>
  <c r="E126" i="2"/>
  <c r="E110" i="2"/>
  <c r="E94" i="2"/>
  <c r="E78" i="2"/>
  <c r="E158" i="2"/>
  <c r="E127" i="2"/>
  <c r="E111" i="2"/>
  <c r="E95" i="2"/>
  <c r="E128" i="2"/>
  <c r="E112" i="2"/>
  <c r="E96" i="2"/>
  <c r="E179" i="2"/>
  <c r="E132" i="2"/>
  <c r="E129" i="2"/>
  <c r="E113" i="2"/>
  <c r="E97" i="2"/>
  <c r="E114" i="2"/>
  <c r="E98" i="2"/>
  <c r="E82" i="2"/>
  <c r="E89" i="2"/>
  <c r="E80" i="2"/>
  <c r="E64" i="2"/>
  <c r="E48" i="2"/>
  <c r="E32" i="2"/>
  <c r="E16" i="2"/>
  <c r="E99" i="2"/>
  <c r="E74" i="2"/>
  <c r="E65" i="2"/>
  <c r="E49" i="2"/>
  <c r="E33" i="2"/>
  <c r="E66" i="2"/>
  <c r="E50" i="2"/>
  <c r="E34" i="2"/>
  <c r="E18" i="2"/>
  <c r="E85" i="2"/>
  <c r="E70" i="2"/>
  <c r="E51" i="2"/>
  <c r="E35" i="2"/>
  <c r="E73" i="2"/>
  <c r="E52" i="2"/>
  <c r="E36" i="2"/>
  <c r="E67" i="2"/>
  <c r="E53" i="2"/>
  <c r="E37" i="2"/>
  <c r="E54" i="2"/>
  <c r="E38" i="2"/>
  <c r="E86" i="2"/>
  <c r="E79" i="2"/>
  <c r="E72" i="2"/>
  <c r="E55" i="2"/>
  <c r="E39" i="2"/>
  <c r="E23" i="2"/>
  <c r="E56" i="2"/>
  <c r="E57" i="2"/>
  <c r="E41" i="2"/>
  <c r="E81" i="2"/>
  <c r="E68" i="2"/>
  <c r="E58" i="2"/>
  <c r="E42" i="2"/>
  <c r="E26" i="2"/>
  <c r="E59" i="2"/>
  <c r="E43" i="2"/>
  <c r="E83" i="2"/>
  <c r="E77" i="2"/>
  <c r="E60" i="2"/>
  <c r="E44" i="2"/>
  <c r="E91" i="2"/>
  <c r="E87" i="2"/>
  <c r="E71" i="2"/>
  <c r="E61" i="2"/>
  <c r="E45" i="2"/>
  <c r="E29" i="2"/>
  <c r="E13" i="2"/>
  <c r="E115" i="2"/>
  <c r="E75" i="2"/>
  <c r="E62" i="2"/>
  <c r="E46" i="2"/>
  <c r="E30" i="2"/>
  <c r="E14" i="2"/>
  <c r="E63" i="2"/>
  <c r="E22" i="2"/>
  <c r="E15" i="2"/>
  <c r="E11" i="2"/>
  <c r="E31" i="2"/>
  <c r="E27" i="2"/>
  <c r="E10" i="2"/>
  <c r="E19" i="2"/>
  <c r="E40" i="2"/>
  <c r="E28" i="2"/>
  <c r="E17" i="2"/>
  <c r="E21" i="2"/>
  <c r="E9" i="2"/>
  <c r="E47" i="2"/>
  <c r="E69" i="2"/>
  <c r="E24" i="2"/>
  <c r="E25" i="2"/>
  <c r="E20" i="2"/>
  <c r="E12" i="2"/>
  <c r="C21" i="1"/>
  <c r="W32" i="1"/>
  <c r="K1010" i="2" l="1"/>
  <c r="B1010" i="2" s="1" a="1"/>
  <c r="B1010" i="2" s="1"/>
  <c r="H1010" i="2" s="1"/>
  <c r="K264" i="2"/>
  <c r="B264" i="2" s="1" a="1"/>
  <c r="B264" i="2" s="1"/>
  <c r="H264" i="2" s="1"/>
  <c r="B1069" i="2" a="1"/>
  <c r="B1069" i="2" s="1"/>
  <c r="H1069" i="2" s="1"/>
  <c r="B944" i="2" a="1"/>
  <c r="B944" i="2" s="1"/>
  <c r="H944" i="2" s="1"/>
  <c r="B187" i="2" a="1"/>
  <c r="B187" i="2" s="1"/>
  <c r="H187" i="2" s="1"/>
  <c r="B9" i="2" a="1"/>
  <c r="B9" i="2" s="1"/>
  <c r="H9" i="2" s="1"/>
  <c r="B1240" i="2" a="1"/>
  <c r="B1240" i="2" s="1"/>
  <c r="H1240" i="2" s="1"/>
  <c r="H158" i="2"/>
  <c r="H244" i="2"/>
  <c r="K1218" i="2"/>
  <c r="B1218" i="2" s="1" a="1"/>
  <c r="B1218" i="2" s="1"/>
  <c r="H1218" i="2" s="1"/>
  <c r="H326" i="2"/>
  <c r="H684" i="2"/>
  <c r="B724" i="2" a="1"/>
  <c r="B724" i="2" s="1"/>
  <c r="H724" i="2" s="1"/>
  <c r="H293" i="2"/>
  <c r="H539" i="2"/>
  <c r="H315" i="2"/>
  <c r="H765" i="2"/>
  <c r="H1107" i="2"/>
  <c r="I1107" i="2" s="1"/>
  <c r="K1171" i="2"/>
  <c r="B1171" i="2" s="1" a="1"/>
  <c r="B1171" i="2" s="1"/>
  <c r="H1171" i="2" s="1"/>
  <c r="K48" i="2"/>
  <c r="B48" i="2" s="1" a="1"/>
  <c r="B48" i="2" s="1"/>
  <c r="H48" i="2" s="1"/>
  <c r="H805" i="2"/>
  <c r="K798" i="2"/>
  <c r="B798" i="2" s="1" a="1"/>
  <c r="B798" i="2" s="1"/>
  <c r="H798" i="2" s="1"/>
  <c r="H1093" i="2"/>
  <c r="B108" i="2" a="1"/>
  <c r="B108" i="2" s="1"/>
  <c r="H108" i="2" s="1"/>
  <c r="H698" i="2"/>
  <c r="I698" i="2" s="1"/>
  <c r="K419" i="2"/>
  <c r="B419" i="2" s="1" a="1"/>
  <c r="B419" i="2" s="1"/>
  <c r="H419" i="2" s="1"/>
  <c r="H922" i="2"/>
  <c r="H632" i="2"/>
  <c r="K787" i="2"/>
  <c r="B787" i="2" s="1" a="1"/>
  <c r="B787" i="2" s="1"/>
  <c r="H787" i="2" s="1"/>
  <c r="K770" i="2"/>
  <c r="B770" i="2" s="1" a="1"/>
  <c r="B770" i="2" s="1"/>
  <c r="H770" i="2" s="1"/>
  <c r="H757" i="2"/>
  <c r="K200" i="2"/>
  <c r="B200" i="2" s="1" a="1"/>
  <c r="B200" i="2" s="1"/>
  <c r="H200" i="2" s="1"/>
  <c r="H378" i="2"/>
  <c r="B1257" i="2" a="1"/>
  <c r="B1257" i="2" s="1"/>
  <c r="H1257" i="2" s="1"/>
  <c r="K950" i="2"/>
  <c r="B950" i="2" s="1" a="1"/>
  <c r="B950" i="2" s="1"/>
  <c r="H950" i="2" s="1"/>
  <c r="H1094" i="2"/>
  <c r="H386" i="2"/>
  <c r="K541" i="2"/>
  <c r="B541" i="2" s="1" a="1"/>
  <c r="B541" i="2" s="1"/>
  <c r="H541" i="2" s="1"/>
  <c r="H299" i="2"/>
  <c r="K295" i="2"/>
  <c r="B295" i="2" s="1" a="1"/>
  <c r="B295" i="2" s="1"/>
  <c r="H295" i="2" s="1"/>
  <c r="K339" i="2"/>
  <c r="B339" i="2" s="1" a="1"/>
  <c r="B339" i="2" s="1"/>
  <c r="H339" i="2" s="1"/>
  <c r="K1138" i="2"/>
  <c r="B1138" i="2" s="1" a="1"/>
  <c r="B1138" i="2" s="1"/>
  <c r="H1138" i="2" s="1"/>
  <c r="H1230" i="2"/>
  <c r="H1036" i="2"/>
  <c r="K1243" i="2"/>
  <c r="B1243" i="2" s="1" a="1"/>
  <c r="B1243" i="2" s="1"/>
  <c r="H1243" i="2" s="1"/>
  <c r="I1243" i="2" s="1"/>
  <c r="H215" i="2"/>
  <c r="H1057" i="2"/>
  <c r="K492" i="2"/>
  <c r="B492" i="2" s="1" a="1"/>
  <c r="B492" i="2" s="1"/>
  <c r="H492" i="2" s="1"/>
  <c r="H186" i="2"/>
  <c r="H578" i="2"/>
  <c r="K817" i="2"/>
  <c r="B817" i="2" s="1" a="1"/>
  <c r="B817" i="2" s="1"/>
  <c r="H817" i="2" s="1"/>
  <c r="K854" i="2"/>
  <c r="B854" i="2" s="1" a="1"/>
  <c r="B854" i="2" s="1"/>
  <c r="H854" i="2" s="1"/>
  <c r="K385" i="2"/>
  <c r="B385" i="2" s="1" a="1"/>
  <c r="B385" i="2" s="1"/>
  <c r="H385" i="2" s="1"/>
  <c r="K148" i="2"/>
  <c r="B148" i="2" s="1" a="1"/>
  <c r="B148" i="2" s="1"/>
  <c r="H148" i="2" s="1"/>
  <c r="H1252" i="2"/>
  <c r="H474" i="2"/>
  <c r="B776" i="2" a="1"/>
  <c r="B776" i="2" s="1"/>
  <c r="H776" i="2" s="1"/>
  <c r="K553" i="2"/>
  <c r="B553" i="2" s="1" a="1"/>
  <c r="B553" i="2" s="1"/>
  <c r="H553" i="2" s="1"/>
  <c r="K1099" i="2"/>
  <c r="B1099" i="2" s="1" a="1"/>
  <c r="B1099" i="2" s="1"/>
  <c r="H1099" i="2" s="1"/>
  <c r="B1253" i="2" a="1"/>
  <c r="B1253" i="2" s="1"/>
  <c r="H1253" i="2" s="1"/>
  <c r="I1253" i="2" s="1"/>
  <c r="B561" i="2" a="1"/>
  <c r="B561" i="2" s="1"/>
  <c r="H561" i="2" s="1"/>
  <c r="K342" i="2"/>
  <c r="B342" i="2" s="1" a="1"/>
  <c r="B342" i="2" s="1"/>
  <c r="H342" i="2" s="1"/>
  <c r="B131" i="2" a="1"/>
  <c r="B131" i="2" s="1"/>
  <c r="H131" i="2" s="1"/>
  <c r="B500" i="2" a="1"/>
  <c r="B500" i="2" s="1"/>
  <c r="H500" i="2" s="1"/>
  <c r="K1016" i="2"/>
  <c r="B1016" i="2" s="1" a="1"/>
  <c r="B1016" i="2" s="1"/>
  <c r="H1016" i="2" s="1"/>
  <c r="K10" i="2"/>
  <c r="B10" i="2" s="1" a="1"/>
  <c r="B10" i="2" s="1"/>
  <c r="H10" i="2" s="1"/>
  <c r="I10" i="2" s="1"/>
  <c r="B688" i="2" a="1"/>
  <c r="B688" i="2" s="1"/>
  <c r="H688" i="2" s="1"/>
  <c r="K656" i="2"/>
  <c r="B656" i="2" s="1" a="1"/>
  <c r="B656" i="2" s="1"/>
  <c r="H656" i="2" s="1"/>
  <c r="B647" i="2" a="1"/>
  <c r="B647" i="2" s="1"/>
  <c r="H647" i="2" s="1"/>
  <c r="K1211" i="2"/>
  <c r="B1211" i="2" s="1" a="1"/>
  <c r="B1211" i="2" s="1"/>
  <c r="H1211" i="2" s="1"/>
  <c r="B176" i="2" a="1"/>
  <c r="B176" i="2" s="1"/>
  <c r="H176" i="2" s="1"/>
  <c r="K1235" i="2"/>
  <c r="B1235" i="2" s="1" a="1"/>
  <c r="B1235" i="2" s="1"/>
  <c r="H1235" i="2" s="1"/>
  <c r="I1235" i="2" s="1"/>
  <c r="B1067" i="2" a="1"/>
  <c r="B1067" i="2" s="1"/>
  <c r="H1067" i="2" s="1"/>
  <c r="I1067" i="2" s="1"/>
  <c r="K529" i="2"/>
  <c r="B529" i="2" s="1" a="1"/>
  <c r="B529" i="2" s="1"/>
  <c r="H529" i="2" s="1"/>
  <c r="K246" i="2"/>
  <c r="B246" i="2" s="1" a="1"/>
  <c r="B246" i="2" s="1"/>
  <c r="H246" i="2" s="1"/>
  <c r="K844" i="2"/>
  <c r="B844" i="2" s="1" a="1"/>
  <c r="B844" i="2" s="1"/>
  <c r="H844" i="2" s="1"/>
  <c r="K1161" i="2"/>
  <c r="B1161" i="2" s="1" a="1"/>
  <c r="B1161" i="2" s="1"/>
  <c r="H1161" i="2" s="1"/>
  <c r="K193" i="2"/>
  <c r="B193" i="2" s="1" a="1"/>
  <c r="B193" i="2" s="1"/>
  <c r="H193" i="2" s="1"/>
  <c r="B133" i="2" a="1"/>
  <c r="B133" i="2" s="1"/>
  <c r="H133" i="2" s="1"/>
  <c r="B371" i="2" a="1"/>
  <c r="B371" i="2" s="1"/>
  <c r="H371" i="2" s="1"/>
  <c r="K999" i="2"/>
  <c r="B999" i="2" s="1" a="1"/>
  <c r="B999" i="2" s="1"/>
  <c r="H999" i="2" s="1"/>
  <c r="K149" i="2"/>
  <c r="B149" i="2" s="1" a="1"/>
  <c r="B149" i="2" s="1"/>
  <c r="H149" i="2" s="1"/>
  <c r="B692" i="2" a="1"/>
  <c r="B692" i="2" s="1"/>
  <c r="H692" i="2" s="1"/>
  <c r="K984" i="2"/>
  <c r="B984" i="2" s="1" a="1"/>
  <c r="B984" i="2" s="1"/>
  <c r="H984" i="2" s="1"/>
  <c r="K163" i="2"/>
  <c r="B163" i="2" s="1" a="1"/>
  <c r="B163" i="2" s="1"/>
  <c r="H163" i="2" s="1"/>
  <c r="K1129" i="2"/>
  <c r="B1129" i="2" s="1" a="1"/>
  <c r="B1129" i="2" s="1"/>
  <c r="H1129" i="2" s="1"/>
  <c r="K662" i="2"/>
  <c r="B662" i="2" s="1" a="1"/>
  <c r="B662" i="2" s="1"/>
  <c r="H662" i="2" s="1"/>
  <c r="K587" i="2"/>
  <c r="B587" i="2" s="1" a="1"/>
  <c r="B587" i="2" s="1"/>
  <c r="H587" i="2" s="1"/>
  <c r="K175" i="2"/>
  <c r="B175" i="2" s="1" a="1"/>
  <c r="B175" i="2" s="1"/>
  <c r="H175" i="2" s="1"/>
  <c r="I272" i="2" s="1"/>
  <c r="K375" i="2"/>
  <c r="B375" i="2" s="1" a="1"/>
  <c r="B375" i="2" s="1"/>
  <c r="H375" i="2" s="1"/>
  <c r="K554" i="2"/>
  <c r="B554" i="2" s="1" a="1"/>
  <c r="B554" i="2" s="1"/>
  <c r="H554" i="2" s="1"/>
  <c r="K949" i="2"/>
  <c r="B949" i="2" s="1" a="1"/>
  <c r="B949" i="2" s="1"/>
  <c r="H949" i="2" s="1"/>
  <c r="K977" i="2"/>
  <c r="B977" i="2" s="1" a="1"/>
  <c r="B977" i="2" s="1"/>
  <c r="H977" i="2" s="1"/>
  <c r="K1047" i="2"/>
  <c r="B1047" i="2" s="1" a="1"/>
  <c r="B1047" i="2" s="1"/>
  <c r="H1047" i="2" s="1"/>
  <c r="B744" i="2" a="1"/>
  <c r="B744" i="2" s="1"/>
  <c r="H744" i="2" s="1"/>
  <c r="B100" i="2" a="1"/>
  <c r="B100" i="2" s="1"/>
  <c r="H100" i="2" s="1"/>
  <c r="K422" i="2"/>
  <c r="B422" i="2" s="1" a="1"/>
  <c r="B422" i="2" s="1"/>
  <c r="H422" i="2" s="1"/>
  <c r="K693" i="2"/>
  <c r="B693" i="2" s="1" a="1"/>
  <c r="B693" i="2" s="1"/>
  <c r="H693" i="2" s="1"/>
  <c r="K906" i="2"/>
  <c r="B906" i="2" s="1" a="1"/>
  <c r="B906" i="2" s="1"/>
  <c r="H906" i="2" s="1"/>
  <c r="K713" i="2"/>
  <c r="B713" i="2" s="1" a="1"/>
  <c r="B713" i="2" s="1"/>
  <c r="H713" i="2" s="1"/>
  <c r="K877" i="2"/>
  <c r="B877" i="2" s="1" a="1"/>
  <c r="B877" i="2" s="1"/>
  <c r="H877" i="2" s="1"/>
  <c r="I877" i="2" s="1"/>
  <c r="K974" i="2"/>
  <c r="B974" i="2" s="1" a="1"/>
  <c r="B974" i="2" s="1"/>
  <c r="H974" i="2" s="1"/>
  <c r="K608" i="2"/>
  <c r="B608" i="2" s="1" a="1"/>
  <c r="B608" i="2" s="1"/>
  <c r="H608" i="2" s="1"/>
  <c r="K367" i="2"/>
  <c r="B367" i="2" s="1" a="1"/>
  <c r="B367" i="2" s="1"/>
  <c r="H367" i="2" s="1"/>
  <c r="K821" i="2"/>
  <c r="B821" i="2" s="1" a="1"/>
  <c r="B821" i="2" s="1"/>
  <c r="H821" i="2" s="1"/>
  <c r="I1081" i="2" s="1"/>
  <c r="K53" i="2"/>
  <c r="B53" i="2" s="1" a="1"/>
  <c r="B53" i="2" s="1"/>
  <c r="H53" i="2" s="1"/>
  <c r="K643" i="2"/>
  <c r="B643" i="2" s="1" a="1"/>
  <c r="B643" i="2" s="1"/>
  <c r="H643" i="2" s="1"/>
  <c r="K732" i="2"/>
  <c r="B732" i="2" s="1" a="1"/>
  <c r="B732" i="2" s="1"/>
  <c r="H732" i="2" s="1"/>
  <c r="K1088" i="2"/>
  <c r="B1088" i="2" s="1" a="1"/>
  <c r="B1088" i="2" s="1"/>
  <c r="H1088" i="2" s="1"/>
  <c r="K1019" i="2"/>
  <c r="B1019" i="2" s="1" a="1"/>
  <c r="B1019" i="2" s="1"/>
  <c r="H1019" i="2" s="1"/>
  <c r="K354" i="2"/>
  <c r="B354" i="2" s="1" a="1"/>
  <c r="B354" i="2" s="1"/>
  <c r="H354" i="2" s="1"/>
  <c r="K905" i="2"/>
  <c r="B905" i="2" s="1" a="1"/>
  <c r="B905" i="2" s="1"/>
  <c r="H905" i="2" s="1"/>
  <c r="K263" i="2"/>
  <c r="B263" i="2" s="1" a="1"/>
  <c r="B263" i="2" s="1"/>
  <c r="H263" i="2" s="1"/>
  <c r="K199" i="2"/>
  <c r="B199" i="2" s="1" a="1"/>
  <c r="B199" i="2" s="1"/>
  <c r="H199" i="2" s="1"/>
  <c r="K806" i="2"/>
  <c r="B806" i="2" s="1" a="1"/>
  <c r="B806" i="2" s="1"/>
  <c r="H806" i="2" s="1"/>
  <c r="K129" i="2"/>
  <c r="B129" i="2" s="1" a="1"/>
  <c r="B129" i="2" s="1"/>
  <c r="H129" i="2" s="1"/>
  <c r="K700" i="2"/>
  <c r="B700" i="2" s="1" a="1"/>
  <c r="B700" i="2" s="1"/>
  <c r="H700" i="2" s="1"/>
  <c r="K182" i="2"/>
  <c r="B182" i="2" s="1" a="1"/>
  <c r="B182" i="2" s="1"/>
  <c r="H182" i="2" s="1"/>
  <c r="K1125" i="2"/>
  <c r="B1125" i="2" s="1" a="1"/>
  <c r="B1125" i="2" s="1"/>
  <c r="H1125" i="2" s="1"/>
  <c r="K728" i="2"/>
  <c r="B728" i="2" s="1" a="1"/>
  <c r="B728" i="2" s="1"/>
  <c r="H728" i="2" s="1"/>
  <c r="K1174" i="2"/>
  <c r="B1174" i="2" s="1" a="1"/>
  <c r="B1174" i="2" s="1"/>
  <c r="H1174" i="2" s="1"/>
  <c r="I1174" i="2" s="1"/>
  <c r="K94" i="2"/>
  <c r="B94" i="2" s="1" a="1"/>
  <c r="B94" i="2" s="1"/>
  <c r="H94" i="2" s="1"/>
  <c r="K1152" i="2"/>
  <c r="B1152" i="2" s="1" a="1"/>
  <c r="B1152" i="2" s="1"/>
  <c r="H1152" i="2" s="1"/>
  <c r="I1152" i="2" s="1"/>
  <c r="K95" i="2"/>
  <c r="B95" i="2" s="1" a="1"/>
  <c r="B95" i="2" s="1"/>
  <c r="H95" i="2" s="1"/>
  <c r="K549" i="2"/>
  <c r="B549" i="2" s="1" a="1"/>
  <c r="B549" i="2" s="1"/>
  <c r="H549" i="2" s="1"/>
  <c r="K1015" i="2"/>
  <c r="B1015" i="2" s="1" a="1"/>
  <c r="B1015" i="2" s="1"/>
  <c r="H1015" i="2" s="1"/>
  <c r="K276" i="2"/>
  <c r="B276" i="2" s="1" a="1"/>
  <c r="B276" i="2" s="1"/>
  <c r="H276" i="2" s="1"/>
  <c r="K924" i="2"/>
  <c r="B924" i="2" s="1" a="1"/>
  <c r="B924" i="2" s="1"/>
  <c r="H924" i="2" s="1"/>
  <c r="K85" i="2"/>
  <c r="B85" i="2" s="1" a="1"/>
  <c r="B85" i="2" s="1"/>
  <c r="H85" i="2" s="1"/>
  <c r="K168" i="2"/>
  <c r="B168" i="2" s="1" a="1"/>
  <c r="B168" i="2" s="1"/>
  <c r="H168" i="2" s="1"/>
  <c r="I168" i="2" s="1"/>
  <c r="K349" i="2"/>
  <c r="B349" i="2" s="1" a="1"/>
  <c r="B349" i="2" s="1"/>
  <c r="H349" i="2" s="1"/>
  <c r="K1032" i="2"/>
  <c r="B1032" i="2" s="1" a="1"/>
  <c r="B1032" i="2" s="1"/>
  <c r="H1032" i="2" s="1"/>
  <c r="K443" i="2"/>
  <c r="B443" i="2" s="1" a="1"/>
  <c r="B443" i="2" s="1"/>
  <c r="H443" i="2" s="1"/>
  <c r="B818" i="2" a="1"/>
  <c r="B818" i="2" s="1"/>
  <c r="H818" i="2" s="1"/>
  <c r="B717" i="2" a="1"/>
  <c r="B717" i="2" s="1"/>
  <c r="H717" i="2" s="1"/>
  <c r="B1121" i="2" a="1"/>
  <c r="B1121" i="2" s="1"/>
  <c r="H1121" i="2" s="1"/>
  <c r="I1121" i="2" s="1"/>
  <c r="B388" i="2" a="1"/>
  <c r="B388" i="2" s="1"/>
  <c r="H388" i="2" s="1"/>
  <c r="B856" i="2" a="1"/>
  <c r="B856" i="2" s="1"/>
  <c r="H856" i="2" s="1"/>
  <c r="B1200" i="2" a="1"/>
  <c r="B1200" i="2" s="1"/>
  <c r="H1200" i="2" s="1"/>
  <c r="B864" i="2" a="1"/>
  <c r="B864" i="2" s="1"/>
  <c r="H864" i="2" s="1"/>
  <c r="B1020" i="2" a="1"/>
  <c r="B1020" i="2" s="1"/>
  <c r="H1020" i="2" s="1"/>
  <c r="B989" i="2" a="1"/>
  <c r="B989" i="2" s="1"/>
  <c r="H989" i="2" s="1"/>
  <c r="B825" i="2" a="1"/>
  <c r="B825" i="2" s="1"/>
  <c r="H825" i="2" s="1"/>
  <c r="B880" i="2" a="1"/>
  <c r="B880" i="2" s="1"/>
  <c r="H880" i="2" s="1"/>
  <c r="B245" i="2" a="1"/>
  <c r="B245" i="2" s="1"/>
  <c r="H245" i="2" s="1"/>
  <c r="B1216" i="2" a="1"/>
  <c r="B1216" i="2" s="1"/>
  <c r="H1216" i="2" s="1"/>
  <c r="I1216" i="2" s="1"/>
  <c r="B774" i="2" a="1"/>
  <c r="B774" i="2" s="1"/>
  <c r="H774" i="2" s="1"/>
  <c r="B1196" i="2" a="1"/>
  <c r="B1196" i="2" s="1"/>
  <c r="H1196" i="2" s="1"/>
  <c r="B690" i="2" a="1"/>
  <c r="B690" i="2" s="1"/>
  <c r="H690" i="2" s="1"/>
  <c r="K1157" i="2"/>
  <c r="B1157" i="2" s="1" a="1"/>
  <c r="B1157" i="2" s="1"/>
  <c r="H1157" i="2" s="1"/>
  <c r="I1157" i="2" s="1"/>
  <c r="B1163" i="2" a="1"/>
  <c r="B1163" i="2" s="1"/>
  <c r="H1163" i="2" s="1"/>
  <c r="B338" i="2" a="1"/>
  <c r="B338" i="2" s="1"/>
  <c r="H338" i="2" s="1"/>
  <c r="B978" i="2" a="1"/>
  <c r="B978" i="2" s="1"/>
  <c r="H978" i="2" s="1"/>
  <c r="B1060" i="2" a="1"/>
  <c r="B1060" i="2" s="1"/>
  <c r="H1060" i="2" s="1"/>
  <c r="B1182" i="2" a="1"/>
  <c r="B1182" i="2" s="1"/>
  <c r="H1182" i="2" s="1"/>
  <c r="K681" i="2"/>
  <c r="B681" i="2" s="1" a="1"/>
  <c r="B681" i="2" s="1"/>
  <c r="H681" i="2" s="1"/>
  <c r="B596" i="2" a="1"/>
  <c r="B596" i="2" s="1"/>
  <c r="H596" i="2" s="1"/>
  <c r="K144" i="2"/>
  <c r="B144" i="2" s="1" a="1"/>
  <c r="B144" i="2" s="1"/>
  <c r="H144" i="2" s="1"/>
  <c r="B665" i="2" a="1"/>
  <c r="B665" i="2" s="1"/>
  <c r="H665" i="2" s="1"/>
  <c r="B795" i="2" a="1"/>
  <c r="B795" i="2" s="1"/>
  <c r="H795" i="2" s="1"/>
  <c r="B847" i="2" a="1"/>
  <c r="B847" i="2" s="1"/>
  <c r="H847" i="2" s="1"/>
  <c r="B455" i="2" a="1"/>
  <c r="B455" i="2" s="1"/>
  <c r="H455" i="2" s="1"/>
  <c r="B1239" i="2" a="1"/>
  <c r="B1239" i="2" s="1"/>
  <c r="H1239" i="2" s="1"/>
  <c r="I1239" i="2" s="1"/>
  <c r="B202" i="2" a="1"/>
  <c r="B202" i="2" s="1"/>
  <c r="H202" i="2" s="1"/>
  <c r="K1178" i="2"/>
  <c r="B1178" i="2" s="1" a="1"/>
  <c r="B1178" i="2" s="1"/>
  <c r="H1178" i="2" s="1"/>
  <c r="K853" i="2"/>
  <c r="B853" i="2" s="1" a="1"/>
  <c r="B853" i="2" s="1"/>
  <c r="H853" i="2" s="1"/>
  <c r="K262" i="2"/>
  <c r="B262" i="2" s="1" a="1"/>
  <c r="B262" i="2" s="1"/>
  <c r="H262" i="2" s="1"/>
  <c r="I262" i="2" s="1"/>
  <c r="H155" i="2"/>
  <c r="K1259" i="2"/>
  <c r="B1259" i="2" s="1" a="1"/>
  <c r="B1259" i="2" s="1"/>
  <c r="H1259" i="2" s="1"/>
  <c r="H1052" i="2"/>
  <c r="I1052" i="2" s="1"/>
  <c r="H746" i="2"/>
  <c r="K1092" i="2"/>
  <c r="B1092" i="2" s="1" a="1"/>
  <c r="B1092" i="2" s="1"/>
  <c r="H1092" i="2" s="1"/>
  <c r="H797" i="2"/>
  <c r="I797" i="2" s="1"/>
  <c r="K1074" i="2"/>
  <c r="B1074" i="2" s="1" a="1"/>
  <c r="B1074" i="2" s="1"/>
  <c r="H1074" i="2" s="1"/>
  <c r="K334" i="2"/>
  <c r="B334" i="2" s="1" a="1"/>
  <c r="B334" i="2" s="1"/>
  <c r="H334" i="2" s="1"/>
  <c r="H267" i="2"/>
  <c r="H564" i="2"/>
  <c r="H890" i="2"/>
  <c r="K946" i="2"/>
  <c r="B946" i="2" s="1" a="1"/>
  <c r="B946" i="2" s="1"/>
  <c r="H946" i="2" s="1"/>
  <c r="K1087" i="2"/>
  <c r="B1087" i="2" s="1" a="1"/>
  <c r="B1087" i="2" s="1"/>
  <c r="H1087" i="2" s="1"/>
  <c r="K1172" i="2"/>
  <c r="B1172" i="2" s="1" a="1"/>
  <c r="B1172" i="2" s="1"/>
  <c r="H1172" i="2" s="1"/>
  <c r="I1172" i="2" s="1"/>
  <c r="K807" i="2"/>
  <c r="B807" i="2" s="1" a="1"/>
  <c r="B807" i="2" s="1"/>
  <c r="H807" i="2" s="1"/>
  <c r="I807" i="2" s="1"/>
  <c r="K390" i="2"/>
  <c r="B390" i="2" s="1" a="1"/>
  <c r="B390" i="2" s="1"/>
  <c r="H390" i="2" s="1"/>
  <c r="H869" i="2"/>
  <c r="I789" i="2"/>
  <c r="H552" i="2"/>
  <c r="K781" i="2"/>
  <c r="B781" i="2" s="1" a="1"/>
  <c r="B781" i="2" s="1"/>
  <c r="H781" i="2" s="1"/>
  <c r="I781" i="2" s="1"/>
  <c r="K750" i="2"/>
  <c r="B750" i="2" s="1" a="1"/>
  <c r="B750" i="2" s="1"/>
  <c r="H750" i="2" s="1"/>
  <c r="K671" i="2"/>
  <c r="B671" i="2" s="1" a="1"/>
  <c r="B671" i="2" s="1"/>
  <c r="H671" i="2" s="1"/>
  <c r="H1141" i="2"/>
  <c r="I1188" i="2" s="1"/>
  <c r="H268" i="2"/>
  <c r="H249" i="2"/>
  <c r="H617" i="2"/>
  <c r="H1119" i="2"/>
  <c r="H445" i="2"/>
  <c r="K430" i="2"/>
  <c r="B430" i="2" s="1" a="1"/>
  <c r="B430" i="2" s="1"/>
  <c r="H430" i="2" s="1"/>
  <c r="H57" i="2"/>
  <c r="H306" i="2"/>
  <c r="K303" i="2"/>
  <c r="B303" i="2" s="1" a="1"/>
  <c r="B303" i="2" s="1"/>
  <c r="H303" i="2" s="1"/>
  <c r="H866" i="2"/>
  <c r="K482" i="2"/>
  <c r="B482" i="2" s="1" a="1"/>
  <c r="B482" i="2" s="1"/>
  <c r="H482" i="2" s="1"/>
  <c r="K1111" i="2"/>
  <c r="B1111" i="2" s="1" a="1"/>
  <c r="B1111" i="2" s="1"/>
  <c r="H1111" i="2" s="1"/>
  <c r="H405" i="2"/>
  <c r="H1133" i="2"/>
  <c r="I1133" i="2" s="1"/>
  <c r="K720" i="2"/>
  <c r="B720" i="2" s="1" a="1"/>
  <c r="B720" i="2" s="1"/>
  <c r="H720" i="2" s="1"/>
  <c r="H128" i="2"/>
  <c r="I128" i="2" s="1"/>
  <c r="H43" i="2"/>
  <c r="H280" i="2"/>
  <c r="I280" i="2" s="1"/>
  <c r="K602" i="2"/>
  <c r="B602" i="2" s="1" a="1"/>
  <c r="B602" i="2" s="1"/>
  <c r="H602" i="2" s="1"/>
  <c r="H816" i="2"/>
  <c r="K897" i="2"/>
  <c r="B897" i="2" s="1" a="1"/>
  <c r="B897" i="2" s="1"/>
  <c r="H897" i="2" s="1"/>
  <c r="H297" i="2"/>
  <c r="K261" i="2"/>
  <c r="B261" i="2" s="1" a="1"/>
  <c r="B261" i="2" s="1"/>
  <c r="H261" i="2" s="1"/>
  <c r="H256" i="2"/>
  <c r="B374" i="2" a="1"/>
  <c r="B374" i="2" s="1"/>
  <c r="H374" i="2" s="1"/>
  <c r="H1144" i="2"/>
  <c r="H217" i="2"/>
  <c r="H651" i="2"/>
  <c r="H1264" i="2"/>
  <c r="H953" i="2"/>
  <c r="H1026" i="2"/>
  <c r="B644" i="2" a="1"/>
  <c r="B644" i="2" s="1"/>
  <c r="H644" i="2" s="1"/>
  <c r="H801" i="2"/>
  <c r="H240" i="2"/>
  <c r="K335" i="2"/>
  <c r="B335" i="2" s="1" a="1"/>
  <c r="B335" i="2" s="1"/>
  <c r="H335" i="2" s="1"/>
  <c r="H689" i="2"/>
  <c r="H387" i="2"/>
  <c r="K809" i="2"/>
  <c r="B809" i="2" s="1" a="1"/>
  <c r="B809" i="2" s="1"/>
  <c r="H809" i="2" s="1"/>
  <c r="I809" i="2" s="1"/>
  <c r="H883" i="2"/>
  <c r="K1221" i="2"/>
  <c r="B1221" i="2" s="1" a="1"/>
  <c r="B1221" i="2" s="1"/>
  <c r="H1221" i="2" s="1"/>
  <c r="B1224" i="2" a="1"/>
  <c r="B1224" i="2" s="1"/>
  <c r="H1224" i="2" s="1"/>
  <c r="K895" i="2"/>
  <c r="B895" i="2" s="1" a="1"/>
  <c r="B895" i="2" s="1"/>
  <c r="H895" i="2" s="1"/>
  <c r="H22" i="2"/>
  <c r="H97" i="2"/>
  <c r="H783" i="2"/>
  <c r="H938" i="2"/>
  <c r="K959" i="2"/>
  <c r="B959" i="2" s="1" a="1"/>
  <c r="B959" i="2" s="1"/>
  <c r="H959" i="2" s="1"/>
  <c r="H167" i="2"/>
  <c r="K1089" i="2"/>
  <c r="B1089" i="2" s="1" a="1"/>
  <c r="B1089" i="2" s="1"/>
  <c r="H1089" i="2" s="1"/>
  <c r="H519" i="2"/>
  <c r="H802" i="2"/>
  <c r="H119" i="2"/>
  <c r="H505" i="2"/>
  <c r="H486" i="2"/>
  <c r="K796" i="2"/>
  <c r="B796" i="2" s="1" a="1"/>
  <c r="B796" i="2" s="1"/>
  <c r="H796" i="2" s="1"/>
  <c r="I796" i="2" s="1"/>
  <c r="H794" i="2"/>
  <c r="H670" i="2"/>
  <c r="K110" i="2"/>
  <c r="B110" i="2" s="1" a="1"/>
  <c r="B110" i="2" s="1"/>
  <c r="H110" i="2" s="1"/>
  <c r="H456" i="2"/>
  <c r="H72" i="2"/>
  <c r="K943" i="2"/>
  <c r="B943" i="2" s="1" a="1"/>
  <c r="B943" i="2" s="1"/>
  <c r="H943" i="2" s="1"/>
  <c r="K1051" i="2"/>
  <c r="B1051" i="2" s="1" a="1"/>
  <c r="B1051" i="2" s="1"/>
  <c r="H1051" i="2" s="1"/>
  <c r="H350" i="2"/>
  <c r="K1068" i="2"/>
  <c r="B1068" i="2" s="1" a="1"/>
  <c r="B1068" i="2" s="1"/>
  <c r="H1068" i="2" s="1"/>
  <c r="I1068" i="2" s="1"/>
  <c r="K501" i="2"/>
  <c r="B501" i="2" s="1" a="1"/>
  <c r="B501" i="2" s="1"/>
  <c r="H501" i="2" s="1"/>
  <c r="K33" i="2"/>
  <c r="B33" i="2" s="1" a="1"/>
  <c r="B33" i="2" s="1"/>
  <c r="H33" i="2" s="1"/>
  <c r="K827" i="2"/>
  <c r="B827" i="2" s="1" a="1"/>
  <c r="B827" i="2" s="1"/>
  <c r="H827" i="2" s="1"/>
  <c r="H12" i="2"/>
  <c r="I12" i="2" s="1"/>
  <c r="K655" i="2"/>
  <c r="B655" i="2" s="1" a="1"/>
  <c r="B655" i="2" s="1"/>
  <c r="H655" i="2" s="1"/>
  <c r="K566" i="2"/>
  <c r="B566" i="2" s="1" a="1"/>
  <c r="B566" i="2" s="1"/>
  <c r="H566" i="2" s="1"/>
  <c r="K882" i="2"/>
  <c r="B882" i="2" s="1" a="1"/>
  <c r="B882" i="2" s="1"/>
  <c r="H882" i="2" s="1"/>
  <c r="K574" i="2"/>
  <c r="B574" i="2" s="1" a="1"/>
  <c r="B574" i="2" s="1"/>
  <c r="H574" i="2" s="1"/>
  <c r="K160" i="2"/>
  <c r="B160" i="2" s="1" a="1"/>
  <c r="B160" i="2" s="1"/>
  <c r="H160" i="2" s="1"/>
  <c r="H209" i="2"/>
  <c r="K439" i="2"/>
  <c r="B439" i="2" s="1" a="1"/>
  <c r="B439" i="2" s="1"/>
  <c r="H439" i="2" s="1"/>
  <c r="K322" i="2"/>
  <c r="B322" i="2" s="1" a="1"/>
  <c r="B322" i="2" s="1"/>
  <c r="H322" i="2" s="1"/>
  <c r="K657" i="2"/>
  <c r="B657" i="2" s="1" a="1"/>
  <c r="B657" i="2" s="1"/>
  <c r="H657" i="2" s="1"/>
  <c r="I657" i="2" s="1"/>
  <c r="K570" i="2"/>
  <c r="B570" i="2" s="1" a="1"/>
  <c r="B570" i="2" s="1"/>
  <c r="H570" i="2" s="1"/>
  <c r="H623" i="2"/>
  <c r="H487" i="2"/>
  <c r="K1025" i="2"/>
  <c r="B1025" i="2" s="1" a="1"/>
  <c r="B1025" i="2" s="1"/>
  <c r="H1025" i="2" s="1"/>
  <c r="K255" i="2"/>
  <c r="B255" i="2" s="1" a="1"/>
  <c r="B255" i="2" s="1"/>
  <c r="H255" i="2" s="1"/>
  <c r="K221" i="2"/>
  <c r="B221" i="2" s="1" a="1"/>
  <c r="B221" i="2" s="1"/>
  <c r="H221" i="2" s="1"/>
  <c r="K273" i="2"/>
  <c r="B273" i="2" s="1" a="1"/>
  <c r="B273" i="2" s="1"/>
  <c r="H273" i="2" s="1"/>
  <c r="K319" i="2"/>
  <c r="B319" i="2" s="1" a="1"/>
  <c r="B319" i="2" s="1"/>
  <c r="H319" i="2" s="1"/>
  <c r="K449" i="2"/>
  <c r="B449" i="2" s="1" a="1"/>
  <c r="B449" i="2" s="1"/>
  <c r="H449" i="2" s="1"/>
  <c r="K699" i="2"/>
  <c r="B699" i="2" s="1" a="1"/>
  <c r="B699" i="2" s="1"/>
  <c r="H699" i="2" s="1"/>
  <c r="K207" i="2"/>
  <c r="B207" i="2" s="1" a="1"/>
  <c r="B207" i="2" s="1"/>
  <c r="H207" i="2" s="1"/>
  <c r="K1134" i="2"/>
  <c r="B1134" i="2" s="1" a="1"/>
  <c r="B1134" i="2" s="1"/>
  <c r="H1134" i="2" s="1"/>
  <c r="K412" i="2"/>
  <c r="B412" i="2" s="1" a="1"/>
  <c r="B412" i="2" s="1"/>
  <c r="H412" i="2" s="1"/>
  <c r="K313" i="2"/>
  <c r="B313" i="2" s="1" a="1"/>
  <c r="B313" i="2" s="1"/>
  <c r="H313" i="2" s="1"/>
  <c r="K68" i="2"/>
  <c r="K626" i="2"/>
  <c r="B626" i="2" s="1" a="1"/>
  <c r="B626" i="2" s="1"/>
  <c r="H626" i="2" s="1"/>
  <c r="K185" i="2"/>
  <c r="B185" i="2" s="1" a="1"/>
  <c r="B185" i="2" s="1"/>
  <c r="H185" i="2" s="1"/>
  <c r="I185" i="2" s="1"/>
  <c r="K401" i="2"/>
  <c r="B401" i="2" s="1" a="1"/>
  <c r="B401" i="2" s="1"/>
  <c r="H401" i="2" s="1"/>
  <c r="K618" i="2"/>
  <c r="B618" i="2" s="1" a="1"/>
  <c r="B618" i="2" s="1"/>
  <c r="H618" i="2" s="1"/>
  <c r="K992" i="2"/>
  <c r="B992" i="2" s="1" a="1"/>
  <c r="B992" i="2" s="1"/>
  <c r="H992" i="2" s="1"/>
  <c r="K1073" i="2"/>
  <c r="B1073" i="2" s="1" a="1"/>
  <c r="B1073" i="2" s="1"/>
  <c r="H1073" i="2" s="1"/>
  <c r="K1220" i="2"/>
  <c r="B1220" i="2" s="1" a="1"/>
  <c r="B1220" i="2" s="1"/>
  <c r="H1220" i="2" s="1"/>
  <c r="K788" i="2"/>
  <c r="B788" i="2" s="1" a="1"/>
  <c r="B788" i="2" s="1"/>
  <c r="H788" i="2" s="1"/>
  <c r="K915" i="2"/>
  <c r="B915" i="2" s="1" a="1"/>
  <c r="B915" i="2" s="1"/>
  <c r="H915" i="2" s="1"/>
  <c r="K174" i="2"/>
  <c r="B174" i="2" s="1" a="1"/>
  <c r="B174" i="2" s="1"/>
  <c r="H174" i="2" s="1"/>
  <c r="H607" i="2"/>
  <c r="K37" i="2"/>
  <c r="B37" i="2" s="1" a="1"/>
  <c r="B37" i="2" s="1"/>
  <c r="H37" i="2" s="1"/>
  <c r="K393" i="2"/>
  <c r="B393" i="2" s="1" a="1"/>
  <c r="B393" i="2" s="1"/>
  <c r="H393" i="2" s="1"/>
  <c r="K612" i="2"/>
  <c r="B612" i="2" s="1" a="1"/>
  <c r="B612" i="2" s="1"/>
  <c r="H612" i="2" s="1"/>
  <c r="K1065" i="2"/>
  <c r="B1065" i="2" s="1" a="1"/>
  <c r="B1065" i="2" s="1"/>
  <c r="H1065" i="2" s="1"/>
  <c r="K1101" i="2"/>
  <c r="B1101" i="2" s="1" a="1"/>
  <c r="B1101" i="2" s="1"/>
  <c r="H1101" i="2" s="1"/>
  <c r="K935" i="2"/>
  <c r="B935" i="2" s="1" a="1"/>
  <c r="B935" i="2" s="1"/>
  <c r="H935" i="2" s="1"/>
  <c r="K708" i="2"/>
  <c r="B708" i="2" s="1" a="1"/>
  <c r="B708" i="2" s="1"/>
  <c r="H708" i="2" s="1"/>
  <c r="K183" i="2"/>
  <c r="B183" i="2" s="1" a="1"/>
  <c r="B183" i="2" s="1"/>
  <c r="H183" i="2" s="1"/>
  <c r="K114" i="2"/>
  <c r="B114" i="2" s="1" a="1"/>
  <c r="B114" i="2" s="1"/>
  <c r="H114" i="2" s="1"/>
  <c r="K686" i="2"/>
  <c r="B686" i="2" s="1" a="1"/>
  <c r="B686" i="2" s="1"/>
  <c r="H686" i="2" s="1"/>
  <c r="K534" i="2"/>
  <c r="B534" i="2" s="1" a="1"/>
  <c r="B534" i="2" s="1"/>
  <c r="H534" i="2" s="1"/>
  <c r="K1192" i="2"/>
  <c r="B1192" i="2" s="1" a="1"/>
  <c r="B1192" i="2" s="1"/>
  <c r="H1192" i="2" s="1"/>
  <c r="K1006" i="2"/>
  <c r="B1006" i="2" s="1" a="1"/>
  <c r="B1006" i="2" s="1"/>
  <c r="H1006" i="2" s="1"/>
  <c r="K351" i="2"/>
  <c r="B351" i="2" s="1" a="1"/>
  <c r="B351" i="2" s="1"/>
  <c r="H351" i="2" s="1"/>
  <c r="K514" i="2"/>
  <c r="B514" i="2" s="1" a="1"/>
  <c r="B514" i="2" s="1"/>
  <c r="H514" i="2" s="1"/>
  <c r="K565" i="2"/>
  <c r="B565" i="2" s="1" a="1"/>
  <c r="B565" i="2" s="1"/>
  <c r="H565" i="2" s="1"/>
  <c r="K1208" i="2"/>
  <c r="B1208" i="2" s="1" a="1"/>
  <c r="B1208" i="2" s="1"/>
  <c r="H1208" i="2" s="1"/>
  <c r="I1057" i="2"/>
  <c r="I723" i="2"/>
  <c r="I15" i="2"/>
  <c r="K451" i="2"/>
  <c r="B451" i="2" s="1" a="1"/>
  <c r="B451" i="2" s="1"/>
  <c r="H451" i="2" s="1"/>
  <c r="I451" i="2" s="1"/>
  <c r="H125" i="2"/>
  <c r="I751" i="2" s="1"/>
  <c r="H1096" i="2"/>
  <c r="H898" i="2"/>
  <c r="K1197" i="2"/>
  <c r="B1197" i="2" s="1" a="1"/>
  <c r="B1197" i="2" s="1"/>
  <c r="H1197" i="2" s="1"/>
  <c r="B274" i="2" a="1"/>
  <c r="B274" i="2" s="1"/>
  <c r="H274" i="2" s="1"/>
  <c r="K650" i="2"/>
  <c r="B650" i="2" s="1" a="1"/>
  <c r="B650" i="2" s="1"/>
  <c r="H650" i="2" s="1"/>
  <c r="K762" i="2"/>
  <c r="B762" i="2" s="1" a="1"/>
  <c r="B762" i="2" s="1"/>
  <c r="H762" i="2" s="1"/>
  <c r="B931" i="2" a="1"/>
  <c r="B931" i="2" s="1"/>
  <c r="H931" i="2" s="1"/>
  <c r="B435" i="2" a="1"/>
  <c r="B435" i="2" s="1"/>
  <c r="H435" i="2" s="1"/>
  <c r="K517" i="2"/>
  <c r="B517" i="2" s="1" a="1"/>
  <c r="B517" i="2" s="1"/>
  <c r="H517" i="2" s="1"/>
  <c r="B1186" i="2" a="1"/>
  <c r="B1186" i="2" s="1"/>
  <c r="H1186" i="2" s="1"/>
  <c r="K1151" i="2"/>
  <c r="B1151" i="2" s="1" a="1"/>
  <c r="B1151" i="2" s="1"/>
  <c r="H1151" i="2" s="1"/>
  <c r="B345" i="2" a="1"/>
  <c r="B345" i="2" s="1"/>
  <c r="H345" i="2" s="1"/>
  <c r="K404" i="2"/>
  <c r="B404" i="2" s="1" a="1"/>
  <c r="B404" i="2" s="1"/>
  <c r="H404" i="2" s="1"/>
  <c r="K832" i="2"/>
  <c r="B832" i="2" s="1" a="1"/>
  <c r="B832" i="2" s="1"/>
  <c r="H832" i="2" s="1"/>
  <c r="B971" i="2" a="1"/>
  <c r="B971" i="2" s="1"/>
  <c r="H971" i="2" s="1"/>
  <c r="B740" i="2" a="1"/>
  <c r="B740" i="2" s="1"/>
  <c r="H740" i="2" s="1"/>
  <c r="B135" i="2" a="1"/>
  <c r="B135" i="2" s="1"/>
  <c r="H135" i="2" s="1"/>
  <c r="B1001" i="2" a="1"/>
  <c r="B1001" i="2" s="1"/>
  <c r="H1001" i="2" s="1"/>
  <c r="B754" i="2" a="1"/>
  <c r="B754" i="2" s="1"/>
  <c r="H754" i="2" s="1"/>
  <c r="B1215" i="2" a="1"/>
  <c r="B1215" i="2" s="1"/>
  <c r="H1215" i="2" s="1"/>
  <c r="K1170" i="2"/>
  <c r="B1170" i="2" s="1" a="1"/>
  <c r="B1170" i="2" s="1"/>
  <c r="H1170" i="2" s="1"/>
  <c r="B1039" i="2" a="1"/>
  <c r="B1039" i="2" s="1"/>
  <c r="H1039" i="2" s="1"/>
  <c r="H14" i="9" a="1"/>
  <c r="K976" i="2"/>
  <c r="B976" i="2" s="1" a="1"/>
  <c r="B976" i="2" s="1"/>
  <c r="H976" i="2" s="1"/>
  <c r="K588" i="2"/>
  <c r="B588" i="2" s="1" a="1"/>
  <c r="B588" i="2" s="1"/>
  <c r="H588" i="2" s="1"/>
  <c r="K73" i="2"/>
  <c r="B73" i="2" s="1" a="1"/>
  <c r="B73" i="2" s="1"/>
  <c r="H73" i="2" s="1"/>
  <c r="K1209" i="2"/>
  <c r="B1209" i="2" s="1" a="1"/>
  <c r="B1209" i="2" s="1"/>
  <c r="H1209" i="2" s="1"/>
  <c r="K196" i="2"/>
  <c r="B196" i="2" s="1" a="1"/>
  <c r="B196" i="2" s="1"/>
  <c r="H196" i="2" s="1"/>
  <c r="H109" i="2"/>
  <c r="H318" i="2"/>
  <c r="H730" i="2"/>
  <c r="K645" i="2"/>
  <c r="B645" i="2" s="1" a="1"/>
  <c r="B645" i="2" s="1"/>
  <c r="H645" i="2" s="1"/>
  <c r="H141" i="2"/>
  <c r="K236" i="2"/>
  <c r="B236" i="2" s="1" a="1"/>
  <c r="B236" i="2" s="1"/>
  <c r="H236" i="2" s="1"/>
  <c r="K489" i="2"/>
  <c r="B489" i="2" s="1" a="1"/>
  <c r="B489" i="2" s="1"/>
  <c r="H489" i="2" s="1"/>
  <c r="H542" i="2"/>
  <c r="H837" i="2"/>
  <c r="H815" i="2"/>
  <c r="K1263" i="2"/>
  <c r="B1263" i="2" s="1" a="1"/>
  <c r="B1263" i="2" s="1"/>
  <c r="H1263" i="2" s="1"/>
  <c r="H1164" i="2"/>
  <c r="H25" i="2"/>
  <c r="K1202" i="2"/>
  <c r="B1202" i="2" s="1" a="1"/>
  <c r="B1202" i="2" s="1"/>
  <c r="H1202" i="2" s="1"/>
  <c r="H58" i="2"/>
  <c r="H222" i="2"/>
  <c r="K779" i="2"/>
  <c r="B779" i="2" s="1" a="1"/>
  <c r="B779" i="2" s="1"/>
  <c r="H779" i="2" s="1"/>
  <c r="K933" i="2"/>
  <c r="B933" i="2" s="1" a="1"/>
  <c r="B933" i="2" s="1"/>
  <c r="H933" i="2" s="1"/>
  <c r="I933" i="2" s="1"/>
  <c r="K446" i="2"/>
  <c r="B446" i="2" s="1" a="1"/>
  <c r="B446" i="2" s="1"/>
  <c r="H446" i="2" s="1"/>
  <c r="H400" i="2"/>
  <c r="K177" i="2"/>
  <c r="B177" i="2" s="1" a="1"/>
  <c r="B177" i="2" s="1"/>
  <c r="H177" i="2" s="1"/>
  <c r="K537" i="2"/>
  <c r="B537" i="2" s="1" a="1"/>
  <c r="B537" i="2" s="1"/>
  <c r="H537" i="2" s="1"/>
  <c r="K60" i="2"/>
  <c r="B60" i="2" s="1" a="1"/>
  <c r="B60" i="2" s="1"/>
  <c r="H60" i="2" s="1"/>
  <c r="K569" i="2"/>
  <c r="B569" i="2" s="1" a="1"/>
  <c r="B569" i="2" s="1"/>
  <c r="H569" i="2" s="1"/>
  <c r="K932" i="2"/>
  <c r="B932" i="2" s="1" a="1"/>
  <c r="B932" i="2" s="1"/>
  <c r="H932" i="2" s="1"/>
  <c r="H881" i="2"/>
  <c r="K1130" i="2"/>
  <c r="B1130" i="2" s="1" a="1"/>
  <c r="B1130" i="2" s="1"/>
  <c r="H1130" i="2" s="1"/>
  <c r="H1108" i="2"/>
  <c r="K957" i="2"/>
  <c r="B957" i="2" s="1" a="1"/>
  <c r="B957" i="2" s="1"/>
  <c r="H957" i="2" s="1"/>
  <c r="K13" i="2"/>
  <c r="B13" i="2" s="1" a="1"/>
  <c r="B13" i="2" s="1"/>
  <c r="H13" i="2" s="1"/>
  <c r="K365" i="2"/>
  <c r="B365" i="2" s="1" a="1"/>
  <c r="B365" i="2" s="1"/>
  <c r="H365" i="2" s="1"/>
  <c r="H247" i="2"/>
  <c r="H436" i="2"/>
  <c r="K1266" i="2"/>
  <c r="B1266" i="2" s="1" a="1"/>
  <c r="B1266" i="2" s="1"/>
  <c r="H1266" i="2" s="1"/>
  <c r="K355" i="2"/>
  <c r="B355" i="2" s="1" a="1"/>
  <c r="B355" i="2" s="1"/>
  <c r="H355" i="2" s="1"/>
  <c r="K429" i="2"/>
  <c r="B429" i="2" s="1" a="1"/>
  <c r="B429" i="2" s="1"/>
  <c r="H429" i="2" s="1"/>
  <c r="I429" i="2" s="1"/>
  <c r="K308" i="2"/>
  <c r="B308" i="2" s="1" a="1"/>
  <c r="B308" i="2" s="1"/>
  <c r="H308" i="2" s="1"/>
  <c r="K485" i="2"/>
  <c r="B485" i="2" s="1" a="1"/>
  <c r="B485" i="2" s="1"/>
  <c r="H485" i="2" s="1"/>
  <c r="K47" i="2"/>
  <c r="B47" i="2" s="1" a="1"/>
  <c r="B47" i="2" s="1"/>
  <c r="H47" i="2" s="1"/>
  <c r="K696" i="2"/>
  <c r="B696" i="2" s="1" a="1"/>
  <c r="B696" i="2" s="1"/>
  <c r="H696" i="2" s="1"/>
  <c r="K403" i="2"/>
  <c r="B403" i="2" s="1" a="1"/>
  <c r="B403" i="2" s="1"/>
  <c r="H403" i="2" s="1"/>
  <c r="H1245" i="2"/>
  <c r="K615" i="2"/>
  <c r="B615" i="2" s="1" a="1"/>
  <c r="B615" i="2" s="1"/>
  <c r="H615" i="2" s="1"/>
  <c r="H1213" i="2"/>
  <c r="K1120" i="2"/>
  <c r="B1120" i="2" s="1" a="1"/>
  <c r="B1120" i="2" s="1"/>
  <c r="H1120" i="2" s="1"/>
  <c r="K447" i="2"/>
  <c r="B447" i="2" s="1" a="1"/>
  <c r="B447" i="2" s="1"/>
  <c r="H447" i="2" s="1"/>
  <c r="K407" i="2"/>
  <c r="B407" i="2" s="1" a="1"/>
  <c r="B407" i="2" s="1"/>
  <c r="H407" i="2" s="1"/>
  <c r="K368" i="2"/>
  <c r="B368" i="2" s="1" a="1"/>
  <c r="B368" i="2" s="1"/>
  <c r="H368" i="2" s="1"/>
  <c r="K726" i="2"/>
  <c r="B726" i="2" s="1" a="1"/>
  <c r="B726" i="2" s="1"/>
  <c r="H726" i="2" s="1"/>
  <c r="I726" i="2" s="1"/>
  <c r="K593" i="2"/>
  <c r="B593" i="2" s="1" a="1"/>
  <c r="B593" i="2" s="1"/>
  <c r="H593" i="2" s="1"/>
  <c r="K994" i="2"/>
  <c r="B994" i="2" s="1" a="1"/>
  <c r="B994" i="2" s="1"/>
  <c r="H994" i="2" s="1"/>
  <c r="H1169" i="2"/>
  <c r="K1024" i="2"/>
  <c r="B1024" i="2" s="1" a="1"/>
  <c r="B1024" i="2" s="1"/>
  <c r="H1024" i="2" s="1"/>
  <c r="K265" i="2"/>
  <c r="B265" i="2" s="1" a="1"/>
  <c r="B265" i="2" s="1"/>
  <c r="H265" i="2" s="1"/>
  <c r="H424" i="2"/>
  <c r="K452" i="2"/>
  <c r="B452" i="2" s="1" a="1"/>
  <c r="B452" i="2" s="1"/>
  <c r="H452" i="2" s="1"/>
  <c r="K62" i="2"/>
  <c r="B62" i="2" s="1" a="1"/>
  <c r="B62" i="2" s="1"/>
  <c r="H62" i="2" s="1"/>
  <c r="K627" i="2"/>
  <c r="B627" i="2" s="1" a="1"/>
  <c r="B627" i="2" s="1"/>
  <c r="H627" i="2" s="1"/>
  <c r="K1031" i="2"/>
  <c r="B1031" i="2" s="1" a="1"/>
  <c r="B1031" i="2" s="1"/>
  <c r="H1031" i="2" s="1"/>
  <c r="K576" i="2"/>
  <c r="B576" i="2" s="1" a="1"/>
  <c r="B576" i="2" s="1"/>
  <c r="H576" i="2" s="1"/>
  <c r="K663" i="2"/>
  <c r="B663" i="2" s="1" a="1"/>
  <c r="B663" i="2" s="1"/>
  <c r="H663" i="2" s="1"/>
  <c r="K969" i="2"/>
  <c r="B969" i="2" s="1" a="1"/>
  <c r="B969" i="2" s="1"/>
  <c r="H969" i="2" s="1"/>
  <c r="K223" i="2"/>
  <c r="B223" i="2" s="1" a="1"/>
  <c r="B223" i="2" s="1"/>
  <c r="H223" i="2" s="1"/>
  <c r="K184" i="2"/>
  <c r="B184" i="2" s="1" a="1"/>
  <c r="B184" i="2" s="1"/>
  <c r="H184" i="2" s="1"/>
  <c r="K1165" i="2"/>
  <c r="B1165" i="2" s="1" a="1"/>
  <c r="B1165" i="2" s="1"/>
  <c r="H1165" i="2" s="1"/>
  <c r="I405" i="2" s="1"/>
  <c r="K510" i="2"/>
  <c r="B510" i="2" s="1" a="1"/>
  <c r="B510" i="2" s="1"/>
  <c r="H510" i="2" s="1"/>
  <c r="K281" i="2"/>
  <c r="B281" i="2" s="1" a="1"/>
  <c r="B281" i="2" s="1"/>
  <c r="H281" i="2" s="1"/>
  <c r="K995" i="2"/>
  <c r="B995" i="2" s="1" a="1"/>
  <c r="B995" i="2" s="1"/>
  <c r="H995" i="2" s="1"/>
  <c r="K1128" i="2"/>
  <c r="B1128" i="2" s="1" a="1"/>
  <c r="B1128" i="2" s="1"/>
  <c r="H1128" i="2" s="1"/>
  <c r="K294" i="2"/>
  <c r="B294" i="2" s="1" a="1"/>
  <c r="B294" i="2" s="1"/>
  <c r="H294" i="2" s="1"/>
  <c r="K1053" i="2"/>
  <c r="B1053" i="2" s="1" a="1"/>
  <c r="B1053" i="2" s="1"/>
  <c r="H1053" i="2" s="1"/>
  <c r="K858" i="2"/>
  <c r="B858" i="2" s="1" a="1"/>
  <c r="B858" i="2" s="1"/>
  <c r="H858" i="2" s="1"/>
  <c r="K285" i="2"/>
  <c r="B285" i="2" s="1" a="1"/>
  <c r="B285" i="2" s="1"/>
  <c r="H285" i="2" s="1"/>
  <c r="K763" i="2"/>
  <c r="B763" i="2" s="1" a="1"/>
  <c r="B763" i="2" s="1"/>
  <c r="H763" i="2" s="1"/>
  <c r="K243" i="2"/>
  <c r="B243" i="2" s="1" a="1"/>
  <c r="B243" i="2" s="1"/>
  <c r="H243" i="2" s="1"/>
  <c r="K317" i="2"/>
  <c r="B317" i="2" s="1" a="1"/>
  <c r="B317" i="2" s="1"/>
  <c r="H317" i="2" s="1"/>
  <c r="K524" i="2"/>
  <c r="B524" i="2" s="1" a="1"/>
  <c r="B524" i="2" s="1"/>
  <c r="H524" i="2" s="1"/>
  <c r="H543" i="2"/>
  <c r="B547" i="2" a="1"/>
  <c r="B547" i="2" s="1"/>
  <c r="H547" i="2" s="1"/>
  <c r="B1228" i="2" a="1"/>
  <c r="B1228" i="2" s="1"/>
  <c r="H1228" i="2" s="1"/>
  <c r="I1228" i="2" s="1"/>
  <c r="B81" i="2" a="1"/>
  <c r="B81" i="2" s="1"/>
  <c r="H81" i="2" s="1"/>
  <c r="K20" i="2"/>
  <c r="B20" i="2" s="1" a="1"/>
  <c r="B20" i="2" s="1"/>
  <c r="H20" i="2" s="1"/>
  <c r="B1083" i="2" a="1"/>
  <c r="B1083" i="2" s="1"/>
  <c r="H1083" i="2" s="1"/>
  <c r="K1229" i="2"/>
  <c r="B1229" i="2" s="1" a="1"/>
  <c r="B1229" i="2" s="1"/>
  <c r="H1229" i="2" s="1"/>
  <c r="B269" i="2" a="1"/>
  <c r="B269" i="2" s="1"/>
  <c r="H269" i="2" s="1"/>
  <c r="B792" i="2" a="1"/>
  <c r="B792" i="2" s="1"/>
  <c r="H792" i="2" s="1"/>
  <c r="B107" i="2" a="1"/>
  <c r="B107" i="2" s="1"/>
  <c r="H107" i="2" s="1"/>
  <c r="B461" i="2" a="1"/>
  <c r="B461" i="2" s="1"/>
  <c r="H461" i="2" s="1"/>
  <c r="I461" i="2" s="1"/>
  <c r="B912" i="2" a="1"/>
  <c r="B912" i="2" s="1"/>
  <c r="H912" i="2" s="1"/>
  <c r="B1004" i="2" a="1"/>
  <c r="B1004" i="2" s="1"/>
  <c r="H1004" i="2" s="1"/>
  <c r="K803" i="2"/>
  <c r="B803" i="2" s="1" a="1"/>
  <c r="B803" i="2" s="1"/>
  <c r="H803" i="2" s="1"/>
  <c r="K23" i="2"/>
  <c r="B23" i="2" s="1" a="1"/>
  <c r="B23" i="2" s="1"/>
  <c r="H23" i="2" s="1"/>
  <c r="B622" i="2" a="1"/>
  <c r="B622" i="2" s="1"/>
  <c r="H622" i="2" s="1"/>
  <c r="B872" i="2" a="1"/>
  <c r="B872" i="2" s="1"/>
  <c r="H872" i="2" s="1"/>
  <c r="H80" i="9"/>
  <c r="H79" i="9"/>
  <c r="H78" i="9"/>
  <c r="H77" i="9"/>
  <c r="H76" i="9"/>
  <c r="K465" i="2"/>
  <c r="B465" i="2" s="1" a="1"/>
  <c r="B465" i="2" s="1"/>
  <c r="H465" i="2" s="1"/>
  <c r="K1272" i="2"/>
  <c r="B1272" i="2" s="1" a="1"/>
  <c r="B1272" i="2" s="1"/>
  <c r="H1272" i="2" s="1"/>
  <c r="B1236" i="2" a="1"/>
  <c r="B1236" i="2" s="1"/>
  <c r="H1236" i="2" s="1"/>
  <c r="I1236" i="2" s="1"/>
  <c r="B1223" i="2" a="1"/>
  <c r="B1223" i="2" s="1"/>
  <c r="H1223" i="2" s="1"/>
  <c r="B913" i="2" a="1"/>
  <c r="B913" i="2" s="1"/>
  <c r="H913" i="2" s="1"/>
  <c r="B228" i="2" a="1"/>
  <c r="B228" i="2" s="1"/>
  <c r="H228" i="2" s="1"/>
  <c r="K987" i="2"/>
  <c r="B987" i="2" s="1" a="1"/>
  <c r="B987" i="2" s="1"/>
  <c r="H987" i="2" s="1"/>
  <c r="K731" i="2"/>
  <c r="B731" i="2" s="1" a="1"/>
  <c r="B731" i="2" s="1"/>
  <c r="H731" i="2" s="1"/>
  <c r="K316" i="2"/>
  <c r="B316" i="2" s="1" a="1"/>
  <c r="B316" i="2" s="1"/>
  <c r="H316" i="2" s="1"/>
  <c r="K1046" i="2"/>
  <c r="B1046" i="2" s="1" a="1"/>
  <c r="B1046" i="2" s="1"/>
  <c r="H1046" i="2" s="1"/>
  <c r="K504" i="2"/>
  <c r="B504" i="2" s="1" a="1"/>
  <c r="B504" i="2" s="1"/>
  <c r="H504" i="2" s="1"/>
  <c r="K139" i="2"/>
  <c r="B139" i="2" s="1" a="1"/>
  <c r="B139" i="2" s="1"/>
  <c r="H139" i="2" s="1"/>
  <c r="K952" i="2"/>
  <c r="B952" i="2" s="1" a="1"/>
  <c r="B952" i="2" s="1"/>
  <c r="H952" i="2" s="1"/>
  <c r="K83" i="2"/>
  <c r="B83" i="2" s="1" a="1"/>
  <c r="B83" i="2" s="1"/>
  <c r="H83" i="2" s="1"/>
  <c r="K908" i="2"/>
  <c r="B908" i="2" s="1" a="1"/>
  <c r="B908" i="2" s="1"/>
  <c r="H908" i="2" s="1"/>
  <c r="K606" i="2"/>
  <c r="B606" i="2" s="1" a="1"/>
  <c r="B606" i="2" s="1"/>
  <c r="H606" i="2" s="1"/>
  <c r="K471" i="2"/>
  <c r="B471" i="2" s="1" a="1"/>
  <c r="B471" i="2" s="1"/>
  <c r="H471" i="2" s="1"/>
  <c r="K918" i="2"/>
  <c r="B918" i="2" s="1" a="1"/>
  <c r="B918" i="2" s="1"/>
  <c r="H918" i="2" s="1"/>
  <c r="K55" i="2"/>
  <c r="B55" i="2" s="1" a="1"/>
  <c r="B55" i="2" s="1"/>
  <c r="H55" i="2" s="1"/>
  <c r="I864" i="2"/>
  <c r="I457" i="2"/>
  <c r="I474" i="2"/>
  <c r="I352" i="2"/>
  <c r="B638" i="2" a="1"/>
  <c r="B638" i="2" s="1"/>
  <c r="H638" i="2" s="1"/>
  <c r="I1161" i="2"/>
  <c r="I767" i="2"/>
  <c r="I577" i="2"/>
  <c r="I1165" i="2"/>
  <c r="I759" i="2"/>
  <c r="H384" i="2"/>
  <c r="H625" i="2"/>
  <c r="H1079" i="2"/>
  <c r="H752" i="2"/>
  <c r="H179" i="2"/>
  <c r="H676" i="2"/>
  <c r="K739" i="2"/>
  <c r="B739" i="2" s="1" a="1"/>
  <c r="B739" i="2" s="1"/>
  <c r="H739" i="2" s="1"/>
  <c r="K511" i="2"/>
  <c r="B511" i="2" s="1" a="1"/>
  <c r="B511" i="2" s="1"/>
  <c r="H511" i="2" s="1"/>
  <c r="H278" i="2"/>
  <c r="K515" i="2"/>
  <c r="B515" i="2" s="1" a="1"/>
  <c r="B515" i="2" s="1"/>
  <c r="H515" i="2" s="1"/>
  <c r="K1132" i="2"/>
  <c r="B1132" i="2" s="1" a="1"/>
  <c r="B1132" i="2" s="1"/>
  <c r="H1132" i="2" s="1"/>
  <c r="H1158" i="2"/>
  <c r="B80" i="2" a="1"/>
  <c r="B80" i="2" s="1"/>
  <c r="H80" i="2" s="1"/>
  <c r="H470" i="2"/>
  <c r="H330" i="2"/>
  <c r="B1191" i="2" a="1"/>
  <c r="B1191" i="2" s="1"/>
  <c r="H1191" i="2" s="1"/>
  <c r="K868" i="2"/>
  <c r="B868" i="2" s="1" a="1"/>
  <c r="B868" i="2" s="1"/>
  <c r="H868" i="2" s="1"/>
  <c r="H428" i="2"/>
  <c r="H237" i="2"/>
  <c r="H353" i="2"/>
  <c r="K201" i="2"/>
  <c r="B201" i="2" s="1" a="1"/>
  <c r="B201" i="2" s="1"/>
  <c r="H201" i="2" s="1"/>
  <c r="K1012" i="2"/>
  <c r="B1012" i="2" s="1" a="1"/>
  <c r="B1012" i="2" s="1"/>
  <c r="H1012" i="2" s="1"/>
  <c r="H1104" i="2"/>
  <c r="B106" i="2" a="1"/>
  <c r="B106" i="2" s="1"/>
  <c r="H106" i="2" s="1"/>
  <c r="I106" i="2" s="1"/>
  <c r="H640" i="2"/>
  <c r="H442" i="2"/>
  <c r="K1201" i="2"/>
  <c r="B1201" i="2" s="1" a="1"/>
  <c r="B1201" i="2" s="1"/>
  <c r="H1201" i="2" s="1"/>
  <c r="H257" i="2"/>
  <c r="K840" i="2"/>
  <c r="B840" i="2" s="1" a="1"/>
  <c r="B840" i="2" s="1"/>
  <c r="H840" i="2" s="1"/>
  <c r="H480" i="2"/>
  <c r="H383" i="2"/>
  <c r="H1246" i="2"/>
  <c r="K103" i="2"/>
  <c r="B103" i="2" s="1" a="1"/>
  <c r="B103" i="2" s="1"/>
  <c r="H103" i="2" s="1"/>
  <c r="I103" i="2" s="1"/>
  <c r="H38" i="2"/>
  <c r="K648" i="2"/>
  <c r="B648" i="2" s="1" a="1"/>
  <c r="B648" i="2" s="1"/>
  <c r="H648" i="2" s="1"/>
  <c r="K747" i="2"/>
  <c r="B747" i="2" s="1" a="1"/>
  <c r="B747" i="2" s="1"/>
  <c r="H747" i="2" s="1"/>
  <c r="K865" i="2"/>
  <c r="B865" i="2" s="1" a="1"/>
  <c r="B865" i="2" s="1"/>
  <c r="H865" i="2" s="1"/>
  <c r="H799" i="2"/>
  <c r="H513" i="2"/>
  <c r="H706" i="2"/>
  <c r="K56" i="2"/>
  <c r="B56" i="2" s="1" a="1"/>
  <c r="B56" i="2" s="1"/>
  <c r="H56" i="2" s="1"/>
  <c r="H423" i="2"/>
  <c r="K695" i="2"/>
  <c r="B695" i="2" s="1" a="1"/>
  <c r="B695" i="2" s="1"/>
  <c r="H695" i="2" s="1"/>
  <c r="K942" i="2"/>
  <c r="B942" i="2" s="1" a="1"/>
  <c r="B942" i="2" s="1"/>
  <c r="H942" i="2" s="1"/>
  <c r="H937" i="2"/>
  <c r="K283" i="2"/>
  <c r="B283" i="2" s="1" a="1"/>
  <c r="B283" i="2" s="1"/>
  <c r="H283" i="2" s="1"/>
  <c r="K867" i="2"/>
  <c r="B867" i="2" s="1" a="1"/>
  <c r="B867" i="2" s="1"/>
  <c r="H867" i="2" s="1"/>
  <c r="K242" i="2"/>
  <c r="B242" i="2" s="1" a="1"/>
  <c r="B242" i="2" s="1"/>
  <c r="H242" i="2" s="1"/>
  <c r="H1000" i="2"/>
  <c r="H126" i="2"/>
  <c r="K652" i="2"/>
  <c r="B652" i="2" s="1" a="1"/>
  <c r="B652" i="2" s="1"/>
  <c r="H652" i="2" s="1"/>
  <c r="I652" i="2" s="1"/>
  <c r="H654" i="2"/>
  <c r="H526" i="2"/>
  <c r="H628" i="2"/>
  <c r="H843" i="2"/>
  <c r="I843" i="2" s="1"/>
  <c r="H481" i="2"/>
  <c r="I481" i="2" s="1"/>
  <c r="K812" i="2"/>
  <c r="B812" i="2" s="1" a="1"/>
  <c r="B812" i="2" s="1"/>
  <c r="H812" i="2" s="1"/>
  <c r="K983" i="2"/>
  <c r="B983" i="2" s="1" a="1"/>
  <c r="B983" i="2" s="1"/>
  <c r="H983" i="2" s="1"/>
  <c r="H1242" i="2"/>
  <c r="B454" i="2" a="1"/>
  <c r="B454" i="2" s="1"/>
  <c r="H454" i="2" s="1"/>
  <c r="H53" i="9"/>
  <c r="H52" i="9"/>
  <c r="H51" i="9"/>
  <c r="H50" i="9"/>
  <c r="H49" i="9"/>
  <c r="H641" i="2"/>
  <c r="H477" i="2"/>
  <c r="K988" i="2"/>
  <c r="B988" i="2" s="1" a="1"/>
  <c r="B988" i="2" s="1"/>
  <c r="H988" i="2" s="1"/>
  <c r="H397" i="2"/>
  <c r="K1005" i="2"/>
  <c r="B1005" i="2" s="1" a="1"/>
  <c r="B1005" i="2" s="1"/>
  <c r="H1005" i="2" s="1"/>
  <c r="K621" i="2"/>
  <c r="B621" i="2" s="1" a="1"/>
  <c r="B621" i="2" s="1"/>
  <c r="H621" i="2" s="1"/>
  <c r="K634" i="2"/>
  <c r="B634" i="2" s="1" a="1"/>
  <c r="B634" i="2" s="1"/>
  <c r="H634" i="2" s="1"/>
  <c r="H1105" i="2"/>
  <c r="I1105" i="2" s="1"/>
  <c r="H1154" i="2"/>
  <c r="K589" i="2"/>
  <c r="B589" i="2" s="1" a="1"/>
  <c r="B589" i="2" s="1"/>
  <c r="H589" i="2" s="1"/>
  <c r="K1098" i="2"/>
  <c r="B1098" i="2" s="1" a="1"/>
  <c r="B1098" i="2" s="1"/>
  <c r="H1098" i="2" s="1"/>
  <c r="K462" i="2"/>
  <c r="B462" i="2" s="1" a="1"/>
  <c r="B462" i="2" s="1"/>
  <c r="H462" i="2" s="1"/>
  <c r="H702" i="2"/>
  <c r="H540" i="2"/>
  <c r="K571" i="2"/>
  <c r="B571" i="2" s="1" a="1"/>
  <c r="B571" i="2" s="1"/>
  <c r="H571" i="2" s="1"/>
  <c r="K347" i="2"/>
  <c r="B347" i="2" s="1" a="1"/>
  <c r="B347" i="2" s="1"/>
  <c r="H347" i="2" s="1"/>
  <c r="H921" i="2"/>
  <c r="I921" i="2" s="1"/>
  <c r="B1021" i="2" a="1"/>
  <c r="B1021" i="2" s="1"/>
  <c r="H1021" i="2" s="1"/>
  <c r="K573" i="2"/>
  <c r="B573" i="2" s="1" a="1"/>
  <c r="B573" i="2" s="1"/>
  <c r="H573" i="2" s="1"/>
  <c r="K448" i="2"/>
  <c r="B448" i="2" s="1" a="1"/>
  <c r="B448" i="2" s="1"/>
  <c r="H448" i="2" s="1"/>
  <c r="K87" i="2"/>
  <c r="B87" i="2" s="1" a="1"/>
  <c r="B87" i="2" s="1"/>
  <c r="H87" i="2" s="1"/>
  <c r="K704" i="2"/>
  <c r="B704" i="2" s="1" a="1"/>
  <c r="B704" i="2" s="1"/>
  <c r="H704" i="2" s="1"/>
  <c r="K476" i="2"/>
  <c r="B476" i="2" s="1" a="1"/>
  <c r="B476" i="2" s="1"/>
  <c r="H476" i="2" s="1"/>
  <c r="K860" i="2"/>
  <c r="B860" i="2" s="1" a="1"/>
  <c r="B860" i="2" s="1"/>
  <c r="H860" i="2" s="1"/>
  <c r="K926" i="2"/>
  <c r="B926" i="2" s="1" a="1"/>
  <c r="B926" i="2" s="1"/>
  <c r="H926" i="2" s="1"/>
  <c r="K161" i="2"/>
  <c r="B161" i="2" s="1" a="1"/>
  <c r="B161" i="2" s="1"/>
  <c r="H161" i="2" s="1"/>
  <c r="B1234" i="2" a="1"/>
  <c r="B1234" i="2" s="1"/>
  <c r="H1234" i="2" s="1"/>
  <c r="I1234" i="2" s="1"/>
  <c r="K1237" i="2"/>
  <c r="B1237" i="2" s="1" a="1"/>
  <c r="B1237" i="2" s="1"/>
  <c r="H1237" i="2" s="1"/>
  <c r="I1237" i="2" s="1"/>
  <c r="K45" i="2"/>
  <c r="B45" i="2" s="1" a="1"/>
  <c r="B45" i="2" s="1"/>
  <c r="H45" i="2" s="1"/>
  <c r="K972" i="2"/>
  <c r="B972" i="2" s="1" a="1"/>
  <c r="B972" i="2" s="1"/>
  <c r="H972" i="2" s="1"/>
  <c r="K619" i="2"/>
  <c r="B619" i="2" s="1" a="1"/>
  <c r="B619" i="2" s="1"/>
  <c r="H619" i="2" s="1"/>
  <c r="K41" i="2"/>
  <c r="B41" i="2" s="1" a="1"/>
  <c r="B41" i="2" s="1"/>
  <c r="H41" i="2" s="1"/>
  <c r="B551" i="2" a="1"/>
  <c r="B551" i="2" s="1"/>
  <c r="H551" i="2" s="1"/>
  <c r="K1166" i="2"/>
  <c r="B1166" i="2" s="1" a="1"/>
  <c r="B1166" i="2" s="1"/>
  <c r="H1166" i="2" s="1"/>
  <c r="K333" i="2"/>
  <c r="B333" i="2" s="1" a="1"/>
  <c r="B333" i="2" s="1"/>
  <c r="H333" i="2" s="1"/>
  <c r="K304" i="2"/>
  <c r="B304" i="2" s="1" a="1"/>
  <c r="B304" i="2" s="1"/>
  <c r="H304" i="2" s="1"/>
  <c r="K325" i="2"/>
  <c r="B325" i="2" s="1" a="1"/>
  <c r="B325" i="2" s="1"/>
  <c r="H325" i="2" s="1"/>
  <c r="K680" i="2"/>
  <c r="B680" i="2" s="1" a="1"/>
  <c r="B680" i="2" s="1"/>
  <c r="H680" i="2" s="1"/>
  <c r="K1260" i="2"/>
  <c r="B1260" i="2" s="1" a="1"/>
  <c r="B1260" i="2" s="1"/>
  <c r="H1260" i="2" s="1"/>
  <c r="K180" i="2"/>
  <c r="B180" i="2" s="1" a="1"/>
  <c r="B180" i="2" s="1"/>
  <c r="H180" i="2" s="1"/>
  <c r="K74" i="2"/>
  <c r="B74" i="2" s="1" a="1"/>
  <c r="B74" i="2" s="1"/>
  <c r="H74" i="2" s="1"/>
  <c r="K990" i="2"/>
  <c r="B990" i="2" s="1" a="1"/>
  <c r="B990" i="2" s="1"/>
  <c r="H990" i="2" s="1"/>
  <c r="K312" i="2"/>
  <c r="B312" i="2" s="1" a="1"/>
  <c r="B312" i="2" s="1"/>
  <c r="H312" i="2" s="1"/>
  <c r="K503" i="2"/>
  <c r="B503" i="2" s="1" a="1"/>
  <c r="B503" i="2" s="1"/>
  <c r="H503" i="2" s="1"/>
  <c r="K1022" i="2"/>
  <c r="B1022" i="2" s="1" a="1"/>
  <c r="B1022" i="2" s="1"/>
  <c r="H1022" i="2" s="1"/>
  <c r="K784" i="2"/>
  <c r="B784" i="2" s="1" a="1"/>
  <c r="B784" i="2" s="1"/>
  <c r="H784" i="2" s="1"/>
  <c r="K1109" i="2"/>
  <c r="B1109" i="2" s="1" a="1"/>
  <c r="B1109" i="2" s="1"/>
  <c r="H1109" i="2" s="1"/>
  <c r="K616" i="2"/>
  <c r="B616" i="2" s="1" a="1"/>
  <c r="B616" i="2" s="1"/>
  <c r="H616" i="2" s="1"/>
  <c r="K613" i="2"/>
  <c r="B613" i="2" s="1" a="1"/>
  <c r="B613" i="2" s="1"/>
  <c r="H613" i="2" s="1"/>
  <c r="K745" i="2"/>
  <c r="B745" i="2" s="1" a="1"/>
  <c r="B745" i="2" s="1"/>
  <c r="H745" i="2" s="1"/>
  <c r="K102" i="2"/>
  <c r="B102" i="2" s="1" a="1"/>
  <c r="B102" i="2" s="1"/>
  <c r="H102" i="2" s="1"/>
  <c r="K69" i="2"/>
  <c r="B69" i="2" s="1" a="1"/>
  <c r="B69" i="2" s="1"/>
  <c r="H69" i="2" s="1"/>
  <c r="K955" i="2"/>
  <c r="B955" i="2" s="1" a="1"/>
  <c r="B955" i="2" s="1"/>
  <c r="H955" i="2" s="1"/>
  <c r="K416" i="2"/>
  <c r="B416" i="2" s="1" a="1"/>
  <c r="B416" i="2" s="1"/>
  <c r="H416" i="2" s="1"/>
  <c r="K212" i="2"/>
  <c r="B212" i="2" s="1" a="1"/>
  <c r="B212" i="2" s="1"/>
  <c r="H212" i="2" s="1"/>
  <c r="K703" i="2"/>
  <c r="B703" i="2" s="1" a="1"/>
  <c r="B703" i="2" s="1"/>
  <c r="H703" i="2" s="1"/>
  <c r="K1269" i="2"/>
  <c r="B1269" i="2" s="1" a="1"/>
  <c r="B1269" i="2" s="1"/>
  <c r="H1269" i="2" s="1"/>
  <c r="K786" i="2"/>
  <c r="B786" i="2" s="1" a="1"/>
  <c r="B786" i="2" s="1"/>
  <c r="H786" i="2" s="1"/>
  <c r="K195" i="2"/>
  <c r="B195" i="2" s="1" a="1"/>
  <c r="B195" i="2" s="1"/>
  <c r="H195" i="2" s="1"/>
  <c r="K1040" i="2"/>
  <c r="B1040" i="2" s="1" a="1"/>
  <c r="B1040" i="2" s="1"/>
  <c r="H1040" i="2" s="1"/>
  <c r="B1212" i="2" a="1"/>
  <c r="B1212" i="2" s="1"/>
  <c r="H1212" i="2" s="1"/>
  <c r="H741" i="2"/>
  <c r="I741" i="2" s="1"/>
  <c r="H230" i="2"/>
  <c r="I149" i="2"/>
  <c r="I77" i="2"/>
  <c r="I1169" i="2"/>
  <c r="I1135" i="2"/>
  <c r="I822" i="2"/>
  <c r="B778" i="2" a="1"/>
  <c r="B778" i="2" s="1"/>
  <c r="H778" i="2" s="1"/>
  <c r="Z32" i="1"/>
  <c r="I836" i="2"/>
  <c r="H173" i="2"/>
  <c r="B830" i="2" a="1"/>
  <c r="B830" i="2" s="1"/>
  <c r="H830" i="2" s="1"/>
  <c r="I830" i="2" s="1"/>
  <c r="B1180" i="2" a="1"/>
  <c r="B1180" i="2" s="1"/>
  <c r="H1180" i="2" s="1"/>
  <c r="B1249" i="2" a="1"/>
  <c r="B1249" i="2" s="1"/>
  <c r="H1249" i="2" s="1"/>
  <c r="K30" i="2"/>
  <c r="B30" i="2" s="1" a="1"/>
  <c r="B30" i="2" s="1"/>
  <c r="H30" i="2" s="1"/>
  <c r="K1082" i="2"/>
  <c r="B1082" i="2" s="1" a="1"/>
  <c r="B1082" i="2" s="1"/>
  <c r="H1082" i="2" s="1"/>
  <c r="B532" i="2" a="1"/>
  <c r="B532" i="2" s="1"/>
  <c r="H532" i="2" s="1"/>
  <c r="B1137" i="2" a="1"/>
  <c r="B1137" i="2" s="1"/>
  <c r="H1137" i="2" s="1"/>
  <c r="B1023" i="2" a="1"/>
  <c r="B1023" i="2" s="1"/>
  <c r="H1023" i="2" s="1"/>
  <c r="B1189" i="2" a="1"/>
  <c r="B1189" i="2" s="1"/>
  <c r="H1189" i="2" s="1"/>
  <c r="B710" i="2" a="1"/>
  <c r="B710" i="2" s="1"/>
  <c r="H710" i="2" s="1"/>
  <c r="H48" i="9"/>
  <c r="B188" i="2" a="1"/>
  <c r="B188" i="2" s="1"/>
  <c r="H188" i="2" s="1"/>
  <c r="K1123" i="2"/>
  <c r="B1123" i="2" s="1" a="1"/>
  <c r="B1123" i="2" s="1"/>
  <c r="H1123" i="2" s="1"/>
  <c r="I1123" i="2" s="1"/>
  <c r="B1050" i="2" a="1"/>
  <c r="B1050" i="2" s="1"/>
  <c r="H1050" i="2" s="1"/>
  <c r="B962" i="2" a="1"/>
  <c r="B962" i="2" s="1"/>
  <c r="H962" i="2" s="1"/>
  <c r="K271" i="2"/>
  <c r="B271" i="2" s="1" a="1"/>
  <c r="B271" i="2" s="1"/>
  <c r="H271" i="2" s="1"/>
  <c r="I271" i="2" s="1"/>
  <c r="K79" i="2"/>
  <c r="B79" i="2" s="1" a="1"/>
  <c r="B79" i="2" s="1"/>
  <c r="H79" i="2" s="1"/>
  <c r="B734" i="2" a="1"/>
  <c r="B734" i="2" s="1"/>
  <c r="H734" i="2" s="1"/>
  <c r="K903" i="2"/>
  <c r="B903" i="2" s="1" a="1"/>
  <c r="B903" i="2" s="1"/>
  <c r="H903" i="2" s="1"/>
  <c r="I996" i="2" s="1"/>
  <c r="B714" i="2" a="1"/>
  <c r="B714" i="2" s="1"/>
  <c r="H714" i="2" s="1"/>
  <c r="I714" i="2" s="1"/>
  <c r="K300" i="2"/>
  <c r="B300" i="2" s="1" a="1"/>
  <c r="B300" i="2" s="1"/>
  <c r="H300" i="2" s="1"/>
  <c r="K258" i="2"/>
  <c r="B258" i="2" s="1" a="1"/>
  <c r="B258" i="2" s="1"/>
  <c r="H258" i="2" s="1"/>
  <c r="H1148" i="2"/>
  <c r="I1225" i="2" s="1"/>
  <c r="K1225" i="2"/>
  <c r="B1225" i="2" s="1" a="1"/>
  <c r="B1225" i="2" s="1"/>
  <c r="H1225" i="2" s="1"/>
  <c r="K1267" i="2"/>
  <c r="B1267" i="2" s="1" a="1"/>
  <c r="B1267" i="2" s="1"/>
  <c r="H1267" i="2" s="1"/>
  <c r="K91" i="2"/>
  <c r="B91" i="2" s="1" a="1"/>
  <c r="B91" i="2" s="1"/>
  <c r="H91" i="2" s="1"/>
  <c r="H458" i="2"/>
  <c r="K1028" i="2"/>
  <c r="B1028" i="2" s="1" a="1"/>
  <c r="B1028" i="2" s="1"/>
  <c r="H1028" i="2" s="1"/>
  <c r="K875" i="2"/>
  <c r="B875" i="2" s="1" a="1"/>
  <c r="B875" i="2" s="1"/>
  <c r="H875" i="2" s="1"/>
  <c r="K488" i="2"/>
  <c r="B488" i="2" s="1" a="1"/>
  <c r="B488" i="2" s="1"/>
  <c r="H488" i="2" s="1"/>
  <c r="K288" i="2"/>
  <c r="B288" i="2" s="1" a="1"/>
  <c r="B288" i="2" s="1"/>
  <c r="H288" i="2" s="1"/>
  <c r="B11" i="2" a="1"/>
  <c r="B11" i="2" s="1"/>
  <c r="H11" i="2" s="1"/>
  <c r="I11" i="2" s="1"/>
  <c r="K879" i="2"/>
  <c r="B879" i="2" s="1" a="1"/>
  <c r="B879" i="2" s="1"/>
  <c r="H879" i="2" s="1"/>
  <c r="I910" i="2"/>
  <c r="I187" i="2"/>
  <c r="I78" i="2"/>
  <c r="I964" i="2"/>
  <c r="I764" i="2"/>
  <c r="I165" i="2"/>
  <c r="H327" i="2"/>
  <c r="I479" i="2"/>
  <c r="I242" i="2"/>
  <c r="I71" i="2"/>
  <c r="K572" i="2"/>
  <c r="B572" i="2" s="1" a="1"/>
  <c r="B572" i="2" s="1"/>
  <c r="H572" i="2" s="1"/>
  <c r="H772" i="2"/>
  <c r="K138" i="2"/>
  <c r="B138" i="2" s="1" a="1"/>
  <c r="B138" i="2" s="1"/>
  <c r="H138" i="2" s="1"/>
  <c r="K701" i="2"/>
  <c r="B701" i="2" s="1" a="1"/>
  <c r="B701" i="2" s="1"/>
  <c r="H701" i="2" s="1"/>
  <c r="H1041" i="2"/>
  <c r="K31" i="2"/>
  <c r="B31" i="2" s="1" a="1"/>
  <c r="B31" i="2" s="1"/>
  <c r="H31" i="2" s="1"/>
  <c r="H208" i="2"/>
  <c r="K624" i="2"/>
  <c r="B624" i="2" s="1" a="1"/>
  <c r="B624" i="2" s="1"/>
  <c r="H624" i="2" s="1"/>
  <c r="H560" i="2"/>
  <c r="H1113" i="2"/>
  <c r="K800" i="2"/>
  <c r="B800" i="2" s="1" a="1"/>
  <c r="B800" i="2" s="1"/>
  <c r="H800" i="2" s="1"/>
  <c r="K93" i="2"/>
  <c r="B93" i="2" s="1" a="1"/>
  <c r="B93" i="2" s="1"/>
  <c r="H93" i="2" s="1"/>
  <c r="H673" i="2"/>
  <c r="I1167" i="2" s="1"/>
  <c r="K1103" i="2"/>
  <c r="B1103" i="2" s="1" a="1"/>
  <c r="B1103" i="2" s="1"/>
  <c r="H1103" i="2" s="1"/>
  <c r="H142" i="2"/>
  <c r="H609" i="2"/>
  <c r="H359" i="2"/>
  <c r="B1084" i="2" a="1"/>
  <c r="B1084" i="2" s="1"/>
  <c r="H1084" i="2" s="1"/>
  <c r="K1261" i="2"/>
  <c r="B1261" i="2" s="1" a="1"/>
  <c r="B1261" i="2" s="1"/>
  <c r="H1261" i="2" s="1"/>
  <c r="K512" i="2"/>
  <c r="B512" i="2" s="1" a="1"/>
  <c r="B512" i="2" s="1"/>
  <c r="H512" i="2" s="1"/>
  <c r="H876" i="2"/>
  <c r="H629" i="2"/>
  <c r="H101" i="2"/>
  <c r="B1204" i="2" a="1"/>
  <c r="B1204" i="2" s="1"/>
  <c r="H1204" i="2" s="1"/>
  <c r="B277" i="2" a="1"/>
  <c r="B277" i="2" s="1"/>
  <c r="H277" i="2" s="1"/>
  <c r="H738" i="2"/>
  <c r="B1118" i="2" a="1"/>
  <c r="B1118" i="2" s="1"/>
  <c r="H1118" i="2" s="1"/>
  <c r="I1118" i="2" s="1"/>
  <c r="H1038" i="2"/>
  <c r="I1038" i="2" s="1"/>
  <c r="K996" i="2"/>
  <c r="B996" i="2" s="1" a="1"/>
  <c r="B996" i="2" s="1"/>
  <c r="H996" i="2" s="1"/>
  <c r="H84" i="2"/>
  <c r="H1085" i="2"/>
  <c r="K878" i="2"/>
  <c r="B878" i="2" s="1" a="1"/>
  <c r="B878" i="2" s="1"/>
  <c r="H878" i="2" s="1"/>
  <c r="H70" i="2"/>
  <c r="H343" i="2"/>
  <c r="K846" i="2"/>
  <c r="B846" i="2" s="1" a="1"/>
  <c r="B846" i="2" s="1"/>
  <c r="H846" i="2" s="1"/>
  <c r="H418" i="2"/>
  <c r="H850" i="2"/>
  <c r="I850" i="2" s="1"/>
  <c r="H238" i="2"/>
  <c r="H884" i="2"/>
  <c r="I1134" i="2" s="1"/>
  <c r="K76" i="2"/>
  <c r="B76" i="2" s="1" a="1"/>
  <c r="B76" i="2" s="1"/>
  <c r="H76" i="2" s="1"/>
  <c r="H205" i="2"/>
  <c r="H636" i="2"/>
  <c r="H346" i="2"/>
  <c r="K235" i="2"/>
  <c r="B235" i="2" s="1" a="1"/>
  <c r="B235" i="2" s="1"/>
  <c r="H235" i="2" s="1"/>
  <c r="K715" i="2"/>
  <c r="B715" i="2" s="1" a="1"/>
  <c r="B715" i="2" s="1"/>
  <c r="H715" i="2" s="1"/>
  <c r="H1226" i="2"/>
  <c r="H389" i="2"/>
  <c r="K940" i="2"/>
  <c r="B940" i="2" s="1" a="1"/>
  <c r="B940" i="2" s="1"/>
  <c r="H940" i="2" s="1"/>
  <c r="I1238" i="2" s="1"/>
  <c r="K65" i="2"/>
  <c r="B65" i="2" s="1" a="1"/>
  <c r="B65" i="2" s="1"/>
  <c r="H65" i="2" s="1"/>
  <c r="H172" i="2"/>
  <c r="K191" i="2"/>
  <c r="B191" i="2" s="1" a="1"/>
  <c r="B191" i="2" s="1"/>
  <c r="H191" i="2" s="1"/>
  <c r="K838" i="2"/>
  <c r="B838" i="2" s="1" a="1"/>
  <c r="B838" i="2" s="1"/>
  <c r="H838" i="2" s="1"/>
  <c r="H886" i="2"/>
  <c r="K1222" i="2"/>
  <c r="B1222" i="2" s="1" a="1"/>
  <c r="B1222" i="2" s="1"/>
  <c r="H1222" i="2" s="1"/>
  <c r="H348" i="2"/>
  <c r="K382" i="2"/>
  <c r="B382" i="2" s="1" a="1"/>
  <c r="B382" i="2" s="1"/>
  <c r="H382" i="2" s="1"/>
  <c r="K826" i="2"/>
  <c r="B826" i="2" s="1" a="1"/>
  <c r="B826" i="2" s="1"/>
  <c r="H826" i="2" s="1"/>
  <c r="K121" i="2"/>
  <c r="B121" i="2" s="1" a="1"/>
  <c r="B121" i="2" s="1"/>
  <c r="H121" i="2" s="1"/>
  <c r="K518" i="2"/>
  <c r="B518" i="2" s="1" a="1"/>
  <c r="B518" i="2" s="1"/>
  <c r="H518" i="2" s="1"/>
  <c r="K434" i="2"/>
  <c r="B434" i="2" s="1" a="1"/>
  <c r="B434" i="2" s="1"/>
  <c r="H434" i="2" s="1"/>
  <c r="H991" i="2"/>
  <c r="H820" i="2"/>
  <c r="I970" i="2" s="1"/>
  <c r="K848" i="2"/>
  <c r="B848" i="2" s="1" a="1"/>
  <c r="B848" i="2" s="1"/>
  <c r="H848" i="2" s="1"/>
  <c r="K254" i="2"/>
  <c r="B254" i="2" s="1" a="1"/>
  <c r="B254" i="2" s="1"/>
  <c r="H254" i="2" s="1"/>
  <c r="H736" i="2"/>
  <c r="K152" i="2"/>
  <c r="B152" i="2" s="1" a="1"/>
  <c r="B152" i="2" s="1"/>
  <c r="H152" i="2" s="1"/>
  <c r="B1076" i="2" a="1"/>
  <c r="B1076" i="2" s="1"/>
  <c r="H1076" i="2" s="1"/>
  <c r="B320" i="2" a="1"/>
  <c r="B320" i="2" s="1"/>
  <c r="H320" i="2" s="1"/>
  <c r="K40" i="2"/>
  <c r="B40" i="2" s="1" a="1"/>
  <c r="B40" i="2" s="1"/>
  <c r="H40" i="2" s="1"/>
  <c r="K491" i="2"/>
  <c r="B491" i="2" s="1" a="1"/>
  <c r="B491" i="2" s="1"/>
  <c r="H491" i="2" s="1"/>
  <c r="K901" i="2"/>
  <c r="B901" i="2" s="1" a="1"/>
  <c r="B901" i="2" s="1"/>
  <c r="H901" i="2" s="1"/>
  <c r="B811" i="2" a="1"/>
  <c r="B811" i="2" s="1"/>
  <c r="H811" i="2" s="1"/>
  <c r="K870" i="2"/>
  <c r="B870" i="2" s="1" a="1"/>
  <c r="B870" i="2" s="1"/>
  <c r="H870" i="2" s="1"/>
  <c r="B1095" i="2" a="1"/>
  <c r="B1095" i="2" s="1"/>
  <c r="H1095" i="2" s="1"/>
  <c r="K220" i="2"/>
  <c r="B220" i="2" s="1" a="1"/>
  <c r="B220" i="2" s="1"/>
  <c r="H220" i="2" s="1"/>
  <c r="K582" i="2"/>
  <c r="B582" i="2" s="1" a="1"/>
  <c r="B582" i="2" s="1"/>
  <c r="H582" i="2" s="1"/>
  <c r="B707" i="2" a="1"/>
  <c r="B707" i="2" s="1"/>
  <c r="H707" i="2" s="1"/>
  <c r="B851" i="2" a="1"/>
  <c r="B851" i="2" s="1"/>
  <c r="H851" i="2" s="1"/>
  <c r="B122" i="2" a="1"/>
  <c r="B122" i="2" s="1"/>
  <c r="H122" i="2" s="1"/>
  <c r="I122" i="2" s="1"/>
  <c r="B533" i="2" a="1"/>
  <c r="B533" i="2" s="1"/>
  <c r="H533" i="2" s="1"/>
  <c r="K495" i="2"/>
  <c r="B495" i="2" s="1" a="1"/>
  <c r="B495" i="2" s="1"/>
  <c r="H495" i="2" s="1"/>
  <c r="K963" i="2"/>
  <c r="B963" i="2" s="1" a="1"/>
  <c r="B963" i="2" s="1"/>
  <c r="H963" i="2" s="1"/>
  <c r="B833" i="2" a="1"/>
  <c r="B833" i="2" s="1"/>
  <c r="H833" i="2" s="1"/>
  <c r="K357" i="2"/>
  <c r="B357" i="2" s="1" a="1"/>
  <c r="B357" i="2" s="1"/>
  <c r="H357" i="2" s="1"/>
  <c r="I355" i="2" s="1"/>
  <c r="K36" i="2"/>
  <c r="B36" i="2" s="1" a="1"/>
  <c r="B36" i="2" s="1"/>
  <c r="H36" i="2" s="1"/>
  <c r="K233" i="2"/>
  <c r="B233" i="2" s="1" a="1"/>
  <c r="B233" i="2" s="1"/>
  <c r="H233" i="2" s="1"/>
  <c r="K210" i="2"/>
  <c r="B210" i="2" s="1" a="1"/>
  <c r="B210" i="2" s="1"/>
  <c r="H210" i="2" s="1"/>
  <c r="B441" i="2" a="1"/>
  <c r="B441" i="2" s="1"/>
  <c r="H441" i="2" s="1"/>
  <c r="K997" i="2"/>
  <c r="B997" i="2" s="1" a="1"/>
  <c r="B997" i="2" s="1"/>
  <c r="H997" i="2" s="1"/>
  <c r="K296" i="2"/>
  <c r="B296" i="2" s="1" a="1"/>
  <c r="B296" i="2" s="1"/>
  <c r="H296" i="2" s="1"/>
  <c r="B1168" i="2" a="1"/>
  <c r="B1168" i="2" s="1"/>
  <c r="H1168" i="2" s="1"/>
  <c r="K1045" i="2"/>
  <c r="B1045" i="2" s="1" a="1"/>
  <c r="B1045" i="2" s="1"/>
  <c r="H1045" i="2" s="1"/>
  <c r="K669" i="2"/>
  <c r="B669" i="2" s="1" a="1"/>
  <c r="B669" i="2" s="1"/>
  <c r="H669" i="2" s="1"/>
  <c r="B520" i="2" a="1"/>
  <c r="B520" i="2" s="1"/>
  <c r="H520" i="2" s="1"/>
  <c r="K49" i="2"/>
  <c r="B49" i="2" s="1" a="1"/>
  <c r="B49" i="2" s="1"/>
  <c r="H49" i="2" s="1"/>
  <c r="K190" i="2"/>
  <c r="B190" i="2" s="1" a="1"/>
  <c r="B190" i="2" s="1"/>
  <c r="H190" i="2" s="1"/>
  <c r="B211" i="2" a="1"/>
  <c r="B211" i="2" s="1"/>
  <c r="H211" i="2" s="1"/>
  <c r="K1143" i="2"/>
  <c r="B1143" i="2" s="1" a="1"/>
  <c r="B1143" i="2" s="1"/>
  <c r="H1143" i="2" s="1"/>
  <c r="K1114" i="2"/>
  <c r="B1114" i="2" s="1" a="1"/>
  <c r="B1114" i="2" s="1"/>
  <c r="H1114" i="2" s="1"/>
  <c r="B839" i="2" a="1"/>
  <c r="B839" i="2" s="1"/>
  <c r="H839" i="2" s="1"/>
  <c r="K555" i="2"/>
  <c r="B555" i="2" s="1" a="1"/>
  <c r="B555" i="2" s="1"/>
  <c r="H555" i="2" s="1"/>
  <c r="K64" i="2"/>
  <c r="B64" i="2" s="1" a="1"/>
  <c r="B64" i="2" s="1"/>
  <c r="H64" i="2" s="1"/>
  <c r="K855" i="2"/>
  <c r="B855" i="2" s="1" a="1"/>
  <c r="B855" i="2" s="1"/>
  <c r="H855" i="2" s="1"/>
  <c r="K1181" i="2"/>
  <c r="B1181" i="2" s="1" a="1"/>
  <c r="B1181" i="2" s="1"/>
  <c r="H1181" i="2" s="1"/>
  <c r="B231" i="2" a="1"/>
  <c r="B231" i="2" s="1"/>
  <c r="H231" i="2" s="1"/>
  <c r="B970" i="2" a="1"/>
  <c r="B970" i="2" s="1"/>
  <c r="H970" i="2" s="1"/>
  <c r="K1081" i="2"/>
  <c r="B1081" i="2" s="1" a="1"/>
  <c r="B1081" i="2" s="1"/>
  <c r="H1081" i="2" s="1"/>
  <c r="K769" i="2"/>
  <c r="B769" i="2" s="1" a="1"/>
  <c r="B769" i="2" s="1"/>
  <c r="H769" i="2" s="1"/>
  <c r="K1149" i="2"/>
  <c r="B1149" i="2" s="1" a="1"/>
  <c r="B1149" i="2" s="1"/>
  <c r="H1149" i="2" s="1"/>
  <c r="K831" i="2"/>
  <c r="B831" i="2" s="1" a="1"/>
  <c r="B831" i="2" s="1"/>
  <c r="H831" i="2" s="1"/>
  <c r="K530" i="2"/>
  <c r="B530" i="2" s="1" a="1"/>
  <c r="B530" i="2" s="1"/>
  <c r="H530" i="2" s="1"/>
  <c r="K50" i="2"/>
  <c r="B50" i="2" s="1" a="1"/>
  <c r="B50" i="2" s="1"/>
  <c r="H50" i="2" s="1"/>
  <c r="K683" i="2"/>
  <c r="B683" i="2" s="1" a="1"/>
  <c r="B683" i="2" s="1"/>
  <c r="H683" i="2" s="1"/>
  <c r="K490" i="2"/>
  <c r="B490" i="2" s="1" a="1"/>
  <c r="B490" i="2" s="1"/>
  <c r="H490" i="2" s="1"/>
  <c r="I490" i="2" s="1"/>
  <c r="K1188" i="2"/>
  <c r="B1188" i="2" s="1" a="1"/>
  <c r="B1188" i="2" s="1"/>
  <c r="H1188" i="2" s="1"/>
  <c r="K580" i="2"/>
  <c r="B580" i="2" s="1" a="1"/>
  <c r="B580" i="2" s="1"/>
  <c r="H580" i="2" s="1"/>
  <c r="K1063" i="2"/>
  <c r="B1063" i="2" s="1" a="1"/>
  <c r="B1063" i="2" s="1"/>
  <c r="H1063" i="2" s="1"/>
  <c r="K979" i="2"/>
  <c r="B979" i="2" s="1" a="1"/>
  <c r="B979" i="2" s="1"/>
  <c r="H979" i="2" s="1"/>
  <c r="K120" i="2"/>
  <c r="B120" i="2" s="1" a="1"/>
  <c r="B120" i="2" s="1"/>
  <c r="H120" i="2" s="1"/>
  <c r="K391" i="2"/>
  <c r="B391" i="2" s="1" a="1"/>
  <c r="B391" i="2" s="1"/>
  <c r="H391" i="2" s="1"/>
  <c r="K111" i="2"/>
  <c r="B111" i="2" s="1" a="1"/>
  <c r="B111" i="2" s="1"/>
  <c r="H111" i="2" s="1"/>
  <c r="I111" i="2" s="1"/>
  <c r="K742" i="2"/>
  <c r="B742" i="2" s="1" a="1"/>
  <c r="B742" i="2" s="1"/>
  <c r="H742" i="2" s="1"/>
  <c r="K472" i="2"/>
  <c r="B472" i="2" s="1" a="1"/>
  <c r="B472" i="2" s="1"/>
  <c r="H472" i="2" s="1"/>
  <c r="B1007" i="2" a="1"/>
  <c r="B1007" i="2" s="1"/>
  <c r="H1007" i="2" s="1"/>
  <c r="K298" i="2"/>
  <c r="B298" i="2" s="1" a="1"/>
  <c r="B298" i="2" s="1"/>
  <c r="H298" i="2" s="1"/>
  <c r="K444" i="2"/>
  <c r="B444" i="2" s="1" a="1"/>
  <c r="B444" i="2" s="1"/>
  <c r="H444" i="2" s="1"/>
  <c r="K900" i="2"/>
  <c r="B900" i="2" s="1" a="1"/>
  <c r="B900" i="2" s="1"/>
  <c r="H900" i="2" s="1"/>
  <c r="K1075" i="2"/>
  <c r="B1075" i="2" s="1" a="1"/>
  <c r="B1075" i="2" s="1"/>
  <c r="H1075" i="2" s="1"/>
  <c r="K509" i="2"/>
  <c r="B509" i="2" s="1" a="1"/>
  <c r="B509" i="2" s="1"/>
  <c r="H509" i="2" s="1"/>
  <c r="K780" i="2"/>
  <c r="B780" i="2" s="1" a="1"/>
  <c r="B780" i="2" s="1"/>
  <c r="H780" i="2" s="1"/>
  <c r="K92" i="2"/>
  <c r="B92" i="2" s="1" a="1"/>
  <c r="B92" i="2" s="1"/>
  <c r="H92" i="2" s="1"/>
  <c r="K712" i="2"/>
  <c r="B712" i="2" s="1" a="1"/>
  <c r="B712" i="2" s="1"/>
  <c r="H712" i="2" s="1"/>
  <c r="I802" i="2" s="1"/>
  <c r="K251" i="2"/>
  <c r="B251" i="2" s="1" a="1"/>
  <c r="B251" i="2" s="1"/>
  <c r="H251" i="2" s="1"/>
  <c r="K1106" i="2"/>
  <c r="B1106" i="2" s="1" a="1"/>
  <c r="B1106" i="2" s="1"/>
  <c r="H1106" i="2" s="1"/>
  <c r="K406" i="2"/>
  <c r="B406" i="2" s="1" a="1"/>
  <c r="B406" i="2" s="1"/>
  <c r="H406" i="2" s="1"/>
  <c r="K460" i="2"/>
  <c r="B460" i="2" s="1" a="1"/>
  <c r="B460" i="2" s="1"/>
  <c r="H460" i="2" s="1"/>
  <c r="K849" i="2"/>
  <c r="B849" i="2" s="1" a="1"/>
  <c r="B849" i="2" s="1"/>
  <c r="H849" i="2" s="1"/>
  <c r="I145" i="2"/>
  <c r="I116" i="2"/>
  <c r="I569" i="2"/>
  <c r="I261" i="2"/>
  <c r="I239" i="2"/>
  <c r="H766" i="2"/>
  <c r="B361" i="2" a="1"/>
  <c r="B361" i="2" s="1"/>
  <c r="H361" i="2" s="1"/>
  <c r="I361" i="2" s="1"/>
  <c r="B928" i="2" a="1"/>
  <c r="B928" i="2" s="1"/>
  <c r="H928" i="2" s="1"/>
  <c r="B548" i="2" a="1"/>
  <c r="B548" i="2" s="1"/>
  <c r="H548" i="2" s="1"/>
  <c r="B336" i="2" a="1"/>
  <c r="B336" i="2" s="1"/>
  <c r="H336" i="2" s="1"/>
  <c r="B523" i="2" a="1"/>
  <c r="B523" i="2" s="1"/>
  <c r="H523" i="2" s="1"/>
  <c r="B888" i="2" a="1"/>
  <c r="B888" i="2" s="1"/>
  <c r="H888" i="2" s="1"/>
  <c r="I888" i="2" s="1"/>
  <c r="K469" i="2"/>
  <c r="B469" i="2" s="1" a="1"/>
  <c r="B469" i="2" s="1"/>
  <c r="H469" i="2" s="1"/>
  <c r="B1078" i="2" a="1"/>
  <c r="B1078" i="2" s="1"/>
  <c r="H1078" i="2" s="1"/>
  <c r="B467" i="2" a="1"/>
  <c r="B467" i="2" s="1"/>
  <c r="H467" i="2" s="1"/>
  <c r="B27" i="2" a="1"/>
  <c r="B27" i="2" s="1"/>
  <c r="H27" i="2" s="1"/>
  <c r="B1238" i="2" a="1"/>
  <c r="B1238" i="2" s="1"/>
  <c r="H1238" i="2" s="1"/>
  <c r="K603" i="2"/>
  <c r="B603" i="2" s="1" a="1"/>
  <c r="B603" i="2" s="1"/>
  <c r="H603" i="2" s="1"/>
  <c r="K1116" i="2"/>
  <c r="B1116" i="2" s="1" a="1"/>
  <c r="B1116" i="2" s="1"/>
  <c r="H1116" i="2" s="1"/>
  <c r="H719" i="2"/>
  <c r="K396" i="2"/>
  <c r="B396" i="2" s="1" a="1"/>
  <c r="B396" i="2" s="1"/>
  <c r="H396" i="2" s="1"/>
  <c r="K528" i="2"/>
  <c r="B528" i="2" s="1" a="1"/>
  <c r="B528" i="2" s="1"/>
  <c r="H528" i="2" s="1"/>
  <c r="H1033" i="2"/>
  <c r="I1033" i="2" s="1"/>
  <c r="K67" i="2"/>
  <c r="B67" i="2" s="1" a="1"/>
  <c r="B67" i="2" s="1"/>
  <c r="H67" i="2" s="1"/>
  <c r="K284" i="2"/>
  <c r="B284" i="2" s="1" a="1"/>
  <c r="B284" i="2" s="1"/>
  <c r="H284" i="2" s="1"/>
  <c r="B967" i="2" a="1"/>
  <c r="B967" i="2" s="1"/>
  <c r="H967" i="2" s="1"/>
  <c r="K907" i="2"/>
  <c r="B907" i="2" s="1" a="1"/>
  <c r="B907" i="2" s="1"/>
  <c r="H907" i="2" s="1"/>
  <c r="K17" i="2"/>
  <c r="B17" i="2" s="1" a="1"/>
  <c r="B17" i="2" s="1"/>
  <c r="H17" i="2" s="1"/>
  <c r="K646" i="2"/>
  <c r="B646" i="2" s="1" a="1"/>
  <c r="B646" i="2" s="1"/>
  <c r="H646" i="2" s="1"/>
  <c r="K1167" i="2"/>
  <c r="B1167" i="2" s="1" a="1"/>
  <c r="B1167" i="2" s="1"/>
  <c r="H1167" i="2" s="1"/>
  <c r="K453" i="2"/>
  <c r="B453" i="2" s="1" a="1"/>
  <c r="B453" i="2" s="1"/>
  <c r="H453" i="2" s="1"/>
  <c r="K916" i="2"/>
  <c r="B916" i="2" s="1" a="1"/>
  <c r="B916" i="2" s="1"/>
  <c r="H916" i="2" s="1"/>
  <c r="B1160" i="2" a="1"/>
  <c r="B1160" i="2" s="1"/>
  <c r="H1160" i="2" s="1"/>
  <c r="H885" i="2"/>
  <c r="H874" i="2"/>
  <c r="H157" i="2"/>
  <c r="I157" i="2" s="1"/>
  <c r="K767" i="2"/>
  <c r="B767" i="2" s="1" a="1"/>
  <c r="B767" i="2" s="1"/>
  <c r="H767" i="2" s="1"/>
  <c r="I1055" i="2" s="1"/>
  <c r="K559" i="2"/>
  <c r="B559" i="2" s="1" a="1"/>
  <c r="B559" i="2" s="1"/>
  <c r="H559" i="2" s="1"/>
  <c r="K162" i="2"/>
  <c r="B162" i="2" s="1" a="1"/>
  <c r="B162" i="2" s="1"/>
  <c r="H162" i="2" s="1"/>
  <c r="I1249" i="2"/>
  <c r="I998" i="2"/>
  <c r="H768" i="2"/>
  <c r="I768" i="2" s="1"/>
  <c r="H1199" i="2"/>
  <c r="H914" i="2"/>
  <c r="H146" i="2"/>
  <c r="H234" i="2"/>
  <c r="H819" i="2"/>
  <c r="H369" i="2"/>
  <c r="H28" i="9"/>
  <c r="B147" i="2" a="1"/>
  <c r="B147" i="2" s="1"/>
  <c r="H147" i="2" s="1"/>
  <c r="H667" i="2"/>
  <c r="K232" i="2"/>
  <c r="B232" i="2" s="1" a="1"/>
  <c r="B232" i="2" s="1"/>
  <c r="H232" i="2" s="1"/>
  <c r="H479" i="2"/>
  <c r="B597" i="2" a="1"/>
  <c r="B597" i="2" s="1"/>
  <c r="H597" i="2" s="1"/>
  <c r="H1139" i="2"/>
  <c r="H923" i="2"/>
  <c r="B282" i="2" a="1"/>
  <c r="B282" i="2" s="1"/>
  <c r="H282" i="2" s="1"/>
  <c r="H328" i="2"/>
  <c r="H164" i="2"/>
  <c r="H675" i="2"/>
  <c r="H782" i="2"/>
  <c r="I782" i="2" s="1"/>
  <c r="H54" i="2"/>
  <c r="K751" i="2"/>
  <c r="B751" i="2" s="1" a="1"/>
  <c r="B751" i="2" s="1"/>
  <c r="H751" i="2" s="1"/>
  <c r="H379" i="2"/>
  <c r="H1056" i="2"/>
  <c r="K1013" i="2"/>
  <c r="B1013" i="2" s="1" a="1"/>
  <c r="B1013" i="2" s="1"/>
  <c r="H1013" i="2" s="1"/>
  <c r="I1013" i="2" s="1"/>
  <c r="H993" i="2"/>
  <c r="K496" i="2"/>
  <c r="B496" i="2" s="1" a="1"/>
  <c r="B496" i="2" s="1"/>
  <c r="H496" i="2" s="1"/>
  <c r="I475" i="2" s="1"/>
  <c r="H26" i="2"/>
  <c r="I26" i="2" s="1"/>
  <c r="B376" i="2" a="1"/>
  <c r="B376" i="2" s="1"/>
  <c r="H376" i="2" s="1"/>
  <c r="H425" i="2"/>
  <c r="H925" i="2"/>
  <c r="B677" i="2" a="1"/>
  <c r="B677" i="2" s="1"/>
  <c r="H677" i="2" s="1"/>
  <c r="B433" i="2" a="1"/>
  <c r="B433" i="2" s="1"/>
  <c r="H433" i="2" s="1"/>
  <c r="H748" i="2"/>
  <c r="H1195" i="2"/>
  <c r="H19" i="2"/>
  <c r="H1062" i="2"/>
  <c r="K21" i="2"/>
  <c r="B21" i="2" s="1" a="1"/>
  <c r="B21" i="2" s="1"/>
  <c r="H21" i="2" s="1"/>
  <c r="H711" i="2"/>
  <c r="H685" i="2"/>
  <c r="H459" i="2"/>
  <c r="H360" i="2"/>
  <c r="H961" i="2"/>
  <c r="I961" i="2" s="1"/>
  <c r="K225" i="2"/>
  <c r="B225" i="2" s="1" a="1"/>
  <c r="B225" i="2" s="1"/>
  <c r="H225" i="2" s="1"/>
  <c r="H653" i="2"/>
  <c r="H136" i="2"/>
  <c r="H194" i="2"/>
  <c r="H506" i="2"/>
  <c r="H409" i="2"/>
  <c r="H598" i="2"/>
  <c r="K331" i="2"/>
  <c r="B331" i="2" s="1" a="1"/>
  <c r="B331" i="2" s="1"/>
  <c r="H331" i="2" s="1"/>
  <c r="K771" i="2"/>
  <c r="B771" i="2" s="1" a="1"/>
  <c r="B771" i="2" s="1"/>
  <c r="H771" i="2" s="1"/>
  <c r="K370" i="2"/>
  <c r="B370" i="2" s="1" a="1"/>
  <c r="B370" i="2" s="1"/>
  <c r="H370" i="2" s="1"/>
  <c r="H24" i="2"/>
  <c r="K270" i="2"/>
  <c r="B270" i="2" s="1" a="1"/>
  <c r="B270" i="2" s="1"/>
  <c r="H270" i="2" s="1"/>
  <c r="B583" i="2" a="1"/>
  <c r="B583" i="2" s="1"/>
  <c r="H583" i="2" s="1"/>
  <c r="K824" i="2"/>
  <c r="B824" i="2" s="1" a="1"/>
  <c r="B824" i="2" s="1"/>
  <c r="H824" i="2" s="1"/>
  <c r="H620" i="2"/>
  <c r="K1102" i="2"/>
  <c r="B1102" i="2" s="1" a="1"/>
  <c r="B1102" i="2" s="1"/>
  <c r="H1102" i="2" s="1"/>
  <c r="K1206" i="2"/>
  <c r="B1206" i="2" s="1" a="1"/>
  <c r="B1206" i="2" s="1"/>
  <c r="H1206" i="2" s="1"/>
  <c r="I1206" i="2" s="1"/>
  <c r="K366" i="2"/>
  <c r="B366" i="2" s="1" a="1"/>
  <c r="B366" i="2" s="1"/>
  <c r="H366" i="2" s="1"/>
  <c r="H527" i="2"/>
  <c r="K140" i="2"/>
  <c r="B140" i="2" s="1" a="1"/>
  <c r="B140" i="2" s="1"/>
  <c r="H140" i="2" s="1"/>
  <c r="K42" i="2"/>
  <c r="B42" i="2" s="1" a="1"/>
  <c r="B42" i="2" s="1"/>
  <c r="H42" i="2" s="1"/>
  <c r="K289" i="2"/>
  <c r="B289" i="2" s="1" a="1"/>
  <c r="B289" i="2" s="1"/>
  <c r="H289" i="2" s="1"/>
  <c r="H493" i="2"/>
  <c r="H861" i="2"/>
  <c r="H1048" i="2"/>
  <c r="K206" i="2"/>
  <c r="B206" i="2" s="1" a="1"/>
  <c r="B206" i="2" s="1"/>
  <c r="H206" i="2" s="1"/>
  <c r="K600" i="2"/>
  <c r="B600" i="2" s="1" a="1"/>
  <c r="B600" i="2" s="1"/>
  <c r="H600" i="2" s="1"/>
  <c r="K66" i="2"/>
  <c r="B66" i="2" s="1" a="1"/>
  <c r="B66" i="2" s="1"/>
  <c r="H66" i="2" s="1"/>
  <c r="K127" i="2"/>
  <c r="B127" i="2" s="1" a="1"/>
  <c r="B127" i="2" s="1"/>
  <c r="H127" i="2" s="1"/>
  <c r="K614" i="2"/>
  <c r="B614" i="2" s="1" a="1"/>
  <c r="B614" i="2" s="1"/>
  <c r="H614" i="2" s="1"/>
  <c r="K828" i="2"/>
  <c r="B828" i="2" s="1" a="1"/>
  <c r="B828" i="2" s="1"/>
  <c r="H828" i="2" s="1"/>
  <c r="H219" i="2"/>
  <c r="I219" i="2" s="1"/>
  <c r="K930" i="2"/>
  <c r="B930" i="2" s="1" a="1"/>
  <c r="B930" i="2" s="1"/>
  <c r="H930" i="2" s="1"/>
  <c r="K813" i="2"/>
  <c r="B813" i="2" s="1" a="1"/>
  <c r="B813" i="2" s="1"/>
  <c r="H813" i="2" s="1"/>
  <c r="K1037" i="2"/>
  <c r="B1037" i="2" s="1" a="1"/>
  <c r="B1037" i="2" s="1"/>
  <c r="H1037" i="2" s="1"/>
  <c r="K88" i="2"/>
  <c r="B88" i="2" s="1" a="1"/>
  <c r="B88" i="2" s="1"/>
  <c r="H88" i="2" s="1"/>
  <c r="K1198" i="2"/>
  <c r="B1198" i="2" s="1" a="1"/>
  <c r="B1198" i="2" s="1"/>
  <c r="H1198" i="2" s="1"/>
  <c r="K35" i="2"/>
  <c r="B35" i="2" s="1" a="1"/>
  <c r="B35" i="2" s="1"/>
  <c r="H35" i="2" s="1"/>
  <c r="K286" i="2"/>
  <c r="B286" i="2" s="1" a="1"/>
  <c r="B286" i="2" s="1"/>
  <c r="H286" i="2" s="1"/>
  <c r="H227" i="2"/>
  <c r="K975" i="2"/>
  <c r="B975" i="2" s="1" a="1"/>
  <c r="B975" i="2" s="1"/>
  <c r="H975" i="2" s="1"/>
  <c r="H1029" i="2"/>
  <c r="K432" i="2"/>
  <c r="B432" i="2" s="1" a="1"/>
  <c r="B432" i="2" s="1"/>
  <c r="H432" i="2" s="1"/>
  <c r="I432" i="2" s="1"/>
  <c r="K358" i="2"/>
  <c r="B358" i="2" s="1" a="1"/>
  <c r="B358" i="2" s="1"/>
  <c r="H358" i="2" s="1"/>
  <c r="H535" i="2"/>
  <c r="K966" i="2"/>
  <c r="B966" i="2" s="1" a="1"/>
  <c r="B966" i="2" s="1"/>
  <c r="H966" i="2" s="1"/>
  <c r="K124" i="2"/>
  <c r="B124" i="2" s="1" a="1"/>
  <c r="B124" i="2" s="1"/>
  <c r="H124" i="2" s="1"/>
  <c r="K307" i="2"/>
  <c r="B307" i="2" s="1" a="1"/>
  <c r="B307" i="2" s="1"/>
  <c r="H307" i="2" s="1"/>
  <c r="K51" i="2"/>
  <c r="B51" i="2" s="1" a="1"/>
  <c r="B51" i="2" s="1"/>
  <c r="H51" i="2" s="1"/>
  <c r="K927" i="2"/>
  <c r="B927" i="2" s="1" a="1"/>
  <c r="B927" i="2" s="1"/>
  <c r="H927" i="2" s="1"/>
  <c r="I1109" i="2" s="1"/>
  <c r="H678" i="2"/>
  <c r="K1122" i="2"/>
  <c r="B1122" i="2" s="1" a="1"/>
  <c r="B1122" i="2" s="1"/>
  <c r="H1122" i="2" s="1"/>
  <c r="K649" i="2"/>
  <c r="B649" i="2" s="1" a="1"/>
  <c r="B649" i="2" s="1"/>
  <c r="H649" i="2" s="1"/>
  <c r="I649" i="2" s="1"/>
  <c r="K302" i="2"/>
  <c r="B302" i="2" s="1" a="1"/>
  <c r="B302" i="2" s="1"/>
  <c r="H302" i="2" s="1"/>
  <c r="K1159" i="2"/>
  <c r="B1159" i="2" s="1" a="1"/>
  <c r="B1159" i="2" s="1"/>
  <c r="H1159" i="2" s="1"/>
  <c r="H1187" i="2"/>
  <c r="K845" i="2"/>
  <c r="B845" i="2" s="1" a="1"/>
  <c r="B845" i="2" s="1"/>
  <c r="H845" i="2" s="1"/>
  <c r="K1058" i="2"/>
  <c r="B1058" i="2" s="1" a="1"/>
  <c r="B1058" i="2" s="1"/>
  <c r="H1058" i="2" s="1"/>
  <c r="K789" i="2"/>
  <c r="B789" i="2" s="1" a="1"/>
  <c r="B789" i="2" s="1"/>
  <c r="H789" i="2" s="1"/>
  <c r="I538" i="2" s="1"/>
  <c r="K134" i="2"/>
  <c r="B134" i="2" s="1" a="1"/>
  <c r="B134" i="2" s="1"/>
  <c r="H134" i="2" s="1"/>
  <c r="K115" i="2"/>
  <c r="B115" i="2" s="1" a="1"/>
  <c r="B115" i="2" s="1"/>
  <c r="H115" i="2" s="1"/>
  <c r="K46" i="2"/>
  <c r="B46" i="2" s="1" a="1"/>
  <c r="B46" i="2" s="1"/>
  <c r="H46" i="2" s="1"/>
  <c r="K605" i="2"/>
  <c r="B605" i="2" s="1" a="1"/>
  <c r="B605" i="2" s="1"/>
  <c r="H605" i="2" s="1"/>
  <c r="K305" i="2"/>
  <c r="B305" i="2" s="1" a="1"/>
  <c r="B305" i="2" s="1"/>
  <c r="H305" i="2" s="1"/>
  <c r="K1175" i="2"/>
  <c r="B1175" i="2" s="1" a="1"/>
  <c r="B1175" i="2" s="1"/>
  <c r="H1175" i="2" s="1"/>
  <c r="K985" i="2"/>
  <c r="B985" i="2" s="1" a="1"/>
  <c r="B985" i="2" s="1"/>
  <c r="H985" i="2" s="1"/>
  <c r="K310" i="2"/>
  <c r="B310" i="2" s="1" a="1"/>
  <c r="B310" i="2" s="1"/>
  <c r="H310" i="2" s="1"/>
  <c r="K104" i="2"/>
  <c r="B104" i="2" s="1" a="1"/>
  <c r="B104" i="2" s="1"/>
  <c r="H104" i="2" s="1"/>
  <c r="K808" i="2"/>
  <c r="B808" i="2" s="1" a="1"/>
  <c r="B808" i="2" s="1"/>
  <c r="H808" i="2" s="1"/>
  <c r="K610" i="2"/>
  <c r="B610" i="2" s="1" a="1"/>
  <c r="B610" i="2" s="1"/>
  <c r="H610" i="2" s="1"/>
  <c r="K105" i="2"/>
  <c r="B105" i="2" s="1" a="1"/>
  <c r="B105" i="2" s="1"/>
  <c r="H105" i="2" s="1"/>
  <c r="K1080" i="2"/>
  <c r="B1080" i="2" s="1" a="1"/>
  <c r="B1080" i="2" s="1"/>
  <c r="H1080" i="2" s="1"/>
  <c r="K1097" i="2"/>
  <c r="B1097" i="2" s="1" a="1"/>
  <c r="B1097" i="2" s="1"/>
  <c r="H1097" i="2" s="1"/>
  <c r="K687" i="2"/>
  <c r="B687" i="2" s="1" a="1"/>
  <c r="B687" i="2" s="1"/>
  <c r="H687" i="2" s="1"/>
  <c r="K585" i="2"/>
  <c r="B585" i="2" s="1" a="1"/>
  <c r="B585" i="2" s="1"/>
  <c r="H585" i="2" s="1"/>
  <c r="K737" i="2"/>
  <c r="B737" i="2" s="1" a="1"/>
  <c r="B737" i="2" s="1"/>
  <c r="H737" i="2" s="1"/>
  <c r="K1177" i="2"/>
  <c r="B1177" i="2" s="1" a="1"/>
  <c r="B1177" i="2" s="1"/>
  <c r="H1177" i="2" s="1"/>
  <c r="H773" i="2"/>
  <c r="I773" i="2" s="1"/>
  <c r="B775" i="2" a="1"/>
  <c r="B775" i="2" s="1"/>
  <c r="H775" i="2" s="1"/>
  <c r="I775" i="2" s="1"/>
  <c r="I930" i="2"/>
  <c r="I794" i="2"/>
  <c r="I563" i="2"/>
  <c r="I465" i="2"/>
  <c r="I335" i="2"/>
  <c r="I291" i="2"/>
  <c r="K936" i="2"/>
  <c r="B936" i="2" s="1" a="1"/>
  <c r="B936" i="2" s="1"/>
  <c r="H936" i="2" s="1"/>
  <c r="B14" i="2" a="1"/>
  <c r="B14" i="2" s="1"/>
  <c r="H14" i="2" s="1"/>
  <c r="I14" i="2" s="1"/>
  <c r="B1244" i="2" a="1"/>
  <c r="B1244" i="2" s="1"/>
  <c r="H1244" i="2" s="1"/>
  <c r="K1268" i="2"/>
  <c r="B1268" i="2" s="1" a="1"/>
  <c r="B1268" i="2" s="1"/>
  <c r="H1268" i="2" s="1"/>
  <c r="B1241" i="2" a="1"/>
  <c r="B1241" i="2" s="1"/>
  <c r="H1241" i="2" s="1"/>
  <c r="K1071" i="2"/>
  <c r="B1071" i="2" s="1" a="1"/>
  <c r="B1071" i="2" s="1"/>
  <c r="H1071" i="2" s="1"/>
  <c r="K941" i="2"/>
  <c r="B941" i="2" s="1" a="1"/>
  <c r="B941" i="2" s="1"/>
  <c r="H941" i="2" s="1"/>
  <c r="B329" i="2" a="1"/>
  <c r="B329" i="2" s="1"/>
  <c r="H329" i="2" s="1"/>
  <c r="B171" i="2" a="1"/>
  <c r="B171" i="2" s="1"/>
  <c r="H171" i="2" s="1"/>
  <c r="B980" i="2" a="1"/>
  <c r="B980" i="2" s="1"/>
  <c r="H980" i="2" s="1"/>
  <c r="K674" i="2"/>
  <c r="B674" i="2" s="1" a="1"/>
  <c r="B674" i="2" s="1"/>
  <c r="H674" i="2" s="1"/>
  <c r="H33" i="9"/>
  <c r="H32" i="9"/>
  <c r="H31" i="9"/>
  <c r="H30" i="9"/>
  <c r="H29" i="9"/>
  <c r="B658" i="2" a="1"/>
  <c r="B658" i="2" s="1"/>
  <c r="H658" i="2" s="1"/>
  <c r="B1184" i="2" a="1"/>
  <c r="B1184" i="2" s="1"/>
  <c r="H1184" i="2" s="1"/>
  <c r="B1250" i="2" a="1"/>
  <c r="B1250" i="2" s="1"/>
  <c r="H1250" i="2" s="1"/>
  <c r="K859" i="2"/>
  <c r="B859" i="2" s="1" a="1"/>
  <c r="B859" i="2" s="1"/>
  <c r="H859" i="2" s="1"/>
  <c r="K123" i="2"/>
  <c r="B123" i="2" s="1" a="1"/>
  <c r="B123" i="2" s="1"/>
  <c r="H123" i="2" s="1"/>
  <c r="K478" i="2"/>
  <c r="B478" i="2" s="1" a="1"/>
  <c r="B478" i="2" s="1"/>
  <c r="H478" i="2" s="1"/>
  <c r="B920" i="2" a="1"/>
  <c r="B920" i="2" s="1"/>
  <c r="H920" i="2" s="1"/>
  <c r="B132" i="2" a="1"/>
  <c r="B132" i="2" s="1"/>
  <c r="H132" i="2" s="1"/>
  <c r="K727" i="2"/>
  <c r="B727" i="2" s="1" a="1"/>
  <c r="B727" i="2" s="1"/>
  <c r="H727" i="2" s="1"/>
  <c r="K591" i="2"/>
  <c r="B591" i="2" s="1" a="1"/>
  <c r="B591" i="2" s="1"/>
  <c r="H591" i="2" s="1"/>
  <c r="K810" i="2"/>
  <c r="B810" i="2" s="1" a="1"/>
  <c r="B810" i="2" s="1"/>
  <c r="H810" i="2" s="1"/>
  <c r="K392" i="2"/>
  <c r="B392" i="2" s="1" a="1"/>
  <c r="B392" i="2" s="1"/>
  <c r="H392" i="2" s="1"/>
  <c r="K340" i="2"/>
  <c r="B340" i="2" s="1" a="1"/>
  <c r="B340" i="2" s="1"/>
  <c r="H340" i="2" s="1"/>
  <c r="B1153" i="2" a="1"/>
  <c r="B1153" i="2" s="1"/>
  <c r="H1153" i="2" s="1"/>
  <c r="K32" i="2"/>
  <c r="B32" i="2" s="1" a="1"/>
  <c r="B32" i="2" s="1"/>
  <c r="H32" i="2" s="1"/>
  <c r="K760" i="2"/>
  <c r="B760" i="2" s="1" a="1"/>
  <c r="B760" i="2" s="1"/>
  <c r="H760" i="2" s="1"/>
  <c r="K892" i="2"/>
  <c r="B892" i="2" s="1" a="1"/>
  <c r="B892" i="2" s="1"/>
  <c r="H892" i="2" s="1"/>
  <c r="K1247" i="2"/>
  <c r="B1247" i="2" s="1" a="1"/>
  <c r="B1247" i="2" s="1"/>
  <c r="H1247" i="2" s="1"/>
  <c r="K544" i="2"/>
  <c r="B544" i="2" s="1" a="1"/>
  <c r="B544" i="2" s="1"/>
  <c r="H544" i="2" s="1"/>
  <c r="K39" i="2"/>
  <c r="B39" i="2" s="1" a="1"/>
  <c r="B39" i="2" s="1"/>
  <c r="H39" i="2" s="1"/>
  <c r="K1194" i="2"/>
  <c r="B1194" i="2" s="1" a="1"/>
  <c r="B1194" i="2" s="1"/>
  <c r="H1194" i="2" s="1"/>
  <c r="K1112" i="2"/>
  <c r="B1112" i="2" s="1" a="1"/>
  <c r="B1112" i="2" s="1"/>
  <c r="H1112" i="2" s="1"/>
  <c r="K420" i="2"/>
  <c r="B420" i="2" s="1" a="1"/>
  <c r="B420" i="2" s="1"/>
  <c r="H420" i="2" s="1"/>
  <c r="K697" i="2"/>
  <c r="B697" i="2" s="1" a="1"/>
  <c r="B697" i="2" s="1"/>
  <c r="H697" i="2" s="1"/>
  <c r="K887" i="2"/>
  <c r="B887" i="2" s="1" a="1"/>
  <c r="B887" i="2" s="1"/>
  <c r="H887" i="2" s="1"/>
  <c r="I399" i="2"/>
  <c r="I509" i="2"/>
  <c r="I301" i="2"/>
  <c r="H75" i="9"/>
  <c r="B216" i="2" a="1"/>
  <c r="B216" i="2" s="1"/>
  <c r="H216" i="2" s="1"/>
  <c r="H408" i="2"/>
  <c r="H1061" i="2"/>
  <c r="K709" i="2"/>
  <c r="B709" i="2" s="1" a="1"/>
  <c r="B709" i="2" s="1"/>
  <c r="H709" i="2" s="1"/>
  <c r="I286" i="2"/>
  <c r="I99" i="2"/>
  <c r="H761" i="2"/>
  <c r="K159" i="2"/>
  <c r="B159" i="2" s="1" a="1"/>
  <c r="B159" i="2" s="1"/>
  <c r="H159" i="2" s="1"/>
  <c r="H372" i="2"/>
  <c r="I372" i="2" s="1"/>
  <c r="H1146" i="2"/>
  <c r="K1072" i="2"/>
  <c r="B1072" i="2" s="1" a="1"/>
  <c r="B1072" i="2" s="1"/>
  <c r="H1072" i="2" s="1"/>
  <c r="B18" i="2" a="1"/>
  <c r="B18" i="2" s="1"/>
  <c r="H18" i="2" s="1"/>
  <c r="H272" i="2"/>
  <c r="H89" i="2"/>
  <c r="H545" i="2"/>
  <c r="H266" i="2"/>
  <c r="I266" i="2" s="1"/>
  <c r="H204" i="2"/>
  <c r="I204" i="2" s="1"/>
  <c r="K893" i="2"/>
  <c r="B893" i="2" s="1" a="1"/>
  <c r="B893" i="2" s="1"/>
  <c r="H893" i="2" s="1"/>
  <c r="H1044" i="2"/>
  <c r="K426" i="2"/>
  <c r="B426" i="2" s="1" a="1"/>
  <c r="B426" i="2" s="1"/>
  <c r="H426" i="2" s="1"/>
  <c r="H96" i="2"/>
  <c r="B550" i="2" a="1"/>
  <c r="B550" i="2" s="1"/>
  <c r="H550" i="2" s="1"/>
  <c r="H380" i="2"/>
  <c r="H743" i="2"/>
  <c r="B758" i="2" a="1"/>
  <c r="B758" i="2" s="1"/>
  <c r="H758" i="2" s="1"/>
  <c r="K785" i="2"/>
  <c r="B785" i="2" s="1" a="1"/>
  <c r="B785" i="2" s="1"/>
  <c r="H785" i="2" s="1"/>
  <c r="H130" i="2"/>
  <c r="H756" i="2"/>
  <c r="H450" i="2"/>
  <c r="K252" i="2"/>
  <c r="B252" i="2" s="1" a="1"/>
  <c r="B252" i="2" s="1"/>
  <c r="H252" i="2" s="1"/>
  <c r="B1003" i="2" a="1"/>
  <c r="B1003" i="2" s="1"/>
  <c r="H1003" i="2" s="1"/>
  <c r="B1030" i="2" a="1"/>
  <c r="B1030" i="2" s="1"/>
  <c r="H1030" i="2" s="1"/>
  <c r="H224" i="2"/>
  <c r="I838" i="2" s="1"/>
  <c r="H427" i="2"/>
  <c r="K117" i="2"/>
  <c r="B117" i="2" s="1" a="1"/>
  <c r="B117" i="2" s="1"/>
  <c r="H117" i="2" s="1"/>
  <c r="H507" i="2"/>
  <c r="B421" i="2" a="1"/>
  <c r="B421" i="2" s="1"/>
  <c r="H421" i="2" s="1"/>
  <c r="H934" i="2"/>
  <c r="I1176" i="2" s="1"/>
  <c r="H203" i="2"/>
  <c r="H716" i="2"/>
  <c r="H275" i="2"/>
  <c r="H82" i="2"/>
  <c r="H473" i="2"/>
  <c r="K166" i="2"/>
  <c r="B166" i="2" s="1" a="1"/>
  <c r="B166" i="2" s="1"/>
  <c r="H166" i="2" s="1"/>
  <c r="H567" i="2"/>
  <c r="H437" i="2"/>
  <c r="K1008" i="2"/>
  <c r="B1008" i="2" s="1" a="1"/>
  <c r="B1008" i="2" s="1"/>
  <c r="H1008" i="2" s="1"/>
  <c r="H558" i="2"/>
  <c r="H413" i="2"/>
  <c r="K1027" i="2"/>
  <c r="B1027" i="2" s="1" a="1"/>
  <c r="B1027" i="2" s="1"/>
  <c r="H1027" i="2" s="1"/>
  <c r="K1124" i="2"/>
  <c r="B1124" i="2" s="1" a="1"/>
  <c r="B1124" i="2" s="1"/>
  <c r="H1124" i="2" s="1"/>
  <c r="K143" i="2"/>
  <c r="B143" i="2" s="1" a="1"/>
  <c r="B143" i="2" s="1"/>
  <c r="H143" i="2" s="1"/>
  <c r="K323" i="2"/>
  <c r="B323" i="2" s="1" a="1"/>
  <c r="B323" i="2" s="1"/>
  <c r="H323" i="2" s="1"/>
  <c r="I323" i="2" s="1"/>
  <c r="K777" i="2"/>
  <c r="B777" i="2" s="1" a="1"/>
  <c r="B777" i="2" s="1"/>
  <c r="H777" i="2" s="1"/>
  <c r="K929" i="2"/>
  <c r="B929" i="2" s="1" a="1"/>
  <c r="B929" i="2" s="1"/>
  <c r="H929" i="2" s="1"/>
  <c r="H1035" i="2"/>
  <c r="K829" i="2"/>
  <c r="B829" i="2" s="1" a="1"/>
  <c r="B829" i="2" s="1"/>
  <c r="H829" i="2" s="1"/>
  <c r="H483" i="2"/>
  <c r="H498" i="2"/>
  <c r="K508" i="2"/>
  <c r="B508" i="2" s="1" a="1"/>
  <c r="B508" i="2" s="1"/>
  <c r="H508" i="2" s="1"/>
  <c r="H241" i="2"/>
  <c r="H531" i="2"/>
  <c r="K248" i="2"/>
  <c r="B248" i="2" s="1" a="1"/>
  <c r="B248" i="2" s="1"/>
  <c r="H248" i="2" s="1"/>
  <c r="K834" i="2"/>
  <c r="B834" i="2" s="1" a="1"/>
  <c r="B834" i="2" s="1"/>
  <c r="H834" i="2" s="1"/>
  <c r="H1054" i="2"/>
  <c r="K733" i="2"/>
  <c r="B733" i="2" s="1" a="1"/>
  <c r="B733" i="2" s="1"/>
  <c r="H733" i="2" s="1"/>
  <c r="H411" i="2"/>
  <c r="K112" i="2"/>
  <c r="B112" i="2" s="1" a="1"/>
  <c r="B112" i="2" s="1"/>
  <c r="H112" i="2" s="1"/>
  <c r="K1042" i="2"/>
  <c r="B1042" i="2" s="1" a="1"/>
  <c r="B1042" i="2" s="1"/>
  <c r="H1042" i="2" s="1"/>
  <c r="I1042" i="2" s="1"/>
  <c r="H1066" i="2"/>
  <c r="K896" i="2"/>
  <c r="B896" i="2" s="1" a="1"/>
  <c r="B896" i="2" s="1"/>
  <c r="H896" i="2" s="1"/>
  <c r="H341" i="2"/>
  <c r="H29" i="2"/>
  <c r="I29" i="2" s="1"/>
  <c r="K958" i="2"/>
  <c r="B958" i="2" s="1" a="1"/>
  <c r="B958" i="2" s="1"/>
  <c r="H958" i="2" s="1"/>
  <c r="K90" i="2"/>
  <c r="B90" i="2" s="1" a="1"/>
  <c r="B90" i="2" s="1"/>
  <c r="H90" i="2" s="1"/>
  <c r="H287" i="2"/>
  <c r="K682" i="2"/>
  <c r="B682" i="2" s="1" a="1"/>
  <c r="B682" i="2" s="1"/>
  <c r="H682" i="2" s="1"/>
  <c r="K1271" i="2"/>
  <c r="B1271" i="2" s="1" a="1"/>
  <c r="B1271" i="2" s="1"/>
  <c r="H1271" i="2" s="1"/>
  <c r="K948" i="2"/>
  <c r="B948" i="2" s="1" a="1"/>
  <c r="B948" i="2" s="1"/>
  <c r="H948" i="2" s="1"/>
  <c r="H873" i="2"/>
  <c r="H1150" i="2"/>
  <c r="H1070" i="2"/>
  <c r="K584" i="2"/>
  <c r="B584" i="2" s="1" a="1"/>
  <c r="B584" i="2" s="1"/>
  <c r="H584" i="2" s="1"/>
  <c r="K601" i="2"/>
  <c r="B601" i="2" s="1" a="1"/>
  <c r="B601" i="2" s="1"/>
  <c r="H601" i="2" s="1"/>
  <c r="K791" i="2"/>
  <c r="B791" i="2" s="1" a="1"/>
  <c r="B791" i="2" s="1"/>
  <c r="H791" i="2" s="1"/>
  <c r="I791" i="2" s="1"/>
  <c r="K28" i="2"/>
  <c r="B28" i="2" s="1" a="1"/>
  <c r="B28" i="2" s="1"/>
  <c r="H28" i="2" s="1"/>
  <c r="K630" i="2"/>
  <c r="B630" i="2" s="1" a="1"/>
  <c r="B630" i="2" s="1"/>
  <c r="H630" i="2" s="1"/>
  <c r="K611" i="2"/>
  <c r="B611" i="2" s="1" a="1"/>
  <c r="B611" i="2" s="1"/>
  <c r="H611" i="2" s="1"/>
  <c r="H466" i="2"/>
  <c r="H1219" i="2"/>
  <c r="K691" i="2"/>
  <c r="B691" i="2" s="1" a="1"/>
  <c r="B691" i="2" s="1"/>
  <c r="H691" i="2" s="1"/>
  <c r="K753" i="2"/>
  <c r="B753" i="2" s="1" a="1"/>
  <c r="B753" i="2" s="1"/>
  <c r="H753" i="2" s="1"/>
  <c r="K1173" i="2"/>
  <c r="B1173" i="2" s="1" a="1"/>
  <c r="B1173" i="2" s="1"/>
  <c r="H1173" i="2" s="1"/>
  <c r="K59" i="2"/>
  <c r="B59" i="2" s="1" a="1"/>
  <c r="B59" i="2" s="1"/>
  <c r="H59" i="2" s="1"/>
  <c r="K364" i="2"/>
  <c r="B364" i="2" s="1" a="1"/>
  <c r="B364" i="2" s="1"/>
  <c r="H364" i="2" s="1"/>
  <c r="I364" i="2" s="1"/>
  <c r="H947" i="2"/>
  <c r="H722" i="2"/>
  <c r="H1183" i="2"/>
  <c r="K1011" i="2"/>
  <c r="B1011" i="2" s="1" a="1"/>
  <c r="B1011" i="2" s="1"/>
  <c r="H1011" i="2" s="1"/>
  <c r="K1203" i="2"/>
  <c r="B1203" i="2" s="1" a="1"/>
  <c r="B1203" i="2" s="1"/>
  <c r="H1203" i="2" s="1"/>
  <c r="I1203" i="2" s="1"/>
  <c r="K440" i="2"/>
  <c r="B440" i="2" s="1" a="1"/>
  <c r="B440" i="2" s="1"/>
  <c r="H440" i="2" s="1"/>
  <c r="K954" i="2"/>
  <c r="B954" i="2" s="1" a="1"/>
  <c r="B954" i="2" s="1"/>
  <c r="H954" i="2" s="1"/>
  <c r="K431" i="2"/>
  <c r="B431" i="2" s="1" a="1"/>
  <c r="B431" i="2" s="1"/>
  <c r="H431" i="2" s="1"/>
  <c r="K1145" i="2"/>
  <c r="B1145" i="2" s="1" a="1"/>
  <c r="B1145" i="2" s="1"/>
  <c r="H1145" i="2" s="1"/>
  <c r="K464" i="2"/>
  <c r="B464" i="2" s="1" a="1"/>
  <c r="B464" i="2" s="1"/>
  <c r="H464" i="2" s="1"/>
  <c r="K499" i="2"/>
  <c r="B499" i="2" s="1" a="1"/>
  <c r="B499" i="2" s="1"/>
  <c r="H499" i="2" s="1"/>
  <c r="K394" i="2"/>
  <c r="B394" i="2" s="1" a="1"/>
  <c r="B394" i="2" s="1"/>
  <c r="H394" i="2" s="1"/>
  <c r="K170" i="2"/>
  <c r="B170" i="2" s="1" a="1"/>
  <c r="B170" i="2" s="1"/>
  <c r="H170" i="2" s="1"/>
  <c r="K633" i="2"/>
  <c r="B633" i="2" s="1" a="1"/>
  <c r="B633" i="2" s="1"/>
  <c r="H633" i="2" s="1"/>
  <c r="K956" i="2"/>
  <c r="B956" i="2" s="1" a="1"/>
  <c r="B956" i="2" s="1"/>
  <c r="H956" i="2" s="1"/>
  <c r="K909" i="2"/>
  <c r="B909" i="2" s="1" a="1"/>
  <c r="B909" i="2" s="1"/>
  <c r="H909" i="2" s="1"/>
  <c r="K1131" i="2"/>
  <c r="B1131" i="2" s="1" a="1"/>
  <c r="B1131" i="2" s="1"/>
  <c r="H1131" i="2" s="1"/>
  <c r="K181" i="2"/>
  <c r="B181" i="2" s="1" a="1"/>
  <c r="B181" i="2" s="1"/>
  <c r="H181" i="2" s="1"/>
  <c r="I181" i="2" s="1"/>
  <c r="K52" i="2"/>
  <c r="B52" i="2" s="1" a="1"/>
  <c r="B52" i="2" s="1"/>
  <c r="H52" i="2" s="1"/>
  <c r="I1080" i="2"/>
  <c r="I1003" i="2"/>
  <c r="I918" i="2"/>
  <c r="I785" i="2"/>
  <c r="I668" i="2"/>
  <c r="I1139" i="2"/>
  <c r="I981" i="2"/>
  <c r="B965" i="2" a="1"/>
  <c r="B965" i="2" s="1"/>
  <c r="H965" i="2" s="1"/>
  <c r="I793" i="2"/>
  <c r="I192" i="2"/>
  <c r="I1064" i="2"/>
  <c r="I1125" i="2"/>
  <c r="I1102" i="2"/>
  <c r="I983" i="2"/>
  <c r="I904" i="2"/>
  <c r="K86" i="2"/>
  <c r="B86" i="2" s="1" a="1"/>
  <c r="B86" i="2" s="1"/>
  <c r="H86" i="2" s="1"/>
  <c r="K546" i="2"/>
  <c r="B546" i="2" s="1" a="1"/>
  <c r="B546" i="2" s="1"/>
  <c r="H546" i="2" s="1"/>
  <c r="H197" i="2"/>
  <c r="I331" i="2" s="1"/>
  <c r="K1190" i="2"/>
  <c r="B1190" i="2" s="1" a="1"/>
  <c r="B1190" i="2" s="1"/>
  <c r="H1190" i="2" s="1"/>
  <c r="K1231" i="2"/>
  <c r="B1231" i="2" s="1" a="1"/>
  <c r="B1231" i="2" s="1"/>
  <c r="H1231" i="2" s="1"/>
  <c r="K749" i="2"/>
  <c r="B749" i="2" s="1" a="1"/>
  <c r="B749" i="2" s="1"/>
  <c r="H749" i="2" s="1"/>
  <c r="I749" i="2" s="1"/>
  <c r="K213" i="2"/>
  <c r="B213" i="2" s="1" a="1"/>
  <c r="B213" i="2" s="1"/>
  <c r="H213" i="2" s="1"/>
  <c r="B1009" i="2" a="1"/>
  <c r="B1009" i="2" s="1"/>
  <c r="H1009" i="2" s="1"/>
  <c r="B1185" i="2" a="1"/>
  <c r="B1185" i="2" s="1"/>
  <c r="H1185" i="2" s="1"/>
  <c r="K973" i="2"/>
  <c r="B973" i="2" s="1" a="1"/>
  <c r="B973" i="2" s="1"/>
  <c r="H973" i="2" s="1"/>
  <c r="K398" i="2"/>
  <c r="B398" i="2" s="1" a="1"/>
  <c r="B398" i="2" s="1"/>
  <c r="H398" i="2" s="1"/>
  <c r="K721" i="2"/>
  <c r="B721" i="2" s="1" a="1"/>
  <c r="B721" i="2" s="1"/>
  <c r="H721" i="2" s="1"/>
  <c r="K1127" i="2"/>
  <c r="B1127" i="2" s="1" a="1"/>
  <c r="B1127" i="2" s="1"/>
  <c r="H1127" i="2" s="1"/>
  <c r="K1017" i="2"/>
  <c r="B1017" i="2" s="1" a="1"/>
  <c r="B1017" i="2" s="1"/>
  <c r="H1017" i="2" s="1"/>
  <c r="B841" i="2" a="1"/>
  <c r="B841" i="2" s="1"/>
  <c r="H841" i="2" s="1"/>
  <c r="K735" i="2"/>
  <c r="B735" i="2" s="1" a="1"/>
  <c r="B735" i="2" s="1"/>
  <c r="H735" i="2" s="1"/>
  <c r="K1256" i="2"/>
  <c r="B1256" i="2" s="1" a="1"/>
  <c r="B1256" i="2" s="1"/>
  <c r="H1256" i="2" s="1"/>
  <c r="B1207" i="2" a="1"/>
  <c r="B1207" i="2" s="1"/>
  <c r="H1207" i="2" s="1"/>
  <c r="K198" i="2"/>
  <c r="B198" i="2" s="1" a="1"/>
  <c r="B198" i="2" s="1"/>
  <c r="H198" i="2" s="1"/>
  <c r="B581" i="2" a="1"/>
  <c r="B581" i="2" s="1"/>
  <c r="H581" i="2" s="1"/>
  <c r="I852" i="2" s="1"/>
  <c r="K484" i="2"/>
  <c r="B484" i="2" s="1" a="1"/>
  <c r="B484" i="2" s="1"/>
  <c r="H484" i="2" s="1"/>
  <c r="B1233" i="2" a="1"/>
  <c r="B1233" i="2" s="1"/>
  <c r="H1233" i="2" s="1"/>
  <c r="I1233" i="2" s="1"/>
  <c r="B151" i="2" a="1"/>
  <c r="B151" i="2" s="1"/>
  <c r="H151" i="2" s="1"/>
  <c r="B226" i="2" a="1"/>
  <c r="B226" i="2" s="1"/>
  <c r="H226" i="2" s="1"/>
  <c r="K1043" i="2"/>
  <c r="B1043" i="2" s="1" a="1"/>
  <c r="B1043" i="2" s="1"/>
  <c r="H1043" i="2" s="1"/>
  <c r="K899" i="2"/>
  <c r="B899" i="2" s="1" a="1"/>
  <c r="B899" i="2" s="1"/>
  <c r="H899" i="2" s="1"/>
  <c r="K324" i="2"/>
  <c r="B324" i="2" s="1" a="1"/>
  <c r="B324" i="2" s="1"/>
  <c r="H324" i="2" s="1"/>
  <c r="K1090" i="2"/>
  <c r="B1090" i="2" s="1" a="1"/>
  <c r="B1090" i="2" s="1"/>
  <c r="H1090" i="2" s="1"/>
  <c r="K1254" i="2"/>
  <c r="B1254" i="2" s="1" a="1"/>
  <c r="B1254" i="2" s="1"/>
  <c r="H1254" i="2" s="1"/>
  <c r="I1092" i="2" s="1"/>
  <c r="K75" i="2"/>
  <c r="B75" i="2" s="1" a="1"/>
  <c r="B75" i="2" s="1"/>
  <c r="H75" i="2" s="1"/>
  <c r="K332" i="2"/>
  <c r="B332" i="2" s="1" a="1"/>
  <c r="B332" i="2" s="1"/>
  <c r="H332" i="2" s="1"/>
  <c r="K1100" i="2"/>
  <c r="B1100" i="2" s="1" a="1"/>
  <c r="B1100" i="2" s="1"/>
  <c r="H1100" i="2" s="1"/>
  <c r="I1177" i="2" s="1"/>
  <c r="K894" i="2"/>
  <c r="B894" i="2" s="1" a="1"/>
  <c r="B894" i="2" s="1"/>
  <c r="H894" i="2" s="1"/>
  <c r="K377" i="2"/>
  <c r="B377" i="2" s="1" a="1"/>
  <c r="B377" i="2" s="1"/>
  <c r="H377" i="2" s="1"/>
  <c r="K1155" i="2"/>
  <c r="B1155" i="2" s="1" a="1"/>
  <c r="B1155" i="2" s="1"/>
  <c r="H1155" i="2" s="1"/>
  <c r="K968" i="2"/>
  <c r="B968" i="2" s="1" a="1"/>
  <c r="B968" i="2" s="1"/>
  <c r="H968" i="2" s="1"/>
  <c r="I1097" i="2" l="1"/>
  <c r="I956" i="2"/>
  <c r="I885" i="2"/>
  <c r="I685" i="2"/>
  <c r="I718" i="2"/>
  <c r="I560" i="2"/>
  <c r="I220" i="2"/>
  <c r="I725" i="2"/>
  <c r="I551" i="2"/>
  <c r="I258" i="2"/>
  <c r="I1170" i="2"/>
  <c r="I856" i="2"/>
  <c r="AP140" i="1"/>
  <c r="AH131" i="1"/>
  <c r="D120" i="1"/>
  <c r="AH195" i="1"/>
  <c r="AM106" i="1"/>
  <c r="Q100" i="1"/>
  <c r="AA161" i="1"/>
  <c r="G130" i="1"/>
  <c r="BJ206" i="1"/>
  <c r="V168" i="1"/>
  <c r="AX133" i="1"/>
  <c r="AW195" i="1"/>
  <c r="Z136" i="1"/>
  <c r="Q210" i="1"/>
  <c r="AC146" i="1"/>
  <c r="AF108" i="1"/>
  <c r="AS166" i="1"/>
  <c r="W138" i="1"/>
  <c r="BJ196" i="1"/>
  <c r="I137" i="1"/>
  <c r="BJ203" i="1"/>
  <c r="AL139" i="1"/>
  <c r="AL102" i="1"/>
  <c r="AJ163" i="1"/>
  <c r="AB127" i="1"/>
  <c r="Y194" i="1"/>
  <c r="Z128" i="1"/>
  <c r="AK184" i="1"/>
  <c r="V194" i="1"/>
  <c r="BB184" i="1"/>
  <c r="L184" i="1" s="1"/>
  <c r="AV176" i="1"/>
  <c r="Z219" i="1"/>
  <c r="AR219" i="1"/>
  <c r="F190" i="1"/>
  <c r="BD169" i="1"/>
  <c r="S208" i="1"/>
  <c r="AV188" i="1"/>
  <c r="AO196" i="1"/>
  <c r="AF211" i="1"/>
  <c r="I1085" i="2"/>
  <c r="I742" i="2"/>
  <c r="Z170" i="1"/>
  <c r="AD138" i="1"/>
  <c r="BN115" i="1"/>
  <c r="AI137" i="1"/>
  <c r="E140" i="1"/>
  <c r="AA95" i="1"/>
  <c r="AV183" i="1"/>
  <c r="H113" i="1"/>
  <c r="AN151" i="1"/>
  <c r="AM104" i="1"/>
  <c r="AP151" i="1"/>
  <c r="W219" i="1"/>
  <c r="AF144" i="1"/>
  <c r="AG112" i="1"/>
  <c r="BK150" i="1"/>
  <c r="BP150" i="1" s="1"/>
  <c r="AB98" i="1"/>
  <c r="AE145" i="1"/>
  <c r="AZ210" i="1"/>
  <c r="U138" i="1"/>
  <c r="BI211" i="1"/>
  <c r="BF142" i="1"/>
  <c r="BJ197" i="1"/>
  <c r="AB147" i="1"/>
  <c r="Q103" i="1"/>
  <c r="BC149" i="1"/>
  <c r="U97" i="1"/>
  <c r="AT131" i="1"/>
  <c r="BA167" i="1"/>
  <c r="E107" i="1"/>
  <c r="BL136" i="1"/>
  <c r="BI185" i="1"/>
  <c r="AU110" i="1"/>
  <c r="AO144" i="1"/>
  <c r="AI184" i="1"/>
  <c r="AS111" i="1"/>
  <c r="AM145" i="1"/>
  <c r="AF185" i="1"/>
  <c r="BI181" i="1"/>
  <c r="AY211" i="1"/>
  <c r="S185" i="1"/>
  <c r="G215" i="1"/>
  <c r="BN202" i="1"/>
  <c r="AQ194" i="1"/>
  <c r="AL164" i="1"/>
  <c r="X190" i="1"/>
  <c r="BI215" i="1"/>
  <c r="Y174" i="1"/>
  <c r="I200" i="1"/>
  <c r="E159" i="1"/>
  <c r="BH184" i="1"/>
  <c r="BA192" i="1"/>
  <c r="AR207" i="1"/>
  <c r="I1162" i="2"/>
  <c r="I1127" i="2"/>
  <c r="I1048" i="2"/>
  <c r="I840" i="2"/>
  <c r="I146" i="2"/>
  <c r="I1246" i="2"/>
  <c r="I1113" i="2"/>
  <c r="I849" i="2"/>
  <c r="I1132" i="2"/>
  <c r="I997" i="2"/>
  <c r="I892" i="2"/>
  <c r="I205" i="2"/>
  <c r="I880" i="2"/>
  <c r="I774" i="2"/>
  <c r="I30" i="2"/>
  <c r="I31" i="2"/>
  <c r="I32" i="2"/>
  <c r="I337" i="2"/>
  <c r="I264" i="2"/>
  <c r="I195" i="2"/>
  <c r="I1065" i="2"/>
  <c r="I537" i="2"/>
  <c r="I281" i="2"/>
  <c r="I257" i="2"/>
  <c r="I855" i="2"/>
  <c r="I600" i="2"/>
  <c r="I260" i="2"/>
  <c r="I107" i="2"/>
  <c r="I16" i="2"/>
  <c r="I607" i="2"/>
  <c r="I302" i="2"/>
  <c r="I247" i="2"/>
  <c r="I118" i="2"/>
  <c r="I1019" i="2"/>
  <c r="I902" i="2"/>
  <c r="I898" i="2"/>
  <c r="I1145" i="2"/>
  <c r="I708" i="2"/>
  <c r="I1194" i="2"/>
  <c r="I953" i="2"/>
  <c r="I1159" i="2"/>
  <c r="I1124" i="2"/>
  <c r="I869" i="2"/>
  <c r="I842" i="2"/>
  <c r="I440" i="2"/>
  <c r="I155" i="2"/>
  <c r="I844" i="2"/>
  <c r="I367" i="2"/>
  <c r="I630" i="2"/>
  <c r="I418" i="2"/>
  <c r="I295" i="2"/>
  <c r="I200" i="2"/>
  <c r="I179" i="2"/>
  <c r="I108" i="2"/>
  <c r="I314" i="2"/>
  <c r="I171" i="2"/>
  <c r="I158" i="2"/>
  <c r="AS175" i="1"/>
  <c r="AN163" i="1"/>
  <c r="BL154" i="1"/>
  <c r="I204" i="1"/>
  <c r="BL103" i="1"/>
  <c r="AI121" i="1"/>
  <c r="BA146" i="1"/>
  <c r="R172" i="1"/>
  <c r="AB97" i="1"/>
  <c r="E98" i="1"/>
  <c r="AK114" i="1"/>
  <c r="P137" i="1"/>
  <c r="W162" i="1"/>
  <c r="BN201" i="1"/>
  <c r="BH101" i="1"/>
  <c r="W119" i="1"/>
  <c r="AQ139" i="1"/>
  <c r="Y162" i="1"/>
  <c r="BB199" i="1"/>
  <c r="L199" i="1" s="1"/>
  <c r="BH133" i="1"/>
  <c r="BD160" i="1"/>
  <c r="J197" i="1"/>
  <c r="J112" i="1"/>
  <c r="AL105" i="1"/>
  <c r="BJ127" i="1"/>
  <c r="AP150" i="1"/>
  <c r="AB180" i="1"/>
  <c r="Q95" i="1"/>
  <c r="AM108" i="1"/>
  <c r="AK131" i="1"/>
  <c r="AC155" i="1"/>
  <c r="Z192" i="1"/>
  <c r="AQ129" i="1"/>
  <c r="AS122" i="1"/>
  <c r="AM217" i="1"/>
  <c r="R101" i="1"/>
  <c r="AB118" i="1"/>
  <c r="AV138" i="1"/>
  <c r="BM162" i="1"/>
  <c r="BG207" i="1"/>
  <c r="AD177" i="1"/>
  <c r="V98" i="1"/>
  <c r="AQ113" i="1"/>
  <c r="AV137" i="1"/>
  <c r="BN162" i="1"/>
  <c r="D203" i="1"/>
  <c r="G102" i="1"/>
  <c r="BC119" i="1"/>
  <c r="U141" i="1"/>
  <c r="G166" i="1"/>
  <c r="E216" i="1"/>
  <c r="AC101" i="1"/>
  <c r="AR118" i="1"/>
  <c r="AJ142" i="1"/>
  <c r="I166" i="1"/>
  <c r="E220" i="1"/>
  <c r="BJ171" i="1"/>
  <c r="S120" i="1"/>
  <c r="Y191" i="1"/>
  <c r="AS96" i="1"/>
  <c r="BC108" i="1"/>
  <c r="J133" i="1"/>
  <c r="AS154" i="1"/>
  <c r="E188" i="1"/>
  <c r="BH97" i="1"/>
  <c r="AG110" i="1"/>
  <c r="AZ136" i="1"/>
  <c r="BM155" i="1"/>
  <c r="AL188" i="1"/>
  <c r="Y113" i="1"/>
  <c r="AA107" i="1"/>
  <c r="O127" i="1"/>
  <c r="AX147" i="1"/>
  <c r="Z177" i="1"/>
  <c r="AE96" i="1"/>
  <c r="AW100" i="1"/>
  <c r="R105" i="1"/>
  <c r="D109" i="1"/>
  <c r="Z113" i="1"/>
  <c r="BJ117" i="1"/>
  <c r="O122" i="1"/>
  <c r="S126" i="1"/>
  <c r="W130" i="1"/>
  <c r="BG134" i="1"/>
  <c r="J139" i="1"/>
  <c r="P143" i="1"/>
  <c r="AJ147" i="1"/>
  <c r="BD151" i="1"/>
  <c r="AK156" i="1"/>
  <c r="X162" i="1"/>
  <c r="R168" i="1"/>
  <c r="T175" i="1"/>
  <c r="AZ182" i="1"/>
  <c r="X192" i="1"/>
  <c r="AN202" i="1"/>
  <c r="AT211" i="1"/>
  <c r="AG96" i="1"/>
  <c r="AY100" i="1"/>
  <c r="BC104" i="1"/>
  <c r="X109" i="1"/>
  <c r="AR113" i="1"/>
  <c r="AV117" i="1"/>
  <c r="Q122" i="1"/>
  <c r="AK126" i="1"/>
  <c r="AO130" i="1"/>
  <c r="BI134" i="1"/>
  <c r="AD139" i="1"/>
  <c r="AX143" i="1"/>
  <c r="AL147" i="1"/>
  <c r="BF151" i="1"/>
  <c r="BE156" i="1"/>
  <c r="AZ161" i="1"/>
  <c r="AO167" i="1"/>
  <c r="BE173" i="1"/>
  <c r="Y181" i="1"/>
  <c r="P189" i="1"/>
  <c r="BE198" i="1"/>
  <c r="BL207" i="1"/>
  <c r="X220" i="1"/>
  <c r="AD102" i="1"/>
  <c r="AX106" i="1"/>
  <c r="AL110" i="1"/>
  <c r="BF114" i="1"/>
  <c r="AA119" i="1"/>
  <c r="AU123" i="1"/>
  <c r="AY127" i="1"/>
  <c r="BC131" i="1"/>
  <c r="X136" i="1"/>
  <c r="AR140" i="1"/>
  <c r="AV144" i="1"/>
  <c r="Q149" i="1"/>
  <c r="AK153" i="1"/>
  <c r="P158" i="1"/>
  <c r="X163" i="1"/>
  <c r="Z169" i="1"/>
  <c r="O176" i="1"/>
  <c r="AX184" i="1"/>
  <c r="AO194" i="1"/>
  <c r="BB204" i="1"/>
  <c r="L204" i="1" s="1"/>
  <c r="I214" i="1"/>
  <c r="AW112" i="1"/>
  <c r="R117" i="1"/>
  <c r="D121" i="1"/>
  <c r="Z125" i="1"/>
  <c r="BJ129" i="1"/>
  <c r="O134" i="1"/>
  <c r="S138" i="1"/>
  <c r="W142" i="1"/>
  <c r="BG146" i="1"/>
  <c r="J151" i="1"/>
  <c r="P155" i="1"/>
  <c r="BN159" i="1"/>
  <c r="AO165" i="1"/>
  <c r="AR171" i="1"/>
  <c r="BA178" i="1"/>
  <c r="H187" i="1"/>
  <c r="AY196" i="1"/>
  <c r="BM206" i="1"/>
  <c r="AN218" i="1"/>
  <c r="AR98" i="1"/>
  <c r="AV102" i="1"/>
  <c r="Q107" i="1"/>
  <c r="AK111" i="1"/>
  <c r="AO115" i="1"/>
  <c r="BI119" i="1"/>
  <c r="AD124" i="1"/>
  <c r="AX128" i="1"/>
  <c r="AL132" i="1"/>
  <c r="BF136" i="1"/>
  <c r="AA141" i="1"/>
  <c r="AU145" i="1"/>
  <c r="AY149" i="1"/>
  <c r="BC153" i="1"/>
  <c r="AK158" i="1"/>
  <c r="AC163" i="1"/>
  <c r="BA169" i="1"/>
  <c r="AU176" i="1"/>
  <c r="U184" i="1"/>
  <c r="AL192" i="1"/>
  <c r="AU202" i="1"/>
  <c r="R211" i="1"/>
  <c r="AO95" i="1"/>
  <c r="BF99" i="1"/>
  <c r="AA104" i="1"/>
  <c r="AU108" i="1"/>
  <c r="AY112" i="1"/>
  <c r="BC116" i="1"/>
  <c r="X121" i="1"/>
  <c r="AR125" i="1"/>
  <c r="AV129" i="1"/>
  <c r="Q134" i="1"/>
  <c r="AK138" i="1"/>
  <c r="AO142" i="1"/>
  <c r="BI146" i="1"/>
  <c r="AD151" i="1"/>
  <c r="BD155" i="1"/>
  <c r="AJ161" i="1"/>
  <c r="AV167" i="1"/>
  <c r="AD175" i="1"/>
  <c r="Z183" i="1"/>
  <c r="E193" i="1"/>
  <c r="V203" i="1"/>
  <c r="AD212" i="1"/>
  <c r="AL96" i="1"/>
  <c r="AN100" i="1"/>
  <c r="BH104" i="1"/>
  <c r="BL108" i="1"/>
  <c r="AG113" i="1"/>
  <c r="BA117" i="1"/>
  <c r="BE121" i="1"/>
  <c r="H126" i="1"/>
  <c r="AT130" i="1"/>
  <c r="BN134" i="1"/>
  <c r="BB138" i="1"/>
  <c r="L138" i="1" s="1"/>
  <c r="E143" i="1"/>
  <c r="AQ147" i="1"/>
  <c r="BK151" i="1"/>
  <c r="BP151" i="1" s="1"/>
  <c r="F156" i="1"/>
  <c r="AK161" i="1"/>
  <c r="AW167" i="1"/>
  <c r="W174" i="1"/>
  <c r="AL181" i="1"/>
  <c r="BL189" i="1"/>
  <c r="AJ198" i="1"/>
  <c r="AQ208" i="1"/>
  <c r="AQ220" i="1"/>
  <c r="AX113" i="1"/>
  <c r="AL117" i="1"/>
  <c r="BF121" i="1"/>
  <c r="AA126" i="1"/>
  <c r="AU130" i="1"/>
  <c r="AY134" i="1"/>
  <c r="BC138" i="1"/>
  <c r="X143" i="1"/>
  <c r="AR147" i="1"/>
  <c r="AV151" i="1"/>
  <c r="G156" i="1"/>
  <c r="R161" i="1"/>
  <c r="AT166" i="1"/>
  <c r="BG172" i="1"/>
  <c r="I180" i="1"/>
  <c r="BG188" i="1"/>
  <c r="BL197" i="1"/>
  <c r="H208" i="1"/>
  <c r="BA219" i="1"/>
  <c r="BL98" i="1"/>
  <c r="AG103" i="1"/>
  <c r="BA107" i="1"/>
  <c r="BE111" i="1"/>
  <c r="H116" i="1"/>
  <c r="AT120" i="1"/>
  <c r="BN124" i="1"/>
  <c r="BB128" i="1"/>
  <c r="L128" i="1" s="1"/>
  <c r="E133" i="1"/>
  <c r="AQ137" i="1"/>
  <c r="BK141" i="1"/>
  <c r="BP141" i="1" s="1"/>
  <c r="BO145" i="1"/>
  <c r="T150" i="1"/>
  <c r="AN154" i="1"/>
  <c r="AZ159" i="1"/>
  <c r="D165" i="1"/>
  <c r="Z171" i="1"/>
  <c r="AH178" i="1"/>
  <c r="BD186" i="1"/>
  <c r="BJ195" i="1"/>
  <c r="AI205" i="1"/>
  <c r="BA215" i="1"/>
  <c r="AK97" i="1"/>
  <c r="BD101" i="1"/>
  <c r="G106" i="1"/>
  <c r="AC110" i="1"/>
  <c r="AW114" i="1"/>
  <c r="R119" i="1"/>
  <c r="D123" i="1"/>
  <c r="Z127" i="1"/>
  <c r="BJ131" i="1"/>
  <c r="O136" i="1"/>
  <c r="S140" i="1"/>
  <c r="W144" i="1"/>
  <c r="BG148" i="1"/>
  <c r="J153" i="1"/>
  <c r="R157" i="1"/>
  <c r="Q162" i="1"/>
  <c r="F168" i="1"/>
  <c r="BB174" i="1"/>
  <c r="L174" i="1" s="1"/>
  <c r="D182" i="1"/>
  <c r="G191" i="1"/>
  <c r="P200" i="1"/>
  <c r="BM210" i="1"/>
  <c r="N95" i="1"/>
  <c r="O99" i="1"/>
  <c r="S103" i="1"/>
  <c r="W107" i="1"/>
  <c r="BG111" i="1"/>
  <c r="J116" i="1"/>
  <c r="P120" i="1"/>
  <c r="AJ124" i="1"/>
  <c r="BD128" i="1"/>
  <c r="G133" i="1"/>
  <c r="AC137" i="1"/>
  <c r="AW141" i="1"/>
  <c r="R146" i="1"/>
  <c r="D150" i="1"/>
  <c r="Z154" i="1"/>
  <c r="BM158" i="1"/>
  <c r="J164" i="1"/>
  <c r="S170" i="1"/>
  <c r="G178" i="1"/>
  <c r="Y186" i="1"/>
  <c r="BM195" i="1"/>
  <c r="AL205" i="1"/>
  <c r="AM216" i="1"/>
  <c r="BC97" i="1"/>
  <c r="E102" i="1"/>
  <c r="AQ106" i="1"/>
  <c r="BK110" i="1"/>
  <c r="BP110" i="1" s="1"/>
  <c r="BO114" i="1"/>
  <c r="T119" i="1"/>
  <c r="AN123" i="1"/>
  <c r="BH127" i="1"/>
  <c r="BL131" i="1"/>
  <c r="AG136" i="1"/>
  <c r="BA140" i="1"/>
  <c r="BE144" i="1"/>
  <c r="H149" i="1"/>
  <c r="AT153" i="1"/>
  <c r="AB158" i="1"/>
  <c r="AK163" i="1"/>
  <c r="AL169" i="1"/>
  <c r="BG176" i="1"/>
  <c r="BO184" i="1"/>
  <c r="AE195" i="1"/>
  <c r="AN205" i="1"/>
  <c r="AH217" i="1"/>
  <c r="Q99" i="1"/>
  <c r="AK103" i="1"/>
  <c r="AO107" i="1"/>
  <c r="BI111" i="1"/>
  <c r="AD116" i="1"/>
  <c r="AX120" i="1"/>
  <c r="AL124" i="1"/>
  <c r="BF128" i="1"/>
  <c r="AA133" i="1"/>
  <c r="AU137" i="1"/>
  <c r="AY141" i="1"/>
  <c r="BC145" i="1"/>
  <c r="X150" i="1"/>
  <c r="AR154" i="1"/>
  <c r="AN159" i="1"/>
  <c r="BF164" i="1"/>
  <c r="AW170" i="1"/>
  <c r="BI176" i="1"/>
  <c r="BL185" i="1"/>
  <c r="AI196" i="1"/>
  <c r="AU205" i="1"/>
  <c r="AX216" i="1"/>
  <c r="AG169" i="1"/>
  <c r="BA173" i="1"/>
  <c r="BE177" i="1"/>
  <c r="H182" i="1"/>
  <c r="AT186" i="1"/>
  <c r="BN190" i="1"/>
  <c r="BB194" i="1"/>
  <c r="L194" i="1" s="1"/>
  <c r="E199" i="1"/>
  <c r="AQ203" i="1"/>
  <c r="BK207" i="1"/>
  <c r="BP207" i="1" s="1"/>
  <c r="BO211" i="1"/>
  <c r="T216" i="1"/>
  <c r="E221" i="1"/>
  <c r="AP172" i="1"/>
  <c r="I177" i="1"/>
  <c r="AE181" i="1"/>
  <c r="AI185" i="1"/>
  <c r="AM189" i="1"/>
  <c r="F194" i="1"/>
  <c r="AB198" i="1"/>
  <c r="AF202" i="1"/>
  <c r="AZ206" i="1"/>
  <c r="U211" i="1"/>
  <c r="Y215" i="1"/>
  <c r="BF219" i="1"/>
  <c r="AC177" i="1"/>
  <c r="AW181" i="1"/>
  <c r="R186" i="1"/>
  <c r="D190" i="1"/>
  <c r="Z194" i="1"/>
  <c r="BJ198" i="1"/>
  <c r="O203" i="1"/>
  <c r="S207" i="1"/>
  <c r="W211" i="1"/>
  <c r="BG215" i="1"/>
  <c r="BH219" i="1"/>
  <c r="O182" i="1"/>
  <c r="S186" i="1"/>
  <c r="W190" i="1"/>
  <c r="BG194" i="1"/>
  <c r="J199" i="1"/>
  <c r="P203" i="1"/>
  <c r="AJ207" i="1"/>
  <c r="BD211" i="1"/>
  <c r="G216" i="1"/>
  <c r="I220" i="1"/>
  <c r="BN160" i="1"/>
  <c r="BB164" i="1"/>
  <c r="L164" i="1" s="1"/>
  <c r="E169" i="1"/>
  <c r="AQ173" i="1"/>
  <c r="BK177" i="1"/>
  <c r="BP177" i="1" s="1"/>
  <c r="BO181" i="1"/>
  <c r="T186" i="1"/>
  <c r="AN190" i="1"/>
  <c r="BH194" i="1"/>
  <c r="BL198" i="1"/>
  <c r="AG203" i="1"/>
  <c r="BA207" i="1"/>
  <c r="BE211" i="1"/>
  <c r="H216" i="1"/>
  <c r="J220" i="1"/>
  <c r="AR157" i="1"/>
  <c r="AV161" i="1"/>
  <c r="Q166" i="1"/>
  <c r="AK170" i="1"/>
  <c r="AO174" i="1"/>
  <c r="BI178" i="1"/>
  <c r="AD183" i="1"/>
  <c r="AX187" i="1"/>
  <c r="AL191" i="1"/>
  <c r="BF195" i="1"/>
  <c r="AA200" i="1"/>
  <c r="AU204" i="1"/>
  <c r="AY208" i="1"/>
  <c r="BC212" i="1"/>
  <c r="Z217" i="1"/>
  <c r="S155" i="1"/>
  <c r="W159" i="1"/>
  <c r="BG163" i="1"/>
  <c r="J168" i="1"/>
  <c r="P172" i="1"/>
  <c r="AJ176" i="1"/>
  <c r="BD180" i="1"/>
  <c r="G185" i="1"/>
  <c r="AC189" i="1"/>
  <c r="AW193" i="1"/>
  <c r="R198" i="1"/>
  <c r="D202" i="1"/>
  <c r="Z206" i="1"/>
  <c r="BJ210" i="1"/>
  <c r="O215" i="1"/>
  <c r="AD219" i="1"/>
  <c r="AW188" i="1"/>
  <c r="R193" i="1"/>
  <c r="D197" i="1"/>
  <c r="Z201" i="1"/>
  <c r="BJ205" i="1"/>
  <c r="O210" i="1"/>
  <c r="S214" i="1"/>
  <c r="AU218" i="1"/>
  <c r="AG220" i="1"/>
  <c r="AF218" i="1"/>
  <c r="BH212" i="1"/>
  <c r="BM216" i="1"/>
  <c r="AM221" i="1"/>
  <c r="H165" i="1"/>
  <c r="AT169" i="1"/>
  <c r="BN173" i="1"/>
  <c r="BB177" i="1"/>
  <c r="L177" i="1" s="1"/>
  <c r="E182" i="1"/>
  <c r="AQ186" i="1"/>
  <c r="BK190" i="1"/>
  <c r="BP190" i="1" s="1"/>
  <c r="BO194" i="1"/>
  <c r="T199" i="1"/>
  <c r="AN203" i="1"/>
  <c r="BH207" i="1"/>
  <c r="BL211" i="1"/>
  <c r="AG216" i="1"/>
  <c r="V221" i="1"/>
  <c r="V219" i="1"/>
  <c r="I1143" i="2"/>
  <c r="I1010" i="2"/>
  <c r="I865" i="2"/>
  <c r="I553" i="2"/>
  <c r="BJ96" i="1"/>
  <c r="AH194" i="1"/>
  <c r="AR150" i="1"/>
  <c r="H97" i="1"/>
  <c r="AD213" i="1"/>
  <c r="AG153" i="1"/>
  <c r="BI112" i="1"/>
  <c r="AL174" i="1"/>
  <c r="R143" i="1"/>
  <c r="AW101" i="1"/>
  <c r="AA162" i="1"/>
  <c r="AD129" i="1"/>
  <c r="H186" i="1"/>
  <c r="R128" i="1"/>
  <c r="X183" i="1"/>
  <c r="W116" i="1"/>
  <c r="V174" i="1"/>
  <c r="AS125" i="1"/>
  <c r="AN173" i="1"/>
  <c r="S134" i="1"/>
  <c r="BE187" i="1"/>
  <c r="AP132" i="1"/>
  <c r="BG185" i="1"/>
  <c r="BI126" i="1"/>
  <c r="F199" i="1"/>
  <c r="AR132" i="1"/>
  <c r="BL194" i="1"/>
  <c r="AF131" i="1"/>
  <c r="AP175" i="1"/>
  <c r="AC111" i="1"/>
  <c r="W145" i="1"/>
  <c r="Q215" i="1"/>
  <c r="I203" i="1"/>
  <c r="BK197" i="1"/>
  <c r="BP197" i="1" s="1"/>
  <c r="BI193" i="1"/>
  <c r="AL185" i="1"/>
  <c r="AP168" i="1"/>
  <c r="Y211" i="1"/>
  <c r="G174" i="1"/>
  <c r="BJ199" i="1"/>
  <c r="AY171" i="1"/>
  <c r="BI205" i="1"/>
  <c r="AD205" i="1"/>
  <c r="AL213" i="1"/>
  <c r="BA220" i="1"/>
  <c r="AB207" i="1"/>
  <c r="I979" i="2"/>
  <c r="I724" i="2"/>
  <c r="I557" i="2"/>
  <c r="I408" i="2"/>
  <c r="AA145" i="1"/>
  <c r="Y159" i="1"/>
  <c r="O117" i="1"/>
  <c r="AA213" i="1"/>
  <c r="BN185" i="1"/>
  <c r="AG100" i="1"/>
  <c r="AX161" i="1"/>
  <c r="AZ121" i="1"/>
  <c r="V198" i="1"/>
  <c r="AZ148" i="1"/>
  <c r="H125" i="1"/>
  <c r="AP186" i="1"/>
  <c r="AP136" i="1"/>
  <c r="I104" i="1"/>
  <c r="X167" i="1"/>
  <c r="AO121" i="1"/>
  <c r="Y167" i="1"/>
  <c r="I126" i="1"/>
  <c r="BF155" i="1"/>
  <c r="BC218" i="1"/>
  <c r="BF132" i="1"/>
  <c r="W186" i="1"/>
  <c r="AG114" i="1"/>
  <c r="BK152" i="1"/>
  <c r="BP152" i="1" s="1"/>
  <c r="BJ221" i="1"/>
  <c r="AT158" i="1"/>
  <c r="AV131" i="1"/>
  <c r="AH120" i="1"/>
  <c r="AU207" i="1"/>
  <c r="AX160" i="1"/>
  <c r="X203" i="1"/>
  <c r="I1100" i="2"/>
  <c r="I986" i="2"/>
  <c r="I558" i="2"/>
  <c r="I1245" i="2"/>
  <c r="I1184" i="2"/>
  <c r="I1091" i="2"/>
  <c r="I861" i="2"/>
  <c r="I1241" i="2"/>
  <c r="I1195" i="2"/>
  <c r="I1154" i="2"/>
  <c r="I1089" i="2"/>
  <c r="I675" i="2"/>
  <c r="I1026" i="2"/>
  <c r="I453" i="2"/>
  <c r="I1063" i="2"/>
  <c r="I926" i="2"/>
  <c r="I467" i="2"/>
  <c r="I1231" i="2"/>
  <c r="I1014" i="2"/>
  <c r="I597" i="2"/>
  <c r="I460" i="2"/>
  <c r="I1001" i="2"/>
  <c r="I663" i="2"/>
  <c r="I391" i="2"/>
  <c r="I484" i="2"/>
  <c r="I1227" i="2"/>
  <c r="I1015" i="2"/>
  <c r="I435" i="2"/>
  <c r="I76" i="2"/>
  <c r="I1258" i="2"/>
  <c r="I1204" i="2"/>
  <c r="I1164" i="2"/>
  <c r="I990" i="2"/>
  <c r="I1218" i="2"/>
  <c r="I339" i="2"/>
  <c r="I290" i="2"/>
  <c r="I161" i="2"/>
  <c r="I1196" i="2"/>
  <c r="I622" i="2"/>
  <c r="I84" i="2"/>
  <c r="I55" i="2"/>
  <c r="I1094" i="2"/>
  <c r="I792" i="2"/>
  <c r="I1101" i="2"/>
  <c r="I524" i="2"/>
  <c r="I375" i="2"/>
  <c r="I223" i="2"/>
  <c r="I976" i="2"/>
  <c r="I907" i="2"/>
  <c r="I407" i="2"/>
  <c r="I621" i="2"/>
  <c r="I115" i="2"/>
  <c r="I58" i="2"/>
  <c r="I224" i="2"/>
  <c r="I883" i="2"/>
  <c r="I593" i="2"/>
  <c r="I546" i="2"/>
  <c r="I159" i="2"/>
  <c r="I148" i="2"/>
  <c r="I135" i="2"/>
  <c r="I415" i="2"/>
  <c r="I857" i="2"/>
  <c r="I1255" i="2"/>
  <c r="I783" i="2"/>
  <c r="I1073" i="2"/>
  <c r="I442" i="2"/>
  <c r="I390" i="2"/>
  <c r="I1260" i="2"/>
  <c r="I1240" i="2"/>
  <c r="E186" i="1"/>
  <c r="BD181" i="1"/>
  <c r="R156" i="1"/>
  <c r="BA206" i="1"/>
  <c r="AS104" i="1"/>
  <c r="AV122" i="1"/>
  <c r="BO147" i="1"/>
  <c r="I174" i="1"/>
  <c r="BH103" i="1"/>
  <c r="BB98" i="1"/>
  <c r="L98" i="1" s="1"/>
  <c r="AY115" i="1"/>
  <c r="AC138" i="1"/>
  <c r="BK163" i="1"/>
  <c r="BP163" i="1" s="1"/>
  <c r="AQ204" i="1"/>
  <c r="AO102" i="1"/>
  <c r="AJ120" i="1"/>
  <c r="BD140" i="1"/>
  <c r="BN163" i="1"/>
  <c r="AY204" i="1"/>
  <c r="D136" i="1"/>
  <c r="AP162" i="1"/>
  <c r="BD199" i="1"/>
  <c r="J118" i="1"/>
  <c r="S106" i="1"/>
  <c r="U130" i="1"/>
  <c r="BC151" i="1"/>
  <c r="AY182" i="1"/>
  <c r="BC95" i="1"/>
  <c r="U109" i="1"/>
  <c r="AX132" i="1"/>
  <c r="BB156" i="1"/>
  <c r="L156" i="1" s="1"/>
  <c r="AR197" i="1"/>
  <c r="BO136" i="1"/>
  <c r="AQ128" i="1"/>
  <c r="AH99" i="1"/>
  <c r="AY102" i="1"/>
  <c r="AO119" i="1"/>
  <c r="BI139" i="1"/>
  <c r="S164" i="1"/>
  <c r="AJ210" i="1"/>
  <c r="AQ188" i="1"/>
  <c r="BD99" i="1"/>
  <c r="O116" i="1"/>
  <c r="BI138" i="1"/>
  <c r="AJ164" i="1"/>
  <c r="AV205" i="1"/>
  <c r="BF102" i="1"/>
  <c r="Z123" i="1"/>
  <c r="AH142" i="1"/>
  <c r="BF167" i="1"/>
  <c r="BI117" i="1"/>
  <c r="H102" i="1"/>
  <c r="BE119" i="1"/>
  <c r="AW143" i="1"/>
  <c r="BG167" i="1"/>
  <c r="AJ95" i="1"/>
  <c r="AJ179" i="1"/>
  <c r="BF123" i="1"/>
  <c r="AQ196" i="1"/>
  <c r="N97" i="1"/>
  <c r="AK109" i="1"/>
  <c r="Y134" i="1"/>
  <c r="BL155" i="1"/>
  <c r="BA190" i="1"/>
  <c r="AK98" i="1"/>
  <c r="AT111" i="1"/>
  <c r="BM137" i="1"/>
  <c r="W157" i="1"/>
  <c r="Z193" i="1"/>
  <c r="Y119" i="1"/>
  <c r="F108" i="1"/>
  <c r="AB128" i="1"/>
  <c r="BK148" i="1"/>
  <c r="BP148" i="1" s="1"/>
  <c r="AG179" i="1"/>
  <c r="AU96" i="1"/>
  <c r="BM100" i="1"/>
  <c r="AH105" i="1"/>
  <c r="V109" i="1"/>
  <c r="AP113" i="1"/>
  <c r="I118" i="1"/>
  <c r="AE122" i="1"/>
  <c r="AI126" i="1"/>
  <c r="AM130" i="1"/>
  <c r="F135" i="1"/>
  <c r="AB139" i="1"/>
  <c r="AF143" i="1"/>
  <c r="AZ147" i="1"/>
  <c r="U152" i="1"/>
  <c r="BC156" i="1"/>
  <c r="AU162" i="1"/>
  <c r="AN168" i="1"/>
  <c r="AV175" i="1"/>
  <c r="Q183" i="1"/>
  <c r="BG192" i="1"/>
  <c r="E203" i="1"/>
  <c r="BF212" i="1"/>
  <c r="AW96" i="1"/>
  <c r="BO100" i="1"/>
  <c r="T105" i="1"/>
  <c r="AN109" i="1"/>
  <c r="BH113" i="1"/>
  <c r="BL117" i="1"/>
  <c r="AG122" i="1"/>
  <c r="BA126" i="1"/>
  <c r="BE130" i="1"/>
  <c r="H135" i="1"/>
  <c r="AT139" i="1"/>
  <c r="BN143" i="1"/>
  <c r="BB147" i="1"/>
  <c r="L147" i="1" s="1"/>
  <c r="E152" i="1"/>
  <c r="F157" i="1"/>
  <c r="D162" i="1"/>
  <c r="BM167" i="1"/>
  <c r="P174" i="1"/>
  <c r="BE181" i="1"/>
  <c r="AY189" i="1"/>
  <c r="Z199" i="1"/>
  <c r="AE208" i="1"/>
  <c r="Z221" i="1"/>
  <c r="AT102" i="1"/>
  <c r="BN106" i="1"/>
  <c r="BB110" i="1"/>
  <c r="L110" i="1" s="1"/>
  <c r="E115" i="1"/>
  <c r="AQ119" i="1"/>
  <c r="BK123" i="1"/>
  <c r="BP123" i="1" s="1"/>
  <c r="BO127" i="1"/>
  <c r="T132" i="1"/>
  <c r="AN136" i="1"/>
  <c r="BH140" i="1"/>
  <c r="BL144" i="1"/>
  <c r="AG149" i="1"/>
  <c r="BA153" i="1"/>
  <c r="AI158" i="1"/>
  <c r="AU163" i="1"/>
  <c r="AX169" i="1"/>
  <c r="AQ176" i="1"/>
  <c r="AS185" i="1"/>
  <c r="AU195" i="1"/>
  <c r="T205" i="1"/>
  <c r="BD214" i="1"/>
  <c r="BM112" i="1"/>
  <c r="AH117" i="1"/>
  <c r="V121" i="1"/>
  <c r="AP125" i="1"/>
  <c r="I130" i="1"/>
  <c r="AE134" i="1"/>
  <c r="AI138" i="1"/>
  <c r="AM142" i="1"/>
  <c r="F147" i="1"/>
  <c r="AB151" i="1"/>
  <c r="AJ155" i="1"/>
  <c r="U160" i="1"/>
  <c r="BJ165" i="1"/>
  <c r="AA172" i="1"/>
  <c r="AR179" i="1"/>
  <c r="AT187" i="1"/>
  <c r="W197" i="1"/>
  <c r="AF207" i="1"/>
  <c r="AJ219" i="1"/>
  <c r="BH98" i="1"/>
  <c r="BL102" i="1"/>
  <c r="AG107" i="1"/>
  <c r="BA111" i="1"/>
  <c r="BE115" i="1"/>
  <c r="H120" i="1"/>
  <c r="AT124" i="1"/>
  <c r="BN128" i="1"/>
  <c r="BB132" i="1"/>
  <c r="L132" i="1" s="1"/>
  <c r="E137" i="1"/>
  <c r="AQ141" i="1"/>
  <c r="BK145" i="1"/>
  <c r="BP145" i="1" s="1"/>
  <c r="BO149" i="1"/>
  <c r="T154" i="1"/>
  <c r="BG158" i="1"/>
  <c r="AX163" i="1"/>
  <c r="H170" i="1"/>
  <c r="F177" i="1"/>
  <c r="BA184" i="1"/>
  <c r="AN193" i="1"/>
  <c r="U203" i="1"/>
  <c r="BB211" i="1"/>
  <c r="L211" i="1" s="1"/>
  <c r="BE95" i="1"/>
  <c r="E100" i="1"/>
  <c r="AQ104" i="1"/>
  <c r="BK108" i="1"/>
  <c r="BP108" i="1" s="1"/>
  <c r="BO112" i="1"/>
  <c r="T117" i="1"/>
  <c r="AN121" i="1"/>
  <c r="BH125" i="1"/>
  <c r="BL129" i="1"/>
  <c r="AG134" i="1"/>
  <c r="BA138" i="1"/>
  <c r="BE142" i="1"/>
  <c r="H147" i="1"/>
  <c r="AT151" i="1"/>
  <c r="E156" i="1"/>
  <c r="BE161" i="1"/>
  <c r="Y168" i="1"/>
  <c r="BG175" i="1"/>
  <c r="BF183" i="1"/>
  <c r="AP193" i="1"/>
  <c r="BE203" i="1"/>
  <c r="AR213" i="1"/>
  <c r="BB96" i="1"/>
  <c r="L96" i="1" s="1"/>
  <c r="BD100" i="1"/>
  <c r="G105" i="1"/>
  <c r="AC109" i="1"/>
  <c r="AW113" i="1"/>
  <c r="R118" i="1"/>
  <c r="D122" i="1"/>
  <c r="Z126" i="1"/>
  <c r="BJ130" i="1"/>
  <c r="O135" i="1"/>
  <c r="S139" i="1"/>
  <c r="W143" i="1"/>
  <c r="BG147" i="1"/>
  <c r="J152" i="1"/>
  <c r="Z156" i="1"/>
  <c r="BF161" i="1"/>
  <c r="AC168" i="1"/>
  <c r="AW174" i="1"/>
  <c r="AI182" i="1"/>
  <c r="AF190" i="1"/>
  <c r="AL199" i="1"/>
  <c r="J209" i="1"/>
  <c r="AT221" i="1"/>
  <c r="BN113" i="1"/>
  <c r="BB117" i="1"/>
  <c r="L117" i="1" s="1"/>
  <c r="E122" i="1"/>
  <c r="AQ126" i="1"/>
  <c r="BK130" i="1"/>
  <c r="BP130" i="1" s="1"/>
  <c r="BO134" i="1"/>
  <c r="T139" i="1"/>
  <c r="AN143" i="1"/>
  <c r="BH147" i="1"/>
  <c r="BL151" i="1"/>
  <c r="AA156" i="1"/>
  <c r="AM161" i="1"/>
  <c r="Z167" i="1"/>
  <c r="P173" i="1"/>
  <c r="AQ180" i="1"/>
  <c r="AE189" i="1"/>
  <c r="AK198" i="1"/>
  <c r="AS208" i="1"/>
  <c r="BC220" i="1"/>
  <c r="AC99" i="1"/>
  <c r="AW103" i="1"/>
  <c r="R108" i="1"/>
  <c r="D112" i="1"/>
  <c r="Z116" i="1"/>
  <c r="BJ120" i="1"/>
  <c r="O125" i="1"/>
  <c r="S129" i="1"/>
  <c r="W133" i="1"/>
  <c r="BG137" i="1"/>
  <c r="J142" i="1"/>
  <c r="P146" i="1"/>
  <c r="AJ150" i="1"/>
  <c r="BD154" i="1"/>
  <c r="E160" i="1"/>
  <c r="AA165" i="1"/>
  <c r="BA171" i="1"/>
  <c r="BL178" i="1"/>
  <c r="W187" i="1"/>
  <c r="AB196" i="1"/>
  <c r="AR206" i="1"/>
  <c r="AI216" i="1"/>
  <c r="BA97" i="1"/>
  <c r="U102" i="1"/>
  <c r="Y106" i="1"/>
  <c r="AS110" i="1"/>
  <c r="BM114" i="1"/>
  <c r="AH119" i="1"/>
  <c r="V123" i="1"/>
  <c r="AP127" i="1"/>
  <c r="I132" i="1"/>
  <c r="AE136" i="1"/>
  <c r="AI140" i="1"/>
  <c r="AM144" i="1"/>
  <c r="F149" i="1"/>
  <c r="AB153" i="1"/>
  <c r="AJ157" i="1"/>
  <c r="AL162" i="1"/>
  <c r="AF168" i="1"/>
  <c r="I175" i="1"/>
  <c r="AL182" i="1"/>
  <c r="AQ191" i="1"/>
  <c r="AY200" i="1"/>
  <c r="AE211" i="1"/>
  <c r="AD95" i="1"/>
  <c r="AE99" i="1"/>
  <c r="AI103" i="1"/>
  <c r="AM107" i="1"/>
  <c r="F112" i="1"/>
  <c r="AB116" i="1"/>
  <c r="AF120" i="1"/>
  <c r="AZ124" i="1"/>
  <c r="U129" i="1"/>
  <c r="Y133" i="1"/>
  <c r="AS137" i="1"/>
  <c r="BM141" i="1"/>
  <c r="AH146" i="1"/>
  <c r="V150" i="1"/>
  <c r="AP154" i="1"/>
  <c r="P159" i="1"/>
  <c r="AG164" i="1"/>
  <c r="AS170" i="1"/>
  <c r="AK178" i="1"/>
  <c r="BF186" i="1"/>
  <c r="AE196" i="1"/>
  <c r="J206" i="1"/>
  <c r="AD217" i="1"/>
  <c r="S98" i="1"/>
  <c r="W102" i="1"/>
  <c r="BG106" i="1"/>
  <c r="J111" i="1"/>
  <c r="P115" i="1"/>
  <c r="AJ119" i="1"/>
  <c r="BD123" i="1"/>
  <c r="G128" i="1"/>
  <c r="AC132" i="1"/>
  <c r="AW136" i="1"/>
  <c r="R141" i="1"/>
  <c r="D145" i="1"/>
  <c r="Z149" i="1"/>
  <c r="BJ153" i="1"/>
  <c r="AU158" i="1"/>
  <c r="BH163" i="1"/>
  <c r="BL169" i="1"/>
  <c r="U177" i="1"/>
  <c r="AE185" i="1"/>
  <c r="BN195" i="1"/>
  <c r="AV206" i="1"/>
  <c r="R218" i="1"/>
  <c r="AG99" i="1"/>
  <c r="BA103" i="1"/>
  <c r="BE107" i="1"/>
  <c r="H112" i="1"/>
  <c r="AT116" i="1"/>
  <c r="BN120" i="1"/>
  <c r="BB124" i="1"/>
  <c r="L124" i="1" s="1"/>
  <c r="E129" i="1"/>
  <c r="AQ133" i="1"/>
  <c r="BK137" i="1"/>
  <c r="BP137" i="1" s="1"/>
  <c r="BO141" i="1"/>
  <c r="T146" i="1"/>
  <c r="AN150" i="1"/>
  <c r="BH154" i="1"/>
  <c r="BG159" i="1"/>
  <c r="I165" i="1"/>
  <c r="E171" i="1"/>
  <c r="W177" i="1"/>
  <c r="AB186" i="1"/>
  <c r="E197" i="1"/>
  <c r="AW206" i="1"/>
  <c r="AI217" i="1"/>
  <c r="AW169" i="1"/>
  <c r="R174" i="1"/>
  <c r="D178" i="1"/>
  <c r="Z182" i="1"/>
  <c r="BJ186" i="1"/>
  <c r="O191" i="1"/>
  <c r="S195" i="1"/>
  <c r="W199" i="1"/>
  <c r="BG203" i="1"/>
  <c r="J208" i="1"/>
  <c r="P212" i="1"/>
  <c r="AJ216" i="1"/>
  <c r="Y221" i="1"/>
  <c r="BF172" i="1"/>
  <c r="AA177" i="1"/>
  <c r="AU181" i="1"/>
  <c r="AY185" i="1"/>
  <c r="BC189" i="1"/>
  <c r="X194" i="1"/>
  <c r="AR198" i="1"/>
  <c r="AV202" i="1"/>
  <c r="Q207" i="1"/>
  <c r="AK211" i="1"/>
  <c r="AO215" i="1"/>
  <c r="F220" i="1"/>
  <c r="AS177" i="1"/>
  <c r="BM181" i="1"/>
  <c r="AH186" i="1"/>
  <c r="V190" i="1"/>
  <c r="AP194" i="1"/>
  <c r="I199" i="1"/>
  <c r="AE203" i="1"/>
  <c r="AI207" i="1"/>
  <c r="AM211" i="1"/>
  <c r="F216" i="1"/>
  <c r="H220" i="1"/>
  <c r="AE182" i="1"/>
  <c r="AI186" i="1"/>
  <c r="AM190" i="1"/>
  <c r="F195" i="1"/>
  <c r="AB199" i="1"/>
  <c r="AF203" i="1"/>
  <c r="AZ207" i="1"/>
  <c r="U212" i="1"/>
  <c r="Y216" i="1"/>
  <c r="AB220" i="1"/>
  <c r="O161" i="1"/>
  <c r="S165" i="1"/>
  <c r="W169" i="1"/>
  <c r="BG173" i="1"/>
  <c r="J178" i="1"/>
  <c r="P182" i="1"/>
  <c r="AJ186" i="1"/>
  <c r="BD190" i="1"/>
  <c r="G195" i="1"/>
  <c r="AC199" i="1"/>
  <c r="AW203" i="1"/>
  <c r="R208" i="1"/>
  <c r="D212" i="1"/>
  <c r="Z216" i="1"/>
  <c r="AC220" i="1"/>
  <c r="BH157" i="1"/>
  <c r="BL161" i="1"/>
  <c r="AG166" i="1"/>
  <c r="BA170" i="1"/>
  <c r="BE174" i="1"/>
  <c r="H179" i="1"/>
  <c r="AT183" i="1"/>
  <c r="BN187" i="1"/>
  <c r="BB191" i="1"/>
  <c r="L191" i="1" s="1"/>
  <c r="E196" i="1"/>
  <c r="AQ200" i="1"/>
  <c r="BK204" i="1"/>
  <c r="BP204" i="1" s="1"/>
  <c r="BO208" i="1"/>
  <c r="T213" i="1"/>
  <c r="AQ217" i="1"/>
  <c r="AI155" i="1"/>
  <c r="AM159" i="1"/>
  <c r="F164" i="1"/>
  <c r="AB168" i="1"/>
  <c r="AF172" i="1"/>
  <c r="AZ176" i="1"/>
  <c r="U181" i="1"/>
  <c r="Y185" i="1"/>
  <c r="AS189" i="1"/>
  <c r="BM193" i="1"/>
  <c r="AH198" i="1"/>
  <c r="V202" i="1"/>
  <c r="AP206" i="1"/>
  <c r="I211" i="1"/>
  <c r="AE215" i="1"/>
  <c r="AU219" i="1"/>
  <c r="BM188" i="1"/>
  <c r="AH193" i="1"/>
  <c r="V197" i="1"/>
  <c r="AP201" i="1"/>
  <c r="I206" i="1"/>
  <c r="AE210" i="1"/>
  <c r="AI214" i="1"/>
  <c r="BL218" i="1"/>
  <c r="AX220" i="1"/>
  <c r="AW218" i="1"/>
  <c r="G213" i="1"/>
  <c r="O217" i="1"/>
  <c r="BE221" i="1"/>
  <c r="Z165" i="1"/>
  <c r="BJ169" i="1"/>
  <c r="O174" i="1"/>
  <c r="S178" i="1"/>
  <c r="W182" i="1"/>
  <c r="BG186" i="1"/>
  <c r="J191" i="1"/>
  <c r="P195" i="1"/>
  <c r="AJ199" i="1"/>
  <c r="BD203" i="1"/>
  <c r="G208" i="1"/>
  <c r="AC212" i="1"/>
  <c r="AW216" i="1"/>
  <c r="AN221" i="1"/>
  <c r="AL219" i="1"/>
  <c r="I835" i="2"/>
  <c r="I1116" i="2"/>
  <c r="I1079" i="2"/>
  <c r="I1022" i="2"/>
  <c r="AC117" i="1"/>
  <c r="D110" i="1"/>
  <c r="AB104" i="1"/>
  <c r="AC185" i="1"/>
  <c r="V177" i="1"/>
  <c r="D101" i="1"/>
  <c r="BE151" i="1"/>
  <c r="AP118" i="1"/>
  <c r="BO131" i="1"/>
  <c r="BE108" i="1"/>
  <c r="BL174" i="1"/>
  <c r="BM138" i="1"/>
  <c r="K138" i="1" s="1"/>
  <c r="AH106" i="1"/>
  <c r="BD175" i="1"/>
  <c r="R165" i="1"/>
  <c r="I141" i="1"/>
  <c r="F121" i="1"/>
  <c r="AR104" i="1"/>
  <c r="AP219" i="1"/>
  <c r="AO111" i="1"/>
  <c r="BL109" i="1"/>
  <c r="AN128" i="1"/>
  <c r="AE176" i="1"/>
  <c r="BD210" i="1"/>
  <c r="AY194" i="1"/>
  <c r="I1256" i="2"/>
  <c r="I1185" i="2"/>
  <c r="I1269" i="2"/>
  <c r="I1175" i="2"/>
  <c r="I1112" i="2"/>
  <c r="I948" i="2"/>
  <c r="I931" i="2"/>
  <c r="I932" i="2"/>
  <c r="I658" i="2"/>
  <c r="I739" i="2"/>
  <c r="I105" i="2"/>
  <c r="I1226" i="2"/>
  <c r="I1182" i="2"/>
  <c r="I1198" i="2"/>
  <c r="I1088" i="2"/>
  <c r="I598" i="2"/>
  <c r="I967" i="2"/>
  <c r="I876" i="2"/>
  <c r="I748" i="2"/>
  <c r="I870" i="2"/>
  <c r="I746" i="2"/>
  <c r="I315" i="2"/>
  <c r="I210" i="2"/>
  <c r="I186" i="2"/>
  <c r="I141" i="2"/>
  <c r="I101" i="2"/>
  <c r="I413" i="2"/>
  <c r="I430" i="2"/>
  <c r="I208" i="2"/>
  <c r="I845" i="2"/>
  <c r="I778" i="2"/>
  <c r="I690" i="2"/>
  <c r="I533" i="2"/>
  <c r="I500" i="2"/>
  <c r="I396" i="2"/>
  <c r="I269" i="2"/>
  <c r="I639" i="2"/>
  <c r="I1040" i="2"/>
  <c r="I447" i="2"/>
  <c r="I1219" i="2"/>
  <c r="I704" i="2"/>
  <c r="I57" i="2"/>
  <c r="I13" i="2"/>
  <c r="I1244" i="2"/>
  <c r="I1202" i="2"/>
  <c r="I231" i="2"/>
  <c r="I570" i="2"/>
  <c r="I977" i="2"/>
  <c r="H13" i="9"/>
  <c r="B68" i="2" a="1"/>
  <c r="B68" i="2" s="1"/>
  <c r="H68" i="2" s="1"/>
  <c r="I549" i="2"/>
  <c r="I472" i="2"/>
  <c r="I72" i="2"/>
  <c r="I455" i="2"/>
  <c r="I97" i="2"/>
  <c r="I1020" i="2"/>
  <c r="I957" i="2"/>
  <c r="I811" i="2"/>
  <c r="I651" i="2"/>
  <c r="I496" i="2"/>
  <c r="I1265" i="2"/>
  <c r="I1222" i="2"/>
  <c r="I629" i="2"/>
  <c r="I182" i="2"/>
  <c r="I1200" i="2"/>
  <c r="I975" i="2"/>
  <c r="I798" i="2"/>
  <c r="AX96" i="1"/>
  <c r="D204" i="1"/>
  <c r="E204" i="1"/>
  <c r="AQ157" i="1"/>
  <c r="AQ214" i="1"/>
  <c r="Z105" i="1"/>
  <c r="BI123" i="1"/>
  <c r="J149" i="1"/>
  <c r="BF177" i="1"/>
  <c r="AX110" i="1"/>
  <c r="AK99" i="1"/>
  <c r="BL116" i="1"/>
  <c r="AP139" i="1"/>
  <c r="AF165" i="1"/>
  <c r="AI209" i="1"/>
  <c r="V103" i="1"/>
  <c r="AW121" i="1"/>
  <c r="O143" i="1"/>
  <c r="AG165" i="1"/>
  <c r="R207" i="1"/>
  <c r="S137" i="1"/>
  <c r="AL165" i="1"/>
  <c r="AE202" i="1"/>
  <c r="J95" i="1"/>
  <c r="AZ107" i="1"/>
  <c r="AI131" i="1"/>
  <c r="AB155" i="1"/>
  <c r="D187" i="1"/>
  <c r="AD96" i="1"/>
  <c r="AA112" i="1"/>
  <c r="BK133" i="1"/>
  <c r="BP133" i="1" s="1"/>
  <c r="J158" i="1"/>
  <c r="AO202" i="1"/>
  <c r="I145" i="1"/>
  <c r="AP134" i="1"/>
  <c r="AO104" i="1"/>
  <c r="AF103" i="1"/>
  <c r="BB120" i="1"/>
  <c r="L120" i="1" s="1"/>
  <c r="E141" i="1"/>
  <c r="BG165" i="1"/>
  <c r="O219" i="1"/>
  <c r="AP196" i="1"/>
  <c r="AO100" i="1"/>
  <c r="AB117" i="1"/>
  <c r="T141" i="1"/>
  <c r="AN167" i="1"/>
  <c r="BJ207" i="1"/>
  <c r="AM103" i="1"/>
  <c r="AM124" i="1"/>
  <c r="AU143" i="1"/>
  <c r="U169" i="1"/>
  <c r="AB102" i="1"/>
  <c r="BH102" i="1"/>
  <c r="AA123" i="1"/>
  <c r="BJ144" i="1"/>
  <c r="AQ169" i="1"/>
  <c r="Y97" i="1"/>
  <c r="BH193" i="1"/>
  <c r="Q126" i="1"/>
  <c r="AY206" i="1"/>
  <c r="BF97" i="1"/>
  <c r="W110" i="1"/>
  <c r="AL135" i="1"/>
  <c r="V157" i="1"/>
  <c r="X193" i="1"/>
  <c r="S99" i="1"/>
  <c r="BG112" i="1"/>
  <c r="H139" i="1"/>
  <c r="AX158" i="1"/>
  <c r="AZ198" i="1"/>
  <c r="AH95" i="1"/>
  <c r="BF108" i="1"/>
  <c r="AO129" i="1"/>
  <c r="G151" i="1"/>
  <c r="AV181" i="1"/>
  <c r="BK96" i="1"/>
  <c r="BP96" i="1" s="1"/>
  <c r="AD101" i="1"/>
  <c r="AX105" i="1"/>
  <c r="AL109" i="1"/>
  <c r="BF113" i="1"/>
  <c r="AA118" i="1"/>
  <c r="AU122" i="1"/>
  <c r="AY126" i="1"/>
  <c r="BC130" i="1"/>
  <c r="X135" i="1"/>
  <c r="AR139" i="1"/>
  <c r="AV143" i="1"/>
  <c r="Q148" i="1"/>
  <c r="AK152" i="1"/>
  <c r="D157" i="1"/>
  <c r="U163" i="1"/>
  <c r="BL168" i="1"/>
  <c r="H176" i="1"/>
  <c r="AW183" i="1"/>
  <c r="AB193" i="1"/>
  <c r="AP203" i="1"/>
  <c r="AB213" i="1"/>
  <c r="BM96" i="1"/>
  <c r="P101" i="1"/>
  <c r="AJ105" i="1"/>
  <c r="BD109" i="1"/>
  <c r="G114" i="1"/>
  <c r="AC118" i="1"/>
  <c r="AW122" i="1"/>
  <c r="R127" i="1"/>
  <c r="D131" i="1"/>
  <c r="Z135" i="1"/>
  <c r="BJ139" i="1"/>
  <c r="O144" i="1"/>
  <c r="S148" i="1"/>
  <c r="W152" i="1"/>
  <c r="Z157" i="1"/>
  <c r="Z162" i="1"/>
  <c r="U168" i="1"/>
  <c r="AQ174" i="1"/>
  <c r="V182" i="1"/>
  <c r="S190" i="1"/>
  <c r="BN199" i="1"/>
  <c r="AM209" i="1"/>
  <c r="Z98" i="1"/>
  <c r="BJ102" i="1"/>
  <c r="O107" i="1"/>
  <c r="S111" i="1"/>
  <c r="W115" i="1"/>
  <c r="BG119" i="1"/>
  <c r="J124" i="1"/>
  <c r="P128" i="1"/>
  <c r="AJ132" i="1"/>
  <c r="BD136" i="1"/>
  <c r="G141" i="1"/>
  <c r="AC145" i="1"/>
  <c r="AW149" i="1"/>
  <c r="R154" i="1"/>
  <c r="BB158" i="1"/>
  <c r="L158" i="1" s="1"/>
  <c r="U164" i="1"/>
  <c r="F170" i="1"/>
  <c r="AI177" i="1"/>
  <c r="G186" i="1"/>
  <c r="AW196" i="1"/>
  <c r="BD205" i="1"/>
  <c r="AG215" i="1"/>
  <c r="AD113" i="1"/>
  <c r="AX117" i="1"/>
  <c r="AL121" i="1"/>
  <c r="BF125" i="1"/>
  <c r="AA130" i="1"/>
  <c r="AU134" i="1"/>
  <c r="AY138" i="1"/>
  <c r="BC142" i="1"/>
  <c r="X147" i="1"/>
  <c r="AR151" i="1"/>
  <c r="BB155" i="1"/>
  <c r="L155" i="1" s="1"/>
  <c r="AN160" i="1"/>
  <c r="S166" i="1"/>
  <c r="AZ172" i="1"/>
  <c r="AG180" i="1"/>
  <c r="R188" i="1"/>
  <c r="BE197" i="1"/>
  <c r="AM208" i="1"/>
  <c r="AL220" i="1"/>
  <c r="G99" i="1"/>
  <c r="AC103" i="1"/>
  <c r="AW107" i="1"/>
  <c r="R112" i="1"/>
  <c r="D116" i="1"/>
  <c r="Z120" i="1"/>
  <c r="BJ124" i="1"/>
  <c r="O129" i="1"/>
  <c r="S133" i="1"/>
  <c r="W137" i="1"/>
  <c r="BG141" i="1"/>
  <c r="J146" i="1"/>
  <c r="P150" i="1"/>
  <c r="AJ154" i="1"/>
  <c r="H159" i="1"/>
  <c r="Z164" i="1"/>
  <c r="AI170" i="1"/>
  <c r="AK177" i="1"/>
  <c r="P185" i="1"/>
  <c r="G194" i="1"/>
  <c r="BC203" i="1"/>
  <c r="AA212" i="1"/>
  <c r="D96" i="1"/>
  <c r="W100" i="1"/>
  <c r="BG104" i="1"/>
  <c r="J109" i="1"/>
  <c r="P113" i="1"/>
  <c r="AJ117" i="1"/>
  <c r="BD121" i="1"/>
  <c r="G126" i="1"/>
  <c r="AC130" i="1"/>
  <c r="AW134" i="1"/>
  <c r="R139" i="1"/>
  <c r="D143" i="1"/>
  <c r="Z147" i="1"/>
  <c r="BJ151" i="1"/>
  <c r="Y156" i="1"/>
  <c r="H162" i="1"/>
  <c r="AX168" i="1"/>
  <c r="V176" i="1"/>
  <c r="W184" i="1"/>
  <c r="P194" i="1"/>
  <c r="W204" i="1"/>
  <c r="U214" i="1"/>
  <c r="R97" i="1"/>
  <c r="U101" i="1"/>
  <c r="Y105" i="1"/>
  <c r="AS109" i="1"/>
  <c r="BM113" i="1"/>
  <c r="AH118" i="1"/>
  <c r="V122" i="1"/>
  <c r="AP126" i="1"/>
  <c r="I131" i="1"/>
  <c r="AE135" i="1"/>
  <c r="AI139" i="1"/>
  <c r="AM143" i="1"/>
  <c r="F148" i="1"/>
  <c r="AB152" i="1"/>
  <c r="AR156" i="1"/>
  <c r="I162" i="1"/>
  <c r="AY168" i="1"/>
  <c r="F175" i="1"/>
  <c r="BO182" i="1"/>
  <c r="BO190" i="1"/>
  <c r="E200" i="1"/>
  <c r="AZ209" i="1"/>
  <c r="BJ109" i="1"/>
  <c r="O114" i="1"/>
  <c r="S118" i="1"/>
  <c r="W122" i="1"/>
  <c r="BG126" i="1"/>
  <c r="J131" i="1"/>
  <c r="P135" i="1"/>
  <c r="AJ139" i="1"/>
  <c r="BD143" i="1"/>
  <c r="G148" i="1"/>
  <c r="AC152" i="1"/>
  <c r="AS156" i="1"/>
  <c r="BG161" i="1"/>
  <c r="AX167" i="1"/>
  <c r="AO173" i="1"/>
  <c r="E181" i="1"/>
  <c r="BM189" i="1"/>
  <c r="AN199" i="1"/>
  <c r="S209" i="1"/>
  <c r="BG221" i="1"/>
  <c r="AS99" i="1"/>
  <c r="BM103" i="1"/>
  <c r="AH108" i="1"/>
  <c r="V112" i="1"/>
  <c r="AP116" i="1"/>
  <c r="I121" i="1"/>
  <c r="AE125" i="1"/>
  <c r="AI129" i="1"/>
  <c r="AM133" i="1"/>
  <c r="F138" i="1"/>
  <c r="AB142" i="1"/>
  <c r="AF146" i="1"/>
  <c r="AZ150" i="1"/>
  <c r="W155" i="1"/>
  <c r="Z160" i="1"/>
  <c r="AU165" i="1"/>
  <c r="G172" i="1"/>
  <c r="V179" i="1"/>
  <c r="BF187" i="1"/>
  <c r="BK196" i="1"/>
  <c r="BP196" i="1" s="1"/>
  <c r="H207" i="1"/>
  <c r="T217" i="1"/>
  <c r="Q98" i="1"/>
  <c r="AK102" i="1"/>
  <c r="AO106" i="1"/>
  <c r="BI110" i="1"/>
  <c r="AD115" i="1"/>
  <c r="AX119" i="1"/>
  <c r="AL123" i="1"/>
  <c r="BF127" i="1"/>
  <c r="AA132" i="1"/>
  <c r="AU136" i="1"/>
  <c r="AY140" i="1"/>
  <c r="BC144" i="1"/>
  <c r="X149" i="1"/>
  <c r="AR153" i="1"/>
  <c r="BB157" i="1"/>
  <c r="L157" i="1" s="1"/>
  <c r="BF162" i="1"/>
  <c r="BC168" i="1"/>
  <c r="AN175" i="1"/>
  <c r="AI183" i="1"/>
  <c r="H192" i="1"/>
  <c r="R201" i="1"/>
  <c r="BN211" i="1"/>
  <c r="AT95" i="1"/>
  <c r="AU99" i="1"/>
  <c r="AY103" i="1"/>
  <c r="BC107" i="1"/>
  <c r="X112" i="1"/>
  <c r="AR116" i="1"/>
  <c r="AV120" i="1"/>
  <c r="Q125" i="1"/>
  <c r="AK129" i="1"/>
  <c r="AO133" i="1"/>
  <c r="BI137" i="1"/>
  <c r="AD142" i="1"/>
  <c r="AX146" i="1"/>
  <c r="AL150" i="1"/>
  <c r="BF154" i="1"/>
  <c r="AI159" i="1"/>
  <c r="BA164" i="1"/>
  <c r="AD171" i="1"/>
  <c r="BN178" i="1"/>
  <c r="Z187" i="1"/>
  <c r="BO196" i="1"/>
  <c r="AT206" i="1"/>
  <c r="BG219" i="1"/>
  <c r="AI98" i="1"/>
  <c r="AM102" i="1"/>
  <c r="F107" i="1"/>
  <c r="AB111" i="1"/>
  <c r="AF115" i="1"/>
  <c r="AZ119" i="1"/>
  <c r="U124" i="1"/>
  <c r="Y128" i="1"/>
  <c r="AS132" i="1"/>
  <c r="BM136" i="1"/>
  <c r="AH141" i="1"/>
  <c r="V145" i="1"/>
  <c r="AP149" i="1"/>
  <c r="I154" i="1"/>
  <c r="BN158" i="1"/>
  <c r="AH164" i="1"/>
  <c r="W170" i="1"/>
  <c r="AY177" i="1"/>
  <c r="BK185" i="1"/>
  <c r="BP185" i="1" s="1"/>
  <c r="AG196" i="1"/>
  <c r="AX207" i="1"/>
  <c r="P95" i="1"/>
  <c r="AW99" i="1"/>
  <c r="R104" i="1"/>
  <c r="D108" i="1"/>
  <c r="Z112" i="1"/>
  <c r="BJ116" i="1"/>
  <c r="O121" i="1"/>
  <c r="S125" i="1"/>
  <c r="W129" i="1"/>
  <c r="BG133" i="1"/>
  <c r="J138" i="1"/>
  <c r="P142" i="1"/>
  <c r="AJ146" i="1"/>
  <c r="BD150" i="1"/>
  <c r="G155" i="1"/>
  <c r="I160" i="1"/>
  <c r="AE165" i="1"/>
  <c r="AF171" i="1"/>
  <c r="AZ177" i="1"/>
  <c r="BI186" i="1"/>
  <c r="AO197" i="1"/>
  <c r="P207" i="1"/>
  <c r="S218" i="1"/>
  <c r="BM169" i="1"/>
  <c r="AH174" i="1"/>
  <c r="V178" i="1"/>
  <c r="AP182" i="1"/>
  <c r="I187" i="1"/>
  <c r="AE191" i="1"/>
  <c r="AI195" i="1"/>
  <c r="AM199" i="1"/>
  <c r="F204" i="1"/>
  <c r="AB208" i="1"/>
  <c r="AF212" i="1"/>
  <c r="AZ216" i="1"/>
  <c r="AQ221" i="1"/>
  <c r="E173" i="1"/>
  <c r="AQ177" i="1"/>
  <c r="BK181" i="1"/>
  <c r="BP181" i="1" s="1"/>
  <c r="BO185" i="1"/>
  <c r="T190" i="1"/>
  <c r="AN194" i="1"/>
  <c r="BH198" i="1"/>
  <c r="BL202" i="1"/>
  <c r="AG207" i="1"/>
  <c r="BA211" i="1"/>
  <c r="BE215" i="1"/>
  <c r="Y220" i="1"/>
  <c r="BI177" i="1"/>
  <c r="AD182" i="1"/>
  <c r="AX186" i="1"/>
  <c r="AL190" i="1"/>
  <c r="BF194" i="1"/>
  <c r="AA199" i="1"/>
  <c r="AU203" i="1"/>
  <c r="AY207" i="1"/>
  <c r="BC211" i="1"/>
  <c r="X216" i="1"/>
  <c r="AA220" i="1"/>
  <c r="AU182" i="1"/>
  <c r="AY186" i="1"/>
  <c r="BC190" i="1"/>
  <c r="X195" i="1"/>
  <c r="AR199" i="1"/>
  <c r="AV203" i="1"/>
  <c r="Q208" i="1"/>
  <c r="AK212" i="1"/>
  <c r="AO216" i="1"/>
  <c r="AS220" i="1"/>
  <c r="AE161" i="1"/>
  <c r="AI165" i="1"/>
  <c r="AM169" i="1"/>
  <c r="F174" i="1"/>
  <c r="AB178" i="1"/>
  <c r="AF182" i="1"/>
  <c r="AZ186" i="1"/>
  <c r="U191" i="1"/>
  <c r="Y195" i="1"/>
  <c r="AS199" i="1"/>
  <c r="BM203" i="1"/>
  <c r="K203" i="1" s="1"/>
  <c r="AH208" i="1"/>
  <c r="V212" i="1"/>
  <c r="AP216" i="1"/>
  <c r="AT220" i="1"/>
  <c r="G158" i="1"/>
  <c r="AC162" i="1"/>
  <c r="AW166" i="1"/>
  <c r="R171" i="1"/>
  <c r="D175" i="1"/>
  <c r="Z179" i="1"/>
  <c r="BJ183" i="1"/>
  <c r="O188" i="1"/>
  <c r="S192" i="1"/>
  <c r="W196" i="1"/>
  <c r="BG200" i="1"/>
  <c r="J205" i="1"/>
  <c r="P209" i="1"/>
  <c r="AJ213" i="1"/>
  <c r="BI217" i="1"/>
  <c r="AY155" i="1"/>
  <c r="BC159" i="1"/>
  <c r="X164" i="1"/>
  <c r="AR168" i="1"/>
  <c r="AV172" i="1"/>
  <c r="Q177" i="1"/>
  <c r="AK181" i="1"/>
  <c r="AO185" i="1"/>
  <c r="BI189" i="1"/>
  <c r="AD194" i="1"/>
  <c r="AX198" i="1"/>
  <c r="AL202" i="1"/>
  <c r="BF206" i="1"/>
  <c r="AA211" i="1"/>
  <c r="AU215" i="1"/>
  <c r="BL219" i="1"/>
  <c r="AD189" i="1"/>
  <c r="AX193" i="1"/>
  <c r="AL197" i="1"/>
  <c r="BF201" i="1"/>
  <c r="AA206" i="1"/>
  <c r="AU210" i="1"/>
  <c r="AY214" i="1"/>
  <c r="AE219" i="1"/>
  <c r="R221" i="1"/>
  <c r="BN218" i="1"/>
  <c r="Y213" i="1"/>
  <c r="AF217" i="1"/>
  <c r="V161" i="1"/>
  <c r="AP165" i="1"/>
  <c r="I170" i="1"/>
  <c r="AE174" i="1"/>
  <c r="AI178" i="1"/>
  <c r="AM182" i="1"/>
  <c r="F187" i="1"/>
  <c r="AB191" i="1"/>
  <c r="AF195" i="1"/>
  <c r="AZ199" i="1"/>
  <c r="U204" i="1"/>
  <c r="Y208" i="1"/>
  <c r="AS212" i="1"/>
  <c r="BN216" i="1"/>
  <c r="BF221" i="1"/>
  <c r="BB219" i="1"/>
  <c r="L219" i="1" s="1"/>
  <c r="I884" i="2"/>
  <c r="AL152" i="1"/>
  <c r="BN96" i="1"/>
  <c r="F140" i="1"/>
  <c r="AK104" i="1"/>
  <c r="P117" i="1"/>
  <c r="W131" i="1"/>
  <c r="BF141" i="1"/>
  <c r="S149" i="1"/>
  <c r="AP160" i="1"/>
  <c r="AA197" i="1"/>
  <c r="AS115" i="1"/>
  <c r="AU152" i="1"/>
  <c r="I106" i="1"/>
  <c r="BN169" i="1"/>
  <c r="BC206" i="1"/>
  <c r="BE218" i="1"/>
  <c r="O100" i="1"/>
  <c r="AW126" i="1"/>
  <c r="Q205" i="1"/>
  <c r="AY216" i="1"/>
  <c r="AT106" i="1"/>
  <c r="BO142" i="1"/>
  <c r="AF117" i="1"/>
  <c r="AC207" i="1"/>
  <c r="AX162" i="1"/>
  <c r="E142" i="1"/>
  <c r="U111" i="1"/>
  <c r="U176" i="1"/>
  <c r="AS146" i="1"/>
  <c r="BI125" i="1"/>
  <c r="F208" i="1"/>
  <c r="AB197" i="1"/>
  <c r="X154" i="1"/>
  <c r="BA118" i="1"/>
  <c r="AK190" i="1"/>
  <c r="AG141" i="1"/>
  <c r="AY114" i="1"/>
  <c r="AZ98" i="1"/>
  <c r="AO177" i="1"/>
  <c r="BO202" i="1"/>
  <c r="AU190" i="1"/>
  <c r="I851" i="2"/>
  <c r="I760" i="2"/>
  <c r="I234" i="2"/>
  <c r="I35" i="2"/>
  <c r="I510" i="2"/>
  <c r="I342" i="2"/>
  <c r="I289" i="2"/>
  <c r="I310" i="2"/>
  <c r="I762" i="2"/>
  <c r="I722" i="2"/>
  <c r="I646" i="2"/>
  <c r="I1250" i="2"/>
  <c r="I1232" i="2"/>
  <c r="I1221" i="2"/>
  <c r="I1106" i="2"/>
  <c r="I1084" i="2"/>
  <c r="I1050" i="2"/>
  <c r="I211" i="2"/>
  <c r="I140" i="2"/>
  <c r="I64" i="2"/>
  <c r="I999" i="2"/>
  <c r="I709" i="2"/>
  <c r="I656" i="2"/>
  <c r="I233" i="2"/>
  <c r="I1046" i="2"/>
  <c r="I376" i="2"/>
  <c r="I238" i="2"/>
  <c r="I241" i="2"/>
  <c r="I79" i="2"/>
  <c r="I586" i="2"/>
  <c r="I180" i="2"/>
  <c r="I1217" i="2"/>
  <c r="I812" i="2"/>
  <c r="I653" i="2"/>
  <c r="I56" i="2"/>
  <c r="I589" i="2"/>
  <c r="I562" i="2"/>
  <c r="I278" i="2"/>
  <c r="I805" i="2"/>
  <c r="I25" i="2"/>
  <c r="I33" i="2"/>
  <c r="I28" i="2"/>
  <c r="I548" i="2"/>
  <c r="I816" i="2"/>
  <c r="I1213" i="2"/>
  <c r="I994" i="2"/>
  <c r="I603" i="2"/>
  <c r="I313" i="2"/>
  <c r="I22" i="2"/>
  <c r="I27" i="2"/>
  <c r="I24" i="2"/>
  <c r="I23" i="2"/>
  <c r="I720" i="2"/>
  <c r="I245" i="2"/>
  <c r="I217" i="2"/>
  <c r="I919" i="2"/>
  <c r="I491" i="2"/>
  <c r="I482" i="2"/>
  <c r="I395" i="2"/>
  <c r="I385" i="2"/>
  <c r="I702" i="2"/>
  <c r="I386" i="2"/>
  <c r="BK100" i="1"/>
  <c r="BP100" i="1" s="1"/>
  <c r="Z97" i="1"/>
  <c r="AU98" i="1"/>
  <c r="AF160" i="1"/>
  <c r="AY217" i="1"/>
  <c r="E106" i="1"/>
  <c r="E125" i="1"/>
  <c r="Y150" i="1"/>
  <c r="BM179" i="1"/>
  <c r="BK117" i="1"/>
  <c r="BP117" i="1" s="1"/>
  <c r="U100" i="1"/>
  <c r="G118" i="1"/>
  <c r="BC140" i="1"/>
  <c r="AO168" i="1"/>
  <c r="I212" i="1"/>
  <c r="AZ104" i="1"/>
  <c r="BJ122" i="1"/>
  <c r="AB144" i="1"/>
  <c r="I167" i="1"/>
  <c r="AK209" i="1"/>
  <c r="AF138" i="1"/>
  <c r="J167" i="1"/>
  <c r="Y207" i="1"/>
  <c r="BB95" i="1"/>
  <c r="L95" i="1" s="1"/>
  <c r="AG108" i="1"/>
  <c r="AV132" i="1"/>
  <c r="BA156" i="1"/>
  <c r="W192" i="1"/>
  <c r="AR97" i="1"/>
  <c r="AN113" i="1"/>
  <c r="E135" i="1"/>
  <c r="AP159" i="1"/>
  <c r="O205" i="1"/>
  <c r="G150" i="1"/>
  <c r="Z139" i="1"/>
  <c r="T120" i="1"/>
  <c r="BO104" i="1"/>
  <c r="BO121" i="1"/>
  <c r="T142" i="1"/>
  <c r="AK167" i="1"/>
  <c r="BK97" i="1"/>
  <c r="BP97" i="1" s="1"/>
  <c r="U206" i="1"/>
  <c r="V101" i="1"/>
  <c r="AO118" i="1"/>
  <c r="AG142" i="1"/>
  <c r="S169" i="1"/>
  <c r="AK210" i="1"/>
  <c r="T104" i="1"/>
  <c r="BA125" i="1"/>
  <c r="BH144" i="1"/>
  <c r="BM174" i="1"/>
  <c r="F113" i="1"/>
  <c r="AO103" i="1"/>
  <c r="AN124" i="1"/>
  <c r="F146" i="1"/>
  <c r="AJ171" i="1"/>
  <c r="G100" i="1"/>
  <c r="AC201" i="1"/>
  <c r="BD129" i="1"/>
  <c r="AU211" i="1"/>
  <c r="AE98" i="1"/>
  <c r="AG111" i="1"/>
  <c r="AY136" i="1"/>
  <c r="AW158" i="1"/>
  <c r="U198" i="1"/>
  <c r="BA100" i="1"/>
  <c r="S115" i="1"/>
  <c r="W140" i="1"/>
  <c r="J160" i="1"/>
  <c r="BO200" i="1"/>
  <c r="AV96" i="1"/>
  <c r="AP109" i="1"/>
  <c r="BD130" i="1"/>
  <c r="V152" i="1"/>
  <c r="AX183" i="1"/>
  <c r="J97" i="1"/>
  <c r="AT101" i="1"/>
  <c r="BN105" i="1"/>
  <c r="BB109" i="1"/>
  <c r="L109" i="1" s="1"/>
  <c r="E114" i="1"/>
  <c r="AQ118" i="1"/>
  <c r="BK122" i="1"/>
  <c r="BP122" i="1" s="1"/>
  <c r="BO126" i="1"/>
  <c r="T131" i="1"/>
  <c r="AN135" i="1"/>
  <c r="BH139" i="1"/>
  <c r="BL143" i="1"/>
  <c r="AG148" i="1"/>
  <c r="BA152" i="1"/>
  <c r="X157" i="1"/>
  <c r="AR163" i="1"/>
  <c r="T169" i="1"/>
  <c r="AM176" i="1"/>
  <c r="AT184" i="1"/>
  <c r="AJ194" i="1"/>
  <c r="G204" i="1"/>
  <c r="AS214" i="1"/>
  <c r="AC97" i="1"/>
  <c r="AF101" i="1"/>
  <c r="AZ105" i="1"/>
  <c r="U110" i="1"/>
  <c r="Y114" i="1"/>
  <c r="AS118" i="1"/>
  <c r="BM122" i="1"/>
  <c r="K122" i="1" s="1"/>
  <c r="AH127" i="1"/>
  <c r="V131" i="1"/>
  <c r="AP135" i="1"/>
  <c r="I140" i="1"/>
  <c r="AE144" i="1"/>
  <c r="AI148" i="1"/>
  <c r="AM152" i="1"/>
  <c r="AT157" i="1"/>
  <c r="AW162" i="1"/>
  <c r="AS168" i="1"/>
  <c r="BO174" i="1"/>
  <c r="BB182" i="1"/>
  <c r="L182" i="1" s="1"/>
  <c r="BH190" i="1"/>
  <c r="AH200" i="1"/>
  <c r="E210" i="1"/>
  <c r="AP98" i="1"/>
  <c r="I103" i="1"/>
  <c r="AE107" i="1"/>
  <c r="AI111" i="1"/>
  <c r="AM115" i="1"/>
  <c r="F120" i="1"/>
  <c r="AB124" i="1"/>
  <c r="AF128" i="1"/>
  <c r="AZ132" i="1"/>
  <c r="U137" i="1"/>
  <c r="Y141" i="1"/>
  <c r="AS145" i="1"/>
  <c r="BM149" i="1"/>
  <c r="K149" i="1" s="1"/>
  <c r="AH154" i="1"/>
  <c r="F159" i="1"/>
  <c r="AR164" i="1"/>
  <c r="AG170" i="1"/>
  <c r="BJ177" i="1"/>
  <c r="AO186" i="1"/>
  <c r="P197" i="1"/>
  <c r="AC206" i="1"/>
  <c r="R216" i="1"/>
  <c r="AT113" i="1"/>
  <c r="BN117" i="1"/>
  <c r="BB121" i="1"/>
  <c r="L121" i="1" s="1"/>
  <c r="E126" i="1"/>
  <c r="AQ130" i="1"/>
  <c r="BK134" i="1"/>
  <c r="BP134" i="1" s="1"/>
  <c r="BO138" i="1"/>
  <c r="T143" i="1"/>
  <c r="AN147" i="1"/>
  <c r="BH151" i="1"/>
  <c r="W156" i="1"/>
  <c r="BG160" i="1"/>
  <c r="AO166" i="1"/>
  <c r="G173" i="1"/>
  <c r="BM180" i="1"/>
  <c r="AZ188" i="1"/>
  <c r="Y198" i="1"/>
  <c r="E209" i="1"/>
  <c r="AO221" i="1"/>
  <c r="Y99" i="1"/>
  <c r="AS103" i="1"/>
  <c r="BM107" i="1"/>
  <c r="K107" i="1" s="1"/>
  <c r="AH112" i="1"/>
  <c r="V116" i="1"/>
  <c r="AP120" i="1"/>
  <c r="I125" i="1"/>
  <c r="AE129" i="1"/>
  <c r="AI133" i="1"/>
  <c r="AM137" i="1"/>
  <c r="F142" i="1"/>
  <c r="AB146" i="1"/>
  <c r="AF150" i="1"/>
  <c r="AZ154" i="1"/>
  <c r="AC159" i="1"/>
  <c r="AU164" i="1"/>
  <c r="BI170" i="1"/>
  <c r="BO177" i="1"/>
  <c r="AV185" i="1"/>
  <c r="AW194" i="1"/>
  <c r="V204" i="1"/>
  <c r="BO212" i="1"/>
  <c r="U96" i="1"/>
  <c r="AM100" i="1"/>
  <c r="F105" i="1"/>
  <c r="AB109" i="1"/>
  <c r="AF113" i="1"/>
  <c r="AZ117" i="1"/>
  <c r="U122" i="1"/>
  <c r="Y126" i="1"/>
  <c r="AS130" i="1"/>
  <c r="BM134" i="1"/>
  <c r="AH139" i="1"/>
  <c r="V143" i="1"/>
  <c r="AP147" i="1"/>
  <c r="I152" i="1"/>
  <c r="AQ156" i="1"/>
  <c r="AG162" i="1"/>
  <c r="AC169" i="1"/>
  <c r="AW176" i="1"/>
  <c r="BC184" i="1"/>
  <c r="AX194" i="1"/>
  <c r="BG204" i="1"/>
  <c r="BI214" i="1"/>
  <c r="AH97" i="1"/>
  <c r="AK101" i="1"/>
  <c r="AO105" i="1"/>
  <c r="BI109" i="1"/>
  <c r="AD114" i="1"/>
  <c r="AX118" i="1"/>
  <c r="AL122" i="1"/>
  <c r="BF126" i="1"/>
  <c r="AA131" i="1"/>
  <c r="AU135" i="1"/>
  <c r="AY139" i="1"/>
  <c r="BC143" i="1"/>
  <c r="X148" i="1"/>
  <c r="AR152" i="1"/>
  <c r="BJ156" i="1"/>
  <c r="AH162" i="1"/>
  <c r="D169" i="1"/>
  <c r="AF175" i="1"/>
  <c r="AF183" i="1"/>
  <c r="AH191" i="1"/>
  <c r="AU200" i="1"/>
  <c r="T210" i="1"/>
  <c r="I110" i="1"/>
  <c r="AE114" i="1"/>
  <c r="AI118" i="1"/>
  <c r="AM122" i="1"/>
  <c r="F127" i="1"/>
  <c r="AB131" i="1"/>
  <c r="AF135" i="1"/>
  <c r="AZ139" i="1"/>
  <c r="U144" i="1"/>
  <c r="Y148" i="1"/>
  <c r="AS152" i="1"/>
  <c r="BM156" i="1"/>
  <c r="O162" i="1"/>
  <c r="D168" i="1"/>
  <c r="BO173" i="1"/>
  <c r="AM181" i="1"/>
  <c r="AG190" i="1"/>
  <c r="AV200" i="1"/>
  <c r="BA209" i="1"/>
  <c r="AB95" i="1"/>
  <c r="BI99" i="1"/>
  <c r="AD104" i="1"/>
  <c r="AX108" i="1"/>
  <c r="AL112" i="1"/>
  <c r="BF116" i="1"/>
  <c r="AA121" i="1"/>
  <c r="AU125" i="1"/>
  <c r="AY129" i="1"/>
  <c r="BC133" i="1"/>
  <c r="X138" i="1"/>
  <c r="AR142" i="1"/>
  <c r="AV146" i="1"/>
  <c r="Q151" i="1"/>
  <c r="AO155" i="1"/>
  <c r="AS160" i="1"/>
  <c r="Y166" i="1"/>
  <c r="AI172" i="1"/>
  <c r="AX179" i="1"/>
  <c r="Y188" i="1"/>
  <c r="AD197" i="1"/>
  <c r="AS207" i="1"/>
  <c r="BF218" i="1"/>
  <c r="AG98" i="1"/>
  <c r="BA102" i="1"/>
  <c r="BE106" i="1"/>
  <c r="H111" i="1"/>
  <c r="AT115" i="1"/>
  <c r="BN119" i="1"/>
  <c r="BB123" i="1"/>
  <c r="L123" i="1" s="1"/>
  <c r="E128" i="1"/>
  <c r="AQ132" i="1"/>
  <c r="BK136" i="1"/>
  <c r="BP136" i="1" s="1"/>
  <c r="BO140" i="1"/>
  <c r="T145" i="1"/>
  <c r="AN149" i="1"/>
  <c r="BH153" i="1"/>
  <c r="W158" i="1"/>
  <c r="AI163" i="1"/>
  <c r="J169" i="1"/>
  <c r="BN175" i="1"/>
  <c r="BO183" i="1"/>
  <c r="AS192" i="1"/>
  <c r="BG201" i="1"/>
  <c r="AP212" i="1"/>
  <c r="BJ95" i="1"/>
  <c r="BK99" i="1"/>
  <c r="BP99" i="1" s="1"/>
  <c r="BO103" i="1"/>
  <c r="T108" i="1"/>
  <c r="AN112" i="1"/>
  <c r="BH116" i="1"/>
  <c r="BL120" i="1"/>
  <c r="AG125" i="1"/>
  <c r="BA129" i="1"/>
  <c r="BE133" i="1"/>
  <c r="H138" i="1"/>
  <c r="AT142" i="1"/>
  <c r="BN146" i="1"/>
  <c r="BB150" i="1"/>
  <c r="L150" i="1" s="1"/>
  <c r="E155" i="1"/>
  <c r="BE159" i="1"/>
  <c r="F165" i="1"/>
  <c r="BC171" i="1"/>
  <c r="AB179" i="1"/>
  <c r="BJ187" i="1"/>
  <c r="AM197" i="1"/>
  <c r="AV207" i="1"/>
  <c r="BH220" i="1"/>
  <c r="AY98" i="1"/>
  <c r="BC102" i="1"/>
  <c r="X107" i="1"/>
  <c r="AR111" i="1"/>
  <c r="AV115" i="1"/>
  <c r="Q120" i="1"/>
  <c r="AK124" i="1"/>
  <c r="AO128" i="1"/>
  <c r="BI132" i="1"/>
  <c r="AD137" i="1"/>
  <c r="AX141" i="1"/>
  <c r="AL145" i="1"/>
  <c r="BF149" i="1"/>
  <c r="AA154" i="1"/>
  <c r="Q159" i="1"/>
  <c r="BE164" i="1"/>
  <c r="AU170" i="1"/>
  <c r="I178" i="1"/>
  <c r="Z186" i="1"/>
  <c r="AN197" i="1"/>
  <c r="V208" i="1"/>
  <c r="AF95" i="1"/>
  <c r="BM99" i="1"/>
  <c r="AH104" i="1"/>
  <c r="V108" i="1"/>
  <c r="AP112" i="1"/>
  <c r="I117" i="1"/>
  <c r="AE121" i="1"/>
  <c r="AI125" i="1"/>
  <c r="AM129" i="1"/>
  <c r="F134" i="1"/>
  <c r="AB138" i="1"/>
  <c r="AF142" i="1"/>
  <c r="AZ146" i="1"/>
  <c r="U151" i="1"/>
  <c r="AA155" i="1"/>
  <c r="AD160" i="1"/>
  <c r="BB165" i="1"/>
  <c r="L165" i="1" s="1"/>
  <c r="BF171" i="1"/>
  <c r="O178" i="1"/>
  <c r="AD187" i="1"/>
  <c r="G198" i="1"/>
  <c r="BE207" i="1"/>
  <c r="D221" i="1"/>
  <c r="AD170" i="1"/>
  <c r="AX174" i="1"/>
  <c r="AL178" i="1"/>
  <c r="BF182" i="1"/>
  <c r="AA187" i="1"/>
  <c r="AU191" i="1"/>
  <c r="AY195" i="1"/>
  <c r="BC199" i="1"/>
  <c r="X204" i="1"/>
  <c r="AR208" i="1"/>
  <c r="AV212" i="1"/>
  <c r="S217" i="1"/>
  <c r="BI221" i="1"/>
  <c r="W173" i="1"/>
  <c r="BG177" i="1"/>
  <c r="J182" i="1"/>
  <c r="P186" i="1"/>
  <c r="AJ190" i="1"/>
  <c r="BD194" i="1"/>
  <c r="G199" i="1"/>
  <c r="AC203" i="1"/>
  <c r="AW207" i="1"/>
  <c r="R212" i="1"/>
  <c r="D216" i="1"/>
  <c r="AP220" i="1"/>
  <c r="H178" i="1"/>
  <c r="AT182" i="1"/>
  <c r="BN186" i="1"/>
  <c r="BB190" i="1"/>
  <c r="L190" i="1" s="1"/>
  <c r="E195" i="1"/>
  <c r="AQ199" i="1"/>
  <c r="BK203" i="1"/>
  <c r="BP203" i="1" s="1"/>
  <c r="BQ203" i="1" s="1"/>
  <c r="BO207" i="1"/>
  <c r="T212" i="1"/>
  <c r="AN216" i="1"/>
  <c r="AR220" i="1"/>
  <c r="BK182" i="1"/>
  <c r="BP182" i="1" s="1"/>
  <c r="BO186" i="1"/>
  <c r="T191" i="1"/>
  <c r="AN195" i="1"/>
  <c r="BH199" i="1"/>
  <c r="BL203" i="1"/>
  <c r="AG208" i="1"/>
  <c r="BA212" i="1"/>
  <c r="BE216" i="1"/>
  <c r="BJ220" i="1"/>
  <c r="AU161" i="1"/>
  <c r="AY165" i="1"/>
  <c r="BC169" i="1"/>
  <c r="X174" i="1"/>
  <c r="AR178" i="1"/>
  <c r="AV182" i="1"/>
  <c r="Q187" i="1"/>
  <c r="AK191" i="1"/>
  <c r="AO195" i="1"/>
  <c r="BI199" i="1"/>
  <c r="AD204" i="1"/>
  <c r="AX208" i="1"/>
  <c r="AL212" i="1"/>
  <c r="BF216" i="1"/>
  <c r="BK220" i="1"/>
  <c r="BP220" i="1" s="1"/>
  <c r="Y158" i="1"/>
  <c r="AS162" i="1"/>
  <c r="BM166" i="1"/>
  <c r="AH171" i="1"/>
  <c r="V175" i="1"/>
  <c r="AP179" i="1"/>
  <c r="I184" i="1"/>
  <c r="AE188" i="1"/>
  <c r="AI192" i="1"/>
  <c r="AM196" i="1"/>
  <c r="F201" i="1"/>
  <c r="AB205" i="1"/>
  <c r="AF209" i="1"/>
  <c r="AZ213" i="1"/>
  <c r="I218" i="1"/>
  <c r="BO155" i="1"/>
  <c r="T160" i="1"/>
  <c r="AN164" i="1"/>
  <c r="BH168" i="1"/>
  <c r="BL172" i="1"/>
  <c r="AG177" i="1"/>
  <c r="BA181" i="1"/>
  <c r="BE185" i="1"/>
  <c r="H190" i="1"/>
  <c r="AT194" i="1"/>
  <c r="BN198" i="1"/>
  <c r="BB202" i="1"/>
  <c r="L202" i="1" s="1"/>
  <c r="E207" i="1"/>
  <c r="AQ211" i="1"/>
  <c r="BK215" i="1"/>
  <c r="BP215" i="1" s="1"/>
  <c r="AE220" i="1"/>
  <c r="AT189" i="1"/>
  <c r="BN193" i="1"/>
  <c r="BB197" i="1"/>
  <c r="L197" i="1" s="1"/>
  <c r="E202" i="1"/>
  <c r="AQ206" i="1"/>
  <c r="BK210" i="1"/>
  <c r="BP210" i="1" s="1"/>
  <c r="BO214" i="1"/>
  <c r="AV219" i="1"/>
  <c r="AJ221" i="1"/>
  <c r="P219" i="1"/>
  <c r="AO213" i="1"/>
  <c r="AW217" i="1"/>
  <c r="AL161" i="1"/>
  <c r="BF165" i="1"/>
  <c r="AA170" i="1"/>
  <c r="AU174" i="1"/>
  <c r="AY178" i="1"/>
  <c r="BC182" i="1"/>
  <c r="X187" i="1"/>
  <c r="AR191" i="1"/>
  <c r="AV195" i="1"/>
  <c r="Q200" i="1"/>
  <c r="AK204" i="1"/>
  <c r="AO208" i="1"/>
  <c r="BI212" i="1"/>
  <c r="P217" i="1"/>
  <c r="U221" i="1"/>
  <c r="S220" i="1"/>
  <c r="I1071" i="2"/>
  <c r="I417" i="2"/>
  <c r="I255" i="2"/>
  <c r="I176" i="2"/>
  <c r="I117" i="2"/>
  <c r="I519" i="2"/>
  <c r="I387" i="2"/>
  <c r="I114" i="2"/>
  <c r="I637" i="2"/>
  <c r="I419" i="2"/>
  <c r="Y100" i="1"/>
  <c r="W106" i="1"/>
  <c r="V135" i="1"/>
  <c r="F124" i="1"/>
  <c r="AD117" i="1"/>
  <c r="R191" i="1"/>
  <c r="Z151" i="1"/>
  <c r="O123" i="1"/>
  <c r="Z175" i="1"/>
  <c r="AY154" i="1"/>
  <c r="BD110" i="1"/>
  <c r="BA162" i="1"/>
  <c r="O108" i="1"/>
  <c r="AC182" i="1"/>
  <c r="V138" i="1"/>
  <c r="R113" i="1"/>
  <c r="AR160" i="1"/>
  <c r="BM119" i="1"/>
  <c r="K119" i="1" s="1"/>
  <c r="AP170" i="1"/>
  <c r="Q114" i="1"/>
  <c r="AB167" i="1"/>
  <c r="AU115" i="1"/>
  <c r="AA158" i="1"/>
  <c r="AI114" i="1"/>
  <c r="BK162" i="1"/>
  <c r="BP162" i="1" s="1"/>
  <c r="R120" i="1"/>
  <c r="O164" i="1"/>
  <c r="BM185" i="1"/>
  <c r="AT176" i="1"/>
  <c r="Q181" i="1"/>
  <c r="BF189" i="1"/>
  <c r="AZ202" i="1"/>
  <c r="BG216" i="1"/>
  <c r="AP181" i="1"/>
  <c r="I1199" i="2"/>
  <c r="I982" i="2"/>
  <c r="I671" i="2"/>
  <c r="AY153" i="1"/>
  <c r="AK194" i="1"/>
  <c r="AM163" i="1"/>
  <c r="E184" i="1"/>
  <c r="X175" i="1"/>
  <c r="BH167" i="1"/>
  <c r="V147" i="1"/>
  <c r="I119" i="1"/>
  <c r="S204" i="1"/>
  <c r="T171" i="1"/>
  <c r="AH128" i="1"/>
  <c r="AE108" i="1"/>
  <c r="AV174" i="1"/>
  <c r="AX134" i="1"/>
  <c r="D181" i="1"/>
  <c r="AM138" i="1"/>
  <c r="W188" i="1"/>
  <c r="AL128" i="1"/>
  <c r="AR177" i="1"/>
  <c r="BB139" i="1"/>
  <c r="L139" i="1" s="1"/>
  <c r="AX177" i="1"/>
  <c r="I133" i="1"/>
  <c r="E211" i="1"/>
  <c r="Q216" i="1"/>
  <c r="I635" i="2"/>
  <c r="I42" i="2"/>
  <c r="I804" i="2"/>
  <c r="I506" i="2"/>
  <c r="I1179" i="2"/>
  <c r="I1147" i="2"/>
  <c r="I1058" i="2"/>
  <c r="I677" i="2"/>
  <c r="I1053" i="2"/>
  <c r="I1077" i="2"/>
  <c r="I832" i="2"/>
  <c r="I282" i="2"/>
  <c r="I17" i="2"/>
  <c r="I18" i="2"/>
  <c r="I19" i="2"/>
  <c r="I248" i="2"/>
  <c r="I36" i="2"/>
  <c r="I922" i="2"/>
  <c r="I299" i="2"/>
  <c r="I40" i="2"/>
  <c r="I819" i="2"/>
  <c r="I608" i="2"/>
  <c r="I309" i="2"/>
  <c r="I173" i="2"/>
  <c r="I736" i="2"/>
  <c r="I606" i="2"/>
  <c r="I312" i="2"/>
  <c r="I212" i="2"/>
  <c r="I659" i="2"/>
  <c r="I579" i="2"/>
  <c r="I476" i="2"/>
  <c r="I578" i="2"/>
  <c r="I511" i="2"/>
  <c r="I1214" i="2"/>
  <c r="I1083" i="2"/>
  <c r="I820" i="2"/>
  <c r="I1024" i="2"/>
  <c r="I954" i="2"/>
  <c r="I777" i="2"/>
  <c r="I576" i="2"/>
  <c r="I1187" i="2"/>
  <c r="I1108" i="2"/>
  <c r="I705" i="2"/>
  <c r="I172" i="2"/>
  <c r="I110" i="2"/>
  <c r="I1054" i="2"/>
  <c r="I895" i="2"/>
  <c r="I1142" i="2"/>
  <c r="I1032" i="2"/>
  <c r="I937" i="2"/>
  <c r="I912" i="2"/>
  <c r="I713" i="2"/>
  <c r="I1025" i="2"/>
  <c r="I854" i="2"/>
  <c r="I706" i="2"/>
  <c r="I411" i="2"/>
  <c r="I48" i="2"/>
  <c r="AJ104" i="1"/>
  <c r="BL100" i="1"/>
  <c r="V105" i="1"/>
  <c r="AS163" i="1"/>
  <c r="X221" i="1"/>
  <c r="BI106" i="1"/>
  <c r="T126" i="1"/>
  <c r="AL151" i="1"/>
  <c r="O184" i="1"/>
  <c r="AT122" i="1"/>
  <c r="BB101" i="1"/>
  <c r="L101" i="1" s="1"/>
  <c r="V119" i="1"/>
  <c r="AA144" i="1"/>
  <c r="AC170" i="1"/>
  <c r="U218" i="1"/>
  <c r="AG105" i="1"/>
  <c r="E124" i="1"/>
  <c r="AO145" i="1"/>
  <c r="BJ168" i="1"/>
  <c r="O212" i="1"/>
  <c r="AS139" i="1"/>
  <c r="BK168" i="1"/>
  <c r="BP168" i="1" s="1"/>
  <c r="AW212" i="1"/>
  <c r="AC96" i="1"/>
  <c r="T109" i="1"/>
  <c r="BI133" i="1"/>
  <c r="I158" i="1"/>
  <c r="AQ197" i="1"/>
  <c r="O98" i="1"/>
  <c r="BB114" i="1"/>
  <c r="L114" i="1" s="1"/>
  <c r="T136" i="1"/>
  <c r="D161" i="1"/>
  <c r="BF207" i="1"/>
  <c r="AV153" i="1"/>
  <c r="BN142" i="1"/>
  <c r="J144" i="1"/>
  <c r="AV105" i="1"/>
  <c r="I123" i="1"/>
  <c r="AG143" i="1"/>
  <c r="R169" i="1"/>
  <c r="Y102" i="1"/>
  <c r="AK217" i="1"/>
  <c r="BE102" i="1"/>
  <c r="BB119" i="1"/>
  <c r="L119" i="1" s="1"/>
  <c r="AT143" i="1"/>
  <c r="H171" i="1"/>
  <c r="X213" i="1"/>
  <c r="AY105" i="1"/>
  <c r="BN126" i="1"/>
  <c r="D146" i="1"/>
  <c r="BM176" i="1"/>
  <c r="AR99" i="1"/>
  <c r="V104" i="1"/>
  <c r="BC125" i="1"/>
  <c r="AH147" i="1"/>
  <c r="Y173" i="1"/>
  <c r="D103" i="1"/>
  <c r="AS211" i="1"/>
  <c r="AC133" i="1"/>
  <c r="AO214" i="1"/>
  <c r="R99" i="1"/>
  <c r="AT112" i="1"/>
  <c r="BL137" i="1"/>
  <c r="AS161" i="1"/>
  <c r="BL200" i="1"/>
  <c r="AH101" i="1"/>
  <c r="AF116" i="1"/>
  <c r="AK141" i="1"/>
  <c r="AT161" i="1"/>
  <c r="AR203" i="1"/>
  <c r="S97" i="1"/>
  <c r="AH110" i="1"/>
  <c r="O133" i="1"/>
  <c r="AI153" i="1"/>
  <c r="AM188" i="1"/>
  <c r="AA97" i="1"/>
  <c r="BJ101" i="1"/>
  <c r="O106" i="1"/>
  <c r="S110" i="1"/>
  <c r="W114" i="1"/>
  <c r="BG118" i="1"/>
  <c r="J123" i="1"/>
  <c r="P127" i="1"/>
  <c r="AJ131" i="1"/>
  <c r="BD135" i="1"/>
  <c r="G140" i="1"/>
  <c r="AC144" i="1"/>
  <c r="AW148" i="1"/>
  <c r="R153" i="1"/>
  <c r="AP157" i="1"/>
  <c r="BM163" i="1"/>
  <c r="K163" i="1" s="1"/>
  <c r="AS169" i="1"/>
  <c r="AB177" i="1"/>
  <c r="H185" i="1"/>
  <c r="AL195" i="1"/>
  <c r="AX204" i="1"/>
  <c r="V215" i="1"/>
  <c r="AS97" i="1"/>
  <c r="AV101" i="1"/>
  <c r="Q106" i="1"/>
  <c r="AK110" i="1"/>
  <c r="AO114" i="1"/>
  <c r="BI118" i="1"/>
  <c r="AD123" i="1"/>
  <c r="AX127" i="1"/>
  <c r="AL131" i="1"/>
  <c r="BF135" i="1"/>
  <c r="AA140" i="1"/>
  <c r="AU144" i="1"/>
  <c r="AY148" i="1"/>
  <c r="BC152" i="1"/>
  <c r="BL157" i="1"/>
  <c r="W163" i="1"/>
  <c r="BO168" i="1"/>
  <c r="Y175" i="1"/>
  <c r="S183" i="1"/>
  <c r="Z191" i="1"/>
  <c r="AJ201" i="1"/>
  <c r="AV210" i="1"/>
  <c r="BF98" i="1"/>
  <c r="AA103" i="1"/>
  <c r="AU107" i="1"/>
  <c r="AY111" i="1"/>
  <c r="BC115" i="1"/>
  <c r="X120" i="1"/>
  <c r="AR124" i="1"/>
  <c r="AV128" i="1"/>
  <c r="Q133" i="1"/>
  <c r="AK137" i="1"/>
  <c r="AO141" i="1"/>
  <c r="BI145" i="1"/>
  <c r="AD150" i="1"/>
  <c r="AX154" i="1"/>
  <c r="AA159" i="1"/>
  <c r="BM164" i="1"/>
  <c r="BF170" i="1"/>
  <c r="W178" i="1"/>
  <c r="G187" i="1"/>
  <c r="BD197" i="1"/>
  <c r="BL206" i="1"/>
  <c r="BB217" i="1"/>
  <c r="L217" i="1" s="1"/>
  <c r="BJ113" i="1"/>
  <c r="O118" i="1"/>
  <c r="S122" i="1"/>
  <c r="W126" i="1"/>
  <c r="BG130" i="1"/>
  <c r="J135" i="1"/>
  <c r="P139" i="1"/>
  <c r="AJ143" i="1"/>
  <c r="BD147" i="1"/>
  <c r="G152" i="1"/>
  <c r="AO156" i="1"/>
  <c r="I161" i="1"/>
  <c r="BK166" i="1"/>
  <c r="BP166" i="1" s="1"/>
  <c r="AI173" i="1"/>
  <c r="AB181" i="1"/>
  <c r="S189" i="1"/>
  <c r="BI198" i="1"/>
  <c r="AP209" i="1"/>
  <c r="G95" i="1"/>
  <c r="AO99" i="1"/>
  <c r="BI103" i="1"/>
  <c r="AD108" i="1"/>
  <c r="AX112" i="1"/>
  <c r="AL116" i="1"/>
  <c r="BF120" i="1"/>
  <c r="AA125" i="1"/>
  <c r="AU129" i="1"/>
  <c r="AY133" i="1"/>
  <c r="BC137" i="1"/>
  <c r="X142" i="1"/>
  <c r="AR146" i="1"/>
  <c r="AV150" i="1"/>
  <c r="Q155" i="1"/>
  <c r="AV159" i="1"/>
  <c r="BO164" i="1"/>
  <c r="U171" i="1"/>
  <c r="AA178" i="1"/>
  <c r="J186" i="1"/>
  <c r="O195" i="1"/>
  <c r="BE204" i="1"/>
  <c r="AQ213" i="1"/>
  <c r="AK96" i="1"/>
  <c r="BC100" i="1"/>
  <c r="X105" i="1"/>
  <c r="AR109" i="1"/>
  <c r="AV113" i="1"/>
  <c r="Q118" i="1"/>
  <c r="AK122" i="1"/>
  <c r="AO126" i="1"/>
  <c r="BI130" i="1"/>
  <c r="AD135" i="1"/>
  <c r="AX139" i="1"/>
  <c r="AL143" i="1"/>
  <c r="BF147" i="1"/>
  <c r="AA152" i="1"/>
  <c r="BI156" i="1"/>
  <c r="BB162" i="1"/>
  <c r="L162" i="1" s="1"/>
  <c r="BB169" i="1"/>
  <c r="L169" i="1" s="1"/>
  <c r="H177" i="1"/>
  <c r="R185" i="1"/>
  <c r="Q195" i="1"/>
  <c r="AE205" i="1"/>
  <c r="AN215" i="1"/>
  <c r="AX97" i="1"/>
  <c r="BA101" i="1"/>
  <c r="BE105" i="1"/>
  <c r="H110" i="1"/>
  <c r="AT114" i="1"/>
  <c r="BN118" i="1"/>
  <c r="BB122" i="1"/>
  <c r="L122" i="1" s="1"/>
  <c r="E127" i="1"/>
  <c r="AQ131" i="1"/>
  <c r="BK135" i="1"/>
  <c r="BP135" i="1" s="1"/>
  <c r="BO139" i="1"/>
  <c r="T144" i="1"/>
  <c r="AN148" i="1"/>
  <c r="BH152" i="1"/>
  <c r="O157" i="1"/>
  <c r="BC162" i="1"/>
  <c r="AE169" i="1"/>
  <c r="BI175" i="1"/>
  <c r="BL183" i="1"/>
  <c r="D192" i="1"/>
  <c r="AV201" i="1"/>
  <c r="BC210" i="1"/>
  <c r="AA110" i="1"/>
  <c r="AU114" i="1"/>
  <c r="AY118" i="1"/>
  <c r="BC122" i="1"/>
  <c r="X127" i="1"/>
  <c r="AR131" i="1"/>
  <c r="AV135" i="1"/>
  <c r="Q140" i="1"/>
  <c r="AK144" i="1"/>
  <c r="AO148" i="1"/>
  <c r="BI152" i="1"/>
  <c r="P157" i="1"/>
  <c r="AJ162" i="1"/>
  <c r="AD168" i="1"/>
  <c r="AA174" i="1"/>
  <c r="AJ182" i="1"/>
  <c r="AO191" i="1"/>
  <c r="O201" i="1"/>
  <c r="U210" i="1"/>
  <c r="AR95" i="1"/>
  <c r="H100" i="1"/>
  <c r="AT104" i="1"/>
  <c r="BN108" i="1"/>
  <c r="BB112" i="1"/>
  <c r="L112" i="1" s="1"/>
  <c r="E117" i="1"/>
  <c r="AQ121" i="1"/>
  <c r="BK125" i="1"/>
  <c r="BP125" i="1" s="1"/>
  <c r="BO129" i="1"/>
  <c r="T134" i="1"/>
  <c r="AN138" i="1"/>
  <c r="BH142" i="1"/>
  <c r="BL146" i="1"/>
  <c r="AG151" i="1"/>
  <c r="BG155" i="1"/>
  <c r="BL160" i="1"/>
  <c r="AU166" i="1"/>
  <c r="BH172" i="1"/>
  <c r="J180" i="1"/>
  <c r="BN188" i="1"/>
  <c r="AL198" i="1"/>
  <c r="I208" i="1"/>
  <c r="BC219" i="1"/>
  <c r="AW98" i="1"/>
  <c r="R103" i="1"/>
  <c r="D107" i="1"/>
  <c r="Z111" i="1"/>
  <c r="BJ115" i="1"/>
  <c r="O120" i="1"/>
  <c r="S124" i="1"/>
  <c r="W128" i="1"/>
  <c r="BG132" i="1"/>
  <c r="J137" i="1"/>
  <c r="P141" i="1"/>
  <c r="AJ145" i="1"/>
  <c r="BD149" i="1"/>
  <c r="G154" i="1"/>
  <c r="AS158" i="1"/>
  <c r="BC163" i="1"/>
  <c r="AJ169" i="1"/>
  <c r="AA176" i="1"/>
  <c r="AF184" i="1"/>
  <c r="S193" i="1"/>
  <c r="Y202" i="1"/>
  <c r="J213" i="1"/>
  <c r="I96" i="1"/>
  <c r="J100" i="1"/>
  <c r="P104" i="1"/>
  <c r="AJ108" i="1"/>
  <c r="BD112" i="1"/>
  <c r="G117" i="1"/>
  <c r="AC121" i="1"/>
  <c r="AW125" i="1"/>
  <c r="R130" i="1"/>
  <c r="D134" i="1"/>
  <c r="Z138" i="1"/>
  <c r="BJ142" i="1"/>
  <c r="O147" i="1"/>
  <c r="S151" i="1"/>
  <c r="Y155" i="1"/>
  <c r="G160" i="1"/>
  <c r="AC165" i="1"/>
  <c r="J172" i="1"/>
  <c r="BB179" i="1"/>
  <c r="L179" i="1" s="1"/>
  <c r="AH188" i="1"/>
  <c r="D198" i="1"/>
  <c r="O208" i="1"/>
  <c r="BM221" i="1"/>
  <c r="K221" i="1" s="1"/>
  <c r="BO98" i="1"/>
  <c r="T103" i="1"/>
  <c r="AN107" i="1"/>
  <c r="BH111" i="1"/>
  <c r="BL115" i="1"/>
  <c r="AG120" i="1"/>
  <c r="BA124" i="1"/>
  <c r="BE128" i="1"/>
  <c r="H133" i="1"/>
  <c r="AT137" i="1"/>
  <c r="BN141" i="1"/>
  <c r="BB145" i="1"/>
  <c r="L145" i="1" s="1"/>
  <c r="E150" i="1"/>
  <c r="AQ154" i="1"/>
  <c r="AJ159" i="1"/>
  <c r="G165" i="1"/>
  <c r="D171" i="1"/>
  <c r="AM178" i="1"/>
  <c r="BH186" i="1"/>
  <c r="F198" i="1"/>
  <c r="BD208" i="1"/>
  <c r="AV95" i="1"/>
  <c r="AD100" i="1"/>
  <c r="AX104" i="1"/>
  <c r="AL108" i="1"/>
  <c r="BF112" i="1"/>
  <c r="AA117" i="1"/>
  <c r="AU121" i="1"/>
  <c r="AY125" i="1"/>
  <c r="BC129" i="1"/>
  <c r="X134" i="1"/>
  <c r="AR138" i="1"/>
  <c r="AV142" i="1"/>
  <c r="Q147" i="1"/>
  <c r="AK151" i="1"/>
  <c r="AS155" i="1"/>
  <c r="AW160" i="1"/>
  <c r="F166" i="1"/>
  <c r="Q172" i="1"/>
  <c r="AO178" i="1"/>
  <c r="AJ188" i="1"/>
  <c r="AS198" i="1"/>
  <c r="W208" i="1"/>
  <c r="H166" i="1"/>
  <c r="AT170" i="1"/>
  <c r="BN174" i="1"/>
  <c r="BB178" i="1"/>
  <c r="L178" i="1" s="1"/>
  <c r="E183" i="1"/>
  <c r="AQ187" i="1"/>
  <c r="BK191" i="1"/>
  <c r="BP191" i="1" s="1"/>
  <c r="BO195" i="1"/>
  <c r="T200" i="1"/>
  <c r="AN204" i="1"/>
  <c r="BH208" i="1"/>
  <c r="BL212" i="1"/>
  <c r="AJ217" i="1"/>
  <c r="AI169" i="1"/>
  <c r="AM173" i="1"/>
  <c r="F178" i="1"/>
  <c r="AB182" i="1"/>
  <c r="AF186" i="1"/>
  <c r="AZ190" i="1"/>
  <c r="U195" i="1"/>
  <c r="Y199" i="1"/>
  <c r="AS203" i="1"/>
  <c r="BM207" i="1"/>
  <c r="AH212" i="1"/>
  <c r="V216" i="1"/>
  <c r="BG220" i="1"/>
  <c r="Z178" i="1"/>
  <c r="BJ182" i="1"/>
  <c r="O187" i="1"/>
  <c r="S191" i="1"/>
  <c r="W195" i="1"/>
  <c r="BG199" i="1"/>
  <c r="J204" i="1"/>
  <c r="P208" i="1"/>
  <c r="AJ212" i="1"/>
  <c r="BD216" i="1"/>
  <c r="BI220" i="1"/>
  <c r="J183" i="1"/>
  <c r="P187" i="1"/>
  <c r="AJ191" i="1"/>
  <c r="BD195" i="1"/>
  <c r="G200" i="1"/>
  <c r="AC204" i="1"/>
  <c r="AW208" i="1"/>
  <c r="R213" i="1"/>
  <c r="E217" i="1"/>
  <c r="J221" i="1"/>
  <c r="BK161" i="1"/>
  <c r="BP161" i="1" s="1"/>
  <c r="BO165" i="1"/>
  <c r="T170" i="1"/>
  <c r="AN174" i="1"/>
  <c r="BH178" i="1"/>
  <c r="BL182" i="1"/>
  <c r="AG187" i="1"/>
  <c r="BA191" i="1"/>
  <c r="BE195" i="1"/>
  <c r="H200" i="1"/>
  <c r="AT204" i="1"/>
  <c r="BN208" i="1"/>
  <c r="BB212" i="1"/>
  <c r="L212" i="1" s="1"/>
  <c r="F217" i="1"/>
  <c r="AE221" i="1"/>
  <c r="AO158" i="1"/>
  <c r="BI162" i="1"/>
  <c r="AD167" i="1"/>
  <c r="AX171" i="1"/>
  <c r="AL175" i="1"/>
  <c r="BF179" i="1"/>
  <c r="AA184" i="1"/>
  <c r="AU188" i="1"/>
  <c r="AY192" i="1"/>
  <c r="BC196" i="1"/>
  <c r="X201" i="1"/>
  <c r="AR205" i="1"/>
  <c r="AV209" i="1"/>
  <c r="Q214" i="1"/>
  <c r="AB218" i="1"/>
  <c r="P156" i="1"/>
  <c r="AJ160" i="1"/>
  <c r="BD164" i="1"/>
  <c r="G169" i="1"/>
  <c r="AC173" i="1"/>
  <c r="AW177" i="1"/>
  <c r="R182" i="1"/>
  <c r="D186" i="1"/>
  <c r="Z190" i="1"/>
  <c r="BJ194" i="1"/>
  <c r="O199" i="1"/>
  <c r="S203" i="1"/>
  <c r="W207" i="1"/>
  <c r="BG211" i="1"/>
  <c r="J216" i="1"/>
  <c r="AV220" i="1"/>
  <c r="BJ189" i="1"/>
  <c r="O194" i="1"/>
  <c r="S198" i="1"/>
  <c r="W202" i="1"/>
  <c r="BG206" i="1"/>
  <c r="J211" i="1"/>
  <c r="P215" i="1"/>
  <c r="BM219" i="1"/>
  <c r="K219" i="1" s="1"/>
  <c r="BC221" i="1"/>
  <c r="AG219" i="1"/>
  <c r="BE213" i="1"/>
  <c r="BN217" i="1"/>
  <c r="BB161" i="1"/>
  <c r="L161" i="1" s="1"/>
  <c r="E166" i="1"/>
  <c r="BR166" i="1" s="1"/>
  <c r="BS166" i="1" s="1"/>
  <c r="AQ170" i="1"/>
  <c r="BK174" i="1"/>
  <c r="BP174" i="1" s="1"/>
  <c r="BO178" i="1"/>
  <c r="T183" i="1"/>
  <c r="AN187" i="1"/>
  <c r="BH191" i="1"/>
  <c r="BL195" i="1"/>
  <c r="AG200" i="1"/>
  <c r="BA204" i="1"/>
  <c r="BE208" i="1"/>
  <c r="H213" i="1"/>
  <c r="AG217" i="1"/>
  <c r="AK221" i="1"/>
  <c r="AI220" i="1"/>
  <c r="I1220" i="2"/>
  <c r="I1061" i="2"/>
  <c r="I1173" i="2"/>
  <c r="I786" i="2"/>
  <c r="I532" i="2"/>
  <c r="I1178" i="2"/>
  <c r="I1060" i="2"/>
  <c r="G119" i="1"/>
  <c r="V192" i="1"/>
  <c r="BD114" i="1"/>
  <c r="R116" i="1"/>
  <c r="X181" i="1"/>
  <c r="AA134" i="1"/>
  <c r="J113" i="1"/>
  <c r="R106" i="1"/>
  <c r="AO120" i="1"/>
  <c r="AW150" i="1"/>
  <c r="AY119" i="1"/>
  <c r="AH173" i="1"/>
  <c r="I493" i="2"/>
  <c r="I298" i="2"/>
  <c r="I296" i="2"/>
  <c r="I1168" i="2"/>
  <c r="Q156" i="1"/>
  <c r="G197" i="1"/>
  <c r="AK100" i="1"/>
  <c r="AV100" i="1"/>
  <c r="AM135" i="1"/>
  <c r="BB125" i="1"/>
  <c r="L125" i="1" s="1"/>
  <c r="Q96" i="1"/>
  <c r="R167" i="1"/>
  <c r="AB140" i="1"/>
  <c r="AT129" i="1"/>
  <c r="AF102" i="1"/>
  <c r="D163" i="1"/>
  <c r="AB125" i="1"/>
  <c r="AW202" i="1"/>
  <c r="AD130" i="1"/>
  <c r="BM173" i="1"/>
  <c r="AE130" i="1"/>
  <c r="X166" i="1"/>
  <c r="BI115" i="1"/>
  <c r="BO170" i="1"/>
  <c r="AC174" i="1"/>
  <c r="AM97" i="1"/>
  <c r="F150" i="1"/>
  <c r="AQ219" i="1"/>
  <c r="BB220" i="1"/>
  <c r="L220" i="1" s="1"/>
  <c r="I654" i="2"/>
  <c r="I398" i="2"/>
  <c r="I978" i="2"/>
  <c r="I825" i="2"/>
  <c r="I522" i="2"/>
  <c r="I437" i="2"/>
  <c r="I745" i="2"/>
  <c r="I790" i="2"/>
  <c r="I332" i="2"/>
  <c r="I166" i="2"/>
  <c r="I863" i="2"/>
  <c r="I349" i="2"/>
  <c r="I104" i="2"/>
  <c r="I416" i="2"/>
  <c r="I222" i="2"/>
  <c r="I88" i="2"/>
  <c r="I868" i="2"/>
  <c r="I626" i="2"/>
  <c r="I580" i="2"/>
  <c r="I1011" i="2"/>
  <c r="I987" i="2"/>
  <c r="I928" i="2"/>
  <c r="I839" i="2"/>
  <c r="I567" i="2"/>
  <c r="I436" i="2"/>
  <c r="I288" i="2"/>
  <c r="I542" i="2"/>
  <c r="I513" i="2"/>
  <c r="I137" i="2"/>
  <c r="I20" i="2"/>
  <c r="I21" i="2"/>
  <c r="I841" i="2"/>
  <c r="I636" i="2"/>
  <c r="I393" i="2"/>
  <c r="I536" i="2"/>
  <c r="I499" i="2"/>
  <c r="I374" i="2"/>
  <c r="I389" i="2"/>
  <c r="I717" i="2"/>
  <c r="I545" i="2"/>
  <c r="I443" i="2"/>
  <c r="I303" i="2"/>
  <c r="I497" i="2"/>
  <c r="I1117" i="2"/>
  <c r="I991" i="2"/>
  <c r="I946" i="2"/>
  <c r="I1163" i="2"/>
  <c r="I1051" i="2"/>
  <c r="I906" i="2"/>
  <c r="AC107" i="1"/>
  <c r="AL104" i="1"/>
  <c r="BA109" i="1"/>
  <c r="BE166" i="1"/>
  <c r="AQ95" i="1"/>
  <c r="AP107" i="1"/>
  <c r="AG127" i="1"/>
  <c r="AY152" i="1"/>
  <c r="AM186" i="1"/>
  <c r="BG123" i="1"/>
  <c r="AI102" i="1"/>
  <c r="AI120" i="1"/>
  <c r="AN145" i="1"/>
  <c r="S172" i="1"/>
  <c r="I1273" i="2"/>
  <c r="I1268" i="2"/>
  <c r="I1263" i="2"/>
  <c r="I1266" i="2"/>
  <c r="I1261" i="2"/>
  <c r="I1251" i="2"/>
  <c r="I1270" i="2"/>
  <c r="I1267" i="2"/>
  <c r="I1259" i="2"/>
  <c r="I1271" i="2"/>
  <c r="I1254" i="2"/>
  <c r="I1264" i="2"/>
  <c r="I1272" i="2"/>
  <c r="I831" i="2"/>
  <c r="I9" i="2"/>
  <c r="BL106" i="1"/>
  <c r="U125" i="1"/>
  <c r="BD146" i="1"/>
  <c r="AX170" i="1"/>
  <c r="R215" i="1"/>
  <c r="BF140" i="1"/>
  <c r="AY170" i="1"/>
  <c r="U215" i="1"/>
  <c r="BO96" i="1"/>
  <c r="AA113" i="1"/>
  <c r="D135" i="1"/>
  <c r="AO159" i="1"/>
  <c r="BM199" i="1"/>
  <c r="K199" i="1" s="1"/>
  <c r="AY99" i="1"/>
  <c r="Z118" i="1"/>
  <c r="AG137" i="1"/>
  <c r="AV162" i="1"/>
  <c r="BG212" i="1"/>
  <c r="AK166" i="1"/>
  <c r="AL146" i="1"/>
  <c r="W96" i="1"/>
  <c r="AC106" i="1"/>
  <c r="X124" i="1"/>
  <c r="AT144" i="1"/>
  <c r="G171" i="1"/>
  <c r="Q105" i="1"/>
  <c r="AW110" i="1"/>
  <c r="AL103" i="1"/>
  <c r="BO120" i="1"/>
  <c r="BG144" i="1"/>
  <c r="BJ174" i="1"/>
  <c r="T219" i="1"/>
  <c r="AF106" i="1"/>
  <c r="I128" i="1"/>
  <c r="U147" i="1"/>
  <c r="P183" i="1"/>
  <c r="BB104" i="1"/>
  <c r="L104" i="1" s="1"/>
  <c r="BB105" i="1"/>
  <c r="L105" i="1" s="1"/>
  <c r="J128" i="1"/>
  <c r="AU148" i="1"/>
  <c r="P181" i="1"/>
  <c r="BO105" i="1"/>
  <c r="F214" i="1"/>
  <c r="BA141" i="1"/>
  <c r="H221" i="1"/>
  <c r="BO99" i="1"/>
  <c r="BG113" i="1"/>
  <c r="H140" i="1"/>
  <c r="S163" i="1"/>
  <c r="AO203" i="1"/>
  <c r="O102" i="1"/>
  <c r="AS117" i="1"/>
  <c r="AX142" i="1"/>
  <c r="T163" i="1"/>
  <c r="P206" i="1"/>
  <c r="BJ97" i="1"/>
  <c r="AU111" i="1"/>
  <c r="AB134" i="1"/>
  <c r="AV154" i="1"/>
  <c r="AI193" i="1"/>
  <c r="AQ97" i="1"/>
  <c r="I102" i="1"/>
  <c r="AE106" i="1"/>
  <c r="AI110" i="1"/>
  <c r="AM114" i="1"/>
  <c r="F119" i="1"/>
  <c r="AB123" i="1"/>
  <c r="AF127" i="1"/>
  <c r="AZ131" i="1"/>
  <c r="U136" i="1"/>
  <c r="Y140" i="1"/>
  <c r="AS144" i="1"/>
  <c r="BM148" i="1"/>
  <c r="AH153" i="1"/>
  <c r="BJ157" i="1"/>
  <c r="R164" i="1"/>
  <c r="AB170" i="1"/>
  <c r="BD177" i="1"/>
  <c r="AP185" i="1"/>
  <c r="H196" i="1"/>
  <c r="P205" i="1"/>
  <c r="BC216" i="1"/>
  <c r="BI97" i="1"/>
  <c r="BL101" i="1"/>
  <c r="AG106" i="1"/>
  <c r="BA110" i="1"/>
  <c r="BE114" i="1"/>
  <c r="H119" i="1"/>
  <c r="AT123" i="1"/>
  <c r="BN127" i="1"/>
  <c r="BB131" i="1"/>
  <c r="L131" i="1" s="1"/>
  <c r="E136" i="1"/>
  <c r="AQ140" i="1"/>
  <c r="BK144" i="1"/>
  <c r="BP144" i="1" s="1"/>
  <c r="BO148" i="1"/>
  <c r="T153" i="1"/>
  <c r="O158" i="1"/>
  <c r="AT163" i="1"/>
  <c r="V169" i="1"/>
  <c r="AZ175" i="1"/>
  <c r="AY183" i="1"/>
  <c r="BI191" i="1"/>
  <c r="F202" i="1"/>
  <c r="AW211" i="1"/>
  <c r="E99" i="1"/>
  <c r="AQ103" i="1"/>
  <c r="BK107" i="1"/>
  <c r="BP107" i="1" s="1"/>
  <c r="BQ107" i="1" s="1"/>
  <c r="BO111" i="1"/>
  <c r="T116" i="1"/>
  <c r="AN120" i="1"/>
  <c r="BH124" i="1"/>
  <c r="BL128" i="1"/>
  <c r="AG133" i="1"/>
  <c r="BA137" i="1"/>
  <c r="BE141" i="1"/>
  <c r="H146" i="1"/>
  <c r="AT150" i="1"/>
  <c r="BN154" i="1"/>
  <c r="AT159" i="1"/>
  <c r="Q165" i="1"/>
  <c r="P171" i="1"/>
  <c r="AZ178" i="1"/>
  <c r="AR187" i="1"/>
  <c r="X198" i="1"/>
  <c r="AD207" i="1"/>
  <c r="AL218" i="1"/>
  <c r="I114" i="1"/>
  <c r="AE118" i="1"/>
  <c r="AI122" i="1"/>
  <c r="AM126" i="1"/>
  <c r="F131" i="1"/>
  <c r="AB135" i="1"/>
  <c r="AF139" i="1"/>
  <c r="AZ143" i="1"/>
  <c r="U148" i="1"/>
  <c r="Y152" i="1"/>
  <c r="BG156" i="1"/>
  <c r="AH161" i="1"/>
  <c r="U167" i="1"/>
  <c r="BJ173" i="1"/>
  <c r="BH181" i="1"/>
  <c r="BB189" i="1"/>
  <c r="L189" i="1" s="1"/>
  <c r="AH199" i="1"/>
  <c r="P210" i="1"/>
  <c r="X95" i="1"/>
  <c r="BE99" i="1"/>
  <c r="H104" i="1"/>
  <c r="AT108" i="1"/>
  <c r="BN112" i="1"/>
  <c r="BB116" i="1"/>
  <c r="L116" i="1" s="1"/>
  <c r="E121" i="1"/>
  <c r="AQ125" i="1"/>
  <c r="BK129" i="1"/>
  <c r="BP129" i="1" s="1"/>
  <c r="BO133" i="1"/>
  <c r="T138" i="1"/>
  <c r="AN142" i="1"/>
  <c r="BH146" i="1"/>
  <c r="BL150" i="1"/>
  <c r="AK155" i="1"/>
  <c r="BO159" i="1"/>
  <c r="V165" i="1"/>
  <c r="AT171" i="1"/>
  <c r="BC178" i="1"/>
  <c r="AR186" i="1"/>
  <c r="AX195" i="1"/>
  <c r="X205" i="1"/>
  <c r="T214" i="1"/>
  <c r="BA96" i="1"/>
  <c r="T101" i="1"/>
  <c r="AN105" i="1"/>
  <c r="BH109" i="1"/>
  <c r="BL113" i="1"/>
  <c r="AG118" i="1"/>
  <c r="BA122" i="1"/>
  <c r="BE126" i="1"/>
  <c r="H131" i="1"/>
  <c r="AT135" i="1"/>
  <c r="BN139" i="1"/>
  <c r="BB143" i="1"/>
  <c r="L143" i="1" s="1"/>
  <c r="E148" i="1"/>
  <c r="BR148" i="1" s="1"/>
  <c r="BS148" i="1" s="1"/>
  <c r="AQ152" i="1"/>
  <c r="AF157" i="1"/>
  <c r="E163" i="1"/>
  <c r="J170" i="1"/>
  <c r="AM177" i="1"/>
  <c r="AX185" i="1"/>
  <c r="AZ195" i="1"/>
  <c r="BM205" i="1"/>
  <c r="W216" i="1"/>
  <c r="BN97" i="1"/>
  <c r="R102" i="1"/>
  <c r="D106" i="1"/>
  <c r="Z110" i="1"/>
  <c r="BJ114" i="1"/>
  <c r="O119" i="1"/>
  <c r="S123" i="1"/>
  <c r="W127" i="1"/>
  <c r="BG131" i="1"/>
  <c r="J136" i="1"/>
  <c r="P140" i="1"/>
  <c r="AJ144" i="1"/>
  <c r="BD148" i="1"/>
  <c r="G153" i="1"/>
  <c r="AG157" i="1"/>
  <c r="F163" i="1"/>
  <c r="BF169" i="1"/>
  <c r="W176" i="1"/>
  <c r="AC184" i="1"/>
  <c r="AN192" i="1"/>
  <c r="O202" i="1"/>
  <c r="V211" i="1"/>
  <c r="AQ110" i="1"/>
  <c r="BK114" i="1"/>
  <c r="BP114" i="1" s="1"/>
  <c r="BO118" i="1"/>
  <c r="T123" i="1"/>
  <c r="AN127" i="1"/>
  <c r="BH131" i="1"/>
  <c r="BL135" i="1"/>
  <c r="AG140" i="1"/>
  <c r="BA144" i="1"/>
  <c r="BE148" i="1"/>
  <c r="H153" i="1"/>
  <c r="AH157" i="1"/>
  <c r="BD162" i="1"/>
  <c r="BA168" i="1"/>
  <c r="AY174" i="1"/>
  <c r="AG183" i="1"/>
  <c r="E192" i="1"/>
  <c r="AX201" i="1"/>
  <c r="BE210" i="1"/>
  <c r="BH95" i="1"/>
  <c r="Z100" i="1"/>
  <c r="BJ104" i="1"/>
  <c r="O109" i="1"/>
  <c r="S113" i="1"/>
  <c r="W117" i="1"/>
  <c r="BG121" i="1"/>
  <c r="J126" i="1"/>
  <c r="P130" i="1"/>
  <c r="AJ134" i="1"/>
  <c r="BD138" i="1"/>
  <c r="G143" i="1"/>
  <c r="AC147" i="1"/>
  <c r="AW151" i="1"/>
  <c r="H156" i="1"/>
  <c r="S161" i="1"/>
  <c r="AA167" i="1"/>
  <c r="Q173" i="1"/>
  <c r="AR180" i="1"/>
  <c r="AF189" i="1"/>
  <c r="D199" i="1"/>
  <c r="AU208" i="1"/>
  <c r="BD220" i="1"/>
  <c r="BM98" i="1"/>
  <c r="AH103" i="1"/>
  <c r="V107" i="1"/>
  <c r="AP111" i="1"/>
  <c r="I116" i="1"/>
  <c r="AE120" i="1"/>
  <c r="AI124" i="1"/>
  <c r="AM128" i="1"/>
  <c r="F133" i="1"/>
  <c r="AB137" i="1"/>
  <c r="AF141" i="1"/>
  <c r="AZ145" i="1"/>
  <c r="U150" i="1"/>
  <c r="Y154" i="1"/>
  <c r="BL158" i="1"/>
  <c r="I164" i="1"/>
  <c r="BI169" i="1"/>
  <c r="BD176" i="1"/>
  <c r="BL184" i="1"/>
  <c r="BA193" i="1"/>
  <c r="BH202" i="1"/>
  <c r="BD213" i="1"/>
  <c r="Z96" i="1"/>
  <c r="AB100" i="1"/>
  <c r="AF104" i="1"/>
  <c r="AZ108" i="1"/>
  <c r="U113" i="1"/>
  <c r="Y117" i="1"/>
  <c r="AS121" i="1"/>
  <c r="BM125" i="1"/>
  <c r="K125" i="1" s="1"/>
  <c r="AH130" i="1"/>
  <c r="V134" i="1"/>
  <c r="AP138" i="1"/>
  <c r="I143" i="1"/>
  <c r="AE147" i="1"/>
  <c r="AI151" i="1"/>
  <c r="AQ155" i="1"/>
  <c r="AB160" i="1"/>
  <c r="AW165" i="1"/>
  <c r="AL172" i="1"/>
  <c r="O180" i="1"/>
  <c r="AI189" i="1"/>
  <c r="AO198" i="1"/>
  <c r="BC208" i="1"/>
  <c r="O95" i="1"/>
  <c r="P99" i="1"/>
  <c r="AJ103" i="1"/>
  <c r="BD107" i="1"/>
  <c r="G112" i="1"/>
  <c r="AC116" i="1"/>
  <c r="AW120" i="1"/>
  <c r="R125" i="1"/>
  <c r="D129" i="1"/>
  <c r="Z133" i="1"/>
  <c r="BJ137" i="1"/>
  <c r="O142" i="1"/>
  <c r="S146" i="1"/>
  <c r="W150" i="1"/>
  <c r="BG154" i="1"/>
  <c r="BF159" i="1"/>
  <c r="AD165" i="1"/>
  <c r="AE171" i="1"/>
  <c r="AC179" i="1"/>
  <c r="AB187" i="1"/>
  <c r="AQ198" i="1"/>
  <c r="X209" i="1"/>
  <c r="BL95" i="1"/>
  <c r="AT100" i="1"/>
  <c r="BN104" i="1"/>
  <c r="BB108" i="1"/>
  <c r="L108" i="1" s="1"/>
  <c r="E113" i="1"/>
  <c r="BR113" i="1" s="1"/>
  <c r="BS113" i="1" s="1"/>
  <c r="AQ117" i="1"/>
  <c r="BK121" i="1"/>
  <c r="BP121" i="1" s="1"/>
  <c r="BO125" i="1"/>
  <c r="T130" i="1"/>
  <c r="AN134" i="1"/>
  <c r="BH138" i="1"/>
  <c r="BL142" i="1"/>
  <c r="AG147" i="1"/>
  <c r="BA151" i="1"/>
  <c r="BK155" i="1"/>
  <c r="BP155" i="1" s="1"/>
  <c r="X161" i="1"/>
  <c r="AD166" i="1"/>
  <c r="AO172" i="1"/>
  <c r="AD179" i="1"/>
  <c r="AL189" i="1"/>
  <c r="R199" i="1"/>
  <c r="BF208" i="1"/>
  <c r="Z166" i="1"/>
  <c r="BJ170" i="1"/>
  <c r="O175" i="1"/>
  <c r="S179" i="1"/>
  <c r="W183" i="1"/>
  <c r="BG187" i="1"/>
  <c r="J192" i="1"/>
  <c r="P196" i="1"/>
  <c r="AJ200" i="1"/>
  <c r="BD204" i="1"/>
  <c r="G209" i="1"/>
  <c r="AC213" i="1"/>
  <c r="BA217" i="1"/>
  <c r="AY169" i="1"/>
  <c r="BC173" i="1"/>
  <c r="X178" i="1"/>
  <c r="AR182" i="1"/>
  <c r="AV186" i="1"/>
  <c r="Q191" i="1"/>
  <c r="AK195" i="1"/>
  <c r="AO199" i="1"/>
  <c r="BI203" i="1"/>
  <c r="AD208" i="1"/>
  <c r="AX212" i="1"/>
  <c r="AL216" i="1"/>
  <c r="G221" i="1"/>
  <c r="AP178" i="1"/>
  <c r="I183" i="1"/>
  <c r="AE187" i="1"/>
  <c r="AI191" i="1"/>
  <c r="AM195" i="1"/>
  <c r="F200" i="1"/>
  <c r="AB204" i="1"/>
  <c r="AF208" i="1"/>
  <c r="AZ212" i="1"/>
  <c r="D217" i="1"/>
  <c r="I221" i="1"/>
  <c r="AB183" i="1"/>
  <c r="AF187" i="1"/>
  <c r="AZ191" i="1"/>
  <c r="U196" i="1"/>
  <c r="Y200" i="1"/>
  <c r="AS204" i="1"/>
  <c r="BM208" i="1"/>
  <c r="K208" i="1" s="1"/>
  <c r="AH213" i="1"/>
  <c r="X217" i="1"/>
  <c r="AD221" i="1"/>
  <c r="J162" i="1"/>
  <c r="P166" i="1"/>
  <c r="AJ170" i="1"/>
  <c r="BD174" i="1"/>
  <c r="G179" i="1"/>
  <c r="AC183" i="1"/>
  <c r="AW187" i="1"/>
  <c r="R192" i="1"/>
  <c r="D196" i="1"/>
  <c r="Z200" i="1"/>
  <c r="BJ204" i="1"/>
  <c r="O209" i="1"/>
  <c r="S213" i="1"/>
  <c r="Y217" i="1"/>
  <c r="AX221" i="1"/>
  <c r="BE158" i="1"/>
  <c r="H163" i="1"/>
  <c r="AT167" i="1"/>
  <c r="BN171" i="1"/>
  <c r="BB175" i="1"/>
  <c r="L175" i="1" s="1"/>
  <c r="E180" i="1"/>
  <c r="AQ184" i="1"/>
  <c r="BK188" i="1"/>
  <c r="BP188" i="1" s="1"/>
  <c r="BO192" i="1"/>
  <c r="T197" i="1"/>
  <c r="AN201" i="1"/>
  <c r="BH205" i="1"/>
  <c r="BL209" i="1"/>
  <c r="AG214" i="1"/>
  <c r="AS218" i="1"/>
  <c r="AF156" i="1"/>
  <c r="AZ160" i="1"/>
  <c r="U165" i="1"/>
  <c r="Y169" i="1"/>
  <c r="AS173" i="1"/>
  <c r="BM177" i="1"/>
  <c r="AH182" i="1"/>
  <c r="V186" i="1"/>
  <c r="AP190" i="1"/>
  <c r="I195" i="1"/>
  <c r="AE199" i="1"/>
  <c r="AI203" i="1"/>
  <c r="AM207" i="1"/>
  <c r="F212" i="1"/>
  <c r="AB216" i="1"/>
  <c r="BM220" i="1"/>
  <c r="K220" i="1" s="1"/>
  <c r="I190" i="1"/>
  <c r="AE194" i="1"/>
  <c r="AI198" i="1"/>
  <c r="AM202" i="1"/>
  <c r="F207" i="1"/>
  <c r="AB211" i="1"/>
  <c r="AF215" i="1"/>
  <c r="O220" i="1"/>
  <c r="AH215" i="1"/>
  <c r="AX219" i="1"/>
  <c r="D214" i="1"/>
  <c r="P218" i="1"/>
  <c r="S162" i="1"/>
  <c r="W166" i="1"/>
  <c r="BG170" i="1"/>
  <c r="J175" i="1"/>
  <c r="P179" i="1"/>
  <c r="AJ183" i="1"/>
  <c r="BD187" i="1"/>
  <c r="G192" i="1"/>
  <c r="AC196" i="1"/>
  <c r="AW200" i="1"/>
  <c r="R205" i="1"/>
  <c r="D209" i="1"/>
  <c r="Z213" i="1"/>
  <c r="AX217" i="1"/>
  <c r="BA221" i="1"/>
  <c r="AY220" i="1"/>
  <c r="I98" i="2"/>
  <c r="BM110" i="1"/>
  <c r="D104" i="1"/>
  <c r="AR159" i="1"/>
  <c r="BN99" i="1"/>
  <c r="AP183" i="1"/>
  <c r="AY173" i="1"/>
  <c r="BC146" i="1"/>
  <c r="S100" i="1"/>
  <c r="AW138" i="1"/>
  <c r="G188" i="1"/>
  <c r="BG135" i="1"/>
  <c r="AC192" i="1"/>
  <c r="AA146" i="1"/>
  <c r="S216" i="1"/>
  <c r="D132" i="1"/>
  <c r="AD191" i="1"/>
  <c r="AJ133" i="1"/>
  <c r="T211" i="1"/>
  <c r="AH134" i="1"/>
  <c r="AP207" i="1"/>
  <c r="J147" i="1"/>
  <c r="R217" i="1"/>
  <c r="AM149" i="1"/>
  <c r="D97" i="1"/>
  <c r="AX135" i="1"/>
  <c r="BD209" i="1"/>
  <c r="AV136" i="1"/>
  <c r="AD203" i="1"/>
  <c r="U140" i="1"/>
  <c r="AK203" i="1"/>
  <c r="BJ132" i="1"/>
  <c r="AM204" i="1"/>
  <c r="AE207" i="1"/>
  <c r="BO201" i="1"/>
  <c r="AD198" i="1"/>
  <c r="AU198" i="1"/>
  <c r="AE177" i="1"/>
  <c r="AS215" i="1"/>
  <c r="AW182" i="1"/>
  <c r="BF158" i="1"/>
  <c r="Q193" i="1"/>
  <c r="AT218" i="1"/>
  <c r="AB212" i="1"/>
  <c r="AZ215" i="1"/>
  <c r="I615" i="2"/>
  <c r="I120" i="2"/>
  <c r="I52" i="2"/>
  <c r="I164" i="2"/>
  <c r="I39" i="2"/>
  <c r="I425" i="2"/>
  <c r="I463" i="2"/>
  <c r="I228" i="2"/>
  <c r="I80" i="2"/>
  <c r="I459" i="2"/>
  <c r="I401" i="2"/>
  <c r="I109" i="2"/>
  <c r="I1207" i="2"/>
  <c r="I1095" i="2"/>
  <c r="I959" i="2"/>
  <c r="P168" i="1"/>
  <c r="BA160" i="1"/>
  <c r="AV107" i="1"/>
  <c r="AK187" i="1"/>
  <c r="AI136" i="1"/>
  <c r="AE117" i="1"/>
  <c r="AF153" i="1"/>
  <c r="X146" i="1"/>
  <c r="E130" i="1"/>
  <c r="BR130" i="1" s="1"/>
  <c r="BS130" i="1" s="1"/>
  <c r="AF201" i="1"/>
  <c r="U126" i="1"/>
  <c r="BJ180" i="1"/>
  <c r="AI127" i="1"/>
  <c r="R184" i="1"/>
  <c r="BB137" i="1"/>
  <c r="L137" i="1" s="1"/>
  <c r="O196" i="1"/>
  <c r="AS119" i="1"/>
  <c r="AB169" i="1"/>
  <c r="AI112" i="1"/>
  <c r="BM150" i="1"/>
  <c r="X100" i="1"/>
  <c r="AA147" i="1"/>
  <c r="AP121" i="1"/>
  <c r="AH172" i="1"/>
  <c r="AD120" i="1"/>
  <c r="AG159" i="1"/>
  <c r="AN101" i="1"/>
  <c r="E144" i="1"/>
  <c r="AW199" i="1"/>
  <c r="BO119" i="1"/>
  <c r="H154" i="1"/>
  <c r="BD215" i="1"/>
  <c r="AR127" i="1"/>
  <c r="E158" i="1"/>
  <c r="AT216" i="1"/>
  <c r="AP128" i="1"/>
  <c r="AI164" i="1"/>
  <c r="BM215" i="1"/>
  <c r="AL194" i="1"/>
  <c r="Z172" i="1"/>
  <c r="J198" i="1"/>
  <c r="BL176" i="1"/>
  <c r="H194" i="1"/>
  <c r="BB185" i="1"/>
  <c r="L185" i="1" s="1"/>
  <c r="BH215" i="1"/>
  <c r="BC185" i="1"/>
  <c r="AO211" i="1"/>
  <c r="AZ165" i="1"/>
  <c r="V191" i="1"/>
  <c r="AY221" i="1"/>
  <c r="AN180" i="1"/>
  <c r="BN214" i="1"/>
  <c r="D219" i="1"/>
  <c r="I1078" i="2"/>
  <c r="I596" i="2"/>
  <c r="I373" i="2"/>
  <c r="I252" i="2"/>
  <c r="I934" i="2"/>
  <c r="I784" i="2"/>
  <c r="I259" i="2"/>
  <c r="I90" i="2"/>
  <c r="I1072" i="2"/>
  <c r="I660" i="2"/>
  <c r="I620" i="2"/>
  <c r="I498" i="2"/>
  <c r="I256" i="2"/>
  <c r="I130" i="2"/>
  <c r="I613" i="2"/>
  <c r="I340" i="2"/>
  <c r="I1056" i="2"/>
  <c r="I632" i="2"/>
  <c r="I527" i="2"/>
  <c r="I495" i="2"/>
  <c r="I254" i="2"/>
  <c r="I136" i="2"/>
  <c r="I178" i="2"/>
  <c r="I402" i="2"/>
  <c r="I162" i="2"/>
  <c r="I887" i="2"/>
  <c r="I492" i="2"/>
  <c r="I336" i="2"/>
  <c r="I285" i="2"/>
  <c r="I92" i="2"/>
  <c r="I1136" i="2"/>
  <c r="I779" i="2"/>
  <c r="I191" i="2"/>
  <c r="I771" i="2"/>
  <c r="I426" i="2"/>
  <c r="I138" i="2"/>
  <c r="I903" i="2"/>
  <c r="I394" i="2"/>
  <c r="I325" i="2"/>
  <c r="I862" i="2"/>
  <c r="I471" i="2"/>
  <c r="I87" i="2"/>
  <c r="I197" i="2"/>
  <c r="I848" i="2"/>
  <c r="I763" i="2"/>
  <c r="I1150" i="2"/>
  <c r="I1140" i="2"/>
  <c r="I966" i="2"/>
  <c r="I627" i="2"/>
  <c r="I886" i="2"/>
  <c r="I516" i="2"/>
  <c r="I196" i="2"/>
  <c r="I735" i="2"/>
  <c r="I345" i="2"/>
  <c r="I381" i="2"/>
  <c r="I1149" i="2"/>
  <c r="I604" i="2"/>
  <c r="I213" i="2"/>
  <c r="I202" i="2"/>
  <c r="I37" i="2"/>
  <c r="I1120" i="2"/>
  <c r="I489" i="2"/>
  <c r="I207" i="2"/>
  <c r="I920" i="2"/>
  <c r="I574" i="2"/>
  <c r="I575" i="2"/>
  <c r="I945" i="2"/>
  <c r="I306" i="2"/>
  <c r="I821" i="2"/>
  <c r="AJ110" i="1"/>
  <c r="BM108" i="1"/>
  <c r="K108" i="1" s="1"/>
  <c r="V114" i="1"/>
  <c r="AL168" i="1"/>
  <c r="P96" i="1"/>
  <c r="W108" i="1"/>
  <c r="AT128" i="1"/>
  <c r="BL153" i="1"/>
  <c r="O189" i="1"/>
  <c r="R126" i="1"/>
  <c r="P103" i="1"/>
  <c r="AV121" i="1"/>
  <c r="BB146" i="1"/>
  <c r="L146" i="1" s="1"/>
  <c r="J174" i="1"/>
  <c r="E95" i="1"/>
  <c r="AS107" i="1"/>
  <c r="AH126" i="1"/>
  <c r="O149" i="1"/>
  <c r="V172" i="1"/>
  <c r="W218" i="1"/>
  <c r="Q143" i="1"/>
  <c r="AQ172" i="1"/>
  <c r="AI218" i="1"/>
  <c r="AP97" i="1"/>
  <c r="BA114" i="1"/>
  <c r="S136" i="1"/>
  <c r="AQ162" i="1"/>
  <c r="AG202" i="1"/>
  <c r="AH100" i="1"/>
  <c r="AM119" i="1"/>
  <c r="AT138" i="1"/>
  <c r="Q164" i="1"/>
  <c r="F219" i="1"/>
  <c r="AZ173" i="1"/>
  <c r="BN148" i="1"/>
  <c r="AE100" i="1"/>
  <c r="H107" i="1"/>
  <c r="AM125" i="1"/>
  <c r="BG145" i="1"/>
  <c r="BI174" i="1"/>
  <c r="H108" i="1"/>
  <c r="N96" i="1"/>
  <c r="S104" i="1"/>
  <c r="Z124" i="1"/>
  <c r="S147" i="1"/>
  <c r="BK176" i="1"/>
  <c r="BP176" i="1" s="1"/>
  <c r="V95" i="1"/>
  <c r="BL107" i="1"/>
  <c r="X129" i="1"/>
  <c r="AH148" i="1"/>
  <c r="AJ185" i="1"/>
  <c r="AC108" i="1"/>
  <c r="AI106" i="1"/>
  <c r="Y129" i="1"/>
  <c r="BH149" i="1"/>
  <c r="R183" i="1"/>
  <c r="BI108" i="1"/>
  <c r="F221" i="1"/>
  <c r="X145" i="1"/>
  <c r="AM95" i="1"/>
  <c r="AX100" i="1"/>
  <c r="R115" i="1"/>
  <c r="AJ141" i="1"/>
  <c r="BG164" i="1"/>
  <c r="Z208" i="1"/>
  <c r="BO102" i="1"/>
  <c r="BF118" i="1"/>
  <c r="BK143" i="1"/>
  <c r="BP143" i="1" s="1"/>
  <c r="BQ143" i="1" s="1"/>
  <c r="BH164" i="1"/>
  <c r="AC208" i="1"/>
  <c r="AL98" i="1"/>
  <c r="BH112" i="1"/>
  <c r="AO135" i="1"/>
  <c r="Y157" i="1"/>
  <c r="I196" i="1"/>
  <c r="BG97" i="1"/>
  <c r="AA102" i="1"/>
  <c r="AU106" i="1"/>
  <c r="AY110" i="1"/>
  <c r="BC114" i="1"/>
  <c r="X119" i="1"/>
  <c r="AR123" i="1"/>
  <c r="AV127" i="1"/>
  <c r="Q132" i="1"/>
  <c r="AK136" i="1"/>
  <c r="AO140" i="1"/>
  <c r="BI144" i="1"/>
  <c r="AD149" i="1"/>
  <c r="AX153" i="1"/>
  <c r="AF158" i="1"/>
  <c r="AO164" i="1"/>
  <c r="BC170" i="1"/>
  <c r="R178" i="1"/>
  <c r="AG186" i="1"/>
  <c r="AR196" i="1"/>
  <c r="AY205" i="1"/>
  <c r="AU217" i="1"/>
  <c r="H98" i="1"/>
  <c r="AC102" i="1"/>
  <c r="AW106" i="1"/>
  <c r="R111" i="1"/>
  <c r="D115" i="1"/>
  <c r="Z119" i="1"/>
  <c r="BJ123" i="1"/>
  <c r="O128" i="1"/>
  <c r="S132" i="1"/>
  <c r="W136" i="1"/>
  <c r="BG140" i="1"/>
  <c r="J145" i="1"/>
  <c r="P149" i="1"/>
  <c r="AJ153" i="1"/>
  <c r="AH158" i="1"/>
  <c r="BO163" i="1"/>
  <c r="AV169" i="1"/>
  <c r="AP176" i="1"/>
  <c r="P184" i="1"/>
  <c r="AA192" i="1"/>
  <c r="AP202" i="1"/>
  <c r="Q212" i="1"/>
  <c r="W99" i="1"/>
  <c r="BG103" i="1"/>
  <c r="J108" i="1"/>
  <c r="P112" i="1"/>
  <c r="AJ116" i="1"/>
  <c r="BD120" i="1"/>
  <c r="G125" i="1"/>
  <c r="AC129" i="1"/>
  <c r="AW133" i="1"/>
  <c r="R138" i="1"/>
  <c r="D142" i="1"/>
  <c r="Z146" i="1"/>
  <c r="BJ150" i="1"/>
  <c r="O155" i="1"/>
  <c r="BM159" i="1"/>
  <c r="K159" i="1" s="1"/>
  <c r="AN165" i="1"/>
  <c r="AP171" i="1"/>
  <c r="AN179" i="1"/>
  <c r="I188" i="1"/>
  <c r="BG198" i="1"/>
  <c r="BN207" i="1"/>
  <c r="Y219" i="1"/>
  <c r="AA114" i="1"/>
  <c r="AU118" i="1"/>
  <c r="AY122" i="1"/>
  <c r="BC126" i="1"/>
  <c r="X131" i="1"/>
  <c r="AR135" i="1"/>
  <c r="AV139" i="1"/>
  <c r="Q144" i="1"/>
  <c r="AK148" i="1"/>
  <c r="AO152" i="1"/>
  <c r="H157" i="1"/>
  <c r="BC161" i="1"/>
  <c r="AQ167" i="1"/>
  <c r="S174" i="1"/>
  <c r="Y182" i="1"/>
  <c r="AB190" i="1"/>
  <c r="AK200" i="1"/>
  <c r="AX210" i="1"/>
  <c r="AN95" i="1"/>
  <c r="D100" i="1"/>
  <c r="Z104" i="1"/>
  <c r="BJ108" i="1"/>
  <c r="O113" i="1"/>
  <c r="S117" i="1"/>
  <c r="W121" i="1"/>
  <c r="BG125" i="1"/>
  <c r="J130" i="1"/>
  <c r="P134" i="1"/>
  <c r="AJ138" i="1"/>
  <c r="BD142" i="1"/>
  <c r="G147" i="1"/>
  <c r="AC151" i="1"/>
  <c r="BC155" i="1"/>
  <c r="V160" i="1"/>
  <c r="AQ165" i="1"/>
  <c r="AB172" i="1"/>
  <c r="O179" i="1"/>
  <c r="J187" i="1"/>
  <c r="Q196" i="1"/>
  <c r="BL205" i="1"/>
  <c r="BG214" i="1"/>
  <c r="Q97" i="1"/>
  <c r="AJ101" i="1"/>
  <c r="BD105" i="1"/>
  <c r="G110" i="1"/>
  <c r="AC114" i="1"/>
  <c r="AW118" i="1"/>
  <c r="R123" i="1"/>
  <c r="D127" i="1"/>
  <c r="Z131" i="1"/>
  <c r="BJ135" i="1"/>
  <c r="O140" i="1"/>
  <c r="S144" i="1"/>
  <c r="W148" i="1"/>
  <c r="BG152" i="1"/>
  <c r="AX157" i="1"/>
  <c r="AD163" i="1"/>
  <c r="AM170" i="1"/>
  <c r="AE178" i="1"/>
  <c r="AS186" i="1"/>
  <c r="S196" i="1"/>
  <c r="AG206" i="1"/>
  <c r="AZ218" i="1"/>
  <c r="N98" i="1"/>
  <c r="AH102" i="1"/>
  <c r="V106" i="1"/>
  <c r="AP110" i="1"/>
  <c r="I115" i="1"/>
  <c r="AE119" i="1"/>
  <c r="AI123" i="1"/>
  <c r="AM127" i="1"/>
  <c r="F132" i="1"/>
  <c r="AB136" i="1"/>
  <c r="AF140" i="1"/>
  <c r="AZ144" i="1"/>
  <c r="U149" i="1"/>
  <c r="Y153" i="1"/>
  <c r="AY157" i="1"/>
  <c r="AE163" i="1"/>
  <c r="AN170" i="1"/>
  <c r="BA176" i="1"/>
  <c r="BI184" i="1"/>
  <c r="F193" i="1"/>
  <c r="BD202" i="1"/>
  <c r="BJ211" i="1"/>
  <c r="BG110" i="1"/>
  <c r="J115" i="1"/>
  <c r="P119" i="1"/>
  <c r="AJ123" i="1"/>
  <c r="BD127" i="1"/>
  <c r="G132" i="1"/>
  <c r="AC136" i="1"/>
  <c r="AW140" i="1"/>
  <c r="R145" i="1"/>
  <c r="D149" i="1"/>
  <c r="Z153" i="1"/>
  <c r="AZ157" i="1"/>
  <c r="J163" i="1"/>
  <c r="H169" i="1"/>
  <c r="G175" i="1"/>
  <c r="BM183" i="1"/>
  <c r="K183" i="1" s="1"/>
  <c r="AP192" i="1"/>
  <c r="Q202" i="1"/>
  <c r="AC211" i="1"/>
  <c r="G96" i="1"/>
  <c r="AP100" i="1"/>
  <c r="I105" i="1"/>
  <c r="AE109" i="1"/>
  <c r="AI113" i="1"/>
  <c r="AM117" i="1"/>
  <c r="F122" i="1"/>
  <c r="AB126" i="1"/>
  <c r="AF130" i="1"/>
  <c r="AZ134" i="1"/>
  <c r="U139" i="1"/>
  <c r="Y143" i="1"/>
  <c r="AS147" i="1"/>
  <c r="BM151" i="1"/>
  <c r="K151" i="1" s="1"/>
  <c r="AB156" i="1"/>
  <c r="AN161" i="1"/>
  <c r="AY167" i="1"/>
  <c r="AP173" i="1"/>
  <c r="F181" i="1"/>
  <c r="BO189" i="1"/>
  <c r="AP199" i="1"/>
  <c r="T209" i="1"/>
  <c r="BH221" i="1"/>
  <c r="AD99" i="1"/>
  <c r="AX103" i="1"/>
  <c r="AL107" i="1"/>
  <c r="BF111" i="1"/>
  <c r="AA116" i="1"/>
  <c r="AU120" i="1"/>
  <c r="AY124" i="1"/>
  <c r="BC128" i="1"/>
  <c r="X133" i="1"/>
  <c r="AR137" i="1"/>
  <c r="AV141" i="1"/>
  <c r="Q146" i="1"/>
  <c r="AK150" i="1"/>
  <c r="AO154" i="1"/>
  <c r="O159" i="1"/>
  <c r="AF164" i="1"/>
  <c r="R170" i="1"/>
  <c r="S177" i="1"/>
  <c r="AB185" i="1"/>
  <c r="U194" i="1"/>
  <c r="AB203" i="1"/>
  <c r="AC214" i="1"/>
  <c r="AP96" i="1"/>
  <c r="AR100" i="1"/>
  <c r="AV104" i="1"/>
  <c r="Q109" i="1"/>
  <c r="AK113" i="1"/>
  <c r="AO117" i="1"/>
  <c r="BI121" i="1"/>
  <c r="AD126" i="1"/>
  <c r="AX130" i="1"/>
  <c r="AL134" i="1"/>
  <c r="BF138" i="1"/>
  <c r="AA143" i="1"/>
  <c r="AU147" i="1"/>
  <c r="AY151" i="1"/>
  <c r="BI155" i="1"/>
  <c r="AU160" i="1"/>
  <c r="AB166" i="1"/>
  <c r="BM172" i="1"/>
  <c r="AU180" i="1"/>
  <c r="AR190" i="1"/>
  <c r="H199" i="1"/>
  <c r="W209" i="1"/>
  <c r="AE95" i="1"/>
  <c r="AF99" i="1"/>
  <c r="AZ103" i="1"/>
  <c r="U108" i="1"/>
  <c r="Y112" i="1"/>
  <c r="AS116" i="1"/>
  <c r="BM120" i="1"/>
  <c r="AH125" i="1"/>
  <c r="V129" i="1"/>
  <c r="AP133" i="1"/>
  <c r="I138" i="1"/>
  <c r="AE142" i="1"/>
  <c r="AI146" i="1"/>
  <c r="AM150" i="1"/>
  <c r="F155" i="1"/>
  <c r="H160" i="1"/>
  <c r="AX165" i="1"/>
  <c r="BE171" i="1"/>
  <c r="BD179" i="1"/>
  <c r="AI188" i="1"/>
  <c r="Q199" i="1"/>
  <c r="BH209" i="1"/>
  <c r="AB96" i="1"/>
  <c r="BJ100" i="1"/>
  <c r="O105" i="1"/>
  <c r="S109" i="1"/>
  <c r="W113" i="1"/>
  <c r="BG117" i="1"/>
  <c r="J122" i="1"/>
  <c r="P126" i="1"/>
  <c r="AJ130" i="1"/>
  <c r="BD134" i="1"/>
  <c r="G139" i="1"/>
  <c r="AC143" i="1"/>
  <c r="AW147" i="1"/>
  <c r="R152" i="1"/>
  <c r="AH156" i="1"/>
  <c r="AR161" i="1"/>
  <c r="BB166" i="1"/>
  <c r="L166" i="1" s="1"/>
  <c r="BO172" i="1"/>
  <c r="BH179" i="1"/>
  <c r="J190" i="1"/>
  <c r="BA199" i="1"/>
  <c r="Z209" i="1"/>
  <c r="AP166" i="1"/>
  <c r="I171" i="1"/>
  <c r="AE175" i="1"/>
  <c r="AI179" i="1"/>
  <c r="AM183" i="1"/>
  <c r="F188" i="1"/>
  <c r="AB192" i="1"/>
  <c r="AF196" i="1"/>
  <c r="AZ200" i="1"/>
  <c r="U205" i="1"/>
  <c r="Y209" i="1"/>
  <c r="AS213" i="1"/>
  <c r="T218" i="1"/>
  <c r="BO169" i="1"/>
  <c r="T174" i="1"/>
  <c r="AN178" i="1"/>
  <c r="BH182" i="1"/>
  <c r="BL186" i="1"/>
  <c r="AG191" i="1"/>
  <c r="BA195" i="1"/>
  <c r="BE199" i="1"/>
  <c r="H204" i="1"/>
  <c r="AT208" i="1"/>
  <c r="BN212" i="1"/>
  <c r="BB216" i="1"/>
  <c r="L216" i="1" s="1"/>
  <c r="AA221" i="1"/>
  <c r="BF178" i="1"/>
  <c r="AA183" i="1"/>
  <c r="AU187" i="1"/>
  <c r="AY191" i="1"/>
  <c r="BC195" i="1"/>
  <c r="X200" i="1"/>
  <c r="AR204" i="1"/>
  <c r="AV208" i="1"/>
  <c r="Q213" i="1"/>
  <c r="W217" i="1"/>
  <c r="AC221" i="1"/>
  <c r="AR183" i="1"/>
  <c r="AV187" i="1"/>
  <c r="Q192" i="1"/>
  <c r="AK196" i="1"/>
  <c r="AO200" i="1"/>
  <c r="BI204" i="1"/>
  <c r="AD209" i="1"/>
  <c r="AX213" i="1"/>
  <c r="AO217" i="1"/>
  <c r="AW221" i="1"/>
  <c r="AB162" i="1"/>
  <c r="AF166" i="1"/>
  <c r="AZ170" i="1"/>
  <c r="U175" i="1"/>
  <c r="Y179" i="1"/>
  <c r="AS183" i="1"/>
  <c r="BM187" i="1"/>
  <c r="AH192" i="1"/>
  <c r="V196" i="1"/>
  <c r="AP200" i="1"/>
  <c r="I205" i="1"/>
  <c r="AE209" i="1"/>
  <c r="AI213" i="1"/>
  <c r="AP217" i="1"/>
  <c r="R155" i="1"/>
  <c r="D159" i="1"/>
  <c r="Z163" i="1"/>
  <c r="BJ167" i="1"/>
  <c r="O172" i="1"/>
  <c r="S176" i="1"/>
  <c r="W180" i="1"/>
  <c r="BG184" i="1"/>
  <c r="J189" i="1"/>
  <c r="P193" i="1"/>
  <c r="AJ197" i="1"/>
  <c r="BD201" i="1"/>
  <c r="G206" i="1"/>
  <c r="AC210" i="1"/>
  <c r="AW214" i="1"/>
  <c r="BJ218" i="1"/>
  <c r="AV156" i="1"/>
  <c r="Q161" i="1"/>
  <c r="AK165" i="1"/>
  <c r="AO169" i="1"/>
  <c r="BI173" i="1"/>
  <c r="AD178" i="1"/>
  <c r="AX182" i="1"/>
  <c r="AL186" i="1"/>
  <c r="BF190" i="1"/>
  <c r="AA195" i="1"/>
  <c r="AU199" i="1"/>
  <c r="AY203" i="1"/>
  <c r="BC207" i="1"/>
  <c r="X212" i="1"/>
  <c r="AR216" i="1"/>
  <c r="O221" i="1"/>
  <c r="AA190" i="1"/>
  <c r="AU194" i="1"/>
  <c r="AY198" i="1"/>
  <c r="BC202" i="1"/>
  <c r="X207" i="1"/>
  <c r="AR211" i="1"/>
  <c r="AV215" i="1"/>
  <c r="AF220" i="1"/>
  <c r="AX215" i="1"/>
  <c r="BO219" i="1"/>
  <c r="V214" i="1"/>
  <c r="AG218" i="1"/>
  <c r="AI162" i="1"/>
  <c r="AM166" i="1"/>
  <c r="F171" i="1"/>
  <c r="AB175" i="1"/>
  <c r="AF179" i="1"/>
  <c r="AZ183" i="1"/>
  <c r="U188" i="1"/>
  <c r="Y192" i="1"/>
  <c r="AS196" i="1"/>
  <c r="BM200" i="1"/>
  <c r="K200" i="1" s="1"/>
  <c r="AH205" i="1"/>
  <c r="V209" i="1"/>
  <c r="AP213" i="1"/>
  <c r="BO217" i="1"/>
  <c r="BK216" i="1"/>
  <c r="BP216" i="1" s="1"/>
  <c r="BO220" i="1"/>
  <c r="I125" i="2"/>
  <c r="I823" i="2"/>
  <c r="I504" i="2"/>
  <c r="I53" i="2"/>
  <c r="S199" i="1"/>
  <c r="AS133" i="1"/>
  <c r="BI101" i="1"/>
  <c r="BA182" i="1"/>
  <c r="W200" i="1"/>
  <c r="Z161" i="1"/>
  <c r="BA177" i="1"/>
  <c r="BM105" i="1"/>
  <c r="K105" i="1" s="1"/>
  <c r="AL125" i="1"/>
  <c r="AV155" i="1"/>
  <c r="W104" i="1"/>
  <c r="D147" i="1"/>
  <c r="BC197" i="1"/>
  <c r="J140" i="1"/>
  <c r="BA203" i="1"/>
  <c r="AU150" i="1"/>
  <c r="BL97" i="1"/>
  <c r="BJ140" i="1"/>
  <c r="AS201" i="1"/>
  <c r="P129" i="1"/>
  <c r="AF191" i="1"/>
  <c r="Y121" i="1"/>
  <c r="AQ160" i="1"/>
  <c r="Z121" i="1"/>
  <c r="AN155" i="1"/>
  <c r="AZ102" i="1"/>
  <c r="AI145" i="1"/>
  <c r="BC194" i="1"/>
  <c r="AK118" i="1"/>
  <c r="AT173" i="1"/>
  <c r="AA111" i="1"/>
  <c r="AO149" i="1"/>
  <c r="AP101" i="1"/>
  <c r="BM152" i="1"/>
  <c r="K152" i="1" s="1"/>
  <c r="G107" i="1"/>
  <c r="BG149" i="1"/>
  <c r="U173" i="1"/>
  <c r="AM215" i="1"/>
  <c r="AN210" i="1"/>
  <c r="AL206" i="1"/>
  <c r="X211" i="1"/>
  <c r="AI181" i="1"/>
  <c r="J157" i="1"/>
  <c r="D191" i="1"/>
  <c r="AU167" i="1"/>
  <c r="AO201" i="1"/>
  <c r="BI200" i="1"/>
  <c r="BN219" i="1"/>
  <c r="BM168" i="1"/>
  <c r="K168" i="1" s="1"/>
  <c r="AI194" i="1"/>
  <c r="I944" i="2"/>
  <c r="I719" i="2"/>
  <c r="I183" i="2"/>
  <c r="I1223" i="2"/>
  <c r="I1017" i="2"/>
  <c r="I815" i="2"/>
  <c r="I244" i="2"/>
  <c r="AE97" i="1"/>
  <c r="BB160" i="1"/>
  <c r="L160" i="1" s="1"/>
  <c r="T178" i="1"/>
  <c r="V130" i="1"/>
  <c r="F161" i="1"/>
  <c r="AB101" i="1"/>
  <c r="W141" i="1"/>
  <c r="T107" i="1"/>
  <c r="BO106" i="1"/>
  <c r="BA104" i="1"/>
  <c r="AQ134" i="1"/>
  <c r="T182" i="1"/>
  <c r="AI100" i="1"/>
  <c r="Y130" i="1"/>
  <c r="AC161" i="1"/>
  <c r="BM101" i="1"/>
  <c r="AE123" i="1"/>
  <c r="BM157" i="1"/>
  <c r="AM213" i="1"/>
  <c r="BN133" i="1"/>
  <c r="Y178" i="1"/>
  <c r="Y115" i="1"/>
  <c r="AI149" i="1"/>
  <c r="J202" i="1"/>
  <c r="AZ133" i="1"/>
  <c r="AM192" i="1"/>
  <c r="AK117" i="1"/>
  <c r="BE155" i="1"/>
  <c r="V117" i="1"/>
  <c r="BK160" i="1"/>
  <c r="BP160" i="1" s="1"/>
  <c r="AK107" i="1"/>
  <c r="AY145" i="1"/>
  <c r="AH204" i="1"/>
  <c r="H127" i="1"/>
  <c r="BI161" i="1"/>
  <c r="BB102" i="1"/>
  <c r="L102" i="1" s="1"/>
  <c r="BH132" i="1"/>
  <c r="BK169" i="1"/>
  <c r="BP169" i="1" s="1"/>
  <c r="AA106" i="1"/>
  <c r="AK140" i="1"/>
  <c r="O169" i="1"/>
  <c r="Y107" i="1"/>
  <c r="AI141" i="1"/>
  <c r="AG176" i="1"/>
  <c r="AK173" i="1"/>
  <c r="AA203" i="1"/>
  <c r="O181" i="1"/>
  <c r="AJ206" i="1"/>
  <c r="BE189" i="1"/>
  <c r="BN181" i="1"/>
  <c r="AN211" i="1"/>
  <c r="AU177" i="1"/>
  <c r="Q203" i="1"/>
  <c r="AF161" i="1"/>
  <c r="AH187" i="1"/>
  <c r="AM212" i="1"/>
  <c r="BO171" i="1"/>
  <c r="BA197" i="1"/>
  <c r="H206" i="1"/>
  <c r="BK218" i="1"/>
  <c r="BP218" i="1" s="1"/>
  <c r="BQ218" i="1" s="1"/>
  <c r="H201" i="1"/>
  <c r="BN209" i="1"/>
  <c r="AD218" i="1"/>
  <c r="O218" i="1"/>
  <c r="AV216" i="1"/>
  <c r="T221" i="1"/>
  <c r="AD169" i="1"/>
  <c r="BC198" i="1"/>
  <c r="I814" i="2"/>
  <c r="I858" i="2"/>
  <c r="I682" i="2"/>
  <c r="I1141" i="2"/>
  <c r="I795" i="2"/>
  <c r="I772" i="2"/>
  <c r="I753" i="2"/>
  <c r="I466" i="2"/>
  <c r="I423" i="2"/>
  <c r="I370" i="2"/>
  <c r="I287" i="2"/>
  <c r="I1181" i="2"/>
  <c r="I968" i="2"/>
  <c r="I973" i="2"/>
  <c r="I1212" i="2"/>
  <c r="I1126" i="2"/>
  <c r="I1153" i="2"/>
  <c r="I958" i="2"/>
  <c r="I889" i="2"/>
  <c r="I769" i="2"/>
  <c r="I483" i="2"/>
  <c r="I601" i="2"/>
  <c r="I229" i="2"/>
  <c r="I194" i="2"/>
  <c r="I82" i="2"/>
  <c r="I61" i="2"/>
  <c r="I1029" i="2"/>
  <c r="I985" i="2"/>
  <c r="I650" i="2"/>
  <c r="I634" i="2"/>
  <c r="I456" i="2"/>
  <c r="I284" i="2"/>
  <c r="I1023" i="2"/>
  <c r="I585" i="2"/>
  <c r="I152" i="2"/>
  <c r="I686" i="2"/>
  <c r="I444" i="2"/>
  <c r="I343" i="2"/>
  <c r="I761" i="2"/>
  <c r="I274" i="2"/>
  <c r="I69" i="2"/>
  <c r="I1034" i="2"/>
  <c r="I526" i="2"/>
  <c r="I744" i="2"/>
  <c r="I267" i="2"/>
  <c r="I201" i="2"/>
  <c r="I263" i="2"/>
  <c r="I1076" i="2"/>
  <c r="I952" i="2"/>
  <c r="I1090" i="2"/>
  <c r="I1044" i="2"/>
  <c r="I227" i="2"/>
  <c r="I81" i="2"/>
  <c r="I62" i="2"/>
  <c r="I881" i="2"/>
  <c r="I679" i="2"/>
  <c r="I572" i="2"/>
  <c r="I403" i="2"/>
  <c r="I1252" i="2"/>
  <c r="I1209" i="2"/>
  <c r="I175" i="2"/>
  <c r="I1205" i="2"/>
  <c r="I1016" i="2"/>
  <c r="I565" i="2"/>
  <c r="I882" i="2"/>
  <c r="I424" i="2"/>
  <c r="I85" i="2"/>
  <c r="I448" i="2"/>
  <c r="I422" i="2"/>
  <c r="AH115" i="1"/>
  <c r="AV116" i="1"/>
  <c r="AG121" i="1"/>
  <c r="Y170" i="1"/>
  <c r="BI96" i="1"/>
  <c r="BC109" i="1"/>
  <c r="BG129" i="1"/>
  <c r="T156" i="1"/>
  <c r="BE191" i="1"/>
  <c r="BE129" i="1"/>
  <c r="AY104" i="1"/>
  <c r="BI122" i="1"/>
  <c r="Z150" i="1"/>
  <c r="E176" i="1"/>
  <c r="AX95" i="1"/>
  <c r="Z108" i="1"/>
  <c r="AU127" i="1"/>
  <c r="AB150" i="1"/>
  <c r="F176" i="1"/>
  <c r="X99" i="1"/>
  <c r="AD144" i="1"/>
  <c r="AI174" i="1"/>
  <c r="BD198" i="1"/>
  <c r="J98" i="1"/>
  <c r="BO115" i="1"/>
  <c r="AF137" i="1"/>
  <c r="P164" i="1"/>
  <c r="F205" i="1"/>
  <c r="O101" i="1"/>
  <c r="AZ120" i="1"/>
  <c r="BG139" i="1"/>
  <c r="BD165" i="1"/>
  <c r="F96" i="1"/>
  <c r="BB181" i="1"/>
  <c r="L181" i="1" s="1"/>
  <c r="AW153" i="1"/>
  <c r="P106" i="1"/>
  <c r="BG107" i="1"/>
  <c r="AZ126" i="1"/>
  <c r="R147" i="1"/>
  <c r="AN176" i="1"/>
  <c r="AW111" i="1"/>
  <c r="G103" i="1"/>
  <c r="AW105" i="1"/>
  <c r="AZ125" i="1"/>
  <c r="AF148" i="1"/>
  <c r="AW178" i="1"/>
  <c r="BN95" i="1"/>
  <c r="AS108" i="1"/>
  <c r="AL130" i="1"/>
  <c r="AU149" i="1"/>
  <c r="AV190" i="1"/>
  <c r="AN114" i="1"/>
  <c r="P107" i="1"/>
  <c r="AN130" i="1"/>
  <c r="D152" i="1"/>
  <c r="AQ185" i="1"/>
  <c r="BJ112" i="1"/>
  <c r="AL95" i="1"/>
  <c r="BA147" i="1"/>
  <c r="BN100" i="1"/>
  <c r="AE101" i="1"/>
  <c r="AE116" i="1"/>
  <c r="AW142" i="1"/>
  <c r="BL167" i="1"/>
  <c r="BL213" i="1"/>
  <c r="AV103" i="1"/>
  <c r="P121" i="1"/>
  <c r="F145" i="1"/>
  <c r="AE166" i="1"/>
  <c r="BJ216" i="1"/>
  <c r="U99" i="1"/>
  <c r="D114" i="1"/>
  <c r="BB136" i="1"/>
  <c r="L136" i="1" s="1"/>
  <c r="AZ158" i="1"/>
  <c r="BA198" i="1"/>
  <c r="F98" i="1"/>
  <c r="AQ102" i="1"/>
  <c r="BK106" i="1"/>
  <c r="BP106" i="1" s="1"/>
  <c r="BO110" i="1"/>
  <c r="T115" i="1"/>
  <c r="AN119" i="1"/>
  <c r="BH123" i="1"/>
  <c r="BL127" i="1"/>
  <c r="AG132" i="1"/>
  <c r="BA136" i="1"/>
  <c r="BE140" i="1"/>
  <c r="H145" i="1"/>
  <c r="AT149" i="1"/>
  <c r="BN153" i="1"/>
  <c r="AY158" i="1"/>
  <c r="BJ164" i="1"/>
  <c r="J171" i="1"/>
  <c r="AV178" i="1"/>
  <c r="AM187" i="1"/>
  <c r="I197" i="1"/>
  <c r="S206" i="1"/>
  <c r="AE218" i="1"/>
  <c r="Y98" i="1"/>
  <c r="AS102" i="1"/>
  <c r="BM106" i="1"/>
  <c r="AH111" i="1"/>
  <c r="V115" i="1"/>
  <c r="AP119" i="1"/>
  <c r="I124" i="1"/>
  <c r="AE128" i="1"/>
  <c r="AI132" i="1"/>
  <c r="AM136" i="1"/>
  <c r="F141" i="1"/>
  <c r="AB145" i="1"/>
  <c r="AF149" i="1"/>
  <c r="AZ153" i="1"/>
  <c r="BA158" i="1"/>
  <c r="T164" i="1"/>
  <c r="E170" i="1"/>
  <c r="AH177" i="1"/>
  <c r="AV184" i="1"/>
  <c r="BK192" i="1"/>
  <c r="BP192" i="1" s="1"/>
  <c r="H203" i="1"/>
  <c r="BJ212" i="1"/>
  <c r="AM99" i="1"/>
  <c r="F104" i="1"/>
  <c r="AB108" i="1"/>
  <c r="AF112" i="1"/>
  <c r="AZ116" i="1"/>
  <c r="U121" i="1"/>
  <c r="Y125" i="1"/>
  <c r="AS129" i="1"/>
  <c r="BM133" i="1"/>
  <c r="K133" i="1" s="1"/>
  <c r="AH138" i="1"/>
  <c r="V142" i="1"/>
  <c r="AP146" i="1"/>
  <c r="I151" i="1"/>
  <c r="AG155" i="1"/>
  <c r="Q160" i="1"/>
  <c r="BI165" i="1"/>
  <c r="Y172" i="1"/>
  <c r="AE180" i="1"/>
  <c r="AY188" i="1"/>
  <c r="AG199" i="1"/>
  <c r="AL208" i="1"/>
  <c r="Z220" i="1"/>
  <c r="AQ114" i="1"/>
  <c r="BK118" i="1"/>
  <c r="BP118" i="1" s="1"/>
  <c r="BQ118" i="1" s="1"/>
  <c r="BO122" i="1"/>
  <c r="T127" i="1"/>
  <c r="AN131" i="1"/>
  <c r="BH135" i="1"/>
  <c r="BL139" i="1"/>
  <c r="AG144" i="1"/>
  <c r="BA148" i="1"/>
  <c r="BE152" i="1"/>
  <c r="AD157" i="1"/>
  <c r="F162" i="1"/>
  <c r="BO167" i="1"/>
  <c r="AS174" i="1"/>
  <c r="BE182" i="1"/>
  <c r="BJ190" i="1"/>
  <c r="AR201" i="1"/>
  <c r="Q211" i="1"/>
  <c r="BD95" i="1"/>
  <c r="V100" i="1"/>
  <c r="AP104" i="1"/>
  <c r="I109" i="1"/>
  <c r="AE113" i="1"/>
  <c r="AI117" i="1"/>
  <c r="AM121" i="1"/>
  <c r="F126" i="1"/>
  <c r="AB130" i="1"/>
  <c r="AF134" i="1"/>
  <c r="AZ138" i="1"/>
  <c r="U143" i="1"/>
  <c r="Y147" i="1"/>
  <c r="AS151" i="1"/>
  <c r="D156" i="1"/>
  <c r="AO160" i="1"/>
  <c r="BK165" i="1"/>
  <c r="BP165" i="1" s="1"/>
  <c r="BB172" i="1"/>
  <c r="L172" i="1" s="1"/>
  <c r="AS179" i="1"/>
  <c r="BA187" i="1"/>
  <c r="BF196" i="1"/>
  <c r="AF206" i="1"/>
  <c r="AL215" i="1"/>
  <c r="AG97" i="1"/>
  <c r="AZ101" i="1"/>
  <c r="U106" i="1"/>
  <c r="Y110" i="1"/>
  <c r="AS114" i="1"/>
  <c r="BM118" i="1"/>
  <c r="K118" i="1" s="1"/>
  <c r="AH123" i="1"/>
  <c r="V127" i="1"/>
  <c r="AP131" i="1"/>
  <c r="I136" i="1"/>
  <c r="AE140" i="1"/>
  <c r="AI144" i="1"/>
  <c r="AM148" i="1"/>
  <c r="F153" i="1"/>
  <c r="S158" i="1"/>
  <c r="AY163" i="1"/>
  <c r="BK170" i="1"/>
  <c r="BP170" i="1" s="1"/>
  <c r="BE178" i="1"/>
  <c r="BB187" i="1"/>
  <c r="L187" i="1" s="1"/>
  <c r="BG196" i="1"/>
  <c r="AO207" i="1"/>
  <c r="AN219" i="1"/>
  <c r="AD98" i="1"/>
  <c r="AX102" i="1"/>
  <c r="AL106" i="1"/>
  <c r="BF110" i="1"/>
  <c r="AA115" i="1"/>
  <c r="AU119" i="1"/>
  <c r="AY123" i="1"/>
  <c r="BC127" i="1"/>
  <c r="X132" i="1"/>
  <c r="AR136" i="1"/>
  <c r="AV140" i="1"/>
  <c r="Q145" i="1"/>
  <c r="AK149" i="1"/>
  <c r="AO153" i="1"/>
  <c r="T158" i="1"/>
  <c r="AZ163" i="1"/>
  <c r="BM170" i="1"/>
  <c r="K170" i="1" s="1"/>
  <c r="J177" i="1"/>
  <c r="T185" i="1"/>
  <c r="AR193" i="1"/>
  <c r="W203" i="1"/>
  <c r="AE212" i="1"/>
  <c r="F111" i="1"/>
  <c r="AB115" i="1"/>
  <c r="AF119" i="1"/>
  <c r="AZ123" i="1"/>
  <c r="U128" i="1"/>
  <c r="Y132" i="1"/>
  <c r="AS136" i="1"/>
  <c r="BM140" i="1"/>
  <c r="K140" i="1" s="1"/>
  <c r="AH145" i="1"/>
  <c r="V149" i="1"/>
  <c r="AP153" i="1"/>
  <c r="U158" i="1"/>
  <c r="AG163" i="1"/>
  <c r="AF169" i="1"/>
  <c r="AH175" i="1"/>
  <c r="AD184" i="1"/>
  <c r="H193" i="1"/>
  <c r="BE202" i="1"/>
  <c r="BK211" i="1"/>
  <c r="BP211" i="1" s="1"/>
  <c r="X96" i="1"/>
  <c r="BF100" i="1"/>
  <c r="AA105" i="1"/>
  <c r="AU109" i="1"/>
  <c r="AY113" i="1"/>
  <c r="BC117" i="1"/>
  <c r="X122" i="1"/>
  <c r="AR126" i="1"/>
  <c r="AV130" i="1"/>
  <c r="Q135" i="1"/>
  <c r="AK139" i="1"/>
  <c r="AO143" i="1"/>
  <c r="BI147" i="1"/>
  <c r="AD152" i="1"/>
  <c r="AT156" i="1"/>
  <c r="BH161" i="1"/>
  <c r="E168" i="1"/>
  <c r="BR168" i="1" s="1"/>
  <c r="BS168" i="1" s="1"/>
  <c r="AB174" i="1"/>
  <c r="AN181" i="1"/>
  <c r="AI190" i="1"/>
  <c r="O200" i="1"/>
  <c r="BC209" i="1"/>
  <c r="AC95" i="1"/>
  <c r="AT99" i="1"/>
  <c r="BN103" i="1"/>
  <c r="BB107" i="1"/>
  <c r="L107" i="1" s="1"/>
  <c r="E112" i="1"/>
  <c r="BR112" i="1" s="1"/>
  <c r="BS112" i="1" s="1"/>
  <c r="AQ116" i="1"/>
  <c r="BK120" i="1"/>
  <c r="BP120" i="1" s="1"/>
  <c r="BO124" i="1"/>
  <c r="T129" i="1"/>
  <c r="AN133" i="1"/>
  <c r="BH137" i="1"/>
  <c r="BL141" i="1"/>
  <c r="AG146" i="1"/>
  <c r="BA150" i="1"/>
  <c r="BE154" i="1"/>
  <c r="AH159" i="1"/>
  <c r="AZ164" i="1"/>
  <c r="AR170" i="1"/>
  <c r="AT177" i="1"/>
  <c r="BH185" i="1"/>
  <c r="BE194" i="1"/>
  <c r="AI204" i="1"/>
  <c r="D215" i="1"/>
  <c r="BF96" i="1"/>
  <c r="BH100" i="1"/>
  <c r="BL104" i="1"/>
  <c r="AG109" i="1"/>
  <c r="BA113" i="1"/>
  <c r="BE117" i="1"/>
  <c r="H122" i="1"/>
  <c r="AT126" i="1"/>
  <c r="BN130" i="1"/>
  <c r="BB134" i="1"/>
  <c r="L134" i="1" s="1"/>
  <c r="E139" i="1"/>
  <c r="AQ143" i="1"/>
  <c r="BK147" i="1"/>
  <c r="BP147" i="1" s="1"/>
  <c r="BO151" i="1"/>
  <c r="J156" i="1"/>
  <c r="U161" i="1"/>
  <c r="AZ166" i="1"/>
  <c r="T173" i="1"/>
  <c r="I181" i="1"/>
  <c r="H191" i="1"/>
  <c r="AX199" i="1"/>
  <c r="BF209" i="1"/>
  <c r="AU95" i="1"/>
  <c r="AV99" i="1"/>
  <c r="Q104" i="1"/>
  <c r="AK108" i="1"/>
  <c r="AO112" i="1"/>
  <c r="BI116" i="1"/>
  <c r="AD121" i="1"/>
  <c r="AX125" i="1"/>
  <c r="AL129" i="1"/>
  <c r="BF133" i="1"/>
  <c r="AA138" i="1"/>
  <c r="AU142" i="1"/>
  <c r="AY146" i="1"/>
  <c r="BC150" i="1"/>
  <c r="Z155" i="1"/>
  <c r="AC160" i="1"/>
  <c r="D166" i="1"/>
  <c r="AM172" i="1"/>
  <c r="Q180" i="1"/>
  <c r="AJ189" i="1"/>
  <c r="AY199" i="1"/>
  <c r="AG210" i="1"/>
  <c r="AR96" i="1"/>
  <c r="I101" i="1"/>
  <c r="AE105" i="1"/>
  <c r="AI109" i="1"/>
  <c r="AM113" i="1"/>
  <c r="F118" i="1"/>
  <c r="AB122" i="1"/>
  <c r="AF126" i="1"/>
  <c r="AZ130" i="1"/>
  <c r="U135" i="1"/>
  <c r="Y139" i="1"/>
  <c r="AS143" i="1"/>
  <c r="BM147" i="1"/>
  <c r="AH152" i="1"/>
  <c r="AZ156" i="1"/>
  <c r="BO161" i="1"/>
  <c r="H167" i="1"/>
  <c r="X173" i="1"/>
  <c r="S180" i="1"/>
  <c r="AT190" i="1"/>
  <c r="U200" i="1"/>
  <c r="BO209" i="1"/>
  <c r="BF166" i="1"/>
  <c r="AA171" i="1"/>
  <c r="AU175" i="1"/>
  <c r="AY179" i="1"/>
  <c r="BC183" i="1"/>
  <c r="X188" i="1"/>
  <c r="AR192" i="1"/>
  <c r="AV196" i="1"/>
  <c r="Q201" i="1"/>
  <c r="AK205" i="1"/>
  <c r="AO209" i="1"/>
  <c r="BI213" i="1"/>
  <c r="AK218" i="1"/>
  <c r="P170" i="1"/>
  <c r="AJ174" i="1"/>
  <c r="BD178" i="1"/>
  <c r="G183" i="1"/>
  <c r="AC187" i="1"/>
  <c r="AW191" i="1"/>
  <c r="R196" i="1"/>
  <c r="D200" i="1"/>
  <c r="Z204" i="1"/>
  <c r="BJ208" i="1"/>
  <c r="O213" i="1"/>
  <c r="U217" i="1"/>
  <c r="AS221" i="1"/>
  <c r="E179" i="1"/>
  <c r="BR179" i="1" s="1"/>
  <c r="BS179" i="1" s="1"/>
  <c r="AQ183" i="1"/>
  <c r="BK187" i="1"/>
  <c r="BP187" i="1" s="1"/>
  <c r="BO191" i="1"/>
  <c r="T196" i="1"/>
  <c r="AN200" i="1"/>
  <c r="BH204" i="1"/>
  <c r="BL208" i="1"/>
  <c r="AG213" i="1"/>
  <c r="AN217" i="1"/>
  <c r="AU221" i="1"/>
  <c r="BH183" i="1"/>
  <c r="BL187" i="1"/>
  <c r="AG192" i="1"/>
  <c r="BA196" i="1"/>
  <c r="BE200" i="1"/>
  <c r="H205" i="1"/>
  <c r="AT209" i="1"/>
  <c r="BN213" i="1"/>
  <c r="BF217" i="1"/>
  <c r="X158" i="1"/>
  <c r="AR162" i="1"/>
  <c r="AV166" i="1"/>
  <c r="Q171" i="1"/>
  <c r="AK175" i="1"/>
  <c r="AO179" i="1"/>
  <c r="BI183" i="1"/>
  <c r="AD188" i="1"/>
  <c r="AX192" i="1"/>
  <c r="AL196" i="1"/>
  <c r="BF200" i="1"/>
  <c r="AA205" i="1"/>
  <c r="AU209" i="1"/>
  <c r="AY213" i="1"/>
  <c r="BG217" i="1"/>
  <c r="AH155" i="1"/>
  <c r="V159" i="1"/>
  <c r="AP163" i="1"/>
  <c r="I168" i="1"/>
  <c r="AE172" i="1"/>
  <c r="AI176" i="1"/>
  <c r="AM180" i="1"/>
  <c r="F185" i="1"/>
  <c r="AB189" i="1"/>
  <c r="AF193" i="1"/>
  <c r="AZ197" i="1"/>
  <c r="U202" i="1"/>
  <c r="Y206" i="1"/>
  <c r="AS210" i="1"/>
  <c r="BM214" i="1"/>
  <c r="J219" i="1"/>
  <c r="BL156" i="1"/>
  <c r="AG161" i="1"/>
  <c r="BA165" i="1"/>
  <c r="BE169" i="1"/>
  <c r="H174" i="1"/>
  <c r="AT178" i="1"/>
  <c r="BN182" i="1"/>
  <c r="BB186" i="1"/>
  <c r="L186" i="1" s="1"/>
  <c r="E191" i="1"/>
  <c r="AQ195" i="1"/>
  <c r="BK199" i="1"/>
  <c r="BP199" i="1" s="1"/>
  <c r="BO203" i="1"/>
  <c r="T208" i="1"/>
  <c r="AN212" i="1"/>
  <c r="BH216" i="1"/>
  <c r="AH221" i="1"/>
  <c r="AQ190" i="1"/>
  <c r="BK194" i="1"/>
  <c r="BP194" i="1" s="1"/>
  <c r="BQ194" i="1" s="1"/>
  <c r="BO198" i="1"/>
  <c r="T203" i="1"/>
  <c r="AN207" i="1"/>
  <c r="BH211" i="1"/>
  <c r="BL215" i="1"/>
  <c r="AW220" i="1"/>
  <c r="BN215" i="1"/>
  <c r="Q220" i="1"/>
  <c r="AL214" i="1"/>
  <c r="AX218" i="1"/>
  <c r="AY162" i="1"/>
  <c r="BC166" i="1"/>
  <c r="X171" i="1"/>
  <c r="AR175" i="1"/>
  <c r="AV179" i="1"/>
  <c r="Q184" i="1"/>
  <c r="AK188" i="1"/>
  <c r="AO192" i="1"/>
  <c r="BI196" i="1"/>
  <c r="AD201" i="1"/>
  <c r="AX205" i="1"/>
  <c r="AL209" i="1"/>
  <c r="BF213" i="1"/>
  <c r="Q218" i="1"/>
  <c r="J217" i="1"/>
  <c r="P221" i="1"/>
  <c r="I327" i="2"/>
  <c r="I770" i="2"/>
  <c r="I645" i="2"/>
  <c r="I592" i="2"/>
  <c r="I368" i="2"/>
  <c r="I94" i="2"/>
  <c r="AM168" i="1"/>
  <c r="AL156" i="1"/>
  <c r="BJ111" i="1"/>
  <c r="AU100" i="1"/>
  <c r="BA130" i="1"/>
  <c r="BO95" i="1"/>
  <c r="X151" i="1"/>
  <c r="BG108" i="1"/>
  <c r="D173" i="1"/>
  <c r="BD152" i="1"/>
  <c r="AL137" i="1"/>
  <c r="BK205" i="1"/>
  <c r="BP205" i="1" s="1"/>
  <c r="O145" i="1"/>
  <c r="BJ103" i="1"/>
  <c r="T155" i="1"/>
  <c r="U117" i="1"/>
  <c r="AP180" i="1"/>
  <c r="BG142" i="1"/>
  <c r="G207" i="1"/>
  <c r="AE141" i="1"/>
  <c r="BC213" i="1"/>
  <c r="BF143" i="1"/>
  <c r="AX98" i="1"/>
  <c r="BI153" i="1"/>
  <c r="F123" i="1"/>
  <c r="AL183" i="1"/>
  <c r="D124" i="1"/>
  <c r="D176" i="1"/>
  <c r="AH190" i="1"/>
  <c r="H172" i="1"/>
  <c r="X219" i="1"/>
  <c r="AA215" i="1"/>
  <c r="AH160" i="1"/>
  <c r="AB194" i="1"/>
  <c r="AJ165" i="1"/>
  <c r="O204" i="1"/>
  <c r="AR184" i="1"/>
  <c r="AK192" i="1"/>
  <c r="I186" i="1"/>
  <c r="V120" i="1"/>
  <c r="H118" i="1"/>
  <c r="AC149" i="1"/>
  <c r="D119" i="1"/>
  <c r="AD200" i="1"/>
  <c r="AN157" i="1"/>
  <c r="AT154" i="1"/>
  <c r="AT117" i="1"/>
  <c r="S156" i="1"/>
  <c r="F109" i="1"/>
  <c r="AM156" i="1"/>
  <c r="V110" i="1"/>
  <c r="U153" i="1"/>
  <c r="BA116" i="1"/>
  <c r="AU159" i="1"/>
  <c r="AZ106" i="1"/>
  <c r="AM153" i="1"/>
  <c r="Y95" i="1"/>
  <c r="Y142" i="1"/>
  <c r="V96" i="1"/>
  <c r="AL138" i="1"/>
  <c r="X189" i="1"/>
  <c r="F143" i="1"/>
  <c r="AQ207" i="1"/>
  <c r="AU141" i="1"/>
  <c r="AA214" i="1"/>
  <c r="BN135" i="1"/>
  <c r="AO181" i="1"/>
  <c r="AQ111" i="1"/>
  <c r="BA145" i="1"/>
  <c r="AD195" i="1"/>
  <c r="BC118" i="1"/>
  <c r="BI148" i="1"/>
  <c r="BM194" i="1"/>
  <c r="K194" i="1" s="1"/>
  <c r="BM115" i="1"/>
  <c r="K115" i="1" s="1"/>
  <c r="AB154" i="1"/>
  <c r="D205" i="1"/>
  <c r="AX190" i="1"/>
  <c r="BE220" i="1"/>
  <c r="BG193" i="1"/>
  <c r="AG181" i="1"/>
  <c r="BB206" i="1"/>
  <c r="L206" i="1" s="1"/>
  <c r="BK198" i="1"/>
  <c r="BP198" i="1" s="1"/>
  <c r="BF168" i="1"/>
  <c r="AR194" i="1"/>
  <c r="BJ219" i="1"/>
  <c r="AS178" i="1"/>
  <c r="AE204" i="1"/>
  <c r="AQ163" i="1"/>
  <c r="BL188" i="1"/>
  <c r="BE196" i="1"/>
  <c r="AV211" i="1"/>
  <c r="I508" i="2"/>
  <c r="I198" i="2"/>
  <c r="I540" i="2"/>
  <c r="I366" i="2"/>
  <c r="I275" i="2"/>
  <c r="I454" i="2"/>
  <c r="I1070" i="2"/>
  <c r="I963" i="2"/>
  <c r="I908" i="2"/>
  <c r="I810" i="2"/>
  <c r="I732" i="2"/>
  <c r="I51" i="2"/>
  <c r="I727" i="2"/>
  <c r="I322" i="2"/>
  <c r="I225" i="2"/>
  <c r="I969" i="2"/>
  <c r="I221" i="2"/>
  <c r="I209" i="2"/>
  <c r="I67" i="2"/>
  <c r="I776" i="2"/>
  <c r="I683" i="2"/>
  <c r="I406" i="2"/>
  <c r="I132" i="2"/>
  <c r="I70" i="2"/>
  <c r="I523" i="2"/>
  <c r="I359" i="2"/>
  <c r="I1229" i="2"/>
  <c r="I1190" i="2"/>
  <c r="I1028" i="2"/>
  <c r="I320" i="2"/>
  <c r="I277" i="2"/>
  <c r="I216" i="2"/>
  <c r="I188" i="2"/>
  <c r="I502" i="2"/>
  <c r="I688" i="2"/>
  <c r="I318" i="2"/>
  <c r="I190" i="2"/>
  <c r="I102" i="2"/>
  <c r="I672" i="2"/>
  <c r="I333" i="2"/>
  <c r="I624" i="2"/>
  <c r="I693" i="2"/>
  <c r="I573" i="2"/>
  <c r="I428" i="2"/>
  <c r="I139" i="2"/>
  <c r="I700" i="2"/>
  <c r="I452" i="2"/>
  <c r="I894" i="2"/>
  <c r="I170" i="2"/>
  <c r="I73" i="2"/>
  <c r="I156" i="2"/>
  <c r="I909" i="2"/>
  <c r="I514" i="2"/>
  <c r="I1035" i="2"/>
  <c r="I556" i="2"/>
  <c r="I326" i="2"/>
  <c r="I174" i="2"/>
  <c r="I1012" i="2"/>
  <c r="I993" i="2"/>
  <c r="I929" i="2"/>
  <c r="I449" i="2"/>
  <c r="I960" i="2"/>
  <c r="I486" i="2"/>
  <c r="I503" i="2"/>
  <c r="I409" i="2"/>
  <c r="I297" i="2"/>
  <c r="I350" i="2"/>
  <c r="I250" i="2"/>
  <c r="I750" i="2"/>
  <c r="I328" i="2"/>
  <c r="I100" i="2"/>
  <c r="I1096" i="2"/>
  <c r="I674" i="2"/>
  <c r="I371" i="2"/>
  <c r="S121" i="1"/>
  <c r="AF121" i="1"/>
  <c r="AR128" i="1"/>
  <c r="BC177" i="1"/>
  <c r="AD97" i="1"/>
  <c r="AZ110" i="1"/>
  <c r="R131" i="1"/>
  <c r="BF157" i="1"/>
  <c r="U199" i="1"/>
  <c r="R132" i="1"/>
  <c r="AF105" i="1"/>
  <c r="T125" i="1"/>
  <c r="AM151" i="1"/>
  <c r="S182" i="1"/>
  <c r="S96" i="1"/>
  <c r="H109" i="1"/>
  <c r="BH128" i="1"/>
  <c r="AO151" i="1"/>
  <c r="P178" i="1"/>
  <c r="AE127" i="1"/>
  <c r="AQ145" i="1"/>
  <c r="I176" i="1"/>
  <c r="U114" i="1"/>
  <c r="BK98" i="1"/>
  <c r="BP98" i="1" s="1"/>
  <c r="J117" i="1"/>
  <c r="AS138" i="1"/>
  <c r="BC165" i="1"/>
  <c r="AA207" i="1"/>
  <c r="BN101" i="1"/>
  <c r="BM121" i="1"/>
  <c r="K121" i="1" s="1"/>
  <c r="R142" i="1"/>
  <c r="AI167" i="1"/>
  <c r="AN98" i="1"/>
  <c r="BI208" i="1"/>
  <c r="AO157" i="1"/>
  <c r="BL122" i="1"/>
  <c r="AN108" i="1"/>
  <c r="BM127" i="1"/>
  <c r="AE148" i="1"/>
  <c r="AU178" i="1"/>
  <c r="AU116" i="1"/>
  <c r="BK111" i="1"/>
  <c r="BP111" i="1" s="1"/>
  <c r="AD106" i="1"/>
  <c r="BM126" i="1"/>
  <c r="K126" i="1" s="1"/>
  <c r="AS149" i="1"/>
  <c r="BH180" i="1"/>
  <c r="AI96" i="1"/>
  <c r="AD109" i="1"/>
  <c r="BA131" i="1"/>
  <c r="BH150" i="1"/>
  <c r="BI192" i="1"/>
  <c r="AY121" i="1"/>
  <c r="AW108" i="1"/>
  <c r="BN131" i="1"/>
  <c r="S153" i="1"/>
  <c r="AW190" i="1"/>
  <c r="BH117" i="1"/>
  <c r="AY96" i="1"/>
  <c r="AJ152" i="1"/>
  <c r="Q108" i="1"/>
  <c r="J102" i="1"/>
  <c r="AR117" i="1"/>
  <c r="BJ143" i="1"/>
  <c r="AR169" i="1"/>
  <c r="BA216" i="1"/>
  <c r="AC104" i="1"/>
  <c r="AC122" i="1"/>
  <c r="V146" i="1"/>
  <c r="AU169" i="1"/>
  <c r="V220" i="1"/>
  <c r="BE100" i="1"/>
  <c r="U115" i="1"/>
  <c r="BO137" i="1"/>
  <c r="AY161" i="1"/>
  <c r="Q206" i="1"/>
  <c r="W98" i="1"/>
  <c r="BG102" i="1"/>
  <c r="J107" i="1"/>
  <c r="P111" i="1"/>
  <c r="AJ115" i="1"/>
  <c r="BD119" i="1"/>
  <c r="G124" i="1"/>
  <c r="AC128" i="1"/>
  <c r="AW132" i="1"/>
  <c r="R137" i="1"/>
  <c r="D141" i="1"/>
  <c r="Z145" i="1"/>
  <c r="BJ149" i="1"/>
  <c r="O154" i="1"/>
  <c r="X159" i="1"/>
  <c r="AH165" i="1"/>
  <c r="AL171" i="1"/>
  <c r="D179" i="1"/>
  <c r="D188" i="1"/>
  <c r="AT197" i="1"/>
  <c r="BH206" i="1"/>
  <c r="S219" i="1"/>
  <c r="AO98" i="1"/>
  <c r="BI102" i="1"/>
  <c r="AD107" i="1"/>
  <c r="AX111" i="1"/>
  <c r="AL115" i="1"/>
  <c r="BF119" i="1"/>
  <c r="AA124" i="1"/>
  <c r="AU128" i="1"/>
  <c r="AY132" i="1"/>
  <c r="BC136" i="1"/>
  <c r="X141" i="1"/>
  <c r="AR145" i="1"/>
  <c r="AV149" i="1"/>
  <c r="Q154" i="1"/>
  <c r="Z159" i="1"/>
  <c r="AQ164" i="1"/>
  <c r="AE170" i="1"/>
  <c r="BH177" i="1"/>
  <c r="J185" i="1"/>
  <c r="AJ193" i="1"/>
  <c r="AT203" i="1"/>
  <c r="AF213" i="1"/>
  <c r="BC99" i="1"/>
  <c r="X104" i="1"/>
  <c r="AR108" i="1"/>
  <c r="AV112" i="1"/>
  <c r="Q117" i="1"/>
  <c r="AK121" i="1"/>
  <c r="AO125" i="1"/>
  <c r="BI129" i="1"/>
  <c r="AD134" i="1"/>
  <c r="AX138" i="1"/>
  <c r="AL142" i="1"/>
  <c r="BF146" i="1"/>
  <c r="AA151" i="1"/>
  <c r="BA155" i="1"/>
  <c r="AM160" i="1"/>
  <c r="O166" i="1"/>
  <c r="AY172" i="1"/>
  <c r="BK180" i="1"/>
  <c r="BP180" i="1" s="1"/>
  <c r="Q189" i="1"/>
  <c r="BO199" i="1"/>
  <c r="AN209" i="1"/>
  <c r="AB221" i="1"/>
  <c r="BG114" i="1"/>
  <c r="J119" i="1"/>
  <c r="P123" i="1"/>
  <c r="AJ127" i="1"/>
  <c r="BD131" i="1"/>
  <c r="G136" i="1"/>
  <c r="AC140" i="1"/>
  <c r="AW144" i="1"/>
  <c r="R149" i="1"/>
  <c r="D153" i="1"/>
  <c r="AV157" i="1"/>
  <c r="AE162" i="1"/>
  <c r="W168" i="1"/>
  <c r="AA175" i="1"/>
  <c r="V183" i="1"/>
  <c r="AC191" i="1"/>
  <c r="H202" i="1"/>
  <c r="AZ211" i="1"/>
  <c r="T96" i="1"/>
  <c r="AL100" i="1"/>
  <c r="BF104" i="1"/>
  <c r="AA109" i="1"/>
  <c r="AU113" i="1"/>
  <c r="AY117" i="1"/>
  <c r="BC121" i="1"/>
  <c r="X126" i="1"/>
  <c r="AR130" i="1"/>
  <c r="AV134" i="1"/>
  <c r="Q139" i="1"/>
  <c r="AK143" i="1"/>
  <c r="AO147" i="1"/>
  <c r="BI151" i="1"/>
  <c r="X156" i="1"/>
  <c r="BH160" i="1"/>
  <c r="T166" i="1"/>
  <c r="H173" i="1"/>
  <c r="AI180" i="1"/>
  <c r="S188" i="1"/>
  <c r="X197" i="1"/>
  <c r="BO206" i="1"/>
  <c r="U216" i="1"/>
  <c r="AW97" i="1"/>
  <c r="Q102" i="1"/>
  <c r="AK106" i="1"/>
  <c r="AO110" i="1"/>
  <c r="BI114" i="1"/>
  <c r="AD119" i="1"/>
  <c r="AX123" i="1"/>
  <c r="AL127" i="1"/>
  <c r="BF131" i="1"/>
  <c r="AA136" i="1"/>
  <c r="AU140" i="1"/>
  <c r="AY144" i="1"/>
  <c r="BC148" i="1"/>
  <c r="X153" i="1"/>
  <c r="AL158" i="1"/>
  <c r="AA164" i="1"/>
  <c r="V171" i="1"/>
  <c r="Q179" i="1"/>
  <c r="T188" i="1"/>
  <c r="Y197" i="1"/>
  <c r="E208" i="1"/>
  <c r="BR208" i="1" s="1"/>
  <c r="BS208" i="1" s="1"/>
  <c r="AO220" i="1"/>
  <c r="AT98" i="1"/>
  <c r="BN102" i="1"/>
  <c r="BB106" i="1"/>
  <c r="L106" i="1" s="1"/>
  <c r="E111" i="1"/>
  <c r="BR111" i="1" s="1"/>
  <c r="BS111" i="1" s="1"/>
  <c r="AQ115" i="1"/>
  <c r="BK119" i="1"/>
  <c r="BP119" i="1" s="1"/>
  <c r="BQ119" i="1" s="1"/>
  <c r="BO123" i="1"/>
  <c r="T128" i="1"/>
  <c r="AN132" i="1"/>
  <c r="BH136" i="1"/>
  <c r="BL140" i="1"/>
  <c r="AG145" i="1"/>
  <c r="BA149" i="1"/>
  <c r="BE153" i="1"/>
  <c r="AM158" i="1"/>
  <c r="AB164" i="1"/>
  <c r="W171" i="1"/>
  <c r="AN177" i="1"/>
  <c r="AZ185" i="1"/>
  <c r="Q194" i="1"/>
  <c r="BF203" i="1"/>
  <c r="E213" i="1"/>
  <c r="X111" i="1"/>
  <c r="AR115" i="1"/>
  <c r="AV119" i="1"/>
  <c r="Q124" i="1"/>
  <c r="AK128" i="1"/>
  <c r="AO132" i="1"/>
  <c r="BI136" i="1"/>
  <c r="AD141" i="1"/>
  <c r="AX145" i="1"/>
  <c r="AL149" i="1"/>
  <c r="BF153" i="1"/>
  <c r="AQ158" i="1"/>
  <c r="BA163" i="1"/>
  <c r="BG169" i="1"/>
  <c r="BJ175" i="1"/>
  <c r="BJ184" i="1"/>
  <c r="AY193" i="1"/>
  <c r="Y203" i="1"/>
  <c r="AG212" i="1"/>
  <c r="AN96" i="1"/>
  <c r="E101" i="1"/>
  <c r="AQ105" i="1"/>
  <c r="BK109" i="1"/>
  <c r="BP109" i="1" s="1"/>
  <c r="BO113" i="1"/>
  <c r="T118" i="1"/>
  <c r="AN122" i="1"/>
  <c r="BH126" i="1"/>
  <c r="BL130" i="1"/>
  <c r="AG135" i="1"/>
  <c r="BA139" i="1"/>
  <c r="BE143" i="1"/>
  <c r="H148" i="1"/>
  <c r="AT152" i="1"/>
  <c r="BN156" i="1"/>
  <c r="P162" i="1"/>
  <c r="AE168" i="1"/>
  <c r="BA174" i="1"/>
  <c r="AK182" i="1"/>
  <c r="AP191" i="1"/>
  <c r="AX200" i="1"/>
  <c r="W210" i="1"/>
  <c r="AS95" i="1"/>
  <c r="BJ99" i="1"/>
  <c r="O104" i="1"/>
  <c r="S108" i="1"/>
  <c r="W112" i="1"/>
  <c r="BG116" i="1"/>
  <c r="J121" i="1"/>
  <c r="P125" i="1"/>
  <c r="AJ129" i="1"/>
  <c r="BD133" i="1"/>
  <c r="G138" i="1"/>
  <c r="AC142" i="1"/>
  <c r="AW146" i="1"/>
  <c r="R151" i="1"/>
  <c r="D155" i="1"/>
  <c r="BD159" i="1"/>
  <c r="E165" i="1"/>
  <c r="BR165" i="1" s="1"/>
  <c r="BS165" i="1" s="1"/>
  <c r="AB171" i="1"/>
  <c r="E178" i="1"/>
  <c r="BR178" i="1" s="1"/>
  <c r="BS178" i="1" s="1"/>
  <c r="X186" i="1"/>
  <c r="AC195" i="1"/>
  <c r="AJ205" i="1"/>
  <c r="BB215" i="1"/>
  <c r="L215" i="1" s="1"/>
  <c r="E97" i="1"/>
  <c r="BR97" i="1" s="1"/>
  <c r="BS97" i="1" s="1"/>
  <c r="G101" i="1"/>
  <c r="AC105" i="1"/>
  <c r="AW109" i="1"/>
  <c r="R114" i="1"/>
  <c r="D118" i="1"/>
  <c r="Z122" i="1"/>
  <c r="BJ126" i="1"/>
  <c r="O131" i="1"/>
  <c r="S135" i="1"/>
  <c r="W139" i="1"/>
  <c r="BG143" i="1"/>
  <c r="J148" i="1"/>
  <c r="P152" i="1"/>
  <c r="AD156" i="1"/>
  <c r="AP161" i="1"/>
  <c r="F167" i="1"/>
  <c r="AU173" i="1"/>
  <c r="AQ181" i="1"/>
  <c r="AS191" i="1"/>
  <c r="R200" i="1"/>
  <c r="AF210" i="1"/>
  <c r="BK95" i="1"/>
  <c r="BP95" i="1" s="1"/>
  <c r="BL99" i="1"/>
  <c r="AG104" i="1"/>
  <c r="BA108" i="1"/>
  <c r="BE112" i="1"/>
  <c r="H117" i="1"/>
  <c r="AT121" i="1"/>
  <c r="BN125" i="1"/>
  <c r="BB129" i="1"/>
  <c r="L129" i="1" s="1"/>
  <c r="E134" i="1"/>
  <c r="AQ138" i="1"/>
  <c r="BK142" i="1"/>
  <c r="BP142" i="1" s="1"/>
  <c r="BO146" i="1"/>
  <c r="T151" i="1"/>
  <c r="AR155" i="1"/>
  <c r="AV160" i="1"/>
  <c r="AC166" i="1"/>
  <c r="BN172" i="1"/>
  <c r="AW180" i="1"/>
  <c r="AS190" i="1"/>
  <c r="S200" i="1"/>
  <c r="AH211" i="1"/>
  <c r="BH96" i="1"/>
  <c r="AA101" i="1"/>
  <c r="AU105" i="1"/>
  <c r="AY109" i="1"/>
  <c r="BC113" i="1"/>
  <c r="X118" i="1"/>
  <c r="AR122" i="1"/>
  <c r="AV126" i="1"/>
  <c r="Q131" i="1"/>
  <c r="AK135" i="1"/>
  <c r="AO139" i="1"/>
  <c r="BI143" i="1"/>
  <c r="AD148" i="1"/>
  <c r="AX152" i="1"/>
  <c r="U157" i="1"/>
  <c r="U162" i="1"/>
  <c r="AH167" i="1"/>
  <c r="AW173" i="1"/>
  <c r="AY180" i="1"/>
  <c r="AV191" i="1"/>
  <c r="BJ200" i="1"/>
  <c r="AH210" i="1"/>
  <c r="E167" i="1"/>
  <c r="AQ171" i="1"/>
  <c r="BK175" i="1"/>
  <c r="BP175" i="1" s="1"/>
  <c r="BQ175" i="1" s="1"/>
  <c r="BO179" i="1"/>
  <c r="T184" i="1"/>
  <c r="AN188" i="1"/>
  <c r="BH192" i="1"/>
  <c r="BL196" i="1"/>
  <c r="AG201" i="1"/>
  <c r="BA205" i="1"/>
  <c r="BE209" i="1"/>
  <c r="H214" i="1"/>
  <c r="BB218" i="1"/>
  <c r="L218" i="1" s="1"/>
  <c r="AF170" i="1"/>
  <c r="AZ174" i="1"/>
  <c r="U179" i="1"/>
  <c r="Y183" i="1"/>
  <c r="AS187" i="1"/>
  <c r="BM191" i="1"/>
  <c r="AH196" i="1"/>
  <c r="V200" i="1"/>
  <c r="AP204" i="1"/>
  <c r="I209" i="1"/>
  <c r="AE213" i="1"/>
  <c r="AL217" i="1"/>
  <c r="BK221" i="1"/>
  <c r="BP221" i="1" s="1"/>
  <c r="BQ221" i="1" s="1"/>
  <c r="W179" i="1"/>
  <c r="BG183" i="1"/>
  <c r="J188" i="1"/>
  <c r="P192" i="1"/>
  <c r="AJ196" i="1"/>
  <c r="BD200" i="1"/>
  <c r="G205" i="1"/>
  <c r="AC209" i="1"/>
  <c r="AW213" i="1"/>
  <c r="BE217" i="1"/>
  <c r="BO221" i="1"/>
  <c r="G184" i="1"/>
  <c r="AC188" i="1"/>
  <c r="AW192" i="1"/>
  <c r="R197" i="1"/>
  <c r="D201" i="1"/>
  <c r="Z205" i="1"/>
  <c r="BJ209" i="1"/>
  <c r="O214" i="1"/>
  <c r="F218" i="1"/>
  <c r="AN158" i="1"/>
  <c r="BH162" i="1"/>
  <c r="BL166" i="1"/>
  <c r="AG171" i="1"/>
  <c r="BA175" i="1"/>
  <c r="BE179" i="1"/>
  <c r="H184" i="1"/>
  <c r="AT188" i="1"/>
  <c r="BN192" i="1"/>
  <c r="BB196" i="1"/>
  <c r="L196" i="1" s="1"/>
  <c r="E201" i="1"/>
  <c r="AQ205" i="1"/>
  <c r="BK209" i="1"/>
  <c r="BP209" i="1" s="1"/>
  <c r="BO213" i="1"/>
  <c r="H218" i="1"/>
  <c r="AX155" i="1"/>
  <c r="AL159" i="1"/>
  <c r="BF163" i="1"/>
  <c r="AA168" i="1"/>
  <c r="AU172" i="1"/>
  <c r="AY176" i="1"/>
  <c r="BC180" i="1"/>
  <c r="X185" i="1"/>
  <c r="AR189" i="1"/>
  <c r="AV193" i="1"/>
  <c r="Q198" i="1"/>
  <c r="AK202" i="1"/>
  <c r="AO206" i="1"/>
  <c r="BI210" i="1"/>
  <c r="AD215" i="1"/>
  <c r="AC219" i="1"/>
  <c r="AC157" i="1"/>
  <c r="AW161" i="1"/>
  <c r="R166" i="1"/>
  <c r="D170" i="1"/>
  <c r="Z174" i="1"/>
  <c r="BJ178" i="1"/>
  <c r="O183" i="1"/>
  <c r="S187" i="1"/>
  <c r="W191" i="1"/>
  <c r="BG195" i="1"/>
  <c r="J200" i="1"/>
  <c r="P204" i="1"/>
  <c r="AJ208" i="1"/>
  <c r="BD212" i="1"/>
  <c r="H217" i="1"/>
  <c r="AZ221" i="1"/>
  <c r="BG190" i="1"/>
  <c r="J195" i="1"/>
  <c r="P199" i="1"/>
  <c r="AJ203" i="1"/>
  <c r="BD207" i="1"/>
  <c r="G212" i="1"/>
  <c r="AC216" i="1"/>
  <c r="BN220" i="1"/>
  <c r="O216" i="1"/>
  <c r="AH220" i="1"/>
  <c r="BB214" i="1"/>
  <c r="L214" i="1" s="1"/>
  <c r="BO218" i="1"/>
  <c r="BO162" i="1"/>
  <c r="T167" i="1"/>
  <c r="AN171" i="1"/>
  <c r="BH175" i="1"/>
  <c r="BL179" i="1"/>
  <c r="AG184" i="1"/>
  <c r="BA188" i="1"/>
  <c r="BE192" i="1"/>
  <c r="H197" i="1"/>
  <c r="AT201" i="1"/>
  <c r="BN205" i="1"/>
  <c r="BB209" i="1"/>
  <c r="L209" i="1" s="1"/>
  <c r="E214" i="1"/>
  <c r="AH218" i="1"/>
  <c r="AB217" i="1"/>
  <c r="AF221" i="1"/>
  <c r="I879" i="2"/>
  <c r="I730" i="2"/>
  <c r="I199" i="2"/>
  <c r="I123" i="2"/>
  <c r="I913" i="2"/>
  <c r="I153" i="2"/>
  <c r="I206" i="2"/>
  <c r="I45" i="2"/>
  <c r="I1069" i="2"/>
  <c r="I1005" i="2"/>
  <c r="I648" i="2"/>
  <c r="I317" i="2"/>
  <c r="I384" i="2"/>
  <c r="I167" i="2"/>
  <c r="H150" i="1"/>
  <c r="S159" i="1"/>
  <c r="AK176" i="1"/>
  <c r="BI154" i="1"/>
  <c r="AB161" i="1"/>
  <c r="AT96" i="1"/>
  <c r="G145" i="1"/>
  <c r="AY142" i="1"/>
  <c r="BN200" i="1"/>
  <c r="AJ121" i="1"/>
  <c r="G161" i="1"/>
  <c r="Z114" i="1"/>
  <c r="P144" i="1"/>
  <c r="Q112" i="1"/>
  <c r="BN164" i="1"/>
  <c r="P102" i="1"/>
  <c r="W153" i="1"/>
  <c r="Z99" i="1"/>
  <c r="G142" i="1"/>
  <c r="F100" i="1"/>
  <c r="I147" i="1"/>
  <c r="BA218" i="1"/>
  <c r="P151" i="1"/>
  <c r="U107" i="1"/>
  <c r="BK158" i="1"/>
  <c r="BP158" i="1" s="1"/>
  <c r="AR105" i="1"/>
  <c r="AA148" i="1"/>
  <c r="BF220" i="1"/>
  <c r="Q141" i="1"/>
  <c r="F215" i="1"/>
  <c r="AS148" i="1"/>
  <c r="BD102" i="1"/>
  <c r="S141" i="1"/>
  <c r="AZ168" i="1"/>
  <c r="AI211" i="1"/>
  <c r="T206" i="1"/>
  <c r="AX202" i="1"/>
  <c r="AY202" i="1"/>
  <c r="I173" i="1"/>
  <c r="AS219" i="1"/>
  <c r="R187" i="1"/>
  <c r="AA163" i="1"/>
  <c r="AK197" i="1"/>
  <c r="Q188" i="1"/>
  <c r="BM217" i="1"/>
  <c r="K217" i="1" s="1"/>
  <c r="AK220" i="1"/>
  <c r="AH201" i="1"/>
  <c r="X199" i="1"/>
  <c r="BE104" i="1"/>
  <c r="BF124" i="1"/>
  <c r="Y161" i="1"/>
  <c r="AP164" i="1"/>
  <c r="AM109" i="1"/>
  <c r="O96" i="1"/>
  <c r="BK138" i="1"/>
  <c r="BP138" i="1" s="1"/>
  <c r="BQ138" i="1" s="1"/>
  <c r="D211" i="1"/>
  <c r="AS134" i="1"/>
  <c r="AX188" i="1"/>
  <c r="AM131" i="1"/>
  <c r="AK193" i="1"/>
  <c r="AQ146" i="1"/>
  <c r="AD206" i="1"/>
  <c r="BM123" i="1"/>
  <c r="BD183" i="1"/>
  <c r="AM116" i="1"/>
  <c r="AL155" i="1"/>
  <c r="AV108" i="1"/>
  <c r="BJ160" i="1"/>
  <c r="AI134" i="1"/>
  <c r="AW179" i="1"/>
  <c r="AX124" i="1"/>
  <c r="AY164" i="1"/>
  <c r="BH105" i="1"/>
  <c r="AQ148" i="1"/>
  <c r="Y210" i="1"/>
  <c r="BK115" i="1"/>
  <c r="BP115" i="1" s="1"/>
  <c r="BQ115" i="1" s="1"/>
  <c r="BE149" i="1"/>
  <c r="AJ204" i="1"/>
  <c r="X123" i="1"/>
  <c r="AD153" i="1"/>
  <c r="AL204" i="1"/>
  <c r="V124" i="1"/>
  <c r="R159" i="1"/>
  <c r="AG195" i="1"/>
  <c r="AD186" i="1"/>
  <c r="BC215" i="1"/>
  <c r="W189" i="1"/>
  <c r="AO219" i="1"/>
  <c r="AT198" i="1"/>
  <c r="E190" i="1"/>
  <c r="BI219" i="1"/>
  <c r="AY181" i="1"/>
  <c r="AK207" i="1"/>
  <c r="U170" i="1"/>
  <c r="AP195" i="1"/>
  <c r="G217" i="1"/>
  <c r="T176" i="1"/>
  <c r="AT210" i="1"/>
  <c r="AA186" i="1"/>
  <c r="I984" i="2"/>
  <c r="I469" i="2"/>
  <c r="I341" i="2"/>
  <c r="I905" i="2"/>
  <c r="I817" i="2"/>
  <c r="I743" i="2"/>
  <c r="I642" i="2"/>
  <c r="I421" i="2"/>
  <c r="I362" i="2"/>
  <c r="I305" i="2"/>
  <c r="I800" i="2"/>
  <c r="I740" i="2"/>
  <c r="I670" i="2"/>
  <c r="I307" i="2"/>
  <c r="I1197" i="2"/>
  <c r="I1075" i="2"/>
  <c r="I974" i="2"/>
  <c r="I687" i="2"/>
  <c r="I552" i="2"/>
  <c r="I50" i="2"/>
  <c r="I1115" i="2"/>
  <c r="I878" i="2"/>
  <c r="I837" i="2"/>
  <c r="I609" i="2"/>
  <c r="I754" i="2"/>
  <c r="I610" i="2"/>
  <c r="I458" i="2"/>
  <c r="I581" i="2"/>
  <c r="I971" i="2"/>
  <c r="I647" i="2"/>
  <c r="I230" i="2"/>
  <c r="I1257" i="2"/>
  <c r="I1166" i="2"/>
  <c r="I1122" i="2"/>
  <c r="I1021" i="2"/>
  <c r="I1043" i="2"/>
  <c r="I1006" i="2"/>
  <c r="I872" i="2"/>
  <c r="I531" i="2"/>
  <c r="I477" i="2"/>
  <c r="I1151" i="2"/>
  <c r="I1049" i="2"/>
  <c r="I755" i="2"/>
  <c r="I294" i="2"/>
  <c r="I237" i="2"/>
  <c r="I468" i="2"/>
  <c r="I521" i="2"/>
  <c r="I47" i="2"/>
  <c r="I74" i="2"/>
  <c r="I666" i="2"/>
  <c r="I304" i="2"/>
  <c r="I60" i="2"/>
  <c r="I962" i="2"/>
  <c r="I588" i="2"/>
  <c r="I1201" i="2"/>
  <c r="I1086" i="2"/>
  <c r="I915" i="2"/>
  <c r="I1008" i="2"/>
  <c r="I691" i="2"/>
  <c r="I319" i="2"/>
  <c r="I681" i="2"/>
  <c r="I665" i="2"/>
  <c r="I655" i="2"/>
  <c r="I715" i="2"/>
  <c r="I505" i="2"/>
  <c r="I780" i="2"/>
  <c r="I591" i="2"/>
  <c r="I445" i="2"/>
  <c r="I673" i="2"/>
  <c r="I594" i="2"/>
  <c r="I446" i="2"/>
  <c r="I276" i="2"/>
  <c r="I1027" i="2"/>
  <c r="I628" i="2"/>
  <c r="I354" i="2"/>
  <c r="I939" i="2"/>
  <c r="I133" i="2"/>
  <c r="I382" i="2"/>
  <c r="I215" i="2"/>
  <c r="I131" i="2"/>
  <c r="I788" i="2"/>
  <c r="I539" i="2"/>
  <c r="Q127" i="1"/>
  <c r="AD127" i="1"/>
  <c r="AR134" i="1"/>
  <c r="BJ179" i="1"/>
  <c r="D98" i="1"/>
  <c r="BM111" i="1"/>
  <c r="AE132" i="1"/>
  <c r="AK160" i="1"/>
  <c r="BL201" i="1"/>
  <c r="AE133" i="1"/>
  <c r="BJ106" i="1"/>
  <c r="AG126" i="1"/>
  <c r="AZ152" i="1"/>
  <c r="AM184" i="1"/>
  <c r="BL96" i="1"/>
  <c r="BN110" i="1"/>
  <c r="D130" i="1"/>
  <c r="BB152" i="1"/>
  <c r="L152" i="1" s="1"/>
  <c r="Y180" i="1"/>
  <c r="W125" i="1"/>
  <c r="O148" i="1"/>
  <c r="Q178" i="1"/>
  <c r="P100" i="1"/>
  <c r="AX99" i="1"/>
  <c r="Y118" i="1"/>
  <c r="BF139" i="1"/>
  <c r="Q167" i="1"/>
  <c r="AY212" i="1"/>
  <c r="AU102" i="1"/>
  <c r="H123" i="1"/>
  <c r="AE143" i="1"/>
  <c r="AW172" i="1"/>
  <c r="AR101" i="1"/>
  <c r="BO97" i="1"/>
  <c r="BD166" i="1"/>
  <c r="R95" i="1"/>
  <c r="W109" i="1"/>
  <c r="G129" i="1"/>
  <c r="AR149" i="1"/>
  <c r="BF180" i="1"/>
  <c r="AF122" i="1"/>
  <c r="F95" i="1"/>
  <c r="I107" i="1"/>
  <c r="I129" i="1"/>
  <c r="BF150" i="1"/>
  <c r="H183" i="1"/>
  <c r="I97" i="1"/>
  <c r="R110" i="1"/>
  <c r="BN132" i="1"/>
  <c r="Q153" i="1"/>
  <c r="AJ195" i="1"/>
  <c r="W95" i="1"/>
  <c r="AJ109" i="1"/>
  <c r="J134" i="1"/>
  <c r="AF154" i="1"/>
  <c r="AS195" i="1"/>
  <c r="AS123" i="1"/>
  <c r="AQ98" i="1"/>
  <c r="BJ154" i="1"/>
  <c r="E119" i="1"/>
  <c r="BR119" i="1" s="1"/>
  <c r="BS119" i="1" s="1"/>
  <c r="BK102" i="1"/>
  <c r="BP102" i="1" s="1"/>
  <c r="BE118" i="1"/>
  <c r="U146" i="1"/>
  <c r="AK171" i="1"/>
  <c r="G220" i="1"/>
  <c r="H105" i="1"/>
  <c r="AP123" i="1"/>
  <c r="AK147" i="1"/>
  <c r="AM171" i="1"/>
  <c r="BC96" i="1"/>
  <c r="AL101" i="1"/>
  <c r="AH116" i="1"/>
  <c r="I139" i="1"/>
  <c r="V163" i="1"/>
  <c r="BG208" i="1"/>
  <c r="AM98" i="1"/>
  <c r="F103" i="1"/>
  <c r="AB107" i="1"/>
  <c r="AF111" i="1"/>
  <c r="AZ115" i="1"/>
  <c r="U120" i="1"/>
  <c r="Y124" i="1"/>
  <c r="AS128" i="1"/>
  <c r="BM132" i="1"/>
  <c r="K132" i="1" s="1"/>
  <c r="AH137" i="1"/>
  <c r="V141" i="1"/>
  <c r="AP145" i="1"/>
  <c r="I150" i="1"/>
  <c r="AE154" i="1"/>
  <c r="AQ159" i="1"/>
  <c r="BE165" i="1"/>
  <c r="BK171" i="1"/>
  <c r="BP171" i="1" s="1"/>
  <c r="BQ171" i="1" s="1"/>
  <c r="AH179" i="1"/>
  <c r="AO188" i="1"/>
  <c r="T198" i="1"/>
  <c r="Z207" i="1"/>
  <c r="U220" i="1"/>
  <c r="BE98" i="1"/>
  <c r="H103" i="1"/>
  <c r="AT107" i="1"/>
  <c r="BN111" i="1"/>
  <c r="BB115" i="1"/>
  <c r="L115" i="1" s="1"/>
  <c r="E120" i="1"/>
  <c r="BR120" i="1" s="1"/>
  <c r="BS120" i="1" s="1"/>
  <c r="AQ124" i="1"/>
  <c r="BK128" i="1"/>
  <c r="BP128" i="1" s="1"/>
  <c r="BO132" i="1"/>
  <c r="T137" i="1"/>
  <c r="AN141" i="1"/>
  <c r="BH145" i="1"/>
  <c r="BL149" i="1"/>
  <c r="AG154" i="1"/>
  <c r="AS159" i="1"/>
  <c r="BL164" i="1"/>
  <c r="BE170" i="1"/>
  <c r="U178" i="1"/>
  <c r="AR185" i="1"/>
  <c r="AM194" i="1"/>
  <c r="R204" i="1"/>
  <c r="G214" i="1"/>
  <c r="T100" i="1"/>
  <c r="AN104" i="1"/>
  <c r="BH108" i="1"/>
  <c r="BL112" i="1"/>
  <c r="AG117" i="1"/>
  <c r="BA121" i="1"/>
  <c r="BE125" i="1"/>
  <c r="H130" i="1"/>
  <c r="AT134" i="1"/>
  <c r="BN138" i="1"/>
  <c r="BB142" i="1"/>
  <c r="L142" i="1" s="1"/>
  <c r="E147" i="1"/>
  <c r="BR147" i="1" s="1"/>
  <c r="BS147" i="1" s="1"/>
  <c r="AQ151" i="1"/>
  <c r="V156" i="1"/>
  <c r="BF160" i="1"/>
  <c r="AN166" i="1"/>
  <c r="F173" i="1"/>
  <c r="AA181" i="1"/>
  <c r="AZ189" i="1"/>
  <c r="AI200" i="1"/>
  <c r="G210" i="1"/>
  <c r="AM110" i="1"/>
  <c r="F115" i="1"/>
  <c r="AB119" i="1"/>
  <c r="AF123" i="1"/>
  <c r="AZ127" i="1"/>
  <c r="U132" i="1"/>
  <c r="Y136" i="1"/>
  <c r="AS140" i="1"/>
  <c r="BM144" i="1"/>
  <c r="K144" i="1" s="1"/>
  <c r="AH149" i="1"/>
  <c r="V153" i="1"/>
  <c r="BN157" i="1"/>
  <c r="AZ162" i="1"/>
  <c r="AU168" i="1"/>
  <c r="BE175" i="1"/>
  <c r="BB183" i="1"/>
  <c r="L183" i="1" s="1"/>
  <c r="BL191" i="1"/>
  <c r="AS202" i="1"/>
  <c r="Z212" i="1"/>
  <c r="AJ96" i="1"/>
  <c r="BB100" i="1"/>
  <c r="L100" i="1" s="1"/>
  <c r="E105" i="1"/>
  <c r="BR105" i="1" s="1"/>
  <c r="BS105" i="1" s="1"/>
  <c r="AQ109" i="1"/>
  <c r="BK113" i="1"/>
  <c r="BP113" i="1" s="1"/>
  <c r="BO117" i="1"/>
  <c r="T122" i="1"/>
  <c r="AN126" i="1"/>
  <c r="BH130" i="1"/>
  <c r="BL134" i="1"/>
  <c r="AG139" i="1"/>
  <c r="BA143" i="1"/>
  <c r="BE147" i="1"/>
  <c r="H152" i="1"/>
  <c r="AP156" i="1"/>
  <c r="J161" i="1"/>
  <c r="AQ166" i="1"/>
  <c r="AJ173" i="1"/>
  <c r="BO180" i="1"/>
  <c r="BB188" i="1"/>
  <c r="L188" i="1" s="1"/>
  <c r="BG197" i="1"/>
  <c r="AH207" i="1"/>
  <c r="BL217" i="1"/>
  <c r="BM97" i="1"/>
  <c r="K97" i="1" s="1"/>
  <c r="AG102" i="1"/>
  <c r="BA106" i="1"/>
  <c r="BE110" i="1"/>
  <c r="H115" i="1"/>
  <c r="AT119" i="1"/>
  <c r="BN123" i="1"/>
  <c r="BB127" i="1"/>
  <c r="L127" i="1" s="1"/>
  <c r="E132" i="1"/>
  <c r="AQ136" i="1"/>
  <c r="BK140" i="1"/>
  <c r="BP140" i="1" s="1"/>
  <c r="BO144" i="1"/>
  <c r="T149" i="1"/>
  <c r="AN153" i="1"/>
  <c r="BH158" i="1"/>
  <c r="AV164" i="1"/>
  <c r="AU171" i="1"/>
  <c r="AT179" i="1"/>
  <c r="BC188" i="1"/>
  <c r="BH197" i="1"/>
  <c r="AP208" i="1"/>
  <c r="AR221" i="1"/>
  <c r="BJ98" i="1"/>
  <c r="O103" i="1"/>
  <c r="S107" i="1"/>
  <c r="W111" i="1"/>
  <c r="BG115" i="1"/>
  <c r="J120" i="1"/>
  <c r="P124" i="1"/>
  <c r="AJ128" i="1"/>
  <c r="BD132" i="1"/>
  <c r="G137" i="1"/>
  <c r="AC141" i="1"/>
  <c r="AW145" i="1"/>
  <c r="R150" i="1"/>
  <c r="D154" i="1"/>
  <c r="BI158" i="1"/>
  <c r="AW164" i="1"/>
  <c r="AV171" i="1"/>
  <c r="AF178" i="1"/>
  <c r="O186" i="1"/>
  <c r="AZ194" i="1"/>
  <c r="Y204" i="1"/>
  <c r="AT213" i="1"/>
  <c r="AN111" i="1"/>
  <c r="BH115" i="1"/>
  <c r="BL119" i="1"/>
  <c r="AG124" i="1"/>
  <c r="BA128" i="1"/>
  <c r="BE132" i="1"/>
  <c r="H137" i="1"/>
  <c r="AT141" i="1"/>
  <c r="BN145" i="1"/>
  <c r="BB149" i="1"/>
  <c r="L149" i="1" s="1"/>
  <c r="E154" i="1"/>
  <c r="BJ158" i="1"/>
  <c r="G164" i="1"/>
  <c r="O170" i="1"/>
  <c r="X176" i="1"/>
  <c r="Z185" i="1"/>
  <c r="R194" i="1"/>
  <c r="BH203" i="1"/>
  <c r="F213" i="1"/>
  <c r="BD96" i="1"/>
  <c r="W101" i="1"/>
  <c r="BG105" i="1"/>
  <c r="J110" i="1"/>
  <c r="P114" i="1"/>
  <c r="AJ118" i="1"/>
  <c r="BD122" i="1"/>
  <c r="G127" i="1"/>
  <c r="AC131" i="1"/>
  <c r="AW135" i="1"/>
  <c r="R140" i="1"/>
  <c r="D144" i="1"/>
  <c r="Z148" i="1"/>
  <c r="BJ152" i="1"/>
  <c r="Q157" i="1"/>
  <c r="AK162" i="1"/>
  <c r="BB168" i="1"/>
  <c r="L168" i="1" s="1"/>
  <c r="H175" i="1"/>
  <c r="AH183" i="1"/>
  <c r="F192" i="1"/>
  <c r="P201" i="1"/>
  <c r="BL210" i="1"/>
  <c r="BI95" i="1"/>
  <c r="I100" i="1"/>
  <c r="AE104" i="1"/>
  <c r="AI108" i="1"/>
  <c r="AM112" i="1"/>
  <c r="F117" i="1"/>
  <c r="AB121" i="1"/>
  <c r="AF125" i="1"/>
  <c r="AZ129" i="1"/>
  <c r="U134" i="1"/>
  <c r="Y138" i="1"/>
  <c r="AS142" i="1"/>
  <c r="BM146" i="1"/>
  <c r="AH151" i="1"/>
  <c r="X155" i="1"/>
  <c r="F160" i="1"/>
  <c r="AB165" i="1"/>
  <c r="BB171" i="1"/>
  <c r="L171" i="1" s="1"/>
  <c r="AJ178" i="1"/>
  <c r="BE186" i="1"/>
  <c r="BK195" i="1"/>
  <c r="BP195" i="1" s="1"/>
  <c r="AS206" i="1"/>
  <c r="AK216" i="1"/>
  <c r="V97" i="1"/>
  <c r="Y101" i="1"/>
  <c r="AS105" i="1"/>
  <c r="BM109" i="1"/>
  <c r="AH114" i="1"/>
  <c r="V118" i="1"/>
  <c r="AP122" i="1"/>
  <c r="I127" i="1"/>
  <c r="AE131" i="1"/>
  <c r="AI135" i="1"/>
  <c r="AM139" i="1"/>
  <c r="F144" i="1"/>
  <c r="AB148" i="1"/>
  <c r="AF152" i="1"/>
  <c r="AX156" i="1"/>
  <c r="BJ161" i="1"/>
  <c r="AF167" i="1"/>
  <c r="AD174" i="1"/>
  <c r="F182" i="1"/>
  <c r="I192" i="1"/>
  <c r="BA200" i="1"/>
  <c r="BN210" i="1"/>
  <c r="J96" i="1"/>
  <c r="AC100" i="1"/>
  <c r="AW104" i="1"/>
  <c r="R109" i="1"/>
  <c r="D113" i="1"/>
  <c r="Z117" i="1"/>
  <c r="BJ121" i="1"/>
  <c r="O126" i="1"/>
  <c r="S130" i="1"/>
  <c r="W134" i="1"/>
  <c r="BG138" i="1"/>
  <c r="J143" i="1"/>
  <c r="P147" i="1"/>
  <c r="AJ151" i="1"/>
  <c r="BJ155" i="1"/>
  <c r="W161" i="1"/>
  <c r="BA166" i="1"/>
  <c r="V173" i="1"/>
  <c r="J181" i="1"/>
  <c r="I191" i="1"/>
  <c r="BC200" i="1"/>
  <c r="AT212" i="1"/>
  <c r="G97" i="1"/>
  <c r="AQ101" i="1"/>
  <c r="BK105" i="1"/>
  <c r="BP105" i="1" s="1"/>
  <c r="BO109" i="1"/>
  <c r="T114" i="1"/>
  <c r="AN118" i="1"/>
  <c r="BH122" i="1"/>
  <c r="BL126" i="1"/>
  <c r="AG131" i="1"/>
  <c r="BA135" i="1"/>
  <c r="BE139" i="1"/>
  <c r="H144" i="1"/>
  <c r="AT148" i="1"/>
  <c r="BN152" i="1"/>
  <c r="AM157" i="1"/>
  <c r="AO162" i="1"/>
  <c r="BE167" i="1"/>
  <c r="E174" i="1"/>
  <c r="BR174" i="1" s="1"/>
  <c r="BS174" i="1" s="1"/>
  <c r="AT181" i="1"/>
  <c r="O192" i="1"/>
  <c r="AB201" i="1"/>
  <c r="AJ211" i="1"/>
  <c r="W167" i="1"/>
  <c r="BG171" i="1"/>
  <c r="J176" i="1"/>
  <c r="P180" i="1"/>
  <c r="AJ184" i="1"/>
  <c r="BD188" i="1"/>
  <c r="G193" i="1"/>
  <c r="AC197" i="1"/>
  <c r="AW201" i="1"/>
  <c r="R206" i="1"/>
  <c r="D210" i="1"/>
  <c r="Z214" i="1"/>
  <c r="U219" i="1"/>
  <c r="AV170" i="1"/>
  <c r="Q175" i="1"/>
  <c r="AK179" i="1"/>
  <c r="AO183" i="1"/>
  <c r="BI187" i="1"/>
  <c r="AD192" i="1"/>
  <c r="AX196" i="1"/>
  <c r="AL200" i="1"/>
  <c r="BF204" i="1"/>
  <c r="AA209" i="1"/>
  <c r="AU213" i="1"/>
  <c r="BC217" i="1"/>
  <c r="AI175" i="1"/>
  <c r="AM179" i="1"/>
  <c r="F184" i="1"/>
  <c r="AB188" i="1"/>
  <c r="AF192" i="1"/>
  <c r="AZ196" i="1"/>
  <c r="U201" i="1"/>
  <c r="Y205" i="1"/>
  <c r="AS209" i="1"/>
  <c r="BM213" i="1"/>
  <c r="E218" i="1"/>
  <c r="U180" i="1"/>
  <c r="Y184" i="1"/>
  <c r="AS188" i="1"/>
  <c r="BM192" i="1"/>
  <c r="K192" i="1" s="1"/>
  <c r="AH197" i="1"/>
  <c r="V201" i="1"/>
  <c r="AP205" i="1"/>
  <c r="I210" i="1"/>
  <c r="AE214" i="1"/>
  <c r="Z218" i="1"/>
  <c r="BD158" i="1"/>
  <c r="G163" i="1"/>
  <c r="AC167" i="1"/>
  <c r="AW171" i="1"/>
  <c r="R176" i="1"/>
  <c r="D180" i="1"/>
  <c r="Z184" i="1"/>
  <c r="BJ188" i="1"/>
  <c r="O193" i="1"/>
  <c r="S197" i="1"/>
  <c r="W201" i="1"/>
  <c r="BG205" i="1"/>
  <c r="J210" i="1"/>
  <c r="P214" i="1"/>
  <c r="AA218" i="1"/>
  <c r="BN155" i="1"/>
  <c r="BB159" i="1"/>
  <c r="L159" i="1" s="1"/>
  <c r="E164" i="1"/>
  <c r="BR164" i="1" s="1"/>
  <c r="BS164" i="1" s="1"/>
  <c r="AQ168" i="1"/>
  <c r="BK172" i="1"/>
  <c r="BP172" i="1" s="1"/>
  <c r="BO176" i="1"/>
  <c r="T181" i="1"/>
  <c r="AN185" i="1"/>
  <c r="BH189" i="1"/>
  <c r="BL193" i="1"/>
  <c r="AG198" i="1"/>
  <c r="BA202" i="1"/>
  <c r="BE206" i="1"/>
  <c r="H211" i="1"/>
  <c r="AT215" i="1"/>
  <c r="AT219" i="1"/>
  <c r="AS157" i="1"/>
  <c r="BM161" i="1"/>
  <c r="AH166" i="1"/>
  <c r="V170" i="1"/>
  <c r="AP174" i="1"/>
  <c r="I179" i="1"/>
  <c r="AE183" i="1"/>
  <c r="AI187" i="1"/>
  <c r="AM191" i="1"/>
  <c r="F196" i="1"/>
  <c r="AB200" i="1"/>
  <c r="AF204" i="1"/>
  <c r="AZ208" i="1"/>
  <c r="U213" i="1"/>
  <c r="AA217" i="1"/>
  <c r="K1" i="2"/>
  <c r="F191" i="1"/>
  <c r="AB195" i="1"/>
  <c r="AF199" i="1"/>
  <c r="AZ203" i="1"/>
  <c r="U208" i="1"/>
  <c r="Y212" i="1"/>
  <c r="AS216" i="1"/>
  <c r="Q221" i="1"/>
  <c r="AE216" i="1"/>
  <c r="AZ220" i="1"/>
  <c r="S215" i="1"/>
  <c r="Q219" i="1"/>
  <c r="P163" i="1"/>
  <c r="AJ167" i="1"/>
  <c r="BD171" i="1"/>
  <c r="G176" i="1"/>
  <c r="AC180" i="1"/>
  <c r="AW184" i="1"/>
  <c r="R189" i="1"/>
  <c r="D193" i="1"/>
  <c r="Z197" i="1"/>
  <c r="BJ201" i="1"/>
  <c r="O206" i="1"/>
  <c r="S210" i="1"/>
  <c r="W214" i="1"/>
  <c r="AY218" i="1"/>
  <c r="AR217" i="1"/>
  <c r="AV221" i="1"/>
  <c r="I891" i="2"/>
  <c r="I661" i="2"/>
  <c r="I283" i="2"/>
  <c r="I729" i="2"/>
  <c r="I644" i="2"/>
  <c r="I1138" i="2"/>
  <c r="I1156" i="2"/>
  <c r="AZ214" i="1"/>
  <c r="Q137" i="1"/>
  <c r="P148" i="1"/>
  <c r="BA99" i="1"/>
  <c r="BH159" i="1"/>
  <c r="AZ109" i="1"/>
  <c r="BD108" i="1"/>
  <c r="AQ123" i="1"/>
  <c r="AU138" i="1"/>
  <c r="BC181" i="1"/>
  <c r="BD125" i="1"/>
  <c r="BI166" i="1"/>
  <c r="BJ118" i="1"/>
  <c r="AJ148" i="1"/>
  <c r="AK116" i="1"/>
  <c r="BH170" i="1"/>
  <c r="AJ106" i="1"/>
  <c r="BO157" i="1"/>
  <c r="H95" i="1"/>
  <c r="BD137" i="1"/>
  <c r="E96" i="1"/>
  <c r="BM129" i="1"/>
  <c r="K129" i="1" s="1"/>
  <c r="BE188" i="1"/>
  <c r="O130" i="1"/>
  <c r="E172" i="1"/>
  <c r="Y111" i="1"/>
  <c r="F154" i="1"/>
  <c r="X101" i="1"/>
  <c r="AD131" i="1"/>
  <c r="AG189" i="1"/>
  <c r="BC123" i="1"/>
  <c r="T177" i="1"/>
  <c r="AM118" i="1"/>
  <c r="BE168" i="1"/>
  <c r="AW115" i="1"/>
  <c r="BO158" i="1"/>
  <c r="Y177" i="1"/>
  <c r="AN220" i="1"/>
  <c r="BH214" i="1"/>
  <c r="BF210" i="1"/>
  <c r="AR215" i="1"/>
  <c r="AM185" i="1"/>
  <c r="P161" i="1"/>
  <c r="Z195" i="1"/>
  <c r="BC175" i="1"/>
  <c r="AX214" i="1"/>
  <c r="AF216" i="1"/>
  <c r="I1192" i="2"/>
  <c r="I1062" i="2"/>
  <c r="I859" i="2"/>
  <c r="I251" i="2"/>
  <c r="I236" i="2"/>
  <c r="I150" i="2"/>
  <c r="I54" i="2"/>
  <c r="I518" i="2"/>
  <c r="I351" i="2"/>
  <c r="I121" i="2"/>
  <c r="I980" i="2"/>
  <c r="I765" i="2"/>
  <c r="I721" i="2"/>
  <c r="I611" i="2"/>
  <c r="I365" i="2"/>
  <c r="I300" i="2"/>
  <c r="I559" i="2"/>
  <c r="I462" i="2"/>
  <c r="J103" i="1"/>
  <c r="BF134" i="1"/>
  <c r="AU132" i="1"/>
  <c r="BF107" i="1"/>
  <c r="AE201" i="1"/>
  <c r="AD112" i="1"/>
  <c r="AK164" i="1"/>
  <c r="AI115" i="1"/>
  <c r="O97" i="1"/>
  <c r="BD124" i="1"/>
  <c r="BN121" i="1"/>
  <c r="T147" i="1"/>
  <c r="BF191" i="1"/>
  <c r="AB113" i="1"/>
  <c r="AH143" i="1"/>
  <c r="AF173" i="1"/>
  <c r="AP114" i="1"/>
  <c r="F136" i="1"/>
  <c r="AT168" i="1"/>
  <c r="BE120" i="1"/>
  <c r="BO154" i="1"/>
  <c r="BD217" i="1"/>
  <c r="V132" i="1"/>
  <c r="BN191" i="1"/>
  <c r="AF129" i="1"/>
  <c r="BI182" i="1"/>
  <c r="Q113" i="1"/>
  <c r="AU151" i="1"/>
  <c r="AH113" i="1"/>
  <c r="AF151" i="1"/>
  <c r="AV98" i="1"/>
  <c r="AA137" i="1"/>
  <c r="V195" i="1"/>
  <c r="BE122" i="1"/>
  <c r="BO156" i="1"/>
  <c r="BN98" i="1"/>
  <c r="T124" i="1"/>
  <c r="BD163" i="1"/>
  <c r="BF101" i="1"/>
  <c r="Q136" i="1"/>
  <c r="Q163" i="1"/>
  <c r="U103" i="1"/>
  <c r="AE137" i="1"/>
  <c r="X170" i="1"/>
  <c r="Q169" i="1"/>
  <c r="BF198" i="1"/>
  <c r="BJ176" i="1"/>
  <c r="P202" i="1"/>
  <c r="BA185" i="1"/>
  <c r="AQ215" i="1"/>
  <c r="T207" i="1"/>
  <c r="AA173" i="1"/>
  <c r="AV198" i="1"/>
  <c r="AB157" i="1"/>
  <c r="BM182" i="1"/>
  <c r="K182" i="1" s="1"/>
  <c r="AI208" i="1"/>
  <c r="BK167" i="1"/>
  <c r="BP167" i="1" s="1"/>
  <c r="AG193" i="1"/>
  <c r="BE201" i="1"/>
  <c r="AG188" i="1"/>
  <c r="AT205" i="1"/>
  <c r="BB213" i="1"/>
  <c r="L213" i="1" s="1"/>
  <c r="P220" i="1"/>
  <c r="AR212" i="1"/>
  <c r="BI164" i="1"/>
  <c r="I226" i="2"/>
  <c r="I265" i="2"/>
  <c r="I680" i="2"/>
  <c r="I59" i="2"/>
  <c r="I571" i="2"/>
  <c r="I439" i="2"/>
  <c r="I89" i="2"/>
  <c r="I943" i="2"/>
  <c r="I633" i="2"/>
  <c r="I566" i="2"/>
  <c r="I86" i="2"/>
  <c r="I612" i="2"/>
  <c r="I480" i="2"/>
  <c r="I441" i="2"/>
  <c r="I431" i="2"/>
  <c r="I1114" i="2"/>
  <c r="I1018" i="2"/>
  <c r="I896" i="2"/>
  <c r="I914" i="2"/>
  <c r="I427" i="2"/>
  <c r="I203" i="2"/>
  <c r="I1171" i="2"/>
  <c r="I1104" i="2"/>
  <c r="I808" i="2"/>
  <c r="I392" i="2"/>
  <c r="I380" i="2"/>
  <c r="I1036" i="2"/>
  <c r="I605" i="2"/>
  <c r="I547" i="2"/>
  <c r="I515" i="2"/>
  <c r="I124" i="2"/>
  <c r="I1186" i="2"/>
  <c r="I828" i="2"/>
  <c r="I360" i="2"/>
  <c r="I378" i="2"/>
  <c r="I414" i="2"/>
  <c r="I756" i="2"/>
  <c r="I541" i="2"/>
  <c r="I528" i="2"/>
  <c r="I1119" i="2"/>
  <c r="I1087" i="2"/>
  <c r="I1082" i="2"/>
  <c r="I900" i="2"/>
  <c r="I353" i="2"/>
  <c r="I83" i="2"/>
  <c r="I49" i="2"/>
  <c r="I379" i="2"/>
  <c r="I142" i="2"/>
  <c r="I897" i="2"/>
  <c r="I669" i="2"/>
  <c r="I154" i="2"/>
  <c r="I91" i="2"/>
  <c r="I747" i="2"/>
  <c r="I710" i="2"/>
  <c r="I525" i="2"/>
  <c r="I936" i="2"/>
  <c r="I826" i="2"/>
  <c r="I641" i="2"/>
  <c r="I951" i="2"/>
  <c r="I738" i="2"/>
  <c r="I126" i="2"/>
  <c r="I397" i="2"/>
  <c r="I232" i="2"/>
  <c r="I38" i="2"/>
  <c r="I988" i="2"/>
  <c r="I696" i="2"/>
  <c r="I625" i="2"/>
  <c r="I712" i="2"/>
  <c r="I1224" i="2"/>
  <c r="I1074" i="2"/>
  <c r="I899" i="2"/>
  <c r="I485" i="2"/>
  <c r="I599" i="2"/>
  <c r="I1215" i="2"/>
  <c r="I638" i="2"/>
  <c r="I388" i="2"/>
  <c r="I273" i="2"/>
  <c r="I464" i="2"/>
  <c r="I119" i="2"/>
  <c r="I834" i="2"/>
  <c r="I695" i="2"/>
  <c r="I689" i="2"/>
  <c r="I925" i="2"/>
  <c r="I667" i="2"/>
  <c r="I590" i="2"/>
  <c r="I243" i="2"/>
  <c r="I144" i="2"/>
  <c r="I1158" i="2"/>
  <c r="I989" i="2"/>
  <c r="I733" i="2"/>
  <c r="I324" i="2"/>
  <c r="I193" i="2"/>
  <c r="I338" i="2"/>
  <c r="I293" i="2"/>
  <c r="AB133" i="1"/>
  <c r="P132" i="1"/>
  <c r="AN140" i="1"/>
  <c r="AE186" i="1"/>
  <c r="BA98" i="1"/>
  <c r="G113" i="1"/>
  <c r="AR133" i="1"/>
  <c r="V162" i="1"/>
  <c r="AO204" i="1"/>
  <c r="BE135" i="1"/>
  <c r="AQ107" i="1"/>
  <c r="AT127" i="1"/>
  <c r="BM153" i="1"/>
  <c r="K153" i="1" s="1"/>
  <c r="BK186" i="1"/>
  <c r="BP186" i="1" s="1"/>
  <c r="AI97" i="1"/>
  <c r="I112" i="1"/>
  <c r="U131" i="1"/>
  <c r="BO153" i="1"/>
  <c r="U182" i="1"/>
  <c r="AJ126" i="1"/>
  <c r="AB149" i="1"/>
  <c r="Z180" i="1"/>
  <c r="BC106" i="1"/>
  <c r="AF100" i="1"/>
  <c r="AL119" i="1"/>
  <c r="Q142" i="1"/>
  <c r="BN168" i="1"/>
  <c r="X215" i="1"/>
  <c r="AB103" i="1"/>
  <c r="W124" i="1"/>
  <c r="AR144" i="1"/>
  <c r="AM174" i="1"/>
  <c r="BC103" i="1"/>
  <c r="AB99" i="1"/>
  <c r="BL171" i="1"/>
  <c r="BG95" i="1"/>
  <c r="E110" i="1"/>
  <c r="X130" i="1"/>
  <c r="BE150" i="1"/>
  <c r="I185" i="1"/>
  <c r="AD128" i="1"/>
  <c r="AP102" i="1"/>
  <c r="BI107" i="1"/>
  <c r="AK130" i="1"/>
  <c r="P153" i="1"/>
  <c r="AH185" i="1"/>
  <c r="AY97" i="1"/>
  <c r="AD111" i="1"/>
  <c r="H134" i="1"/>
  <c r="AD154" i="1"/>
  <c r="I198" i="1"/>
  <c r="AM96" i="1"/>
  <c r="T110" i="1"/>
  <c r="Y135" i="1"/>
  <c r="AW155" i="1"/>
  <c r="BK200" i="1"/>
  <c r="BP200" i="1" s="1"/>
  <c r="BQ200" i="1" s="1"/>
  <c r="O132" i="1"/>
  <c r="AS101" i="1"/>
  <c r="AE160" i="1"/>
  <c r="Y145" i="1"/>
  <c r="AR103" i="1"/>
  <c r="P122" i="1"/>
  <c r="AI147" i="1"/>
  <c r="Z173" i="1"/>
  <c r="W151" i="1"/>
  <c r="BL105" i="1"/>
  <c r="BC124" i="1"/>
  <c r="AX148" i="1"/>
  <c r="AE173" i="1"/>
  <c r="AU101" i="1"/>
  <c r="S102" i="1"/>
  <c r="AU117" i="1"/>
  <c r="X140" i="1"/>
  <c r="BK164" i="1"/>
  <c r="BP164" i="1" s="1"/>
  <c r="AL211" i="1"/>
  <c r="BC98" i="1"/>
  <c r="X103" i="1"/>
  <c r="AR107" i="1"/>
  <c r="AV111" i="1"/>
  <c r="Q116" i="1"/>
  <c r="AK120" i="1"/>
  <c r="AO124" i="1"/>
  <c r="BI128" i="1"/>
  <c r="AD133" i="1"/>
  <c r="AX137" i="1"/>
  <c r="AL141" i="1"/>
  <c r="BF145" i="1"/>
  <c r="AA150" i="1"/>
  <c r="AU154" i="1"/>
  <c r="BJ159" i="1"/>
  <c r="J166" i="1"/>
  <c r="T172" i="1"/>
  <c r="BK179" i="1"/>
  <c r="BP179" i="1" s="1"/>
  <c r="F189" i="1"/>
  <c r="BB198" i="1"/>
  <c r="L198" i="1" s="1"/>
  <c r="BI207" i="1"/>
  <c r="W221" i="1"/>
  <c r="D99" i="1"/>
  <c r="Z103" i="1"/>
  <c r="BJ107" i="1"/>
  <c r="O112" i="1"/>
  <c r="S116" i="1"/>
  <c r="W120" i="1"/>
  <c r="BG124" i="1"/>
  <c r="J129" i="1"/>
  <c r="P133" i="1"/>
  <c r="AJ137" i="1"/>
  <c r="BD141" i="1"/>
  <c r="G146" i="1"/>
  <c r="AC150" i="1"/>
  <c r="AW154" i="1"/>
  <c r="BL159" i="1"/>
  <c r="P165" i="1"/>
  <c r="O171" i="1"/>
  <c r="AX178" i="1"/>
  <c r="F186" i="1"/>
  <c r="D195" i="1"/>
  <c r="AZ204" i="1"/>
  <c r="BA214" i="1"/>
  <c r="AJ100" i="1"/>
  <c r="BD104" i="1"/>
  <c r="G109" i="1"/>
  <c r="AC113" i="1"/>
  <c r="AW117" i="1"/>
  <c r="R122" i="1"/>
  <c r="D126" i="1"/>
  <c r="Z130" i="1"/>
  <c r="BJ134" i="1"/>
  <c r="O139" i="1"/>
  <c r="S143" i="1"/>
  <c r="W147" i="1"/>
  <c r="BG151" i="1"/>
  <c r="AN156" i="1"/>
  <c r="H161" i="1"/>
  <c r="BJ166" i="1"/>
  <c r="AG173" i="1"/>
  <c r="BG181" i="1"/>
  <c r="U190" i="1"/>
  <c r="AQ201" i="1"/>
  <c r="AW210" i="1"/>
  <c r="BC110" i="1"/>
  <c r="X115" i="1"/>
  <c r="AR119" i="1"/>
  <c r="AV123" i="1"/>
  <c r="Q128" i="1"/>
  <c r="AK132" i="1"/>
  <c r="AO136" i="1"/>
  <c r="BI140" i="1"/>
  <c r="AD145" i="1"/>
  <c r="AX149" i="1"/>
  <c r="AL153" i="1"/>
  <c r="Q158" i="1"/>
  <c r="AB163" i="1"/>
  <c r="AA169" i="1"/>
  <c r="Q176" i="1"/>
  <c r="S184" i="1"/>
  <c r="AE192" i="1"/>
  <c r="BB203" i="1"/>
  <c r="L203" i="1" s="1"/>
  <c r="BM212" i="1"/>
  <c r="K212" i="1" s="1"/>
  <c r="AZ96" i="1"/>
  <c r="S101" i="1"/>
  <c r="W105" i="1"/>
  <c r="BG109" i="1"/>
  <c r="J114" i="1"/>
  <c r="P118" i="1"/>
  <c r="AJ122" i="1"/>
  <c r="BD126" i="1"/>
  <c r="G131" i="1"/>
  <c r="AC135" i="1"/>
  <c r="AW139" i="1"/>
  <c r="R144" i="1"/>
  <c r="D148" i="1"/>
  <c r="Z152" i="1"/>
  <c r="BH156" i="1"/>
  <c r="AI161" i="1"/>
  <c r="BO166" i="1"/>
  <c r="BK173" i="1"/>
  <c r="BP173" i="1" s="1"/>
  <c r="AD181" i="1"/>
  <c r="T189" i="1"/>
  <c r="AA198" i="1"/>
  <c r="D208" i="1"/>
  <c r="AV218" i="1"/>
  <c r="AC98" i="1"/>
  <c r="AW102" i="1"/>
  <c r="R107" i="1"/>
  <c r="D111" i="1"/>
  <c r="Z115" i="1"/>
  <c r="BJ119" i="1"/>
  <c r="O124" i="1"/>
  <c r="S128" i="1"/>
  <c r="W132" i="1"/>
  <c r="BG136" i="1"/>
  <c r="J141" i="1"/>
  <c r="P145" i="1"/>
  <c r="AJ149" i="1"/>
  <c r="BD153" i="1"/>
  <c r="I159" i="1"/>
  <c r="W165" i="1"/>
  <c r="AC172" i="1"/>
  <c r="G180" i="1"/>
  <c r="V189" i="1"/>
  <c r="AC198" i="1"/>
  <c r="H209" i="1"/>
  <c r="I95" i="1"/>
  <c r="I99" i="1"/>
  <c r="AE103" i="1"/>
  <c r="AI107" i="1"/>
  <c r="AM111" i="1"/>
  <c r="F116" i="1"/>
  <c r="AB120" i="1"/>
  <c r="AF124" i="1"/>
  <c r="AZ128" i="1"/>
  <c r="U133" i="1"/>
  <c r="Y137" i="1"/>
  <c r="AS141" i="1"/>
  <c r="BM145" i="1"/>
  <c r="K145" i="1" s="1"/>
  <c r="AH150" i="1"/>
  <c r="V154" i="1"/>
  <c r="J159" i="1"/>
  <c r="X165" i="1"/>
  <c r="D172" i="1"/>
  <c r="BG178" i="1"/>
  <c r="AU186" i="1"/>
  <c r="R195" i="1"/>
  <c r="BN204" i="1"/>
  <c r="X214" i="1"/>
  <c r="BD111" i="1"/>
  <c r="G116" i="1"/>
  <c r="AC120" i="1"/>
  <c r="AW124" i="1"/>
  <c r="R129" i="1"/>
  <c r="D133" i="1"/>
  <c r="Z137" i="1"/>
  <c r="BJ141" i="1"/>
  <c r="O146" i="1"/>
  <c r="S150" i="1"/>
  <c r="W154" i="1"/>
  <c r="AF159" i="1"/>
  <c r="AD164" i="1"/>
  <c r="AO170" i="1"/>
  <c r="BB176" i="1"/>
  <c r="L176" i="1" s="1"/>
  <c r="BF185" i="1"/>
  <c r="BA194" i="1"/>
  <c r="AA204" i="1"/>
  <c r="AV213" i="1"/>
  <c r="T97" i="1"/>
  <c r="AM101" i="1"/>
  <c r="F106" i="1"/>
  <c r="AB110" i="1"/>
  <c r="AF114" i="1"/>
  <c r="AZ118" i="1"/>
  <c r="U123" i="1"/>
  <c r="Y127" i="1"/>
  <c r="AS131" i="1"/>
  <c r="BM135" i="1"/>
  <c r="AH140" i="1"/>
  <c r="V144" i="1"/>
  <c r="AP148" i="1"/>
  <c r="I153" i="1"/>
  <c r="AI157" i="1"/>
  <c r="BE162" i="1"/>
  <c r="I169" i="1"/>
  <c r="AJ175" i="1"/>
  <c r="BN183" i="1"/>
  <c r="AQ192" i="1"/>
  <c r="AZ201" i="1"/>
  <c r="AD211" i="1"/>
  <c r="H96" i="1"/>
  <c r="AA100" i="1"/>
  <c r="AU104" i="1"/>
  <c r="AY108" i="1"/>
  <c r="BC112" i="1"/>
  <c r="X117" i="1"/>
  <c r="AR121" i="1"/>
  <c r="AV125" i="1"/>
  <c r="Q130" i="1"/>
  <c r="AK134" i="1"/>
  <c r="AO138" i="1"/>
  <c r="BI142" i="1"/>
  <c r="AD147" i="1"/>
  <c r="AX151" i="1"/>
  <c r="AP155" i="1"/>
  <c r="AA160" i="1"/>
  <c r="AV165" i="1"/>
  <c r="I172" i="1"/>
  <c r="BM178" i="1"/>
  <c r="Y187" i="1"/>
  <c r="AD196" i="1"/>
  <c r="I207" i="1"/>
  <c r="V217" i="1"/>
  <c r="AL97" i="1"/>
  <c r="AO101" i="1"/>
  <c r="BI105" i="1"/>
  <c r="AD110" i="1"/>
  <c r="AX114" i="1"/>
  <c r="AL118" i="1"/>
  <c r="BF122" i="1"/>
  <c r="AA127" i="1"/>
  <c r="AU131" i="1"/>
  <c r="AY135" i="1"/>
  <c r="BC139" i="1"/>
  <c r="X144" i="1"/>
  <c r="AR148" i="1"/>
  <c r="AV152" i="1"/>
  <c r="S157" i="1"/>
  <c r="R162" i="1"/>
  <c r="BB167" i="1"/>
  <c r="L167" i="1" s="1"/>
  <c r="BC174" i="1"/>
  <c r="AN182" i="1"/>
  <c r="AU192" i="1"/>
  <c r="T201" i="1"/>
  <c r="AG211" i="1"/>
  <c r="AA96" i="1"/>
  <c r="AS100" i="1"/>
  <c r="BM104" i="1"/>
  <c r="K104" i="1" s="1"/>
  <c r="AH109" i="1"/>
  <c r="V113" i="1"/>
  <c r="AP117" i="1"/>
  <c r="I122" i="1"/>
  <c r="AE126" i="1"/>
  <c r="AI130" i="1"/>
  <c r="AM134" i="1"/>
  <c r="F139" i="1"/>
  <c r="AB143" i="1"/>
  <c r="AF147" i="1"/>
  <c r="AZ151" i="1"/>
  <c r="AG156" i="1"/>
  <c r="AQ161" i="1"/>
  <c r="G167" i="1"/>
  <c r="AV173" i="1"/>
  <c r="AR181" i="1"/>
  <c r="AT191" i="1"/>
  <c r="AA201" i="1"/>
  <c r="P213" i="1"/>
  <c r="X97" i="1"/>
  <c r="BG101" i="1"/>
  <c r="J106" i="1"/>
  <c r="P110" i="1"/>
  <c r="AJ114" i="1"/>
  <c r="BD118" i="1"/>
  <c r="G123" i="1"/>
  <c r="AC127" i="1"/>
  <c r="AW131" i="1"/>
  <c r="R136" i="1"/>
  <c r="D140" i="1"/>
  <c r="Z144" i="1"/>
  <c r="BJ148" i="1"/>
  <c r="O153" i="1"/>
  <c r="BE157" i="1"/>
  <c r="BL162" i="1"/>
  <c r="AK168" i="1"/>
  <c r="AG174" i="1"/>
  <c r="I182" i="1"/>
  <c r="BC192" i="1"/>
  <c r="BK201" i="1"/>
  <c r="BP201" i="1" s="1"/>
  <c r="AU212" i="1"/>
  <c r="AM167" i="1"/>
  <c r="F172" i="1"/>
  <c r="AB176" i="1"/>
  <c r="AF180" i="1"/>
  <c r="AZ184" i="1"/>
  <c r="U189" i="1"/>
  <c r="Y193" i="1"/>
  <c r="AS197" i="1"/>
  <c r="BM201" i="1"/>
  <c r="AH206" i="1"/>
  <c r="V210" i="1"/>
  <c r="AP214" i="1"/>
  <c r="AM219" i="1"/>
  <c r="BL170" i="1"/>
  <c r="AG175" i="1"/>
  <c r="BA179" i="1"/>
  <c r="BE183" i="1"/>
  <c r="H188" i="1"/>
  <c r="AT192" i="1"/>
  <c r="BN196" i="1"/>
  <c r="BB200" i="1"/>
  <c r="L200" i="1" s="1"/>
  <c r="E205" i="1"/>
  <c r="BR205" i="1" s="1"/>
  <c r="BS205" i="1" s="1"/>
  <c r="AQ209" i="1"/>
  <c r="BK213" i="1"/>
  <c r="BP213" i="1" s="1"/>
  <c r="V218" i="1"/>
  <c r="AY175" i="1"/>
  <c r="BC179" i="1"/>
  <c r="X184" i="1"/>
  <c r="AR188" i="1"/>
  <c r="AV192" i="1"/>
  <c r="Q197" i="1"/>
  <c r="AK201" i="1"/>
  <c r="AO205" i="1"/>
  <c r="BI209" i="1"/>
  <c r="AD214" i="1"/>
  <c r="X218" i="1"/>
  <c r="AK180" i="1"/>
  <c r="AO184" i="1"/>
  <c r="BI188" i="1"/>
  <c r="AD193" i="1"/>
  <c r="AX197" i="1"/>
  <c r="AL201" i="1"/>
  <c r="BF205" i="1"/>
  <c r="AA210" i="1"/>
  <c r="AU214" i="1"/>
  <c r="AQ218" i="1"/>
  <c r="U159" i="1"/>
  <c r="Y163" i="1"/>
  <c r="AS167" i="1"/>
  <c r="BM171" i="1"/>
  <c r="K171" i="1" s="1"/>
  <c r="AH176" i="1"/>
  <c r="V180" i="1"/>
  <c r="AP184" i="1"/>
  <c r="I189" i="1"/>
  <c r="AE193" i="1"/>
  <c r="AI197" i="1"/>
  <c r="AM201" i="1"/>
  <c r="F206" i="1"/>
  <c r="AB210" i="1"/>
  <c r="AF214" i="1"/>
  <c r="AR218" i="1"/>
  <c r="O156" i="1"/>
  <c r="S160" i="1"/>
  <c r="W164" i="1"/>
  <c r="BG168" i="1"/>
  <c r="J173" i="1"/>
  <c r="P177" i="1"/>
  <c r="AJ181" i="1"/>
  <c r="BD185" i="1"/>
  <c r="G190" i="1"/>
  <c r="AC194" i="1"/>
  <c r="AW198" i="1"/>
  <c r="R203" i="1"/>
  <c r="D207" i="1"/>
  <c r="Z211" i="1"/>
  <c r="BJ215" i="1"/>
  <c r="BK219" i="1"/>
  <c r="BP219" i="1" s="1"/>
  <c r="BQ219" i="1" s="1"/>
  <c r="BI157" i="1"/>
  <c r="AD162" i="1"/>
  <c r="AX166" i="1"/>
  <c r="AL170" i="1"/>
  <c r="BF174" i="1"/>
  <c r="AA179" i="1"/>
  <c r="AU183" i="1"/>
  <c r="AY187" i="1"/>
  <c r="BC191" i="1"/>
  <c r="X196" i="1"/>
  <c r="AR200" i="1"/>
  <c r="AV204" i="1"/>
  <c r="Q209" i="1"/>
  <c r="AK213" i="1"/>
  <c r="AS217" i="1"/>
  <c r="BC186" i="1"/>
  <c r="X191" i="1"/>
  <c r="AR195" i="1"/>
  <c r="AV199" i="1"/>
  <c r="Q204" i="1"/>
  <c r="AK208" i="1"/>
  <c r="AO212" i="1"/>
  <c r="BI216" i="1"/>
  <c r="AI221" i="1"/>
  <c r="AU216" i="1"/>
  <c r="S221" i="1"/>
  <c r="AI215" i="1"/>
  <c r="AH219" i="1"/>
  <c r="AF163" i="1"/>
  <c r="AZ167" i="1"/>
  <c r="U172" i="1"/>
  <c r="Y176" i="1"/>
  <c r="AS180" i="1"/>
  <c r="BM184" i="1"/>
  <c r="K184" i="1" s="1"/>
  <c r="AH189" i="1"/>
  <c r="V193" i="1"/>
  <c r="AP197" i="1"/>
  <c r="I202" i="1"/>
  <c r="AE206" i="1"/>
  <c r="AI210" i="1"/>
  <c r="AM214" i="1"/>
  <c r="R219" i="1"/>
  <c r="BH217" i="1"/>
  <c r="BL221" i="1"/>
  <c r="I924" i="2"/>
  <c r="I584" i="2"/>
  <c r="I412" i="2"/>
  <c r="I346" i="2"/>
  <c r="AE102" i="1"/>
  <c r="F197" i="1"/>
  <c r="AJ125" i="1"/>
  <c r="V136" i="1"/>
  <c r="BJ138" i="1"/>
  <c r="S152" i="1"/>
  <c r="AO108" i="1"/>
  <c r="AL167" i="1"/>
  <c r="AC134" i="1"/>
  <c r="AJ218" i="1"/>
  <c r="AU157" i="1"/>
  <c r="BI124" i="1"/>
  <c r="BN177" i="1"/>
  <c r="AW123" i="1"/>
  <c r="BF175" i="1"/>
  <c r="S112" i="1"/>
  <c r="AR166" i="1"/>
  <c r="AZ112" i="1"/>
  <c r="AM155" i="1"/>
  <c r="BJ125" i="1"/>
  <c r="T179" i="1"/>
  <c r="V128" i="1"/>
  <c r="R177" i="1"/>
  <c r="AO122" i="1"/>
  <c r="G181" i="1"/>
  <c r="X128" i="1"/>
  <c r="AK169" i="1"/>
  <c r="AE110" i="1"/>
  <c r="BD157" i="1"/>
  <c r="AJ98" i="1"/>
  <c r="O137" i="1"/>
  <c r="BN194" i="1"/>
  <c r="AP198" i="1"/>
  <c r="AQ193" i="1"/>
  <c r="AO189" i="1"/>
  <c r="AX181" i="1"/>
  <c r="V164" i="1"/>
  <c r="U207" i="1"/>
  <c r="AC178" i="1"/>
  <c r="AG221" i="1"/>
  <c r="X180" i="1"/>
  <c r="AD210" i="1"/>
  <c r="AX209" i="1"/>
  <c r="BK217" i="1"/>
  <c r="BP217" i="1" s="1"/>
  <c r="AS164" i="1"/>
  <c r="AM198" i="1"/>
  <c r="AU97" i="1"/>
  <c r="BI160" i="1"/>
  <c r="AL177" i="1"/>
  <c r="I1128" i="2"/>
  <c r="I1066" i="2"/>
  <c r="I694" i="2"/>
  <c r="I550" i="2"/>
  <c r="I995" i="2"/>
  <c r="I941" i="2"/>
  <c r="I697" i="2"/>
  <c r="I544" i="2"/>
  <c r="I487" i="2"/>
  <c r="I329" i="2"/>
  <c r="I356" i="2"/>
  <c r="I1059" i="2"/>
  <c r="I758" i="2"/>
  <c r="I160" i="2"/>
  <c r="I163" i="2"/>
  <c r="I46" i="2"/>
  <c r="I65" i="2"/>
  <c r="I818" i="2"/>
  <c r="I614" i="2"/>
  <c r="I512" i="2"/>
  <c r="I473" i="2"/>
  <c r="I147" i="2"/>
  <c r="I344" i="2"/>
  <c r="I63" i="2"/>
  <c r="I752" i="2"/>
  <c r="I916" i="2"/>
  <c r="I867" i="2"/>
  <c r="I847" i="2"/>
  <c r="I616" i="2"/>
  <c r="I270" i="2"/>
  <c r="I151" i="2"/>
  <c r="I41" i="2"/>
  <c r="I1030" i="2"/>
  <c r="I347" i="2"/>
  <c r="I400" i="2"/>
  <c r="I1041" i="2"/>
  <c r="I1000" i="2"/>
  <c r="I1148" i="2"/>
  <c r="I1047" i="2"/>
  <c r="I950" i="2"/>
  <c r="I316" i="2"/>
  <c r="I1110" i="2"/>
  <c r="I734" i="2"/>
  <c r="I308" i="2"/>
  <c r="I189" i="2"/>
  <c r="I177" i="2"/>
  <c r="H17" i="9"/>
  <c r="H16" i="9"/>
  <c r="H15" i="9"/>
  <c r="H14" i="9"/>
  <c r="H18" i="9"/>
  <c r="I692" i="2"/>
  <c r="I893" i="2"/>
  <c r="I602" i="2"/>
  <c r="I1130" i="2"/>
  <c r="I617" i="2"/>
  <c r="I1103" i="2"/>
  <c r="I1180" i="2"/>
  <c r="I1111" i="2"/>
  <c r="I787" i="2"/>
  <c r="Z140" i="1"/>
  <c r="BC135" i="1"/>
  <c r="BN147" i="1"/>
  <c r="D189" i="1"/>
  <c r="AI99" i="1"/>
  <c r="X114" i="1"/>
  <c r="BE134" i="1"/>
  <c r="BJ163" i="1"/>
  <c r="BI206" i="1"/>
  <c r="AX175" i="1"/>
  <c r="X108" i="1"/>
  <c r="BG128" i="1"/>
  <c r="H155" i="1"/>
  <c r="AN189" i="1"/>
  <c r="G98" i="1"/>
  <c r="X113" i="1"/>
  <c r="AH132" i="1"/>
  <c r="I155" i="1"/>
  <c r="AS184" i="1"/>
  <c r="AW127" i="1"/>
  <c r="AO150" i="1"/>
  <c r="AS182" i="1"/>
  <c r="AX116" i="1"/>
  <c r="BK101" i="1"/>
  <c r="BP101" i="1" s="1"/>
  <c r="AY120" i="1"/>
  <c r="AD143" i="1"/>
  <c r="BD170" i="1"/>
  <c r="P191" i="1"/>
  <c r="G104" i="1"/>
  <c r="AK125" i="1"/>
  <c r="BE145" i="1"/>
  <c r="AL176" i="1"/>
  <c r="AV106" i="1"/>
  <c r="Z102" i="1"/>
  <c r="AT175" i="1"/>
  <c r="AF96" i="1"/>
  <c r="O111" i="1"/>
  <c r="AX131" i="1"/>
  <c r="P154" i="1"/>
  <c r="AL187" i="1"/>
  <c r="AO134" i="1"/>
  <c r="T95" i="1"/>
  <c r="AP108" i="1"/>
  <c r="AY131" i="1"/>
  <c r="AC154" i="1"/>
  <c r="AO187" i="1"/>
  <c r="X98" i="1"/>
  <c r="AQ112" i="1"/>
  <c r="W135" i="1"/>
  <c r="AU155" i="1"/>
  <c r="AF200" i="1"/>
  <c r="BE97" i="1"/>
  <c r="AE111" i="1"/>
  <c r="AL136" i="1"/>
  <c r="E157" i="1"/>
  <c r="AM203" i="1"/>
  <c r="BB135" i="1"/>
  <c r="L135" i="1" s="1"/>
  <c r="E103" i="1"/>
  <c r="BR103" i="1" s="1"/>
  <c r="BS103" i="1" s="1"/>
  <c r="J165" i="1"/>
  <c r="AZ95" i="1"/>
  <c r="Y104" i="1"/>
  <c r="AC123" i="1"/>
  <c r="AV148" i="1"/>
  <c r="R175" i="1"/>
  <c r="AO97" i="1"/>
  <c r="AS106" i="1"/>
  <c r="AA128" i="1"/>
  <c r="BK149" i="1"/>
  <c r="BP149" i="1" s="1"/>
  <c r="BQ149" i="1" s="1"/>
  <c r="S175" i="1"/>
  <c r="AK115" i="1"/>
  <c r="BB103" i="1"/>
  <c r="L103" i="1" s="1"/>
  <c r="BH118" i="1"/>
  <c r="AM141" i="1"/>
  <c r="AI166" i="1"/>
  <c r="S95" i="1"/>
  <c r="T99" i="1"/>
  <c r="AN103" i="1"/>
  <c r="BH107" i="1"/>
  <c r="BL111" i="1"/>
  <c r="AG116" i="1"/>
  <c r="BA120" i="1"/>
  <c r="BE124" i="1"/>
  <c r="H129" i="1"/>
  <c r="AT133" i="1"/>
  <c r="BN137" i="1"/>
  <c r="BB141" i="1"/>
  <c r="L141" i="1" s="1"/>
  <c r="E146" i="1"/>
  <c r="BR146" i="1" s="1"/>
  <c r="BS146" i="1" s="1"/>
  <c r="AQ150" i="1"/>
  <c r="BK154" i="1"/>
  <c r="BP154" i="1" s="1"/>
  <c r="AG160" i="1"/>
  <c r="AJ166" i="1"/>
  <c r="AS172" i="1"/>
  <c r="AA180" i="1"/>
  <c r="AV189" i="1"/>
  <c r="V199" i="1"/>
  <c r="AA208" i="1"/>
  <c r="D95" i="1"/>
  <c r="V99" i="1"/>
  <c r="AP103" i="1"/>
  <c r="I108" i="1"/>
  <c r="AE112" i="1"/>
  <c r="AI116" i="1"/>
  <c r="AM120" i="1"/>
  <c r="F125" i="1"/>
  <c r="AB129" i="1"/>
  <c r="AF133" i="1"/>
  <c r="AZ137" i="1"/>
  <c r="U142" i="1"/>
  <c r="Y146" i="1"/>
  <c r="AS150" i="1"/>
  <c r="BM154" i="1"/>
  <c r="P160" i="1"/>
  <c r="AM165" i="1"/>
  <c r="AO171" i="1"/>
  <c r="J179" i="1"/>
  <c r="AN186" i="1"/>
  <c r="AT195" i="1"/>
  <c r="S205" i="1"/>
  <c r="Z215" i="1"/>
  <c r="AZ100" i="1"/>
  <c r="U105" i="1"/>
  <c r="Y109" i="1"/>
  <c r="AS113" i="1"/>
  <c r="BM117" i="1"/>
  <c r="K117" i="1" s="1"/>
  <c r="AH122" i="1"/>
  <c r="V126" i="1"/>
  <c r="AP130" i="1"/>
  <c r="I135" i="1"/>
  <c r="AE139" i="1"/>
  <c r="AI143" i="1"/>
  <c r="AM147" i="1"/>
  <c r="F152" i="1"/>
  <c r="BF156" i="1"/>
  <c r="AD161" i="1"/>
  <c r="S167" i="1"/>
  <c r="BF173" i="1"/>
  <c r="X182" i="1"/>
  <c r="BI190" i="1"/>
  <c r="G202" i="1"/>
  <c r="O211" i="1"/>
  <c r="T111" i="1"/>
  <c r="AN115" i="1"/>
  <c r="BH119" i="1"/>
  <c r="BL123" i="1"/>
  <c r="AG128" i="1"/>
  <c r="BA132" i="1"/>
  <c r="BE136" i="1"/>
  <c r="H141" i="1"/>
  <c r="AT145" i="1"/>
  <c r="BN149" i="1"/>
  <c r="BB153" i="1"/>
  <c r="L153" i="1" s="1"/>
  <c r="AJ158" i="1"/>
  <c r="AW163" i="1"/>
  <c r="AZ169" i="1"/>
  <c r="AS176" i="1"/>
  <c r="AY184" i="1"/>
  <c r="AM193" i="1"/>
  <c r="T204" i="1"/>
  <c r="AN213" i="1"/>
  <c r="P97" i="1"/>
  <c r="AI101" i="1"/>
  <c r="AM105" i="1"/>
  <c r="F110" i="1"/>
  <c r="AB114" i="1"/>
  <c r="AF118" i="1"/>
  <c r="AZ122" i="1"/>
  <c r="U127" i="1"/>
  <c r="Y131" i="1"/>
  <c r="AS135" i="1"/>
  <c r="BM139" i="1"/>
  <c r="K139" i="1" s="1"/>
  <c r="AH144" i="1"/>
  <c r="V148" i="1"/>
  <c r="AP152" i="1"/>
  <c r="I157" i="1"/>
  <c r="BD161" i="1"/>
  <c r="V167" i="1"/>
  <c r="U174" i="1"/>
  <c r="BJ181" i="1"/>
  <c r="BD189" i="1"/>
  <c r="AI199" i="1"/>
  <c r="AN208" i="1"/>
  <c r="AK219" i="1"/>
  <c r="AS98" i="1"/>
  <c r="BM102" i="1"/>
  <c r="K102" i="1" s="1"/>
  <c r="AH107" i="1"/>
  <c r="V111" i="1"/>
  <c r="AP115" i="1"/>
  <c r="I120" i="1"/>
  <c r="AE124" i="1"/>
  <c r="AI128" i="1"/>
  <c r="AM132" i="1"/>
  <c r="F137" i="1"/>
  <c r="AB141" i="1"/>
  <c r="AF145" i="1"/>
  <c r="AZ149" i="1"/>
  <c r="U154" i="1"/>
  <c r="AD159" i="1"/>
  <c r="AR165" i="1"/>
  <c r="BC172" i="1"/>
  <c r="AO180" i="1"/>
  <c r="BK189" i="1"/>
  <c r="BP189" i="1" s="1"/>
  <c r="AK199" i="1"/>
  <c r="AY209" i="1"/>
  <c r="Z95" i="1"/>
  <c r="AA99" i="1"/>
  <c r="AU103" i="1"/>
  <c r="AY107" i="1"/>
  <c r="BC111" i="1"/>
  <c r="X116" i="1"/>
  <c r="AR120" i="1"/>
  <c r="AV124" i="1"/>
  <c r="Q129" i="1"/>
  <c r="AK133" i="1"/>
  <c r="AO137" i="1"/>
  <c r="BI141" i="1"/>
  <c r="AD146" i="1"/>
  <c r="AX150" i="1"/>
  <c r="AL154" i="1"/>
  <c r="AE159" i="1"/>
  <c r="AS165" i="1"/>
  <c r="AG172" i="1"/>
  <c r="R179" i="1"/>
  <c r="U187" i="1"/>
  <c r="BB195" i="1"/>
  <c r="L195" i="1" s="1"/>
  <c r="AF205" i="1"/>
  <c r="AP215" i="1"/>
  <c r="U112" i="1"/>
  <c r="Y116" i="1"/>
  <c r="AS120" i="1"/>
  <c r="BM124" i="1"/>
  <c r="AH129" i="1"/>
  <c r="V133" i="1"/>
  <c r="AP137" i="1"/>
  <c r="I142" i="1"/>
  <c r="AE146" i="1"/>
  <c r="AI150" i="1"/>
  <c r="AM154" i="1"/>
  <c r="AY159" i="1"/>
  <c r="AX164" i="1"/>
  <c r="BN170" i="1"/>
  <c r="AP177" i="1"/>
  <c r="Q186" i="1"/>
  <c r="T195" i="1"/>
  <c r="BO204" i="1"/>
  <c r="Y214" i="1"/>
  <c r="AJ97" i="1"/>
  <c r="BC101" i="1"/>
  <c r="X106" i="1"/>
  <c r="AR110" i="1"/>
  <c r="AV114" i="1"/>
  <c r="Q119" i="1"/>
  <c r="AK123" i="1"/>
  <c r="AO127" i="1"/>
  <c r="BI131" i="1"/>
  <c r="AD136" i="1"/>
  <c r="AX140" i="1"/>
  <c r="AL144" i="1"/>
  <c r="BF148" i="1"/>
  <c r="AA153" i="1"/>
  <c r="BA157" i="1"/>
  <c r="AH163" i="1"/>
  <c r="AH169" i="1"/>
  <c r="BL175" i="1"/>
  <c r="AE184" i="1"/>
  <c r="J193" i="1"/>
  <c r="X202" i="1"/>
  <c r="BM211" i="1"/>
  <c r="K211" i="1" s="1"/>
  <c r="Y96" i="1"/>
  <c r="AQ100" i="1"/>
  <c r="BK104" i="1"/>
  <c r="BP104" i="1" s="1"/>
  <c r="BQ104" i="1" s="1"/>
  <c r="BO108" i="1"/>
  <c r="T113" i="1"/>
  <c r="AN117" i="1"/>
  <c r="BH121" i="1"/>
  <c r="BL125" i="1"/>
  <c r="AG130" i="1"/>
  <c r="BA134" i="1"/>
  <c r="BE138" i="1"/>
  <c r="H143" i="1"/>
  <c r="AT147" i="1"/>
  <c r="BN151" i="1"/>
  <c r="BH155" i="1"/>
  <c r="AT160" i="1"/>
  <c r="AA166" i="1"/>
  <c r="AJ172" i="1"/>
  <c r="X179" i="1"/>
  <c r="BH187" i="1"/>
  <c r="BM196" i="1"/>
  <c r="K196" i="1" s="1"/>
  <c r="AT207" i="1"/>
  <c r="D218" i="1"/>
  <c r="BB97" i="1"/>
  <c r="L97" i="1" s="1"/>
  <c r="BE101" i="1"/>
  <c r="H106" i="1"/>
  <c r="AT110" i="1"/>
  <c r="BN114" i="1"/>
  <c r="BB118" i="1"/>
  <c r="L118" i="1" s="1"/>
  <c r="E123" i="1"/>
  <c r="BR123" i="1" s="1"/>
  <c r="BS123" i="1" s="1"/>
  <c r="AQ127" i="1"/>
  <c r="BK131" i="1"/>
  <c r="BP131" i="1" s="1"/>
  <c r="BO135" i="1"/>
  <c r="T140" i="1"/>
  <c r="AN144" i="1"/>
  <c r="BH148" i="1"/>
  <c r="BL152" i="1"/>
  <c r="AK157" i="1"/>
  <c r="AM162" i="1"/>
  <c r="G168" i="1"/>
  <c r="AO175" i="1"/>
  <c r="AK183" i="1"/>
  <c r="T193" i="1"/>
  <c r="BH201" i="1"/>
  <c r="AQ212" i="1"/>
  <c r="AQ96" i="1"/>
  <c r="BI100" i="1"/>
  <c r="AD105" i="1"/>
  <c r="AX109" i="1"/>
  <c r="AL113" i="1"/>
  <c r="BF117" i="1"/>
  <c r="AA122" i="1"/>
  <c r="AU126" i="1"/>
  <c r="AY130" i="1"/>
  <c r="BC134" i="1"/>
  <c r="X139" i="1"/>
  <c r="AR143" i="1"/>
  <c r="AV147" i="1"/>
  <c r="Q152" i="1"/>
  <c r="AY156" i="1"/>
  <c r="BN161" i="1"/>
  <c r="AG167" i="1"/>
  <c r="D174" i="1"/>
  <c r="G182" i="1"/>
  <c r="BB192" i="1"/>
  <c r="L192" i="1" s="1"/>
  <c r="BI201" i="1"/>
  <c r="BH213" i="1"/>
  <c r="AN97" i="1"/>
  <c r="F102" i="1"/>
  <c r="AB106" i="1"/>
  <c r="AF110" i="1"/>
  <c r="AZ114" i="1"/>
  <c r="U119" i="1"/>
  <c r="Y123" i="1"/>
  <c r="AS127" i="1"/>
  <c r="BM131" i="1"/>
  <c r="K131" i="1" s="1"/>
  <c r="AH136" i="1"/>
  <c r="V140" i="1"/>
  <c r="AP144" i="1"/>
  <c r="I149" i="1"/>
  <c r="AE153" i="1"/>
  <c r="F158" i="1"/>
  <c r="R163" i="1"/>
  <c r="BI168" i="1"/>
  <c r="BH174" i="1"/>
  <c r="AQ182" i="1"/>
  <c r="W193" i="1"/>
  <c r="AC202" i="1"/>
  <c r="W213" i="1"/>
  <c r="BC167" i="1"/>
  <c r="X172" i="1"/>
  <c r="AR176" i="1"/>
  <c r="AV180" i="1"/>
  <c r="Q185" i="1"/>
  <c r="AK189" i="1"/>
  <c r="AO193" i="1"/>
  <c r="BI197" i="1"/>
  <c r="AD202" i="1"/>
  <c r="AX206" i="1"/>
  <c r="AL210" i="1"/>
  <c r="BF214" i="1"/>
  <c r="BD219" i="1"/>
  <c r="AC171" i="1"/>
  <c r="AW175" i="1"/>
  <c r="R180" i="1"/>
  <c r="D184" i="1"/>
  <c r="Z188" i="1"/>
  <c r="BJ192" i="1"/>
  <c r="O197" i="1"/>
  <c r="S201" i="1"/>
  <c r="W205" i="1"/>
  <c r="BG209" i="1"/>
  <c r="J214" i="1"/>
  <c r="AM218" i="1"/>
  <c r="BO175" i="1"/>
  <c r="T180" i="1"/>
  <c r="AN184" i="1"/>
  <c r="BH188" i="1"/>
  <c r="BL192" i="1"/>
  <c r="AG197" i="1"/>
  <c r="BA201" i="1"/>
  <c r="BE205" i="1"/>
  <c r="H210" i="1"/>
  <c r="AT214" i="1"/>
  <c r="AP218" i="1"/>
  <c r="BA180" i="1"/>
  <c r="BE184" i="1"/>
  <c r="H189" i="1"/>
  <c r="AT193" i="1"/>
  <c r="BN197" i="1"/>
  <c r="BB201" i="1"/>
  <c r="L201" i="1" s="1"/>
  <c r="E206" i="1"/>
  <c r="AQ210" i="1"/>
  <c r="BK214" i="1"/>
  <c r="BP214" i="1" s="1"/>
  <c r="BH218" i="1"/>
  <c r="AK159" i="1"/>
  <c r="AO163" i="1"/>
  <c r="BI167" i="1"/>
  <c r="AD172" i="1"/>
  <c r="AX176" i="1"/>
  <c r="AL180" i="1"/>
  <c r="BF184" i="1"/>
  <c r="AA189" i="1"/>
  <c r="AU193" i="1"/>
  <c r="AY197" i="1"/>
  <c r="BC201" i="1"/>
  <c r="X206" i="1"/>
  <c r="AR210" i="1"/>
  <c r="AV214" i="1"/>
  <c r="BI218" i="1"/>
  <c r="AE156" i="1"/>
  <c r="AI160" i="1"/>
  <c r="AM164" i="1"/>
  <c r="F169" i="1"/>
  <c r="AB173" i="1"/>
  <c r="AF177" i="1"/>
  <c r="AZ181" i="1"/>
  <c r="U186" i="1"/>
  <c r="Y190" i="1"/>
  <c r="AS194" i="1"/>
  <c r="BM198" i="1"/>
  <c r="K198" i="1" s="1"/>
  <c r="AH203" i="1"/>
  <c r="V207" i="1"/>
  <c r="AP211" i="1"/>
  <c r="I216" i="1"/>
  <c r="AD220" i="1"/>
  <c r="H158" i="1"/>
  <c r="AT162" i="1"/>
  <c r="BN166" i="1"/>
  <c r="BB170" i="1"/>
  <c r="L170" i="1" s="1"/>
  <c r="E175" i="1"/>
  <c r="AQ179" i="1"/>
  <c r="BK183" i="1"/>
  <c r="BP183" i="1" s="1"/>
  <c r="BO187" i="1"/>
  <c r="T192" i="1"/>
  <c r="AN196" i="1"/>
  <c r="BH200" i="1"/>
  <c r="BL204" i="1"/>
  <c r="AG209" i="1"/>
  <c r="BA213" i="1"/>
  <c r="BJ217" i="1"/>
  <c r="T187" i="1"/>
  <c r="AN191" i="1"/>
  <c r="BH195" i="1"/>
  <c r="BL199" i="1"/>
  <c r="AG204" i="1"/>
  <c r="BA208" i="1"/>
  <c r="BE212" i="1"/>
  <c r="I217" i="1"/>
  <c r="BB221" i="1"/>
  <c r="L221" i="1" s="1"/>
  <c r="BL216" i="1"/>
  <c r="AL221" i="1"/>
  <c r="AY215" i="1"/>
  <c r="AY219" i="1"/>
  <c r="AV163" i="1"/>
  <c r="Q168" i="1"/>
  <c r="AK172" i="1"/>
  <c r="AO176" i="1"/>
  <c r="BI180" i="1"/>
  <c r="AD185" i="1"/>
  <c r="AX189" i="1"/>
  <c r="AL193" i="1"/>
  <c r="BF197" i="1"/>
  <c r="AA202" i="1"/>
  <c r="AU206" i="1"/>
  <c r="AY210" i="1"/>
  <c r="BC214" i="1"/>
  <c r="AI219" i="1"/>
  <c r="G218" i="1"/>
  <c r="BN221" i="1"/>
  <c r="I292" i="2"/>
  <c r="AC32" i="1"/>
  <c r="I1002" i="2"/>
  <c r="I873" i="2"/>
  <c r="I555" i="2"/>
  <c r="I488" i="2"/>
  <c r="I470" i="2"/>
  <c r="I699" i="2"/>
  <c r="I676" i="2"/>
  <c r="I618" i="2"/>
  <c r="BN116" i="1"/>
  <c r="F129" i="1"/>
  <c r="Q111" i="1"/>
  <c r="V151" i="1"/>
  <c r="W103" i="1"/>
  <c r="BF129" i="1"/>
  <c r="BA95" i="1"/>
  <c r="U156" i="1"/>
  <c r="S127" i="1"/>
  <c r="BA183" i="1"/>
  <c r="AB159" i="1"/>
  <c r="G115" i="1"/>
  <c r="AV168" i="1"/>
  <c r="BG120" i="1"/>
  <c r="AU201" i="1"/>
  <c r="AP142" i="1"/>
  <c r="D117" i="1"/>
  <c r="BN165" i="1"/>
  <c r="AH124" i="1"/>
  <c r="AE164" i="1"/>
  <c r="AV109" i="1"/>
  <c r="AO161" i="1"/>
  <c r="BF106" i="1"/>
  <c r="AK145" i="1"/>
  <c r="W97" i="1"/>
  <c r="Y144" i="1"/>
  <c r="BF215" i="1"/>
  <c r="J154" i="1"/>
  <c r="AS181" i="1"/>
  <c r="BN180" i="1"/>
  <c r="AK185" i="1"/>
  <c r="AA194" i="1"/>
  <c r="AF198" i="1"/>
  <c r="W212" i="1"/>
  <c r="AE190" i="1"/>
  <c r="I113" i="1"/>
  <c r="AP99" i="1"/>
  <c r="BF181" i="1"/>
  <c r="I535" i="2"/>
  <c r="I377" i="2"/>
  <c r="I184" i="2"/>
  <c r="I96" i="2"/>
  <c r="I507" i="2"/>
  <c r="I433" i="2"/>
  <c r="I420" i="2"/>
  <c r="I664" i="2"/>
  <c r="I127" i="2"/>
  <c r="I890" i="2"/>
  <c r="I662" i="2"/>
  <c r="I583" i="2"/>
  <c r="I1007" i="2"/>
  <c r="I1099" i="2"/>
  <c r="I707" i="2"/>
  <c r="I357" i="2"/>
  <c r="I1208" i="2"/>
  <c r="I846" i="2"/>
  <c r="I813" i="2"/>
  <c r="I619" i="2"/>
  <c r="I363" i="2"/>
  <c r="I1031" i="2"/>
  <c r="I955" i="2"/>
  <c r="I833" i="2"/>
  <c r="I731" i="2"/>
  <c r="I935" i="2"/>
  <c r="I911" i="2"/>
  <c r="I803" i="2"/>
  <c r="I853" i="2"/>
  <c r="I543" i="2"/>
  <c r="I927" i="2"/>
  <c r="I806" i="2"/>
  <c r="I534" i="2"/>
  <c r="I1129" i="2"/>
  <c r="I947" i="2"/>
  <c r="I334" i="2"/>
  <c r="I240" i="2"/>
  <c r="I348" i="2"/>
  <c r="I249" i="2"/>
  <c r="I169" i="2"/>
  <c r="I95" i="2"/>
  <c r="I129" i="2"/>
  <c r="I1155" i="2"/>
  <c r="I1045" i="2"/>
  <c r="I949" i="2"/>
  <c r="I1146" i="2"/>
  <c r="I1009" i="2"/>
  <c r="I684" i="2"/>
  <c r="AK146" i="1"/>
  <c r="AM140" i="1"/>
  <c r="J150" i="1"/>
  <c r="AX191" i="1"/>
  <c r="R100" i="1"/>
  <c r="AX115" i="1"/>
  <c r="P138" i="1"/>
  <c r="O165" i="1"/>
  <c r="AB209" i="1"/>
  <c r="AW95" i="1"/>
  <c r="E109" i="1"/>
  <c r="S131" i="1"/>
  <c r="AI156" i="1"/>
  <c r="BG191" i="1"/>
  <c r="BD98" i="1"/>
  <c r="AL114" i="1"/>
  <c r="AU133" i="1"/>
  <c r="AJ156" i="1"/>
  <c r="BM186" i="1"/>
  <c r="K186" i="1" s="1"/>
  <c r="BJ128" i="1"/>
  <c r="BB151" i="1"/>
  <c r="L151" i="1" s="1"/>
  <c r="AU184" i="1"/>
  <c r="BC141" i="1"/>
  <c r="AR102" i="1"/>
  <c r="BL121" i="1"/>
  <c r="AQ144" i="1"/>
  <c r="AR172" i="1"/>
  <c r="AJ107" i="1"/>
  <c r="BI104" i="1"/>
  <c r="AX126" i="1"/>
  <c r="R148" i="1"/>
  <c r="AQ178" i="1"/>
  <c r="AT109" i="1"/>
  <c r="BE103" i="1"/>
  <c r="BI179" i="1"/>
  <c r="AT97" i="1"/>
  <c r="AB112" i="1"/>
  <c r="BK132" i="1"/>
  <c r="BP132" i="1" s="1"/>
  <c r="AE155" i="1"/>
  <c r="BD192" i="1"/>
  <c r="AZ141" i="1"/>
  <c r="BM95" i="1"/>
  <c r="K95" i="1" s="1"/>
  <c r="Z109" i="1"/>
  <c r="BL132" i="1"/>
  <c r="AT155" i="1"/>
  <c r="Q190" i="1"/>
  <c r="F99" i="1"/>
  <c r="BD113" i="1"/>
  <c r="AJ136" i="1"/>
  <c r="AE158" i="1"/>
  <c r="G203" i="1"/>
  <c r="AA98" i="1"/>
  <c r="AR112" i="1"/>
  <c r="AY137" i="1"/>
  <c r="AG158" i="1"/>
  <c r="AZ205" i="1"/>
  <c r="BM142" i="1"/>
  <c r="K142" i="1" s="1"/>
  <c r="S105" i="1"/>
  <c r="S168" i="1"/>
  <c r="J101" i="1"/>
  <c r="D105" i="1"/>
  <c r="AP124" i="1"/>
  <c r="BI149" i="1"/>
  <c r="F179" i="1"/>
  <c r="AL120" i="1"/>
  <c r="Z107" i="1"/>
  <c r="AN129" i="1"/>
  <c r="E151" i="1"/>
  <c r="X177" i="1"/>
  <c r="AN146" i="1"/>
  <c r="AI104" i="1"/>
  <c r="Q121" i="1"/>
  <c r="AZ142" i="1"/>
  <c r="O168" i="1"/>
  <c r="AI95" i="1"/>
  <c r="AJ99" i="1"/>
  <c r="BD103" i="1"/>
  <c r="G108" i="1"/>
  <c r="AC112" i="1"/>
  <c r="AW116" i="1"/>
  <c r="R121" i="1"/>
  <c r="D125" i="1"/>
  <c r="Z129" i="1"/>
  <c r="BJ133" i="1"/>
  <c r="O138" i="1"/>
  <c r="S142" i="1"/>
  <c r="W146" i="1"/>
  <c r="BG150" i="1"/>
  <c r="J155" i="1"/>
  <c r="BC160" i="1"/>
  <c r="BG166" i="1"/>
  <c r="AD173" i="1"/>
  <c r="BG180" i="1"/>
  <c r="P190" i="1"/>
  <c r="BF199" i="1"/>
  <c r="BK208" i="1"/>
  <c r="BP208" i="1" s="1"/>
  <c r="BQ208" i="1" s="1"/>
  <c r="U95" i="1"/>
  <c r="AL99" i="1"/>
  <c r="BF103" i="1"/>
  <c r="AA108" i="1"/>
  <c r="AU112" i="1"/>
  <c r="AY116" i="1"/>
  <c r="BC120" i="1"/>
  <c r="X125" i="1"/>
  <c r="AR129" i="1"/>
  <c r="AV133" i="1"/>
  <c r="Q138" i="1"/>
  <c r="AK142" i="1"/>
  <c r="AO146" i="1"/>
  <c r="BI150" i="1"/>
  <c r="AF155" i="1"/>
  <c r="AL160" i="1"/>
  <c r="BH165" i="1"/>
  <c r="W172" i="1"/>
  <c r="AL179" i="1"/>
  <c r="E187" i="1"/>
  <c r="BR187" i="1" s="1"/>
  <c r="BS187" i="1" s="1"/>
  <c r="J196" i="1"/>
  <c r="BB205" i="1"/>
  <c r="L205" i="1" s="1"/>
  <c r="BO216" i="1"/>
  <c r="Q101" i="1"/>
  <c r="AK105" i="1"/>
  <c r="AO109" i="1"/>
  <c r="BI113" i="1"/>
  <c r="AD118" i="1"/>
  <c r="AX122" i="1"/>
  <c r="AL126" i="1"/>
  <c r="BF130" i="1"/>
  <c r="AA135" i="1"/>
  <c r="AU139" i="1"/>
  <c r="AY143" i="1"/>
  <c r="BC147" i="1"/>
  <c r="X152" i="1"/>
  <c r="G157" i="1"/>
  <c r="BA161" i="1"/>
  <c r="AP167" i="1"/>
  <c r="Q174" i="1"/>
  <c r="BD182" i="1"/>
  <c r="AA191" i="1"/>
  <c r="AR202" i="1"/>
  <c r="AX211" i="1"/>
  <c r="AJ111" i="1"/>
  <c r="BD115" i="1"/>
  <c r="G120" i="1"/>
  <c r="AC124" i="1"/>
  <c r="AW128" i="1"/>
  <c r="R133" i="1"/>
  <c r="D137" i="1"/>
  <c r="Z141" i="1"/>
  <c r="BJ145" i="1"/>
  <c r="O150" i="1"/>
  <c r="S154" i="1"/>
  <c r="BC158" i="1"/>
  <c r="Y164" i="1"/>
  <c r="G170" i="1"/>
  <c r="E177" i="1"/>
  <c r="O185" i="1"/>
  <c r="E194" i="1"/>
  <c r="BR194" i="1" s="1"/>
  <c r="BS194" i="1" s="1"/>
  <c r="BC204" i="1"/>
  <c r="BE214" i="1"/>
  <c r="AF97" i="1"/>
  <c r="AY101" i="1"/>
  <c r="BC105" i="1"/>
  <c r="X110" i="1"/>
  <c r="AR114" i="1"/>
  <c r="AV118" i="1"/>
  <c r="Q123" i="1"/>
  <c r="AK127" i="1"/>
  <c r="AO131" i="1"/>
  <c r="BI135" i="1"/>
  <c r="AD140" i="1"/>
  <c r="AX144" i="1"/>
  <c r="AL148" i="1"/>
  <c r="BF152" i="1"/>
  <c r="AE157" i="1"/>
  <c r="G162" i="1"/>
  <c r="AR167" i="1"/>
  <c r="AT174" i="1"/>
  <c r="AA182" i="1"/>
  <c r="AC190" i="1"/>
  <c r="AM200" i="1"/>
  <c r="F209" i="1"/>
  <c r="AM220" i="1"/>
  <c r="BI98" i="1"/>
  <c r="AD103" i="1"/>
  <c r="AX107" i="1"/>
  <c r="AL111" i="1"/>
  <c r="BF115" i="1"/>
  <c r="AA120" i="1"/>
  <c r="AU124" i="1"/>
  <c r="AY128" i="1"/>
  <c r="BC132" i="1"/>
  <c r="X137" i="1"/>
  <c r="AR141" i="1"/>
  <c r="AV145" i="1"/>
  <c r="Q150" i="1"/>
  <c r="AK154" i="1"/>
  <c r="AW159" i="1"/>
  <c r="BL165" i="1"/>
  <c r="AL173" i="1"/>
  <c r="AF181" i="1"/>
  <c r="AD190" i="1"/>
  <c r="AT200" i="1"/>
  <c r="R210" i="1"/>
  <c r="AP95" i="1"/>
  <c r="AQ99" i="1"/>
  <c r="BK103" i="1"/>
  <c r="BP103" i="1" s="1"/>
  <c r="BO107" i="1"/>
  <c r="T112" i="1"/>
  <c r="AN116" i="1"/>
  <c r="BH120" i="1"/>
  <c r="BL124" i="1"/>
  <c r="AG129" i="1"/>
  <c r="BA133" i="1"/>
  <c r="BE137" i="1"/>
  <c r="H142" i="1"/>
  <c r="AT146" i="1"/>
  <c r="BN150" i="1"/>
  <c r="BB154" i="1"/>
  <c r="L154" i="1" s="1"/>
  <c r="AX159" i="1"/>
  <c r="BM165" i="1"/>
  <c r="K165" i="1" s="1"/>
  <c r="BE172" i="1"/>
  <c r="AU179" i="1"/>
  <c r="BC187" i="1"/>
  <c r="Z196" i="1"/>
  <c r="BO205" i="1"/>
  <c r="AD216" i="1"/>
  <c r="AK112" i="1"/>
  <c r="AO116" i="1"/>
  <c r="BI120" i="1"/>
  <c r="AD125" i="1"/>
  <c r="AX129" i="1"/>
  <c r="AL133" i="1"/>
  <c r="BF137" i="1"/>
  <c r="AA142" i="1"/>
  <c r="AU146" i="1"/>
  <c r="AY150" i="1"/>
  <c r="BC154" i="1"/>
  <c r="D160" i="1"/>
  <c r="Y165" i="1"/>
  <c r="Y171" i="1"/>
  <c r="AG178" i="1"/>
  <c r="AW186" i="1"/>
  <c r="BI195" i="1"/>
  <c r="AG205" i="1"/>
  <c r="AW215" i="1"/>
  <c r="AZ97" i="1"/>
  <c r="T102" i="1"/>
  <c r="AN106" i="1"/>
  <c r="BH110" i="1"/>
  <c r="BL114" i="1"/>
  <c r="AG119" i="1"/>
  <c r="BA123" i="1"/>
  <c r="BE127" i="1"/>
  <c r="H132" i="1"/>
  <c r="AT136" i="1"/>
  <c r="BN140" i="1"/>
  <c r="BB144" i="1"/>
  <c r="L144" i="1" s="1"/>
  <c r="E149" i="1"/>
  <c r="BR149" i="1" s="1"/>
  <c r="BS149" i="1" s="1"/>
  <c r="AQ153" i="1"/>
  <c r="V158" i="1"/>
  <c r="BB163" i="1"/>
  <c r="L163" i="1" s="1"/>
  <c r="BH169" i="1"/>
  <c r="Z176" i="1"/>
  <c r="BK184" i="1"/>
  <c r="BP184" i="1" s="1"/>
  <c r="AZ193" i="1"/>
  <c r="BF202" i="1"/>
  <c r="AI212" i="1"/>
  <c r="AO96" i="1"/>
  <c r="BG100" i="1"/>
  <c r="J105" i="1"/>
  <c r="P109" i="1"/>
  <c r="AJ113" i="1"/>
  <c r="BD117" i="1"/>
  <c r="G122" i="1"/>
  <c r="AC126" i="1"/>
  <c r="AW130" i="1"/>
  <c r="R135" i="1"/>
  <c r="D139" i="1"/>
  <c r="Z143" i="1"/>
  <c r="BJ147" i="1"/>
  <c r="O152" i="1"/>
  <c r="I156" i="1"/>
  <c r="BM160" i="1"/>
  <c r="AY166" i="1"/>
  <c r="BI172" i="1"/>
  <c r="AZ179" i="1"/>
  <c r="AA188" i="1"/>
  <c r="AF197" i="1"/>
  <c r="BB208" i="1"/>
  <c r="L208" i="1" s="1"/>
  <c r="BM218" i="1"/>
  <c r="K218" i="1" s="1"/>
  <c r="R98" i="1"/>
  <c r="D102" i="1"/>
  <c r="Z106" i="1"/>
  <c r="BJ110" i="1"/>
  <c r="O115" i="1"/>
  <c r="S119" i="1"/>
  <c r="W123" i="1"/>
  <c r="BG127" i="1"/>
  <c r="J132" i="1"/>
  <c r="P136" i="1"/>
  <c r="AJ140" i="1"/>
  <c r="BD144" i="1"/>
  <c r="G149" i="1"/>
  <c r="AC153" i="1"/>
  <c r="BC157" i="1"/>
  <c r="BG162" i="1"/>
  <c r="AH168" i="1"/>
  <c r="AC176" i="1"/>
  <c r="AH184" i="1"/>
  <c r="BC193" i="1"/>
  <c r="Z202" i="1"/>
  <c r="BG213" i="1"/>
  <c r="BG96" i="1"/>
  <c r="H101" i="1"/>
  <c r="AT105" i="1"/>
  <c r="BN109" i="1"/>
  <c r="BB113" i="1"/>
  <c r="L113" i="1" s="1"/>
  <c r="E118" i="1"/>
  <c r="BR118" i="1" s="1"/>
  <c r="BS118" i="1" s="1"/>
  <c r="AQ122" i="1"/>
  <c r="BK126" i="1"/>
  <c r="BP126" i="1" s="1"/>
  <c r="BO130" i="1"/>
  <c r="T135" i="1"/>
  <c r="AN139" i="1"/>
  <c r="BH143" i="1"/>
  <c r="BL147" i="1"/>
  <c r="AG152" i="1"/>
  <c r="T157" i="1"/>
  <c r="T162" i="1"/>
  <c r="BD167" i="1"/>
  <c r="AF174" i="1"/>
  <c r="AO182" i="1"/>
  <c r="U193" i="1"/>
  <c r="AB202" i="1"/>
  <c r="AK214" i="1"/>
  <c r="BD97" i="1"/>
  <c r="X102" i="1"/>
  <c r="AR106" i="1"/>
  <c r="AV110" i="1"/>
  <c r="Q115" i="1"/>
  <c r="AK119" i="1"/>
  <c r="AO123" i="1"/>
  <c r="BI127" i="1"/>
  <c r="AD132" i="1"/>
  <c r="AX136" i="1"/>
  <c r="AL140" i="1"/>
  <c r="BF144" i="1"/>
  <c r="AA149" i="1"/>
  <c r="AU153" i="1"/>
  <c r="AC158" i="1"/>
  <c r="AL163" i="1"/>
  <c r="P169" i="1"/>
  <c r="P175" i="1"/>
  <c r="F183" i="1"/>
  <c r="BF193" i="1"/>
  <c r="BM202" i="1"/>
  <c r="K202" i="1" s="1"/>
  <c r="BJ213" i="1"/>
  <c r="T168" i="1"/>
  <c r="AN172" i="1"/>
  <c r="BH176" i="1"/>
  <c r="BL180" i="1"/>
  <c r="AG185" i="1"/>
  <c r="BA189" i="1"/>
  <c r="BE193" i="1"/>
  <c r="H198" i="1"/>
  <c r="AT202" i="1"/>
  <c r="BN206" i="1"/>
  <c r="BB210" i="1"/>
  <c r="L210" i="1" s="1"/>
  <c r="E215" i="1"/>
  <c r="D220" i="1"/>
  <c r="AS171" i="1"/>
  <c r="BM175" i="1"/>
  <c r="K175" i="1" s="1"/>
  <c r="AH180" i="1"/>
  <c r="V184" i="1"/>
  <c r="AP188" i="1"/>
  <c r="I193" i="1"/>
  <c r="AE197" i="1"/>
  <c r="AI201" i="1"/>
  <c r="AM205" i="1"/>
  <c r="F210" i="1"/>
  <c r="AB214" i="1"/>
  <c r="BD218" i="1"/>
  <c r="P176" i="1"/>
  <c r="AJ180" i="1"/>
  <c r="BD184" i="1"/>
  <c r="G189" i="1"/>
  <c r="AC193" i="1"/>
  <c r="AW197" i="1"/>
  <c r="R202" i="1"/>
  <c r="D206" i="1"/>
  <c r="Z210" i="1"/>
  <c r="BJ214" i="1"/>
  <c r="BG218" i="1"/>
  <c r="R181" i="1"/>
  <c r="D185" i="1"/>
  <c r="Z189" i="1"/>
  <c r="BJ193" i="1"/>
  <c r="O198" i="1"/>
  <c r="S202" i="1"/>
  <c r="W206" i="1"/>
  <c r="BG210" i="1"/>
  <c r="J215" i="1"/>
  <c r="H219" i="1"/>
  <c r="BA159" i="1"/>
  <c r="BE163" i="1"/>
  <c r="H168" i="1"/>
  <c r="AT172" i="1"/>
  <c r="BN176" i="1"/>
  <c r="BB180" i="1"/>
  <c r="L180" i="1" s="1"/>
  <c r="E185" i="1"/>
  <c r="BR185" i="1" s="1"/>
  <c r="BS185" i="1" s="1"/>
  <c r="AQ189" i="1"/>
  <c r="BK193" i="1"/>
  <c r="BP193" i="1" s="1"/>
  <c r="BO197" i="1"/>
  <c r="T202" i="1"/>
  <c r="AN206" i="1"/>
  <c r="BH210" i="1"/>
  <c r="BL214" i="1"/>
  <c r="I219" i="1"/>
  <c r="AU156" i="1"/>
  <c r="AY160" i="1"/>
  <c r="BC164" i="1"/>
  <c r="X169" i="1"/>
  <c r="AR173" i="1"/>
  <c r="AV177" i="1"/>
  <c r="Q182" i="1"/>
  <c r="AK186" i="1"/>
  <c r="AO190" i="1"/>
  <c r="BI194" i="1"/>
  <c r="AD199" i="1"/>
  <c r="AX203" i="1"/>
  <c r="AL207" i="1"/>
  <c r="BF211" i="1"/>
  <c r="AA216" i="1"/>
  <c r="AU220" i="1"/>
  <c r="Z158" i="1"/>
  <c r="BJ162" i="1"/>
  <c r="O167" i="1"/>
  <c r="S171" i="1"/>
  <c r="W175" i="1"/>
  <c r="BG179" i="1"/>
  <c r="J184" i="1"/>
  <c r="P188" i="1"/>
  <c r="AJ192" i="1"/>
  <c r="BD196" i="1"/>
  <c r="G201" i="1"/>
  <c r="AC205" i="1"/>
  <c r="AW209" i="1"/>
  <c r="R214" i="1"/>
  <c r="J218" i="1"/>
  <c r="AJ187" i="1"/>
  <c r="BD191" i="1"/>
  <c r="G196" i="1"/>
  <c r="AC200" i="1"/>
  <c r="AW204" i="1"/>
  <c r="R209" i="1"/>
  <c r="D213" i="1"/>
  <c r="AC217" i="1"/>
  <c r="AF219" i="1"/>
  <c r="AE217" i="1"/>
  <c r="BD221" i="1"/>
  <c r="BO215" i="1"/>
  <c r="R220" i="1"/>
  <c r="BL163" i="1"/>
  <c r="AG168" i="1"/>
  <c r="BA172" i="1"/>
  <c r="BE176" i="1"/>
  <c r="H181" i="1"/>
  <c r="AT185" i="1"/>
  <c r="BN189" i="1"/>
  <c r="BB193" i="1"/>
  <c r="L193" i="1" s="1"/>
  <c r="E198" i="1"/>
  <c r="AQ202" i="1"/>
  <c r="BK206" i="1"/>
  <c r="BP206" i="1" s="1"/>
  <c r="BO210" i="1"/>
  <c r="T215" i="1"/>
  <c r="AZ219" i="1"/>
  <c r="Y218" i="1"/>
  <c r="I940" i="2"/>
  <c r="O160" i="1"/>
  <c r="T159" i="1"/>
  <c r="BO193" i="1"/>
  <c r="AO210" i="1"/>
  <c r="Z134" i="1"/>
  <c r="AX121" i="1"/>
  <c r="AM210" i="1"/>
  <c r="AD180" i="1"/>
  <c r="BK212" i="1"/>
  <c r="BP212" i="1" s="1"/>
  <c r="BQ212" i="1" s="1"/>
  <c r="AC119" i="1"/>
  <c r="J125" i="1"/>
  <c r="AE151" i="1"/>
  <c r="AF98" i="1"/>
  <c r="AW156" i="1"/>
  <c r="AZ135" i="1"/>
  <c r="E189" i="1"/>
  <c r="F203" i="1"/>
  <c r="R158" i="1"/>
  <c r="AX173" i="1"/>
  <c r="I1183" i="2"/>
  <c r="I942" i="2"/>
  <c r="I75" i="2"/>
  <c r="I1093" i="2"/>
  <c r="I799" i="2"/>
  <c r="I561" i="2"/>
  <c r="I112" i="2"/>
  <c r="I623" i="2"/>
  <c r="I143" i="2"/>
  <c r="I587" i="2"/>
  <c r="I478" i="2"/>
  <c r="I923" i="2"/>
  <c r="I737" i="2"/>
  <c r="I517" i="2"/>
  <c r="I134" i="2"/>
  <c r="I530" i="2"/>
  <c r="I520" i="2"/>
  <c r="I358" i="2"/>
  <c r="I450" i="2"/>
  <c r="I438" i="2"/>
  <c r="I66" i="2"/>
  <c r="I1160" i="2"/>
  <c r="I711" i="2"/>
  <c r="I875" i="2"/>
  <c r="I369" i="2"/>
  <c r="I703" i="2"/>
  <c r="I640" i="2"/>
  <c r="I582" i="2"/>
  <c r="I866" i="2"/>
  <c r="I827" i="2"/>
  <c r="I235" i="2"/>
  <c r="I766" i="2"/>
  <c r="I529" i="2"/>
  <c r="I93" i="2"/>
  <c r="I1189" i="2"/>
  <c r="I1137" i="2"/>
  <c r="I1191" i="2"/>
  <c r="I1131" i="2"/>
  <c r="I1039" i="2"/>
  <c r="I972" i="2"/>
  <c r="I860" i="2"/>
  <c r="I716" i="2"/>
  <c r="I383" i="2"/>
  <c r="I1037" i="2"/>
  <c r="I678" i="2"/>
  <c r="I434" i="2"/>
  <c r="I330" i="2"/>
  <c r="I1211" i="2"/>
  <c r="I1004" i="2"/>
  <c r="I1098" i="2"/>
  <c r="I992" i="2"/>
  <c r="I829" i="2"/>
  <c r="I728" i="2"/>
  <c r="I701" i="2"/>
  <c r="I501" i="2"/>
  <c r="I965" i="2"/>
  <c r="I874" i="2"/>
  <c r="I801" i="2"/>
  <c r="I938" i="2"/>
  <c r="I901" i="2"/>
  <c r="I43" i="2"/>
  <c r="I564" i="2"/>
  <c r="I595" i="2"/>
  <c r="I268" i="2"/>
  <c r="I1144" i="2"/>
  <c r="I643" i="2"/>
  <c r="I824" i="2"/>
  <c r="I554" i="2"/>
  <c r="I757" i="2"/>
  <c r="I494" i="2"/>
  <c r="I404" i="2"/>
  <c r="I246" i="2"/>
  <c r="I1247" i="2"/>
  <c r="I1230" i="2"/>
  <c r="I1242" i="2"/>
  <c r="AI152" i="1"/>
  <c r="I144" i="1"/>
  <c r="Y151" i="1"/>
  <c r="AT196" i="1"/>
  <c r="AX101" i="1"/>
  <c r="BK116" i="1"/>
  <c r="BP116" i="1" s="1"/>
  <c r="BQ116" i="1" s="1"/>
  <c r="AC139" i="1"/>
  <c r="BH166" i="1"/>
  <c r="H212" i="1"/>
  <c r="R96" i="1"/>
  <c r="BF109" i="1"/>
  <c r="AF132" i="1"/>
  <c r="BG157" i="1"/>
  <c r="AG194" i="1"/>
  <c r="AN99" i="1"/>
  <c r="BA115" i="1"/>
  <c r="BH134" i="1"/>
  <c r="BK157" i="1"/>
  <c r="BP157" i="1" s="1"/>
  <c r="AU189" i="1"/>
  <c r="F130" i="1"/>
  <c r="BO152" i="1"/>
  <c r="AW189" i="1"/>
  <c r="BG98" i="1"/>
  <c r="Y103" i="1"/>
  <c r="H124" i="1"/>
  <c r="BD145" i="1"/>
  <c r="AK174" i="1"/>
  <c r="AA139" i="1"/>
  <c r="AP105" i="1"/>
  <c r="BK127" i="1"/>
  <c r="BP127" i="1" s="1"/>
  <c r="AE149" i="1"/>
  <c r="BE180" i="1"/>
  <c r="F114" i="1"/>
  <c r="AF107" i="1"/>
  <c r="AC186" i="1"/>
  <c r="U98" i="1"/>
  <c r="AO113" i="1"/>
  <c r="G135" i="1"/>
  <c r="BD156" i="1"/>
  <c r="AV197" i="1"/>
  <c r="BL148" i="1"/>
  <c r="AH96" i="1"/>
  <c r="Q110" i="1"/>
  <c r="G134" i="1"/>
  <c r="AD158" i="1"/>
  <c r="BF192" i="1"/>
  <c r="BH99" i="1"/>
  <c r="P116" i="1"/>
  <c r="AW137" i="1"/>
  <c r="BI159" i="1"/>
  <c r="AW205" i="1"/>
  <c r="J99" i="1"/>
  <c r="BE113" i="1"/>
  <c r="BL138" i="1"/>
  <c r="BK159" i="1"/>
  <c r="BP159" i="1" s="1"/>
  <c r="X208" i="1"/>
  <c r="AY147" i="1"/>
  <c r="AY106" i="1"/>
  <c r="BD173" i="1"/>
  <c r="AI105" i="1"/>
  <c r="BF105" i="1"/>
  <c r="AA129" i="1"/>
  <c r="D151" i="1"/>
  <c r="V181" i="1"/>
  <c r="AG95" i="1"/>
  <c r="E108" i="1"/>
  <c r="BB130" i="1"/>
  <c r="L130" i="1" s="1"/>
  <c r="T152" i="1"/>
  <c r="AE179" i="1"/>
  <c r="I98" i="1"/>
  <c r="P105" i="1"/>
  <c r="AD122" i="1"/>
  <c r="BM143" i="1"/>
  <c r="K143" i="1" s="1"/>
  <c r="BH171" i="1"/>
  <c r="AY95" i="1"/>
  <c r="AZ99" i="1"/>
  <c r="U104" i="1"/>
  <c r="Y108" i="1"/>
  <c r="AS112" i="1"/>
  <c r="BM116" i="1"/>
  <c r="K116" i="1" s="1"/>
  <c r="AH121" i="1"/>
  <c r="V125" i="1"/>
  <c r="AP129" i="1"/>
  <c r="I134" i="1"/>
  <c r="AE138" i="1"/>
  <c r="AI142" i="1"/>
  <c r="AM146" i="1"/>
  <c r="F151" i="1"/>
  <c r="AD155" i="1"/>
  <c r="E161" i="1"/>
  <c r="BR161" i="1" s="1"/>
  <c r="BS161" i="1" s="1"/>
  <c r="P167" i="1"/>
  <c r="BB173" i="1"/>
  <c r="L173" i="1" s="1"/>
  <c r="W181" i="1"/>
  <c r="AY190" i="1"/>
  <c r="AE200" i="1"/>
  <c r="AJ209" i="1"/>
  <c r="AK95" i="1"/>
  <c r="BB99" i="1"/>
  <c r="L99" i="1" s="1"/>
  <c r="E104" i="1"/>
  <c r="BR104" i="1" s="1"/>
  <c r="BS104" i="1" s="1"/>
  <c r="AQ108" i="1"/>
  <c r="BK112" i="1"/>
  <c r="BP112" i="1" s="1"/>
  <c r="BO116" i="1"/>
  <c r="T121" i="1"/>
  <c r="AN125" i="1"/>
  <c r="BH129" i="1"/>
  <c r="BL133" i="1"/>
  <c r="AG138" i="1"/>
  <c r="BA142" i="1"/>
  <c r="BE146" i="1"/>
  <c r="H151" i="1"/>
  <c r="AZ155" i="1"/>
  <c r="BE160" i="1"/>
  <c r="AL166" i="1"/>
  <c r="AX172" i="1"/>
  <c r="BN179" i="1"/>
  <c r="AP187" i="1"/>
  <c r="AU196" i="1"/>
  <c r="AB206" i="1"/>
  <c r="AZ217" i="1"/>
  <c r="AG101" i="1"/>
  <c r="BA105" i="1"/>
  <c r="BE109" i="1"/>
  <c r="H114" i="1"/>
  <c r="AT118" i="1"/>
  <c r="BN122" i="1"/>
  <c r="BB126" i="1"/>
  <c r="L126" i="1" s="1"/>
  <c r="E131" i="1"/>
  <c r="BR131" i="1" s="1"/>
  <c r="BS131" i="1" s="1"/>
  <c r="AQ135" i="1"/>
  <c r="BK139" i="1"/>
  <c r="BP139" i="1" s="1"/>
  <c r="BQ139" i="1" s="1"/>
  <c r="BO143" i="1"/>
  <c r="T148" i="1"/>
  <c r="AN152" i="1"/>
  <c r="AA157" i="1"/>
  <c r="E162" i="1"/>
  <c r="BR162" i="1" s="1"/>
  <c r="BS162" i="1" s="1"/>
  <c r="BN167" i="1"/>
  <c r="AR174" i="1"/>
  <c r="U183" i="1"/>
  <c r="BJ191" i="1"/>
  <c r="J203" i="1"/>
  <c r="S212" i="1"/>
  <c r="AZ111" i="1"/>
  <c r="U116" i="1"/>
  <c r="Y120" i="1"/>
  <c r="AS124" i="1"/>
  <c r="BM128" i="1"/>
  <c r="K128" i="1" s="1"/>
  <c r="AH133" i="1"/>
  <c r="V137" i="1"/>
  <c r="AP141" i="1"/>
  <c r="I146" i="1"/>
  <c r="AE150" i="1"/>
  <c r="AI154" i="1"/>
  <c r="G159" i="1"/>
  <c r="AT164" i="1"/>
  <c r="AH170" i="1"/>
  <c r="AJ177" i="1"/>
  <c r="AU185" i="1"/>
  <c r="AV194" i="1"/>
  <c r="V205" i="1"/>
  <c r="AK215" i="1"/>
  <c r="AV97" i="1"/>
  <c r="BO101" i="1"/>
  <c r="T106" i="1"/>
  <c r="AN110" i="1"/>
  <c r="BH114" i="1"/>
  <c r="BL118" i="1"/>
  <c r="AG123" i="1"/>
  <c r="BA127" i="1"/>
  <c r="BE131" i="1"/>
  <c r="H136" i="1"/>
  <c r="AT140" i="1"/>
  <c r="BN144" i="1"/>
  <c r="BB148" i="1"/>
  <c r="L148" i="1" s="1"/>
  <c r="E153" i="1"/>
  <c r="AW157" i="1"/>
  <c r="AF162" i="1"/>
  <c r="X168" i="1"/>
  <c r="AC175" i="1"/>
  <c r="BG182" i="1"/>
  <c r="BL190" i="1"/>
  <c r="I201" i="1"/>
  <c r="AR209" i="1"/>
  <c r="AP221" i="1"/>
  <c r="H99" i="1"/>
  <c r="AT103" i="1"/>
  <c r="BN107" i="1"/>
  <c r="BB111" i="1"/>
  <c r="L111" i="1" s="1"/>
  <c r="E116" i="1"/>
  <c r="AQ120" i="1"/>
  <c r="BK124" i="1"/>
  <c r="BP124" i="1" s="1"/>
  <c r="BO128" i="1"/>
  <c r="T133" i="1"/>
  <c r="AN137" i="1"/>
  <c r="BH141" i="1"/>
  <c r="BL145" i="1"/>
  <c r="AG150" i="1"/>
  <c r="BA154" i="1"/>
  <c r="W160" i="1"/>
  <c r="U166" i="1"/>
  <c r="BL173" i="1"/>
  <c r="BL181" i="1"/>
  <c r="BM190" i="1"/>
  <c r="K190" i="1" s="1"/>
  <c r="J201" i="1"/>
  <c r="BA210" i="1"/>
  <c r="BF95" i="1"/>
  <c r="BG99" i="1"/>
  <c r="J104" i="1"/>
  <c r="P108" i="1"/>
  <c r="AJ112" i="1"/>
  <c r="BD116" i="1"/>
  <c r="G121" i="1"/>
  <c r="AC125" i="1"/>
  <c r="AW129" i="1"/>
  <c r="R134" i="1"/>
  <c r="D138" i="1"/>
  <c r="Z142" i="1"/>
  <c r="BJ146" i="1"/>
  <c r="O151" i="1"/>
  <c r="U155" i="1"/>
  <c r="X160" i="1"/>
  <c r="V166" i="1"/>
  <c r="O173" i="1"/>
  <c r="H180" i="1"/>
  <c r="V188" i="1"/>
  <c r="BH196" i="1"/>
  <c r="AI206" i="1"/>
  <c r="Q217" i="1"/>
  <c r="BA112" i="1"/>
  <c r="BE116" i="1"/>
  <c r="H121" i="1"/>
  <c r="AT125" i="1"/>
  <c r="BN129" i="1"/>
  <c r="BB133" i="1"/>
  <c r="L133" i="1" s="1"/>
  <c r="E138" i="1"/>
  <c r="BR138" i="1" s="1"/>
  <c r="BS138" i="1" s="1"/>
  <c r="AQ142" i="1"/>
  <c r="BK146" i="1"/>
  <c r="BP146" i="1" s="1"/>
  <c r="BO150" i="1"/>
  <c r="V155" i="1"/>
  <c r="Y160" i="1"/>
  <c r="AT165" i="1"/>
  <c r="AZ171" i="1"/>
  <c r="BK178" i="1"/>
  <c r="BP178" i="1" s="1"/>
  <c r="V187" i="1"/>
  <c r="AA196" i="1"/>
  <c r="AK206" i="1"/>
  <c r="AH216" i="1"/>
  <c r="P98" i="1"/>
  <c r="AJ102" i="1"/>
  <c r="BD106" i="1"/>
  <c r="G111" i="1"/>
  <c r="AC115" i="1"/>
  <c r="AW119" i="1"/>
  <c r="R124" i="1"/>
  <c r="D128" i="1"/>
  <c r="Z132" i="1"/>
  <c r="BJ136" i="1"/>
  <c r="O141" i="1"/>
  <c r="S145" i="1"/>
  <c r="W149" i="1"/>
  <c r="BG153" i="1"/>
  <c r="AR158" i="1"/>
  <c r="H164" i="1"/>
  <c r="Q170" i="1"/>
  <c r="BC176" i="1"/>
  <c r="AA185" i="1"/>
  <c r="T194" i="1"/>
  <c r="Z203" i="1"/>
  <c r="I213" i="1"/>
  <c r="BE96" i="1"/>
  <c r="F101" i="1"/>
  <c r="AB105" i="1"/>
  <c r="AF109" i="1"/>
  <c r="AZ113" i="1"/>
  <c r="U118" i="1"/>
  <c r="Y122" i="1"/>
  <c r="AS126" i="1"/>
  <c r="BM130" i="1"/>
  <c r="K130" i="1" s="1"/>
  <c r="AH135" i="1"/>
  <c r="V139" i="1"/>
  <c r="AP143" i="1"/>
  <c r="I148" i="1"/>
  <c r="AE152" i="1"/>
  <c r="AC156" i="1"/>
  <c r="T161" i="1"/>
  <c r="D167" i="1"/>
  <c r="S173" i="1"/>
  <c r="AT180" i="1"/>
  <c r="BO188" i="1"/>
  <c r="AN198" i="1"/>
  <c r="U209" i="1"/>
  <c r="BE219" i="1"/>
  <c r="AH98" i="1"/>
  <c r="V102" i="1"/>
  <c r="AP106" i="1"/>
  <c r="I111" i="1"/>
  <c r="AE115" i="1"/>
  <c r="AI119" i="1"/>
  <c r="AM123" i="1"/>
  <c r="F128" i="1"/>
  <c r="AB132" i="1"/>
  <c r="AF136" i="1"/>
  <c r="AZ140" i="1"/>
  <c r="U145" i="1"/>
  <c r="Y149" i="1"/>
  <c r="AS153" i="1"/>
  <c r="D158" i="1"/>
  <c r="O163" i="1"/>
  <c r="BD168" i="1"/>
  <c r="BF176" i="1"/>
  <c r="BN184" i="1"/>
  <c r="W194" i="1"/>
  <c r="BI202" i="1"/>
  <c r="AJ214" i="1"/>
  <c r="F97" i="1"/>
  <c r="Z101" i="1"/>
  <c r="BJ105" i="1"/>
  <c r="O110" i="1"/>
  <c r="S114" i="1"/>
  <c r="W118" i="1"/>
  <c r="BG122" i="1"/>
  <c r="J127" i="1"/>
  <c r="P131" i="1"/>
  <c r="AJ135" i="1"/>
  <c r="BD139" i="1"/>
  <c r="G144" i="1"/>
  <c r="AC148" i="1"/>
  <c r="AW152" i="1"/>
  <c r="AL157" i="1"/>
  <c r="AN162" i="1"/>
  <c r="AI168" i="1"/>
  <c r="BG174" i="1"/>
  <c r="D183" i="1"/>
  <c r="BD193" i="1"/>
  <c r="BK202" i="1"/>
  <c r="BP202" i="1" s="1"/>
  <c r="H215" i="1"/>
  <c r="T98" i="1"/>
  <c r="AN102" i="1"/>
  <c r="BH106" i="1"/>
  <c r="BL110" i="1"/>
  <c r="AG115" i="1"/>
  <c r="BA119" i="1"/>
  <c r="BE123" i="1"/>
  <c r="H128" i="1"/>
  <c r="AT132" i="1"/>
  <c r="BN136" i="1"/>
  <c r="BB140" i="1"/>
  <c r="L140" i="1" s="1"/>
  <c r="E145" i="1"/>
  <c r="BR145" i="1" s="1"/>
  <c r="BS145" i="1" s="1"/>
  <c r="AQ149" i="1"/>
  <c r="BK153" i="1"/>
  <c r="BP153" i="1" s="1"/>
  <c r="BQ153" i="1" s="1"/>
  <c r="AV158" i="1"/>
  <c r="BI163" i="1"/>
  <c r="AP169" i="1"/>
  <c r="AQ175" i="1"/>
  <c r="AN183" i="1"/>
  <c r="AF194" i="1"/>
  <c r="AL203" i="1"/>
  <c r="AN214" i="1"/>
  <c r="AJ168" i="1"/>
  <c r="BD172" i="1"/>
  <c r="G177" i="1"/>
  <c r="AC181" i="1"/>
  <c r="AW185" i="1"/>
  <c r="R190" i="1"/>
  <c r="D194" i="1"/>
  <c r="Z198" i="1"/>
  <c r="BJ202" i="1"/>
  <c r="O207" i="1"/>
  <c r="S211" i="1"/>
  <c r="W215" i="1"/>
  <c r="W220" i="1"/>
  <c r="BI171" i="1"/>
  <c r="AD176" i="1"/>
  <c r="AX180" i="1"/>
  <c r="AL184" i="1"/>
  <c r="BF188" i="1"/>
  <c r="AA193" i="1"/>
  <c r="AU197" i="1"/>
  <c r="AY201" i="1"/>
  <c r="BC205" i="1"/>
  <c r="X210" i="1"/>
  <c r="AR214" i="1"/>
  <c r="E219" i="1"/>
  <c r="AF176" i="1"/>
  <c r="AZ180" i="1"/>
  <c r="U185" i="1"/>
  <c r="Y189" i="1"/>
  <c r="AS193" i="1"/>
  <c r="BM197" i="1"/>
  <c r="K197" i="1" s="1"/>
  <c r="AH202" i="1"/>
  <c r="V206" i="1"/>
  <c r="AP210" i="1"/>
  <c r="I215" i="1"/>
  <c r="G219" i="1"/>
  <c r="AH181" i="1"/>
  <c r="V185" i="1"/>
  <c r="AP189" i="1"/>
  <c r="I194" i="1"/>
  <c r="AE198" i="1"/>
  <c r="AI202" i="1"/>
  <c r="AM206" i="1"/>
  <c r="F211" i="1"/>
  <c r="AB215" i="1"/>
  <c r="AA219" i="1"/>
  <c r="R160" i="1"/>
  <c r="D164" i="1"/>
  <c r="Z168" i="1"/>
  <c r="BJ172" i="1"/>
  <c r="O177" i="1"/>
  <c r="S181" i="1"/>
  <c r="W185" i="1"/>
  <c r="BG189" i="1"/>
  <c r="J194" i="1"/>
  <c r="P198" i="1"/>
  <c r="AJ202" i="1"/>
  <c r="BD206" i="1"/>
  <c r="G211" i="1"/>
  <c r="AC215" i="1"/>
  <c r="AB219" i="1"/>
  <c r="BK156" i="1"/>
  <c r="BP156" i="1" s="1"/>
  <c r="BO160" i="1"/>
  <c r="T165" i="1"/>
  <c r="AN169" i="1"/>
  <c r="BH173" i="1"/>
  <c r="BL177" i="1"/>
  <c r="AG182" i="1"/>
  <c r="BA186" i="1"/>
  <c r="BE190" i="1"/>
  <c r="H195" i="1"/>
  <c r="AT199" i="1"/>
  <c r="BN203" i="1"/>
  <c r="BB207" i="1"/>
  <c r="L207" i="1" s="1"/>
  <c r="E212" i="1"/>
  <c r="BR212" i="1" s="1"/>
  <c r="BS212" i="1" s="1"/>
  <c r="AQ216" i="1"/>
  <c r="BL220" i="1"/>
  <c r="AP158" i="1"/>
  <c r="I163" i="1"/>
  <c r="AE167" i="1"/>
  <c r="AI171" i="1"/>
  <c r="AM175" i="1"/>
  <c r="F180" i="1"/>
  <c r="AB184" i="1"/>
  <c r="AF188" i="1"/>
  <c r="AZ192" i="1"/>
  <c r="U197" i="1"/>
  <c r="Y201" i="1"/>
  <c r="AS205" i="1"/>
  <c r="BM209" i="1"/>
  <c r="K209" i="1" s="1"/>
  <c r="AH214" i="1"/>
  <c r="AC218" i="1"/>
  <c r="AZ187" i="1"/>
  <c r="U192" i="1"/>
  <c r="Y196" i="1"/>
  <c r="AS200" i="1"/>
  <c r="BM204" i="1"/>
  <c r="AH209" i="1"/>
  <c r="V213" i="1"/>
  <c r="AT217" i="1"/>
  <c r="AW219" i="1"/>
  <c r="AV217" i="1"/>
  <c r="J212" i="1"/>
  <c r="P216" i="1"/>
  <c r="AJ220" i="1"/>
  <c r="AC164" i="1"/>
  <c r="AW168" i="1"/>
  <c r="R173" i="1"/>
  <c r="D177" i="1"/>
  <c r="Z181" i="1"/>
  <c r="BJ185" i="1"/>
  <c r="O190" i="1"/>
  <c r="S194" i="1"/>
  <c r="W198" i="1"/>
  <c r="BG202" i="1"/>
  <c r="J207" i="1"/>
  <c r="P211" i="1"/>
  <c r="AJ215" i="1"/>
  <c r="T220" i="1"/>
  <c r="AO218" i="1"/>
  <c r="K160" i="1" l="1"/>
  <c r="BR177" i="1"/>
  <c r="BS177" i="1" s="1"/>
  <c r="BR109" i="1"/>
  <c r="BS109" i="1" s="1"/>
  <c r="BQ131" i="1"/>
  <c r="BR172" i="1"/>
  <c r="BS172" i="1" s="1"/>
  <c r="BR154" i="1"/>
  <c r="BS154" i="1" s="1"/>
  <c r="BQ102" i="1"/>
  <c r="BR201" i="1"/>
  <c r="BS201" i="1" s="1"/>
  <c r="BQ198" i="1"/>
  <c r="BQ211" i="1"/>
  <c r="BQ192" i="1"/>
  <c r="BQ160" i="1"/>
  <c r="BR158" i="1"/>
  <c r="BS158" i="1" s="1"/>
  <c r="K205" i="1"/>
  <c r="BR136" i="1"/>
  <c r="BS136" i="1" s="1"/>
  <c r="BR210" i="1"/>
  <c r="BS210" i="1" s="1"/>
  <c r="BR125" i="1"/>
  <c r="BS125" i="1" s="1"/>
  <c r="BR133" i="1"/>
  <c r="BS133" i="1" s="1"/>
  <c r="K206" i="1"/>
  <c r="K106" i="1"/>
  <c r="BR183" i="1"/>
  <c r="BS183" i="1" s="1"/>
  <c r="BR106" i="1"/>
  <c r="BS106" i="1" s="1"/>
  <c r="BQ130" i="1"/>
  <c r="BR100" i="1"/>
  <c r="BS100" i="1" s="1"/>
  <c r="BR202" i="1"/>
  <c r="BS202" i="1" s="1"/>
  <c r="K166" i="1"/>
  <c r="BQ166" i="1" s="1"/>
  <c r="BQ196" i="1"/>
  <c r="BR129" i="1"/>
  <c r="BS129" i="1" s="1"/>
  <c r="K216" i="1"/>
  <c r="BR199" i="1"/>
  <c r="BS199" i="1" s="1"/>
  <c r="BR219" i="1"/>
  <c r="BS219" i="1" s="1"/>
  <c r="BQ202" i="1"/>
  <c r="BQ124" i="1"/>
  <c r="BR153" i="1"/>
  <c r="BS153" i="1" s="1"/>
  <c r="BQ206" i="1"/>
  <c r="BQ184" i="1"/>
  <c r="BQ183" i="1"/>
  <c r="K123" i="1"/>
  <c r="BR214" i="1"/>
  <c r="BS214" i="1" s="1"/>
  <c r="BQ111" i="1"/>
  <c r="BR170" i="1"/>
  <c r="BS170" i="1" s="1"/>
  <c r="BR180" i="1"/>
  <c r="BS180" i="1" s="1"/>
  <c r="BQ129" i="1"/>
  <c r="BR99" i="1"/>
  <c r="BS99" i="1" s="1"/>
  <c r="K148" i="1"/>
  <c r="K164" i="1"/>
  <c r="BQ164" i="1" s="1"/>
  <c r="BR128" i="1"/>
  <c r="BS128" i="1" s="1"/>
  <c r="BR122" i="1"/>
  <c r="BS122" i="1" s="1"/>
  <c r="K172" i="1"/>
  <c r="K177" i="1"/>
  <c r="BR150" i="1"/>
  <c r="BS150" i="1" s="1"/>
  <c r="BQ168" i="1"/>
  <c r="BR211" i="1"/>
  <c r="BS211" i="1" s="1"/>
  <c r="K185" i="1"/>
  <c r="BQ185" i="1" s="1"/>
  <c r="BR195" i="1"/>
  <c r="BS195" i="1" s="1"/>
  <c r="BQ134" i="1"/>
  <c r="K174" i="1"/>
  <c r="BR142" i="1"/>
  <c r="BS142" i="1" s="1"/>
  <c r="K103" i="1"/>
  <c r="BR160" i="1"/>
  <c r="BS160" i="1" s="1"/>
  <c r="BR156" i="1"/>
  <c r="BS156" i="1" s="1"/>
  <c r="BQ152" i="1"/>
  <c r="BR102" i="1"/>
  <c r="BS102" i="1" s="1"/>
  <c r="BR98" i="1"/>
  <c r="BS98" i="1" s="1"/>
  <c r="BR157" i="1"/>
  <c r="BS157" i="1" s="1"/>
  <c r="BR110" i="1"/>
  <c r="BS110" i="1" s="1"/>
  <c r="BR96" i="1"/>
  <c r="BS96" i="1" s="1"/>
  <c r="BQ128" i="1"/>
  <c r="BQ95" i="1"/>
  <c r="BQ146" i="1"/>
  <c r="BR116" i="1"/>
  <c r="BS116" i="1" s="1"/>
  <c r="BR198" i="1"/>
  <c r="BS198" i="1" s="1"/>
  <c r="BQ132" i="1"/>
  <c r="BR175" i="1"/>
  <c r="BS175" i="1" s="1"/>
  <c r="K124" i="1"/>
  <c r="BR218" i="1"/>
  <c r="BS218" i="1" s="1"/>
  <c r="K146" i="1"/>
  <c r="K214" i="1"/>
  <c r="BQ165" i="1"/>
  <c r="BR163" i="1"/>
  <c r="BS163" i="1" s="1"/>
  <c r="BR121" i="1"/>
  <c r="BS121" i="1" s="1"/>
  <c r="BQ220" i="1"/>
  <c r="BQ122" i="1"/>
  <c r="BR141" i="1"/>
  <c r="BS141" i="1" s="1"/>
  <c r="K137" i="1"/>
  <c r="BQ137" i="1" s="1"/>
  <c r="BQ151" i="1"/>
  <c r="BR193" i="1"/>
  <c r="BS193" i="1" s="1"/>
  <c r="BQ205" i="1"/>
  <c r="K173" i="1"/>
  <c r="BR127" i="1"/>
  <c r="BS127" i="1" s="1"/>
  <c r="BR155" i="1"/>
  <c r="BS155" i="1" s="1"/>
  <c r="BR126" i="1"/>
  <c r="BS126" i="1" s="1"/>
  <c r="K169" i="1"/>
  <c r="BR197" i="1"/>
  <c r="BS197" i="1" s="1"/>
  <c r="BR220" i="1"/>
  <c r="BS220" i="1" s="1"/>
  <c r="BR140" i="1"/>
  <c r="BS140" i="1" s="1"/>
  <c r="K213" i="1"/>
  <c r="BQ213" i="1" s="1"/>
  <c r="BR151" i="1"/>
  <c r="BS151" i="1" s="1"/>
  <c r="BQ172" i="1"/>
  <c r="K109" i="1"/>
  <c r="BQ109" i="1" s="1"/>
  <c r="K111" i="1"/>
  <c r="K127" i="1"/>
  <c r="BQ106" i="1"/>
  <c r="BR176" i="1"/>
  <c r="BS176" i="1" s="1"/>
  <c r="K176" i="1"/>
  <c r="BR184" i="1"/>
  <c r="BS184" i="1" s="1"/>
  <c r="BQ162" i="1"/>
  <c r="K99" i="1"/>
  <c r="BQ99" i="1" s="1"/>
  <c r="K134" i="1"/>
  <c r="BR114" i="1"/>
  <c r="BS114" i="1" s="1"/>
  <c r="K188" i="1"/>
  <c r="BQ188" i="1" s="1"/>
  <c r="K167" i="1"/>
  <c r="BQ167" i="1" s="1"/>
  <c r="BR186" i="1"/>
  <c r="BS186" i="1" s="1"/>
  <c r="BQ177" i="1"/>
  <c r="BR143" i="1"/>
  <c r="BS143" i="1" s="1"/>
  <c r="K162" i="1"/>
  <c r="BQ173" i="1"/>
  <c r="BR190" i="1"/>
  <c r="BS190" i="1" s="1"/>
  <c r="BR167" i="1"/>
  <c r="BS167" i="1" s="1"/>
  <c r="BR139" i="1"/>
  <c r="BS139" i="1" s="1"/>
  <c r="BQ169" i="1"/>
  <c r="BR192" i="1"/>
  <c r="BS192" i="1" s="1"/>
  <c r="BR217" i="1"/>
  <c r="BS217" i="1" s="1"/>
  <c r="BR209" i="1"/>
  <c r="BS209" i="1" s="1"/>
  <c r="BR135" i="1"/>
  <c r="BS135" i="1" s="1"/>
  <c r="K114" i="1"/>
  <c r="BQ114" i="1" s="1"/>
  <c r="K195" i="1"/>
  <c r="BQ195" i="1" s="1"/>
  <c r="BQ103" i="1"/>
  <c r="BQ121" i="1"/>
  <c r="BQ159" i="1"/>
  <c r="BQ142" i="1"/>
  <c r="BQ174" i="1"/>
  <c r="BR124" i="1"/>
  <c r="BS124" i="1" s="1"/>
  <c r="BR207" i="1"/>
  <c r="BS207" i="1" s="1"/>
  <c r="K156" i="1"/>
  <c r="BR173" i="1"/>
  <c r="BS173" i="1" s="1"/>
  <c r="K136" i="1"/>
  <c r="BQ136" i="1" s="1"/>
  <c r="K189" i="1"/>
  <c r="BQ189" i="1" s="1"/>
  <c r="BR204" i="1"/>
  <c r="BS204" i="1" s="1"/>
  <c r="K181" i="1"/>
  <c r="BQ181" i="1" s="1"/>
  <c r="BR171" i="1"/>
  <c r="BS171" i="1" s="1"/>
  <c r="BR203" i="1"/>
  <c r="BS203" i="1" s="1"/>
  <c r="BR169" i="1"/>
  <c r="BS169" i="1" s="1"/>
  <c r="BQ214" i="1"/>
  <c r="BQ176" i="1"/>
  <c r="BR181" i="1"/>
  <c r="BS181" i="1" s="1"/>
  <c r="K96" i="1"/>
  <c r="BQ96" i="1" s="1"/>
  <c r="BR152" i="1"/>
  <c r="BS152" i="1" s="1"/>
  <c r="BQ190" i="1"/>
  <c r="K155" i="1"/>
  <c r="BR159" i="1"/>
  <c r="BS159" i="1" s="1"/>
  <c r="K204" i="1"/>
  <c r="BR215" i="1"/>
  <c r="BS215" i="1" s="1"/>
  <c r="K178" i="1"/>
  <c r="BQ186" i="1"/>
  <c r="BR134" i="1"/>
  <c r="BS134" i="1" s="1"/>
  <c r="BR191" i="1"/>
  <c r="BS191" i="1" s="1"/>
  <c r="K180" i="1"/>
  <c r="BQ180" i="1" s="1"/>
  <c r="BR200" i="1"/>
  <c r="BS200" i="1" s="1"/>
  <c r="K113" i="1"/>
  <c r="BQ204" i="1"/>
  <c r="K141" i="1"/>
  <c r="BQ141" i="1" s="1"/>
  <c r="K112" i="1"/>
  <c r="BQ123" i="1"/>
  <c r="BQ163" i="1"/>
  <c r="BR216" i="1"/>
  <c r="BS216" i="1" s="1"/>
  <c r="BQ127" i="1"/>
  <c r="K191" i="1"/>
  <c r="BR101" i="1"/>
  <c r="BS101" i="1" s="1"/>
  <c r="BR144" i="1"/>
  <c r="BS144" i="1" s="1"/>
  <c r="BQ113" i="1"/>
  <c r="BQ199" i="1"/>
  <c r="K120" i="1"/>
  <c r="BQ120" i="1" s="1"/>
  <c r="BR95" i="1"/>
  <c r="BS95" i="1" s="1"/>
  <c r="K135" i="1"/>
  <c r="BQ135" i="1" s="1"/>
  <c r="K161" i="1"/>
  <c r="BQ161" i="1" s="1"/>
  <c r="K147" i="1"/>
  <c r="BQ147" i="1" s="1"/>
  <c r="BQ112" i="1"/>
  <c r="BQ126" i="1"/>
  <c r="BR213" i="1"/>
  <c r="BS213" i="1" s="1"/>
  <c r="BR206" i="1"/>
  <c r="BS206" i="1" s="1"/>
  <c r="K154" i="1"/>
  <c r="BQ154" i="1" s="1"/>
  <c r="BQ217" i="1"/>
  <c r="K201" i="1"/>
  <c r="BQ201" i="1" s="1"/>
  <c r="BQ105" i="1"/>
  <c r="BQ140" i="1"/>
  <c r="K157" i="1"/>
  <c r="BQ216" i="1"/>
  <c r="K215" i="1"/>
  <c r="BQ215" i="1" s="1"/>
  <c r="K110" i="1"/>
  <c r="BQ110" i="1" s="1"/>
  <c r="K100" i="1"/>
  <c r="BQ100" i="1" s="1"/>
  <c r="BQ197" i="1"/>
  <c r="BR182" i="1"/>
  <c r="BS182" i="1" s="1"/>
  <c r="BQ125" i="1"/>
  <c r="BQ182" i="1"/>
  <c r="BQ117" i="1"/>
  <c r="BQ133" i="1"/>
  <c r="I218" i="2"/>
  <c r="J440" i="2" s="1" a="1"/>
  <c r="J440" i="2" s="1"/>
  <c r="I253" i="2"/>
  <c r="J686" i="2" s="1" a="1"/>
  <c r="J686" i="2" s="1"/>
  <c r="I214" i="2"/>
  <c r="I68" i="2"/>
  <c r="J149" i="2" s="1" a="1"/>
  <c r="J149" i="2" s="1"/>
  <c r="BR196" i="1"/>
  <c r="BS196" i="1" s="1"/>
  <c r="BQ145" i="1"/>
  <c r="BR115" i="1"/>
  <c r="BS115" i="1" s="1"/>
  <c r="BR221" i="1"/>
  <c r="BS221" i="1" s="1"/>
  <c r="K158" i="1"/>
  <c r="BQ158" i="1" s="1"/>
  <c r="K210" i="1"/>
  <c r="BQ210" i="1" s="1"/>
  <c r="BQ156" i="1"/>
  <c r="BR108" i="1"/>
  <c r="BS108" i="1" s="1"/>
  <c r="BQ157" i="1"/>
  <c r="BR189" i="1"/>
  <c r="BS189" i="1" s="1"/>
  <c r="BR132" i="1"/>
  <c r="BS132" i="1" s="1"/>
  <c r="BQ209" i="1"/>
  <c r="BQ170" i="1"/>
  <c r="K101" i="1"/>
  <c r="BQ101" i="1" s="1"/>
  <c r="K187" i="1"/>
  <c r="BQ187" i="1" s="1"/>
  <c r="K150" i="1"/>
  <c r="BQ150" i="1" s="1"/>
  <c r="BQ155" i="1"/>
  <c r="K98" i="1"/>
  <c r="BQ98" i="1" s="1"/>
  <c r="BQ144" i="1"/>
  <c r="J79" i="2" a="1"/>
  <c r="J79" i="2" s="1"/>
  <c r="J284" i="2" a="1"/>
  <c r="J284" i="2" s="1"/>
  <c r="J531" i="2" a="1"/>
  <c r="J531" i="2" s="1"/>
  <c r="J803" i="2" a="1"/>
  <c r="J803" i="2" s="1"/>
  <c r="J1098" i="2" a="1"/>
  <c r="J1098" i="2" s="1"/>
  <c r="BQ97" i="1"/>
  <c r="K179" i="1"/>
  <c r="BQ179" i="1" s="1"/>
  <c r="K193" i="1"/>
  <c r="BQ193" i="1" s="1"/>
  <c r="BR188" i="1"/>
  <c r="BS188" i="1" s="1"/>
  <c r="BR107" i="1"/>
  <c r="BS107" i="1" s="1"/>
  <c r="BQ178" i="1"/>
  <c r="J368" i="2" a="1"/>
  <c r="J368" i="2" s="1"/>
  <c r="J630" i="2" a="1"/>
  <c r="J630" i="2" s="1"/>
  <c r="J908" i="2" a="1"/>
  <c r="J908" i="2" s="1"/>
  <c r="J1131" i="2" a="1"/>
  <c r="J1131" i="2" s="1"/>
  <c r="K207" i="1"/>
  <c r="BQ207" i="1" s="1"/>
  <c r="BQ191" i="1"/>
  <c r="BR117" i="1"/>
  <c r="BS117" i="1" s="1"/>
  <c r="BQ108" i="1"/>
  <c r="BR137" i="1"/>
  <c r="BS137" i="1" s="1"/>
  <c r="BQ148" i="1"/>
  <c r="J705" i="2" l="1" a="1"/>
  <c r="J705" i="2" s="1"/>
  <c r="J891" i="2" a="1"/>
  <c r="J891" i="2" s="1"/>
  <c r="J1202" i="2" a="1"/>
  <c r="J1202" i="2" s="1"/>
  <c r="J1011" i="2" a="1"/>
  <c r="J1011" i="2" s="1"/>
  <c r="J893" i="2" a="1"/>
  <c r="J893" i="2" s="1"/>
  <c r="J63" i="2" a="1"/>
  <c r="J63" i="2" s="1"/>
  <c r="J147" i="2" a="1"/>
  <c r="J147" i="2" s="1"/>
  <c r="J662" i="2" a="1"/>
  <c r="J662" i="2" s="1"/>
  <c r="J1152" i="2" a="1"/>
  <c r="J1152" i="2" s="1"/>
  <c r="J912" i="2" a="1"/>
  <c r="J912" i="2" s="1"/>
  <c r="J660" i="2" a="1"/>
  <c r="J660" i="2" s="1"/>
  <c r="J446" i="2" a="1"/>
  <c r="J446" i="2" s="1"/>
  <c r="J165" i="2" a="1"/>
  <c r="J165" i="2" s="1"/>
  <c r="J1140" i="2" a="1"/>
  <c r="J1140" i="2" s="1"/>
  <c r="J868" i="2" a="1"/>
  <c r="J868" i="2" s="1"/>
  <c r="J610" i="2" a="1"/>
  <c r="J610" i="2" s="1"/>
  <c r="J381" i="2" a="1"/>
  <c r="J381" i="2" s="1"/>
  <c r="J127" i="2" a="1"/>
  <c r="J127" i="2" s="1"/>
  <c r="J1182" i="2" a="1"/>
  <c r="J1182" i="2" s="1"/>
  <c r="J926" i="2" a="1"/>
  <c r="J926" i="2" s="1"/>
  <c r="J623" i="2" a="1"/>
  <c r="J623" i="2" s="1"/>
  <c r="J361" i="2" a="1"/>
  <c r="J361" i="2" s="1"/>
  <c r="J1256" i="2" a="1"/>
  <c r="J1256" i="2" s="1"/>
  <c r="J975" i="2" a="1"/>
  <c r="J975" i="2" s="1"/>
  <c r="J720" i="2" a="1"/>
  <c r="J720" i="2" s="1"/>
  <c r="J466" i="2" a="1"/>
  <c r="J466" i="2" s="1"/>
  <c r="J298" i="2" a="1"/>
  <c r="J298" i="2" s="1"/>
  <c r="J1141" i="2" a="1"/>
  <c r="J1141" i="2" s="1"/>
  <c r="J892" i="2" a="1"/>
  <c r="J892" i="2" s="1"/>
  <c r="J611" i="2" a="1"/>
  <c r="J611" i="2" s="1"/>
  <c r="J333" i="2" a="1"/>
  <c r="J333" i="2" s="1"/>
  <c r="J128" i="2" a="1"/>
  <c r="J128" i="2" s="1"/>
  <c r="J425" i="2" a="1"/>
  <c r="J425" i="2" s="1"/>
  <c r="J1188" i="2" a="1"/>
  <c r="J1188" i="2" s="1"/>
  <c r="J899" i="2" a="1"/>
  <c r="J899" i="2" s="1"/>
  <c r="J678" i="2" a="1"/>
  <c r="J678" i="2" s="1"/>
  <c r="J431" i="2" a="1"/>
  <c r="J431" i="2" s="1"/>
  <c r="J183" i="2" a="1"/>
  <c r="J183" i="2" s="1"/>
  <c r="J1157" i="2" a="1"/>
  <c r="J1157" i="2" s="1"/>
  <c r="J895" i="2" a="1"/>
  <c r="J895" i="2" s="1"/>
  <c r="J624" i="2" a="1"/>
  <c r="J624" i="2" s="1"/>
  <c r="J362" i="2" a="1"/>
  <c r="J362" i="2" s="1"/>
  <c r="J108" i="2" a="1"/>
  <c r="J108" i="2" s="1"/>
  <c r="J1069" i="2" a="1"/>
  <c r="J1069" i="2" s="1"/>
  <c r="J778" i="2" a="1"/>
  <c r="J778" i="2" s="1"/>
  <c r="J524" i="2" a="1"/>
  <c r="J524" i="2" s="1"/>
  <c r="J277" i="2" a="1"/>
  <c r="J277" i="2" s="1"/>
  <c r="J34" i="2" a="1"/>
  <c r="J34" i="2" s="1"/>
  <c r="J1179" i="2" a="1"/>
  <c r="J1179" i="2" s="1"/>
  <c r="J965" i="2" a="1"/>
  <c r="J965" i="2" s="1"/>
  <c r="J711" i="2" a="1"/>
  <c r="J711" i="2" s="1"/>
  <c r="J395" i="2" a="1"/>
  <c r="J395" i="2" s="1"/>
  <c r="J224" i="2" a="1"/>
  <c r="J224" i="2" s="1"/>
  <c r="J1065" i="2" a="1"/>
  <c r="J1065" i="2" s="1"/>
  <c r="J837" i="2" a="1"/>
  <c r="J837" i="2" s="1"/>
  <c r="J554" i="2" a="1"/>
  <c r="J554" i="2" s="1"/>
  <c r="J306" i="2" a="1"/>
  <c r="J306" i="2" s="1"/>
  <c r="J1112" i="2" a="1"/>
  <c r="J1112" i="2" s="1"/>
  <c r="J882" i="2" a="1"/>
  <c r="J882" i="2" s="1"/>
  <c r="J579" i="2" a="1"/>
  <c r="J579" i="2" s="1"/>
  <c r="J315" i="2" a="1"/>
  <c r="J315" i="2" s="1"/>
  <c r="J153" i="2" a="1"/>
  <c r="J153" i="2" s="1"/>
  <c r="J1241" i="2" a="1"/>
  <c r="J1241" i="2" s="1"/>
  <c r="J987" i="2" a="1"/>
  <c r="J987" i="2" s="1"/>
  <c r="J739" i="2" a="1"/>
  <c r="J739" i="2" s="1"/>
  <c r="J486" i="2" a="1"/>
  <c r="J486" i="2" s="1"/>
  <c r="J186" i="2" a="1"/>
  <c r="J186" i="2" s="1"/>
  <c r="J1147" i="2" a="1"/>
  <c r="J1147" i="2" s="1"/>
  <c r="J903" i="2" a="1"/>
  <c r="J903" i="2" s="1"/>
  <c r="J663" i="2" a="1"/>
  <c r="J663" i="2" s="1"/>
  <c r="J376" i="2" a="1"/>
  <c r="J376" i="2" s="1"/>
  <c r="J122" i="2" a="1"/>
  <c r="J122" i="2" s="1"/>
  <c r="J266" i="2" a="1"/>
  <c r="J266" i="2" s="1"/>
  <c r="J1201" i="2" a="1"/>
  <c r="J1201" i="2" s="1"/>
  <c r="J974" i="2" a="1"/>
  <c r="J974" i="2" s="1"/>
  <c r="J729" i="2" a="1"/>
  <c r="J729" i="2" s="1"/>
  <c r="J1150" i="2" a="1"/>
  <c r="J1150" i="2" s="1"/>
  <c r="J904" i="2" a="1"/>
  <c r="J904" i="2" s="1"/>
  <c r="J622" i="2" a="1"/>
  <c r="J622" i="2" s="1"/>
  <c r="J344" i="2" a="1"/>
  <c r="J344" i="2" s="1"/>
  <c r="J90" i="2" a="1"/>
  <c r="J90" i="2" s="1"/>
  <c r="J1130" i="2" a="1"/>
  <c r="J1130" i="2" s="1"/>
  <c r="J925" i="2" a="1"/>
  <c r="J925" i="2" s="1"/>
  <c r="J648" i="2" a="1"/>
  <c r="J648" i="2" s="1"/>
  <c r="J384" i="2" a="1"/>
  <c r="J384" i="2" s="1"/>
  <c r="J1196" i="2" a="1"/>
  <c r="J1196" i="2" s="1"/>
  <c r="J463" i="2" a="1"/>
  <c r="J463" i="2" s="1"/>
  <c r="J639" i="2" a="1"/>
  <c r="J639" i="2" s="1"/>
  <c r="J414" i="2" a="1"/>
  <c r="J414" i="2" s="1"/>
  <c r="J203" i="2" a="1"/>
  <c r="J203" i="2" s="1"/>
  <c r="J449" i="2" a="1"/>
  <c r="J449" i="2" s="1"/>
  <c r="J922" i="2" a="1"/>
  <c r="J922" i="2" s="1"/>
  <c r="J1156" i="2" a="1"/>
  <c r="J1156" i="2" s="1"/>
  <c r="J167" i="2" a="1"/>
  <c r="J167" i="2" s="1"/>
  <c r="J1158" i="2" a="1"/>
  <c r="J1158" i="2" s="1"/>
  <c r="J590" i="2" a="1"/>
  <c r="J590" i="2" s="1"/>
  <c r="J417" i="2" a="1"/>
  <c r="J417" i="2" s="1"/>
  <c r="J136" i="2" a="1"/>
  <c r="J136" i="2" s="1"/>
  <c r="J1115" i="2" a="1"/>
  <c r="J1115" i="2" s="1"/>
  <c r="J872" i="2" a="1"/>
  <c r="J872" i="2" s="1"/>
  <c r="J614" i="2" a="1"/>
  <c r="J614" i="2" s="1"/>
  <c r="J352" i="2" a="1"/>
  <c r="J352" i="2" s="1"/>
  <c r="J99" i="2" a="1"/>
  <c r="J99" i="2" s="1"/>
  <c r="J49" i="2" a="1"/>
  <c r="J49" i="2" s="1"/>
  <c r="J29" i="2" a="1"/>
  <c r="J29" i="2" s="1"/>
  <c r="J57" i="2" a="1"/>
  <c r="J57" i="2" s="1"/>
  <c r="J28" i="2" a="1"/>
  <c r="J28" i="2" s="1"/>
  <c r="J10" i="2" a="1"/>
  <c r="J10" i="2" s="1"/>
  <c r="J1124" i="2" a="1"/>
  <c r="J1124" i="2" s="1"/>
  <c r="J910" i="2" a="1"/>
  <c r="J910" i="2" s="1"/>
  <c r="J655" i="2" a="1"/>
  <c r="J655" i="2" s="1"/>
  <c r="J365" i="2" a="1"/>
  <c r="J365" i="2" s="1"/>
  <c r="J1247" i="2" a="1"/>
  <c r="J1247" i="2" s="1"/>
  <c r="J1001" i="2" a="1"/>
  <c r="J1001" i="2" s="1"/>
  <c r="J649" i="2" a="1"/>
  <c r="J649" i="2" s="1"/>
  <c r="J387" i="2" a="1"/>
  <c r="J387" i="2" s="1"/>
  <c r="J139" i="2" a="1"/>
  <c r="J139" i="2" s="1"/>
  <c r="J1133" i="2" a="1"/>
  <c r="J1133" i="2" s="1"/>
  <c r="J866" i="2" a="1"/>
  <c r="J866" i="2" s="1"/>
  <c r="J631" i="2" a="1"/>
  <c r="J631" i="2" s="1"/>
  <c r="J353" i="2" a="1"/>
  <c r="J353" i="2" s="1"/>
  <c r="J116" i="2" a="1"/>
  <c r="J116" i="2" s="1"/>
  <c r="J322" i="2" a="1"/>
  <c r="J322" i="2" s="1"/>
  <c r="J1160" i="2" a="1"/>
  <c r="J1160" i="2" s="1"/>
  <c r="J894" i="2" a="1"/>
  <c r="J894" i="2" s="1"/>
  <c r="J640" i="2" a="1"/>
  <c r="J640" i="2" s="1"/>
  <c r="J378" i="2" a="1"/>
  <c r="J378" i="2" s="1"/>
  <c r="J124" i="2" a="1"/>
  <c r="J124" i="2" s="1"/>
  <c r="J1126" i="2" a="1"/>
  <c r="J1126" i="2" s="1"/>
  <c r="J855" i="2" a="1"/>
  <c r="J855" i="2" s="1"/>
  <c r="J628" i="2" a="1"/>
  <c r="J628" i="2" s="1"/>
  <c r="J382" i="2" a="1"/>
  <c r="J382" i="2" s="1"/>
  <c r="J96" i="2" a="1"/>
  <c r="J96" i="2" s="1"/>
  <c r="J1043" i="2" a="1"/>
  <c r="J1043" i="2" s="1"/>
  <c r="J783" i="2" a="1"/>
  <c r="J783" i="2" s="1"/>
  <c r="J577" i="2" a="1"/>
  <c r="J577" i="2" s="1"/>
  <c r="J281" i="2" a="1"/>
  <c r="J281" i="2" s="1"/>
  <c r="J25" i="2" a="1"/>
  <c r="J25" i="2" s="1"/>
  <c r="J1174" i="2" a="1"/>
  <c r="J1174" i="2" s="1"/>
  <c r="J924" i="2" a="1"/>
  <c r="J924" i="2" s="1"/>
  <c r="J672" i="2" a="1"/>
  <c r="J672" i="2" s="1"/>
  <c r="J465" i="2" a="1"/>
  <c r="J465" i="2" s="1"/>
  <c r="J135" i="2" a="1"/>
  <c r="J135" i="2" s="1"/>
  <c r="J1087" i="2" a="1"/>
  <c r="J1087" i="2" s="1"/>
  <c r="J745" i="2" a="1"/>
  <c r="J745" i="2" s="1"/>
  <c r="J558" i="2" a="1"/>
  <c r="J558" i="2" s="1"/>
  <c r="J294" i="2" a="1"/>
  <c r="J294" i="2" s="1"/>
  <c r="J1074" i="2" a="1"/>
  <c r="J1074" i="2" s="1"/>
  <c r="J823" i="2" a="1"/>
  <c r="J823" i="2" s="1"/>
  <c r="J567" i="2" a="1"/>
  <c r="J567" i="2" s="1"/>
  <c r="J302" i="2" a="1"/>
  <c r="J302" i="2" s="1"/>
  <c r="J43" i="2" a="1"/>
  <c r="J43" i="2" s="1"/>
  <c r="J1212" i="2" a="1"/>
  <c r="J1212" i="2" s="1"/>
  <c r="J943" i="2" a="1"/>
  <c r="J943" i="2" s="1"/>
  <c r="J667" i="2" a="1"/>
  <c r="J667" i="2" s="1"/>
  <c r="J421" i="2" a="1"/>
  <c r="J421" i="2" s="1"/>
  <c r="J157" i="2" a="1"/>
  <c r="J157" i="2" s="1"/>
  <c r="J538" i="2" a="1"/>
  <c r="J538" i="2" s="1"/>
  <c r="J1138" i="2" a="1"/>
  <c r="J1138" i="2" s="1"/>
  <c r="J885" i="2" a="1"/>
  <c r="J885" i="2" s="1"/>
  <c r="J625" i="2" a="1"/>
  <c r="J625" i="2" s="1"/>
  <c r="J400" i="2" a="1"/>
  <c r="J400" i="2" s="1"/>
  <c r="J126" i="2" a="1"/>
  <c r="J126" i="2" s="1"/>
  <c r="J199" i="2" a="1"/>
  <c r="J199" i="2" s="1"/>
  <c r="J1203" i="2" a="1"/>
  <c r="J1203" i="2" s="1"/>
  <c r="J933" i="2" a="1"/>
  <c r="J933" i="2" s="1"/>
  <c r="J687" i="2" a="1"/>
  <c r="J687" i="2" s="1"/>
  <c r="J1139" i="2" a="1"/>
  <c r="J1139" i="2" s="1"/>
  <c r="J918" i="2" a="1"/>
  <c r="J918" i="2" s="1"/>
  <c r="J656" i="2" a="1"/>
  <c r="J656" i="2" s="1"/>
  <c r="J380" i="2" a="1"/>
  <c r="J380" i="2" s="1"/>
  <c r="J94" i="2" a="1"/>
  <c r="J94" i="2" s="1"/>
  <c r="J1089" i="2" a="1"/>
  <c r="J1089" i="2" s="1"/>
  <c r="J848" i="2" a="1"/>
  <c r="J848" i="2" s="1"/>
  <c r="J644" i="2" a="1"/>
  <c r="J644" i="2" s="1"/>
  <c r="J356" i="2" a="1"/>
  <c r="J356" i="2" s="1"/>
  <c r="J185" i="2" a="1"/>
  <c r="J185" i="2" s="1"/>
  <c r="J178" i="2" a="1"/>
  <c r="J178" i="2" s="1"/>
  <c r="J377" i="2" a="1"/>
  <c r="J377" i="2" s="1"/>
  <c r="J911" i="2" a="1"/>
  <c r="J911" i="2" s="1"/>
  <c r="J512" i="2" a="1"/>
  <c r="J512" i="2" s="1"/>
  <c r="J591" i="2" a="1"/>
  <c r="J591" i="2" s="1"/>
  <c r="J1186" i="2" a="1"/>
  <c r="J1186" i="2" s="1"/>
  <c r="J443" i="2" a="1"/>
  <c r="J443" i="2" s="1"/>
  <c r="J415" i="2" a="1"/>
  <c r="J415" i="2" s="1"/>
  <c r="J889" i="2" a="1"/>
  <c r="J889" i="2" s="1"/>
  <c r="J1154" i="2" a="1"/>
  <c r="J1154" i="2" s="1"/>
  <c r="J880" i="2" a="1"/>
  <c r="J880" i="2" s="1"/>
  <c r="J626" i="2" a="1"/>
  <c r="J626" i="2" s="1"/>
  <c r="J348" i="2" a="1"/>
  <c r="J348" i="2" s="1"/>
  <c r="J1107" i="2" a="1"/>
  <c r="J1107" i="2" s="1"/>
  <c r="J849" i="2" a="1"/>
  <c r="J849" i="2" s="1"/>
  <c r="J618" i="2" a="1"/>
  <c r="J618" i="2" s="1"/>
  <c r="J324" i="2" a="1"/>
  <c r="J324" i="2" s="1"/>
  <c r="J103" i="2" a="1"/>
  <c r="J103" i="2" s="1"/>
  <c r="J1132" i="2" a="1"/>
  <c r="J1132" i="2" s="1"/>
  <c r="J840" i="2" a="1"/>
  <c r="J840" i="2" s="1"/>
  <c r="J598" i="2" a="1"/>
  <c r="J598" i="2" s="1"/>
  <c r="J385" i="2" a="1"/>
  <c r="J385" i="2" s="1"/>
  <c r="J1211" i="2" a="1"/>
  <c r="J1211" i="2" s="1"/>
  <c r="J956" i="2" a="1"/>
  <c r="J956" i="2" s="1"/>
  <c r="J685" i="2" a="1"/>
  <c r="J685" i="2" s="1"/>
  <c r="J439" i="2" a="1"/>
  <c r="J439" i="2" s="1"/>
  <c r="J175" i="2" a="1"/>
  <c r="J175" i="2" s="1"/>
  <c r="J1108" i="2" a="1"/>
  <c r="J1108" i="2" s="1"/>
  <c r="J861" i="2" a="1"/>
  <c r="J861" i="2" s="1"/>
  <c r="J635" i="2" a="1"/>
  <c r="J635" i="2" s="1"/>
  <c r="J357" i="2" a="1"/>
  <c r="J357" i="2" s="1"/>
  <c r="J104" i="2" a="1"/>
  <c r="J104" i="2" s="1"/>
  <c r="J243" i="2" a="1"/>
  <c r="J243" i="2" s="1"/>
  <c r="J1142" i="2" a="1"/>
  <c r="J1142" i="2" s="1"/>
  <c r="J871" i="2" a="1"/>
  <c r="J871" i="2" s="1"/>
  <c r="J595" i="2" a="1"/>
  <c r="J595" i="2" s="1"/>
  <c r="J396" i="2" a="1"/>
  <c r="J396" i="2" s="1"/>
  <c r="J112" i="2" a="1"/>
  <c r="J112" i="2" s="1"/>
  <c r="J1099" i="2" a="1"/>
  <c r="J1099" i="2" s="1"/>
  <c r="J890" i="2" a="1"/>
  <c r="J890" i="2" s="1"/>
  <c r="J599" i="2" a="1"/>
  <c r="J599" i="2" s="1"/>
  <c r="J401" i="2" a="1"/>
  <c r="J401" i="2" s="1"/>
  <c r="J84" i="2" a="1"/>
  <c r="J84" i="2" s="1"/>
  <c r="J1048" i="2" a="1"/>
  <c r="J1048" i="2" s="1"/>
  <c r="J832" i="2" a="1"/>
  <c r="J832" i="2" s="1"/>
  <c r="J506" i="2" a="1"/>
  <c r="J506" i="2" s="1"/>
  <c r="J230" i="2" a="1"/>
  <c r="J230" i="2" s="1"/>
  <c r="J1136" i="2" a="1"/>
  <c r="J1136" i="2" s="1"/>
  <c r="J863" i="2" a="1"/>
  <c r="J863" i="2" s="1"/>
  <c r="J592" i="2" a="1"/>
  <c r="J592" i="2" s="1"/>
  <c r="J379" i="2" a="1"/>
  <c r="J379" i="2" s="1"/>
  <c r="J133" i="2" a="1"/>
  <c r="J133" i="2" s="1"/>
  <c r="J209" i="2" a="1"/>
  <c r="J209" i="2" s="1"/>
  <c r="J1047" i="2" a="1"/>
  <c r="J1047" i="2" s="1"/>
  <c r="J750" i="2" a="1"/>
  <c r="J750" i="2" s="1"/>
  <c r="J544" i="2" a="1"/>
  <c r="J544" i="2" s="1"/>
  <c r="J282" i="2" a="1"/>
  <c r="J282" i="2" s="1"/>
  <c r="J1052" i="2" a="1"/>
  <c r="J1052" i="2" s="1"/>
  <c r="J829" i="2" a="1"/>
  <c r="J829" i="2" s="1"/>
  <c r="J537" i="2" a="1"/>
  <c r="J537" i="2" s="1"/>
  <c r="J290" i="2" a="1"/>
  <c r="J290" i="2" s="1"/>
  <c r="J47" i="2" a="1"/>
  <c r="J47" i="2" s="1"/>
  <c r="J1183" i="2" a="1"/>
  <c r="J1183" i="2" s="1"/>
  <c r="J915" i="2" a="1"/>
  <c r="J915" i="2" s="1"/>
  <c r="J712" i="2" a="1"/>
  <c r="J712" i="2" s="1"/>
  <c r="J392" i="2" a="1"/>
  <c r="J392" i="2" s="1"/>
  <c r="J177" i="2" a="1"/>
  <c r="J177" i="2" s="1"/>
  <c r="J491" i="2" a="1"/>
  <c r="J491" i="2" s="1"/>
  <c r="J1129" i="2" a="1"/>
  <c r="J1129" i="2" s="1"/>
  <c r="J858" i="2" a="1"/>
  <c r="J858" i="2" s="1"/>
  <c r="J629" i="2" a="1"/>
  <c r="J629" i="2" s="1"/>
  <c r="J335" i="2" a="1"/>
  <c r="J335" i="2" s="1"/>
  <c r="J114" i="2" a="1"/>
  <c r="J114" i="2" s="1"/>
  <c r="J56" i="2" a="1"/>
  <c r="J56" i="2" s="1"/>
  <c r="J1166" i="2" a="1"/>
  <c r="J1166" i="2" s="1"/>
  <c r="J942" i="2" a="1"/>
  <c r="J942" i="2" s="1"/>
  <c r="J708" i="2" a="1"/>
  <c r="J708" i="2" s="1"/>
  <c r="J1146" i="2" a="1"/>
  <c r="J1146" i="2" s="1"/>
  <c r="J875" i="2" a="1"/>
  <c r="J875" i="2" s="1"/>
  <c r="J597" i="2" a="1"/>
  <c r="J597" i="2" s="1"/>
  <c r="J418" i="2" a="1"/>
  <c r="J418" i="2" s="1"/>
  <c r="J82" i="2" a="1"/>
  <c r="J82" i="2" s="1"/>
  <c r="J1084" i="2" a="1"/>
  <c r="J1084" i="2" s="1"/>
  <c r="J827" i="2" a="1"/>
  <c r="J827" i="2" s="1"/>
  <c r="J548" i="2" a="1"/>
  <c r="J548" i="2" s="1"/>
  <c r="J316" i="2" a="1"/>
  <c r="J316" i="2" s="1"/>
  <c r="J24" i="2" a="1"/>
  <c r="J24" i="2" s="1"/>
  <c r="J72" i="2" a="1"/>
  <c r="J72" i="2" s="1"/>
  <c r="J1272" i="2" a="1"/>
  <c r="J1272" i="2" s="1"/>
  <c r="J1013" i="2" a="1"/>
  <c r="J1013" i="2" s="1"/>
  <c r="J709" i="2" a="1"/>
  <c r="J709" i="2" s="1"/>
  <c r="J477" i="2" a="1"/>
  <c r="J477" i="2" s="1"/>
  <c r="J217" i="2" a="1"/>
  <c r="J217" i="2" s="1"/>
  <c r="J1127" i="2" a="1"/>
  <c r="J1127" i="2" s="1"/>
  <c r="J884" i="2" a="1"/>
  <c r="J884" i="2" s="1"/>
  <c r="J596" i="2" a="1"/>
  <c r="J596" i="2" s="1"/>
  <c r="J350" i="2" a="1"/>
  <c r="J350" i="2" s="1"/>
  <c r="J132" i="2" a="1"/>
  <c r="J132" i="2" s="1"/>
  <c r="J129" i="2" a="1"/>
  <c r="J129" i="2" s="1"/>
  <c r="J1003" i="2" a="1"/>
  <c r="J1003" i="2" s="1"/>
  <c r="J798" i="2" a="1"/>
  <c r="J798" i="2" s="1"/>
  <c r="J474" i="2" a="1"/>
  <c r="J474" i="2" s="1"/>
  <c r="J197" i="2" a="1"/>
  <c r="J197" i="2" s="1"/>
  <c r="J1045" i="2" a="1"/>
  <c r="J1045" i="2" s="1"/>
  <c r="J801" i="2" a="1"/>
  <c r="J801" i="2" s="1"/>
  <c r="J541" i="2" a="1"/>
  <c r="J541" i="2" s="1"/>
  <c r="J278" i="2" a="1"/>
  <c r="J278" i="2" s="1"/>
  <c r="J19" i="2" a="1"/>
  <c r="J19" i="2" s="1"/>
  <c r="J1184" i="2" a="1"/>
  <c r="J1184" i="2" s="1"/>
  <c r="J936" i="2" a="1"/>
  <c r="J936" i="2" s="1"/>
  <c r="J675" i="2" a="1"/>
  <c r="J675" i="2" s="1"/>
  <c r="J412" i="2" a="1"/>
  <c r="J412" i="2" s="1"/>
  <c r="J164" i="2" a="1"/>
  <c r="J164" i="2" s="1"/>
  <c r="J323" i="2" a="1"/>
  <c r="J323" i="2" s="1"/>
  <c r="J1134" i="2" a="1"/>
  <c r="J1134" i="2" s="1"/>
  <c r="J867" i="2" a="1"/>
  <c r="J867" i="2" s="1"/>
  <c r="J652" i="2" a="1"/>
  <c r="J652" i="2" s="1"/>
  <c r="J339" i="2" a="1"/>
  <c r="J339" i="2" s="1"/>
  <c r="J118" i="2" a="1"/>
  <c r="J118" i="2" s="1"/>
  <c r="J1155" i="2" a="1"/>
  <c r="J1155" i="2" s="1"/>
  <c r="J887" i="2" a="1"/>
  <c r="J887" i="2" s="1"/>
  <c r="J638" i="2" a="1"/>
  <c r="J638" i="2" s="1"/>
  <c r="J1105" i="2" a="1"/>
  <c r="J1105" i="2" s="1"/>
  <c r="J847" i="2" a="1"/>
  <c r="J847" i="2" s="1"/>
  <c r="J617" i="2" a="1"/>
  <c r="J617" i="2" s="1"/>
  <c r="J372" i="2" a="1"/>
  <c r="J372" i="2" s="1"/>
  <c r="J86" i="2" a="1"/>
  <c r="J86" i="2" s="1"/>
  <c r="J1077" i="2" a="1"/>
  <c r="J1077" i="2" s="1"/>
  <c r="J824" i="2" a="1"/>
  <c r="J824" i="2" s="1"/>
  <c r="J552" i="2" a="1"/>
  <c r="J552" i="2" s="1"/>
  <c r="J270" i="2" a="1"/>
  <c r="J270" i="2" s="1"/>
  <c r="J44" i="2" a="1"/>
  <c r="J44" i="2" s="1"/>
  <c r="J1204" i="2" a="1"/>
  <c r="J1204" i="2" s="1"/>
  <c r="J1117" i="2" a="1"/>
  <c r="J1117" i="2" s="1"/>
  <c r="J100" i="2" a="1"/>
  <c r="J100" i="2" s="1"/>
  <c r="J1118" i="2" a="1"/>
  <c r="J1118" i="2" s="1"/>
  <c r="J873" i="2" a="1"/>
  <c r="J873" i="2" s="1"/>
  <c r="J603" i="2" a="1"/>
  <c r="J603" i="2" s="1"/>
  <c r="J374" i="2" a="1"/>
  <c r="J374" i="2" s="1"/>
  <c r="J1106" i="2" a="1"/>
  <c r="J1106" i="2" s="1"/>
  <c r="J862" i="2" a="1"/>
  <c r="J862" i="2" s="1"/>
  <c r="J634" i="2" a="1"/>
  <c r="J634" i="2" s="1"/>
  <c r="J340" i="2" a="1"/>
  <c r="J340" i="2" s="1"/>
  <c r="J1078" i="2" a="1"/>
  <c r="J1078" i="2" s="1"/>
  <c r="J833" i="2" a="1"/>
  <c r="J833" i="2" s="1"/>
  <c r="J519" i="2" a="1"/>
  <c r="J519" i="2" s="1"/>
  <c r="J320" i="2" a="1"/>
  <c r="J320" i="2" s="1"/>
  <c r="J45" i="2" a="1"/>
  <c r="J45" i="2" s="1"/>
  <c r="J317" i="2" a="1"/>
  <c r="J317" i="2" s="1"/>
  <c r="J1085" i="2" a="1"/>
  <c r="J1085" i="2" s="1"/>
  <c r="J834" i="2" a="1"/>
  <c r="J834" i="2" s="1"/>
  <c r="J565" i="2" a="1"/>
  <c r="J565" i="2" s="1"/>
  <c r="J304" i="2" a="1"/>
  <c r="J304" i="2" s="1"/>
  <c r="J1213" i="2" a="1"/>
  <c r="J1213" i="2" s="1"/>
  <c r="J935" i="2" a="1"/>
  <c r="J935" i="2" s="1"/>
  <c r="J661" i="2" a="1"/>
  <c r="J661" i="2" s="1"/>
  <c r="J398" i="2" a="1"/>
  <c r="J398" i="2" s="1"/>
  <c r="J150" i="2" a="1"/>
  <c r="J150" i="2" s="1"/>
  <c r="J1064" i="2" a="1"/>
  <c r="J1064" i="2" s="1"/>
  <c r="J825" i="2" a="1"/>
  <c r="J825" i="2" s="1"/>
  <c r="J553" i="2" a="1"/>
  <c r="J553" i="2" s="1"/>
  <c r="J338" i="2" a="1"/>
  <c r="J338" i="2" s="1"/>
  <c r="J75" i="2" a="1"/>
  <c r="J75" i="2" s="1"/>
  <c r="J1151" i="2" a="1"/>
  <c r="J1151" i="2" s="1"/>
  <c r="J857" i="2" a="1"/>
  <c r="J857" i="2" s="1"/>
  <c r="J619" i="2" a="1"/>
  <c r="J619" i="2" s="1"/>
  <c r="J341" i="2" a="1"/>
  <c r="J341" i="2" s="1"/>
  <c r="J88" i="2" a="1"/>
  <c r="J88" i="2" s="1"/>
  <c r="J1095" i="2" a="1"/>
  <c r="J1095" i="2" s="1"/>
  <c r="J851" i="2" a="1"/>
  <c r="J851" i="2" s="1"/>
  <c r="J586" i="2" a="1"/>
  <c r="J586" i="2" s="1"/>
  <c r="J359" i="2" a="1"/>
  <c r="J359" i="2" s="1"/>
  <c r="J42" i="2" a="1"/>
  <c r="J42" i="2" s="1"/>
  <c r="J1248" i="2" a="1"/>
  <c r="J1248" i="2" s="1"/>
  <c r="J977" i="2" a="1"/>
  <c r="J977" i="2" s="1"/>
  <c r="J733" i="2" a="1"/>
  <c r="J733" i="2" s="1"/>
  <c r="J497" i="2" a="1"/>
  <c r="J497" i="2" s="1"/>
  <c r="J204" i="2" a="1"/>
  <c r="J204" i="2" s="1"/>
  <c r="J1101" i="2" a="1"/>
  <c r="J1101" i="2" s="1"/>
  <c r="J876" i="2" a="1"/>
  <c r="J876" i="2" s="1"/>
  <c r="J632" i="2" a="1"/>
  <c r="J632" i="2" s="1"/>
  <c r="J370" i="2" a="1"/>
  <c r="J370" i="2" s="1"/>
  <c r="J117" i="2" a="1"/>
  <c r="J117" i="2" s="1"/>
  <c r="J22" i="2" a="1"/>
  <c r="J22" i="2" s="1"/>
  <c r="J1026" i="2" a="1"/>
  <c r="J1026" i="2" s="1"/>
  <c r="J710" i="2" a="1"/>
  <c r="J710" i="2" s="1"/>
  <c r="J510" i="2" a="1"/>
  <c r="J510" i="2" s="1"/>
  <c r="J234" i="2" a="1"/>
  <c r="J234" i="2" s="1"/>
  <c r="J1029" i="2" a="1"/>
  <c r="J1029" i="2" s="1"/>
  <c r="J784" i="2" a="1"/>
  <c r="J784" i="2" s="1"/>
  <c r="J503" i="2" a="1"/>
  <c r="J503" i="2" s="1"/>
  <c r="J262" i="2" a="1"/>
  <c r="J262" i="2" s="1"/>
  <c r="J18" i="2" a="1"/>
  <c r="J18" i="2" s="1"/>
  <c r="J1159" i="2" a="1"/>
  <c r="J1159" i="2" s="1"/>
  <c r="J902" i="2" a="1"/>
  <c r="J902" i="2" s="1"/>
  <c r="J605" i="2" a="1"/>
  <c r="J605" i="2" s="1"/>
  <c r="J402" i="2" a="1"/>
  <c r="J402" i="2" s="1"/>
  <c r="J168" i="2" a="1"/>
  <c r="J168" i="2" s="1"/>
  <c r="J154" i="2" a="1"/>
  <c r="J154" i="2" s="1"/>
  <c r="J1082" i="2" a="1"/>
  <c r="J1082" i="2" s="1"/>
  <c r="J817" i="2" a="1"/>
  <c r="J817" i="2" s="1"/>
  <c r="J546" i="2" a="1"/>
  <c r="J546" i="2" s="1"/>
  <c r="J283" i="2" a="1"/>
  <c r="J283" i="2" s="1"/>
  <c r="J39" i="2" a="1"/>
  <c r="J39" i="2" s="1"/>
  <c r="J1122" i="2" a="1"/>
  <c r="J1122" i="2" s="1"/>
  <c r="J883" i="2" a="1"/>
  <c r="J883" i="2" s="1"/>
  <c r="J609" i="2" a="1"/>
  <c r="J609" i="2" s="1"/>
  <c r="J1083" i="2" a="1"/>
  <c r="J1083" i="2" s="1"/>
  <c r="J818" i="2" a="1"/>
  <c r="J818" i="2" s="1"/>
  <c r="J564" i="2" a="1"/>
  <c r="J564" i="2" s="1"/>
  <c r="J416" i="2" a="1"/>
  <c r="J416" i="2" s="1"/>
  <c r="J40" i="2" a="1"/>
  <c r="J40" i="2" s="1"/>
  <c r="J1055" i="2" a="1"/>
  <c r="J1055" i="2" s="1"/>
  <c r="J813" i="2" a="1"/>
  <c r="J813" i="2" s="1"/>
  <c r="J588" i="2" a="1"/>
  <c r="J588" i="2" s="1"/>
  <c r="J274" i="2" a="1"/>
  <c r="J274" i="2" s="1"/>
  <c r="J16" i="2" a="1"/>
  <c r="J16" i="2" s="1"/>
  <c r="J1091" i="2" a="1"/>
  <c r="J1091" i="2" s="1"/>
  <c r="J68" i="2" a="1"/>
  <c r="J68" i="2" s="1"/>
  <c r="J1068" i="2" a="1"/>
  <c r="J1068" i="2" s="1"/>
  <c r="J819" i="2" a="1"/>
  <c r="J819" i="2" s="1"/>
  <c r="J547" i="2" a="1"/>
  <c r="J547" i="2" s="1"/>
  <c r="J300" i="2" a="1"/>
  <c r="J300" i="2" s="1"/>
  <c r="J1056" i="2" a="1"/>
  <c r="J1056" i="2" s="1"/>
  <c r="J839" i="2" a="1"/>
  <c r="J839" i="2" s="1"/>
  <c r="J556" i="2" a="1"/>
  <c r="J556" i="2" s="1"/>
  <c r="J308" i="2" a="1"/>
  <c r="J308" i="2" s="1"/>
  <c r="J65" i="2" a="1"/>
  <c r="J65" i="2" s="1"/>
  <c r="J292" i="2" a="1"/>
  <c r="J292" i="2" s="1"/>
  <c r="J1110" i="2" a="1"/>
  <c r="J1110" i="2" s="1"/>
  <c r="J809" i="2" a="1"/>
  <c r="J809" i="2" s="1"/>
  <c r="J582" i="2" a="1"/>
  <c r="J582" i="2" s="1"/>
  <c r="J296" i="2" a="1"/>
  <c r="J296" i="2" s="1"/>
  <c r="J1176" i="2" a="1"/>
  <c r="J1176" i="2" s="1"/>
  <c r="J929" i="2" a="1"/>
  <c r="J929" i="2" s="1"/>
  <c r="J607" i="2" a="1"/>
  <c r="J607" i="2" s="1"/>
  <c r="J345" i="2" a="1"/>
  <c r="J345" i="2" s="1"/>
  <c r="J91" i="2" a="1"/>
  <c r="J91" i="2" s="1"/>
  <c r="J1079" i="2" a="1"/>
  <c r="J1079" i="2" s="1"/>
  <c r="J853" i="2" a="1"/>
  <c r="J853" i="2" s="1"/>
  <c r="J573" i="2" a="1"/>
  <c r="J573" i="2" s="1"/>
  <c r="J388" i="2" a="1"/>
  <c r="J388" i="2" s="1"/>
  <c r="J89" i="2" a="1"/>
  <c r="J89" i="2" s="1"/>
  <c r="J1096" i="2" a="1"/>
  <c r="J1096" i="2" s="1"/>
  <c r="J901" i="2" a="1"/>
  <c r="J901" i="2" s="1"/>
  <c r="J516" i="2" a="1"/>
  <c r="J516" i="2" s="1"/>
  <c r="J268" i="2" a="1"/>
  <c r="J268" i="2" s="1"/>
  <c r="J58" i="2" a="1"/>
  <c r="J58" i="2" s="1"/>
  <c r="J1049" i="2" a="1"/>
  <c r="J1049" i="2" s="1"/>
  <c r="J794" i="2" a="1"/>
  <c r="J794" i="2" s="1"/>
  <c r="J520" i="2" a="1"/>
  <c r="J520" i="2" s="1"/>
  <c r="J321" i="2" a="1"/>
  <c r="J321" i="2" s="1"/>
  <c r="J62" i="2" a="1"/>
  <c r="J62" i="2" s="1"/>
  <c r="J1199" i="2" a="1"/>
  <c r="J1199" i="2" s="1"/>
  <c r="J976" i="2" a="1"/>
  <c r="J976" i="2" s="1"/>
  <c r="J722" i="2" a="1"/>
  <c r="J722" i="2" s="1"/>
  <c r="J501" i="2" a="1"/>
  <c r="J501" i="2" s="1"/>
  <c r="J276" i="2" a="1"/>
  <c r="J276" i="2" s="1"/>
  <c r="J1119" i="2" a="1"/>
  <c r="J1119" i="2" s="1"/>
  <c r="J860" i="2" a="1"/>
  <c r="J860" i="2" s="1"/>
  <c r="J585" i="2" a="1"/>
  <c r="J585" i="2" s="1"/>
  <c r="J342" i="2" a="1"/>
  <c r="J342" i="2" s="1"/>
  <c r="J38" i="2" a="1"/>
  <c r="J38" i="2" s="1"/>
  <c r="J59" i="2" a="1"/>
  <c r="J59" i="2" s="1"/>
  <c r="J1234" i="2" a="1"/>
  <c r="J1234" i="2" s="1"/>
  <c r="J994" i="2" a="1"/>
  <c r="J994" i="2" s="1"/>
  <c r="J740" i="2" a="1"/>
  <c r="J740" i="2" s="1"/>
  <c r="J464" i="2" a="1"/>
  <c r="J464" i="2" s="1"/>
  <c r="J255" i="2" a="1"/>
  <c r="J255" i="2" s="1"/>
  <c r="J1268" i="2" a="1"/>
  <c r="J1268" i="2" s="1"/>
  <c r="J1004" i="2" a="1"/>
  <c r="J1004" i="2" s="1"/>
  <c r="J788" i="2" a="1"/>
  <c r="J788" i="2" s="1"/>
  <c r="J473" i="2" a="1"/>
  <c r="J473" i="2" s="1"/>
  <c r="J269" i="2" a="1"/>
  <c r="J269" i="2" s="1"/>
  <c r="J1137" i="2" a="1"/>
  <c r="J1137" i="2" s="1"/>
  <c r="J865" i="2" a="1"/>
  <c r="J865" i="2" s="1"/>
  <c r="J641" i="2" a="1"/>
  <c r="J641" i="2" s="1"/>
  <c r="J331" i="2" a="1"/>
  <c r="J331" i="2" s="1"/>
  <c r="J93" i="2" a="1"/>
  <c r="J93" i="2" s="1"/>
  <c r="J77" i="2" a="1"/>
  <c r="J77" i="2" s="1"/>
  <c r="J1075" i="2" a="1"/>
  <c r="J1075" i="2" s="1"/>
  <c r="J791" i="2" a="1"/>
  <c r="J791" i="2" s="1"/>
  <c r="J534" i="2" a="1"/>
  <c r="J534" i="2" s="1"/>
  <c r="J319" i="2" a="1"/>
  <c r="J319" i="2" s="1"/>
  <c r="J81" i="2" a="1"/>
  <c r="J81" i="2" s="1"/>
  <c r="J1153" i="2" a="1"/>
  <c r="J1153" i="2" s="1"/>
  <c r="J886" i="2" a="1"/>
  <c r="J886" i="2" s="1"/>
  <c r="J1097" i="2" a="1"/>
  <c r="J1097" i="2" s="1"/>
  <c r="J828" i="2" a="1"/>
  <c r="J828" i="2" s="1"/>
  <c r="J568" i="2" a="1"/>
  <c r="J568" i="2" s="1"/>
  <c r="J287" i="2" a="1"/>
  <c r="J287" i="2" s="1"/>
  <c r="J60" i="2" a="1"/>
  <c r="J60" i="2" s="1"/>
  <c r="J1024" i="2" a="1"/>
  <c r="J1024" i="2" s="1"/>
  <c r="J780" i="2" a="1"/>
  <c r="J780" i="2" s="1"/>
  <c r="J581" i="2" a="1"/>
  <c r="J581" i="2" s="1"/>
  <c r="J295" i="2" a="1"/>
  <c r="J295" i="2" s="1"/>
  <c r="J17" i="2" a="1"/>
  <c r="J17" i="2" s="1"/>
  <c r="J179" i="2" a="1"/>
  <c r="J179" i="2" s="1"/>
  <c r="J337" i="2" a="1"/>
  <c r="J337" i="2" s="1"/>
  <c r="J559" i="2" a="1"/>
  <c r="J559" i="2" s="1"/>
  <c r="J916" i="2" a="1"/>
  <c r="J916" i="2" s="1"/>
  <c r="J263" i="2" a="1"/>
  <c r="J263" i="2" s="1"/>
  <c r="J536" i="2" a="1"/>
  <c r="J536" i="2" s="1"/>
  <c r="J326" i="2" a="1"/>
  <c r="J326" i="2" s="1"/>
  <c r="J71" i="2" a="1"/>
  <c r="J71" i="2" s="1"/>
  <c r="J1059" i="2" a="1"/>
  <c r="J1059" i="2" s="1"/>
  <c r="J761" i="2" a="1"/>
  <c r="J761" i="2" s="1"/>
  <c r="J540" i="2" a="1"/>
  <c r="J540" i="2" s="1"/>
  <c r="J293" i="2" a="1"/>
  <c r="J293" i="2" s="1"/>
  <c r="J1221" i="2" a="1"/>
  <c r="J1221" i="2" s="1"/>
  <c r="J980" i="2" a="1"/>
  <c r="J980" i="2" s="1"/>
  <c r="J666" i="2" a="1"/>
  <c r="J666" i="2" s="1"/>
  <c r="J420" i="2" a="1"/>
  <c r="J420" i="2" s="1"/>
  <c r="J140" i="2" a="1"/>
  <c r="J140" i="2" s="1"/>
  <c r="J1090" i="2" a="1"/>
  <c r="J1090" i="2" s="1"/>
  <c r="J822" i="2" a="1"/>
  <c r="J822" i="2" s="1"/>
  <c r="J550" i="2" a="1"/>
  <c r="J550" i="2" s="1"/>
  <c r="J327" i="2" a="1"/>
  <c r="J327" i="2" s="1"/>
  <c r="J76" i="2" a="1"/>
  <c r="J76" i="2" s="1"/>
  <c r="J1240" i="2" a="1"/>
  <c r="J1240" i="2" s="1"/>
  <c r="J967" i="2" a="1"/>
  <c r="J967" i="2" s="1"/>
  <c r="J741" i="2" a="1"/>
  <c r="J741" i="2" s="1"/>
  <c r="J468" i="2" a="1"/>
  <c r="J468" i="2" s="1"/>
  <c r="J242" i="2" a="1"/>
  <c r="J242" i="2" s="1"/>
  <c r="J1273" i="2" a="1"/>
  <c r="J1273" i="2" s="1"/>
  <c r="J1014" i="2" a="1"/>
  <c r="J1014" i="2" s="1"/>
  <c r="J757" i="2" a="1"/>
  <c r="J757" i="2" s="1"/>
  <c r="J494" i="2" a="1"/>
  <c r="J494" i="2" s="1"/>
  <c r="J218" i="2" a="1"/>
  <c r="J218" i="2" s="1"/>
  <c r="J1145" i="2" a="1"/>
  <c r="J1145" i="2" s="1"/>
  <c r="J874" i="2" a="1"/>
  <c r="J874" i="2" s="1"/>
  <c r="J647" i="2" a="1"/>
  <c r="J647" i="2" s="1"/>
  <c r="J351" i="2" a="1"/>
  <c r="J351" i="2" s="1"/>
  <c r="J97" i="2" a="1"/>
  <c r="J97" i="2" s="1"/>
  <c r="J1062" i="2" a="1"/>
  <c r="J1062" i="2" s="1"/>
  <c r="J796" i="2" a="1"/>
  <c r="J796" i="2" s="1"/>
  <c r="J555" i="2" a="1"/>
  <c r="J555" i="2" s="1"/>
  <c r="J343" i="2" a="1"/>
  <c r="J343" i="2" s="1"/>
  <c r="J64" i="2" a="1"/>
  <c r="J64" i="2" s="1"/>
  <c r="J1104" i="2" a="1"/>
  <c r="J1104" i="2" s="1"/>
  <c r="J846" i="2" a="1"/>
  <c r="J846" i="2" s="1"/>
  <c r="J1054" i="2" a="1"/>
  <c r="J1054" i="2" s="1"/>
  <c r="J836" i="2" a="1"/>
  <c r="J836" i="2" s="1"/>
  <c r="J522" i="2" a="1"/>
  <c r="J522" i="2" s="1"/>
  <c r="J291" i="2" a="1"/>
  <c r="J291" i="2" s="1"/>
  <c r="J32" i="2" a="1"/>
  <c r="J32" i="2" s="1"/>
  <c r="J1016" i="2" a="1"/>
  <c r="J1016" i="2" s="1"/>
  <c r="J785" i="2" a="1"/>
  <c r="J785" i="2" s="1"/>
  <c r="J504" i="2" a="1"/>
  <c r="J504" i="2" s="1"/>
  <c r="J228" i="2" a="1"/>
  <c r="J228" i="2" s="1"/>
  <c r="J142" i="2" a="1"/>
  <c r="J142" i="2" s="1"/>
  <c r="J657" i="2" a="1"/>
  <c r="J657" i="2" s="1"/>
  <c r="J615" i="2" a="1"/>
  <c r="J615" i="2" s="1"/>
  <c r="J105" i="2" a="1"/>
  <c r="J105" i="2" s="1"/>
  <c r="J627" i="2" a="1"/>
  <c r="J627" i="2" s="1"/>
  <c r="J1076" i="2" a="1"/>
  <c r="J1076" i="2" s="1"/>
  <c r="J325" i="2" a="1"/>
  <c r="J325" i="2" s="1"/>
  <c r="J195" i="2" a="1"/>
  <c r="J195" i="2" s="1"/>
  <c r="J576" i="2" a="1"/>
  <c r="J576" i="2" s="1"/>
  <c r="J1149" i="2" a="1"/>
  <c r="J1149" i="2" s="1"/>
  <c r="J642" i="2" a="1"/>
  <c r="J642" i="2" s="1"/>
  <c r="J369" i="2" a="1"/>
  <c r="J369" i="2" s="1"/>
  <c r="J130" i="2" a="1"/>
  <c r="J130" i="2" s="1"/>
  <c r="J1080" i="2" a="1"/>
  <c r="J1080" i="2" s="1"/>
  <c r="J797" i="2" a="1"/>
  <c r="J797" i="2" s="1"/>
  <c r="J505" i="2" a="1"/>
  <c r="J505" i="2" s="1"/>
  <c r="J229" i="2" a="1"/>
  <c r="J229" i="2" s="1"/>
  <c r="J1063" i="2" a="1"/>
  <c r="J1063" i="2" s="1"/>
  <c r="J777" i="2" a="1"/>
  <c r="J777" i="2" s="1"/>
  <c r="J557" i="2" a="1"/>
  <c r="J557" i="2" s="1"/>
  <c r="J309" i="2" a="1"/>
  <c r="J309" i="2" s="1"/>
  <c r="J1046" i="2" a="1"/>
  <c r="J1046" i="2" s="1"/>
  <c r="J749" i="2" a="1"/>
  <c r="J749" i="2" s="1"/>
  <c r="J594" i="2" a="1"/>
  <c r="J594" i="2" s="1"/>
  <c r="J297" i="2" a="1"/>
  <c r="J297" i="2" s="1"/>
  <c r="J1216" i="2" a="1"/>
  <c r="J1216" i="2" s="1"/>
  <c r="J960" i="2" a="1"/>
  <c r="J960" i="2" s="1"/>
  <c r="J702" i="2" a="1"/>
  <c r="J702" i="2" s="1"/>
  <c r="J476" i="2" a="1"/>
  <c r="J476" i="2" s="1"/>
  <c r="J176" i="2" a="1"/>
  <c r="J176" i="2" s="1"/>
  <c r="J1051" i="2" a="1"/>
  <c r="J1051" i="2" s="1"/>
  <c r="J811" i="2" a="1"/>
  <c r="J811" i="2" s="1"/>
  <c r="J570" i="2" a="1"/>
  <c r="J570" i="2" s="1"/>
  <c r="J289" i="2" a="1"/>
  <c r="J289" i="2" s="1"/>
  <c r="J69" i="2" a="1"/>
  <c r="J69" i="2" s="1"/>
  <c r="J433" i="2" a="1"/>
  <c r="J433" i="2" s="1"/>
  <c r="J1227" i="2" a="1"/>
  <c r="J1227" i="2" s="1"/>
  <c r="J958" i="2" a="1"/>
  <c r="J958" i="2" s="1"/>
  <c r="J699" i="2" a="1"/>
  <c r="J699" i="2" s="1"/>
  <c r="J459" i="2" a="1"/>
  <c r="J459" i="2" s="1"/>
  <c r="J190" i="2" a="1"/>
  <c r="J190" i="2" s="1"/>
  <c r="J1239" i="2" a="1"/>
  <c r="J1239" i="2" s="1"/>
  <c r="J995" i="2" a="1"/>
  <c r="J995" i="2" s="1"/>
  <c r="J735" i="2" a="1"/>
  <c r="J735" i="2" s="1"/>
  <c r="J542" i="2" a="1"/>
  <c r="J542" i="2" s="1"/>
  <c r="J238" i="2" a="1"/>
  <c r="J238" i="2" s="1"/>
  <c r="J1103" i="2" a="1"/>
  <c r="J1103" i="2" s="1"/>
  <c r="J870" i="2" a="1"/>
  <c r="J870" i="2" s="1"/>
  <c r="J695" i="2" a="1"/>
  <c r="J695" i="2" s="1"/>
  <c r="J355" i="2" a="1"/>
  <c r="J355" i="2" s="1"/>
  <c r="J148" i="2" a="1"/>
  <c r="J148" i="2" s="1"/>
  <c r="J1022" i="2" a="1"/>
  <c r="J1022" i="2" s="1"/>
  <c r="J763" i="2" a="1"/>
  <c r="J763" i="2" s="1"/>
  <c r="J601" i="2" a="1"/>
  <c r="J601" i="2" s="1"/>
  <c r="J334" i="2" a="1"/>
  <c r="J334" i="2" s="1"/>
  <c r="J52" i="2" a="1"/>
  <c r="J52" i="2" s="1"/>
  <c r="J1092" i="2" a="1"/>
  <c r="J1092" i="2" s="1"/>
  <c r="J830" i="2" a="1"/>
  <c r="J830" i="2" s="1"/>
  <c r="J1023" i="2" a="1"/>
  <c r="J1023" i="2" s="1"/>
  <c r="J792" i="2" a="1"/>
  <c r="J792" i="2" s="1"/>
  <c r="J584" i="2" a="1"/>
  <c r="J584" i="2" s="1"/>
  <c r="J311" i="2" a="1"/>
  <c r="J311" i="2" s="1"/>
  <c r="J20" i="2" a="1"/>
  <c r="J20" i="2" s="1"/>
  <c r="J1270" i="2" a="1"/>
  <c r="J1270" i="2" s="1"/>
  <c r="J1008" i="2" a="1"/>
  <c r="J1008" i="2" s="1"/>
  <c r="J790" i="2" a="1"/>
  <c r="J790" i="2" s="1"/>
  <c r="J458" i="2" a="1"/>
  <c r="J458" i="2" s="1"/>
  <c r="J314" i="2" a="1"/>
  <c r="J314" i="2" s="1"/>
  <c r="J119" i="2" a="1"/>
  <c r="J119" i="2" s="1"/>
  <c r="J390" i="2" a="1"/>
  <c r="J390" i="2" s="1"/>
  <c r="J36" i="2" a="1"/>
  <c r="J36" i="2" s="1"/>
  <c r="J781" i="2" a="1"/>
  <c r="J781" i="2" s="1"/>
  <c r="J232" i="2" a="1"/>
  <c r="J232" i="2" s="1"/>
  <c r="J543" i="2" a="1"/>
  <c r="J543" i="2" s="1"/>
  <c r="J572" i="2" a="1"/>
  <c r="J572" i="2" s="1"/>
  <c r="J471" i="2" a="1"/>
  <c r="J471" i="2" s="1"/>
  <c r="J765" i="2" a="1"/>
  <c r="J765" i="2" s="1"/>
  <c r="J220" i="2" a="1"/>
  <c r="J220" i="2" s="1"/>
  <c r="J869" i="2" a="1"/>
  <c r="J869" i="2" s="1"/>
  <c r="J1058" i="2" a="1"/>
  <c r="J1058" i="2" s="1"/>
  <c r="J764" i="2" a="1"/>
  <c r="J764" i="2" s="1"/>
  <c r="J575" i="2" a="1"/>
  <c r="J575" i="2" s="1"/>
  <c r="J279" i="2" a="1"/>
  <c r="J279" i="2" s="1"/>
  <c r="J1009" i="2" a="1"/>
  <c r="J1009" i="2" s="1"/>
  <c r="J815" i="2" a="1"/>
  <c r="J815" i="2" s="1"/>
  <c r="J578" i="2" a="1"/>
  <c r="J578" i="2" s="1"/>
  <c r="J249" i="2" a="1"/>
  <c r="J249" i="2" s="1"/>
  <c r="J166" i="2" a="1"/>
  <c r="J166" i="2" s="1"/>
  <c r="J1042" i="2" a="1"/>
  <c r="J1042" i="2" s="1"/>
  <c r="J770" i="2" a="1"/>
  <c r="J770" i="2" s="1"/>
  <c r="J455" i="2" a="1"/>
  <c r="J455" i="2" s="1"/>
  <c r="J155" i="2" a="1"/>
  <c r="J155" i="2" s="1"/>
  <c r="J1116" i="2" a="1"/>
  <c r="J1116" i="2" s="1"/>
  <c r="J841" i="2" a="1"/>
  <c r="J841" i="2" s="1"/>
  <c r="J654" i="2" a="1"/>
  <c r="J654" i="2" s="1"/>
  <c r="J373" i="2" a="1"/>
  <c r="J373" i="2" s="1"/>
  <c r="J120" i="2" a="1"/>
  <c r="J120" i="2" s="1"/>
  <c r="J1267" i="2" a="1"/>
  <c r="J1267" i="2" s="1"/>
  <c r="J1037" i="2" a="1"/>
  <c r="J1037" i="2" s="1"/>
  <c r="J759" i="2" a="1"/>
  <c r="J759" i="2" s="1"/>
  <c r="J562" i="2" a="1"/>
  <c r="J562" i="2" s="1"/>
  <c r="J259" i="2" a="1"/>
  <c r="J259" i="2" s="1"/>
  <c r="J1027" i="2" a="1"/>
  <c r="J1027" i="2" s="1"/>
  <c r="J766" i="2" a="1"/>
  <c r="J766" i="2" s="1"/>
  <c r="J527" i="2" a="1"/>
  <c r="J527" i="2" s="1"/>
  <c r="J313" i="2" a="1"/>
  <c r="J313" i="2" s="1"/>
  <c r="J1050" i="2" a="1"/>
  <c r="J1050" i="2" s="1"/>
  <c r="J771" i="2" a="1"/>
  <c r="J771" i="2" s="1"/>
  <c r="J472" i="2" a="1"/>
  <c r="J472" i="2" s="1"/>
  <c r="J247" i="2" a="1"/>
  <c r="J247" i="2" s="1"/>
  <c r="J1191" i="2" a="1"/>
  <c r="J1191" i="2" s="1"/>
  <c r="J907" i="2" a="1"/>
  <c r="J907" i="2" s="1"/>
  <c r="J658" i="2" a="1"/>
  <c r="J658" i="2" s="1"/>
  <c r="J411" i="2" a="1"/>
  <c r="J411" i="2" s="1"/>
  <c r="J226" i="2" a="1"/>
  <c r="J226" i="2" s="1"/>
  <c r="J35" i="2" a="1"/>
  <c r="J35" i="2" s="1"/>
  <c r="J1060" i="2" a="1"/>
  <c r="J1060" i="2" s="1"/>
  <c r="J762" i="2" a="1"/>
  <c r="J762" i="2" s="1"/>
  <c r="J574" i="2" a="1"/>
  <c r="J574" i="2" s="1"/>
  <c r="J310" i="2" a="1"/>
  <c r="J310" i="2" s="1"/>
  <c r="J51" i="2" a="1"/>
  <c r="J51" i="2" s="1"/>
  <c r="J235" i="2" a="1"/>
  <c r="J235" i="2" s="1"/>
  <c r="J1197" i="2" a="1"/>
  <c r="J1197" i="2" s="1"/>
  <c r="J930" i="2" a="1"/>
  <c r="J930" i="2" s="1"/>
  <c r="J670" i="2" a="1"/>
  <c r="J670" i="2" s="1"/>
  <c r="J424" i="2" a="1"/>
  <c r="J424" i="2" s="1"/>
  <c r="J144" i="2" a="1"/>
  <c r="J144" i="2" s="1"/>
  <c r="J1235" i="2" a="1"/>
  <c r="J1235" i="2" s="1"/>
  <c r="J951" i="2" a="1"/>
  <c r="J951" i="2" s="1"/>
  <c r="J723" i="2" a="1"/>
  <c r="J723" i="2" s="1"/>
  <c r="J452" i="2" a="1"/>
  <c r="J452" i="2" s="1"/>
  <c r="J225" i="2" a="1"/>
  <c r="J225" i="2" s="1"/>
  <c r="J593" i="2" a="1"/>
  <c r="J593" i="2" s="1"/>
  <c r="J1163" i="2" a="1"/>
  <c r="J1163" i="2" s="1"/>
  <c r="J835" i="2" a="1"/>
  <c r="J835" i="2" s="1"/>
  <c r="J563" i="2" a="1"/>
  <c r="J563" i="2" s="1"/>
  <c r="J299" i="2" a="1"/>
  <c r="J299" i="2" s="1"/>
  <c r="J55" i="2" a="1"/>
  <c r="J55" i="2" s="1"/>
  <c r="J1061" i="2" a="1"/>
  <c r="J1061" i="2" s="1"/>
  <c r="J751" i="2" a="1"/>
  <c r="J751" i="2" s="1"/>
  <c r="J470" i="2" a="1"/>
  <c r="J470" i="2" s="1"/>
  <c r="J244" i="2" a="1"/>
  <c r="J244" i="2" s="1"/>
  <c r="J73" i="2" a="1"/>
  <c r="J73" i="2" s="1"/>
  <c r="J1109" i="2" a="1"/>
  <c r="J1109" i="2" s="1"/>
  <c r="J831" i="2" a="1"/>
  <c r="J831" i="2" s="1"/>
  <c r="J1032" i="2" a="1"/>
  <c r="J1032" i="2" s="1"/>
  <c r="J793" i="2" a="1"/>
  <c r="J793" i="2" s="1"/>
  <c r="J529" i="2" a="1"/>
  <c r="J529" i="2" s="1"/>
  <c r="J245" i="2" a="1"/>
  <c r="J245" i="2" s="1"/>
  <c r="J11" i="2" a="1"/>
  <c r="J11" i="2" s="1"/>
  <c r="J1261" i="2" a="1"/>
  <c r="J1261" i="2" s="1"/>
  <c r="J1007" i="2" a="1"/>
  <c r="J1007" i="2" s="1"/>
  <c r="J742" i="2" a="1"/>
  <c r="J742" i="2" s="1"/>
  <c r="J495" i="2" a="1"/>
  <c r="J495" i="2" s="1"/>
  <c r="J202" i="2" a="1"/>
  <c r="J202" i="2" s="1"/>
  <c r="J152" i="2" a="1"/>
  <c r="J152" i="2" s="1"/>
  <c r="J426" i="2" a="1"/>
  <c r="J426" i="2" s="1"/>
  <c r="J842" i="2" a="1"/>
  <c r="J842" i="2" s="1"/>
  <c r="J265" i="2" a="1"/>
  <c r="J265" i="2" s="1"/>
  <c r="J349" i="2" a="1"/>
  <c r="J349" i="2" s="1"/>
  <c r="J1094" i="2" a="1"/>
  <c r="J1094" i="2" s="1"/>
  <c r="J1017" i="2" a="1"/>
  <c r="J1017" i="2" s="1"/>
  <c r="J1081" i="2" a="1"/>
  <c r="J1081" i="2" s="1"/>
  <c r="J769" i="2" a="1"/>
  <c r="J769" i="2" s="1"/>
  <c r="J488" i="2" a="1"/>
  <c r="J488" i="2" s="1"/>
  <c r="J212" i="2" a="1"/>
  <c r="J212" i="2" s="1"/>
  <c r="J1259" i="2" a="1"/>
  <c r="J1259" i="2" s="1"/>
  <c r="J990" i="2" a="1"/>
  <c r="J990" i="2" s="1"/>
  <c r="J713" i="2" a="1"/>
  <c r="J713" i="2" s="1"/>
  <c r="J462" i="2" a="1"/>
  <c r="J462" i="2" s="1"/>
  <c r="J236" i="2" a="1"/>
  <c r="J236" i="2" s="1"/>
  <c r="J107" i="2" a="1"/>
  <c r="J107" i="2" s="1"/>
  <c r="J1271" i="2" a="1"/>
  <c r="J1271" i="2" s="1"/>
  <c r="J1025" i="2" a="1"/>
  <c r="J1025" i="2" s="1"/>
  <c r="J808" i="2" a="1"/>
  <c r="J808" i="2" s="1"/>
  <c r="J508" i="2" a="1"/>
  <c r="J508" i="2" s="1"/>
  <c r="J146" i="2" a="1"/>
  <c r="J146" i="2" s="1"/>
  <c r="J1125" i="2" a="1"/>
  <c r="J1125" i="2" s="1"/>
  <c r="J878" i="2" a="1"/>
  <c r="J878" i="2" s="1"/>
  <c r="J549" i="2" a="1"/>
  <c r="J549" i="2" s="1"/>
  <c r="J301" i="2" a="1"/>
  <c r="J301" i="2" s="1"/>
  <c r="J41" i="2" a="1"/>
  <c r="J41" i="2" s="1"/>
  <c r="J1245" i="2" a="1"/>
  <c r="J1245" i="2" s="1"/>
  <c r="J998" i="2" a="1"/>
  <c r="J998" i="2" s="1"/>
  <c r="J800" i="2" a="1"/>
  <c r="J800" i="2" s="1"/>
  <c r="J496" i="2" a="1"/>
  <c r="J496" i="2" s="1"/>
  <c r="J254" i="2" a="1"/>
  <c r="J254" i="2" s="1"/>
  <c r="J1035" i="2" a="1"/>
  <c r="J1035" i="2" s="1"/>
  <c r="J787" i="2" a="1"/>
  <c r="J787" i="2" s="1"/>
  <c r="J489" i="2" a="1"/>
  <c r="J489" i="2" s="1"/>
  <c r="J213" i="2" a="1"/>
  <c r="J213" i="2" s="1"/>
  <c r="J37" i="2" a="1"/>
  <c r="J37" i="2" s="1"/>
  <c r="J1266" i="2" a="1"/>
  <c r="J1266" i="2" s="1"/>
  <c r="J1019" i="2" a="1"/>
  <c r="J1019" i="2" s="1"/>
  <c r="J725" i="2" a="1"/>
  <c r="J725" i="2" s="1"/>
  <c r="J493" i="2" a="1"/>
  <c r="J493" i="2" s="1"/>
  <c r="J233" i="2" a="1"/>
  <c r="J233" i="2" s="1"/>
  <c r="J389" i="2" a="1"/>
  <c r="J389" i="2" s="1"/>
  <c r="J1198" i="2" a="1"/>
  <c r="J1198" i="2" s="1"/>
  <c r="J900" i="2" a="1"/>
  <c r="J900" i="2" s="1"/>
  <c r="J646" i="2" a="1"/>
  <c r="J646" i="2" s="1"/>
  <c r="J399" i="2" a="1"/>
  <c r="J399" i="2" s="1"/>
  <c r="J151" i="2" a="1"/>
  <c r="J151" i="2" s="1"/>
  <c r="J429" i="2" a="1"/>
  <c r="J429" i="2" s="1"/>
  <c r="J1028" i="2" a="1"/>
  <c r="J1028" i="2" s="1"/>
  <c r="J767" i="2" a="1"/>
  <c r="J767" i="2" s="1"/>
  <c r="J561" i="2" a="1"/>
  <c r="J561" i="2" s="1"/>
  <c r="J264" i="2" a="1"/>
  <c r="J264" i="2" s="1"/>
  <c r="J12" i="2" a="1"/>
  <c r="J12" i="2" s="1"/>
  <c r="J98" i="2" a="1"/>
  <c r="J98" i="2" s="1"/>
  <c r="J1195" i="2" a="1"/>
  <c r="J1195" i="2" s="1"/>
  <c r="J939" i="2" a="1"/>
  <c r="J939" i="2" s="1"/>
  <c r="J707" i="2" a="1"/>
  <c r="J707" i="2" s="1"/>
  <c r="J444" i="2" a="1"/>
  <c r="J444" i="2" s="1"/>
  <c r="J200" i="2" a="1"/>
  <c r="J200" i="2" s="1"/>
  <c r="J1220" i="2" a="1"/>
  <c r="J1220" i="2" s="1"/>
  <c r="J959" i="2" a="1"/>
  <c r="J959" i="2" s="1"/>
  <c r="J683" i="2" a="1"/>
  <c r="J683" i="2" s="1"/>
  <c r="J437" i="2" a="1"/>
  <c r="J437" i="2" s="1"/>
  <c r="J173" i="2" a="1"/>
  <c r="J173" i="2" s="1"/>
  <c r="J514" i="2" a="1"/>
  <c r="J514" i="2" s="1"/>
  <c r="J1088" i="2" a="1"/>
  <c r="J1088" i="2" s="1"/>
  <c r="J807" i="2" a="1"/>
  <c r="J807" i="2" s="1"/>
  <c r="J551" i="2" a="1"/>
  <c r="J551" i="2" s="1"/>
  <c r="J329" i="2" a="1"/>
  <c r="J329" i="2" s="1"/>
  <c r="J27" i="2" a="1"/>
  <c r="J27" i="2" s="1"/>
  <c r="J1005" i="2" a="1"/>
  <c r="J1005" i="2" s="1"/>
  <c r="J789" i="2" a="1"/>
  <c r="J789" i="2" s="1"/>
  <c r="J507" i="2" a="1"/>
  <c r="J507" i="2" s="1"/>
  <c r="J231" i="2" a="1"/>
  <c r="J231" i="2" s="1"/>
  <c r="J1053" i="2" a="1"/>
  <c r="J1053" i="2" s="1"/>
  <c r="J854" i="2" a="1"/>
  <c r="J854" i="2" s="1"/>
  <c r="J1021" i="2" a="1"/>
  <c r="J1021" i="2" s="1"/>
  <c r="J799" i="2" a="1"/>
  <c r="J799" i="2" s="1"/>
  <c r="J475" i="2" a="1"/>
  <c r="J475" i="2" s="1"/>
  <c r="J198" i="2" a="1"/>
  <c r="J198" i="2" s="1"/>
  <c r="J1237" i="2" a="1"/>
  <c r="J1237" i="2" s="1"/>
  <c r="J983" i="2" a="1"/>
  <c r="J983" i="2" s="1"/>
  <c r="J760" i="2" a="1"/>
  <c r="J760" i="2" s="1"/>
  <c r="J620" i="2" a="1"/>
  <c r="J620" i="2" s="1"/>
  <c r="J239" i="2" a="1"/>
  <c r="J239" i="2" s="1"/>
  <c r="J61" i="2" a="1"/>
  <c r="J61" i="2" s="1"/>
  <c r="J602" i="2" a="1"/>
  <c r="J602" i="2" s="1"/>
  <c r="J532" i="2" a="1"/>
  <c r="J532" i="2" s="1"/>
  <c r="J336" i="2" a="1"/>
  <c r="J336" i="2" s="1"/>
  <c r="J814" i="2" a="1"/>
  <c r="J814" i="2" s="1"/>
  <c r="J1044" i="2" a="1"/>
  <c r="J1044" i="2" s="1"/>
  <c r="J845" i="2" a="1"/>
  <c r="J845" i="2" s="1"/>
  <c r="J786" i="2" a="1"/>
  <c r="J786" i="2" s="1"/>
  <c r="J192" i="2" a="1"/>
  <c r="J192" i="2" s="1"/>
  <c r="J1033" i="2" a="1"/>
  <c r="J1033" i="2" s="1"/>
  <c r="J1020" i="2" a="1"/>
  <c r="J1020" i="2" s="1"/>
  <c r="J774" i="2" a="1"/>
  <c r="J774" i="2" s="1"/>
  <c r="J589" i="2" a="1"/>
  <c r="J589" i="2" s="1"/>
  <c r="J267" i="2" a="1"/>
  <c r="J267" i="2" s="1"/>
  <c r="J1238" i="2" a="1"/>
  <c r="J1238" i="2" s="1"/>
  <c r="J984" i="2" a="1"/>
  <c r="J984" i="2" s="1"/>
  <c r="J776" i="2" a="1"/>
  <c r="J776" i="2" s="1"/>
  <c r="J499" i="2" a="1"/>
  <c r="J499" i="2" s="1"/>
  <c r="J207" i="2" a="1"/>
  <c r="J207" i="2" s="1"/>
  <c r="J83" i="2" a="1"/>
  <c r="J83" i="2" s="1"/>
  <c r="J1252" i="2" a="1"/>
  <c r="J1252" i="2" s="1"/>
  <c r="J991" i="2" a="1"/>
  <c r="J991" i="2" s="1"/>
  <c r="J756" i="2" a="1"/>
  <c r="J756" i="2" s="1"/>
  <c r="J521" i="2" a="1"/>
  <c r="J521" i="2" s="1"/>
  <c r="J111" i="2" a="1"/>
  <c r="J111" i="2" s="1"/>
  <c r="J1070" i="2" a="1"/>
  <c r="J1070" i="2" s="1"/>
  <c r="J820" i="2" a="1"/>
  <c r="J820" i="2" s="1"/>
  <c r="J569" i="2" a="1"/>
  <c r="J569" i="2" s="1"/>
  <c r="J288" i="2" a="1"/>
  <c r="J288" i="2" s="1"/>
  <c r="J13" i="2" a="1"/>
  <c r="J13" i="2" s="1"/>
  <c r="J1243" i="2" a="1"/>
  <c r="J1243" i="2" s="1"/>
  <c r="J986" i="2" a="1"/>
  <c r="J986" i="2" s="1"/>
  <c r="J747" i="2" a="1"/>
  <c r="J747" i="2" s="1"/>
  <c r="J530" i="2" a="1"/>
  <c r="J530" i="2" s="1"/>
  <c r="J257" i="2" a="1"/>
  <c r="J257" i="2" s="1"/>
  <c r="J1264" i="2" a="1"/>
  <c r="J1264" i="2" s="1"/>
  <c r="J1012" i="2" a="1"/>
  <c r="J1012" i="2" s="1"/>
  <c r="J726" i="2" a="1"/>
  <c r="J726" i="2" s="1"/>
  <c r="J509" i="2" a="1"/>
  <c r="J509" i="2" s="1"/>
  <c r="J250" i="2" a="1"/>
  <c r="J250" i="2" s="1"/>
  <c r="J23" i="2" a="1"/>
  <c r="J23" i="2" s="1"/>
  <c r="J1260" i="2" a="1"/>
  <c r="J1260" i="2" s="1"/>
  <c r="J993" i="2" a="1"/>
  <c r="J993" i="2" s="1"/>
  <c r="J754" i="2" a="1"/>
  <c r="J754" i="2" s="1"/>
  <c r="J513" i="2" a="1"/>
  <c r="J513" i="2" s="1"/>
  <c r="J221" i="2" a="1"/>
  <c r="J221" i="2" s="1"/>
  <c r="J215" i="2" a="1"/>
  <c r="J215" i="2" s="1"/>
  <c r="J1148" i="2" a="1"/>
  <c r="J1148" i="2" s="1"/>
  <c r="J879" i="2" a="1"/>
  <c r="J879" i="2" s="1"/>
  <c r="J608" i="2" a="1"/>
  <c r="J608" i="2" s="1"/>
  <c r="J346" i="2" a="1"/>
  <c r="J346" i="2" s="1"/>
  <c r="J92" i="2" a="1"/>
  <c r="J92" i="2" s="1"/>
  <c r="J227" i="2" a="1"/>
  <c r="J227" i="2" s="1"/>
  <c r="J1258" i="2" a="1"/>
  <c r="J1258" i="2" s="1"/>
  <c r="J1036" i="2" a="1"/>
  <c r="J1036" i="2" s="1"/>
  <c r="J805" i="2" a="1"/>
  <c r="J805" i="2" s="1"/>
  <c r="J490" i="2" a="1"/>
  <c r="J490" i="2" s="1"/>
  <c r="J214" i="2" a="1"/>
  <c r="J214" i="2" s="1"/>
  <c r="J1175" i="2" a="1"/>
  <c r="J1175" i="2" s="1"/>
  <c r="J909" i="2" a="1"/>
  <c r="J909" i="2" s="1"/>
  <c r="J637" i="2" a="1"/>
  <c r="J637" i="2" s="1"/>
  <c r="J448" i="2" a="1"/>
  <c r="J448" i="2" s="1"/>
  <c r="J125" i="2" a="1"/>
  <c r="J125" i="2" s="1"/>
  <c r="J1210" i="2" a="1"/>
  <c r="J1210" i="2" s="1"/>
  <c r="J931" i="2" a="1"/>
  <c r="J931" i="2" s="1"/>
  <c r="J732" i="2" a="1"/>
  <c r="J732" i="2" s="1"/>
  <c r="J408" i="2" a="1"/>
  <c r="J408" i="2" s="1"/>
  <c r="J194" i="2" a="1"/>
  <c r="J194" i="2" s="1"/>
  <c r="J303" i="2" a="1"/>
  <c r="J303" i="2" s="1"/>
  <c r="J1071" i="2" a="1"/>
  <c r="J1071" i="2" s="1"/>
  <c r="J812" i="2" a="1"/>
  <c r="J812" i="2" s="1"/>
  <c r="J571" i="2" a="1"/>
  <c r="J571" i="2" s="1"/>
  <c r="J273" i="2" a="1"/>
  <c r="J273" i="2" s="1"/>
  <c r="J31" i="2" a="1"/>
  <c r="J31" i="2" s="1"/>
  <c r="J1269" i="2" a="1"/>
  <c r="J1269" i="2" s="1"/>
  <c r="J1018" i="2" a="1"/>
  <c r="J1018" i="2" s="1"/>
  <c r="J758" i="2" a="1"/>
  <c r="J758" i="2" s="1"/>
  <c r="J461" i="2" a="1"/>
  <c r="J461" i="2" s="1"/>
  <c r="J252" i="2" a="1"/>
  <c r="J252" i="2" s="1"/>
  <c r="J613" i="2" a="1"/>
  <c r="J613" i="2" s="1"/>
  <c r="J1039" i="2" a="1"/>
  <c r="J1039" i="2" s="1"/>
  <c r="J802" i="2" a="1"/>
  <c r="J802" i="2" s="1"/>
  <c r="J1257" i="2" a="1"/>
  <c r="J1257" i="2" s="1"/>
  <c r="J972" i="2" a="1"/>
  <c r="J972" i="2" s="1"/>
  <c r="J744" i="2" a="1"/>
  <c r="J744" i="2" s="1"/>
  <c r="J511" i="2" a="1"/>
  <c r="J511" i="2" s="1"/>
  <c r="J219" i="2" a="1"/>
  <c r="J219" i="2" s="1"/>
  <c r="J1228" i="2" a="1"/>
  <c r="J1228" i="2" s="1"/>
  <c r="J985" i="2" a="1"/>
  <c r="J985" i="2" s="1"/>
  <c r="J664" i="2" a="1"/>
  <c r="J664" i="2" s="1"/>
  <c r="J434" i="2" a="1"/>
  <c r="J434" i="2" s="1"/>
  <c r="J188" i="2" a="1"/>
  <c r="J188" i="2" s="1"/>
  <c r="J121" i="2" a="1"/>
  <c r="J121" i="2" s="1"/>
  <c r="J1121" i="2" a="1"/>
  <c r="J1121" i="2" s="1"/>
  <c r="J859" i="2" a="1"/>
  <c r="J859" i="2" s="1"/>
  <c r="J1066" i="2" a="1"/>
  <c r="J1066" i="2" s="1"/>
  <c r="J95" i="2" a="1"/>
  <c r="J95" i="2" s="1"/>
  <c r="J21" i="2" a="1"/>
  <c r="J21" i="2" s="1"/>
  <c r="J730" i="2" a="1"/>
  <c r="J730" i="2" s="1"/>
  <c r="J479" i="2" a="1"/>
  <c r="J479" i="2" s="1"/>
  <c r="J253" i="2" a="1"/>
  <c r="J253" i="2" s="1"/>
  <c r="J1242" i="2" a="1"/>
  <c r="J1242" i="2" s="1"/>
  <c r="J971" i="2" a="1"/>
  <c r="J971" i="2" s="1"/>
  <c r="J681" i="2" a="1"/>
  <c r="J681" i="2" s="1"/>
  <c r="J419" i="2" a="1"/>
  <c r="J419" i="2" s="1"/>
  <c r="J171" i="2" a="1"/>
  <c r="J171" i="2" s="1"/>
  <c r="J1246" i="2" a="1"/>
  <c r="J1246" i="2" s="1"/>
  <c r="J1010" i="2" a="1"/>
  <c r="J1010" i="2" s="1"/>
  <c r="J772" i="2" a="1"/>
  <c r="J772" i="2" s="1"/>
  <c r="J483" i="2" a="1"/>
  <c r="J483" i="2" s="1"/>
  <c r="J87" i="2" a="1"/>
  <c r="J87" i="2" s="1"/>
  <c r="J1072" i="2" a="1"/>
  <c r="J1072" i="2" s="1"/>
  <c r="J826" i="2" a="1"/>
  <c r="J826" i="2" s="1"/>
  <c r="J523" i="2" a="1"/>
  <c r="J523" i="2" s="1"/>
  <c r="J275" i="2" a="1"/>
  <c r="J275" i="2" s="1"/>
  <c r="J33" i="2" a="1"/>
  <c r="J33" i="2" s="1"/>
  <c r="J1226" i="2" a="1"/>
  <c r="J1226" i="2" s="1"/>
  <c r="J940" i="2" a="1"/>
  <c r="J940" i="2" s="1"/>
  <c r="J714" i="2" a="1"/>
  <c r="J714" i="2" s="1"/>
  <c r="J469" i="2" a="1"/>
  <c r="J469" i="2" s="1"/>
  <c r="J189" i="2" a="1"/>
  <c r="J189" i="2" s="1"/>
  <c r="J1236" i="2" a="1"/>
  <c r="J1236" i="2" s="1"/>
  <c r="J992" i="2" a="1"/>
  <c r="J992" i="2" s="1"/>
  <c r="J755" i="2" a="1"/>
  <c r="J755" i="2" s="1"/>
  <c r="J480" i="2" a="1"/>
  <c r="J480" i="2" s="1"/>
  <c r="J237" i="2" a="1"/>
  <c r="J237" i="2" s="1"/>
  <c r="J360" i="2" a="1"/>
  <c r="J360" i="2" s="1"/>
  <c r="J1215" i="2" a="1"/>
  <c r="J1215" i="2" s="1"/>
  <c r="J978" i="2" a="1"/>
  <c r="J978" i="2" s="1"/>
  <c r="J738" i="2" a="1"/>
  <c r="J738" i="2" s="1"/>
  <c r="J484" i="2" a="1"/>
  <c r="J484" i="2" s="1"/>
  <c r="J286" i="2" a="1"/>
  <c r="J286" i="2" s="1"/>
  <c r="J106" i="2" a="1"/>
  <c r="J106" i="2" s="1"/>
  <c r="J1143" i="2" a="1"/>
  <c r="J1143" i="2" s="1"/>
  <c r="J897" i="2" a="1"/>
  <c r="J897" i="2" s="1"/>
  <c r="J612" i="2" a="1"/>
  <c r="J612" i="2" s="1"/>
  <c r="J366" i="2" a="1"/>
  <c r="J366" i="2" s="1"/>
  <c r="J80" i="2" a="1"/>
  <c r="J80" i="2" s="1"/>
  <c r="J110" i="2" a="1"/>
  <c r="J110" i="2" s="1"/>
  <c r="J1265" i="2" a="1"/>
  <c r="J1265" i="2" s="1"/>
  <c r="J1031" i="2" a="1"/>
  <c r="J1031" i="2" s="1"/>
  <c r="J727" i="2" a="1"/>
  <c r="J727" i="2" s="1"/>
  <c r="J460" i="2" a="1"/>
  <c r="J460" i="2" s="1"/>
  <c r="J251" i="2" a="1"/>
  <c r="J251" i="2" s="1"/>
  <c r="J1120" i="2" a="1"/>
  <c r="J1120" i="2" s="1"/>
  <c r="J864" i="2" a="1"/>
  <c r="J864" i="2" s="1"/>
  <c r="J679" i="2" a="1"/>
  <c r="J679" i="2" s="1"/>
  <c r="J363" i="2" a="1"/>
  <c r="J363" i="2" s="1"/>
  <c r="J101" i="2" a="1"/>
  <c r="J101" i="2" s="1"/>
  <c r="J1172" i="2" a="1"/>
  <c r="J1172" i="2" s="1"/>
  <c r="J950" i="2" a="1"/>
  <c r="J950" i="2" s="1"/>
  <c r="J691" i="2" a="1"/>
  <c r="J691" i="2" s="1"/>
  <c r="J428" i="2" a="1"/>
  <c r="J428" i="2" s="1"/>
  <c r="J180" i="2" a="1"/>
  <c r="J180" i="2" s="1"/>
  <c r="J145" i="2" a="1"/>
  <c r="J145" i="2" s="1"/>
  <c r="J1038" i="2" a="1"/>
  <c r="J1038" i="2" s="1"/>
  <c r="J779" i="2" a="1"/>
  <c r="J779" i="2" s="1"/>
  <c r="J525" i="2" a="1"/>
  <c r="J525" i="2" s="1"/>
  <c r="J261" i="2" a="1"/>
  <c r="J261" i="2" s="1"/>
  <c r="J70" i="2" a="1"/>
  <c r="J70" i="2" s="1"/>
  <c r="J1254" i="2" a="1"/>
  <c r="J1254" i="2" s="1"/>
  <c r="J996" i="2" a="1"/>
  <c r="J996" i="2" s="1"/>
  <c r="J743" i="2" a="1"/>
  <c r="J743" i="2" s="1"/>
  <c r="J526" i="2" a="1"/>
  <c r="J526" i="2" s="1"/>
  <c r="J206" i="2" a="1"/>
  <c r="J206" i="2" s="1"/>
  <c r="J633" i="2" a="1"/>
  <c r="J633" i="2" s="1"/>
  <c r="J1040" i="2" a="1"/>
  <c r="J1040" i="2" s="1"/>
  <c r="J795" i="2" a="1"/>
  <c r="J795" i="2" s="1"/>
  <c r="J1232" i="2" a="1"/>
  <c r="J1232" i="2" s="1"/>
  <c r="J982" i="2" a="1"/>
  <c r="J982" i="2" s="1"/>
  <c r="J718" i="2" a="1"/>
  <c r="J718" i="2" s="1"/>
  <c r="J498" i="2" a="1"/>
  <c r="J498" i="2" s="1"/>
  <c r="J240" i="2" a="1"/>
  <c r="J240" i="2" s="1"/>
  <c r="J30" i="2" a="1"/>
  <c r="J30" i="2" s="1"/>
  <c r="J1217" i="2" a="1"/>
  <c r="J1217" i="2" s="1"/>
  <c r="J945" i="2" a="1"/>
  <c r="J945" i="2" s="1"/>
  <c r="J700" i="2" a="1"/>
  <c r="J700" i="2" s="1"/>
  <c r="J438" i="2" a="1"/>
  <c r="J438" i="2" s="1"/>
  <c r="J191" i="2" a="1"/>
  <c r="J191" i="2" s="1"/>
  <c r="J9" i="2" a="1"/>
  <c r="J9" i="2" s="1"/>
  <c r="J963" i="2" a="1"/>
  <c r="J963" i="2" s="1"/>
  <c r="J1113" i="2" a="1"/>
  <c r="J1113" i="2" s="1"/>
  <c r="J312" i="2" a="1"/>
  <c r="J312" i="2" s="1"/>
  <c r="J1180" i="2" a="1"/>
  <c r="J1180" i="2" s="1"/>
  <c r="J810" i="2" a="1"/>
  <c r="J810" i="2" s="1"/>
  <c r="J1249" i="2" a="1"/>
  <c r="J1249" i="2" s="1"/>
  <c r="J737" i="2" a="1"/>
  <c r="J737" i="2" s="1"/>
  <c r="J515" i="2" a="1"/>
  <c r="J515" i="2" s="1"/>
  <c r="J223" i="2" a="1"/>
  <c r="J223" i="2" s="1"/>
  <c r="J1205" i="2" a="1"/>
  <c r="J1205" i="2" s="1"/>
  <c r="J946" i="2" a="1"/>
  <c r="J946" i="2" s="1"/>
  <c r="J668" i="2" a="1"/>
  <c r="J668" i="2" s="1"/>
  <c r="J406" i="2" a="1"/>
  <c r="J406" i="2" s="1"/>
  <c r="J158" i="2" a="1"/>
  <c r="J158" i="2" s="1"/>
  <c r="J1218" i="2" a="1"/>
  <c r="J1218" i="2" s="1"/>
  <c r="J955" i="2" a="1"/>
  <c r="J955" i="2" s="1"/>
  <c r="J665" i="2" a="1"/>
  <c r="J665" i="2" s="1"/>
  <c r="J403" i="2" a="1"/>
  <c r="J403" i="2" s="1"/>
  <c r="J1057" i="2" a="1"/>
  <c r="J1057" i="2" s="1"/>
  <c r="J748" i="2" a="1"/>
  <c r="J748" i="2" s="1"/>
  <c r="J560" i="2" a="1"/>
  <c r="J560" i="2" s="1"/>
  <c r="J280" i="2" a="1"/>
  <c r="J280" i="2" s="1"/>
  <c r="J53" i="2" a="1"/>
  <c r="J53" i="2" s="1"/>
  <c r="J467" i="2" a="1"/>
  <c r="J467" i="2" s="1"/>
  <c r="J1190" i="2" a="1"/>
  <c r="J1190" i="2" s="1"/>
  <c r="J947" i="2" a="1"/>
  <c r="J947" i="2" s="1"/>
  <c r="J669" i="2" a="1"/>
  <c r="J669" i="2" s="1"/>
  <c r="J423" i="2" a="1"/>
  <c r="J423" i="2" s="1"/>
  <c r="J159" i="2" a="1"/>
  <c r="J159" i="2" s="1"/>
  <c r="J1233" i="2" a="1"/>
  <c r="J1233" i="2" s="1"/>
  <c r="J970" i="2" a="1"/>
  <c r="J970" i="2" s="1"/>
  <c r="J721" i="2" a="1"/>
  <c r="J721" i="2" s="1"/>
  <c r="J500" i="2" a="1"/>
  <c r="J500" i="2" s="1"/>
  <c r="J241" i="2" a="1"/>
  <c r="J241" i="2" s="1"/>
  <c r="J307" i="2" a="1"/>
  <c r="J307" i="2" s="1"/>
  <c r="J1219" i="2" a="1"/>
  <c r="J1219" i="2" s="1"/>
  <c r="J941" i="2" a="1"/>
  <c r="J941" i="2" s="1"/>
  <c r="J682" i="2" a="1"/>
  <c r="J682" i="2" s="1"/>
  <c r="J436" i="2" a="1"/>
  <c r="J436" i="2" s="1"/>
  <c r="J156" i="2" a="1"/>
  <c r="J156" i="2" s="1"/>
  <c r="J15" i="2" a="1"/>
  <c r="J15" i="2" s="1"/>
  <c r="J1100" i="2" a="1"/>
  <c r="J1100" i="2" s="1"/>
  <c r="J843" i="2" a="1"/>
  <c r="J843" i="2" s="1"/>
  <c r="J645" i="2" a="1"/>
  <c r="J645" i="2" s="1"/>
  <c r="J386" i="2" a="1"/>
  <c r="J386" i="2" s="1"/>
  <c r="J137" i="2" a="1"/>
  <c r="J137" i="2" s="1"/>
  <c r="J1251" i="2" a="1"/>
  <c r="J1251" i="2" s="1"/>
  <c r="J1002" i="2" a="1"/>
  <c r="J1002" i="2" s="1"/>
  <c r="J716" i="2" a="1"/>
  <c r="J716" i="2" s="1"/>
  <c r="J481" i="2" a="1"/>
  <c r="J481" i="2" s="1"/>
  <c r="J272" i="2" a="1"/>
  <c r="J272" i="2" s="1"/>
  <c r="J1144" i="2" a="1"/>
  <c r="J1144" i="2" s="1"/>
  <c r="J896" i="2" a="1"/>
  <c r="J896" i="2" s="1"/>
  <c r="J580" i="2" a="1"/>
  <c r="J580" i="2" s="1"/>
  <c r="J383" i="2" a="1"/>
  <c r="J383" i="2" s="1"/>
  <c r="J1164" i="2" a="1"/>
  <c r="J1164" i="2" s="1"/>
  <c r="J914" i="2" a="1"/>
  <c r="J914" i="2" s="1"/>
  <c r="J621" i="2" a="1"/>
  <c r="J621" i="2" s="1"/>
  <c r="J432" i="2" a="1"/>
  <c r="J432" i="2" s="1"/>
  <c r="J184" i="2" a="1"/>
  <c r="J184" i="2" s="1"/>
  <c r="J48" i="2" a="1"/>
  <c r="J48" i="2" s="1"/>
  <c r="J1030" i="2" a="1"/>
  <c r="J1030" i="2" s="1"/>
  <c r="J768" i="2" a="1"/>
  <c r="J768" i="2" s="1"/>
  <c r="J487" i="2" a="1"/>
  <c r="J487" i="2" s="1"/>
  <c r="J258" i="2" a="1"/>
  <c r="J258" i="2" s="1"/>
  <c r="J14" i="2" a="1"/>
  <c r="J14" i="2" s="1"/>
  <c r="J1222" i="2" a="1"/>
  <c r="J1222" i="2" s="1"/>
  <c r="J952" i="2" a="1"/>
  <c r="J952" i="2" s="1"/>
  <c r="J717" i="2" a="1"/>
  <c r="J717" i="2" s="1"/>
  <c r="J482" i="2" a="1"/>
  <c r="J482" i="2" s="1"/>
  <c r="J170" i="2" a="1"/>
  <c r="J170" i="2" s="1"/>
  <c r="J604" i="2" a="1"/>
  <c r="J604" i="2" s="1"/>
  <c r="J1253" i="2" a="1"/>
  <c r="J1253" i="2" s="1"/>
  <c r="J1006" i="2" a="1"/>
  <c r="J1006" i="2" s="1"/>
  <c r="J773" i="2" a="1"/>
  <c r="J773" i="2" s="1"/>
  <c r="J1224" i="2" a="1"/>
  <c r="J1224" i="2" s="1"/>
  <c r="J953" i="2" a="1"/>
  <c r="J953" i="2" s="1"/>
  <c r="J680" i="2" a="1"/>
  <c r="J680" i="2" s="1"/>
  <c r="J450" i="2" a="1"/>
  <c r="J450" i="2" s="1"/>
  <c r="J138" i="2" a="1"/>
  <c r="J138" i="2" s="1"/>
  <c r="J1171" i="2" a="1"/>
  <c r="J1171" i="2" s="1"/>
  <c r="J944" i="2" a="1"/>
  <c r="J944" i="2" s="1"/>
  <c r="J704" i="2" a="1"/>
  <c r="J704" i="2" s="1"/>
  <c r="J393" i="2" a="1"/>
  <c r="J393" i="2" s="1"/>
  <c r="J205" i="2" a="1"/>
  <c r="J205" i="2" s="1"/>
  <c r="J804" i="2" a="1"/>
  <c r="J804" i="2" s="1"/>
  <c r="J535" i="2" a="1"/>
  <c r="J535" i="2" s="1"/>
  <c r="J539" i="2" a="1"/>
  <c r="J539" i="2" s="1"/>
  <c r="J782" i="2" a="1"/>
  <c r="J782" i="2" s="1"/>
  <c r="J989" i="2" a="1"/>
  <c r="J989" i="2" s="1"/>
  <c r="J999" i="2" a="1"/>
  <c r="J999" i="2" s="1"/>
  <c r="J1225" i="2" a="1"/>
  <c r="J1225" i="2" s="1"/>
  <c r="J954" i="2" a="1"/>
  <c r="J954" i="2" s="1"/>
  <c r="J697" i="2" a="1"/>
  <c r="J697" i="2" s="1"/>
  <c r="J435" i="2" a="1"/>
  <c r="J435" i="2" s="1"/>
  <c r="J187" i="2" a="1"/>
  <c r="J187" i="2" s="1"/>
  <c r="J1189" i="2" a="1"/>
  <c r="J1189" i="2" s="1"/>
  <c r="J938" i="2" a="1"/>
  <c r="J938" i="2" s="1"/>
  <c r="J689" i="2" a="1"/>
  <c r="J689" i="2" s="1"/>
  <c r="J456" i="2" a="1"/>
  <c r="J456" i="2" s="1"/>
  <c r="J162" i="2" a="1"/>
  <c r="J162" i="2" s="1"/>
  <c r="J1177" i="2" a="1"/>
  <c r="J1177" i="2" s="1"/>
  <c r="J973" i="2" a="1"/>
  <c r="J973" i="2" s="1"/>
  <c r="J701" i="2" a="1"/>
  <c r="J701" i="2" s="1"/>
  <c r="J502" i="2" a="1"/>
  <c r="J502" i="2" s="1"/>
  <c r="J1067" i="2" a="1"/>
  <c r="J1067" i="2" s="1"/>
  <c r="J753" i="2" a="1"/>
  <c r="J753" i="2" s="1"/>
  <c r="J545" i="2" a="1"/>
  <c r="J545" i="2" s="1"/>
  <c r="J246" i="2" a="1"/>
  <c r="J246" i="2" s="1"/>
  <c r="J67" i="2" a="1"/>
  <c r="J67" i="2" s="1"/>
  <c r="J102" i="2" a="1"/>
  <c r="J102" i="2" s="1"/>
  <c r="J1200" i="2" a="1"/>
  <c r="J1200" i="2" s="1"/>
  <c r="J921" i="2" a="1"/>
  <c r="J921" i="2" s="1"/>
  <c r="J706" i="2" a="1"/>
  <c r="J706" i="2" s="1"/>
  <c r="J410" i="2" a="1"/>
  <c r="J410" i="2" s="1"/>
  <c r="J163" i="2" a="1"/>
  <c r="J163" i="2" s="1"/>
  <c r="J66" i="2" a="1"/>
  <c r="J66" i="2" s="1"/>
  <c r="J1223" i="2" a="1"/>
  <c r="J1223" i="2" s="1"/>
  <c r="J957" i="2" a="1"/>
  <c r="J957" i="2" s="1"/>
  <c r="J698" i="2" a="1"/>
  <c r="J698" i="2" s="1"/>
  <c r="J453" i="2" a="1"/>
  <c r="J453" i="2" s="1"/>
  <c r="J172" i="2" a="1"/>
  <c r="J172" i="2" s="1"/>
  <c r="J1187" i="2" a="1"/>
  <c r="J1187" i="2" s="1"/>
  <c r="J948" i="2" a="1"/>
  <c r="J948" i="2" s="1"/>
  <c r="J719" i="2" a="1"/>
  <c r="J719" i="2" s="1"/>
  <c r="J391" i="2" a="1"/>
  <c r="J391" i="2" s="1"/>
  <c r="J193" i="2" a="1"/>
  <c r="J193" i="2" s="1"/>
  <c r="J1135" i="2" a="1"/>
  <c r="J1135" i="2" s="1"/>
  <c r="J852" i="2" a="1"/>
  <c r="J852" i="2" s="1"/>
  <c r="J587" i="2" a="1"/>
  <c r="J587" i="2" s="1"/>
  <c r="J358" i="2" a="1"/>
  <c r="J358" i="2" s="1"/>
  <c r="J54" i="2" a="1"/>
  <c r="J54" i="2" s="1"/>
  <c r="J1231" i="2" a="1"/>
  <c r="J1231" i="2" s="1"/>
  <c r="J966" i="2" a="1"/>
  <c r="J966" i="2" s="1"/>
  <c r="J752" i="2" a="1"/>
  <c r="J752" i="2" s="1"/>
  <c r="J485" i="2" a="1"/>
  <c r="J485" i="2" s="1"/>
  <c r="J271" i="2" a="1"/>
  <c r="J271" i="2" s="1"/>
  <c r="J1102" i="2" a="1"/>
  <c r="J1102" i="2" s="1"/>
  <c r="J856" i="2" a="1"/>
  <c r="J856" i="2" s="1"/>
  <c r="J616" i="2" a="1"/>
  <c r="J616" i="2" s="1"/>
  <c r="J354" i="2" a="1"/>
  <c r="J354" i="2" s="1"/>
  <c r="J394" i="2" a="1"/>
  <c r="J394" i="2" s="1"/>
  <c r="J1165" i="2" a="1"/>
  <c r="J1165" i="2" s="1"/>
  <c r="J888" i="2" a="1"/>
  <c r="J888" i="2" s="1"/>
  <c r="J643" i="2" a="1"/>
  <c r="J643" i="2" s="1"/>
  <c r="J347" i="2" a="1"/>
  <c r="J347" i="2" s="1"/>
  <c r="J109" i="2" a="1"/>
  <c r="J109" i="2" s="1"/>
  <c r="J1263" i="2" a="1"/>
  <c r="J1263" i="2" s="1"/>
  <c r="J1015" i="2" a="1"/>
  <c r="J1015" i="2" s="1"/>
  <c r="J816" i="2" a="1"/>
  <c r="J816" i="2" s="1"/>
  <c r="J457" i="2" a="1"/>
  <c r="J457" i="2" s="1"/>
  <c r="J248" i="2" a="1"/>
  <c r="J248" i="2" s="1"/>
  <c r="J1209" i="2" a="1"/>
  <c r="J1209" i="2" s="1"/>
  <c r="J997" i="2" a="1"/>
  <c r="J997" i="2" s="1"/>
  <c r="J651" i="2" a="1"/>
  <c r="J651" i="2" s="1"/>
  <c r="J405" i="2" a="1"/>
  <c r="J405" i="2" s="1"/>
  <c r="J141" i="2" a="1"/>
  <c r="J141" i="2" s="1"/>
  <c r="J518" i="2" a="1"/>
  <c r="J518" i="2" s="1"/>
  <c r="J1262" i="2" a="1"/>
  <c r="J1262" i="2" s="1"/>
  <c r="J988" i="2" a="1"/>
  <c r="J988" i="2" s="1"/>
  <c r="J746" i="2" a="1"/>
  <c r="J746" i="2" s="1"/>
  <c r="J1229" i="2" a="1"/>
  <c r="J1229" i="2" s="1"/>
  <c r="J961" i="2" a="1"/>
  <c r="J961" i="2" s="1"/>
  <c r="J715" i="2" a="1"/>
  <c r="J715" i="2" s="1"/>
  <c r="J451" i="2" a="1"/>
  <c r="J451" i="2" s="1"/>
  <c r="J196" i="2" a="1"/>
  <c r="J196" i="2" s="1"/>
  <c r="J1168" i="2" a="1"/>
  <c r="J1168" i="2" s="1"/>
  <c r="J928" i="2" a="1"/>
  <c r="J928" i="2" s="1"/>
  <c r="J676" i="2" a="1"/>
  <c r="J676" i="2" s="1"/>
  <c r="J397" i="2" a="1"/>
  <c r="J397" i="2" s="1"/>
  <c r="J181" i="2" a="1"/>
  <c r="J181" i="2" s="1"/>
  <c r="J1244" i="2" a="1"/>
  <c r="J1244" i="2" s="1"/>
  <c r="J850" i="2" a="1"/>
  <c r="J850" i="2" s="1"/>
  <c r="J285" i="2" a="1"/>
  <c r="J285" i="2" s="1"/>
  <c r="J1041" i="2" a="1"/>
  <c r="J1041" i="2" s="1"/>
  <c r="J1185" i="2" a="1"/>
  <c r="J1185" i="2" s="1"/>
  <c r="J962" i="2" a="1"/>
  <c r="J962" i="2" s="1"/>
  <c r="J684" i="2" a="1"/>
  <c r="J684" i="2" s="1"/>
  <c r="J422" i="2" a="1"/>
  <c r="J422" i="2" s="1"/>
  <c r="J174" i="2" a="1"/>
  <c r="J174" i="2" s="1"/>
  <c r="J1194" i="2" a="1"/>
  <c r="J1194" i="2" s="1"/>
  <c r="J920" i="2" a="1"/>
  <c r="J920" i="2" s="1"/>
  <c r="J693" i="2" a="1"/>
  <c r="J693" i="2" s="1"/>
  <c r="J430" i="2" a="1"/>
  <c r="J430" i="2" s="1"/>
  <c r="J182" i="2" a="1"/>
  <c r="J182" i="2" s="1"/>
  <c r="J1214" i="2" a="1"/>
  <c r="J1214" i="2" s="1"/>
  <c r="J919" i="2" a="1"/>
  <c r="J919" i="2" s="1"/>
  <c r="J673" i="2" a="1"/>
  <c r="J673" i="2" s="1"/>
  <c r="J442" i="2" a="1"/>
  <c r="J442" i="2" s="1"/>
  <c r="J1034" i="2" a="1"/>
  <c r="J1034" i="2" s="1"/>
  <c r="J775" i="2" a="1"/>
  <c r="J775" i="2" s="1"/>
  <c r="J492" i="2" a="1"/>
  <c r="J492" i="2" s="1"/>
  <c r="J216" i="2" a="1"/>
  <c r="J216" i="2" s="1"/>
  <c r="J1192" i="2" a="1"/>
  <c r="J1192" i="2" s="1"/>
  <c r="J898" i="2" a="1"/>
  <c r="J898" i="2" s="1"/>
  <c r="J694" i="2" a="1"/>
  <c r="J694" i="2" s="1"/>
  <c r="J447" i="2" a="1"/>
  <c r="J447" i="2" s="1"/>
  <c r="J134" i="2" a="1"/>
  <c r="J134" i="2" s="1"/>
  <c r="J50" i="2" a="1"/>
  <c r="J50" i="2" s="1"/>
  <c r="J1193" i="2" a="1"/>
  <c r="J1193" i="2" s="1"/>
  <c r="J964" i="2" a="1"/>
  <c r="J964" i="2" s="1"/>
  <c r="J724" i="2" a="1"/>
  <c r="J724" i="2" s="1"/>
  <c r="J407" i="2" a="1"/>
  <c r="J407" i="2" s="1"/>
  <c r="J143" i="2" a="1"/>
  <c r="J143" i="2" s="1"/>
  <c r="J1162" i="2" a="1"/>
  <c r="J1162" i="2" s="1"/>
  <c r="J923" i="2" a="1"/>
  <c r="J923" i="2" s="1"/>
  <c r="J674" i="2" a="1"/>
  <c r="J674" i="2" s="1"/>
  <c r="J427" i="2" a="1"/>
  <c r="J427" i="2" s="1"/>
  <c r="J131" i="2" a="1"/>
  <c r="J131" i="2" s="1"/>
  <c r="J1093" i="2" a="1"/>
  <c r="J1093" i="2" s="1"/>
  <c r="J821" i="2" a="1"/>
  <c r="J821" i="2" s="1"/>
  <c r="J566" i="2" a="1"/>
  <c r="J566" i="2" s="1"/>
  <c r="J332" i="2" a="1"/>
  <c r="J332" i="2" s="1"/>
  <c r="J26" i="2" a="1"/>
  <c r="J26" i="2" s="1"/>
  <c r="J1208" i="2" a="1"/>
  <c r="J1208" i="2" s="1"/>
  <c r="J969" i="2" a="1"/>
  <c r="J969" i="2" s="1"/>
  <c r="J650" i="2" a="1"/>
  <c r="J650" i="2" s="1"/>
  <c r="J404" i="2" a="1"/>
  <c r="J404" i="2" s="1"/>
  <c r="J211" i="2" a="1"/>
  <c r="J211" i="2" s="1"/>
  <c r="J1111" i="2" a="1"/>
  <c r="J1111" i="2" s="1"/>
  <c r="J877" i="2" a="1"/>
  <c r="J877" i="2" s="1"/>
  <c r="J583" i="2" a="1"/>
  <c r="J583" i="2" s="1"/>
  <c r="J330" i="2" a="1"/>
  <c r="J330" i="2" s="1"/>
  <c r="J256" i="2" a="1"/>
  <c r="J256" i="2" s="1"/>
  <c r="J1128" i="2" a="1"/>
  <c r="J1128" i="2" s="1"/>
  <c r="J881" i="2" a="1"/>
  <c r="J881" i="2" s="1"/>
  <c r="J688" i="2" a="1"/>
  <c r="J688" i="2" s="1"/>
  <c r="J367" i="2" a="1"/>
  <c r="J367" i="2" s="1"/>
  <c r="J113" i="2" a="1"/>
  <c r="J113" i="2" s="1"/>
  <c r="J1255" i="2" a="1"/>
  <c r="J1255" i="2" s="1"/>
  <c r="J1000" i="2" a="1"/>
  <c r="J1000" i="2" s="1"/>
  <c r="J728" i="2" a="1"/>
  <c r="J728" i="2" s="1"/>
  <c r="J478" i="2" a="1"/>
  <c r="J478" i="2" s="1"/>
  <c r="J201" i="2" a="1"/>
  <c r="J201" i="2" s="1"/>
  <c r="J1207" i="2" a="1"/>
  <c r="J1207" i="2" s="1"/>
  <c r="J932" i="2" a="1"/>
  <c r="J932" i="2" s="1"/>
  <c r="J703" i="2" a="1"/>
  <c r="J703" i="2" s="1"/>
  <c r="J441" i="2" a="1"/>
  <c r="J441" i="2" s="1"/>
  <c r="J161" i="2" a="1"/>
  <c r="J161" i="2" s="1"/>
  <c r="J454" i="2" a="1"/>
  <c r="J454" i="2" s="1"/>
  <c r="J1230" i="2" a="1"/>
  <c r="J1230" i="2" s="1"/>
  <c r="J981" i="2" a="1"/>
  <c r="J981" i="2" s="1"/>
  <c r="J736" i="2" a="1"/>
  <c r="J736" i="2" s="1"/>
  <c r="J1169" i="2" a="1"/>
  <c r="J1169" i="2" s="1"/>
  <c r="J917" i="2" a="1"/>
  <c r="J917" i="2" s="1"/>
  <c r="J671" i="2" a="1"/>
  <c r="J671" i="2" s="1"/>
  <c r="J409" i="2" a="1"/>
  <c r="J409" i="2" s="1"/>
  <c r="J210" i="2" a="1"/>
  <c r="J210" i="2" s="1"/>
  <c r="J1161" i="2" a="1"/>
  <c r="J1161" i="2" s="1"/>
  <c r="J905" i="2" a="1"/>
  <c r="J905" i="2" s="1"/>
  <c r="J606" i="2" a="1"/>
  <c r="J606" i="2" s="1"/>
  <c r="J328" i="2" a="1"/>
  <c r="J328" i="2" s="1"/>
  <c r="J74" i="2" a="1"/>
  <c r="J74" i="2" s="1"/>
  <c r="J115" i="2" a="1"/>
  <c r="J115" i="2" s="1"/>
  <c r="J934" i="2" a="1"/>
  <c r="J934" i="2" s="1"/>
  <c r="J1170" i="2" a="1"/>
  <c r="J1170" i="2" s="1"/>
  <c r="J123" i="2" a="1"/>
  <c r="J123" i="2" s="1"/>
  <c r="J677" i="2" a="1"/>
  <c r="J677" i="2" s="1"/>
  <c r="J731" i="2" a="1"/>
  <c r="J731" i="2" s="1"/>
  <c r="J1173" i="2" a="1"/>
  <c r="J1173" i="2" s="1"/>
  <c r="J169" i="2" a="1"/>
  <c r="J169" i="2" s="1"/>
  <c r="J690" i="2" a="1"/>
  <c r="J690" i="2" s="1"/>
  <c r="J913" i="2" a="1"/>
  <c r="J913" i="2" s="1"/>
  <c r="J1114" i="2" a="1"/>
  <c r="J1114" i="2" s="1"/>
  <c r="J838" i="2" a="1"/>
  <c r="J838" i="2" s="1"/>
  <c r="J636" i="2" a="1"/>
  <c r="J636" i="2" s="1"/>
  <c r="J305" i="2" a="1"/>
  <c r="J305" i="2" s="1"/>
  <c r="J46" i="2" a="1"/>
  <c r="J46" i="2" s="1"/>
  <c r="J1181" i="2" a="1"/>
  <c r="J1181" i="2" s="1"/>
  <c r="J937" i="2" a="1"/>
  <c r="J937" i="2" s="1"/>
  <c r="J160" i="2" a="1"/>
  <c r="J160" i="2" s="1"/>
  <c r="J1073" i="2" a="1"/>
  <c r="J1073" i="2" s="1"/>
  <c r="J806" i="2" a="1"/>
  <c r="J806" i="2" s="1"/>
  <c r="J533" i="2" a="1"/>
  <c r="J533" i="2" s="1"/>
  <c r="J318" i="2" a="1"/>
  <c r="J318" i="2" s="1"/>
  <c r="J1086" i="2" a="1"/>
  <c r="J1086" i="2" s="1"/>
  <c r="J844" i="2" a="1"/>
  <c r="J844" i="2" s="1"/>
  <c r="J600" i="2" a="1"/>
  <c r="J600" i="2" s="1"/>
  <c r="J371" i="2" a="1"/>
  <c r="J371" i="2" s="1"/>
  <c r="J85" i="2" a="1"/>
  <c r="J85" i="2" s="1"/>
  <c r="J1250" i="2" a="1"/>
  <c r="J1250" i="2" s="1"/>
  <c r="J979" i="2" a="1"/>
  <c r="J979" i="2" s="1"/>
  <c r="J734" i="2" a="1"/>
  <c r="J734" i="2" s="1"/>
  <c r="J528" i="2" a="1"/>
  <c r="J528" i="2" s="1"/>
  <c r="J222" i="2" a="1"/>
  <c r="J222" i="2" s="1"/>
  <c r="J1178" i="2" a="1"/>
  <c r="J1178" i="2" s="1"/>
  <c r="J949" i="2" a="1"/>
  <c r="J949" i="2" s="1"/>
  <c r="J659" i="2" a="1"/>
  <c r="J659" i="2" s="1"/>
  <c r="J445" i="2" a="1"/>
  <c r="J445" i="2" s="1"/>
  <c r="J260" i="2" a="1"/>
  <c r="J260" i="2" s="1"/>
  <c r="J517" i="2" a="1"/>
  <c r="J517" i="2" s="1"/>
  <c r="J1206" i="2" a="1"/>
  <c r="J1206" i="2" s="1"/>
  <c r="J968" i="2" a="1"/>
  <c r="J968" i="2" s="1"/>
  <c r="J696" i="2" a="1"/>
  <c r="J696" i="2" s="1"/>
  <c r="J1167" i="2" a="1"/>
  <c r="J1167" i="2" s="1"/>
  <c r="J927" i="2" a="1"/>
  <c r="J927" i="2" s="1"/>
  <c r="J692" i="2" a="1"/>
  <c r="J692" i="2" s="1"/>
  <c r="J413" i="2" a="1"/>
  <c r="J413" i="2" s="1"/>
  <c r="J208" i="2" a="1"/>
  <c r="J208" i="2" s="1"/>
  <c r="J1123" i="2" a="1"/>
  <c r="J1123" i="2" s="1"/>
  <c r="J906" i="2" a="1"/>
  <c r="J906" i="2" s="1"/>
  <c r="J653" i="2" a="1"/>
  <c r="J653" i="2" s="1"/>
  <c r="J364" i="2" a="1"/>
  <c r="J364" i="2" s="1"/>
  <c r="J78" i="2" a="1"/>
  <c r="J78" i="2" s="1"/>
  <c r="J375" i="2" a="1"/>
  <c r="J375" i="2" s="1"/>
  <c r="M75" i="1" l="1" a="1"/>
  <c r="C75" i="1" a="1"/>
  <c r="C79" i="1" l="1"/>
  <c r="C94" i="1"/>
  <c r="B94" i="1" s="1"/>
  <c r="C78" i="1"/>
  <c r="C93" i="1"/>
  <c r="B93" i="1" s="1"/>
  <c r="C77" i="1"/>
  <c r="C92" i="1"/>
  <c r="B92" i="1" s="1"/>
  <c r="C76" i="1"/>
  <c r="B76" i="1" s="1"/>
  <c r="C91" i="1"/>
  <c r="B91" i="1" s="1"/>
  <c r="C88" i="1"/>
  <c r="B88" i="1" s="1"/>
  <c r="C87" i="1"/>
  <c r="B87" i="1" s="1"/>
  <c r="C84" i="1"/>
  <c r="C82" i="1"/>
  <c r="C75" i="1"/>
  <c r="C90" i="1"/>
  <c r="B90" i="1" s="1"/>
  <c r="C89" i="1"/>
  <c r="B89" i="1" s="1"/>
  <c r="C86" i="1"/>
  <c r="C85" i="1"/>
  <c r="C83" i="1"/>
  <c r="C81" i="1"/>
  <c r="C80" i="1"/>
  <c r="M81" i="1"/>
  <c r="M80" i="1"/>
  <c r="M79" i="1"/>
  <c r="M94" i="1"/>
  <c r="M78" i="1"/>
  <c r="M93" i="1"/>
  <c r="M77" i="1"/>
  <c r="M91" i="1"/>
  <c r="M90" i="1"/>
  <c r="M75" i="1"/>
  <c r="M89" i="1"/>
  <c r="M86" i="1"/>
  <c r="M84" i="1"/>
  <c r="M83" i="1"/>
  <c r="M92" i="1"/>
  <c r="M88" i="1"/>
  <c r="M87" i="1"/>
  <c r="M85" i="1"/>
  <c r="M82" i="1"/>
  <c r="M76" i="1"/>
  <c r="BD89" i="1" l="1"/>
  <c r="AN89" i="1"/>
  <c r="X89" i="1"/>
  <c r="G89" i="1"/>
  <c r="BC89" i="1"/>
  <c r="AM89" i="1"/>
  <c r="W89" i="1"/>
  <c r="F89" i="1"/>
  <c r="BB89" i="1"/>
  <c r="L89" i="1" s="1"/>
  <c r="AL89" i="1"/>
  <c r="V89" i="1"/>
  <c r="E89" i="1"/>
  <c r="BR89" i="1" s="1"/>
  <c r="BS89" i="1" s="1"/>
  <c r="BA89" i="1"/>
  <c r="AK89" i="1"/>
  <c r="U89" i="1"/>
  <c r="D89" i="1"/>
  <c r="AZ89" i="1"/>
  <c r="AJ89" i="1"/>
  <c r="T89" i="1"/>
  <c r="BN89" i="1"/>
  <c r="AX89" i="1"/>
  <c r="AH89" i="1"/>
  <c r="R89" i="1"/>
  <c r="BM89" i="1"/>
  <c r="K89" i="1" s="1"/>
  <c r="AW89" i="1"/>
  <c r="AG89" i="1"/>
  <c r="Q89" i="1"/>
  <c r="BL89" i="1"/>
  <c r="AV89" i="1"/>
  <c r="AF89" i="1"/>
  <c r="P89" i="1"/>
  <c r="BI89" i="1"/>
  <c r="AS89" i="1"/>
  <c r="AC89" i="1"/>
  <c r="BG89" i="1"/>
  <c r="AQ89" i="1"/>
  <c r="AA89" i="1"/>
  <c r="J89" i="1"/>
  <c r="BF89" i="1"/>
  <c r="N89" i="1"/>
  <c r="BK89" i="1"/>
  <c r="BP89" i="1" s="1"/>
  <c r="BQ89" i="1" s="1"/>
  <c r="BE89" i="1"/>
  <c r="AY89" i="1"/>
  <c r="I89" i="1"/>
  <c r="BJ89" i="1"/>
  <c r="AU89" i="1"/>
  <c r="H89" i="1"/>
  <c r="AT89" i="1"/>
  <c r="AR89" i="1"/>
  <c r="BH89" i="1"/>
  <c r="AP89" i="1"/>
  <c r="S89" i="1"/>
  <c r="AO89" i="1"/>
  <c r="AI89" i="1"/>
  <c r="AE89" i="1"/>
  <c r="Y89" i="1"/>
  <c r="AD89" i="1"/>
  <c r="AB89" i="1"/>
  <c r="BO89" i="1"/>
  <c r="Z89" i="1"/>
  <c r="O89" i="1"/>
  <c r="BH76" i="1"/>
  <c r="AR76" i="1"/>
  <c r="AB76" i="1"/>
  <c r="BG76" i="1"/>
  <c r="AQ76" i="1"/>
  <c r="AA76" i="1"/>
  <c r="J76" i="1"/>
  <c r="BF76" i="1"/>
  <c r="AP76" i="1"/>
  <c r="Z76" i="1"/>
  <c r="I76" i="1"/>
  <c r="BE76" i="1"/>
  <c r="AO76" i="1"/>
  <c r="Y76" i="1"/>
  <c r="H76" i="1"/>
  <c r="BD76" i="1"/>
  <c r="AN76" i="1"/>
  <c r="X76" i="1"/>
  <c r="G76" i="1"/>
  <c r="BB76" i="1"/>
  <c r="L76" i="1" s="1"/>
  <c r="AL76" i="1"/>
  <c r="V76" i="1"/>
  <c r="E76" i="1"/>
  <c r="BA76" i="1"/>
  <c r="AK76" i="1"/>
  <c r="U76" i="1"/>
  <c r="D76" i="1"/>
  <c r="AZ76" i="1"/>
  <c r="AJ76" i="1"/>
  <c r="T76" i="1"/>
  <c r="BM76" i="1"/>
  <c r="AW76" i="1"/>
  <c r="AG76" i="1"/>
  <c r="Q76" i="1"/>
  <c r="BK76" i="1"/>
  <c r="AU76" i="1"/>
  <c r="AE76" i="1"/>
  <c r="O76" i="1"/>
  <c r="AT76" i="1"/>
  <c r="BL76" i="1"/>
  <c r="AS76" i="1"/>
  <c r="AM76" i="1"/>
  <c r="S76" i="1"/>
  <c r="BJ76" i="1"/>
  <c r="AX76" i="1"/>
  <c r="AI76" i="1"/>
  <c r="AH76" i="1"/>
  <c r="AF76" i="1"/>
  <c r="F76" i="1"/>
  <c r="AV76" i="1"/>
  <c r="AD76" i="1"/>
  <c r="AY76" i="1"/>
  <c r="BO76" i="1"/>
  <c r="AC76" i="1"/>
  <c r="R76" i="1"/>
  <c r="BN76" i="1"/>
  <c r="W76" i="1"/>
  <c r="BI76" i="1"/>
  <c r="P76" i="1"/>
  <c r="BC76" i="1"/>
  <c r="N76" i="1"/>
  <c r="AZ90" i="1"/>
  <c r="AJ90" i="1"/>
  <c r="T90" i="1"/>
  <c r="BO90" i="1"/>
  <c r="AY90" i="1"/>
  <c r="AI90" i="1"/>
  <c r="S90" i="1"/>
  <c r="BN90" i="1"/>
  <c r="AX90" i="1"/>
  <c r="AH90" i="1"/>
  <c r="R90" i="1"/>
  <c r="BM90" i="1"/>
  <c r="AW90" i="1"/>
  <c r="AG90" i="1"/>
  <c r="Q90" i="1"/>
  <c r="BL90" i="1"/>
  <c r="AV90" i="1"/>
  <c r="AF90" i="1"/>
  <c r="P90" i="1"/>
  <c r="BJ90" i="1"/>
  <c r="AT90" i="1"/>
  <c r="AD90" i="1"/>
  <c r="N90" i="1"/>
  <c r="BI90" i="1"/>
  <c r="AS90" i="1"/>
  <c r="AC90" i="1"/>
  <c r="BH90" i="1"/>
  <c r="AR90" i="1"/>
  <c r="AB90" i="1"/>
  <c r="BE90" i="1"/>
  <c r="AO90" i="1"/>
  <c r="Y90" i="1"/>
  <c r="H90" i="1"/>
  <c r="BC90" i="1"/>
  <c r="AM90" i="1"/>
  <c r="W90" i="1"/>
  <c r="F90" i="1"/>
  <c r="AE90" i="1"/>
  <c r="G90" i="1"/>
  <c r="AA90" i="1"/>
  <c r="Z90" i="1"/>
  <c r="X90" i="1"/>
  <c r="BK90" i="1"/>
  <c r="BP90" i="1" s="1"/>
  <c r="V90" i="1"/>
  <c r="BG90" i="1"/>
  <c r="U90" i="1"/>
  <c r="AN90" i="1"/>
  <c r="BF90" i="1"/>
  <c r="O90" i="1"/>
  <c r="BA90" i="1"/>
  <c r="BD90" i="1"/>
  <c r="J90" i="1"/>
  <c r="BB90" i="1"/>
  <c r="L90" i="1" s="1"/>
  <c r="I90" i="1"/>
  <c r="AU90" i="1"/>
  <c r="E90" i="1"/>
  <c r="BR90" i="1" s="1"/>
  <c r="BS90" i="1" s="1"/>
  <c r="AQ90" i="1"/>
  <c r="D90" i="1"/>
  <c r="AP90" i="1"/>
  <c r="AL90" i="1"/>
  <c r="AK90" i="1"/>
  <c r="BL91" i="1"/>
  <c r="AV91" i="1"/>
  <c r="AF91" i="1"/>
  <c r="P91" i="1"/>
  <c r="BK91" i="1"/>
  <c r="BP91" i="1" s="1"/>
  <c r="BQ91" i="1" s="1"/>
  <c r="AU91" i="1"/>
  <c r="AE91" i="1"/>
  <c r="O91" i="1"/>
  <c r="BJ91" i="1"/>
  <c r="AT91" i="1"/>
  <c r="AD91" i="1"/>
  <c r="N91" i="1"/>
  <c r="BI91" i="1"/>
  <c r="AS91" i="1"/>
  <c r="AC91" i="1"/>
  <c r="BH91" i="1"/>
  <c r="AR91" i="1"/>
  <c r="AB91" i="1"/>
  <c r="BF91" i="1"/>
  <c r="AP91" i="1"/>
  <c r="Z91" i="1"/>
  <c r="I91" i="1"/>
  <c r="BE91" i="1"/>
  <c r="AO91" i="1"/>
  <c r="Y91" i="1"/>
  <c r="H91" i="1"/>
  <c r="BD91" i="1"/>
  <c r="AN91" i="1"/>
  <c r="X91" i="1"/>
  <c r="G91" i="1"/>
  <c r="BA91" i="1"/>
  <c r="AK91" i="1"/>
  <c r="U91" i="1"/>
  <c r="D91" i="1"/>
  <c r="BO91" i="1"/>
  <c r="AY91" i="1"/>
  <c r="AI91" i="1"/>
  <c r="S91" i="1"/>
  <c r="AX91" i="1"/>
  <c r="E91" i="1"/>
  <c r="BR91" i="1" s="1"/>
  <c r="BS91" i="1" s="1"/>
  <c r="AW91" i="1"/>
  <c r="AQ91" i="1"/>
  <c r="W91" i="1"/>
  <c r="BB91" i="1"/>
  <c r="L91" i="1" s="1"/>
  <c r="AZ91" i="1"/>
  <c r="AM91" i="1"/>
  <c r="AL91" i="1"/>
  <c r="AJ91" i="1"/>
  <c r="F91" i="1"/>
  <c r="AH91" i="1"/>
  <c r="Q91" i="1"/>
  <c r="J91" i="1"/>
  <c r="AG91" i="1"/>
  <c r="AA91" i="1"/>
  <c r="BN91" i="1"/>
  <c r="V91" i="1"/>
  <c r="BM91" i="1"/>
  <c r="K91" i="1" s="1"/>
  <c r="T91" i="1"/>
  <c r="BG91" i="1"/>
  <c r="R91" i="1"/>
  <c r="BC91" i="1"/>
  <c r="BD77" i="1"/>
  <c r="AN77" i="1"/>
  <c r="X77" i="1"/>
  <c r="G77" i="1"/>
  <c r="BC77" i="1"/>
  <c r="AM77" i="1"/>
  <c r="W77" i="1"/>
  <c r="F77" i="1"/>
  <c r="BB77" i="1"/>
  <c r="L77" i="1" s="1"/>
  <c r="AL77" i="1"/>
  <c r="V77" i="1"/>
  <c r="E77" i="1"/>
  <c r="BA77" i="1"/>
  <c r="AK77" i="1"/>
  <c r="U77" i="1"/>
  <c r="D77" i="1"/>
  <c r="AZ77" i="1"/>
  <c r="AJ77" i="1"/>
  <c r="T77" i="1"/>
  <c r="BN77" i="1"/>
  <c r="AX77" i="1"/>
  <c r="AH77" i="1"/>
  <c r="R77" i="1"/>
  <c r="BM77" i="1"/>
  <c r="AW77" i="1"/>
  <c r="AG77" i="1"/>
  <c r="Q77" i="1"/>
  <c r="BL77" i="1"/>
  <c r="AV77" i="1"/>
  <c r="AF77" i="1"/>
  <c r="P77" i="1"/>
  <c r="BI77" i="1"/>
  <c r="AS77" i="1"/>
  <c r="AC77" i="1"/>
  <c r="BG77" i="1"/>
  <c r="AQ77" i="1"/>
  <c r="AA77" i="1"/>
  <c r="J77" i="1"/>
  <c r="BJ77" i="1"/>
  <c r="S77" i="1"/>
  <c r="BH77" i="1"/>
  <c r="O77" i="1"/>
  <c r="BF77" i="1"/>
  <c r="N77" i="1"/>
  <c r="BE77" i="1"/>
  <c r="AI77" i="1"/>
  <c r="AB77" i="1"/>
  <c r="AY77" i="1"/>
  <c r="I77" i="1"/>
  <c r="AU77" i="1"/>
  <c r="H77" i="1"/>
  <c r="AT77" i="1"/>
  <c r="Z77" i="1"/>
  <c r="Y77" i="1"/>
  <c r="AR77" i="1"/>
  <c r="AP77" i="1"/>
  <c r="AO77" i="1"/>
  <c r="AE77" i="1"/>
  <c r="AD77" i="1"/>
  <c r="BO77" i="1"/>
  <c r="BK77" i="1"/>
  <c r="BD93" i="1"/>
  <c r="AN93" i="1"/>
  <c r="X93" i="1"/>
  <c r="G93" i="1"/>
  <c r="BC93" i="1"/>
  <c r="AM93" i="1"/>
  <c r="W93" i="1"/>
  <c r="F93" i="1"/>
  <c r="BB93" i="1"/>
  <c r="L93" i="1" s="1"/>
  <c r="AL93" i="1"/>
  <c r="V93" i="1"/>
  <c r="E93" i="1"/>
  <c r="BR93" i="1" s="1"/>
  <c r="BS93" i="1" s="1"/>
  <c r="BA93" i="1"/>
  <c r="AK93" i="1"/>
  <c r="U93" i="1"/>
  <c r="D93" i="1"/>
  <c r="AZ93" i="1"/>
  <c r="AJ93" i="1"/>
  <c r="T93" i="1"/>
  <c r="BN93" i="1"/>
  <c r="AX93" i="1"/>
  <c r="AH93" i="1"/>
  <c r="R93" i="1"/>
  <c r="BM93" i="1"/>
  <c r="K93" i="1" s="1"/>
  <c r="AW93" i="1"/>
  <c r="AG93" i="1"/>
  <c r="Q93" i="1"/>
  <c r="BL93" i="1"/>
  <c r="AV93" i="1"/>
  <c r="AF93" i="1"/>
  <c r="P93" i="1"/>
  <c r="BI93" i="1"/>
  <c r="AS93" i="1"/>
  <c r="AC93" i="1"/>
  <c r="BG93" i="1"/>
  <c r="AQ93" i="1"/>
  <c r="AA93" i="1"/>
  <c r="J93" i="1"/>
  <c r="AP93" i="1"/>
  <c r="BH93" i="1"/>
  <c r="AO93" i="1"/>
  <c r="AI93" i="1"/>
  <c r="AE93" i="1"/>
  <c r="O93" i="1"/>
  <c r="AD93" i="1"/>
  <c r="AB93" i="1"/>
  <c r="AR93" i="1"/>
  <c r="BO93" i="1"/>
  <c r="Z93" i="1"/>
  <c r="AU93" i="1"/>
  <c r="AT93" i="1"/>
  <c r="BK93" i="1"/>
  <c r="BP93" i="1" s="1"/>
  <c r="Y93" i="1"/>
  <c r="BJ93" i="1"/>
  <c r="S93" i="1"/>
  <c r="H93" i="1"/>
  <c r="BF93" i="1"/>
  <c r="N93" i="1"/>
  <c r="BE93" i="1"/>
  <c r="AY93" i="1"/>
  <c r="I93" i="1"/>
  <c r="AZ94" i="1"/>
  <c r="AJ94" i="1"/>
  <c r="T94" i="1"/>
  <c r="BO94" i="1"/>
  <c r="AY94" i="1"/>
  <c r="AI94" i="1"/>
  <c r="S94" i="1"/>
  <c r="BN94" i="1"/>
  <c r="AX94" i="1"/>
  <c r="AH94" i="1"/>
  <c r="R94" i="1"/>
  <c r="BM94" i="1"/>
  <c r="K94" i="1" s="1"/>
  <c r="AW94" i="1"/>
  <c r="AG94" i="1"/>
  <c r="Q94" i="1"/>
  <c r="BL94" i="1"/>
  <c r="AV94" i="1"/>
  <c r="AF94" i="1"/>
  <c r="P94" i="1"/>
  <c r="BJ94" i="1"/>
  <c r="AT94" i="1"/>
  <c r="AD94" i="1"/>
  <c r="N94" i="1"/>
  <c r="BI94" i="1"/>
  <c r="AS94" i="1"/>
  <c r="AC94" i="1"/>
  <c r="BH94" i="1"/>
  <c r="AR94" i="1"/>
  <c r="AB94" i="1"/>
  <c r="BE94" i="1"/>
  <c r="AO94" i="1"/>
  <c r="Y94" i="1"/>
  <c r="H94" i="1"/>
  <c r="BC94" i="1"/>
  <c r="AM94" i="1"/>
  <c r="W94" i="1"/>
  <c r="F94" i="1"/>
  <c r="BF94" i="1"/>
  <c r="O94" i="1"/>
  <c r="BD94" i="1"/>
  <c r="J94" i="1"/>
  <c r="BB94" i="1"/>
  <c r="L94" i="1" s="1"/>
  <c r="I94" i="1"/>
  <c r="BA94" i="1"/>
  <c r="G94" i="1"/>
  <c r="X94" i="1"/>
  <c r="AU94" i="1"/>
  <c r="E94" i="1"/>
  <c r="AQ94" i="1"/>
  <c r="D94" i="1"/>
  <c r="BG94" i="1"/>
  <c r="AP94" i="1"/>
  <c r="BK94" i="1"/>
  <c r="BP94" i="1" s="1"/>
  <c r="AN94" i="1"/>
  <c r="AL94" i="1"/>
  <c r="AK94" i="1"/>
  <c r="AE94" i="1"/>
  <c r="AA94" i="1"/>
  <c r="Z94" i="1"/>
  <c r="V94" i="1"/>
  <c r="U94" i="1"/>
  <c r="B77" i="1"/>
  <c r="BL75" i="1"/>
  <c r="AV75" i="1"/>
  <c r="AF75" i="1"/>
  <c r="P75" i="1"/>
  <c r="D75" i="1"/>
  <c r="BK75" i="1"/>
  <c r="AU75" i="1"/>
  <c r="AE75" i="1"/>
  <c r="O75" i="1"/>
  <c r="BJ75" i="1"/>
  <c r="AT75" i="1"/>
  <c r="AD75" i="1"/>
  <c r="N75" i="1"/>
  <c r="BI75" i="1"/>
  <c r="AS75" i="1"/>
  <c r="AC75" i="1"/>
  <c r="BH75" i="1"/>
  <c r="AR75" i="1"/>
  <c r="AB75" i="1"/>
  <c r="BF75" i="1"/>
  <c r="AP75" i="1"/>
  <c r="Z75" i="1"/>
  <c r="BE75" i="1"/>
  <c r="AO75" i="1"/>
  <c r="Y75" i="1"/>
  <c r="BD75" i="1"/>
  <c r="AN75" i="1"/>
  <c r="X75" i="1"/>
  <c r="BA75" i="1"/>
  <c r="AK75" i="1"/>
  <c r="U75" i="1"/>
  <c r="I75" i="1"/>
  <c r="BO75" i="1"/>
  <c r="AY75" i="1"/>
  <c r="AI75" i="1"/>
  <c r="S75" i="1"/>
  <c r="G75" i="1"/>
  <c r="AA75" i="1"/>
  <c r="F75" i="1"/>
  <c r="AQ75" i="1"/>
  <c r="W75" i="1"/>
  <c r="E75" i="1"/>
  <c r="BN75" i="1"/>
  <c r="V75" i="1"/>
  <c r="AJ75" i="1"/>
  <c r="J75" i="1"/>
  <c r="BM75" i="1"/>
  <c r="T75" i="1"/>
  <c r="C18" i="1"/>
  <c r="D24" i="1"/>
  <c r="BG75" i="1"/>
  <c r="R75" i="1"/>
  <c r="BC75" i="1"/>
  <c r="Q75" i="1"/>
  <c r="C24" i="1"/>
  <c r="H75" i="1"/>
  <c r="BB75" i="1"/>
  <c r="L75" i="1" s="1"/>
  <c r="AW75" i="1"/>
  <c r="AH75" i="1"/>
  <c r="AZ75" i="1"/>
  <c r="AX75" i="1"/>
  <c r="AM75" i="1"/>
  <c r="AL75" i="1"/>
  <c r="AG75" i="1"/>
  <c r="AZ78" i="1"/>
  <c r="AJ78" i="1"/>
  <c r="T78" i="1"/>
  <c r="BO78" i="1"/>
  <c r="AY78" i="1"/>
  <c r="AI78" i="1"/>
  <c r="S78" i="1"/>
  <c r="BN78" i="1"/>
  <c r="AX78" i="1"/>
  <c r="AH78" i="1"/>
  <c r="R78" i="1"/>
  <c r="BM78" i="1"/>
  <c r="AW78" i="1"/>
  <c r="AG78" i="1"/>
  <c r="Q78" i="1"/>
  <c r="BL78" i="1"/>
  <c r="AV78" i="1"/>
  <c r="AF78" i="1"/>
  <c r="P78" i="1"/>
  <c r="BJ78" i="1"/>
  <c r="AT78" i="1"/>
  <c r="AD78" i="1"/>
  <c r="N78" i="1"/>
  <c r="BI78" i="1"/>
  <c r="AS78" i="1"/>
  <c r="AC78" i="1"/>
  <c r="BH78" i="1"/>
  <c r="AR78" i="1"/>
  <c r="AB78" i="1"/>
  <c r="BE78" i="1"/>
  <c r="AO78" i="1"/>
  <c r="Y78" i="1"/>
  <c r="H78" i="1"/>
  <c r="BC78" i="1"/>
  <c r="AM78" i="1"/>
  <c r="W78" i="1"/>
  <c r="F78" i="1"/>
  <c r="AL78" i="1"/>
  <c r="AK78" i="1"/>
  <c r="AE78" i="1"/>
  <c r="AP78" i="1"/>
  <c r="AA78" i="1"/>
  <c r="BD78" i="1"/>
  <c r="Z78" i="1"/>
  <c r="X78" i="1"/>
  <c r="J78" i="1"/>
  <c r="BB78" i="1"/>
  <c r="L78" i="1" s="1"/>
  <c r="D78" i="1"/>
  <c r="AN78" i="1"/>
  <c r="BK78" i="1"/>
  <c r="V78" i="1"/>
  <c r="BG78" i="1"/>
  <c r="U78" i="1"/>
  <c r="BF78" i="1"/>
  <c r="O78" i="1"/>
  <c r="I78" i="1"/>
  <c r="BA78" i="1"/>
  <c r="G78" i="1"/>
  <c r="AU78" i="1"/>
  <c r="E78" i="1"/>
  <c r="AQ78" i="1"/>
  <c r="B78" i="1"/>
  <c r="B79" i="1" s="1"/>
  <c r="B80" i="1" s="1"/>
  <c r="B81" i="1" s="1"/>
  <c r="B82" i="1" s="1"/>
  <c r="B83" i="1" s="1"/>
  <c r="B84" i="1" s="1"/>
  <c r="B85" i="1" s="1"/>
  <c r="B86" i="1" s="1"/>
  <c r="AZ86" i="1"/>
  <c r="AJ86" i="1"/>
  <c r="T86" i="1"/>
  <c r="BO86" i="1"/>
  <c r="AY86" i="1"/>
  <c r="AI86" i="1"/>
  <c r="S86" i="1"/>
  <c r="BN86" i="1"/>
  <c r="AX86" i="1"/>
  <c r="AH86" i="1"/>
  <c r="R86" i="1"/>
  <c r="BM86" i="1"/>
  <c r="AW86" i="1"/>
  <c r="AG86" i="1"/>
  <c r="Q86" i="1"/>
  <c r="BL86" i="1"/>
  <c r="AV86" i="1"/>
  <c r="AF86" i="1"/>
  <c r="P86" i="1"/>
  <c r="BJ86" i="1"/>
  <c r="AT86" i="1"/>
  <c r="AD86" i="1"/>
  <c r="N86" i="1"/>
  <c r="BI86" i="1"/>
  <c r="AS86" i="1"/>
  <c r="AC86" i="1"/>
  <c r="BH86" i="1"/>
  <c r="AR86" i="1"/>
  <c r="AB86" i="1"/>
  <c r="BE86" i="1"/>
  <c r="AO86" i="1"/>
  <c r="Y86" i="1"/>
  <c r="H86" i="1"/>
  <c r="BC86" i="1"/>
  <c r="AM86" i="1"/>
  <c r="W86" i="1"/>
  <c r="F86" i="1"/>
  <c r="AU86" i="1"/>
  <c r="E86" i="1"/>
  <c r="X86" i="1"/>
  <c r="AQ86" i="1"/>
  <c r="D86" i="1"/>
  <c r="AP86" i="1"/>
  <c r="I86" i="1"/>
  <c r="AN86" i="1"/>
  <c r="AL86" i="1"/>
  <c r="AK86" i="1"/>
  <c r="J86" i="1"/>
  <c r="G86" i="1"/>
  <c r="AE86" i="1"/>
  <c r="AA86" i="1"/>
  <c r="Z86" i="1"/>
  <c r="BK86" i="1"/>
  <c r="BP86" i="1" s="1"/>
  <c r="V86" i="1"/>
  <c r="BG86" i="1"/>
  <c r="U86" i="1"/>
  <c r="BF86" i="1"/>
  <c r="O86" i="1"/>
  <c r="BD86" i="1"/>
  <c r="BB86" i="1"/>
  <c r="L86" i="1" s="1"/>
  <c r="BA86" i="1"/>
  <c r="AZ82" i="1"/>
  <c r="AJ82" i="1"/>
  <c r="T82" i="1"/>
  <c r="BO82" i="1"/>
  <c r="AY82" i="1"/>
  <c r="AI82" i="1"/>
  <c r="S82" i="1"/>
  <c r="BN82" i="1"/>
  <c r="AX82" i="1"/>
  <c r="AH82" i="1"/>
  <c r="R82" i="1"/>
  <c r="BM82" i="1"/>
  <c r="K82" i="1" s="1"/>
  <c r="AW82" i="1"/>
  <c r="AG82" i="1"/>
  <c r="Q82" i="1"/>
  <c r="BL82" i="1"/>
  <c r="AV82" i="1"/>
  <c r="AF82" i="1"/>
  <c r="P82" i="1"/>
  <c r="U42" i="1" s="1" a="1"/>
  <c r="BJ82" i="1"/>
  <c r="AT82" i="1"/>
  <c r="AD82" i="1"/>
  <c r="N82" i="1"/>
  <c r="BI82" i="1"/>
  <c r="AS82" i="1"/>
  <c r="AC82" i="1"/>
  <c r="BH82" i="1"/>
  <c r="AR82" i="1"/>
  <c r="AB82" i="1"/>
  <c r="BE82" i="1"/>
  <c r="AO82" i="1"/>
  <c r="Y82" i="1"/>
  <c r="H82" i="1"/>
  <c r="BC82" i="1"/>
  <c r="AM82" i="1"/>
  <c r="W82" i="1"/>
  <c r="F82" i="1"/>
  <c r="BK82" i="1"/>
  <c r="BP82" i="1" s="1"/>
  <c r="BQ82" i="1" s="1"/>
  <c r="V82" i="1"/>
  <c r="BG82" i="1"/>
  <c r="U82" i="1"/>
  <c r="AN82" i="1"/>
  <c r="BF82" i="1"/>
  <c r="O82" i="1"/>
  <c r="BD82" i="1"/>
  <c r="J82" i="1"/>
  <c r="BB82" i="1"/>
  <c r="L82" i="1" s="1"/>
  <c r="I82" i="1"/>
  <c r="BA82" i="1"/>
  <c r="G82" i="1"/>
  <c r="X82" i="1"/>
  <c r="AU82" i="1"/>
  <c r="E82" i="1"/>
  <c r="BR82" i="1" s="1"/>
  <c r="BS82" i="1" s="1"/>
  <c r="Z82" i="1"/>
  <c r="AQ82" i="1"/>
  <c r="D82" i="1"/>
  <c r="AA82" i="1"/>
  <c r="AP82" i="1"/>
  <c r="AL82" i="1"/>
  <c r="AK82" i="1"/>
  <c r="AE82" i="1"/>
  <c r="BL79" i="1"/>
  <c r="AV79" i="1"/>
  <c r="AF79" i="1"/>
  <c r="P79" i="1"/>
  <c r="BK79" i="1"/>
  <c r="AU79" i="1"/>
  <c r="AE79" i="1"/>
  <c r="O79" i="1"/>
  <c r="BJ79" i="1"/>
  <c r="AT79" i="1"/>
  <c r="AD79" i="1"/>
  <c r="N79" i="1"/>
  <c r="BI79" i="1"/>
  <c r="AS79" i="1"/>
  <c r="AC79" i="1"/>
  <c r="BH79" i="1"/>
  <c r="AR79" i="1"/>
  <c r="AB79" i="1"/>
  <c r="BF79" i="1"/>
  <c r="AP79" i="1"/>
  <c r="Z79" i="1"/>
  <c r="I79" i="1"/>
  <c r="BE79" i="1"/>
  <c r="AO79" i="1"/>
  <c r="Y79" i="1"/>
  <c r="H79" i="1"/>
  <c r="BD79" i="1"/>
  <c r="AN79" i="1"/>
  <c r="X79" i="1"/>
  <c r="G79" i="1"/>
  <c r="BA79" i="1"/>
  <c r="AK79" i="1"/>
  <c r="U79" i="1"/>
  <c r="D79" i="1"/>
  <c r="BO79" i="1"/>
  <c r="AY79" i="1"/>
  <c r="AI79" i="1"/>
  <c r="S79" i="1"/>
  <c r="BB79" i="1"/>
  <c r="L79" i="1" s="1"/>
  <c r="J79" i="1"/>
  <c r="BM79" i="1"/>
  <c r="AZ79" i="1"/>
  <c r="F79" i="1"/>
  <c r="AX79" i="1"/>
  <c r="E79" i="1"/>
  <c r="BG79" i="1"/>
  <c r="BC79" i="1"/>
  <c r="AW79" i="1"/>
  <c r="AQ79" i="1"/>
  <c r="AM79" i="1"/>
  <c r="AL79" i="1"/>
  <c r="R79" i="1"/>
  <c r="AJ79" i="1"/>
  <c r="AH79" i="1"/>
  <c r="AG79" i="1"/>
  <c r="T79" i="1"/>
  <c r="AA79" i="1"/>
  <c r="W79" i="1"/>
  <c r="BN79" i="1"/>
  <c r="V79" i="1"/>
  <c r="Q79" i="1"/>
  <c r="BD85" i="1"/>
  <c r="AN85" i="1"/>
  <c r="X85" i="1"/>
  <c r="G85" i="1"/>
  <c r="BC85" i="1"/>
  <c r="AM85" i="1"/>
  <c r="W85" i="1"/>
  <c r="F85" i="1"/>
  <c r="BB85" i="1"/>
  <c r="L85" i="1" s="1"/>
  <c r="AL85" i="1"/>
  <c r="V85" i="1"/>
  <c r="E85" i="1"/>
  <c r="BA85" i="1"/>
  <c r="AK85" i="1"/>
  <c r="U85" i="1"/>
  <c r="D85" i="1"/>
  <c r="AZ85" i="1"/>
  <c r="AJ85" i="1"/>
  <c r="T85" i="1"/>
  <c r="BN85" i="1"/>
  <c r="AX85" i="1"/>
  <c r="AH85" i="1"/>
  <c r="R85" i="1"/>
  <c r="BM85" i="1"/>
  <c r="K85" i="1" s="1"/>
  <c r="AW85" i="1"/>
  <c r="AG85" i="1"/>
  <c r="Q85" i="1"/>
  <c r="BL85" i="1"/>
  <c r="AV85" i="1"/>
  <c r="AF85" i="1"/>
  <c r="P85" i="1"/>
  <c r="BI85" i="1"/>
  <c r="AS85" i="1"/>
  <c r="AC85" i="1"/>
  <c r="BG85" i="1"/>
  <c r="AQ85" i="1"/>
  <c r="AA85" i="1"/>
  <c r="J85" i="1"/>
  <c r="AD85" i="1"/>
  <c r="AB85" i="1"/>
  <c r="BO85" i="1"/>
  <c r="Z85" i="1"/>
  <c r="AU85" i="1"/>
  <c r="BK85" i="1"/>
  <c r="BP85" i="1" s="1"/>
  <c r="Y85" i="1"/>
  <c r="BJ85" i="1"/>
  <c r="S85" i="1"/>
  <c r="BH85" i="1"/>
  <c r="O85" i="1"/>
  <c r="BF85" i="1"/>
  <c r="N85" i="1"/>
  <c r="AD42" i="1" s="1" a="1"/>
  <c r="H85" i="1"/>
  <c r="AI85" i="1"/>
  <c r="BE85" i="1"/>
  <c r="AY85" i="1"/>
  <c r="I85" i="1"/>
  <c r="AT85" i="1"/>
  <c r="AR85" i="1"/>
  <c r="AO85" i="1"/>
  <c r="AP85" i="1"/>
  <c r="AE85" i="1"/>
  <c r="BH80" i="1"/>
  <c r="AR80" i="1"/>
  <c r="AB80" i="1"/>
  <c r="BG80" i="1"/>
  <c r="AQ80" i="1"/>
  <c r="AA80" i="1"/>
  <c r="J80" i="1"/>
  <c r="BF80" i="1"/>
  <c r="AP80" i="1"/>
  <c r="Z80" i="1"/>
  <c r="I80" i="1"/>
  <c r="BE80" i="1"/>
  <c r="AO80" i="1"/>
  <c r="Y80" i="1"/>
  <c r="H80" i="1"/>
  <c r="BD80" i="1"/>
  <c r="AN80" i="1"/>
  <c r="X80" i="1"/>
  <c r="G80" i="1"/>
  <c r="BB80" i="1"/>
  <c r="L80" i="1" s="1"/>
  <c r="AL80" i="1"/>
  <c r="V80" i="1"/>
  <c r="E80" i="1"/>
  <c r="BA80" i="1"/>
  <c r="AK80" i="1"/>
  <c r="U80" i="1"/>
  <c r="D80" i="1"/>
  <c r="AZ80" i="1"/>
  <c r="AJ80" i="1"/>
  <c r="T80" i="1"/>
  <c r="BM80" i="1"/>
  <c r="AW80" i="1"/>
  <c r="AG80" i="1"/>
  <c r="Q80" i="1"/>
  <c r="BK80" i="1"/>
  <c r="AU80" i="1"/>
  <c r="AE80" i="1"/>
  <c r="O80" i="1"/>
  <c r="AD80" i="1"/>
  <c r="BO80" i="1"/>
  <c r="AC80" i="1"/>
  <c r="BN80" i="1"/>
  <c r="W80" i="1"/>
  <c r="BL80" i="1"/>
  <c r="S80" i="1"/>
  <c r="BJ80" i="1"/>
  <c r="R80" i="1"/>
  <c r="BI80" i="1"/>
  <c r="P80" i="1"/>
  <c r="BC80" i="1"/>
  <c r="N80" i="1"/>
  <c r="AV80" i="1"/>
  <c r="AH80" i="1"/>
  <c r="AF80" i="1"/>
  <c r="AY80" i="1"/>
  <c r="AX80" i="1"/>
  <c r="F80" i="1"/>
  <c r="AT80" i="1"/>
  <c r="AI80" i="1"/>
  <c r="AS80" i="1"/>
  <c r="AM80" i="1"/>
  <c r="BL83" i="1"/>
  <c r="AV83" i="1"/>
  <c r="AF83" i="1"/>
  <c r="P83" i="1"/>
  <c r="BK83" i="1"/>
  <c r="BP83" i="1" s="1"/>
  <c r="AU83" i="1"/>
  <c r="AE83" i="1"/>
  <c r="O83" i="1"/>
  <c r="BJ83" i="1"/>
  <c r="AT83" i="1"/>
  <c r="AD83" i="1"/>
  <c r="N83" i="1"/>
  <c r="BI83" i="1"/>
  <c r="AS83" i="1"/>
  <c r="AC83" i="1"/>
  <c r="BH83" i="1"/>
  <c r="AR83" i="1"/>
  <c r="AB83" i="1"/>
  <c r="BF83" i="1"/>
  <c r="AP83" i="1"/>
  <c r="Z83" i="1"/>
  <c r="I83" i="1"/>
  <c r="BE83" i="1"/>
  <c r="AO83" i="1"/>
  <c r="Y83" i="1"/>
  <c r="H83" i="1"/>
  <c r="BD83" i="1"/>
  <c r="AN83" i="1"/>
  <c r="X83" i="1"/>
  <c r="G83" i="1"/>
  <c r="BA83" i="1"/>
  <c r="AK83" i="1"/>
  <c r="U83" i="1"/>
  <c r="D83" i="1"/>
  <c r="BO83" i="1"/>
  <c r="AY83" i="1"/>
  <c r="AI83" i="1"/>
  <c r="S83" i="1"/>
  <c r="AL83" i="1"/>
  <c r="Q83" i="1"/>
  <c r="AJ83" i="1"/>
  <c r="AH83" i="1"/>
  <c r="AM83" i="1"/>
  <c r="AG83" i="1"/>
  <c r="X42" i="1" a="1"/>
  <c r="AA83" i="1"/>
  <c r="W83" i="1"/>
  <c r="BN83" i="1"/>
  <c r="V83" i="1"/>
  <c r="BM83" i="1"/>
  <c r="K83" i="1" s="1"/>
  <c r="T83" i="1"/>
  <c r="BC83" i="1"/>
  <c r="BG83" i="1"/>
  <c r="R83" i="1"/>
  <c r="BB83" i="1"/>
  <c r="L83" i="1" s="1"/>
  <c r="J83" i="1"/>
  <c r="AZ83" i="1"/>
  <c r="F83" i="1"/>
  <c r="AX83" i="1"/>
  <c r="E83" i="1"/>
  <c r="AW83" i="1"/>
  <c r="AQ83" i="1"/>
  <c r="BL87" i="1"/>
  <c r="AV87" i="1"/>
  <c r="AF87" i="1"/>
  <c r="P87" i="1"/>
  <c r="BK87" i="1"/>
  <c r="BP87" i="1" s="1"/>
  <c r="AU87" i="1"/>
  <c r="AE87" i="1"/>
  <c r="O87" i="1"/>
  <c r="BJ87" i="1"/>
  <c r="AT87" i="1"/>
  <c r="AD87" i="1"/>
  <c r="N87" i="1"/>
  <c r="BI87" i="1"/>
  <c r="AS87" i="1"/>
  <c r="AC87" i="1"/>
  <c r="BH87" i="1"/>
  <c r="AR87" i="1"/>
  <c r="AB87" i="1"/>
  <c r="BF87" i="1"/>
  <c r="AP87" i="1"/>
  <c r="Z87" i="1"/>
  <c r="I87" i="1"/>
  <c r="BE87" i="1"/>
  <c r="AO87" i="1"/>
  <c r="Y87" i="1"/>
  <c r="H87" i="1"/>
  <c r="BD87" i="1"/>
  <c r="AN87" i="1"/>
  <c r="X87" i="1"/>
  <c r="G87" i="1"/>
  <c r="BA87" i="1"/>
  <c r="AK87" i="1"/>
  <c r="U87" i="1"/>
  <c r="D87" i="1"/>
  <c r="BO87" i="1"/>
  <c r="AY87" i="1"/>
  <c r="AI87" i="1"/>
  <c r="S87" i="1"/>
  <c r="BN87" i="1"/>
  <c r="V87" i="1"/>
  <c r="BM87" i="1"/>
  <c r="T87" i="1"/>
  <c r="BG87" i="1"/>
  <c r="R87" i="1"/>
  <c r="AA87" i="1"/>
  <c r="BC87" i="1"/>
  <c r="Q87" i="1"/>
  <c r="AG87" i="1"/>
  <c r="BB87" i="1"/>
  <c r="L87" i="1" s="1"/>
  <c r="J87" i="1"/>
  <c r="AZ87" i="1"/>
  <c r="F87" i="1"/>
  <c r="AM87" i="1"/>
  <c r="W87" i="1"/>
  <c r="AX87" i="1"/>
  <c r="E87" i="1"/>
  <c r="AW87" i="1"/>
  <c r="AQ87" i="1"/>
  <c r="AL87" i="1"/>
  <c r="AJ87" i="1"/>
  <c r="AH87" i="1"/>
  <c r="BD81" i="1"/>
  <c r="AN81" i="1"/>
  <c r="X81" i="1"/>
  <c r="G81" i="1"/>
  <c r="BC81" i="1"/>
  <c r="AM81" i="1"/>
  <c r="W81" i="1"/>
  <c r="F81" i="1"/>
  <c r="BB81" i="1"/>
  <c r="L81" i="1" s="1"/>
  <c r="AL81" i="1"/>
  <c r="V81" i="1"/>
  <c r="E81" i="1"/>
  <c r="BA81" i="1"/>
  <c r="AK81" i="1"/>
  <c r="U81" i="1"/>
  <c r="D81" i="1"/>
  <c r="AZ81" i="1"/>
  <c r="AJ81" i="1"/>
  <c r="T81" i="1"/>
  <c r="BN81" i="1"/>
  <c r="AX81" i="1"/>
  <c r="AH81" i="1"/>
  <c r="R81" i="1"/>
  <c r="BM81" i="1"/>
  <c r="K81" i="1" s="1"/>
  <c r="AW81" i="1"/>
  <c r="AG81" i="1"/>
  <c r="Q81" i="1"/>
  <c r="BL81" i="1"/>
  <c r="AV81" i="1"/>
  <c r="AF81" i="1"/>
  <c r="P81" i="1"/>
  <c r="BI81" i="1"/>
  <c r="AS81" i="1"/>
  <c r="AC81" i="1"/>
  <c r="BG81" i="1"/>
  <c r="AQ81" i="1"/>
  <c r="AA81" i="1"/>
  <c r="J81" i="1"/>
  <c r="AT81" i="1"/>
  <c r="AR81" i="1"/>
  <c r="AP81" i="1"/>
  <c r="Y81" i="1"/>
  <c r="AO81" i="1"/>
  <c r="AI81" i="1"/>
  <c r="AE81" i="1"/>
  <c r="H81" i="1"/>
  <c r="AD81" i="1"/>
  <c r="BE81" i="1"/>
  <c r="AY81" i="1"/>
  <c r="AB81" i="1"/>
  <c r="BO81" i="1"/>
  <c r="Z81" i="1"/>
  <c r="BK81" i="1"/>
  <c r="BP81" i="1" s="1"/>
  <c r="BJ81" i="1"/>
  <c r="S81" i="1"/>
  <c r="BH81" i="1"/>
  <c r="O81" i="1"/>
  <c r="BF81" i="1"/>
  <c r="N81" i="1"/>
  <c r="I81" i="1"/>
  <c r="AU81" i="1"/>
  <c r="BH88" i="1"/>
  <c r="AR88" i="1"/>
  <c r="AB88" i="1"/>
  <c r="BG88" i="1"/>
  <c r="AQ88" i="1"/>
  <c r="AA88" i="1"/>
  <c r="J88" i="1"/>
  <c r="BF88" i="1"/>
  <c r="AP88" i="1"/>
  <c r="Z88" i="1"/>
  <c r="I88" i="1"/>
  <c r="BE88" i="1"/>
  <c r="AO88" i="1"/>
  <c r="Y88" i="1"/>
  <c r="H88" i="1"/>
  <c r="BD88" i="1"/>
  <c r="AN88" i="1"/>
  <c r="X88" i="1"/>
  <c r="G88" i="1"/>
  <c r="BB88" i="1"/>
  <c r="L88" i="1" s="1"/>
  <c r="AL88" i="1"/>
  <c r="V88" i="1"/>
  <c r="E88" i="1"/>
  <c r="BR88" i="1" s="1"/>
  <c r="BS88" i="1" s="1"/>
  <c r="BA88" i="1"/>
  <c r="AK88" i="1"/>
  <c r="U88" i="1"/>
  <c r="D88" i="1"/>
  <c r="AZ88" i="1"/>
  <c r="AJ88" i="1"/>
  <c r="T88" i="1"/>
  <c r="BM88" i="1"/>
  <c r="K88" i="1" s="1"/>
  <c r="AW88" i="1"/>
  <c r="AG88" i="1"/>
  <c r="Q88" i="1"/>
  <c r="BK88" i="1"/>
  <c r="BP88" i="1" s="1"/>
  <c r="AU88" i="1"/>
  <c r="AE88" i="1"/>
  <c r="O88" i="1"/>
  <c r="AM88" i="1"/>
  <c r="BI88" i="1"/>
  <c r="AI88" i="1"/>
  <c r="AH88" i="1"/>
  <c r="AV88" i="1"/>
  <c r="AT88" i="1"/>
  <c r="AF88" i="1"/>
  <c r="AD88" i="1"/>
  <c r="BO88" i="1"/>
  <c r="AC88" i="1"/>
  <c r="BN88" i="1"/>
  <c r="W88" i="1"/>
  <c r="AS88" i="1"/>
  <c r="BL88" i="1"/>
  <c r="S88" i="1"/>
  <c r="BJ88" i="1"/>
  <c r="R88" i="1"/>
  <c r="P88" i="1"/>
  <c r="BC88" i="1"/>
  <c r="N88" i="1"/>
  <c r="AY88" i="1"/>
  <c r="AX88" i="1"/>
  <c r="F88" i="1"/>
  <c r="BH92" i="1"/>
  <c r="AR92" i="1"/>
  <c r="AB92" i="1"/>
  <c r="BG92" i="1"/>
  <c r="AQ92" i="1"/>
  <c r="AA92" i="1"/>
  <c r="J92" i="1"/>
  <c r="BF92" i="1"/>
  <c r="AP92" i="1"/>
  <c r="Z92" i="1"/>
  <c r="I92" i="1"/>
  <c r="BE92" i="1"/>
  <c r="AO92" i="1"/>
  <c r="Y92" i="1"/>
  <c r="H92" i="1"/>
  <c r="BD92" i="1"/>
  <c r="AN92" i="1"/>
  <c r="X92" i="1"/>
  <c r="G92" i="1"/>
  <c r="BB92" i="1"/>
  <c r="L92" i="1" s="1"/>
  <c r="AL92" i="1"/>
  <c r="V92" i="1"/>
  <c r="E92" i="1"/>
  <c r="BR92" i="1" s="1"/>
  <c r="BS92" i="1" s="1"/>
  <c r="BA92" i="1"/>
  <c r="AK92" i="1"/>
  <c r="U92" i="1"/>
  <c r="D92" i="1"/>
  <c r="AZ92" i="1"/>
  <c r="AJ92" i="1"/>
  <c r="T92" i="1"/>
  <c r="BM92" i="1"/>
  <c r="K92" i="1" s="1"/>
  <c r="AW92" i="1"/>
  <c r="AG92" i="1"/>
  <c r="Q92" i="1"/>
  <c r="BK92" i="1"/>
  <c r="BP92" i="1" s="1"/>
  <c r="BQ92" i="1" s="1"/>
  <c r="AU92" i="1"/>
  <c r="AE92" i="1"/>
  <c r="O92" i="1"/>
  <c r="BN92" i="1"/>
  <c r="W92" i="1"/>
  <c r="AS92" i="1"/>
  <c r="BL92" i="1"/>
  <c r="S92" i="1"/>
  <c r="BJ92" i="1"/>
  <c r="R92" i="1"/>
  <c r="BI92" i="1"/>
  <c r="P92" i="1"/>
  <c r="BC92" i="1"/>
  <c r="N92" i="1"/>
  <c r="AY92" i="1"/>
  <c r="AX92" i="1"/>
  <c r="F92" i="1"/>
  <c r="AD92" i="1"/>
  <c r="AC92" i="1"/>
  <c r="AV92" i="1"/>
  <c r="AT92" i="1"/>
  <c r="AF92" i="1"/>
  <c r="AM92" i="1"/>
  <c r="AI92" i="1"/>
  <c r="AH92" i="1"/>
  <c r="BO92" i="1"/>
  <c r="BH84" i="1"/>
  <c r="AR84" i="1"/>
  <c r="AB84" i="1"/>
  <c r="BG84" i="1"/>
  <c r="AQ84" i="1"/>
  <c r="AA84" i="1"/>
  <c r="J84" i="1"/>
  <c r="BF84" i="1"/>
  <c r="AP84" i="1"/>
  <c r="Z84" i="1"/>
  <c r="I84" i="1"/>
  <c r="BE84" i="1"/>
  <c r="AO84" i="1"/>
  <c r="Y84" i="1"/>
  <c r="H84" i="1"/>
  <c r="BD84" i="1"/>
  <c r="AN84" i="1"/>
  <c r="X84" i="1"/>
  <c r="G84" i="1"/>
  <c r="BB84" i="1"/>
  <c r="L84" i="1" s="1"/>
  <c r="AL84" i="1"/>
  <c r="V84" i="1"/>
  <c r="E84" i="1"/>
  <c r="BA84" i="1"/>
  <c r="AK84" i="1"/>
  <c r="U84" i="1"/>
  <c r="D84" i="1"/>
  <c r="AZ84" i="1"/>
  <c r="AJ84" i="1"/>
  <c r="T84" i="1"/>
  <c r="BM84" i="1"/>
  <c r="AW84" i="1"/>
  <c r="AG84" i="1"/>
  <c r="Q84" i="1"/>
  <c r="BK84" i="1"/>
  <c r="BP84" i="1" s="1"/>
  <c r="AU84" i="1"/>
  <c r="AE84" i="1"/>
  <c r="O84" i="1"/>
  <c r="BC84" i="1"/>
  <c r="N84" i="1"/>
  <c r="BL84" i="1"/>
  <c r="AY84" i="1"/>
  <c r="AX84" i="1"/>
  <c r="F84" i="1"/>
  <c r="BJ84" i="1"/>
  <c r="AV84" i="1"/>
  <c r="AT84" i="1"/>
  <c r="AS84" i="1"/>
  <c r="P84" i="1"/>
  <c r="AM84" i="1"/>
  <c r="R84" i="1"/>
  <c r="BI84" i="1"/>
  <c r="AI84" i="1"/>
  <c r="AH84" i="1"/>
  <c r="AF84" i="1"/>
  <c r="S84" i="1"/>
  <c r="AD84" i="1"/>
  <c r="BO84" i="1"/>
  <c r="AC84" i="1"/>
  <c r="BN84" i="1"/>
  <c r="W84" i="1"/>
  <c r="AA42" i="1" a="1"/>
  <c r="E36" i="1" a="1"/>
  <c r="F40" i="1" a="1"/>
  <c r="H35" i="1"/>
  <c r="H40" i="1" a="1"/>
  <c r="C39" i="1" a="1"/>
  <c r="L38" i="1" a="1"/>
  <c r="L40" i="1" a="1"/>
  <c r="N38" i="1" a="1"/>
  <c r="AC36" i="1" a="1"/>
  <c r="B36" i="1" a="1"/>
  <c r="K40" i="1" a="1"/>
  <c r="L39" i="1" a="1"/>
  <c r="W35" i="1"/>
  <c r="N39" i="1" a="1"/>
  <c r="Z35" i="1"/>
  <c r="B40" i="1" a="1"/>
  <c r="AC35" i="1"/>
  <c r="F39" i="1" a="1"/>
  <c r="I40" i="1" a="1"/>
  <c r="Q38" i="1" a="1"/>
  <c r="C38" i="1" a="1"/>
  <c r="E40" i="1" a="1"/>
  <c r="C40" i="1" a="1"/>
  <c r="T36" i="1" a="1"/>
  <c r="O40" i="1" a="1"/>
  <c r="Q39" i="1" a="1"/>
  <c r="E35" i="1"/>
  <c r="N35" i="1"/>
  <c r="R38" i="1" a="1"/>
  <c r="U37" i="1" a="1"/>
  <c r="E39" i="1" a="1"/>
  <c r="N36" i="1" a="1"/>
  <c r="O39" i="1" a="1"/>
  <c r="Q36" i="1" a="1"/>
  <c r="R40" i="1" a="1"/>
  <c r="K39" i="1" a="1"/>
  <c r="O38" i="1" a="1"/>
  <c r="R39" i="1" a="1"/>
  <c r="AA37" i="1" a="1"/>
  <c r="W36" i="1" a="1"/>
  <c r="I39" i="1" a="1"/>
  <c r="B35" i="1"/>
  <c r="E38" i="1" a="1"/>
  <c r="AD37" i="1" a="1"/>
  <c r="H36" i="1" a="1"/>
  <c r="H39" i="1" a="1"/>
  <c r="B39" i="1" a="1"/>
  <c r="K36" i="1" a="1"/>
  <c r="H38" i="1" a="1"/>
  <c r="F38" i="1" a="1"/>
  <c r="I38" i="1" a="1"/>
  <c r="Q35" i="1"/>
  <c r="K38" i="1" a="1"/>
  <c r="K35" i="1"/>
  <c r="X37" i="1" a="1"/>
  <c r="N40" i="1" a="1"/>
  <c r="Q40" i="1" a="1"/>
  <c r="Z36" i="1" a="1"/>
  <c r="B38" i="1" a="1"/>
  <c r="T35" i="1"/>
  <c r="B38" i="1" l="1"/>
  <c r="Z36" i="1"/>
  <c r="Q40" i="1"/>
  <c r="N40" i="1"/>
  <c r="X37" i="1"/>
  <c r="K38" i="1"/>
  <c r="I38" i="1"/>
  <c r="I37" i="1" s="1"/>
  <c r="F38" i="1"/>
  <c r="F37" i="1" s="1"/>
  <c r="H38" i="1"/>
  <c r="K36" i="1"/>
  <c r="B39" i="1"/>
  <c r="H39" i="1"/>
  <c r="H36" i="1"/>
  <c r="AD37" i="1"/>
  <c r="E38" i="1"/>
  <c r="B7" i="1"/>
  <c r="I39" i="1"/>
  <c r="W36" i="1"/>
  <c r="AA37" i="1"/>
  <c r="R39" i="1"/>
  <c r="O38" i="1"/>
  <c r="O37" i="1" s="1"/>
  <c r="K39" i="1"/>
  <c r="R40" i="1"/>
  <c r="Q36" i="1"/>
  <c r="O39" i="1"/>
  <c r="N36" i="1"/>
  <c r="E39" i="1"/>
  <c r="U37" i="1"/>
  <c r="R38" i="1"/>
  <c r="R37" i="1" s="1"/>
  <c r="Q39" i="1"/>
  <c r="O40" i="1"/>
  <c r="T36" i="1"/>
  <c r="C40" i="1"/>
  <c r="E40" i="1"/>
  <c r="C38" i="1"/>
  <c r="C37" i="1" s="1"/>
  <c r="C16" i="1" s="1"/>
  <c r="Q38" i="1"/>
  <c r="I40" i="1"/>
  <c r="F39" i="1"/>
  <c r="B40" i="1"/>
  <c r="N39" i="1"/>
  <c r="L39" i="1"/>
  <c r="K40" i="1"/>
  <c r="B36" i="1"/>
  <c r="AC36" i="1"/>
  <c r="N38" i="1"/>
  <c r="L40" i="1"/>
  <c r="L38" i="1"/>
  <c r="L37" i="1" s="1"/>
  <c r="C39" i="1"/>
  <c r="H40" i="1"/>
  <c r="F40" i="1"/>
  <c r="E36" i="1"/>
  <c r="AD47" i="1"/>
  <c r="AD46" i="1"/>
  <c r="AD45" i="1"/>
  <c r="AD44" i="1"/>
  <c r="AD43" i="1"/>
  <c r="AD42" i="1"/>
  <c r="U47" i="1"/>
  <c r="U43" i="1"/>
  <c r="U46" i="1"/>
  <c r="U45" i="1"/>
  <c r="U44" i="1"/>
  <c r="U42" i="1"/>
  <c r="BR84" i="1"/>
  <c r="BS84" i="1" s="1"/>
  <c r="BQ88" i="1"/>
  <c r="BR83" i="1"/>
  <c r="BS83" i="1" s="1"/>
  <c r="K75" i="1"/>
  <c r="BR78" i="1"/>
  <c r="BS78" i="1" s="1"/>
  <c r="K78" i="1"/>
  <c r="BR80" i="1"/>
  <c r="BS80" i="1" s="1"/>
  <c r="K77" i="1"/>
  <c r="K86" i="1"/>
  <c r="BQ86" i="1" s="1"/>
  <c r="K76" i="1"/>
  <c r="K87" i="1"/>
  <c r="BR75" i="1"/>
  <c r="BS75" i="1" s="1"/>
  <c r="BR81" i="1"/>
  <c r="BS81" i="1" s="1"/>
  <c r="BR87" i="1"/>
  <c r="BS87" i="1" s="1"/>
  <c r="K90" i="1"/>
  <c r="BQ90" i="1" s="1"/>
  <c r="X45" i="1"/>
  <c r="X44" i="1"/>
  <c r="X43" i="1"/>
  <c r="X42" i="1"/>
  <c r="X46" i="1"/>
  <c r="X47" i="1"/>
  <c r="BQ83" i="1"/>
  <c r="BP80" i="1"/>
  <c r="BQ80" i="1" s="1"/>
  <c r="BQ93" i="1"/>
  <c r="BR79" i="1"/>
  <c r="BS79" i="1" s="1"/>
  <c r="BR76" i="1"/>
  <c r="BS76" i="1" s="1"/>
  <c r="BP79" i="1"/>
  <c r="K84" i="1"/>
  <c r="BQ84" i="1" s="1"/>
  <c r="BQ87" i="1"/>
  <c r="BR86" i="1"/>
  <c r="BS86" i="1" s="1"/>
  <c r="BP75" i="1"/>
  <c r="BQ75" i="1" s="1"/>
  <c r="BQ94" i="1"/>
  <c r="BR94" i="1"/>
  <c r="BS94" i="1" s="1"/>
  <c r="K80" i="1"/>
  <c r="BP77" i="1"/>
  <c r="BQ77" i="1" s="1"/>
  <c r="AA44" i="1"/>
  <c r="AA46" i="1"/>
  <c r="AA45" i="1"/>
  <c r="AA42" i="1"/>
  <c r="AA47" i="1"/>
  <c r="AA43" i="1"/>
  <c r="BQ81" i="1"/>
  <c r="BQ85" i="1"/>
  <c r="BR85" i="1"/>
  <c r="BS85" i="1" s="1"/>
  <c r="K79" i="1"/>
  <c r="BP78" i="1"/>
  <c r="BR77" i="1"/>
  <c r="BS77" i="1" s="1"/>
  <c r="BP76" i="1"/>
  <c r="BQ76" i="1" s="1"/>
  <c r="H48" i="1" a="1"/>
  <c r="K48" i="1" a="1"/>
  <c r="N48" i="1" a="1"/>
  <c r="Q48" i="1" a="1"/>
  <c r="E48" i="1" a="1"/>
  <c r="B48" i="1" a="1"/>
  <c r="B48" i="1" l="1"/>
  <c r="E48" i="1"/>
  <c r="Q48" i="1"/>
  <c r="N48" i="1"/>
  <c r="K48" i="1"/>
  <c r="H48" i="1"/>
  <c r="BQ79" i="1"/>
  <c r="BQ78" i="1"/>
  <c r="F42" i="1" a="1"/>
  <c r="F42" i="1"/>
  <c r="F43" i="1"/>
  <c r="F44" i="1"/>
  <c r="F47" i="1"/>
  <c r="F45" i="1"/>
  <c r="F46" i="1"/>
  <c r="C42" i="1" a="1"/>
  <c r="C47" i="1"/>
  <c r="C42" i="1"/>
  <c r="C43" i="1"/>
  <c r="C44" i="1"/>
  <c r="C45" i="1"/>
  <c r="C46" i="1"/>
  <c r="I42" i="1" a="1"/>
  <c r="I42" i="1"/>
  <c r="I43" i="1"/>
  <c r="I44" i="1"/>
  <c r="I45" i="1"/>
  <c r="I46" i="1"/>
  <c r="I47" i="1"/>
  <c r="L42" i="1" a="1"/>
  <c r="L45" i="1"/>
  <c r="L46" i="1"/>
  <c r="L43" i="1"/>
  <c r="L44" i="1"/>
  <c r="L47" i="1"/>
  <c r="L42" i="1"/>
  <c r="O42" i="1" a="1"/>
  <c r="O42" i="1"/>
  <c r="O43" i="1"/>
  <c r="O44" i="1"/>
  <c r="O45" i="1"/>
  <c r="O46" i="1"/>
  <c r="O47" i="1"/>
  <c r="R42" i="1" a="1"/>
  <c r="R47" i="1"/>
  <c r="R44" i="1"/>
  <c r="R45" i="1"/>
  <c r="R42" i="1"/>
  <c r="R46" i="1"/>
  <c r="R43" i="1"/>
</calcChain>
</file>

<file path=xl/sharedStrings.xml><?xml version="1.0" encoding="utf-8"?>
<sst xmlns="http://schemas.openxmlformats.org/spreadsheetml/2006/main" count="41655" uniqueCount="7273">
  <si>
    <t>Better Decisions. No research</t>
  </si>
  <si>
    <t>This is the most accurate ski recomendation in the world</t>
  </si>
  <si>
    <t>Carve analyzes 25 technical specs across 1265 skis (&gt;32,000 data points) to deliver your optimal ski from the cheapest seller</t>
  </si>
  <si>
    <t>We consider every ski on the market, 100% unbiased by brands or retailers.</t>
  </si>
  <si>
    <t>Your skier profile</t>
  </si>
  <si>
    <t>Your top pick:</t>
  </si>
  <si>
    <t>Target properties</t>
  </si>
  <si>
    <t>1265 skis considered</t>
  </si>
  <si>
    <t>Performance</t>
  </si>
  <si>
    <t>Cost</t>
  </si>
  <si>
    <t>Aesthetic</t>
  </si>
  <si>
    <t>Speed</t>
  </si>
  <si>
    <t>Color</t>
  </si>
  <si>
    <t>Manueverability</t>
  </si>
  <si>
    <t>Style</t>
  </si>
  <si>
    <t>Results summary</t>
  </si>
  <si>
    <t>Minimum</t>
  </si>
  <si>
    <t>Maximum</t>
  </si>
  <si>
    <t>Considerations</t>
  </si>
  <si>
    <t>Weight</t>
  </si>
  <si>
    <t>Ski length</t>
  </si>
  <si>
    <t>Height, skill level</t>
  </si>
  <si>
    <t>Turning</t>
  </si>
  <si>
    <t>Ski width</t>
  </si>
  <si>
    <t>Run types</t>
  </si>
  <si>
    <t>Braking</t>
  </si>
  <si>
    <t>Tip height</t>
  </si>
  <si>
    <t>-</t>
  </si>
  <si>
    <t>Skiing backwards</t>
  </si>
  <si>
    <t>Match % from algorithm</t>
  </si>
  <si>
    <t>Your recommendation lineup</t>
  </si>
  <si>
    <t>These 6 skis are your best match based on our analysis of 1265 skis and the data you provided.</t>
  </si>
  <si>
    <t>Compare cost, design, and performance to make a decision or simply choose #1.</t>
  </si>
  <si>
    <t>Performance wise, you can't go wrong with any of these choices. We've considered everything</t>
  </si>
  <si>
    <t>#1 Top match, 1262 skis considered</t>
  </si>
  <si>
    <t>#2 of 1262</t>
  </si>
  <si>
    <t>#3 of 1262</t>
  </si>
  <si>
    <t>#4 of 1262</t>
  </si>
  <si>
    <t>#5 of 1262</t>
  </si>
  <si>
    <t>#6 of 1262</t>
  </si>
  <si>
    <t>#7 of 1262</t>
  </si>
  <si>
    <t>#8 of 1262</t>
  </si>
  <si>
    <t>#9 of 1262</t>
  </si>
  <si>
    <t>#10 of 1262</t>
  </si>
  <si>
    <t>https://4frnt.com/products/switch</t>
  </si>
  <si>
    <t>https://www.google.com/aclk?sa=l&amp;ai=DChcSEwiq2YOklI_2AhUWisgKHYQbCIIYABANGgJxdQ&amp;sig=AOD64_0jdFLjn0D_zeFuvToA-oeNEtGb_Q&amp;ctype=5&amp;q=&amp;ved=2ahUKEwjs8fmjlI_2AhUJTN8KHV-4Df0Q9aACegQIAhB5&amp;adurl=</t>
  </si>
  <si>
    <t>https://www.google.com/aclk?sa=l&amp;ai=DChcSEwjGit2XtI_2AhWKhMgKHXhbCq8YABALGgJxdQ&amp;ae=2&amp;sig=AOD64_359iNAfLukfFKjQxohTLeDj1ayqg&amp;ctype=5&amp;q=&amp;ved=2ahUKEwif2tSXtI_2AhVMTt8KHYEKBrwQ9aACegQIARBN&amp;adurl=</t>
  </si>
  <si>
    <t>https://tinyurl.com/34auzhph</t>
  </si>
  <si>
    <t>https://www.google.com/aclk?sa=l&amp;ai=DChcSEwjGit2XtI_2AhWKhMgKHXhbCq8YABAJGgJxdQ&amp;ae=2&amp;sig=AOD64_12f62iETyfXbYKvRYy_B8loRVtHA&amp;ctype=5&amp;q=&amp;ved=2ahUKEwif2tSXtI_2AhVMTt8KHYEKBrwQ9aACegQIARBk&amp;adurl=</t>
  </si>
  <si>
    <t>https://www.google.com/aclk?sa=l&amp;ai=DChcSEwjQzeqQppf2AhXRPq0GHdVBDw8YABANGgJwdg&amp;ae=2&amp;sig=AOD64_3E7NJLF7HCPsIvjTz4jRbAEfQsoA&amp;ctype=5&amp;q=&amp;ved=2ahUKEwj12tyQppf2AhXLJUQIHWaRCfQQ9aACegQIARBg&amp;adurl=</t>
  </si>
  <si>
    <t>https://tinyurl.com/sjhhazts</t>
  </si>
  <si>
    <t>https://www.google.com/aclk?sa=l&amp;ai=DChcSEwjJq934qJf2AhXOIK0GHUlFAzYYABAOGgJwdg&amp;ae=2&amp;sig=AOD64_2GkJn42TrNRWJxa2cAuB7V0OIy7w&amp;ctype=5&amp;q=&amp;ved=2ahUKEwjr3c34qJf2AhUAJEQIHQJ3C2sQ9aACegQIARBP&amp;adurl=</t>
  </si>
  <si>
    <t>Match scores (Performance)</t>
  </si>
  <si>
    <t>Match Scores</t>
  </si>
  <si>
    <t>ft</t>
  </si>
  <si>
    <t>Overall</t>
  </si>
  <si>
    <t>Overall match</t>
  </si>
  <si>
    <t>Need help understanding this recommendation? Call 914-844-9628 and we'll walk you through it</t>
  </si>
  <si>
    <t>Want more options? Here's a complete list of options that fit you</t>
  </si>
  <si>
    <t>Shown in your lineup above</t>
  </si>
  <si>
    <t>Personal match scores</t>
  </si>
  <si>
    <t>Raw scores</t>
  </si>
  <si>
    <t>By performance</t>
  </si>
  <si>
    <t>By run type</t>
  </si>
  <si>
    <t>Cheapest seller 1</t>
  </si>
  <si>
    <t>Cheapest seller 2</t>
  </si>
  <si>
    <t>Cheapest seller 3</t>
  </si>
  <si>
    <t>Shortened links</t>
  </si>
  <si>
    <t>Rank by overall match %</t>
  </si>
  <si>
    <t>Your overall match %</t>
  </si>
  <si>
    <t>Year</t>
  </si>
  <si>
    <t>Brand</t>
  </si>
  <si>
    <t>Model</t>
  </si>
  <si>
    <t>Gender</t>
  </si>
  <si>
    <t>Nominal Length (cm)</t>
  </si>
  <si>
    <t>Actual Length (cm)</t>
  </si>
  <si>
    <t xml:space="preserve">Waist width (mm) </t>
  </si>
  <si>
    <t>Cost ($)</t>
  </si>
  <si>
    <t>Cheapest seller</t>
  </si>
  <si>
    <t>Overall  performance</t>
  </si>
  <si>
    <t>Groomers</t>
  </si>
  <si>
    <t>Moguls</t>
  </si>
  <si>
    <t>Trees</t>
  </si>
  <si>
    <t>Powder</t>
  </si>
  <si>
    <t>Park</t>
  </si>
  <si>
    <t>Running lenght (cm)</t>
  </si>
  <si>
    <t>Sidecut length (cm)</t>
  </si>
  <si>
    <t>Tip width (mm)</t>
  </si>
  <si>
    <t>Tail width (mm)</t>
  </si>
  <si>
    <t>Sidecut radius (m)</t>
  </si>
  <si>
    <t>Mass (g)</t>
  </si>
  <si>
    <t>Surface-to-weight Ratio (cm^2/g)</t>
  </si>
  <si>
    <t>Base area (cm2)</t>
  </si>
  <si>
    <t>Avg Bending Stiffness (El)</t>
  </si>
  <si>
    <t>Avg Torsional  Stiffness (GJ)</t>
  </si>
  <si>
    <t>Tip Height (mm)</t>
  </si>
  <si>
    <t>Tip Rocker Length (mm)</t>
  </si>
  <si>
    <t>Tail height (mm)</t>
  </si>
  <si>
    <t>Tail Rocker Length (mm)</t>
  </si>
  <si>
    <t>Tail/Tip Height Ratio (%)</t>
  </si>
  <si>
    <t>Tip  Taper Length (mm)</t>
  </si>
  <si>
    <t>Tail Taper Length (mm)</t>
  </si>
  <si>
    <t>Front  Contact Point Range (mm)</t>
  </si>
  <si>
    <t>Camber (mm)</t>
  </si>
  <si>
    <t>Setback (cm)</t>
  </si>
  <si>
    <t>Category 1</t>
  </si>
  <si>
    <t>Category 2</t>
  </si>
  <si>
    <t>Category 3</t>
  </si>
  <si>
    <t>Product name</t>
  </si>
  <si>
    <t>Seller</t>
  </si>
  <si>
    <t>Price</t>
  </si>
  <si>
    <t>Link</t>
  </si>
  <si>
    <t>Link 1</t>
  </si>
  <si>
    <t>Link 2</t>
  </si>
  <si>
    <t>Link 3</t>
  </si>
  <si>
    <t>MSRP ($)</t>
  </si>
  <si>
    <t>On sale?</t>
  </si>
  <si>
    <t>Helper</t>
  </si>
  <si>
    <t>Image link</t>
  </si>
  <si>
    <t>Max tree value</t>
  </si>
  <si>
    <t>Small numbers factor</t>
  </si>
  <si>
    <t>Tier 2</t>
  </si>
  <si>
    <t>Required parameters</t>
  </si>
  <si>
    <t>if(the same ski model exists on the list, not(there is  anywhere in list where allrequirements are true, model name is the same, and match value is higher),TRUE)</t>
  </si>
  <si>
    <t>Non-dimensional - scaled 0-1</t>
  </si>
  <si>
    <t>Nondimensional</t>
  </si>
  <si>
    <t>Non dimensional</t>
  </si>
  <si>
    <t>Then add this column to needs on sheet 1</t>
  </si>
  <si>
    <t>Buying factors</t>
  </si>
  <si>
    <t>Run Type</t>
  </si>
  <si>
    <t>Technical specs</t>
  </si>
  <si>
    <t>Match scores (1-error)</t>
  </si>
  <si>
    <t>Error from user input</t>
  </si>
  <si>
    <t>Errors</t>
  </si>
  <si>
    <t>Tail height</t>
  </si>
  <si>
    <t>Underfoot width</t>
  </si>
  <si>
    <t>All previous true?</t>
  </si>
  <si>
    <t>Anywhere else with higher match all true</t>
  </si>
  <si>
    <t>Highest match of this model?</t>
  </si>
  <si>
    <t>Overall match %</t>
  </si>
  <si>
    <t>Design</t>
  </si>
  <si>
    <t>Mass</t>
  </si>
  <si>
    <t>Running length</t>
  </si>
  <si>
    <t>Width</t>
  </si>
  <si>
    <t>Turn radius</t>
  </si>
  <si>
    <t>Camber</t>
  </si>
  <si>
    <t>Bending stiffness</t>
  </si>
  <si>
    <t>Torsional rigidity</t>
  </si>
  <si>
    <t>Tip rocker</t>
  </si>
  <si>
    <t>Tail rocker</t>
  </si>
  <si>
    <t>Seller 1</t>
  </si>
  <si>
    <t>Seller 2</t>
  </si>
  <si>
    <t>Seller 3</t>
  </si>
  <si>
    <t>Model clean</t>
  </si>
  <si>
    <t>Image Link</t>
  </si>
  <si>
    <t>21/22</t>
  </si>
  <si>
    <t xml:space="preserve"> Atomic</t>
  </si>
  <si>
    <t>Vantage 75 C</t>
  </si>
  <si>
    <t xml:space="preserve"> Unisex</t>
  </si>
  <si>
    <t xml:space="preserve"> </t>
  </si>
  <si>
    <t xml:space="preserve"> Other</t>
  </si>
  <si>
    <t>https://images.evo.com/imgp/250/183371/737590/clone.jpg</t>
  </si>
  <si>
    <t>Vantage 75 C W</t>
  </si>
  <si>
    <t xml:space="preserve"> Women's</t>
  </si>
  <si>
    <t xml:space="preserve"> Elan</t>
  </si>
  <si>
    <t>Ace SLX</t>
  </si>
  <si>
    <t>Voyager</t>
  </si>
  <si>
    <t xml:space="preserve"> Head</t>
  </si>
  <si>
    <t>Kore 105</t>
  </si>
  <si>
    <t xml:space="preserve"> Powder</t>
  </si>
  <si>
    <t>https://images.evo.com/imgp/250/208271/832640/head-kore-105-skis-2022-.jpg</t>
  </si>
  <si>
    <t>Worldcup Rebels e-Speed Pro</t>
  </si>
  <si>
    <t xml:space="preserve"> Rossignol</t>
  </si>
  <si>
    <t>Experience 86 Ti</t>
  </si>
  <si>
    <t xml:space="preserve"> Salomon</t>
  </si>
  <si>
    <t>QST Lumen 99</t>
  </si>
  <si>
    <t>https://images.evo.com/imgp/250/197278/812047/salomon-qst-lumen-99-skis-women-s-2022-.jpg</t>
  </si>
  <si>
    <t>Stance 102</t>
  </si>
  <si>
    <t xml:space="preserve"> Big Mountain</t>
  </si>
  <si>
    <t>https://images.evo.com/imgp/250/183471/737716/salomon-stance-102-skis-2022-.jpg</t>
  </si>
  <si>
    <t xml:space="preserve"> Scott</t>
  </si>
  <si>
    <t>Scrapper 95 W</t>
  </si>
  <si>
    <t xml:space="preserve"> Armada</t>
  </si>
  <si>
    <t>ARV 116 JJ UL</t>
  </si>
  <si>
    <t xml:space="preserve"> Freeski</t>
  </si>
  <si>
    <t xml:space="preserve"> Touring</t>
  </si>
  <si>
    <t>https://images.evo.com/imgp/250/198686/839649/armada-arv-116-jj-ul-skis-2022-.jpg</t>
  </si>
  <si>
    <t>ARV 106</t>
  </si>
  <si>
    <t xml:space="preserve"> Resort Freeride</t>
  </si>
  <si>
    <t>https://images.evo.com/imgp/250/198701/839671/armada-arv-106-skis-2022-.jpg</t>
  </si>
  <si>
    <t xml:space="preserve"> 4FRNT</t>
  </si>
  <si>
    <t xml:space="preserve"> Switch</t>
  </si>
  <si>
    <t xml:space="preserve"> Raven</t>
  </si>
  <si>
    <t>ARV 84</t>
  </si>
  <si>
    <t>https://images.evo.com/imgp/250/198697/839664/armada-arv-84-skis-boys-2022-.jpg</t>
  </si>
  <si>
    <t xml:space="preserve"> Renegade</t>
  </si>
  <si>
    <t>Slight 93</t>
  </si>
  <si>
    <t>Backland 107</t>
  </si>
  <si>
    <t xml:space="preserve"> Ultralight Touring</t>
  </si>
  <si>
    <t>https://images.evo.com/imgp/250/197750/826841/atomic-backland-107-skis-2022-.jpg</t>
  </si>
  <si>
    <t>Kore 93</t>
  </si>
  <si>
    <t>https://images.evo.com/imgp/250/208274/832642/clone.jpg</t>
  </si>
  <si>
    <t xml:space="preserve"> Dynastar</t>
  </si>
  <si>
    <t>M-Pro 90</t>
  </si>
  <si>
    <t>https://images.evo.com/imgp/250/180345/727761/dynastar-m-pro-90-skis-2022-.jpg</t>
  </si>
  <si>
    <t xml:space="preserve"> Faction</t>
  </si>
  <si>
    <t>Agent 2.0</t>
  </si>
  <si>
    <t>https://images.evo.com/imgp/250/181947/733513/clone.jpg</t>
  </si>
  <si>
    <t xml:space="preserve"> Line</t>
  </si>
  <si>
    <t>Vision 98</t>
  </si>
  <si>
    <t>https://images.evo.com/imgp/250/198428/817630/line-skis-vision-98-skis-2022-.jpg</t>
  </si>
  <si>
    <t>M-Pro 99 W</t>
  </si>
  <si>
    <t>https://images.evo.com/imgp/250/185155/736345/dynastar-m-pro-99-w-skis-women-s-2022-.jpg</t>
  </si>
  <si>
    <t xml:space="preserve"> Stöckli</t>
  </si>
  <si>
    <t>Edge 88</t>
  </si>
  <si>
    <t xml:space="preserve"> Liberty</t>
  </si>
  <si>
    <t>Evolv 100</t>
  </si>
  <si>
    <t>22/23</t>
  </si>
  <si>
    <t xml:space="preserve"> DPS</t>
  </si>
  <si>
    <t>Pagoda Tour 94</t>
  </si>
  <si>
    <t>ARW 106 UL</t>
  </si>
  <si>
    <t>https://images.evo.com/imgp/250/198715/839687/armada-arw-106-ul-skis-2022-.jpg</t>
  </si>
  <si>
    <t>Pagoda Tour 100 RP</t>
  </si>
  <si>
    <t>https://images.evo.com/imgp/250/183638/728544/clone.jpg</t>
  </si>
  <si>
    <t>Kore 91 W</t>
  </si>
  <si>
    <t>Prodigy 3.0</t>
  </si>
  <si>
    <t>https://images.evo.com/imgp/250/208634/839526/faction-prodigy-3-0-skis-2022-.jpg</t>
  </si>
  <si>
    <t xml:space="preserve"> Raccoon</t>
  </si>
  <si>
    <t xml:space="preserve"> Le Grizzly</t>
  </si>
  <si>
    <t xml:space="preserve"> Völkl</t>
  </si>
  <si>
    <t>Kanjo 84</t>
  </si>
  <si>
    <t xml:space="preserve"> On-Piste All-Mountain</t>
  </si>
  <si>
    <t>Scrapper 105</t>
  </si>
  <si>
    <t>https://images.evo.com/imgp/250/208930/848228/clone.jpg</t>
  </si>
  <si>
    <t>Kore 97 W</t>
  </si>
  <si>
    <t>ARW 86</t>
  </si>
  <si>
    <t>https://images.evo.com/imgp/250/198713/839685/armada-arw-86-skis-women-s-2022-.jpg</t>
  </si>
  <si>
    <t xml:space="preserve"> Black Crows</t>
  </si>
  <si>
    <t xml:space="preserve"> Navis Freebird</t>
  </si>
  <si>
    <t>https://images.evo.com/imgp/250/164661/659376/black-crows-navis-freebird-skis-2022-.jpg</t>
  </si>
  <si>
    <t>Kore 99</t>
  </si>
  <si>
    <t>https://images.evo.com/imgp/250/208272/832641/clone.jpg</t>
  </si>
  <si>
    <t>CT 3.0</t>
  </si>
  <si>
    <t>https://images.evo.com/imgp/250/208623/839897/clone.jpg</t>
  </si>
  <si>
    <t>Reliance 88 Ca</t>
  </si>
  <si>
    <t xml:space="preserve"> Fischer</t>
  </si>
  <si>
    <t>Ranger 94 FR W</t>
  </si>
  <si>
    <t>Maven 93 C</t>
  </si>
  <si>
    <t>https://images.evo.com/imgp/250/219397/904532/atomic-maven-93-c-skis-women-s-2023-.jpg</t>
  </si>
  <si>
    <t>Agent 2.0 X</t>
  </si>
  <si>
    <t>Pagoda 106 C2</t>
  </si>
  <si>
    <t>https://images.evo.com/imgp/250/209064/857445/dps-pagoda-106-c2-skis-2023-.jpg</t>
  </si>
  <si>
    <t>MTN Explore 95</t>
  </si>
  <si>
    <t>https://images.evo.com/imgp/250/197284/812037/clone.jpg</t>
  </si>
  <si>
    <t>Pagoda Piste 100 C2</t>
  </si>
  <si>
    <t>Ripstick 96</t>
  </si>
  <si>
    <t>https://images.evo.com/imgp/250/181075/715233/clone.jpg</t>
  </si>
  <si>
    <t>Bent Chetler 100</t>
  </si>
  <si>
    <t>https://images.evo.com/imgp/250/197747/826833/atomic-bent-chetler-100-skis-2022-.jpg</t>
  </si>
  <si>
    <t>CT 2.0</t>
  </si>
  <si>
    <t>Ranger 102 FR</t>
  </si>
  <si>
    <t>https://images.evo.com/imgp/250/209031/846558/fischer-ranger-102-fr-skis-2022-.jpg</t>
  </si>
  <si>
    <t xml:space="preserve"> K2</t>
  </si>
  <si>
    <t>Wayback 106</t>
  </si>
  <si>
    <t>https://images.evo.com/imgp/250/182121/886394/k2-wayback-106-skis-2021-.jpg</t>
  </si>
  <si>
    <t xml:space="preserve"> Blade W</t>
  </si>
  <si>
    <t>https://images.evo.com/imgp/250/198424/817629/line-skis-blade-w-skis-women-s-2022-.jpg</t>
  </si>
  <si>
    <t>Maverick 86 C</t>
  </si>
  <si>
    <t>https://images.evo.com/imgp/250/197733/826787/clone.jpg</t>
  </si>
  <si>
    <t>Wayback 96</t>
  </si>
  <si>
    <t>https://images.evo.com/imgp/250/182122/886389/k2-wayback-96-skis-2021-.jpg</t>
  </si>
  <si>
    <t>Declivity 92 Ti</t>
  </si>
  <si>
    <t>https://images.evo.com/imgp/250/181506/736829/armada-declivity-92-ti-skis-2022-.jpg</t>
  </si>
  <si>
    <t>Pagoda 112 RP</t>
  </si>
  <si>
    <t>https://images.evo.com/imgp/250/183639/728542/dps-pagoda-tour-112-rp-skis-2022-.jpg</t>
  </si>
  <si>
    <t>Hannibal 106</t>
  </si>
  <si>
    <t>https://images.evo.com/imgp/250/209039/846564/fischer-hannibal-106-carbon-skis-2022-.jpg</t>
  </si>
  <si>
    <t>Agent 3.0</t>
  </si>
  <si>
    <t>https://images.evo.com/imgp/250/181980/733532/faction-agent-3-0-skis-2022-.jpg</t>
  </si>
  <si>
    <t>Dictator FG 2.0</t>
  </si>
  <si>
    <t>https://images.evo.com/imgp/250/208648/839908/clone.jpg</t>
  </si>
  <si>
    <t>Origin 96</t>
  </si>
  <si>
    <t>https://images.evo.com/imgp/250/208524/851432/clone.jpg</t>
  </si>
  <si>
    <t>QST 92</t>
  </si>
  <si>
    <t>https://images.evo.com/imgp/250/197274/812050/salomon-qst-92-skis-2022-.jpg</t>
  </si>
  <si>
    <t>Bash 81</t>
  </si>
  <si>
    <t>https://images.evo.com/imgp/250/183432/726762/clone.jpg</t>
  </si>
  <si>
    <t>Reliance 102 Ti</t>
  </si>
  <si>
    <t>https://images.evo.com/imgp/250/198723/839692/armada-reliance-102-ti-skis-women-s-2023-.jpg</t>
  </si>
  <si>
    <t>Trace 98</t>
  </si>
  <si>
    <t>https://images.evo.com/imgp/250/198708/839678/armada-trace-98-skis-women-s-2022-.jpg</t>
  </si>
  <si>
    <t>Ranger 92 Ti W</t>
  </si>
  <si>
    <t>Wildcat 82 C</t>
  </si>
  <si>
    <t>Ranger 94 FR</t>
  </si>
  <si>
    <t>Pagoda Tour 112 RP</t>
  </si>
  <si>
    <t xml:space="preserve"> Icelantic</t>
  </si>
  <si>
    <t>Pioneer 96</t>
  </si>
  <si>
    <t>https://images.evo.com/imgp/250/212325/858471/clone.jpg</t>
  </si>
  <si>
    <t>Reckoner 112</t>
  </si>
  <si>
    <t>https://images.evo.com/imgp/250/182107/723844/clone.jpg</t>
  </si>
  <si>
    <t>Blaze 94</t>
  </si>
  <si>
    <t>https://images.evo.com/imgp/250/208354/837597/clone.jpg</t>
  </si>
  <si>
    <t>Evolv 90W</t>
  </si>
  <si>
    <t>Tracer 108</t>
  </si>
  <si>
    <t>https://images.evo.com/imgp/250/198695/839662/clone.jpg</t>
  </si>
  <si>
    <t xml:space="preserve"> Blackops Stargazer W</t>
  </si>
  <si>
    <t>Evolv 90</t>
  </si>
  <si>
    <t>Ranger 99 Ti W</t>
  </si>
  <si>
    <t>Prodigy 2.0</t>
  </si>
  <si>
    <t>https://images.evo.com/imgp/250/208633/839528/faction-prodigy-2-0-skis-2022-.jpg</t>
  </si>
  <si>
    <t>Declivity 88 Ca</t>
  </si>
  <si>
    <t>Kenja 88</t>
  </si>
  <si>
    <t>https://images.evo.com/imgp/250/208363/837595/volkl-kenja-88-skis-women-s-2022-.jpg</t>
  </si>
  <si>
    <t>Ripstick 106</t>
  </si>
  <si>
    <t>https://images.evo.com/imgp/250/181074/737306/clone.jpg</t>
  </si>
  <si>
    <t>Scrapper 95</t>
  </si>
  <si>
    <t>https://images.evo.com/imgp/250/208932/848232/scott-scrapper-95-skis-2022-.jpg</t>
  </si>
  <si>
    <t xml:space="preserve"> Blizzard</t>
  </si>
  <si>
    <t>Sheeva 11</t>
  </si>
  <si>
    <t>Secret 96</t>
  </si>
  <si>
    <t>https://images.evo.com/imgp/250/201961/795907/volkl-secret-96-skis-women-s-2022-.jpg</t>
  </si>
  <si>
    <t xml:space="preserve"> Ferreol</t>
  </si>
  <si>
    <t>Explo 96</t>
  </si>
  <si>
    <t xml:space="preserve"> Divus</t>
  </si>
  <si>
    <t>https://images.evo.com/imgp/250/164647/709941/clone.jpg</t>
  </si>
  <si>
    <t>Agent 3.0 X</t>
  </si>
  <si>
    <t>Ranger 90 FR</t>
  </si>
  <si>
    <t>Mindbender 90C</t>
  </si>
  <si>
    <t>https://images.evo.com/imgp/250/162811/645698/k2-mindbender-90c-skis-2020-.jpg</t>
  </si>
  <si>
    <t xml:space="preserve"> Dynafit</t>
  </si>
  <si>
    <t>Beast 108</t>
  </si>
  <si>
    <t xml:space="preserve"> Blackops Holyshred</t>
  </si>
  <si>
    <t xml:space="preserve"> Nordica</t>
  </si>
  <si>
    <t>Santa Ana 110 Free</t>
  </si>
  <si>
    <t>https://images.evo.com/imgp/250/198266/835766/clone.jpg</t>
  </si>
  <si>
    <t>Blaze 106</t>
  </si>
  <si>
    <t>https://images.evo.com/imgp/250/208350/837599/clone.jpg</t>
  </si>
  <si>
    <t>Ranger 102 FR W</t>
  </si>
  <si>
    <t>Vision 108</t>
  </si>
  <si>
    <t>https://images.evo.com/imgp/250/197207/792883/line-skis-vision-108-skis-2022-.jpg</t>
  </si>
  <si>
    <t>M-Free 99</t>
  </si>
  <si>
    <t>https://images.evo.com/imgp/250/198834/826148/dynastar-m-free-99-skis-2022-.jpg</t>
  </si>
  <si>
    <t>Blackops Escaper</t>
  </si>
  <si>
    <t>Stance 84</t>
  </si>
  <si>
    <t>https://images.evo.com/imgp/250/197287/812033/clone.jpg</t>
  </si>
  <si>
    <t>Experience 86 Basalt</t>
  </si>
  <si>
    <t>https://images.evo.com/imgp/250/201401/832750/clone.jpg</t>
  </si>
  <si>
    <t>Dictator FG 1.0</t>
  </si>
  <si>
    <t>Deacon 79</t>
  </si>
  <si>
    <t xml:space="preserve"> On-Piste Carving</t>
  </si>
  <si>
    <t>Pagoda 100 RP</t>
  </si>
  <si>
    <t>https://images.evo.com/imgp/250/209063/857438/dps-pagoda-100-rp-skis-2023-.jpg</t>
  </si>
  <si>
    <t>Sick Day 104</t>
  </si>
  <si>
    <t>https://images.evo.com/imgp/250/198436/817694/line-skis-sick-day-104-skis-2022-.jpg</t>
  </si>
  <si>
    <t xml:space="preserve"> Black Diamond</t>
  </si>
  <si>
    <t>Impulse 98</t>
  </si>
  <si>
    <t>https://images.evo.com/imgp/250/200509/836796/clone.jpg</t>
  </si>
  <si>
    <t>Nela 96</t>
  </si>
  <si>
    <t>https://images.evo.com/imgp/250/208927/857955/stockli-nela-96-skis-women-s-2022-.jpg</t>
  </si>
  <si>
    <t>Natural 101</t>
  </si>
  <si>
    <t>https://images.evo.com/imgp/250/208408/833108/icelantic-natural-101-skis-2022-.jpg</t>
  </si>
  <si>
    <t xml:space="preserve"> Camox Freebird</t>
  </si>
  <si>
    <t>https://images.evo.com/imgp/250/164658/659367/black-crows-camox-freebird-skis-2022-.jpg</t>
  </si>
  <si>
    <t xml:space="preserve"> Serpo</t>
  </si>
  <si>
    <t>https://images.evo.com/imgp/250/202411/868118/clone.jpg</t>
  </si>
  <si>
    <t>Pionnier 104</t>
  </si>
  <si>
    <t>Ripstick 102 W</t>
  </si>
  <si>
    <t>Mindbender 116 C</t>
  </si>
  <si>
    <t>https://images.evo.com/imgp/250/201036/824959/k2-mindbender-116-c-skis-2022-.jpg</t>
  </si>
  <si>
    <t>Santa Ana 98</t>
  </si>
  <si>
    <t>https://images.evo.com/imgp/250/198262/792324/nordica-santa-ana-98-skis-women-s-2022-.jpg</t>
  </si>
  <si>
    <t xml:space="preserve"> Orb</t>
  </si>
  <si>
    <t>https://images.evo.com/imgp/250/164648/659389/clone.jpg</t>
  </si>
  <si>
    <t>Tracer 98</t>
  </si>
  <si>
    <t>https://images.evo.com/imgp/250/198694/839659/clone.jpg</t>
  </si>
  <si>
    <t xml:space="preserve"> Laser SC</t>
  </si>
  <si>
    <t>Genesis 101</t>
  </si>
  <si>
    <t>https://images.evo.com/imgp/250/208622/839895/clone.jpg</t>
  </si>
  <si>
    <t>Dictator 2.0</t>
  </si>
  <si>
    <t>https://images.evo.com/imgp/250/208645/839912/faction-dictator-2-0-skis-2022-.jpg</t>
  </si>
  <si>
    <t>M-Pro 99</t>
  </si>
  <si>
    <t>https://images.evo.com/imgp/250/185150/736349/dynastar-m-pro-99-skis-2022-.jpg</t>
  </si>
  <si>
    <t>Blaze 106 W</t>
  </si>
  <si>
    <t>https://images.evo.com/imgp/250/208353/837601/volkl-blaze-106-w-skis-women-s-2022-.jpg</t>
  </si>
  <si>
    <t xml:space="preserve"> Sir Francis Bacon Shorty</t>
  </si>
  <si>
    <t xml:space="preserve"> Junior</t>
  </si>
  <si>
    <t>https://images.evo.com/imgp/250/198443/824790/line-skis-sir-francis-bacon-shorty-skis-boys-2022-.jpg</t>
  </si>
  <si>
    <t>Pagoda Piste 90 RP</t>
  </si>
  <si>
    <t xml:space="preserve"> Blackops Sender</t>
  </si>
  <si>
    <t>Backland 95</t>
  </si>
  <si>
    <t>https://images.evo.com/imgp/250/197752/826838/atomic-backland-95-skis-2023-.jpg</t>
  </si>
  <si>
    <t xml:space="preserve"> Orb Freebird</t>
  </si>
  <si>
    <t>https://images.evo.com/imgp/250/181610/748869/black-crows-orb-freebird-skis-2022-.jpg</t>
  </si>
  <si>
    <t>Oblivion 94</t>
  </si>
  <si>
    <t>https://images.evo.com/imgp/250/208282/832656/clone.jpg</t>
  </si>
  <si>
    <t>Trace 108</t>
  </si>
  <si>
    <t>https://images.evo.com/imgp/250/198710/839681/armada-trace-108-skis-women-s-2022-.jpg</t>
  </si>
  <si>
    <t>Pagoda Tour 106 W</t>
  </si>
  <si>
    <t>Foundation 103 Koala</t>
  </si>
  <si>
    <t>Backland 100</t>
  </si>
  <si>
    <t>https://images.evo.com/imgp/250/197751/826836/atomic-backland-100-skis-2022-.jpg</t>
  </si>
  <si>
    <t xml:space="preserve"> Blackops Rallybird Ti W</t>
  </si>
  <si>
    <t>Mindbender 115 C Alliance</t>
  </si>
  <si>
    <t>https://images.evo.com/imgp/250/182115/723839/k2-mindbender-115-c-alliance-skis-women-s-2021-.jpg</t>
  </si>
  <si>
    <t>Pagoda Tour 112 W</t>
  </si>
  <si>
    <t>Mindbender 108 Ti</t>
  </si>
  <si>
    <t>https://images.evo.com/imgp/250/221663/904226/k2-mindbender-108-ti-skis-2023-.jpg</t>
  </si>
  <si>
    <t>Agent 1.0 X</t>
  </si>
  <si>
    <t>Ripstick 96 Black Edition</t>
  </si>
  <si>
    <t>https://images.evo.com/imgp/250/198223/788806/clone.jpg</t>
  </si>
  <si>
    <t>Santa Ana 104 Free</t>
  </si>
  <si>
    <t>Maverick 88 Ti</t>
  </si>
  <si>
    <t>https://images.evo.com/imgp/250/219393/902838/atomic-maverick-88-ti-skis-2023-.jpg</t>
  </si>
  <si>
    <t>Tracer 88</t>
  </si>
  <si>
    <t>Vision 118</t>
  </si>
  <si>
    <t>https://images.evo.com/imgp/250/198426/817626/line-skis-vision-118-skis-2022-.jpg</t>
  </si>
  <si>
    <t>Sick Day 94</t>
  </si>
  <si>
    <t>https://images.evo.com/imgp/250/198437/817697/line-skis-sick-day-94-skis-2022-.jpg</t>
  </si>
  <si>
    <t>Ranger 92 Ti</t>
  </si>
  <si>
    <t xml:space="preserve"> Ace Speed Magic</t>
  </si>
  <si>
    <t>M-Pro 84</t>
  </si>
  <si>
    <t>https://images.evo.com/imgp/250/185152/874336/dynastar-m-pro-84-skis-2021-.jpg</t>
  </si>
  <si>
    <t xml:space="preserve"> Sir Francis Bacon</t>
  </si>
  <si>
    <t>https://images.evo.com/imgp/250/197208/792879/line-skis-sir-francis-bacon-skis-2022-.jpg</t>
  </si>
  <si>
    <t xml:space="preserve"> Edge FT</t>
  </si>
  <si>
    <t>Beast 98</t>
  </si>
  <si>
    <t>Secret 102</t>
  </si>
  <si>
    <t>https://images.evo.com/imgp/250/183416/726698/volkl-secret-102-skis-women-s-2021-.jpg</t>
  </si>
  <si>
    <t>ARW 96</t>
  </si>
  <si>
    <t>https://images.evo.com/imgp/250/198714/839686/armada-arw-96-skis-women-s-2022-.jpg</t>
  </si>
  <si>
    <t>Kore 90 X</t>
  </si>
  <si>
    <t>https://images.evo.com/imgp/250/218718/886395/head-kore-90-x-skis-2022-.jpg</t>
  </si>
  <si>
    <t>Zero G 105</t>
  </si>
  <si>
    <t>https://images.evo.com/imgp/250/197481/783558/blizzard-zero-g-105-skis-2022-.jpg</t>
  </si>
  <si>
    <t>https://images.evo.com/imgp/250/198263/792326/nordica-santa-ana-104-free-skis-women-s-2022-.jpg</t>
  </si>
  <si>
    <t>Sick Day 88</t>
  </si>
  <si>
    <t>Dictator 1.0 X</t>
  </si>
  <si>
    <t>Kendo 88</t>
  </si>
  <si>
    <t>QST 106</t>
  </si>
  <si>
    <t>https://images.evo.com/imgp/250/197272/812054/salomon-qst-106-skis-2022-.jpg</t>
  </si>
  <si>
    <t>Reliance 92 Ti</t>
  </si>
  <si>
    <t>https://images.evo.com/imgp/250/198722/799804/armada-reliance-92-ti-skis-women-s-2023-.jpg</t>
  </si>
  <si>
    <t xml:space="preserve"> Blackops Rallybird W</t>
  </si>
  <si>
    <t xml:space="preserve"> Corvus Freebird</t>
  </si>
  <si>
    <t>https://images.evo.com/imgp/250/181609/727269/black-crows-corvus-freebird-skis-2022-.jpg</t>
  </si>
  <si>
    <t>Bash 86 W</t>
  </si>
  <si>
    <t>https://images.evo.com/imgp/250/183431/726761/volkl-bash-86-w-skis-women-s-2022-.jpg</t>
  </si>
  <si>
    <t>Sheeva 10</t>
  </si>
  <si>
    <t>https://images.evo.com/imgp/250/176891/722699/blizzard-sheeva-10-skis-women-s-2022-.jpg</t>
  </si>
  <si>
    <t>Zero G 95</t>
  </si>
  <si>
    <t>https://images.evo.com/imgp/250/197482/830329/blizzard-zero-g-95-skis-2022-.jpg</t>
  </si>
  <si>
    <t>Superguide 88</t>
  </si>
  <si>
    <t xml:space="preserve"> Sakana</t>
  </si>
  <si>
    <t>https://images.evo.com/imgp/250/198434/817640/clone.jpg</t>
  </si>
  <si>
    <t>Soul Rider 84</t>
  </si>
  <si>
    <t>Enforcer 88</t>
  </si>
  <si>
    <t>Black Pearl 97</t>
  </si>
  <si>
    <t>https://images.evo.com/imgp/250/176882/722692/blizzard-black-pearl-97-skis-women-s-2022-.jpg</t>
  </si>
  <si>
    <t>Nomad Lite 105</t>
  </si>
  <si>
    <t>https://images.evo.com/imgp/250/208406/833110/icelantic-nomad-lite-105-skis-2022-.jpg</t>
  </si>
  <si>
    <t>Nova 10 Ti</t>
  </si>
  <si>
    <t>Rise Beyond 96</t>
  </si>
  <si>
    <t>Ranger 115 FR Big Stix</t>
  </si>
  <si>
    <t>Rustler 9</t>
  </si>
  <si>
    <t>https://images.evo.com/imgp/250/176889/722697/blizzard-rustler-9-skis-2022-.jpg</t>
  </si>
  <si>
    <t>Soul Rider 97</t>
  </si>
  <si>
    <t>Kore 85 W</t>
  </si>
  <si>
    <t>Stormrider 102</t>
  </si>
  <si>
    <t>https://images.evo.com/imgp/250/208923/857957/stockli-stormrider-102-skis-2022-.jpg</t>
  </si>
  <si>
    <t>Experience 82 Basalt</t>
  </si>
  <si>
    <t>Bash 86</t>
  </si>
  <si>
    <t>https://images.evo.com/imgp/250/183430/726763/clone.jpg</t>
  </si>
  <si>
    <t>Stance 90</t>
  </si>
  <si>
    <t>https://images.evo.com/imgp/250/183473/737709/clone.jpg</t>
  </si>
  <si>
    <t>Mindbender 90 Ti</t>
  </si>
  <si>
    <t>Nomad 105</t>
  </si>
  <si>
    <t>https://images.evo.com/imgp/250/208395/833069/icelantic-nomad-105-skis-2022-.jpg</t>
  </si>
  <si>
    <t xml:space="preserve"> Deacon XTD</t>
  </si>
  <si>
    <t>Experience 80 Carbon W</t>
  </si>
  <si>
    <t>Wingman 82 Ti</t>
  </si>
  <si>
    <t>Stance 94 W</t>
  </si>
  <si>
    <t>https://images.evo.com/imgp/250/183474/737236/salomon-stance-w-94-skis-women-s-2022-.jpg</t>
  </si>
  <si>
    <t xml:space="preserve"> Honey Badger</t>
  </si>
  <si>
    <t>https://images.evo.com/imgp/250/198441/817647/clone.jpg</t>
  </si>
  <si>
    <t>Wildcat 82 CX</t>
  </si>
  <si>
    <t>Mindbender 88 Ti Alliance</t>
  </si>
  <si>
    <t xml:space="preserve"> Ferox Freebird</t>
  </si>
  <si>
    <t>https://images.evo.com/imgp/250/164660/659377/black-crows-ferox-freebird-skis-2022-.jpg</t>
  </si>
  <si>
    <t>Mindbender 98 Ti Alliance</t>
  </si>
  <si>
    <t xml:space="preserve"> Poacher</t>
  </si>
  <si>
    <t>https://images.evo.com/imgp/250/201070/825034/k2-poacher-skis-2022-.jpg</t>
  </si>
  <si>
    <t>ARV 86</t>
  </si>
  <si>
    <t>https://images.evo.com/imgp/250/198699/839665/armada-arv-86-skis-2022-.jpg</t>
  </si>
  <si>
    <t>M-Free 108</t>
  </si>
  <si>
    <t>https://images.evo.com/imgp/250/180346/710820/dynastar-m-free-108-skis-2022-.jpg</t>
  </si>
  <si>
    <t xml:space="preserve"> Laser SC Orea</t>
  </si>
  <si>
    <t xml:space="preserve"> Sight</t>
  </si>
  <si>
    <t>https://images.evo.com/imgp/250/201071/825172/k2-sight-skis-2022-.jpg</t>
  </si>
  <si>
    <t>M-Tour 99</t>
  </si>
  <si>
    <t>https://images.evo.com/imgp/250/185154/738410/clone.jpg</t>
  </si>
  <si>
    <t>Impulse 104</t>
  </si>
  <si>
    <t>https://images.evo.com/imgp/250/200507/836805/black-diamond-impulse-104-skis-2022-.jpg</t>
  </si>
  <si>
    <t>Black Pearl 88</t>
  </si>
  <si>
    <t>https://images.evo.com/imgp/250/176883/876087/blizzard-black-pearl-88-skis-women-s-.jpg</t>
  </si>
  <si>
    <t>Stormrider 95</t>
  </si>
  <si>
    <t>ARV 96</t>
  </si>
  <si>
    <t>https://images.evo.com/imgp/250/198700/839667/clone.jpg</t>
  </si>
  <si>
    <t xml:space="preserve"> Camox</t>
  </si>
  <si>
    <t>https://images.evo.com/imgp/250/181599/727231/black-crows-camox-skis-2022-.jpg</t>
  </si>
  <si>
    <t>MTN Explore 88</t>
  </si>
  <si>
    <t>https://images.evo.com/imgp/250/197285/812041/clone.jpg</t>
  </si>
  <si>
    <t>Reckoner 102</t>
  </si>
  <si>
    <t>https://images.evo.com/imgp/250/201066/825041/k2-reckoner-102-skis-2022-.jpg</t>
  </si>
  <si>
    <t>Ranger 99 Ti</t>
  </si>
  <si>
    <t>https://images.evo.com/imgp/250/209035/846569/fischer-ranger-99-ti-skis-2022-.jpg</t>
  </si>
  <si>
    <t>Dictator 2.0 X</t>
  </si>
  <si>
    <t>Stance 96</t>
  </si>
  <si>
    <t>https://images.evo.com/imgp/250/183472/737233/salomon-stance-96-skis-2022-.jpg</t>
  </si>
  <si>
    <t>Ripstick 94 W</t>
  </si>
  <si>
    <t>https://images.evo.com/imgp/250/181077/718564/elan-ripstick-94-w-skis-women-s-2022-.jpg</t>
  </si>
  <si>
    <t>Blacklight 88</t>
  </si>
  <si>
    <t>https://images.evo.com/imgp/250/208963/851016/dynafit-blacklight-88-skis-2022-.jpg</t>
  </si>
  <si>
    <t>Mindbender 99 Ti</t>
  </si>
  <si>
    <t xml:space="preserve"> Pescado</t>
  </si>
  <si>
    <t>https://images.evo.com/imgp/250/198432/817637/line-skis-pescado-skis-2022-.jpg</t>
  </si>
  <si>
    <t>V-Shape V4 XL</t>
  </si>
  <si>
    <t>QST Stella 106</t>
  </si>
  <si>
    <t>https://images.evo.com/imgp/250/197277/812056/salomon-qst-stella-106-skis-women-s-2022-.jpg</t>
  </si>
  <si>
    <t>Santa Ana 93</t>
  </si>
  <si>
    <t>https://images.evo.com/imgp/250/198265/792325/nordica-santa-ana-93-skis-women-s-2022-.jpg</t>
  </si>
  <si>
    <t xml:space="preserve"> Tom Wallisch Pro</t>
  </si>
  <si>
    <t>Blackops Alpineer 96</t>
  </si>
  <si>
    <t>Redster S7</t>
  </si>
  <si>
    <t>Experience 80 Carbon</t>
  </si>
  <si>
    <t xml:space="preserve"> Mantra V.Werks</t>
  </si>
  <si>
    <t>Prodigy 1.0</t>
  </si>
  <si>
    <t>Backland 86 SL</t>
  </si>
  <si>
    <t xml:space="preserve"> Edollo</t>
  </si>
  <si>
    <t>https://images.evo.com/imgp/250/198691/839655/armada-edollo-skis-2022-.jpg</t>
  </si>
  <si>
    <t>Mindbender 85</t>
  </si>
  <si>
    <t>https://images.evo.com/imgp/250/201044/824992/clone.jpg</t>
  </si>
  <si>
    <t xml:space="preserve"> Atris</t>
  </si>
  <si>
    <t>https://images.evo.com/imgp/250/181603/727242/black-crows-atris-skis-2022-.jpg</t>
  </si>
  <si>
    <t xml:space="preserve"> Blackops Blazer W</t>
  </si>
  <si>
    <t>QST 99</t>
  </si>
  <si>
    <t>Stance 88 W</t>
  </si>
  <si>
    <t>https://images.evo.com/imgp/250/183475/737708/salomon-stance-w-88-skis-women-s-2022-.jpg</t>
  </si>
  <si>
    <t>Experience 82 Ti W</t>
  </si>
  <si>
    <t>Blacklight 95</t>
  </si>
  <si>
    <t>https://images.evo.com/imgp/250/208965/851019/dynafit-blacklight-95-skis-2022-.jpg</t>
  </si>
  <si>
    <t>Pagoda Tour 90</t>
  </si>
  <si>
    <t>Rustler 10</t>
  </si>
  <si>
    <t>https://images.evo.com/imgp/250/216620/902901/blizzard-rustler-10-skis-2023-.jpg</t>
  </si>
  <si>
    <t>Agent 4.0</t>
  </si>
  <si>
    <t>https://images.evo.com/imgp/250/208656/839885/faction-agent-4-0-x-pow-collab-skis-2022-.jpg</t>
  </si>
  <si>
    <t xml:space="preserve"> Justis</t>
  </si>
  <si>
    <t>https://images.evo.com/imgp/250/181598/727237/clone.jpg</t>
  </si>
  <si>
    <t>Declivity 102 Ti</t>
  </si>
  <si>
    <t>https://images.evo.com/imgp/250/181505/736822/armada-declivity-102-ti-skis-2022-.jpg</t>
  </si>
  <si>
    <t>Rustler 11</t>
  </si>
  <si>
    <t>https://images.evo.com/imgp/250/216621/902900/blizzard-rustler-11-skis-2023-.jpg</t>
  </si>
  <si>
    <t xml:space="preserve"> J Skis</t>
  </si>
  <si>
    <t xml:space="preserve"> The Whipit</t>
  </si>
  <si>
    <t>Santa Ana 88</t>
  </si>
  <si>
    <t>https://images.evo.com/imgp/250/217385/882111/nordica-santa-ana-88-unlimited-skis-women-s-2023-.jpg</t>
  </si>
  <si>
    <t>M6 Mantra</t>
  </si>
  <si>
    <t>https://images.evo.com/imgp/250/201958/795901/volkl-m6-mantra-skis-2022-.jpg</t>
  </si>
  <si>
    <t>Soul Rider 87</t>
  </si>
  <si>
    <t xml:space="preserve"> The Slacker</t>
  </si>
  <si>
    <t xml:space="preserve"> Midnight</t>
  </si>
  <si>
    <t>Blacklight 80</t>
  </si>
  <si>
    <t>Sheeva 9</t>
  </si>
  <si>
    <t>https://images.evo.com/imgp/250/176892/722700/blizzard-sheeva-9-skis-women-s-2022-.jpg</t>
  </si>
  <si>
    <t>QST 98</t>
  </si>
  <si>
    <t>https://images.evo.com/imgp/250/197273/812057/salomon-qst-98-skis-2022-.jpg</t>
  </si>
  <si>
    <t>Revolt 87</t>
  </si>
  <si>
    <t>https://images.evo.com/imgp/250/183429/726980/volkl-revolt-87-skis-2022-.jpg</t>
  </si>
  <si>
    <t>Pandora 110</t>
  </si>
  <si>
    <t>https://images.evo.com/imgp/250/198429/817633/line-skis-pandora-110-skis-women-s-2022-.jpg</t>
  </si>
  <si>
    <t>Reckoner 92</t>
  </si>
  <si>
    <t>https://images.evo.com/imgp/250/201067/825046/k2-reckoner-92-skis-2022-.jpg</t>
  </si>
  <si>
    <t>Mindbender 85 Alliance</t>
  </si>
  <si>
    <t>https://images.evo.com/imgp/250/201051/825019/k2-mindbender-85-alliance-skis-women-s-2022-.jpg</t>
  </si>
  <si>
    <t>Disruption 78C</t>
  </si>
  <si>
    <t>https://images.evo.com/imgp/250/201028/826361/clone.jpg</t>
  </si>
  <si>
    <t>M-Pro 90 W</t>
  </si>
  <si>
    <t>https://images.evo.com/imgp/250/185156/736338/dynastar-m-pro-90-w-skis-women-s-2022-.jpg</t>
  </si>
  <si>
    <t>Cloud C9</t>
  </si>
  <si>
    <t>https://images.evo.com/imgp/250/183368/826768/clone.jpg</t>
  </si>
  <si>
    <t>Redster X7 WB</t>
  </si>
  <si>
    <t>Origin 106</t>
  </si>
  <si>
    <t>https://images.evo.com/imgp/250/208526/851446/liberty-origin-106-skis-2022-.jpg</t>
  </si>
  <si>
    <t>Origin 101</t>
  </si>
  <si>
    <t>https://images.evo.com/imgp/250/208525/851439/clone.jpg</t>
  </si>
  <si>
    <t>Stormrider 88</t>
  </si>
  <si>
    <t>https://images.evo.com/imgp/250/208925/874464/stockli-stormrider-88-skis-2022-.jpg</t>
  </si>
  <si>
    <t>Revolt 95</t>
  </si>
  <si>
    <t>https://images.evo.com/imgp/250/183426/726978/clone.jpg</t>
  </si>
  <si>
    <t>Superguide 95 W</t>
  </si>
  <si>
    <t xml:space="preserve"> Blackops Escaper</t>
  </si>
  <si>
    <t>React 6 Compact</t>
  </si>
  <si>
    <t>Wildcat 76</t>
  </si>
  <si>
    <t>M-Menace 90</t>
  </si>
  <si>
    <t xml:space="preserve"> Press</t>
  </si>
  <si>
    <t xml:space="preserve"> Captis</t>
  </si>
  <si>
    <t>https://images.evo.com/imgp/250/181600/727234/clone.jpg</t>
  </si>
  <si>
    <t xml:space="preserve"> Mindbender Team</t>
  </si>
  <si>
    <t>https://images.evo.com/imgp/250/182194/722426/k2-mindbender-team-jr-alpine-touring-ski-boots-2022-.jpg</t>
  </si>
  <si>
    <t>Riveter 95</t>
  </si>
  <si>
    <t>https://images.evo.com/imgp/250/208407/833106/clone.jpg</t>
  </si>
  <si>
    <t>Reliance 82 Ti</t>
  </si>
  <si>
    <t>Maverick 95 Ti</t>
  </si>
  <si>
    <t>https://images.evo.com/imgp/250/219394/902840/atomic-maverick-95-ti-skis-2023-.jpg</t>
  </si>
  <si>
    <t>Phoenix 7.2</t>
  </si>
  <si>
    <t>Pandora 104</t>
  </si>
  <si>
    <t>https://images.evo.com/imgp/250/198430/817631/line-skis-pandora-104-skis-women-s-2022-.jpg</t>
  </si>
  <si>
    <t>Hannibal 96</t>
  </si>
  <si>
    <t>https://images.evo.com/imgp/250/209040/846563/fischer-hannibal-96-carbon-skis-2022-.jpg</t>
  </si>
  <si>
    <t>Black Pearl 82</t>
  </si>
  <si>
    <t>https://images.evo.com/imgp/250/197473/825189/blizzard-black-pearl-82-skis-women-s-2022-.jpg</t>
  </si>
  <si>
    <t>https://images.evo.com/imgp/250/208557/851471/liberty-genesis-101-skis-women-s-2022-.jpg</t>
  </si>
  <si>
    <t xml:space="preserve"> Hero Elite Multi Turn Ca</t>
  </si>
  <si>
    <t>QST Lux 92</t>
  </si>
  <si>
    <t>https://images.evo.com/imgp/250/197279/812039/salomon-qst-lux-92-skis-women-s-2022-.jpg</t>
  </si>
  <si>
    <t>Blaze 86</t>
  </si>
  <si>
    <t>https://images.evo.com/imgp/250/208358/837604/clone.jpg</t>
  </si>
  <si>
    <t>Vantage 75</t>
  </si>
  <si>
    <t>Wingman 86 Ti</t>
  </si>
  <si>
    <t xml:space="preserve"> Blend</t>
  </si>
  <si>
    <t>https://images.evo.com/imgp/250/197209/792880/line-skis-blend-skis-2022-.jpg</t>
  </si>
  <si>
    <t>Brahma 88</t>
  </si>
  <si>
    <t xml:space="preserve"> The Allplay</t>
  </si>
  <si>
    <t>MSP 107</t>
  </si>
  <si>
    <t xml:space="preserve"> Blade</t>
  </si>
  <si>
    <t>https://images.evo.com/imgp/250/198423/817632/clone.jpg</t>
  </si>
  <si>
    <t>Ripstick 88</t>
  </si>
  <si>
    <t>https://images.evo.com/imgp/250/185141/744749/elan-ripstick-88-w-skis-women-s-2022-.jpg</t>
  </si>
  <si>
    <t xml:space="preserve"> Chronic</t>
  </si>
  <si>
    <t>https://images.evo.com/imgp/250/198439/824792/clone.jpg</t>
  </si>
  <si>
    <t xml:space="preserve"> Thunderbird Sport Ti</t>
  </si>
  <si>
    <t>https://images.evo.com/imgp/250/197468/825183/clone.jpg</t>
  </si>
  <si>
    <t xml:space="preserve"> Amphibio STI</t>
  </si>
  <si>
    <t xml:space="preserve"> Camox Birdie</t>
  </si>
  <si>
    <t>https://images.evo.com/imgp/250/181607/727257/black-crows-camox-birdie-skis-women-s-2022-.jpg</t>
  </si>
  <si>
    <t>Nela 88</t>
  </si>
  <si>
    <t>https://images.evo.com/imgp/250/208926/858180/clone.jpg</t>
  </si>
  <si>
    <t>Vantage 82 Ti</t>
  </si>
  <si>
    <t>Maven 86 C</t>
  </si>
  <si>
    <t>https://images.evo.com/imgp/250/197734/826797/clone.jpg</t>
  </si>
  <si>
    <t>M-Pro 84 W</t>
  </si>
  <si>
    <t>https://images.evo.com/imgp/250/198836/826149/dynastar-m-pro-84-w-skis-women-s-2022-.jpg</t>
  </si>
  <si>
    <t xml:space="preserve"> Flair SC Carbon</t>
  </si>
  <si>
    <t xml:space="preserve"> Blackops Sender Ti</t>
  </si>
  <si>
    <t xml:space="preserve"> Hero Elite Plus Ti</t>
  </si>
  <si>
    <t>Nomad 95</t>
  </si>
  <si>
    <t>https://images.evo.com/imgp/250/208393/833073/clone.jpg</t>
  </si>
  <si>
    <t>Rise Above 88</t>
  </si>
  <si>
    <t xml:space="preserve"> Outline</t>
  </si>
  <si>
    <t>Redster X5</t>
  </si>
  <si>
    <t>Amphibio 14 Ti</t>
  </si>
  <si>
    <t>M-Tour 87 Ca</t>
  </si>
  <si>
    <t>Experience 86 Basalt W</t>
  </si>
  <si>
    <t>https://images.evo.com/imgp/250/201421/837472/clone.jpg</t>
  </si>
  <si>
    <t>Dictator 1.0</t>
  </si>
  <si>
    <t>Prodigy 1.0 X</t>
  </si>
  <si>
    <t xml:space="preserve"> Atris Birdie</t>
  </si>
  <si>
    <t>https://images.evo.com/imgp/250/181605/727261/black-crows-atris-birdie-skis-women-s-2022-.jpg</t>
  </si>
  <si>
    <t>Declivity 82 Ti</t>
  </si>
  <si>
    <t>Trace 88</t>
  </si>
  <si>
    <t>Phoenix S R13 Ti</t>
  </si>
  <si>
    <t>Reckoner 92 Alliance</t>
  </si>
  <si>
    <t>https://images.evo.com/imgp/250/201069/825042/k2-reckoner-92-alliance-skis-women-s-2022-.jpg</t>
  </si>
  <si>
    <t>S/Max 8</t>
  </si>
  <si>
    <t>Prodigy 0.0</t>
  </si>
  <si>
    <t>React 2</t>
  </si>
  <si>
    <t>Deacon 80</t>
  </si>
  <si>
    <t xml:space="preserve"> Hero Elite Multi Turn Ti</t>
  </si>
  <si>
    <t>V-Shape V4</t>
  </si>
  <si>
    <t>Backland 107 W</t>
  </si>
  <si>
    <t>https://images.evo.com/imgp/250/169213/703425/clone.jpg</t>
  </si>
  <si>
    <t>Zero G 85</t>
  </si>
  <si>
    <t>Chinook 99</t>
  </si>
  <si>
    <t xml:space="preserve"> Seven Summits</t>
  </si>
  <si>
    <t>https://images.evo.com/imgp/250/183669/751830/clone.jpg</t>
  </si>
  <si>
    <t xml:space="preserve"> Spur</t>
  </si>
  <si>
    <t>https://images.evo.com/imgp/250/176886/722696/clone.jpg</t>
  </si>
  <si>
    <t xml:space="preserve"> Stranger</t>
  </si>
  <si>
    <t>https://images.evo.com/imgp/250/198689/839653/armada-stranger-skis-2022-.jpg</t>
  </si>
  <si>
    <t>Wingman 86 CTi</t>
  </si>
  <si>
    <t>Maverick 83</t>
  </si>
  <si>
    <t>https://images.evo.com/imgp/250/197826/826871/atomic-maverick-83-skis-m10-gw-bindings-2022-.jpg</t>
  </si>
  <si>
    <t>Dictator 3.0</t>
  </si>
  <si>
    <t>https://images.evo.com/imgp/250/181933/733510/faction-dictator-3-0-skis-2022-.jpg</t>
  </si>
  <si>
    <t>Wingman 78 Ti</t>
  </si>
  <si>
    <t>Enforcer 104 Free</t>
  </si>
  <si>
    <t>https://images.evo.com/imgp/250/198260/792330/clone.jpg</t>
  </si>
  <si>
    <t>Bent Chetler 120</t>
  </si>
  <si>
    <t>https://images.evo.com/imgp/250/219398/896896/atomic-bent-chetler-120-skis-2023-.jpg</t>
  </si>
  <si>
    <t>Pandora 94</t>
  </si>
  <si>
    <t>https://images.evo.com/imgp/250/197210/792887/line-skis-pandora-94-skis-women-s-2022-.jpg</t>
  </si>
  <si>
    <t>Insomnia 14 Ti</t>
  </si>
  <si>
    <t>Experience 82 Basalt W</t>
  </si>
  <si>
    <t>Kore 80 X</t>
  </si>
  <si>
    <t>Maven 86</t>
  </si>
  <si>
    <t>V-Shape V6</t>
  </si>
  <si>
    <t>https://images.evo.com/imgp/250/183613/724807/head-v-shape-v6-skis-pr-11-gw-bindings-2022-.jpg</t>
  </si>
  <si>
    <t>Oblivion 84</t>
  </si>
  <si>
    <t>https://images.evo.com/imgp/250/208283/832654/head-oblivion-84-skis-2023-.jpg</t>
  </si>
  <si>
    <t>Reckoner 122</t>
  </si>
  <si>
    <t>https://images.evo.com/imgp/250/182106/723849/k2-reckoner-122-skis-2021-.jpg</t>
  </si>
  <si>
    <t>Ripstick 116</t>
  </si>
  <si>
    <t>Experience 76</t>
  </si>
  <si>
    <t>https://images.evo.com/imgp/250/201408/832772/clone.jpg</t>
  </si>
  <si>
    <t>Experience 82 Ti</t>
  </si>
  <si>
    <t>Insomnia 16 Ti</t>
  </si>
  <si>
    <t>Cloud C11 WB</t>
  </si>
  <si>
    <t>Flair 75</t>
  </si>
  <si>
    <t xml:space="preserve"> Element</t>
  </si>
  <si>
    <t>Maverick 100 Ti</t>
  </si>
  <si>
    <t>https://images.evo.com/imgp/250/219680/902841/atomic-maverick-100-ti-skis-2023-.jpg</t>
  </si>
  <si>
    <t xml:space="preserve"> Blackops Smasher</t>
  </si>
  <si>
    <t>ARW 84</t>
  </si>
  <si>
    <t>https://images.evo.com/imgp/250/198711/839682/armada-arw-84-skis-girls-2022-.jpg</t>
  </si>
  <si>
    <t>Mindbender 106 C Alliance</t>
  </si>
  <si>
    <t>Chinook 108</t>
  </si>
  <si>
    <t>Flair 79</t>
  </si>
  <si>
    <t>Santa Ana 84</t>
  </si>
  <si>
    <t>Genesis 90</t>
  </si>
  <si>
    <t>Le Grizzly 99 W</t>
  </si>
  <si>
    <t>Speed 563</t>
  </si>
  <si>
    <t>Enforcer 100</t>
  </si>
  <si>
    <t>https://images.evo.com/imgp/250/198255/792329/clone.jpg</t>
  </si>
  <si>
    <t xml:space="preserve"> Mirus Cor</t>
  </si>
  <si>
    <t xml:space="preserve"> Supershape e-Speed</t>
  </si>
  <si>
    <t>V-Shape V10</t>
  </si>
  <si>
    <t>Vantage 79 Ti</t>
  </si>
  <si>
    <t>S/Force 80FX</t>
  </si>
  <si>
    <t>Camox Birdie</t>
  </si>
  <si>
    <t>Belle 73</t>
  </si>
  <si>
    <t xml:space="preserve"> Power Joy</t>
  </si>
  <si>
    <t xml:space="preserve"> The Metal</t>
  </si>
  <si>
    <t xml:space="preserve"> Dobermann SLR Rb</t>
  </si>
  <si>
    <t>Wild Belle 74</t>
  </si>
  <si>
    <t xml:space="preserve"> Bdog</t>
  </si>
  <si>
    <t>https://images.evo.com/imgp/250/162921/736809/armada-bdog-edgeless-skis-2022-.jpg</t>
  </si>
  <si>
    <t xml:space="preserve"> MSP CC</t>
  </si>
  <si>
    <t xml:space="preserve"> Hero Elite Short Turn Ti</t>
  </si>
  <si>
    <t>Revolt 104</t>
  </si>
  <si>
    <t>https://images.evo.com/imgp/250/183428/726981/volkl-revolt-104-skis-2022-.jpg</t>
  </si>
  <si>
    <t xml:space="preserve"> Pure Joy</t>
  </si>
  <si>
    <t xml:space="preserve"> The Masterblaster</t>
  </si>
  <si>
    <t>Hero Elite ST Ti (R22)</t>
  </si>
  <si>
    <t xml:space="preserve"> Real Joy</t>
  </si>
  <si>
    <t>Deacon 84</t>
  </si>
  <si>
    <t>Cochise 106</t>
  </si>
  <si>
    <t>Talkback 96</t>
  </si>
  <si>
    <t>https://images.evo.com/imgp/250/192583/886393/k2-talkback-96-skis-women-s-2022-.jpg</t>
  </si>
  <si>
    <t>Nova 14 Ti</t>
  </si>
  <si>
    <t>Maiden 91</t>
  </si>
  <si>
    <t>https://images.evo.com/imgp/250/208412/833121/icelantic-maiden-91-skis-women-s-2022-.jpg</t>
  </si>
  <si>
    <t xml:space="preserve"> Laser SL</t>
  </si>
  <si>
    <t xml:space="preserve"> The Hotshot</t>
  </si>
  <si>
    <t>Redster S9 Revo</t>
  </si>
  <si>
    <t>RC One 78 GT</t>
  </si>
  <si>
    <t>Experience 76 W</t>
  </si>
  <si>
    <t xml:space="preserve"> The Vacation</t>
  </si>
  <si>
    <t>Secret 92</t>
  </si>
  <si>
    <t xml:space="preserve"> Worldcup Rebels I.SLR</t>
  </si>
  <si>
    <t xml:space="preserve"> Blackops Gamer</t>
  </si>
  <si>
    <t>Wayback 88</t>
  </si>
  <si>
    <t>Nova 2</t>
  </si>
  <si>
    <t>https://images.evo.com/imgp/250/185226/741469/clone.jpg</t>
  </si>
  <si>
    <t>RC One 82 GT</t>
  </si>
  <si>
    <t xml:space="preserve"> Anima</t>
  </si>
  <si>
    <t>https://images.evo.com/imgp/250/181602/727247/clone.jpg</t>
  </si>
  <si>
    <t>Yumi 84</t>
  </si>
  <si>
    <t>https://images.evo.com/imgp/250/208364/837596/clone.jpg</t>
  </si>
  <si>
    <t xml:space="preserve"> Element W</t>
  </si>
  <si>
    <t>Blaze 94 W</t>
  </si>
  <si>
    <t>https://images.evo.com/imgp/250/208356/837603/clone.jpg</t>
  </si>
  <si>
    <t>Revolt 121</t>
  </si>
  <si>
    <t>https://images.evo.com/imgp/250/183427/726974/volkl-revolt-121-skis-2022-.jpg</t>
  </si>
  <si>
    <t xml:space="preserve"> Racetiger SL</t>
  </si>
  <si>
    <t>E Lite 7</t>
  </si>
  <si>
    <t xml:space="preserve"> Bent Chetler JR</t>
  </si>
  <si>
    <t>https://images.evo.com/imgp/250/197742/826815/atomic-bent-chetler-jr-skis-kids-2022-.jpg</t>
  </si>
  <si>
    <t>Kore 111</t>
  </si>
  <si>
    <t>https://images.evo.com/imgp/250/208269/832637/head-kore-111-skis-2022-.jpg</t>
  </si>
  <si>
    <t>Enforcer 94</t>
  </si>
  <si>
    <t>https://images.evo.com/imgp/250/198254/792323/nordica-enforcer-94-skis-2022-.jpg</t>
  </si>
  <si>
    <t>Spitfire 70 Pro</t>
  </si>
  <si>
    <t xml:space="preserve"> QST Blank</t>
  </si>
  <si>
    <t>https://images.evo.com/imgp/250/197270/802751/salomon-qst-blank-skis-2022-.jpg</t>
  </si>
  <si>
    <t>Bonafide 97</t>
  </si>
  <si>
    <t>https://images.evo.com/imgp/250/176879/722688/blizzard-bonafide-97-skis-2022-.jpg</t>
  </si>
  <si>
    <t>Zigzag 92</t>
  </si>
  <si>
    <t>Insomnia 12 C</t>
  </si>
  <si>
    <t>Spitfire 70 Ti</t>
  </si>
  <si>
    <t>Speed 763</t>
  </si>
  <si>
    <t xml:space="preserve"> Absolut Joy</t>
  </si>
  <si>
    <t>Redster S9 Servo</t>
  </si>
  <si>
    <t>Ripstick 106 Black Edition</t>
  </si>
  <si>
    <t>https://images.evo.com/imgp/250/198222/788813/clone.jpg</t>
  </si>
  <si>
    <t>Riveter 85</t>
  </si>
  <si>
    <t>https://images.evo.com/imgp/250/208409/833112/clone.jpg</t>
  </si>
  <si>
    <t xml:space="preserve"> Blackops Dreamer W</t>
  </si>
  <si>
    <t>Blaze 86 W</t>
  </si>
  <si>
    <t>Yumi 80</t>
  </si>
  <si>
    <t>Mindbender 90 C Alliance</t>
  </si>
  <si>
    <t>Enforcer 110 Free</t>
  </si>
  <si>
    <t>https://images.evo.com/imgp/250/198258/835767/nordica-enforcer-110-free-skis-2022-.jpg</t>
  </si>
  <si>
    <t>Wingman 82 CTi</t>
  </si>
  <si>
    <t>BMT109</t>
  </si>
  <si>
    <t>Nova 6</t>
  </si>
  <si>
    <t>Mantra 102</t>
  </si>
  <si>
    <t>https://images.evo.com/imgp/250/208360/837592/volkl-mantra-102-skis-2022-.jpg</t>
  </si>
  <si>
    <t>V-Shape V8</t>
  </si>
  <si>
    <t>M-Free 118</t>
  </si>
  <si>
    <t>https://images.evo.com/imgp/250/185153/736341/dynastar-m-free-118-skis-2022-.jpg</t>
  </si>
  <si>
    <t xml:space="preserve"> Snow Black</t>
  </si>
  <si>
    <t>Mantra M5</t>
  </si>
  <si>
    <t>Brahma 82</t>
  </si>
  <si>
    <t>https://images.evo.com/imgp/250/197472/825187/clone.jpg</t>
  </si>
  <si>
    <t xml:space="preserve"> Racetiger SC</t>
  </si>
  <si>
    <t>Pandora 84</t>
  </si>
  <si>
    <t>https://images.evo.com/imgp/250/198431/817635/line-skis-pandora-84-skis-women-s-2022-.jpg</t>
  </si>
  <si>
    <t>Ripstick 88 W</t>
  </si>
  <si>
    <t xml:space="preserve"> Le Condor Ti</t>
  </si>
  <si>
    <t>Belle 72 Ca</t>
  </si>
  <si>
    <t>Backland 98 W</t>
  </si>
  <si>
    <t>https://images.evo.com/imgp/250/197768/826858/atomic-backland-98-w-skis-women-s-2022-.jpg</t>
  </si>
  <si>
    <t xml:space="preserve"> Worldcup Rebels e-SL</t>
  </si>
  <si>
    <t xml:space="preserve"> Nightstick Team</t>
  </si>
  <si>
    <t xml:space="preserve"> Total Joy</t>
  </si>
  <si>
    <t>https://images.evo.com/imgp/250/190066/803373/clone.jpg</t>
  </si>
  <si>
    <t>Kore 117</t>
  </si>
  <si>
    <t>https://images.evo.com/imgp/250/208267/832638/head-kore-117-skis-2022-.jpg</t>
  </si>
  <si>
    <t xml:space="preserve"> Tantrum</t>
  </si>
  <si>
    <t>https://images.evo.com/imgp/250/198726/839693/armada-tantrum-skis-boys-2022-.jpg</t>
  </si>
  <si>
    <t>Declivity 108 Ti</t>
  </si>
  <si>
    <t>https://images.evo.com/imgp/250/198707/839677/clone.jpg</t>
  </si>
  <si>
    <t xml:space="preserve"> Super Joy</t>
  </si>
  <si>
    <t xml:space="preserve"> Bdog Edgeless</t>
  </si>
  <si>
    <t xml:space="preserve"> Honey Bee</t>
  </si>
  <si>
    <t>https://images.evo.com/imgp/250/198442/817649/clone.jpg</t>
  </si>
  <si>
    <t>Cloud C12 Servo</t>
  </si>
  <si>
    <t>Talkback 88</t>
  </si>
  <si>
    <t>Transalp 82</t>
  </si>
  <si>
    <t xml:space="preserve"> Disruption Mti Alliance</t>
  </si>
  <si>
    <t>https://images.evo.com/imgp/250/182215/728626/k2-disruption-mti-alliance-skis-erc-11-tcx-light-quikclik-bindings-women-s-2022-.jpg</t>
  </si>
  <si>
    <t xml:space="preserve"> SRC</t>
  </si>
  <si>
    <t>Thunderbird R13</t>
  </si>
  <si>
    <t xml:space="preserve"> Whitewalker</t>
  </si>
  <si>
    <t>https://images.evo.com/imgp/250/198688/839648/armada-whitewalker-skis-2022-.jpg</t>
  </si>
  <si>
    <t>Rise Beyond 96 W</t>
  </si>
  <si>
    <t>Rise Above 88 W</t>
  </si>
  <si>
    <t xml:space="preserve"> Laser AR</t>
  </si>
  <si>
    <t>Prodigy 0.0 X</t>
  </si>
  <si>
    <t xml:space="preserve"> Worldcup Rebels e-Race Pro</t>
  </si>
  <si>
    <t>Prodigy 2.0 Jr</t>
  </si>
  <si>
    <t>S/Force 80Ti</t>
  </si>
  <si>
    <t>Katana 108</t>
  </si>
  <si>
    <t>https://images.evo.com/imgp/250/208359/837590/volkl-katana-108-skis-2022-.jpg</t>
  </si>
  <si>
    <t>QST 85</t>
  </si>
  <si>
    <t>Blacklight 88 W</t>
  </si>
  <si>
    <t xml:space="preserve"> Corvus</t>
  </si>
  <si>
    <t>https://images.evo.com/imgp/250/181604/727248/clone.jpg</t>
  </si>
  <si>
    <t xml:space="preserve"> The Friend</t>
  </si>
  <si>
    <t>CT 2.0 Jr</t>
  </si>
  <si>
    <t xml:space="preserve"> Supershape e-Magnum</t>
  </si>
  <si>
    <t xml:space="preserve"> Hoji CC</t>
  </si>
  <si>
    <t xml:space="preserve"> Hero Elite Long Turn Ti</t>
  </si>
  <si>
    <t xml:space="preserve"> La Machine</t>
  </si>
  <si>
    <t>RC4 WC SC</t>
  </si>
  <si>
    <t xml:space="preserve"> Supershape e-Titan</t>
  </si>
  <si>
    <t>Hero Master M15 (R22)</t>
  </si>
  <si>
    <t xml:space="preserve"> Magic J</t>
  </si>
  <si>
    <t>https://images.evo.com/imgp/250/198692/839658/armada-magic-j-skis-2022-.jpg</t>
  </si>
  <si>
    <t>Thunderbird R15 WB</t>
  </si>
  <si>
    <t>MSP 99</t>
  </si>
  <si>
    <t>Prodigy 1.0 Jr</t>
  </si>
  <si>
    <t xml:space="preserve"> HRC</t>
  </si>
  <si>
    <t>Devastator</t>
  </si>
  <si>
    <t xml:space="preserve"> Ace SLX</t>
  </si>
  <si>
    <t xml:space="preserve"> Hoji</t>
  </si>
  <si>
    <t>Redster X9 WB Revo</t>
  </si>
  <si>
    <t>https://images.evo.com/imgp/250/197809/826883/atomic-redster-x9-wb-revo-skis-x-12-gw-bindings-2022-.jpg</t>
  </si>
  <si>
    <t>Superguide 88 W</t>
  </si>
  <si>
    <t>MTN Explore 88 W</t>
  </si>
  <si>
    <t>https://images.evo.com/imgp/250/197286/812038/salomon-mtn-explore-88-w-skis-women-s-2022-.jpg</t>
  </si>
  <si>
    <t>Katana V.Werks</t>
  </si>
  <si>
    <t>https://images.evo.com/imgp/250/183420/726707/volkl-katana-v-werks-skis-2022-.jpg</t>
  </si>
  <si>
    <t>S/Max 12</t>
  </si>
  <si>
    <t>Blackops Sender Ti</t>
  </si>
  <si>
    <t>Nocta</t>
  </si>
  <si>
    <t>https://images.evo.com/imgp/250/181601/727255/black-crows-nocta-skis-2022-.jpg</t>
  </si>
  <si>
    <t>Blackops Whizbanger</t>
  </si>
  <si>
    <t>Inthayne</t>
  </si>
  <si>
    <t>Le Nomade Ti</t>
  </si>
  <si>
    <t>CT 1.0 Jr</t>
  </si>
  <si>
    <t>https://images.evo.com/imgp/250/208627/839902/clone.jpg</t>
  </si>
  <si>
    <t>Disruption 82 Ti</t>
  </si>
  <si>
    <t>Hero Elite Long Turn Ti</t>
  </si>
  <si>
    <t>Enforcer 115 Free</t>
  </si>
  <si>
    <t>https://images.evo.com/imgp/250/198253/861086/nordica-enforcer-115-free-skis-2022-.jpg</t>
  </si>
  <si>
    <t>Hero Master M17 (R22)</t>
  </si>
  <si>
    <t>Disruption 78 Ti</t>
  </si>
  <si>
    <t xml:space="preserve"> Disruption Mti</t>
  </si>
  <si>
    <t xml:space="preserve"> Le Nomade Ti</t>
  </si>
  <si>
    <t>Hero Master M19 (R22)</t>
  </si>
  <si>
    <t>Spur</t>
  </si>
  <si>
    <t>Hero Master M21 (R22)</t>
  </si>
  <si>
    <t>M-Pro Pro Rider</t>
  </si>
  <si>
    <t>Summary</t>
  </si>
  <si>
    <t>Survey line</t>
  </si>
  <si>
    <t>Start Date</t>
  </si>
  <si>
    <t>End Date</t>
  </si>
  <si>
    <t>Response Type</t>
  </si>
  <si>
    <t>IP Address</t>
  </si>
  <si>
    <t>Progress</t>
  </si>
  <si>
    <t>Duration (in seconds)</t>
  </si>
  <si>
    <t>Finished</t>
  </si>
  <si>
    <t>Recorded Date</t>
  </si>
  <si>
    <t>Response ID</t>
  </si>
  <si>
    <t>Recipient Last Name</t>
  </si>
  <si>
    <t>Recipient First Name</t>
  </si>
  <si>
    <t>Recipient Email</t>
  </si>
  <si>
    <t>External Data Reference</t>
  </si>
  <si>
    <t>Location Latitude</t>
  </si>
  <si>
    <t>Location Longitude</t>
  </si>
  <si>
    <t>Distribution Channel</t>
  </si>
  <si>
    <t>User Language</t>
  </si>
  <si>
    <t>About yourself - Height</t>
  </si>
  <si>
    <t>About yourself - Weight (lbs)</t>
  </si>
  <si>
    <t>What are you looking for?</t>
  </si>
  <si>
    <t>Time on each run type This helps us identify your ideal ski geometry and mechanical properties - Groomers</t>
  </si>
  <si>
    <t>Time on each run type This helps us identify your ideal ski geometry and mechanical properties - Moguls</t>
  </si>
  <si>
    <t>Time on each run type This helps us identify your ideal ski geometry and mechanical properties - Trees</t>
  </si>
  <si>
    <t>Time on each run type This helps us identify your ideal ski geometry and mechanical properties - Powder</t>
  </si>
  <si>
    <t>Time on each run type This helps us identify your ideal ski geometry and mechanical properties - Park</t>
  </si>
  <si>
    <t>Speed versus maneuverability on groomers - Group</t>
  </si>
  <si>
    <t>Speed versus maneuverability on groomers</t>
  </si>
  <si>
    <t>Text</t>
  </si>
  <si>
    <t>Time by run difficulty - IM_eWMyQtWz4rCJnj8</t>
  </si>
  <si>
    <t>Time by run difficulty - IM_2aZzTj6El7gMR9Q</t>
  </si>
  <si>
    <t>Time by run difficulty - IM_efJNaG01ezcxTIW</t>
  </si>
  <si>
    <t>Time by run difficulty - IM_a33dip6GA1ZuyZ8</t>
  </si>
  <si>
    <t>Time by run difficulty - IM_1GnlrPaWwPd6NJI</t>
  </si>
  <si>
    <t>Will you ski backwards?
  This helps determine the tail type of your ski</t>
  </si>
  <si>
    <t>How often do you ride switch?</t>
  </si>
  <si>
    <t>Budget - Selected Choice</t>
  </si>
  <si>
    <t>Budget - Maximum budget, in $: - Text</t>
  </si>
  <si>
    <t>Do you care about how your skis look?
  Don't worry, this won't remove any matches. Just helps us find your perfect ski</t>
  </si>
  <si>
    <t>Desired theme and accent colors
select all</t>
  </si>
  <si>
    <t>Desired styles</t>
  </si>
  <si>
    <t>Where can we send your recommendation? - First name</t>
  </si>
  <si>
    <t>Where can we send your recommendation? - Email</t>
  </si>
  <si>
    <t>Where can we send your recommendation? - Phone number</t>
  </si>
  <si>
    <t>4/2/2022 15:44</t>
  </si>
  <si>
    <t>4/2/2022 15:47</t>
  </si>
  <si>
    <t>68.150.196.226</t>
  </si>
  <si>
    <t>R_1gRzApvthM6JvkY</t>
  </si>
  <si>
    <t>anonymous</t>
  </si>
  <si>
    <t>EN</t>
  </si>
  <si>
    <t>5' 4''</t>
  </si>
  <si>
    <t>1</t>
  </si>
  <si>
    <t>Sunshine Village</t>
  </si>
  <si>
    <t>2,3,4,5,7,6,10,9,8</t>
  </si>
  <si>
    <t>1,2,3</t>
  </si>
  <si>
    <t>Sky</t>
  </si>
  <si>
    <t>S.hateley695@gmail.com</t>
  </si>
  <si>
    <t>Inputs</t>
  </si>
  <si>
    <t>Input</t>
  </si>
  <si>
    <t>Assumption</t>
  </si>
  <si>
    <t>Physical</t>
  </si>
  <si>
    <t>Height</t>
  </si>
  <si>
    <t>Height, mod (ft)</t>
  </si>
  <si>
    <t>Height, mod (in)</t>
  </si>
  <si>
    <t>Height (cm)</t>
  </si>
  <si>
    <t xml:space="preserve">Min </t>
  </si>
  <si>
    <t>Max</t>
  </si>
  <si>
    <t>ND-min</t>
  </si>
  <si>
    <t>ND-max</t>
  </si>
  <si>
    <t>Non-dimensional</t>
  </si>
  <si>
    <t>Run type</t>
  </si>
  <si>
    <t>&lt;--seems like good "mogul" skis are diverse, and no one is doing perfect hard packed moguls, so this will vary</t>
  </si>
  <si>
    <t>&lt;--deprioritize and create "coming soon" in input survey explanation</t>
  </si>
  <si>
    <t>Non-groomer</t>
  </si>
  <si>
    <t>Skill level</t>
  </si>
  <si>
    <t>Input (raw)</t>
  </si>
  <si>
    <t>Relative input (%)</t>
  </si>
  <si>
    <t>Skill weight</t>
  </si>
  <si>
    <t>Easiest (green)</t>
  </si>
  <si>
    <t>Difficult (blue)</t>
  </si>
  <si>
    <t>More difficult (black)</t>
  </si>
  <si>
    <t>Most difficult (double)</t>
  </si>
  <si>
    <t>Note more emphasis put on doubles</t>
  </si>
  <si>
    <t>Freestyle</t>
  </si>
  <si>
    <t>Absolute</t>
  </si>
  <si>
    <t>Min</t>
  </si>
  <si>
    <t>Control</t>
  </si>
  <si>
    <t>Ski backwards</t>
  </si>
  <si>
    <t>Target</t>
  </si>
  <si>
    <t>Tier 1 properties</t>
  </si>
  <si>
    <t>Tier 1 Parameters (X)</t>
  </si>
  <si>
    <t>Properties</t>
  </si>
  <si>
    <t>Type</t>
  </si>
  <si>
    <t>Option 1</t>
  </si>
  <si>
    <t>Option 2</t>
  </si>
  <si>
    <t>OR</t>
  </si>
  <si>
    <t>Unisex</t>
  </si>
  <si>
    <t>Technical specifications</t>
  </si>
  <si>
    <t>Min (cm)</t>
  </si>
  <si>
    <t>Max (cm)</t>
  </si>
  <si>
    <t>Min (%)</t>
  </si>
  <si>
    <t>Max (%)</t>
  </si>
  <si>
    <t>Length</t>
  </si>
  <si>
    <t>n/a</t>
  </si>
  <si>
    <t>Skier height (ft'in")</t>
  </si>
  <si>
    <t>Skier height (cm)</t>
  </si>
  <si>
    <t>Suggested length range (cm)</t>
  </si>
  <si>
    <t>Min below height</t>
  </si>
  <si>
    <t>Max above height</t>
  </si>
  <si>
    <t>Min below height (%)</t>
  </si>
  <si>
    <t>Max above height (%)</t>
  </si>
  <si>
    <t>4'4"</t>
  </si>
  <si>
    <t>132&lt;</t>
  </si>
  <si>
    <t>115-130</t>
  </si>
  <si>
    <t>4'6"</t>
  </si>
  <si>
    <t>125-140</t>
  </si>
  <si>
    <t>4'8"</t>
  </si>
  <si>
    <t>130-145</t>
  </si>
  <si>
    <t>4'10"</t>
  </si>
  <si>
    <t>135-150</t>
  </si>
  <si>
    <t>5'</t>
  </si>
  <si>
    <t>140-155</t>
  </si>
  <si>
    <t>5'2"</t>
  </si>
  <si>
    <t>145-165</t>
  </si>
  <si>
    <t>5'4"</t>
  </si>
  <si>
    <t>150-170</t>
  </si>
  <si>
    <t>5'6"</t>
  </si>
  <si>
    <t>155-175</t>
  </si>
  <si>
    <t>5'8"</t>
  </si>
  <si>
    <t>160-180</t>
  </si>
  <si>
    <t>5'10"</t>
  </si>
  <si>
    <t>165-185</t>
  </si>
  <si>
    <t>6'</t>
  </si>
  <si>
    <t>170-190</t>
  </si>
  <si>
    <t>6'2"</t>
  </si>
  <si>
    <t>175-195</t>
  </si>
  <si>
    <t>6'4"</t>
  </si>
  <si>
    <t>180-200</t>
  </si>
  <si>
    <t>Max range</t>
  </si>
  <si>
    <t>Length range</t>
  </si>
  <si>
    <t>Minimum skill</t>
  </si>
  <si>
    <t>Choose range</t>
  </si>
  <si>
    <t>Note: Insight here is that although 100% is the max, it is very hard to get there for most resort skiers. Someone with 50% blues, 25% greens, and 25% blacks will be 26.67%</t>
  </si>
  <si>
    <t>Width (mm)</t>
  </si>
  <si>
    <t>70-85</t>
  </si>
  <si>
    <t>All mountain</t>
  </si>
  <si>
    <t>85-95</t>
  </si>
  <si>
    <t>All mountain freestyle</t>
  </si>
  <si>
    <t>95-109</t>
  </si>
  <si>
    <t>109-115</t>
  </si>
  <si>
    <t>Ultra-powder</t>
  </si>
  <si>
    <t>115-125+</t>
  </si>
  <si>
    <t>Parameter</t>
  </si>
  <si>
    <t>Test</t>
  </si>
  <si>
    <t>Input threshold</t>
  </si>
  <si>
    <t>Tier 1 test</t>
  </si>
  <si>
    <t>Last false</t>
  </si>
  <si>
    <t>Sum helper</t>
  </si>
  <si>
    <t>&lt;--somehow find the proper column and boil up</t>
  </si>
  <si>
    <t>Groomer</t>
  </si>
  <si>
    <t>Greater than</t>
  </si>
  <si>
    <t>Baseline facts about underfoot width</t>
  </si>
  <si>
    <t>You have to buy for the limiting cases (e.g., powder over groomer) that you will ski a sufficient portion of the time (&gt;10%)</t>
  </si>
  <si>
    <t>Powder &gt;10% merits a minimum of 96mm underfoot</t>
  </si>
  <si>
    <t xml:space="preserve">Powder &lt;50% merits not an ultra powder ski  </t>
  </si>
  <si>
    <t>Powder 50-60% merits a scaling of width</t>
  </si>
  <si>
    <t>Trees merits at least 88mm</t>
  </si>
  <si>
    <t>If non-groomers is greater than 35%, you want all mountain freestyle</t>
  </si>
  <si>
    <t>If non-groomers is greater than 8%, you want all mountain</t>
  </si>
  <si>
    <t>Tail Height</t>
  </si>
  <si>
    <t>Percentiles</t>
  </si>
  <si>
    <t>Statistical analysis</t>
  </si>
  <si>
    <t>Minimum threshold to ski backwards</t>
  </si>
  <si>
    <t>Note: This is a best guess. It does not apear easy to tell based on tail height alone if the ski can go backwards. Test with output</t>
  </si>
  <si>
    <t>Tier 2 properties</t>
  </si>
  <si>
    <t>Approach</t>
  </si>
  <si>
    <t>Technical specs used</t>
  </si>
  <si>
    <t xml:space="preserve">Turning radius </t>
  </si>
  <si>
    <t xml:space="preserve">Underfoot width </t>
  </si>
  <si>
    <t>Bending stiffness (break down between tip, middle, tail?)</t>
  </si>
  <si>
    <t>Torsional rigidity (break down between tip, middle, tail?)</t>
  </si>
  <si>
    <t>Ski mass</t>
  </si>
  <si>
    <t>Tip height / rocker?</t>
  </si>
  <si>
    <t>Tail height / rocker?</t>
  </si>
  <si>
    <t>Determine user's ideal/desired ski properties</t>
  </si>
  <si>
    <t>Determine ski's properties for that user's body</t>
  </si>
  <si>
    <t>Create match % based from delta between user and ski properties</t>
  </si>
  <si>
    <t>Future improvements</t>
  </si>
  <si>
    <t>Re-dimensionalize required parameters or multiply values to avoid dividing by near 0 numbers</t>
  </si>
  <si>
    <t>Add torsional rigidity to turning (somehow fit in carving/edgehold)</t>
  </si>
  <si>
    <t>Change how overal manueverability is calculated</t>
  </si>
  <si>
    <t>If you are going to score user input to run type on a relative basis, then ski properties also have to be relative (how?)</t>
  </si>
  <si>
    <t>Target (from inputs)</t>
  </si>
  <si>
    <t>Equation from tech specs</t>
  </si>
  <si>
    <t>Skill level*(speed vs. control)</t>
  </si>
  <si>
    <t>Bending stiffness/width^1/4</t>
  </si>
  <si>
    <t>Multiply all below</t>
  </si>
  <si>
    <t>User weight*skill level (display 1*weight)</t>
  </si>
  <si>
    <t>1/Weight (display 1*Weight)</t>
  </si>
  <si>
    <t>Trees*moguls*skill level + (1-skill level)*Groomers</t>
  </si>
  <si>
    <t>User weight/ski weight/running length*turn radius*camber</t>
  </si>
  <si>
    <t>Control input*skill level</t>
  </si>
  <si>
    <t>running length*torsional rigidity</t>
  </si>
  <si>
    <t>Cost (also cost/MSRP)</t>
  </si>
  <si>
    <t>Cost input</t>
  </si>
  <si>
    <t>Online cost</t>
  </si>
  <si>
    <t>Coming soon!</t>
  </si>
  <si>
    <t>Image processing analysis (Dhruva/Rajas)</t>
  </si>
  <si>
    <t>%Groomers</t>
  </si>
  <si>
    <t>Effective edge*torsional rigidity*turning radius/width^1/2</t>
  </si>
  <si>
    <t>%Moguls</t>
  </si>
  <si>
    <t>Weight*bending stiffness*camber/width/turn radius</t>
  </si>
  <si>
    <t>%Trees</t>
  </si>
  <si>
    <t>Effective edge/tail height/tail rocker/tip rocker/mass</t>
  </si>
  <si>
    <t>%Powder</t>
  </si>
  <si>
    <t>Width*tip rocker*tail rocker/camber</t>
  </si>
  <si>
    <t>%Park</t>
  </si>
  <si>
    <t>1/bending stiffness/weight*tailheight</t>
  </si>
  <si>
    <t xml:space="preserve">Analysis </t>
  </si>
  <si>
    <t>User properties</t>
  </si>
  <si>
    <t>Ski properties</t>
  </si>
  <si>
    <t>ND</t>
  </si>
  <si>
    <t>Display, ND</t>
  </si>
  <si>
    <t xml:space="preserve">Accepted Min </t>
  </si>
  <si>
    <t>Accepted Max</t>
  </si>
  <si>
    <t>see input</t>
  </si>
  <si>
    <t>Outlier percentile</t>
  </si>
  <si>
    <t xml:space="preserve">Parameter </t>
  </si>
  <si>
    <t>Min*</t>
  </si>
  <si>
    <t>*The min is used to remove automatically existing value</t>
  </si>
  <si>
    <t>More functionality: Change percentile toggle by row (so you can take 0 and 100% where you want pure min/max)</t>
  </si>
  <si>
    <t>Waist width</t>
  </si>
  <si>
    <t>Data</t>
  </si>
  <si>
    <t>Nominal Length (cm)2</t>
  </si>
  <si>
    <t>Category</t>
  </si>
  <si>
    <t>Column3</t>
  </si>
  <si>
    <t>Column4</t>
  </si>
  <si>
    <t>Column5</t>
  </si>
  <si>
    <t>4FRNT</t>
  </si>
  <si>
    <t xml:space="preserve"> Devastator</t>
  </si>
  <si>
    <t xml:space="preserve"> Inthayne</t>
  </si>
  <si>
    <t xml:space="preserve"> None</t>
  </si>
  <si>
    <t xml:space="preserve"> Nocta</t>
  </si>
  <si>
    <t xml:space="preserve"> M-Pro Pro Rider</t>
  </si>
  <si>
    <t xml:space="preserve"> Voyager</t>
  </si>
  <si>
    <t xml:space="preserve"> Worldcup Rebels e-Speed Pro</t>
  </si>
  <si>
    <t>K2</t>
  </si>
  <si>
    <t xml:space="preserve"> Blackops Whizbanger</t>
  </si>
  <si>
    <t xml:space="preserve"> Katana V.Werks</t>
  </si>
  <si>
    <t>Nominal Length (cm).1</t>
  </si>
  <si>
    <t>Unnamed: 31</t>
  </si>
  <si>
    <t>Title1</t>
  </si>
  <si>
    <t>Sellername1</t>
  </si>
  <si>
    <t>Price1</t>
  </si>
  <si>
    <t>Link1</t>
  </si>
  <si>
    <t>Title2</t>
  </si>
  <si>
    <t>Sellername2</t>
  </si>
  <si>
    <t>Price2</t>
  </si>
  <si>
    <t>Link2</t>
  </si>
  <si>
    <t>Title3</t>
  </si>
  <si>
    <t>Sellername3</t>
  </si>
  <si>
    <t>Price3</t>
  </si>
  <si>
    <t>Link3</t>
  </si>
  <si>
    <t>Model_clean</t>
  </si>
  <si>
    <t>Atomic Vantage 75 C Skis w/ M 10 GW Bindings</t>
  </si>
  <si>
    <t>The-House.com</t>
  </si>
  <si>
    <t>https://tinyurl.com/y7u52u6u</t>
  </si>
  <si>
    <t>SkiEssentials.com</t>
  </si>
  <si>
    <t>https://tinyurl.com/y7fj2wle</t>
  </si>
  <si>
    <t>Spoke-N-Sport</t>
  </si>
  <si>
    <t>https://tinyurl.com/yabonsc2</t>
  </si>
  <si>
    <t>Gorham Bike and Ski</t>
  </si>
  <si>
    <t>https://tinyurl.com/y9p9bu8z</t>
  </si>
  <si>
    <t>2022 Atomic Women's Vantage 75 C Demo Skis w/ M 10 GW Demo Bindings - 140| Ski Essentials</t>
  </si>
  <si>
    <t>https://tinyurl.com/yae4sa39</t>
  </si>
  <si>
    <t>https://tinyurl.com/y76d8fbz</t>
  </si>
  <si>
    <t>Elan Ace SLX Blue-Green 164 Ski Lady's Men</t>
  </si>
  <si>
    <t>! OutdoorXL.com</t>
  </si>
  <si>
    <t>https://tinyurl.com/ybc7gwze</t>
  </si>
  <si>
    <t>Elan Voyager 21/22</t>
  </si>
  <si>
    <t>Snowcountry.eu</t>
  </si>
  <si>
    <t>https://tinyurl.com/y7q7zaaw</t>
  </si>
  <si>
    <t>Elan Voyager Ski Bag Package Black-Green 166 Ski Men</t>
  </si>
  <si>
    <t>https://tinyurl.com/yacvvfcv</t>
  </si>
  <si>
    <t>Elan Wingman 86 Ti Skis 2022</t>
  </si>
  <si>
    <t>https://tinyurl.com/yac3lp7w</t>
  </si>
  <si>
    <t>Head Kore 105 Skis Â· 2022</t>
  </si>
  <si>
    <t>https://tinyurl.com/yabtjb6o</t>
  </si>
  <si>
    <t>https://tinyurl.com/ycopktyv</t>
  </si>
  <si>
    <t>Head Kore 105 Anth/Ge / 191cm</t>
  </si>
  <si>
    <t>Sundance Ski and Board Shop</t>
  </si>
  <si>
    <t>https://tinyurl.com/y72shv7z</t>
  </si>
  <si>
    <t>Head Worldcup Rebels eSPEED Pro Skis 2021</t>
  </si>
  <si>
    <t>eBay - gloliquidation</t>
  </si>
  <si>
    <t>https://tinyurl.com/y8fy9bdl</t>
  </si>
  <si>
    <t>Head WC Rebels e-Speed SW Pro RP WCR14 Yellow Black / 180cm</t>
  </si>
  <si>
    <t>https://tinyurl.com/yb5s2j67</t>
  </si>
  <si>
    <t>Suburban Ski and Bike</t>
  </si>
  <si>
    <t>https://tinyurl.com/yafu7259</t>
  </si>
  <si>
    <t>Rossignol Experience 86 Ti Black 167 Ski Men</t>
  </si>
  <si>
    <t>https://tinyurl.com/y7k98py8</t>
  </si>
  <si>
    <t>2022 Rossignol Experience 86 Ti Demo Skis w/ Look SPX 14 GW Demo Bindings - 167| Ski Essentials</t>
  </si>
  <si>
    <t>https://tinyurl.com/y84e4qyl</t>
  </si>
  <si>
    <t>Rossignol Experience 86 Ti Skis 167cm 2022</t>
  </si>
  <si>
    <t>Aspen Ski and Board</t>
  </si>
  <si>
    <t>https://tinyurl.com/y8h9zaa6</t>
  </si>
  <si>
    <t>Salomon Qst Lumen 99 Skis 2021 &amp; Warden 11 Bindings 167cm Womens</t>
  </si>
  <si>
    <t>eBay - suburbansports</t>
  </si>
  <si>
    <t>https://tinyurl.com/yaghz5cw</t>
  </si>
  <si>
    <t>Salomon QST Lumen 99 Skis - Women's 2022</t>
  </si>
  <si>
    <t>evo.com</t>
  </si>
  <si>
    <t>https://tinyurl.com/y8k55cee</t>
  </si>
  <si>
    <t>Curated</t>
  </si>
  <si>
    <t>https://tinyurl.com/yay38hmh</t>
  </si>
  <si>
    <t>Salomon Stance 102 Skis</t>
  </si>
  <si>
    <t>eBay - asogear</t>
  </si>
  <si>
    <t>https://tinyurl.com/y8rryby3</t>
  </si>
  <si>
    <t>Salomon Stance 102 Skis 2020-2021 | BLACK / 176</t>
  </si>
  <si>
    <t>Ski Pro  - Snow Ski &amp; Snowboard</t>
  </si>
  <si>
    <t>https://tinyurl.com/y8w3grpv</t>
  </si>
  <si>
    <t>https://tinyurl.com/y9rd6wov</t>
  </si>
  <si>
    <t>Salomon STANCE 102 Black Grey / 183cm</t>
  </si>
  <si>
    <t>https://tinyurl.com/y9gg45ws</t>
  </si>
  <si>
    <t>Salomon Stance 102 Skis 2020-2021 | BLACK / 183</t>
  </si>
  <si>
    <t>https://tinyurl.com/y7xggw34</t>
  </si>
  <si>
    <t>'21 Salomon Stance 102 Skis 183cm</t>
  </si>
  <si>
    <t>Al's Ski Equipment Barn</t>
  </si>
  <si>
    <t>https://tinyurl.com/y8npa4fp</t>
  </si>
  <si>
    <t>Erik's Bike, Board and Ski</t>
  </si>
  <si>
    <t>https://tinyurl.com/y7r9n4qe</t>
  </si>
  <si>
    <t>Backcountry.com</t>
  </si>
  <si>
    <t>https://tinyurl.com/y7wefbn8</t>
  </si>
  <si>
    <t>https://tinyurl.com/yaxad2et</t>
  </si>
  <si>
    <t>Scott Scrapper 95 Skis - Women's 2021 - Sample</t>
  </si>
  <si>
    <t>Next Adventure</t>
  </si>
  <si>
    <t>https://tinyurl.com/yarfvofk</t>
  </si>
  <si>
    <t>Scott Ski Scrapper 95 W's - 160</t>
  </si>
  <si>
    <t>eXXpozed.com</t>
  </si>
  <si>
    <t>https://tinyurl.com/ycxugxd7</t>
  </si>
  <si>
    <t>Scott Women's Scrapper 95 Skis Â· 160 cm</t>
  </si>
  <si>
    <t>https://tinyurl.com/ycyppnz6</t>
  </si>
  <si>
    <t>Scott Sports W's Scrapper 95 Womens Skis - Multicolour</t>
  </si>
  <si>
    <t>Surfdome US</t>
  </si>
  <si>
    <t>https://tinyurl.com/y797pytx</t>
  </si>
  <si>
    <t>eBay - extremepiestores</t>
  </si>
  <si>
    <t>https://tinyurl.com/yc2s4rod</t>
  </si>
  <si>
    <t>https://tinyurl.com/y9dwxeax</t>
  </si>
  <si>
    <t>Armada ARV 116 Jj UL Skis 2022 - 165</t>
  </si>
  <si>
    <t>Blue Tomato</t>
  </si>
  <si>
    <t>https://tinyurl.com/yceonvas</t>
  </si>
  <si>
    <t>Armada ARW 116 VJJ UL Skis - Women's 2022</t>
  </si>
  <si>
    <t>PRFO Sports</t>
  </si>
  <si>
    <t>https://tinyurl.com/yacjbmbp</t>
  </si>
  <si>
    <t>https://tinyurl.com/y84s2bdc</t>
  </si>
  <si>
    <t>Armada ARV 116 Jj UL Skis 2022</t>
  </si>
  <si>
    <t>https://tinyurl.com/ybfcknl8</t>
  </si>
  <si>
    <t>https://tinyurl.com/y7bu5ssy</t>
  </si>
  <si>
    <t>Powder7 Ski Shop</t>
  </si>
  <si>
    <t>https://tinyurl.com/y7zbckwa</t>
  </si>
  <si>
    <t>https://tinyurl.com/y8h28jz6</t>
  </si>
  <si>
    <t>https://tinyurl.com/y7rs8t92</t>
  </si>
  <si>
    <t>https://tinyurl.com/ycyothm5</t>
  </si>
  <si>
    <t>Armada Arv 106 Size 172</t>
  </si>
  <si>
    <t>eBay</t>
  </si>
  <si>
    <t>https://tinyurl.com/y8md7yk7</t>
  </si>
  <si>
    <t>Armada ARV 106 Skis 2022</t>
  </si>
  <si>
    <t>REI</t>
  </si>
  <si>
    <t>https://tinyurl.com/y9eqdvzv</t>
  </si>
  <si>
    <t>Level Nine Sports</t>
  </si>
  <si>
    <t>https://tinyurl.com/yaom4y3e</t>
  </si>
  <si>
    <t>'21 Armada ARV 116 JJ Skis 192cm</t>
  </si>
  <si>
    <t>https://tinyurl.com/ya67bse2</t>
  </si>
  <si>
    <t>Armada ARV 116 Jj Skis Â· 2021 Â· 192 cm</t>
  </si>
  <si>
    <t>https://tinyurl.com/y8x6lupk</t>
  </si>
  <si>
    <t>Armada ARV JJ 116 Skis - Men's - 2022 192 cm</t>
  </si>
  <si>
    <t>Arlberg Ski &amp; Surf Shops</t>
  </si>
  <si>
    <t>https://tinyurl.com/yao7hjje</t>
  </si>
  <si>
    <t xml:space="preserve">Armada ARV 106 W/ Armada Warden Bindings Grey/ Orange / 180 / </t>
  </si>
  <si>
    <t>Lone Pine Gear Exchange</t>
  </si>
  <si>
    <t>https://tinyurl.com/ybdknzxp</t>
  </si>
  <si>
    <t>sunandski.com</t>
  </si>
  <si>
    <t>https://tinyurl.com/yb46frc3</t>
  </si>
  <si>
    <t>https://tinyurl.com/yaqtvdzf</t>
  </si>
  <si>
    <t>4frnt Raven 184cm Snow Skis 4-lock All Mountain Touring No Bindings</t>
  </si>
  <si>
    <t>eBay - ecornholebag</t>
  </si>
  <si>
    <t>https://tinyurl.com/y9t34gtk</t>
  </si>
  <si>
    <t>Armada ARV 84 Ski 2022 - 157</t>
  </si>
  <si>
    <t>UtahSkis</t>
  </si>
  <si>
    <t>https://tinyurl.com/yd2z9qdt</t>
  </si>
  <si>
    <t>Armada Arv 84 Skis 2022 157cm</t>
  </si>
  <si>
    <t>https://tinyurl.com/y7gl7r3t</t>
  </si>
  <si>
    <t xml:space="preserve">Aspen East </t>
  </si>
  <si>
    <t>https://tinyurl.com/y89cyskw</t>
  </si>
  <si>
    <t>Armada ARV 84 Ski 2022 - 150</t>
  </si>
  <si>
    <t>https://tinyurl.com/y9w5rx23</t>
  </si>
  <si>
    <t>Steep &amp; Cheap</t>
  </si>
  <si>
    <t>https://tinyurl.com/ya3f9gqv</t>
  </si>
  <si>
    <t>https://tinyurl.com/yawk9buu</t>
  </si>
  <si>
    <t>Armada 2022 ARV 84 Ski 143</t>
  </si>
  <si>
    <t>https://tinyurl.com/yad74cxw</t>
  </si>
  <si>
    <t>Armada - ARV 84 - 143 Short Blue</t>
  </si>
  <si>
    <t>https://tinyurl.com/ycujnrm9</t>
  </si>
  <si>
    <t>https://tinyurl.com/ycderqlt</t>
  </si>
  <si>
    <t>Armada ARV 106 Skis - 2021</t>
  </si>
  <si>
    <t>https://tinyurl.com/yc3hmt5m</t>
  </si>
  <si>
    <t>Armada ARV 106 Skis</t>
  </si>
  <si>
    <t>Cole Sport</t>
  </si>
  <si>
    <t>https://tinyurl.com/ycn8fxkw</t>
  </si>
  <si>
    <t>Armada ARV 106 Flat Ski 2020-2021 | GREY/BLUE / 188</t>
  </si>
  <si>
    <t>https://tinyurl.com/y8el7vuv</t>
  </si>
  <si>
    <t>https://tinyurl.com/y82vo9co</t>
  </si>
  <si>
    <t>Scott Sports Ski Slight 93 Set M11 Mens Skis - Multicolour</t>
  </si>
  <si>
    <t>Bobleisure</t>
  </si>
  <si>
    <t>https://tinyurl.com/yc3eg3o6</t>
  </si>
  <si>
    <t>https://tinyurl.com/y7fqr9rv</t>
  </si>
  <si>
    <t>Scott Slight 93 Skis Â· 180 cm</t>
  </si>
  <si>
    <t>https://tinyurl.com/ycpnqdzp</t>
  </si>
  <si>
    <t>Atomic Backland 107</t>
  </si>
  <si>
    <t>https://tinyurl.com/y7kx3y5a</t>
  </si>
  <si>
    <t>https://tinyurl.com/y8z2onkf</t>
  </si>
  <si>
    <t>Skimo &amp; SkyRun</t>
  </si>
  <si>
    <t>https://tinyurl.com/y74wv8hb</t>
  </si>
  <si>
    <t xml:space="preserve"> Head Kore 93 Attack 11 162 Cm Downhill Ski Mens Combo</t>
  </si>
  <si>
    <t>SidelineSwap</t>
  </si>
  <si>
    <t>https://tinyurl.com/ychagddt</t>
  </si>
  <si>
    <t>Head Kore 93 Skis</t>
  </si>
  <si>
    <t>https://tinyurl.com/y9o8e6op</t>
  </si>
  <si>
    <t>https://tinyurl.com/y7vveggr</t>
  </si>
  <si>
    <t>Dynastar M-Pro 90 Skis 2022</t>
  </si>
  <si>
    <t>https://tinyurl.com/y9rxgzbt</t>
  </si>
  <si>
    <t>Dynastar M-PRO 90 178cm</t>
  </si>
  <si>
    <t>https://tinyurl.com/ycyopta9</t>
  </si>
  <si>
    <t>https://tinyurl.com/y88g6umk</t>
  </si>
  <si>
    <t>Faction Agent 2.0 Skis</t>
  </si>
  <si>
    <t>https://tinyurl.com/y7gqsrfn</t>
  </si>
  <si>
    <t>Telemark Pyrenees</t>
  </si>
  <si>
    <t>https://tinyurl.com/y958hty9</t>
  </si>
  <si>
    <t>Faction Agent 2.0 21/22</t>
  </si>
  <si>
    <t>https://tinyurl.com/y8gdyg6z</t>
  </si>
  <si>
    <t>Line Vision 98 Skis 2022</t>
  </si>
  <si>
    <t>https://tinyurl.com/y97plko4</t>
  </si>
  <si>
    <t>https://tinyurl.com/y79fkxed</t>
  </si>
  <si>
    <t>https://tinyurl.com/yb57dhst</t>
  </si>
  <si>
    <t>Dynastar M-Pro 99 W Skis Women's 2022 - 170</t>
  </si>
  <si>
    <t>https://tinyurl.com/ycv22qne</t>
  </si>
  <si>
    <t>https://tinyurl.com/yddgcedt</t>
  </si>
  <si>
    <t>https://tinyurl.com/y9p4k2pp</t>
  </si>
  <si>
    <t xml:space="preserve"> Stï¿½ckli</t>
  </si>
  <si>
    <t>Stockli Edge 88 Skis 2020/2021</t>
  </si>
  <si>
    <t>https://tinyurl.com/y9zs8qg5</t>
  </si>
  <si>
    <t>Stockli Edge 88 Skis 2023 174</t>
  </si>
  <si>
    <t>Ski Depot RaceSkis.com</t>
  </si>
  <si>
    <t>https://tinyurl.com/yd8kxdss</t>
  </si>
  <si>
    <t>2022 Liberty Evolv 100 Skis - 172| Ski Essentials</t>
  </si>
  <si>
    <t>https://tinyurl.com/ybmv9tqe</t>
  </si>
  <si>
    <t>Evolv 100 172</t>
  </si>
  <si>
    <t>Liberty Skis</t>
  </si>
  <si>
    <t>https://tinyurl.com/y7pftw2x</t>
  </si>
  <si>
    <t>2021 Liberty Evolv100 Skis W/ Marker 11.0 Tp Bindings 172 Cm</t>
  </si>
  <si>
    <t>https://tinyurl.com/yaggpksr</t>
  </si>
  <si>
    <t>DPS Pagoda Tour 94 C2 Skis Â· 178 cm</t>
  </si>
  <si>
    <t>https://tinyurl.com/ya2mhmv6</t>
  </si>
  <si>
    <t>https://tinyurl.com/yc7dq2c6</t>
  </si>
  <si>
    <t>https://tinyurl.com/y9rhohgw</t>
  </si>
  <si>
    <t>Armada ARW 106 UL Skis - Women's 2022</t>
  </si>
  <si>
    <t>https://tinyurl.com/y8j3q2g4</t>
  </si>
  <si>
    <t>https://tinyurl.com/y7yhemju</t>
  </si>
  <si>
    <t>https://tinyurl.com/y8rmo2wr</t>
  </si>
  <si>
    <t>DPS Pagoda Tour 100 RP 179cm</t>
  </si>
  <si>
    <t>https://tinyurl.com/y9eecdb5</t>
  </si>
  <si>
    <t>https://tinyurl.com/ydemnszo</t>
  </si>
  <si>
    <t>https://tinyurl.com/ycy5pzd4</t>
  </si>
  <si>
    <t>Head Kore 91 W Testski's Incl Attack 11 GW binding Anthracite-Mint 170 Ski Lady's Ladies / Women</t>
  </si>
  <si>
    <t>https://tinyurl.com/y7sm45ok</t>
  </si>
  <si>
    <t>Head Kore 91 W Skis - Women's 2022</t>
  </si>
  <si>
    <t>https://tinyurl.com/ycmnlqmg</t>
  </si>
  <si>
    <t>https://tinyurl.com/yaamtvw8</t>
  </si>
  <si>
    <t>Faction Prodigy 3.0 Skis 2022 - 184</t>
  </si>
  <si>
    <t>https://tinyurl.com/y9vgcjwn</t>
  </si>
  <si>
    <t>https://tinyurl.com/yasurxb4</t>
  </si>
  <si>
    <t>https://tinyurl.com/yawbwqvx</t>
  </si>
  <si>
    <t xml:space="preserve"> Vï¿½lkl</t>
  </si>
  <si>
    <t>VOLKL KANJO 84 21</t>
  </si>
  <si>
    <t>Vertical Drop</t>
  </si>
  <si>
    <t>https://tinyurl.com/yc4rmm6h</t>
  </si>
  <si>
    <t>Volkl Kanjo 84 Skis</t>
  </si>
  <si>
    <t>AlpineShopVT.com</t>
  </si>
  <si>
    <t>https://tinyurl.com/ybuz66u9</t>
  </si>
  <si>
    <t>BobsSportsChalet.com</t>
  </si>
  <si>
    <t>https://tinyurl.com/y7vqbnvd</t>
  </si>
  <si>
    <t>2020 Scott Scrapper 105 Women's Skis w/ Tyrolia Attack2 14 GW Bindings - 175| Ski Essentials</t>
  </si>
  <si>
    <t>eBay - david110549</t>
  </si>
  <si>
    <t>https://tinyurl.com/y8jal6qk</t>
  </si>
  <si>
    <t>https://tinyurl.com/ycjbu7wv</t>
  </si>
  <si>
    <t>Scott Scrapper 105 Skis 2022 - 175</t>
  </si>
  <si>
    <t>AlpinStore</t>
  </si>
  <si>
    <t>https://tinyurl.com/y7esz3w8</t>
  </si>
  <si>
    <t>Head Kore 97 W Incl Attack 12 GW Binding Anthracite-Green 156 Ski Lady's Ladies / Women</t>
  </si>
  <si>
    <t>https://tinyurl.com/yaslw7hr</t>
  </si>
  <si>
    <t>Head Women's Kore 97 W Skis Green 156 Cm</t>
  </si>
  <si>
    <t>https://tinyurl.com/y8vvwaxu</t>
  </si>
  <si>
    <t>2022 Head Kore 97 W Ladies' Snow Skis 156</t>
  </si>
  <si>
    <t>The Pro Shop</t>
  </si>
  <si>
    <t>https://tinyurl.com/y728wchx</t>
  </si>
  <si>
    <t>Armada Women's ARW 86 Skis 170 cm</t>
  </si>
  <si>
    <t>https://tinyurl.com/yc939x2b</t>
  </si>
  <si>
    <t>https://tinyurl.com/ybblrjnu</t>
  </si>
  <si>
    <t>BlueZone Sports</t>
  </si>
  <si>
    <t>https://tinyurl.com/ycyckmnk</t>
  </si>
  <si>
    <t>Skis Black Crows Navis Freebird</t>
  </si>
  <si>
    <t>Ascent Outdoors</t>
  </si>
  <si>
    <t>https://tinyurl.com/y8rqumm7</t>
  </si>
  <si>
    <t>https://tinyurl.com/ybwzgztz</t>
  </si>
  <si>
    <t>https://tinyurl.com/yackbgjm</t>
  </si>
  <si>
    <t>Head Kore 99 Skis</t>
  </si>
  <si>
    <t>https://tinyurl.com/yag2s2h3</t>
  </si>
  <si>
    <t>https://tinyurl.com/y8g27yue</t>
  </si>
  <si>
    <t>Head Kore 99 + Attack 14 GW Alpine Skis 163</t>
  </si>
  <si>
    <t>https://tinyurl.com/ybx7o3hg</t>
  </si>
  <si>
    <t>Faction Ct Candide 3.0 x Skis</t>
  </si>
  <si>
    <t>https://tinyurl.com/y8ofsx4v</t>
  </si>
  <si>
    <t>Faction Prodigy 3.0 Skis 2022 - 178</t>
  </si>
  <si>
    <t>https://tinyurl.com/ydemywdf</t>
  </si>
  <si>
    <t>Faction Women's Candide 3.0 x Skis Black 178 cm</t>
  </si>
  <si>
    <t>https://tinyurl.com/y89ts2jf</t>
  </si>
  <si>
    <t>Head Kore 105 Skis</t>
  </si>
  <si>
    <t>https://tinyurl.com/yb4mgmzh</t>
  </si>
  <si>
    <t>Head Kore 105 Anth/Ge / 170cm</t>
  </si>
  <si>
    <t>https://tinyurl.com/ya86xhx5</t>
  </si>
  <si>
    <t>https://tinyurl.com/y7glbffp</t>
  </si>
  <si>
    <t>Armada Reliance 88 C Skis</t>
  </si>
  <si>
    <t>https://tinyurl.com/y8e8w3wd</t>
  </si>
  <si>
    <t>Armada Reliance 88 C White-Black 160 Ski Lady's Ladies / Women</t>
  </si>
  <si>
    <t>https://tinyurl.com/y8345xxq</t>
  </si>
  <si>
    <t>https://tinyurl.com/y9kngcux</t>
  </si>
  <si>
    <t>Fischer Ranger 94 FR Skis</t>
  </si>
  <si>
    <t>ColoradoSkiShop.com</t>
  </si>
  <si>
    <t>https://tinyurl.com/y86b8cje</t>
  </si>
  <si>
    <t>skicenterltd.com</t>
  </si>
  <si>
    <t>https://tinyurl.com/y7a68hff</t>
  </si>
  <si>
    <t>Ranger 94 Fr 169</t>
  </si>
  <si>
    <t>Pro Ski and Mountain Service</t>
  </si>
  <si>
    <t>https://tinyurl.com/y8cpf4nn</t>
  </si>
  <si>
    <t>Atomic Maven 93 C Skis</t>
  </si>
  <si>
    <t>https://tinyurl.com/y95z7xhm</t>
  </si>
  <si>
    <t>Atomic Maven 93 C Anthracite/Mint / 172cm</t>
  </si>
  <si>
    <t>https://tinyurl.com/y8vyl476</t>
  </si>
  <si>
    <t>https://tinyurl.com/ybq4tsok</t>
  </si>
  <si>
    <t>Faction Agent 2.0x Women's Skis</t>
  </si>
  <si>
    <t>https://tinyurl.com/ycql4jcg</t>
  </si>
  <si>
    <t>Saint Bernard</t>
  </si>
  <si>
    <t>https://tinyurl.com/yauymccn</t>
  </si>
  <si>
    <t>https://tinyurl.com/ybpbchbn</t>
  </si>
  <si>
    <t>DPS Pagoda 106 C2 Ski 163 / Blue</t>
  </si>
  <si>
    <t>Cripple Creek Backcountry</t>
  </si>
  <si>
    <t>https://tinyurl.com/yc4pl6hp</t>
  </si>
  <si>
    <t>DPS Pagoda 106 C2 163CM / PURPLE</t>
  </si>
  <si>
    <t>Neptune Mountaineering</t>
  </si>
  <si>
    <t>https://tinyurl.com/yajbx3gj</t>
  </si>
  <si>
    <t>DPS Pagoda 106 C2 Skis 2022 - 163</t>
  </si>
  <si>
    <t>https://tinyurl.com/yaryldsa</t>
  </si>
  <si>
    <t>Salomon MTN Explore 95 Skis 2022</t>
  </si>
  <si>
    <t>https://tinyurl.com/yd4tgds7</t>
  </si>
  <si>
    <t>https://tinyurl.com/yd35uxz9</t>
  </si>
  <si>
    <t>Salomon MTN Explore 95</t>
  </si>
  <si>
    <t>https://tinyurl.com/y7w8wqt8</t>
  </si>
  <si>
    <t>DPS Pagoda Piste 100 C2 Ski 157 / Red</t>
  </si>
  <si>
    <t>https://tinyurl.com/y9n9hvto</t>
  </si>
  <si>
    <t>DPS Pagoda Piste 100 C2 Red Skis 157cm 2021</t>
  </si>
  <si>
    <t>https://tinyurl.com/y98nzyb8</t>
  </si>
  <si>
    <t>https://tinyurl.com/ybdsv8ro</t>
  </si>
  <si>
    <t>DPS Pagoda Tour 100 RP Skis Â· 171 cm</t>
  </si>
  <si>
    <t>https://tinyurl.com/yb3qg92b</t>
  </si>
  <si>
    <t>https://tinyurl.com/y7upfrkz</t>
  </si>
  <si>
    <t>https://tinyurl.com/yct3fwa9</t>
  </si>
  <si>
    <t>Elan Ripstick 96 Skis</t>
  </si>
  <si>
    <t>https://tinyurl.com/ybz4hjnz</t>
  </si>
  <si>
    <t>https://tinyurl.com/yb64dpjw</t>
  </si>
  <si>
    <t>Elan Ripstick 96 Testski's Incl Attack 13 Binding Blue-Green 188 Ski Men</t>
  </si>
  <si>
    <t>https://tinyurl.com/y8mk4x3l</t>
  </si>
  <si>
    <t>Atomic Bent Chetler 100 Grey/Green / 172cm</t>
  </si>
  <si>
    <t>https://tinyurl.com/y8yfvxf8</t>
  </si>
  <si>
    <t>Atomic Bent Chetler 100</t>
  </si>
  <si>
    <t>Skirack</t>
  </si>
  <si>
    <t>https://tinyurl.com/y9x6qwy4</t>
  </si>
  <si>
    <t>https://tinyurl.com/y8kpz9s2</t>
  </si>
  <si>
    <t>Rossignol Blackops W Blazer Skis - Women's 2021</t>
  </si>
  <si>
    <t>https://tinyurl.com/yakkt85z</t>
  </si>
  <si>
    <t>https://tinyurl.com/y7gaf7xn</t>
  </si>
  <si>
    <t>https://tinyurl.com/y87ams7s</t>
  </si>
  <si>
    <t>Fischer Ranger 102 FR 177cm</t>
  </si>
  <si>
    <t>https://tinyurl.com/y77duyvl</t>
  </si>
  <si>
    <t>Fischer Ranger 102 FR Skis (Pink)</t>
  </si>
  <si>
    <t>https://tinyurl.com/yco67pt7</t>
  </si>
  <si>
    <t>K2 Wayback 106 179</t>
  </si>
  <si>
    <t>Snowinn.com</t>
  </si>
  <si>
    <t>https://tinyurl.com/yazjmna8</t>
  </si>
  <si>
    <t>Ski Town All-Stars</t>
  </si>
  <si>
    <t>https://tinyurl.com/yadeugde</t>
  </si>
  <si>
    <t>https://tinyurl.com/y8u5xlom</t>
  </si>
  <si>
    <t>Line Blade W Women's Skis Â· 2021 Â· 153 cm</t>
  </si>
  <si>
    <t>https://tinyurl.com/ycehyfa9</t>
  </si>
  <si>
    <t>https://tinyurl.com/y7xajrrk</t>
  </si>
  <si>
    <t>https://tinyurl.com/y8dkfnvw</t>
  </si>
  <si>
    <t>Atomic Maverick 86 C Skis 2022</t>
  </si>
  <si>
    <t>https://tinyurl.com/y8hl3euh</t>
  </si>
  <si>
    <t>https://tinyurl.com/yb9a6cs2</t>
  </si>
  <si>
    <t>Atomic Maverick 86 C Skis 2022 - - 176 cm</t>
  </si>
  <si>
    <t>https://tinyurl.com/y9x9fgm7</t>
  </si>
  <si>
    <t>K2 Wayback 96</t>
  </si>
  <si>
    <t>https://tinyurl.com/ya3vn48v</t>
  </si>
  <si>
    <t>K2 Wayback 96 184</t>
  </si>
  <si>
    <t>https://tinyurl.com/ybj67rog</t>
  </si>
  <si>
    <t>https://tinyurl.com/y9m5kpm7</t>
  </si>
  <si>
    <t>Head Kore 91 W Anth/Mi / 163cm</t>
  </si>
  <si>
    <t>https://tinyurl.com/y8tqayjh</t>
  </si>
  <si>
    <t>Head Kore 91 W Skis</t>
  </si>
  <si>
    <t>https://tinyurl.com/y9cz6qsb</t>
  </si>
  <si>
    <t>Head Kore 91 W 2022 (Size: 163) | By Alpine Shop Vermont</t>
  </si>
  <si>
    <t>https://tinyurl.com/yax7qbwo</t>
  </si>
  <si>
    <t>Armada Declivity 92 Ti Skis</t>
  </si>
  <si>
    <t>https://tinyurl.com/y8w6t2p8</t>
  </si>
  <si>
    <t>https://tinyurl.com/yaq7f6a4</t>
  </si>
  <si>
    <t>https://tinyurl.com/yaw7h3bu</t>
  </si>
  <si>
    <t>DPS Pagoda 112 RP Light Green Skis 178cm 2022</t>
  </si>
  <si>
    <t>https://tinyurl.com/y7fy7vhx</t>
  </si>
  <si>
    <t>DPS Pagoda 112 RP Ski 178 / Yellow</t>
  </si>
  <si>
    <t>https://tinyurl.com/y8jbxw26</t>
  </si>
  <si>
    <t>DPS Pagoda Tour 112 RP 178CM</t>
  </si>
  <si>
    <t>https://tinyurl.com/y7gorbqv</t>
  </si>
  <si>
    <t>Fischer Hannibal 106 Carbon</t>
  </si>
  <si>
    <t>https://tinyurl.com/yd4ysjsh</t>
  </si>
  <si>
    <t>Fischer Hannibal 106 178 Carbon Alpine Touring Skis 138-106-122</t>
  </si>
  <si>
    <t>eBay - thegearrushstore</t>
  </si>
  <si>
    <t>https://tinyurl.com/yaqvpjgf</t>
  </si>
  <si>
    <t>JANS Mountain Outfitters</t>
  </si>
  <si>
    <t>https://tinyurl.com/yamtcgps</t>
  </si>
  <si>
    <t>Faction Agent 3.0 Skis</t>
  </si>
  <si>
    <t>https://tinyurl.com/y7usq8du</t>
  </si>
  <si>
    <t>https://tinyurl.com/yalmjg6g</t>
  </si>
  <si>
    <t>https://tinyurl.com/y76x8uyq</t>
  </si>
  <si>
    <t>Faction Dictator 2.0 Skis</t>
  </si>
  <si>
    <t>Gear West Ski &amp; Bike</t>
  </si>
  <si>
    <t>https://tinyurl.com/y8b8tb92</t>
  </si>
  <si>
    <t>Faction Dictator 2.0 Skis 2022</t>
  </si>
  <si>
    <t>https://tinyurl.com/ycqofx5s</t>
  </si>
  <si>
    <t>Brand Faction Chapter 2.0 Snow Ski, 179cm Retail $629</t>
  </si>
  <si>
    <t>https://tinyurl.com/ya8gzrcj</t>
  </si>
  <si>
    <t>Liberty Skis Origin 96 Ski</t>
  </si>
  <si>
    <t>https://tinyurl.com/y88fuqpu</t>
  </si>
  <si>
    <t>'22 Liberty Origin 96 Skis 176cm</t>
  </si>
  <si>
    <t>https://tinyurl.com/ybaqulrh</t>
  </si>
  <si>
    <t>BobWards.com</t>
  </si>
  <si>
    <t>https://tinyurl.com/ybchh24f</t>
  </si>
  <si>
    <t>DPS Pagoda 106 C2 Ski 155 / Purple</t>
  </si>
  <si>
    <t>https://tinyurl.com/ycjk8k5q</t>
  </si>
  <si>
    <t>DPS Pagoda Tour 106 C2 155cm</t>
  </si>
  <si>
    <t>https://tinyurl.com/yczaryvb</t>
  </si>
  <si>
    <t>https://tinyurl.com/yawt5vu5</t>
  </si>
  <si>
    <t>Salomon QST Lux 92 Skis - Women's 2022</t>
  </si>
  <si>
    <t>https://tinyurl.com/yaan2eh2</t>
  </si>
  <si>
    <t>Salomon QST Lux 92 Skis</t>
  </si>
  <si>
    <t>https://tinyurl.com/y9gmqrph</t>
  </si>
  <si>
    <t>https://tinyurl.com/yb6s29ly</t>
  </si>
  <si>
    <t xml:space="preserve"> Head Kore 99 162 Cm Downhill Ski Mens Combo</t>
  </si>
  <si>
    <t>https://tinyurl.com/y9n7t8gz</t>
  </si>
  <si>
    <t>https://tinyurl.com/y9hlw6h8</t>
  </si>
  <si>
    <t>Head Kore 99 + Attack 14 GW Alpine Skis 170</t>
  </si>
  <si>
    <t>https://tinyurl.com/yce8ouac</t>
  </si>
  <si>
    <t>Volkl Bash 81 Skis</t>
  </si>
  <si>
    <t>https://tinyurl.com/ycxy8a69</t>
  </si>
  <si>
    <t>Volkl Yumi 80 20/21</t>
  </si>
  <si>
    <t>https://tinyurl.com/ycpp2bnc</t>
  </si>
  <si>
    <t>2016 Volkl Yumi</t>
  </si>
  <si>
    <t>eBay - larsonski</t>
  </si>
  <si>
    <t>https://tinyurl.com/yawqscbn</t>
  </si>
  <si>
    <t>Armada Reliance 102 Ti Skis - Women's 2022</t>
  </si>
  <si>
    <t>https://tinyurl.com/y8s2jwun</t>
  </si>
  <si>
    <t>Absolute-Snow.co.uk</t>
  </si>
  <si>
    <t>https://tinyurl.com/ybtnk73h</t>
  </si>
  <si>
    <t>Armada Reliance 102 Ti+warden 11 Alpine Skis Woman 164</t>
  </si>
  <si>
    <t>https://tinyurl.com/y7e8yz6o</t>
  </si>
  <si>
    <t>Armada Trace 98 Skis - Women's 2022</t>
  </si>
  <si>
    <t>https://tinyurl.com/ya4thnn4</t>
  </si>
  <si>
    <t>https://tinyurl.com/y87sulks</t>
  </si>
  <si>
    <t>https://tinyurl.com/ydduj3ma</t>
  </si>
  <si>
    <t>Fischer Ranger 92 Ti Ski 163</t>
  </si>
  <si>
    <t>Ski The Whites</t>
  </si>
  <si>
    <t>https://tinyurl.com/ybc44oj4</t>
  </si>
  <si>
    <t>Fischer Ranger 92 Ti, Alpine Skis Freeride, Size 163 (A16020-163)</t>
  </si>
  <si>
    <t>https://tinyurl.com/yc894jn3</t>
  </si>
  <si>
    <t>Fischer W Ranger 102 FR 163cm</t>
  </si>
  <si>
    <t>https://tinyurl.com/y8qf3nnc</t>
  </si>
  <si>
    <t>Elan Ladies Wildcat 82 C Flat Ski 2020-2021 | PURPLE / 164</t>
  </si>
  <si>
    <t>https://tinyurl.com/ycpyl4d2</t>
  </si>
  <si>
    <t>Women's Elan Wildcat 82 C Skis + ELW 9.0 GW Bindings 2022 - 164</t>
  </si>
  <si>
    <t>Ski World</t>
  </si>
  <si>
    <t>https://tinyurl.com/yawey9jp</t>
  </si>
  <si>
    <t>WILDCAT 82 C - FLAT 164</t>
  </si>
  <si>
    <t>Maine Sport Outfitters</t>
  </si>
  <si>
    <t>https://tinyurl.com/yd3dhmcu</t>
  </si>
  <si>
    <t>https://tinyurl.com/y9qezykm</t>
  </si>
  <si>
    <t>https://tinyurl.com/yara58zw</t>
  </si>
  <si>
    <t>https://tinyurl.com/ycbtglf6</t>
  </si>
  <si>
    <t>DPS Pagoda Tour 112 RP SE Ski 184 / Early Riser Orange</t>
  </si>
  <si>
    <t>https://tinyurl.com/y7v8nwho</t>
  </si>
  <si>
    <t>DPS Pagoda Tour 112 RP Skis 184cm</t>
  </si>
  <si>
    <t>https://tinyurl.com/ycb4olrb</t>
  </si>
  <si>
    <t>https://tinyurl.com/ycfe75j6</t>
  </si>
  <si>
    <t>Icelantic Pioneer 96 Skis Â· 2022 Â· 182 cm</t>
  </si>
  <si>
    <t>https://tinyurl.com/ydz853xv</t>
  </si>
  <si>
    <t>https://tinyurl.com/y8kltuw2</t>
  </si>
  <si>
    <t>Icelantic Pioneer 96 Skis 2022 182cm</t>
  </si>
  <si>
    <t>Glacier Ski Shop</t>
  </si>
  <si>
    <t>https://tinyurl.com/y987vpjb</t>
  </si>
  <si>
    <t>K2 Reckoner 112 Skis - 2022 184 cm</t>
  </si>
  <si>
    <t>https://tinyurl.com/y8tlwqz8</t>
  </si>
  <si>
    <t>K2 Reckoner 112 Skis</t>
  </si>
  <si>
    <t>https://tinyurl.com/yblwaxjh</t>
  </si>
  <si>
    <t>https://tinyurl.com/ydh9ambs</t>
  </si>
  <si>
    <t>Volkl Blaze 94</t>
  </si>
  <si>
    <t>https://tinyurl.com/yaj7qb23</t>
  </si>
  <si>
    <t>https://tinyurl.com/yb6cnajt</t>
  </si>
  <si>
    <t>https://tinyurl.com/y922jq8c</t>
  </si>
  <si>
    <t>Liberty Skis Evolv 90W Skis - Women's 2021</t>
  </si>
  <si>
    <t>https://tinyurl.com/y9kn3kle</t>
  </si>
  <si>
    <t>https://tinyurl.com/ycsenfd5</t>
  </si>
  <si>
    <t>2020 Liberty Evolv 90</t>
  </si>
  <si>
    <t>https://tinyurl.com/y9mdnxvc</t>
  </si>
  <si>
    <t>Armada Tracer 108 Purple-White-Orange 180 Ski Men</t>
  </si>
  <si>
    <t>https://tinyurl.com/y8noje4z</t>
  </si>
  <si>
    <t>Armada Men's Tracer 108 Ski</t>
  </si>
  <si>
    <t>https://tinyurl.com/y92on884</t>
  </si>
  <si>
    <t>Armada Tracer 108 Skis</t>
  </si>
  <si>
    <t>https://tinyurl.com/ya365k3v</t>
  </si>
  <si>
    <t>Rossignol Women's Freeride Skis Blackops W Stargazer</t>
  </si>
  <si>
    <t>https://tinyurl.com/y9lhvobt</t>
  </si>
  <si>
    <t>Rossignol Blackops W Stargazer Skis</t>
  </si>
  <si>
    <t>https://tinyurl.com/y9n8z4lr</t>
  </si>
  <si>
    <t>Rossignol Blackops W Stargazer 92 Skis Womens 2022</t>
  </si>
  <si>
    <t>https://tinyurl.com/y84jrkjd</t>
  </si>
  <si>
    <t>https://tinyurl.com/y97wzj7z</t>
  </si>
  <si>
    <t>Liberty Evolv 90 Skis | Men's | 20/21 | Size 165</t>
  </si>
  <si>
    <t>Christy Sports</t>
  </si>
  <si>
    <t>https://tinyurl.com/y98rs9ch</t>
  </si>
  <si>
    <t>2021 Liberty Evolv 90 Women's Skis w/ Tyrolia Attack 11 GW Bindings - 165| Ski Essentials</t>
  </si>
  <si>
    <t>https://tinyurl.com/yd3oc3my</t>
  </si>
  <si>
    <t>Fischer RANGER 99 TI Women's Skis 2021</t>
  </si>
  <si>
    <t>https://tinyurl.com/ycyfpkw5</t>
  </si>
  <si>
    <t>2021 Fischer Ranger 99 Ti WS Womens Skis w/ Tyrolia Attack2 13 GW Bindings - 158</t>
  </si>
  <si>
    <t>https://tinyurl.com/yd3krd4u</t>
  </si>
  <si>
    <t>https://tinyurl.com/ycgfudk4</t>
  </si>
  <si>
    <t>Faction Prodigy 2.0 Skis - 2021</t>
  </si>
  <si>
    <t>Backcountry Freeskier</t>
  </si>
  <si>
    <t>https://tinyurl.com/y9rcnj4g</t>
  </si>
  <si>
    <t>Faction Prodigy 2.0 Skis 177cm 2022</t>
  </si>
  <si>
    <t>https://tinyurl.com/y77lae2h</t>
  </si>
  <si>
    <t>K2 reckoner 102 skis - men</t>
  </si>
  <si>
    <t>https://tinyurl.com/yc5z5nmp</t>
  </si>
  <si>
    <t>Armada Declivity 88 C Skis</t>
  </si>
  <si>
    <t>https://tinyurl.com/ydg95gc7</t>
  </si>
  <si>
    <t>https://tinyurl.com/y9sm54bv</t>
  </si>
  <si>
    <t>https://tinyurl.com/yahvqc95</t>
  </si>
  <si>
    <t>Volkl Kenja 88 Skis - 2021</t>
  </si>
  <si>
    <t>Allspeed Cyclery &amp; Snow</t>
  </si>
  <si>
    <t>https://tinyurl.com/ydxgcz7c</t>
  </si>
  <si>
    <t>https://tinyurl.com/y9zf986d</t>
  </si>
  <si>
    <t>Volkl Kenja 88 149cm</t>
  </si>
  <si>
    <t>https://tinyurl.com/ya9tlogy</t>
  </si>
  <si>
    <t>2017 Salomon Qst 99 Lumen Women Skis 174cm With Tyrolia 10 Bindings</t>
  </si>
  <si>
    <t>https://tinyurl.com/yblqzbsr</t>
  </si>
  <si>
    <t>https://tinyurl.com/yae2jhnp</t>
  </si>
  <si>
    <t>https://tinyurl.com/yb7ln9cr</t>
  </si>
  <si>
    <t>Elan Ripstick 106</t>
  </si>
  <si>
    <t>Varuste.net</t>
  </si>
  <si>
    <t>https://tinyurl.com/yd3el4wn</t>
  </si>
  <si>
    <t>https://tinyurl.com/y6vfyab4</t>
  </si>
  <si>
    <t>Elan Ripstick 106 - Ski - 2022 172</t>
  </si>
  <si>
    <t>AJ Motion Sports</t>
  </si>
  <si>
    <t>https://tinyurl.com/yawbmpvb</t>
  </si>
  <si>
    <t>Scott Scrapper 95 A Version 184cm</t>
  </si>
  <si>
    <t>https://tinyurl.com/ybwtmsb9</t>
  </si>
  <si>
    <t>Scott Scrapper 95 Ski - 2022 - Size: 184cm</t>
  </si>
  <si>
    <t>https://tinyurl.com/yc465c34</t>
  </si>
  <si>
    <t>https://tinyurl.com/y7fnhq4z</t>
  </si>
  <si>
    <t>Blizzard Sheeva 11 Women's Skis 2021 164 cm</t>
  </si>
  <si>
    <t>https://tinyurl.com/y9lfcuwn</t>
  </si>
  <si>
    <t>https://tinyurl.com/y89t3f59</t>
  </si>
  <si>
    <t>https://tinyurl.com/y7csqttb</t>
  </si>
  <si>
    <t>Volkl Secret 96</t>
  </si>
  <si>
    <t>https://tinyurl.com/y9mnvab4</t>
  </si>
  <si>
    <t>Volkl Secret 96 Flat Women's Ski Winter 2021/2022 149</t>
  </si>
  <si>
    <t>Equipe Sport</t>
  </si>
  <si>
    <t>https://tinyurl.com/yc3y4n8r</t>
  </si>
  <si>
    <t>https://tinyurl.com/ybe5lae3</t>
  </si>
  <si>
    <t>Black Crows Divus Skis 172 cm</t>
  </si>
  <si>
    <t>https://tinyurl.com/yb8qqmgy</t>
  </si>
  <si>
    <t>https://tinyurl.com/y7j2223b</t>
  </si>
  <si>
    <t>https://tinyurl.com/yb2926rl</t>
  </si>
  <si>
    <t>Faction Dictator 3.0 Skis</t>
  </si>
  <si>
    <t>https://tinyurl.com/y9efkecq</t>
  </si>
  <si>
    <t>https://tinyurl.com/yclq2e2y</t>
  </si>
  <si>
    <t>https://tinyurl.com/y7codxg6</t>
  </si>
  <si>
    <t>Fischer Ranger 90 FR Skis Â· 2022 Â· 172 cm</t>
  </si>
  <si>
    <t>https://tinyurl.com/yabyp4j8</t>
  </si>
  <si>
    <t xml:space="preserve"> 2017 Fischer Ranger 90 Ti Demo Ski with Bindings Size 172 (Option 210684)</t>
  </si>
  <si>
    <t>https://tinyurl.com/ydbgshyo</t>
  </si>
  <si>
    <t>Fischer My Ranger 89 Skis - Women's 2018</t>
  </si>
  <si>
    <t>https://tinyurl.com/y7hkaejn</t>
  </si>
  <si>
    <t>'22 K2 Mindbender 90C Skis 177cm</t>
  </si>
  <si>
    <t>https://tinyurl.com/y8pb98op</t>
  </si>
  <si>
    <t>K2 Mindbender 90c Alpine Skis 177</t>
  </si>
  <si>
    <t>https://tinyurl.com/ycnlvtl5</t>
  </si>
  <si>
    <t>K2 Mindbender 90C Skis</t>
  </si>
  <si>
    <t>https://tinyurl.com/ycmqm6g6</t>
  </si>
  <si>
    <t>Dynafit Beast 108 Ski</t>
  </si>
  <si>
    <t>eBay - bikesportadventurecom</t>
  </si>
  <si>
    <t>https://tinyurl.com/yam8bk9u</t>
  </si>
  <si>
    <t>Dynafit Beast 108 - Neon/Yellow - Skis 173</t>
  </si>
  <si>
    <t>https://tinyurl.com/ybk3usnr</t>
  </si>
  <si>
    <t>Dynafit Free 107 Ski</t>
  </si>
  <si>
    <t>https://tinyurl.com/ydbzksqq</t>
  </si>
  <si>
    <t>Rossignol Blackops Holyshred 172cm</t>
  </si>
  <si>
    <t>https://tinyurl.com/y83klbon</t>
  </si>
  <si>
    <t>Skis Rossignol Blackops Holyshred</t>
  </si>
  <si>
    <t>https://tinyurl.com/y6u642r3</t>
  </si>
  <si>
    <t>2022 Rossignol Blackops Holyshred Skis 172cm</t>
  </si>
  <si>
    <t>https://tinyurl.com/yayumwye</t>
  </si>
  <si>
    <t>Armada Reliance 88 C Skis - Women's 2022</t>
  </si>
  <si>
    <t>https://tinyurl.com/ybt3j4sg</t>
  </si>
  <si>
    <t>Armada Reliance 88 C White-Black 168 Ski Lady's Ladies / Women</t>
  </si>
  <si>
    <t>https://tinyurl.com/yb5hgbnr</t>
  </si>
  <si>
    <t>https://tinyurl.com/ycd8f5st</t>
  </si>
  <si>
    <t>Nordica Santa Ana Free 110 Skis Â· Women's Â· 2021 Â· 177 cm</t>
  </si>
  <si>
    <t>https://tinyurl.com/yd9yvnzf</t>
  </si>
  <si>
    <t>Nordica Santa Ana Free 110 21/22</t>
  </si>
  <si>
    <t>https://tinyurl.com/y7wj4eu4</t>
  </si>
  <si>
    <t>https://tinyurl.com/y9ma8yn5</t>
  </si>
  <si>
    <t>Volkl Blaze 106 Skis</t>
  </si>
  <si>
    <t>https://tinyurl.com/yd5rsawr</t>
  </si>
  <si>
    <t>Volkl Blaze 106 Skis 2022</t>
  </si>
  <si>
    <t>https://tinyurl.com/ycqo6qc4</t>
  </si>
  <si>
    <t>Volkl Blaze 106 Flat Ski 2021-2022 | BLUE/ORG / 186</t>
  </si>
  <si>
    <t>https://tinyurl.com/ydhoeej9</t>
  </si>
  <si>
    <t>https://tinyurl.com/yd5vdygv</t>
  </si>
  <si>
    <t>Fischer Ranger 94 FR Women's Skis 2021 177cm</t>
  </si>
  <si>
    <t>https://tinyurl.com/y89p456l</t>
  </si>
  <si>
    <t>Ranger 94 Fr 177</t>
  </si>
  <si>
    <t>https://tinyurl.com/y74kyegg</t>
  </si>
  <si>
    <t>Line Vision 108 Skis 2022</t>
  </si>
  <si>
    <t>https://tinyurl.com/y8zuh32x</t>
  </si>
  <si>
    <t>https://tinyurl.com/ybmqq94c</t>
  </si>
  <si>
    <t>https://tinyurl.com/y9kyw2qk</t>
  </si>
  <si>
    <t>Head Kore 97 W Incl Attack 12 GW Binding Anthracite-Green 170 Ski Lady's Ladies / Women</t>
  </si>
  <si>
    <t>https://tinyurl.com/yaj57hmu</t>
  </si>
  <si>
    <t>Head Women's Kore 97 W Skis Green 170 Cm</t>
  </si>
  <si>
    <t>https://tinyurl.com/yd5tkmot</t>
  </si>
  <si>
    <t>Head Kore 97 W 170cm</t>
  </si>
  <si>
    <t>Miller Sports</t>
  </si>
  <si>
    <t>https://tinyurl.com/y8bdv6oh</t>
  </si>
  <si>
    <t>Dynastar M-Free 99 Skis 2022</t>
  </si>
  <si>
    <t>https://tinyurl.com/y8q3frr4</t>
  </si>
  <si>
    <t>https://tinyurl.com/yce4lytt</t>
  </si>
  <si>
    <t>https://tinyurl.com/yb48uwcd</t>
  </si>
  <si>
    <t>Rossignol Blackops Escaper Open 172cm</t>
  </si>
  <si>
    <t>https://tinyurl.com/y79k5f9d</t>
  </si>
  <si>
    <t>Rossignol Blackops Escaper Skis 2022</t>
  </si>
  <si>
    <t>https://tinyurl.com/yanbr72u</t>
  </si>
  <si>
    <t>Rossignol Blackops Escaper Skis</t>
  </si>
  <si>
    <t>https://tinyurl.com/y82zyuro</t>
  </si>
  <si>
    <t>Salomon Stance 84 Skis Â· 185 cm</t>
  </si>
  <si>
    <t>https://tinyurl.com/y8w7obza</t>
  </si>
  <si>
    <t>Salomon Stance 84 Skis + M12 GW Bindings 2022 - 185</t>
  </si>
  <si>
    <t>https://tinyurl.com/yaarxrco</t>
  </si>
  <si>
    <t>Salomon Stance 80 M10 GW Skis, 185cm Dark Blue/Red/Black 2021</t>
  </si>
  <si>
    <t>https://tinyurl.com/y8tepr25</t>
  </si>
  <si>
    <t>Rossignol Experience 86 Basalt Mens Skis</t>
  </si>
  <si>
    <t>https://tinyurl.com/y7t5khfh</t>
  </si>
  <si>
    <t>Rossignol Experience 86 Basalt Skis | 176 | Christy Sports</t>
  </si>
  <si>
    <t>https://tinyurl.com/y8e28z3p</t>
  </si>
  <si>
    <t>Rossignol Experience 86 Basalt Skis w/ Look SPX 12 Konect GW Bindings</t>
  </si>
  <si>
    <t>https://www.google.com/url?q=https://www.the-house.com/roe8bmbc149958zz-rossignol-ski-packages%3Futm_source%3Dfroogle%26utm_medium%3Dppc%26utm_campaign%3Dshopcomparefeed&amp;sa=U&amp;ved=0ahUKEwjTsreYtO72AhWVKEQIHUhUC7AQ2SkIeg&amp;usg=AOvVaw2Ljx26fRAidRGojU2Y9UW6</t>
  </si>
  <si>
    <t>Men's Liberty Evolv 90 Skis</t>
  </si>
  <si>
    <t>https://tinyurl.com/y7uhnkb2</t>
  </si>
  <si>
    <t>Evolv 90 - 2023 172</t>
  </si>
  <si>
    <t>https://tinyurl.com/y7scwbvl</t>
  </si>
  <si>
    <t>https://tinyurl.com/yb2nebkt</t>
  </si>
  <si>
    <t>Faction Dictator 1.0 FG Skis- 2022</t>
  </si>
  <si>
    <t>https://tinyurl.com/y745m9n8</t>
  </si>
  <si>
    <t>Faction Chapter 1.0 Skis</t>
  </si>
  <si>
    <t>The Locals Sale</t>
  </si>
  <si>
    <t>https://tinyurl.com/y9p6gwwm</t>
  </si>
  <si>
    <t xml:space="preserve"> Faction Candide 1.0 178 cm Mens Downhill Ski Combo</t>
  </si>
  <si>
    <t>Play It Again Sports</t>
  </si>
  <si>
    <t>https://tinyurl.com/ycglhgsw</t>
  </si>
  <si>
    <t>Volkl Deacon 79 Skis with IPT XL 12 TCX GW Bindings 177cm</t>
  </si>
  <si>
    <t>https://tinyurl.com/yd5mavwt</t>
  </si>
  <si>
    <t>https://tinyurl.com/y8q6q8kg</t>
  </si>
  <si>
    <t>Volkl Deacon 80 Skis</t>
  </si>
  <si>
    <t>https://tinyurl.com/y89n4gnr</t>
  </si>
  <si>
    <t>DPS Pagoda 100 RP Skis - 2022</t>
  </si>
  <si>
    <t>https://tinyurl.com/ydd2c4q8</t>
  </si>
  <si>
    <t>DPS Pagoda 100 RP Orange Skis 171cm 2022</t>
  </si>
  <si>
    <t>https://tinyurl.com/ydc72el9</t>
  </si>
  <si>
    <t>https://tinyurl.com/yadfzffo</t>
  </si>
  <si>
    <t>Evolv 90W - 2023 158</t>
  </si>
  <si>
    <t>https://tinyurl.com/y82wlcbo</t>
  </si>
  <si>
    <t>'21 Liberty Genesis 90 Skis 158cm</t>
  </si>
  <si>
    <t>https://tinyurl.com/yav9whud</t>
  </si>
  <si>
    <t>Liberty Genesis 90 Women's Skis</t>
  </si>
  <si>
    <t>https://tinyurl.com/ycnjw85b</t>
  </si>
  <si>
    <t>Line 2022 Sick Day 104 Skis</t>
  </si>
  <si>
    <t>https://tinyurl.com/y7ytvoc6</t>
  </si>
  <si>
    <t>https://tinyurl.com/ybshbh7j</t>
  </si>
  <si>
    <t>https://tinyurl.com/y7x6cb28</t>
  </si>
  <si>
    <t>Black Diamond Impulse 98 NO COLOR / 182</t>
  </si>
  <si>
    <t>https://tinyurl.com/y9jpfdsy</t>
  </si>
  <si>
    <t>Black Diamond Impulse 98 Skis</t>
  </si>
  <si>
    <t>https://tinyurl.com/y9hko5fk</t>
  </si>
  <si>
    <t>Moosejaw</t>
  </si>
  <si>
    <t>https://tinyurl.com/y7uybr2x</t>
  </si>
  <si>
    <t>K2 Wayback 106 Ski 2022</t>
  </si>
  <si>
    <t>https://tinyurl.com/yc2skb8t</t>
  </si>
  <si>
    <t>https://tinyurl.com/y7er4kcq</t>
  </si>
  <si>
    <t>K2 Wayback 106 Touring Skis 186</t>
  </si>
  <si>
    <t>https://tinyurl.com/y8gw6czz</t>
  </si>
  <si>
    <t>Stockli Nela 96 Skis - Women's 2022 156cm</t>
  </si>
  <si>
    <t>https://tinyurl.com/y8cz9wdz</t>
  </si>
  <si>
    <t>Stockli Nela 96 Women's All Mountain Wide Skis 20/21 156 cm</t>
  </si>
  <si>
    <t>Utah SKI Gear</t>
  </si>
  <si>
    <t>https://tinyurl.com/ybyeecrv</t>
  </si>
  <si>
    <t>Stockli Nela 96 Womens Skis 2023 156</t>
  </si>
  <si>
    <t>https://tinyurl.com/ya4s9mlg</t>
  </si>
  <si>
    <t>Icelantic NATURAL 101 21/22</t>
  </si>
  <si>
    <t>H2Osport.se</t>
  </si>
  <si>
    <t>https://tinyurl.com/ycjmxyrt</t>
  </si>
  <si>
    <t>Icelantic Natural 101 Skis Â· 2022 Â· 171 cm</t>
  </si>
  <si>
    <t>https://tinyurl.com/ybqv6xaq</t>
  </si>
  <si>
    <t>https://tinyurl.com/ycp7u3r6</t>
  </si>
  <si>
    <t>Black Crows Camox Freebird Skis 183cm</t>
  </si>
  <si>
    <t>https://tinyurl.com/y8f2do3d</t>
  </si>
  <si>
    <t>https://tinyurl.com/ya5lryyd</t>
  </si>
  <si>
    <t>https://tinyurl.com/yanlwp6p</t>
  </si>
  <si>
    <t>Black Crows Serpo Skis 2022</t>
  </si>
  <si>
    <t>Teton Wasatch Ski Co.</t>
  </si>
  <si>
    <t>https://tinyurl.com/y8sybvt2</t>
  </si>
  <si>
    <t>https://tinyurl.com/ybd25nl3</t>
  </si>
  <si>
    <t>https://tinyurl.com/y6woba3o</t>
  </si>
  <si>
    <t>Elan Ripstick 102 W Women's Skis 2022</t>
  </si>
  <si>
    <t>https://tinyurl.com/ydh5hpyx</t>
  </si>
  <si>
    <t>Elan Ripstick 102 Skis - Women's 2021</t>
  </si>
  <si>
    <t>https://tinyurl.com/y8j8mfdp</t>
  </si>
  <si>
    <t>https://tinyurl.com/yad98zvl</t>
  </si>
  <si>
    <t>K2 Mindbender 115C Alliance Skis Â· Women's Â· 2021 Â· 179 cm</t>
  </si>
  <si>
    <t>https://tinyurl.com/yaqmblqq</t>
  </si>
  <si>
    <t>K2 Mindbender 108Ti Skis Â· 2022 Â· 179 cm</t>
  </si>
  <si>
    <t>https://tinyurl.com/ybn8gcx8</t>
  </si>
  <si>
    <t>K2 Mindbender 116C Skis 2021</t>
  </si>
  <si>
    <t>https://tinyurl.com/ybmgoccd</t>
  </si>
  <si>
    <t>DPS Pagoda Piste 100 C2 Pinot Skis 165cm 2022</t>
  </si>
  <si>
    <t>https://tinyurl.com/ya5da6ao</t>
  </si>
  <si>
    <t>2022 DPS Pagoda Piste 100 C2 Skis w/ Tyrolia Attack2 13 GW Bindings - Red - 165| Ski Essentials</t>
  </si>
  <si>
    <t>https://tinyurl.com/yadw86re</t>
  </si>
  <si>
    <t>DPS Pagoda Piste 94 C2 Ski 2021 - 165</t>
  </si>
  <si>
    <t>https://tinyurl.com/y75cbluo</t>
  </si>
  <si>
    <t>Armada Declivity 88 C Skis 2022</t>
  </si>
  <si>
    <t>https://tinyurl.com/y929exft</t>
  </si>
  <si>
    <t>https://tinyurl.com/ybl5hfct</t>
  </si>
  <si>
    <t>https://tinyurl.com/y9rj36ug</t>
  </si>
  <si>
    <t>Nordica Santa Ana 98 21/22</t>
  </si>
  <si>
    <t>https://tinyurl.com/ycqhmk49</t>
  </si>
  <si>
    <t>Nordica Santa Ana 98 2022 (Size: 165) | By Alpine Shop Vermont</t>
  </si>
  <si>
    <t>https://tinyurl.com/y9w2l4nj</t>
  </si>
  <si>
    <t>Nordica Santa Ana 98 Flat Skis - Women's 2022 165cm</t>
  </si>
  <si>
    <t>https://tinyurl.com/ybe5ovpw</t>
  </si>
  <si>
    <t>Black Crows Orb Skis</t>
  </si>
  <si>
    <t>https://tinyurl.com/y9o7zuvn</t>
  </si>
  <si>
    <t>https://tinyurl.com/ycf8ejph</t>
  </si>
  <si>
    <t>https://tinyurl.com/ybj3eolz</t>
  </si>
  <si>
    <t>Armada Tracer 98 Limited Dark Blue-Black-White 180 Ski Men</t>
  </si>
  <si>
    <t>https://tinyurl.com/ybzdf3pp</t>
  </si>
  <si>
    <t>Barely  Men's Armada tracer 98 2020 Skis 172 - Griffon bindings</t>
  </si>
  <si>
    <t>https://tinyurl.com/ycezevto</t>
  </si>
  <si>
    <t>Armada Tracer 98 Skis 2022</t>
  </si>
  <si>
    <t>https://tinyurl.com/yaw3rrcv</t>
  </si>
  <si>
    <t>2022 Nordica Santa Ana 110 Free Women's Skis w/ Tyrolia Attack2 14 GW Bindings - 169| Ski Essentials</t>
  </si>
  <si>
    <t>https://tinyurl.com/y82es5d8</t>
  </si>
  <si>
    <t>https://tinyurl.com/ycrblhvn</t>
  </si>
  <si>
    <t>18/19 Nordica Santa Ana 93, 169,  Demo Skis, 188198</t>
  </si>
  <si>
    <t>https://tinyurl.com/yaxu6rw5</t>
  </si>
  <si>
    <t>Stockli Laser SC Skis 2023 w/MC11 bindings 156</t>
  </si>
  <si>
    <t>https://tinyurl.com/yd62uj8w</t>
  </si>
  <si>
    <t>https://tinyurl.com/y82r7lnm</t>
  </si>
  <si>
    <t>Faction candide ct 2.0 x (black) women's skis</t>
  </si>
  <si>
    <t>https://tinyurl.com/ybmtzf4b</t>
  </si>
  <si>
    <t>Faction Candide 2.0</t>
  </si>
  <si>
    <t>https://tinyurl.com/y8n9opqr</t>
  </si>
  <si>
    <t>Women's Faction Ct 2.0x Skis 2022 - 166</t>
  </si>
  <si>
    <t>https://tinyurl.com/yblnlkex</t>
  </si>
  <si>
    <t>Black Crows Camox Freebird Skis, 178cm</t>
  </si>
  <si>
    <t>https://tinyurl.com/y7hujl2e</t>
  </si>
  <si>
    <t>https://tinyurl.com/yc363rfc</t>
  </si>
  <si>
    <t>https://tinyurl.com/ybjthgjv</t>
  </si>
  <si>
    <t>https://tinyurl.com/ycwa7gna</t>
  </si>
  <si>
    <t>https://tinyurl.com/ydbabaqt</t>
  </si>
  <si>
    <t>https://tinyurl.com/ybn2on9z</t>
  </si>
  <si>
    <t>2022 Black Crows Navis Freebird Skis w/ Marker Kingpin13 Bindings - 179| Ski Essentials</t>
  </si>
  <si>
    <t>https://tinyurl.com/y7dpzxno</t>
  </si>
  <si>
    <t>https://tinyurl.com/ybscqwfz</t>
  </si>
  <si>
    <t>https://tinyurl.com/y7spmqbn</t>
  </si>
  <si>
    <t>Dynastar M-Pro 99 W Skis Women's 2022 - 162</t>
  </si>
  <si>
    <t>https://tinyurl.com/yal6hnu3</t>
  </si>
  <si>
    <t>https://tinyurl.com/y7s8x7p3</t>
  </si>
  <si>
    <t>https://tinyurl.com/ydhqaen7</t>
  </si>
  <si>
    <t>Faction Dictator 2.0 Skis- 2022</t>
  </si>
  <si>
    <t>https://tinyurl.com/y9x8epbb</t>
  </si>
  <si>
    <t>https://tinyurl.com/y8a3gr95</t>
  </si>
  <si>
    <t>https://tinyurl.com/yd8slryc</t>
  </si>
  <si>
    <t>https://tinyurl.com/y8q9zekf</t>
  </si>
  <si>
    <t>https://tinyurl.com/ycborz8a</t>
  </si>
  <si>
    <t>https://tinyurl.com/ydatsbtm</t>
  </si>
  <si>
    <t>DPS Pagoda Tour 112 RP Skis Â· 178 cm</t>
  </si>
  <si>
    <t>https://tinyurl.com/y9eyqhcv</t>
  </si>
  <si>
    <t>https://tinyurl.com/y8fauzr2</t>
  </si>
  <si>
    <t>https://tinyurl.com/ybaqzqlu</t>
  </si>
  <si>
    <t>https://tinyurl.com/yce4hdzx</t>
  </si>
  <si>
    <t>Dynastar M-PRO 99 170cm</t>
  </si>
  <si>
    <t>https://tinyurl.com/yabw54zu</t>
  </si>
  <si>
    <t>https://tinyurl.com/y8k3a9df</t>
  </si>
  <si>
    <t>Volkl Blaze 106 W</t>
  </si>
  <si>
    <t>https://www.google.com/url?q=https://www.outdoorxl.com/volkl-blaze-106-women.html%3Fprl%3D92-3458x144-2321&amp;sa=U&amp;ved=0ahUKEwia3ZOLte72AhX_C0QIHUauDysQsDwIgAE&amp;usg=AOvVaw1tavKG6g81SvsjBml-NUke</t>
  </si>
  <si>
    <t>Volkl Blaze 106 W Alpine Skis 2022 - - 165 cm</t>
  </si>
  <si>
    <t>https://tinyurl.com/yc6czaso</t>
  </si>
  <si>
    <t>Volkl Blaze 106 w 2022 (Size: 165) | By Alpine Shop Vermont</t>
  </si>
  <si>
    <t>https://tinyurl.com/ya9q33sv</t>
  </si>
  <si>
    <t>Line Sir Francis Bacon Shorty Skis 2021</t>
  </si>
  <si>
    <t>LINE Skis</t>
  </si>
  <si>
    <t>https://tinyurl.com/yd46c7hj</t>
  </si>
  <si>
    <t>Line Sir Francis Bacon Shorty Skis</t>
  </si>
  <si>
    <t>https://tinyurl.com/y9v5bq2q</t>
  </si>
  <si>
    <t>DPS Pagoda Piste 90 RP Skis Â· 171 cm Â· Yellow</t>
  </si>
  <si>
    <t>https://tinyurl.com/y9bejlkg</t>
  </si>
  <si>
    <t>https://tinyurl.com/ychc2cz5</t>
  </si>
  <si>
    <t>Pagoda Piste 90 RP Yellow - 171cm</t>
  </si>
  <si>
    <t>DPS Skis</t>
  </si>
  <si>
    <t>https://tinyurl.com/y9gym9un</t>
  </si>
  <si>
    <t>Skis Black Crows Camox Freebird</t>
  </si>
  <si>
    <t>https://tinyurl.com/ybgnn25u</t>
  </si>
  <si>
    <t>https://tinyurl.com/y7q3g93e</t>
  </si>
  <si>
    <t>https://tinyurl.com/yb79fbh8</t>
  </si>
  <si>
    <t>https://tinyurl.com/ybnmjctq</t>
  </si>
  <si>
    <t>https://tinyurl.com/y7lk3qs5</t>
  </si>
  <si>
    <t>https://tinyurl.com/y7uglvu7</t>
  </si>
  <si>
    <t>Rossignol BlackOps Sender Skis - Unisex</t>
  </si>
  <si>
    <t>https://tinyurl.com/yb5dzsv4</t>
  </si>
  <si>
    <t>Rossignol Blackops Sender Skis Mens 2022</t>
  </si>
  <si>
    <t>https://tinyurl.com/y882y5h5</t>
  </si>
  <si>
    <t>Rossignol Blackops Sender with Look SPX 12 GW Grey/Organic 172cm</t>
  </si>
  <si>
    <t>https://tinyurl.com/ydcr82b5</t>
  </si>
  <si>
    <t>Atomic Backland 95</t>
  </si>
  <si>
    <t>eBay - fun-sport-vision-shop</t>
  </si>
  <si>
    <t>https://tinyurl.com/y96pxv7x</t>
  </si>
  <si>
    <t>Stowesports.com</t>
  </si>
  <si>
    <t>https://tinyurl.com/yc8unnwe</t>
  </si>
  <si>
    <t>Alaska Mountaineering &amp; Hiking</t>
  </si>
  <si>
    <t>https://tinyurl.com/yang2kv8</t>
  </si>
  <si>
    <t>DPS Pagoda Tour 100 RP Skis 184cm 2022</t>
  </si>
  <si>
    <t>https://tinyurl.com/ycqmymbg</t>
  </si>
  <si>
    <t>https://tinyurl.com/y9ekwaru</t>
  </si>
  <si>
    <t>DPS Pagoda 112 RP Ski 2022, 184</t>
  </si>
  <si>
    <t>https://tinyurl.com/ycg5ergk</t>
  </si>
  <si>
    <t>https://tinyurl.com/ycum7qsh</t>
  </si>
  <si>
    <t>https://tinyurl.com/ybdv6449</t>
  </si>
  <si>
    <t>https://tinyurl.com/y93vkr9b</t>
  </si>
  <si>
    <t>Black Crows Orb Freebird Skis</t>
  </si>
  <si>
    <t>https://tinyurl.com/yakfk2wb</t>
  </si>
  <si>
    <t>https://tinyurl.com/yccpjq79</t>
  </si>
  <si>
    <t>https://tinyurl.com/y7teoe5h</t>
  </si>
  <si>
    <t>Head Oblivion 94 Skis 2022 - 177</t>
  </si>
  <si>
    <t>Ridgeline Bike &amp; Ski</t>
  </si>
  <si>
    <t>https://tinyurl.com/ybok3y8b</t>
  </si>
  <si>
    <t>Head Oblivion 94 Gr/Bl / 177cm</t>
  </si>
  <si>
    <t>https://tinyurl.com/ycbas5nl</t>
  </si>
  <si>
    <t>https://tinyurl.com/yats2esv</t>
  </si>
  <si>
    <t>Armada Trace 108 Skis - Women's 2022</t>
  </si>
  <si>
    <t>https://tinyurl.com/yddyp2qu</t>
  </si>
  <si>
    <t>https://tinyurl.com/ybkhmvho</t>
  </si>
  <si>
    <t>https://tinyurl.com/ybor5f9j</t>
  </si>
  <si>
    <t>DPS Pagoda Tour 106 C2 Skis 163cm 2022</t>
  </si>
  <si>
    <t>https://tinyurl.com/yboc4eb2</t>
  </si>
  <si>
    <t>Bentgate Mountaineering</t>
  </si>
  <si>
    <t>https://tinyurl.com/y9gks3cm</t>
  </si>
  <si>
    <t>https://tinyurl.com/yd77tdub</t>
  </si>
  <si>
    <t>Liberty Evolv 90W Women's Skis</t>
  </si>
  <si>
    <t>https://tinyurl.com/yam5aad8</t>
  </si>
  <si>
    <t>https://tinyurl.com/y8m4m9qj</t>
  </si>
  <si>
    <t>https://tinyurl.com/y7wsyytc</t>
  </si>
  <si>
    <t>https://tinyurl.com/ybhbfos4</t>
  </si>
  <si>
    <t>K2 Wayback 96 177</t>
  </si>
  <si>
    <t>https://tinyurl.com/ycs9hvzr</t>
  </si>
  <si>
    <t>https://tinyurl.com/ybhwnxvs</t>
  </si>
  <si>
    <t>DPS Pagoda Piste 90 RP Skis - Yellow 179cm</t>
  </si>
  <si>
    <t>https://tinyurl.com/y796vk8t</t>
  </si>
  <si>
    <t>https://tinyurl.com/y9g2v82a</t>
  </si>
  <si>
    <t>Pagoda Piste 90 RP Orange - 179cm</t>
  </si>
  <si>
    <t>https://tinyurl.com/ycs4xjzt</t>
  </si>
  <si>
    <t>Faction Agent 3.0x 21/22</t>
  </si>
  <si>
    <t>https://tinyurl.com/y9yddjwn</t>
  </si>
  <si>
    <t>Faction Dictator 3.0 Skis 21/22</t>
  </si>
  <si>
    <t>https://tinyurl.com/yafzj69y</t>
  </si>
  <si>
    <t>Faction Prodigy 0.0 with M10 GW Binding Skis</t>
  </si>
  <si>
    <t>https://tinyurl.com/yd29wbbx</t>
  </si>
  <si>
    <t>DPS Koala 103 Foundation Skis 2022</t>
  </si>
  <si>
    <t>https://tinyurl.com/ybdsa9pe</t>
  </si>
  <si>
    <t>https://tinyurl.com/y98frl7n</t>
  </si>
  <si>
    <t>https://tinyurl.com/y8lp2gpd</t>
  </si>
  <si>
    <t>Atomic Backland 100 Skis 2021 188</t>
  </si>
  <si>
    <t>The Startingate</t>
  </si>
  <si>
    <t>https://tinyurl.com/ycchdtj8</t>
  </si>
  <si>
    <t>Atomic Backland 100 Ski 2022</t>
  </si>
  <si>
    <t>https://tinyurl.com/ybuh93v9</t>
  </si>
  <si>
    <t>'21 Atomic Backland 100 Skis 188cm</t>
  </si>
  <si>
    <t>https://tinyurl.com/yac2lxu3</t>
  </si>
  <si>
    <t>Volkl Blaze 106 W Alpine Skis 2022 - - 172 cm</t>
  </si>
  <si>
    <t>https://tinyurl.com/ybwjqe44</t>
  </si>
  <si>
    <t>Volkl Blaze 106 w 2022 (Size: 172) | By Alpine Shop Vermont</t>
  </si>
  <si>
    <t>https://tinyurl.com/y7frq6wt</t>
  </si>
  <si>
    <t>Volkl Blaze 106 W Skis</t>
  </si>
  <si>
    <t>https://tinyurl.com/y8qwuror</t>
  </si>
  <si>
    <t>https://tinyurl.com/ybw969zp</t>
  </si>
  <si>
    <t>https://tinyurl.com/ybwqss5c</t>
  </si>
  <si>
    <t>https://tinyurl.com/yas2uwhn</t>
  </si>
  <si>
    <t>Rossignol Blackops W Rallybird Ti Skis</t>
  </si>
  <si>
    <t>https://tinyurl.com/y9gtyxxn</t>
  </si>
  <si>
    <t>Rossignol Women's Freeride Skis Blackops W Rallybird Ti</t>
  </si>
  <si>
    <t>Rossignol US</t>
  </si>
  <si>
    <t>https://tinyurl.com/yaz9apzk</t>
  </si>
  <si>
    <t>Rossignol Blackops Rallybird Ti Skis - Women's - 2022</t>
  </si>
  <si>
    <t>https://tinyurl.com/yb9gkrrx</t>
  </si>
  <si>
    <t>https://tinyurl.com/ycsu3bh9</t>
  </si>
  <si>
    <t>https://tinyurl.com/y8yedsgu</t>
  </si>
  <si>
    <t>https://tinyurl.com/y7c4pkjn</t>
  </si>
  <si>
    <t>2022 Fischer Hannibal 96 Carbon Skis Mounted W/ Kingpin 13 284mm 162cm</t>
  </si>
  <si>
    <t>https://tinyurl.com/y937wa89</t>
  </si>
  <si>
    <t>Fischer Hannibal 96 Carbon Ski</t>
  </si>
  <si>
    <t>https://tinyurl.com/y7uxhfbu</t>
  </si>
  <si>
    <t>2022 K2 Mindbender 115C Alliance Women's Skis w/ Marker Griffon 13 ID Bindings - 172| Ski Essentials</t>
  </si>
  <si>
    <t>https://tinyurl.com/y8d3yc63</t>
  </si>
  <si>
    <t>https://tinyurl.com/yaphvyvr</t>
  </si>
  <si>
    <t>K2 Mindbender 108Ti Skis 2022 172 cm</t>
  </si>
  <si>
    <t>https://tinyurl.com/ycg4bbtr</t>
  </si>
  <si>
    <t>DPS Pagoda Tour 112 RP SE Ski 168 / Early Riser Orange</t>
  </si>
  <si>
    <t>https://tinyurl.com/yb9qbqgb</t>
  </si>
  <si>
    <t>DPS Pagoda Tour 112 RP Skis 168cm</t>
  </si>
  <si>
    <t>https://tinyurl.com/ybrjf3kf</t>
  </si>
  <si>
    <t>https://tinyurl.com/y7btrxme</t>
  </si>
  <si>
    <t>K2 Mindbender 108 Ti 2022</t>
  </si>
  <si>
    <t>https://tinyurl.com/y7t7x3wx</t>
  </si>
  <si>
    <t>https://tinyurl.com/y786qe98</t>
  </si>
  <si>
    <t>https://tinyurl.com/y8cgjere</t>
  </si>
  <si>
    <t>Faction Agent 1.0 Skis 170 Cm At All Mtn Lightweight</t>
  </si>
  <si>
    <t>https://tinyurl.com/y8mymr2s</t>
  </si>
  <si>
    <t>Faction Agent 1.0 Skis 2022 - 170</t>
  </si>
  <si>
    <t>https://tinyurl.com/yc4v2r8q</t>
  </si>
  <si>
    <t>Faction Dictator 1.0 x Skis</t>
  </si>
  <si>
    <t>https://tinyurl.com/yas2cooa</t>
  </si>
  <si>
    <t>Armada Tracer 108 Skis 2021 - 172</t>
  </si>
  <si>
    <t>https://tinyurl.com/yb7r8zfo</t>
  </si>
  <si>
    <t>Armada Tracer 108 172cm</t>
  </si>
  <si>
    <t>Base Mountain Sports</t>
  </si>
  <si>
    <t>https://tinyurl.com/ycxbx5vj</t>
  </si>
  <si>
    <t>https://tinyurl.com/ybkmm2o9</t>
  </si>
  <si>
    <t>Elan Ripstick 96 Black Edition Skis 2022</t>
  </si>
  <si>
    <t>https://tinyurl.com/y7srvzo7</t>
  </si>
  <si>
    <t>Elan Ripstick 96 Black Edition Skis 2023 188</t>
  </si>
  <si>
    <t>https://tinyurl.com/y9tnt9fs</t>
  </si>
  <si>
    <t>https://tinyurl.com/y7wn97dj</t>
  </si>
  <si>
    <t>Faction Agent 3.0x Womens Skis</t>
  </si>
  <si>
    <t>https://tinyurl.com/yanclzqx</t>
  </si>
  <si>
    <t>https://tinyurl.com/y796rvux</t>
  </si>
  <si>
    <t>Rossignol Blackops Holyshred Skis 162cm</t>
  </si>
  <si>
    <t>https://tinyurl.com/yatqsau9</t>
  </si>
  <si>
    <t>Rossignol Blackops Holyshred Skis w/ Salomon Warden 11 Bindings 162</t>
  </si>
  <si>
    <t>https://tinyurl.com/yayrpagl</t>
  </si>
  <si>
    <t>https://tinyurl.com/yc8d4qon</t>
  </si>
  <si>
    <t>https://tinyurl.com/y8jg8a2f</t>
  </si>
  <si>
    <t>https://tinyurl.com/ycyvgf5u</t>
  </si>
  <si>
    <t>https://tinyurl.com/y75p7zsk</t>
  </si>
  <si>
    <t>VÃ¶lkl Kenja 88 22/23 Skis Â· Women's Â· 163 cm</t>
  </si>
  <si>
    <t>https://tinyurl.com/yam6a4l5</t>
  </si>
  <si>
    <t>Volkl Kenja 88 163cm</t>
  </si>
  <si>
    <t>https://tinyurl.com/yclpqa5b</t>
  </si>
  <si>
    <t>Volkl Ladies' Kenja 88 Flat Ski 2020-2021 | RED / 163</t>
  </si>
  <si>
    <t>https://tinyurl.com/yby6dvoo</t>
  </si>
  <si>
    <t>Atomic Maverick 88 Ti Skis</t>
  </si>
  <si>
    <t>https://tinyurl.com/y9pesc5h</t>
  </si>
  <si>
    <t>https://tinyurl.com/y9msw8nk</t>
  </si>
  <si>
    <t>Outdoor Gear Exchange</t>
  </si>
  <si>
    <t>https://tinyurl.com/yanojflu</t>
  </si>
  <si>
    <t>Armada - Tracer 88 - 182 Silver</t>
  </si>
  <si>
    <t>https://tinyurl.com/yca45qg5</t>
  </si>
  <si>
    <t>2020 Armada Tracer 88 Skis 182</t>
  </si>
  <si>
    <t>SkiYard</t>
  </si>
  <si>
    <t>https://tinyurl.com/y7fw3fy5</t>
  </si>
  <si>
    <t>Armada Tracer 88 White-Purple 182 Ski Men</t>
  </si>
  <si>
    <t>https://tinyurl.com/y86wb38a</t>
  </si>
  <si>
    <t>Line Vision 118 Skis 183cm 2022</t>
  </si>
  <si>
    <t>https://tinyurl.com/ycz3ltl6</t>
  </si>
  <si>
    <t>https://tinyurl.com/ybxhagow</t>
  </si>
  <si>
    <t>https://tinyurl.com/ybtmabsv</t>
  </si>
  <si>
    <t>Salomon QST 92 Skis</t>
  </si>
  <si>
    <t>https://tinyurl.com/y7gwn7fa</t>
  </si>
  <si>
    <t>https://tinyurl.com/y8g4oy3m</t>
  </si>
  <si>
    <t>https://tinyurl.com/y9mj8ay9</t>
  </si>
  <si>
    <t>Line Sick Day 94 Skis 2022</t>
  </si>
  <si>
    <t>https://tinyurl.com/ybpv69sw</t>
  </si>
  <si>
    <t>Hillcrest Ski &amp; Sports</t>
  </si>
  <si>
    <t>https://tinyurl.com/y9f3b9t2</t>
  </si>
  <si>
    <t>Line Sick Day 94 Skis</t>
  </si>
  <si>
    <t>https://tinyurl.com/yamra4y4</t>
  </si>
  <si>
    <t>Fischer Ranger 92 Ti Skis 2022 - 171</t>
  </si>
  <si>
    <t>https://tinyurl.com/y9mb2dd8</t>
  </si>
  <si>
    <t>https://tinyurl.com/y9vpa4yu</t>
  </si>
  <si>
    <t>https://tinyurl.com/yb8lx6jd</t>
  </si>
  <si>
    <t>Salomon Stance 84 Skis + M12 GW Bindings 2022 - 177</t>
  </si>
  <si>
    <t>https://tinyurl.com/y77dramo</t>
  </si>
  <si>
    <t>Salomon STANCE 80 Skis with M11 GW Bindings 2022</t>
  </si>
  <si>
    <t>https://tinyurl.com/y7q99px2</t>
  </si>
  <si>
    <t>Salomon Stance 80 + M11 GW Alpine Ski 2022 - - 177 cm</t>
  </si>
  <si>
    <t>https://tinyurl.com/y8dxytfc</t>
  </si>
  <si>
    <t>Dynastar M-Pro 84 Skis Â· 177 cm</t>
  </si>
  <si>
    <t>https://tinyurl.com/y95jfyja</t>
  </si>
  <si>
    <t>https://tinyurl.com/yb7orazd</t>
  </si>
  <si>
    <t>https://tinyurl.com/ydfg3lgq</t>
  </si>
  <si>
    <t>https://tinyurl.com/y82yexlw</t>
  </si>
  <si>
    <t>2022 Head Kore 93 Skis-163cm</t>
  </si>
  <si>
    <t>eBay - jeffmagnusson</t>
  </si>
  <si>
    <t>https://tinyurl.com/y87kb2l9</t>
  </si>
  <si>
    <t>https://www.google.com/url?q=https://www.skiessentials.com/2022-head-kore-93-skis.html&amp;sa=U&amp;ved=0ahUKEwih0vattu72AhUMKUQIHX9SBNkQsDwIWw&amp;usg=AOvVaw32tx9WIRaVSpikekxwAVDI</t>
  </si>
  <si>
    <t>Line Sir Francis Bacon Skis</t>
  </si>
  <si>
    <t>https://tinyurl.com/yck85s9s</t>
  </si>
  <si>
    <t>LINE Sir Francis Bacon Skis - 190</t>
  </si>
  <si>
    <t>https://tinyurl.com/y9jq2frc</t>
  </si>
  <si>
    <t>2022 Line Sir Francis Bacon Skis w/Tyrolia Attack2 13 GW Bindings (190)</t>
  </si>
  <si>
    <t>https://tinyurl.com/y9cunskk</t>
  </si>
  <si>
    <t>Stockli Edge ft Skis 167cm 2022</t>
  </si>
  <si>
    <t>https://tinyurl.com/ycp5sl5e</t>
  </si>
  <si>
    <t>https://tinyurl.com/y6vwa6j6</t>
  </si>
  <si>
    <t>Dynafit Women's Beast 98 Ski</t>
  </si>
  <si>
    <t>Idaho Mountain Touring</t>
  </si>
  <si>
    <t>https://tinyurl.com/yaexdgk5</t>
  </si>
  <si>
    <t>Dynafit Beast 98 AT Setup Skis w Dynafit Rotation 10 Bindings  Demo</t>
  </si>
  <si>
    <t>https://www.google.com/url?q=https://www.powder7.com/Dynafit-Beast-98-AT-Setup-Skis-177cm--2021/for-sale%3Futm_source%3Dfeed%26utm_medium%3Dfree&amp;sa=U&amp;ved=0ahUKEwjCxNe1tu72AhXlIUQIHTW8BDoQ2SkIQA&amp;usg=AOvVaw1TxRXQSCUeKbze9-wRcRWj</t>
  </si>
  <si>
    <t>Dynafit Free 97 Ski</t>
  </si>
  <si>
    <t>https://tinyurl.com/ydxycebr</t>
  </si>
  <si>
    <t>Armada Powder7 ARW 106 UL Women's Skis 164cm 2022</t>
  </si>
  <si>
    <t>https://tinyurl.com/ydg3tb6x</t>
  </si>
  <si>
    <t>Armada ARW 106 UL Skis - Women's 2022 164cm</t>
  </si>
  <si>
    <t>https://tinyurl.com/yapvach5</t>
  </si>
  <si>
    <t>Armada ARW 84 Skis 2022</t>
  </si>
  <si>
    <t>https://tinyurl.com/ydxmjnfz</t>
  </si>
  <si>
    <t>Volkl Secret 102 Women's Skis 2021</t>
  </si>
  <si>
    <t>https://tinyurl.com/yagzsxkz</t>
  </si>
  <si>
    <t>Volkl Secret 102 156cm</t>
  </si>
  <si>
    <t>https://tinyurl.com/y9kaaewf</t>
  </si>
  <si>
    <t>https://tinyurl.com/ycwxplum</t>
  </si>
  <si>
    <t>https://tinyurl.com/yaamar2t</t>
  </si>
  <si>
    <t>https://tinyurl.com/ycp8vp8y</t>
  </si>
  <si>
    <t>https://tinyurl.com/yc2wahar</t>
  </si>
  <si>
    <t>https://tinyurl.com/y8kjntsf</t>
  </si>
  <si>
    <t>https://tinyurl.com/y7rstsbc</t>
  </si>
  <si>
    <t>https://tinyurl.com/y8zt4gzh</t>
  </si>
  <si>
    <t>Head Kore 90 x Anthracite-Beige 163 Ski Men</t>
  </si>
  <si>
    <t>https://tinyurl.com/y788med6</t>
  </si>
  <si>
    <t>https://tinyurl.com/y7z42x4b</t>
  </si>
  <si>
    <t>https://tinyurl.com/yceaatel</t>
  </si>
  <si>
    <t>DPS Pagoda Piste 100 C2 Ski 171 / Pinot</t>
  </si>
  <si>
    <t>https://tinyurl.com/y7k3gsqa</t>
  </si>
  <si>
    <t>DPS Skis Pagoda Piste 100 C2 Ski - 2022 Pinot, 171cm</t>
  </si>
  <si>
    <t>https://tinyurl.com/ybgnk3cp</t>
  </si>
  <si>
    <t>https://tinyurl.com/yd85a3fo</t>
  </si>
  <si>
    <t>Blizzard Zero G 105 20/21</t>
  </si>
  <si>
    <t>https://tinyurl.com/y8f64jo2</t>
  </si>
  <si>
    <t>Blizzard Zero G 105 Ski</t>
  </si>
  <si>
    <t>https://tinyurl.com/y9lklslm</t>
  </si>
  <si>
    <t>https://tinyurl.com/y8ayccr8</t>
  </si>
  <si>
    <t>https://tinyurl.com/ybxoku2n</t>
  </si>
  <si>
    <t>2022 Head Kore 93 Skis-177cm</t>
  </si>
  <si>
    <t>https://tinyurl.com/ybzalq5j</t>
  </si>
  <si>
    <t>Demo Head Kore 93 Ski w/ Tyrolia Attack 14 Binding 2022</t>
  </si>
  <si>
    <t>High Mountain Sports</t>
  </si>
  <si>
    <t>https://tinyurl.com/ydaklgdh</t>
  </si>
  <si>
    <t>Faction Ct 2.0 Skis</t>
  </si>
  <si>
    <t>https://tinyurl.com/y8aocxny</t>
  </si>
  <si>
    <t>https://tinyurl.com/ybppfaox</t>
  </si>
  <si>
    <t>Faction Prodigy 2.0 Skis</t>
  </si>
  <si>
    <t>https://tinyurl.com/y867r2tv</t>
  </si>
  <si>
    <t>Black Diamond Equipment - US</t>
  </si>
  <si>
    <t>https://tinyurl.com/y9p3kyxk</t>
  </si>
  <si>
    <t>Black Diamond 175cm Voodoo skis/skins w/ Silvretta 300 Bindings</t>
  </si>
  <si>
    <t>Geartrade.com</t>
  </si>
  <si>
    <t>https://tinyurl.com/y8c4b9ek</t>
  </si>
  <si>
    <t>Black Diamond Helio Recon 95 Ski 2022</t>
  </si>
  <si>
    <t>https://tinyurl.com/y9ndxknm</t>
  </si>
  <si>
    <t>Nordica Santa Ana Free 104 21/22</t>
  </si>
  <si>
    <t>https://tinyurl.com/y8u4hxjw</t>
  </si>
  <si>
    <t>Nordica Santa Ana 104 Free Skis</t>
  </si>
  <si>
    <t>https://tinyurl.com/y8xwh5gx</t>
  </si>
  <si>
    <t>Nordica 2022 Santa Ana 104 Women's Skis w/Tyrolia Attack2 13 GW Bindings (172)</t>
  </si>
  <si>
    <t>https://tinyurl.com/y828vnnf</t>
  </si>
  <si>
    <t>'22 Line Sick Day 88 Skis 172cm</t>
  </si>
  <si>
    <t>https://tinyurl.com/yabjdzzl</t>
  </si>
  <si>
    <t>Line Sick Day 88 Skis</t>
  </si>
  <si>
    <t>https://tinyurl.com/y9xx42o7</t>
  </si>
  <si>
    <t>Line Other | Line Sick Day All-Mountain Rocker Skis 172 Cm Wo Bindings | Color: Black/Yellow | Size: 172 Cm | Chrispy_Kicks's Closet</t>
  </si>
  <si>
    <t>Poshmark</t>
  </si>
  <si>
    <t>https://tinyurl.com/yaclpmos</t>
  </si>
  <si>
    <t>https://tinyurl.com/y8uan8p6</t>
  </si>
  <si>
    <t>Faction Ct 2.0 Ski - 2022</t>
  </si>
  <si>
    <t>https://tinyurl.com/yapknuhh</t>
  </si>
  <si>
    <t>https://tinyurl.com/y8qfck2r</t>
  </si>
  <si>
    <t>Faction Agent 1.0 Ski 2022</t>
  </si>
  <si>
    <t>https://tinyurl.com/y9kkv93z</t>
  </si>
  <si>
    <t>Faction Agent 1.0 Skis</t>
  </si>
  <si>
    <t>https://www.google.com/url?q=https://www.backcountryfreeskier.com/faction-agent-1-0-skis/%3Fsku%3DAGT1%26utm_source%3Dgoogleshopping%26utm_medium%3Dcse&amp;sa=U&amp;ved=0ahUKEwj6sZ7wtu72AhUJDkQIHTAwDqUQsDwISA&amp;usg=AOvVaw1uMp49pBNUK0rAbU_foybm</t>
  </si>
  <si>
    <t>Faction Dictator 1.0x Skis- Women's 2022</t>
  </si>
  <si>
    <t>https://tinyurl.com/y7k65ded</t>
  </si>
  <si>
    <t>Volkl Kendo 88 Ski 2023</t>
  </si>
  <si>
    <t>https://tinyurl.com/y7oc36m4</t>
  </si>
  <si>
    <t>Volkl Kendo 88 Flat Ski 2021-2022 | BLUE/BLACK / 163</t>
  </si>
  <si>
    <t>https://tinyurl.com/y9mnfj9d</t>
  </si>
  <si>
    <t>2022 Volkl Kendo 88 Snow Skis 163</t>
  </si>
  <si>
    <t>https://tinyurl.com/ycaoa9zr</t>
  </si>
  <si>
    <t>Atomic Bent Chetler 100 Grey/Green / 164cm</t>
  </si>
  <si>
    <t>https://tinyurl.com/ycqg7yrl</t>
  </si>
  <si>
    <t>Atomic Bent Chetler 100 Skis</t>
  </si>
  <si>
    <t>https://tinyurl.com/y7a5y5wz</t>
  </si>
  <si>
    <t>https://tinyurl.com/ycng63a8</t>
  </si>
  <si>
    <t>Fischer Ranger 92 Ti Ski 155</t>
  </si>
  <si>
    <t>https://tinyurl.com/y9pb4ygc</t>
  </si>
  <si>
    <t>Fischer Ranger 92 Ti, Alpine Skis Freeride, Size 155 (A16020-155)</t>
  </si>
  <si>
    <t>GritrOutdoors</t>
  </si>
  <si>
    <t>https://tinyurl.com/y8m5fgtf</t>
  </si>
  <si>
    <t>Walmart - WEBY Corporation</t>
  </si>
  <si>
    <t>https://tinyurl.com/y7rtc4bk</t>
  </si>
  <si>
    <t>Salomon QST 106 Skis</t>
  </si>
  <si>
    <t>https://tinyurl.com/y8u8gazk</t>
  </si>
  <si>
    <t>Salomon QST Stella 106 Skis</t>
  </si>
  <si>
    <t>https://tinyurl.com/y95reb2a</t>
  </si>
  <si>
    <t xml:space="preserve"> 2019 Salomon QST 106 Demo Ski with Bindings Size 167 (Option 211783)</t>
  </si>
  <si>
    <t>https://tinyurl.com/yapzgwav</t>
  </si>
  <si>
    <t>Fischer Ranger 102 FR 184cm</t>
  </si>
  <si>
    <t>https://tinyurl.com/ybucwzfo</t>
  </si>
  <si>
    <t>https://tinyurl.com/ycbhrkvo</t>
  </si>
  <si>
    <t>https://tinyurl.com/ybm86dyh</t>
  </si>
  <si>
    <t>Armada Reliance 92 Ti Skis</t>
  </si>
  <si>
    <t>https://tinyurl.com/y8bunert</t>
  </si>
  <si>
    <t>https://tinyurl.com/ya4abmnu</t>
  </si>
  <si>
    <t>https://tinyurl.com/yb25uv4r</t>
  </si>
  <si>
    <t>Rossignol Blackops W Rallybird Skis - Women's</t>
  </si>
  <si>
    <t>https://tinyurl.com/yd3cfqer</t>
  </si>
  <si>
    <t>Rossignol Blackops W Rallybird 162cm</t>
  </si>
  <si>
    <t>https://tinyurl.com/ybh2zx8m</t>
  </si>
  <si>
    <t>https://tinyurl.com/y7kmh6nf</t>
  </si>
  <si>
    <t>DPS Pagoda 106 C2 Ski 171 / Blue</t>
  </si>
  <si>
    <t>https://tinyurl.com/y9tzjtpd</t>
  </si>
  <si>
    <t>DPS Pagoda 106 C2 171CM / BLUE</t>
  </si>
  <si>
    <t>https://tinyurl.com/y8hwaduw</t>
  </si>
  <si>
    <t>DPS Pagoda Tour 106 C2 Skis 171cm 2022</t>
  </si>
  <si>
    <t>https://tinyurl.com/ybd9ljgl</t>
  </si>
  <si>
    <t>Liberty 22 Origin 96 182cm  Demo Skis w/ Bindings</t>
  </si>
  <si>
    <t>https://tinyurl.com/yaqme5zf</t>
  </si>
  <si>
    <t>Liberty Skis Men ' S Origin 96 All - Mountain Skis</t>
  </si>
  <si>
    <t>https://tinyurl.com/yb5mhwmy</t>
  </si>
  <si>
    <t>'22 Liberty Origin 96 Skis 182cm</t>
  </si>
  <si>
    <t>https://tinyurl.com/y8zv4rk2</t>
  </si>
  <si>
    <t>Salomon QST 92 Skis - 2021</t>
  </si>
  <si>
    <t>Gravity Coalition</t>
  </si>
  <si>
    <t>https://tinyurl.com/y9cobxac</t>
  </si>
  <si>
    <t>Salomon QST Lux 92 Skis 153 W/ Bindings - Sports &amp; outdoors</t>
  </si>
  <si>
    <t>Mercari</t>
  </si>
  <si>
    <t>https://tinyurl.com/yct75urw</t>
  </si>
  <si>
    <t>2020 Salomon Qst 92 153cm W/ Salomon Warden 11 Binding</t>
  </si>
  <si>
    <t>eBay - riverpirate999</t>
  </si>
  <si>
    <t>https://tinyurl.com/ya4bxzt6</t>
  </si>
  <si>
    <t>2022 Black Crows Corvus Freebird Skis w/ Marker Kingpin 13 Bindings - 176| Ski Essentials</t>
  </si>
  <si>
    <t>https://tinyurl.com/ybfn7kmc</t>
  </si>
  <si>
    <t>Black Crows Corvus Freebird Skis</t>
  </si>
  <si>
    <t>https://tinyurl.com/ycrk4825</t>
  </si>
  <si>
    <t>Black Crows Corvus Freebird Skis Â· 2021 Â· 176 cm</t>
  </si>
  <si>
    <t>https://tinyurl.com/ybx8uwvu</t>
  </si>
  <si>
    <t>Fischer Ranger 102 FR</t>
  </si>
  <si>
    <t>https://tinyurl.com/y8lbnspq</t>
  </si>
  <si>
    <t>Aistriu</t>
  </si>
  <si>
    <t>https://tinyurl.com/ya3c6573</t>
  </si>
  <si>
    <t>https://tinyurl.com/ycud2pza</t>
  </si>
  <si>
    <t>Dynastar M-Pro 90 W Skis - Women's 2022</t>
  </si>
  <si>
    <t>https://tinyurl.com/ya9lwxv7</t>
  </si>
  <si>
    <t>Dynastar M-PRO 90 170cm</t>
  </si>
  <si>
    <t>https://tinyurl.com/ybbcsvyg</t>
  </si>
  <si>
    <t>Dynastar M-Pro 90 Skis</t>
  </si>
  <si>
    <t>https://tinyurl.com/yal7uwwa</t>
  </si>
  <si>
    <t>Volkl Bash 86 W 172cm</t>
  </si>
  <si>
    <t>https://tinyurl.com/y7hkgjn8</t>
  </si>
  <si>
    <t>Volkl Bash 86 Ski - 2022, 180cm /56170/</t>
  </si>
  <si>
    <t>eBay - gearoutlet</t>
  </si>
  <si>
    <t>https://tinyurl.com/y75kcpjm</t>
  </si>
  <si>
    <t>Volkl Women's Bash 86 Skis</t>
  </si>
  <si>
    <t>https://tinyurl.com/yarbhkz7</t>
  </si>
  <si>
    <t>https://tinyurl.com/yaatl7dk</t>
  </si>
  <si>
    <t>Scott Slight 93 Skis Â· 170 cm</t>
  </si>
  <si>
    <t>Mountain Steals</t>
  </si>
  <si>
    <t>https://tinyurl.com/ybmyps5z</t>
  </si>
  <si>
    <t>https://tinyurl.com/y8ea6xdr</t>
  </si>
  <si>
    <t>2023 Blizzard Sheeva 10 Women's Skis w/ Tyrolia Attack 11 GW Bindings - 172| Ski Essentials</t>
  </si>
  <si>
    <t>https://tinyurl.com/ycyn3vcs</t>
  </si>
  <si>
    <t>Blizzard Sheeva 11 Woman 172</t>
  </si>
  <si>
    <t>https://tinyurl.com/y88besmj</t>
  </si>
  <si>
    <t xml:space="preserve"> 2018 Blizzard Rustler 10 Demo Ski with Bindings Size 172 (Option 211702)</t>
  </si>
  <si>
    <t>https://tinyurl.com/ybcnl8jg</t>
  </si>
  <si>
    <t>2022 Black Crows Navis Freebird Skis w/ Marker Kingpin13 Bindings - 167| Ski Essentials</t>
  </si>
  <si>
    <t>https://tinyurl.com/ydezddx7</t>
  </si>
  <si>
    <t>Black Crows Pilus Navis Freebird Skins</t>
  </si>
  <si>
    <t>https://tinyurl.com/yd8zbfve</t>
  </si>
  <si>
    <t>https://tinyurl.com/ya8383fv</t>
  </si>
  <si>
    <t>2022 Blizzard Zero G 95 Skis w/ Marker Kingpin 13 Binding - Green - 185| Ski Essentials</t>
  </si>
  <si>
    <t>https://tinyurl.com/ychdmvb4</t>
  </si>
  <si>
    <t>Blizzard Zero G 95 Skis (2021) GREEN / 185</t>
  </si>
  <si>
    <t>https://tinyurl.com/y9nqv62d</t>
  </si>
  <si>
    <t>Blizzard Zero G 95 Flat Skis - Unisex</t>
  </si>
  <si>
    <t>https://tinyurl.com/y9n5ntvm</t>
  </si>
  <si>
    <t>Scott Superguide 88 Ski 178cm</t>
  </si>
  <si>
    <t>https://tinyurl.com/y8drndxq</t>
  </si>
  <si>
    <t>Scott Superguide 88 Skis - Men</t>
  </si>
  <si>
    <t>https://tinyurl.com/y93my6hk</t>
  </si>
  <si>
    <t>Scott Superguide 88 R Skis 2022 - Sample</t>
  </si>
  <si>
    <t>https://tinyurl.com/ydgtaths</t>
  </si>
  <si>
    <t>'22 Line Sakana Skis 181cm</t>
  </si>
  <si>
    <t>https://tinyurl.com/yc7dxaaq</t>
  </si>
  <si>
    <t>Line 2022 Sakana Skis</t>
  </si>
  <si>
    <t>https://tinyurl.com/yd93u7e2</t>
  </si>
  <si>
    <t>https://tinyurl.com/y9mqbdl8</t>
  </si>
  <si>
    <t>Nordica Men's Soul Rider 84 Ski 2021</t>
  </si>
  <si>
    <t>https://tinyurl.com/ybbt7oaz</t>
  </si>
  <si>
    <t>https://tinyurl.com/y7cn8d96</t>
  </si>
  <si>
    <t>SOULRIDER 84 '22</t>
  </si>
  <si>
    <t>https://tinyurl.com/y7z95f8g</t>
  </si>
  <si>
    <t>https://tinyurl.com/y7xjjslg</t>
  </si>
  <si>
    <t>https://tinyurl.com/yabxkhc8</t>
  </si>
  <si>
    <t>https://tinyurl.com/y8o6x5jg</t>
  </si>
  <si>
    <t>Line Blade W Women's Skis 167cm 2022</t>
  </si>
  <si>
    <t>https://tinyurl.com/ybpnfm86</t>
  </si>
  <si>
    <t>'21 Line Blade W Skis 167cm</t>
  </si>
  <si>
    <t>https://tinyurl.com/y777tyrx</t>
  </si>
  <si>
    <t>Line 2022 Blade W's Skis w Marker Griffon Bindings 167</t>
  </si>
  <si>
    <t>https://tinyurl.com/yd3xajs5</t>
  </si>
  <si>
    <t>Armada Men's Tracer 98 Ski</t>
  </si>
  <si>
    <t>https://tinyurl.com/y9a8swxn</t>
  </si>
  <si>
    <t>Armada Tracer 98 Skis 2022 - 172</t>
  </si>
  <si>
    <t>https://tinyurl.com/y8j8laqz</t>
  </si>
  <si>
    <t>Pinewski's Ski and Board Shop</t>
  </si>
  <si>
    <t>https://tinyurl.com/yasnh2yt</t>
  </si>
  <si>
    <t>Nordica Enforcer 88 Skis 2022 - 165</t>
  </si>
  <si>
    <t>https://tinyurl.com/yd2vt65o</t>
  </si>
  <si>
    <t>eBay - webyshops</t>
  </si>
  <si>
    <t>https://tinyurl.com/ybq363l8</t>
  </si>
  <si>
    <t>https://tinyurl.com/yawh2bw6</t>
  </si>
  <si>
    <t>Line Skis Sick Day 88</t>
  </si>
  <si>
    <t>https://tinyurl.com/y757tkuc</t>
  </si>
  <si>
    <t>https://tinyurl.com/ycnnqp4t</t>
  </si>
  <si>
    <t>'22 Line Sick Day 88 Skis 179cm</t>
  </si>
  <si>
    <t>https://tinyurl.com/ycv7clfc</t>
  </si>
  <si>
    <t>Blizzard Black Pearl 97 21/22</t>
  </si>
  <si>
    <t>https://tinyurl.com/y95drnq7</t>
  </si>
  <si>
    <t>'22 Blizzard Black Pearl 97 Skis 165cm</t>
  </si>
  <si>
    <t>https://tinyurl.com/ybv59ptw</t>
  </si>
  <si>
    <t>2022 Blizzard Black Pearl 97 + Marker Demo Bindings -  - Ski Town All-Stars -  Skis</t>
  </si>
  <si>
    <t>https://tinyurl.com/ydzah983</t>
  </si>
  <si>
    <t>Icelantic Nomad 105 Lite Skis 176cm 2022</t>
  </si>
  <si>
    <t>https://tinyurl.com/y8nvcgos</t>
  </si>
  <si>
    <t>https://tinyurl.com/yazx9ck9</t>
  </si>
  <si>
    <t>https://tinyurl.com/y8pn9mcb</t>
  </si>
  <si>
    <t>Atomic Backland 107 Ski - Women's</t>
  </si>
  <si>
    <t>https://tinyurl.com/yd6mbcxe</t>
  </si>
  <si>
    <t>https://tinyurl.com/y9vgjm67</t>
  </si>
  <si>
    <t>Atomic Backland W 107 Anthracite Berry / 175cm</t>
  </si>
  <si>
    <t>https://tinyurl.com/y9j2bxx5</t>
  </si>
  <si>
    <t>Rossignol Nova 10 Ti Skis w/ Look Xpress 11 GW Bindings</t>
  </si>
  <si>
    <t>https://tinyurl.com/y76vyepq</t>
  </si>
  <si>
    <t>https://tinyurl.com/y7zv58tc</t>
  </si>
  <si>
    <t>2023 Rossignol Escaper 87 Touring Skis w/ Elan ADK C-Raider 12 Binding - 153| Ski Essentials</t>
  </si>
  <si>
    <t>https://tinyurl.com/ya5ffwu3</t>
  </si>
  <si>
    <t>Volkl Rise Beyond 96 21/22</t>
  </si>
  <si>
    <t>https://tinyurl.com/y7exfgxq</t>
  </si>
  <si>
    <t>Volkl Rise Beyond 96 Ski 2022</t>
  </si>
  <si>
    <t>https://tinyurl.com/yc5yw5e9</t>
  </si>
  <si>
    <t>https://tinyurl.com/ychucmmr</t>
  </si>
  <si>
    <t>Black Crows Navis Freebird Touring Ski - 185.8 cm</t>
  </si>
  <si>
    <t>https://tinyurl.com/yd9uauf3</t>
  </si>
  <si>
    <t>https://tinyurl.com/yayaeczd</t>
  </si>
  <si>
    <t>Black Crows Navis Freebird Skis</t>
  </si>
  <si>
    <t>https://tinyurl.com/ybuttjz6</t>
  </si>
  <si>
    <t>https://tinyurl.com/y8z7jvut</t>
  </si>
  <si>
    <t>https://tinyurl.com/y9733bpk</t>
  </si>
  <si>
    <t>eBay - bikewagon</t>
  </si>
  <si>
    <t>https://tinyurl.com/ya6m9xgf</t>
  </si>
  <si>
    <t>Faction Ct Candide 2.0 x Skis</t>
  </si>
  <si>
    <t>https://tinyurl.com/ybe9n44d</t>
  </si>
  <si>
    <t>https://tinyurl.com/ycwob75j</t>
  </si>
  <si>
    <t>Faction Candide 2.0 Skis</t>
  </si>
  <si>
    <t>https://tinyurl.com/ycx55zeo</t>
  </si>
  <si>
    <t>Basin Sports</t>
  </si>
  <si>
    <t>https://tinyurl.com/yb3jxs89</t>
  </si>
  <si>
    <t>https://tinyurl.com/yahnzduv</t>
  </si>
  <si>
    <t>https://tinyurl.com/y8uzaujr</t>
  </si>
  <si>
    <t>https://tinyurl.com/yaqlsup2</t>
  </si>
  <si>
    <t>https://tinyurl.com/y9sc4r8m</t>
  </si>
  <si>
    <t>https://tinyurl.com/yb87ssaz</t>
  </si>
  <si>
    <t>Line Sick Day 104 Skis 2022</t>
  </si>
  <si>
    <t>https://tinyurl.com/y9okbt3e</t>
  </si>
  <si>
    <t>'22 Line Sick Day 104 Skis 172cm</t>
  </si>
  <si>
    <t>https://tinyurl.com/y7axnuv9</t>
  </si>
  <si>
    <t>Line Skis Sick Day 104 Mens Skis 2022 172cm</t>
  </si>
  <si>
    <t>https://tinyurl.com/y8noom54</t>
  </si>
  <si>
    <t>Blizzard Rustler 9 2022 Rust (Size: 180) | By Alpine Shop Vermont</t>
  </si>
  <si>
    <t>https://tinyurl.com/ydx7ua5d</t>
  </si>
  <si>
    <t>Blizzard Rustler 9 Skis - Winter 2021/2022 180</t>
  </si>
  <si>
    <t>https://tinyurl.com/yc97mlv8</t>
  </si>
  <si>
    <t>Blizzard Rustler 9 Skis</t>
  </si>
  <si>
    <t>https://tinyurl.com/y99dqzjg</t>
  </si>
  <si>
    <t>Nordica Soul Rider 97 Skis 177cm 2022</t>
  </si>
  <si>
    <t>https://tinyurl.com/yazyrelj</t>
  </si>
  <si>
    <t>Alpine Options</t>
  </si>
  <si>
    <t>https://tinyurl.com/y7mog92u</t>
  </si>
  <si>
    <t>https://tinyurl.com/y99odn4s</t>
  </si>
  <si>
    <t>https://tinyurl.com/ybjpobos</t>
  </si>
  <si>
    <t>https://tinyurl.com/y97owhyk</t>
  </si>
  <si>
    <t>https://tinyurl.com/y8xf5hwy</t>
  </si>
  <si>
    <t>18/19 VÃ¶lkl Secret 156cm,  Demo Ski, Squire 11 Bindings, Phantom</t>
  </si>
  <si>
    <t>https://tinyurl.com/ya89wjez</t>
  </si>
  <si>
    <t>Volkl Ladies Secret 96 Flat Ski 2021-2022 | MINT/BLK / 156</t>
  </si>
  <si>
    <t>https://tinyurl.com/ydz9sd2r</t>
  </si>
  <si>
    <t>Volkl Secret 96 Flat Women's Ski Winter 2021/2022 156</t>
  </si>
  <si>
    <t>https://tinyurl.com/y77347b7</t>
  </si>
  <si>
    <t>Line Skis Sakana</t>
  </si>
  <si>
    <t>https://tinyurl.com/ydhbxwdo</t>
  </si>
  <si>
    <t>Line SAKANA Skis 2022</t>
  </si>
  <si>
    <t>https://tinyurl.com/yc35sd4d</t>
  </si>
  <si>
    <t>https://tinyurl.com/ycdfcqvy</t>
  </si>
  <si>
    <t>Head Kore 85 W Skis</t>
  </si>
  <si>
    <t>https://tinyurl.com/yc565p3m</t>
  </si>
  <si>
    <t>Head Kore 85 W Skis 2022 163cm</t>
  </si>
  <si>
    <t>https://tinyurl.com/y7lxxmtv</t>
  </si>
  <si>
    <t>Head Kore 85 W Incl Attack 11 GW Binding Anthracite-Berry 163 Ski Lady's Ladies / Women</t>
  </si>
  <si>
    <t>https://tinyurl.com/y8kghqwn</t>
  </si>
  <si>
    <t>https://tinyurl.com/yaxlwqnu</t>
  </si>
  <si>
    <t>https://tinyurl.com/ybj3ktp3</t>
  </si>
  <si>
    <t>https://tinyurl.com/yb5nhqtv</t>
  </si>
  <si>
    <t>Rossignol Blackops W Rallybird 154cm</t>
  </si>
  <si>
    <t>https://tinyurl.com/ya9d7tgq</t>
  </si>
  <si>
    <t>https://tinyurl.com/y9n3kk3w</t>
  </si>
  <si>
    <t>https://tinyurl.com/ybh46nls</t>
  </si>
  <si>
    <t>Stockli Stormrider 102 Skis 173cm 2022</t>
  </si>
  <si>
    <t>https://tinyurl.com/y8rvpuwl</t>
  </si>
  <si>
    <t>https://tinyurl.com/y9o3pq3k</t>
  </si>
  <si>
    <t>Stockli Stormrider 102 Skis - 2022 173cm</t>
  </si>
  <si>
    <t>https://tinyurl.com/y757mb6k</t>
  </si>
  <si>
    <t>Dynastar M-Pro 84 Skis - Women's 2022</t>
  </si>
  <si>
    <t>https://tinyurl.com/ycq2d4rq</t>
  </si>
  <si>
    <t>https://tinyurl.com/y9ttp945</t>
  </si>
  <si>
    <t>https://tinyurl.com/ycgl5e64</t>
  </si>
  <si>
    <t>Rossignol Experience 82 Ti Konnect Black 176 Ski Men</t>
  </si>
  <si>
    <t>https://tinyurl.com/ydgg5sn9</t>
  </si>
  <si>
    <t>https://tinyurl.com/y7msfjyz</t>
  </si>
  <si>
    <t>Rossignol Men's All Mountain Skis Experience 82 Ti (Open)</t>
  </si>
  <si>
    <t>https://tinyurl.com/y6ve32ou</t>
  </si>
  <si>
    <t>https://tinyurl.com/yd8mtxnf</t>
  </si>
  <si>
    <t>Volkl Bash 86 172cm</t>
  </si>
  <si>
    <t>https://tinyurl.com/ybb843zn</t>
  </si>
  <si>
    <t>Volkl 2021 Bash 86 Womens Skis w/Tyrolia Attack2 11 GW Bindings (172)</t>
  </si>
  <si>
    <t>https://tinyurl.com/y8874kla</t>
  </si>
  <si>
    <t>Dynastar M-Pro 99 W Skis Women's 2022 - 154</t>
  </si>
  <si>
    <t>https://tinyurl.com/ybh4la3c</t>
  </si>
  <si>
    <t>https://tinyurl.com/y7qvorl6</t>
  </si>
  <si>
    <t>https://tinyurl.com/y7k3d7ee</t>
  </si>
  <si>
    <t>Salomon Stance 90 Skis</t>
  </si>
  <si>
    <t>https://tinyurl.com/yc7gr4ok</t>
  </si>
  <si>
    <t>https://tinyurl.com/y7sy9ec7</t>
  </si>
  <si>
    <t>Salomon Stance 90 Dark Green/Black/White / 168cm</t>
  </si>
  <si>
    <t>https://tinyurl.com/ydx7l68n</t>
  </si>
  <si>
    <t>Volkl Blaze 106 W Alpine Skis 2022 - - 158 cm</t>
  </si>
  <si>
    <t>https://tinyurl.com/y8qquon5</t>
  </si>
  <si>
    <t>https://tinyurl.com/yces2vpu</t>
  </si>
  <si>
    <t>2021 Volkl BLAZE 106 W ladies snow skis 158</t>
  </si>
  <si>
    <t>https://tinyurl.com/ybedkju3</t>
  </si>
  <si>
    <t>'20 K2 Mindbender Alliance 88 Ti 163cm</t>
  </si>
  <si>
    <t>https://tinyurl.com/y9h5yuuz</t>
  </si>
  <si>
    <t>Mindbender 90 Ti Griffon 13 Tcx D Black Set</t>
  </si>
  <si>
    <t>https://tinyurl.com/y9wgnxwu</t>
  </si>
  <si>
    <t>K2 Mindbender 90C Men's Skis 2021/22</t>
  </si>
  <si>
    <t>https://tinyurl.com/yafq9bsb</t>
  </si>
  <si>
    <t>https://tinyurl.com/y8z3zrqa</t>
  </si>
  <si>
    <t>Buyr.com</t>
  </si>
  <si>
    <t>https://tinyurl.com/yd4cmqkd</t>
  </si>
  <si>
    <t>Fischer Ranger 90 Grey Celest Skis 170cm 2023</t>
  </si>
  <si>
    <t>https://tinyurl.com/ydfaeghp</t>
  </si>
  <si>
    <t>Icelantic Nomad 105 Skis 2022 176cm</t>
  </si>
  <si>
    <t>https://tinyurl.com/y9sf645b</t>
  </si>
  <si>
    <t>https://tinyurl.com/y7x8cm3q</t>
  </si>
  <si>
    <t>https://tinyurl.com/ycyuxtt9</t>
  </si>
  <si>
    <t>Volkl Men's Deacon XTD Skis with vMotion 10 GW Binding Black</t>
  </si>
  <si>
    <t>Cotswold Outdoor US</t>
  </si>
  <si>
    <t>https://tinyurl.com/yc3rmo7f</t>
  </si>
  <si>
    <t>All Mountain Skis VÃ¶lkl Deacon 74 19/20 + rMotion2 12 GW Binding (Black)</t>
  </si>
  <si>
    <t>https://tinyurl.com/yccdkoo5</t>
  </si>
  <si>
    <t>VÃ¶lkl Deacon 72 + rMotion3 12 GW 22/23</t>
  </si>
  <si>
    <t>https://tinyurl.com/y8th7oz7</t>
  </si>
  <si>
    <t>https://tinyurl.com/yb253jeo</t>
  </si>
  <si>
    <t>Nordica Santa Ana 104 Free Skis Women's 2022</t>
  </si>
  <si>
    <t>https://tinyurl.com/ycxxmrsl</t>
  </si>
  <si>
    <t>https://tinyurl.com/y85wfno3</t>
  </si>
  <si>
    <t>Rossignol Experience W 80 White-Peach 150 Ski Lady's Ladies / Women</t>
  </si>
  <si>
    <t>https://tinyurl.com/ybsrpyku</t>
  </si>
  <si>
    <t>Rossignol Experience 80 Carbon Skis w/ Look Xpress 11 GW Bindings</t>
  </si>
  <si>
    <t>https://tinyurl.com/ya42etwj</t>
  </si>
  <si>
    <t>https://tinyurl.com/y9f3dqko</t>
  </si>
  <si>
    <t>Elan Wingman 82 Ti Skis Men's Â· 2022 Â· 172 cm</t>
  </si>
  <si>
    <t>https://tinyurl.com/y99aeak6</t>
  </si>
  <si>
    <t>Elan Wingman 82 Ti Skis 2023 172</t>
  </si>
  <si>
    <t>https://tinyurl.com/ya76xjy3</t>
  </si>
  <si>
    <t>https://tinyurl.com/y9wfc8mc</t>
  </si>
  <si>
    <t>Salomon STANCE W 94 168cm</t>
  </si>
  <si>
    <t>https://tinyurl.com/y7lwtowt</t>
  </si>
  <si>
    <t>Salomon Stance W 94 Skis 2022</t>
  </si>
  <si>
    <t>https://tinyurl.com/yatabom4</t>
  </si>
  <si>
    <t>Salomon Stance 94 Women's Skis 2022</t>
  </si>
  <si>
    <t>https://tinyurl.com/yaqdsgls</t>
  </si>
  <si>
    <t>https://tinyurl.com/y937nsua</t>
  </si>
  <si>
    <t>https://tinyurl.com/ybh64hvo</t>
  </si>
  <si>
    <t>Blizzard Rustler 9 Skis - Winter 2021/2022 172</t>
  </si>
  <si>
    <t>https://tinyurl.com/y8z7z4ov</t>
  </si>
  <si>
    <t>'22 Line Honey Badger Skis 177cm</t>
  </si>
  <si>
    <t>https://tinyurl.com/ydgrd27w</t>
  </si>
  <si>
    <t>Line Honey Badger Skis 2022</t>
  </si>
  <si>
    <t>https://tinyurl.com/y8dppznu</t>
  </si>
  <si>
    <t>Elan Wildcat 82 CX + ELW 11 Shift 20/21</t>
  </si>
  <si>
    <t>https://tinyurl.com/ycn89azu</t>
  </si>
  <si>
    <t>Elan Wildcat 82 CX Skis NA 164</t>
  </si>
  <si>
    <t>U.S. Outdoor</t>
  </si>
  <si>
    <t>https://tinyurl.com/yapcczbm</t>
  </si>
  <si>
    <t>Elan Wildcat 82 CX Skis Na 164</t>
  </si>
  <si>
    <t>Discount Bandit - Home Run Deals</t>
  </si>
  <si>
    <t>https://tinyurl.com/yagqehrw</t>
  </si>
  <si>
    <t>K2 Mindbender 88 Ti Alliance Squire 11 ID Set - Black 170</t>
  </si>
  <si>
    <t>https://tinyurl.com/yd8bwp8d</t>
  </si>
  <si>
    <t>K2 Mindbender 88 Ti Alliance Skis 2021 170</t>
  </si>
  <si>
    <t>Gear Coop</t>
  </si>
  <si>
    <t>https://tinyurl.com/yd6ldbvf</t>
  </si>
  <si>
    <t>K2 Mindbender 89 Ti Alliance 22/23</t>
  </si>
  <si>
    <t>https://tinyurl.com/y97fexu3</t>
  </si>
  <si>
    <t>Icelantic Pioneer 96 Skis</t>
  </si>
  <si>
    <t>https://tinyurl.com/yat6joe8</t>
  </si>
  <si>
    <t>https://tinyurl.com/y74a3sm4</t>
  </si>
  <si>
    <t>Icelantic Pioneer 96 Skis 2022 166cm</t>
  </si>
  <si>
    <t>https://tinyurl.com/yccggj3x</t>
  </si>
  <si>
    <t>https://tinyurl.com/yahkkpd5</t>
  </si>
  <si>
    <t>Fischer Ranger 99 Ti Skis with Tyrolia Attack 13 Demo Bindings 166cm (1101048)</t>
  </si>
  <si>
    <t>https://tinyurl.com/yajb75n3</t>
  </si>
  <si>
    <t>2019 Fischer My Ranger 85 Women's Light All Mountain Skis 166cm No</t>
  </si>
  <si>
    <t>eBay - matterhood</t>
  </si>
  <si>
    <t>https://tinyurl.com/y87hhpy3</t>
  </si>
  <si>
    <t>Black Crows Ferox Freebird 186</t>
  </si>
  <si>
    <t>Outbound Mountain Gear</t>
  </si>
  <si>
    <t>https://tinyurl.com/y9gx8zrx</t>
  </si>
  <si>
    <t>Skis Black Crows Ferox Freebird</t>
  </si>
  <si>
    <t>SkatePro.com</t>
  </si>
  <si>
    <t>https://tinyurl.com/yafje7hs</t>
  </si>
  <si>
    <t>Black Crows Ferox Freebird Skis (2022) 186</t>
  </si>
  <si>
    <t>https://tinyurl.com/y7f4as2c</t>
  </si>
  <si>
    <t>K2 Mindbender 100 TI USA Alliance Skis 2022 - Size: 168</t>
  </si>
  <si>
    <t>K2 Snow</t>
  </si>
  <si>
    <t>https://tinyurl.com/y6wyqv86</t>
  </si>
  <si>
    <t>K2 Mindbender 98Ti Alliance Skis - Women's - 2022</t>
  </si>
  <si>
    <t>https://tinyurl.com/y9vsnyjv</t>
  </si>
  <si>
    <t>https://tinyurl.com/ybqozs9q</t>
  </si>
  <si>
    <t>K2 Poacher Skis 2022 - 170</t>
  </si>
  <si>
    <t>https://tinyurl.com/yaa7jjjq</t>
  </si>
  <si>
    <t>'22 K2 Poacher Skis 170cm</t>
  </si>
  <si>
    <t>https://tinyurl.com/yacqfnyn</t>
  </si>
  <si>
    <t>https://tinyurl.com/ycw3oxy6</t>
  </si>
  <si>
    <t>Rossignol Blackops Sender Skis</t>
  </si>
  <si>
    <t>https://tinyurl.com/ybxpq6se</t>
  </si>
  <si>
    <t>Rossignol Blackops Sender Skis 2022</t>
  </si>
  <si>
    <t>https://tinyurl.com/yakucmjt</t>
  </si>
  <si>
    <t>https://tinyurl.com/y98fqgkg</t>
  </si>
  <si>
    <t>Armada ARV 86 Skis 2022</t>
  </si>
  <si>
    <t>https://tinyurl.com/ybbpa8hs</t>
  </si>
  <si>
    <t>https://tinyurl.com/ybqpfy5r</t>
  </si>
  <si>
    <t>'22 Armada ARV 86 Skis 177cm</t>
  </si>
  <si>
    <t>https://tinyurl.com/y86jjh8y</t>
  </si>
  <si>
    <t>Dynastar M-Free 108 Skis</t>
  </si>
  <si>
    <t>https://tinyurl.com/y7qwj6b9</t>
  </si>
  <si>
    <t>https://tinyurl.com/y7occazr</t>
  </si>
  <si>
    <t>https://tinyurl.com/ydgovral</t>
  </si>
  <si>
    <t>Stockli Laser SC Orea Skis W SRT 12 Bindings 163cm 2022</t>
  </si>
  <si>
    <t>https://tinyurl.com/y8w6e8qg</t>
  </si>
  <si>
    <t>Stockli Laser SC Orea Skis 2023 w/12 Bindings 163</t>
  </si>
  <si>
    <t>https://tinyurl.com/y8fmpgtr</t>
  </si>
  <si>
    <t>Stockli Laser SC Skis W SRT 12 Bindings 163cm 2022</t>
  </si>
  <si>
    <t>https://tinyurl.com/yaes3rbh</t>
  </si>
  <si>
    <t>Blizzard Zero G 95</t>
  </si>
  <si>
    <t>https://tinyurl.com/ydd5fvej</t>
  </si>
  <si>
    <t>https://tinyurl.com/ya394sae</t>
  </si>
  <si>
    <t>Blizzard Zero G 95 Skis Men's 2022</t>
  </si>
  <si>
    <t>https://tinyurl.com/y794nhf3</t>
  </si>
  <si>
    <t>K2 Sight Skis</t>
  </si>
  <si>
    <t>https://tinyurl.com/y75gf9qw</t>
  </si>
  <si>
    <t>https://tinyurl.com/yafcqcv4</t>
  </si>
  <si>
    <t>Buckman's Ski and Snowboard Shop</t>
  </si>
  <si>
    <t>https://tinyurl.com/ybww4prb</t>
  </si>
  <si>
    <t>Dynastar M-Tour 99 Ski 2022</t>
  </si>
  <si>
    <t>https://tinyurl.com/y9738rae</t>
  </si>
  <si>
    <t>https://tinyurl.com/yctsxen4</t>
  </si>
  <si>
    <t>https://tinyurl.com/y82cavmp</t>
  </si>
  <si>
    <t>Black Diamond Impulse 104 Skis Â· 2022 Â· 165 cm</t>
  </si>
  <si>
    <t>https://tinyurl.com/y7jzlrlt</t>
  </si>
  <si>
    <t>https://tinyurl.com/ydcw9n9c</t>
  </si>
  <si>
    <t>CampSaver.com</t>
  </si>
  <si>
    <t>https://tinyurl.com/y7yzg3gh</t>
  </si>
  <si>
    <t>https://tinyurl.com/y8s4ubvu</t>
  </si>
  <si>
    <t>https://tinyurl.com/yatt4psh</t>
  </si>
  <si>
    <t>https://tinyurl.com/ya45aobe</t>
  </si>
  <si>
    <t>Line Vision 98 Skis</t>
  </si>
  <si>
    <t>https://tinyurl.com/yae4zvmb</t>
  </si>
  <si>
    <t>Line Vision 98 Skis 179</t>
  </si>
  <si>
    <t>https://tinyurl.com/yavum8qf</t>
  </si>
  <si>
    <t>'22 Line Vision 98 Skis 179cm</t>
  </si>
  <si>
    <t>https://tinyurl.com/ybmutuxk</t>
  </si>
  <si>
    <t>Blizzard Black Pearl 88 21/22</t>
  </si>
  <si>
    <t>https://tinyurl.com/yahpr6af</t>
  </si>
  <si>
    <t>SportÃ¨que</t>
  </si>
  <si>
    <t>https://tinyurl.com/y7sq52bv</t>
  </si>
  <si>
    <t>Blizzard Black Pearl 88 - Winter 2021/2022 165</t>
  </si>
  <si>
    <t>https://tinyurl.com/y89vx4rv</t>
  </si>
  <si>
    <t>Stockli Stormrider 95 2022</t>
  </si>
  <si>
    <t>https://tinyurl.com/y7uxr8rb</t>
  </si>
  <si>
    <t>https://tinyurl.com/y6uelk3g</t>
  </si>
  <si>
    <t>https://tinyurl.com/y7t5hzmc</t>
  </si>
  <si>
    <t>Icelantic Nomad 105 Lite Skis Â· 2022 Â· 171 cm</t>
  </si>
  <si>
    <t>https://tinyurl.com/ycz9cdom</t>
  </si>
  <si>
    <t>https://tinyurl.com/y9hd466n</t>
  </si>
  <si>
    <t>https://tinyurl.com/yccnfbpc</t>
  </si>
  <si>
    <t>Armada ARV 96 Limited Black-Grey-Purple-Orange 170 Ski Men</t>
  </si>
  <si>
    <t>https://tinyurl.com/ydbo29xj</t>
  </si>
  <si>
    <t>Armada ARV 96 Skis 2022</t>
  </si>
  <si>
    <t>The Mountain Air</t>
  </si>
  <si>
    <t>https://tinyurl.com/ybtcwsxu</t>
  </si>
  <si>
    <t>https://tinyurl.com/ybrmdenw</t>
  </si>
  <si>
    <t>Atomic Maven 93 C</t>
  </si>
  <si>
    <t>https://tinyurl.com/yblbod3r</t>
  </si>
  <si>
    <t>https://tinyurl.com/yccbwyaw</t>
  </si>
  <si>
    <t>https://tinyurl.com/ycbgmb6x</t>
  </si>
  <si>
    <t>Black Crows Camox Skis</t>
  </si>
  <si>
    <t>https://tinyurl.com/ybbbyp3g</t>
  </si>
  <si>
    <t>https://tinyurl.com/y9af4ybs</t>
  </si>
  <si>
    <t>https://tinyurl.com/ybr6g7te</t>
  </si>
  <si>
    <t>Salomon MTN Explore 88 177 cm</t>
  </si>
  <si>
    <t>https://tinyurl.com/y9wjxkzc</t>
  </si>
  <si>
    <t>https://tinyurl.com/y9t4rqvg</t>
  </si>
  <si>
    <t>Salomon MTN Explore 88 RED/BLACK / 177</t>
  </si>
  <si>
    <t>https://tinyurl.com/yc6fx8bq</t>
  </si>
  <si>
    <t>K2 Reckoner 102 Skis 2022</t>
  </si>
  <si>
    <t>https://tinyurl.com/ybarmvre</t>
  </si>
  <si>
    <t>K2 Reckoner 102 21/22</t>
  </si>
  <si>
    <t>https://tinyurl.com/y72lkp6t</t>
  </si>
  <si>
    <t>2022 K2 Reckoner 102 Demo Skis w/ Marker Griffon 13 Demo Bindings - 184| Ski Essentials</t>
  </si>
  <si>
    <t>https://tinyurl.com/ya7t3s8p</t>
  </si>
  <si>
    <t>Fischer Ranger 99 Ti Ski - 2022</t>
  </si>
  <si>
    <t>https://tinyurl.com/y9r825gb</t>
  </si>
  <si>
    <t>Fischer Ranger 99 Ti WS 20/21</t>
  </si>
  <si>
    <t>https://tinyurl.com/y9jhds4k</t>
  </si>
  <si>
    <t>Fischer Ranger 99 Ti Dark Green 174 Ski Men</t>
  </si>
  <si>
    <t>https://tinyurl.com/yb38fhss</t>
  </si>
  <si>
    <t>https://tinyurl.com/y9349qp2</t>
  </si>
  <si>
    <t>https://tinyurl.com/y9ddr7zn</t>
  </si>
  <si>
    <t>https://tinyurl.com/y94h92gl</t>
  </si>
  <si>
    <t>'22 K2 Poacher Skis 177cm</t>
  </si>
  <si>
    <t>https://tinyurl.com/y9kg88qn</t>
  </si>
  <si>
    <t>K2 Poacher Skis 2022 - 177</t>
  </si>
  <si>
    <t>https://tinyurl.com/y8tn3ykq</t>
  </si>
  <si>
    <t>K2 Poacher Skis 2022 - Size: 177</t>
  </si>
  <si>
    <t>https://tinyurl.com/yc77ldsm</t>
  </si>
  <si>
    <t>Faction Dictator 2.0x Skis</t>
  </si>
  <si>
    <t>https://tinyurl.com/y7g7u378</t>
  </si>
  <si>
    <t>https://tinyurl.com/y7h36qc7</t>
  </si>
  <si>
    <t>https://tinyurl.com/ycbzt9cj</t>
  </si>
  <si>
    <t>Blizzard Zero G 105 AT Setup Skis w Marker Alpinist 12 Bindings  Demo</t>
  </si>
  <si>
    <t>https://tinyurl.com/y8a85mvq</t>
  </si>
  <si>
    <t>2022 Blizzard Zero G 105 Skis with Marker Kingpin 13 Bindings (180)</t>
  </si>
  <si>
    <t>https://tinyurl.com/y8pmfam8</t>
  </si>
  <si>
    <t>Blizzard Zero G 105</t>
  </si>
  <si>
    <t>https://tinyurl.com/yardmozs</t>
  </si>
  <si>
    <t>168 Cm Salomon Stance 96 Demo Skis + Salomon Warden 13 Demo Bindings</t>
  </si>
  <si>
    <t>eBay - equinox_outfitters</t>
  </si>
  <si>
    <t>https://tinyurl.com/y9q8497f</t>
  </si>
  <si>
    <t xml:space="preserve"> 2021 Salomon Stance 96 Demo Ski with Bindings Size 168 (Option 210060)</t>
  </si>
  <si>
    <t>https://tinyurl.com/y8ovc76m</t>
  </si>
  <si>
    <t>Salomon N Stance 96 168cm</t>
  </si>
  <si>
    <t>https://tinyurl.com/yab8axcr</t>
  </si>
  <si>
    <t>DPS Pagoda Piste 90 RP Skis Â· 184 cm Â· Yellow</t>
  </si>
  <si>
    <t>https://tinyurl.com/yb3ubn4s</t>
  </si>
  <si>
    <t>https://tinyurl.com/y93tnmz6</t>
  </si>
  <si>
    <t>Pagoda Piste 90 RP Yellow - 184cm</t>
  </si>
  <si>
    <t>https://tinyurl.com/y87onre7</t>
  </si>
  <si>
    <t>Head Kore 90 x Skis 2022 - 177</t>
  </si>
  <si>
    <t>https://tinyurl.com/ybg3lpdl</t>
  </si>
  <si>
    <t>https://tinyurl.com/ybh6xtjs</t>
  </si>
  <si>
    <t>https://tinyurl.com/y7g2co7a</t>
  </si>
  <si>
    <t>Elan Ripstick 94 170</t>
  </si>
  <si>
    <t>https://tinyurl.com/yahgahbt</t>
  </si>
  <si>
    <t>https://tinyurl.com/yaa6r22l</t>
  </si>
  <si>
    <t>Elan Ripstick 94 Skis | Womens | 170 | Christy Sports</t>
  </si>
  <si>
    <t>https://tinyurl.com/y8op5wyf</t>
  </si>
  <si>
    <t>Dynafit Blacklight 88 BLACK/ BLUE / 178</t>
  </si>
  <si>
    <t>https://tinyurl.com/ybwfxfy4</t>
  </si>
  <si>
    <t>Dynafit Blacklight 95 Combo 178</t>
  </si>
  <si>
    <t>https://tinyurl.com/y7gweq4b</t>
  </si>
  <si>
    <t>Dynafit Blacklight 88, Black Blue / 178cm</t>
  </si>
  <si>
    <t>https://tinyurl.com/ydhybrub</t>
  </si>
  <si>
    <t>Volkl Kenja 88 Skis</t>
  </si>
  <si>
    <t>https://tinyurl.com/ybj5f2n3</t>
  </si>
  <si>
    <t>VÃ¶lkl Rise Above 88 Touring Skis 156</t>
  </si>
  <si>
    <t>https://tinyurl.com/ybzrrv4o</t>
  </si>
  <si>
    <t>Volkl Ladies' Kenja 88 Flat Ski 2020-2021 | RED / 156</t>
  </si>
  <si>
    <t>https://tinyurl.com/ycm28rgn</t>
  </si>
  <si>
    <t>Nordica Santa Ana 104 Free with Tyrolia Bindings 179cm (1101165)</t>
  </si>
  <si>
    <t>https://tinyurl.com/y7btxbz2</t>
  </si>
  <si>
    <t>Nordica Santa Ana 104 Free Skis - Women's 2022</t>
  </si>
  <si>
    <t>https://tinyurl.com/y9ntp68a</t>
  </si>
  <si>
    <t>2021 Nordica Santa Ana 104 Free + Marker Griffon 13 Demo - 179cm -  - Ski Town All-Stars -  Skis</t>
  </si>
  <si>
    <t>https://tinyurl.com/yc9bnq2r</t>
  </si>
  <si>
    <t>2022 Line Pescado Skis w/Tyrolia Attack2 13 GW Bindings (180)</t>
  </si>
  <si>
    <t>https://tinyurl.com/ycua54xh</t>
  </si>
  <si>
    <t>https://tinyurl.com/y9s4fb83</t>
  </si>
  <si>
    <t>Line Pescado Skis 2022</t>
  </si>
  <si>
    <t>https://tinyurl.com/y88rhzyv</t>
  </si>
  <si>
    <t>Armada Reliance 92 Ti Skis 2022</t>
  </si>
  <si>
    <t>https://tinyurl.com/yczklefa</t>
  </si>
  <si>
    <t>https://tinyurl.com/ybz662jg</t>
  </si>
  <si>
    <t>https://tinyurl.com/yd3kr5km</t>
  </si>
  <si>
    <t>Head V-shape V4 Xl Skis With Size Adjustable Pr 10 Gw Bindings 2022</t>
  </si>
  <si>
    <t>eBay - wintersportdeals</t>
  </si>
  <si>
    <t>https://tinyurl.com/ybfvq9zw</t>
  </si>
  <si>
    <t>Head V-Shape V4 XL Black-Green 170 Ski Men</t>
  </si>
  <si>
    <t>https://tinyurl.com/yb82rtv2</t>
  </si>
  <si>
    <t>https://tinyurl.com/ycrcpn47</t>
  </si>
  <si>
    <t>Line Vision 118 Skis 175cm 2022</t>
  </si>
  <si>
    <t>https://tinyurl.com/yaca7z4h</t>
  </si>
  <si>
    <t>https://tinyurl.com/y9ro6myl</t>
  </si>
  <si>
    <t>https://tinyurl.com/ybm5ukmx</t>
  </si>
  <si>
    <t>Salomon QST Stella 106 Beige/Pink / 159cm</t>
  </si>
  <si>
    <t>https://tinyurl.com/y8wavqzh</t>
  </si>
  <si>
    <t>https://tinyurl.com/y8atk8q9</t>
  </si>
  <si>
    <t>Salomon QST Stella 106 Women's Skis 159cm 2022</t>
  </si>
  <si>
    <t>https://tinyurl.com/ydy2r8yq</t>
  </si>
  <si>
    <t>Atomic Backland 100 Skis 2022</t>
  </si>
  <si>
    <t>https://tinyurl.com/ydbjgr5j</t>
  </si>
  <si>
    <t>https://tinyurl.com/y7k3fykc</t>
  </si>
  <si>
    <t>https://tinyurl.com/y8h3ojta</t>
  </si>
  <si>
    <t>Liberty Skis Evolv 90 Ski</t>
  </si>
  <si>
    <t>https://tinyurl.com/ybn8cg44</t>
  </si>
  <si>
    <t>https://tinyurl.com/y9scgme9</t>
  </si>
  <si>
    <t>Evolv 90 - Proto 179</t>
  </si>
  <si>
    <t>https://tinyurl.com/ybttlm9l</t>
  </si>
  <si>
    <t>19-20 Faction Prodigy 2.0  Men's Demo Skis W/binding Size 171cm</t>
  </si>
  <si>
    <t>eBay - demo-skis</t>
  </si>
  <si>
    <t>https://tinyurl.com/y7v4r6ap</t>
  </si>
  <si>
    <t>https://tinyurl.com/y8n5ljw2</t>
  </si>
  <si>
    <t>https://tinyurl.com/ycu298c5</t>
  </si>
  <si>
    <t>Nordica Santa Ana 93 21/22</t>
  </si>
  <si>
    <t>https://tinyurl.com/ybt6myds</t>
  </si>
  <si>
    <t>Nordica Santa Ana 93 Skis</t>
  </si>
  <si>
    <t>https://tinyurl.com/y9hcwkos</t>
  </si>
  <si>
    <t>Nordica Santa Ana 93 Alpine Skis 2022 - - 165 cm</t>
  </si>
  <si>
    <t>https://tinyurl.com/y9dvqr4w</t>
  </si>
  <si>
    <t>Line 2022 Tom Wallisch Pro Skis</t>
  </si>
  <si>
    <t>https://tinyurl.com/y75fpgzo</t>
  </si>
  <si>
    <t>Line Skis Tom Wallisch Pro</t>
  </si>
  <si>
    <t>https://tinyurl.com/y9wuqvwe</t>
  </si>
  <si>
    <t>Line Blend Skis 2022</t>
  </si>
  <si>
    <t>https://tinyurl.com/y9a9mdkr</t>
  </si>
  <si>
    <t>Head Oblivion 94 Gr/Bl / 184cm</t>
  </si>
  <si>
    <t>https://tinyurl.com/y82m89wt</t>
  </si>
  <si>
    <t>Head Oblivion 94 Skis Â· 2022 Â· 184 cm</t>
  </si>
  <si>
    <t>https://tinyurl.com/y863e3jp</t>
  </si>
  <si>
    <t>2022 Head Oblivion 94 Twin Tip Snow Skis 184</t>
  </si>
  <si>
    <t>https://tinyurl.com/y8emc43f</t>
  </si>
  <si>
    <t>Rossignol Blackops Alpineer 96 Skis - 2022</t>
  </si>
  <si>
    <t>https://tinyurl.com/y76vd9vd</t>
  </si>
  <si>
    <t>https://tinyurl.com/y7qm5edn</t>
  </si>
  <si>
    <t>https://tinyurl.com/y833d52c</t>
  </si>
  <si>
    <t>https://tinyurl.com/ybdtqa3z</t>
  </si>
  <si>
    <t>https://tinyurl.com/y88v4wrw</t>
  </si>
  <si>
    <t>https://tinyurl.com/yagmeaqc</t>
  </si>
  <si>
    <t>Aspen East</t>
  </si>
  <si>
    <t>https://tinyurl.com/y882s9nx</t>
  </si>
  <si>
    <t>https://tinyurl.com/yc9dzt3q</t>
  </si>
  <si>
    <t>https://tinyurl.com/ydb4fq72</t>
  </si>
  <si>
    <t>Atomic Redster S7 + ft 12 GW 18/19</t>
  </si>
  <si>
    <t>https://tinyurl.com/yc9xoqbs</t>
  </si>
  <si>
    <t>Atomic Mens Redster XT Skis + XT 10 Bindings 2017 - 163</t>
  </si>
  <si>
    <t>Sun 'N Fun Specialty Sports</t>
  </si>
  <si>
    <t>https://tinyurl.com/ybxxbdwb</t>
  </si>
  <si>
    <t>Atomic Redster RX EZY2 156 cm Ski + Elan ESR10 Bindings Winter Fun Snow Outdoor</t>
  </si>
  <si>
    <t>eBay - traventuria</t>
  </si>
  <si>
    <t>https://tinyurl.com/yae4swmx</t>
  </si>
  <si>
    <t>https://tinyurl.com/ybf4xu4e</t>
  </si>
  <si>
    <t>https://tinyurl.com/y6w7ad55</t>
  </si>
  <si>
    <t>Line Sick Day 94 Ski 2022</t>
  </si>
  <si>
    <t>https://tinyurl.com/yavd9o6h</t>
  </si>
  <si>
    <t>Stockli Laser SC Orea Skis 2023 w/12 Bindings 170</t>
  </si>
  <si>
    <t>https://tinyurl.com/ydaqe276</t>
  </si>
  <si>
    <t>2019 Laser SX Spd 1SP12 Ti GRN / 170</t>
  </si>
  <si>
    <t>Sporthaus</t>
  </si>
  <si>
    <t>https://tinyurl.com/y9gb23x5</t>
  </si>
  <si>
    <t>Stockli Laser SL Skis W SRT 12 Bindings 170cm 2022</t>
  </si>
  <si>
    <t>https://tinyurl.com/y7xt4eny</t>
  </si>
  <si>
    <t>Skis Rossignol Blackops Sender</t>
  </si>
  <si>
    <t>https://tinyurl.com/ybo9drwq</t>
  </si>
  <si>
    <t>https://tinyurl.com/yd755rj2</t>
  </si>
  <si>
    <t>https://tinyurl.com/y7nqwvnw</t>
  </si>
  <si>
    <t>Rossignol Experience 80 Carbon Skis w/ Look Xpress 10 GW Bindings</t>
  </si>
  <si>
    <t>https://tinyurl.com/y73s97bd</t>
  </si>
  <si>
    <t>Rossignol Men's All Mountain Skis Experience 80 Carbon (xpress)</t>
  </si>
  <si>
    <t>https://tinyurl.com/y93xkhq3</t>
  </si>
  <si>
    <t>https://tinyurl.com/y8buobus</t>
  </si>
  <si>
    <t>Volkl - Mantra V Werks Ski - 170</t>
  </si>
  <si>
    <t>https://tinyurl.com/yam7xkf4</t>
  </si>
  <si>
    <t>2022 Volkl Mantra V-Werks Skis w/ Marker Kingpin 13 Bindings - 170| Ski Essentials</t>
  </si>
  <si>
    <t>https://tinyurl.com/yb6btlfh</t>
  </si>
  <si>
    <t>Volkl Mantra 2017 Skis - 170 cm</t>
  </si>
  <si>
    <t>https://tinyurl.com/ycohmvnd</t>
  </si>
  <si>
    <t>K2 Poacher Skis 2022 - 163</t>
  </si>
  <si>
    <t>https://tinyurl.com/ybyyrc9h</t>
  </si>
  <si>
    <t>https://tinyurl.com/ybecykpr</t>
  </si>
  <si>
    <t>https://tinyurl.com/y7eouelw</t>
  </si>
  <si>
    <t>Faction Prodigy 1.0 Skis 2022 - 178</t>
  </si>
  <si>
    <t>https://tinyurl.com/y8sal3jl</t>
  </si>
  <si>
    <t>https://tinyurl.com/y9sw5tgn</t>
  </si>
  <si>
    <t>Faction Ct 1.0 21/22</t>
  </si>
  <si>
    <t>https://tinyurl.com/yc9genfl</t>
  </si>
  <si>
    <t>Atomic Backland 85 Alpine Touring Ski (2022) 179</t>
  </si>
  <si>
    <t>https://tinyurl.com/yd7tnhg5</t>
  </si>
  <si>
    <t>Atomic Backland 85 + HYB Skin 85/86 Alpine Set</t>
  </si>
  <si>
    <t>https://tinyurl.com/ybpxvhtt</t>
  </si>
  <si>
    <t>https://tinyurl.com/y9vsm4gw</t>
  </si>
  <si>
    <t>Armada Edollo Skis Â· 2022</t>
  </si>
  <si>
    <t>https://tinyurl.com/yanh4yrs</t>
  </si>
  <si>
    <t>https://tinyurl.com/ydxr9g85</t>
  </si>
  <si>
    <t>https://tinyurl.com/ycsmh9bb</t>
  </si>
  <si>
    <t>K2 Mindbender 85 Skis 2020</t>
  </si>
  <si>
    <t>Nomads</t>
  </si>
  <si>
    <t>https://tinyurl.com/y88ya7ln</t>
  </si>
  <si>
    <t>K2 Mindbender 85 Alliance Skis</t>
  </si>
  <si>
    <t>https://tinyurl.com/y9ykdwap</t>
  </si>
  <si>
    <t>https://tinyurl.com/y9wgx7om</t>
  </si>
  <si>
    <t>Black Crows Atris Skis 184cm 2020</t>
  </si>
  <si>
    <t>https://tinyurl.com/y9anjvwz</t>
  </si>
  <si>
    <t>Black Crows Atris Skis</t>
  </si>
  <si>
    <t>https://tinyurl.com/y984nshl</t>
  </si>
  <si>
    <t>https://tinyurl.com/ycrf9maf</t>
  </si>
  <si>
    <t>Rossignol Nova 10 Ti Xpress W 11 GW Women's Skis, 160cm Black Sparkle 2020</t>
  </si>
  <si>
    <t>https://tinyurl.com/ybydhwem</t>
  </si>
  <si>
    <t>Rossignol Experience 76 Skis w/ Look Xpress 10 GW Bindings</t>
  </si>
  <si>
    <t>https://tinyurl.com/y8yebqqo</t>
  </si>
  <si>
    <t>Rossignol Blackops Smasher Skis w/ Look Xpress 10 GW Bindings</t>
  </si>
  <si>
    <t>https://tinyurl.com/ydg9xnd4</t>
  </si>
  <si>
    <t>Elan Ripstick 106 Skis</t>
  </si>
  <si>
    <t>https://tinyurl.com/y7lehd5y</t>
  </si>
  <si>
    <t>Elan Ripstick 106 Flat Ski 2020-2021 | BLUE YEL / 180</t>
  </si>
  <si>
    <t>https://tinyurl.com/ybr8pubu</t>
  </si>
  <si>
    <t>Elan Ripstick 106 - Ski - 2022 180</t>
  </si>
  <si>
    <t>https://tinyurl.com/y7zlzslt</t>
  </si>
  <si>
    <t>Black Diamond Impulse 104 Skis</t>
  </si>
  <si>
    <t>https://tinyurl.com/y8xb3gog</t>
  </si>
  <si>
    <t>https://tinyurl.com/y952ycc5</t>
  </si>
  <si>
    <t>https://tinyurl.com/yb3c2wlt</t>
  </si>
  <si>
    <t>https://tinyurl.com/ybxhc3dm</t>
  </si>
  <si>
    <t>https://tinyurl.com/yc4dx8tc</t>
  </si>
  <si>
    <t>https://tinyurl.com/y89ggejs</t>
  </si>
  <si>
    <t>https://tinyurl.com/ya3v7d77</t>
  </si>
  <si>
    <t>https://tinyurl.com/y939mka5</t>
  </si>
  <si>
    <t>https://tinyurl.com/yc9vuasm</t>
  </si>
  <si>
    <t>2019 Salomon Qst 99 167cm W/ Marker Fdt 10 Binding</t>
  </si>
  <si>
    <t>https://tinyurl.com/ybtj5635</t>
  </si>
  <si>
    <t xml:space="preserve"> 2017 Salomon QST 99 Demo Ski with Bindings Size 167 (Option 210696)</t>
  </si>
  <si>
    <t>https://tinyurl.com/ycg9jcfr</t>
  </si>
  <si>
    <t>Salomon QST 99 Skis</t>
  </si>
  <si>
    <t>https://tinyurl.com/yaq4auka</t>
  </si>
  <si>
    <t>https://tinyurl.com/y9w7uwfh</t>
  </si>
  <si>
    <t>https://tinyurl.com/y9e7p8a5</t>
  </si>
  <si>
    <t>https://tinyurl.com/y7sq458w</t>
  </si>
  <si>
    <t>Nordica Enforcer 88 / Santa Ana 93 Ski Skins - 2022 158 cm</t>
  </si>
  <si>
    <t>https://tinyurl.com/ya6c4cfj</t>
  </si>
  <si>
    <t>Nordica Santa Ana 93 Alpine Skis 2022 - - 158 cm</t>
  </si>
  <si>
    <t>https://tinyurl.com/ya7xblja</t>
  </si>
  <si>
    <t>Nordica Santa Ana 93 Skis 2022 - 158cm</t>
  </si>
  <si>
    <t>https://tinyurl.com/y7bxxs4s</t>
  </si>
  <si>
    <t>https://tinyurl.com/y9k55kns</t>
  </si>
  <si>
    <t>https://tinyurl.com/yahv3bgm</t>
  </si>
  <si>
    <t>https://tinyurl.com/y7aklbre</t>
  </si>
  <si>
    <t>Salomon STANCE W 88 168cm</t>
  </si>
  <si>
    <t>https://tinyurl.com/y8f75byv</t>
  </si>
  <si>
    <t>Salomon Stance W 88 Skis</t>
  </si>
  <si>
    <t>https://tinyurl.com/y8wcyc2b</t>
  </si>
  <si>
    <t>Salomon Stance 88 Skis 2022 - Women's</t>
  </si>
  <si>
    <t>https://tinyurl.com/yawqr7og</t>
  </si>
  <si>
    <t>Rossignol Experience W 82 Ti Skis Womens 2022</t>
  </si>
  <si>
    <t>https://tinyurl.com/yc7qkrms</t>
  </si>
  <si>
    <t>Rossignol Experience W 82 Ti Women's Skis W SPX 12 Konect GW Bindings</t>
  </si>
  <si>
    <t>https://tinyurl.com/y8qfh5hm</t>
  </si>
  <si>
    <t>Rossignol Women's Experience 82 Ti W Skis with Bindings 159 cm</t>
  </si>
  <si>
    <t>https://tinyurl.com/y85y5kpe</t>
  </si>
  <si>
    <t>Dynafit Blacklight 95 Ski Set - Black Magnet - 172cm</t>
  </si>
  <si>
    <t>https://tinyurl.com/y729lv8x</t>
  </si>
  <si>
    <t>https://tinyurl.com/ybesoc4h</t>
  </si>
  <si>
    <t>Dynafit Blacklight 95 Alpine Touring Ski 172</t>
  </si>
  <si>
    <t>https://tinyurl.com/y6vx6eg5</t>
  </si>
  <si>
    <t>DPS Pagoda Tour 87 C2 Ski (2022) 178</t>
  </si>
  <si>
    <t>https://tinyurl.com/yc8whmd6</t>
  </si>
  <si>
    <t>https://tinyurl.com/yd2zle28</t>
  </si>
  <si>
    <t>DPS Pagoda Tour 112 RP Skis Â· 178 cm Â· Orange</t>
  </si>
  <si>
    <t>https://tinyurl.com/y7qgwxgd</t>
  </si>
  <si>
    <t>Skis Black Crows Camox</t>
  </si>
  <si>
    <t>https://tinyurl.com/ycpvmymt</t>
  </si>
  <si>
    <t>https://tinyurl.com/ycvvnvom</t>
  </si>
  <si>
    <t>https://tinyurl.com/yaoehyrh</t>
  </si>
  <si>
    <t>2020 Blizzard Rustler 10 Skis</t>
  </si>
  <si>
    <t>https://tinyurl.com/ybbuy5um</t>
  </si>
  <si>
    <t>Blizzard Rustler 10 2022</t>
  </si>
  <si>
    <t>https://tinyurl.com/ycy6mdrt</t>
  </si>
  <si>
    <t>https://tinyurl.com/yakygrzz</t>
  </si>
  <si>
    <t>Faction Agent 4.0 Pow Collab Skis 179cm 2022</t>
  </si>
  <si>
    <t>https://tinyurl.com/ydyzg82k</t>
  </si>
  <si>
    <t>Faction Prodigy 4.0 Skis</t>
  </si>
  <si>
    <t>https://tinyurl.com/y7p2lwe9</t>
  </si>
  <si>
    <t>https://tinyurl.com/yb8d6rmn</t>
  </si>
  <si>
    <t>https://tinyurl.com/yatr7slk</t>
  </si>
  <si>
    <t>Blizzard Black Pearl 88 - Winter 2021/2022 171</t>
  </si>
  <si>
    <t>https://tinyurl.com/y9ghbwh8</t>
  </si>
  <si>
    <t>'22 Blizzard Black Pearl 88 Skis 171cm</t>
  </si>
  <si>
    <t>https://tinyurl.com/yd9n9dgr</t>
  </si>
  <si>
    <t>Icelantic Nomad 105 171cm with Adjustable Tyrolia Bindings</t>
  </si>
  <si>
    <t>Requipper</t>
  </si>
  <si>
    <t>https://tinyurl.com/y7zas2ol</t>
  </si>
  <si>
    <t>Icelantic Nomad 105 Skis 2022 171cm</t>
  </si>
  <si>
    <t>https://tinyurl.com/y78yalvx</t>
  </si>
  <si>
    <t>https://tinyurl.com/y79ap75f</t>
  </si>
  <si>
    <t>Black Crows - Justis Skis - 177</t>
  </si>
  <si>
    <t>https://tinyurl.com/yd6w37po</t>
  </si>
  <si>
    <t>2022/2023 Black Crows JUSTIS 177cm - $680</t>
  </si>
  <si>
    <t>https://tinyurl.com/yahlqw8s</t>
  </si>
  <si>
    <t>https://tinyurl.com/yc9hlrea</t>
  </si>
  <si>
    <t>Volkl Blaze 94 Skis</t>
  </si>
  <si>
    <t>https://tinyurl.com/y8qoqhpg</t>
  </si>
  <si>
    <t>https://tinyurl.com/y89jugp3</t>
  </si>
  <si>
    <t>https://tinyurl.com/ybl6sx66</t>
  </si>
  <si>
    <t>Armada Declivity 102 Ti Skis</t>
  </si>
  <si>
    <t>https://tinyurl.com/yausgh8y</t>
  </si>
  <si>
    <t>https://tinyurl.com/ycletr6y</t>
  </si>
  <si>
    <t>https://tinyurl.com/yaezu6ck</t>
  </si>
  <si>
    <t>2022 Black Crows Ferox Freebird Skis w/ Marker Kingpin 13 Bindings - 170| Ski Essentials</t>
  </si>
  <si>
    <t>https://tinyurl.com/y7gof943</t>
  </si>
  <si>
    <t>Black Crows Ferox Freebird Skis (2022) 170</t>
  </si>
  <si>
    <t>https://tinyurl.com/ybu29mlf</t>
  </si>
  <si>
    <t>Black Crows Ferox Freebird Skis 170 cm</t>
  </si>
  <si>
    <t>https://tinyurl.com/ybw7xvxt</t>
  </si>
  <si>
    <t>Blizzard Rustler 11 Skis 2022</t>
  </si>
  <si>
    <t>https://tinyurl.com/y8p3lcct</t>
  </si>
  <si>
    <t>https://tinyurl.com/y8hdx2y5</t>
  </si>
  <si>
    <t>Blizzard Rustler 11 Skis - 2022 172cm</t>
  </si>
  <si>
    <t>https://tinyurl.com/yc2e4ajh</t>
  </si>
  <si>
    <t>Single Skis Allplay - Rat Rod 178cm - Right Single Ski</t>
  </si>
  <si>
    <t>J Skis</t>
  </si>
  <si>
    <t>https://tinyurl.com/y7uotf6v</t>
  </si>
  <si>
    <t>Juventus - Handmade Skis</t>
  </si>
  <si>
    <t>Juventus Official Store</t>
  </si>
  <si>
    <t>https://tinyurl.com/yb2uk6gp</t>
  </si>
  <si>
    <t>Scott Superguide 88 Touring Skis (21/22)</t>
  </si>
  <si>
    <t>https://tinyurl.com/yafgse5m</t>
  </si>
  <si>
    <t>Fischer Ranger 115 FR Skis Mens 2021</t>
  </si>
  <si>
    <t>https://tinyurl.com/y8pxwroq</t>
  </si>
  <si>
    <t>Fischer Ranger 92 Ti Skis 2021</t>
  </si>
  <si>
    <t>https://tinyurl.com/ycoeyjrd</t>
  </si>
  <si>
    <t>Fischer Ranger 92 TI Flat Ski 2021-2022 | BLACK/BLUE / 178</t>
  </si>
  <si>
    <t>https://tinyurl.com/y9ths9b7</t>
  </si>
  <si>
    <t>Nordica Enforcer 88 / Santa Ana 93 Ski Skins - 2022 172 cm</t>
  </si>
  <si>
    <t>https://tinyurl.com/ybjhc2gy</t>
  </si>
  <si>
    <t>'22 Nordica Santa Ana 88 Skis 172cm</t>
  </si>
  <si>
    <t>https://tinyurl.com/yb3xnajc</t>
  </si>
  <si>
    <t>Nordica Women's Santa Ana 88 Alpine Ski 2022 172</t>
  </si>
  <si>
    <t>Boyne Country Sports</t>
  </si>
  <si>
    <t>https://tinyurl.com/y8eznp7f</t>
  </si>
  <si>
    <t>Salomon QST Stella 106 Beige/Pink / 174cm</t>
  </si>
  <si>
    <t>https://tinyurl.com/y9u3sk8c</t>
  </si>
  <si>
    <t>Salomon QST 106</t>
  </si>
  <si>
    <t>https://tinyurl.com/yd4hsaeo</t>
  </si>
  <si>
    <t>Salomon QST Stella 106 Skis Women's 2022</t>
  </si>
  <si>
    <t>https://tinyurl.com/y8xvz8b2</t>
  </si>
  <si>
    <t>Scott Superguide 88 21/22</t>
  </si>
  <si>
    <t>https://tinyurl.com/y82kc9sv</t>
  </si>
  <si>
    <t>https://tinyurl.com/ychlq3n8</t>
  </si>
  <si>
    <t>eBay - grassisport</t>
  </si>
  <si>
    <t>https://tinyurl.com/y7lfh7cv</t>
  </si>
  <si>
    <t>Armada Tracer 108 Skis 2022 188cm</t>
  </si>
  <si>
    <t>https://tinyurl.com/y7lmjle6</t>
  </si>
  <si>
    <t>Armada Tracer 108 Limited Purple-White-Orange 188 Ski Men</t>
  </si>
  <si>
    <t>https://tinyurl.com/y9bdn877</t>
  </si>
  <si>
    <t>Armada Tracer 108 Skis w/Armada NR Warden MNC 13 Demo Bindings</t>
  </si>
  <si>
    <t>https://tinyurl.com/yc5xfxfv</t>
  </si>
  <si>
    <t>Dynafit Blacklight 95 Ski Set - Black Magnet - 184cm</t>
  </si>
  <si>
    <t>https://tinyurl.com/y8srwo3k</t>
  </si>
  <si>
    <t>https://tinyurl.com/y8cbaw6v</t>
  </si>
  <si>
    <t>https://tinyurl.com/y9goln98</t>
  </si>
  <si>
    <t>Nordica Santa Ana 98 BLACK/BLUE / 172cm</t>
  </si>
  <si>
    <t>https://tinyurl.com/ycpdajvx</t>
  </si>
  <si>
    <t>Nordica Santa Ana 98 Skis Women's 2022</t>
  </si>
  <si>
    <t>https://tinyurl.com/y9klonnm</t>
  </si>
  <si>
    <t>https://tinyurl.com/yan7vavu</t>
  </si>
  <si>
    <t>Volkl M6 Mantra Flat Ski 2021-2022 | RED/BLACK / 163</t>
  </si>
  <si>
    <t>https://tinyurl.com/yafdpa32</t>
  </si>
  <si>
    <t>Volkl M6 Mantra Skis 2022</t>
  </si>
  <si>
    <t>https://tinyurl.com/yc5jxovj</t>
  </si>
  <si>
    <t>https://tinyurl.com/yatpmqka</t>
  </si>
  <si>
    <t>https://tinyurl.com/ydc7puf8</t>
  </si>
  <si>
    <t>https://tinyurl.com/yc67dgk4</t>
  </si>
  <si>
    <t>https://tinyurl.com/yc2c2rup</t>
  </si>
  <si>
    <t>https://tinyurl.com/y9umjr8r</t>
  </si>
  <si>
    <t>Black Diamond Helio 76 Ski - 161cm</t>
  </si>
  <si>
    <t>https://tinyurl.com/ycpwuwrg</t>
  </si>
  <si>
    <t>https://tinyurl.com/y9omhu7y</t>
  </si>
  <si>
    <t>Head Kore 87 Skis Â· 2022</t>
  </si>
  <si>
    <t>https://tinyurl.com/ycljupzh</t>
  </si>
  <si>
    <t>https://tinyurl.com/y7zza9yf</t>
  </si>
  <si>
    <t>https://tinyurl.com/y9r4ta4r</t>
  </si>
  <si>
    <t>https://tinyurl.com/y7cpaqxu</t>
  </si>
  <si>
    <t>https://tinyurl.com/yap7hwjw</t>
  </si>
  <si>
    <t>https://tinyurl.com/y8k9764o</t>
  </si>
  <si>
    <t>Dynastar Inspired By J. Nobis Skis 188cm 110 89 117 Look Bindings</t>
  </si>
  <si>
    <t>eBay - pbspace</t>
  </si>
  <si>
    <t>https://tinyurl.com/y9l5nzw2</t>
  </si>
  <si>
    <t>Zag Slap 104 Skis 188cm 2022</t>
  </si>
  <si>
    <t>https://tinyurl.com/yctm2dbl</t>
  </si>
  <si>
    <t>Rossignol 2020 Super 7 HD Skis</t>
  </si>
  <si>
    <t>https://tinyurl.com/y95odv8k</t>
  </si>
  <si>
    <t>K2 Midnight Women's Skis Â· 2022 Â· 159 cm</t>
  </si>
  <si>
    <t>https://tinyurl.com/yd6f8xt7</t>
  </si>
  <si>
    <t>https://tinyurl.com/y76daw37</t>
  </si>
  <si>
    <t>https://tinyurl.com/ycvaesfx</t>
  </si>
  <si>
    <t>https://tinyurl.com/yaqflpgt</t>
  </si>
  <si>
    <t>https://tinyurl.com/y88esxos</t>
  </si>
  <si>
    <t>https://tinyurl.com/y6vj4v7c</t>
  </si>
  <si>
    <t>K2 2020 Mindbender 90 C Skis</t>
  </si>
  <si>
    <t>https://tinyurl.com/y959rgok</t>
  </si>
  <si>
    <t>https://tinyurl.com/ybpthbvz</t>
  </si>
  <si>
    <t>https://tinyurl.com/yaftddxu</t>
  </si>
  <si>
    <t>https://tinyurl.com/y86z2c9n</t>
  </si>
  <si>
    <t>Nordica 2022 Santa Ana 88 Women's Skis</t>
  </si>
  <si>
    <t>https://tinyurl.com/y7ulh77l</t>
  </si>
  <si>
    <t>Nordica Santa Ana 88 Womens Skis 2022 158CM</t>
  </si>
  <si>
    <t>https://tinyurl.com/yal88xvw</t>
  </si>
  <si>
    <t>Dynafit Blacklight 95 Ski - 178cm</t>
  </si>
  <si>
    <t>https://tinyurl.com/ybchaewe</t>
  </si>
  <si>
    <t>https://tinyurl.com/y79u5ab6</t>
  </si>
  <si>
    <t>https://tinyurl.com/yd3qncq7</t>
  </si>
  <si>
    <t>Blizzard Sheeva 9 Skis</t>
  </si>
  <si>
    <t>https://tinyurl.com/yazo4994</t>
  </si>
  <si>
    <t>Peak Performance Ski Shop</t>
  </si>
  <si>
    <t>https://tinyurl.com/y7bdm9jt</t>
  </si>
  <si>
    <t>https://tinyurl.com/ydefk9u9</t>
  </si>
  <si>
    <t>Volkl M6 Mantra Flat Ski 2021-2022 | RED/BLACK / 170</t>
  </si>
  <si>
    <t>https://tinyurl.com/y7ezqxmn</t>
  </si>
  <si>
    <t>Volkl M6 Mantra Skis</t>
  </si>
  <si>
    <t>https://tinyurl.com/y9do4b4d</t>
  </si>
  <si>
    <t>Volkl 2022 Mantra M6 Skis</t>
  </si>
  <si>
    <t>https://tinyurl.com/ybzjqjvz</t>
  </si>
  <si>
    <t>Salomon N QST 98 Skis - 2022 183cm / Blue/Orange</t>
  </si>
  <si>
    <t>https://tinyurl.com/yad6p9b4</t>
  </si>
  <si>
    <t>Salomon QST 98 Blue/Orange / 183cm</t>
  </si>
  <si>
    <t>https://tinyurl.com/ybo4rgyr</t>
  </si>
  <si>
    <t>Salomon QST 98 Skis</t>
  </si>
  <si>
    <t>https://tinyurl.com/ycxj26ng</t>
  </si>
  <si>
    <t>https://tinyurl.com/yd3vq5bl</t>
  </si>
  <si>
    <t>Salomon QST Stella 106 Beige/Pink / 167cm</t>
  </si>
  <si>
    <t>https://tinyurl.com/ybelrdl3</t>
  </si>
  <si>
    <t>Salomon QST Stella 106 Women's Skis 167cm 2022</t>
  </si>
  <si>
    <t>https://tinyurl.com/y9fgg36d</t>
  </si>
  <si>
    <t>Rossignol Blackops Holyshred Skis - 2022</t>
  </si>
  <si>
    <t>https://tinyurl.com/yacxds69</t>
  </si>
  <si>
    <t>The Joyride "PROTOTYPE" Limited Edition Ski, 182cm</t>
  </si>
  <si>
    <t>https://tinyurl.com/ychctgox</t>
  </si>
  <si>
    <t>Liberty Skis Origin 106 Ski</t>
  </si>
  <si>
    <t>https://tinyurl.com/yd6tk5mf</t>
  </si>
  <si>
    <t>Volkl Bash 86 Skis</t>
  </si>
  <si>
    <t>https://tinyurl.com/y8y2y4m8</t>
  </si>
  <si>
    <t>Volkl Blaze 86 Skis 2022</t>
  </si>
  <si>
    <t>https://tinyurl.com/yaoz77tf</t>
  </si>
  <si>
    <t>https://tinyurl.com/y7sqo78a</t>
  </si>
  <si>
    <t>Dynastar M-Pro 90 Skis 186cm</t>
  </si>
  <si>
    <t>https://tinyurl.com/y9dervtj</t>
  </si>
  <si>
    <t>Dynastar M-PRO 90 186cm</t>
  </si>
  <si>
    <t>https://tinyurl.com/ycmftbsp</t>
  </si>
  <si>
    <t>https://tinyurl.com/y6uzpfgw</t>
  </si>
  <si>
    <t>Volkl Revolt 87 Skis</t>
  </si>
  <si>
    <t>https://tinyurl.com/yb89rjnd</t>
  </si>
  <si>
    <t>Revolt 87 169cm</t>
  </si>
  <si>
    <t>BS The Board Shop</t>
  </si>
  <si>
    <t>https://tinyurl.com/ycvf3yzu</t>
  </si>
  <si>
    <t>Line Skis Pandora 110 Skis Women's 2022 - 178</t>
  </si>
  <si>
    <t>https://tinyurl.com/yddy2w4d</t>
  </si>
  <si>
    <t>https://tinyurl.com/y7ttwhaz</t>
  </si>
  <si>
    <t>https://tinyurl.com/y9b253jt</t>
  </si>
  <si>
    <t>Black Crows Atris Birdie Skis - Women's - 2022</t>
  </si>
  <si>
    <t>https://tinyurl.com/yayqhwxo</t>
  </si>
  <si>
    <t>https://tinyurl.com/y8xgfd6k</t>
  </si>
  <si>
    <t>https://tinyurl.com/ycfht7xu</t>
  </si>
  <si>
    <t>Black Crows Divus Birdie Ski</t>
  </si>
  <si>
    <t>https://tinyurl.com/y9wz9x46</t>
  </si>
  <si>
    <t>2022 Black Crows Divus Skis w/ Tyrolia Attack2 14 GW Bindings - 167| Ski Essentials</t>
  </si>
  <si>
    <t>https://tinyurl.com/yd6xe9lf</t>
  </si>
  <si>
    <t>https://tinyurl.com/ybcsfrb6</t>
  </si>
  <si>
    <t>Atomic Backland 95 Skis 2022 - 169</t>
  </si>
  <si>
    <t>https://tinyurl.com/ya8pp7r8</t>
  </si>
  <si>
    <t>https://tinyurl.com/ycolro6s</t>
  </si>
  <si>
    <t>Atomic Backland 95 Alpine Touring Ski 169</t>
  </si>
  <si>
    <t>https://tinyurl.com/y7l62cka</t>
  </si>
  <si>
    <t>K2 Reckoner 92 Skis</t>
  </si>
  <si>
    <t>https://tinyurl.com/ybhmktml</t>
  </si>
  <si>
    <t>https://tinyurl.com/y77bremm</t>
  </si>
  <si>
    <t>https://tinyurl.com/y8ayzpfy</t>
  </si>
  <si>
    <t>https://tinyurl.com/y968awb2</t>
  </si>
  <si>
    <t>Blizzard Black Pearl 97 Skis</t>
  </si>
  <si>
    <t>https://tinyurl.com/y7xz867w</t>
  </si>
  <si>
    <t>2022 Blizzard Black Pearl 97 ladies snow skis 171</t>
  </si>
  <si>
    <t>https://tinyurl.com/y8ysx88p</t>
  </si>
  <si>
    <t>https://tinyurl.com/ya8qldn9</t>
  </si>
  <si>
    <t>Blizzard Rustler 10 19/20</t>
  </si>
  <si>
    <t>https://tinyurl.com/yaoqgptc</t>
  </si>
  <si>
    <t>Blizzard Rustler 10 Skis - 2022 - 172cm</t>
  </si>
  <si>
    <t>https://tinyurl.com/y7qwvygt</t>
  </si>
  <si>
    <t>https://tinyurl.com/yb7ttsjj</t>
  </si>
  <si>
    <t>https://tinyurl.com/y8z5fpx7</t>
  </si>
  <si>
    <t>https://tinyurl.com/yd8prjb7</t>
  </si>
  <si>
    <t>https://tinyurl.com/y9tjxj3v</t>
  </si>
  <si>
    <t>2022 K2 Mindbender 85 Alliance Women's Skis w/ Tyrolia Attack 11 GW Bindings - 163| Ski Essentials</t>
  </si>
  <si>
    <t>https://tinyurl.com/yc9f23w5</t>
  </si>
  <si>
    <t>K2 Mindbender 85 Alpine Skis 163</t>
  </si>
  <si>
    <t>https://tinyurl.com/y9vnorgc</t>
  </si>
  <si>
    <t>K2 Disruption 78C Skis w Marker M3 11 GW Demo Bindings  Demo Skis</t>
  </si>
  <si>
    <t>https://tinyurl.com/yadbh3qu</t>
  </si>
  <si>
    <t>K2 Disruption 78C Orange-Black 163 Ski Men</t>
  </si>
  <si>
    <t>https://tinyurl.com/ycvcaszv</t>
  </si>
  <si>
    <t>K2 Disruption 76 Skis Mens 2022 Multicolor 163cm Skis</t>
  </si>
  <si>
    <t>https://tinyurl.com/ybmtkyqy</t>
  </si>
  <si>
    <t>https://tinyurl.com/y8zwemrl</t>
  </si>
  <si>
    <t>Black Diamond Impulse 112 Skis</t>
  </si>
  <si>
    <t>https://tinyurl.com/ycdsvh45</t>
  </si>
  <si>
    <t>https://tinyurl.com/y9tnefh3</t>
  </si>
  <si>
    <t>https://tinyurl.com/ycccehsf</t>
  </si>
  <si>
    <t>https://tinyurl.com/y9jkwfon</t>
  </si>
  <si>
    <t>Dynastar M-PRO 90 W 154cm</t>
  </si>
  <si>
    <t>https://tinyurl.com/y77bcs85</t>
  </si>
  <si>
    <t>https://tinyurl.com/yarvd78e</t>
  </si>
  <si>
    <t>https://tinyurl.com/y85eyhna</t>
  </si>
  <si>
    <t>https://tinyurl.com/y8rnmpkh</t>
  </si>
  <si>
    <t>https://tinyurl.com/y6vern63</t>
  </si>
  <si>
    <t>https://tinyurl.com/y9gflev4</t>
  </si>
  <si>
    <t>K2 Mindbender 85 Skis w Tyrolia Attack 11 AT Demo Bindings  Demo</t>
  </si>
  <si>
    <t>https://tinyurl.com/y8df9wkd</t>
  </si>
  <si>
    <t>Armada Women's ARW 96 Skis - 163 cm</t>
  </si>
  <si>
    <t>https://tinyurl.com/y7yfhhsp</t>
  </si>
  <si>
    <t>Armada ARW 86 Skis 2022 163</t>
  </si>
  <si>
    <t>Winteriscalling.com</t>
  </si>
  <si>
    <t>https://tinyurl.com/yca323c4</t>
  </si>
  <si>
    <t>https://tinyurl.com/yb4uwclw</t>
  </si>
  <si>
    <t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t>
  </si>
  <si>
    <t>Dynafit Blacklight 95 Ski Set - Black Magnet - 178cm</t>
  </si>
  <si>
    <t>https://tinyurl.com/ycuzj7f9</t>
  </si>
  <si>
    <t>https://tinyurl.com/y7k7f8lw</t>
  </si>
  <si>
    <t>Atomic Cloud 9 Skis + M 10 GW Bindings Â· Women's Â· 2021 Â· 164 cm</t>
  </si>
  <si>
    <t>https://tinyurl.com/y9hnwhzq</t>
  </si>
  <si>
    <t>https://tinyurl.com/ybvy5ugg</t>
  </si>
  <si>
    <t>https://tinyurl.com/y98ntlwk</t>
  </si>
  <si>
    <t>Fischer Ranger 92 Ti Ski 171</t>
  </si>
  <si>
    <t>https://tinyurl.com/ycgp7fdm</t>
  </si>
  <si>
    <t>Fischer 2020 Ranger 92 Ti Skis (171)</t>
  </si>
  <si>
    <t>https://tinyurl.com/ya7vjx92</t>
  </si>
  <si>
    <t>Fischer Ranger 92 Ti Skis 2022 171</t>
  </si>
  <si>
    <t>fullsendskiandoutdoor.com</t>
  </si>
  <si>
    <t>https://tinyurl.com/ybmwy9nc</t>
  </si>
  <si>
    <t>https://tinyurl.com/y72ps8w8</t>
  </si>
  <si>
    <t>https://tinyurl.com/ya5qrotl</t>
  </si>
  <si>
    <t>https://tinyurl.com/yd53y9lq</t>
  </si>
  <si>
    <t>https://tinyurl.com/ybyccmlv</t>
  </si>
  <si>
    <t>WinterMen.com</t>
  </si>
  <si>
    <t>https://tinyurl.com/ybvqr3xc</t>
  </si>
  <si>
    <t>https://tinyurl.com/y83g5dlc</t>
  </si>
  <si>
    <t>Atomic 2022 Redster X9I WB Revo Ski with x 12 GW Bindings</t>
  </si>
  <si>
    <t>https://tinyurl.com/yca98bhb</t>
  </si>
  <si>
    <t>Atomic 2022 Redster X9i WB REVO S+ X 12 GW BLACK/SILVER / 168</t>
  </si>
  <si>
    <t>Cityhome</t>
  </si>
  <si>
    <t>https://tinyurl.com/ycgalxtm</t>
  </si>
  <si>
    <t>Atomic Redster X5 Skis w Atomic FT10 GW Demo Bindings  Demo Skis</t>
  </si>
  <si>
    <t>https://tinyurl.com/y9rxbpcq</t>
  </si>
  <si>
    <t>https://tinyurl.com/ya6ekezs</t>
  </si>
  <si>
    <t>https://tinyurl.com/y8j2ah6g</t>
  </si>
  <si>
    <t>https://tinyurl.com/y7xkme5a</t>
  </si>
  <si>
    <t>Black Crows Camox Skis 2022</t>
  </si>
  <si>
    <t>https://tinyurl.com/y9zw3afn</t>
  </si>
  <si>
    <t>Black Crows Camox Birdie Skis</t>
  </si>
  <si>
    <t>https://tinyurl.com/y7n7uqkt</t>
  </si>
  <si>
    <t>https://tinyurl.com/y79vce9s</t>
  </si>
  <si>
    <t>Liberty Origin 101 Skis - 2022 - 171cm</t>
  </si>
  <si>
    <t>https://tinyurl.com/y9hktdg6</t>
  </si>
  <si>
    <t>Liberty 22 Origin 101 171cm Demo</t>
  </si>
  <si>
    <t>https://tinyurl.com/ybgc2ssd</t>
  </si>
  <si>
    <t>Liberty Origin 101 Skis 171cm 2022</t>
  </si>
  <si>
    <t>https://tinyurl.com/yc3gwsd6</t>
  </si>
  <si>
    <t>Black Crows Ferox Freebird 181</t>
  </si>
  <si>
    <t>https://tinyurl.com/ybnrpj9s</t>
  </si>
  <si>
    <t>2022 Black Crows Ferox Freebird Skis w/ Marker Kingpin 13 Bindings - 181| Ski Essentials</t>
  </si>
  <si>
    <t>https://tinyurl.com/y9jhmyvb</t>
  </si>
  <si>
    <t>Black Crows Ferox Freebird Skis (2022) 181</t>
  </si>
  <si>
    <t>https://tinyurl.com/ydg4p9hq</t>
  </si>
  <si>
    <t>Volkl Bash 81 Skis 2021 - 158</t>
  </si>
  <si>
    <t>https://tinyurl.com/yckoheym</t>
  </si>
  <si>
    <t>https://tinyurl.com/yc3jldy9</t>
  </si>
  <si>
    <t>https://tinyurl.com/y9jvquxr</t>
  </si>
  <si>
    <t>'21 Liberty Origin 96 Skis 187cm</t>
  </si>
  <si>
    <t>https://tinyurl.com/yb9hkehm</t>
  </si>
  <si>
    <t>Liberty Origin 96 Skis 2021</t>
  </si>
  <si>
    <t>eBay - skibarn</t>
  </si>
  <si>
    <t>https://tinyurl.com/ycu3wpv9</t>
  </si>
  <si>
    <t>https://tinyurl.com/y7jpsr4w</t>
  </si>
  <si>
    <t>Elan Ripstick 102 W 162cm</t>
  </si>
  <si>
    <t>https://tinyurl.com/y99oyrw8</t>
  </si>
  <si>
    <t>Elan Ripstick 102 W Women's Skis</t>
  </si>
  <si>
    <t>https://tinyurl.com/ycub26wh</t>
  </si>
  <si>
    <t>https://tinyurl.com/y8djyws9</t>
  </si>
  <si>
    <t>Line Accessories | Line Sir Francis Bacon Skis W Marker Jester Bindings 184cm | Color: Blue | Size: Os | Periscopes's Closet</t>
  </si>
  <si>
    <t>https://tinyurl.com/yadn7nw2</t>
  </si>
  <si>
    <t xml:space="preserve"> Line 22 Sir Francis Bacon 184Cm Demo Skis</t>
  </si>
  <si>
    <t>https://tinyurl.com/y76qujca</t>
  </si>
  <si>
    <t>Line Sir Francis Bacon Skis 2022</t>
  </si>
  <si>
    <t>https://tinyurl.com/yb3exqvp</t>
  </si>
  <si>
    <t>K2 Mindbender 116 C Skis 2021 186</t>
  </si>
  <si>
    <t>https://tinyurl.com/yc9eejvb</t>
  </si>
  <si>
    <t>K2 Mindbender 116C Skis Â· 2022 Â· 186 cm</t>
  </si>
  <si>
    <t>https://tinyurl.com/y86r9fa3</t>
  </si>
  <si>
    <t>https://tinyurl.com/ybfs9g4r</t>
  </si>
  <si>
    <t>Stockli Stormrider 88 Skis 2022 Silver 175</t>
  </si>
  <si>
    <t>https://tinyurl.com/y9lv9f8h</t>
  </si>
  <si>
    <t>https://tinyurl.com/yd4rmfef</t>
  </si>
  <si>
    <t>Stockli Stormrider 88 Skis 2022 175cm</t>
  </si>
  <si>
    <t>https://tinyurl.com/y6wlx6ol</t>
  </si>
  <si>
    <t>Armada ARW 96 Skis - Women's 2022</t>
  </si>
  <si>
    <t>https://tinyurl.com/y9qltr2s</t>
  </si>
  <si>
    <t>https://tinyurl.com/yddkmtwd</t>
  </si>
  <si>
    <t>https://tinyurl.com/yazogjg7</t>
  </si>
  <si>
    <t>Volkl Revolt 95 Skis</t>
  </si>
  <si>
    <t>https://tinyurl.com/y8unwdx4</t>
  </si>
  <si>
    <t>https://tinyurl.com/ycnttqwn</t>
  </si>
  <si>
    <t>Volkl Revolt 95 165cm</t>
  </si>
  <si>
    <t>https://tinyurl.com/ycvps6kk</t>
  </si>
  <si>
    <t>SCOTT Superguide 95 W Alpine Touring Ski 160</t>
  </si>
  <si>
    <t>https://tinyurl.com/y9ndy2p5</t>
  </si>
  <si>
    <t>Scott Superguide 95 Ski - Women - 160cm</t>
  </si>
  <si>
    <t>https://tinyurl.com/y8lm45lt</t>
  </si>
  <si>
    <t>https://tinyurl.com/y8r8y7l6</t>
  </si>
  <si>
    <t>Liberty Skis Origin 106 BC Skis 2022</t>
  </si>
  <si>
    <t>https://tinyurl.com/y99zq4rh</t>
  </si>
  <si>
    <t>https://tinyurl.com/yar54hno</t>
  </si>
  <si>
    <t>'21 Liberty Origin 106 Skis 182cm</t>
  </si>
  <si>
    <t>https://tinyurl.com/yap7fncz</t>
  </si>
  <si>
    <t>https://tinyurl.com/ydgawtrf</t>
  </si>
  <si>
    <t>https://tinyurl.com/ydxydzwy</t>
  </si>
  <si>
    <t>Line Chronic 171 + Marker Griffon 13</t>
  </si>
  <si>
    <t>https://tinyurl.com/ybvqdsna</t>
  </si>
  <si>
    <t>https://tinyurl.com/y898ombs</t>
  </si>
  <si>
    <t>DPS Pagoda Tour 112 RP 168CM</t>
  </si>
  <si>
    <t>https://tinyurl.com/ybu9ttek</t>
  </si>
  <si>
    <t>DPS Pagoda 112 RP Light Green Skis Â· 2022 Â· 168 cm</t>
  </si>
  <si>
    <t>https://tinyurl.com/yclvbqpg</t>
  </si>
  <si>
    <t>https://tinyurl.com/yahopwv3</t>
  </si>
  <si>
    <t>https://tinyurl.com/ybwz5sb5</t>
  </si>
  <si>
    <t>https://tinyurl.com/y8hh2za6</t>
  </si>
  <si>
    <t>Rossignol Blackops Escaper Open 178cm</t>
  </si>
  <si>
    <t>https://tinyurl.com/yarlgawq</t>
  </si>
  <si>
    <t>https://tinyurl.com/yaoecve5</t>
  </si>
  <si>
    <t>Rossignol Blackops Escaper Ski</t>
  </si>
  <si>
    <t>https://tinyurl.com/y8h48fz8</t>
  </si>
  <si>
    <t>https://tinyurl.com/y744wnw8</t>
  </si>
  <si>
    <t>Elan Ripstick 96 - Ski - 2022 172</t>
  </si>
  <si>
    <t>https://tinyurl.com/yazov5uo</t>
  </si>
  <si>
    <t>https://tinyurl.com/ya2tgn4q</t>
  </si>
  <si>
    <t>Elan Skis Wildcat 82 C</t>
  </si>
  <si>
    <t>https://tinyurl.com/ycx5vzxc</t>
  </si>
  <si>
    <t>Elan Wildcat 82 C Ski System with ELW 9.0 GW Bindings Womens</t>
  </si>
  <si>
    <t>Peter Glenn Ski &amp; Sports</t>
  </si>
  <si>
    <t>https://tinyurl.com/y9erhlmw</t>
  </si>
  <si>
    <t>https://tinyurl.com/ya7zbn72</t>
  </si>
  <si>
    <t>Dynastar M-PRO 99 178cm</t>
  </si>
  <si>
    <t>https://tinyurl.com/y7tcxcpp</t>
  </si>
  <si>
    <t>Dynastar M-Pro 99</t>
  </si>
  <si>
    <t>https://tinyurl.com/yc5kenjh</t>
  </si>
  <si>
    <t>https://tinyurl.com/ycyp4yu5</t>
  </si>
  <si>
    <t>https://tinyurl.com/ybmed387</t>
  </si>
  <si>
    <t>Dynafit Blacklight 80 Ski Touring (Black/Orange)</t>
  </si>
  <si>
    <t>https://tinyurl.com/y8vkjsfl</t>
  </si>
  <si>
    <t>https://tinyurl.com/ybyl8rjn</t>
  </si>
  <si>
    <t>Dynafit Blacklight 95 Combo 172</t>
  </si>
  <si>
    <t>https://tinyurl.com/yckhypnc</t>
  </si>
  <si>
    <t>https://tinyurl.com/ybjn6uh4</t>
  </si>
  <si>
    <t>https://www.google.com/url?q=https://www.sunandski.com/p/34140019500002215/Armada-Mens-ARV-96-Skis-22%3Fvpc%3D34140019500002215-000000177&amp;sa=U&amp;ved=0ahUKEwjwmKePve72AhV2JzQIHXD-CJsQ2ykIHA&amp;usg=AOvVaw2miGIYhvceFi972W6ytFjY</t>
  </si>
  <si>
    <t>https://tinyurl.com/y9mq4zvw</t>
  </si>
  <si>
    <t>Faction - Prodigy 1.0x - 171</t>
  </si>
  <si>
    <t>https://tinyurl.com/y848klzv</t>
  </si>
  <si>
    <t>https://tinyurl.com/y7hwxc64</t>
  </si>
  <si>
    <t>Faction Ct 1.0 Skis</t>
  </si>
  <si>
    <t>https://tinyurl.com/ybzx9dcf</t>
  </si>
  <si>
    <t>Rossignol React R2F - 170</t>
  </si>
  <si>
    <t>Backpacking United</t>
  </si>
  <si>
    <t>https://tinyurl.com/y7sfk7yx</t>
  </si>
  <si>
    <t>Rossignol React 2/XP 10 GW RTL Black</t>
  </si>
  <si>
    <t>https://tinyurl.com/y9j2xgwx</t>
  </si>
  <si>
    <t>Rossignol React GTX incl bindings 170cm</t>
  </si>
  <si>
    <t>https://tinyurl.com/y7pto3j3</t>
  </si>
  <si>
    <t>https://tinyurl.com/yb2mhg64</t>
  </si>
  <si>
    <t>Deacon Xt Vmotion1 21/22 w/o Binding/Brake</t>
  </si>
  <si>
    <t>https://tinyurl.com/yccz7znk</t>
  </si>
  <si>
    <t>175 Cm Volkl Supersport S5 Ti Skis W/ Marker Ipt Motion Fast Adjust</t>
  </si>
  <si>
    <t>eBay - gtab9097</t>
  </si>
  <si>
    <t>https://tinyurl.com/y9h7td4v</t>
  </si>
  <si>
    <t>Elan Wildcat 76 LS ELW 9.0 158cm</t>
  </si>
  <si>
    <t>https://tinyurl.com/y8jjczp9</t>
  </si>
  <si>
    <t>Elan Women's Wildcat 76 C Skis with Bindings 158 cm</t>
  </si>
  <si>
    <t>https://tinyurl.com/y8gjbk7t</t>
  </si>
  <si>
    <t>Elan Wildcat 76 Skis + PS ELW 9.0 GW Bindings - Women's 2022 158</t>
  </si>
  <si>
    <t>https://tinyurl.com/ychu26lm</t>
  </si>
  <si>
    <t>Liberty Origin 101 Skis - 2022 - 176cm</t>
  </si>
  <si>
    <t>https://tinyurl.com/yc4pqtjr</t>
  </si>
  <si>
    <t>Liberty Skis Origin 101 Ski</t>
  </si>
  <si>
    <t>https://tinyurl.com/y98k6xt6</t>
  </si>
  <si>
    <t>Liberty 2022 Origin 101 Flat Ski NA / 176</t>
  </si>
  <si>
    <t>https://tinyurl.com/y9garb7u</t>
  </si>
  <si>
    <t>Dynastar M-Menace 90 Skis with Xpress 11 GW Ski Bindings - Men's 2022</t>
  </si>
  <si>
    <t>https://tinyurl.com/y72qzh8w</t>
  </si>
  <si>
    <t>Dynastar M-Pro 90 Ski</t>
  </si>
  <si>
    <t>https://tinyurl.com/y8knhynz</t>
  </si>
  <si>
    <t>https://tinyurl.com/y7k9ymro</t>
  </si>
  <si>
    <t>Elan Ripstick 96 180</t>
  </si>
  <si>
    <t>https://tinyurl.com/y9oeoaq3</t>
  </si>
  <si>
    <t>Elan Ripstick 96 - Ski - 2022 180</t>
  </si>
  <si>
    <t>https://tinyurl.com/ycvp6afb</t>
  </si>
  <si>
    <t>Elan Ripstick 96 Flat Ski 2020-2021 | GREEN / 180</t>
  </si>
  <si>
    <t>https://tinyurl.com/y8uskj4y</t>
  </si>
  <si>
    <t>K2 Empress Skis</t>
  </si>
  <si>
    <t>https://tinyurl.com/ycgx9z6h</t>
  </si>
  <si>
    <t>K2 Reckoner 92 Alliance Skis Â· 169 cm</t>
  </si>
  <si>
    <t>https://tinyurl.com/ych7volu</t>
  </si>
  <si>
    <t>K2 Reckoner 92 Alliance Skis 2022 - Size: 169</t>
  </si>
  <si>
    <t>https://tinyurl.com/y9j6edc5</t>
  </si>
  <si>
    <t>Black Crows Captis Skis</t>
  </si>
  <si>
    <t>https://tinyurl.com/y8j4bhqp</t>
  </si>
  <si>
    <t>https://tinyurl.com/yck7wn6a</t>
  </si>
  <si>
    <t>https://tinyurl.com/ycrozjgq</t>
  </si>
  <si>
    <t>'22 K2 Mindbender Team Skis 165cm</t>
  </si>
  <si>
    <t>https://tinyurl.com/y8vcsz94</t>
  </si>
  <si>
    <t>K2 Mindbender Team Skis 2022 - 165</t>
  </si>
  <si>
    <t>https://tinyurl.com/ycn9bey8</t>
  </si>
  <si>
    <t>https://tinyurl.com/yc5nahvc</t>
  </si>
  <si>
    <t>Faction Candide 2.0 YTH Skis 155cm 2021</t>
  </si>
  <si>
    <t>https://tinyurl.com/yc8g92eh</t>
  </si>
  <si>
    <t>Faction Agent 2.0x Women's Skis 2022</t>
  </si>
  <si>
    <t>https://tinyurl.com/ycbuetyd</t>
  </si>
  <si>
    <t>Faction CT 1.0 Skis JR 2022 155</t>
  </si>
  <si>
    <t>https://tinyurl.com/y7757w7d</t>
  </si>
  <si>
    <t>Rossignol Blackops W Stargazer 162cm</t>
  </si>
  <si>
    <t>https://tinyurl.com/y725prjp</t>
  </si>
  <si>
    <t>https://tinyurl.com/ydf33dla</t>
  </si>
  <si>
    <t>https://tinyurl.com/ycmc9c47</t>
  </si>
  <si>
    <t>K2 Mindbender 88 Ti Alliance Skis</t>
  </si>
  <si>
    <t>https://tinyurl.com/yck4xd7m</t>
  </si>
  <si>
    <t>https://tinyurl.com/y8glzzef</t>
  </si>
  <si>
    <t>https://tinyurl.com/ydfrsd95</t>
  </si>
  <si>
    <t>Icelantic Riveter 95 Women's Skis Â· 2022 Â· 162 cm</t>
  </si>
  <si>
    <t>https://tinyurl.com/y7m2o779</t>
  </si>
  <si>
    <t>Icelantic Riveter 95 Skis - Women's 2022 162cm</t>
  </si>
  <si>
    <t>https://tinyurl.com/yd2kvzj7</t>
  </si>
  <si>
    <t>https://tinyurl.com/ybffo283</t>
  </si>
  <si>
    <t>Armada Reliance 82 Ti Women's Skis 150cm 2022</t>
  </si>
  <si>
    <t>https://tinyurl.com/y7eq7ovy</t>
  </si>
  <si>
    <t>Armada Reliance 82 Ti Skis</t>
  </si>
  <si>
    <t>https://tinyurl.com/ybj3w9t7</t>
  </si>
  <si>
    <t>https://tinyurl.com/y8r7quue</t>
  </si>
  <si>
    <t>Skis Black Crows Divus</t>
  </si>
  <si>
    <t>https://tinyurl.com/yb8uwjjn</t>
  </si>
  <si>
    <t>https://tinyurl.com/y7vblsjp</t>
  </si>
  <si>
    <t>https://tinyurl.com/yb82mteo</t>
  </si>
  <si>
    <t>Atomic Maverick 95 Ti</t>
  </si>
  <si>
    <t>https://tinyurl.com/y92ecf3n</t>
  </si>
  <si>
    <t>https://tinyurl.com/y7oncme8</t>
  </si>
  <si>
    <t>https://tinyurl.com/y8v4tvbs</t>
  </si>
  <si>
    <t>https://tinyurl.com/y92w2xna</t>
  </si>
  <si>
    <t>https://tinyurl.com/y88hwgvu</t>
  </si>
  <si>
    <t>Faction Dictator 2.0 x Skis</t>
  </si>
  <si>
    <t>https://tinyurl.com/y8ezyexn</t>
  </si>
  <si>
    <t>2022 Blizzard Phoenix 7.2 Women's Skis with TLT 10 Bindings</t>
  </si>
  <si>
    <t>https://tinyurl.com/y795t99a</t>
  </si>
  <si>
    <t>Blizzard Quattro 7.2 Skis - Mens - 2020</t>
  </si>
  <si>
    <t>https://tinyurl.com/yamb33o5</t>
  </si>
  <si>
    <t>Blizzard Men's Thunderbird SP 7.2 System Alpine Ski 2022 160</t>
  </si>
  <si>
    <t>https://tinyurl.com/y7ga2m9c</t>
  </si>
  <si>
    <t>https://tinyurl.com/ydgtm9lw</t>
  </si>
  <si>
    <t>https://tinyurl.com/ycxjpfx7</t>
  </si>
  <si>
    <t>https://tinyurl.com/y9je9buz</t>
  </si>
  <si>
    <t>https://tinyurl.com/y86s99zx</t>
  </si>
  <si>
    <t>https://tinyurl.com/ydyavpzc</t>
  </si>
  <si>
    <t>https://tinyurl.com/ycpmc7dj</t>
  </si>
  <si>
    <t>Armada ARV 86 Skis</t>
  </si>
  <si>
    <t>https://tinyurl.com/yc3y7myw</t>
  </si>
  <si>
    <t>Armada ARW 86 Women's Skis Â· 2022 Â· 163 cm</t>
  </si>
  <si>
    <t>https://tinyurl.com/ybu886ye</t>
  </si>
  <si>
    <t>https://tinyurl.com/ycqrct7t</t>
  </si>
  <si>
    <t>2022 Black Crows Ferox Freebird Skis w/ Marker Kingpin 13 Bindings - 176| Ski Essentials</t>
  </si>
  <si>
    <t>https://tinyurl.com/y79vheq6</t>
  </si>
  <si>
    <t>https://tinyurl.com/y7ycje9g</t>
  </si>
  <si>
    <t>https://tinyurl.com/y9rwb6z7</t>
  </si>
  <si>
    <t>Line Women's Pandora 104 Ski</t>
  </si>
  <si>
    <t>https://tinyurl.com/yb4q8ual</t>
  </si>
  <si>
    <t>2022 Line Pandora 104 Women's Skis (172)</t>
  </si>
  <si>
    <t>https://tinyurl.com/y99ud3kq</t>
  </si>
  <si>
    <t>https://tinyurl.com/y8qkqppc</t>
  </si>
  <si>
    <t>Fischer Hannibal 96 Kit 183</t>
  </si>
  <si>
    <t>https://tinyurl.com/ya8sbg7u</t>
  </si>
  <si>
    <t>Fischer Hannibal 96 Carbon Skis - 2022 - 183cm</t>
  </si>
  <si>
    <t>https://tinyurl.com/yap4ur3b</t>
  </si>
  <si>
    <t>Fischer Hannibal 96 Carbon Skis Â· 183 cm</t>
  </si>
  <si>
    <t>https://tinyurl.com/y7yovuju</t>
  </si>
  <si>
    <t>Volkl Mantra V.Werks Ski 2022, 178</t>
  </si>
  <si>
    <t>https://tinyurl.com/y8ka4o57</t>
  </si>
  <si>
    <t>Skis Volkl Mantra V-Werks</t>
  </si>
  <si>
    <t>https://tinyurl.com/yd2bzhwh</t>
  </si>
  <si>
    <t>https://tinyurl.com/yb9kdwm3</t>
  </si>
  <si>
    <t>Blizzard Black Pearl 82 19/20</t>
  </si>
  <si>
    <t>https://tinyurl.com/y9am538l</t>
  </si>
  <si>
    <t>Blizzard Women's Black Pearl 82 Ski</t>
  </si>
  <si>
    <t>https://tinyurl.com/yafr7qvq</t>
  </si>
  <si>
    <t>https://tinyurl.com/ydfeyg9a</t>
  </si>
  <si>
    <t>Armada Trace 98 Women's Skis 164cm, Black, Ski Only, 2022</t>
  </si>
  <si>
    <t>https://tinyurl.com/ybeqgvtf</t>
  </si>
  <si>
    <t>https://tinyurl.com/yd7hlh6t</t>
  </si>
  <si>
    <t>https://tinyurl.com/y9hbpyon</t>
  </si>
  <si>
    <t>Atomic Maverick 86 C Skis</t>
  </si>
  <si>
    <t>https://tinyurl.com/ycmyzj6w</t>
  </si>
  <si>
    <t>https://tinyurl.com/yb3jug5q</t>
  </si>
  <si>
    <t>Atomic Maverick 86 C Skis 2022 - - 169 cm</t>
  </si>
  <si>
    <t>https://tinyurl.com/y7tumpk9</t>
  </si>
  <si>
    <t>Liberty Skis Genesis 101 Skis - Women's 2022</t>
  </si>
  <si>
    <t>https://tinyurl.com/ydg4fnjk</t>
  </si>
  <si>
    <t>https://tinyurl.com/y8floahf</t>
  </si>
  <si>
    <t>https://tinyurl.com/ydxn62t5</t>
  </si>
  <si>
    <t>https://tinyurl.com/ycbh2zg2</t>
  </si>
  <si>
    <t>https://tinyurl.com/ycyekznm</t>
  </si>
  <si>
    <t>https://tinyurl.com/ybg7cdh2</t>
  </si>
  <si>
    <t>Rossignol Hero Elite MT Ti</t>
  </si>
  <si>
    <t>https://tinyurl.com/y8927g4x</t>
  </si>
  <si>
    <t>Rossignol HERO ELITE MT TI + SPX12.GW BI Racing Ski 2022 175</t>
  </si>
  <si>
    <t>https://tinyurl.com/yczho7wx</t>
  </si>
  <si>
    <t>Rossignol Unisex Racing Skis Hero Athlete GS Â· 175 cm</t>
  </si>
  <si>
    <t>https://tinyurl.com/y7oubf3k</t>
  </si>
  <si>
    <t>https://tinyurl.com/yabsry6r</t>
  </si>
  <si>
    <t>https://tinyurl.com/y7o945wt</t>
  </si>
  <si>
    <t>https://tinyurl.com/y9qegevw</t>
  </si>
  <si>
    <t>Volkl Blaze 86 Flat Ski Winter 2021/2022 180</t>
  </si>
  <si>
    <t>https://tinyurl.com/y8kwffso</t>
  </si>
  <si>
    <t>https://tinyurl.com/y8rdxbro</t>
  </si>
  <si>
    <t>https://tinyurl.com/y9q3tadk</t>
  </si>
  <si>
    <t>Atomic Vantage 75 C + M 10 GW</t>
  </si>
  <si>
    <t>https://tinyurl.com/y8vqmf8w</t>
  </si>
  <si>
    <t>https://tinyurl.com/ydh992n5</t>
  </si>
  <si>
    <t>Atomic Vantage 75 C + M10 GW Skis 2022 - - 169 cm</t>
  </si>
  <si>
    <t>https://tinyurl.com/yatfgqew</t>
  </si>
  <si>
    <t>'21 Line Blade W Skis 160cm</t>
  </si>
  <si>
    <t>https://www.google.com/url?q=https://www.untracked.com/p7116c18b88lr-Froogle-21_line_blade_womens_allmountain_freeride_skis.html%23chsku721504&amp;sa=U&amp;ved=0ahUKEwjnkuuAvu72AhU9JUQIHXvvCHMQ2SkIgQE&amp;usg=AOvVaw3VoLMYGVTKTj_bJ4ensBSE</t>
  </si>
  <si>
    <t>Line 2022 Blade W's Skis w Marker Griffon Bindings 160</t>
  </si>
  <si>
    <t>https://tinyurl.com/y9ao4oof</t>
  </si>
  <si>
    <t>Line Blade W Skis 2022</t>
  </si>
  <si>
    <t>https://tinyurl.com/y8w6yvjd</t>
  </si>
  <si>
    <t>https://tinyurl.com/ydzyu87y</t>
  </si>
  <si>
    <t>The Ski Bum</t>
  </si>
  <si>
    <t>https://tinyurl.com/yd9fw7nb</t>
  </si>
  <si>
    <t>22 Revolt 95 22 / 173</t>
  </si>
  <si>
    <t>https://tinyurl.com/ya2qoh4r</t>
  </si>
  <si>
    <t>Fischer Hannibal 106 Carbon Ski - 2022</t>
  </si>
  <si>
    <t>https://tinyurl.com/ybnd3sze</t>
  </si>
  <si>
    <t>https://tinyurl.com/yakcpd7n</t>
  </si>
  <si>
    <t>https://tinyurl.com/yazm5wup</t>
  </si>
  <si>
    <t>https://tinyurl.com/y8lavqa4</t>
  </si>
  <si>
    <t>https://tinyurl.com/ycrc9oz8</t>
  </si>
  <si>
    <t>Elan Wingman 86 Ti Skis Â· 166 cm</t>
  </si>
  <si>
    <t>https://tinyurl.com/y88yddw3</t>
  </si>
  <si>
    <t>https://tinyurl.com/ycfvkrqb</t>
  </si>
  <si>
    <t>https://tinyurl.com/ycpcszfx</t>
  </si>
  <si>
    <t>https://tinyurl.com/ybo33ge7</t>
  </si>
  <si>
    <t>https://tinyurl.com/y9cnzurn</t>
  </si>
  <si>
    <t>https://tinyurl.com/yb9o5wtw</t>
  </si>
  <si>
    <t>Blizzard Sheeva 9 - Winter 2021/2022 164</t>
  </si>
  <si>
    <t>https://tinyurl.com/ybktx3sj</t>
  </si>
  <si>
    <t>2022 Blizzard Brahma 88 Demo Skis w/ Marker Griffon 13 ID Demo Bindings - 165| Ski Essentials</t>
  </si>
  <si>
    <t>https://tinyurl.com/ybjoeyfq</t>
  </si>
  <si>
    <t>2022 Blizzard Brahma 88 snow skis 165</t>
  </si>
  <si>
    <t>https://tinyurl.com/yccf82wt</t>
  </si>
  <si>
    <t>Blizzard Brahma 88 Men's Skis 2022 165</t>
  </si>
  <si>
    <t>Sundown Ski &amp; Patio Greenvale</t>
  </si>
  <si>
    <t>https://tinyurl.com/y83syy9s</t>
  </si>
  <si>
    <t>The Allplay "RAT ROD" Sam Zahner x J Collab Limited Edition Ski 184cm</t>
  </si>
  <si>
    <t>https://tinyurl.com/yacb2bt3</t>
  </si>
  <si>
    <t>https://tinyurl.com/ya4po3qz</t>
  </si>
  <si>
    <t>https://tinyurl.com/yc755qqt</t>
  </si>
  <si>
    <t>https://tinyurl.com/y9vl8abk</t>
  </si>
  <si>
    <t>Nordica Santa Ana 93 Unlimited Ski 2023</t>
  </si>
  <si>
    <t>https://tinyurl.com/y9ba52lk</t>
  </si>
  <si>
    <t>Nordica Santa Ana 93 Skis - Women's 2022</t>
  </si>
  <si>
    <t>https://tinyurl.com/y7psgwke</t>
  </si>
  <si>
    <t>Blizzard Black Pearl 82 2021</t>
  </si>
  <si>
    <t>https://tinyurl.com/y9gl3hnl</t>
  </si>
  <si>
    <t>2021 Blizzard Black Pearl 82 ladies snow skis 159</t>
  </si>
  <si>
    <t>https://tinyurl.com/ydcz74ea</t>
  </si>
  <si>
    <t>'22 Blizzard Black Pearl 82 Skis 159cm</t>
  </si>
  <si>
    <t>https://tinyurl.com/y7tl63ln</t>
  </si>
  <si>
    <t>Volkl Secret 102 2022 Skis - New Sports &amp; outdoors | Color: Orange</t>
  </si>
  <si>
    <t>https://tinyurl.com/yc2qypdv</t>
  </si>
  <si>
    <t>https://tinyurl.com/ybzazjs6</t>
  </si>
  <si>
    <t>Volkl 2020 Secret 102 Women's Skis with Salomon Warden 11 Bindings</t>
  </si>
  <si>
    <t>https://tinyurl.com/yapg6rqw</t>
  </si>
  <si>
    <t>4FRNT Skis - MSP 107 - Men's All Mountain Powder Ski 181 cm</t>
  </si>
  <si>
    <t>4FRNT Skis</t>
  </si>
  <si>
    <t>https://tinyurl.com/y6uquu3h</t>
  </si>
  <si>
    <t>The Big Horn | Isaac Freeland Pro Model | All-Mountain Ski 187 cm / 96 mm</t>
  </si>
  <si>
    <t>Sego Ski Co.</t>
  </si>
  <si>
    <t>https://tinyurl.com/yb4nzzgk</t>
  </si>
  <si>
    <t>https://tinyurl.com/y8rrhw5q</t>
  </si>
  <si>
    <t>Elan Wingman 86 Ti Skis 2023 172</t>
  </si>
  <si>
    <t>https://tinyurl.com/y8y8e7go</t>
  </si>
  <si>
    <t>Elan Wingman 86 Ti Fx+emx 11.0 Alpine Skis 172</t>
  </si>
  <si>
    <t>https://tinyurl.com/ycso3nh3</t>
  </si>
  <si>
    <t>Atomic Redster S7 Skis w Atomic FT 12 GW Bindings  Demo Skis</t>
  </si>
  <si>
    <t>https://tinyurl.com/y7dzrmcb</t>
  </si>
  <si>
    <t>Atomic Redster RX EZY2 156 cm Ski + Elan ESR 10 Bindings Sport Snow Winter CBS</t>
  </si>
  <si>
    <t>Traventuria</t>
  </si>
  <si>
    <t>https://tinyurl.com/yarol98b</t>
  </si>
  <si>
    <t>https://tinyurl.com/yabxu3ae</t>
  </si>
  <si>
    <t>https://tinyurl.com/y9kxmf39</t>
  </si>
  <si>
    <t>Dynastar M-Tour 99 178 cm</t>
  </si>
  <si>
    <t>https://tinyurl.com/y7lxl6up</t>
  </si>
  <si>
    <t>https://tinyurl.com/y88n7p25</t>
  </si>
  <si>
    <t>2022 Blizzard Black Pearl 97 + Marker Demo Bindings -  159</t>
  </si>
  <si>
    <t>https://tinyurl.com/y97e3nly</t>
  </si>
  <si>
    <t>2022 Blizzard Black Pearl 97 ladies snow skis 159</t>
  </si>
  <si>
    <t>https://tinyurl.com/y7cz7tv6</t>
  </si>
  <si>
    <t>https://tinyurl.com/yabgra4w</t>
  </si>
  <si>
    <t>https://tinyurl.com/y76p8dul</t>
  </si>
  <si>
    <t>https://tinyurl.com/y8ublnsl</t>
  </si>
  <si>
    <t>Rossignol Hero Elite St Ti + SPX 14 Konect 21/22</t>
  </si>
  <si>
    <t>https://tinyurl.com/ydekfanf</t>
  </si>
  <si>
    <t>Rossignol Hero Elite St Ti 167cm 13m Radius Spx 12 Binding</t>
  </si>
  <si>
    <t>https://tinyurl.com/y9llkap4</t>
  </si>
  <si>
    <t>https://tinyurl.com/ybb5lggu</t>
  </si>
  <si>
    <t>Line Skis Blade</t>
  </si>
  <si>
    <t>https://tinyurl.com/yb2n86hb</t>
  </si>
  <si>
    <t>https://tinyurl.com/ycys9x5n</t>
  </si>
  <si>
    <t>Geiger's</t>
  </si>
  <si>
    <t>https://tinyurl.com/yawn77wv</t>
  </si>
  <si>
    <t>Elan Ripstick 88 20/21</t>
  </si>
  <si>
    <t>https://tinyurl.com/ybse28ye</t>
  </si>
  <si>
    <t>Elan Ripstick 88 Skis 2022 180</t>
  </si>
  <si>
    <t>https://tinyurl.com/y8tffrrl</t>
  </si>
  <si>
    <t>2021 Elan Ripstick 88 Skis w/Tyrolia Attack2 13 GW Bindings</t>
  </si>
  <si>
    <t>https://tinyurl.com/yafwg22y</t>
  </si>
  <si>
    <t>Nordica Santa Ana 88 21/22</t>
  </si>
  <si>
    <t>https://tinyurl.com/ybudge4m</t>
  </si>
  <si>
    <t>Nordica Santa Ana 88 Skis 2022 151</t>
  </si>
  <si>
    <t>https://tinyurl.com/ycrdpwdk</t>
  </si>
  <si>
    <t>Nordica Santa Ana 88 Women's Skis 151cm 2022</t>
  </si>
  <si>
    <t>https://tinyurl.com/ybodeh2t</t>
  </si>
  <si>
    <t>Volkl Bash 86 W 148cm</t>
  </si>
  <si>
    <t>https://tinyurl.com/yb6sodaz</t>
  </si>
  <si>
    <t>Volkl Bash 86 Women's Skis 2020</t>
  </si>
  <si>
    <t>https://tinyurl.com/y7dmqwaw</t>
  </si>
  <si>
    <t>https://tinyurl.com/yap2mynr</t>
  </si>
  <si>
    <t>Line Skis Chronic Mens Skis 2022 178cm</t>
  </si>
  <si>
    <t>https://tinyurl.com/y9ty6u3w</t>
  </si>
  <si>
    <t>Line Chronic Skis</t>
  </si>
  <si>
    <t>https://tinyurl.com/yaetmbea</t>
  </si>
  <si>
    <t>'22 Line Chronic Skis 178cm</t>
  </si>
  <si>
    <t>https://tinyurl.com/y82xkqj3</t>
  </si>
  <si>
    <t>Blizzard Men's Thunderbird Sport 7.2 Skis with TLT 10 Bindings '22</t>
  </si>
  <si>
    <t>https://tinyurl.com/y9ky4yhq</t>
  </si>
  <si>
    <t>Blizzard Thunderbird 72 Ski + TLT10 - Winter 2021/2022 160</t>
  </si>
  <si>
    <t>https://tinyurl.com/y8zobwhx</t>
  </si>
  <si>
    <t>Blizzard Thunderbird SP 7.7 Ski System with TPX 11 Bindings Men's, 160</t>
  </si>
  <si>
    <t>https://tinyurl.com/yct25egw</t>
  </si>
  <si>
    <t>https://tinyurl.com/ycfuu4f4</t>
  </si>
  <si>
    <t>https://tinyurl.com/yc3uqabz</t>
  </si>
  <si>
    <t>https://tinyurl.com/y8nk9dkh</t>
  </si>
  <si>
    <t>https://tinyurl.com/ybqe6fgm</t>
  </si>
  <si>
    <t>https://tinyurl.com/yatdtu7o</t>
  </si>
  <si>
    <t>https://tinyurl.com/y8ghscch</t>
  </si>
  <si>
    <t xml:space="preserve"> 2017 Elan Amphibio 80 Xti Demo Ski with Bindings Size 176 (Option 212149)</t>
  </si>
  <si>
    <t>https://tinyurl.com/ycq3trol</t>
  </si>
  <si>
    <t>Elan Amphibio 12 C 19/20 blue-yellow 176 Ski Men</t>
  </si>
  <si>
    <t>https://tinyurl.com/y8xzt62f</t>
  </si>
  <si>
    <t>Elan Amphibio 14 Ti + EMX 11 Fusionx 21/22</t>
  </si>
  <si>
    <t>https://tinyurl.com/yb4ta77a</t>
  </si>
  <si>
    <t>Black Crows Camox Birdie Skis - Women's - 2022</t>
  </si>
  <si>
    <t>https://tinyurl.com/ybgas9s8</t>
  </si>
  <si>
    <t>https://tinyurl.com/y8b54zze</t>
  </si>
  <si>
    <t>https://tinyurl.com/ybufncb8</t>
  </si>
  <si>
    <t>Liberty Skis Men ' S Origin 106 Ski</t>
  </si>
  <si>
    <t>https://tinyurl.com/y7ar6u6o</t>
  </si>
  <si>
    <t>https://tinyurl.com/yd9n749d</t>
  </si>
  <si>
    <t>https://tinyurl.com/y88mq5kl</t>
  </si>
  <si>
    <t>Elan Speed Magic FX testski's Red 155 Ski Lady's Ladies / Women</t>
  </si>
  <si>
    <t>https://tinyurl.com/y8rpbxw7</t>
  </si>
  <si>
    <t>Elan Prodigy (El 10 GW Shift Bindings) Skis Mens 2021 Black / 155cm / Retail</t>
  </si>
  <si>
    <t>https://tinyurl.com/y8gkguxk</t>
  </si>
  <si>
    <t>https://tinyurl.com/ycoqj3l5</t>
  </si>
  <si>
    <t>Stockli Stormrider 95 Ski 2022, 175</t>
  </si>
  <si>
    <t>https://tinyurl.com/y7tktwpx</t>
  </si>
  <si>
    <t>Stormrider 95 175</t>
  </si>
  <si>
    <t>https://tinyurl.com/y8cugake</t>
  </si>
  <si>
    <t>Stockli Stormrider 95 Skis 2023 w/bindings 175</t>
  </si>
  <si>
    <t>https://tinyurl.com/y6uuyy64</t>
  </si>
  <si>
    <t>K2 RWB Stash Poacher Skis Â· 184 cm</t>
  </si>
  <si>
    <t>https://tinyurl.com/yauo7lb7</t>
  </si>
  <si>
    <t>K2 Poacher Skis 2022 - 184</t>
  </si>
  <si>
    <t>https://tinyurl.com/ybbt2nr7</t>
  </si>
  <si>
    <t>https://tinyurl.com/ybjjoy5v</t>
  </si>
  <si>
    <t>Stockli Nela 88 Womens Skis 2023 160</t>
  </si>
  <si>
    <t>https://tinyurl.com/y785ewcw</t>
  </si>
  <si>
    <t>Stockli Nela 88 Women's Skis 160cm 2022</t>
  </si>
  <si>
    <t>https://tinyurl.com/y7moetvf</t>
  </si>
  <si>
    <t>https://tinyurl.com/yas6xeyj</t>
  </si>
  <si>
    <t>Liberty Genesis 101 Women's Skis - 2022 - 165cm</t>
  </si>
  <si>
    <t>https://tinyurl.com/ybedsbmb</t>
  </si>
  <si>
    <t>https://tinyurl.com/y85cqvn5</t>
  </si>
  <si>
    <t>'22 Liberty Genesis 101 Skis 165cm</t>
  </si>
  <si>
    <t>https://tinyurl.com/y7kcl7hq</t>
  </si>
  <si>
    <t>Atomic Maven 86 C</t>
  </si>
  <si>
    <t>https://tinyurl.com/y7eg4yx4</t>
  </si>
  <si>
    <t>https://tinyurl.com/yc6jwrjr</t>
  </si>
  <si>
    <t>https://tinyurl.com/y9fcyoop</t>
  </si>
  <si>
    <t>https://tinyurl.com/y8z3qjzz</t>
  </si>
  <si>
    <t>Rossignol Men's Experience 86 Basalt Skis with Bindings 167 cm</t>
  </si>
  <si>
    <t>https://tinyurl.com/yb89cz7d</t>
  </si>
  <si>
    <t>https://tinyurl.com/ycqoxl8j</t>
  </si>
  <si>
    <t>https://tinyurl.com/y7y3u4yx</t>
  </si>
  <si>
    <t>https://tinyurl.com/y7veqqsa</t>
  </si>
  <si>
    <t>Fischer Ranger 92 Ti WS Ski 178</t>
  </si>
  <si>
    <t>https://tinyurl.com/y6u5yorh</t>
  </si>
  <si>
    <t>Icelantic Natural 101 Skis Â· 2022 Â· 178 cm</t>
  </si>
  <si>
    <t>https://tinyurl.com/y9yyxe3z</t>
  </si>
  <si>
    <t>Icelantic Natural 101 Skis 2022 178cm</t>
  </si>
  <si>
    <t>https://tinyurl.com/ybqzd262</t>
  </si>
  <si>
    <t>https://tinyurl.com/y9qorfkl</t>
  </si>
  <si>
    <t>https://tinyurl.com/yccsxbzt</t>
  </si>
  <si>
    <t>https://tinyurl.com/yctwtcj9</t>
  </si>
  <si>
    <t>https://tinyurl.com/yazre8yx</t>
  </si>
  <si>
    <t>Rossignol Blackops Holyshred 182cm</t>
  </si>
  <si>
    <t>https://tinyurl.com/yb5fwe9o</t>
  </si>
  <si>
    <t>https://tinyurl.com/y8bxuvty</t>
  </si>
  <si>
    <t>https://tinyurl.com/ybku92x6</t>
  </si>
  <si>
    <t>Salomon STANCE W 88 154cm</t>
  </si>
  <si>
    <t>https://tinyurl.com/yaongs45</t>
  </si>
  <si>
    <t>Salomon Stance 88 Skis</t>
  </si>
  <si>
    <t>https://tinyurl.com/y859nrkz</t>
  </si>
  <si>
    <t>https://tinyurl.com/y8rjc2hp</t>
  </si>
  <si>
    <t>Dynastar M-PRO 84 W 163cm</t>
  </si>
  <si>
    <t>https://tinyurl.com/yb3yh77w</t>
  </si>
  <si>
    <t>Dynastar M-PRO 84 W - 163</t>
  </si>
  <si>
    <t>https://tinyurl.com/y7hj83k4</t>
  </si>
  <si>
    <t>Dynastar M-Pro 84 W Skis</t>
  </si>
  <si>
    <t>https://tinyurl.com/y9e3ypvr</t>
  </si>
  <si>
    <t>Rossignol Blackops Escaper Mens Skis</t>
  </si>
  <si>
    <t>https://tinyurl.com/yb4w6yj5</t>
  </si>
  <si>
    <t>Rossignol Men's Blackops Escaper Flat Ski 2020-2021 | BLACK / 164</t>
  </si>
  <si>
    <t>https://tinyurl.com/ycg4amb3</t>
  </si>
  <si>
    <t>Rossignol Blackops Escaper Open 164cm</t>
  </si>
  <si>
    <t>https://tinyurl.com/y767bzk9</t>
  </si>
  <si>
    <t>https://tinyurl.com/ybgcrvb2</t>
  </si>
  <si>
    <t>Rossignol Women's Experience 82 Ti W Skis with Bindings 151 cm</t>
  </si>
  <si>
    <t>https://tinyurl.com/yd9w96qf</t>
  </si>
  <si>
    <t>https://tinyurl.com/y78tpcja</t>
  </si>
  <si>
    <t>Salomon QST Stella 106 Skis 2020-2021 | PINK / BLACK / 181</t>
  </si>
  <si>
    <t>https://tinyurl.com/ycwfmbvj</t>
  </si>
  <si>
    <t>Salomon Qst 106 181cm</t>
  </si>
  <si>
    <t>https://tinyurl.com/y8tx7h5c</t>
  </si>
  <si>
    <t>https://tinyurl.com/y8gzvrwa</t>
  </si>
  <si>
    <t>Volkl Flair SC Carbon Women's Skis with vMotion 11 Alu GW Bindings 2022 Size 150cm for Women</t>
  </si>
  <si>
    <t>https://tinyurl.com/ya36gpnr</t>
  </si>
  <si>
    <t>VÃ¶lkl Racetiger GS R JR 150 cm Ski + Marker 7 Bindings Winter Sport Snow Fun</t>
  </si>
  <si>
    <t>https://tinyurl.com/y9dmq3pc</t>
  </si>
  <si>
    <t>Volkl RaceTiger SL R JR 150cm</t>
  </si>
  <si>
    <t>https://tinyurl.com/ya2b72zs</t>
  </si>
  <si>
    <t>Rossignol Blackops Sender Ti Skis 180 cm</t>
  </si>
  <si>
    <t>https://tinyurl.com/ydcspeqo</t>
  </si>
  <si>
    <t>Rossignol Blackops Sender TI 180cm</t>
  </si>
  <si>
    <t>https://tinyurl.com/y7thjzvl</t>
  </si>
  <si>
    <t>Rossignol Blackops Sender TI Skis 2022</t>
  </si>
  <si>
    <t>https://tinyurl.com/ych4uep8</t>
  </si>
  <si>
    <t>Rossignol Hero Elite Plus Ti Skis</t>
  </si>
  <si>
    <t>https://tinyurl.com/yd3nnfyx</t>
  </si>
  <si>
    <t>Rossignol Kid's on Piste Skis Hero Jr Multi-Event</t>
  </si>
  <si>
    <t>https://tinyurl.com/ybwohjy6</t>
  </si>
  <si>
    <t>Rossignol Men's All Mountain Skis Experience 82 Ti (konect)</t>
  </si>
  <si>
    <t>https://tinyurl.com/y8bncbve</t>
  </si>
  <si>
    <t>Icelantic Nomad 95 Skis 2022 176cm</t>
  </si>
  <si>
    <t>https://tinyurl.com/yc2hg3hb</t>
  </si>
  <si>
    <t>Icelantic Nomad 95 Skis Â· 2022 Â· 176 cm</t>
  </si>
  <si>
    <t>https://tinyurl.com/yc5hh2yo</t>
  </si>
  <si>
    <t>https://tinyurl.com/ya5gtyf2</t>
  </si>
  <si>
    <t>K2 Reckoner 112 Skis - 2022 177 cm</t>
  </si>
  <si>
    <t>https://tinyurl.com/y7qzpocu</t>
  </si>
  <si>
    <t>2022 K2 Reckoner 112 Skis 177cm</t>
  </si>
  <si>
    <t>https://tinyurl.com/ya67os6t</t>
  </si>
  <si>
    <t>https://tinyurl.com/ybbjtwv9</t>
  </si>
  <si>
    <t>Salomon STANCE W 88 161cm</t>
  </si>
  <si>
    <t>https://tinyurl.com/ycblwsgm</t>
  </si>
  <si>
    <t>https://tinyurl.com/y92dtyg8</t>
  </si>
  <si>
    <t>https://tinyurl.com/ycbt29hu</t>
  </si>
  <si>
    <t>https://tinyurl.com/ycw5rouc</t>
  </si>
  <si>
    <t>https://tinyurl.com/y87yvvam</t>
  </si>
  <si>
    <t>'22 Volkl Blaze 86 Skis 173cm</t>
  </si>
  <si>
    <t>https://tinyurl.com/y85phd37</t>
  </si>
  <si>
    <t>Volkl Rise Above 88 21/22</t>
  </si>
  <si>
    <t>https://tinyurl.com/ybjrq9f3</t>
  </si>
  <si>
    <t>2022 Volkl Rise Above 88 Skis 184cm Brand Sealed</t>
  </si>
  <si>
    <t>https://tinyurl.com/y7cv5l2x</t>
  </si>
  <si>
    <t>Volkl Rise Above 88 Ski 2023</t>
  </si>
  <si>
    <t>https://tinyurl.com/y9dr3bql</t>
  </si>
  <si>
    <t>Volkl Bash 86 2020</t>
  </si>
  <si>
    <t>https://tinyurl.com/yaer4f53</t>
  </si>
  <si>
    <t>Volkl Bash 86 164cm</t>
  </si>
  <si>
    <t>https://tinyurl.com/y8rltvqw</t>
  </si>
  <si>
    <t>https://tinyurl.com/y72zwmk9</t>
  </si>
  <si>
    <t>Line Outline Skis 186</t>
  </si>
  <si>
    <t>https://tinyurl.com/y8hqhd2r</t>
  </si>
  <si>
    <t>'21 Line Outline Skis 186cm</t>
  </si>
  <si>
    <t>https://tinyurl.com/y8ecbjfv</t>
  </si>
  <si>
    <t>Line Outline White-Grey 186 Ski Men</t>
  </si>
  <si>
    <t>https://tinyurl.com/y9p3bc5d</t>
  </si>
  <si>
    <t>Armada Tracer 108 Skis 2022 - 164</t>
  </si>
  <si>
    <t>https://tinyurl.com/ybzj7u3m</t>
  </si>
  <si>
    <t>https://tinyurl.com/ydyt4ope</t>
  </si>
  <si>
    <t>https://tinyurl.com/y8cz7flt</t>
  </si>
  <si>
    <t>https://tinyurl.com/y9xk6h3n</t>
  </si>
  <si>
    <t>https://tinyurl.com/y9mtrpxu</t>
  </si>
  <si>
    <t>'22 Nordica Santa Ana 88 Skis 165cm</t>
  </si>
  <si>
    <t>https://tinyurl.com/y9tbyh56</t>
  </si>
  <si>
    <t>https://tinyurl.com/y7ew4t6z</t>
  </si>
  <si>
    <t>https://tinyurl.com/y6ud4x3m</t>
  </si>
  <si>
    <t>https://tinyurl.com/y96rwocx</t>
  </si>
  <si>
    <t>https://tinyurl.com/y8utm7ht</t>
  </si>
  <si>
    <t>Elan Waveflex 78 Ti Skis With Elx 12.0 Bindings Green 168cm 2012</t>
  </si>
  <si>
    <t>eBay - abuv</t>
  </si>
  <si>
    <t>https://tinyurl.com/y7safk9l</t>
  </si>
  <si>
    <t>Elan Wingman 78 TI PS ELS 11.0 168cm</t>
  </si>
  <si>
    <t>https://tinyurl.com/yawktleg</t>
  </si>
  <si>
    <t>Icelantic Nomad 105 181cm</t>
  </si>
  <si>
    <t>https://tinyurl.com/y84utj3h</t>
  </si>
  <si>
    <t>Icelantic Rocky Mountain Nomad 105</t>
  </si>
  <si>
    <t>https://tinyurl.com/ya3m3yfo</t>
  </si>
  <si>
    <t>Icelantic Nomad 105 Skis 2022 181cm</t>
  </si>
  <si>
    <t>https://tinyurl.com/y7hmetyk</t>
  </si>
  <si>
    <t>Icelantic Nomad 95 Skis 2022 181cm</t>
  </si>
  <si>
    <t>https://tinyurl.com/ybrj3fw3</t>
  </si>
  <si>
    <t>Icelantic Nomad 95 Skis Â· 2022 Â· 181 cm</t>
  </si>
  <si>
    <t>https://tinyurl.com/ydxjftr7</t>
  </si>
  <si>
    <t>https://tinyurl.com/yce9sked</t>
  </si>
  <si>
    <t>Atomic Vantage 82 Ti Skis w/ M 12 GW Bindings</t>
  </si>
  <si>
    <t>https://tinyurl.com/yboq4vfv</t>
  </si>
  <si>
    <t>Atomic Vantage x 80 CTI Skis with Warden 11 Bindings - Women's</t>
  </si>
  <si>
    <t>https://tinyurl.com/yd3ceeac</t>
  </si>
  <si>
    <t>'19 Atomic Vantage 107 C 159cm</t>
  </si>
  <si>
    <t>https://tinyurl.com/y7zorx7r</t>
  </si>
  <si>
    <t>https://tinyurl.com/y9e74o9b</t>
  </si>
  <si>
    <t>https://tinyurl.com/yapqe73p</t>
  </si>
  <si>
    <t>Dynastar Speedzone 4x4 82 Pro + SPX 12 Konect GW 19/20"</t>
  </si>
  <si>
    <t>https://tinyurl.com/y8ekw2zg</t>
  </si>
  <si>
    <t>Fox Chapel Ski and Board</t>
  </si>
  <si>
    <t>https://tinyurl.com/y8pwskzb</t>
  </si>
  <si>
    <t>https://tinyurl.com/yctmctcq</t>
  </si>
  <si>
    <t>https://tinyurl.com/ybyqh2mv</t>
  </si>
  <si>
    <t>Armada ARV 96 Ti Zero Skis 163cm 2020</t>
  </si>
  <si>
    <t>https://tinyurl.com/yd3xyuwv</t>
  </si>
  <si>
    <t>https://tinyurl.com/y7ev8nah</t>
  </si>
  <si>
    <t>ARMADA ARV 96 2022</t>
  </si>
  <si>
    <t>Eskimo Ski &amp; Board Shop</t>
  </si>
  <si>
    <t>https://tinyurl.com/y7hzfj2w</t>
  </si>
  <si>
    <t>Black Crows Camox Freebird Skis - 2022</t>
  </si>
  <si>
    <t>https://tinyurl.com/y8ze2qy9</t>
  </si>
  <si>
    <t>https://tinyurl.com/y7pn8oh6</t>
  </si>
  <si>
    <t>https://tinyurl.com/y8p9ed8y</t>
  </si>
  <si>
    <t>Rossignol Experience 86 Basalt Mens Skis 158cm</t>
  </si>
  <si>
    <t>Al's Sporting Goods</t>
  </si>
  <si>
    <t>https://tinyurl.com/y8yg9624</t>
  </si>
  <si>
    <t>2022 Rossignol Experience 86 Basalt Snow Skis 158cm Red/gray Free</t>
  </si>
  <si>
    <t>eBay - klnbnc</t>
  </si>
  <si>
    <t>https://tinyurl.com/y7k7td2x</t>
  </si>
  <si>
    <t>https://tinyurl.com/y8fhjzyx</t>
  </si>
  <si>
    <t>Fischer Ranger FR 102 Skis 2021 - 156</t>
  </si>
  <si>
    <t>https://tinyurl.com/ybeedjfo</t>
  </si>
  <si>
    <t>Fischer 2021 Ranger 102 FR Skis w/Tyrolia Attack2 13 GW Bindings</t>
  </si>
  <si>
    <t>https://tinyurl.com/y873vjqg</t>
  </si>
  <si>
    <t>https://tinyurl.com/y7r8z2hv</t>
  </si>
  <si>
    <t>Atomic MAVERICK 86 C Skis 2022</t>
  </si>
  <si>
    <t>https://tinyurl.com/yb74u46g</t>
  </si>
  <si>
    <t>Atomic Maverick 86 C R Skis with M10 Bindings Â· 2022 Â· 161 cm</t>
  </si>
  <si>
    <t>https://tinyurl.com/y8tromq6</t>
  </si>
  <si>
    <t>https://tinyurl.com/ybsj8lvo</t>
  </si>
  <si>
    <t>Rossignol Experience W 86 Basalt Ski Women's - 2022 166 cm</t>
  </si>
  <si>
    <t>https://tinyurl.com/y7tu2nkv</t>
  </si>
  <si>
    <t>https://tinyurl.com/ybs7pbhb</t>
  </si>
  <si>
    <t>https://tinyurl.com/ya5glooa</t>
  </si>
  <si>
    <t>2020 Nordica Soul Rider 97 169cm W/ Salomon Warden 11 Binding</t>
  </si>
  <si>
    <t>https://tinyurl.com/ycs6agzk</t>
  </si>
  <si>
    <t>Nordica Soul Rider 97 Skis Â· 2022 Â· 169 cm</t>
  </si>
  <si>
    <t>https://tinyurl.com/y7txxlnu</t>
  </si>
  <si>
    <t>https://tinyurl.com/ya8t26j4</t>
  </si>
  <si>
    <t>Volkl 2022 Kanjo 84 Skis</t>
  </si>
  <si>
    <t>https://tinyurl.com/y7jf87z4</t>
  </si>
  <si>
    <t>https://tinyurl.com/yav25nw7</t>
  </si>
  <si>
    <t>https://tinyurl.com/y7stfv6q</t>
  </si>
  <si>
    <t>Faction Dictator 1.0 Skis</t>
  </si>
  <si>
    <t>https://tinyurl.com/yabwkskl</t>
  </si>
  <si>
    <t>https://tinyurl.com/y9wwhyh2</t>
  </si>
  <si>
    <t>https://tinyurl.com/y7j85qgt</t>
  </si>
  <si>
    <t>Faction Prime 1.0</t>
  </si>
  <si>
    <t>https://tinyurl.com/yanwrex4</t>
  </si>
  <si>
    <t>Faction - Prodigy 1.0x - 158</t>
  </si>
  <si>
    <t>https://tinyurl.com/y8crc9es</t>
  </si>
  <si>
    <t>Blizzard Black Pearl 82 Skis Â· Women's Â· 2022 Â· 173 cm</t>
  </si>
  <si>
    <t>https://tinyurl.com/yb8zsa3x</t>
  </si>
  <si>
    <t>https://tinyurl.com/y9kb8mzm</t>
  </si>
  <si>
    <t>https://tinyurl.com/yd7o6khn</t>
  </si>
  <si>
    <t>Atomic Backland 100</t>
  </si>
  <si>
    <t>https://tinyurl.com/y76gcoyc</t>
  </si>
  <si>
    <t>https://tinyurl.com/yb8885hl</t>
  </si>
  <si>
    <t>https://tinyurl.com/y7ruo8qk</t>
  </si>
  <si>
    <t>K2 Disruption 78C Skis with M3 10 Bindings 2022 170cm</t>
  </si>
  <si>
    <t>https://tinyurl.com/yaqddf5s</t>
  </si>
  <si>
    <t>https://tinyurl.com/yc3jnm8n</t>
  </si>
  <si>
    <t>K2 Disruption 76 Skis Mens 2022 Multicolor 170cm Skis</t>
  </si>
  <si>
    <t>https://www.google.com/url?q=https://www.aspenskiandboard.com/products/k2-disruption-76-skis-mens-2022%3Fvariant%3D39942662848617%26srsltid%3DAWLEVJzeM1NNU6Fe4lQDYhob6wwQQXWlQWSyZwTYSRZb3pOeWZvVjVd0VUE&amp;sa=U&amp;ved=0ahUKEwiHgev8v-72AhWqD0QIHYDXCjYQsDwIqQE&amp;usg=AOvVaw3z2NgTFGsPneVZvzJQ0RMh</t>
  </si>
  <si>
    <t>https://tinyurl.com/yd2fxh7o</t>
  </si>
  <si>
    <t>https://tinyurl.com/ya8e3tth</t>
  </si>
  <si>
    <t>https://tinyurl.com/ybpjaen8</t>
  </si>
  <si>
    <t>Blizzard Ski Women's Phoenix 7.2 w/ TLT10 Skis</t>
  </si>
  <si>
    <t>https://tinyurl.com/ycmyuecj</t>
  </si>
  <si>
    <t>Blizzard Phoenix 7.2 Anthracite</t>
  </si>
  <si>
    <t>https://tinyurl.com/yavfh4ej</t>
  </si>
  <si>
    <t>Blizzard Women's Phoenix 7.7 w/TLT10 Skis 153</t>
  </si>
  <si>
    <t>https://tinyurl.com/y7egpx2e</t>
  </si>
  <si>
    <t>VÃ¶lkl Kendo 88 22/23 Skis Â· 177 cm</t>
  </si>
  <si>
    <t>https://tinyurl.com/y6wpxdq8</t>
  </si>
  <si>
    <t>Volkl Kendo 88 Skis</t>
  </si>
  <si>
    <t>https://tinyurl.com/ycah97my</t>
  </si>
  <si>
    <t>Volkl Kendo 88 Flat Ski 2021-2022 | BLUE/BLACK / 177</t>
  </si>
  <si>
    <t>https://tinyurl.com/y7jykn62</t>
  </si>
  <si>
    <t>https://tinyurl.com/yayb897x</t>
  </si>
  <si>
    <t>'22 K2 Mindbender 90C Skis 170cm</t>
  </si>
  <si>
    <t>https://tinyurl.com/ycl2le8w</t>
  </si>
  <si>
    <t>K2 Mindbender 90C Alliance Skis Women's 2021 - 170</t>
  </si>
  <si>
    <t>https://tinyurl.com/y8hk6jfp</t>
  </si>
  <si>
    <t>eBay - top*outdoor*brands</t>
  </si>
  <si>
    <t>https://tinyurl.com/ybocwxzd</t>
  </si>
  <si>
    <t>https://tinyurl.com/ydfrmxlc</t>
  </si>
  <si>
    <t>https://tinyurl.com/yaxcdshu</t>
  </si>
  <si>
    <t>Armada Declivity 82 Ti Skis Â· 2022 Â· 166 cm</t>
  </si>
  <si>
    <t>https://tinyurl.com/ybxthpyr</t>
  </si>
  <si>
    <t>Armada Reliance 82 Ti Skis - Women's 2022</t>
  </si>
  <si>
    <t>https://tinyurl.com/yc73wjv6</t>
  </si>
  <si>
    <t>Armada Reliance 82 Ti + EM10 21/22</t>
  </si>
  <si>
    <t>https://tinyurl.com/yc68mtq7</t>
  </si>
  <si>
    <t>Rossignol Experience 82 Basalt Mens Skis w/NX 12 Konect GW Bindings</t>
  </si>
  <si>
    <t>https://tinyurl.com/yabne7lo</t>
  </si>
  <si>
    <t>Rossignol Experience 82 Ti Konnect Black 160 Ski Men</t>
  </si>
  <si>
    <t>https://tinyurl.com/y8kylqhh</t>
  </si>
  <si>
    <t>Rossignol Experience 82 Ti Skis Mens 2022 Multicolor 160cm Skis</t>
  </si>
  <si>
    <t>https://tinyurl.com/yaw9g29x</t>
  </si>
  <si>
    <t>Armada Women's Trace 88 Ski</t>
  </si>
  <si>
    <t>https://www.google.com/url?q=https://www.snowcountry.eu/armada-trace-88-2316.html%3Fartikel_maat%3D65330%26country%3DUS&amp;sa=U&amp;ved=0ahUKEwim8-ahwO72AhXiNX0KHVCKAF8Q2ykIGQ&amp;usg=AOvVaw0NvaoV1vWkomiwSD0_TGy7</t>
  </si>
  <si>
    <t>https://tinyurl.com/yc8jd3k3</t>
  </si>
  <si>
    <t>https://tinyurl.com/ya69r7vk</t>
  </si>
  <si>
    <t>Armada Reliance 102 Ti Ski - 2022 - Women's Black/Orange, 172cm</t>
  </si>
  <si>
    <t>https://tinyurl.com/ya2yxkcy</t>
  </si>
  <si>
    <t>https://tinyurl.com/ybnfmluk</t>
  </si>
  <si>
    <t>https://tinyurl.com/y86yxanu</t>
  </si>
  <si>
    <t>K2 Mindbender 98 Ti Womens Demo Ski's W/ Warden 11 Binding - All Sizes</t>
  </si>
  <si>
    <t>eBay - livetoride6393</t>
  </si>
  <si>
    <t>https://tinyurl.com/y9xxcoje</t>
  </si>
  <si>
    <t>K2 Mindbender 98Ti Alliance 2022, 154</t>
  </si>
  <si>
    <t>https://tinyurl.com/yah5j9d5</t>
  </si>
  <si>
    <t>K2 Mindbender 98Ti Alliance Skis 2021 - 154cm</t>
  </si>
  <si>
    <t>https://tinyurl.com/ydcfuevr</t>
  </si>
  <si>
    <t>Blizzard Rustler Team Skis - 2022 156cm</t>
  </si>
  <si>
    <t>https://tinyurl.com/y8lszkkr</t>
  </si>
  <si>
    <t>Blizzard Alight 8.2 CA Skis with TLX 11 Bindings- Women's 2021</t>
  </si>
  <si>
    <t>https://tinyurl.com/ycmp4bw4</t>
  </si>
  <si>
    <t>2019 Blizzard Sheeva 11</t>
  </si>
  <si>
    <t>https://tinyurl.com/ycfygykd</t>
  </si>
  <si>
    <t>Line Sakana Skis 2022</t>
  </si>
  <si>
    <t>https://tinyurl.com/yc7w2xcd</t>
  </si>
  <si>
    <t>https://tinyurl.com/y8z7acwn</t>
  </si>
  <si>
    <t>https://tinyurl.com/yd4wbzlb</t>
  </si>
  <si>
    <t>â€˜20/21 Atomic Cloud 9 157 Cm W/ Demo Bindings</t>
  </si>
  <si>
    <t>https://tinyurl.com/ybozuvws</t>
  </si>
  <si>
    <t>Atomic Cloud 9 Skis w/ M 10 GW Bindings</t>
  </si>
  <si>
    <t>Paragon Sports</t>
  </si>
  <si>
    <t>https://tinyurl.com/yd9mvufm</t>
  </si>
  <si>
    <t>Atomic Cloud 9 Skis 2022 w/bindings 157</t>
  </si>
  <si>
    <t>https://tinyurl.com/y8jrc2ph</t>
  </si>
  <si>
    <t>Elan Wildcat 82 C Skis 2022 Womenâ€™s 158cm</t>
  </si>
  <si>
    <t>https://tinyurl.com/ybds8n3o</t>
  </si>
  <si>
    <t>Elan Wildcat 82 C Ps+elw 9.0 Alpine Skis 158</t>
  </si>
  <si>
    <t>https://tinyurl.com/y8chskg9</t>
  </si>
  <si>
    <t>Elan Wildcat Black Edition 86 C Women's Skis W Elan ELX 11.0 GW Shift</t>
  </si>
  <si>
    <t>https://tinyurl.com/y8ak6q53</t>
  </si>
  <si>
    <t>K2 2022 Reckoner 92 Alliance Women's Skis</t>
  </si>
  <si>
    <t>https://tinyurl.com/ycxvdatf</t>
  </si>
  <si>
    <t>https://tinyurl.com/ybml94lm</t>
  </si>
  <si>
    <t>K2 Reckoner 92 Skis - 2022 - 149cm</t>
  </si>
  <si>
    <t>https://tinyurl.com/y8jpjoxf</t>
  </si>
  <si>
    <t>https://tinyurl.com/yacw6tnu</t>
  </si>
  <si>
    <t>WinterWomen.com</t>
  </si>
  <si>
    <t>https://tinyurl.com/yccwruaj</t>
  </si>
  <si>
    <t>https://tinyurl.com/ydase5og</t>
  </si>
  <si>
    <t>Salomon E S/RACE MT + Z12 GW F80 Blue/Yellow / 160cm</t>
  </si>
  <si>
    <t>https://tinyurl.com/ychekgbk</t>
  </si>
  <si>
    <t xml:space="preserve"> 2021 Salomon Stance 88 Demo Ski with Bindings Size 154 (Option 212150)</t>
  </si>
  <si>
    <t>https://tinyurl.com/y8ywyrer</t>
  </si>
  <si>
    <t>2022 Salomon S/MAX 8 Skis + M11 GW Bindings</t>
  </si>
  <si>
    <t>Coast Water Sport</t>
  </si>
  <si>
    <t>https://tinyurl.com/yav4mn5f</t>
  </si>
  <si>
    <t>Salomon Ski Set E S/Max 8 + M11 GW L80 Skis - Dark Grey/Yellow/Black</t>
  </si>
  <si>
    <t>https://tinyurl.com/ybtx8vjc</t>
  </si>
  <si>
    <t>Salomon Xdr8.4 W12 165 '19</t>
  </si>
  <si>
    <t>https://tinyurl.com/y8l8m3rl</t>
  </si>
  <si>
    <t>https://tinyurl.com/yd6koxon</t>
  </si>
  <si>
    <t>Faction Prodigy 2.0x Women's Skis 171cm 2022</t>
  </si>
  <si>
    <t>https://tinyurl.com/y838gcm9</t>
  </si>
  <si>
    <t>https://tinyurl.com/y77e3m3m</t>
  </si>
  <si>
    <t>Skis Rossignol Blackops alpineer</t>
  </si>
  <si>
    <t>https://tinyurl.com/yb9yz76q</t>
  </si>
  <si>
    <t>https://tinyurl.com/ybcfoxqm</t>
  </si>
  <si>
    <t>Rossignol Experience 84 Ai Skis</t>
  </si>
  <si>
    <t>https://tinyurl.com/ybhoxv7k</t>
  </si>
  <si>
    <t>Stockli Nela 88 Womens Skis 2023 152</t>
  </si>
  <si>
    <t>https://tinyurl.com/y73htrz9</t>
  </si>
  <si>
    <t>Stockli Nela 88 Ski Women's, 152</t>
  </si>
  <si>
    <t>https://tinyurl.com/ybu59kdm</t>
  </si>
  <si>
    <t>https://tinyurl.com/yb3j5sok</t>
  </si>
  <si>
    <t>Salomon Qst The Lux 92 Skis + Mercury 11 Bindings 161cm Tuned &amp; Waxed</t>
  </si>
  <si>
    <t>https://tinyurl.com/y8hys4nt</t>
  </si>
  <si>
    <t>Salomon QST Lux 92 Womens Ski 2018-2019 Season 161</t>
  </si>
  <si>
    <t>shop.petersonsskiandcycle.com</t>
  </si>
  <si>
    <t>https://tinyurl.com/y9uv5v6u</t>
  </si>
  <si>
    <t>Salomon QST Lux 92 Skis Women's</t>
  </si>
  <si>
    <t>https://tinyurl.com/y6wtlju5</t>
  </si>
  <si>
    <t>https://tinyurl.com/ybl6w3jz</t>
  </si>
  <si>
    <t>Volkl Deacon 80 Skis 2022 w/bindings 177</t>
  </si>
  <si>
    <t>https://tinyurl.com/y9stwdbk</t>
  </si>
  <si>
    <t>VÃ¶lkl Rise Up 82 Touring Skis 177</t>
  </si>
  <si>
    <t>https://tinyurl.com/y9lrzc3k</t>
  </si>
  <si>
    <t>Blizzard Thunderbird Sport R14 Ti 165 cm</t>
  </si>
  <si>
    <t>https://tinyurl.com/y7pybm57</t>
  </si>
  <si>
    <t>https://www.google.com/url?q=https://www.bluezonesports.com/blizzard/blizzard-thunderbird-sport-r14-ti-skis-tpx-12-demo-bindings-mens-2022-38264&amp;sa=U&amp;ved=0ahUKEwj0iI7ZwO72AhViDjQIHYg8CtoQ2ykIGA&amp;usg=AOvVaw273j7e0QMQW0-kluvJC4bT</t>
  </si>
  <si>
    <t>Blizzard Thunderbird Sport CA Skis w/ TPC 11 Bindings</t>
  </si>
  <si>
    <t>https://tinyurl.com/y8aac63t</t>
  </si>
  <si>
    <t>https://tinyurl.com/y7nchkkb</t>
  </si>
  <si>
    <t>https://tinyurl.com/yag3wmo3</t>
  </si>
  <si>
    <t>https://tinyurl.com/ycf9bx5q</t>
  </si>
  <si>
    <t>Head V-Shape V4 Skis w/ PR 10 GW Promo Bindings</t>
  </si>
  <si>
    <t>https://tinyurl.com/y7ddkbc2</t>
  </si>
  <si>
    <t>Ski Country Sports</t>
  </si>
  <si>
    <t>https://tinyurl.com/y77rn9cp</t>
  </si>
  <si>
    <t>https://tinyurl.com/y7prtxz4</t>
  </si>
  <si>
    <t>K2 Mindbender 85 Skis</t>
  </si>
  <si>
    <t>https://tinyurl.com/yaqjnbmv</t>
  </si>
  <si>
    <t>https://tinyurl.com/yavlrxvm</t>
  </si>
  <si>
    <t>https://tinyurl.com/ycotovwm</t>
  </si>
  <si>
    <t>https://tinyurl.com/ybds5yos</t>
  </si>
  <si>
    <t>https://tinyurl.com/y7vjwaml</t>
  </si>
  <si>
    <t>https://tinyurl.com/y9tyo7rd</t>
  </si>
  <si>
    <t>K2 Mindbender 115C Alliance Skis Â· Women's Â· 2021 Â· 165 cm</t>
  </si>
  <si>
    <t>https://tinyurl.com/yak78vao</t>
  </si>
  <si>
    <t>'21 K2 Mindbender 115C Alliance Skis 165cm</t>
  </si>
  <si>
    <t>https://tinyurl.com/ycrvz994</t>
  </si>
  <si>
    <t>Skis K2 Mindbender 115c Alliance Womens 140-115-129 165cm 2022 Sealed</t>
  </si>
  <si>
    <t>eBay - lkcat</t>
  </si>
  <si>
    <t>https://tinyurl.com/y7cyh8gh</t>
  </si>
  <si>
    <t>Atomic Skis Vantage 75 + M 10 GW Womens - No Color - 161</t>
  </si>
  <si>
    <t>https://tinyurl.com/ycephkf7</t>
  </si>
  <si>
    <t>https://tinyurl.com/yb96aymj</t>
  </si>
  <si>
    <t>https://tinyurl.com/ycdjkpot</t>
  </si>
  <si>
    <t>Atomic Backland W 107 Anthra/Ber / 167cm</t>
  </si>
  <si>
    <t>https://tinyurl.com/y7uknajy</t>
  </si>
  <si>
    <t>Atomic W Backland 107 Alpine Touring Ski (2022) 167</t>
  </si>
  <si>
    <t>https://tinyurl.com/ycz8y6cl</t>
  </si>
  <si>
    <t>'22 Atomic Backland 107 W Skis 167cm</t>
  </si>
  <si>
    <t>https://tinyurl.com/y72bx5ky</t>
  </si>
  <si>
    <t>https://tinyurl.com/y9fvqn33</t>
  </si>
  <si>
    <t>https://tinyurl.com/ydc4p2k2</t>
  </si>
  <si>
    <t>Armada Tracer 98 Limited Dark Blue-Black-White 188 Ski Men</t>
  </si>
  <si>
    <t>https://tinyurl.com/yafpyps6</t>
  </si>
  <si>
    <t>2021 Armada Tracer 98 188cm</t>
  </si>
  <si>
    <t>https://tinyurl.com/yclpongl</t>
  </si>
  <si>
    <t>https://tinyurl.com/y7qephba</t>
  </si>
  <si>
    <t>Rossignol React 6 Compact Mens Skis 177 W/Xpress 11 GW Bindings Black Hot Red</t>
  </si>
  <si>
    <t>https://tinyurl.com/ya4olz9o</t>
  </si>
  <si>
    <t>Rossignol React R6 Compact (xpress)</t>
  </si>
  <si>
    <t>https://tinyurl.com/yayafoms</t>
  </si>
  <si>
    <t>Rossignol React 2 Skis W Xpress 10 Gw Bindings 2022 - Na</t>
  </si>
  <si>
    <t>https://tinyurl.com/yb38f2rc</t>
  </si>
  <si>
    <t>Volkl Blaze 94 Alpine Skis 2022 - - 179 cm</t>
  </si>
  <si>
    <t>https://tinyurl.com/yc5v6djo</t>
  </si>
  <si>
    <t>https://tinyurl.com/yc959q5c</t>
  </si>
  <si>
    <t>https://tinyurl.com/ycljzfbe</t>
  </si>
  <si>
    <t>https://tinyurl.com/ydcw5jtx</t>
  </si>
  <si>
    <t>https://tinyurl.com/y84pptf4</t>
  </si>
  <si>
    <t>https://tinyurl.com/ybc37t4c</t>
  </si>
  <si>
    <t>2021 Volkl Deacon XTD Skis w/ vMotion2 10 GW Bindings</t>
  </si>
  <si>
    <t>https://tinyurl.com/ybyjly9g</t>
  </si>
  <si>
    <t>Volkl Deacon XTD Vmotion2 20/21 - Warning Binding/brake Not Included 161</t>
  </si>
  <si>
    <t>https://tinyurl.com/y7z936y2</t>
  </si>
  <si>
    <t>Volkl Supersport Skis With Adjustable Marker Motion Lt Bindings - 161</t>
  </si>
  <si>
    <t>https://tinyurl.com/ya2ek7l4</t>
  </si>
  <si>
    <t>Rossignol Men's Experience 82 Basalt Skis with Bindings 168 cm</t>
  </si>
  <si>
    <t>https://tinyurl.com/y9mtqruv</t>
  </si>
  <si>
    <t>Rossignol Experience 82 Ti Konnect Black 168 Ski Men</t>
  </si>
  <si>
    <t>https://tinyurl.com/ydfegwqq</t>
  </si>
  <si>
    <t>https://tinyurl.com/yccl7vha</t>
  </si>
  <si>
    <t>Fischer Ranger 99 Ti Skis</t>
  </si>
  <si>
    <t>https://tinyurl.com/ybdnvf2f</t>
  </si>
  <si>
    <t>Fischer Ranger 99 Ti Skis with Tyrolia Attack 13 Demo Bindings 188cm (1101042)</t>
  </si>
  <si>
    <t>https://tinyurl.com/ydct9ph5</t>
  </si>
  <si>
    <t>Fischer Ranger 99 Ti Ski 2022</t>
  </si>
  <si>
    <t>https://tinyurl.com/ydh5p99x</t>
  </si>
  <si>
    <t>Atomic Maverick 95 TI - 172 (Brand New)</t>
  </si>
  <si>
    <t>https://tinyurl.com/y9km6p6m</t>
  </si>
  <si>
    <t xml:space="preserve"> Atomic 22 Maverick 95 Ti 172Cm Demo</t>
  </si>
  <si>
    <t>https://tinyurl.com/ybf3unry</t>
  </si>
  <si>
    <t>https://tinyurl.com/ycjvd9vr</t>
  </si>
  <si>
    <t>Blizzard Zero G 85 Ski 2022</t>
  </si>
  <si>
    <t>https://tinyurl.com/ybc24dhj</t>
  </si>
  <si>
    <t>https://tinyurl.com/ydyj5j9c</t>
  </si>
  <si>
    <t>Blizzard Zero G 85 Backcountry Touring Ski 2022 178 / Grey</t>
  </si>
  <si>
    <t>https://tinyurl.com/y8ahltst</t>
  </si>
  <si>
    <t>Volkl Secret 96 Alpine Skis 2022 - - 163 cm</t>
  </si>
  <si>
    <t>https://tinyurl.com/y72f6p9e</t>
  </si>
  <si>
    <t>Volkl Secret 96 Women's Skis 2022 - 163cm</t>
  </si>
  <si>
    <t>https://tinyurl.com/y98mw3w4</t>
  </si>
  <si>
    <t>Volkl Secret 96 Skis</t>
  </si>
  <si>
    <t>https://tinyurl.com/y9uphus3</t>
  </si>
  <si>
    <t>https://tinyurl.com/y9l2fed4</t>
  </si>
  <si>
    <t>https://tinyurl.com/y9ogl8xx</t>
  </si>
  <si>
    <t>Salomon QST 92 Skis - 2022 - 185cm</t>
  </si>
  <si>
    <t>https://tinyurl.com/yb4cc9yt</t>
  </si>
  <si>
    <t>Dynafit Seven Summits Ski Blue, Mens/Womens Backcountry Skis, Size 174 cm - Color Blue - Red</t>
  </si>
  <si>
    <t>https://tinyurl.com/yd3oqxhr</t>
  </si>
  <si>
    <t>Dynafit Seven Summits Set Ski Grey/Red, 174cm</t>
  </si>
  <si>
    <t>https://tinyurl.com/ybra7q2r</t>
  </si>
  <si>
    <t>Dynafit Seven Summits+ Touring Skis 174</t>
  </si>
  <si>
    <t>https://tinyurl.com/y8esxjgp</t>
  </si>
  <si>
    <t>Salomon N Stance 96 176cm</t>
  </si>
  <si>
    <t>https://tinyurl.com/y8ojsenq</t>
  </si>
  <si>
    <t>Salomon Stance 96 Skis</t>
  </si>
  <si>
    <t>https://tinyurl.com/ycol4fu4</t>
  </si>
  <si>
    <t>https://tinyurl.com/y7f5a78q</t>
  </si>
  <si>
    <t>Head Kore 93 Anth/Yw / 156cm</t>
  </si>
  <si>
    <t>https://tinyurl.com/y72z9tcy</t>
  </si>
  <si>
    <t>Head Kore 93</t>
  </si>
  <si>
    <t>https://tinyurl.com/yaoxjvh9</t>
  </si>
  <si>
    <t>Head Kore 93 Incl Attack 14 GW binding Anthracite-Yellow 156 Ski Men</t>
  </si>
  <si>
    <t>https://tinyurl.com/y7xrng23</t>
  </si>
  <si>
    <t>Blizzard Spur Ski - 2022 Green/Blue, 159cm</t>
  </si>
  <si>
    <t>https://tinyurl.com/y79vb25d</t>
  </si>
  <si>
    <t>https://tinyurl.com/ybl4e7ab</t>
  </si>
  <si>
    <t>eBay - backcountry</t>
  </si>
  <si>
    <t>https://tinyurl.com/y8scw56j</t>
  </si>
  <si>
    <t>2022 Blizzard Zero G 105 Skis with Marker Kingpin 13 Bindings (172)</t>
  </si>
  <si>
    <t>https://tinyurl.com/yalgg6re</t>
  </si>
  <si>
    <t>Blizzard Zero G 105 21/22</t>
  </si>
  <si>
    <t>https://tinyurl.com/y845m2v6</t>
  </si>
  <si>
    <t>https://tinyurl.com/y7za6lks</t>
  </si>
  <si>
    <t>Icelantic Nomad 105 Lite Skis Â· 2022 Â· 181 cm</t>
  </si>
  <si>
    <t>https://tinyurl.com/ybokccm9</t>
  </si>
  <si>
    <t>https://tinyurl.com/y995eoc5</t>
  </si>
  <si>
    <t>DreamRuns.com</t>
  </si>
  <si>
    <t>https://tinyurl.com/y84egsog</t>
  </si>
  <si>
    <t>https://tinyurl.com/y977puxw</t>
  </si>
  <si>
    <t>DPS Skis Koala Foundation F119 Ski</t>
  </si>
  <si>
    <t>https://tinyurl.com/yd249oag</t>
  </si>
  <si>
    <t>https://tinyurl.com/yacrxfqk</t>
  </si>
  <si>
    <t>Armada Stranger Skis - 2022 180 cm</t>
  </si>
  <si>
    <t>https://tinyurl.com/y9rtg99b</t>
  </si>
  <si>
    <t>Armada Stranger Skis - 2022 180cm</t>
  </si>
  <si>
    <t>https://tinyurl.com/ya4anwvx</t>
  </si>
  <si>
    <t>Armada Stranger Ski 180 cm</t>
  </si>
  <si>
    <t>https://tinyurl.com/ya2k4jl2</t>
  </si>
  <si>
    <t>https://tinyurl.com/ybmgha5t</t>
  </si>
  <si>
    <t>https://tinyurl.com/ydfeo9hz</t>
  </si>
  <si>
    <t>https://tinyurl.com/ycrsmeu9</t>
  </si>
  <si>
    <t>17-18 Blizzard Black Pearl 88  Women's Demo Skis W/binding</t>
  </si>
  <si>
    <t>https://tinyurl.com/yaewqcjt</t>
  </si>
  <si>
    <t>Blizzard Black Pearl 88 (Flat)</t>
  </si>
  <si>
    <t>https://tinyurl.com/ybxe3vro</t>
  </si>
  <si>
    <t>https://tinyurl.com/ydxeowed</t>
  </si>
  <si>
    <t>https://tinyurl.com/ybv2kq7d</t>
  </si>
  <si>
    <t>https://tinyurl.com/ybar635g</t>
  </si>
  <si>
    <t>https://tinyurl.com/yas29atm</t>
  </si>
  <si>
    <t>Elan 2021 Wingman 86 CTI 172cm Skis w/FX EMX 12.0 Bindings</t>
  </si>
  <si>
    <t>https://tinyurl.com/y88szoea</t>
  </si>
  <si>
    <t>Elan Wingman 86 CTI Skis 2022</t>
  </si>
  <si>
    <t>https://tinyurl.com/y89nsej9</t>
  </si>
  <si>
    <t>Elan Wingman 86 CTi Skis 2023 172</t>
  </si>
  <si>
    <t>https://tinyurl.com/y9x9v7nv</t>
  </si>
  <si>
    <t>Head Kore 97 W Skis Womens 2022</t>
  </si>
  <si>
    <t>https://tinyurl.com/y94s8h93</t>
  </si>
  <si>
    <t>https://tinyurl.com/y8lzm6dm</t>
  </si>
  <si>
    <t>https://tinyurl.com/yd8os74q</t>
  </si>
  <si>
    <t>Atomic 2022 Maverick 83 R AW Skis w/ M10 GW Bindings</t>
  </si>
  <si>
    <t>https://tinyurl.com/yad7ekht</t>
  </si>
  <si>
    <t>https://tinyurl.com/yck3e8ba</t>
  </si>
  <si>
    <t>22 Maverick 83 R Aw + M 10 Red | Grey / 173</t>
  </si>
  <si>
    <t>https://tinyurl.com/y8zbzqsy</t>
  </si>
  <si>
    <t>https://tinyurl.com/ycrfj88l</t>
  </si>
  <si>
    <t>https://tinyurl.com/y8xs6fd8</t>
  </si>
  <si>
    <t>https://tinyurl.com/yapobrcy</t>
  </si>
  <si>
    <t>Elan Wingman 78 Ti Skis with Bindings</t>
  </si>
  <si>
    <t>https://tinyurl.com/y9x79n2s</t>
  </si>
  <si>
    <t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t>
  </si>
  <si>
    <t>Elan Wingman 78 Ti System Skis w/ ELS 11 GW Bindings</t>
  </si>
  <si>
    <t>https://tinyurl.com/y8bbqa84</t>
  </si>
  <si>
    <t>Nordica Enforcer 104 free GREY/BLUE/WHITE / 165cm</t>
  </si>
  <si>
    <t>https://tinyurl.com/yaafc8up</t>
  </si>
  <si>
    <t>Nordica Enforcer 104 Free Skis 2022</t>
  </si>
  <si>
    <t>https://tinyurl.com/ybvftfds</t>
  </si>
  <si>
    <t>https://tinyurl.com/ycwplhel</t>
  </si>
  <si>
    <t>Elan Ripstick 88 188 2021</t>
  </si>
  <si>
    <t>https://tinyurl.com/y8dlrkto</t>
  </si>
  <si>
    <t>https://tinyurl.com/y7hgrppp</t>
  </si>
  <si>
    <t>https://tinyurl.com/y8zqjrqz</t>
  </si>
  <si>
    <t>https://tinyurl.com/y8c33nef</t>
  </si>
  <si>
    <t>https://tinyurl.com/y7lv5pc9</t>
  </si>
  <si>
    <t>https://tinyurl.com/ycz4elmj</t>
  </si>
  <si>
    <t>https://tinyurl.com/ych7cjpz</t>
  </si>
  <si>
    <t>https://tinyurl.com/y8ztmvt5</t>
  </si>
  <si>
    <t>Head Kore 99 Ski 2022</t>
  </si>
  <si>
    <t>https://tinyurl.com/ybr2elnc</t>
  </si>
  <si>
    <t>https://tinyurl.com/ybh3hcf3</t>
  </si>
  <si>
    <t>https://tinyurl.com/y7egc7qs</t>
  </si>
  <si>
    <t>https://tinyurl.com/y9vlt9du</t>
  </si>
  <si>
    <t>https://tinyurl.com/y6ue4oez</t>
  </si>
  <si>
    <t>https://tinyurl.com/y7g9k5ot</t>
  </si>
  <si>
    <t>https://tinyurl.com/y8k58b7j</t>
  </si>
  <si>
    <t>Atomic Bent Chetler 120 Skis</t>
  </si>
  <si>
    <t>https://tinyurl.com/yazkkxqg</t>
  </si>
  <si>
    <t>https://tinyurl.com/ybpg94qj</t>
  </si>
  <si>
    <t>https://tinyurl.com/ybf6onwv</t>
  </si>
  <si>
    <t>Volkl Men's Deacon 80 + Lowride XL 13 Skis 167</t>
  </si>
  <si>
    <t>https://tinyurl.com/ycrx3ksk</t>
  </si>
  <si>
    <t>https://tinyurl.com/y7y7nybs</t>
  </si>
  <si>
    <t>https://tinyurl.com/ycqzvpq4</t>
  </si>
  <si>
    <t>Line Pandora 94 Skis 2022</t>
  </si>
  <si>
    <t>https://tinyurl.com/y8ymr9cv</t>
  </si>
  <si>
    <t>https://tinyurl.com/y7ww7t3x</t>
  </si>
  <si>
    <t>'22 Line Pandora 94 Skis 172cm</t>
  </si>
  <si>
    <t>https://tinyurl.com/ybd9opry</t>
  </si>
  <si>
    <t>Salomon QST Lumen 99 - Women's Purple/Light Pink / 181</t>
  </si>
  <si>
    <t>https://tinyurl.com/y8dynrcq</t>
  </si>
  <si>
    <t>Salomon QST 99 Dark Blue/Beige / 181cm</t>
  </si>
  <si>
    <t>https://tinyurl.com/ybvgwvxl</t>
  </si>
  <si>
    <t>https://tinyurl.com/yd2jnhhj</t>
  </si>
  <si>
    <t>K2 Mindbender 108 Ti LTD incl Marker Griffon 13 179 Ski</t>
  </si>
  <si>
    <t>https://tinyurl.com/ycoze433</t>
  </si>
  <si>
    <t>'22 K2 Mindbender 108 Ti Skis 179cm</t>
  </si>
  <si>
    <t>https://tinyurl.com/y7xuopvp</t>
  </si>
  <si>
    <t>MINDBENDER 108 TI '22</t>
  </si>
  <si>
    <t>https://tinyurl.com/yd8g7o28</t>
  </si>
  <si>
    <t>https://tinyurl.com/y9javyy7</t>
  </si>
  <si>
    <t>https://tinyurl.com/y8jakh7t</t>
  </si>
  <si>
    <t>https://tinyurl.com/y9oyzcsz</t>
  </si>
  <si>
    <t>Elan Insomnia 14 Ti + ELW 9 Shift 21/22</t>
  </si>
  <si>
    <t>https://tinyurl.com/y7lzzwb3</t>
  </si>
  <si>
    <t>Snow skiing with mounts Elan 2020-21 insomnia elite Ti PS + elx11.0 (CM: 158) Kant Kant Kaht</t>
  </si>
  <si>
    <t>AliExpress.com</t>
  </si>
  <si>
    <t>https://tinyurl.com/yc6cvalz</t>
  </si>
  <si>
    <t>Elan Insomnia Black Edition 158 Ski Lady's Ladies / Women</t>
  </si>
  <si>
    <t>https://tinyurl.com/y7649bkl</t>
  </si>
  <si>
    <t>Rossignol Hero Elite Plus Ti Mens Skis W/SPX 12 Konect GW Bindings</t>
  </si>
  <si>
    <t>https://tinyurl.com/yagabde4</t>
  </si>
  <si>
    <t>https://tinyurl.com/y93sp7eo</t>
  </si>
  <si>
    <t>https://tinyurl.com/yd3uy8l2</t>
  </si>
  <si>
    <t>Rossignol Experience W 82 Basalt Women's Skis w Look Xpress 11 Demo Bindings  Demo</t>
  </si>
  <si>
    <t>https://tinyurl.com/ycgw6n4h</t>
  </si>
  <si>
    <t>Rossignol Experience W 82 Basalt W XP11 159cm</t>
  </si>
  <si>
    <t>https://tinyurl.com/y9r47tyy</t>
  </si>
  <si>
    <t>https://tinyurl.com/y7fazfcy</t>
  </si>
  <si>
    <t>https://tinyurl.com/ycp99uru</t>
  </si>
  <si>
    <t>Mindbender 88 Ti Alliance Squire 11 Id Set Black</t>
  </si>
  <si>
    <t>https://tinyurl.com/y76qcqkd</t>
  </si>
  <si>
    <t>K2 Mindbender 90C Alliance Skis Women's 2022</t>
  </si>
  <si>
    <t>https://tinyurl.com/y9nhpx4w</t>
  </si>
  <si>
    <t>Stockli Edge 88 Skis 165cm 2022</t>
  </si>
  <si>
    <t>https://tinyurl.com/ybctyh62</t>
  </si>
  <si>
    <t>Stockli Edge 88 Skis 2023 165</t>
  </si>
  <si>
    <t>https://tinyurl.com/ybzxqo2t</t>
  </si>
  <si>
    <t>https://tinyurl.com/yaustoz3</t>
  </si>
  <si>
    <t>https://tinyurl.com/y84cmmqg</t>
  </si>
  <si>
    <t>Salomon Qst 98 Skis 2022 176cm</t>
  </si>
  <si>
    <t>https://tinyurl.com/y8q862l7</t>
  </si>
  <si>
    <t>https://tinyurl.com/ycvsc5qs</t>
  </si>
  <si>
    <t>Atomic Redster X7 WB + F12 GW 21/22</t>
  </si>
  <si>
    <t>https://tinyurl.com/y98y8e7v</t>
  </si>
  <si>
    <t>2021 Atomic Redster X7 Wb Green Skis W/ F 12 Gw Bindings</t>
  </si>
  <si>
    <t>https://tinyurl.com/y7neuybo</t>
  </si>
  <si>
    <t>Atomic 2022 Redster X9i WB REVO S+ X 12 GW BLACK/SILVER / 160</t>
  </si>
  <si>
    <t>https://tinyurl.com/yc4c6c7p</t>
  </si>
  <si>
    <t>'22 K2 Mindbender 90 Ti Skis 177cm</t>
  </si>
  <si>
    <t>https://tinyurl.com/yagprxr5</t>
  </si>
  <si>
    <t>K2 Mindbender 99Ti Skis - 2022</t>
  </si>
  <si>
    <t>https://tinyurl.com/y7zzwk87</t>
  </si>
  <si>
    <t>https://tinyurl.com/ybyzuav9</t>
  </si>
  <si>
    <t>Head Kore 80 X LYT-PR + PRW 11 GW 170cm</t>
  </si>
  <si>
    <t>https://tinyurl.com/y9n35zkw</t>
  </si>
  <si>
    <t>Head Men's Kore 80 x LYT-PR Alpine Skis with PRW 11 GW Binding</t>
  </si>
  <si>
    <t>https://tinyurl.com/yaevmux3</t>
  </si>
  <si>
    <t>https://tinyurl.com/y83q7per</t>
  </si>
  <si>
    <t>Rossignol Hero Elite MT Ti + SPX12.GW Bi Racing Skis Â· 2022 Â· 159 cm</t>
  </si>
  <si>
    <t>https://tinyurl.com/y7tqf8ru</t>
  </si>
  <si>
    <t>https://tinyurl.com/yashw8xf</t>
  </si>
  <si>
    <t>Rossignol HERO ELITE MT TI + SPX12.GW BI Racing Ski 2022 159</t>
  </si>
  <si>
    <t>https://tinyurl.com/ydcng9kh</t>
  </si>
  <si>
    <t>Atomic Maven 86 Berry / 161cm</t>
  </si>
  <si>
    <t>https://tinyurl.com/yb7sjnvn</t>
  </si>
  <si>
    <t>Atomic Maven 86 R Women's Skis with M10 GW Bindings Â· 2022 Â· 161 cm</t>
  </si>
  <si>
    <t>https://tinyurl.com/y7uz3pp2</t>
  </si>
  <si>
    <t>2022 Atomic Maven 86 Women's Skis w/ Tyrolia Attack 11 GW Bindings - 161| Ski Essentials</t>
  </si>
  <si>
    <t>https://tinyurl.com/y9lzlupz</t>
  </si>
  <si>
    <t>https://tinyurl.com/y9oguhht</t>
  </si>
  <si>
    <t>https://tinyurl.com/ycmd4qzf</t>
  </si>
  <si>
    <t>https://tinyurl.com/yavqogkf</t>
  </si>
  <si>
    <t>Head V-Shape V6 Skis with PR 11 GW Bindings</t>
  </si>
  <si>
    <t>https://tinyurl.com/yd7rfcqa</t>
  </si>
  <si>
    <t xml:space="preserve"> Head V Shape V6 LYT Skis D by GalacticSnowSports</t>
  </si>
  <si>
    <t>GalacticSnowSports</t>
  </si>
  <si>
    <t>https://tinyurl.com/yaqbc559</t>
  </si>
  <si>
    <t>Head V-shape Lyt V10r Snow Skis 163cm W-bindings (clearance Price)</t>
  </si>
  <si>
    <t>eBay - proskiguy</t>
  </si>
  <si>
    <t>https://tinyurl.com/y9p8mh5o</t>
  </si>
  <si>
    <t>2022 Head Oblivion 84 Twin Tip Park and Pipe Snow Skis 176</t>
  </si>
  <si>
    <t>https://tinyurl.com/y8g8k2ss</t>
  </si>
  <si>
    <t>Head Oblivion 84 Skis 2022 - 176</t>
  </si>
  <si>
    <t>https://tinyurl.com/ya9dtg8p</t>
  </si>
  <si>
    <t>https://tinyurl.com/y8jmptfo</t>
  </si>
  <si>
    <t>Volkl 22 Blaze 94 165Cm  Demo Skis W/ Bindings</t>
  </si>
  <si>
    <t>https://tinyurl.com/yc852vkw</t>
  </si>
  <si>
    <t>Volkl Blaze 94 Skis 2022</t>
  </si>
  <si>
    <t>https://tinyurl.com/y7s8dd63</t>
  </si>
  <si>
    <t>https://tinyurl.com/yd8jzagq</t>
  </si>
  <si>
    <t>K2 2021 Reckoner 122 Skis</t>
  </si>
  <si>
    <t>https://tinyurl.com/ybv2kvsj</t>
  </si>
  <si>
    <t>https://tinyurl.com/ycf7gwsw</t>
  </si>
  <si>
    <t>K2 Reckoner 122 Skis 2022 - 177</t>
  </si>
  <si>
    <t>https://tinyurl.com/yapgdd2v</t>
  </si>
  <si>
    <t>2022 Black Crows Corvus Freebird Skis w/ Marker Kingpin 13 Bindings - 183| Ski Essentials</t>
  </si>
  <si>
    <t>https://tinyurl.com/ybcgxabz</t>
  </si>
  <si>
    <t>Black Crows Corvus Freebird Skis Â· 2021 Â· 183 cm</t>
  </si>
  <si>
    <t>https://tinyurl.com/ycx224vr</t>
  </si>
  <si>
    <t>Black Crows Corvus Freebird Skis 2022 183</t>
  </si>
  <si>
    <t>https://tinyurl.com/yddbvy36</t>
  </si>
  <si>
    <t>Dynafit Blacklight 88</t>
  </si>
  <si>
    <t>https://tinyurl.com/ydbx4bmh</t>
  </si>
  <si>
    <t>https://tinyurl.com/y973hlqr</t>
  </si>
  <si>
    <t>https://tinyurl.com/yb2rn5ll</t>
  </si>
  <si>
    <t>Elan Ripstick 116 Skis Â· 2022 Â· 185 cm</t>
  </si>
  <si>
    <t>https://tinyurl.com/y9bdx5zm</t>
  </si>
  <si>
    <t>Elan Ripstick 116 Flat Ski 2020-2021 | ORANGE / 185</t>
  </si>
  <si>
    <t>https://tinyurl.com/y9k9zako</t>
  </si>
  <si>
    <t>https://tinyurl.com/ybmzfa3v</t>
  </si>
  <si>
    <t>K2 Mindbender 88 Ti Alliance Skis 2021 149</t>
  </si>
  <si>
    <t>https://tinyurl.com/ya29n38n</t>
  </si>
  <si>
    <t>K2 Mindbender 85 Alliance Skis Women's 2022</t>
  </si>
  <si>
    <t>https://tinyurl.com/y9n9j954</t>
  </si>
  <si>
    <t>K2 Mindbender 88Ti Alliance Skis 2022 - Women's 149</t>
  </si>
  <si>
    <t>https://tinyurl.com/y9knn5n7</t>
  </si>
  <si>
    <t>https://tinyurl.com/yd7mg8jp</t>
  </si>
  <si>
    <t>Rossignol Experience 74 Blue 168 Ski Men</t>
  </si>
  <si>
    <t>https://tinyurl.com/y8p6ujmw</t>
  </si>
  <si>
    <t xml:space="preserve"> Rossignol Experience 77 168 cm Mens Downhill Ski Combo</t>
  </si>
  <si>
    <t>https://tinyurl.com/yazqbs5c</t>
  </si>
  <si>
    <t>https://tinyurl.com/y7jw6bbo</t>
  </si>
  <si>
    <t>https://tinyurl.com/ycajz5mo</t>
  </si>
  <si>
    <t>https://tinyurl.com/y7864v9d</t>
  </si>
  <si>
    <t>Faction Ct 3.0 Skis</t>
  </si>
  <si>
    <t>https://tinyurl.com/y8ptyymo</t>
  </si>
  <si>
    <t>https://tinyurl.com/y9boggx2</t>
  </si>
  <si>
    <t>Faction CT 1.0 21/22</t>
  </si>
  <si>
    <t>https://tinyurl.com/ybdyjyr6</t>
  </si>
  <si>
    <t>https://tinyurl.com/y8ujldh2</t>
  </si>
  <si>
    <t>Volkl Revolt 87 177cm</t>
  </si>
  <si>
    <t>https://tinyurl.com/ybc69bm7</t>
  </si>
  <si>
    <t>https://tinyurl.com/ycxet7np</t>
  </si>
  <si>
    <t>Elan Insomnia Elite Ti 152</t>
  </si>
  <si>
    <t>https://tinyurl.com/y7k7jhnh</t>
  </si>
  <si>
    <t>https://tinyurl.com/y77yzstk</t>
  </si>
  <si>
    <t>https://tinyurl.com/y9nmdbu2</t>
  </si>
  <si>
    <t>W Bash 86 2022 164cm</t>
  </si>
  <si>
    <t>https://tinyurl.com/y7rtfga6</t>
  </si>
  <si>
    <t>https://tinyurl.com/yb6b2uf3</t>
  </si>
  <si>
    <t>https://tinyurl.com/y7o9wke4</t>
  </si>
  <si>
    <t>Atomic Women's Cloud 11 Skis with M 10 GW Bindings 160</t>
  </si>
  <si>
    <t>https://tinyurl.com/y7voq4wz</t>
  </si>
  <si>
    <t>https://tinyurl.com/ya8kqoac</t>
  </si>
  <si>
    <t>https://tinyurl.com/ya9u89hr</t>
  </si>
  <si>
    <t>Volkl Flair 75 + vMotion 10 GW Lady</t>
  </si>
  <si>
    <t>https://tinyurl.com/y8x8a488</t>
  </si>
  <si>
    <t>2022 Volkl Flair 75 Womens Skis W/ Vmotion3 11 Alu Gw Bindings</t>
  </si>
  <si>
    <t>https://tinyurl.com/ycrnwk8k</t>
  </si>
  <si>
    <t>Volkl Women's Flair 75 Skis + vMotion 3 Bindings 147</t>
  </si>
  <si>
    <t>https://tinyurl.com/y7omc3oz</t>
  </si>
  <si>
    <t>https://tinyurl.com/yats2syc</t>
  </si>
  <si>
    <t>Salomon Other | Salomon Qst Lux 92 153 Skis W Bindings | Color: Black | Size: 153 | Kll86's Closet</t>
  </si>
  <si>
    <t>https://tinyurl.com/y7o878m2</t>
  </si>
  <si>
    <t>https://tinyurl.com/y8ommkht</t>
  </si>
  <si>
    <t>Elan Ripstick 88 Skis</t>
  </si>
  <si>
    <t>https://tinyurl.com/y7bgbeul</t>
  </si>
  <si>
    <t>Sage to Summit</t>
  </si>
  <si>
    <t>https://tinyurl.com/y9j7kpty</t>
  </si>
  <si>
    <t>https://tinyurl.com/ycpmq2da</t>
  </si>
  <si>
    <t>Elan Wildcat 82 CX + ELW 11 Shift 21/22</t>
  </si>
  <si>
    <t>https://tinyurl.com/y9x9gquk</t>
  </si>
  <si>
    <t>https://tinyurl.com/y9r67n5y</t>
  </si>
  <si>
    <t>Elan Wildcat 82C Flat Skis (Women's) 158</t>
  </si>
  <si>
    <t>https://tinyurl.com/ycbboop3</t>
  </si>
  <si>
    <t>Head V-Shape V4 Skis with PR 10 GW Bindings</t>
  </si>
  <si>
    <t>https://tinyurl.com/yd67aylk</t>
  </si>
  <si>
    <t>https://tinyurl.com/yaeb4mmr</t>
  </si>
  <si>
    <t>https://tinyurl.com/yd4gnlbm</t>
  </si>
  <si>
    <t>https://tinyurl.com/yb3sh7qz</t>
  </si>
  <si>
    <t>https://tinyurl.com/y7bhtgvv</t>
  </si>
  <si>
    <t>Blizzard Sheeva 9 Skis - 2022 - Women's 157 cm</t>
  </si>
  <si>
    <t>https://tinyurl.com/ybuxg4d4</t>
  </si>
  <si>
    <t>Mens Skis Deacon 79 | 170 | Volkl</t>
  </si>
  <si>
    <t>Hansen Surfboards</t>
  </si>
  <si>
    <t>https://tinyurl.com/ycy2t73o</t>
  </si>
  <si>
    <t>Volkl Deacon 79 Skis with IPT XL 12 TCX GW Bindings 170cm</t>
  </si>
  <si>
    <t>https://tinyurl.com/y74tkaqe</t>
  </si>
  <si>
    <t>VÃ¶lkl Racetiger RC Skis + vMotion 12 GW Bindings Red Black - 170</t>
  </si>
  <si>
    <t>https://tinyurl.com/y8aynygj</t>
  </si>
  <si>
    <t>Elan Insomnia 16 Ti Blue 164 Ski Lady's Ladies / Women</t>
  </si>
  <si>
    <t>https://tinyurl.com/y8wbb9dq</t>
  </si>
  <si>
    <t>Elan Insomnia Elite Ti 164</t>
  </si>
  <si>
    <t>https://tinyurl.com/ya886v96</t>
  </si>
  <si>
    <t>Elan Insomnia Black Edition 164 Ski Lady's Ladies / Women</t>
  </si>
  <si>
    <t>https://tinyurl.com/yc3z7kyh</t>
  </si>
  <si>
    <t>https://tinyurl.com/yctu8umb</t>
  </si>
  <si>
    <t>https://tinyurl.com/y98xrxek</t>
  </si>
  <si>
    <t>https://tinyurl.com/yajk3g9y</t>
  </si>
  <si>
    <t>Armada Tracer 98 Limited Dark Blue-Black-White 164 Ski Men</t>
  </si>
  <si>
    <t>https://tinyurl.com/ybunfp8u</t>
  </si>
  <si>
    <t>Armada - Tracer 98 - 164 Blue</t>
  </si>
  <si>
    <t>https://tinyurl.com/y9zmnuzm</t>
  </si>
  <si>
    <t>Armada Tracer 98 Skis with Warden MNC 13 Bindings Mens Blue Resin 164cm</t>
  </si>
  <si>
    <t>https://tinyurl.com/y7yh6svk</t>
  </si>
  <si>
    <t>Elan Element Green Black-Green 168 Ski Men</t>
  </si>
  <si>
    <t>https://tinyurl.com/y8ngzg3q</t>
  </si>
  <si>
    <t>Elan Element LS EL 10.0 Orange / 168cm</t>
  </si>
  <si>
    <t>https://tinyurl.com/y7m6qe3x</t>
  </si>
  <si>
    <t>Elan Element Black Blue Light Shift Ski with Bindings 168</t>
  </si>
  <si>
    <t>https://tinyurl.com/y7nucrcv</t>
  </si>
  <si>
    <t>https://tinyurl.com/y7d9c34u</t>
  </si>
  <si>
    <t>https://tinyurl.com/y7sk4xb8</t>
  </si>
  <si>
    <t>https://tinyurl.com/y95tvuv7</t>
  </si>
  <si>
    <t>https://tinyurl.com/yd7cwjl6</t>
  </si>
  <si>
    <t>2022 K2 Reckoner 102 Demo Skis w/ Marker Griffon 13 Demo Bindings - 170| Ski Essentials</t>
  </si>
  <si>
    <t>https://tinyurl.com/y9pqy4mn</t>
  </si>
  <si>
    <t>'22 K2 Reckoner 102 Skis 170cm</t>
  </si>
  <si>
    <t>https://tinyurl.com/ycq84h56</t>
  </si>
  <si>
    <t>Atomic Maverick 100 Ti Skis 2022</t>
  </si>
  <si>
    <t>https://tinyurl.com/y94m9ofr</t>
  </si>
  <si>
    <t>Atomic Maverick 100 Ti Bk/Darkgreen / 172cm</t>
  </si>
  <si>
    <t>https://tinyurl.com/y82zzokk</t>
  </si>
  <si>
    <t>https://tinyurl.com/ycus75fd</t>
  </si>
  <si>
    <t>https://tinyurl.com/y9uw43u2</t>
  </si>
  <si>
    <t>https://tinyurl.com/yc297l8j</t>
  </si>
  <si>
    <t>https://tinyurl.com/yauweknd</t>
  </si>
  <si>
    <t>https://tinyurl.com/yd2upe5l</t>
  </si>
  <si>
    <t>https://tinyurl.com/y7kxoddy</t>
  </si>
  <si>
    <t>Volkl Rise Beyond 96 Ski Only Skis, 177cm Black/Orange 2022</t>
  </si>
  <si>
    <t>https://tinyurl.com/yatypqc7</t>
  </si>
  <si>
    <t>Blizzard Rustler 11 180</t>
  </si>
  <si>
    <t>https://tinyurl.com/yar9eya7</t>
  </si>
  <si>
    <t>Blizzard Rustler 11 Skis - 2022 180cm</t>
  </si>
  <si>
    <t>https://tinyurl.com/ycqb7l7q</t>
  </si>
  <si>
    <t>'23 Blizzard Rustler 11 Skis 180cm</t>
  </si>
  <si>
    <t>https://tinyurl.com/yd36k6vv</t>
  </si>
  <si>
    <t>Rossignol Blackops Smasher Skis w/ Xpress 10 GW Bindings 2021 - 160cm</t>
  </si>
  <si>
    <t>https://tinyurl.com/y79skswz</t>
  </si>
  <si>
    <t>https://tinyurl.com/yayoq7vb</t>
  </si>
  <si>
    <t>BLACKOPS SMASHER '22</t>
  </si>
  <si>
    <t>https://tinyurl.com/y7usrzma</t>
  </si>
  <si>
    <t>Elan Wingman 78 TI PS ELS 11.0 176cm</t>
  </si>
  <si>
    <t>https://tinyurl.com/yamg54rq</t>
  </si>
  <si>
    <t>Elan Wingman 78 Ti with ELS 11GW Binding Men's, 176</t>
  </si>
  <si>
    <t>https://tinyurl.com/ycflez7n</t>
  </si>
  <si>
    <t>Elan Wingman 78 C Skis 2023 w/bindings 176</t>
  </si>
  <si>
    <t>https://tinyurl.com/y94yhyqk</t>
  </si>
  <si>
    <t>https://tinyurl.com/yb4ncbhx</t>
  </si>
  <si>
    <t>Armada ARV 84 Ski 2022 - 164</t>
  </si>
  <si>
    <t>https://tinyurl.com/y8oraqlq</t>
  </si>
  <si>
    <t>https://tinyurl.com/ya48twl6</t>
  </si>
  <si>
    <t>https://tinyurl.com/yawy3yzd</t>
  </si>
  <si>
    <t>https://tinyurl.com/ya7cl47h</t>
  </si>
  <si>
    <t>Line 2022 Chronic Skis</t>
  </si>
  <si>
    <t>https://tinyurl.com/yccp3pp8</t>
  </si>
  <si>
    <t>https://tinyurl.com/y7so8prn</t>
  </si>
  <si>
    <t>https://tinyurl.com/ya2k8dl4</t>
  </si>
  <si>
    <t>K2 Women's Reckoner 92 Alliance Skis 169 cm</t>
  </si>
  <si>
    <t>https://tinyurl.com/y96f8zh5</t>
  </si>
  <si>
    <t>Fischer Ranger 94 FR 21/22</t>
  </si>
  <si>
    <t>https://tinyurl.com/y97e2w68</t>
  </si>
  <si>
    <t xml:space="preserve"> 2020 Fischer Ranger 94 FR Demo Ski with Bindings Size 161 (Option 211770)</t>
  </si>
  <si>
    <t>https://tinyurl.com/y9veakdd</t>
  </si>
  <si>
    <t>Ranger 94 Fr 161</t>
  </si>
  <si>
    <t>https://tinyurl.com/ycljtj28</t>
  </si>
  <si>
    <t>Elan Insomnia 16 Ti Blue 158 Ski Lady's Ladies / Women</t>
  </si>
  <si>
    <t>https://tinyurl.com/y6wtt293</t>
  </si>
  <si>
    <t>https://tinyurl.com/y9cbppyr</t>
  </si>
  <si>
    <t>Elan Insomnia 158</t>
  </si>
  <si>
    <t>https://tinyurl.com/y8eubbnd</t>
  </si>
  <si>
    <t>K2 Mindbender 106C Alliance Skis 2021</t>
  </si>
  <si>
    <t>https://tinyurl.com/y72bb9as</t>
  </si>
  <si>
    <t>K2 Mindbender 106C Alliance Skis 2022 - Size: 167</t>
  </si>
  <si>
    <t>https://tinyurl.com/yawqo729</t>
  </si>
  <si>
    <t>2022 K2 Mindbender 106C Alliance Women's Skis w/ Tyrolia Attack 11 GW Bindings - 167| Ski Essentials</t>
  </si>
  <si>
    <t>https://tinyurl.com/ydxmluqu</t>
  </si>
  <si>
    <t>Volkl Flair 79 Skis w/ IPT WR XL 11 TCX Bindings</t>
  </si>
  <si>
    <t>https://tinyurl.com/yaj4qbdr</t>
  </si>
  <si>
    <t>https://tinyurl.com/yawx6smc</t>
  </si>
  <si>
    <t>Volkl Ladies Flair 79 System Ski with XL 11 GripWalk Ski Bindings 2021-2022 | BLACK/ORANGE / 163</t>
  </si>
  <si>
    <t>https://tinyurl.com/y9mwqg9s</t>
  </si>
  <si>
    <t>Volkl Kendo 88 Flat 184cm</t>
  </si>
  <si>
    <t>https://tinyurl.com/ya54qopg</t>
  </si>
  <si>
    <t>https://tinyurl.com/ycdn2xza</t>
  </si>
  <si>
    <t>https://tinyurl.com/y94nbctm</t>
  </si>
  <si>
    <t>Faction - Prodigy 1.0 - 164</t>
  </si>
  <si>
    <t>https://tinyurl.com/yd6zohu2</t>
  </si>
  <si>
    <t>https://tinyurl.com/y7fv26po</t>
  </si>
  <si>
    <t>Faction Ct 1.0 Ski, 164</t>
  </si>
  <si>
    <t>https://tinyurl.com/y9e83r2f</t>
  </si>
  <si>
    <t>https://tinyurl.com/y8uhcl4z</t>
  </si>
  <si>
    <t>https://tinyurl.com/y9scvtzf</t>
  </si>
  <si>
    <t>Volkl Yumi 84 Skis 2022 168cm</t>
  </si>
  <si>
    <t>https://tinyurl.com/yamk9ub8</t>
  </si>
  <si>
    <t>VÃ¶lkl Kenja 88 22/23 Skis Â· Women's Â· 170 cm</t>
  </si>
  <si>
    <t>https://tinyurl.com/y8ahpnsv</t>
  </si>
  <si>
    <t>Volkl Kenja 88 Skis - Women's 2022</t>
  </si>
  <si>
    <t>https://tinyurl.com/y825u4dg</t>
  </si>
  <si>
    <t>https://tinyurl.com/y7ff4wv6</t>
  </si>
  <si>
    <t>Nordica Santa Ana 84 WHITE/BLUE / 165cm</t>
  </si>
  <si>
    <t>https://tinyurl.com/ybqkbw73</t>
  </si>
  <si>
    <t>Nordica Santa Ana 84 Skis - Women's 2022</t>
  </si>
  <si>
    <t>https://tinyurl.com/y8oxhbc6</t>
  </si>
  <si>
    <t>Nordica Santa Ana 84 Alpine Skis 2022 - - 165 cm</t>
  </si>
  <si>
    <t>https://tinyurl.com/y94a2nn7</t>
  </si>
  <si>
    <t>Volkl Bash 86</t>
  </si>
  <si>
    <t>https://tinyurl.com/y6ul5gvy</t>
  </si>
  <si>
    <t>https://tinyurl.com/yanr2uuk</t>
  </si>
  <si>
    <t>Volkl Bash 86 Skis - Womens 2022 156</t>
  </si>
  <si>
    <t>https://tinyurl.com/y8a2omue</t>
  </si>
  <si>
    <t>'22 K2 Mindbender 99 Ti Skis 177cm</t>
  </si>
  <si>
    <t>https://tinyurl.com/ydx3ljtp</t>
  </si>
  <si>
    <t>https://tinyurl.com/y94u6h75</t>
  </si>
  <si>
    <t>2022 K2 Mindbender 99ti Skis 177</t>
  </si>
  <si>
    <t>https://tinyurl.com/ycmo8bo9</t>
  </si>
  <si>
    <t>https://tinyurl.com/y7blcda4</t>
  </si>
  <si>
    <t>https://tinyurl.com/y9w828h2</t>
  </si>
  <si>
    <t>https://tinyurl.com/y7vyhd72</t>
  </si>
  <si>
    <t>Rossignol Experience W 86 Basalt Skis Womens 2022</t>
  </si>
  <si>
    <t>https://tinyurl.com/y9pp34ko</t>
  </si>
  <si>
    <t>Rossignol Experience W 86 Basalt Skis</t>
  </si>
  <si>
    <t>https://tinyurl.com/ybabehgv</t>
  </si>
  <si>
    <t>2022 Rossignol Experience 86 Basalt Womenâ€™s Purple Snow Skis 148cm</t>
  </si>
  <si>
    <t>https://tinyurl.com/yc87xpus</t>
  </si>
  <si>
    <t>Nordica Santa Ana 84 WHITE/BLUE / 158cm</t>
  </si>
  <si>
    <t>https://tinyurl.com/ycvfgeh5</t>
  </si>
  <si>
    <t>Nordica Santa Ana 84 Alpine Skis 2022 - - 158 cm</t>
  </si>
  <si>
    <t>https://tinyurl.com/y83wqvgq</t>
  </si>
  <si>
    <t>https://tinyurl.com/ya2oxdtx</t>
  </si>
  <si>
    <t>https://tinyurl.com/ycrfotel</t>
  </si>
  <si>
    <t>https://tinyurl.com/y8kj48yz</t>
  </si>
  <si>
    <t>https://tinyurl.com/y8rbrak7</t>
  </si>
  <si>
    <t>'21 Liberty Genesis 90 Skis 165cm</t>
  </si>
  <si>
    <t>https://tinyurl.com/y8977nyn</t>
  </si>
  <si>
    <t>Liberty Genesis 90 Women's Skis - 2021 - 165cm</t>
  </si>
  <si>
    <t>https://tinyurl.com/ycomqbvg</t>
  </si>
  <si>
    <t>https://tinyurl.com/y8t8jw2c</t>
  </si>
  <si>
    <t>Elan Wingman 78 TI PS ELS 11.0 160cm</t>
  </si>
  <si>
    <t>https://tinyurl.com/y72m5njw</t>
  </si>
  <si>
    <t>https://tinyurl.com/y87d3j7l</t>
  </si>
  <si>
    <t>Elan Wingman 82 Ti Skis 2023 160</t>
  </si>
  <si>
    <t>https://tinyurl.com/yahn9xkv</t>
  </si>
  <si>
    <t>Black Crows Women's Captis Birdie Skis 2022</t>
  </si>
  <si>
    <t>https://tinyurl.com/y97pqjbd</t>
  </si>
  <si>
    <t>https://tinyurl.com/yccvhal7</t>
  </si>
  <si>
    <t>https://tinyurl.com/y77p5zoo</t>
  </si>
  <si>
    <t>https://tinyurl.com/ybju34zp</t>
  </si>
  <si>
    <t>Line Blend Skis 2022 - - 185 cm</t>
  </si>
  <si>
    <t>https://tinyurl.com/yc4u8so4</t>
  </si>
  <si>
    <t>Line Blade Optic 104 Skis 185cm 2023</t>
  </si>
  <si>
    <t>https://tinyurl.com/y7653svu</t>
  </si>
  <si>
    <t>K2 2022 Midnight Women's Skis (169)</t>
  </si>
  <si>
    <t>https://tinyurl.com/y9p2z36f</t>
  </si>
  <si>
    <t>https://tinyurl.com/y9pd57or</t>
  </si>
  <si>
    <t>https://tinyurl.com/y9uhuell</t>
  </si>
  <si>
    <t>https://tinyurl.com/y7ryb8ny</t>
  </si>
  <si>
    <t>https://tinyurl.com/yc2xby9b</t>
  </si>
  <si>
    <t>https://tinyurl.com/yc6vxr4u</t>
  </si>
  <si>
    <t>https://tinyurl.com/y9u92lsb</t>
  </si>
  <si>
    <t>https://tinyurl.com/y8a3s5h7</t>
  </si>
  <si>
    <t>Head Kore 105 Anth/Ge / 177cm</t>
  </si>
  <si>
    <t>https://tinyurl.com/y8p3wv56</t>
  </si>
  <si>
    <t>Blizzard Sheeva 10 21/22</t>
  </si>
  <si>
    <t>https://tinyurl.com/y9uqp7ev</t>
  </si>
  <si>
    <t>Blizzard Sheeva 10 Women Ski 2020</t>
  </si>
  <si>
    <t>https://tinyurl.com/yd2zb3m9</t>
  </si>
  <si>
    <t>Blizzard Sheeva 10 Skis</t>
  </si>
  <si>
    <t>https://tinyurl.com/ycxre6jx</t>
  </si>
  <si>
    <t>Faction Prodigy 3.0 Skis 2021 - 172</t>
  </si>
  <si>
    <t>Overstock Snow</t>
  </si>
  <si>
    <t>https://tinyurl.com/y9owtzzc</t>
  </si>
  <si>
    <t>https://tinyurl.com/y8upzhpj</t>
  </si>
  <si>
    <t>Faction Prodigy 3.0x Women's Skis 172cm 2021</t>
  </si>
  <si>
    <t>https://tinyurl.com/y763q3lc</t>
  </si>
  <si>
    <t>Dynastar Speed Course WC 170 cm Ski + Look 10 Bindings Winter Sport Snow Outdoor</t>
  </si>
  <si>
    <t>https://tinyurl.com/ya36gy9y</t>
  </si>
  <si>
    <t>166 Dynastar Speed Zone 12</t>
  </si>
  <si>
    <t>https://tinyurl.com/yb5t7cyd</t>
  </si>
  <si>
    <t>Dynastar Speed WC Fis GS Ski One Color, 170cm</t>
  </si>
  <si>
    <t>https://tinyurl.com/y97fly7z</t>
  </si>
  <si>
    <t>Nordica Enforcer 100 Skis 2022</t>
  </si>
  <si>
    <t>https://tinyurl.com/y7k3b3s6</t>
  </si>
  <si>
    <t>https://tinyurl.com/y7j8ydn7</t>
  </si>
  <si>
    <t>https://tinyurl.com/ycrx99yk</t>
  </si>
  <si>
    <t>https://tinyurl.com/yd576mru</t>
  </si>
  <si>
    <t>https://tinyurl.com/ybxu35gd</t>
  </si>
  <si>
    <t>https://tinyurl.com/ybjpzjqo</t>
  </si>
  <si>
    <t>https://tinyurl.com/yabv224z</t>
  </si>
  <si>
    <t>https://tinyurl.com/y7gkntzt</t>
  </si>
  <si>
    <t>https://tinyurl.com/yc3fdjsk</t>
  </si>
  <si>
    <t>Head Supershape i.Magnum Skis w Head PRX 12 Demo Bindings  Demo</t>
  </si>
  <si>
    <t>https://tinyurl.com/y9nqegyl</t>
  </si>
  <si>
    <t>2018 Head Supershape I-titan 163cm W/ Head Prd 12 Binding</t>
  </si>
  <si>
    <t>https://tinyurl.com/y72beumo</t>
  </si>
  <si>
    <t xml:space="preserve"> Head Supershape Titan 163 cm Downhill Ski / Mens Combo</t>
  </si>
  <si>
    <t>https://tinyurl.com/ya8cfc4h</t>
  </si>
  <si>
    <t>Dynastar M-PRO 84 W 149cm</t>
  </si>
  <si>
    <t>https://tinyurl.com/y9dposya</t>
  </si>
  <si>
    <t>https://tinyurl.com/y8cfwqxh</t>
  </si>
  <si>
    <t>18-19 Dynastar Legend W 84  Women's Demo Skis W/ Bindings Size</t>
  </si>
  <si>
    <t>https://tinyurl.com/y6var6o6</t>
  </si>
  <si>
    <t>Head V-Shape V10 Skis w/ PRD 12 GW Bindings</t>
  </si>
  <si>
    <t>https://tinyurl.com/yc9vcnov</t>
  </si>
  <si>
    <t>Head V-Shape V10 SW LYT-PR + PRD 12 GW 177cm</t>
  </si>
  <si>
    <t>https://tinyurl.com/y8qru9hp</t>
  </si>
  <si>
    <t>https://tinyurl.com/y798ztlz</t>
  </si>
  <si>
    <t>Atomic Vantage 79 Ti Skis with M 12 GW Bindings 2022</t>
  </si>
  <si>
    <t>https://tinyurl.com/y9h3cv42</t>
  </si>
  <si>
    <t>https://tinyurl.com/y8hh79d7</t>
  </si>
  <si>
    <t>https://tinyurl.com/yb7mq822</t>
  </si>
  <si>
    <t>Elan Porsche Design Elan Amphibio 22</t>
  </si>
  <si>
    <t>https://tinyurl.com/ydgortzf</t>
  </si>
  <si>
    <t>Elan Amphibio 9 160 Ski + Fischer RS10 Bindings Winter Sport Adventure Outdoor</t>
  </si>
  <si>
    <t>https://tinyurl.com/y87apwm6</t>
  </si>
  <si>
    <t>Elan Amphibio GTX PS Black-Green 160 Ski Men</t>
  </si>
  <si>
    <t>https://tinyurl.com/y96cnm7v</t>
  </si>
  <si>
    <t>https://tinyurl.com/yaz95n67</t>
  </si>
  <si>
    <t>https://tinyurl.com/ycd5ygt2</t>
  </si>
  <si>
    <t>https://tinyurl.com/y8dw25rn</t>
  </si>
  <si>
    <t>https://tinyurl.com/ybwhswwm</t>
  </si>
  <si>
    <t>https://tinyurl.com/ybur9jmo</t>
  </si>
  <si>
    <t>https://tinyurl.com/yav83uvt</t>
  </si>
  <si>
    <t>Volkl Kendo 88 Ski 170 177cm Downhill All Mountain ride Ski</t>
  </si>
  <si>
    <t>https://tinyurl.com/y754sykd</t>
  </si>
  <si>
    <t>https://tinyurl.com/yczys3sk</t>
  </si>
  <si>
    <t>https://tinyurl.com/y9q5motr</t>
  </si>
  <si>
    <t>https://tinyurl.com/y8zb677l</t>
  </si>
  <si>
    <t>Faction Agent 1.0 - 162</t>
  </si>
  <si>
    <t>https://tinyurl.com/yayl3ytd</t>
  </si>
  <si>
    <t>Faction Agent 1.0x Skis</t>
  </si>
  <si>
    <t>Gear.com</t>
  </si>
  <si>
    <t>https://tinyurl.com/y8d6exar</t>
  </si>
  <si>
    <t xml:space="preserve"> Line Sick Day 88 165 Cm Mens Downhill Ski Combo</t>
  </si>
  <si>
    <t>https://tinyurl.com/yavqmmeh</t>
  </si>
  <si>
    <t>https://tinyurl.com/ya7l4vv6</t>
  </si>
  <si>
    <t>2022 Line Sick Day 88 Demo Skis w/ Marker Griffon 13 Demo Bindings - 165| Ski Essentials</t>
  </si>
  <si>
    <t>https://tinyurl.com/ych8apfn</t>
  </si>
  <si>
    <t>https://tinyurl.com/y8pbrtnj</t>
  </si>
  <si>
    <t>Blizzard Women's Black Pearl 88 Ski 2021, 177</t>
  </si>
  <si>
    <t>https://tinyurl.com/ya9o3szz</t>
  </si>
  <si>
    <t>Blizzard Women's Black Pearl 88 Alpine Ski 2022 177</t>
  </si>
  <si>
    <t>https://tinyurl.com/yaben8sg</t>
  </si>
  <si>
    <t>K2 Reckoner 122 Skis 184 Cm Powder Rocker Backcountry</t>
  </si>
  <si>
    <t>https://tinyurl.com/yd42kkf4</t>
  </si>
  <si>
    <t>K2 Reckoner 122 Skis 2022 - 184</t>
  </si>
  <si>
    <t>https://tinyurl.com/yd4uuak3</t>
  </si>
  <si>
    <t>https://tinyurl.com/y7ws397o</t>
  </si>
  <si>
    <t>Salomon S/Force Fever Women's Skis with M11 GW Bindings 2021 156cm</t>
  </si>
  <si>
    <t>https://tinyurl.com/ycwn99be</t>
  </si>
  <si>
    <t>Salomon Men's S/Force FX 80 Skis with M11 GW 156</t>
  </si>
  <si>
    <t>https://tinyurl.com/y8vg3dep</t>
  </si>
  <si>
    <t>https://tinyurl.com/yavgoeye</t>
  </si>
  <si>
    <t>K2 Skis - Disruption 78C - Skis</t>
  </si>
  <si>
    <t>https://tinyurl.com/y8z8acsq</t>
  </si>
  <si>
    <t>https://tinyurl.com/y9pz4bvc</t>
  </si>
  <si>
    <t>https://tinyurl.com/yav4buox</t>
  </si>
  <si>
    <t>Nordica Soul Rider 97 Skis Â· 2022 Â· 185 cm</t>
  </si>
  <si>
    <t>https://tinyurl.com/yaaogb8v</t>
  </si>
  <si>
    <t>https://tinyurl.com/ydxypjpr</t>
  </si>
  <si>
    <t>https://tinyurl.com/ycfyjskf</t>
  </si>
  <si>
    <t>Liberty Genesis 101 Women's Skis Â· 2022 Â· 151 cm</t>
  </si>
  <si>
    <t>https://tinyurl.com/ybwd7qsp</t>
  </si>
  <si>
    <t>https://tinyurl.com/y8l7f5h5</t>
  </si>
  <si>
    <t>https://tinyurl.com/yc43s5n3</t>
  </si>
  <si>
    <t>Armada Reliance 92 Ti Skis - Women's 2022</t>
  </si>
  <si>
    <t>https://tinyurl.com/y9lzcqss</t>
  </si>
  <si>
    <t>https://tinyurl.com/yave2tdb</t>
  </si>
  <si>
    <t>https://tinyurl.com/ycmsptga</t>
  </si>
  <si>
    <t>https://tinyurl.com/y87ewjbj</t>
  </si>
  <si>
    <t>https://tinyurl.com/ydebuozx</t>
  </si>
  <si>
    <t>https://tinyurl.com/y8mt972y</t>
  </si>
  <si>
    <t>2022 Head Oblivion 84 Twin Tip Park and Pipe Snow Skis 171</t>
  </si>
  <si>
    <t>https://tinyurl.com/yag8lyg6</t>
  </si>
  <si>
    <t>Head 2022 Oblivion Men's 84 Skis (171)</t>
  </si>
  <si>
    <t>https://tinyurl.com/ydfsenqn</t>
  </si>
  <si>
    <t>https://tinyurl.com/y7uqmelm</t>
  </si>
  <si>
    <t>Salomon Stance 84 Skis + M12 GW Bindings 2022 - 169</t>
  </si>
  <si>
    <t>https://tinyurl.com/y75zbxhk</t>
  </si>
  <si>
    <t>https://tinyurl.com/y7ocfmhd</t>
  </si>
  <si>
    <t>https://tinyurl.com/y78wgr4g</t>
  </si>
  <si>
    <t>Nordica Women's Wild Belle 74 w/ TP2 10 Skis 162</t>
  </si>
  <si>
    <t>https://tinyurl.com/y9mwmruw</t>
  </si>
  <si>
    <t>https://tinyurl.com/y9aze5ou</t>
  </si>
  <si>
    <t>Nordica 2022 Wild Belle 78CA Women's Skis with TP2 Compact 10 FDT Bindings (162)</t>
  </si>
  <si>
    <t>https://tinyurl.com/y7m3p46b</t>
  </si>
  <si>
    <t>Scott Scrapper 105 183</t>
  </si>
  <si>
    <t>https://tinyurl.com/ydeplx5w</t>
  </si>
  <si>
    <t>https://tinyurl.com/yamtfl76</t>
  </si>
  <si>
    <t>Scott Scrapper 105 183cm</t>
  </si>
  <si>
    <t>https://tinyurl.com/ydz6qqps</t>
  </si>
  <si>
    <t>'22 Line Vision 118 Skis 189cm</t>
  </si>
  <si>
    <t>https://tinyurl.com/ya23bczm</t>
  </si>
  <si>
    <t>2022 Line Vision 118 Skis w/ Marker Griffon 13 ID Bindings - 189| Ski Essentials</t>
  </si>
  <si>
    <t>https://tinyurl.com/yd2zepy5</t>
  </si>
  <si>
    <t>Line VISION 108 Skis 2022</t>
  </si>
  <si>
    <t>https://tinyurl.com/yd84brxf</t>
  </si>
  <si>
    <t>Fischer Ranger 99 Ti Dark Green 181 Ski Men</t>
  </si>
  <si>
    <t>https://tinyurl.com/y8zev7fh</t>
  </si>
  <si>
    <t>Fischer Ranger 99 Ti Skis 2022</t>
  </si>
  <si>
    <t>https://tinyurl.com/ycbkslf3</t>
  </si>
  <si>
    <t>Fischer Ranger 99 TI Flat Ski 2021-2022 | BLACK/YELLOW / 181</t>
  </si>
  <si>
    <t>https://tinyurl.com/y8dvd9me</t>
  </si>
  <si>
    <t>Black Crows Camox Birdie</t>
  </si>
  <si>
    <t>https://tinyurl.com/yb4z43dp</t>
  </si>
  <si>
    <t>https://tinyurl.com/ycjzjcs2</t>
  </si>
  <si>
    <t>Black Crows Camox Birdie Women's Skis 162cm 2022</t>
  </si>
  <si>
    <t>https://tinyurl.com/y78qazw9</t>
  </si>
  <si>
    <t>Blizzard Zero G 105 Ski 2021</t>
  </si>
  <si>
    <t>https://tinyurl.com/yapefzq2</t>
  </si>
  <si>
    <t>Blizzard Zero G 105 Backcountry Touring Ski 2022 164 / Deep Navy</t>
  </si>
  <si>
    <t>https://tinyurl.com/ybvswrnm</t>
  </si>
  <si>
    <t>Blizzard Zero G Approach 84 21/22</t>
  </si>
  <si>
    <t>https://tinyurl.com/y8zzfuwl</t>
  </si>
  <si>
    <t>2022 Head Power Joy Women's Demo Skis w/ Joy 12 GW PRD Bindings - 158| Ski Essentials</t>
  </si>
  <si>
    <t>https://tinyurl.com/y7swwu94</t>
  </si>
  <si>
    <t>Head Easy Joy Skis w/Joy 9 GW Bindings Womens</t>
  </si>
  <si>
    <t>https://tinyurl.com/yc2ffnjo</t>
  </si>
  <si>
    <t>2018 Head Total Joy 158cm W/ Head Joy 11 Binding</t>
  </si>
  <si>
    <t>https://tinyurl.com/y9ckgtg8</t>
  </si>
  <si>
    <t>https://tinyurl.com/yc979k9c</t>
  </si>
  <si>
    <t>https://tinyurl.com/yatpne9w</t>
  </si>
  <si>
    <t>https://tinyurl.com/y8f62g4r</t>
  </si>
  <si>
    <t>https://tinyurl.com/ybb4kur7</t>
  </si>
  <si>
    <t>Scott Scrapper 95 Skis 2022 - 168</t>
  </si>
  <si>
    <t>https://tinyurl.com/y9urpyms</t>
  </si>
  <si>
    <t>Scott Women's Scrapper 95 168cm 19/20 20%off</t>
  </si>
  <si>
    <t>https://tinyurl.com/y7bvljps</t>
  </si>
  <si>
    <t>K2 Reckoner 102 Skis 2022 - 163</t>
  </si>
  <si>
    <t>https://tinyurl.com/yddax6qa</t>
  </si>
  <si>
    <t>https://tinyurl.com/yavnc8l5</t>
  </si>
  <si>
    <t>2022 K2 Reckoner 102 Demo Skis w/ Marker Griffon 13 Demo Bindings - 163| Ski Essentials</t>
  </si>
  <si>
    <t>https://tinyurl.com/yas996a6</t>
  </si>
  <si>
    <t>J Skis The Metal Ski - 180cm</t>
  </si>
  <si>
    <t>https://tinyurl.com/y8pj7bog</t>
  </si>
  <si>
    <t>Armada Magic J Skis 180cm 2022</t>
  </si>
  <si>
    <t>https://tinyurl.com/ycv3ou9y</t>
  </si>
  <si>
    <t>https://tinyurl.com/y8ewvw8h</t>
  </si>
  <si>
    <t>2022 Nordica Dobermann SLR RB FDT Skis X-Cell 14.0 - 165cm - R=13</t>
  </si>
  <si>
    <t>Race Place</t>
  </si>
  <si>
    <t>https://tinyurl.com/yaa2u6wk</t>
  </si>
  <si>
    <t>Nordica Dobermann World Cup SL Plate Race Skis 2020/21</t>
  </si>
  <si>
    <t>Bahnhof Sport</t>
  </si>
  <si>
    <t>https://tinyurl.com/yaqn3mdd</t>
  </si>
  <si>
    <t>Nordica Dobermann SL WC Department Ski - Size 165 - 0A120800001</t>
  </si>
  <si>
    <t>https://tinyurl.com/ycgvtrqy</t>
  </si>
  <si>
    <t>Nordica Wild Belle 74 Ladies Snow Skis with Marker FDT10 Bindings 150</t>
  </si>
  <si>
    <t>https://tinyurl.com/y8htf78q</t>
  </si>
  <si>
    <t>Nordica Wild Belle 78 CA Women's Ski &amp; 10 FDT Binding 2022 - 150</t>
  </si>
  <si>
    <t>https://tinyurl.com/y88khzta</t>
  </si>
  <si>
    <t>Nordica Wild Belle DC 84 w/ TP2 11 Women's</t>
  </si>
  <si>
    <t>https://tinyurl.com/ybaku9cz</t>
  </si>
  <si>
    <t>Dynastar M-Pro 84 Skis Â· 184 cm</t>
  </si>
  <si>
    <t>https://tinyurl.com/yahl8f25</t>
  </si>
  <si>
    <t>https://tinyurl.com/y77oubvx</t>
  </si>
  <si>
    <t>https://tinyurl.com/yafumyp7</t>
  </si>
  <si>
    <t>Head Oblivion 94 Gr/Bl / 170cm</t>
  </si>
  <si>
    <t>https://tinyurl.com/y7x8bfkh</t>
  </si>
  <si>
    <t>Head Oblivion 94 Skis 2022 - 170</t>
  </si>
  <si>
    <t>eBay - skitrader-com</t>
  </si>
  <si>
    <t>https://tinyurl.com/ycbstwl9</t>
  </si>
  <si>
    <t>https://tinyurl.com/y7z8h6pt</t>
  </si>
  <si>
    <t>Head Kore 90 x Skis 2022 - 170</t>
  </si>
  <si>
    <t>https://tinyurl.com/y8vxnhal</t>
  </si>
  <si>
    <t>https://tinyurl.com/y9mt7smp</t>
  </si>
  <si>
    <t>https://tinyurl.com/yaaf9nay</t>
  </si>
  <si>
    <t>https://tinyurl.com/yd7okfhe</t>
  </si>
  <si>
    <t>Black Crows Orb 178cm (Brand New, Still in Wrap)</t>
  </si>
  <si>
    <t>https://tinyurl.com/y7qp893x</t>
  </si>
  <si>
    <t>https://tinyurl.com/y8wpkmv4</t>
  </si>
  <si>
    <t>Armada Bdog Edgeless Skis - 2021 180 cm</t>
  </si>
  <si>
    <t>https://tinyurl.com/y88sup83</t>
  </si>
  <si>
    <t>Armada Bdog Edgeless 94mm 180 2022 Skis Men, Freestyle ski, Freeski</t>
  </si>
  <si>
    <t>https://tinyurl.com/y9wrnzgh</t>
  </si>
  <si>
    <t>https://tinyurl.com/y8y59etc</t>
  </si>
  <si>
    <t>4FRNT Skis - MSP CC - Women's All Mountain Frontside Ski 171 cm</t>
  </si>
  <si>
    <t>https://tinyurl.com/y9r7ual6</t>
  </si>
  <si>
    <t>https://tinyurl.com/y8jv3bzk</t>
  </si>
  <si>
    <t>https://tinyurl.com/ya3m5y9s</t>
  </si>
  <si>
    <t>https://tinyurl.com/y7nbvlc5</t>
  </si>
  <si>
    <t>https://tinyurl.com/ydy47f7v</t>
  </si>
  <si>
    <t>Evolv 90 - 2021 186</t>
  </si>
  <si>
    <t>https://tinyurl.com/y9lwkd78</t>
  </si>
  <si>
    <t>Liberty 2022 Evolv 100 186 All Mtn Skis W/ Tyrolia Attack Bindings,</t>
  </si>
  <si>
    <t>eBay - sir_davahad</t>
  </si>
  <si>
    <t>https://tinyurl.com/ydbdotyj</t>
  </si>
  <si>
    <t>Volkl Flair SC Carbon Skis w/ vMotion 11 Alu GW Bindings</t>
  </si>
  <si>
    <t>https://tinyurl.com/yc4xd6et</t>
  </si>
  <si>
    <t>Volkl Racetiger SC Carbon Skis w Marker vMotion 12 GW Demo Bindings  Demo</t>
  </si>
  <si>
    <t>https://tinyurl.com/y8tmv6pl</t>
  </si>
  <si>
    <t>Volkl Racetiger SC Black 160 Ski Men</t>
  </si>
  <si>
    <t>https://tinyurl.com/yannhaah</t>
  </si>
  <si>
    <t>Rossignol Unisex's Racing Skis Hero Elite St Ti Limited Edition Konect</t>
  </si>
  <si>
    <t>https://tinyurl.com/y8op8du2</t>
  </si>
  <si>
    <t>Rossignol Hero Elite LT Ti + SPX 14 Konect 21/22</t>
  </si>
  <si>
    <t>https://tinyurl.com/y8kfpu57</t>
  </si>
  <si>
    <t>Rossignol Blackops Escaper Skis Men's 2022</t>
  </si>
  <si>
    <t>https://tinyurl.com/ydy7p5p2</t>
  </si>
  <si>
    <t>Armada Reliance 82 Ti Skis 2022 - Womens 174cm</t>
  </si>
  <si>
    <t>https://tinyurl.com/yazgwoll</t>
  </si>
  <si>
    <t>https://tinyurl.com/ya2lz8sn</t>
  </si>
  <si>
    <t>https://tinyurl.com/y9vq7k6b</t>
  </si>
  <si>
    <t>2022 Blizzard Zero G 95 Skis w/ Marker Kingpin 13 Binding - Green - 171| Ski Essentials</t>
  </si>
  <si>
    <t>https://tinyurl.com/yc3adzj3</t>
  </si>
  <si>
    <t>Blizzard Zero G 95 171cm Alpine Touring Kit</t>
  </si>
  <si>
    <t>https://tinyurl.com/y9wxay7j</t>
  </si>
  <si>
    <t>Blizzard Zero G 95 Light Blue Skis 171cm 2022</t>
  </si>
  <si>
    <t>https://tinyurl.com/ybhev48p</t>
  </si>
  <si>
    <t>Icelantic Nomad 95 Skis</t>
  </si>
  <si>
    <t>https://tinyurl.com/y8ez58xp</t>
  </si>
  <si>
    <t>https://tinyurl.com/y8tzaxlo</t>
  </si>
  <si>
    <t>https://tinyurl.com/yafs7qrt</t>
  </si>
  <si>
    <t>https://tinyurl.com/ybv2phae</t>
  </si>
  <si>
    <t>2022 Blizzard Women's Black Pearl 97 Red / 153cm / New</t>
  </si>
  <si>
    <t>https://tinyurl.com/y8r6gb82</t>
  </si>
  <si>
    <t>https://tinyurl.com/yaqbrlmp</t>
  </si>
  <si>
    <t>DPS 100 RP Pagoda Tour Skis Â· 163 cm</t>
  </si>
  <si>
    <t>https://tinyurl.com/y9ovht4s</t>
  </si>
  <si>
    <t>https://tinyurl.com/y9t8xctn</t>
  </si>
  <si>
    <t>https://tinyurl.com/yb8mjzt3</t>
  </si>
  <si>
    <t xml:space="preserve"> 2018 Blizzard Rustler 10 Demo Ski with Bindings Size 164 (Option 211703)</t>
  </si>
  <si>
    <t>https://tinyurl.com/y9slzfzy</t>
  </si>
  <si>
    <t>Blizzard Men's Rustler 10 Ski (Ski Only) Blue</t>
  </si>
  <si>
    <t>https://tinyurl.com/yb47qws2</t>
  </si>
  <si>
    <t>Blizzard Rustler 10 Skis - 2022 - 164cm</t>
  </si>
  <si>
    <t>https://tinyurl.com/y8cpqfvp</t>
  </si>
  <si>
    <t>Skis Volkl Revolt 104</t>
  </si>
  <si>
    <t>https://tinyurl.com/yagvg3u4</t>
  </si>
  <si>
    <t>Volkl Revolt 104 188cm</t>
  </si>
  <si>
    <t>https://tinyurl.com/ybtd29th</t>
  </si>
  <si>
    <t>https://tinyurl.com/y8auq68m</t>
  </si>
  <si>
    <t>Fischer Ranger 102 FR Ski 2021</t>
  </si>
  <si>
    <t>https://tinyurl.com/ybqnlfug</t>
  </si>
  <si>
    <t>191cm 2022 Fischer Ranger 102 Fr Skis Mounted W/ Tyrolia Attack2 13</t>
  </si>
  <si>
    <t>https://tinyurl.com/y7gcsxuh</t>
  </si>
  <si>
    <t>RANGER 102 FR 191</t>
  </si>
  <si>
    <t>https://tinyurl.com/yb3znhsa</t>
  </si>
  <si>
    <t>K2 Reckoner 122 Skis 2022 - 191</t>
  </si>
  <si>
    <t>https://tinyurl.com/y7o3gb98</t>
  </si>
  <si>
    <t>https://tinyurl.com/y97kfjw8</t>
  </si>
  <si>
    <t>https://tinyurl.com/ybs75f66</t>
  </si>
  <si>
    <t>https://tinyurl.com/ycmqsw9d</t>
  </si>
  <si>
    <t>16-17 Head Total Joy  Women's Demo Skis W/bindings Size 158cm</t>
  </si>
  <si>
    <t>https://tinyurl.com/yc5t2ca8</t>
  </si>
  <si>
    <t>https://tinyurl.com/yc6h9ldw</t>
  </si>
  <si>
    <t>https://tinyurl.com/ybukogbu</t>
  </si>
  <si>
    <t>https://tinyurl.com/y84er2cb</t>
  </si>
  <si>
    <t>Black Crows Orb Freebird Skis - 2022 - Men's 173 cm</t>
  </si>
  <si>
    <t>https://tinyurl.com/y9yt8fnp</t>
  </si>
  <si>
    <t>https://tinyurl.com/ycfdrqgy</t>
  </si>
  <si>
    <t>2022 Blizzard Black Pearl 88 ladies skis (SKI ONLY or with BINDINGS) 153</t>
  </si>
  <si>
    <t>https://tinyurl.com/ycrf9cu5</t>
  </si>
  <si>
    <t>Blizzard Black Pearl 88 Women's Skis 153cm 2023</t>
  </si>
  <si>
    <t>https://tinyurl.com/ycrdvkjk</t>
  </si>
  <si>
    <t>K2 Reckoner 112 191cm Freeride Powder Freestyle Skis No Bindings</t>
  </si>
  <si>
    <t>https://tinyurl.com/yc98y7nz</t>
  </si>
  <si>
    <t>https://tinyurl.com/ybava475</t>
  </si>
  <si>
    <t>https://tinyurl.com/ybphaypl</t>
  </si>
  <si>
    <t>Rossignol React 2 Xpress</t>
  </si>
  <si>
    <t>https://tinyurl.com/yb8ny5ak</t>
  </si>
  <si>
    <t>https://tinyurl.com/ybx434qu</t>
  </si>
  <si>
    <t>https://tinyurl.com/ycyds6rn</t>
  </si>
  <si>
    <t>https://tinyurl.com/y96xsgkv</t>
  </si>
  <si>
    <t>https://tinyurl.com/ybmwa46p</t>
  </si>
  <si>
    <t>https://tinyurl.com/yb2d89jg</t>
  </si>
  <si>
    <t>Line 2022 Blend Skis</t>
  </si>
  <si>
    <t>https://tinyurl.com/y9fbzgpg</t>
  </si>
  <si>
    <t>https://tinyurl.com/y7463c77</t>
  </si>
  <si>
    <t>'22 Line Blend Skis 185cm</t>
  </si>
  <si>
    <t>https://tinyurl.com/y83p9xv2</t>
  </si>
  <si>
    <t>Volkl Blaze 94 W Alpine Skis 2022 - - 158 cm</t>
  </si>
  <si>
    <t>https://tinyurl.com/yagqkl2f</t>
  </si>
  <si>
    <t>Volkl Blaze 94 2022 (Size: 158) | By Alpine Shop Vermont</t>
  </si>
  <si>
    <t>https://tinyurl.com/yalvcrw9</t>
  </si>
  <si>
    <t>Volkl Blaze 94 Flat Women's Ski Winter 2021/2022 158</t>
  </si>
  <si>
    <t>https://tinyurl.com/ybn84ux2</t>
  </si>
  <si>
    <t>Elan Ripstick 102 W Women's All Mountain Powder Skis 2021/22 154 cm</t>
  </si>
  <si>
    <t>https://tinyurl.com/yc45uzer</t>
  </si>
  <si>
    <t>https://tinyurl.com/y9pjazr2</t>
  </si>
  <si>
    <t>Elan Ripstick 94 W Women's Skis 2022</t>
  </si>
  <si>
    <t>https://tinyurl.com/yd8tse2g</t>
  </si>
  <si>
    <t>https://tinyurl.com/y9qsp4yh</t>
  </si>
  <si>
    <t>Rossignol Unisex Racing Skis Hero Elite St Ti (R22)</t>
  </si>
  <si>
    <t>https://tinyurl.com/ybg2657v</t>
  </si>
  <si>
    <t>Rossignol Hero Elite ST TI K/SPX14 K.GWB 162cm</t>
  </si>
  <si>
    <t>https://tinyurl.com/ybol45ol</t>
  </si>
  <si>
    <t xml:space="preserve"> - J-skis â€“ The Masterblaster â€œtailgaterâ€ 181cm 2020 With Look</t>
  </si>
  <si>
    <t>https://tinyurl.com/y8eoq2kg</t>
  </si>
  <si>
    <t>Single Skis, Masterblaster - Piece 181cm - Right Single Ski</t>
  </si>
  <si>
    <t>https://tinyurl.com/ycncx4ah</t>
  </si>
  <si>
    <t>Armada ARV 84 Ski Men's, 171</t>
  </si>
  <si>
    <t>https://tinyurl.com/y7afx22a</t>
  </si>
  <si>
    <t>https://tinyurl.com/y9pylx7f</t>
  </si>
  <si>
    <t>https://tinyurl.com/yd6slt76</t>
  </si>
  <si>
    <t>https://tinyurl.com/ybd97koq</t>
  </si>
  <si>
    <t>https://tinyurl.com/yd79qo9m</t>
  </si>
  <si>
    <t>Volkl Racetiger SC W/Marker vMotion3 - 2022 - 155cm</t>
  </si>
  <si>
    <t>https://tinyurl.com/y94mljle</t>
  </si>
  <si>
    <t>https://tinyurl.com/y6uqwtul</t>
  </si>
  <si>
    <t>Prodigy 0.0 164</t>
  </si>
  <si>
    <t>https://tinyurl.com/yd25cffg</t>
  </si>
  <si>
    <t>https://tinyurl.com/y7y85nhh</t>
  </si>
  <si>
    <t>https://tinyurl.com/y948rmlj</t>
  </si>
  <si>
    <t>Rossignol Hero Elite ST TI K/SPX14 K.GWB 157cm</t>
  </si>
  <si>
    <t>https://tinyurl.com/ycgoyt7l</t>
  </si>
  <si>
    <t>Rossignol Unisex Racing Skis Hero Athlete Fis SL (R22) 157</t>
  </si>
  <si>
    <t>https://tinyurl.com/yb6l9clu</t>
  </si>
  <si>
    <t>https://tinyurl.com/ybd2g4q6</t>
  </si>
  <si>
    <t>https://tinyurl.com/y9z6kb3b</t>
  </si>
  <si>
    <t>Atomic Maverick 88 Ti Skis | 176 | Christy Sports</t>
  </si>
  <si>
    <t>https://tinyurl.com/yayqqqh4</t>
  </si>
  <si>
    <t>Rossignol React 6 Compact Mens Skis W/Xpress 11 GW Bindings</t>
  </si>
  <si>
    <t>https://tinyurl.com/ybrpxpsq</t>
  </si>
  <si>
    <t>https://tinyurl.com/yaekewxk</t>
  </si>
  <si>
    <t>Rossignol React R2F - 163</t>
  </si>
  <si>
    <t>https://tinyurl.com/y93y5g66</t>
  </si>
  <si>
    <t>https://tinyurl.com/yapocu36</t>
  </si>
  <si>
    <t>https://tinyurl.com/y6vyvgru</t>
  </si>
  <si>
    <t>https://tinyurl.com/y7ebhrnb</t>
  </si>
  <si>
    <t>Volkl Deacon 84 Skis with Lowride XL 13 FR GW Bindings 172cm</t>
  </si>
  <si>
    <t>https://tinyurl.com/y8xl5435</t>
  </si>
  <si>
    <t>2022 VOLKL Deacon 84 snow skis with bindings 172</t>
  </si>
  <si>
    <t>https://tinyurl.com/yckd69oq</t>
  </si>
  <si>
    <t>https://tinyurl.com/ybkrxlxv</t>
  </si>
  <si>
    <t>Blizzard Cochise 106 (Flat)</t>
  </si>
  <si>
    <t>https://tinyurl.com/ybxgqj6w</t>
  </si>
  <si>
    <t>2021 Blizzard Cochise 106 Men's Skis with Tyrolia Attack 13 Bindings (177)</t>
  </si>
  <si>
    <t>https://tinyurl.com/yat7b2f4</t>
  </si>
  <si>
    <t>https://tinyurl.com/y9jbkwul</t>
  </si>
  <si>
    <t>Fischer Ranger 94 FR Skis 2021 153 cm</t>
  </si>
  <si>
    <t>https://tinyurl.com/y9dt8lff</t>
  </si>
  <si>
    <t>Fischer RC One 74 Allride and RS 10 PR Alpine Set</t>
  </si>
  <si>
    <t>https://tinyurl.com/y7enubxp</t>
  </si>
  <si>
    <t>https://tinyurl.com/y77x9xmy</t>
  </si>
  <si>
    <t>Elan Element LS EL 10.0 Orange / 176cm</t>
  </si>
  <si>
    <t>https://tinyurl.com/ya4mdslc</t>
  </si>
  <si>
    <t>2016 Elan Explore 80 Women's Skis 176cm With Elan Esp 10 Bindings</t>
  </si>
  <si>
    <t>https://tinyurl.com/y9qvojp8</t>
  </si>
  <si>
    <t>Elan Skis - Sports &amp; outdoors | Color: Red | Size: s</t>
  </si>
  <si>
    <t>https://tinyurl.com/yae3ljay</t>
  </si>
  <si>
    <t>Volkl Rise Above 88 Ski 2022</t>
  </si>
  <si>
    <t>https://tinyurl.com/ycft6ph6</t>
  </si>
  <si>
    <t>https://tinyurl.com/y9xs3fg7</t>
  </si>
  <si>
    <t>Volkl Rise Beyond 98 177cm</t>
  </si>
  <si>
    <t>https://tinyurl.com/yahj557f</t>
  </si>
  <si>
    <t>K2 Women's Talkback 96 Ski</t>
  </si>
  <si>
    <t>https://tinyurl.com/ydf2wuuk</t>
  </si>
  <si>
    <t>https://tinyurl.com/y7tk2qn3</t>
  </si>
  <si>
    <t>https://tinyurl.com/y7rtgdd5</t>
  </si>
  <si>
    <t>Elan Amphibio 14 Ti + EMX 11 FusionX 21/22</t>
  </si>
  <si>
    <t>https://tinyurl.com/y7srel67</t>
  </si>
  <si>
    <t>https://tinyurl.com/y9gdqwjr</t>
  </si>
  <si>
    <t>Elan Explore 10 Ti Ski System with Bindings Mens</t>
  </si>
  <si>
    <t>https://tinyurl.com/y7g63hvu</t>
  </si>
  <si>
    <t>https://tinyurl.com/ybjcnjvr</t>
  </si>
  <si>
    <t>Atomic Redster X5 New Ski with Bindings 168.0</t>
  </si>
  <si>
    <t>https://tinyurl.com/y75kobbw</t>
  </si>
  <si>
    <t>2021 Atomic Redster X6 Skis W/ M 11 Gw Bindings</t>
  </si>
  <si>
    <t>https://tinyurl.com/yc4ctb46</t>
  </si>
  <si>
    <t>2022 Head Oblivion 94 Twin Tip Snow Skis 163</t>
  </si>
  <si>
    <t>https://tinyurl.com/y8e6wsmx</t>
  </si>
  <si>
    <t>Head Oblivion 79 Skis</t>
  </si>
  <si>
    <t>https://tinyurl.com/y8fuj8vv</t>
  </si>
  <si>
    <t>Head Oblivion 79 Flat Skis 2021-2022 | BK/NEONG / 163</t>
  </si>
  <si>
    <t>https://tinyurl.com/ycmr6ucy</t>
  </si>
  <si>
    <t>Rossignol Experience 82 Ti Skis w/ Look SPX 14 Konect GW Bindings</t>
  </si>
  <si>
    <t>https://tinyurl.com/ydd679ff</t>
  </si>
  <si>
    <t>https://tinyurl.com/y7mzhvb4</t>
  </si>
  <si>
    <t>https://tinyurl.com/ybzabfpk</t>
  </si>
  <si>
    <t>Icelantic Maiden 91 Women's Skis 162cm 2022</t>
  </si>
  <si>
    <t>https://tinyurl.com/y9qzyb49</t>
  </si>
  <si>
    <t>https://tinyurl.com/yb54aqvn</t>
  </si>
  <si>
    <t>Wilderness Exchange Unlimited</t>
  </si>
  <si>
    <t>https://tinyurl.com/y9kw494w</t>
  </si>
  <si>
    <t>Armada - Tracer 88 - 172 Silver</t>
  </si>
  <si>
    <t>https://tinyurl.com/y9a2yfct</t>
  </si>
  <si>
    <t>2020 Armada Tracer 88 Skis 172</t>
  </si>
  <si>
    <t>https://tinyurl.com/y9x6ltlo</t>
  </si>
  <si>
    <t>2020 Armada Tracer 88 Skis</t>
  </si>
  <si>
    <t>eBay - skiyard</t>
  </si>
  <si>
    <t>https://tinyurl.com/y8vu7be9</t>
  </si>
  <si>
    <t>Armada Declivity 82 Ti Skis Â· 182 cm</t>
  </si>
  <si>
    <t>https://tinyurl.com/y9vb2usv</t>
  </si>
  <si>
    <t>Armada Declivity 82 TI 2021 Model 182</t>
  </si>
  <si>
    <t>Elevation Skate Snow</t>
  </si>
  <si>
    <t>https://tinyurl.com/y9tkghjx</t>
  </si>
  <si>
    <t>Armada Declivity 108 Ti Skis Â· 2022 Â· 182 cm</t>
  </si>
  <si>
    <t>https://tinyurl.com/yblug7qv</t>
  </si>
  <si>
    <t>https://tinyurl.com/y7rwqr6h</t>
  </si>
  <si>
    <t>https://tinyurl.com/yaeo6w8g</t>
  </si>
  <si>
    <t>https://tinyurl.com/ybtahdka</t>
  </si>
  <si>
    <t>Stockli Laser WRT SL Fis Race Skis 2023 160</t>
  </si>
  <si>
    <t>https://tinyurl.com/y7zhmulr</t>
  </si>
  <si>
    <t>Laser SL Fis 2014 160</t>
  </si>
  <si>
    <t>Shumaker's ski &amp; snowboard</t>
  </si>
  <si>
    <t>https://tinyurl.com/ycy876ft</t>
  </si>
  <si>
    <t>2021 Stockli Laser SC skis w/MC11 bindings 156 cm R 12.3</t>
  </si>
  <si>
    <t>https://tinyurl.com/ycbhok9h</t>
  </si>
  <si>
    <t>J Skis â€œthe Friendâ€ 183 Cm Dragon Brand</t>
  </si>
  <si>
    <t>https://tinyurl.com/yd6cdoax</t>
  </si>
  <si>
    <t>Line Skis No Bindings 183 Cm</t>
  </si>
  <si>
    <t>eBay - lonewolfstore</t>
  </si>
  <si>
    <t>https://tinyurl.com/y7mpd2lk</t>
  </si>
  <si>
    <t>https://tinyurl.com/yaov2sey</t>
  </si>
  <si>
    <t>Atomic Redster S9 Revo S Skis Â· 2022 Â· 160 cm</t>
  </si>
  <si>
    <t>https://tinyurl.com/y7k6gw6n</t>
  </si>
  <si>
    <t>2022 Atomic Redster G9 Rs Revo Race Skis +x12 Gw Bindings 160,167cm</t>
  </si>
  <si>
    <t>https://tinyurl.com/y8vpqfy4</t>
  </si>
  <si>
    <t>https://tinyurl.com/yd8mfyvk</t>
  </si>
  <si>
    <t>https://tinyurl.com/y9esabsa</t>
  </si>
  <si>
    <t>K2 Mindbender 90C Skis 2022 - Men's 163</t>
  </si>
  <si>
    <t>https://tinyurl.com/yarkgmd2</t>
  </si>
  <si>
    <t>https://tinyurl.com/yd6l8h3a</t>
  </si>
  <si>
    <t>https://tinyurl.com/y83dtbsz</t>
  </si>
  <si>
    <t>K2 Reckoner 102 Skis</t>
  </si>
  <si>
    <t>https://tinyurl.com/ybpab939</t>
  </si>
  <si>
    <t>'22 K2 Reckoner 102 Skis 177cm</t>
  </si>
  <si>
    <t>https://tinyurl.com/y9dno9fh</t>
  </si>
  <si>
    <t>Fischer 2022 RC One 78 GT Men's Skis with RSW 10 GW Powerrail Bindings</t>
  </si>
  <si>
    <t>https://tinyurl.com/y8s5swnz</t>
  </si>
  <si>
    <t>Fischer, Rc One 78 Gt Twin Powerrail Skis, Lange: 173, P09521</t>
  </si>
  <si>
    <t>Bonanza - Bargain Bosses' Booth</t>
  </si>
  <si>
    <t>https://tinyurl.com/yby6zucx</t>
  </si>
  <si>
    <t>Fischer Ranger 85 Skis w/ RSW 11 GW Powerrail Bindings</t>
  </si>
  <si>
    <t>https://tinyurl.com/ybakqlxm</t>
  </si>
  <si>
    <t>Dynastar M-PRO 84 W 156cm</t>
  </si>
  <si>
    <t>https://tinyurl.com/yagps3za</t>
  </si>
  <si>
    <t>https://tinyurl.com/y86fmm5x</t>
  </si>
  <si>
    <t>https://tinyurl.com/ybl2l43g</t>
  </si>
  <si>
    <t>Rossignol ALL MOUNTAIN Women's Skis EXPERIENCE W 76 (XPRESS) 152</t>
  </si>
  <si>
    <t>https://tinyurl.com/y8o588px</t>
  </si>
  <si>
    <t>https://tinyurl.com/ycrkn3z7</t>
  </si>
  <si>
    <t>Rossignol Experience 76 Skis w/ Xpress 10 Bindings</t>
  </si>
  <si>
    <t>https://tinyurl.com/ya9jtbq6</t>
  </si>
  <si>
    <t>https://tinyurl.com/y8uqheuh</t>
  </si>
  <si>
    <t>Black crows camox birdie skis - women</t>
  </si>
  <si>
    <t>https://tinyurl.com/y9ucn3lc</t>
  </si>
  <si>
    <t>Black Crows Camox Birdie Ski 156</t>
  </si>
  <si>
    <t>Buzz's Boards</t>
  </si>
  <si>
    <t>https://tinyurl.com/ycurqg3s</t>
  </si>
  <si>
    <t>Head Kore 80 X LYT-PR + PRW 11 GW 163cm</t>
  </si>
  <si>
    <t>https://tinyurl.com/y9xt6v3x</t>
  </si>
  <si>
    <t>https://tinyurl.com/y9monauo</t>
  </si>
  <si>
    <t>https://tinyurl.com/ydyppmea</t>
  </si>
  <si>
    <t>Line Outline Skis 178 cm</t>
  </si>
  <si>
    <t>https://tinyurl.com/yaza88ny</t>
  </si>
  <si>
    <t>https://tinyurl.com/y7dpoqgv</t>
  </si>
  <si>
    <t>https://tinyurl.com/y9f9tqca</t>
  </si>
  <si>
    <t>'21 Volkl Blaze 106 Skis 186cm</t>
  </si>
  <si>
    <t>https://tinyurl.com/y7mzp8yt</t>
  </si>
  <si>
    <t>eBay - bikeboardandski</t>
  </si>
  <si>
    <t>https://tinyurl.com/y9753kv3</t>
  </si>
  <si>
    <t>https://tinyurl.com/y9y5ynta</t>
  </si>
  <si>
    <t>Volkl M6 Mantra Flat Ski 2021-2022 | RED/BLACK / 177</t>
  </si>
  <si>
    <t>https://tinyurl.com/yb3s3zfx</t>
  </si>
  <si>
    <t>https://tinyurl.com/y7baddj5</t>
  </si>
  <si>
    <t>https://tinyurl.com/yceq5p5n</t>
  </si>
  <si>
    <t>Volkl Secret 92 Womens 163 Cm Ski's W/marker Squire Tcx Bindings Clean</t>
  </si>
  <si>
    <t>https://tinyurl.com/yc9ljxqn</t>
  </si>
  <si>
    <t>Volkl Secret 92 Skis</t>
  </si>
  <si>
    <t>https://tinyurl.com/y98b5v68</t>
  </si>
  <si>
    <t>https://tinyurl.com/yaag7ncx</t>
  </si>
  <si>
    <t>Head Worldcup Rebels i.SLR Skis w Head PR 11 GW Bindings  Demo</t>
  </si>
  <si>
    <t>https://tinyurl.com/y8lnvh82</t>
  </si>
  <si>
    <t>Head Worldcup Rebels E-Race + FF St 14 21/22</t>
  </si>
  <si>
    <t>https://tinyurl.com/yc9p3oar</t>
  </si>
  <si>
    <t>Head Worldcup Rebel GS Without Bindings Skis 165 Giant Slalom</t>
  </si>
  <si>
    <t>https://tinyurl.com/y99axbsb</t>
  </si>
  <si>
    <t>Rossignol Experience 76 Skis + Xpress 10 GW Bindings 2022 - 176</t>
  </si>
  <si>
    <t>https://tinyurl.com/y9beok7p</t>
  </si>
  <si>
    <t>https://tinyurl.com/ych6u8t8</t>
  </si>
  <si>
    <t xml:space="preserve"> Rossignol Experience E74 Skis C, 176cm by GalacticSnowSports</t>
  </si>
  <si>
    <t>https://tinyurl.com/ycgwrrsx</t>
  </si>
  <si>
    <t>Rossignol Blackops Gamer Skis</t>
  </si>
  <si>
    <t>https://tinyurl.com/ycvmcfuk</t>
  </si>
  <si>
    <t>Rossignol Blackops Gamer 176cm</t>
  </si>
  <si>
    <t>https://tinyurl.com/ybbh4wjg</t>
  </si>
  <si>
    <t>https://tinyurl.com/ydehqvnz</t>
  </si>
  <si>
    <t>Nordica Enforcer 104 free GREY/BLUE/WHITE / 172cm</t>
  </si>
  <si>
    <t>https://tinyurl.com/yarurnyo</t>
  </si>
  <si>
    <t>https://tinyurl.com/ya6gg59g</t>
  </si>
  <si>
    <t>https://tinyurl.com/yc27lm4a</t>
  </si>
  <si>
    <t>K2 Wayback 88 174</t>
  </si>
  <si>
    <t>https://tinyurl.com/y8sty345</t>
  </si>
  <si>
    <t>https://tinyurl.com/yd2ploh8</t>
  </si>
  <si>
    <t>https://tinyurl.com/ycayrnx5</t>
  </si>
  <si>
    <t>https://tinyurl.com/yad2zd8e</t>
  </si>
  <si>
    <t>2020 Nordica Enforcer 88 172cm W/ Salomon Warden 13 Binding</t>
  </si>
  <si>
    <t>https://tinyurl.com/y9pnzwmd</t>
  </si>
  <si>
    <t>Nordica Enforcer 88 Unlimited Skis</t>
  </si>
  <si>
    <t>https://tinyurl.com/y8tzj4ze</t>
  </si>
  <si>
    <t>Atomic Cloud 9 Skis 2022 w/bindings 150</t>
  </si>
  <si>
    <t>https://tinyurl.com/yd299v86</t>
  </si>
  <si>
    <t>https://tinyurl.com/ycz4du7q</t>
  </si>
  <si>
    <t>https://tinyurl.com/y83v9qzf</t>
  </si>
  <si>
    <t>https://tinyurl.com/ybn8skb9</t>
  </si>
  <si>
    <t>Nordica Wild Belle 74 Ladies Snow Skis with Marker FDT10 Bindings 162</t>
  </si>
  <si>
    <t>https://tinyurl.com/yd64kjuz</t>
  </si>
  <si>
    <t>Elan 2021 Wingman 86 CTI Men's Skis with EMX 12.0 GW Fusion x Bindings</t>
  </si>
  <si>
    <t>https://tinyurl.com/ycbywswq</t>
  </si>
  <si>
    <t>Elan Skis Wingman 86 CTI</t>
  </si>
  <si>
    <t>https://tinyurl.com/y8yjg44q</t>
  </si>
  <si>
    <t>https://tinyurl.com/ycwgbdpy</t>
  </si>
  <si>
    <t>https://tinyurl.com/yb5ok3xf</t>
  </si>
  <si>
    <t>https://tinyurl.com/y864qdmv</t>
  </si>
  <si>
    <t>DPS Koala F119 Foundation Skis Â· 2020 Â· 184 cm</t>
  </si>
  <si>
    <t>https://tinyurl.com/yb6jtq5e</t>
  </si>
  <si>
    <t>Head Kore 80 X LYT-PR + PRW 11 GW 177cm</t>
  </si>
  <si>
    <t>https://tinyurl.com/yd5wahlc</t>
  </si>
  <si>
    <t>https://tinyurl.com/ybmfb8vc</t>
  </si>
  <si>
    <t>https://tinyurl.com/y7t9drvq</t>
  </si>
  <si>
    <t>Line Blade Skis</t>
  </si>
  <si>
    <t>https://tinyurl.com/y8goyq5u</t>
  </si>
  <si>
    <t>https://tinyurl.com/yd6u8pee</t>
  </si>
  <si>
    <t>https://tinyurl.com/ycnkmejx</t>
  </si>
  <si>
    <t>https://tinyurl.com/y9tqs89y</t>
  </si>
  <si>
    <t xml:space="preserve"> Rossignol Axium 160 Cm Mens Downhill Skis</t>
  </si>
  <si>
    <t>https://tinyurl.com/y89z3ydq</t>
  </si>
  <si>
    <t>https://tinyurl.com/y86w6uvt</t>
  </si>
  <si>
    <t>Armada ARW 86 Skis Women's Â· 2022 Â· 156 cm</t>
  </si>
  <si>
    <t>https://tinyurl.com/ybz6ov2z</t>
  </si>
  <si>
    <t>https://tinyurl.com/ya5p5p35</t>
  </si>
  <si>
    <t>Armada Tantrum Skis 156cm 2022</t>
  </si>
  <si>
    <t>https://tinyurl.com/y853wbzy</t>
  </si>
  <si>
    <t>https://tinyurl.com/yace3rdv</t>
  </si>
  <si>
    <t>https://tinyurl.com/ybwjbap2</t>
  </si>
  <si>
    <t>Faction - Prodigy 1.0x - 164</t>
  </si>
  <si>
    <t>https://tinyurl.com/y8k4446x</t>
  </si>
  <si>
    <t>Rossignol Blackops Escaper Open 156cm</t>
  </si>
  <si>
    <t>https://tinyurl.com/ydbcn7ko</t>
  </si>
  <si>
    <t>https://tinyurl.com/y9u6tkoo</t>
  </si>
  <si>
    <t>https://tinyurl.com/y736xxdh</t>
  </si>
  <si>
    <t>Atomic Maven 86 Skis 2022 - - 153 cm</t>
  </si>
  <si>
    <t>https://tinyurl.com/y9ryzjv5</t>
  </si>
  <si>
    <t>Atomic Maven 86 Berry / 153cm</t>
  </si>
  <si>
    <t>https://tinyurl.com/yalalwgx</t>
  </si>
  <si>
    <t>Atomic Maven 86 C Skis</t>
  </si>
  <si>
    <t>https://tinyurl.com/yayjtsxn</t>
  </si>
  <si>
    <t>https://tinyurl.com/y96ybu8d</t>
  </si>
  <si>
    <t>https://tinyurl.com/yay3wl65</t>
  </si>
  <si>
    <t>https://tinyurl.com/y8vanjtm</t>
  </si>
  <si>
    <t>Fischer XTR RC One 82 Gt Rentaltrack Skis 2021</t>
  </si>
  <si>
    <t>https://tinyurl.com/y89sft8d</t>
  </si>
  <si>
    <t>Fischer RC One 82 GT + RSW 11 21/22</t>
  </si>
  <si>
    <t>https://tinyurl.com/ybgal5pm</t>
  </si>
  <si>
    <t>https://tinyurl.com/y72zlu5r</t>
  </si>
  <si>
    <t>https://tinyurl.com/y8muvrz6</t>
  </si>
  <si>
    <t>https://tinyurl.com/yb4vokpr</t>
  </si>
  <si>
    <t>https://tinyurl.com/y9svb8da</t>
  </si>
  <si>
    <t>2021 Black Crows Anima Skis 182 Mint</t>
  </si>
  <si>
    <t>https://tinyurl.com/ycyx6pcm</t>
  </si>
  <si>
    <t>Black Crows Anima Birdie Women's Skis 182cm 2022</t>
  </si>
  <si>
    <t>https://tinyurl.com/yaydnjsg</t>
  </si>
  <si>
    <t>Black Crows Anima Skis 182 cm</t>
  </si>
  <si>
    <t>https://tinyurl.com/ybl4q844</t>
  </si>
  <si>
    <t>https://tinyurl.com/yb9bosyq</t>
  </si>
  <si>
    <t>https://tinyurl.com/y9eftybv</t>
  </si>
  <si>
    <t>Atomic Vantage 75 C Skis + M 10 GW Bindings 161</t>
  </si>
  <si>
    <t>https://tinyurl.com/yagyft6y</t>
  </si>
  <si>
    <t>https://tinyurl.com/y7hwgvep</t>
  </si>
  <si>
    <t>Nordica Women's Wild Belle 74 w/ TP2 10 Skis 156</t>
  </si>
  <si>
    <t>https://tinyurl.com/y7zrqljo</t>
  </si>
  <si>
    <t>Nordica Wild Belle DC 84 Ski &amp; Binding (156CM)</t>
  </si>
  <si>
    <t>https://tinyurl.com/ya6eggqm</t>
  </si>
  <si>
    <t>Nordica Navigator 75 CA Skis w/ TP2 Compact 10 Bindings</t>
  </si>
  <si>
    <t>https://tinyurl.com/yc85nun9</t>
  </si>
  <si>
    <t>Nordica Santa Ana 84 WHITE/BLUE / 151cm</t>
  </si>
  <si>
    <t>https://tinyurl.com/ybsvhmzf</t>
  </si>
  <si>
    <t>Nordica Santa Ana 84 Skis - 2022 - Women's 151 cm</t>
  </si>
  <si>
    <t>https://tinyurl.com/yau7lnwj</t>
  </si>
  <si>
    <t>Nordica Santa Ana 84 Alpine Skis 2022 - - 151 cm</t>
  </si>
  <si>
    <t>https://tinyurl.com/ycqcw2tt</t>
  </si>
  <si>
    <t>Volkl Yumi 84 Skis - Women's 2021</t>
  </si>
  <si>
    <t>https://tinyurl.com/y7yqfb3f</t>
  </si>
  <si>
    <t>https://tinyurl.com/ya8yz6jg</t>
  </si>
  <si>
    <t>Volkl Ladies' Yumi 84 Flat Ski 2020-2021 | BLACK/RED / 161</t>
  </si>
  <si>
    <t>https://tinyurl.com/yagkg736</t>
  </si>
  <si>
    <t>https://tinyurl.com/y87p2d6h</t>
  </si>
  <si>
    <t>https://tinyurl.com/y8h6a3s6</t>
  </si>
  <si>
    <t>https://tinyurl.com/yb9up5vv</t>
  </si>
  <si>
    <t>Armada Stranger Ski 2022</t>
  </si>
  <si>
    <t>https://tinyurl.com/y7c89r69</t>
  </si>
  <si>
    <t>https://tinyurl.com/yc39qgjp</t>
  </si>
  <si>
    <t>https://tinyurl.com/y9dermg9</t>
  </si>
  <si>
    <t>https://tinyurl.com/y7r7zdv7</t>
  </si>
  <si>
    <t>https://tinyurl.com/yax88bjm</t>
  </si>
  <si>
    <t>https://tinyurl.com/y9x7urqb</t>
  </si>
  <si>
    <t>Volkl Blaze 94 W Alpine Skis 2022 - - 165 cm</t>
  </si>
  <si>
    <t>https://tinyurl.com/yb2nu8aq</t>
  </si>
  <si>
    <t>Volkl Blaze 94 W 2022 (Size: 165) | By Alpine Shop Vermont</t>
  </si>
  <si>
    <t>https://tinyurl.com/y7x79r6m</t>
  </si>
  <si>
    <t>Volkl 22 Blaze 94 W 165Cm  Demo Skis W/ Bindings</t>
  </si>
  <si>
    <t>https://tinyurl.com/ya2cwjw3</t>
  </si>
  <si>
    <t>Stockli Laser SC Skis 2023 w/MC11 bindings 170</t>
  </si>
  <si>
    <t>https://tinyurl.com/y7mtazea</t>
  </si>
  <si>
    <t>https://tinyurl.com/y9jtukgj</t>
  </si>
  <si>
    <t>https://tinyurl.com/ydhcaz8x</t>
  </si>
  <si>
    <t>Salomon Skins QST 98 | Multi | Size: 169</t>
  </si>
  <si>
    <t>Salomon.com</t>
  </si>
  <si>
    <t>https://tinyurl.com/y6uctty3</t>
  </si>
  <si>
    <t>https://tinyurl.com/y7rrb9ch</t>
  </si>
  <si>
    <t>https://tinyurl.com/yag8wtlq</t>
  </si>
  <si>
    <t>Dynastar M-Pro 99 Skis Â· 186 cm</t>
  </si>
  <si>
    <t>https://tinyurl.com/yc253ps3</t>
  </si>
  <si>
    <t>https://tinyurl.com/y8wpbjye</t>
  </si>
  <si>
    <t>https://tinyurl.com/y7urc7tu</t>
  </si>
  <si>
    <t>2021 Volkl Revolt 121 Skis</t>
  </si>
  <si>
    <t>https://tinyurl.com/yabf5pcw</t>
  </si>
  <si>
    <t>https://tinyurl.com/yc2yj2aw</t>
  </si>
  <si>
    <t>https://tinyurl.com/y7yzrm8r</t>
  </si>
  <si>
    <t>Black Crows Justis Ski - 2022. 189cm /56226/</t>
  </si>
  <si>
    <t>https://tinyurl.com/yctx2aaf</t>
  </si>
  <si>
    <t>Black Crows Justis Skis - 2022</t>
  </si>
  <si>
    <t>https://tinyurl.com/yc5s4c89</t>
  </si>
  <si>
    <t>https://tinyurl.com/y79lsfuw</t>
  </si>
  <si>
    <t>https://tinyurl.com/yc7m8g2b</t>
  </si>
  <si>
    <t>https://tinyurl.com/y7wub4h9</t>
  </si>
  <si>
    <t>https://tinyurl.com/y7ng3dsk</t>
  </si>
  <si>
    <t>Nordica Enforcer 104 free GREY/BLUE/WHITE / 179cm</t>
  </si>
  <si>
    <t>https://tinyurl.com/yaw5lgdd</t>
  </si>
  <si>
    <t>https://tinyurl.com/y7k4j4tr</t>
  </si>
  <si>
    <t>https://tinyurl.com/yd3ttsrd</t>
  </si>
  <si>
    <t>Atomic Maverick 83 R AW + M 10 GW Red/Grey / 181cm</t>
  </si>
  <si>
    <t>https://tinyurl.com/yb2ncxhd</t>
  </si>
  <si>
    <t>Atomic Mens Maverick 83 R Skis with M10 Bindings</t>
  </si>
  <si>
    <t>https://tinyurl.com/yarzzs36</t>
  </si>
  <si>
    <t>https://tinyurl.com/y928j4s8</t>
  </si>
  <si>
    <t>15-16 Head Pure Joy  Women's Demo Skis W/bindings Size 153cm</t>
  </si>
  <si>
    <t>https://tinyurl.com/ya5ys64o</t>
  </si>
  <si>
    <t xml:space="preserve"> 2015 Head Libra Pure Joy Demo Ski with Bindings Size 153 (Option 210958)</t>
  </si>
  <si>
    <t>https://tinyurl.com/y8sk9vmo</t>
  </si>
  <si>
    <t>18/19 Head Pure Joy 153cm,  Demo Ski, Slr 9 System Bindings,</t>
  </si>
  <si>
    <t>https://tinyurl.com/yawudgy8</t>
  </si>
  <si>
    <t>Volkl RaceTiger SL R w/Plate &amp; UVO 155cm</t>
  </si>
  <si>
    <t>https://tinyurl.com/yarsod7y</t>
  </si>
  <si>
    <t>Volkl Racetiger SL Yellow 155 Ski Lady's Men</t>
  </si>
  <si>
    <t>https://tinyurl.com/ycdacg87</t>
  </si>
  <si>
    <t>Volkl Racetiger SL Yellow-Black 155 Ski Men</t>
  </si>
  <si>
    <t>https://tinyurl.com/yd4vrdj3</t>
  </si>
  <si>
    <t>https://tinyurl.com/y7dynh7a</t>
  </si>
  <si>
    <t>Dynastar Speed 963 Konect+spx 12 Konect GW B80 Alpine Skis 162</t>
  </si>
  <si>
    <t>https://tinyurl.com/y9v2h8wb</t>
  </si>
  <si>
    <t>https://tinyurl.com/y9g2cgbc</t>
  </si>
  <si>
    <t>Volkl Revolt 104 180cm</t>
  </si>
  <si>
    <t>https://tinyurl.com/y8b7tu6j</t>
  </si>
  <si>
    <t>https://tinyurl.com/ybuzfnwd</t>
  </si>
  <si>
    <t>https://tinyurl.com/ycyrv7o8</t>
  </si>
  <si>
    <t>2022 Blizzard Thunderbird Sport R14 Ca Skis +tpc 11 Bindings 170 Cm</t>
  </si>
  <si>
    <t>https://tinyurl.com/yaeygf9d</t>
  </si>
  <si>
    <t>https://tinyurl.com/ya2ycl5r</t>
  </si>
  <si>
    <t>Blizzard Thunderbird R15 Ski with TPX 12 Binding - Size 170 - 8A1034AH001</t>
  </si>
  <si>
    <t>https://tinyurl.com/y9g5u6sg</t>
  </si>
  <si>
    <t>Dynastar M-Tour 87 CA Ski 2022</t>
  </si>
  <si>
    <t>https://tinyurl.com/y8oohnzs</t>
  </si>
  <si>
    <t>Dynastar M-Tour 87 CA Ski Only Skis, 171cm Black/Blue 2022</t>
  </si>
  <si>
    <t>https://tinyurl.com/ybskqtl7</t>
  </si>
  <si>
    <t>18-19 Dynastar Legend X 96  Men's Demo Skis W/bindings Size 171cm</t>
  </si>
  <si>
    <t>https://tinyurl.com/y8cfj3lw</t>
  </si>
  <si>
    <t>Atomic Bent Chetler Jr Skis 2022</t>
  </si>
  <si>
    <t>https://tinyurl.com/ybpq3xdx</t>
  </si>
  <si>
    <t>https://tinyurl.com/y8hkbazq</t>
  </si>
  <si>
    <t>Bent Chetler Jr Ski - 2022 - Kids' Grey, 150cm - Excellent</t>
  </si>
  <si>
    <t>https://tinyurl.com/ybtsg33k</t>
  </si>
  <si>
    <t>Secret 96 Flat 21/22 w/o Binding/Brake</t>
  </si>
  <si>
    <t>https://tinyurl.com/ybok65mm</t>
  </si>
  <si>
    <t>Volkl Secret 96 Skis - Women's 2022</t>
  </si>
  <si>
    <t>https://tinyurl.com/ybhx2zs2</t>
  </si>
  <si>
    <t>https://tinyurl.com/yb8e4zbc</t>
  </si>
  <si>
    <t>Head Kore 111 Skis - 2022</t>
  </si>
  <si>
    <t>https://tinyurl.com/y8yoxltr</t>
  </si>
  <si>
    <t>https://tinyurl.com/yc3ft3d3</t>
  </si>
  <si>
    <t>https://tinyurl.com/yc56fgny</t>
  </si>
  <si>
    <t>Nordica Enforcer 94 Skis 2021/22</t>
  </si>
  <si>
    <t>https://tinyurl.com/ya4s7bzx</t>
  </si>
  <si>
    <t>Nordica Enforcer 94 Skis 165cm 2023</t>
  </si>
  <si>
    <t>https://tinyurl.com/y7sdbk9m</t>
  </si>
  <si>
    <t>Nordica Enforcer 94 Unlimited Skis</t>
  </si>
  <si>
    <t>https://tinyurl.com/y8cwcgcz</t>
  </si>
  <si>
    <t>K2 Mindbender 106C Alliance Skis Women's 2022</t>
  </si>
  <si>
    <t>https://tinyurl.com/ybsrx4qe</t>
  </si>
  <si>
    <t>https://tinyurl.com/ya6hyd2t</t>
  </si>
  <si>
    <t>https://tinyurl.com/y96usocy</t>
  </si>
  <si>
    <t>Nordica Soul Rider 87 Skis 2022 185</t>
  </si>
  <si>
    <t>https://tinyurl.com/yabb6feb</t>
  </si>
  <si>
    <t>Nordica Soul Rider 97 Skis 2022 185cm</t>
  </si>
  <si>
    <t>https://tinyurl.com/ybremp74</t>
  </si>
  <si>
    <t>2021 Nordica Soul Rider 97 Twin Tip Snow Skis 185</t>
  </si>
  <si>
    <t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t>
  </si>
  <si>
    <t>Salomon N QST Blank Skis - 2022 186cm / White/Light Grey</t>
  </si>
  <si>
    <t>https://tinyurl.com/y7pc765g</t>
  </si>
  <si>
    <t>Salomon Qst Blank Skis 2022 186cm</t>
  </si>
  <si>
    <t>https://tinyurl.com/y7rv39kd</t>
  </si>
  <si>
    <t>Salomon QST Blank White/Light Grey / 186cm</t>
  </si>
  <si>
    <t>https://tinyurl.com/yavgpb4d</t>
  </si>
  <si>
    <t>https://tinyurl.com/y97qram9</t>
  </si>
  <si>
    <t>https://tinyurl.com/y8else2n</t>
  </si>
  <si>
    <t>https://tinyurl.com/ybuwd9b4</t>
  </si>
  <si>
    <t>https://tinyurl.com/ybdbkyg6</t>
  </si>
  <si>
    <t>Elan Ripstick 106 Flat Ski 2020-2021 | BLUE YEL / 188</t>
  </si>
  <si>
    <t>https://tinyurl.com/yb7zkzfl</t>
  </si>
  <si>
    <t>Elan Ripstick 106 Skis 2022</t>
  </si>
  <si>
    <t>https://tinyurl.com/ybppsnm8</t>
  </si>
  <si>
    <t>Icelantic Riveter 95 Women's Skis Â· 2022 Â· 155 cm</t>
  </si>
  <si>
    <t>https://tinyurl.com/yawoehjq</t>
  </si>
  <si>
    <t>Icelantic Riveter 95 Skis - Women's 2022 155cm</t>
  </si>
  <si>
    <t>https://tinyurl.com/yar5hfkg</t>
  </si>
  <si>
    <t>https://tinyurl.com/y8gx2b27</t>
  </si>
  <si>
    <t>https://tinyurl.com/yb5abjj3</t>
  </si>
  <si>
    <t>https://tinyurl.com/y7s6v2dn</t>
  </si>
  <si>
    <t>https://tinyurl.com/ycorbqqg</t>
  </si>
  <si>
    <t>Blizzard Sheeva 10 Women's Skis 156cm 2022</t>
  </si>
  <si>
    <t>https://tinyurl.com/y86x8suu</t>
  </si>
  <si>
    <t>Blizzard Sheeva 10 Skis Â· Women's Â· 156 cm</t>
  </si>
  <si>
    <t>https://tinyurl.com/y7hg8qhj</t>
  </si>
  <si>
    <t>https://tinyurl.com/y985al3m</t>
  </si>
  <si>
    <t>Atomic Maverick 83 R AW Skis</t>
  </si>
  <si>
    <t>https://tinyurl.com/y8pddsrs</t>
  </si>
  <si>
    <t>https://tinyurl.com/yangd23b</t>
  </si>
  <si>
    <t>Atomic Vantage 86 C Skis</t>
  </si>
  <si>
    <t>https://tinyurl.com/y7eklodb</t>
  </si>
  <si>
    <t>2020 Volkl Deacon 80 System Ski - 172 Cm W/ Lowrider Xl 13 Bindings</t>
  </si>
  <si>
    <t>https://tinyurl.com/ybuoemds</t>
  </si>
  <si>
    <t>Volkl Deacon 80 + Lowride XL 13 20/21</t>
  </si>
  <si>
    <t>https://tinyurl.com/y8ks3j9n</t>
  </si>
  <si>
    <t>Volkl Men's Deacon 80 Skis With Lowride XL 13 FR GW Binding .</t>
  </si>
  <si>
    <t>https://tinyurl.com/yc2xu65n</t>
  </si>
  <si>
    <t>Blizzard Bonafide 97</t>
  </si>
  <si>
    <t>https://tinyurl.com/y9nmncto</t>
  </si>
  <si>
    <t>https://tinyurl.com/ybgrwq9l</t>
  </si>
  <si>
    <t>https://tinyurl.com/ybl4fayg</t>
  </si>
  <si>
    <t>Head Kore 90 x Skis Mens 2022 Anthracite/Beige 156</t>
  </si>
  <si>
    <t>https://tinyurl.com/y79ya2wh</t>
  </si>
  <si>
    <t>https://tinyurl.com/y9bfh4ou</t>
  </si>
  <si>
    <t>https://tinyurl.com/y8omwlhz</t>
  </si>
  <si>
    <t>Volkl Blaze 86 Women's Skis 2022</t>
  </si>
  <si>
    <t>https://tinyurl.com/yd7qpjz2</t>
  </si>
  <si>
    <t>Volkl Blaze 86 W Skis</t>
  </si>
  <si>
    <t>https://tinyurl.com/yczo6pm3</t>
  </si>
  <si>
    <t>Blizzard Black Pearl 82 Skis - Women's 2022</t>
  </si>
  <si>
    <t>https://tinyurl.com/y72nlycc</t>
  </si>
  <si>
    <t>https://tinyurl.com/y7f4tnze</t>
  </si>
  <si>
    <t>https://tinyurl.com/y9c5gpkn</t>
  </si>
  <si>
    <t>https://tinyurl.com/yctzdp2b</t>
  </si>
  <si>
    <t>https://tinyurl.com/yd2zfm44</t>
  </si>
  <si>
    <t>https://tinyurl.com/y8y7ezux</t>
  </si>
  <si>
    <t>https://tinyurl.com/ydbzzhna</t>
  </si>
  <si>
    <t>Armada Declivity 102 Ti Skis - Men's</t>
  </si>
  <si>
    <t>https://tinyurl.com/yaek9gfq</t>
  </si>
  <si>
    <t>https://tinyurl.com/yczrog67</t>
  </si>
  <si>
    <t>Armada Bdog Edgeless Skis 2021</t>
  </si>
  <si>
    <t>https://tinyurl.com/y7dkgzdn</t>
  </si>
  <si>
    <t>Armada Bdog Skis 2022</t>
  </si>
  <si>
    <t>https://tinyurl.com/y8p6qy84</t>
  </si>
  <si>
    <t>https://tinyurl.com/yavjsf7x</t>
  </si>
  <si>
    <t>Elan Insomnia 12 C Skis</t>
  </si>
  <si>
    <t>https://tinyurl.com/y7mpusdh</t>
  </si>
  <si>
    <t>https://tinyurl.com/ycemo7vw</t>
  </si>
  <si>
    <t>Elan Interra Women's Skis 158cm 2020</t>
  </si>
  <si>
    <t>https://tinyurl.com/yafhcuh9</t>
  </si>
  <si>
    <t>Nordica Doberman Spitfire Ti FTD 165 + TPX 12 Red/Black One</t>
  </si>
  <si>
    <t>fruugo.com</t>
  </si>
  <si>
    <t>https://tinyurl.com/yalvjmlz</t>
  </si>
  <si>
    <t>https://tinyurl.com/yd2fsgkg</t>
  </si>
  <si>
    <t>https://tinyurl.com/ydhu54av</t>
  </si>
  <si>
    <t>Salomon Stance 84 Skis 2022</t>
  </si>
  <si>
    <t>https://tinyurl.com/ycabgcf2</t>
  </si>
  <si>
    <t>https://tinyurl.com/y7rnkl93</t>
  </si>
  <si>
    <t>https://tinyurl.com/ybfopsbs</t>
  </si>
  <si>
    <t>Armada ARV 84 2022 164</t>
  </si>
  <si>
    <t>Help Boardshop</t>
  </si>
  <si>
    <t>https://tinyurl.com/y9qnltek</t>
  </si>
  <si>
    <t>Armada Arv 84 2022 164cm</t>
  </si>
  <si>
    <t>https://tinyurl.com/yd8hmpeb</t>
  </si>
  <si>
    <t>2022 Armada ARV 84 (LONG) Skis 164</t>
  </si>
  <si>
    <t>https://tinyurl.com/yd53gvrf</t>
  </si>
  <si>
    <t>https://tinyurl.com/yc4e3xyc</t>
  </si>
  <si>
    <t>https://tinyurl.com/yalwfshj</t>
  </si>
  <si>
    <t>https://tinyurl.com/y8yqusd4</t>
  </si>
  <si>
    <t>Volkl Bash 81 Skis 2021 - 148</t>
  </si>
  <si>
    <t>https://tinyurl.com/yal2dqkz</t>
  </si>
  <si>
    <t>https://tinyurl.com/y7cmjmp3</t>
  </si>
  <si>
    <t>Volkl Bash Jr incl. bindings 148cm</t>
  </si>
  <si>
    <t>https://tinyurl.com/yceeplyn</t>
  </si>
  <si>
    <t>https://tinyurl.com/yd794d2u</t>
  </si>
  <si>
    <t>https://tinyurl.com/y84llolb</t>
  </si>
  <si>
    <t>https://tinyurl.com/y7tvxe9k</t>
  </si>
  <si>
    <t>https://tinyurl.com/yc9bb6fe</t>
  </si>
  <si>
    <t>https://tinyurl.com/ycbu79ub</t>
  </si>
  <si>
    <t>https://tinyurl.com/y98t7qwv</t>
  </si>
  <si>
    <t>2022 Dynastar Speed 4x4 763 Skis with SPX 12 GW Bindings - 158| Ski Essentials</t>
  </si>
  <si>
    <t>https://tinyurl.com/y97p3bym</t>
  </si>
  <si>
    <t>https://tinyurl.com/y77ofafx</t>
  </si>
  <si>
    <t>Dynastar Men's Speed 4x4 263 Skis with Xpress 10 Bindings '22</t>
  </si>
  <si>
    <t>https://tinyurl.com/yam4bbc8</t>
  </si>
  <si>
    <t>Fischer Ranger 92 Ti Ski 2022</t>
  </si>
  <si>
    <t>https://tinyurl.com/y959ov3t</t>
  </si>
  <si>
    <t>Fischer Ranger 92 TI Flat Ski 2021-2022 | BLACK/BLUE / 185</t>
  </si>
  <si>
    <t>https://tinyurl.com/ycstq8lz</t>
  </si>
  <si>
    <t>Fischer Ranger 92 Ti Ski 185</t>
  </si>
  <si>
    <t>https://tinyurl.com/yagxonqb</t>
  </si>
  <si>
    <t>Atomic Redster S7 Ft+ft 12 GW Alpine Skis 149</t>
  </si>
  <si>
    <t>https://tinyurl.com/y8oq44ok</t>
  </si>
  <si>
    <t>Skiing Atomic Redster Sc With Bindings Allround The Tracks Skis</t>
  </si>
  <si>
    <t>https://tinyurl.com/y94lhmx5</t>
  </si>
  <si>
    <t xml:space="preserve"> Head Absolut Joy Womens Skis C by GalacticSnowSports</t>
  </si>
  <si>
    <t>https://tinyurl.com/ybjar4qd</t>
  </si>
  <si>
    <t>Head Absolut Joy SLR Joy Pro + JOY 9 GW 153cm</t>
  </si>
  <si>
    <t>https://tinyurl.com/yc569j3o</t>
  </si>
  <si>
    <t>Head Absolut Joy Skis w/ Joy 9 GW SLR Bindings</t>
  </si>
  <si>
    <t>https://tinyurl.com/y9rxrezf</t>
  </si>
  <si>
    <t>https://tinyurl.com/ycujgg2f</t>
  </si>
  <si>
    <t>https://tinyurl.com/y7oouf28</t>
  </si>
  <si>
    <t>'22 Line Blend Skis 171cm</t>
  </si>
  <si>
    <t>https://tinyurl.com/y8eyzmwf</t>
  </si>
  <si>
    <t>Head V-shape V4 Skis + Size Adjustable Pr 10 Gw Bindings 156cm Pair</t>
  </si>
  <si>
    <t>https://tinyurl.com/y75fa5me</t>
  </si>
  <si>
    <t>Head V-Shape V4 XL LYT Skis with PR 10 GW Promo Binding Â· 2022</t>
  </si>
  <si>
    <t>https://tinyurl.com/y8nylzzl</t>
  </si>
  <si>
    <t>https://tinyurl.com/y8efnzyv</t>
  </si>
  <si>
    <t>2020 Atomic Redster G9 Fis J-rp2 Skis W/ Z 12 Bindings-159</t>
  </si>
  <si>
    <t>https://tinyurl.com/ydg644jg</t>
  </si>
  <si>
    <t>Atomic Redster G9 159 cm Ski + Atomic Neox 12 Bindings Winter Fun Sport FIS</t>
  </si>
  <si>
    <t>https://tinyurl.com/yb2suolq</t>
  </si>
  <si>
    <t>Atomic Redster G9 Fis J-RP Junior Race Skis 159cm</t>
  </si>
  <si>
    <t>sidecountrysports.com</t>
  </si>
  <si>
    <t>https://tinyurl.com/y8mzobo3</t>
  </si>
  <si>
    <t>Dynafit Beast 98</t>
  </si>
  <si>
    <t>https://tinyurl.com/y8vzr7a9</t>
  </si>
  <si>
    <t>2018-19 Dynafit Beast 98 Touring And Freeride Ski</t>
  </si>
  <si>
    <t>eBay - anything-technical-limited</t>
  </si>
  <si>
    <t>https://tinyurl.com/y75dhquc</t>
  </si>
  <si>
    <t>Dynafit Women's Free 97 Ski</t>
  </si>
  <si>
    <t>https://tinyurl.com/y83942b9</t>
  </si>
  <si>
    <t>Dynafit Seven Summits Ski Blue, Mens/Womens Backcountry Skis, Size 166cm - Color Blue - Red</t>
  </si>
  <si>
    <t>https://tinyurl.com/y7v8zf3s</t>
  </si>
  <si>
    <t>Dynafit Seven Summits + Ski Set Â· 166 cm</t>
  </si>
  <si>
    <t>https://tinyurl.com/y7eva835</t>
  </si>
  <si>
    <t>https://tinyurl.com/y92hmjgp</t>
  </si>
  <si>
    <t>K2 Wayback 96 170</t>
  </si>
  <si>
    <t>https://tinyurl.com/yclsu9es</t>
  </si>
  <si>
    <t>https://tinyurl.com/ya8wsojl</t>
  </si>
  <si>
    <t>https://tinyurl.com/y7ymdoud</t>
  </si>
  <si>
    <t>Elan 2022 Ripstick 106 Black Edition Skis</t>
  </si>
  <si>
    <t>https://tinyurl.com/ybuuewwp</t>
  </si>
  <si>
    <t>Berg's Ski &amp; Snowboard Shop</t>
  </si>
  <si>
    <t>https://tinyurl.com/y7uxt8lf</t>
  </si>
  <si>
    <t>https://tinyurl.com/yc3uguyz</t>
  </si>
  <si>
    <t>Icelantic Riveter 85 Skis - Women's 2022 162cm</t>
  </si>
  <si>
    <t>https://tinyurl.com/y9xzu9zq</t>
  </si>
  <si>
    <t>Icelantic Riveter 85 Skis Women's Â· 2022 Â· 162 cm</t>
  </si>
  <si>
    <t>https://tinyurl.com/yc7y2j32</t>
  </si>
  <si>
    <t>https://tinyurl.com/yc8eyrrl</t>
  </si>
  <si>
    <t>DPS Skis Pagoda Tour 112 RP Skis Gray 158 Cm</t>
  </si>
  <si>
    <t>https://tinyurl.com/yb9czond</t>
  </si>
  <si>
    <t>DPS Pagoda Tour 112 RP SE Ski 158 / Midnight Rider Blue</t>
  </si>
  <si>
    <t>https://tinyurl.com/y7en4bf4</t>
  </si>
  <si>
    <t>https://tinyurl.com/y6ub5tdg</t>
  </si>
  <si>
    <t>Rossignol Teen's Skis Blackops W Dreamer (xpress)</t>
  </si>
  <si>
    <t>https://tinyurl.com/yarcdw2e</t>
  </si>
  <si>
    <t>https://tinyurl.com/yalcc2xl</t>
  </si>
  <si>
    <t>https://tinyurl.com/y9rxk4rn</t>
  </si>
  <si>
    <t>Blizzard Brahma 88 Skis</t>
  </si>
  <si>
    <t>https://tinyurl.com/yadrtwr4</t>
  </si>
  <si>
    <t>https://tinyurl.com/y7r3grp5</t>
  </si>
  <si>
    <t>https://tinyurl.com/y73kvp4k</t>
  </si>
  <si>
    <t>https://tinyurl.com/ydd5stbb</t>
  </si>
  <si>
    <t>Volkl Women's Blaze 86 W Alpine Ski 2022 166</t>
  </si>
  <si>
    <t>https://tinyurl.com/y6v3ryuc</t>
  </si>
  <si>
    <t>Volkl Women's Blaze 86 Skis 2022</t>
  </si>
  <si>
    <t>https://tinyurl.com/ycwtahxa</t>
  </si>
  <si>
    <t>Liberty 2022 Evolv 100 Skis - 179 cm</t>
  </si>
  <si>
    <t>https://tinyurl.com/ybl6galp</t>
  </si>
  <si>
    <t>Liberty Evolv 110 Skis - 179cm</t>
  </si>
  <si>
    <t>https://tinyurl.com/yc4g2lh6</t>
  </si>
  <si>
    <t>Liberty 2022 Evolv 110 179 All Mtn Skis W/ Tyrolia Attack Bindings,</t>
  </si>
  <si>
    <t>https://tinyurl.com/ycd2xmxt</t>
  </si>
  <si>
    <t>Rossignol Blackops W Dreamer XP/XP W10GW 150cm</t>
  </si>
  <si>
    <t>https://tinyurl.com/yaamzwxz</t>
  </si>
  <si>
    <t>Rossignol Women ' S Blackops Dreamer Skis</t>
  </si>
  <si>
    <t>https://tinyurl.com/ycnpmuux</t>
  </si>
  <si>
    <t>https://tinyurl.com/y7n2t3qk</t>
  </si>
  <si>
    <t>Elan Element W LS ELW 9.0 White / 160cm</t>
  </si>
  <si>
    <t>https://tinyurl.com/y7rrr7vg</t>
  </si>
  <si>
    <t>Elan Element Ls+elw 9.0 Alpine Skis 160</t>
  </si>
  <si>
    <t>https://tinyurl.com/ybtjmmep</t>
  </si>
  <si>
    <t>ELAN Men's ELEMENT BLACK SKI + ELW 10.0 Binding 160</t>
  </si>
  <si>
    <t>https://tinyurl.com/yd9tzzj4</t>
  </si>
  <si>
    <t>Volkl Yumi 80 Skis 2021 - 161cm</t>
  </si>
  <si>
    <t>https://tinyurl.com/y7c6f66q</t>
  </si>
  <si>
    <t>Volkl Yumi 80 161cm</t>
  </si>
  <si>
    <t>https://tinyurl.com/y8x345ce</t>
  </si>
  <si>
    <t>Volkl Ladies' Yumi 80 Flat Ski 2020-2021 | BLACK / 161</t>
  </si>
  <si>
    <t>https://tinyurl.com/y7k7nl3t</t>
  </si>
  <si>
    <t>https://tinyurl.com/y875z6ke</t>
  </si>
  <si>
    <t>Nordica Wild Belle 74 Ladies Snow Skis with Marker FDT10 Bindings 156</t>
  </si>
  <si>
    <t>https://tinyurl.com/y8v5prrj</t>
  </si>
  <si>
    <t>Nordica Wild Belle 78 CA Women's Ski &amp; 10 FDT Binding 2022 - 156</t>
  </si>
  <si>
    <t>https://tinyurl.com/yacave3u</t>
  </si>
  <si>
    <t>K2 Mindbender 90C Alliance Skis - Women's - 2022</t>
  </si>
  <si>
    <t>https://tinyurl.com/y89fjh9y</t>
  </si>
  <si>
    <t>https://tinyurl.com/yd57nzgs</t>
  </si>
  <si>
    <t>https://tinyurl.com/ycqlojfp</t>
  </si>
  <si>
    <t>https://tinyurl.com/yamtakns</t>
  </si>
  <si>
    <t>https://tinyurl.com/ybcr64oq</t>
  </si>
  <si>
    <t>https://tinyurl.com/y9t34fxz</t>
  </si>
  <si>
    <t>Head Worldcup Rebels e-SL White-Black 160 Ski Lady's Men</t>
  </si>
  <si>
    <t>https://tinyurl.com/yahr6vf4</t>
  </si>
  <si>
    <t>Head 2021 WC Rebels E-SL Skis w/Freeflex 14 Bindings</t>
  </si>
  <si>
    <t>https://tinyurl.com/ydywox26</t>
  </si>
  <si>
    <t>https://tinyurl.com/y8dh3e3k</t>
  </si>
  <si>
    <t>https://tinyurl.com/yaaxxuj9</t>
  </si>
  <si>
    <t>https://tinyurl.com/yavx7k9y</t>
  </si>
  <si>
    <t>https://tinyurl.com/yabnkat7</t>
  </si>
  <si>
    <t>Faction Agent 3.0 Skis 2022</t>
  </si>
  <si>
    <t>https://tinyurl.com/yaa73bkh</t>
  </si>
  <si>
    <t>https://tinyurl.com/ybm7hmhe</t>
  </si>
  <si>
    <t>https://tinyurl.com/y72tlbv9</t>
  </si>
  <si>
    <t>https://tinyurl.com/y7dbfsy3</t>
  </si>
  <si>
    <t>Rossignol Experience 76 Skis with Xpress 10 GW Bindings 2022 Size 144cm for Men</t>
  </si>
  <si>
    <t>https://tinyurl.com/y8z2dnlp</t>
  </si>
  <si>
    <t>https://tinyurl.com/y8oupash</t>
  </si>
  <si>
    <t>Head V10 V-shape Lyt Alpine Skis + Prx 14 Bindings 170cm Free Ship</t>
  </si>
  <si>
    <t>https://tinyurl.com/y9sylgnc</t>
  </si>
  <si>
    <t>Head V-Shape V2 Black-Grey-White 170 Ski Men</t>
  </si>
  <si>
    <t>https://tinyurl.com/y7ehcmoe</t>
  </si>
  <si>
    <t>Head V-Shape V6 Unisex Skiing Ski Black / Red 170 cm</t>
  </si>
  <si>
    <t>Mike Sport</t>
  </si>
  <si>
    <t>https://tinyurl.com/ybxdqlep</t>
  </si>
  <si>
    <t>Armada ARW 106 UL Women's Skis 188cm 2022</t>
  </si>
  <si>
    <t>https://tinyurl.com/yaewrx9z</t>
  </si>
  <si>
    <t>https://tinyurl.com/ydcete7l</t>
  </si>
  <si>
    <t>Armada ARW 106 Ul+shift 10 MNC Alpine Skis Woman 188</t>
  </si>
  <si>
    <t>https://tinyurl.com/y8tz5u8c</t>
  </si>
  <si>
    <t>https://tinyurl.com/ya2xspgt</t>
  </si>
  <si>
    <t>https://tinyurl.com/ydxpcome</t>
  </si>
  <si>
    <t>https://tinyurl.com/yclp8uzs</t>
  </si>
  <si>
    <t>2022 Nordica Enforcer 110 Free snow skis 177</t>
  </si>
  <si>
    <t>https://tinyurl.com/yb2y69a7</t>
  </si>
  <si>
    <t>2022 Nordica Enforcer 110 Free Skis w/ Tyrolia Attack2 14 GW Bindings - 177| Ski Essentials</t>
  </si>
  <si>
    <t>https://tinyurl.com/ya45kxta</t>
  </si>
  <si>
    <t>https://tinyurl.com/y7ne8pt4</t>
  </si>
  <si>
    <t>Atomic Maverick 83 Skis + M10 GW Bindings 2022 - 157</t>
  </si>
  <si>
    <t>https://tinyurl.com/yc4pmvrl</t>
  </si>
  <si>
    <t>2022 Atomic Maverick 83 Aw Skis + Gw Bindings 157 Cm Sealed Red Gray</t>
  </si>
  <si>
    <t>https://tinyurl.com/ycf27cl9</t>
  </si>
  <si>
    <t>Atomic Maverick 83 Skis + M10 GW Bindings 157</t>
  </si>
  <si>
    <t>https://tinyurl.com/yd7qye5c</t>
  </si>
  <si>
    <t>Elan Wingman 82 CTI Skis 2022 172cm</t>
  </si>
  <si>
    <t>https://tinyurl.com/yc997tko</t>
  </si>
  <si>
    <t>Elan Wingman 82 CTi Skis 2023 w/bindings 172</t>
  </si>
  <si>
    <t>https://tinyurl.com/y8r84jjp</t>
  </si>
  <si>
    <t>Elan Wingman 82 Ti PS ELX 11.0 22</t>
  </si>
  <si>
    <t>https://tinyurl.com/yahrhthp</t>
  </si>
  <si>
    <t>https://tinyurl.com/y79rwesp</t>
  </si>
  <si>
    <t>Elan Element LS EL 10.0 Orange / 160cm</t>
  </si>
  <si>
    <t>https://tinyurl.com/ybuy5fjt</t>
  </si>
  <si>
    <t>https://tinyurl.com/y7xrtj9j</t>
  </si>
  <si>
    <t>https://tinyurl.com/ybq9chel</t>
  </si>
  <si>
    <t>https://tinyurl.com/y8qmzs44</t>
  </si>
  <si>
    <t>Elan Wingman 86 Ti Skis 2023 178</t>
  </si>
  <si>
    <t>https://tinyurl.com/yax434yo</t>
  </si>
  <si>
    <t>Salomon S/MAX 8 M11 GW Skis, 170cm Black 2021</t>
  </si>
  <si>
    <t>https://tinyurl.com/y9fg9t6q</t>
  </si>
  <si>
    <t>https://tinyurl.com/y72k8bbj</t>
  </si>
  <si>
    <t>https://tinyurl.com/y8gpduku</t>
  </si>
  <si>
    <t>Fischer Hannibal 96 Carbon</t>
  </si>
  <si>
    <t>https://tinyurl.com/y95aa5u9</t>
  </si>
  <si>
    <t>https://tinyurl.com/ybz6bnpg</t>
  </si>
  <si>
    <t>https://tinyurl.com/y8r5gyvm</t>
  </si>
  <si>
    <t>https://tinyurl.com/y9ezq7s8</t>
  </si>
  <si>
    <t>https://tinyurl.com/y73db39w</t>
  </si>
  <si>
    <t>https://tinyurl.com/y7fdeudz</t>
  </si>
  <si>
    <t>Head Power Joy Ski w/ Joy 12 GW PRD Binding 2021</t>
  </si>
  <si>
    <t>https://tinyurl.com/yb3lmzhz</t>
  </si>
  <si>
    <t>https://tinyurl.com/ybc7kjy8</t>
  </si>
  <si>
    <t>https://tinyurl.com/yal7cur3</t>
  </si>
  <si>
    <t>2020 K2 Mindbender 85 Rx 156cm W/ Marker 10.0 Binding</t>
  </si>
  <si>
    <t>https://tinyurl.com/yd4ca7xx</t>
  </si>
  <si>
    <t>K2 Mindbender 85 Alliance Skis - Women's 2022</t>
  </si>
  <si>
    <t>https://tinyurl.com/y79ta76a</t>
  </si>
  <si>
    <t>K2 Mindbender 85 Skis Men's 2022</t>
  </si>
  <si>
    <t>https://tinyurl.com/y8lyerv8</t>
  </si>
  <si>
    <t>Volkl Women's Rise Beyond 96 Skis</t>
  </si>
  <si>
    <t>https://tinyurl.com/y8gshynh</t>
  </si>
  <si>
    <t>Volkl Rise Beyond 96 W 170cm</t>
  </si>
  <si>
    <t>https://tinyurl.com/y8deb83l</t>
  </si>
  <si>
    <t>Volkl Rise Beyond 96 Ski 2023</t>
  </si>
  <si>
    <t>https://tinyurl.com/yddu2l5q</t>
  </si>
  <si>
    <t>Line Pandora 104 Women's Skis Â· 2022 Â· 158 cm</t>
  </si>
  <si>
    <t>https://tinyurl.com/y8tce8hm</t>
  </si>
  <si>
    <t>'22 Line Pandora 104 Skis 158cm</t>
  </si>
  <si>
    <t>https://tinyurl.com/yc7wbovp</t>
  </si>
  <si>
    <t>Line Skis Pandora 104 Skis , 158 mm + Salomon Warden MNC 11 Demo</t>
  </si>
  <si>
    <t>https://tinyurl.com/ybghw8m4</t>
  </si>
  <si>
    <t>Volkl Blaze 94 W Alpine Skis 2022 - - 172 cm</t>
  </si>
  <si>
    <t>https://tinyurl.com/y7kmlxnh</t>
  </si>
  <si>
    <t>Volkl Blaze 94 W 172cm</t>
  </si>
  <si>
    <t>https://tinyurl.com/y7w8jwok</t>
  </si>
  <si>
    <t>'22 Volkl Blaze 94 W Skis 172cm</t>
  </si>
  <si>
    <t>https://tinyurl.com/y9lzzof5</t>
  </si>
  <si>
    <t>Dynastar M-MENACE 90 Skis 2022</t>
  </si>
  <si>
    <t>https://tinyurl.com/y7b6kv9q</t>
  </si>
  <si>
    <t>Dynastar Menace 90 Skis Youth 2023</t>
  </si>
  <si>
    <t>https://tinyurl.com/yanls4ss</t>
  </si>
  <si>
    <t xml:space="preserve"> Dynastar 157 12R SL</t>
  </si>
  <si>
    <t>https://tinyurl.com/y7u23ck4</t>
  </si>
  <si>
    <t>Demo Armada Declivity 82 Ti Ski w/ Armada Z12 GW Binding 2022</t>
  </si>
  <si>
    <t>https://tinyurl.com/y7awzh8z</t>
  </si>
  <si>
    <t>Armada Declivity 82 Ti Skis</t>
  </si>
  <si>
    <t>https://tinyurl.com/y962gowl</t>
  </si>
  <si>
    <t>Armada Declivity 82 Ti Skis 2022 w/bindings 174</t>
  </si>
  <si>
    <t>https://tinyurl.com/ybnxvczf</t>
  </si>
  <si>
    <t>Volkl Women's Flair 75 Skis + vMotion 3 Bindings 161</t>
  </si>
  <si>
    <t>https://tinyurl.com/ybca93mb</t>
  </si>
  <si>
    <t>https://tinyurl.com/y77esx4z</t>
  </si>
  <si>
    <t>Volkl Women's Flair 75 Skis + Vmotion 10 GW Bindings 2022</t>
  </si>
  <si>
    <t>https://tinyurl.com/y7pfxo9u</t>
  </si>
  <si>
    <t>https://tinyurl.com/y75vbxss</t>
  </si>
  <si>
    <t>Volkl Women's Flair 75 Skis + vMotion 3 Bindings 154</t>
  </si>
  <si>
    <t>https://tinyurl.com/ydagqxev</t>
  </si>
  <si>
    <t>Skis Volkl Flair 75 W/ Vmotion 10 Gw Bindings B105/75/126 R12.2m 154cm</t>
  </si>
  <si>
    <t>https://tinyurl.com/y7vm52cv</t>
  </si>
  <si>
    <t>Volkl 2020 V-Werks BMT 109 Skis w/Marker Kingpin 13 Bindings (186)</t>
  </si>
  <si>
    <t>https://tinyurl.com/ydbjrxqe</t>
  </si>
  <si>
    <t>https://tinyurl.com/yafe652q</t>
  </si>
  <si>
    <t>https://tinyurl.com/ybq55up8</t>
  </si>
  <si>
    <t>Line Pandora 110 Women's Ski 2022, 170</t>
  </si>
  <si>
    <t>https://tinyurl.com/y9g95bee</t>
  </si>
  <si>
    <t>Line 2021 Pandora 110 Skis W Marker Griffon Bindings</t>
  </si>
  <si>
    <t>https://tinyurl.com/y8hb6vra</t>
  </si>
  <si>
    <t>'22 Line Pandora 110 Skis 170cm</t>
  </si>
  <si>
    <t>https://tinyurl.com/ybollvgz</t>
  </si>
  <si>
    <t>Rossignol Women's All Mountain Skis Experience W 76 (xpress)</t>
  </si>
  <si>
    <t>https://tinyurl.com/ydfm73hy</t>
  </si>
  <si>
    <t>Rossignol Experience 76 Women's Skis w Rossignol Xpress 11 Demo Binding Bindings  Demo</t>
  </si>
  <si>
    <t>https://tinyurl.com/y74ffupe</t>
  </si>
  <si>
    <t>https://tinyurl.com/yapgl4s6</t>
  </si>
  <si>
    <t>Atomic Maven 86 Skis</t>
  </si>
  <si>
    <t>https://tinyurl.com/yctywmzs</t>
  </si>
  <si>
    <t>Atomic Maven 86 Skis 2022 - - 147 cm</t>
  </si>
  <si>
    <t>https://tinyurl.com/y7rt8lku</t>
  </si>
  <si>
    <t>Atomic Maven 86 Berry / 147cm</t>
  </si>
  <si>
    <t>https://tinyurl.com/y9datom3</t>
  </si>
  <si>
    <t>Head 2020 V-Shape V10 Skis w/PRD 12 GW Bindings</t>
  </si>
  <si>
    <t>https://tinyurl.com/ya3ymrlq</t>
  </si>
  <si>
    <t>Head V-Shape V10 + PR 11 GW 21/22</t>
  </si>
  <si>
    <t>https://tinyurl.com/y7qjr3df</t>
  </si>
  <si>
    <t>Head V-Shape V6 Unisex Skiing Ski Black / Red 163 cm</t>
  </si>
  <si>
    <t>https://tinyurl.com/ybc95l2z</t>
  </si>
  <si>
    <t>https://tinyurl.com/ycpfgqmq</t>
  </si>
  <si>
    <t>Liberty 22 Evolv 100 Demo 186 cm Downhill Ski / Mens Combo</t>
  </si>
  <si>
    <t>https://tinyurl.com/y79zfpu6</t>
  </si>
  <si>
    <t>Liberty 2022 Evolv 100 Skis - 186 cm</t>
  </si>
  <si>
    <t>https://tinyurl.com/ycqovbu8</t>
  </si>
  <si>
    <t>Stockli Nela 96 Women's All Mountain Wide Skis 20/21 164 cm</t>
  </si>
  <si>
    <t>https://tinyurl.com/yd2hvqf6</t>
  </si>
  <si>
    <t>Stockli Nela 96 Womens Skis 2023 164</t>
  </si>
  <si>
    <t>https://tinyurl.com/yahh5yn5</t>
  </si>
  <si>
    <t>Stockli Laser MX Women's Skis W Salomon MC 11 Bindings 164cm 2021</t>
  </si>
  <si>
    <t>https://tinyurl.com/ycgmgc4s</t>
  </si>
  <si>
    <t>https://tinyurl.com/yavollr8</t>
  </si>
  <si>
    <t>2022 Dynastar M-Free 108 Ski w/ Marker Griffon 13 Bindings - 182| Ski Essentials</t>
  </si>
  <si>
    <t>https://tinyurl.com/ycutww8v</t>
  </si>
  <si>
    <t>Dynastar M Free 108 Skis</t>
  </si>
  <si>
    <t>https://tinyurl.com/yaoqlgwd</t>
  </si>
  <si>
    <t>https://tinyurl.com/yd4b6od7</t>
  </si>
  <si>
    <t>Liberty Skis Women ' S Genesis 90 Ski</t>
  </si>
  <si>
    <t>https://tinyurl.com/ydab8lfx</t>
  </si>
  <si>
    <t>https://tinyurl.com/yc3yemce</t>
  </si>
  <si>
    <t>Armada Declivity 92 Ti</t>
  </si>
  <si>
    <t>https://tinyurl.com/y93lne35</t>
  </si>
  <si>
    <t>https://tinyurl.com/ybshsqyv</t>
  </si>
  <si>
    <t>https://tinyurl.com/ybj3l2d9</t>
  </si>
  <si>
    <t>Rossignol Experience W 82 Basalt W XP11 151cm</t>
  </si>
  <si>
    <t>https://tinyurl.com/yawxgekz</t>
  </si>
  <si>
    <t>Rossignol Experience W 82 Basalt Skis w/ XPRess W 11 GW Bindings</t>
  </si>
  <si>
    <t>https://tinyurl.com/y98e34mz</t>
  </si>
  <si>
    <t>https://tinyurl.com/yabx9ouq</t>
  </si>
  <si>
    <t>Faction Dictator 1.0x Skis</t>
  </si>
  <si>
    <t>https://tinyurl.com/ybmytm5k</t>
  </si>
  <si>
    <t>Salomon N MTN Explore 88 W 169cm</t>
  </si>
  <si>
    <t>https://tinyurl.com/y9fcwfde</t>
  </si>
  <si>
    <t>2021 Salomon Mtn Explore 88 Womens Skis</t>
  </si>
  <si>
    <t>https://tinyurl.com/ya8w372g</t>
  </si>
  <si>
    <t>Salomon MTN Explore 88 Skis</t>
  </si>
  <si>
    <t>https://tinyurl.com/y8pf3vcg</t>
  </si>
  <si>
    <t>Rossignol NOVA 6 F/XP W 11 GW 163cm</t>
  </si>
  <si>
    <t>https://tinyurl.com/ycvvuhxl</t>
  </si>
  <si>
    <t>Women's Rossignol Nova 6 Skis + Xpress 11 GW Bindings 2021 - 163</t>
  </si>
  <si>
    <t>https://tinyurl.com/y8x6ph8e</t>
  </si>
  <si>
    <t>https://tinyurl.com/yash3mr3</t>
  </si>
  <si>
    <t>https://tinyurl.com/y8xof2sy</t>
  </si>
  <si>
    <t>https://tinyurl.com/yd9q4gdt</t>
  </si>
  <si>
    <t>https://tinyurl.com/yc3bk7g9</t>
  </si>
  <si>
    <t>Volkl 2022 Mantra 102 Skis</t>
  </si>
  <si>
    <t>https://tinyurl.com/yanl68nj</t>
  </si>
  <si>
    <t>https://tinyurl.com/y89yzaze</t>
  </si>
  <si>
    <t>https://tinyurl.com/ycpcdmk6</t>
  </si>
  <si>
    <t>https://tinyurl.com/y8leuqsf</t>
  </si>
  <si>
    <t>https://tinyurl.com/yavavd69</t>
  </si>
  <si>
    <t>Head 2021 V Shape V8 Skis W/Pr 11 GW Bindings</t>
  </si>
  <si>
    <t>https://tinyurl.com/yczuaojt</t>
  </si>
  <si>
    <t>Elan Ripstick 94 W Women's Skis</t>
  </si>
  <si>
    <t>https://tinyurl.com/y9dvmeba</t>
  </si>
  <si>
    <t>https://tinyurl.com/y89ltdq4</t>
  </si>
  <si>
    <t>https://tinyurl.com/yayho8vj</t>
  </si>
  <si>
    <t>https://tinyurl.com/ycnaavss</t>
  </si>
  <si>
    <t>Faction Women's Dictator 1.0X Ski 2022 - 154</t>
  </si>
  <si>
    <t>https://tinyurl.com/ybnaxf2h</t>
  </si>
  <si>
    <t>Faction Prodigy 2.0x 154cm (BRAND New, Still in Wrap)</t>
  </si>
  <si>
    <t>https://tinyurl.com/yaw9pqsc</t>
  </si>
  <si>
    <t>Dynastar M-FREE 118 180cm</t>
  </si>
  <si>
    <t>https://tinyurl.com/y9m7xa9l</t>
  </si>
  <si>
    <t>Dynastar M-Free 118 Skis - 2022 180cm</t>
  </si>
  <si>
    <t>https://tinyurl.com/y9buftgx</t>
  </si>
  <si>
    <t>Dynastar M Free 118 Skis 180cm 2022</t>
  </si>
  <si>
    <t>https://tinyurl.com/y9se4lcm</t>
  </si>
  <si>
    <t>Elan Delight Magic 19/20 Black 158 Ski Lady's Ladies / Women</t>
  </si>
  <si>
    <t>https://tinyurl.com/ydfz7qzd</t>
  </si>
  <si>
    <t>Elan Black Magic '22 Model 158 Cm All Mountain Skis With El 9 Bindings</t>
  </si>
  <si>
    <t>eBay - skitrucks</t>
  </si>
  <si>
    <t>https://tinyurl.com/y8aqxtod</t>
  </si>
  <si>
    <t>Elan Women's Snow LS Skis w/EL 7.5 GW AC Shift BLK/SIL Bindings 2022 White 158</t>
  </si>
  <si>
    <t>Scheels</t>
  </si>
  <si>
    <t>https://tinyurl.com/y962oynd</t>
  </si>
  <si>
    <t>https://tinyurl.com/y9jym9g2</t>
  </si>
  <si>
    <t>Faction Prodigy 0.0 Ski - 2022</t>
  </si>
  <si>
    <t>https://tinyurl.com/ya8bahd9</t>
  </si>
  <si>
    <t>https://tinyurl.com/y7dxwbrk</t>
  </si>
  <si>
    <t>https://tinyurl.com/yc9x5r3m</t>
  </si>
  <si>
    <t>https://tinyurl.com/y73jol5v</t>
  </si>
  <si>
    <t>https://tinyurl.com/yclx9l78</t>
  </si>
  <si>
    <t>2022 Dynastar Speed 4x4 763 Skis with SPX 12 GW Bindings - 166| Ski Essentials</t>
  </si>
  <si>
    <t>https://tinyurl.com/y7fqutap</t>
  </si>
  <si>
    <t>https://tinyurl.com/y7am5mdv</t>
  </si>
  <si>
    <t>2019 Dynastar Speed Zone 12 Ti snow skis (CLEARANCE) 166</t>
  </si>
  <si>
    <t>https://tinyurl.com/yad95pqm</t>
  </si>
  <si>
    <t>https://tinyurl.com/y7eajcjt</t>
  </si>
  <si>
    <t>https://tinyurl.com/yagg95ca</t>
  </si>
  <si>
    <t>https://tinyurl.com/yaqpqj5v</t>
  </si>
  <si>
    <t>Volkl M5 Mantra</t>
  </si>
  <si>
    <t>https://tinyurl.com/y9cv84ew</t>
  </si>
  <si>
    <t>https://tinyurl.com/yakxwmga</t>
  </si>
  <si>
    <t>https://tinyurl.com/ycp6ctwq</t>
  </si>
  <si>
    <t>Blizzard Brahma 82 SP Skis w Marker TCX 11 GW Demo Bindings  Demo</t>
  </si>
  <si>
    <t>https://tinyurl.com/y9v3nuth</t>
  </si>
  <si>
    <t>Blizzard Brahma 82 Skis</t>
  </si>
  <si>
    <t>https://tinyurl.com/y7kcdldo</t>
  </si>
  <si>
    <t>https://tinyurl.com/ya2rb9ns</t>
  </si>
  <si>
    <t>Single Skis, Allplay - Rat Rod 178cm - Right Single Ski</t>
  </si>
  <si>
    <t>https://tinyurl.com/y73b2auf</t>
  </si>
  <si>
    <t>https://tinyurl.com/ycb3a68s</t>
  </si>
  <si>
    <t>Rossignol Sprayer Skis w/ Xpress 10 GW Bindings</t>
  </si>
  <si>
    <t>https://tinyurl.com/yajvb4s7</t>
  </si>
  <si>
    <t>VÃ¶lkl Skiing Volkl Racetiger Sc 118041 Attacchivmotion Marker (170)</t>
  </si>
  <si>
    <t>eBay - vendiamoperte_italia</t>
  </si>
  <si>
    <t>https://tinyurl.com/y9z7e7ov</t>
  </si>
  <si>
    <t>Volkl Racetiger SC UVO Skis w Marker vMotion 12 GW Demo Bindings  Demo</t>
  </si>
  <si>
    <t>https://tinyurl.com/ybz828bk</t>
  </si>
  <si>
    <t xml:space="preserve"> Racing Racetiger GS Without Bindings Skis</t>
  </si>
  <si>
    <t>https://tinyurl.com/ybpvnznb</t>
  </si>
  <si>
    <t>Atomic Backland W 107 Anthra/Ber / 159cm</t>
  </si>
  <si>
    <t>https://tinyurl.com/yb9bh39z</t>
  </si>
  <si>
    <t>Atomic W Backland 107 Alpine Touring Ski (2022) 159</t>
  </si>
  <si>
    <t>https://tinyurl.com/ydz55ze5</t>
  </si>
  <si>
    <t>'22 Atomic Backland 107 W Skis 159cm</t>
  </si>
  <si>
    <t>https://tinyurl.com/yaf462gp</t>
  </si>
  <si>
    <t>https://tinyurl.com/y7zaaumd</t>
  </si>
  <si>
    <t>Head WC Rebels E-SL SW Race Ski 2021</t>
  </si>
  <si>
    <t>https://tinyurl.com/yazpea4t</t>
  </si>
  <si>
    <t>https://tinyurl.com/y9wtvsrz</t>
  </si>
  <si>
    <t>Black Crows Orb Freebird Skis 167cm 2022</t>
  </si>
  <si>
    <t>https://tinyurl.com/y7vbyh74</t>
  </si>
  <si>
    <t>Black Crows Orb Freebird 21/22</t>
  </si>
  <si>
    <t>https://tinyurl.com/yd5m4hgy</t>
  </si>
  <si>
    <t>https://tinyurl.com/y78d6x66</t>
  </si>
  <si>
    <t>https://tinyurl.com/y99n8jxa</t>
  </si>
  <si>
    <t>https://tinyurl.com/yatsg2be</t>
  </si>
  <si>
    <t>https://tinyurl.com/y7sz2wnw</t>
  </si>
  <si>
    <t>'22 Line Pandora 94 Skis 165cm</t>
  </si>
  <si>
    <t>https://tinyurl.com/ycgu5s5e</t>
  </si>
  <si>
    <t>Line Pandora 94 Skis - Women's 2022</t>
  </si>
  <si>
    <t>https://tinyurl.com/y9vy2d8e</t>
  </si>
  <si>
    <t>https://tinyurl.com/y9nae2tn</t>
  </si>
  <si>
    <t>Armada Bdog Edgeless 94mm 164 2022 Skis Men, Freestyle Ski, Freeski</t>
  </si>
  <si>
    <t>https://tinyurl.com/y9q3ckcs</t>
  </si>
  <si>
    <t>https://tinyurl.com/yauragxh</t>
  </si>
  <si>
    <t>https://tinyurl.com/ycortjzd</t>
  </si>
  <si>
    <t>Line Pandora 84 Skis - Women's 2022</t>
  </si>
  <si>
    <t>https://tinyurl.com/y7lgwnqh</t>
  </si>
  <si>
    <t>https://tinyurl.com/y8xh3hu3</t>
  </si>
  <si>
    <t>'22 Line Pandora 84 Skis 158cm</t>
  </si>
  <si>
    <t>https://tinyurl.com/y9z3euqa</t>
  </si>
  <si>
    <t>https://tinyurl.com/y8nxr6sz</t>
  </si>
  <si>
    <t>https://tinyurl.com/ybetwzrb</t>
  </si>
  <si>
    <t>https://tinyurl.com/ydxbklsh</t>
  </si>
  <si>
    <t>Head Kore 80 X LYT-PR + PRW 11 GW 156cm</t>
  </si>
  <si>
    <t>https://tinyurl.com/yaaxokug</t>
  </si>
  <si>
    <t>Head Kore 80 x LYT w/ PR 11 GW 2021/2022</t>
  </si>
  <si>
    <t>https://tinyurl.com/y7zzo4y6</t>
  </si>
  <si>
    <t>https://tinyurl.com/yc66ywrq</t>
  </si>
  <si>
    <t>2022 Black Crows Corvus Freebird Skis w/ Marker Kingpin 13 Bindings - 188| Ski Essentials</t>
  </si>
  <si>
    <t>https://tinyurl.com/y94o8xr6</t>
  </si>
  <si>
    <t>Black Crows Corvus Freebird Skis (2022) 188</t>
  </si>
  <si>
    <t>https://tinyurl.com/ybvawq2u</t>
  </si>
  <si>
    <t>Black Crows Corvus Freebird Skis 188cm 2021</t>
  </si>
  <si>
    <t>https://tinyurl.com/ycab3k6g</t>
  </si>
  <si>
    <t>2023 Elan Ripstick Tour 88 Skis w/ ATK C-Raider 12 Bindings - 170| Ski Essentials</t>
  </si>
  <si>
    <t>https://tinyurl.com/y6wpu7bv</t>
  </si>
  <si>
    <t>2021 Elan All Mountain Ripstick 88 Skis with Bindings Max DIN 11</t>
  </si>
  <si>
    <t>https://tinyurl.com/y8so558x</t>
  </si>
  <si>
    <t>https://tinyurl.com/y8vv8hql</t>
  </si>
  <si>
    <t>https://tinyurl.com/yb7lc9e4</t>
  </si>
  <si>
    <t>https://tinyurl.com/y6v5shj4</t>
  </si>
  <si>
    <t>https://tinyurl.com/y8d6arxe</t>
  </si>
  <si>
    <t>Volkl Kanjo 84 Skis - Men's 2022</t>
  </si>
  <si>
    <t>https://tinyurl.com/y775vd5a</t>
  </si>
  <si>
    <t>KANJO 84 FLAT '22</t>
  </si>
  <si>
    <t>https://tinyurl.com/yaxpn5ey</t>
  </si>
  <si>
    <t xml:space="preserve"> Volkl Kanjo 161 Cm Downhill Ski / Mens Combo</t>
  </si>
  <si>
    <t>https://tinyurl.com/ycacsvvz</t>
  </si>
  <si>
    <t>Atomic Redster S9 + x 14 GW Ski,Unisex Adult, Unisex_Adult</t>
  </si>
  <si>
    <t>https://tinyurl.com/y7gzdpyu</t>
  </si>
  <si>
    <t>Redster S9 Fis 2022 165cm</t>
  </si>
  <si>
    <t>https://tinyurl.com/ya99sr5m</t>
  </si>
  <si>
    <t>https://tinyurl.com/yb4ytdz2</t>
  </si>
  <si>
    <t>https://tinyurl.com/ya2p4bh9</t>
  </si>
  <si>
    <t>https://tinyurl.com/y7mt2qm2</t>
  </si>
  <si>
    <t>Nordica Enforcer 94 / Santa Ana 93 Ski Skins - 2022 172 cm</t>
  </si>
  <si>
    <t>https://tinyurl.com/y7f63cfk</t>
  </si>
  <si>
    <t>Nordica Enforcer 94 Skis</t>
  </si>
  <si>
    <t>https://tinyurl.com/ycva6r9f</t>
  </si>
  <si>
    <t>https://tinyurl.com/y7mmm8q3</t>
  </si>
  <si>
    <t>Rossignol Men's Blackops Escaper Flat Ski 2020-2021 | BLACK / 186</t>
  </si>
  <si>
    <t>https://tinyurl.com/y9pjqhdy</t>
  </si>
  <si>
    <t>Rossignol Blackops Escaper Open 186cm</t>
  </si>
  <si>
    <t>https://tinyurl.com/ycrpga5f</t>
  </si>
  <si>
    <t>https://tinyurl.com/y8exhyzk</t>
  </si>
  <si>
    <t>K2 Disruption 78C Skis + M3 10 Bindings - Men's - 2022 177 cm</t>
  </si>
  <si>
    <t>Park2Peak</t>
  </si>
  <si>
    <t>https://tinyurl.com/yb8ksj8g</t>
  </si>
  <si>
    <t>K2 Disruption 78C Skis with M3 10 Bindings 2022 177cm</t>
  </si>
  <si>
    <t>https://tinyurl.com/y7uxv2rd</t>
  </si>
  <si>
    <t>eBay - seatoski</t>
  </si>
  <si>
    <t>https://tinyurl.com/y7dobovw</t>
  </si>
  <si>
    <t>Blizzard Black Pearl 88</t>
  </si>
  <si>
    <t>https://tinyurl.com/yce66w53</t>
  </si>
  <si>
    <t>https://tinyurl.com/y7pnjd6h</t>
  </si>
  <si>
    <t>2022 Blizzard Black Pearl 88 ladies skis (SKI ONLY or with BINDINGS) 147</t>
  </si>
  <si>
    <t>https://tinyurl.com/ycnkemqp</t>
  </si>
  <si>
    <t>Atomic Maverick 100 Ti Bk/Darkgreen / 180cm</t>
  </si>
  <si>
    <t>https://tinyurl.com/y8x3kzwt</t>
  </si>
  <si>
    <t>https://tinyurl.com/y7sghumm</t>
  </si>
  <si>
    <t>https://tinyurl.com/ya4vdlvx</t>
  </si>
  <si>
    <t>https://tinyurl.com/y8ppm8ou</t>
  </si>
  <si>
    <t>Volkl Ladies' Yumi 80 Flat Ski 2020-2021 | BLACK / 168</t>
  </si>
  <si>
    <t>https://tinyurl.com/y9jbqxdw</t>
  </si>
  <si>
    <t>https://tinyurl.com/y8uueflo</t>
  </si>
  <si>
    <t>Volkl Mantra V.Werks Ski 2022, 186</t>
  </si>
  <si>
    <t>https://tinyurl.com/ya4jy5kj</t>
  </si>
  <si>
    <t>Volkl Mantra V-Werks Flat Ski 2021-2022 | BLACK/RED / 186</t>
  </si>
  <si>
    <t>https://tinyurl.com/ybbxzez6</t>
  </si>
  <si>
    <t>Nordica Women's Wild Belle 78 CA System Ski 2022 162</t>
  </si>
  <si>
    <t>https://tinyurl.com/y8ona4zn</t>
  </si>
  <si>
    <t>https://tinyurl.com/ya5x6xn2</t>
  </si>
  <si>
    <t>https://tinyurl.com/y9nxy823</t>
  </si>
  <si>
    <t>https://tinyurl.com/yc24aq9f</t>
  </si>
  <si>
    <t>https://tinyurl.com/y7cqdh5u</t>
  </si>
  <si>
    <t>https://tinyurl.com/y88vdc9t</t>
  </si>
  <si>
    <t>https://tinyurl.com/ydgwyex2</t>
  </si>
  <si>
    <t>Volkl 22 Blaze 94 W 158Cm  Demo Skis W/ Bindings</t>
  </si>
  <si>
    <t>https://tinyurl.com/ydftm9qs</t>
  </si>
  <si>
    <t>Volkl Blaze 94 W 158cm</t>
  </si>
  <si>
    <t>https://tinyurl.com/y8o6vb9l</t>
  </si>
  <si>
    <t>Atomic Bent Chetler 120 Multicolor / 192cm</t>
  </si>
  <si>
    <t>https://tinyurl.com/y7elsdah</t>
  </si>
  <si>
    <t>Atomic Bent Chetler 120 Skis 2023</t>
  </si>
  <si>
    <t>https://tinyurl.com/y7fv9vhw</t>
  </si>
  <si>
    <t>https://tinyurl.com/y732te9e</t>
  </si>
  <si>
    <t>Atomic Backland W 98 Dark Blue/Bl / 164cm</t>
  </si>
  <si>
    <t>https://tinyurl.com/y7sx64dk</t>
  </si>
  <si>
    <t>Atomic W Backland 98 Alpine Touring Ski (2022) 164</t>
  </si>
  <si>
    <t>https://tinyurl.com/y8h9rcar</t>
  </si>
  <si>
    <t>Skiing Ladies Ski Mountaineering Atomic Backland 98 W 21/22</t>
  </si>
  <si>
    <t>https://tinyurl.com/ybqaspax</t>
  </si>
  <si>
    <t>https://tinyurl.com/yaccpkyu</t>
  </si>
  <si>
    <t>https://tinyurl.com/y8q2rqsp</t>
  </si>
  <si>
    <t>https://tinyurl.com/y9whc2qc</t>
  </si>
  <si>
    <t>Rossignol NOVA 6 F/XP W 11 GW 156cm</t>
  </si>
  <si>
    <t>https://tinyurl.com/y6ux5wjz</t>
  </si>
  <si>
    <t>Women's Rossignol Nova 6 Skis + Xpress 11 GW Bindings 2021 - 156</t>
  </si>
  <si>
    <t>https://tinyurl.com/y9mlwh27</t>
  </si>
  <si>
    <t>https://tinyurl.com/ydy8uxga</t>
  </si>
  <si>
    <t>Fischer Nightstick Team Jr. 161cm</t>
  </si>
  <si>
    <t>https://tinyurl.com/yamwxwht</t>
  </si>
  <si>
    <t>Fischer RC ONE 86 GT Flat Skis 2021</t>
  </si>
  <si>
    <t>https://tinyurl.com/yb5dak8b</t>
  </si>
  <si>
    <t>Fischer GT 86 Skis with Integrated Fischer Binding 161cm (2100702)</t>
  </si>
  <si>
    <t>https://tinyurl.com/ycswnu6b</t>
  </si>
  <si>
    <t>https://tinyurl.com/ycvf2a44</t>
  </si>
  <si>
    <t>Dynastar Menace 90 Xpress Ski w/ Look XP 11 GW Ski Bindings - 2022 150cm w/Look XP 10 GW 93mm Bindings</t>
  </si>
  <si>
    <t>https://tinyurl.com/y8aroeah</t>
  </si>
  <si>
    <t>M Menace 90 150</t>
  </si>
  <si>
    <t>https://tinyurl.com/ybz56dwp</t>
  </si>
  <si>
    <t xml:space="preserve"> 2021 Salomon Stance 96 Demo Ski with Bindings Size 182 (Option 210067)</t>
  </si>
  <si>
    <t>https://tinyurl.com/yarcy6qs</t>
  </si>
  <si>
    <t>Salomon N Stance 96 182cm</t>
  </si>
  <si>
    <t>https://tinyurl.com/y9v7ybmt</t>
  </si>
  <si>
    <t>https://tinyurl.com/ya22cxc8</t>
  </si>
  <si>
    <t>'21 Liberty Genesis 90 151cm (Tail Blem)</t>
  </si>
  <si>
    <t>https://tinyurl.com/yd7rhmxo</t>
  </si>
  <si>
    <t>Liberty Genesis 90 Women's Skis - 2022 - 151cm</t>
  </si>
  <si>
    <t>https://tinyurl.com/y8ugo7xp</t>
  </si>
  <si>
    <t>2022 Liberty Genesis 101 Women's Skis w/ Tyrolia Attack2 13 GW Bindings - 151| Ski Essentials</t>
  </si>
  <si>
    <t>https://tinyurl.com/y7ts6e3n</t>
  </si>
  <si>
    <t>Elan Men's Element Skis with El 10.0 Gripwalk Shift Bindings '22</t>
  </si>
  <si>
    <t>https://tinyurl.com/yaoocojt</t>
  </si>
  <si>
    <t>ELAN Men's ELEMENT BLACK SKI + ELW 10.0 Binding 152</t>
  </si>
  <si>
    <t>https://tinyurl.com/y7at6998</t>
  </si>
  <si>
    <t>Elan Element Black Blue Light Shift Ski with Bindings 152</t>
  </si>
  <si>
    <t>https://tinyurl.com/y8pjye56</t>
  </si>
  <si>
    <t>https://tinyurl.com/y7dmfosy</t>
  </si>
  <si>
    <t>https://tinyurl.com/ya24fa6v</t>
  </si>
  <si>
    <t>Head Total Joy Skis w/ Joy 11 GW SLR Bindings</t>
  </si>
  <si>
    <t>https://tinyurl.com/yakzpteq</t>
  </si>
  <si>
    <t>Head Kore 117 Skis Â· 2022 Â· 177 cm</t>
  </si>
  <si>
    <t>https://tinyurl.com/y7fk4j67</t>
  </si>
  <si>
    <t>https://tinyurl.com/yag27vln</t>
  </si>
  <si>
    <t>https://tinyurl.com/yc9lm743</t>
  </si>
  <si>
    <t>https://tinyurl.com/yb2a2t9f</t>
  </si>
  <si>
    <t>W Bash 86 2022 148cm</t>
  </si>
  <si>
    <t>https://tinyurl.com/y93ztdu8</t>
  </si>
  <si>
    <t>https://tinyurl.com/y8meybe8</t>
  </si>
  <si>
    <t>Armada Tantrum Skis Â· 2022 Â· 147 cm</t>
  </si>
  <si>
    <t>https://tinyurl.com/yaqjnwck</t>
  </si>
  <si>
    <t>https://tinyurl.com/y9y9o94m</t>
  </si>
  <si>
    <t>https://tinyurl.com/ybnkxhlz</t>
  </si>
  <si>
    <t>Blizzard Sheeva 9 (Flat) Skis - Women's 2021 148cm / Teal</t>
  </si>
  <si>
    <t>https://tinyurl.com/yatcmgsp</t>
  </si>
  <si>
    <t>https://tinyurl.com/y9uxj965</t>
  </si>
  <si>
    <t>https://tinyurl.com/y78zjnr8</t>
  </si>
  <si>
    <t>Blizzard Black Pearl 82 145cm with Marker Squire Bindings</t>
  </si>
  <si>
    <t>https://tinyurl.com/y6v5hjgg</t>
  </si>
  <si>
    <t>https://tinyurl.com/ycgsh4p8</t>
  </si>
  <si>
    <t>https://tinyurl.com/y8oaqwtd</t>
  </si>
  <si>
    <t>https://tinyurl.com/y7d5mc4f</t>
  </si>
  <si>
    <t>https://tinyurl.com/yctvx32y</t>
  </si>
  <si>
    <t>https://tinyurl.com/ycplhja6</t>
  </si>
  <si>
    <t>https://tinyurl.com/yajj29tm</t>
  </si>
  <si>
    <t>https://tinyurl.com/ychbebjq</t>
  </si>
  <si>
    <t>https://tinyurl.com/y8ha5adf</t>
  </si>
  <si>
    <t>Dynafit - Blacklight 88 - 165 Black/Blue</t>
  </si>
  <si>
    <t>https://tinyurl.com/y8s7uxar</t>
  </si>
  <si>
    <t>https://tinyurl.com/y9wvrsvg</t>
  </si>
  <si>
    <t>Dynafit Blacklight 88 Touring Ski 165</t>
  </si>
  <si>
    <t>https://tinyurl.com/y9gm8z32</t>
  </si>
  <si>
    <t>https://tinyurl.com/y93s5q52</t>
  </si>
  <si>
    <t>Volkl Blaze 86 Women's Flat Ski Winter 2021/2022 159</t>
  </si>
  <si>
    <t>https://tinyurl.com/yasv32bp</t>
  </si>
  <si>
    <t>https://tinyurl.com/y8wws4fn</t>
  </si>
  <si>
    <t>Ski Mountaineering Speed Touring Women's Atomic Backland Wmn 86 Sl</t>
  </si>
  <si>
    <t>https://tinyurl.com/y9dcv7as</t>
  </si>
  <si>
    <t>2022 Atomic Backland 85 W Skis w/ Salomon Shift 10 MNC Bindings &amp; Hybrid Skin 85 - 158| Ski Essentials</t>
  </si>
  <si>
    <t>https://tinyurl.com/y9a5rrp7</t>
  </si>
  <si>
    <t>Atomic Backland 85 Women Ski 2022</t>
  </si>
  <si>
    <t>https://tinyurl.com/yc7drrm2</t>
  </si>
  <si>
    <t>'22 K2 Mindbender 99 Ti Skis 184cm</t>
  </si>
  <si>
    <t>https://tinyurl.com/y8wyxnqk</t>
  </si>
  <si>
    <t>K2 Mindbender 90 Ti Skis 2020 184</t>
  </si>
  <si>
    <t>https://tinyurl.com/y9dhc3ox</t>
  </si>
  <si>
    <t>K2 Mindbender 99Ti 2022, 184</t>
  </si>
  <si>
    <t>https://tinyurl.com/ycsqexm8</t>
  </si>
  <si>
    <t>Volkl Flair 79 IPT +Ipt WR XL 11 TCX GW L Skis 2021</t>
  </si>
  <si>
    <t>https://tinyurl.com/yba3ranq</t>
  </si>
  <si>
    <t>Volkl Gamma Ext 724 156cm 105-71-93 R=16.4m Skis W/marker Motion Lt</t>
  </si>
  <si>
    <t>eBay - johnbuckley</t>
  </si>
  <si>
    <t>https://tinyurl.com/y9lbz4js</t>
  </si>
  <si>
    <t>Volkl Racetiger World Cup GS 156 cm Ski + Marker 10 Bindings Winter Sport Snow</t>
  </si>
  <si>
    <t>https://tinyurl.com/y7htoada</t>
  </si>
  <si>
    <t>https://tinyurl.com/ybzc56m4</t>
  </si>
  <si>
    <t>https://tinyurl.com/y72koowy</t>
  </si>
  <si>
    <t>https://tinyurl.com/y9x2gm3q</t>
  </si>
  <si>
    <t>2022 Volkl Blaze 94 W Women's Flat Ski NA / 151</t>
  </si>
  <si>
    <t>https://tinyurl.com/y9cnrpb3</t>
  </si>
  <si>
    <t>Volkl Blaze 94 Skis - Women's 2022</t>
  </si>
  <si>
    <t>https://tinyurl.com/ycv63svv</t>
  </si>
  <si>
    <t>https://tinyurl.com/yc8y5utp</t>
  </si>
  <si>
    <t>Dynastar M-Menace 90 Open Skis Â· 140 cm</t>
  </si>
  <si>
    <t>https://tinyurl.com/y9dfjovv</t>
  </si>
  <si>
    <t>https://tinyurl.com/y7ndtxkz</t>
  </si>
  <si>
    <t>Dynastar M-Menace 90 Skis</t>
  </si>
  <si>
    <t>https://tinyurl.com/y7gxrrr6</t>
  </si>
  <si>
    <t>https://tinyurl.com/ya8wcaw6</t>
  </si>
  <si>
    <t>https://tinyurl.com/y82vmdao</t>
  </si>
  <si>
    <t>https://tinyurl.com/y8mjzne6</t>
  </si>
  <si>
    <t>Atomic Maverick 95 Ti Skis</t>
  </si>
  <si>
    <t>https://tinyurl.com/y7x9jvnl</t>
  </si>
  <si>
    <t>https://tinyurl.com/y72sg25z</t>
  </si>
  <si>
    <t>https://tinyurl.com/yca6j2ef</t>
  </si>
  <si>
    <t>DPS Pagoda 112 RP Light Green Skis 184cm 2022</t>
  </si>
  <si>
    <t>https://tinyurl.com/ycnx77uv</t>
  </si>
  <si>
    <t>DPS Pagoda 112 RP Ski 184 / Yellow</t>
  </si>
  <si>
    <t>https://tinyurl.com/y8anspnp</t>
  </si>
  <si>
    <t>https://tinyurl.com/y9aayeek</t>
  </si>
  <si>
    <t>https://tinyurl.com/ya4rwjpp</t>
  </si>
  <si>
    <t>https://tinyurl.com/y8yd5pj7</t>
  </si>
  <si>
    <t>https://tinyurl.com/ybae75zd</t>
  </si>
  <si>
    <t>Nordica Enforcer 88 / Santa Ana 93 Ski Skins - 2022 179 cm</t>
  </si>
  <si>
    <t>https://tinyurl.com/yd4lsn4h</t>
  </si>
  <si>
    <t>Nordica Enforcer 88 Skis Â· 2022 Â· 179 cm</t>
  </si>
  <si>
    <t>https://tinyurl.com/y7ntzuob</t>
  </si>
  <si>
    <t>https://tinyurl.com/y9j6jjgm</t>
  </si>
  <si>
    <t>Icelantic Riveter 85 Skis - Women's 2022 155cm</t>
  </si>
  <si>
    <t>https://tinyurl.com/y8qex67h</t>
  </si>
  <si>
    <t>Icelantic Riveter 85 Skis Women's Â· 2022 Â· 155 cm</t>
  </si>
  <si>
    <t>https://tinyurl.com/ybfa4jlu</t>
  </si>
  <si>
    <t>https://tinyurl.com/ybqevnkh</t>
  </si>
  <si>
    <t>Rossignol Blackops W Dreamer XP/XP W10GW 140cm</t>
  </si>
  <si>
    <t>https://tinyurl.com/y6vxeqv2</t>
  </si>
  <si>
    <t>Rossignol 2022 Blackops W Dreamer Xpress 140cm Teen All Mtn Skis W/</t>
  </si>
  <si>
    <t>https://tinyurl.com/y8dxu3cc</t>
  </si>
  <si>
    <t>https://tinyurl.com/y9gtz8s2</t>
  </si>
  <si>
    <t>https://tinyurl.com/y8oqvgen</t>
  </si>
  <si>
    <t>https://tinyurl.com/y8mnzxcr</t>
  </si>
  <si>
    <t>https://tinyurl.com/y7nh6edu</t>
  </si>
  <si>
    <t>Line Honey Bee Skis</t>
  </si>
  <si>
    <t>https://tinyurl.com/ybr8yfzu</t>
  </si>
  <si>
    <t>Atomic Cloud C12 Servo Skis w/ x 12 GW Bindings</t>
  </si>
  <si>
    <t>https://tinyurl.com/y8mukee2</t>
  </si>
  <si>
    <t>2020 Atomic Cloud 12 ladies snow skis with bindings 161</t>
  </si>
  <si>
    <t>https://tinyurl.com/y9xhowq2</t>
  </si>
  <si>
    <t>Atomic Cloud 12 Ladies Snow Skis 161 Cm W-bind (inc Poles Buyitnow)</t>
  </si>
  <si>
    <t>https://tinyurl.com/y727ncgb</t>
  </si>
  <si>
    <t>https://tinyurl.com/yben82so</t>
  </si>
  <si>
    <t>https://tinyurl.com/y976y5vj</t>
  </si>
  <si>
    <t>https://tinyurl.com/y9yk43w9</t>
  </si>
  <si>
    <t>https://tinyurl.com/y7lydfyk</t>
  </si>
  <si>
    <t>https://tinyurl.com/y8dp7gzn</t>
  </si>
  <si>
    <t>https://tinyurl.com/ycvchdru</t>
  </si>
  <si>
    <t>https://tinyurl.com/yazuko26</t>
  </si>
  <si>
    <t>https://tinyurl.com/yaw763d7</t>
  </si>
  <si>
    <t>'22 K2 Mindbender Team Skis 145cm</t>
  </si>
  <si>
    <t>https://tinyurl.com/yctesjgo</t>
  </si>
  <si>
    <t>K2 Mindbender Team Skis 2022 - 145</t>
  </si>
  <si>
    <t>https://tinyurl.com/y8tdjzad</t>
  </si>
  <si>
    <t>https://tinyurl.com/y8pwdonh</t>
  </si>
  <si>
    <t>Salomon Men's QST 99 Flat Ski 2019-2020 | DRK/BLUE / 188</t>
  </si>
  <si>
    <t>https://tinyurl.com/yctbaswk</t>
  </si>
  <si>
    <t>19-20 Salomon Qst 99  Men's Demo Skis W/bindings Size 188cm 088121</t>
  </si>
  <si>
    <t>https://www.google.com/url?q=https://www.ebay.com/itm/294316668563%3Fchn%3Dps%26mkevt%3D1%26mkcid%3D28&amp;sa=U&amp;ved=0ahUKEwif7erUze72AhUgIEQIHQdECkwQ2SkIaQ&amp;usg=AOvVaw01AOb-ineJn2fC5eTmTpet</t>
  </si>
  <si>
    <t>2021 Salomon QST 99 Skis w/ Tyrolia Attack2 14 GW Bindings - 188| Ski Essentials</t>
  </si>
  <si>
    <t>https://tinyurl.com/y8goc972</t>
  </si>
  <si>
    <t>K2 Talkback 88</t>
  </si>
  <si>
    <t>https://tinyurl.com/yc4xpglw</t>
  </si>
  <si>
    <t>K2 - Talkback 88 - 167</t>
  </si>
  <si>
    <t>https://tinyurl.com/y77rgkbm</t>
  </si>
  <si>
    <t>https://tinyurl.com/yaxzvmfe</t>
  </si>
  <si>
    <t>https://tinyurl.com/ya2xn9w2</t>
  </si>
  <si>
    <t>https://tinyurl.com/ya3o9n9x</t>
  </si>
  <si>
    <t>Nordica Navigator 75 CA FDT 156cm</t>
  </si>
  <si>
    <t>https://tinyurl.com/y95ezjpk</t>
  </si>
  <si>
    <t>https://tinyurl.com/y8sygfes</t>
  </si>
  <si>
    <t>https://tinyurl.com/yd42sc7c</t>
  </si>
  <si>
    <t>https://tinyurl.com/y97yk9ze</t>
  </si>
  <si>
    <t>Nordica Wild Belle 74 Skis w/ TP2 Compact 10 Bindings</t>
  </si>
  <si>
    <t>https://tinyurl.com/y9ewbxvd</t>
  </si>
  <si>
    <t>https://tinyurl.com/yaezgmm8</t>
  </si>
  <si>
    <t>Nordica Wild Belle 78 CA Women's Ski &amp; 10 FDT Binding 2022 - 144</t>
  </si>
  <si>
    <t>https://tinyurl.com/yakzzjoy</t>
  </si>
  <si>
    <t>Fischer Transalp 82 Skis 2020</t>
  </si>
  <si>
    <t>https://tinyurl.com/y7qam9kg</t>
  </si>
  <si>
    <t>Fischer Transalp 82 Carbon Touring Skis 162</t>
  </si>
  <si>
    <t>https://tinyurl.com/y8c64nur</t>
  </si>
  <si>
    <t>Fischer Transalp 82 Carbon Backcountry Ski (2021) 162</t>
  </si>
  <si>
    <t>https://tinyurl.com/yazkwglp</t>
  </si>
  <si>
    <t>â€˜20/21 Atomic Cloud 9 143 Cm W/ Demo Bindings</t>
  </si>
  <si>
    <t>https://tinyurl.com/ybacw4gp</t>
  </si>
  <si>
    <t>Atomic Cloud 9 Women's Skis with M 10 GW Bindings Â· 143 cm</t>
  </si>
  <si>
    <t>https://tinyurl.com/y7627jzj</t>
  </si>
  <si>
    <t>Atomic Cloud 9 Skis 2022 w/bindings 143</t>
  </si>
  <si>
    <t>https://tinyurl.com/ybxvods3</t>
  </si>
  <si>
    <t>Rossignol Blackops Sender Ti Skis 187 cm</t>
  </si>
  <si>
    <t>https://tinyurl.com/ybkfe495</t>
  </si>
  <si>
    <t>Rossignol Blackops Sender TI 187cm</t>
  </si>
  <si>
    <t>https://tinyurl.com/y92xfhel</t>
  </si>
  <si>
    <t>https://tinyurl.com/y9s5eey7</t>
  </si>
  <si>
    <t>https://tinyurl.com/y9mvtscb</t>
  </si>
  <si>
    <t>https://tinyurl.com/y9hc3khx</t>
  </si>
  <si>
    <t>https://tinyurl.com/yberonhq</t>
  </si>
  <si>
    <t>Blizzard Spur 127 Flat Ski 2021-2022 | GREEN / 179</t>
  </si>
  <si>
    <t>https://tinyurl.com/y72luvro</t>
  </si>
  <si>
    <t>Blizzard Spur Skis 179cm 2022</t>
  </si>
  <si>
    <t>https://tinyurl.com/ycjx3rmr</t>
  </si>
  <si>
    <t>https://tinyurl.com/y8b86g4p</t>
  </si>
  <si>
    <t>https://tinyurl.com/y9jrfxeq</t>
  </si>
  <si>
    <t>https://tinyurl.com/y9yk6s86</t>
  </si>
  <si>
    <t>K2 Disruption MTI Alliance Ski + Binding - 2022 - Size: 160cm</t>
  </si>
  <si>
    <t>https://tinyurl.com/ybdkvmve</t>
  </si>
  <si>
    <t>K2 Disruption 78C Alliance + ER3 10 21/22</t>
  </si>
  <si>
    <t>https://tinyurl.com/ydegtdn2</t>
  </si>
  <si>
    <t>K2 Disruption SC Alliance ER3 10 Compact Quikclik - Teal Set - Black-Teal 160</t>
  </si>
  <si>
    <t>https://tinyurl.com/ybugwv5h</t>
  </si>
  <si>
    <t>Elan Ripstick 88 W</t>
  </si>
  <si>
    <t>https://tinyurl.com/yaee5hzx</t>
  </si>
  <si>
    <t>https://tinyurl.com/y7q9q3of</t>
  </si>
  <si>
    <t>Elan Ripstick 94 W 162cm</t>
  </si>
  <si>
    <t>https://tinyurl.com/ycsg3u3z</t>
  </si>
  <si>
    <t>Elan Wildcat 76 LS ELW 9.0 150cm</t>
  </si>
  <si>
    <t>https://tinyurl.com/yalr6nbc</t>
  </si>
  <si>
    <t>Elan Wildcat 76 Skis + PS ELW 9.0 GW Bindings - Women's 2022 150</t>
  </si>
  <si>
    <t>https://tinyurl.com/yb5w2obp</t>
  </si>
  <si>
    <t>Elan Wildcat 76 C Black Edition 150 Ski Lady's Ladies / Women</t>
  </si>
  <si>
    <t>https://tinyurl.com/y965h4qb</t>
  </si>
  <si>
    <t>Armada TANTRUM Skis 2022 138 cm</t>
  </si>
  <si>
    <t>https://tinyurl.com/yd2wmqey</t>
  </si>
  <si>
    <t>Armada Tantrum Skis 138cm 2022</t>
  </si>
  <si>
    <t>https://tinyurl.com/yb4ml64a</t>
  </si>
  <si>
    <t>https://tinyurl.com/yczrqpdl</t>
  </si>
  <si>
    <t>https://tinyurl.com/yacsek2o</t>
  </si>
  <si>
    <t>https://tinyurl.com/y7p8oosq</t>
  </si>
  <si>
    <t>https://tinyurl.com/y9cdw86u</t>
  </si>
  <si>
    <t>DPS Pagoda Tour 106 C2 Skis Â· 2022 Â· 179 cm</t>
  </si>
  <si>
    <t>https://tinyurl.com/yc3lubyw</t>
  </si>
  <si>
    <t>https://tinyurl.com/ybejbh6x</t>
  </si>
  <si>
    <t>2022 DPS Pagoda 106 C2 Skis w/ Tyrolia Attack2 13 GW Bindings - Purple - 179| Ski Essentials</t>
  </si>
  <si>
    <t>https://tinyurl.com/y7qb3t2x</t>
  </si>
  <si>
    <t>Head V-Shape V8 SW LYT Skis + PR 11 GW Bindings (21/22)</t>
  </si>
  <si>
    <t>https://tinyurl.com/yapd7wpu</t>
  </si>
  <si>
    <t>https://tinyurl.com/yd64j7q3</t>
  </si>
  <si>
    <t>https://tinyurl.com/ybdrjhz5</t>
  </si>
  <si>
    <t>Scott Superguide 88 Ski 2022</t>
  </si>
  <si>
    <t>https://tinyurl.com/y8t6593z</t>
  </si>
  <si>
    <t>https://tinyurl.com/y9lymkfm</t>
  </si>
  <si>
    <t>Scott Superguide 95 A Version 162cm</t>
  </si>
  <si>
    <t>https://tinyurl.com/yc7q2phl</t>
  </si>
  <si>
    <t>https://tinyurl.com/yay45zpf</t>
  </si>
  <si>
    <t>https://tinyurl.com/ybtsb2k9</t>
  </si>
  <si>
    <t>https://tinyurl.com/yb56t59d</t>
  </si>
  <si>
    <t>Blizzard Firebird SRC Skis w Marker Race Xcell GW Bindings  Demo</t>
  </si>
  <si>
    <t>https://tinyurl.com/ydy5435f</t>
  </si>
  <si>
    <t>2022 Blizzard Phoenix R13 CA Women's Skis with TPC 11 Bindings - 155</t>
  </si>
  <si>
    <t>https://tinyurl.com/y9qrm3g7</t>
  </si>
  <si>
    <t>2022 Blizzard Zero G 95 Skis w/ Marker Kingpin 13 Binding - Light Blue - 164| Ski Essentials</t>
  </si>
  <si>
    <t>https://tinyurl.com/yatofs9r</t>
  </si>
  <si>
    <t>Blizzard Zero G 95 Ski - 2022 Light Blue, 164cm</t>
  </si>
  <si>
    <t>https://tinyurl.com/ycatlej5</t>
  </si>
  <si>
    <t>https://tinyurl.com/ycmtp8mo</t>
  </si>
  <si>
    <t>DPS Pagoda Piste 100 C2 Ski 179 / Red</t>
  </si>
  <si>
    <t>https://tinyurl.com/yasccpe9</t>
  </si>
  <si>
    <t>DPS Pagoda Piste 100 C2 Pinot Skis 179cm 2022</t>
  </si>
  <si>
    <t>https://tinyurl.com/ybkutom6</t>
  </si>
  <si>
    <t>https://tinyurl.com/y7hfetsw</t>
  </si>
  <si>
    <t>K2 Mindbender 90 C</t>
  </si>
  <si>
    <t>https://tinyurl.com/yc66u8ks</t>
  </si>
  <si>
    <t>https://tinyurl.com/y865l7eh</t>
  </si>
  <si>
    <t>2022 K2 Mindbender 90C Alliance Women's Skis with Tyrolia Attack2 11 GW Bindings</t>
  </si>
  <si>
    <t>https://tinyurl.com/y9vfkumf</t>
  </si>
  <si>
    <t>Atomic W Backland 86 SL Alpine Touring Ski 165</t>
  </si>
  <si>
    <t>https://tinyurl.com/y9qpxzs4</t>
  </si>
  <si>
    <t>2022 Atomic Backland 85 W Skis w/ Salomon Shift 10 MNC Bindings &amp; Hybrid Skin 85 - 165| Ski Essentials</t>
  </si>
  <si>
    <t>https://tinyurl.com/y7fr9ogc</t>
  </si>
  <si>
    <t>Atomic Backland 85 Women Ski 2023</t>
  </si>
  <si>
    <t>https://tinyurl.com/yd49zv3x</t>
  </si>
  <si>
    <t>'22 Line Honey Badger Skis 155cm</t>
  </si>
  <si>
    <t>https://tinyurl.com/y9m94h7a</t>
  </si>
  <si>
    <t>Line 2022 Honey Badger Skis</t>
  </si>
  <si>
    <t>https://tinyurl.com/y9nwnuh8</t>
  </si>
  <si>
    <t>https://tinyurl.com/y8s8sufp</t>
  </si>
  <si>
    <t>https://tinyurl.com/yd6myglv</t>
  </si>
  <si>
    <t>https://tinyurl.com/y9okv6kw</t>
  </si>
  <si>
    <t>https://tinyurl.com/y8sfvbhx</t>
  </si>
  <si>
    <t>https://tinyurl.com/yd3pz8lm</t>
  </si>
  <si>
    <t>Rossignol Saphir 2 162 Cm Rossignol Axium 100 Bindings</t>
  </si>
  <si>
    <t>eBay - billstore2012</t>
  </si>
  <si>
    <t>https://tinyurl.com/yb86mr3y</t>
  </si>
  <si>
    <t>Demo React 2 Carbon 162 Alpine Ski 162</t>
  </si>
  <si>
    <t>ExploreVI</t>
  </si>
  <si>
    <t>https://tinyurl.com/ybj66spf</t>
  </si>
  <si>
    <t>https://tinyurl.com/y8hngnsr</t>
  </si>
  <si>
    <t>https://tinyurl.com/y9cj2xpb</t>
  </si>
  <si>
    <t>Rossignol Power Cobra Skis With Bindings | Color: Black</t>
  </si>
  <si>
    <t>https://tinyurl.com/y7zwkp9v</t>
  </si>
  <si>
    <t>Salomon S/Force Fx.80 Skis w/ M11 GW Bindings</t>
  </si>
  <si>
    <t>https://tinyurl.com/yb47retz</t>
  </si>
  <si>
    <t>https://tinyurl.com/yaxj8nf3</t>
  </si>
  <si>
    <t>https://tinyurl.com/yboqt9gr</t>
  </si>
  <si>
    <t>https://tinyurl.com/y8tj6lj8</t>
  </si>
  <si>
    <t>https://tinyurl.com/y8y9ggk8</t>
  </si>
  <si>
    <t>https://tinyurl.com/yboy83wv</t>
  </si>
  <si>
    <t>DPS Pagoda Tour 100 RP 153cm</t>
  </si>
  <si>
    <t>https://tinyurl.com/yaj37rby</t>
  </si>
  <si>
    <t>https://tinyurl.com/yc5d5kh6</t>
  </si>
  <si>
    <t>https://tinyurl.com/y8jgolqs</t>
  </si>
  <si>
    <t>https://tinyurl.com/yc3a6ntr</t>
  </si>
  <si>
    <t>https://tinyurl.com/y6u5xzb8</t>
  </si>
  <si>
    <t>https://tinyurl.com/ybsjzdz3</t>
  </si>
  <si>
    <t>Armada Whitewalker Skis - 2022 185cm</t>
  </si>
  <si>
    <t>https://tinyurl.com/ycjg8b84</t>
  </si>
  <si>
    <t>Armada Whitewalker Powder Skis Whitewalker / 185</t>
  </si>
  <si>
    <t>https://tinyurl.com/yd3l4c8h</t>
  </si>
  <si>
    <t>Armada Skin ARV 116 JJ Skis Â· 185 cm</t>
  </si>
  <si>
    <t>https://tinyurl.com/yb6rjo7g</t>
  </si>
  <si>
    <t>https://tinyurl.com/ycrf9rvl</t>
  </si>
  <si>
    <t>https://tinyurl.com/yacxc6lh</t>
  </si>
  <si>
    <t>https://tinyurl.com/ybbjhscc</t>
  </si>
  <si>
    <t>Line Pandora 104 Skis</t>
  </si>
  <si>
    <t>https://tinyurl.com/y98zst8a</t>
  </si>
  <si>
    <t>'22 Line Pandora 104 Skis 165cm</t>
  </si>
  <si>
    <t>https://tinyurl.com/yav9wgyb</t>
  </si>
  <si>
    <t>Line Pandora 104 Skis Women's 2022 - - 165 cm</t>
  </si>
  <si>
    <t>https://tinyurl.com/ybfeshyo</t>
  </si>
  <si>
    <t>https://tinyurl.com/yccm7gbu</t>
  </si>
  <si>
    <t>https://tinyurl.com/y7pu6an9</t>
  </si>
  <si>
    <t>https://tinyurl.com/y9v2jz6p</t>
  </si>
  <si>
    <t>Blizzard Rustler 9 21/22</t>
  </si>
  <si>
    <t>https://tinyurl.com/y9calrdz</t>
  </si>
  <si>
    <t>2022 Blizzard Rustler 9 Mens Skis</t>
  </si>
  <si>
    <t>https://tinyurl.com/ycfblaav</t>
  </si>
  <si>
    <t>https://tinyurl.com/yahfoz3n</t>
  </si>
  <si>
    <t>https://tinyurl.com/y8f8jucz</t>
  </si>
  <si>
    <t>https://tinyurl.com/y7hnkqhx</t>
  </si>
  <si>
    <t>Volkl Rise Above 88 Ski - Women - 156cm</t>
  </si>
  <si>
    <t>https://tinyurl.com/y78r2lev</t>
  </si>
  <si>
    <t>Stockli Montero AR Skis 2023 175</t>
  </si>
  <si>
    <t>https://tinyurl.com/y9sah6jl</t>
  </si>
  <si>
    <t>https://tinyurl.com/ya688thx</t>
  </si>
  <si>
    <t>Faction Prodigy 0.0X Women's Ski 2022 - 150</t>
  </si>
  <si>
    <t>https://tinyurl.com/ycnksc5a</t>
  </si>
  <si>
    <t>https://tinyurl.com/y72bwnel</t>
  </si>
  <si>
    <t>Dynafit Blacklight 88 W Alpine Touring Ski 158</t>
  </si>
  <si>
    <t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t>
  </si>
  <si>
    <t>Dynafit Blacklight 88 Ski Touring (Black/Blue)</t>
  </si>
  <si>
    <t>https://tinyurl.com/y9x7tflt</t>
  </si>
  <si>
    <t>https://tinyurl.com/y8y2smxh</t>
  </si>
  <si>
    <t>Head WC Rebels Isl RD Team Ski - Size 150 - 314030</t>
  </si>
  <si>
    <t>https://tinyurl.com/ya9kmbbr</t>
  </si>
  <si>
    <t>https://tinyurl.com/ydcllr97</t>
  </si>
  <si>
    <t>Head 150cm Pretuned Racing Base Laser Controlled Carve 7 Skis</t>
  </si>
  <si>
    <t>https://tinyurl.com/y8yy3a8f</t>
  </si>
  <si>
    <t>Volkl Ladies' Yumi 84 Flat Ski 2020-2021 | BLACK/RED / 154</t>
  </si>
  <si>
    <t>https://tinyurl.com/yd6smb8m</t>
  </si>
  <si>
    <t>Volkl Yumi 84</t>
  </si>
  <si>
    <t>https://tinyurl.com/yagyt3g3</t>
  </si>
  <si>
    <t>https://tinyurl.com/y8ay65rl</t>
  </si>
  <si>
    <t>Elan Ripstick 88 PS Blue-Red 164 Ski Men</t>
  </si>
  <si>
    <t>https://tinyurl.com/y8p8dcgs</t>
  </si>
  <si>
    <t>2023 Elan Ripstick Tour 94 Skis w/ ATK C-Raider 12 Bindings - 164| Ski Essentials</t>
  </si>
  <si>
    <t>https://tinyurl.com/yb84qqw3</t>
  </si>
  <si>
    <t>eBay - cashinwhi</t>
  </si>
  <si>
    <t>https://tinyurl.com/y8or8hec</t>
  </si>
  <si>
    <t>Dynafit Blacklight 80</t>
  </si>
  <si>
    <t>https://tinyurl.com/y8o6c6d9</t>
  </si>
  <si>
    <t>https://tinyurl.com/ybynkyrr</t>
  </si>
  <si>
    <t>https://tinyurl.com/ya8pnj9g</t>
  </si>
  <si>
    <t>2021 Blizzard Brahma 88 with Marker Griffon Bindings - 183cm - DEMO SKIS</t>
  </si>
  <si>
    <t>Race Room Skis</t>
  </si>
  <si>
    <t>https://tinyurl.com/yb6hp469</t>
  </si>
  <si>
    <t>Blizzard Brahma 88 Limited Edition Topsheet Skis w Marker Griffon 13 GW Demo Bindings  Demo</t>
  </si>
  <si>
    <t>https://tinyurl.com/y8rhx9gy</t>
  </si>
  <si>
    <t>https://tinyurl.com/ybchry82</t>
  </si>
  <si>
    <t>https://tinyurl.com/y7weczz9</t>
  </si>
  <si>
    <t>https://tinyurl.com/y89ntwbu</t>
  </si>
  <si>
    <t>HEAD World Cup Skis SL RD Liquidmetal 165 13 - Sports &amp; outdoors | Color: Red</t>
  </si>
  <si>
    <t>https://tinyurl.com/ydeg3t5u</t>
  </si>
  <si>
    <t>Dynastar M-Free 118 Skis 2022 - 189</t>
  </si>
  <si>
    <t>https://tinyurl.com/y8nspyru</t>
  </si>
  <si>
    <t>https://tinyurl.com/ycpkkgb6</t>
  </si>
  <si>
    <t>https://tinyurl.com/y78xx28l</t>
  </si>
  <si>
    <t>https://tinyurl.com/yc9gb7ov</t>
  </si>
  <si>
    <t>https://tinyurl.com/y9yoodx7</t>
  </si>
  <si>
    <t>2022 Line Honey Badger 166 W Tyrolia Attack 13â€™s</t>
  </si>
  <si>
    <t>https://tinyurl.com/y8ejrdfe</t>
  </si>
  <si>
    <t>2022 Fischer Ranger 115 FR Skis w/ Marker Griffon 13 ID Bindings - 196| Ski Essentials</t>
  </si>
  <si>
    <t>https://tinyurl.com/y8fxw8hu</t>
  </si>
  <si>
    <t>https://tinyurl.com/yd2la4bh</t>
  </si>
  <si>
    <t>2020 Atomic Cloud 12 Ladies Snow Skis with L10 Bindings 154</t>
  </si>
  <si>
    <t>https://tinyurl.com/ybvzjhrj</t>
  </si>
  <si>
    <t>Atomic Skis Vantage 75 + M 10 GW Womens - No Color - 154</t>
  </si>
  <si>
    <t>https://tinyurl.com/ycwsbjsc</t>
  </si>
  <si>
    <t>Elan Element LS Skis with El 10 GW Bindings 2022 144cm Black/Red</t>
  </si>
  <si>
    <t>https://tinyurl.com/yb4wfq5h</t>
  </si>
  <si>
    <t>Mountain skiing with Mount Elan 2021-22 element W White LS + elw 9 shift (CM: 144) kant kaht</t>
  </si>
  <si>
    <t>https://tinyurl.com/ya8db2w2</t>
  </si>
  <si>
    <t>Elan Women's Element W Black Skis with Bindings Black 144 cm</t>
  </si>
  <si>
    <t>https://tinyurl.com/ycszt33h</t>
  </si>
  <si>
    <t>https://tinyurl.com/y8fwqm7x</t>
  </si>
  <si>
    <t>https://tinyurl.com/ycxjq2mt</t>
  </si>
  <si>
    <t>https://tinyurl.com/ycokxnuy</t>
  </si>
  <si>
    <t>Volkl Blaze 86 W 159cm</t>
  </si>
  <si>
    <t>https://tinyurl.com/y82g5sro</t>
  </si>
  <si>
    <t>'22 Volkl Blaze 86 W Skis 159cm</t>
  </si>
  <si>
    <t>https://tinyurl.com/y8k26ouk</t>
  </si>
  <si>
    <t>Volkl Blaze 86 W Skis 2023 - Women's 159 cm</t>
  </si>
  <si>
    <t>https://tinyurl.com/yah2qqwt</t>
  </si>
  <si>
    <t>DPS Pagoda Piste 100 C2 Pinot Skis 184cm 2022</t>
  </si>
  <si>
    <t>https://tinyurl.com/ya6eq2os</t>
  </si>
  <si>
    <t>https://tinyurl.com/ydhkzo3f</t>
  </si>
  <si>
    <t>https://tinyurl.com/y7twubgh</t>
  </si>
  <si>
    <t>Nordica Dobermann GS Tweener | Giant Slalom Skis | Race Room Skis 170cm</t>
  </si>
  <si>
    <t>https://tinyurl.com/ybqssbt9</t>
  </si>
  <si>
    <t>Nordica Dobermann GS Race Skis Â· 170 cm</t>
  </si>
  <si>
    <t>https://tinyurl.com/y7swaj2c</t>
  </si>
  <si>
    <t>2018 Nordica Fate 170 cm Ski + Nordica Bindings Winter Snow Sport Outdoor 2018 Nordica Fate 170 cm Ski + Nordica Bindings Winter Snow Sport Outdoor</t>
  </si>
  <si>
    <t>https://tinyurl.com/yacnmpjv</t>
  </si>
  <si>
    <t>2021 Nordica Enforcer 110 Free</t>
  </si>
  <si>
    <t>https://tinyurl.com/yasfjhsp</t>
  </si>
  <si>
    <t>Nordica Enforcer 110 Skis W/ Salomon Warden 11 Binding (great</t>
  </si>
  <si>
    <t>https://tinyurl.com/y8ysrpky</t>
  </si>
  <si>
    <t>https://tinyurl.com/y8yxz2f2</t>
  </si>
  <si>
    <t>https://tinyurl.com/y9lcrwre</t>
  </si>
  <si>
    <t>Volkl Blaze 86 W 146cm</t>
  </si>
  <si>
    <t>https://tinyurl.com/y7jlkzur</t>
  </si>
  <si>
    <t>Volkl Women's Blaze 86 W Alpine Ski 2022 146</t>
  </si>
  <si>
    <t>https://tinyurl.com/y9orxqea</t>
  </si>
  <si>
    <t>https://tinyurl.com/yc6rqjlv</t>
  </si>
  <si>
    <t>Blizzard Zero G 85 Skis (2021) LIGHT GREY / 171</t>
  </si>
  <si>
    <t>https://tinyurl.com/ych4bxfj</t>
  </si>
  <si>
    <t>Blizzard Zero G 85 Ski 171 cm</t>
  </si>
  <si>
    <t>https://tinyurl.com/ybk4yf6l</t>
  </si>
  <si>
    <t>https://tinyurl.com/y9vupjws</t>
  </si>
  <si>
    <t>https://tinyurl.com/ybeqhjj4</t>
  </si>
  <si>
    <t>https://tinyurl.com/ycr83pzh</t>
  </si>
  <si>
    <t>DPS Pagoda 106 C2 Ski 184 / Blue</t>
  </si>
  <si>
    <t>https://tinyurl.com/yambzasb</t>
  </si>
  <si>
    <t>DPS Pagoda 106 C2 Blue Skis 184cm 2022</t>
  </si>
  <si>
    <t>https://tinyurl.com/y9uanu7y</t>
  </si>
  <si>
    <t>DPS Pagoda Tour 106 C2 Ski 2022, 184</t>
  </si>
  <si>
    <t>https://tinyurl.com/y93tu7r5</t>
  </si>
  <si>
    <t>Salomon QST Blank Skis 2022</t>
  </si>
  <si>
    <t>https://tinyurl.com/yc965ml3</t>
  </si>
  <si>
    <t>https://tinyurl.com/ycckbg7w</t>
  </si>
  <si>
    <t>Salomon QST Blank Skis - 2022 - 194cm</t>
  </si>
  <si>
    <t>https://tinyurl.com/ycukh7db</t>
  </si>
  <si>
    <t>Nordica Enforcer 94 Skis 2022</t>
  </si>
  <si>
    <t>https://tinyurl.com/y7nulg85</t>
  </si>
  <si>
    <t>https://tinyurl.com/yafcmx4f</t>
  </si>
  <si>
    <t>https://tinyurl.com/y8glfhp8</t>
  </si>
  <si>
    <t>K2 Mindbender 90C Skis 2021</t>
  </si>
  <si>
    <t>Village Sports Shop - Vermont</t>
  </si>
  <si>
    <t>https://tinyurl.com/ycln2tf8</t>
  </si>
  <si>
    <t>2023 K2 Mindbender 90C Womens 156 cm</t>
  </si>
  <si>
    <t>https://tinyurl.com/ycs49ljh</t>
  </si>
  <si>
    <t>K2 Mindbender 90c Alpine Skis 156</t>
  </si>
  <si>
    <t>https://tinyurl.com/y7kcyq84</t>
  </si>
  <si>
    <t>Icelantic Maiden 91 Women's Skis 155cm 2022</t>
  </si>
  <si>
    <t>https://tinyurl.com/ycgr5fbo</t>
  </si>
  <si>
    <t>https://tinyurl.com/y7xyroe5</t>
  </si>
  <si>
    <t>https://tinyurl.com/ycfvsp6p</t>
  </si>
  <si>
    <t>Blizzard Brahma 82 173 Cm Skis - Mint Condition</t>
  </si>
  <si>
    <t>https://tinyurl.com/yabp9vcc</t>
  </si>
  <si>
    <t>https://tinyurl.com/yarkoe5a</t>
  </si>
  <si>
    <t>https://tinyurl.com/y8jfa84e</t>
  </si>
  <si>
    <t>https://tinyurl.com/ya24lmro</t>
  </si>
  <si>
    <t>Blizzard Rustler 11 Skis 188cm 2023</t>
  </si>
  <si>
    <t>https://tinyurl.com/y7b3qyxu</t>
  </si>
  <si>
    <t>'23 Blizzard Rustler 11 Skis 188cm</t>
  </si>
  <si>
    <t>https://tinyurl.com/y92zgy3t</t>
  </si>
  <si>
    <t>2022 Dynastar Speed 4x4 763 Skis with SPX 12 GW Bindings - 174| Ski Essentials</t>
  </si>
  <si>
    <t>https://tinyurl.com/y7ybv5qt</t>
  </si>
  <si>
    <t>Dynastar Speed Zone 12 Ti Skis w Look SPX 12 GW Demo Bindings  Demo</t>
  </si>
  <si>
    <t>https://tinyurl.com/y7lvxxe5</t>
  </si>
  <si>
    <t>2019 Dynastar Speed Zone 10 Ti Snow Skis with Bindings (Clearance) 174</t>
  </si>
  <si>
    <t>https://tinyurl.com/yax3f4we</t>
  </si>
  <si>
    <t>Fischer Nightstick Team Skis Â· 151 cm</t>
  </si>
  <si>
    <t>https://tinyurl.com/yc946y59</t>
  </si>
  <si>
    <t>https://tinyurl.com/y8yc8mk7</t>
  </si>
  <si>
    <t>Dynastar Omeglass Pro 155 cm Ski + Look NX12 Bindings Winter Sport Snow Ourdoor</t>
  </si>
  <si>
    <t>https://tinyurl.com/y8mjhqb7</t>
  </si>
  <si>
    <t>'22 Volkl Rise Beyond 96 W Skis 163cm</t>
  </si>
  <si>
    <t>https://tinyurl.com/ybntusvm</t>
  </si>
  <si>
    <t>Volkl Rise Beyond 96 Black-Orange 163 Ski Men</t>
  </si>
  <si>
    <t>https://tinyurl.com/y9nyx57y</t>
  </si>
  <si>
    <t>Volklrise Beyond 96 W Ski - 2022 - Women's. 163cm /56284/</t>
  </si>
  <si>
    <t>https://tinyurl.com/y8benmck</t>
  </si>
  <si>
    <t>Salomon QST 106 Skis 188cm 2021</t>
  </si>
  <si>
    <t>https://tinyurl.com/y8dvre2f</t>
  </si>
  <si>
    <t>2022 Salomon QST 106 Demo Skis w/ Salomon Warden MNC 13 Demo Bindings - 188| Ski Essentials</t>
  </si>
  <si>
    <t>https://tinyurl.com/y87vphxm</t>
  </si>
  <si>
    <t>'22 Salomon QST 106 Skis 188cm</t>
  </si>
  <si>
    <t>https://tinyurl.com/ya68r4ad</t>
  </si>
  <si>
    <t>Volkl Yumi 80</t>
  </si>
  <si>
    <t>https://tinyurl.com/yb2oe3wo</t>
  </si>
  <si>
    <t>https://tinyurl.com/yctpx7hk</t>
  </si>
  <si>
    <t>Volkl 2022 Yumi 80 Women's Skis w/Tyrolia Attack2 11GW Bindings (154)</t>
  </si>
  <si>
    <t>https://tinyurl.com/y7yrscle</t>
  </si>
  <si>
    <t>https://tinyurl.com/yaxc9upo</t>
  </si>
  <si>
    <t>https://tinyurl.com/y7rbkx49</t>
  </si>
  <si>
    <t>https://tinyurl.com/ycb3k78h</t>
  </si>
  <si>
    <t>Volkl M6 Mantra Flat Ski 2021-2022 | RED/BLACK / 191</t>
  </si>
  <si>
    <t>https://tinyurl.com/y7z8sjux</t>
  </si>
  <si>
    <t>https://tinyurl.com/ydx3hggd</t>
  </si>
  <si>
    <t>https://tinyurl.com/ybzvbu72</t>
  </si>
  <si>
    <t>Salomon S/Force Fever Skis with M11 GW Bindings Â· Women's Â· 163 cm</t>
  </si>
  <si>
    <t>https://tinyurl.com/ycul63zk</t>
  </si>
  <si>
    <t>Salomon S/Force 9 + Z10 GW 19/20"</t>
  </si>
  <si>
    <t>wikdeal</t>
  </si>
  <si>
    <t>https://tinyurl.com/ychzn58r</t>
  </si>
  <si>
    <t>Salomon S/Force Fx.76 Skis w/ M11 GW Bindings</t>
  </si>
  <si>
    <t>https://tinyurl.com/y92om993</t>
  </si>
  <si>
    <t>Volkl Katana 108 Skis 170cm 2022</t>
  </si>
  <si>
    <t>https://tinyurl.com/yctzqwcd</t>
  </si>
  <si>
    <t>'21 Volkl Katana 108 Skis 170cm</t>
  </si>
  <si>
    <t>https://tinyurl.com/y7a7k4wu</t>
  </si>
  <si>
    <t>https://tinyurl.com/y9n3lms4</t>
  </si>
  <si>
    <t>16-17 Salomon Qst 85  Men's Demo Skis W/bindings Size 185cm 9561</t>
  </si>
  <si>
    <t>https://tinyurl.com/y95qyx4y</t>
  </si>
  <si>
    <t>Salomon Qst 85 Flat Mount Men's Snow Skis 185</t>
  </si>
  <si>
    <t>eBay - skiba5827</t>
  </si>
  <si>
    <t>https://tinyurl.com/yaph3lcm</t>
  </si>
  <si>
    <t>https://tinyurl.com/y7agxbbn</t>
  </si>
  <si>
    <t>https://tinyurl.com/y9dr9fy4</t>
  </si>
  <si>
    <t>Dynafit Blacklight 88 Women Ski 2022</t>
  </si>
  <si>
    <t>https://tinyurl.com/yblzzpwh</t>
  </si>
  <si>
    <t>https://tinyurl.com/ya93wkx4</t>
  </si>
  <si>
    <t>https://tinyurl.com/y7bk4r9w</t>
  </si>
  <si>
    <t>https://tinyurl.com/ycxgu8by</t>
  </si>
  <si>
    <t>https://tinyurl.com/y79y8ns2</t>
  </si>
  <si>
    <t>K2 Talkback 96</t>
  </si>
  <si>
    <t>https://tinyurl.com/yb3gkn23</t>
  </si>
  <si>
    <t>https://tinyurl.com/y8869hge</t>
  </si>
  <si>
    <t>https://tinyurl.com/ycgqgj6f</t>
  </si>
  <si>
    <t>https://tinyurl.com/ycdbejnz</t>
  </si>
  <si>
    <t>Volkl Mantra 102 Ski 177cm</t>
  </si>
  <si>
    <t>https://tinyurl.com/y8hczl7r</t>
  </si>
  <si>
    <t>https://tinyurl.com/ya25wf59</t>
  </si>
  <si>
    <t xml:space="preserve"> Volkl Racetiger SL 160cm Race Skis with Marker Comp 16 Bindings (388C)</t>
  </si>
  <si>
    <t>https://tinyurl.com/y6vxsg9k</t>
  </si>
  <si>
    <t>Volkl Racetiger SL Yellow 160 Ski Lady's Men</t>
  </si>
  <si>
    <t>https://tinyurl.com/ybbprotf</t>
  </si>
  <si>
    <t>Volkl Racetiger SL w/Marker rMotion2 12 GW - 2022 - 160cm</t>
  </si>
  <si>
    <t>https://tinyurl.com/y98p5ppd</t>
  </si>
  <si>
    <t>Icelantic Riveter 85 Skis - Women's 2022 150cm</t>
  </si>
  <si>
    <t>https://tinyurl.com/yc8jyt45</t>
  </si>
  <si>
    <t>Icelantic Riveter 85 Women's Skis 150cm 2022</t>
  </si>
  <si>
    <t>https://tinyurl.com/y7p86h2d</t>
  </si>
  <si>
    <t>https://tinyurl.com/y82hnuty</t>
  </si>
  <si>
    <t>https://tinyurl.com/yat4l5mj</t>
  </si>
  <si>
    <t>Atomic Skis Vantage 75 + M 10 GW Womens - No Color - 147</t>
  </si>
  <si>
    <t>https://tinyurl.com/ydao93ro</t>
  </si>
  <si>
    <t>https://tinyurl.com/y8ldbro6</t>
  </si>
  <si>
    <t>Rossignol NOVA 6 F/XP W 11 GW 149cm</t>
  </si>
  <si>
    <t>https://tinyurl.com/ybusz2ps</t>
  </si>
  <si>
    <t>Rossignol Nova 6 Skis with Xpress Women's 11 GW Bindings Â· 149 cm</t>
  </si>
  <si>
    <t>https://tinyurl.com/y8ammzs2</t>
  </si>
  <si>
    <t>Rossignol React 6 Compact Skis w/ Look Xpress 11 GW Bindings</t>
  </si>
  <si>
    <t>https://tinyurl.com/y97mw44x</t>
  </si>
  <si>
    <t>https://tinyurl.com/y76jvwb4</t>
  </si>
  <si>
    <t>Black Crows Corvus Skis</t>
  </si>
  <si>
    <t>https://tinyurl.com/y7pfedlf</t>
  </si>
  <si>
    <t>https://tinyurl.com/yba2dr4b</t>
  </si>
  <si>
    <t>https://tinyurl.com/y9txpvc4</t>
  </si>
  <si>
    <t>Volkl Blaze 86 W 152cm</t>
  </si>
  <si>
    <t>https://tinyurl.com/y9b7ml8x</t>
  </si>
  <si>
    <t>Volkl Women's Blaze 86 W Alpine Ski 2022 152</t>
  </si>
  <si>
    <t>https://tinyurl.com/y8mj8meh</t>
  </si>
  <si>
    <t>Volkl Secret 102 Women's Skis 2022</t>
  </si>
  <si>
    <t>https://tinyurl.com/y85x7qbl</t>
  </si>
  <si>
    <t>'20 Volkl Secret 102 Womens Skis 170cm</t>
  </si>
  <si>
    <t>https://tinyurl.com/y97ajkqj</t>
  </si>
  <si>
    <t>https://tinyurl.com/yclb35dd</t>
  </si>
  <si>
    <t>https://tinyurl.com/yc3fbal6</t>
  </si>
  <si>
    <t>Black Diamond Helio Recon 95 Skis</t>
  </si>
  <si>
    <t>https://tinyurl.com/y75mxoz2</t>
  </si>
  <si>
    <t>https://tinyurl.com/y77ck4sx</t>
  </si>
  <si>
    <t>Line Honey Bee Skis 2021</t>
  </si>
  <si>
    <t>https://tinyurl.com/y9ad93w2</t>
  </si>
  <si>
    <t>Rossignol Experience 86 Ti Skis 176cm 2022</t>
  </si>
  <si>
    <t>https://tinyurl.com/y9qfqxq8</t>
  </si>
  <si>
    <t>Rossignol Experience 86 Ti Skis Mens 2022</t>
  </si>
  <si>
    <t>https://tinyurl.com/y7rojzey</t>
  </si>
  <si>
    <t>https://tinyurl.com/yc9bsh5s</t>
  </si>
  <si>
    <t>Blizzard Bonafide 97 21/22</t>
  </si>
  <si>
    <t>https://tinyurl.com/y88pfavd</t>
  </si>
  <si>
    <t>Blizzard Bonafide 97 20/21</t>
  </si>
  <si>
    <t>https://tinyurl.com/yaeq58js</t>
  </si>
  <si>
    <t>2022 Blizzard Bonafide 97 w/ Marker Griffon 13 Demo Bindings Grey/Orange / 177 / New</t>
  </si>
  <si>
    <t>https://tinyurl.com/ycbckfjl</t>
  </si>
  <si>
    <t>https://tinyurl.com/yar3t78q</t>
  </si>
  <si>
    <t>2022 Volkl Yumi 80 Women's Demo Skis w/ Marker Squire 11 TCX Demo Bindings - 147| Ski Essentials</t>
  </si>
  <si>
    <t>https://tinyurl.com/yc4rswv8</t>
  </si>
  <si>
    <t>Volkl 2022 Yumi 80 Women's Skis w/Tyrolia Attack2 11GW Bindings (147)</t>
  </si>
  <si>
    <t>https://tinyurl.com/yb58nb7d</t>
  </si>
  <si>
    <t>Volkl Men's M5 Mantra 96 Flat Ski 2020-2021 | BLACK/RED / 177</t>
  </si>
  <si>
    <t>https://tinyurl.com/ychlh5eo</t>
  </si>
  <si>
    <t>https://tinyurl.com/yc5u844f</t>
  </si>
  <si>
    <t>'21 Volkl M5 Mantra Skis 177cm</t>
  </si>
  <si>
    <t>https://tinyurl.com/y7tkyezl</t>
  </si>
  <si>
    <t>Blizzard Firebird SRC Skis W Marker X-Cell 14 Bindings 160cm 2022</t>
  </si>
  <si>
    <t>https://tinyurl.com/yddmwayj</t>
  </si>
  <si>
    <t>Blizzard Ski Thermogel Tg3 ( 62" ) 160 + Poles 120cm / 48" + Fisher F9</t>
  </si>
  <si>
    <t>eBay - bookfinder09</t>
  </si>
  <si>
    <t>https://tinyurl.com/y742dl6p</t>
  </si>
  <si>
    <t>Blizzard Cochise Team (Flat) - Orange 160</t>
  </si>
  <si>
    <t>https://tinyurl.com/ybe3g4hd</t>
  </si>
  <si>
    <t>Volkl Rise Above 88 Ski - Women - 163cm</t>
  </si>
  <si>
    <t>https://tinyurl.com/ycpxm5c2</t>
  </si>
  <si>
    <t>Volkl Rise Above 88 Ski - 163cm</t>
  </si>
  <si>
    <t>https://tinyurl.com/ybgx8pwz</t>
  </si>
  <si>
    <t>https://tinyurl.com/y928uhwc</t>
  </si>
  <si>
    <t>Nordica Soul Rider 84 Blue Green / 149cm</t>
  </si>
  <si>
    <t>https://tinyurl.com/yarrpyxk</t>
  </si>
  <si>
    <t>Nordica Soul Rider 84 Mens Ski 2021</t>
  </si>
  <si>
    <t>https://tinyurl.com/yd2jybwx</t>
  </si>
  <si>
    <t>https://tinyurl.com/y7ccgsu5</t>
  </si>
  <si>
    <t>https://tinyurl.com/yc8zpp7f</t>
  </si>
  <si>
    <t>Elan Ripstick 88 W Skis - Women's 2022</t>
  </si>
  <si>
    <t>https://tinyurl.com/ybhj7x5j</t>
  </si>
  <si>
    <t>https://tinyurl.com/yblehlrv</t>
  </si>
  <si>
    <t>https://tinyurl.com/yczxmcyd</t>
  </si>
  <si>
    <t>19-20 Head Total Joy  Women's Demo Skis W/bindings Size 153cm</t>
  </si>
  <si>
    <t>https://www.google.com/url?q=https://www.ebay.com/itm/304185209493%3Fchn%3Dps%26mkevt%3D1%26mkcid%3D28&amp;sa=U&amp;ved=0ahUKEwiWv8zxz-72AhV8DEQIHRcqAZkQ2SkIZw&amp;usg=AOvVaw1QZAXP7i7_TDu9avmLeKW5</t>
  </si>
  <si>
    <t>Head Total Joy SW SLR Joy Pro + JOY 11 GW 153cm</t>
  </si>
  <si>
    <t>https://tinyurl.com/y7f649zj</t>
  </si>
  <si>
    <t>2022 Head Total Joy Women's Demo Skis w/ Tyrolia Joy 11 GW SLR Bindings - 153| Ski Essentials</t>
  </si>
  <si>
    <t>https://tinyurl.com/yd5qqkmu</t>
  </si>
  <si>
    <t>Faction Ct 2.0 Skis - Youth 2022</t>
  </si>
  <si>
    <t>https://tinyurl.com/ybwhjeyg</t>
  </si>
  <si>
    <t>Faction Prodigy 2.0 Skis 2022 - 159</t>
  </si>
  <si>
    <t>https://tinyurl.com/yb8hbprb</t>
  </si>
  <si>
    <t>Faction Candide 2.0x Women's Skis</t>
  </si>
  <si>
    <t>https://tinyurl.com/yafcct7p</t>
  </si>
  <si>
    <t>https://tinyurl.com/y8nj6znd</t>
  </si>
  <si>
    <t>https://tinyurl.com/ycdav633</t>
  </si>
  <si>
    <t>https://tinyurl.com/y9r7pa4s</t>
  </si>
  <si>
    <t>https://tinyurl.com/y9cz7m28</t>
  </si>
  <si>
    <t>https://tinyurl.com/yc8nshpt</t>
  </si>
  <si>
    <t>https://tinyurl.com/y7k87vra</t>
  </si>
  <si>
    <t>Head Supershape i.Rally Skis w Head PRX 12 Demo Bindings  Demo</t>
  </si>
  <si>
    <t>https://tinyurl.com/ycxvesm3</t>
  </si>
  <si>
    <t>Head Supershape E-Speed/ PRD 12 System</t>
  </si>
  <si>
    <t>https://tinyurl.com/yb228rry</t>
  </si>
  <si>
    <t>Head Supershape e-Titan Skis</t>
  </si>
  <si>
    <t>https://tinyurl.com/y83gyuum</t>
  </si>
  <si>
    <t>Hoji CC 4LOCK Womens Powder Ski | 4FRNT 170 cm</t>
  </si>
  <si>
    <t>https://tinyurl.com/yc6oebml</t>
  </si>
  <si>
    <t>'22 Line Pandora 94 Skis 158cm</t>
  </si>
  <si>
    <t>https://tinyurl.com/y7no6468</t>
  </si>
  <si>
    <t>Line Skis Pandora 94</t>
  </si>
  <si>
    <t>https://tinyurl.com/ycs285up</t>
  </si>
  <si>
    <t>Line Pandora 94 Skis Women's 2022 - - 158 cm</t>
  </si>
  <si>
    <t>https://tinyurl.com/y6veguol</t>
  </si>
  <si>
    <t>K2 Wayback 88 167</t>
  </si>
  <si>
    <t>https://tinyurl.com/y8t3b8ul</t>
  </si>
  <si>
    <t>https://tinyurl.com/yb25bvtl</t>
  </si>
  <si>
    <t>https://tinyurl.com/yapmqfue</t>
  </si>
  <si>
    <t>Fischer Transalp 82 Carbon Skis 2021</t>
  </si>
  <si>
    <t>https://tinyurl.com/yaarh644</t>
  </si>
  <si>
    <t>Fischer Transalp 82 Carbon Backcountry Ski (2021) 155</t>
  </si>
  <si>
    <t>https://tinyurl.com/y99hp43b</t>
  </si>
  <si>
    <t>Fischer Transalp 86 Carbon Touring Skis 155</t>
  </si>
  <si>
    <t>https://tinyurl.com/yc9wsgzr</t>
  </si>
  <si>
    <t>Head Super Joy Skis w/ Joy 11 GW SLR Bindings</t>
  </si>
  <si>
    <t>https://tinyurl.com/y9rpx99v</t>
  </si>
  <si>
    <t>https://tinyurl.com/y8uazsvh</t>
  </si>
  <si>
    <t>https://tinyurl.com/y93opl2q</t>
  </si>
  <si>
    <t>https://tinyurl.com/ybdmzj5m</t>
  </si>
  <si>
    <t>https://tinyurl.com/yazcse6m</t>
  </si>
  <si>
    <t>https://tinyurl.com/ydhwm3h6</t>
  </si>
  <si>
    <t>https://tinyurl.com/y7zlksgx</t>
  </si>
  <si>
    <t>https://tinyurl.com/y78j5snk</t>
  </si>
  <si>
    <t>https://tinyurl.com/yc5dmy4l</t>
  </si>
  <si>
    <t>Volkl Flair 79 Skis + IPT 11 TCX Bindings 2021 - Women's 149 cm</t>
  </si>
  <si>
    <t>https://tinyurl.com/yclhv9nt</t>
  </si>
  <si>
    <t>Volkl Flair 79 Womens Ski with IPT WR XL 11 Binding 2021</t>
  </si>
  <si>
    <t>https://tinyurl.com/yd6w8svo</t>
  </si>
  <si>
    <t>https://tinyurl.com/y77plhan</t>
  </si>
  <si>
    <t>https://tinyurl.com/y84y62vq</t>
  </si>
  <si>
    <t>2022 Armada ARW 84 Ski w/ GW Bindings - 150 | Ski Essentials</t>
  </si>
  <si>
    <t>https://tinyurl.com/y8dfdqkf</t>
  </si>
  <si>
    <t>https://tinyurl.com/y7rjvca4</t>
  </si>
  <si>
    <t>Fischer Hannibal 96 Kit 169</t>
  </si>
  <si>
    <t>https://tinyurl.com/yb9lckdo</t>
  </si>
  <si>
    <t>https://tinyurl.com/yajujhey</t>
  </si>
  <si>
    <t>Fischer Hannibal 96 Carbon 169cm</t>
  </si>
  <si>
    <t>https://tinyurl.com/y7watm73</t>
  </si>
  <si>
    <t>Head Kore 93 Anth/Yw / 184cm</t>
  </si>
  <si>
    <t>https://tinyurl.com/ydaq53vm</t>
  </si>
  <si>
    <t>https://tinyurl.com/y7keazkl</t>
  </si>
  <si>
    <t>https://tinyurl.com/ya5xwfa6</t>
  </si>
  <si>
    <t>'22 Line Pandora 94 Skis 151cm</t>
  </si>
  <si>
    <t>https://tinyurl.com/yafjblu4</t>
  </si>
  <si>
    <t>Line Pandora 94 Skis Women's 2022 - - 151 cm</t>
  </si>
  <si>
    <t>https://tinyurl.com/yazjckeh</t>
  </si>
  <si>
    <t>Line Pandora 94 Skis 2021</t>
  </si>
  <si>
    <t>https://tinyurl.com/y94sbt7m</t>
  </si>
  <si>
    <t>2022 Blizzard Zero G 95 Skis w/ Marker Kingpin 13 Binding - Light Blue - 157| Ski Essentials</t>
  </si>
  <si>
    <t>https://tinyurl.com/ydamkdez</t>
  </si>
  <si>
    <t>Blizzard Zero G 95 Ski - 2022 Light Blue, 157cm</t>
  </si>
  <si>
    <t>https://tinyurl.com/y8824oww</t>
  </si>
  <si>
    <t>https://tinyurl.com/ydb3p8hy</t>
  </si>
  <si>
    <t>https://tinyurl.com/yb8jtm3z</t>
  </si>
  <si>
    <t>https://tinyurl.com/y9a9syqr</t>
  </si>
  <si>
    <t>https://tinyurl.com/ycqdagyx</t>
  </si>
  <si>
    <t>Volkl M5 Mantra w/ Look Pivot Dual WTR Bindings</t>
  </si>
  <si>
    <t>https://tinyurl.com/ya5gxg8n</t>
  </si>
  <si>
    <t>Volkl M5 Mantra Ski 184cm</t>
  </si>
  <si>
    <t>https://tinyurl.com/y82fbh4l</t>
  </si>
  <si>
    <t>Volkl Men's M5 Mantra 96 Flat Ski 2020-2021 | BLACK/RED / 184</t>
  </si>
  <si>
    <t>https://tinyurl.com/yd5gwxln</t>
  </si>
  <si>
    <t>Rossignol Blackops Smasher 140cm</t>
  </si>
  <si>
    <t>https://tinyurl.com/y9szszpg</t>
  </si>
  <si>
    <t>Rossignol Blackops Smasher Skis</t>
  </si>
  <si>
    <t>https://tinyurl.com/yc3kpy98</t>
  </si>
  <si>
    <t>Rossignol Teen's Skis Blackops Smasher (xpress)</t>
  </si>
  <si>
    <t>https://tinyurl.com/y9fnfygv</t>
  </si>
  <si>
    <t>Head V-Shape V2 Black-Grey-White 156 Ski Men</t>
  </si>
  <si>
    <t>https://tinyurl.com/y8x6kvqj</t>
  </si>
  <si>
    <t>Head V-shape V2 Skis With Size Adjustable Pr 10 Gw Bindings 2022 156cm</t>
  </si>
  <si>
    <t>https://tinyurl.com/yaclhlja</t>
  </si>
  <si>
    <t>Head V-Shape V6 Ski with PR 10 GW Bindings 2020-2021 | BLACK/RED / 156</t>
  </si>
  <si>
    <t>https://tinyurl.com/ybnqm9b8</t>
  </si>
  <si>
    <t>Hoji Skis 4-Lock - Men's Powder Skis | 4FRNT 177 cm</t>
  </si>
  <si>
    <t>https://tinyurl.com/ya2mkcby</t>
  </si>
  <si>
    <t>Faction La Machine Skis 21/22</t>
  </si>
  <si>
    <t>https://tinyurl.com/yb88rv3m</t>
  </si>
  <si>
    <t>https://tinyurl.com/ybowj4yj</t>
  </si>
  <si>
    <t>https://tinyurl.com/yaup838q</t>
  </si>
  <si>
    <t>Atomic W Backland 98 Alpine Touring Ski (2022) 156</t>
  </si>
  <si>
    <t>https://tinyurl.com/y9zu3rl2</t>
  </si>
  <si>
    <t>'22 Atomic Backland 98 W Skis 156cm</t>
  </si>
  <si>
    <t>https://tinyurl.com/y9xyldao</t>
  </si>
  <si>
    <t>2022 Atomic Backland 98 W Ladies' Snow Skis 156</t>
  </si>
  <si>
    <t>https://tinyurl.com/y8mzyzfs</t>
  </si>
  <si>
    <t>https://tinyurl.com/yb2on7te</t>
  </si>
  <si>
    <t>Blizzard Bonafide 97 2021</t>
  </si>
  <si>
    <t>https://tinyurl.com/y7fzrnvl</t>
  </si>
  <si>
    <t>Blizzard Bonafide 97 Skis</t>
  </si>
  <si>
    <t>https://tinyurl.com/yctz6ud2</t>
  </si>
  <si>
    <t>Head Supershape I.titan 177 Cm Men's Skis W/ Freeflex Pro Bindings</t>
  </si>
  <si>
    <t>eBay - terrbake_60</t>
  </si>
  <si>
    <t>https://tinyurl.com/y7w8moxh</t>
  </si>
  <si>
    <t>https://tinyurl.com/y8yoy3va</t>
  </si>
  <si>
    <t xml:space="preserve">2022 Head Supershape Titan w Head PRD 12 Demo Bindings, Black/Blue / 177 / </t>
  </si>
  <si>
    <t>https://tinyurl.com/y7g9nhnf</t>
  </si>
  <si>
    <t>https://tinyurl.com/yc3qgmwv</t>
  </si>
  <si>
    <t>Rossignol React 4 Sport CA Skis with Xpress 11 GW Bindings - 154cm</t>
  </si>
  <si>
    <t>https://tinyurl.com/y8fpbfu6</t>
  </si>
  <si>
    <t>Rossignol Men's on Piste Skis React R2 (with XP10 Bindings) 154</t>
  </si>
  <si>
    <t>https://tinyurl.com/yarq3ake</t>
  </si>
  <si>
    <t>Blizzard Firebird SRC Skis w/ Xcell 14 Bindings</t>
  </si>
  <si>
    <t>https://tinyurl.com/yaqpgz69</t>
  </si>
  <si>
    <t>2022 Blizzard Firebird SRC + Marker Xcell 14 Binding - 165</t>
  </si>
  <si>
    <t>https://tinyurl.com/yaafu7as</t>
  </si>
  <si>
    <t>Blizzard Firebird SRC WC-PISTON(FL+PL) - Orange/Blue - Skis 165</t>
  </si>
  <si>
    <t>https://tinyurl.com/y74tykvz</t>
  </si>
  <si>
    <t>https://tinyurl.com/ydghjhuu</t>
  </si>
  <si>
    <t>https://tinyurl.com/ycbcgr7p</t>
  </si>
  <si>
    <t>k2 Mindbender 85 Alliance Skis 2022 - Size: 149</t>
  </si>
  <si>
    <t>https://tinyurl.com/y99kvthr</t>
  </si>
  <si>
    <t>Skiing Head Worldcup Rebels I. Shape Pro (attack Included) (size 170)</t>
  </si>
  <si>
    <t>https://tinyurl.com/y7yj2ey2</t>
  </si>
  <si>
    <t>Head Worldcup Rebels E-Speed + FF St 14 21/22</t>
  </si>
  <si>
    <t>https://tinyurl.com/ycrpkska</t>
  </si>
  <si>
    <t>HEAD WORLDCUP SKIS SIZE 170 CM WITH NEW TYROLIA BINDINGS</t>
  </si>
  <si>
    <t>https://tinyurl.com/ycmkslng</t>
  </si>
  <si>
    <t>Blizzard Rustler 10 Skis Â· 188 cm</t>
  </si>
  <si>
    <t>https://tinyurl.com/y9gjs78n</t>
  </si>
  <si>
    <t>Sports Basement</t>
  </si>
  <si>
    <t>https://tinyurl.com/y96fkso8</t>
  </si>
  <si>
    <t>https://tinyurl.com/ya2kkns7</t>
  </si>
  <si>
    <t>RC4 WC SC Racetrack 2016 165</t>
  </si>
  <si>
    <t>https://tinyurl.com/y9wh2yqn</t>
  </si>
  <si>
    <t>Fischer RC4 World Cup RC Mt+rc4 Z12 PR Alpine Skis 165</t>
  </si>
  <si>
    <t>https://tinyurl.com/yanh9nxs</t>
  </si>
  <si>
    <t>Fischer RC One Lite 68 Slr+rs9 SLR Alpine Skis Woman 165</t>
  </si>
  <si>
    <t>https://tinyurl.com/y7dkvjtn</t>
  </si>
  <si>
    <t>Volkl Rise Beyond 96 Women Ski 2022</t>
  </si>
  <si>
    <t>https://tinyurl.com/yccr8eod</t>
  </si>
  <si>
    <t>https://tinyurl.com/y73pjy5z</t>
  </si>
  <si>
    <t>https://tinyurl.com/y9qv4wrd</t>
  </si>
  <si>
    <t>Atomic Redster G7 Skis w Atomic XT12 Demo Bindings  Demo Skis</t>
  </si>
  <si>
    <t>https://tinyurl.com/y8q8oyya</t>
  </si>
  <si>
    <t>2020 Atomic Redster G7 Skis W/ Ft 12 Gw Bindings</t>
  </si>
  <si>
    <t>https://tinyurl.com/y8tmtrl6</t>
  </si>
  <si>
    <t>Atomic Bent 85 Skis 2023 - 175</t>
  </si>
  <si>
    <t>https://tinyurl.com/y87665mo</t>
  </si>
  <si>
    <t>Rossignol Nova 2 Skis w/ Look Xpress 10 GW Bindings</t>
  </si>
  <si>
    <t>https://tinyurl.com/ya8g8ogs</t>
  </si>
  <si>
    <t>2017 Rossignol Temptation 80 144cm W/ Look Xpress 11 Binding</t>
  </si>
  <si>
    <t>https://tinyurl.com/yblq4kl7</t>
  </si>
  <si>
    <t>Rossignol Experience 77 Basalt w/ Xpress 11 Bindings 144cm</t>
  </si>
  <si>
    <t>https://tinyurl.com/y8z97ut9</t>
  </si>
  <si>
    <t>Head Kore 111 21/22</t>
  </si>
  <si>
    <t>https://tinyurl.com/yatpa6wu</t>
  </si>
  <si>
    <t>https://tinyurl.com/y84xs4t5</t>
  </si>
  <si>
    <t>Head Kore 111 Anth/Bl / 184cm</t>
  </si>
  <si>
    <t>https://tinyurl.com/ybdu68xa</t>
  </si>
  <si>
    <t>Volkl M6 Mantra Flat Ski 2021-2022 | RED/BLACK / 184</t>
  </si>
  <si>
    <t>https://tinyurl.com/yd9mmh5m</t>
  </si>
  <si>
    <t>https://tinyurl.com/y8jnhvvd</t>
  </si>
  <si>
    <t>https://tinyurl.com/ycvapw5r</t>
  </si>
  <si>
    <t>Head Supershape e-Titan Performance Ski 177</t>
  </si>
  <si>
    <t>https://tinyurl.com/y76o97cd</t>
  </si>
  <si>
    <t>Head Supershape e-Titan Skis w/ PRD 12 GW Bindings</t>
  </si>
  <si>
    <t>https://tinyurl.com/y8qtgnnh</t>
  </si>
  <si>
    <t>https://tinyurl.com/y9a63yzv</t>
  </si>
  <si>
    <t>Volkl Rise Above 88 Women Ski 2022</t>
  </si>
  <si>
    <t>https://tinyurl.com/yco6jj5p</t>
  </si>
  <si>
    <t>Volkl Rise Above 88 Ski (170cm)</t>
  </si>
  <si>
    <t>https://tinyurl.com/ya5s5msc</t>
  </si>
  <si>
    <t>https://tinyurl.com/ycuobyr5</t>
  </si>
  <si>
    <t>Rossignol Hero Master Mens Skis 169cm</t>
  </si>
  <si>
    <t>https://tinyurl.com/ycokoe88</t>
  </si>
  <si>
    <t>Volkl Mantra 102 Ski 184cm</t>
  </si>
  <si>
    <t>https://tinyurl.com/yb6rakaq</t>
  </si>
  <si>
    <t>Volkl Mantra 102 w/ Marker Jester Pro Bindings</t>
  </si>
  <si>
    <t>https://tinyurl.com/y83qb4dd</t>
  </si>
  <si>
    <t>Volkl Mantra 102 184cm</t>
  </si>
  <si>
    <t>https://tinyurl.com/y86c77sa</t>
  </si>
  <si>
    <t>2022 Line Pandora 110 Women's Skis w/ Tyrolia Attack2 13 GW Bindings - 170| Ski Essentials</t>
  </si>
  <si>
    <t>https://tinyurl.com/ybt6kct3</t>
  </si>
  <si>
    <t>'22 Line Pandora 84 Skis 165cm</t>
  </si>
  <si>
    <t>https://tinyurl.com/y8u8xwma</t>
  </si>
  <si>
    <t>Line Pandora 84 Skis 2021</t>
  </si>
  <si>
    <t>https://tinyurl.com/yamzxmu8</t>
  </si>
  <si>
    <t>Volkl Rise Beyond 96 W Ski 2023</t>
  </si>
  <si>
    <t>https://tinyurl.com/y99m9lsc</t>
  </si>
  <si>
    <t>2022 Volkl Rise Beyond 96 Ski w/ Marker Kingpin 13 Bindings - 156| Ski Essentials</t>
  </si>
  <si>
    <t>https://tinyurl.com/y9d3fff8</t>
  </si>
  <si>
    <t>https://tinyurl.com/y73p4eoy</t>
  </si>
  <si>
    <t>https://tinyurl.com/y92ezzb6</t>
  </si>
  <si>
    <t>Blizzard Phoenix R13 CA Skis TPC 11 Demo Bindings Womens 2022</t>
  </si>
  <si>
    <t>https://tinyurl.com/y7ns92gp</t>
  </si>
  <si>
    <t>https://tinyurl.com/y7tsawzz</t>
  </si>
  <si>
    <t>https://tinyurl.com/y9e427td</t>
  </si>
  <si>
    <t>https://tinyurl.com/ycy9k8xs</t>
  </si>
  <si>
    <t>https://tinyurl.com/ydceospq</t>
  </si>
  <si>
    <t>K2 Talkback 96 156</t>
  </si>
  <si>
    <t>https://tinyurl.com/y9g8r5rz</t>
  </si>
  <si>
    <t>https://tinyurl.com/y7h3fscs</t>
  </si>
  <si>
    <t>https://tinyurl.com/yap2545r</t>
  </si>
  <si>
    <t>https://tinyurl.com/ycc22z7p</t>
  </si>
  <si>
    <t>https://tinyurl.com/y9w6yxcz</t>
  </si>
  <si>
    <t>https://tinyurl.com/y89eudjh</t>
  </si>
  <si>
    <t>Blizzard Zero G 85 Ski 2021</t>
  </si>
  <si>
    <t>https://tinyurl.com/y9f87ddd</t>
  </si>
  <si>
    <t>https://tinyurl.com/y72c5sz6</t>
  </si>
  <si>
    <t>https://tinyurl.com/y78c7pjw</t>
  </si>
  <si>
    <t>Armada Declivity 92 Ti Limited Incl Warden 13 Binding Black-Green 188 Ski Men</t>
  </si>
  <si>
    <t>https://tinyurl.com/yc2a7nxo</t>
  </si>
  <si>
    <t>https://tinyurl.com/yb356tcc</t>
  </si>
  <si>
    <t>https://tinyurl.com/y8x47dew</t>
  </si>
  <si>
    <t>https://tinyurl.com/yasvbvo7</t>
  </si>
  <si>
    <t>https://tinyurl.com/y9z7c6yp</t>
  </si>
  <si>
    <t>https://tinyurl.com/y8wbtooe</t>
  </si>
  <si>
    <t>Blizzard Thunderbird R15 WB Skis</t>
  </si>
  <si>
    <t>https://tinyurl.com/y9tozqaq</t>
  </si>
  <si>
    <t>Blizzard Thunderbird R15 Wide Body Skis TPX 12 Demo Bindings Mens 202</t>
  </si>
  <si>
    <t>https://tinyurl.com/ybdfkg2y</t>
  </si>
  <si>
    <t>Blizzard Women's Black Pearl 82 + TP 10 Skis 166</t>
  </si>
  <si>
    <t>https://tinyurl.com/ybptt583</t>
  </si>
  <si>
    <t>Fischer XTR RC One 82 GT RT with RSW 10 Binding - 2021</t>
  </si>
  <si>
    <t>https://tinyurl.com/ybs8mrlp</t>
  </si>
  <si>
    <t>https://tinyurl.com/ybpmqo6s</t>
  </si>
  <si>
    <t>Fischer RC One 82 GT Skis 2022 w/bindings 173</t>
  </si>
  <si>
    <t>https://tinyurl.com/y8qv9pya</t>
  </si>
  <si>
    <t>Dynafit Blacklight 88 W Alpine Touring Ski 151</t>
  </si>
  <si>
    <t>https://tinyurl.com/y7v8phac</t>
  </si>
  <si>
    <t>Dynafit Blacklight 88 Ski - Women - 151cm</t>
  </si>
  <si>
    <t>https://tinyurl.com/yavmz4fa</t>
  </si>
  <si>
    <t>https://tinyurl.com/ybhzxzpl</t>
  </si>
  <si>
    <t>K2 Wayback 88</t>
  </si>
  <si>
    <t>https://tinyurl.com/ybcsnw8s</t>
  </si>
  <si>
    <t>K2 Wayback 88 Ski 2022</t>
  </si>
  <si>
    <t>https://tinyurl.com/y7yfzd2m</t>
  </si>
  <si>
    <t>https://tinyurl.com/ya9x2qq5</t>
  </si>
  <si>
    <t>Head Supershape e-Magnum Skis + PRD 12 GW Bindings Â· 177 cm</t>
  </si>
  <si>
    <t>https://tinyurl.com/yc3pdtvt</t>
  </si>
  <si>
    <t>https://tinyurl.com/y8yjdkd4</t>
  </si>
  <si>
    <t>https://tinyurl.com/y83axxn2</t>
  </si>
  <si>
    <t>https://tinyurl.com/yahkq6yu</t>
  </si>
  <si>
    <t>K2 - Talkback 88 - 160</t>
  </si>
  <si>
    <t>https://tinyurl.com/yah6lawe</t>
  </si>
  <si>
    <t>https://tinyurl.com/yayb6s6g</t>
  </si>
  <si>
    <t>Elan Ripstick 88 W Women's Skis</t>
  </si>
  <si>
    <t>https://tinyurl.com/yc6r778b</t>
  </si>
  <si>
    <t>Ripstick 88 W - 146 cm - 88 mm - Tip and Tail</t>
  </si>
  <si>
    <t>Country Ski &amp; Sport</t>
  </si>
  <si>
    <t>https://tinyurl.com/y8zq2x5j</t>
  </si>
  <si>
    <t>Elan Black Magic LS ELW9.0 22</t>
  </si>
  <si>
    <t>https://tinyurl.com/yazyys8c</t>
  </si>
  <si>
    <t>4FRNT Skis - MSP 99 - All Mountain Frontside Ski 181 cm</t>
  </si>
  <si>
    <t>https://tinyurl.com/ydfg496f</t>
  </si>
  <si>
    <t>https://tinyurl.com/y97o6uld</t>
  </si>
  <si>
    <t>Elan Delight Magic 19/20 Black 146 Ski Lady's Ladies / Women</t>
  </si>
  <si>
    <t>https://tinyurl.com/yamom72n</t>
  </si>
  <si>
    <t>Elan Truflex Black and Red Skis with Bindings 2022</t>
  </si>
  <si>
    <t>https://tinyurl.com/y6u6w26s</t>
  </si>
  <si>
    <t>Prodigy 1.0 Jr Ski - 2022 - Kids' One Color, 155cm - Excellent</t>
  </si>
  <si>
    <t>https://tinyurl.com/y8srkryv</t>
  </si>
  <si>
    <t>https://tinyurl.com/y9kg2ocr</t>
  </si>
  <si>
    <t>Faction Ct 1.0 Jr Ski - Youth 2022</t>
  </si>
  <si>
    <t>https://tinyurl.com/y7o3mve9</t>
  </si>
  <si>
    <t>https://tinyurl.com/y9obdd26</t>
  </si>
  <si>
    <t>Head Kore 99 Incl Attack 14 GW Binding Anthracite-Red 184 Ski Men</t>
  </si>
  <si>
    <t>https://tinyurl.com/yc6qbyca</t>
  </si>
  <si>
    <t>https://tinyurl.com/yawuluc7</t>
  </si>
  <si>
    <t>https://tinyurl.com/ya92obe8</t>
  </si>
  <si>
    <t>https://tinyurl.com/yayc3y2h</t>
  </si>
  <si>
    <t>https://tinyurl.com/y8vbozoq</t>
  </si>
  <si>
    <t>Blizzard Zero G 85 Ski - 164cm, Grey</t>
  </si>
  <si>
    <t>https://tinyurl.com/y9nsg67l</t>
  </si>
  <si>
    <t>https://tinyurl.com/y8pwtuqo</t>
  </si>
  <si>
    <t>https://tinyurl.com/yccafojz</t>
  </si>
  <si>
    <t>Atomic Maverick 100 Ti Bk/Darkgreen / 188cm</t>
  </si>
  <si>
    <t>https://tinyurl.com/ybd8wlfa</t>
  </si>
  <si>
    <t>https://tinyurl.com/y8rryykq</t>
  </si>
  <si>
    <t>https://tinyurl.com/y8zjspxc</t>
  </si>
  <si>
    <t>Atomic Redster S9 Revo S Skis + x 12 GW Bindings Â· 170 cm</t>
  </si>
  <si>
    <t>https://tinyurl.com/y9s959lt</t>
  </si>
  <si>
    <t>Atomic Redster S9i Skis w Atomic X12 TL GW Demo Bindings  Demo</t>
  </si>
  <si>
    <t>https://tinyurl.com/y8nz7ey7</t>
  </si>
  <si>
    <t>Atomic Mens Redster XT Skis + XT 10 Bindings 2017 - 170</t>
  </si>
  <si>
    <t>https://tinyurl.com/yc856rh3</t>
  </si>
  <si>
    <t>2022 Nordica Enforcer 110 Free snow skis 185</t>
  </si>
  <si>
    <t>https://tinyurl.com/yd4vdvoq</t>
  </si>
  <si>
    <t>Nordica Enforcer 93 With Marker Griffon Bindings</t>
  </si>
  <si>
    <t>https://tinyurl.com/yay24pme</t>
  </si>
  <si>
    <t xml:space="preserve"> Nordica Enforcer 93 185 Cm Mens Downhill Ski Combo</t>
  </si>
  <si>
    <t>https://tinyurl.com/ydyh854u</t>
  </si>
  <si>
    <t>Blizzard Firebird HRC WC Piston Skis Â· 2022 Â· 166 cm</t>
  </si>
  <si>
    <t>https://tinyurl.com/y93kncbx</t>
  </si>
  <si>
    <t>2021 Blizzard Firebird HRC Skis w/Xcell 14 Bindings</t>
  </si>
  <si>
    <t>https://tinyurl.com/y9ckq7u6</t>
  </si>
  <si>
    <t>2022 Blizzard Firebird Hrc Skis W/ Xcell 14 Bindings | 8a003000</t>
  </si>
  <si>
    <t>https://tinyurl.com/y6wajrwg</t>
  </si>
  <si>
    <t>Elan SL + EMX 11 21/22</t>
  </si>
  <si>
    <t>https://tinyurl.com/y7dq22xs</t>
  </si>
  <si>
    <t>Armada Trace 88 White Skis Â· Women's Â· 152 cm</t>
  </si>
  <si>
    <t>https://tinyurl.com/y8ro578v</t>
  </si>
  <si>
    <t>https://tinyurl.com/y8o9wdm2</t>
  </si>
  <si>
    <t>https://tinyurl.com/y8wsue5p</t>
  </si>
  <si>
    <t>https://tinyurl.com/yco2dm23</t>
  </si>
  <si>
    <t>Blizzard Brahma 82 Skis (Blue) Man</t>
  </si>
  <si>
    <t>https://tinyurl.com/yan6fvaf</t>
  </si>
  <si>
    <t>Blizzard Brahma 82 Flat Ski 2020-2021 | BLUE / 187</t>
  </si>
  <si>
    <t>https://tinyurl.com/yc2l249s</t>
  </si>
  <si>
    <t>2022 Blizzard Brahma 82 Snow Skis 187</t>
  </si>
  <si>
    <t>https://tinyurl.com/y7rxs2jr</t>
  </si>
  <si>
    <t>Nordica Enforcer 104 free GREY/BLUE/WHITE / 186cm</t>
  </si>
  <si>
    <t>https://tinyurl.com/y8jhjn2m</t>
  </si>
  <si>
    <t>https://tinyurl.com/ybedqxzs</t>
  </si>
  <si>
    <t>Nordica Enforcer 104 Free Alpine Skis 2022 - - 186 cm</t>
  </si>
  <si>
    <t>https://tinyurl.com/yadz5qkz</t>
  </si>
  <si>
    <t>https://tinyurl.com/yag4yu2f</t>
  </si>
  <si>
    <t>https://tinyurl.com/ybo95jax</t>
  </si>
  <si>
    <t>Atomic Atomic Cloud C14 WB Revo S + x 12 GW Black 2022 - Women's</t>
  </si>
  <si>
    <t>https://tinyurl.com/y8bqvcnv</t>
  </si>
  <si>
    <t>SCOTT Superguide 88 W Alpine Touring Ski 152</t>
  </si>
  <si>
    <t>https://tinyurl.com/ycf5shxy</t>
  </si>
  <si>
    <t>Scott Superguide 88 Women Ski 2022</t>
  </si>
  <si>
    <t>https://tinyurl.com/ybmxtkdf</t>
  </si>
  <si>
    <t>https://tinyurl.com/y7gdnh7r</t>
  </si>
  <si>
    <t>Armada Declivity 108 Ti Skis 190cm 2022</t>
  </si>
  <si>
    <t>https://tinyurl.com/y8223hgu</t>
  </si>
  <si>
    <t>https://tinyurl.com/ycw3m3w6</t>
  </si>
  <si>
    <t>https://tinyurl.com/y6wuypb5</t>
  </si>
  <si>
    <t>Volkl Men's M5 Mantra 96 Flat Ski 2020-2021 | BLACK/RED / 191</t>
  </si>
  <si>
    <t>https://tinyurl.com/yb9y26op</t>
  </si>
  <si>
    <t>2021 VOLKL Mantra M5 snow skis 191</t>
  </si>
  <si>
    <t>https://tinyurl.com/ydfyp4d7</t>
  </si>
  <si>
    <t>Volkl Mantra 102 Skis 2021</t>
  </si>
  <si>
    <t>https://tinyurl.com/yact2bkq</t>
  </si>
  <si>
    <t>Salomon Stance 96 Mens Skis Dark Grey/Black/Brown Sz 188cm</t>
  </si>
  <si>
    <t>https://tinyurl.com/yb3zms9j</t>
  </si>
  <si>
    <t>Salomon Stance 96</t>
  </si>
  <si>
    <t>https://tinyurl.com/yalwmuo3</t>
  </si>
  <si>
    <t>https://tinyurl.com/yc7sfsrp</t>
  </si>
  <si>
    <t>https://tinyurl.com/yaqlhuqc</t>
  </si>
  <si>
    <t>https://tinyurl.com/ya32f4ln</t>
  </si>
  <si>
    <t>https://tinyurl.com/yboo6k8h</t>
  </si>
  <si>
    <t>https://tinyurl.com/y9x963c7</t>
  </si>
  <si>
    <t>Salomon MTN EXPLORE 88 W 153</t>
  </si>
  <si>
    <t>https://tinyurl.com/y9af5qlo</t>
  </si>
  <si>
    <t>Salomon MTN Explore 88 - Women - 153cm</t>
  </si>
  <si>
    <t>https://tinyurl.com/yazk9ft9</t>
  </si>
  <si>
    <t>https://tinyurl.com/ybyfnvm7</t>
  </si>
  <si>
    <t>https://tinyurl.com/y77xbwf6</t>
  </si>
  <si>
    <t>Rossignol Blackops Gamer 186cm</t>
  </si>
  <si>
    <t>https://tinyurl.com/ybg8qa8v</t>
  </si>
  <si>
    <t>'22 Rossignol Blackops Gamer Skis 186cm</t>
  </si>
  <si>
    <t>purestokesports.com</t>
  </si>
  <si>
    <t>https://tinyurl.com/yasmoflm</t>
  </si>
  <si>
    <t>Rossignol Skis â€“ BlackOps Sender 2020 â€“ 186cm [NEW]</t>
  </si>
  <si>
    <t>Gearo</t>
  </si>
  <si>
    <t>https://tinyurl.com/y7nwgbot</t>
  </si>
  <si>
    <t>https://tinyurl.com/y8hwovge</t>
  </si>
  <si>
    <t>https://tinyurl.com/y9oe97ey</t>
  </si>
  <si>
    <t>https://tinyurl.com/ya3hupyo</t>
  </si>
  <si>
    <t>https://tinyurl.com/ybr4bywo</t>
  </si>
  <si>
    <t>https://tinyurl.com/ybn9xdac</t>
  </si>
  <si>
    <t>Armada Whitewalker Skis 2022</t>
  </si>
  <si>
    <t>https://tinyurl.com/yakfocxt</t>
  </si>
  <si>
    <t>https://tinyurl.com/ya8fkhua</t>
  </si>
  <si>
    <t>https://tinyurl.com/yczppwak</t>
  </si>
  <si>
    <t>Volkl Katana 108 Ski 2022</t>
  </si>
  <si>
    <t>https://tinyurl.com/y8cmmmae</t>
  </si>
  <si>
    <t>'21 Volkl Katana 108 Skis 177cm</t>
  </si>
  <si>
    <t>https://tinyurl.com/yb4y5fmk</t>
  </si>
  <si>
    <t>https://tinyurl.com/ycvyoj7g</t>
  </si>
  <si>
    <t>'22 K2 Mindbender 108 Ti Skis 186cm</t>
  </si>
  <si>
    <t>https://tinyurl.com/y8p325kf</t>
  </si>
  <si>
    <t>K2 mindbender 108 ti skis - men</t>
  </si>
  <si>
    <t>https://tinyurl.com/yd44fxuc</t>
  </si>
  <si>
    <t>https://tinyurl.com/y6wbukay</t>
  </si>
  <si>
    <t>Nordica Enforcer 88 Skis Â· 2022 Â· 186 cm</t>
  </si>
  <si>
    <t>https://tinyurl.com/y92u95xn</t>
  </si>
  <si>
    <t>https://tinyurl.com/ya7qh2uz</t>
  </si>
  <si>
    <t>https://tinyurl.com/yd88kfdy</t>
  </si>
  <si>
    <t>Blizzard Brahma 88 20/21</t>
  </si>
  <si>
    <t>https://tinyurl.com/y84zpmp8</t>
  </si>
  <si>
    <t>Blizzard Men's Brahma 88 Alpine Ski 2022 189</t>
  </si>
  <si>
    <t>https://tinyurl.com/y9hegnr4</t>
  </si>
  <si>
    <t>Blizzard Brahma 88 Skis W/ Warden 13 Bindings 2021 - 189cm - No-Binding Mounting</t>
  </si>
  <si>
    <t>https://tinyurl.com/y7p4hxj6</t>
  </si>
  <si>
    <t>https://tinyurl.com/y7gxteft</t>
  </si>
  <si>
    <t>Fischer Hannibal 96 Kit 162</t>
  </si>
  <si>
    <t>https://tinyurl.com/ycv2kp3h</t>
  </si>
  <si>
    <t>Fischer Hannibal 96 Carbon Ski - 162cm</t>
  </si>
  <si>
    <t>https://tinyurl.com/ybtf8zhc</t>
  </si>
  <si>
    <t>Blizzard Zero G 85 Light Grey Skis Â· 150 cm</t>
  </si>
  <si>
    <t>https://tinyurl.com/ybnwt726</t>
  </si>
  <si>
    <t>https://tinyurl.com/yae464hn</t>
  </si>
  <si>
    <t>https://tinyurl.com/ydb53nda</t>
  </si>
  <si>
    <t>DPS Pagoda 112 RP Skis Â· 189 cm Â· Yellow</t>
  </si>
  <si>
    <t>https://tinyurl.com/ybrs6soz</t>
  </si>
  <si>
    <t>https://tinyurl.com/ybj9jqag</t>
  </si>
  <si>
    <t>https://tinyurl.com/y853f8bs</t>
  </si>
  <si>
    <t>2022 Volkl Katana V-Werks Skis - 191</t>
  </si>
  <si>
    <t>https://tinyurl.com/ycp9w75k</t>
  </si>
  <si>
    <t>https://tinyurl.com/y7eoprb2</t>
  </si>
  <si>
    <t>https://tinyurl.com/y9ldny38</t>
  </si>
  <si>
    <t>K2 Talkback 88 Touring Skis (women)</t>
  </si>
  <si>
    <t>https://tinyurl.com/y8atpmfy</t>
  </si>
  <si>
    <t>K2 Talkback 88 Skis - Women's - 2022 153 cm</t>
  </si>
  <si>
    <t>https://tinyurl.com/ybagjbpz</t>
  </si>
  <si>
    <t>2022 K2 Talkback 88 Women's Skis w/ Marker Kingpin 13 Bindings - 153| Ski Essentials</t>
  </si>
  <si>
    <t>https://tinyurl.com/y8kbxd3n</t>
  </si>
  <si>
    <t>https://tinyurl.com/ycsrmo9k</t>
  </si>
  <si>
    <t>Salomon E S/RACE MT + Z12 GW F80 Blue/Yellow / 165cm</t>
  </si>
  <si>
    <t>https://tinyurl.com/y8gq9swn</t>
  </si>
  <si>
    <t>Salomon S/race Rush SL Skis Â· 165 cm</t>
  </si>
  <si>
    <t>https://tinyurl.com/ybzvwlp4</t>
  </si>
  <si>
    <t>https://tinyurl.com/y7nx3n9d</t>
  </si>
  <si>
    <t>https://tinyurl.com/y8y4ur8x</t>
  </si>
  <si>
    <t>https://tinyurl.com/y9la5aj4</t>
  </si>
  <si>
    <t>https://tinyurl.com/y79ssd7z</t>
  </si>
  <si>
    <t>https://tinyurl.com/y9aoq3w6</t>
  </si>
  <si>
    <t>'21 Volkl Katana 108 Skis 184cm</t>
  </si>
  <si>
    <t>https://tinyurl.com/y7sa5wfd</t>
  </si>
  <si>
    <t>Rossignol Blackops Sender Ti Skis</t>
  </si>
  <si>
    <t>https://tinyurl.com/y7zzb48c</t>
  </si>
  <si>
    <t>Rossignol Blackops Sender TI 194cm</t>
  </si>
  <si>
    <t>https://tinyurl.com/y87rwc5j</t>
  </si>
  <si>
    <t>https://tinyurl.com/yb4stvy6</t>
  </si>
  <si>
    <t>Black Crows NOCTA Skis</t>
  </si>
  <si>
    <t>https://tinyurl.com/ybkobdr4</t>
  </si>
  <si>
    <t>https://tinyurl.com/yb2h38kh</t>
  </si>
  <si>
    <t>Black Crows Nocta Skis 190cm</t>
  </si>
  <si>
    <t>https://tinyurl.com/yazc77k4</t>
  </si>
  <si>
    <t>Rossignol Blackops Whizbanger 148cm</t>
  </si>
  <si>
    <t>https://tinyurl.com/y6wtv3w9</t>
  </si>
  <si>
    <t>Rossignol Blackops Whizbanger Skis</t>
  </si>
  <si>
    <t>https://tinyurl.com/yba7ozw8</t>
  </si>
  <si>
    <t>Rossignol BlackOps Whizbanger Skis - Kid's &amp; Junior 2022 148cm</t>
  </si>
  <si>
    <t>https://tinyurl.com/y9n2h2l4</t>
  </si>
  <si>
    <t>2022 Dynastar M-Free 108 Ski with Salomon Guardian MNC 16 Bindings</t>
  </si>
  <si>
    <t>https://tinyurl.com/yauwm4vd</t>
  </si>
  <si>
    <t>https://tinyurl.com/y77qpmg7</t>
  </si>
  <si>
    <t>Dynastar M-Free 108</t>
  </si>
  <si>
    <t>https://tinyurl.com/y7l3byr8</t>
  </si>
  <si>
    <t>Faction Candide Ct 1.0 Jr (Red) Kids Skis</t>
  </si>
  <si>
    <t>https://tinyurl.com/y6weu3xp</t>
  </si>
  <si>
    <t>Faction CT 1.0 Skis JR 2022 145</t>
  </si>
  <si>
    <t>https://tinyurl.com/y78xs3hf</t>
  </si>
  <si>
    <t>2022 K2 Disruption 82 Ti Demo Ski w/ MXCELL 12 TCX Bindings - 170| Ski Essentials</t>
  </si>
  <si>
    <t>https://tinyurl.com/ybwulg2u</t>
  </si>
  <si>
    <t>K2 Disruption 82 Ti MXCELL 12 TCX Quikclik Black - Anthracite Set Skis - Multicolour</t>
  </si>
  <si>
    <t>https://tinyurl.com/y8htz6yv</t>
  </si>
  <si>
    <t>K2 Disruption 82 Ti Black-Green 170 Ski Men</t>
  </si>
  <si>
    <t>https://tinyurl.com/y8pk6gdm</t>
  </si>
  <si>
    <t>https://tinyurl.com/y7v4xmrj</t>
  </si>
  <si>
    <t>https://tinyurl.com/y9u9cx99</t>
  </si>
  <si>
    <t>Salomon S/Max Blast Women's Skis w/ Z12 GW Bindings 2020</t>
  </si>
  <si>
    <t>https://tinyurl.com/y8ysqkwr</t>
  </si>
  <si>
    <t>https://tinyurl.com/ycju8dbh</t>
  </si>
  <si>
    <t>https://tinyurl.com/yaf6xxuh</t>
  </si>
  <si>
    <t>https://tinyurl.com/ycckov29</t>
  </si>
  <si>
    <t>https://tinyurl.com/ydfl3ddx</t>
  </si>
  <si>
    <t>https://tinyurl.com/y7wo2ckd</t>
  </si>
  <si>
    <t>Blizzard Firebird HRC Skis</t>
  </si>
  <si>
    <t>https://tinyurl.com/ya7fbnzq</t>
  </si>
  <si>
    <t>Blizzard Firebird HRC WC Piston Skis Â· 2021 Â· 174 cm</t>
  </si>
  <si>
    <t>https://tinyurl.com/y8bo66nw</t>
  </si>
  <si>
    <t>Blizzard Quattro RS Ski + Marker Race Xcell 14 Ski Binding - 2018 - Size: 174cm</t>
  </si>
  <si>
    <t>https://tinyurl.com/y85v6nne</t>
  </si>
  <si>
    <t>Armada Magic J 127mm 190 2022 Skis Men, Freeride ski, Freeski</t>
  </si>
  <si>
    <t>https://tinyurl.com/ybrswd8n</t>
  </si>
  <si>
    <t>Armada Magic J Skis 190cm 2022</t>
  </si>
  <si>
    <t>https://tinyurl.com/ycffy7sw</t>
  </si>
  <si>
    <t>Armada Magic J Skis - 2022 190cm</t>
  </si>
  <si>
    <t>https://tinyurl.com/y7w45sr7</t>
  </si>
  <si>
    <t>https://tinyurl.com/y8ewkbk5</t>
  </si>
  <si>
    <t>https://tinyurl.com/yaanpsew</t>
  </si>
  <si>
    <t>Volkl Racetiger RC + vMotion 11 GW 19/20</t>
  </si>
  <si>
    <t>https://tinyurl.com/yczf26dc</t>
  </si>
  <si>
    <t>Salomon X-Race Lab Race Skis with X-12 Lab Bindings</t>
  </si>
  <si>
    <t>https://tinyurl.com/y8vudvja</t>
  </si>
  <si>
    <t>https://tinyurl.com/ycg38gwn</t>
  </si>
  <si>
    <t>https://tinyurl.com/y8sudxyu</t>
  </si>
  <si>
    <t>Nordica Enforcer 104 Free Skis</t>
  </si>
  <si>
    <t>https://tinyurl.com/yd4s76aa</t>
  </si>
  <si>
    <t>Head Kore 117 Skis Â· 2022 Â· 184 cm</t>
  </si>
  <si>
    <t>https://tinyurl.com/ycn978or</t>
  </si>
  <si>
    <t>Head Kore 117 Skis</t>
  </si>
  <si>
    <t>https://tinyurl.com/yc7dppvt</t>
  </si>
  <si>
    <t>Head Kore 117 Anthracite/Black / 184cm</t>
  </si>
  <si>
    <t>https://tinyurl.com/y8fvep98</t>
  </si>
  <si>
    <t>https://tinyurl.com/y7hxgcm4</t>
  </si>
  <si>
    <t>Volkl Carver Plus 191 Cm Carving Skis W/ Salomon 900s Bindings - Sports &amp; outdoors | Color: Red</t>
  </si>
  <si>
    <t>https://tinyurl.com/yatyzo5n</t>
  </si>
  <si>
    <t>Volkl Other | Volkl Carver Plus 191 Cm Carving Skis W Salomon 900s Bindings | Color: Black/Red | Size: 191 Cm | Chrispy_Kicks's Closet</t>
  </si>
  <si>
    <t>https://tinyurl.com/y9ey3eod</t>
  </si>
  <si>
    <t>https://tinyurl.com/y72udlv6</t>
  </si>
  <si>
    <t>https://tinyurl.com/y8b2hb5o</t>
  </si>
  <si>
    <t>https://tinyurl.com/y9kv7dn7</t>
  </si>
  <si>
    <t>https://tinyurl.com/y9lxsvba</t>
  </si>
  <si>
    <t>Atomic Redster X7 WB Skis w Atomic FT 12 GW Bindings  Demo Skis</t>
  </si>
  <si>
    <t>https://tinyurl.com/ycsbavxz</t>
  </si>
  <si>
    <t>2017 Atomic Rs Doubledeck 3.0 Gs Men's Skis Only</t>
  </si>
  <si>
    <t>https://tinyurl.com/y955efzc</t>
  </si>
  <si>
    <t>Rossignol Hero Master (R22) 173cm</t>
  </si>
  <si>
    <t>https://tinyurl.com/y9voz77e</t>
  </si>
  <si>
    <t>Rossignol Hero Master LT + SPX15 Rockerace Forza 22/23</t>
  </si>
  <si>
    <t>https://tinyurl.com/y9ga8jgw</t>
  </si>
  <si>
    <t>Rossignol Hero Master Flat Skis 20/21 /m17 Â· 173 cm</t>
  </si>
  <si>
    <t>https://tinyurl.com/y97oajx9</t>
  </si>
  <si>
    <t>https://tinyurl.com/ya2qv9vy</t>
  </si>
  <si>
    <t>https://tinyurl.com/ycrn3ltr</t>
  </si>
  <si>
    <t>https://tinyurl.com/ydyzf93j</t>
  </si>
  <si>
    <t>Blizzard Cochise 106 185</t>
  </si>
  <si>
    <t>https://tinyurl.com/y8ph3cb2</t>
  </si>
  <si>
    <t>2022 Blizzard Cochise 106 Demo Skis w/ Marker Griffon 13 ID Bindings - 185| Ski Essentials</t>
  </si>
  <si>
    <t>https://tinyurl.com/y7agl2tp</t>
  </si>
  <si>
    <t>Blizzard Cochise 106 Skis</t>
  </si>
  <si>
    <t>https://tinyurl.com/y9ddpbgn</t>
  </si>
  <si>
    <t>Blizzard Thunderbird R15 WB Ski System with TPX 12 Bindings Men's, 174</t>
  </si>
  <si>
    <t>https://tinyurl.com/y75y8oej</t>
  </si>
  <si>
    <t>https://tinyurl.com/ycy7hkot</t>
  </si>
  <si>
    <t>Blizzard Thunderbird 72 Ski + TLT10 - Winter 2021/2022 174</t>
  </si>
  <si>
    <t>https://tinyurl.com/ybfc26ez</t>
  </si>
  <si>
    <t>Fischer RC4 WC GS MO-Plate Junior Race Skis 170cm</t>
  </si>
  <si>
    <t>https://tinyurl.com/y85yj87u</t>
  </si>
  <si>
    <t>Fischer RC4 Worldcup SC Pro Black-Yellow 170 Ski Lady's Men</t>
  </si>
  <si>
    <t>https://tinyurl.com/yaopwd9t</t>
  </si>
  <si>
    <t>Fischer RC4 World Cup SC Pro M/o+rc4 Z13 FF Woman 170</t>
  </si>
  <si>
    <t>https://tinyurl.com/y78tjd3v</t>
  </si>
  <si>
    <t>Elan Ace SLX Blue-Green 169 Ski Lady's Men</t>
  </si>
  <si>
    <t>https://tinyurl.com/y87ppdwx</t>
  </si>
  <si>
    <t>K2 Disruption 78 Ti + TCX 12 21/22</t>
  </si>
  <si>
    <t>https://tinyurl.com/y8q73x6s</t>
  </si>
  <si>
    <t>https://tinyurl.com/y6w6gtlw</t>
  </si>
  <si>
    <t>https://tinyurl.com/y76ysgso</t>
  </si>
  <si>
    <t>K2 Disruption 82 Ti MXCELL 12 TCX Quikclik Set - Black 177</t>
  </si>
  <si>
    <t>https://tinyurl.com/yazkkdvu</t>
  </si>
  <si>
    <t>https://tinyurl.com/y78h6tqh</t>
  </si>
  <si>
    <t>https://tinyurl.com/yacrkuvc</t>
  </si>
  <si>
    <t>K2 Disruption MTI +TCx 12 21/22</t>
  </si>
  <si>
    <t>https://tinyurl.com/y9zoggrw</t>
  </si>
  <si>
    <t>K2 Disruption MTI Black-Beige 175 Ski Men</t>
  </si>
  <si>
    <t>https://tinyurl.com/y8ua4w2o</t>
  </si>
  <si>
    <t>K2 Disruption MTi Skis 2022 - Size: 175</t>
  </si>
  <si>
    <t>https://tinyurl.com/ycskrjw4</t>
  </si>
  <si>
    <t>https://tinyurl.com/y93obo7x</t>
  </si>
  <si>
    <t>https://tinyurl.com/ycqg3bjn</t>
  </si>
  <si>
    <t>https://tinyurl.com/ycg6zuq2</t>
  </si>
  <si>
    <t>K2 Mindbender 99Ti Skis</t>
  </si>
  <si>
    <t>https://tinyurl.com/yd6gqv4e</t>
  </si>
  <si>
    <t>https://tinyurl.com/y8oy897l</t>
  </si>
  <si>
    <t>https://tinyurl.com/yb2ydbgo</t>
  </si>
  <si>
    <t>Mindbender 108 Ti Griffon 13 Id Set Black</t>
  </si>
  <si>
    <t>https://tinyurl.com/yampeojs</t>
  </si>
  <si>
    <t>K2 Mindbender 116C Skis - 2022 - 193cm</t>
  </si>
  <si>
    <t>https://tinyurl.com/y9lfmmj2</t>
  </si>
  <si>
    <t>K2 Mindbender 108Ti Skis Men's 2022</t>
  </si>
  <si>
    <t>https://tinyurl.com/yc92chqx</t>
  </si>
  <si>
    <t>https://tinyurl.com/y9aw2ro6</t>
  </si>
  <si>
    <t>Head Kore 111 Anth/Bl / 191cm</t>
  </si>
  <si>
    <t>https://tinyurl.com/ybf96c2n</t>
  </si>
  <si>
    <t>https://tinyurl.com/y7dhauje</t>
  </si>
  <si>
    <t>Rossignol Hero Master (R22) 179cm</t>
  </si>
  <si>
    <t>https://tinyurl.com/y88ngcya</t>
  </si>
  <si>
    <t>https://tinyurl.com/ya9je2pv</t>
  </si>
  <si>
    <t>Rossignol Unisex Racing Skis Hero Master Â· 179 cm</t>
  </si>
  <si>
    <t>https://tinyurl.com/ybat64qo</t>
  </si>
  <si>
    <t>Blizzard Spur Skis 189cm 2022</t>
  </si>
  <si>
    <t>https://tinyurl.com/yc65t9po</t>
  </si>
  <si>
    <t>https://tinyurl.com/y7w98lcl</t>
  </si>
  <si>
    <t>https://tinyurl.com/y79wkdfe</t>
  </si>
  <si>
    <t>https://tinyurl.com/yd3kan45</t>
  </si>
  <si>
    <t>2021 Volkl Mantra 102</t>
  </si>
  <si>
    <t>https://tinyurl.com/yce3ky5n</t>
  </si>
  <si>
    <t>'22 Volkl Mantra 102 Skis 191cm</t>
  </si>
  <si>
    <t>https://tinyurl.com/ya9597nf</t>
  </si>
  <si>
    <t>2022 K2 Disruption 82 Ti Demo Ski w/ MXCELL 12 TCX Bindings - 184| Ski Essentials</t>
  </si>
  <si>
    <t>https://tinyurl.com/yb77uu5k</t>
  </si>
  <si>
    <t>K2 Disruption 82 Ti Black-Green 184 Ski Men</t>
  </si>
  <si>
    <t>https://tinyurl.com/y8cpteou</t>
  </si>
  <si>
    <t>K2 Disruption 82 Ti Skis + MXCELL 12 TCX Quikclik Bindings Black Grey - 184</t>
  </si>
  <si>
    <t>https://tinyurl.com/yag7n8vf</t>
  </si>
  <si>
    <t>Rossignol Other | Rossignol Race Carver DualTec Course 183 Skis W B | Color: Yellow | Size: Os | Alan_Ildo's Closet</t>
  </si>
  <si>
    <t>https://tinyurl.com/yc7w47np</t>
  </si>
  <si>
    <t>Rossignol Dualtec Viper Skis - 183 Cm</t>
  </si>
  <si>
    <t>https://tinyurl.com/y8ggq7y4</t>
  </si>
  <si>
    <t>Blizzard Cochise 106 21/22</t>
  </si>
  <si>
    <t>https://tinyurl.com/yanqumuy</t>
  </si>
  <si>
    <t>'22 Blizzard Rustler 11 Skis 192cm</t>
  </si>
  <si>
    <t>https://tinyurl.com/ycsctxys</t>
  </si>
  <si>
    <t>Blizzard Rustler 11 Skis 192cm 2022</t>
  </si>
  <si>
    <t>https://tinyurl.com/y6wkefxn</t>
  </si>
  <si>
    <t>Dynastar M-Pro Rider 192</t>
  </si>
  <si>
    <t>https://tinyurl.com/yblvbo48</t>
  </si>
  <si>
    <t>Dynastar Skis Max 9 192 Marker M 1000 Made In France Men's Us 6.5 -</t>
  </si>
  <si>
    <t>https://tinyurl.com/y886mwao</t>
  </si>
  <si>
    <t>https://tinyurl.com/y7yp5nd4</t>
  </si>
  <si>
    <t>StartDate</t>
  </si>
  <si>
    <t>EndDate</t>
  </si>
  <si>
    <t>Status</t>
  </si>
  <si>
    <t>IPAddress</t>
  </si>
  <si>
    <t>RecordedDate</t>
  </si>
  <si>
    <t>ResponseId</t>
  </si>
  <si>
    <t>RecipientLastName</t>
  </si>
  <si>
    <t>RecipientFirstName</t>
  </si>
  <si>
    <t>RecipientEmail</t>
  </si>
  <si>
    <t>ExternalReference</t>
  </si>
  <si>
    <t>LocationLatitude</t>
  </si>
  <si>
    <t>LocationLongitude</t>
  </si>
  <si>
    <t>DistributionChannel</t>
  </si>
  <si>
    <t>UserLanguage</t>
  </si>
  <si>
    <t>Q10_7</t>
  </si>
  <si>
    <t>Q10_4</t>
  </si>
  <si>
    <t>Q10_5</t>
  </si>
  <si>
    <t>Q2</t>
  </si>
  <si>
    <t>Q25</t>
  </si>
  <si>
    <t>Q19</t>
  </si>
  <si>
    <t>Q3_1</t>
  </si>
  <si>
    <t>Q3_2</t>
  </si>
  <si>
    <t>Q3_3</t>
  </si>
  <si>
    <t>Q3_4</t>
  </si>
  <si>
    <t>Q3_5</t>
  </si>
  <si>
    <t>Q4_NPS_GROUP</t>
  </si>
  <si>
    <t>Q4</t>
  </si>
  <si>
    <t>Q14</t>
  </si>
  <si>
    <t>Q13_1</t>
  </si>
  <si>
    <t>Q13_2</t>
  </si>
  <si>
    <t>Q13_3</t>
  </si>
  <si>
    <t>Q13_4</t>
  </si>
  <si>
    <t>Q13_5</t>
  </si>
  <si>
    <t>Q26</t>
  </si>
  <si>
    <t>Q16</t>
  </si>
  <si>
    <t>Q23</t>
  </si>
  <si>
    <t>Q23_3_TEXT</t>
  </si>
  <si>
    <t>About yourself - Name (First, Last)</t>
  </si>
  <si>
    <t>About yourself - Height (ft'in'')</t>
  </si>
  <si>
    <t>Ski backcountry?</t>
  </si>
  <si>
    <t>Time on each run type (%)
Doesn't need to be perfect :) - Groomers</t>
  </si>
  <si>
    <t>Time on each run type (%)
Doesn't need to be perfect :) - Moguls</t>
  </si>
  <si>
    <t>Time on each run type (%)
Doesn't need to be perfect :) - Trees</t>
  </si>
  <si>
    <t>Time on each run type (%)
Doesn't need to be perfect :) - Powder</t>
  </si>
  <si>
    <t>Time on each run type (%)
Doesn't need to be perfect :) - Park</t>
  </si>
  <si>
    <t>You will ski most at which mountain</t>
  </si>
  <si>
    <t>On your ideal day at this mountain, you'll spend what portion on each run type (%)? - IM_eWMyQtWz4rCJnj8</t>
  </si>
  <si>
    <t>On your ideal day at this mountain, you'll spend what portion on each run type (%)? - IM_2aZzTj6El7gMR9Q</t>
  </si>
  <si>
    <t>On your ideal day at this mountain, you'll spend what portion on each run type (%)? - IM_efJNaG01ezcxTIW</t>
  </si>
  <si>
    <t>On your ideal day at this mountain, you'll spend what portion on each run type (%)? - IM_a33dip6GA1ZuyZ8</t>
  </si>
  <si>
    <t>On your ideal day at this mountain, you'll spend what portion on each run type (%)? - IM_1GnlrPaWwPd6NJI</t>
  </si>
  <si>
    <t>Will you ski backwards?</t>
  </si>
  <si>
    <t>Your budget - Selected Choice</t>
  </si>
  <si>
    <t>Your budget - Maximum budget for all equipment, in $: - Text</t>
  </si>
  <si>
    <t>171.66.12.231</t>
  </si>
  <si>
    <t>True</t>
  </si>
  <si>
    <t>R_3PIe4VdtiAPp5jO</t>
  </si>
  <si>
    <t>Guerci</t>
  </si>
  <si>
    <t>John</t>
  </si>
  <si>
    <t>jguerci@stanford.edu</t>
  </si>
  <si>
    <t>email</t>
  </si>
  <si>
    <t>John,Guerci</t>
  </si>
  <si>
    <t>195</t>
  </si>
  <si>
    <t>Ski</t>
  </si>
  <si>
    <t>Unisex (sometimes called Men's skis)</t>
  </si>
  <si>
    <t>Resorts only</t>
  </si>
  <si>
    <t>Detractor</t>
  </si>
  <si>
    <t>Tahoe</t>
  </si>
  <si>
    <t>No</t>
  </si>
  <si>
    <t>I have no budget</t>
  </si>
  <si>
    <t>8.45.42.232</t>
  </si>
  <si>
    <t>R_0MMkQCnLXHSEMI9</t>
  </si>
  <si>
    <t>Watkins</t>
  </si>
  <si>
    <t>Marshall</t>
  </si>
  <si>
    <t>marshall.watkins@stanford.edu</t>
  </si>
  <si>
    <t>Marshall Watkins</t>
  </si>
  <si>
    <t>190</t>
  </si>
  <si>
    <t>Both (hybrid setup)</t>
  </si>
  <si>
    <t>Palisades</t>
  </si>
  <si>
    <t>Maximum budget for all equipment, in $:</t>
  </si>
  <si>
    <t>$1500</t>
  </si>
  <si>
    <t>174.208.98.59</t>
  </si>
  <si>
    <t>R_1rNwh3qfUc9Tm5U</t>
  </si>
  <si>
    <t>Stuart</t>
  </si>
  <si>
    <t>sw@uwventures.com</t>
  </si>
  <si>
    <t>Brian c</t>
  </si>
  <si>
    <t>5'11"</t>
  </si>
  <si>
    <t>200</t>
  </si>
  <si>
    <t xml:space="preserve">Mammoth </t>
  </si>
  <si>
    <t>213.173.183.210</t>
  </si>
  <si>
    <t>R_2wTZpIhYeeJdo7y</t>
  </si>
  <si>
    <t>Bethancourt Jimenez</t>
  </si>
  <si>
    <t>Daniel</t>
  </si>
  <si>
    <t>danbethanc@gmail.com</t>
  </si>
  <si>
    <t>Daniel BJ</t>
  </si>
  <si>
    <t>5'7"</t>
  </si>
  <si>
    <t>150</t>
  </si>
  <si>
    <t>Yes</t>
  </si>
  <si>
    <t>I want the best equipment for me, but don't want to spend needlessly (default)</t>
  </si>
  <si>
    <t>38.140.132.162</t>
  </si>
  <si>
    <t>R_1JDSKbR0y2OUcxi</t>
  </si>
  <si>
    <t>Menke</t>
  </si>
  <si>
    <t>Alex</t>
  </si>
  <si>
    <t>Acmenke12@gmail.com</t>
  </si>
  <si>
    <t>Alexander Menke</t>
  </si>
  <si>
    <t>6' 2"</t>
  </si>
  <si>
    <t>210</t>
  </si>
  <si>
    <t>Palisades Tahoe</t>
  </si>
  <si>
    <t>Output instructions</t>
  </si>
  <si>
    <t>Sanity check length and width bounds</t>
  </si>
  <si>
    <t>Add prices/sellers that aren't yet in database</t>
  </si>
  <si>
    <t>Add pictures for each lineup option</t>
  </si>
  <si>
    <t>Adjust size/formating of lower table -- extend down cost column</t>
  </si>
  <si>
    <t>Based on your inputs, your absolute minimum ski length is X and maximum is Y because of XYZ</t>
  </si>
  <si>
    <t>Your minimum underfoot width is P and maximum is Q because of XYZ</t>
  </si>
  <si>
    <t>You requested women's skis, but many unisex options have been included</t>
  </si>
  <si>
    <t>1262 skis were analyzed to find the top 4 for you below</t>
  </si>
  <si>
    <t>Top pick</t>
  </si>
  <si>
    <t>Rossignol Blackops Blazer W</t>
  </si>
  <si>
    <t>#2</t>
  </si>
  <si>
    <t>Faction Candide CT 2.0</t>
  </si>
  <si>
    <t>#3</t>
  </si>
  <si>
    <t>Rossignol Blackops Holyshred</t>
  </si>
  <si>
    <t>#4</t>
  </si>
  <si>
    <t>Nordica Santa Ana 104 Free</t>
  </si>
  <si>
    <t>To be modeled</t>
  </si>
  <si>
    <t>Park, backcountry (deprioritized)</t>
  </si>
  <si>
    <t>Skiier summary</t>
  </si>
  <si>
    <t>lbs</t>
  </si>
  <si>
    <t>Height, floor (ft)</t>
  </si>
  <si>
    <t>Height, modulus (in)</t>
  </si>
  <si>
    <t>Height (in)</t>
  </si>
  <si>
    <t>% Desired</t>
  </si>
  <si>
    <t>Ideal ski height</t>
  </si>
  <si>
    <t xml:space="preserve">8 cm below head </t>
  </si>
  <si>
    <t>Acceptable range above</t>
  </si>
  <si>
    <t>Acceptable range below</t>
  </si>
  <si>
    <t>Max actual length</t>
  </si>
  <si>
    <t>Min actual length</t>
  </si>
  <si>
    <t>All mountain ski, mostly groomers but powder capable</t>
  </si>
  <si>
    <t>Ideal width</t>
  </si>
  <si>
    <t>Acceptable range</t>
  </si>
  <si>
    <t>Above</t>
  </si>
  <si>
    <t>Below</t>
  </si>
  <si>
    <t>Actual underfoot width</t>
  </si>
  <si>
    <t>&lt;--if park, then other considerations, maybe need a column on if park safe? De-prioritize</t>
  </si>
  <si>
    <t>Processing summary</t>
  </si>
  <si>
    <t>Deprioritized</t>
  </si>
  <si>
    <t>Count</t>
  </si>
  <si>
    <t>SKIER HEIGHT IN FEET &amp; INCHES</t>
  </si>
  <si>
    <t>SKIER HEIGHT IN CENTIMETERS (CM)</t>
  </si>
  <si>
    <t>SUGGESTED SKI LENGTHS (CM)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</si>
</sst>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6" formatCode="&quot;$&quot;#,##0_);[Red]\(&quot;$&quot;#,##0\)"/>
    <numFmt numFmtId="8" formatCode="&quot;$&quot;#,##0.00_);[Red]\(&quot;$&quot;#,##0.00\)"/>
    <numFmt numFmtId="44" formatCode="_(&quot;$&quot;* #,##0.00_);_(&quot;$&quot;* \(#,##0.00\);_(&quot;$&quot;* &quot;-&quot;??_);_(@_)"/>
    <numFmt numFmtId="164" formatCode="0.000"/>
    <numFmt numFmtId="165" formatCode="0.0"/>
    <numFmt numFmtId="166" formatCode="0.0%"/>
    <numFmt numFmtId="167" formatCode="_(&quot;$&quot;* #,##0_);_(&quot;$&quot;* \(#,##0\);_(&quot;$&quot;* &quot;-&quot;??_);_(@_)"/>
    <numFmt numFmtId="168" formatCode=";;;"/>
    <numFmt numFmtId="169" formatCode="0.0000%"/>
  </numFmts>
  <fonts count="60">
    <font>
      <sz val="10"/>
      <color indexed="8"/>
      <name val="Helvetica Neue"/>
    </font>
    <font>
      <sz val="11"/>
      <color theme="1"/>
      <name val="Helvetica Neue"/>
      <family val="2"/>
      <scheme val="minor"/>
    </font>
    <font>
      <sz val="11"/>
      <color theme="1"/>
      <name val="Helvetica Neue"/>
      <family val="2"/>
      <scheme val="minor"/>
    </font>
    <font>
      <b/>
      <sz val="10"/>
      <color indexed="8"/>
      <name val="Helvetica Neue"/>
      <family val="2"/>
    </font>
    <font>
      <sz val="10"/>
      <color indexed="8"/>
      <name val="Helvetica Neue"/>
      <family val="2"/>
    </font>
    <font>
      <i/>
      <sz val="10"/>
      <color indexed="8"/>
      <name val="Helvetica Neue"/>
      <family val="2"/>
    </font>
    <font>
      <sz val="10"/>
      <color rgb="FFC00000"/>
      <name val="Helvetica Neue"/>
      <family val="2"/>
    </font>
    <font>
      <sz val="10"/>
      <color rgb="FF0070C0"/>
      <name val="Helvetica Neue"/>
      <family val="2"/>
    </font>
    <font>
      <sz val="10"/>
      <color theme="6" tint="-0.249977111117893"/>
      <name val="Helvetica Neue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trike/>
      <sz val="11"/>
      <color indexed="8"/>
      <name val="Calibri"/>
      <family val="2"/>
    </font>
    <font>
      <b/>
      <u/>
      <sz val="11"/>
      <color indexed="8"/>
      <name val="Calibri"/>
      <family val="2"/>
    </font>
    <font>
      <sz val="10.5"/>
      <color rgb="FF2E2E2E"/>
      <name val="Century Gothic"/>
      <family val="2"/>
    </font>
    <font>
      <b/>
      <sz val="10"/>
      <color theme="0"/>
      <name val="Helvetica Neue"/>
      <family val="2"/>
    </font>
    <font>
      <b/>
      <sz val="11"/>
      <color theme="0"/>
      <name val="Calibri"/>
      <family val="2"/>
    </font>
    <font>
      <sz val="10"/>
      <color rgb="FFFF0000"/>
      <name val="Helvetica Neue"/>
      <family val="2"/>
    </font>
    <font>
      <sz val="10"/>
      <color theme="2"/>
      <name val="Helvetica Neue"/>
      <family val="2"/>
    </font>
    <font>
      <sz val="10"/>
      <color theme="0"/>
      <name val="Helvetica Neue"/>
      <family val="2"/>
    </font>
    <font>
      <sz val="10"/>
      <name val="Helvetica Neue"/>
      <family val="2"/>
    </font>
    <font>
      <u/>
      <sz val="11"/>
      <color indexed="8"/>
      <name val="Calibri"/>
      <family val="2"/>
    </font>
    <font>
      <u/>
      <sz val="10"/>
      <color indexed="8"/>
      <name val="Helvetica Neue"/>
      <family val="2"/>
    </font>
    <font>
      <i/>
      <u/>
      <sz val="10"/>
      <color indexed="8"/>
      <name val="Helvetica Neue"/>
      <family val="2"/>
    </font>
    <font>
      <i/>
      <u/>
      <sz val="11"/>
      <color rgb="FF000000"/>
      <name val="Calibri"/>
      <family val="2"/>
    </font>
    <font>
      <sz val="11"/>
      <color rgb="FF000000"/>
      <name val="Calibri"/>
      <family val="2"/>
    </font>
    <font>
      <sz val="10"/>
      <color theme="2" tint="-9.9978637043366805E-2"/>
      <name val="Helvetica Neue"/>
      <family val="2"/>
    </font>
    <font>
      <sz val="8"/>
      <color theme="2" tint="-9.9978637043366805E-2"/>
      <name val="Arial"/>
      <family val="2"/>
    </font>
    <font>
      <b/>
      <sz val="11"/>
      <color indexed="8"/>
      <name val="Helvetica Neue"/>
      <family val="2"/>
    </font>
    <font>
      <b/>
      <sz val="12"/>
      <color indexed="8"/>
      <name val="Helvetica Neue"/>
      <family val="2"/>
    </font>
    <font>
      <b/>
      <u/>
      <sz val="10"/>
      <color indexed="8"/>
      <name val="Helvetica Neue"/>
      <family val="2"/>
    </font>
    <font>
      <b/>
      <sz val="14"/>
      <color indexed="8"/>
      <name val="Helvetica Neue"/>
      <family val="2"/>
    </font>
    <font>
      <b/>
      <sz val="18"/>
      <color indexed="8"/>
      <name val="Helvetica Neue"/>
      <family val="2"/>
    </font>
    <font>
      <u/>
      <sz val="10"/>
      <color theme="10"/>
      <name val="Helvetica Neue"/>
      <family val="2"/>
    </font>
    <font>
      <sz val="11"/>
      <color indexed="8"/>
      <name val="Helvetica Neue"/>
      <family val="2"/>
      <scheme val="minor"/>
    </font>
    <font>
      <b/>
      <sz val="18"/>
      <color theme="0"/>
      <name val="Helvetica Neue"/>
      <family val="2"/>
    </font>
    <font>
      <sz val="10"/>
      <color theme="4" tint="-0.249977111117893"/>
      <name val="Helvetica Neue"/>
      <family val="2"/>
    </font>
    <font>
      <sz val="10"/>
      <color theme="10"/>
      <name val="Helvetica Neue"/>
      <family val="2"/>
    </font>
    <font>
      <b/>
      <sz val="14"/>
      <color theme="4" tint="-0.499984740745262"/>
      <name val="Helvetica Neue"/>
      <family val="2"/>
    </font>
    <font>
      <b/>
      <u/>
      <sz val="12"/>
      <color indexed="8"/>
      <name val="Helvetica Neue"/>
      <family val="2"/>
    </font>
    <font>
      <sz val="11"/>
      <color indexed="8"/>
      <name val="Helvetica Neue"/>
      <family val="2"/>
    </font>
    <font>
      <b/>
      <sz val="10"/>
      <name val="Helvetica Neue"/>
      <family val="2"/>
    </font>
    <font>
      <b/>
      <sz val="16"/>
      <color theme="4" tint="-0.499984740745262"/>
      <name val="Helvetica Neue"/>
      <family val="2"/>
    </font>
    <font>
      <sz val="14"/>
      <name val="Helvetica Neue"/>
      <family val="2"/>
    </font>
    <font>
      <b/>
      <sz val="14"/>
      <name val="Helvetica Neue"/>
      <family val="2"/>
    </font>
    <font>
      <b/>
      <sz val="13"/>
      <color indexed="8"/>
      <name val="Helvetica Neue"/>
      <family val="2"/>
    </font>
    <font>
      <sz val="13"/>
      <color indexed="8"/>
      <name val="Helvetica Neue"/>
      <family val="2"/>
    </font>
    <font>
      <sz val="13"/>
      <color theme="0"/>
      <name val="Helvetica Neue"/>
      <family val="2"/>
    </font>
    <font>
      <sz val="12"/>
      <color indexed="8"/>
      <name val="Helvetica Neue"/>
      <family val="2"/>
    </font>
    <font>
      <sz val="12"/>
      <color theme="0"/>
      <name val="Helvetica Neue"/>
      <family val="2"/>
    </font>
    <font>
      <sz val="11"/>
      <color theme="0"/>
      <name val="Helvetica Neue"/>
      <family val="2"/>
    </font>
    <font>
      <sz val="9"/>
      <name val="Courier New"/>
      <family val="3"/>
    </font>
    <font>
      <b/>
      <sz val="8"/>
      <color theme="0"/>
      <name val="Helvetica Neue"/>
      <family val="2"/>
    </font>
    <font>
      <sz val="8"/>
      <color theme="0"/>
      <name val="Helvetica Neue"/>
      <family val="2"/>
    </font>
    <font>
      <b/>
      <u/>
      <sz val="10"/>
      <color theme="10"/>
      <name val="Helvetica Neue"/>
      <family val="2"/>
    </font>
    <font>
      <sz val="11"/>
      <name val="Helvetica Neue"/>
      <family val="2"/>
    </font>
    <font>
      <b/>
      <sz val="11"/>
      <name val="Helvetica Neue"/>
      <family val="2"/>
    </font>
    <font>
      <u/>
      <sz val="10"/>
      <color theme="0"/>
      <name val="Helvetica Neue"/>
      <family val="2"/>
    </font>
    <font>
      <b/>
      <sz val="8"/>
      <color rgb="FF000000"/>
      <name val="Poppins"/>
    </font>
    <font>
      <b/>
      <sz val="16"/>
      <color theme="4" tint="-0.499984740745262"/>
      <name val="Amasis MT Pro Black"/>
      <family val="1"/>
    </font>
    <font>
      <sz val="12"/>
      <color rgb="FF000000"/>
      <name val="Calibri"/>
      <family val="2"/>
    </font>
  </fonts>
  <fills count="17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indexed="22"/>
      </patternFill>
    </fill>
    <fill>
      <patternFill patternType="solid">
        <fgColor rgb="FF002060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/>
        <bgColor indexed="64"/>
      </patternFill>
    </fill>
  </fills>
  <borders count="45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medium">
        <color rgb="FFA3A3A3"/>
      </left>
      <right style="medium">
        <color rgb="FFA3A3A3"/>
      </right>
      <top style="medium">
        <color rgb="FFA3A3A3"/>
      </top>
      <bottom style="medium">
        <color rgb="FFA3A3A3"/>
      </bottom>
      <diagonal/>
    </border>
    <border>
      <left/>
      <right style="thin">
        <color indexed="11"/>
      </right>
      <top style="thin">
        <color indexed="11"/>
      </top>
      <bottom style="thin">
        <color indexed="10"/>
      </bottom>
      <diagonal/>
    </border>
    <border>
      <left/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/>
      <top style="thin">
        <color indexed="11"/>
      </top>
      <bottom style="thin">
        <color indexed="10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/>
      <top/>
      <bottom style="thin">
        <color indexed="11"/>
      </bottom>
      <diagonal/>
    </border>
    <border>
      <left/>
      <right style="thin">
        <color indexed="11"/>
      </right>
      <top style="thin">
        <color indexed="10"/>
      </top>
      <bottom/>
      <diagonal/>
    </border>
    <border>
      <left style="thin">
        <color indexed="11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/>
      <top style="thin">
        <color indexed="10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10"/>
      </right>
      <top style="thin">
        <color indexed="10"/>
      </top>
      <bottom style="thin">
        <color indexed="1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7">
    <xf numFmtId="0" fontId="0" fillId="0" borderId="0">
      <alignment vertical="top" wrapText="1"/>
    </xf>
    <xf numFmtId="9" fontId="4" fillId="0" borderId="0"/>
    <xf numFmtId="0" fontId="2" fillId="0" borderId="0"/>
    <xf numFmtId="44" fontId="4" fillId="0" borderId="0"/>
    <xf numFmtId="0" fontId="32" fillId="0" borderId="0">
      <alignment vertical="top" wrapText="1"/>
    </xf>
    <xf numFmtId="0" fontId="33" fillId="0" borderId="0"/>
    <xf numFmtId="0" fontId="2" fillId="0" borderId="0"/>
  </cellStyleXfs>
  <cellXfs count="247">
    <xf numFmtId="0" fontId="0" fillId="0" borderId="0" xfId="0" applyAlignment="1">
      <alignment vertical="top" wrapText="1"/>
    </xf>
    <xf numFmtId="49" fontId="3" fillId="2" borderId="1" xfId="0" applyNumberFormat="1" applyFont="1" applyFill="1" applyBorder="1" applyAlignment="1">
      <alignment vertical="top"/>
    </xf>
    <xf numFmtId="0" fontId="3" fillId="2" borderId="1" xfId="0" applyFont="1" applyFill="1" applyBorder="1" applyAlignment="1">
      <alignment vertical="top"/>
    </xf>
    <xf numFmtId="49" fontId="3" fillId="3" borderId="2" xfId="0" applyNumberFormat="1" applyFont="1" applyFill="1" applyBorder="1" applyAlignment="1">
      <alignment vertical="top"/>
    </xf>
    <xf numFmtId="49" fontId="0" fillId="0" borderId="3" xfId="0" applyNumberFormat="1" applyBorder="1" applyAlignment="1">
      <alignment vertical="top"/>
    </xf>
    <xf numFmtId="49" fontId="0" fillId="0" borderId="4" xfId="0" applyNumberFormat="1" applyBorder="1" applyAlignment="1">
      <alignment vertical="top"/>
    </xf>
    <xf numFmtId="0" fontId="0" fillId="0" borderId="4" xfId="0" applyBorder="1" applyAlignment="1">
      <alignment vertical="top"/>
    </xf>
    <xf numFmtId="49" fontId="3" fillId="3" borderId="5" xfId="0" applyNumberFormat="1" applyFont="1" applyFill="1" applyBorder="1" applyAlignment="1">
      <alignment vertical="top"/>
    </xf>
    <xf numFmtId="49" fontId="0" fillId="0" borderId="6" xfId="0" applyNumberFormat="1" applyBorder="1" applyAlignment="1">
      <alignment vertical="top"/>
    </xf>
    <xf numFmtId="49" fontId="0" fillId="0" borderId="7" xfId="0" applyNumberFormat="1" applyBorder="1" applyAlignment="1">
      <alignment vertical="top"/>
    </xf>
    <xf numFmtId="0" fontId="0" fillId="0" borderId="7" xfId="0" applyBorder="1" applyAlignment="1">
      <alignment vertical="top"/>
    </xf>
    <xf numFmtId="2" fontId="0" fillId="0" borderId="0" xfId="0" applyNumberFormat="1" applyAlignment="1">
      <alignment vertical="top"/>
    </xf>
    <xf numFmtId="0" fontId="6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8" fillId="0" borderId="0" xfId="0" applyFont="1" applyAlignment="1">
      <alignment vertical="top"/>
    </xf>
    <xf numFmtId="2" fontId="8" fillId="0" borderId="0" xfId="0" applyNumberFormat="1" applyFont="1" applyAlignment="1">
      <alignment vertical="top"/>
    </xf>
    <xf numFmtId="164" fontId="0" fillId="0" borderId="0" xfId="0" applyNumberFormat="1" applyAlignment="1">
      <alignment vertical="top"/>
    </xf>
    <xf numFmtId="0" fontId="13" fillId="0" borderId="8" xfId="0" applyFont="1" applyBorder="1" applyAlignment="1">
      <alignment horizontal="center" vertical="center" wrapText="1"/>
    </xf>
    <xf numFmtId="9" fontId="0" fillId="0" borderId="0" xfId="1" applyFont="1" applyAlignment="1">
      <alignment vertical="top" wrapText="1"/>
    </xf>
    <xf numFmtId="9" fontId="0" fillId="0" borderId="0" xfId="0" applyNumberFormat="1" applyAlignment="1">
      <alignment vertical="top" wrapText="1"/>
    </xf>
    <xf numFmtId="0" fontId="11" fillId="0" borderId="0" xfId="0" applyFont="1" applyAlignment="1">
      <alignment horizontal="left" vertical="center"/>
    </xf>
    <xf numFmtId="0" fontId="15" fillId="4" borderId="0" xfId="0" applyFont="1" applyFill="1" applyAlignment="1">
      <alignment horizontal="left" vertical="center"/>
    </xf>
    <xf numFmtId="0" fontId="12" fillId="0" borderId="0" xfId="0" applyFont="1" applyAlignment="1">
      <alignment horizontal="left" vertical="center"/>
    </xf>
    <xf numFmtId="0" fontId="14" fillId="4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14" fillId="5" borderId="0" xfId="0" applyFont="1" applyFill="1" applyAlignment="1">
      <alignment vertical="top"/>
    </xf>
    <xf numFmtId="0" fontId="0" fillId="4" borderId="0" xfId="0" applyFill="1" applyAlignment="1">
      <alignment vertical="top"/>
    </xf>
    <xf numFmtId="49" fontId="3" fillId="3" borderId="9" xfId="0" applyNumberFormat="1" applyFont="1" applyFill="1" applyBorder="1" applyAlignment="1">
      <alignment vertical="top"/>
    </xf>
    <xf numFmtId="49" fontId="3" fillId="3" borderId="10" xfId="0" applyNumberFormat="1" applyFont="1" applyFill="1" applyBorder="1" applyAlignment="1">
      <alignment vertical="top"/>
    </xf>
    <xf numFmtId="0" fontId="0" fillId="0" borderId="11" xfId="0" applyBorder="1" applyAlignment="1">
      <alignment vertical="top"/>
    </xf>
    <xf numFmtId="0" fontId="0" fillId="0" borderId="12" xfId="0" applyBorder="1" applyAlignment="1">
      <alignment vertical="top"/>
    </xf>
    <xf numFmtId="49" fontId="0" fillId="0" borderId="12" xfId="0" applyNumberFormat="1" applyBorder="1" applyAlignment="1">
      <alignment vertical="top"/>
    </xf>
    <xf numFmtId="49" fontId="3" fillId="2" borderId="13" xfId="0" applyNumberFormat="1" applyFont="1" applyFill="1" applyBorder="1" applyAlignment="1">
      <alignment vertical="top"/>
    </xf>
    <xf numFmtId="49" fontId="3" fillId="2" borderId="14" xfId="0" applyNumberFormat="1" applyFont="1" applyFill="1" applyBorder="1" applyAlignment="1">
      <alignment vertical="top"/>
    </xf>
    <xf numFmtId="0" fontId="3" fillId="2" borderId="14" xfId="0" applyFont="1" applyFill="1" applyBorder="1" applyAlignment="1">
      <alignment vertical="top"/>
    </xf>
    <xf numFmtId="0" fontId="3" fillId="2" borderId="15" xfId="0" applyFont="1" applyFill="1" applyBorder="1" applyAlignment="1">
      <alignment vertical="top"/>
    </xf>
    <xf numFmtId="49" fontId="3" fillId="3" borderId="16" xfId="0" applyNumberFormat="1" applyFont="1" applyFill="1" applyBorder="1" applyAlignment="1">
      <alignment vertical="top"/>
    </xf>
    <xf numFmtId="49" fontId="0" fillId="0" borderId="17" xfId="0" applyNumberFormat="1" applyBorder="1" applyAlignment="1">
      <alignment vertical="top"/>
    </xf>
    <xf numFmtId="49" fontId="0" fillId="0" borderId="18" xfId="0" applyNumberFormat="1" applyBorder="1" applyAlignment="1">
      <alignment vertical="top"/>
    </xf>
    <xf numFmtId="0" fontId="0" fillId="0" borderId="18" xfId="0" applyBorder="1" applyAlignment="1">
      <alignment vertical="top"/>
    </xf>
    <xf numFmtId="0" fontId="0" fillId="0" borderId="19" xfId="0" applyBorder="1" applyAlignment="1">
      <alignment vertical="top"/>
    </xf>
    <xf numFmtId="0" fontId="16" fillId="0" borderId="0" xfId="0" applyFont="1" applyAlignment="1">
      <alignment vertical="top"/>
    </xf>
    <xf numFmtId="9" fontId="17" fillId="0" borderId="0" xfId="0" applyNumberFormat="1" applyFont="1" applyAlignment="1">
      <alignment vertical="top"/>
    </xf>
    <xf numFmtId="0" fontId="0" fillId="0" borderId="21" xfId="0" applyBorder="1" applyAlignment="1">
      <alignment vertical="top" wrapText="1"/>
    </xf>
    <xf numFmtId="0" fontId="18" fillId="4" borderId="21" xfId="0" applyFont="1" applyFill="1" applyBorder="1" applyAlignment="1">
      <alignment vertical="top" wrapText="1"/>
    </xf>
    <xf numFmtId="0" fontId="19" fillId="0" borderId="0" xfId="0" applyFont="1" applyAlignment="1">
      <alignment horizontal="left" vertical="top" indent="1"/>
    </xf>
    <xf numFmtId="166" fontId="0" fillId="0" borderId="0" xfId="0" applyNumberFormat="1" applyAlignment="1">
      <alignment vertical="top"/>
    </xf>
    <xf numFmtId="0" fontId="22" fillId="0" borderId="0" xfId="0" applyFont="1" applyAlignment="1">
      <alignment vertical="top"/>
    </xf>
    <xf numFmtId="0" fontId="0" fillId="7" borderId="0" xfId="0" applyFill="1" applyAlignment="1">
      <alignment vertical="top"/>
    </xf>
    <xf numFmtId="0" fontId="10" fillId="7" borderId="0" xfId="0" applyFont="1" applyFill="1" applyAlignment="1">
      <alignment horizontal="left" vertical="center"/>
    </xf>
    <xf numFmtId="0" fontId="10" fillId="7" borderId="0" xfId="0" applyFont="1" applyFill="1" applyAlignment="1">
      <alignment horizontal="left" vertical="center" indent="1"/>
    </xf>
    <xf numFmtId="0" fontId="3" fillId="7" borderId="0" xfId="0" applyFont="1" applyFill="1" applyAlignment="1">
      <alignment vertical="top"/>
    </xf>
    <xf numFmtId="0" fontId="9" fillId="0" borderId="20" xfId="0" applyFont="1" applyBorder="1" applyAlignment="1">
      <alignment horizontal="left" vertical="center"/>
    </xf>
    <xf numFmtId="0" fontId="0" fillId="0" borderId="20" xfId="0" applyBorder="1" applyAlignment="1">
      <alignment vertical="top"/>
    </xf>
    <xf numFmtId="0" fontId="10" fillId="0" borderId="0" xfId="0" applyFont="1" applyAlignment="1">
      <alignment horizontal="left" vertical="center" indent="1"/>
    </xf>
    <xf numFmtId="0" fontId="20" fillId="0" borderId="0" xfId="0" applyFont="1" applyAlignment="1">
      <alignment horizontal="left" vertical="center"/>
    </xf>
    <xf numFmtId="0" fontId="17" fillId="0" borderId="0" xfId="0" applyFont="1" applyAlignment="1">
      <alignment vertical="top"/>
    </xf>
    <xf numFmtId="9" fontId="0" fillId="0" borderId="0" xfId="0" applyNumberFormat="1" applyAlignment="1">
      <alignment vertical="top"/>
    </xf>
    <xf numFmtId="0" fontId="5" fillId="0" borderId="0" xfId="0" applyFont="1" applyAlignment="1">
      <alignment vertical="top"/>
    </xf>
    <xf numFmtId="0" fontId="0" fillId="0" borderId="24" xfId="0" applyBorder="1" applyAlignment="1">
      <alignment vertical="top"/>
    </xf>
    <xf numFmtId="0" fontId="0" fillId="0" borderId="23" xfId="0" applyBorder="1" applyAlignment="1">
      <alignment vertical="top" wrapText="1"/>
    </xf>
    <xf numFmtId="0" fontId="0" fillId="0" borderId="25" xfId="0" applyBorder="1" applyAlignment="1">
      <alignment vertical="top" wrapText="1"/>
    </xf>
    <xf numFmtId="0" fontId="18" fillId="5" borderId="21" xfId="0" applyFont="1" applyFill="1" applyBorder="1" applyAlignment="1">
      <alignment vertical="top"/>
    </xf>
    <xf numFmtId="0" fontId="18" fillId="5" borderId="0" xfId="0" applyFont="1" applyFill="1" applyAlignment="1">
      <alignment vertical="top"/>
    </xf>
    <xf numFmtId="0" fontId="21" fillId="0" borderId="0" xfId="0" applyFont="1" applyAlignment="1">
      <alignment vertical="top"/>
    </xf>
    <xf numFmtId="165" fontId="0" fillId="0" borderId="0" xfId="0" applyNumberFormat="1" applyAlignment="1">
      <alignment vertical="top"/>
    </xf>
    <xf numFmtId="1" fontId="0" fillId="0" borderId="0" xfId="0" applyNumberFormat="1" applyAlignment="1">
      <alignment vertical="top"/>
    </xf>
    <xf numFmtId="2" fontId="0" fillId="0" borderId="0" xfId="0" applyNumberFormat="1" applyAlignment="1">
      <alignment vertical="top" wrapText="1"/>
    </xf>
    <xf numFmtId="0" fontId="23" fillId="0" borderId="0" xfId="0" applyFont="1" applyAlignment="1">
      <alignment horizontal="left" vertical="center"/>
    </xf>
    <xf numFmtId="0" fontId="24" fillId="0" borderId="0" xfId="0" applyFont="1" applyAlignment="1">
      <alignment horizontal="left" vertical="center"/>
    </xf>
    <xf numFmtId="2" fontId="0" fillId="0" borderId="21" xfId="0" applyNumberFormat="1" applyBorder="1" applyAlignment="1">
      <alignment vertical="top" wrapText="1"/>
    </xf>
    <xf numFmtId="0" fontId="18" fillId="6" borderId="21" xfId="0" applyFont="1" applyFill="1" applyBorder="1" applyAlignment="1">
      <alignment vertical="top" wrapText="1"/>
    </xf>
    <xf numFmtId="9" fontId="0" fillId="0" borderId="21" xfId="0" applyNumberFormat="1" applyBorder="1" applyAlignment="1">
      <alignment vertical="top" wrapText="1"/>
    </xf>
    <xf numFmtId="0" fontId="0" fillId="0" borderId="26" xfId="0" applyBorder="1" applyAlignment="1">
      <alignment vertical="top"/>
    </xf>
    <xf numFmtId="166" fontId="0" fillId="0" borderId="26" xfId="0" applyNumberFormat="1" applyBorder="1" applyAlignment="1">
      <alignment vertical="top"/>
    </xf>
    <xf numFmtId="0" fontId="0" fillId="0" borderId="27" xfId="0" applyBorder="1" applyAlignment="1">
      <alignment vertical="top"/>
    </xf>
    <xf numFmtId="9" fontId="0" fillId="0" borderId="26" xfId="0" applyNumberFormat="1" applyBorder="1" applyAlignment="1">
      <alignment vertical="top"/>
    </xf>
    <xf numFmtId="0" fontId="18" fillId="8" borderId="21" xfId="0" applyFont="1" applyFill="1" applyBorder="1" applyAlignment="1">
      <alignment vertical="top" wrapText="1"/>
    </xf>
    <xf numFmtId="9" fontId="25" fillId="0" borderId="0" xfId="0" applyNumberFormat="1" applyFont="1" applyAlignment="1">
      <alignment vertical="top"/>
    </xf>
    <xf numFmtId="0" fontId="26" fillId="0" borderId="0" xfId="0" applyFont="1" applyAlignment="1">
      <alignment vertical="top"/>
    </xf>
    <xf numFmtId="0" fontId="27" fillId="0" borderId="24" xfId="0" applyFont="1" applyBorder="1" applyAlignment="1">
      <alignment vertical="top"/>
    </xf>
    <xf numFmtId="0" fontId="9" fillId="0" borderId="0" xfId="0" applyFont="1" applyAlignment="1">
      <alignment horizontal="left" vertical="center"/>
    </xf>
    <xf numFmtId="0" fontId="0" fillId="0" borderId="0" xfId="0" applyAlignment="1">
      <alignment horizontal="left" vertical="top" wrapText="1"/>
    </xf>
    <xf numFmtId="9" fontId="3" fillId="0" borderId="25" xfId="0" applyNumberFormat="1" applyFont="1" applyBorder="1" applyAlignment="1">
      <alignment vertical="top"/>
    </xf>
    <xf numFmtId="0" fontId="0" fillId="0" borderId="23" xfId="0" applyBorder="1" applyAlignment="1">
      <alignment vertical="top"/>
    </xf>
    <xf numFmtId="0" fontId="14" fillId="6" borderId="0" xfId="0" applyFont="1" applyFill="1" applyAlignment="1">
      <alignment vertical="top"/>
    </xf>
    <xf numFmtId="0" fontId="28" fillId="0" borderId="0" xfId="0" applyFont="1" applyAlignment="1">
      <alignment vertical="top"/>
    </xf>
    <xf numFmtId="0" fontId="30" fillId="0" borderId="0" xfId="0" applyFont="1" applyAlignment="1">
      <alignment vertical="top"/>
    </xf>
    <xf numFmtId="0" fontId="0" fillId="0" borderId="0" xfId="0" applyAlignment="1">
      <alignment horizontal="right" vertical="top"/>
    </xf>
    <xf numFmtId="0" fontId="0" fillId="0" borderId="0" xfId="0" applyAlignment="1">
      <alignment vertical="top"/>
    </xf>
    <xf numFmtId="0" fontId="9" fillId="7" borderId="0" xfId="0" applyFont="1" applyFill="1" applyAlignment="1">
      <alignment horizontal="left" vertical="center"/>
    </xf>
    <xf numFmtId="0" fontId="30" fillId="0" borderId="29" xfId="0" applyFont="1" applyBorder="1" applyAlignment="1">
      <alignment vertical="top"/>
    </xf>
    <xf numFmtId="0" fontId="0" fillId="0" borderId="30" xfId="0" applyBorder="1" applyAlignment="1">
      <alignment vertical="top"/>
    </xf>
    <xf numFmtId="0" fontId="0" fillId="0" borderId="31" xfId="0" applyBorder="1" applyAlignment="1">
      <alignment vertical="top"/>
    </xf>
    <xf numFmtId="0" fontId="28" fillId="0" borderId="30" xfId="0" applyFont="1" applyBorder="1" applyAlignment="1">
      <alignment vertical="top"/>
    </xf>
    <xf numFmtId="0" fontId="3" fillId="0" borderId="30" xfId="0" applyFont="1" applyBorder="1" applyAlignment="1">
      <alignment vertical="top"/>
    </xf>
    <xf numFmtId="0" fontId="27" fillId="0" borderId="32" xfId="0" applyFont="1" applyBorder="1" applyAlignment="1">
      <alignment vertical="top"/>
    </xf>
    <xf numFmtId="9" fontId="3" fillId="0" borderId="33" xfId="0" applyNumberFormat="1" applyFont="1" applyBorder="1" applyAlignment="1">
      <alignment vertical="top"/>
    </xf>
    <xf numFmtId="9" fontId="3" fillId="0" borderId="31" xfId="0" applyNumberFormat="1" applyFont="1" applyBorder="1" applyAlignment="1">
      <alignment vertical="top"/>
    </xf>
    <xf numFmtId="0" fontId="0" fillId="0" borderId="30" xfId="0" applyBorder="1" applyAlignment="1">
      <alignment horizontal="left" vertical="top"/>
    </xf>
    <xf numFmtId="9" fontId="0" fillId="0" borderId="31" xfId="0" applyNumberFormat="1" applyBorder="1" applyAlignment="1">
      <alignment vertical="top"/>
    </xf>
    <xf numFmtId="0" fontId="25" fillId="0" borderId="30" xfId="0" applyFont="1" applyBorder="1" applyAlignment="1">
      <alignment horizontal="left" vertical="top"/>
    </xf>
    <xf numFmtId="0" fontId="25" fillId="0" borderId="31" xfId="0" applyFont="1" applyBorder="1" applyAlignment="1">
      <alignment horizontal="left" vertical="top"/>
    </xf>
    <xf numFmtId="0" fontId="25" fillId="0" borderId="31" xfId="0" applyFont="1" applyBorder="1" applyAlignment="1">
      <alignment vertical="top"/>
    </xf>
    <xf numFmtId="0" fontId="0" fillId="0" borderId="34" xfId="0" applyBorder="1" applyAlignment="1">
      <alignment vertical="top"/>
    </xf>
    <xf numFmtId="0" fontId="0" fillId="0" borderId="35" xfId="0" applyBorder="1" applyAlignment="1">
      <alignment vertical="top"/>
    </xf>
    <xf numFmtId="0" fontId="3" fillId="0" borderId="0" xfId="0" applyFont="1" applyAlignment="1">
      <alignment vertical="top"/>
    </xf>
    <xf numFmtId="0" fontId="35" fillId="0" borderId="0" xfId="0" applyFont="1" applyAlignment="1">
      <alignment vertical="top"/>
    </xf>
    <xf numFmtId="9" fontId="18" fillId="4" borderId="21" xfId="1" applyFont="1" applyFill="1" applyBorder="1" applyAlignment="1">
      <alignment vertical="top" wrapText="1"/>
    </xf>
    <xf numFmtId="0" fontId="33" fillId="9" borderId="0" xfId="5" applyFill="1"/>
    <xf numFmtId="0" fontId="37" fillId="0" borderId="28" xfId="0" applyFont="1" applyBorder="1" applyAlignment="1">
      <alignment vertical="top"/>
    </xf>
    <xf numFmtId="0" fontId="3" fillId="0" borderId="0" xfId="0" applyFont="1" applyAlignment="1">
      <alignment vertical="top" wrapText="1"/>
    </xf>
    <xf numFmtId="0" fontId="34" fillId="0" borderId="28" xfId="0" applyFont="1" applyBorder="1" applyAlignment="1">
      <alignment vertical="top"/>
    </xf>
    <xf numFmtId="0" fontId="18" fillId="0" borderId="36" xfId="0" applyFont="1" applyBorder="1" applyAlignment="1">
      <alignment vertical="top"/>
    </xf>
    <xf numFmtId="0" fontId="18" fillId="0" borderId="29" xfId="0" applyFont="1" applyBorder="1" applyAlignment="1">
      <alignment vertical="top"/>
    </xf>
    <xf numFmtId="0" fontId="37" fillId="0" borderId="0" xfId="0" applyFont="1" applyAlignment="1">
      <alignment vertical="top"/>
    </xf>
    <xf numFmtId="0" fontId="30" fillId="0" borderId="31" xfId="0" applyFont="1" applyBorder="1" applyAlignment="1">
      <alignment vertical="top"/>
    </xf>
    <xf numFmtId="0" fontId="31" fillId="0" borderId="0" xfId="0" applyFont="1" applyAlignment="1">
      <alignment vertical="top"/>
    </xf>
    <xf numFmtId="9" fontId="3" fillId="0" borderId="0" xfId="0" applyNumberFormat="1" applyFont="1" applyAlignment="1">
      <alignment vertical="top"/>
    </xf>
    <xf numFmtId="0" fontId="0" fillId="0" borderId="0" xfId="0" applyAlignment="1">
      <alignment horizontal="left" vertical="top"/>
    </xf>
    <xf numFmtId="0" fontId="25" fillId="0" borderId="0" xfId="0" applyFont="1" applyAlignment="1">
      <alignment horizontal="left" vertical="top"/>
    </xf>
    <xf numFmtId="0" fontId="0" fillId="0" borderId="31" xfId="0" applyBorder="1" applyAlignment="1">
      <alignment vertical="top" wrapText="1"/>
    </xf>
    <xf numFmtId="0" fontId="0" fillId="0" borderId="37" xfId="0" applyBorder="1" applyAlignment="1">
      <alignment vertical="top"/>
    </xf>
    <xf numFmtId="0" fontId="0" fillId="0" borderId="0" xfId="0" applyAlignment="1"/>
    <xf numFmtId="0" fontId="40" fillId="12" borderId="24" xfId="0" applyFont="1" applyFill="1" applyBorder="1" applyAlignment="1">
      <alignment vertical="top"/>
    </xf>
    <xf numFmtId="0" fontId="19" fillId="12" borderId="23" xfId="0" applyFont="1" applyFill="1" applyBorder="1" applyAlignment="1">
      <alignment vertical="top"/>
    </xf>
    <xf numFmtId="0" fontId="19" fillId="12" borderId="25" xfId="0" applyFont="1" applyFill="1" applyBorder="1" applyAlignment="1">
      <alignment vertical="top"/>
    </xf>
    <xf numFmtId="9" fontId="0" fillId="13" borderId="21" xfId="0" applyNumberFormat="1" applyFill="1" applyBorder="1" applyAlignment="1">
      <alignment vertical="top"/>
    </xf>
    <xf numFmtId="0" fontId="14" fillId="4" borderId="21" xfId="0" applyFont="1" applyFill="1" applyBorder="1" applyAlignment="1">
      <alignment vertical="top"/>
    </xf>
    <xf numFmtId="0" fontId="14" fillId="10" borderId="21" xfId="0" applyFont="1" applyFill="1" applyBorder="1" applyAlignment="1">
      <alignment vertical="top"/>
    </xf>
    <xf numFmtId="0" fontId="32" fillId="0" borderId="30" xfId="4" applyBorder="1" applyAlignment="1">
      <alignment vertical="top"/>
    </xf>
    <xf numFmtId="0" fontId="32" fillId="0" borderId="0" xfId="4" applyAlignment="1">
      <alignment vertical="top"/>
    </xf>
    <xf numFmtId="0" fontId="3" fillId="13" borderId="0" xfId="0" applyFont="1" applyFill="1" applyAlignment="1">
      <alignment horizontal="left" vertical="center" indent="1"/>
    </xf>
    <xf numFmtId="49" fontId="3" fillId="2" borderId="22" xfId="0" applyNumberFormat="1" applyFont="1" applyFill="1" applyBorder="1" applyAlignment="1">
      <alignment vertical="top"/>
    </xf>
    <xf numFmtId="0" fontId="31" fillId="0" borderId="30" xfId="0" applyFont="1" applyBorder="1" applyAlignment="1">
      <alignment vertical="top"/>
    </xf>
    <xf numFmtId="9" fontId="3" fillId="0" borderId="30" xfId="1" applyFont="1" applyBorder="1" applyAlignment="1">
      <alignment vertical="top"/>
    </xf>
    <xf numFmtId="0" fontId="0" fillId="0" borderId="0" xfId="0" applyAlignment="1">
      <alignment horizontal="left" vertical="top" indent="1"/>
    </xf>
    <xf numFmtId="0" fontId="29" fillId="0" borderId="30" xfId="0" applyFont="1" applyBorder="1" applyAlignment="1">
      <alignment vertical="top"/>
    </xf>
    <xf numFmtId="0" fontId="3" fillId="0" borderId="0" xfId="0" applyFont="1" applyAlignment="1">
      <alignment horizontal="left" vertical="top"/>
    </xf>
    <xf numFmtId="0" fontId="3" fillId="0" borderId="34" xfId="0" applyFont="1" applyBorder="1" applyAlignment="1">
      <alignment horizontal="left" vertical="top"/>
    </xf>
    <xf numFmtId="9" fontId="0" fillId="0" borderId="37" xfId="0" applyNumberFormat="1" applyBorder="1" applyAlignment="1">
      <alignment horizontal="left" vertical="top"/>
    </xf>
    <xf numFmtId="0" fontId="41" fillId="0" borderId="30" xfId="0" applyFont="1" applyBorder="1" applyAlignment="1">
      <alignment horizontal="left"/>
    </xf>
    <xf numFmtId="0" fontId="31" fillId="0" borderId="0" xfId="0" applyFont="1" applyAlignment="1">
      <alignment horizontal="left" vertical="top" indent="1"/>
    </xf>
    <xf numFmtId="0" fontId="30" fillId="0" borderId="0" xfId="0" applyFont="1" applyAlignment="1">
      <alignment horizontal="left" vertical="top" indent="1"/>
    </xf>
    <xf numFmtId="0" fontId="39" fillId="0" borderId="0" xfId="0" applyFont="1" applyAlignment="1">
      <alignment horizontal="left" vertical="top" indent="2"/>
    </xf>
    <xf numFmtId="0" fontId="0" fillId="0" borderId="30" xfId="0" applyBorder="1" applyAlignment="1">
      <alignment vertical="center"/>
    </xf>
    <xf numFmtId="0" fontId="42" fillId="0" borderId="0" xfId="0" applyFont="1" applyAlignment="1">
      <alignment horizontal="left" vertical="center"/>
    </xf>
    <xf numFmtId="0" fontId="0" fillId="0" borderId="31" xfId="0" applyBorder="1" applyAlignment="1">
      <alignment vertical="center"/>
    </xf>
    <xf numFmtId="0" fontId="10" fillId="0" borderId="0" xfId="0" applyFont="1" applyAlignment="1">
      <alignment horizontal="left" vertical="center"/>
    </xf>
    <xf numFmtId="0" fontId="0" fillId="0" borderId="0" xfId="0" applyAlignment="1">
      <alignment vertical="center"/>
    </xf>
    <xf numFmtId="0" fontId="38" fillId="0" borderId="0" xfId="0" applyFont="1" applyAlignment="1">
      <alignment horizontal="left" indent="1"/>
    </xf>
    <xf numFmtId="0" fontId="3" fillId="0" borderId="0" xfId="0" applyFont="1" applyAlignment="1">
      <alignment horizontal="left" indent="1"/>
    </xf>
    <xf numFmtId="0" fontId="44" fillId="0" borderId="30" xfId="0" applyFont="1" applyBorder="1" applyAlignment="1">
      <alignment vertical="top"/>
    </xf>
    <xf numFmtId="0" fontId="45" fillId="0" borderId="31" xfId="0" applyFont="1" applyBorder="1" applyAlignment="1">
      <alignment vertical="top"/>
    </xf>
    <xf numFmtId="0" fontId="44" fillId="0" borderId="0" xfId="0" applyFont="1" applyAlignment="1">
      <alignment vertical="top"/>
    </xf>
    <xf numFmtId="0" fontId="45" fillId="0" borderId="0" xfId="0" applyFont="1" applyAlignment="1">
      <alignment vertical="top"/>
    </xf>
    <xf numFmtId="0" fontId="46" fillId="0" borderId="0" xfId="0" applyFont="1" applyAlignment="1">
      <alignment vertical="top"/>
    </xf>
    <xf numFmtId="0" fontId="46" fillId="0" borderId="0" xfId="0" applyFont="1" applyAlignment="1">
      <alignment vertical="top" wrapText="1"/>
    </xf>
    <xf numFmtId="0" fontId="47" fillId="0" borderId="0" xfId="0" applyFont="1" applyAlignment="1">
      <alignment vertical="top"/>
    </xf>
    <xf numFmtId="0" fontId="27" fillId="0" borderId="30" xfId="0" applyFont="1" applyBorder="1" applyAlignment="1">
      <alignment vertical="top"/>
    </xf>
    <xf numFmtId="0" fontId="39" fillId="0" borderId="31" xfId="0" applyFont="1" applyBorder="1" applyAlignment="1">
      <alignment vertical="top"/>
    </xf>
    <xf numFmtId="0" fontId="39" fillId="0" borderId="0" xfId="0" applyFont="1" applyAlignment="1">
      <alignment vertical="top"/>
    </xf>
    <xf numFmtId="0" fontId="49" fillId="0" borderId="0" xfId="0" applyFont="1" applyAlignment="1">
      <alignment vertical="top"/>
    </xf>
    <xf numFmtId="0" fontId="49" fillId="0" borderId="0" xfId="0" applyFont="1" applyAlignment="1">
      <alignment vertical="top" wrapText="1"/>
    </xf>
    <xf numFmtId="0" fontId="10" fillId="0" borderId="0" xfId="0" applyFont="1" applyAlignment="1">
      <alignment vertical="center" wrapText="1"/>
    </xf>
    <xf numFmtId="0" fontId="33" fillId="0" borderId="0" xfId="5"/>
    <xf numFmtId="22" fontId="33" fillId="0" borderId="0" xfId="5" applyNumberFormat="1"/>
    <xf numFmtId="49" fontId="33" fillId="0" borderId="0" xfId="5" applyNumberFormat="1" applyAlignment="1">
      <alignment wrapText="1"/>
    </xf>
    <xf numFmtId="0" fontId="9" fillId="0" borderId="0" xfId="0" applyFont="1" applyAlignment="1">
      <alignment vertical="center" wrapText="1"/>
    </xf>
    <xf numFmtId="0" fontId="14" fillId="0" borderId="0" xfId="0" applyFont="1" applyAlignment="1">
      <alignment vertical="top"/>
    </xf>
    <xf numFmtId="0" fontId="25" fillId="0" borderId="0" xfId="0" applyFont="1" applyAlignment="1">
      <alignment vertical="top"/>
    </xf>
    <xf numFmtId="0" fontId="50" fillId="0" borderId="0" xfId="0" applyFont="1" applyAlignment="1">
      <alignment vertical="center"/>
    </xf>
    <xf numFmtId="0" fontId="3" fillId="13" borderId="0" xfId="0" applyFont="1" applyFill="1" applyAlignment="1">
      <alignment vertical="center"/>
    </xf>
    <xf numFmtId="0" fontId="51" fillId="0" borderId="0" xfId="0" applyFont="1" applyAlignment="1">
      <alignment vertical="top"/>
    </xf>
    <xf numFmtId="0" fontId="52" fillId="0" borderId="0" xfId="0" applyFont="1" applyAlignment="1">
      <alignment vertical="top"/>
    </xf>
    <xf numFmtId="0" fontId="18" fillId="0" borderId="0" xfId="0" applyFont="1" applyAlignment="1">
      <alignment vertical="top"/>
    </xf>
    <xf numFmtId="0" fontId="27" fillId="0" borderId="0" xfId="0" applyFont="1" applyAlignment="1">
      <alignment vertical="top" wrapText="1"/>
    </xf>
    <xf numFmtId="0" fontId="27" fillId="0" borderId="0" xfId="0" applyFont="1" applyAlignment="1">
      <alignment vertical="top"/>
    </xf>
    <xf numFmtId="0" fontId="53" fillId="0" borderId="0" xfId="4" applyFont="1" applyAlignment="1">
      <alignment vertical="top"/>
    </xf>
    <xf numFmtId="0" fontId="28" fillId="0" borderId="0" xfId="0" applyFont="1" applyAlignment="1">
      <alignment vertical="top" wrapText="1"/>
    </xf>
    <xf numFmtId="0" fontId="3" fillId="0" borderId="31" xfId="0" applyFont="1" applyBorder="1" applyAlignment="1">
      <alignment vertical="top"/>
    </xf>
    <xf numFmtId="9" fontId="38" fillId="0" borderId="0" xfId="1" applyFont="1" applyAlignment="1">
      <alignment horizontal="left" indent="2"/>
    </xf>
    <xf numFmtId="9" fontId="38" fillId="0" borderId="0" xfId="1" applyFont="1" applyAlignment="1">
      <alignment horizontal="left"/>
    </xf>
    <xf numFmtId="0" fontId="54" fillId="0" borderId="0" xfId="0" applyFont="1" applyAlignment="1">
      <alignment horizontal="left"/>
    </xf>
    <xf numFmtId="0" fontId="19" fillId="0" borderId="0" xfId="0" applyFont="1" applyAlignment="1">
      <alignment vertical="top"/>
    </xf>
    <xf numFmtId="0" fontId="55" fillId="0" borderId="0" xfId="0" applyFont="1" applyAlignment="1">
      <alignment horizontal="left"/>
    </xf>
    <xf numFmtId="0" fontId="27" fillId="0" borderId="0" xfId="0" applyFont="1" applyAlignment="1">
      <alignment horizontal="left" indent="1"/>
    </xf>
    <xf numFmtId="0" fontId="27" fillId="0" borderId="0" xfId="0" applyFont="1" applyAlignment="1">
      <alignment horizontal="left" vertical="top" indent="1"/>
    </xf>
    <xf numFmtId="0" fontId="27" fillId="0" borderId="0" xfId="0" applyFont="1" applyAlignment="1">
      <alignment horizontal="left" vertical="top" indent="2"/>
    </xf>
    <xf numFmtId="0" fontId="48" fillId="0" borderId="0" xfId="0" applyFont="1" applyAlignment="1">
      <alignment vertical="top"/>
    </xf>
    <xf numFmtId="0" fontId="0" fillId="0" borderId="30" xfId="0" applyBorder="1" applyAlignment="1">
      <alignment vertical="top" wrapText="1"/>
    </xf>
    <xf numFmtId="0" fontId="56" fillId="0" borderId="0" xfId="4" applyFont="1" applyAlignment="1">
      <alignment vertical="top"/>
    </xf>
    <xf numFmtId="0" fontId="57" fillId="0" borderId="0" xfId="0" applyFont="1" applyAlignment="1">
      <alignment vertical="center"/>
    </xf>
    <xf numFmtId="0" fontId="31" fillId="0" borderId="38" xfId="0" applyFont="1" applyBorder="1" applyAlignment="1">
      <alignment vertical="top"/>
    </xf>
    <xf numFmtId="0" fontId="0" fillId="0" borderId="39" xfId="0" applyBorder="1" applyAlignment="1">
      <alignment vertical="top"/>
    </xf>
    <xf numFmtId="0" fontId="0" fillId="0" borderId="40" xfId="0" applyBorder="1" applyAlignment="1">
      <alignment vertical="top"/>
    </xf>
    <xf numFmtId="0" fontId="0" fillId="9" borderId="0" xfId="0" applyFill="1" applyAlignment="1"/>
    <xf numFmtId="22" fontId="0" fillId="0" borderId="0" xfId="0" applyNumberFormat="1" applyAlignment="1"/>
    <xf numFmtId="49" fontId="0" fillId="0" borderId="0" xfId="0" applyNumberFormat="1" applyAlignment="1"/>
    <xf numFmtId="0" fontId="35" fillId="0" borderId="0" xfId="0" applyFont="1" applyAlignment="1">
      <alignment horizontal="right" vertical="top"/>
    </xf>
    <xf numFmtId="49" fontId="35" fillId="0" borderId="0" xfId="0" applyNumberFormat="1" applyFont="1" applyAlignment="1">
      <alignment horizontal="right" vertical="top"/>
    </xf>
    <xf numFmtId="0" fontId="39" fillId="0" borderId="31" xfId="0" applyFont="1" applyBorder="1" applyAlignment="1">
      <alignment horizontal="right" vertical="top"/>
    </xf>
    <xf numFmtId="0" fontId="1" fillId="0" borderId="0" xfId="6" applyFont="1"/>
    <xf numFmtId="0" fontId="1" fillId="15" borderId="0" xfId="6" applyFont="1" applyFill="1"/>
    <xf numFmtId="0" fontId="58" fillId="0" borderId="0" xfId="0" applyFont="1" applyAlignment="1">
      <alignment horizontal="left"/>
    </xf>
    <xf numFmtId="0" fontId="37" fillId="0" borderId="0" xfId="0" applyFont="1" applyAlignment="1">
      <alignment horizontal="left"/>
    </xf>
    <xf numFmtId="0" fontId="18" fillId="0" borderId="0" xfId="0" applyFont="1" applyAlignment="1">
      <alignment vertical="top" wrapText="1"/>
    </xf>
    <xf numFmtId="0" fontId="14" fillId="6" borderId="41" xfId="0" applyFont="1" applyFill="1" applyBorder="1" applyAlignment="1">
      <alignment vertical="top"/>
    </xf>
    <xf numFmtId="0" fontId="18" fillId="6" borderId="0" xfId="0" applyFont="1" applyFill="1" applyAlignment="1">
      <alignment vertical="top"/>
    </xf>
    <xf numFmtId="0" fontId="18" fillId="6" borderId="26" xfId="0" applyFont="1" applyFill="1" applyBorder="1" applyAlignment="1">
      <alignment vertical="top"/>
    </xf>
    <xf numFmtId="0" fontId="3" fillId="0" borderId="42" xfId="0" applyFont="1" applyBorder="1" applyAlignment="1">
      <alignment vertical="top"/>
    </xf>
    <xf numFmtId="0" fontId="0" fillId="0" borderId="43" xfId="0" applyBorder="1" applyAlignment="1">
      <alignment vertical="top"/>
    </xf>
    <xf numFmtId="0" fontId="0" fillId="0" borderId="44" xfId="0" applyBorder="1" applyAlignment="1">
      <alignment vertical="top"/>
    </xf>
    <xf numFmtId="49" fontId="14" fillId="11" borderId="21" xfId="0" applyNumberFormat="1" applyFont="1" applyFill="1" applyBorder="1" applyAlignment="1">
      <alignment vertical="top"/>
    </xf>
    <xf numFmtId="0" fontId="14" fillId="5" borderId="21" xfId="0" applyFont="1" applyFill="1" applyBorder="1" applyAlignment="1">
      <alignment vertical="top"/>
    </xf>
    <xf numFmtId="9" fontId="3" fillId="14" borderId="21" xfId="0" applyNumberFormat="1" applyFont="1" applyFill="1" applyBorder="1" applyAlignment="1">
      <alignment vertical="top"/>
    </xf>
    <xf numFmtId="0" fontId="0" fillId="13" borderId="21" xfId="0" applyFill="1" applyBorder="1" applyAlignment="1">
      <alignment vertical="top"/>
    </xf>
    <xf numFmtId="49" fontId="0" fillId="0" borderId="0" xfId="0" applyNumberFormat="1" applyAlignment="1">
      <alignment vertical="top" wrapText="1"/>
    </xf>
    <xf numFmtId="0" fontId="27" fillId="0" borderId="0" xfId="0" applyFont="1" applyAlignment="1">
      <alignment horizontal="left" indent="2"/>
    </xf>
    <xf numFmtId="0" fontId="0" fillId="0" borderId="0" xfId="0" applyAlignment="1">
      <alignment vertical="top" wrapText="1"/>
    </xf>
    <xf numFmtId="4" fontId="0" fillId="0" borderId="0" xfId="0" applyNumberFormat="1" applyAlignment="1">
      <alignment vertical="top"/>
    </xf>
    <xf numFmtId="0" fontId="59" fillId="0" borderId="0" xfId="0" applyFont="1" applyAlignment="1"/>
    <xf numFmtId="0" fontId="28" fillId="0" borderId="21" xfId="0" applyFont="1" applyBorder="1" applyAlignment="1">
      <alignment horizontal="center" vertical="top"/>
    </xf>
    <xf numFmtId="9" fontId="3" fillId="0" borderId="21" xfId="0" applyNumberFormat="1" applyFont="1" applyBorder="1" applyAlignment="1">
      <alignment vertical="top"/>
    </xf>
    <xf numFmtId="9" fontId="0" fillId="0" borderId="21" xfId="0" applyNumberFormat="1" applyBorder="1" applyAlignment="1">
      <alignment vertical="top"/>
    </xf>
    <xf numFmtId="0" fontId="0" fillId="0" borderId="21" xfId="0" applyBorder="1" applyAlignment="1">
      <alignment vertical="top"/>
    </xf>
    <xf numFmtId="0" fontId="1" fillId="16" borderId="0" xfId="6" applyFont="1" applyFill="1"/>
    <xf numFmtId="8" fontId="43" fillId="0" borderId="31" xfId="0" applyNumberFormat="1" applyFont="1" applyBorder="1" applyAlignment="1">
      <alignment horizontal="right" vertical="top"/>
    </xf>
    <xf numFmtId="168" fontId="0" fillId="0" borderId="0" xfId="0" applyNumberFormat="1" applyAlignment="1">
      <alignment vertical="top"/>
    </xf>
    <xf numFmtId="8" fontId="28" fillId="0" borderId="31" xfId="0" applyNumberFormat="1" applyFont="1" applyBorder="1" applyAlignment="1">
      <alignment horizontal="right" vertical="top" wrapText="1"/>
    </xf>
    <xf numFmtId="8" fontId="28" fillId="0" borderId="0" xfId="0" applyNumberFormat="1" applyFont="1" applyAlignment="1">
      <alignment horizontal="right" vertical="top" wrapText="1"/>
    </xf>
    <xf numFmtId="8" fontId="3" fillId="0" borderId="31" xfId="0" applyNumberFormat="1" applyFont="1" applyBorder="1" applyAlignment="1">
      <alignment vertical="top"/>
    </xf>
    <xf numFmtId="8" fontId="3" fillId="0" borderId="0" xfId="0" applyNumberFormat="1" applyFont="1" applyAlignment="1">
      <alignment vertical="top"/>
    </xf>
    <xf numFmtId="8" fontId="28" fillId="0" borderId="31" xfId="0" applyNumberFormat="1" applyFont="1" applyBorder="1" applyAlignment="1">
      <alignment vertical="top"/>
    </xf>
    <xf numFmtId="8" fontId="28" fillId="0" borderId="0" xfId="0" applyNumberFormat="1" applyFont="1" applyAlignment="1">
      <alignment vertical="top"/>
    </xf>
    <xf numFmtId="8" fontId="28" fillId="0" borderId="20" xfId="0" applyNumberFormat="1" applyFont="1" applyBorder="1" applyAlignment="1">
      <alignment vertical="top"/>
    </xf>
    <xf numFmtId="44" fontId="32" fillId="0" borderId="0" xfId="4" applyNumberFormat="1" applyAlignment="1">
      <alignment vertical="top"/>
    </xf>
    <xf numFmtId="167" fontId="27" fillId="0" borderId="0" xfId="3" applyNumberFormat="1" applyFont="1" applyAlignment="1">
      <alignment horizontal="left" vertical="top" indent="4"/>
    </xf>
    <xf numFmtId="8" fontId="36" fillId="13" borderId="21" xfId="4" applyNumberFormat="1" applyFont="1" applyFill="1" applyBorder="1" applyAlignment="1">
      <alignment horizontal="left" vertical="top"/>
    </xf>
    <xf numFmtId="8" fontId="19" fillId="13" borderId="21" xfId="4" applyNumberFormat="1" applyFont="1" applyFill="1" applyBorder="1" applyAlignment="1">
      <alignment horizontal="left" vertical="top"/>
    </xf>
    <xf numFmtId="8" fontId="0" fillId="13" borderId="21" xfId="0" applyNumberFormat="1" applyFill="1" applyBorder="1" applyAlignment="1">
      <alignment horizontal="right" vertical="top"/>
    </xf>
    <xf numFmtId="8" fontId="36" fillId="0" borderId="21" xfId="4" applyNumberFormat="1" applyFont="1" applyBorder="1" applyAlignment="1">
      <alignment horizontal="left" vertical="top"/>
    </xf>
    <xf numFmtId="8" fontId="19" fillId="0" borderId="21" xfId="4" applyNumberFormat="1" applyFont="1" applyBorder="1" applyAlignment="1">
      <alignment horizontal="left" vertical="top"/>
    </xf>
    <xf numFmtId="8" fontId="0" fillId="0" borderId="21" xfId="0" applyNumberFormat="1" applyBorder="1" applyAlignment="1">
      <alignment horizontal="right" vertical="top"/>
    </xf>
    <xf numFmtId="169" fontId="0" fillId="0" borderId="21" xfId="0" applyNumberFormat="1" applyBorder="1" applyAlignment="1">
      <alignment vertical="top" wrapText="1"/>
    </xf>
    <xf numFmtId="8" fontId="0" fillId="0" borderId="0" xfId="0" applyNumberFormat="1" applyAlignment="1"/>
    <xf numFmtId="6" fontId="3" fillId="0" borderId="0" xfId="0" applyNumberFormat="1" applyFont="1" applyAlignment="1">
      <alignment vertical="top"/>
    </xf>
  </cellXfs>
  <cellStyles count="7">
    <cellStyle name="Currency" xfId="3" builtinId="4"/>
    <cellStyle name="Hyperlink" xfId="4" builtinId="8"/>
    <cellStyle name="Normal" xfId="0" builtinId="0"/>
    <cellStyle name="Normal 2" xfId="2" xr:uid="{00000000-0005-0000-0000-000002000000}"/>
    <cellStyle name="Normal 3" xfId="5" xr:uid="{00000000-0005-0000-0000-000005000000}"/>
    <cellStyle name="Normal 4" xfId="6" xr:uid="{00000000-0005-0000-0000-000006000000}"/>
    <cellStyle name="Percent" xfId="1" builtinId="5"/>
  </cellStyles>
  <dxfs count="38"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/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1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fill>
        <patternFill patternType="solid">
          <fgColor indexed="64"/>
          <bgColor indexed="12"/>
        </patternFill>
      </fill>
      <alignment horizontal="general" vertical="top"/>
      <border>
        <left/>
        <right style="thin">
          <color indexed="11"/>
        </right>
        <top style="thin">
          <color indexed="10"/>
        </top>
        <bottom style="thin">
          <color indexed="10"/>
        </bottom>
        <vertical/>
        <horizontal/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</dxf>
    <dxf>
      <border outline="0">
        <bottom style="thin">
          <color indexed="11"/>
        </bottom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fill>
        <patternFill patternType="solid">
          <fgColor indexed="64"/>
          <bgColor indexed="9"/>
        </patternFill>
      </fill>
      <alignment horizontal="general" vertical="top"/>
      <border outline="0">
        <left style="thin">
          <color indexed="10"/>
        </left>
        <right style="thin">
          <color indexed="10"/>
        </right>
        <top/>
        <bottom/>
      </border>
    </dxf>
    <dxf>
      <font>
        <color theme="0"/>
      </font>
      <border>
        <left/>
        <right/>
        <top/>
        <bottom/>
        <vertical/>
        <horizontal/>
      </border>
    </dxf>
  </dxfs>
  <tableStyles count="0" defaultTableStyle="TableStyleMedium9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4" displayName="Table4" ref="E215:AK1480" totalsRowShown="0" headerRowDxfId="36" dataDxfId="34" headerRowBorderDxfId="35" tableBorderDxfId="33">
  <autoFilter ref="E215:AK1480" xr:uid="{00000000-0009-0000-0100-000001000000}"/>
  <tableColumns count="33">
    <tableColumn id="1" xr3:uid="{00000000-0010-0000-0000-000001000000}" name="Year" dataDxfId="32"/>
    <tableColumn id="2" xr3:uid="{00000000-0010-0000-0000-000002000000}" name="Brand" dataDxfId="31"/>
    <tableColumn id="3" xr3:uid="{00000000-0010-0000-0000-000003000000}" name="Model" dataDxfId="30"/>
    <tableColumn id="4" xr3:uid="{00000000-0010-0000-0000-000004000000}" name="Nominal Length (cm)" dataDxfId="29"/>
    <tableColumn id="5" xr3:uid="{00000000-0010-0000-0000-000005000000}" name="Gender" dataDxfId="28"/>
    <tableColumn id="6" xr3:uid="{00000000-0010-0000-0000-000006000000}" name="Nominal Length (cm)2" dataDxfId="27"/>
    <tableColumn id="7" xr3:uid="{00000000-0010-0000-0000-000007000000}" name="Actual Length (cm)" dataDxfId="26"/>
    <tableColumn id="8" xr3:uid="{00000000-0010-0000-0000-000008000000}" name="Running lenght (cm)" dataDxfId="25"/>
    <tableColumn id="9" xr3:uid="{00000000-0010-0000-0000-000009000000}" name="Sidecut length (cm)" dataDxfId="24"/>
    <tableColumn id="10" xr3:uid="{00000000-0010-0000-0000-00000A000000}" name="Tip width (mm)" dataDxfId="23"/>
    <tableColumn id="11" xr3:uid="{00000000-0010-0000-0000-00000B000000}" name="Waist width (mm) " dataDxfId="22"/>
    <tableColumn id="12" xr3:uid="{00000000-0010-0000-0000-00000C000000}" name="Tail width (mm)" dataDxfId="21"/>
    <tableColumn id="13" xr3:uid="{00000000-0010-0000-0000-00000D000000}" name="Sidecut radius (m)" dataDxfId="20"/>
    <tableColumn id="14" xr3:uid="{00000000-0010-0000-0000-00000E000000}" name="Mass (g)" dataDxfId="19"/>
    <tableColumn id="15" xr3:uid="{00000000-0010-0000-0000-00000F000000}" name="Surface-to-weight Ratio (cm^2/g)" dataDxfId="18"/>
    <tableColumn id="16" xr3:uid="{00000000-0010-0000-0000-000010000000}" name="Base area (cm2)" dataDxfId="17"/>
    <tableColumn id="17" xr3:uid="{00000000-0010-0000-0000-000011000000}" name="Avg Bending Stiffness (El)" dataDxfId="16"/>
    <tableColumn id="18" xr3:uid="{00000000-0010-0000-0000-000012000000}" name="Avg Torsional  Stiffness (GJ)" dataDxfId="15"/>
    <tableColumn id="19" xr3:uid="{00000000-0010-0000-0000-000013000000}" name="Tip Height (mm)" dataDxfId="14"/>
    <tableColumn id="20" xr3:uid="{00000000-0010-0000-0000-000014000000}" name="Tip Rocker Length (mm)" dataDxfId="13"/>
    <tableColumn id="21" xr3:uid="{00000000-0010-0000-0000-000015000000}" name="Tail height (mm)" dataDxfId="12"/>
    <tableColumn id="22" xr3:uid="{00000000-0010-0000-0000-000016000000}" name="Tail Rocker Length (mm)" dataDxfId="11"/>
    <tableColumn id="23" xr3:uid="{00000000-0010-0000-0000-000017000000}" name="Tail/Tip Height Ratio (%)" dataDxfId="10"/>
    <tableColumn id="24" xr3:uid="{00000000-0010-0000-0000-000018000000}" name="Tip  Taper Length (mm)" dataDxfId="9"/>
    <tableColumn id="25" xr3:uid="{00000000-0010-0000-0000-000019000000}" name="Tail Taper Length (mm)" dataDxfId="8"/>
    <tableColumn id="26" xr3:uid="{00000000-0010-0000-0000-00001A000000}" name="Front  Contact Point Range (mm)" dataDxfId="7"/>
    <tableColumn id="27" xr3:uid="{00000000-0010-0000-0000-00001B000000}" name="Camber (mm)" dataDxfId="6"/>
    <tableColumn id="28" xr3:uid="{00000000-0010-0000-0000-00001C000000}" name="Setback (cm)" dataDxfId="5"/>
    <tableColumn id="29" xr3:uid="{00000000-0010-0000-0000-00001D000000}" name=" Powder" dataDxfId="4"/>
    <tableColumn id="30" xr3:uid="{00000000-0010-0000-0000-00001E000000}" name="Category" dataDxfId="3"/>
    <tableColumn id="31" xr3:uid="{00000000-0010-0000-0000-00001F000000}" name="Column3" dataDxfId="2"/>
    <tableColumn id="32" xr3:uid="{00000000-0010-0000-0000-000020000000}" name="Column4" dataDxfId="1"/>
    <tableColumn id="33" xr3:uid="{00000000-0010-0000-0000-000021000000}" name="Column5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 tint="-0.499984740745262"/>
  </sheetPr>
  <dimension ref="A1:BV221"/>
  <sheetViews>
    <sheetView showGridLines="0" topLeftCell="A29" zoomScale="55" zoomScaleNormal="55" workbookViewId="0">
      <selection activeCell="B39" sqref="B39"/>
    </sheetView>
  </sheetViews>
  <sheetFormatPr defaultColWidth="8.6640625" defaultRowHeight="13.2"/>
  <cols>
    <col min="1" max="1" width="1.33203125" style="89" customWidth="1"/>
    <col min="2" max="2" width="26.44140625" style="89" bestFit="1" customWidth="1"/>
    <col min="3" max="3" width="20.21875" style="89" customWidth="1"/>
    <col min="4" max="4" width="9.44140625" style="123" customWidth="1"/>
    <col min="5" max="5" width="26.33203125" style="123" bestFit="1" customWidth="1"/>
    <col min="6" max="6" width="18.21875" style="123" bestFit="1" customWidth="1"/>
    <col min="7" max="7" width="10.33203125" style="123" customWidth="1"/>
    <col min="8" max="8" width="27.21875" style="123" customWidth="1"/>
    <col min="9" max="9" width="18.77734375" style="123" customWidth="1"/>
    <col min="10" max="10" width="10.21875" style="123" customWidth="1"/>
    <col min="11" max="11" width="29.6640625" style="123" customWidth="1"/>
    <col min="12" max="12" width="15.6640625" style="89" customWidth="1"/>
    <col min="13" max="13" width="9.44140625" style="89" customWidth="1"/>
    <col min="14" max="14" width="29.6640625" style="89" customWidth="1"/>
    <col min="15" max="15" width="15.6640625" style="89" customWidth="1"/>
    <col min="16" max="16" width="8.6640625" style="89" customWidth="1"/>
    <col min="17" max="17" width="29.6640625" style="89" customWidth="1"/>
    <col min="18" max="18" width="15.6640625" style="89" customWidth="1"/>
    <col min="19" max="19" width="8.6640625" style="89" customWidth="1"/>
    <col min="20" max="20" width="29.6640625" style="89" customWidth="1"/>
    <col min="21" max="21" width="15.6640625" style="89" customWidth="1"/>
    <col min="22" max="22" width="8.6640625" style="89" customWidth="1"/>
    <col min="23" max="23" width="29.6640625" style="89" customWidth="1"/>
    <col min="24" max="24" width="15.6640625" style="89" customWidth="1"/>
    <col min="25" max="25" width="8.6640625" style="89" customWidth="1"/>
    <col min="26" max="26" width="29.6640625" style="89" customWidth="1"/>
    <col min="27" max="27" width="15.6640625" style="89" customWidth="1"/>
    <col min="28" max="28" width="8.6640625" style="89" customWidth="1"/>
    <col min="29" max="29" width="29.6640625" style="89" customWidth="1"/>
    <col min="30" max="30" width="15.6640625" style="89" customWidth="1"/>
    <col min="31" max="69" width="8.6640625" style="89" customWidth="1"/>
    <col min="70" max="16384" width="8.6640625" style="89"/>
  </cols>
  <sheetData>
    <row r="1" spans="1:11">
      <c r="A1" s="220"/>
      <c r="D1" s="89"/>
      <c r="E1" s="89"/>
      <c r="F1" s="89"/>
      <c r="G1" s="89"/>
      <c r="H1" s="89"/>
      <c r="I1" s="89"/>
      <c r="J1" s="89"/>
      <c r="K1" s="89"/>
    </row>
    <row r="2" spans="1:11">
      <c r="D2" s="89"/>
      <c r="E2" s="89"/>
      <c r="F2" s="89"/>
      <c r="G2" s="89"/>
      <c r="H2" s="89"/>
      <c r="I2" s="89"/>
      <c r="J2" s="89"/>
      <c r="K2" s="89"/>
    </row>
    <row r="3" spans="1:11">
      <c r="D3" s="89"/>
      <c r="E3" s="89"/>
      <c r="F3" s="89"/>
      <c r="G3" s="89"/>
      <c r="H3" s="89"/>
      <c r="I3" s="89"/>
      <c r="J3" s="89"/>
      <c r="K3" s="89"/>
    </row>
    <row r="4" spans="1:11">
      <c r="D4" s="89"/>
      <c r="E4" s="89"/>
      <c r="F4" s="89"/>
      <c r="G4" s="89"/>
      <c r="H4" s="89"/>
      <c r="I4" s="89"/>
      <c r="J4" s="89"/>
      <c r="K4" s="89"/>
    </row>
    <row r="5" spans="1:11">
      <c r="D5" s="89"/>
      <c r="E5" s="89"/>
      <c r="F5" s="89"/>
      <c r="G5" s="89"/>
      <c r="H5" s="89"/>
      <c r="I5" s="89"/>
      <c r="J5" s="89"/>
      <c r="K5" s="89"/>
    </row>
    <row r="6" spans="1:11" ht="22.8" customHeight="1">
      <c r="D6" s="89"/>
      <c r="F6" s="117"/>
      <c r="H6" s="89"/>
      <c r="I6" s="89"/>
      <c r="J6" s="89"/>
      <c r="K6" s="89"/>
    </row>
    <row r="7" spans="1:11" ht="19.05" customHeight="1">
      <c r="B7" s="175" t="str">
        <f ca="1">_xlfn.CONCAT(Driver!AP5,"'s Recommendation - ",B35)</f>
        <v>Sky's Recommendation - 2022  DPS Pagoda Tour 112 RP 158 cm</v>
      </c>
      <c r="D7" s="89"/>
      <c r="F7" s="117"/>
      <c r="G7" s="89"/>
      <c r="H7" s="89"/>
      <c r="I7" s="89"/>
      <c r="J7" s="89"/>
      <c r="K7" s="89"/>
    </row>
    <row r="8" spans="1:11" ht="22.8" customHeight="1">
      <c r="B8" s="117" t="s">
        <v>0</v>
      </c>
      <c r="D8" s="89"/>
      <c r="E8" s="89"/>
      <c r="F8" s="89"/>
      <c r="G8" s="89"/>
      <c r="H8" s="192"/>
      <c r="I8" s="89"/>
      <c r="J8" s="89"/>
      <c r="K8" s="89"/>
    </row>
    <row r="9" spans="1:11" ht="7.5" customHeight="1">
      <c r="D9" s="89"/>
      <c r="E9" s="89"/>
      <c r="F9" s="89"/>
      <c r="G9" s="89"/>
      <c r="H9" s="192"/>
      <c r="I9" s="89"/>
      <c r="J9" s="89"/>
      <c r="K9" s="89"/>
    </row>
    <row r="10" spans="1:11" ht="18.45" customHeight="1">
      <c r="B10" s="177" t="s">
        <v>1</v>
      </c>
      <c r="C10" s="111"/>
      <c r="D10" s="111"/>
      <c r="E10" s="111"/>
      <c r="F10" s="111"/>
      <c r="G10" s="111"/>
      <c r="H10" s="192"/>
      <c r="I10" s="89"/>
      <c r="J10" s="89"/>
      <c r="K10" s="89"/>
    </row>
    <row r="11" spans="1:11" ht="18.45" customHeight="1">
      <c r="B11" s="177" t="s">
        <v>2</v>
      </c>
      <c r="C11" s="111"/>
      <c r="D11" s="111"/>
      <c r="E11" s="111"/>
      <c r="F11" s="111"/>
      <c r="G11" s="111"/>
      <c r="H11" s="192"/>
      <c r="I11" s="89"/>
      <c r="J11" s="89"/>
      <c r="K11" s="89"/>
    </row>
    <row r="12" spans="1:11" ht="13.8" customHeight="1">
      <c r="B12" s="177" t="s">
        <v>3</v>
      </c>
      <c r="C12" s="82"/>
      <c r="D12" s="82"/>
      <c r="E12" s="82"/>
      <c r="F12" s="82"/>
      <c r="G12" s="82"/>
      <c r="H12" s="89"/>
      <c r="I12" s="89"/>
      <c r="J12" s="41"/>
    </row>
    <row r="13" spans="1:11" ht="11.55" customHeight="1" thickBot="1">
      <c r="D13" s="89"/>
      <c r="E13" s="89"/>
      <c r="F13" s="89"/>
      <c r="G13" s="89"/>
      <c r="H13" s="89"/>
      <c r="I13" s="89"/>
      <c r="J13" s="89"/>
      <c r="K13" s="89"/>
    </row>
    <row r="14" spans="1:11" ht="22.8" customHeight="1">
      <c r="B14" s="193" t="str">
        <f>IF(Driver!AP5="","Your top reccomendation",_xlfn.CONCAT(TRIM(Driver!AP5),", here's your top reccomendation"))</f>
        <v>Sky, here's your top reccomendation</v>
      </c>
      <c r="C14" s="194"/>
      <c r="D14" s="194"/>
      <c r="E14" s="195"/>
      <c r="F14" s="142" t="s">
        <v>4</v>
      </c>
      <c r="G14" s="89"/>
      <c r="H14" s="89"/>
      <c r="I14" s="89"/>
      <c r="J14" s="89"/>
      <c r="K14" s="89"/>
    </row>
    <row r="15" spans="1:11" ht="9.4499999999999993" customHeight="1">
      <c r="B15" s="134"/>
      <c r="D15" s="89"/>
      <c r="E15" s="93"/>
      <c r="F15" s="142"/>
      <c r="G15" s="89"/>
      <c r="H15" s="89"/>
      <c r="I15" s="89"/>
      <c r="J15" s="89"/>
      <c r="K15" s="89"/>
    </row>
    <row r="16" spans="1:11" ht="21.45" customHeight="1">
      <c r="B16" s="141" t="s">
        <v>5</v>
      </c>
      <c r="C16" s="204" t="str">
        <f ca="1">IFERROR(HYPERLINK(BM75,IF(C37="SOLD OUT",_xlfn.CONCAT(B35,", ",C37),_xlfn.CONCAT(B35,", $",C37))),_xlfn.CONCAT(B35))</f>
        <v>2022  DPS Pagoda Tour 112 RP 158 cm, $1038.93</v>
      </c>
      <c r="D16" s="89"/>
      <c r="E16" s="227"/>
      <c r="F16" s="143" t="s">
        <v>6</v>
      </c>
      <c r="G16" s="89"/>
      <c r="H16" s="89"/>
      <c r="I16" s="89"/>
      <c r="J16" s="89"/>
      <c r="K16" s="89"/>
    </row>
    <row r="17" spans="2:31" s="149" customFormat="1" ht="22.95" customHeight="1">
      <c r="B17" s="145"/>
      <c r="C17" s="146" t="s">
        <v>7</v>
      </c>
      <c r="E17" s="147"/>
      <c r="F17" s="150" t="s">
        <v>8</v>
      </c>
      <c r="G17" s="151"/>
      <c r="H17" s="181" t="s">
        <v>9</v>
      </c>
      <c r="I17" s="182" t="s">
        <v>10</v>
      </c>
      <c r="J17" s="148"/>
    </row>
    <row r="18" spans="2:31" ht="17.399999999999999" customHeight="1">
      <c r="B18" s="92"/>
      <c r="C18" s="205" t="str">
        <f>_xlfn.CONCAT(COUNT(_xlfn.ANCHORARRAY(M75))-2," skis that fit you and your goals")</f>
        <v>10 skis that fit you and your goals</v>
      </c>
      <c r="D18" s="89"/>
      <c r="E18" s="93"/>
      <c r="F18" s="186" t="s">
        <v>11</v>
      </c>
      <c r="G18" s="228">
        <f>Driver!J179</f>
        <v>0.5</v>
      </c>
      <c r="H18" s="218" t="str">
        <f>IF(Driver!AL5="","See prices below",_xlfn.CONCAT("Max ",TEXT(Driver!AL5,"$#,##0")))</f>
        <v>See prices below</v>
      </c>
      <c r="I18" s="185" t="s">
        <v>12</v>
      </c>
      <c r="J18" s="183" t="str">
        <f>IF(Driver!AN5="","Performance only",Driver!AN5)</f>
        <v>2,3,4,5,7,6,10,9,8</v>
      </c>
      <c r="K18" s="184"/>
    </row>
    <row r="19" spans="2:31" ht="13.8" customHeight="1">
      <c r="B19" s="135"/>
      <c r="C19" s="136"/>
      <c r="D19" s="89"/>
      <c r="E19" s="93"/>
      <c r="F19" s="187" t="s">
        <v>13</v>
      </c>
      <c r="G19" s="228">
        <f>AVERAGE(G20:G22)</f>
        <v>0.30053481012658229</v>
      </c>
      <c r="H19" s="219"/>
      <c r="I19" s="185" t="s">
        <v>14</v>
      </c>
      <c r="J19" s="183" t="str">
        <f>IF(Driver!AO5="","Performance only",Driver!AO5)</f>
        <v>1,2,3</v>
      </c>
      <c r="K19" s="183"/>
    </row>
    <row r="20" spans="2:31" ht="13.8" customHeight="1">
      <c r="B20" s="137" t="s">
        <v>15</v>
      </c>
      <c r="C20" s="138" t="s">
        <v>16</v>
      </c>
      <c r="D20" s="138" t="s">
        <v>17</v>
      </c>
      <c r="E20" s="180" t="s">
        <v>18</v>
      </c>
      <c r="F20" s="188" t="s">
        <v>19</v>
      </c>
      <c r="G20" s="228">
        <f>Driver!J181</f>
        <v>0.2</v>
      </c>
      <c r="H20" s="57"/>
      <c r="I20" s="57"/>
      <c r="K20" s="89"/>
    </row>
    <row r="21" spans="2:31" ht="13.8" customHeight="1">
      <c r="B21" s="95" t="s">
        <v>20</v>
      </c>
      <c r="C21" s="119" t="str">
        <f>_xlfn.CONCAT(ROUND(Driver!F54,1),"cm")</f>
        <v>152.8cm</v>
      </c>
      <c r="D21" s="119" t="str">
        <f>_xlfn.CONCAT(ROUND(Driver!G54,1),"cm")</f>
        <v>165.8cm</v>
      </c>
      <c r="E21" s="93" t="s">
        <v>21</v>
      </c>
      <c r="F21" s="188" t="s">
        <v>22</v>
      </c>
      <c r="G21" s="228">
        <f>Driver!J182</f>
        <v>0.44738502109704636</v>
      </c>
      <c r="H21" s="57"/>
      <c r="K21" s="89"/>
    </row>
    <row r="22" spans="2:31" ht="13.8" customHeight="1">
      <c r="B22" s="95" t="s">
        <v>23</v>
      </c>
      <c r="C22" s="119" t="str">
        <f>_xlfn.CONCAT(Driver!F55,"mm")</f>
        <v>100mm</v>
      </c>
      <c r="D22" s="119" t="str">
        <f>_xlfn.CONCAT(Driver!G55,"mm")</f>
        <v>112mm</v>
      </c>
      <c r="E22" s="93" t="s">
        <v>24</v>
      </c>
      <c r="F22" s="188" t="s">
        <v>25</v>
      </c>
      <c r="G22" s="228">
        <f>Driver!J183</f>
        <v>0.25421940928270043</v>
      </c>
      <c r="H22" s="57"/>
      <c r="K22" s="89"/>
    </row>
    <row r="23" spans="2:31" ht="13.8" customHeight="1">
      <c r="B23" s="95" t="s">
        <v>26</v>
      </c>
      <c r="C23" s="119" t="str">
        <f>_xlfn.CONCAT(Driver!F56,"mm")</f>
        <v>0mm</v>
      </c>
      <c r="D23" s="119" t="s">
        <v>27</v>
      </c>
      <c r="E23" s="93" t="s">
        <v>28</v>
      </c>
      <c r="F23" s="144"/>
      <c r="G23" s="57"/>
      <c r="H23" s="57"/>
      <c r="K23" s="89"/>
    </row>
    <row r="24" spans="2:31" ht="18.45" customHeight="1" thickBot="1">
      <c r="B24" s="139" t="s">
        <v>29</v>
      </c>
      <c r="C24" s="140" t="e">
        <f>MIN(_xlfn.ANCHORARRAY($M$75))</f>
        <v>#N/A</v>
      </c>
      <c r="D24" s="140" t="e">
        <f>MAX(_xlfn.ANCHORARRAY($M$75))</f>
        <v>#N/A</v>
      </c>
      <c r="E24" s="105"/>
      <c r="K24" s="89"/>
    </row>
    <row r="25" spans="2:31">
      <c r="E25" s="89"/>
      <c r="K25" s="89"/>
    </row>
    <row r="26" spans="2:31" ht="22.8" customHeight="1">
      <c r="B26" s="117" t="s">
        <v>30</v>
      </c>
      <c r="D26" s="89"/>
      <c r="E26" s="89"/>
      <c r="F26" s="89"/>
      <c r="G26" s="89"/>
      <c r="H26" s="89"/>
      <c r="I26" s="131"/>
      <c r="J26" s="131"/>
      <c r="K26" s="89"/>
      <c r="S26" s="175"/>
      <c r="T26" s="175"/>
      <c r="U26" s="175"/>
      <c r="V26" s="175"/>
      <c r="W26" s="175"/>
      <c r="X26" s="175"/>
      <c r="Y26" s="175"/>
      <c r="Z26" s="175"/>
      <c r="AA26" s="175"/>
      <c r="AB26" s="175"/>
      <c r="AC26" s="175"/>
      <c r="AD26" s="175"/>
    </row>
    <row r="27" spans="2:31" ht="7.95" customHeight="1">
      <c r="B27" s="117"/>
      <c r="D27" s="89"/>
      <c r="E27" s="89"/>
      <c r="F27" s="89"/>
      <c r="G27" s="89"/>
      <c r="H27" s="89"/>
      <c r="I27" s="131"/>
      <c r="S27" s="175"/>
      <c r="T27" s="175"/>
      <c r="U27" s="175"/>
      <c r="V27" s="175"/>
      <c r="W27" s="175"/>
      <c r="X27" s="175"/>
      <c r="Y27" s="175"/>
      <c r="Z27" s="175"/>
      <c r="AA27" s="175"/>
      <c r="AB27" s="175"/>
      <c r="AC27" s="175"/>
      <c r="AD27" s="175"/>
    </row>
    <row r="28" spans="2:31" ht="16.95" customHeight="1">
      <c r="B28" s="177" t="s">
        <v>31</v>
      </c>
      <c r="C28" s="176"/>
      <c r="D28" s="176"/>
      <c r="E28" s="176"/>
      <c r="F28" s="176"/>
      <c r="G28" s="176"/>
      <c r="H28" s="176"/>
      <c r="I28" s="89"/>
      <c r="J28" s="89"/>
      <c r="K28" s="89"/>
      <c r="S28" s="175"/>
      <c r="T28" s="219"/>
      <c r="U28" s="219"/>
      <c r="V28" s="219"/>
      <c r="W28" s="219"/>
      <c r="X28" s="219"/>
      <c r="Y28" s="219"/>
      <c r="Z28" s="219"/>
      <c r="AA28" s="219"/>
      <c r="AB28" s="219"/>
      <c r="AC28" s="219"/>
      <c r="AD28" s="219"/>
      <c r="AE28" s="219"/>
    </row>
    <row r="29" spans="2:31" ht="16.95" customHeight="1">
      <c r="B29" s="177" t="s">
        <v>32</v>
      </c>
      <c r="C29" s="176"/>
      <c r="D29" s="176"/>
      <c r="E29" s="176"/>
      <c r="F29" s="176"/>
      <c r="G29" s="176"/>
      <c r="H29" s="176"/>
      <c r="I29" s="89"/>
      <c r="J29" s="89"/>
      <c r="K29" s="89"/>
      <c r="S29" s="175"/>
      <c r="T29" s="219"/>
      <c r="U29" s="219"/>
      <c r="V29" s="219"/>
      <c r="W29" s="219"/>
      <c r="X29" s="219"/>
      <c r="Y29" s="219"/>
      <c r="Z29" s="219"/>
      <c r="AA29" s="219"/>
      <c r="AB29" s="219"/>
      <c r="AC29" s="219"/>
      <c r="AD29" s="219"/>
      <c r="AE29" s="219"/>
    </row>
    <row r="30" spans="2:31" ht="16.95" customHeight="1">
      <c r="B30" s="177" t="s">
        <v>33</v>
      </c>
      <c r="D30" s="89"/>
      <c r="E30" s="89"/>
      <c r="F30" s="89"/>
      <c r="G30" s="89"/>
      <c r="H30" s="89"/>
      <c r="I30" s="89"/>
      <c r="J30" s="89"/>
      <c r="K30" s="89"/>
      <c r="S30" s="175"/>
      <c r="T30" s="219"/>
      <c r="U30" s="219"/>
      <c r="V30" s="219"/>
      <c r="W30" s="219"/>
      <c r="X30" s="219"/>
      <c r="Y30" s="219"/>
      <c r="Z30" s="219"/>
      <c r="AA30" s="219"/>
      <c r="AB30" s="219"/>
      <c r="AC30" s="219"/>
      <c r="AD30" s="219"/>
      <c r="AE30" s="219"/>
    </row>
    <row r="31" spans="2:31" ht="13.95" customHeight="1" thickBot="1">
      <c r="B31" s="177"/>
      <c r="D31" s="89"/>
      <c r="E31" s="89"/>
      <c r="F31" s="89"/>
      <c r="G31" s="89"/>
      <c r="H31" s="89"/>
      <c r="I31" s="89"/>
      <c r="J31" s="89"/>
      <c r="K31" s="89"/>
      <c r="Q31" s="206"/>
      <c r="R31" s="206"/>
      <c r="S31" s="175"/>
      <c r="T31" s="219"/>
      <c r="U31" s="219"/>
      <c r="V31" s="219"/>
      <c r="W31" s="219"/>
      <c r="X31" s="219"/>
      <c r="Y31" s="219"/>
      <c r="Z31" s="219"/>
      <c r="AA31" s="219"/>
      <c r="AB31" s="219"/>
      <c r="AC31" s="219"/>
      <c r="AD31" s="219"/>
      <c r="AE31" s="219"/>
    </row>
    <row r="32" spans="2:31" s="175" customFormat="1" ht="7.5" customHeight="1" thickBot="1">
      <c r="B32" s="112">
        <f>ROW(B75)</f>
        <v>75</v>
      </c>
      <c r="C32" s="113"/>
      <c r="D32" s="113"/>
      <c r="E32" s="113">
        <f>B32+1</f>
        <v>76</v>
      </c>
      <c r="F32" s="113"/>
      <c r="G32" s="113"/>
      <c r="H32" s="113">
        <f>E32+1</f>
        <v>77</v>
      </c>
      <c r="I32" s="114"/>
      <c r="K32" s="175">
        <f>H32+1</f>
        <v>78</v>
      </c>
      <c r="N32" s="175">
        <f>K32+1</f>
        <v>79</v>
      </c>
      <c r="Q32" s="175">
        <f>N32+1</f>
        <v>80</v>
      </c>
      <c r="T32" s="206">
        <f>Q32+1</f>
        <v>81</v>
      </c>
      <c r="U32" s="206"/>
      <c r="V32" s="206"/>
      <c r="W32" s="206">
        <f>T32+1</f>
        <v>82</v>
      </c>
      <c r="X32" s="206"/>
      <c r="Y32" s="206"/>
      <c r="Z32" s="206">
        <f>W32+1</f>
        <v>83</v>
      </c>
      <c r="AA32" s="206"/>
      <c r="AB32" s="206"/>
      <c r="AC32" s="206">
        <f>Z32+1</f>
        <v>84</v>
      </c>
      <c r="AD32" s="206"/>
      <c r="AE32" s="206"/>
    </row>
    <row r="33" spans="2:32" ht="17.399999999999999" customHeight="1">
      <c r="B33" s="110" t="s">
        <v>34</v>
      </c>
      <c r="C33" s="91"/>
      <c r="D33" s="87"/>
      <c r="E33" s="115" t="s">
        <v>35</v>
      </c>
      <c r="F33" s="87"/>
      <c r="G33" s="87"/>
      <c r="H33" s="115" t="s">
        <v>36</v>
      </c>
      <c r="I33" s="116"/>
      <c r="J33" s="87"/>
      <c r="K33" s="115" t="s">
        <v>37</v>
      </c>
      <c r="N33" s="115" t="s">
        <v>38</v>
      </c>
      <c r="Q33" s="115" t="s">
        <v>39</v>
      </c>
      <c r="S33" s="175"/>
      <c r="T33" s="206" t="s">
        <v>40</v>
      </c>
      <c r="U33" s="206"/>
      <c r="V33" s="206"/>
      <c r="W33" s="206" t="s">
        <v>41</v>
      </c>
      <c r="X33" s="206"/>
      <c r="Y33" s="206"/>
      <c r="Z33" s="206" t="s">
        <v>42</v>
      </c>
      <c r="AA33" s="206"/>
      <c r="AB33" s="206"/>
      <c r="AC33" s="206" t="s">
        <v>43</v>
      </c>
      <c r="AD33" s="206"/>
      <c r="AE33" s="206"/>
      <c r="AF33" s="175"/>
    </row>
    <row r="34" spans="2:32" ht="6" customHeight="1">
      <c r="B34" s="92"/>
      <c r="C34" s="93"/>
      <c r="D34" s="89"/>
      <c r="E34" s="89"/>
      <c r="F34" s="89"/>
      <c r="G34" s="117"/>
      <c r="H34" s="170"/>
      <c r="I34" s="93"/>
      <c r="J34" s="89"/>
      <c r="K34" s="89"/>
      <c r="S34" s="175"/>
      <c r="T34" s="206"/>
      <c r="U34" s="206"/>
      <c r="V34" s="206"/>
      <c r="W34" s="206"/>
      <c r="X34" s="206"/>
      <c r="Y34" s="206"/>
      <c r="Z34" s="206"/>
      <c r="AA34" s="206"/>
      <c r="AB34" s="206"/>
      <c r="AC34" s="206"/>
      <c r="AD34" s="206"/>
      <c r="AE34" s="206"/>
      <c r="AF34" s="175"/>
    </row>
    <row r="35" spans="2:32" s="155" customFormat="1" ht="19.5" customHeight="1">
      <c r="B35" s="152" t="str">
        <f ca="1">_xlfn.CONCAT("2022 ",INDIRECT(_xlfn.CONCAT($E71,B$32))," ",INDIRECT(_xlfn.CONCAT($F71,B32))," ",INDIRECT(_xlfn.CONCAT($H71,B32))," cm")</f>
        <v>2022  DPS Pagoda Tour 112 RP 158 cm</v>
      </c>
      <c r="C35" s="153"/>
      <c r="E35" s="154" t="str">
        <f ca="1">_xlfn.CONCAT("2022 ",INDIRECT(_xlfn.CONCAT($E71,E$32))," ",INDIRECT(_xlfn.CONCAT($F71,E32))," ",INDIRECT(_xlfn.CONCAT($H71,E32))," cm")</f>
        <v>2022  Blizzard Zero G 105 164 cm</v>
      </c>
      <c r="H35" s="154" t="str">
        <f ca="1">_xlfn.CONCAT("2022 ",INDIRECT(_xlfn.CONCAT($E71,H$32))," ",INDIRECT(_xlfn.CONCAT($F71,H32))," ",INDIRECT(_xlfn.CONCAT($H71,H32))," cm")</f>
        <v>2022  DPS Pagoda 106 C2 155 cm</v>
      </c>
      <c r="I35" s="153"/>
      <c r="K35" s="154" t="str">
        <f ca="1">_xlfn.CONCAT("2022 ",INDIRECT(_xlfn.CONCAT($E71,K$32))," ",INDIRECT(_xlfn.CONCAT($F71,K32))," ",INDIRECT(_xlfn.CONCAT($H71,K32))," cm")</f>
        <v>2022  Völkl Blaze 106 165 cm</v>
      </c>
      <c r="N35" s="154" t="str">
        <f ca="1">_xlfn.CONCAT("2022",INDIRECT(_xlfn.CONCAT($E71,N$32))," ",INDIRECT(_xlfn.CONCAT($F71,N32))," ",INDIRECT(_xlfn.CONCAT($H71,N32))," cm")</f>
        <v>2022 Black Diamond Impulse 104 165 cm</v>
      </c>
      <c r="Q35" s="154" t="str">
        <f ca="1">_xlfn.CONCAT("2022",INDIRECT(_xlfn.CONCAT($E71,Q$32))," ",INDIRECT(_xlfn.CONCAT($F71,Q32))," ",INDIRECT(_xlfn.CONCAT($H71,Q32))," cm")</f>
        <v>2022 Ferreol Pionnier 104 164 cm</v>
      </c>
      <c r="S35" s="156"/>
      <c r="T35" s="157" t="str">
        <f ca="1">_xlfn.CONCAT("2022 ",INDIRECT(_xlfn.CONCAT("D",T32))," ",INDIRECT(_xlfn.CONCAT("E",T32))," ",INDIRECT(_xlfn.CONCAT("G",T32))," cm")</f>
        <v>2022 21/22  Atomic  Unisex cm</v>
      </c>
      <c r="U35" s="157"/>
      <c r="V35" s="157"/>
      <c r="W35" s="157" t="str">
        <f ca="1">_xlfn.CONCAT("2022 ",INDIRECT(_xlfn.CONCAT("D",W32))," ",INDIRECT(_xlfn.CONCAT("E",W32))," ",INDIRECT(_xlfn.CONCAT("G",W32))," cm")</f>
        <v>2022 21/22  Armada  Unisex cm</v>
      </c>
      <c r="X35" s="157"/>
      <c r="Y35" s="157"/>
      <c r="Z35" s="157" t="str">
        <f ca="1">_xlfn.CONCAT("2022 ",INDIRECT(_xlfn.CONCAT("D",Z32))," ",INDIRECT(_xlfn.CONCAT("E",Z32))," ",INDIRECT(_xlfn.CONCAT("G",Z32))," cm")</f>
        <v>2022 21/22  Faction  Unisex cm</v>
      </c>
      <c r="AA35" s="157"/>
      <c r="AB35" s="157"/>
      <c r="AC35" s="157" t="str">
        <f ca="1">_xlfn.CONCAT("2022 ",INDIRECT(_xlfn.CONCAT("D",AC32))," ",INDIRECT(_xlfn.CONCAT("E",AC32))," ",INDIRECT(_xlfn.CONCAT("G",AC32))," cm")</f>
        <v>2022 21/22  Nordica  Unisex cm</v>
      </c>
      <c r="AD35" s="157"/>
      <c r="AE35" s="157"/>
      <c r="AF35" s="156"/>
    </row>
    <row r="36" spans="2:32" s="161" customFormat="1" ht="19.5" customHeight="1">
      <c r="B36" s="159" t="str">
        <f t="array" aca="1" ref="B36" ca="1">RIGHT(INDIRECT(_xlfn.CONCAT($G71,B$32)),LEN(INDIRECT(_xlfn.CONCAT($G71,B$32)))-1)</f>
        <v>Unisex</v>
      </c>
      <c r="C36" s="201"/>
      <c r="E36" s="177" t="str">
        <f t="array" aca="1" ref="E36" ca="1">RIGHT(INDIRECT(_xlfn.CONCAT($G71,E$32)),LEN(INDIRECT(_xlfn.CONCAT($G71,E$32)))-1)</f>
        <v>Unisex</v>
      </c>
      <c r="H36" s="177" t="str">
        <f t="array" aca="1" ref="H36" ca="1">RIGHT(INDIRECT(_xlfn.CONCAT($G71,H$32)),LEN(INDIRECT(_xlfn.CONCAT($G71,H$32)))-1)</f>
        <v>Unisex</v>
      </c>
      <c r="I36" s="160"/>
      <c r="K36" s="177" t="str">
        <f t="array" aca="1" ref="K36" ca="1">RIGHT(INDIRECT(_xlfn.CONCAT($G71,K$32)),LEN(INDIRECT(_xlfn.CONCAT($G71,K$32)))-1)</f>
        <v>Unisex</v>
      </c>
      <c r="N36" s="177" t="str">
        <f t="array" aca="1" ref="N36" ca="1">RIGHT(INDIRECT(_xlfn.CONCAT($G71,N$32)),LEN(INDIRECT(_xlfn.CONCAT($G71,N$32)))-1)</f>
        <v>Unisex</v>
      </c>
      <c r="Q36" s="177" t="str">
        <f t="array" aca="1" ref="Q36" ca="1">RIGHT(INDIRECT(_xlfn.CONCAT($G71,Q$32)),LEN(INDIRECT(_xlfn.CONCAT($G71,Q$32)))-1)</f>
        <v>Unisex</v>
      </c>
      <c r="S36" s="162"/>
      <c r="T36" s="163" t="str">
        <f t="array" aca="1" ref="T36" ca="1">RIGHT(INDIRECT(_xlfn.CONCAT("F",T32)),LEN(INDIRECT(_xlfn.CONCAT("F",T32)))-1)</f>
        <v>ackland 107 W</v>
      </c>
      <c r="U36" s="163"/>
      <c r="V36" s="163"/>
      <c r="W36" s="163" t="str">
        <f t="array" aca="1" ref="W36" ca="1">RIGHT(INDIRECT(_xlfn.CONCAT("F",W32)),LEN(INDIRECT(_xlfn.CONCAT("F",W32)))-1)</f>
        <v>racer 108</v>
      </c>
      <c r="X36" s="163"/>
      <c r="Y36" s="163"/>
      <c r="Z36" s="163" t="str">
        <f t="array" aca="1" ref="Z36" ca="1">RIGHT(INDIRECT(_xlfn.CONCAT("F",Z32)),LEN(INDIRECT(_xlfn.CONCAT("F",Z32)))-1)</f>
        <v>T 2.0</v>
      </c>
      <c r="AA36" s="163"/>
      <c r="AB36" s="163"/>
      <c r="AC36" s="163" t="str">
        <f t="array" aca="1" ref="AC36" ca="1">RIGHT(INDIRECT(_xlfn.CONCAT("F",AC32)),LEN(INDIRECT(_xlfn.CONCAT("F",AC32)))-1)</f>
        <v>nforcer 104 Free</v>
      </c>
      <c r="AD36" s="163"/>
      <c r="AE36" s="163"/>
      <c r="AF36" s="162"/>
    </row>
    <row r="37" spans="2:32" s="158" customFormat="1" ht="19.5" customHeight="1">
      <c r="B37" s="94" t="s">
        <v>9</v>
      </c>
      <c r="C37" s="229">
        <f ca="1">IF(C38="","SOLD OUT",C38)</f>
        <v>1038.93</v>
      </c>
      <c r="E37" s="86" t="s">
        <v>9</v>
      </c>
      <c r="F37" s="230">
        <f ca="1">IF(F38="","SOLD OUT",F38)</f>
        <v>365.82</v>
      </c>
      <c r="H37" s="86" t="s">
        <v>9</v>
      </c>
      <c r="I37" s="229">
        <f ca="1">IF(I38="","SOLD OUT",I38)</f>
        <v>1029</v>
      </c>
      <c r="K37" s="86" t="s">
        <v>9</v>
      </c>
      <c r="L37" s="230" t="str">
        <f ca="1">IF(L38="","SOLD OUT",L38)</f>
        <v>SOLD OUT</v>
      </c>
      <c r="N37" s="86" t="s">
        <v>9</v>
      </c>
      <c r="O37" s="230">
        <f ca="1">IF(O38="","SOLD OUT",O38)</f>
        <v>479.47</v>
      </c>
      <c r="Q37" s="86" t="s">
        <v>9</v>
      </c>
      <c r="R37" s="230">
        <f ca="1">IF(R38="","SOLD OUT",R38)</f>
        <v>0</v>
      </c>
      <c r="S37" s="189"/>
      <c r="T37" s="189" t="s">
        <v>9</v>
      </c>
      <c r="U37" s="189">
        <f t="array" aca="1" ref="U37" ca="1">INDIRECT(_xlfn.CONCAT("I",T32))</f>
        <v>158.69999999999999</v>
      </c>
      <c r="V37" s="189"/>
      <c r="W37" s="189" t="s">
        <v>9</v>
      </c>
      <c r="X37" s="189">
        <f t="array" aca="1" ref="X37" ca="1">INDIRECT(_xlfn.CONCAT("I",W32))</f>
        <v>163.19999999999999</v>
      </c>
      <c r="Y37" s="189"/>
      <c r="Z37" s="189" t="s">
        <v>9</v>
      </c>
      <c r="AA37" s="189">
        <f t="array" aca="1" ref="AA37" ca="1">INDIRECT(_xlfn.CONCAT("I",Z32))</f>
        <v>163.9</v>
      </c>
      <c r="AB37" s="189"/>
      <c r="AC37" s="189" t="s">
        <v>9</v>
      </c>
      <c r="AD37" s="189">
        <f t="array" aca="1" ref="AD37" ca="1">INDIRECT(_xlfn.CONCAT("I",AC32))</f>
        <v>164.2</v>
      </c>
      <c r="AE37" s="189"/>
      <c r="AF37" s="189"/>
    </row>
    <row r="38" spans="2:32" ht="19.5" customHeight="1">
      <c r="B38" s="130" t="str">
        <f t="array" aca="1" ref="B38" ca="1">IFERROR(HYPERLINK(INDIRECT(_xlfn.CONCAT($BM71,B$32)),INDIRECT(_xlfn.CONCAT($BB71,B$32))),"")</f>
        <v>REI</v>
      </c>
      <c r="C38" s="231">
        <f t="array" aca="1" ref="C38" ca="1">IFERROR(INDIRECT(_xlfn.CONCAT($BC71,B$32)),"")</f>
        <v>1038.93</v>
      </c>
      <c r="D38" s="189" t="s">
        <v>44</v>
      </c>
      <c r="E38" s="131" t="str">
        <f t="array" aca="1" ref="E38" ca="1">IFERROR(HYPERLINK(INDIRECT(_xlfn.CONCAT($BM71,E$32)),INDIRECT(_xlfn.CONCAT($BB71,E$32))),"")</f>
        <v>Telemark Pyrenees</v>
      </c>
      <c r="F38" s="232">
        <f t="array" aca="1" ref="F38" ca="1">IFERROR(INDIRECT(_xlfn.CONCAT($BC71,E$32)),"")</f>
        <v>365.82</v>
      </c>
      <c r="G38" s="175"/>
      <c r="H38" s="131" t="str">
        <f t="array" aca="1" ref="H38" ca="1">IFERROR(HYPERLINK(INDIRECT(_xlfn.CONCAT($BM71,H$32)),INDIRECT(_xlfn.CONCAT($BB71,H$32))),"")</f>
        <v>Cripple Creek Backcountry</v>
      </c>
      <c r="I38" s="231">
        <f t="array" aca="1" ref="I38" ca="1">IFERROR(INDIRECT(_xlfn.CONCAT($BC71,H$32)),"")</f>
        <v>1029</v>
      </c>
      <c r="J38" s="175"/>
      <c r="K38" s="131" t="str">
        <f t="array" aca="1" ref="K38" ca="1">IFERROR(HYPERLINK(INDIRECT(_xlfn.CONCAT($BM71,K$32)),INDIRECT(_xlfn.CONCAT($BB71,K$32))),"")</f>
        <v/>
      </c>
      <c r="L38" s="232" t="str">
        <f t="array" aca="1" ref="L38" ca="1">IFERROR(INDIRECT(_xlfn.CONCAT($BC71,K$32)),"")</f>
        <v/>
      </c>
      <c r="M38" s="189" t="s">
        <v>45</v>
      </c>
      <c r="N38" s="131" t="str">
        <f t="array" aca="1" ref="N38" ca="1">IFERROR(HYPERLINK(INDIRECT(_xlfn.CONCAT($BM71,N$32)),INDIRECT(_xlfn.CONCAT($BB71,N$32))),"")</f>
        <v>Snowcountry.eu</v>
      </c>
      <c r="O38" s="232">
        <f t="array" aca="1" ref="O38" ca="1">IFERROR(INDIRECT(_xlfn.CONCAT($BC71,N$32)),"")</f>
        <v>479.47</v>
      </c>
      <c r="P38" s="219"/>
      <c r="Q38" s="131">
        <f t="array" aca="1" ref="Q38" ca="1">IFERROR(HYPERLINK(INDIRECT(_xlfn.CONCAT($BM71,Q$32)),INDIRECT(_xlfn.CONCAT($BB71,Q$32))),"")</f>
        <v>0</v>
      </c>
      <c r="R38" s="232">
        <f t="array" aca="1" ref="R38" ca="1">IFERROR(INDIRECT(_xlfn.CONCAT($BC71,Q$32)),"")</f>
        <v>0</v>
      </c>
      <c r="S38" s="175"/>
      <c r="T38" s="175"/>
      <c r="U38" s="175"/>
      <c r="V38" s="175"/>
      <c r="W38" s="175"/>
      <c r="X38" s="175"/>
      <c r="Y38" s="175"/>
      <c r="Z38" s="175"/>
      <c r="AA38" s="175"/>
      <c r="AB38" s="175"/>
      <c r="AC38" s="175"/>
      <c r="AD38" s="175"/>
      <c r="AE38" s="175"/>
      <c r="AF38" s="175"/>
    </row>
    <row r="39" spans="2:32" ht="19.5" customHeight="1">
      <c r="B39" s="130" t="str">
        <f t="array" aca="1" ref="B39" ca="1">IFERROR(HYPERLINK(INDIRECT(_xlfn.CONCAT($BN71,B$32)),INDIRECT(_xlfn.CONCAT($BF71,B$32))),"")</f>
        <v>Backcountry.com</v>
      </c>
      <c r="C39" s="231">
        <f t="array" aca="1" ref="C39" ca="1">IFERROR(INDIRECT(_xlfn.CONCAT($BG71,B$32)),"")</f>
        <v>1039.2</v>
      </c>
      <c r="D39" s="175" t="s">
        <v>46</v>
      </c>
      <c r="E39" s="131" t="str">
        <f t="array" aca="1" ref="E39" ca="1">IFERROR(HYPERLINK(INDIRECT(_xlfn.CONCAT($BN71,E$32)),INDIRECT(_xlfn.CONCAT($BF71,E$32))),"")</f>
        <v>Ski The Whites</v>
      </c>
      <c r="F39" s="232">
        <f t="array" aca="1" ref="F39" ca="1">IFERROR(INDIRECT(_xlfn.CONCAT($BG71,E$32)),"")</f>
        <v>639.99</v>
      </c>
      <c r="G39" s="175"/>
      <c r="H39" s="131" t="str">
        <f t="array" aca="1" ref="H39" ca="1">IFERROR(HYPERLINK(INDIRECT(_xlfn.CONCAT($BN71,H$32)),INDIRECT(_xlfn.CONCAT($BF71,H$32))),"")</f>
        <v>REI</v>
      </c>
      <c r="I39" s="231">
        <f t="array" aca="1" ref="I39" ca="1">IFERROR(INDIRECT(_xlfn.CONCAT($BG71,H$32)),"")</f>
        <v>1038.93</v>
      </c>
      <c r="J39" s="191" t="s">
        <v>47</v>
      </c>
      <c r="K39" s="131" t="str">
        <f t="array" aca="1" ref="K39" ca="1">IFERROR(HYPERLINK(INDIRECT(_xlfn.CONCAT($BN71,K$32)),INDIRECT(_xlfn.CONCAT($BF71,K$32))),"")</f>
        <v/>
      </c>
      <c r="L39" s="232" t="str">
        <f t="array" aca="1" ref="L39" ca="1">IFERROR(INDIRECT(_xlfn.CONCAT($BG71,K$32)),"")</f>
        <v/>
      </c>
      <c r="M39" s="175"/>
      <c r="N39" s="131" t="str">
        <f t="array" aca="1" ref="N39" ca="1">IFERROR(HYPERLINK(INDIRECT(_xlfn.CONCAT($BN71,N$32)),INDIRECT(_xlfn.CONCAT($BF71,N$32))),"")</f>
        <v>Black Diamond Equipment - US</v>
      </c>
      <c r="O39" s="232">
        <f t="array" aca="1" ref="O39" ca="1">IFERROR(INDIRECT(_xlfn.CONCAT($BG71,N$32)),"")</f>
        <v>583.96</v>
      </c>
      <c r="P39" s="175"/>
      <c r="Q39" s="131">
        <f t="array" aca="1" ref="Q39" ca="1">IFERROR(HYPERLINK(INDIRECT(_xlfn.CONCAT($BN71,Q$32)),INDIRECT(_xlfn.CONCAT($BF71,Q$32))),"")</f>
        <v>0</v>
      </c>
      <c r="R39" s="232">
        <f t="array" aca="1" ref="R39" ca="1">IFERROR(INDIRECT(_xlfn.CONCAT($BG71,Q$32)),"")</f>
        <v>0</v>
      </c>
      <c r="S39" s="175"/>
      <c r="T39" s="175"/>
      <c r="U39" s="175"/>
      <c r="V39" s="175"/>
      <c r="W39" s="175"/>
      <c r="X39" s="175"/>
      <c r="Y39" s="175"/>
      <c r="Z39" s="175"/>
      <c r="AA39" s="175"/>
      <c r="AB39" s="175"/>
      <c r="AC39" s="175"/>
      <c r="AD39" s="175"/>
      <c r="AE39" s="175"/>
      <c r="AF39" s="175"/>
    </row>
    <row r="40" spans="2:32" ht="19.5" customHeight="1">
      <c r="B40" s="130" t="str">
        <f t="array" aca="1" ref="B40" ca="1">IFERROR(HYPERLINK(INDIRECT(_xlfn.CONCAT($BO71,B$32)),INDIRECT(_xlfn.CONCAT($BJ71,B$32))),"")</f>
        <v>Steep &amp; Cheap</v>
      </c>
      <c r="C40" s="231">
        <f t="array" aca="1" ref="C40" ca="1">IFERROR(INDIRECT(_xlfn.CONCAT($BK71,B$32)),"")</f>
        <v>1039.2</v>
      </c>
      <c r="D40" s="175" t="s">
        <v>48</v>
      </c>
      <c r="E40" s="131" t="str">
        <f t="array" aca="1" ref="E40" ca="1">IFERROR(HYPERLINK(INDIRECT(_xlfn.CONCAT($BO71,E$32)),INDIRECT(_xlfn.CONCAT($BJ71,E$32))),"")</f>
        <v>Snowcountry.eu</v>
      </c>
      <c r="F40" s="232">
        <f t="array" aca="1" ref="F40" ca="1">IFERROR(INDIRECT(_xlfn.CONCAT($BK71,E$32)),"")</f>
        <v>322.69</v>
      </c>
      <c r="G40" s="175" t="s">
        <v>49</v>
      </c>
      <c r="H40" s="131" t="str">
        <f t="array" aca="1" ref="H40" ca="1">IFERROR(HYPERLINK(INDIRECT(_xlfn.CONCAT($BO71,H$32)),INDIRECT(_xlfn.CONCAT($BJ71,H$32))),"")</f>
        <v>Backcountry.com</v>
      </c>
      <c r="I40" s="231">
        <f t="array" aca="1" ref="I40" ca="1">IFERROR(INDIRECT(_xlfn.CONCAT($BK71,H$32)),"")</f>
        <v>1039.2</v>
      </c>
      <c r="J40" s="191" t="s">
        <v>50</v>
      </c>
      <c r="K40" s="131" t="str">
        <f t="array" aca="1" ref="K40" ca="1">IFERROR(HYPERLINK(INDIRECT(_xlfn.CONCAT($BO71,K$32)),INDIRECT(_xlfn.CONCAT($BJ71,K$32))),"")</f>
        <v/>
      </c>
      <c r="L40" s="232" t="str">
        <f t="array" aca="1" ref="L40" ca="1">IFERROR(INDIRECT(_xlfn.CONCAT($BK71,K$32)),"")</f>
        <v/>
      </c>
      <c r="M40" s="175"/>
      <c r="N40" s="131" t="str">
        <f t="array" aca="1" ref="N40" ca="1">IFERROR(HYPERLINK(INDIRECT(_xlfn.CONCAT($BO71,N$32)),INDIRECT(_xlfn.CONCAT($BJ71,N$32))),"")</f>
        <v>CampSaver.com</v>
      </c>
      <c r="O40" s="232">
        <f t="array" aca="1" ref="O40" ca="1">IFERROR(INDIRECT(_xlfn.CONCAT($BK71,N$32)),"")</f>
        <v>729.95</v>
      </c>
      <c r="P40" s="175" t="s">
        <v>51</v>
      </c>
      <c r="Q40" s="131">
        <f t="array" aca="1" ref="Q40" ca="1">IFERROR(HYPERLINK(INDIRECT(_xlfn.CONCAT($BO71,Q$32)),INDIRECT(_xlfn.CONCAT($BJ71,Q$32))),"")</f>
        <v>0</v>
      </c>
      <c r="R40" s="232">
        <f t="array" aca="1" ref="R40" ca="1">IFERROR(INDIRECT(_xlfn.CONCAT($BK71,Q$32)),"")</f>
        <v>0</v>
      </c>
      <c r="S40" s="175"/>
      <c r="T40" s="175"/>
      <c r="U40" s="175"/>
      <c r="V40" s="175"/>
      <c r="W40" s="175"/>
      <c r="X40" s="175"/>
      <c r="Y40" s="175"/>
      <c r="Z40" s="175"/>
      <c r="AA40" s="175"/>
      <c r="AB40" s="175"/>
      <c r="AC40" s="175"/>
      <c r="AD40" s="175"/>
      <c r="AE40" s="175"/>
      <c r="AF40" s="175"/>
    </row>
    <row r="41" spans="2:32" s="158" customFormat="1" ht="19.5" customHeight="1">
      <c r="B41" s="94" t="s">
        <v>52</v>
      </c>
      <c r="C41" s="233"/>
      <c r="E41" s="179" t="s">
        <v>53</v>
      </c>
      <c r="F41" s="234"/>
      <c r="H41" s="179" t="s">
        <v>53</v>
      </c>
      <c r="I41" s="233"/>
      <c r="K41" s="179" t="s">
        <v>53</v>
      </c>
      <c r="L41" s="235"/>
      <c r="N41" s="179" t="s">
        <v>53</v>
      </c>
      <c r="O41" s="235" t="s">
        <v>54</v>
      </c>
      <c r="Q41" s="179" t="s">
        <v>53</v>
      </c>
      <c r="R41" s="235"/>
      <c r="S41" s="189"/>
      <c r="T41" s="189"/>
      <c r="U41" s="189"/>
      <c r="V41" s="189"/>
      <c r="W41" s="189"/>
      <c r="X41" s="189"/>
      <c r="Y41" s="189"/>
      <c r="Z41" s="189"/>
      <c r="AA41" s="189"/>
      <c r="AB41" s="189"/>
      <c r="AC41" s="189"/>
      <c r="AD41" s="189"/>
      <c r="AE41" s="189"/>
      <c r="AF41" s="189"/>
    </row>
    <row r="42" spans="2:32" ht="19.5" customHeight="1">
      <c r="B42" s="96" t="s">
        <v>55</v>
      </c>
      <c r="C42" s="97">
        <f t="array" aca="1" ref="C42:C47" ca="1">TRANSPOSE(INDIRECT(_xlfn.CONCAT($M$71,B$32,":",$R$71,B$32)))</f>
        <v>0.91011247603774437</v>
      </c>
      <c r="D42" s="89"/>
      <c r="E42" s="80" t="s">
        <v>55</v>
      </c>
      <c r="F42" s="97">
        <f t="array" aca="1" ref="F42:F47" ca="1">TRANSPOSE(INDIRECT(_xlfn.CONCAT($M$71,E$32,":",$R$71,E$32)))</f>
        <v>0.90048021271190926</v>
      </c>
      <c r="G42" s="219"/>
      <c r="H42" s="80" t="s">
        <v>55</v>
      </c>
      <c r="I42" s="97">
        <f t="array" aca="1" ref="I42:I47" ca="1">TRANSPOSE(INDIRECT(_xlfn.CONCAT($M$71,H$32,":",$R$71,H$32)))</f>
        <v>0.89691305657999665</v>
      </c>
      <c r="J42" s="89"/>
      <c r="K42" s="80" t="s">
        <v>55</v>
      </c>
      <c r="L42" s="97">
        <f t="array" aca="1" ref="L42:L47" ca="1">TRANSPOSE(INDIRECT(_xlfn.CONCAT($M$71,K$32,":",$R$71,K$32)))</f>
        <v>0.88911441644285061</v>
      </c>
      <c r="N42" s="80" t="s">
        <v>55</v>
      </c>
      <c r="O42" s="97">
        <f t="array" aca="1" ref="O42:O47" ca="1">TRANSPOSE(INDIRECT(_xlfn.CONCAT($M$71,N$32,":",$R$71,N$32)))</f>
        <v>0.86791856957416402</v>
      </c>
      <c r="Q42" s="80" t="s">
        <v>55</v>
      </c>
      <c r="R42" s="97">
        <f t="array" aca="1" ref="R42:R47" ca="1">TRANSPOSE(INDIRECT(_xlfn.CONCAT($M$71,Q$32,":",$R$71,Q$32)))</f>
        <v>0.86603345606612026</v>
      </c>
      <c r="S42" s="175"/>
      <c r="T42" s="206" t="s">
        <v>56</v>
      </c>
      <c r="U42" s="206">
        <f t="array" ref="U42:U47">TRANSPOSE($M82:$R82)</f>
        <v>0.85436097529320909</v>
      </c>
      <c r="V42" s="206"/>
      <c r="W42" s="206" t="s">
        <v>56</v>
      </c>
      <c r="X42" s="206">
        <f t="array" ref="X42:X47">TRANSPOSE($M83:$R83)</f>
        <v>0.85269792530457056</v>
      </c>
      <c r="Y42" s="206"/>
      <c r="Z42" s="206" t="s">
        <v>56</v>
      </c>
      <c r="AA42" s="206">
        <f t="array" ref="AA42:AA47">TRANSPOSE($M84:$R84)</f>
        <v>0.83765014276977223</v>
      </c>
      <c r="AB42" s="206"/>
      <c r="AC42" s="206" t="s">
        <v>56</v>
      </c>
      <c r="AD42" s="206">
        <f t="array" ref="AD42:AD47">TRANSPOSE($M85:$R85)</f>
        <v>0.81993169559002488</v>
      </c>
      <c r="AE42" s="206"/>
      <c r="AF42" s="175"/>
    </row>
    <row r="43" spans="2:32" ht="19.5" customHeight="1">
      <c r="B43" s="95" t="s">
        <v>11</v>
      </c>
      <c r="C43" s="98">
        <f ca="1"/>
        <v>0.94270267596425783</v>
      </c>
      <c r="D43" s="89"/>
      <c r="E43" s="106" t="s">
        <v>11</v>
      </c>
      <c r="F43" s="118">
        <f ca="1"/>
        <v>0.94479759176475742</v>
      </c>
      <c r="G43" s="89"/>
      <c r="H43" s="106" t="s">
        <v>11</v>
      </c>
      <c r="I43" s="98">
        <f ca="1"/>
        <v>0.96318726038253122</v>
      </c>
      <c r="J43" s="89"/>
      <c r="K43" s="106" t="s">
        <v>11</v>
      </c>
      <c r="L43" s="118">
        <f ca="1"/>
        <v>0.99354467096868948</v>
      </c>
      <c r="N43" s="106" t="s">
        <v>11</v>
      </c>
      <c r="O43" s="118">
        <f ca="1"/>
        <v>0.9902600184197563</v>
      </c>
      <c r="Q43" s="106" t="s">
        <v>11</v>
      </c>
      <c r="R43" s="118">
        <f ca="1"/>
        <v>0.96197865511301228</v>
      </c>
      <c r="S43" s="175"/>
      <c r="T43" s="206" t="s">
        <v>11</v>
      </c>
      <c r="U43" s="206">
        <v>0.85664998077450694</v>
      </c>
      <c r="V43" s="206"/>
      <c r="W43" s="206" t="s">
        <v>11</v>
      </c>
      <c r="X43" s="206">
        <v>0.93885400762288251</v>
      </c>
      <c r="Y43" s="206"/>
      <c r="Z43" s="206" t="s">
        <v>11</v>
      </c>
      <c r="AA43" s="206">
        <v>0.99968713952200428</v>
      </c>
      <c r="AB43" s="206"/>
      <c r="AC43" s="206" t="s">
        <v>11</v>
      </c>
      <c r="AD43" s="206">
        <v>0.87099209663946542</v>
      </c>
      <c r="AE43" s="206"/>
      <c r="AF43" s="175"/>
    </row>
    <row r="44" spans="2:32" ht="19.5" customHeight="1">
      <c r="B44" s="95" t="s">
        <v>13</v>
      </c>
      <c r="C44" s="98">
        <f ca="1"/>
        <v>0.87752227611123068</v>
      </c>
      <c r="D44" s="89"/>
      <c r="E44" s="106" t="s">
        <v>13</v>
      </c>
      <c r="F44" s="118">
        <f ca="1"/>
        <v>0.8561628336590611</v>
      </c>
      <c r="G44" s="89"/>
      <c r="H44" s="106" t="s">
        <v>13</v>
      </c>
      <c r="I44" s="98">
        <f ca="1"/>
        <v>0.83063885277746208</v>
      </c>
      <c r="J44" s="89"/>
      <c r="K44" s="106" t="s">
        <v>13</v>
      </c>
      <c r="L44" s="118">
        <f ca="1"/>
        <v>0.78468416191701162</v>
      </c>
      <c r="N44" s="106" t="s">
        <v>13</v>
      </c>
      <c r="O44" s="118">
        <f ca="1"/>
        <v>0.74557712072857174</v>
      </c>
      <c r="Q44" s="106" t="s">
        <v>13</v>
      </c>
      <c r="R44" s="118">
        <f ca="1"/>
        <v>0.77008825701922823</v>
      </c>
      <c r="S44" s="175"/>
      <c r="T44" s="206" t="s">
        <v>13</v>
      </c>
      <c r="U44" s="206">
        <v>0.85207196981191113</v>
      </c>
      <c r="V44" s="206"/>
      <c r="W44" s="206" t="s">
        <v>13</v>
      </c>
      <c r="X44" s="206">
        <v>0.7665418429862586</v>
      </c>
      <c r="Y44" s="206"/>
      <c r="Z44" s="206" t="s">
        <v>13</v>
      </c>
      <c r="AA44" s="206">
        <v>0.6756131460175403</v>
      </c>
      <c r="AB44" s="206"/>
      <c r="AC44" s="206" t="s">
        <v>13</v>
      </c>
      <c r="AD44" s="206">
        <v>0.76887129454058434</v>
      </c>
      <c r="AE44" s="206"/>
      <c r="AF44" s="175"/>
    </row>
    <row r="45" spans="2:32" ht="19.5" customHeight="1">
      <c r="B45" s="99" t="s">
        <v>19</v>
      </c>
      <c r="C45" s="100">
        <f ca="1"/>
        <v>0.96363679299278671</v>
      </c>
      <c r="D45" s="89"/>
      <c r="E45" s="119" t="s">
        <v>19</v>
      </c>
      <c r="F45" s="57">
        <f ca="1"/>
        <v>0.93264963053152072</v>
      </c>
      <c r="G45" s="89"/>
      <c r="H45" s="119" t="s">
        <v>19</v>
      </c>
      <c r="I45" s="100">
        <f ca="1"/>
        <v>0.77644903608391425</v>
      </c>
      <c r="J45" s="89"/>
      <c r="K45" s="119" t="s">
        <v>19</v>
      </c>
      <c r="L45" s="57">
        <f ca="1"/>
        <v>0.76633077895370505</v>
      </c>
      <c r="N45" s="119" t="s">
        <v>19</v>
      </c>
      <c r="O45" s="57">
        <f ca="1"/>
        <v>0.65629473266267857</v>
      </c>
      <c r="Q45" s="119" t="s">
        <v>19</v>
      </c>
      <c r="R45" s="57">
        <f ca="1"/>
        <v>0.74862382897583868</v>
      </c>
      <c r="S45" s="175"/>
      <c r="T45" s="206" t="s">
        <v>19</v>
      </c>
      <c r="U45" s="206">
        <v>0.85549791991367463</v>
      </c>
      <c r="V45" s="206"/>
      <c r="W45" s="206" t="s">
        <v>19</v>
      </c>
      <c r="X45" s="206">
        <v>0.69044385047713508</v>
      </c>
      <c r="Y45" s="206"/>
      <c r="Z45" s="206" t="s">
        <v>19</v>
      </c>
      <c r="AA45" s="206">
        <v>0.55195020600739497</v>
      </c>
      <c r="AB45" s="206"/>
      <c r="AC45" s="206" t="s">
        <v>19</v>
      </c>
      <c r="AD45" s="206">
        <v>0.77202229858944771</v>
      </c>
      <c r="AE45" s="206"/>
      <c r="AF45" s="175"/>
    </row>
    <row r="46" spans="2:32" ht="19.5" customHeight="1">
      <c r="B46" s="99" t="s">
        <v>22</v>
      </c>
      <c r="C46" s="100">
        <f ca="1"/>
        <v>0.74345173220530525</v>
      </c>
      <c r="D46" s="89"/>
      <c r="E46" s="119" t="s">
        <v>22</v>
      </c>
      <c r="F46" s="57">
        <f ca="1"/>
        <v>0.77747658038195788</v>
      </c>
      <c r="G46" s="89"/>
      <c r="H46" s="119" t="s">
        <v>22</v>
      </c>
      <c r="I46" s="100">
        <f ca="1"/>
        <v>0.71895163741352519</v>
      </c>
      <c r="J46" s="89"/>
      <c r="K46" s="119" t="s">
        <v>22</v>
      </c>
      <c r="L46" s="57">
        <f ca="1"/>
        <v>0.64169601804081466</v>
      </c>
      <c r="N46" s="119" t="s">
        <v>22</v>
      </c>
      <c r="O46" s="57">
        <f ca="1"/>
        <v>0.642499176060639</v>
      </c>
      <c r="Q46" s="119" t="s">
        <v>22</v>
      </c>
      <c r="R46" s="57">
        <f ca="1"/>
        <v>0.64919368469787997</v>
      </c>
      <c r="S46" s="175"/>
      <c r="T46" s="206" t="s">
        <v>22</v>
      </c>
      <c r="U46" s="206">
        <v>0.7127805360596613</v>
      </c>
      <c r="V46" s="206"/>
      <c r="W46" s="206" t="s">
        <v>22</v>
      </c>
      <c r="X46" s="206">
        <v>0.62238801586891612</v>
      </c>
      <c r="Y46" s="206"/>
      <c r="Z46" s="206" t="s">
        <v>22</v>
      </c>
      <c r="AA46" s="206">
        <v>0.64068616263180633</v>
      </c>
      <c r="AB46" s="206"/>
      <c r="AC46" s="206" t="s">
        <v>22</v>
      </c>
      <c r="AD46" s="206">
        <v>0.65020805313853514</v>
      </c>
      <c r="AE46" s="206"/>
      <c r="AF46" s="175"/>
    </row>
    <row r="47" spans="2:32" ht="19.5" customHeight="1">
      <c r="B47" s="99" t="s">
        <v>25</v>
      </c>
      <c r="C47" s="100">
        <f ca="1"/>
        <v>0.9254783031356002</v>
      </c>
      <c r="D47" s="219"/>
      <c r="E47" s="119" t="s">
        <v>25</v>
      </c>
      <c r="F47" s="57">
        <f ca="1"/>
        <v>0.85836229006370479</v>
      </c>
      <c r="G47" s="89"/>
      <c r="H47" s="119" t="s">
        <v>25</v>
      </c>
      <c r="I47" s="100">
        <f ca="1"/>
        <v>0.99651588483494669</v>
      </c>
      <c r="J47" s="89"/>
      <c r="K47" s="119" t="s">
        <v>25</v>
      </c>
      <c r="L47" s="57">
        <f ca="1"/>
        <v>0.94602568875651527</v>
      </c>
      <c r="N47" s="119" t="s">
        <v>25</v>
      </c>
      <c r="O47" s="57">
        <f ca="1"/>
        <v>0.93793745346239765</v>
      </c>
      <c r="Q47" s="119" t="s">
        <v>25</v>
      </c>
      <c r="R47" s="57">
        <f ca="1"/>
        <v>0.91244725738396626</v>
      </c>
      <c r="S47" s="175"/>
      <c r="T47" s="206" t="s">
        <v>25</v>
      </c>
      <c r="U47" s="206">
        <v>0.98793745346239759</v>
      </c>
      <c r="V47" s="206"/>
      <c r="W47" s="206" t="s">
        <v>25</v>
      </c>
      <c r="X47" s="206">
        <v>0.9867936626127245</v>
      </c>
      <c r="Y47" s="206"/>
      <c r="Z47" s="206" t="s">
        <v>25</v>
      </c>
      <c r="AA47" s="206">
        <v>0.83420306941341948</v>
      </c>
      <c r="AB47" s="206"/>
      <c r="AC47" s="206" t="s">
        <v>25</v>
      </c>
      <c r="AD47" s="206">
        <v>0.88438353189377017</v>
      </c>
      <c r="AE47" s="206"/>
      <c r="AF47" s="175"/>
    </row>
    <row r="48" spans="2:32" ht="19.5" customHeight="1">
      <c r="B48" s="92" t="str">
        <f t="array" aca="1" ref="B48" ca="1">INDIRECT(_xlfn.CONCAT($BS71,B$32))</f>
        <v>https://images.evo.com/imgp/250/183639/728542/dps-pagoda-tour-112-rp-skis-2022-.jpg</v>
      </c>
      <c r="C48" s="93"/>
      <c r="D48" s="89"/>
      <c r="E48" s="219" t="str">
        <f t="array" aca="1" ref="E48" ca="1">INDIRECT(_xlfn.CONCAT($BS71,E$32))</f>
        <v>https://images.evo.com/imgp/250/197481/783558/blizzard-zero-g-105-skis-2022-.jpg</v>
      </c>
      <c r="F48" s="89"/>
      <c r="G48" s="89"/>
      <c r="H48" s="219" t="str">
        <f t="array" aca="1" ref="H48" ca="1">INDIRECT(_xlfn.CONCAT($BS71,H$32))</f>
        <v>https://images.evo.com/imgp/250/209064/857445/dps-pagoda-106-c2-skis-2023-.jpg</v>
      </c>
      <c r="I48" s="93"/>
      <c r="K48" s="219" t="str">
        <f t="array" aca="1" ref="K48" ca="1">INDIRECT(_xlfn.CONCAT($BS71,K$32))</f>
        <v>https://images.evo.com/imgp/250/208350/837599/clone.jpg</v>
      </c>
      <c r="N48" s="219" t="str">
        <f t="array" aca="1" ref="N48" ca="1">INDIRECT(_xlfn.CONCAT($BS71,N$32))</f>
        <v>https://images.evo.com/imgp/250/200507/836805/black-diamond-impulse-104-skis-2022-.jpg</v>
      </c>
      <c r="Q48" s="219">
        <f t="array" aca="1" ref="Q48" ca="1">INDIRECT(_xlfn.CONCAT($BS71,Q$32))</f>
        <v>0</v>
      </c>
      <c r="R48" s="206"/>
      <c r="T48" s="219"/>
      <c r="U48" s="219"/>
      <c r="V48" s="219"/>
      <c r="W48" s="219"/>
      <c r="X48" s="219"/>
      <c r="Y48" s="219"/>
      <c r="Z48" s="219"/>
      <c r="AA48" s="219"/>
      <c r="AB48" s="219"/>
      <c r="AC48" s="219"/>
      <c r="AD48" s="219"/>
      <c r="AE48" s="219"/>
    </row>
    <row r="49" spans="2:29" ht="19.5" customHeight="1">
      <c r="B49" s="95"/>
      <c r="C49" s="102"/>
      <c r="D49" s="89"/>
      <c r="F49" s="120"/>
      <c r="G49" s="89"/>
      <c r="I49" s="102"/>
      <c r="J49" s="89"/>
      <c r="L49" s="120"/>
      <c r="N49" s="219"/>
      <c r="O49" s="120"/>
      <c r="Q49" s="206"/>
      <c r="R49" s="206"/>
      <c r="T49" s="219"/>
      <c r="W49" s="219"/>
      <c r="Z49" s="219"/>
      <c r="AC49" s="219"/>
    </row>
    <row r="50" spans="2:29" ht="19.5" customHeight="1">
      <c r="B50" s="190"/>
      <c r="C50" s="102"/>
      <c r="D50" s="89"/>
      <c r="E50" s="219"/>
      <c r="F50" s="219"/>
      <c r="G50" s="89"/>
      <c r="H50" s="120"/>
      <c r="I50" s="102"/>
      <c r="J50" s="89"/>
      <c r="L50" s="219"/>
      <c r="N50" s="219"/>
      <c r="O50" s="120"/>
      <c r="Q50" s="219"/>
      <c r="R50" s="206"/>
    </row>
    <row r="51" spans="2:29" ht="19.5" customHeight="1">
      <c r="B51" s="101"/>
      <c r="C51" s="103"/>
      <c r="D51" s="219"/>
      <c r="F51" s="219"/>
      <c r="G51" s="89"/>
      <c r="H51" s="219"/>
      <c r="I51" s="121"/>
      <c r="J51" s="89"/>
      <c r="K51" s="120"/>
      <c r="L51" s="170"/>
      <c r="N51" s="219"/>
      <c r="O51" s="170"/>
      <c r="Q51" s="206"/>
      <c r="R51" s="206"/>
    </row>
    <row r="52" spans="2:29" ht="13.5" customHeight="1">
      <c r="B52" s="92"/>
      <c r="C52" s="103"/>
      <c r="D52" s="219"/>
      <c r="E52" s="89"/>
      <c r="F52" s="89"/>
      <c r="G52" s="89"/>
      <c r="H52" s="89"/>
      <c r="I52" s="93"/>
      <c r="J52" s="89"/>
      <c r="K52" s="89"/>
      <c r="N52" s="219"/>
      <c r="Q52" s="206"/>
      <c r="R52" s="206"/>
    </row>
    <row r="53" spans="2:29" ht="19.5" customHeight="1">
      <c r="B53" s="92"/>
      <c r="C53" s="93"/>
      <c r="D53" s="89"/>
      <c r="E53" s="89"/>
      <c r="F53" s="89"/>
      <c r="G53" s="89"/>
      <c r="H53" s="89"/>
      <c r="I53" s="93"/>
      <c r="J53" s="89"/>
      <c r="K53" s="89"/>
      <c r="O53" s="219"/>
      <c r="Q53" s="206"/>
      <c r="R53" s="206"/>
      <c r="T53" s="219"/>
    </row>
    <row r="54" spans="2:29" ht="19.5" customHeight="1">
      <c r="B54" s="92"/>
      <c r="C54" s="93"/>
      <c r="D54" s="89"/>
      <c r="E54" s="219"/>
      <c r="F54" s="89"/>
      <c r="G54" s="89"/>
      <c r="H54" s="89"/>
      <c r="I54" s="93"/>
      <c r="J54" s="89"/>
      <c r="K54" s="89"/>
      <c r="Q54" s="206"/>
      <c r="R54" s="206"/>
    </row>
    <row r="55" spans="2:29" ht="19.5" customHeight="1">
      <c r="B55" s="92"/>
      <c r="C55" s="93"/>
      <c r="D55" s="89"/>
      <c r="E55" s="89"/>
      <c r="F55" s="89"/>
      <c r="G55" s="89"/>
      <c r="H55" s="89"/>
      <c r="I55" s="93"/>
      <c r="J55" s="89"/>
      <c r="K55" s="89"/>
      <c r="Q55" s="206"/>
      <c r="R55" s="206"/>
    </row>
    <row r="56" spans="2:29">
      <c r="B56" s="92"/>
      <c r="C56" s="93"/>
      <c r="D56" s="89"/>
      <c r="E56" s="89"/>
      <c r="F56" s="89"/>
      <c r="G56" s="89"/>
      <c r="H56" s="219"/>
      <c r="I56" s="93"/>
      <c r="J56" s="89"/>
      <c r="K56" s="89"/>
      <c r="Q56" s="206"/>
      <c r="R56" s="206"/>
    </row>
    <row r="57" spans="2:29">
      <c r="B57" s="92"/>
      <c r="C57" s="93"/>
      <c r="D57" s="89"/>
      <c r="E57" s="89"/>
      <c r="F57" s="89"/>
      <c r="G57" s="89"/>
      <c r="H57" s="89"/>
      <c r="I57" s="93"/>
      <c r="J57" s="89"/>
      <c r="K57" s="89"/>
      <c r="N57" s="219"/>
      <c r="Q57" s="206"/>
      <c r="R57" s="206"/>
    </row>
    <row r="58" spans="2:29">
      <c r="B58" s="92"/>
      <c r="C58" s="93"/>
      <c r="D58" s="89"/>
      <c r="E58" s="89"/>
      <c r="F58" s="89"/>
      <c r="G58" s="89"/>
      <c r="H58" s="89"/>
      <c r="I58" s="93"/>
      <c r="J58" s="89"/>
      <c r="Q58" s="206"/>
      <c r="R58" s="206"/>
    </row>
    <row r="59" spans="2:29">
      <c r="B59" s="92"/>
      <c r="C59" s="93"/>
      <c r="D59" s="89"/>
      <c r="E59" s="89"/>
      <c r="F59" s="89"/>
      <c r="G59" s="89"/>
      <c r="H59" s="89"/>
      <c r="I59" s="93"/>
      <c r="J59" s="89"/>
      <c r="Q59" s="206"/>
      <c r="R59" s="206"/>
    </row>
    <row r="60" spans="2:29">
      <c r="B60" s="92"/>
      <c r="C60" s="93"/>
      <c r="D60" s="89"/>
      <c r="E60" s="89"/>
      <c r="F60" s="89"/>
      <c r="G60" s="89"/>
      <c r="H60" s="89"/>
      <c r="I60" s="93"/>
      <c r="J60" s="89"/>
      <c r="K60" s="89"/>
      <c r="Q60" s="206"/>
      <c r="R60" s="206"/>
    </row>
    <row r="61" spans="2:29">
      <c r="B61" s="92"/>
      <c r="C61" s="93"/>
      <c r="D61" s="89"/>
      <c r="E61" s="89"/>
      <c r="F61" s="89"/>
      <c r="G61" s="89"/>
      <c r="H61" s="89"/>
      <c r="I61" s="93"/>
      <c r="J61" s="89"/>
      <c r="K61" s="89"/>
      <c r="Q61" s="206"/>
      <c r="R61" s="206"/>
    </row>
    <row r="62" spans="2:29">
      <c r="B62" s="92"/>
      <c r="C62" s="93"/>
      <c r="D62" s="89"/>
      <c r="E62" s="89"/>
      <c r="F62" s="89"/>
      <c r="G62" s="89"/>
      <c r="H62" s="89"/>
      <c r="I62" s="93"/>
      <c r="J62" s="89"/>
      <c r="K62" s="89"/>
      <c r="Q62" s="206"/>
      <c r="R62" s="206"/>
    </row>
    <row r="63" spans="2:29" ht="13.8" customHeight="1" thickBot="1">
      <c r="B63" s="104"/>
      <c r="C63" s="105"/>
      <c r="D63" s="89"/>
      <c r="E63" s="89"/>
      <c r="F63" s="89"/>
      <c r="G63" s="89"/>
      <c r="H63" s="89"/>
      <c r="I63" s="93"/>
      <c r="J63" s="89"/>
      <c r="K63" s="89"/>
      <c r="Q63" s="206"/>
      <c r="R63" s="206"/>
    </row>
    <row r="64" spans="2:29" ht="7.5" customHeight="1" thickBot="1">
      <c r="B64" s="104"/>
      <c r="C64" s="122"/>
      <c r="D64" s="122"/>
      <c r="E64" s="122"/>
      <c r="F64" s="122"/>
      <c r="G64" s="122"/>
      <c r="H64" s="122"/>
      <c r="I64" s="105"/>
      <c r="J64" s="89"/>
      <c r="K64" s="89"/>
      <c r="Q64" s="206"/>
      <c r="R64" s="206"/>
    </row>
    <row r="65" spans="2:74">
      <c r="D65" s="89"/>
      <c r="E65" s="89"/>
      <c r="F65" s="89"/>
      <c r="G65" s="89"/>
      <c r="H65" s="89"/>
      <c r="I65" s="89"/>
      <c r="J65" s="89"/>
      <c r="K65" s="89"/>
      <c r="Q65" s="206"/>
      <c r="R65" s="206"/>
    </row>
    <row r="66" spans="2:74">
      <c r="B66" s="106" t="s">
        <v>57</v>
      </c>
      <c r="D66" s="89"/>
      <c r="E66" s="89"/>
      <c r="F66" s="89"/>
      <c r="G66" s="89"/>
      <c r="H66" s="89"/>
      <c r="I66" s="89"/>
      <c r="J66" s="89"/>
      <c r="K66" s="89"/>
    </row>
    <row r="67" spans="2:74">
      <c r="B67" s="178" t="str">
        <f>HYPERLINK("https://stanforduniversity.qualtrics.com/jfe/form/SV_3z22RoYUYvwvp2u","Have feedaback? Share it here")</f>
        <v>Have feedaback? Share it here</v>
      </c>
      <c r="D67" s="89"/>
      <c r="E67" s="89"/>
      <c r="F67" s="89"/>
      <c r="G67" s="89"/>
      <c r="H67" s="89"/>
      <c r="I67" s="89"/>
      <c r="J67" s="89"/>
      <c r="K67" s="89"/>
    </row>
    <row r="68" spans="2:74">
      <c r="D68" s="89"/>
      <c r="E68" s="89"/>
      <c r="F68" s="89"/>
      <c r="G68" s="89"/>
      <c r="H68" s="89"/>
      <c r="I68" s="89"/>
      <c r="J68" s="89"/>
      <c r="K68" s="89"/>
    </row>
    <row r="69" spans="2:74" ht="22.8" customHeight="1">
      <c r="B69" s="117" t="s">
        <v>58</v>
      </c>
      <c r="D69" s="89"/>
      <c r="E69" s="89"/>
      <c r="F69" s="89"/>
      <c r="G69" s="89"/>
      <c r="H69" s="89"/>
      <c r="I69" s="89"/>
      <c r="J69" s="89"/>
      <c r="K69" s="89"/>
    </row>
    <row r="70" spans="2:74" ht="1.95" customHeight="1">
      <c r="B70" s="117"/>
      <c r="D70" s="89"/>
      <c r="E70" s="89"/>
      <c r="F70" s="89"/>
      <c r="G70" s="89"/>
      <c r="H70" s="89"/>
      <c r="I70" s="89"/>
      <c r="J70" s="89"/>
      <c r="K70" s="89"/>
    </row>
    <row r="71" spans="2:74" s="174" customFormat="1" ht="7.05" customHeight="1">
      <c r="B71" s="173" t="str">
        <f t="shared" ref="B71:AG71" si="0">SUBSTITUTE(ADDRESS(1,COLUMN(B74),4),"1","")</f>
        <v>B</v>
      </c>
      <c r="C71" s="173" t="str">
        <f t="shared" si="0"/>
        <v>C</v>
      </c>
      <c r="D71" s="173" t="str">
        <f t="shared" si="0"/>
        <v>D</v>
      </c>
      <c r="E71" s="173" t="str">
        <f t="shared" si="0"/>
        <v>E</v>
      </c>
      <c r="F71" s="173" t="str">
        <f t="shared" si="0"/>
        <v>F</v>
      </c>
      <c r="G71" s="173" t="str">
        <f t="shared" si="0"/>
        <v>G</v>
      </c>
      <c r="H71" s="173" t="str">
        <f t="shared" si="0"/>
        <v>H</v>
      </c>
      <c r="I71" s="173" t="str">
        <f t="shared" si="0"/>
        <v>I</v>
      </c>
      <c r="J71" s="173" t="str">
        <f t="shared" si="0"/>
        <v>J</v>
      </c>
      <c r="K71" s="173" t="str">
        <f t="shared" si="0"/>
        <v>K</v>
      </c>
      <c r="L71" s="173" t="str">
        <f t="shared" si="0"/>
        <v>L</v>
      </c>
      <c r="M71" s="173" t="str">
        <f t="shared" si="0"/>
        <v>M</v>
      </c>
      <c r="N71" s="173" t="str">
        <f t="shared" si="0"/>
        <v>N</v>
      </c>
      <c r="O71" s="173" t="str">
        <f t="shared" si="0"/>
        <v>O</v>
      </c>
      <c r="P71" s="173" t="str">
        <f t="shared" si="0"/>
        <v>P</v>
      </c>
      <c r="Q71" s="173" t="str">
        <f t="shared" si="0"/>
        <v>Q</v>
      </c>
      <c r="R71" s="173" t="str">
        <f t="shared" si="0"/>
        <v>R</v>
      </c>
      <c r="S71" s="173" t="str">
        <f t="shared" si="0"/>
        <v>S</v>
      </c>
      <c r="T71" s="173" t="str">
        <f t="shared" si="0"/>
        <v>T</v>
      </c>
      <c r="U71" s="173" t="str">
        <f t="shared" si="0"/>
        <v>U</v>
      </c>
      <c r="V71" s="173" t="str">
        <f t="shared" si="0"/>
        <v>V</v>
      </c>
      <c r="W71" s="173" t="str">
        <f t="shared" si="0"/>
        <v>W</v>
      </c>
      <c r="X71" s="173" t="str">
        <f t="shared" si="0"/>
        <v>X</v>
      </c>
      <c r="Y71" s="173" t="str">
        <f t="shared" si="0"/>
        <v>Y</v>
      </c>
      <c r="Z71" s="173" t="str">
        <f t="shared" si="0"/>
        <v>Z</v>
      </c>
      <c r="AA71" s="173" t="str">
        <f t="shared" si="0"/>
        <v>AA</v>
      </c>
      <c r="AB71" s="173" t="str">
        <f t="shared" si="0"/>
        <v>AB</v>
      </c>
      <c r="AC71" s="173" t="str">
        <f t="shared" si="0"/>
        <v>AC</v>
      </c>
      <c r="AD71" s="173" t="str">
        <f t="shared" si="0"/>
        <v>AD</v>
      </c>
      <c r="AE71" s="173" t="str">
        <f t="shared" si="0"/>
        <v>AE</v>
      </c>
      <c r="AF71" s="173" t="str">
        <f t="shared" si="0"/>
        <v>AF</v>
      </c>
      <c r="AG71" s="173" t="str">
        <f t="shared" si="0"/>
        <v>AG</v>
      </c>
      <c r="AH71" s="173" t="str">
        <f t="shared" ref="AH71:BM71" si="1">SUBSTITUTE(ADDRESS(1,COLUMN(AH74),4),"1","")</f>
        <v>AH</v>
      </c>
      <c r="AI71" s="173" t="str">
        <f t="shared" si="1"/>
        <v>AI</v>
      </c>
      <c r="AJ71" s="173" t="str">
        <f t="shared" si="1"/>
        <v>AJ</v>
      </c>
      <c r="AK71" s="173" t="str">
        <f t="shared" si="1"/>
        <v>AK</v>
      </c>
      <c r="AL71" s="173" t="str">
        <f t="shared" si="1"/>
        <v>AL</v>
      </c>
      <c r="AM71" s="173" t="str">
        <f t="shared" si="1"/>
        <v>AM</v>
      </c>
      <c r="AN71" s="173" t="str">
        <f t="shared" si="1"/>
        <v>AN</v>
      </c>
      <c r="AO71" s="173" t="str">
        <f t="shared" si="1"/>
        <v>AO</v>
      </c>
      <c r="AP71" s="173" t="str">
        <f t="shared" si="1"/>
        <v>AP</v>
      </c>
      <c r="AQ71" s="173" t="str">
        <f t="shared" si="1"/>
        <v>AQ</v>
      </c>
      <c r="AR71" s="173" t="str">
        <f t="shared" si="1"/>
        <v>AR</v>
      </c>
      <c r="AS71" s="173" t="str">
        <f t="shared" si="1"/>
        <v>AS</v>
      </c>
      <c r="AT71" s="173" t="str">
        <f t="shared" si="1"/>
        <v>AT</v>
      </c>
      <c r="AU71" s="173" t="str">
        <f t="shared" si="1"/>
        <v>AU</v>
      </c>
      <c r="AV71" s="173" t="str">
        <f t="shared" si="1"/>
        <v>AV</v>
      </c>
      <c r="AW71" s="173" t="str">
        <f t="shared" si="1"/>
        <v>AW</v>
      </c>
      <c r="AX71" s="173" t="str">
        <f t="shared" si="1"/>
        <v>AX</v>
      </c>
      <c r="AY71" s="173" t="str">
        <f t="shared" si="1"/>
        <v>AY</v>
      </c>
      <c r="AZ71" s="173" t="str">
        <f t="shared" si="1"/>
        <v>AZ</v>
      </c>
      <c r="BA71" s="173" t="str">
        <f t="shared" si="1"/>
        <v>BA</v>
      </c>
      <c r="BB71" s="173" t="str">
        <f t="shared" si="1"/>
        <v>BB</v>
      </c>
      <c r="BC71" s="173" t="str">
        <f t="shared" si="1"/>
        <v>BC</v>
      </c>
      <c r="BD71" s="173" t="str">
        <f t="shared" si="1"/>
        <v>BD</v>
      </c>
      <c r="BE71" s="173" t="str">
        <f t="shared" si="1"/>
        <v>BE</v>
      </c>
      <c r="BF71" s="173" t="str">
        <f t="shared" si="1"/>
        <v>BF</v>
      </c>
      <c r="BG71" s="173" t="str">
        <f t="shared" si="1"/>
        <v>BG</v>
      </c>
      <c r="BH71" s="173" t="str">
        <f t="shared" si="1"/>
        <v>BH</v>
      </c>
      <c r="BI71" s="173" t="str">
        <f t="shared" si="1"/>
        <v>BI</v>
      </c>
      <c r="BJ71" s="173" t="str">
        <f t="shared" si="1"/>
        <v>BJ</v>
      </c>
      <c r="BK71" s="173" t="str">
        <f t="shared" si="1"/>
        <v>BK</v>
      </c>
      <c r="BL71" s="173" t="str">
        <f t="shared" si="1"/>
        <v>BL</v>
      </c>
      <c r="BM71" s="173" t="str">
        <f t="shared" si="1"/>
        <v>BM</v>
      </c>
      <c r="BN71" s="173" t="str">
        <f t="shared" ref="BN71:BV71" si="2">SUBSTITUTE(ADDRESS(1,COLUMN(BN74),4),"1","")</f>
        <v>BN</v>
      </c>
      <c r="BO71" s="173" t="str">
        <f t="shared" si="2"/>
        <v>BO</v>
      </c>
      <c r="BP71" s="173" t="str">
        <f t="shared" si="2"/>
        <v>BP</v>
      </c>
      <c r="BQ71" s="173" t="str">
        <f t="shared" si="2"/>
        <v>BQ</v>
      </c>
      <c r="BR71" s="173" t="str">
        <f t="shared" si="2"/>
        <v>BR</v>
      </c>
      <c r="BS71" s="173" t="str">
        <f t="shared" si="2"/>
        <v>BS</v>
      </c>
      <c r="BT71" s="173" t="str">
        <f t="shared" si="2"/>
        <v>BT</v>
      </c>
      <c r="BU71" s="173" t="str">
        <f t="shared" si="2"/>
        <v>BU</v>
      </c>
      <c r="BV71" s="173" t="str">
        <f t="shared" si="2"/>
        <v>BV</v>
      </c>
    </row>
    <row r="72" spans="2:74" ht="20.55" customHeight="1">
      <c r="B72" s="132" t="s">
        <v>59</v>
      </c>
      <c r="C72" s="132"/>
      <c r="D72" s="172"/>
      <c r="E72" s="89"/>
      <c r="F72" s="89"/>
      <c r="G72" s="89"/>
      <c r="H72" s="89"/>
      <c r="I72" s="89"/>
      <c r="J72" s="89"/>
      <c r="K72" s="236"/>
      <c r="L72" s="236"/>
      <c r="M72" s="124" t="s">
        <v>60</v>
      </c>
      <c r="N72" s="125"/>
      <c r="O72" s="125"/>
      <c r="P72" s="125"/>
      <c r="Q72" s="125"/>
      <c r="R72" s="125"/>
      <c r="S72" s="125"/>
      <c r="T72" s="125"/>
      <c r="U72" s="125"/>
      <c r="V72" s="125"/>
      <c r="W72" s="125"/>
      <c r="X72" s="124" t="s">
        <v>61</v>
      </c>
      <c r="Y72" s="125"/>
      <c r="Z72" s="125"/>
      <c r="AA72" s="125"/>
      <c r="AB72" s="126"/>
    </row>
    <row r="73" spans="2:74" ht="19.95" customHeight="1">
      <c r="B73" s="117"/>
      <c r="C73" s="117"/>
      <c r="D73" s="171"/>
      <c r="E73" s="89"/>
      <c r="F73" s="237"/>
      <c r="G73" s="89"/>
      <c r="H73" s="89"/>
      <c r="I73" s="89"/>
      <c r="J73" s="89"/>
      <c r="K73" s="89"/>
      <c r="M73" s="85" t="s">
        <v>62</v>
      </c>
      <c r="N73" s="208"/>
      <c r="O73" s="208"/>
      <c r="P73" s="208"/>
      <c r="Q73" s="208"/>
      <c r="R73" s="208"/>
      <c r="S73" s="85" t="s">
        <v>63</v>
      </c>
      <c r="T73" s="208"/>
      <c r="U73" s="208"/>
      <c r="V73" s="208"/>
      <c r="W73" s="208"/>
      <c r="X73" s="207" t="s">
        <v>62</v>
      </c>
      <c r="Y73" s="208"/>
      <c r="Z73" s="208"/>
      <c r="AA73" s="208"/>
      <c r="AB73" s="209"/>
      <c r="BA73" s="210" t="s">
        <v>64</v>
      </c>
      <c r="BB73" s="211"/>
      <c r="BC73" s="211"/>
      <c r="BD73" s="212"/>
      <c r="BE73" s="210" t="s">
        <v>65</v>
      </c>
      <c r="BF73" s="211"/>
      <c r="BG73" s="211"/>
      <c r="BH73" s="212"/>
      <c r="BI73" s="210" t="s">
        <v>66</v>
      </c>
      <c r="BJ73" s="211"/>
      <c r="BK73" s="211"/>
      <c r="BL73" s="212"/>
      <c r="BM73" s="106" t="s">
        <v>67</v>
      </c>
    </row>
    <row r="74" spans="2:74">
      <c r="B74" s="213" t="s">
        <v>68</v>
      </c>
      <c r="C74" s="213" t="s">
        <v>69</v>
      </c>
      <c r="D74" s="213" t="s">
        <v>70</v>
      </c>
      <c r="E74" s="213" t="s">
        <v>71</v>
      </c>
      <c r="F74" s="213" t="s">
        <v>72</v>
      </c>
      <c r="G74" s="213" t="s">
        <v>73</v>
      </c>
      <c r="H74" s="213" t="s">
        <v>74</v>
      </c>
      <c r="I74" s="213" t="s">
        <v>75</v>
      </c>
      <c r="J74" s="213" t="s">
        <v>76</v>
      </c>
      <c r="K74" s="213" t="s">
        <v>77</v>
      </c>
      <c r="L74" s="213" t="s">
        <v>78</v>
      </c>
      <c r="M74" s="214" t="s">
        <v>79</v>
      </c>
      <c r="N74" s="128" t="s">
        <v>11</v>
      </c>
      <c r="O74" s="128" t="s">
        <v>13</v>
      </c>
      <c r="P74" s="128" t="s">
        <v>19</v>
      </c>
      <c r="Q74" s="128" t="s">
        <v>22</v>
      </c>
      <c r="R74" s="128" t="s">
        <v>25</v>
      </c>
      <c r="S74" s="129" t="s">
        <v>80</v>
      </c>
      <c r="T74" s="129" t="s">
        <v>81</v>
      </c>
      <c r="U74" s="129" t="s">
        <v>82</v>
      </c>
      <c r="V74" s="129" t="s">
        <v>83</v>
      </c>
      <c r="W74" s="129" t="s">
        <v>84</v>
      </c>
      <c r="X74" s="128" t="s">
        <v>11</v>
      </c>
      <c r="Y74" s="128" t="s">
        <v>13</v>
      </c>
      <c r="Z74" s="128" t="s">
        <v>19</v>
      </c>
      <c r="AA74" s="128" t="s">
        <v>22</v>
      </c>
      <c r="AB74" s="128" t="s">
        <v>25</v>
      </c>
      <c r="AC74" s="213" t="s">
        <v>85</v>
      </c>
      <c r="AD74" s="213" t="s">
        <v>86</v>
      </c>
      <c r="AE74" s="213" t="s">
        <v>87</v>
      </c>
      <c r="AF74" s="213" t="s">
        <v>76</v>
      </c>
      <c r="AG74" s="213" t="s">
        <v>88</v>
      </c>
      <c r="AH74" s="213" t="s">
        <v>89</v>
      </c>
      <c r="AI74" s="213" t="s">
        <v>90</v>
      </c>
      <c r="AJ74" s="213" t="s">
        <v>91</v>
      </c>
      <c r="AK74" s="213" t="s">
        <v>92</v>
      </c>
      <c r="AL74" s="213" t="s">
        <v>93</v>
      </c>
      <c r="AM74" s="213" t="s">
        <v>94</v>
      </c>
      <c r="AN74" s="213" t="s">
        <v>95</v>
      </c>
      <c r="AO74" s="213" t="s">
        <v>96</v>
      </c>
      <c r="AP74" s="213" t="s">
        <v>97</v>
      </c>
      <c r="AQ74" s="213" t="s">
        <v>98</v>
      </c>
      <c r="AR74" s="213" t="s">
        <v>99</v>
      </c>
      <c r="AS74" s="213" t="s">
        <v>100</v>
      </c>
      <c r="AT74" s="213" t="s">
        <v>101</v>
      </c>
      <c r="AU74" s="213" t="s">
        <v>102</v>
      </c>
      <c r="AV74" s="213" t="s">
        <v>103</v>
      </c>
      <c r="AW74" s="213" t="s">
        <v>104</v>
      </c>
      <c r="AX74" s="213" t="s">
        <v>105</v>
      </c>
      <c r="AY74" s="213" t="s">
        <v>106</v>
      </c>
      <c r="AZ74" s="213" t="s">
        <v>107</v>
      </c>
      <c r="BA74" s="213" t="s">
        <v>108</v>
      </c>
      <c r="BB74" s="213" t="s">
        <v>109</v>
      </c>
      <c r="BC74" s="213" t="s">
        <v>110</v>
      </c>
      <c r="BD74" s="213" t="s">
        <v>111</v>
      </c>
      <c r="BE74" s="213" t="s">
        <v>108</v>
      </c>
      <c r="BF74" s="213" t="s">
        <v>109</v>
      </c>
      <c r="BG74" s="213" t="s">
        <v>110</v>
      </c>
      <c r="BH74" s="213" t="s">
        <v>111</v>
      </c>
      <c r="BI74" s="213" t="s">
        <v>108</v>
      </c>
      <c r="BJ74" s="213" t="s">
        <v>109</v>
      </c>
      <c r="BK74" s="213" t="s">
        <v>110</v>
      </c>
      <c r="BL74" s="213" t="s">
        <v>111</v>
      </c>
      <c r="BM74" s="213" t="s">
        <v>112</v>
      </c>
      <c r="BN74" s="213" t="s">
        <v>113</v>
      </c>
      <c r="BO74" s="213" t="s">
        <v>114</v>
      </c>
      <c r="BP74" s="213" t="s">
        <v>115</v>
      </c>
      <c r="BQ74" s="213" t="s">
        <v>116</v>
      </c>
      <c r="BR74" s="213" t="s">
        <v>117</v>
      </c>
      <c r="BS74" s="213" t="s">
        <v>118</v>
      </c>
    </row>
    <row r="75" spans="2:74" ht="15.6" customHeight="1">
      <c r="B75" s="222">
        <v>1</v>
      </c>
      <c r="C75" s="215">
        <f t="array" ref="C75:C94">_xlfn._xlws.SORT(_xlfn._xlws.FILTER(Data!K$9:K$1273,(Data!$H$9:$H$1273=TRUE)*(Data!$J$9:$J$1273=TRUE),""),1,-1)</f>
        <v>0.91011247603774437</v>
      </c>
      <c r="D75" s="216" t="str">
        <f>IFERROR(INDEX(Data!BR$9:BR$1273,MATCH($M75,Data!$K$9:$K$1273,0)),"")</f>
        <v>21/22</v>
      </c>
      <c r="E75" s="216" t="str">
        <f>IFERROR(INDEX(Data!BS$9:BS$1273,MATCH($M75,Data!$K$9:$K$1273,0)),"")</f>
        <v xml:space="preserve"> DPS</v>
      </c>
      <c r="F75" s="216" t="str">
        <f>IFERROR(INDEX(Data!DM$9:DM$1273,MATCH($M75,Data!$K$9:$K$1273,0)),"")</f>
        <v>Pagoda Tour 112 RP</v>
      </c>
      <c r="G75" s="216" t="str">
        <f>IFERROR(INDEX(Data!BV$9:BV$1273,MATCH($M75,Data!$K$9:$K$1273,0)),"")</f>
        <v xml:space="preserve"> Unisex</v>
      </c>
      <c r="H75" s="216">
        <f>IFERROR(INDEX(Data!BW$9:BW$1273,MATCH($M75,Data!$K$9:$K$1273,0)),"")</f>
        <v>158</v>
      </c>
      <c r="I75" s="216">
        <f>IFERROR(INDEX(Data!BX$9:BX$1273,MATCH($M75,Data!$K$9:$K$1273,0)),"")</f>
        <v>156.5</v>
      </c>
      <c r="J75" s="216">
        <f>IFERROR(INDEX(Data!CB$9:CB$1273,MATCH($M75,Data!$K$9:$K$1273,0)),"")</f>
        <v>111</v>
      </c>
      <c r="K75" s="238">
        <f t="shared" ref="K75:K106" si="3">IFERROR(HYPERLINK(BM75,BC75),"-")</f>
        <v>1038.93</v>
      </c>
      <c r="L75" s="239" t="str">
        <f t="shared" ref="L75:L106" si="4">IFERROR(IF(BB75=0,"-",BB75)," ")</f>
        <v>REI</v>
      </c>
      <c r="M75" s="127">
        <f t="array" ref="M75:M94">_xlfn._xlws.SORT(_xlfn._xlws.FILTER(Data!K9:K1273,(Data!$H$9:$H$1273=TRUE)*(Data!$J$9:$J$1273=TRUE),""),,-1)</f>
        <v>0.91011247603774437</v>
      </c>
      <c r="N75" s="127">
        <f>IFERROR(INDEX(Data!L$9:L$1273,MATCH($M75,Data!$K$9:$K$1273,0)),"")</f>
        <v>0.94270267596425783</v>
      </c>
      <c r="O75" s="127">
        <f>IFERROR(INDEX(Data!M$9:M$1273,MATCH($M75,Data!$K$9:$K$1273,0)),"")</f>
        <v>0.87752227611123068</v>
      </c>
      <c r="P75" s="127">
        <f>IFERROR(INDEX(Data!N$9:N$1273,MATCH($M75,Data!$K$9:$K$1273,0)),"")</f>
        <v>0.96363679299278671</v>
      </c>
      <c r="Q75" s="127">
        <f>IFERROR(INDEX(Data!O$9:O$1273,MATCH($M75,Data!$K$9:$K$1273,0)),"")</f>
        <v>0.74345173220530525</v>
      </c>
      <c r="R75" s="127">
        <f>IFERROR(INDEX(Data!P$9:P$1273,MATCH($M75,Data!$K$9:$K$1273,0)),"")</f>
        <v>0.9254783031356002</v>
      </c>
      <c r="S75" s="127">
        <f>IFERROR(INDEX(Data!S$9:S$1273,MATCH($M75,Data!$K$9:$K$1273,0)),"")</f>
        <v>0.41075521240671975</v>
      </c>
      <c r="T75" s="127">
        <f>IFERROR(INDEX(Data!T$9:T$1273,MATCH($M75,Data!$K$9:$K$1273,0)),"")</f>
        <v>0.44522905824440995</v>
      </c>
      <c r="U75" s="127">
        <f>IFERROR(INDEX(Data!U$9:U$1273,MATCH($M75,Data!$K$9:$K$1273,0)),"")</f>
        <v>0.5463684081538438</v>
      </c>
      <c r="V75" s="127">
        <f>IFERROR(INDEX(Data!V$9:V$1273,MATCH($M75,Data!$K$9:$K$1273,0)),"")</f>
        <v>0.7023785437291401</v>
      </c>
      <c r="W75" s="127">
        <f>IFERROR(INDEX(Data!W$9:W$1273,MATCH($M75,Data!$K$9:$K$1273,0)),"")</f>
        <v>0.99330583756345181</v>
      </c>
      <c r="X75" s="127">
        <f>IFERROR(INDEX(Data!AJ$9:AJ$1273,MATCH($M75,Data!$K$9:$K$1273,0)),"")</f>
        <v>0.19692208524695831</v>
      </c>
      <c r="Y75" s="127">
        <f>IFERROR(INDEX(Data!AK$9:AK$1273,MATCH($M75,Data!$K$9:$K$1273,0)),"")</f>
        <v>0.17424501081503865</v>
      </c>
      <c r="Z75" s="127">
        <f>IFERROR(INDEX(Data!AL$9:AL$1273,MATCH($M75,Data!$K$9:$K$1273,0)),"")</f>
        <v>0.13805097072029346</v>
      </c>
      <c r="AA75" s="127">
        <f>IFERROR(INDEX(Data!AM$9:AM$1273,MATCH($M75,Data!$K$9:$K$1273,0)),"")</f>
        <v>0.19083675330235164</v>
      </c>
      <c r="AB75" s="127">
        <f>IFERROR(INDEX(Data!AN$9:AN$1273,MATCH($M75,Data!$K$9:$K$1273,0)),"")</f>
        <v>0.17969771241830063</v>
      </c>
      <c r="AC75" s="216">
        <f>IFERROR(INDEX(Data!BY$9:BY$1273,MATCH($M75,Data!$K$9:$K$1273,0)),"")</f>
        <v>91</v>
      </c>
      <c r="AD75" s="216">
        <f>IFERROR(INDEX(Data!BZ$9:BZ$1273,MATCH($M75,Data!$K$9:$K$1273,0)),"")</f>
        <v>104</v>
      </c>
      <c r="AE75" s="216">
        <f>IFERROR(INDEX(Data!CA$9:CA$1273,MATCH($M75,Data!$K$9:$K$1273,0)),"")</f>
        <v>133</v>
      </c>
      <c r="AF75" s="216">
        <f>IFERROR(INDEX(Data!CB$9:CB$1273,MATCH($M75,Data!$K$9:$K$1273,0)),"")</f>
        <v>111</v>
      </c>
      <c r="AG75" s="216">
        <f>IFERROR(INDEX(Data!CC$9:CC$1273,MATCH($M75,Data!$K$9:$K$1273,0)),"")</f>
        <v>121</v>
      </c>
      <c r="AH75" s="216">
        <f>IFERROR(INDEX(Data!CD$9:CD$1273,MATCH($M75,Data!$K$9:$K$1273,0)),"")</f>
        <v>15.2</v>
      </c>
      <c r="AI75" s="216">
        <f>IFERROR(INDEX(Data!CE$9:CE$1273,MATCH($M75,Data!$K$9:$K$1273,0)),"")</f>
        <v>1294</v>
      </c>
      <c r="AJ75" s="216">
        <f>IFERROR(INDEX(Data!CF$9:CF$1273,MATCH($M75,Data!$K$9:$K$1273,0)),"")</f>
        <v>1.42</v>
      </c>
      <c r="AK75" s="216">
        <f>IFERROR(INDEX(Data!CG$9:CG$1273,MATCH($M75,Data!$K$9:$K$1273,0)),"")</f>
        <v>1841</v>
      </c>
      <c r="AL75" s="216">
        <f>IFERROR(INDEX(Data!CH$9:CH$1273,MATCH($M75,Data!$K$9:$K$1273,0)),"")</f>
        <v>153</v>
      </c>
      <c r="AM75" s="216">
        <f>IFERROR(INDEX(Data!CI$9:CI$1273,MATCH($M75,Data!$K$9:$K$1273,0)),"")</f>
        <v>86</v>
      </c>
      <c r="AN75" s="216">
        <f>IFERROR(INDEX(Data!CJ$9:CJ$1273,MATCH($M75,Data!$K$9:$K$1273,0)),"")</f>
        <v>62</v>
      </c>
      <c r="AO75" s="216">
        <f>IFERROR(INDEX(Data!CK$9:CK$1273,MATCH($M75,Data!$K$9:$K$1273,0)),"")</f>
        <v>374</v>
      </c>
      <c r="AP75" s="216">
        <f>IFERROR(INDEX(Data!CL$9:CL$1273,MATCH($M75,Data!$K$9:$K$1273,0)),"")</f>
        <v>31</v>
      </c>
      <c r="AQ75" s="216">
        <f>IFERROR(INDEX(Data!CM$9:CM$1273,MATCH($M75,Data!$K$9:$K$1273,0)),"")</f>
        <v>282</v>
      </c>
      <c r="AR75" s="216">
        <f>IFERROR(INDEX(Data!CN$9:CN$1273,MATCH($M75,Data!$K$9:$K$1273,0)),"")</f>
        <v>0.49099999999999999</v>
      </c>
      <c r="AS75" s="216">
        <f>IFERROR(INDEX(Data!CO$9:CO$1273,MATCH($M75,Data!$K$9:$K$1273,0)),"")</f>
        <v>312</v>
      </c>
      <c r="AT75" s="216">
        <f>IFERROR(INDEX(Data!CP$9:CP$1273,MATCH($M75,Data!$K$9:$K$1273,0)),"")</f>
        <v>212</v>
      </c>
      <c r="AU75" s="216">
        <f>IFERROR(INDEX(Data!CQ$9:CQ$1273,MATCH($M75,Data!$K$9:$K$1273,0)),"")</f>
        <v>62</v>
      </c>
      <c r="AV75" s="216">
        <f>IFERROR(INDEX(Data!CR$9:CR$1273,MATCH($M75,Data!$K$9:$K$1273,0)),"")</f>
        <v>4</v>
      </c>
      <c r="AW75" s="216">
        <f>IFERROR(INDEX(Data!CS$9:CS$1273,MATCH($M75,Data!$K$9:$K$1273,0)),"")</f>
        <v>13.5</v>
      </c>
      <c r="AX75" s="216" t="str">
        <f>IFERROR(INDEX(Data!CT$9:CT$1273,MATCH($M75,Data!$K$9:$K$1273,0)),"")</f>
        <v xml:space="preserve"> Powder</v>
      </c>
      <c r="AY75" s="216" t="str">
        <f>IFERROR(INDEX(Data!CU$9:CU$1273,MATCH($M75,Data!$K$9:$K$1273,0)),"")</f>
        <v xml:space="preserve"> Touring</v>
      </c>
      <c r="AZ75" s="216" t="str">
        <f>IFERROR(INDEX(Data!CV$9:CV$1273,MATCH($M75,Data!$K$9:$K$1273,0)),"")</f>
        <v xml:space="preserve"> Ultralight Touring</v>
      </c>
      <c r="BA75" s="216" t="str">
        <f>IFERROR(INDEX(Data!CX$9:CX$1273,MATCH($M75,Data!$K$9:$K$1273,0)),"")</f>
        <v>DPS Skis Pagoda Tour 112 RP Skis Gray 158 Cm</v>
      </c>
      <c r="BB75" s="216" t="str">
        <f>IFERROR(INDEX(Data!CY$9:CY$1273,MATCH($M75,Data!$K$9:$K$1273,0)),"")</f>
        <v>REI</v>
      </c>
      <c r="BC75" s="216">
        <f>IFERROR(INDEX(Data!CZ$9:CZ$1273,MATCH($M75,Data!$K$9:$K$1273,0)),"")</f>
        <v>1038.93</v>
      </c>
      <c r="BD75" s="216" t="str">
        <f>IFERROR(INDEX(Data!DA$9:DA$1273,MATCH($M75,Data!$K$9:$K$1273,0)),"")</f>
        <v>https://tinyurl.com/yb9czond</v>
      </c>
      <c r="BE75" s="216" t="str">
        <f>IFERROR(INDEX(Data!DB$9:DB$1273,MATCH($M75,Data!$K$9:$K$1273,0)),"")</f>
        <v>DPS Pagoda Tour 112 RP SE Ski 158 / Midnight Rider Blue</v>
      </c>
      <c r="BF75" s="216" t="str">
        <f>IFERROR(INDEX(Data!DC$9:DC$1273,MATCH($M75,Data!$K$9:$K$1273,0)),"")</f>
        <v>Backcountry.com</v>
      </c>
      <c r="BG75" s="216">
        <f>IFERROR(INDEX(Data!DD$9:DD$1273,MATCH($M75,Data!$K$9:$K$1273,0)),"")</f>
        <v>1039.2</v>
      </c>
      <c r="BH75" s="216" t="str">
        <f>IFERROR(INDEX(Data!DE$9:DE$1273,MATCH($M75,Data!$K$9:$K$1273,0)),"")</f>
        <v>https://tinyurl.com/y7en4bf4</v>
      </c>
      <c r="BI75" s="216" t="str">
        <f>IFERROR(INDEX(Data!DF$9:DF$1273,MATCH($M75,Data!$K$9:$K$1273,0)),"")</f>
        <v>DPS Pagoda Tour 112 RP SE Ski 158 / Midnight Rider Blue</v>
      </c>
      <c r="BJ75" s="216" t="str">
        <f>IFERROR(INDEX(Data!DG$9:DG$1273,MATCH($M75,Data!$K$9:$K$1273,0)),"")</f>
        <v>Steep &amp; Cheap</v>
      </c>
      <c r="BK75" s="216">
        <f>IFERROR(INDEX(Data!DH$9:DH$1273,MATCH($M75,Data!$K$9:$K$1273,0)),"")</f>
        <v>1039.2</v>
      </c>
      <c r="BL75" s="216" t="str">
        <f>IFERROR(INDEX(Data!DI$9:DI$1273,MATCH($M75,Data!$K$9:$K$1273,0)),"")</f>
        <v>https://tinyurl.com/y6ub5tdg</v>
      </c>
      <c r="BM75" s="216" t="str">
        <f>IFERROR(INDEX(Data!DJ$9:DJ$1273,MATCH($M75,Data!$K$9:$K$1273,0)),"")</f>
        <v>https://tinyurl.com/yb9czond</v>
      </c>
      <c r="BN75" s="216" t="str">
        <f>IFERROR(INDEX(Data!DK$9:DK$1273,MATCH($M75,Data!$K$9:$K$1273,0)),"")</f>
        <v>https://tinyurl.com/y7en4bf4</v>
      </c>
      <c r="BO75" s="216" t="str">
        <f>IFERROR(INDEX(Data!DL$9:DL$1273,MATCH($M75,Data!$K$9:$K$1273,0)),"")</f>
        <v>https://tinyurl.com/y6ub5tdg</v>
      </c>
      <c r="BP75" s="240">
        <f t="shared" ref="BP75:BP106" si="5">IFERROR(IF(BK75=0,"-",BK75),"")</f>
        <v>1039.2</v>
      </c>
      <c r="BQ75" s="216" t="b">
        <f t="shared" ref="BQ75:BQ106" si="6">IFERROR(IF(BP75-K75&gt;0,TRUE,FALSE)," ")</f>
        <v>1</v>
      </c>
      <c r="BR75" s="216" t="str">
        <f t="shared" ref="BR75:BR106" si="7">_xlfn.CONCAT(E75,F75,H75,G75)</f>
        <v xml:space="preserve"> DPSPagoda Tour 112 RP158 Unisex</v>
      </c>
      <c r="BS75" s="216" t="str">
        <f>IFERROR(INDEX(Data!$DO$9:$DO$1273,MATCH('Your recommendation'!BR75,Data!$DN$9:$DN$1273,0)),"")</f>
        <v>https://images.evo.com/imgp/250/183639/728542/dps-pagoda-tour-112-rp-skis-2022-.jpg</v>
      </c>
    </row>
    <row r="76" spans="2:74" ht="15.6" customHeight="1">
      <c r="B76" s="222">
        <f t="shared" ref="B76:B107" si="8">IF(C76&gt;0,B75+1,"")</f>
        <v>2</v>
      </c>
      <c r="C76" s="215">
        <v>0.90048021271190926</v>
      </c>
      <c r="D76" s="216" t="str">
        <f>IFERROR(INDEX(Data!BR$9:BR$1273,MATCH($M76,Data!$K$9:$K$1273,0)),"")</f>
        <v>21/22</v>
      </c>
      <c r="E76" s="216" t="str">
        <f>IFERROR(INDEX(Data!BS$9:BS$1273,MATCH($M76,Data!$K$9:$K$1273,0)),"")</f>
        <v xml:space="preserve"> Blizzard</v>
      </c>
      <c r="F76" s="216" t="str">
        <f>IFERROR(INDEX(Data!DM$9:DM$1273,MATCH($M76,Data!$K$9:$K$1273,0)),"")</f>
        <v>Zero G 105</v>
      </c>
      <c r="G76" s="216" t="str">
        <f>IFERROR(INDEX(Data!BV$9:BV$1273,MATCH($M76,Data!$K$9:$K$1273,0)),"")</f>
        <v xml:space="preserve"> Unisex</v>
      </c>
      <c r="H76" s="216">
        <f>IFERROR(INDEX(Data!BW$9:BW$1273,MATCH($M76,Data!$K$9:$K$1273,0)),"")</f>
        <v>164</v>
      </c>
      <c r="I76" s="216">
        <f>IFERROR(INDEX(Data!BX$9:BX$1273,MATCH($M76,Data!$K$9:$K$1273,0)),"")</f>
        <v>162</v>
      </c>
      <c r="J76" s="216">
        <f>IFERROR(INDEX(Data!CB$9:CB$1273,MATCH($M76,Data!$K$9:$K$1273,0)),"")</f>
        <v>102</v>
      </c>
      <c r="K76" s="238">
        <f t="shared" si="3"/>
        <v>365.82</v>
      </c>
      <c r="L76" s="239" t="str">
        <f t="shared" si="4"/>
        <v>Telemark Pyrenees</v>
      </c>
      <c r="M76" s="127">
        <v>0.90048021271190926</v>
      </c>
      <c r="N76" s="127">
        <f>IFERROR(INDEX(Data!L$9:L$1273,MATCH($M76,Data!$K$9:$K$1273,0)),"")</f>
        <v>0.94479759176475742</v>
      </c>
      <c r="O76" s="127">
        <f>IFERROR(INDEX(Data!M$9:M$1273,MATCH($M76,Data!$K$9:$K$1273,0)),"")</f>
        <v>0.8561628336590611</v>
      </c>
      <c r="P76" s="127">
        <f>IFERROR(INDEX(Data!N$9:N$1273,MATCH($M76,Data!$K$9:$K$1273,0)),"")</f>
        <v>0.93264963053152072</v>
      </c>
      <c r="Q76" s="127">
        <f>IFERROR(INDEX(Data!O$9:O$1273,MATCH($M76,Data!$K$9:$K$1273,0)),"")</f>
        <v>0.77747658038195788</v>
      </c>
      <c r="R76" s="127">
        <f>IFERROR(INDEX(Data!P$9:P$1273,MATCH($M76,Data!$K$9:$K$1273,0)),"")</f>
        <v>0.85836229006370479</v>
      </c>
      <c r="S76" s="127">
        <f>IFERROR(INDEX(Data!S$9:S$1273,MATCH($M76,Data!$K$9:$K$1273,0)),"")</f>
        <v>0.41399076558647774</v>
      </c>
      <c r="T76" s="127">
        <f>IFERROR(INDEX(Data!T$9:T$1273,MATCH($M76,Data!$K$9:$K$1273,0)),"")</f>
        <v>0.44770837929522611</v>
      </c>
      <c r="U76" s="127">
        <f>IFERROR(INDEX(Data!U$9:U$1273,MATCH($M76,Data!$K$9:$K$1273,0)),"")</f>
        <v>0.74500317644129277</v>
      </c>
      <c r="V76" s="127">
        <f>IFERROR(INDEX(Data!V$9:V$1273,MATCH($M76,Data!$K$9:$K$1273,0)),"")</f>
        <v>0.53968536528029543</v>
      </c>
      <c r="W76" s="127">
        <f>IFERROR(INDEX(Data!W$9:W$1273,MATCH($M76,Data!$K$9:$K$1273,0)),"")</f>
        <v>0.8501580135440181</v>
      </c>
      <c r="X76" s="127">
        <f>IFERROR(INDEX(Data!AJ$9:AJ$1273,MATCH($M76,Data!$K$9:$K$1273,0)),"")</f>
        <v>0.19901700104745787</v>
      </c>
      <c r="Y76" s="127">
        <f>IFERROR(INDEX(Data!AK$9:AK$1273,MATCH($M76,Data!$K$9:$K$1273,0)),"")</f>
        <v>0.1147700551750909</v>
      </c>
      <c r="Z76" s="127">
        <f>IFERROR(INDEX(Data!AL$9:AL$1273,MATCH($M76,Data!$K$9:$K$1273,0)),"")</f>
        <v>0.16903813318155947</v>
      </c>
      <c r="AA76" s="127">
        <f>IFERROR(INDEX(Data!AM$9:AM$1273,MATCH($M76,Data!$K$9:$K$1273,0)),"")</f>
        <v>0.22486160147900425</v>
      </c>
      <c r="AB76" s="127">
        <f>IFERROR(INDEX(Data!AN$9:AN$1273,MATCH($M76,Data!$K$9:$K$1273,0)),"")</f>
        <v>0.11258169934640523</v>
      </c>
      <c r="AC76" s="216">
        <f>IFERROR(INDEX(Data!BY$9:BY$1273,MATCH($M76,Data!$K$9:$K$1273,0)),"")</f>
        <v>114</v>
      </c>
      <c r="AD76" s="216">
        <f>IFERROR(INDEX(Data!BZ$9:BZ$1273,MATCH($M76,Data!$K$9:$K$1273,0)),"")</f>
        <v>132</v>
      </c>
      <c r="AE76" s="216">
        <f>IFERROR(INDEX(Data!CA$9:CA$1273,MATCH($M76,Data!$K$9:$K$1273,0)),"")</f>
        <v>130</v>
      </c>
      <c r="AF76" s="216">
        <f>IFERROR(INDEX(Data!CB$9:CB$1273,MATCH($M76,Data!$K$9:$K$1273,0)),"")</f>
        <v>102</v>
      </c>
      <c r="AG76" s="216">
        <f>IFERROR(INDEX(Data!CC$9:CC$1273,MATCH($M76,Data!$K$9:$K$1273,0)),"")</f>
        <v>116</v>
      </c>
      <c r="AH76" s="216">
        <f>IFERROR(INDEX(Data!CD$9:CD$1273,MATCH($M76,Data!$K$9:$K$1273,0)),"")</f>
        <v>18.600000000000001</v>
      </c>
      <c r="AI76" s="216">
        <f>IFERROR(INDEX(Data!CE$9:CE$1273,MATCH($M76,Data!$K$9:$K$1273,0)),"")</f>
        <v>1343</v>
      </c>
      <c r="AJ76" s="216">
        <f>IFERROR(INDEX(Data!CF$9:CF$1273,MATCH($M76,Data!$K$9:$K$1273,0)),"")</f>
        <v>1.33</v>
      </c>
      <c r="AK76" s="216">
        <f>IFERROR(INDEX(Data!CG$9:CG$1273,MATCH($M76,Data!$K$9:$K$1273,0)),"")</f>
        <v>1786</v>
      </c>
      <c r="AL76" s="216">
        <f>IFERROR(INDEX(Data!CH$9:CH$1273,MATCH($M76,Data!$K$9:$K$1273,0)),"")</f>
        <v>166</v>
      </c>
      <c r="AM76" s="216">
        <f>IFERROR(INDEX(Data!CI$9:CI$1273,MATCH($M76,Data!$K$9:$K$1273,0)),"")</f>
        <v>59</v>
      </c>
      <c r="AN76" s="216">
        <f>IFERROR(INDEX(Data!CJ$9:CJ$1273,MATCH($M76,Data!$K$9:$K$1273,0)),"")</f>
        <v>58</v>
      </c>
      <c r="AO76" s="216">
        <f>IFERROR(INDEX(Data!CK$9:CK$1273,MATCH($M76,Data!$K$9:$K$1273,0)),"")</f>
        <v>311</v>
      </c>
      <c r="AP76" s="216">
        <f>IFERROR(INDEX(Data!CL$9:CL$1273,MATCH($M76,Data!$K$9:$K$1273,0)),"")</f>
        <v>17</v>
      </c>
      <c r="AQ76" s="216">
        <f>IFERROR(INDEX(Data!CM$9:CM$1273,MATCH($M76,Data!$K$9:$K$1273,0)),"")</f>
        <v>170</v>
      </c>
      <c r="AR76" s="216">
        <f>IFERROR(INDEX(Data!CN$9:CN$1273,MATCH($M76,Data!$K$9:$K$1273,0)),"")</f>
        <v>0.28799999999999998</v>
      </c>
      <c r="AS76" s="216">
        <f>IFERROR(INDEX(Data!CO$9:CO$1273,MATCH($M76,Data!$K$9:$K$1273,0)),"")</f>
        <v>157</v>
      </c>
      <c r="AT76" s="216">
        <f>IFERROR(INDEX(Data!CP$9:CP$1273,MATCH($M76,Data!$K$9:$K$1273,0)),"")</f>
        <v>147</v>
      </c>
      <c r="AU76" s="216">
        <f>IFERROR(INDEX(Data!CQ$9:CQ$1273,MATCH($M76,Data!$K$9:$K$1273,0)),"")</f>
        <v>155</v>
      </c>
      <c r="AV76" s="216">
        <f>IFERROR(INDEX(Data!CR$9:CR$1273,MATCH($M76,Data!$K$9:$K$1273,0)),"")</f>
        <v>5</v>
      </c>
      <c r="AW76" s="216">
        <f>IFERROR(INDEX(Data!CS$9:CS$1273,MATCH($M76,Data!$K$9:$K$1273,0)),"")</f>
        <v>8.9</v>
      </c>
      <c r="AX76" s="216" t="str">
        <f>IFERROR(INDEX(Data!CT$9:CT$1273,MATCH($M76,Data!$K$9:$K$1273,0)),"")</f>
        <v xml:space="preserve"> Big Mountain</v>
      </c>
      <c r="AY76" s="216" t="str">
        <f>IFERROR(INDEX(Data!CU$9:CU$1273,MATCH($M76,Data!$K$9:$K$1273,0)),"")</f>
        <v xml:space="preserve"> Touring</v>
      </c>
      <c r="AZ76" s="216" t="str">
        <f>IFERROR(INDEX(Data!CV$9:CV$1273,MATCH($M76,Data!$K$9:$K$1273,0)),"")</f>
        <v xml:space="preserve"> Ultralight Touring</v>
      </c>
      <c r="BA76" s="216" t="str">
        <f>IFERROR(INDEX(Data!CX$9:CX$1273,MATCH($M76,Data!$K$9:$K$1273,0)),"")</f>
        <v>Blizzard Zero G 105 Ski 2021</v>
      </c>
      <c r="BB76" s="216" t="str">
        <f>IFERROR(INDEX(Data!CY$9:CY$1273,MATCH($M76,Data!$K$9:$K$1273,0)),"")</f>
        <v>Telemark Pyrenees</v>
      </c>
      <c r="BC76" s="216">
        <f>IFERROR(INDEX(Data!CZ$9:CZ$1273,MATCH($M76,Data!$K$9:$K$1273,0)),"")</f>
        <v>365.82</v>
      </c>
      <c r="BD76" s="216" t="str">
        <f>IFERROR(INDEX(Data!DA$9:DA$1273,MATCH($M76,Data!$K$9:$K$1273,0)),"")</f>
        <v>https://tinyurl.com/yapefzq2</v>
      </c>
      <c r="BE76" s="216" t="str">
        <f>IFERROR(INDEX(Data!DB$9:DB$1273,MATCH($M76,Data!$K$9:$K$1273,0)),"")</f>
        <v>Blizzard Zero G 105 Backcountry Touring Ski 2022 164 / Deep Navy</v>
      </c>
      <c r="BF76" s="216" t="str">
        <f>IFERROR(INDEX(Data!DC$9:DC$1273,MATCH($M76,Data!$K$9:$K$1273,0)),"")</f>
        <v>Ski The Whites</v>
      </c>
      <c r="BG76" s="216">
        <f>IFERROR(INDEX(Data!DD$9:DD$1273,MATCH($M76,Data!$K$9:$K$1273,0)),"")</f>
        <v>639.99</v>
      </c>
      <c r="BH76" s="216" t="str">
        <f>IFERROR(INDEX(Data!DE$9:DE$1273,MATCH($M76,Data!$K$9:$K$1273,0)),"")</f>
        <v>https://tinyurl.com/ybvswrnm</v>
      </c>
      <c r="BI76" s="216" t="str">
        <f>IFERROR(INDEX(Data!DF$9:DF$1273,MATCH($M76,Data!$K$9:$K$1273,0)),"")</f>
        <v>Blizzard Zero G Approach 84 21/22</v>
      </c>
      <c r="BJ76" s="216" t="str">
        <f>IFERROR(INDEX(Data!DG$9:DG$1273,MATCH($M76,Data!$K$9:$K$1273,0)),"")</f>
        <v>Snowcountry.eu</v>
      </c>
      <c r="BK76" s="216">
        <f>IFERROR(INDEX(Data!DH$9:DH$1273,MATCH($M76,Data!$K$9:$K$1273,0)),"")</f>
        <v>322.69</v>
      </c>
      <c r="BL76" s="216" t="str">
        <f>IFERROR(INDEX(Data!DI$9:DI$1273,MATCH($M76,Data!$K$9:$K$1273,0)),"")</f>
        <v>https://tinyurl.com/y8zzfuwl</v>
      </c>
      <c r="BM76" s="216" t="str">
        <f>IFERROR(INDEX(Data!DJ$9:DJ$1273,MATCH($M76,Data!$K$9:$K$1273,0)),"")</f>
        <v>https://tinyurl.com/yapefzq2</v>
      </c>
      <c r="BN76" s="216" t="str">
        <f>IFERROR(INDEX(Data!DK$9:DK$1273,MATCH($M76,Data!$K$9:$K$1273,0)),"")</f>
        <v>https://tinyurl.com/ybvswrnm</v>
      </c>
      <c r="BO76" s="216" t="str">
        <f>IFERROR(INDEX(Data!DL$9:DL$1273,MATCH($M76,Data!$K$9:$K$1273,0)),"")</f>
        <v>https://tinyurl.com/y8zzfuwl</v>
      </c>
      <c r="BP76" s="240">
        <f t="shared" si="5"/>
        <v>322.69</v>
      </c>
      <c r="BQ76" s="216" t="b">
        <f t="shared" si="6"/>
        <v>0</v>
      </c>
      <c r="BR76" s="216" t="str">
        <f t="shared" si="7"/>
        <v xml:space="preserve"> BlizzardZero G 105164 Unisex</v>
      </c>
      <c r="BS76" s="216" t="str">
        <f>IFERROR(INDEX(Data!$DO$9:$DO$1273,MATCH('Your recommendation'!BR76,Data!$DN$9:$DN$1273,0)),"")</f>
        <v>https://images.evo.com/imgp/250/197481/783558/blizzard-zero-g-105-skis-2022-.jpg</v>
      </c>
    </row>
    <row r="77" spans="2:74" ht="15.6" customHeight="1">
      <c r="B77" s="222">
        <f t="shared" si="8"/>
        <v>3</v>
      </c>
      <c r="C77" s="215">
        <v>0.89691305657999665</v>
      </c>
      <c r="D77" s="216" t="str">
        <f>IFERROR(INDEX(Data!BR$9:BR$1273,MATCH($M77,Data!$K$9:$K$1273,0)),"")</f>
        <v>21/22</v>
      </c>
      <c r="E77" s="216" t="str">
        <f>IFERROR(INDEX(Data!BS$9:BS$1273,MATCH($M77,Data!$K$9:$K$1273,0)),"")</f>
        <v xml:space="preserve"> DPS</v>
      </c>
      <c r="F77" s="216" t="str">
        <f>IFERROR(INDEX(Data!DM$9:DM$1273,MATCH($M77,Data!$K$9:$K$1273,0)),"")</f>
        <v>Pagoda 106 C2</v>
      </c>
      <c r="G77" s="216" t="str">
        <f>IFERROR(INDEX(Data!BV$9:BV$1273,MATCH($M77,Data!$K$9:$K$1273,0)),"")</f>
        <v xml:space="preserve"> Unisex</v>
      </c>
      <c r="H77" s="216">
        <f>IFERROR(INDEX(Data!BW$9:BW$1273,MATCH($M77,Data!$K$9:$K$1273,0)),"")</f>
        <v>155</v>
      </c>
      <c r="I77" s="216">
        <f>IFERROR(INDEX(Data!BX$9:BX$1273,MATCH($M77,Data!$K$9:$K$1273,0)),"")</f>
        <v>154</v>
      </c>
      <c r="J77" s="216">
        <f>IFERROR(INDEX(Data!CB$9:CB$1273,MATCH($M77,Data!$K$9:$K$1273,0)),"")</f>
        <v>106</v>
      </c>
      <c r="K77" s="238">
        <f t="shared" si="3"/>
        <v>1029</v>
      </c>
      <c r="L77" s="239" t="str">
        <f t="shared" si="4"/>
        <v>Cripple Creek Backcountry</v>
      </c>
      <c r="M77" s="127">
        <v>0.89691305657999665</v>
      </c>
      <c r="N77" s="127">
        <f>IFERROR(INDEX(Data!L$9:L$1273,MATCH($M77,Data!$K$9:$K$1273,0)),"")</f>
        <v>0.96318726038253122</v>
      </c>
      <c r="O77" s="127">
        <f>IFERROR(INDEX(Data!M$9:M$1273,MATCH($M77,Data!$K$9:$K$1273,0)),"")</f>
        <v>0.83063885277746208</v>
      </c>
      <c r="P77" s="127">
        <f>IFERROR(INDEX(Data!N$9:N$1273,MATCH($M77,Data!$K$9:$K$1273,0)),"")</f>
        <v>0.77644903608391425</v>
      </c>
      <c r="Q77" s="127">
        <f>IFERROR(INDEX(Data!O$9:O$1273,MATCH($M77,Data!$K$9:$K$1273,0)),"")</f>
        <v>0.71895163741352519</v>
      </c>
      <c r="R77" s="127">
        <f>IFERROR(INDEX(Data!P$9:P$1273,MATCH($M77,Data!$K$9:$K$1273,0)),"")</f>
        <v>0.99651588483494669</v>
      </c>
      <c r="S77" s="127">
        <f>IFERROR(INDEX(Data!S$9:S$1273,MATCH($M77,Data!$K$9:$K$1273,0)),"")</f>
        <v>0.45748598134926621</v>
      </c>
      <c r="T77" s="127">
        <f>IFERROR(INDEX(Data!T$9:T$1273,MATCH($M77,Data!$K$9:$K$1273,0)),"")</f>
        <v>0.46027604292927737</v>
      </c>
      <c r="U77" s="127">
        <f>IFERROR(INDEX(Data!U$9:U$1273,MATCH($M77,Data!$K$9:$K$1273,0)),"")</f>
        <v>0.64168965872897599</v>
      </c>
      <c r="V77" s="127">
        <f>IFERROR(INDEX(Data!V$9:V$1273,MATCH($M77,Data!$K$9:$K$1273,0)),"")</f>
        <v>0.53600541466178242</v>
      </c>
      <c r="W77" s="127">
        <f>IFERROR(INDEX(Data!W$9:W$1273,MATCH($M77,Data!$K$9:$K$1273,0)),"")</f>
        <v>0.80432002022244686</v>
      </c>
      <c r="X77" s="127">
        <f>IFERROR(INDEX(Data!AJ$9:AJ$1273,MATCH($M77,Data!$K$9:$K$1273,0)),"")</f>
        <v>0.29103214890016921</v>
      </c>
      <c r="Y77" s="127">
        <f>IFERROR(INDEX(Data!AK$9:AK$1273,MATCH($M77,Data!$K$9:$K$1273,0)),"")</f>
        <v>0.25765462133511696</v>
      </c>
      <c r="Z77" s="127">
        <f>IFERROR(INDEX(Data!AL$9:AL$1273,MATCH($M77,Data!$K$9:$K$1273,0)),"")</f>
        <v>0.32523872762916589</v>
      </c>
      <c r="AA77" s="127">
        <f>IFERROR(INDEX(Data!AM$9:AM$1273,MATCH($M77,Data!$K$9:$K$1273,0)),"")</f>
        <v>0.16633665851057153</v>
      </c>
      <c r="AB77" s="127">
        <f>IFERROR(INDEX(Data!AN$9:AN$1273,MATCH($M77,Data!$K$9:$K$1273,0)),"")</f>
        <v>0.25073529411764706</v>
      </c>
      <c r="AC77" s="216">
        <f>IFERROR(INDEX(Data!BY$9:BY$1273,MATCH($M77,Data!$K$9:$K$1273,0)),"")</f>
        <v>107</v>
      </c>
      <c r="AD77" s="216">
        <f>IFERROR(INDEX(Data!BZ$9:BZ$1273,MATCH($M77,Data!$K$9:$K$1273,0)),"")</f>
        <v>119</v>
      </c>
      <c r="AE77" s="216">
        <f>IFERROR(INDEX(Data!CA$9:CA$1273,MATCH($M77,Data!$K$9:$K$1273,0)),"")</f>
        <v>129</v>
      </c>
      <c r="AF77" s="216">
        <f>IFERROR(INDEX(Data!CB$9:CB$1273,MATCH($M77,Data!$K$9:$K$1273,0)),"")</f>
        <v>106</v>
      </c>
      <c r="AG77" s="216">
        <f>IFERROR(INDEX(Data!CC$9:CC$1273,MATCH($M77,Data!$K$9:$K$1273,0)),"")</f>
        <v>116</v>
      </c>
      <c r="AH77" s="216">
        <f>IFERROR(INDEX(Data!CD$9:CD$1273,MATCH($M77,Data!$K$9:$K$1273,0)),"")</f>
        <v>19.3</v>
      </c>
      <c r="AI77" s="216">
        <f>IFERROR(INDEX(Data!CE$9:CE$1273,MATCH($M77,Data!$K$9:$K$1273,0)),"")</f>
        <v>1590</v>
      </c>
      <c r="AJ77" s="216">
        <f>IFERROR(INDEX(Data!CF$9:CF$1273,MATCH($M77,Data!$K$9:$K$1273,0)),"")</f>
        <v>1.0900000000000001</v>
      </c>
      <c r="AK77" s="216">
        <f>IFERROR(INDEX(Data!CG$9:CG$1273,MATCH($M77,Data!$K$9:$K$1273,0)),"")</f>
        <v>1730</v>
      </c>
      <c r="AL77" s="216">
        <f>IFERROR(INDEX(Data!CH$9:CH$1273,MATCH($M77,Data!$K$9:$K$1273,0)),"")</f>
        <v>187</v>
      </c>
      <c r="AM77" s="216">
        <f>IFERROR(INDEX(Data!CI$9:CI$1273,MATCH($M77,Data!$K$9:$K$1273,0)),"")</f>
        <v>95</v>
      </c>
      <c r="AN77" s="216">
        <f>IFERROR(INDEX(Data!CJ$9:CJ$1273,MATCH($M77,Data!$K$9:$K$1273,0)),"")</f>
        <v>39</v>
      </c>
      <c r="AO77" s="216">
        <f>IFERROR(INDEX(Data!CK$9:CK$1273,MATCH($M77,Data!$K$9:$K$1273,0)),"")</f>
        <v>261</v>
      </c>
      <c r="AP77" s="216">
        <f>IFERROR(INDEX(Data!CL$9:CL$1273,MATCH($M77,Data!$K$9:$K$1273,0)),"")</f>
        <v>19</v>
      </c>
      <c r="AQ77" s="216">
        <f>IFERROR(INDEX(Data!CM$9:CM$1273,MATCH($M77,Data!$K$9:$K$1273,0)),"")</f>
        <v>204</v>
      </c>
      <c r="AR77" s="216">
        <f>IFERROR(INDEX(Data!CN$9:CN$1273,MATCH($M77,Data!$K$9:$K$1273,0)),"")</f>
        <v>0.49</v>
      </c>
      <c r="AS77" s="216">
        <f>IFERROR(INDEX(Data!CO$9:CO$1273,MATCH($M77,Data!$K$9:$K$1273,0)),"")</f>
        <v>188</v>
      </c>
      <c r="AT77" s="216">
        <f>IFERROR(INDEX(Data!CP$9:CP$1273,MATCH($M77,Data!$K$9:$K$1273,0)),"")</f>
        <v>165</v>
      </c>
      <c r="AU77" s="216">
        <f>IFERROR(INDEX(Data!CQ$9:CQ$1273,MATCH($M77,Data!$K$9:$K$1273,0)),"")</f>
        <v>73</v>
      </c>
      <c r="AV77" s="216">
        <f>IFERROR(INDEX(Data!CR$9:CR$1273,MATCH($M77,Data!$K$9:$K$1273,0)),"")</f>
        <v>5</v>
      </c>
      <c r="AW77" s="216">
        <f>IFERROR(INDEX(Data!CS$9:CS$1273,MATCH($M77,Data!$K$9:$K$1273,0)),"")</f>
        <v>11.5</v>
      </c>
      <c r="AX77" s="216" t="str">
        <f>IFERROR(INDEX(Data!CT$9:CT$1273,MATCH($M77,Data!$K$9:$K$1273,0)),"")</f>
        <v xml:space="preserve"> Powder</v>
      </c>
      <c r="AY77" s="216" t="str">
        <f>IFERROR(INDEX(Data!CU$9:CU$1273,MATCH($M77,Data!$K$9:$K$1273,0)),"")</f>
        <v xml:space="preserve"> Touring</v>
      </c>
      <c r="AZ77" s="216">
        <f>IFERROR(INDEX(Data!CV$9:CV$1273,MATCH($M77,Data!$K$9:$K$1273,0)),"")</f>
        <v>0</v>
      </c>
      <c r="BA77" s="216" t="str">
        <f>IFERROR(INDEX(Data!CX$9:CX$1273,MATCH($M77,Data!$K$9:$K$1273,0)),"")</f>
        <v>DPS Pagoda 106 C2 Ski 155 / Purple</v>
      </c>
      <c r="BB77" s="216" t="str">
        <f>IFERROR(INDEX(Data!CY$9:CY$1273,MATCH($M77,Data!$K$9:$K$1273,0)),"")</f>
        <v>Cripple Creek Backcountry</v>
      </c>
      <c r="BC77" s="216">
        <f>IFERROR(INDEX(Data!CZ$9:CZ$1273,MATCH($M77,Data!$K$9:$K$1273,0)),"")</f>
        <v>1029</v>
      </c>
      <c r="BD77" s="216" t="str">
        <f>IFERROR(INDEX(Data!DA$9:DA$1273,MATCH($M77,Data!$K$9:$K$1273,0)),"")</f>
        <v>https://tinyurl.com/ycjk8k5q</v>
      </c>
      <c r="BE77" s="216" t="str">
        <f>IFERROR(INDEX(Data!DB$9:DB$1273,MATCH($M77,Data!$K$9:$K$1273,0)),"")</f>
        <v>DPS Pagoda Tour 106 C2 155cm</v>
      </c>
      <c r="BF77" s="216" t="str">
        <f>IFERROR(INDEX(Data!DC$9:DC$1273,MATCH($M77,Data!$K$9:$K$1273,0)),"")</f>
        <v>REI</v>
      </c>
      <c r="BG77" s="216">
        <f>IFERROR(INDEX(Data!DD$9:DD$1273,MATCH($M77,Data!$K$9:$K$1273,0)),"")</f>
        <v>1038.93</v>
      </c>
      <c r="BH77" s="216" t="str">
        <f>IFERROR(INDEX(Data!DE$9:DE$1273,MATCH($M77,Data!$K$9:$K$1273,0)),"")</f>
        <v>https://tinyurl.com/yczaryvb</v>
      </c>
      <c r="BI77" s="216" t="str">
        <f>IFERROR(INDEX(Data!DF$9:DF$1273,MATCH($M77,Data!$K$9:$K$1273,0)),"")</f>
        <v>DPS Pagoda Tour 106 C2 155cm</v>
      </c>
      <c r="BJ77" s="216" t="str">
        <f>IFERROR(INDEX(Data!DG$9:DG$1273,MATCH($M77,Data!$K$9:$K$1273,0)),"")</f>
        <v>Backcountry.com</v>
      </c>
      <c r="BK77" s="216">
        <f>IFERROR(INDEX(Data!DH$9:DH$1273,MATCH($M77,Data!$K$9:$K$1273,0)),"")</f>
        <v>1039.2</v>
      </c>
      <c r="BL77" s="216" t="str">
        <f>IFERROR(INDEX(Data!DI$9:DI$1273,MATCH($M77,Data!$K$9:$K$1273,0)),"")</f>
        <v>https://tinyurl.com/yawt5vu5</v>
      </c>
      <c r="BM77" s="216" t="str">
        <f>IFERROR(INDEX(Data!DJ$9:DJ$1273,MATCH($M77,Data!$K$9:$K$1273,0)),"")</f>
        <v>https://tinyurl.com/ycjk8k5q</v>
      </c>
      <c r="BN77" s="216" t="str">
        <f>IFERROR(INDEX(Data!DK$9:DK$1273,MATCH($M77,Data!$K$9:$K$1273,0)),"")</f>
        <v>https://tinyurl.com/yczaryvb</v>
      </c>
      <c r="BO77" s="216" t="str">
        <f>IFERROR(INDEX(Data!DL$9:DL$1273,MATCH($M77,Data!$K$9:$K$1273,0)),"")</f>
        <v>https://tinyurl.com/yawt5vu5</v>
      </c>
      <c r="BP77" s="240">
        <f t="shared" si="5"/>
        <v>1039.2</v>
      </c>
      <c r="BQ77" s="216" t="b">
        <f t="shared" si="6"/>
        <v>1</v>
      </c>
      <c r="BR77" s="216" t="str">
        <f t="shared" si="7"/>
        <v xml:space="preserve"> DPSPagoda 106 C2155 Unisex</v>
      </c>
      <c r="BS77" s="216" t="str">
        <f>IFERROR(INDEX(Data!$DO$9:$DO$1273,MATCH('Your recommendation'!BR77,Data!$DN$9:$DN$1273,0)),"")</f>
        <v>https://images.evo.com/imgp/250/209064/857445/dps-pagoda-106-c2-skis-2023-.jpg</v>
      </c>
    </row>
    <row r="78" spans="2:74" ht="15.6" customHeight="1">
      <c r="B78" s="222">
        <f t="shared" si="8"/>
        <v>4</v>
      </c>
      <c r="C78" s="223">
        <v>0.88911441644285061</v>
      </c>
      <c r="D78" s="225" t="str">
        <f>IFERROR(INDEX(Data!BR$9:BR$1273,MATCH($M78,Data!$K$9:$K$1273,0)),"")</f>
        <v>21/22</v>
      </c>
      <c r="E78" s="225" t="str">
        <f>IFERROR(INDEX(Data!BS$9:BS$1273,MATCH($M78,Data!$K$9:$K$1273,0)),"")</f>
        <v xml:space="preserve"> Völkl</v>
      </c>
      <c r="F78" s="225" t="str">
        <f>IFERROR(INDEX(Data!DM$9:DM$1273,MATCH($M78,Data!$K$9:$K$1273,0)),"")</f>
        <v>Blaze 106</v>
      </c>
      <c r="G78" s="225" t="str">
        <f>IFERROR(INDEX(Data!BV$9:BV$1273,MATCH($M78,Data!$K$9:$K$1273,0)),"")</f>
        <v xml:space="preserve"> Unisex</v>
      </c>
      <c r="H78" s="225">
        <f>IFERROR(INDEX(Data!BW$9:BW$1273,MATCH($M78,Data!$K$9:$K$1273,0)),"")</f>
        <v>165</v>
      </c>
      <c r="I78" s="225">
        <f>IFERROR(INDEX(Data!BX$9:BX$1273,MATCH($M78,Data!$K$9:$K$1273,0)),"")</f>
        <v>164.5</v>
      </c>
      <c r="J78" s="225">
        <f>IFERROR(INDEX(Data!CB$9:CB$1273,MATCH($M78,Data!$K$9:$K$1273,0)),"")</f>
        <v>105</v>
      </c>
      <c r="K78" s="241" t="str">
        <f t="shared" si="3"/>
        <v/>
      </c>
      <c r="L78" s="242" t="str">
        <f t="shared" si="4"/>
        <v/>
      </c>
      <c r="M78" s="224">
        <v>0.88911441644285061</v>
      </c>
      <c r="N78" s="224">
        <f>IFERROR(INDEX(Data!L$9:L$1273,MATCH($M78,Data!$K$9:$K$1273,0)),"")</f>
        <v>0.99354467096868948</v>
      </c>
      <c r="O78" s="224">
        <f>IFERROR(INDEX(Data!M$9:M$1273,MATCH($M78,Data!$K$9:$K$1273,0)),"")</f>
        <v>0.78468416191701162</v>
      </c>
      <c r="P78" s="224">
        <f>IFERROR(INDEX(Data!N$9:N$1273,MATCH($M78,Data!$K$9:$K$1273,0)),"")</f>
        <v>0.76633077895370505</v>
      </c>
      <c r="Q78" s="224">
        <f>IFERROR(INDEX(Data!O$9:O$1273,MATCH($M78,Data!$K$9:$K$1273,0)),"")</f>
        <v>0.64169601804081466</v>
      </c>
      <c r="R78" s="224">
        <f>IFERROR(INDEX(Data!P$9:P$1273,MATCH($M78,Data!$K$9:$K$1273,0)),"")</f>
        <v>0.94602568875651527</v>
      </c>
      <c r="S78" s="224">
        <f>IFERROR(INDEX(Data!S$9:S$1273,MATCH($M78,Data!$K$9:$K$1273,0)),"")</f>
        <v>0.41669400166351434</v>
      </c>
      <c r="T78" s="224">
        <f>IFERROR(INDEX(Data!T$9:T$1273,MATCH($M78,Data!$K$9:$K$1273,0)),"")</f>
        <v>0.46823211099255846</v>
      </c>
      <c r="U78" s="224">
        <f>IFERROR(INDEX(Data!U$9:U$1273,MATCH($M78,Data!$K$9:$K$1273,0)),"")</f>
        <v>0.52717280109301301</v>
      </c>
      <c r="V78" s="224">
        <f>IFERROR(INDEX(Data!V$9:V$1273,MATCH($M78,Data!$K$9:$K$1273,0)),"")</f>
        <v>0.70859781540177114</v>
      </c>
      <c r="W78" s="224">
        <f>IFERROR(INDEX(Data!W$9:W$1273,MATCH($M78,Data!$K$9:$K$1273,0)),"")</f>
        <v>0.82369121813031154</v>
      </c>
      <c r="X78" s="224">
        <f>IFERROR(INDEX(Data!AJ$9:AJ$1273,MATCH($M78,Data!$K$9:$K$1273,0)),"")</f>
        <v>0.24776408025138991</v>
      </c>
      <c r="Y78" s="224">
        <f>IFERROR(INDEX(Data!AK$9:AK$1273,MATCH($M78,Data!$K$9:$K$1273,0)),"")</f>
        <v>0.21040229665367979</v>
      </c>
      <c r="Z78" s="224">
        <f>IFERROR(INDEX(Data!AL$9:AL$1273,MATCH($M78,Data!$K$9:$K$1273,0)),"")</f>
        <v>0.33535698475937514</v>
      </c>
      <c r="AA78" s="224">
        <f>IFERROR(INDEX(Data!AM$9:AM$1273,MATCH($M78,Data!$K$9:$K$1273,0)),"")</f>
        <v>8.9081039137861029E-2</v>
      </c>
      <c r="AB78" s="224">
        <f>IFERROR(INDEX(Data!AN$9:AN$1273,MATCH($M78,Data!$K$9:$K$1273,0)),"")</f>
        <v>0.20024509803921567</v>
      </c>
      <c r="AC78" s="225">
        <f>IFERROR(INDEX(Data!BY$9:BY$1273,MATCH($M78,Data!$K$9:$K$1273,0)),"")</f>
        <v>94</v>
      </c>
      <c r="AD78" s="225">
        <f>IFERROR(INDEX(Data!BZ$9:BZ$1273,MATCH($M78,Data!$K$9:$K$1273,0)),"")</f>
        <v>141</v>
      </c>
      <c r="AE78" s="225">
        <f>IFERROR(INDEX(Data!CA$9:CA$1273,MATCH($M78,Data!$K$9:$K$1273,0)),"")</f>
        <v>144</v>
      </c>
      <c r="AF78" s="225">
        <f>IFERROR(INDEX(Data!CB$9:CB$1273,MATCH($M78,Data!$K$9:$K$1273,0)),"")</f>
        <v>105</v>
      </c>
      <c r="AG78" s="225">
        <f>IFERROR(INDEX(Data!CC$9:CC$1273,MATCH($M78,Data!$K$9:$K$1273,0)),"")</f>
        <v>127</v>
      </c>
      <c r="AH78" s="225">
        <f>IFERROR(INDEX(Data!CD$9:CD$1273,MATCH($M78,Data!$K$9:$K$1273,0)),"")</f>
        <v>15.2</v>
      </c>
      <c r="AI78" s="225">
        <f>IFERROR(INDEX(Data!CE$9:CE$1273,MATCH($M78,Data!$K$9:$K$1273,0)),"")</f>
        <v>1606</v>
      </c>
      <c r="AJ78" s="225">
        <f>IFERROR(INDEX(Data!CF$9:CF$1273,MATCH($M78,Data!$K$9:$K$1273,0)),"")</f>
        <v>1.2</v>
      </c>
      <c r="AK78" s="225">
        <f>IFERROR(INDEX(Data!CG$9:CG$1273,MATCH($M78,Data!$K$9:$K$1273,0)),"")</f>
        <v>1927</v>
      </c>
      <c r="AL78" s="225">
        <f>IFERROR(INDEX(Data!CH$9:CH$1273,MATCH($M78,Data!$K$9:$K$1273,0)),"")</f>
        <v>176</v>
      </c>
      <c r="AM78" s="225">
        <f>IFERROR(INDEX(Data!CI$9:CI$1273,MATCH($M78,Data!$K$9:$K$1273,0)),"")</f>
        <v>90</v>
      </c>
      <c r="AN78" s="225">
        <f>IFERROR(INDEX(Data!CJ$9:CJ$1273,MATCH($M78,Data!$K$9:$K$1273,0)),"")</f>
        <v>54</v>
      </c>
      <c r="AO78" s="225">
        <f>IFERROR(INDEX(Data!CK$9:CK$1273,MATCH($M78,Data!$K$9:$K$1273,0)),"")</f>
        <v>444</v>
      </c>
      <c r="AP78" s="225">
        <f>IFERROR(INDEX(Data!CL$9:CL$1273,MATCH($M78,Data!$K$9:$K$1273,0)),"")</f>
        <v>23</v>
      </c>
      <c r="AQ78" s="225">
        <f>IFERROR(INDEX(Data!CM$9:CM$1273,MATCH($M78,Data!$K$9:$K$1273,0)),"")</f>
        <v>263</v>
      </c>
      <c r="AR78" s="225">
        <f>IFERROR(INDEX(Data!CN$9:CN$1273,MATCH($M78,Data!$K$9:$K$1273,0)),"")</f>
        <v>0.434</v>
      </c>
      <c r="AS78" s="225">
        <f>IFERROR(INDEX(Data!CO$9:CO$1273,MATCH($M78,Data!$K$9:$K$1273,0)),"")</f>
        <v>139</v>
      </c>
      <c r="AT78" s="225">
        <f>IFERROR(INDEX(Data!CP$9:CP$1273,MATCH($M78,Data!$K$9:$K$1273,0)),"")</f>
        <v>99</v>
      </c>
      <c r="AU78" s="225">
        <f>IFERROR(INDEX(Data!CQ$9:CQ$1273,MATCH($M78,Data!$K$9:$K$1273,0)),"")</f>
        <v>304</v>
      </c>
      <c r="AV78" s="225">
        <f>IFERROR(INDEX(Data!CR$9:CR$1273,MATCH($M78,Data!$K$9:$K$1273,0)),"")</f>
        <v>2</v>
      </c>
      <c r="AW78" s="225">
        <f>IFERROR(INDEX(Data!CS$9:CS$1273,MATCH($M78,Data!$K$9:$K$1273,0)),"")</f>
        <v>11.5</v>
      </c>
      <c r="AX78" s="225" t="str">
        <f>IFERROR(INDEX(Data!CT$9:CT$1273,MATCH($M78,Data!$K$9:$K$1273,0)),"")</f>
        <v xml:space="preserve"> Powder</v>
      </c>
      <c r="AY78" s="225" t="str">
        <f>IFERROR(INDEX(Data!CU$9:CU$1273,MATCH($M78,Data!$K$9:$K$1273,0)),"")</f>
        <v xml:space="preserve"> Touring</v>
      </c>
      <c r="AZ78" s="225">
        <f>IFERROR(INDEX(Data!CV$9:CV$1273,MATCH($M78,Data!$K$9:$K$1273,0)),"")</f>
        <v>0</v>
      </c>
      <c r="BA78" s="225" t="str">
        <f>IFERROR(INDEX(Data!CX$9:CX$1273,MATCH($M78,Data!$K$9:$K$1273,0)),"")</f>
        <v/>
      </c>
      <c r="BB78" s="225" t="str">
        <f>IFERROR(INDEX(Data!CY$9:CY$1273,MATCH($M78,Data!$K$9:$K$1273,0)),"")</f>
        <v/>
      </c>
      <c r="BC78" s="225" t="str">
        <f>IFERROR(INDEX(Data!CZ$9:CZ$1273,MATCH($M78,Data!$K$9:$K$1273,0)),"")</f>
        <v/>
      </c>
      <c r="BD78" s="225" t="str">
        <f>IFERROR(INDEX(Data!DA$9:DA$1273,MATCH($M78,Data!$K$9:$K$1273,0)),"")</f>
        <v/>
      </c>
      <c r="BE78" s="225" t="str">
        <f>IFERROR(INDEX(Data!DB$9:DB$1273,MATCH($M78,Data!$K$9:$K$1273,0)),"")</f>
        <v/>
      </c>
      <c r="BF78" s="225" t="str">
        <f>IFERROR(INDEX(Data!DC$9:DC$1273,MATCH($M78,Data!$K$9:$K$1273,0)),"")</f>
        <v/>
      </c>
      <c r="BG78" s="225" t="str">
        <f>IFERROR(INDEX(Data!DD$9:DD$1273,MATCH($M78,Data!$K$9:$K$1273,0)),"")</f>
        <v/>
      </c>
      <c r="BH78" s="225" t="str">
        <f>IFERROR(INDEX(Data!DE$9:DE$1273,MATCH($M78,Data!$K$9:$K$1273,0)),"")</f>
        <v/>
      </c>
      <c r="BI78" s="225" t="str">
        <f>IFERROR(INDEX(Data!DF$9:DF$1273,MATCH($M78,Data!$K$9:$K$1273,0)),"")</f>
        <v/>
      </c>
      <c r="BJ78" s="225" t="str">
        <f>IFERROR(INDEX(Data!DG$9:DG$1273,MATCH($M78,Data!$K$9:$K$1273,0)),"")</f>
        <v/>
      </c>
      <c r="BK78" s="225" t="str">
        <f>IFERROR(INDEX(Data!DH$9:DH$1273,MATCH($M78,Data!$K$9:$K$1273,0)),"")</f>
        <v/>
      </c>
      <c r="BL78" s="225" t="str">
        <f>IFERROR(INDEX(Data!DI$9:DI$1273,MATCH($M78,Data!$K$9:$K$1273,0)),"")</f>
        <v/>
      </c>
      <c r="BM78" s="225" t="str">
        <f>IFERROR(INDEX(Data!DJ$9:DJ$1273,MATCH($M78,Data!$K$9:$K$1273,0)),"")</f>
        <v/>
      </c>
      <c r="BN78" s="225" t="str">
        <f>IFERROR(INDEX(Data!DK$9:DK$1273,MATCH($M78,Data!$K$9:$K$1273,0)),"")</f>
        <v/>
      </c>
      <c r="BO78" s="225" t="str">
        <f>IFERROR(INDEX(Data!DL$9:DL$1273,MATCH($M78,Data!$K$9:$K$1273,0)),"")</f>
        <v/>
      </c>
      <c r="BP78" s="243" t="str">
        <f t="shared" si="5"/>
        <v/>
      </c>
      <c r="BQ78" s="225" t="str">
        <f t="shared" si="6"/>
        <v xml:space="preserve"> </v>
      </c>
      <c r="BR78" s="225" t="str">
        <f t="shared" si="7"/>
        <v xml:space="preserve"> VölklBlaze 106165 Unisex</v>
      </c>
      <c r="BS78" s="225" t="str">
        <f>IFERROR(INDEX(Data!$DO$9:$DO$1273,MATCH('Your recommendation'!BR78,Data!$DN$9:$DN$1273,0)),"")</f>
        <v>https://images.evo.com/imgp/250/208350/837599/clone.jpg</v>
      </c>
    </row>
    <row r="79" spans="2:74" ht="15.6" customHeight="1">
      <c r="B79" s="222">
        <f t="shared" si="8"/>
        <v>5</v>
      </c>
      <c r="C79" s="223">
        <v>0.86791856957416402</v>
      </c>
      <c r="D79" s="225" t="str">
        <f>IFERROR(INDEX(Data!BR$9:BR$1273,MATCH($M79,Data!$K$9:$K$1273,0)),"")</f>
        <v>21/22</v>
      </c>
      <c r="E79" s="225" t="str">
        <f>IFERROR(INDEX(Data!BS$9:BS$1273,MATCH($M79,Data!$K$9:$K$1273,0)),"")</f>
        <v xml:space="preserve"> Black Diamond</v>
      </c>
      <c r="F79" s="225" t="str">
        <f>IFERROR(INDEX(Data!DM$9:DM$1273,MATCH($M79,Data!$K$9:$K$1273,0)),"")</f>
        <v>Impulse 104</v>
      </c>
      <c r="G79" s="225" t="str">
        <f>IFERROR(INDEX(Data!BV$9:BV$1273,MATCH($M79,Data!$K$9:$K$1273,0)),"")</f>
        <v xml:space="preserve"> Unisex</v>
      </c>
      <c r="H79" s="225">
        <f>IFERROR(INDEX(Data!BW$9:BW$1273,MATCH($M79,Data!$K$9:$K$1273,0)),"")</f>
        <v>165</v>
      </c>
      <c r="I79" s="225">
        <f>IFERROR(INDEX(Data!BX$9:BX$1273,MATCH($M79,Data!$K$9:$K$1273,0)),"")</f>
        <v>165.7</v>
      </c>
      <c r="J79" s="225">
        <f>IFERROR(INDEX(Data!CB$9:CB$1273,MATCH($M79,Data!$K$9:$K$1273,0)),"")</f>
        <v>103</v>
      </c>
      <c r="K79" s="241">
        <f t="shared" si="3"/>
        <v>479.47</v>
      </c>
      <c r="L79" s="242" t="str">
        <f t="shared" si="4"/>
        <v>Snowcountry.eu</v>
      </c>
      <c r="M79" s="224">
        <v>0.86791856957416402</v>
      </c>
      <c r="N79" s="224">
        <f>IFERROR(INDEX(Data!L$9:L$1273,MATCH($M79,Data!$K$9:$K$1273,0)),"")</f>
        <v>0.9902600184197563</v>
      </c>
      <c r="O79" s="224">
        <f>IFERROR(INDEX(Data!M$9:M$1273,MATCH($M79,Data!$K$9:$K$1273,0)),"")</f>
        <v>0.74557712072857174</v>
      </c>
      <c r="P79" s="224">
        <f>IFERROR(INDEX(Data!N$9:N$1273,MATCH($M79,Data!$K$9:$K$1273,0)),"")</f>
        <v>0.65629473266267857</v>
      </c>
      <c r="Q79" s="224">
        <f>IFERROR(INDEX(Data!O$9:O$1273,MATCH($M79,Data!$K$9:$K$1273,0)),"")</f>
        <v>0.642499176060639</v>
      </c>
      <c r="R79" s="224">
        <f>IFERROR(INDEX(Data!P$9:P$1273,MATCH($M79,Data!$K$9:$K$1273,0)),"")</f>
        <v>0.93793745346239765</v>
      </c>
      <c r="S79" s="224">
        <f>IFERROR(INDEX(Data!S$9:S$1273,MATCH($M79,Data!$K$9:$K$1273,0)),"")</f>
        <v>0.42046076319117642</v>
      </c>
      <c r="T79" s="224">
        <f>IFERROR(INDEX(Data!T$9:T$1273,MATCH($M79,Data!$K$9:$K$1273,0)),"")</f>
        <v>0.50266843095820202</v>
      </c>
      <c r="U79" s="224">
        <f>IFERROR(INDEX(Data!U$9:U$1273,MATCH($M79,Data!$K$9:$K$1273,0)),"")</f>
        <v>0.62828533881280135</v>
      </c>
      <c r="V79" s="224">
        <f>IFERROR(INDEX(Data!V$9:V$1273,MATCH($M79,Data!$K$9:$K$1273,0)),"")</f>
        <v>0.55330320990963533</v>
      </c>
      <c r="W79" s="224">
        <f>IFERROR(INDEX(Data!W$9:W$1273,MATCH($M79,Data!$K$9:$K$1273,0)),"")</f>
        <v>0.79360592532467533</v>
      </c>
      <c r="X79" s="224">
        <f>IFERROR(INDEX(Data!AJ$9:AJ$1273,MATCH($M79,Data!$K$9:$K$1273,0)),"")</f>
        <v>0.26395939086294418</v>
      </c>
      <c r="Y79" s="224">
        <f>IFERROR(INDEX(Data!AK$9:AK$1273,MATCH($M79,Data!$K$9:$K$1273,0)),"")</f>
        <v>0.21301008518703307</v>
      </c>
      <c r="Z79" s="224">
        <f>IFERROR(INDEX(Data!AL$9:AL$1273,MATCH($M79,Data!$K$9:$K$1273,0)),"")</f>
        <v>0.44539303105040162</v>
      </c>
      <c r="AA79" s="224">
        <f>IFERROR(INDEX(Data!AM$9:AM$1273,MATCH($M79,Data!$K$9:$K$1273,0)),"")</f>
        <v>8.9884197157685378E-2</v>
      </c>
      <c r="AB79" s="224">
        <f>IFERROR(INDEX(Data!AN$9:AN$1273,MATCH($M79,Data!$K$9:$K$1273,0)),"")</f>
        <v>0.19215686274509802</v>
      </c>
      <c r="AC79" s="225">
        <f>IFERROR(INDEX(Data!BY$9:BY$1273,MATCH($M79,Data!$K$9:$K$1273,0)),"")</f>
        <v>120</v>
      </c>
      <c r="AD79" s="225">
        <f>IFERROR(INDEX(Data!BZ$9:BZ$1273,MATCH($M79,Data!$K$9:$K$1273,0)),"")</f>
        <v>131</v>
      </c>
      <c r="AE79" s="225">
        <f>IFERROR(INDEX(Data!CA$9:CA$1273,MATCH($M79,Data!$K$9:$K$1273,0)),"")</f>
        <v>134</v>
      </c>
      <c r="AF79" s="225">
        <f>IFERROR(INDEX(Data!CB$9:CB$1273,MATCH($M79,Data!$K$9:$K$1273,0)),"")</f>
        <v>103</v>
      </c>
      <c r="AG79" s="225">
        <f>IFERROR(INDEX(Data!CC$9:CC$1273,MATCH($M79,Data!$K$9:$K$1273,0)),"")</f>
        <v>122</v>
      </c>
      <c r="AH79" s="225">
        <f>IFERROR(INDEX(Data!CD$9:CD$1273,MATCH($M79,Data!$K$9:$K$1273,0)),"")</f>
        <v>15.9</v>
      </c>
      <c r="AI79" s="225">
        <f>IFERROR(INDEX(Data!CE$9:CE$1273,MATCH($M79,Data!$K$9:$K$1273,0)),"")</f>
        <v>1780</v>
      </c>
      <c r="AJ79" s="225">
        <f>IFERROR(INDEX(Data!CF$9:CF$1273,MATCH($M79,Data!$K$9:$K$1273,0)),"")</f>
        <v>1.05</v>
      </c>
      <c r="AK79" s="225">
        <f>IFERROR(INDEX(Data!CG$9:CG$1273,MATCH($M79,Data!$K$9:$K$1273,0)),"")</f>
        <v>1864</v>
      </c>
      <c r="AL79" s="225">
        <f>IFERROR(INDEX(Data!CH$9:CH$1273,MATCH($M79,Data!$K$9:$K$1273,0)),"")</f>
        <v>185</v>
      </c>
      <c r="AM79" s="225">
        <f>IFERROR(INDEX(Data!CI$9:CI$1273,MATCH($M79,Data!$K$9:$K$1273,0)),"")</f>
        <v>75</v>
      </c>
      <c r="AN79" s="225">
        <f>IFERROR(INDEX(Data!CJ$9:CJ$1273,MATCH($M79,Data!$K$9:$K$1273,0)),"")</f>
        <v>39</v>
      </c>
      <c r="AO79" s="225">
        <f>IFERROR(INDEX(Data!CK$9:CK$1273,MATCH($M79,Data!$K$9:$K$1273,0)),"")</f>
        <v>272</v>
      </c>
      <c r="AP79" s="225">
        <f>IFERROR(INDEX(Data!CL$9:CL$1273,MATCH($M79,Data!$K$9:$K$1273,0)),"")</f>
        <v>19</v>
      </c>
      <c r="AQ79" s="225">
        <f>IFERROR(INDEX(Data!CM$9:CM$1273,MATCH($M79,Data!$K$9:$K$1273,0)),"")</f>
        <v>185</v>
      </c>
      <c r="AR79" s="225">
        <f>IFERROR(INDEX(Data!CN$9:CN$1273,MATCH($M79,Data!$K$9:$K$1273,0)),"")</f>
        <v>0.49299999999999999</v>
      </c>
      <c r="AS79" s="225">
        <f>IFERROR(INDEX(Data!CO$9:CO$1273,MATCH($M79,Data!$K$9:$K$1273,0)),"")</f>
        <v>214</v>
      </c>
      <c r="AT79" s="225">
        <f>IFERROR(INDEX(Data!CP$9:CP$1273,MATCH($M79,Data!$K$9:$K$1273,0)),"")</f>
        <v>137</v>
      </c>
      <c r="AU79" s="225">
        <f>IFERROR(INDEX(Data!CQ$9:CQ$1273,MATCH($M79,Data!$K$9:$K$1273,0)),"")</f>
        <v>58</v>
      </c>
      <c r="AV79" s="225">
        <f>IFERROR(INDEX(Data!CR$9:CR$1273,MATCH($M79,Data!$K$9:$K$1273,0)),"")</f>
        <v>8</v>
      </c>
      <c r="AW79" s="225">
        <f>IFERROR(INDEX(Data!CS$9:CS$1273,MATCH($M79,Data!$K$9:$K$1273,0)),"")</f>
        <v>8.4</v>
      </c>
      <c r="AX79" s="225" t="str">
        <f>IFERROR(INDEX(Data!CT$9:CT$1273,MATCH($M79,Data!$K$9:$K$1273,0)),"")</f>
        <v xml:space="preserve"> Resort Freeride</v>
      </c>
      <c r="AY79" s="225" t="str">
        <f>IFERROR(INDEX(Data!CU$9:CU$1273,MATCH($M79,Data!$K$9:$K$1273,0)),"")</f>
        <v xml:space="preserve"> Powder</v>
      </c>
      <c r="AZ79" s="225">
        <f>IFERROR(INDEX(Data!CV$9:CV$1273,MATCH($M79,Data!$K$9:$K$1273,0)),"")</f>
        <v>0</v>
      </c>
      <c r="BA79" s="225" t="str">
        <f>IFERROR(INDEX(Data!CX$9:CX$1273,MATCH($M79,Data!$K$9:$K$1273,0)),"")</f>
        <v>Black Diamond Impulse 104 Skis Â· 2022 Â· 165 cm</v>
      </c>
      <c r="BB79" s="225" t="str">
        <f>IFERROR(INDEX(Data!CY$9:CY$1273,MATCH($M79,Data!$K$9:$K$1273,0)),"")</f>
        <v>Snowcountry.eu</v>
      </c>
      <c r="BC79" s="225">
        <f>IFERROR(INDEX(Data!CZ$9:CZ$1273,MATCH($M79,Data!$K$9:$K$1273,0)),"")</f>
        <v>479.47</v>
      </c>
      <c r="BD79" s="225" t="str">
        <f>IFERROR(INDEX(Data!DA$9:DA$1273,MATCH($M79,Data!$K$9:$K$1273,0)),"")</f>
        <v>https://tinyurl.com/y7jzlrlt</v>
      </c>
      <c r="BE79" s="225" t="str">
        <f>IFERROR(INDEX(Data!DB$9:DB$1273,MATCH($M79,Data!$K$9:$K$1273,0)),"")</f>
        <v>Black Diamond Impulse 104 Skis Â· 2022 Â· 165 cm</v>
      </c>
      <c r="BF79" s="225" t="str">
        <f>IFERROR(INDEX(Data!DC$9:DC$1273,MATCH($M79,Data!$K$9:$K$1273,0)),"")</f>
        <v>Black Diamond Equipment - US</v>
      </c>
      <c r="BG79" s="225">
        <f>IFERROR(INDEX(Data!DD$9:DD$1273,MATCH($M79,Data!$K$9:$K$1273,0)),"")</f>
        <v>583.96</v>
      </c>
      <c r="BH79" s="225" t="str">
        <f>IFERROR(INDEX(Data!DE$9:DE$1273,MATCH($M79,Data!$K$9:$K$1273,0)),"")</f>
        <v>https://tinyurl.com/ydcw9n9c</v>
      </c>
      <c r="BI79" s="225" t="str">
        <f>IFERROR(INDEX(Data!DF$9:DF$1273,MATCH($M79,Data!$K$9:$K$1273,0)),"")</f>
        <v>Black Diamond Impulse 104 Skis Â· 2022 Â· 165 cm</v>
      </c>
      <c r="BJ79" s="225" t="str">
        <f>IFERROR(INDEX(Data!DG$9:DG$1273,MATCH($M79,Data!$K$9:$K$1273,0)),"")</f>
        <v>CampSaver.com</v>
      </c>
      <c r="BK79" s="225">
        <f>IFERROR(INDEX(Data!DH$9:DH$1273,MATCH($M79,Data!$K$9:$K$1273,0)),"")</f>
        <v>729.95</v>
      </c>
      <c r="BL79" s="225" t="str">
        <f>IFERROR(INDEX(Data!DI$9:DI$1273,MATCH($M79,Data!$K$9:$K$1273,0)),"")</f>
        <v>https://tinyurl.com/y7yzg3gh</v>
      </c>
      <c r="BM79" s="225" t="str">
        <f>IFERROR(INDEX(Data!DJ$9:DJ$1273,MATCH($M79,Data!$K$9:$K$1273,0)),"")</f>
        <v>https://tinyurl.com/y7jzlrlt</v>
      </c>
      <c r="BN79" s="225" t="str">
        <f>IFERROR(INDEX(Data!DK$9:DK$1273,MATCH($M79,Data!$K$9:$K$1273,0)),"")</f>
        <v>https://tinyurl.com/ydcw9n9c</v>
      </c>
      <c r="BO79" s="225" t="str">
        <f>IFERROR(INDEX(Data!DL$9:DL$1273,MATCH($M79,Data!$K$9:$K$1273,0)),"")</f>
        <v>https://tinyurl.com/y7yzg3gh</v>
      </c>
      <c r="BP79" s="243">
        <f t="shared" si="5"/>
        <v>729.95</v>
      </c>
      <c r="BQ79" s="225" t="b">
        <f t="shared" si="6"/>
        <v>1</v>
      </c>
      <c r="BR79" s="225" t="str">
        <f t="shared" si="7"/>
        <v xml:space="preserve"> Black DiamondImpulse 104165 Unisex</v>
      </c>
      <c r="BS79" s="225" t="str">
        <f>IFERROR(INDEX(Data!$DO$9:$DO$1273,MATCH('Your recommendation'!BR79,Data!$DN$9:$DN$1273,0)),"")</f>
        <v>https://images.evo.com/imgp/250/200507/836805/black-diamond-impulse-104-skis-2022-.jpg</v>
      </c>
    </row>
    <row r="80" spans="2:74" ht="15.6" customHeight="1">
      <c r="B80" s="222">
        <f t="shared" si="8"/>
        <v>6</v>
      </c>
      <c r="C80" s="223">
        <v>0.86603345606612026</v>
      </c>
      <c r="D80" s="225" t="str">
        <f>IFERROR(INDEX(Data!BR$9:BR$1273,MATCH($M80,Data!$K$9:$K$1273,0)),"")</f>
        <v>21/22</v>
      </c>
      <c r="E80" s="225" t="str">
        <f>IFERROR(INDEX(Data!BS$9:BS$1273,MATCH($M80,Data!$K$9:$K$1273,0)),"")</f>
        <v xml:space="preserve"> Ferreol</v>
      </c>
      <c r="F80" s="225" t="str">
        <f>IFERROR(INDEX(Data!DM$9:DM$1273,MATCH($M80,Data!$K$9:$K$1273,0)),"")</f>
        <v>Pionnier 104</v>
      </c>
      <c r="G80" s="225" t="str">
        <f>IFERROR(INDEX(Data!BV$9:BV$1273,MATCH($M80,Data!$K$9:$K$1273,0)),"")</f>
        <v xml:space="preserve"> Unisex</v>
      </c>
      <c r="H80" s="225">
        <f>IFERROR(INDEX(Data!BW$9:BW$1273,MATCH($M80,Data!$K$9:$K$1273,0)),"")</f>
        <v>164</v>
      </c>
      <c r="I80" s="225">
        <f>IFERROR(INDEX(Data!BX$9:BX$1273,MATCH($M80,Data!$K$9:$K$1273,0)),"")</f>
        <v>164.8</v>
      </c>
      <c r="J80" s="225">
        <f>IFERROR(INDEX(Data!CB$9:CB$1273,MATCH($M80,Data!$K$9:$K$1273,0)),"")</f>
        <v>103</v>
      </c>
      <c r="K80" s="241">
        <f t="shared" si="3"/>
        <v>0</v>
      </c>
      <c r="L80" s="242" t="str">
        <f t="shared" si="4"/>
        <v>-</v>
      </c>
      <c r="M80" s="224">
        <v>0.86603345606612026</v>
      </c>
      <c r="N80" s="224">
        <f>IFERROR(INDEX(Data!L$9:L$1273,MATCH($M80,Data!$K$9:$K$1273,0)),"")</f>
        <v>0.96197865511301228</v>
      </c>
      <c r="O80" s="224">
        <f>IFERROR(INDEX(Data!M$9:M$1273,MATCH($M80,Data!$K$9:$K$1273,0)),"")</f>
        <v>0.77008825701922823</v>
      </c>
      <c r="P80" s="224">
        <f>IFERROR(INDEX(Data!N$9:N$1273,MATCH($M80,Data!$K$9:$K$1273,0)),"")</f>
        <v>0.74862382897583868</v>
      </c>
      <c r="Q80" s="224">
        <f>IFERROR(INDEX(Data!O$9:O$1273,MATCH($M80,Data!$K$9:$K$1273,0)),"")</f>
        <v>0.64919368469787997</v>
      </c>
      <c r="R80" s="224">
        <f>IFERROR(INDEX(Data!P$9:P$1273,MATCH($M80,Data!$K$9:$K$1273,0)),"")</f>
        <v>0.91244725738396626</v>
      </c>
      <c r="S80" s="224">
        <f>IFERROR(INDEX(Data!S$9:S$1273,MATCH($M80,Data!$K$9:$K$1273,0)),"")</f>
        <v>0.40591521410047093</v>
      </c>
      <c r="T80" s="224">
        <f>IFERROR(INDEX(Data!T$9:T$1273,MATCH($M80,Data!$K$9:$K$1273,0)),"")</f>
        <v>0.53022639770524749</v>
      </c>
      <c r="U80" s="224">
        <f>IFERROR(INDEX(Data!U$9:U$1273,MATCH($M80,Data!$K$9:$K$1273,0)),"")</f>
        <v>0.55693582491035898</v>
      </c>
      <c r="V80" s="224">
        <f>IFERROR(INDEX(Data!V$9:V$1273,MATCH($M80,Data!$K$9:$K$1273,0)),"")</f>
        <v>0.62588698300046719</v>
      </c>
      <c r="W80" s="224">
        <f>IFERROR(INDEX(Data!W$9:W$1273,MATCH($M80,Data!$K$9:$K$1273,0)),"")</f>
        <v>0.81710248747472969</v>
      </c>
      <c r="X80" s="224">
        <f>IFERROR(INDEX(Data!AJ$9:AJ$1273,MATCH($M80,Data!$K$9:$K$1273,0)),"")</f>
        <v>0.29224075416968814</v>
      </c>
      <c r="Y80" s="224">
        <f>IFERROR(INDEX(Data!AK$9:AK$1273,MATCH($M80,Data!$K$9:$K$1273,0)),"")</f>
        <v>0.18073058927823016</v>
      </c>
      <c r="Z80" s="224">
        <f>IFERROR(INDEX(Data!AL$9:AL$1273,MATCH($M80,Data!$K$9:$K$1273,0)),"")</f>
        <v>0.35306393473724157</v>
      </c>
      <c r="AA80" s="224">
        <f>IFERROR(INDEX(Data!AM$9:AM$1273,MATCH($M80,Data!$K$9:$K$1273,0)),"")</f>
        <v>9.6578705794926306E-2</v>
      </c>
      <c r="AB80" s="224">
        <f>IFERROR(INDEX(Data!AN$9:AN$1273,MATCH($M80,Data!$K$9:$K$1273,0)),"")</f>
        <v>0.16666666666666666</v>
      </c>
      <c r="AC80" s="225">
        <f>IFERROR(INDEX(Data!BY$9:BY$1273,MATCH($M80,Data!$K$9:$K$1273,0)),"")</f>
        <v>110</v>
      </c>
      <c r="AD80" s="225">
        <f>IFERROR(INDEX(Data!BZ$9:BZ$1273,MATCH($M80,Data!$K$9:$K$1273,0)),"")</f>
        <v>131</v>
      </c>
      <c r="AE80" s="225">
        <f>IFERROR(INDEX(Data!CA$9:CA$1273,MATCH($M80,Data!$K$9:$K$1273,0)),"")</f>
        <v>132</v>
      </c>
      <c r="AF80" s="225">
        <f>IFERROR(INDEX(Data!CB$9:CB$1273,MATCH($M80,Data!$K$9:$K$1273,0)),"")</f>
        <v>103</v>
      </c>
      <c r="AG80" s="225">
        <f>IFERROR(INDEX(Data!CC$9:CC$1273,MATCH($M80,Data!$K$9:$K$1273,0)),"")</f>
        <v>124</v>
      </c>
      <c r="AH80" s="225">
        <f>IFERROR(INDEX(Data!CD$9:CD$1273,MATCH($M80,Data!$K$9:$K$1273,0)),"")</f>
        <v>14.2</v>
      </c>
      <c r="AI80" s="225">
        <f>IFERROR(INDEX(Data!CE$9:CE$1273,MATCH($M80,Data!$K$9:$K$1273,0)),"")</f>
        <v>1634</v>
      </c>
      <c r="AJ80" s="225">
        <f>IFERROR(INDEX(Data!CF$9:CF$1273,MATCH($M80,Data!$K$9:$K$1273,0)),"")</f>
        <v>1.1499999999999999</v>
      </c>
      <c r="AK80" s="225">
        <f>IFERROR(INDEX(Data!CG$9:CG$1273,MATCH($M80,Data!$K$9:$K$1273,0)),"")</f>
        <v>1876</v>
      </c>
      <c r="AL80" s="225">
        <f>IFERROR(INDEX(Data!CH$9:CH$1273,MATCH($M80,Data!$K$9:$K$1273,0)),"")</f>
        <v>194</v>
      </c>
      <c r="AM80" s="225">
        <f>IFERROR(INDEX(Data!CI$9:CI$1273,MATCH($M80,Data!$K$9:$K$1273,0)),"")</f>
        <v>73</v>
      </c>
      <c r="AN80" s="225">
        <f>IFERROR(INDEX(Data!CJ$9:CJ$1273,MATCH($M80,Data!$K$9:$K$1273,0)),"")</f>
        <v>46</v>
      </c>
      <c r="AO80" s="225">
        <f>IFERROR(INDEX(Data!CK$9:CK$1273,MATCH($M80,Data!$K$9:$K$1273,0)),"")</f>
        <v>324</v>
      </c>
      <c r="AP80" s="225">
        <f>IFERROR(INDEX(Data!CL$9:CL$1273,MATCH($M80,Data!$K$9:$K$1273,0)),"")</f>
        <v>27</v>
      </c>
      <c r="AQ80" s="225">
        <f>IFERROR(INDEX(Data!CM$9:CM$1273,MATCH($M80,Data!$K$9:$K$1273,0)),"")</f>
        <v>222</v>
      </c>
      <c r="AR80" s="225">
        <f>IFERROR(INDEX(Data!CN$9:CN$1273,MATCH($M80,Data!$K$9:$K$1273,0)),"")</f>
        <v>0.58499999999999996</v>
      </c>
      <c r="AS80" s="225">
        <f>IFERROR(INDEX(Data!CO$9:CO$1273,MATCH($M80,Data!$K$9:$K$1273,0)),"")</f>
        <v>227</v>
      </c>
      <c r="AT80" s="225">
        <f>IFERROR(INDEX(Data!CP$9:CP$1273,MATCH($M80,Data!$K$9:$K$1273,0)),"")</f>
        <v>107</v>
      </c>
      <c r="AU80" s="225">
        <f>IFERROR(INDEX(Data!CQ$9:CQ$1273,MATCH($M80,Data!$K$9:$K$1273,0)),"")</f>
        <v>97</v>
      </c>
      <c r="AV80" s="225">
        <f>IFERROR(INDEX(Data!CR$9:CR$1273,MATCH($M80,Data!$K$9:$K$1273,0)),"")</f>
        <v>10</v>
      </c>
      <c r="AW80" s="225">
        <f>IFERROR(INDEX(Data!CS$9:CS$1273,MATCH($M80,Data!$K$9:$K$1273,0)),"")</f>
        <v>7.9</v>
      </c>
      <c r="AX80" s="225" t="str">
        <f>IFERROR(INDEX(Data!CT$9:CT$1273,MATCH($M80,Data!$K$9:$K$1273,0)),"")</f>
        <v xml:space="preserve"> Resort Freeride</v>
      </c>
      <c r="AY80" s="225" t="str">
        <f>IFERROR(INDEX(Data!CU$9:CU$1273,MATCH($M80,Data!$K$9:$K$1273,0)),"")</f>
        <v xml:space="preserve"> Powder</v>
      </c>
      <c r="AZ80" s="225" t="str">
        <f>IFERROR(INDEX(Data!CV$9:CV$1273,MATCH($M80,Data!$K$9:$K$1273,0)),"")</f>
        <v xml:space="preserve"> Touring</v>
      </c>
      <c r="BA80" s="225">
        <f>IFERROR(INDEX(Data!CX$9:CX$1273,MATCH($M80,Data!$K$9:$K$1273,0)),"")</f>
        <v>0</v>
      </c>
      <c r="BB80" s="225">
        <f>IFERROR(INDEX(Data!CY$9:CY$1273,MATCH($M80,Data!$K$9:$K$1273,0)),"")</f>
        <v>0</v>
      </c>
      <c r="BC80" s="225">
        <f>IFERROR(INDEX(Data!CZ$9:CZ$1273,MATCH($M80,Data!$K$9:$K$1273,0)),"")</f>
        <v>0</v>
      </c>
      <c r="BD80" s="225">
        <f>IFERROR(INDEX(Data!DA$9:DA$1273,MATCH($M80,Data!$K$9:$K$1273,0)),"")</f>
        <v>0</v>
      </c>
      <c r="BE80" s="225">
        <f>IFERROR(INDEX(Data!DB$9:DB$1273,MATCH($M80,Data!$K$9:$K$1273,0)),"")</f>
        <v>0</v>
      </c>
      <c r="BF80" s="225">
        <f>IFERROR(INDEX(Data!DC$9:DC$1273,MATCH($M80,Data!$K$9:$K$1273,0)),"")</f>
        <v>0</v>
      </c>
      <c r="BG80" s="225">
        <f>IFERROR(INDEX(Data!DD$9:DD$1273,MATCH($M80,Data!$K$9:$K$1273,0)),"")</f>
        <v>0</v>
      </c>
      <c r="BH80" s="225">
        <f>IFERROR(INDEX(Data!DE$9:DE$1273,MATCH($M80,Data!$K$9:$K$1273,0)),"")</f>
        <v>0</v>
      </c>
      <c r="BI80" s="225">
        <f>IFERROR(INDEX(Data!DF$9:DF$1273,MATCH($M80,Data!$K$9:$K$1273,0)),"")</f>
        <v>0</v>
      </c>
      <c r="BJ80" s="225">
        <f>IFERROR(INDEX(Data!DG$9:DG$1273,MATCH($M80,Data!$K$9:$K$1273,0)),"")</f>
        <v>0</v>
      </c>
      <c r="BK80" s="225">
        <f>IFERROR(INDEX(Data!DH$9:DH$1273,MATCH($M80,Data!$K$9:$K$1273,0)),"")</f>
        <v>0</v>
      </c>
      <c r="BL80" s="225">
        <f>IFERROR(INDEX(Data!DI$9:DI$1273,MATCH($M80,Data!$K$9:$K$1273,0)),"")</f>
        <v>0</v>
      </c>
      <c r="BM80" s="225">
        <f>IFERROR(INDEX(Data!DJ$9:DJ$1273,MATCH($M80,Data!$K$9:$K$1273,0)),"")</f>
        <v>0</v>
      </c>
      <c r="BN80" s="225">
        <f>IFERROR(INDEX(Data!DK$9:DK$1273,MATCH($M80,Data!$K$9:$K$1273,0)),"")</f>
        <v>0</v>
      </c>
      <c r="BO80" s="225">
        <f>IFERROR(INDEX(Data!DL$9:DL$1273,MATCH($M80,Data!$K$9:$K$1273,0)),"")</f>
        <v>0</v>
      </c>
      <c r="BP80" s="243" t="str">
        <f t="shared" si="5"/>
        <v>-</v>
      </c>
      <c r="BQ80" s="225" t="str">
        <f t="shared" si="6"/>
        <v xml:space="preserve"> </v>
      </c>
      <c r="BR80" s="225" t="str">
        <f t="shared" si="7"/>
        <v xml:space="preserve"> FerreolPionnier 104164 Unisex</v>
      </c>
      <c r="BS80" s="225">
        <f>IFERROR(INDEX(Data!$DO$9:$DO$1273,MATCH('Your recommendation'!BR80,Data!$DN$9:$DN$1273,0)),"")</f>
        <v>0</v>
      </c>
    </row>
    <row r="81" spans="2:71" ht="15.6" customHeight="1">
      <c r="B81" s="222">
        <f t="shared" si="8"/>
        <v>7</v>
      </c>
      <c r="C81" s="223">
        <v>0.86319410968013399</v>
      </c>
      <c r="D81" s="225" t="str">
        <f>IFERROR(INDEX(Data!BR$9:BR$1273,MATCH($M81,Data!$K$9:$K$1273,0)),"")</f>
        <v>21/22</v>
      </c>
      <c r="E81" s="225" t="str">
        <f>IFERROR(INDEX(Data!BS$9:BS$1273,MATCH($M81,Data!$K$9:$K$1273,0)),"")</f>
        <v xml:space="preserve"> Atomic</v>
      </c>
      <c r="F81" s="225" t="str">
        <f>IFERROR(INDEX(Data!DM$9:DM$1273,MATCH($M81,Data!$K$9:$K$1273,0)),"")</f>
        <v>Backland 107 W</v>
      </c>
      <c r="G81" s="225" t="str">
        <f>IFERROR(INDEX(Data!BV$9:BV$1273,MATCH($M81,Data!$K$9:$K$1273,0)),"")</f>
        <v xml:space="preserve"> Unisex</v>
      </c>
      <c r="H81" s="225">
        <f>IFERROR(INDEX(Data!BW$9:BW$1273,MATCH($M81,Data!$K$9:$K$1273,0)),"")</f>
        <v>159</v>
      </c>
      <c r="I81" s="225">
        <f>IFERROR(INDEX(Data!BX$9:BX$1273,MATCH($M81,Data!$K$9:$K$1273,0)),"")</f>
        <v>158.69999999999999</v>
      </c>
      <c r="J81" s="225">
        <f>IFERROR(INDEX(Data!CB$9:CB$1273,MATCH($M81,Data!$K$9:$K$1273,0)),"")</f>
        <v>107</v>
      </c>
      <c r="K81" s="241">
        <f t="shared" si="3"/>
        <v>520.92999999999995</v>
      </c>
      <c r="L81" s="242" t="str">
        <f t="shared" si="4"/>
        <v>Sundance Ski and Board Shop</v>
      </c>
      <c r="M81" s="224">
        <v>0.86319410968013399</v>
      </c>
      <c r="N81" s="224">
        <f>IFERROR(INDEX(Data!L$9:L$1273,MATCH($M81,Data!$K$9:$K$1273,0)),"")</f>
        <v>0.87743799141023326</v>
      </c>
      <c r="O81" s="224">
        <f>IFERROR(INDEX(Data!M$9:M$1273,MATCH($M81,Data!$K$9:$K$1273,0)),"")</f>
        <v>0.84895022795003472</v>
      </c>
      <c r="P81" s="224">
        <f>IFERROR(INDEX(Data!N$9:N$1273,MATCH($M81,Data!$K$9:$K$1273,0)),"")</f>
        <v>0.92822289303705408</v>
      </c>
      <c r="Q81" s="224">
        <f>IFERROR(INDEX(Data!O$9:O$1273,MATCH($M81,Data!$K$9:$K$1273,0)),"")</f>
        <v>0.71541255957287475</v>
      </c>
      <c r="R81" s="224">
        <f>IFERROR(INDEX(Data!P$9:P$1273,MATCH($M81,Data!$K$9:$K$1273,0)),"")</f>
        <v>0.90321523124017533</v>
      </c>
      <c r="S81" s="224">
        <f>IFERROR(INDEX(Data!S$9:S$1273,MATCH($M81,Data!$K$9:$K$1273,0)),"")</f>
        <v>0.409141670078494</v>
      </c>
      <c r="T81" s="224">
        <f>IFERROR(INDEX(Data!T$9:T$1273,MATCH($M81,Data!$K$9:$K$1273,0)),"")</f>
        <v>0.44435827636753877</v>
      </c>
      <c r="U81" s="224">
        <f>IFERROR(INDEX(Data!U$9:U$1273,MATCH($M81,Data!$K$9:$K$1273,0)),"")</f>
        <v>0.6813546053727233</v>
      </c>
      <c r="V81" s="224">
        <f>IFERROR(INDEX(Data!V$9:V$1273,MATCH($M81,Data!$K$9:$K$1273,0)),"")</f>
        <v>0.62112164043044282</v>
      </c>
      <c r="W81" s="224">
        <f>IFERROR(INDEX(Data!W$9:W$1273,MATCH($M81,Data!$K$9:$K$1273,0)),"")</f>
        <v>0.87897368421052635</v>
      </c>
      <c r="X81" s="224">
        <f>IFERROR(INDEX(Data!AJ$9:AJ$1273,MATCH($M81,Data!$K$9:$K$1273,0)),"")</f>
        <v>0.13165740069293369</v>
      </c>
      <c r="Y81" s="224">
        <f>IFERROR(INDEX(Data!AK$9:AK$1273,MATCH($M81,Data!$K$9:$K$1273,0)),"")</f>
        <v>0.15634368648667465</v>
      </c>
      <c r="Z81" s="224">
        <f>IFERROR(INDEX(Data!AL$9:AL$1273,MATCH($M81,Data!$K$9:$K$1273,0)),"")</f>
        <v>0.17346487067602606</v>
      </c>
      <c r="AA81" s="224">
        <f>IFERROR(INDEX(Data!AM$9:AM$1273,MATCH($M81,Data!$K$9:$K$1273,0)),"")</f>
        <v>0.16279758066992109</v>
      </c>
      <c r="AB81" s="224">
        <f>IFERROR(INDEX(Data!AN$9:AN$1273,MATCH($M81,Data!$K$9:$K$1273,0)),"")</f>
        <v>0.15743464052287579</v>
      </c>
      <c r="AC81" s="225">
        <f>IFERROR(INDEX(Data!BY$9:BY$1273,MATCH($M81,Data!$K$9:$K$1273,0)),"")</f>
        <v>102</v>
      </c>
      <c r="AD81" s="225">
        <f>IFERROR(INDEX(Data!BZ$9:BZ$1273,MATCH($M81,Data!$K$9:$K$1273,0)),"")</f>
        <v>121</v>
      </c>
      <c r="AE81" s="225">
        <f>IFERROR(INDEX(Data!CA$9:CA$1273,MATCH($M81,Data!$K$9:$K$1273,0)),"")</f>
        <v>133</v>
      </c>
      <c r="AF81" s="225">
        <f>IFERROR(INDEX(Data!CB$9:CB$1273,MATCH($M81,Data!$K$9:$K$1273,0)),"")</f>
        <v>107</v>
      </c>
      <c r="AG81" s="225">
        <f>IFERROR(INDEX(Data!CC$9:CC$1273,MATCH($M81,Data!$K$9:$K$1273,0)),"")</f>
        <v>120</v>
      </c>
      <c r="AH81" s="225">
        <f>IFERROR(INDEX(Data!CD$9:CD$1273,MATCH($M81,Data!$K$9:$K$1273,0)),"")</f>
        <v>15.4</v>
      </c>
      <c r="AI81" s="225">
        <f>IFERROR(INDEX(Data!CE$9:CE$1273,MATCH($M81,Data!$K$9:$K$1273,0)),"")</f>
        <v>1350</v>
      </c>
      <c r="AJ81" s="225">
        <f>IFERROR(INDEX(Data!CF$9:CF$1273,MATCH($M81,Data!$K$9:$K$1273,0)),"")</f>
        <v>1.34</v>
      </c>
      <c r="AK81" s="225">
        <f>IFERROR(INDEX(Data!CG$9:CG$1273,MATCH($M81,Data!$K$9:$K$1273,0)),"")</f>
        <v>1816</v>
      </c>
      <c r="AL81" s="225">
        <f>IFERROR(INDEX(Data!CH$9:CH$1273,MATCH($M81,Data!$K$9:$K$1273,0)),"")</f>
        <v>139</v>
      </c>
      <c r="AM81" s="225">
        <f>IFERROR(INDEX(Data!CI$9:CI$1273,MATCH($M81,Data!$K$9:$K$1273,0)),"")</f>
        <v>74</v>
      </c>
      <c r="AN81" s="225">
        <f>IFERROR(INDEX(Data!CJ$9:CJ$1273,MATCH($M81,Data!$K$9:$K$1273,0)),"")</f>
        <v>46</v>
      </c>
      <c r="AO81" s="225">
        <f>IFERROR(INDEX(Data!CK$9:CK$1273,MATCH($M81,Data!$K$9:$K$1273,0)),"")</f>
        <v>354</v>
      </c>
      <c r="AP81" s="225">
        <f>IFERROR(INDEX(Data!CL$9:CL$1273,MATCH($M81,Data!$K$9:$K$1273,0)),"")</f>
        <v>13</v>
      </c>
      <c r="AQ81" s="225">
        <f>IFERROR(INDEX(Data!CM$9:CM$1273,MATCH($M81,Data!$K$9:$K$1273,0)),"")</f>
        <v>213</v>
      </c>
      <c r="AR81" s="225">
        <f>IFERROR(INDEX(Data!CN$9:CN$1273,MATCH($M81,Data!$K$9:$K$1273,0)),"")</f>
        <v>0.28799999999999998</v>
      </c>
      <c r="AS81" s="225">
        <f>IFERROR(INDEX(Data!CO$9:CO$1273,MATCH($M81,Data!$K$9:$K$1273,0)),"")</f>
        <v>207</v>
      </c>
      <c r="AT81" s="225">
        <f>IFERROR(INDEX(Data!CP$9:CP$1273,MATCH($M81,Data!$K$9:$K$1273,0)),"")</f>
        <v>171</v>
      </c>
      <c r="AU81" s="225">
        <f>IFERROR(INDEX(Data!CQ$9:CQ$1273,MATCH($M81,Data!$K$9:$K$1273,0)),"")</f>
        <v>147</v>
      </c>
      <c r="AV81" s="225">
        <f>IFERROR(INDEX(Data!CR$9:CR$1273,MATCH($M81,Data!$K$9:$K$1273,0)),"")</f>
        <v>5</v>
      </c>
      <c r="AW81" s="225">
        <f>IFERROR(INDEX(Data!CS$9:CS$1273,MATCH($M81,Data!$K$9:$K$1273,0)),"")</f>
        <v>9.5</v>
      </c>
      <c r="AX81" s="225" t="str">
        <f>IFERROR(INDEX(Data!CT$9:CT$1273,MATCH($M81,Data!$K$9:$K$1273,0)),"")</f>
        <v xml:space="preserve"> Big Mountain</v>
      </c>
      <c r="AY81" s="225" t="str">
        <f>IFERROR(INDEX(Data!CU$9:CU$1273,MATCH($M81,Data!$K$9:$K$1273,0)),"")</f>
        <v xml:space="preserve"> Touring</v>
      </c>
      <c r="AZ81" s="225" t="str">
        <f>IFERROR(INDEX(Data!CV$9:CV$1273,MATCH($M81,Data!$K$9:$K$1273,0)),"")</f>
        <v xml:space="preserve"> Ultralight Touring</v>
      </c>
      <c r="BA81" s="225" t="str">
        <f>IFERROR(INDEX(Data!CX$9:CX$1273,MATCH($M81,Data!$K$9:$K$1273,0)),"")</f>
        <v>Atomic Backland W 107 Anthra/Ber / 159cm</v>
      </c>
      <c r="BB81" s="225" t="str">
        <f>IFERROR(INDEX(Data!CY$9:CY$1273,MATCH($M81,Data!$K$9:$K$1273,0)),"")</f>
        <v>Sundance Ski and Board Shop</v>
      </c>
      <c r="BC81" s="225">
        <f>IFERROR(INDEX(Data!CZ$9:CZ$1273,MATCH($M81,Data!$K$9:$K$1273,0)),"")</f>
        <v>520.92999999999995</v>
      </c>
      <c r="BD81" s="225" t="str">
        <f>IFERROR(INDEX(Data!DA$9:DA$1273,MATCH($M81,Data!$K$9:$K$1273,0)),"")</f>
        <v>https://tinyurl.com/yb9bh39z</v>
      </c>
      <c r="BE81" s="225" t="str">
        <f>IFERROR(INDEX(Data!DB$9:DB$1273,MATCH($M81,Data!$K$9:$K$1273,0)),"")</f>
        <v>Atomic W Backland 107 Alpine Touring Ski (2022) 159</v>
      </c>
      <c r="BF81" s="225" t="str">
        <f>IFERROR(INDEX(Data!DC$9:DC$1273,MATCH($M81,Data!$K$9:$K$1273,0)),"")</f>
        <v>Cripple Creek Backcountry</v>
      </c>
      <c r="BG81" s="225">
        <f>IFERROR(INDEX(Data!DD$9:DD$1273,MATCH($M81,Data!$K$9:$K$1273,0)),"")</f>
        <v>599</v>
      </c>
      <c r="BH81" s="225" t="str">
        <f>IFERROR(INDEX(Data!DE$9:DE$1273,MATCH($M81,Data!$K$9:$K$1273,0)),"")</f>
        <v>https://tinyurl.com/ydz55ze5</v>
      </c>
      <c r="BI81" s="225" t="str">
        <f>IFERROR(INDEX(Data!DF$9:DF$1273,MATCH($M81,Data!$K$9:$K$1273,0)),"")</f>
        <v>'22 Atomic Backland 107 W Skis 159cm</v>
      </c>
      <c r="BJ81" s="225" t="str">
        <f>IFERROR(INDEX(Data!DG$9:DG$1273,MATCH($M81,Data!$K$9:$K$1273,0)),"")</f>
        <v>Al's Ski Equipment Barn</v>
      </c>
      <c r="BK81" s="225">
        <f>IFERROR(INDEX(Data!DH$9:DH$1273,MATCH($M81,Data!$K$9:$K$1273,0)),"")</f>
        <v>649.95000000000005</v>
      </c>
      <c r="BL81" s="225" t="str">
        <f>IFERROR(INDEX(Data!DI$9:DI$1273,MATCH($M81,Data!$K$9:$K$1273,0)),"")</f>
        <v>https://tinyurl.com/yaf462gp</v>
      </c>
      <c r="BM81" s="225" t="str">
        <f>IFERROR(INDEX(Data!DJ$9:DJ$1273,MATCH($M81,Data!$K$9:$K$1273,0)),"")</f>
        <v>https://tinyurl.com/yb9bh39z</v>
      </c>
      <c r="BN81" s="225" t="str">
        <f>IFERROR(INDEX(Data!DK$9:DK$1273,MATCH($M81,Data!$K$9:$K$1273,0)),"")</f>
        <v>https://tinyurl.com/ydz55ze5</v>
      </c>
      <c r="BO81" s="225" t="str">
        <f>IFERROR(INDEX(Data!DL$9:DL$1273,MATCH($M81,Data!$K$9:$K$1273,0)),"")</f>
        <v>https://tinyurl.com/yaf462gp</v>
      </c>
      <c r="BP81" s="243">
        <f t="shared" si="5"/>
        <v>649.95000000000005</v>
      </c>
      <c r="BQ81" s="225" t="b">
        <f t="shared" si="6"/>
        <v>1</v>
      </c>
      <c r="BR81" s="225" t="str">
        <f t="shared" si="7"/>
        <v xml:space="preserve"> AtomicBackland 107 W159 Unisex</v>
      </c>
      <c r="BS81" s="225" t="str">
        <f>IFERROR(INDEX(Data!$DO$9:$DO$1273,MATCH('Your recommendation'!BR81,Data!$DN$9:$DN$1273,0)),"")</f>
        <v>https://images.evo.com/imgp/250/169213/703425/clone.jpg</v>
      </c>
    </row>
    <row r="82" spans="2:71" ht="15.6" customHeight="1">
      <c r="B82" s="222">
        <f t="shared" si="8"/>
        <v>8</v>
      </c>
      <c r="C82" s="223">
        <v>0.85436097529320909</v>
      </c>
      <c r="D82" s="225" t="str">
        <f>IFERROR(INDEX(Data!BR$9:BR$1273,MATCH($M82,Data!$K$9:$K$1273,0)),"")</f>
        <v>21/22</v>
      </c>
      <c r="E82" s="225" t="str">
        <f>IFERROR(INDEX(Data!BS$9:BS$1273,MATCH($M82,Data!$K$9:$K$1273,0)),"")</f>
        <v xml:space="preserve"> Armada</v>
      </c>
      <c r="F82" s="225" t="str">
        <f>IFERROR(INDEX(Data!DM$9:DM$1273,MATCH($M82,Data!$K$9:$K$1273,0)),"")</f>
        <v>Tracer 108</v>
      </c>
      <c r="G82" s="225" t="str">
        <f>IFERROR(INDEX(Data!BV$9:BV$1273,MATCH($M82,Data!$K$9:$K$1273,0)),"")</f>
        <v xml:space="preserve"> Unisex</v>
      </c>
      <c r="H82" s="225">
        <f>IFERROR(INDEX(Data!BW$9:BW$1273,MATCH($M82,Data!$K$9:$K$1273,0)),"")</f>
        <v>164</v>
      </c>
      <c r="I82" s="225">
        <f>IFERROR(INDEX(Data!BX$9:BX$1273,MATCH($M82,Data!$K$9:$K$1273,0)),"")</f>
        <v>163.19999999999999</v>
      </c>
      <c r="J82" s="225">
        <f>IFERROR(INDEX(Data!CB$9:CB$1273,MATCH($M82,Data!$K$9:$K$1273,0)),"")</f>
        <v>107</v>
      </c>
      <c r="K82" s="241">
        <f t="shared" si="3"/>
        <v>423.23</v>
      </c>
      <c r="L82" s="242" t="str">
        <f t="shared" si="4"/>
        <v>Snowcountry.eu</v>
      </c>
      <c r="M82" s="224">
        <v>0.85436097529320909</v>
      </c>
      <c r="N82" s="224">
        <f>IFERROR(INDEX(Data!L$9:L$1273,MATCH($M82,Data!$K$9:$K$1273,0)),"")</f>
        <v>0.85664998077450694</v>
      </c>
      <c r="O82" s="224">
        <f>IFERROR(INDEX(Data!M$9:M$1273,MATCH($M82,Data!$K$9:$K$1273,0)),"")</f>
        <v>0.85207196981191113</v>
      </c>
      <c r="P82" s="224">
        <f>IFERROR(INDEX(Data!N$9:N$1273,MATCH($M82,Data!$K$9:$K$1273,0)),"")</f>
        <v>0.85549791991367463</v>
      </c>
      <c r="Q82" s="224">
        <f>IFERROR(INDEX(Data!O$9:O$1273,MATCH($M82,Data!$K$9:$K$1273,0)),"")</f>
        <v>0.7127805360596613</v>
      </c>
      <c r="R82" s="224">
        <f>IFERROR(INDEX(Data!P$9:P$1273,MATCH($M82,Data!$K$9:$K$1273,0)),"")</f>
        <v>0.98793745346239759</v>
      </c>
      <c r="S82" s="224">
        <f>IFERROR(INDEX(Data!S$9:S$1273,MATCH($M82,Data!$K$9:$K$1273,0)),"")</f>
        <v>0.44125951071819602</v>
      </c>
      <c r="T82" s="224">
        <f>IFERROR(INDEX(Data!T$9:T$1273,MATCH($M82,Data!$K$9:$K$1273,0)),"")</f>
        <v>0.44123385069546794</v>
      </c>
      <c r="U82" s="224">
        <f>IFERROR(INDEX(Data!U$9:U$1273,MATCH($M82,Data!$K$9:$K$1273,0)),"")</f>
        <v>0.58995224536123758</v>
      </c>
      <c r="V82" s="224">
        <f>IFERROR(INDEX(Data!V$9:V$1273,MATCH($M82,Data!$K$9:$K$1273,0)),"")</f>
        <v>0.56249419696492509</v>
      </c>
      <c r="W82" s="224">
        <f>IFERROR(INDEX(Data!W$9:W$1273,MATCH($M82,Data!$K$9:$K$1273,0)),"")</f>
        <v>0.97788440265486731</v>
      </c>
      <c r="X82" s="224">
        <f>IFERROR(INDEX(Data!AJ$9:AJ$1273,MATCH($M82,Data!$K$9:$K$1273,0)),"")</f>
        <v>0.11086939005720732</v>
      </c>
      <c r="Y82" s="224">
        <f>IFERROR(INDEX(Data!AK$9:AK$1273,MATCH($M82,Data!$K$9:$K$1273,0)),"")</f>
        <v>0.24225502677847621</v>
      </c>
      <c r="Z82" s="224">
        <f>IFERROR(INDEX(Data!AL$9:AL$1273,MATCH($M82,Data!$K$9:$K$1273,0)),"")</f>
        <v>0.24618984379940556</v>
      </c>
      <c r="AA82" s="224">
        <f>IFERROR(INDEX(Data!AM$9:AM$1273,MATCH($M82,Data!$K$9:$K$1273,0)),"")</f>
        <v>0.16016555715670761</v>
      </c>
      <c r="AB82" s="224">
        <f>IFERROR(INDEX(Data!AN$9:AN$1273,MATCH($M82,Data!$K$9:$K$1273,0)),"")</f>
        <v>0.24215686274509801</v>
      </c>
      <c r="AC82" s="225">
        <f>IFERROR(INDEX(Data!BY$9:BY$1273,MATCH($M82,Data!$K$9:$K$1273,0)),"")</f>
        <v>112</v>
      </c>
      <c r="AD82" s="225">
        <f>IFERROR(INDEX(Data!BZ$9:BZ$1273,MATCH($M82,Data!$K$9:$K$1273,0)),"")</f>
        <v>132</v>
      </c>
      <c r="AE82" s="225">
        <f>IFERROR(INDEX(Data!CA$9:CA$1273,MATCH($M82,Data!$K$9:$K$1273,0)),"")</f>
        <v>130</v>
      </c>
      <c r="AF82" s="225">
        <f>IFERROR(INDEX(Data!CB$9:CB$1273,MATCH($M82,Data!$K$9:$K$1273,0)),"")</f>
        <v>107</v>
      </c>
      <c r="AG82" s="225">
        <f>IFERROR(INDEX(Data!CC$9:CC$1273,MATCH($M82,Data!$K$9:$K$1273,0)),"")</f>
        <v>124</v>
      </c>
      <c r="AH82" s="225">
        <f>IFERROR(INDEX(Data!CD$9:CD$1273,MATCH($M82,Data!$K$9:$K$1273,0)),"")</f>
        <v>17.600000000000001</v>
      </c>
      <c r="AI82" s="225">
        <f>IFERROR(INDEX(Data!CE$9:CE$1273,MATCH($M82,Data!$K$9:$K$1273,0)),"")</f>
        <v>1465</v>
      </c>
      <c r="AJ82" s="225">
        <f>IFERROR(INDEX(Data!CF$9:CF$1273,MATCH($M82,Data!$K$9:$K$1273,0)),"")</f>
        <v>1.28</v>
      </c>
      <c r="AK82" s="225">
        <f>IFERROR(INDEX(Data!CG$9:CG$1273,MATCH($M82,Data!$K$9:$K$1273,0)),"")</f>
        <v>1880</v>
      </c>
      <c r="AL82" s="225">
        <f>IFERROR(INDEX(Data!CH$9:CH$1273,MATCH($M82,Data!$K$9:$K$1273,0)),"")</f>
        <v>133</v>
      </c>
      <c r="AM82" s="225">
        <f>IFERROR(INDEX(Data!CI$9:CI$1273,MATCH($M82,Data!$K$9:$K$1273,0)),"")</f>
        <v>90</v>
      </c>
      <c r="AN82" s="225">
        <f>IFERROR(INDEX(Data!CJ$9:CJ$1273,MATCH($M82,Data!$K$9:$K$1273,0)),"")</f>
        <v>49</v>
      </c>
      <c r="AO82" s="225">
        <f>IFERROR(INDEX(Data!CK$9:CK$1273,MATCH($M82,Data!$K$9:$K$1273,0)),"")</f>
        <v>348</v>
      </c>
      <c r="AP82" s="225">
        <f>IFERROR(INDEX(Data!CL$9:CL$1273,MATCH($M82,Data!$K$9:$K$1273,0)),"")</f>
        <v>29</v>
      </c>
      <c r="AQ82" s="225">
        <f>IFERROR(INDEX(Data!CM$9:CM$1273,MATCH($M82,Data!$K$9:$K$1273,0)),"")</f>
        <v>165</v>
      </c>
      <c r="AR82" s="225">
        <f>IFERROR(INDEX(Data!CN$9:CN$1273,MATCH($M82,Data!$K$9:$K$1273,0)),"")</f>
        <v>0.58099999999999996</v>
      </c>
      <c r="AS82" s="225">
        <f>IFERROR(INDEX(Data!CO$9:CO$1273,MATCH($M82,Data!$K$9:$K$1273,0)),"")</f>
        <v>167</v>
      </c>
      <c r="AT82" s="225">
        <f>IFERROR(INDEX(Data!CP$9:CP$1273,MATCH($M82,Data!$K$9:$K$1273,0)),"")</f>
        <v>147</v>
      </c>
      <c r="AU82" s="225">
        <f>IFERROR(INDEX(Data!CQ$9:CQ$1273,MATCH($M82,Data!$K$9:$K$1273,0)),"")</f>
        <v>181</v>
      </c>
      <c r="AV82" s="225">
        <f>IFERROR(INDEX(Data!CR$9:CR$1273,MATCH($M82,Data!$K$9:$K$1273,0)),"")</f>
        <v>5</v>
      </c>
      <c r="AW82" s="225">
        <f>IFERROR(INDEX(Data!CS$9:CS$1273,MATCH($M82,Data!$K$9:$K$1273,0)),"")</f>
        <v>9.6</v>
      </c>
      <c r="AX82" s="225" t="str">
        <f>IFERROR(INDEX(Data!CT$9:CT$1273,MATCH($M82,Data!$K$9:$K$1273,0)),"")</f>
        <v xml:space="preserve"> Powder</v>
      </c>
      <c r="AY82" s="225" t="str">
        <f>IFERROR(INDEX(Data!CU$9:CU$1273,MATCH($M82,Data!$K$9:$K$1273,0)),"")</f>
        <v xml:space="preserve"> Touring</v>
      </c>
      <c r="AZ82" s="225" t="str">
        <f>IFERROR(INDEX(Data!CV$9:CV$1273,MATCH($M82,Data!$K$9:$K$1273,0)),"")</f>
        <v xml:space="preserve"> Ultralight Touring</v>
      </c>
      <c r="BA82" s="225" t="str">
        <f>IFERROR(INDEX(Data!CX$9:CX$1273,MATCH($M82,Data!$K$9:$K$1273,0)),"")</f>
        <v>Armada Tracer 108 Skis 2022 - 164</v>
      </c>
      <c r="BB82" s="225" t="str">
        <f>IFERROR(INDEX(Data!CY$9:CY$1273,MATCH($M82,Data!$K$9:$K$1273,0)),"")</f>
        <v>Snowcountry.eu</v>
      </c>
      <c r="BC82" s="225">
        <f>IFERROR(INDEX(Data!CZ$9:CZ$1273,MATCH($M82,Data!$K$9:$K$1273,0)),"")</f>
        <v>423.23</v>
      </c>
      <c r="BD82" s="225" t="str">
        <f>IFERROR(INDEX(Data!DA$9:DA$1273,MATCH($M82,Data!$K$9:$K$1273,0)),"")</f>
        <v>https://tinyurl.com/ybzj7u3m</v>
      </c>
      <c r="BE82" s="225" t="str">
        <f>IFERROR(INDEX(Data!DB$9:DB$1273,MATCH($M82,Data!$K$9:$K$1273,0)),"")</f>
        <v>Armada Tracer 108 Skis 2022 - 164</v>
      </c>
      <c r="BF82" s="225" t="str">
        <f>IFERROR(INDEX(Data!DC$9:DC$1273,MATCH($M82,Data!$K$9:$K$1273,0)),"")</f>
        <v>eBay - david110549</v>
      </c>
      <c r="BG82" s="225">
        <f>IFERROR(INDEX(Data!DD$9:DD$1273,MATCH($M82,Data!$K$9:$K$1273,0)),"")</f>
        <v>599.96</v>
      </c>
      <c r="BH82" s="225" t="str">
        <f>IFERROR(INDEX(Data!DE$9:DE$1273,MATCH($M82,Data!$K$9:$K$1273,0)),"")</f>
        <v>https://tinyurl.com/ydyt4ope</v>
      </c>
      <c r="BI82" s="225" t="str">
        <f>IFERROR(INDEX(Data!DF$9:DF$1273,MATCH($M82,Data!$K$9:$K$1273,0)),"")</f>
        <v>Armada Tracer 108 Skis 2022 - 164</v>
      </c>
      <c r="BJ82" s="225" t="str">
        <f>IFERROR(INDEX(Data!DG$9:DG$1273,MATCH($M82,Data!$K$9:$K$1273,0)),"")</f>
        <v>SkiEssentials.com</v>
      </c>
      <c r="BK82" s="225">
        <f>IFERROR(INDEX(Data!DH$9:DH$1273,MATCH($M82,Data!$K$9:$K$1273,0)),"")</f>
        <v>599.96</v>
      </c>
      <c r="BL82" s="225" t="str">
        <f>IFERROR(INDEX(Data!DI$9:DI$1273,MATCH($M82,Data!$K$9:$K$1273,0)),"")</f>
        <v>https://tinyurl.com/y8cz7flt</v>
      </c>
      <c r="BM82" s="225" t="str">
        <f>IFERROR(INDEX(Data!DJ$9:DJ$1273,MATCH($M82,Data!$K$9:$K$1273,0)),"")</f>
        <v>https://tinyurl.com/ybzj7u3m</v>
      </c>
      <c r="BN82" s="225" t="str">
        <f>IFERROR(INDEX(Data!DK$9:DK$1273,MATCH($M82,Data!$K$9:$K$1273,0)),"")</f>
        <v>https://tinyurl.com/ydyt4ope</v>
      </c>
      <c r="BO82" s="225" t="str">
        <f>IFERROR(INDEX(Data!DL$9:DL$1273,MATCH($M82,Data!$K$9:$K$1273,0)),"")</f>
        <v>https://tinyurl.com/y8cz7flt</v>
      </c>
      <c r="BP82" s="243">
        <f t="shared" si="5"/>
        <v>599.96</v>
      </c>
      <c r="BQ82" s="225" t="b">
        <f t="shared" si="6"/>
        <v>1</v>
      </c>
      <c r="BR82" s="225" t="str">
        <f t="shared" si="7"/>
        <v xml:space="preserve"> ArmadaTracer 108164 Unisex</v>
      </c>
      <c r="BS82" s="225" t="str">
        <f>IFERROR(INDEX(Data!$DO$9:$DO$1273,MATCH('Your recommendation'!BR82,Data!$DN$9:$DN$1273,0)),"")</f>
        <v>https://images.evo.com/imgp/250/198695/839662/clone.jpg</v>
      </c>
    </row>
    <row r="83" spans="2:71" ht="15.6" customHeight="1">
      <c r="B83" s="222">
        <f t="shared" si="8"/>
        <v>9</v>
      </c>
      <c r="C83" s="223">
        <v>0.85269792530457056</v>
      </c>
      <c r="D83" s="225" t="str">
        <f>IFERROR(INDEX(Data!BR$9:BR$1273,MATCH($M83,Data!$K$9:$K$1273,0)),"")</f>
        <v>21/22</v>
      </c>
      <c r="E83" s="225" t="str">
        <f>IFERROR(INDEX(Data!BS$9:BS$1273,MATCH($M83,Data!$K$9:$K$1273,0)),"")</f>
        <v xml:space="preserve"> Faction</v>
      </c>
      <c r="F83" s="225" t="str">
        <f>IFERROR(INDEX(Data!DM$9:DM$1273,MATCH($M83,Data!$K$9:$K$1273,0)),"")</f>
        <v>CT 2.0</v>
      </c>
      <c r="G83" s="225" t="str">
        <f>IFERROR(INDEX(Data!BV$9:BV$1273,MATCH($M83,Data!$K$9:$K$1273,0)),"")</f>
        <v xml:space="preserve"> Unisex</v>
      </c>
      <c r="H83" s="225">
        <f>IFERROR(INDEX(Data!BW$9:BW$1273,MATCH($M83,Data!$K$9:$K$1273,0)),"")</f>
        <v>166</v>
      </c>
      <c r="I83" s="225">
        <f>IFERROR(INDEX(Data!BX$9:BX$1273,MATCH($M83,Data!$K$9:$K$1273,0)),"")</f>
        <v>163.9</v>
      </c>
      <c r="J83" s="225">
        <f>IFERROR(INDEX(Data!CB$9:CB$1273,MATCH($M83,Data!$K$9:$K$1273,0)),"")</f>
        <v>102</v>
      </c>
      <c r="K83" s="241">
        <f t="shared" si="3"/>
        <v>387.23</v>
      </c>
      <c r="L83" s="242" t="str">
        <f t="shared" si="4"/>
        <v>Snowcountry.eu</v>
      </c>
      <c r="M83" s="224">
        <v>0.85269792530457056</v>
      </c>
      <c r="N83" s="224">
        <f>IFERROR(INDEX(Data!L$9:L$1273,MATCH($M83,Data!$K$9:$K$1273,0)),"")</f>
        <v>0.93885400762288251</v>
      </c>
      <c r="O83" s="224">
        <f>IFERROR(INDEX(Data!M$9:M$1273,MATCH($M83,Data!$K$9:$K$1273,0)),"")</f>
        <v>0.7665418429862586</v>
      </c>
      <c r="P83" s="224">
        <f>IFERROR(INDEX(Data!N$9:N$1273,MATCH($M83,Data!$K$9:$K$1273,0)),"")</f>
        <v>0.69044385047713508</v>
      </c>
      <c r="Q83" s="224">
        <f>IFERROR(INDEX(Data!O$9:O$1273,MATCH($M83,Data!$K$9:$K$1273,0)),"")</f>
        <v>0.62238801586891612</v>
      </c>
      <c r="R83" s="224">
        <f>IFERROR(INDEX(Data!P$9:P$1273,MATCH($M83,Data!$K$9:$K$1273,0)),"")</f>
        <v>0.9867936626127245</v>
      </c>
      <c r="S83" s="224">
        <f>IFERROR(INDEX(Data!S$9:S$1273,MATCH($M83,Data!$K$9:$K$1273,0)),"")</f>
        <v>0.43378421449365356</v>
      </c>
      <c r="T83" s="224">
        <f>IFERROR(INDEX(Data!T$9:T$1273,MATCH($M83,Data!$K$9:$K$1273,0)),"")</f>
        <v>0.50340880345520367</v>
      </c>
      <c r="U83" s="224">
        <f>IFERROR(INDEX(Data!U$9:U$1273,MATCH($M83,Data!$K$9:$K$1273,0)),"")</f>
        <v>0.52004948411626439</v>
      </c>
      <c r="V83" s="224">
        <f>IFERROR(INDEX(Data!V$9:V$1273,MATCH($M83,Data!$K$9:$K$1273,0)),"")</f>
        <v>0.5857073447303045</v>
      </c>
      <c r="W83" s="224">
        <f>IFERROR(INDEX(Data!W$9:W$1273,MATCH($M83,Data!$K$9:$K$1273,0)),"")</f>
        <v>0.85169667834222706</v>
      </c>
      <c r="X83" s="224">
        <f>IFERROR(INDEX(Data!AJ$9:AJ$1273,MATCH($M83,Data!$K$9:$K$1273,0)),"")</f>
        <v>0.31536540165981791</v>
      </c>
      <c r="Y83" s="224">
        <f>IFERROR(INDEX(Data!AK$9:AK$1273,MATCH($M83,Data!$K$9:$K$1273,0)),"")</f>
        <v>0.25529206587991338</v>
      </c>
      <c r="Z83" s="224">
        <f>IFERROR(INDEX(Data!AL$9:AL$1273,MATCH($M83,Data!$K$9:$K$1273,0)),"")</f>
        <v>0.41124391323594511</v>
      </c>
      <c r="AA83" s="224">
        <f>IFERROR(INDEX(Data!AM$9:AM$1273,MATCH($M83,Data!$K$9:$K$1273,0)),"")</f>
        <v>6.9773036965962529E-2</v>
      </c>
      <c r="AB83" s="224">
        <f>IFERROR(INDEX(Data!AN$9:AN$1273,MATCH($M83,Data!$K$9:$K$1273,0)),"")</f>
        <v>0.24101307189542487</v>
      </c>
      <c r="AC83" s="225">
        <f>IFERROR(INDEX(Data!BY$9:BY$1273,MATCH($M83,Data!$K$9:$K$1273,0)),"")</f>
        <v>108</v>
      </c>
      <c r="AD83" s="225">
        <f>IFERROR(INDEX(Data!BZ$9:BZ$1273,MATCH($M83,Data!$K$9:$K$1273,0)),"")</f>
        <v>138</v>
      </c>
      <c r="AE83" s="225">
        <f>IFERROR(INDEX(Data!CA$9:CA$1273,MATCH($M83,Data!$K$9:$K$1273,0)),"")</f>
        <v>131</v>
      </c>
      <c r="AF83" s="225">
        <f>IFERROR(INDEX(Data!CB$9:CB$1273,MATCH($M83,Data!$K$9:$K$1273,0)),"")</f>
        <v>102</v>
      </c>
      <c r="AG83" s="225">
        <f>IFERROR(INDEX(Data!CC$9:CC$1273,MATCH($M83,Data!$K$9:$K$1273,0)),"")</f>
        <v>127</v>
      </c>
      <c r="AH83" s="225">
        <f>IFERROR(INDEX(Data!CD$9:CD$1273,MATCH($M83,Data!$K$9:$K$1273,0)),"")</f>
        <v>16.2</v>
      </c>
      <c r="AI83" s="225">
        <f>IFERROR(INDEX(Data!CE$9:CE$1273,MATCH($M83,Data!$K$9:$K$1273,0)),"")</f>
        <v>1726</v>
      </c>
      <c r="AJ83" s="225">
        <f>IFERROR(INDEX(Data!CF$9:CF$1273,MATCH($M83,Data!$K$9:$K$1273,0)),"")</f>
        <v>1.06</v>
      </c>
      <c r="AK83" s="225">
        <f>IFERROR(INDEX(Data!CG$9:CG$1273,MATCH($M83,Data!$K$9:$K$1273,0)),"")</f>
        <v>1831</v>
      </c>
      <c r="AL83" s="225">
        <f>IFERROR(INDEX(Data!CH$9:CH$1273,MATCH($M83,Data!$K$9:$K$1273,0)),"")</f>
        <v>204</v>
      </c>
      <c r="AM83" s="225">
        <f>IFERROR(INDEX(Data!CI$9:CI$1273,MATCH($M83,Data!$K$9:$K$1273,0)),"")</f>
        <v>92</v>
      </c>
      <c r="AN83" s="225">
        <f>IFERROR(INDEX(Data!CJ$9:CJ$1273,MATCH($M83,Data!$K$9:$K$1273,0)),"")</f>
        <v>51</v>
      </c>
      <c r="AO83" s="225">
        <f>IFERROR(INDEX(Data!CK$9:CK$1273,MATCH($M83,Data!$K$9:$K$1273,0)),"")</f>
        <v>285</v>
      </c>
      <c r="AP83" s="225">
        <f>IFERROR(INDEX(Data!CL$9:CL$1273,MATCH($M83,Data!$K$9:$K$1273,0)),"")</f>
        <v>51</v>
      </c>
      <c r="AQ83" s="225">
        <f>IFERROR(INDEX(Data!CM$9:CM$1273,MATCH($M83,Data!$K$9:$K$1273,0)),"")</f>
        <v>278</v>
      </c>
      <c r="AR83" s="225">
        <f>IFERROR(INDEX(Data!CN$9:CN$1273,MATCH($M83,Data!$K$9:$K$1273,0)),"")</f>
        <v>0.99299999999999999</v>
      </c>
      <c r="AS83" s="225">
        <f>IFERROR(INDEX(Data!CO$9:CO$1273,MATCH($M83,Data!$K$9:$K$1273,0)),"")</f>
        <v>133</v>
      </c>
      <c r="AT83" s="225">
        <f>IFERROR(INDEX(Data!CP$9:CP$1273,MATCH($M83,Data!$K$9:$K$1273,0)),"")</f>
        <v>130</v>
      </c>
      <c r="AU83" s="225">
        <f>IFERROR(INDEX(Data!CQ$9:CQ$1273,MATCH($M83,Data!$K$9:$K$1273,0)),"")</f>
        <v>151</v>
      </c>
      <c r="AV83" s="225">
        <f>IFERROR(INDEX(Data!CR$9:CR$1273,MATCH($M83,Data!$K$9:$K$1273,0)),"")</f>
        <v>6</v>
      </c>
      <c r="AW83" s="225">
        <f>IFERROR(INDEX(Data!CS$9:CS$1273,MATCH($M83,Data!$K$9:$K$1273,0)),"")</f>
        <v>3.8</v>
      </c>
      <c r="AX83" s="225" t="str">
        <f>IFERROR(INDEX(Data!CT$9:CT$1273,MATCH($M83,Data!$K$9:$K$1273,0)),"")</f>
        <v xml:space="preserve"> Freeski</v>
      </c>
      <c r="AY83" s="225" t="str">
        <f>IFERROR(INDEX(Data!CU$9:CU$1273,MATCH($M83,Data!$K$9:$K$1273,0)),"")</f>
        <v xml:space="preserve"> Powder</v>
      </c>
      <c r="AZ83" s="225" t="str">
        <f>IFERROR(INDEX(Data!CV$9:CV$1273,MATCH($M83,Data!$K$9:$K$1273,0)),"")</f>
        <v xml:space="preserve"> Touring</v>
      </c>
      <c r="BA83" s="225" t="str">
        <f>IFERROR(INDEX(Data!CX$9:CX$1273,MATCH($M83,Data!$K$9:$K$1273,0)),"")</f>
        <v>Rossignol Blackops W Blazer Skis - Women's 2021</v>
      </c>
      <c r="BB83" s="225" t="str">
        <f>IFERROR(INDEX(Data!CY$9:CY$1273,MATCH($M83,Data!$K$9:$K$1273,0)),"")</f>
        <v>Snowcountry.eu</v>
      </c>
      <c r="BC83" s="225">
        <f>IFERROR(INDEX(Data!CZ$9:CZ$1273,MATCH($M83,Data!$K$9:$K$1273,0)),"")</f>
        <v>387.23</v>
      </c>
      <c r="BD83" s="225" t="str">
        <f>IFERROR(INDEX(Data!DA$9:DA$1273,MATCH($M83,Data!$K$9:$K$1273,0)),"")</f>
        <v>https://tinyurl.com/yakkt85z</v>
      </c>
      <c r="BE83" s="225" t="str">
        <f>IFERROR(INDEX(Data!DB$9:DB$1273,MATCH($M83,Data!$K$9:$K$1273,0)),"")</f>
        <v>Rossignol Blackops W Blazer Skis - Women's 2021</v>
      </c>
      <c r="BF83" s="225" t="str">
        <f>IFERROR(INDEX(Data!DC$9:DC$1273,MATCH($M83,Data!$K$9:$K$1273,0)),"")</f>
        <v>eBay - asogear</v>
      </c>
      <c r="BG83" s="225">
        <f>IFERROR(INDEX(Data!DD$9:DD$1273,MATCH($M83,Data!$K$9:$K$1273,0)),"")</f>
        <v>524.99</v>
      </c>
      <c r="BH83" s="225" t="str">
        <f>IFERROR(INDEX(Data!DE$9:DE$1273,MATCH($M83,Data!$K$9:$K$1273,0)),"")</f>
        <v>https://tinyurl.com/y7gaf7xn</v>
      </c>
      <c r="BI83" s="225" t="str">
        <f>IFERROR(INDEX(Data!DF$9:DF$1273,MATCH($M83,Data!$K$9:$K$1273,0)),"")</f>
        <v>Rossignol Blackops W Blazer Skis - Women's 2021</v>
      </c>
      <c r="BJ83" s="225" t="str">
        <f>IFERROR(INDEX(Data!DG$9:DG$1273,MATCH($M83,Data!$K$9:$K$1273,0)),"")</f>
        <v>Powder7 Ski Shop</v>
      </c>
      <c r="BK83" s="225">
        <f>IFERROR(INDEX(Data!DH$9:DH$1273,MATCH($M83,Data!$K$9:$K$1273,0)),"")</f>
        <v>559.95000000000005</v>
      </c>
      <c r="BL83" s="225" t="str">
        <f>IFERROR(INDEX(Data!DI$9:DI$1273,MATCH($M83,Data!$K$9:$K$1273,0)),"")</f>
        <v>https://tinyurl.com/y87ams7s</v>
      </c>
      <c r="BM83" s="225" t="str">
        <f>IFERROR(INDEX(Data!DJ$9:DJ$1273,MATCH($M83,Data!$K$9:$K$1273,0)),"")</f>
        <v>https://tinyurl.com/yakkt85z</v>
      </c>
      <c r="BN83" s="225" t="str">
        <f>IFERROR(INDEX(Data!DK$9:DK$1273,MATCH($M83,Data!$K$9:$K$1273,0)),"")</f>
        <v>https://tinyurl.com/y7gaf7xn</v>
      </c>
      <c r="BO83" s="225" t="str">
        <f>IFERROR(INDEX(Data!DL$9:DL$1273,MATCH($M83,Data!$K$9:$K$1273,0)),"")</f>
        <v>https://tinyurl.com/y87ams7s</v>
      </c>
      <c r="BP83" s="243">
        <f t="shared" si="5"/>
        <v>559.95000000000005</v>
      </c>
      <c r="BQ83" s="225" t="b">
        <f t="shared" si="6"/>
        <v>1</v>
      </c>
      <c r="BR83" s="225" t="str">
        <f t="shared" si="7"/>
        <v xml:space="preserve"> FactionCT 2.0166 Unisex</v>
      </c>
      <c r="BS83" s="225">
        <f>IFERROR(INDEX(Data!$DO$9:$DO$1273,MATCH('Your recommendation'!BR83,Data!$DN$9:$DN$1273,0)),"")</f>
        <v>0</v>
      </c>
    </row>
    <row r="84" spans="2:71" ht="15.6" customHeight="1">
      <c r="B84" s="222">
        <f t="shared" si="8"/>
        <v>10</v>
      </c>
      <c r="C84" s="223">
        <v>0.83765014276977223</v>
      </c>
      <c r="D84" s="225" t="str">
        <f>IFERROR(INDEX(Data!BR$9:BR$1273,MATCH($M84,Data!$K$9:$K$1273,0)),"")</f>
        <v>21/22</v>
      </c>
      <c r="E84" s="225" t="str">
        <f>IFERROR(INDEX(Data!BS$9:BS$1273,MATCH($M84,Data!$K$9:$K$1273,0)),"")</f>
        <v xml:space="preserve"> Nordica</v>
      </c>
      <c r="F84" s="225" t="str">
        <f>IFERROR(INDEX(Data!DM$9:DM$1273,MATCH($M84,Data!$K$9:$K$1273,0)),"")</f>
        <v>Enforcer 104 Free</v>
      </c>
      <c r="G84" s="225" t="str">
        <f>IFERROR(INDEX(Data!BV$9:BV$1273,MATCH($M84,Data!$K$9:$K$1273,0)),"")</f>
        <v xml:space="preserve"> Unisex</v>
      </c>
      <c r="H84" s="225">
        <f>IFERROR(INDEX(Data!BW$9:BW$1273,MATCH($M84,Data!$K$9:$K$1273,0)),"")</f>
        <v>165</v>
      </c>
      <c r="I84" s="225">
        <f>IFERROR(INDEX(Data!BX$9:BX$1273,MATCH($M84,Data!$K$9:$K$1273,0)),"")</f>
        <v>164.2</v>
      </c>
      <c r="J84" s="225">
        <f>IFERROR(INDEX(Data!CB$9:CB$1273,MATCH($M84,Data!$K$9:$K$1273,0)),"")</f>
        <v>103</v>
      </c>
      <c r="K84" s="241">
        <f t="shared" si="3"/>
        <v>561.20000000000005</v>
      </c>
      <c r="L84" s="242" t="str">
        <f t="shared" si="4"/>
        <v>Sundance Ski and Board Shop</v>
      </c>
      <c r="M84" s="224">
        <v>0.83765014276977223</v>
      </c>
      <c r="N84" s="224">
        <f>IFERROR(INDEX(Data!L$9:L$1273,MATCH($M84,Data!$K$9:$K$1273,0)),"")</f>
        <v>0.99968713952200428</v>
      </c>
      <c r="O84" s="224">
        <f>IFERROR(INDEX(Data!M$9:M$1273,MATCH($M84,Data!$K$9:$K$1273,0)),"")</f>
        <v>0.6756131460175403</v>
      </c>
      <c r="P84" s="224">
        <f>IFERROR(INDEX(Data!N$9:N$1273,MATCH($M84,Data!$K$9:$K$1273,0)),"")</f>
        <v>0.55195020600739497</v>
      </c>
      <c r="Q84" s="224">
        <f>IFERROR(INDEX(Data!O$9:O$1273,MATCH($M84,Data!$K$9:$K$1273,0)),"")</f>
        <v>0.64068616263180633</v>
      </c>
      <c r="R84" s="224">
        <f>IFERROR(INDEX(Data!P$9:P$1273,MATCH($M84,Data!$K$9:$K$1273,0)),"")</f>
        <v>0.83420306941341948</v>
      </c>
      <c r="S84" s="224">
        <f>IFERROR(INDEX(Data!S$9:S$1273,MATCH($M84,Data!$K$9:$K$1273,0)),"")</f>
        <v>0.47252091367397298</v>
      </c>
      <c r="T84" s="224">
        <f>IFERROR(INDEX(Data!T$9:T$1273,MATCH($M84,Data!$K$9:$K$1273,0)),"")</f>
        <v>0.51364258234464022</v>
      </c>
      <c r="U84" s="224">
        <f>IFERROR(INDEX(Data!U$9:U$1273,MATCH($M84,Data!$K$9:$K$1273,0)),"")</f>
        <v>0.54982846037388833</v>
      </c>
      <c r="V84" s="224">
        <f>IFERROR(INDEX(Data!V$9:V$1273,MATCH($M84,Data!$K$9:$K$1273,0)),"")</f>
        <v>0.56551183697929475</v>
      </c>
      <c r="W84" s="224">
        <f>IFERROR(INDEX(Data!W$9:W$1273,MATCH($M84,Data!$K$9:$K$1273,0)),"")</f>
        <v>0.80611908559276979</v>
      </c>
      <c r="X84" s="224">
        <f>IFERROR(INDEX(Data!AJ$9:AJ$1273,MATCH($M84,Data!$K$9:$K$1273,0)),"")</f>
        <v>0.25453226976069615</v>
      </c>
      <c r="Y84" s="224">
        <f>IFERROR(INDEX(Data!AK$9:AK$1273,MATCH($M84,Data!$K$9:$K$1273,0)),"")</f>
        <v>0.43570733977257264</v>
      </c>
      <c r="Z84" s="224">
        <f>IFERROR(INDEX(Data!AL$9:AL$1273,MATCH($M84,Data!$K$9:$K$1273,0)),"")</f>
        <v>0.54973755770568522</v>
      </c>
      <c r="AA84" s="224">
        <f>IFERROR(INDEX(Data!AM$9:AM$1273,MATCH($M84,Data!$K$9:$K$1273,0)),"")</f>
        <v>8.8071183728852753E-2</v>
      </c>
      <c r="AB84" s="224">
        <f>IFERROR(INDEX(Data!AN$9:AN$1273,MATCH($M84,Data!$K$9:$K$1273,0)),"")</f>
        <v>0.42001633986928094</v>
      </c>
      <c r="AC84" s="225">
        <f>IFERROR(INDEX(Data!BY$9:BY$1273,MATCH($M84,Data!$K$9:$K$1273,0)),"")</f>
        <v>114</v>
      </c>
      <c r="AD84" s="225">
        <f>IFERROR(INDEX(Data!BZ$9:BZ$1273,MATCH($M84,Data!$K$9:$K$1273,0)),"")</f>
        <v>135</v>
      </c>
      <c r="AE84" s="225">
        <f>IFERROR(INDEX(Data!CA$9:CA$1273,MATCH($M84,Data!$K$9:$K$1273,0)),"")</f>
        <v>133</v>
      </c>
      <c r="AF84" s="225">
        <f>IFERROR(INDEX(Data!CB$9:CB$1273,MATCH($M84,Data!$K$9:$K$1273,0)),"")</f>
        <v>103</v>
      </c>
      <c r="AG84" s="225">
        <f>IFERROR(INDEX(Data!CC$9:CC$1273,MATCH($M84,Data!$K$9:$K$1273,0)),"")</f>
        <v>123</v>
      </c>
      <c r="AH84" s="225">
        <f>IFERROR(INDEX(Data!CD$9:CD$1273,MATCH($M84,Data!$K$9:$K$1273,0)),"")</f>
        <v>16.2</v>
      </c>
      <c r="AI84" s="225">
        <f>IFERROR(INDEX(Data!CE$9:CE$1273,MATCH($M84,Data!$K$9:$K$1273,0)),"")</f>
        <v>1945</v>
      </c>
      <c r="AJ84" s="225">
        <f>IFERROR(INDEX(Data!CF$9:CF$1273,MATCH($M84,Data!$K$9:$K$1273,0)),"")</f>
        <v>0.95</v>
      </c>
      <c r="AK84" s="225">
        <f>IFERROR(INDEX(Data!CG$9:CG$1273,MATCH($M84,Data!$K$9:$K$1273,0)),"")</f>
        <v>1851</v>
      </c>
      <c r="AL84" s="225">
        <f>IFERROR(INDEX(Data!CH$9:CH$1273,MATCH($M84,Data!$K$9:$K$1273,0)),"")</f>
        <v>182</v>
      </c>
      <c r="AM84" s="225">
        <f>IFERROR(INDEX(Data!CI$9:CI$1273,MATCH($M84,Data!$K$9:$K$1273,0)),"")</f>
        <v>130</v>
      </c>
      <c r="AN84" s="225">
        <f>IFERROR(INDEX(Data!CJ$9:CJ$1273,MATCH($M84,Data!$K$9:$K$1273,0)),"")</f>
        <v>47</v>
      </c>
      <c r="AO84" s="225">
        <f>IFERROR(INDEX(Data!CK$9:CK$1273,MATCH($M84,Data!$K$9:$K$1273,0)),"")</f>
        <v>280</v>
      </c>
      <c r="AP84" s="225">
        <f>IFERROR(INDEX(Data!CL$9:CL$1273,MATCH($M84,Data!$K$9:$K$1273,0)),"")</f>
        <v>28</v>
      </c>
      <c r="AQ84" s="225">
        <f>IFERROR(INDEX(Data!CM$9:CM$1273,MATCH($M84,Data!$K$9:$K$1273,0)),"")</f>
        <v>220</v>
      </c>
      <c r="AR84" s="225">
        <f>IFERROR(INDEX(Data!CN$9:CN$1273,MATCH($M84,Data!$K$9:$K$1273,0)),"")</f>
        <v>0.59599999999999997</v>
      </c>
      <c r="AS84" s="225">
        <f>IFERROR(INDEX(Data!CO$9:CO$1273,MATCH($M84,Data!$K$9:$K$1273,0)),"")</f>
        <v>146</v>
      </c>
      <c r="AT84" s="225">
        <f>IFERROR(INDEX(Data!CP$9:CP$1273,MATCH($M84,Data!$K$9:$K$1273,0)),"")</f>
        <v>145</v>
      </c>
      <c r="AU84" s="225">
        <f>IFERROR(INDEX(Data!CQ$9:CQ$1273,MATCH($M84,Data!$K$9:$K$1273,0)),"")</f>
        <v>134</v>
      </c>
      <c r="AV84" s="225">
        <f>IFERROR(INDEX(Data!CR$9:CR$1273,MATCH($M84,Data!$K$9:$K$1273,0)),"")</f>
        <v>9</v>
      </c>
      <c r="AW84" s="225">
        <f>IFERROR(INDEX(Data!CS$9:CS$1273,MATCH($M84,Data!$K$9:$K$1273,0)),"")</f>
        <v>8.4</v>
      </c>
      <c r="AX84" s="225" t="str">
        <f>IFERROR(INDEX(Data!CT$9:CT$1273,MATCH($M84,Data!$K$9:$K$1273,0)),"")</f>
        <v xml:space="preserve"> Resort Freeride</v>
      </c>
      <c r="AY84" s="225" t="str">
        <f>IFERROR(INDEX(Data!CU$9:CU$1273,MATCH($M84,Data!$K$9:$K$1273,0)),"")</f>
        <v xml:space="preserve"> Powder</v>
      </c>
      <c r="AZ84" s="225">
        <f>IFERROR(INDEX(Data!CV$9:CV$1273,MATCH($M84,Data!$K$9:$K$1273,0)),"")</f>
        <v>0</v>
      </c>
      <c r="BA84" s="225" t="str">
        <f>IFERROR(INDEX(Data!CX$9:CX$1273,MATCH($M84,Data!$K$9:$K$1273,0)),"")</f>
        <v>Nordica Enforcer 104 free GREY/BLUE/WHITE / 165cm</v>
      </c>
      <c r="BB84" s="225" t="str">
        <f>IFERROR(INDEX(Data!CY$9:CY$1273,MATCH($M84,Data!$K$9:$K$1273,0)),"")</f>
        <v>Sundance Ski and Board Shop</v>
      </c>
      <c r="BC84" s="225">
        <f>IFERROR(INDEX(Data!CZ$9:CZ$1273,MATCH($M84,Data!$K$9:$K$1273,0)),"")</f>
        <v>561.20000000000005</v>
      </c>
      <c r="BD84" s="225" t="str">
        <f>IFERROR(INDEX(Data!DA$9:DA$1273,MATCH($M84,Data!$K$9:$K$1273,0)),"")</f>
        <v>https://tinyurl.com/yaafc8up</v>
      </c>
      <c r="BE84" s="225" t="str">
        <f>IFERROR(INDEX(Data!DB$9:DB$1273,MATCH($M84,Data!$K$9:$K$1273,0)),"")</f>
        <v>Nordica Enforcer 104 Free Skis 2022</v>
      </c>
      <c r="BF84" s="225" t="str">
        <f>IFERROR(INDEX(Data!DC$9:DC$1273,MATCH($M84,Data!$K$9:$K$1273,0)),"")</f>
        <v>Ski Pro  - Snow Ski &amp; Snowboard</v>
      </c>
      <c r="BG84" s="225">
        <f>IFERROR(INDEX(Data!DD$9:DD$1273,MATCH($M84,Data!$K$9:$K$1273,0)),"")</f>
        <v>639.95000000000005</v>
      </c>
      <c r="BH84" s="225" t="str">
        <f>IFERROR(INDEX(Data!DE$9:DE$1273,MATCH($M84,Data!$K$9:$K$1273,0)),"")</f>
        <v>https://tinyurl.com/ybvftfds</v>
      </c>
      <c r="BI84" s="225" t="str">
        <f>IFERROR(INDEX(Data!DF$9:DF$1273,MATCH($M84,Data!$K$9:$K$1273,0)),"")</f>
        <v>Nordica Enforcer 104 Free Skis 2022</v>
      </c>
      <c r="BJ84" s="225" t="str">
        <f>IFERROR(INDEX(Data!DG$9:DG$1273,MATCH($M84,Data!$K$9:$K$1273,0)),"")</f>
        <v>Basin Sports</v>
      </c>
      <c r="BK84" s="225">
        <f>IFERROR(INDEX(Data!DH$9:DH$1273,MATCH($M84,Data!$K$9:$K$1273,0)),"")</f>
        <v>639.99</v>
      </c>
      <c r="BL84" s="225" t="str">
        <f>IFERROR(INDEX(Data!DI$9:DI$1273,MATCH($M84,Data!$K$9:$K$1273,0)),"")</f>
        <v>https://tinyurl.com/ycwplhel</v>
      </c>
      <c r="BM84" s="225" t="str">
        <f>IFERROR(INDEX(Data!DJ$9:DJ$1273,MATCH($M84,Data!$K$9:$K$1273,0)),"")</f>
        <v>https://tinyurl.com/yaafc8up</v>
      </c>
      <c r="BN84" s="225" t="str">
        <f>IFERROR(INDEX(Data!DK$9:DK$1273,MATCH($M84,Data!$K$9:$K$1273,0)),"")</f>
        <v>https://tinyurl.com/ybvftfds</v>
      </c>
      <c r="BO84" s="225" t="str">
        <f>IFERROR(INDEX(Data!DL$9:DL$1273,MATCH($M84,Data!$K$9:$K$1273,0)),"")</f>
        <v>https://tinyurl.com/ycwplhel</v>
      </c>
      <c r="BP84" s="243">
        <f t="shared" si="5"/>
        <v>639.99</v>
      </c>
      <c r="BQ84" s="225" t="b">
        <f t="shared" si="6"/>
        <v>1</v>
      </c>
      <c r="BR84" s="225" t="str">
        <f t="shared" si="7"/>
        <v xml:space="preserve"> NordicaEnforcer 104 Free165 Unisex</v>
      </c>
      <c r="BS84" s="225" t="str">
        <f>IFERROR(INDEX(Data!$DO$9:$DO$1273,MATCH('Your recommendation'!BR84,Data!$DN$9:$DN$1273,0)),"")</f>
        <v>https://images.evo.com/imgp/250/198260/792330/clone.jpg</v>
      </c>
    </row>
    <row r="85" spans="2:71" ht="15.6" customHeight="1">
      <c r="B85" s="222">
        <f t="shared" si="8"/>
        <v>11</v>
      </c>
      <c r="C85" s="223">
        <v>0.81993169559002488</v>
      </c>
      <c r="D85" s="225" t="str">
        <f>IFERROR(INDEX(Data!BR$9:BR$1273,MATCH($M85,Data!$K$9:$K$1273,0)),"")</f>
        <v>21/22</v>
      </c>
      <c r="E85" s="225" t="str">
        <f>IFERROR(INDEX(Data!BS$9:BS$1273,MATCH($M85,Data!$K$9:$K$1273,0)),"")</f>
        <v xml:space="preserve"> K2</v>
      </c>
      <c r="F85" s="225" t="str">
        <f>IFERROR(INDEX(Data!DM$9:DM$1273,MATCH($M85,Data!$K$9:$K$1273,0)),"")</f>
        <v>Reckoner 102</v>
      </c>
      <c r="G85" s="225" t="str">
        <f>IFERROR(INDEX(Data!BV$9:BV$1273,MATCH($M85,Data!$K$9:$K$1273,0)),"")</f>
        <v xml:space="preserve"> Unisex</v>
      </c>
      <c r="H85" s="225">
        <f>IFERROR(INDEX(Data!BW$9:BW$1273,MATCH($M85,Data!$K$9:$K$1273,0)),"")</f>
        <v>163</v>
      </c>
      <c r="I85" s="225">
        <f>IFERROR(INDEX(Data!BX$9:BX$1273,MATCH($M85,Data!$K$9:$K$1273,0)),"")</f>
        <v>163.6</v>
      </c>
      <c r="J85" s="225">
        <f>IFERROR(INDEX(Data!CB$9:CB$1273,MATCH($M85,Data!$K$9:$K$1273,0)),"")</f>
        <v>101</v>
      </c>
      <c r="K85" s="241" t="str">
        <f t="shared" si="3"/>
        <v/>
      </c>
      <c r="L85" s="242" t="str">
        <f t="shared" si="4"/>
        <v/>
      </c>
      <c r="M85" s="224">
        <v>0.81993169559002488</v>
      </c>
      <c r="N85" s="224">
        <f>IFERROR(INDEX(Data!L$9:L$1273,MATCH($M85,Data!$K$9:$K$1273,0)),"")</f>
        <v>0.87099209663946542</v>
      </c>
      <c r="O85" s="224">
        <f>IFERROR(INDEX(Data!M$9:M$1273,MATCH($M85,Data!$K$9:$K$1273,0)),"")</f>
        <v>0.76887129454058434</v>
      </c>
      <c r="P85" s="224">
        <f>IFERROR(INDEX(Data!N$9:N$1273,MATCH($M85,Data!$K$9:$K$1273,0)),"")</f>
        <v>0.77202229858944771</v>
      </c>
      <c r="Q85" s="224">
        <f>IFERROR(INDEX(Data!O$9:O$1273,MATCH($M85,Data!$K$9:$K$1273,0)),"")</f>
        <v>0.65020805313853514</v>
      </c>
      <c r="R85" s="224">
        <f>IFERROR(INDEX(Data!P$9:P$1273,MATCH($M85,Data!$K$9:$K$1273,0)),"")</f>
        <v>0.88438353189377017</v>
      </c>
      <c r="S85" s="224">
        <f>IFERROR(INDEX(Data!S$9:S$1273,MATCH($M85,Data!$K$9:$K$1273,0)),"")</f>
        <v>0.40535311879107816</v>
      </c>
      <c r="T85" s="224">
        <f>IFERROR(INDEX(Data!T$9:T$1273,MATCH($M85,Data!$K$9:$K$1273,0)),"")</f>
        <v>0.45864101744199026</v>
      </c>
      <c r="U85" s="224">
        <f>IFERROR(INDEX(Data!U$9:U$1273,MATCH($M85,Data!$K$9:$K$1273,0)),"")</f>
        <v>0.50889472912584333</v>
      </c>
      <c r="V85" s="224">
        <f>IFERROR(INDEX(Data!V$9:V$1273,MATCH($M85,Data!$K$9:$K$1273,0)),"")</f>
        <v>0.68202684146325732</v>
      </c>
      <c r="W85" s="224">
        <f>IFERROR(INDEX(Data!W$9:W$1273,MATCH($M85,Data!$K$9:$K$1273,0)),"")</f>
        <v>0.96023775363804065</v>
      </c>
      <c r="X85" s="224">
        <f>IFERROR(INDEX(Data!AJ$9:AJ$1273,MATCH($M85,Data!$K$9:$K$1273,0)),"")</f>
        <v>0.12521150592216582</v>
      </c>
      <c r="Y85" s="224">
        <f>IFERROR(INDEX(Data!AK$9:AK$1273,MATCH($M85,Data!$K$9:$K$1273,0)),"")</f>
        <v>0.15233859969149915</v>
      </c>
      <c r="Z85" s="224">
        <f>IFERROR(INDEX(Data!AL$9:AL$1273,MATCH($M85,Data!$K$9:$K$1273,0)),"")</f>
        <v>0.32966546512363248</v>
      </c>
      <c r="AA85" s="224">
        <f>IFERROR(INDEX(Data!AM$9:AM$1273,MATCH($M85,Data!$K$9:$K$1273,0)),"")</f>
        <v>9.7593074235581515E-2</v>
      </c>
      <c r="AB85" s="224">
        <f>IFERROR(INDEX(Data!AN$9:AN$1273,MATCH($M85,Data!$K$9:$K$1273,0)),"")</f>
        <v>0.1386029411764706</v>
      </c>
      <c r="AC85" s="225">
        <f>IFERROR(INDEX(Data!BY$9:BY$1273,MATCH($M85,Data!$K$9:$K$1273,0)),"")</f>
        <v>95</v>
      </c>
      <c r="AD85" s="225">
        <f>IFERROR(INDEX(Data!BZ$9:BZ$1273,MATCH($M85,Data!$K$9:$K$1273,0)),"")</f>
        <v>134</v>
      </c>
      <c r="AE85" s="225">
        <f>IFERROR(INDEX(Data!CA$9:CA$1273,MATCH($M85,Data!$K$9:$K$1273,0)),"")</f>
        <v>133</v>
      </c>
      <c r="AF85" s="225">
        <f>IFERROR(INDEX(Data!CB$9:CB$1273,MATCH($M85,Data!$K$9:$K$1273,0)),"")</f>
        <v>101</v>
      </c>
      <c r="AG85" s="225">
        <f>IFERROR(INDEX(Data!CC$9:CC$1273,MATCH($M85,Data!$K$9:$K$1273,0)),"")</f>
        <v>125</v>
      </c>
      <c r="AH85" s="225">
        <f>IFERROR(INDEX(Data!CD$9:CD$1273,MATCH($M85,Data!$K$9:$K$1273,0)),"")</f>
        <v>14.9</v>
      </c>
      <c r="AI85" s="225">
        <f>IFERROR(INDEX(Data!CE$9:CE$1273,MATCH($M85,Data!$K$9:$K$1273,0)),"")</f>
        <v>1597</v>
      </c>
      <c r="AJ85" s="225">
        <f>IFERROR(INDEX(Data!CF$9:CF$1273,MATCH($M85,Data!$K$9:$K$1273,0)),"")</f>
        <v>1.1399999999999999</v>
      </c>
      <c r="AK85" s="225">
        <f>IFERROR(INDEX(Data!CG$9:CG$1273,MATCH($M85,Data!$K$9:$K$1273,0)),"")</f>
        <v>1828</v>
      </c>
      <c r="AL85" s="225">
        <f>IFERROR(INDEX(Data!CH$9:CH$1273,MATCH($M85,Data!$K$9:$K$1273,0)),"")</f>
        <v>143</v>
      </c>
      <c r="AM85" s="225">
        <f>IFERROR(INDEX(Data!CI$9:CI$1273,MATCH($M85,Data!$K$9:$K$1273,0)),"")</f>
        <v>72</v>
      </c>
      <c r="AN85" s="225">
        <f>IFERROR(INDEX(Data!CJ$9:CJ$1273,MATCH($M85,Data!$K$9:$K$1273,0)),"")</f>
        <v>53</v>
      </c>
      <c r="AO85" s="225">
        <f>IFERROR(INDEX(Data!CK$9:CK$1273,MATCH($M85,Data!$K$9:$K$1273,0)),"")</f>
        <v>343</v>
      </c>
      <c r="AP85" s="225">
        <f>IFERROR(INDEX(Data!CL$9:CL$1273,MATCH($M85,Data!$K$9:$K$1273,0)),"")</f>
        <v>50</v>
      </c>
      <c r="AQ85" s="225">
        <f>IFERROR(INDEX(Data!CM$9:CM$1273,MATCH($M85,Data!$K$9:$K$1273,0)),"")</f>
        <v>348</v>
      </c>
      <c r="AR85" s="225">
        <f>IFERROR(INDEX(Data!CN$9:CN$1273,MATCH($M85,Data!$K$9:$K$1273,0)),"")</f>
        <v>0.94099999999999995</v>
      </c>
      <c r="AS85" s="225">
        <f>IFERROR(INDEX(Data!CO$9:CO$1273,MATCH($M85,Data!$K$9:$K$1273,0)),"")</f>
        <v>147</v>
      </c>
      <c r="AT85" s="225">
        <f>IFERROR(INDEX(Data!CP$9:CP$1273,MATCH($M85,Data!$K$9:$K$1273,0)),"")</f>
        <v>145</v>
      </c>
      <c r="AU85" s="225">
        <f>IFERROR(INDEX(Data!CQ$9:CQ$1273,MATCH($M85,Data!$K$9:$K$1273,0)),"")</f>
        <v>196</v>
      </c>
      <c r="AV85" s="225">
        <f>IFERROR(INDEX(Data!CR$9:CR$1273,MATCH($M85,Data!$K$9:$K$1273,0)),"")</f>
        <v>4</v>
      </c>
      <c r="AW85" s="225">
        <f>IFERROR(INDEX(Data!CS$9:CS$1273,MATCH($M85,Data!$K$9:$K$1273,0)),"")</f>
        <v>3.7</v>
      </c>
      <c r="AX85" s="225" t="str">
        <f>IFERROR(INDEX(Data!CT$9:CT$1273,MATCH($M85,Data!$K$9:$K$1273,0)),"")</f>
        <v xml:space="preserve"> Freeski</v>
      </c>
      <c r="AY85" s="225" t="str">
        <f>IFERROR(INDEX(Data!CU$9:CU$1273,MATCH($M85,Data!$K$9:$K$1273,0)),"")</f>
        <v xml:space="preserve"> Powder</v>
      </c>
      <c r="AZ85" s="225" t="str">
        <f>IFERROR(INDEX(Data!CV$9:CV$1273,MATCH($M85,Data!$K$9:$K$1273,0)),"")</f>
        <v xml:space="preserve"> Touring</v>
      </c>
      <c r="BA85" s="225" t="str">
        <f>IFERROR(INDEX(Data!CX$9:CX$1273,MATCH($M85,Data!$K$9:$K$1273,0)),"")</f>
        <v/>
      </c>
      <c r="BB85" s="225" t="str">
        <f>IFERROR(INDEX(Data!CY$9:CY$1273,MATCH($M85,Data!$K$9:$K$1273,0)),"")</f>
        <v/>
      </c>
      <c r="BC85" s="225" t="str">
        <f>IFERROR(INDEX(Data!CZ$9:CZ$1273,MATCH($M85,Data!$K$9:$K$1273,0)),"")</f>
        <v/>
      </c>
      <c r="BD85" s="225" t="str">
        <f>IFERROR(INDEX(Data!DA$9:DA$1273,MATCH($M85,Data!$K$9:$K$1273,0)),"")</f>
        <v/>
      </c>
      <c r="BE85" s="225" t="str">
        <f>IFERROR(INDEX(Data!DB$9:DB$1273,MATCH($M85,Data!$K$9:$K$1273,0)),"")</f>
        <v/>
      </c>
      <c r="BF85" s="225" t="str">
        <f>IFERROR(INDEX(Data!DC$9:DC$1273,MATCH($M85,Data!$K$9:$K$1273,0)),"")</f>
        <v/>
      </c>
      <c r="BG85" s="225" t="str">
        <f>IFERROR(INDEX(Data!DD$9:DD$1273,MATCH($M85,Data!$K$9:$K$1273,0)),"")</f>
        <v/>
      </c>
      <c r="BH85" s="225" t="str">
        <f>IFERROR(INDEX(Data!DE$9:DE$1273,MATCH($M85,Data!$K$9:$K$1273,0)),"")</f>
        <v/>
      </c>
      <c r="BI85" s="225" t="str">
        <f>IFERROR(INDEX(Data!DF$9:DF$1273,MATCH($M85,Data!$K$9:$K$1273,0)),"")</f>
        <v/>
      </c>
      <c r="BJ85" s="225" t="str">
        <f>IFERROR(INDEX(Data!DG$9:DG$1273,MATCH($M85,Data!$K$9:$K$1273,0)),"")</f>
        <v/>
      </c>
      <c r="BK85" s="225" t="str">
        <f>IFERROR(INDEX(Data!DH$9:DH$1273,MATCH($M85,Data!$K$9:$K$1273,0)),"")</f>
        <v/>
      </c>
      <c r="BL85" s="225" t="str">
        <f>IFERROR(INDEX(Data!DI$9:DI$1273,MATCH($M85,Data!$K$9:$K$1273,0)),"")</f>
        <v/>
      </c>
      <c r="BM85" s="225" t="str">
        <f>IFERROR(INDEX(Data!DJ$9:DJ$1273,MATCH($M85,Data!$K$9:$K$1273,0)),"")</f>
        <v/>
      </c>
      <c r="BN85" s="225" t="str">
        <f>IFERROR(INDEX(Data!DK$9:DK$1273,MATCH($M85,Data!$K$9:$K$1273,0)),"")</f>
        <v/>
      </c>
      <c r="BO85" s="225" t="str">
        <f>IFERROR(INDEX(Data!DL$9:DL$1273,MATCH($M85,Data!$K$9:$K$1273,0)),"")</f>
        <v/>
      </c>
      <c r="BP85" s="243" t="str">
        <f t="shared" si="5"/>
        <v/>
      </c>
      <c r="BQ85" s="225" t="str">
        <f t="shared" si="6"/>
        <v xml:space="preserve"> </v>
      </c>
      <c r="BR85" s="225" t="str">
        <f t="shared" si="7"/>
        <v xml:space="preserve"> K2Reckoner 102163 Unisex</v>
      </c>
      <c r="BS85" s="225" t="str">
        <f>IFERROR(INDEX(Data!$DO$9:$DO$1273,MATCH('Your recommendation'!BR85,Data!$DN$9:$DN$1273,0)),"")</f>
        <v>https://images.evo.com/imgp/250/201066/825041/k2-reckoner-102-skis-2022-.jpg</v>
      </c>
    </row>
    <row r="86" spans="2:71" ht="15.6" customHeight="1">
      <c r="B86" s="222">
        <f t="shared" si="8"/>
        <v>12</v>
      </c>
      <c r="C86" s="223">
        <v>0.81979099997070581</v>
      </c>
      <c r="D86" s="225" t="str">
        <f>IFERROR(INDEX(Data!BR$9:BR$1273,MATCH($M86,Data!$K$9:$K$1273,0)),"")</f>
        <v>21/22</v>
      </c>
      <c r="E86" s="225" t="str">
        <f>IFERROR(INDEX(Data!BS$9:BS$1273,MATCH($M86,Data!$K$9:$K$1273,0)),"")</f>
        <v xml:space="preserve"> Blizzard</v>
      </c>
      <c r="F86" s="225" t="str">
        <f>IFERROR(INDEX(Data!DM$9:DM$1273,MATCH($M86,Data!$K$9:$K$1273,0)),"")</f>
        <v>Rustler 10</v>
      </c>
      <c r="G86" s="225" t="str">
        <f>IFERROR(INDEX(Data!BV$9:BV$1273,MATCH($M86,Data!$K$9:$K$1273,0)),"")</f>
        <v xml:space="preserve"> Unisex</v>
      </c>
      <c r="H86" s="225">
        <f>IFERROR(INDEX(Data!BW$9:BW$1273,MATCH($M86,Data!$K$9:$K$1273,0)),"")</f>
        <v>164</v>
      </c>
      <c r="I86" s="225">
        <f>IFERROR(INDEX(Data!BX$9:BX$1273,MATCH($M86,Data!$K$9:$K$1273,0)),"")</f>
        <v>162.4</v>
      </c>
      <c r="J86" s="225">
        <f>IFERROR(INDEX(Data!CB$9:CB$1273,MATCH($M86,Data!$K$9:$K$1273,0)),"")</f>
        <v>101</v>
      </c>
      <c r="K86" s="241">
        <f t="shared" si="3"/>
        <v>399.99</v>
      </c>
      <c r="L86" s="242" t="str">
        <f t="shared" si="4"/>
        <v>SidelineSwap</v>
      </c>
      <c r="M86" s="224">
        <v>0.81979099997070581</v>
      </c>
      <c r="N86" s="224">
        <f>IFERROR(INDEX(Data!L$9:L$1273,MATCH($M86,Data!$K$9:$K$1273,0)),"")</f>
        <v>0.91272926528018727</v>
      </c>
      <c r="O86" s="224">
        <f>IFERROR(INDEX(Data!M$9:M$1273,MATCH($M86,Data!$K$9:$K$1273,0)),"")</f>
        <v>0.72685273466122413</v>
      </c>
      <c r="P86" s="224">
        <f>IFERROR(INDEX(Data!N$9:N$1273,MATCH($M86,Data!$K$9:$K$1273,0)),"")</f>
        <v>0.6183512684243937</v>
      </c>
      <c r="Q86" s="224">
        <f>IFERROR(INDEX(Data!O$9:O$1273,MATCH($M86,Data!$K$9:$K$1273,0)),"")</f>
        <v>0.62892634484197918</v>
      </c>
      <c r="R86" s="224">
        <f>IFERROR(INDEX(Data!P$9:P$1273,MATCH($M86,Data!$K$9:$K$1273,0)),"")</f>
        <v>0.93328059071729963</v>
      </c>
      <c r="S86" s="224">
        <f>IFERROR(INDEX(Data!S$9:S$1273,MATCH($M86,Data!$K$9:$K$1273,0)),"")</f>
        <v>0.41741526091183956</v>
      </c>
      <c r="T86" s="224">
        <f>IFERROR(INDEX(Data!T$9:T$1273,MATCH($M86,Data!$K$9:$K$1273,0)),"")</f>
        <v>0.47684995680532727</v>
      </c>
      <c r="U86" s="224">
        <f>IFERROR(INDEX(Data!U$9:U$1273,MATCH($M86,Data!$K$9:$K$1273,0)),"")</f>
        <v>0.51548791708571284</v>
      </c>
      <c r="V86" s="224">
        <f>IFERROR(INDEX(Data!V$9:V$1273,MATCH($M86,Data!$K$9:$K$1273,0)),"")</f>
        <v>0.64202539392187419</v>
      </c>
      <c r="W86" s="224">
        <f>IFERROR(INDEX(Data!W$9:W$1273,MATCH($M86,Data!$K$9:$K$1273,0)),"")</f>
        <v>0.85635353343465048</v>
      </c>
      <c r="X86" s="224">
        <f>IFERROR(INDEX(Data!AJ$9:AJ$1273,MATCH($M86,Data!$K$9:$K$1273,0)),"")</f>
        <v>0.16694867456288776</v>
      </c>
      <c r="Y86" s="224">
        <f>IFERROR(INDEX(Data!AK$9:AK$1273,MATCH($M86,Data!$K$9:$K$1273,0)),"")</f>
        <v>0.21198863931932274</v>
      </c>
      <c r="Z86" s="224">
        <f>IFERROR(INDEX(Data!AL$9:AL$1273,MATCH($M86,Data!$K$9:$K$1273,0)),"")</f>
        <v>0.48333649528868644</v>
      </c>
      <c r="AA86" s="224">
        <f>IFERROR(INDEX(Data!AM$9:AM$1273,MATCH($M86,Data!$K$9:$K$1273,0)),"")</f>
        <v>7.6311365939025516E-2</v>
      </c>
      <c r="AB86" s="224">
        <f>IFERROR(INDEX(Data!AN$9:AN$1273,MATCH($M86,Data!$K$9:$K$1273,0)),"")</f>
        <v>0.18750000000000003</v>
      </c>
      <c r="AC86" s="225">
        <f>IFERROR(INDEX(Data!BY$9:BY$1273,MATCH($M86,Data!$K$9:$K$1273,0)),"")</f>
        <v>98</v>
      </c>
      <c r="AD86" s="225">
        <f>IFERROR(INDEX(Data!BZ$9:BZ$1273,MATCH($M86,Data!$K$9:$K$1273,0)),"")</f>
        <v>133</v>
      </c>
      <c r="AE86" s="225">
        <f>IFERROR(INDEX(Data!CA$9:CA$1273,MATCH($M86,Data!$K$9:$K$1273,0)),"")</f>
        <v>131</v>
      </c>
      <c r="AF86" s="225">
        <f>IFERROR(INDEX(Data!CB$9:CB$1273,MATCH($M86,Data!$K$9:$K$1273,0)),"")</f>
        <v>101</v>
      </c>
      <c r="AG86" s="225">
        <f>IFERROR(INDEX(Data!CC$9:CC$1273,MATCH($M86,Data!$K$9:$K$1273,0)),"")</f>
        <v>121</v>
      </c>
      <c r="AH86" s="225">
        <f>IFERROR(INDEX(Data!CD$9:CD$1273,MATCH($M86,Data!$K$9:$K$1273,0)),"")</f>
        <v>15.4</v>
      </c>
      <c r="AI86" s="225">
        <f>IFERROR(INDEX(Data!CE$9:CE$1273,MATCH($M86,Data!$K$9:$K$1273,0)),"")</f>
        <v>1840</v>
      </c>
      <c r="AJ86" s="225">
        <f>IFERROR(INDEX(Data!CF$9:CF$1273,MATCH($M86,Data!$K$9:$K$1273,0)),"")</f>
        <v>0.99</v>
      </c>
      <c r="AK86" s="225">
        <f>IFERROR(INDEX(Data!CG$9:CG$1273,MATCH($M86,Data!$K$9:$K$1273,0)),"")</f>
        <v>1813</v>
      </c>
      <c r="AL86" s="225">
        <f>IFERROR(INDEX(Data!CH$9:CH$1273,MATCH($M86,Data!$K$9:$K$1273,0)),"")</f>
        <v>157</v>
      </c>
      <c r="AM86" s="225">
        <f>IFERROR(INDEX(Data!CI$9:CI$1273,MATCH($M86,Data!$K$9:$K$1273,0)),"")</f>
        <v>84</v>
      </c>
      <c r="AN86" s="225">
        <f>IFERROR(INDEX(Data!CJ$9:CJ$1273,MATCH($M86,Data!$K$9:$K$1273,0)),"")</f>
        <v>66</v>
      </c>
      <c r="AO86" s="225">
        <f>IFERROR(INDEX(Data!CK$9:CK$1273,MATCH($M86,Data!$K$9:$K$1273,0)),"")</f>
        <v>361</v>
      </c>
      <c r="AP86" s="225">
        <f>IFERROR(INDEX(Data!CL$9:CL$1273,MATCH($M86,Data!$K$9:$K$1273,0)),"")</f>
        <v>33</v>
      </c>
      <c r="AQ86" s="225">
        <f>IFERROR(INDEX(Data!CM$9:CM$1273,MATCH($M86,Data!$K$9:$K$1273,0)),"")</f>
        <v>279</v>
      </c>
      <c r="AR86" s="225">
        <f>IFERROR(INDEX(Data!CN$9:CN$1273,MATCH($M86,Data!$K$9:$K$1273,0)),"")</f>
        <v>0.503</v>
      </c>
      <c r="AS86" s="225">
        <f>IFERROR(INDEX(Data!CO$9:CO$1273,MATCH($M86,Data!$K$9:$K$1273,0)),"")</f>
        <v>161</v>
      </c>
      <c r="AT86" s="225">
        <f>IFERROR(INDEX(Data!CP$9:CP$1273,MATCH($M86,Data!$K$9:$K$1273,0)),"")</f>
        <v>136</v>
      </c>
      <c r="AU86" s="225">
        <f>IFERROR(INDEX(Data!CQ$9:CQ$1273,MATCH($M86,Data!$K$9:$K$1273,0)),"")</f>
        <v>200</v>
      </c>
      <c r="AV86" s="225">
        <f>IFERROR(INDEX(Data!CR$9:CR$1273,MATCH($M86,Data!$K$9:$K$1273,0)),"")</f>
        <v>4</v>
      </c>
      <c r="AW86" s="225">
        <f>IFERROR(INDEX(Data!CS$9:CS$1273,MATCH($M86,Data!$K$9:$K$1273,0)),"")</f>
        <v>7</v>
      </c>
      <c r="AX86" s="225" t="str">
        <f>IFERROR(INDEX(Data!CT$9:CT$1273,MATCH($M86,Data!$K$9:$K$1273,0)),"")</f>
        <v xml:space="preserve"> Resort Freeride</v>
      </c>
      <c r="AY86" s="225" t="str">
        <f>IFERROR(INDEX(Data!CU$9:CU$1273,MATCH($M86,Data!$K$9:$K$1273,0)),"")</f>
        <v xml:space="preserve"> Powder</v>
      </c>
      <c r="AZ86" s="225">
        <f>IFERROR(INDEX(Data!CV$9:CV$1273,MATCH($M86,Data!$K$9:$K$1273,0)),"")</f>
        <v>0</v>
      </c>
      <c r="BA86" s="225" t="str">
        <f>IFERROR(INDEX(Data!CX$9:CX$1273,MATCH($M86,Data!$K$9:$K$1273,0)),"")</f>
        <v xml:space="preserve"> 2018 Blizzard Rustler 10 Demo Ski with Bindings Size 164 (Option 211703)</v>
      </c>
      <c r="BB86" s="225" t="str">
        <f>IFERROR(INDEX(Data!CY$9:CY$1273,MATCH($M86,Data!$K$9:$K$1273,0)),"")</f>
        <v>SidelineSwap</v>
      </c>
      <c r="BC86" s="225">
        <f>IFERROR(INDEX(Data!CZ$9:CZ$1273,MATCH($M86,Data!$K$9:$K$1273,0)),"")</f>
        <v>399.99</v>
      </c>
      <c r="BD86" s="225" t="str">
        <f>IFERROR(INDEX(Data!DA$9:DA$1273,MATCH($M86,Data!$K$9:$K$1273,0)),"")</f>
        <v>https://tinyurl.com/y9slzfzy</v>
      </c>
      <c r="BE86" s="225" t="str">
        <f>IFERROR(INDEX(Data!DB$9:DB$1273,MATCH($M86,Data!$K$9:$K$1273,0)),"")</f>
        <v>Blizzard Men's Rustler 10 Ski (Ski Only) Blue</v>
      </c>
      <c r="BF86" s="225" t="str">
        <f>IFERROR(INDEX(Data!DC$9:DC$1273,MATCH($M86,Data!$K$9:$K$1273,0)),"")</f>
        <v>Cotswold Outdoor US</v>
      </c>
      <c r="BG86" s="225">
        <f>IFERROR(INDEX(Data!DD$9:DD$1273,MATCH($M86,Data!$K$9:$K$1273,0)),"")</f>
        <v>462</v>
      </c>
      <c r="BH86" s="225" t="str">
        <f>IFERROR(INDEX(Data!DE$9:DE$1273,MATCH($M86,Data!$K$9:$K$1273,0)),"")</f>
        <v>https://tinyurl.com/yb47qws2</v>
      </c>
      <c r="BI86" s="225" t="str">
        <f>IFERROR(INDEX(Data!DF$9:DF$1273,MATCH($M86,Data!$K$9:$K$1273,0)),"")</f>
        <v>Blizzard Rustler 10 Skis - 2022 - 164cm</v>
      </c>
      <c r="BJ86" s="225" t="str">
        <f>IFERROR(INDEX(Data!DG$9:DG$1273,MATCH($M86,Data!$K$9:$K$1273,0)),"")</f>
        <v>ColoradoSkiShop.com</v>
      </c>
      <c r="BK86" s="225">
        <f>IFERROR(INDEX(Data!DH$9:DH$1273,MATCH($M86,Data!$K$9:$K$1273,0)),"")</f>
        <v>559.95000000000005</v>
      </c>
      <c r="BL86" s="225" t="str">
        <f>IFERROR(INDEX(Data!DI$9:DI$1273,MATCH($M86,Data!$K$9:$K$1273,0)),"")</f>
        <v>https://tinyurl.com/y8cpqfvp</v>
      </c>
      <c r="BM86" s="225" t="str">
        <f>IFERROR(INDEX(Data!DJ$9:DJ$1273,MATCH($M86,Data!$K$9:$K$1273,0)),"")</f>
        <v>https://tinyurl.com/y9slzfzy</v>
      </c>
      <c r="BN86" s="225" t="str">
        <f>IFERROR(INDEX(Data!DK$9:DK$1273,MATCH($M86,Data!$K$9:$K$1273,0)),"")</f>
        <v>https://tinyurl.com/yb47qws2</v>
      </c>
      <c r="BO86" s="225" t="str">
        <f>IFERROR(INDEX(Data!DL$9:DL$1273,MATCH($M86,Data!$K$9:$K$1273,0)),"")</f>
        <v>https://tinyurl.com/y8cpqfvp</v>
      </c>
      <c r="BP86" s="243">
        <f t="shared" si="5"/>
        <v>559.95000000000005</v>
      </c>
      <c r="BQ86" s="225" t="b">
        <f t="shared" si="6"/>
        <v>1</v>
      </c>
      <c r="BR86" s="225" t="str">
        <f t="shared" si="7"/>
        <v xml:space="preserve"> BlizzardRustler 10164 Unisex</v>
      </c>
      <c r="BS86" s="225" t="str">
        <f>IFERROR(INDEX(Data!$DO$9:$DO$1273,MATCH('Your recommendation'!BR86,Data!$DN$9:$DN$1273,0)),"")</f>
        <v>https://images.evo.com/imgp/250/216620/902901/blizzard-rustler-10-skis-2023-.jpg</v>
      </c>
    </row>
    <row r="87" spans="2:71" ht="15.6" customHeight="1">
      <c r="B87" s="222" t="e">
        <f t="shared" si="8"/>
        <v>#N/A</v>
      </c>
      <c r="C87" s="223" t="e">
        <v>#N/A</v>
      </c>
      <c r="D87" s="225" t="str">
        <f>IFERROR(INDEX(Data!BR$9:BR$1273,MATCH($M87,Data!$K$9:$K$1273,0)),"")</f>
        <v/>
      </c>
      <c r="E87" s="225" t="str">
        <f>IFERROR(INDEX(Data!BS$9:BS$1273,MATCH($M87,Data!$K$9:$K$1273,0)),"")</f>
        <v/>
      </c>
      <c r="F87" s="225" t="str">
        <f>IFERROR(INDEX(Data!DM$9:DM$1273,MATCH($M87,Data!$K$9:$K$1273,0)),"")</f>
        <v/>
      </c>
      <c r="G87" s="225" t="str">
        <f>IFERROR(INDEX(Data!BV$9:BV$1273,MATCH($M87,Data!$K$9:$K$1273,0)),"")</f>
        <v/>
      </c>
      <c r="H87" s="225" t="str">
        <f>IFERROR(INDEX(Data!BW$9:BW$1273,MATCH($M87,Data!$K$9:$K$1273,0)),"")</f>
        <v/>
      </c>
      <c r="I87" s="225" t="str">
        <f>IFERROR(INDEX(Data!BX$9:BX$1273,MATCH($M87,Data!$K$9:$K$1273,0)),"")</f>
        <v/>
      </c>
      <c r="J87" s="225" t="str">
        <f>IFERROR(INDEX(Data!CB$9:CB$1273,MATCH($M87,Data!$K$9:$K$1273,0)),"")</f>
        <v/>
      </c>
      <c r="K87" s="241" t="str">
        <f t="shared" si="3"/>
        <v/>
      </c>
      <c r="L87" s="242" t="str">
        <f t="shared" si="4"/>
        <v/>
      </c>
      <c r="M87" s="224" t="e">
        <v>#N/A</v>
      </c>
      <c r="N87" s="224" t="str">
        <f>IFERROR(INDEX(Data!L$9:L$1273,MATCH($M87,Data!$K$9:$K$1273,0)),"")</f>
        <v/>
      </c>
      <c r="O87" s="224" t="str">
        <f>IFERROR(INDEX(Data!M$9:M$1273,MATCH($M87,Data!$K$9:$K$1273,0)),"")</f>
        <v/>
      </c>
      <c r="P87" s="224" t="str">
        <f>IFERROR(INDEX(Data!N$9:N$1273,MATCH($M87,Data!$K$9:$K$1273,0)),"")</f>
        <v/>
      </c>
      <c r="Q87" s="224" t="str">
        <f>IFERROR(INDEX(Data!O$9:O$1273,MATCH($M87,Data!$K$9:$K$1273,0)),"")</f>
        <v/>
      </c>
      <c r="R87" s="224" t="str">
        <f>IFERROR(INDEX(Data!P$9:P$1273,MATCH($M87,Data!$K$9:$K$1273,0)),"")</f>
        <v/>
      </c>
      <c r="S87" s="224" t="str">
        <f>IFERROR(INDEX(Data!S$9:S$1273,MATCH($M87,Data!$K$9:$K$1273,0)),"")</f>
        <v/>
      </c>
      <c r="T87" s="224" t="str">
        <f>IFERROR(INDEX(Data!T$9:T$1273,MATCH($M87,Data!$K$9:$K$1273,0)),"")</f>
        <v/>
      </c>
      <c r="U87" s="224" t="str">
        <f>IFERROR(INDEX(Data!U$9:U$1273,MATCH($M87,Data!$K$9:$K$1273,0)),"")</f>
        <v/>
      </c>
      <c r="V87" s="224" t="str">
        <f>IFERROR(INDEX(Data!V$9:V$1273,MATCH($M87,Data!$K$9:$K$1273,0)),"")</f>
        <v/>
      </c>
      <c r="W87" s="224" t="str">
        <f>IFERROR(INDEX(Data!W$9:W$1273,MATCH($M87,Data!$K$9:$K$1273,0)),"")</f>
        <v/>
      </c>
      <c r="X87" s="224" t="str">
        <f>IFERROR(INDEX(Data!AJ$9:AJ$1273,MATCH($M87,Data!$K$9:$K$1273,0)),"")</f>
        <v/>
      </c>
      <c r="Y87" s="224" t="str">
        <f>IFERROR(INDEX(Data!AK$9:AK$1273,MATCH($M87,Data!$K$9:$K$1273,0)),"")</f>
        <v/>
      </c>
      <c r="Z87" s="224" t="str">
        <f>IFERROR(INDEX(Data!AL$9:AL$1273,MATCH($M87,Data!$K$9:$K$1273,0)),"")</f>
        <v/>
      </c>
      <c r="AA87" s="224" t="str">
        <f>IFERROR(INDEX(Data!AM$9:AM$1273,MATCH($M87,Data!$K$9:$K$1273,0)),"")</f>
        <v/>
      </c>
      <c r="AB87" s="224" t="str">
        <f>IFERROR(INDEX(Data!AN$9:AN$1273,MATCH($M87,Data!$K$9:$K$1273,0)),"")</f>
        <v/>
      </c>
      <c r="AC87" s="225" t="str">
        <f>IFERROR(INDEX(Data!BY$9:BY$1273,MATCH($M87,Data!$K$9:$K$1273,0)),"")</f>
        <v/>
      </c>
      <c r="AD87" s="225" t="str">
        <f>IFERROR(INDEX(Data!BZ$9:BZ$1273,MATCH($M87,Data!$K$9:$K$1273,0)),"")</f>
        <v/>
      </c>
      <c r="AE87" s="225" t="str">
        <f>IFERROR(INDEX(Data!CA$9:CA$1273,MATCH($M87,Data!$K$9:$K$1273,0)),"")</f>
        <v/>
      </c>
      <c r="AF87" s="225" t="str">
        <f>IFERROR(INDEX(Data!CB$9:CB$1273,MATCH($M87,Data!$K$9:$K$1273,0)),"")</f>
        <v/>
      </c>
      <c r="AG87" s="225" t="str">
        <f>IFERROR(INDEX(Data!CC$9:CC$1273,MATCH($M87,Data!$K$9:$K$1273,0)),"")</f>
        <v/>
      </c>
      <c r="AH87" s="225" t="str">
        <f>IFERROR(INDEX(Data!CD$9:CD$1273,MATCH($M87,Data!$K$9:$K$1273,0)),"")</f>
        <v/>
      </c>
      <c r="AI87" s="225" t="str">
        <f>IFERROR(INDEX(Data!CE$9:CE$1273,MATCH($M87,Data!$K$9:$K$1273,0)),"")</f>
        <v/>
      </c>
      <c r="AJ87" s="225" t="str">
        <f>IFERROR(INDEX(Data!CF$9:CF$1273,MATCH($M87,Data!$K$9:$K$1273,0)),"")</f>
        <v/>
      </c>
      <c r="AK87" s="225" t="str">
        <f>IFERROR(INDEX(Data!CG$9:CG$1273,MATCH($M87,Data!$K$9:$K$1273,0)),"")</f>
        <v/>
      </c>
      <c r="AL87" s="225" t="str">
        <f>IFERROR(INDEX(Data!CH$9:CH$1273,MATCH($M87,Data!$K$9:$K$1273,0)),"")</f>
        <v/>
      </c>
      <c r="AM87" s="225" t="str">
        <f>IFERROR(INDEX(Data!CI$9:CI$1273,MATCH($M87,Data!$K$9:$K$1273,0)),"")</f>
        <v/>
      </c>
      <c r="AN87" s="225" t="str">
        <f>IFERROR(INDEX(Data!CJ$9:CJ$1273,MATCH($M87,Data!$K$9:$K$1273,0)),"")</f>
        <v/>
      </c>
      <c r="AO87" s="225" t="str">
        <f>IFERROR(INDEX(Data!CK$9:CK$1273,MATCH($M87,Data!$K$9:$K$1273,0)),"")</f>
        <v/>
      </c>
      <c r="AP87" s="225" t="str">
        <f>IFERROR(INDEX(Data!CL$9:CL$1273,MATCH($M87,Data!$K$9:$K$1273,0)),"")</f>
        <v/>
      </c>
      <c r="AQ87" s="225" t="str">
        <f>IFERROR(INDEX(Data!CM$9:CM$1273,MATCH($M87,Data!$K$9:$K$1273,0)),"")</f>
        <v/>
      </c>
      <c r="AR87" s="225" t="str">
        <f>IFERROR(INDEX(Data!CN$9:CN$1273,MATCH($M87,Data!$K$9:$K$1273,0)),"")</f>
        <v/>
      </c>
      <c r="AS87" s="225" t="str">
        <f>IFERROR(INDEX(Data!CO$9:CO$1273,MATCH($M87,Data!$K$9:$K$1273,0)),"")</f>
        <v/>
      </c>
      <c r="AT87" s="225" t="str">
        <f>IFERROR(INDEX(Data!CP$9:CP$1273,MATCH($M87,Data!$K$9:$K$1273,0)),"")</f>
        <v/>
      </c>
      <c r="AU87" s="225" t="str">
        <f>IFERROR(INDEX(Data!CQ$9:CQ$1273,MATCH($M87,Data!$K$9:$K$1273,0)),"")</f>
        <v/>
      </c>
      <c r="AV87" s="225" t="str">
        <f>IFERROR(INDEX(Data!CR$9:CR$1273,MATCH($M87,Data!$K$9:$K$1273,0)),"")</f>
        <v/>
      </c>
      <c r="AW87" s="225" t="str">
        <f>IFERROR(INDEX(Data!CS$9:CS$1273,MATCH($M87,Data!$K$9:$K$1273,0)),"")</f>
        <v/>
      </c>
      <c r="AX87" s="225" t="str">
        <f>IFERROR(INDEX(Data!CT$9:CT$1273,MATCH($M87,Data!$K$9:$K$1273,0)),"")</f>
        <v/>
      </c>
      <c r="AY87" s="225" t="str">
        <f>IFERROR(INDEX(Data!CU$9:CU$1273,MATCH($M87,Data!$K$9:$K$1273,0)),"")</f>
        <v/>
      </c>
      <c r="AZ87" s="225" t="str">
        <f>IFERROR(INDEX(Data!CV$9:CV$1273,MATCH($M87,Data!$K$9:$K$1273,0)),"")</f>
        <v/>
      </c>
      <c r="BA87" s="225" t="str">
        <f>IFERROR(INDEX(Data!CX$9:CX$1273,MATCH($M87,Data!$K$9:$K$1273,0)),"")</f>
        <v/>
      </c>
      <c r="BB87" s="225" t="str">
        <f>IFERROR(INDEX(Data!CY$9:CY$1273,MATCH($M87,Data!$K$9:$K$1273,0)),"")</f>
        <v/>
      </c>
      <c r="BC87" s="225" t="str">
        <f>IFERROR(INDEX(Data!CZ$9:CZ$1273,MATCH($M87,Data!$K$9:$K$1273,0)),"")</f>
        <v/>
      </c>
      <c r="BD87" s="225" t="str">
        <f>IFERROR(INDEX(Data!DA$9:DA$1273,MATCH($M87,Data!$K$9:$K$1273,0)),"")</f>
        <v/>
      </c>
      <c r="BE87" s="225" t="str">
        <f>IFERROR(INDEX(Data!DB$9:DB$1273,MATCH($M87,Data!$K$9:$K$1273,0)),"")</f>
        <v/>
      </c>
      <c r="BF87" s="225" t="str">
        <f>IFERROR(INDEX(Data!DC$9:DC$1273,MATCH($M87,Data!$K$9:$K$1273,0)),"")</f>
        <v/>
      </c>
      <c r="BG87" s="225" t="str">
        <f>IFERROR(INDEX(Data!DD$9:DD$1273,MATCH($M87,Data!$K$9:$K$1273,0)),"")</f>
        <v/>
      </c>
      <c r="BH87" s="225" t="str">
        <f>IFERROR(INDEX(Data!DE$9:DE$1273,MATCH($M87,Data!$K$9:$K$1273,0)),"")</f>
        <v/>
      </c>
      <c r="BI87" s="225" t="str">
        <f>IFERROR(INDEX(Data!DF$9:DF$1273,MATCH($M87,Data!$K$9:$K$1273,0)),"")</f>
        <v/>
      </c>
      <c r="BJ87" s="225" t="str">
        <f>IFERROR(INDEX(Data!DG$9:DG$1273,MATCH($M87,Data!$K$9:$K$1273,0)),"")</f>
        <v/>
      </c>
      <c r="BK87" s="225" t="str">
        <f>IFERROR(INDEX(Data!DH$9:DH$1273,MATCH($M87,Data!$K$9:$K$1273,0)),"")</f>
        <v/>
      </c>
      <c r="BL87" s="225" t="str">
        <f>IFERROR(INDEX(Data!DI$9:DI$1273,MATCH($M87,Data!$K$9:$K$1273,0)),"")</f>
        <v/>
      </c>
      <c r="BM87" s="225" t="str">
        <f>IFERROR(INDEX(Data!DJ$9:DJ$1273,MATCH($M87,Data!$K$9:$K$1273,0)),"")</f>
        <v/>
      </c>
      <c r="BN87" s="225" t="str">
        <f>IFERROR(INDEX(Data!DK$9:DK$1273,MATCH($M87,Data!$K$9:$K$1273,0)),"")</f>
        <v/>
      </c>
      <c r="BO87" s="225" t="str">
        <f>IFERROR(INDEX(Data!DL$9:DL$1273,MATCH($M87,Data!$K$9:$K$1273,0)),"")</f>
        <v/>
      </c>
      <c r="BP87" s="243" t="str">
        <f t="shared" si="5"/>
        <v/>
      </c>
      <c r="BQ87" s="225" t="str">
        <f t="shared" si="6"/>
        <v xml:space="preserve"> </v>
      </c>
      <c r="BR87" s="225" t="str">
        <f t="shared" si="7"/>
        <v/>
      </c>
      <c r="BS87" s="225" t="str">
        <f>IFERROR(INDEX(Data!$DO$9:$DO$1273,MATCH('Your recommendation'!BR87,Data!$DN$9:$DN$1273,0)),"")</f>
        <v/>
      </c>
    </row>
    <row r="88" spans="2:71" ht="15.6" customHeight="1">
      <c r="B88" s="222" t="e">
        <f t="shared" si="8"/>
        <v>#N/A</v>
      </c>
      <c r="C88" s="223" t="e">
        <v>#N/A</v>
      </c>
      <c r="D88" s="225" t="str">
        <f>IFERROR(INDEX(Data!BR$9:BR$1273,MATCH($M88,Data!$K$9:$K$1273,0)),"")</f>
        <v/>
      </c>
      <c r="E88" s="225" t="str">
        <f>IFERROR(INDEX(Data!BS$9:BS$1273,MATCH($M88,Data!$K$9:$K$1273,0)),"")</f>
        <v/>
      </c>
      <c r="F88" s="225" t="str">
        <f>IFERROR(INDEX(Data!DM$9:DM$1273,MATCH($M88,Data!$K$9:$K$1273,0)),"")</f>
        <v/>
      </c>
      <c r="G88" s="225" t="str">
        <f>IFERROR(INDEX(Data!BV$9:BV$1273,MATCH($M88,Data!$K$9:$K$1273,0)),"")</f>
        <v/>
      </c>
      <c r="H88" s="225" t="str">
        <f>IFERROR(INDEX(Data!BW$9:BW$1273,MATCH($M88,Data!$K$9:$K$1273,0)),"")</f>
        <v/>
      </c>
      <c r="I88" s="225" t="str">
        <f>IFERROR(INDEX(Data!BX$9:BX$1273,MATCH($M88,Data!$K$9:$K$1273,0)),"")</f>
        <v/>
      </c>
      <c r="J88" s="225" t="str">
        <f>IFERROR(INDEX(Data!CB$9:CB$1273,MATCH($M88,Data!$K$9:$K$1273,0)),"")</f>
        <v/>
      </c>
      <c r="K88" s="241" t="str">
        <f t="shared" si="3"/>
        <v/>
      </c>
      <c r="L88" s="242" t="str">
        <f t="shared" si="4"/>
        <v/>
      </c>
      <c r="M88" s="224" t="e">
        <v>#N/A</v>
      </c>
      <c r="N88" s="224" t="str">
        <f>IFERROR(INDEX(Data!L$9:L$1273,MATCH($M88,Data!$K$9:$K$1273,0)),"")</f>
        <v/>
      </c>
      <c r="O88" s="224" t="str">
        <f>IFERROR(INDEX(Data!M$9:M$1273,MATCH($M88,Data!$K$9:$K$1273,0)),"")</f>
        <v/>
      </c>
      <c r="P88" s="224" t="str">
        <f>IFERROR(INDEX(Data!N$9:N$1273,MATCH($M88,Data!$K$9:$K$1273,0)),"")</f>
        <v/>
      </c>
      <c r="Q88" s="224" t="str">
        <f>IFERROR(INDEX(Data!O$9:O$1273,MATCH($M88,Data!$K$9:$K$1273,0)),"")</f>
        <v/>
      </c>
      <c r="R88" s="224" t="str">
        <f>IFERROR(INDEX(Data!P$9:P$1273,MATCH($M88,Data!$K$9:$K$1273,0)),"")</f>
        <v/>
      </c>
      <c r="S88" s="224" t="str">
        <f>IFERROR(INDEX(Data!S$9:S$1273,MATCH($M88,Data!$K$9:$K$1273,0)),"")</f>
        <v/>
      </c>
      <c r="T88" s="224" t="str">
        <f>IFERROR(INDEX(Data!T$9:T$1273,MATCH($M88,Data!$K$9:$K$1273,0)),"")</f>
        <v/>
      </c>
      <c r="U88" s="224" t="str">
        <f>IFERROR(INDEX(Data!U$9:U$1273,MATCH($M88,Data!$K$9:$K$1273,0)),"")</f>
        <v/>
      </c>
      <c r="V88" s="224" t="str">
        <f>IFERROR(INDEX(Data!V$9:V$1273,MATCH($M88,Data!$K$9:$K$1273,0)),"")</f>
        <v/>
      </c>
      <c r="W88" s="224" t="str">
        <f>IFERROR(INDEX(Data!W$9:W$1273,MATCH($M88,Data!$K$9:$K$1273,0)),"")</f>
        <v/>
      </c>
      <c r="X88" s="224" t="str">
        <f>IFERROR(INDEX(Data!AJ$9:AJ$1273,MATCH($M88,Data!$K$9:$K$1273,0)),"")</f>
        <v/>
      </c>
      <c r="Y88" s="224" t="str">
        <f>IFERROR(INDEX(Data!AK$9:AK$1273,MATCH($M88,Data!$K$9:$K$1273,0)),"")</f>
        <v/>
      </c>
      <c r="Z88" s="224" t="str">
        <f>IFERROR(INDEX(Data!AL$9:AL$1273,MATCH($M88,Data!$K$9:$K$1273,0)),"")</f>
        <v/>
      </c>
      <c r="AA88" s="224" t="str">
        <f>IFERROR(INDEX(Data!AM$9:AM$1273,MATCH($M88,Data!$K$9:$K$1273,0)),"")</f>
        <v/>
      </c>
      <c r="AB88" s="224" t="str">
        <f>IFERROR(INDEX(Data!AN$9:AN$1273,MATCH($M88,Data!$K$9:$K$1273,0)),"")</f>
        <v/>
      </c>
      <c r="AC88" s="225" t="str">
        <f>IFERROR(INDEX(Data!BY$9:BY$1273,MATCH($M88,Data!$K$9:$K$1273,0)),"")</f>
        <v/>
      </c>
      <c r="AD88" s="225" t="str">
        <f>IFERROR(INDEX(Data!BZ$9:BZ$1273,MATCH($M88,Data!$K$9:$K$1273,0)),"")</f>
        <v/>
      </c>
      <c r="AE88" s="225" t="str">
        <f>IFERROR(INDEX(Data!CA$9:CA$1273,MATCH($M88,Data!$K$9:$K$1273,0)),"")</f>
        <v/>
      </c>
      <c r="AF88" s="225" t="str">
        <f>IFERROR(INDEX(Data!CB$9:CB$1273,MATCH($M88,Data!$K$9:$K$1273,0)),"")</f>
        <v/>
      </c>
      <c r="AG88" s="225" t="str">
        <f>IFERROR(INDEX(Data!CC$9:CC$1273,MATCH($M88,Data!$K$9:$K$1273,0)),"")</f>
        <v/>
      </c>
      <c r="AH88" s="225" t="str">
        <f>IFERROR(INDEX(Data!CD$9:CD$1273,MATCH($M88,Data!$K$9:$K$1273,0)),"")</f>
        <v/>
      </c>
      <c r="AI88" s="225" t="str">
        <f>IFERROR(INDEX(Data!CE$9:CE$1273,MATCH($M88,Data!$K$9:$K$1273,0)),"")</f>
        <v/>
      </c>
      <c r="AJ88" s="225" t="str">
        <f>IFERROR(INDEX(Data!CF$9:CF$1273,MATCH($M88,Data!$K$9:$K$1273,0)),"")</f>
        <v/>
      </c>
      <c r="AK88" s="225" t="str">
        <f>IFERROR(INDEX(Data!CG$9:CG$1273,MATCH($M88,Data!$K$9:$K$1273,0)),"")</f>
        <v/>
      </c>
      <c r="AL88" s="225" t="str">
        <f>IFERROR(INDEX(Data!CH$9:CH$1273,MATCH($M88,Data!$K$9:$K$1273,0)),"")</f>
        <v/>
      </c>
      <c r="AM88" s="225" t="str">
        <f>IFERROR(INDEX(Data!CI$9:CI$1273,MATCH($M88,Data!$K$9:$K$1273,0)),"")</f>
        <v/>
      </c>
      <c r="AN88" s="225" t="str">
        <f>IFERROR(INDEX(Data!CJ$9:CJ$1273,MATCH($M88,Data!$K$9:$K$1273,0)),"")</f>
        <v/>
      </c>
      <c r="AO88" s="225" t="str">
        <f>IFERROR(INDEX(Data!CK$9:CK$1273,MATCH($M88,Data!$K$9:$K$1273,0)),"")</f>
        <v/>
      </c>
      <c r="AP88" s="225" t="str">
        <f>IFERROR(INDEX(Data!CL$9:CL$1273,MATCH($M88,Data!$K$9:$K$1273,0)),"")</f>
        <v/>
      </c>
      <c r="AQ88" s="225" t="str">
        <f>IFERROR(INDEX(Data!CM$9:CM$1273,MATCH($M88,Data!$K$9:$K$1273,0)),"")</f>
        <v/>
      </c>
      <c r="AR88" s="225" t="str">
        <f>IFERROR(INDEX(Data!CN$9:CN$1273,MATCH($M88,Data!$K$9:$K$1273,0)),"")</f>
        <v/>
      </c>
      <c r="AS88" s="225" t="str">
        <f>IFERROR(INDEX(Data!CO$9:CO$1273,MATCH($M88,Data!$K$9:$K$1273,0)),"")</f>
        <v/>
      </c>
      <c r="AT88" s="225" t="str">
        <f>IFERROR(INDEX(Data!CP$9:CP$1273,MATCH($M88,Data!$K$9:$K$1273,0)),"")</f>
        <v/>
      </c>
      <c r="AU88" s="225" t="str">
        <f>IFERROR(INDEX(Data!CQ$9:CQ$1273,MATCH($M88,Data!$K$9:$K$1273,0)),"")</f>
        <v/>
      </c>
      <c r="AV88" s="225" t="str">
        <f>IFERROR(INDEX(Data!CR$9:CR$1273,MATCH($M88,Data!$K$9:$K$1273,0)),"")</f>
        <v/>
      </c>
      <c r="AW88" s="225" t="str">
        <f>IFERROR(INDEX(Data!CS$9:CS$1273,MATCH($M88,Data!$K$9:$K$1273,0)),"")</f>
        <v/>
      </c>
      <c r="AX88" s="225" t="str">
        <f>IFERROR(INDEX(Data!CT$9:CT$1273,MATCH($M88,Data!$K$9:$K$1273,0)),"")</f>
        <v/>
      </c>
      <c r="AY88" s="225" t="str">
        <f>IFERROR(INDEX(Data!CU$9:CU$1273,MATCH($M88,Data!$K$9:$K$1273,0)),"")</f>
        <v/>
      </c>
      <c r="AZ88" s="225" t="str">
        <f>IFERROR(INDEX(Data!CV$9:CV$1273,MATCH($M88,Data!$K$9:$K$1273,0)),"")</f>
        <v/>
      </c>
      <c r="BA88" s="225" t="str">
        <f>IFERROR(INDEX(Data!CX$9:CX$1273,MATCH($M88,Data!$K$9:$K$1273,0)),"")</f>
        <v/>
      </c>
      <c r="BB88" s="225" t="str">
        <f>IFERROR(INDEX(Data!CY$9:CY$1273,MATCH($M88,Data!$K$9:$K$1273,0)),"")</f>
        <v/>
      </c>
      <c r="BC88" s="225" t="str">
        <f>IFERROR(INDEX(Data!CZ$9:CZ$1273,MATCH($M88,Data!$K$9:$K$1273,0)),"")</f>
        <v/>
      </c>
      <c r="BD88" s="225" t="str">
        <f>IFERROR(INDEX(Data!DA$9:DA$1273,MATCH($M88,Data!$K$9:$K$1273,0)),"")</f>
        <v/>
      </c>
      <c r="BE88" s="225" t="str">
        <f>IFERROR(INDEX(Data!DB$9:DB$1273,MATCH($M88,Data!$K$9:$K$1273,0)),"")</f>
        <v/>
      </c>
      <c r="BF88" s="225" t="str">
        <f>IFERROR(INDEX(Data!DC$9:DC$1273,MATCH($M88,Data!$K$9:$K$1273,0)),"")</f>
        <v/>
      </c>
      <c r="BG88" s="225" t="str">
        <f>IFERROR(INDEX(Data!DD$9:DD$1273,MATCH($M88,Data!$K$9:$K$1273,0)),"")</f>
        <v/>
      </c>
      <c r="BH88" s="225" t="str">
        <f>IFERROR(INDEX(Data!DE$9:DE$1273,MATCH($M88,Data!$K$9:$K$1273,0)),"")</f>
        <v/>
      </c>
      <c r="BI88" s="225" t="str">
        <f>IFERROR(INDEX(Data!DF$9:DF$1273,MATCH($M88,Data!$K$9:$K$1273,0)),"")</f>
        <v/>
      </c>
      <c r="BJ88" s="225" t="str">
        <f>IFERROR(INDEX(Data!DG$9:DG$1273,MATCH($M88,Data!$K$9:$K$1273,0)),"")</f>
        <v/>
      </c>
      <c r="BK88" s="225" t="str">
        <f>IFERROR(INDEX(Data!DH$9:DH$1273,MATCH($M88,Data!$K$9:$K$1273,0)),"")</f>
        <v/>
      </c>
      <c r="BL88" s="225" t="str">
        <f>IFERROR(INDEX(Data!DI$9:DI$1273,MATCH($M88,Data!$K$9:$K$1273,0)),"")</f>
        <v/>
      </c>
      <c r="BM88" s="225" t="str">
        <f>IFERROR(INDEX(Data!DJ$9:DJ$1273,MATCH($M88,Data!$K$9:$K$1273,0)),"")</f>
        <v/>
      </c>
      <c r="BN88" s="225" t="str">
        <f>IFERROR(INDEX(Data!DK$9:DK$1273,MATCH($M88,Data!$K$9:$K$1273,0)),"")</f>
        <v/>
      </c>
      <c r="BO88" s="225" t="str">
        <f>IFERROR(INDEX(Data!DL$9:DL$1273,MATCH($M88,Data!$K$9:$K$1273,0)),"")</f>
        <v/>
      </c>
      <c r="BP88" s="243" t="str">
        <f t="shared" si="5"/>
        <v/>
      </c>
      <c r="BQ88" s="225" t="str">
        <f t="shared" si="6"/>
        <v xml:space="preserve"> </v>
      </c>
      <c r="BR88" s="225" t="str">
        <f t="shared" si="7"/>
        <v/>
      </c>
      <c r="BS88" s="225" t="str">
        <f>IFERROR(INDEX(Data!$DO$9:$DO$1273,MATCH('Your recommendation'!BR88,Data!$DN$9:$DN$1273,0)),"")</f>
        <v/>
      </c>
    </row>
    <row r="89" spans="2:71" ht="15.6" customHeight="1">
      <c r="B89" s="222" t="e">
        <f t="shared" si="8"/>
        <v>#N/A</v>
      </c>
      <c r="C89" s="223" t="e">
        <v>#N/A</v>
      </c>
      <c r="D89" s="225" t="str">
        <f>IFERROR(INDEX(Data!BR$9:BR$1273,MATCH($M89,Data!$K$9:$K$1273,0)),"")</f>
        <v/>
      </c>
      <c r="E89" s="225" t="str">
        <f>IFERROR(INDEX(Data!BS$9:BS$1273,MATCH($M89,Data!$K$9:$K$1273,0)),"")</f>
        <v/>
      </c>
      <c r="F89" s="225" t="str">
        <f>IFERROR(INDEX(Data!DM$9:DM$1273,MATCH($M89,Data!$K$9:$K$1273,0)),"")</f>
        <v/>
      </c>
      <c r="G89" s="225" t="str">
        <f>IFERROR(INDEX(Data!BV$9:BV$1273,MATCH($M89,Data!$K$9:$K$1273,0)),"")</f>
        <v/>
      </c>
      <c r="H89" s="225" t="str">
        <f>IFERROR(INDEX(Data!BW$9:BW$1273,MATCH($M89,Data!$K$9:$K$1273,0)),"")</f>
        <v/>
      </c>
      <c r="I89" s="225" t="str">
        <f>IFERROR(INDEX(Data!BX$9:BX$1273,MATCH($M89,Data!$K$9:$K$1273,0)),"")</f>
        <v/>
      </c>
      <c r="J89" s="225" t="str">
        <f>IFERROR(INDEX(Data!CB$9:CB$1273,MATCH($M89,Data!$K$9:$K$1273,0)),"")</f>
        <v/>
      </c>
      <c r="K89" s="241" t="str">
        <f t="shared" si="3"/>
        <v/>
      </c>
      <c r="L89" s="242" t="str">
        <f t="shared" si="4"/>
        <v/>
      </c>
      <c r="M89" s="224" t="e">
        <v>#N/A</v>
      </c>
      <c r="N89" s="224" t="str">
        <f>IFERROR(INDEX(Data!L$9:L$1273,MATCH($M89,Data!$K$9:$K$1273,0)),"")</f>
        <v/>
      </c>
      <c r="O89" s="224" t="str">
        <f>IFERROR(INDEX(Data!M$9:M$1273,MATCH($M89,Data!$K$9:$K$1273,0)),"")</f>
        <v/>
      </c>
      <c r="P89" s="224" t="str">
        <f>IFERROR(INDEX(Data!N$9:N$1273,MATCH($M89,Data!$K$9:$K$1273,0)),"")</f>
        <v/>
      </c>
      <c r="Q89" s="224" t="str">
        <f>IFERROR(INDEX(Data!O$9:O$1273,MATCH($M89,Data!$K$9:$K$1273,0)),"")</f>
        <v/>
      </c>
      <c r="R89" s="224" t="str">
        <f>IFERROR(INDEX(Data!P$9:P$1273,MATCH($M89,Data!$K$9:$K$1273,0)),"")</f>
        <v/>
      </c>
      <c r="S89" s="224" t="str">
        <f>IFERROR(INDEX(Data!S$9:S$1273,MATCH($M89,Data!$K$9:$K$1273,0)),"")</f>
        <v/>
      </c>
      <c r="T89" s="224" t="str">
        <f>IFERROR(INDEX(Data!T$9:T$1273,MATCH($M89,Data!$K$9:$K$1273,0)),"")</f>
        <v/>
      </c>
      <c r="U89" s="224" t="str">
        <f>IFERROR(INDEX(Data!U$9:U$1273,MATCH($M89,Data!$K$9:$K$1273,0)),"")</f>
        <v/>
      </c>
      <c r="V89" s="224" t="str">
        <f>IFERROR(INDEX(Data!V$9:V$1273,MATCH($M89,Data!$K$9:$K$1273,0)),"")</f>
        <v/>
      </c>
      <c r="W89" s="224" t="str">
        <f>IFERROR(INDEX(Data!W$9:W$1273,MATCH($M89,Data!$K$9:$K$1273,0)),"")</f>
        <v/>
      </c>
      <c r="X89" s="224" t="str">
        <f>IFERROR(INDEX(Data!AJ$9:AJ$1273,MATCH($M89,Data!$K$9:$K$1273,0)),"")</f>
        <v/>
      </c>
      <c r="Y89" s="224" t="str">
        <f>IFERROR(INDEX(Data!AK$9:AK$1273,MATCH($M89,Data!$K$9:$K$1273,0)),"")</f>
        <v/>
      </c>
      <c r="Z89" s="224" t="str">
        <f>IFERROR(INDEX(Data!AL$9:AL$1273,MATCH($M89,Data!$K$9:$K$1273,0)),"")</f>
        <v/>
      </c>
      <c r="AA89" s="224" t="str">
        <f>IFERROR(INDEX(Data!AM$9:AM$1273,MATCH($M89,Data!$K$9:$K$1273,0)),"")</f>
        <v/>
      </c>
      <c r="AB89" s="224" t="str">
        <f>IFERROR(INDEX(Data!AN$9:AN$1273,MATCH($M89,Data!$K$9:$K$1273,0)),"")</f>
        <v/>
      </c>
      <c r="AC89" s="225" t="str">
        <f>IFERROR(INDEX(Data!BY$9:BY$1273,MATCH($M89,Data!$K$9:$K$1273,0)),"")</f>
        <v/>
      </c>
      <c r="AD89" s="225" t="str">
        <f>IFERROR(INDEX(Data!BZ$9:BZ$1273,MATCH($M89,Data!$K$9:$K$1273,0)),"")</f>
        <v/>
      </c>
      <c r="AE89" s="225" t="str">
        <f>IFERROR(INDEX(Data!CA$9:CA$1273,MATCH($M89,Data!$K$9:$K$1273,0)),"")</f>
        <v/>
      </c>
      <c r="AF89" s="225" t="str">
        <f>IFERROR(INDEX(Data!CB$9:CB$1273,MATCH($M89,Data!$K$9:$K$1273,0)),"")</f>
        <v/>
      </c>
      <c r="AG89" s="225" t="str">
        <f>IFERROR(INDEX(Data!CC$9:CC$1273,MATCH($M89,Data!$K$9:$K$1273,0)),"")</f>
        <v/>
      </c>
      <c r="AH89" s="225" t="str">
        <f>IFERROR(INDEX(Data!CD$9:CD$1273,MATCH($M89,Data!$K$9:$K$1273,0)),"")</f>
        <v/>
      </c>
      <c r="AI89" s="225" t="str">
        <f>IFERROR(INDEX(Data!CE$9:CE$1273,MATCH($M89,Data!$K$9:$K$1273,0)),"")</f>
        <v/>
      </c>
      <c r="AJ89" s="225" t="str">
        <f>IFERROR(INDEX(Data!CF$9:CF$1273,MATCH($M89,Data!$K$9:$K$1273,0)),"")</f>
        <v/>
      </c>
      <c r="AK89" s="225" t="str">
        <f>IFERROR(INDEX(Data!CG$9:CG$1273,MATCH($M89,Data!$K$9:$K$1273,0)),"")</f>
        <v/>
      </c>
      <c r="AL89" s="225" t="str">
        <f>IFERROR(INDEX(Data!CH$9:CH$1273,MATCH($M89,Data!$K$9:$K$1273,0)),"")</f>
        <v/>
      </c>
      <c r="AM89" s="225" t="str">
        <f>IFERROR(INDEX(Data!CI$9:CI$1273,MATCH($M89,Data!$K$9:$K$1273,0)),"")</f>
        <v/>
      </c>
      <c r="AN89" s="225" t="str">
        <f>IFERROR(INDEX(Data!CJ$9:CJ$1273,MATCH($M89,Data!$K$9:$K$1273,0)),"")</f>
        <v/>
      </c>
      <c r="AO89" s="225" t="str">
        <f>IFERROR(INDEX(Data!CK$9:CK$1273,MATCH($M89,Data!$K$9:$K$1273,0)),"")</f>
        <v/>
      </c>
      <c r="AP89" s="225" t="str">
        <f>IFERROR(INDEX(Data!CL$9:CL$1273,MATCH($M89,Data!$K$9:$K$1273,0)),"")</f>
        <v/>
      </c>
      <c r="AQ89" s="225" t="str">
        <f>IFERROR(INDEX(Data!CM$9:CM$1273,MATCH($M89,Data!$K$9:$K$1273,0)),"")</f>
        <v/>
      </c>
      <c r="AR89" s="225" t="str">
        <f>IFERROR(INDEX(Data!CN$9:CN$1273,MATCH($M89,Data!$K$9:$K$1273,0)),"")</f>
        <v/>
      </c>
      <c r="AS89" s="225" t="str">
        <f>IFERROR(INDEX(Data!CO$9:CO$1273,MATCH($M89,Data!$K$9:$K$1273,0)),"")</f>
        <v/>
      </c>
      <c r="AT89" s="225" t="str">
        <f>IFERROR(INDEX(Data!CP$9:CP$1273,MATCH($M89,Data!$K$9:$K$1273,0)),"")</f>
        <v/>
      </c>
      <c r="AU89" s="225" t="str">
        <f>IFERROR(INDEX(Data!CQ$9:CQ$1273,MATCH($M89,Data!$K$9:$K$1273,0)),"")</f>
        <v/>
      </c>
      <c r="AV89" s="225" t="str">
        <f>IFERROR(INDEX(Data!CR$9:CR$1273,MATCH($M89,Data!$K$9:$K$1273,0)),"")</f>
        <v/>
      </c>
      <c r="AW89" s="225" t="str">
        <f>IFERROR(INDEX(Data!CS$9:CS$1273,MATCH($M89,Data!$K$9:$K$1273,0)),"")</f>
        <v/>
      </c>
      <c r="AX89" s="225" t="str">
        <f>IFERROR(INDEX(Data!CT$9:CT$1273,MATCH($M89,Data!$K$9:$K$1273,0)),"")</f>
        <v/>
      </c>
      <c r="AY89" s="225" t="str">
        <f>IFERROR(INDEX(Data!CU$9:CU$1273,MATCH($M89,Data!$K$9:$K$1273,0)),"")</f>
        <v/>
      </c>
      <c r="AZ89" s="225" t="str">
        <f>IFERROR(INDEX(Data!CV$9:CV$1273,MATCH($M89,Data!$K$9:$K$1273,0)),"")</f>
        <v/>
      </c>
      <c r="BA89" s="225" t="str">
        <f>IFERROR(INDEX(Data!CX$9:CX$1273,MATCH($M89,Data!$K$9:$K$1273,0)),"")</f>
        <v/>
      </c>
      <c r="BB89" s="225" t="str">
        <f>IFERROR(INDEX(Data!CY$9:CY$1273,MATCH($M89,Data!$K$9:$K$1273,0)),"")</f>
        <v/>
      </c>
      <c r="BC89" s="225" t="str">
        <f>IFERROR(INDEX(Data!CZ$9:CZ$1273,MATCH($M89,Data!$K$9:$K$1273,0)),"")</f>
        <v/>
      </c>
      <c r="BD89" s="225" t="str">
        <f>IFERROR(INDEX(Data!DA$9:DA$1273,MATCH($M89,Data!$K$9:$K$1273,0)),"")</f>
        <v/>
      </c>
      <c r="BE89" s="225" t="str">
        <f>IFERROR(INDEX(Data!DB$9:DB$1273,MATCH($M89,Data!$K$9:$K$1273,0)),"")</f>
        <v/>
      </c>
      <c r="BF89" s="225" t="str">
        <f>IFERROR(INDEX(Data!DC$9:DC$1273,MATCH($M89,Data!$K$9:$K$1273,0)),"")</f>
        <v/>
      </c>
      <c r="BG89" s="225" t="str">
        <f>IFERROR(INDEX(Data!DD$9:DD$1273,MATCH($M89,Data!$K$9:$K$1273,0)),"")</f>
        <v/>
      </c>
      <c r="BH89" s="225" t="str">
        <f>IFERROR(INDEX(Data!DE$9:DE$1273,MATCH($M89,Data!$K$9:$K$1273,0)),"")</f>
        <v/>
      </c>
      <c r="BI89" s="225" t="str">
        <f>IFERROR(INDEX(Data!DF$9:DF$1273,MATCH($M89,Data!$K$9:$K$1273,0)),"")</f>
        <v/>
      </c>
      <c r="BJ89" s="225" t="str">
        <f>IFERROR(INDEX(Data!DG$9:DG$1273,MATCH($M89,Data!$K$9:$K$1273,0)),"")</f>
        <v/>
      </c>
      <c r="BK89" s="225" t="str">
        <f>IFERROR(INDEX(Data!DH$9:DH$1273,MATCH($M89,Data!$K$9:$K$1273,0)),"")</f>
        <v/>
      </c>
      <c r="BL89" s="225" t="str">
        <f>IFERROR(INDEX(Data!DI$9:DI$1273,MATCH($M89,Data!$K$9:$K$1273,0)),"")</f>
        <v/>
      </c>
      <c r="BM89" s="225" t="str">
        <f>IFERROR(INDEX(Data!DJ$9:DJ$1273,MATCH($M89,Data!$K$9:$K$1273,0)),"")</f>
        <v/>
      </c>
      <c r="BN89" s="225" t="str">
        <f>IFERROR(INDEX(Data!DK$9:DK$1273,MATCH($M89,Data!$K$9:$K$1273,0)),"")</f>
        <v/>
      </c>
      <c r="BO89" s="225" t="str">
        <f>IFERROR(INDEX(Data!DL$9:DL$1273,MATCH($M89,Data!$K$9:$K$1273,0)),"")</f>
        <v/>
      </c>
      <c r="BP89" s="243" t="str">
        <f t="shared" si="5"/>
        <v/>
      </c>
      <c r="BQ89" s="225" t="str">
        <f t="shared" si="6"/>
        <v xml:space="preserve"> </v>
      </c>
      <c r="BR89" s="225" t="str">
        <f t="shared" si="7"/>
        <v/>
      </c>
      <c r="BS89" s="225" t="str">
        <f>IFERROR(INDEX(Data!$DO$9:$DO$1273,MATCH('Your recommendation'!BR89,Data!$DN$9:$DN$1273,0)),"")</f>
        <v/>
      </c>
    </row>
    <row r="90" spans="2:71" ht="15.6" customHeight="1">
      <c r="B90" s="222" t="e">
        <f t="shared" si="8"/>
        <v>#N/A</v>
      </c>
      <c r="C90" s="223" t="e">
        <v>#N/A</v>
      </c>
      <c r="D90" s="225" t="str">
        <f>IFERROR(INDEX(Data!BR$9:BR$1273,MATCH($M90,Data!$K$9:$K$1273,0)),"")</f>
        <v/>
      </c>
      <c r="E90" s="225" t="str">
        <f>IFERROR(INDEX(Data!BS$9:BS$1273,MATCH($M90,Data!$K$9:$K$1273,0)),"")</f>
        <v/>
      </c>
      <c r="F90" s="225" t="str">
        <f>IFERROR(INDEX(Data!DM$9:DM$1273,MATCH($M90,Data!$K$9:$K$1273,0)),"")</f>
        <v/>
      </c>
      <c r="G90" s="225" t="str">
        <f>IFERROR(INDEX(Data!BV$9:BV$1273,MATCH($M90,Data!$K$9:$K$1273,0)),"")</f>
        <v/>
      </c>
      <c r="H90" s="225" t="str">
        <f>IFERROR(INDEX(Data!BW$9:BW$1273,MATCH($M90,Data!$K$9:$K$1273,0)),"")</f>
        <v/>
      </c>
      <c r="I90" s="225" t="str">
        <f>IFERROR(INDEX(Data!BX$9:BX$1273,MATCH($M90,Data!$K$9:$K$1273,0)),"")</f>
        <v/>
      </c>
      <c r="J90" s="225" t="str">
        <f>IFERROR(INDEX(Data!CB$9:CB$1273,MATCH($M90,Data!$K$9:$K$1273,0)),"")</f>
        <v/>
      </c>
      <c r="K90" s="241" t="str">
        <f t="shared" si="3"/>
        <v/>
      </c>
      <c r="L90" s="242" t="str">
        <f t="shared" si="4"/>
        <v/>
      </c>
      <c r="M90" s="224" t="e">
        <v>#N/A</v>
      </c>
      <c r="N90" s="224" t="str">
        <f>IFERROR(INDEX(Data!L$9:L$1273,MATCH($M90,Data!$K$9:$K$1273,0)),"")</f>
        <v/>
      </c>
      <c r="O90" s="224" t="str">
        <f>IFERROR(INDEX(Data!M$9:M$1273,MATCH($M90,Data!$K$9:$K$1273,0)),"")</f>
        <v/>
      </c>
      <c r="P90" s="224" t="str">
        <f>IFERROR(INDEX(Data!N$9:N$1273,MATCH($M90,Data!$K$9:$K$1273,0)),"")</f>
        <v/>
      </c>
      <c r="Q90" s="224" t="str">
        <f>IFERROR(INDEX(Data!O$9:O$1273,MATCH($M90,Data!$K$9:$K$1273,0)),"")</f>
        <v/>
      </c>
      <c r="R90" s="224" t="str">
        <f>IFERROR(INDEX(Data!P$9:P$1273,MATCH($M90,Data!$K$9:$K$1273,0)),"")</f>
        <v/>
      </c>
      <c r="S90" s="224" t="str">
        <f>IFERROR(INDEX(Data!S$9:S$1273,MATCH($M90,Data!$K$9:$K$1273,0)),"")</f>
        <v/>
      </c>
      <c r="T90" s="224" t="str">
        <f>IFERROR(INDEX(Data!T$9:T$1273,MATCH($M90,Data!$K$9:$K$1273,0)),"")</f>
        <v/>
      </c>
      <c r="U90" s="224" t="str">
        <f>IFERROR(INDEX(Data!U$9:U$1273,MATCH($M90,Data!$K$9:$K$1273,0)),"")</f>
        <v/>
      </c>
      <c r="V90" s="224" t="str">
        <f>IFERROR(INDEX(Data!V$9:V$1273,MATCH($M90,Data!$K$9:$K$1273,0)),"")</f>
        <v/>
      </c>
      <c r="W90" s="224" t="str">
        <f>IFERROR(INDEX(Data!W$9:W$1273,MATCH($M90,Data!$K$9:$K$1273,0)),"")</f>
        <v/>
      </c>
      <c r="X90" s="224" t="str">
        <f>IFERROR(INDEX(Data!AJ$9:AJ$1273,MATCH($M90,Data!$K$9:$K$1273,0)),"")</f>
        <v/>
      </c>
      <c r="Y90" s="224" t="str">
        <f>IFERROR(INDEX(Data!AK$9:AK$1273,MATCH($M90,Data!$K$9:$K$1273,0)),"")</f>
        <v/>
      </c>
      <c r="Z90" s="224" t="str">
        <f>IFERROR(INDEX(Data!AL$9:AL$1273,MATCH($M90,Data!$K$9:$K$1273,0)),"")</f>
        <v/>
      </c>
      <c r="AA90" s="224" t="str">
        <f>IFERROR(INDEX(Data!AM$9:AM$1273,MATCH($M90,Data!$K$9:$K$1273,0)),"")</f>
        <v/>
      </c>
      <c r="AB90" s="224" t="str">
        <f>IFERROR(INDEX(Data!AN$9:AN$1273,MATCH($M90,Data!$K$9:$K$1273,0)),"")</f>
        <v/>
      </c>
      <c r="AC90" s="225" t="str">
        <f>IFERROR(INDEX(Data!BY$9:BY$1273,MATCH($M90,Data!$K$9:$K$1273,0)),"")</f>
        <v/>
      </c>
      <c r="AD90" s="225" t="str">
        <f>IFERROR(INDEX(Data!BZ$9:BZ$1273,MATCH($M90,Data!$K$9:$K$1273,0)),"")</f>
        <v/>
      </c>
      <c r="AE90" s="225" t="str">
        <f>IFERROR(INDEX(Data!CA$9:CA$1273,MATCH($M90,Data!$K$9:$K$1273,0)),"")</f>
        <v/>
      </c>
      <c r="AF90" s="225" t="str">
        <f>IFERROR(INDEX(Data!CB$9:CB$1273,MATCH($M90,Data!$K$9:$K$1273,0)),"")</f>
        <v/>
      </c>
      <c r="AG90" s="225" t="str">
        <f>IFERROR(INDEX(Data!CC$9:CC$1273,MATCH($M90,Data!$K$9:$K$1273,0)),"")</f>
        <v/>
      </c>
      <c r="AH90" s="225" t="str">
        <f>IFERROR(INDEX(Data!CD$9:CD$1273,MATCH($M90,Data!$K$9:$K$1273,0)),"")</f>
        <v/>
      </c>
      <c r="AI90" s="225" t="str">
        <f>IFERROR(INDEX(Data!CE$9:CE$1273,MATCH($M90,Data!$K$9:$K$1273,0)),"")</f>
        <v/>
      </c>
      <c r="AJ90" s="225" t="str">
        <f>IFERROR(INDEX(Data!CF$9:CF$1273,MATCH($M90,Data!$K$9:$K$1273,0)),"")</f>
        <v/>
      </c>
      <c r="AK90" s="225" t="str">
        <f>IFERROR(INDEX(Data!CG$9:CG$1273,MATCH($M90,Data!$K$9:$K$1273,0)),"")</f>
        <v/>
      </c>
      <c r="AL90" s="225" t="str">
        <f>IFERROR(INDEX(Data!CH$9:CH$1273,MATCH($M90,Data!$K$9:$K$1273,0)),"")</f>
        <v/>
      </c>
      <c r="AM90" s="225" t="str">
        <f>IFERROR(INDEX(Data!CI$9:CI$1273,MATCH($M90,Data!$K$9:$K$1273,0)),"")</f>
        <v/>
      </c>
      <c r="AN90" s="225" t="str">
        <f>IFERROR(INDEX(Data!CJ$9:CJ$1273,MATCH($M90,Data!$K$9:$K$1273,0)),"")</f>
        <v/>
      </c>
      <c r="AO90" s="225" t="str">
        <f>IFERROR(INDEX(Data!CK$9:CK$1273,MATCH($M90,Data!$K$9:$K$1273,0)),"")</f>
        <v/>
      </c>
      <c r="AP90" s="225" t="str">
        <f>IFERROR(INDEX(Data!CL$9:CL$1273,MATCH($M90,Data!$K$9:$K$1273,0)),"")</f>
        <v/>
      </c>
      <c r="AQ90" s="225" t="str">
        <f>IFERROR(INDEX(Data!CM$9:CM$1273,MATCH($M90,Data!$K$9:$K$1273,0)),"")</f>
        <v/>
      </c>
      <c r="AR90" s="225" t="str">
        <f>IFERROR(INDEX(Data!CN$9:CN$1273,MATCH($M90,Data!$K$9:$K$1273,0)),"")</f>
        <v/>
      </c>
      <c r="AS90" s="225" t="str">
        <f>IFERROR(INDEX(Data!CO$9:CO$1273,MATCH($M90,Data!$K$9:$K$1273,0)),"")</f>
        <v/>
      </c>
      <c r="AT90" s="225" t="str">
        <f>IFERROR(INDEX(Data!CP$9:CP$1273,MATCH($M90,Data!$K$9:$K$1273,0)),"")</f>
        <v/>
      </c>
      <c r="AU90" s="225" t="str">
        <f>IFERROR(INDEX(Data!CQ$9:CQ$1273,MATCH($M90,Data!$K$9:$K$1273,0)),"")</f>
        <v/>
      </c>
      <c r="AV90" s="225" t="str">
        <f>IFERROR(INDEX(Data!CR$9:CR$1273,MATCH($M90,Data!$K$9:$K$1273,0)),"")</f>
        <v/>
      </c>
      <c r="AW90" s="225" t="str">
        <f>IFERROR(INDEX(Data!CS$9:CS$1273,MATCH($M90,Data!$K$9:$K$1273,0)),"")</f>
        <v/>
      </c>
      <c r="AX90" s="225" t="str">
        <f>IFERROR(INDEX(Data!CT$9:CT$1273,MATCH($M90,Data!$K$9:$K$1273,0)),"")</f>
        <v/>
      </c>
      <c r="AY90" s="225" t="str">
        <f>IFERROR(INDEX(Data!CU$9:CU$1273,MATCH($M90,Data!$K$9:$K$1273,0)),"")</f>
        <v/>
      </c>
      <c r="AZ90" s="225" t="str">
        <f>IFERROR(INDEX(Data!CV$9:CV$1273,MATCH($M90,Data!$K$9:$K$1273,0)),"")</f>
        <v/>
      </c>
      <c r="BA90" s="225" t="str">
        <f>IFERROR(INDEX(Data!CX$9:CX$1273,MATCH($M90,Data!$K$9:$K$1273,0)),"")</f>
        <v/>
      </c>
      <c r="BB90" s="225" t="str">
        <f>IFERROR(INDEX(Data!CY$9:CY$1273,MATCH($M90,Data!$K$9:$K$1273,0)),"")</f>
        <v/>
      </c>
      <c r="BC90" s="225" t="str">
        <f>IFERROR(INDEX(Data!CZ$9:CZ$1273,MATCH($M90,Data!$K$9:$K$1273,0)),"")</f>
        <v/>
      </c>
      <c r="BD90" s="225" t="str">
        <f>IFERROR(INDEX(Data!DA$9:DA$1273,MATCH($M90,Data!$K$9:$K$1273,0)),"")</f>
        <v/>
      </c>
      <c r="BE90" s="225" t="str">
        <f>IFERROR(INDEX(Data!DB$9:DB$1273,MATCH($M90,Data!$K$9:$K$1273,0)),"")</f>
        <v/>
      </c>
      <c r="BF90" s="225" t="str">
        <f>IFERROR(INDEX(Data!DC$9:DC$1273,MATCH($M90,Data!$K$9:$K$1273,0)),"")</f>
        <v/>
      </c>
      <c r="BG90" s="225" t="str">
        <f>IFERROR(INDEX(Data!DD$9:DD$1273,MATCH($M90,Data!$K$9:$K$1273,0)),"")</f>
        <v/>
      </c>
      <c r="BH90" s="225" t="str">
        <f>IFERROR(INDEX(Data!DE$9:DE$1273,MATCH($M90,Data!$K$9:$K$1273,0)),"")</f>
        <v/>
      </c>
      <c r="BI90" s="225" t="str">
        <f>IFERROR(INDEX(Data!DF$9:DF$1273,MATCH($M90,Data!$K$9:$K$1273,0)),"")</f>
        <v/>
      </c>
      <c r="BJ90" s="225" t="str">
        <f>IFERROR(INDEX(Data!DG$9:DG$1273,MATCH($M90,Data!$K$9:$K$1273,0)),"")</f>
        <v/>
      </c>
      <c r="BK90" s="225" t="str">
        <f>IFERROR(INDEX(Data!DH$9:DH$1273,MATCH($M90,Data!$K$9:$K$1273,0)),"")</f>
        <v/>
      </c>
      <c r="BL90" s="225" t="str">
        <f>IFERROR(INDEX(Data!DI$9:DI$1273,MATCH($M90,Data!$K$9:$K$1273,0)),"")</f>
        <v/>
      </c>
      <c r="BM90" s="225" t="str">
        <f>IFERROR(INDEX(Data!DJ$9:DJ$1273,MATCH($M90,Data!$K$9:$K$1273,0)),"")</f>
        <v/>
      </c>
      <c r="BN90" s="225" t="str">
        <f>IFERROR(INDEX(Data!DK$9:DK$1273,MATCH($M90,Data!$K$9:$K$1273,0)),"")</f>
        <v/>
      </c>
      <c r="BO90" s="225" t="str">
        <f>IFERROR(INDEX(Data!DL$9:DL$1273,MATCH($M90,Data!$K$9:$K$1273,0)),"")</f>
        <v/>
      </c>
      <c r="BP90" s="243" t="str">
        <f t="shared" si="5"/>
        <v/>
      </c>
      <c r="BQ90" s="225" t="str">
        <f t="shared" si="6"/>
        <v xml:space="preserve"> </v>
      </c>
      <c r="BR90" s="225" t="str">
        <f t="shared" si="7"/>
        <v/>
      </c>
      <c r="BS90" s="225" t="str">
        <f>IFERROR(INDEX(Data!$DO$9:$DO$1273,MATCH('Your recommendation'!BR90,Data!$DN$9:$DN$1273,0)),"")</f>
        <v/>
      </c>
    </row>
    <row r="91" spans="2:71" ht="15.6" customHeight="1">
      <c r="B91" s="222" t="e">
        <f t="shared" si="8"/>
        <v>#N/A</v>
      </c>
      <c r="C91" s="223" t="e">
        <v>#N/A</v>
      </c>
      <c r="D91" s="225" t="str">
        <f>IFERROR(INDEX(Data!BR$9:BR$1273,MATCH($M91,Data!$K$9:$K$1273,0)),"")</f>
        <v/>
      </c>
      <c r="E91" s="225" t="str">
        <f>IFERROR(INDEX(Data!BS$9:BS$1273,MATCH($M91,Data!$K$9:$K$1273,0)),"")</f>
        <v/>
      </c>
      <c r="F91" s="225" t="str">
        <f>IFERROR(INDEX(Data!DM$9:DM$1273,MATCH($M91,Data!$K$9:$K$1273,0)),"")</f>
        <v/>
      </c>
      <c r="G91" s="225" t="str">
        <f>IFERROR(INDEX(Data!BV$9:BV$1273,MATCH($M91,Data!$K$9:$K$1273,0)),"")</f>
        <v/>
      </c>
      <c r="H91" s="225" t="str">
        <f>IFERROR(INDEX(Data!BW$9:BW$1273,MATCH($M91,Data!$K$9:$K$1273,0)),"")</f>
        <v/>
      </c>
      <c r="I91" s="225" t="str">
        <f>IFERROR(INDEX(Data!BX$9:BX$1273,MATCH($M91,Data!$K$9:$K$1273,0)),"")</f>
        <v/>
      </c>
      <c r="J91" s="225" t="str">
        <f>IFERROR(INDEX(Data!CB$9:CB$1273,MATCH($M91,Data!$K$9:$K$1273,0)),"")</f>
        <v/>
      </c>
      <c r="K91" s="241" t="str">
        <f t="shared" si="3"/>
        <v/>
      </c>
      <c r="L91" s="242" t="str">
        <f t="shared" si="4"/>
        <v/>
      </c>
      <c r="M91" s="224" t="e">
        <v>#N/A</v>
      </c>
      <c r="N91" s="224" t="str">
        <f>IFERROR(INDEX(Data!L$9:L$1273,MATCH($M91,Data!$K$9:$K$1273,0)),"")</f>
        <v/>
      </c>
      <c r="O91" s="224" t="str">
        <f>IFERROR(INDEX(Data!M$9:M$1273,MATCH($M91,Data!$K$9:$K$1273,0)),"")</f>
        <v/>
      </c>
      <c r="P91" s="224" t="str">
        <f>IFERROR(INDEX(Data!N$9:N$1273,MATCH($M91,Data!$K$9:$K$1273,0)),"")</f>
        <v/>
      </c>
      <c r="Q91" s="224" t="str">
        <f>IFERROR(INDEX(Data!O$9:O$1273,MATCH($M91,Data!$K$9:$K$1273,0)),"")</f>
        <v/>
      </c>
      <c r="R91" s="224" t="str">
        <f>IFERROR(INDEX(Data!P$9:P$1273,MATCH($M91,Data!$K$9:$K$1273,0)),"")</f>
        <v/>
      </c>
      <c r="S91" s="224" t="str">
        <f>IFERROR(INDEX(Data!S$9:S$1273,MATCH($M91,Data!$K$9:$K$1273,0)),"")</f>
        <v/>
      </c>
      <c r="T91" s="224" t="str">
        <f>IFERROR(INDEX(Data!T$9:T$1273,MATCH($M91,Data!$K$9:$K$1273,0)),"")</f>
        <v/>
      </c>
      <c r="U91" s="224" t="str">
        <f>IFERROR(INDEX(Data!U$9:U$1273,MATCH($M91,Data!$K$9:$K$1273,0)),"")</f>
        <v/>
      </c>
      <c r="V91" s="224" t="str">
        <f>IFERROR(INDEX(Data!V$9:V$1273,MATCH($M91,Data!$K$9:$K$1273,0)),"")</f>
        <v/>
      </c>
      <c r="W91" s="224" t="str">
        <f>IFERROR(INDEX(Data!W$9:W$1273,MATCH($M91,Data!$K$9:$K$1273,0)),"")</f>
        <v/>
      </c>
      <c r="X91" s="224" t="str">
        <f>IFERROR(INDEX(Data!AJ$9:AJ$1273,MATCH($M91,Data!$K$9:$K$1273,0)),"")</f>
        <v/>
      </c>
      <c r="Y91" s="224" t="str">
        <f>IFERROR(INDEX(Data!AK$9:AK$1273,MATCH($M91,Data!$K$9:$K$1273,0)),"")</f>
        <v/>
      </c>
      <c r="Z91" s="224" t="str">
        <f>IFERROR(INDEX(Data!AL$9:AL$1273,MATCH($M91,Data!$K$9:$K$1273,0)),"")</f>
        <v/>
      </c>
      <c r="AA91" s="224" t="str">
        <f>IFERROR(INDEX(Data!AM$9:AM$1273,MATCH($M91,Data!$K$9:$K$1273,0)),"")</f>
        <v/>
      </c>
      <c r="AB91" s="224" t="str">
        <f>IFERROR(INDEX(Data!AN$9:AN$1273,MATCH($M91,Data!$K$9:$K$1273,0)),"")</f>
        <v/>
      </c>
      <c r="AC91" s="225" t="str">
        <f>IFERROR(INDEX(Data!BY$9:BY$1273,MATCH($M91,Data!$K$9:$K$1273,0)),"")</f>
        <v/>
      </c>
      <c r="AD91" s="225" t="str">
        <f>IFERROR(INDEX(Data!BZ$9:BZ$1273,MATCH($M91,Data!$K$9:$K$1273,0)),"")</f>
        <v/>
      </c>
      <c r="AE91" s="225" t="str">
        <f>IFERROR(INDEX(Data!CA$9:CA$1273,MATCH($M91,Data!$K$9:$K$1273,0)),"")</f>
        <v/>
      </c>
      <c r="AF91" s="225" t="str">
        <f>IFERROR(INDEX(Data!CB$9:CB$1273,MATCH($M91,Data!$K$9:$K$1273,0)),"")</f>
        <v/>
      </c>
      <c r="AG91" s="225" t="str">
        <f>IFERROR(INDEX(Data!CC$9:CC$1273,MATCH($M91,Data!$K$9:$K$1273,0)),"")</f>
        <v/>
      </c>
      <c r="AH91" s="225" t="str">
        <f>IFERROR(INDEX(Data!CD$9:CD$1273,MATCH($M91,Data!$K$9:$K$1273,0)),"")</f>
        <v/>
      </c>
      <c r="AI91" s="225" t="str">
        <f>IFERROR(INDEX(Data!CE$9:CE$1273,MATCH($M91,Data!$K$9:$K$1273,0)),"")</f>
        <v/>
      </c>
      <c r="AJ91" s="225" t="str">
        <f>IFERROR(INDEX(Data!CF$9:CF$1273,MATCH($M91,Data!$K$9:$K$1273,0)),"")</f>
        <v/>
      </c>
      <c r="AK91" s="225" t="str">
        <f>IFERROR(INDEX(Data!CG$9:CG$1273,MATCH($M91,Data!$K$9:$K$1273,0)),"")</f>
        <v/>
      </c>
      <c r="AL91" s="225" t="str">
        <f>IFERROR(INDEX(Data!CH$9:CH$1273,MATCH($M91,Data!$K$9:$K$1273,0)),"")</f>
        <v/>
      </c>
      <c r="AM91" s="225" t="str">
        <f>IFERROR(INDEX(Data!CI$9:CI$1273,MATCH($M91,Data!$K$9:$K$1273,0)),"")</f>
        <v/>
      </c>
      <c r="AN91" s="225" t="str">
        <f>IFERROR(INDEX(Data!CJ$9:CJ$1273,MATCH($M91,Data!$K$9:$K$1273,0)),"")</f>
        <v/>
      </c>
      <c r="AO91" s="225" t="str">
        <f>IFERROR(INDEX(Data!CK$9:CK$1273,MATCH($M91,Data!$K$9:$K$1273,0)),"")</f>
        <v/>
      </c>
      <c r="AP91" s="225" t="str">
        <f>IFERROR(INDEX(Data!CL$9:CL$1273,MATCH($M91,Data!$K$9:$K$1273,0)),"")</f>
        <v/>
      </c>
      <c r="AQ91" s="225" t="str">
        <f>IFERROR(INDEX(Data!CM$9:CM$1273,MATCH($M91,Data!$K$9:$K$1273,0)),"")</f>
        <v/>
      </c>
      <c r="AR91" s="225" t="str">
        <f>IFERROR(INDEX(Data!CN$9:CN$1273,MATCH($M91,Data!$K$9:$K$1273,0)),"")</f>
        <v/>
      </c>
      <c r="AS91" s="225" t="str">
        <f>IFERROR(INDEX(Data!CO$9:CO$1273,MATCH($M91,Data!$K$9:$K$1273,0)),"")</f>
        <v/>
      </c>
      <c r="AT91" s="225" t="str">
        <f>IFERROR(INDEX(Data!CP$9:CP$1273,MATCH($M91,Data!$K$9:$K$1273,0)),"")</f>
        <v/>
      </c>
      <c r="AU91" s="225" t="str">
        <f>IFERROR(INDEX(Data!CQ$9:CQ$1273,MATCH($M91,Data!$K$9:$K$1273,0)),"")</f>
        <v/>
      </c>
      <c r="AV91" s="225" t="str">
        <f>IFERROR(INDEX(Data!CR$9:CR$1273,MATCH($M91,Data!$K$9:$K$1273,0)),"")</f>
        <v/>
      </c>
      <c r="AW91" s="225" t="str">
        <f>IFERROR(INDEX(Data!CS$9:CS$1273,MATCH($M91,Data!$K$9:$K$1273,0)),"")</f>
        <v/>
      </c>
      <c r="AX91" s="225" t="str">
        <f>IFERROR(INDEX(Data!CT$9:CT$1273,MATCH($M91,Data!$K$9:$K$1273,0)),"")</f>
        <v/>
      </c>
      <c r="AY91" s="225" t="str">
        <f>IFERROR(INDEX(Data!CU$9:CU$1273,MATCH($M91,Data!$K$9:$K$1273,0)),"")</f>
        <v/>
      </c>
      <c r="AZ91" s="225" t="str">
        <f>IFERROR(INDEX(Data!CV$9:CV$1273,MATCH($M91,Data!$K$9:$K$1273,0)),"")</f>
        <v/>
      </c>
      <c r="BA91" s="225" t="str">
        <f>IFERROR(INDEX(Data!CX$9:CX$1273,MATCH($M91,Data!$K$9:$K$1273,0)),"")</f>
        <v/>
      </c>
      <c r="BB91" s="225" t="str">
        <f>IFERROR(INDEX(Data!CY$9:CY$1273,MATCH($M91,Data!$K$9:$K$1273,0)),"")</f>
        <v/>
      </c>
      <c r="BC91" s="225" t="str">
        <f>IFERROR(INDEX(Data!CZ$9:CZ$1273,MATCH($M91,Data!$K$9:$K$1273,0)),"")</f>
        <v/>
      </c>
      <c r="BD91" s="225" t="str">
        <f>IFERROR(INDEX(Data!DA$9:DA$1273,MATCH($M91,Data!$K$9:$K$1273,0)),"")</f>
        <v/>
      </c>
      <c r="BE91" s="225" t="str">
        <f>IFERROR(INDEX(Data!DB$9:DB$1273,MATCH($M91,Data!$K$9:$K$1273,0)),"")</f>
        <v/>
      </c>
      <c r="BF91" s="225" t="str">
        <f>IFERROR(INDEX(Data!DC$9:DC$1273,MATCH($M91,Data!$K$9:$K$1273,0)),"")</f>
        <v/>
      </c>
      <c r="BG91" s="225" t="str">
        <f>IFERROR(INDEX(Data!DD$9:DD$1273,MATCH($M91,Data!$K$9:$K$1273,0)),"")</f>
        <v/>
      </c>
      <c r="BH91" s="225" t="str">
        <f>IFERROR(INDEX(Data!DE$9:DE$1273,MATCH($M91,Data!$K$9:$K$1273,0)),"")</f>
        <v/>
      </c>
      <c r="BI91" s="225" t="str">
        <f>IFERROR(INDEX(Data!DF$9:DF$1273,MATCH($M91,Data!$K$9:$K$1273,0)),"")</f>
        <v/>
      </c>
      <c r="BJ91" s="225" t="str">
        <f>IFERROR(INDEX(Data!DG$9:DG$1273,MATCH($M91,Data!$K$9:$K$1273,0)),"")</f>
        <v/>
      </c>
      <c r="BK91" s="225" t="str">
        <f>IFERROR(INDEX(Data!DH$9:DH$1273,MATCH($M91,Data!$K$9:$K$1273,0)),"")</f>
        <v/>
      </c>
      <c r="BL91" s="225" t="str">
        <f>IFERROR(INDEX(Data!DI$9:DI$1273,MATCH($M91,Data!$K$9:$K$1273,0)),"")</f>
        <v/>
      </c>
      <c r="BM91" s="225" t="str">
        <f>IFERROR(INDEX(Data!DJ$9:DJ$1273,MATCH($M91,Data!$K$9:$K$1273,0)),"")</f>
        <v/>
      </c>
      <c r="BN91" s="225" t="str">
        <f>IFERROR(INDEX(Data!DK$9:DK$1273,MATCH($M91,Data!$K$9:$K$1273,0)),"")</f>
        <v/>
      </c>
      <c r="BO91" s="225" t="str">
        <f>IFERROR(INDEX(Data!DL$9:DL$1273,MATCH($M91,Data!$K$9:$K$1273,0)),"")</f>
        <v/>
      </c>
      <c r="BP91" s="243" t="str">
        <f t="shared" si="5"/>
        <v/>
      </c>
      <c r="BQ91" s="225" t="str">
        <f t="shared" si="6"/>
        <v xml:space="preserve"> </v>
      </c>
      <c r="BR91" s="225" t="str">
        <f t="shared" si="7"/>
        <v/>
      </c>
      <c r="BS91" s="225" t="str">
        <f>IFERROR(INDEX(Data!$DO$9:$DO$1273,MATCH('Your recommendation'!BR91,Data!$DN$9:$DN$1273,0)),"")</f>
        <v/>
      </c>
    </row>
    <row r="92" spans="2:71" ht="15.6" customHeight="1">
      <c r="B92" s="222" t="e">
        <f t="shared" si="8"/>
        <v>#N/A</v>
      </c>
      <c r="C92" s="223" t="e">
        <v>#N/A</v>
      </c>
      <c r="D92" s="225" t="str">
        <f>IFERROR(INDEX(Data!BR$9:BR$1273,MATCH($M92,Data!$K$9:$K$1273,0)),"")</f>
        <v/>
      </c>
      <c r="E92" s="225" t="str">
        <f>IFERROR(INDEX(Data!BS$9:BS$1273,MATCH($M92,Data!$K$9:$K$1273,0)),"")</f>
        <v/>
      </c>
      <c r="F92" s="225" t="str">
        <f>IFERROR(INDEX(Data!DM$9:DM$1273,MATCH($M92,Data!$K$9:$K$1273,0)),"")</f>
        <v/>
      </c>
      <c r="G92" s="225" t="str">
        <f>IFERROR(INDEX(Data!BV$9:BV$1273,MATCH($M92,Data!$K$9:$K$1273,0)),"")</f>
        <v/>
      </c>
      <c r="H92" s="225" t="str">
        <f>IFERROR(INDEX(Data!BW$9:BW$1273,MATCH($M92,Data!$K$9:$K$1273,0)),"")</f>
        <v/>
      </c>
      <c r="I92" s="225" t="str">
        <f>IFERROR(INDEX(Data!BX$9:BX$1273,MATCH($M92,Data!$K$9:$K$1273,0)),"")</f>
        <v/>
      </c>
      <c r="J92" s="225" t="str">
        <f>IFERROR(INDEX(Data!CB$9:CB$1273,MATCH($M92,Data!$K$9:$K$1273,0)),"")</f>
        <v/>
      </c>
      <c r="K92" s="241" t="str">
        <f t="shared" si="3"/>
        <v/>
      </c>
      <c r="L92" s="242" t="str">
        <f t="shared" si="4"/>
        <v/>
      </c>
      <c r="M92" s="224" t="e">
        <v>#N/A</v>
      </c>
      <c r="N92" s="224" t="str">
        <f>IFERROR(INDEX(Data!L$9:L$1273,MATCH($M92,Data!$K$9:$K$1273,0)),"")</f>
        <v/>
      </c>
      <c r="O92" s="224" t="str">
        <f>IFERROR(INDEX(Data!M$9:M$1273,MATCH($M92,Data!$K$9:$K$1273,0)),"")</f>
        <v/>
      </c>
      <c r="P92" s="224" t="str">
        <f>IFERROR(INDEX(Data!N$9:N$1273,MATCH($M92,Data!$K$9:$K$1273,0)),"")</f>
        <v/>
      </c>
      <c r="Q92" s="224" t="str">
        <f>IFERROR(INDEX(Data!O$9:O$1273,MATCH($M92,Data!$K$9:$K$1273,0)),"")</f>
        <v/>
      </c>
      <c r="R92" s="224" t="str">
        <f>IFERROR(INDEX(Data!P$9:P$1273,MATCH($M92,Data!$K$9:$K$1273,0)),"")</f>
        <v/>
      </c>
      <c r="S92" s="224" t="str">
        <f>IFERROR(INDEX(Data!S$9:S$1273,MATCH($M92,Data!$K$9:$K$1273,0)),"")</f>
        <v/>
      </c>
      <c r="T92" s="224" t="str">
        <f>IFERROR(INDEX(Data!T$9:T$1273,MATCH($M92,Data!$K$9:$K$1273,0)),"")</f>
        <v/>
      </c>
      <c r="U92" s="224" t="str">
        <f>IFERROR(INDEX(Data!U$9:U$1273,MATCH($M92,Data!$K$9:$K$1273,0)),"")</f>
        <v/>
      </c>
      <c r="V92" s="224" t="str">
        <f>IFERROR(INDEX(Data!V$9:V$1273,MATCH($M92,Data!$K$9:$K$1273,0)),"")</f>
        <v/>
      </c>
      <c r="W92" s="224" t="str">
        <f>IFERROR(INDEX(Data!W$9:W$1273,MATCH($M92,Data!$K$9:$K$1273,0)),"")</f>
        <v/>
      </c>
      <c r="X92" s="224" t="str">
        <f>IFERROR(INDEX(Data!AJ$9:AJ$1273,MATCH($M92,Data!$K$9:$K$1273,0)),"")</f>
        <v/>
      </c>
      <c r="Y92" s="224" t="str">
        <f>IFERROR(INDEX(Data!AK$9:AK$1273,MATCH($M92,Data!$K$9:$K$1273,0)),"")</f>
        <v/>
      </c>
      <c r="Z92" s="224" t="str">
        <f>IFERROR(INDEX(Data!AL$9:AL$1273,MATCH($M92,Data!$K$9:$K$1273,0)),"")</f>
        <v/>
      </c>
      <c r="AA92" s="224" t="str">
        <f>IFERROR(INDEX(Data!AM$9:AM$1273,MATCH($M92,Data!$K$9:$K$1273,0)),"")</f>
        <v/>
      </c>
      <c r="AB92" s="224" t="str">
        <f>IFERROR(INDEX(Data!AN$9:AN$1273,MATCH($M92,Data!$K$9:$K$1273,0)),"")</f>
        <v/>
      </c>
      <c r="AC92" s="225" t="str">
        <f>IFERROR(INDEX(Data!BY$9:BY$1273,MATCH($M92,Data!$K$9:$K$1273,0)),"")</f>
        <v/>
      </c>
      <c r="AD92" s="225" t="str">
        <f>IFERROR(INDEX(Data!BZ$9:BZ$1273,MATCH($M92,Data!$K$9:$K$1273,0)),"")</f>
        <v/>
      </c>
      <c r="AE92" s="225" t="str">
        <f>IFERROR(INDEX(Data!CA$9:CA$1273,MATCH($M92,Data!$K$9:$K$1273,0)),"")</f>
        <v/>
      </c>
      <c r="AF92" s="225" t="str">
        <f>IFERROR(INDEX(Data!CB$9:CB$1273,MATCH($M92,Data!$K$9:$K$1273,0)),"")</f>
        <v/>
      </c>
      <c r="AG92" s="225" t="str">
        <f>IFERROR(INDEX(Data!CC$9:CC$1273,MATCH($M92,Data!$K$9:$K$1273,0)),"")</f>
        <v/>
      </c>
      <c r="AH92" s="225" t="str">
        <f>IFERROR(INDEX(Data!CD$9:CD$1273,MATCH($M92,Data!$K$9:$K$1273,0)),"")</f>
        <v/>
      </c>
      <c r="AI92" s="225" t="str">
        <f>IFERROR(INDEX(Data!CE$9:CE$1273,MATCH($M92,Data!$K$9:$K$1273,0)),"")</f>
        <v/>
      </c>
      <c r="AJ92" s="225" t="str">
        <f>IFERROR(INDEX(Data!CF$9:CF$1273,MATCH($M92,Data!$K$9:$K$1273,0)),"")</f>
        <v/>
      </c>
      <c r="AK92" s="225" t="str">
        <f>IFERROR(INDEX(Data!CG$9:CG$1273,MATCH($M92,Data!$K$9:$K$1273,0)),"")</f>
        <v/>
      </c>
      <c r="AL92" s="225" t="str">
        <f>IFERROR(INDEX(Data!CH$9:CH$1273,MATCH($M92,Data!$K$9:$K$1273,0)),"")</f>
        <v/>
      </c>
      <c r="AM92" s="225" t="str">
        <f>IFERROR(INDEX(Data!CI$9:CI$1273,MATCH($M92,Data!$K$9:$K$1273,0)),"")</f>
        <v/>
      </c>
      <c r="AN92" s="225" t="str">
        <f>IFERROR(INDEX(Data!CJ$9:CJ$1273,MATCH($M92,Data!$K$9:$K$1273,0)),"")</f>
        <v/>
      </c>
      <c r="AO92" s="225" t="str">
        <f>IFERROR(INDEX(Data!CK$9:CK$1273,MATCH($M92,Data!$K$9:$K$1273,0)),"")</f>
        <v/>
      </c>
      <c r="AP92" s="225" t="str">
        <f>IFERROR(INDEX(Data!CL$9:CL$1273,MATCH($M92,Data!$K$9:$K$1273,0)),"")</f>
        <v/>
      </c>
      <c r="AQ92" s="225" t="str">
        <f>IFERROR(INDEX(Data!CM$9:CM$1273,MATCH($M92,Data!$K$9:$K$1273,0)),"")</f>
        <v/>
      </c>
      <c r="AR92" s="225" t="str">
        <f>IFERROR(INDEX(Data!CN$9:CN$1273,MATCH($M92,Data!$K$9:$K$1273,0)),"")</f>
        <v/>
      </c>
      <c r="AS92" s="225" t="str">
        <f>IFERROR(INDEX(Data!CO$9:CO$1273,MATCH($M92,Data!$K$9:$K$1273,0)),"")</f>
        <v/>
      </c>
      <c r="AT92" s="225" t="str">
        <f>IFERROR(INDEX(Data!CP$9:CP$1273,MATCH($M92,Data!$K$9:$K$1273,0)),"")</f>
        <v/>
      </c>
      <c r="AU92" s="225" t="str">
        <f>IFERROR(INDEX(Data!CQ$9:CQ$1273,MATCH($M92,Data!$K$9:$K$1273,0)),"")</f>
        <v/>
      </c>
      <c r="AV92" s="225" t="str">
        <f>IFERROR(INDEX(Data!CR$9:CR$1273,MATCH($M92,Data!$K$9:$K$1273,0)),"")</f>
        <v/>
      </c>
      <c r="AW92" s="225" t="str">
        <f>IFERROR(INDEX(Data!CS$9:CS$1273,MATCH($M92,Data!$K$9:$K$1273,0)),"")</f>
        <v/>
      </c>
      <c r="AX92" s="225" t="str">
        <f>IFERROR(INDEX(Data!CT$9:CT$1273,MATCH($M92,Data!$K$9:$K$1273,0)),"")</f>
        <v/>
      </c>
      <c r="AY92" s="225" t="str">
        <f>IFERROR(INDEX(Data!CU$9:CU$1273,MATCH($M92,Data!$K$9:$K$1273,0)),"")</f>
        <v/>
      </c>
      <c r="AZ92" s="225" t="str">
        <f>IFERROR(INDEX(Data!CV$9:CV$1273,MATCH($M92,Data!$K$9:$K$1273,0)),"")</f>
        <v/>
      </c>
      <c r="BA92" s="225" t="str">
        <f>IFERROR(INDEX(Data!CX$9:CX$1273,MATCH($M92,Data!$K$9:$K$1273,0)),"")</f>
        <v/>
      </c>
      <c r="BB92" s="225" t="str">
        <f>IFERROR(INDEX(Data!CY$9:CY$1273,MATCH($M92,Data!$K$9:$K$1273,0)),"")</f>
        <v/>
      </c>
      <c r="BC92" s="225" t="str">
        <f>IFERROR(INDEX(Data!CZ$9:CZ$1273,MATCH($M92,Data!$K$9:$K$1273,0)),"")</f>
        <v/>
      </c>
      <c r="BD92" s="225" t="str">
        <f>IFERROR(INDEX(Data!DA$9:DA$1273,MATCH($M92,Data!$K$9:$K$1273,0)),"")</f>
        <v/>
      </c>
      <c r="BE92" s="225" t="str">
        <f>IFERROR(INDEX(Data!DB$9:DB$1273,MATCH($M92,Data!$K$9:$K$1273,0)),"")</f>
        <v/>
      </c>
      <c r="BF92" s="225" t="str">
        <f>IFERROR(INDEX(Data!DC$9:DC$1273,MATCH($M92,Data!$K$9:$K$1273,0)),"")</f>
        <v/>
      </c>
      <c r="BG92" s="225" t="str">
        <f>IFERROR(INDEX(Data!DD$9:DD$1273,MATCH($M92,Data!$K$9:$K$1273,0)),"")</f>
        <v/>
      </c>
      <c r="BH92" s="225" t="str">
        <f>IFERROR(INDEX(Data!DE$9:DE$1273,MATCH($M92,Data!$K$9:$K$1273,0)),"")</f>
        <v/>
      </c>
      <c r="BI92" s="225" t="str">
        <f>IFERROR(INDEX(Data!DF$9:DF$1273,MATCH($M92,Data!$K$9:$K$1273,0)),"")</f>
        <v/>
      </c>
      <c r="BJ92" s="225" t="str">
        <f>IFERROR(INDEX(Data!DG$9:DG$1273,MATCH($M92,Data!$K$9:$K$1273,0)),"")</f>
        <v/>
      </c>
      <c r="BK92" s="225" t="str">
        <f>IFERROR(INDEX(Data!DH$9:DH$1273,MATCH($M92,Data!$K$9:$K$1273,0)),"")</f>
        <v/>
      </c>
      <c r="BL92" s="225" t="str">
        <f>IFERROR(INDEX(Data!DI$9:DI$1273,MATCH($M92,Data!$K$9:$K$1273,0)),"")</f>
        <v/>
      </c>
      <c r="BM92" s="225" t="str">
        <f>IFERROR(INDEX(Data!DJ$9:DJ$1273,MATCH($M92,Data!$K$9:$K$1273,0)),"")</f>
        <v/>
      </c>
      <c r="BN92" s="225" t="str">
        <f>IFERROR(INDEX(Data!DK$9:DK$1273,MATCH($M92,Data!$K$9:$K$1273,0)),"")</f>
        <v/>
      </c>
      <c r="BO92" s="225" t="str">
        <f>IFERROR(INDEX(Data!DL$9:DL$1273,MATCH($M92,Data!$K$9:$K$1273,0)),"")</f>
        <v/>
      </c>
      <c r="BP92" s="243" t="str">
        <f t="shared" si="5"/>
        <v/>
      </c>
      <c r="BQ92" s="225" t="str">
        <f t="shared" si="6"/>
        <v xml:space="preserve"> </v>
      </c>
      <c r="BR92" s="225" t="str">
        <f t="shared" si="7"/>
        <v/>
      </c>
      <c r="BS92" s="225" t="str">
        <f>IFERROR(INDEX(Data!$DO$9:$DO$1273,MATCH('Your recommendation'!BR92,Data!$DN$9:$DN$1273,0)),"")</f>
        <v/>
      </c>
    </row>
    <row r="93" spans="2:71" ht="15.6" customHeight="1">
      <c r="B93" s="222" t="e">
        <f t="shared" si="8"/>
        <v>#N/A</v>
      </c>
      <c r="C93" s="223" t="e">
        <v>#N/A</v>
      </c>
      <c r="D93" s="225" t="str">
        <f>IFERROR(INDEX(Data!BR$9:BR$1273,MATCH($M93,Data!$K$9:$K$1273,0)),"")</f>
        <v/>
      </c>
      <c r="E93" s="225" t="str">
        <f>IFERROR(INDEX(Data!BS$9:BS$1273,MATCH($M93,Data!$K$9:$K$1273,0)),"")</f>
        <v/>
      </c>
      <c r="F93" s="225" t="str">
        <f>IFERROR(INDEX(Data!DM$9:DM$1273,MATCH($M93,Data!$K$9:$K$1273,0)),"")</f>
        <v/>
      </c>
      <c r="G93" s="225" t="str">
        <f>IFERROR(INDEX(Data!BV$9:BV$1273,MATCH($M93,Data!$K$9:$K$1273,0)),"")</f>
        <v/>
      </c>
      <c r="H93" s="225" t="str">
        <f>IFERROR(INDEX(Data!BW$9:BW$1273,MATCH($M93,Data!$K$9:$K$1273,0)),"")</f>
        <v/>
      </c>
      <c r="I93" s="225" t="str">
        <f>IFERROR(INDEX(Data!BX$9:BX$1273,MATCH($M93,Data!$K$9:$K$1273,0)),"")</f>
        <v/>
      </c>
      <c r="J93" s="225" t="str">
        <f>IFERROR(INDEX(Data!CB$9:CB$1273,MATCH($M93,Data!$K$9:$K$1273,0)),"")</f>
        <v/>
      </c>
      <c r="K93" s="241" t="str">
        <f t="shared" si="3"/>
        <v/>
      </c>
      <c r="L93" s="242" t="str">
        <f t="shared" si="4"/>
        <v/>
      </c>
      <c r="M93" s="224" t="e">
        <v>#N/A</v>
      </c>
      <c r="N93" s="224" t="str">
        <f>IFERROR(INDEX(Data!L$9:L$1273,MATCH($M93,Data!$K$9:$K$1273,0)),"")</f>
        <v/>
      </c>
      <c r="O93" s="224" t="str">
        <f>IFERROR(INDEX(Data!M$9:M$1273,MATCH($M93,Data!$K$9:$K$1273,0)),"")</f>
        <v/>
      </c>
      <c r="P93" s="224" t="str">
        <f>IFERROR(INDEX(Data!N$9:N$1273,MATCH($M93,Data!$K$9:$K$1273,0)),"")</f>
        <v/>
      </c>
      <c r="Q93" s="224" t="str">
        <f>IFERROR(INDEX(Data!O$9:O$1273,MATCH($M93,Data!$K$9:$K$1273,0)),"")</f>
        <v/>
      </c>
      <c r="R93" s="224" t="str">
        <f>IFERROR(INDEX(Data!P$9:P$1273,MATCH($M93,Data!$K$9:$K$1273,0)),"")</f>
        <v/>
      </c>
      <c r="S93" s="224" t="str">
        <f>IFERROR(INDEX(Data!S$9:S$1273,MATCH($M93,Data!$K$9:$K$1273,0)),"")</f>
        <v/>
      </c>
      <c r="T93" s="224" t="str">
        <f>IFERROR(INDEX(Data!T$9:T$1273,MATCH($M93,Data!$K$9:$K$1273,0)),"")</f>
        <v/>
      </c>
      <c r="U93" s="224" t="str">
        <f>IFERROR(INDEX(Data!U$9:U$1273,MATCH($M93,Data!$K$9:$K$1273,0)),"")</f>
        <v/>
      </c>
      <c r="V93" s="224" t="str">
        <f>IFERROR(INDEX(Data!V$9:V$1273,MATCH($M93,Data!$K$9:$K$1273,0)),"")</f>
        <v/>
      </c>
      <c r="W93" s="224" t="str">
        <f>IFERROR(INDEX(Data!W$9:W$1273,MATCH($M93,Data!$K$9:$K$1273,0)),"")</f>
        <v/>
      </c>
      <c r="X93" s="224" t="str">
        <f>IFERROR(INDEX(Data!AJ$9:AJ$1273,MATCH($M93,Data!$K$9:$K$1273,0)),"")</f>
        <v/>
      </c>
      <c r="Y93" s="224" t="str">
        <f>IFERROR(INDEX(Data!AK$9:AK$1273,MATCH($M93,Data!$K$9:$K$1273,0)),"")</f>
        <v/>
      </c>
      <c r="Z93" s="224" t="str">
        <f>IFERROR(INDEX(Data!AL$9:AL$1273,MATCH($M93,Data!$K$9:$K$1273,0)),"")</f>
        <v/>
      </c>
      <c r="AA93" s="224" t="str">
        <f>IFERROR(INDEX(Data!AM$9:AM$1273,MATCH($M93,Data!$K$9:$K$1273,0)),"")</f>
        <v/>
      </c>
      <c r="AB93" s="224" t="str">
        <f>IFERROR(INDEX(Data!AN$9:AN$1273,MATCH($M93,Data!$K$9:$K$1273,0)),"")</f>
        <v/>
      </c>
      <c r="AC93" s="225" t="str">
        <f>IFERROR(INDEX(Data!BY$9:BY$1273,MATCH($M93,Data!$K$9:$K$1273,0)),"")</f>
        <v/>
      </c>
      <c r="AD93" s="225" t="str">
        <f>IFERROR(INDEX(Data!BZ$9:BZ$1273,MATCH($M93,Data!$K$9:$K$1273,0)),"")</f>
        <v/>
      </c>
      <c r="AE93" s="225" t="str">
        <f>IFERROR(INDEX(Data!CA$9:CA$1273,MATCH($M93,Data!$K$9:$K$1273,0)),"")</f>
        <v/>
      </c>
      <c r="AF93" s="225" t="str">
        <f>IFERROR(INDEX(Data!CB$9:CB$1273,MATCH($M93,Data!$K$9:$K$1273,0)),"")</f>
        <v/>
      </c>
      <c r="AG93" s="225" t="str">
        <f>IFERROR(INDEX(Data!CC$9:CC$1273,MATCH($M93,Data!$K$9:$K$1273,0)),"")</f>
        <v/>
      </c>
      <c r="AH93" s="225" t="str">
        <f>IFERROR(INDEX(Data!CD$9:CD$1273,MATCH($M93,Data!$K$9:$K$1273,0)),"")</f>
        <v/>
      </c>
      <c r="AI93" s="225" t="str">
        <f>IFERROR(INDEX(Data!CE$9:CE$1273,MATCH($M93,Data!$K$9:$K$1273,0)),"")</f>
        <v/>
      </c>
      <c r="AJ93" s="225" t="str">
        <f>IFERROR(INDEX(Data!CF$9:CF$1273,MATCH($M93,Data!$K$9:$K$1273,0)),"")</f>
        <v/>
      </c>
      <c r="AK93" s="225" t="str">
        <f>IFERROR(INDEX(Data!CG$9:CG$1273,MATCH($M93,Data!$K$9:$K$1273,0)),"")</f>
        <v/>
      </c>
      <c r="AL93" s="225" t="str">
        <f>IFERROR(INDEX(Data!CH$9:CH$1273,MATCH($M93,Data!$K$9:$K$1273,0)),"")</f>
        <v/>
      </c>
      <c r="AM93" s="225" t="str">
        <f>IFERROR(INDEX(Data!CI$9:CI$1273,MATCH($M93,Data!$K$9:$K$1273,0)),"")</f>
        <v/>
      </c>
      <c r="AN93" s="225" t="str">
        <f>IFERROR(INDEX(Data!CJ$9:CJ$1273,MATCH($M93,Data!$K$9:$K$1273,0)),"")</f>
        <v/>
      </c>
      <c r="AO93" s="225" t="str">
        <f>IFERROR(INDEX(Data!CK$9:CK$1273,MATCH($M93,Data!$K$9:$K$1273,0)),"")</f>
        <v/>
      </c>
      <c r="AP93" s="225" t="str">
        <f>IFERROR(INDEX(Data!CL$9:CL$1273,MATCH($M93,Data!$K$9:$K$1273,0)),"")</f>
        <v/>
      </c>
      <c r="AQ93" s="225" t="str">
        <f>IFERROR(INDEX(Data!CM$9:CM$1273,MATCH($M93,Data!$K$9:$K$1273,0)),"")</f>
        <v/>
      </c>
      <c r="AR93" s="225" t="str">
        <f>IFERROR(INDEX(Data!CN$9:CN$1273,MATCH($M93,Data!$K$9:$K$1273,0)),"")</f>
        <v/>
      </c>
      <c r="AS93" s="225" t="str">
        <f>IFERROR(INDEX(Data!CO$9:CO$1273,MATCH($M93,Data!$K$9:$K$1273,0)),"")</f>
        <v/>
      </c>
      <c r="AT93" s="225" t="str">
        <f>IFERROR(INDEX(Data!CP$9:CP$1273,MATCH($M93,Data!$K$9:$K$1273,0)),"")</f>
        <v/>
      </c>
      <c r="AU93" s="225" t="str">
        <f>IFERROR(INDEX(Data!CQ$9:CQ$1273,MATCH($M93,Data!$K$9:$K$1273,0)),"")</f>
        <v/>
      </c>
      <c r="AV93" s="225" t="str">
        <f>IFERROR(INDEX(Data!CR$9:CR$1273,MATCH($M93,Data!$K$9:$K$1273,0)),"")</f>
        <v/>
      </c>
      <c r="AW93" s="225" t="str">
        <f>IFERROR(INDEX(Data!CS$9:CS$1273,MATCH($M93,Data!$K$9:$K$1273,0)),"")</f>
        <v/>
      </c>
      <c r="AX93" s="225" t="str">
        <f>IFERROR(INDEX(Data!CT$9:CT$1273,MATCH($M93,Data!$K$9:$K$1273,0)),"")</f>
        <v/>
      </c>
      <c r="AY93" s="225" t="str">
        <f>IFERROR(INDEX(Data!CU$9:CU$1273,MATCH($M93,Data!$K$9:$K$1273,0)),"")</f>
        <v/>
      </c>
      <c r="AZ93" s="225" t="str">
        <f>IFERROR(INDEX(Data!CV$9:CV$1273,MATCH($M93,Data!$K$9:$K$1273,0)),"")</f>
        <v/>
      </c>
      <c r="BA93" s="225" t="str">
        <f>IFERROR(INDEX(Data!CX$9:CX$1273,MATCH($M93,Data!$K$9:$K$1273,0)),"")</f>
        <v/>
      </c>
      <c r="BB93" s="225" t="str">
        <f>IFERROR(INDEX(Data!CY$9:CY$1273,MATCH($M93,Data!$K$9:$K$1273,0)),"")</f>
        <v/>
      </c>
      <c r="BC93" s="225" t="str">
        <f>IFERROR(INDEX(Data!CZ$9:CZ$1273,MATCH($M93,Data!$K$9:$K$1273,0)),"")</f>
        <v/>
      </c>
      <c r="BD93" s="225" t="str">
        <f>IFERROR(INDEX(Data!DA$9:DA$1273,MATCH($M93,Data!$K$9:$K$1273,0)),"")</f>
        <v/>
      </c>
      <c r="BE93" s="225" t="str">
        <f>IFERROR(INDEX(Data!DB$9:DB$1273,MATCH($M93,Data!$K$9:$K$1273,0)),"")</f>
        <v/>
      </c>
      <c r="BF93" s="225" t="str">
        <f>IFERROR(INDEX(Data!DC$9:DC$1273,MATCH($M93,Data!$K$9:$K$1273,0)),"")</f>
        <v/>
      </c>
      <c r="BG93" s="225" t="str">
        <f>IFERROR(INDEX(Data!DD$9:DD$1273,MATCH($M93,Data!$K$9:$K$1273,0)),"")</f>
        <v/>
      </c>
      <c r="BH93" s="225" t="str">
        <f>IFERROR(INDEX(Data!DE$9:DE$1273,MATCH($M93,Data!$K$9:$K$1273,0)),"")</f>
        <v/>
      </c>
      <c r="BI93" s="225" t="str">
        <f>IFERROR(INDEX(Data!DF$9:DF$1273,MATCH($M93,Data!$K$9:$K$1273,0)),"")</f>
        <v/>
      </c>
      <c r="BJ93" s="225" t="str">
        <f>IFERROR(INDEX(Data!DG$9:DG$1273,MATCH($M93,Data!$K$9:$K$1273,0)),"")</f>
        <v/>
      </c>
      <c r="BK93" s="225" t="str">
        <f>IFERROR(INDEX(Data!DH$9:DH$1273,MATCH($M93,Data!$K$9:$K$1273,0)),"")</f>
        <v/>
      </c>
      <c r="BL93" s="225" t="str">
        <f>IFERROR(INDEX(Data!DI$9:DI$1273,MATCH($M93,Data!$K$9:$K$1273,0)),"")</f>
        <v/>
      </c>
      <c r="BM93" s="225" t="str">
        <f>IFERROR(INDEX(Data!DJ$9:DJ$1273,MATCH($M93,Data!$K$9:$K$1273,0)),"")</f>
        <v/>
      </c>
      <c r="BN93" s="225" t="str">
        <f>IFERROR(INDEX(Data!DK$9:DK$1273,MATCH($M93,Data!$K$9:$K$1273,0)),"")</f>
        <v/>
      </c>
      <c r="BO93" s="225" t="str">
        <f>IFERROR(INDEX(Data!DL$9:DL$1273,MATCH($M93,Data!$K$9:$K$1273,0)),"")</f>
        <v/>
      </c>
      <c r="BP93" s="243" t="str">
        <f t="shared" si="5"/>
        <v/>
      </c>
      <c r="BQ93" s="225" t="str">
        <f t="shared" si="6"/>
        <v xml:space="preserve"> </v>
      </c>
      <c r="BR93" s="225" t="str">
        <f t="shared" si="7"/>
        <v/>
      </c>
      <c r="BS93" s="225" t="str">
        <f>IFERROR(INDEX(Data!$DO$9:$DO$1273,MATCH('Your recommendation'!BR93,Data!$DN$9:$DN$1273,0)),"")</f>
        <v/>
      </c>
    </row>
    <row r="94" spans="2:71" ht="15.6" customHeight="1">
      <c r="B94" s="222" t="e">
        <f t="shared" si="8"/>
        <v>#N/A</v>
      </c>
      <c r="C94" s="223" t="e">
        <v>#N/A</v>
      </c>
      <c r="D94" s="225" t="str">
        <f>IFERROR(INDEX(Data!BR$9:BR$1273,MATCH($M94,Data!$K$9:$K$1273,0)),"")</f>
        <v/>
      </c>
      <c r="E94" s="225" t="str">
        <f>IFERROR(INDEX(Data!BS$9:BS$1273,MATCH($M94,Data!$K$9:$K$1273,0)),"")</f>
        <v/>
      </c>
      <c r="F94" s="225" t="str">
        <f>IFERROR(INDEX(Data!DM$9:DM$1273,MATCH($M94,Data!$K$9:$K$1273,0)),"")</f>
        <v/>
      </c>
      <c r="G94" s="225" t="str">
        <f>IFERROR(INDEX(Data!BV$9:BV$1273,MATCH($M94,Data!$K$9:$K$1273,0)),"")</f>
        <v/>
      </c>
      <c r="H94" s="225" t="str">
        <f>IFERROR(INDEX(Data!BW$9:BW$1273,MATCH($M94,Data!$K$9:$K$1273,0)),"")</f>
        <v/>
      </c>
      <c r="I94" s="225" t="str">
        <f>IFERROR(INDEX(Data!BX$9:BX$1273,MATCH($M94,Data!$K$9:$K$1273,0)),"")</f>
        <v/>
      </c>
      <c r="J94" s="225" t="str">
        <f>IFERROR(INDEX(Data!CB$9:CB$1273,MATCH($M94,Data!$K$9:$K$1273,0)),"")</f>
        <v/>
      </c>
      <c r="K94" s="241" t="str">
        <f t="shared" si="3"/>
        <v/>
      </c>
      <c r="L94" s="242" t="str">
        <f t="shared" si="4"/>
        <v/>
      </c>
      <c r="M94" s="224" t="e">
        <v>#N/A</v>
      </c>
      <c r="N94" s="224" t="str">
        <f>IFERROR(INDEX(Data!L$9:L$1273,MATCH($M94,Data!$K$9:$K$1273,0)),"")</f>
        <v/>
      </c>
      <c r="O94" s="224" t="str">
        <f>IFERROR(INDEX(Data!M$9:M$1273,MATCH($M94,Data!$K$9:$K$1273,0)),"")</f>
        <v/>
      </c>
      <c r="P94" s="224" t="str">
        <f>IFERROR(INDEX(Data!N$9:N$1273,MATCH($M94,Data!$K$9:$K$1273,0)),"")</f>
        <v/>
      </c>
      <c r="Q94" s="224" t="str">
        <f>IFERROR(INDEX(Data!O$9:O$1273,MATCH($M94,Data!$K$9:$K$1273,0)),"")</f>
        <v/>
      </c>
      <c r="R94" s="224" t="str">
        <f>IFERROR(INDEX(Data!P$9:P$1273,MATCH($M94,Data!$K$9:$K$1273,0)),"")</f>
        <v/>
      </c>
      <c r="S94" s="224" t="str">
        <f>IFERROR(INDEX(Data!S$9:S$1273,MATCH($M94,Data!$K$9:$K$1273,0)),"")</f>
        <v/>
      </c>
      <c r="T94" s="224" t="str">
        <f>IFERROR(INDEX(Data!T$9:T$1273,MATCH($M94,Data!$K$9:$K$1273,0)),"")</f>
        <v/>
      </c>
      <c r="U94" s="224" t="str">
        <f>IFERROR(INDEX(Data!U$9:U$1273,MATCH($M94,Data!$K$9:$K$1273,0)),"")</f>
        <v/>
      </c>
      <c r="V94" s="224" t="str">
        <f>IFERROR(INDEX(Data!V$9:V$1273,MATCH($M94,Data!$K$9:$K$1273,0)),"")</f>
        <v/>
      </c>
      <c r="W94" s="224" t="str">
        <f>IFERROR(INDEX(Data!W$9:W$1273,MATCH($M94,Data!$K$9:$K$1273,0)),"")</f>
        <v/>
      </c>
      <c r="X94" s="224" t="str">
        <f>IFERROR(INDEX(Data!AJ$9:AJ$1273,MATCH($M94,Data!$K$9:$K$1273,0)),"")</f>
        <v/>
      </c>
      <c r="Y94" s="224" t="str">
        <f>IFERROR(INDEX(Data!AK$9:AK$1273,MATCH($M94,Data!$K$9:$K$1273,0)),"")</f>
        <v/>
      </c>
      <c r="Z94" s="224" t="str">
        <f>IFERROR(INDEX(Data!AL$9:AL$1273,MATCH($M94,Data!$K$9:$K$1273,0)),"")</f>
        <v/>
      </c>
      <c r="AA94" s="224" t="str">
        <f>IFERROR(INDEX(Data!AM$9:AM$1273,MATCH($M94,Data!$K$9:$K$1273,0)),"")</f>
        <v/>
      </c>
      <c r="AB94" s="224" t="str">
        <f>IFERROR(INDEX(Data!AN$9:AN$1273,MATCH($M94,Data!$K$9:$K$1273,0)),"")</f>
        <v/>
      </c>
      <c r="AC94" s="225" t="str">
        <f>IFERROR(INDEX(Data!BY$9:BY$1273,MATCH($M94,Data!$K$9:$K$1273,0)),"")</f>
        <v/>
      </c>
      <c r="AD94" s="225" t="str">
        <f>IFERROR(INDEX(Data!BZ$9:BZ$1273,MATCH($M94,Data!$K$9:$K$1273,0)),"")</f>
        <v/>
      </c>
      <c r="AE94" s="225" t="str">
        <f>IFERROR(INDEX(Data!CA$9:CA$1273,MATCH($M94,Data!$K$9:$K$1273,0)),"")</f>
        <v/>
      </c>
      <c r="AF94" s="225" t="str">
        <f>IFERROR(INDEX(Data!CB$9:CB$1273,MATCH($M94,Data!$K$9:$K$1273,0)),"")</f>
        <v/>
      </c>
      <c r="AG94" s="225" t="str">
        <f>IFERROR(INDEX(Data!CC$9:CC$1273,MATCH($M94,Data!$K$9:$K$1273,0)),"")</f>
        <v/>
      </c>
      <c r="AH94" s="225" t="str">
        <f>IFERROR(INDEX(Data!CD$9:CD$1273,MATCH($M94,Data!$K$9:$K$1273,0)),"")</f>
        <v/>
      </c>
      <c r="AI94" s="225" t="str">
        <f>IFERROR(INDEX(Data!CE$9:CE$1273,MATCH($M94,Data!$K$9:$K$1273,0)),"")</f>
        <v/>
      </c>
      <c r="AJ94" s="225" t="str">
        <f>IFERROR(INDEX(Data!CF$9:CF$1273,MATCH($M94,Data!$K$9:$K$1273,0)),"")</f>
        <v/>
      </c>
      <c r="AK94" s="225" t="str">
        <f>IFERROR(INDEX(Data!CG$9:CG$1273,MATCH($M94,Data!$K$9:$K$1273,0)),"")</f>
        <v/>
      </c>
      <c r="AL94" s="225" t="str">
        <f>IFERROR(INDEX(Data!CH$9:CH$1273,MATCH($M94,Data!$K$9:$K$1273,0)),"")</f>
        <v/>
      </c>
      <c r="AM94" s="225" t="str">
        <f>IFERROR(INDEX(Data!CI$9:CI$1273,MATCH($M94,Data!$K$9:$K$1273,0)),"")</f>
        <v/>
      </c>
      <c r="AN94" s="225" t="str">
        <f>IFERROR(INDEX(Data!CJ$9:CJ$1273,MATCH($M94,Data!$K$9:$K$1273,0)),"")</f>
        <v/>
      </c>
      <c r="AO94" s="225" t="str">
        <f>IFERROR(INDEX(Data!CK$9:CK$1273,MATCH($M94,Data!$K$9:$K$1273,0)),"")</f>
        <v/>
      </c>
      <c r="AP94" s="225" t="str">
        <f>IFERROR(INDEX(Data!CL$9:CL$1273,MATCH($M94,Data!$K$9:$K$1273,0)),"")</f>
        <v/>
      </c>
      <c r="AQ94" s="225" t="str">
        <f>IFERROR(INDEX(Data!CM$9:CM$1273,MATCH($M94,Data!$K$9:$K$1273,0)),"")</f>
        <v/>
      </c>
      <c r="AR94" s="225" t="str">
        <f>IFERROR(INDEX(Data!CN$9:CN$1273,MATCH($M94,Data!$K$9:$K$1273,0)),"")</f>
        <v/>
      </c>
      <c r="AS94" s="225" t="str">
        <f>IFERROR(INDEX(Data!CO$9:CO$1273,MATCH($M94,Data!$K$9:$K$1273,0)),"")</f>
        <v/>
      </c>
      <c r="AT94" s="225" t="str">
        <f>IFERROR(INDEX(Data!CP$9:CP$1273,MATCH($M94,Data!$K$9:$K$1273,0)),"")</f>
        <v/>
      </c>
      <c r="AU94" s="225" t="str">
        <f>IFERROR(INDEX(Data!CQ$9:CQ$1273,MATCH($M94,Data!$K$9:$K$1273,0)),"")</f>
        <v/>
      </c>
      <c r="AV94" s="225" t="str">
        <f>IFERROR(INDEX(Data!CR$9:CR$1273,MATCH($M94,Data!$K$9:$K$1273,0)),"")</f>
        <v/>
      </c>
      <c r="AW94" s="225" t="str">
        <f>IFERROR(INDEX(Data!CS$9:CS$1273,MATCH($M94,Data!$K$9:$K$1273,0)),"")</f>
        <v/>
      </c>
      <c r="AX94" s="225" t="str">
        <f>IFERROR(INDEX(Data!CT$9:CT$1273,MATCH($M94,Data!$K$9:$K$1273,0)),"")</f>
        <v/>
      </c>
      <c r="AY94" s="225" t="str">
        <f>IFERROR(INDEX(Data!CU$9:CU$1273,MATCH($M94,Data!$K$9:$K$1273,0)),"")</f>
        <v/>
      </c>
      <c r="AZ94" s="225" t="str">
        <f>IFERROR(INDEX(Data!CV$9:CV$1273,MATCH($M94,Data!$K$9:$K$1273,0)),"")</f>
        <v/>
      </c>
      <c r="BA94" s="225" t="str">
        <f>IFERROR(INDEX(Data!CX$9:CX$1273,MATCH($M94,Data!$K$9:$K$1273,0)),"")</f>
        <v/>
      </c>
      <c r="BB94" s="225" t="str">
        <f>IFERROR(INDEX(Data!CY$9:CY$1273,MATCH($M94,Data!$K$9:$K$1273,0)),"")</f>
        <v/>
      </c>
      <c r="BC94" s="225" t="str">
        <f>IFERROR(INDEX(Data!CZ$9:CZ$1273,MATCH($M94,Data!$K$9:$K$1273,0)),"")</f>
        <v/>
      </c>
      <c r="BD94" s="225" t="str">
        <f>IFERROR(INDEX(Data!DA$9:DA$1273,MATCH($M94,Data!$K$9:$K$1273,0)),"")</f>
        <v/>
      </c>
      <c r="BE94" s="225" t="str">
        <f>IFERROR(INDEX(Data!DB$9:DB$1273,MATCH($M94,Data!$K$9:$K$1273,0)),"")</f>
        <v/>
      </c>
      <c r="BF94" s="225" t="str">
        <f>IFERROR(INDEX(Data!DC$9:DC$1273,MATCH($M94,Data!$K$9:$K$1273,0)),"")</f>
        <v/>
      </c>
      <c r="BG94" s="225" t="str">
        <f>IFERROR(INDEX(Data!DD$9:DD$1273,MATCH($M94,Data!$K$9:$K$1273,0)),"")</f>
        <v/>
      </c>
      <c r="BH94" s="225" t="str">
        <f>IFERROR(INDEX(Data!DE$9:DE$1273,MATCH($M94,Data!$K$9:$K$1273,0)),"")</f>
        <v/>
      </c>
      <c r="BI94" s="225" t="str">
        <f>IFERROR(INDEX(Data!DF$9:DF$1273,MATCH($M94,Data!$K$9:$K$1273,0)),"")</f>
        <v/>
      </c>
      <c r="BJ94" s="225" t="str">
        <f>IFERROR(INDEX(Data!DG$9:DG$1273,MATCH($M94,Data!$K$9:$K$1273,0)),"")</f>
        <v/>
      </c>
      <c r="BK94" s="225" t="str">
        <f>IFERROR(INDEX(Data!DH$9:DH$1273,MATCH($M94,Data!$K$9:$K$1273,0)),"")</f>
        <v/>
      </c>
      <c r="BL94" s="225" t="str">
        <f>IFERROR(INDEX(Data!DI$9:DI$1273,MATCH($M94,Data!$K$9:$K$1273,0)),"")</f>
        <v/>
      </c>
      <c r="BM94" s="225" t="str">
        <f>IFERROR(INDEX(Data!DJ$9:DJ$1273,MATCH($M94,Data!$K$9:$K$1273,0)),"")</f>
        <v/>
      </c>
      <c r="BN94" s="225" t="str">
        <f>IFERROR(INDEX(Data!DK$9:DK$1273,MATCH($M94,Data!$K$9:$K$1273,0)),"")</f>
        <v/>
      </c>
      <c r="BO94" s="225" t="str">
        <f>IFERROR(INDEX(Data!DL$9:DL$1273,MATCH($M94,Data!$K$9:$K$1273,0)),"")</f>
        <v/>
      </c>
      <c r="BP94" s="243" t="str">
        <f t="shared" si="5"/>
        <v/>
      </c>
      <c r="BQ94" s="225" t="str">
        <f t="shared" si="6"/>
        <v xml:space="preserve"> </v>
      </c>
      <c r="BR94" s="225" t="str">
        <f t="shared" si="7"/>
        <v/>
      </c>
      <c r="BS94" s="225" t="str">
        <f>IFERROR(INDEX(Data!$DO$9:$DO$1273,MATCH('Your recommendation'!BR94,Data!$DN$9:$DN$1273,0)),"")</f>
        <v/>
      </c>
    </row>
    <row r="95" spans="2:71" ht="15.6" customHeight="1">
      <c r="B95" s="222" t="str">
        <f t="shared" si="8"/>
        <v/>
      </c>
      <c r="C95" s="223"/>
      <c r="D95" s="225" t="str">
        <f>IFERROR(INDEX(Data!BR$9:BR$1273,MATCH($M95,Data!$K$9:$K$1273,0)),"")</f>
        <v/>
      </c>
      <c r="E95" s="225" t="str">
        <f>IFERROR(INDEX(Data!BS$9:BS$1273,MATCH($M95,Data!$K$9:$K$1273,0)),"")</f>
        <v/>
      </c>
      <c r="F95" s="225" t="str">
        <f>IFERROR(INDEX(Data!DM$9:DM$1273,MATCH($M95,Data!$K$9:$K$1273,0)),"")</f>
        <v/>
      </c>
      <c r="G95" s="225" t="str">
        <f>IFERROR(INDEX(Data!BV$9:BV$1273,MATCH($M95,Data!$K$9:$K$1273,0)),"")</f>
        <v/>
      </c>
      <c r="H95" s="225" t="str">
        <f>IFERROR(INDEX(Data!BW$9:BW$1273,MATCH($M95,Data!$K$9:$K$1273,0)),"")</f>
        <v/>
      </c>
      <c r="I95" s="225" t="str">
        <f>IFERROR(INDEX(Data!BX$9:BX$1273,MATCH($M95,Data!$K$9:$K$1273,0)),"")</f>
        <v/>
      </c>
      <c r="J95" s="225" t="str">
        <f>IFERROR(INDEX(Data!CB$9:CB$1273,MATCH($M95,Data!$K$9:$K$1273,0)),"")</f>
        <v/>
      </c>
      <c r="K95" s="241" t="str">
        <f t="shared" si="3"/>
        <v/>
      </c>
      <c r="L95" s="242" t="str">
        <f t="shared" si="4"/>
        <v/>
      </c>
      <c r="M95" s="224"/>
      <c r="N95" s="224" t="str">
        <f>IFERROR(INDEX(Data!L$9:L$1273,MATCH($M95,Data!$K$9:$K$1273,0)),"")</f>
        <v/>
      </c>
      <c r="O95" s="224" t="str">
        <f>IFERROR(INDEX(Data!M$9:M$1273,MATCH($M95,Data!$K$9:$K$1273,0)),"")</f>
        <v/>
      </c>
      <c r="P95" s="224" t="str">
        <f>IFERROR(INDEX(Data!N$9:N$1273,MATCH($M95,Data!$K$9:$K$1273,0)),"")</f>
        <v/>
      </c>
      <c r="Q95" s="224" t="str">
        <f>IFERROR(INDEX(Data!O$9:O$1273,MATCH($M95,Data!$K$9:$K$1273,0)),"")</f>
        <v/>
      </c>
      <c r="R95" s="224" t="str">
        <f>IFERROR(INDEX(Data!P$9:P$1273,MATCH($M95,Data!$K$9:$K$1273,0)),"")</f>
        <v/>
      </c>
      <c r="S95" s="224" t="str">
        <f>IFERROR(INDEX(Data!S$9:S$1273,MATCH($M95,Data!$K$9:$K$1273,0)),"")</f>
        <v/>
      </c>
      <c r="T95" s="224" t="str">
        <f>IFERROR(INDEX(Data!T$9:T$1273,MATCH($M95,Data!$K$9:$K$1273,0)),"")</f>
        <v/>
      </c>
      <c r="U95" s="224" t="str">
        <f>IFERROR(INDEX(Data!U$9:U$1273,MATCH($M95,Data!$K$9:$K$1273,0)),"")</f>
        <v/>
      </c>
      <c r="V95" s="224" t="str">
        <f>IFERROR(INDEX(Data!V$9:V$1273,MATCH($M95,Data!$K$9:$K$1273,0)),"")</f>
        <v/>
      </c>
      <c r="W95" s="224" t="str">
        <f>IFERROR(INDEX(Data!W$9:W$1273,MATCH($M95,Data!$K$9:$K$1273,0)),"")</f>
        <v/>
      </c>
      <c r="X95" s="224" t="str">
        <f>IFERROR(INDEX(Data!AJ$9:AJ$1273,MATCH($M95,Data!$K$9:$K$1273,0)),"")</f>
        <v/>
      </c>
      <c r="Y95" s="224" t="str">
        <f>IFERROR(INDEX(Data!AK$9:AK$1273,MATCH($M95,Data!$K$9:$K$1273,0)),"")</f>
        <v/>
      </c>
      <c r="Z95" s="224" t="str">
        <f>IFERROR(INDEX(Data!AL$9:AL$1273,MATCH($M95,Data!$K$9:$K$1273,0)),"")</f>
        <v/>
      </c>
      <c r="AA95" s="224" t="str">
        <f>IFERROR(INDEX(Data!AM$9:AM$1273,MATCH($M95,Data!$K$9:$K$1273,0)),"")</f>
        <v/>
      </c>
      <c r="AB95" s="224" t="str">
        <f>IFERROR(INDEX(Data!AN$9:AN$1273,MATCH($M95,Data!$K$9:$K$1273,0)),"")</f>
        <v/>
      </c>
      <c r="AC95" s="225" t="str">
        <f>IFERROR(INDEX(Data!BY$9:BY$1273,MATCH($M95,Data!$K$9:$K$1273,0)),"")</f>
        <v/>
      </c>
      <c r="AD95" s="225" t="str">
        <f>IFERROR(INDEX(Data!BZ$9:BZ$1273,MATCH($M95,Data!$K$9:$K$1273,0)),"")</f>
        <v/>
      </c>
      <c r="AE95" s="225" t="str">
        <f>IFERROR(INDEX(Data!CA$9:CA$1273,MATCH($M95,Data!$K$9:$K$1273,0)),"")</f>
        <v/>
      </c>
      <c r="AF95" s="225" t="str">
        <f>IFERROR(INDEX(Data!CB$9:CB$1273,MATCH($M95,Data!$K$9:$K$1273,0)),"")</f>
        <v/>
      </c>
      <c r="AG95" s="225" t="str">
        <f>IFERROR(INDEX(Data!CC$9:CC$1273,MATCH($M95,Data!$K$9:$K$1273,0)),"")</f>
        <v/>
      </c>
      <c r="AH95" s="225" t="str">
        <f>IFERROR(INDEX(Data!CD$9:CD$1273,MATCH($M95,Data!$K$9:$K$1273,0)),"")</f>
        <v/>
      </c>
      <c r="AI95" s="225" t="str">
        <f>IFERROR(INDEX(Data!CE$9:CE$1273,MATCH($M95,Data!$K$9:$K$1273,0)),"")</f>
        <v/>
      </c>
      <c r="AJ95" s="225" t="str">
        <f>IFERROR(INDEX(Data!CF$9:CF$1273,MATCH($M95,Data!$K$9:$K$1273,0)),"")</f>
        <v/>
      </c>
      <c r="AK95" s="225" t="str">
        <f>IFERROR(INDEX(Data!CG$9:CG$1273,MATCH($M95,Data!$K$9:$K$1273,0)),"")</f>
        <v/>
      </c>
      <c r="AL95" s="225" t="str">
        <f>IFERROR(INDEX(Data!CH$9:CH$1273,MATCH($M95,Data!$K$9:$K$1273,0)),"")</f>
        <v/>
      </c>
      <c r="AM95" s="225" t="str">
        <f>IFERROR(INDEX(Data!CI$9:CI$1273,MATCH($M95,Data!$K$9:$K$1273,0)),"")</f>
        <v/>
      </c>
      <c r="AN95" s="225" t="str">
        <f>IFERROR(INDEX(Data!CJ$9:CJ$1273,MATCH($M95,Data!$K$9:$K$1273,0)),"")</f>
        <v/>
      </c>
      <c r="AO95" s="225" t="str">
        <f>IFERROR(INDEX(Data!CK$9:CK$1273,MATCH($M95,Data!$K$9:$K$1273,0)),"")</f>
        <v/>
      </c>
      <c r="AP95" s="225" t="str">
        <f>IFERROR(INDEX(Data!CL$9:CL$1273,MATCH($M95,Data!$K$9:$K$1273,0)),"")</f>
        <v/>
      </c>
      <c r="AQ95" s="225" t="str">
        <f>IFERROR(INDEX(Data!CM$9:CM$1273,MATCH($M95,Data!$K$9:$K$1273,0)),"")</f>
        <v/>
      </c>
      <c r="AR95" s="225" t="str">
        <f>IFERROR(INDEX(Data!CN$9:CN$1273,MATCH($M95,Data!$K$9:$K$1273,0)),"")</f>
        <v/>
      </c>
      <c r="AS95" s="225" t="str">
        <f>IFERROR(INDEX(Data!CO$9:CO$1273,MATCH($M95,Data!$K$9:$K$1273,0)),"")</f>
        <v/>
      </c>
      <c r="AT95" s="225" t="str">
        <f>IFERROR(INDEX(Data!CP$9:CP$1273,MATCH($M95,Data!$K$9:$K$1273,0)),"")</f>
        <v/>
      </c>
      <c r="AU95" s="225" t="str">
        <f>IFERROR(INDEX(Data!CQ$9:CQ$1273,MATCH($M95,Data!$K$9:$K$1273,0)),"")</f>
        <v/>
      </c>
      <c r="AV95" s="225" t="str">
        <f>IFERROR(INDEX(Data!CR$9:CR$1273,MATCH($M95,Data!$K$9:$K$1273,0)),"")</f>
        <v/>
      </c>
      <c r="AW95" s="225" t="str">
        <f>IFERROR(INDEX(Data!CS$9:CS$1273,MATCH($M95,Data!$K$9:$K$1273,0)),"")</f>
        <v/>
      </c>
      <c r="AX95" s="225" t="str">
        <f>IFERROR(INDEX(Data!CT$9:CT$1273,MATCH($M95,Data!$K$9:$K$1273,0)),"")</f>
        <v/>
      </c>
      <c r="AY95" s="225" t="str">
        <f>IFERROR(INDEX(Data!CU$9:CU$1273,MATCH($M95,Data!$K$9:$K$1273,0)),"")</f>
        <v/>
      </c>
      <c r="AZ95" s="225" t="str">
        <f>IFERROR(INDEX(Data!CV$9:CV$1273,MATCH($M95,Data!$K$9:$K$1273,0)),"")</f>
        <v/>
      </c>
      <c r="BA95" s="225" t="str">
        <f>IFERROR(INDEX(Data!CX$9:CX$1273,MATCH($M95,Data!$K$9:$K$1273,0)),"")</f>
        <v/>
      </c>
      <c r="BB95" s="225" t="str">
        <f>IFERROR(INDEX(Data!CY$9:CY$1273,MATCH($M95,Data!$K$9:$K$1273,0)),"")</f>
        <v/>
      </c>
      <c r="BC95" s="225" t="str">
        <f>IFERROR(INDEX(Data!CZ$9:CZ$1273,MATCH($M95,Data!$K$9:$K$1273,0)),"")</f>
        <v/>
      </c>
      <c r="BD95" s="225" t="str">
        <f>IFERROR(INDEX(Data!DA$9:DA$1273,MATCH($M95,Data!$K$9:$K$1273,0)),"")</f>
        <v/>
      </c>
      <c r="BE95" s="225" t="str">
        <f>IFERROR(INDEX(Data!DB$9:DB$1273,MATCH($M95,Data!$K$9:$K$1273,0)),"")</f>
        <v/>
      </c>
      <c r="BF95" s="225" t="str">
        <f>IFERROR(INDEX(Data!DC$9:DC$1273,MATCH($M95,Data!$K$9:$K$1273,0)),"")</f>
        <v/>
      </c>
      <c r="BG95" s="225" t="str">
        <f>IFERROR(INDEX(Data!DD$9:DD$1273,MATCH($M95,Data!$K$9:$K$1273,0)),"")</f>
        <v/>
      </c>
      <c r="BH95" s="225" t="str">
        <f>IFERROR(INDEX(Data!DE$9:DE$1273,MATCH($M95,Data!$K$9:$K$1273,0)),"")</f>
        <v/>
      </c>
      <c r="BI95" s="225" t="str">
        <f>IFERROR(INDEX(Data!DF$9:DF$1273,MATCH($M95,Data!$K$9:$K$1273,0)),"")</f>
        <v/>
      </c>
      <c r="BJ95" s="225" t="str">
        <f>IFERROR(INDEX(Data!DG$9:DG$1273,MATCH($M95,Data!$K$9:$K$1273,0)),"")</f>
        <v/>
      </c>
      <c r="BK95" s="225" t="str">
        <f>IFERROR(INDEX(Data!DH$9:DH$1273,MATCH($M95,Data!$K$9:$K$1273,0)),"")</f>
        <v/>
      </c>
      <c r="BL95" s="225" t="str">
        <f>IFERROR(INDEX(Data!DI$9:DI$1273,MATCH($M95,Data!$K$9:$K$1273,0)),"")</f>
        <v/>
      </c>
      <c r="BM95" s="225" t="str">
        <f>IFERROR(INDEX(Data!DJ$9:DJ$1273,MATCH($M95,Data!$K$9:$K$1273,0)),"")</f>
        <v/>
      </c>
      <c r="BN95" s="225" t="str">
        <f>IFERROR(INDEX(Data!DK$9:DK$1273,MATCH($M95,Data!$K$9:$K$1273,0)),"")</f>
        <v/>
      </c>
      <c r="BO95" s="225" t="str">
        <f>IFERROR(INDEX(Data!DL$9:DL$1273,MATCH($M95,Data!$K$9:$K$1273,0)),"")</f>
        <v/>
      </c>
      <c r="BP95" s="243" t="str">
        <f t="shared" si="5"/>
        <v/>
      </c>
      <c r="BQ95" s="225" t="str">
        <f t="shared" si="6"/>
        <v xml:space="preserve"> </v>
      </c>
      <c r="BR95" s="225" t="str">
        <f t="shared" si="7"/>
        <v/>
      </c>
      <c r="BS95" s="225" t="str">
        <f>IFERROR(INDEX(Data!$DO$9:$DO$1273,MATCH('Your recommendation'!BR95,Data!$DN$9:$DN$1273,0)),"")</f>
        <v/>
      </c>
    </row>
    <row r="96" spans="2:71" ht="15.6" customHeight="1">
      <c r="B96" s="222" t="str">
        <f t="shared" si="8"/>
        <v/>
      </c>
      <c r="C96" s="223"/>
      <c r="D96" s="225" t="str">
        <f>IFERROR(INDEX(Data!BR$9:BR$1273,MATCH($M96,Data!$K$9:$K$1273,0)),"")</f>
        <v/>
      </c>
      <c r="E96" s="225" t="str">
        <f>IFERROR(INDEX(Data!BS$9:BS$1273,MATCH($M96,Data!$K$9:$K$1273,0)),"")</f>
        <v/>
      </c>
      <c r="F96" s="225" t="str">
        <f>IFERROR(INDEX(Data!DM$9:DM$1273,MATCH($M96,Data!$K$9:$K$1273,0)),"")</f>
        <v/>
      </c>
      <c r="G96" s="225" t="str">
        <f>IFERROR(INDEX(Data!BV$9:BV$1273,MATCH($M96,Data!$K$9:$K$1273,0)),"")</f>
        <v/>
      </c>
      <c r="H96" s="225" t="str">
        <f>IFERROR(INDEX(Data!BW$9:BW$1273,MATCH($M96,Data!$K$9:$K$1273,0)),"")</f>
        <v/>
      </c>
      <c r="I96" s="225" t="str">
        <f>IFERROR(INDEX(Data!BX$9:BX$1273,MATCH($M96,Data!$K$9:$K$1273,0)),"")</f>
        <v/>
      </c>
      <c r="J96" s="225" t="str">
        <f>IFERROR(INDEX(Data!CB$9:CB$1273,MATCH($M96,Data!$K$9:$K$1273,0)),"")</f>
        <v/>
      </c>
      <c r="K96" s="241" t="str">
        <f t="shared" si="3"/>
        <v/>
      </c>
      <c r="L96" s="242" t="str">
        <f t="shared" si="4"/>
        <v/>
      </c>
      <c r="M96" s="224"/>
      <c r="N96" s="224" t="str">
        <f>IFERROR(INDEX(Data!L$9:L$1273,MATCH($M96,Data!$K$9:$K$1273,0)),"")</f>
        <v/>
      </c>
      <c r="O96" s="224" t="str">
        <f>IFERROR(INDEX(Data!M$9:M$1273,MATCH($M96,Data!$K$9:$K$1273,0)),"")</f>
        <v/>
      </c>
      <c r="P96" s="224" t="str">
        <f>IFERROR(INDEX(Data!N$9:N$1273,MATCH($M96,Data!$K$9:$K$1273,0)),"")</f>
        <v/>
      </c>
      <c r="Q96" s="224" t="str">
        <f>IFERROR(INDEX(Data!O$9:O$1273,MATCH($M96,Data!$K$9:$K$1273,0)),"")</f>
        <v/>
      </c>
      <c r="R96" s="224" t="str">
        <f>IFERROR(INDEX(Data!P$9:P$1273,MATCH($M96,Data!$K$9:$K$1273,0)),"")</f>
        <v/>
      </c>
      <c r="S96" s="224" t="str">
        <f>IFERROR(INDEX(Data!S$9:S$1273,MATCH($M96,Data!$K$9:$K$1273,0)),"")</f>
        <v/>
      </c>
      <c r="T96" s="224" t="str">
        <f>IFERROR(INDEX(Data!T$9:T$1273,MATCH($M96,Data!$K$9:$K$1273,0)),"")</f>
        <v/>
      </c>
      <c r="U96" s="224" t="str">
        <f>IFERROR(INDEX(Data!U$9:U$1273,MATCH($M96,Data!$K$9:$K$1273,0)),"")</f>
        <v/>
      </c>
      <c r="V96" s="224" t="str">
        <f>IFERROR(INDEX(Data!V$9:V$1273,MATCH($M96,Data!$K$9:$K$1273,0)),"")</f>
        <v/>
      </c>
      <c r="W96" s="224" t="str">
        <f>IFERROR(INDEX(Data!W$9:W$1273,MATCH($M96,Data!$K$9:$K$1273,0)),"")</f>
        <v/>
      </c>
      <c r="X96" s="224" t="str">
        <f>IFERROR(INDEX(Data!AJ$9:AJ$1273,MATCH($M96,Data!$K$9:$K$1273,0)),"")</f>
        <v/>
      </c>
      <c r="Y96" s="224" t="str">
        <f>IFERROR(INDEX(Data!AK$9:AK$1273,MATCH($M96,Data!$K$9:$K$1273,0)),"")</f>
        <v/>
      </c>
      <c r="Z96" s="224" t="str">
        <f>IFERROR(INDEX(Data!AL$9:AL$1273,MATCH($M96,Data!$K$9:$K$1273,0)),"")</f>
        <v/>
      </c>
      <c r="AA96" s="224" t="str">
        <f>IFERROR(INDEX(Data!AM$9:AM$1273,MATCH($M96,Data!$K$9:$K$1273,0)),"")</f>
        <v/>
      </c>
      <c r="AB96" s="224" t="str">
        <f>IFERROR(INDEX(Data!AN$9:AN$1273,MATCH($M96,Data!$K$9:$K$1273,0)),"")</f>
        <v/>
      </c>
      <c r="AC96" s="225" t="str">
        <f>IFERROR(INDEX(Data!BY$9:BY$1273,MATCH($M96,Data!$K$9:$K$1273,0)),"")</f>
        <v/>
      </c>
      <c r="AD96" s="225" t="str">
        <f>IFERROR(INDEX(Data!BZ$9:BZ$1273,MATCH($M96,Data!$K$9:$K$1273,0)),"")</f>
        <v/>
      </c>
      <c r="AE96" s="225" t="str">
        <f>IFERROR(INDEX(Data!CA$9:CA$1273,MATCH($M96,Data!$K$9:$K$1273,0)),"")</f>
        <v/>
      </c>
      <c r="AF96" s="225" t="str">
        <f>IFERROR(INDEX(Data!CB$9:CB$1273,MATCH($M96,Data!$K$9:$K$1273,0)),"")</f>
        <v/>
      </c>
      <c r="AG96" s="225" t="str">
        <f>IFERROR(INDEX(Data!CC$9:CC$1273,MATCH($M96,Data!$K$9:$K$1273,0)),"")</f>
        <v/>
      </c>
      <c r="AH96" s="225" t="str">
        <f>IFERROR(INDEX(Data!CD$9:CD$1273,MATCH($M96,Data!$K$9:$K$1273,0)),"")</f>
        <v/>
      </c>
      <c r="AI96" s="225" t="str">
        <f>IFERROR(INDEX(Data!CE$9:CE$1273,MATCH($M96,Data!$K$9:$K$1273,0)),"")</f>
        <v/>
      </c>
      <c r="AJ96" s="225" t="str">
        <f>IFERROR(INDEX(Data!CF$9:CF$1273,MATCH($M96,Data!$K$9:$K$1273,0)),"")</f>
        <v/>
      </c>
      <c r="AK96" s="225" t="str">
        <f>IFERROR(INDEX(Data!CG$9:CG$1273,MATCH($M96,Data!$K$9:$K$1273,0)),"")</f>
        <v/>
      </c>
      <c r="AL96" s="225" t="str">
        <f>IFERROR(INDEX(Data!CH$9:CH$1273,MATCH($M96,Data!$K$9:$K$1273,0)),"")</f>
        <v/>
      </c>
      <c r="AM96" s="225" t="str">
        <f>IFERROR(INDEX(Data!CI$9:CI$1273,MATCH($M96,Data!$K$9:$K$1273,0)),"")</f>
        <v/>
      </c>
      <c r="AN96" s="225" t="str">
        <f>IFERROR(INDEX(Data!CJ$9:CJ$1273,MATCH($M96,Data!$K$9:$K$1273,0)),"")</f>
        <v/>
      </c>
      <c r="AO96" s="225" t="str">
        <f>IFERROR(INDEX(Data!CK$9:CK$1273,MATCH($M96,Data!$K$9:$K$1273,0)),"")</f>
        <v/>
      </c>
      <c r="AP96" s="225" t="str">
        <f>IFERROR(INDEX(Data!CL$9:CL$1273,MATCH($M96,Data!$K$9:$K$1273,0)),"")</f>
        <v/>
      </c>
      <c r="AQ96" s="225" t="str">
        <f>IFERROR(INDEX(Data!CM$9:CM$1273,MATCH($M96,Data!$K$9:$K$1273,0)),"")</f>
        <v/>
      </c>
      <c r="AR96" s="225" t="str">
        <f>IFERROR(INDEX(Data!CN$9:CN$1273,MATCH($M96,Data!$K$9:$K$1273,0)),"")</f>
        <v/>
      </c>
      <c r="AS96" s="225" t="str">
        <f>IFERROR(INDEX(Data!CO$9:CO$1273,MATCH($M96,Data!$K$9:$K$1273,0)),"")</f>
        <v/>
      </c>
      <c r="AT96" s="225" t="str">
        <f>IFERROR(INDEX(Data!CP$9:CP$1273,MATCH($M96,Data!$K$9:$K$1273,0)),"")</f>
        <v/>
      </c>
      <c r="AU96" s="225" t="str">
        <f>IFERROR(INDEX(Data!CQ$9:CQ$1273,MATCH($M96,Data!$K$9:$K$1273,0)),"")</f>
        <v/>
      </c>
      <c r="AV96" s="225" t="str">
        <f>IFERROR(INDEX(Data!CR$9:CR$1273,MATCH($M96,Data!$K$9:$K$1273,0)),"")</f>
        <v/>
      </c>
      <c r="AW96" s="225" t="str">
        <f>IFERROR(INDEX(Data!CS$9:CS$1273,MATCH($M96,Data!$K$9:$K$1273,0)),"")</f>
        <v/>
      </c>
      <c r="AX96" s="225" t="str">
        <f>IFERROR(INDEX(Data!CT$9:CT$1273,MATCH($M96,Data!$K$9:$K$1273,0)),"")</f>
        <v/>
      </c>
      <c r="AY96" s="225" t="str">
        <f>IFERROR(INDEX(Data!CU$9:CU$1273,MATCH($M96,Data!$K$9:$K$1273,0)),"")</f>
        <v/>
      </c>
      <c r="AZ96" s="225" t="str">
        <f>IFERROR(INDEX(Data!CV$9:CV$1273,MATCH($M96,Data!$K$9:$K$1273,0)),"")</f>
        <v/>
      </c>
      <c r="BA96" s="225" t="str">
        <f>IFERROR(INDEX(Data!CX$9:CX$1273,MATCH($M96,Data!$K$9:$K$1273,0)),"")</f>
        <v/>
      </c>
      <c r="BB96" s="225" t="str">
        <f>IFERROR(INDEX(Data!CY$9:CY$1273,MATCH($M96,Data!$K$9:$K$1273,0)),"")</f>
        <v/>
      </c>
      <c r="BC96" s="225" t="str">
        <f>IFERROR(INDEX(Data!CZ$9:CZ$1273,MATCH($M96,Data!$K$9:$K$1273,0)),"")</f>
        <v/>
      </c>
      <c r="BD96" s="225" t="str">
        <f>IFERROR(INDEX(Data!DA$9:DA$1273,MATCH($M96,Data!$K$9:$K$1273,0)),"")</f>
        <v/>
      </c>
      <c r="BE96" s="225" t="str">
        <f>IFERROR(INDEX(Data!DB$9:DB$1273,MATCH($M96,Data!$K$9:$K$1273,0)),"")</f>
        <v/>
      </c>
      <c r="BF96" s="225" t="str">
        <f>IFERROR(INDEX(Data!DC$9:DC$1273,MATCH($M96,Data!$K$9:$K$1273,0)),"")</f>
        <v/>
      </c>
      <c r="BG96" s="225" t="str">
        <f>IFERROR(INDEX(Data!DD$9:DD$1273,MATCH($M96,Data!$K$9:$K$1273,0)),"")</f>
        <v/>
      </c>
      <c r="BH96" s="225" t="str">
        <f>IFERROR(INDEX(Data!DE$9:DE$1273,MATCH($M96,Data!$K$9:$K$1273,0)),"")</f>
        <v/>
      </c>
      <c r="BI96" s="225" t="str">
        <f>IFERROR(INDEX(Data!DF$9:DF$1273,MATCH($M96,Data!$K$9:$K$1273,0)),"")</f>
        <v/>
      </c>
      <c r="BJ96" s="225" t="str">
        <f>IFERROR(INDEX(Data!DG$9:DG$1273,MATCH($M96,Data!$K$9:$K$1273,0)),"")</f>
        <v/>
      </c>
      <c r="BK96" s="225" t="str">
        <f>IFERROR(INDEX(Data!DH$9:DH$1273,MATCH($M96,Data!$K$9:$K$1273,0)),"")</f>
        <v/>
      </c>
      <c r="BL96" s="225" t="str">
        <f>IFERROR(INDEX(Data!DI$9:DI$1273,MATCH($M96,Data!$K$9:$K$1273,0)),"")</f>
        <v/>
      </c>
      <c r="BM96" s="225" t="str">
        <f>IFERROR(INDEX(Data!DJ$9:DJ$1273,MATCH($M96,Data!$K$9:$K$1273,0)),"")</f>
        <v/>
      </c>
      <c r="BN96" s="225" t="str">
        <f>IFERROR(INDEX(Data!DK$9:DK$1273,MATCH($M96,Data!$K$9:$K$1273,0)),"")</f>
        <v/>
      </c>
      <c r="BO96" s="225" t="str">
        <f>IFERROR(INDEX(Data!DL$9:DL$1273,MATCH($M96,Data!$K$9:$K$1273,0)),"")</f>
        <v/>
      </c>
      <c r="BP96" s="243" t="str">
        <f t="shared" si="5"/>
        <v/>
      </c>
      <c r="BQ96" s="225" t="str">
        <f t="shared" si="6"/>
        <v xml:space="preserve"> </v>
      </c>
      <c r="BR96" s="225" t="str">
        <f t="shared" si="7"/>
        <v/>
      </c>
      <c r="BS96" s="225" t="str">
        <f>IFERROR(INDEX(Data!$DO$9:$DO$1273,MATCH('Your recommendation'!BR96,Data!$DN$9:$DN$1273,0)),"")</f>
        <v/>
      </c>
    </row>
    <row r="97" spans="2:71" ht="15.6" customHeight="1">
      <c r="B97" s="222" t="str">
        <f t="shared" si="8"/>
        <v/>
      </c>
      <c r="C97" s="223"/>
      <c r="D97" s="225" t="str">
        <f>IFERROR(INDEX(Data!BR$9:BR$1273,MATCH($M97,Data!$K$9:$K$1273,0)),"")</f>
        <v/>
      </c>
      <c r="E97" s="225" t="str">
        <f>IFERROR(INDEX(Data!BS$9:BS$1273,MATCH($M97,Data!$K$9:$K$1273,0)),"")</f>
        <v/>
      </c>
      <c r="F97" s="225" t="str">
        <f>IFERROR(INDEX(Data!DM$9:DM$1273,MATCH($M97,Data!$K$9:$K$1273,0)),"")</f>
        <v/>
      </c>
      <c r="G97" s="225" t="str">
        <f>IFERROR(INDEX(Data!BV$9:BV$1273,MATCH($M97,Data!$K$9:$K$1273,0)),"")</f>
        <v/>
      </c>
      <c r="H97" s="225" t="str">
        <f>IFERROR(INDEX(Data!BW$9:BW$1273,MATCH($M97,Data!$K$9:$K$1273,0)),"")</f>
        <v/>
      </c>
      <c r="I97" s="225" t="str">
        <f>IFERROR(INDEX(Data!BX$9:BX$1273,MATCH($M97,Data!$K$9:$K$1273,0)),"")</f>
        <v/>
      </c>
      <c r="J97" s="225" t="str">
        <f>IFERROR(INDEX(Data!CB$9:CB$1273,MATCH($M97,Data!$K$9:$K$1273,0)),"")</f>
        <v/>
      </c>
      <c r="K97" s="241" t="str">
        <f t="shared" si="3"/>
        <v/>
      </c>
      <c r="L97" s="242" t="str">
        <f t="shared" si="4"/>
        <v/>
      </c>
      <c r="M97" s="224"/>
      <c r="N97" s="224" t="str">
        <f>IFERROR(INDEX(Data!L$9:L$1273,MATCH($M97,Data!$K$9:$K$1273,0)),"")</f>
        <v/>
      </c>
      <c r="O97" s="224" t="str">
        <f>IFERROR(INDEX(Data!M$9:M$1273,MATCH($M97,Data!$K$9:$K$1273,0)),"")</f>
        <v/>
      </c>
      <c r="P97" s="224" t="str">
        <f>IFERROR(INDEX(Data!N$9:N$1273,MATCH($M97,Data!$K$9:$K$1273,0)),"")</f>
        <v/>
      </c>
      <c r="Q97" s="224" t="str">
        <f>IFERROR(INDEX(Data!O$9:O$1273,MATCH($M97,Data!$K$9:$K$1273,0)),"")</f>
        <v/>
      </c>
      <c r="R97" s="224" t="str">
        <f>IFERROR(INDEX(Data!P$9:P$1273,MATCH($M97,Data!$K$9:$K$1273,0)),"")</f>
        <v/>
      </c>
      <c r="S97" s="224" t="str">
        <f>IFERROR(INDEX(Data!S$9:S$1273,MATCH($M97,Data!$K$9:$K$1273,0)),"")</f>
        <v/>
      </c>
      <c r="T97" s="224" t="str">
        <f>IFERROR(INDEX(Data!T$9:T$1273,MATCH($M97,Data!$K$9:$K$1273,0)),"")</f>
        <v/>
      </c>
      <c r="U97" s="224" t="str">
        <f>IFERROR(INDEX(Data!U$9:U$1273,MATCH($M97,Data!$K$9:$K$1273,0)),"")</f>
        <v/>
      </c>
      <c r="V97" s="224" t="str">
        <f>IFERROR(INDEX(Data!V$9:V$1273,MATCH($M97,Data!$K$9:$K$1273,0)),"")</f>
        <v/>
      </c>
      <c r="W97" s="224" t="str">
        <f>IFERROR(INDEX(Data!W$9:W$1273,MATCH($M97,Data!$K$9:$K$1273,0)),"")</f>
        <v/>
      </c>
      <c r="X97" s="224" t="str">
        <f>IFERROR(INDEX(Data!AJ$9:AJ$1273,MATCH($M97,Data!$K$9:$K$1273,0)),"")</f>
        <v/>
      </c>
      <c r="Y97" s="224" t="str">
        <f>IFERROR(INDEX(Data!AK$9:AK$1273,MATCH($M97,Data!$K$9:$K$1273,0)),"")</f>
        <v/>
      </c>
      <c r="Z97" s="224" t="str">
        <f>IFERROR(INDEX(Data!AL$9:AL$1273,MATCH($M97,Data!$K$9:$K$1273,0)),"")</f>
        <v/>
      </c>
      <c r="AA97" s="224" t="str">
        <f>IFERROR(INDEX(Data!AM$9:AM$1273,MATCH($M97,Data!$K$9:$K$1273,0)),"")</f>
        <v/>
      </c>
      <c r="AB97" s="224" t="str">
        <f>IFERROR(INDEX(Data!AN$9:AN$1273,MATCH($M97,Data!$K$9:$K$1273,0)),"")</f>
        <v/>
      </c>
      <c r="AC97" s="225" t="str">
        <f>IFERROR(INDEX(Data!BY$9:BY$1273,MATCH($M97,Data!$K$9:$K$1273,0)),"")</f>
        <v/>
      </c>
      <c r="AD97" s="225" t="str">
        <f>IFERROR(INDEX(Data!BZ$9:BZ$1273,MATCH($M97,Data!$K$9:$K$1273,0)),"")</f>
        <v/>
      </c>
      <c r="AE97" s="225" t="str">
        <f>IFERROR(INDEX(Data!CA$9:CA$1273,MATCH($M97,Data!$K$9:$K$1273,0)),"")</f>
        <v/>
      </c>
      <c r="AF97" s="225" t="str">
        <f>IFERROR(INDEX(Data!CB$9:CB$1273,MATCH($M97,Data!$K$9:$K$1273,0)),"")</f>
        <v/>
      </c>
      <c r="AG97" s="225" t="str">
        <f>IFERROR(INDEX(Data!CC$9:CC$1273,MATCH($M97,Data!$K$9:$K$1273,0)),"")</f>
        <v/>
      </c>
      <c r="AH97" s="225" t="str">
        <f>IFERROR(INDEX(Data!CD$9:CD$1273,MATCH($M97,Data!$K$9:$K$1273,0)),"")</f>
        <v/>
      </c>
      <c r="AI97" s="225" t="str">
        <f>IFERROR(INDEX(Data!CE$9:CE$1273,MATCH($M97,Data!$K$9:$K$1273,0)),"")</f>
        <v/>
      </c>
      <c r="AJ97" s="225" t="str">
        <f>IFERROR(INDEX(Data!CF$9:CF$1273,MATCH($M97,Data!$K$9:$K$1273,0)),"")</f>
        <v/>
      </c>
      <c r="AK97" s="225" t="str">
        <f>IFERROR(INDEX(Data!CG$9:CG$1273,MATCH($M97,Data!$K$9:$K$1273,0)),"")</f>
        <v/>
      </c>
      <c r="AL97" s="225" t="str">
        <f>IFERROR(INDEX(Data!CH$9:CH$1273,MATCH($M97,Data!$K$9:$K$1273,0)),"")</f>
        <v/>
      </c>
      <c r="AM97" s="225" t="str">
        <f>IFERROR(INDEX(Data!CI$9:CI$1273,MATCH($M97,Data!$K$9:$K$1273,0)),"")</f>
        <v/>
      </c>
      <c r="AN97" s="225" t="str">
        <f>IFERROR(INDEX(Data!CJ$9:CJ$1273,MATCH($M97,Data!$K$9:$K$1273,0)),"")</f>
        <v/>
      </c>
      <c r="AO97" s="225" t="str">
        <f>IFERROR(INDEX(Data!CK$9:CK$1273,MATCH($M97,Data!$K$9:$K$1273,0)),"")</f>
        <v/>
      </c>
      <c r="AP97" s="225" t="str">
        <f>IFERROR(INDEX(Data!CL$9:CL$1273,MATCH($M97,Data!$K$9:$K$1273,0)),"")</f>
        <v/>
      </c>
      <c r="AQ97" s="225" t="str">
        <f>IFERROR(INDEX(Data!CM$9:CM$1273,MATCH($M97,Data!$K$9:$K$1273,0)),"")</f>
        <v/>
      </c>
      <c r="AR97" s="225" t="str">
        <f>IFERROR(INDEX(Data!CN$9:CN$1273,MATCH($M97,Data!$K$9:$K$1273,0)),"")</f>
        <v/>
      </c>
      <c r="AS97" s="225" t="str">
        <f>IFERROR(INDEX(Data!CO$9:CO$1273,MATCH($M97,Data!$K$9:$K$1273,0)),"")</f>
        <v/>
      </c>
      <c r="AT97" s="225" t="str">
        <f>IFERROR(INDEX(Data!CP$9:CP$1273,MATCH($M97,Data!$K$9:$K$1273,0)),"")</f>
        <v/>
      </c>
      <c r="AU97" s="225" t="str">
        <f>IFERROR(INDEX(Data!CQ$9:CQ$1273,MATCH($M97,Data!$K$9:$K$1273,0)),"")</f>
        <v/>
      </c>
      <c r="AV97" s="225" t="str">
        <f>IFERROR(INDEX(Data!CR$9:CR$1273,MATCH($M97,Data!$K$9:$K$1273,0)),"")</f>
        <v/>
      </c>
      <c r="AW97" s="225" t="str">
        <f>IFERROR(INDEX(Data!CS$9:CS$1273,MATCH($M97,Data!$K$9:$K$1273,0)),"")</f>
        <v/>
      </c>
      <c r="AX97" s="225" t="str">
        <f>IFERROR(INDEX(Data!CT$9:CT$1273,MATCH($M97,Data!$K$9:$K$1273,0)),"")</f>
        <v/>
      </c>
      <c r="AY97" s="225" t="str">
        <f>IFERROR(INDEX(Data!CU$9:CU$1273,MATCH($M97,Data!$K$9:$K$1273,0)),"")</f>
        <v/>
      </c>
      <c r="AZ97" s="225" t="str">
        <f>IFERROR(INDEX(Data!CV$9:CV$1273,MATCH($M97,Data!$K$9:$K$1273,0)),"")</f>
        <v/>
      </c>
      <c r="BA97" s="225" t="str">
        <f>IFERROR(INDEX(Data!CX$9:CX$1273,MATCH($M97,Data!$K$9:$K$1273,0)),"")</f>
        <v/>
      </c>
      <c r="BB97" s="225" t="str">
        <f>IFERROR(INDEX(Data!CY$9:CY$1273,MATCH($M97,Data!$K$9:$K$1273,0)),"")</f>
        <v/>
      </c>
      <c r="BC97" s="225" t="str">
        <f>IFERROR(INDEX(Data!CZ$9:CZ$1273,MATCH($M97,Data!$K$9:$K$1273,0)),"")</f>
        <v/>
      </c>
      <c r="BD97" s="225" t="str">
        <f>IFERROR(INDEX(Data!DA$9:DA$1273,MATCH($M97,Data!$K$9:$K$1273,0)),"")</f>
        <v/>
      </c>
      <c r="BE97" s="225" t="str">
        <f>IFERROR(INDEX(Data!DB$9:DB$1273,MATCH($M97,Data!$K$9:$K$1273,0)),"")</f>
        <v/>
      </c>
      <c r="BF97" s="225" t="str">
        <f>IFERROR(INDEX(Data!DC$9:DC$1273,MATCH($M97,Data!$K$9:$K$1273,0)),"")</f>
        <v/>
      </c>
      <c r="BG97" s="225" t="str">
        <f>IFERROR(INDEX(Data!DD$9:DD$1273,MATCH($M97,Data!$K$9:$K$1273,0)),"")</f>
        <v/>
      </c>
      <c r="BH97" s="225" t="str">
        <f>IFERROR(INDEX(Data!DE$9:DE$1273,MATCH($M97,Data!$K$9:$K$1273,0)),"")</f>
        <v/>
      </c>
      <c r="BI97" s="225" t="str">
        <f>IFERROR(INDEX(Data!DF$9:DF$1273,MATCH($M97,Data!$K$9:$K$1273,0)),"")</f>
        <v/>
      </c>
      <c r="BJ97" s="225" t="str">
        <f>IFERROR(INDEX(Data!DG$9:DG$1273,MATCH($M97,Data!$K$9:$K$1273,0)),"")</f>
        <v/>
      </c>
      <c r="BK97" s="225" t="str">
        <f>IFERROR(INDEX(Data!DH$9:DH$1273,MATCH($M97,Data!$K$9:$K$1273,0)),"")</f>
        <v/>
      </c>
      <c r="BL97" s="225" t="str">
        <f>IFERROR(INDEX(Data!DI$9:DI$1273,MATCH($M97,Data!$K$9:$K$1273,0)),"")</f>
        <v/>
      </c>
      <c r="BM97" s="225" t="str">
        <f>IFERROR(INDEX(Data!DJ$9:DJ$1273,MATCH($M97,Data!$K$9:$K$1273,0)),"")</f>
        <v/>
      </c>
      <c r="BN97" s="225" t="str">
        <f>IFERROR(INDEX(Data!DK$9:DK$1273,MATCH($M97,Data!$K$9:$K$1273,0)),"")</f>
        <v/>
      </c>
      <c r="BO97" s="225" t="str">
        <f>IFERROR(INDEX(Data!DL$9:DL$1273,MATCH($M97,Data!$K$9:$K$1273,0)),"")</f>
        <v/>
      </c>
      <c r="BP97" s="243" t="str">
        <f t="shared" si="5"/>
        <v/>
      </c>
      <c r="BQ97" s="225" t="str">
        <f t="shared" si="6"/>
        <v xml:space="preserve"> </v>
      </c>
      <c r="BR97" s="225" t="str">
        <f t="shared" si="7"/>
        <v/>
      </c>
      <c r="BS97" s="225" t="str">
        <f>IFERROR(INDEX(Data!$DO$9:$DO$1273,MATCH('Your recommendation'!BR97,Data!$DN$9:$DN$1273,0)),"")</f>
        <v/>
      </c>
    </row>
    <row r="98" spans="2:71" ht="15.6" customHeight="1">
      <c r="B98" s="222" t="str">
        <f t="shared" si="8"/>
        <v/>
      </c>
      <c r="C98" s="223"/>
      <c r="D98" s="225" t="str">
        <f>IFERROR(INDEX(Data!BR$9:BR$1273,MATCH($M98,Data!$K$9:$K$1273,0)),"")</f>
        <v/>
      </c>
      <c r="E98" s="225" t="str">
        <f>IFERROR(INDEX(Data!BS$9:BS$1273,MATCH($M98,Data!$K$9:$K$1273,0)),"")</f>
        <v/>
      </c>
      <c r="F98" s="225" t="str">
        <f>IFERROR(INDEX(Data!DM$9:DM$1273,MATCH($M98,Data!$K$9:$K$1273,0)),"")</f>
        <v/>
      </c>
      <c r="G98" s="225" t="str">
        <f>IFERROR(INDEX(Data!BV$9:BV$1273,MATCH($M98,Data!$K$9:$K$1273,0)),"")</f>
        <v/>
      </c>
      <c r="H98" s="225" t="str">
        <f>IFERROR(INDEX(Data!BW$9:BW$1273,MATCH($M98,Data!$K$9:$K$1273,0)),"")</f>
        <v/>
      </c>
      <c r="I98" s="225" t="str">
        <f>IFERROR(INDEX(Data!BX$9:BX$1273,MATCH($M98,Data!$K$9:$K$1273,0)),"")</f>
        <v/>
      </c>
      <c r="J98" s="225" t="str">
        <f>IFERROR(INDEX(Data!CB$9:CB$1273,MATCH($M98,Data!$K$9:$K$1273,0)),"")</f>
        <v/>
      </c>
      <c r="K98" s="241" t="str">
        <f t="shared" si="3"/>
        <v/>
      </c>
      <c r="L98" s="242" t="str">
        <f t="shared" si="4"/>
        <v/>
      </c>
      <c r="M98" s="224"/>
      <c r="N98" s="224" t="str">
        <f>IFERROR(INDEX(Data!L$9:L$1273,MATCH($M98,Data!$K$9:$K$1273,0)),"")</f>
        <v/>
      </c>
      <c r="O98" s="224" t="str">
        <f>IFERROR(INDEX(Data!M$9:M$1273,MATCH($M98,Data!$K$9:$K$1273,0)),"")</f>
        <v/>
      </c>
      <c r="P98" s="224" t="str">
        <f>IFERROR(INDEX(Data!N$9:N$1273,MATCH($M98,Data!$K$9:$K$1273,0)),"")</f>
        <v/>
      </c>
      <c r="Q98" s="224" t="str">
        <f>IFERROR(INDEX(Data!O$9:O$1273,MATCH($M98,Data!$K$9:$K$1273,0)),"")</f>
        <v/>
      </c>
      <c r="R98" s="224" t="str">
        <f>IFERROR(INDEX(Data!P$9:P$1273,MATCH($M98,Data!$K$9:$K$1273,0)),"")</f>
        <v/>
      </c>
      <c r="S98" s="224" t="str">
        <f>IFERROR(INDEX(Data!S$9:S$1273,MATCH($M98,Data!$K$9:$K$1273,0)),"")</f>
        <v/>
      </c>
      <c r="T98" s="224" t="str">
        <f>IFERROR(INDEX(Data!T$9:T$1273,MATCH($M98,Data!$K$9:$K$1273,0)),"")</f>
        <v/>
      </c>
      <c r="U98" s="224" t="str">
        <f>IFERROR(INDEX(Data!U$9:U$1273,MATCH($M98,Data!$K$9:$K$1273,0)),"")</f>
        <v/>
      </c>
      <c r="V98" s="224" t="str">
        <f>IFERROR(INDEX(Data!V$9:V$1273,MATCH($M98,Data!$K$9:$K$1273,0)),"")</f>
        <v/>
      </c>
      <c r="W98" s="224" t="str">
        <f>IFERROR(INDEX(Data!W$9:W$1273,MATCH($M98,Data!$K$9:$K$1273,0)),"")</f>
        <v/>
      </c>
      <c r="X98" s="224" t="str">
        <f>IFERROR(INDEX(Data!AJ$9:AJ$1273,MATCH($M98,Data!$K$9:$K$1273,0)),"")</f>
        <v/>
      </c>
      <c r="Y98" s="224" t="str">
        <f>IFERROR(INDEX(Data!AK$9:AK$1273,MATCH($M98,Data!$K$9:$K$1273,0)),"")</f>
        <v/>
      </c>
      <c r="Z98" s="224" t="str">
        <f>IFERROR(INDEX(Data!AL$9:AL$1273,MATCH($M98,Data!$K$9:$K$1273,0)),"")</f>
        <v/>
      </c>
      <c r="AA98" s="224" t="str">
        <f>IFERROR(INDEX(Data!AM$9:AM$1273,MATCH($M98,Data!$K$9:$K$1273,0)),"")</f>
        <v/>
      </c>
      <c r="AB98" s="224" t="str">
        <f>IFERROR(INDEX(Data!AN$9:AN$1273,MATCH($M98,Data!$K$9:$K$1273,0)),"")</f>
        <v/>
      </c>
      <c r="AC98" s="225" t="str">
        <f>IFERROR(INDEX(Data!BY$9:BY$1273,MATCH($M98,Data!$K$9:$K$1273,0)),"")</f>
        <v/>
      </c>
      <c r="AD98" s="225" t="str">
        <f>IFERROR(INDEX(Data!BZ$9:BZ$1273,MATCH($M98,Data!$K$9:$K$1273,0)),"")</f>
        <v/>
      </c>
      <c r="AE98" s="225" t="str">
        <f>IFERROR(INDEX(Data!CA$9:CA$1273,MATCH($M98,Data!$K$9:$K$1273,0)),"")</f>
        <v/>
      </c>
      <c r="AF98" s="225" t="str">
        <f>IFERROR(INDEX(Data!CB$9:CB$1273,MATCH($M98,Data!$K$9:$K$1273,0)),"")</f>
        <v/>
      </c>
      <c r="AG98" s="225" t="str">
        <f>IFERROR(INDEX(Data!CC$9:CC$1273,MATCH($M98,Data!$K$9:$K$1273,0)),"")</f>
        <v/>
      </c>
      <c r="AH98" s="225" t="str">
        <f>IFERROR(INDEX(Data!CD$9:CD$1273,MATCH($M98,Data!$K$9:$K$1273,0)),"")</f>
        <v/>
      </c>
      <c r="AI98" s="225" t="str">
        <f>IFERROR(INDEX(Data!CE$9:CE$1273,MATCH($M98,Data!$K$9:$K$1273,0)),"")</f>
        <v/>
      </c>
      <c r="AJ98" s="225" t="str">
        <f>IFERROR(INDEX(Data!CF$9:CF$1273,MATCH($M98,Data!$K$9:$K$1273,0)),"")</f>
        <v/>
      </c>
      <c r="AK98" s="225" t="str">
        <f>IFERROR(INDEX(Data!CG$9:CG$1273,MATCH($M98,Data!$K$9:$K$1273,0)),"")</f>
        <v/>
      </c>
      <c r="AL98" s="225" t="str">
        <f>IFERROR(INDEX(Data!CH$9:CH$1273,MATCH($M98,Data!$K$9:$K$1273,0)),"")</f>
        <v/>
      </c>
      <c r="AM98" s="225" t="str">
        <f>IFERROR(INDEX(Data!CI$9:CI$1273,MATCH($M98,Data!$K$9:$K$1273,0)),"")</f>
        <v/>
      </c>
      <c r="AN98" s="225" t="str">
        <f>IFERROR(INDEX(Data!CJ$9:CJ$1273,MATCH($M98,Data!$K$9:$K$1273,0)),"")</f>
        <v/>
      </c>
      <c r="AO98" s="225" t="str">
        <f>IFERROR(INDEX(Data!CK$9:CK$1273,MATCH($M98,Data!$K$9:$K$1273,0)),"")</f>
        <v/>
      </c>
      <c r="AP98" s="225" t="str">
        <f>IFERROR(INDEX(Data!CL$9:CL$1273,MATCH($M98,Data!$K$9:$K$1273,0)),"")</f>
        <v/>
      </c>
      <c r="AQ98" s="225" t="str">
        <f>IFERROR(INDEX(Data!CM$9:CM$1273,MATCH($M98,Data!$K$9:$K$1273,0)),"")</f>
        <v/>
      </c>
      <c r="AR98" s="225" t="str">
        <f>IFERROR(INDEX(Data!CN$9:CN$1273,MATCH($M98,Data!$K$9:$K$1273,0)),"")</f>
        <v/>
      </c>
      <c r="AS98" s="225" t="str">
        <f>IFERROR(INDEX(Data!CO$9:CO$1273,MATCH($M98,Data!$K$9:$K$1273,0)),"")</f>
        <v/>
      </c>
      <c r="AT98" s="225" t="str">
        <f>IFERROR(INDEX(Data!CP$9:CP$1273,MATCH($M98,Data!$K$9:$K$1273,0)),"")</f>
        <v/>
      </c>
      <c r="AU98" s="225" t="str">
        <f>IFERROR(INDEX(Data!CQ$9:CQ$1273,MATCH($M98,Data!$K$9:$K$1273,0)),"")</f>
        <v/>
      </c>
      <c r="AV98" s="225" t="str">
        <f>IFERROR(INDEX(Data!CR$9:CR$1273,MATCH($M98,Data!$K$9:$K$1273,0)),"")</f>
        <v/>
      </c>
      <c r="AW98" s="225" t="str">
        <f>IFERROR(INDEX(Data!CS$9:CS$1273,MATCH($M98,Data!$K$9:$K$1273,0)),"")</f>
        <v/>
      </c>
      <c r="AX98" s="225" t="str">
        <f>IFERROR(INDEX(Data!CT$9:CT$1273,MATCH($M98,Data!$K$9:$K$1273,0)),"")</f>
        <v/>
      </c>
      <c r="AY98" s="225" t="str">
        <f>IFERROR(INDEX(Data!CU$9:CU$1273,MATCH($M98,Data!$K$9:$K$1273,0)),"")</f>
        <v/>
      </c>
      <c r="AZ98" s="225" t="str">
        <f>IFERROR(INDEX(Data!CV$9:CV$1273,MATCH($M98,Data!$K$9:$K$1273,0)),"")</f>
        <v/>
      </c>
      <c r="BA98" s="225" t="str">
        <f>IFERROR(INDEX(Data!CX$9:CX$1273,MATCH($M98,Data!$K$9:$K$1273,0)),"")</f>
        <v/>
      </c>
      <c r="BB98" s="225" t="str">
        <f>IFERROR(INDEX(Data!CY$9:CY$1273,MATCH($M98,Data!$K$9:$K$1273,0)),"")</f>
        <v/>
      </c>
      <c r="BC98" s="225" t="str">
        <f>IFERROR(INDEX(Data!CZ$9:CZ$1273,MATCH($M98,Data!$K$9:$K$1273,0)),"")</f>
        <v/>
      </c>
      <c r="BD98" s="225" t="str">
        <f>IFERROR(INDEX(Data!DA$9:DA$1273,MATCH($M98,Data!$K$9:$K$1273,0)),"")</f>
        <v/>
      </c>
      <c r="BE98" s="225" t="str">
        <f>IFERROR(INDEX(Data!DB$9:DB$1273,MATCH($M98,Data!$K$9:$K$1273,0)),"")</f>
        <v/>
      </c>
      <c r="BF98" s="225" t="str">
        <f>IFERROR(INDEX(Data!DC$9:DC$1273,MATCH($M98,Data!$K$9:$K$1273,0)),"")</f>
        <v/>
      </c>
      <c r="BG98" s="225" t="str">
        <f>IFERROR(INDEX(Data!DD$9:DD$1273,MATCH($M98,Data!$K$9:$K$1273,0)),"")</f>
        <v/>
      </c>
      <c r="BH98" s="225" t="str">
        <f>IFERROR(INDEX(Data!DE$9:DE$1273,MATCH($M98,Data!$K$9:$K$1273,0)),"")</f>
        <v/>
      </c>
      <c r="BI98" s="225" t="str">
        <f>IFERROR(INDEX(Data!DF$9:DF$1273,MATCH($M98,Data!$K$9:$K$1273,0)),"")</f>
        <v/>
      </c>
      <c r="BJ98" s="225" t="str">
        <f>IFERROR(INDEX(Data!DG$9:DG$1273,MATCH($M98,Data!$K$9:$K$1273,0)),"")</f>
        <v/>
      </c>
      <c r="BK98" s="225" t="str">
        <f>IFERROR(INDEX(Data!DH$9:DH$1273,MATCH($M98,Data!$K$9:$K$1273,0)),"")</f>
        <v/>
      </c>
      <c r="BL98" s="225" t="str">
        <f>IFERROR(INDEX(Data!DI$9:DI$1273,MATCH($M98,Data!$K$9:$K$1273,0)),"")</f>
        <v/>
      </c>
      <c r="BM98" s="225" t="str">
        <f>IFERROR(INDEX(Data!DJ$9:DJ$1273,MATCH($M98,Data!$K$9:$K$1273,0)),"")</f>
        <v/>
      </c>
      <c r="BN98" s="225" t="str">
        <f>IFERROR(INDEX(Data!DK$9:DK$1273,MATCH($M98,Data!$K$9:$K$1273,0)),"")</f>
        <v/>
      </c>
      <c r="BO98" s="225" t="str">
        <f>IFERROR(INDEX(Data!DL$9:DL$1273,MATCH($M98,Data!$K$9:$K$1273,0)),"")</f>
        <v/>
      </c>
      <c r="BP98" s="243" t="str">
        <f t="shared" si="5"/>
        <v/>
      </c>
      <c r="BQ98" s="225" t="str">
        <f t="shared" si="6"/>
        <v xml:space="preserve"> </v>
      </c>
      <c r="BR98" s="225" t="str">
        <f t="shared" si="7"/>
        <v/>
      </c>
      <c r="BS98" s="225" t="str">
        <f>IFERROR(INDEX(Data!$DO$9:$DO$1273,MATCH('Your recommendation'!BR98,Data!$DN$9:$DN$1273,0)),"")</f>
        <v/>
      </c>
    </row>
    <row r="99" spans="2:71" ht="15.6" customHeight="1">
      <c r="B99" s="222" t="str">
        <f t="shared" si="8"/>
        <v/>
      </c>
      <c r="C99" s="223"/>
      <c r="D99" s="225" t="str">
        <f>IFERROR(INDEX(Data!BR$9:BR$1273,MATCH($M99,Data!$K$9:$K$1273,0)),"")</f>
        <v/>
      </c>
      <c r="E99" s="225" t="str">
        <f>IFERROR(INDEX(Data!BS$9:BS$1273,MATCH($M99,Data!$K$9:$K$1273,0)),"")</f>
        <v/>
      </c>
      <c r="F99" s="225" t="str">
        <f>IFERROR(INDEX(Data!DM$9:DM$1273,MATCH($M99,Data!$K$9:$K$1273,0)),"")</f>
        <v/>
      </c>
      <c r="G99" s="225" t="str">
        <f>IFERROR(INDEX(Data!BV$9:BV$1273,MATCH($M99,Data!$K$9:$K$1273,0)),"")</f>
        <v/>
      </c>
      <c r="H99" s="225" t="str">
        <f>IFERROR(INDEX(Data!BW$9:BW$1273,MATCH($M99,Data!$K$9:$K$1273,0)),"")</f>
        <v/>
      </c>
      <c r="I99" s="225" t="str">
        <f>IFERROR(INDEX(Data!BX$9:BX$1273,MATCH($M99,Data!$K$9:$K$1273,0)),"")</f>
        <v/>
      </c>
      <c r="J99" s="225" t="str">
        <f>IFERROR(INDEX(Data!CB$9:CB$1273,MATCH($M99,Data!$K$9:$K$1273,0)),"")</f>
        <v/>
      </c>
      <c r="K99" s="241" t="str">
        <f t="shared" si="3"/>
        <v/>
      </c>
      <c r="L99" s="242" t="str">
        <f t="shared" si="4"/>
        <v/>
      </c>
      <c r="M99" s="224"/>
      <c r="N99" s="224"/>
      <c r="O99" s="224" t="str">
        <f>IFERROR(INDEX(Data!M$9:M$1273,MATCH($M99,Data!$K$9:$K$1273,0)),"")</f>
        <v/>
      </c>
      <c r="P99" s="224" t="str">
        <f>IFERROR(INDEX(Data!N$9:N$1273,MATCH($M99,Data!$K$9:$K$1273,0)),"")</f>
        <v/>
      </c>
      <c r="Q99" s="224" t="str">
        <f>IFERROR(INDEX(Data!O$9:O$1273,MATCH($M99,Data!$K$9:$K$1273,0)),"")</f>
        <v/>
      </c>
      <c r="R99" s="224" t="str">
        <f>IFERROR(INDEX(Data!P$9:P$1273,MATCH($M99,Data!$K$9:$K$1273,0)),"")</f>
        <v/>
      </c>
      <c r="S99" s="224" t="str">
        <f>IFERROR(INDEX(Data!S$9:S$1273,MATCH($M99,Data!$K$9:$K$1273,0)),"")</f>
        <v/>
      </c>
      <c r="T99" s="224" t="str">
        <f>IFERROR(INDEX(Data!T$9:T$1273,MATCH($M99,Data!$K$9:$K$1273,0)),"")</f>
        <v/>
      </c>
      <c r="U99" s="224" t="str">
        <f>IFERROR(INDEX(Data!U$9:U$1273,MATCH($M99,Data!$K$9:$K$1273,0)),"")</f>
        <v/>
      </c>
      <c r="V99" s="224" t="str">
        <f>IFERROR(INDEX(Data!V$9:V$1273,MATCH($M99,Data!$K$9:$K$1273,0)),"")</f>
        <v/>
      </c>
      <c r="W99" s="224" t="str">
        <f>IFERROR(INDEX(Data!W$9:W$1273,MATCH($M99,Data!$K$9:$K$1273,0)),"")</f>
        <v/>
      </c>
      <c r="X99" s="224" t="str">
        <f>IFERROR(INDEX(Data!AJ$9:AJ$1273,MATCH($M99,Data!$K$9:$K$1273,0)),"")</f>
        <v/>
      </c>
      <c r="Y99" s="224" t="str">
        <f>IFERROR(INDEX(Data!AK$9:AK$1273,MATCH($M99,Data!$K$9:$K$1273,0)),"")</f>
        <v/>
      </c>
      <c r="Z99" s="224" t="str">
        <f>IFERROR(INDEX(Data!AL$9:AL$1273,MATCH($M99,Data!$K$9:$K$1273,0)),"")</f>
        <v/>
      </c>
      <c r="AA99" s="224" t="str">
        <f>IFERROR(INDEX(Data!AM$9:AM$1273,MATCH($M99,Data!$K$9:$K$1273,0)),"")</f>
        <v/>
      </c>
      <c r="AB99" s="224" t="str">
        <f>IFERROR(INDEX(Data!AN$9:AN$1273,MATCH($M99,Data!$K$9:$K$1273,0)),"")</f>
        <v/>
      </c>
      <c r="AC99" s="225" t="str">
        <f>IFERROR(INDEX(Data!BY$9:BY$1273,MATCH($M99,Data!$K$9:$K$1273,0)),"")</f>
        <v/>
      </c>
      <c r="AD99" s="225" t="str">
        <f>IFERROR(INDEX(Data!BZ$9:BZ$1273,MATCH($M99,Data!$K$9:$K$1273,0)),"")</f>
        <v/>
      </c>
      <c r="AE99" s="225" t="str">
        <f>IFERROR(INDEX(Data!CA$9:CA$1273,MATCH($M99,Data!$K$9:$K$1273,0)),"")</f>
        <v/>
      </c>
      <c r="AF99" s="225" t="str">
        <f>IFERROR(INDEX(Data!CB$9:CB$1273,MATCH($M99,Data!$K$9:$K$1273,0)),"")</f>
        <v/>
      </c>
      <c r="AG99" s="225" t="str">
        <f>IFERROR(INDEX(Data!CC$9:CC$1273,MATCH($M99,Data!$K$9:$K$1273,0)),"")</f>
        <v/>
      </c>
      <c r="AH99" s="225" t="str">
        <f>IFERROR(INDEX(Data!CD$9:CD$1273,MATCH($M99,Data!$K$9:$K$1273,0)),"")</f>
        <v/>
      </c>
      <c r="AI99" s="225" t="str">
        <f>IFERROR(INDEX(Data!CE$9:CE$1273,MATCH($M99,Data!$K$9:$K$1273,0)),"")</f>
        <v/>
      </c>
      <c r="AJ99" s="225" t="str">
        <f>IFERROR(INDEX(Data!CF$9:CF$1273,MATCH($M99,Data!$K$9:$K$1273,0)),"")</f>
        <v/>
      </c>
      <c r="AK99" s="225" t="str">
        <f>IFERROR(INDEX(Data!CG$9:CG$1273,MATCH($M99,Data!$K$9:$K$1273,0)),"")</f>
        <v/>
      </c>
      <c r="AL99" s="225" t="str">
        <f>IFERROR(INDEX(Data!CH$9:CH$1273,MATCH($M99,Data!$K$9:$K$1273,0)),"")</f>
        <v/>
      </c>
      <c r="AM99" s="225" t="str">
        <f>IFERROR(INDEX(Data!CI$9:CI$1273,MATCH($M99,Data!$K$9:$K$1273,0)),"")</f>
        <v/>
      </c>
      <c r="AN99" s="225" t="str">
        <f>IFERROR(INDEX(Data!CJ$9:CJ$1273,MATCH($M99,Data!$K$9:$K$1273,0)),"")</f>
        <v/>
      </c>
      <c r="AO99" s="225" t="str">
        <f>IFERROR(INDEX(Data!CK$9:CK$1273,MATCH($M99,Data!$K$9:$K$1273,0)),"")</f>
        <v/>
      </c>
      <c r="AP99" s="225" t="str">
        <f>IFERROR(INDEX(Data!CL$9:CL$1273,MATCH($M99,Data!$K$9:$K$1273,0)),"")</f>
        <v/>
      </c>
      <c r="AQ99" s="225" t="str">
        <f>IFERROR(INDEX(Data!CM$9:CM$1273,MATCH($M99,Data!$K$9:$K$1273,0)),"")</f>
        <v/>
      </c>
      <c r="AR99" s="225" t="str">
        <f>IFERROR(INDEX(Data!CN$9:CN$1273,MATCH($M99,Data!$K$9:$K$1273,0)),"")</f>
        <v/>
      </c>
      <c r="AS99" s="225" t="str">
        <f>IFERROR(INDEX(Data!CO$9:CO$1273,MATCH($M99,Data!$K$9:$K$1273,0)),"")</f>
        <v/>
      </c>
      <c r="AT99" s="225" t="str">
        <f>IFERROR(INDEX(Data!CP$9:CP$1273,MATCH($M99,Data!$K$9:$K$1273,0)),"")</f>
        <v/>
      </c>
      <c r="AU99" s="225" t="str">
        <f>IFERROR(INDEX(Data!CQ$9:CQ$1273,MATCH($M99,Data!$K$9:$K$1273,0)),"")</f>
        <v/>
      </c>
      <c r="AV99" s="225" t="str">
        <f>IFERROR(INDEX(Data!CR$9:CR$1273,MATCH($M99,Data!$K$9:$K$1273,0)),"")</f>
        <v/>
      </c>
      <c r="AW99" s="225" t="str">
        <f>IFERROR(INDEX(Data!CS$9:CS$1273,MATCH($M99,Data!$K$9:$K$1273,0)),"")</f>
        <v/>
      </c>
      <c r="AX99" s="225" t="str">
        <f>IFERROR(INDEX(Data!CT$9:CT$1273,MATCH($M99,Data!$K$9:$K$1273,0)),"")</f>
        <v/>
      </c>
      <c r="AY99" s="225" t="str">
        <f>IFERROR(INDEX(Data!CU$9:CU$1273,MATCH($M99,Data!$K$9:$K$1273,0)),"")</f>
        <v/>
      </c>
      <c r="AZ99" s="225" t="str">
        <f>IFERROR(INDEX(Data!CV$9:CV$1273,MATCH($M99,Data!$K$9:$K$1273,0)),"")</f>
        <v/>
      </c>
      <c r="BA99" s="225" t="str">
        <f>IFERROR(INDEX(Data!CX$9:CX$1273,MATCH($M99,Data!$K$9:$K$1273,0)),"")</f>
        <v/>
      </c>
      <c r="BB99" s="225" t="str">
        <f>IFERROR(INDEX(Data!CY$9:CY$1273,MATCH($M99,Data!$K$9:$K$1273,0)),"")</f>
        <v/>
      </c>
      <c r="BC99" s="225" t="str">
        <f>IFERROR(INDEX(Data!CZ$9:CZ$1273,MATCH($M99,Data!$K$9:$K$1273,0)),"")</f>
        <v/>
      </c>
      <c r="BD99" s="225" t="str">
        <f>IFERROR(INDEX(Data!DA$9:DA$1273,MATCH($M99,Data!$K$9:$K$1273,0)),"")</f>
        <v/>
      </c>
      <c r="BE99" s="225" t="str">
        <f>IFERROR(INDEX(Data!DB$9:DB$1273,MATCH($M99,Data!$K$9:$K$1273,0)),"")</f>
        <v/>
      </c>
      <c r="BF99" s="225" t="str">
        <f>IFERROR(INDEX(Data!DC$9:DC$1273,MATCH($M99,Data!$K$9:$K$1273,0)),"")</f>
        <v/>
      </c>
      <c r="BG99" s="225" t="str">
        <f>IFERROR(INDEX(Data!DD$9:DD$1273,MATCH($M99,Data!$K$9:$K$1273,0)),"")</f>
        <v/>
      </c>
      <c r="BH99" s="225" t="str">
        <f>IFERROR(INDEX(Data!DE$9:DE$1273,MATCH($M99,Data!$K$9:$K$1273,0)),"")</f>
        <v/>
      </c>
      <c r="BI99" s="225" t="str">
        <f>IFERROR(INDEX(Data!DF$9:DF$1273,MATCH($M99,Data!$K$9:$K$1273,0)),"")</f>
        <v/>
      </c>
      <c r="BJ99" s="225" t="str">
        <f>IFERROR(INDEX(Data!DG$9:DG$1273,MATCH($M99,Data!$K$9:$K$1273,0)),"")</f>
        <v/>
      </c>
      <c r="BK99" s="225" t="str">
        <f>IFERROR(INDEX(Data!DH$9:DH$1273,MATCH($M99,Data!$K$9:$K$1273,0)),"")</f>
        <v/>
      </c>
      <c r="BL99" s="225" t="str">
        <f>IFERROR(INDEX(Data!DI$9:DI$1273,MATCH($M99,Data!$K$9:$K$1273,0)),"")</f>
        <v/>
      </c>
      <c r="BM99" s="225" t="str">
        <f>IFERROR(INDEX(Data!DJ$9:DJ$1273,MATCH($M99,Data!$K$9:$K$1273,0)),"")</f>
        <v/>
      </c>
      <c r="BN99" s="225" t="str">
        <f>IFERROR(INDEX(Data!DK$9:DK$1273,MATCH($M99,Data!$K$9:$K$1273,0)),"")</f>
        <v/>
      </c>
      <c r="BO99" s="225" t="str">
        <f>IFERROR(INDEX(Data!DL$9:DL$1273,MATCH($M99,Data!$K$9:$K$1273,0)),"")</f>
        <v/>
      </c>
      <c r="BP99" s="243" t="str">
        <f t="shared" si="5"/>
        <v/>
      </c>
      <c r="BQ99" s="225" t="str">
        <f t="shared" si="6"/>
        <v xml:space="preserve"> </v>
      </c>
      <c r="BR99" s="225" t="str">
        <f t="shared" si="7"/>
        <v/>
      </c>
      <c r="BS99" s="225" t="str">
        <f>IFERROR(INDEX(Data!$DO$9:$DO$1273,MATCH('Your recommendation'!BR99,Data!$DN$9:$DN$1273,0)),"")</f>
        <v/>
      </c>
    </row>
    <row r="100" spans="2:71" ht="15.6" customHeight="1">
      <c r="B100" s="222" t="str">
        <f t="shared" si="8"/>
        <v/>
      </c>
      <c r="C100" s="223"/>
      <c r="D100" s="225" t="str">
        <f>IFERROR(INDEX(Data!BR$9:BR$1273,MATCH($M100,Data!$K$9:$K$1273,0)),"")</f>
        <v/>
      </c>
      <c r="E100" s="225" t="str">
        <f>IFERROR(INDEX(Data!BS$9:BS$1273,MATCH($M100,Data!$K$9:$K$1273,0)),"")</f>
        <v/>
      </c>
      <c r="F100" s="225" t="str">
        <f>IFERROR(INDEX(Data!DM$9:DM$1273,MATCH($M100,Data!$K$9:$K$1273,0)),"")</f>
        <v/>
      </c>
      <c r="G100" s="225" t="str">
        <f>IFERROR(INDEX(Data!BV$9:BV$1273,MATCH($M100,Data!$K$9:$K$1273,0)),"")</f>
        <v/>
      </c>
      <c r="H100" s="225" t="str">
        <f>IFERROR(INDEX(Data!BW$9:BW$1273,MATCH($M100,Data!$K$9:$K$1273,0)),"")</f>
        <v/>
      </c>
      <c r="I100" s="225" t="str">
        <f>IFERROR(INDEX(Data!BX$9:BX$1273,MATCH($M100,Data!$K$9:$K$1273,0)),"")</f>
        <v/>
      </c>
      <c r="J100" s="225" t="str">
        <f>IFERROR(INDEX(Data!CB$9:CB$1273,MATCH($M100,Data!$K$9:$K$1273,0)),"")</f>
        <v/>
      </c>
      <c r="K100" s="241" t="str">
        <f t="shared" si="3"/>
        <v/>
      </c>
      <c r="L100" s="242" t="str">
        <f t="shared" si="4"/>
        <v/>
      </c>
      <c r="M100" s="224"/>
      <c r="N100" s="224"/>
      <c r="O100" s="224" t="str">
        <f>IFERROR(INDEX(Data!M$9:M$1273,MATCH($M100,Data!$K$9:$K$1273,0)),"")</f>
        <v/>
      </c>
      <c r="P100" s="224" t="str">
        <f>IFERROR(INDEX(Data!N$9:N$1273,MATCH($M100,Data!$K$9:$K$1273,0)),"")</f>
        <v/>
      </c>
      <c r="Q100" s="224" t="str">
        <f>IFERROR(INDEX(Data!O$9:O$1273,MATCH($M100,Data!$K$9:$K$1273,0)),"")</f>
        <v/>
      </c>
      <c r="R100" s="224" t="str">
        <f>IFERROR(INDEX(Data!P$9:P$1273,MATCH($M100,Data!$K$9:$K$1273,0)),"")</f>
        <v/>
      </c>
      <c r="S100" s="224" t="str">
        <f>IFERROR(INDEX(Data!S$9:S$1273,MATCH($M100,Data!$K$9:$K$1273,0)),"")</f>
        <v/>
      </c>
      <c r="T100" s="224" t="str">
        <f>IFERROR(INDEX(Data!T$9:T$1273,MATCH($M100,Data!$K$9:$K$1273,0)),"")</f>
        <v/>
      </c>
      <c r="U100" s="224" t="str">
        <f>IFERROR(INDEX(Data!U$9:U$1273,MATCH($M100,Data!$K$9:$K$1273,0)),"")</f>
        <v/>
      </c>
      <c r="V100" s="224" t="str">
        <f>IFERROR(INDEX(Data!V$9:V$1273,MATCH($M100,Data!$K$9:$K$1273,0)),"")</f>
        <v/>
      </c>
      <c r="W100" s="224" t="str">
        <f>IFERROR(INDEX(Data!W$9:W$1273,MATCH($M100,Data!$K$9:$K$1273,0)),"")</f>
        <v/>
      </c>
      <c r="X100" s="224" t="str">
        <f>IFERROR(INDEX(Data!AJ$9:AJ$1273,MATCH($M100,Data!$K$9:$K$1273,0)),"")</f>
        <v/>
      </c>
      <c r="Y100" s="224" t="str">
        <f>IFERROR(INDEX(Data!AK$9:AK$1273,MATCH($M100,Data!$K$9:$K$1273,0)),"")</f>
        <v/>
      </c>
      <c r="Z100" s="224" t="str">
        <f>IFERROR(INDEX(Data!AL$9:AL$1273,MATCH($M100,Data!$K$9:$K$1273,0)),"")</f>
        <v/>
      </c>
      <c r="AA100" s="224" t="str">
        <f>IFERROR(INDEX(Data!AM$9:AM$1273,MATCH($M100,Data!$K$9:$K$1273,0)),"")</f>
        <v/>
      </c>
      <c r="AB100" s="224" t="str">
        <f>IFERROR(INDEX(Data!AN$9:AN$1273,MATCH($M100,Data!$K$9:$K$1273,0)),"")</f>
        <v/>
      </c>
      <c r="AC100" s="225" t="str">
        <f>IFERROR(INDEX(Data!BY$9:BY$1273,MATCH($M100,Data!$K$9:$K$1273,0)),"")</f>
        <v/>
      </c>
      <c r="AD100" s="225" t="str">
        <f>IFERROR(INDEX(Data!BZ$9:BZ$1273,MATCH($M100,Data!$K$9:$K$1273,0)),"")</f>
        <v/>
      </c>
      <c r="AE100" s="225" t="str">
        <f>IFERROR(INDEX(Data!CA$9:CA$1273,MATCH($M100,Data!$K$9:$K$1273,0)),"")</f>
        <v/>
      </c>
      <c r="AF100" s="225" t="str">
        <f>IFERROR(INDEX(Data!CB$9:CB$1273,MATCH($M100,Data!$K$9:$K$1273,0)),"")</f>
        <v/>
      </c>
      <c r="AG100" s="225" t="str">
        <f>IFERROR(INDEX(Data!CC$9:CC$1273,MATCH($M100,Data!$K$9:$K$1273,0)),"")</f>
        <v/>
      </c>
      <c r="AH100" s="225" t="str">
        <f>IFERROR(INDEX(Data!CD$9:CD$1273,MATCH($M100,Data!$K$9:$K$1273,0)),"")</f>
        <v/>
      </c>
      <c r="AI100" s="225" t="str">
        <f>IFERROR(INDEX(Data!CE$9:CE$1273,MATCH($M100,Data!$K$9:$K$1273,0)),"")</f>
        <v/>
      </c>
      <c r="AJ100" s="225" t="str">
        <f>IFERROR(INDEX(Data!CF$9:CF$1273,MATCH($M100,Data!$K$9:$K$1273,0)),"")</f>
        <v/>
      </c>
      <c r="AK100" s="225" t="str">
        <f>IFERROR(INDEX(Data!CG$9:CG$1273,MATCH($M100,Data!$K$9:$K$1273,0)),"")</f>
        <v/>
      </c>
      <c r="AL100" s="225" t="str">
        <f>IFERROR(INDEX(Data!CH$9:CH$1273,MATCH($M100,Data!$K$9:$K$1273,0)),"")</f>
        <v/>
      </c>
      <c r="AM100" s="225" t="str">
        <f>IFERROR(INDEX(Data!CI$9:CI$1273,MATCH($M100,Data!$K$9:$K$1273,0)),"")</f>
        <v/>
      </c>
      <c r="AN100" s="225" t="str">
        <f>IFERROR(INDEX(Data!CJ$9:CJ$1273,MATCH($M100,Data!$K$9:$K$1273,0)),"")</f>
        <v/>
      </c>
      <c r="AO100" s="225" t="str">
        <f>IFERROR(INDEX(Data!CK$9:CK$1273,MATCH($M100,Data!$K$9:$K$1273,0)),"")</f>
        <v/>
      </c>
      <c r="AP100" s="225" t="str">
        <f>IFERROR(INDEX(Data!CL$9:CL$1273,MATCH($M100,Data!$K$9:$K$1273,0)),"")</f>
        <v/>
      </c>
      <c r="AQ100" s="225" t="str">
        <f>IFERROR(INDEX(Data!CM$9:CM$1273,MATCH($M100,Data!$K$9:$K$1273,0)),"")</f>
        <v/>
      </c>
      <c r="AR100" s="225" t="str">
        <f>IFERROR(INDEX(Data!CN$9:CN$1273,MATCH($M100,Data!$K$9:$K$1273,0)),"")</f>
        <v/>
      </c>
      <c r="AS100" s="225" t="str">
        <f>IFERROR(INDEX(Data!CO$9:CO$1273,MATCH($M100,Data!$K$9:$K$1273,0)),"")</f>
        <v/>
      </c>
      <c r="AT100" s="225" t="str">
        <f>IFERROR(INDEX(Data!CP$9:CP$1273,MATCH($M100,Data!$K$9:$K$1273,0)),"")</f>
        <v/>
      </c>
      <c r="AU100" s="225" t="str">
        <f>IFERROR(INDEX(Data!CQ$9:CQ$1273,MATCH($M100,Data!$K$9:$K$1273,0)),"")</f>
        <v/>
      </c>
      <c r="AV100" s="225" t="str">
        <f>IFERROR(INDEX(Data!CR$9:CR$1273,MATCH($M100,Data!$K$9:$K$1273,0)),"")</f>
        <v/>
      </c>
      <c r="AW100" s="225" t="str">
        <f>IFERROR(INDEX(Data!CS$9:CS$1273,MATCH($M100,Data!$K$9:$K$1273,0)),"")</f>
        <v/>
      </c>
      <c r="AX100" s="225" t="str">
        <f>IFERROR(INDEX(Data!CT$9:CT$1273,MATCH($M100,Data!$K$9:$K$1273,0)),"")</f>
        <v/>
      </c>
      <c r="AY100" s="225" t="str">
        <f>IFERROR(INDEX(Data!CU$9:CU$1273,MATCH($M100,Data!$K$9:$K$1273,0)),"")</f>
        <v/>
      </c>
      <c r="AZ100" s="225" t="str">
        <f>IFERROR(INDEX(Data!CV$9:CV$1273,MATCH($M100,Data!$K$9:$K$1273,0)),"")</f>
        <v/>
      </c>
      <c r="BA100" s="225" t="str">
        <f>IFERROR(INDEX(Data!CX$9:CX$1273,MATCH($M100,Data!$K$9:$K$1273,0)),"")</f>
        <v/>
      </c>
      <c r="BB100" s="225" t="str">
        <f>IFERROR(INDEX(Data!CY$9:CY$1273,MATCH($M100,Data!$K$9:$K$1273,0)),"")</f>
        <v/>
      </c>
      <c r="BC100" s="225" t="str">
        <f>IFERROR(INDEX(Data!CZ$9:CZ$1273,MATCH($M100,Data!$K$9:$K$1273,0)),"")</f>
        <v/>
      </c>
      <c r="BD100" s="225" t="str">
        <f>IFERROR(INDEX(Data!DA$9:DA$1273,MATCH($M100,Data!$K$9:$K$1273,0)),"")</f>
        <v/>
      </c>
      <c r="BE100" s="225" t="str">
        <f>IFERROR(INDEX(Data!DB$9:DB$1273,MATCH($M100,Data!$K$9:$K$1273,0)),"")</f>
        <v/>
      </c>
      <c r="BF100" s="225" t="str">
        <f>IFERROR(INDEX(Data!DC$9:DC$1273,MATCH($M100,Data!$K$9:$K$1273,0)),"")</f>
        <v/>
      </c>
      <c r="BG100" s="225" t="str">
        <f>IFERROR(INDEX(Data!DD$9:DD$1273,MATCH($M100,Data!$K$9:$K$1273,0)),"")</f>
        <v/>
      </c>
      <c r="BH100" s="225" t="str">
        <f>IFERROR(INDEX(Data!DE$9:DE$1273,MATCH($M100,Data!$K$9:$K$1273,0)),"")</f>
        <v/>
      </c>
      <c r="BI100" s="225" t="str">
        <f>IFERROR(INDEX(Data!DF$9:DF$1273,MATCH($M100,Data!$K$9:$K$1273,0)),"")</f>
        <v/>
      </c>
      <c r="BJ100" s="225" t="str">
        <f>IFERROR(INDEX(Data!DG$9:DG$1273,MATCH($M100,Data!$K$9:$K$1273,0)),"")</f>
        <v/>
      </c>
      <c r="BK100" s="225" t="str">
        <f>IFERROR(INDEX(Data!DH$9:DH$1273,MATCH($M100,Data!$K$9:$K$1273,0)),"")</f>
        <v/>
      </c>
      <c r="BL100" s="225" t="str">
        <f>IFERROR(INDEX(Data!DI$9:DI$1273,MATCH($M100,Data!$K$9:$K$1273,0)),"")</f>
        <v/>
      </c>
      <c r="BM100" s="225" t="str">
        <f>IFERROR(INDEX(Data!DJ$9:DJ$1273,MATCH($M100,Data!$K$9:$K$1273,0)),"")</f>
        <v/>
      </c>
      <c r="BN100" s="225" t="str">
        <f>IFERROR(INDEX(Data!DK$9:DK$1273,MATCH($M100,Data!$K$9:$K$1273,0)),"")</f>
        <v/>
      </c>
      <c r="BO100" s="225" t="str">
        <f>IFERROR(INDEX(Data!DL$9:DL$1273,MATCH($M100,Data!$K$9:$K$1273,0)),"")</f>
        <v/>
      </c>
      <c r="BP100" s="243" t="str">
        <f t="shared" si="5"/>
        <v/>
      </c>
      <c r="BQ100" s="225" t="str">
        <f t="shared" si="6"/>
        <v xml:space="preserve"> </v>
      </c>
      <c r="BR100" s="225" t="str">
        <f t="shared" si="7"/>
        <v/>
      </c>
      <c r="BS100" s="225" t="str">
        <f>IFERROR(INDEX(Data!$DO$9:$DO$1273,MATCH('Your recommendation'!BR100,Data!$DN$9:$DN$1273,0)),"")</f>
        <v/>
      </c>
    </row>
    <row r="101" spans="2:71" ht="15.6" customHeight="1">
      <c r="B101" s="222" t="str">
        <f t="shared" si="8"/>
        <v/>
      </c>
      <c r="C101" s="223"/>
      <c r="D101" s="225" t="str">
        <f>IFERROR(INDEX(Data!BR$9:BR$1273,MATCH($M101,Data!$K$9:$K$1273,0)),"")</f>
        <v/>
      </c>
      <c r="E101" s="225" t="str">
        <f>IFERROR(INDEX(Data!BS$9:BS$1273,MATCH($M101,Data!$K$9:$K$1273,0)),"")</f>
        <v/>
      </c>
      <c r="F101" s="225" t="str">
        <f>IFERROR(INDEX(Data!DM$9:DM$1273,MATCH($M101,Data!$K$9:$K$1273,0)),"")</f>
        <v/>
      </c>
      <c r="G101" s="225" t="str">
        <f>IFERROR(INDEX(Data!BV$9:BV$1273,MATCH($M101,Data!$K$9:$K$1273,0)),"")</f>
        <v/>
      </c>
      <c r="H101" s="225" t="str">
        <f>IFERROR(INDEX(Data!BW$9:BW$1273,MATCH($M101,Data!$K$9:$K$1273,0)),"")</f>
        <v/>
      </c>
      <c r="I101" s="225" t="str">
        <f>IFERROR(INDEX(Data!BX$9:BX$1273,MATCH($M101,Data!$K$9:$K$1273,0)),"")</f>
        <v/>
      </c>
      <c r="J101" s="225" t="str">
        <f>IFERROR(INDEX(Data!CB$9:CB$1273,MATCH($M101,Data!$K$9:$K$1273,0)),"")</f>
        <v/>
      </c>
      <c r="K101" s="241" t="str">
        <f t="shared" si="3"/>
        <v/>
      </c>
      <c r="L101" s="242" t="str">
        <f t="shared" si="4"/>
        <v/>
      </c>
      <c r="M101" s="224"/>
      <c r="N101" s="224"/>
      <c r="O101" s="224" t="str">
        <f>IFERROR(INDEX(Data!M$9:M$1273,MATCH($M101,Data!$K$9:$K$1273,0)),"")</f>
        <v/>
      </c>
      <c r="P101" s="224" t="str">
        <f>IFERROR(INDEX(Data!N$9:N$1273,MATCH($M101,Data!$K$9:$K$1273,0)),"")</f>
        <v/>
      </c>
      <c r="Q101" s="224" t="str">
        <f>IFERROR(INDEX(Data!O$9:O$1273,MATCH($M101,Data!$K$9:$K$1273,0)),"")</f>
        <v/>
      </c>
      <c r="R101" s="224" t="str">
        <f>IFERROR(INDEX(Data!P$9:P$1273,MATCH($M101,Data!$K$9:$K$1273,0)),"")</f>
        <v/>
      </c>
      <c r="S101" s="224" t="str">
        <f>IFERROR(INDEX(Data!S$9:S$1273,MATCH($M101,Data!$K$9:$K$1273,0)),"")</f>
        <v/>
      </c>
      <c r="T101" s="224" t="str">
        <f>IFERROR(INDEX(Data!T$9:T$1273,MATCH($M101,Data!$K$9:$K$1273,0)),"")</f>
        <v/>
      </c>
      <c r="U101" s="224" t="str">
        <f>IFERROR(INDEX(Data!U$9:U$1273,MATCH($M101,Data!$K$9:$K$1273,0)),"")</f>
        <v/>
      </c>
      <c r="V101" s="224" t="str">
        <f>IFERROR(INDEX(Data!V$9:V$1273,MATCH($M101,Data!$K$9:$K$1273,0)),"")</f>
        <v/>
      </c>
      <c r="W101" s="224" t="str">
        <f>IFERROR(INDEX(Data!W$9:W$1273,MATCH($M101,Data!$K$9:$K$1273,0)),"")</f>
        <v/>
      </c>
      <c r="X101" s="224" t="str">
        <f>IFERROR(INDEX(Data!AJ$9:AJ$1273,MATCH($M101,Data!$K$9:$K$1273,0)),"")</f>
        <v/>
      </c>
      <c r="Y101" s="224" t="str">
        <f>IFERROR(INDEX(Data!AK$9:AK$1273,MATCH($M101,Data!$K$9:$K$1273,0)),"")</f>
        <v/>
      </c>
      <c r="Z101" s="224" t="str">
        <f>IFERROR(INDEX(Data!AL$9:AL$1273,MATCH($M101,Data!$K$9:$K$1273,0)),"")</f>
        <v/>
      </c>
      <c r="AA101" s="224" t="str">
        <f>IFERROR(INDEX(Data!AM$9:AM$1273,MATCH($M101,Data!$K$9:$K$1273,0)),"")</f>
        <v/>
      </c>
      <c r="AB101" s="224" t="str">
        <f>IFERROR(INDEX(Data!AN$9:AN$1273,MATCH($M101,Data!$K$9:$K$1273,0)),"")</f>
        <v/>
      </c>
      <c r="AC101" s="225" t="str">
        <f>IFERROR(INDEX(Data!BY$9:BY$1273,MATCH($M101,Data!$K$9:$K$1273,0)),"")</f>
        <v/>
      </c>
      <c r="AD101" s="225" t="str">
        <f>IFERROR(INDEX(Data!BZ$9:BZ$1273,MATCH($M101,Data!$K$9:$K$1273,0)),"")</f>
        <v/>
      </c>
      <c r="AE101" s="225" t="str">
        <f>IFERROR(INDEX(Data!CA$9:CA$1273,MATCH($M101,Data!$K$9:$K$1273,0)),"")</f>
        <v/>
      </c>
      <c r="AF101" s="225" t="str">
        <f>IFERROR(INDEX(Data!CB$9:CB$1273,MATCH($M101,Data!$K$9:$K$1273,0)),"")</f>
        <v/>
      </c>
      <c r="AG101" s="225" t="str">
        <f>IFERROR(INDEX(Data!CC$9:CC$1273,MATCH($M101,Data!$K$9:$K$1273,0)),"")</f>
        <v/>
      </c>
      <c r="AH101" s="225" t="str">
        <f>IFERROR(INDEX(Data!CD$9:CD$1273,MATCH($M101,Data!$K$9:$K$1273,0)),"")</f>
        <v/>
      </c>
      <c r="AI101" s="225" t="str">
        <f>IFERROR(INDEX(Data!CE$9:CE$1273,MATCH($M101,Data!$K$9:$K$1273,0)),"")</f>
        <v/>
      </c>
      <c r="AJ101" s="225" t="str">
        <f>IFERROR(INDEX(Data!CF$9:CF$1273,MATCH($M101,Data!$K$9:$K$1273,0)),"")</f>
        <v/>
      </c>
      <c r="AK101" s="225" t="str">
        <f>IFERROR(INDEX(Data!CG$9:CG$1273,MATCH($M101,Data!$K$9:$K$1273,0)),"")</f>
        <v/>
      </c>
      <c r="AL101" s="225" t="str">
        <f>IFERROR(INDEX(Data!CH$9:CH$1273,MATCH($M101,Data!$K$9:$K$1273,0)),"")</f>
        <v/>
      </c>
      <c r="AM101" s="225" t="str">
        <f>IFERROR(INDEX(Data!CI$9:CI$1273,MATCH($M101,Data!$K$9:$K$1273,0)),"")</f>
        <v/>
      </c>
      <c r="AN101" s="225" t="str">
        <f>IFERROR(INDEX(Data!CJ$9:CJ$1273,MATCH($M101,Data!$K$9:$K$1273,0)),"")</f>
        <v/>
      </c>
      <c r="AO101" s="225" t="str">
        <f>IFERROR(INDEX(Data!CK$9:CK$1273,MATCH($M101,Data!$K$9:$K$1273,0)),"")</f>
        <v/>
      </c>
      <c r="AP101" s="225" t="str">
        <f>IFERROR(INDEX(Data!CL$9:CL$1273,MATCH($M101,Data!$K$9:$K$1273,0)),"")</f>
        <v/>
      </c>
      <c r="AQ101" s="225" t="str">
        <f>IFERROR(INDEX(Data!CM$9:CM$1273,MATCH($M101,Data!$K$9:$K$1273,0)),"")</f>
        <v/>
      </c>
      <c r="AR101" s="225" t="str">
        <f>IFERROR(INDEX(Data!CN$9:CN$1273,MATCH($M101,Data!$K$9:$K$1273,0)),"")</f>
        <v/>
      </c>
      <c r="AS101" s="225" t="str">
        <f>IFERROR(INDEX(Data!CO$9:CO$1273,MATCH($M101,Data!$K$9:$K$1273,0)),"")</f>
        <v/>
      </c>
      <c r="AT101" s="225" t="str">
        <f>IFERROR(INDEX(Data!CP$9:CP$1273,MATCH($M101,Data!$K$9:$K$1273,0)),"")</f>
        <v/>
      </c>
      <c r="AU101" s="225" t="str">
        <f>IFERROR(INDEX(Data!CQ$9:CQ$1273,MATCH($M101,Data!$K$9:$K$1273,0)),"")</f>
        <v/>
      </c>
      <c r="AV101" s="225" t="str">
        <f>IFERROR(INDEX(Data!CR$9:CR$1273,MATCH($M101,Data!$K$9:$K$1273,0)),"")</f>
        <v/>
      </c>
      <c r="AW101" s="225" t="str">
        <f>IFERROR(INDEX(Data!CS$9:CS$1273,MATCH($M101,Data!$K$9:$K$1273,0)),"")</f>
        <v/>
      </c>
      <c r="AX101" s="225" t="str">
        <f>IFERROR(INDEX(Data!CT$9:CT$1273,MATCH($M101,Data!$K$9:$K$1273,0)),"")</f>
        <v/>
      </c>
      <c r="AY101" s="225" t="str">
        <f>IFERROR(INDEX(Data!CU$9:CU$1273,MATCH($M101,Data!$K$9:$K$1273,0)),"")</f>
        <v/>
      </c>
      <c r="AZ101" s="225" t="str">
        <f>IFERROR(INDEX(Data!CV$9:CV$1273,MATCH($M101,Data!$K$9:$K$1273,0)),"")</f>
        <v/>
      </c>
      <c r="BA101" s="225" t="str">
        <f>IFERROR(INDEX(Data!CX$9:CX$1273,MATCH($M101,Data!$K$9:$K$1273,0)),"")</f>
        <v/>
      </c>
      <c r="BB101" s="225" t="str">
        <f>IFERROR(INDEX(Data!CY$9:CY$1273,MATCH($M101,Data!$K$9:$K$1273,0)),"")</f>
        <v/>
      </c>
      <c r="BC101" s="225" t="str">
        <f>IFERROR(INDEX(Data!CZ$9:CZ$1273,MATCH($M101,Data!$K$9:$K$1273,0)),"")</f>
        <v/>
      </c>
      <c r="BD101" s="225" t="str">
        <f>IFERROR(INDEX(Data!DA$9:DA$1273,MATCH($M101,Data!$K$9:$K$1273,0)),"")</f>
        <v/>
      </c>
      <c r="BE101" s="225" t="str">
        <f>IFERROR(INDEX(Data!DB$9:DB$1273,MATCH($M101,Data!$K$9:$K$1273,0)),"")</f>
        <v/>
      </c>
      <c r="BF101" s="225" t="str">
        <f>IFERROR(INDEX(Data!DC$9:DC$1273,MATCH($M101,Data!$K$9:$K$1273,0)),"")</f>
        <v/>
      </c>
      <c r="BG101" s="225" t="str">
        <f>IFERROR(INDEX(Data!DD$9:DD$1273,MATCH($M101,Data!$K$9:$K$1273,0)),"")</f>
        <v/>
      </c>
      <c r="BH101" s="225" t="str">
        <f>IFERROR(INDEX(Data!DE$9:DE$1273,MATCH($M101,Data!$K$9:$K$1273,0)),"")</f>
        <v/>
      </c>
      <c r="BI101" s="225" t="str">
        <f>IFERROR(INDEX(Data!DF$9:DF$1273,MATCH($M101,Data!$K$9:$K$1273,0)),"")</f>
        <v/>
      </c>
      <c r="BJ101" s="225" t="str">
        <f>IFERROR(INDEX(Data!DG$9:DG$1273,MATCH($M101,Data!$K$9:$K$1273,0)),"")</f>
        <v/>
      </c>
      <c r="BK101" s="225" t="str">
        <f>IFERROR(INDEX(Data!DH$9:DH$1273,MATCH($M101,Data!$K$9:$K$1273,0)),"")</f>
        <v/>
      </c>
      <c r="BL101" s="225" t="str">
        <f>IFERROR(INDEX(Data!DI$9:DI$1273,MATCH($M101,Data!$K$9:$K$1273,0)),"")</f>
        <v/>
      </c>
      <c r="BM101" s="225" t="str">
        <f>IFERROR(INDEX(Data!DJ$9:DJ$1273,MATCH($M101,Data!$K$9:$K$1273,0)),"")</f>
        <v/>
      </c>
      <c r="BN101" s="225" t="str">
        <f>IFERROR(INDEX(Data!DK$9:DK$1273,MATCH($M101,Data!$K$9:$K$1273,0)),"")</f>
        <v/>
      </c>
      <c r="BO101" s="225" t="str">
        <f>IFERROR(INDEX(Data!DL$9:DL$1273,MATCH($M101,Data!$K$9:$K$1273,0)),"")</f>
        <v/>
      </c>
      <c r="BP101" s="243" t="str">
        <f t="shared" si="5"/>
        <v/>
      </c>
      <c r="BQ101" s="225" t="str">
        <f t="shared" si="6"/>
        <v xml:space="preserve"> </v>
      </c>
      <c r="BR101" s="225" t="str">
        <f t="shared" si="7"/>
        <v/>
      </c>
      <c r="BS101" s="225" t="str">
        <f>IFERROR(INDEX(Data!$DO$9:$DO$1273,MATCH('Your recommendation'!BR101,Data!$DN$9:$DN$1273,0)),"")</f>
        <v/>
      </c>
    </row>
    <row r="102" spans="2:71" ht="15.6" customHeight="1">
      <c r="B102" s="222" t="str">
        <f t="shared" si="8"/>
        <v/>
      </c>
      <c r="C102" s="223"/>
      <c r="D102" s="225" t="str">
        <f>IFERROR(INDEX(Data!BR$9:BR$1273,MATCH($M102,Data!$K$9:$K$1273,0)),"")</f>
        <v/>
      </c>
      <c r="E102" s="225" t="str">
        <f>IFERROR(INDEX(Data!BS$9:BS$1273,MATCH($M102,Data!$K$9:$K$1273,0)),"")</f>
        <v/>
      </c>
      <c r="F102" s="225" t="str">
        <f>IFERROR(INDEX(Data!DM$9:DM$1273,MATCH($M102,Data!$K$9:$K$1273,0)),"")</f>
        <v/>
      </c>
      <c r="G102" s="225" t="str">
        <f>IFERROR(INDEX(Data!BV$9:BV$1273,MATCH($M102,Data!$K$9:$K$1273,0)),"")</f>
        <v/>
      </c>
      <c r="H102" s="225" t="str">
        <f>IFERROR(INDEX(Data!BW$9:BW$1273,MATCH($M102,Data!$K$9:$K$1273,0)),"")</f>
        <v/>
      </c>
      <c r="I102" s="225" t="str">
        <f>IFERROR(INDEX(Data!BX$9:BX$1273,MATCH($M102,Data!$K$9:$K$1273,0)),"")</f>
        <v/>
      </c>
      <c r="J102" s="225" t="str">
        <f>IFERROR(INDEX(Data!CB$9:CB$1273,MATCH($M102,Data!$K$9:$K$1273,0)),"")</f>
        <v/>
      </c>
      <c r="K102" s="241" t="str">
        <f t="shared" si="3"/>
        <v/>
      </c>
      <c r="L102" s="242" t="str">
        <f t="shared" si="4"/>
        <v/>
      </c>
      <c r="M102" s="224"/>
      <c r="N102" s="224"/>
      <c r="O102" s="224" t="str">
        <f>IFERROR(INDEX(Data!M$9:M$1273,MATCH($M102,Data!$K$9:$K$1273,0)),"")</f>
        <v/>
      </c>
      <c r="P102" s="224" t="str">
        <f>IFERROR(INDEX(Data!N$9:N$1273,MATCH($M102,Data!$K$9:$K$1273,0)),"")</f>
        <v/>
      </c>
      <c r="Q102" s="224" t="str">
        <f>IFERROR(INDEX(Data!O$9:O$1273,MATCH($M102,Data!$K$9:$K$1273,0)),"")</f>
        <v/>
      </c>
      <c r="R102" s="224" t="str">
        <f>IFERROR(INDEX(Data!P$9:P$1273,MATCH($M102,Data!$K$9:$K$1273,0)),"")</f>
        <v/>
      </c>
      <c r="S102" s="224" t="str">
        <f>IFERROR(INDEX(Data!S$9:S$1273,MATCH($M102,Data!$K$9:$K$1273,0)),"")</f>
        <v/>
      </c>
      <c r="T102" s="224" t="str">
        <f>IFERROR(INDEX(Data!T$9:T$1273,MATCH($M102,Data!$K$9:$K$1273,0)),"")</f>
        <v/>
      </c>
      <c r="U102" s="224" t="str">
        <f>IFERROR(INDEX(Data!U$9:U$1273,MATCH($M102,Data!$K$9:$K$1273,0)),"")</f>
        <v/>
      </c>
      <c r="V102" s="224" t="str">
        <f>IFERROR(INDEX(Data!V$9:V$1273,MATCH($M102,Data!$K$9:$K$1273,0)),"")</f>
        <v/>
      </c>
      <c r="W102" s="224" t="str">
        <f>IFERROR(INDEX(Data!W$9:W$1273,MATCH($M102,Data!$K$9:$K$1273,0)),"")</f>
        <v/>
      </c>
      <c r="X102" s="224" t="str">
        <f>IFERROR(INDEX(Data!AJ$9:AJ$1273,MATCH($M102,Data!$K$9:$K$1273,0)),"")</f>
        <v/>
      </c>
      <c r="Y102" s="224" t="str">
        <f>IFERROR(INDEX(Data!AK$9:AK$1273,MATCH($M102,Data!$K$9:$K$1273,0)),"")</f>
        <v/>
      </c>
      <c r="Z102" s="224" t="str">
        <f>IFERROR(INDEX(Data!AL$9:AL$1273,MATCH($M102,Data!$K$9:$K$1273,0)),"")</f>
        <v/>
      </c>
      <c r="AA102" s="224" t="str">
        <f>IFERROR(INDEX(Data!AM$9:AM$1273,MATCH($M102,Data!$K$9:$K$1273,0)),"")</f>
        <v/>
      </c>
      <c r="AB102" s="224" t="str">
        <f>IFERROR(INDEX(Data!AN$9:AN$1273,MATCH($M102,Data!$K$9:$K$1273,0)),"")</f>
        <v/>
      </c>
      <c r="AC102" s="225" t="str">
        <f>IFERROR(INDEX(Data!BY$9:BY$1273,MATCH($M102,Data!$K$9:$K$1273,0)),"")</f>
        <v/>
      </c>
      <c r="AD102" s="225" t="str">
        <f>IFERROR(INDEX(Data!BZ$9:BZ$1273,MATCH($M102,Data!$K$9:$K$1273,0)),"")</f>
        <v/>
      </c>
      <c r="AE102" s="225" t="str">
        <f>IFERROR(INDEX(Data!CA$9:CA$1273,MATCH($M102,Data!$K$9:$K$1273,0)),"")</f>
        <v/>
      </c>
      <c r="AF102" s="225" t="str">
        <f>IFERROR(INDEX(Data!CB$9:CB$1273,MATCH($M102,Data!$K$9:$K$1273,0)),"")</f>
        <v/>
      </c>
      <c r="AG102" s="225" t="str">
        <f>IFERROR(INDEX(Data!CC$9:CC$1273,MATCH($M102,Data!$K$9:$K$1273,0)),"")</f>
        <v/>
      </c>
      <c r="AH102" s="225" t="str">
        <f>IFERROR(INDEX(Data!CD$9:CD$1273,MATCH($M102,Data!$K$9:$K$1273,0)),"")</f>
        <v/>
      </c>
      <c r="AI102" s="225" t="str">
        <f>IFERROR(INDEX(Data!CE$9:CE$1273,MATCH($M102,Data!$K$9:$K$1273,0)),"")</f>
        <v/>
      </c>
      <c r="AJ102" s="225" t="str">
        <f>IFERROR(INDEX(Data!CF$9:CF$1273,MATCH($M102,Data!$K$9:$K$1273,0)),"")</f>
        <v/>
      </c>
      <c r="AK102" s="225" t="str">
        <f>IFERROR(INDEX(Data!CG$9:CG$1273,MATCH($M102,Data!$K$9:$K$1273,0)),"")</f>
        <v/>
      </c>
      <c r="AL102" s="225" t="str">
        <f>IFERROR(INDEX(Data!CH$9:CH$1273,MATCH($M102,Data!$K$9:$K$1273,0)),"")</f>
        <v/>
      </c>
      <c r="AM102" s="225" t="str">
        <f>IFERROR(INDEX(Data!CI$9:CI$1273,MATCH($M102,Data!$K$9:$K$1273,0)),"")</f>
        <v/>
      </c>
      <c r="AN102" s="225" t="str">
        <f>IFERROR(INDEX(Data!CJ$9:CJ$1273,MATCH($M102,Data!$K$9:$K$1273,0)),"")</f>
        <v/>
      </c>
      <c r="AO102" s="225" t="str">
        <f>IFERROR(INDEX(Data!CK$9:CK$1273,MATCH($M102,Data!$K$9:$K$1273,0)),"")</f>
        <v/>
      </c>
      <c r="AP102" s="225" t="str">
        <f>IFERROR(INDEX(Data!CL$9:CL$1273,MATCH($M102,Data!$K$9:$K$1273,0)),"")</f>
        <v/>
      </c>
      <c r="AQ102" s="225" t="str">
        <f>IFERROR(INDEX(Data!CM$9:CM$1273,MATCH($M102,Data!$K$9:$K$1273,0)),"")</f>
        <v/>
      </c>
      <c r="AR102" s="225" t="str">
        <f>IFERROR(INDEX(Data!CN$9:CN$1273,MATCH($M102,Data!$K$9:$K$1273,0)),"")</f>
        <v/>
      </c>
      <c r="AS102" s="225" t="str">
        <f>IFERROR(INDEX(Data!CO$9:CO$1273,MATCH($M102,Data!$K$9:$K$1273,0)),"")</f>
        <v/>
      </c>
      <c r="AT102" s="225" t="str">
        <f>IFERROR(INDEX(Data!CP$9:CP$1273,MATCH($M102,Data!$K$9:$K$1273,0)),"")</f>
        <v/>
      </c>
      <c r="AU102" s="225" t="str">
        <f>IFERROR(INDEX(Data!CQ$9:CQ$1273,MATCH($M102,Data!$K$9:$K$1273,0)),"")</f>
        <v/>
      </c>
      <c r="AV102" s="225" t="str">
        <f>IFERROR(INDEX(Data!CR$9:CR$1273,MATCH($M102,Data!$K$9:$K$1273,0)),"")</f>
        <v/>
      </c>
      <c r="AW102" s="225" t="str">
        <f>IFERROR(INDEX(Data!CS$9:CS$1273,MATCH($M102,Data!$K$9:$K$1273,0)),"")</f>
        <v/>
      </c>
      <c r="AX102" s="225" t="str">
        <f>IFERROR(INDEX(Data!CT$9:CT$1273,MATCH($M102,Data!$K$9:$K$1273,0)),"")</f>
        <v/>
      </c>
      <c r="AY102" s="225" t="str">
        <f>IFERROR(INDEX(Data!CU$9:CU$1273,MATCH($M102,Data!$K$9:$K$1273,0)),"")</f>
        <v/>
      </c>
      <c r="AZ102" s="225" t="str">
        <f>IFERROR(INDEX(Data!CV$9:CV$1273,MATCH($M102,Data!$K$9:$K$1273,0)),"")</f>
        <v/>
      </c>
      <c r="BA102" s="225" t="str">
        <f>IFERROR(INDEX(Data!CX$9:CX$1273,MATCH($M102,Data!$K$9:$K$1273,0)),"")</f>
        <v/>
      </c>
      <c r="BB102" s="225" t="str">
        <f>IFERROR(INDEX(Data!CY$9:CY$1273,MATCH($M102,Data!$K$9:$K$1273,0)),"")</f>
        <v/>
      </c>
      <c r="BC102" s="225" t="str">
        <f>IFERROR(INDEX(Data!CZ$9:CZ$1273,MATCH($M102,Data!$K$9:$K$1273,0)),"")</f>
        <v/>
      </c>
      <c r="BD102" s="225" t="str">
        <f>IFERROR(INDEX(Data!DA$9:DA$1273,MATCH($M102,Data!$K$9:$K$1273,0)),"")</f>
        <v/>
      </c>
      <c r="BE102" s="225" t="str">
        <f>IFERROR(INDEX(Data!DB$9:DB$1273,MATCH($M102,Data!$K$9:$K$1273,0)),"")</f>
        <v/>
      </c>
      <c r="BF102" s="225" t="str">
        <f>IFERROR(INDEX(Data!DC$9:DC$1273,MATCH($M102,Data!$K$9:$K$1273,0)),"")</f>
        <v/>
      </c>
      <c r="BG102" s="225" t="str">
        <f>IFERROR(INDEX(Data!DD$9:DD$1273,MATCH($M102,Data!$K$9:$K$1273,0)),"")</f>
        <v/>
      </c>
      <c r="BH102" s="225" t="str">
        <f>IFERROR(INDEX(Data!DE$9:DE$1273,MATCH($M102,Data!$K$9:$K$1273,0)),"")</f>
        <v/>
      </c>
      <c r="BI102" s="225" t="str">
        <f>IFERROR(INDEX(Data!DF$9:DF$1273,MATCH($M102,Data!$K$9:$K$1273,0)),"")</f>
        <v/>
      </c>
      <c r="BJ102" s="225" t="str">
        <f>IFERROR(INDEX(Data!DG$9:DG$1273,MATCH($M102,Data!$K$9:$K$1273,0)),"")</f>
        <v/>
      </c>
      <c r="BK102" s="225" t="str">
        <f>IFERROR(INDEX(Data!DH$9:DH$1273,MATCH($M102,Data!$K$9:$K$1273,0)),"")</f>
        <v/>
      </c>
      <c r="BL102" s="225" t="str">
        <f>IFERROR(INDEX(Data!DI$9:DI$1273,MATCH($M102,Data!$K$9:$K$1273,0)),"")</f>
        <v/>
      </c>
      <c r="BM102" s="225" t="str">
        <f>IFERROR(INDEX(Data!DJ$9:DJ$1273,MATCH($M102,Data!$K$9:$K$1273,0)),"")</f>
        <v/>
      </c>
      <c r="BN102" s="225" t="str">
        <f>IFERROR(INDEX(Data!DK$9:DK$1273,MATCH($M102,Data!$K$9:$K$1273,0)),"")</f>
        <v/>
      </c>
      <c r="BO102" s="225" t="str">
        <f>IFERROR(INDEX(Data!DL$9:DL$1273,MATCH($M102,Data!$K$9:$K$1273,0)),"")</f>
        <v/>
      </c>
      <c r="BP102" s="243" t="str">
        <f t="shared" si="5"/>
        <v/>
      </c>
      <c r="BQ102" s="225" t="str">
        <f t="shared" si="6"/>
        <v xml:space="preserve"> </v>
      </c>
      <c r="BR102" s="225" t="str">
        <f t="shared" si="7"/>
        <v/>
      </c>
      <c r="BS102" s="225" t="str">
        <f>IFERROR(INDEX(Data!$DO$9:$DO$1273,MATCH('Your recommendation'!BR102,Data!$DN$9:$DN$1273,0)),"")</f>
        <v/>
      </c>
    </row>
    <row r="103" spans="2:71" ht="15.6" customHeight="1">
      <c r="B103" s="222" t="str">
        <f t="shared" si="8"/>
        <v/>
      </c>
      <c r="C103" s="223"/>
      <c r="D103" s="225" t="str">
        <f>IFERROR(INDEX(Data!BR$9:BR$1273,MATCH($M103,Data!$K$9:$K$1273,0)),"")</f>
        <v/>
      </c>
      <c r="E103" s="225" t="str">
        <f>IFERROR(INDEX(Data!BS$9:BS$1273,MATCH($M103,Data!$K$9:$K$1273,0)),"")</f>
        <v/>
      </c>
      <c r="F103" s="225" t="str">
        <f>IFERROR(INDEX(Data!DM$9:DM$1273,MATCH($M103,Data!$K$9:$K$1273,0)),"")</f>
        <v/>
      </c>
      <c r="G103" s="225" t="str">
        <f>IFERROR(INDEX(Data!BV$9:BV$1273,MATCH($M103,Data!$K$9:$K$1273,0)),"")</f>
        <v/>
      </c>
      <c r="H103" s="225" t="str">
        <f>IFERROR(INDEX(Data!BW$9:BW$1273,MATCH($M103,Data!$K$9:$K$1273,0)),"")</f>
        <v/>
      </c>
      <c r="I103" s="225" t="str">
        <f>IFERROR(INDEX(Data!BX$9:BX$1273,MATCH($M103,Data!$K$9:$K$1273,0)),"")</f>
        <v/>
      </c>
      <c r="J103" s="225" t="str">
        <f>IFERROR(INDEX(Data!CB$9:CB$1273,MATCH($M103,Data!$K$9:$K$1273,0)),"")</f>
        <v/>
      </c>
      <c r="K103" s="241" t="str">
        <f t="shared" si="3"/>
        <v/>
      </c>
      <c r="L103" s="242" t="str">
        <f t="shared" si="4"/>
        <v/>
      </c>
      <c r="M103" s="224"/>
      <c r="N103" s="224"/>
      <c r="O103" s="224" t="str">
        <f>IFERROR(INDEX(Data!M$9:M$1273,MATCH($M103,Data!$K$9:$K$1273,0)),"")</f>
        <v/>
      </c>
      <c r="P103" s="224" t="str">
        <f>IFERROR(INDEX(Data!N$9:N$1273,MATCH($M103,Data!$K$9:$K$1273,0)),"")</f>
        <v/>
      </c>
      <c r="Q103" s="224" t="str">
        <f>IFERROR(INDEX(Data!O$9:O$1273,MATCH($M103,Data!$K$9:$K$1273,0)),"")</f>
        <v/>
      </c>
      <c r="R103" s="224" t="str">
        <f>IFERROR(INDEX(Data!P$9:P$1273,MATCH($M103,Data!$K$9:$K$1273,0)),"")</f>
        <v/>
      </c>
      <c r="S103" s="224" t="str">
        <f>IFERROR(INDEX(Data!S$9:S$1273,MATCH($M103,Data!$K$9:$K$1273,0)),"")</f>
        <v/>
      </c>
      <c r="T103" s="224" t="str">
        <f>IFERROR(INDEX(Data!T$9:T$1273,MATCH($M103,Data!$K$9:$K$1273,0)),"")</f>
        <v/>
      </c>
      <c r="U103" s="224" t="str">
        <f>IFERROR(INDEX(Data!U$9:U$1273,MATCH($M103,Data!$K$9:$K$1273,0)),"")</f>
        <v/>
      </c>
      <c r="V103" s="224" t="str">
        <f>IFERROR(INDEX(Data!V$9:V$1273,MATCH($M103,Data!$K$9:$K$1273,0)),"")</f>
        <v/>
      </c>
      <c r="W103" s="224" t="str">
        <f>IFERROR(INDEX(Data!W$9:W$1273,MATCH($M103,Data!$K$9:$K$1273,0)),"")</f>
        <v/>
      </c>
      <c r="X103" s="224" t="str">
        <f>IFERROR(INDEX(Data!AJ$9:AJ$1273,MATCH($M103,Data!$K$9:$K$1273,0)),"")</f>
        <v/>
      </c>
      <c r="Y103" s="224" t="str">
        <f>IFERROR(INDEX(Data!AK$9:AK$1273,MATCH($M103,Data!$K$9:$K$1273,0)),"")</f>
        <v/>
      </c>
      <c r="Z103" s="224" t="str">
        <f>IFERROR(INDEX(Data!AL$9:AL$1273,MATCH($M103,Data!$K$9:$K$1273,0)),"")</f>
        <v/>
      </c>
      <c r="AA103" s="224" t="str">
        <f>IFERROR(INDEX(Data!AM$9:AM$1273,MATCH($M103,Data!$K$9:$K$1273,0)),"")</f>
        <v/>
      </c>
      <c r="AB103" s="224" t="str">
        <f>IFERROR(INDEX(Data!AN$9:AN$1273,MATCH($M103,Data!$K$9:$K$1273,0)),"")</f>
        <v/>
      </c>
      <c r="AC103" s="225" t="str">
        <f>IFERROR(INDEX(Data!BY$9:BY$1273,MATCH($M103,Data!$K$9:$K$1273,0)),"")</f>
        <v/>
      </c>
      <c r="AD103" s="225" t="str">
        <f>IFERROR(INDEX(Data!BZ$9:BZ$1273,MATCH($M103,Data!$K$9:$K$1273,0)),"")</f>
        <v/>
      </c>
      <c r="AE103" s="225" t="str">
        <f>IFERROR(INDEX(Data!CA$9:CA$1273,MATCH($M103,Data!$K$9:$K$1273,0)),"")</f>
        <v/>
      </c>
      <c r="AF103" s="225" t="str">
        <f>IFERROR(INDEX(Data!CB$9:CB$1273,MATCH($M103,Data!$K$9:$K$1273,0)),"")</f>
        <v/>
      </c>
      <c r="AG103" s="225" t="str">
        <f>IFERROR(INDEX(Data!CC$9:CC$1273,MATCH($M103,Data!$K$9:$K$1273,0)),"")</f>
        <v/>
      </c>
      <c r="AH103" s="225" t="str">
        <f>IFERROR(INDEX(Data!CD$9:CD$1273,MATCH($M103,Data!$K$9:$K$1273,0)),"")</f>
        <v/>
      </c>
      <c r="AI103" s="225" t="str">
        <f>IFERROR(INDEX(Data!CE$9:CE$1273,MATCH($M103,Data!$K$9:$K$1273,0)),"")</f>
        <v/>
      </c>
      <c r="AJ103" s="225" t="str">
        <f>IFERROR(INDEX(Data!CF$9:CF$1273,MATCH($M103,Data!$K$9:$K$1273,0)),"")</f>
        <v/>
      </c>
      <c r="AK103" s="225" t="str">
        <f>IFERROR(INDEX(Data!CG$9:CG$1273,MATCH($M103,Data!$K$9:$K$1273,0)),"")</f>
        <v/>
      </c>
      <c r="AL103" s="225" t="str">
        <f>IFERROR(INDEX(Data!CH$9:CH$1273,MATCH($M103,Data!$K$9:$K$1273,0)),"")</f>
        <v/>
      </c>
      <c r="AM103" s="225" t="str">
        <f>IFERROR(INDEX(Data!CI$9:CI$1273,MATCH($M103,Data!$K$9:$K$1273,0)),"")</f>
        <v/>
      </c>
      <c r="AN103" s="225" t="str">
        <f>IFERROR(INDEX(Data!CJ$9:CJ$1273,MATCH($M103,Data!$K$9:$K$1273,0)),"")</f>
        <v/>
      </c>
      <c r="AO103" s="225" t="str">
        <f>IFERROR(INDEX(Data!CK$9:CK$1273,MATCH($M103,Data!$K$9:$K$1273,0)),"")</f>
        <v/>
      </c>
      <c r="AP103" s="225" t="str">
        <f>IFERROR(INDEX(Data!CL$9:CL$1273,MATCH($M103,Data!$K$9:$K$1273,0)),"")</f>
        <v/>
      </c>
      <c r="AQ103" s="225" t="str">
        <f>IFERROR(INDEX(Data!CM$9:CM$1273,MATCH($M103,Data!$K$9:$K$1273,0)),"")</f>
        <v/>
      </c>
      <c r="AR103" s="225" t="str">
        <f>IFERROR(INDEX(Data!CN$9:CN$1273,MATCH($M103,Data!$K$9:$K$1273,0)),"")</f>
        <v/>
      </c>
      <c r="AS103" s="225" t="str">
        <f>IFERROR(INDEX(Data!CO$9:CO$1273,MATCH($M103,Data!$K$9:$K$1273,0)),"")</f>
        <v/>
      </c>
      <c r="AT103" s="225" t="str">
        <f>IFERROR(INDEX(Data!CP$9:CP$1273,MATCH($M103,Data!$K$9:$K$1273,0)),"")</f>
        <v/>
      </c>
      <c r="AU103" s="225" t="str">
        <f>IFERROR(INDEX(Data!CQ$9:CQ$1273,MATCH($M103,Data!$K$9:$K$1273,0)),"")</f>
        <v/>
      </c>
      <c r="AV103" s="225" t="str">
        <f>IFERROR(INDEX(Data!CR$9:CR$1273,MATCH($M103,Data!$K$9:$K$1273,0)),"")</f>
        <v/>
      </c>
      <c r="AW103" s="225" t="str">
        <f>IFERROR(INDEX(Data!CS$9:CS$1273,MATCH($M103,Data!$K$9:$K$1273,0)),"")</f>
        <v/>
      </c>
      <c r="AX103" s="225" t="str">
        <f>IFERROR(INDEX(Data!CT$9:CT$1273,MATCH($M103,Data!$K$9:$K$1273,0)),"")</f>
        <v/>
      </c>
      <c r="AY103" s="225" t="str">
        <f>IFERROR(INDEX(Data!CU$9:CU$1273,MATCH($M103,Data!$K$9:$K$1273,0)),"")</f>
        <v/>
      </c>
      <c r="AZ103" s="225" t="str">
        <f>IFERROR(INDEX(Data!CV$9:CV$1273,MATCH($M103,Data!$K$9:$K$1273,0)),"")</f>
        <v/>
      </c>
      <c r="BA103" s="225" t="str">
        <f>IFERROR(INDEX(Data!CX$9:CX$1273,MATCH($M103,Data!$K$9:$K$1273,0)),"")</f>
        <v/>
      </c>
      <c r="BB103" s="225" t="str">
        <f>IFERROR(INDEX(Data!CY$9:CY$1273,MATCH($M103,Data!$K$9:$K$1273,0)),"")</f>
        <v/>
      </c>
      <c r="BC103" s="225" t="str">
        <f>IFERROR(INDEX(Data!CZ$9:CZ$1273,MATCH($M103,Data!$K$9:$K$1273,0)),"")</f>
        <v/>
      </c>
      <c r="BD103" s="225" t="str">
        <f>IFERROR(INDEX(Data!DA$9:DA$1273,MATCH($M103,Data!$K$9:$K$1273,0)),"")</f>
        <v/>
      </c>
      <c r="BE103" s="225" t="str">
        <f>IFERROR(INDEX(Data!DB$9:DB$1273,MATCH($M103,Data!$K$9:$K$1273,0)),"")</f>
        <v/>
      </c>
      <c r="BF103" s="225" t="str">
        <f>IFERROR(INDEX(Data!DC$9:DC$1273,MATCH($M103,Data!$K$9:$K$1273,0)),"")</f>
        <v/>
      </c>
      <c r="BG103" s="225" t="str">
        <f>IFERROR(INDEX(Data!DD$9:DD$1273,MATCH($M103,Data!$K$9:$K$1273,0)),"")</f>
        <v/>
      </c>
      <c r="BH103" s="225" t="str">
        <f>IFERROR(INDEX(Data!DE$9:DE$1273,MATCH($M103,Data!$K$9:$K$1273,0)),"")</f>
        <v/>
      </c>
      <c r="BI103" s="225" t="str">
        <f>IFERROR(INDEX(Data!DF$9:DF$1273,MATCH($M103,Data!$K$9:$K$1273,0)),"")</f>
        <v/>
      </c>
      <c r="BJ103" s="225" t="str">
        <f>IFERROR(INDEX(Data!DG$9:DG$1273,MATCH($M103,Data!$K$9:$K$1273,0)),"")</f>
        <v/>
      </c>
      <c r="BK103" s="225" t="str">
        <f>IFERROR(INDEX(Data!DH$9:DH$1273,MATCH($M103,Data!$K$9:$K$1273,0)),"")</f>
        <v/>
      </c>
      <c r="BL103" s="225" t="str">
        <f>IFERROR(INDEX(Data!DI$9:DI$1273,MATCH($M103,Data!$K$9:$K$1273,0)),"")</f>
        <v/>
      </c>
      <c r="BM103" s="225" t="str">
        <f>IFERROR(INDEX(Data!DJ$9:DJ$1273,MATCH($M103,Data!$K$9:$K$1273,0)),"")</f>
        <v/>
      </c>
      <c r="BN103" s="225" t="str">
        <f>IFERROR(INDEX(Data!DK$9:DK$1273,MATCH($M103,Data!$K$9:$K$1273,0)),"")</f>
        <v/>
      </c>
      <c r="BO103" s="225" t="str">
        <f>IFERROR(INDEX(Data!DL$9:DL$1273,MATCH($M103,Data!$K$9:$K$1273,0)),"")</f>
        <v/>
      </c>
      <c r="BP103" s="243" t="str">
        <f t="shared" si="5"/>
        <v/>
      </c>
      <c r="BQ103" s="225" t="str">
        <f t="shared" si="6"/>
        <v xml:space="preserve"> </v>
      </c>
      <c r="BR103" s="225" t="str">
        <f t="shared" si="7"/>
        <v/>
      </c>
      <c r="BS103" s="225" t="str">
        <f>IFERROR(INDEX(Data!$DO$9:$DO$1273,MATCH('Your recommendation'!BR103,Data!$DN$9:$DN$1273,0)),"")</f>
        <v/>
      </c>
    </row>
    <row r="104" spans="2:71" ht="15.6" customHeight="1">
      <c r="B104" s="222" t="str">
        <f t="shared" si="8"/>
        <v/>
      </c>
      <c r="C104" s="223"/>
      <c r="D104" s="225" t="str">
        <f>IFERROR(INDEX(Data!BR$9:BR$1273,MATCH($M104,Data!$K$9:$K$1273,0)),"")</f>
        <v/>
      </c>
      <c r="E104" s="225" t="str">
        <f>IFERROR(INDEX(Data!BS$9:BS$1273,MATCH($M104,Data!$K$9:$K$1273,0)),"")</f>
        <v/>
      </c>
      <c r="F104" s="225" t="str">
        <f>IFERROR(INDEX(Data!DM$9:DM$1273,MATCH($M104,Data!$K$9:$K$1273,0)),"")</f>
        <v/>
      </c>
      <c r="G104" s="225" t="str">
        <f>IFERROR(INDEX(Data!BV$9:BV$1273,MATCH($M104,Data!$K$9:$K$1273,0)),"")</f>
        <v/>
      </c>
      <c r="H104" s="225" t="str">
        <f>IFERROR(INDEX(Data!BW$9:BW$1273,MATCH($M104,Data!$K$9:$K$1273,0)),"")</f>
        <v/>
      </c>
      <c r="I104" s="225" t="str">
        <f>IFERROR(INDEX(Data!BX$9:BX$1273,MATCH($M104,Data!$K$9:$K$1273,0)),"")</f>
        <v/>
      </c>
      <c r="J104" s="225" t="str">
        <f>IFERROR(INDEX(Data!CB$9:CB$1273,MATCH($M104,Data!$K$9:$K$1273,0)),"")</f>
        <v/>
      </c>
      <c r="K104" s="241" t="str">
        <f t="shared" si="3"/>
        <v/>
      </c>
      <c r="L104" s="242" t="str">
        <f t="shared" si="4"/>
        <v/>
      </c>
      <c r="M104" s="224"/>
      <c r="N104" s="224"/>
      <c r="O104" s="224" t="str">
        <f>IFERROR(INDEX(Data!M$9:M$1273,MATCH($M104,Data!$K$9:$K$1273,0)),"")</f>
        <v/>
      </c>
      <c r="P104" s="224" t="str">
        <f>IFERROR(INDEX(Data!N$9:N$1273,MATCH($M104,Data!$K$9:$K$1273,0)),"")</f>
        <v/>
      </c>
      <c r="Q104" s="224" t="str">
        <f>IFERROR(INDEX(Data!O$9:O$1273,MATCH($M104,Data!$K$9:$K$1273,0)),"")</f>
        <v/>
      </c>
      <c r="R104" s="224" t="str">
        <f>IFERROR(INDEX(Data!P$9:P$1273,MATCH($M104,Data!$K$9:$K$1273,0)),"")</f>
        <v/>
      </c>
      <c r="S104" s="224" t="str">
        <f>IFERROR(INDEX(Data!S$9:S$1273,MATCH($M104,Data!$K$9:$K$1273,0)),"")</f>
        <v/>
      </c>
      <c r="T104" s="224" t="str">
        <f>IFERROR(INDEX(Data!T$9:T$1273,MATCH($M104,Data!$K$9:$K$1273,0)),"")</f>
        <v/>
      </c>
      <c r="U104" s="224" t="str">
        <f>IFERROR(INDEX(Data!U$9:U$1273,MATCH($M104,Data!$K$9:$K$1273,0)),"")</f>
        <v/>
      </c>
      <c r="V104" s="224" t="str">
        <f>IFERROR(INDEX(Data!V$9:V$1273,MATCH($M104,Data!$K$9:$K$1273,0)),"")</f>
        <v/>
      </c>
      <c r="W104" s="224" t="str">
        <f>IFERROR(INDEX(Data!W$9:W$1273,MATCH($M104,Data!$K$9:$K$1273,0)),"")</f>
        <v/>
      </c>
      <c r="X104" s="224" t="str">
        <f>IFERROR(INDEX(Data!AJ$9:AJ$1273,MATCH($M104,Data!$K$9:$K$1273,0)),"")</f>
        <v/>
      </c>
      <c r="Y104" s="224" t="str">
        <f>IFERROR(INDEX(Data!AK$9:AK$1273,MATCH($M104,Data!$K$9:$K$1273,0)),"")</f>
        <v/>
      </c>
      <c r="Z104" s="224" t="str">
        <f>IFERROR(INDEX(Data!AL$9:AL$1273,MATCH($M104,Data!$K$9:$K$1273,0)),"")</f>
        <v/>
      </c>
      <c r="AA104" s="224" t="str">
        <f>IFERROR(INDEX(Data!AM$9:AM$1273,MATCH($M104,Data!$K$9:$K$1273,0)),"")</f>
        <v/>
      </c>
      <c r="AB104" s="224" t="str">
        <f>IFERROR(INDEX(Data!AN$9:AN$1273,MATCH($M104,Data!$K$9:$K$1273,0)),"")</f>
        <v/>
      </c>
      <c r="AC104" s="225" t="str">
        <f>IFERROR(INDEX(Data!BY$9:BY$1273,MATCH($M104,Data!$K$9:$K$1273,0)),"")</f>
        <v/>
      </c>
      <c r="AD104" s="225" t="str">
        <f>IFERROR(INDEX(Data!BZ$9:BZ$1273,MATCH($M104,Data!$K$9:$K$1273,0)),"")</f>
        <v/>
      </c>
      <c r="AE104" s="225" t="str">
        <f>IFERROR(INDEX(Data!CA$9:CA$1273,MATCH($M104,Data!$K$9:$K$1273,0)),"")</f>
        <v/>
      </c>
      <c r="AF104" s="225" t="str">
        <f>IFERROR(INDEX(Data!CB$9:CB$1273,MATCH($M104,Data!$K$9:$K$1273,0)),"")</f>
        <v/>
      </c>
      <c r="AG104" s="225" t="str">
        <f>IFERROR(INDEX(Data!CC$9:CC$1273,MATCH($M104,Data!$K$9:$K$1273,0)),"")</f>
        <v/>
      </c>
      <c r="AH104" s="225" t="str">
        <f>IFERROR(INDEX(Data!CD$9:CD$1273,MATCH($M104,Data!$K$9:$K$1273,0)),"")</f>
        <v/>
      </c>
      <c r="AI104" s="225" t="str">
        <f>IFERROR(INDEX(Data!CE$9:CE$1273,MATCH($M104,Data!$K$9:$K$1273,0)),"")</f>
        <v/>
      </c>
      <c r="AJ104" s="225" t="str">
        <f>IFERROR(INDEX(Data!CF$9:CF$1273,MATCH($M104,Data!$K$9:$K$1273,0)),"")</f>
        <v/>
      </c>
      <c r="AK104" s="225" t="str">
        <f>IFERROR(INDEX(Data!CG$9:CG$1273,MATCH($M104,Data!$K$9:$K$1273,0)),"")</f>
        <v/>
      </c>
      <c r="AL104" s="225" t="str">
        <f>IFERROR(INDEX(Data!CH$9:CH$1273,MATCH($M104,Data!$K$9:$K$1273,0)),"")</f>
        <v/>
      </c>
      <c r="AM104" s="225" t="str">
        <f>IFERROR(INDEX(Data!CI$9:CI$1273,MATCH($M104,Data!$K$9:$K$1273,0)),"")</f>
        <v/>
      </c>
      <c r="AN104" s="225" t="str">
        <f>IFERROR(INDEX(Data!CJ$9:CJ$1273,MATCH($M104,Data!$K$9:$K$1273,0)),"")</f>
        <v/>
      </c>
      <c r="AO104" s="225" t="str">
        <f>IFERROR(INDEX(Data!CK$9:CK$1273,MATCH($M104,Data!$K$9:$K$1273,0)),"")</f>
        <v/>
      </c>
      <c r="AP104" s="225" t="str">
        <f>IFERROR(INDEX(Data!CL$9:CL$1273,MATCH($M104,Data!$K$9:$K$1273,0)),"")</f>
        <v/>
      </c>
      <c r="AQ104" s="225" t="str">
        <f>IFERROR(INDEX(Data!CM$9:CM$1273,MATCH($M104,Data!$K$9:$K$1273,0)),"")</f>
        <v/>
      </c>
      <c r="AR104" s="225" t="str">
        <f>IFERROR(INDEX(Data!CN$9:CN$1273,MATCH($M104,Data!$K$9:$K$1273,0)),"")</f>
        <v/>
      </c>
      <c r="AS104" s="225" t="str">
        <f>IFERROR(INDEX(Data!CO$9:CO$1273,MATCH($M104,Data!$K$9:$K$1273,0)),"")</f>
        <v/>
      </c>
      <c r="AT104" s="225" t="str">
        <f>IFERROR(INDEX(Data!CP$9:CP$1273,MATCH($M104,Data!$K$9:$K$1273,0)),"")</f>
        <v/>
      </c>
      <c r="AU104" s="225" t="str">
        <f>IFERROR(INDEX(Data!CQ$9:CQ$1273,MATCH($M104,Data!$K$9:$K$1273,0)),"")</f>
        <v/>
      </c>
      <c r="AV104" s="225" t="str">
        <f>IFERROR(INDEX(Data!CR$9:CR$1273,MATCH($M104,Data!$K$9:$K$1273,0)),"")</f>
        <v/>
      </c>
      <c r="AW104" s="225" t="str">
        <f>IFERROR(INDEX(Data!CS$9:CS$1273,MATCH($M104,Data!$K$9:$K$1273,0)),"")</f>
        <v/>
      </c>
      <c r="AX104" s="225" t="str">
        <f>IFERROR(INDEX(Data!CT$9:CT$1273,MATCH($M104,Data!$K$9:$K$1273,0)),"")</f>
        <v/>
      </c>
      <c r="AY104" s="225" t="str">
        <f>IFERROR(INDEX(Data!CU$9:CU$1273,MATCH($M104,Data!$K$9:$K$1273,0)),"")</f>
        <v/>
      </c>
      <c r="AZ104" s="225" t="str">
        <f>IFERROR(INDEX(Data!CV$9:CV$1273,MATCH($M104,Data!$K$9:$K$1273,0)),"")</f>
        <v/>
      </c>
      <c r="BA104" s="225" t="str">
        <f>IFERROR(INDEX(Data!CX$9:CX$1273,MATCH($M104,Data!$K$9:$K$1273,0)),"")</f>
        <v/>
      </c>
      <c r="BB104" s="225" t="str">
        <f>IFERROR(INDEX(Data!CY$9:CY$1273,MATCH($M104,Data!$K$9:$K$1273,0)),"")</f>
        <v/>
      </c>
      <c r="BC104" s="225" t="str">
        <f>IFERROR(INDEX(Data!CZ$9:CZ$1273,MATCH($M104,Data!$K$9:$K$1273,0)),"")</f>
        <v/>
      </c>
      <c r="BD104" s="225" t="str">
        <f>IFERROR(INDEX(Data!DA$9:DA$1273,MATCH($M104,Data!$K$9:$K$1273,0)),"")</f>
        <v/>
      </c>
      <c r="BE104" s="225" t="str">
        <f>IFERROR(INDEX(Data!DB$9:DB$1273,MATCH($M104,Data!$K$9:$K$1273,0)),"")</f>
        <v/>
      </c>
      <c r="BF104" s="225" t="str">
        <f>IFERROR(INDEX(Data!DC$9:DC$1273,MATCH($M104,Data!$K$9:$K$1273,0)),"")</f>
        <v/>
      </c>
      <c r="BG104" s="225" t="str">
        <f>IFERROR(INDEX(Data!DD$9:DD$1273,MATCH($M104,Data!$K$9:$K$1273,0)),"")</f>
        <v/>
      </c>
      <c r="BH104" s="225" t="str">
        <f>IFERROR(INDEX(Data!DE$9:DE$1273,MATCH($M104,Data!$K$9:$K$1273,0)),"")</f>
        <v/>
      </c>
      <c r="BI104" s="225" t="str">
        <f>IFERROR(INDEX(Data!DF$9:DF$1273,MATCH($M104,Data!$K$9:$K$1273,0)),"")</f>
        <v/>
      </c>
      <c r="BJ104" s="225" t="str">
        <f>IFERROR(INDEX(Data!DG$9:DG$1273,MATCH($M104,Data!$K$9:$K$1273,0)),"")</f>
        <v/>
      </c>
      <c r="BK104" s="225" t="str">
        <f>IFERROR(INDEX(Data!DH$9:DH$1273,MATCH($M104,Data!$K$9:$K$1273,0)),"")</f>
        <v/>
      </c>
      <c r="BL104" s="225" t="str">
        <f>IFERROR(INDEX(Data!DI$9:DI$1273,MATCH($M104,Data!$K$9:$K$1273,0)),"")</f>
        <v/>
      </c>
      <c r="BM104" s="225" t="str">
        <f>IFERROR(INDEX(Data!DJ$9:DJ$1273,MATCH($M104,Data!$K$9:$K$1273,0)),"")</f>
        <v/>
      </c>
      <c r="BN104" s="225" t="str">
        <f>IFERROR(INDEX(Data!DK$9:DK$1273,MATCH($M104,Data!$K$9:$K$1273,0)),"")</f>
        <v/>
      </c>
      <c r="BO104" s="225" t="str">
        <f>IFERROR(INDEX(Data!DL$9:DL$1273,MATCH($M104,Data!$K$9:$K$1273,0)),"")</f>
        <v/>
      </c>
      <c r="BP104" s="243" t="str">
        <f t="shared" si="5"/>
        <v/>
      </c>
      <c r="BQ104" s="225" t="str">
        <f t="shared" si="6"/>
        <v xml:space="preserve"> </v>
      </c>
      <c r="BR104" s="225" t="str">
        <f t="shared" si="7"/>
        <v/>
      </c>
      <c r="BS104" s="225" t="str">
        <f>IFERROR(INDEX(Data!$DO$9:$DO$1273,MATCH('Your recommendation'!BR104,Data!$DN$9:$DN$1273,0)),"")</f>
        <v/>
      </c>
    </row>
    <row r="105" spans="2:71" ht="15.6" customHeight="1">
      <c r="B105" s="222" t="str">
        <f t="shared" si="8"/>
        <v/>
      </c>
      <c r="C105" s="223"/>
      <c r="D105" s="225" t="str">
        <f>IFERROR(INDEX(Data!BR$9:BR$1273,MATCH($M105,Data!$K$9:$K$1273,0)),"")</f>
        <v/>
      </c>
      <c r="E105" s="225" t="str">
        <f>IFERROR(INDEX(Data!BS$9:BS$1273,MATCH($M105,Data!$K$9:$K$1273,0)),"")</f>
        <v/>
      </c>
      <c r="F105" s="225" t="str">
        <f>IFERROR(INDEX(Data!DM$9:DM$1273,MATCH($M105,Data!$K$9:$K$1273,0)),"")</f>
        <v/>
      </c>
      <c r="G105" s="225" t="str">
        <f>IFERROR(INDEX(Data!BV$9:BV$1273,MATCH($M105,Data!$K$9:$K$1273,0)),"")</f>
        <v/>
      </c>
      <c r="H105" s="225" t="str">
        <f>IFERROR(INDEX(Data!BW$9:BW$1273,MATCH($M105,Data!$K$9:$K$1273,0)),"")</f>
        <v/>
      </c>
      <c r="I105" s="225" t="str">
        <f>IFERROR(INDEX(Data!BX$9:BX$1273,MATCH($M105,Data!$K$9:$K$1273,0)),"")</f>
        <v/>
      </c>
      <c r="J105" s="225" t="str">
        <f>IFERROR(INDEX(Data!CB$9:CB$1273,MATCH($M105,Data!$K$9:$K$1273,0)),"")</f>
        <v/>
      </c>
      <c r="K105" s="241" t="str">
        <f t="shared" si="3"/>
        <v/>
      </c>
      <c r="L105" s="242" t="str">
        <f t="shared" si="4"/>
        <v/>
      </c>
      <c r="M105" s="224"/>
      <c r="N105" s="224"/>
      <c r="O105" s="224" t="str">
        <f>IFERROR(INDEX(Data!M$9:M$1273,MATCH($M105,Data!$K$9:$K$1273,0)),"")</f>
        <v/>
      </c>
      <c r="P105" s="224" t="str">
        <f>IFERROR(INDEX(Data!N$9:N$1273,MATCH($M105,Data!$K$9:$K$1273,0)),"")</f>
        <v/>
      </c>
      <c r="Q105" s="224" t="str">
        <f>IFERROR(INDEX(Data!O$9:O$1273,MATCH($M105,Data!$K$9:$K$1273,0)),"")</f>
        <v/>
      </c>
      <c r="R105" s="224" t="str">
        <f>IFERROR(INDEX(Data!P$9:P$1273,MATCH($M105,Data!$K$9:$K$1273,0)),"")</f>
        <v/>
      </c>
      <c r="S105" s="224" t="str">
        <f>IFERROR(INDEX(Data!S$9:S$1273,MATCH($M105,Data!$K$9:$K$1273,0)),"")</f>
        <v/>
      </c>
      <c r="T105" s="224" t="str">
        <f>IFERROR(INDEX(Data!T$9:T$1273,MATCH($M105,Data!$K$9:$K$1273,0)),"")</f>
        <v/>
      </c>
      <c r="U105" s="224" t="str">
        <f>IFERROR(INDEX(Data!U$9:U$1273,MATCH($M105,Data!$K$9:$K$1273,0)),"")</f>
        <v/>
      </c>
      <c r="V105" s="224" t="str">
        <f>IFERROR(INDEX(Data!V$9:V$1273,MATCH($M105,Data!$K$9:$K$1273,0)),"")</f>
        <v/>
      </c>
      <c r="W105" s="224" t="str">
        <f>IFERROR(INDEX(Data!W$9:W$1273,MATCH($M105,Data!$K$9:$K$1273,0)),"")</f>
        <v/>
      </c>
      <c r="X105" s="224" t="str">
        <f>IFERROR(INDEX(Data!AJ$9:AJ$1273,MATCH($M105,Data!$K$9:$K$1273,0)),"")</f>
        <v/>
      </c>
      <c r="Y105" s="224" t="str">
        <f>IFERROR(INDEX(Data!AK$9:AK$1273,MATCH($M105,Data!$K$9:$K$1273,0)),"")</f>
        <v/>
      </c>
      <c r="Z105" s="224" t="str">
        <f>IFERROR(INDEX(Data!AL$9:AL$1273,MATCH($M105,Data!$K$9:$K$1273,0)),"")</f>
        <v/>
      </c>
      <c r="AA105" s="224" t="str">
        <f>IFERROR(INDEX(Data!AM$9:AM$1273,MATCH($M105,Data!$K$9:$K$1273,0)),"")</f>
        <v/>
      </c>
      <c r="AB105" s="224" t="str">
        <f>IFERROR(INDEX(Data!AN$9:AN$1273,MATCH($M105,Data!$K$9:$K$1273,0)),"")</f>
        <v/>
      </c>
      <c r="AC105" s="225" t="str">
        <f>IFERROR(INDEX(Data!BY$9:BY$1273,MATCH($M105,Data!$K$9:$K$1273,0)),"")</f>
        <v/>
      </c>
      <c r="AD105" s="225" t="str">
        <f>IFERROR(INDEX(Data!BZ$9:BZ$1273,MATCH($M105,Data!$K$9:$K$1273,0)),"")</f>
        <v/>
      </c>
      <c r="AE105" s="225" t="str">
        <f>IFERROR(INDEX(Data!CA$9:CA$1273,MATCH($M105,Data!$K$9:$K$1273,0)),"")</f>
        <v/>
      </c>
      <c r="AF105" s="225" t="str">
        <f>IFERROR(INDEX(Data!CB$9:CB$1273,MATCH($M105,Data!$K$9:$K$1273,0)),"")</f>
        <v/>
      </c>
      <c r="AG105" s="225" t="str">
        <f>IFERROR(INDEX(Data!CC$9:CC$1273,MATCH($M105,Data!$K$9:$K$1273,0)),"")</f>
        <v/>
      </c>
      <c r="AH105" s="225" t="str">
        <f>IFERROR(INDEX(Data!CD$9:CD$1273,MATCH($M105,Data!$K$9:$K$1273,0)),"")</f>
        <v/>
      </c>
      <c r="AI105" s="225" t="str">
        <f>IFERROR(INDEX(Data!CE$9:CE$1273,MATCH($M105,Data!$K$9:$K$1273,0)),"")</f>
        <v/>
      </c>
      <c r="AJ105" s="225" t="str">
        <f>IFERROR(INDEX(Data!CF$9:CF$1273,MATCH($M105,Data!$K$9:$K$1273,0)),"")</f>
        <v/>
      </c>
      <c r="AK105" s="225" t="str">
        <f>IFERROR(INDEX(Data!CG$9:CG$1273,MATCH($M105,Data!$K$9:$K$1273,0)),"")</f>
        <v/>
      </c>
      <c r="AL105" s="225" t="str">
        <f>IFERROR(INDEX(Data!CH$9:CH$1273,MATCH($M105,Data!$K$9:$K$1273,0)),"")</f>
        <v/>
      </c>
      <c r="AM105" s="225" t="str">
        <f>IFERROR(INDEX(Data!CI$9:CI$1273,MATCH($M105,Data!$K$9:$K$1273,0)),"")</f>
        <v/>
      </c>
      <c r="AN105" s="225" t="str">
        <f>IFERROR(INDEX(Data!CJ$9:CJ$1273,MATCH($M105,Data!$K$9:$K$1273,0)),"")</f>
        <v/>
      </c>
      <c r="AO105" s="225" t="str">
        <f>IFERROR(INDEX(Data!CK$9:CK$1273,MATCH($M105,Data!$K$9:$K$1273,0)),"")</f>
        <v/>
      </c>
      <c r="AP105" s="225" t="str">
        <f>IFERROR(INDEX(Data!CL$9:CL$1273,MATCH($M105,Data!$K$9:$K$1273,0)),"")</f>
        <v/>
      </c>
      <c r="AQ105" s="225" t="str">
        <f>IFERROR(INDEX(Data!CM$9:CM$1273,MATCH($M105,Data!$K$9:$K$1273,0)),"")</f>
        <v/>
      </c>
      <c r="AR105" s="225" t="str">
        <f>IFERROR(INDEX(Data!CN$9:CN$1273,MATCH($M105,Data!$K$9:$K$1273,0)),"")</f>
        <v/>
      </c>
      <c r="AS105" s="225" t="str">
        <f>IFERROR(INDEX(Data!CO$9:CO$1273,MATCH($M105,Data!$K$9:$K$1273,0)),"")</f>
        <v/>
      </c>
      <c r="AT105" s="225" t="str">
        <f>IFERROR(INDEX(Data!CP$9:CP$1273,MATCH($M105,Data!$K$9:$K$1273,0)),"")</f>
        <v/>
      </c>
      <c r="AU105" s="225" t="str">
        <f>IFERROR(INDEX(Data!CQ$9:CQ$1273,MATCH($M105,Data!$K$9:$K$1273,0)),"")</f>
        <v/>
      </c>
      <c r="AV105" s="225" t="str">
        <f>IFERROR(INDEX(Data!CR$9:CR$1273,MATCH($M105,Data!$K$9:$K$1273,0)),"")</f>
        <v/>
      </c>
      <c r="AW105" s="225" t="str">
        <f>IFERROR(INDEX(Data!CS$9:CS$1273,MATCH($M105,Data!$K$9:$K$1273,0)),"")</f>
        <v/>
      </c>
      <c r="AX105" s="225" t="str">
        <f>IFERROR(INDEX(Data!CT$9:CT$1273,MATCH($M105,Data!$K$9:$K$1273,0)),"")</f>
        <v/>
      </c>
      <c r="AY105" s="225" t="str">
        <f>IFERROR(INDEX(Data!CU$9:CU$1273,MATCH($M105,Data!$K$9:$K$1273,0)),"")</f>
        <v/>
      </c>
      <c r="AZ105" s="225" t="str">
        <f>IFERROR(INDEX(Data!CV$9:CV$1273,MATCH($M105,Data!$K$9:$K$1273,0)),"")</f>
        <v/>
      </c>
      <c r="BA105" s="225" t="str">
        <f>IFERROR(INDEX(Data!CX$9:CX$1273,MATCH($M105,Data!$K$9:$K$1273,0)),"")</f>
        <v/>
      </c>
      <c r="BB105" s="225" t="str">
        <f>IFERROR(INDEX(Data!CY$9:CY$1273,MATCH($M105,Data!$K$9:$K$1273,0)),"")</f>
        <v/>
      </c>
      <c r="BC105" s="225" t="str">
        <f>IFERROR(INDEX(Data!CZ$9:CZ$1273,MATCH($M105,Data!$K$9:$K$1273,0)),"")</f>
        <v/>
      </c>
      <c r="BD105" s="225" t="str">
        <f>IFERROR(INDEX(Data!DA$9:DA$1273,MATCH($M105,Data!$K$9:$K$1273,0)),"")</f>
        <v/>
      </c>
      <c r="BE105" s="225" t="str">
        <f>IFERROR(INDEX(Data!DB$9:DB$1273,MATCH($M105,Data!$K$9:$K$1273,0)),"")</f>
        <v/>
      </c>
      <c r="BF105" s="225" t="str">
        <f>IFERROR(INDEX(Data!DC$9:DC$1273,MATCH($M105,Data!$K$9:$K$1273,0)),"")</f>
        <v/>
      </c>
      <c r="BG105" s="225" t="str">
        <f>IFERROR(INDEX(Data!DD$9:DD$1273,MATCH($M105,Data!$K$9:$K$1273,0)),"")</f>
        <v/>
      </c>
      <c r="BH105" s="225" t="str">
        <f>IFERROR(INDEX(Data!DE$9:DE$1273,MATCH($M105,Data!$K$9:$K$1273,0)),"")</f>
        <v/>
      </c>
      <c r="BI105" s="225" t="str">
        <f>IFERROR(INDEX(Data!DF$9:DF$1273,MATCH($M105,Data!$K$9:$K$1273,0)),"")</f>
        <v/>
      </c>
      <c r="BJ105" s="225" t="str">
        <f>IFERROR(INDEX(Data!DG$9:DG$1273,MATCH($M105,Data!$K$9:$K$1273,0)),"")</f>
        <v/>
      </c>
      <c r="BK105" s="225" t="str">
        <f>IFERROR(INDEX(Data!DH$9:DH$1273,MATCH($M105,Data!$K$9:$K$1273,0)),"")</f>
        <v/>
      </c>
      <c r="BL105" s="225" t="str">
        <f>IFERROR(INDEX(Data!DI$9:DI$1273,MATCH($M105,Data!$K$9:$K$1273,0)),"")</f>
        <v/>
      </c>
      <c r="BM105" s="225" t="str">
        <f>IFERROR(INDEX(Data!DJ$9:DJ$1273,MATCH($M105,Data!$K$9:$K$1273,0)),"")</f>
        <v/>
      </c>
      <c r="BN105" s="225" t="str">
        <f>IFERROR(INDEX(Data!DK$9:DK$1273,MATCH($M105,Data!$K$9:$K$1273,0)),"")</f>
        <v/>
      </c>
      <c r="BO105" s="225" t="str">
        <f>IFERROR(INDEX(Data!DL$9:DL$1273,MATCH($M105,Data!$K$9:$K$1273,0)),"")</f>
        <v/>
      </c>
      <c r="BP105" s="243" t="str">
        <f t="shared" si="5"/>
        <v/>
      </c>
      <c r="BQ105" s="225" t="str">
        <f t="shared" si="6"/>
        <v xml:space="preserve"> </v>
      </c>
      <c r="BR105" s="225" t="str">
        <f t="shared" si="7"/>
        <v/>
      </c>
      <c r="BS105" s="225" t="str">
        <f>IFERROR(INDEX(Data!$DO$9:$DO$1273,MATCH('Your recommendation'!BR105,Data!$DN$9:$DN$1273,0)),"")</f>
        <v/>
      </c>
    </row>
    <row r="106" spans="2:71" ht="15.6" customHeight="1">
      <c r="B106" s="222" t="str">
        <f t="shared" si="8"/>
        <v/>
      </c>
      <c r="C106" s="223"/>
      <c r="D106" s="225" t="str">
        <f>IFERROR(INDEX(Data!BR$9:BR$1273,MATCH($M106,Data!$K$9:$K$1273,0)),"")</f>
        <v/>
      </c>
      <c r="E106" s="225" t="str">
        <f>IFERROR(INDEX(Data!BS$9:BS$1273,MATCH($M106,Data!$K$9:$K$1273,0)),"")</f>
        <v/>
      </c>
      <c r="F106" s="225" t="str">
        <f>IFERROR(INDEX(Data!DM$9:DM$1273,MATCH($M106,Data!$K$9:$K$1273,0)),"")</f>
        <v/>
      </c>
      <c r="G106" s="225" t="str">
        <f>IFERROR(INDEX(Data!BV$9:BV$1273,MATCH($M106,Data!$K$9:$K$1273,0)),"")</f>
        <v/>
      </c>
      <c r="H106" s="225" t="str">
        <f>IFERROR(INDEX(Data!BW$9:BW$1273,MATCH($M106,Data!$K$9:$K$1273,0)),"")</f>
        <v/>
      </c>
      <c r="I106" s="225" t="str">
        <f>IFERROR(INDEX(Data!BX$9:BX$1273,MATCH($M106,Data!$K$9:$K$1273,0)),"")</f>
        <v/>
      </c>
      <c r="J106" s="225" t="str">
        <f>IFERROR(INDEX(Data!CB$9:CB$1273,MATCH($M106,Data!$K$9:$K$1273,0)),"")</f>
        <v/>
      </c>
      <c r="K106" s="241" t="str">
        <f t="shared" si="3"/>
        <v/>
      </c>
      <c r="L106" s="242" t="str">
        <f t="shared" si="4"/>
        <v/>
      </c>
      <c r="M106" s="224"/>
      <c r="N106" s="224"/>
      <c r="O106" s="224" t="str">
        <f>IFERROR(INDEX(Data!M$9:M$1273,MATCH($M106,Data!$K$9:$K$1273,0)),"")</f>
        <v/>
      </c>
      <c r="P106" s="224" t="str">
        <f>IFERROR(INDEX(Data!N$9:N$1273,MATCH($M106,Data!$K$9:$K$1273,0)),"")</f>
        <v/>
      </c>
      <c r="Q106" s="224" t="str">
        <f>IFERROR(INDEX(Data!O$9:O$1273,MATCH($M106,Data!$K$9:$K$1273,0)),"")</f>
        <v/>
      </c>
      <c r="R106" s="224" t="str">
        <f>IFERROR(INDEX(Data!P$9:P$1273,MATCH($M106,Data!$K$9:$K$1273,0)),"")</f>
        <v/>
      </c>
      <c r="S106" s="224" t="str">
        <f>IFERROR(INDEX(Data!S$9:S$1273,MATCH($M106,Data!$K$9:$K$1273,0)),"")</f>
        <v/>
      </c>
      <c r="T106" s="224" t="str">
        <f>IFERROR(INDEX(Data!T$9:T$1273,MATCH($M106,Data!$K$9:$K$1273,0)),"")</f>
        <v/>
      </c>
      <c r="U106" s="224" t="str">
        <f>IFERROR(INDEX(Data!U$9:U$1273,MATCH($M106,Data!$K$9:$K$1273,0)),"")</f>
        <v/>
      </c>
      <c r="V106" s="224" t="str">
        <f>IFERROR(INDEX(Data!V$9:V$1273,MATCH($M106,Data!$K$9:$K$1273,0)),"")</f>
        <v/>
      </c>
      <c r="W106" s="224" t="str">
        <f>IFERROR(INDEX(Data!W$9:W$1273,MATCH($M106,Data!$K$9:$K$1273,0)),"")</f>
        <v/>
      </c>
      <c r="X106" s="224" t="str">
        <f>IFERROR(INDEX(Data!AJ$9:AJ$1273,MATCH($M106,Data!$K$9:$K$1273,0)),"")</f>
        <v/>
      </c>
      <c r="Y106" s="224" t="str">
        <f>IFERROR(INDEX(Data!AK$9:AK$1273,MATCH($M106,Data!$K$9:$K$1273,0)),"")</f>
        <v/>
      </c>
      <c r="Z106" s="224" t="str">
        <f>IFERROR(INDEX(Data!AL$9:AL$1273,MATCH($M106,Data!$K$9:$K$1273,0)),"")</f>
        <v/>
      </c>
      <c r="AA106" s="224" t="str">
        <f>IFERROR(INDEX(Data!AM$9:AM$1273,MATCH($M106,Data!$K$9:$K$1273,0)),"")</f>
        <v/>
      </c>
      <c r="AB106" s="224" t="str">
        <f>IFERROR(INDEX(Data!AN$9:AN$1273,MATCH($M106,Data!$K$9:$K$1273,0)),"")</f>
        <v/>
      </c>
      <c r="AC106" s="225" t="str">
        <f>IFERROR(INDEX(Data!BY$9:BY$1273,MATCH($M106,Data!$K$9:$K$1273,0)),"")</f>
        <v/>
      </c>
      <c r="AD106" s="225" t="str">
        <f>IFERROR(INDEX(Data!BZ$9:BZ$1273,MATCH($M106,Data!$K$9:$K$1273,0)),"")</f>
        <v/>
      </c>
      <c r="AE106" s="225" t="str">
        <f>IFERROR(INDEX(Data!CA$9:CA$1273,MATCH($M106,Data!$K$9:$K$1273,0)),"")</f>
        <v/>
      </c>
      <c r="AF106" s="225" t="str">
        <f>IFERROR(INDEX(Data!CB$9:CB$1273,MATCH($M106,Data!$K$9:$K$1273,0)),"")</f>
        <v/>
      </c>
      <c r="AG106" s="225" t="str">
        <f>IFERROR(INDEX(Data!CC$9:CC$1273,MATCH($M106,Data!$K$9:$K$1273,0)),"")</f>
        <v/>
      </c>
      <c r="AH106" s="225" t="str">
        <f>IFERROR(INDEX(Data!CD$9:CD$1273,MATCH($M106,Data!$K$9:$K$1273,0)),"")</f>
        <v/>
      </c>
      <c r="AI106" s="225" t="str">
        <f>IFERROR(INDEX(Data!CE$9:CE$1273,MATCH($M106,Data!$K$9:$K$1273,0)),"")</f>
        <v/>
      </c>
      <c r="AJ106" s="225" t="str">
        <f>IFERROR(INDEX(Data!CF$9:CF$1273,MATCH($M106,Data!$K$9:$K$1273,0)),"")</f>
        <v/>
      </c>
      <c r="AK106" s="225" t="str">
        <f>IFERROR(INDEX(Data!CG$9:CG$1273,MATCH($M106,Data!$K$9:$K$1273,0)),"")</f>
        <v/>
      </c>
      <c r="AL106" s="225" t="str">
        <f>IFERROR(INDEX(Data!CH$9:CH$1273,MATCH($M106,Data!$K$9:$K$1273,0)),"")</f>
        <v/>
      </c>
      <c r="AM106" s="225" t="str">
        <f>IFERROR(INDEX(Data!CI$9:CI$1273,MATCH($M106,Data!$K$9:$K$1273,0)),"")</f>
        <v/>
      </c>
      <c r="AN106" s="225" t="str">
        <f>IFERROR(INDEX(Data!CJ$9:CJ$1273,MATCH($M106,Data!$K$9:$K$1273,0)),"")</f>
        <v/>
      </c>
      <c r="AO106" s="225" t="str">
        <f>IFERROR(INDEX(Data!CK$9:CK$1273,MATCH($M106,Data!$K$9:$K$1273,0)),"")</f>
        <v/>
      </c>
      <c r="AP106" s="225" t="str">
        <f>IFERROR(INDEX(Data!CL$9:CL$1273,MATCH($M106,Data!$K$9:$K$1273,0)),"")</f>
        <v/>
      </c>
      <c r="AQ106" s="225" t="str">
        <f>IFERROR(INDEX(Data!CM$9:CM$1273,MATCH($M106,Data!$K$9:$K$1273,0)),"")</f>
        <v/>
      </c>
      <c r="AR106" s="225" t="str">
        <f>IFERROR(INDEX(Data!CN$9:CN$1273,MATCH($M106,Data!$K$9:$K$1273,0)),"")</f>
        <v/>
      </c>
      <c r="AS106" s="225" t="str">
        <f>IFERROR(INDEX(Data!CO$9:CO$1273,MATCH($M106,Data!$K$9:$K$1273,0)),"")</f>
        <v/>
      </c>
      <c r="AT106" s="225" t="str">
        <f>IFERROR(INDEX(Data!CP$9:CP$1273,MATCH($M106,Data!$K$9:$K$1273,0)),"")</f>
        <v/>
      </c>
      <c r="AU106" s="225" t="str">
        <f>IFERROR(INDEX(Data!CQ$9:CQ$1273,MATCH($M106,Data!$K$9:$K$1273,0)),"")</f>
        <v/>
      </c>
      <c r="AV106" s="225" t="str">
        <f>IFERROR(INDEX(Data!CR$9:CR$1273,MATCH($M106,Data!$K$9:$K$1273,0)),"")</f>
        <v/>
      </c>
      <c r="AW106" s="225" t="str">
        <f>IFERROR(INDEX(Data!CS$9:CS$1273,MATCH($M106,Data!$K$9:$K$1273,0)),"")</f>
        <v/>
      </c>
      <c r="AX106" s="225" t="str">
        <f>IFERROR(INDEX(Data!CT$9:CT$1273,MATCH($M106,Data!$K$9:$K$1273,0)),"")</f>
        <v/>
      </c>
      <c r="AY106" s="225" t="str">
        <f>IFERROR(INDEX(Data!CU$9:CU$1273,MATCH($M106,Data!$K$9:$K$1273,0)),"")</f>
        <v/>
      </c>
      <c r="AZ106" s="225" t="str">
        <f>IFERROR(INDEX(Data!CV$9:CV$1273,MATCH($M106,Data!$K$9:$K$1273,0)),"")</f>
        <v/>
      </c>
      <c r="BA106" s="225" t="str">
        <f>IFERROR(INDEX(Data!CX$9:CX$1273,MATCH($M106,Data!$K$9:$K$1273,0)),"")</f>
        <v/>
      </c>
      <c r="BB106" s="225" t="str">
        <f>IFERROR(INDEX(Data!CY$9:CY$1273,MATCH($M106,Data!$K$9:$K$1273,0)),"")</f>
        <v/>
      </c>
      <c r="BC106" s="225" t="str">
        <f>IFERROR(INDEX(Data!CZ$9:CZ$1273,MATCH($M106,Data!$K$9:$K$1273,0)),"")</f>
        <v/>
      </c>
      <c r="BD106" s="225" t="str">
        <f>IFERROR(INDEX(Data!DA$9:DA$1273,MATCH($M106,Data!$K$9:$K$1273,0)),"")</f>
        <v/>
      </c>
      <c r="BE106" s="225" t="str">
        <f>IFERROR(INDEX(Data!DB$9:DB$1273,MATCH($M106,Data!$K$9:$K$1273,0)),"")</f>
        <v/>
      </c>
      <c r="BF106" s="225" t="str">
        <f>IFERROR(INDEX(Data!DC$9:DC$1273,MATCH($M106,Data!$K$9:$K$1273,0)),"")</f>
        <v/>
      </c>
      <c r="BG106" s="225" t="str">
        <f>IFERROR(INDEX(Data!DD$9:DD$1273,MATCH($M106,Data!$K$9:$K$1273,0)),"")</f>
        <v/>
      </c>
      <c r="BH106" s="225" t="str">
        <f>IFERROR(INDEX(Data!DE$9:DE$1273,MATCH($M106,Data!$K$9:$K$1273,0)),"")</f>
        <v/>
      </c>
      <c r="BI106" s="225" t="str">
        <f>IFERROR(INDEX(Data!DF$9:DF$1273,MATCH($M106,Data!$K$9:$K$1273,0)),"")</f>
        <v/>
      </c>
      <c r="BJ106" s="225" t="str">
        <f>IFERROR(INDEX(Data!DG$9:DG$1273,MATCH($M106,Data!$K$9:$K$1273,0)),"")</f>
        <v/>
      </c>
      <c r="BK106" s="225" t="str">
        <f>IFERROR(INDEX(Data!DH$9:DH$1273,MATCH($M106,Data!$K$9:$K$1273,0)),"")</f>
        <v/>
      </c>
      <c r="BL106" s="225" t="str">
        <f>IFERROR(INDEX(Data!DI$9:DI$1273,MATCH($M106,Data!$K$9:$K$1273,0)),"")</f>
        <v/>
      </c>
      <c r="BM106" s="225" t="str">
        <f>IFERROR(INDEX(Data!DJ$9:DJ$1273,MATCH($M106,Data!$K$9:$K$1273,0)),"")</f>
        <v/>
      </c>
      <c r="BN106" s="225" t="str">
        <f>IFERROR(INDEX(Data!DK$9:DK$1273,MATCH($M106,Data!$K$9:$K$1273,0)),"")</f>
        <v/>
      </c>
      <c r="BO106" s="225" t="str">
        <f>IFERROR(INDEX(Data!DL$9:DL$1273,MATCH($M106,Data!$K$9:$K$1273,0)),"")</f>
        <v/>
      </c>
      <c r="BP106" s="243" t="str">
        <f t="shared" si="5"/>
        <v/>
      </c>
      <c r="BQ106" s="225" t="str">
        <f t="shared" si="6"/>
        <v xml:space="preserve"> </v>
      </c>
      <c r="BR106" s="225" t="str">
        <f t="shared" si="7"/>
        <v/>
      </c>
      <c r="BS106" s="225" t="str">
        <f>IFERROR(INDEX(Data!$DO$9:$DO$1273,MATCH('Your recommendation'!BR106,Data!$DN$9:$DN$1273,0)),"")</f>
        <v/>
      </c>
    </row>
    <row r="107" spans="2:71" ht="15.6" customHeight="1">
      <c r="B107" s="222" t="str">
        <f t="shared" si="8"/>
        <v/>
      </c>
      <c r="C107" s="223"/>
      <c r="D107" s="225" t="str">
        <f>IFERROR(INDEX(Data!BR$9:BR$1273,MATCH($M107,Data!$K$9:$K$1273,0)),"")</f>
        <v/>
      </c>
      <c r="E107" s="225" t="str">
        <f>IFERROR(INDEX(Data!BS$9:BS$1273,MATCH($M107,Data!$K$9:$K$1273,0)),"")</f>
        <v/>
      </c>
      <c r="F107" s="225" t="str">
        <f>IFERROR(INDEX(Data!DM$9:DM$1273,MATCH($M107,Data!$K$9:$K$1273,0)),"")</f>
        <v/>
      </c>
      <c r="G107" s="225" t="str">
        <f>IFERROR(INDEX(Data!BV$9:BV$1273,MATCH($M107,Data!$K$9:$K$1273,0)),"")</f>
        <v/>
      </c>
      <c r="H107" s="225" t="str">
        <f>IFERROR(INDEX(Data!BW$9:BW$1273,MATCH($M107,Data!$K$9:$K$1273,0)),"")</f>
        <v/>
      </c>
      <c r="I107" s="225" t="str">
        <f>IFERROR(INDEX(Data!BX$9:BX$1273,MATCH($M107,Data!$K$9:$K$1273,0)),"")</f>
        <v/>
      </c>
      <c r="J107" s="225" t="str">
        <f>IFERROR(INDEX(Data!CB$9:CB$1273,MATCH($M107,Data!$K$9:$K$1273,0)),"")</f>
        <v/>
      </c>
      <c r="K107" s="241" t="str">
        <f t="shared" ref="K107:K138" si="9">IFERROR(HYPERLINK(BM107,BC107),"-")</f>
        <v/>
      </c>
      <c r="L107" s="242" t="str">
        <f t="shared" ref="L107:L138" si="10">IFERROR(IF(BB107=0,"-",BB107)," ")</f>
        <v/>
      </c>
      <c r="M107" s="224"/>
      <c r="N107" s="224"/>
      <c r="O107" s="224" t="str">
        <f>IFERROR(INDEX(Data!M$9:M$1273,MATCH($M107,Data!$K$9:$K$1273,0)),"")</f>
        <v/>
      </c>
      <c r="P107" s="224" t="str">
        <f>IFERROR(INDEX(Data!N$9:N$1273,MATCH($M107,Data!$K$9:$K$1273,0)),"")</f>
        <v/>
      </c>
      <c r="Q107" s="224" t="str">
        <f>IFERROR(INDEX(Data!O$9:O$1273,MATCH($M107,Data!$K$9:$K$1273,0)),"")</f>
        <v/>
      </c>
      <c r="R107" s="224" t="str">
        <f>IFERROR(INDEX(Data!P$9:P$1273,MATCH($M107,Data!$K$9:$K$1273,0)),"")</f>
        <v/>
      </c>
      <c r="S107" s="224" t="str">
        <f>IFERROR(INDEX(Data!S$9:S$1273,MATCH($M107,Data!$K$9:$K$1273,0)),"")</f>
        <v/>
      </c>
      <c r="T107" s="224" t="str">
        <f>IFERROR(INDEX(Data!T$9:T$1273,MATCH($M107,Data!$K$9:$K$1273,0)),"")</f>
        <v/>
      </c>
      <c r="U107" s="224" t="str">
        <f>IFERROR(INDEX(Data!U$9:U$1273,MATCH($M107,Data!$K$9:$K$1273,0)),"")</f>
        <v/>
      </c>
      <c r="V107" s="224" t="str">
        <f>IFERROR(INDEX(Data!V$9:V$1273,MATCH($M107,Data!$K$9:$K$1273,0)),"")</f>
        <v/>
      </c>
      <c r="W107" s="224" t="str">
        <f>IFERROR(INDEX(Data!W$9:W$1273,MATCH($M107,Data!$K$9:$K$1273,0)),"")</f>
        <v/>
      </c>
      <c r="X107" s="224" t="str">
        <f>IFERROR(INDEX(Data!AJ$9:AJ$1273,MATCH($M107,Data!$K$9:$K$1273,0)),"")</f>
        <v/>
      </c>
      <c r="Y107" s="224" t="str">
        <f>IFERROR(INDEX(Data!AK$9:AK$1273,MATCH($M107,Data!$K$9:$K$1273,0)),"")</f>
        <v/>
      </c>
      <c r="Z107" s="224" t="str">
        <f>IFERROR(INDEX(Data!AL$9:AL$1273,MATCH($M107,Data!$K$9:$K$1273,0)),"")</f>
        <v/>
      </c>
      <c r="AA107" s="224" t="str">
        <f>IFERROR(INDEX(Data!AM$9:AM$1273,MATCH($M107,Data!$K$9:$K$1273,0)),"")</f>
        <v/>
      </c>
      <c r="AB107" s="224" t="str">
        <f>IFERROR(INDEX(Data!AN$9:AN$1273,MATCH($M107,Data!$K$9:$K$1273,0)),"")</f>
        <v/>
      </c>
      <c r="AC107" s="225" t="str">
        <f>IFERROR(INDEX(Data!BY$9:BY$1273,MATCH($M107,Data!$K$9:$K$1273,0)),"")</f>
        <v/>
      </c>
      <c r="AD107" s="225" t="str">
        <f>IFERROR(INDEX(Data!BZ$9:BZ$1273,MATCH($M107,Data!$K$9:$K$1273,0)),"")</f>
        <v/>
      </c>
      <c r="AE107" s="225" t="str">
        <f>IFERROR(INDEX(Data!CA$9:CA$1273,MATCH($M107,Data!$K$9:$K$1273,0)),"")</f>
        <v/>
      </c>
      <c r="AF107" s="225" t="str">
        <f>IFERROR(INDEX(Data!CB$9:CB$1273,MATCH($M107,Data!$K$9:$K$1273,0)),"")</f>
        <v/>
      </c>
      <c r="AG107" s="225" t="str">
        <f>IFERROR(INDEX(Data!CC$9:CC$1273,MATCH($M107,Data!$K$9:$K$1273,0)),"")</f>
        <v/>
      </c>
      <c r="AH107" s="225" t="str">
        <f>IFERROR(INDEX(Data!CD$9:CD$1273,MATCH($M107,Data!$K$9:$K$1273,0)),"")</f>
        <v/>
      </c>
      <c r="AI107" s="225" t="str">
        <f>IFERROR(INDEX(Data!CE$9:CE$1273,MATCH($M107,Data!$K$9:$K$1273,0)),"")</f>
        <v/>
      </c>
      <c r="AJ107" s="225" t="str">
        <f>IFERROR(INDEX(Data!CF$9:CF$1273,MATCH($M107,Data!$K$9:$K$1273,0)),"")</f>
        <v/>
      </c>
      <c r="AK107" s="225" t="str">
        <f>IFERROR(INDEX(Data!CG$9:CG$1273,MATCH($M107,Data!$K$9:$K$1273,0)),"")</f>
        <v/>
      </c>
      <c r="AL107" s="225" t="str">
        <f>IFERROR(INDEX(Data!CH$9:CH$1273,MATCH($M107,Data!$K$9:$K$1273,0)),"")</f>
        <v/>
      </c>
      <c r="AM107" s="225" t="str">
        <f>IFERROR(INDEX(Data!CI$9:CI$1273,MATCH($M107,Data!$K$9:$K$1273,0)),"")</f>
        <v/>
      </c>
      <c r="AN107" s="225" t="str">
        <f>IFERROR(INDEX(Data!CJ$9:CJ$1273,MATCH($M107,Data!$K$9:$K$1273,0)),"")</f>
        <v/>
      </c>
      <c r="AO107" s="225" t="str">
        <f>IFERROR(INDEX(Data!CK$9:CK$1273,MATCH($M107,Data!$K$9:$K$1273,0)),"")</f>
        <v/>
      </c>
      <c r="AP107" s="225" t="str">
        <f>IFERROR(INDEX(Data!CL$9:CL$1273,MATCH($M107,Data!$K$9:$K$1273,0)),"")</f>
        <v/>
      </c>
      <c r="AQ107" s="225" t="str">
        <f>IFERROR(INDEX(Data!CM$9:CM$1273,MATCH($M107,Data!$K$9:$K$1273,0)),"")</f>
        <v/>
      </c>
      <c r="AR107" s="225" t="str">
        <f>IFERROR(INDEX(Data!CN$9:CN$1273,MATCH($M107,Data!$K$9:$K$1273,0)),"")</f>
        <v/>
      </c>
      <c r="AS107" s="225" t="str">
        <f>IFERROR(INDEX(Data!CO$9:CO$1273,MATCH($M107,Data!$K$9:$K$1273,0)),"")</f>
        <v/>
      </c>
      <c r="AT107" s="225" t="str">
        <f>IFERROR(INDEX(Data!CP$9:CP$1273,MATCH($M107,Data!$K$9:$K$1273,0)),"")</f>
        <v/>
      </c>
      <c r="AU107" s="225" t="str">
        <f>IFERROR(INDEX(Data!CQ$9:CQ$1273,MATCH($M107,Data!$K$9:$K$1273,0)),"")</f>
        <v/>
      </c>
      <c r="AV107" s="225" t="str">
        <f>IFERROR(INDEX(Data!CR$9:CR$1273,MATCH($M107,Data!$K$9:$K$1273,0)),"")</f>
        <v/>
      </c>
      <c r="AW107" s="225" t="str">
        <f>IFERROR(INDEX(Data!CS$9:CS$1273,MATCH($M107,Data!$K$9:$K$1273,0)),"")</f>
        <v/>
      </c>
      <c r="AX107" s="225" t="str">
        <f>IFERROR(INDEX(Data!CT$9:CT$1273,MATCH($M107,Data!$K$9:$K$1273,0)),"")</f>
        <v/>
      </c>
      <c r="AY107" s="225" t="str">
        <f>IFERROR(INDEX(Data!CU$9:CU$1273,MATCH($M107,Data!$K$9:$K$1273,0)),"")</f>
        <v/>
      </c>
      <c r="AZ107" s="225" t="str">
        <f>IFERROR(INDEX(Data!CV$9:CV$1273,MATCH($M107,Data!$K$9:$K$1273,0)),"")</f>
        <v/>
      </c>
      <c r="BA107" s="225" t="str">
        <f>IFERROR(INDEX(Data!CX$9:CX$1273,MATCH($M107,Data!$K$9:$K$1273,0)),"")</f>
        <v/>
      </c>
      <c r="BB107" s="225" t="str">
        <f>IFERROR(INDEX(Data!CY$9:CY$1273,MATCH($M107,Data!$K$9:$K$1273,0)),"")</f>
        <v/>
      </c>
      <c r="BC107" s="225" t="str">
        <f>IFERROR(INDEX(Data!CZ$9:CZ$1273,MATCH($M107,Data!$K$9:$K$1273,0)),"")</f>
        <v/>
      </c>
      <c r="BD107" s="225" t="str">
        <f>IFERROR(INDEX(Data!DA$9:DA$1273,MATCH($M107,Data!$K$9:$K$1273,0)),"")</f>
        <v/>
      </c>
      <c r="BE107" s="225" t="str">
        <f>IFERROR(INDEX(Data!DB$9:DB$1273,MATCH($M107,Data!$K$9:$K$1273,0)),"")</f>
        <v/>
      </c>
      <c r="BF107" s="225" t="str">
        <f>IFERROR(INDEX(Data!DC$9:DC$1273,MATCH($M107,Data!$K$9:$K$1273,0)),"")</f>
        <v/>
      </c>
      <c r="BG107" s="225" t="str">
        <f>IFERROR(INDEX(Data!DD$9:DD$1273,MATCH($M107,Data!$K$9:$K$1273,0)),"")</f>
        <v/>
      </c>
      <c r="BH107" s="225" t="str">
        <f>IFERROR(INDEX(Data!DE$9:DE$1273,MATCH($M107,Data!$K$9:$K$1273,0)),"")</f>
        <v/>
      </c>
      <c r="BI107" s="225" t="str">
        <f>IFERROR(INDEX(Data!DF$9:DF$1273,MATCH($M107,Data!$K$9:$K$1273,0)),"")</f>
        <v/>
      </c>
      <c r="BJ107" s="225" t="str">
        <f>IFERROR(INDEX(Data!DG$9:DG$1273,MATCH($M107,Data!$K$9:$K$1273,0)),"")</f>
        <v/>
      </c>
      <c r="BK107" s="225" t="str">
        <f>IFERROR(INDEX(Data!DH$9:DH$1273,MATCH($M107,Data!$K$9:$K$1273,0)),"")</f>
        <v/>
      </c>
      <c r="BL107" s="225" t="str">
        <f>IFERROR(INDEX(Data!DI$9:DI$1273,MATCH($M107,Data!$K$9:$K$1273,0)),"")</f>
        <v/>
      </c>
      <c r="BM107" s="225" t="str">
        <f>IFERROR(INDEX(Data!DJ$9:DJ$1273,MATCH($M107,Data!$K$9:$K$1273,0)),"")</f>
        <v/>
      </c>
      <c r="BN107" s="225" t="str">
        <f>IFERROR(INDEX(Data!DK$9:DK$1273,MATCH($M107,Data!$K$9:$K$1273,0)),"")</f>
        <v/>
      </c>
      <c r="BO107" s="225" t="str">
        <f>IFERROR(INDEX(Data!DL$9:DL$1273,MATCH($M107,Data!$K$9:$K$1273,0)),"")</f>
        <v/>
      </c>
      <c r="BP107" s="243" t="str">
        <f t="shared" ref="BP107:BP138" si="11">IFERROR(IF(BK107=0,"-",BK107),"")</f>
        <v/>
      </c>
      <c r="BQ107" s="225" t="str">
        <f t="shared" ref="BQ107:BQ138" si="12">IFERROR(IF(BP107-K107&gt;0,TRUE,FALSE)," ")</f>
        <v xml:space="preserve"> </v>
      </c>
      <c r="BR107" s="225" t="str">
        <f t="shared" ref="BR107:BR138" si="13">_xlfn.CONCAT(E107,F107,H107,G107)</f>
        <v/>
      </c>
      <c r="BS107" s="225" t="str">
        <f>IFERROR(INDEX(Data!$DO$9:$DO$1273,MATCH('Your recommendation'!BR107,Data!$DN$9:$DN$1273,0)),"")</f>
        <v/>
      </c>
    </row>
    <row r="108" spans="2:71" ht="15.6" customHeight="1">
      <c r="B108" s="222" t="str">
        <f t="shared" ref="B108:B139" si="14">IF(C108&gt;0,B107+1,"")</f>
        <v/>
      </c>
      <c r="C108" s="223"/>
      <c r="D108" s="225" t="str">
        <f>IFERROR(INDEX(Data!BR$9:BR$1273,MATCH($M108,Data!$K$9:$K$1273,0)),"")</f>
        <v/>
      </c>
      <c r="E108" s="225" t="str">
        <f>IFERROR(INDEX(Data!BS$9:BS$1273,MATCH($M108,Data!$K$9:$K$1273,0)),"")</f>
        <v/>
      </c>
      <c r="F108" s="225" t="str">
        <f>IFERROR(INDEX(Data!DM$9:DM$1273,MATCH($M108,Data!$K$9:$K$1273,0)),"")</f>
        <v/>
      </c>
      <c r="G108" s="225" t="str">
        <f>IFERROR(INDEX(Data!BV$9:BV$1273,MATCH($M108,Data!$K$9:$K$1273,0)),"")</f>
        <v/>
      </c>
      <c r="H108" s="225" t="str">
        <f>IFERROR(INDEX(Data!BW$9:BW$1273,MATCH($M108,Data!$K$9:$K$1273,0)),"")</f>
        <v/>
      </c>
      <c r="I108" s="225" t="str">
        <f>IFERROR(INDEX(Data!BX$9:BX$1273,MATCH($M108,Data!$K$9:$K$1273,0)),"")</f>
        <v/>
      </c>
      <c r="J108" s="225" t="str">
        <f>IFERROR(INDEX(Data!CB$9:CB$1273,MATCH($M108,Data!$K$9:$K$1273,0)),"")</f>
        <v/>
      </c>
      <c r="K108" s="241" t="str">
        <f t="shared" si="9"/>
        <v/>
      </c>
      <c r="L108" s="242" t="str">
        <f t="shared" si="10"/>
        <v/>
      </c>
      <c r="M108" s="224"/>
      <c r="N108" s="224"/>
      <c r="O108" s="224" t="str">
        <f>IFERROR(INDEX(Data!M$9:M$1273,MATCH($M108,Data!$K$9:$K$1273,0)),"")</f>
        <v/>
      </c>
      <c r="P108" s="224" t="str">
        <f>IFERROR(INDEX(Data!N$9:N$1273,MATCH($M108,Data!$K$9:$K$1273,0)),"")</f>
        <v/>
      </c>
      <c r="Q108" s="224" t="str">
        <f>IFERROR(INDEX(Data!O$9:O$1273,MATCH($M108,Data!$K$9:$K$1273,0)),"")</f>
        <v/>
      </c>
      <c r="R108" s="224" t="str">
        <f>IFERROR(INDEX(Data!P$9:P$1273,MATCH($M108,Data!$K$9:$K$1273,0)),"")</f>
        <v/>
      </c>
      <c r="S108" s="224" t="str">
        <f>IFERROR(INDEX(Data!S$9:S$1273,MATCH($M108,Data!$K$9:$K$1273,0)),"")</f>
        <v/>
      </c>
      <c r="T108" s="224" t="str">
        <f>IFERROR(INDEX(Data!T$9:T$1273,MATCH($M108,Data!$K$9:$K$1273,0)),"")</f>
        <v/>
      </c>
      <c r="U108" s="224" t="str">
        <f>IFERROR(INDEX(Data!U$9:U$1273,MATCH($M108,Data!$K$9:$K$1273,0)),"")</f>
        <v/>
      </c>
      <c r="V108" s="224" t="str">
        <f>IFERROR(INDEX(Data!V$9:V$1273,MATCH($M108,Data!$K$9:$K$1273,0)),"")</f>
        <v/>
      </c>
      <c r="W108" s="224" t="str">
        <f>IFERROR(INDEX(Data!W$9:W$1273,MATCH($M108,Data!$K$9:$K$1273,0)),"")</f>
        <v/>
      </c>
      <c r="X108" s="224" t="str">
        <f>IFERROR(INDEX(Data!AJ$9:AJ$1273,MATCH($M108,Data!$K$9:$K$1273,0)),"")</f>
        <v/>
      </c>
      <c r="Y108" s="224" t="str">
        <f>IFERROR(INDEX(Data!AK$9:AK$1273,MATCH($M108,Data!$K$9:$K$1273,0)),"")</f>
        <v/>
      </c>
      <c r="Z108" s="224" t="str">
        <f>IFERROR(INDEX(Data!AL$9:AL$1273,MATCH($M108,Data!$K$9:$K$1273,0)),"")</f>
        <v/>
      </c>
      <c r="AA108" s="224" t="str">
        <f>IFERROR(INDEX(Data!AM$9:AM$1273,MATCH($M108,Data!$K$9:$K$1273,0)),"")</f>
        <v/>
      </c>
      <c r="AB108" s="224" t="str">
        <f>IFERROR(INDEX(Data!AN$9:AN$1273,MATCH($M108,Data!$K$9:$K$1273,0)),"")</f>
        <v/>
      </c>
      <c r="AC108" s="225" t="str">
        <f>IFERROR(INDEX(Data!BY$9:BY$1273,MATCH($M108,Data!$K$9:$K$1273,0)),"")</f>
        <v/>
      </c>
      <c r="AD108" s="225" t="str">
        <f>IFERROR(INDEX(Data!BZ$9:BZ$1273,MATCH($M108,Data!$K$9:$K$1273,0)),"")</f>
        <v/>
      </c>
      <c r="AE108" s="225" t="str">
        <f>IFERROR(INDEX(Data!CA$9:CA$1273,MATCH($M108,Data!$K$9:$K$1273,0)),"")</f>
        <v/>
      </c>
      <c r="AF108" s="225" t="str">
        <f>IFERROR(INDEX(Data!CB$9:CB$1273,MATCH($M108,Data!$K$9:$K$1273,0)),"")</f>
        <v/>
      </c>
      <c r="AG108" s="225" t="str">
        <f>IFERROR(INDEX(Data!CC$9:CC$1273,MATCH($M108,Data!$K$9:$K$1273,0)),"")</f>
        <v/>
      </c>
      <c r="AH108" s="225" t="str">
        <f>IFERROR(INDEX(Data!CD$9:CD$1273,MATCH($M108,Data!$K$9:$K$1273,0)),"")</f>
        <v/>
      </c>
      <c r="AI108" s="225" t="str">
        <f>IFERROR(INDEX(Data!CE$9:CE$1273,MATCH($M108,Data!$K$9:$K$1273,0)),"")</f>
        <v/>
      </c>
      <c r="AJ108" s="225" t="str">
        <f>IFERROR(INDEX(Data!CF$9:CF$1273,MATCH($M108,Data!$K$9:$K$1273,0)),"")</f>
        <v/>
      </c>
      <c r="AK108" s="225" t="str">
        <f>IFERROR(INDEX(Data!CG$9:CG$1273,MATCH($M108,Data!$K$9:$K$1273,0)),"")</f>
        <v/>
      </c>
      <c r="AL108" s="225" t="str">
        <f>IFERROR(INDEX(Data!CH$9:CH$1273,MATCH($M108,Data!$K$9:$K$1273,0)),"")</f>
        <v/>
      </c>
      <c r="AM108" s="225" t="str">
        <f>IFERROR(INDEX(Data!CI$9:CI$1273,MATCH($M108,Data!$K$9:$K$1273,0)),"")</f>
        <v/>
      </c>
      <c r="AN108" s="225" t="str">
        <f>IFERROR(INDEX(Data!CJ$9:CJ$1273,MATCH($M108,Data!$K$9:$K$1273,0)),"")</f>
        <v/>
      </c>
      <c r="AO108" s="225" t="str">
        <f>IFERROR(INDEX(Data!CK$9:CK$1273,MATCH($M108,Data!$K$9:$K$1273,0)),"")</f>
        <v/>
      </c>
      <c r="AP108" s="225" t="str">
        <f>IFERROR(INDEX(Data!CL$9:CL$1273,MATCH($M108,Data!$K$9:$K$1273,0)),"")</f>
        <v/>
      </c>
      <c r="AQ108" s="225" t="str">
        <f>IFERROR(INDEX(Data!CM$9:CM$1273,MATCH($M108,Data!$K$9:$K$1273,0)),"")</f>
        <v/>
      </c>
      <c r="AR108" s="225" t="str">
        <f>IFERROR(INDEX(Data!CN$9:CN$1273,MATCH($M108,Data!$K$9:$K$1273,0)),"")</f>
        <v/>
      </c>
      <c r="AS108" s="225" t="str">
        <f>IFERROR(INDEX(Data!CO$9:CO$1273,MATCH($M108,Data!$K$9:$K$1273,0)),"")</f>
        <v/>
      </c>
      <c r="AT108" s="225" t="str">
        <f>IFERROR(INDEX(Data!CP$9:CP$1273,MATCH($M108,Data!$K$9:$K$1273,0)),"")</f>
        <v/>
      </c>
      <c r="AU108" s="225" t="str">
        <f>IFERROR(INDEX(Data!CQ$9:CQ$1273,MATCH($M108,Data!$K$9:$K$1273,0)),"")</f>
        <v/>
      </c>
      <c r="AV108" s="225" t="str">
        <f>IFERROR(INDEX(Data!CR$9:CR$1273,MATCH($M108,Data!$K$9:$K$1273,0)),"")</f>
        <v/>
      </c>
      <c r="AW108" s="225" t="str">
        <f>IFERROR(INDEX(Data!CS$9:CS$1273,MATCH($M108,Data!$K$9:$K$1273,0)),"")</f>
        <v/>
      </c>
      <c r="AX108" s="225" t="str">
        <f>IFERROR(INDEX(Data!CT$9:CT$1273,MATCH($M108,Data!$K$9:$K$1273,0)),"")</f>
        <v/>
      </c>
      <c r="AY108" s="225" t="str">
        <f>IFERROR(INDEX(Data!CU$9:CU$1273,MATCH($M108,Data!$K$9:$K$1273,0)),"")</f>
        <v/>
      </c>
      <c r="AZ108" s="225" t="str">
        <f>IFERROR(INDEX(Data!CV$9:CV$1273,MATCH($M108,Data!$K$9:$K$1273,0)),"")</f>
        <v/>
      </c>
      <c r="BA108" s="225" t="str">
        <f>IFERROR(INDEX(Data!CX$9:CX$1273,MATCH($M108,Data!$K$9:$K$1273,0)),"")</f>
        <v/>
      </c>
      <c r="BB108" s="225" t="str">
        <f>IFERROR(INDEX(Data!CY$9:CY$1273,MATCH($M108,Data!$K$9:$K$1273,0)),"")</f>
        <v/>
      </c>
      <c r="BC108" s="225" t="str">
        <f>IFERROR(INDEX(Data!CZ$9:CZ$1273,MATCH($M108,Data!$K$9:$K$1273,0)),"")</f>
        <v/>
      </c>
      <c r="BD108" s="225" t="str">
        <f>IFERROR(INDEX(Data!DA$9:DA$1273,MATCH($M108,Data!$K$9:$K$1273,0)),"")</f>
        <v/>
      </c>
      <c r="BE108" s="225" t="str">
        <f>IFERROR(INDEX(Data!DB$9:DB$1273,MATCH($M108,Data!$K$9:$K$1273,0)),"")</f>
        <v/>
      </c>
      <c r="BF108" s="225" t="str">
        <f>IFERROR(INDEX(Data!DC$9:DC$1273,MATCH($M108,Data!$K$9:$K$1273,0)),"")</f>
        <v/>
      </c>
      <c r="BG108" s="225" t="str">
        <f>IFERROR(INDEX(Data!DD$9:DD$1273,MATCH($M108,Data!$K$9:$K$1273,0)),"")</f>
        <v/>
      </c>
      <c r="BH108" s="225" t="str">
        <f>IFERROR(INDEX(Data!DE$9:DE$1273,MATCH($M108,Data!$K$9:$K$1273,0)),"")</f>
        <v/>
      </c>
      <c r="BI108" s="225" t="str">
        <f>IFERROR(INDEX(Data!DF$9:DF$1273,MATCH($M108,Data!$K$9:$K$1273,0)),"")</f>
        <v/>
      </c>
      <c r="BJ108" s="225" t="str">
        <f>IFERROR(INDEX(Data!DG$9:DG$1273,MATCH($M108,Data!$K$9:$K$1273,0)),"")</f>
        <v/>
      </c>
      <c r="BK108" s="225" t="str">
        <f>IFERROR(INDEX(Data!DH$9:DH$1273,MATCH($M108,Data!$K$9:$K$1273,0)),"")</f>
        <v/>
      </c>
      <c r="BL108" s="225" t="str">
        <f>IFERROR(INDEX(Data!DI$9:DI$1273,MATCH($M108,Data!$K$9:$K$1273,0)),"")</f>
        <v/>
      </c>
      <c r="BM108" s="225" t="str">
        <f>IFERROR(INDEX(Data!DJ$9:DJ$1273,MATCH($M108,Data!$K$9:$K$1273,0)),"")</f>
        <v/>
      </c>
      <c r="BN108" s="225" t="str">
        <f>IFERROR(INDEX(Data!DK$9:DK$1273,MATCH($M108,Data!$K$9:$K$1273,0)),"")</f>
        <v/>
      </c>
      <c r="BO108" s="225" t="str">
        <f>IFERROR(INDEX(Data!DL$9:DL$1273,MATCH($M108,Data!$K$9:$K$1273,0)),"")</f>
        <v/>
      </c>
      <c r="BP108" s="243" t="str">
        <f t="shared" si="11"/>
        <v/>
      </c>
      <c r="BQ108" s="225" t="str">
        <f t="shared" si="12"/>
        <v xml:space="preserve"> </v>
      </c>
      <c r="BR108" s="225" t="str">
        <f t="shared" si="13"/>
        <v/>
      </c>
      <c r="BS108" s="225" t="str">
        <f>IFERROR(INDEX(Data!$DO$9:$DO$1273,MATCH('Your recommendation'!BR108,Data!$DN$9:$DN$1273,0)),"")</f>
        <v/>
      </c>
    </row>
    <row r="109" spans="2:71" ht="15.6" customHeight="1">
      <c r="B109" s="222" t="str">
        <f t="shared" si="14"/>
        <v/>
      </c>
      <c r="C109" s="223"/>
      <c r="D109" s="225" t="str">
        <f>IFERROR(INDEX(Data!BR$9:BR$1273,MATCH($M109,Data!$K$9:$K$1273,0)),"")</f>
        <v/>
      </c>
      <c r="E109" s="225" t="str">
        <f>IFERROR(INDEX(Data!BS$9:BS$1273,MATCH($M109,Data!$K$9:$K$1273,0)),"")</f>
        <v/>
      </c>
      <c r="F109" s="225" t="str">
        <f>IFERROR(INDEX(Data!DM$9:DM$1273,MATCH($M109,Data!$K$9:$K$1273,0)),"")</f>
        <v/>
      </c>
      <c r="G109" s="225" t="str">
        <f>IFERROR(INDEX(Data!BV$9:BV$1273,MATCH($M109,Data!$K$9:$K$1273,0)),"")</f>
        <v/>
      </c>
      <c r="H109" s="225" t="str">
        <f>IFERROR(INDEX(Data!BW$9:BW$1273,MATCH($M109,Data!$K$9:$K$1273,0)),"")</f>
        <v/>
      </c>
      <c r="I109" s="225" t="str">
        <f>IFERROR(INDEX(Data!BX$9:BX$1273,MATCH($M109,Data!$K$9:$K$1273,0)),"")</f>
        <v/>
      </c>
      <c r="J109" s="225" t="str">
        <f>IFERROR(INDEX(Data!CB$9:CB$1273,MATCH($M109,Data!$K$9:$K$1273,0)),"")</f>
        <v/>
      </c>
      <c r="K109" s="241" t="str">
        <f t="shared" si="9"/>
        <v/>
      </c>
      <c r="L109" s="242" t="str">
        <f t="shared" si="10"/>
        <v/>
      </c>
      <c r="M109" s="224"/>
      <c r="N109" s="224"/>
      <c r="O109" s="224" t="str">
        <f>IFERROR(INDEX(Data!M$9:M$1273,MATCH($M109,Data!$K$9:$K$1273,0)),"")</f>
        <v/>
      </c>
      <c r="P109" s="224" t="str">
        <f>IFERROR(INDEX(Data!N$9:N$1273,MATCH($M109,Data!$K$9:$K$1273,0)),"")</f>
        <v/>
      </c>
      <c r="Q109" s="224" t="str">
        <f>IFERROR(INDEX(Data!O$9:O$1273,MATCH($M109,Data!$K$9:$K$1273,0)),"")</f>
        <v/>
      </c>
      <c r="R109" s="224" t="str">
        <f>IFERROR(INDEX(Data!P$9:P$1273,MATCH($M109,Data!$K$9:$K$1273,0)),"")</f>
        <v/>
      </c>
      <c r="S109" s="224" t="str">
        <f>IFERROR(INDEX(Data!S$9:S$1273,MATCH($M109,Data!$K$9:$K$1273,0)),"")</f>
        <v/>
      </c>
      <c r="T109" s="224" t="str">
        <f>IFERROR(INDEX(Data!T$9:T$1273,MATCH($M109,Data!$K$9:$K$1273,0)),"")</f>
        <v/>
      </c>
      <c r="U109" s="224" t="str">
        <f>IFERROR(INDEX(Data!U$9:U$1273,MATCH($M109,Data!$K$9:$K$1273,0)),"")</f>
        <v/>
      </c>
      <c r="V109" s="224" t="str">
        <f>IFERROR(INDEX(Data!V$9:V$1273,MATCH($M109,Data!$K$9:$K$1273,0)),"")</f>
        <v/>
      </c>
      <c r="W109" s="224" t="str">
        <f>IFERROR(INDEX(Data!W$9:W$1273,MATCH($M109,Data!$K$9:$K$1273,0)),"")</f>
        <v/>
      </c>
      <c r="X109" s="224" t="str">
        <f>IFERROR(INDEX(Data!AJ$9:AJ$1273,MATCH($M109,Data!$K$9:$K$1273,0)),"")</f>
        <v/>
      </c>
      <c r="Y109" s="224" t="str">
        <f>IFERROR(INDEX(Data!AK$9:AK$1273,MATCH($M109,Data!$K$9:$K$1273,0)),"")</f>
        <v/>
      </c>
      <c r="Z109" s="224" t="str">
        <f>IFERROR(INDEX(Data!AL$9:AL$1273,MATCH($M109,Data!$K$9:$K$1273,0)),"")</f>
        <v/>
      </c>
      <c r="AA109" s="224" t="str">
        <f>IFERROR(INDEX(Data!AM$9:AM$1273,MATCH($M109,Data!$K$9:$K$1273,0)),"")</f>
        <v/>
      </c>
      <c r="AB109" s="224" t="str">
        <f>IFERROR(INDEX(Data!AN$9:AN$1273,MATCH($M109,Data!$K$9:$K$1273,0)),"")</f>
        <v/>
      </c>
      <c r="AC109" s="225" t="str">
        <f>IFERROR(INDEX(Data!BY$9:BY$1273,MATCH($M109,Data!$K$9:$K$1273,0)),"")</f>
        <v/>
      </c>
      <c r="AD109" s="225" t="str">
        <f>IFERROR(INDEX(Data!BZ$9:BZ$1273,MATCH($M109,Data!$K$9:$K$1273,0)),"")</f>
        <v/>
      </c>
      <c r="AE109" s="225" t="str">
        <f>IFERROR(INDEX(Data!CA$9:CA$1273,MATCH($M109,Data!$K$9:$K$1273,0)),"")</f>
        <v/>
      </c>
      <c r="AF109" s="225" t="str">
        <f>IFERROR(INDEX(Data!CB$9:CB$1273,MATCH($M109,Data!$K$9:$K$1273,0)),"")</f>
        <v/>
      </c>
      <c r="AG109" s="225" t="str">
        <f>IFERROR(INDEX(Data!CC$9:CC$1273,MATCH($M109,Data!$K$9:$K$1273,0)),"")</f>
        <v/>
      </c>
      <c r="AH109" s="225" t="str">
        <f>IFERROR(INDEX(Data!CD$9:CD$1273,MATCH($M109,Data!$K$9:$K$1273,0)),"")</f>
        <v/>
      </c>
      <c r="AI109" s="225" t="str">
        <f>IFERROR(INDEX(Data!CE$9:CE$1273,MATCH($M109,Data!$K$9:$K$1273,0)),"")</f>
        <v/>
      </c>
      <c r="AJ109" s="225" t="str">
        <f>IFERROR(INDEX(Data!CF$9:CF$1273,MATCH($M109,Data!$K$9:$K$1273,0)),"")</f>
        <v/>
      </c>
      <c r="AK109" s="225" t="str">
        <f>IFERROR(INDEX(Data!CG$9:CG$1273,MATCH($M109,Data!$K$9:$K$1273,0)),"")</f>
        <v/>
      </c>
      <c r="AL109" s="225" t="str">
        <f>IFERROR(INDEX(Data!CH$9:CH$1273,MATCH($M109,Data!$K$9:$K$1273,0)),"")</f>
        <v/>
      </c>
      <c r="AM109" s="225" t="str">
        <f>IFERROR(INDEX(Data!CI$9:CI$1273,MATCH($M109,Data!$K$9:$K$1273,0)),"")</f>
        <v/>
      </c>
      <c r="AN109" s="225" t="str">
        <f>IFERROR(INDEX(Data!CJ$9:CJ$1273,MATCH($M109,Data!$K$9:$K$1273,0)),"")</f>
        <v/>
      </c>
      <c r="AO109" s="225" t="str">
        <f>IFERROR(INDEX(Data!CK$9:CK$1273,MATCH($M109,Data!$K$9:$K$1273,0)),"")</f>
        <v/>
      </c>
      <c r="AP109" s="225" t="str">
        <f>IFERROR(INDEX(Data!CL$9:CL$1273,MATCH($M109,Data!$K$9:$K$1273,0)),"")</f>
        <v/>
      </c>
      <c r="AQ109" s="225" t="str">
        <f>IFERROR(INDEX(Data!CM$9:CM$1273,MATCH($M109,Data!$K$9:$K$1273,0)),"")</f>
        <v/>
      </c>
      <c r="AR109" s="225" t="str">
        <f>IFERROR(INDEX(Data!CN$9:CN$1273,MATCH($M109,Data!$K$9:$K$1273,0)),"")</f>
        <v/>
      </c>
      <c r="AS109" s="225" t="str">
        <f>IFERROR(INDEX(Data!CO$9:CO$1273,MATCH($M109,Data!$K$9:$K$1273,0)),"")</f>
        <v/>
      </c>
      <c r="AT109" s="225" t="str">
        <f>IFERROR(INDEX(Data!CP$9:CP$1273,MATCH($M109,Data!$K$9:$K$1273,0)),"")</f>
        <v/>
      </c>
      <c r="AU109" s="225" t="str">
        <f>IFERROR(INDEX(Data!CQ$9:CQ$1273,MATCH($M109,Data!$K$9:$K$1273,0)),"")</f>
        <v/>
      </c>
      <c r="AV109" s="225" t="str">
        <f>IFERROR(INDEX(Data!CR$9:CR$1273,MATCH($M109,Data!$K$9:$K$1273,0)),"")</f>
        <v/>
      </c>
      <c r="AW109" s="225" t="str">
        <f>IFERROR(INDEX(Data!CS$9:CS$1273,MATCH($M109,Data!$K$9:$K$1273,0)),"")</f>
        <v/>
      </c>
      <c r="AX109" s="225" t="str">
        <f>IFERROR(INDEX(Data!CT$9:CT$1273,MATCH($M109,Data!$K$9:$K$1273,0)),"")</f>
        <v/>
      </c>
      <c r="AY109" s="225" t="str">
        <f>IFERROR(INDEX(Data!CU$9:CU$1273,MATCH($M109,Data!$K$9:$K$1273,0)),"")</f>
        <v/>
      </c>
      <c r="AZ109" s="225" t="str">
        <f>IFERROR(INDEX(Data!CV$9:CV$1273,MATCH($M109,Data!$K$9:$K$1273,0)),"")</f>
        <v/>
      </c>
      <c r="BA109" s="225" t="str">
        <f>IFERROR(INDEX(Data!CX$9:CX$1273,MATCH($M109,Data!$K$9:$K$1273,0)),"")</f>
        <v/>
      </c>
      <c r="BB109" s="225" t="str">
        <f>IFERROR(INDEX(Data!CY$9:CY$1273,MATCH($M109,Data!$K$9:$K$1273,0)),"")</f>
        <v/>
      </c>
      <c r="BC109" s="225" t="str">
        <f>IFERROR(INDEX(Data!CZ$9:CZ$1273,MATCH($M109,Data!$K$9:$K$1273,0)),"")</f>
        <v/>
      </c>
      <c r="BD109" s="225" t="str">
        <f>IFERROR(INDEX(Data!DA$9:DA$1273,MATCH($M109,Data!$K$9:$K$1273,0)),"")</f>
        <v/>
      </c>
      <c r="BE109" s="225" t="str">
        <f>IFERROR(INDEX(Data!DB$9:DB$1273,MATCH($M109,Data!$K$9:$K$1273,0)),"")</f>
        <v/>
      </c>
      <c r="BF109" s="225" t="str">
        <f>IFERROR(INDEX(Data!DC$9:DC$1273,MATCH($M109,Data!$K$9:$K$1273,0)),"")</f>
        <v/>
      </c>
      <c r="BG109" s="225" t="str">
        <f>IFERROR(INDEX(Data!DD$9:DD$1273,MATCH($M109,Data!$K$9:$K$1273,0)),"")</f>
        <v/>
      </c>
      <c r="BH109" s="225" t="str">
        <f>IFERROR(INDEX(Data!DE$9:DE$1273,MATCH($M109,Data!$K$9:$K$1273,0)),"")</f>
        <v/>
      </c>
      <c r="BI109" s="225" t="str">
        <f>IFERROR(INDEX(Data!DF$9:DF$1273,MATCH($M109,Data!$K$9:$K$1273,0)),"")</f>
        <v/>
      </c>
      <c r="BJ109" s="225" t="str">
        <f>IFERROR(INDEX(Data!DG$9:DG$1273,MATCH($M109,Data!$K$9:$K$1273,0)),"")</f>
        <v/>
      </c>
      <c r="BK109" s="225" t="str">
        <f>IFERROR(INDEX(Data!DH$9:DH$1273,MATCH($M109,Data!$K$9:$K$1273,0)),"")</f>
        <v/>
      </c>
      <c r="BL109" s="225" t="str">
        <f>IFERROR(INDEX(Data!DI$9:DI$1273,MATCH($M109,Data!$K$9:$K$1273,0)),"")</f>
        <v/>
      </c>
      <c r="BM109" s="225" t="str">
        <f>IFERROR(INDEX(Data!DJ$9:DJ$1273,MATCH($M109,Data!$K$9:$K$1273,0)),"")</f>
        <v/>
      </c>
      <c r="BN109" s="225" t="str">
        <f>IFERROR(INDEX(Data!DK$9:DK$1273,MATCH($M109,Data!$K$9:$K$1273,0)),"")</f>
        <v/>
      </c>
      <c r="BO109" s="225" t="str">
        <f>IFERROR(INDEX(Data!DL$9:DL$1273,MATCH($M109,Data!$K$9:$K$1273,0)),"")</f>
        <v/>
      </c>
      <c r="BP109" s="243" t="str">
        <f t="shared" si="11"/>
        <v/>
      </c>
      <c r="BQ109" s="225" t="str">
        <f t="shared" si="12"/>
        <v xml:space="preserve"> </v>
      </c>
      <c r="BR109" s="225" t="str">
        <f t="shared" si="13"/>
        <v/>
      </c>
      <c r="BS109" s="225" t="str">
        <f>IFERROR(INDEX(Data!$DO$9:$DO$1273,MATCH('Your recommendation'!BR109,Data!$DN$9:$DN$1273,0)),"")</f>
        <v/>
      </c>
    </row>
    <row r="110" spans="2:71" ht="15.6" customHeight="1">
      <c r="B110" s="222" t="str">
        <f t="shared" si="14"/>
        <v/>
      </c>
      <c r="C110" s="223"/>
      <c r="D110" s="225" t="str">
        <f>IFERROR(INDEX(Data!BR$9:BR$1273,MATCH($M110,Data!$K$9:$K$1273,0)),"")</f>
        <v/>
      </c>
      <c r="E110" s="225" t="str">
        <f>IFERROR(INDEX(Data!BS$9:BS$1273,MATCH($M110,Data!$K$9:$K$1273,0)),"")</f>
        <v/>
      </c>
      <c r="F110" s="225" t="str">
        <f>IFERROR(INDEX(Data!DM$9:DM$1273,MATCH($M110,Data!$K$9:$K$1273,0)),"")</f>
        <v/>
      </c>
      <c r="G110" s="225" t="str">
        <f>IFERROR(INDEX(Data!BV$9:BV$1273,MATCH($M110,Data!$K$9:$K$1273,0)),"")</f>
        <v/>
      </c>
      <c r="H110" s="225" t="str">
        <f>IFERROR(INDEX(Data!BW$9:BW$1273,MATCH($M110,Data!$K$9:$K$1273,0)),"")</f>
        <v/>
      </c>
      <c r="I110" s="225" t="str">
        <f>IFERROR(INDEX(Data!BX$9:BX$1273,MATCH($M110,Data!$K$9:$K$1273,0)),"")</f>
        <v/>
      </c>
      <c r="J110" s="225" t="str">
        <f>IFERROR(INDEX(Data!CB$9:CB$1273,MATCH($M110,Data!$K$9:$K$1273,0)),"")</f>
        <v/>
      </c>
      <c r="K110" s="241" t="str">
        <f t="shared" si="9"/>
        <v/>
      </c>
      <c r="L110" s="242" t="str">
        <f t="shared" si="10"/>
        <v/>
      </c>
      <c r="M110" s="224"/>
      <c r="N110" s="224"/>
      <c r="O110" s="224" t="str">
        <f>IFERROR(INDEX(Data!M$9:M$1273,MATCH($M110,Data!$K$9:$K$1273,0)),"")</f>
        <v/>
      </c>
      <c r="P110" s="224" t="str">
        <f>IFERROR(INDEX(Data!N$9:N$1273,MATCH($M110,Data!$K$9:$K$1273,0)),"")</f>
        <v/>
      </c>
      <c r="Q110" s="224" t="str">
        <f>IFERROR(INDEX(Data!O$9:O$1273,MATCH($M110,Data!$K$9:$K$1273,0)),"")</f>
        <v/>
      </c>
      <c r="R110" s="224" t="str">
        <f>IFERROR(INDEX(Data!P$9:P$1273,MATCH($M110,Data!$K$9:$K$1273,0)),"")</f>
        <v/>
      </c>
      <c r="S110" s="224" t="str">
        <f>IFERROR(INDEX(Data!S$9:S$1273,MATCH($M110,Data!$K$9:$K$1273,0)),"")</f>
        <v/>
      </c>
      <c r="T110" s="224" t="str">
        <f>IFERROR(INDEX(Data!T$9:T$1273,MATCH($M110,Data!$K$9:$K$1273,0)),"")</f>
        <v/>
      </c>
      <c r="U110" s="224" t="str">
        <f>IFERROR(INDEX(Data!U$9:U$1273,MATCH($M110,Data!$K$9:$K$1273,0)),"")</f>
        <v/>
      </c>
      <c r="V110" s="224" t="str">
        <f>IFERROR(INDEX(Data!V$9:V$1273,MATCH($M110,Data!$K$9:$K$1273,0)),"")</f>
        <v/>
      </c>
      <c r="W110" s="224" t="str">
        <f>IFERROR(INDEX(Data!W$9:W$1273,MATCH($M110,Data!$K$9:$K$1273,0)),"")</f>
        <v/>
      </c>
      <c r="X110" s="224" t="str">
        <f>IFERROR(INDEX(Data!AJ$9:AJ$1273,MATCH($M110,Data!$K$9:$K$1273,0)),"")</f>
        <v/>
      </c>
      <c r="Y110" s="224" t="str">
        <f>IFERROR(INDEX(Data!AK$9:AK$1273,MATCH($M110,Data!$K$9:$K$1273,0)),"")</f>
        <v/>
      </c>
      <c r="Z110" s="224" t="str">
        <f>IFERROR(INDEX(Data!AL$9:AL$1273,MATCH($M110,Data!$K$9:$K$1273,0)),"")</f>
        <v/>
      </c>
      <c r="AA110" s="224" t="str">
        <f>IFERROR(INDEX(Data!AM$9:AM$1273,MATCH($M110,Data!$K$9:$K$1273,0)),"")</f>
        <v/>
      </c>
      <c r="AB110" s="224" t="str">
        <f>IFERROR(INDEX(Data!AN$9:AN$1273,MATCH($M110,Data!$K$9:$K$1273,0)),"")</f>
        <v/>
      </c>
      <c r="AC110" s="225" t="str">
        <f>IFERROR(INDEX(Data!BY$9:BY$1273,MATCH($M110,Data!$K$9:$K$1273,0)),"")</f>
        <v/>
      </c>
      <c r="AD110" s="225" t="str">
        <f>IFERROR(INDEX(Data!BZ$9:BZ$1273,MATCH($M110,Data!$K$9:$K$1273,0)),"")</f>
        <v/>
      </c>
      <c r="AE110" s="225" t="str">
        <f>IFERROR(INDEX(Data!CA$9:CA$1273,MATCH($M110,Data!$K$9:$K$1273,0)),"")</f>
        <v/>
      </c>
      <c r="AF110" s="225" t="str">
        <f>IFERROR(INDEX(Data!CB$9:CB$1273,MATCH($M110,Data!$K$9:$K$1273,0)),"")</f>
        <v/>
      </c>
      <c r="AG110" s="225" t="str">
        <f>IFERROR(INDEX(Data!CC$9:CC$1273,MATCH($M110,Data!$K$9:$K$1273,0)),"")</f>
        <v/>
      </c>
      <c r="AH110" s="225" t="str">
        <f>IFERROR(INDEX(Data!CD$9:CD$1273,MATCH($M110,Data!$K$9:$K$1273,0)),"")</f>
        <v/>
      </c>
      <c r="AI110" s="225" t="str">
        <f>IFERROR(INDEX(Data!CE$9:CE$1273,MATCH($M110,Data!$K$9:$K$1273,0)),"")</f>
        <v/>
      </c>
      <c r="AJ110" s="225" t="str">
        <f>IFERROR(INDEX(Data!CF$9:CF$1273,MATCH($M110,Data!$K$9:$K$1273,0)),"")</f>
        <v/>
      </c>
      <c r="AK110" s="225" t="str">
        <f>IFERROR(INDEX(Data!CG$9:CG$1273,MATCH($M110,Data!$K$9:$K$1273,0)),"")</f>
        <v/>
      </c>
      <c r="AL110" s="225" t="str">
        <f>IFERROR(INDEX(Data!CH$9:CH$1273,MATCH($M110,Data!$K$9:$K$1273,0)),"")</f>
        <v/>
      </c>
      <c r="AM110" s="225" t="str">
        <f>IFERROR(INDEX(Data!CI$9:CI$1273,MATCH($M110,Data!$K$9:$K$1273,0)),"")</f>
        <v/>
      </c>
      <c r="AN110" s="225" t="str">
        <f>IFERROR(INDEX(Data!CJ$9:CJ$1273,MATCH($M110,Data!$K$9:$K$1273,0)),"")</f>
        <v/>
      </c>
      <c r="AO110" s="225" t="str">
        <f>IFERROR(INDEX(Data!CK$9:CK$1273,MATCH($M110,Data!$K$9:$K$1273,0)),"")</f>
        <v/>
      </c>
      <c r="AP110" s="225" t="str">
        <f>IFERROR(INDEX(Data!CL$9:CL$1273,MATCH($M110,Data!$K$9:$K$1273,0)),"")</f>
        <v/>
      </c>
      <c r="AQ110" s="225" t="str">
        <f>IFERROR(INDEX(Data!CM$9:CM$1273,MATCH($M110,Data!$K$9:$K$1273,0)),"")</f>
        <v/>
      </c>
      <c r="AR110" s="225" t="str">
        <f>IFERROR(INDEX(Data!CN$9:CN$1273,MATCH($M110,Data!$K$9:$K$1273,0)),"")</f>
        <v/>
      </c>
      <c r="AS110" s="225" t="str">
        <f>IFERROR(INDEX(Data!CO$9:CO$1273,MATCH($M110,Data!$K$9:$K$1273,0)),"")</f>
        <v/>
      </c>
      <c r="AT110" s="225" t="str">
        <f>IFERROR(INDEX(Data!CP$9:CP$1273,MATCH($M110,Data!$K$9:$K$1273,0)),"")</f>
        <v/>
      </c>
      <c r="AU110" s="225" t="str">
        <f>IFERROR(INDEX(Data!CQ$9:CQ$1273,MATCH($M110,Data!$K$9:$K$1273,0)),"")</f>
        <v/>
      </c>
      <c r="AV110" s="225" t="str">
        <f>IFERROR(INDEX(Data!CR$9:CR$1273,MATCH($M110,Data!$K$9:$K$1273,0)),"")</f>
        <v/>
      </c>
      <c r="AW110" s="225" t="str">
        <f>IFERROR(INDEX(Data!CS$9:CS$1273,MATCH($M110,Data!$K$9:$K$1273,0)),"")</f>
        <v/>
      </c>
      <c r="AX110" s="225" t="str">
        <f>IFERROR(INDEX(Data!CT$9:CT$1273,MATCH($M110,Data!$K$9:$K$1273,0)),"")</f>
        <v/>
      </c>
      <c r="AY110" s="225" t="str">
        <f>IFERROR(INDEX(Data!CU$9:CU$1273,MATCH($M110,Data!$K$9:$K$1273,0)),"")</f>
        <v/>
      </c>
      <c r="AZ110" s="225" t="str">
        <f>IFERROR(INDEX(Data!CV$9:CV$1273,MATCH($M110,Data!$K$9:$K$1273,0)),"")</f>
        <v/>
      </c>
      <c r="BA110" s="225" t="str">
        <f>IFERROR(INDEX(Data!CX$9:CX$1273,MATCH($M110,Data!$K$9:$K$1273,0)),"")</f>
        <v/>
      </c>
      <c r="BB110" s="225" t="str">
        <f>IFERROR(INDEX(Data!CY$9:CY$1273,MATCH($M110,Data!$K$9:$K$1273,0)),"")</f>
        <v/>
      </c>
      <c r="BC110" s="225" t="str">
        <f>IFERROR(INDEX(Data!CZ$9:CZ$1273,MATCH($M110,Data!$K$9:$K$1273,0)),"")</f>
        <v/>
      </c>
      <c r="BD110" s="225" t="str">
        <f>IFERROR(INDEX(Data!DA$9:DA$1273,MATCH($M110,Data!$K$9:$K$1273,0)),"")</f>
        <v/>
      </c>
      <c r="BE110" s="225" t="str">
        <f>IFERROR(INDEX(Data!DB$9:DB$1273,MATCH($M110,Data!$K$9:$K$1273,0)),"")</f>
        <v/>
      </c>
      <c r="BF110" s="225" t="str">
        <f>IFERROR(INDEX(Data!DC$9:DC$1273,MATCH($M110,Data!$K$9:$K$1273,0)),"")</f>
        <v/>
      </c>
      <c r="BG110" s="225" t="str">
        <f>IFERROR(INDEX(Data!DD$9:DD$1273,MATCH($M110,Data!$K$9:$K$1273,0)),"")</f>
        <v/>
      </c>
      <c r="BH110" s="225" t="str">
        <f>IFERROR(INDEX(Data!DE$9:DE$1273,MATCH($M110,Data!$K$9:$K$1273,0)),"")</f>
        <v/>
      </c>
      <c r="BI110" s="225" t="str">
        <f>IFERROR(INDEX(Data!DF$9:DF$1273,MATCH($M110,Data!$K$9:$K$1273,0)),"")</f>
        <v/>
      </c>
      <c r="BJ110" s="225" t="str">
        <f>IFERROR(INDEX(Data!DG$9:DG$1273,MATCH($M110,Data!$K$9:$K$1273,0)),"")</f>
        <v/>
      </c>
      <c r="BK110" s="225" t="str">
        <f>IFERROR(INDEX(Data!DH$9:DH$1273,MATCH($M110,Data!$K$9:$K$1273,0)),"")</f>
        <v/>
      </c>
      <c r="BL110" s="225" t="str">
        <f>IFERROR(INDEX(Data!DI$9:DI$1273,MATCH($M110,Data!$K$9:$K$1273,0)),"")</f>
        <v/>
      </c>
      <c r="BM110" s="225" t="str">
        <f>IFERROR(INDEX(Data!DJ$9:DJ$1273,MATCH($M110,Data!$K$9:$K$1273,0)),"")</f>
        <v/>
      </c>
      <c r="BN110" s="225" t="str">
        <f>IFERROR(INDEX(Data!DK$9:DK$1273,MATCH($M110,Data!$K$9:$K$1273,0)),"")</f>
        <v/>
      </c>
      <c r="BO110" s="225" t="str">
        <f>IFERROR(INDEX(Data!DL$9:DL$1273,MATCH($M110,Data!$K$9:$K$1273,0)),"")</f>
        <v/>
      </c>
      <c r="BP110" s="243" t="str">
        <f t="shared" si="11"/>
        <v/>
      </c>
      <c r="BQ110" s="225" t="str">
        <f t="shared" si="12"/>
        <v xml:space="preserve"> </v>
      </c>
      <c r="BR110" s="225" t="str">
        <f t="shared" si="13"/>
        <v/>
      </c>
      <c r="BS110" s="225" t="str">
        <f>IFERROR(INDEX(Data!$DO$9:$DO$1273,MATCH('Your recommendation'!BR110,Data!$DN$9:$DN$1273,0)),"")</f>
        <v/>
      </c>
    </row>
    <row r="111" spans="2:71" ht="15.6" customHeight="1">
      <c r="B111" s="222" t="str">
        <f t="shared" si="14"/>
        <v/>
      </c>
      <c r="C111" s="223"/>
      <c r="D111" s="225" t="str">
        <f>IFERROR(INDEX(Data!BR$9:BR$1273,MATCH($M111,Data!$K$9:$K$1273,0)),"")</f>
        <v/>
      </c>
      <c r="E111" s="225" t="str">
        <f>IFERROR(INDEX(Data!BS$9:BS$1273,MATCH($M111,Data!$K$9:$K$1273,0)),"")</f>
        <v/>
      </c>
      <c r="F111" s="225" t="str">
        <f>IFERROR(INDEX(Data!DM$9:DM$1273,MATCH($M111,Data!$K$9:$K$1273,0)),"")</f>
        <v/>
      </c>
      <c r="G111" s="225" t="str">
        <f>IFERROR(INDEX(Data!BV$9:BV$1273,MATCH($M111,Data!$K$9:$K$1273,0)),"")</f>
        <v/>
      </c>
      <c r="H111" s="225" t="str">
        <f>IFERROR(INDEX(Data!BW$9:BW$1273,MATCH($M111,Data!$K$9:$K$1273,0)),"")</f>
        <v/>
      </c>
      <c r="I111" s="225" t="str">
        <f>IFERROR(INDEX(Data!BX$9:BX$1273,MATCH($M111,Data!$K$9:$K$1273,0)),"")</f>
        <v/>
      </c>
      <c r="J111" s="225" t="str">
        <f>IFERROR(INDEX(Data!CB$9:CB$1273,MATCH($M111,Data!$K$9:$K$1273,0)),"")</f>
        <v/>
      </c>
      <c r="K111" s="241" t="str">
        <f t="shared" si="9"/>
        <v/>
      </c>
      <c r="L111" s="242" t="str">
        <f t="shared" si="10"/>
        <v/>
      </c>
      <c r="M111" s="224"/>
      <c r="N111" s="224"/>
      <c r="O111" s="224" t="str">
        <f>IFERROR(INDEX(Data!M$9:M$1273,MATCH($M111,Data!$K$9:$K$1273,0)),"")</f>
        <v/>
      </c>
      <c r="P111" s="224" t="str">
        <f>IFERROR(INDEX(Data!N$9:N$1273,MATCH($M111,Data!$K$9:$K$1273,0)),"")</f>
        <v/>
      </c>
      <c r="Q111" s="224" t="str">
        <f>IFERROR(INDEX(Data!O$9:O$1273,MATCH($M111,Data!$K$9:$K$1273,0)),"")</f>
        <v/>
      </c>
      <c r="R111" s="224" t="str">
        <f>IFERROR(INDEX(Data!P$9:P$1273,MATCH($M111,Data!$K$9:$K$1273,0)),"")</f>
        <v/>
      </c>
      <c r="S111" s="224" t="str">
        <f>IFERROR(INDEX(Data!S$9:S$1273,MATCH($M111,Data!$K$9:$K$1273,0)),"")</f>
        <v/>
      </c>
      <c r="T111" s="224" t="str">
        <f>IFERROR(INDEX(Data!T$9:T$1273,MATCH($M111,Data!$K$9:$K$1273,0)),"")</f>
        <v/>
      </c>
      <c r="U111" s="224" t="str">
        <f>IFERROR(INDEX(Data!U$9:U$1273,MATCH($M111,Data!$K$9:$K$1273,0)),"")</f>
        <v/>
      </c>
      <c r="V111" s="224" t="str">
        <f>IFERROR(INDEX(Data!V$9:V$1273,MATCH($M111,Data!$K$9:$K$1273,0)),"")</f>
        <v/>
      </c>
      <c r="W111" s="224" t="str">
        <f>IFERROR(INDEX(Data!W$9:W$1273,MATCH($M111,Data!$K$9:$K$1273,0)),"")</f>
        <v/>
      </c>
      <c r="X111" s="224" t="str">
        <f>IFERROR(INDEX(Data!AJ$9:AJ$1273,MATCH($M111,Data!$K$9:$K$1273,0)),"")</f>
        <v/>
      </c>
      <c r="Y111" s="224" t="str">
        <f>IFERROR(INDEX(Data!AK$9:AK$1273,MATCH($M111,Data!$K$9:$K$1273,0)),"")</f>
        <v/>
      </c>
      <c r="Z111" s="224" t="str">
        <f>IFERROR(INDEX(Data!AL$9:AL$1273,MATCH($M111,Data!$K$9:$K$1273,0)),"")</f>
        <v/>
      </c>
      <c r="AA111" s="224" t="str">
        <f>IFERROR(INDEX(Data!AM$9:AM$1273,MATCH($M111,Data!$K$9:$K$1273,0)),"")</f>
        <v/>
      </c>
      <c r="AB111" s="224" t="str">
        <f>IFERROR(INDEX(Data!AN$9:AN$1273,MATCH($M111,Data!$K$9:$K$1273,0)),"")</f>
        <v/>
      </c>
      <c r="AC111" s="225" t="str">
        <f>IFERROR(INDEX(Data!BY$9:BY$1273,MATCH($M111,Data!$K$9:$K$1273,0)),"")</f>
        <v/>
      </c>
      <c r="AD111" s="225" t="str">
        <f>IFERROR(INDEX(Data!BZ$9:BZ$1273,MATCH($M111,Data!$K$9:$K$1273,0)),"")</f>
        <v/>
      </c>
      <c r="AE111" s="225" t="str">
        <f>IFERROR(INDEX(Data!CA$9:CA$1273,MATCH($M111,Data!$K$9:$K$1273,0)),"")</f>
        <v/>
      </c>
      <c r="AF111" s="225" t="str">
        <f>IFERROR(INDEX(Data!CB$9:CB$1273,MATCH($M111,Data!$K$9:$K$1273,0)),"")</f>
        <v/>
      </c>
      <c r="AG111" s="225" t="str">
        <f>IFERROR(INDEX(Data!CC$9:CC$1273,MATCH($M111,Data!$K$9:$K$1273,0)),"")</f>
        <v/>
      </c>
      <c r="AH111" s="225" t="str">
        <f>IFERROR(INDEX(Data!CD$9:CD$1273,MATCH($M111,Data!$K$9:$K$1273,0)),"")</f>
        <v/>
      </c>
      <c r="AI111" s="225" t="str">
        <f>IFERROR(INDEX(Data!CE$9:CE$1273,MATCH($M111,Data!$K$9:$K$1273,0)),"")</f>
        <v/>
      </c>
      <c r="AJ111" s="225" t="str">
        <f>IFERROR(INDEX(Data!CF$9:CF$1273,MATCH($M111,Data!$K$9:$K$1273,0)),"")</f>
        <v/>
      </c>
      <c r="AK111" s="225" t="str">
        <f>IFERROR(INDEX(Data!CG$9:CG$1273,MATCH($M111,Data!$K$9:$K$1273,0)),"")</f>
        <v/>
      </c>
      <c r="AL111" s="225" t="str">
        <f>IFERROR(INDEX(Data!CH$9:CH$1273,MATCH($M111,Data!$K$9:$K$1273,0)),"")</f>
        <v/>
      </c>
      <c r="AM111" s="225" t="str">
        <f>IFERROR(INDEX(Data!CI$9:CI$1273,MATCH($M111,Data!$K$9:$K$1273,0)),"")</f>
        <v/>
      </c>
      <c r="AN111" s="225" t="str">
        <f>IFERROR(INDEX(Data!CJ$9:CJ$1273,MATCH($M111,Data!$K$9:$K$1273,0)),"")</f>
        <v/>
      </c>
      <c r="AO111" s="225" t="str">
        <f>IFERROR(INDEX(Data!CK$9:CK$1273,MATCH($M111,Data!$K$9:$K$1273,0)),"")</f>
        <v/>
      </c>
      <c r="AP111" s="225" t="str">
        <f>IFERROR(INDEX(Data!CL$9:CL$1273,MATCH($M111,Data!$K$9:$K$1273,0)),"")</f>
        <v/>
      </c>
      <c r="AQ111" s="225" t="str">
        <f>IFERROR(INDEX(Data!CM$9:CM$1273,MATCH($M111,Data!$K$9:$K$1273,0)),"")</f>
        <v/>
      </c>
      <c r="AR111" s="225" t="str">
        <f>IFERROR(INDEX(Data!CN$9:CN$1273,MATCH($M111,Data!$K$9:$K$1273,0)),"")</f>
        <v/>
      </c>
      <c r="AS111" s="225" t="str">
        <f>IFERROR(INDEX(Data!CO$9:CO$1273,MATCH($M111,Data!$K$9:$K$1273,0)),"")</f>
        <v/>
      </c>
      <c r="AT111" s="225" t="str">
        <f>IFERROR(INDEX(Data!CP$9:CP$1273,MATCH($M111,Data!$K$9:$K$1273,0)),"")</f>
        <v/>
      </c>
      <c r="AU111" s="225" t="str">
        <f>IFERROR(INDEX(Data!CQ$9:CQ$1273,MATCH($M111,Data!$K$9:$K$1273,0)),"")</f>
        <v/>
      </c>
      <c r="AV111" s="225" t="str">
        <f>IFERROR(INDEX(Data!CR$9:CR$1273,MATCH($M111,Data!$K$9:$K$1273,0)),"")</f>
        <v/>
      </c>
      <c r="AW111" s="225" t="str">
        <f>IFERROR(INDEX(Data!CS$9:CS$1273,MATCH($M111,Data!$K$9:$K$1273,0)),"")</f>
        <v/>
      </c>
      <c r="AX111" s="225" t="str">
        <f>IFERROR(INDEX(Data!CT$9:CT$1273,MATCH($M111,Data!$K$9:$K$1273,0)),"")</f>
        <v/>
      </c>
      <c r="AY111" s="225" t="str">
        <f>IFERROR(INDEX(Data!CU$9:CU$1273,MATCH($M111,Data!$K$9:$K$1273,0)),"")</f>
        <v/>
      </c>
      <c r="AZ111" s="225" t="str">
        <f>IFERROR(INDEX(Data!CV$9:CV$1273,MATCH($M111,Data!$K$9:$K$1273,0)),"")</f>
        <v/>
      </c>
      <c r="BA111" s="225" t="str">
        <f>IFERROR(INDEX(Data!CX$9:CX$1273,MATCH($M111,Data!$K$9:$K$1273,0)),"")</f>
        <v/>
      </c>
      <c r="BB111" s="225" t="str">
        <f>IFERROR(INDEX(Data!CY$9:CY$1273,MATCH($M111,Data!$K$9:$K$1273,0)),"")</f>
        <v/>
      </c>
      <c r="BC111" s="225" t="str">
        <f>IFERROR(INDEX(Data!CZ$9:CZ$1273,MATCH($M111,Data!$K$9:$K$1273,0)),"")</f>
        <v/>
      </c>
      <c r="BD111" s="225" t="str">
        <f>IFERROR(INDEX(Data!DA$9:DA$1273,MATCH($M111,Data!$K$9:$K$1273,0)),"")</f>
        <v/>
      </c>
      <c r="BE111" s="225" t="str">
        <f>IFERROR(INDEX(Data!DB$9:DB$1273,MATCH($M111,Data!$K$9:$K$1273,0)),"")</f>
        <v/>
      </c>
      <c r="BF111" s="225" t="str">
        <f>IFERROR(INDEX(Data!DC$9:DC$1273,MATCH($M111,Data!$K$9:$K$1273,0)),"")</f>
        <v/>
      </c>
      <c r="BG111" s="225" t="str">
        <f>IFERROR(INDEX(Data!DD$9:DD$1273,MATCH($M111,Data!$K$9:$K$1273,0)),"")</f>
        <v/>
      </c>
      <c r="BH111" s="225" t="str">
        <f>IFERROR(INDEX(Data!DE$9:DE$1273,MATCH($M111,Data!$K$9:$K$1273,0)),"")</f>
        <v/>
      </c>
      <c r="BI111" s="225" t="str">
        <f>IFERROR(INDEX(Data!DF$9:DF$1273,MATCH($M111,Data!$K$9:$K$1273,0)),"")</f>
        <v/>
      </c>
      <c r="BJ111" s="225" t="str">
        <f>IFERROR(INDEX(Data!DG$9:DG$1273,MATCH($M111,Data!$K$9:$K$1273,0)),"")</f>
        <v/>
      </c>
      <c r="BK111" s="225" t="str">
        <f>IFERROR(INDEX(Data!DH$9:DH$1273,MATCH($M111,Data!$K$9:$K$1273,0)),"")</f>
        <v/>
      </c>
      <c r="BL111" s="225" t="str">
        <f>IFERROR(INDEX(Data!DI$9:DI$1273,MATCH($M111,Data!$K$9:$K$1273,0)),"")</f>
        <v/>
      </c>
      <c r="BM111" s="225" t="str">
        <f>IFERROR(INDEX(Data!DJ$9:DJ$1273,MATCH($M111,Data!$K$9:$K$1273,0)),"")</f>
        <v/>
      </c>
      <c r="BN111" s="225" t="str">
        <f>IFERROR(INDEX(Data!DK$9:DK$1273,MATCH($M111,Data!$K$9:$K$1273,0)),"")</f>
        <v/>
      </c>
      <c r="BO111" s="225" t="str">
        <f>IFERROR(INDEX(Data!DL$9:DL$1273,MATCH($M111,Data!$K$9:$K$1273,0)),"")</f>
        <v/>
      </c>
      <c r="BP111" s="243" t="str">
        <f t="shared" si="11"/>
        <v/>
      </c>
      <c r="BQ111" s="225" t="str">
        <f t="shared" si="12"/>
        <v xml:space="preserve"> </v>
      </c>
      <c r="BR111" s="225" t="str">
        <f t="shared" si="13"/>
        <v/>
      </c>
      <c r="BS111" s="225" t="str">
        <f>IFERROR(INDEX(Data!$DO$9:$DO$1273,MATCH('Your recommendation'!BR111,Data!$DN$9:$DN$1273,0)),"")</f>
        <v/>
      </c>
    </row>
    <row r="112" spans="2:71" ht="15.6" customHeight="1">
      <c r="B112" s="222" t="str">
        <f t="shared" si="14"/>
        <v/>
      </c>
      <c r="C112" s="223"/>
      <c r="D112" s="225" t="str">
        <f>IFERROR(INDEX(Data!BR$9:BR$1273,MATCH($M112,Data!$K$9:$K$1273,0)),"")</f>
        <v/>
      </c>
      <c r="E112" s="225" t="str">
        <f>IFERROR(INDEX(Data!BS$9:BS$1273,MATCH($M112,Data!$K$9:$K$1273,0)),"")</f>
        <v/>
      </c>
      <c r="F112" s="225" t="str">
        <f>IFERROR(INDEX(Data!DM$9:DM$1273,MATCH($M112,Data!$K$9:$K$1273,0)),"")</f>
        <v/>
      </c>
      <c r="G112" s="225" t="str">
        <f>IFERROR(INDEX(Data!BV$9:BV$1273,MATCH($M112,Data!$K$9:$K$1273,0)),"")</f>
        <v/>
      </c>
      <c r="H112" s="225" t="str">
        <f>IFERROR(INDEX(Data!BW$9:BW$1273,MATCH($M112,Data!$K$9:$K$1273,0)),"")</f>
        <v/>
      </c>
      <c r="I112" s="225" t="str">
        <f>IFERROR(INDEX(Data!BX$9:BX$1273,MATCH($M112,Data!$K$9:$K$1273,0)),"")</f>
        <v/>
      </c>
      <c r="J112" s="225" t="str">
        <f>IFERROR(INDEX(Data!CB$9:CB$1273,MATCH($M112,Data!$K$9:$K$1273,0)),"")</f>
        <v/>
      </c>
      <c r="K112" s="241" t="str">
        <f t="shared" si="9"/>
        <v/>
      </c>
      <c r="L112" s="242" t="str">
        <f t="shared" si="10"/>
        <v/>
      </c>
      <c r="M112" s="224"/>
      <c r="N112" s="224"/>
      <c r="O112" s="224" t="str">
        <f>IFERROR(INDEX(Data!M$9:M$1273,MATCH($M112,Data!$K$9:$K$1273,0)),"")</f>
        <v/>
      </c>
      <c r="P112" s="224" t="str">
        <f>IFERROR(INDEX(Data!N$9:N$1273,MATCH($M112,Data!$K$9:$K$1273,0)),"")</f>
        <v/>
      </c>
      <c r="Q112" s="224" t="str">
        <f>IFERROR(INDEX(Data!O$9:O$1273,MATCH($M112,Data!$K$9:$K$1273,0)),"")</f>
        <v/>
      </c>
      <c r="R112" s="224" t="str">
        <f>IFERROR(INDEX(Data!P$9:P$1273,MATCH($M112,Data!$K$9:$K$1273,0)),"")</f>
        <v/>
      </c>
      <c r="S112" s="224" t="str">
        <f>IFERROR(INDEX(Data!S$9:S$1273,MATCH($M112,Data!$K$9:$K$1273,0)),"")</f>
        <v/>
      </c>
      <c r="T112" s="224" t="str">
        <f>IFERROR(INDEX(Data!T$9:T$1273,MATCH($M112,Data!$K$9:$K$1273,0)),"")</f>
        <v/>
      </c>
      <c r="U112" s="224" t="str">
        <f>IFERROR(INDEX(Data!U$9:U$1273,MATCH($M112,Data!$K$9:$K$1273,0)),"")</f>
        <v/>
      </c>
      <c r="V112" s="224" t="str">
        <f>IFERROR(INDEX(Data!V$9:V$1273,MATCH($M112,Data!$K$9:$K$1273,0)),"")</f>
        <v/>
      </c>
      <c r="W112" s="224" t="str">
        <f>IFERROR(INDEX(Data!W$9:W$1273,MATCH($M112,Data!$K$9:$K$1273,0)),"")</f>
        <v/>
      </c>
      <c r="X112" s="224" t="str">
        <f>IFERROR(INDEX(Data!AJ$9:AJ$1273,MATCH($M112,Data!$K$9:$K$1273,0)),"")</f>
        <v/>
      </c>
      <c r="Y112" s="224" t="str">
        <f>IFERROR(INDEX(Data!AK$9:AK$1273,MATCH($M112,Data!$K$9:$K$1273,0)),"")</f>
        <v/>
      </c>
      <c r="Z112" s="224" t="str">
        <f>IFERROR(INDEX(Data!AL$9:AL$1273,MATCH($M112,Data!$K$9:$K$1273,0)),"")</f>
        <v/>
      </c>
      <c r="AA112" s="224" t="str">
        <f>IFERROR(INDEX(Data!AM$9:AM$1273,MATCH($M112,Data!$K$9:$K$1273,0)),"")</f>
        <v/>
      </c>
      <c r="AB112" s="224" t="str">
        <f>IFERROR(INDEX(Data!AN$9:AN$1273,MATCH($M112,Data!$K$9:$K$1273,0)),"")</f>
        <v/>
      </c>
      <c r="AC112" s="225" t="str">
        <f>IFERROR(INDEX(Data!BY$9:BY$1273,MATCH($M112,Data!$K$9:$K$1273,0)),"")</f>
        <v/>
      </c>
      <c r="AD112" s="225" t="str">
        <f>IFERROR(INDEX(Data!BZ$9:BZ$1273,MATCH($M112,Data!$K$9:$K$1273,0)),"")</f>
        <v/>
      </c>
      <c r="AE112" s="225" t="str">
        <f>IFERROR(INDEX(Data!CA$9:CA$1273,MATCH($M112,Data!$K$9:$K$1273,0)),"")</f>
        <v/>
      </c>
      <c r="AF112" s="225" t="str">
        <f>IFERROR(INDEX(Data!CB$9:CB$1273,MATCH($M112,Data!$K$9:$K$1273,0)),"")</f>
        <v/>
      </c>
      <c r="AG112" s="225" t="str">
        <f>IFERROR(INDEX(Data!CC$9:CC$1273,MATCH($M112,Data!$K$9:$K$1273,0)),"")</f>
        <v/>
      </c>
      <c r="AH112" s="225" t="str">
        <f>IFERROR(INDEX(Data!CD$9:CD$1273,MATCH($M112,Data!$K$9:$K$1273,0)),"")</f>
        <v/>
      </c>
      <c r="AI112" s="225" t="str">
        <f>IFERROR(INDEX(Data!CE$9:CE$1273,MATCH($M112,Data!$K$9:$K$1273,0)),"")</f>
        <v/>
      </c>
      <c r="AJ112" s="225" t="str">
        <f>IFERROR(INDEX(Data!CF$9:CF$1273,MATCH($M112,Data!$K$9:$K$1273,0)),"")</f>
        <v/>
      </c>
      <c r="AK112" s="225" t="str">
        <f>IFERROR(INDEX(Data!CG$9:CG$1273,MATCH($M112,Data!$K$9:$K$1273,0)),"")</f>
        <v/>
      </c>
      <c r="AL112" s="225" t="str">
        <f>IFERROR(INDEX(Data!CH$9:CH$1273,MATCH($M112,Data!$K$9:$K$1273,0)),"")</f>
        <v/>
      </c>
      <c r="AM112" s="225" t="str">
        <f>IFERROR(INDEX(Data!CI$9:CI$1273,MATCH($M112,Data!$K$9:$K$1273,0)),"")</f>
        <v/>
      </c>
      <c r="AN112" s="225" t="str">
        <f>IFERROR(INDEX(Data!CJ$9:CJ$1273,MATCH($M112,Data!$K$9:$K$1273,0)),"")</f>
        <v/>
      </c>
      <c r="AO112" s="225" t="str">
        <f>IFERROR(INDEX(Data!CK$9:CK$1273,MATCH($M112,Data!$K$9:$K$1273,0)),"")</f>
        <v/>
      </c>
      <c r="AP112" s="225" t="str">
        <f>IFERROR(INDEX(Data!CL$9:CL$1273,MATCH($M112,Data!$K$9:$K$1273,0)),"")</f>
        <v/>
      </c>
      <c r="AQ112" s="225" t="str">
        <f>IFERROR(INDEX(Data!CM$9:CM$1273,MATCH($M112,Data!$K$9:$K$1273,0)),"")</f>
        <v/>
      </c>
      <c r="AR112" s="225" t="str">
        <f>IFERROR(INDEX(Data!CN$9:CN$1273,MATCH($M112,Data!$K$9:$K$1273,0)),"")</f>
        <v/>
      </c>
      <c r="AS112" s="225" t="str">
        <f>IFERROR(INDEX(Data!CO$9:CO$1273,MATCH($M112,Data!$K$9:$K$1273,0)),"")</f>
        <v/>
      </c>
      <c r="AT112" s="225" t="str">
        <f>IFERROR(INDEX(Data!CP$9:CP$1273,MATCH($M112,Data!$K$9:$K$1273,0)),"")</f>
        <v/>
      </c>
      <c r="AU112" s="225" t="str">
        <f>IFERROR(INDEX(Data!CQ$9:CQ$1273,MATCH($M112,Data!$K$9:$K$1273,0)),"")</f>
        <v/>
      </c>
      <c r="AV112" s="225" t="str">
        <f>IFERROR(INDEX(Data!CR$9:CR$1273,MATCH($M112,Data!$K$9:$K$1273,0)),"")</f>
        <v/>
      </c>
      <c r="AW112" s="225" t="str">
        <f>IFERROR(INDEX(Data!CS$9:CS$1273,MATCH($M112,Data!$K$9:$K$1273,0)),"")</f>
        <v/>
      </c>
      <c r="AX112" s="225" t="str">
        <f>IFERROR(INDEX(Data!CT$9:CT$1273,MATCH($M112,Data!$K$9:$K$1273,0)),"")</f>
        <v/>
      </c>
      <c r="AY112" s="225" t="str">
        <f>IFERROR(INDEX(Data!CU$9:CU$1273,MATCH($M112,Data!$K$9:$K$1273,0)),"")</f>
        <v/>
      </c>
      <c r="AZ112" s="225" t="str">
        <f>IFERROR(INDEX(Data!CV$9:CV$1273,MATCH($M112,Data!$K$9:$K$1273,0)),"")</f>
        <v/>
      </c>
      <c r="BA112" s="225" t="str">
        <f>IFERROR(INDEX(Data!CX$9:CX$1273,MATCH($M112,Data!$K$9:$K$1273,0)),"")</f>
        <v/>
      </c>
      <c r="BB112" s="225" t="str">
        <f>IFERROR(INDEX(Data!CY$9:CY$1273,MATCH($M112,Data!$K$9:$K$1273,0)),"")</f>
        <v/>
      </c>
      <c r="BC112" s="225" t="str">
        <f>IFERROR(INDEX(Data!CZ$9:CZ$1273,MATCH($M112,Data!$K$9:$K$1273,0)),"")</f>
        <v/>
      </c>
      <c r="BD112" s="225" t="str">
        <f>IFERROR(INDEX(Data!DA$9:DA$1273,MATCH($M112,Data!$K$9:$K$1273,0)),"")</f>
        <v/>
      </c>
      <c r="BE112" s="225" t="str">
        <f>IFERROR(INDEX(Data!DB$9:DB$1273,MATCH($M112,Data!$K$9:$K$1273,0)),"")</f>
        <v/>
      </c>
      <c r="BF112" s="225" t="str">
        <f>IFERROR(INDEX(Data!DC$9:DC$1273,MATCH($M112,Data!$K$9:$K$1273,0)),"")</f>
        <v/>
      </c>
      <c r="BG112" s="225" t="str">
        <f>IFERROR(INDEX(Data!DD$9:DD$1273,MATCH($M112,Data!$K$9:$K$1273,0)),"")</f>
        <v/>
      </c>
      <c r="BH112" s="225" t="str">
        <f>IFERROR(INDEX(Data!DE$9:DE$1273,MATCH($M112,Data!$K$9:$K$1273,0)),"")</f>
        <v/>
      </c>
      <c r="BI112" s="225" t="str">
        <f>IFERROR(INDEX(Data!DF$9:DF$1273,MATCH($M112,Data!$K$9:$K$1273,0)),"")</f>
        <v/>
      </c>
      <c r="BJ112" s="225" t="str">
        <f>IFERROR(INDEX(Data!DG$9:DG$1273,MATCH($M112,Data!$K$9:$K$1273,0)),"")</f>
        <v/>
      </c>
      <c r="BK112" s="225" t="str">
        <f>IFERROR(INDEX(Data!DH$9:DH$1273,MATCH($M112,Data!$K$9:$K$1273,0)),"")</f>
        <v/>
      </c>
      <c r="BL112" s="225" t="str">
        <f>IFERROR(INDEX(Data!DI$9:DI$1273,MATCH($M112,Data!$K$9:$K$1273,0)),"")</f>
        <v/>
      </c>
      <c r="BM112" s="225" t="str">
        <f>IFERROR(INDEX(Data!DJ$9:DJ$1273,MATCH($M112,Data!$K$9:$K$1273,0)),"")</f>
        <v/>
      </c>
      <c r="BN112" s="225" t="str">
        <f>IFERROR(INDEX(Data!DK$9:DK$1273,MATCH($M112,Data!$K$9:$K$1273,0)),"")</f>
        <v/>
      </c>
      <c r="BO112" s="225" t="str">
        <f>IFERROR(INDEX(Data!DL$9:DL$1273,MATCH($M112,Data!$K$9:$K$1273,0)),"")</f>
        <v/>
      </c>
      <c r="BP112" s="243" t="str">
        <f t="shared" si="11"/>
        <v/>
      </c>
      <c r="BQ112" s="225" t="str">
        <f t="shared" si="12"/>
        <v xml:space="preserve"> </v>
      </c>
      <c r="BR112" s="225" t="str">
        <f t="shared" si="13"/>
        <v/>
      </c>
      <c r="BS112" s="225" t="str">
        <f>IFERROR(INDEX(Data!$DO$9:$DO$1273,MATCH('Your recommendation'!BR112,Data!$DN$9:$DN$1273,0)),"")</f>
        <v/>
      </c>
    </row>
    <row r="113" spans="2:71" ht="15.6" customHeight="1">
      <c r="B113" s="222" t="str">
        <f t="shared" si="14"/>
        <v/>
      </c>
      <c r="C113" s="223"/>
      <c r="D113" s="225" t="str">
        <f>IFERROR(INDEX(Data!BR$9:BR$1273,MATCH($M113,Data!$K$9:$K$1273,0)),"")</f>
        <v/>
      </c>
      <c r="E113" s="225" t="str">
        <f>IFERROR(INDEX(Data!BS$9:BS$1273,MATCH($M113,Data!$K$9:$K$1273,0)),"")</f>
        <v/>
      </c>
      <c r="F113" s="225" t="str">
        <f>IFERROR(INDEX(Data!DM$9:DM$1273,MATCH($M113,Data!$K$9:$K$1273,0)),"")</f>
        <v/>
      </c>
      <c r="G113" s="225" t="str">
        <f>IFERROR(INDEX(Data!BV$9:BV$1273,MATCH($M113,Data!$K$9:$K$1273,0)),"")</f>
        <v/>
      </c>
      <c r="H113" s="225" t="str">
        <f>IFERROR(INDEX(Data!BW$9:BW$1273,MATCH($M113,Data!$K$9:$K$1273,0)),"")</f>
        <v/>
      </c>
      <c r="I113" s="225" t="str">
        <f>IFERROR(INDEX(Data!BX$9:BX$1273,MATCH($M113,Data!$K$9:$K$1273,0)),"")</f>
        <v/>
      </c>
      <c r="J113" s="225" t="str">
        <f>IFERROR(INDEX(Data!CB$9:CB$1273,MATCH($M113,Data!$K$9:$K$1273,0)),"")</f>
        <v/>
      </c>
      <c r="K113" s="241" t="str">
        <f t="shared" si="9"/>
        <v/>
      </c>
      <c r="L113" s="242" t="str">
        <f t="shared" si="10"/>
        <v/>
      </c>
      <c r="M113" s="224"/>
      <c r="N113" s="224"/>
      <c r="O113" s="224" t="str">
        <f>IFERROR(INDEX(Data!M$9:M$1273,MATCH($M113,Data!$K$9:$K$1273,0)),"")</f>
        <v/>
      </c>
      <c r="P113" s="224" t="str">
        <f>IFERROR(INDEX(Data!N$9:N$1273,MATCH($M113,Data!$K$9:$K$1273,0)),"")</f>
        <v/>
      </c>
      <c r="Q113" s="224" t="str">
        <f>IFERROR(INDEX(Data!O$9:O$1273,MATCH($M113,Data!$K$9:$K$1273,0)),"")</f>
        <v/>
      </c>
      <c r="R113" s="224" t="str">
        <f>IFERROR(INDEX(Data!P$9:P$1273,MATCH($M113,Data!$K$9:$K$1273,0)),"")</f>
        <v/>
      </c>
      <c r="S113" s="224" t="str">
        <f>IFERROR(INDEX(Data!S$9:S$1273,MATCH($M113,Data!$K$9:$K$1273,0)),"")</f>
        <v/>
      </c>
      <c r="T113" s="224" t="str">
        <f>IFERROR(INDEX(Data!T$9:T$1273,MATCH($M113,Data!$K$9:$K$1273,0)),"")</f>
        <v/>
      </c>
      <c r="U113" s="224" t="str">
        <f>IFERROR(INDEX(Data!U$9:U$1273,MATCH($M113,Data!$K$9:$K$1273,0)),"")</f>
        <v/>
      </c>
      <c r="V113" s="224" t="str">
        <f>IFERROR(INDEX(Data!V$9:V$1273,MATCH($M113,Data!$K$9:$K$1273,0)),"")</f>
        <v/>
      </c>
      <c r="W113" s="224" t="str">
        <f>IFERROR(INDEX(Data!W$9:W$1273,MATCH($M113,Data!$K$9:$K$1273,0)),"")</f>
        <v/>
      </c>
      <c r="X113" s="224" t="str">
        <f>IFERROR(INDEX(Data!AJ$9:AJ$1273,MATCH($M113,Data!$K$9:$K$1273,0)),"")</f>
        <v/>
      </c>
      <c r="Y113" s="224" t="str">
        <f>IFERROR(INDEX(Data!AK$9:AK$1273,MATCH($M113,Data!$K$9:$K$1273,0)),"")</f>
        <v/>
      </c>
      <c r="Z113" s="224" t="str">
        <f>IFERROR(INDEX(Data!AL$9:AL$1273,MATCH($M113,Data!$K$9:$K$1273,0)),"")</f>
        <v/>
      </c>
      <c r="AA113" s="224" t="str">
        <f>IFERROR(INDEX(Data!AM$9:AM$1273,MATCH($M113,Data!$K$9:$K$1273,0)),"")</f>
        <v/>
      </c>
      <c r="AB113" s="224" t="str">
        <f>IFERROR(INDEX(Data!AN$9:AN$1273,MATCH($M113,Data!$K$9:$K$1273,0)),"")</f>
        <v/>
      </c>
      <c r="AC113" s="225" t="str">
        <f>IFERROR(INDEX(Data!BY$9:BY$1273,MATCH($M113,Data!$K$9:$K$1273,0)),"")</f>
        <v/>
      </c>
      <c r="AD113" s="225" t="str">
        <f>IFERROR(INDEX(Data!BZ$9:BZ$1273,MATCH($M113,Data!$K$9:$K$1273,0)),"")</f>
        <v/>
      </c>
      <c r="AE113" s="225" t="str">
        <f>IFERROR(INDEX(Data!CA$9:CA$1273,MATCH($M113,Data!$K$9:$K$1273,0)),"")</f>
        <v/>
      </c>
      <c r="AF113" s="225" t="str">
        <f>IFERROR(INDEX(Data!CB$9:CB$1273,MATCH($M113,Data!$K$9:$K$1273,0)),"")</f>
        <v/>
      </c>
      <c r="AG113" s="225" t="str">
        <f>IFERROR(INDEX(Data!CC$9:CC$1273,MATCH($M113,Data!$K$9:$K$1273,0)),"")</f>
        <v/>
      </c>
      <c r="AH113" s="225" t="str">
        <f>IFERROR(INDEX(Data!CD$9:CD$1273,MATCH($M113,Data!$K$9:$K$1273,0)),"")</f>
        <v/>
      </c>
      <c r="AI113" s="225" t="str">
        <f>IFERROR(INDEX(Data!CE$9:CE$1273,MATCH($M113,Data!$K$9:$K$1273,0)),"")</f>
        <v/>
      </c>
      <c r="AJ113" s="225" t="str">
        <f>IFERROR(INDEX(Data!CF$9:CF$1273,MATCH($M113,Data!$K$9:$K$1273,0)),"")</f>
        <v/>
      </c>
      <c r="AK113" s="225" t="str">
        <f>IFERROR(INDEX(Data!CG$9:CG$1273,MATCH($M113,Data!$K$9:$K$1273,0)),"")</f>
        <v/>
      </c>
      <c r="AL113" s="225" t="str">
        <f>IFERROR(INDEX(Data!CH$9:CH$1273,MATCH($M113,Data!$K$9:$K$1273,0)),"")</f>
        <v/>
      </c>
      <c r="AM113" s="225" t="str">
        <f>IFERROR(INDEX(Data!CI$9:CI$1273,MATCH($M113,Data!$K$9:$K$1273,0)),"")</f>
        <v/>
      </c>
      <c r="AN113" s="225" t="str">
        <f>IFERROR(INDEX(Data!CJ$9:CJ$1273,MATCH($M113,Data!$K$9:$K$1273,0)),"")</f>
        <v/>
      </c>
      <c r="AO113" s="225" t="str">
        <f>IFERROR(INDEX(Data!CK$9:CK$1273,MATCH($M113,Data!$K$9:$K$1273,0)),"")</f>
        <v/>
      </c>
      <c r="AP113" s="225" t="str">
        <f>IFERROR(INDEX(Data!CL$9:CL$1273,MATCH($M113,Data!$K$9:$K$1273,0)),"")</f>
        <v/>
      </c>
      <c r="AQ113" s="225" t="str">
        <f>IFERROR(INDEX(Data!CM$9:CM$1273,MATCH($M113,Data!$K$9:$K$1273,0)),"")</f>
        <v/>
      </c>
      <c r="AR113" s="225" t="str">
        <f>IFERROR(INDEX(Data!CN$9:CN$1273,MATCH($M113,Data!$K$9:$K$1273,0)),"")</f>
        <v/>
      </c>
      <c r="AS113" s="225" t="str">
        <f>IFERROR(INDEX(Data!CO$9:CO$1273,MATCH($M113,Data!$K$9:$K$1273,0)),"")</f>
        <v/>
      </c>
      <c r="AT113" s="225" t="str">
        <f>IFERROR(INDEX(Data!CP$9:CP$1273,MATCH($M113,Data!$K$9:$K$1273,0)),"")</f>
        <v/>
      </c>
      <c r="AU113" s="225" t="str">
        <f>IFERROR(INDEX(Data!CQ$9:CQ$1273,MATCH($M113,Data!$K$9:$K$1273,0)),"")</f>
        <v/>
      </c>
      <c r="AV113" s="225" t="str">
        <f>IFERROR(INDEX(Data!CR$9:CR$1273,MATCH($M113,Data!$K$9:$K$1273,0)),"")</f>
        <v/>
      </c>
      <c r="AW113" s="225" t="str">
        <f>IFERROR(INDEX(Data!CS$9:CS$1273,MATCH($M113,Data!$K$9:$K$1273,0)),"")</f>
        <v/>
      </c>
      <c r="AX113" s="225" t="str">
        <f>IFERROR(INDEX(Data!CT$9:CT$1273,MATCH($M113,Data!$K$9:$K$1273,0)),"")</f>
        <v/>
      </c>
      <c r="AY113" s="225" t="str">
        <f>IFERROR(INDEX(Data!CU$9:CU$1273,MATCH($M113,Data!$K$9:$K$1273,0)),"")</f>
        <v/>
      </c>
      <c r="AZ113" s="225" t="str">
        <f>IFERROR(INDEX(Data!CV$9:CV$1273,MATCH($M113,Data!$K$9:$K$1273,0)),"")</f>
        <v/>
      </c>
      <c r="BA113" s="225" t="str">
        <f>IFERROR(INDEX(Data!CX$9:CX$1273,MATCH($M113,Data!$K$9:$K$1273,0)),"")</f>
        <v/>
      </c>
      <c r="BB113" s="225" t="str">
        <f>IFERROR(INDEX(Data!CY$9:CY$1273,MATCH($M113,Data!$K$9:$K$1273,0)),"")</f>
        <v/>
      </c>
      <c r="BC113" s="225" t="str">
        <f>IFERROR(INDEX(Data!CZ$9:CZ$1273,MATCH($M113,Data!$K$9:$K$1273,0)),"")</f>
        <v/>
      </c>
      <c r="BD113" s="225" t="str">
        <f>IFERROR(INDEX(Data!DA$9:DA$1273,MATCH($M113,Data!$K$9:$K$1273,0)),"")</f>
        <v/>
      </c>
      <c r="BE113" s="225" t="str">
        <f>IFERROR(INDEX(Data!DB$9:DB$1273,MATCH($M113,Data!$K$9:$K$1273,0)),"")</f>
        <v/>
      </c>
      <c r="BF113" s="225" t="str">
        <f>IFERROR(INDEX(Data!DC$9:DC$1273,MATCH($M113,Data!$K$9:$K$1273,0)),"")</f>
        <v/>
      </c>
      <c r="BG113" s="225" t="str">
        <f>IFERROR(INDEX(Data!DD$9:DD$1273,MATCH($M113,Data!$K$9:$K$1273,0)),"")</f>
        <v/>
      </c>
      <c r="BH113" s="225" t="str">
        <f>IFERROR(INDEX(Data!DE$9:DE$1273,MATCH($M113,Data!$K$9:$K$1273,0)),"")</f>
        <v/>
      </c>
      <c r="BI113" s="225" t="str">
        <f>IFERROR(INDEX(Data!DF$9:DF$1273,MATCH($M113,Data!$K$9:$K$1273,0)),"")</f>
        <v/>
      </c>
      <c r="BJ113" s="225" t="str">
        <f>IFERROR(INDEX(Data!DG$9:DG$1273,MATCH($M113,Data!$K$9:$K$1273,0)),"")</f>
        <v/>
      </c>
      <c r="BK113" s="225" t="str">
        <f>IFERROR(INDEX(Data!DH$9:DH$1273,MATCH($M113,Data!$K$9:$K$1273,0)),"")</f>
        <v/>
      </c>
      <c r="BL113" s="225" t="str">
        <f>IFERROR(INDEX(Data!DI$9:DI$1273,MATCH($M113,Data!$K$9:$K$1273,0)),"")</f>
        <v/>
      </c>
      <c r="BM113" s="225" t="str">
        <f>IFERROR(INDEX(Data!DJ$9:DJ$1273,MATCH($M113,Data!$K$9:$K$1273,0)),"")</f>
        <v/>
      </c>
      <c r="BN113" s="225" t="str">
        <f>IFERROR(INDEX(Data!DK$9:DK$1273,MATCH($M113,Data!$K$9:$K$1273,0)),"")</f>
        <v/>
      </c>
      <c r="BO113" s="225" t="str">
        <f>IFERROR(INDEX(Data!DL$9:DL$1273,MATCH($M113,Data!$K$9:$K$1273,0)),"")</f>
        <v/>
      </c>
      <c r="BP113" s="243" t="str">
        <f t="shared" si="11"/>
        <v/>
      </c>
      <c r="BQ113" s="225" t="str">
        <f t="shared" si="12"/>
        <v xml:space="preserve"> </v>
      </c>
      <c r="BR113" s="225" t="str">
        <f t="shared" si="13"/>
        <v/>
      </c>
      <c r="BS113" s="225" t="str">
        <f>IFERROR(INDEX(Data!$DO$9:$DO$1273,MATCH('Your recommendation'!BR113,Data!$DN$9:$DN$1273,0)),"")</f>
        <v/>
      </c>
    </row>
    <row r="114" spans="2:71" ht="15.6" customHeight="1">
      <c r="B114" s="222" t="str">
        <f t="shared" si="14"/>
        <v/>
      </c>
      <c r="C114" s="223"/>
      <c r="D114" s="225" t="str">
        <f>IFERROR(INDEX(Data!BR$9:BR$1273,MATCH($M114,Data!$K$9:$K$1273,0)),"")</f>
        <v/>
      </c>
      <c r="E114" s="225" t="str">
        <f>IFERROR(INDEX(Data!BS$9:BS$1273,MATCH($M114,Data!$K$9:$K$1273,0)),"")</f>
        <v/>
      </c>
      <c r="F114" s="225" t="str">
        <f>IFERROR(INDEX(Data!DM$9:DM$1273,MATCH($M114,Data!$K$9:$K$1273,0)),"")</f>
        <v/>
      </c>
      <c r="G114" s="225" t="str">
        <f>IFERROR(INDEX(Data!BV$9:BV$1273,MATCH($M114,Data!$K$9:$K$1273,0)),"")</f>
        <v/>
      </c>
      <c r="H114" s="225" t="str">
        <f>IFERROR(INDEX(Data!BW$9:BW$1273,MATCH($M114,Data!$K$9:$K$1273,0)),"")</f>
        <v/>
      </c>
      <c r="I114" s="225" t="str">
        <f>IFERROR(INDEX(Data!BX$9:BX$1273,MATCH($M114,Data!$K$9:$K$1273,0)),"")</f>
        <v/>
      </c>
      <c r="J114" s="225" t="str">
        <f>IFERROR(INDEX(Data!CB$9:CB$1273,MATCH($M114,Data!$K$9:$K$1273,0)),"")</f>
        <v/>
      </c>
      <c r="K114" s="241" t="str">
        <f t="shared" si="9"/>
        <v/>
      </c>
      <c r="L114" s="242" t="str">
        <f t="shared" si="10"/>
        <v/>
      </c>
      <c r="M114" s="224"/>
      <c r="N114" s="224"/>
      <c r="O114" s="224" t="str">
        <f>IFERROR(INDEX(Data!M$9:M$1273,MATCH($M114,Data!$K$9:$K$1273,0)),"")</f>
        <v/>
      </c>
      <c r="P114" s="224" t="str">
        <f>IFERROR(INDEX(Data!N$9:N$1273,MATCH($M114,Data!$K$9:$K$1273,0)),"")</f>
        <v/>
      </c>
      <c r="Q114" s="224" t="str">
        <f>IFERROR(INDEX(Data!O$9:O$1273,MATCH($M114,Data!$K$9:$K$1273,0)),"")</f>
        <v/>
      </c>
      <c r="R114" s="224" t="str">
        <f>IFERROR(INDEX(Data!P$9:P$1273,MATCH($M114,Data!$K$9:$K$1273,0)),"")</f>
        <v/>
      </c>
      <c r="S114" s="224" t="str">
        <f>IFERROR(INDEX(Data!S$9:S$1273,MATCH($M114,Data!$K$9:$K$1273,0)),"")</f>
        <v/>
      </c>
      <c r="T114" s="224" t="str">
        <f>IFERROR(INDEX(Data!T$9:T$1273,MATCH($M114,Data!$K$9:$K$1273,0)),"")</f>
        <v/>
      </c>
      <c r="U114" s="224" t="str">
        <f>IFERROR(INDEX(Data!U$9:U$1273,MATCH($M114,Data!$K$9:$K$1273,0)),"")</f>
        <v/>
      </c>
      <c r="V114" s="224" t="str">
        <f>IFERROR(INDEX(Data!V$9:V$1273,MATCH($M114,Data!$K$9:$K$1273,0)),"")</f>
        <v/>
      </c>
      <c r="W114" s="224" t="str">
        <f>IFERROR(INDEX(Data!W$9:W$1273,MATCH($M114,Data!$K$9:$K$1273,0)),"")</f>
        <v/>
      </c>
      <c r="X114" s="224" t="str">
        <f>IFERROR(INDEX(Data!AJ$9:AJ$1273,MATCH($M114,Data!$K$9:$K$1273,0)),"")</f>
        <v/>
      </c>
      <c r="Y114" s="224" t="str">
        <f>IFERROR(INDEX(Data!AK$9:AK$1273,MATCH($M114,Data!$K$9:$K$1273,0)),"")</f>
        <v/>
      </c>
      <c r="Z114" s="224" t="str">
        <f>IFERROR(INDEX(Data!AL$9:AL$1273,MATCH($M114,Data!$K$9:$K$1273,0)),"")</f>
        <v/>
      </c>
      <c r="AA114" s="224" t="str">
        <f>IFERROR(INDEX(Data!AM$9:AM$1273,MATCH($M114,Data!$K$9:$K$1273,0)),"")</f>
        <v/>
      </c>
      <c r="AB114" s="224" t="str">
        <f>IFERROR(INDEX(Data!AN$9:AN$1273,MATCH($M114,Data!$K$9:$K$1273,0)),"")</f>
        <v/>
      </c>
      <c r="AC114" s="225" t="str">
        <f>IFERROR(INDEX(Data!BY$9:BY$1273,MATCH($M114,Data!$K$9:$K$1273,0)),"")</f>
        <v/>
      </c>
      <c r="AD114" s="225" t="str">
        <f>IFERROR(INDEX(Data!BZ$9:BZ$1273,MATCH($M114,Data!$K$9:$K$1273,0)),"")</f>
        <v/>
      </c>
      <c r="AE114" s="225" t="str">
        <f>IFERROR(INDEX(Data!CA$9:CA$1273,MATCH($M114,Data!$K$9:$K$1273,0)),"")</f>
        <v/>
      </c>
      <c r="AF114" s="225" t="str">
        <f>IFERROR(INDEX(Data!CB$9:CB$1273,MATCH($M114,Data!$K$9:$K$1273,0)),"")</f>
        <v/>
      </c>
      <c r="AG114" s="225" t="str">
        <f>IFERROR(INDEX(Data!CC$9:CC$1273,MATCH($M114,Data!$K$9:$K$1273,0)),"")</f>
        <v/>
      </c>
      <c r="AH114" s="225" t="str">
        <f>IFERROR(INDEX(Data!CD$9:CD$1273,MATCH($M114,Data!$K$9:$K$1273,0)),"")</f>
        <v/>
      </c>
      <c r="AI114" s="225" t="str">
        <f>IFERROR(INDEX(Data!CE$9:CE$1273,MATCH($M114,Data!$K$9:$K$1273,0)),"")</f>
        <v/>
      </c>
      <c r="AJ114" s="225" t="str">
        <f>IFERROR(INDEX(Data!CF$9:CF$1273,MATCH($M114,Data!$K$9:$K$1273,0)),"")</f>
        <v/>
      </c>
      <c r="AK114" s="225" t="str">
        <f>IFERROR(INDEX(Data!CG$9:CG$1273,MATCH($M114,Data!$K$9:$K$1273,0)),"")</f>
        <v/>
      </c>
      <c r="AL114" s="225" t="str">
        <f>IFERROR(INDEX(Data!CH$9:CH$1273,MATCH($M114,Data!$K$9:$K$1273,0)),"")</f>
        <v/>
      </c>
      <c r="AM114" s="225" t="str">
        <f>IFERROR(INDEX(Data!CI$9:CI$1273,MATCH($M114,Data!$K$9:$K$1273,0)),"")</f>
        <v/>
      </c>
      <c r="AN114" s="225" t="str">
        <f>IFERROR(INDEX(Data!CJ$9:CJ$1273,MATCH($M114,Data!$K$9:$K$1273,0)),"")</f>
        <v/>
      </c>
      <c r="AO114" s="225" t="str">
        <f>IFERROR(INDEX(Data!CK$9:CK$1273,MATCH($M114,Data!$K$9:$K$1273,0)),"")</f>
        <v/>
      </c>
      <c r="AP114" s="225" t="str">
        <f>IFERROR(INDEX(Data!CL$9:CL$1273,MATCH($M114,Data!$K$9:$K$1273,0)),"")</f>
        <v/>
      </c>
      <c r="AQ114" s="225" t="str">
        <f>IFERROR(INDEX(Data!CM$9:CM$1273,MATCH($M114,Data!$K$9:$K$1273,0)),"")</f>
        <v/>
      </c>
      <c r="AR114" s="225" t="str">
        <f>IFERROR(INDEX(Data!CN$9:CN$1273,MATCH($M114,Data!$K$9:$K$1273,0)),"")</f>
        <v/>
      </c>
      <c r="AS114" s="225" t="str">
        <f>IFERROR(INDEX(Data!CO$9:CO$1273,MATCH($M114,Data!$K$9:$K$1273,0)),"")</f>
        <v/>
      </c>
      <c r="AT114" s="225" t="str">
        <f>IFERROR(INDEX(Data!CP$9:CP$1273,MATCH($M114,Data!$K$9:$K$1273,0)),"")</f>
        <v/>
      </c>
      <c r="AU114" s="225" t="str">
        <f>IFERROR(INDEX(Data!CQ$9:CQ$1273,MATCH($M114,Data!$K$9:$K$1273,0)),"")</f>
        <v/>
      </c>
      <c r="AV114" s="225" t="str">
        <f>IFERROR(INDEX(Data!CR$9:CR$1273,MATCH($M114,Data!$K$9:$K$1273,0)),"")</f>
        <v/>
      </c>
      <c r="AW114" s="225" t="str">
        <f>IFERROR(INDEX(Data!CS$9:CS$1273,MATCH($M114,Data!$K$9:$K$1273,0)),"")</f>
        <v/>
      </c>
      <c r="AX114" s="225" t="str">
        <f>IFERROR(INDEX(Data!CT$9:CT$1273,MATCH($M114,Data!$K$9:$K$1273,0)),"")</f>
        <v/>
      </c>
      <c r="AY114" s="225" t="str">
        <f>IFERROR(INDEX(Data!CU$9:CU$1273,MATCH($M114,Data!$K$9:$K$1273,0)),"")</f>
        <v/>
      </c>
      <c r="AZ114" s="225" t="str">
        <f>IFERROR(INDEX(Data!CV$9:CV$1273,MATCH($M114,Data!$K$9:$K$1273,0)),"")</f>
        <v/>
      </c>
      <c r="BA114" s="225" t="str">
        <f>IFERROR(INDEX(Data!CX$9:CX$1273,MATCH($M114,Data!$K$9:$K$1273,0)),"")</f>
        <v/>
      </c>
      <c r="BB114" s="225" t="str">
        <f>IFERROR(INDEX(Data!CY$9:CY$1273,MATCH($M114,Data!$K$9:$K$1273,0)),"")</f>
        <v/>
      </c>
      <c r="BC114" s="225" t="str">
        <f>IFERROR(INDEX(Data!CZ$9:CZ$1273,MATCH($M114,Data!$K$9:$K$1273,0)),"")</f>
        <v/>
      </c>
      <c r="BD114" s="225" t="str">
        <f>IFERROR(INDEX(Data!DA$9:DA$1273,MATCH($M114,Data!$K$9:$K$1273,0)),"")</f>
        <v/>
      </c>
      <c r="BE114" s="225" t="str">
        <f>IFERROR(INDEX(Data!DB$9:DB$1273,MATCH($M114,Data!$K$9:$K$1273,0)),"")</f>
        <v/>
      </c>
      <c r="BF114" s="225" t="str">
        <f>IFERROR(INDEX(Data!DC$9:DC$1273,MATCH($M114,Data!$K$9:$K$1273,0)),"")</f>
        <v/>
      </c>
      <c r="BG114" s="225" t="str">
        <f>IFERROR(INDEX(Data!DD$9:DD$1273,MATCH($M114,Data!$K$9:$K$1273,0)),"")</f>
        <v/>
      </c>
      <c r="BH114" s="225" t="str">
        <f>IFERROR(INDEX(Data!DE$9:DE$1273,MATCH($M114,Data!$K$9:$K$1273,0)),"")</f>
        <v/>
      </c>
      <c r="BI114" s="225" t="str">
        <f>IFERROR(INDEX(Data!DF$9:DF$1273,MATCH($M114,Data!$K$9:$K$1273,0)),"")</f>
        <v/>
      </c>
      <c r="BJ114" s="225" t="str">
        <f>IFERROR(INDEX(Data!DG$9:DG$1273,MATCH($M114,Data!$K$9:$K$1273,0)),"")</f>
        <v/>
      </c>
      <c r="BK114" s="225" t="str">
        <f>IFERROR(INDEX(Data!DH$9:DH$1273,MATCH($M114,Data!$K$9:$K$1273,0)),"")</f>
        <v/>
      </c>
      <c r="BL114" s="225" t="str">
        <f>IFERROR(INDEX(Data!DI$9:DI$1273,MATCH($M114,Data!$K$9:$K$1273,0)),"")</f>
        <v/>
      </c>
      <c r="BM114" s="225" t="str">
        <f>IFERROR(INDEX(Data!DJ$9:DJ$1273,MATCH($M114,Data!$K$9:$K$1273,0)),"")</f>
        <v/>
      </c>
      <c r="BN114" s="225" t="str">
        <f>IFERROR(INDEX(Data!DK$9:DK$1273,MATCH($M114,Data!$K$9:$K$1273,0)),"")</f>
        <v/>
      </c>
      <c r="BO114" s="225" t="str">
        <f>IFERROR(INDEX(Data!DL$9:DL$1273,MATCH($M114,Data!$K$9:$K$1273,0)),"")</f>
        <v/>
      </c>
      <c r="BP114" s="243" t="str">
        <f t="shared" si="11"/>
        <v/>
      </c>
      <c r="BQ114" s="225" t="str">
        <f t="shared" si="12"/>
        <v xml:space="preserve"> </v>
      </c>
      <c r="BR114" s="225" t="str">
        <f t="shared" si="13"/>
        <v/>
      </c>
      <c r="BS114" s="225" t="str">
        <f>IFERROR(INDEX(Data!$DO$9:$DO$1273,MATCH('Your recommendation'!BR114,Data!$DN$9:$DN$1273,0)),"")</f>
        <v/>
      </c>
    </row>
    <row r="115" spans="2:71" ht="15.6" customHeight="1">
      <c r="B115" s="222" t="str">
        <f t="shared" si="14"/>
        <v/>
      </c>
      <c r="C115" s="223"/>
      <c r="D115" s="225" t="str">
        <f>IFERROR(INDEX(Data!BR$9:BR$1273,MATCH($M115,Data!$K$9:$K$1273,0)),"")</f>
        <v/>
      </c>
      <c r="E115" s="225" t="str">
        <f>IFERROR(INDEX(Data!BS$9:BS$1273,MATCH($M115,Data!$K$9:$K$1273,0)),"")</f>
        <v/>
      </c>
      <c r="F115" s="225" t="str">
        <f>IFERROR(INDEX(Data!DM$9:DM$1273,MATCH($M115,Data!$K$9:$K$1273,0)),"")</f>
        <v/>
      </c>
      <c r="G115" s="225" t="str">
        <f>IFERROR(INDEX(Data!BV$9:BV$1273,MATCH($M115,Data!$K$9:$K$1273,0)),"")</f>
        <v/>
      </c>
      <c r="H115" s="225" t="str">
        <f>IFERROR(INDEX(Data!BW$9:BW$1273,MATCH($M115,Data!$K$9:$K$1273,0)),"")</f>
        <v/>
      </c>
      <c r="I115" s="225" t="str">
        <f>IFERROR(INDEX(Data!BX$9:BX$1273,MATCH($M115,Data!$K$9:$K$1273,0)),"")</f>
        <v/>
      </c>
      <c r="J115" s="225" t="str">
        <f>IFERROR(INDEX(Data!CB$9:CB$1273,MATCH($M115,Data!$K$9:$K$1273,0)),"")</f>
        <v/>
      </c>
      <c r="K115" s="241" t="str">
        <f t="shared" si="9"/>
        <v/>
      </c>
      <c r="L115" s="242" t="str">
        <f t="shared" si="10"/>
        <v/>
      </c>
      <c r="M115" s="224"/>
      <c r="N115" s="224"/>
      <c r="O115" s="224" t="str">
        <f>IFERROR(INDEX(Data!M$9:M$1273,MATCH($M115,Data!$K$9:$K$1273,0)),"")</f>
        <v/>
      </c>
      <c r="P115" s="224" t="str">
        <f>IFERROR(INDEX(Data!N$9:N$1273,MATCH($M115,Data!$K$9:$K$1273,0)),"")</f>
        <v/>
      </c>
      <c r="Q115" s="224" t="str">
        <f>IFERROR(INDEX(Data!O$9:O$1273,MATCH($M115,Data!$K$9:$K$1273,0)),"")</f>
        <v/>
      </c>
      <c r="R115" s="224" t="str">
        <f>IFERROR(INDEX(Data!P$9:P$1273,MATCH($M115,Data!$K$9:$K$1273,0)),"")</f>
        <v/>
      </c>
      <c r="S115" s="224" t="str">
        <f>IFERROR(INDEX(Data!S$9:S$1273,MATCH($M115,Data!$K$9:$K$1273,0)),"")</f>
        <v/>
      </c>
      <c r="T115" s="224" t="str">
        <f>IFERROR(INDEX(Data!T$9:T$1273,MATCH($M115,Data!$K$9:$K$1273,0)),"")</f>
        <v/>
      </c>
      <c r="U115" s="224" t="str">
        <f>IFERROR(INDEX(Data!U$9:U$1273,MATCH($M115,Data!$K$9:$K$1273,0)),"")</f>
        <v/>
      </c>
      <c r="V115" s="224" t="str">
        <f>IFERROR(INDEX(Data!V$9:V$1273,MATCH($M115,Data!$K$9:$K$1273,0)),"")</f>
        <v/>
      </c>
      <c r="W115" s="224" t="str">
        <f>IFERROR(INDEX(Data!W$9:W$1273,MATCH($M115,Data!$K$9:$K$1273,0)),"")</f>
        <v/>
      </c>
      <c r="X115" s="224" t="str">
        <f>IFERROR(INDEX(Data!AJ$9:AJ$1273,MATCH($M115,Data!$K$9:$K$1273,0)),"")</f>
        <v/>
      </c>
      <c r="Y115" s="224" t="str">
        <f>IFERROR(INDEX(Data!AK$9:AK$1273,MATCH($M115,Data!$K$9:$K$1273,0)),"")</f>
        <v/>
      </c>
      <c r="Z115" s="224" t="str">
        <f>IFERROR(INDEX(Data!AL$9:AL$1273,MATCH($M115,Data!$K$9:$K$1273,0)),"")</f>
        <v/>
      </c>
      <c r="AA115" s="224" t="str">
        <f>IFERROR(INDEX(Data!AM$9:AM$1273,MATCH($M115,Data!$K$9:$K$1273,0)),"")</f>
        <v/>
      </c>
      <c r="AB115" s="224" t="str">
        <f>IFERROR(INDEX(Data!AN$9:AN$1273,MATCH($M115,Data!$K$9:$K$1273,0)),"")</f>
        <v/>
      </c>
      <c r="AC115" s="225" t="str">
        <f>IFERROR(INDEX(Data!BY$9:BY$1273,MATCH($M115,Data!$K$9:$K$1273,0)),"")</f>
        <v/>
      </c>
      <c r="AD115" s="225" t="str">
        <f>IFERROR(INDEX(Data!BZ$9:BZ$1273,MATCH($M115,Data!$K$9:$K$1273,0)),"")</f>
        <v/>
      </c>
      <c r="AE115" s="225" t="str">
        <f>IFERROR(INDEX(Data!CA$9:CA$1273,MATCH($M115,Data!$K$9:$K$1273,0)),"")</f>
        <v/>
      </c>
      <c r="AF115" s="225" t="str">
        <f>IFERROR(INDEX(Data!CB$9:CB$1273,MATCH($M115,Data!$K$9:$K$1273,0)),"")</f>
        <v/>
      </c>
      <c r="AG115" s="225" t="str">
        <f>IFERROR(INDEX(Data!CC$9:CC$1273,MATCH($M115,Data!$K$9:$K$1273,0)),"")</f>
        <v/>
      </c>
      <c r="AH115" s="225" t="str">
        <f>IFERROR(INDEX(Data!CD$9:CD$1273,MATCH($M115,Data!$K$9:$K$1273,0)),"")</f>
        <v/>
      </c>
      <c r="AI115" s="225" t="str">
        <f>IFERROR(INDEX(Data!CE$9:CE$1273,MATCH($M115,Data!$K$9:$K$1273,0)),"")</f>
        <v/>
      </c>
      <c r="AJ115" s="225" t="str">
        <f>IFERROR(INDEX(Data!CF$9:CF$1273,MATCH($M115,Data!$K$9:$K$1273,0)),"")</f>
        <v/>
      </c>
      <c r="AK115" s="225" t="str">
        <f>IFERROR(INDEX(Data!CG$9:CG$1273,MATCH($M115,Data!$K$9:$K$1273,0)),"")</f>
        <v/>
      </c>
      <c r="AL115" s="225" t="str">
        <f>IFERROR(INDEX(Data!CH$9:CH$1273,MATCH($M115,Data!$K$9:$K$1273,0)),"")</f>
        <v/>
      </c>
      <c r="AM115" s="225" t="str">
        <f>IFERROR(INDEX(Data!CI$9:CI$1273,MATCH($M115,Data!$K$9:$K$1273,0)),"")</f>
        <v/>
      </c>
      <c r="AN115" s="225" t="str">
        <f>IFERROR(INDEX(Data!CJ$9:CJ$1273,MATCH($M115,Data!$K$9:$K$1273,0)),"")</f>
        <v/>
      </c>
      <c r="AO115" s="225" t="str">
        <f>IFERROR(INDEX(Data!CK$9:CK$1273,MATCH($M115,Data!$K$9:$K$1273,0)),"")</f>
        <v/>
      </c>
      <c r="AP115" s="225" t="str">
        <f>IFERROR(INDEX(Data!CL$9:CL$1273,MATCH($M115,Data!$K$9:$K$1273,0)),"")</f>
        <v/>
      </c>
      <c r="AQ115" s="225" t="str">
        <f>IFERROR(INDEX(Data!CM$9:CM$1273,MATCH($M115,Data!$K$9:$K$1273,0)),"")</f>
        <v/>
      </c>
      <c r="AR115" s="225" t="str">
        <f>IFERROR(INDEX(Data!CN$9:CN$1273,MATCH($M115,Data!$K$9:$K$1273,0)),"")</f>
        <v/>
      </c>
      <c r="AS115" s="225" t="str">
        <f>IFERROR(INDEX(Data!CO$9:CO$1273,MATCH($M115,Data!$K$9:$K$1273,0)),"")</f>
        <v/>
      </c>
      <c r="AT115" s="225" t="str">
        <f>IFERROR(INDEX(Data!CP$9:CP$1273,MATCH($M115,Data!$K$9:$K$1273,0)),"")</f>
        <v/>
      </c>
      <c r="AU115" s="225" t="str">
        <f>IFERROR(INDEX(Data!CQ$9:CQ$1273,MATCH($M115,Data!$K$9:$K$1273,0)),"")</f>
        <v/>
      </c>
      <c r="AV115" s="225" t="str">
        <f>IFERROR(INDEX(Data!CR$9:CR$1273,MATCH($M115,Data!$K$9:$K$1273,0)),"")</f>
        <v/>
      </c>
      <c r="AW115" s="225" t="str">
        <f>IFERROR(INDEX(Data!CS$9:CS$1273,MATCH($M115,Data!$K$9:$K$1273,0)),"")</f>
        <v/>
      </c>
      <c r="AX115" s="225" t="str">
        <f>IFERROR(INDEX(Data!CT$9:CT$1273,MATCH($M115,Data!$K$9:$K$1273,0)),"")</f>
        <v/>
      </c>
      <c r="AY115" s="225" t="str">
        <f>IFERROR(INDEX(Data!CU$9:CU$1273,MATCH($M115,Data!$K$9:$K$1273,0)),"")</f>
        <v/>
      </c>
      <c r="AZ115" s="225" t="str">
        <f>IFERROR(INDEX(Data!CV$9:CV$1273,MATCH($M115,Data!$K$9:$K$1273,0)),"")</f>
        <v/>
      </c>
      <c r="BA115" s="225" t="str">
        <f>IFERROR(INDEX(Data!CX$9:CX$1273,MATCH($M115,Data!$K$9:$K$1273,0)),"")</f>
        <v/>
      </c>
      <c r="BB115" s="225" t="str">
        <f>IFERROR(INDEX(Data!CY$9:CY$1273,MATCH($M115,Data!$K$9:$K$1273,0)),"")</f>
        <v/>
      </c>
      <c r="BC115" s="225" t="str">
        <f>IFERROR(INDEX(Data!CZ$9:CZ$1273,MATCH($M115,Data!$K$9:$K$1273,0)),"")</f>
        <v/>
      </c>
      <c r="BD115" s="225" t="str">
        <f>IFERROR(INDEX(Data!DA$9:DA$1273,MATCH($M115,Data!$K$9:$K$1273,0)),"")</f>
        <v/>
      </c>
      <c r="BE115" s="225" t="str">
        <f>IFERROR(INDEX(Data!DB$9:DB$1273,MATCH($M115,Data!$K$9:$K$1273,0)),"")</f>
        <v/>
      </c>
      <c r="BF115" s="225" t="str">
        <f>IFERROR(INDEX(Data!DC$9:DC$1273,MATCH($M115,Data!$K$9:$K$1273,0)),"")</f>
        <v/>
      </c>
      <c r="BG115" s="225" t="str">
        <f>IFERROR(INDEX(Data!DD$9:DD$1273,MATCH($M115,Data!$K$9:$K$1273,0)),"")</f>
        <v/>
      </c>
      <c r="BH115" s="225" t="str">
        <f>IFERROR(INDEX(Data!DE$9:DE$1273,MATCH($M115,Data!$K$9:$K$1273,0)),"")</f>
        <v/>
      </c>
      <c r="BI115" s="225" t="str">
        <f>IFERROR(INDEX(Data!DF$9:DF$1273,MATCH($M115,Data!$K$9:$K$1273,0)),"")</f>
        <v/>
      </c>
      <c r="BJ115" s="225" t="str">
        <f>IFERROR(INDEX(Data!DG$9:DG$1273,MATCH($M115,Data!$K$9:$K$1273,0)),"")</f>
        <v/>
      </c>
      <c r="BK115" s="225" t="str">
        <f>IFERROR(INDEX(Data!DH$9:DH$1273,MATCH($M115,Data!$K$9:$K$1273,0)),"")</f>
        <v/>
      </c>
      <c r="BL115" s="225" t="str">
        <f>IFERROR(INDEX(Data!DI$9:DI$1273,MATCH($M115,Data!$K$9:$K$1273,0)),"")</f>
        <v/>
      </c>
      <c r="BM115" s="225" t="str">
        <f>IFERROR(INDEX(Data!DJ$9:DJ$1273,MATCH($M115,Data!$K$9:$K$1273,0)),"")</f>
        <v/>
      </c>
      <c r="BN115" s="225" t="str">
        <f>IFERROR(INDEX(Data!DK$9:DK$1273,MATCH($M115,Data!$K$9:$K$1273,0)),"")</f>
        <v/>
      </c>
      <c r="BO115" s="225" t="str">
        <f>IFERROR(INDEX(Data!DL$9:DL$1273,MATCH($M115,Data!$K$9:$K$1273,0)),"")</f>
        <v/>
      </c>
      <c r="BP115" s="243" t="str">
        <f t="shared" si="11"/>
        <v/>
      </c>
      <c r="BQ115" s="225" t="str">
        <f t="shared" si="12"/>
        <v xml:space="preserve"> </v>
      </c>
      <c r="BR115" s="225" t="str">
        <f t="shared" si="13"/>
        <v/>
      </c>
      <c r="BS115" s="225" t="str">
        <f>IFERROR(INDEX(Data!$DO$9:$DO$1273,MATCH('Your recommendation'!BR115,Data!$DN$9:$DN$1273,0)),"")</f>
        <v/>
      </c>
    </row>
    <row r="116" spans="2:71" ht="15.6" customHeight="1">
      <c r="B116" s="222" t="str">
        <f t="shared" si="14"/>
        <v/>
      </c>
      <c r="C116" s="223"/>
      <c r="D116" s="225" t="str">
        <f>IFERROR(INDEX(Data!BR$9:BR$1273,MATCH($M116,Data!$K$9:$K$1273,0)),"")</f>
        <v/>
      </c>
      <c r="E116" s="225" t="str">
        <f>IFERROR(INDEX(Data!BS$9:BS$1273,MATCH($M116,Data!$K$9:$K$1273,0)),"")</f>
        <v/>
      </c>
      <c r="F116" s="225" t="str">
        <f>IFERROR(INDEX(Data!DM$9:DM$1273,MATCH($M116,Data!$K$9:$K$1273,0)),"")</f>
        <v/>
      </c>
      <c r="G116" s="225" t="str">
        <f>IFERROR(INDEX(Data!BV$9:BV$1273,MATCH($M116,Data!$K$9:$K$1273,0)),"")</f>
        <v/>
      </c>
      <c r="H116" s="225" t="str">
        <f>IFERROR(INDEX(Data!BW$9:BW$1273,MATCH($M116,Data!$K$9:$K$1273,0)),"")</f>
        <v/>
      </c>
      <c r="I116" s="225" t="str">
        <f>IFERROR(INDEX(Data!BX$9:BX$1273,MATCH($M116,Data!$K$9:$K$1273,0)),"")</f>
        <v/>
      </c>
      <c r="J116" s="225" t="str">
        <f>IFERROR(INDEX(Data!CB$9:CB$1273,MATCH($M116,Data!$K$9:$K$1273,0)),"")</f>
        <v/>
      </c>
      <c r="K116" s="241" t="str">
        <f t="shared" si="9"/>
        <v/>
      </c>
      <c r="L116" s="242" t="str">
        <f t="shared" si="10"/>
        <v/>
      </c>
      <c r="M116" s="224"/>
      <c r="N116" s="224"/>
      <c r="O116" s="224" t="str">
        <f>IFERROR(INDEX(Data!M$9:M$1273,MATCH($M116,Data!$K$9:$K$1273,0)),"")</f>
        <v/>
      </c>
      <c r="P116" s="224" t="str">
        <f>IFERROR(INDEX(Data!N$9:N$1273,MATCH($M116,Data!$K$9:$K$1273,0)),"")</f>
        <v/>
      </c>
      <c r="Q116" s="224" t="str">
        <f>IFERROR(INDEX(Data!O$9:O$1273,MATCH($M116,Data!$K$9:$K$1273,0)),"")</f>
        <v/>
      </c>
      <c r="R116" s="224" t="str">
        <f>IFERROR(INDEX(Data!P$9:P$1273,MATCH($M116,Data!$K$9:$K$1273,0)),"")</f>
        <v/>
      </c>
      <c r="S116" s="224" t="str">
        <f>IFERROR(INDEX(Data!S$9:S$1273,MATCH($M116,Data!$K$9:$K$1273,0)),"")</f>
        <v/>
      </c>
      <c r="T116" s="224" t="str">
        <f>IFERROR(INDEX(Data!T$9:T$1273,MATCH($M116,Data!$K$9:$K$1273,0)),"")</f>
        <v/>
      </c>
      <c r="U116" s="224" t="str">
        <f>IFERROR(INDEX(Data!U$9:U$1273,MATCH($M116,Data!$K$9:$K$1273,0)),"")</f>
        <v/>
      </c>
      <c r="V116" s="224" t="str">
        <f>IFERROR(INDEX(Data!V$9:V$1273,MATCH($M116,Data!$K$9:$K$1273,0)),"")</f>
        <v/>
      </c>
      <c r="W116" s="224" t="str">
        <f>IFERROR(INDEX(Data!W$9:W$1273,MATCH($M116,Data!$K$9:$K$1273,0)),"")</f>
        <v/>
      </c>
      <c r="X116" s="224" t="str">
        <f>IFERROR(INDEX(Data!AJ$9:AJ$1273,MATCH($M116,Data!$K$9:$K$1273,0)),"")</f>
        <v/>
      </c>
      <c r="Y116" s="224" t="str">
        <f>IFERROR(INDEX(Data!AK$9:AK$1273,MATCH($M116,Data!$K$9:$K$1273,0)),"")</f>
        <v/>
      </c>
      <c r="Z116" s="224" t="str">
        <f>IFERROR(INDEX(Data!AL$9:AL$1273,MATCH($M116,Data!$K$9:$K$1273,0)),"")</f>
        <v/>
      </c>
      <c r="AA116" s="224" t="str">
        <f>IFERROR(INDEX(Data!AM$9:AM$1273,MATCH($M116,Data!$K$9:$K$1273,0)),"")</f>
        <v/>
      </c>
      <c r="AB116" s="224" t="str">
        <f>IFERROR(INDEX(Data!AN$9:AN$1273,MATCH($M116,Data!$K$9:$K$1273,0)),"")</f>
        <v/>
      </c>
      <c r="AC116" s="225" t="str">
        <f>IFERROR(INDEX(Data!BY$9:BY$1273,MATCH($M116,Data!$K$9:$K$1273,0)),"")</f>
        <v/>
      </c>
      <c r="AD116" s="225" t="str">
        <f>IFERROR(INDEX(Data!BZ$9:BZ$1273,MATCH($M116,Data!$K$9:$K$1273,0)),"")</f>
        <v/>
      </c>
      <c r="AE116" s="225" t="str">
        <f>IFERROR(INDEX(Data!CA$9:CA$1273,MATCH($M116,Data!$K$9:$K$1273,0)),"")</f>
        <v/>
      </c>
      <c r="AF116" s="225" t="str">
        <f>IFERROR(INDEX(Data!CB$9:CB$1273,MATCH($M116,Data!$K$9:$K$1273,0)),"")</f>
        <v/>
      </c>
      <c r="AG116" s="225" t="str">
        <f>IFERROR(INDEX(Data!CC$9:CC$1273,MATCH($M116,Data!$K$9:$K$1273,0)),"")</f>
        <v/>
      </c>
      <c r="AH116" s="225" t="str">
        <f>IFERROR(INDEX(Data!CD$9:CD$1273,MATCH($M116,Data!$K$9:$K$1273,0)),"")</f>
        <v/>
      </c>
      <c r="AI116" s="225" t="str">
        <f>IFERROR(INDEX(Data!CE$9:CE$1273,MATCH($M116,Data!$K$9:$K$1273,0)),"")</f>
        <v/>
      </c>
      <c r="AJ116" s="225" t="str">
        <f>IFERROR(INDEX(Data!CF$9:CF$1273,MATCH($M116,Data!$K$9:$K$1273,0)),"")</f>
        <v/>
      </c>
      <c r="AK116" s="225" t="str">
        <f>IFERROR(INDEX(Data!CG$9:CG$1273,MATCH($M116,Data!$K$9:$K$1273,0)),"")</f>
        <v/>
      </c>
      <c r="AL116" s="225" t="str">
        <f>IFERROR(INDEX(Data!CH$9:CH$1273,MATCH($M116,Data!$K$9:$K$1273,0)),"")</f>
        <v/>
      </c>
      <c r="AM116" s="225" t="str">
        <f>IFERROR(INDEX(Data!CI$9:CI$1273,MATCH($M116,Data!$K$9:$K$1273,0)),"")</f>
        <v/>
      </c>
      <c r="AN116" s="225" t="str">
        <f>IFERROR(INDEX(Data!CJ$9:CJ$1273,MATCH($M116,Data!$K$9:$K$1273,0)),"")</f>
        <v/>
      </c>
      <c r="AO116" s="225" t="str">
        <f>IFERROR(INDEX(Data!CK$9:CK$1273,MATCH($M116,Data!$K$9:$K$1273,0)),"")</f>
        <v/>
      </c>
      <c r="AP116" s="225" t="str">
        <f>IFERROR(INDEX(Data!CL$9:CL$1273,MATCH($M116,Data!$K$9:$K$1273,0)),"")</f>
        <v/>
      </c>
      <c r="AQ116" s="225" t="str">
        <f>IFERROR(INDEX(Data!CM$9:CM$1273,MATCH($M116,Data!$K$9:$K$1273,0)),"")</f>
        <v/>
      </c>
      <c r="AR116" s="225" t="str">
        <f>IFERROR(INDEX(Data!CN$9:CN$1273,MATCH($M116,Data!$K$9:$K$1273,0)),"")</f>
        <v/>
      </c>
      <c r="AS116" s="225" t="str">
        <f>IFERROR(INDEX(Data!CO$9:CO$1273,MATCH($M116,Data!$K$9:$K$1273,0)),"")</f>
        <v/>
      </c>
      <c r="AT116" s="225" t="str">
        <f>IFERROR(INDEX(Data!CP$9:CP$1273,MATCH($M116,Data!$K$9:$K$1273,0)),"")</f>
        <v/>
      </c>
      <c r="AU116" s="225" t="str">
        <f>IFERROR(INDEX(Data!CQ$9:CQ$1273,MATCH($M116,Data!$K$9:$K$1273,0)),"")</f>
        <v/>
      </c>
      <c r="AV116" s="225" t="str">
        <f>IFERROR(INDEX(Data!CR$9:CR$1273,MATCH($M116,Data!$K$9:$K$1273,0)),"")</f>
        <v/>
      </c>
      <c r="AW116" s="225" t="str">
        <f>IFERROR(INDEX(Data!CS$9:CS$1273,MATCH($M116,Data!$K$9:$K$1273,0)),"")</f>
        <v/>
      </c>
      <c r="AX116" s="225" t="str">
        <f>IFERROR(INDEX(Data!CT$9:CT$1273,MATCH($M116,Data!$K$9:$K$1273,0)),"")</f>
        <v/>
      </c>
      <c r="AY116" s="225" t="str">
        <f>IFERROR(INDEX(Data!CU$9:CU$1273,MATCH($M116,Data!$K$9:$K$1273,0)),"")</f>
        <v/>
      </c>
      <c r="AZ116" s="225" t="str">
        <f>IFERROR(INDEX(Data!CV$9:CV$1273,MATCH($M116,Data!$K$9:$K$1273,0)),"")</f>
        <v/>
      </c>
      <c r="BA116" s="225" t="str">
        <f>IFERROR(INDEX(Data!CX$9:CX$1273,MATCH($M116,Data!$K$9:$K$1273,0)),"")</f>
        <v/>
      </c>
      <c r="BB116" s="225" t="str">
        <f>IFERROR(INDEX(Data!CY$9:CY$1273,MATCH($M116,Data!$K$9:$K$1273,0)),"")</f>
        <v/>
      </c>
      <c r="BC116" s="225" t="str">
        <f>IFERROR(INDEX(Data!CZ$9:CZ$1273,MATCH($M116,Data!$K$9:$K$1273,0)),"")</f>
        <v/>
      </c>
      <c r="BD116" s="225" t="str">
        <f>IFERROR(INDEX(Data!DA$9:DA$1273,MATCH($M116,Data!$K$9:$K$1273,0)),"")</f>
        <v/>
      </c>
      <c r="BE116" s="225" t="str">
        <f>IFERROR(INDEX(Data!DB$9:DB$1273,MATCH($M116,Data!$K$9:$K$1273,0)),"")</f>
        <v/>
      </c>
      <c r="BF116" s="225" t="str">
        <f>IFERROR(INDEX(Data!DC$9:DC$1273,MATCH($M116,Data!$K$9:$K$1273,0)),"")</f>
        <v/>
      </c>
      <c r="BG116" s="225" t="str">
        <f>IFERROR(INDEX(Data!DD$9:DD$1273,MATCH($M116,Data!$K$9:$K$1273,0)),"")</f>
        <v/>
      </c>
      <c r="BH116" s="225" t="str">
        <f>IFERROR(INDEX(Data!DE$9:DE$1273,MATCH($M116,Data!$K$9:$K$1273,0)),"")</f>
        <v/>
      </c>
      <c r="BI116" s="225" t="str">
        <f>IFERROR(INDEX(Data!DF$9:DF$1273,MATCH($M116,Data!$K$9:$K$1273,0)),"")</f>
        <v/>
      </c>
      <c r="BJ116" s="225" t="str">
        <f>IFERROR(INDEX(Data!DG$9:DG$1273,MATCH($M116,Data!$K$9:$K$1273,0)),"")</f>
        <v/>
      </c>
      <c r="BK116" s="225" t="str">
        <f>IFERROR(INDEX(Data!DH$9:DH$1273,MATCH($M116,Data!$K$9:$K$1273,0)),"")</f>
        <v/>
      </c>
      <c r="BL116" s="225" t="str">
        <f>IFERROR(INDEX(Data!DI$9:DI$1273,MATCH($M116,Data!$K$9:$K$1273,0)),"")</f>
        <v/>
      </c>
      <c r="BM116" s="225" t="str">
        <f>IFERROR(INDEX(Data!DJ$9:DJ$1273,MATCH($M116,Data!$K$9:$K$1273,0)),"")</f>
        <v/>
      </c>
      <c r="BN116" s="225" t="str">
        <f>IFERROR(INDEX(Data!DK$9:DK$1273,MATCH($M116,Data!$K$9:$K$1273,0)),"")</f>
        <v/>
      </c>
      <c r="BO116" s="225" t="str">
        <f>IFERROR(INDEX(Data!DL$9:DL$1273,MATCH($M116,Data!$K$9:$K$1273,0)),"")</f>
        <v/>
      </c>
      <c r="BP116" s="243" t="str">
        <f t="shared" si="11"/>
        <v/>
      </c>
      <c r="BQ116" s="225" t="str">
        <f t="shared" si="12"/>
        <v xml:space="preserve"> </v>
      </c>
      <c r="BR116" s="225" t="str">
        <f t="shared" si="13"/>
        <v/>
      </c>
      <c r="BS116" s="225" t="str">
        <f>IFERROR(INDEX(Data!$DO$9:$DO$1273,MATCH('Your recommendation'!BR116,Data!$DN$9:$DN$1273,0)),"")</f>
        <v/>
      </c>
    </row>
    <row r="117" spans="2:71" ht="15.6" customHeight="1">
      <c r="B117" s="222" t="str">
        <f t="shared" si="14"/>
        <v/>
      </c>
      <c r="C117" s="223"/>
      <c r="D117" s="225" t="str">
        <f>IFERROR(INDEX(Data!BR$9:BR$1273,MATCH($M117,Data!$K$9:$K$1273,0)),"")</f>
        <v/>
      </c>
      <c r="E117" s="225" t="str">
        <f>IFERROR(INDEX(Data!BS$9:BS$1273,MATCH($M117,Data!$K$9:$K$1273,0)),"")</f>
        <v/>
      </c>
      <c r="F117" s="225" t="str">
        <f>IFERROR(INDEX(Data!DM$9:DM$1273,MATCH($M117,Data!$K$9:$K$1273,0)),"")</f>
        <v/>
      </c>
      <c r="G117" s="225" t="str">
        <f>IFERROR(INDEX(Data!BV$9:BV$1273,MATCH($M117,Data!$K$9:$K$1273,0)),"")</f>
        <v/>
      </c>
      <c r="H117" s="225" t="str">
        <f>IFERROR(INDEX(Data!BW$9:BW$1273,MATCH($M117,Data!$K$9:$K$1273,0)),"")</f>
        <v/>
      </c>
      <c r="I117" s="225" t="str">
        <f>IFERROR(INDEX(Data!BX$9:BX$1273,MATCH($M117,Data!$K$9:$K$1273,0)),"")</f>
        <v/>
      </c>
      <c r="J117" s="225" t="str">
        <f>IFERROR(INDEX(Data!CB$9:CB$1273,MATCH($M117,Data!$K$9:$K$1273,0)),"")</f>
        <v/>
      </c>
      <c r="K117" s="241" t="str">
        <f t="shared" si="9"/>
        <v/>
      </c>
      <c r="L117" s="242" t="str">
        <f t="shared" si="10"/>
        <v/>
      </c>
      <c r="M117" s="224"/>
      <c r="N117" s="224"/>
      <c r="O117" s="224" t="str">
        <f>IFERROR(INDEX(Data!M$9:M$1273,MATCH($M117,Data!$K$9:$K$1273,0)),"")</f>
        <v/>
      </c>
      <c r="P117" s="224" t="str">
        <f>IFERROR(INDEX(Data!N$9:N$1273,MATCH($M117,Data!$K$9:$K$1273,0)),"")</f>
        <v/>
      </c>
      <c r="Q117" s="224" t="str">
        <f>IFERROR(INDEX(Data!O$9:O$1273,MATCH($M117,Data!$K$9:$K$1273,0)),"")</f>
        <v/>
      </c>
      <c r="R117" s="224" t="str">
        <f>IFERROR(INDEX(Data!P$9:P$1273,MATCH($M117,Data!$K$9:$K$1273,0)),"")</f>
        <v/>
      </c>
      <c r="S117" s="224" t="str">
        <f>IFERROR(INDEX(Data!S$9:S$1273,MATCH($M117,Data!$K$9:$K$1273,0)),"")</f>
        <v/>
      </c>
      <c r="T117" s="224" t="str">
        <f>IFERROR(INDEX(Data!T$9:T$1273,MATCH($M117,Data!$K$9:$K$1273,0)),"")</f>
        <v/>
      </c>
      <c r="U117" s="224" t="str">
        <f>IFERROR(INDEX(Data!U$9:U$1273,MATCH($M117,Data!$K$9:$K$1273,0)),"")</f>
        <v/>
      </c>
      <c r="V117" s="224" t="str">
        <f>IFERROR(INDEX(Data!V$9:V$1273,MATCH($M117,Data!$K$9:$K$1273,0)),"")</f>
        <v/>
      </c>
      <c r="W117" s="224" t="str">
        <f>IFERROR(INDEX(Data!W$9:W$1273,MATCH($M117,Data!$K$9:$K$1273,0)),"")</f>
        <v/>
      </c>
      <c r="X117" s="224" t="str">
        <f>IFERROR(INDEX(Data!AJ$9:AJ$1273,MATCH($M117,Data!$K$9:$K$1273,0)),"")</f>
        <v/>
      </c>
      <c r="Y117" s="224" t="str">
        <f>IFERROR(INDEX(Data!AK$9:AK$1273,MATCH($M117,Data!$K$9:$K$1273,0)),"")</f>
        <v/>
      </c>
      <c r="Z117" s="224" t="str">
        <f>IFERROR(INDEX(Data!AL$9:AL$1273,MATCH($M117,Data!$K$9:$K$1273,0)),"")</f>
        <v/>
      </c>
      <c r="AA117" s="224" t="str">
        <f>IFERROR(INDEX(Data!AM$9:AM$1273,MATCH($M117,Data!$K$9:$K$1273,0)),"")</f>
        <v/>
      </c>
      <c r="AB117" s="224" t="str">
        <f>IFERROR(INDEX(Data!AN$9:AN$1273,MATCH($M117,Data!$K$9:$K$1273,0)),"")</f>
        <v/>
      </c>
      <c r="AC117" s="225" t="str">
        <f>IFERROR(INDEX(Data!BY$9:BY$1273,MATCH($M117,Data!$K$9:$K$1273,0)),"")</f>
        <v/>
      </c>
      <c r="AD117" s="225" t="str">
        <f>IFERROR(INDEX(Data!BZ$9:BZ$1273,MATCH($M117,Data!$K$9:$K$1273,0)),"")</f>
        <v/>
      </c>
      <c r="AE117" s="225" t="str">
        <f>IFERROR(INDEX(Data!CA$9:CA$1273,MATCH($M117,Data!$K$9:$K$1273,0)),"")</f>
        <v/>
      </c>
      <c r="AF117" s="225" t="str">
        <f>IFERROR(INDEX(Data!CB$9:CB$1273,MATCH($M117,Data!$K$9:$K$1273,0)),"")</f>
        <v/>
      </c>
      <c r="AG117" s="225" t="str">
        <f>IFERROR(INDEX(Data!CC$9:CC$1273,MATCH($M117,Data!$K$9:$K$1273,0)),"")</f>
        <v/>
      </c>
      <c r="AH117" s="225" t="str">
        <f>IFERROR(INDEX(Data!CD$9:CD$1273,MATCH($M117,Data!$K$9:$K$1273,0)),"")</f>
        <v/>
      </c>
      <c r="AI117" s="225" t="str">
        <f>IFERROR(INDEX(Data!CE$9:CE$1273,MATCH($M117,Data!$K$9:$K$1273,0)),"")</f>
        <v/>
      </c>
      <c r="AJ117" s="225" t="str">
        <f>IFERROR(INDEX(Data!CF$9:CF$1273,MATCH($M117,Data!$K$9:$K$1273,0)),"")</f>
        <v/>
      </c>
      <c r="AK117" s="225" t="str">
        <f>IFERROR(INDEX(Data!CG$9:CG$1273,MATCH($M117,Data!$K$9:$K$1273,0)),"")</f>
        <v/>
      </c>
      <c r="AL117" s="225" t="str">
        <f>IFERROR(INDEX(Data!CH$9:CH$1273,MATCH($M117,Data!$K$9:$K$1273,0)),"")</f>
        <v/>
      </c>
      <c r="AM117" s="225" t="str">
        <f>IFERROR(INDEX(Data!CI$9:CI$1273,MATCH($M117,Data!$K$9:$K$1273,0)),"")</f>
        <v/>
      </c>
      <c r="AN117" s="225" t="str">
        <f>IFERROR(INDEX(Data!CJ$9:CJ$1273,MATCH($M117,Data!$K$9:$K$1273,0)),"")</f>
        <v/>
      </c>
      <c r="AO117" s="225" t="str">
        <f>IFERROR(INDEX(Data!CK$9:CK$1273,MATCH($M117,Data!$K$9:$K$1273,0)),"")</f>
        <v/>
      </c>
      <c r="AP117" s="225" t="str">
        <f>IFERROR(INDEX(Data!CL$9:CL$1273,MATCH($M117,Data!$K$9:$K$1273,0)),"")</f>
        <v/>
      </c>
      <c r="AQ117" s="225" t="str">
        <f>IFERROR(INDEX(Data!CM$9:CM$1273,MATCH($M117,Data!$K$9:$K$1273,0)),"")</f>
        <v/>
      </c>
      <c r="AR117" s="225" t="str">
        <f>IFERROR(INDEX(Data!CN$9:CN$1273,MATCH($M117,Data!$K$9:$K$1273,0)),"")</f>
        <v/>
      </c>
      <c r="AS117" s="225" t="str">
        <f>IFERROR(INDEX(Data!CO$9:CO$1273,MATCH($M117,Data!$K$9:$K$1273,0)),"")</f>
        <v/>
      </c>
      <c r="AT117" s="225" t="str">
        <f>IFERROR(INDEX(Data!CP$9:CP$1273,MATCH($M117,Data!$K$9:$K$1273,0)),"")</f>
        <v/>
      </c>
      <c r="AU117" s="225" t="str">
        <f>IFERROR(INDEX(Data!CQ$9:CQ$1273,MATCH($M117,Data!$K$9:$K$1273,0)),"")</f>
        <v/>
      </c>
      <c r="AV117" s="225" t="str">
        <f>IFERROR(INDEX(Data!CR$9:CR$1273,MATCH($M117,Data!$K$9:$K$1273,0)),"")</f>
        <v/>
      </c>
      <c r="AW117" s="225" t="str">
        <f>IFERROR(INDEX(Data!CS$9:CS$1273,MATCH($M117,Data!$K$9:$K$1273,0)),"")</f>
        <v/>
      </c>
      <c r="AX117" s="225" t="str">
        <f>IFERROR(INDEX(Data!CT$9:CT$1273,MATCH($M117,Data!$K$9:$K$1273,0)),"")</f>
        <v/>
      </c>
      <c r="AY117" s="225" t="str">
        <f>IFERROR(INDEX(Data!CU$9:CU$1273,MATCH($M117,Data!$K$9:$K$1273,0)),"")</f>
        <v/>
      </c>
      <c r="AZ117" s="225" t="str">
        <f>IFERROR(INDEX(Data!CV$9:CV$1273,MATCH($M117,Data!$K$9:$K$1273,0)),"")</f>
        <v/>
      </c>
      <c r="BA117" s="225" t="str">
        <f>IFERROR(INDEX(Data!CX$9:CX$1273,MATCH($M117,Data!$K$9:$K$1273,0)),"")</f>
        <v/>
      </c>
      <c r="BB117" s="225" t="str">
        <f>IFERROR(INDEX(Data!CY$9:CY$1273,MATCH($M117,Data!$K$9:$K$1273,0)),"")</f>
        <v/>
      </c>
      <c r="BC117" s="225" t="str">
        <f>IFERROR(INDEX(Data!CZ$9:CZ$1273,MATCH($M117,Data!$K$9:$K$1273,0)),"")</f>
        <v/>
      </c>
      <c r="BD117" s="225" t="str">
        <f>IFERROR(INDEX(Data!DA$9:DA$1273,MATCH($M117,Data!$K$9:$K$1273,0)),"")</f>
        <v/>
      </c>
      <c r="BE117" s="225" t="str">
        <f>IFERROR(INDEX(Data!DB$9:DB$1273,MATCH($M117,Data!$K$9:$K$1273,0)),"")</f>
        <v/>
      </c>
      <c r="BF117" s="225" t="str">
        <f>IFERROR(INDEX(Data!DC$9:DC$1273,MATCH($M117,Data!$K$9:$K$1273,0)),"")</f>
        <v/>
      </c>
      <c r="BG117" s="225" t="str">
        <f>IFERROR(INDEX(Data!DD$9:DD$1273,MATCH($M117,Data!$K$9:$K$1273,0)),"")</f>
        <v/>
      </c>
      <c r="BH117" s="225" t="str">
        <f>IFERROR(INDEX(Data!DE$9:DE$1273,MATCH($M117,Data!$K$9:$K$1273,0)),"")</f>
        <v/>
      </c>
      <c r="BI117" s="225" t="str">
        <f>IFERROR(INDEX(Data!DF$9:DF$1273,MATCH($M117,Data!$K$9:$K$1273,0)),"")</f>
        <v/>
      </c>
      <c r="BJ117" s="225" t="str">
        <f>IFERROR(INDEX(Data!DG$9:DG$1273,MATCH($M117,Data!$K$9:$K$1273,0)),"")</f>
        <v/>
      </c>
      <c r="BK117" s="225" t="str">
        <f>IFERROR(INDEX(Data!DH$9:DH$1273,MATCH($M117,Data!$K$9:$K$1273,0)),"")</f>
        <v/>
      </c>
      <c r="BL117" s="225" t="str">
        <f>IFERROR(INDEX(Data!DI$9:DI$1273,MATCH($M117,Data!$K$9:$K$1273,0)),"")</f>
        <v/>
      </c>
      <c r="BM117" s="225" t="str">
        <f>IFERROR(INDEX(Data!DJ$9:DJ$1273,MATCH($M117,Data!$K$9:$K$1273,0)),"")</f>
        <v/>
      </c>
      <c r="BN117" s="225" t="str">
        <f>IFERROR(INDEX(Data!DK$9:DK$1273,MATCH($M117,Data!$K$9:$K$1273,0)),"")</f>
        <v/>
      </c>
      <c r="BO117" s="225" t="str">
        <f>IFERROR(INDEX(Data!DL$9:DL$1273,MATCH($M117,Data!$K$9:$K$1273,0)),"")</f>
        <v/>
      </c>
      <c r="BP117" s="243" t="str">
        <f t="shared" si="11"/>
        <v/>
      </c>
      <c r="BQ117" s="225" t="str">
        <f t="shared" si="12"/>
        <v xml:space="preserve"> </v>
      </c>
      <c r="BR117" s="225" t="str">
        <f t="shared" si="13"/>
        <v/>
      </c>
      <c r="BS117" s="225" t="str">
        <f>IFERROR(INDEX(Data!$DO$9:$DO$1273,MATCH('Your recommendation'!BR117,Data!$DN$9:$DN$1273,0)),"")</f>
        <v/>
      </c>
    </row>
    <row r="118" spans="2:71" ht="15.6" customHeight="1">
      <c r="B118" s="222" t="str">
        <f t="shared" si="14"/>
        <v/>
      </c>
      <c r="C118" s="223"/>
      <c r="D118" s="225" t="str">
        <f>IFERROR(INDEX(Data!BR$9:BR$1273,MATCH($M118,Data!$K$9:$K$1273,0)),"")</f>
        <v/>
      </c>
      <c r="E118" s="225" t="str">
        <f>IFERROR(INDEX(Data!BS$9:BS$1273,MATCH($M118,Data!$K$9:$K$1273,0)),"")</f>
        <v/>
      </c>
      <c r="F118" s="225" t="str">
        <f>IFERROR(INDEX(Data!DM$9:DM$1273,MATCH($M118,Data!$K$9:$K$1273,0)),"")</f>
        <v/>
      </c>
      <c r="G118" s="225" t="str">
        <f>IFERROR(INDEX(Data!BV$9:BV$1273,MATCH($M118,Data!$K$9:$K$1273,0)),"")</f>
        <v/>
      </c>
      <c r="H118" s="225" t="str">
        <f>IFERROR(INDEX(Data!BW$9:BW$1273,MATCH($M118,Data!$K$9:$K$1273,0)),"")</f>
        <v/>
      </c>
      <c r="I118" s="225" t="str">
        <f>IFERROR(INDEX(Data!BX$9:BX$1273,MATCH($M118,Data!$K$9:$K$1273,0)),"")</f>
        <v/>
      </c>
      <c r="J118" s="225" t="str">
        <f>IFERROR(INDEX(Data!CB$9:CB$1273,MATCH($M118,Data!$K$9:$K$1273,0)),"")</f>
        <v/>
      </c>
      <c r="K118" s="241" t="str">
        <f t="shared" si="9"/>
        <v/>
      </c>
      <c r="L118" s="242" t="str">
        <f t="shared" si="10"/>
        <v/>
      </c>
      <c r="M118" s="224"/>
      <c r="N118" s="224"/>
      <c r="O118" s="224" t="str">
        <f>IFERROR(INDEX(Data!M$9:M$1273,MATCH($M118,Data!$K$9:$K$1273,0)),"")</f>
        <v/>
      </c>
      <c r="P118" s="224" t="str">
        <f>IFERROR(INDEX(Data!N$9:N$1273,MATCH($M118,Data!$K$9:$K$1273,0)),"")</f>
        <v/>
      </c>
      <c r="Q118" s="224" t="str">
        <f>IFERROR(INDEX(Data!O$9:O$1273,MATCH($M118,Data!$K$9:$K$1273,0)),"")</f>
        <v/>
      </c>
      <c r="R118" s="224" t="str">
        <f>IFERROR(INDEX(Data!P$9:P$1273,MATCH($M118,Data!$K$9:$K$1273,0)),"")</f>
        <v/>
      </c>
      <c r="S118" s="224" t="str">
        <f>IFERROR(INDEX(Data!S$9:S$1273,MATCH($M118,Data!$K$9:$K$1273,0)),"")</f>
        <v/>
      </c>
      <c r="T118" s="224" t="str">
        <f>IFERROR(INDEX(Data!T$9:T$1273,MATCH($M118,Data!$K$9:$K$1273,0)),"")</f>
        <v/>
      </c>
      <c r="U118" s="224" t="str">
        <f>IFERROR(INDEX(Data!U$9:U$1273,MATCH($M118,Data!$K$9:$K$1273,0)),"")</f>
        <v/>
      </c>
      <c r="V118" s="224" t="str">
        <f>IFERROR(INDEX(Data!V$9:V$1273,MATCH($M118,Data!$K$9:$K$1273,0)),"")</f>
        <v/>
      </c>
      <c r="W118" s="224" t="str">
        <f>IFERROR(INDEX(Data!W$9:W$1273,MATCH($M118,Data!$K$9:$K$1273,0)),"")</f>
        <v/>
      </c>
      <c r="X118" s="224" t="str">
        <f>IFERROR(INDEX(Data!AJ$9:AJ$1273,MATCH($M118,Data!$K$9:$K$1273,0)),"")</f>
        <v/>
      </c>
      <c r="Y118" s="224" t="str">
        <f>IFERROR(INDEX(Data!AK$9:AK$1273,MATCH($M118,Data!$K$9:$K$1273,0)),"")</f>
        <v/>
      </c>
      <c r="Z118" s="224" t="str">
        <f>IFERROR(INDEX(Data!AL$9:AL$1273,MATCH($M118,Data!$K$9:$K$1273,0)),"")</f>
        <v/>
      </c>
      <c r="AA118" s="224" t="str">
        <f>IFERROR(INDEX(Data!AM$9:AM$1273,MATCH($M118,Data!$K$9:$K$1273,0)),"")</f>
        <v/>
      </c>
      <c r="AB118" s="224" t="str">
        <f>IFERROR(INDEX(Data!AN$9:AN$1273,MATCH($M118,Data!$K$9:$K$1273,0)),"")</f>
        <v/>
      </c>
      <c r="AC118" s="225" t="str">
        <f>IFERROR(INDEX(Data!BY$9:BY$1273,MATCH($M118,Data!$K$9:$K$1273,0)),"")</f>
        <v/>
      </c>
      <c r="AD118" s="225" t="str">
        <f>IFERROR(INDEX(Data!BZ$9:BZ$1273,MATCH($M118,Data!$K$9:$K$1273,0)),"")</f>
        <v/>
      </c>
      <c r="AE118" s="225" t="str">
        <f>IFERROR(INDEX(Data!CA$9:CA$1273,MATCH($M118,Data!$K$9:$K$1273,0)),"")</f>
        <v/>
      </c>
      <c r="AF118" s="225" t="str">
        <f>IFERROR(INDEX(Data!CB$9:CB$1273,MATCH($M118,Data!$K$9:$K$1273,0)),"")</f>
        <v/>
      </c>
      <c r="AG118" s="225" t="str">
        <f>IFERROR(INDEX(Data!CC$9:CC$1273,MATCH($M118,Data!$K$9:$K$1273,0)),"")</f>
        <v/>
      </c>
      <c r="AH118" s="225" t="str">
        <f>IFERROR(INDEX(Data!CD$9:CD$1273,MATCH($M118,Data!$K$9:$K$1273,0)),"")</f>
        <v/>
      </c>
      <c r="AI118" s="225" t="str">
        <f>IFERROR(INDEX(Data!CE$9:CE$1273,MATCH($M118,Data!$K$9:$K$1273,0)),"")</f>
        <v/>
      </c>
      <c r="AJ118" s="225" t="str">
        <f>IFERROR(INDEX(Data!CF$9:CF$1273,MATCH($M118,Data!$K$9:$K$1273,0)),"")</f>
        <v/>
      </c>
      <c r="AK118" s="225" t="str">
        <f>IFERROR(INDEX(Data!CG$9:CG$1273,MATCH($M118,Data!$K$9:$K$1273,0)),"")</f>
        <v/>
      </c>
      <c r="AL118" s="225" t="str">
        <f>IFERROR(INDEX(Data!CH$9:CH$1273,MATCH($M118,Data!$K$9:$K$1273,0)),"")</f>
        <v/>
      </c>
      <c r="AM118" s="225" t="str">
        <f>IFERROR(INDEX(Data!CI$9:CI$1273,MATCH($M118,Data!$K$9:$K$1273,0)),"")</f>
        <v/>
      </c>
      <c r="AN118" s="225" t="str">
        <f>IFERROR(INDEX(Data!CJ$9:CJ$1273,MATCH($M118,Data!$K$9:$K$1273,0)),"")</f>
        <v/>
      </c>
      <c r="AO118" s="225" t="str">
        <f>IFERROR(INDEX(Data!CK$9:CK$1273,MATCH($M118,Data!$K$9:$K$1273,0)),"")</f>
        <v/>
      </c>
      <c r="AP118" s="225" t="str">
        <f>IFERROR(INDEX(Data!CL$9:CL$1273,MATCH($M118,Data!$K$9:$K$1273,0)),"")</f>
        <v/>
      </c>
      <c r="AQ118" s="225" t="str">
        <f>IFERROR(INDEX(Data!CM$9:CM$1273,MATCH($M118,Data!$K$9:$K$1273,0)),"")</f>
        <v/>
      </c>
      <c r="AR118" s="225" t="str">
        <f>IFERROR(INDEX(Data!CN$9:CN$1273,MATCH($M118,Data!$K$9:$K$1273,0)),"")</f>
        <v/>
      </c>
      <c r="AS118" s="225" t="str">
        <f>IFERROR(INDEX(Data!CO$9:CO$1273,MATCH($M118,Data!$K$9:$K$1273,0)),"")</f>
        <v/>
      </c>
      <c r="AT118" s="225" t="str">
        <f>IFERROR(INDEX(Data!CP$9:CP$1273,MATCH($M118,Data!$K$9:$K$1273,0)),"")</f>
        <v/>
      </c>
      <c r="AU118" s="225" t="str">
        <f>IFERROR(INDEX(Data!CQ$9:CQ$1273,MATCH($M118,Data!$K$9:$K$1273,0)),"")</f>
        <v/>
      </c>
      <c r="AV118" s="225" t="str">
        <f>IFERROR(INDEX(Data!CR$9:CR$1273,MATCH($M118,Data!$K$9:$K$1273,0)),"")</f>
        <v/>
      </c>
      <c r="AW118" s="225" t="str">
        <f>IFERROR(INDEX(Data!CS$9:CS$1273,MATCH($M118,Data!$K$9:$K$1273,0)),"")</f>
        <v/>
      </c>
      <c r="AX118" s="225" t="str">
        <f>IFERROR(INDEX(Data!CT$9:CT$1273,MATCH($M118,Data!$K$9:$K$1273,0)),"")</f>
        <v/>
      </c>
      <c r="AY118" s="225" t="str">
        <f>IFERROR(INDEX(Data!CU$9:CU$1273,MATCH($M118,Data!$K$9:$K$1273,0)),"")</f>
        <v/>
      </c>
      <c r="AZ118" s="225" t="str">
        <f>IFERROR(INDEX(Data!CV$9:CV$1273,MATCH($M118,Data!$K$9:$K$1273,0)),"")</f>
        <v/>
      </c>
      <c r="BA118" s="225" t="str">
        <f>IFERROR(INDEX(Data!CX$9:CX$1273,MATCH($M118,Data!$K$9:$K$1273,0)),"")</f>
        <v/>
      </c>
      <c r="BB118" s="225" t="str">
        <f>IFERROR(INDEX(Data!CY$9:CY$1273,MATCH($M118,Data!$K$9:$K$1273,0)),"")</f>
        <v/>
      </c>
      <c r="BC118" s="225" t="str">
        <f>IFERROR(INDEX(Data!CZ$9:CZ$1273,MATCH($M118,Data!$K$9:$K$1273,0)),"")</f>
        <v/>
      </c>
      <c r="BD118" s="225" t="str">
        <f>IFERROR(INDEX(Data!DA$9:DA$1273,MATCH($M118,Data!$K$9:$K$1273,0)),"")</f>
        <v/>
      </c>
      <c r="BE118" s="225" t="str">
        <f>IFERROR(INDEX(Data!DB$9:DB$1273,MATCH($M118,Data!$K$9:$K$1273,0)),"")</f>
        <v/>
      </c>
      <c r="BF118" s="225" t="str">
        <f>IFERROR(INDEX(Data!DC$9:DC$1273,MATCH($M118,Data!$K$9:$K$1273,0)),"")</f>
        <v/>
      </c>
      <c r="BG118" s="225" t="str">
        <f>IFERROR(INDEX(Data!DD$9:DD$1273,MATCH($M118,Data!$K$9:$K$1273,0)),"")</f>
        <v/>
      </c>
      <c r="BH118" s="225" t="str">
        <f>IFERROR(INDEX(Data!DE$9:DE$1273,MATCH($M118,Data!$K$9:$K$1273,0)),"")</f>
        <v/>
      </c>
      <c r="BI118" s="225" t="str">
        <f>IFERROR(INDEX(Data!DF$9:DF$1273,MATCH($M118,Data!$K$9:$K$1273,0)),"")</f>
        <v/>
      </c>
      <c r="BJ118" s="225" t="str">
        <f>IFERROR(INDEX(Data!DG$9:DG$1273,MATCH($M118,Data!$K$9:$K$1273,0)),"")</f>
        <v/>
      </c>
      <c r="BK118" s="225" t="str">
        <f>IFERROR(INDEX(Data!DH$9:DH$1273,MATCH($M118,Data!$K$9:$K$1273,0)),"")</f>
        <v/>
      </c>
      <c r="BL118" s="225" t="str">
        <f>IFERROR(INDEX(Data!DI$9:DI$1273,MATCH($M118,Data!$K$9:$K$1273,0)),"")</f>
        <v/>
      </c>
      <c r="BM118" s="225" t="str">
        <f>IFERROR(INDEX(Data!DJ$9:DJ$1273,MATCH($M118,Data!$K$9:$K$1273,0)),"")</f>
        <v/>
      </c>
      <c r="BN118" s="225" t="str">
        <f>IFERROR(INDEX(Data!DK$9:DK$1273,MATCH($M118,Data!$K$9:$K$1273,0)),"")</f>
        <v/>
      </c>
      <c r="BO118" s="225" t="str">
        <f>IFERROR(INDEX(Data!DL$9:DL$1273,MATCH($M118,Data!$K$9:$K$1273,0)),"")</f>
        <v/>
      </c>
      <c r="BP118" s="243" t="str">
        <f t="shared" si="11"/>
        <v/>
      </c>
      <c r="BQ118" s="225" t="str">
        <f t="shared" si="12"/>
        <v xml:space="preserve"> </v>
      </c>
      <c r="BR118" s="225" t="str">
        <f t="shared" si="13"/>
        <v/>
      </c>
      <c r="BS118" s="225" t="str">
        <f>IFERROR(INDEX(Data!$DO$9:$DO$1273,MATCH('Your recommendation'!BR118,Data!$DN$9:$DN$1273,0)),"")</f>
        <v/>
      </c>
    </row>
    <row r="119" spans="2:71" ht="15.6" customHeight="1">
      <c r="B119" s="222" t="str">
        <f t="shared" si="14"/>
        <v/>
      </c>
      <c r="C119" s="223"/>
      <c r="D119" s="225" t="str">
        <f>IFERROR(INDEX(Data!BR$9:BR$1273,MATCH($M119,Data!$K$9:$K$1273,0)),"")</f>
        <v/>
      </c>
      <c r="E119" s="225" t="str">
        <f>IFERROR(INDEX(Data!BS$9:BS$1273,MATCH($M119,Data!$K$9:$K$1273,0)),"")</f>
        <v/>
      </c>
      <c r="F119" s="225" t="str">
        <f>IFERROR(INDEX(Data!DM$9:DM$1273,MATCH($M119,Data!$K$9:$K$1273,0)),"")</f>
        <v/>
      </c>
      <c r="G119" s="225" t="str">
        <f>IFERROR(INDEX(Data!BV$9:BV$1273,MATCH($M119,Data!$K$9:$K$1273,0)),"")</f>
        <v/>
      </c>
      <c r="H119" s="225" t="str">
        <f>IFERROR(INDEX(Data!BW$9:BW$1273,MATCH($M119,Data!$K$9:$K$1273,0)),"")</f>
        <v/>
      </c>
      <c r="I119" s="225" t="str">
        <f>IFERROR(INDEX(Data!BX$9:BX$1273,MATCH($M119,Data!$K$9:$K$1273,0)),"")</f>
        <v/>
      </c>
      <c r="J119" s="225" t="str">
        <f>IFERROR(INDEX(Data!CB$9:CB$1273,MATCH($M119,Data!$K$9:$K$1273,0)),"")</f>
        <v/>
      </c>
      <c r="K119" s="241" t="str">
        <f t="shared" si="9"/>
        <v/>
      </c>
      <c r="L119" s="242" t="str">
        <f t="shared" si="10"/>
        <v/>
      </c>
      <c r="M119" s="224"/>
      <c r="N119" s="224"/>
      <c r="O119" s="224" t="str">
        <f>IFERROR(INDEX(Data!M$9:M$1273,MATCH($M119,Data!$K$9:$K$1273,0)),"")</f>
        <v/>
      </c>
      <c r="P119" s="224" t="str">
        <f>IFERROR(INDEX(Data!N$9:N$1273,MATCH($M119,Data!$K$9:$K$1273,0)),"")</f>
        <v/>
      </c>
      <c r="Q119" s="224" t="str">
        <f>IFERROR(INDEX(Data!O$9:O$1273,MATCH($M119,Data!$K$9:$K$1273,0)),"")</f>
        <v/>
      </c>
      <c r="R119" s="224" t="str">
        <f>IFERROR(INDEX(Data!P$9:P$1273,MATCH($M119,Data!$K$9:$K$1273,0)),"")</f>
        <v/>
      </c>
      <c r="S119" s="224" t="str">
        <f>IFERROR(INDEX(Data!S$9:S$1273,MATCH($M119,Data!$K$9:$K$1273,0)),"")</f>
        <v/>
      </c>
      <c r="T119" s="224" t="str">
        <f>IFERROR(INDEX(Data!T$9:T$1273,MATCH($M119,Data!$K$9:$K$1273,0)),"")</f>
        <v/>
      </c>
      <c r="U119" s="224" t="str">
        <f>IFERROR(INDEX(Data!U$9:U$1273,MATCH($M119,Data!$K$9:$K$1273,0)),"")</f>
        <v/>
      </c>
      <c r="V119" s="224" t="str">
        <f>IFERROR(INDEX(Data!V$9:V$1273,MATCH($M119,Data!$K$9:$K$1273,0)),"")</f>
        <v/>
      </c>
      <c r="W119" s="224" t="str">
        <f>IFERROR(INDEX(Data!W$9:W$1273,MATCH($M119,Data!$K$9:$K$1273,0)),"")</f>
        <v/>
      </c>
      <c r="X119" s="224" t="str">
        <f>IFERROR(INDEX(Data!AJ$9:AJ$1273,MATCH($M119,Data!$K$9:$K$1273,0)),"")</f>
        <v/>
      </c>
      <c r="Y119" s="224" t="str">
        <f>IFERROR(INDEX(Data!AK$9:AK$1273,MATCH($M119,Data!$K$9:$K$1273,0)),"")</f>
        <v/>
      </c>
      <c r="Z119" s="224" t="str">
        <f>IFERROR(INDEX(Data!AL$9:AL$1273,MATCH($M119,Data!$K$9:$K$1273,0)),"")</f>
        <v/>
      </c>
      <c r="AA119" s="224" t="str">
        <f>IFERROR(INDEX(Data!AM$9:AM$1273,MATCH($M119,Data!$K$9:$K$1273,0)),"")</f>
        <v/>
      </c>
      <c r="AB119" s="224" t="str">
        <f>IFERROR(INDEX(Data!AN$9:AN$1273,MATCH($M119,Data!$K$9:$K$1273,0)),"")</f>
        <v/>
      </c>
      <c r="AC119" s="225" t="str">
        <f>IFERROR(INDEX(Data!BY$9:BY$1273,MATCH($M119,Data!$K$9:$K$1273,0)),"")</f>
        <v/>
      </c>
      <c r="AD119" s="225" t="str">
        <f>IFERROR(INDEX(Data!BZ$9:BZ$1273,MATCH($M119,Data!$K$9:$K$1273,0)),"")</f>
        <v/>
      </c>
      <c r="AE119" s="225" t="str">
        <f>IFERROR(INDEX(Data!CA$9:CA$1273,MATCH($M119,Data!$K$9:$K$1273,0)),"")</f>
        <v/>
      </c>
      <c r="AF119" s="225" t="str">
        <f>IFERROR(INDEX(Data!CB$9:CB$1273,MATCH($M119,Data!$K$9:$K$1273,0)),"")</f>
        <v/>
      </c>
      <c r="AG119" s="225" t="str">
        <f>IFERROR(INDEX(Data!CC$9:CC$1273,MATCH($M119,Data!$K$9:$K$1273,0)),"")</f>
        <v/>
      </c>
      <c r="AH119" s="225" t="str">
        <f>IFERROR(INDEX(Data!CD$9:CD$1273,MATCH($M119,Data!$K$9:$K$1273,0)),"")</f>
        <v/>
      </c>
      <c r="AI119" s="225" t="str">
        <f>IFERROR(INDEX(Data!CE$9:CE$1273,MATCH($M119,Data!$K$9:$K$1273,0)),"")</f>
        <v/>
      </c>
      <c r="AJ119" s="225" t="str">
        <f>IFERROR(INDEX(Data!CF$9:CF$1273,MATCH($M119,Data!$K$9:$K$1273,0)),"")</f>
        <v/>
      </c>
      <c r="AK119" s="225" t="str">
        <f>IFERROR(INDEX(Data!CG$9:CG$1273,MATCH($M119,Data!$K$9:$K$1273,0)),"")</f>
        <v/>
      </c>
      <c r="AL119" s="225" t="str">
        <f>IFERROR(INDEX(Data!CH$9:CH$1273,MATCH($M119,Data!$K$9:$K$1273,0)),"")</f>
        <v/>
      </c>
      <c r="AM119" s="225" t="str">
        <f>IFERROR(INDEX(Data!CI$9:CI$1273,MATCH($M119,Data!$K$9:$K$1273,0)),"")</f>
        <v/>
      </c>
      <c r="AN119" s="225" t="str">
        <f>IFERROR(INDEX(Data!CJ$9:CJ$1273,MATCH($M119,Data!$K$9:$K$1273,0)),"")</f>
        <v/>
      </c>
      <c r="AO119" s="225" t="str">
        <f>IFERROR(INDEX(Data!CK$9:CK$1273,MATCH($M119,Data!$K$9:$K$1273,0)),"")</f>
        <v/>
      </c>
      <c r="AP119" s="225" t="str">
        <f>IFERROR(INDEX(Data!CL$9:CL$1273,MATCH($M119,Data!$K$9:$K$1273,0)),"")</f>
        <v/>
      </c>
      <c r="AQ119" s="225" t="str">
        <f>IFERROR(INDEX(Data!CM$9:CM$1273,MATCH($M119,Data!$K$9:$K$1273,0)),"")</f>
        <v/>
      </c>
      <c r="AR119" s="225" t="str">
        <f>IFERROR(INDEX(Data!CN$9:CN$1273,MATCH($M119,Data!$K$9:$K$1273,0)),"")</f>
        <v/>
      </c>
      <c r="AS119" s="225" t="str">
        <f>IFERROR(INDEX(Data!CO$9:CO$1273,MATCH($M119,Data!$K$9:$K$1273,0)),"")</f>
        <v/>
      </c>
      <c r="AT119" s="225" t="str">
        <f>IFERROR(INDEX(Data!CP$9:CP$1273,MATCH($M119,Data!$K$9:$K$1273,0)),"")</f>
        <v/>
      </c>
      <c r="AU119" s="225" t="str">
        <f>IFERROR(INDEX(Data!CQ$9:CQ$1273,MATCH($M119,Data!$K$9:$K$1273,0)),"")</f>
        <v/>
      </c>
      <c r="AV119" s="225" t="str">
        <f>IFERROR(INDEX(Data!CR$9:CR$1273,MATCH($M119,Data!$K$9:$K$1273,0)),"")</f>
        <v/>
      </c>
      <c r="AW119" s="225" t="str">
        <f>IFERROR(INDEX(Data!CS$9:CS$1273,MATCH($M119,Data!$K$9:$K$1273,0)),"")</f>
        <v/>
      </c>
      <c r="AX119" s="225" t="str">
        <f>IFERROR(INDEX(Data!CT$9:CT$1273,MATCH($M119,Data!$K$9:$K$1273,0)),"")</f>
        <v/>
      </c>
      <c r="AY119" s="225" t="str">
        <f>IFERROR(INDEX(Data!CU$9:CU$1273,MATCH($M119,Data!$K$9:$K$1273,0)),"")</f>
        <v/>
      </c>
      <c r="AZ119" s="225" t="str">
        <f>IFERROR(INDEX(Data!CV$9:CV$1273,MATCH($M119,Data!$K$9:$K$1273,0)),"")</f>
        <v/>
      </c>
      <c r="BA119" s="225" t="str">
        <f>IFERROR(INDEX(Data!CX$9:CX$1273,MATCH($M119,Data!$K$9:$K$1273,0)),"")</f>
        <v/>
      </c>
      <c r="BB119" s="225" t="str">
        <f>IFERROR(INDEX(Data!CY$9:CY$1273,MATCH($M119,Data!$K$9:$K$1273,0)),"")</f>
        <v/>
      </c>
      <c r="BC119" s="225" t="str">
        <f>IFERROR(INDEX(Data!CZ$9:CZ$1273,MATCH($M119,Data!$K$9:$K$1273,0)),"")</f>
        <v/>
      </c>
      <c r="BD119" s="225" t="str">
        <f>IFERROR(INDEX(Data!DA$9:DA$1273,MATCH($M119,Data!$K$9:$K$1273,0)),"")</f>
        <v/>
      </c>
      <c r="BE119" s="225" t="str">
        <f>IFERROR(INDEX(Data!DB$9:DB$1273,MATCH($M119,Data!$K$9:$K$1273,0)),"")</f>
        <v/>
      </c>
      <c r="BF119" s="225" t="str">
        <f>IFERROR(INDEX(Data!DC$9:DC$1273,MATCH($M119,Data!$K$9:$K$1273,0)),"")</f>
        <v/>
      </c>
      <c r="BG119" s="225" t="str">
        <f>IFERROR(INDEX(Data!DD$9:DD$1273,MATCH($M119,Data!$K$9:$K$1273,0)),"")</f>
        <v/>
      </c>
      <c r="BH119" s="225" t="str">
        <f>IFERROR(INDEX(Data!DE$9:DE$1273,MATCH($M119,Data!$K$9:$K$1273,0)),"")</f>
        <v/>
      </c>
      <c r="BI119" s="225" t="str">
        <f>IFERROR(INDEX(Data!DF$9:DF$1273,MATCH($M119,Data!$K$9:$K$1273,0)),"")</f>
        <v/>
      </c>
      <c r="BJ119" s="225" t="str">
        <f>IFERROR(INDEX(Data!DG$9:DG$1273,MATCH($M119,Data!$K$9:$K$1273,0)),"")</f>
        <v/>
      </c>
      <c r="BK119" s="225" t="str">
        <f>IFERROR(INDEX(Data!DH$9:DH$1273,MATCH($M119,Data!$K$9:$K$1273,0)),"")</f>
        <v/>
      </c>
      <c r="BL119" s="225" t="str">
        <f>IFERROR(INDEX(Data!DI$9:DI$1273,MATCH($M119,Data!$K$9:$K$1273,0)),"")</f>
        <v/>
      </c>
      <c r="BM119" s="225" t="str">
        <f>IFERROR(INDEX(Data!DJ$9:DJ$1273,MATCH($M119,Data!$K$9:$K$1273,0)),"")</f>
        <v/>
      </c>
      <c r="BN119" s="225" t="str">
        <f>IFERROR(INDEX(Data!DK$9:DK$1273,MATCH($M119,Data!$K$9:$K$1273,0)),"")</f>
        <v/>
      </c>
      <c r="BO119" s="225" t="str">
        <f>IFERROR(INDEX(Data!DL$9:DL$1273,MATCH($M119,Data!$K$9:$K$1273,0)),"")</f>
        <v/>
      </c>
      <c r="BP119" s="243" t="str">
        <f t="shared" si="11"/>
        <v/>
      </c>
      <c r="BQ119" s="225" t="str">
        <f t="shared" si="12"/>
        <v xml:space="preserve"> </v>
      </c>
      <c r="BR119" s="225" t="str">
        <f t="shared" si="13"/>
        <v/>
      </c>
      <c r="BS119" s="225" t="str">
        <f>IFERROR(INDEX(Data!$DO$9:$DO$1273,MATCH('Your recommendation'!BR119,Data!$DN$9:$DN$1273,0)),"")</f>
        <v/>
      </c>
    </row>
    <row r="120" spans="2:71" ht="15.6" customHeight="1">
      <c r="B120" s="222" t="str">
        <f t="shared" si="14"/>
        <v/>
      </c>
      <c r="C120" s="223"/>
      <c r="D120" s="225" t="str">
        <f>IFERROR(INDEX(Data!BR$9:BR$1273,MATCH($M120,Data!$K$9:$K$1273,0)),"")</f>
        <v/>
      </c>
      <c r="E120" s="225" t="str">
        <f>IFERROR(INDEX(Data!BS$9:BS$1273,MATCH($M120,Data!$K$9:$K$1273,0)),"")</f>
        <v/>
      </c>
      <c r="F120" s="225" t="str">
        <f>IFERROR(INDEX(Data!DM$9:DM$1273,MATCH($M120,Data!$K$9:$K$1273,0)),"")</f>
        <v/>
      </c>
      <c r="G120" s="225" t="str">
        <f>IFERROR(INDEX(Data!BV$9:BV$1273,MATCH($M120,Data!$K$9:$K$1273,0)),"")</f>
        <v/>
      </c>
      <c r="H120" s="225" t="str">
        <f>IFERROR(INDEX(Data!BW$9:BW$1273,MATCH($M120,Data!$K$9:$K$1273,0)),"")</f>
        <v/>
      </c>
      <c r="I120" s="225" t="str">
        <f>IFERROR(INDEX(Data!BX$9:BX$1273,MATCH($M120,Data!$K$9:$K$1273,0)),"")</f>
        <v/>
      </c>
      <c r="J120" s="225" t="str">
        <f>IFERROR(INDEX(Data!CB$9:CB$1273,MATCH($M120,Data!$K$9:$K$1273,0)),"")</f>
        <v/>
      </c>
      <c r="K120" s="241" t="str">
        <f t="shared" si="9"/>
        <v/>
      </c>
      <c r="L120" s="242" t="str">
        <f t="shared" si="10"/>
        <v/>
      </c>
      <c r="M120" s="224"/>
      <c r="N120" s="224"/>
      <c r="O120" s="224" t="str">
        <f>IFERROR(INDEX(Data!M$9:M$1273,MATCH($M120,Data!$K$9:$K$1273,0)),"")</f>
        <v/>
      </c>
      <c r="P120" s="224" t="str">
        <f>IFERROR(INDEX(Data!N$9:N$1273,MATCH($M120,Data!$K$9:$K$1273,0)),"")</f>
        <v/>
      </c>
      <c r="Q120" s="224" t="str">
        <f>IFERROR(INDEX(Data!O$9:O$1273,MATCH($M120,Data!$K$9:$K$1273,0)),"")</f>
        <v/>
      </c>
      <c r="R120" s="224" t="str">
        <f>IFERROR(INDEX(Data!P$9:P$1273,MATCH($M120,Data!$K$9:$K$1273,0)),"")</f>
        <v/>
      </c>
      <c r="S120" s="224" t="str">
        <f>IFERROR(INDEX(Data!S$9:S$1273,MATCH($M120,Data!$K$9:$K$1273,0)),"")</f>
        <v/>
      </c>
      <c r="T120" s="224" t="str">
        <f>IFERROR(INDEX(Data!T$9:T$1273,MATCH($M120,Data!$K$9:$K$1273,0)),"")</f>
        <v/>
      </c>
      <c r="U120" s="224" t="str">
        <f>IFERROR(INDEX(Data!U$9:U$1273,MATCH($M120,Data!$K$9:$K$1273,0)),"")</f>
        <v/>
      </c>
      <c r="V120" s="224" t="str">
        <f>IFERROR(INDEX(Data!V$9:V$1273,MATCH($M120,Data!$K$9:$K$1273,0)),"")</f>
        <v/>
      </c>
      <c r="W120" s="224" t="str">
        <f>IFERROR(INDEX(Data!W$9:W$1273,MATCH($M120,Data!$K$9:$K$1273,0)),"")</f>
        <v/>
      </c>
      <c r="X120" s="224" t="str">
        <f>IFERROR(INDEX(Data!AJ$9:AJ$1273,MATCH($M120,Data!$K$9:$K$1273,0)),"")</f>
        <v/>
      </c>
      <c r="Y120" s="224" t="str">
        <f>IFERROR(INDEX(Data!AK$9:AK$1273,MATCH($M120,Data!$K$9:$K$1273,0)),"")</f>
        <v/>
      </c>
      <c r="Z120" s="224" t="str">
        <f>IFERROR(INDEX(Data!AL$9:AL$1273,MATCH($M120,Data!$K$9:$K$1273,0)),"")</f>
        <v/>
      </c>
      <c r="AA120" s="224" t="str">
        <f>IFERROR(INDEX(Data!AM$9:AM$1273,MATCH($M120,Data!$K$9:$K$1273,0)),"")</f>
        <v/>
      </c>
      <c r="AB120" s="224" t="str">
        <f>IFERROR(INDEX(Data!AN$9:AN$1273,MATCH($M120,Data!$K$9:$K$1273,0)),"")</f>
        <v/>
      </c>
      <c r="AC120" s="225" t="str">
        <f>IFERROR(INDEX(Data!BY$9:BY$1273,MATCH($M120,Data!$K$9:$K$1273,0)),"")</f>
        <v/>
      </c>
      <c r="AD120" s="225" t="str">
        <f>IFERROR(INDEX(Data!BZ$9:BZ$1273,MATCH($M120,Data!$K$9:$K$1273,0)),"")</f>
        <v/>
      </c>
      <c r="AE120" s="225" t="str">
        <f>IFERROR(INDEX(Data!CA$9:CA$1273,MATCH($M120,Data!$K$9:$K$1273,0)),"")</f>
        <v/>
      </c>
      <c r="AF120" s="225" t="str">
        <f>IFERROR(INDEX(Data!CB$9:CB$1273,MATCH($M120,Data!$K$9:$K$1273,0)),"")</f>
        <v/>
      </c>
      <c r="AG120" s="225" t="str">
        <f>IFERROR(INDEX(Data!CC$9:CC$1273,MATCH($M120,Data!$K$9:$K$1273,0)),"")</f>
        <v/>
      </c>
      <c r="AH120" s="225" t="str">
        <f>IFERROR(INDEX(Data!CD$9:CD$1273,MATCH($M120,Data!$K$9:$K$1273,0)),"")</f>
        <v/>
      </c>
      <c r="AI120" s="225" t="str">
        <f>IFERROR(INDEX(Data!CE$9:CE$1273,MATCH($M120,Data!$K$9:$K$1273,0)),"")</f>
        <v/>
      </c>
      <c r="AJ120" s="225" t="str">
        <f>IFERROR(INDEX(Data!CF$9:CF$1273,MATCH($M120,Data!$K$9:$K$1273,0)),"")</f>
        <v/>
      </c>
      <c r="AK120" s="225" t="str">
        <f>IFERROR(INDEX(Data!CG$9:CG$1273,MATCH($M120,Data!$K$9:$K$1273,0)),"")</f>
        <v/>
      </c>
      <c r="AL120" s="225" t="str">
        <f>IFERROR(INDEX(Data!CH$9:CH$1273,MATCH($M120,Data!$K$9:$K$1273,0)),"")</f>
        <v/>
      </c>
      <c r="AM120" s="225" t="str">
        <f>IFERROR(INDEX(Data!CI$9:CI$1273,MATCH($M120,Data!$K$9:$K$1273,0)),"")</f>
        <v/>
      </c>
      <c r="AN120" s="225" t="str">
        <f>IFERROR(INDEX(Data!CJ$9:CJ$1273,MATCH($M120,Data!$K$9:$K$1273,0)),"")</f>
        <v/>
      </c>
      <c r="AO120" s="225" t="str">
        <f>IFERROR(INDEX(Data!CK$9:CK$1273,MATCH($M120,Data!$K$9:$K$1273,0)),"")</f>
        <v/>
      </c>
      <c r="AP120" s="225" t="str">
        <f>IFERROR(INDEX(Data!CL$9:CL$1273,MATCH($M120,Data!$K$9:$K$1273,0)),"")</f>
        <v/>
      </c>
      <c r="AQ120" s="225" t="str">
        <f>IFERROR(INDEX(Data!CM$9:CM$1273,MATCH($M120,Data!$K$9:$K$1273,0)),"")</f>
        <v/>
      </c>
      <c r="AR120" s="225" t="str">
        <f>IFERROR(INDEX(Data!CN$9:CN$1273,MATCH($M120,Data!$K$9:$K$1273,0)),"")</f>
        <v/>
      </c>
      <c r="AS120" s="225" t="str">
        <f>IFERROR(INDEX(Data!CO$9:CO$1273,MATCH($M120,Data!$K$9:$K$1273,0)),"")</f>
        <v/>
      </c>
      <c r="AT120" s="225" t="str">
        <f>IFERROR(INDEX(Data!CP$9:CP$1273,MATCH($M120,Data!$K$9:$K$1273,0)),"")</f>
        <v/>
      </c>
      <c r="AU120" s="225" t="str">
        <f>IFERROR(INDEX(Data!CQ$9:CQ$1273,MATCH($M120,Data!$K$9:$K$1273,0)),"")</f>
        <v/>
      </c>
      <c r="AV120" s="225" t="str">
        <f>IFERROR(INDEX(Data!CR$9:CR$1273,MATCH($M120,Data!$K$9:$K$1273,0)),"")</f>
        <v/>
      </c>
      <c r="AW120" s="225" t="str">
        <f>IFERROR(INDEX(Data!CS$9:CS$1273,MATCH($M120,Data!$K$9:$K$1273,0)),"")</f>
        <v/>
      </c>
      <c r="AX120" s="225" t="str">
        <f>IFERROR(INDEX(Data!CT$9:CT$1273,MATCH($M120,Data!$K$9:$K$1273,0)),"")</f>
        <v/>
      </c>
      <c r="AY120" s="225" t="str">
        <f>IFERROR(INDEX(Data!CU$9:CU$1273,MATCH($M120,Data!$K$9:$K$1273,0)),"")</f>
        <v/>
      </c>
      <c r="AZ120" s="225" t="str">
        <f>IFERROR(INDEX(Data!CV$9:CV$1273,MATCH($M120,Data!$K$9:$K$1273,0)),"")</f>
        <v/>
      </c>
      <c r="BA120" s="225" t="str">
        <f>IFERROR(INDEX(Data!CX$9:CX$1273,MATCH($M120,Data!$K$9:$K$1273,0)),"")</f>
        <v/>
      </c>
      <c r="BB120" s="225" t="str">
        <f>IFERROR(INDEX(Data!CY$9:CY$1273,MATCH($M120,Data!$K$9:$K$1273,0)),"")</f>
        <v/>
      </c>
      <c r="BC120" s="225" t="str">
        <f>IFERROR(INDEX(Data!CZ$9:CZ$1273,MATCH($M120,Data!$K$9:$K$1273,0)),"")</f>
        <v/>
      </c>
      <c r="BD120" s="225" t="str">
        <f>IFERROR(INDEX(Data!DA$9:DA$1273,MATCH($M120,Data!$K$9:$K$1273,0)),"")</f>
        <v/>
      </c>
      <c r="BE120" s="225" t="str">
        <f>IFERROR(INDEX(Data!DB$9:DB$1273,MATCH($M120,Data!$K$9:$K$1273,0)),"")</f>
        <v/>
      </c>
      <c r="BF120" s="225" t="str">
        <f>IFERROR(INDEX(Data!DC$9:DC$1273,MATCH($M120,Data!$K$9:$K$1273,0)),"")</f>
        <v/>
      </c>
      <c r="BG120" s="225" t="str">
        <f>IFERROR(INDEX(Data!DD$9:DD$1273,MATCH($M120,Data!$K$9:$K$1273,0)),"")</f>
        <v/>
      </c>
      <c r="BH120" s="225" t="str">
        <f>IFERROR(INDEX(Data!DE$9:DE$1273,MATCH($M120,Data!$K$9:$K$1273,0)),"")</f>
        <v/>
      </c>
      <c r="BI120" s="225" t="str">
        <f>IFERROR(INDEX(Data!DF$9:DF$1273,MATCH($M120,Data!$K$9:$K$1273,0)),"")</f>
        <v/>
      </c>
      <c r="BJ120" s="225" t="str">
        <f>IFERROR(INDEX(Data!DG$9:DG$1273,MATCH($M120,Data!$K$9:$K$1273,0)),"")</f>
        <v/>
      </c>
      <c r="BK120" s="225" t="str">
        <f>IFERROR(INDEX(Data!DH$9:DH$1273,MATCH($M120,Data!$K$9:$K$1273,0)),"")</f>
        <v/>
      </c>
      <c r="BL120" s="225" t="str">
        <f>IFERROR(INDEX(Data!DI$9:DI$1273,MATCH($M120,Data!$K$9:$K$1273,0)),"")</f>
        <v/>
      </c>
      <c r="BM120" s="225" t="str">
        <f>IFERROR(INDEX(Data!DJ$9:DJ$1273,MATCH($M120,Data!$K$9:$K$1273,0)),"")</f>
        <v/>
      </c>
      <c r="BN120" s="225" t="str">
        <f>IFERROR(INDEX(Data!DK$9:DK$1273,MATCH($M120,Data!$K$9:$K$1273,0)),"")</f>
        <v/>
      </c>
      <c r="BO120" s="225" t="str">
        <f>IFERROR(INDEX(Data!DL$9:DL$1273,MATCH($M120,Data!$K$9:$K$1273,0)),"")</f>
        <v/>
      </c>
      <c r="BP120" s="243" t="str">
        <f t="shared" si="11"/>
        <v/>
      </c>
      <c r="BQ120" s="225" t="str">
        <f t="shared" si="12"/>
        <v xml:space="preserve"> </v>
      </c>
      <c r="BR120" s="225" t="str">
        <f t="shared" si="13"/>
        <v/>
      </c>
      <c r="BS120" s="225" t="str">
        <f>IFERROR(INDEX(Data!$DO$9:$DO$1273,MATCH('Your recommendation'!BR120,Data!$DN$9:$DN$1273,0)),"")</f>
        <v/>
      </c>
    </row>
    <row r="121" spans="2:71" ht="15.6" customHeight="1">
      <c r="B121" s="222" t="str">
        <f t="shared" si="14"/>
        <v/>
      </c>
      <c r="C121" s="223"/>
      <c r="D121" s="225" t="str">
        <f>IFERROR(INDEX(Data!BR$9:BR$1273,MATCH($M121,Data!$K$9:$K$1273,0)),"")</f>
        <v/>
      </c>
      <c r="E121" s="225" t="str">
        <f>IFERROR(INDEX(Data!BS$9:BS$1273,MATCH($M121,Data!$K$9:$K$1273,0)),"")</f>
        <v/>
      </c>
      <c r="F121" s="225" t="str">
        <f>IFERROR(INDEX(Data!DM$9:DM$1273,MATCH($M121,Data!$K$9:$K$1273,0)),"")</f>
        <v/>
      </c>
      <c r="G121" s="225" t="str">
        <f>IFERROR(INDEX(Data!BV$9:BV$1273,MATCH($M121,Data!$K$9:$K$1273,0)),"")</f>
        <v/>
      </c>
      <c r="H121" s="225" t="str">
        <f>IFERROR(INDEX(Data!BW$9:BW$1273,MATCH($M121,Data!$K$9:$K$1273,0)),"")</f>
        <v/>
      </c>
      <c r="I121" s="225" t="str">
        <f>IFERROR(INDEX(Data!BX$9:BX$1273,MATCH($M121,Data!$K$9:$K$1273,0)),"")</f>
        <v/>
      </c>
      <c r="J121" s="225" t="str">
        <f>IFERROR(INDEX(Data!CB$9:CB$1273,MATCH($M121,Data!$K$9:$K$1273,0)),"")</f>
        <v/>
      </c>
      <c r="K121" s="241" t="str">
        <f t="shared" si="9"/>
        <v/>
      </c>
      <c r="L121" s="242" t="str">
        <f t="shared" si="10"/>
        <v/>
      </c>
      <c r="M121" s="224"/>
      <c r="N121" s="224"/>
      <c r="O121" s="224" t="str">
        <f>IFERROR(INDEX(Data!M$9:M$1273,MATCH($M121,Data!$K$9:$K$1273,0)),"")</f>
        <v/>
      </c>
      <c r="P121" s="224" t="str">
        <f>IFERROR(INDEX(Data!N$9:N$1273,MATCH($M121,Data!$K$9:$K$1273,0)),"")</f>
        <v/>
      </c>
      <c r="Q121" s="224" t="str">
        <f>IFERROR(INDEX(Data!O$9:O$1273,MATCH($M121,Data!$K$9:$K$1273,0)),"")</f>
        <v/>
      </c>
      <c r="R121" s="224" t="str">
        <f>IFERROR(INDEX(Data!P$9:P$1273,MATCH($M121,Data!$K$9:$K$1273,0)),"")</f>
        <v/>
      </c>
      <c r="S121" s="224" t="str">
        <f>IFERROR(INDEX(Data!S$9:S$1273,MATCH($M121,Data!$K$9:$K$1273,0)),"")</f>
        <v/>
      </c>
      <c r="T121" s="224" t="str">
        <f>IFERROR(INDEX(Data!T$9:T$1273,MATCH($M121,Data!$K$9:$K$1273,0)),"")</f>
        <v/>
      </c>
      <c r="U121" s="224" t="str">
        <f>IFERROR(INDEX(Data!U$9:U$1273,MATCH($M121,Data!$K$9:$K$1273,0)),"")</f>
        <v/>
      </c>
      <c r="V121" s="224" t="str">
        <f>IFERROR(INDEX(Data!V$9:V$1273,MATCH($M121,Data!$K$9:$K$1273,0)),"")</f>
        <v/>
      </c>
      <c r="W121" s="224" t="str">
        <f>IFERROR(INDEX(Data!W$9:W$1273,MATCH($M121,Data!$K$9:$K$1273,0)),"")</f>
        <v/>
      </c>
      <c r="X121" s="224" t="str">
        <f>IFERROR(INDEX(Data!AJ$9:AJ$1273,MATCH($M121,Data!$K$9:$K$1273,0)),"")</f>
        <v/>
      </c>
      <c r="Y121" s="224" t="str">
        <f>IFERROR(INDEX(Data!AK$9:AK$1273,MATCH($M121,Data!$K$9:$K$1273,0)),"")</f>
        <v/>
      </c>
      <c r="Z121" s="224" t="str">
        <f>IFERROR(INDEX(Data!AL$9:AL$1273,MATCH($M121,Data!$K$9:$K$1273,0)),"")</f>
        <v/>
      </c>
      <c r="AA121" s="224" t="str">
        <f>IFERROR(INDEX(Data!AM$9:AM$1273,MATCH($M121,Data!$K$9:$K$1273,0)),"")</f>
        <v/>
      </c>
      <c r="AB121" s="224" t="str">
        <f>IFERROR(INDEX(Data!AN$9:AN$1273,MATCH($M121,Data!$K$9:$K$1273,0)),"")</f>
        <v/>
      </c>
      <c r="AC121" s="225" t="str">
        <f>IFERROR(INDEX(Data!BY$9:BY$1273,MATCH($M121,Data!$K$9:$K$1273,0)),"")</f>
        <v/>
      </c>
      <c r="AD121" s="225" t="str">
        <f>IFERROR(INDEX(Data!BZ$9:BZ$1273,MATCH($M121,Data!$K$9:$K$1273,0)),"")</f>
        <v/>
      </c>
      <c r="AE121" s="225" t="str">
        <f>IFERROR(INDEX(Data!CA$9:CA$1273,MATCH($M121,Data!$K$9:$K$1273,0)),"")</f>
        <v/>
      </c>
      <c r="AF121" s="225" t="str">
        <f>IFERROR(INDEX(Data!CB$9:CB$1273,MATCH($M121,Data!$K$9:$K$1273,0)),"")</f>
        <v/>
      </c>
      <c r="AG121" s="225" t="str">
        <f>IFERROR(INDEX(Data!CC$9:CC$1273,MATCH($M121,Data!$K$9:$K$1273,0)),"")</f>
        <v/>
      </c>
      <c r="AH121" s="225" t="str">
        <f>IFERROR(INDEX(Data!CD$9:CD$1273,MATCH($M121,Data!$K$9:$K$1273,0)),"")</f>
        <v/>
      </c>
      <c r="AI121" s="225" t="str">
        <f>IFERROR(INDEX(Data!CE$9:CE$1273,MATCH($M121,Data!$K$9:$K$1273,0)),"")</f>
        <v/>
      </c>
      <c r="AJ121" s="225" t="str">
        <f>IFERROR(INDEX(Data!CF$9:CF$1273,MATCH($M121,Data!$K$9:$K$1273,0)),"")</f>
        <v/>
      </c>
      <c r="AK121" s="225" t="str">
        <f>IFERROR(INDEX(Data!CG$9:CG$1273,MATCH($M121,Data!$K$9:$K$1273,0)),"")</f>
        <v/>
      </c>
      <c r="AL121" s="225" t="str">
        <f>IFERROR(INDEX(Data!CH$9:CH$1273,MATCH($M121,Data!$K$9:$K$1273,0)),"")</f>
        <v/>
      </c>
      <c r="AM121" s="225" t="str">
        <f>IFERROR(INDEX(Data!CI$9:CI$1273,MATCH($M121,Data!$K$9:$K$1273,0)),"")</f>
        <v/>
      </c>
      <c r="AN121" s="225" t="str">
        <f>IFERROR(INDEX(Data!CJ$9:CJ$1273,MATCH($M121,Data!$K$9:$K$1273,0)),"")</f>
        <v/>
      </c>
      <c r="AO121" s="225" t="str">
        <f>IFERROR(INDEX(Data!CK$9:CK$1273,MATCH($M121,Data!$K$9:$K$1273,0)),"")</f>
        <v/>
      </c>
      <c r="AP121" s="225" t="str">
        <f>IFERROR(INDEX(Data!CL$9:CL$1273,MATCH($M121,Data!$K$9:$K$1273,0)),"")</f>
        <v/>
      </c>
      <c r="AQ121" s="225" t="str">
        <f>IFERROR(INDEX(Data!CM$9:CM$1273,MATCH($M121,Data!$K$9:$K$1273,0)),"")</f>
        <v/>
      </c>
      <c r="AR121" s="225" t="str">
        <f>IFERROR(INDEX(Data!CN$9:CN$1273,MATCH($M121,Data!$K$9:$K$1273,0)),"")</f>
        <v/>
      </c>
      <c r="AS121" s="225" t="str">
        <f>IFERROR(INDEX(Data!CO$9:CO$1273,MATCH($M121,Data!$K$9:$K$1273,0)),"")</f>
        <v/>
      </c>
      <c r="AT121" s="225" t="str">
        <f>IFERROR(INDEX(Data!CP$9:CP$1273,MATCH($M121,Data!$K$9:$K$1273,0)),"")</f>
        <v/>
      </c>
      <c r="AU121" s="225" t="str">
        <f>IFERROR(INDEX(Data!CQ$9:CQ$1273,MATCH($M121,Data!$K$9:$K$1273,0)),"")</f>
        <v/>
      </c>
      <c r="AV121" s="225" t="str">
        <f>IFERROR(INDEX(Data!CR$9:CR$1273,MATCH($M121,Data!$K$9:$K$1273,0)),"")</f>
        <v/>
      </c>
      <c r="AW121" s="225" t="str">
        <f>IFERROR(INDEX(Data!CS$9:CS$1273,MATCH($M121,Data!$K$9:$K$1273,0)),"")</f>
        <v/>
      </c>
      <c r="AX121" s="225" t="str">
        <f>IFERROR(INDEX(Data!CT$9:CT$1273,MATCH($M121,Data!$K$9:$K$1273,0)),"")</f>
        <v/>
      </c>
      <c r="AY121" s="225" t="str">
        <f>IFERROR(INDEX(Data!CU$9:CU$1273,MATCH($M121,Data!$K$9:$K$1273,0)),"")</f>
        <v/>
      </c>
      <c r="AZ121" s="225" t="str">
        <f>IFERROR(INDEX(Data!CV$9:CV$1273,MATCH($M121,Data!$K$9:$K$1273,0)),"")</f>
        <v/>
      </c>
      <c r="BA121" s="225" t="str">
        <f>IFERROR(INDEX(Data!CX$9:CX$1273,MATCH($M121,Data!$K$9:$K$1273,0)),"")</f>
        <v/>
      </c>
      <c r="BB121" s="225" t="str">
        <f>IFERROR(INDEX(Data!CY$9:CY$1273,MATCH($M121,Data!$K$9:$K$1273,0)),"")</f>
        <v/>
      </c>
      <c r="BC121" s="225" t="str">
        <f>IFERROR(INDEX(Data!CZ$9:CZ$1273,MATCH($M121,Data!$K$9:$K$1273,0)),"")</f>
        <v/>
      </c>
      <c r="BD121" s="225" t="str">
        <f>IFERROR(INDEX(Data!DA$9:DA$1273,MATCH($M121,Data!$K$9:$K$1273,0)),"")</f>
        <v/>
      </c>
      <c r="BE121" s="225" t="str">
        <f>IFERROR(INDEX(Data!DB$9:DB$1273,MATCH($M121,Data!$K$9:$K$1273,0)),"")</f>
        <v/>
      </c>
      <c r="BF121" s="225" t="str">
        <f>IFERROR(INDEX(Data!DC$9:DC$1273,MATCH($M121,Data!$K$9:$K$1273,0)),"")</f>
        <v/>
      </c>
      <c r="BG121" s="225" t="str">
        <f>IFERROR(INDEX(Data!DD$9:DD$1273,MATCH($M121,Data!$K$9:$K$1273,0)),"")</f>
        <v/>
      </c>
      <c r="BH121" s="225" t="str">
        <f>IFERROR(INDEX(Data!DE$9:DE$1273,MATCH($M121,Data!$K$9:$K$1273,0)),"")</f>
        <v/>
      </c>
      <c r="BI121" s="225" t="str">
        <f>IFERROR(INDEX(Data!DF$9:DF$1273,MATCH($M121,Data!$K$9:$K$1273,0)),"")</f>
        <v/>
      </c>
      <c r="BJ121" s="225" t="str">
        <f>IFERROR(INDEX(Data!DG$9:DG$1273,MATCH($M121,Data!$K$9:$K$1273,0)),"")</f>
        <v/>
      </c>
      <c r="BK121" s="225" t="str">
        <f>IFERROR(INDEX(Data!DH$9:DH$1273,MATCH($M121,Data!$K$9:$K$1273,0)),"")</f>
        <v/>
      </c>
      <c r="BL121" s="225" t="str">
        <f>IFERROR(INDEX(Data!DI$9:DI$1273,MATCH($M121,Data!$K$9:$K$1273,0)),"")</f>
        <v/>
      </c>
      <c r="BM121" s="225" t="str">
        <f>IFERROR(INDEX(Data!DJ$9:DJ$1273,MATCH($M121,Data!$K$9:$K$1273,0)),"")</f>
        <v/>
      </c>
      <c r="BN121" s="225" t="str">
        <f>IFERROR(INDEX(Data!DK$9:DK$1273,MATCH($M121,Data!$K$9:$K$1273,0)),"")</f>
        <v/>
      </c>
      <c r="BO121" s="225" t="str">
        <f>IFERROR(INDEX(Data!DL$9:DL$1273,MATCH($M121,Data!$K$9:$K$1273,0)),"")</f>
        <v/>
      </c>
      <c r="BP121" s="243" t="str">
        <f t="shared" si="11"/>
        <v/>
      </c>
      <c r="BQ121" s="225" t="str">
        <f t="shared" si="12"/>
        <v xml:space="preserve"> </v>
      </c>
      <c r="BR121" s="225" t="str">
        <f t="shared" si="13"/>
        <v/>
      </c>
      <c r="BS121" s="225" t="str">
        <f>IFERROR(INDEX(Data!$DO$9:$DO$1273,MATCH('Your recommendation'!BR121,Data!$DN$9:$DN$1273,0)),"")</f>
        <v/>
      </c>
    </row>
    <row r="122" spans="2:71" ht="15.6" customHeight="1">
      <c r="B122" s="222" t="str">
        <f t="shared" si="14"/>
        <v/>
      </c>
      <c r="C122" s="223"/>
      <c r="D122" s="225" t="str">
        <f>IFERROR(INDEX(Data!BR$9:BR$1273,MATCH($M122,Data!$K$9:$K$1273,0)),"")</f>
        <v/>
      </c>
      <c r="E122" s="225" t="str">
        <f>IFERROR(INDEX(Data!BS$9:BS$1273,MATCH($M122,Data!$K$9:$K$1273,0)),"")</f>
        <v/>
      </c>
      <c r="F122" s="225" t="str">
        <f>IFERROR(INDEX(Data!DM$9:DM$1273,MATCH($M122,Data!$K$9:$K$1273,0)),"")</f>
        <v/>
      </c>
      <c r="G122" s="225" t="str">
        <f>IFERROR(INDEX(Data!BV$9:BV$1273,MATCH($M122,Data!$K$9:$K$1273,0)),"")</f>
        <v/>
      </c>
      <c r="H122" s="225" t="str">
        <f>IFERROR(INDEX(Data!BW$9:BW$1273,MATCH($M122,Data!$K$9:$K$1273,0)),"")</f>
        <v/>
      </c>
      <c r="I122" s="225" t="str">
        <f>IFERROR(INDEX(Data!BX$9:BX$1273,MATCH($M122,Data!$K$9:$K$1273,0)),"")</f>
        <v/>
      </c>
      <c r="J122" s="225" t="str">
        <f>IFERROR(INDEX(Data!CB$9:CB$1273,MATCH($M122,Data!$K$9:$K$1273,0)),"")</f>
        <v/>
      </c>
      <c r="K122" s="241" t="str">
        <f t="shared" si="9"/>
        <v/>
      </c>
      <c r="L122" s="242" t="str">
        <f t="shared" si="10"/>
        <v/>
      </c>
      <c r="M122" s="224"/>
      <c r="N122" s="224"/>
      <c r="O122" s="224" t="str">
        <f>IFERROR(INDEX(Data!M$9:M$1273,MATCH($M122,Data!$K$9:$K$1273,0)),"")</f>
        <v/>
      </c>
      <c r="P122" s="224" t="str">
        <f>IFERROR(INDEX(Data!N$9:N$1273,MATCH($M122,Data!$K$9:$K$1273,0)),"")</f>
        <v/>
      </c>
      <c r="Q122" s="224" t="str">
        <f>IFERROR(INDEX(Data!O$9:O$1273,MATCH($M122,Data!$K$9:$K$1273,0)),"")</f>
        <v/>
      </c>
      <c r="R122" s="224" t="str">
        <f>IFERROR(INDEX(Data!P$9:P$1273,MATCH($M122,Data!$K$9:$K$1273,0)),"")</f>
        <v/>
      </c>
      <c r="S122" s="224" t="str">
        <f>IFERROR(INDEX(Data!S$9:S$1273,MATCH($M122,Data!$K$9:$K$1273,0)),"")</f>
        <v/>
      </c>
      <c r="T122" s="224" t="str">
        <f>IFERROR(INDEX(Data!T$9:T$1273,MATCH($M122,Data!$K$9:$K$1273,0)),"")</f>
        <v/>
      </c>
      <c r="U122" s="224" t="str">
        <f>IFERROR(INDEX(Data!U$9:U$1273,MATCH($M122,Data!$K$9:$K$1273,0)),"")</f>
        <v/>
      </c>
      <c r="V122" s="224" t="str">
        <f>IFERROR(INDEX(Data!V$9:V$1273,MATCH($M122,Data!$K$9:$K$1273,0)),"")</f>
        <v/>
      </c>
      <c r="W122" s="224" t="str">
        <f>IFERROR(INDEX(Data!W$9:W$1273,MATCH($M122,Data!$K$9:$K$1273,0)),"")</f>
        <v/>
      </c>
      <c r="X122" s="224" t="str">
        <f>IFERROR(INDEX(Data!AJ$9:AJ$1273,MATCH($M122,Data!$K$9:$K$1273,0)),"")</f>
        <v/>
      </c>
      <c r="Y122" s="224" t="str">
        <f>IFERROR(INDEX(Data!AK$9:AK$1273,MATCH($M122,Data!$K$9:$K$1273,0)),"")</f>
        <v/>
      </c>
      <c r="Z122" s="224" t="str">
        <f>IFERROR(INDEX(Data!AL$9:AL$1273,MATCH($M122,Data!$K$9:$K$1273,0)),"")</f>
        <v/>
      </c>
      <c r="AA122" s="224" t="str">
        <f>IFERROR(INDEX(Data!AM$9:AM$1273,MATCH($M122,Data!$K$9:$K$1273,0)),"")</f>
        <v/>
      </c>
      <c r="AB122" s="224" t="str">
        <f>IFERROR(INDEX(Data!AN$9:AN$1273,MATCH($M122,Data!$K$9:$K$1273,0)),"")</f>
        <v/>
      </c>
      <c r="AC122" s="225" t="str">
        <f>IFERROR(INDEX(Data!BY$9:BY$1273,MATCH($M122,Data!$K$9:$K$1273,0)),"")</f>
        <v/>
      </c>
      <c r="AD122" s="225" t="str">
        <f>IFERROR(INDEX(Data!BZ$9:BZ$1273,MATCH($M122,Data!$K$9:$K$1273,0)),"")</f>
        <v/>
      </c>
      <c r="AE122" s="225" t="str">
        <f>IFERROR(INDEX(Data!CA$9:CA$1273,MATCH($M122,Data!$K$9:$K$1273,0)),"")</f>
        <v/>
      </c>
      <c r="AF122" s="225" t="str">
        <f>IFERROR(INDEX(Data!CB$9:CB$1273,MATCH($M122,Data!$K$9:$K$1273,0)),"")</f>
        <v/>
      </c>
      <c r="AG122" s="225" t="str">
        <f>IFERROR(INDEX(Data!CC$9:CC$1273,MATCH($M122,Data!$K$9:$K$1273,0)),"")</f>
        <v/>
      </c>
      <c r="AH122" s="225" t="str">
        <f>IFERROR(INDEX(Data!CD$9:CD$1273,MATCH($M122,Data!$K$9:$K$1273,0)),"")</f>
        <v/>
      </c>
      <c r="AI122" s="225" t="str">
        <f>IFERROR(INDEX(Data!CE$9:CE$1273,MATCH($M122,Data!$K$9:$K$1273,0)),"")</f>
        <v/>
      </c>
      <c r="AJ122" s="225" t="str">
        <f>IFERROR(INDEX(Data!CF$9:CF$1273,MATCH($M122,Data!$K$9:$K$1273,0)),"")</f>
        <v/>
      </c>
      <c r="AK122" s="225" t="str">
        <f>IFERROR(INDEX(Data!CG$9:CG$1273,MATCH($M122,Data!$K$9:$K$1273,0)),"")</f>
        <v/>
      </c>
      <c r="AL122" s="225" t="str">
        <f>IFERROR(INDEX(Data!CH$9:CH$1273,MATCH($M122,Data!$K$9:$K$1273,0)),"")</f>
        <v/>
      </c>
      <c r="AM122" s="225" t="str">
        <f>IFERROR(INDEX(Data!CI$9:CI$1273,MATCH($M122,Data!$K$9:$K$1273,0)),"")</f>
        <v/>
      </c>
      <c r="AN122" s="225" t="str">
        <f>IFERROR(INDEX(Data!CJ$9:CJ$1273,MATCH($M122,Data!$K$9:$K$1273,0)),"")</f>
        <v/>
      </c>
      <c r="AO122" s="225" t="str">
        <f>IFERROR(INDEX(Data!CK$9:CK$1273,MATCH($M122,Data!$K$9:$K$1273,0)),"")</f>
        <v/>
      </c>
      <c r="AP122" s="225" t="str">
        <f>IFERROR(INDEX(Data!CL$9:CL$1273,MATCH($M122,Data!$K$9:$K$1273,0)),"")</f>
        <v/>
      </c>
      <c r="AQ122" s="225" t="str">
        <f>IFERROR(INDEX(Data!CM$9:CM$1273,MATCH($M122,Data!$K$9:$K$1273,0)),"")</f>
        <v/>
      </c>
      <c r="AR122" s="225" t="str">
        <f>IFERROR(INDEX(Data!CN$9:CN$1273,MATCH($M122,Data!$K$9:$K$1273,0)),"")</f>
        <v/>
      </c>
      <c r="AS122" s="225" t="str">
        <f>IFERROR(INDEX(Data!CO$9:CO$1273,MATCH($M122,Data!$K$9:$K$1273,0)),"")</f>
        <v/>
      </c>
      <c r="AT122" s="225" t="str">
        <f>IFERROR(INDEX(Data!CP$9:CP$1273,MATCH($M122,Data!$K$9:$K$1273,0)),"")</f>
        <v/>
      </c>
      <c r="AU122" s="225" t="str">
        <f>IFERROR(INDEX(Data!CQ$9:CQ$1273,MATCH($M122,Data!$K$9:$K$1273,0)),"")</f>
        <v/>
      </c>
      <c r="AV122" s="225" t="str">
        <f>IFERROR(INDEX(Data!CR$9:CR$1273,MATCH($M122,Data!$K$9:$K$1273,0)),"")</f>
        <v/>
      </c>
      <c r="AW122" s="225" t="str">
        <f>IFERROR(INDEX(Data!CS$9:CS$1273,MATCH($M122,Data!$K$9:$K$1273,0)),"")</f>
        <v/>
      </c>
      <c r="AX122" s="225" t="str">
        <f>IFERROR(INDEX(Data!CT$9:CT$1273,MATCH($M122,Data!$K$9:$K$1273,0)),"")</f>
        <v/>
      </c>
      <c r="AY122" s="225" t="str">
        <f>IFERROR(INDEX(Data!CU$9:CU$1273,MATCH($M122,Data!$K$9:$K$1273,0)),"")</f>
        <v/>
      </c>
      <c r="AZ122" s="225" t="str">
        <f>IFERROR(INDEX(Data!CV$9:CV$1273,MATCH($M122,Data!$K$9:$K$1273,0)),"")</f>
        <v/>
      </c>
      <c r="BA122" s="225" t="str">
        <f>IFERROR(INDEX(Data!CX$9:CX$1273,MATCH($M122,Data!$K$9:$K$1273,0)),"")</f>
        <v/>
      </c>
      <c r="BB122" s="225" t="str">
        <f>IFERROR(INDEX(Data!CY$9:CY$1273,MATCH($M122,Data!$K$9:$K$1273,0)),"")</f>
        <v/>
      </c>
      <c r="BC122" s="225" t="str">
        <f>IFERROR(INDEX(Data!CZ$9:CZ$1273,MATCH($M122,Data!$K$9:$K$1273,0)),"")</f>
        <v/>
      </c>
      <c r="BD122" s="225" t="str">
        <f>IFERROR(INDEX(Data!DA$9:DA$1273,MATCH($M122,Data!$K$9:$K$1273,0)),"")</f>
        <v/>
      </c>
      <c r="BE122" s="225" t="str">
        <f>IFERROR(INDEX(Data!DB$9:DB$1273,MATCH($M122,Data!$K$9:$K$1273,0)),"")</f>
        <v/>
      </c>
      <c r="BF122" s="225" t="str">
        <f>IFERROR(INDEX(Data!DC$9:DC$1273,MATCH($M122,Data!$K$9:$K$1273,0)),"")</f>
        <v/>
      </c>
      <c r="BG122" s="225" t="str">
        <f>IFERROR(INDEX(Data!DD$9:DD$1273,MATCH($M122,Data!$K$9:$K$1273,0)),"")</f>
        <v/>
      </c>
      <c r="BH122" s="225" t="str">
        <f>IFERROR(INDEX(Data!DE$9:DE$1273,MATCH($M122,Data!$K$9:$K$1273,0)),"")</f>
        <v/>
      </c>
      <c r="BI122" s="225" t="str">
        <f>IFERROR(INDEX(Data!DF$9:DF$1273,MATCH($M122,Data!$K$9:$K$1273,0)),"")</f>
        <v/>
      </c>
      <c r="BJ122" s="225" t="str">
        <f>IFERROR(INDEX(Data!DG$9:DG$1273,MATCH($M122,Data!$K$9:$K$1273,0)),"")</f>
        <v/>
      </c>
      <c r="BK122" s="225" t="str">
        <f>IFERROR(INDEX(Data!DH$9:DH$1273,MATCH($M122,Data!$K$9:$K$1273,0)),"")</f>
        <v/>
      </c>
      <c r="BL122" s="225" t="str">
        <f>IFERROR(INDEX(Data!DI$9:DI$1273,MATCH($M122,Data!$K$9:$K$1273,0)),"")</f>
        <v/>
      </c>
      <c r="BM122" s="225" t="str">
        <f>IFERROR(INDEX(Data!DJ$9:DJ$1273,MATCH($M122,Data!$K$9:$K$1273,0)),"")</f>
        <v/>
      </c>
      <c r="BN122" s="225" t="str">
        <f>IFERROR(INDEX(Data!DK$9:DK$1273,MATCH($M122,Data!$K$9:$K$1273,0)),"")</f>
        <v/>
      </c>
      <c r="BO122" s="225" t="str">
        <f>IFERROR(INDEX(Data!DL$9:DL$1273,MATCH($M122,Data!$K$9:$K$1273,0)),"")</f>
        <v/>
      </c>
      <c r="BP122" s="243" t="str">
        <f t="shared" si="11"/>
        <v/>
      </c>
      <c r="BQ122" s="225" t="str">
        <f t="shared" si="12"/>
        <v xml:space="preserve"> </v>
      </c>
      <c r="BR122" s="225" t="str">
        <f t="shared" si="13"/>
        <v/>
      </c>
      <c r="BS122" s="225" t="str">
        <f>IFERROR(INDEX(Data!$DO$9:$DO$1273,MATCH('Your recommendation'!BR122,Data!$DN$9:$DN$1273,0)),"")</f>
        <v/>
      </c>
    </row>
    <row r="123" spans="2:71" ht="15.6" customHeight="1">
      <c r="B123" s="222" t="str">
        <f t="shared" si="14"/>
        <v/>
      </c>
      <c r="C123" s="223"/>
      <c r="D123" s="225" t="str">
        <f>IFERROR(INDEX(Data!BR$9:BR$1273,MATCH($M123,Data!$K$9:$K$1273,0)),"")</f>
        <v/>
      </c>
      <c r="E123" s="225" t="str">
        <f>IFERROR(INDEX(Data!BS$9:BS$1273,MATCH($M123,Data!$K$9:$K$1273,0)),"")</f>
        <v/>
      </c>
      <c r="F123" s="225" t="str">
        <f>IFERROR(INDEX(Data!DM$9:DM$1273,MATCH($M123,Data!$K$9:$K$1273,0)),"")</f>
        <v/>
      </c>
      <c r="G123" s="225" t="str">
        <f>IFERROR(INDEX(Data!BV$9:BV$1273,MATCH($M123,Data!$K$9:$K$1273,0)),"")</f>
        <v/>
      </c>
      <c r="H123" s="225" t="str">
        <f>IFERROR(INDEX(Data!BW$9:BW$1273,MATCH($M123,Data!$K$9:$K$1273,0)),"")</f>
        <v/>
      </c>
      <c r="I123" s="225" t="str">
        <f>IFERROR(INDEX(Data!BX$9:BX$1273,MATCH($M123,Data!$K$9:$K$1273,0)),"")</f>
        <v/>
      </c>
      <c r="J123" s="225" t="str">
        <f>IFERROR(INDEX(Data!CB$9:CB$1273,MATCH($M123,Data!$K$9:$K$1273,0)),"")</f>
        <v/>
      </c>
      <c r="K123" s="241" t="str">
        <f t="shared" si="9"/>
        <v/>
      </c>
      <c r="L123" s="242" t="str">
        <f t="shared" si="10"/>
        <v/>
      </c>
      <c r="M123" s="224"/>
      <c r="N123" s="224"/>
      <c r="O123" s="224" t="str">
        <f>IFERROR(INDEX(Data!M$9:M$1273,MATCH($M123,Data!$K$9:$K$1273,0)),"")</f>
        <v/>
      </c>
      <c r="P123" s="224" t="str">
        <f>IFERROR(INDEX(Data!N$9:N$1273,MATCH($M123,Data!$K$9:$K$1273,0)),"")</f>
        <v/>
      </c>
      <c r="Q123" s="224" t="str">
        <f>IFERROR(INDEX(Data!O$9:O$1273,MATCH($M123,Data!$K$9:$K$1273,0)),"")</f>
        <v/>
      </c>
      <c r="R123" s="224" t="str">
        <f>IFERROR(INDEX(Data!P$9:P$1273,MATCH($M123,Data!$K$9:$K$1273,0)),"")</f>
        <v/>
      </c>
      <c r="S123" s="224" t="str">
        <f>IFERROR(INDEX(Data!S$9:S$1273,MATCH($M123,Data!$K$9:$K$1273,0)),"")</f>
        <v/>
      </c>
      <c r="T123" s="224" t="str">
        <f>IFERROR(INDEX(Data!T$9:T$1273,MATCH($M123,Data!$K$9:$K$1273,0)),"")</f>
        <v/>
      </c>
      <c r="U123" s="224" t="str">
        <f>IFERROR(INDEX(Data!U$9:U$1273,MATCH($M123,Data!$K$9:$K$1273,0)),"")</f>
        <v/>
      </c>
      <c r="V123" s="224" t="str">
        <f>IFERROR(INDEX(Data!V$9:V$1273,MATCH($M123,Data!$K$9:$K$1273,0)),"")</f>
        <v/>
      </c>
      <c r="W123" s="224" t="str">
        <f>IFERROR(INDEX(Data!W$9:W$1273,MATCH($M123,Data!$K$9:$K$1273,0)),"")</f>
        <v/>
      </c>
      <c r="X123" s="224" t="str">
        <f>IFERROR(INDEX(Data!AJ$9:AJ$1273,MATCH($M123,Data!$K$9:$K$1273,0)),"")</f>
        <v/>
      </c>
      <c r="Y123" s="224" t="str">
        <f>IFERROR(INDEX(Data!AK$9:AK$1273,MATCH($M123,Data!$K$9:$K$1273,0)),"")</f>
        <v/>
      </c>
      <c r="Z123" s="224" t="str">
        <f>IFERROR(INDEX(Data!AL$9:AL$1273,MATCH($M123,Data!$K$9:$K$1273,0)),"")</f>
        <v/>
      </c>
      <c r="AA123" s="224" t="str">
        <f>IFERROR(INDEX(Data!AM$9:AM$1273,MATCH($M123,Data!$K$9:$K$1273,0)),"")</f>
        <v/>
      </c>
      <c r="AB123" s="224" t="str">
        <f>IFERROR(INDEX(Data!AN$9:AN$1273,MATCH($M123,Data!$K$9:$K$1273,0)),"")</f>
        <v/>
      </c>
      <c r="AC123" s="225" t="str">
        <f>IFERROR(INDEX(Data!BY$9:BY$1273,MATCH($M123,Data!$K$9:$K$1273,0)),"")</f>
        <v/>
      </c>
      <c r="AD123" s="225" t="str">
        <f>IFERROR(INDEX(Data!BZ$9:BZ$1273,MATCH($M123,Data!$K$9:$K$1273,0)),"")</f>
        <v/>
      </c>
      <c r="AE123" s="225" t="str">
        <f>IFERROR(INDEX(Data!CA$9:CA$1273,MATCH($M123,Data!$K$9:$K$1273,0)),"")</f>
        <v/>
      </c>
      <c r="AF123" s="225" t="str">
        <f>IFERROR(INDEX(Data!CB$9:CB$1273,MATCH($M123,Data!$K$9:$K$1273,0)),"")</f>
        <v/>
      </c>
      <c r="AG123" s="225" t="str">
        <f>IFERROR(INDEX(Data!CC$9:CC$1273,MATCH($M123,Data!$K$9:$K$1273,0)),"")</f>
        <v/>
      </c>
      <c r="AH123" s="225" t="str">
        <f>IFERROR(INDEX(Data!CD$9:CD$1273,MATCH($M123,Data!$K$9:$K$1273,0)),"")</f>
        <v/>
      </c>
      <c r="AI123" s="225" t="str">
        <f>IFERROR(INDEX(Data!CE$9:CE$1273,MATCH($M123,Data!$K$9:$K$1273,0)),"")</f>
        <v/>
      </c>
      <c r="AJ123" s="225" t="str">
        <f>IFERROR(INDEX(Data!CF$9:CF$1273,MATCH($M123,Data!$K$9:$K$1273,0)),"")</f>
        <v/>
      </c>
      <c r="AK123" s="225" t="str">
        <f>IFERROR(INDEX(Data!CG$9:CG$1273,MATCH($M123,Data!$K$9:$K$1273,0)),"")</f>
        <v/>
      </c>
      <c r="AL123" s="225" t="str">
        <f>IFERROR(INDEX(Data!CH$9:CH$1273,MATCH($M123,Data!$K$9:$K$1273,0)),"")</f>
        <v/>
      </c>
      <c r="AM123" s="225" t="str">
        <f>IFERROR(INDEX(Data!CI$9:CI$1273,MATCH($M123,Data!$K$9:$K$1273,0)),"")</f>
        <v/>
      </c>
      <c r="AN123" s="225" t="str">
        <f>IFERROR(INDEX(Data!CJ$9:CJ$1273,MATCH($M123,Data!$K$9:$K$1273,0)),"")</f>
        <v/>
      </c>
      <c r="AO123" s="225" t="str">
        <f>IFERROR(INDEX(Data!CK$9:CK$1273,MATCH($M123,Data!$K$9:$K$1273,0)),"")</f>
        <v/>
      </c>
      <c r="AP123" s="225" t="str">
        <f>IFERROR(INDEX(Data!CL$9:CL$1273,MATCH($M123,Data!$K$9:$K$1273,0)),"")</f>
        <v/>
      </c>
      <c r="AQ123" s="225" t="str">
        <f>IFERROR(INDEX(Data!CM$9:CM$1273,MATCH($M123,Data!$K$9:$K$1273,0)),"")</f>
        <v/>
      </c>
      <c r="AR123" s="225" t="str">
        <f>IFERROR(INDEX(Data!CN$9:CN$1273,MATCH($M123,Data!$K$9:$K$1273,0)),"")</f>
        <v/>
      </c>
      <c r="AS123" s="225" t="str">
        <f>IFERROR(INDEX(Data!CO$9:CO$1273,MATCH($M123,Data!$K$9:$K$1273,0)),"")</f>
        <v/>
      </c>
      <c r="AT123" s="225" t="str">
        <f>IFERROR(INDEX(Data!CP$9:CP$1273,MATCH($M123,Data!$K$9:$K$1273,0)),"")</f>
        <v/>
      </c>
      <c r="AU123" s="225" t="str">
        <f>IFERROR(INDEX(Data!CQ$9:CQ$1273,MATCH($M123,Data!$K$9:$K$1273,0)),"")</f>
        <v/>
      </c>
      <c r="AV123" s="225" t="str">
        <f>IFERROR(INDEX(Data!CR$9:CR$1273,MATCH($M123,Data!$K$9:$K$1273,0)),"")</f>
        <v/>
      </c>
      <c r="AW123" s="225" t="str">
        <f>IFERROR(INDEX(Data!CS$9:CS$1273,MATCH($M123,Data!$K$9:$K$1273,0)),"")</f>
        <v/>
      </c>
      <c r="AX123" s="225" t="str">
        <f>IFERROR(INDEX(Data!CT$9:CT$1273,MATCH($M123,Data!$K$9:$K$1273,0)),"")</f>
        <v/>
      </c>
      <c r="AY123" s="225" t="str">
        <f>IFERROR(INDEX(Data!CU$9:CU$1273,MATCH($M123,Data!$K$9:$K$1273,0)),"")</f>
        <v/>
      </c>
      <c r="AZ123" s="225" t="str">
        <f>IFERROR(INDEX(Data!CV$9:CV$1273,MATCH($M123,Data!$K$9:$K$1273,0)),"")</f>
        <v/>
      </c>
      <c r="BA123" s="225" t="str">
        <f>IFERROR(INDEX(Data!CX$9:CX$1273,MATCH($M123,Data!$K$9:$K$1273,0)),"")</f>
        <v/>
      </c>
      <c r="BB123" s="225" t="str">
        <f>IFERROR(INDEX(Data!CY$9:CY$1273,MATCH($M123,Data!$K$9:$K$1273,0)),"")</f>
        <v/>
      </c>
      <c r="BC123" s="225" t="str">
        <f>IFERROR(INDEX(Data!CZ$9:CZ$1273,MATCH($M123,Data!$K$9:$K$1273,0)),"")</f>
        <v/>
      </c>
      <c r="BD123" s="225" t="str">
        <f>IFERROR(INDEX(Data!DA$9:DA$1273,MATCH($M123,Data!$K$9:$K$1273,0)),"")</f>
        <v/>
      </c>
      <c r="BE123" s="225" t="str">
        <f>IFERROR(INDEX(Data!DB$9:DB$1273,MATCH($M123,Data!$K$9:$K$1273,0)),"")</f>
        <v/>
      </c>
      <c r="BF123" s="225" t="str">
        <f>IFERROR(INDEX(Data!DC$9:DC$1273,MATCH($M123,Data!$K$9:$K$1273,0)),"")</f>
        <v/>
      </c>
      <c r="BG123" s="225" t="str">
        <f>IFERROR(INDEX(Data!DD$9:DD$1273,MATCH($M123,Data!$K$9:$K$1273,0)),"")</f>
        <v/>
      </c>
      <c r="BH123" s="225" t="str">
        <f>IFERROR(INDEX(Data!DE$9:DE$1273,MATCH($M123,Data!$K$9:$K$1273,0)),"")</f>
        <v/>
      </c>
      <c r="BI123" s="225" t="str">
        <f>IFERROR(INDEX(Data!DF$9:DF$1273,MATCH($M123,Data!$K$9:$K$1273,0)),"")</f>
        <v/>
      </c>
      <c r="BJ123" s="225" t="str">
        <f>IFERROR(INDEX(Data!DG$9:DG$1273,MATCH($M123,Data!$K$9:$K$1273,0)),"")</f>
        <v/>
      </c>
      <c r="BK123" s="225" t="str">
        <f>IFERROR(INDEX(Data!DH$9:DH$1273,MATCH($M123,Data!$K$9:$K$1273,0)),"")</f>
        <v/>
      </c>
      <c r="BL123" s="225" t="str">
        <f>IFERROR(INDEX(Data!DI$9:DI$1273,MATCH($M123,Data!$K$9:$K$1273,0)),"")</f>
        <v/>
      </c>
      <c r="BM123" s="225" t="str">
        <f>IFERROR(INDEX(Data!DJ$9:DJ$1273,MATCH($M123,Data!$K$9:$K$1273,0)),"")</f>
        <v/>
      </c>
      <c r="BN123" s="225" t="str">
        <f>IFERROR(INDEX(Data!DK$9:DK$1273,MATCH($M123,Data!$K$9:$K$1273,0)),"")</f>
        <v/>
      </c>
      <c r="BO123" s="225" t="str">
        <f>IFERROR(INDEX(Data!DL$9:DL$1273,MATCH($M123,Data!$K$9:$K$1273,0)),"")</f>
        <v/>
      </c>
      <c r="BP123" s="243" t="str">
        <f t="shared" si="11"/>
        <v/>
      </c>
      <c r="BQ123" s="225" t="str">
        <f t="shared" si="12"/>
        <v xml:space="preserve"> </v>
      </c>
      <c r="BR123" s="225" t="str">
        <f t="shared" si="13"/>
        <v/>
      </c>
      <c r="BS123" s="225" t="str">
        <f>IFERROR(INDEX(Data!$DO$9:$DO$1273,MATCH('Your recommendation'!BR123,Data!$DN$9:$DN$1273,0)),"")</f>
        <v/>
      </c>
    </row>
    <row r="124" spans="2:71" ht="15.6" customHeight="1">
      <c r="B124" s="222" t="str">
        <f t="shared" si="14"/>
        <v/>
      </c>
      <c r="C124" s="223"/>
      <c r="D124" s="225" t="str">
        <f>IFERROR(INDEX(Data!BR$9:BR$1273,MATCH($M124,Data!$K$9:$K$1273,0)),"")</f>
        <v/>
      </c>
      <c r="E124" s="225" t="str">
        <f>IFERROR(INDEX(Data!BS$9:BS$1273,MATCH($M124,Data!$K$9:$K$1273,0)),"")</f>
        <v/>
      </c>
      <c r="F124" s="225" t="str">
        <f>IFERROR(INDEX(Data!DM$9:DM$1273,MATCH($M124,Data!$K$9:$K$1273,0)),"")</f>
        <v/>
      </c>
      <c r="G124" s="225" t="str">
        <f>IFERROR(INDEX(Data!BV$9:BV$1273,MATCH($M124,Data!$K$9:$K$1273,0)),"")</f>
        <v/>
      </c>
      <c r="H124" s="225" t="str">
        <f>IFERROR(INDEX(Data!BW$9:BW$1273,MATCH($M124,Data!$K$9:$K$1273,0)),"")</f>
        <v/>
      </c>
      <c r="I124" s="225" t="str">
        <f>IFERROR(INDEX(Data!BX$9:BX$1273,MATCH($M124,Data!$K$9:$K$1273,0)),"")</f>
        <v/>
      </c>
      <c r="J124" s="225" t="str">
        <f>IFERROR(INDEX(Data!CB$9:CB$1273,MATCH($M124,Data!$K$9:$K$1273,0)),"")</f>
        <v/>
      </c>
      <c r="K124" s="241" t="str">
        <f t="shared" si="9"/>
        <v/>
      </c>
      <c r="L124" s="242" t="str">
        <f t="shared" si="10"/>
        <v/>
      </c>
      <c r="M124" s="224"/>
      <c r="N124" s="224"/>
      <c r="O124" s="224" t="str">
        <f>IFERROR(INDEX(Data!M$9:M$1273,MATCH($M124,Data!$K$9:$K$1273,0)),"")</f>
        <v/>
      </c>
      <c r="P124" s="224" t="str">
        <f>IFERROR(INDEX(Data!N$9:N$1273,MATCH($M124,Data!$K$9:$K$1273,0)),"")</f>
        <v/>
      </c>
      <c r="Q124" s="224" t="str">
        <f>IFERROR(INDEX(Data!O$9:O$1273,MATCH($M124,Data!$K$9:$K$1273,0)),"")</f>
        <v/>
      </c>
      <c r="R124" s="224" t="str">
        <f>IFERROR(INDEX(Data!P$9:P$1273,MATCH($M124,Data!$K$9:$K$1273,0)),"")</f>
        <v/>
      </c>
      <c r="S124" s="224" t="str">
        <f>IFERROR(INDEX(Data!S$9:S$1273,MATCH($M124,Data!$K$9:$K$1273,0)),"")</f>
        <v/>
      </c>
      <c r="T124" s="224" t="str">
        <f>IFERROR(INDEX(Data!T$9:T$1273,MATCH($M124,Data!$K$9:$K$1273,0)),"")</f>
        <v/>
      </c>
      <c r="U124" s="224" t="str">
        <f>IFERROR(INDEX(Data!U$9:U$1273,MATCH($M124,Data!$K$9:$K$1273,0)),"")</f>
        <v/>
      </c>
      <c r="V124" s="224" t="str">
        <f>IFERROR(INDEX(Data!V$9:V$1273,MATCH($M124,Data!$K$9:$K$1273,0)),"")</f>
        <v/>
      </c>
      <c r="W124" s="224" t="str">
        <f>IFERROR(INDEX(Data!W$9:W$1273,MATCH($M124,Data!$K$9:$K$1273,0)),"")</f>
        <v/>
      </c>
      <c r="X124" s="224" t="str">
        <f>IFERROR(INDEX(Data!AJ$9:AJ$1273,MATCH($M124,Data!$K$9:$K$1273,0)),"")</f>
        <v/>
      </c>
      <c r="Y124" s="224" t="str">
        <f>IFERROR(INDEX(Data!AK$9:AK$1273,MATCH($M124,Data!$K$9:$K$1273,0)),"")</f>
        <v/>
      </c>
      <c r="Z124" s="224" t="str">
        <f>IFERROR(INDEX(Data!AL$9:AL$1273,MATCH($M124,Data!$K$9:$K$1273,0)),"")</f>
        <v/>
      </c>
      <c r="AA124" s="224" t="str">
        <f>IFERROR(INDEX(Data!AM$9:AM$1273,MATCH($M124,Data!$K$9:$K$1273,0)),"")</f>
        <v/>
      </c>
      <c r="AB124" s="224" t="str">
        <f>IFERROR(INDEX(Data!AN$9:AN$1273,MATCH($M124,Data!$K$9:$K$1273,0)),"")</f>
        <v/>
      </c>
      <c r="AC124" s="225" t="str">
        <f>IFERROR(INDEX(Data!BY$9:BY$1273,MATCH($M124,Data!$K$9:$K$1273,0)),"")</f>
        <v/>
      </c>
      <c r="AD124" s="225" t="str">
        <f>IFERROR(INDEX(Data!BZ$9:BZ$1273,MATCH($M124,Data!$K$9:$K$1273,0)),"")</f>
        <v/>
      </c>
      <c r="AE124" s="225" t="str">
        <f>IFERROR(INDEX(Data!CA$9:CA$1273,MATCH($M124,Data!$K$9:$K$1273,0)),"")</f>
        <v/>
      </c>
      <c r="AF124" s="225" t="str">
        <f>IFERROR(INDEX(Data!CB$9:CB$1273,MATCH($M124,Data!$K$9:$K$1273,0)),"")</f>
        <v/>
      </c>
      <c r="AG124" s="225" t="str">
        <f>IFERROR(INDEX(Data!CC$9:CC$1273,MATCH($M124,Data!$K$9:$K$1273,0)),"")</f>
        <v/>
      </c>
      <c r="AH124" s="225" t="str">
        <f>IFERROR(INDEX(Data!CD$9:CD$1273,MATCH($M124,Data!$K$9:$K$1273,0)),"")</f>
        <v/>
      </c>
      <c r="AI124" s="225" t="str">
        <f>IFERROR(INDEX(Data!CE$9:CE$1273,MATCH($M124,Data!$K$9:$K$1273,0)),"")</f>
        <v/>
      </c>
      <c r="AJ124" s="225" t="str">
        <f>IFERROR(INDEX(Data!CF$9:CF$1273,MATCH($M124,Data!$K$9:$K$1273,0)),"")</f>
        <v/>
      </c>
      <c r="AK124" s="225" t="str">
        <f>IFERROR(INDEX(Data!CG$9:CG$1273,MATCH($M124,Data!$K$9:$K$1273,0)),"")</f>
        <v/>
      </c>
      <c r="AL124" s="225" t="str">
        <f>IFERROR(INDEX(Data!CH$9:CH$1273,MATCH($M124,Data!$K$9:$K$1273,0)),"")</f>
        <v/>
      </c>
      <c r="AM124" s="225" t="str">
        <f>IFERROR(INDEX(Data!CI$9:CI$1273,MATCH($M124,Data!$K$9:$K$1273,0)),"")</f>
        <v/>
      </c>
      <c r="AN124" s="225" t="str">
        <f>IFERROR(INDEX(Data!CJ$9:CJ$1273,MATCH($M124,Data!$K$9:$K$1273,0)),"")</f>
        <v/>
      </c>
      <c r="AO124" s="225" t="str">
        <f>IFERROR(INDEX(Data!CK$9:CK$1273,MATCH($M124,Data!$K$9:$K$1273,0)),"")</f>
        <v/>
      </c>
      <c r="AP124" s="225" t="str">
        <f>IFERROR(INDEX(Data!CL$9:CL$1273,MATCH($M124,Data!$K$9:$K$1273,0)),"")</f>
        <v/>
      </c>
      <c r="AQ124" s="225" t="str">
        <f>IFERROR(INDEX(Data!CM$9:CM$1273,MATCH($M124,Data!$K$9:$K$1273,0)),"")</f>
        <v/>
      </c>
      <c r="AR124" s="225" t="str">
        <f>IFERROR(INDEX(Data!CN$9:CN$1273,MATCH($M124,Data!$K$9:$K$1273,0)),"")</f>
        <v/>
      </c>
      <c r="AS124" s="225" t="str">
        <f>IFERROR(INDEX(Data!CO$9:CO$1273,MATCH($M124,Data!$K$9:$K$1273,0)),"")</f>
        <v/>
      </c>
      <c r="AT124" s="225" t="str">
        <f>IFERROR(INDEX(Data!CP$9:CP$1273,MATCH($M124,Data!$K$9:$K$1273,0)),"")</f>
        <v/>
      </c>
      <c r="AU124" s="225" t="str">
        <f>IFERROR(INDEX(Data!CQ$9:CQ$1273,MATCH($M124,Data!$K$9:$K$1273,0)),"")</f>
        <v/>
      </c>
      <c r="AV124" s="225" t="str">
        <f>IFERROR(INDEX(Data!CR$9:CR$1273,MATCH($M124,Data!$K$9:$K$1273,0)),"")</f>
        <v/>
      </c>
      <c r="AW124" s="225" t="str">
        <f>IFERROR(INDEX(Data!CS$9:CS$1273,MATCH($M124,Data!$K$9:$K$1273,0)),"")</f>
        <v/>
      </c>
      <c r="AX124" s="225" t="str">
        <f>IFERROR(INDEX(Data!CT$9:CT$1273,MATCH($M124,Data!$K$9:$K$1273,0)),"")</f>
        <v/>
      </c>
      <c r="AY124" s="225" t="str">
        <f>IFERROR(INDEX(Data!CU$9:CU$1273,MATCH($M124,Data!$K$9:$K$1273,0)),"")</f>
        <v/>
      </c>
      <c r="AZ124" s="225" t="str">
        <f>IFERROR(INDEX(Data!CV$9:CV$1273,MATCH($M124,Data!$K$9:$K$1273,0)),"")</f>
        <v/>
      </c>
      <c r="BA124" s="225" t="str">
        <f>IFERROR(INDEX(Data!CX$9:CX$1273,MATCH($M124,Data!$K$9:$K$1273,0)),"")</f>
        <v/>
      </c>
      <c r="BB124" s="225" t="str">
        <f>IFERROR(INDEX(Data!CY$9:CY$1273,MATCH($M124,Data!$K$9:$K$1273,0)),"")</f>
        <v/>
      </c>
      <c r="BC124" s="225" t="str">
        <f>IFERROR(INDEX(Data!CZ$9:CZ$1273,MATCH($M124,Data!$K$9:$K$1273,0)),"")</f>
        <v/>
      </c>
      <c r="BD124" s="225" t="str">
        <f>IFERROR(INDEX(Data!DA$9:DA$1273,MATCH($M124,Data!$K$9:$K$1273,0)),"")</f>
        <v/>
      </c>
      <c r="BE124" s="225" t="str">
        <f>IFERROR(INDEX(Data!DB$9:DB$1273,MATCH($M124,Data!$K$9:$K$1273,0)),"")</f>
        <v/>
      </c>
      <c r="BF124" s="225" t="str">
        <f>IFERROR(INDEX(Data!DC$9:DC$1273,MATCH($M124,Data!$K$9:$K$1273,0)),"")</f>
        <v/>
      </c>
      <c r="BG124" s="225" t="str">
        <f>IFERROR(INDEX(Data!DD$9:DD$1273,MATCH($M124,Data!$K$9:$K$1273,0)),"")</f>
        <v/>
      </c>
      <c r="BH124" s="225" t="str">
        <f>IFERROR(INDEX(Data!DE$9:DE$1273,MATCH($M124,Data!$K$9:$K$1273,0)),"")</f>
        <v/>
      </c>
      <c r="BI124" s="225" t="str">
        <f>IFERROR(INDEX(Data!DF$9:DF$1273,MATCH($M124,Data!$K$9:$K$1273,0)),"")</f>
        <v/>
      </c>
      <c r="BJ124" s="225" t="str">
        <f>IFERROR(INDEX(Data!DG$9:DG$1273,MATCH($M124,Data!$K$9:$K$1273,0)),"")</f>
        <v/>
      </c>
      <c r="BK124" s="225" t="str">
        <f>IFERROR(INDEX(Data!DH$9:DH$1273,MATCH($M124,Data!$K$9:$K$1273,0)),"")</f>
        <v/>
      </c>
      <c r="BL124" s="225" t="str">
        <f>IFERROR(INDEX(Data!DI$9:DI$1273,MATCH($M124,Data!$K$9:$K$1273,0)),"")</f>
        <v/>
      </c>
      <c r="BM124" s="225" t="str">
        <f>IFERROR(INDEX(Data!DJ$9:DJ$1273,MATCH($M124,Data!$K$9:$K$1273,0)),"")</f>
        <v/>
      </c>
      <c r="BN124" s="225" t="str">
        <f>IFERROR(INDEX(Data!DK$9:DK$1273,MATCH($M124,Data!$K$9:$K$1273,0)),"")</f>
        <v/>
      </c>
      <c r="BO124" s="225" t="str">
        <f>IFERROR(INDEX(Data!DL$9:DL$1273,MATCH($M124,Data!$K$9:$K$1273,0)),"")</f>
        <v/>
      </c>
      <c r="BP124" s="243" t="str">
        <f t="shared" si="11"/>
        <v/>
      </c>
      <c r="BQ124" s="225" t="str">
        <f t="shared" si="12"/>
        <v xml:space="preserve"> </v>
      </c>
      <c r="BR124" s="225" t="str">
        <f t="shared" si="13"/>
        <v/>
      </c>
      <c r="BS124" s="225" t="str">
        <f>IFERROR(INDEX(Data!$DO$9:$DO$1273,MATCH('Your recommendation'!BR124,Data!$DN$9:$DN$1273,0)),"")</f>
        <v/>
      </c>
    </row>
    <row r="125" spans="2:71" ht="15.6" customHeight="1">
      <c r="B125" s="222" t="str">
        <f t="shared" si="14"/>
        <v/>
      </c>
      <c r="C125" s="223"/>
      <c r="D125" s="225" t="str">
        <f>IFERROR(INDEX(Data!BR$9:BR$1273,MATCH($M125,Data!$K$9:$K$1273,0)),"")</f>
        <v/>
      </c>
      <c r="E125" s="225" t="str">
        <f>IFERROR(INDEX(Data!BS$9:BS$1273,MATCH($M125,Data!$K$9:$K$1273,0)),"")</f>
        <v/>
      </c>
      <c r="F125" s="225" t="str">
        <f>IFERROR(INDEX(Data!DM$9:DM$1273,MATCH($M125,Data!$K$9:$K$1273,0)),"")</f>
        <v/>
      </c>
      <c r="G125" s="225" t="str">
        <f>IFERROR(INDEX(Data!BV$9:BV$1273,MATCH($M125,Data!$K$9:$K$1273,0)),"")</f>
        <v/>
      </c>
      <c r="H125" s="225" t="str">
        <f>IFERROR(INDEX(Data!BW$9:BW$1273,MATCH($M125,Data!$K$9:$K$1273,0)),"")</f>
        <v/>
      </c>
      <c r="I125" s="225" t="str">
        <f>IFERROR(INDEX(Data!BX$9:BX$1273,MATCH($M125,Data!$K$9:$K$1273,0)),"")</f>
        <v/>
      </c>
      <c r="J125" s="225" t="str">
        <f>IFERROR(INDEX(Data!CB$9:CB$1273,MATCH($M125,Data!$K$9:$K$1273,0)),"")</f>
        <v/>
      </c>
      <c r="K125" s="241" t="str">
        <f t="shared" si="9"/>
        <v/>
      </c>
      <c r="L125" s="242" t="str">
        <f t="shared" si="10"/>
        <v/>
      </c>
      <c r="M125" s="224"/>
      <c r="N125" s="224"/>
      <c r="O125" s="224" t="str">
        <f>IFERROR(INDEX(Data!M$9:M$1273,MATCH($M125,Data!$K$9:$K$1273,0)),"")</f>
        <v/>
      </c>
      <c r="P125" s="224" t="str">
        <f>IFERROR(INDEX(Data!N$9:N$1273,MATCH($M125,Data!$K$9:$K$1273,0)),"")</f>
        <v/>
      </c>
      <c r="Q125" s="224" t="str">
        <f>IFERROR(INDEX(Data!O$9:O$1273,MATCH($M125,Data!$K$9:$K$1273,0)),"")</f>
        <v/>
      </c>
      <c r="R125" s="224" t="str">
        <f>IFERROR(INDEX(Data!P$9:P$1273,MATCH($M125,Data!$K$9:$K$1273,0)),"")</f>
        <v/>
      </c>
      <c r="S125" s="224" t="str">
        <f>IFERROR(INDEX(Data!S$9:S$1273,MATCH($M125,Data!$K$9:$K$1273,0)),"")</f>
        <v/>
      </c>
      <c r="T125" s="224" t="str">
        <f>IFERROR(INDEX(Data!T$9:T$1273,MATCH($M125,Data!$K$9:$K$1273,0)),"")</f>
        <v/>
      </c>
      <c r="U125" s="224" t="str">
        <f>IFERROR(INDEX(Data!U$9:U$1273,MATCH($M125,Data!$K$9:$K$1273,0)),"")</f>
        <v/>
      </c>
      <c r="V125" s="224" t="str">
        <f>IFERROR(INDEX(Data!V$9:V$1273,MATCH($M125,Data!$K$9:$K$1273,0)),"")</f>
        <v/>
      </c>
      <c r="W125" s="224" t="str">
        <f>IFERROR(INDEX(Data!W$9:W$1273,MATCH($M125,Data!$K$9:$K$1273,0)),"")</f>
        <v/>
      </c>
      <c r="X125" s="224" t="str">
        <f>IFERROR(INDEX(Data!AJ$9:AJ$1273,MATCH($M125,Data!$K$9:$K$1273,0)),"")</f>
        <v/>
      </c>
      <c r="Y125" s="224" t="str">
        <f>IFERROR(INDEX(Data!AK$9:AK$1273,MATCH($M125,Data!$K$9:$K$1273,0)),"")</f>
        <v/>
      </c>
      <c r="Z125" s="224" t="str">
        <f>IFERROR(INDEX(Data!AL$9:AL$1273,MATCH($M125,Data!$K$9:$K$1273,0)),"")</f>
        <v/>
      </c>
      <c r="AA125" s="224" t="str">
        <f>IFERROR(INDEX(Data!AM$9:AM$1273,MATCH($M125,Data!$K$9:$K$1273,0)),"")</f>
        <v/>
      </c>
      <c r="AB125" s="224" t="str">
        <f>IFERROR(INDEX(Data!AN$9:AN$1273,MATCH($M125,Data!$K$9:$K$1273,0)),"")</f>
        <v/>
      </c>
      <c r="AC125" s="225" t="str">
        <f>IFERROR(INDEX(Data!BY$9:BY$1273,MATCH($M125,Data!$K$9:$K$1273,0)),"")</f>
        <v/>
      </c>
      <c r="AD125" s="225" t="str">
        <f>IFERROR(INDEX(Data!BZ$9:BZ$1273,MATCH($M125,Data!$K$9:$K$1273,0)),"")</f>
        <v/>
      </c>
      <c r="AE125" s="225" t="str">
        <f>IFERROR(INDEX(Data!CA$9:CA$1273,MATCH($M125,Data!$K$9:$K$1273,0)),"")</f>
        <v/>
      </c>
      <c r="AF125" s="225" t="str">
        <f>IFERROR(INDEX(Data!CB$9:CB$1273,MATCH($M125,Data!$K$9:$K$1273,0)),"")</f>
        <v/>
      </c>
      <c r="AG125" s="225" t="str">
        <f>IFERROR(INDEX(Data!CC$9:CC$1273,MATCH($M125,Data!$K$9:$K$1273,0)),"")</f>
        <v/>
      </c>
      <c r="AH125" s="225" t="str">
        <f>IFERROR(INDEX(Data!CD$9:CD$1273,MATCH($M125,Data!$K$9:$K$1273,0)),"")</f>
        <v/>
      </c>
      <c r="AI125" s="225" t="str">
        <f>IFERROR(INDEX(Data!CE$9:CE$1273,MATCH($M125,Data!$K$9:$K$1273,0)),"")</f>
        <v/>
      </c>
      <c r="AJ125" s="225" t="str">
        <f>IFERROR(INDEX(Data!CF$9:CF$1273,MATCH($M125,Data!$K$9:$K$1273,0)),"")</f>
        <v/>
      </c>
      <c r="AK125" s="225" t="str">
        <f>IFERROR(INDEX(Data!CG$9:CG$1273,MATCH($M125,Data!$K$9:$K$1273,0)),"")</f>
        <v/>
      </c>
      <c r="AL125" s="225" t="str">
        <f>IFERROR(INDEX(Data!CH$9:CH$1273,MATCH($M125,Data!$K$9:$K$1273,0)),"")</f>
        <v/>
      </c>
      <c r="AM125" s="225" t="str">
        <f>IFERROR(INDEX(Data!CI$9:CI$1273,MATCH($M125,Data!$K$9:$K$1273,0)),"")</f>
        <v/>
      </c>
      <c r="AN125" s="225" t="str">
        <f>IFERROR(INDEX(Data!CJ$9:CJ$1273,MATCH($M125,Data!$K$9:$K$1273,0)),"")</f>
        <v/>
      </c>
      <c r="AO125" s="225" t="str">
        <f>IFERROR(INDEX(Data!CK$9:CK$1273,MATCH($M125,Data!$K$9:$K$1273,0)),"")</f>
        <v/>
      </c>
      <c r="AP125" s="225" t="str">
        <f>IFERROR(INDEX(Data!CL$9:CL$1273,MATCH($M125,Data!$K$9:$K$1273,0)),"")</f>
        <v/>
      </c>
      <c r="AQ125" s="225" t="str">
        <f>IFERROR(INDEX(Data!CM$9:CM$1273,MATCH($M125,Data!$K$9:$K$1273,0)),"")</f>
        <v/>
      </c>
      <c r="AR125" s="225" t="str">
        <f>IFERROR(INDEX(Data!CN$9:CN$1273,MATCH($M125,Data!$K$9:$K$1273,0)),"")</f>
        <v/>
      </c>
      <c r="AS125" s="225" t="str">
        <f>IFERROR(INDEX(Data!CO$9:CO$1273,MATCH($M125,Data!$K$9:$K$1273,0)),"")</f>
        <v/>
      </c>
      <c r="AT125" s="225" t="str">
        <f>IFERROR(INDEX(Data!CP$9:CP$1273,MATCH($M125,Data!$K$9:$K$1273,0)),"")</f>
        <v/>
      </c>
      <c r="AU125" s="225" t="str">
        <f>IFERROR(INDEX(Data!CQ$9:CQ$1273,MATCH($M125,Data!$K$9:$K$1273,0)),"")</f>
        <v/>
      </c>
      <c r="AV125" s="225" t="str">
        <f>IFERROR(INDEX(Data!CR$9:CR$1273,MATCH($M125,Data!$K$9:$K$1273,0)),"")</f>
        <v/>
      </c>
      <c r="AW125" s="225" t="str">
        <f>IFERROR(INDEX(Data!CS$9:CS$1273,MATCH($M125,Data!$K$9:$K$1273,0)),"")</f>
        <v/>
      </c>
      <c r="AX125" s="225" t="str">
        <f>IFERROR(INDEX(Data!CT$9:CT$1273,MATCH($M125,Data!$K$9:$K$1273,0)),"")</f>
        <v/>
      </c>
      <c r="AY125" s="225" t="str">
        <f>IFERROR(INDEX(Data!CU$9:CU$1273,MATCH($M125,Data!$K$9:$K$1273,0)),"")</f>
        <v/>
      </c>
      <c r="AZ125" s="225" t="str">
        <f>IFERROR(INDEX(Data!CV$9:CV$1273,MATCH($M125,Data!$K$9:$K$1273,0)),"")</f>
        <v/>
      </c>
      <c r="BA125" s="225" t="str">
        <f>IFERROR(INDEX(Data!CX$9:CX$1273,MATCH($M125,Data!$K$9:$K$1273,0)),"")</f>
        <v/>
      </c>
      <c r="BB125" s="225" t="str">
        <f>IFERROR(INDEX(Data!CY$9:CY$1273,MATCH($M125,Data!$K$9:$K$1273,0)),"")</f>
        <v/>
      </c>
      <c r="BC125" s="225" t="str">
        <f>IFERROR(INDEX(Data!CZ$9:CZ$1273,MATCH($M125,Data!$K$9:$K$1273,0)),"")</f>
        <v/>
      </c>
      <c r="BD125" s="225" t="str">
        <f>IFERROR(INDEX(Data!DA$9:DA$1273,MATCH($M125,Data!$K$9:$K$1273,0)),"")</f>
        <v/>
      </c>
      <c r="BE125" s="225" t="str">
        <f>IFERROR(INDEX(Data!DB$9:DB$1273,MATCH($M125,Data!$K$9:$K$1273,0)),"")</f>
        <v/>
      </c>
      <c r="BF125" s="225" t="str">
        <f>IFERROR(INDEX(Data!DC$9:DC$1273,MATCH($M125,Data!$K$9:$K$1273,0)),"")</f>
        <v/>
      </c>
      <c r="BG125" s="225" t="str">
        <f>IFERROR(INDEX(Data!DD$9:DD$1273,MATCH($M125,Data!$K$9:$K$1273,0)),"")</f>
        <v/>
      </c>
      <c r="BH125" s="225" t="str">
        <f>IFERROR(INDEX(Data!DE$9:DE$1273,MATCH($M125,Data!$K$9:$K$1273,0)),"")</f>
        <v/>
      </c>
      <c r="BI125" s="225" t="str">
        <f>IFERROR(INDEX(Data!DF$9:DF$1273,MATCH($M125,Data!$K$9:$K$1273,0)),"")</f>
        <v/>
      </c>
      <c r="BJ125" s="225" t="str">
        <f>IFERROR(INDEX(Data!DG$9:DG$1273,MATCH($M125,Data!$K$9:$K$1273,0)),"")</f>
        <v/>
      </c>
      <c r="BK125" s="225" t="str">
        <f>IFERROR(INDEX(Data!DH$9:DH$1273,MATCH($M125,Data!$K$9:$K$1273,0)),"")</f>
        <v/>
      </c>
      <c r="BL125" s="225" t="str">
        <f>IFERROR(INDEX(Data!DI$9:DI$1273,MATCH($M125,Data!$K$9:$K$1273,0)),"")</f>
        <v/>
      </c>
      <c r="BM125" s="225" t="str">
        <f>IFERROR(INDEX(Data!DJ$9:DJ$1273,MATCH($M125,Data!$K$9:$K$1273,0)),"")</f>
        <v/>
      </c>
      <c r="BN125" s="225" t="str">
        <f>IFERROR(INDEX(Data!DK$9:DK$1273,MATCH($M125,Data!$K$9:$K$1273,0)),"")</f>
        <v/>
      </c>
      <c r="BO125" s="225" t="str">
        <f>IFERROR(INDEX(Data!DL$9:DL$1273,MATCH($M125,Data!$K$9:$K$1273,0)),"")</f>
        <v/>
      </c>
      <c r="BP125" s="243" t="str">
        <f t="shared" si="11"/>
        <v/>
      </c>
      <c r="BQ125" s="225" t="str">
        <f t="shared" si="12"/>
        <v xml:space="preserve"> </v>
      </c>
      <c r="BR125" s="225" t="str">
        <f t="shared" si="13"/>
        <v/>
      </c>
      <c r="BS125" s="225" t="str">
        <f>IFERROR(INDEX(Data!$DO$9:$DO$1273,MATCH('Your recommendation'!BR125,Data!$DN$9:$DN$1273,0)),"")</f>
        <v/>
      </c>
    </row>
    <row r="126" spans="2:71" ht="15.6" customHeight="1">
      <c r="B126" s="222" t="str">
        <f t="shared" si="14"/>
        <v/>
      </c>
      <c r="C126" s="223"/>
      <c r="D126" s="225" t="str">
        <f>IFERROR(INDEX(Data!BR$9:BR$1273,MATCH($M126,Data!$K$9:$K$1273,0)),"")</f>
        <v/>
      </c>
      <c r="E126" s="225" t="str">
        <f>IFERROR(INDEX(Data!BS$9:BS$1273,MATCH($M126,Data!$K$9:$K$1273,0)),"")</f>
        <v/>
      </c>
      <c r="F126" s="225" t="str">
        <f>IFERROR(INDEX(Data!DM$9:DM$1273,MATCH($M126,Data!$K$9:$K$1273,0)),"")</f>
        <v/>
      </c>
      <c r="G126" s="225" t="str">
        <f>IFERROR(INDEX(Data!BV$9:BV$1273,MATCH($M126,Data!$K$9:$K$1273,0)),"")</f>
        <v/>
      </c>
      <c r="H126" s="225" t="str">
        <f>IFERROR(INDEX(Data!BW$9:BW$1273,MATCH($M126,Data!$K$9:$K$1273,0)),"")</f>
        <v/>
      </c>
      <c r="I126" s="225" t="str">
        <f>IFERROR(INDEX(Data!BX$9:BX$1273,MATCH($M126,Data!$K$9:$K$1273,0)),"")</f>
        <v/>
      </c>
      <c r="J126" s="225" t="str">
        <f>IFERROR(INDEX(Data!CB$9:CB$1273,MATCH($M126,Data!$K$9:$K$1273,0)),"")</f>
        <v/>
      </c>
      <c r="K126" s="241" t="str">
        <f t="shared" si="9"/>
        <v/>
      </c>
      <c r="L126" s="242" t="str">
        <f t="shared" si="10"/>
        <v/>
      </c>
      <c r="M126" s="224"/>
      <c r="N126" s="224"/>
      <c r="O126" s="224" t="str">
        <f>IFERROR(INDEX(Data!M$9:M$1273,MATCH($M126,Data!$K$9:$K$1273,0)),"")</f>
        <v/>
      </c>
      <c r="P126" s="224" t="str">
        <f>IFERROR(INDEX(Data!N$9:N$1273,MATCH($M126,Data!$K$9:$K$1273,0)),"")</f>
        <v/>
      </c>
      <c r="Q126" s="224" t="str">
        <f>IFERROR(INDEX(Data!O$9:O$1273,MATCH($M126,Data!$K$9:$K$1273,0)),"")</f>
        <v/>
      </c>
      <c r="R126" s="224" t="str">
        <f>IFERROR(INDEX(Data!P$9:P$1273,MATCH($M126,Data!$K$9:$K$1273,0)),"")</f>
        <v/>
      </c>
      <c r="S126" s="224" t="str">
        <f>IFERROR(INDEX(Data!S$9:S$1273,MATCH($M126,Data!$K$9:$K$1273,0)),"")</f>
        <v/>
      </c>
      <c r="T126" s="224" t="str">
        <f>IFERROR(INDEX(Data!T$9:T$1273,MATCH($M126,Data!$K$9:$K$1273,0)),"")</f>
        <v/>
      </c>
      <c r="U126" s="224" t="str">
        <f>IFERROR(INDEX(Data!U$9:U$1273,MATCH($M126,Data!$K$9:$K$1273,0)),"")</f>
        <v/>
      </c>
      <c r="V126" s="224" t="str">
        <f>IFERROR(INDEX(Data!V$9:V$1273,MATCH($M126,Data!$K$9:$K$1273,0)),"")</f>
        <v/>
      </c>
      <c r="W126" s="224" t="str">
        <f>IFERROR(INDEX(Data!W$9:W$1273,MATCH($M126,Data!$K$9:$K$1273,0)),"")</f>
        <v/>
      </c>
      <c r="X126" s="224" t="str">
        <f>IFERROR(INDEX(Data!AJ$9:AJ$1273,MATCH($M126,Data!$K$9:$K$1273,0)),"")</f>
        <v/>
      </c>
      <c r="Y126" s="224" t="str">
        <f>IFERROR(INDEX(Data!AK$9:AK$1273,MATCH($M126,Data!$K$9:$K$1273,0)),"")</f>
        <v/>
      </c>
      <c r="Z126" s="224" t="str">
        <f>IFERROR(INDEX(Data!AL$9:AL$1273,MATCH($M126,Data!$K$9:$K$1273,0)),"")</f>
        <v/>
      </c>
      <c r="AA126" s="224" t="str">
        <f>IFERROR(INDEX(Data!AM$9:AM$1273,MATCH($M126,Data!$K$9:$K$1273,0)),"")</f>
        <v/>
      </c>
      <c r="AB126" s="224" t="str">
        <f>IFERROR(INDEX(Data!AN$9:AN$1273,MATCH($M126,Data!$K$9:$K$1273,0)),"")</f>
        <v/>
      </c>
      <c r="AC126" s="225" t="str">
        <f>IFERROR(INDEX(Data!BY$9:BY$1273,MATCH($M126,Data!$K$9:$K$1273,0)),"")</f>
        <v/>
      </c>
      <c r="AD126" s="225" t="str">
        <f>IFERROR(INDEX(Data!BZ$9:BZ$1273,MATCH($M126,Data!$K$9:$K$1273,0)),"")</f>
        <v/>
      </c>
      <c r="AE126" s="225" t="str">
        <f>IFERROR(INDEX(Data!CA$9:CA$1273,MATCH($M126,Data!$K$9:$K$1273,0)),"")</f>
        <v/>
      </c>
      <c r="AF126" s="225" t="str">
        <f>IFERROR(INDEX(Data!CB$9:CB$1273,MATCH($M126,Data!$K$9:$K$1273,0)),"")</f>
        <v/>
      </c>
      <c r="AG126" s="225" t="str">
        <f>IFERROR(INDEX(Data!CC$9:CC$1273,MATCH($M126,Data!$K$9:$K$1273,0)),"")</f>
        <v/>
      </c>
      <c r="AH126" s="225" t="str">
        <f>IFERROR(INDEX(Data!CD$9:CD$1273,MATCH($M126,Data!$K$9:$K$1273,0)),"")</f>
        <v/>
      </c>
      <c r="AI126" s="225" t="str">
        <f>IFERROR(INDEX(Data!CE$9:CE$1273,MATCH($M126,Data!$K$9:$K$1273,0)),"")</f>
        <v/>
      </c>
      <c r="AJ126" s="225" t="str">
        <f>IFERROR(INDEX(Data!CF$9:CF$1273,MATCH($M126,Data!$K$9:$K$1273,0)),"")</f>
        <v/>
      </c>
      <c r="AK126" s="225" t="str">
        <f>IFERROR(INDEX(Data!CG$9:CG$1273,MATCH($M126,Data!$K$9:$K$1273,0)),"")</f>
        <v/>
      </c>
      <c r="AL126" s="225" t="str">
        <f>IFERROR(INDEX(Data!CH$9:CH$1273,MATCH($M126,Data!$K$9:$K$1273,0)),"")</f>
        <v/>
      </c>
      <c r="AM126" s="225" t="str">
        <f>IFERROR(INDEX(Data!CI$9:CI$1273,MATCH($M126,Data!$K$9:$K$1273,0)),"")</f>
        <v/>
      </c>
      <c r="AN126" s="225" t="str">
        <f>IFERROR(INDEX(Data!CJ$9:CJ$1273,MATCH($M126,Data!$K$9:$K$1273,0)),"")</f>
        <v/>
      </c>
      <c r="AO126" s="225" t="str">
        <f>IFERROR(INDEX(Data!CK$9:CK$1273,MATCH($M126,Data!$K$9:$K$1273,0)),"")</f>
        <v/>
      </c>
      <c r="AP126" s="225" t="str">
        <f>IFERROR(INDEX(Data!CL$9:CL$1273,MATCH($M126,Data!$K$9:$K$1273,0)),"")</f>
        <v/>
      </c>
      <c r="AQ126" s="225" t="str">
        <f>IFERROR(INDEX(Data!CM$9:CM$1273,MATCH($M126,Data!$K$9:$K$1273,0)),"")</f>
        <v/>
      </c>
      <c r="AR126" s="225" t="str">
        <f>IFERROR(INDEX(Data!CN$9:CN$1273,MATCH($M126,Data!$K$9:$K$1273,0)),"")</f>
        <v/>
      </c>
      <c r="AS126" s="225" t="str">
        <f>IFERROR(INDEX(Data!CO$9:CO$1273,MATCH($M126,Data!$K$9:$K$1273,0)),"")</f>
        <v/>
      </c>
      <c r="AT126" s="225" t="str">
        <f>IFERROR(INDEX(Data!CP$9:CP$1273,MATCH($M126,Data!$K$9:$K$1273,0)),"")</f>
        <v/>
      </c>
      <c r="AU126" s="225" t="str">
        <f>IFERROR(INDEX(Data!CQ$9:CQ$1273,MATCH($M126,Data!$K$9:$K$1273,0)),"")</f>
        <v/>
      </c>
      <c r="AV126" s="225" t="str">
        <f>IFERROR(INDEX(Data!CR$9:CR$1273,MATCH($M126,Data!$K$9:$K$1273,0)),"")</f>
        <v/>
      </c>
      <c r="AW126" s="225" t="str">
        <f>IFERROR(INDEX(Data!CS$9:CS$1273,MATCH($M126,Data!$K$9:$K$1273,0)),"")</f>
        <v/>
      </c>
      <c r="AX126" s="225" t="str">
        <f>IFERROR(INDEX(Data!CT$9:CT$1273,MATCH($M126,Data!$K$9:$K$1273,0)),"")</f>
        <v/>
      </c>
      <c r="AY126" s="225" t="str">
        <f>IFERROR(INDEX(Data!CU$9:CU$1273,MATCH($M126,Data!$K$9:$K$1273,0)),"")</f>
        <v/>
      </c>
      <c r="AZ126" s="225" t="str">
        <f>IFERROR(INDEX(Data!CV$9:CV$1273,MATCH($M126,Data!$K$9:$K$1273,0)),"")</f>
        <v/>
      </c>
      <c r="BA126" s="225" t="str">
        <f>IFERROR(INDEX(Data!CX$9:CX$1273,MATCH($M126,Data!$K$9:$K$1273,0)),"")</f>
        <v/>
      </c>
      <c r="BB126" s="225" t="str">
        <f>IFERROR(INDEX(Data!CY$9:CY$1273,MATCH($M126,Data!$K$9:$K$1273,0)),"")</f>
        <v/>
      </c>
      <c r="BC126" s="225" t="str">
        <f>IFERROR(INDEX(Data!CZ$9:CZ$1273,MATCH($M126,Data!$K$9:$K$1273,0)),"")</f>
        <v/>
      </c>
      <c r="BD126" s="225" t="str">
        <f>IFERROR(INDEX(Data!DA$9:DA$1273,MATCH($M126,Data!$K$9:$K$1273,0)),"")</f>
        <v/>
      </c>
      <c r="BE126" s="225" t="str">
        <f>IFERROR(INDEX(Data!DB$9:DB$1273,MATCH($M126,Data!$K$9:$K$1273,0)),"")</f>
        <v/>
      </c>
      <c r="BF126" s="225" t="str">
        <f>IFERROR(INDEX(Data!DC$9:DC$1273,MATCH($M126,Data!$K$9:$K$1273,0)),"")</f>
        <v/>
      </c>
      <c r="BG126" s="225" t="str">
        <f>IFERROR(INDEX(Data!DD$9:DD$1273,MATCH($M126,Data!$K$9:$K$1273,0)),"")</f>
        <v/>
      </c>
      <c r="BH126" s="225" t="str">
        <f>IFERROR(INDEX(Data!DE$9:DE$1273,MATCH($M126,Data!$K$9:$K$1273,0)),"")</f>
        <v/>
      </c>
      <c r="BI126" s="225" t="str">
        <f>IFERROR(INDEX(Data!DF$9:DF$1273,MATCH($M126,Data!$K$9:$K$1273,0)),"")</f>
        <v/>
      </c>
      <c r="BJ126" s="225" t="str">
        <f>IFERROR(INDEX(Data!DG$9:DG$1273,MATCH($M126,Data!$K$9:$K$1273,0)),"")</f>
        <v/>
      </c>
      <c r="BK126" s="225" t="str">
        <f>IFERROR(INDEX(Data!DH$9:DH$1273,MATCH($M126,Data!$K$9:$K$1273,0)),"")</f>
        <v/>
      </c>
      <c r="BL126" s="225" t="str">
        <f>IFERROR(INDEX(Data!DI$9:DI$1273,MATCH($M126,Data!$K$9:$K$1273,0)),"")</f>
        <v/>
      </c>
      <c r="BM126" s="225" t="str">
        <f>IFERROR(INDEX(Data!DJ$9:DJ$1273,MATCH($M126,Data!$K$9:$K$1273,0)),"")</f>
        <v/>
      </c>
      <c r="BN126" s="225" t="str">
        <f>IFERROR(INDEX(Data!DK$9:DK$1273,MATCH($M126,Data!$K$9:$K$1273,0)),"")</f>
        <v/>
      </c>
      <c r="BO126" s="225" t="str">
        <f>IFERROR(INDEX(Data!DL$9:DL$1273,MATCH($M126,Data!$K$9:$K$1273,0)),"")</f>
        <v/>
      </c>
      <c r="BP126" s="243" t="str">
        <f t="shared" si="11"/>
        <v/>
      </c>
      <c r="BQ126" s="225" t="str">
        <f t="shared" si="12"/>
        <v xml:space="preserve"> </v>
      </c>
      <c r="BR126" s="225" t="str">
        <f t="shared" si="13"/>
        <v/>
      </c>
      <c r="BS126" s="225" t="str">
        <f>IFERROR(INDEX(Data!$DO$9:$DO$1273,MATCH('Your recommendation'!BR126,Data!$DN$9:$DN$1273,0)),"")</f>
        <v/>
      </c>
    </row>
    <row r="127" spans="2:71" ht="15.6" customHeight="1">
      <c r="B127" s="222" t="str">
        <f t="shared" si="14"/>
        <v/>
      </c>
      <c r="C127" s="223"/>
      <c r="D127" s="225" t="str">
        <f>IFERROR(INDEX(Data!BR$9:BR$1273,MATCH($M127,Data!$K$9:$K$1273,0)),"")</f>
        <v/>
      </c>
      <c r="E127" s="225" t="str">
        <f>IFERROR(INDEX(Data!BS$9:BS$1273,MATCH($M127,Data!$K$9:$K$1273,0)),"")</f>
        <v/>
      </c>
      <c r="F127" s="225" t="str">
        <f>IFERROR(INDEX(Data!DM$9:DM$1273,MATCH($M127,Data!$K$9:$K$1273,0)),"")</f>
        <v/>
      </c>
      <c r="G127" s="225" t="str">
        <f>IFERROR(INDEX(Data!BV$9:BV$1273,MATCH($M127,Data!$K$9:$K$1273,0)),"")</f>
        <v/>
      </c>
      <c r="H127" s="225" t="str">
        <f>IFERROR(INDEX(Data!BW$9:BW$1273,MATCH($M127,Data!$K$9:$K$1273,0)),"")</f>
        <v/>
      </c>
      <c r="I127" s="225" t="str">
        <f>IFERROR(INDEX(Data!BX$9:BX$1273,MATCH($M127,Data!$K$9:$K$1273,0)),"")</f>
        <v/>
      </c>
      <c r="J127" s="225" t="str">
        <f>IFERROR(INDEX(Data!CB$9:CB$1273,MATCH($M127,Data!$K$9:$K$1273,0)),"")</f>
        <v/>
      </c>
      <c r="K127" s="241" t="str">
        <f t="shared" si="9"/>
        <v/>
      </c>
      <c r="L127" s="242" t="str">
        <f t="shared" si="10"/>
        <v/>
      </c>
      <c r="M127" s="224"/>
      <c r="N127" s="224"/>
      <c r="O127" s="224" t="str">
        <f>IFERROR(INDEX(Data!M$9:M$1273,MATCH($M127,Data!$K$9:$K$1273,0)),"")</f>
        <v/>
      </c>
      <c r="P127" s="224" t="str">
        <f>IFERROR(INDEX(Data!N$9:N$1273,MATCH($M127,Data!$K$9:$K$1273,0)),"")</f>
        <v/>
      </c>
      <c r="Q127" s="224" t="str">
        <f>IFERROR(INDEX(Data!O$9:O$1273,MATCH($M127,Data!$K$9:$K$1273,0)),"")</f>
        <v/>
      </c>
      <c r="R127" s="224" t="str">
        <f>IFERROR(INDEX(Data!P$9:P$1273,MATCH($M127,Data!$K$9:$K$1273,0)),"")</f>
        <v/>
      </c>
      <c r="S127" s="224" t="str">
        <f>IFERROR(INDEX(Data!S$9:S$1273,MATCH($M127,Data!$K$9:$K$1273,0)),"")</f>
        <v/>
      </c>
      <c r="T127" s="224" t="str">
        <f>IFERROR(INDEX(Data!T$9:T$1273,MATCH($M127,Data!$K$9:$K$1273,0)),"")</f>
        <v/>
      </c>
      <c r="U127" s="224" t="str">
        <f>IFERROR(INDEX(Data!U$9:U$1273,MATCH($M127,Data!$K$9:$K$1273,0)),"")</f>
        <v/>
      </c>
      <c r="V127" s="224" t="str">
        <f>IFERROR(INDEX(Data!V$9:V$1273,MATCH($M127,Data!$K$9:$K$1273,0)),"")</f>
        <v/>
      </c>
      <c r="W127" s="224" t="str">
        <f>IFERROR(INDEX(Data!W$9:W$1273,MATCH($M127,Data!$K$9:$K$1273,0)),"")</f>
        <v/>
      </c>
      <c r="X127" s="224" t="str">
        <f>IFERROR(INDEX(Data!AJ$9:AJ$1273,MATCH($M127,Data!$K$9:$K$1273,0)),"")</f>
        <v/>
      </c>
      <c r="Y127" s="224" t="str">
        <f>IFERROR(INDEX(Data!AK$9:AK$1273,MATCH($M127,Data!$K$9:$K$1273,0)),"")</f>
        <v/>
      </c>
      <c r="Z127" s="224" t="str">
        <f>IFERROR(INDEX(Data!AL$9:AL$1273,MATCH($M127,Data!$K$9:$K$1273,0)),"")</f>
        <v/>
      </c>
      <c r="AA127" s="224" t="str">
        <f>IFERROR(INDEX(Data!AM$9:AM$1273,MATCH($M127,Data!$K$9:$K$1273,0)),"")</f>
        <v/>
      </c>
      <c r="AB127" s="224" t="str">
        <f>IFERROR(INDEX(Data!AN$9:AN$1273,MATCH($M127,Data!$K$9:$K$1273,0)),"")</f>
        <v/>
      </c>
      <c r="AC127" s="225" t="str">
        <f>IFERROR(INDEX(Data!BY$9:BY$1273,MATCH($M127,Data!$K$9:$K$1273,0)),"")</f>
        <v/>
      </c>
      <c r="AD127" s="225" t="str">
        <f>IFERROR(INDEX(Data!BZ$9:BZ$1273,MATCH($M127,Data!$K$9:$K$1273,0)),"")</f>
        <v/>
      </c>
      <c r="AE127" s="225" t="str">
        <f>IFERROR(INDEX(Data!CA$9:CA$1273,MATCH($M127,Data!$K$9:$K$1273,0)),"")</f>
        <v/>
      </c>
      <c r="AF127" s="225" t="str">
        <f>IFERROR(INDEX(Data!CB$9:CB$1273,MATCH($M127,Data!$K$9:$K$1273,0)),"")</f>
        <v/>
      </c>
      <c r="AG127" s="225" t="str">
        <f>IFERROR(INDEX(Data!CC$9:CC$1273,MATCH($M127,Data!$K$9:$K$1273,0)),"")</f>
        <v/>
      </c>
      <c r="AH127" s="225" t="str">
        <f>IFERROR(INDEX(Data!CD$9:CD$1273,MATCH($M127,Data!$K$9:$K$1273,0)),"")</f>
        <v/>
      </c>
      <c r="AI127" s="225" t="str">
        <f>IFERROR(INDEX(Data!CE$9:CE$1273,MATCH($M127,Data!$K$9:$K$1273,0)),"")</f>
        <v/>
      </c>
      <c r="AJ127" s="225" t="str">
        <f>IFERROR(INDEX(Data!CF$9:CF$1273,MATCH($M127,Data!$K$9:$K$1273,0)),"")</f>
        <v/>
      </c>
      <c r="AK127" s="225" t="str">
        <f>IFERROR(INDEX(Data!CG$9:CG$1273,MATCH($M127,Data!$K$9:$K$1273,0)),"")</f>
        <v/>
      </c>
      <c r="AL127" s="225" t="str">
        <f>IFERROR(INDEX(Data!CH$9:CH$1273,MATCH($M127,Data!$K$9:$K$1273,0)),"")</f>
        <v/>
      </c>
      <c r="AM127" s="225" t="str">
        <f>IFERROR(INDEX(Data!CI$9:CI$1273,MATCH($M127,Data!$K$9:$K$1273,0)),"")</f>
        <v/>
      </c>
      <c r="AN127" s="225" t="str">
        <f>IFERROR(INDEX(Data!CJ$9:CJ$1273,MATCH($M127,Data!$K$9:$K$1273,0)),"")</f>
        <v/>
      </c>
      <c r="AO127" s="225" t="str">
        <f>IFERROR(INDEX(Data!CK$9:CK$1273,MATCH($M127,Data!$K$9:$K$1273,0)),"")</f>
        <v/>
      </c>
      <c r="AP127" s="225" t="str">
        <f>IFERROR(INDEX(Data!CL$9:CL$1273,MATCH($M127,Data!$K$9:$K$1273,0)),"")</f>
        <v/>
      </c>
      <c r="AQ127" s="225" t="str">
        <f>IFERROR(INDEX(Data!CM$9:CM$1273,MATCH($M127,Data!$K$9:$K$1273,0)),"")</f>
        <v/>
      </c>
      <c r="AR127" s="225" t="str">
        <f>IFERROR(INDEX(Data!CN$9:CN$1273,MATCH($M127,Data!$K$9:$K$1273,0)),"")</f>
        <v/>
      </c>
      <c r="AS127" s="225" t="str">
        <f>IFERROR(INDEX(Data!CO$9:CO$1273,MATCH($M127,Data!$K$9:$K$1273,0)),"")</f>
        <v/>
      </c>
      <c r="AT127" s="225" t="str">
        <f>IFERROR(INDEX(Data!CP$9:CP$1273,MATCH($M127,Data!$K$9:$K$1273,0)),"")</f>
        <v/>
      </c>
      <c r="AU127" s="225" t="str">
        <f>IFERROR(INDEX(Data!CQ$9:CQ$1273,MATCH($M127,Data!$K$9:$K$1273,0)),"")</f>
        <v/>
      </c>
      <c r="AV127" s="225" t="str">
        <f>IFERROR(INDEX(Data!CR$9:CR$1273,MATCH($M127,Data!$K$9:$K$1273,0)),"")</f>
        <v/>
      </c>
      <c r="AW127" s="225" t="str">
        <f>IFERROR(INDEX(Data!CS$9:CS$1273,MATCH($M127,Data!$K$9:$K$1273,0)),"")</f>
        <v/>
      </c>
      <c r="AX127" s="225" t="str">
        <f>IFERROR(INDEX(Data!CT$9:CT$1273,MATCH($M127,Data!$K$9:$K$1273,0)),"")</f>
        <v/>
      </c>
      <c r="AY127" s="225" t="str">
        <f>IFERROR(INDEX(Data!CU$9:CU$1273,MATCH($M127,Data!$K$9:$K$1273,0)),"")</f>
        <v/>
      </c>
      <c r="AZ127" s="225" t="str">
        <f>IFERROR(INDEX(Data!CV$9:CV$1273,MATCH($M127,Data!$K$9:$K$1273,0)),"")</f>
        <v/>
      </c>
      <c r="BA127" s="225" t="str">
        <f>IFERROR(INDEX(Data!CX$9:CX$1273,MATCH($M127,Data!$K$9:$K$1273,0)),"")</f>
        <v/>
      </c>
      <c r="BB127" s="225" t="str">
        <f>IFERROR(INDEX(Data!CY$9:CY$1273,MATCH($M127,Data!$K$9:$K$1273,0)),"")</f>
        <v/>
      </c>
      <c r="BC127" s="225" t="str">
        <f>IFERROR(INDEX(Data!CZ$9:CZ$1273,MATCH($M127,Data!$K$9:$K$1273,0)),"")</f>
        <v/>
      </c>
      <c r="BD127" s="225" t="str">
        <f>IFERROR(INDEX(Data!DA$9:DA$1273,MATCH($M127,Data!$K$9:$K$1273,0)),"")</f>
        <v/>
      </c>
      <c r="BE127" s="225" t="str">
        <f>IFERROR(INDEX(Data!DB$9:DB$1273,MATCH($M127,Data!$K$9:$K$1273,0)),"")</f>
        <v/>
      </c>
      <c r="BF127" s="225" t="str">
        <f>IFERROR(INDEX(Data!DC$9:DC$1273,MATCH($M127,Data!$K$9:$K$1273,0)),"")</f>
        <v/>
      </c>
      <c r="BG127" s="225" t="str">
        <f>IFERROR(INDEX(Data!DD$9:DD$1273,MATCH($M127,Data!$K$9:$K$1273,0)),"")</f>
        <v/>
      </c>
      <c r="BH127" s="225" t="str">
        <f>IFERROR(INDEX(Data!DE$9:DE$1273,MATCH($M127,Data!$K$9:$K$1273,0)),"")</f>
        <v/>
      </c>
      <c r="BI127" s="225" t="str">
        <f>IFERROR(INDEX(Data!DF$9:DF$1273,MATCH($M127,Data!$K$9:$K$1273,0)),"")</f>
        <v/>
      </c>
      <c r="BJ127" s="225" t="str">
        <f>IFERROR(INDEX(Data!DG$9:DG$1273,MATCH($M127,Data!$K$9:$K$1273,0)),"")</f>
        <v/>
      </c>
      <c r="BK127" s="225" t="str">
        <f>IFERROR(INDEX(Data!DH$9:DH$1273,MATCH($M127,Data!$K$9:$K$1273,0)),"")</f>
        <v/>
      </c>
      <c r="BL127" s="225" t="str">
        <f>IFERROR(INDEX(Data!DI$9:DI$1273,MATCH($M127,Data!$K$9:$K$1273,0)),"")</f>
        <v/>
      </c>
      <c r="BM127" s="225" t="str">
        <f>IFERROR(INDEX(Data!DJ$9:DJ$1273,MATCH($M127,Data!$K$9:$K$1273,0)),"")</f>
        <v/>
      </c>
      <c r="BN127" s="225" t="str">
        <f>IFERROR(INDEX(Data!DK$9:DK$1273,MATCH($M127,Data!$K$9:$K$1273,0)),"")</f>
        <v/>
      </c>
      <c r="BO127" s="225" t="str">
        <f>IFERROR(INDEX(Data!DL$9:DL$1273,MATCH($M127,Data!$K$9:$K$1273,0)),"")</f>
        <v/>
      </c>
      <c r="BP127" s="243" t="str">
        <f t="shared" si="11"/>
        <v/>
      </c>
      <c r="BQ127" s="225" t="str">
        <f t="shared" si="12"/>
        <v xml:space="preserve"> </v>
      </c>
      <c r="BR127" s="225" t="str">
        <f t="shared" si="13"/>
        <v/>
      </c>
      <c r="BS127" s="225" t="str">
        <f>IFERROR(INDEX(Data!$DO$9:$DO$1273,MATCH('Your recommendation'!BR127,Data!$DN$9:$DN$1273,0)),"")</f>
        <v/>
      </c>
    </row>
    <row r="128" spans="2:71" ht="15.6" customHeight="1">
      <c r="B128" s="222" t="str">
        <f t="shared" si="14"/>
        <v/>
      </c>
      <c r="C128" s="223"/>
      <c r="D128" s="225" t="str">
        <f>IFERROR(INDEX(Data!BR$9:BR$1273,MATCH($M128,Data!$K$9:$K$1273,0)),"")</f>
        <v/>
      </c>
      <c r="E128" s="225" t="str">
        <f>IFERROR(INDEX(Data!BS$9:BS$1273,MATCH($M128,Data!$K$9:$K$1273,0)),"")</f>
        <v/>
      </c>
      <c r="F128" s="225" t="str">
        <f>IFERROR(INDEX(Data!DM$9:DM$1273,MATCH($M128,Data!$K$9:$K$1273,0)),"")</f>
        <v/>
      </c>
      <c r="G128" s="225" t="str">
        <f>IFERROR(INDEX(Data!BV$9:BV$1273,MATCH($M128,Data!$K$9:$K$1273,0)),"")</f>
        <v/>
      </c>
      <c r="H128" s="225" t="str">
        <f>IFERROR(INDEX(Data!BW$9:BW$1273,MATCH($M128,Data!$K$9:$K$1273,0)),"")</f>
        <v/>
      </c>
      <c r="I128" s="225" t="str">
        <f>IFERROR(INDEX(Data!BX$9:BX$1273,MATCH($M128,Data!$K$9:$K$1273,0)),"")</f>
        <v/>
      </c>
      <c r="J128" s="225" t="str">
        <f>IFERROR(INDEX(Data!CB$9:CB$1273,MATCH($M128,Data!$K$9:$K$1273,0)),"")</f>
        <v/>
      </c>
      <c r="K128" s="241" t="str">
        <f t="shared" si="9"/>
        <v/>
      </c>
      <c r="L128" s="242" t="str">
        <f t="shared" si="10"/>
        <v/>
      </c>
      <c r="M128" s="224"/>
      <c r="N128" s="224"/>
      <c r="O128" s="224" t="str">
        <f>IFERROR(INDEX(Data!M$9:M$1273,MATCH($M128,Data!$K$9:$K$1273,0)),"")</f>
        <v/>
      </c>
      <c r="P128" s="224" t="str">
        <f>IFERROR(INDEX(Data!N$9:N$1273,MATCH($M128,Data!$K$9:$K$1273,0)),"")</f>
        <v/>
      </c>
      <c r="Q128" s="224" t="str">
        <f>IFERROR(INDEX(Data!O$9:O$1273,MATCH($M128,Data!$K$9:$K$1273,0)),"")</f>
        <v/>
      </c>
      <c r="R128" s="224" t="str">
        <f>IFERROR(INDEX(Data!P$9:P$1273,MATCH($M128,Data!$K$9:$K$1273,0)),"")</f>
        <v/>
      </c>
      <c r="S128" s="224" t="str">
        <f>IFERROR(INDEX(Data!S$9:S$1273,MATCH($M128,Data!$K$9:$K$1273,0)),"")</f>
        <v/>
      </c>
      <c r="T128" s="224" t="str">
        <f>IFERROR(INDEX(Data!T$9:T$1273,MATCH($M128,Data!$K$9:$K$1273,0)),"")</f>
        <v/>
      </c>
      <c r="U128" s="224" t="str">
        <f>IFERROR(INDEX(Data!U$9:U$1273,MATCH($M128,Data!$K$9:$K$1273,0)),"")</f>
        <v/>
      </c>
      <c r="V128" s="224" t="str">
        <f>IFERROR(INDEX(Data!V$9:V$1273,MATCH($M128,Data!$K$9:$K$1273,0)),"")</f>
        <v/>
      </c>
      <c r="W128" s="224" t="str">
        <f>IFERROR(INDEX(Data!W$9:W$1273,MATCH($M128,Data!$K$9:$K$1273,0)),"")</f>
        <v/>
      </c>
      <c r="X128" s="224" t="str">
        <f>IFERROR(INDEX(Data!AJ$9:AJ$1273,MATCH($M128,Data!$K$9:$K$1273,0)),"")</f>
        <v/>
      </c>
      <c r="Y128" s="224" t="str">
        <f>IFERROR(INDEX(Data!AK$9:AK$1273,MATCH($M128,Data!$K$9:$K$1273,0)),"")</f>
        <v/>
      </c>
      <c r="Z128" s="224" t="str">
        <f>IFERROR(INDEX(Data!AL$9:AL$1273,MATCH($M128,Data!$K$9:$K$1273,0)),"")</f>
        <v/>
      </c>
      <c r="AA128" s="224" t="str">
        <f>IFERROR(INDEX(Data!AM$9:AM$1273,MATCH($M128,Data!$K$9:$K$1273,0)),"")</f>
        <v/>
      </c>
      <c r="AB128" s="224" t="str">
        <f>IFERROR(INDEX(Data!AN$9:AN$1273,MATCH($M128,Data!$K$9:$K$1273,0)),"")</f>
        <v/>
      </c>
      <c r="AC128" s="225" t="str">
        <f>IFERROR(INDEX(Data!BY$9:BY$1273,MATCH($M128,Data!$K$9:$K$1273,0)),"")</f>
        <v/>
      </c>
      <c r="AD128" s="225" t="str">
        <f>IFERROR(INDEX(Data!BZ$9:BZ$1273,MATCH($M128,Data!$K$9:$K$1273,0)),"")</f>
        <v/>
      </c>
      <c r="AE128" s="225" t="str">
        <f>IFERROR(INDEX(Data!CA$9:CA$1273,MATCH($M128,Data!$K$9:$K$1273,0)),"")</f>
        <v/>
      </c>
      <c r="AF128" s="225" t="str">
        <f>IFERROR(INDEX(Data!CB$9:CB$1273,MATCH($M128,Data!$K$9:$K$1273,0)),"")</f>
        <v/>
      </c>
      <c r="AG128" s="225" t="str">
        <f>IFERROR(INDEX(Data!CC$9:CC$1273,MATCH($M128,Data!$K$9:$K$1273,0)),"")</f>
        <v/>
      </c>
      <c r="AH128" s="225" t="str">
        <f>IFERROR(INDEX(Data!CD$9:CD$1273,MATCH($M128,Data!$K$9:$K$1273,0)),"")</f>
        <v/>
      </c>
      <c r="AI128" s="225" t="str">
        <f>IFERROR(INDEX(Data!CE$9:CE$1273,MATCH($M128,Data!$K$9:$K$1273,0)),"")</f>
        <v/>
      </c>
      <c r="AJ128" s="225" t="str">
        <f>IFERROR(INDEX(Data!CF$9:CF$1273,MATCH($M128,Data!$K$9:$K$1273,0)),"")</f>
        <v/>
      </c>
      <c r="AK128" s="225" t="str">
        <f>IFERROR(INDEX(Data!CG$9:CG$1273,MATCH($M128,Data!$K$9:$K$1273,0)),"")</f>
        <v/>
      </c>
      <c r="AL128" s="225" t="str">
        <f>IFERROR(INDEX(Data!CH$9:CH$1273,MATCH($M128,Data!$K$9:$K$1273,0)),"")</f>
        <v/>
      </c>
      <c r="AM128" s="225" t="str">
        <f>IFERROR(INDEX(Data!CI$9:CI$1273,MATCH($M128,Data!$K$9:$K$1273,0)),"")</f>
        <v/>
      </c>
      <c r="AN128" s="225" t="str">
        <f>IFERROR(INDEX(Data!CJ$9:CJ$1273,MATCH($M128,Data!$K$9:$K$1273,0)),"")</f>
        <v/>
      </c>
      <c r="AO128" s="225" t="str">
        <f>IFERROR(INDEX(Data!CK$9:CK$1273,MATCH($M128,Data!$K$9:$K$1273,0)),"")</f>
        <v/>
      </c>
      <c r="AP128" s="225" t="str">
        <f>IFERROR(INDEX(Data!CL$9:CL$1273,MATCH($M128,Data!$K$9:$K$1273,0)),"")</f>
        <v/>
      </c>
      <c r="AQ128" s="225" t="str">
        <f>IFERROR(INDEX(Data!CM$9:CM$1273,MATCH($M128,Data!$K$9:$K$1273,0)),"")</f>
        <v/>
      </c>
      <c r="AR128" s="225" t="str">
        <f>IFERROR(INDEX(Data!CN$9:CN$1273,MATCH($M128,Data!$K$9:$K$1273,0)),"")</f>
        <v/>
      </c>
      <c r="AS128" s="225" t="str">
        <f>IFERROR(INDEX(Data!CO$9:CO$1273,MATCH($M128,Data!$K$9:$K$1273,0)),"")</f>
        <v/>
      </c>
      <c r="AT128" s="225" t="str">
        <f>IFERROR(INDEX(Data!CP$9:CP$1273,MATCH($M128,Data!$K$9:$K$1273,0)),"")</f>
        <v/>
      </c>
      <c r="AU128" s="225" t="str">
        <f>IFERROR(INDEX(Data!CQ$9:CQ$1273,MATCH($M128,Data!$K$9:$K$1273,0)),"")</f>
        <v/>
      </c>
      <c r="AV128" s="225" t="str">
        <f>IFERROR(INDEX(Data!CR$9:CR$1273,MATCH($M128,Data!$K$9:$K$1273,0)),"")</f>
        <v/>
      </c>
      <c r="AW128" s="225" t="str">
        <f>IFERROR(INDEX(Data!CS$9:CS$1273,MATCH($M128,Data!$K$9:$K$1273,0)),"")</f>
        <v/>
      </c>
      <c r="AX128" s="225" t="str">
        <f>IFERROR(INDEX(Data!CT$9:CT$1273,MATCH($M128,Data!$K$9:$K$1273,0)),"")</f>
        <v/>
      </c>
      <c r="AY128" s="225" t="str">
        <f>IFERROR(INDEX(Data!CU$9:CU$1273,MATCH($M128,Data!$K$9:$K$1273,0)),"")</f>
        <v/>
      </c>
      <c r="AZ128" s="225" t="str">
        <f>IFERROR(INDEX(Data!CV$9:CV$1273,MATCH($M128,Data!$K$9:$K$1273,0)),"")</f>
        <v/>
      </c>
      <c r="BA128" s="225" t="str">
        <f>IFERROR(INDEX(Data!CX$9:CX$1273,MATCH($M128,Data!$K$9:$K$1273,0)),"")</f>
        <v/>
      </c>
      <c r="BB128" s="225" t="str">
        <f>IFERROR(INDEX(Data!CY$9:CY$1273,MATCH($M128,Data!$K$9:$K$1273,0)),"")</f>
        <v/>
      </c>
      <c r="BC128" s="225" t="str">
        <f>IFERROR(INDEX(Data!CZ$9:CZ$1273,MATCH($M128,Data!$K$9:$K$1273,0)),"")</f>
        <v/>
      </c>
      <c r="BD128" s="225" t="str">
        <f>IFERROR(INDEX(Data!DA$9:DA$1273,MATCH($M128,Data!$K$9:$K$1273,0)),"")</f>
        <v/>
      </c>
      <c r="BE128" s="225" t="str">
        <f>IFERROR(INDEX(Data!DB$9:DB$1273,MATCH($M128,Data!$K$9:$K$1273,0)),"")</f>
        <v/>
      </c>
      <c r="BF128" s="225" t="str">
        <f>IFERROR(INDEX(Data!DC$9:DC$1273,MATCH($M128,Data!$K$9:$K$1273,0)),"")</f>
        <v/>
      </c>
      <c r="BG128" s="225" t="str">
        <f>IFERROR(INDEX(Data!DD$9:DD$1273,MATCH($M128,Data!$K$9:$K$1273,0)),"")</f>
        <v/>
      </c>
      <c r="BH128" s="225" t="str">
        <f>IFERROR(INDEX(Data!DE$9:DE$1273,MATCH($M128,Data!$K$9:$K$1273,0)),"")</f>
        <v/>
      </c>
      <c r="BI128" s="225" t="str">
        <f>IFERROR(INDEX(Data!DF$9:DF$1273,MATCH($M128,Data!$K$9:$K$1273,0)),"")</f>
        <v/>
      </c>
      <c r="BJ128" s="225" t="str">
        <f>IFERROR(INDEX(Data!DG$9:DG$1273,MATCH($M128,Data!$K$9:$K$1273,0)),"")</f>
        <v/>
      </c>
      <c r="BK128" s="225" t="str">
        <f>IFERROR(INDEX(Data!DH$9:DH$1273,MATCH($M128,Data!$K$9:$K$1273,0)),"")</f>
        <v/>
      </c>
      <c r="BL128" s="225" t="str">
        <f>IFERROR(INDEX(Data!DI$9:DI$1273,MATCH($M128,Data!$K$9:$K$1273,0)),"")</f>
        <v/>
      </c>
      <c r="BM128" s="225" t="str">
        <f>IFERROR(INDEX(Data!DJ$9:DJ$1273,MATCH($M128,Data!$K$9:$K$1273,0)),"")</f>
        <v/>
      </c>
      <c r="BN128" s="225" t="str">
        <f>IFERROR(INDEX(Data!DK$9:DK$1273,MATCH($M128,Data!$K$9:$K$1273,0)),"")</f>
        <v/>
      </c>
      <c r="BO128" s="225" t="str">
        <f>IFERROR(INDEX(Data!DL$9:DL$1273,MATCH($M128,Data!$K$9:$K$1273,0)),"")</f>
        <v/>
      </c>
      <c r="BP128" s="243" t="str">
        <f t="shared" si="11"/>
        <v/>
      </c>
      <c r="BQ128" s="225" t="str">
        <f t="shared" si="12"/>
        <v xml:space="preserve"> </v>
      </c>
      <c r="BR128" s="225" t="str">
        <f t="shared" si="13"/>
        <v/>
      </c>
      <c r="BS128" s="225" t="str">
        <f>IFERROR(INDEX(Data!$DO$9:$DO$1273,MATCH('Your recommendation'!BR128,Data!$DN$9:$DN$1273,0)),"")</f>
        <v/>
      </c>
    </row>
    <row r="129" spans="2:71" ht="15.6" customHeight="1">
      <c r="B129" s="222" t="str">
        <f t="shared" si="14"/>
        <v/>
      </c>
      <c r="C129" s="223"/>
      <c r="D129" s="225" t="str">
        <f>IFERROR(INDEX(Data!BR$9:BR$1273,MATCH($M129,Data!$K$9:$K$1273,0)),"")</f>
        <v/>
      </c>
      <c r="E129" s="225" t="str">
        <f>IFERROR(INDEX(Data!BS$9:BS$1273,MATCH($M129,Data!$K$9:$K$1273,0)),"")</f>
        <v/>
      </c>
      <c r="F129" s="225" t="str">
        <f>IFERROR(INDEX(Data!DM$9:DM$1273,MATCH($M129,Data!$K$9:$K$1273,0)),"")</f>
        <v/>
      </c>
      <c r="G129" s="225" t="str">
        <f>IFERROR(INDEX(Data!BV$9:BV$1273,MATCH($M129,Data!$K$9:$K$1273,0)),"")</f>
        <v/>
      </c>
      <c r="H129" s="225" t="str">
        <f>IFERROR(INDEX(Data!BW$9:BW$1273,MATCH($M129,Data!$K$9:$K$1273,0)),"")</f>
        <v/>
      </c>
      <c r="I129" s="225" t="str">
        <f>IFERROR(INDEX(Data!BX$9:BX$1273,MATCH($M129,Data!$K$9:$K$1273,0)),"")</f>
        <v/>
      </c>
      <c r="J129" s="225" t="str">
        <f>IFERROR(INDEX(Data!CB$9:CB$1273,MATCH($M129,Data!$K$9:$K$1273,0)),"")</f>
        <v/>
      </c>
      <c r="K129" s="241" t="str">
        <f t="shared" si="9"/>
        <v/>
      </c>
      <c r="L129" s="242" t="str">
        <f t="shared" si="10"/>
        <v/>
      </c>
      <c r="M129" s="224"/>
      <c r="N129" s="224"/>
      <c r="O129" s="224" t="str">
        <f>IFERROR(INDEX(Data!M$9:M$1273,MATCH($M129,Data!$K$9:$K$1273,0)),"")</f>
        <v/>
      </c>
      <c r="P129" s="224" t="str">
        <f>IFERROR(INDEX(Data!N$9:N$1273,MATCH($M129,Data!$K$9:$K$1273,0)),"")</f>
        <v/>
      </c>
      <c r="Q129" s="224" t="str">
        <f>IFERROR(INDEX(Data!O$9:O$1273,MATCH($M129,Data!$K$9:$K$1273,0)),"")</f>
        <v/>
      </c>
      <c r="R129" s="224" t="str">
        <f>IFERROR(INDEX(Data!P$9:P$1273,MATCH($M129,Data!$K$9:$K$1273,0)),"")</f>
        <v/>
      </c>
      <c r="S129" s="224" t="str">
        <f>IFERROR(INDEX(Data!S$9:S$1273,MATCH($M129,Data!$K$9:$K$1273,0)),"")</f>
        <v/>
      </c>
      <c r="T129" s="224" t="str">
        <f>IFERROR(INDEX(Data!T$9:T$1273,MATCH($M129,Data!$K$9:$K$1273,0)),"")</f>
        <v/>
      </c>
      <c r="U129" s="224" t="str">
        <f>IFERROR(INDEX(Data!U$9:U$1273,MATCH($M129,Data!$K$9:$K$1273,0)),"")</f>
        <v/>
      </c>
      <c r="V129" s="224" t="str">
        <f>IFERROR(INDEX(Data!V$9:V$1273,MATCH($M129,Data!$K$9:$K$1273,0)),"")</f>
        <v/>
      </c>
      <c r="W129" s="224" t="str">
        <f>IFERROR(INDEX(Data!W$9:W$1273,MATCH($M129,Data!$K$9:$K$1273,0)),"")</f>
        <v/>
      </c>
      <c r="X129" s="224" t="str">
        <f>IFERROR(INDEX(Data!AJ$9:AJ$1273,MATCH($M129,Data!$K$9:$K$1273,0)),"")</f>
        <v/>
      </c>
      <c r="Y129" s="224" t="str">
        <f>IFERROR(INDEX(Data!AK$9:AK$1273,MATCH($M129,Data!$K$9:$K$1273,0)),"")</f>
        <v/>
      </c>
      <c r="Z129" s="224" t="str">
        <f>IFERROR(INDEX(Data!AL$9:AL$1273,MATCH($M129,Data!$K$9:$K$1273,0)),"")</f>
        <v/>
      </c>
      <c r="AA129" s="224" t="str">
        <f>IFERROR(INDEX(Data!AM$9:AM$1273,MATCH($M129,Data!$K$9:$K$1273,0)),"")</f>
        <v/>
      </c>
      <c r="AB129" s="224" t="str">
        <f>IFERROR(INDEX(Data!AN$9:AN$1273,MATCH($M129,Data!$K$9:$K$1273,0)),"")</f>
        <v/>
      </c>
      <c r="AC129" s="225" t="str">
        <f>IFERROR(INDEX(Data!BY$9:BY$1273,MATCH($M129,Data!$K$9:$K$1273,0)),"")</f>
        <v/>
      </c>
      <c r="AD129" s="225" t="str">
        <f>IFERROR(INDEX(Data!BZ$9:BZ$1273,MATCH($M129,Data!$K$9:$K$1273,0)),"")</f>
        <v/>
      </c>
      <c r="AE129" s="225" t="str">
        <f>IFERROR(INDEX(Data!CA$9:CA$1273,MATCH($M129,Data!$K$9:$K$1273,0)),"")</f>
        <v/>
      </c>
      <c r="AF129" s="225" t="str">
        <f>IFERROR(INDEX(Data!CB$9:CB$1273,MATCH($M129,Data!$K$9:$K$1273,0)),"")</f>
        <v/>
      </c>
      <c r="AG129" s="225" t="str">
        <f>IFERROR(INDEX(Data!CC$9:CC$1273,MATCH($M129,Data!$K$9:$K$1273,0)),"")</f>
        <v/>
      </c>
      <c r="AH129" s="225" t="str">
        <f>IFERROR(INDEX(Data!CD$9:CD$1273,MATCH($M129,Data!$K$9:$K$1273,0)),"")</f>
        <v/>
      </c>
      <c r="AI129" s="225" t="str">
        <f>IFERROR(INDEX(Data!CE$9:CE$1273,MATCH($M129,Data!$K$9:$K$1273,0)),"")</f>
        <v/>
      </c>
      <c r="AJ129" s="225" t="str">
        <f>IFERROR(INDEX(Data!CF$9:CF$1273,MATCH($M129,Data!$K$9:$K$1273,0)),"")</f>
        <v/>
      </c>
      <c r="AK129" s="225" t="str">
        <f>IFERROR(INDEX(Data!CG$9:CG$1273,MATCH($M129,Data!$K$9:$K$1273,0)),"")</f>
        <v/>
      </c>
      <c r="AL129" s="225" t="str">
        <f>IFERROR(INDEX(Data!CH$9:CH$1273,MATCH($M129,Data!$K$9:$K$1273,0)),"")</f>
        <v/>
      </c>
      <c r="AM129" s="225" t="str">
        <f>IFERROR(INDEX(Data!CI$9:CI$1273,MATCH($M129,Data!$K$9:$K$1273,0)),"")</f>
        <v/>
      </c>
      <c r="AN129" s="225" t="str">
        <f>IFERROR(INDEX(Data!CJ$9:CJ$1273,MATCH($M129,Data!$K$9:$K$1273,0)),"")</f>
        <v/>
      </c>
      <c r="AO129" s="225" t="str">
        <f>IFERROR(INDEX(Data!CK$9:CK$1273,MATCH($M129,Data!$K$9:$K$1273,0)),"")</f>
        <v/>
      </c>
      <c r="AP129" s="225" t="str">
        <f>IFERROR(INDEX(Data!CL$9:CL$1273,MATCH($M129,Data!$K$9:$K$1273,0)),"")</f>
        <v/>
      </c>
      <c r="AQ129" s="225" t="str">
        <f>IFERROR(INDEX(Data!CM$9:CM$1273,MATCH($M129,Data!$K$9:$K$1273,0)),"")</f>
        <v/>
      </c>
      <c r="AR129" s="225" t="str">
        <f>IFERROR(INDEX(Data!CN$9:CN$1273,MATCH($M129,Data!$K$9:$K$1273,0)),"")</f>
        <v/>
      </c>
      <c r="AS129" s="225" t="str">
        <f>IFERROR(INDEX(Data!CO$9:CO$1273,MATCH($M129,Data!$K$9:$K$1273,0)),"")</f>
        <v/>
      </c>
      <c r="AT129" s="225" t="str">
        <f>IFERROR(INDEX(Data!CP$9:CP$1273,MATCH($M129,Data!$K$9:$K$1273,0)),"")</f>
        <v/>
      </c>
      <c r="AU129" s="225" t="str">
        <f>IFERROR(INDEX(Data!CQ$9:CQ$1273,MATCH($M129,Data!$K$9:$K$1273,0)),"")</f>
        <v/>
      </c>
      <c r="AV129" s="225" t="str">
        <f>IFERROR(INDEX(Data!CR$9:CR$1273,MATCH($M129,Data!$K$9:$K$1273,0)),"")</f>
        <v/>
      </c>
      <c r="AW129" s="225" t="str">
        <f>IFERROR(INDEX(Data!CS$9:CS$1273,MATCH($M129,Data!$K$9:$K$1273,0)),"")</f>
        <v/>
      </c>
      <c r="AX129" s="225" t="str">
        <f>IFERROR(INDEX(Data!CT$9:CT$1273,MATCH($M129,Data!$K$9:$K$1273,0)),"")</f>
        <v/>
      </c>
      <c r="AY129" s="225" t="str">
        <f>IFERROR(INDEX(Data!CU$9:CU$1273,MATCH($M129,Data!$K$9:$K$1273,0)),"")</f>
        <v/>
      </c>
      <c r="AZ129" s="225" t="str">
        <f>IFERROR(INDEX(Data!CV$9:CV$1273,MATCH($M129,Data!$K$9:$K$1273,0)),"")</f>
        <v/>
      </c>
      <c r="BA129" s="225" t="str">
        <f>IFERROR(INDEX(Data!CX$9:CX$1273,MATCH($M129,Data!$K$9:$K$1273,0)),"")</f>
        <v/>
      </c>
      <c r="BB129" s="225" t="str">
        <f>IFERROR(INDEX(Data!CY$9:CY$1273,MATCH($M129,Data!$K$9:$K$1273,0)),"")</f>
        <v/>
      </c>
      <c r="BC129" s="225" t="str">
        <f>IFERROR(INDEX(Data!CZ$9:CZ$1273,MATCH($M129,Data!$K$9:$K$1273,0)),"")</f>
        <v/>
      </c>
      <c r="BD129" s="225" t="str">
        <f>IFERROR(INDEX(Data!DA$9:DA$1273,MATCH($M129,Data!$K$9:$K$1273,0)),"")</f>
        <v/>
      </c>
      <c r="BE129" s="225" t="str">
        <f>IFERROR(INDEX(Data!DB$9:DB$1273,MATCH($M129,Data!$K$9:$K$1273,0)),"")</f>
        <v/>
      </c>
      <c r="BF129" s="225" t="str">
        <f>IFERROR(INDEX(Data!DC$9:DC$1273,MATCH($M129,Data!$K$9:$K$1273,0)),"")</f>
        <v/>
      </c>
      <c r="BG129" s="225" t="str">
        <f>IFERROR(INDEX(Data!DD$9:DD$1273,MATCH($M129,Data!$K$9:$K$1273,0)),"")</f>
        <v/>
      </c>
      <c r="BH129" s="225" t="str">
        <f>IFERROR(INDEX(Data!DE$9:DE$1273,MATCH($M129,Data!$K$9:$K$1273,0)),"")</f>
        <v/>
      </c>
      <c r="BI129" s="225" t="str">
        <f>IFERROR(INDEX(Data!DF$9:DF$1273,MATCH($M129,Data!$K$9:$K$1273,0)),"")</f>
        <v/>
      </c>
      <c r="BJ129" s="225" t="str">
        <f>IFERROR(INDEX(Data!DG$9:DG$1273,MATCH($M129,Data!$K$9:$K$1273,0)),"")</f>
        <v/>
      </c>
      <c r="BK129" s="225" t="str">
        <f>IFERROR(INDEX(Data!DH$9:DH$1273,MATCH($M129,Data!$K$9:$K$1273,0)),"")</f>
        <v/>
      </c>
      <c r="BL129" s="225" t="str">
        <f>IFERROR(INDEX(Data!DI$9:DI$1273,MATCH($M129,Data!$K$9:$K$1273,0)),"")</f>
        <v/>
      </c>
      <c r="BM129" s="225" t="str">
        <f>IFERROR(INDEX(Data!DJ$9:DJ$1273,MATCH($M129,Data!$K$9:$K$1273,0)),"")</f>
        <v/>
      </c>
      <c r="BN129" s="225" t="str">
        <f>IFERROR(INDEX(Data!DK$9:DK$1273,MATCH($M129,Data!$K$9:$K$1273,0)),"")</f>
        <v/>
      </c>
      <c r="BO129" s="225" t="str">
        <f>IFERROR(INDEX(Data!DL$9:DL$1273,MATCH($M129,Data!$K$9:$K$1273,0)),"")</f>
        <v/>
      </c>
      <c r="BP129" s="243" t="str">
        <f t="shared" si="11"/>
        <v/>
      </c>
      <c r="BQ129" s="225" t="str">
        <f t="shared" si="12"/>
        <v xml:space="preserve"> </v>
      </c>
      <c r="BR129" s="225" t="str">
        <f t="shared" si="13"/>
        <v/>
      </c>
      <c r="BS129" s="225" t="str">
        <f>IFERROR(INDEX(Data!$DO$9:$DO$1273,MATCH('Your recommendation'!BR129,Data!$DN$9:$DN$1273,0)),"")</f>
        <v/>
      </c>
    </row>
    <row r="130" spans="2:71" ht="15.6" customHeight="1">
      <c r="B130" s="222" t="str">
        <f t="shared" si="14"/>
        <v/>
      </c>
      <c r="C130" s="223"/>
      <c r="D130" s="225" t="str">
        <f>IFERROR(INDEX(Data!BR$9:BR$1273,MATCH($M130,Data!$K$9:$K$1273,0)),"")</f>
        <v/>
      </c>
      <c r="E130" s="225" t="str">
        <f>IFERROR(INDEX(Data!BS$9:BS$1273,MATCH($M130,Data!$K$9:$K$1273,0)),"")</f>
        <v/>
      </c>
      <c r="F130" s="225" t="str">
        <f>IFERROR(INDEX(Data!DM$9:DM$1273,MATCH($M130,Data!$K$9:$K$1273,0)),"")</f>
        <v/>
      </c>
      <c r="G130" s="225" t="str">
        <f>IFERROR(INDEX(Data!BV$9:BV$1273,MATCH($M130,Data!$K$9:$K$1273,0)),"")</f>
        <v/>
      </c>
      <c r="H130" s="225" t="str">
        <f>IFERROR(INDEX(Data!BW$9:BW$1273,MATCH($M130,Data!$K$9:$K$1273,0)),"")</f>
        <v/>
      </c>
      <c r="I130" s="225" t="str">
        <f>IFERROR(INDEX(Data!BX$9:BX$1273,MATCH($M130,Data!$K$9:$K$1273,0)),"")</f>
        <v/>
      </c>
      <c r="J130" s="225" t="str">
        <f>IFERROR(INDEX(Data!CB$9:CB$1273,MATCH($M130,Data!$K$9:$K$1273,0)),"")</f>
        <v/>
      </c>
      <c r="K130" s="241" t="str">
        <f t="shared" si="9"/>
        <v/>
      </c>
      <c r="L130" s="242" t="str">
        <f t="shared" si="10"/>
        <v/>
      </c>
      <c r="M130" s="224"/>
      <c r="N130" s="224"/>
      <c r="O130" s="224" t="str">
        <f>IFERROR(INDEX(Data!M$9:M$1273,MATCH($M130,Data!$K$9:$K$1273,0)),"")</f>
        <v/>
      </c>
      <c r="P130" s="224" t="str">
        <f>IFERROR(INDEX(Data!N$9:N$1273,MATCH($M130,Data!$K$9:$K$1273,0)),"")</f>
        <v/>
      </c>
      <c r="Q130" s="224" t="str">
        <f>IFERROR(INDEX(Data!O$9:O$1273,MATCH($M130,Data!$K$9:$K$1273,0)),"")</f>
        <v/>
      </c>
      <c r="R130" s="224" t="str">
        <f>IFERROR(INDEX(Data!P$9:P$1273,MATCH($M130,Data!$K$9:$K$1273,0)),"")</f>
        <v/>
      </c>
      <c r="S130" s="224" t="str">
        <f>IFERROR(INDEX(Data!S$9:S$1273,MATCH($M130,Data!$K$9:$K$1273,0)),"")</f>
        <v/>
      </c>
      <c r="T130" s="224" t="str">
        <f>IFERROR(INDEX(Data!T$9:T$1273,MATCH($M130,Data!$K$9:$K$1273,0)),"")</f>
        <v/>
      </c>
      <c r="U130" s="224" t="str">
        <f>IFERROR(INDEX(Data!U$9:U$1273,MATCH($M130,Data!$K$9:$K$1273,0)),"")</f>
        <v/>
      </c>
      <c r="V130" s="224" t="str">
        <f>IFERROR(INDEX(Data!V$9:V$1273,MATCH($M130,Data!$K$9:$K$1273,0)),"")</f>
        <v/>
      </c>
      <c r="W130" s="224" t="str">
        <f>IFERROR(INDEX(Data!W$9:W$1273,MATCH($M130,Data!$K$9:$K$1273,0)),"")</f>
        <v/>
      </c>
      <c r="X130" s="224" t="str">
        <f>IFERROR(INDEX(Data!AJ$9:AJ$1273,MATCH($M130,Data!$K$9:$K$1273,0)),"")</f>
        <v/>
      </c>
      <c r="Y130" s="224" t="str">
        <f>IFERROR(INDEX(Data!AK$9:AK$1273,MATCH($M130,Data!$K$9:$K$1273,0)),"")</f>
        <v/>
      </c>
      <c r="Z130" s="224" t="str">
        <f>IFERROR(INDEX(Data!AL$9:AL$1273,MATCH($M130,Data!$K$9:$K$1273,0)),"")</f>
        <v/>
      </c>
      <c r="AA130" s="224" t="str">
        <f>IFERROR(INDEX(Data!AM$9:AM$1273,MATCH($M130,Data!$K$9:$K$1273,0)),"")</f>
        <v/>
      </c>
      <c r="AB130" s="224" t="str">
        <f>IFERROR(INDEX(Data!AN$9:AN$1273,MATCH($M130,Data!$K$9:$K$1273,0)),"")</f>
        <v/>
      </c>
      <c r="AC130" s="225" t="str">
        <f>IFERROR(INDEX(Data!BY$9:BY$1273,MATCH($M130,Data!$K$9:$K$1273,0)),"")</f>
        <v/>
      </c>
      <c r="AD130" s="225" t="str">
        <f>IFERROR(INDEX(Data!BZ$9:BZ$1273,MATCH($M130,Data!$K$9:$K$1273,0)),"")</f>
        <v/>
      </c>
      <c r="AE130" s="225" t="str">
        <f>IFERROR(INDEX(Data!CA$9:CA$1273,MATCH($M130,Data!$K$9:$K$1273,0)),"")</f>
        <v/>
      </c>
      <c r="AF130" s="225" t="str">
        <f>IFERROR(INDEX(Data!CB$9:CB$1273,MATCH($M130,Data!$K$9:$K$1273,0)),"")</f>
        <v/>
      </c>
      <c r="AG130" s="225" t="str">
        <f>IFERROR(INDEX(Data!CC$9:CC$1273,MATCH($M130,Data!$K$9:$K$1273,0)),"")</f>
        <v/>
      </c>
      <c r="AH130" s="225" t="str">
        <f>IFERROR(INDEX(Data!CD$9:CD$1273,MATCH($M130,Data!$K$9:$K$1273,0)),"")</f>
        <v/>
      </c>
      <c r="AI130" s="225" t="str">
        <f>IFERROR(INDEX(Data!CE$9:CE$1273,MATCH($M130,Data!$K$9:$K$1273,0)),"")</f>
        <v/>
      </c>
      <c r="AJ130" s="225" t="str">
        <f>IFERROR(INDEX(Data!CF$9:CF$1273,MATCH($M130,Data!$K$9:$K$1273,0)),"")</f>
        <v/>
      </c>
      <c r="AK130" s="225" t="str">
        <f>IFERROR(INDEX(Data!CG$9:CG$1273,MATCH($M130,Data!$K$9:$K$1273,0)),"")</f>
        <v/>
      </c>
      <c r="AL130" s="225" t="str">
        <f>IFERROR(INDEX(Data!CH$9:CH$1273,MATCH($M130,Data!$K$9:$K$1273,0)),"")</f>
        <v/>
      </c>
      <c r="AM130" s="225" t="str">
        <f>IFERROR(INDEX(Data!CI$9:CI$1273,MATCH($M130,Data!$K$9:$K$1273,0)),"")</f>
        <v/>
      </c>
      <c r="AN130" s="225" t="str">
        <f>IFERROR(INDEX(Data!CJ$9:CJ$1273,MATCH($M130,Data!$K$9:$K$1273,0)),"")</f>
        <v/>
      </c>
      <c r="AO130" s="225" t="str">
        <f>IFERROR(INDEX(Data!CK$9:CK$1273,MATCH($M130,Data!$K$9:$K$1273,0)),"")</f>
        <v/>
      </c>
      <c r="AP130" s="225" t="str">
        <f>IFERROR(INDEX(Data!CL$9:CL$1273,MATCH($M130,Data!$K$9:$K$1273,0)),"")</f>
        <v/>
      </c>
      <c r="AQ130" s="225" t="str">
        <f>IFERROR(INDEX(Data!CM$9:CM$1273,MATCH($M130,Data!$K$9:$K$1273,0)),"")</f>
        <v/>
      </c>
      <c r="AR130" s="225" t="str">
        <f>IFERROR(INDEX(Data!CN$9:CN$1273,MATCH($M130,Data!$K$9:$K$1273,0)),"")</f>
        <v/>
      </c>
      <c r="AS130" s="225" t="str">
        <f>IFERROR(INDEX(Data!CO$9:CO$1273,MATCH($M130,Data!$K$9:$K$1273,0)),"")</f>
        <v/>
      </c>
      <c r="AT130" s="225" t="str">
        <f>IFERROR(INDEX(Data!CP$9:CP$1273,MATCH($M130,Data!$K$9:$K$1273,0)),"")</f>
        <v/>
      </c>
      <c r="AU130" s="225" t="str">
        <f>IFERROR(INDEX(Data!CQ$9:CQ$1273,MATCH($M130,Data!$K$9:$K$1273,0)),"")</f>
        <v/>
      </c>
      <c r="AV130" s="225" t="str">
        <f>IFERROR(INDEX(Data!CR$9:CR$1273,MATCH($M130,Data!$K$9:$K$1273,0)),"")</f>
        <v/>
      </c>
      <c r="AW130" s="225" t="str">
        <f>IFERROR(INDEX(Data!CS$9:CS$1273,MATCH($M130,Data!$K$9:$K$1273,0)),"")</f>
        <v/>
      </c>
      <c r="AX130" s="225" t="str">
        <f>IFERROR(INDEX(Data!CT$9:CT$1273,MATCH($M130,Data!$K$9:$K$1273,0)),"")</f>
        <v/>
      </c>
      <c r="AY130" s="225" t="str">
        <f>IFERROR(INDEX(Data!CU$9:CU$1273,MATCH($M130,Data!$K$9:$K$1273,0)),"")</f>
        <v/>
      </c>
      <c r="AZ130" s="225" t="str">
        <f>IFERROR(INDEX(Data!CV$9:CV$1273,MATCH($M130,Data!$K$9:$K$1273,0)),"")</f>
        <v/>
      </c>
      <c r="BA130" s="225" t="str">
        <f>IFERROR(INDEX(Data!CX$9:CX$1273,MATCH($M130,Data!$K$9:$K$1273,0)),"")</f>
        <v/>
      </c>
      <c r="BB130" s="225" t="str">
        <f>IFERROR(INDEX(Data!CY$9:CY$1273,MATCH($M130,Data!$K$9:$K$1273,0)),"")</f>
        <v/>
      </c>
      <c r="BC130" s="225" t="str">
        <f>IFERROR(INDEX(Data!CZ$9:CZ$1273,MATCH($M130,Data!$K$9:$K$1273,0)),"")</f>
        <v/>
      </c>
      <c r="BD130" s="225" t="str">
        <f>IFERROR(INDEX(Data!DA$9:DA$1273,MATCH($M130,Data!$K$9:$K$1273,0)),"")</f>
        <v/>
      </c>
      <c r="BE130" s="225" t="str">
        <f>IFERROR(INDEX(Data!DB$9:DB$1273,MATCH($M130,Data!$K$9:$K$1273,0)),"")</f>
        <v/>
      </c>
      <c r="BF130" s="225" t="str">
        <f>IFERROR(INDEX(Data!DC$9:DC$1273,MATCH($M130,Data!$K$9:$K$1273,0)),"")</f>
        <v/>
      </c>
      <c r="BG130" s="225" t="str">
        <f>IFERROR(INDEX(Data!DD$9:DD$1273,MATCH($M130,Data!$K$9:$K$1273,0)),"")</f>
        <v/>
      </c>
      <c r="BH130" s="225" t="str">
        <f>IFERROR(INDEX(Data!DE$9:DE$1273,MATCH($M130,Data!$K$9:$K$1273,0)),"")</f>
        <v/>
      </c>
      <c r="BI130" s="225" t="str">
        <f>IFERROR(INDEX(Data!DF$9:DF$1273,MATCH($M130,Data!$K$9:$K$1273,0)),"")</f>
        <v/>
      </c>
      <c r="BJ130" s="225" t="str">
        <f>IFERROR(INDEX(Data!DG$9:DG$1273,MATCH($M130,Data!$K$9:$K$1273,0)),"")</f>
        <v/>
      </c>
      <c r="BK130" s="225" t="str">
        <f>IFERROR(INDEX(Data!DH$9:DH$1273,MATCH($M130,Data!$K$9:$K$1273,0)),"")</f>
        <v/>
      </c>
      <c r="BL130" s="225" t="str">
        <f>IFERROR(INDEX(Data!DI$9:DI$1273,MATCH($M130,Data!$K$9:$K$1273,0)),"")</f>
        <v/>
      </c>
      <c r="BM130" s="225" t="str">
        <f>IFERROR(INDEX(Data!DJ$9:DJ$1273,MATCH($M130,Data!$K$9:$K$1273,0)),"")</f>
        <v/>
      </c>
      <c r="BN130" s="225" t="str">
        <f>IFERROR(INDEX(Data!DK$9:DK$1273,MATCH($M130,Data!$K$9:$K$1273,0)),"")</f>
        <v/>
      </c>
      <c r="BO130" s="225" t="str">
        <f>IFERROR(INDEX(Data!DL$9:DL$1273,MATCH($M130,Data!$K$9:$K$1273,0)),"")</f>
        <v/>
      </c>
      <c r="BP130" s="243" t="str">
        <f t="shared" si="11"/>
        <v/>
      </c>
      <c r="BQ130" s="225" t="str">
        <f t="shared" si="12"/>
        <v xml:space="preserve"> </v>
      </c>
      <c r="BR130" s="225" t="str">
        <f t="shared" si="13"/>
        <v/>
      </c>
      <c r="BS130" s="225" t="str">
        <f>IFERROR(INDEX(Data!$DO$9:$DO$1273,MATCH('Your recommendation'!BR130,Data!$DN$9:$DN$1273,0)),"")</f>
        <v/>
      </c>
    </row>
    <row r="131" spans="2:71" ht="15.6" customHeight="1">
      <c r="B131" s="222" t="str">
        <f t="shared" si="14"/>
        <v/>
      </c>
      <c r="C131" s="223"/>
      <c r="D131" s="225" t="str">
        <f>IFERROR(INDEX(Data!BR$9:BR$1273,MATCH($M131,Data!$K$9:$K$1273,0)),"")</f>
        <v/>
      </c>
      <c r="E131" s="225" t="str">
        <f>IFERROR(INDEX(Data!BS$9:BS$1273,MATCH($M131,Data!$K$9:$K$1273,0)),"")</f>
        <v/>
      </c>
      <c r="F131" s="225" t="str">
        <f>IFERROR(INDEX(Data!DM$9:DM$1273,MATCH($M131,Data!$K$9:$K$1273,0)),"")</f>
        <v/>
      </c>
      <c r="G131" s="225" t="str">
        <f>IFERROR(INDEX(Data!BV$9:BV$1273,MATCH($M131,Data!$K$9:$K$1273,0)),"")</f>
        <v/>
      </c>
      <c r="H131" s="225" t="str">
        <f>IFERROR(INDEX(Data!BW$9:BW$1273,MATCH($M131,Data!$K$9:$K$1273,0)),"")</f>
        <v/>
      </c>
      <c r="I131" s="225" t="str">
        <f>IFERROR(INDEX(Data!BX$9:BX$1273,MATCH($M131,Data!$K$9:$K$1273,0)),"")</f>
        <v/>
      </c>
      <c r="J131" s="225" t="str">
        <f>IFERROR(INDEX(Data!CB$9:CB$1273,MATCH($M131,Data!$K$9:$K$1273,0)),"")</f>
        <v/>
      </c>
      <c r="K131" s="241" t="str">
        <f t="shared" si="9"/>
        <v/>
      </c>
      <c r="L131" s="242" t="str">
        <f t="shared" si="10"/>
        <v/>
      </c>
      <c r="M131" s="224"/>
      <c r="N131" s="224"/>
      <c r="O131" s="224" t="str">
        <f>IFERROR(INDEX(Data!M$9:M$1273,MATCH($M131,Data!$K$9:$K$1273,0)),"")</f>
        <v/>
      </c>
      <c r="P131" s="224" t="str">
        <f>IFERROR(INDEX(Data!N$9:N$1273,MATCH($M131,Data!$K$9:$K$1273,0)),"")</f>
        <v/>
      </c>
      <c r="Q131" s="224" t="str">
        <f>IFERROR(INDEX(Data!O$9:O$1273,MATCH($M131,Data!$K$9:$K$1273,0)),"")</f>
        <v/>
      </c>
      <c r="R131" s="224" t="str">
        <f>IFERROR(INDEX(Data!P$9:P$1273,MATCH($M131,Data!$K$9:$K$1273,0)),"")</f>
        <v/>
      </c>
      <c r="S131" s="224" t="str">
        <f>IFERROR(INDEX(Data!S$9:S$1273,MATCH($M131,Data!$K$9:$K$1273,0)),"")</f>
        <v/>
      </c>
      <c r="T131" s="224" t="str">
        <f>IFERROR(INDEX(Data!T$9:T$1273,MATCH($M131,Data!$K$9:$K$1273,0)),"")</f>
        <v/>
      </c>
      <c r="U131" s="224" t="str">
        <f>IFERROR(INDEX(Data!U$9:U$1273,MATCH($M131,Data!$K$9:$K$1273,0)),"")</f>
        <v/>
      </c>
      <c r="V131" s="224" t="str">
        <f>IFERROR(INDEX(Data!V$9:V$1273,MATCH($M131,Data!$K$9:$K$1273,0)),"")</f>
        <v/>
      </c>
      <c r="W131" s="224" t="str">
        <f>IFERROR(INDEX(Data!W$9:W$1273,MATCH($M131,Data!$K$9:$K$1273,0)),"")</f>
        <v/>
      </c>
      <c r="X131" s="224" t="str">
        <f>IFERROR(INDEX(Data!AJ$9:AJ$1273,MATCH($M131,Data!$K$9:$K$1273,0)),"")</f>
        <v/>
      </c>
      <c r="Y131" s="224" t="str">
        <f>IFERROR(INDEX(Data!AK$9:AK$1273,MATCH($M131,Data!$K$9:$K$1273,0)),"")</f>
        <v/>
      </c>
      <c r="Z131" s="224" t="str">
        <f>IFERROR(INDEX(Data!AL$9:AL$1273,MATCH($M131,Data!$K$9:$K$1273,0)),"")</f>
        <v/>
      </c>
      <c r="AA131" s="224" t="str">
        <f>IFERROR(INDEX(Data!AM$9:AM$1273,MATCH($M131,Data!$K$9:$K$1273,0)),"")</f>
        <v/>
      </c>
      <c r="AB131" s="224" t="str">
        <f>IFERROR(INDEX(Data!AN$9:AN$1273,MATCH($M131,Data!$K$9:$K$1273,0)),"")</f>
        <v/>
      </c>
      <c r="AC131" s="225" t="str">
        <f>IFERROR(INDEX(Data!BY$9:BY$1273,MATCH($M131,Data!$K$9:$K$1273,0)),"")</f>
        <v/>
      </c>
      <c r="AD131" s="225" t="str">
        <f>IFERROR(INDEX(Data!BZ$9:BZ$1273,MATCH($M131,Data!$K$9:$K$1273,0)),"")</f>
        <v/>
      </c>
      <c r="AE131" s="225" t="str">
        <f>IFERROR(INDEX(Data!CA$9:CA$1273,MATCH($M131,Data!$K$9:$K$1273,0)),"")</f>
        <v/>
      </c>
      <c r="AF131" s="225" t="str">
        <f>IFERROR(INDEX(Data!CB$9:CB$1273,MATCH($M131,Data!$K$9:$K$1273,0)),"")</f>
        <v/>
      </c>
      <c r="AG131" s="225" t="str">
        <f>IFERROR(INDEX(Data!CC$9:CC$1273,MATCH($M131,Data!$K$9:$K$1273,0)),"")</f>
        <v/>
      </c>
      <c r="AH131" s="225" t="str">
        <f>IFERROR(INDEX(Data!CD$9:CD$1273,MATCH($M131,Data!$K$9:$K$1273,0)),"")</f>
        <v/>
      </c>
      <c r="AI131" s="225" t="str">
        <f>IFERROR(INDEX(Data!CE$9:CE$1273,MATCH($M131,Data!$K$9:$K$1273,0)),"")</f>
        <v/>
      </c>
      <c r="AJ131" s="225" t="str">
        <f>IFERROR(INDEX(Data!CF$9:CF$1273,MATCH($M131,Data!$K$9:$K$1273,0)),"")</f>
        <v/>
      </c>
      <c r="AK131" s="225" t="str">
        <f>IFERROR(INDEX(Data!CG$9:CG$1273,MATCH($M131,Data!$K$9:$K$1273,0)),"")</f>
        <v/>
      </c>
      <c r="AL131" s="225" t="str">
        <f>IFERROR(INDEX(Data!CH$9:CH$1273,MATCH($M131,Data!$K$9:$K$1273,0)),"")</f>
        <v/>
      </c>
      <c r="AM131" s="225" t="str">
        <f>IFERROR(INDEX(Data!CI$9:CI$1273,MATCH($M131,Data!$K$9:$K$1273,0)),"")</f>
        <v/>
      </c>
      <c r="AN131" s="225" t="str">
        <f>IFERROR(INDEX(Data!CJ$9:CJ$1273,MATCH($M131,Data!$K$9:$K$1273,0)),"")</f>
        <v/>
      </c>
      <c r="AO131" s="225" t="str">
        <f>IFERROR(INDEX(Data!CK$9:CK$1273,MATCH($M131,Data!$K$9:$K$1273,0)),"")</f>
        <v/>
      </c>
      <c r="AP131" s="225" t="str">
        <f>IFERROR(INDEX(Data!CL$9:CL$1273,MATCH($M131,Data!$K$9:$K$1273,0)),"")</f>
        <v/>
      </c>
      <c r="AQ131" s="225" t="str">
        <f>IFERROR(INDEX(Data!CM$9:CM$1273,MATCH($M131,Data!$K$9:$K$1273,0)),"")</f>
        <v/>
      </c>
      <c r="AR131" s="225" t="str">
        <f>IFERROR(INDEX(Data!CN$9:CN$1273,MATCH($M131,Data!$K$9:$K$1273,0)),"")</f>
        <v/>
      </c>
      <c r="AS131" s="225" t="str">
        <f>IFERROR(INDEX(Data!CO$9:CO$1273,MATCH($M131,Data!$K$9:$K$1273,0)),"")</f>
        <v/>
      </c>
      <c r="AT131" s="225" t="str">
        <f>IFERROR(INDEX(Data!CP$9:CP$1273,MATCH($M131,Data!$K$9:$K$1273,0)),"")</f>
        <v/>
      </c>
      <c r="AU131" s="225" t="str">
        <f>IFERROR(INDEX(Data!CQ$9:CQ$1273,MATCH($M131,Data!$K$9:$K$1273,0)),"")</f>
        <v/>
      </c>
      <c r="AV131" s="225" t="str">
        <f>IFERROR(INDEX(Data!CR$9:CR$1273,MATCH($M131,Data!$K$9:$K$1273,0)),"")</f>
        <v/>
      </c>
      <c r="AW131" s="225" t="str">
        <f>IFERROR(INDEX(Data!CS$9:CS$1273,MATCH($M131,Data!$K$9:$K$1273,0)),"")</f>
        <v/>
      </c>
      <c r="AX131" s="225" t="str">
        <f>IFERROR(INDEX(Data!CT$9:CT$1273,MATCH($M131,Data!$K$9:$K$1273,0)),"")</f>
        <v/>
      </c>
      <c r="AY131" s="225" t="str">
        <f>IFERROR(INDEX(Data!CU$9:CU$1273,MATCH($M131,Data!$K$9:$K$1273,0)),"")</f>
        <v/>
      </c>
      <c r="AZ131" s="225" t="str">
        <f>IFERROR(INDEX(Data!CV$9:CV$1273,MATCH($M131,Data!$K$9:$K$1273,0)),"")</f>
        <v/>
      </c>
      <c r="BA131" s="225" t="str">
        <f>IFERROR(INDEX(Data!CX$9:CX$1273,MATCH($M131,Data!$K$9:$K$1273,0)),"")</f>
        <v/>
      </c>
      <c r="BB131" s="225" t="str">
        <f>IFERROR(INDEX(Data!CY$9:CY$1273,MATCH($M131,Data!$K$9:$K$1273,0)),"")</f>
        <v/>
      </c>
      <c r="BC131" s="225" t="str">
        <f>IFERROR(INDEX(Data!CZ$9:CZ$1273,MATCH($M131,Data!$K$9:$K$1273,0)),"")</f>
        <v/>
      </c>
      <c r="BD131" s="225" t="str">
        <f>IFERROR(INDEX(Data!DA$9:DA$1273,MATCH($M131,Data!$K$9:$K$1273,0)),"")</f>
        <v/>
      </c>
      <c r="BE131" s="225" t="str">
        <f>IFERROR(INDEX(Data!DB$9:DB$1273,MATCH($M131,Data!$K$9:$K$1273,0)),"")</f>
        <v/>
      </c>
      <c r="BF131" s="225" t="str">
        <f>IFERROR(INDEX(Data!DC$9:DC$1273,MATCH($M131,Data!$K$9:$K$1273,0)),"")</f>
        <v/>
      </c>
      <c r="BG131" s="225" t="str">
        <f>IFERROR(INDEX(Data!DD$9:DD$1273,MATCH($M131,Data!$K$9:$K$1273,0)),"")</f>
        <v/>
      </c>
      <c r="BH131" s="225" t="str">
        <f>IFERROR(INDEX(Data!DE$9:DE$1273,MATCH($M131,Data!$K$9:$K$1273,0)),"")</f>
        <v/>
      </c>
      <c r="BI131" s="225" t="str">
        <f>IFERROR(INDEX(Data!DF$9:DF$1273,MATCH($M131,Data!$K$9:$K$1273,0)),"")</f>
        <v/>
      </c>
      <c r="BJ131" s="225" t="str">
        <f>IFERROR(INDEX(Data!DG$9:DG$1273,MATCH($M131,Data!$K$9:$K$1273,0)),"")</f>
        <v/>
      </c>
      <c r="BK131" s="225" t="str">
        <f>IFERROR(INDEX(Data!DH$9:DH$1273,MATCH($M131,Data!$K$9:$K$1273,0)),"")</f>
        <v/>
      </c>
      <c r="BL131" s="225" t="str">
        <f>IFERROR(INDEX(Data!DI$9:DI$1273,MATCH($M131,Data!$K$9:$K$1273,0)),"")</f>
        <v/>
      </c>
      <c r="BM131" s="225" t="str">
        <f>IFERROR(INDEX(Data!DJ$9:DJ$1273,MATCH($M131,Data!$K$9:$K$1273,0)),"")</f>
        <v/>
      </c>
      <c r="BN131" s="225" t="str">
        <f>IFERROR(INDEX(Data!DK$9:DK$1273,MATCH($M131,Data!$K$9:$K$1273,0)),"")</f>
        <v/>
      </c>
      <c r="BO131" s="225" t="str">
        <f>IFERROR(INDEX(Data!DL$9:DL$1273,MATCH($M131,Data!$K$9:$K$1273,0)),"")</f>
        <v/>
      </c>
      <c r="BP131" s="243" t="str">
        <f t="shared" si="11"/>
        <v/>
      </c>
      <c r="BQ131" s="225" t="str">
        <f t="shared" si="12"/>
        <v xml:space="preserve"> </v>
      </c>
      <c r="BR131" s="225" t="str">
        <f t="shared" si="13"/>
        <v/>
      </c>
      <c r="BS131" s="225" t="str">
        <f>IFERROR(INDEX(Data!$DO$9:$DO$1273,MATCH('Your recommendation'!BR131,Data!$DN$9:$DN$1273,0)),"")</f>
        <v/>
      </c>
    </row>
    <row r="132" spans="2:71" ht="15.6" customHeight="1">
      <c r="B132" s="222" t="str">
        <f t="shared" si="14"/>
        <v/>
      </c>
      <c r="C132" s="223"/>
      <c r="D132" s="225" t="str">
        <f>IFERROR(INDEX(Data!BR$9:BR$1273,MATCH($M132,Data!$K$9:$K$1273,0)),"")</f>
        <v/>
      </c>
      <c r="E132" s="225" t="str">
        <f>IFERROR(INDEX(Data!BS$9:BS$1273,MATCH($M132,Data!$K$9:$K$1273,0)),"")</f>
        <v/>
      </c>
      <c r="F132" s="225" t="str">
        <f>IFERROR(INDEX(Data!DM$9:DM$1273,MATCH($M132,Data!$K$9:$K$1273,0)),"")</f>
        <v/>
      </c>
      <c r="G132" s="225" t="str">
        <f>IFERROR(INDEX(Data!BV$9:BV$1273,MATCH($M132,Data!$K$9:$K$1273,0)),"")</f>
        <v/>
      </c>
      <c r="H132" s="225" t="str">
        <f>IFERROR(INDEX(Data!BW$9:BW$1273,MATCH($M132,Data!$K$9:$K$1273,0)),"")</f>
        <v/>
      </c>
      <c r="I132" s="225" t="str">
        <f>IFERROR(INDEX(Data!BX$9:BX$1273,MATCH($M132,Data!$K$9:$K$1273,0)),"")</f>
        <v/>
      </c>
      <c r="J132" s="225" t="str">
        <f>IFERROR(INDEX(Data!CB$9:CB$1273,MATCH($M132,Data!$K$9:$K$1273,0)),"")</f>
        <v/>
      </c>
      <c r="K132" s="241" t="str">
        <f t="shared" si="9"/>
        <v/>
      </c>
      <c r="L132" s="242" t="str">
        <f t="shared" si="10"/>
        <v/>
      </c>
      <c r="M132" s="224"/>
      <c r="N132" s="224"/>
      <c r="O132" s="224" t="str">
        <f>IFERROR(INDEX(Data!M$9:M$1273,MATCH($M132,Data!$K$9:$K$1273,0)),"")</f>
        <v/>
      </c>
      <c r="P132" s="224" t="str">
        <f>IFERROR(INDEX(Data!N$9:N$1273,MATCH($M132,Data!$K$9:$K$1273,0)),"")</f>
        <v/>
      </c>
      <c r="Q132" s="224" t="str">
        <f>IFERROR(INDEX(Data!O$9:O$1273,MATCH($M132,Data!$K$9:$K$1273,0)),"")</f>
        <v/>
      </c>
      <c r="R132" s="224" t="str">
        <f>IFERROR(INDEX(Data!P$9:P$1273,MATCH($M132,Data!$K$9:$K$1273,0)),"")</f>
        <v/>
      </c>
      <c r="S132" s="224" t="str">
        <f>IFERROR(INDEX(Data!S$9:S$1273,MATCH($M132,Data!$K$9:$K$1273,0)),"")</f>
        <v/>
      </c>
      <c r="T132" s="224" t="str">
        <f>IFERROR(INDEX(Data!T$9:T$1273,MATCH($M132,Data!$K$9:$K$1273,0)),"")</f>
        <v/>
      </c>
      <c r="U132" s="224" t="str">
        <f>IFERROR(INDEX(Data!U$9:U$1273,MATCH($M132,Data!$K$9:$K$1273,0)),"")</f>
        <v/>
      </c>
      <c r="V132" s="224" t="str">
        <f>IFERROR(INDEX(Data!V$9:V$1273,MATCH($M132,Data!$K$9:$K$1273,0)),"")</f>
        <v/>
      </c>
      <c r="W132" s="224" t="str">
        <f>IFERROR(INDEX(Data!W$9:W$1273,MATCH($M132,Data!$K$9:$K$1273,0)),"")</f>
        <v/>
      </c>
      <c r="X132" s="224" t="str">
        <f>IFERROR(INDEX(Data!AJ$9:AJ$1273,MATCH($M132,Data!$K$9:$K$1273,0)),"")</f>
        <v/>
      </c>
      <c r="Y132" s="224" t="str">
        <f>IFERROR(INDEX(Data!AK$9:AK$1273,MATCH($M132,Data!$K$9:$K$1273,0)),"")</f>
        <v/>
      </c>
      <c r="Z132" s="224" t="str">
        <f>IFERROR(INDEX(Data!AL$9:AL$1273,MATCH($M132,Data!$K$9:$K$1273,0)),"")</f>
        <v/>
      </c>
      <c r="AA132" s="224" t="str">
        <f>IFERROR(INDEX(Data!AM$9:AM$1273,MATCH($M132,Data!$K$9:$K$1273,0)),"")</f>
        <v/>
      </c>
      <c r="AB132" s="224" t="str">
        <f>IFERROR(INDEX(Data!AN$9:AN$1273,MATCH($M132,Data!$K$9:$K$1273,0)),"")</f>
        <v/>
      </c>
      <c r="AC132" s="225" t="str">
        <f>IFERROR(INDEX(Data!BY$9:BY$1273,MATCH($M132,Data!$K$9:$K$1273,0)),"")</f>
        <v/>
      </c>
      <c r="AD132" s="225" t="str">
        <f>IFERROR(INDEX(Data!BZ$9:BZ$1273,MATCH($M132,Data!$K$9:$K$1273,0)),"")</f>
        <v/>
      </c>
      <c r="AE132" s="225" t="str">
        <f>IFERROR(INDEX(Data!CA$9:CA$1273,MATCH($M132,Data!$K$9:$K$1273,0)),"")</f>
        <v/>
      </c>
      <c r="AF132" s="225" t="str">
        <f>IFERROR(INDEX(Data!CB$9:CB$1273,MATCH($M132,Data!$K$9:$K$1273,0)),"")</f>
        <v/>
      </c>
      <c r="AG132" s="225" t="str">
        <f>IFERROR(INDEX(Data!CC$9:CC$1273,MATCH($M132,Data!$K$9:$K$1273,0)),"")</f>
        <v/>
      </c>
      <c r="AH132" s="225" t="str">
        <f>IFERROR(INDEX(Data!CD$9:CD$1273,MATCH($M132,Data!$K$9:$K$1273,0)),"")</f>
        <v/>
      </c>
      <c r="AI132" s="225" t="str">
        <f>IFERROR(INDEX(Data!CE$9:CE$1273,MATCH($M132,Data!$K$9:$K$1273,0)),"")</f>
        <v/>
      </c>
      <c r="AJ132" s="225" t="str">
        <f>IFERROR(INDEX(Data!CF$9:CF$1273,MATCH($M132,Data!$K$9:$K$1273,0)),"")</f>
        <v/>
      </c>
      <c r="AK132" s="225" t="str">
        <f>IFERROR(INDEX(Data!CG$9:CG$1273,MATCH($M132,Data!$K$9:$K$1273,0)),"")</f>
        <v/>
      </c>
      <c r="AL132" s="225" t="str">
        <f>IFERROR(INDEX(Data!CH$9:CH$1273,MATCH($M132,Data!$K$9:$K$1273,0)),"")</f>
        <v/>
      </c>
      <c r="AM132" s="225" t="str">
        <f>IFERROR(INDEX(Data!CI$9:CI$1273,MATCH($M132,Data!$K$9:$K$1273,0)),"")</f>
        <v/>
      </c>
      <c r="AN132" s="225" t="str">
        <f>IFERROR(INDEX(Data!CJ$9:CJ$1273,MATCH($M132,Data!$K$9:$K$1273,0)),"")</f>
        <v/>
      </c>
      <c r="AO132" s="225" t="str">
        <f>IFERROR(INDEX(Data!CK$9:CK$1273,MATCH($M132,Data!$K$9:$K$1273,0)),"")</f>
        <v/>
      </c>
      <c r="AP132" s="225" t="str">
        <f>IFERROR(INDEX(Data!CL$9:CL$1273,MATCH($M132,Data!$K$9:$K$1273,0)),"")</f>
        <v/>
      </c>
      <c r="AQ132" s="225" t="str">
        <f>IFERROR(INDEX(Data!CM$9:CM$1273,MATCH($M132,Data!$K$9:$K$1273,0)),"")</f>
        <v/>
      </c>
      <c r="AR132" s="225" t="str">
        <f>IFERROR(INDEX(Data!CN$9:CN$1273,MATCH($M132,Data!$K$9:$K$1273,0)),"")</f>
        <v/>
      </c>
      <c r="AS132" s="225" t="str">
        <f>IFERROR(INDEX(Data!CO$9:CO$1273,MATCH($M132,Data!$K$9:$K$1273,0)),"")</f>
        <v/>
      </c>
      <c r="AT132" s="225" t="str">
        <f>IFERROR(INDEX(Data!CP$9:CP$1273,MATCH($M132,Data!$K$9:$K$1273,0)),"")</f>
        <v/>
      </c>
      <c r="AU132" s="225" t="str">
        <f>IFERROR(INDEX(Data!CQ$9:CQ$1273,MATCH($M132,Data!$K$9:$K$1273,0)),"")</f>
        <v/>
      </c>
      <c r="AV132" s="225" t="str">
        <f>IFERROR(INDEX(Data!CR$9:CR$1273,MATCH($M132,Data!$K$9:$K$1273,0)),"")</f>
        <v/>
      </c>
      <c r="AW132" s="225" t="str">
        <f>IFERROR(INDEX(Data!CS$9:CS$1273,MATCH($M132,Data!$K$9:$K$1273,0)),"")</f>
        <v/>
      </c>
      <c r="AX132" s="225" t="str">
        <f>IFERROR(INDEX(Data!CT$9:CT$1273,MATCH($M132,Data!$K$9:$K$1273,0)),"")</f>
        <v/>
      </c>
      <c r="AY132" s="225" t="str">
        <f>IFERROR(INDEX(Data!CU$9:CU$1273,MATCH($M132,Data!$K$9:$K$1273,0)),"")</f>
        <v/>
      </c>
      <c r="AZ132" s="225" t="str">
        <f>IFERROR(INDEX(Data!CV$9:CV$1273,MATCH($M132,Data!$K$9:$K$1273,0)),"")</f>
        <v/>
      </c>
      <c r="BA132" s="225" t="str">
        <f>IFERROR(INDEX(Data!CX$9:CX$1273,MATCH($M132,Data!$K$9:$K$1273,0)),"")</f>
        <v/>
      </c>
      <c r="BB132" s="225" t="str">
        <f>IFERROR(INDEX(Data!CY$9:CY$1273,MATCH($M132,Data!$K$9:$K$1273,0)),"")</f>
        <v/>
      </c>
      <c r="BC132" s="225" t="str">
        <f>IFERROR(INDEX(Data!CZ$9:CZ$1273,MATCH($M132,Data!$K$9:$K$1273,0)),"")</f>
        <v/>
      </c>
      <c r="BD132" s="225" t="str">
        <f>IFERROR(INDEX(Data!DA$9:DA$1273,MATCH($M132,Data!$K$9:$K$1273,0)),"")</f>
        <v/>
      </c>
      <c r="BE132" s="225" t="str">
        <f>IFERROR(INDEX(Data!DB$9:DB$1273,MATCH($M132,Data!$K$9:$K$1273,0)),"")</f>
        <v/>
      </c>
      <c r="BF132" s="225" t="str">
        <f>IFERROR(INDEX(Data!DC$9:DC$1273,MATCH($M132,Data!$K$9:$K$1273,0)),"")</f>
        <v/>
      </c>
      <c r="BG132" s="225" t="str">
        <f>IFERROR(INDEX(Data!DD$9:DD$1273,MATCH($M132,Data!$K$9:$K$1273,0)),"")</f>
        <v/>
      </c>
      <c r="BH132" s="225" t="str">
        <f>IFERROR(INDEX(Data!DE$9:DE$1273,MATCH($M132,Data!$K$9:$K$1273,0)),"")</f>
        <v/>
      </c>
      <c r="BI132" s="225" t="str">
        <f>IFERROR(INDEX(Data!DF$9:DF$1273,MATCH($M132,Data!$K$9:$K$1273,0)),"")</f>
        <v/>
      </c>
      <c r="BJ132" s="225" t="str">
        <f>IFERROR(INDEX(Data!DG$9:DG$1273,MATCH($M132,Data!$K$9:$K$1273,0)),"")</f>
        <v/>
      </c>
      <c r="BK132" s="225" t="str">
        <f>IFERROR(INDEX(Data!DH$9:DH$1273,MATCH($M132,Data!$K$9:$K$1273,0)),"")</f>
        <v/>
      </c>
      <c r="BL132" s="225" t="str">
        <f>IFERROR(INDEX(Data!DI$9:DI$1273,MATCH($M132,Data!$K$9:$K$1273,0)),"")</f>
        <v/>
      </c>
      <c r="BM132" s="225" t="str">
        <f>IFERROR(INDEX(Data!DJ$9:DJ$1273,MATCH($M132,Data!$K$9:$K$1273,0)),"")</f>
        <v/>
      </c>
      <c r="BN132" s="225" t="str">
        <f>IFERROR(INDEX(Data!DK$9:DK$1273,MATCH($M132,Data!$K$9:$K$1273,0)),"")</f>
        <v/>
      </c>
      <c r="BO132" s="225" t="str">
        <f>IFERROR(INDEX(Data!DL$9:DL$1273,MATCH($M132,Data!$K$9:$K$1273,0)),"")</f>
        <v/>
      </c>
      <c r="BP132" s="243" t="str">
        <f t="shared" si="11"/>
        <v/>
      </c>
      <c r="BQ132" s="225" t="str">
        <f t="shared" si="12"/>
        <v xml:space="preserve"> </v>
      </c>
      <c r="BR132" s="225" t="str">
        <f t="shared" si="13"/>
        <v/>
      </c>
      <c r="BS132" s="225" t="str">
        <f>IFERROR(INDEX(Data!$DO$9:$DO$1273,MATCH('Your recommendation'!BR132,Data!$DN$9:$DN$1273,0)),"")</f>
        <v/>
      </c>
    </row>
    <row r="133" spans="2:71" ht="15.6" customHeight="1">
      <c r="B133" s="222" t="str">
        <f t="shared" si="14"/>
        <v/>
      </c>
      <c r="C133" s="223"/>
      <c r="D133" s="225" t="str">
        <f>IFERROR(INDEX(Data!BR$9:BR$1273,MATCH($M133,Data!$K$9:$K$1273,0)),"")</f>
        <v/>
      </c>
      <c r="E133" s="225" t="str">
        <f>IFERROR(INDEX(Data!BS$9:BS$1273,MATCH($M133,Data!$K$9:$K$1273,0)),"")</f>
        <v/>
      </c>
      <c r="F133" s="225" t="str">
        <f>IFERROR(INDEX(Data!DM$9:DM$1273,MATCH($M133,Data!$K$9:$K$1273,0)),"")</f>
        <v/>
      </c>
      <c r="G133" s="225" t="str">
        <f>IFERROR(INDEX(Data!BV$9:BV$1273,MATCH($M133,Data!$K$9:$K$1273,0)),"")</f>
        <v/>
      </c>
      <c r="H133" s="225" t="str">
        <f>IFERROR(INDEX(Data!BW$9:BW$1273,MATCH($M133,Data!$K$9:$K$1273,0)),"")</f>
        <v/>
      </c>
      <c r="I133" s="225" t="str">
        <f>IFERROR(INDEX(Data!BX$9:BX$1273,MATCH($M133,Data!$K$9:$K$1273,0)),"")</f>
        <v/>
      </c>
      <c r="J133" s="225" t="str">
        <f>IFERROR(INDEX(Data!CB$9:CB$1273,MATCH($M133,Data!$K$9:$K$1273,0)),"")</f>
        <v/>
      </c>
      <c r="K133" s="241" t="str">
        <f t="shared" si="9"/>
        <v/>
      </c>
      <c r="L133" s="242" t="str">
        <f t="shared" si="10"/>
        <v/>
      </c>
      <c r="M133" s="224"/>
      <c r="N133" s="224"/>
      <c r="O133" s="224" t="str">
        <f>IFERROR(INDEX(Data!M$9:M$1273,MATCH($M133,Data!$K$9:$K$1273,0)),"")</f>
        <v/>
      </c>
      <c r="P133" s="224" t="str">
        <f>IFERROR(INDEX(Data!N$9:N$1273,MATCH($M133,Data!$K$9:$K$1273,0)),"")</f>
        <v/>
      </c>
      <c r="Q133" s="224" t="str">
        <f>IFERROR(INDEX(Data!O$9:O$1273,MATCH($M133,Data!$K$9:$K$1273,0)),"")</f>
        <v/>
      </c>
      <c r="R133" s="224" t="str">
        <f>IFERROR(INDEX(Data!P$9:P$1273,MATCH($M133,Data!$K$9:$K$1273,0)),"")</f>
        <v/>
      </c>
      <c r="S133" s="224" t="str">
        <f>IFERROR(INDEX(Data!S$9:S$1273,MATCH($M133,Data!$K$9:$K$1273,0)),"")</f>
        <v/>
      </c>
      <c r="T133" s="224" t="str">
        <f>IFERROR(INDEX(Data!T$9:T$1273,MATCH($M133,Data!$K$9:$K$1273,0)),"")</f>
        <v/>
      </c>
      <c r="U133" s="224" t="str">
        <f>IFERROR(INDEX(Data!U$9:U$1273,MATCH($M133,Data!$K$9:$K$1273,0)),"")</f>
        <v/>
      </c>
      <c r="V133" s="224" t="str">
        <f>IFERROR(INDEX(Data!V$9:V$1273,MATCH($M133,Data!$K$9:$K$1273,0)),"")</f>
        <v/>
      </c>
      <c r="W133" s="224" t="str">
        <f>IFERROR(INDEX(Data!W$9:W$1273,MATCH($M133,Data!$K$9:$K$1273,0)),"")</f>
        <v/>
      </c>
      <c r="X133" s="224" t="str">
        <f>IFERROR(INDEX(Data!AJ$9:AJ$1273,MATCH($M133,Data!$K$9:$K$1273,0)),"")</f>
        <v/>
      </c>
      <c r="Y133" s="224" t="str">
        <f>IFERROR(INDEX(Data!AK$9:AK$1273,MATCH($M133,Data!$K$9:$K$1273,0)),"")</f>
        <v/>
      </c>
      <c r="Z133" s="224" t="str">
        <f>IFERROR(INDEX(Data!AL$9:AL$1273,MATCH($M133,Data!$K$9:$K$1273,0)),"")</f>
        <v/>
      </c>
      <c r="AA133" s="224" t="str">
        <f>IFERROR(INDEX(Data!AM$9:AM$1273,MATCH($M133,Data!$K$9:$K$1273,0)),"")</f>
        <v/>
      </c>
      <c r="AB133" s="224" t="str">
        <f>IFERROR(INDEX(Data!AN$9:AN$1273,MATCH($M133,Data!$K$9:$K$1273,0)),"")</f>
        <v/>
      </c>
      <c r="AC133" s="225" t="str">
        <f>IFERROR(INDEX(Data!BY$9:BY$1273,MATCH($M133,Data!$K$9:$K$1273,0)),"")</f>
        <v/>
      </c>
      <c r="AD133" s="225" t="str">
        <f>IFERROR(INDEX(Data!BZ$9:BZ$1273,MATCH($M133,Data!$K$9:$K$1273,0)),"")</f>
        <v/>
      </c>
      <c r="AE133" s="225" t="str">
        <f>IFERROR(INDEX(Data!CA$9:CA$1273,MATCH($M133,Data!$K$9:$K$1273,0)),"")</f>
        <v/>
      </c>
      <c r="AF133" s="225" t="str">
        <f>IFERROR(INDEX(Data!CB$9:CB$1273,MATCH($M133,Data!$K$9:$K$1273,0)),"")</f>
        <v/>
      </c>
      <c r="AG133" s="225" t="str">
        <f>IFERROR(INDEX(Data!CC$9:CC$1273,MATCH($M133,Data!$K$9:$K$1273,0)),"")</f>
        <v/>
      </c>
      <c r="AH133" s="225" t="str">
        <f>IFERROR(INDEX(Data!CD$9:CD$1273,MATCH($M133,Data!$K$9:$K$1273,0)),"")</f>
        <v/>
      </c>
      <c r="AI133" s="225" t="str">
        <f>IFERROR(INDEX(Data!CE$9:CE$1273,MATCH($M133,Data!$K$9:$K$1273,0)),"")</f>
        <v/>
      </c>
      <c r="AJ133" s="225" t="str">
        <f>IFERROR(INDEX(Data!CF$9:CF$1273,MATCH($M133,Data!$K$9:$K$1273,0)),"")</f>
        <v/>
      </c>
      <c r="AK133" s="225" t="str">
        <f>IFERROR(INDEX(Data!CG$9:CG$1273,MATCH($M133,Data!$K$9:$K$1273,0)),"")</f>
        <v/>
      </c>
      <c r="AL133" s="225" t="str">
        <f>IFERROR(INDEX(Data!CH$9:CH$1273,MATCH($M133,Data!$K$9:$K$1273,0)),"")</f>
        <v/>
      </c>
      <c r="AM133" s="225" t="str">
        <f>IFERROR(INDEX(Data!CI$9:CI$1273,MATCH($M133,Data!$K$9:$K$1273,0)),"")</f>
        <v/>
      </c>
      <c r="AN133" s="225" t="str">
        <f>IFERROR(INDEX(Data!CJ$9:CJ$1273,MATCH($M133,Data!$K$9:$K$1273,0)),"")</f>
        <v/>
      </c>
      <c r="AO133" s="225" t="str">
        <f>IFERROR(INDEX(Data!CK$9:CK$1273,MATCH($M133,Data!$K$9:$K$1273,0)),"")</f>
        <v/>
      </c>
      <c r="AP133" s="225" t="str">
        <f>IFERROR(INDEX(Data!CL$9:CL$1273,MATCH($M133,Data!$K$9:$K$1273,0)),"")</f>
        <v/>
      </c>
      <c r="AQ133" s="225" t="str">
        <f>IFERROR(INDEX(Data!CM$9:CM$1273,MATCH($M133,Data!$K$9:$K$1273,0)),"")</f>
        <v/>
      </c>
      <c r="AR133" s="225" t="str">
        <f>IFERROR(INDEX(Data!CN$9:CN$1273,MATCH($M133,Data!$K$9:$K$1273,0)),"")</f>
        <v/>
      </c>
      <c r="AS133" s="225" t="str">
        <f>IFERROR(INDEX(Data!CO$9:CO$1273,MATCH($M133,Data!$K$9:$K$1273,0)),"")</f>
        <v/>
      </c>
      <c r="AT133" s="225" t="str">
        <f>IFERROR(INDEX(Data!CP$9:CP$1273,MATCH($M133,Data!$K$9:$K$1273,0)),"")</f>
        <v/>
      </c>
      <c r="AU133" s="225" t="str">
        <f>IFERROR(INDEX(Data!CQ$9:CQ$1273,MATCH($M133,Data!$K$9:$K$1273,0)),"")</f>
        <v/>
      </c>
      <c r="AV133" s="225" t="str">
        <f>IFERROR(INDEX(Data!CR$9:CR$1273,MATCH($M133,Data!$K$9:$K$1273,0)),"")</f>
        <v/>
      </c>
      <c r="AW133" s="225" t="str">
        <f>IFERROR(INDEX(Data!CS$9:CS$1273,MATCH($M133,Data!$K$9:$K$1273,0)),"")</f>
        <v/>
      </c>
      <c r="AX133" s="225" t="str">
        <f>IFERROR(INDEX(Data!CT$9:CT$1273,MATCH($M133,Data!$K$9:$K$1273,0)),"")</f>
        <v/>
      </c>
      <c r="AY133" s="225" t="str">
        <f>IFERROR(INDEX(Data!CU$9:CU$1273,MATCH($M133,Data!$K$9:$K$1273,0)),"")</f>
        <v/>
      </c>
      <c r="AZ133" s="225" t="str">
        <f>IFERROR(INDEX(Data!CV$9:CV$1273,MATCH($M133,Data!$K$9:$K$1273,0)),"")</f>
        <v/>
      </c>
      <c r="BA133" s="225" t="str">
        <f>IFERROR(INDEX(Data!CX$9:CX$1273,MATCH($M133,Data!$K$9:$K$1273,0)),"")</f>
        <v/>
      </c>
      <c r="BB133" s="225" t="str">
        <f>IFERROR(INDEX(Data!CY$9:CY$1273,MATCH($M133,Data!$K$9:$K$1273,0)),"")</f>
        <v/>
      </c>
      <c r="BC133" s="225" t="str">
        <f>IFERROR(INDEX(Data!CZ$9:CZ$1273,MATCH($M133,Data!$K$9:$K$1273,0)),"")</f>
        <v/>
      </c>
      <c r="BD133" s="225" t="str">
        <f>IFERROR(INDEX(Data!DA$9:DA$1273,MATCH($M133,Data!$K$9:$K$1273,0)),"")</f>
        <v/>
      </c>
      <c r="BE133" s="225" t="str">
        <f>IFERROR(INDEX(Data!DB$9:DB$1273,MATCH($M133,Data!$K$9:$K$1273,0)),"")</f>
        <v/>
      </c>
      <c r="BF133" s="225" t="str">
        <f>IFERROR(INDEX(Data!DC$9:DC$1273,MATCH($M133,Data!$K$9:$K$1273,0)),"")</f>
        <v/>
      </c>
      <c r="BG133" s="225" t="str">
        <f>IFERROR(INDEX(Data!DD$9:DD$1273,MATCH($M133,Data!$K$9:$K$1273,0)),"")</f>
        <v/>
      </c>
      <c r="BH133" s="225" t="str">
        <f>IFERROR(INDEX(Data!DE$9:DE$1273,MATCH($M133,Data!$K$9:$K$1273,0)),"")</f>
        <v/>
      </c>
      <c r="BI133" s="225" t="str">
        <f>IFERROR(INDEX(Data!DF$9:DF$1273,MATCH($M133,Data!$K$9:$K$1273,0)),"")</f>
        <v/>
      </c>
      <c r="BJ133" s="225" t="str">
        <f>IFERROR(INDEX(Data!DG$9:DG$1273,MATCH($M133,Data!$K$9:$K$1273,0)),"")</f>
        <v/>
      </c>
      <c r="BK133" s="225" t="str">
        <f>IFERROR(INDEX(Data!DH$9:DH$1273,MATCH($M133,Data!$K$9:$K$1273,0)),"")</f>
        <v/>
      </c>
      <c r="BL133" s="225" t="str">
        <f>IFERROR(INDEX(Data!DI$9:DI$1273,MATCH($M133,Data!$K$9:$K$1273,0)),"")</f>
        <v/>
      </c>
      <c r="BM133" s="225" t="str">
        <f>IFERROR(INDEX(Data!DJ$9:DJ$1273,MATCH($M133,Data!$K$9:$K$1273,0)),"")</f>
        <v/>
      </c>
      <c r="BN133" s="225" t="str">
        <f>IFERROR(INDEX(Data!DK$9:DK$1273,MATCH($M133,Data!$K$9:$K$1273,0)),"")</f>
        <v/>
      </c>
      <c r="BO133" s="225" t="str">
        <f>IFERROR(INDEX(Data!DL$9:DL$1273,MATCH($M133,Data!$K$9:$K$1273,0)),"")</f>
        <v/>
      </c>
      <c r="BP133" s="243" t="str">
        <f t="shared" si="11"/>
        <v/>
      </c>
      <c r="BQ133" s="225" t="str">
        <f t="shared" si="12"/>
        <v xml:space="preserve"> </v>
      </c>
      <c r="BR133" s="225" t="str">
        <f t="shared" si="13"/>
        <v/>
      </c>
      <c r="BS133" s="225" t="str">
        <f>IFERROR(INDEX(Data!$DO$9:$DO$1273,MATCH('Your recommendation'!BR133,Data!$DN$9:$DN$1273,0)),"")</f>
        <v/>
      </c>
    </row>
    <row r="134" spans="2:71" ht="15.6" customHeight="1">
      <c r="B134" s="222" t="str">
        <f t="shared" si="14"/>
        <v/>
      </c>
      <c r="C134" s="223"/>
      <c r="D134" s="225" t="str">
        <f>IFERROR(INDEX(Data!BR$9:BR$1273,MATCH($M134,Data!$K$9:$K$1273,0)),"")</f>
        <v/>
      </c>
      <c r="E134" s="225" t="str">
        <f>IFERROR(INDEX(Data!BS$9:BS$1273,MATCH($M134,Data!$K$9:$K$1273,0)),"")</f>
        <v/>
      </c>
      <c r="F134" s="225" t="str">
        <f>IFERROR(INDEX(Data!DM$9:DM$1273,MATCH($M134,Data!$K$9:$K$1273,0)),"")</f>
        <v/>
      </c>
      <c r="G134" s="225" t="str">
        <f>IFERROR(INDEX(Data!BV$9:BV$1273,MATCH($M134,Data!$K$9:$K$1273,0)),"")</f>
        <v/>
      </c>
      <c r="H134" s="225" t="str">
        <f>IFERROR(INDEX(Data!BW$9:BW$1273,MATCH($M134,Data!$K$9:$K$1273,0)),"")</f>
        <v/>
      </c>
      <c r="I134" s="225" t="str">
        <f>IFERROR(INDEX(Data!BX$9:BX$1273,MATCH($M134,Data!$K$9:$K$1273,0)),"")</f>
        <v/>
      </c>
      <c r="J134" s="225" t="str">
        <f>IFERROR(INDEX(Data!CB$9:CB$1273,MATCH($M134,Data!$K$9:$K$1273,0)),"")</f>
        <v/>
      </c>
      <c r="K134" s="241" t="str">
        <f t="shared" si="9"/>
        <v/>
      </c>
      <c r="L134" s="242" t="str">
        <f t="shared" si="10"/>
        <v/>
      </c>
      <c r="M134" s="224"/>
      <c r="N134" s="224"/>
      <c r="O134" s="224" t="str">
        <f>IFERROR(INDEX(Data!M$9:M$1273,MATCH($M134,Data!$K$9:$K$1273,0)),"")</f>
        <v/>
      </c>
      <c r="P134" s="224" t="str">
        <f>IFERROR(INDEX(Data!N$9:N$1273,MATCH($M134,Data!$K$9:$K$1273,0)),"")</f>
        <v/>
      </c>
      <c r="Q134" s="224" t="str">
        <f>IFERROR(INDEX(Data!O$9:O$1273,MATCH($M134,Data!$K$9:$K$1273,0)),"")</f>
        <v/>
      </c>
      <c r="R134" s="224" t="str">
        <f>IFERROR(INDEX(Data!P$9:P$1273,MATCH($M134,Data!$K$9:$K$1273,0)),"")</f>
        <v/>
      </c>
      <c r="S134" s="224" t="str">
        <f>IFERROR(INDEX(Data!S$9:S$1273,MATCH($M134,Data!$K$9:$K$1273,0)),"")</f>
        <v/>
      </c>
      <c r="T134" s="224" t="str">
        <f>IFERROR(INDEX(Data!T$9:T$1273,MATCH($M134,Data!$K$9:$K$1273,0)),"")</f>
        <v/>
      </c>
      <c r="U134" s="224" t="str">
        <f>IFERROR(INDEX(Data!U$9:U$1273,MATCH($M134,Data!$K$9:$K$1273,0)),"")</f>
        <v/>
      </c>
      <c r="V134" s="224" t="str">
        <f>IFERROR(INDEX(Data!V$9:V$1273,MATCH($M134,Data!$K$9:$K$1273,0)),"")</f>
        <v/>
      </c>
      <c r="W134" s="224" t="str">
        <f>IFERROR(INDEX(Data!W$9:W$1273,MATCH($M134,Data!$K$9:$K$1273,0)),"")</f>
        <v/>
      </c>
      <c r="X134" s="224" t="str">
        <f>IFERROR(INDEX(Data!AJ$9:AJ$1273,MATCH($M134,Data!$K$9:$K$1273,0)),"")</f>
        <v/>
      </c>
      <c r="Y134" s="224" t="str">
        <f>IFERROR(INDEX(Data!AK$9:AK$1273,MATCH($M134,Data!$K$9:$K$1273,0)),"")</f>
        <v/>
      </c>
      <c r="Z134" s="224" t="str">
        <f>IFERROR(INDEX(Data!AL$9:AL$1273,MATCH($M134,Data!$K$9:$K$1273,0)),"")</f>
        <v/>
      </c>
      <c r="AA134" s="224" t="str">
        <f>IFERROR(INDEX(Data!AM$9:AM$1273,MATCH($M134,Data!$K$9:$K$1273,0)),"")</f>
        <v/>
      </c>
      <c r="AB134" s="224" t="str">
        <f>IFERROR(INDEX(Data!AN$9:AN$1273,MATCH($M134,Data!$K$9:$K$1273,0)),"")</f>
        <v/>
      </c>
      <c r="AC134" s="225" t="str">
        <f>IFERROR(INDEX(Data!BY$9:BY$1273,MATCH($M134,Data!$K$9:$K$1273,0)),"")</f>
        <v/>
      </c>
      <c r="AD134" s="225" t="str">
        <f>IFERROR(INDEX(Data!BZ$9:BZ$1273,MATCH($M134,Data!$K$9:$K$1273,0)),"")</f>
        <v/>
      </c>
      <c r="AE134" s="225" t="str">
        <f>IFERROR(INDEX(Data!CA$9:CA$1273,MATCH($M134,Data!$K$9:$K$1273,0)),"")</f>
        <v/>
      </c>
      <c r="AF134" s="225" t="str">
        <f>IFERROR(INDEX(Data!CB$9:CB$1273,MATCH($M134,Data!$K$9:$K$1273,0)),"")</f>
        <v/>
      </c>
      <c r="AG134" s="225" t="str">
        <f>IFERROR(INDEX(Data!CC$9:CC$1273,MATCH($M134,Data!$K$9:$K$1273,0)),"")</f>
        <v/>
      </c>
      <c r="AH134" s="225" t="str">
        <f>IFERROR(INDEX(Data!CD$9:CD$1273,MATCH($M134,Data!$K$9:$K$1273,0)),"")</f>
        <v/>
      </c>
      <c r="AI134" s="225" t="str">
        <f>IFERROR(INDEX(Data!CE$9:CE$1273,MATCH($M134,Data!$K$9:$K$1273,0)),"")</f>
        <v/>
      </c>
      <c r="AJ134" s="225" t="str">
        <f>IFERROR(INDEX(Data!CF$9:CF$1273,MATCH($M134,Data!$K$9:$K$1273,0)),"")</f>
        <v/>
      </c>
      <c r="AK134" s="225" t="str">
        <f>IFERROR(INDEX(Data!CG$9:CG$1273,MATCH($M134,Data!$K$9:$K$1273,0)),"")</f>
        <v/>
      </c>
      <c r="AL134" s="225" t="str">
        <f>IFERROR(INDEX(Data!CH$9:CH$1273,MATCH($M134,Data!$K$9:$K$1273,0)),"")</f>
        <v/>
      </c>
      <c r="AM134" s="225" t="str">
        <f>IFERROR(INDEX(Data!CI$9:CI$1273,MATCH($M134,Data!$K$9:$K$1273,0)),"")</f>
        <v/>
      </c>
      <c r="AN134" s="225" t="str">
        <f>IFERROR(INDEX(Data!CJ$9:CJ$1273,MATCH($M134,Data!$K$9:$K$1273,0)),"")</f>
        <v/>
      </c>
      <c r="AO134" s="225" t="str">
        <f>IFERROR(INDEX(Data!CK$9:CK$1273,MATCH($M134,Data!$K$9:$K$1273,0)),"")</f>
        <v/>
      </c>
      <c r="AP134" s="225" t="str">
        <f>IFERROR(INDEX(Data!CL$9:CL$1273,MATCH($M134,Data!$K$9:$K$1273,0)),"")</f>
        <v/>
      </c>
      <c r="AQ134" s="225" t="str">
        <f>IFERROR(INDEX(Data!CM$9:CM$1273,MATCH($M134,Data!$K$9:$K$1273,0)),"")</f>
        <v/>
      </c>
      <c r="AR134" s="225" t="str">
        <f>IFERROR(INDEX(Data!CN$9:CN$1273,MATCH($M134,Data!$K$9:$K$1273,0)),"")</f>
        <v/>
      </c>
      <c r="AS134" s="225" t="str">
        <f>IFERROR(INDEX(Data!CO$9:CO$1273,MATCH($M134,Data!$K$9:$K$1273,0)),"")</f>
        <v/>
      </c>
      <c r="AT134" s="225" t="str">
        <f>IFERROR(INDEX(Data!CP$9:CP$1273,MATCH($M134,Data!$K$9:$K$1273,0)),"")</f>
        <v/>
      </c>
      <c r="AU134" s="225" t="str">
        <f>IFERROR(INDEX(Data!CQ$9:CQ$1273,MATCH($M134,Data!$K$9:$K$1273,0)),"")</f>
        <v/>
      </c>
      <c r="AV134" s="225" t="str">
        <f>IFERROR(INDEX(Data!CR$9:CR$1273,MATCH($M134,Data!$K$9:$K$1273,0)),"")</f>
        <v/>
      </c>
      <c r="AW134" s="225" t="str">
        <f>IFERROR(INDEX(Data!CS$9:CS$1273,MATCH($M134,Data!$K$9:$K$1273,0)),"")</f>
        <v/>
      </c>
      <c r="AX134" s="225" t="str">
        <f>IFERROR(INDEX(Data!CT$9:CT$1273,MATCH($M134,Data!$K$9:$K$1273,0)),"")</f>
        <v/>
      </c>
      <c r="AY134" s="225" t="str">
        <f>IFERROR(INDEX(Data!CU$9:CU$1273,MATCH($M134,Data!$K$9:$K$1273,0)),"")</f>
        <v/>
      </c>
      <c r="AZ134" s="225" t="str">
        <f>IFERROR(INDEX(Data!CV$9:CV$1273,MATCH($M134,Data!$K$9:$K$1273,0)),"")</f>
        <v/>
      </c>
      <c r="BA134" s="225" t="str">
        <f>IFERROR(INDEX(Data!CX$9:CX$1273,MATCH($M134,Data!$K$9:$K$1273,0)),"")</f>
        <v/>
      </c>
      <c r="BB134" s="225" t="str">
        <f>IFERROR(INDEX(Data!CY$9:CY$1273,MATCH($M134,Data!$K$9:$K$1273,0)),"")</f>
        <v/>
      </c>
      <c r="BC134" s="225" t="str">
        <f>IFERROR(INDEX(Data!CZ$9:CZ$1273,MATCH($M134,Data!$K$9:$K$1273,0)),"")</f>
        <v/>
      </c>
      <c r="BD134" s="225" t="str">
        <f>IFERROR(INDEX(Data!DA$9:DA$1273,MATCH($M134,Data!$K$9:$K$1273,0)),"")</f>
        <v/>
      </c>
      <c r="BE134" s="225" t="str">
        <f>IFERROR(INDEX(Data!DB$9:DB$1273,MATCH($M134,Data!$K$9:$K$1273,0)),"")</f>
        <v/>
      </c>
      <c r="BF134" s="225" t="str">
        <f>IFERROR(INDEX(Data!DC$9:DC$1273,MATCH($M134,Data!$K$9:$K$1273,0)),"")</f>
        <v/>
      </c>
      <c r="BG134" s="225" t="str">
        <f>IFERROR(INDEX(Data!DD$9:DD$1273,MATCH($M134,Data!$K$9:$K$1273,0)),"")</f>
        <v/>
      </c>
      <c r="BH134" s="225" t="str">
        <f>IFERROR(INDEX(Data!DE$9:DE$1273,MATCH($M134,Data!$K$9:$K$1273,0)),"")</f>
        <v/>
      </c>
      <c r="BI134" s="225" t="str">
        <f>IFERROR(INDEX(Data!DF$9:DF$1273,MATCH($M134,Data!$K$9:$K$1273,0)),"")</f>
        <v/>
      </c>
      <c r="BJ134" s="225" t="str">
        <f>IFERROR(INDEX(Data!DG$9:DG$1273,MATCH($M134,Data!$K$9:$K$1273,0)),"")</f>
        <v/>
      </c>
      <c r="BK134" s="225" t="str">
        <f>IFERROR(INDEX(Data!DH$9:DH$1273,MATCH($M134,Data!$K$9:$K$1273,0)),"")</f>
        <v/>
      </c>
      <c r="BL134" s="225" t="str">
        <f>IFERROR(INDEX(Data!DI$9:DI$1273,MATCH($M134,Data!$K$9:$K$1273,0)),"")</f>
        <v/>
      </c>
      <c r="BM134" s="225" t="str">
        <f>IFERROR(INDEX(Data!DJ$9:DJ$1273,MATCH($M134,Data!$K$9:$K$1273,0)),"")</f>
        <v/>
      </c>
      <c r="BN134" s="225" t="str">
        <f>IFERROR(INDEX(Data!DK$9:DK$1273,MATCH($M134,Data!$K$9:$K$1273,0)),"")</f>
        <v/>
      </c>
      <c r="BO134" s="225" t="str">
        <f>IFERROR(INDEX(Data!DL$9:DL$1273,MATCH($M134,Data!$K$9:$K$1273,0)),"")</f>
        <v/>
      </c>
      <c r="BP134" s="243" t="str">
        <f t="shared" si="11"/>
        <v/>
      </c>
      <c r="BQ134" s="225" t="str">
        <f t="shared" si="12"/>
        <v xml:space="preserve"> </v>
      </c>
      <c r="BR134" s="225" t="str">
        <f t="shared" si="13"/>
        <v/>
      </c>
      <c r="BS134" s="225" t="str">
        <f>IFERROR(INDEX(Data!$DO$9:$DO$1273,MATCH('Your recommendation'!BR134,Data!$DN$9:$DN$1273,0)),"")</f>
        <v/>
      </c>
    </row>
    <row r="135" spans="2:71" ht="15.6" customHeight="1">
      <c r="B135" s="222" t="str">
        <f t="shared" si="14"/>
        <v/>
      </c>
      <c r="C135" s="223"/>
      <c r="D135" s="225" t="str">
        <f>IFERROR(INDEX(Data!BR$9:BR$1273,MATCH($M135,Data!$K$9:$K$1273,0)),"")</f>
        <v/>
      </c>
      <c r="E135" s="225" t="str">
        <f>IFERROR(INDEX(Data!BS$9:BS$1273,MATCH($M135,Data!$K$9:$K$1273,0)),"")</f>
        <v/>
      </c>
      <c r="F135" s="225" t="str">
        <f>IFERROR(INDEX(Data!DM$9:DM$1273,MATCH($M135,Data!$K$9:$K$1273,0)),"")</f>
        <v/>
      </c>
      <c r="G135" s="225" t="str">
        <f>IFERROR(INDEX(Data!BV$9:BV$1273,MATCH($M135,Data!$K$9:$K$1273,0)),"")</f>
        <v/>
      </c>
      <c r="H135" s="225" t="str">
        <f>IFERROR(INDEX(Data!BW$9:BW$1273,MATCH($M135,Data!$K$9:$K$1273,0)),"")</f>
        <v/>
      </c>
      <c r="I135" s="225" t="str">
        <f>IFERROR(INDEX(Data!BX$9:BX$1273,MATCH($M135,Data!$K$9:$K$1273,0)),"")</f>
        <v/>
      </c>
      <c r="J135" s="225" t="str">
        <f>IFERROR(INDEX(Data!CB$9:CB$1273,MATCH($M135,Data!$K$9:$K$1273,0)),"")</f>
        <v/>
      </c>
      <c r="K135" s="241" t="str">
        <f t="shared" si="9"/>
        <v/>
      </c>
      <c r="L135" s="242" t="str">
        <f t="shared" si="10"/>
        <v/>
      </c>
      <c r="M135" s="224"/>
      <c r="N135" s="224"/>
      <c r="O135" s="224" t="str">
        <f>IFERROR(INDEX(Data!M$9:M$1273,MATCH($M135,Data!$K$9:$K$1273,0)),"")</f>
        <v/>
      </c>
      <c r="P135" s="224" t="str">
        <f>IFERROR(INDEX(Data!N$9:N$1273,MATCH($M135,Data!$K$9:$K$1273,0)),"")</f>
        <v/>
      </c>
      <c r="Q135" s="224" t="str">
        <f>IFERROR(INDEX(Data!O$9:O$1273,MATCH($M135,Data!$K$9:$K$1273,0)),"")</f>
        <v/>
      </c>
      <c r="R135" s="224" t="str">
        <f>IFERROR(INDEX(Data!P$9:P$1273,MATCH($M135,Data!$K$9:$K$1273,0)),"")</f>
        <v/>
      </c>
      <c r="S135" s="224" t="str">
        <f>IFERROR(INDEX(Data!S$9:S$1273,MATCH($M135,Data!$K$9:$K$1273,0)),"")</f>
        <v/>
      </c>
      <c r="T135" s="224" t="str">
        <f>IFERROR(INDEX(Data!T$9:T$1273,MATCH($M135,Data!$K$9:$K$1273,0)),"")</f>
        <v/>
      </c>
      <c r="U135" s="224" t="str">
        <f>IFERROR(INDEX(Data!U$9:U$1273,MATCH($M135,Data!$K$9:$K$1273,0)),"")</f>
        <v/>
      </c>
      <c r="V135" s="224" t="str">
        <f>IFERROR(INDEX(Data!V$9:V$1273,MATCH($M135,Data!$K$9:$K$1273,0)),"")</f>
        <v/>
      </c>
      <c r="W135" s="224" t="str">
        <f>IFERROR(INDEX(Data!W$9:W$1273,MATCH($M135,Data!$K$9:$K$1273,0)),"")</f>
        <v/>
      </c>
      <c r="X135" s="224" t="str">
        <f>IFERROR(INDEX(Data!AJ$9:AJ$1273,MATCH($M135,Data!$K$9:$K$1273,0)),"")</f>
        <v/>
      </c>
      <c r="Y135" s="224" t="str">
        <f>IFERROR(INDEX(Data!AK$9:AK$1273,MATCH($M135,Data!$K$9:$K$1273,0)),"")</f>
        <v/>
      </c>
      <c r="Z135" s="224" t="str">
        <f>IFERROR(INDEX(Data!AL$9:AL$1273,MATCH($M135,Data!$K$9:$K$1273,0)),"")</f>
        <v/>
      </c>
      <c r="AA135" s="224" t="str">
        <f>IFERROR(INDEX(Data!AM$9:AM$1273,MATCH($M135,Data!$K$9:$K$1273,0)),"")</f>
        <v/>
      </c>
      <c r="AB135" s="224" t="str">
        <f>IFERROR(INDEX(Data!AN$9:AN$1273,MATCH($M135,Data!$K$9:$K$1273,0)),"")</f>
        <v/>
      </c>
      <c r="AC135" s="225" t="str">
        <f>IFERROR(INDEX(Data!BY$9:BY$1273,MATCH($M135,Data!$K$9:$K$1273,0)),"")</f>
        <v/>
      </c>
      <c r="AD135" s="225" t="str">
        <f>IFERROR(INDEX(Data!BZ$9:BZ$1273,MATCH($M135,Data!$K$9:$K$1273,0)),"")</f>
        <v/>
      </c>
      <c r="AE135" s="225" t="str">
        <f>IFERROR(INDEX(Data!CA$9:CA$1273,MATCH($M135,Data!$K$9:$K$1273,0)),"")</f>
        <v/>
      </c>
      <c r="AF135" s="225" t="str">
        <f>IFERROR(INDEX(Data!CB$9:CB$1273,MATCH($M135,Data!$K$9:$K$1273,0)),"")</f>
        <v/>
      </c>
      <c r="AG135" s="225" t="str">
        <f>IFERROR(INDEX(Data!CC$9:CC$1273,MATCH($M135,Data!$K$9:$K$1273,0)),"")</f>
        <v/>
      </c>
      <c r="AH135" s="225" t="str">
        <f>IFERROR(INDEX(Data!CD$9:CD$1273,MATCH($M135,Data!$K$9:$K$1273,0)),"")</f>
        <v/>
      </c>
      <c r="AI135" s="225" t="str">
        <f>IFERROR(INDEX(Data!CE$9:CE$1273,MATCH($M135,Data!$K$9:$K$1273,0)),"")</f>
        <v/>
      </c>
      <c r="AJ135" s="225" t="str">
        <f>IFERROR(INDEX(Data!CF$9:CF$1273,MATCH($M135,Data!$K$9:$K$1273,0)),"")</f>
        <v/>
      </c>
      <c r="AK135" s="225" t="str">
        <f>IFERROR(INDEX(Data!CG$9:CG$1273,MATCH($M135,Data!$K$9:$K$1273,0)),"")</f>
        <v/>
      </c>
      <c r="AL135" s="225" t="str">
        <f>IFERROR(INDEX(Data!CH$9:CH$1273,MATCH($M135,Data!$K$9:$K$1273,0)),"")</f>
        <v/>
      </c>
      <c r="AM135" s="225" t="str">
        <f>IFERROR(INDEX(Data!CI$9:CI$1273,MATCH($M135,Data!$K$9:$K$1273,0)),"")</f>
        <v/>
      </c>
      <c r="AN135" s="225" t="str">
        <f>IFERROR(INDEX(Data!CJ$9:CJ$1273,MATCH($M135,Data!$K$9:$K$1273,0)),"")</f>
        <v/>
      </c>
      <c r="AO135" s="225" t="str">
        <f>IFERROR(INDEX(Data!CK$9:CK$1273,MATCH($M135,Data!$K$9:$K$1273,0)),"")</f>
        <v/>
      </c>
      <c r="AP135" s="225" t="str">
        <f>IFERROR(INDEX(Data!CL$9:CL$1273,MATCH($M135,Data!$K$9:$K$1273,0)),"")</f>
        <v/>
      </c>
      <c r="AQ135" s="225" t="str">
        <f>IFERROR(INDEX(Data!CM$9:CM$1273,MATCH($M135,Data!$K$9:$K$1273,0)),"")</f>
        <v/>
      </c>
      <c r="AR135" s="225" t="str">
        <f>IFERROR(INDEX(Data!CN$9:CN$1273,MATCH($M135,Data!$K$9:$K$1273,0)),"")</f>
        <v/>
      </c>
      <c r="AS135" s="225" t="str">
        <f>IFERROR(INDEX(Data!CO$9:CO$1273,MATCH($M135,Data!$K$9:$K$1273,0)),"")</f>
        <v/>
      </c>
      <c r="AT135" s="225" t="str">
        <f>IFERROR(INDEX(Data!CP$9:CP$1273,MATCH($M135,Data!$K$9:$K$1273,0)),"")</f>
        <v/>
      </c>
      <c r="AU135" s="225" t="str">
        <f>IFERROR(INDEX(Data!CQ$9:CQ$1273,MATCH($M135,Data!$K$9:$K$1273,0)),"")</f>
        <v/>
      </c>
      <c r="AV135" s="225" t="str">
        <f>IFERROR(INDEX(Data!CR$9:CR$1273,MATCH($M135,Data!$K$9:$K$1273,0)),"")</f>
        <v/>
      </c>
      <c r="AW135" s="225" t="str">
        <f>IFERROR(INDEX(Data!CS$9:CS$1273,MATCH($M135,Data!$K$9:$K$1273,0)),"")</f>
        <v/>
      </c>
      <c r="AX135" s="225" t="str">
        <f>IFERROR(INDEX(Data!CT$9:CT$1273,MATCH($M135,Data!$K$9:$K$1273,0)),"")</f>
        <v/>
      </c>
      <c r="AY135" s="225" t="str">
        <f>IFERROR(INDEX(Data!CU$9:CU$1273,MATCH($M135,Data!$K$9:$K$1273,0)),"")</f>
        <v/>
      </c>
      <c r="AZ135" s="225" t="str">
        <f>IFERROR(INDEX(Data!CV$9:CV$1273,MATCH($M135,Data!$K$9:$K$1273,0)),"")</f>
        <v/>
      </c>
      <c r="BA135" s="225" t="str">
        <f>IFERROR(INDEX(Data!CX$9:CX$1273,MATCH($M135,Data!$K$9:$K$1273,0)),"")</f>
        <v/>
      </c>
      <c r="BB135" s="225" t="str">
        <f>IFERROR(INDEX(Data!CY$9:CY$1273,MATCH($M135,Data!$K$9:$K$1273,0)),"")</f>
        <v/>
      </c>
      <c r="BC135" s="225" t="str">
        <f>IFERROR(INDEX(Data!CZ$9:CZ$1273,MATCH($M135,Data!$K$9:$K$1273,0)),"")</f>
        <v/>
      </c>
      <c r="BD135" s="225" t="str">
        <f>IFERROR(INDEX(Data!DA$9:DA$1273,MATCH($M135,Data!$K$9:$K$1273,0)),"")</f>
        <v/>
      </c>
      <c r="BE135" s="225" t="str">
        <f>IFERROR(INDEX(Data!DB$9:DB$1273,MATCH($M135,Data!$K$9:$K$1273,0)),"")</f>
        <v/>
      </c>
      <c r="BF135" s="225" t="str">
        <f>IFERROR(INDEX(Data!DC$9:DC$1273,MATCH($M135,Data!$K$9:$K$1273,0)),"")</f>
        <v/>
      </c>
      <c r="BG135" s="225" t="str">
        <f>IFERROR(INDEX(Data!DD$9:DD$1273,MATCH($M135,Data!$K$9:$K$1273,0)),"")</f>
        <v/>
      </c>
      <c r="BH135" s="225" t="str">
        <f>IFERROR(INDEX(Data!DE$9:DE$1273,MATCH($M135,Data!$K$9:$K$1273,0)),"")</f>
        <v/>
      </c>
      <c r="BI135" s="225" t="str">
        <f>IFERROR(INDEX(Data!DF$9:DF$1273,MATCH($M135,Data!$K$9:$K$1273,0)),"")</f>
        <v/>
      </c>
      <c r="BJ135" s="225" t="str">
        <f>IFERROR(INDEX(Data!DG$9:DG$1273,MATCH($M135,Data!$K$9:$K$1273,0)),"")</f>
        <v/>
      </c>
      <c r="BK135" s="225" t="str">
        <f>IFERROR(INDEX(Data!DH$9:DH$1273,MATCH($M135,Data!$K$9:$K$1273,0)),"")</f>
        <v/>
      </c>
      <c r="BL135" s="225" t="str">
        <f>IFERROR(INDEX(Data!DI$9:DI$1273,MATCH($M135,Data!$K$9:$K$1273,0)),"")</f>
        <v/>
      </c>
      <c r="BM135" s="225" t="str">
        <f>IFERROR(INDEX(Data!DJ$9:DJ$1273,MATCH($M135,Data!$K$9:$K$1273,0)),"")</f>
        <v/>
      </c>
      <c r="BN135" s="225" t="str">
        <f>IFERROR(INDEX(Data!DK$9:DK$1273,MATCH($M135,Data!$K$9:$K$1273,0)),"")</f>
        <v/>
      </c>
      <c r="BO135" s="225" t="str">
        <f>IFERROR(INDEX(Data!DL$9:DL$1273,MATCH($M135,Data!$K$9:$K$1273,0)),"")</f>
        <v/>
      </c>
      <c r="BP135" s="243" t="str">
        <f t="shared" si="11"/>
        <v/>
      </c>
      <c r="BQ135" s="225" t="str">
        <f t="shared" si="12"/>
        <v xml:space="preserve"> </v>
      </c>
      <c r="BR135" s="225" t="str">
        <f t="shared" si="13"/>
        <v/>
      </c>
      <c r="BS135" s="225" t="str">
        <f>IFERROR(INDEX(Data!$DO$9:$DO$1273,MATCH('Your recommendation'!BR135,Data!$DN$9:$DN$1273,0)),"")</f>
        <v/>
      </c>
    </row>
    <row r="136" spans="2:71" ht="15.6" customHeight="1">
      <c r="B136" s="222" t="str">
        <f t="shared" si="14"/>
        <v/>
      </c>
      <c r="C136" s="223"/>
      <c r="D136" s="225" t="str">
        <f>IFERROR(INDEX(Data!BR$9:BR$1273,MATCH($M136,Data!$K$9:$K$1273,0)),"")</f>
        <v/>
      </c>
      <c r="E136" s="225" t="str">
        <f>IFERROR(INDEX(Data!BS$9:BS$1273,MATCH($M136,Data!$K$9:$K$1273,0)),"")</f>
        <v/>
      </c>
      <c r="F136" s="225" t="str">
        <f>IFERROR(INDEX(Data!DM$9:DM$1273,MATCH($M136,Data!$K$9:$K$1273,0)),"")</f>
        <v/>
      </c>
      <c r="G136" s="225" t="str">
        <f>IFERROR(INDEX(Data!BV$9:BV$1273,MATCH($M136,Data!$K$9:$K$1273,0)),"")</f>
        <v/>
      </c>
      <c r="H136" s="225" t="str">
        <f>IFERROR(INDEX(Data!BW$9:BW$1273,MATCH($M136,Data!$K$9:$K$1273,0)),"")</f>
        <v/>
      </c>
      <c r="I136" s="225" t="str">
        <f>IFERROR(INDEX(Data!BX$9:BX$1273,MATCH($M136,Data!$K$9:$K$1273,0)),"")</f>
        <v/>
      </c>
      <c r="J136" s="225" t="str">
        <f>IFERROR(INDEX(Data!CB$9:CB$1273,MATCH($M136,Data!$K$9:$K$1273,0)),"")</f>
        <v/>
      </c>
      <c r="K136" s="241" t="str">
        <f t="shared" si="9"/>
        <v/>
      </c>
      <c r="L136" s="242" t="str">
        <f t="shared" si="10"/>
        <v/>
      </c>
      <c r="M136" s="224"/>
      <c r="N136" s="224"/>
      <c r="O136" s="224" t="str">
        <f>IFERROR(INDEX(Data!M$9:M$1273,MATCH($M136,Data!$K$9:$K$1273,0)),"")</f>
        <v/>
      </c>
      <c r="P136" s="224" t="str">
        <f>IFERROR(INDEX(Data!N$9:N$1273,MATCH($M136,Data!$K$9:$K$1273,0)),"")</f>
        <v/>
      </c>
      <c r="Q136" s="224" t="str">
        <f>IFERROR(INDEX(Data!O$9:O$1273,MATCH($M136,Data!$K$9:$K$1273,0)),"")</f>
        <v/>
      </c>
      <c r="R136" s="224" t="str">
        <f>IFERROR(INDEX(Data!P$9:P$1273,MATCH($M136,Data!$K$9:$K$1273,0)),"")</f>
        <v/>
      </c>
      <c r="S136" s="224" t="str">
        <f>IFERROR(INDEX(Data!S$9:S$1273,MATCH($M136,Data!$K$9:$K$1273,0)),"")</f>
        <v/>
      </c>
      <c r="T136" s="224" t="str">
        <f>IFERROR(INDEX(Data!T$9:T$1273,MATCH($M136,Data!$K$9:$K$1273,0)),"")</f>
        <v/>
      </c>
      <c r="U136" s="224" t="str">
        <f>IFERROR(INDEX(Data!U$9:U$1273,MATCH($M136,Data!$K$9:$K$1273,0)),"")</f>
        <v/>
      </c>
      <c r="V136" s="224" t="str">
        <f>IFERROR(INDEX(Data!V$9:V$1273,MATCH($M136,Data!$K$9:$K$1273,0)),"")</f>
        <v/>
      </c>
      <c r="W136" s="224" t="str">
        <f>IFERROR(INDEX(Data!W$9:W$1273,MATCH($M136,Data!$K$9:$K$1273,0)),"")</f>
        <v/>
      </c>
      <c r="X136" s="224" t="str">
        <f>IFERROR(INDEX(Data!AJ$9:AJ$1273,MATCH($M136,Data!$K$9:$K$1273,0)),"")</f>
        <v/>
      </c>
      <c r="Y136" s="224" t="str">
        <f>IFERROR(INDEX(Data!AK$9:AK$1273,MATCH($M136,Data!$K$9:$K$1273,0)),"")</f>
        <v/>
      </c>
      <c r="Z136" s="224" t="str">
        <f>IFERROR(INDEX(Data!AL$9:AL$1273,MATCH($M136,Data!$K$9:$K$1273,0)),"")</f>
        <v/>
      </c>
      <c r="AA136" s="224" t="str">
        <f>IFERROR(INDEX(Data!AM$9:AM$1273,MATCH($M136,Data!$K$9:$K$1273,0)),"")</f>
        <v/>
      </c>
      <c r="AB136" s="224" t="str">
        <f>IFERROR(INDEX(Data!AN$9:AN$1273,MATCH($M136,Data!$K$9:$K$1273,0)),"")</f>
        <v/>
      </c>
      <c r="AC136" s="225" t="str">
        <f>IFERROR(INDEX(Data!BY$9:BY$1273,MATCH($M136,Data!$K$9:$K$1273,0)),"")</f>
        <v/>
      </c>
      <c r="AD136" s="225" t="str">
        <f>IFERROR(INDEX(Data!BZ$9:BZ$1273,MATCH($M136,Data!$K$9:$K$1273,0)),"")</f>
        <v/>
      </c>
      <c r="AE136" s="225" t="str">
        <f>IFERROR(INDEX(Data!CA$9:CA$1273,MATCH($M136,Data!$K$9:$K$1273,0)),"")</f>
        <v/>
      </c>
      <c r="AF136" s="225" t="str">
        <f>IFERROR(INDEX(Data!CB$9:CB$1273,MATCH($M136,Data!$K$9:$K$1273,0)),"")</f>
        <v/>
      </c>
      <c r="AG136" s="225" t="str">
        <f>IFERROR(INDEX(Data!CC$9:CC$1273,MATCH($M136,Data!$K$9:$K$1273,0)),"")</f>
        <v/>
      </c>
      <c r="AH136" s="225" t="str">
        <f>IFERROR(INDEX(Data!CD$9:CD$1273,MATCH($M136,Data!$K$9:$K$1273,0)),"")</f>
        <v/>
      </c>
      <c r="AI136" s="225" t="str">
        <f>IFERROR(INDEX(Data!CE$9:CE$1273,MATCH($M136,Data!$K$9:$K$1273,0)),"")</f>
        <v/>
      </c>
      <c r="AJ136" s="225" t="str">
        <f>IFERROR(INDEX(Data!CF$9:CF$1273,MATCH($M136,Data!$K$9:$K$1273,0)),"")</f>
        <v/>
      </c>
      <c r="AK136" s="225" t="str">
        <f>IFERROR(INDEX(Data!CG$9:CG$1273,MATCH($M136,Data!$K$9:$K$1273,0)),"")</f>
        <v/>
      </c>
      <c r="AL136" s="225" t="str">
        <f>IFERROR(INDEX(Data!CH$9:CH$1273,MATCH($M136,Data!$K$9:$K$1273,0)),"")</f>
        <v/>
      </c>
      <c r="AM136" s="225" t="str">
        <f>IFERROR(INDEX(Data!CI$9:CI$1273,MATCH($M136,Data!$K$9:$K$1273,0)),"")</f>
        <v/>
      </c>
      <c r="AN136" s="225" t="str">
        <f>IFERROR(INDEX(Data!CJ$9:CJ$1273,MATCH($M136,Data!$K$9:$K$1273,0)),"")</f>
        <v/>
      </c>
      <c r="AO136" s="225" t="str">
        <f>IFERROR(INDEX(Data!CK$9:CK$1273,MATCH($M136,Data!$K$9:$K$1273,0)),"")</f>
        <v/>
      </c>
      <c r="AP136" s="225" t="str">
        <f>IFERROR(INDEX(Data!CL$9:CL$1273,MATCH($M136,Data!$K$9:$K$1273,0)),"")</f>
        <v/>
      </c>
      <c r="AQ136" s="225" t="str">
        <f>IFERROR(INDEX(Data!CM$9:CM$1273,MATCH($M136,Data!$K$9:$K$1273,0)),"")</f>
        <v/>
      </c>
      <c r="AR136" s="225" t="str">
        <f>IFERROR(INDEX(Data!CN$9:CN$1273,MATCH($M136,Data!$K$9:$K$1273,0)),"")</f>
        <v/>
      </c>
      <c r="AS136" s="225" t="str">
        <f>IFERROR(INDEX(Data!CO$9:CO$1273,MATCH($M136,Data!$K$9:$K$1273,0)),"")</f>
        <v/>
      </c>
      <c r="AT136" s="225" t="str">
        <f>IFERROR(INDEX(Data!CP$9:CP$1273,MATCH($M136,Data!$K$9:$K$1273,0)),"")</f>
        <v/>
      </c>
      <c r="AU136" s="225" t="str">
        <f>IFERROR(INDEX(Data!CQ$9:CQ$1273,MATCH($M136,Data!$K$9:$K$1273,0)),"")</f>
        <v/>
      </c>
      <c r="AV136" s="225" t="str">
        <f>IFERROR(INDEX(Data!CR$9:CR$1273,MATCH($M136,Data!$K$9:$K$1273,0)),"")</f>
        <v/>
      </c>
      <c r="AW136" s="225" t="str">
        <f>IFERROR(INDEX(Data!CS$9:CS$1273,MATCH($M136,Data!$K$9:$K$1273,0)),"")</f>
        <v/>
      </c>
      <c r="AX136" s="225" t="str">
        <f>IFERROR(INDEX(Data!CT$9:CT$1273,MATCH($M136,Data!$K$9:$K$1273,0)),"")</f>
        <v/>
      </c>
      <c r="AY136" s="225" t="str">
        <f>IFERROR(INDEX(Data!CU$9:CU$1273,MATCH($M136,Data!$K$9:$K$1273,0)),"")</f>
        <v/>
      </c>
      <c r="AZ136" s="225" t="str">
        <f>IFERROR(INDEX(Data!CV$9:CV$1273,MATCH($M136,Data!$K$9:$K$1273,0)),"")</f>
        <v/>
      </c>
      <c r="BA136" s="225" t="str">
        <f>IFERROR(INDEX(Data!CX$9:CX$1273,MATCH($M136,Data!$K$9:$K$1273,0)),"")</f>
        <v/>
      </c>
      <c r="BB136" s="225" t="str">
        <f>IFERROR(INDEX(Data!CY$9:CY$1273,MATCH($M136,Data!$K$9:$K$1273,0)),"")</f>
        <v/>
      </c>
      <c r="BC136" s="225" t="str">
        <f>IFERROR(INDEX(Data!CZ$9:CZ$1273,MATCH($M136,Data!$K$9:$K$1273,0)),"")</f>
        <v/>
      </c>
      <c r="BD136" s="225" t="str">
        <f>IFERROR(INDEX(Data!DA$9:DA$1273,MATCH($M136,Data!$K$9:$K$1273,0)),"")</f>
        <v/>
      </c>
      <c r="BE136" s="225" t="str">
        <f>IFERROR(INDEX(Data!DB$9:DB$1273,MATCH($M136,Data!$K$9:$K$1273,0)),"")</f>
        <v/>
      </c>
      <c r="BF136" s="225" t="str">
        <f>IFERROR(INDEX(Data!DC$9:DC$1273,MATCH($M136,Data!$K$9:$K$1273,0)),"")</f>
        <v/>
      </c>
      <c r="BG136" s="225" t="str">
        <f>IFERROR(INDEX(Data!DD$9:DD$1273,MATCH($M136,Data!$K$9:$K$1273,0)),"")</f>
        <v/>
      </c>
      <c r="BH136" s="225" t="str">
        <f>IFERROR(INDEX(Data!DE$9:DE$1273,MATCH($M136,Data!$K$9:$K$1273,0)),"")</f>
        <v/>
      </c>
      <c r="BI136" s="225" t="str">
        <f>IFERROR(INDEX(Data!DF$9:DF$1273,MATCH($M136,Data!$K$9:$K$1273,0)),"")</f>
        <v/>
      </c>
      <c r="BJ136" s="225" t="str">
        <f>IFERROR(INDEX(Data!DG$9:DG$1273,MATCH($M136,Data!$K$9:$K$1273,0)),"")</f>
        <v/>
      </c>
      <c r="BK136" s="225" t="str">
        <f>IFERROR(INDEX(Data!DH$9:DH$1273,MATCH($M136,Data!$K$9:$K$1273,0)),"")</f>
        <v/>
      </c>
      <c r="BL136" s="225" t="str">
        <f>IFERROR(INDEX(Data!DI$9:DI$1273,MATCH($M136,Data!$K$9:$K$1273,0)),"")</f>
        <v/>
      </c>
      <c r="BM136" s="225" t="str">
        <f>IFERROR(INDEX(Data!DJ$9:DJ$1273,MATCH($M136,Data!$K$9:$K$1273,0)),"")</f>
        <v/>
      </c>
      <c r="BN136" s="225" t="str">
        <f>IFERROR(INDEX(Data!DK$9:DK$1273,MATCH($M136,Data!$K$9:$K$1273,0)),"")</f>
        <v/>
      </c>
      <c r="BO136" s="225" t="str">
        <f>IFERROR(INDEX(Data!DL$9:DL$1273,MATCH($M136,Data!$K$9:$K$1273,0)),"")</f>
        <v/>
      </c>
      <c r="BP136" s="243" t="str">
        <f t="shared" si="11"/>
        <v/>
      </c>
      <c r="BQ136" s="225" t="str">
        <f t="shared" si="12"/>
        <v xml:space="preserve"> </v>
      </c>
      <c r="BR136" s="225" t="str">
        <f t="shared" si="13"/>
        <v/>
      </c>
      <c r="BS136" s="225" t="str">
        <f>IFERROR(INDEX(Data!$DO$9:$DO$1273,MATCH('Your recommendation'!BR136,Data!$DN$9:$DN$1273,0)),"")</f>
        <v/>
      </c>
    </row>
    <row r="137" spans="2:71" ht="15.6" customHeight="1">
      <c r="B137" s="222" t="str">
        <f t="shared" si="14"/>
        <v/>
      </c>
      <c r="C137" s="223"/>
      <c r="D137" s="225" t="str">
        <f>IFERROR(INDEX(Data!BR$9:BR$1273,MATCH($M137,Data!$K$9:$K$1273,0)),"")</f>
        <v/>
      </c>
      <c r="E137" s="225" t="str">
        <f>IFERROR(INDEX(Data!BS$9:BS$1273,MATCH($M137,Data!$K$9:$K$1273,0)),"")</f>
        <v/>
      </c>
      <c r="F137" s="225" t="str">
        <f>IFERROR(INDEX(Data!DM$9:DM$1273,MATCH($M137,Data!$K$9:$K$1273,0)),"")</f>
        <v/>
      </c>
      <c r="G137" s="225" t="str">
        <f>IFERROR(INDEX(Data!BV$9:BV$1273,MATCH($M137,Data!$K$9:$K$1273,0)),"")</f>
        <v/>
      </c>
      <c r="H137" s="225" t="str">
        <f>IFERROR(INDEX(Data!BW$9:BW$1273,MATCH($M137,Data!$K$9:$K$1273,0)),"")</f>
        <v/>
      </c>
      <c r="I137" s="225" t="str">
        <f>IFERROR(INDEX(Data!BX$9:BX$1273,MATCH($M137,Data!$K$9:$K$1273,0)),"")</f>
        <v/>
      </c>
      <c r="J137" s="225" t="str">
        <f>IFERROR(INDEX(Data!CB$9:CB$1273,MATCH($M137,Data!$K$9:$K$1273,0)),"")</f>
        <v/>
      </c>
      <c r="K137" s="241" t="str">
        <f t="shared" si="9"/>
        <v/>
      </c>
      <c r="L137" s="242" t="str">
        <f t="shared" si="10"/>
        <v/>
      </c>
      <c r="M137" s="224"/>
      <c r="N137" s="224"/>
      <c r="O137" s="224" t="str">
        <f>IFERROR(INDEX(Data!M$9:M$1273,MATCH($M137,Data!$K$9:$K$1273,0)),"")</f>
        <v/>
      </c>
      <c r="P137" s="224" t="str">
        <f>IFERROR(INDEX(Data!N$9:N$1273,MATCH($M137,Data!$K$9:$K$1273,0)),"")</f>
        <v/>
      </c>
      <c r="Q137" s="224" t="str">
        <f>IFERROR(INDEX(Data!O$9:O$1273,MATCH($M137,Data!$K$9:$K$1273,0)),"")</f>
        <v/>
      </c>
      <c r="R137" s="224" t="str">
        <f>IFERROR(INDEX(Data!P$9:P$1273,MATCH($M137,Data!$K$9:$K$1273,0)),"")</f>
        <v/>
      </c>
      <c r="S137" s="224" t="str">
        <f>IFERROR(INDEX(Data!S$9:S$1273,MATCH($M137,Data!$K$9:$K$1273,0)),"")</f>
        <v/>
      </c>
      <c r="T137" s="224" t="str">
        <f>IFERROR(INDEX(Data!T$9:T$1273,MATCH($M137,Data!$K$9:$K$1273,0)),"")</f>
        <v/>
      </c>
      <c r="U137" s="224" t="str">
        <f>IFERROR(INDEX(Data!U$9:U$1273,MATCH($M137,Data!$K$9:$K$1273,0)),"")</f>
        <v/>
      </c>
      <c r="V137" s="224" t="str">
        <f>IFERROR(INDEX(Data!V$9:V$1273,MATCH($M137,Data!$K$9:$K$1273,0)),"")</f>
        <v/>
      </c>
      <c r="W137" s="224" t="str">
        <f>IFERROR(INDEX(Data!W$9:W$1273,MATCH($M137,Data!$K$9:$K$1273,0)),"")</f>
        <v/>
      </c>
      <c r="X137" s="224" t="str">
        <f>IFERROR(INDEX(Data!AJ$9:AJ$1273,MATCH($M137,Data!$K$9:$K$1273,0)),"")</f>
        <v/>
      </c>
      <c r="Y137" s="224" t="str">
        <f>IFERROR(INDEX(Data!AK$9:AK$1273,MATCH($M137,Data!$K$9:$K$1273,0)),"")</f>
        <v/>
      </c>
      <c r="Z137" s="224" t="str">
        <f>IFERROR(INDEX(Data!AL$9:AL$1273,MATCH($M137,Data!$K$9:$K$1273,0)),"")</f>
        <v/>
      </c>
      <c r="AA137" s="224" t="str">
        <f>IFERROR(INDEX(Data!AM$9:AM$1273,MATCH($M137,Data!$K$9:$K$1273,0)),"")</f>
        <v/>
      </c>
      <c r="AB137" s="224" t="str">
        <f>IFERROR(INDEX(Data!AN$9:AN$1273,MATCH($M137,Data!$K$9:$K$1273,0)),"")</f>
        <v/>
      </c>
      <c r="AC137" s="225" t="str">
        <f>IFERROR(INDEX(Data!BY$9:BY$1273,MATCH($M137,Data!$K$9:$K$1273,0)),"")</f>
        <v/>
      </c>
      <c r="AD137" s="225" t="str">
        <f>IFERROR(INDEX(Data!BZ$9:BZ$1273,MATCH($M137,Data!$K$9:$K$1273,0)),"")</f>
        <v/>
      </c>
      <c r="AE137" s="225" t="str">
        <f>IFERROR(INDEX(Data!CA$9:CA$1273,MATCH($M137,Data!$K$9:$K$1273,0)),"")</f>
        <v/>
      </c>
      <c r="AF137" s="225" t="str">
        <f>IFERROR(INDEX(Data!CB$9:CB$1273,MATCH($M137,Data!$K$9:$K$1273,0)),"")</f>
        <v/>
      </c>
      <c r="AG137" s="225" t="str">
        <f>IFERROR(INDEX(Data!CC$9:CC$1273,MATCH($M137,Data!$K$9:$K$1273,0)),"")</f>
        <v/>
      </c>
      <c r="AH137" s="225" t="str">
        <f>IFERROR(INDEX(Data!CD$9:CD$1273,MATCH($M137,Data!$K$9:$K$1273,0)),"")</f>
        <v/>
      </c>
      <c r="AI137" s="225" t="str">
        <f>IFERROR(INDEX(Data!CE$9:CE$1273,MATCH($M137,Data!$K$9:$K$1273,0)),"")</f>
        <v/>
      </c>
      <c r="AJ137" s="225" t="str">
        <f>IFERROR(INDEX(Data!CF$9:CF$1273,MATCH($M137,Data!$K$9:$K$1273,0)),"")</f>
        <v/>
      </c>
      <c r="AK137" s="225" t="str">
        <f>IFERROR(INDEX(Data!CG$9:CG$1273,MATCH($M137,Data!$K$9:$K$1273,0)),"")</f>
        <v/>
      </c>
      <c r="AL137" s="225" t="str">
        <f>IFERROR(INDEX(Data!CH$9:CH$1273,MATCH($M137,Data!$K$9:$K$1273,0)),"")</f>
        <v/>
      </c>
      <c r="AM137" s="225" t="str">
        <f>IFERROR(INDEX(Data!CI$9:CI$1273,MATCH($M137,Data!$K$9:$K$1273,0)),"")</f>
        <v/>
      </c>
      <c r="AN137" s="225" t="str">
        <f>IFERROR(INDEX(Data!CJ$9:CJ$1273,MATCH($M137,Data!$K$9:$K$1273,0)),"")</f>
        <v/>
      </c>
      <c r="AO137" s="225" t="str">
        <f>IFERROR(INDEX(Data!CK$9:CK$1273,MATCH($M137,Data!$K$9:$K$1273,0)),"")</f>
        <v/>
      </c>
      <c r="AP137" s="225" t="str">
        <f>IFERROR(INDEX(Data!CL$9:CL$1273,MATCH($M137,Data!$K$9:$K$1273,0)),"")</f>
        <v/>
      </c>
      <c r="AQ137" s="225" t="str">
        <f>IFERROR(INDEX(Data!CM$9:CM$1273,MATCH($M137,Data!$K$9:$K$1273,0)),"")</f>
        <v/>
      </c>
      <c r="AR137" s="225" t="str">
        <f>IFERROR(INDEX(Data!CN$9:CN$1273,MATCH($M137,Data!$K$9:$K$1273,0)),"")</f>
        <v/>
      </c>
      <c r="AS137" s="225" t="str">
        <f>IFERROR(INDEX(Data!CO$9:CO$1273,MATCH($M137,Data!$K$9:$K$1273,0)),"")</f>
        <v/>
      </c>
      <c r="AT137" s="225" t="str">
        <f>IFERROR(INDEX(Data!CP$9:CP$1273,MATCH($M137,Data!$K$9:$K$1273,0)),"")</f>
        <v/>
      </c>
      <c r="AU137" s="225" t="str">
        <f>IFERROR(INDEX(Data!CQ$9:CQ$1273,MATCH($M137,Data!$K$9:$K$1273,0)),"")</f>
        <v/>
      </c>
      <c r="AV137" s="225" t="str">
        <f>IFERROR(INDEX(Data!CR$9:CR$1273,MATCH($M137,Data!$K$9:$K$1273,0)),"")</f>
        <v/>
      </c>
      <c r="AW137" s="225" t="str">
        <f>IFERROR(INDEX(Data!CS$9:CS$1273,MATCH($M137,Data!$K$9:$K$1273,0)),"")</f>
        <v/>
      </c>
      <c r="AX137" s="225" t="str">
        <f>IFERROR(INDEX(Data!CT$9:CT$1273,MATCH($M137,Data!$K$9:$K$1273,0)),"")</f>
        <v/>
      </c>
      <c r="AY137" s="225" t="str">
        <f>IFERROR(INDEX(Data!CU$9:CU$1273,MATCH($M137,Data!$K$9:$K$1273,0)),"")</f>
        <v/>
      </c>
      <c r="AZ137" s="225" t="str">
        <f>IFERROR(INDEX(Data!CV$9:CV$1273,MATCH($M137,Data!$K$9:$K$1273,0)),"")</f>
        <v/>
      </c>
      <c r="BA137" s="225" t="str">
        <f>IFERROR(INDEX(Data!CX$9:CX$1273,MATCH($M137,Data!$K$9:$K$1273,0)),"")</f>
        <v/>
      </c>
      <c r="BB137" s="225" t="str">
        <f>IFERROR(INDEX(Data!CY$9:CY$1273,MATCH($M137,Data!$K$9:$K$1273,0)),"")</f>
        <v/>
      </c>
      <c r="BC137" s="225" t="str">
        <f>IFERROR(INDEX(Data!CZ$9:CZ$1273,MATCH($M137,Data!$K$9:$K$1273,0)),"")</f>
        <v/>
      </c>
      <c r="BD137" s="225" t="str">
        <f>IFERROR(INDEX(Data!DA$9:DA$1273,MATCH($M137,Data!$K$9:$K$1273,0)),"")</f>
        <v/>
      </c>
      <c r="BE137" s="225" t="str">
        <f>IFERROR(INDEX(Data!DB$9:DB$1273,MATCH($M137,Data!$K$9:$K$1273,0)),"")</f>
        <v/>
      </c>
      <c r="BF137" s="225" t="str">
        <f>IFERROR(INDEX(Data!DC$9:DC$1273,MATCH($M137,Data!$K$9:$K$1273,0)),"")</f>
        <v/>
      </c>
      <c r="BG137" s="225" t="str">
        <f>IFERROR(INDEX(Data!DD$9:DD$1273,MATCH($M137,Data!$K$9:$K$1273,0)),"")</f>
        <v/>
      </c>
      <c r="BH137" s="225" t="str">
        <f>IFERROR(INDEX(Data!DE$9:DE$1273,MATCH($M137,Data!$K$9:$K$1273,0)),"")</f>
        <v/>
      </c>
      <c r="BI137" s="225" t="str">
        <f>IFERROR(INDEX(Data!DF$9:DF$1273,MATCH($M137,Data!$K$9:$K$1273,0)),"")</f>
        <v/>
      </c>
      <c r="BJ137" s="225" t="str">
        <f>IFERROR(INDEX(Data!DG$9:DG$1273,MATCH($M137,Data!$K$9:$K$1273,0)),"")</f>
        <v/>
      </c>
      <c r="BK137" s="225" t="str">
        <f>IFERROR(INDEX(Data!DH$9:DH$1273,MATCH($M137,Data!$K$9:$K$1273,0)),"")</f>
        <v/>
      </c>
      <c r="BL137" s="225" t="str">
        <f>IFERROR(INDEX(Data!DI$9:DI$1273,MATCH($M137,Data!$K$9:$K$1273,0)),"")</f>
        <v/>
      </c>
      <c r="BM137" s="225" t="str">
        <f>IFERROR(INDEX(Data!DJ$9:DJ$1273,MATCH($M137,Data!$K$9:$K$1273,0)),"")</f>
        <v/>
      </c>
      <c r="BN137" s="225" t="str">
        <f>IFERROR(INDEX(Data!DK$9:DK$1273,MATCH($M137,Data!$K$9:$K$1273,0)),"")</f>
        <v/>
      </c>
      <c r="BO137" s="225" t="str">
        <f>IFERROR(INDEX(Data!DL$9:DL$1273,MATCH($M137,Data!$K$9:$K$1273,0)),"")</f>
        <v/>
      </c>
      <c r="BP137" s="243" t="str">
        <f t="shared" si="11"/>
        <v/>
      </c>
      <c r="BQ137" s="225" t="str">
        <f t="shared" si="12"/>
        <v xml:space="preserve"> </v>
      </c>
      <c r="BR137" s="225" t="str">
        <f t="shared" si="13"/>
        <v/>
      </c>
      <c r="BS137" s="225" t="str">
        <f>IFERROR(INDEX(Data!$DO$9:$DO$1273,MATCH('Your recommendation'!BR137,Data!$DN$9:$DN$1273,0)),"")</f>
        <v/>
      </c>
    </row>
    <row r="138" spans="2:71" ht="15.6" customHeight="1">
      <c r="B138" s="222" t="str">
        <f t="shared" si="14"/>
        <v/>
      </c>
      <c r="C138" s="223"/>
      <c r="D138" s="225" t="str">
        <f>IFERROR(INDEX(Data!BR$9:BR$1273,MATCH($M138,Data!$K$9:$K$1273,0)),"")</f>
        <v/>
      </c>
      <c r="E138" s="225" t="str">
        <f>IFERROR(INDEX(Data!BS$9:BS$1273,MATCH($M138,Data!$K$9:$K$1273,0)),"")</f>
        <v/>
      </c>
      <c r="F138" s="225" t="str">
        <f>IFERROR(INDEX(Data!DM$9:DM$1273,MATCH($M138,Data!$K$9:$K$1273,0)),"")</f>
        <v/>
      </c>
      <c r="G138" s="225" t="str">
        <f>IFERROR(INDEX(Data!BV$9:BV$1273,MATCH($M138,Data!$K$9:$K$1273,0)),"")</f>
        <v/>
      </c>
      <c r="H138" s="225" t="str">
        <f>IFERROR(INDEX(Data!BW$9:BW$1273,MATCH($M138,Data!$K$9:$K$1273,0)),"")</f>
        <v/>
      </c>
      <c r="I138" s="225" t="str">
        <f>IFERROR(INDEX(Data!BX$9:BX$1273,MATCH($M138,Data!$K$9:$K$1273,0)),"")</f>
        <v/>
      </c>
      <c r="J138" s="225" t="str">
        <f>IFERROR(INDEX(Data!CB$9:CB$1273,MATCH($M138,Data!$K$9:$K$1273,0)),"")</f>
        <v/>
      </c>
      <c r="K138" s="241" t="str">
        <f t="shared" si="9"/>
        <v/>
      </c>
      <c r="L138" s="242" t="str">
        <f t="shared" si="10"/>
        <v/>
      </c>
      <c r="M138" s="224"/>
      <c r="N138" s="224"/>
      <c r="O138" s="224" t="str">
        <f>IFERROR(INDEX(Data!M$9:M$1273,MATCH($M138,Data!$K$9:$K$1273,0)),"")</f>
        <v/>
      </c>
      <c r="P138" s="224" t="str">
        <f>IFERROR(INDEX(Data!N$9:N$1273,MATCH($M138,Data!$K$9:$K$1273,0)),"")</f>
        <v/>
      </c>
      <c r="Q138" s="224" t="str">
        <f>IFERROR(INDEX(Data!O$9:O$1273,MATCH($M138,Data!$K$9:$K$1273,0)),"")</f>
        <v/>
      </c>
      <c r="R138" s="224" t="str">
        <f>IFERROR(INDEX(Data!P$9:P$1273,MATCH($M138,Data!$K$9:$K$1273,0)),"")</f>
        <v/>
      </c>
      <c r="S138" s="224" t="str">
        <f>IFERROR(INDEX(Data!S$9:S$1273,MATCH($M138,Data!$K$9:$K$1273,0)),"")</f>
        <v/>
      </c>
      <c r="T138" s="224" t="str">
        <f>IFERROR(INDEX(Data!T$9:T$1273,MATCH($M138,Data!$K$9:$K$1273,0)),"")</f>
        <v/>
      </c>
      <c r="U138" s="224" t="str">
        <f>IFERROR(INDEX(Data!U$9:U$1273,MATCH($M138,Data!$K$9:$K$1273,0)),"")</f>
        <v/>
      </c>
      <c r="V138" s="224" t="str">
        <f>IFERROR(INDEX(Data!V$9:V$1273,MATCH($M138,Data!$K$9:$K$1273,0)),"")</f>
        <v/>
      </c>
      <c r="W138" s="224" t="str">
        <f>IFERROR(INDEX(Data!W$9:W$1273,MATCH($M138,Data!$K$9:$K$1273,0)),"")</f>
        <v/>
      </c>
      <c r="X138" s="224" t="str">
        <f>IFERROR(INDEX(Data!AJ$9:AJ$1273,MATCH($M138,Data!$K$9:$K$1273,0)),"")</f>
        <v/>
      </c>
      <c r="Y138" s="224" t="str">
        <f>IFERROR(INDEX(Data!AK$9:AK$1273,MATCH($M138,Data!$K$9:$K$1273,0)),"")</f>
        <v/>
      </c>
      <c r="Z138" s="224" t="str">
        <f>IFERROR(INDEX(Data!AL$9:AL$1273,MATCH($M138,Data!$K$9:$K$1273,0)),"")</f>
        <v/>
      </c>
      <c r="AA138" s="224" t="str">
        <f>IFERROR(INDEX(Data!AM$9:AM$1273,MATCH($M138,Data!$K$9:$K$1273,0)),"")</f>
        <v/>
      </c>
      <c r="AB138" s="224" t="str">
        <f>IFERROR(INDEX(Data!AN$9:AN$1273,MATCH($M138,Data!$K$9:$K$1273,0)),"")</f>
        <v/>
      </c>
      <c r="AC138" s="225" t="str">
        <f>IFERROR(INDEX(Data!BY$9:BY$1273,MATCH($M138,Data!$K$9:$K$1273,0)),"")</f>
        <v/>
      </c>
      <c r="AD138" s="225" t="str">
        <f>IFERROR(INDEX(Data!BZ$9:BZ$1273,MATCH($M138,Data!$K$9:$K$1273,0)),"")</f>
        <v/>
      </c>
      <c r="AE138" s="225" t="str">
        <f>IFERROR(INDEX(Data!CA$9:CA$1273,MATCH($M138,Data!$K$9:$K$1273,0)),"")</f>
        <v/>
      </c>
      <c r="AF138" s="225" t="str">
        <f>IFERROR(INDEX(Data!CB$9:CB$1273,MATCH($M138,Data!$K$9:$K$1273,0)),"")</f>
        <v/>
      </c>
      <c r="AG138" s="225" t="str">
        <f>IFERROR(INDEX(Data!CC$9:CC$1273,MATCH($M138,Data!$K$9:$K$1273,0)),"")</f>
        <v/>
      </c>
      <c r="AH138" s="225" t="str">
        <f>IFERROR(INDEX(Data!CD$9:CD$1273,MATCH($M138,Data!$K$9:$K$1273,0)),"")</f>
        <v/>
      </c>
      <c r="AI138" s="225" t="str">
        <f>IFERROR(INDEX(Data!CE$9:CE$1273,MATCH($M138,Data!$K$9:$K$1273,0)),"")</f>
        <v/>
      </c>
      <c r="AJ138" s="225" t="str">
        <f>IFERROR(INDEX(Data!CF$9:CF$1273,MATCH($M138,Data!$K$9:$K$1273,0)),"")</f>
        <v/>
      </c>
      <c r="AK138" s="225" t="str">
        <f>IFERROR(INDEX(Data!CG$9:CG$1273,MATCH($M138,Data!$K$9:$K$1273,0)),"")</f>
        <v/>
      </c>
      <c r="AL138" s="225" t="str">
        <f>IFERROR(INDEX(Data!CH$9:CH$1273,MATCH($M138,Data!$K$9:$K$1273,0)),"")</f>
        <v/>
      </c>
      <c r="AM138" s="225" t="str">
        <f>IFERROR(INDEX(Data!CI$9:CI$1273,MATCH($M138,Data!$K$9:$K$1273,0)),"")</f>
        <v/>
      </c>
      <c r="AN138" s="225" t="str">
        <f>IFERROR(INDEX(Data!CJ$9:CJ$1273,MATCH($M138,Data!$K$9:$K$1273,0)),"")</f>
        <v/>
      </c>
      <c r="AO138" s="225" t="str">
        <f>IFERROR(INDEX(Data!CK$9:CK$1273,MATCH($M138,Data!$K$9:$K$1273,0)),"")</f>
        <v/>
      </c>
      <c r="AP138" s="225" t="str">
        <f>IFERROR(INDEX(Data!CL$9:CL$1273,MATCH($M138,Data!$K$9:$K$1273,0)),"")</f>
        <v/>
      </c>
      <c r="AQ138" s="225" t="str">
        <f>IFERROR(INDEX(Data!CM$9:CM$1273,MATCH($M138,Data!$K$9:$K$1273,0)),"")</f>
        <v/>
      </c>
      <c r="AR138" s="225" t="str">
        <f>IFERROR(INDEX(Data!CN$9:CN$1273,MATCH($M138,Data!$K$9:$K$1273,0)),"")</f>
        <v/>
      </c>
      <c r="AS138" s="225" t="str">
        <f>IFERROR(INDEX(Data!CO$9:CO$1273,MATCH($M138,Data!$K$9:$K$1273,0)),"")</f>
        <v/>
      </c>
      <c r="AT138" s="225" t="str">
        <f>IFERROR(INDEX(Data!CP$9:CP$1273,MATCH($M138,Data!$K$9:$K$1273,0)),"")</f>
        <v/>
      </c>
      <c r="AU138" s="225" t="str">
        <f>IFERROR(INDEX(Data!CQ$9:CQ$1273,MATCH($M138,Data!$K$9:$K$1273,0)),"")</f>
        <v/>
      </c>
      <c r="AV138" s="225" t="str">
        <f>IFERROR(INDEX(Data!CR$9:CR$1273,MATCH($M138,Data!$K$9:$K$1273,0)),"")</f>
        <v/>
      </c>
      <c r="AW138" s="225" t="str">
        <f>IFERROR(INDEX(Data!CS$9:CS$1273,MATCH($M138,Data!$K$9:$K$1273,0)),"")</f>
        <v/>
      </c>
      <c r="AX138" s="225" t="str">
        <f>IFERROR(INDEX(Data!CT$9:CT$1273,MATCH($M138,Data!$K$9:$K$1273,0)),"")</f>
        <v/>
      </c>
      <c r="AY138" s="225" t="str">
        <f>IFERROR(INDEX(Data!CU$9:CU$1273,MATCH($M138,Data!$K$9:$K$1273,0)),"")</f>
        <v/>
      </c>
      <c r="AZ138" s="225" t="str">
        <f>IFERROR(INDEX(Data!CV$9:CV$1273,MATCH($M138,Data!$K$9:$K$1273,0)),"")</f>
        <v/>
      </c>
      <c r="BA138" s="225" t="str">
        <f>IFERROR(INDEX(Data!CX$9:CX$1273,MATCH($M138,Data!$K$9:$K$1273,0)),"")</f>
        <v/>
      </c>
      <c r="BB138" s="225" t="str">
        <f>IFERROR(INDEX(Data!CY$9:CY$1273,MATCH($M138,Data!$K$9:$K$1273,0)),"")</f>
        <v/>
      </c>
      <c r="BC138" s="225" t="str">
        <f>IFERROR(INDEX(Data!CZ$9:CZ$1273,MATCH($M138,Data!$K$9:$K$1273,0)),"")</f>
        <v/>
      </c>
      <c r="BD138" s="225" t="str">
        <f>IFERROR(INDEX(Data!DA$9:DA$1273,MATCH($M138,Data!$K$9:$K$1273,0)),"")</f>
        <v/>
      </c>
      <c r="BE138" s="225" t="str">
        <f>IFERROR(INDEX(Data!DB$9:DB$1273,MATCH($M138,Data!$K$9:$K$1273,0)),"")</f>
        <v/>
      </c>
      <c r="BF138" s="225" t="str">
        <f>IFERROR(INDEX(Data!DC$9:DC$1273,MATCH($M138,Data!$K$9:$K$1273,0)),"")</f>
        <v/>
      </c>
      <c r="BG138" s="225" t="str">
        <f>IFERROR(INDEX(Data!DD$9:DD$1273,MATCH($M138,Data!$K$9:$K$1273,0)),"")</f>
        <v/>
      </c>
      <c r="BH138" s="225" t="str">
        <f>IFERROR(INDEX(Data!DE$9:DE$1273,MATCH($M138,Data!$K$9:$K$1273,0)),"")</f>
        <v/>
      </c>
      <c r="BI138" s="225" t="str">
        <f>IFERROR(INDEX(Data!DF$9:DF$1273,MATCH($M138,Data!$K$9:$K$1273,0)),"")</f>
        <v/>
      </c>
      <c r="BJ138" s="225" t="str">
        <f>IFERROR(INDEX(Data!DG$9:DG$1273,MATCH($M138,Data!$K$9:$K$1273,0)),"")</f>
        <v/>
      </c>
      <c r="BK138" s="225" t="str">
        <f>IFERROR(INDEX(Data!DH$9:DH$1273,MATCH($M138,Data!$K$9:$K$1273,0)),"")</f>
        <v/>
      </c>
      <c r="BL138" s="225" t="str">
        <f>IFERROR(INDEX(Data!DI$9:DI$1273,MATCH($M138,Data!$K$9:$K$1273,0)),"")</f>
        <v/>
      </c>
      <c r="BM138" s="225" t="str">
        <f>IFERROR(INDEX(Data!DJ$9:DJ$1273,MATCH($M138,Data!$K$9:$K$1273,0)),"")</f>
        <v/>
      </c>
      <c r="BN138" s="225" t="str">
        <f>IFERROR(INDEX(Data!DK$9:DK$1273,MATCH($M138,Data!$K$9:$K$1273,0)),"")</f>
        <v/>
      </c>
      <c r="BO138" s="225" t="str">
        <f>IFERROR(INDEX(Data!DL$9:DL$1273,MATCH($M138,Data!$K$9:$K$1273,0)),"")</f>
        <v/>
      </c>
      <c r="BP138" s="243" t="str">
        <f t="shared" si="11"/>
        <v/>
      </c>
      <c r="BQ138" s="225" t="str">
        <f t="shared" si="12"/>
        <v xml:space="preserve"> </v>
      </c>
      <c r="BR138" s="225" t="str">
        <f t="shared" si="13"/>
        <v/>
      </c>
      <c r="BS138" s="225" t="str">
        <f>IFERROR(INDEX(Data!$DO$9:$DO$1273,MATCH('Your recommendation'!BR138,Data!$DN$9:$DN$1273,0)),"")</f>
        <v/>
      </c>
    </row>
    <row r="139" spans="2:71" ht="15.6" customHeight="1">
      <c r="B139" s="222" t="str">
        <f t="shared" si="14"/>
        <v/>
      </c>
      <c r="C139" s="223"/>
      <c r="D139" s="225" t="str">
        <f>IFERROR(INDEX(Data!BR$9:BR$1273,MATCH($M139,Data!$K$9:$K$1273,0)),"")</f>
        <v/>
      </c>
      <c r="E139" s="225" t="str">
        <f>IFERROR(INDEX(Data!BS$9:BS$1273,MATCH($M139,Data!$K$9:$K$1273,0)),"")</f>
        <v/>
      </c>
      <c r="F139" s="225" t="str">
        <f>IFERROR(INDEX(Data!DM$9:DM$1273,MATCH($M139,Data!$K$9:$K$1273,0)),"")</f>
        <v/>
      </c>
      <c r="G139" s="225" t="str">
        <f>IFERROR(INDEX(Data!BV$9:BV$1273,MATCH($M139,Data!$K$9:$K$1273,0)),"")</f>
        <v/>
      </c>
      <c r="H139" s="225" t="str">
        <f>IFERROR(INDEX(Data!BW$9:BW$1273,MATCH($M139,Data!$K$9:$K$1273,0)),"")</f>
        <v/>
      </c>
      <c r="I139" s="225" t="str">
        <f>IFERROR(INDEX(Data!BX$9:BX$1273,MATCH($M139,Data!$K$9:$K$1273,0)),"")</f>
        <v/>
      </c>
      <c r="J139" s="225" t="str">
        <f>IFERROR(INDEX(Data!CB$9:CB$1273,MATCH($M139,Data!$K$9:$K$1273,0)),"")</f>
        <v/>
      </c>
      <c r="K139" s="241" t="str">
        <f t="shared" ref="K139:K170" si="15">IFERROR(HYPERLINK(BM139,BC139),"-")</f>
        <v/>
      </c>
      <c r="L139" s="242" t="str">
        <f t="shared" ref="L139:L170" si="16">IFERROR(IF(BB139=0,"-",BB139)," ")</f>
        <v/>
      </c>
      <c r="M139" s="224"/>
      <c r="N139" s="224"/>
      <c r="O139" s="224" t="str">
        <f>IFERROR(INDEX(Data!M$9:M$1273,MATCH($M139,Data!$K$9:$K$1273,0)),"")</f>
        <v/>
      </c>
      <c r="P139" s="224" t="str">
        <f>IFERROR(INDEX(Data!N$9:N$1273,MATCH($M139,Data!$K$9:$K$1273,0)),"")</f>
        <v/>
      </c>
      <c r="Q139" s="224" t="str">
        <f>IFERROR(INDEX(Data!O$9:O$1273,MATCH($M139,Data!$K$9:$K$1273,0)),"")</f>
        <v/>
      </c>
      <c r="R139" s="224" t="str">
        <f>IFERROR(INDEX(Data!P$9:P$1273,MATCH($M139,Data!$K$9:$K$1273,0)),"")</f>
        <v/>
      </c>
      <c r="S139" s="224" t="str">
        <f>IFERROR(INDEX(Data!S$9:S$1273,MATCH($M139,Data!$K$9:$K$1273,0)),"")</f>
        <v/>
      </c>
      <c r="T139" s="224" t="str">
        <f>IFERROR(INDEX(Data!T$9:T$1273,MATCH($M139,Data!$K$9:$K$1273,0)),"")</f>
        <v/>
      </c>
      <c r="U139" s="224" t="str">
        <f>IFERROR(INDEX(Data!U$9:U$1273,MATCH($M139,Data!$K$9:$K$1273,0)),"")</f>
        <v/>
      </c>
      <c r="V139" s="224" t="str">
        <f>IFERROR(INDEX(Data!V$9:V$1273,MATCH($M139,Data!$K$9:$K$1273,0)),"")</f>
        <v/>
      </c>
      <c r="W139" s="224" t="str">
        <f>IFERROR(INDEX(Data!W$9:W$1273,MATCH($M139,Data!$K$9:$K$1273,0)),"")</f>
        <v/>
      </c>
      <c r="X139" s="224" t="str">
        <f>IFERROR(INDEX(Data!AJ$9:AJ$1273,MATCH($M139,Data!$K$9:$K$1273,0)),"")</f>
        <v/>
      </c>
      <c r="Y139" s="224" t="str">
        <f>IFERROR(INDEX(Data!AK$9:AK$1273,MATCH($M139,Data!$K$9:$K$1273,0)),"")</f>
        <v/>
      </c>
      <c r="Z139" s="224" t="str">
        <f>IFERROR(INDEX(Data!AL$9:AL$1273,MATCH($M139,Data!$K$9:$K$1273,0)),"")</f>
        <v/>
      </c>
      <c r="AA139" s="224" t="str">
        <f>IFERROR(INDEX(Data!AM$9:AM$1273,MATCH($M139,Data!$K$9:$K$1273,0)),"")</f>
        <v/>
      </c>
      <c r="AB139" s="224" t="str">
        <f>IFERROR(INDEX(Data!AN$9:AN$1273,MATCH($M139,Data!$K$9:$K$1273,0)),"")</f>
        <v/>
      </c>
      <c r="AC139" s="225" t="str">
        <f>IFERROR(INDEX(Data!BY$9:BY$1273,MATCH($M139,Data!$K$9:$K$1273,0)),"")</f>
        <v/>
      </c>
      <c r="AD139" s="225" t="str">
        <f>IFERROR(INDEX(Data!BZ$9:BZ$1273,MATCH($M139,Data!$K$9:$K$1273,0)),"")</f>
        <v/>
      </c>
      <c r="AE139" s="225" t="str">
        <f>IFERROR(INDEX(Data!CA$9:CA$1273,MATCH($M139,Data!$K$9:$K$1273,0)),"")</f>
        <v/>
      </c>
      <c r="AF139" s="225" t="str">
        <f>IFERROR(INDEX(Data!CB$9:CB$1273,MATCH($M139,Data!$K$9:$K$1273,0)),"")</f>
        <v/>
      </c>
      <c r="AG139" s="225" t="str">
        <f>IFERROR(INDEX(Data!CC$9:CC$1273,MATCH($M139,Data!$K$9:$K$1273,0)),"")</f>
        <v/>
      </c>
      <c r="AH139" s="225" t="str">
        <f>IFERROR(INDEX(Data!CD$9:CD$1273,MATCH($M139,Data!$K$9:$K$1273,0)),"")</f>
        <v/>
      </c>
      <c r="AI139" s="225" t="str">
        <f>IFERROR(INDEX(Data!CE$9:CE$1273,MATCH($M139,Data!$K$9:$K$1273,0)),"")</f>
        <v/>
      </c>
      <c r="AJ139" s="225" t="str">
        <f>IFERROR(INDEX(Data!CF$9:CF$1273,MATCH($M139,Data!$K$9:$K$1273,0)),"")</f>
        <v/>
      </c>
      <c r="AK139" s="225" t="str">
        <f>IFERROR(INDEX(Data!CG$9:CG$1273,MATCH($M139,Data!$K$9:$K$1273,0)),"")</f>
        <v/>
      </c>
      <c r="AL139" s="225" t="str">
        <f>IFERROR(INDEX(Data!CH$9:CH$1273,MATCH($M139,Data!$K$9:$K$1273,0)),"")</f>
        <v/>
      </c>
      <c r="AM139" s="225" t="str">
        <f>IFERROR(INDEX(Data!CI$9:CI$1273,MATCH($M139,Data!$K$9:$K$1273,0)),"")</f>
        <v/>
      </c>
      <c r="AN139" s="225" t="str">
        <f>IFERROR(INDEX(Data!CJ$9:CJ$1273,MATCH($M139,Data!$K$9:$K$1273,0)),"")</f>
        <v/>
      </c>
      <c r="AO139" s="225" t="str">
        <f>IFERROR(INDEX(Data!CK$9:CK$1273,MATCH($M139,Data!$K$9:$K$1273,0)),"")</f>
        <v/>
      </c>
      <c r="AP139" s="225" t="str">
        <f>IFERROR(INDEX(Data!CL$9:CL$1273,MATCH($M139,Data!$K$9:$K$1273,0)),"")</f>
        <v/>
      </c>
      <c r="AQ139" s="225" t="str">
        <f>IFERROR(INDEX(Data!CM$9:CM$1273,MATCH($M139,Data!$K$9:$K$1273,0)),"")</f>
        <v/>
      </c>
      <c r="AR139" s="225" t="str">
        <f>IFERROR(INDEX(Data!CN$9:CN$1273,MATCH($M139,Data!$K$9:$K$1273,0)),"")</f>
        <v/>
      </c>
      <c r="AS139" s="225" t="str">
        <f>IFERROR(INDEX(Data!CO$9:CO$1273,MATCH($M139,Data!$K$9:$K$1273,0)),"")</f>
        <v/>
      </c>
      <c r="AT139" s="225" t="str">
        <f>IFERROR(INDEX(Data!CP$9:CP$1273,MATCH($M139,Data!$K$9:$K$1273,0)),"")</f>
        <v/>
      </c>
      <c r="AU139" s="225" t="str">
        <f>IFERROR(INDEX(Data!CQ$9:CQ$1273,MATCH($M139,Data!$K$9:$K$1273,0)),"")</f>
        <v/>
      </c>
      <c r="AV139" s="225" t="str">
        <f>IFERROR(INDEX(Data!CR$9:CR$1273,MATCH($M139,Data!$K$9:$K$1273,0)),"")</f>
        <v/>
      </c>
      <c r="AW139" s="225" t="str">
        <f>IFERROR(INDEX(Data!CS$9:CS$1273,MATCH($M139,Data!$K$9:$K$1273,0)),"")</f>
        <v/>
      </c>
      <c r="AX139" s="225" t="str">
        <f>IFERROR(INDEX(Data!CT$9:CT$1273,MATCH($M139,Data!$K$9:$K$1273,0)),"")</f>
        <v/>
      </c>
      <c r="AY139" s="225" t="str">
        <f>IFERROR(INDEX(Data!CU$9:CU$1273,MATCH($M139,Data!$K$9:$K$1273,0)),"")</f>
        <v/>
      </c>
      <c r="AZ139" s="225" t="str">
        <f>IFERROR(INDEX(Data!CV$9:CV$1273,MATCH($M139,Data!$K$9:$K$1273,0)),"")</f>
        <v/>
      </c>
      <c r="BA139" s="225" t="str">
        <f>IFERROR(INDEX(Data!CX$9:CX$1273,MATCH($M139,Data!$K$9:$K$1273,0)),"")</f>
        <v/>
      </c>
      <c r="BB139" s="225" t="str">
        <f>IFERROR(INDEX(Data!CY$9:CY$1273,MATCH($M139,Data!$K$9:$K$1273,0)),"")</f>
        <v/>
      </c>
      <c r="BC139" s="225" t="str">
        <f>IFERROR(INDEX(Data!CZ$9:CZ$1273,MATCH($M139,Data!$K$9:$K$1273,0)),"")</f>
        <v/>
      </c>
      <c r="BD139" s="225" t="str">
        <f>IFERROR(INDEX(Data!DA$9:DA$1273,MATCH($M139,Data!$K$9:$K$1273,0)),"")</f>
        <v/>
      </c>
      <c r="BE139" s="225" t="str">
        <f>IFERROR(INDEX(Data!DB$9:DB$1273,MATCH($M139,Data!$K$9:$K$1273,0)),"")</f>
        <v/>
      </c>
      <c r="BF139" s="225" t="str">
        <f>IFERROR(INDEX(Data!DC$9:DC$1273,MATCH($M139,Data!$K$9:$K$1273,0)),"")</f>
        <v/>
      </c>
      <c r="BG139" s="225" t="str">
        <f>IFERROR(INDEX(Data!DD$9:DD$1273,MATCH($M139,Data!$K$9:$K$1273,0)),"")</f>
        <v/>
      </c>
      <c r="BH139" s="225" t="str">
        <f>IFERROR(INDEX(Data!DE$9:DE$1273,MATCH($M139,Data!$K$9:$K$1273,0)),"")</f>
        <v/>
      </c>
      <c r="BI139" s="225" t="str">
        <f>IFERROR(INDEX(Data!DF$9:DF$1273,MATCH($M139,Data!$K$9:$K$1273,0)),"")</f>
        <v/>
      </c>
      <c r="BJ139" s="225" t="str">
        <f>IFERROR(INDEX(Data!DG$9:DG$1273,MATCH($M139,Data!$K$9:$K$1273,0)),"")</f>
        <v/>
      </c>
      <c r="BK139" s="225" t="str">
        <f>IFERROR(INDEX(Data!DH$9:DH$1273,MATCH($M139,Data!$K$9:$K$1273,0)),"")</f>
        <v/>
      </c>
      <c r="BL139" s="225" t="str">
        <f>IFERROR(INDEX(Data!DI$9:DI$1273,MATCH($M139,Data!$K$9:$K$1273,0)),"")</f>
        <v/>
      </c>
      <c r="BM139" s="225" t="str">
        <f>IFERROR(INDEX(Data!DJ$9:DJ$1273,MATCH($M139,Data!$K$9:$K$1273,0)),"")</f>
        <v/>
      </c>
      <c r="BN139" s="225" t="str">
        <f>IFERROR(INDEX(Data!DK$9:DK$1273,MATCH($M139,Data!$K$9:$K$1273,0)),"")</f>
        <v/>
      </c>
      <c r="BO139" s="225" t="str">
        <f>IFERROR(INDEX(Data!DL$9:DL$1273,MATCH($M139,Data!$K$9:$K$1273,0)),"")</f>
        <v/>
      </c>
      <c r="BP139" s="243" t="str">
        <f t="shared" ref="BP139:BP170" si="17">IFERROR(IF(BK139=0,"-",BK139),"")</f>
        <v/>
      </c>
      <c r="BQ139" s="225" t="str">
        <f t="shared" ref="BQ139:BQ170" si="18">IFERROR(IF(BP139-K139&gt;0,TRUE,FALSE)," ")</f>
        <v xml:space="preserve"> </v>
      </c>
      <c r="BR139" s="225" t="str">
        <f t="shared" ref="BR139:BR170" si="19">_xlfn.CONCAT(E139,F139,H139,G139)</f>
        <v/>
      </c>
      <c r="BS139" s="225" t="str">
        <f>IFERROR(INDEX(Data!$DO$9:$DO$1273,MATCH('Your recommendation'!BR139,Data!$DN$9:$DN$1273,0)),"")</f>
        <v/>
      </c>
    </row>
    <row r="140" spans="2:71" ht="15.6" customHeight="1">
      <c r="B140" s="222" t="str">
        <f t="shared" ref="B140:B171" si="20">IF(C140&gt;0,B139+1,"")</f>
        <v/>
      </c>
      <c r="C140" s="223"/>
      <c r="D140" s="225" t="str">
        <f>IFERROR(INDEX(Data!BR$9:BR$1273,MATCH($M140,Data!$K$9:$K$1273,0)),"")</f>
        <v/>
      </c>
      <c r="E140" s="225" t="str">
        <f>IFERROR(INDEX(Data!BS$9:BS$1273,MATCH($M140,Data!$K$9:$K$1273,0)),"")</f>
        <v/>
      </c>
      <c r="F140" s="225" t="str">
        <f>IFERROR(INDEX(Data!DM$9:DM$1273,MATCH($M140,Data!$K$9:$K$1273,0)),"")</f>
        <v/>
      </c>
      <c r="G140" s="225" t="str">
        <f>IFERROR(INDEX(Data!BV$9:BV$1273,MATCH($M140,Data!$K$9:$K$1273,0)),"")</f>
        <v/>
      </c>
      <c r="H140" s="225" t="str">
        <f>IFERROR(INDEX(Data!BW$9:BW$1273,MATCH($M140,Data!$K$9:$K$1273,0)),"")</f>
        <v/>
      </c>
      <c r="I140" s="225" t="str">
        <f>IFERROR(INDEX(Data!BX$9:BX$1273,MATCH($M140,Data!$K$9:$K$1273,0)),"")</f>
        <v/>
      </c>
      <c r="J140" s="225" t="str">
        <f>IFERROR(INDEX(Data!CB$9:CB$1273,MATCH($M140,Data!$K$9:$K$1273,0)),"")</f>
        <v/>
      </c>
      <c r="K140" s="241" t="str">
        <f t="shared" si="15"/>
        <v/>
      </c>
      <c r="L140" s="242" t="str">
        <f t="shared" si="16"/>
        <v/>
      </c>
      <c r="M140" s="224"/>
      <c r="N140" s="224"/>
      <c r="O140" s="224" t="str">
        <f>IFERROR(INDEX(Data!M$9:M$1273,MATCH($M140,Data!$K$9:$K$1273,0)),"")</f>
        <v/>
      </c>
      <c r="P140" s="224" t="str">
        <f>IFERROR(INDEX(Data!N$9:N$1273,MATCH($M140,Data!$K$9:$K$1273,0)),"")</f>
        <v/>
      </c>
      <c r="Q140" s="224" t="str">
        <f>IFERROR(INDEX(Data!O$9:O$1273,MATCH($M140,Data!$K$9:$K$1273,0)),"")</f>
        <v/>
      </c>
      <c r="R140" s="224" t="str">
        <f>IFERROR(INDEX(Data!P$9:P$1273,MATCH($M140,Data!$K$9:$K$1273,0)),"")</f>
        <v/>
      </c>
      <c r="S140" s="224" t="str">
        <f>IFERROR(INDEX(Data!S$9:S$1273,MATCH($M140,Data!$K$9:$K$1273,0)),"")</f>
        <v/>
      </c>
      <c r="T140" s="224" t="str">
        <f>IFERROR(INDEX(Data!T$9:T$1273,MATCH($M140,Data!$K$9:$K$1273,0)),"")</f>
        <v/>
      </c>
      <c r="U140" s="224" t="str">
        <f>IFERROR(INDEX(Data!U$9:U$1273,MATCH($M140,Data!$K$9:$K$1273,0)),"")</f>
        <v/>
      </c>
      <c r="V140" s="224" t="str">
        <f>IFERROR(INDEX(Data!V$9:V$1273,MATCH($M140,Data!$K$9:$K$1273,0)),"")</f>
        <v/>
      </c>
      <c r="W140" s="224" t="str">
        <f>IFERROR(INDEX(Data!W$9:W$1273,MATCH($M140,Data!$K$9:$K$1273,0)),"")</f>
        <v/>
      </c>
      <c r="X140" s="224" t="str">
        <f>IFERROR(INDEX(Data!AJ$9:AJ$1273,MATCH($M140,Data!$K$9:$K$1273,0)),"")</f>
        <v/>
      </c>
      <c r="Y140" s="224" t="str">
        <f>IFERROR(INDEX(Data!AK$9:AK$1273,MATCH($M140,Data!$K$9:$K$1273,0)),"")</f>
        <v/>
      </c>
      <c r="Z140" s="224" t="str">
        <f>IFERROR(INDEX(Data!AL$9:AL$1273,MATCH($M140,Data!$K$9:$K$1273,0)),"")</f>
        <v/>
      </c>
      <c r="AA140" s="224" t="str">
        <f>IFERROR(INDEX(Data!AM$9:AM$1273,MATCH($M140,Data!$K$9:$K$1273,0)),"")</f>
        <v/>
      </c>
      <c r="AB140" s="224" t="str">
        <f>IFERROR(INDEX(Data!AN$9:AN$1273,MATCH($M140,Data!$K$9:$K$1273,0)),"")</f>
        <v/>
      </c>
      <c r="AC140" s="225" t="str">
        <f>IFERROR(INDEX(Data!BY$9:BY$1273,MATCH($M140,Data!$K$9:$K$1273,0)),"")</f>
        <v/>
      </c>
      <c r="AD140" s="225" t="str">
        <f>IFERROR(INDEX(Data!BZ$9:BZ$1273,MATCH($M140,Data!$K$9:$K$1273,0)),"")</f>
        <v/>
      </c>
      <c r="AE140" s="225" t="str">
        <f>IFERROR(INDEX(Data!CA$9:CA$1273,MATCH($M140,Data!$K$9:$K$1273,0)),"")</f>
        <v/>
      </c>
      <c r="AF140" s="225" t="str">
        <f>IFERROR(INDEX(Data!CB$9:CB$1273,MATCH($M140,Data!$K$9:$K$1273,0)),"")</f>
        <v/>
      </c>
      <c r="AG140" s="225" t="str">
        <f>IFERROR(INDEX(Data!CC$9:CC$1273,MATCH($M140,Data!$K$9:$K$1273,0)),"")</f>
        <v/>
      </c>
      <c r="AH140" s="225" t="str">
        <f>IFERROR(INDEX(Data!CD$9:CD$1273,MATCH($M140,Data!$K$9:$K$1273,0)),"")</f>
        <v/>
      </c>
      <c r="AI140" s="225" t="str">
        <f>IFERROR(INDEX(Data!CE$9:CE$1273,MATCH($M140,Data!$K$9:$K$1273,0)),"")</f>
        <v/>
      </c>
      <c r="AJ140" s="225" t="str">
        <f>IFERROR(INDEX(Data!CF$9:CF$1273,MATCH($M140,Data!$K$9:$K$1273,0)),"")</f>
        <v/>
      </c>
      <c r="AK140" s="225" t="str">
        <f>IFERROR(INDEX(Data!CG$9:CG$1273,MATCH($M140,Data!$K$9:$K$1273,0)),"")</f>
        <v/>
      </c>
      <c r="AL140" s="225" t="str">
        <f>IFERROR(INDEX(Data!CH$9:CH$1273,MATCH($M140,Data!$K$9:$K$1273,0)),"")</f>
        <v/>
      </c>
      <c r="AM140" s="225" t="str">
        <f>IFERROR(INDEX(Data!CI$9:CI$1273,MATCH($M140,Data!$K$9:$K$1273,0)),"")</f>
        <v/>
      </c>
      <c r="AN140" s="225" t="str">
        <f>IFERROR(INDEX(Data!CJ$9:CJ$1273,MATCH($M140,Data!$K$9:$K$1273,0)),"")</f>
        <v/>
      </c>
      <c r="AO140" s="225" t="str">
        <f>IFERROR(INDEX(Data!CK$9:CK$1273,MATCH($M140,Data!$K$9:$K$1273,0)),"")</f>
        <v/>
      </c>
      <c r="AP140" s="225" t="str">
        <f>IFERROR(INDEX(Data!CL$9:CL$1273,MATCH($M140,Data!$K$9:$K$1273,0)),"")</f>
        <v/>
      </c>
      <c r="AQ140" s="225" t="str">
        <f>IFERROR(INDEX(Data!CM$9:CM$1273,MATCH($M140,Data!$K$9:$K$1273,0)),"")</f>
        <v/>
      </c>
      <c r="AR140" s="225" t="str">
        <f>IFERROR(INDEX(Data!CN$9:CN$1273,MATCH($M140,Data!$K$9:$K$1273,0)),"")</f>
        <v/>
      </c>
      <c r="AS140" s="225" t="str">
        <f>IFERROR(INDEX(Data!CO$9:CO$1273,MATCH($M140,Data!$K$9:$K$1273,0)),"")</f>
        <v/>
      </c>
      <c r="AT140" s="225" t="str">
        <f>IFERROR(INDEX(Data!CP$9:CP$1273,MATCH($M140,Data!$K$9:$K$1273,0)),"")</f>
        <v/>
      </c>
      <c r="AU140" s="225" t="str">
        <f>IFERROR(INDEX(Data!CQ$9:CQ$1273,MATCH($M140,Data!$K$9:$K$1273,0)),"")</f>
        <v/>
      </c>
      <c r="AV140" s="225" t="str">
        <f>IFERROR(INDEX(Data!CR$9:CR$1273,MATCH($M140,Data!$K$9:$K$1273,0)),"")</f>
        <v/>
      </c>
      <c r="AW140" s="225" t="str">
        <f>IFERROR(INDEX(Data!CS$9:CS$1273,MATCH($M140,Data!$K$9:$K$1273,0)),"")</f>
        <v/>
      </c>
      <c r="AX140" s="225" t="str">
        <f>IFERROR(INDEX(Data!CT$9:CT$1273,MATCH($M140,Data!$K$9:$K$1273,0)),"")</f>
        <v/>
      </c>
      <c r="AY140" s="225" t="str">
        <f>IFERROR(INDEX(Data!CU$9:CU$1273,MATCH($M140,Data!$K$9:$K$1273,0)),"")</f>
        <v/>
      </c>
      <c r="AZ140" s="225" t="str">
        <f>IFERROR(INDEX(Data!CV$9:CV$1273,MATCH($M140,Data!$K$9:$K$1273,0)),"")</f>
        <v/>
      </c>
      <c r="BA140" s="225" t="str">
        <f>IFERROR(INDEX(Data!CX$9:CX$1273,MATCH($M140,Data!$K$9:$K$1273,0)),"")</f>
        <v/>
      </c>
      <c r="BB140" s="225" t="str">
        <f>IFERROR(INDEX(Data!CY$9:CY$1273,MATCH($M140,Data!$K$9:$K$1273,0)),"")</f>
        <v/>
      </c>
      <c r="BC140" s="225" t="str">
        <f>IFERROR(INDEX(Data!CZ$9:CZ$1273,MATCH($M140,Data!$K$9:$K$1273,0)),"")</f>
        <v/>
      </c>
      <c r="BD140" s="225" t="str">
        <f>IFERROR(INDEX(Data!DA$9:DA$1273,MATCH($M140,Data!$K$9:$K$1273,0)),"")</f>
        <v/>
      </c>
      <c r="BE140" s="225" t="str">
        <f>IFERROR(INDEX(Data!DB$9:DB$1273,MATCH($M140,Data!$K$9:$K$1273,0)),"")</f>
        <v/>
      </c>
      <c r="BF140" s="225" t="str">
        <f>IFERROR(INDEX(Data!DC$9:DC$1273,MATCH($M140,Data!$K$9:$K$1273,0)),"")</f>
        <v/>
      </c>
      <c r="BG140" s="225" t="str">
        <f>IFERROR(INDEX(Data!DD$9:DD$1273,MATCH($M140,Data!$K$9:$K$1273,0)),"")</f>
        <v/>
      </c>
      <c r="BH140" s="225" t="str">
        <f>IFERROR(INDEX(Data!DE$9:DE$1273,MATCH($M140,Data!$K$9:$K$1273,0)),"")</f>
        <v/>
      </c>
      <c r="BI140" s="225" t="str">
        <f>IFERROR(INDEX(Data!DF$9:DF$1273,MATCH($M140,Data!$K$9:$K$1273,0)),"")</f>
        <v/>
      </c>
      <c r="BJ140" s="225" t="str">
        <f>IFERROR(INDEX(Data!DG$9:DG$1273,MATCH($M140,Data!$K$9:$K$1273,0)),"")</f>
        <v/>
      </c>
      <c r="BK140" s="225" t="str">
        <f>IFERROR(INDEX(Data!DH$9:DH$1273,MATCH($M140,Data!$K$9:$K$1273,0)),"")</f>
        <v/>
      </c>
      <c r="BL140" s="225" t="str">
        <f>IFERROR(INDEX(Data!DI$9:DI$1273,MATCH($M140,Data!$K$9:$K$1273,0)),"")</f>
        <v/>
      </c>
      <c r="BM140" s="225" t="str">
        <f>IFERROR(INDEX(Data!DJ$9:DJ$1273,MATCH($M140,Data!$K$9:$K$1273,0)),"")</f>
        <v/>
      </c>
      <c r="BN140" s="225" t="str">
        <f>IFERROR(INDEX(Data!DK$9:DK$1273,MATCH($M140,Data!$K$9:$K$1273,0)),"")</f>
        <v/>
      </c>
      <c r="BO140" s="225" t="str">
        <f>IFERROR(INDEX(Data!DL$9:DL$1273,MATCH($M140,Data!$K$9:$K$1273,0)),"")</f>
        <v/>
      </c>
      <c r="BP140" s="243" t="str">
        <f t="shared" si="17"/>
        <v/>
      </c>
      <c r="BQ140" s="225" t="str">
        <f t="shared" si="18"/>
        <v xml:space="preserve"> </v>
      </c>
      <c r="BR140" s="225" t="str">
        <f t="shared" si="19"/>
        <v/>
      </c>
      <c r="BS140" s="225" t="str">
        <f>IFERROR(INDEX(Data!$DO$9:$DO$1273,MATCH('Your recommendation'!BR140,Data!$DN$9:$DN$1273,0)),"")</f>
        <v/>
      </c>
    </row>
    <row r="141" spans="2:71" ht="15.6" customHeight="1">
      <c r="B141" s="222" t="str">
        <f t="shared" si="20"/>
        <v/>
      </c>
      <c r="C141" s="223"/>
      <c r="D141" s="225" t="str">
        <f>IFERROR(INDEX(Data!BR$9:BR$1273,MATCH($M141,Data!$K$9:$K$1273,0)),"")</f>
        <v/>
      </c>
      <c r="E141" s="225" t="str">
        <f>IFERROR(INDEX(Data!BS$9:BS$1273,MATCH($M141,Data!$K$9:$K$1273,0)),"")</f>
        <v/>
      </c>
      <c r="F141" s="225" t="str">
        <f>IFERROR(INDEX(Data!DM$9:DM$1273,MATCH($M141,Data!$K$9:$K$1273,0)),"")</f>
        <v/>
      </c>
      <c r="G141" s="225" t="str">
        <f>IFERROR(INDEX(Data!BV$9:BV$1273,MATCH($M141,Data!$K$9:$K$1273,0)),"")</f>
        <v/>
      </c>
      <c r="H141" s="225" t="str">
        <f>IFERROR(INDEX(Data!BW$9:BW$1273,MATCH($M141,Data!$K$9:$K$1273,0)),"")</f>
        <v/>
      </c>
      <c r="I141" s="225" t="str">
        <f>IFERROR(INDEX(Data!BX$9:BX$1273,MATCH($M141,Data!$K$9:$K$1273,0)),"")</f>
        <v/>
      </c>
      <c r="J141" s="225" t="str">
        <f>IFERROR(INDEX(Data!CB$9:CB$1273,MATCH($M141,Data!$K$9:$K$1273,0)),"")</f>
        <v/>
      </c>
      <c r="K141" s="241" t="str">
        <f t="shared" si="15"/>
        <v/>
      </c>
      <c r="L141" s="242" t="str">
        <f t="shared" si="16"/>
        <v/>
      </c>
      <c r="M141" s="224"/>
      <c r="N141" s="224"/>
      <c r="O141" s="224" t="str">
        <f>IFERROR(INDEX(Data!M$9:M$1273,MATCH($M141,Data!$K$9:$K$1273,0)),"")</f>
        <v/>
      </c>
      <c r="P141" s="224" t="str">
        <f>IFERROR(INDEX(Data!N$9:N$1273,MATCH($M141,Data!$K$9:$K$1273,0)),"")</f>
        <v/>
      </c>
      <c r="Q141" s="224" t="str">
        <f>IFERROR(INDEX(Data!O$9:O$1273,MATCH($M141,Data!$K$9:$K$1273,0)),"")</f>
        <v/>
      </c>
      <c r="R141" s="224" t="str">
        <f>IFERROR(INDEX(Data!P$9:P$1273,MATCH($M141,Data!$K$9:$K$1273,0)),"")</f>
        <v/>
      </c>
      <c r="S141" s="224" t="str">
        <f>IFERROR(INDEX(Data!S$9:S$1273,MATCH($M141,Data!$K$9:$K$1273,0)),"")</f>
        <v/>
      </c>
      <c r="T141" s="224" t="str">
        <f>IFERROR(INDEX(Data!T$9:T$1273,MATCH($M141,Data!$K$9:$K$1273,0)),"")</f>
        <v/>
      </c>
      <c r="U141" s="224" t="str">
        <f>IFERROR(INDEX(Data!U$9:U$1273,MATCH($M141,Data!$K$9:$K$1273,0)),"")</f>
        <v/>
      </c>
      <c r="V141" s="224" t="str">
        <f>IFERROR(INDEX(Data!V$9:V$1273,MATCH($M141,Data!$K$9:$K$1273,0)),"")</f>
        <v/>
      </c>
      <c r="W141" s="224" t="str">
        <f>IFERROR(INDEX(Data!W$9:W$1273,MATCH($M141,Data!$K$9:$K$1273,0)),"")</f>
        <v/>
      </c>
      <c r="X141" s="224" t="str">
        <f>IFERROR(INDEX(Data!AJ$9:AJ$1273,MATCH($M141,Data!$K$9:$K$1273,0)),"")</f>
        <v/>
      </c>
      <c r="Y141" s="224" t="str">
        <f>IFERROR(INDEX(Data!AK$9:AK$1273,MATCH($M141,Data!$K$9:$K$1273,0)),"")</f>
        <v/>
      </c>
      <c r="Z141" s="224" t="str">
        <f>IFERROR(INDEX(Data!AL$9:AL$1273,MATCH($M141,Data!$K$9:$K$1273,0)),"")</f>
        <v/>
      </c>
      <c r="AA141" s="224" t="str">
        <f>IFERROR(INDEX(Data!AM$9:AM$1273,MATCH($M141,Data!$K$9:$K$1273,0)),"")</f>
        <v/>
      </c>
      <c r="AB141" s="224" t="str">
        <f>IFERROR(INDEX(Data!AN$9:AN$1273,MATCH($M141,Data!$K$9:$K$1273,0)),"")</f>
        <v/>
      </c>
      <c r="AC141" s="225" t="str">
        <f>IFERROR(INDEX(Data!BY$9:BY$1273,MATCH($M141,Data!$K$9:$K$1273,0)),"")</f>
        <v/>
      </c>
      <c r="AD141" s="225" t="str">
        <f>IFERROR(INDEX(Data!BZ$9:BZ$1273,MATCH($M141,Data!$K$9:$K$1273,0)),"")</f>
        <v/>
      </c>
      <c r="AE141" s="225" t="str">
        <f>IFERROR(INDEX(Data!CA$9:CA$1273,MATCH($M141,Data!$K$9:$K$1273,0)),"")</f>
        <v/>
      </c>
      <c r="AF141" s="225" t="str">
        <f>IFERROR(INDEX(Data!CB$9:CB$1273,MATCH($M141,Data!$K$9:$K$1273,0)),"")</f>
        <v/>
      </c>
      <c r="AG141" s="225" t="str">
        <f>IFERROR(INDEX(Data!CC$9:CC$1273,MATCH($M141,Data!$K$9:$K$1273,0)),"")</f>
        <v/>
      </c>
      <c r="AH141" s="225" t="str">
        <f>IFERROR(INDEX(Data!CD$9:CD$1273,MATCH($M141,Data!$K$9:$K$1273,0)),"")</f>
        <v/>
      </c>
      <c r="AI141" s="225" t="str">
        <f>IFERROR(INDEX(Data!CE$9:CE$1273,MATCH($M141,Data!$K$9:$K$1273,0)),"")</f>
        <v/>
      </c>
      <c r="AJ141" s="225" t="str">
        <f>IFERROR(INDEX(Data!CF$9:CF$1273,MATCH($M141,Data!$K$9:$K$1273,0)),"")</f>
        <v/>
      </c>
      <c r="AK141" s="225" t="str">
        <f>IFERROR(INDEX(Data!CG$9:CG$1273,MATCH($M141,Data!$K$9:$K$1273,0)),"")</f>
        <v/>
      </c>
      <c r="AL141" s="225" t="str">
        <f>IFERROR(INDEX(Data!CH$9:CH$1273,MATCH($M141,Data!$K$9:$K$1273,0)),"")</f>
        <v/>
      </c>
      <c r="AM141" s="225" t="str">
        <f>IFERROR(INDEX(Data!CI$9:CI$1273,MATCH($M141,Data!$K$9:$K$1273,0)),"")</f>
        <v/>
      </c>
      <c r="AN141" s="225" t="str">
        <f>IFERROR(INDEX(Data!CJ$9:CJ$1273,MATCH($M141,Data!$K$9:$K$1273,0)),"")</f>
        <v/>
      </c>
      <c r="AO141" s="225" t="str">
        <f>IFERROR(INDEX(Data!CK$9:CK$1273,MATCH($M141,Data!$K$9:$K$1273,0)),"")</f>
        <v/>
      </c>
      <c r="AP141" s="225" t="str">
        <f>IFERROR(INDEX(Data!CL$9:CL$1273,MATCH($M141,Data!$K$9:$K$1273,0)),"")</f>
        <v/>
      </c>
      <c r="AQ141" s="225" t="str">
        <f>IFERROR(INDEX(Data!CM$9:CM$1273,MATCH($M141,Data!$K$9:$K$1273,0)),"")</f>
        <v/>
      </c>
      <c r="AR141" s="225" t="str">
        <f>IFERROR(INDEX(Data!CN$9:CN$1273,MATCH($M141,Data!$K$9:$K$1273,0)),"")</f>
        <v/>
      </c>
      <c r="AS141" s="225" t="str">
        <f>IFERROR(INDEX(Data!CO$9:CO$1273,MATCH($M141,Data!$K$9:$K$1273,0)),"")</f>
        <v/>
      </c>
      <c r="AT141" s="225" t="str">
        <f>IFERROR(INDEX(Data!CP$9:CP$1273,MATCH($M141,Data!$K$9:$K$1273,0)),"")</f>
        <v/>
      </c>
      <c r="AU141" s="225" t="str">
        <f>IFERROR(INDEX(Data!CQ$9:CQ$1273,MATCH($M141,Data!$K$9:$K$1273,0)),"")</f>
        <v/>
      </c>
      <c r="AV141" s="225" t="str">
        <f>IFERROR(INDEX(Data!CR$9:CR$1273,MATCH($M141,Data!$K$9:$K$1273,0)),"")</f>
        <v/>
      </c>
      <c r="AW141" s="225" t="str">
        <f>IFERROR(INDEX(Data!CS$9:CS$1273,MATCH($M141,Data!$K$9:$K$1273,0)),"")</f>
        <v/>
      </c>
      <c r="AX141" s="225" t="str">
        <f>IFERROR(INDEX(Data!CT$9:CT$1273,MATCH($M141,Data!$K$9:$K$1273,0)),"")</f>
        <v/>
      </c>
      <c r="AY141" s="225" t="str">
        <f>IFERROR(INDEX(Data!CU$9:CU$1273,MATCH($M141,Data!$K$9:$K$1273,0)),"")</f>
        <v/>
      </c>
      <c r="AZ141" s="225" t="str">
        <f>IFERROR(INDEX(Data!CV$9:CV$1273,MATCH($M141,Data!$K$9:$K$1273,0)),"")</f>
        <v/>
      </c>
      <c r="BA141" s="225" t="str">
        <f>IFERROR(INDEX(Data!CX$9:CX$1273,MATCH($M141,Data!$K$9:$K$1273,0)),"")</f>
        <v/>
      </c>
      <c r="BB141" s="225" t="str">
        <f>IFERROR(INDEX(Data!CY$9:CY$1273,MATCH($M141,Data!$K$9:$K$1273,0)),"")</f>
        <v/>
      </c>
      <c r="BC141" s="225" t="str">
        <f>IFERROR(INDEX(Data!CZ$9:CZ$1273,MATCH($M141,Data!$K$9:$K$1273,0)),"")</f>
        <v/>
      </c>
      <c r="BD141" s="225" t="str">
        <f>IFERROR(INDEX(Data!DA$9:DA$1273,MATCH($M141,Data!$K$9:$K$1273,0)),"")</f>
        <v/>
      </c>
      <c r="BE141" s="225" t="str">
        <f>IFERROR(INDEX(Data!DB$9:DB$1273,MATCH($M141,Data!$K$9:$K$1273,0)),"")</f>
        <v/>
      </c>
      <c r="BF141" s="225" t="str">
        <f>IFERROR(INDEX(Data!DC$9:DC$1273,MATCH($M141,Data!$K$9:$K$1273,0)),"")</f>
        <v/>
      </c>
      <c r="BG141" s="225" t="str">
        <f>IFERROR(INDEX(Data!DD$9:DD$1273,MATCH($M141,Data!$K$9:$K$1273,0)),"")</f>
        <v/>
      </c>
      <c r="BH141" s="225" t="str">
        <f>IFERROR(INDEX(Data!DE$9:DE$1273,MATCH($M141,Data!$K$9:$K$1273,0)),"")</f>
        <v/>
      </c>
      <c r="BI141" s="225" t="str">
        <f>IFERROR(INDEX(Data!DF$9:DF$1273,MATCH($M141,Data!$K$9:$K$1273,0)),"")</f>
        <v/>
      </c>
      <c r="BJ141" s="225" t="str">
        <f>IFERROR(INDEX(Data!DG$9:DG$1273,MATCH($M141,Data!$K$9:$K$1273,0)),"")</f>
        <v/>
      </c>
      <c r="BK141" s="225" t="str">
        <f>IFERROR(INDEX(Data!DH$9:DH$1273,MATCH($M141,Data!$K$9:$K$1273,0)),"")</f>
        <v/>
      </c>
      <c r="BL141" s="225" t="str">
        <f>IFERROR(INDEX(Data!DI$9:DI$1273,MATCH($M141,Data!$K$9:$K$1273,0)),"")</f>
        <v/>
      </c>
      <c r="BM141" s="225" t="str">
        <f>IFERROR(INDEX(Data!DJ$9:DJ$1273,MATCH($M141,Data!$K$9:$K$1273,0)),"")</f>
        <v/>
      </c>
      <c r="BN141" s="225" t="str">
        <f>IFERROR(INDEX(Data!DK$9:DK$1273,MATCH($M141,Data!$K$9:$K$1273,0)),"")</f>
        <v/>
      </c>
      <c r="BO141" s="225" t="str">
        <f>IFERROR(INDEX(Data!DL$9:DL$1273,MATCH($M141,Data!$K$9:$K$1273,0)),"")</f>
        <v/>
      </c>
      <c r="BP141" s="243" t="str">
        <f t="shared" si="17"/>
        <v/>
      </c>
      <c r="BQ141" s="225" t="str">
        <f t="shared" si="18"/>
        <v xml:space="preserve"> </v>
      </c>
      <c r="BR141" s="225" t="str">
        <f t="shared" si="19"/>
        <v/>
      </c>
      <c r="BS141" s="225" t="str">
        <f>IFERROR(INDEX(Data!$DO$9:$DO$1273,MATCH('Your recommendation'!BR141,Data!$DN$9:$DN$1273,0)),"")</f>
        <v/>
      </c>
    </row>
    <row r="142" spans="2:71" ht="15.6" customHeight="1">
      <c r="B142" s="222" t="str">
        <f t="shared" si="20"/>
        <v/>
      </c>
      <c r="C142" s="223"/>
      <c r="D142" s="225" t="str">
        <f>IFERROR(INDEX(Data!BR$9:BR$1273,MATCH($M142,Data!$K$9:$K$1273,0)),"")</f>
        <v/>
      </c>
      <c r="E142" s="225" t="str">
        <f>IFERROR(INDEX(Data!BS$9:BS$1273,MATCH($M142,Data!$K$9:$K$1273,0)),"")</f>
        <v/>
      </c>
      <c r="F142" s="225" t="str">
        <f>IFERROR(INDEX(Data!DM$9:DM$1273,MATCH($M142,Data!$K$9:$K$1273,0)),"")</f>
        <v/>
      </c>
      <c r="G142" s="225" t="str">
        <f>IFERROR(INDEX(Data!BV$9:BV$1273,MATCH($M142,Data!$K$9:$K$1273,0)),"")</f>
        <v/>
      </c>
      <c r="H142" s="225" t="str">
        <f>IFERROR(INDEX(Data!BW$9:BW$1273,MATCH($M142,Data!$K$9:$K$1273,0)),"")</f>
        <v/>
      </c>
      <c r="I142" s="225" t="str">
        <f>IFERROR(INDEX(Data!BX$9:BX$1273,MATCH($M142,Data!$K$9:$K$1273,0)),"")</f>
        <v/>
      </c>
      <c r="J142" s="225" t="str">
        <f>IFERROR(INDEX(Data!CB$9:CB$1273,MATCH($M142,Data!$K$9:$K$1273,0)),"")</f>
        <v/>
      </c>
      <c r="K142" s="241" t="str">
        <f t="shared" si="15"/>
        <v/>
      </c>
      <c r="L142" s="242" t="str">
        <f t="shared" si="16"/>
        <v/>
      </c>
      <c r="M142" s="224"/>
      <c r="N142" s="224"/>
      <c r="O142" s="224" t="str">
        <f>IFERROR(INDEX(Data!M$9:M$1273,MATCH($M142,Data!$K$9:$K$1273,0)),"")</f>
        <v/>
      </c>
      <c r="P142" s="224" t="str">
        <f>IFERROR(INDEX(Data!N$9:N$1273,MATCH($M142,Data!$K$9:$K$1273,0)),"")</f>
        <v/>
      </c>
      <c r="Q142" s="224" t="str">
        <f>IFERROR(INDEX(Data!O$9:O$1273,MATCH($M142,Data!$K$9:$K$1273,0)),"")</f>
        <v/>
      </c>
      <c r="R142" s="224" t="str">
        <f>IFERROR(INDEX(Data!P$9:P$1273,MATCH($M142,Data!$K$9:$K$1273,0)),"")</f>
        <v/>
      </c>
      <c r="S142" s="224" t="str">
        <f>IFERROR(INDEX(Data!S$9:S$1273,MATCH($M142,Data!$K$9:$K$1273,0)),"")</f>
        <v/>
      </c>
      <c r="T142" s="224" t="str">
        <f>IFERROR(INDEX(Data!T$9:T$1273,MATCH($M142,Data!$K$9:$K$1273,0)),"")</f>
        <v/>
      </c>
      <c r="U142" s="224" t="str">
        <f>IFERROR(INDEX(Data!U$9:U$1273,MATCH($M142,Data!$K$9:$K$1273,0)),"")</f>
        <v/>
      </c>
      <c r="V142" s="224" t="str">
        <f>IFERROR(INDEX(Data!V$9:V$1273,MATCH($M142,Data!$K$9:$K$1273,0)),"")</f>
        <v/>
      </c>
      <c r="W142" s="224" t="str">
        <f>IFERROR(INDEX(Data!W$9:W$1273,MATCH($M142,Data!$K$9:$K$1273,0)),"")</f>
        <v/>
      </c>
      <c r="X142" s="224" t="str">
        <f>IFERROR(INDEX(Data!AJ$9:AJ$1273,MATCH($M142,Data!$K$9:$K$1273,0)),"")</f>
        <v/>
      </c>
      <c r="Y142" s="224" t="str">
        <f>IFERROR(INDEX(Data!AK$9:AK$1273,MATCH($M142,Data!$K$9:$K$1273,0)),"")</f>
        <v/>
      </c>
      <c r="Z142" s="224" t="str">
        <f>IFERROR(INDEX(Data!AL$9:AL$1273,MATCH($M142,Data!$K$9:$K$1273,0)),"")</f>
        <v/>
      </c>
      <c r="AA142" s="224" t="str">
        <f>IFERROR(INDEX(Data!AM$9:AM$1273,MATCH($M142,Data!$K$9:$K$1273,0)),"")</f>
        <v/>
      </c>
      <c r="AB142" s="224" t="str">
        <f>IFERROR(INDEX(Data!AN$9:AN$1273,MATCH($M142,Data!$K$9:$K$1273,0)),"")</f>
        <v/>
      </c>
      <c r="AC142" s="225" t="str">
        <f>IFERROR(INDEX(Data!BY$9:BY$1273,MATCH($M142,Data!$K$9:$K$1273,0)),"")</f>
        <v/>
      </c>
      <c r="AD142" s="225" t="str">
        <f>IFERROR(INDEX(Data!BZ$9:BZ$1273,MATCH($M142,Data!$K$9:$K$1273,0)),"")</f>
        <v/>
      </c>
      <c r="AE142" s="225" t="str">
        <f>IFERROR(INDEX(Data!CA$9:CA$1273,MATCH($M142,Data!$K$9:$K$1273,0)),"")</f>
        <v/>
      </c>
      <c r="AF142" s="225" t="str">
        <f>IFERROR(INDEX(Data!CB$9:CB$1273,MATCH($M142,Data!$K$9:$K$1273,0)),"")</f>
        <v/>
      </c>
      <c r="AG142" s="225" t="str">
        <f>IFERROR(INDEX(Data!CC$9:CC$1273,MATCH($M142,Data!$K$9:$K$1273,0)),"")</f>
        <v/>
      </c>
      <c r="AH142" s="225" t="str">
        <f>IFERROR(INDEX(Data!CD$9:CD$1273,MATCH($M142,Data!$K$9:$K$1273,0)),"")</f>
        <v/>
      </c>
      <c r="AI142" s="225" t="str">
        <f>IFERROR(INDEX(Data!CE$9:CE$1273,MATCH($M142,Data!$K$9:$K$1273,0)),"")</f>
        <v/>
      </c>
      <c r="AJ142" s="225" t="str">
        <f>IFERROR(INDEX(Data!CF$9:CF$1273,MATCH($M142,Data!$K$9:$K$1273,0)),"")</f>
        <v/>
      </c>
      <c r="AK142" s="225" t="str">
        <f>IFERROR(INDEX(Data!CG$9:CG$1273,MATCH($M142,Data!$K$9:$K$1273,0)),"")</f>
        <v/>
      </c>
      <c r="AL142" s="225" t="str">
        <f>IFERROR(INDEX(Data!CH$9:CH$1273,MATCH($M142,Data!$K$9:$K$1273,0)),"")</f>
        <v/>
      </c>
      <c r="AM142" s="225" t="str">
        <f>IFERROR(INDEX(Data!CI$9:CI$1273,MATCH($M142,Data!$K$9:$K$1273,0)),"")</f>
        <v/>
      </c>
      <c r="AN142" s="225" t="str">
        <f>IFERROR(INDEX(Data!CJ$9:CJ$1273,MATCH($M142,Data!$K$9:$K$1273,0)),"")</f>
        <v/>
      </c>
      <c r="AO142" s="225" t="str">
        <f>IFERROR(INDEX(Data!CK$9:CK$1273,MATCH($M142,Data!$K$9:$K$1273,0)),"")</f>
        <v/>
      </c>
      <c r="AP142" s="225" t="str">
        <f>IFERROR(INDEX(Data!CL$9:CL$1273,MATCH($M142,Data!$K$9:$K$1273,0)),"")</f>
        <v/>
      </c>
      <c r="AQ142" s="225" t="str">
        <f>IFERROR(INDEX(Data!CM$9:CM$1273,MATCH($M142,Data!$K$9:$K$1273,0)),"")</f>
        <v/>
      </c>
      <c r="AR142" s="225" t="str">
        <f>IFERROR(INDEX(Data!CN$9:CN$1273,MATCH($M142,Data!$K$9:$K$1273,0)),"")</f>
        <v/>
      </c>
      <c r="AS142" s="225" t="str">
        <f>IFERROR(INDEX(Data!CO$9:CO$1273,MATCH($M142,Data!$K$9:$K$1273,0)),"")</f>
        <v/>
      </c>
      <c r="AT142" s="225" t="str">
        <f>IFERROR(INDEX(Data!CP$9:CP$1273,MATCH($M142,Data!$K$9:$K$1273,0)),"")</f>
        <v/>
      </c>
      <c r="AU142" s="225" t="str">
        <f>IFERROR(INDEX(Data!CQ$9:CQ$1273,MATCH($M142,Data!$K$9:$K$1273,0)),"")</f>
        <v/>
      </c>
      <c r="AV142" s="225" t="str">
        <f>IFERROR(INDEX(Data!CR$9:CR$1273,MATCH($M142,Data!$K$9:$K$1273,0)),"")</f>
        <v/>
      </c>
      <c r="AW142" s="225" t="str">
        <f>IFERROR(INDEX(Data!CS$9:CS$1273,MATCH($M142,Data!$K$9:$K$1273,0)),"")</f>
        <v/>
      </c>
      <c r="AX142" s="225" t="str">
        <f>IFERROR(INDEX(Data!CT$9:CT$1273,MATCH($M142,Data!$K$9:$K$1273,0)),"")</f>
        <v/>
      </c>
      <c r="AY142" s="225" t="str">
        <f>IFERROR(INDEX(Data!CU$9:CU$1273,MATCH($M142,Data!$K$9:$K$1273,0)),"")</f>
        <v/>
      </c>
      <c r="AZ142" s="225" t="str">
        <f>IFERROR(INDEX(Data!CV$9:CV$1273,MATCH($M142,Data!$K$9:$K$1273,0)),"")</f>
        <v/>
      </c>
      <c r="BA142" s="225" t="str">
        <f>IFERROR(INDEX(Data!CX$9:CX$1273,MATCH($M142,Data!$K$9:$K$1273,0)),"")</f>
        <v/>
      </c>
      <c r="BB142" s="225" t="str">
        <f>IFERROR(INDEX(Data!CY$9:CY$1273,MATCH($M142,Data!$K$9:$K$1273,0)),"")</f>
        <v/>
      </c>
      <c r="BC142" s="225" t="str">
        <f>IFERROR(INDEX(Data!CZ$9:CZ$1273,MATCH($M142,Data!$K$9:$K$1273,0)),"")</f>
        <v/>
      </c>
      <c r="BD142" s="225" t="str">
        <f>IFERROR(INDEX(Data!DA$9:DA$1273,MATCH($M142,Data!$K$9:$K$1273,0)),"")</f>
        <v/>
      </c>
      <c r="BE142" s="225" t="str">
        <f>IFERROR(INDEX(Data!DB$9:DB$1273,MATCH($M142,Data!$K$9:$K$1273,0)),"")</f>
        <v/>
      </c>
      <c r="BF142" s="225" t="str">
        <f>IFERROR(INDEX(Data!DC$9:DC$1273,MATCH($M142,Data!$K$9:$K$1273,0)),"")</f>
        <v/>
      </c>
      <c r="BG142" s="225" t="str">
        <f>IFERROR(INDEX(Data!DD$9:DD$1273,MATCH($M142,Data!$K$9:$K$1273,0)),"")</f>
        <v/>
      </c>
      <c r="BH142" s="225" t="str">
        <f>IFERROR(INDEX(Data!DE$9:DE$1273,MATCH($M142,Data!$K$9:$K$1273,0)),"")</f>
        <v/>
      </c>
      <c r="BI142" s="225" t="str">
        <f>IFERROR(INDEX(Data!DF$9:DF$1273,MATCH($M142,Data!$K$9:$K$1273,0)),"")</f>
        <v/>
      </c>
      <c r="BJ142" s="225" t="str">
        <f>IFERROR(INDEX(Data!DG$9:DG$1273,MATCH($M142,Data!$K$9:$K$1273,0)),"")</f>
        <v/>
      </c>
      <c r="BK142" s="225" t="str">
        <f>IFERROR(INDEX(Data!DH$9:DH$1273,MATCH($M142,Data!$K$9:$K$1273,0)),"")</f>
        <v/>
      </c>
      <c r="BL142" s="225" t="str">
        <f>IFERROR(INDEX(Data!DI$9:DI$1273,MATCH($M142,Data!$K$9:$K$1273,0)),"")</f>
        <v/>
      </c>
      <c r="BM142" s="225" t="str">
        <f>IFERROR(INDEX(Data!DJ$9:DJ$1273,MATCH($M142,Data!$K$9:$K$1273,0)),"")</f>
        <v/>
      </c>
      <c r="BN142" s="225" t="str">
        <f>IFERROR(INDEX(Data!DK$9:DK$1273,MATCH($M142,Data!$K$9:$K$1273,0)),"")</f>
        <v/>
      </c>
      <c r="BO142" s="225" t="str">
        <f>IFERROR(INDEX(Data!DL$9:DL$1273,MATCH($M142,Data!$K$9:$K$1273,0)),"")</f>
        <v/>
      </c>
      <c r="BP142" s="243" t="str">
        <f t="shared" si="17"/>
        <v/>
      </c>
      <c r="BQ142" s="225" t="str">
        <f t="shared" si="18"/>
        <v xml:space="preserve"> </v>
      </c>
      <c r="BR142" s="225" t="str">
        <f t="shared" si="19"/>
        <v/>
      </c>
      <c r="BS142" s="225" t="str">
        <f>IFERROR(INDEX(Data!$DO$9:$DO$1273,MATCH('Your recommendation'!BR142,Data!$DN$9:$DN$1273,0)),"")</f>
        <v/>
      </c>
    </row>
    <row r="143" spans="2:71" ht="15.6" customHeight="1">
      <c r="B143" s="222" t="str">
        <f t="shared" si="20"/>
        <v/>
      </c>
      <c r="C143" s="223"/>
      <c r="D143" s="225" t="str">
        <f>IFERROR(INDEX(Data!BR$9:BR$1273,MATCH($M143,Data!$K$9:$K$1273,0)),"")</f>
        <v/>
      </c>
      <c r="E143" s="225" t="str">
        <f>IFERROR(INDEX(Data!BS$9:BS$1273,MATCH($M143,Data!$K$9:$K$1273,0)),"")</f>
        <v/>
      </c>
      <c r="F143" s="225" t="str">
        <f>IFERROR(INDEX(Data!DM$9:DM$1273,MATCH($M143,Data!$K$9:$K$1273,0)),"")</f>
        <v/>
      </c>
      <c r="G143" s="225" t="str">
        <f>IFERROR(INDEX(Data!BV$9:BV$1273,MATCH($M143,Data!$K$9:$K$1273,0)),"")</f>
        <v/>
      </c>
      <c r="H143" s="225" t="str">
        <f>IFERROR(INDEX(Data!BW$9:BW$1273,MATCH($M143,Data!$K$9:$K$1273,0)),"")</f>
        <v/>
      </c>
      <c r="I143" s="225" t="str">
        <f>IFERROR(INDEX(Data!BX$9:BX$1273,MATCH($M143,Data!$K$9:$K$1273,0)),"")</f>
        <v/>
      </c>
      <c r="J143" s="225" t="str">
        <f>IFERROR(INDEX(Data!CB$9:CB$1273,MATCH($M143,Data!$K$9:$K$1273,0)),"")</f>
        <v/>
      </c>
      <c r="K143" s="241" t="str">
        <f t="shared" si="15"/>
        <v/>
      </c>
      <c r="L143" s="242" t="str">
        <f t="shared" si="16"/>
        <v/>
      </c>
      <c r="M143" s="224"/>
      <c r="N143" s="224"/>
      <c r="O143" s="224" t="str">
        <f>IFERROR(INDEX(Data!M$9:M$1273,MATCH($M143,Data!$K$9:$K$1273,0)),"")</f>
        <v/>
      </c>
      <c r="P143" s="224" t="str">
        <f>IFERROR(INDEX(Data!N$9:N$1273,MATCH($M143,Data!$K$9:$K$1273,0)),"")</f>
        <v/>
      </c>
      <c r="Q143" s="224" t="str">
        <f>IFERROR(INDEX(Data!O$9:O$1273,MATCH($M143,Data!$K$9:$K$1273,0)),"")</f>
        <v/>
      </c>
      <c r="R143" s="224" t="str">
        <f>IFERROR(INDEX(Data!P$9:P$1273,MATCH($M143,Data!$K$9:$K$1273,0)),"")</f>
        <v/>
      </c>
      <c r="S143" s="224" t="str">
        <f>IFERROR(INDEX(Data!S$9:S$1273,MATCH($M143,Data!$K$9:$K$1273,0)),"")</f>
        <v/>
      </c>
      <c r="T143" s="224" t="str">
        <f>IFERROR(INDEX(Data!T$9:T$1273,MATCH($M143,Data!$K$9:$K$1273,0)),"")</f>
        <v/>
      </c>
      <c r="U143" s="224" t="str">
        <f>IFERROR(INDEX(Data!U$9:U$1273,MATCH($M143,Data!$K$9:$K$1273,0)),"")</f>
        <v/>
      </c>
      <c r="V143" s="224" t="str">
        <f>IFERROR(INDEX(Data!V$9:V$1273,MATCH($M143,Data!$K$9:$K$1273,0)),"")</f>
        <v/>
      </c>
      <c r="W143" s="224" t="str">
        <f>IFERROR(INDEX(Data!W$9:W$1273,MATCH($M143,Data!$K$9:$K$1273,0)),"")</f>
        <v/>
      </c>
      <c r="X143" s="224" t="str">
        <f>IFERROR(INDEX(Data!AJ$9:AJ$1273,MATCH($M143,Data!$K$9:$K$1273,0)),"")</f>
        <v/>
      </c>
      <c r="Y143" s="224" t="str">
        <f>IFERROR(INDEX(Data!AK$9:AK$1273,MATCH($M143,Data!$K$9:$K$1273,0)),"")</f>
        <v/>
      </c>
      <c r="Z143" s="224" t="str">
        <f>IFERROR(INDEX(Data!AL$9:AL$1273,MATCH($M143,Data!$K$9:$K$1273,0)),"")</f>
        <v/>
      </c>
      <c r="AA143" s="224" t="str">
        <f>IFERROR(INDEX(Data!AM$9:AM$1273,MATCH($M143,Data!$K$9:$K$1273,0)),"")</f>
        <v/>
      </c>
      <c r="AB143" s="224" t="str">
        <f>IFERROR(INDEX(Data!AN$9:AN$1273,MATCH($M143,Data!$K$9:$K$1273,0)),"")</f>
        <v/>
      </c>
      <c r="AC143" s="225" t="str">
        <f>IFERROR(INDEX(Data!BY$9:BY$1273,MATCH($M143,Data!$K$9:$K$1273,0)),"")</f>
        <v/>
      </c>
      <c r="AD143" s="225" t="str">
        <f>IFERROR(INDEX(Data!BZ$9:BZ$1273,MATCH($M143,Data!$K$9:$K$1273,0)),"")</f>
        <v/>
      </c>
      <c r="AE143" s="225" t="str">
        <f>IFERROR(INDEX(Data!CA$9:CA$1273,MATCH($M143,Data!$K$9:$K$1273,0)),"")</f>
        <v/>
      </c>
      <c r="AF143" s="225" t="str">
        <f>IFERROR(INDEX(Data!CB$9:CB$1273,MATCH($M143,Data!$K$9:$K$1273,0)),"")</f>
        <v/>
      </c>
      <c r="AG143" s="225" t="str">
        <f>IFERROR(INDEX(Data!CC$9:CC$1273,MATCH($M143,Data!$K$9:$K$1273,0)),"")</f>
        <v/>
      </c>
      <c r="AH143" s="225" t="str">
        <f>IFERROR(INDEX(Data!CD$9:CD$1273,MATCH($M143,Data!$K$9:$K$1273,0)),"")</f>
        <v/>
      </c>
      <c r="AI143" s="225" t="str">
        <f>IFERROR(INDEX(Data!CE$9:CE$1273,MATCH($M143,Data!$K$9:$K$1273,0)),"")</f>
        <v/>
      </c>
      <c r="AJ143" s="225" t="str">
        <f>IFERROR(INDEX(Data!CF$9:CF$1273,MATCH($M143,Data!$K$9:$K$1273,0)),"")</f>
        <v/>
      </c>
      <c r="AK143" s="225" t="str">
        <f>IFERROR(INDEX(Data!CG$9:CG$1273,MATCH($M143,Data!$K$9:$K$1273,0)),"")</f>
        <v/>
      </c>
      <c r="AL143" s="225" t="str">
        <f>IFERROR(INDEX(Data!CH$9:CH$1273,MATCH($M143,Data!$K$9:$K$1273,0)),"")</f>
        <v/>
      </c>
      <c r="AM143" s="225" t="str">
        <f>IFERROR(INDEX(Data!CI$9:CI$1273,MATCH($M143,Data!$K$9:$K$1273,0)),"")</f>
        <v/>
      </c>
      <c r="AN143" s="225" t="str">
        <f>IFERROR(INDEX(Data!CJ$9:CJ$1273,MATCH($M143,Data!$K$9:$K$1273,0)),"")</f>
        <v/>
      </c>
      <c r="AO143" s="225" t="str">
        <f>IFERROR(INDEX(Data!CK$9:CK$1273,MATCH($M143,Data!$K$9:$K$1273,0)),"")</f>
        <v/>
      </c>
      <c r="AP143" s="225" t="str">
        <f>IFERROR(INDEX(Data!CL$9:CL$1273,MATCH($M143,Data!$K$9:$K$1273,0)),"")</f>
        <v/>
      </c>
      <c r="AQ143" s="225" t="str">
        <f>IFERROR(INDEX(Data!CM$9:CM$1273,MATCH($M143,Data!$K$9:$K$1273,0)),"")</f>
        <v/>
      </c>
      <c r="AR143" s="225" t="str">
        <f>IFERROR(INDEX(Data!CN$9:CN$1273,MATCH($M143,Data!$K$9:$K$1273,0)),"")</f>
        <v/>
      </c>
      <c r="AS143" s="225" t="str">
        <f>IFERROR(INDEX(Data!CO$9:CO$1273,MATCH($M143,Data!$K$9:$K$1273,0)),"")</f>
        <v/>
      </c>
      <c r="AT143" s="225" t="str">
        <f>IFERROR(INDEX(Data!CP$9:CP$1273,MATCH($M143,Data!$K$9:$K$1273,0)),"")</f>
        <v/>
      </c>
      <c r="AU143" s="225" t="str">
        <f>IFERROR(INDEX(Data!CQ$9:CQ$1273,MATCH($M143,Data!$K$9:$K$1273,0)),"")</f>
        <v/>
      </c>
      <c r="AV143" s="225" t="str">
        <f>IFERROR(INDEX(Data!CR$9:CR$1273,MATCH($M143,Data!$K$9:$K$1273,0)),"")</f>
        <v/>
      </c>
      <c r="AW143" s="225" t="str">
        <f>IFERROR(INDEX(Data!CS$9:CS$1273,MATCH($M143,Data!$K$9:$K$1273,0)),"")</f>
        <v/>
      </c>
      <c r="AX143" s="225" t="str">
        <f>IFERROR(INDEX(Data!CT$9:CT$1273,MATCH($M143,Data!$K$9:$K$1273,0)),"")</f>
        <v/>
      </c>
      <c r="AY143" s="225" t="str">
        <f>IFERROR(INDEX(Data!CU$9:CU$1273,MATCH($M143,Data!$K$9:$K$1273,0)),"")</f>
        <v/>
      </c>
      <c r="AZ143" s="225" t="str">
        <f>IFERROR(INDEX(Data!CV$9:CV$1273,MATCH($M143,Data!$K$9:$K$1273,0)),"")</f>
        <v/>
      </c>
      <c r="BA143" s="225" t="str">
        <f>IFERROR(INDEX(Data!CX$9:CX$1273,MATCH($M143,Data!$K$9:$K$1273,0)),"")</f>
        <v/>
      </c>
      <c r="BB143" s="225" t="str">
        <f>IFERROR(INDEX(Data!CY$9:CY$1273,MATCH($M143,Data!$K$9:$K$1273,0)),"")</f>
        <v/>
      </c>
      <c r="BC143" s="225" t="str">
        <f>IFERROR(INDEX(Data!CZ$9:CZ$1273,MATCH($M143,Data!$K$9:$K$1273,0)),"")</f>
        <v/>
      </c>
      <c r="BD143" s="225" t="str">
        <f>IFERROR(INDEX(Data!DA$9:DA$1273,MATCH($M143,Data!$K$9:$K$1273,0)),"")</f>
        <v/>
      </c>
      <c r="BE143" s="225" t="str">
        <f>IFERROR(INDEX(Data!DB$9:DB$1273,MATCH($M143,Data!$K$9:$K$1273,0)),"")</f>
        <v/>
      </c>
      <c r="BF143" s="225" t="str">
        <f>IFERROR(INDEX(Data!DC$9:DC$1273,MATCH($M143,Data!$K$9:$K$1273,0)),"")</f>
        <v/>
      </c>
      <c r="BG143" s="225" t="str">
        <f>IFERROR(INDEX(Data!DD$9:DD$1273,MATCH($M143,Data!$K$9:$K$1273,0)),"")</f>
        <v/>
      </c>
      <c r="BH143" s="225" t="str">
        <f>IFERROR(INDEX(Data!DE$9:DE$1273,MATCH($M143,Data!$K$9:$K$1273,0)),"")</f>
        <v/>
      </c>
      <c r="BI143" s="225" t="str">
        <f>IFERROR(INDEX(Data!DF$9:DF$1273,MATCH($M143,Data!$K$9:$K$1273,0)),"")</f>
        <v/>
      </c>
      <c r="BJ143" s="225" t="str">
        <f>IFERROR(INDEX(Data!DG$9:DG$1273,MATCH($M143,Data!$K$9:$K$1273,0)),"")</f>
        <v/>
      </c>
      <c r="BK143" s="225" t="str">
        <f>IFERROR(INDEX(Data!DH$9:DH$1273,MATCH($M143,Data!$K$9:$K$1273,0)),"")</f>
        <v/>
      </c>
      <c r="BL143" s="225" t="str">
        <f>IFERROR(INDEX(Data!DI$9:DI$1273,MATCH($M143,Data!$K$9:$K$1273,0)),"")</f>
        <v/>
      </c>
      <c r="BM143" s="225" t="str">
        <f>IFERROR(INDEX(Data!DJ$9:DJ$1273,MATCH($M143,Data!$K$9:$K$1273,0)),"")</f>
        <v/>
      </c>
      <c r="BN143" s="225" t="str">
        <f>IFERROR(INDEX(Data!DK$9:DK$1273,MATCH($M143,Data!$K$9:$K$1273,0)),"")</f>
        <v/>
      </c>
      <c r="BO143" s="225" t="str">
        <f>IFERROR(INDEX(Data!DL$9:DL$1273,MATCH($M143,Data!$K$9:$K$1273,0)),"")</f>
        <v/>
      </c>
      <c r="BP143" s="243" t="str">
        <f t="shared" si="17"/>
        <v/>
      </c>
      <c r="BQ143" s="225" t="str">
        <f t="shared" si="18"/>
        <v xml:space="preserve"> </v>
      </c>
      <c r="BR143" s="225" t="str">
        <f t="shared" si="19"/>
        <v/>
      </c>
      <c r="BS143" s="225" t="str">
        <f>IFERROR(INDEX(Data!$DO$9:$DO$1273,MATCH('Your recommendation'!BR143,Data!$DN$9:$DN$1273,0)),"")</f>
        <v/>
      </c>
    </row>
    <row r="144" spans="2:71" ht="15.6" customHeight="1">
      <c r="B144" s="222" t="str">
        <f t="shared" si="20"/>
        <v/>
      </c>
      <c r="C144" s="223"/>
      <c r="D144" s="225" t="str">
        <f>IFERROR(INDEX(Data!BR$9:BR$1273,MATCH($M144,Data!$K$9:$K$1273,0)),"")</f>
        <v/>
      </c>
      <c r="E144" s="225" t="str">
        <f>IFERROR(INDEX(Data!BS$9:BS$1273,MATCH($M144,Data!$K$9:$K$1273,0)),"")</f>
        <v/>
      </c>
      <c r="F144" s="225" t="str">
        <f>IFERROR(INDEX(Data!DM$9:DM$1273,MATCH($M144,Data!$K$9:$K$1273,0)),"")</f>
        <v/>
      </c>
      <c r="G144" s="225" t="str">
        <f>IFERROR(INDEX(Data!BV$9:BV$1273,MATCH($M144,Data!$K$9:$K$1273,0)),"")</f>
        <v/>
      </c>
      <c r="H144" s="225" t="str">
        <f>IFERROR(INDEX(Data!BW$9:BW$1273,MATCH($M144,Data!$K$9:$K$1273,0)),"")</f>
        <v/>
      </c>
      <c r="I144" s="225" t="str">
        <f>IFERROR(INDEX(Data!BX$9:BX$1273,MATCH($M144,Data!$K$9:$K$1273,0)),"")</f>
        <v/>
      </c>
      <c r="J144" s="225" t="str">
        <f>IFERROR(INDEX(Data!CB$9:CB$1273,MATCH($M144,Data!$K$9:$K$1273,0)),"")</f>
        <v/>
      </c>
      <c r="K144" s="241" t="str">
        <f t="shared" si="15"/>
        <v/>
      </c>
      <c r="L144" s="242" t="str">
        <f t="shared" si="16"/>
        <v/>
      </c>
      <c r="M144" s="224"/>
      <c r="N144" s="224"/>
      <c r="O144" s="224" t="str">
        <f>IFERROR(INDEX(Data!M$9:M$1273,MATCH($M144,Data!$K$9:$K$1273,0)),"")</f>
        <v/>
      </c>
      <c r="P144" s="224" t="str">
        <f>IFERROR(INDEX(Data!N$9:N$1273,MATCH($M144,Data!$K$9:$K$1273,0)),"")</f>
        <v/>
      </c>
      <c r="Q144" s="224" t="str">
        <f>IFERROR(INDEX(Data!O$9:O$1273,MATCH($M144,Data!$K$9:$K$1273,0)),"")</f>
        <v/>
      </c>
      <c r="R144" s="224" t="str">
        <f>IFERROR(INDEX(Data!P$9:P$1273,MATCH($M144,Data!$K$9:$K$1273,0)),"")</f>
        <v/>
      </c>
      <c r="S144" s="224" t="str">
        <f>IFERROR(INDEX(Data!S$9:S$1273,MATCH($M144,Data!$K$9:$K$1273,0)),"")</f>
        <v/>
      </c>
      <c r="T144" s="224" t="str">
        <f>IFERROR(INDEX(Data!T$9:T$1273,MATCH($M144,Data!$K$9:$K$1273,0)),"")</f>
        <v/>
      </c>
      <c r="U144" s="224" t="str">
        <f>IFERROR(INDEX(Data!U$9:U$1273,MATCH($M144,Data!$K$9:$K$1273,0)),"")</f>
        <v/>
      </c>
      <c r="V144" s="224" t="str">
        <f>IFERROR(INDEX(Data!V$9:V$1273,MATCH($M144,Data!$K$9:$K$1273,0)),"")</f>
        <v/>
      </c>
      <c r="W144" s="224" t="str">
        <f>IFERROR(INDEX(Data!W$9:W$1273,MATCH($M144,Data!$K$9:$K$1273,0)),"")</f>
        <v/>
      </c>
      <c r="X144" s="224" t="str">
        <f>IFERROR(INDEX(Data!AJ$9:AJ$1273,MATCH($M144,Data!$K$9:$K$1273,0)),"")</f>
        <v/>
      </c>
      <c r="Y144" s="224" t="str">
        <f>IFERROR(INDEX(Data!AK$9:AK$1273,MATCH($M144,Data!$K$9:$K$1273,0)),"")</f>
        <v/>
      </c>
      <c r="Z144" s="224" t="str">
        <f>IFERROR(INDEX(Data!AL$9:AL$1273,MATCH($M144,Data!$K$9:$K$1273,0)),"")</f>
        <v/>
      </c>
      <c r="AA144" s="224" t="str">
        <f>IFERROR(INDEX(Data!AM$9:AM$1273,MATCH($M144,Data!$K$9:$K$1273,0)),"")</f>
        <v/>
      </c>
      <c r="AB144" s="224" t="str">
        <f>IFERROR(INDEX(Data!AN$9:AN$1273,MATCH($M144,Data!$K$9:$K$1273,0)),"")</f>
        <v/>
      </c>
      <c r="AC144" s="225" t="str">
        <f>IFERROR(INDEX(Data!BY$9:BY$1273,MATCH($M144,Data!$K$9:$K$1273,0)),"")</f>
        <v/>
      </c>
      <c r="AD144" s="225" t="str">
        <f>IFERROR(INDEX(Data!BZ$9:BZ$1273,MATCH($M144,Data!$K$9:$K$1273,0)),"")</f>
        <v/>
      </c>
      <c r="AE144" s="225" t="str">
        <f>IFERROR(INDEX(Data!CA$9:CA$1273,MATCH($M144,Data!$K$9:$K$1273,0)),"")</f>
        <v/>
      </c>
      <c r="AF144" s="225" t="str">
        <f>IFERROR(INDEX(Data!CB$9:CB$1273,MATCH($M144,Data!$K$9:$K$1273,0)),"")</f>
        <v/>
      </c>
      <c r="AG144" s="225" t="str">
        <f>IFERROR(INDEX(Data!CC$9:CC$1273,MATCH($M144,Data!$K$9:$K$1273,0)),"")</f>
        <v/>
      </c>
      <c r="AH144" s="225" t="str">
        <f>IFERROR(INDEX(Data!CD$9:CD$1273,MATCH($M144,Data!$K$9:$K$1273,0)),"")</f>
        <v/>
      </c>
      <c r="AI144" s="225" t="str">
        <f>IFERROR(INDEX(Data!CE$9:CE$1273,MATCH($M144,Data!$K$9:$K$1273,0)),"")</f>
        <v/>
      </c>
      <c r="AJ144" s="225" t="str">
        <f>IFERROR(INDEX(Data!CF$9:CF$1273,MATCH($M144,Data!$K$9:$K$1273,0)),"")</f>
        <v/>
      </c>
      <c r="AK144" s="225" t="str">
        <f>IFERROR(INDEX(Data!CG$9:CG$1273,MATCH($M144,Data!$K$9:$K$1273,0)),"")</f>
        <v/>
      </c>
      <c r="AL144" s="225" t="str">
        <f>IFERROR(INDEX(Data!CH$9:CH$1273,MATCH($M144,Data!$K$9:$K$1273,0)),"")</f>
        <v/>
      </c>
      <c r="AM144" s="225" t="str">
        <f>IFERROR(INDEX(Data!CI$9:CI$1273,MATCH($M144,Data!$K$9:$K$1273,0)),"")</f>
        <v/>
      </c>
      <c r="AN144" s="225" t="str">
        <f>IFERROR(INDEX(Data!CJ$9:CJ$1273,MATCH($M144,Data!$K$9:$K$1273,0)),"")</f>
        <v/>
      </c>
      <c r="AO144" s="225" t="str">
        <f>IFERROR(INDEX(Data!CK$9:CK$1273,MATCH($M144,Data!$K$9:$K$1273,0)),"")</f>
        <v/>
      </c>
      <c r="AP144" s="225" t="str">
        <f>IFERROR(INDEX(Data!CL$9:CL$1273,MATCH($M144,Data!$K$9:$K$1273,0)),"")</f>
        <v/>
      </c>
      <c r="AQ144" s="225" t="str">
        <f>IFERROR(INDEX(Data!CM$9:CM$1273,MATCH($M144,Data!$K$9:$K$1273,0)),"")</f>
        <v/>
      </c>
      <c r="AR144" s="225" t="str">
        <f>IFERROR(INDEX(Data!CN$9:CN$1273,MATCH($M144,Data!$K$9:$K$1273,0)),"")</f>
        <v/>
      </c>
      <c r="AS144" s="225" t="str">
        <f>IFERROR(INDEX(Data!CO$9:CO$1273,MATCH($M144,Data!$K$9:$K$1273,0)),"")</f>
        <v/>
      </c>
      <c r="AT144" s="225" t="str">
        <f>IFERROR(INDEX(Data!CP$9:CP$1273,MATCH($M144,Data!$K$9:$K$1273,0)),"")</f>
        <v/>
      </c>
      <c r="AU144" s="225" t="str">
        <f>IFERROR(INDEX(Data!CQ$9:CQ$1273,MATCH($M144,Data!$K$9:$K$1273,0)),"")</f>
        <v/>
      </c>
      <c r="AV144" s="225" t="str">
        <f>IFERROR(INDEX(Data!CR$9:CR$1273,MATCH($M144,Data!$K$9:$K$1273,0)),"")</f>
        <v/>
      </c>
      <c r="AW144" s="225" t="str">
        <f>IFERROR(INDEX(Data!CS$9:CS$1273,MATCH($M144,Data!$K$9:$K$1273,0)),"")</f>
        <v/>
      </c>
      <c r="AX144" s="225" t="str">
        <f>IFERROR(INDEX(Data!CT$9:CT$1273,MATCH($M144,Data!$K$9:$K$1273,0)),"")</f>
        <v/>
      </c>
      <c r="AY144" s="225" t="str">
        <f>IFERROR(INDEX(Data!CU$9:CU$1273,MATCH($M144,Data!$K$9:$K$1273,0)),"")</f>
        <v/>
      </c>
      <c r="AZ144" s="225" t="str">
        <f>IFERROR(INDEX(Data!CV$9:CV$1273,MATCH($M144,Data!$K$9:$K$1273,0)),"")</f>
        <v/>
      </c>
      <c r="BA144" s="225" t="str">
        <f>IFERROR(INDEX(Data!CX$9:CX$1273,MATCH($M144,Data!$K$9:$K$1273,0)),"")</f>
        <v/>
      </c>
      <c r="BB144" s="225" t="str">
        <f>IFERROR(INDEX(Data!CY$9:CY$1273,MATCH($M144,Data!$K$9:$K$1273,0)),"")</f>
        <v/>
      </c>
      <c r="BC144" s="225" t="str">
        <f>IFERROR(INDEX(Data!CZ$9:CZ$1273,MATCH($M144,Data!$K$9:$K$1273,0)),"")</f>
        <v/>
      </c>
      <c r="BD144" s="225" t="str">
        <f>IFERROR(INDEX(Data!DA$9:DA$1273,MATCH($M144,Data!$K$9:$K$1273,0)),"")</f>
        <v/>
      </c>
      <c r="BE144" s="225" t="str">
        <f>IFERROR(INDEX(Data!DB$9:DB$1273,MATCH($M144,Data!$K$9:$K$1273,0)),"")</f>
        <v/>
      </c>
      <c r="BF144" s="225" t="str">
        <f>IFERROR(INDEX(Data!DC$9:DC$1273,MATCH($M144,Data!$K$9:$K$1273,0)),"")</f>
        <v/>
      </c>
      <c r="BG144" s="225" t="str">
        <f>IFERROR(INDEX(Data!DD$9:DD$1273,MATCH($M144,Data!$K$9:$K$1273,0)),"")</f>
        <v/>
      </c>
      <c r="BH144" s="225" t="str">
        <f>IFERROR(INDEX(Data!DE$9:DE$1273,MATCH($M144,Data!$K$9:$K$1273,0)),"")</f>
        <v/>
      </c>
      <c r="BI144" s="225" t="str">
        <f>IFERROR(INDEX(Data!DF$9:DF$1273,MATCH($M144,Data!$K$9:$K$1273,0)),"")</f>
        <v/>
      </c>
      <c r="BJ144" s="225" t="str">
        <f>IFERROR(INDEX(Data!DG$9:DG$1273,MATCH($M144,Data!$K$9:$K$1273,0)),"")</f>
        <v/>
      </c>
      <c r="BK144" s="225" t="str">
        <f>IFERROR(INDEX(Data!DH$9:DH$1273,MATCH($M144,Data!$K$9:$K$1273,0)),"")</f>
        <v/>
      </c>
      <c r="BL144" s="225" t="str">
        <f>IFERROR(INDEX(Data!DI$9:DI$1273,MATCH($M144,Data!$K$9:$K$1273,0)),"")</f>
        <v/>
      </c>
      <c r="BM144" s="225" t="str">
        <f>IFERROR(INDEX(Data!DJ$9:DJ$1273,MATCH($M144,Data!$K$9:$K$1273,0)),"")</f>
        <v/>
      </c>
      <c r="BN144" s="225" t="str">
        <f>IFERROR(INDEX(Data!DK$9:DK$1273,MATCH($M144,Data!$K$9:$K$1273,0)),"")</f>
        <v/>
      </c>
      <c r="BO144" s="225" t="str">
        <f>IFERROR(INDEX(Data!DL$9:DL$1273,MATCH($M144,Data!$K$9:$K$1273,0)),"")</f>
        <v/>
      </c>
      <c r="BP144" s="243" t="str">
        <f t="shared" si="17"/>
        <v/>
      </c>
      <c r="BQ144" s="225" t="str">
        <f t="shared" si="18"/>
        <v xml:space="preserve"> </v>
      </c>
      <c r="BR144" s="225" t="str">
        <f t="shared" si="19"/>
        <v/>
      </c>
      <c r="BS144" s="225" t="str">
        <f>IFERROR(INDEX(Data!$DO$9:$DO$1273,MATCH('Your recommendation'!BR144,Data!$DN$9:$DN$1273,0)),"")</f>
        <v/>
      </c>
    </row>
    <row r="145" spans="2:71" ht="15.6" customHeight="1">
      <c r="B145" s="222" t="str">
        <f t="shared" si="20"/>
        <v/>
      </c>
      <c r="C145" s="223"/>
      <c r="D145" s="225" t="str">
        <f>IFERROR(INDEX(Data!BR$9:BR$1273,MATCH($M145,Data!$K$9:$K$1273,0)),"")</f>
        <v/>
      </c>
      <c r="E145" s="225" t="str">
        <f>IFERROR(INDEX(Data!BS$9:BS$1273,MATCH($M145,Data!$K$9:$K$1273,0)),"")</f>
        <v/>
      </c>
      <c r="F145" s="225" t="str">
        <f>IFERROR(INDEX(Data!DM$9:DM$1273,MATCH($M145,Data!$K$9:$K$1273,0)),"")</f>
        <v/>
      </c>
      <c r="G145" s="225" t="str">
        <f>IFERROR(INDEX(Data!BV$9:BV$1273,MATCH($M145,Data!$K$9:$K$1273,0)),"")</f>
        <v/>
      </c>
      <c r="H145" s="225" t="str">
        <f>IFERROR(INDEX(Data!BW$9:BW$1273,MATCH($M145,Data!$K$9:$K$1273,0)),"")</f>
        <v/>
      </c>
      <c r="I145" s="225" t="str">
        <f>IFERROR(INDEX(Data!BX$9:BX$1273,MATCH($M145,Data!$K$9:$K$1273,0)),"")</f>
        <v/>
      </c>
      <c r="J145" s="225" t="str">
        <f>IFERROR(INDEX(Data!CB$9:CB$1273,MATCH($M145,Data!$K$9:$K$1273,0)),"")</f>
        <v/>
      </c>
      <c r="K145" s="241" t="str">
        <f t="shared" si="15"/>
        <v/>
      </c>
      <c r="L145" s="242" t="str">
        <f t="shared" si="16"/>
        <v/>
      </c>
      <c r="M145" s="224"/>
      <c r="N145" s="224"/>
      <c r="O145" s="224" t="str">
        <f>IFERROR(INDEX(Data!M$9:M$1273,MATCH($M145,Data!$K$9:$K$1273,0)),"")</f>
        <v/>
      </c>
      <c r="P145" s="224" t="str">
        <f>IFERROR(INDEX(Data!N$9:N$1273,MATCH($M145,Data!$K$9:$K$1273,0)),"")</f>
        <v/>
      </c>
      <c r="Q145" s="224" t="str">
        <f>IFERROR(INDEX(Data!O$9:O$1273,MATCH($M145,Data!$K$9:$K$1273,0)),"")</f>
        <v/>
      </c>
      <c r="R145" s="224" t="str">
        <f>IFERROR(INDEX(Data!P$9:P$1273,MATCH($M145,Data!$K$9:$K$1273,0)),"")</f>
        <v/>
      </c>
      <c r="S145" s="224" t="str">
        <f>IFERROR(INDEX(Data!S$9:S$1273,MATCH($M145,Data!$K$9:$K$1273,0)),"")</f>
        <v/>
      </c>
      <c r="T145" s="224" t="str">
        <f>IFERROR(INDEX(Data!T$9:T$1273,MATCH($M145,Data!$K$9:$K$1273,0)),"")</f>
        <v/>
      </c>
      <c r="U145" s="224" t="str">
        <f>IFERROR(INDEX(Data!U$9:U$1273,MATCH($M145,Data!$K$9:$K$1273,0)),"")</f>
        <v/>
      </c>
      <c r="V145" s="224" t="str">
        <f>IFERROR(INDEX(Data!V$9:V$1273,MATCH($M145,Data!$K$9:$K$1273,0)),"")</f>
        <v/>
      </c>
      <c r="W145" s="224" t="str">
        <f>IFERROR(INDEX(Data!W$9:W$1273,MATCH($M145,Data!$K$9:$K$1273,0)),"")</f>
        <v/>
      </c>
      <c r="X145" s="224" t="str">
        <f>IFERROR(INDEX(Data!AJ$9:AJ$1273,MATCH($M145,Data!$K$9:$K$1273,0)),"")</f>
        <v/>
      </c>
      <c r="Y145" s="224" t="str">
        <f>IFERROR(INDEX(Data!AK$9:AK$1273,MATCH($M145,Data!$K$9:$K$1273,0)),"")</f>
        <v/>
      </c>
      <c r="Z145" s="224" t="str">
        <f>IFERROR(INDEX(Data!AL$9:AL$1273,MATCH($M145,Data!$K$9:$K$1273,0)),"")</f>
        <v/>
      </c>
      <c r="AA145" s="224" t="str">
        <f>IFERROR(INDEX(Data!AM$9:AM$1273,MATCH($M145,Data!$K$9:$K$1273,0)),"")</f>
        <v/>
      </c>
      <c r="AB145" s="224" t="str">
        <f>IFERROR(INDEX(Data!AN$9:AN$1273,MATCH($M145,Data!$K$9:$K$1273,0)),"")</f>
        <v/>
      </c>
      <c r="AC145" s="225" t="str">
        <f>IFERROR(INDEX(Data!BY$9:BY$1273,MATCH($M145,Data!$K$9:$K$1273,0)),"")</f>
        <v/>
      </c>
      <c r="AD145" s="225" t="str">
        <f>IFERROR(INDEX(Data!BZ$9:BZ$1273,MATCH($M145,Data!$K$9:$K$1273,0)),"")</f>
        <v/>
      </c>
      <c r="AE145" s="225" t="str">
        <f>IFERROR(INDEX(Data!CA$9:CA$1273,MATCH($M145,Data!$K$9:$K$1273,0)),"")</f>
        <v/>
      </c>
      <c r="AF145" s="225" t="str">
        <f>IFERROR(INDEX(Data!CB$9:CB$1273,MATCH($M145,Data!$K$9:$K$1273,0)),"")</f>
        <v/>
      </c>
      <c r="AG145" s="225" t="str">
        <f>IFERROR(INDEX(Data!CC$9:CC$1273,MATCH($M145,Data!$K$9:$K$1273,0)),"")</f>
        <v/>
      </c>
      <c r="AH145" s="225" t="str">
        <f>IFERROR(INDEX(Data!CD$9:CD$1273,MATCH($M145,Data!$K$9:$K$1273,0)),"")</f>
        <v/>
      </c>
      <c r="AI145" s="225" t="str">
        <f>IFERROR(INDEX(Data!CE$9:CE$1273,MATCH($M145,Data!$K$9:$K$1273,0)),"")</f>
        <v/>
      </c>
      <c r="AJ145" s="225" t="str">
        <f>IFERROR(INDEX(Data!CF$9:CF$1273,MATCH($M145,Data!$K$9:$K$1273,0)),"")</f>
        <v/>
      </c>
      <c r="AK145" s="225" t="str">
        <f>IFERROR(INDEX(Data!CG$9:CG$1273,MATCH($M145,Data!$K$9:$K$1273,0)),"")</f>
        <v/>
      </c>
      <c r="AL145" s="225" t="str">
        <f>IFERROR(INDEX(Data!CH$9:CH$1273,MATCH($M145,Data!$K$9:$K$1273,0)),"")</f>
        <v/>
      </c>
      <c r="AM145" s="225" t="str">
        <f>IFERROR(INDEX(Data!CI$9:CI$1273,MATCH($M145,Data!$K$9:$K$1273,0)),"")</f>
        <v/>
      </c>
      <c r="AN145" s="225" t="str">
        <f>IFERROR(INDEX(Data!CJ$9:CJ$1273,MATCH($M145,Data!$K$9:$K$1273,0)),"")</f>
        <v/>
      </c>
      <c r="AO145" s="225" t="str">
        <f>IFERROR(INDEX(Data!CK$9:CK$1273,MATCH($M145,Data!$K$9:$K$1273,0)),"")</f>
        <v/>
      </c>
      <c r="AP145" s="225" t="str">
        <f>IFERROR(INDEX(Data!CL$9:CL$1273,MATCH($M145,Data!$K$9:$K$1273,0)),"")</f>
        <v/>
      </c>
      <c r="AQ145" s="225" t="str">
        <f>IFERROR(INDEX(Data!CM$9:CM$1273,MATCH($M145,Data!$K$9:$K$1273,0)),"")</f>
        <v/>
      </c>
      <c r="AR145" s="225" t="str">
        <f>IFERROR(INDEX(Data!CN$9:CN$1273,MATCH($M145,Data!$K$9:$K$1273,0)),"")</f>
        <v/>
      </c>
      <c r="AS145" s="225" t="str">
        <f>IFERROR(INDEX(Data!CO$9:CO$1273,MATCH($M145,Data!$K$9:$K$1273,0)),"")</f>
        <v/>
      </c>
      <c r="AT145" s="225" t="str">
        <f>IFERROR(INDEX(Data!CP$9:CP$1273,MATCH($M145,Data!$K$9:$K$1273,0)),"")</f>
        <v/>
      </c>
      <c r="AU145" s="225" t="str">
        <f>IFERROR(INDEX(Data!CQ$9:CQ$1273,MATCH($M145,Data!$K$9:$K$1273,0)),"")</f>
        <v/>
      </c>
      <c r="AV145" s="225" t="str">
        <f>IFERROR(INDEX(Data!CR$9:CR$1273,MATCH($M145,Data!$K$9:$K$1273,0)),"")</f>
        <v/>
      </c>
      <c r="AW145" s="225" t="str">
        <f>IFERROR(INDEX(Data!CS$9:CS$1273,MATCH($M145,Data!$K$9:$K$1273,0)),"")</f>
        <v/>
      </c>
      <c r="AX145" s="225" t="str">
        <f>IFERROR(INDEX(Data!CT$9:CT$1273,MATCH($M145,Data!$K$9:$K$1273,0)),"")</f>
        <v/>
      </c>
      <c r="AY145" s="225" t="str">
        <f>IFERROR(INDEX(Data!CU$9:CU$1273,MATCH($M145,Data!$K$9:$K$1273,0)),"")</f>
        <v/>
      </c>
      <c r="AZ145" s="225" t="str">
        <f>IFERROR(INDEX(Data!CV$9:CV$1273,MATCH($M145,Data!$K$9:$K$1273,0)),"")</f>
        <v/>
      </c>
      <c r="BA145" s="225" t="str">
        <f>IFERROR(INDEX(Data!CX$9:CX$1273,MATCH($M145,Data!$K$9:$K$1273,0)),"")</f>
        <v/>
      </c>
      <c r="BB145" s="225" t="str">
        <f>IFERROR(INDEX(Data!CY$9:CY$1273,MATCH($M145,Data!$K$9:$K$1273,0)),"")</f>
        <v/>
      </c>
      <c r="BC145" s="225" t="str">
        <f>IFERROR(INDEX(Data!CZ$9:CZ$1273,MATCH($M145,Data!$K$9:$K$1273,0)),"")</f>
        <v/>
      </c>
      <c r="BD145" s="225" t="str">
        <f>IFERROR(INDEX(Data!DA$9:DA$1273,MATCH($M145,Data!$K$9:$K$1273,0)),"")</f>
        <v/>
      </c>
      <c r="BE145" s="225" t="str">
        <f>IFERROR(INDEX(Data!DB$9:DB$1273,MATCH($M145,Data!$K$9:$K$1273,0)),"")</f>
        <v/>
      </c>
      <c r="BF145" s="225" t="str">
        <f>IFERROR(INDEX(Data!DC$9:DC$1273,MATCH($M145,Data!$K$9:$K$1273,0)),"")</f>
        <v/>
      </c>
      <c r="BG145" s="225" t="str">
        <f>IFERROR(INDEX(Data!DD$9:DD$1273,MATCH($M145,Data!$K$9:$K$1273,0)),"")</f>
        <v/>
      </c>
      <c r="BH145" s="225" t="str">
        <f>IFERROR(INDEX(Data!DE$9:DE$1273,MATCH($M145,Data!$K$9:$K$1273,0)),"")</f>
        <v/>
      </c>
      <c r="BI145" s="225" t="str">
        <f>IFERROR(INDEX(Data!DF$9:DF$1273,MATCH($M145,Data!$K$9:$K$1273,0)),"")</f>
        <v/>
      </c>
      <c r="BJ145" s="225" t="str">
        <f>IFERROR(INDEX(Data!DG$9:DG$1273,MATCH($M145,Data!$K$9:$K$1273,0)),"")</f>
        <v/>
      </c>
      <c r="BK145" s="225" t="str">
        <f>IFERROR(INDEX(Data!DH$9:DH$1273,MATCH($M145,Data!$K$9:$K$1273,0)),"")</f>
        <v/>
      </c>
      <c r="BL145" s="225" t="str">
        <f>IFERROR(INDEX(Data!DI$9:DI$1273,MATCH($M145,Data!$K$9:$K$1273,0)),"")</f>
        <v/>
      </c>
      <c r="BM145" s="225" t="str">
        <f>IFERROR(INDEX(Data!DJ$9:DJ$1273,MATCH($M145,Data!$K$9:$K$1273,0)),"")</f>
        <v/>
      </c>
      <c r="BN145" s="225" t="str">
        <f>IFERROR(INDEX(Data!DK$9:DK$1273,MATCH($M145,Data!$K$9:$K$1273,0)),"")</f>
        <v/>
      </c>
      <c r="BO145" s="225" t="str">
        <f>IFERROR(INDEX(Data!DL$9:DL$1273,MATCH($M145,Data!$K$9:$K$1273,0)),"")</f>
        <v/>
      </c>
      <c r="BP145" s="243" t="str">
        <f t="shared" si="17"/>
        <v/>
      </c>
      <c r="BQ145" s="225" t="str">
        <f t="shared" si="18"/>
        <v xml:space="preserve"> </v>
      </c>
      <c r="BR145" s="225" t="str">
        <f t="shared" si="19"/>
        <v/>
      </c>
      <c r="BS145" s="225" t="str">
        <f>IFERROR(INDEX(Data!$DO$9:$DO$1273,MATCH('Your recommendation'!BR145,Data!$DN$9:$DN$1273,0)),"")</f>
        <v/>
      </c>
    </row>
    <row r="146" spans="2:71" ht="15.6" customHeight="1">
      <c r="B146" s="222" t="str">
        <f t="shared" si="20"/>
        <v/>
      </c>
      <c r="C146" s="223"/>
      <c r="D146" s="225" t="str">
        <f>IFERROR(INDEX(Data!BR$9:BR$1273,MATCH($M146,Data!$K$9:$K$1273,0)),"")</f>
        <v/>
      </c>
      <c r="E146" s="225" t="str">
        <f>IFERROR(INDEX(Data!BS$9:BS$1273,MATCH($M146,Data!$K$9:$K$1273,0)),"")</f>
        <v/>
      </c>
      <c r="F146" s="225" t="str">
        <f>IFERROR(INDEX(Data!DM$9:DM$1273,MATCH($M146,Data!$K$9:$K$1273,0)),"")</f>
        <v/>
      </c>
      <c r="G146" s="225" t="str">
        <f>IFERROR(INDEX(Data!BV$9:BV$1273,MATCH($M146,Data!$K$9:$K$1273,0)),"")</f>
        <v/>
      </c>
      <c r="H146" s="225" t="str">
        <f>IFERROR(INDEX(Data!BW$9:BW$1273,MATCH($M146,Data!$K$9:$K$1273,0)),"")</f>
        <v/>
      </c>
      <c r="I146" s="225" t="str">
        <f>IFERROR(INDEX(Data!BX$9:BX$1273,MATCH($M146,Data!$K$9:$K$1273,0)),"")</f>
        <v/>
      </c>
      <c r="J146" s="225" t="str">
        <f>IFERROR(INDEX(Data!CB$9:CB$1273,MATCH($M146,Data!$K$9:$K$1273,0)),"")</f>
        <v/>
      </c>
      <c r="K146" s="241" t="str">
        <f t="shared" si="15"/>
        <v/>
      </c>
      <c r="L146" s="242" t="str">
        <f t="shared" si="16"/>
        <v/>
      </c>
      <c r="M146" s="224"/>
      <c r="N146" s="224"/>
      <c r="O146" s="224" t="str">
        <f>IFERROR(INDEX(Data!M$9:M$1273,MATCH($M146,Data!$K$9:$K$1273,0)),"")</f>
        <v/>
      </c>
      <c r="P146" s="224" t="str">
        <f>IFERROR(INDEX(Data!N$9:N$1273,MATCH($M146,Data!$K$9:$K$1273,0)),"")</f>
        <v/>
      </c>
      <c r="Q146" s="224" t="str">
        <f>IFERROR(INDEX(Data!O$9:O$1273,MATCH($M146,Data!$K$9:$K$1273,0)),"")</f>
        <v/>
      </c>
      <c r="R146" s="224" t="str">
        <f>IFERROR(INDEX(Data!P$9:P$1273,MATCH($M146,Data!$K$9:$K$1273,0)),"")</f>
        <v/>
      </c>
      <c r="S146" s="224" t="str">
        <f>IFERROR(INDEX(Data!S$9:S$1273,MATCH($M146,Data!$K$9:$K$1273,0)),"")</f>
        <v/>
      </c>
      <c r="T146" s="224" t="str">
        <f>IFERROR(INDEX(Data!T$9:T$1273,MATCH($M146,Data!$K$9:$K$1273,0)),"")</f>
        <v/>
      </c>
      <c r="U146" s="224" t="str">
        <f>IFERROR(INDEX(Data!U$9:U$1273,MATCH($M146,Data!$K$9:$K$1273,0)),"")</f>
        <v/>
      </c>
      <c r="V146" s="224" t="str">
        <f>IFERROR(INDEX(Data!V$9:V$1273,MATCH($M146,Data!$K$9:$K$1273,0)),"")</f>
        <v/>
      </c>
      <c r="W146" s="224" t="str">
        <f>IFERROR(INDEX(Data!W$9:W$1273,MATCH($M146,Data!$K$9:$K$1273,0)),"")</f>
        <v/>
      </c>
      <c r="X146" s="224" t="str">
        <f>IFERROR(INDEX(Data!AJ$9:AJ$1273,MATCH($M146,Data!$K$9:$K$1273,0)),"")</f>
        <v/>
      </c>
      <c r="Y146" s="224" t="str">
        <f>IFERROR(INDEX(Data!AK$9:AK$1273,MATCH($M146,Data!$K$9:$K$1273,0)),"")</f>
        <v/>
      </c>
      <c r="Z146" s="224" t="str">
        <f>IFERROR(INDEX(Data!AL$9:AL$1273,MATCH($M146,Data!$K$9:$K$1273,0)),"")</f>
        <v/>
      </c>
      <c r="AA146" s="224" t="str">
        <f>IFERROR(INDEX(Data!AM$9:AM$1273,MATCH($M146,Data!$K$9:$K$1273,0)),"")</f>
        <v/>
      </c>
      <c r="AB146" s="224" t="str">
        <f>IFERROR(INDEX(Data!AN$9:AN$1273,MATCH($M146,Data!$K$9:$K$1273,0)),"")</f>
        <v/>
      </c>
      <c r="AC146" s="225" t="str">
        <f>IFERROR(INDEX(Data!BY$9:BY$1273,MATCH($M146,Data!$K$9:$K$1273,0)),"")</f>
        <v/>
      </c>
      <c r="AD146" s="225" t="str">
        <f>IFERROR(INDEX(Data!BZ$9:BZ$1273,MATCH($M146,Data!$K$9:$K$1273,0)),"")</f>
        <v/>
      </c>
      <c r="AE146" s="225" t="str">
        <f>IFERROR(INDEX(Data!CA$9:CA$1273,MATCH($M146,Data!$K$9:$K$1273,0)),"")</f>
        <v/>
      </c>
      <c r="AF146" s="225" t="str">
        <f>IFERROR(INDEX(Data!CB$9:CB$1273,MATCH($M146,Data!$K$9:$K$1273,0)),"")</f>
        <v/>
      </c>
      <c r="AG146" s="225" t="str">
        <f>IFERROR(INDEX(Data!CC$9:CC$1273,MATCH($M146,Data!$K$9:$K$1273,0)),"")</f>
        <v/>
      </c>
      <c r="AH146" s="225" t="str">
        <f>IFERROR(INDEX(Data!CD$9:CD$1273,MATCH($M146,Data!$K$9:$K$1273,0)),"")</f>
        <v/>
      </c>
      <c r="AI146" s="225" t="str">
        <f>IFERROR(INDEX(Data!CE$9:CE$1273,MATCH($M146,Data!$K$9:$K$1273,0)),"")</f>
        <v/>
      </c>
      <c r="AJ146" s="225" t="str">
        <f>IFERROR(INDEX(Data!CF$9:CF$1273,MATCH($M146,Data!$K$9:$K$1273,0)),"")</f>
        <v/>
      </c>
      <c r="AK146" s="225" t="str">
        <f>IFERROR(INDEX(Data!CG$9:CG$1273,MATCH($M146,Data!$K$9:$K$1273,0)),"")</f>
        <v/>
      </c>
      <c r="AL146" s="225" t="str">
        <f>IFERROR(INDEX(Data!CH$9:CH$1273,MATCH($M146,Data!$K$9:$K$1273,0)),"")</f>
        <v/>
      </c>
      <c r="AM146" s="225" t="str">
        <f>IFERROR(INDEX(Data!CI$9:CI$1273,MATCH($M146,Data!$K$9:$K$1273,0)),"")</f>
        <v/>
      </c>
      <c r="AN146" s="225" t="str">
        <f>IFERROR(INDEX(Data!CJ$9:CJ$1273,MATCH($M146,Data!$K$9:$K$1273,0)),"")</f>
        <v/>
      </c>
      <c r="AO146" s="225" t="str">
        <f>IFERROR(INDEX(Data!CK$9:CK$1273,MATCH($M146,Data!$K$9:$K$1273,0)),"")</f>
        <v/>
      </c>
      <c r="AP146" s="225" t="str">
        <f>IFERROR(INDEX(Data!CL$9:CL$1273,MATCH($M146,Data!$K$9:$K$1273,0)),"")</f>
        <v/>
      </c>
      <c r="AQ146" s="225" t="str">
        <f>IFERROR(INDEX(Data!CM$9:CM$1273,MATCH($M146,Data!$K$9:$K$1273,0)),"")</f>
        <v/>
      </c>
      <c r="AR146" s="225" t="str">
        <f>IFERROR(INDEX(Data!CN$9:CN$1273,MATCH($M146,Data!$K$9:$K$1273,0)),"")</f>
        <v/>
      </c>
      <c r="AS146" s="225" t="str">
        <f>IFERROR(INDEX(Data!CO$9:CO$1273,MATCH($M146,Data!$K$9:$K$1273,0)),"")</f>
        <v/>
      </c>
      <c r="AT146" s="225" t="str">
        <f>IFERROR(INDEX(Data!CP$9:CP$1273,MATCH($M146,Data!$K$9:$K$1273,0)),"")</f>
        <v/>
      </c>
      <c r="AU146" s="225" t="str">
        <f>IFERROR(INDEX(Data!CQ$9:CQ$1273,MATCH($M146,Data!$K$9:$K$1273,0)),"")</f>
        <v/>
      </c>
      <c r="AV146" s="225" t="str">
        <f>IFERROR(INDEX(Data!CR$9:CR$1273,MATCH($M146,Data!$K$9:$K$1273,0)),"")</f>
        <v/>
      </c>
      <c r="AW146" s="225" t="str">
        <f>IFERROR(INDEX(Data!CS$9:CS$1273,MATCH($M146,Data!$K$9:$K$1273,0)),"")</f>
        <v/>
      </c>
      <c r="AX146" s="225" t="str">
        <f>IFERROR(INDEX(Data!CT$9:CT$1273,MATCH($M146,Data!$K$9:$K$1273,0)),"")</f>
        <v/>
      </c>
      <c r="AY146" s="225" t="str">
        <f>IFERROR(INDEX(Data!CU$9:CU$1273,MATCH($M146,Data!$K$9:$K$1273,0)),"")</f>
        <v/>
      </c>
      <c r="AZ146" s="225" t="str">
        <f>IFERROR(INDEX(Data!CV$9:CV$1273,MATCH($M146,Data!$K$9:$K$1273,0)),"")</f>
        <v/>
      </c>
      <c r="BA146" s="225" t="str">
        <f>IFERROR(INDEX(Data!CX$9:CX$1273,MATCH($M146,Data!$K$9:$K$1273,0)),"")</f>
        <v/>
      </c>
      <c r="BB146" s="225" t="str">
        <f>IFERROR(INDEX(Data!CY$9:CY$1273,MATCH($M146,Data!$K$9:$K$1273,0)),"")</f>
        <v/>
      </c>
      <c r="BC146" s="225" t="str">
        <f>IFERROR(INDEX(Data!CZ$9:CZ$1273,MATCH($M146,Data!$K$9:$K$1273,0)),"")</f>
        <v/>
      </c>
      <c r="BD146" s="225" t="str">
        <f>IFERROR(INDEX(Data!DA$9:DA$1273,MATCH($M146,Data!$K$9:$K$1273,0)),"")</f>
        <v/>
      </c>
      <c r="BE146" s="225" t="str">
        <f>IFERROR(INDEX(Data!DB$9:DB$1273,MATCH($M146,Data!$K$9:$K$1273,0)),"")</f>
        <v/>
      </c>
      <c r="BF146" s="225" t="str">
        <f>IFERROR(INDEX(Data!DC$9:DC$1273,MATCH($M146,Data!$K$9:$K$1273,0)),"")</f>
        <v/>
      </c>
      <c r="BG146" s="225" t="str">
        <f>IFERROR(INDEX(Data!DD$9:DD$1273,MATCH($M146,Data!$K$9:$K$1273,0)),"")</f>
        <v/>
      </c>
      <c r="BH146" s="225" t="str">
        <f>IFERROR(INDEX(Data!DE$9:DE$1273,MATCH($M146,Data!$K$9:$K$1273,0)),"")</f>
        <v/>
      </c>
      <c r="BI146" s="225" t="str">
        <f>IFERROR(INDEX(Data!DF$9:DF$1273,MATCH($M146,Data!$K$9:$K$1273,0)),"")</f>
        <v/>
      </c>
      <c r="BJ146" s="225" t="str">
        <f>IFERROR(INDEX(Data!DG$9:DG$1273,MATCH($M146,Data!$K$9:$K$1273,0)),"")</f>
        <v/>
      </c>
      <c r="BK146" s="225" t="str">
        <f>IFERROR(INDEX(Data!DH$9:DH$1273,MATCH($M146,Data!$K$9:$K$1273,0)),"")</f>
        <v/>
      </c>
      <c r="BL146" s="225" t="str">
        <f>IFERROR(INDEX(Data!DI$9:DI$1273,MATCH($M146,Data!$K$9:$K$1273,0)),"")</f>
        <v/>
      </c>
      <c r="BM146" s="225" t="str">
        <f>IFERROR(INDEX(Data!DJ$9:DJ$1273,MATCH($M146,Data!$K$9:$K$1273,0)),"")</f>
        <v/>
      </c>
      <c r="BN146" s="225" t="str">
        <f>IFERROR(INDEX(Data!DK$9:DK$1273,MATCH($M146,Data!$K$9:$K$1273,0)),"")</f>
        <v/>
      </c>
      <c r="BO146" s="225" t="str">
        <f>IFERROR(INDEX(Data!DL$9:DL$1273,MATCH($M146,Data!$K$9:$K$1273,0)),"")</f>
        <v/>
      </c>
      <c r="BP146" s="243" t="str">
        <f t="shared" si="17"/>
        <v/>
      </c>
      <c r="BQ146" s="225" t="str">
        <f t="shared" si="18"/>
        <v xml:space="preserve"> </v>
      </c>
      <c r="BR146" s="225" t="str">
        <f t="shared" si="19"/>
        <v/>
      </c>
      <c r="BS146" s="225" t="str">
        <f>IFERROR(INDEX(Data!$DO$9:$DO$1273,MATCH('Your recommendation'!BR146,Data!$DN$9:$DN$1273,0)),"")</f>
        <v/>
      </c>
    </row>
    <row r="147" spans="2:71" ht="15.6" customHeight="1">
      <c r="B147" s="222" t="str">
        <f t="shared" si="20"/>
        <v/>
      </c>
      <c r="C147" s="223"/>
      <c r="D147" s="225" t="str">
        <f>IFERROR(INDEX(Data!BR$9:BR$1273,MATCH($M147,Data!$K$9:$K$1273,0)),"")</f>
        <v/>
      </c>
      <c r="E147" s="225" t="str">
        <f>IFERROR(INDEX(Data!BS$9:BS$1273,MATCH($M147,Data!$K$9:$K$1273,0)),"")</f>
        <v/>
      </c>
      <c r="F147" s="225" t="str">
        <f>IFERROR(INDEX(Data!DM$9:DM$1273,MATCH($M147,Data!$K$9:$K$1273,0)),"")</f>
        <v/>
      </c>
      <c r="G147" s="225" t="str">
        <f>IFERROR(INDEX(Data!BV$9:BV$1273,MATCH($M147,Data!$K$9:$K$1273,0)),"")</f>
        <v/>
      </c>
      <c r="H147" s="225" t="str">
        <f>IFERROR(INDEX(Data!BW$9:BW$1273,MATCH($M147,Data!$K$9:$K$1273,0)),"")</f>
        <v/>
      </c>
      <c r="I147" s="225" t="str">
        <f>IFERROR(INDEX(Data!BX$9:BX$1273,MATCH($M147,Data!$K$9:$K$1273,0)),"")</f>
        <v/>
      </c>
      <c r="J147" s="225" t="str">
        <f>IFERROR(INDEX(Data!CB$9:CB$1273,MATCH($M147,Data!$K$9:$K$1273,0)),"")</f>
        <v/>
      </c>
      <c r="K147" s="241" t="str">
        <f t="shared" si="15"/>
        <v/>
      </c>
      <c r="L147" s="242" t="str">
        <f t="shared" si="16"/>
        <v/>
      </c>
      <c r="M147" s="224"/>
      <c r="N147" s="224"/>
      <c r="O147" s="224" t="str">
        <f>IFERROR(INDEX(Data!M$9:M$1273,MATCH($M147,Data!$K$9:$K$1273,0)),"")</f>
        <v/>
      </c>
      <c r="P147" s="224" t="str">
        <f>IFERROR(INDEX(Data!N$9:N$1273,MATCH($M147,Data!$K$9:$K$1273,0)),"")</f>
        <v/>
      </c>
      <c r="Q147" s="224" t="str">
        <f>IFERROR(INDEX(Data!O$9:O$1273,MATCH($M147,Data!$K$9:$K$1273,0)),"")</f>
        <v/>
      </c>
      <c r="R147" s="224" t="str">
        <f>IFERROR(INDEX(Data!P$9:P$1273,MATCH($M147,Data!$K$9:$K$1273,0)),"")</f>
        <v/>
      </c>
      <c r="S147" s="224" t="str">
        <f>IFERROR(INDEX(Data!S$9:S$1273,MATCH($M147,Data!$K$9:$K$1273,0)),"")</f>
        <v/>
      </c>
      <c r="T147" s="224" t="str">
        <f>IFERROR(INDEX(Data!T$9:T$1273,MATCH($M147,Data!$K$9:$K$1273,0)),"")</f>
        <v/>
      </c>
      <c r="U147" s="224" t="str">
        <f>IFERROR(INDEX(Data!U$9:U$1273,MATCH($M147,Data!$K$9:$K$1273,0)),"")</f>
        <v/>
      </c>
      <c r="V147" s="224" t="str">
        <f>IFERROR(INDEX(Data!V$9:V$1273,MATCH($M147,Data!$K$9:$K$1273,0)),"")</f>
        <v/>
      </c>
      <c r="W147" s="224" t="str">
        <f>IFERROR(INDEX(Data!W$9:W$1273,MATCH($M147,Data!$K$9:$K$1273,0)),"")</f>
        <v/>
      </c>
      <c r="X147" s="224" t="str">
        <f>IFERROR(INDEX(Data!AJ$9:AJ$1273,MATCH($M147,Data!$K$9:$K$1273,0)),"")</f>
        <v/>
      </c>
      <c r="Y147" s="224" t="str">
        <f>IFERROR(INDEX(Data!AK$9:AK$1273,MATCH($M147,Data!$K$9:$K$1273,0)),"")</f>
        <v/>
      </c>
      <c r="Z147" s="224" t="str">
        <f>IFERROR(INDEX(Data!AL$9:AL$1273,MATCH($M147,Data!$K$9:$K$1273,0)),"")</f>
        <v/>
      </c>
      <c r="AA147" s="224" t="str">
        <f>IFERROR(INDEX(Data!AM$9:AM$1273,MATCH($M147,Data!$K$9:$K$1273,0)),"")</f>
        <v/>
      </c>
      <c r="AB147" s="224" t="str">
        <f>IFERROR(INDEX(Data!AN$9:AN$1273,MATCH($M147,Data!$K$9:$K$1273,0)),"")</f>
        <v/>
      </c>
      <c r="AC147" s="225" t="str">
        <f>IFERROR(INDEX(Data!BY$9:BY$1273,MATCH($M147,Data!$K$9:$K$1273,0)),"")</f>
        <v/>
      </c>
      <c r="AD147" s="225" t="str">
        <f>IFERROR(INDEX(Data!BZ$9:BZ$1273,MATCH($M147,Data!$K$9:$K$1273,0)),"")</f>
        <v/>
      </c>
      <c r="AE147" s="225" t="str">
        <f>IFERROR(INDEX(Data!CA$9:CA$1273,MATCH($M147,Data!$K$9:$K$1273,0)),"")</f>
        <v/>
      </c>
      <c r="AF147" s="225" t="str">
        <f>IFERROR(INDEX(Data!CB$9:CB$1273,MATCH($M147,Data!$K$9:$K$1273,0)),"")</f>
        <v/>
      </c>
      <c r="AG147" s="225" t="str">
        <f>IFERROR(INDEX(Data!CC$9:CC$1273,MATCH($M147,Data!$K$9:$K$1273,0)),"")</f>
        <v/>
      </c>
      <c r="AH147" s="225" t="str">
        <f>IFERROR(INDEX(Data!CD$9:CD$1273,MATCH($M147,Data!$K$9:$K$1273,0)),"")</f>
        <v/>
      </c>
      <c r="AI147" s="225" t="str">
        <f>IFERROR(INDEX(Data!CE$9:CE$1273,MATCH($M147,Data!$K$9:$K$1273,0)),"")</f>
        <v/>
      </c>
      <c r="AJ147" s="225" t="str">
        <f>IFERROR(INDEX(Data!CF$9:CF$1273,MATCH($M147,Data!$K$9:$K$1273,0)),"")</f>
        <v/>
      </c>
      <c r="AK147" s="225" t="str">
        <f>IFERROR(INDEX(Data!CG$9:CG$1273,MATCH($M147,Data!$K$9:$K$1273,0)),"")</f>
        <v/>
      </c>
      <c r="AL147" s="225" t="str">
        <f>IFERROR(INDEX(Data!CH$9:CH$1273,MATCH($M147,Data!$K$9:$K$1273,0)),"")</f>
        <v/>
      </c>
      <c r="AM147" s="225" t="str">
        <f>IFERROR(INDEX(Data!CI$9:CI$1273,MATCH($M147,Data!$K$9:$K$1273,0)),"")</f>
        <v/>
      </c>
      <c r="AN147" s="225" t="str">
        <f>IFERROR(INDEX(Data!CJ$9:CJ$1273,MATCH($M147,Data!$K$9:$K$1273,0)),"")</f>
        <v/>
      </c>
      <c r="AO147" s="225" t="str">
        <f>IFERROR(INDEX(Data!CK$9:CK$1273,MATCH($M147,Data!$K$9:$K$1273,0)),"")</f>
        <v/>
      </c>
      <c r="AP147" s="225" t="str">
        <f>IFERROR(INDEX(Data!CL$9:CL$1273,MATCH($M147,Data!$K$9:$K$1273,0)),"")</f>
        <v/>
      </c>
      <c r="AQ147" s="225" t="str">
        <f>IFERROR(INDEX(Data!CM$9:CM$1273,MATCH($M147,Data!$K$9:$K$1273,0)),"")</f>
        <v/>
      </c>
      <c r="AR147" s="225" t="str">
        <f>IFERROR(INDEX(Data!CN$9:CN$1273,MATCH($M147,Data!$K$9:$K$1273,0)),"")</f>
        <v/>
      </c>
      <c r="AS147" s="225" t="str">
        <f>IFERROR(INDEX(Data!CO$9:CO$1273,MATCH($M147,Data!$K$9:$K$1273,0)),"")</f>
        <v/>
      </c>
      <c r="AT147" s="225" t="str">
        <f>IFERROR(INDEX(Data!CP$9:CP$1273,MATCH($M147,Data!$K$9:$K$1273,0)),"")</f>
        <v/>
      </c>
      <c r="AU147" s="225" t="str">
        <f>IFERROR(INDEX(Data!CQ$9:CQ$1273,MATCH($M147,Data!$K$9:$K$1273,0)),"")</f>
        <v/>
      </c>
      <c r="AV147" s="225" t="str">
        <f>IFERROR(INDEX(Data!CR$9:CR$1273,MATCH($M147,Data!$K$9:$K$1273,0)),"")</f>
        <v/>
      </c>
      <c r="AW147" s="225" t="str">
        <f>IFERROR(INDEX(Data!CS$9:CS$1273,MATCH($M147,Data!$K$9:$K$1273,0)),"")</f>
        <v/>
      </c>
      <c r="AX147" s="225" t="str">
        <f>IFERROR(INDEX(Data!CT$9:CT$1273,MATCH($M147,Data!$K$9:$K$1273,0)),"")</f>
        <v/>
      </c>
      <c r="AY147" s="225" t="str">
        <f>IFERROR(INDEX(Data!CU$9:CU$1273,MATCH($M147,Data!$K$9:$K$1273,0)),"")</f>
        <v/>
      </c>
      <c r="AZ147" s="225" t="str">
        <f>IFERROR(INDEX(Data!CV$9:CV$1273,MATCH($M147,Data!$K$9:$K$1273,0)),"")</f>
        <v/>
      </c>
      <c r="BA147" s="225" t="str">
        <f>IFERROR(INDEX(Data!CX$9:CX$1273,MATCH($M147,Data!$K$9:$K$1273,0)),"")</f>
        <v/>
      </c>
      <c r="BB147" s="225" t="str">
        <f>IFERROR(INDEX(Data!CY$9:CY$1273,MATCH($M147,Data!$K$9:$K$1273,0)),"")</f>
        <v/>
      </c>
      <c r="BC147" s="225" t="str">
        <f>IFERROR(INDEX(Data!CZ$9:CZ$1273,MATCH($M147,Data!$K$9:$K$1273,0)),"")</f>
        <v/>
      </c>
      <c r="BD147" s="225" t="str">
        <f>IFERROR(INDEX(Data!DA$9:DA$1273,MATCH($M147,Data!$K$9:$K$1273,0)),"")</f>
        <v/>
      </c>
      <c r="BE147" s="225" t="str">
        <f>IFERROR(INDEX(Data!DB$9:DB$1273,MATCH($M147,Data!$K$9:$K$1273,0)),"")</f>
        <v/>
      </c>
      <c r="BF147" s="225" t="str">
        <f>IFERROR(INDEX(Data!DC$9:DC$1273,MATCH($M147,Data!$K$9:$K$1273,0)),"")</f>
        <v/>
      </c>
      <c r="BG147" s="225" t="str">
        <f>IFERROR(INDEX(Data!DD$9:DD$1273,MATCH($M147,Data!$K$9:$K$1273,0)),"")</f>
        <v/>
      </c>
      <c r="BH147" s="225" t="str">
        <f>IFERROR(INDEX(Data!DE$9:DE$1273,MATCH($M147,Data!$K$9:$K$1273,0)),"")</f>
        <v/>
      </c>
      <c r="BI147" s="225" t="str">
        <f>IFERROR(INDEX(Data!DF$9:DF$1273,MATCH($M147,Data!$K$9:$K$1273,0)),"")</f>
        <v/>
      </c>
      <c r="BJ147" s="225" t="str">
        <f>IFERROR(INDEX(Data!DG$9:DG$1273,MATCH($M147,Data!$K$9:$K$1273,0)),"")</f>
        <v/>
      </c>
      <c r="BK147" s="225" t="str">
        <f>IFERROR(INDEX(Data!DH$9:DH$1273,MATCH($M147,Data!$K$9:$K$1273,0)),"")</f>
        <v/>
      </c>
      <c r="BL147" s="225" t="str">
        <f>IFERROR(INDEX(Data!DI$9:DI$1273,MATCH($M147,Data!$K$9:$K$1273,0)),"")</f>
        <v/>
      </c>
      <c r="BM147" s="225" t="str">
        <f>IFERROR(INDEX(Data!DJ$9:DJ$1273,MATCH($M147,Data!$K$9:$K$1273,0)),"")</f>
        <v/>
      </c>
      <c r="BN147" s="225" t="str">
        <f>IFERROR(INDEX(Data!DK$9:DK$1273,MATCH($M147,Data!$K$9:$K$1273,0)),"")</f>
        <v/>
      </c>
      <c r="BO147" s="225" t="str">
        <f>IFERROR(INDEX(Data!DL$9:DL$1273,MATCH($M147,Data!$K$9:$K$1273,0)),"")</f>
        <v/>
      </c>
      <c r="BP147" s="243" t="str">
        <f t="shared" si="17"/>
        <v/>
      </c>
      <c r="BQ147" s="225" t="str">
        <f t="shared" si="18"/>
        <v xml:space="preserve"> </v>
      </c>
      <c r="BR147" s="225" t="str">
        <f t="shared" si="19"/>
        <v/>
      </c>
      <c r="BS147" s="225" t="str">
        <f>IFERROR(INDEX(Data!$DO$9:$DO$1273,MATCH('Your recommendation'!BR147,Data!$DN$9:$DN$1273,0)),"")</f>
        <v/>
      </c>
    </row>
    <row r="148" spans="2:71" ht="15.6" customHeight="1">
      <c r="B148" s="222" t="str">
        <f t="shared" si="20"/>
        <v/>
      </c>
      <c r="C148" s="223"/>
      <c r="D148" s="225" t="str">
        <f>IFERROR(INDEX(Data!BR$9:BR$1273,MATCH($M148,Data!$K$9:$K$1273,0)),"")</f>
        <v/>
      </c>
      <c r="E148" s="225" t="str">
        <f>IFERROR(INDEX(Data!BS$9:BS$1273,MATCH($M148,Data!$K$9:$K$1273,0)),"")</f>
        <v/>
      </c>
      <c r="F148" s="225" t="str">
        <f>IFERROR(INDEX(Data!DM$9:DM$1273,MATCH($M148,Data!$K$9:$K$1273,0)),"")</f>
        <v/>
      </c>
      <c r="G148" s="225" t="str">
        <f>IFERROR(INDEX(Data!BV$9:BV$1273,MATCH($M148,Data!$K$9:$K$1273,0)),"")</f>
        <v/>
      </c>
      <c r="H148" s="225" t="str">
        <f>IFERROR(INDEX(Data!BW$9:BW$1273,MATCH($M148,Data!$K$9:$K$1273,0)),"")</f>
        <v/>
      </c>
      <c r="I148" s="225" t="str">
        <f>IFERROR(INDEX(Data!BX$9:BX$1273,MATCH($M148,Data!$K$9:$K$1273,0)),"")</f>
        <v/>
      </c>
      <c r="J148" s="225" t="str">
        <f>IFERROR(INDEX(Data!CB$9:CB$1273,MATCH($M148,Data!$K$9:$K$1273,0)),"")</f>
        <v/>
      </c>
      <c r="K148" s="241" t="str">
        <f t="shared" si="15"/>
        <v/>
      </c>
      <c r="L148" s="242" t="str">
        <f t="shared" si="16"/>
        <v/>
      </c>
      <c r="M148" s="224"/>
      <c r="N148" s="224"/>
      <c r="O148" s="224" t="str">
        <f>IFERROR(INDEX(Data!M$9:M$1273,MATCH($M148,Data!$K$9:$K$1273,0)),"")</f>
        <v/>
      </c>
      <c r="P148" s="224" t="str">
        <f>IFERROR(INDEX(Data!N$9:N$1273,MATCH($M148,Data!$K$9:$K$1273,0)),"")</f>
        <v/>
      </c>
      <c r="Q148" s="224" t="str">
        <f>IFERROR(INDEX(Data!O$9:O$1273,MATCH($M148,Data!$K$9:$K$1273,0)),"")</f>
        <v/>
      </c>
      <c r="R148" s="224" t="str">
        <f>IFERROR(INDEX(Data!P$9:P$1273,MATCH($M148,Data!$K$9:$K$1273,0)),"")</f>
        <v/>
      </c>
      <c r="S148" s="224" t="str">
        <f>IFERROR(INDEX(Data!S$9:S$1273,MATCH($M148,Data!$K$9:$K$1273,0)),"")</f>
        <v/>
      </c>
      <c r="T148" s="224" t="str">
        <f>IFERROR(INDEX(Data!T$9:T$1273,MATCH($M148,Data!$K$9:$K$1273,0)),"")</f>
        <v/>
      </c>
      <c r="U148" s="224" t="str">
        <f>IFERROR(INDEX(Data!U$9:U$1273,MATCH($M148,Data!$K$9:$K$1273,0)),"")</f>
        <v/>
      </c>
      <c r="V148" s="224" t="str">
        <f>IFERROR(INDEX(Data!V$9:V$1273,MATCH($M148,Data!$K$9:$K$1273,0)),"")</f>
        <v/>
      </c>
      <c r="W148" s="224" t="str">
        <f>IFERROR(INDEX(Data!W$9:W$1273,MATCH($M148,Data!$K$9:$K$1273,0)),"")</f>
        <v/>
      </c>
      <c r="X148" s="224" t="str">
        <f>IFERROR(INDEX(Data!AJ$9:AJ$1273,MATCH($M148,Data!$K$9:$K$1273,0)),"")</f>
        <v/>
      </c>
      <c r="Y148" s="224" t="str">
        <f>IFERROR(INDEX(Data!AK$9:AK$1273,MATCH($M148,Data!$K$9:$K$1273,0)),"")</f>
        <v/>
      </c>
      <c r="Z148" s="224" t="str">
        <f>IFERROR(INDEX(Data!AL$9:AL$1273,MATCH($M148,Data!$K$9:$K$1273,0)),"")</f>
        <v/>
      </c>
      <c r="AA148" s="224" t="str">
        <f>IFERROR(INDEX(Data!AM$9:AM$1273,MATCH($M148,Data!$K$9:$K$1273,0)),"")</f>
        <v/>
      </c>
      <c r="AB148" s="224" t="str">
        <f>IFERROR(INDEX(Data!AN$9:AN$1273,MATCH($M148,Data!$K$9:$K$1273,0)),"")</f>
        <v/>
      </c>
      <c r="AC148" s="225" t="str">
        <f>IFERROR(INDEX(Data!BY$9:BY$1273,MATCH($M148,Data!$K$9:$K$1273,0)),"")</f>
        <v/>
      </c>
      <c r="AD148" s="225" t="str">
        <f>IFERROR(INDEX(Data!BZ$9:BZ$1273,MATCH($M148,Data!$K$9:$K$1273,0)),"")</f>
        <v/>
      </c>
      <c r="AE148" s="225" t="str">
        <f>IFERROR(INDEX(Data!CA$9:CA$1273,MATCH($M148,Data!$K$9:$K$1273,0)),"")</f>
        <v/>
      </c>
      <c r="AF148" s="225" t="str">
        <f>IFERROR(INDEX(Data!CB$9:CB$1273,MATCH($M148,Data!$K$9:$K$1273,0)),"")</f>
        <v/>
      </c>
      <c r="AG148" s="225" t="str">
        <f>IFERROR(INDEX(Data!CC$9:CC$1273,MATCH($M148,Data!$K$9:$K$1273,0)),"")</f>
        <v/>
      </c>
      <c r="AH148" s="225" t="str">
        <f>IFERROR(INDEX(Data!CD$9:CD$1273,MATCH($M148,Data!$K$9:$K$1273,0)),"")</f>
        <v/>
      </c>
      <c r="AI148" s="225" t="str">
        <f>IFERROR(INDEX(Data!CE$9:CE$1273,MATCH($M148,Data!$K$9:$K$1273,0)),"")</f>
        <v/>
      </c>
      <c r="AJ148" s="225" t="str">
        <f>IFERROR(INDEX(Data!CF$9:CF$1273,MATCH($M148,Data!$K$9:$K$1273,0)),"")</f>
        <v/>
      </c>
      <c r="AK148" s="225" t="str">
        <f>IFERROR(INDEX(Data!CG$9:CG$1273,MATCH($M148,Data!$K$9:$K$1273,0)),"")</f>
        <v/>
      </c>
      <c r="AL148" s="225" t="str">
        <f>IFERROR(INDEX(Data!CH$9:CH$1273,MATCH($M148,Data!$K$9:$K$1273,0)),"")</f>
        <v/>
      </c>
      <c r="AM148" s="225" t="str">
        <f>IFERROR(INDEX(Data!CI$9:CI$1273,MATCH($M148,Data!$K$9:$K$1273,0)),"")</f>
        <v/>
      </c>
      <c r="AN148" s="225" t="str">
        <f>IFERROR(INDEX(Data!CJ$9:CJ$1273,MATCH($M148,Data!$K$9:$K$1273,0)),"")</f>
        <v/>
      </c>
      <c r="AO148" s="225" t="str">
        <f>IFERROR(INDEX(Data!CK$9:CK$1273,MATCH($M148,Data!$K$9:$K$1273,0)),"")</f>
        <v/>
      </c>
      <c r="AP148" s="225" t="str">
        <f>IFERROR(INDEX(Data!CL$9:CL$1273,MATCH($M148,Data!$K$9:$K$1273,0)),"")</f>
        <v/>
      </c>
      <c r="AQ148" s="225" t="str">
        <f>IFERROR(INDEX(Data!CM$9:CM$1273,MATCH($M148,Data!$K$9:$K$1273,0)),"")</f>
        <v/>
      </c>
      <c r="AR148" s="225" t="str">
        <f>IFERROR(INDEX(Data!CN$9:CN$1273,MATCH($M148,Data!$K$9:$K$1273,0)),"")</f>
        <v/>
      </c>
      <c r="AS148" s="225" t="str">
        <f>IFERROR(INDEX(Data!CO$9:CO$1273,MATCH($M148,Data!$K$9:$K$1273,0)),"")</f>
        <v/>
      </c>
      <c r="AT148" s="225" t="str">
        <f>IFERROR(INDEX(Data!CP$9:CP$1273,MATCH($M148,Data!$K$9:$K$1273,0)),"")</f>
        <v/>
      </c>
      <c r="AU148" s="225" t="str">
        <f>IFERROR(INDEX(Data!CQ$9:CQ$1273,MATCH($M148,Data!$K$9:$K$1273,0)),"")</f>
        <v/>
      </c>
      <c r="AV148" s="225" t="str">
        <f>IFERROR(INDEX(Data!CR$9:CR$1273,MATCH($M148,Data!$K$9:$K$1273,0)),"")</f>
        <v/>
      </c>
      <c r="AW148" s="225" t="str">
        <f>IFERROR(INDEX(Data!CS$9:CS$1273,MATCH($M148,Data!$K$9:$K$1273,0)),"")</f>
        <v/>
      </c>
      <c r="AX148" s="225" t="str">
        <f>IFERROR(INDEX(Data!CT$9:CT$1273,MATCH($M148,Data!$K$9:$K$1273,0)),"")</f>
        <v/>
      </c>
      <c r="AY148" s="225" t="str">
        <f>IFERROR(INDEX(Data!CU$9:CU$1273,MATCH($M148,Data!$K$9:$K$1273,0)),"")</f>
        <v/>
      </c>
      <c r="AZ148" s="225" t="str">
        <f>IFERROR(INDEX(Data!CV$9:CV$1273,MATCH($M148,Data!$K$9:$K$1273,0)),"")</f>
        <v/>
      </c>
      <c r="BA148" s="225" t="str">
        <f>IFERROR(INDEX(Data!CX$9:CX$1273,MATCH($M148,Data!$K$9:$K$1273,0)),"")</f>
        <v/>
      </c>
      <c r="BB148" s="225" t="str">
        <f>IFERROR(INDEX(Data!CY$9:CY$1273,MATCH($M148,Data!$K$9:$K$1273,0)),"")</f>
        <v/>
      </c>
      <c r="BC148" s="225" t="str">
        <f>IFERROR(INDEX(Data!CZ$9:CZ$1273,MATCH($M148,Data!$K$9:$K$1273,0)),"")</f>
        <v/>
      </c>
      <c r="BD148" s="225" t="str">
        <f>IFERROR(INDEX(Data!DA$9:DA$1273,MATCH($M148,Data!$K$9:$K$1273,0)),"")</f>
        <v/>
      </c>
      <c r="BE148" s="225" t="str">
        <f>IFERROR(INDEX(Data!DB$9:DB$1273,MATCH($M148,Data!$K$9:$K$1273,0)),"")</f>
        <v/>
      </c>
      <c r="BF148" s="225" t="str">
        <f>IFERROR(INDEX(Data!DC$9:DC$1273,MATCH($M148,Data!$K$9:$K$1273,0)),"")</f>
        <v/>
      </c>
      <c r="BG148" s="225" t="str">
        <f>IFERROR(INDEX(Data!DD$9:DD$1273,MATCH($M148,Data!$K$9:$K$1273,0)),"")</f>
        <v/>
      </c>
      <c r="BH148" s="225" t="str">
        <f>IFERROR(INDEX(Data!DE$9:DE$1273,MATCH($M148,Data!$K$9:$K$1273,0)),"")</f>
        <v/>
      </c>
      <c r="BI148" s="225" t="str">
        <f>IFERROR(INDEX(Data!DF$9:DF$1273,MATCH($M148,Data!$K$9:$K$1273,0)),"")</f>
        <v/>
      </c>
      <c r="BJ148" s="225" t="str">
        <f>IFERROR(INDEX(Data!DG$9:DG$1273,MATCH($M148,Data!$K$9:$K$1273,0)),"")</f>
        <v/>
      </c>
      <c r="BK148" s="225" t="str">
        <f>IFERROR(INDEX(Data!DH$9:DH$1273,MATCH($M148,Data!$K$9:$K$1273,0)),"")</f>
        <v/>
      </c>
      <c r="BL148" s="225" t="str">
        <f>IFERROR(INDEX(Data!DI$9:DI$1273,MATCH($M148,Data!$K$9:$K$1273,0)),"")</f>
        <v/>
      </c>
      <c r="BM148" s="225" t="str">
        <f>IFERROR(INDEX(Data!DJ$9:DJ$1273,MATCH($M148,Data!$K$9:$K$1273,0)),"")</f>
        <v/>
      </c>
      <c r="BN148" s="225" t="str">
        <f>IFERROR(INDEX(Data!DK$9:DK$1273,MATCH($M148,Data!$K$9:$K$1273,0)),"")</f>
        <v/>
      </c>
      <c r="BO148" s="225" t="str">
        <f>IFERROR(INDEX(Data!DL$9:DL$1273,MATCH($M148,Data!$K$9:$K$1273,0)),"")</f>
        <v/>
      </c>
      <c r="BP148" s="243" t="str">
        <f t="shared" si="17"/>
        <v/>
      </c>
      <c r="BQ148" s="225" t="str">
        <f t="shared" si="18"/>
        <v xml:space="preserve"> </v>
      </c>
      <c r="BR148" s="225" t="str">
        <f t="shared" si="19"/>
        <v/>
      </c>
      <c r="BS148" s="225" t="str">
        <f>IFERROR(INDEX(Data!$DO$9:$DO$1273,MATCH('Your recommendation'!BR148,Data!$DN$9:$DN$1273,0)),"")</f>
        <v/>
      </c>
    </row>
    <row r="149" spans="2:71" ht="15.6" customHeight="1">
      <c r="B149" s="222" t="str">
        <f t="shared" si="20"/>
        <v/>
      </c>
      <c r="C149" s="223"/>
      <c r="D149" s="225" t="str">
        <f>IFERROR(INDEX(Data!BR$9:BR$1273,MATCH($M149,Data!$K$9:$K$1273,0)),"")</f>
        <v/>
      </c>
      <c r="E149" s="225" t="str">
        <f>IFERROR(INDEX(Data!BS$9:BS$1273,MATCH($M149,Data!$K$9:$K$1273,0)),"")</f>
        <v/>
      </c>
      <c r="F149" s="225" t="str">
        <f>IFERROR(INDEX(Data!DM$9:DM$1273,MATCH($M149,Data!$K$9:$K$1273,0)),"")</f>
        <v/>
      </c>
      <c r="G149" s="225" t="str">
        <f>IFERROR(INDEX(Data!BV$9:BV$1273,MATCH($M149,Data!$K$9:$K$1273,0)),"")</f>
        <v/>
      </c>
      <c r="H149" s="225" t="str">
        <f>IFERROR(INDEX(Data!BW$9:BW$1273,MATCH($M149,Data!$K$9:$K$1273,0)),"")</f>
        <v/>
      </c>
      <c r="I149" s="225" t="str">
        <f>IFERROR(INDEX(Data!BX$9:BX$1273,MATCH($M149,Data!$K$9:$K$1273,0)),"")</f>
        <v/>
      </c>
      <c r="J149" s="225" t="str">
        <f>IFERROR(INDEX(Data!CB$9:CB$1273,MATCH($M149,Data!$K$9:$K$1273,0)),"")</f>
        <v/>
      </c>
      <c r="K149" s="241" t="str">
        <f t="shared" si="15"/>
        <v/>
      </c>
      <c r="L149" s="242" t="str">
        <f t="shared" si="16"/>
        <v/>
      </c>
      <c r="M149" s="224"/>
      <c r="N149" s="224"/>
      <c r="O149" s="224" t="str">
        <f>IFERROR(INDEX(Data!M$9:M$1273,MATCH($M149,Data!$K$9:$K$1273,0)),"")</f>
        <v/>
      </c>
      <c r="P149" s="224" t="str">
        <f>IFERROR(INDEX(Data!N$9:N$1273,MATCH($M149,Data!$K$9:$K$1273,0)),"")</f>
        <v/>
      </c>
      <c r="Q149" s="224" t="str">
        <f>IFERROR(INDEX(Data!O$9:O$1273,MATCH($M149,Data!$K$9:$K$1273,0)),"")</f>
        <v/>
      </c>
      <c r="R149" s="224" t="str">
        <f>IFERROR(INDEX(Data!P$9:P$1273,MATCH($M149,Data!$K$9:$K$1273,0)),"")</f>
        <v/>
      </c>
      <c r="S149" s="224" t="str">
        <f>IFERROR(INDEX(Data!S$9:S$1273,MATCH($M149,Data!$K$9:$K$1273,0)),"")</f>
        <v/>
      </c>
      <c r="T149" s="224" t="str">
        <f>IFERROR(INDEX(Data!T$9:T$1273,MATCH($M149,Data!$K$9:$K$1273,0)),"")</f>
        <v/>
      </c>
      <c r="U149" s="224" t="str">
        <f>IFERROR(INDEX(Data!U$9:U$1273,MATCH($M149,Data!$K$9:$K$1273,0)),"")</f>
        <v/>
      </c>
      <c r="V149" s="224" t="str">
        <f>IFERROR(INDEX(Data!V$9:V$1273,MATCH($M149,Data!$K$9:$K$1273,0)),"")</f>
        <v/>
      </c>
      <c r="W149" s="224" t="str">
        <f>IFERROR(INDEX(Data!W$9:W$1273,MATCH($M149,Data!$K$9:$K$1273,0)),"")</f>
        <v/>
      </c>
      <c r="X149" s="224" t="str">
        <f>IFERROR(INDEX(Data!AJ$9:AJ$1273,MATCH($M149,Data!$K$9:$K$1273,0)),"")</f>
        <v/>
      </c>
      <c r="Y149" s="224" t="str">
        <f>IFERROR(INDEX(Data!AK$9:AK$1273,MATCH($M149,Data!$K$9:$K$1273,0)),"")</f>
        <v/>
      </c>
      <c r="Z149" s="224" t="str">
        <f>IFERROR(INDEX(Data!AL$9:AL$1273,MATCH($M149,Data!$K$9:$K$1273,0)),"")</f>
        <v/>
      </c>
      <c r="AA149" s="224" t="str">
        <f>IFERROR(INDEX(Data!AM$9:AM$1273,MATCH($M149,Data!$K$9:$K$1273,0)),"")</f>
        <v/>
      </c>
      <c r="AB149" s="224" t="str">
        <f>IFERROR(INDEX(Data!AN$9:AN$1273,MATCH($M149,Data!$K$9:$K$1273,0)),"")</f>
        <v/>
      </c>
      <c r="AC149" s="225" t="str">
        <f>IFERROR(INDEX(Data!BY$9:BY$1273,MATCH($M149,Data!$K$9:$K$1273,0)),"")</f>
        <v/>
      </c>
      <c r="AD149" s="225" t="str">
        <f>IFERROR(INDEX(Data!BZ$9:BZ$1273,MATCH($M149,Data!$K$9:$K$1273,0)),"")</f>
        <v/>
      </c>
      <c r="AE149" s="225" t="str">
        <f>IFERROR(INDEX(Data!CA$9:CA$1273,MATCH($M149,Data!$K$9:$K$1273,0)),"")</f>
        <v/>
      </c>
      <c r="AF149" s="225" t="str">
        <f>IFERROR(INDEX(Data!CB$9:CB$1273,MATCH($M149,Data!$K$9:$K$1273,0)),"")</f>
        <v/>
      </c>
      <c r="AG149" s="225" t="str">
        <f>IFERROR(INDEX(Data!CC$9:CC$1273,MATCH($M149,Data!$K$9:$K$1273,0)),"")</f>
        <v/>
      </c>
      <c r="AH149" s="225" t="str">
        <f>IFERROR(INDEX(Data!CD$9:CD$1273,MATCH($M149,Data!$K$9:$K$1273,0)),"")</f>
        <v/>
      </c>
      <c r="AI149" s="225" t="str">
        <f>IFERROR(INDEX(Data!CE$9:CE$1273,MATCH($M149,Data!$K$9:$K$1273,0)),"")</f>
        <v/>
      </c>
      <c r="AJ149" s="225" t="str">
        <f>IFERROR(INDEX(Data!CF$9:CF$1273,MATCH($M149,Data!$K$9:$K$1273,0)),"")</f>
        <v/>
      </c>
      <c r="AK149" s="225" t="str">
        <f>IFERROR(INDEX(Data!CG$9:CG$1273,MATCH($M149,Data!$K$9:$K$1273,0)),"")</f>
        <v/>
      </c>
      <c r="AL149" s="225" t="str">
        <f>IFERROR(INDEX(Data!CH$9:CH$1273,MATCH($M149,Data!$K$9:$K$1273,0)),"")</f>
        <v/>
      </c>
      <c r="AM149" s="225" t="str">
        <f>IFERROR(INDEX(Data!CI$9:CI$1273,MATCH($M149,Data!$K$9:$K$1273,0)),"")</f>
        <v/>
      </c>
      <c r="AN149" s="225" t="str">
        <f>IFERROR(INDEX(Data!CJ$9:CJ$1273,MATCH($M149,Data!$K$9:$K$1273,0)),"")</f>
        <v/>
      </c>
      <c r="AO149" s="225" t="str">
        <f>IFERROR(INDEX(Data!CK$9:CK$1273,MATCH($M149,Data!$K$9:$K$1273,0)),"")</f>
        <v/>
      </c>
      <c r="AP149" s="225" t="str">
        <f>IFERROR(INDEX(Data!CL$9:CL$1273,MATCH($M149,Data!$K$9:$K$1273,0)),"")</f>
        <v/>
      </c>
      <c r="AQ149" s="225" t="str">
        <f>IFERROR(INDEX(Data!CM$9:CM$1273,MATCH($M149,Data!$K$9:$K$1273,0)),"")</f>
        <v/>
      </c>
      <c r="AR149" s="225" t="str">
        <f>IFERROR(INDEX(Data!CN$9:CN$1273,MATCH($M149,Data!$K$9:$K$1273,0)),"")</f>
        <v/>
      </c>
      <c r="AS149" s="225" t="str">
        <f>IFERROR(INDEX(Data!CO$9:CO$1273,MATCH($M149,Data!$K$9:$K$1273,0)),"")</f>
        <v/>
      </c>
      <c r="AT149" s="225" t="str">
        <f>IFERROR(INDEX(Data!CP$9:CP$1273,MATCH($M149,Data!$K$9:$K$1273,0)),"")</f>
        <v/>
      </c>
      <c r="AU149" s="225" t="str">
        <f>IFERROR(INDEX(Data!CQ$9:CQ$1273,MATCH($M149,Data!$K$9:$K$1273,0)),"")</f>
        <v/>
      </c>
      <c r="AV149" s="225" t="str">
        <f>IFERROR(INDEX(Data!CR$9:CR$1273,MATCH($M149,Data!$K$9:$K$1273,0)),"")</f>
        <v/>
      </c>
      <c r="AW149" s="225" t="str">
        <f>IFERROR(INDEX(Data!CS$9:CS$1273,MATCH($M149,Data!$K$9:$K$1273,0)),"")</f>
        <v/>
      </c>
      <c r="AX149" s="225" t="str">
        <f>IFERROR(INDEX(Data!CT$9:CT$1273,MATCH($M149,Data!$K$9:$K$1273,0)),"")</f>
        <v/>
      </c>
      <c r="AY149" s="225" t="str">
        <f>IFERROR(INDEX(Data!CU$9:CU$1273,MATCH($M149,Data!$K$9:$K$1273,0)),"")</f>
        <v/>
      </c>
      <c r="AZ149" s="225" t="str">
        <f>IFERROR(INDEX(Data!CV$9:CV$1273,MATCH($M149,Data!$K$9:$K$1273,0)),"")</f>
        <v/>
      </c>
      <c r="BA149" s="225" t="str">
        <f>IFERROR(INDEX(Data!CX$9:CX$1273,MATCH($M149,Data!$K$9:$K$1273,0)),"")</f>
        <v/>
      </c>
      <c r="BB149" s="225" t="str">
        <f>IFERROR(INDEX(Data!CY$9:CY$1273,MATCH($M149,Data!$K$9:$K$1273,0)),"")</f>
        <v/>
      </c>
      <c r="BC149" s="225" t="str">
        <f>IFERROR(INDEX(Data!CZ$9:CZ$1273,MATCH($M149,Data!$K$9:$K$1273,0)),"")</f>
        <v/>
      </c>
      <c r="BD149" s="225" t="str">
        <f>IFERROR(INDEX(Data!DA$9:DA$1273,MATCH($M149,Data!$K$9:$K$1273,0)),"")</f>
        <v/>
      </c>
      <c r="BE149" s="225" t="str">
        <f>IFERROR(INDEX(Data!DB$9:DB$1273,MATCH($M149,Data!$K$9:$K$1273,0)),"")</f>
        <v/>
      </c>
      <c r="BF149" s="225" t="str">
        <f>IFERROR(INDEX(Data!DC$9:DC$1273,MATCH($M149,Data!$K$9:$K$1273,0)),"")</f>
        <v/>
      </c>
      <c r="BG149" s="225" t="str">
        <f>IFERROR(INDEX(Data!DD$9:DD$1273,MATCH($M149,Data!$K$9:$K$1273,0)),"")</f>
        <v/>
      </c>
      <c r="BH149" s="225" t="str">
        <f>IFERROR(INDEX(Data!DE$9:DE$1273,MATCH($M149,Data!$K$9:$K$1273,0)),"")</f>
        <v/>
      </c>
      <c r="BI149" s="225" t="str">
        <f>IFERROR(INDEX(Data!DF$9:DF$1273,MATCH($M149,Data!$K$9:$K$1273,0)),"")</f>
        <v/>
      </c>
      <c r="BJ149" s="225" t="str">
        <f>IFERROR(INDEX(Data!DG$9:DG$1273,MATCH($M149,Data!$K$9:$K$1273,0)),"")</f>
        <v/>
      </c>
      <c r="BK149" s="225" t="str">
        <f>IFERROR(INDEX(Data!DH$9:DH$1273,MATCH($M149,Data!$K$9:$K$1273,0)),"")</f>
        <v/>
      </c>
      <c r="BL149" s="225" t="str">
        <f>IFERROR(INDEX(Data!DI$9:DI$1273,MATCH($M149,Data!$K$9:$K$1273,0)),"")</f>
        <v/>
      </c>
      <c r="BM149" s="225" t="str">
        <f>IFERROR(INDEX(Data!DJ$9:DJ$1273,MATCH($M149,Data!$K$9:$K$1273,0)),"")</f>
        <v/>
      </c>
      <c r="BN149" s="225" t="str">
        <f>IFERROR(INDEX(Data!DK$9:DK$1273,MATCH($M149,Data!$K$9:$K$1273,0)),"")</f>
        <v/>
      </c>
      <c r="BO149" s="225" t="str">
        <f>IFERROR(INDEX(Data!DL$9:DL$1273,MATCH($M149,Data!$K$9:$K$1273,0)),"")</f>
        <v/>
      </c>
      <c r="BP149" s="243" t="str">
        <f t="shared" si="17"/>
        <v/>
      </c>
      <c r="BQ149" s="225" t="str">
        <f t="shared" si="18"/>
        <v xml:space="preserve"> </v>
      </c>
      <c r="BR149" s="225" t="str">
        <f t="shared" si="19"/>
        <v/>
      </c>
      <c r="BS149" s="225" t="str">
        <f>IFERROR(INDEX(Data!$DO$9:$DO$1273,MATCH('Your recommendation'!BR149,Data!$DN$9:$DN$1273,0)),"")</f>
        <v/>
      </c>
    </row>
    <row r="150" spans="2:71" ht="15.6" customHeight="1">
      <c r="B150" s="222" t="str">
        <f t="shared" si="20"/>
        <v/>
      </c>
      <c r="C150" s="223"/>
      <c r="D150" s="225" t="str">
        <f>IFERROR(INDEX(Data!BR$9:BR$1273,MATCH($M150,Data!$K$9:$K$1273,0)),"")</f>
        <v/>
      </c>
      <c r="E150" s="225" t="str">
        <f>IFERROR(INDEX(Data!BS$9:BS$1273,MATCH($M150,Data!$K$9:$K$1273,0)),"")</f>
        <v/>
      </c>
      <c r="F150" s="225" t="str">
        <f>IFERROR(INDEX(Data!DM$9:DM$1273,MATCH($M150,Data!$K$9:$K$1273,0)),"")</f>
        <v/>
      </c>
      <c r="G150" s="225" t="str">
        <f>IFERROR(INDEX(Data!BV$9:BV$1273,MATCH($M150,Data!$K$9:$K$1273,0)),"")</f>
        <v/>
      </c>
      <c r="H150" s="225" t="str">
        <f>IFERROR(INDEX(Data!BW$9:BW$1273,MATCH($M150,Data!$K$9:$K$1273,0)),"")</f>
        <v/>
      </c>
      <c r="I150" s="225" t="str">
        <f>IFERROR(INDEX(Data!BX$9:BX$1273,MATCH($M150,Data!$K$9:$K$1273,0)),"")</f>
        <v/>
      </c>
      <c r="J150" s="225" t="str">
        <f>IFERROR(INDEX(Data!CB$9:CB$1273,MATCH($M150,Data!$K$9:$K$1273,0)),"")</f>
        <v/>
      </c>
      <c r="K150" s="241" t="str">
        <f t="shared" si="15"/>
        <v/>
      </c>
      <c r="L150" s="242" t="str">
        <f t="shared" si="16"/>
        <v/>
      </c>
      <c r="M150" s="224"/>
      <c r="N150" s="224"/>
      <c r="O150" s="224" t="str">
        <f>IFERROR(INDEX(Data!M$9:M$1273,MATCH($M150,Data!$K$9:$K$1273,0)),"")</f>
        <v/>
      </c>
      <c r="P150" s="224" t="str">
        <f>IFERROR(INDEX(Data!N$9:N$1273,MATCH($M150,Data!$K$9:$K$1273,0)),"")</f>
        <v/>
      </c>
      <c r="Q150" s="224" t="str">
        <f>IFERROR(INDEX(Data!O$9:O$1273,MATCH($M150,Data!$K$9:$K$1273,0)),"")</f>
        <v/>
      </c>
      <c r="R150" s="224" t="str">
        <f>IFERROR(INDEX(Data!P$9:P$1273,MATCH($M150,Data!$K$9:$K$1273,0)),"")</f>
        <v/>
      </c>
      <c r="S150" s="224" t="str">
        <f>IFERROR(INDEX(Data!S$9:S$1273,MATCH($M150,Data!$K$9:$K$1273,0)),"")</f>
        <v/>
      </c>
      <c r="T150" s="224" t="str">
        <f>IFERROR(INDEX(Data!T$9:T$1273,MATCH($M150,Data!$K$9:$K$1273,0)),"")</f>
        <v/>
      </c>
      <c r="U150" s="224" t="str">
        <f>IFERROR(INDEX(Data!U$9:U$1273,MATCH($M150,Data!$K$9:$K$1273,0)),"")</f>
        <v/>
      </c>
      <c r="V150" s="224" t="str">
        <f>IFERROR(INDEX(Data!V$9:V$1273,MATCH($M150,Data!$K$9:$K$1273,0)),"")</f>
        <v/>
      </c>
      <c r="W150" s="224" t="str">
        <f>IFERROR(INDEX(Data!W$9:W$1273,MATCH($M150,Data!$K$9:$K$1273,0)),"")</f>
        <v/>
      </c>
      <c r="X150" s="224" t="str">
        <f>IFERROR(INDEX(Data!AJ$9:AJ$1273,MATCH($M150,Data!$K$9:$K$1273,0)),"")</f>
        <v/>
      </c>
      <c r="Y150" s="224" t="str">
        <f>IFERROR(INDEX(Data!AK$9:AK$1273,MATCH($M150,Data!$K$9:$K$1273,0)),"")</f>
        <v/>
      </c>
      <c r="Z150" s="224" t="str">
        <f>IFERROR(INDEX(Data!AL$9:AL$1273,MATCH($M150,Data!$K$9:$K$1273,0)),"")</f>
        <v/>
      </c>
      <c r="AA150" s="224" t="str">
        <f>IFERROR(INDEX(Data!AM$9:AM$1273,MATCH($M150,Data!$K$9:$K$1273,0)),"")</f>
        <v/>
      </c>
      <c r="AB150" s="224" t="str">
        <f>IFERROR(INDEX(Data!AN$9:AN$1273,MATCH($M150,Data!$K$9:$K$1273,0)),"")</f>
        <v/>
      </c>
      <c r="AC150" s="225" t="str">
        <f>IFERROR(INDEX(Data!BY$9:BY$1273,MATCH($M150,Data!$K$9:$K$1273,0)),"")</f>
        <v/>
      </c>
      <c r="AD150" s="225" t="str">
        <f>IFERROR(INDEX(Data!BZ$9:BZ$1273,MATCH($M150,Data!$K$9:$K$1273,0)),"")</f>
        <v/>
      </c>
      <c r="AE150" s="225" t="str">
        <f>IFERROR(INDEX(Data!CA$9:CA$1273,MATCH($M150,Data!$K$9:$K$1273,0)),"")</f>
        <v/>
      </c>
      <c r="AF150" s="225" t="str">
        <f>IFERROR(INDEX(Data!CB$9:CB$1273,MATCH($M150,Data!$K$9:$K$1273,0)),"")</f>
        <v/>
      </c>
      <c r="AG150" s="225" t="str">
        <f>IFERROR(INDEX(Data!CC$9:CC$1273,MATCH($M150,Data!$K$9:$K$1273,0)),"")</f>
        <v/>
      </c>
      <c r="AH150" s="225" t="str">
        <f>IFERROR(INDEX(Data!CD$9:CD$1273,MATCH($M150,Data!$K$9:$K$1273,0)),"")</f>
        <v/>
      </c>
      <c r="AI150" s="225" t="str">
        <f>IFERROR(INDEX(Data!CE$9:CE$1273,MATCH($M150,Data!$K$9:$K$1273,0)),"")</f>
        <v/>
      </c>
      <c r="AJ150" s="225" t="str">
        <f>IFERROR(INDEX(Data!CF$9:CF$1273,MATCH($M150,Data!$K$9:$K$1273,0)),"")</f>
        <v/>
      </c>
      <c r="AK150" s="225" t="str">
        <f>IFERROR(INDEX(Data!CG$9:CG$1273,MATCH($M150,Data!$K$9:$K$1273,0)),"")</f>
        <v/>
      </c>
      <c r="AL150" s="225" t="str">
        <f>IFERROR(INDEX(Data!CH$9:CH$1273,MATCH($M150,Data!$K$9:$K$1273,0)),"")</f>
        <v/>
      </c>
      <c r="AM150" s="225" t="str">
        <f>IFERROR(INDEX(Data!CI$9:CI$1273,MATCH($M150,Data!$K$9:$K$1273,0)),"")</f>
        <v/>
      </c>
      <c r="AN150" s="225" t="str">
        <f>IFERROR(INDEX(Data!CJ$9:CJ$1273,MATCH($M150,Data!$K$9:$K$1273,0)),"")</f>
        <v/>
      </c>
      <c r="AO150" s="225" t="str">
        <f>IFERROR(INDEX(Data!CK$9:CK$1273,MATCH($M150,Data!$K$9:$K$1273,0)),"")</f>
        <v/>
      </c>
      <c r="AP150" s="225" t="str">
        <f>IFERROR(INDEX(Data!CL$9:CL$1273,MATCH($M150,Data!$K$9:$K$1273,0)),"")</f>
        <v/>
      </c>
      <c r="AQ150" s="225" t="str">
        <f>IFERROR(INDEX(Data!CM$9:CM$1273,MATCH($M150,Data!$K$9:$K$1273,0)),"")</f>
        <v/>
      </c>
      <c r="AR150" s="225" t="str">
        <f>IFERROR(INDEX(Data!CN$9:CN$1273,MATCH($M150,Data!$K$9:$K$1273,0)),"")</f>
        <v/>
      </c>
      <c r="AS150" s="225" t="str">
        <f>IFERROR(INDEX(Data!CO$9:CO$1273,MATCH($M150,Data!$K$9:$K$1273,0)),"")</f>
        <v/>
      </c>
      <c r="AT150" s="225" t="str">
        <f>IFERROR(INDEX(Data!CP$9:CP$1273,MATCH($M150,Data!$K$9:$K$1273,0)),"")</f>
        <v/>
      </c>
      <c r="AU150" s="225" t="str">
        <f>IFERROR(INDEX(Data!CQ$9:CQ$1273,MATCH($M150,Data!$K$9:$K$1273,0)),"")</f>
        <v/>
      </c>
      <c r="AV150" s="225" t="str">
        <f>IFERROR(INDEX(Data!CR$9:CR$1273,MATCH($M150,Data!$K$9:$K$1273,0)),"")</f>
        <v/>
      </c>
      <c r="AW150" s="225" t="str">
        <f>IFERROR(INDEX(Data!CS$9:CS$1273,MATCH($M150,Data!$K$9:$K$1273,0)),"")</f>
        <v/>
      </c>
      <c r="AX150" s="225" t="str">
        <f>IFERROR(INDEX(Data!CT$9:CT$1273,MATCH($M150,Data!$K$9:$K$1273,0)),"")</f>
        <v/>
      </c>
      <c r="AY150" s="225" t="str">
        <f>IFERROR(INDEX(Data!CU$9:CU$1273,MATCH($M150,Data!$K$9:$K$1273,0)),"")</f>
        <v/>
      </c>
      <c r="AZ150" s="225" t="str">
        <f>IFERROR(INDEX(Data!CV$9:CV$1273,MATCH($M150,Data!$K$9:$K$1273,0)),"")</f>
        <v/>
      </c>
      <c r="BA150" s="225" t="str">
        <f>IFERROR(INDEX(Data!CX$9:CX$1273,MATCH($M150,Data!$K$9:$K$1273,0)),"")</f>
        <v/>
      </c>
      <c r="BB150" s="225" t="str">
        <f>IFERROR(INDEX(Data!CY$9:CY$1273,MATCH($M150,Data!$K$9:$K$1273,0)),"")</f>
        <v/>
      </c>
      <c r="BC150" s="225" t="str">
        <f>IFERROR(INDEX(Data!CZ$9:CZ$1273,MATCH($M150,Data!$K$9:$K$1273,0)),"")</f>
        <v/>
      </c>
      <c r="BD150" s="225" t="str">
        <f>IFERROR(INDEX(Data!DA$9:DA$1273,MATCH($M150,Data!$K$9:$K$1273,0)),"")</f>
        <v/>
      </c>
      <c r="BE150" s="225" t="str">
        <f>IFERROR(INDEX(Data!DB$9:DB$1273,MATCH($M150,Data!$K$9:$K$1273,0)),"")</f>
        <v/>
      </c>
      <c r="BF150" s="225" t="str">
        <f>IFERROR(INDEX(Data!DC$9:DC$1273,MATCH($M150,Data!$K$9:$K$1273,0)),"")</f>
        <v/>
      </c>
      <c r="BG150" s="225" t="str">
        <f>IFERROR(INDEX(Data!DD$9:DD$1273,MATCH($M150,Data!$K$9:$K$1273,0)),"")</f>
        <v/>
      </c>
      <c r="BH150" s="225" t="str">
        <f>IFERROR(INDEX(Data!DE$9:DE$1273,MATCH($M150,Data!$K$9:$K$1273,0)),"")</f>
        <v/>
      </c>
      <c r="BI150" s="225" t="str">
        <f>IFERROR(INDEX(Data!DF$9:DF$1273,MATCH($M150,Data!$K$9:$K$1273,0)),"")</f>
        <v/>
      </c>
      <c r="BJ150" s="225" t="str">
        <f>IFERROR(INDEX(Data!DG$9:DG$1273,MATCH($M150,Data!$K$9:$K$1273,0)),"")</f>
        <v/>
      </c>
      <c r="BK150" s="225" t="str">
        <f>IFERROR(INDEX(Data!DH$9:DH$1273,MATCH($M150,Data!$K$9:$K$1273,0)),"")</f>
        <v/>
      </c>
      <c r="BL150" s="225" t="str">
        <f>IFERROR(INDEX(Data!DI$9:DI$1273,MATCH($M150,Data!$K$9:$K$1273,0)),"")</f>
        <v/>
      </c>
      <c r="BM150" s="225" t="str">
        <f>IFERROR(INDEX(Data!DJ$9:DJ$1273,MATCH($M150,Data!$K$9:$K$1273,0)),"")</f>
        <v/>
      </c>
      <c r="BN150" s="225" t="str">
        <f>IFERROR(INDEX(Data!DK$9:DK$1273,MATCH($M150,Data!$K$9:$K$1273,0)),"")</f>
        <v/>
      </c>
      <c r="BO150" s="225" t="str">
        <f>IFERROR(INDEX(Data!DL$9:DL$1273,MATCH($M150,Data!$K$9:$K$1273,0)),"")</f>
        <v/>
      </c>
      <c r="BP150" s="243" t="str">
        <f t="shared" si="17"/>
        <v/>
      </c>
      <c r="BQ150" s="225" t="str">
        <f t="shared" si="18"/>
        <v xml:space="preserve"> </v>
      </c>
      <c r="BR150" s="225" t="str">
        <f t="shared" si="19"/>
        <v/>
      </c>
      <c r="BS150" s="225" t="str">
        <f>IFERROR(INDEX(Data!$DO$9:$DO$1273,MATCH('Your recommendation'!BR150,Data!$DN$9:$DN$1273,0)),"")</f>
        <v/>
      </c>
    </row>
    <row r="151" spans="2:71" ht="15.6" customHeight="1">
      <c r="B151" s="222" t="str">
        <f t="shared" si="20"/>
        <v/>
      </c>
      <c r="C151" s="223"/>
      <c r="D151" s="225" t="str">
        <f>IFERROR(INDEX(Data!BR$9:BR$1273,MATCH($M151,Data!$K$9:$K$1273,0)),"")</f>
        <v/>
      </c>
      <c r="E151" s="225" t="str">
        <f>IFERROR(INDEX(Data!BS$9:BS$1273,MATCH($M151,Data!$K$9:$K$1273,0)),"")</f>
        <v/>
      </c>
      <c r="F151" s="225" t="str">
        <f>IFERROR(INDEX(Data!DM$9:DM$1273,MATCH($M151,Data!$K$9:$K$1273,0)),"")</f>
        <v/>
      </c>
      <c r="G151" s="225" t="str">
        <f>IFERROR(INDEX(Data!BV$9:BV$1273,MATCH($M151,Data!$K$9:$K$1273,0)),"")</f>
        <v/>
      </c>
      <c r="H151" s="225" t="str">
        <f>IFERROR(INDEX(Data!BW$9:BW$1273,MATCH($M151,Data!$K$9:$K$1273,0)),"")</f>
        <v/>
      </c>
      <c r="I151" s="225" t="str">
        <f>IFERROR(INDEX(Data!BX$9:BX$1273,MATCH($M151,Data!$K$9:$K$1273,0)),"")</f>
        <v/>
      </c>
      <c r="J151" s="225" t="str">
        <f>IFERROR(INDEX(Data!CB$9:CB$1273,MATCH($M151,Data!$K$9:$K$1273,0)),"")</f>
        <v/>
      </c>
      <c r="K151" s="241" t="str">
        <f t="shared" si="15"/>
        <v/>
      </c>
      <c r="L151" s="242" t="str">
        <f t="shared" si="16"/>
        <v/>
      </c>
      <c r="M151" s="224"/>
      <c r="N151" s="224"/>
      <c r="O151" s="224" t="str">
        <f>IFERROR(INDEX(Data!M$9:M$1273,MATCH($M151,Data!$K$9:$K$1273,0)),"")</f>
        <v/>
      </c>
      <c r="P151" s="224" t="str">
        <f>IFERROR(INDEX(Data!N$9:N$1273,MATCH($M151,Data!$K$9:$K$1273,0)),"")</f>
        <v/>
      </c>
      <c r="Q151" s="224" t="str">
        <f>IFERROR(INDEX(Data!O$9:O$1273,MATCH($M151,Data!$K$9:$K$1273,0)),"")</f>
        <v/>
      </c>
      <c r="R151" s="224" t="str">
        <f>IFERROR(INDEX(Data!P$9:P$1273,MATCH($M151,Data!$K$9:$K$1273,0)),"")</f>
        <v/>
      </c>
      <c r="S151" s="224" t="str">
        <f>IFERROR(INDEX(Data!S$9:S$1273,MATCH($M151,Data!$K$9:$K$1273,0)),"")</f>
        <v/>
      </c>
      <c r="T151" s="224" t="str">
        <f>IFERROR(INDEX(Data!T$9:T$1273,MATCH($M151,Data!$K$9:$K$1273,0)),"")</f>
        <v/>
      </c>
      <c r="U151" s="224" t="str">
        <f>IFERROR(INDEX(Data!U$9:U$1273,MATCH($M151,Data!$K$9:$K$1273,0)),"")</f>
        <v/>
      </c>
      <c r="V151" s="224" t="str">
        <f>IFERROR(INDEX(Data!V$9:V$1273,MATCH($M151,Data!$K$9:$K$1273,0)),"")</f>
        <v/>
      </c>
      <c r="W151" s="224" t="str">
        <f>IFERROR(INDEX(Data!W$9:W$1273,MATCH($M151,Data!$K$9:$K$1273,0)),"")</f>
        <v/>
      </c>
      <c r="X151" s="224" t="str">
        <f>IFERROR(INDEX(Data!AJ$9:AJ$1273,MATCH($M151,Data!$K$9:$K$1273,0)),"")</f>
        <v/>
      </c>
      <c r="Y151" s="224" t="str">
        <f>IFERROR(INDEX(Data!AK$9:AK$1273,MATCH($M151,Data!$K$9:$K$1273,0)),"")</f>
        <v/>
      </c>
      <c r="Z151" s="224" t="str">
        <f>IFERROR(INDEX(Data!AL$9:AL$1273,MATCH($M151,Data!$K$9:$K$1273,0)),"")</f>
        <v/>
      </c>
      <c r="AA151" s="224" t="str">
        <f>IFERROR(INDEX(Data!AM$9:AM$1273,MATCH($M151,Data!$K$9:$K$1273,0)),"")</f>
        <v/>
      </c>
      <c r="AB151" s="224" t="str">
        <f>IFERROR(INDEX(Data!AN$9:AN$1273,MATCH($M151,Data!$K$9:$K$1273,0)),"")</f>
        <v/>
      </c>
      <c r="AC151" s="225" t="str">
        <f>IFERROR(INDEX(Data!BY$9:BY$1273,MATCH($M151,Data!$K$9:$K$1273,0)),"")</f>
        <v/>
      </c>
      <c r="AD151" s="225" t="str">
        <f>IFERROR(INDEX(Data!BZ$9:BZ$1273,MATCH($M151,Data!$K$9:$K$1273,0)),"")</f>
        <v/>
      </c>
      <c r="AE151" s="225" t="str">
        <f>IFERROR(INDEX(Data!CA$9:CA$1273,MATCH($M151,Data!$K$9:$K$1273,0)),"")</f>
        <v/>
      </c>
      <c r="AF151" s="225" t="str">
        <f>IFERROR(INDEX(Data!CB$9:CB$1273,MATCH($M151,Data!$K$9:$K$1273,0)),"")</f>
        <v/>
      </c>
      <c r="AG151" s="225" t="str">
        <f>IFERROR(INDEX(Data!CC$9:CC$1273,MATCH($M151,Data!$K$9:$K$1273,0)),"")</f>
        <v/>
      </c>
      <c r="AH151" s="225" t="str">
        <f>IFERROR(INDEX(Data!CD$9:CD$1273,MATCH($M151,Data!$K$9:$K$1273,0)),"")</f>
        <v/>
      </c>
      <c r="AI151" s="225" t="str">
        <f>IFERROR(INDEX(Data!CE$9:CE$1273,MATCH($M151,Data!$K$9:$K$1273,0)),"")</f>
        <v/>
      </c>
      <c r="AJ151" s="225" t="str">
        <f>IFERROR(INDEX(Data!CF$9:CF$1273,MATCH($M151,Data!$K$9:$K$1273,0)),"")</f>
        <v/>
      </c>
      <c r="AK151" s="225" t="str">
        <f>IFERROR(INDEX(Data!CG$9:CG$1273,MATCH($M151,Data!$K$9:$K$1273,0)),"")</f>
        <v/>
      </c>
      <c r="AL151" s="225" t="str">
        <f>IFERROR(INDEX(Data!CH$9:CH$1273,MATCH($M151,Data!$K$9:$K$1273,0)),"")</f>
        <v/>
      </c>
      <c r="AM151" s="225" t="str">
        <f>IFERROR(INDEX(Data!CI$9:CI$1273,MATCH($M151,Data!$K$9:$K$1273,0)),"")</f>
        <v/>
      </c>
      <c r="AN151" s="225" t="str">
        <f>IFERROR(INDEX(Data!CJ$9:CJ$1273,MATCH($M151,Data!$K$9:$K$1273,0)),"")</f>
        <v/>
      </c>
      <c r="AO151" s="225" t="str">
        <f>IFERROR(INDEX(Data!CK$9:CK$1273,MATCH($M151,Data!$K$9:$K$1273,0)),"")</f>
        <v/>
      </c>
      <c r="AP151" s="225" t="str">
        <f>IFERROR(INDEX(Data!CL$9:CL$1273,MATCH($M151,Data!$K$9:$K$1273,0)),"")</f>
        <v/>
      </c>
      <c r="AQ151" s="225" t="str">
        <f>IFERROR(INDEX(Data!CM$9:CM$1273,MATCH($M151,Data!$K$9:$K$1273,0)),"")</f>
        <v/>
      </c>
      <c r="AR151" s="225" t="str">
        <f>IFERROR(INDEX(Data!CN$9:CN$1273,MATCH($M151,Data!$K$9:$K$1273,0)),"")</f>
        <v/>
      </c>
      <c r="AS151" s="225" t="str">
        <f>IFERROR(INDEX(Data!CO$9:CO$1273,MATCH($M151,Data!$K$9:$K$1273,0)),"")</f>
        <v/>
      </c>
      <c r="AT151" s="225" t="str">
        <f>IFERROR(INDEX(Data!CP$9:CP$1273,MATCH($M151,Data!$K$9:$K$1273,0)),"")</f>
        <v/>
      </c>
      <c r="AU151" s="225" t="str">
        <f>IFERROR(INDEX(Data!CQ$9:CQ$1273,MATCH($M151,Data!$K$9:$K$1273,0)),"")</f>
        <v/>
      </c>
      <c r="AV151" s="225" t="str">
        <f>IFERROR(INDEX(Data!CR$9:CR$1273,MATCH($M151,Data!$K$9:$K$1273,0)),"")</f>
        <v/>
      </c>
      <c r="AW151" s="225" t="str">
        <f>IFERROR(INDEX(Data!CS$9:CS$1273,MATCH($M151,Data!$K$9:$K$1273,0)),"")</f>
        <v/>
      </c>
      <c r="AX151" s="225" t="str">
        <f>IFERROR(INDEX(Data!CT$9:CT$1273,MATCH($M151,Data!$K$9:$K$1273,0)),"")</f>
        <v/>
      </c>
      <c r="AY151" s="225" t="str">
        <f>IFERROR(INDEX(Data!CU$9:CU$1273,MATCH($M151,Data!$K$9:$K$1273,0)),"")</f>
        <v/>
      </c>
      <c r="AZ151" s="225" t="str">
        <f>IFERROR(INDEX(Data!CV$9:CV$1273,MATCH($M151,Data!$K$9:$K$1273,0)),"")</f>
        <v/>
      </c>
      <c r="BA151" s="225" t="str">
        <f>IFERROR(INDEX(Data!CX$9:CX$1273,MATCH($M151,Data!$K$9:$K$1273,0)),"")</f>
        <v/>
      </c>
      <c r="BB151" s="225" t="str">
        <f>IFERROR(INDEX(Data!CY$9:CY$1273,MATCH($M151,Data!$K$9:$K$1273,0)),"")</f>
        <v/>
      </c>
      <c r="BC151" s="225" t="str">
        <f>IFERROR(INDEX(Data!CZ$9:CZ$1273,MATCH($M151,Data!$K$9:$K$1273,0)),"")</f>
        <v/>
      </c>
      <c r="BD151" s="225" t="str">
        <f>IFERROR(INDEX(Data!DA$9:DA$1273,MATCH($M151,Data!$K$9:$K$1273,0)),"")</f>
        <v/>
      </c>
      <c r="BE151" s="225" t="str">
        <f>IFERROR(INDEX(Data!DB$9:DB$1273,MATCH($M151,Data!$K$9:$K$1273,0)),"")</f>
        <v/>
      </c>
      <c r="BF151" s="225" t="str">
        <f>IFERROR(INDEX(Data!DC$9:DC$1273,MATCH($M151,Data!$K$9:$K$1273,0)),"")</f>
        <v/>
      </c>
      <c r="BG151" s="225" t="str">
        <f>IFERROR(INDEX(Data!DD$9:DD$1273,MATCH($M151,Data!$K$9:$K$1273,0)),"")</f>
        <v/>
      </c>
      <c r="BH151" s="225" t="str">
        <f>IFERROR(INDEX(Data!DE$9:DE$1273,MATCH($M151,Data!$K$9:$K$1273,0)),"")</f>
        <v/>
      </c>
      <c r="BI151" s="225" t="str">
        <f>IFERROR(INDEX(Data!DF$9:DF$1273,MATCH($M151,Data!$K$9:$K$1273,0)),"")</f>
        <v/>
      </c>
      <c r="BJ151" s="225" t="str">
        <f>IFERROR(INDEX(Data!DG$9:DG$1273,MATCH($M151,Data!$K$9:$K$1273,0)),"")</f>
        <v/>
      </c>
      <c r="BK151" s="225" t="str">
        <f>IFERROR(INDEX(Data!DH$9:DH$1273,MATCH($M151,Data!$K$9:$K$1273,0)),"")</f>
        <v/>
      </c>
      <c r="BL151" s="225" t="str">
        <f>IFERROR(INDEX(Data!DI$9:DI$1273,MATCH($M151,Data!$K$9:$K$1273,0)),"")</f>
        <v/>
      </c>
      <c r="BM151" s="225" t="str">
        <f>IFERROR(INDEX(Data!DJ$9:DJ$1273,MATCH($M151,Data!$K$9:$K$1273,0)),"")</f>
        <v/>
      </c>
      <c r="BN151" s="225" t="str">
        <f>IFERROR(INDEX(Data!DK$9:DK$1273,MATCH($M151,Data!$K$9:$K$1273,0)),"")</f>
        <v/>
      </c>
      <c r="BO151" s="225" t="str">
        <f>IFERROR(INDEX(Data!DL$9:DL$1273,MATCH($M151,Data!$K$9:$K$1273,0)),"")</f>
        <v/>
      </c>
      <c r="BP151" s="243" t="str">
        <f t="shared" si="17"/>
        <v/>
      </c>
      <c r="BQ151" s="225" t="str">
        <f t="shared" si="18"/>
        <v xml:space="preserve"> </v>
      </c>
      <c r="BR151" s="225" t="str">
        <f t="shared" si="19"/>
        <v/>
      </c>
      <c r="BS151" s="225" t="str">
        <f>IFERROR(INDEX(Data!$DO$9:$DO$1273,MATCH('Your recommendation'!BR151,Data!$DN$9:$DN$1273,0)),"")</f>
        <v/>
      </c>
    </row>
    <row r="152" spans="2:71" ht="15.6" customHeight="1">
      <c r="B152" s="222" t="str">
        <f t="shared" si="20"/>
        <v/>
      </c>
      <c r="C152" s="223"/>
      <c r="D152" s="225" t="str">
        <f>IFERROR(INDEX(Data!BR$9:BR$1273,MATCH($M152,Data!$K$9:$K$1273,0)),"")</f>
        <v/>
      </c>
      <c r="E152" s="225" t="str">
        <f>IFERROR(INDEX(Data!BS$9:BS$1273,MATCH($M152,Data!$K$9:$K$1273,0)),"")</f>
        <v/>
      </c>
      <c r="F152" s="225" t="str">
        <f>IFERROR(INDEX(Data!DM$9:DM$1273,MATCH($M152,Data!$K$9:$K$1273,0)),"")</f>
        <v/>
      </c>
      <c r="G152" s="225" t="str">
        <f>IFERROR(INDEX(Data!BV$9:BV$1273,MATCH($M152,Data!$K$9:$K$1273,0)),"")</f>
        <v/>
      </c>
      <c r="H152" s="225" t="str">
        <f>IFERROR(INDEX(Data!BW$9:BW$1273,MATCH($M152,Data!$K$9:$K$1273,0)),"")</f>
        <v/>
      </c>
      <c r="I152" s="225" t="str">
        <f>IFERROR(INDEX(Data!BX$9:BX$1273,MATCH($M152,Data!$K$9:$K$1273,0)),"")</f>
        <v/>
      </c>
      <c r="J152" s="225" t="str">
        <f>IFERROR(INDEX(Data!CB$9:CB$1273,MATCH($M152,Data!$K$9:$K$1273,0)),"")</f>
        <v/>
      </c>
      <c r="K152" s="241" t="str">
        <f t="shared" si="15"/>
        <v/>
      </c>
      <c r="L152" s="242" t="str">
        <f t="shared" si="16"/>
        <v/>
      </c>
      <c r="M152" s="224"/>
      <c r="N152" s="224"/>
      <c r="O152" s="224" t="str">
        <f>IFERROR(INDEX(Data!M$9:M$1273,MATCH($M152,Data!$K$9:$K$1273,0)),"")</f>
        <v/>
      </c>
      <c r="P152" s="224" t="str">
        <f>IFERROR(INDEX(Data!N$9:N$1273,MATCH($M152,Data!$K$9:$K$1273,0)),"")</f>
        <v/>
      </c>
      <c r="Q152" s="224" t="str">
        <f>IFERROR(INDEX(Data!O$9:O$1273,MATCH($M152,Data!$K$9:$K$1273,0)),"")</f>
        <v/>
      </c>
      <c r="R152" s="224" t="str">
        <f>IFERROR(INDEX(Data!P$9:P$1273,MATCH($M152,Data!$K$9:$K$1273,0)),"")</f>
        <v/>
      </c>
      <c r="S152" s="224" t="str">
        <f>IFERROR(INDEX(Data!S$9:S$1273,MATCH($M152,Data!$K$9:$K$1273,0)),"")</f>
        <v/>
      </c>
      <c r="T152" s="224" t="str">
        <f>IFERROR(INDEX(Data!T$9:T$1273,MATCH($M152,Data!$K$9:$K$1273,0)),"")</f>
        <v/>
      </c>
      <c r="U152" s="224" t="str">
        <f>IFERROR(INDEX(Data!U$9:U$1273,MATCH($M152,Data!$K$9:$K$1273,0)),"")</f>
        <v/>
      </c>
      <c r="V152" s="224" t="str">
        <f>IFERROR(INDEX(Data!V$9:V$1273,MATCH($M152,Data!$K$9:$K$1273,0)),"")</f>
        <v/>
      </c>
      <c r="W152" s="224" t="str">
        <f>IFERROR(INDEX(Data!W$9:W$1273,MATCH($M152,Data!$K$9:$K$1273,0)),"")</f>
        <v/>
      </c>
      <c r="X152" s="224" t="str">
        <f>IFERROR(INDEX(Data!AJ$9:AJ$1273,MATCH($M152,Data!$K$9:$K$1273,0)),"")</f>
        <v/>
      </c>
      <c r="Y152" s="224" t="str">
        <f>IFERROR(INDEX(Data!AK$9:AK$1273,MATCH($M152,Data!$K$9:$K$1273,0)),"")</f>
        <v/>
      </c>
      <c r="Z152" s="224" t="str">
        <f>IFERROR(INDEX(Data!AL$9:AL$1273,MATCH($M152,Data!$K$9:$K$1273,0)),"")</f>
        <v/>
      </c>
      <c r="AA152" s="224" t="str">
        <f>IFERROR(INDEX(Data!AM$9:AM$1273,MATCH($M152,Data!$K$9:$K$1273,0)),"")</f>
        <v/>
      </c>
      <c r="AB152" s="224" t="str">
        <f>IFERROR(INDEX(Data!AN$9:AN$1273,MATCH($M152,Data!$K$9:$K$1273,0)),"")</f>
        <v/>
      </c>
      <c r="AC152" s="225" t="str">
        <f>IFERROR(INDEX(Data!BY$9:BY$1273,MATCH($M152,Data!$K$9:$K$1273,0)),"")</f>
        <v/>
      </c>
      <c r="AD152" s="225" t="str">
        <f>IFERROR(INDEX(Data!BZ$9:BZ$1273,MATCH($M152,Data!$K$9:$K$1273,0)),"")</f>
        <v/>
      </c>
      <c r="AE152" s="225" t="str">
        <f>IFERROR(INDEX(Data!CA$9:CA$1273,MATCH($M152,Data!$K$9:$K$1273,0)),"")</f>
        <v/>
      </c>
      <c r="AF152" s="225" t="str">
        <f>IFERROR(INDEX(Data!CB$9:CB$1273,MATCH($M152,Data!$K$9:$K$1273,0)),"")</f>
        <v/>
      </c>
      <c r="AG152" s="225" t="str">
        <f>IFERROR(INDEX(Data!CC$9:CC$1273,MATCH($M152,Data!$K$9:$K$1273,0)),"")</f>
        <v/>
      </c>
      <c r="AH152" s="225" t="str">
        <f>IFERROR(INDEX(Data!CD$9:CD$1273,MATCH($M152,Data!$K$9:$K$1273,0)),"")</f>
        <v/>
      </c>
      <c r="AI152" s="225" t="str">
        <f>IFERROR(INDEX(Data!CE$9:CE$1273,MATCH($M152,Data!$K$9:$K$1273,0)),"")</f>
        <v/>
      </c>
      <c r="AJ152" s="225" t="str">
        <f>IFERROR(INDEX(Data!CF$9:CF$1273,MATCH($M152,Data!$K$9:$K$1273,0)),"")</f>
        <v/>
      </c>
      <c r="AK152" s="225" t="str">
        <f>IFERROR(INDEX(Data!CG$9:CG$1273,MATCH($M152,Data!$K$9:$K$1273,0)),"")</f>
        <v/>
      </c>
      <c r="AL152" s="225" t="str">
        <f>IFERROR(INDEX(Data!CH$9:CH$1273,MATCH($M152,Data!$K$9:$K$1273,0)),"")</f>
        <v/>
      </c>
      <c r="AM152" s="225" t="str">
        <f>IFERROR(INDEX(Data!CI$9:CI$1273,MATCH($M152,Data!$K$9:$K$1273,0)),"")</f>
        <v/>
      </c>
      <c r="AN152" s="225" t="str">
        <f>IFERROR(INDEX(Data!CJ$9:CJ$1273,MATCH($M152,Data!$K$9:$K$1273,0)),"")</f>
        <v/>
      </c>
      <c r="AO152" s="225" t="str">
        <f>IFERROR(INDEX(Data!CK$9:CK$1273,MATCH($M152,Data!$K$9:$K$1273,0)),"")</f>
        <v/>
      </c>
      <c r="AP152" s="225" t="str">
        <f>IFERROR(INDEX(Data!CL$9:CL$1273,MATCH($M152,Data!$K$9:$K$1273,0)),"")</f>
        <v/>
      </c>
      <c r="AQ152" s="225" t="str">
        <f>IFERROR(INDEX(Data!CM$9:CM$1273,MATCH($M152,Data!$K$9:$K$1273,0)),"")</f>
        <v/>
      </c>
      <c r="AR152" s="225" t="str">
        <f>IFERROR(INDEX(Data!CN$9:CN$1273,MATCH($M152,Data!$K$9:$K$1273,0)),"")</f>
        <v/>
      </c>
      <c r="AS152" s="225" t="str">
        <f>IFERROR(INDEX(Data!CO$9:CO$1273,MATCH($M152,Data!$K$9:$K$1273,0)),"")</f>
        <v/>
      </c>
      <c r="AT152" s="225" t="str">
        <f>IFERROR(INDEX(Data!CP$9:CP$1273,MATCH($M152,Data!$K$9:$K$1273,0)),"")</f>
        <v/>
      </c>
      <c r="AU152" s="225" t="str">
        <f>IFERROR(INDEX(Data!CQ$9:CQ$1273,MATCH($M152,Data!$K$9:$K$1273,0)),"")</f>
        <v/>
      </c>
      <c r="AV152" s="225" t="str">
        <f>IFERROR(INDEX(Data!CR$9:CR$1273,MATCH($M152,Data!$K$9:$K$1273,0)),"")</f>
        <v/>
      </c>
      <c r="AW152" s="225" t="str">
        <f>IFERROR(INDEX(Data!CS$9:CS$1273,MATCH($M152,Data!$K$9:$K$1273,0)),"")</f>
        <v/>
      </c>
      <c r="AX152" s="225" t="str">
        <f>IFERROR(INDEX(Data!CT$9:CT$1273,MATCH($M152,Data!$K$9:$K$1273,0)),"")</f>
        <v/>
      </c>
      <c r="AY152" s="225" t="str">
        <f>IFERROR(INDEX(Data!CU$9:CU$1273,MATCH($M152,Data!$K$9:$K$1273,0)),"")</f>
        <v/>
      </c>
      <c r="AZ152" s="225" t="str">
        <f>IFERROR(INDEX(Data!CV$9:CV$1273,MATCH($M152,Data!$K$9:$K$1273,0)),"")</f>
        <v/>
      </c>
      <c r="BA152" s="225" t="str">
        <f>IFERROR(INDEX(Data!CX$9:CX$1273,MATCH($M152,Data!$K$9:$K$1273,0)),"")</f>
        <v/>
      </c>
      <c r="BB152" s="225" t="str">
        <f>IFERROR(INDEX(Data!CY$9:CY$1273,MATCH($M152,Data!$K$9:$K$1273,0)),"")</f>
        <v/>
      </c>
      <c r="BC152" s="225" t="str">
        <f>IFERROR(INDEX(Data!CZ$9:CZ$1273,MATCH($M152,Data!$K$9:$K$1273,0)),"")</f>
        <v/>
      </c>
      <c r="BD152" s="225" t="str">
        <f>IFERROR(INDEX(Data!DA$9:DA$1273,MATCH($M152,Data!$K$9:$K$1273,0)),"")</f>
        <v/>
      </c>
      <c r="BE152" s="225" t="str">
        <f>IFERROR(INDEX(Data!DB$9:DB$1273,MATCH($M152,Data!$K$9:$K$1273,0)),"")</f>
        <v/>
      </c>
      <c r="BF152" s="225" t="str">
        <f>IFERROR(INDEX(Data!DC$9:DC$1273,MATCH($M152,Data!$K$9:$K$1273,0)),"")</f>
        <v/>
      </c>
      <c r="BG152" s="225" t="str">
        <f>IFERROR(INDEX(Data!DD$9:DD$1273,MATCH($M152,Data!$K$9:$K$1273,0)),"")</f>
        <v/>
      </c>
      <c r="BH152" s="225" t="str">
        <f>IFERROR(INDEX(Data!DE$9:DE$1273,MATCH($M152,Data!$K$9:$K$1273,0)),"")</f>
        <v/>
      </c>
      <c r="BI152" s="225" t="str">
        <f>IFERROR(INDEX(Data!DF$9:DF$1273,MATCH($M152,Data!$K$9:$K$1273,0)),"")</f>
        <v/>
      </c>
      <c r="BJ152" s="225" t="str">
        <f>IFERROR(INDEX(Data!DG$9:DG$1273,MATCH($M152,Data!$K$9:$K$1273,0)),"")</f>
        <v/>
      </c>
      <c r="BK152" s="225" t="str">
        <f>IFERROR(INDEX(Data!DH$9:DH$1273,MATCH($M152,Data!$K$9:$K$1273,0)),"")</f>
        <v/>
      </c>
      <c r="BL152" s="225" t="str">
        <f>IFERROR(INDEX(Data!DI$9:DI$1273,MATCH($M152,Data!$K$9:$K$1273,0)),"")</f>
        <v/>
      </c>
      <c r="BM152" s="225" t="str">
        <f>IFERROR(INDEX(Data!DJ$9:DJ$1273,MATCH($M152,Data!$K$9:$K$1273,0)),"")</f>
        <v/>
      </c>
      <c r="BN152" s="225" t="str">
        <f>IFERROR(INDEX(Data!DK$9:DK$1273,MATCH($M152,Data!$K$9:$K$1273,0)),"")</f>
        <v/>
      </c>
      <c r="BO152" s="225" t="str">
        <f>IFERROR(INDEX(Data!DL$9:DL$1273,MATCH($M152,Data!$K$9:$K$1273,0)),"")</f>
        <v/>
      </c>
      <c r="BP152" s="243" t="str">
        <f t="shared" si="17"/>
        <v/>
      </c>
      <c r="BQ152" s="225" t="str">
        <f t="shared" si="18"/>
        <v xml:space="preserve"> </v>
      </c>
      <c r="BR152" s="225" t="str">
        <f t="shared" si="19"/>
        <v/>
      </c>
      <c r="BS152" s="225" t="str">
        <f>IFERROR(INDEX(Data!$DO$9:$DO$1273,MATCH('Your recommendation'!BR152,Data!$DN$9:$DN$1273,0)),"")</f>
        <v/>
      </c>
    </row>
    <row r="153" spans="2:71" ht="15.6" customHeight="1">
      <c r="B153" s="222" t="str">
        <f t="shared" si="20"/>
        <v/>
      </c>
      <c r="C153" s="223"/>
      <c r="D153" s="225" t="str">
        <f>IFERROR(INDEX(Data!BR$9:BR$1273,MATCH($M153,Data!$K$9:$K$1273,0)),"")</f>
        <v/>
      </c>
      <c r="E153" s="225" t="str">
        <f>IFERROR(INDEX(Data!BS$9:BS$1273,MATCH($M153,Data!$K$9:$K$1273,0)),"")</f>
        <v/>
      </c>
      <c r="F153" s="225" t="str">
        <f>IFERROR(INDEX(Data!DM$9:DM$1273,MATCH($M153,Data!$K$9:$K$1273,0)),"")</f>
        <v/>
      </c>
      <c r="G153" s="225" t="str">
        <f>IFERROR(INDEX(Data!BV$9:BV$1273,MATCH($M153,Data!$K$9:$K$1273,0)),"")</f>
        <v/>
      </c>
      <c r="H153" s="225" t="str">
        <f>IFERROR(INDEX(Data!BW$9:BW$1273,MATCH($M153,Data!$K$9:$K$1273,0)),"")</f>
        <v/>
      </c>
      <c r="I153" s="225" t="str">
        <f>IFERROR(INDEX(Data!BX$9:BX$1273,MATCH($M153,Data!$K$9:$K$1273,0)),"")</f>
        <v/>
      </c>
      <c r="J153" s="225" t="str">
        <f>IFERROR(INDEX(Data!CB$9:CB$1273,MATCH($M153,Data!$K$9:$K$1273,0)),"")</f>
        <v/>
      </c>
      <c r="K153" s="241" t="str">
        <f t="shared" si="15"/>
        <v/>
      </c>
      <c r="L153" s="242" t="str">
        <f t="shared" si="16"/>
        <v/>
      </c>
      <c r="M153" s="224"/>
      <c r="N153" s="224"/>
      <c r="O153" s="224" t="str">
        <f>IFERROR(INDEX(Data!M$9:M$1273,MATCH($M153,Data!$K$9:$K$1273,0)),"")</f>
        <v/>
      </c>
      <c r="P153" s="224" t="str">
        <f>IFERROR(INDEX(Data!N$9:N$1273,MATCH($M153,Data!$K$9:$K$1273,0)),"")</f>
        <v/>
      </c>
      <c r="Q153" s="224" t="str">
        <f>IFERROR(INDEX(Data!O$9:O$1273,MATCH($M153,Data!$K$9:$K$1273,0)),"")</f>
        <v/>
      </c>
      <c r="R153" s="224" t="str">
        <f>IFERROR(INDEX(Data!P$9:P$1273,MATCH($M153,Data!$K$9:$K$1273,0)),"")</f>
        <v/>
      </c>
      <c r="S153" s="224" t="str">
        <f>IFERROR(INDEX(Data!S$9:S$1273,MATCH($M153,Data!$K$9:$K$1273,0)),"")</f>
        <v/>
      </c>
      <c r="T153" s="224" t="str">
        <f>IFERROR(INDEX(Data!T$9:T$1273,MATCH($M153,Data!$K$9:$K$1273,0)),"")</f>
        <v/>
      </c>
      <c r="U153" s="224" t="str">
        <f>IFERROR(INDEX(Data!U$9:U$1273,MATCH($M153,Data!$K$9:$K$1273,0)),"")</f>
        <v/>
      </c>
      <c r="V153" s="224" t="str">
        <f>IFERROR(INDEX(Data!V$9:V$1273,MATCH($M153,Data!$K$9:$K$1273,0)),"")</f>
        <v/>
      </c>
      <c r="W153" s="224" t="str">
        <f>IFERROR(INDEX(Data!W$9:W$1273,MATCH($M153,Data!$K$9:$K$1273,0)),"")</f>
        <v/>
      </c>
      <c r="X153" s="224" t="str">
        <f>IFERROR(INDEX(Data!AJ$9:AJ$1273,MATCH($M153,Data!$K$9:$K$1273,0)),"")</f>
        <v/>
      </c>
      <c r="Y153" s="224" t="str">
        <f>IFERROR(INDEX(Data!AK$9:AK$1273,MATCH($M153,Data!$K$9:$K$1273,0)),"")</f>
        <v/>
      </c>
      <c r="Z153" s="224" t="str">
        <f>IFERROR(INDEX(Data!AL$9:AL$1273,MATCH($M153,Data!$K$9:$K$1273,0)),"")</f>
        <v/>
      </c>
      <c r="AA153" s="224" t="str">
        <f>IFERROR(INDEX(Data!AM$9:AM$1273,MATCH($M153,Data!$K$9:$K$1273,0)),"")</f>
        <v/>
      </c>
      <c r="AB153" s="224" t="str">
        <f>IFERROR(INDEX(Data!AN$9:AN$1273,MATCH($M153,Data!$K$9:$K$1273,0)),"")</f>
        <v/>
      </c>
      <c r="AC153" s="225" t="str">
        <f>IFERROR(INDEX(Data!BY$9:BY$1273,MATCH($M153,Data!$K$9:$K$1273,0)),"")</f>
        <v/>
      </c>
      <c r="AD153" s="225" t="str">
        <f>IFERROR(INDEX(Data!BZ$9:BZ$1273,MATCH($M153,Data!$K$9:$K$1273,0)),"")</f>
        <v/>
      </c>
      <c r="AE153" s="225" t="str">
        <f>IFERROR(INDEX(Data!CA$9:CA$1273,MATCH($M153,Data!$K$9:$K$1273,0)),"")</f>
        <v/>
      </c>
      <c r="AF153" s="225" t="str">
        <f>IFERROR(INDEX(Data!CB$9:CB$1273,MATCH($M153,Data!$K$9:$K$1273,0)),"")</f>
        <v/>
      </c>
      <c r="AG153" s="225" t="str">
        <f>IFERROR(INDEX(Data!CC$9:CC$1273,MATCH($M153,Data!$K$9:$K$1273,0)),"")</f>
        <v/>
      </c>
      <c r="AH153" s="225" t="str">
        <f>IFERROR(INDEX(Data!CD$9:CD$1273,MATCH($M153,Data!$K$9:$K$1273,0)),"")</f>
        <v/>
      </c>
      <c r="AI153" s="225" t="str">
        <f>IFERROR(INDEX(Data!CE$9:CE$1273,MATCH($M153,Data!$K$9:$K$1273,0)),"")</f>
        <v/>
      </c>
      <c r="AJ153" s="225" t="str">
        <f>IFERROR(INDEX(Data!CF$9:CF$1273,MATCH($M153,Data!$K$9:$K$1273,0)),"")</f>
        <v/>
      </c>
      <c r="AK153" s="225" t="str">
        <f>IFERROR(INDEX(Data!CG$9:CG$1273,MATCH($M153,Data!$K$9:$K$1273,0)),"")</f>
        <v/>
      </c>
      <c r="AL153" s="225" t="str">
        <f>IFERROR(INDEX(Data!CH$9:CH$1273,MATCH($M153,Data!$K$9:$K$1273,0)),"")</f>
        <v/>
      </c>
      <c r="AM153" s="225" t="str">
        <f>IFERROR(INDEX(Data!CI$9:CI$1273,MATCH($M153,Data!$K$9:$K$1273,0)),"")</f>
        <v/>
      </c>
      <c r="AN153" s="225" t="str">
        <f>IFERROR(INDEX(Data!CJ$9:CJ$1273,MATCH($M153,Data!$K$9:$K$1273,0)),"")</f>
        <v/>
      </c>
      <c r="AO153" s="225" t="str">
        <f>IFERROR(INDEX(Data!CK$9:CK$1273,MATCH($M153,Data!$K$9:$K$1273,0)),"")</f>
        <v/>
      </c>
      <c r="AP153" s="225" t="str">
        <f>IFERROR(INDEX(Data!CL$9:CL$1273,MATCH($M153,Data!$K$9:$K$1273,0)),"")</f>
        <v/>
      </c>
      <c r="AQ153" s="225" t="str">
        <f>IFERROR(INDEX(Data!CM$9:CM$1273,MATCH($M153,Data!$K$9:$K$1273,0)),"")</f>
        <v/>
      </c>
      <c r="AR153" s="225" t="str">
        <f>IFERROR(INDEX(Data!CN$9:CN$1273,MATCH($M153,Data!$K$9:$K$1273,0)),"")</f>
        <v/>
      </c>
      <c r="AS153" s="225" t="str">
        <f>IFERROR(INDEX(Data!CO$9:CO$1273,MATCH($M153,Data!$K$9:$K$1273,0)),"")</f>
        <v/>
      </c>
      <c r="AT153" s="225" t="str">
        <f>IFERROR(INDEX(Data!CP$9:CP$1273,MATCH($M153,Data!$K$9:$K$1273,0)),"")</f>
        <v/>
      </c>
      <c r="AU153" s="225" t="str">
        <f>IFERROR(INDEX(Data!CQ$9:CQ$1273,MATCH($M153,Data!$K$9:$K$1273,0)),"")</f>
        <v/>
      </c>
      <c r="AV153" s="225" t="str">
        <f>IFERROR(INDEX(Data!CR$9:CR$1273,MATCH($M153,Data!$K$9:$K$1273,0)),"")</f>
        <v/>
      </c>
      <c r="AW153" s="225" t="str">
        <f>IFERROR(INDEX(Data!CS$9:CS$1273,MATCH($M153,Data!$K$9:$K$1273,0)),"")</f>
        <v/>
      </c>
      <c r="AX153" s="225" t="str">
        <f>IFERROR(INDEX(Data!CT$9:CT$1273,MATCH($M153,Data!$K$9:$K$1273,0)),"")</f>
        <v/>
      </c>
      <c r="AY153" s="225" t="str">
        <f>IFERROR(INDEX(Data!CU$9:CU$1273,MATCH($M153,Data!$K$9:$K$1273,0)),"")</f>
        <v/>
      </c>
      <c r="AZ153" s="225" t="str">
        <f>IFERROR(INDEX(Data!CV$9:CV$1273,MATCH($M153,Data!$K$9:$K$1273,0)),"")</f>
        <v/>
      </c>
      <c r="BA153" s="225" t="str">
        <f>IFERROR(INDEX(Data!CX$9:CX$1273,MATCH($M153,Data!$K$9:$K$1273,0)),"")</f>
        <v/>
      </c>
      <c r="BB153" s="225" t="str">
        <f>IFERROR(INDEX(Data!CY$9:CY$1273,MATCH($M153,Data!$K$9:$K$1273,0)),"")</f>
        <v/>
      </c>
      <c r="BC153" s="225" t="str">
        <f>IFERROR(INDEX(Data!CZ$9:CZ$1273,MATCH($M153,Data!$K$9:$K$1273,0)),"")</f>
        <v/>
      </c>
      <c r="BD153" s="225" t="str">
        <f>IFERROR(INDEX(Data!DA$9:DA$1273,MATCH($M153,Data!$K$9:$K$1273,0)),"")</f>
        <v/>
      </c>
      <c r="BE153" s="225" t="str">
        <f>IFERROR(INDEX(Data!DB$9:DB$1273,MATCH($M153,Data!$K$9:$K$1273,0)),"")</f>
        <v/>
      </c>
      <c r="BF153" s="225" t="str">
        <f>IFERROR(INDEX(Data!DC$9:DC$1273,MATCH($M153,Data!$K$9:$K$1273,0)),"")</f>
        <v/>
      </c>
      <c r="BG153" s="225" t="str">
        <f>IFERROR(INDEX(Data!DD$9:DD$1273,MATCH($M153,Data!$K$9:$K$1273,0)),"")</f>
        <v/>
      </c>
      <c r="BH153" s="225" t="str">
        <f>IFERROR(INDEX(Data!DE$9:DE$1273,MATCH($M153,Data!$K$9:$K$1273,0)),"")</f>
        <v/>
      </c>
      <c r="BI153" s="225" t="str">
        <f>IFERROR(INDEX(Data!DF$9:DF$1273,MATCH($M153,Data!$K$9:$K$1273,0)),"")</f>
        <v/>
      </c>
      <c r="BJ153" s="225" t="str">
        <f>IFERROR(INDEX(Data!DG$9:DG$1273,MATCH($M153,Data!$K$9:$K$1273,0)),"")</f>
        <v/>
      </c>
      <c r="BK153" s="225" t="str">
        <f>IFERROR(INDEX(Data!DH$9:DH$1273,MATCH($M153,Data!$K$9:$K$1273,0)),"")</f>
        <v/>
      </c>
      <c r="BL153" s="225" t="str">
        <f>IFERROR(INDEX(Data!DI$9:DI$1273,MATCH($M153,Data!$K$9:$K$1273,0)),"")</f>
        <v/>
      </c>
      <c r="BM153" s="225" t="str">
        <f>IFERROR(INDEX(Data!DJ$9:DJ$1273,MATCH($M153,Data!$K$9:$K$1273,0)),"")</f>
        <v/>
      </c>
      <c r="BN153" s="225" t="str">
        <f>IFERROR(INDEX(Data!DK$9:DK$1273,MATCH($M153,Data!$K$9:$K$1273,0)),"")</f>
        <v/>
      </c>
      <c r="BO153" s="225" t="str">
        <f>IFERROR(INDEX(Data!DL$9:DL$1273,MATCH($M153,Data!$K$9:$K$1273,0)),"")</f>
        <v/>
      </c>
      <c r="BP153" s="243" t="str">
        <f t="shared" si="17"/>
        <v/>
      </c>
      <c r="BQ153" s="225" t="str">
        <f t="shared" si="18"/>
        <v xml:space="preserve"> </v>
      </c>
      <c r="BR153" s="225" t="str">
        <f t="shared" si="19"/>
        <v/>
      </c>
      <c r="BS153" s="225" t="str">
        <f>IFERROR(INDEX(Data!$DO$9:$DO$1273,MATCH('Your recommendation'!BR153,Data!$DN$9:$DN$1273,0)),"")</f>
        <v/>
      </c>
    </row>
    <row r="154" spans="2:71" ht="15.6" customHeight="1">
      <c r="B154" s="222" t="str">
        <f t="shared" si="20"/>
        <v/>
      </c>
      <c r="C154" s="223"/>
      <c r="D154" s="225" t="str">
        <f>IFERROR(INDEX(Data!BR$9:BR$1273,MATCH($M154,Data!$K$9:$K$1273,0)),"")</f>
        <v/>
      </c>
      <c r="E154" s="225" t="str">
        <f>IFERROR(INDEX(Data!BS$9:BS$1273,MATCH($M154,Data!$K$9:$K$1273,0)),"")</f>
        <v/>
      </c>
      <c r="F154" s="225" t="str">
        <f>IFERROR(INDEX(Data!DM$9:DM$1273,MATCH($M154,Data!$K$9:$K$1273,0)),"")</f>
        <v/>
      </c>
      <c r="G154" s="225" t="str">
        <f>IFERROR(INDEX(Data!BV$9:BV$1273,MATCH($M154,Data!$K$9:$K$1273,0)),"")</f>
        <v/>
      </c>
      <c r="H154" s="225" t="str">
        <f>IFERROR(INDEX(Data!BW$9:BW$1273,MATCH($M154,Data!$K$9:$K$1273,0)),"")</f>
        <v/>
      </c>
      <c r="I154" s="225" t="str">
        <f>IFERROR(INDEX(Data!BX$9:BX$1273,MATCH($M154,Data!$K$9:$K$1273,0)),"")</f>
        <v/>
      </c>
      <c r="J154" s="225" t="str">
        <f>IFERROR(INDEX(Data!CB$9:CB$1273,MATCH($M154,Data!$K$9:$K$1273,0)),"")</f>
        <v/>
      </c>
      <c r="K154" s="241" t="str">
        <f t="shared" si="15"/>
        <v/>
      </c>
      <c r="L154" s="242" t="str">
        <f t="shared" si="16"/>
        <v/>
      </c>
      <c r="M154" s="224"/>
      <c r="N154" s="224"/>
      <c r="O154" s="224" t="str">
        <f>IFERROR(INDEX(Data!M$9:M$1273,MATCH($M154,Data!$K$9:$K$1273,0)),"")</f>
        <v/>
      </c>
      <c r="P154" s="224" t="str">
        <f>IFERROR(INDEX(Data!N$9:N$1273,MATCH($M154,Data!$K$9:$K$1273,0)),"")</f>
        <v/>
      </c>
      <c r="Q154" s="224" t="str">
        <f>IFERROR(INDEX(Data!O$9:O$1273,MATCH($M154,Data!$K$9:$K$1273,0)),"")</f>
        <v/>
      </c>
      <c r="R154" s="224" t="str">
        <f>IFERROR(INDEX(Data!P$9:P$1273,MATCH($M154,Data!$K$9:$K$1273,0)),"")</f>
        <v/>
      </c>
      <c r="S154" s="224" t="str">
        <f>IFERROR(INDEX(Data!S$9:S$1273,MATCH($M154,Data!$K$9:$K$1273,0)),"")</f>
        <v/>
      </c>
      <c r="T154" s="224" t="str">
        <f>IFERROR(INDEX(Data!T$9:T$1273,MATCH($M154,Data!$K$9:$K$1273,0)),"")</f>
        <v/>
      </c>
      <c r="U154" s="224" t="str">
        <f>IFERROR(INDEX(Data!U$9:U$1273,MATCH($M154,Data!$K$9:$K$1273,0)),"")</f>
        <v/>
      </c>
      <c r="V154" s="224" t="str">
        <f>IFERROR(INDEX(Data!V$9:V$1273,MATCH($M154,Data!$K$9:$K$1273,0)),"")</f>
        <v/>
      </c>
      <c r="W154" s="224" t="str">
        <f>IFERROR(INDEX(Data!W$9:W$1273,MATCH($M154,Data!$K$9:$K$1273,0)),"")</f>
        <v/>
      </c>
      <c r="X154" s="224" t="str">
        <f>IFERROR(INDEX(Data!AJ$9:AJ$1273,MATCH($M154,Data!$K$9:$K$1273,0)),"")</f>
        <v/>
      </c>
      <c r="Y154" s="224" t="str">
        <f>IFERROR(INDEX(Data!AK$9:AK$1273,MATCH($M154,Data!$K$9:$K$1273,0)),"")</f>
        <v/>
      </c>
      <c r="Z154" s="224" t="str">
        <f>IFERROR(INDEX(Data!AL$9:AL$1273,MATCH($M154,Data!$K$9:$K$1273,0)),"")</f>
        <v/>
      </c>
      <c r="AA154" s="224" t="str">
        <f>IFERROR(INDEX(Data!AM$9:AM$1273,MATCH($M154,Data!$K$9:$K$1273,0)),"")</f>
        <v/>
      </c>
      <c r="AB154" s="224" t="str">
        <f>IFERROR(INDEX(Data!AN$9:AN$1273,MATCH($M154,Data!$K$9:$K$1273,0)),"")</f>
        <v/>
      </c>
      <c r="AC154" s="225" t="str">
        <f>IFERROR(INDEX(Data!BY$9:BY$1273,MATCH($M154,Data!$K$9:$K$1273,0)),"")</f>
        <v/>
      </c>
      <c r="AD154" s="225" t="str">
        <f>IFERROR(INDEX(Data!BZ$9:BZ$1273,MATCH($M154,Data!$K$9:$K$1273,0)),"")</f>
        <v/>
      </c>
      <c r="AE154" s="225" t="str">
        <f>IFERROR(INDEX(Data!CA$9:CA$1273,MATCH($M154,Data!$K$9:$K$1273,0)),"")</f>
        <v/>
      </c>
      <c r="AF154" s="225" t="str">
        <f>IFERROR(INDEX(Data!CB$9:CB$1273,MATCH($M154,Data!$K$9:$K$1273,0)),"")</f>
        <v/>
      </c>
      <c r="AG154" s="225" t="str">
        <f>IFERROR(INDEX(Data!CC$9:CC$1273,MATCH($M154,Data!$K$9:$K$1273,0)),"")</f>
        <v/>
      </c>
      <c r="AH154" s="225" t="str">
        <f>IFERROR(INDEX(Data!CD$9:CD$1273,MATCH($M154,Data!$K$9:$K$1273,0)),"")</f>
        <v/>
      </c>
      <c r="AI154" s="225" t="str">
        <f>IFERROR(INDEX(Data!CE$9:CE$1273,MATCH($M154,Data!$K$9:$K$1273,0)),"")</f>
        <v/>
      </c>
      <c r="AJ154" s="225" t="str">
        <f>IFERROR(INDEX(Data!CF$9:CF$1273,MATCH($M154,Data!$K$9:$K$1273,0)),"")</f>
        <v/>
      </c>
      <c r="AK154" s="225" t="str">
        <f>IFERROR(INDEX(Data!CG$9:CG$1273,MATCH($M154,Data!$K$9:$K$1273,0)),"")</f>
        <v/>
      </c>
      <c r="AL154" s="225" t="str">
        <f>IFERROR(INDEX(Data!CH$9:CH$1273,MATCH($M154,Data!$K$9:$K$1273,0)),"")</f>
        <v/>
      </c>
      <c r="AM154" s="225" t="str">
        <f>IFERROR(INDEX(Data!CI$9:CI$1273,MATCH($M154,Data!$K$9:$K$1273,0)),"")</f>
        <v/>
      </c>
      <c r="AN154" s="225" t="str">
        <f>IFERROR(INDEX(Data!CJ$9:CJ$1273,MATCH($M154,Data!$K$9:$K$1273,0)),"")</f>
        <v/>
      </c>
      <c r="AO154" s="225" t="str">
        <f>IFERROR(INDEX(Data!CK$9:CK$1273,MATCH($M154,Data!$K$9:$K$1273,0)),"")</f>
        <v/>
      </c>
      <c r="AP154" s="225" t="str">
        <f>IFERROR(INDEX(Data!CL$9:CL$1273,MATCH($M154,Data!$K$9:$K$1273,0)),"")</f>
        <v/>
      </c>
      <c r="AQ154" s="225" t="str">
        <f>IFERROR(INDEX(Data!CM$9:CM$1273,MATCH($M154,Data!$K$9:$K$1273,0)),"")</f>
        <v/>
      </c>
      <c r="AR154" s="225" t="str">
        <f>IFERROR(INDEX(Data!CN$9:CN$1273,MATCH($M154,Data!$K$9:$K$1273,0)),"")</f>
        <v/>
      </c>
      <c r="AS154" s="225" t="str">
        <f>IFERROR(INDEX(Data!CO$9:CO$1273,MATCH($M154,Data!$K$9:$K$1273,0)),"")</f>
        <v/>
      </c>
      <c r="AT154" s="225" t="str">
        <f>IFERROR(INDEX(Data!CP$9:CP$1273,MATCH($M154,Data!$K$9:$K$1273,0)),"")</f>
        <v/>
      </c>
      <c r="AU154" s="225" t="str">
        <f>IFERROR(INDEX(Data!CQ$9:CQ$1273,MATCH($M154,Data!$K$9:$K$1273,0)),"")</f>
        <v/>
      </c>
      <c r="AV154" s="225" t="str">
        <f>IFERROR(INDEX(Data!CR$9:CR$1273,MATCH($M154,Data!$K$9:$K$1273,0)),"")</f>
        <v/>
      </c>
      <c r="AW154" s="225" t="str">
        <f>IFERROR(INDEX(Data!CS$9:CS$1273,MATCH($M154,Data!$K$9:$K$1273,0)),"")</f>
        <v/>
      </c>
      <c r="AX154" s="225" t="str">
        <f>IFERROR(INDEX(Data!CT$9:CT$1273,MATCH($M154,Data!$K$9:$K$1273,0)),"")</f>
        <v/>
      </c>
      <c r="AY154" s="225" t="str">
        <f>IFERROR(INDEX(Data!CU$9:CU$1273,MATCH($M154,Data!$K$9:$K$1273,0)),"")</f>
        <v/>
      </c>
      <c r="AZ154" s="225" t="str">
        <f>IFERROR(INDEX(Data!CV$9:CV$1273,MATCH($M154,Data!$K$9:$K$1273,0)),"")</f>
        <v/>
      </c>
      <c r="BA154" s="225" t="str">
        <f>IFERROR(INDEX(Data!CX$9:CX$1273,MATCH($M154,Data!$K$9:$K$1273,0)),"")</f>
        <v/>
      </c>
      <c r="BB154" s="225" t="str">
        <f>IFERROR(INDEX(Data!CY$9:CY$1273,MATCH($M154,Data!$K$9:$K$1273,0)),"")</f>
        <v/>
      </c>
      <c r="BC154" s="225" t="str">
        <f>IFERROR(INDEX(Data!CZ$9:CZ$1273,MATCH($M154,Data!$K$9:$K$1273,0)),"")</f>
        <v/>
      </c>
      <c r="BD154" s="225" t="str">
        <f>IFERROR(INDEX(Data!DA$9:DA$1273,MATCH($M154,Data!$K$9:$K$1273,0)),"")</f>
        <v/>
      </c>
      <c r="BE154" s="225" t="str">
        <f>IFERROR(INDEX(Data!DB$9:DB$1273,MATCH($M154,Data!$K$9:$K$1273,0)),"")</f>
        <v/>
      </c>
      <c r="BF154" s="225" t="str">
        <f>IFERROR(INDEX(Data!DC$9:DC$1273,MATCH($M154,Data!$K$9:$K$1273,0)),"")</f>
        <v/>
      </c>
      <c r="BG154" s="225" t="str">
        <f>IFERROR(INDEX(Data!DD$9:DD$1273,MATCH($M154,Data!$K$9:$K$1273,0)),"")</f>
        <v/>
      </c>
      <c r="BH154" s="225" t="str">
        <f>IFERROR(INDEX(Data!DE$9:DE$1273,MATCH($M154,Data!$K$9:$K$1273,0)),"")</f>
        <v/>
      </c>
      <c r="BI154" s="225" t="str">
        <f>IFERROR(INDEX(Data!DF$9:DF$1273,MATCH($M154,Data!$K$9:$K$1273,0)),"")</f>
        <v/>
      </c>
      <c r="BJ154" s="225" t="str">
        <f>IFERROR(INDEX(Data!DG$9:DG$1273,MATCH($M154,Data!$K$9:$K$1273,0)),"")</f>
        <v/>
      </c>
      <c r="BK154" s="225" t="str">
        <f>IFERROR(INDEX(Data!DH$9:DH$1273,MATCH($M154,Data!$K$9:$K$1273,0)),"")</f>
        <v/>
      </c>
      <c r="BL154" s="225" t="str">
        <f>IFERROR(INDEX(Data!DI$9:DI$1273,MATCH($M154,Data!$K$9:$K$1273,0)),"")</f>
        <v/>
      </c>
      <c r="BM154" s="225" t="str">
        <f>IFERROR(INDEX(Data!DJ$9:DJ$1273,MATCH($M154,Data!$K$9:$K$1273,0)),"")</f>
        <v/>
      </c>
      <c r="BN154" s="225" t="str">
        <f>IFERROR(INDEX(Data!DK$9:DK$1273,MATCH($M154,Data!$K$9:$K$1273,0)),"")</f>
        <v/>
      </c>
      <c r="BO154" s="225" t="str">
        <f>IFERROR(INDEX(Data!DL$9:DL$1273,MATCH($M154,Data!$K$9:$K$1273,0)),"")</f>
        <v/>
      </c>
      <c r="BP154" s="243" t="str">
        <f t="shared" si="17"/>
        <v/>
      </c>
      <c r="BQ154" s="225" t="str">
        <f t="shared" si="18"/>
        <v xml:space="preserve"> </v>
      </c>
      <c r="BR154" s="225" t="str">
        <f t="shared" si="19"/>
        <v/>
      </c>
      <c r="BS154" s="225" t="str">
        <f>IFERROR(INDEX(Data!$DO$9:$DO$1273,MATCH('Your recommendation'!BR154,Data!$DN$9:$DN$1273,0)),"")</f>
        <v/>
      </c>
    </row>
    <row r="155" spans="2:71" ht="15.6" customHeight="1">
      <c r="B155" s="222" t="str">
        <f t="shared" si="20"/>
        <v/>
      </c>
      <c r="C155" s="223"/>
      <c r="D155" s="225" t="str">
        <f>IFERROR(INDEX(Data!BR$9:BR$1273,MATCH($M155,Data!$K$9:$K$1273,0)),"")</f>
        <v/>
      </c>
      <c r="E155" s="225" t="str">
        <f>IFERROR(INDEX(Data!BS$9:BS$1273,MATCH($M155,Data!$K$9:$K$1273,0)),"")</f>
        <v/>
      </c>
      <c r="F155" s="225" t="str">
        <f>IFERROR(INDEX(Data!DM$9:DM$1273,MATCH($M155,Data!$K$9:$K$1273,0)),"")</f>
        <v/>
      </c>
      <c r="G155" s="225" t="str">
        <f>IFERROR(INDEX(Data!BV$9:BV$1273,MATCH($M155,Data!$K$9:$K$1273,0)),"")</f>
        <v/>
      </c>
      <c r="H155" s="225" t="str">
        <f>IFERROR(INDEX(Data!BW$9:BW$1273,MATCH($M155,Data!$K$9:$K$1273,0)),"")</f>
        <v/>
      </c>
      <c r="I155" s="225" t="str">
        <f>IFERROR(INDEX(Data!BX$9:BX$1273,MATCH($M155,Data!$K$9:$K$1273,0)),"")</f>
        <v/>
      </c>
      <c r="J155" s="225" t="str">
        <f>IFERROR(INDEX(Data!CB$9:CB$1273,MATCH($M155,Data!$K$9:$K$1273,0)),"")</f>
        <v/>
      </c>
      <c r="K155" s="241" t="str">
        <f t="shared" si="15"/>
        <v/>
      </c>
      <c r="L155" s="242" t="str">
        <f t="shared" si="16"/>
        <v/>
      </c>
      <c r="M155" s="224"/>
      <c r="N155" s="224"/>
      <c r="O155" s="224" t="str">
        <f>IFERROR(INDEX(Data!M$9:M$1273,MATCH($M155,Data!$K$9:$K$1273,0)),"")</f>
        <v/>
      </c>
      <c r="P155" s="224" t="str">
        <f>IFERROR(INDEX(Data!N$9:N$1273,MATCH($M155,Data!$K$9:$K$1273,0)),"")</f>
        <v/>
      </c>
      <c r="Q155" s="224" t="str">
        <f>IFERROR(INDEX(Data!O$9:O$1273,MATCH($M155,Data!$K$9:$K$1273,0)),"")</f>
        <v/>
      </c>
      <c r="R155" s="224" t="str">
        <f>IFERROR(INDEX(Data!P$9:P$1273,MATCH($M155,Data!$K$9:$K$1273,0)),"")</f>
        <v/>
      </c>
      <c r="S155" s="224" t="str">
        <f>IFERROR(INDEX(Data!S$9:S$1273,MATCH($M155,Data!$K$9:$K$1273,0)),"")</f>
        <v/>
      </c>
      <c r="T155" s="224" t="str">
        <f>IFERROR(INDEX(Data!T$9:T$1273,MATCH($M155,Data!$K$9:$K$1273,0)),"")</f>
        <v/>
      </c>
      <c r="U155" s="224" t="str">
        <f>IFERROR(INDEX(Data!U$9:U$1273,MATCH($M155,Data!$K$9:$K$1273,0)),"")</f>
        <v/>
      </c>
      <c r="V155" s="224" t="str">
        <f>IFERROR(INDEX(Data!V$9:V$1273,MATCH($M155,Data!$K$9:$K$1273,0)),"")</f>
        <v/>
      </c>
      <c r="W155" s="224" t="str">
        <f>IFERROR(INDEX(Data!W$9:W$1273,MATCH($M155,Data!$K$9:$K$1273,0)),"")</f>
        <v/>
      </c>
      <c r="X155" s="224" t="str">
        <f>IFERROR(INDEX(Data!AJ$9:AJ$1273,MATCH($M155,Data!$K$9:$K$1273,0)),"")</f>
        <v/>
      </c>
      <c r="Y155" s="224" t="str">
        <f>IFERROR(INDEX(Data!AK$9:AK$1273,MATCH($M155,Data!$K$9:$K$1273,0)),"")</f>
        <v/>
      </c>
      <c r="Z155" s="224" t="str">
        <f>IFERROR(INDEX(Data!AL$9:AL$1273,MATCH($M155,Data!$K$9:$K$1273,0)),"")</f>
        <v/>
      </c>
      <c r="AA155" s="224" t="str">
        <f>IFERROR(INDEX(Data!AM$9:AM$1273,MATCH($M155,Data!$K$9:$K$1273,0)),"")</f>
        <v/>
      </c>
      <c r="AB155" s="224" t="str">
        <f>IFERROR(INDEX(Data!AN$9:AN$1273,MATCH($M155,Data!$K$9:$K$1273,0)),"")</f>
        <v/>
      </c>
      <c r="AC155" s="225" t="str">
        <f>IFERROR(INDEX(Data!BY$9:BY$1273,MATCH($M155,Data!$K$9:$K$1273,0)),"")</f>
        <v/>
      </c>
      <c r="AD155" s="225" t="str">
        <f>IFERROR(INDEX(Data!BZ$9:BZ$1273,MATCH($M155,Data!$K$9:$K$1273,0)),"")</f>
        <v/>
      </c>
      <c r="AE155" s="225" t="str">
        <f>IFERROR(INDEX(Data!CA$9:CA$1273,MATCH($M155,Data!$K$9:$K$1273,0)),"")</f>
        <v/>
      </c>
      <c r="AF155" s="225" t="str">
        <f>IFERROR(INDEX(Data!CB$9:CB$1273,MATCH($M155,Data!$K$9:$K$1273,0)),"")</f>
        <v/>
      </c>
      <c r="AG155" s="225" t="str">
        <f>IFERROR(INDEX(Data!CC$9:CC$1273,MATCH($M155,Data!$K$9:$K$1273,0)),"")</f>
        <v/>
      </c>
      <c r="AH155" s="225" t="str">
        <f>IFERROR(INDEX(Data!CD$9:CD$1273,MATCH($M155,Data!$K$9:$K$1273,0)),"")</f>
        <v/>
      </c>
      <c r="AI155" s="225" t="str">
        <f>IFERROR(INDEX(Data!CE$9:CE$1273,MATCH($M155,Data!$K$9:$K$1273,0)),"")</f>
        <v/>
      </c>
      <c r="AJ155" s="225" t="str">
        <f>IFERROR(INDEX(Data!CF$9:CF$1273,MATCH($M155,Data!$K$9:$K$1273,0)),"")</f>
        <v/>
      </c>
      <c r="AK155" s="225" t="str">
        <f>IFERROR(INDEX(Data!CG$9:CG$1273,MATCH($M155,Data!$K$9:$K$1273,0)),"")</f>
        <v/>
      </c>
      <c r="AL155" s="225" t="str">
        <f>IFERROR(INDEX(Data!CH$9:CH$1273,MATCH($M155,Data!$K$9:$K$1273,0)),"")</f>
        <v/>
      </c>
      <c r="AM155" s="225" t="str">
        <f>IFERROR(INDEX(Data!CI$9:CI$1273,MATCH($M155,Data!$K$9:$K$1273,0)),"")</f>
        <v/>
      </c>
      <c r="AN155" s="225" t="str">
        <f>IFERROR(INDEX(Data!CJ$9:CJ$1273,MATCH($M155,Data!$K$9:$K$1273,0)),"")</f>
        <v/>
      </c>
      <c r="AO155" s="225" t="str">
        <f>IFERROR(INDEX(Data!CK$9:CK$1273,MATCH($M155,Data!$K$9:$K$1273,0)),"")</f>
        <v/>
      </c>
      <c r="AP155" s="225" t="str">
        <f>IFERROR(INDEX(Data!CL$9:CL$1273,MATCH($M155,Data!$K$9:$K$1273,0)),"")</f>
        <v/>
      </c>
      <c r="AQ155" s="225" t="str">
        <f>IFERROR(INDEX(Data!CM$9:CM$1273,MATCH($M155,Data!$K$9:$K$1273,0)),"")</f>
        <v/>
      </c>
      <c r="AR155" s="225" t="str">
        <f>IFERROR(INDEX(Data!CN$9:CN$1273,MATCH($M155,Data!$K$9:$K$1273,0)),"")</f>
        <v/>
      </c>
      <c r="AS155" s="225" t="str">
        <f>IFERROR(INDEX(Data!CO$9:CO$1273,MATCH($M155,Data!$K$9:$K$1273,0)),"")</f>
        <v/>
      </c>
      <c r="AT155" s="225" t="str">
        <f>IFERROR(INDEX(Data!CP$9:CP$1273,MATCH($M155,Data!$K$9:$K$1273,0)),"")</f>
        <v/>
      </c>
      <c r="AU155" s="225" t="str">
        <f>IFERROR(INDEX(Data!CQ$9:CQ$1273,MATCH($M155,Data!$K$9:$K$1273,0)),"")</f>
        <v/>
      </c>
      <c r="AV155" s="225" t="str">
        <f>IFERROR(INDEX(Data!CR$9:CR$1273,MATCH($M155,Data!$K$9:$K$1273,0)),"")</f>
        <v/>
      </c>
      <c r="AW155" s="225" t="str">
        <f>IFERROR(INDEX(Data!CS$9:CS$1273,MATCH($M155,Data!$K$9:$K$1273,0)),"")</f>
        <v/>
      </c>
      <c r="AX155" s="225" t="str">
        <f>IFERROR(INDEX(Data!CT$9:CT$1273,MATCH($M155,Data!$K$9:$K$1273,0)),"")</f>
        <v/>
      </c>
      <c r="AY155" s="225" t="str">
        <f>IFERROR(INDEX(Data!CU$9:CU$1273,MATCH($M155,Data!$K$9:$K$1273,0)),"")</f>
        <v/>
      </c>
      <c r="AZ155" s="225" t="str">
        <f>IFERROR(INDEX(Data!CV$9:CV$1273,MATCH($M155,Data!$K$9:$K$1273,0)),"")</f>
        <v/>
      </c>
      <c r="BA155" s="225" t="str">
        <f>IFERROR(INDEX(Data!CX$9:CX$1273,MATCH($M155,Data!$K$9:$K$1273,0)),"")</f>
        <v/>
      </c>
      <c r="BB155" s="225" t="str">
        <f>IFERROR(INDEX(Data!CY$9:CY$1273,MATCH($M155,Data!$K$9:$K$1273,0)),"")</f>
        <v/>
      </c>
      <c r="BC155" s="225" t="str">
        <f>IFERROR(INDEX(Data!CZ$9:CZ$1273,MATCH($M155,Data!$K$9:$K$1273,0)),"")</f>
        <v/>
      </c>
      <c r="BD155" s="225" t="str">
        <f>IFERROR(INDEX(Data!DA$9:DA$1273,MATCH($M155,Data!$K$9:$K$1273,0)),"")</f>
        <v/>
      </c>
      <c r="BE155" s="225" t="str">
        <f>IFERROR(INDEX(Data!DB$9:DB$1273,MATCH($M155,Data!$K$9:$K$1273,0)),"")</f>
        <v/>
      </c>
      <c r="BF155" s="225" t="str">
        <f>IFERROR(INDEX(Data!DC$9:DC$1273,MATCH($M155,Data!$K$9:$K$1273,0)),"")</f>
        <v/>
      </c>
      <c r="BG155" s="225" t="str">
        <f>IFERROR(INDEX(Data!DD$9:DD$1273,MATCH($M155,Data!$K$9:$K$1273,0)),"")</f>
        <v/>
      </c>
      <c r="BH155" s="225" t="str">
        <f>IFERROR(INDEX(Data!DE$9:DE$1273,MATCH($M155,Data!$K$9:$K$1273,0)),"")</f>
        <v/>
      </c>
      <c r="BI155" s="225" t="str">
        <f>IFERROR(INDEX(Data!DF$9:DF$1273,MATCH($M155,Data!$K$9:$K$1273,0)),"")</f>
        <v/>
      </c>
      <c r="BJ155" s="225" t="str">
        <f>IFERROR(INDEX(Data!DG$9:DG$1273,MATCH($M155,Data!$K$9:$K$1273,0)),"")</f>
        <v/>
      </c>
      <c r="BK155" s="225" t="str">
        <f>IFERROR(INDEX(Data!DH$9:DH$1273,MATCH($M155,Data!$K$9:$K$1273,0)),"")</f>
        <v/>
      </c>
      <c r="BL155" s="225" t="str">
        <f>IFERROR(INDEX(Data!DI$9:DI$1273,MATCH($M155,Data!$K$9:$K$1273,0)),"")</f>
        <v/>
      </c>
      <c r="BM155" s="225" t="str">
        <f>IFERROR(INDEX(Data!DJ$9:DJ$1273,MATCH($M155,Data!$K$9:$K$1273,0)),"")</f>
        <v/>
      </c>
      <c r="BN155" s="225" t="str">
        <f>IFERROR(INDEX(Data!DK$9:DK$1273,MATCH($M155,Data!$K$9:$K$1273,0)),"")</f>
        <v/>
      </c>
      <c r="BO155" s="225" t="str">
        <f>IFERROR(INDEX(Data!DL$9:DL$1273,MATCH($M155,Data!$K$9:$K$1273,0)),"")</f>
        <v/>
      </c>
      <c r="BP155" s="243" t="str">
        <f t="shared" si="17"/>
        <v/>
      </c>
      <c r="BQ155" s="225" t="str">
        <f t="shared" si="18"/>
        <v xml:space="preserve"> </v>
      </c>
      <c r="BR155" s="225" t="str">
        <f t="shared" si="19"/>
        <v/>
      </c>
      <c r="BS155" s="225" t="str">
        <f>IFERROR(INDEX(Data!$DO$9:$DO$1273,MATCH('Your recommendation'!BR155,Data!$DN$9:$DN$1273,0)),"")</f>
        <v/>
      </c>
    </row>
    <row r="156" spans="2:71" ht="15.6" customHeight="1">
      <c r="B156" s="222" t="str">
        <f t="shared" si="20"/>
        <v/>
      </c>
      <c r="C156" s="223"/>
      <c r="D156" s="225" t="str">
        <f>IFERROR(INDEX(Data!BR$9:BR$1273,MATCH($M156,Data!$K$9:$K$1273,0)),"")</f>
        <v/>
      </c>
      <c r="E156" s="225" t="str">
        <f>IFERROR(INDEX(Data!BS$9:BS$1273,MATCH($M156,Data!$K$9:$K$1273,0)),"")</f>
        <v/>
      </c>
      <c r="F156" s="225" t="str">
        <f>IFERROR(INDEX(Data!DM$9:DM$1273,MATCH($M156,Data!$K$9:$K$1273,0)),"")</f>
        <v/>
      </c>
      <c r="G156" s="225" t="str">
        <f>IFERROR(INDEX(Data!BV$9:BV$1273,MATCH($M156,Data!$K$9:$K$1273,0)),"")</f>
        <v/>
      </c>
      <c r="H156" s="225" t="str">
        <f>IFERROR(INDEX(Data!BW$9:BW$1273,MATCH($M156,Data!$K$9:$K$1273,0)),"")</f>
        <v/>
      </c>
      <c r="I156" s="225" t="str">
        <f>IFERROR(INDEX(Data!BX$9:BX$1273,MATCH($M156,Data!$K$9:$K$1273,0)),"")</f>
        <v/>
      </c>
      <c r="J156" s="225" t="str">
        <f>IFERROR(INDEX(Data!CB$9:CB$1273,MATCH($M156,Data!$K$9:$K$1273,0)),"")</f>
        <v/>
      </c>
      <c r="K156" s="241" t="str">
        <f t="shared" si="15"/>
        <v/>
      </c>
      <c r="L156" s="242" t="str">
        <f t="shared" si="16"/>
        <v/>
      </c>
      <c r="M156" s="224"/>
      <c r="N156" s="224"/>
      <c r="O156" s="224" t="str">
        <f>IFERROR(INDEX(Data!M$9:M$1273,MATCH($M156,Data!$K$9:$K$1273,0)),"")</f>
        <v/>
      </c>
      <c r="P156" s="224" t="str">
        <f>IFERROR(INDEX(Data!N$9:N$1273,MATCH($M156,Data!$K$9:$K$1273,0)),"")</f>
        <v/>
      </c>
      <c r="Q156" s="224" t="str">
        <f>IFERROR(INDEX(Data!O$9:O$1273,MATCH($M156,Data!$K$9:$K$1273,0)),"")</f>
        <v/>
      </c>
      <c r="R156" s="224" t="str">
        <f>IFERROR(INDEX(Data!P$9:P$1273,MATCH($M156,Data!$K$9:$K$1273,0)),"")</f>
        <v/>
      </c>
      <c r="S156" s="224" t="str">
        <f>IFERROR(INDEX(Data!S$9:S$1273,MATCH($M156,Data!$K$9:$K$1273,0)),"")</f>
        <v/>
      </c>
      <c r="T156" s="224" t="str">
        <f>IFERROR(INDEX(Data!T$9:T$1273,MATCH($M156,Data!$K$9:$K$1273,0)),"")</f>
        <v/>
      </c>
      <c r="U156" s="224" t="str">
        <f>IFERROR(INDEX(Data!U$9:U$1273,MATCH($M156,Data!$K$9:$K$1273,0)),"")</f>
        <v/>
      </c>
      <c r="V156" s="224" t="str">
        <f>IFERROR(INDEX(Data!V$9:V$1273,MATCH($M156,Data!$K$9:$K$1273,0)),"")</f>
        <v/>
      </c>
      <c r="W156" s="224" t="str">
        <f>IFERROR(INDEX(Data!W$9:W$1273,MATCH($M156,Data!$K$9:$K$1273,0)),"")</f>
        <v/>
      </c>
      <c r="X156" s="224" t="str">
        <f>IFERROR(INDEX(Data!AJ$9:AJ$1273,MATCH($M156,Data!$K$9:$K$1273,0)),"")</f>
        <v/>
      </c>
      <c r="Y156" s="224" t="str">
        <f>IFERROR(INDEX(Data!AK$9:AK$1273,MATCH($M156,Data!$K$9:$K$1273,0)),"")</f>
        <v/>
      </c>
      <c r="Z156" s="224" t="str">
        <f>IFERROR(INDEX(Data!AL$9:AL$1273,MATCH($M156,Data!$K$9:$K$1273,0)),"")</f>
        <v/>
      </c>
      <c r="AA156" s="224" t="str">
        <f>IFERROR(INDEX(Data!AM$9:AM$1273,MATCH($M156,Data!$K$9:$K$1273,0)),"")</f>
        <v/>
      </c>
      <c r="AB156" s="224" t="str">
        <f>IFERROR(INDEX(Data!AN$9:AN$1273,MATCH($M156,Data!$K$9:$K$1273,0)),"")</f>
        <v/>
      </c>
      <c r="AC156" s="225" t="str">
        <f>IFERROR(INDEX(Data!BY$9:BY$1273,MATCH($M156,Data!$K$9:$K$1273,0)),"")</f>
        <v/>
      </c>
      <c r="AD156" s="225" t="str">
        <f>IFERROR(INDEX(Data!BZ$9:BZ$1273,MATCH($M156,Data!$K$9:$K$1273,0)),"")</f>
        <v/>
      </c>
      <c r="AE156" s="225" t="str">
        <f>IFERROR(INDEX(Data!CA$9:CA$1273,MATCH($M156,Data!$K$9:$K$1273,0)),"")</f>
        <v/>
      </c>
      <c r="AF156" s="225" t="str">
        <f>IFERROR(INDEX(Data!CB$9:CB$1273,MATCH($M156,Data!$K$9:$K$1273,0)),"")</f>
        <v/>
      </c>
      <c r="AG156" s="225" t="str">
        <f>IFERROR(INDEX(Data!CC$9:CC$1273,MATCH($M156,Data!$K$9:$K$1273,0)),"")</f>
        <v/>
      </c>
      <c r="AH156" s="225" t="str">
        <f>IFERROR(INDEX(Data!CD$9:CD$1273,MATCH($M156,Data!$K$9:$K$1273,0)),"")</f>
        <v/>
      </c>
      <c r="AI156" s="225" t="str">
        <f>IFERROR(INDEX(Data!CE$9:CE$1273,MATCH($M156,Data!$K$9:$K$1273,0)),"")</f>
        <v/>
      </c>
      <c r="AJ156" s="225" t="str">
        <f>IFERROR(INDEX(Data!CF$9:CF$1273,MATCH($M156,Data!$K$9:$K$1273,0)),"")</f>
        <v/>
      </c>
      <c r="AK156" s="225" t="str">
        <f>IFERROR(INDEX(Data!CG$9:CG$1273,MATCH($M156,Data!$K$9:$K$1273,0)),"")</f>
        <v/>
      </c>
      <c r="AL156" s="225" t="str">
        <f>IFERROR(INDEX(Data!CH$9:CH$1273,MATCH($M156,Data!$K$9:$K$1273,0)),"")</f>
        <v/>
      </c>
      <c r="AM156" s="225" t="str">
        <f>IFERROR(INDEX(Data!CI$9:CI$1273,MATCH($M156,Data!$K$9:$K$1273,0)),"")</f>
        <v/>
      </c>
      <c r="AN156" s="225" t="str">
        <f>IFERROR(INDEX(Data!CJ$9:CJ$1273,MATCH($M156,Data!$K$9:$K$1273,0)),"")</f>
        <v/>
      </c>
      <c r="AO156" s="225" t="str">
        <f>IFERROR(INDEX(Data!CK$9:CK$1273,MATCH($M156,Data!$K$9:$K$1273,0)),"")</f>
        <v/>
      </c>
      <c r="AP156" s="225" t="str">
        <f>IFERROR(INDEX(Data!CL$9:CL$1273,MATCH($M156,Data!$K$9:$K$1273,0)),"")</f>
        <v/>
      </c>
      <c r="AQ156" s="225" t="str">
        <f>IFERROR(INDEX(Data!CM$9:CM$1273,MATCH($M156,Data!$K$9:$K$1273,0)),"")</f>
        <v/>
      </c>
      <c r="AR156" s="225" t="str">
        <f>IFERROR(INDEX(Data!CN$9:CN$1273,MATCH($M156,Data!$K$9:$K$1273,0)),"")</f>
        <v/>
      </c>
      <c r="AS156" s="225" t="str">
        <f>IFERROR(INDEX(Data!CO$9:CO$1273,MATCH($M156,Data!$K$9:$K$1273,0)),"")</f>
        <v/>
      </c>
      <c r="AT156" s="225" t="str">
        <f>IFERROR(INDEX(Data!CP$9:CP$1273,MATCH($M156,Data!$K$9:$K$1273,0)),"")</f>
        <v/>
      </c>
      <c r="AU156" s="225" t="str">
        <f>IFERROR(INDEX(Data!CQ$9:CQ$1273,MATCH($M156,Data!$K$9:$K$1273,0)),"")</f>
        <v/>
      </c>
      <c r="AV156" s="225" t="str">
        <f>IFERROR(INDEX(Data!CR$9:CR$1273,MATCH($M156,Data!$K$9:$K$1273,0)),"")</f>
        <v/>
      </c>
      <c r="AW156" s="225" t="str">
        <f>IFERROR(INDEX(Data!CS$9:CS$1273,MATCH($M156,Data!$K$9:$K$1273,0)),"")</f>
        <v/>
      </c>
      <c r="AX156" s="225" t="str">
        <f>IFERROR(INDEX(Data!CT$9:CT$1273,MATCH($M156,Data!$K$9:$K$1273,0)),"")</f>
        <v/>
      </c>
      <c r="AY156" s="225" t="str">
        <f>IFERROR(INDEX(Data!CU$9:CU$1273,MATCH($M156,Data!$K$9:$K$1273,0)),"")</f>
        <v/>
      </c>
      <c r="AZ156" s="225" t="str">
        <f>IFERROR(INDEX(Data!CV$9:CV$1273,MATCH($M156,Data!$K$9:$K$1273,0)),"")</f>
        <v/>
      </c>
      <c r="BA156" s="225" t="str">
        <f>IFERROR(INDEX(Data!CX$9:CX$1273,MATCH($M156,Data!$K$9:$K$1273,0)),"")</f>
        <v/>
      </c>
      <c r="BB156" s="225" t="str">
        <f>IFERROR(INDEX(Data!CY$9:CY$1273,MATCH($M156,Data!$K$9:$K$1273,0)),"")</f>
        <v/>
      </c>
      <c r="BC156" s="225" t="str">
        <f>IFERROR(INDEX(Data!CZ$9:CZ$1273,MATCH($M156,Data!$K$9:$K$1273,0)),"")</f>
        <v/>
      </c>
      <c r="BD156" s="225" t="str">
        <f>IFERROR(INDEX(Data!DA$9:DA$1273,MATCH($M156,Data!$K$9:$K$1273,0)),"")</f>
        <v/>
      </c>
      <c r="BE156" s="225" t="str">
        <f>IFERROR(INDEX(Data!DB$9:DB$1273,MATCH($M156,Data!$K$9:$K$1273,0)),"")</f>
        <v/>
      </c>
      <c r="BF156" s="225" t="str">
        <f>IFERROR(INDEX(Data!DC$9:DC$1273,MATCH($M156,Data!$K$9:$K$1273,0)),"")</f>
        <v/>
      </c>
      <c r="BG156" s="225" t="str">
        <f>IFERROR(INDEX(Data!DD$9:DD$1273,MATCH($M156,Data!$K$9:$K$1273,0)),"")</f>
        <v/>
      </c>
      <c r="BH156" s="225" t="str">
        <f>IFERROR(INDEX(Data!DE$9:DE$1273,MATCH($M156,Data!$K$9:$K$1273,0)),"")</f>
        <v/>
      </c>
      <c r="BI156" s="225" t="str">
        <f>IFERROR(INDEX(Data!DF$9:DF$1273,MATCH($M156,Data!$K$9:$K$1273,0)),"")</f>
        <v/>
      </c>
      <c r="BJ156" s="225" t="str">
        <f>IFERROR(INDEX(Data!DG$9:DG$1273,MATCH($M156,Data!$K$9:$K$1273,0)),"")</f>
        <v/>
      </c>
      <c r="BK156" s="225" t="str">
        <f>IFERROR(INDEX(Data!DH$9:DH$1273,MATCH($M156,Data!$K$9:$K$1273,0)),"")</f>
        <v/>
      </c>
      <c r="BL156" s="225" t="str">
        <f>IFERROR(INDEX(Data!DI$9:DI$1273,MATCH($M156,Data!$K$9:$K$1273,0)),"")</f>
        <v/>
      </c>
      <c r="BM156" s="225" t="str">
        <f>IFERROR(INDEX(Data!DJ$9:DJ$1273,MATCH($M156,Data!$K$9:$K$1273,0)),"")</f>
        <v/>
      </c>
      <c r="BN156" s="225" t="str">
        <f>IFERROR(INDEX(Data!DK$9:DK$1273,MATCH($M156,Data!$K$9:$K$1273,0)),"")</f>
        <v/>
      </c>
      <c r="BO156" s="225" t="str">
        <f>IFERROR(INDEX(Data!DL$9:DL$1273,MATCH($M156,Data!$K$9:$K$1273,0)),"")</f>
        <v/>
      </c>
      <c r="BP156" s="243" t="str">
        <f t="shared" si="17"/>
        <v/>
      </c>
      <c r="BQ156" s="225" t="str">
        <f t="shared" si="18"/>
        <v xml:space="preserve"> </v>
      </c>
      <c r="BR156" s="225" t="str">
        <f t="shared" si="19"/>
        <v/>
      </c>
      <c r="BS156" s="225" t="str">
        <f>IFERROR(INDEX(Data!$DO$9:$DO$1273,MATCH('Your recommendation'!BR156,Data!$DN$9:$DN$1273,0)),"")</f>
        <v/>
      </c>
    </row>
    <row r="157" spans="2:71" ht="15.6" customHeight="1">
      <c r="B157" s="222" t="str">
        <f t="shared" si="20"/>
        <v/>
      </c>
      <c r="C157" s="223"/>
      <c r="D157" s="225" t="str">
        <f>IFERROR(INDEX(Data!BR$9:BR$1273,MATCH($M157,Data!$K$9:$K$1273,0)),"")</f>
        <v/>
      </c>
      <c r="E157" s="225" t="str">
        <f>IFERROR(INDEX(Data!BS$9:BS$1273,MATCH($M157,Data!$K$9:$K$1273,0)),"")</f>
        <v/>
      </c>
      <c r="F157" s="225" t="str">
        <f>IFERROR(INDEX(Data!DM$9:DM$1273,MATCH($M157,Data!$K$9:$K$1273,0)),"")</f>
        <v/>
      </c>
      <c r="G157" s="225" t="str">
        <f>IFERROR(INDEX(Data!BV$9:BV$1273,MATCH($M157,Data!$K$9:$K$1273,0)),"")</f>
        <v/>
      </c>
      <c r="H157" s="225" t="str">
        <f>IFERROR(INDEX(Data!BW$9:BW$1273,MATCH($M157,Data!$K$9:$K$1273,0)),"")</f>
        <v/>
      </c>
      <c r="I157" s="225" t="str">
        <f>IFERROR(INDEX(Data!BX$9:BX$1273,MATCH($M157,Data!$K$9:$K$1273,0)),"")</f>
        <v/>
      </c>
      <c r="J157" s="225" t="str">
        <f>IFERROR(INDEX(Data!CB$9:CB$1273,MATCH($M157,Data!$K$9:$K$1273,0)),"")</f>
        <v/>
      </c>
      <c r="K157" s="241" t="str">
        <f t="shared" si="15"/>
        <v/>
      </c>
      <c r="L157" s="242" t="str">
        <f t="shared" si="16"/>
        <v/>
      </c>
      <c r="M157" s="224"/>
      <c r="N157" s="224"/>
      <c r="O157" s="224" t="str">
        <f>IFERROR(INDEX(Data!M$9:M$1273,MATCH($M157,Data!$K$9:$K$1273,0)),"")</f>
        <v/>
      </c>
      <c r="P157" s="224" t="str">
        <f>IFERROR(INDEX(Data!N$9:N$1273,MATCH($M157,Data!$K$9:$K$1273,0)),"")</f>
        <v/>
      </c>
      <c r="Q157" s="224" t="str">
        <f>IFERROR(INDEX(Data!O$9:O$1273,MATCH($M157,Data!$K$9:$K$1273,0)),"")</f>
        <v/>
      </c>
      <c r="R157" s="224" t="str">
        <f>IFERROR(INDEX(Data!P$9:P$1273,MATCH($M157,Data!$K$9:$K$1273,0)),"")</f>
        <v/>
      </c>
      <c r="S157" s="224" t="str">
        <f>IFERROR(INDEX(Data!S$9:S$1273,MATCH($M157,Data!$K$9:$K$1273,0)),"")</f>
        <v/>
      </c>
      <c r="T157" s="224" t="str">
        <f>IFERROR(INDEX(Data!T$9:T$1273,MATCH($M157,Data!$K$9:$K$1273,0)),"")</f>
        <v/>
      </c>
      <c r="U157" s="224" t="str">
        <f>IFERROR(INDEX(Data!U$9:U$1273,MATCH($M157,Data!$K$9:$K$1273,0)),"")</f>
        <v/>
      </c>
      <c r="V157" s="224" t="str">
        <f>IFERROR(INDEX(Data!V$9:V$1273,MATCH($M157,Data!$K$9:$K$1273,0)),"")</f>
        <v/>
      </c>
      <c r="W157" s="224" t="str">
        <f>IFERROR(INDEX(Data!W$9:W$1273,MATCH($M157,Data!$K$9:$K$1273,0)),"")</f>
        <v/>
      </c>
      <c r="X157" s="224" t="str">
        <f>IFERROR(INDEX(Data!AJ$9:AJ$1273,MATCH($M157,Data!$K$9:$K$1273,0)),"")</f>
        <v/>
      </c>
      <c r="Y157" s="224" t="str">
        <f>IFERROR(INDEX(Data!AK$9:AK$1273,MATCH($M157,Data!$K$9:$K$1273,0)),"")</f>
        <v/>
      </c>
      <c r="Z157" s="224" t="str">
        <f>IFERROR(INDEX(Data!AL$9:AL$1273,MATCH($M157,Data!$K$9:$K$1273,0)),"")</f>
        <v/>
      </c>
      <c r="AA157" s="224" t="str">
        <f>IFERROR(INDEX(Data!AM$9:AM$1273,MATCH($M157,Data!$K$9:$K$1273,0)),"")</f>
        <v/>
      </c>
      <c r="AB157" s="224" t="str">
        <f>IFERROR(INDEX(Data!AN$9:AN$1273,MATCH($M157,Data!$K$9:$K$1273,0)),"")</f>
        <v/>
      </c>
      <c r="AC157" s="225" t="str">
        <f>IFERROR(INDEX(Data!BY$9:BY$1273,MATCH($M157,Data!$K$9:$K$1273,0)),"")</f>
        <v/>
      </c>
      <c r="AD157" s="225" t="str">
        <f>IFERROR(INDEX(Data!BZ$9:BZ$1273,MATCH($M157,Data!$K$9:$K$1273,0)),"")</f>
        <v/>
      </c>
      <c r="AE157" s="225" t="str">
        <f>IFERROR(INDEX(Data!CA$9:CA$1273,MATCH($M157,Data!$K$9:$K$1273,0)),"")</f>
        <v/>
      </c>
      <c r="AF157" s="225" t="str">
        <f>IFERROR(INDEX(Data!CB$9:CB$1273,MATCH($M157,Data!$K$9:$K$1273,0)),"")</f>
        <v/>
      </c>
      <c r="AG157" s="225" t="str">
        <f>IFERROR(INDEX(Data!CC$9:CC$1273,MATCH($M157,Data!$K$9:$K$1273,0)),"")</f>
        <v/>
      </c>
      <c r="AH157" s="225" t="str">
        <f>IFERROR(INDEX(Data!CD$9:CD$1273,MATCH($M157,Data!$K$9:$K$1273,0)),"")</f>
        <v/>
      </c>
      <c r="AI157" s="225" t="str">
        <f>IFERROR(INDEX(Data!CE$9:CE$1273,MATCH($M157,Data!$K$9:$K$1273,0)),"")</f>
        <v/>
      </c>
      <c r="AJ157" s="225" t="str">
        <f>IFERROR(INDEX(Data!CF$9:CF$1273,MATCH($M157,Data!$K$9:$K$1273,0)),"")</f>
        <v/>
      </c>
      <c r="AK157" s="225" t="str">
        <f>IFERROR(INDEX(Data!CG$9:CG$1273,MATCH($M157,Data!$K$9:$K$1273,0)),"")</f>
        <v/>
      </c>
      <c r="AL157" s="225" t="str">
        <f>IFERROR(INDEX(Data!CH$9:CH$1273,MATCH($M157,Data!$K$9:$K$1273,0)),"")</f>
        <v/>
      </c>
      <c r="AM157" s="225" t="str">
        <f>IFERROR(INDEX(Data!CI$9:CI$1273,MATCH($M157,Data!$K$9:$K$1273,0)),"")</f>
        <v/>
      </c>
      <c r="AN157" s="225" t="str">
        <f>IFERROR(INDEX(Data!CJ$9:CJ$1273,MATCH($M157,Data!$K$9:$K$1273,0)),"")</f>
        <v/>
      </c>
      <c r="AO157" s="225" t="str">
        <f>IFERROR(INDEX(Data!CK$9:CK$1273,MATCH($M157,Data!$K$9:$K$1273,0)),"")</f>
        <v/>
      </c>
      <c r="AP157" s="225" t="str">
        <f>IFERROR(INDEX(Data!CL$9:CL$1273,MATCH($M157,Data!$K$9:$K$1273,0)),"")</f>
        <v/>
      </c>
      <c r="AQ157" s="225" t="str">
        <f>IFERROR(INDEX(Data!CM$9:CM$1273,MATCH($M157,Data!$K$9:$K$1273,0)),"")</f>
        <v/>
      </c>
      <c r="AR157" s="225" t="str">
        <f>IFERROR(INDEX(Data!CN$9:CN$1273,MATCH($M157,Data!$K$9:$K$1273,0)),"")</f>
        <v/>
      </c>
      <c r="AS157" s="225" t="str">
        <f>IFERROR(INDEX(Data!CO$9:CO$1273,MATCH($M157,Data!$K$9:$K$1273,0)),"")</f>
        <v/>
      </c>
      <c r="AT157" s="225" t="str">
        <f>IFERROR(INDEX(Data!CP$9:CP$1273,MATCH($M157,Data!$K$9:$K$1273,0)),"")</f>
        <v/>
      </c>
      <c r="AU157" s="225" t="str">
        <f>IFERROR(INDEX(Data!CQ$9:CQ$1273,MATCH($M157,Data!$K$9:$K$1273,0)),"")</f>
        <v/>
      </c>
      <c r="AV157" s="225" t="str">
        <f>IFERROR(INDEX(Data!CR$9:CR$1273,MATCH($M157,Data!$K$9:$K$1273,0)),"")</f>
        <v/>
      </c>
      <c r="AW157" s="225" t="str">
        <f>IFERROR(INDEX(Data!CS$9:CS$1273,MATCH($M157,Data!$K$9:$K$1273,0)),"")</f>
        <v/>
      </c>
      <c r="AX157" s="225" t="str">
        <f>IFERROR(INDEX(Data!CT$9:CT$1273,MATCH($M157,Data!$K$9:$K$1273,0)),"")</f>
        <v/>
      </c>
      <c r="AY157" s="225" t="str">
        <f>IFERROR(INDEX(Data!CU$9:CU$1273,MATCH($M157,Data!$K$9:$K$1273,0)),"")</f>
        <v/>
      </c>
      <c r="AZ157" s="225" t="str">
        <f>IFERROR(INDEX(Data!CV$9:CV$1273,MATCH($M157,Data!$K$9:$K$1273,0)),"")</f>
        <v/>
      </c>
      <c r="BA157" s="225" t="str">
        <f>IFERROR(INDEX(Data!CX$9:CX$1273,MATCH($M157,Data!$K$9:$K$1273,0)),"")</f>
        <v/>
      </c>
      <c r="BB157" s="225" t="str">
        <f>IFERROR(INDEX(Data!CY$9:CY$1273,MATCH($M157,Data!$K$9:$K$1273,0)),"")</f>
        <v/>
      </c>
      <c r="BC157" s="225" t="str">
        <f>IFERROR(INDEX(Data!CZ$9:CZ$1273,MATCH($M157,Data!$K$9:$K$1273,0)),"")</f>
        <v/>
      </c>
      <c r="BD157" s="225" t="str">
        <f>IFERROR(INDEX(Data!DA$9:DA$1273,MATCH($M157,Data!$K$9:$K$1273,0)),"")</f>
        <v/>
      </c>
      <c r="BE157" s="225" t="str">
        <f>IFERROR(INDEX(Data!DB$9:DB$1273,MATCH($M157,Data!$K$9:$K$1273,0)),"")</f>
        <v/>
      </c>
      <c r="BF157" s="225" t="str">
        <f>IFERROR(INDEX(Data!DC$9:DC$1273,MATCH($M157,Data!$K$9:$K$1273,0)),"")</f>
        <v/>
      </c>
      <c r="BG157" s="225" t="str">
        <f>IFERROR(INDEX(Data!DD$9:DD$1273,MATCH($M157,Data!$K$9:$K$1273,0)),"")</f>
        <v/>
      </c>
      <c r="BH157" s="225" t="str">
        <f>IFERROR(INDEX(Data!DE$9:DE$1273,MATCH($M157,Data!$K$9:$K$1273,0)),"")</f>
        <v/>
      </c>
      <c r="BI157" s="225" t="str">
        <f>IFERROR(INDEX(Data!DF$9:DF$1273,MATCH($M157,Data!$K$9:$K$1273,0)),"")</f>
        <v/>
      </c>
      <c r="BJ157" s="225" t="str">
        <f>IFERROR(INDEX(Data!DG$9:DG$1273,MATCH($M157,Data!$K$9:$K$1273,0)),"")</f>
        <v/>
      </c>
      <c r="BK157" s="225" t="str">
        <f>IFERROR(INDEX(Data!DH$9:DH$1273,MATCH($M157,Data!$K$9:$K$1273,0)),"")</f>
        <v/>
      </c>
      <c r="BL157" s="225" t="str">
        <f>IFERROR(INDEX(Data!DI$9:DI$1273,MATCH($M157,Data!$K$9:$K$1273,0)),"")</f>
        <v/>
      </c>
      <c r="BM157" s="225" t="str">
        <f>IFERROR(INDEX(Data!DJ$9:DJ$1273,MATCH($M157,Data!$K$9:$K$1273,0)),"")</f>
        <v/>
      </c>
      <c r="BN157" s="225" t="str">
        <f>IFERROR(INDEX(Data!DK$9:DK$1273,MATCH($M157,Data!$K$9:$K$1273,0)),"")</f>
        <v/>
      </c>
      <c r="BO157" s="225" t="str">
        <f>IFERROR(INDEX(Data!DL$9:DL$1273,MATCH($M157,Data!$K$9:$K$1273,0)),"")</f>
        <v/>
      </c>
      <c r="BP157" s="243" t="str">
        <f t="shared" si="17"/>
        <v/>
      </c>
      <c r="BQ157" s="225" t="str">
        <f t="shared" si="18"/>
        <v xml:space="preserve"> </v>
      </c>
      <c r="BR157" s="225" t="str">
        <f t="shared" si="19"/>
        <v/>
      </c>
      <c r="BS157" s="225" t="str">
        <f>IFERROR(INDEX(Data!$DO$9:$DO$1273,MATCH('Your recommendation'!BR157,Data!$DN$9:$DN$1273,0)),"")</f>
        <v/>
      </c>
    </row>
    <row r="158" spans="2:71" ht="15.6" customHeight="1">
      <c r="B158" s="222" t="str">
        <f t="shared" si="20"/>
        <v/>
      </c>
      <c r="C158" s="223"/>
      <c r="D158" s="225" t="str">
        <f>IFERROR(INDEX(Data!BR$9:BR$1273,MATCH($M158,Data!$K$9:$K$1273,0)),"")</f>
        <v/>
      </c>
      <c r="E158" s="225" t="str">
        <f>IFERROR(INDEX(Data!BS$9:BS$1273,MATCH($M158,Data!$K$9:$K$1273,0)),"")</f>
        <v/>
      </c>
      <c r="F158" s="225" t="str">
        <f>IFERROR(INDEX(Data!DM$9:DM$1273,MATCH($M158,Data!$K$9:$K$1273,0)),"")</f>
        <v/>
      </c>
      <c r="G158" s="225" t="str">
        <f>IFERROR(INDEX(Data!BV$9:BV$1273,MATCH($M158,Data!$K$9:$K$1273,0)),"")</f>
        <v/>
      </c>
      <c r="H158" s="225" t="str">
        <f>IFERROR(INDEX(Data!BW$9:BW$1273,MATCH($M158,Data!$K$9:$K$1273,0)),"")</f>
        <v/>
      </c>
      <c r="I158" s="225" t="str">
        <f>IFERROR(INDEX(Data!BX$9:BX$1273,MATCH($M158,Data!$K$9:$K$1273,0)),"")</f>
        <v/>
      </c>
      <c r="J158" s="225" t="str">
        <f>IFERROR(INDEX(Data!CB$9:CB$1273,MATCH($M158,Data!$K$9:$K$1273,0)),"")</f>
        <v/>
      </c>
      <c r="K158" s="241" t="str">
        <f t="shared" si="15"/>
        <v/>
      </c>
      <c r="L158" s="242" t="str">
        <f t="shared" si="16"/>
        <v/>
      </c>
      <c r="M158" s="224"/>
      <c r="N158" s="224"/>
      <c r="O158" s="224" t="str">
        <f>IFERROR(INDEX(Data!M$9:M$1273,MATCH($M158,Data!$K$9:$K$1273,0)),"")</f>
        <v/>
      </c>
      <c r="P158" s="224" t="str">
        <f>IFERROR(INDEX(Data!N$9:N$1273,MATCH($M158,Data!$K$9:$K$1273,0)),"")</f>
        <v/>
      </c>
      <c r="Q158" s="224" t="str">
        <f>IFERROR(INDEX(Data!O$9:O$1273,MATCH($M158,Data!$K$9:$K$1273,0)),"")</f>
        <v/>
      </c>
      <c r="R158" s="224" t="str">
        <f>IFERROR(INDEX(Data!P$9:P$1273,MATCH($M158,Data!$K$9:$K$1273,0)),"")</f>
        <v/>
      </c>
      <c r="S158" s="224" t="str">
        <f>IFERROR(INDEX(Data!S$9:S$1273,MATCH($M158,Data!$K$9:$K$1273,0)),"")</f>
        <v/>
      </c>
      <c r="T158" s="224" t="str">
        <f>IFERROR(INDEX(Data!T$9:T$1273,MATCH($M158,Data!$K$9:$K$1273,0)),"")</f>
        <v/>
      </c>
      <c r="U158" s="224" t="str">
        <f>IFERROR(INDEX(Data!U$9:U$1273,MATCH($M158,Data!$K$9:$K$1273,0)),"")</f>
        <v/>
      </c>
      <c r="V158" s="224" t="str">
        <f>IFERROR(INDEX(Data!V$9:V$1273,MATCH($M158,Data!$K$9:$K$1273,0)),"")</f>
        <v/>
      </c>
      <c r="W158" s="224" t="str">
        <f>IFERROR(INDEX(Data!W$9:W$1273,MATCH($M158,Data!$K$9:$K$1273,0)),"")</f>
        <v/>
      </c>
      <c r="X158" s="224" t="str">
        <f>IFERROR(INDEX(Data!AJ$9:AJ$1273,MATCH($M158,Data!$K$9:$K$1273,0)),"")</f>
        <v/>
      </c>
      <c r="Y158" s="224" t="str">
        <f>IFERROR(INDEX(Data!AK$9:AK$1273,MATCH($M158,Data!$K$9:$K$1273,0)),"")</f>
        <v/>
      </c>
      <c r="Z158" s="224" t="str">
        <f>IFERROR(INDEX(Data!AL$9:AL$1273,MATCH($M158,Data!$K$9:$K$1273,0)),"")</f>
        <v/>
      </c>
      <c r="AA158" s="224" t="str">
        <f>IFERROR(INDEX(Data!AM$9:AM$1273,MATCH($M158,Data!$K$9:$K$1273,0)),"")</f>
        <v/>
      </c>
      <c r="AB158" s="224" t="str">
        <f>IFERROR(INDEX(Data!AN$9:AN$1273,MATCH($M158,Data!$K$9:$K$1273,0)),"")</f>
        <v/>
      </c>
      <c r="AC158" s="225" t="str">
        <f>IFERROR(INDEX(Data!BY$9:BY$1273,MATCH($M158,Data!$K$9:$K$1273,0)),"")</f>
        <v/>
      </c>
      <c r="AD158" s="225" t="str">
        <f>IFERROR(INDEX(Data!BZ$9:BZ$1273,MATCH($M158,Data!$K$9:$K$1273,0)),"")</f>
        <v/>
      </c>
      <c r="AE158" s="225" t="str">
        <f>IFERROR(INDEX(Data!CA$9:CA$1273,MATCH($M158,Data!$K$9:$K$1273,0)),"")</f>
        <v/>
      </c>
      <c r="AF158" s="225" t="str">
        <f>IFERROR(INDEX(Data!CB$9:CB$1273,MATCH($M158,Data!$K$9:$K$1273,0)),"")</f>
        <v/>
      </c>
      <c r="AG158" s="225" t="str">
        <f>IFERROR(INDEX(Data!CC$9:CC$1273,MATCH($M158,Data!$K$9:$K$1273,0)),"")</f>
        <v/>
      </c>
      <c r="AH158" s="225" t="str">
        <f>IFERROR(INDEX(Data!CD$9:CD$1273,MATCH($M158,Data!$K$9:$K$1273,0)),"")</f>
        <v/>
      </c>
      <c r="AI158" s="225" t="str">
        <f>IFERROR(INDEX(Data!CE$9:CE$1273,MATCH($M158,Data!$K$9:$K$1273,0)),"")</f>
        <v/>
      </c>
      <c r="AJ158" s="225" t="str">
        <f>IFERROR(INDEX(Data!CF$9:CF$1273,MATCH($M158,Data!$K$9:$K$1273,0)),"")</f>
        <v/>
      </c>
      <c r="AK158" s="225" t="str">
        <f>IFERROR(INDEX(Data!CG$9:CG$1273,MATCH($M158,Data!$K$9:$K$1273,0)),"")</f>
        <v/>
      </c>
      <c r="AL158" s="225" t="str">
        <f>IFERROR(INDEX(Data!CH$9:CH$1273,MATCH($M158,Data!$K$9:$K$1273,0)),"")</f>
        <v/>
      </c>
      <c r="AM158" s="225" t="str">
        <f>IFERROR(INDEX(Data!CI$9:CI$1273,MATCH($M158,Data!$K$9:$K$1273,0)),"")</f>
        <v/>
      </c>
      <c r="AN158" s="225" t="str">
        <f>IFERROR(INDEX(Data!CJ$9:CJ$1273,MATCH($M158,Data!$K$9:$K$1273,0)),"")</f>
        <v/>
      </c>
      <c r="AO158" s="225" t="str">
        <f>IFERROR(INDEX(Data!CK$9:CK$1273,MATCH($M158,Data!$K$9:$K$1273,0)),"")</f>
        <v/>
      </c>
      <c r="AP158" s="225" t="str">
        <f>IFERROR(INDEX(Data!CL$9:CL$1273,MATCH($M158,Data!$K$9:$K$1273,0)),"")</f>
        <v/>
      </c>
      <c r="AQ158" s="225" t="str">
        <f>IFERROR(INDEX(Data!CM$9:CM$1273,MATCH($M158,Data!$K$9:$K$1273,0)),"")</f>
        <v/>
      </c>
      <c r="AR158" s="225" t="str">
        <f>IFERROR(INDEX(Data!CN$9:CN$1273,MATCH($M158,Data!$K$9:$K$1273,0)),"")</f>
        <v/>
      </c>
      <c r="AS158" s="225" t="str">
        <f>IFERROR(INDEX(Data!CO$9:CO$1273,MATCH($M158,Data!$K$9:$K$1273,0)),"")</f>
        <v/>
      </c>
      <c r="AT158" s="225" t="str">
        <f>IFERROR(INDEX(Data!CP$9:CP$1273,MATCH($M158,Data!$K$9:$K$1273,0)),"")</f>
        <v/>
      </c>
      <c r="AU158" s="225" t="str">
        <f>IFERROR(INDEX(Data!CQ$9:CQ$1273,MATCH($M158,Data!$K$9:$K$1273,0)),"")</f>
        <v/>
      </c>
      <c r="AV158" s="225" t="str">
        <f>IFERROR(INDEX(Data!CR$9:CR$1273,MATCH($M158,Data!$K$9:$K$1273,0)),"")</f>
        <v/>
      </c>
      <c r="AW158" s="225" t="str">
        <f>IFERROR(INDEX(Data!CS$9:CS$1273,MATCH($M158,Data!$K$9:$K$1273,0)),"")</f>
        <v/>
      </c>
      <c r="AX158" s="225" t="str">
        <f>IFERROR(INDEX(Data!CT$9:CT$1273,MATCH($M158,Data!$K$9:$K$1273,0)),"")</f>
        <v/>
      </c>
      <c r="AY158" s="225" t="str">
        <f>IFERROR(INDEX(Data!CU$9:CU$1273,MATCH($M158,Data!$K$9:$K$1273,0)),"")</f>
        <v/>
      </c>
      <c r="AZ158" s="225" t="str">
        <f>IFERROR(INDEX(Data!CV$9:CV$1273,MATCH($M158,Data!$K$9:$K$1273,0)),"")</f>
        <v/>
      </c>
      <c r="BA158" s="225" t="str">
        <f>IFERROR(INDEX(Data!CX$9:CX$1273,MATCH($M158,Data!$K$9:$K$1273,0)),"")</f>
        <v/>
      </c>
      <c r="BB158" s="225" t="str">
        <f>IFERROR(INDEX(Data!CY$9:CY$1273,MATCH($M158,Data!$K$9:$K$1273,0)),"")</f>
        <v/>
      </c>
      <c r="BC158" s="225" t="str">
        <f>IFERROR(INDEX(Data!CZ$9:CZ$1273,MATCH($M158,Data!$K$9:$K$1273,0)),"")</f>
        <v/>
      </c>
      <c r="BD158" s="225" t="str">
        <f>IFERROR(INDEX(Data!DA$9:DA$1273,MATCH($M158,Data!$K$9:$K$1273,0)),"")</f>
        <v/>
      </c>
      <c r="BE158" s="225" t="str">
        <f>IFERROR(INDEX(Data!DB$9:DB$1273,MATCH($M158,Data!$K$9:$K$1273,0)),"")</f>
        <v/>
      </c>
      <c r="BF158" s="225" t="str">
        <f>IFERROR(INDEX(Data!DC$9:DC$1273,MATCH($M158,Data!$K$9:$K$1273,0)),"")</f>
        <v/>
      </c>
      <c r="BG158" s="225" t="str">
        <f>IFERROR(INDEX(Data!DD$9:DD$1273,MATCH($M158,Data!$K$9:$K$1273,0)),"")</f>
        <v/>
      </c>
      <c r="BH158" s="225" t="str">
        <f>IFERROR(INDEX(Data!DE$9:DE$1273,MATCH($M158,Data!$K$9:$K$1273,0)),"")</f>
        <v/>
      </c>
      <c r="BI158" s="225" t="str">
        <f>IFERROR(INDEX(Data!DF$9:DF$1273,MATCH($M158,Data!$K$9:$K$1273,0)),"")</f>
        <v/>
      </c>
      <c r="BJ158" s="225" t="str">
        <f>IFERROR(INDEX(Data!DG$9:DG$1273,MATCH($M158,Data!$K$9:$K$1273,0)),"")</f>
        <v/>
      </c>
      <c r="BK158" s="225" t="str">
        <f>IFERROR(INDEX(Data!DH$9:DH$1273,MATCH($M158,Data!$K$9:$K$1273,0)),"")</f>
        <v/>
      </c>
      <c r="BL158" s="225" t="str">
        <f>IFERROR(INDEX(Data!DI$9:DI$1273,MATCH($M158,Data!$K$9:$K$1273,0)),"")</f>
        <v/>
      </c>
      <c r="BM158" s="225" t="str">
        <f>IFERROR(INDEX(Data!DJ$9:DJ$1273,MATCH($M158,Data!$K$9:$K$1273,0)),"")</f>
        <v/>
      </c>
      <c r="BN158" s="225" t="str">
        <f>IFERROR(INDEX(Data!DK$9:DK$1273,MATCH($M158,Data!$K$9:$K$1273,0)),"")</f>
        <v/>
      </c>
      <c r="BO158" s="225" t="str">
        <f>IFERROR(INDEX(Data!DL$9:DL$1273,MATCH($M158,Data!$K$9:$K$1273,0)),"")</f>
        <v/>
      </c>
      <c r="BP158" s="243" t="str">
        <f t="shared" si="17"/>
        <v/>
      </c>
      <c r="BQ158" s="225" t="str">
        <f t="shared" si="18"/>
        <v xml:space="preserve"> </v>
      </c>
      <c r="BR158" s="225" t="str">
        <f t="shared" si="19"/>
        <v/>
      </c>
      <c r="BS158" s="225" t="str">
        <f>IFERROR(INDEX(Data!$DO$9:$DO$1273,MATCH('Your recommendation'!BR158,Data!$DN$9:$DN$1273,0)),"")</f>
        <v/>
      </c>
    </row>
    <row r="159" spans="2:71" ht="15.6" customHeight="1">
      <c r="B159" s="222" t="str">
        <f t="shared" si="20"/>
        <v/>
      </c>
      <c r="C159" s="223"/>
      <c r="D159" s="225" t="str">
        <f>IFERROR(INDEX(Data!BR$9:BR$1273,MATCH($M159,Data!$K$9:$K$1273,0)),"")</f>
        <v/>
      </c>
      <c r="E159" s="225" t="str">
        <f>IFERROR(INDEX(Data!BS$9:BS$1273,MATCH($M159,Data!$K$9:$K$1273,0)),"")</f>
        <v/>
      </c>
      <c r="F159" s="225" t="str">
        <f>IFERROR(INDEX(Data!DM$9:DM$1273,MATCH($M159,Data!$K$9:$K$1273,0)),"")</f>
        <v/>
      </c>
      <c r="G159" s="225" t="str">
        <f>IFERROR(INDEX(Data!BV$9:BV$1273,MATCH($M159,Data!$K$9:$K$1273,0)),"")</f>
        <v/>
      </c>
      <c r="H159" s="225" t="str">
        <f>IFERROR(INDEX(Data!BW$9:BW$1273,MATCH($M159,Data!$K$9:$K$1273,0)),"")</f>
        <v/>
      </c>
      <c r="I159" s="225" t="str">
        <f>IFERROR(INDEX(Data!BX$9:BX$1273,MATCH($M159,Data!$K$9:$K$1273,0)),"")</f>
        <v/>
      </c>
      <c r="J159" s="225" t="str">
        <f>IFERROR(INDEX(Data!CB$9:CB$1273,MATCH($M159,Data!$K$9:$K$1273,0)),"")</f>
        <v/>
      </c>
      <c r="K159" s="241" t="str">
        <f t="shared" si="15"/>
        <v/>
      </c>
      <c r="L159" s="242" t="str">
        <f t="shared" si="16"/>
        <v/>
      </c>
      <c r="M159" s="224"/>
      <c r="N159" s="224"/>
      <c r="O159" s="224" t="str">
        <f>IFERROR(INDEX(Data!M$9:M$1273,MATCH($M159,Data!$K$9:$K$1273,0)),"")</f>
        <v/>
      </c>
      <c r="P159" s="224" t="str">
        <f>IFERROR(INDEX(Data!N$9:N$1273,MATCH($M159,Data!$K$9:$K$1273,0)),"")</f>
        <v/>
      </c>
      <c r="Q159" s="224" t="str">
        <f>IFERROR(INDEX(Data!O$9:O$1273,MATCH($M159,Data!$K$9:$K$1273,0)),"")</f>
        <v/>
      </c>
      <c r="R159" s="224" t="str">
        <f>IFERROR(INDEX(Data!P$9:P$1273,MATCH($M159,Data!$K$9:$K$1273,0)),"")</f>
        <v/>
      </c>
      <c r="S159" s="224" t="str">
        <f>IFERROR(INDEX(Data!S$9:S$1273,MATCH($M159,Data!$K$9:$K$1273,0)),"")</f>
        <v/>
      </c>
      <c r="T159" s="224" t="str">
        <f>IFERROR(INDEX(Data!T$9:T$1273,MATCH($M159,Data!$K$9:$K$1273,0)),"")</f>
        <v/>
      </c>
      <c r="U159" s="224" t="str">
        <f>IFERROR(INDEX(Data!U$9:U$1273,MATCH($M159,Data!$K$9:$K$1273,0)),"")</f>
        <v/>
      </c>
      <c r="V159" s="224" t="str">
        <f>IFERROR(INDEX(Data!V$9:V$1273,MATCH($M159,Data!$K$9:$K$1273,0)),"")</f>
        <v/>
      </c>
      <c r="W159" s="224" t="str">
        <f>IFERROR(INDEX(Data!W$9:W$1273,MATCH($M159,Data!$K$9:$K$1273,0)),"")</f>
        <v/>
      </c>
      <c r="X159" s="224" t="str">
        <f>IFERROR(INDEX(Data!AJ$9:AJ$1273,MATCH($M159,Data!$K$9:$K$1273,0)),"")</f>
        <v/>
      </c>
      <c r="Y159" s="224" t="str">
        <f>IFERROR(INDEX(Data!AK$9:AK$1273,MATCH($M159,Data!$K$9:$K$1273,0)),"")</f>
        <v/>
      </c>
      <c r="Z159" s="224" t="str">
        <f>IFERROR(INDEX(Data!AL$9:AL$1273,MATCH($M159,Data!$K$9:$K$1273,0)),"")</f>
        <v/>
      </c>
      <c r="AA159" s="224" t="str">
        <f>IFERROR(INDEX(Data!AM$9:AM$1273,MATCH($M159,Data!$K$9:$K$1273,0)),"")</f>
        <v/>
      </c>
      <c r="AB159" s="224" t="str">
        <f>IFERROR(INDEX(Data!AN$9:AN$1273,MATCH($M159,Data!$K$9:$K$1273,0)),"")</f>
        <v/>
      </c>
      <c r="AC159" s="225" t="str">
        <f>IFERROR(INDEX(Data!BY$9:BY$1273,MATCH($M159,Data!$K$9:$K$1273,0)),"")</f>
        <v/>
      </c>
      <c r="AD159" s="225" t="str">
        <f>IFERROR(INDEX(Data!BZ$9:BZ$1273,MATCH($M159,Data!$K$9:$K$1273,0)),"")</f>
        <v/>
      </c>
      <c r="AE159" s="225" t="str">
        <f>IFERROR(INDEX(Data!CA$9:CA$1273,MATCH($M159,Data!$K$9:$K$1273,0)),"")</f>
        <v/>
      </c>
      <c r="AF159" s="225" t="str">
        <f>IFERROR(INDEX(Data!CB$9:CB$1273,MATCH($M159,Data!$K$9:$K$1273,0)),"")</f>
        <v/>
      </c>
      <c r="AG159" s="225" t="str">
        <f>IFERROR(INDEX(Data!CC$9:CC$1273,MATCH($M159,Data!$K$9:$K$1273,0)),"")</f>
        <v/>
      </c>
      <c r="AH159" s="225" t="str">
        <f>IFERROR(INDEX(Data!CD$9:CD$1273,MATCH($M159,Data!$K$9:$K$1273,0)),"")</f>
        <v/>
      </c>
      <c r="AI159" s="225" t="str">
        <f>IFERROR(INDEX(Data!CE$9:CE$1273,MATCH($M159,Data!$K$9:$K$1273,0)),"")</f>
        <v/>
      </c>
      <c r="AJ159" s="225" t="str">
        <f>IFERROR(INDEX(Data!CF$9:CF$1273,MATCH($M159,Data!$K$9:$K$1273,0)),"")</f>
        <v/>
      </c>
      <c r="AK159" s="225" t="str">
        <f>IFERROR(INDEX(Data!CG$9:CG$1273,MATCH($M159,Data!$K$9:$K$1273,0)),"")</f>
        <v/>
      </c>
      <c r="AL159" s="225" t="str">
        <f>IFERROR(INDEX(Data!CH$9:CH$1273,MATCH($M159,Data!$K$9:$K$1273,0)),"")</f>
        <v/>
      </c>
      <c r="AM159" s="225" t="str">
        <f>IFERROR(INDEX(Data!CI$9:CI$1273,MATCH($M159,Data!$K$9:$K$1273,0)),"")</f>
        <v/>
      </c>
      <c r="AN159" s="225" t="str">
        <f>IFERROR(INDEX(Data!CJ$9:CJ$1273,MATCH($M159,Data!$K$9:$K$1273,0)),"")</f>
        <v/>
      </c>
      <c r="AO159" s="225" t="str">
        <f>IFERROR(INDEX(Data!CK$9:CK$1273,MATCH($M159,Data!$K$9:$K$1273,0)),"")</f>
        <v/>
      </c>
      <c r="AP159" s="225" t="str">
        <f>IFERROR(INDEX(Data!CL$9:CL$1273,MATCH($M159,Data!$K$9:$K$1273,0)),"")</f>
        <v/>
      </c>
      <c r="AQ159" s="225" t="str">
        <f>IFERROR(INDEX(Data!CM$9:CM$1273,MATCH($M159,Data!$K$9:$K$1273,0)),"")</f>
        <v/>
      </c>
      <c r="AR159" s="225" t="str">
        <f>IFERROR(INDEX(Data!CN$9:CN$1273,MATCH($M159,Data!$K$9:$K$1273,0)),"")</f>
        <v/>
      </c>
      <c r="AS159" s="225" t="str">
        <f>IFERROR(INDEX(Data!CO$9:CO$1273,MATCH($M159,Data!$K$9:$K$1273,0)),"")</f>
        <v/>
      </c>
      <c r="AT159" s="225" t="str">
        <f>IFERROR(INDEX(Data!CP$9:CP$1273,MATCH($M159,Data!$K$9:$K$1273,0)),"")</f>
        <v/>
      </c>
      <c r="AU159" s="225" t="str">
        <f>IFERROR(INDEX(Data!CQ$9:CQ$1273,MATCH($M159,Data!$K$9:$K$1273,0)),"")</f>
        <v/>
      </c>
      <c r="AV159" s="225" t="str">
        <f>IFERROR(INDEX(Data!CR$9:CR$1273,MATCH($M159,Data!$K$9:$K$1273,0)),"")</f>
        <v/>
      </c>
      <c r="AW159" s="225" t="str">
        <f>IFERROR(INDEX(Data!CS$9:CS$1273,MATCH($M159,Data!$K$9:$K$1273,0)),"")</f>
        <v/>
      </c>
      <c r="AX159" s="225" t="str">
        <f>IFERROR(INDEX(Data!CT$9:CT$1273,MATCH($M159,Data!$K$9:$K$1273,0)),"")</f>
        <v/>
      </c>
      <c r="AY159" s="225" t="str">
        <f>IFERROR(INDEX(Data!CU$9:CU$1273,MATCH($M159,Data!$K$9:$K$1273,0)),"")</f>
        <v/>
      </c>
      <c r="AZ159" s="225" t="str">
        <f>IFERROR(INDEX(Data!CV$9:CV$1273,MATCH($M159,Data!$K$9:$K$1273,0)),"")</f>
        <v/>
      </c>
      <c r="BA159" s="225" t="str">
        <f>IFERROR(INDEX(Data!CX$9:CX$1273,MATCH($M159,Data!$K$9:$K$1273,0)),"")</f>
        <v/>
      </c>
      <c r="BB159" s="225" t="str">
        <f>IFERROR(INDEX(Data!CY$9:CY$1273,MATCH($M159,Data!$K$9:$K$1273,0)),"")</f>
        <v/>
      </c>
      <c r="BC159" s="225" t="str">
        <f>IFERROR(INDEX(Data!CZ$9:CZ$1273,MATCH($M159,Data!$K$9:$K$1273,0)),"")</f>
        <v/>
      </c>
      <c r="BD159" s="225" t="str">
        <f>IFERROR(INDEX(Data!DA$9:DA$1273,MATCH($M159,Data!$K$9:$K$1273,0)),"")</f>
        <v/>
      </c>
      <c r="BE159" s="225" t="str">
        <f>IFERROR(INDEX(Data!DB$9:DB$1273,MATCH($M159,Data!$K$9:$K$1273,0)),"")</f>
        <v/>
      </c>
      <c r="BF159" s="225" t="str">
        <f>IFERROR(INDEX(Data!DC$9:DC$1273,MATCH($M159,Data!$K$9:$K$1273,0)),"")</f>
        <v/>
      </c>
      <c r="BG159" s="225" t="str">
        <f>IFERROR(INDEX(Data!DD$9:DD$1273,MATCH($M159,Data!$K$9:$K$1273,0)),"")</f>
        <v/>
      </c>
      <c r="BH159" s="225" t="str">
        <f>IFERROR(INDEX(Data!DE$9:DE$1273,MATCH($M159,Data!$K$9:$K$1273,0)),"")</f>
        <v/>
      </c>
      <c r="BI159" s="225" t="str">
        <f>IFERROR(INDEX(Data!DF$9:DF$1273,MATCH($M159,Data!$K$9:$K$1273,0)),"")</f>
        <v/>
      </c>
      <c r="BJ159" s="225" t="str">
        <f>IFERROR(INDEX(Data!DG$9:DG$1273,MATCH($M159,Data!$K$9:$K$1273,0)),"")</f>
        <v/>
      </c>
      <c r="BK159" s="225" t="str">
        <f>IFERROR(INDEX(Data!DH$9:DH$1273,MATCH($M159,Data!$K$9:$K$1273,0)),"")</f>
        <v/>
      </c>
      <c r="BL159" s="225" t="str">
        <f>IFERROR(INDEX(Data!DI$9:DI$1273,MATCH($M159,Data!$K$9:$K$1273,0)),"")</f>
        <v/>
      </c>
      <c r="BM159" s="225" t="str">
        <f>IFERROR(INDEX(Data!DJ$9:DJ$1273,MATCH($M159,Data!$K$9:$K$1273,0)),"")</f>
        <v/>
      </c>
      <c r="BN159" s="225" t="str">
        <f>IFERROR(INDEX(Data!DK$9:DK$1273,MATCH($M159,Data!$K$9:$K$1273,0)),"")</f>
        <v/>
      </c>
      <c r="BO159" s="225" t="str">
        <f>IFERROR(INDEX(Data!DL$9:DL$1273,MATCH($M159,Data!$K$9:$K$1273,0)),"")</f>
        <v/>
      </c>
      <c r="BP159" s="243" t="str">
        <f t="shared" si="17"/>
        <v/>
      </c>
      <c r="BQ159" s="225" t="str">
        <f t="shared" si="18"/>
        <v xml:space="preserve"> </v>
      </c>
      <c r="BR159" s="225" t="str">
        <f t="shared" si="19"/>
        <v/>
      </c>
      <c r="BS159" s="225" t="str">
        <f>IFERROR(INDEX(Data!$DO$9:$DO$1273,MATCH('Your recommendation'!BR159,Data!$DN$9:$DN$1273,0)),"")</f>
        <v/>
      </c>
    </row>
    <row r="160" spans="2:71" ht="15.6" customHeight="1">
      <c r="B160" s="222" t="str">
        <f t="shared" si="20"/>
        <v/>
      </c>
      <c r="C160" s="223"/>
      <c r="D160" s="225" t="str">
        <f>IFERROR(INDEX(Data!BR$9:BR$1273,MATCH($M160,Data!$K$9:$K$1273,0)),"")</f>
        <v/>
      </c>
      <c r="E160" s="225" t="str">
        <f>IFERROR(INDEX(Data!BS$9:BS$1273,MATCH($M160,Data!$K$9:$K$1273,0)),"")</f>
        <v/>
      </c>
      <c r="F160" s="225" t="str">
        <f>IFERROR(INDEX(Data!DM$9:DM$1273,MATCH($M160,Data!$K$9:$K$1273,0)),"")</f>
        <v/>
      </c>
      <c r="G160" s="225" t="str">
        <f>IFERROR(INDEX(Data!BV$9:BV$1273,MATCH($M160,Data!$K$9:$K$1273,0)),"")</f>
        <v/>
      </c>
      <c r="H160" s="225" t="str">
        <f>IFERROR(INDEX(Data!BW$9:BW$1273,MATCH($M160,Data!$K$9:$K$1273,0)),"")</f>
        <v/>
      </c>
      <c r="I160" s="225" t="str">
        <f>IFERROR(INDEX(Data!BX$9:BX$1273,MATCH($M160,Data!$K$9:$K$1273,0)),"")</f>
        <v/>
      </c>
      <c r="J160" s="225" t="str">
        <f>IFERROR(INDEX(Data!CB$9:CB$1273,MATCH($M160,Data!$K$9:$K$1273,0)),"")</f>
        <v/>
      </c>
      <c r="K160" s="241" t="str">
        <f t="shared" si="15"/>
        <v/>
      </c>
      <c r="L160" s="242" t="str">
        <f t="shared" si="16"/>
        <v/>
      </c>
      <c r="M160" s="224"/>
      <c r="N160" s="224"/>
      <c r="O160" s="224" t="str">
        <f>IFERROR(INDEX(Data!M$9:M$1273,MATCH($M160,Data!$K$9:$K$1273,0)),"")</f>
        <v/>
      </c>
      <c r="P160" s="224" t="str">
        <f>IFERROR(INDEX(Data!N$9:N$1273,MATCH($M160,Data!$K$9:$K$1273,0)),"")</f>
        <v/>
      </c>
      <c r="Q160" s="224" t="str">
        <f>IFERROR(INDEX(Data!O$9:O$1273,MATCH($M160,Data!$K$9:$K$1273,0)),"")</f>
        <v/>
      </c>
      <c r="R160" s="224" t="str">
        <f>IFERROR(INDEX(Data!P$9:P$1273,MATCH($M160,Data!$K$9:$K$1273,0)),"")</f>
        <v/>
      </c>
      <c r="S160" s="224" t="str">
        <f>IFERROR(INDEX(Data!S$9:S$1273,MATCH($M160,Data!$K$9:$K$1273,0)),"")</f>
        <v/>
      </c>
      <c r="T160" s="224" t="str">
        <f>IFERROR(INDEX(Data!T$9:T$1273,MATCH($M160,Data!$K$9:$K$1273,0)),"")</f>
        <v/>
      </c>
      <c r="U160" s="224" t="str">
        <f>IFERROR(INDEX(Data!U$9:U$1273,MATCH($M160,Data!$K$9:$K$1273,0)),"")</f>
        <v/>
      </c>
      <c r="V160" s="224" t="str">
        <f>IFERROR(INDEX(Data!V$9:V$1273,MATCH($M160,Data!$K$9:$K$1273,0)),"")</f>
        <v/>
      </c>
      <c r="W160" s="224" t="str">
        <f>IFERROR(INDEX(Data!W$9:W$1273,MATCH($M160,Data!$K$9:$K$1273,0)),"")</f>
        <v/>
      </c>
      <c r="X160" s="224" t="str">
        <f>IFERROR(INDEX(Data!AJ$9:AJ$1273,MATCH($M160,Data!$K$9:$K$1273,0)),"")</f>
        <v/>
      </c>
      <c r="Y160" s="224" t="str">
        <f>IFERROR(INDEX(Data!AK$9:AK$1273,MATCH($M160,Data!$K$9:$K$1273,0)),"")</f>
        <v/>
      </c>
      <c r="Z160" s="224" t="str">
        <f>IFERROR(INDEX(Data!AL$9:AL$1273,MATCH($M160,Data!$K$9:$K$1273,0)),"")</f>
        <v/>
      </c>
      <c r="AA160" s="224" t="str">
        <f>IFERROR(INDEX(Data!AM$9:AM$1273,MATCH($M160,Data!$K$9:$K$1273,0)),"")</f>
        <v/>
      </c>
      <c r="AB160" s="224" t="str">
        <f>IFERROR(INDEX(Data!AN$9:AN$1273,MATCH($M160,Data!$K$9:$K$1273,0)),"")</f>
        <v/>
      </c>
      <c r="AC160" s="225" t="str">
        <f>IFERROR(INDEX(Data!BY$9:BY$1273,MATCH($M160,Data!$K$9:$K$1273,0)),"")</f>
        <v/>
      </c>
      <c r="AD160" s="225" t="str">
        <f>IFERROR(INDEX(Data!BZ$9:BZ$1273,MATCH($M160,Data!$K$9:$K$1273,0)),"")</f>
        <v/>
      </c>
      <c r="AE160" s="225" t="str">
        <f>IFERROR(INDEX(Data!CA$9:CA$1273,MATCH($M160,Data!$K$9:$K$1273,0)),"")</f>
        <v/>
      </c>
      <c r="AF160" s="225" t="str">
        <f>IFERROR(INDEX(Data!CB$9:CB$1273,MATCH($M160,Data!$K$9:$K$1273,0)),"")</f>
        <v/>
      </c>
      <c r="AG160" s="225" t="str">
        <f>IFERROR(INDEX(Data!CC$9:CC$1273,MATCH($M160,Data!$K$9:$K$1273,0)),"")</f>
        <v/>
      </c>
      <c r="AH160" s="225" t="str">
        <f>IFERROR(INDEX(Data!CD$9:CD$1273,MATCH($M160,Data!$K$9:$K$1273,0)),"")</f>
        <v/>
      </c>
      <c r="AI160" s="225" t="str">
        <f>IFERROR(INDEX(Data!CE$9:CE$1273,MATCH($M160,Data!$K$9:$K$1273,0)),"")</f>
        <v/>
      </c>
      <c r="AJ160" s="225" t="str">
        <f>IFERROR(INDEX(Data!CF$9:CF$1273,MATCH($M160,Data!$K$9:$K$1273,0)),"")</f>
        <v/>
      </c>
      <c r="AK160" s="225" t="str">
        <f>IFERROR(INDEX(Data!CG$9:CG$1273,MATCH($M160,Data!$K$9:$K$1273,0)),"")</f>
        <v/>
      </c>
      <c r="AL160" s="225" t="str">
        <f>IFERROR(INDEX(Data!CH$9:CH$1273,MATCH($M160,Data!$K$9:$K$1273,0)),"")</f>
        <v/>
      </c>
      <c r="AM160" s="225" t="str">
        <f>IFERROR(INDEX(Data!CI$9:CI$1273,MATCH($M160,Data!$K$9:$K$1273,0)),"")</f>
        <v/>
      </c>
      <c r="AN160" s="225" t="str">
        <f>IFERROR(INDEX(Data!CJ$9:CJ$1273,MATCH($M160,Data!$K$9:$K$1273,0)),"")</f>
        <v/>
      </c>
      <c r="AO160" s="225" t="str">
        <f>IFERROR(INDEX(Data!CK$9:CK$1273,MATCH($M160,Data!$K$9:$K$1273,0)),"")</f>
        <v/>
      </c>
      <c r="AP160" s="225" t="str">
        <f>IFERROR(INDEX(Data!CL$9:CL$1273,MATCH($M160,Data!$K$9:$K$1273,0)),"")</f>
        <v/>
      </c>
      <c r="AQ160" s="225" t="str">
        <f>IFERROR(INDEX(Data!CM$9:CM$1273,MATCH($M160,Data!$K$9:$K$1273,0)),"")</f>
        <v/>
      </c>
      <c r="AR160" s="225" t="str">
        <f>IFERROR(INDEX(Data!CN$9:CN$1273,MATCH($M160,Data!$K$9:$K$1273,0)),"")</f>
        <v/>
      </c>
      <c r="AS160" s="225" t="str">
        <f>IFERROR(INDEX(Data!CO$9:CO$1273,MATCH($M160,Data!$K$9:$K$1273,0)),"")</f>
        <v/>
      </c>
      <c r="AT160" s="225" t="str">
        <f>IFERROR(INDEX(Data!CP$9:CP$1273,MATCH($M160,Data!$K$9:$K$1273,0)),"")</f>
        <v/>
      </c>
      <c r="AU160" s="225" t="str">
        <f>IFERROR(INDEX(Data!CQ$9:CQ$1273,MATCH($M160,Data!$K$9:$K$1273,0)),"")</f>
        <v/>
      </c>
      <c r="AV160" s="225" t="str">
        <f>IFERROR(INDEX(Data!CR$9:CR$1273,MATCH($M160,Data!$K$9:$K$1273,0)),"")</f>
        <v/>
      </c>
      <c r="AW160" s="225" t="str">
        <f>IFERROR(INDEX(Data!CS$9:CS$1273,MATCH($M160,Data!$K$9:$K$1273,0)),"")</f>
        <v/>
      </c>
      <c r="AX160" s="225" t="str">
        <f>IFERROR(INDEX(Data!CT$9:CT$1273,MATCH($M160,Data!$K$9:$K$1273,0)),"")</f>
        <v/>
      </c>
      <c r="AY160" s="225" t="str">
        <f>IFERROR(INDEX(Data!CU$9:CU$1273,MATCH($M160,Data!$K$9:$K$1273,0)),"")</f>
        <v/>
      </c>
      <c r="AZ160" s="225" t="str">
        <f>IFERROR(INDEX(Data!CV$9:CV$1273,MATCH($M160,Data!$K$9:$K$1273,0)),"")</f>
        <v/>
      </c>
      <c r="BA160" s="225" t="str">
        <f>IFERROR(INDEX(Data!CX$9:CX$1273,MATCH($M160,Data!$K$9:$K$1273,0)),"")</f>
        <v/>
      </c>
      <c r="BB160" s="225" t="str">
        <f>IFERROR(INDEX(Data!CY$9:CY$1273,MATCH($M160,Data!$K$9:$K$1273,0)),"")</f>
        <v/>
      </c>
      <c r="BC160" s="225" t="str">
        <f>IFERROR(INDEX(Data!CZ$9:CZ$1273,MATCH($M160,Data!$K$9:$K$1273,0)),"")</f>
        <v/>
      </c>
      <c r="BD160" s="225" t="str">
        <f>IFERROR(INDEX(Data!DA$9:DA$1273,MATCH($M160,Data!$K$9:$K$1273,0)),"")</f>
        <v/>
      </c>
      <c r="BE160" s="225" t="str">
        <f>IFERROR(INDEX(Data!DB$9:DB$1273,MATCH($M160,Data!$K$9:$K$1273,0)),"")</f>
        <v/>
      </c>
      <c r="BF160" s="225" t="str">
        <f>IFERROR(INDEX(Data!DC$9:DC$1273,MATCH($M160,Data!$K$9:$K$1273,0)),"")</f>
        <v/>
      </c>
      <c r="BG160" s="225" t="str">
        <f>IFERROR(INDEX(Data!DD$9:DD$1273,MATCH($M160,Data!$K$9:$K$1273,0)),"")</f>
        <v/>
      </c>
      <c r="BH160" s="225" t="str">
        <f>IFERROR(INDEX(Data!DE$9:DE$1273,MATCH($M160,Data!$K$9:$K$1273,0)),"")</f>
        <v/>
      </c>
      <c r="BI160" s="225" t="str">
        <f>IFERROR(INDEX(Data!DF$9:DF$1273,MATCH($M160,Data!$K$9:$K$1273,0)),"")</f>
        <v/>
      </c>
      <c r="BJ160" s="225" t="str">
        <f>IFERROR(INDEX(Data!DG$9:DG$1273,MATCH($M160,Data!$K$9:$K$1273,0)),"")</f>
        <v/>
      </c>
      <c r="BK160" s="225" t="str">
        <f>IFERROR(INDEX(Data!DH$9:DH$1273,MATCH($M160,Data!$K$9:$K$1273,0)),"")</f>
        <v/>
      </c>
      <c r="BL160" s="225" t="str">
        <f>IFERROR(INDEX(Data!DI$9:DI$1273,MATCH($M160,Data!$K$9:$K$1273,0)),"")</f>
        <v/>
      </c>
      <c r="BM160" s="225" t="str">
        <f>IFERROR(INDEX(Data!DJ$9:DJ$1273,MATCH($M160,Data!$K$9:$K$1273,0)),"")</f>
        <v/>
      </c>
      <c r="BN160" s="225" t="str">
        <f>IFERROR(INDEX(Data!DK$9:DK$1273,MATCH($M160,Data!$K$9:$K$1273,0)),"")</f>
        <v/>
      </c>
      <c r="BO160" s="225" t="str">
        <f>IFERROR(INDEX(Data!DL$9:DL$1273,MATCH($M160,Data!$K$9:$K$1273,0)),"")</f>
        <v/>
      </c>
      <c r="BP160" s="243" t="str">
        <f t="shared" si="17"/>
        <v/>
      </c>
      <c r="BQ160" s="225" t="str">
        <f t="shared" si="18"/>
        <v xml:space="preserve"> </v>
      </c>
      <c r="BR160" s="225" t="str">
        <f t="shared" si="19"/>
        <v/>
      </c>
      <c r="BS160" s="225" t="str">
        <f>IFERROR(INDEX(Data!$DO$9:$DO$1273,MATCH('Your recommendation'!BR160,Data!$DN$9:$DN$1273,0)),"")</f>
        <v/>
      </c>
    </row>
    <row r="161" spans="2:71" ht="15.6" customHeight="1">
      <c r="B161" s="222" t="str">
        <f t="shared" si="20"/>
        <v/>
      </c>
      <c r="C161" s="223"/>
      <c r="D161" s="225" t="str">
        <f>IFERROR(INDEX(Data!BR$9:BR$1273,MATCH($M161,Data!$K$9:$K$1273,0)),"")</f>
        <v/>
      </c>
      <c r="E161" s="225" t="str">
        <f>IFERROR(INDEX(Data!BS$9:BS$1273,MATCH($M161,Data!$K$9:$K$1273,0)),"")</f>
        <v/>
      </c>
      <c r="F161" s="225" t="str">
        <f>IFERROR(INDEX(Data!DM$9:DM$1273,MATCH($M161,Data!$K$9:$K$1273,0)),"")</f>
        <v/>
      </c>
      <c r="G161" s="225" t="str">
        <f>IFERROR(INDEX(Data!BV$9:BV$1273,MATCH($M161,Data!$K$9:$K$1273,0)),"")</f>
        <v/>
      </c>
      <c r="H161" s="225" t="str">
        <f>IFERROR(INDEX(Data!BW$9:BW$1273,MATCH($M161,Data!$K$9:$K$1273,0)),"")</f>
        <v/>
      </c>
      <c r="I161" s="225" t="str">
        <f>IFERROR(INDEX(Data!BX$9:BX$1273,MATCH($M161,Data!$K$9:$K$1273,0)),"")</f>
        <v/>
      </c>
      <c r="J161" s="225" t="str">
        <f>IFERROR(INDEX(Data!CB$9:CB$1273,MATCH($M161,Data!$K$9:$K$1273,0)),"")</f>
        <v/>
      </c>
      <c r="K161" s="241" t="str">
        <f t="shared" si="15"/>
        <v/>
      </c>
      <c r="L161" s="242" t="str">
        <f t="shared" si="16"/>
        <v/>
      </c>
      <c r="M161" s="224"/>
      <c r="N161" s="224"/>
      <c r="O161" s="224" t="str">
        <f>IFERROR(INDEX(Data!M$9:M$1273,MATCH($M161,Data!$K$9:$K$1273,0)),"")</f>
        <v/>
      </c>
      <c r="P161" s="224" t="str">
        <f>IFERROR(INDEX(Data!N$9:N$1273,MATCH($M161,Data!$K$9:$K$1273,0)),"")</f>
        <v/>
      </c>
      <c r="Q161" s="224" t="str">
        <f>IFERROR(INDEX(Data!O$9:O$1273,MATCH($M161,Data!$K$9:$K$1273,0)),"")</f>
        <v/>
      </c>
      <c r="R161" s="224" t="str">
        <f>IFERROR(INDEX(Data!P$9:P$1273,MATCH($M161,Data!$K$9:$K$1273,0)),"")</f>
        <v/>
      </c>
      <c r="S161" s="224" t="str">
        <f>IFERROR(INDEX(Data!S$9:S$1273,MATCH($M161,Data!$K$9:$K$1273,0)),"")</f>
        <v/>
      </c>
      <c r="T161" s="224" t="str">
        <f>IFERROR(INDEX(Data!T$9:T$1273,MATCH($M161,Data!$K$9:$K$1273,0)),"")</f>
        <v/>
      </c>
      <c r="U161" s="224" t="str">
        <f>IFERROR(INDEX(Data!U$9:U$1273,MATCH($M161,Data!$K$9:$K$1273,0)),"")</f>
        <v/>
      </c>
      <c r="V161" s="224" t="str">
        <f>IFERROR(INDEX(Data!V$9:V$1273,MATCH($M161,Data!$K$9:$K$1273,0)),"")</f>
        <v/>
      </c>
      <c r="W161" s="224" t="str">
        <f>IFERROR(INDEX(Data!W$9:W$1273,MATCH($M161,Data!$K$9:$K$1273,0)),"")</f>
        <v/>
      </c>
      <c r="X161" s="224" t="str">
        <f>IFERROR(INDEX(Data!AJ$9:AJ$1273,MATCH($M161,Data!$K$9:$K$1273,0)),"")</f>
        <v/>
      </c>
      <c r="Y161" s="224" t="str">
        <f>IFERROR(INDEX(Data!AK$9:AK$1273,MATCH($M161,Data!$K$9:$K$1273,0)),"")</f>
        <v/>
      </c>
      <c r="Z161" s="224" t="str">
        <f>IFERROR(INDEX(Data!AL$9:AL$1273,MATCH($M161,Data!$K$9:$K$1273,0)),"")</f>
        <v/>
      </c>
      <c r="AA161" s="224" t="str">
        <f>IFERROR(INDEX(Data!AM$9:AM$1273,MATCH($M161,Data!$K$9:$K$1273,0)),"")</f>
        <v/>
      </c>
      <c r="AB161" s="224" t="str">
        <f>IFERROR(INDEX(Data!AN$9:AN$1273,MATCH($M161,Data!$K$9:$K$1273,0)),"")</f>
        <v/>
      </c>
      <c r="AC161" s="225" t="str">
        <f>IFERROR(INDEX(Data!BY$9:BY$1273,MATCH($M161,Data!$K$9:$K$1273,0)),"")</f>
        <v/>
      </c>
      <c r="AD161" s="225" t="str">
        <f>IFERROR(INDEX(Data!BZ$9:BZ$1273,MATCH($M161,Data!$K$9:$K$1273,0)),"")</f>
        <v/>
      </c>
      <c r="AE161" s="225" t="str">
        <f>IFERROR(INDEX(Data!CA$9:CA$1273,MATCH($M161,Data!$K$9:$K$1273,0)),"")</f>
        <v/>
      </c>
      <c r="AF161" s="225" t="str">
        <f>IFERROR(INDEX(Data!CB$9:CB$1273,MATCH($M161,Data!$K$9:$K$1273,0)),"")</f>
        <v/>
      </c>
      <c r="AG161" s="225" t="str">
        <f>IFERROR(INDEX(Data!CC$9:CC$1273,MATCH($M161,Data!$K$9:$K$1273,0)),"")</f>
        <v/>
      </c>
      <c r="AH161" s="225" t="str">
        <f>IFERROR(INDEX(Data!CD$9:CD$1273,MATCH($M161,Data!$K$9:$K$1273,0)),"")</f>
        <v/>
      </c>
      <c r="AI161" s="225" t="str">
        <f>IFERROR(INDEX(Data!CE$9:CE$1273,MATCH($M161,Data!$K$9:$K$1273,0)),"")</f>
        <v/>
      </c>
      <c r="AJ161" s="225" t="str">
        <f>IFERROR(INDEX(Data!CF$9:CF$1273,MATCH($M161,Data!$K$9:$K$1273,0)),"")</f>
        <v/>
      </c>
      <c r="AK161" s="225" t="str">
        <f>IFERROR(INDEX(Data!CG$9:CG$1273,MATCH($M161,Data!$K$9:$K$1273,0)),"")</f>
        <v/>
      </c>
      <c r="AL161" s="225" t="str">
        <f>IFERROR(INDEX(Data!CH$9:CH$1273,MATCH($M161,Data!$K$9:$K$1273,0)),"")</f>
        <v/>
      </c>
      <c r="AM161" s="225" t="str">
        <f>IFERROR(INDEX(Data!CI$9:CI$1273,MATCH($M161,Data!$K$9:$K$1273,0)),"")</f>
        <v/>
      </c>
      <c r="AN161" s="225" t="str">
        <f>IFERROR(INDEX(Data!CJ$9:CJ$1273,MATCH($M161,Data!$K$9:$K$1273,0)),"")</f>
        <v/>
      </c>
      <c r="AO161" s="225" t="str">
        <f>IFERROR(INDEX(Data!CK$9:CK$1273,MATCH($M161,Data!$K$9:$K$1273,0)),"")</f>
        <v/>
      </c>
      <c r="AP161" s="225" t="str">
        <f>IFERROR(INDEX(Data!CL$9:CL$1273,MATCH($M161,Data!$K$9:$K$1273,0)),"")</f>
        <v/>
      </c>
      <c r="AQ161" s="225" t="str">
        <f>IFERROR(INDEX(Data!CM$9:CM$1273,MATCH($M161,Data!$K$9:$K$1273,0)),"")</f>
        <v/>
      </c>
      <c r="AR161" s="225" t="str">
        <f>IFERROR(INDEX(Data!CN$9:CN$1273,MATCH($M161,Data!$K$9:$K$1273,0)),"")</f>
        <v/>
      </c>
      <c r="AS161" s="225" t="str">
        <f>IFERROR(INDEX(Data!CO$9:CO$1273,MATCH($M161,Data!$K$9:$K$1273,0)),"")</f>
        <v/>
      </c>
      <c r="AT161" s="225" t="str">
        <f>IFERROR(INDEX(Data!CP$9:CP$1273,MATCH($M161,Data!$K$9:$K$1273,0)),"")</f>
        <v/>
      </c>
      <c r="AU161" s="225" t="str">
        <f>IFERROR(INDEX(Data!CQ$9:CQ$1273,MATCH($M161,Data!$K$9:$K$1273,0)),"")</f>
        <v/>
      </c>
      <c r="AV161" s="225" t="str">
        <f>IFERROR(INDEX(Data!CR$9:CR$1273,MATCH($M161,Data!$K$9:$K$1273,0)),"")</f>
        <v/>
      </c>
      <c r="AW161" s="225" t="str">
        <f>IFERROR(INDEX(Data!CS$9:CS$1273,MATCH($M161,Data!$K$9:$K$1273,0)),"")</f>
        <v/>
      </c>
      <c r="AX161" s="225" t="str">
        <f>IFERROR(INDEX(Data!CT$9:CT$1273,MATCH($M161,Data!$K$9:$K$1273,0)),"")</f>
        <v/>
      </c>
      <c r="AY161" s="225" t="str">
        <f>IFERROR(INDEX(Data!CU$9:CU$1273,MATCH($M161,Data!$K$9:$K$1273,0)),"")</f>
        <v/>
      </c>
      <c r="AZ161" s="225" t="str">
        <f>IFERROR(INDEX(Data!CV$9:CV$1273,MATCH($M161,Data!$K$9:$K$1273,0)),"")</f>
        <v/>
      </c>
      <c r="BA161" s="225" t="str">
        <f>IFERROR(INDEX(Data!CX$9:CX$1273,MATCH($M161,Data!$K$9:$K$1273,0)),"")</f>
        <v/>
      </c>
      <c r="BB161" s="225" t="str">
        <f>IFERROR(INDEX(Data!CY$9:CY$1273,MATCH($M161,Data!$K$9:$K$1273,0)),"")</f>
        <v/>
      </c>
      <c r="BC161" s="225" t="str">
        <f>IFERROR(INDEX(Data!CZ$9:CZ$1273,MATCH($M161,Data!$K$9:$K$1273,0)),"")</f>
        <v/>
      </c>
      <c r="BD161" s="225" t="str">
        <f>IFERROR(INDEX(Data!DA$9:DA$1273,MATCH($M161,Data!$K$9:$K$1273,0)),"")</f>
        <v/>
      </c>
      <c r="BE161" s="225" t="str">
        <f>IFERROR(INDEX(Data!DB$9:DB$1273,MATCH($M161,Data!$K$9:$K$1273,0)),"")</f>
        <v/>
      </c>
      <c r="BF161" s="225" t="str">
        <f>IFERROR(INDEX(Data!DC$9:DC$1273,MATCH($M161,Data!$K$9:$K$1273,0)),"")</f>
        <v/>
      </c>
      <c r="BG161" s="225" t="str">
        <f>IFERROR(INDEX(Data!DD$9:DD$1273,MATCH($M161,Data!$K$9:$K$1273,0)),"")</f>
        <v/>
      </c>
      <c r="BH161" s="225" t="str">
        <f>IFERROR(INDEX(Data!DE$9:DE$1273,MATCH($M161,Data!$K$9:$K$1273,0)),"")</f>
        <v/>
      </c>
      <c r="BI161" s="225" t="str">
        <f>IFERROR(INDEX(Data!DF$9:DF$1273,MATCH($M161,Data!$K$9:$K$1273,0)),"")</f>
        <v/>
      </c>
      <c r="BJ161" s="225" t="str">
        <f>IFERROR(INDEX(Data!DG$9:DG$1273,MATCH($M161,Data!$K$9:$K$1273,0)),"")</f>
        <v/>
      </c>
      <c r="BK161" s="225" t="str">
        <f>IFERROR(INDEX(Data!DH$9:DH$1273,MATCH($M161,Data!$K$9:$K$1273,0)),"")</f>
        <v/>
      </c>
      <c r="BL161" s="225" t="str">
        <f>IFERROR(INDEX(Data!DI$9:DI$1273,MATCH($M161,Data!$K$9:$K$1273,0)),"")</f>
        <v/>
      </c>
      <c r="BM161" s="225" t="str">
        <f>IFERROR(INDEX(Data!DJ$9:DJ$1273,MATCH($M161,Data!$K$9:$K$1273,0)),"")</f>
        <v/>
      </c>
      <c r="BN161" s="225" t="str">
        <f>IFERROR(INDEX(Data!DK$9:DK$1273,MATCH($M161,Data!$K$9:$K$1273,0)),"")</f>
        <v/>
      </c>
      <c r="BO161" s="225" t="str">
        <f>IFERROR(INDEX(Data!DL$9:DL$1273,MATCH($M161,Data!$K$9:$K$1273,0)),"")</f>
        <v/>
      </c>
      <c r="BP161" s="243" t="str">
        <f t="shared" si="17"/>
        <v/>
      </c>
      <c r="BQ161" s="225" t="str">
        <f t="shared" si="18"/>
        <v xml:space="preserve"> </v>
      </c>
      <c r="BR161" s="225" t="str">
        <f t="shared" si="19"/>
        <v/>
      </c>
      <c r="BS161" s="225" t="str">
        <f>IFERROR(INDEX(Data!$DO$9:$DO$1273,MATCH('Your recommendation'!BR161,Data!$DN$9:$DN$1273,0)),"")</f>
        <v/>
      </c>
    </row>
    <row r="162" spans="2:71" ht="15.6" customHeight="1">
      <c r="B162" s="222" t="str">
        <f t="shared" si="20"/>
        <v/>
      </c>
      <c r="C162" s="223"/>
      <c r="D162" s="225" t="str">
        <f>IFERROR(INDEX(Data!BR$9:BR$1273,MATCH($M162,Data!$K$9:$K$1273,0)),"")</f>
        <v/>
      </c>
      <c r="E162" s="225" t="str">
        <f>IFERROR(INDEX(Data!BS$9:BS$1273,MATCH($M162,Data!$K$9:$K$1273,0)),"")</f>
        <v/>
      </c>
      <c r="F162" s="225" t="str">
        <f>IFERROR(INDEX(Data!DM$9:DM$1273,MATCH($M162,Data!$K$9:$K$1273,0)),"")</f>
        <v/>
      </c>
      <c r="G162" s="225" t="str">
        <f>IFERROR(INDEX(Data!BV$9:BV$1273,MATCH($M162,Data!$K$9:$K$1273,0)),"")</f>
        <v/>
      </c>
      <c r="H162" s="225" t="str">
        <f>IFERROR(INDEX(Data!BW$9:BW$1273,MATCH($M162,Data!$K$9:$K$1273,0)),"")</f>
        <v/>
      </c>
      <c r="I162" s="225" t="str">
        <f>IFERROR(INDEX(Data!BX$9:BX$1273,MATCH($M162,Data!$K$9:$K$1273,0)),"")</f>
        <v/>
      </c>
      <c r="J162" s="225" t="str">
        <f>IFERROR(INDEX(Data!CB$9:CB$1273,MATCH($M162,Data!$K$9:$K$1273,0)),"")</f>
        <v/>
      </c>
      <c r="K162" s="241" t="str">
        <f t="shared" si="15"/>
        <v/>
      </c>
      <c r="L162" s="242" t="str">
        <f t="shared" si="16"/>
        <v/>
      </c>
      <c r="M162" s="224"/>
      <c r="N162" s="224"/>
      <c r="O162" s="224" t="str">
        <f>IFERROR(INDEX(Data!M$9:M$1273,MATCH($M162,Data!$K$9:$K$1273,0)),"")</f>
        <v/>
      </c>
      <c r="P162" s="224" t="str">
        <f>IFERROR(INDEX(Data!N$9:N$1273,MATCH($M162,Data!$K$9:$K$1273,0)),"")</f>
        <v/>
      </c>
      <c r="Q162" s="224" t="str">
        <f>IFERROR(INDEX(Data!O$9:O$1273,MATCH($M162,Data!$K$9:$K$1273,0)),"")</f>
        <v/>
      </c>
      <c r="R162" s="224" t="str">
        <f>IFERROR(INDEX(Data!P$9:P$1273,MATCH($M162,Data!$K$9:$K$1273,0)),"")</f>
        <v/>
      </c>
      <c r="S162" s="224" t="str">
        <f>IFERROR(INDEX(Data!S$9:S$1273,MATCH($M162,Data!$K$9:$K$1273,0)),"")</f>
        <v/>
      </c>
      <c r="T162" s="224" t="str">
        <f>IFERROR(INDEX(Data!T$9:T$1273,MATCH($M162,Data!$K$9:$K$1273,0)),"")</f>
        <v/>
      </c>
      <c r="U162" s="224" t="str">
        <f>IFERROR(INDEX(Data!U$9:U$1273,MATCH($M162,Data!$K$9:$K$1273,0)),"")</f>
        <v/>
      </c>
      <c r="V162" s="224" t="str">
        <f>IFERROR(INDEX(Data!V$9:V$1273,MATCH($M162,Data!$K$9:$K$1273,0)),"")</f>
        <v/>
      </c>
      <c r="W162" s="224" t="str">
        <f>IFERROR(INDEX(Data!W$9:W$1273,MATCH($M162,Data!$K$9:$K$1273,0)),"")</f>
        <v/>
      </c>
      <c r="X162" s="224" t="str">
        <f>IFERROR(INDEX(Data!AJ$9:AJ$1273,MATCH($M162,Data!$K$9:$K$1273,0)),"")</f>
        <v/>
      </c>
      <c r="Y162" s="224" t="str">
        <f>IFERROR(INDEX(Data!AK$9:AK$1273,MATCH($M162,Data!$K$9:$K$1273,0)),"")</f>
        <v/>
      </c>
      <c r="Z162" s="224" t="str">
        <f>IFERROR(INDEX(Data!AL$9:AL$1273,MATCH($M162,Data!$K$9:$K$1273,0)),"")</f>
        <v/>
      </c>
      <c r="AA162" s="224" t="str">
        <f>IFERROR(INDEX(Data!AM$9:AM$1273,MATCH($M162,Data!$K$9:$K$1273,0)),"")</f>
        <v/>
      </c>
      <c r="AB162" s="224" t="str">
        <f>IFERROR(INDEX(Data!AN$9:AN$1273,MATCH($M162,Data!$K$9:$K$1273,0)),"")</f>
        <v/>
      </c>
      <c r="AC162" s="225" t="str">
        <f>IFERROR(INDEX(Data!BY$9:BY$1273,MATCH($M162,Data!$K$9:$K$1273,0)),"")</f>
        <v/>
      </c>
      <c r="AD162" s="225" t="str">
        <f>IFERROR(INDEX(Data!BZ$9:BZ$1273,MATCH($M162,Data!$K$9:$K$1273,0)),"")</f>
        <v/>
      </c>
      <c r="AE162" s="225" t="str">
        <f>IFERROR(INDEX(Data!CA$9:CA$1273,MATCH($M162,Data!$K$9:$K$1273,0)),"")</f>
        <v/>
      </c>
      <c r="AF162" s="225" t="str">
        <f>IFERROR(INDEX(Data!CB$9:CB$1273,MATCH($M162,Data!$K$9:$K$1273,0)),"")</f>
        <v/>
      </c>
      <c r="AG162" s="225" t="str">
        <f>IFERROR(INDEX(Data!CC$9:CC$1273,MATCH($M162,Data!$K$9:$K$1273,0)),"")</f>
        <v/>
      </c>
      <c r="AH162" s="225" t="str">
        <f>IFERROR(INDEX(Data!CD$9:CD$1273,MATCH($M162,Data!$K$9:$K$1273,0)),"")</f>
        <v/>
      </c>
      <c r="AI162" s="225" t="str">
        <f>IFERROR(INDEX(Data!CE$9:CE$1273,MATCH($M162,Data!$K$9:$K$1273,0)),"")</f>
        <v/>
      </c>
      <c r="AJ162" s="225" t="str">
        <f>IFERROR(INDEX(Data!CF$9:CF$1273,MATCH($M162,Data!$K$9:$K$1273,0)),"")</f>
        <v/>
      </c>
      <c r="AK162" s="225" t="str">
        <f>IFERROR(INDEX(Data!CG$9:CG$1273,MATCH($M162,Data!$K$9:$K$1273,0)),"")</f>
        <v/>
      </c>
      <c r="AL162" s="225" t="str">
        <f>IFERROR(INDEX(Data!CH$9:CH$1273,MATCH($M162,Data!$K$9:$K$1273,0)),"")</f>
        <v/>
      </c>
      <c r="AM162" s="225" t="str">
        <f>IFERROR(INDEX(Data!CI$9:CI$1273,MATCH($M162,Data!$K$9:$K$1273,0)),"")</f>
        <v/>
      </c>
      <c r="AN162" s="225" t="str">
        <f>IFERROR(INDEX(Data!CJ$9:CJ$1273,MATCH($M162,Data!$K$9:$K$1273,0)),"")</f>
        <v/>
      </c>
      <c r="AO162" s="225" t="str">
        <f>IFERROR(INDEX(Data!CK$9:CK$1273,MATCH($M162,Data!$K$9:$K$1273,0)),"")</f>
        <v/>
      </c>
      <c r="AP162" s="225" t="str">
        <f>IFERROR(INDEX(Data!CL$9:CL$1273,MATCH($M162,Data!$K$9:$K$1273,0)),"")</f>
        <v/>
      </c>
      <c r="AQ162" s="225" t="str">
        <f>IFERROR(INDEX(Data!CM$9:CM$1273,MATCH($M162,Data!$K$9:$K$1273,0)),"")</f>
        <v/>
      </c>
      <c r="AR162" s="225" t="str">
        <f>IFERROR(INDEX(Data!CN$9:CN$1273,MATCH($M162,Data!$K$9:$K$1273,0)),"")</f>
        <v/>
      </c>
      <c r="AS162" s="225" t="str">
        <f>IFERROR(INDEX(Data!CO$9:CO$1273,MATCH($M162,Data!$K$9:$K$1273,0)),"")</f>
        <v/>
      </c>
      <c r="AT162" s="225" t="str">
        <f>IFERROR(INDEX(Data!CP$9:CP$1273,MATCH($M162,Data!$K$9:$K$1273,0)),"")</f>
        <v/>
      </c>
      <c r="AU162" s="225" t="str">
        <f>IFERROR(INDEX(Data!CQ$9:CQ$1273,MATCH($M162,Data!$K$9:$K$1273,0)),"")</f>
        <v/>
      </c>
      <c r="AV162" s="225" t="str">
        <f>IFERROR(INDEX(Data!CR$9:CR$1273,MATCH($M162,Data!$K$9:$K$1273,0)),"")</f>
        <v/>
      </c>
      <c r="AW162" s="225" t="str">
        <f>IFERROR(INDEX(Data!CS$9:CS$1273,MATCH($M162,Data!$K$9:$K$1273,0)),"")</f>
        <v/>
      </c>
      <c r="AX162" s="225" t="str">
        <f>IFERROR(INDEX(Data!CT$9:CT$1273,MATCH($M162,Data!$K$9:$K$1273,0)),"")</f>
        <v/>
      </c>
      <c r="AY162" s="225" t="str">
        <f>IFERROR(INDEX(Data!CU$9:CU$1273,MATCH($M162,Data!$K$9:$K$1273,0)),"")</f>
        <v/>
      </c>
      <c r="AZ162" s="225" t="str">
        <f>IFERROR(INDEX(Data!CV$9:CV$1273,MATCH($M162,Data!$K$9:$K$1273,0)),"")</f>
        <v/>
      </c>
      <c r="BA162" s="225" t="str">
        <f>IFERROR(INDEX(Data!CX$9:CX$1273,MATCH($M162,Data!$K$9:$K$1273,0)),"")</f>
        <v/>
      </c>
      <c r="BB162" s="225" t="str">
        <f>IFERROR(INDEX(Data!CY$9:CY$1273,MATCH($M162,Data!$K$9:$K$1273,0)),"")</f>
        <v/>
      </c>
      <c r="BC162" s="225" t="str">
        <f>IFERROR(INDEX(Data!CZ$9:CZ$1273,MATCH($M162,Data!$K$9:$K$1273,0)),"")</f>
        <v/>
      </c>
      <c r="BD162" s="225" t="str">
        <f>IFERROR(INDEX(Data!DA$9:DA$1273,MATCH($M162,Data!$K$9:$K$1273,0)),"")</f>
        <v/>
      </c>
      <c r="BE162" s="225" t="str">
        <f>IFERROR(INDEX(Data!DB$9:DB$1273,MATCH($M162,Data!$K$9:$K$1273,0)),"")</f>
        <v/>
      </c>
      <c r="BF162" s="225" t="str">
        <f>IFERROR(INDEX(Data!DC$9:DC$1273,MATCH($M162,Data!$K$9:$K$1273,0)),"")</f>
        <v/>
      </c>
      <c r="BG162" s="225" t="str">
        <f>IFERROR(INDEX(Data!DD$9:DD$1273,MATCH($M162,Data!$K$9:$K$1273,0)),"")</f>
        <v/>
      </c>
      <c r="BH162" s="225" t="str">
        <f>IFERROR(INDEX(Data!DE$9:DE$1273,MATCH($M162,Data!$K$9:$K$1273,0)),"")</f>
        <v/>
      </c>
      <c r="BI162" s="225" t="str">
        <f>IFERROR(INDEX(Data!DF$9:DF$1273,MATCH($M162,Data!$K$9:$K$1273,0)),"")</f>
        <v/>
      </c>
      <c r="BJ162" s="225" t="str">
        <f>IFERROR(INDEX(Data!DG$9:DG$1273,MATCH($M162,Data!$K$9:$K$1273,0)),"")</f>
        <v/>
      </c>
      <c r="BK162" s="225" t="str">
        <f>IFERROR(INDEX(Data!DH$9:DH$1273,MATCH($M162,Data!$K$9:$K$1273,0)),"")</f>
        <v/>
      </c>
      <c r="BL162" s="225" t="str">
        <f>IFERROR(INDEX(Data!DI$9:DI$1273,MATCH($M162,Data!$K$9:$K$1273,0)),"")</f>
        <v/>
      </c>
      <c r="BM162" s="225" t="str">
        <f>IFERROR(INDEX(Data!DJ$9:DJ$1273,MATCH($M162,Data!$K$9:$K$1273,0)),"")</f>
        <v/>
      </c>
      <c r="BN162" s="225" t="str">
        <f>IFERROR(INDEX(Data!DK$9:DK$1273,MATCH($M162,Data!$K$9:$K$1273,0)),"")</f>
        <v/>
      </c>
      <c r="BO162" s="225" t="str">
        <f>IFERROR(INDEX(Data!DL$9:DL$1273,MATCH($M162,Data!$K$9:$K$1273,0)),"")</f>
        <v/>
      </c>
      <c r="BP162" s="243" t="str">
        <f t="shared" si="17"/>
        <v/>
      </c>
      <c r="BQ162" s="225" t="str">
        <f t="shared" si="18"/>
        <v xml:space="preserve"> </v>
      </c>
      <c r="BR162" s="225" t="str">
        <f t="shared" si="19"/>
        <v/>
      </c>
      <c r="BS162" s="225" t="str">
        <f>IFERROR(INDEX(Data!$DO$9:$DO$1273,MATCH('Your recommendation'!BR162,Data!$DN$9:$DN$1273,0)),"")</f>
        <v/>
      </c>
    </row>
    <row r="163" spans="2:71" ht="15.6" customHeight="1">
      <c r="B163" s="222" t="str">
        <f t="shared" si="20"/>
        <v/>
      </c>
      <c r="C163" s="223"/>
      <c r="D163" s="225" t="str">
        <f>IFERROR(INDEX(Data!BR$9:BR$1273,MATCH($M163,Data!$K$9:$K$1273,0)),"")</f>
        <v/>
      </c>
      <c r="E163" s="225" t="str">
        <f>IFERROR(INDEX(Data!BS$9:BS$1273,MATCH($M163,Data!$K$9:$K$1273,0)),"")</f>
        <v/>
      </c>
      <c r="F163" s="225" t="str">
        <f>IFERROR(INDEX(Data!DM$9:DM$1273,MATCH($M163,Data!$K$9:$K$1273,0)),"")</f>
        <v/>
      </c>
      <c r="G163" s="225" t="str">
        <f>IFERROR(INDEX(Data!BV$9:BV$1273,MATCH($M163,Data!$K$9:$K$1273,0)),"")</f>
        <v/>
      </c>
      <c r="H163" s="225" t="str">
        <f>IFERROR(INDEX(Data!BW$9:BW$1273,MATCH($M163,Data!$K$9:$K$1273,0)),"")</f>
        <v/>
      </c>
      <c r="I163" s="225" t="str">
        <f>IFERROR(INDEX(Data!BX$9:BX$1273,MATCH($M163,Data!$K$9:$K$1273,0)),"")</f>
        <v/>
      </c>
      <c r="J163" s="225" t="str">
        <f>IFERROR(INDEX(Data!CB$9:CB$1273,MATCH($M163,Data!$K$9:$K$1273,0)),"")</f>
        <v/>
      </c>
      <c r="K163" s="241" t="str">
        <f t="shared" si="15"/>
        <v/>
      </c>
      <c r="L163" s="242" t="str">
        <f t="shared" si="16"/>
        <v/>
      </c>
      <c r="M163" s="224"/>
      <c r="N163" s="224"/>
      <c r="O163" s="224" t="str">
        <f>IFERROR(INDEX(Data!M$9:M$1273,MATCH($M163,Data!$K$9:$K$1273,0)),"")</f>
        <v/>
      </c>
      <c r="P163" s="224" t="str">
        <f>IFERROR(INDEX(Data!N$9:N$1273,MATCH($M163,Data!$K$9:$K$1273,0)),"")</f>
        <v/>
      </c>
      <c r="Q163" s="224" t="str">
        <f>IFERROR(INDEX(Data!O$9:O$1273,MATCH($M163,Data!$K$9:$K$1273,0)),"")</f>
        <v/>
      </c>
      <c r="R163" s="224" t="str">
        <f>IFERROR(INDEX(Data!P$9:P$1273,MATCH($M163,Data!$K$9:$K$1273,0)),"")</f>
        <v/>
      </c>
      <c r="S163" s="224" t="str">
        <f>IFERROR(INDEX(Data!S$9:S$1273,MATCH($M163,Data!$K$9:$K$1273,0)),"")</f>
        <v/>
      </c>
      <c r="T163" s="224" t="str">
        <f>IFERROR(INDEX(Data!T$9:T$1273,MATCH($M163,Data!$K$9:$K$1273,0)),"")</f>
        <v/>
      </c>
      <c r="U163" s="224" t="str">
        <f>IFERROR(INDEX(Data!U$9:U$1273,MATCH($M163,Data!$K$9:$K$1273,0)),"")</f>
        <v/>
      </c>
      <c r="V163" s="224" t="str">
        <f>IFERROR(INDEX(Data!V$9:V$1273,MATCH($M163,Data!$K$9:$K$1273,0)),"")</f>
        <v/>
      </c>
      <c r="W163" s="224" t="str">
        <f>IFERROR(INDEX(Data!W$9:W$1273,MATCH($M163,Data!$K$9:$K$1273,0)),"")</f>
        <v/>
      </c>
      <c r="X163" s="224" t="str">
        <f>IFERROR(INDEX(Data!AJ$9:AJ$1273,MATCH($M163,Data!$K$9:$K$1273,0)),"")</f>
        <v/>
      </c>
      <c r="Y163" s="224" t="str">
        <f>IFERROR(INDEX(Data!AK$9:AK$1273,MATCH($M163,Data!$K$9:$K$1273,0)),"")</f>
        <v/>
      </c>
      <c r="Z163" s="224" t="str">
        <f>IFERROR(INDEX(Data!AL$9:AL$1273,MATCH($M163,Data!$K$9:$K$1273,0)),"")</f>
        <v/>
      </c>
      <c r="AA163" s="224" t="str">
        <f>IFERROR(INDEX(Data!AM$9:AM$1273,MATCH($M163,Data!$K$9:$K$1273,0)),"")</f>
        <v/>
      </c>
      <c r="AB163" s="224" t="str">
        <f>IFERROR(INDEX(Data!AN$9:AN$1273,MATCH($M163,Data!$K$9:$K$1273,0)),"")</f>
        <v/>
      </c>
      <c r="AC163" s="225" t="str">
        <f>IFERROR(INDEX(Data!BY$9:BY$1273,MATCH($M163,Data!$K$9:$K$1273,0)),"")</f>
        <v/>
      </c>
      <c r="AD163" s="225" t="str">
        <f>IFERROR(INDEX(Data!BZ$9:BZ$1273,MATCH($M163,Data!$K$9:$K$1273,0)),"")</f>
        <v/>
      </c>
      <c r="AE163" s="225" t="str">
        <f>IFERROR(INDEX(Data!CA$9:CA$1273,MATCH($M163,Data!$K$9:$K$1273,0)),"")</f>
        <v/>
      </c>
      <c r="AF163" s="225" t="str">
        <f>IFERROR(INDEX(Data!CB$9:CB$1273,MATCH($M163,Data!$K$9:$K$1273,0)),"")</f>
        <v/>
      </c>
      <c r="AG163" s="225" t="str">
        <f>IFERROR(INDEX(Data!CC$9:CC$1273,MATCH($M163,Data!$K$9:$K$1273,0)),"")</f>
        <v/>
      </c>
      <c r="AH163" s="225" t="str">
        <f>IFERROR(INDEX(Data!CD$9:CD$1273,MATCH($M163,Data!$K$9:$K$1273,0)),"")</f>
        <v/>
      </c>
      <c r="AI163" s="225" t="str">
        <f>IFERROR(INDEX(Data!CE$9:CE$1273,MATCH($M163,Data!$K$9:$K$1273,0)),"")</f>
        <v/>
      </c>
      <c r="AJ163" s="225" t="str">
        <f>IFERROR(INDEX(Data!CF$9:CF$1273,MATCH($M163,Data!$K$9:$K$1273,0)),"")</f>
        <v/>
      </c>
      <c r="AK163" s="225" t="str">
        <f>IFERROR(INDEX(Data!CG$9:CG$1273,MATCH($M163,Data!$K$9:$K$1273,0)),"")</f>
        <v/>
      </c>
      <c r="AL163" s="225" t="str">
        <f>IFERROR(INDEX(Data!CH$9:CH$1273,MATCH($M163,Data!$K$9:$K$1273,0)),"")</f>
        <v/>
      </c>
      <c r="AM163" s="225" t="str">
        <f>IFERROR(INDEX(Data!CI$9:CI$1273,MATCH($M163,Data!$K$9:$K$1273,0)),"")</f>
        <v/>
      </c>
      <c r="AN163" s="225" t="str">
        <f>IFERROR(INDEX(Data!CJ$9:CJ$1273,MATCH($M163,Data!$K$9:$K$1273,0)),"")</f>
        <v/>
      </c>
      <c r="AO163" s="225" t="str">
        <f>IFERROR(INDEX(Data!CK$9:CK$1273,MATCH($M163,Data!$K$9:$K$1273,0)),"")</f>
        <v/>
      </c>
      <c r="AP163" s="225" t="str">
        <f>IFERROR(INDEX(Data!CL$9:CL$1273,MATCH($M163,Data!$K$9:$K$1273,0)),"")</f>
        <v/>
      </c>
      <c r="AQ163" s="225" t="str">
        <f>IFERROR(INDEX(Data!CM$9:CM$1273,MATCH($M163,Data!$K$9:$K$1273,0)),"")</f>
        <v/>
      </c>
      <c r="AR163" s="225" t="str">
        <f>IFERROR(INDEX(Data!CN$9:CN$1273,MATCH($M163,Data!$K$9:$K$1273,0)),"")</f>
        <v/>
      </c>
      <c r="AS163" s="225" t="str">
        <f>IFERROR(INDEX(Data!CO$9:CO$1273,MATCH($M163,Data!$K$9:$K$1273,0)),"")</f>
        <v/>
      </c>
      <c r="AT163" s="225" t="str">
        <f>IFERROR(INDEX(Data!CP$9:CP$1273,MATCH($M163,Data!$K$9:$K$1273,0)),"")</f>
        <v/>
      </c>
      <c r="AU163" s="225" t="str">
        <f>IFERROR(INDEX(Data!CQ$9:CQ$1273,MATCH($M163,Data!$K$9:$K$1273,0)),"")</f>
        <v/>
      </c>
      <c r="AV163" s="225" t="str">
        <f>IFERROR(INDEX(Data!CR$9:CR$1273,MATCH($M163,Data!$K$9:$K$1273,0)),"")</f>
        <v/>
      </c>
      <c r="AW163" s="225" t="str">
        <f>IFERROR(INDEX(Data!CS$9:CS$1273,MATCH($M163,Data!$K$9:$K$1273,0)),"")</f>
        <v/>
      </c>
      <c r="AX163" s="225" t="str">
        <f>IFERROR(INDEX(Data!CT$9:CT$1273,MATCH($M163,Data!$K$9:$K$1273,0)),"")</f>
        <v/>
      </c>
      <c r="AY163" s="225" t="str">
        <f>IFERROR(INDEX(Data!CU$9:CU$1273,MATCH($M163,Data!$K$9:$K$1273,0)),"")</f>
        <v/>
      </c>
      <c r="AZ163" s="225" t="str">
        <f>IFERROR(INDEX(Data!CV$9:CV$1273,MATCH($M163,Data!$K$9:$K$1273,0)),"")</f>
        <v/>
      </c>
      <c r="BA163" s="225" t="str">
        <f>IFERROR(INDEX(Data!CX$9:CX$1273,MATCH($M163,Data!$K$9:$K$1273,0)),"")</f>
        <v/>
      </c>
      <c r="BB163" s="225" t="str">
        <f>IFERROR(INDEX(Data!CY$9:CY$1273,MATCH($M163,Data!$K$9:$K$1273,0)),"")</f>
        <v/>
      </c>
      <c r="BC163" s="225" t="str">
        <f>IFERROR(INDEX(Data!CZ$9:CZ$1273,MATCH($M163,Data!$K$9:$K$1273,0)),"")</f>
        <v/>
      </c>
      <c r="BD163" s="225" t="str">
        <f>IFERROR(INDEX(Data!DA$9:DA$1273,MATCH($M163,Data!$K$9:$K$1273,0)),"")</f>
        <v/>
      </c>
      <c r="BE163" s="225" t="str">
        <f>IFERROR(INDEX(Data!DB$9:DB$1273,MATCH($M163,Data!$K$9:$K$1273,0)),"")</f>
        <v/>
      </c>
      <c r="BF163" s="225" t="str">
        <f>IFERROR(INDEX(Data!DC$9:DC$1273,MATCH($M163,Data!$K$9:$K$1273,0)),"")</f>
        <v/>
      </c>
      <c r="BG163" s="225" t="str">
        <f>IFERROR(INDEX(Data!DD$9:DD$1273,MATCH($M163,Data!$K$9:$K$1273,0)),"")</f>
        <v/>
      </c>
      <c r="BH163" s="225" t="str">
        <f>IFERROR(INDEX(Data!DE$9:DE$1273,MATCH($M163,Data!$K$9:$K$1273,0)),"")</f>
        <v/>
      </c>
      <c r="BI163" s="225" t="str">
        <f>IFERROR(INDEX(Data!DF$9:DF$1273,MATCH($M163,Data!$K$9:$K$1273,0)),"")</f>
        <v/>
      </c>
      <c r="BJ163" s="225" t="str">
        <f>IFERROR(INDEX(Data!DG$9:DG$1273,MATCH($M163,Data!$K$9:$K$1273,0)),"")</f>
        <v/>
      </c>
      <c r="BK163" s="225" t="str">
        <f>IFERROR(INDEX(Data!DH$9:DH$1273,MATCH($M163,Data!$K$9:$K$1273,0)),"")</f>
        <v/>
      </c>
      <c r="BL163" s="225" t="str">
        <f>IFERROR(INDEX(Data!DI$9:DI$1273,MATCH($M163,Data!$K$9:$K$1273,0)),"")</f>
        <v/>
      </c>
      <c r="BM163" s="225" t="str">
        <f>IFERROR(INDEX(Data!DJ$9:DJ$1273,MATCH($M163,Data!$K$9:$K$1273,0)),"")</f>
        <v/>
      </c>
      <c r="BN163" s="225" t="str">
        <f>IFERROR(INDEX(Data!DK$9:DK$1273,MATCH($M163,Data!$K$9:$K$1273,0)),"")</f>
        <v/>
      </c>
      <c r="BO163" s="225" t="str">
        <f>IFERROR(INDEX(Data!DL$9:DL$1273,MATCH($M163,Data!$K$9:$K$1273,0)),"")</f>
        <v/>
      </c>
      <c r="BP163" s="243" t="str">
        <f t="shared" si="17"/>
        <v/>
      </c>
      <c r="BQ163" s="225" t="str">
        <f t="shared" si="18"/>
        <v xml:space="preserve"> </v>
      </c>
      <c r="BR163" s="225" t="str">
        <f t="shared" si="19"/>
        <v/>
      </c>
      <c r="BS163" s="225" t="str">
        <f>IFERROR(INDEX(Data!$DO$9:$DO$1273,MATCH('Your recommendation'!BR163,Data!$DN$9:$DN$1273,0)),"")</f>
        <v/>
      </c>
    </row>
    <row r="164" spans="2:71" ht="15.6" customHeight="1">
      <c r="B164" s="222" t="str">
        <f t="shared" si="20"/>
        <v/>
      </c>
      <c r="C164" s="223"/>
      <c r="D164" s="225" t="str">
        <f>IFERROR(INDEX(Data!BR$9:BR$1273,MATCH($M164,Data!$K$9:$K$1273,0)),"")</f>
        <v/>
      </c>
      <c r="E164" s="225" t="str">
        <f>IFERROR(INDEX(Data!BS$9:BS$1273,MATCH($M164,Data!$K$9:$K$1273,0)),"")</f>
        <v/>
      </c>
      <c r="F164" s="225" t="str">
        <f>IFERROR(INDEX(Data!DM$9:DM$1273,MATCH($M164,Data!$K$9:$K$1273,0)),"")</f>
        <v/>
      </c>
      <c r="G164" s="225" t="str">
        <f>IFERROR(INDEX(Data!BV$9:BV$1273,MATCH($M164,Data!$K$9:$K$1273,0)),"")</f>
        <v/>
      </c>
      <c r="H164" s="225" t="str">
        <f>IFERROR(INDEX(Data!BW$9:BW$1273,MATCH($M164,Data!$K$9:$K$1273,0)),"")</f>
        <v/>
      </c>
      <c r="I164" s="225" t="str">
        <f>IFERROR(INDEX(Data!BX$9:BX$1273,MATCH($M164,Data!$K$9:$K$1273,0)),"")</f>
        <v/>
      </c>
      <c r="J164" s="225" t="str">
        <f>IFERROR(INDEX(Data!CB$9:CB$1273,MATCH($M164,Data!$K$9:$K$1273,0)),"")</f>
        <v/>
      </c>
      <c r="K164" s="241" t="str">
        <f t="shared" si="15"/>
        <v/>
      </c>
      <c r="L164" s="242" t="str">
        <f t="shared" si="16"/>
        <v/>
      </c>
      <c r="M164" s="224"/>
      <c r="N164" s="224"/>
      <c r="O164" s="224" t="str">
        <f>IFERROR(INDEX(Data!M$9:M$1273,MATCH($M164,Data!$K$9:$K$1273,0)),"")</f>
        <v/>
      </c>
      <c r="P164" s="224" t="str">
        <f>IFERROR(INDEX(Data!N$9:N$1273,MATCH($M164,Data!$K$9:$K$1273,0)),"")</f>
        <v/>
      </c>
      <c r="Q164" s="224" t="str">
        <f>IFERROR(INDEX(Data!O$9:O$1273,MATCH($M164,Data!$K$9:$K$1273,0)),"")</f>
        <v/>
      </c>
      <c r="R164" s="224" t="str">
        <f>IFERROR(INDEX(Data!P$9:P$1273,MATCH($M164,Data!$K$9:$K$1273,0)),"")</f>
        <v/>
      </c>
      <c r="S164" s="224" t="str">
        <f>IFERROR(INDEX(Data!S$9:S$1273,MATCH($M164,Data!$K$9:$K$1273,0)),"")</f>
        <v/>
      </c>
      <c r="T164" s="224" t="str">
        <f>IFERROR(INDEX(Data!T$9:T$1273,MATCH($M164,Data!$K$9:$K$1273,0)),"")</f>
        <v/>
      </c>
      <c r="U164" s="224" t="str">
        <f>IFERROR(INDEX(Data!U$9:U$1273,MATCH($M164,Data!$K$9:$K$1273,0)),"")</f>
        <v/>
      </c>
      <c r="V164" s="224" t="str">
        <f>IFERROR(INDEX(Data!V$9:V$1273,MATCH($M164,Data!$K$9:$K$1273,0)),"")</f>
        <v/>
      </c>
      <c r="W164" s="224" t="str">
        <f>IFERROR(INDEX(Data!W$9:W$1273,MATCH($M164,Data!$K$9:$K$1273,0)),"")</f>
        <v/>
      </c>
      <c r="X164" s="224" t="str">
        <f>IFERROR(INDEX(Data!AJ$9:AJ$1273,MATCH($M164,Data!$K$9:$K$1273,0)),"")</f>
        <v/>
      </c>
      <c r="Y164" s="224" t="str">
        <f>IFERROR(INDEX(Data!AK$9:AK$1273,MATCH($M164,Data!$K$9:$K$1273,0)),"")</f>
        <v/>
      </c>
      <c r="Z164" s="224" t="str">
        <f>IFERROR(INDEX(Data!AL$9:AL$1273,MATCH($M164,Data!$K$9:$K$1273,0)),"")</f>
        <v/>
      </c>
      <c r="AA164" s="224" t="str">
        <f>IFERROR(INDEX(Data!AM$9:AM$1273,MATCH($M164,Data!$K$9:$K$1273,0)),"")</f>
        <v/>
      </c>
      <c r="AB164" s="224" t="str">
        <f>IFERROR(INDEX(Data!AN$9:AN$1273,MATCH($M164,Data!$K$9:$K$1273,0)),"")</f>
        <v/>
      </c>
      <c r="AC164" s="225" t="str">
        <f>IFERROR(INDEX(Data!BY$9:BY$1273,MATCH($M164,Data!$K$9:$K$1273,0)),"")</f>
        <v/>
      </c>
      <c r="AD164" s="225" t="str">
        <f>IFERROR(INDEX(Data!BZ$9:BZ$1273,MATCH($M164,Data!$K$9:$K$1273,0)),"")</f>
        <v/>
      </c>
      <c r="AE164" s="225" t="str">
        <f>IFERROR(INDEX(Data!CA$9:CA$1273,MATCH($M164,Data!$K$9:$K$1273,0)),"")</f>
        <v/>
      </c>
      <c r="AF164" s="225" t="str">
        <f>IFERROR(INDEX(Data!CB$9:CB$1273,MATCH($M164,Data!$K$9:$K$1273,0)),"")</f>
        <v/>
      </c>
      <c r="AG164" s="225" t="str">
        <f>IFERROR(INDEX(Data!CC$9:CC$1273,MATCH($M164,Data!$K$9:$K$1273,0)),"")</f>
        <v/>
      </c>
      <c r="AH164" s="225" t="str">
        <f>IFERROR(INDEX(Data!CD$9:CD$1273,MATCH($M164,Data!$K$9:$K$1273,0)),"")</f>
        <v/>
      </c>
      <c r="AI164" s="225" t="str">
        <f>IFERROR(INDEX(Data!CE$9:CE$1273,MATCH($M164,Data!$K$9:$K$1273,0)),"")</f>
        <v/>
      </c>
      <c r="AJ164" s="225" t="str">
        <f>IFERROR(INDEX(Data!CF$9:CF$1273,MATCH($M164,Data!$K$9:$K$1273,0)),"")</f>
        <v/>
      </c>
      <c r="AK164" s="225" t="str">
        <f>IFERROR(INDEX(Data!CG$9:CG$1273,MATCH($M164,Data!$K$9:$K$1273,0)),"")</f>
        <v/>
      </c>
      <c r="AL164" s="225" t="str">
        <f>IFERROR(INDEX(Data!CH$9:CH$1273,MATCH($M164,Data!$K$9:$K$1273,0)),"")</f>
        <v/>
      </c>
      <c r="AM164" s="225" t="str">
        <f>IFERROR(INDEX(Data!CI$9:CI$1273,MATCH($M164,Data!$K$9:$K$1273,0)),"")</f>
        <v/>
      </c>
      <c r="AN164" s="225" t="str">
        <f>IFERROR(INDEX(Data!CJ$9:CJ$1273,MATCH($M164,Data!$K$9:$K$1273,0)),"")</f>
        <v/>
      </c>
      <c r="AO164" s="225" t="str">
        <f>IFERROR(INDEX(Data!CK$9:CK$1273,MATCH($M164,Data!$K$9:$K$1273,0)),"")</f>
        <v/>
      </c>
      <c r="AP164" s="225" t="str">
        <f>IFERROR(INDEX(Data!CL$9:CL$1273,MATCH($M164,Data!$K$9:$K$1273,0)),"")</f>
        <v/>
      </c>
      <c r="AQ164" s="225" t="str">
        <f>IFERROR(INDEX(Data!CM$9:CM$1273,MATCH($M164,Data!$K$9:$K$1273,0)),"")</f>
        <v/>
      </c>
      <c r="AR164" s="225" t="str">
        <f>IFERROR(INDEX(Data!CN$9:CN$1273,MATCH($M164,Data!$K$9:$K$1273,0)),"")</f>
        <v/>
      </c>
      <c r="AS164" s="225" t="str">
        <f>IFERROR(INDEX(Data!CO$9:CO$1273,MATCH($M164,Data!$K$9:$K$1273,0)),"")</f>
        <v/>
      </c>
      <c r="AT164" s="225" t="str">
        <f>IFERROR(INDEX(Data!CP$9:CP$1273,MATCH($M164,Data!$K$9:$K$1273,0)),"")</f>
        <v/>
      </c>
      <c r="AU164" s="225" t="str">
        <f>IFERROR(INDEX(Data!CQ$9:CQ$1273,MATCH($M164,Data!$K$9:$K$1273,0)),"")</f>
        <v/>
      </c>
      <c r="AV164" s="225" t="str">
        <f>IFERROR(INDEX(Data!CR$9:CR$1273,MATCH($M164,Data!$K$9:$K$1273,0)),"")</f>
        <v/>
      </c>
      <c r="AW164" s="225" t="str">
        <f>IFERROR(INDEX(Data!CS$9:CS$1273,MATCH($M164,Data!$K$9:$K$1273,0)),"")</f>
        <v/>
      </c>
      <c r="AX164" s="225" t="str">
        <f>IFERROR(INDEX(Data!CT$9:CT$1273,MATCH($M164,Data!$K$9:$K$1273,0)),"")</f>
        <v/>
      </c>
      <c r="AY164" s="225" t="str">
        <f>IFERROR(INDEX(Data!CU$9:CU$1273,MATCH($M164,Data!$K$9:$K$1273,0)),"")</f>
        <v/>
      </c>
      <c r="AZ164" s="225" t="str">
        <f>IFERROR(INDEX(Data!CV$9:CV$1273,MATCH($M164,Data!$K$9:$K$1273,0)),"")</f>
        <v/>
      </c>
      <c r="BA164" s="225" t="str">
        <f>IFERROR(INDEX(Data!CX$9:CX$1273,MATCH($M164,Data!$K$9:$K$1273,0)),"")</f>
        <v/>
      </c>
      <c r="BB164" s="225" t="str">
        <f>IFERROR(INDEX(Data!CY$9:CY$1273,MATCH($M164,Data!$K$9:$K$1273,0)),"")</f>
        <v/>
      </c>
      <c r="BC164" s="225" t="str">
        <f>IFERROR(INDEX(Data!CZ$9:CZ$1273,MATCH($M164,Data!$K$9:$K$1273,0)),"")</f>
        <v/>
      </c>
      <c r="BD164" s="225" t="str">
        <f>IFERROR(INDEX(Data!DA$9:DA$1273,MATCH($M164,Data!$K$9:$K$1273,0)),"")</f>
        <v/>
      </c>
      <c r="BE164" s="225" t="str">
        <f>IFERROR(INDEX(Data!DB$9:DB$1273,MATCH($M164,Data!$K$9:$K$1273,0)),"")</f>
        <v/>
      </c>
      <c r="BF164" s="225" t="str">
        <f>IFERROR(INDEX(Data!DC$9:DC$1273,MATCH($M164,Data!$K$9:$K$1273,0)),"")</f>
        <v/>
      </c>
      <c r="BG164" s="225" t="str">
        <f>IFERROR(INDEX(Data!DD$9:DD$1273,MATCH($M164,Data!$K$9:$K$1273,0)),"")</f>
        <v/>
      </c>
      <c r="BH164" s="225" t="str">
        <f>IFERROR(INDEX(Data!DE$9:DE$1273,MATCH($M164,Data!$K$9:$K$1273,0)),"")</f>
        <v/>
      </c>
      <c r="BI164" s="225" t="str">
        <f>IFERROR(INDEX(Data!DF$9:DF$1273,MATCH($M164,Data!$K$9:$K$1273,0)),"")</f>
        <v/>
      </c>
      <c r="BJ164" s="225" t="str">
        <f>IFERROR(INDEX(Data!DG$9:DG$1273,MATCH($M164,Data!$K$9:$K$1273,0)),"")</f>
        <v/>
      </c>
      <c r="BK164" s="225" t="str">
        <f>IFERROR(INDEX(Data!DH$9:DH$1273,MATCH($M164,Data!$K$9:$K$1273,0)),"")</f>
        <v/>
      </c>
      <c r="BL164" s="225" t="str">
        <f>IFERROR(INDEX(Data!DI$9:DI$1273,MATCH($M164,Data!$K$9:$K$1273,0)),"")</f>
        <v/>
      </c>
      <c r="BM164" s="225" t="str">
        <f>IFERROR(INDEX(Data!DJ$9:DJ$1273,MATCH($M164,Data!$K$9:$K$1273,0)),"")</f>
        <v/>
      </c>
      <c r="BN164" s="225" t="str">
        <f>IFERROR(INDEX(Data!DK$9:DK$1273,MATCH($M164,Data!$K$9:$K$1273,0)),"")</f>
        <v/>
      </c>
      <c r="BO164" s="225" t="str">
        <f>IFERROR(INDEX(Data!DL$9:DL$1273,MATCH($M164,Data!$K$9:$K$1273,0)),"")</f>
        <v/>
      </c>
      <c r="BP164" s="243" t="str">
        <f t="shared" si="17"/>
        <v/>
      </c>
      <c r="BQ164" s="225" t="str">
        <f t="shared" si="18"/>
        <v xml:space="preserve"> </v>
      </c>
      <c r="BR164" s="225" t="str">
        <f t="shared" si="19"/>
        <v/>
      </c>
      <c r="BS164" s="225" t="str">
        <f>IFERROR(INDEX(Data!$DO$9:$DO$1273,MATCH('Your recommendation'!BR164,Data!$DN$9:$DN$1273,0)),"")</f>
        <v/>
      </c>
    </row>
    <row r="165" spans="2:71" ht="15.6" customHeight="1">
      <c r="B165" s="222" t="str">
        <f t="shared" si="20"/>
        <v/>
      </c>
      <c r="C165" s="223"/>
      <c r="D165" s="225" t="str">
        <f>IFERROR(INDEX(Data!BR$9:BR$1273,MATCH($M165,Data!$K$9:$K$1273,0)),"")</f>
        <v/>
      </c>
      <c r="E165" s="225" t="str">
        <f>IFERROR(INDEX(Data!BS$9:BS$1273,MATCH($M165,Data!$K$9:$K$1273,0)),"")</f>
        <v/>
      </c>
      <c r="F165" s="225" t="str">
        <f>IFERROR(INDEX(Data!DM$9:DM$1273,MATCH($M165,Data!$K$9:$K$1273,0)),"")</f>
        <v/>
      </c>
      <c r="G165" s="225" t="str">
        <f>IFERROR(INDEX(Data!BV$9:BV$1273,MATCH($M165,Data!$K$9:$K$1273,0)),"")</f>
        <v/>
      </c>
      <c r="H165" s="225" t="str">
        <f>IFERROR(INDEX(Data!BW$9:BW$1273,MATCH($M165,Data!$K$9:$K$1273,0)),"")</f>
        <v/>
      </c>
      <c r="I165" s="225" t="str">
        <f>IFERROR(INDEX(Data!BX$9:BX$1273,MATCH($M165,Data!$K$9:$K$1273,0)),"")</f>
        <v/>
      </c>
      <c r="J165" s="225" t="str">
        <f>IFERROR(INDEX(Data!CB$9:CB$1273,MATCH($M165,Data!$K$9:$K$1273,0)),"")</f>
        <v/>
      </c>
      <c r="K165" s="241" t="str">
        <f t="shared" si="15"/>
        <v/>
      </c>
      <c r="L165" s="242" t="str">
        <f t="shared" si="16"/>
        <v/>
      </c>
      <c r="M165" s="224"/>
      <c r="N165" s="224"/>
      <c r="O165" s="224" t="str">
        <f>IFERROR(INDEX(Data!M$9:M$1273,MATCH($M165,Data!$K$9:$K$1273,0)),"")</f>
        <v/>
      </c>
      <c r="P165" s="224" t="str">
        <f>IFERROR(INDEX(Data!N$9:N$1273,MATCH($M165,Data!$K$9:$K$1273,0)),"")</f>
        <v/>
      </c>
      <c r="Q165" s="224" t="str">
        <f>IFERROR(INDEX(Data!O$9:O$1273,MATCH($M165,Data!$K$9:$K$1273,0)),"")</f>
        <v/>
      </c>
      <c r="R165" s="224" t="str">
        <f>IFERROR(INDEX(Data!P$9:P$1273,MATCH($M165,Data!$K$9:$K$1273,0)),"")</f>
        <v/>
      </c>
      <c r="S165" s="224" t="str">
        <f>IFERROR(INDEX(Data!S$9:S$1273,MATCH($M165,Data!$K$9:$K$1273,0)),"")</f>
        <v/>
      </c>
      <c r="T165" s="224" t="str">
        <f>IFERROR(INDEX(Data!T$9:T$1273,MATCH($M165,Data!$K$9:$K$1273,0)),"")</f>
        <v/>
      </c>
      <c r="U165" s="224" t="str">
        <f>IFERROR(INDEX(Data!U$9:U$1273,MATCH($M165,Data!$K$9:$K$1273,0)),"")</f>
        <v/>
      </c>
      <c r="V165" s="224" t="str">
        <f>IFERROR(INDEX(Data!V$9:V$1273,MATCH($M165,Data!$K$9:$K$1273,0)),"")</f>
        <v/>
      </c>
      <c r="W165" s="224" t="str">
        <f>IFERROR(INDEX(Data!W$9:W$1273,MATCH($M165,Data!$K$9:$K$1273,0)),"")</f>
        <v/>
      </c>
      <c r="X165" s="224" t="str">
        <f>IFERROR(INDEX(Data!AJ$9:AJ$1273,MATCH($M165,Data!$K$9:$K$1273,0)),"")</f>
        <v/>
      </c>
      <c r="Y165" s="224" t="str">
        <f>IFERROR(INDEX(Data!AK$9:AK$1273,MATCH($M165,Data!$K$9:$K$1273,0)),"")</f>
        <v/>
      </c>
      <c r="Z165" s="224" t="str">
        <f>IFERROR(INDEX(Data!AL$9:AL$1273,MATCH($M165,Data!$K$9:$K$1273,0)),"")</f>
        <v/>
      </c>
      <c r="AA165" s="224" t="str">
        <f>IFERROR(INDEX(Data!AM$9:AM$1273,MATCH($M165,Data!$K$9:$K$1273,0)),"")</f>
        <v/>
      </c>
      <c r="AB165" s="224" t="str">
        <f>IFERROR(INDEX(Data!AN$9:AN$1273,MATCH($M165,Data!$K$9:$K$1273,0)),"")</f>
        <v/>
      </c>
      <c r="AC165" s="225" t="str">
        <f>IFERROR(INDEX(Data!BY$9:BY$1273,MATCH($M165,Data!$K$9:$K$1273,0)),"")</f>
        <v/>
      </c>
      <c r="AD165" s="225" t="str">
        <f>IFERROR(INDEX(Data!BZ$9:BZ$1273,MATCH($M165,Data!$K$9:$K$1273,0)),"")</f>
        <v/>
      </c>
      <c r="AE165" s="225" t="str">
        <f>IFERROR(INDEX(Data!CA$9:CA$1273,MATCH($M165,Data!$K$9:$K$1273,0)),"")</f>
        <v/>
      </c>
      <c r="AF165" s="225" t="str">
        <f>IFERROR(INDEX(Data!CB$9:CB$1273,MATCH($M165,Data!$K$9:$K$1273,0)),"")</f>
        <v/>
      </c>
      <c r="AG165" s="225" t="str">
        <f>IFERROR(INDEX(Data!CC$9:CC$1273,MATCH($M165,Data!$K$9:$K$1273,0)),"")</f>
        <v/>
      </c>
      <c r="AH165" s="225" t="str">
        <f>IFERROR(INDEX(Data!CD$9:CD$1273,MATCH($M165,Data!$K$9:$K$1273,0)),"")</f>
        <v/>
      </c>
      <c r="AI165" s="225" t="str">
        <f>IFERROR(INDEX(Data!CE$9:CE$1273,MATCH($M165,Data!$K$9:$K$1273,0)),"")</f>
        <v/>
      </c>
      <c r="AJ165" s="225" t="str">
        <f>IFERROR(INDEX(Data!CF$9:CF$1273,MATCH($M165,Data!$K$9:$K$1273,0)),"")</f>
        <v/>
      </c>
      <c r="AK165" s="225" t="str">
        <f>IFERROR(INDEX(Data!CG$9:CG$1273,MATCH($M165,Data!$K$9:$K$1273,0)),"")</f>
        <v/>
      </c>
      <c r="AL165" s="225" t="str">
        <f>IFERROR(INDEX(Data!CH$9:CH$1273,MATCH($M165,Data!$K$9:$K$1273,0)),"")</f>
        <v/>
      </c>
      <c r="AM165" s="225" t="str">
        <f>IFERROR(INDEX(Data!CI$9:CI$1273,MATCH($M165,Data!$K$9:$K$1273,0)),"")</f>
        <v/>
      </c>
      <c r="AN165" s="225" t="str">
        <f>IFERROR(INDEX(Data!CJ$9:CJ$1273,MATCH($M165,Data!$K$9:$K$1273,0)),"")</f>
        <v/>
      </c>
      <c r="AO165" s="225" t="str">
        <f>IFERROR(INDEX(Data!CK$9:CK$1273,MATCH($M165,Data!$K$9:$K$1273,0)),"")</f>
        <v/>
      </c>
      <c r="AP165" s="225" t="str">
        <f>IFERROR(INDEX(Data!CL$9:CL$1273,MATCH($M165,Data!$K$9:$K$1273,0)),"")</f>
        <v/>
      </c>
      <c r="AQ165" s="225" t="str">
        <f>IFERROR(INDEX(Data!CM$9:CM$1273,MATCH($M165,Data!$K$9:$K$1273,0)),"")</f>
        <v/>
      </c>
      <c r="AR165" s="225" t="str">
        <f>IFERROR(INDEX(Data!CN$9:CN$1273,MATCH($M165,Data!$K$9:$K$1273,0)),"")</f>
        <v/>
      </c>
      <c r="AS165" s="225" t="str">
        <f>IFERROR(INDEX(Data!CO$9:CO$1273,MATCH($M165,Data!$K$9:$K$1273,0)),"")</f>
        <v/>
      </c>
      <c r="AT165" s="225" t="str">
        <f>IFERROR(INDEX(Data!CP$9:CP$1273,MATCH($M165,Data!$K$9:$K$1273,0)),"")</f>
        <v/>
      </c>
      <c r="AU165" s="225" t="str">
        <f>IFERROR(INDEX(Data!CQ$9:CQ$1273,MATCH($M165,Data!$K$9:$K$1273,0)),"")</f>
        <v/>
      </c>
      <c r="AV165" s="225" t="str">
        <f>IFERROR(INDEX(Data!CR$9:CR$1273,MATCH($M165,Data!$K$9:$K$1273,0)),"")</f>
        <v/>
      </c>
      <c r="AW165" s="225" t="str">
        <f>IFERROR(INDEX(Data!CS$9:CS$1273,MATCH($M165,Data!$K$9:$K$1273,0)),"")</f>
        <v/>
      </c>
      <c r="AX165" s="225" t="str">
        <f>IFERROR(INDEX(Data!CT$9:CT$1273,MATCH($M165,Data!$K$9:$K$1273,0)),"")</f>
        <v/>
      </c>
      <c r="AY165" s="225" t="str">
        <f>IFERROR(INDEX(Data!CU$9:CU$1273,MATCH($M165,Data!$K$9:$K$1273,0)),"")</f>
        <v/>
      </c>
      <c r="AZ165" s="225" t="str">
        <f>IFERROR(INDEX(Data!CV$9:CV$1273,MATCH($M165,Data!$K$9:$K$1273,0)),"")</f>
        <v/>
      </c>
      <c r="BA165" s="225" t="str">
        <f>IFERROR(INDEX(Data!CX$9:CX$1273,MATCH($M165,Data!$K$9:$K$1273,0)),"")</f>
        <v/>
      </c>
      <c r="BB165" s="225" t="str">
        <f>IFERROR(INDEX(Data!CY$9:CY$1273,MATCH($M165,Data!$K$9:$K$1273,0)),"")</f>
        <v/>
      </c>
      <c r="BC165" s="225" t="str">
        <f>IFERROR(INDEX(Data!CZ$9:CZ$1273,MATCH($M165,Data!$K$9:$K$1273,0)),"")</f>
        <v/>
      </c>
      <c r="BD165" s="225" t="str">
        <f>IFERROR(INDEX(Data!DA$9:DA$1273,MATCH($M165,Data!$K$9:$K$1273,0)),"")</f>
        <v/>
      </c>
      <c r="BE165" s="225" t="str">
        <f>IFERROR(INDEX(Data!DB$9:DB$1273,MATCH($M165,Data!$K$9:$K$1273,0)),"")</f>
        <v/>
      </c>
      <c r="BF165" s="225" t="str">
        <f>IFERROR(INDEX(Data!DC$9:DC$1273,MATCH($M165,Data!$K$9:$K$1273,0)),"")</f>
        <v/>
      </c>
      <c r="BG165" s="225" t="str">
        <f>IFERROR(INDEX(Data!DD$9:DD$1273,MATCH($M165,Data!$K$9:$K$1273,0)),"")</f>
        <v/>
      </c>
      <c r="BH165" s="225" t="str">
        <f>IFERROR(INDEX(Data!DE$9:DE$1273,MATCH($M165,Data!$K$9:$K$1273,0)),"")</f>
        <v/>
      </c>
      <c r="BI165" s="225" t="str">
        <f>IFERROR(INDEX(Data!DF$9:DF$1273,MATCH($M165,Data!$K$9:$K$1273,0)),"")</f>
        <v/>
      </c>
      <c r="BJ165" s="225" t="str">
        <f>IFERROR(INDEX(Data!DG$9:DG$1273,MATCH($M165,Data!$K$9:$K$1273,0)),"")</f>
        <v/>
      </c>
      <c r="BK165" s="225" t="str">
        <f>IFERROR(INDEX(Data!DH$9:DH$1273,MATCH($M165,Data!$K$9:$K$1273,0)),"")</f>
        <v/>
      </c>
      <c r="BL165" s="225" t="str">
        <f>IFERROR(INDEX(Data!DI$9:DI$1273,MATCH($M165,Data!$K$9:$K$1273,0)),"")</f>
        <v/>
      </c>
      <c r="BM165" s="225" t="str">
        <f>IFERROR(INDEX(Data!DJ$9:DJ$1273,MATCH($M165,Data!$K$9:$K$1273,0)),"")</f>
        <v/>
      </c>
      <c r="BN165" s="225" t="str">
        <f>IFERROR(INDEX(Data!DK$9:DK$1273,MATCH($M165,Data!$K$9:$K$1273,0)),"")</f>
        <v/>
      </c>
      <c r="BO165" s="225" t="str">
        <f>IFERROR(INDEX(Data!DL$9:DL$1273,MATCH($M165,Data!$K$9:$K$1273,0)),"")</f>
        <v/>
      </c>
      <c r="BP165" s="243" t="str">
        <f t="shared" si="17"/>
        <v/>
      </c>
      <c r="BQ165" s="225" t="str">
        <f t="shared" si="18"/>
        <v xml:space="preserve"> </v>
      </c>
      <c r="BR165" s="225" t="str">
        <f t="shared" si="19"/>
        <v/>
      </c>
      <c r="BS165" s="225" t="str">
        <f>IFERROR(INDEX(Data!$DO$9:$DO$1273,MATCH('Your recommendation'!BR165,Data!$DN$9:$DN$1273,0)),"")</f>
        <v/>
      </c>
    </row>
    <row r="166" spans="2:71" ht="15.6" customHeight="1">
      <c r="B166" s="222" t="str">
        <f t="shared" si="20"/>
        <v/>
      </c>
      <c r="C166" s="223"/>
      <c r="D166" s="225" t="str">
        <f>IFERROR(INDEX(Data!BR$9:BR$1273,MATCH($M166,Data!$K$9:$K$1273,0)),"")</f>
        <v/>
      </c>
      <c r="E166" s="225" t="str">
        <f>IFERROR(INDEX(Data!BS$9:BS$1273,MATCH($M166,Data!$K$9:$K$1273,0)),"")</f>
        <v/>
      </c>
      <c r="F166" s="225" t="str">
        <f>IFERROR(INDEX(Data!DM$9:DM$1273,MATCH($M166,Data!$K$9:$K$1273,0)),"")</f>
        <v/>
      </c>
      <c r="G166" s="225" t="str">
        <f>IFERROR(INDEX(Data!BV$9:BV$1273,MATCH($M166,Data!$K$9:$K$1273,0)),"")</f>
        <v/>
      </c>
      <c r="H166" s="225" t="str">
        <f>IFERROR(INDEX(Data!BW$9:BW$1273,MATCH($M166,Data!$K$9:$K$1273,0)),"")</f>
        <v/>
      </c>
      <c r="I166" s="225" t="str">
        <f>IFERROR(INDEX(Data!BX$9:BX$1273,MATCH($M166,Data!$K$9:$K$1273,0)),"")</f>
        <v/>
      </c>
      <c r="J166" s="225" t="str">
        <f>IFERROR(INDEX(Data!CB$9:CB$1273,MATCH($M166,Data!$K$9:$K$1273,0)),"")</f>
        <v/>
      </c>
      <c r="K166" s="241" t="str">
        <f t="shared" si="15"/>
        <v/>
      </c>
      <c r="L166" s="242" t="str">
        <f t="shared" si="16"/>
        <v/>
      </c>
      <c r="M166" s="224"/>
      <c r="N166" s="224"/>
      <c r="O166" s="224" t="str">
        <f>IFERROR(INDEX(Data!M$9:M$1273,MATCH($M166,Data!$K$9:$K$1273,0)),"")</f>
        <v/>
      </c>
      <c r="P166" s="224" t="str">
        <f>IFERROR(INDEX(Data!N$9:N$1273,MATCH($M166,Data!$K$9:$K$1273,0)),"")</f>
        <v/>
      </c>
      <c r="Q166" s="224" t="str">
        <f>IFERROR(INDEX(Data!O$9:O$1273,MATCH($M166,Data!$K$9:$K$1273,0)),"")</f>
        <v/>
      </c>
      <c r="R166" s="224" t="str">
        <f>IFERROR(INDEX(Data!P$9:P$1273,MATCH($M166,Data!$K$9:$K$1273,0)),"")</f>
        <v/>
      </c>
      <c r="S166" s="224" t="str">
        <f>IFERROR(INDEX(Data!S$9:S$1273,MATCH($M166,Data!$K$9:$K$1273,0)),"")</f>
        <v/>
      </c>
      <c r="T166" s="224" t="str">
        <f>IFERROR(INDEX(Data!T$9:T$1273,MATCH($M166,Data!$K$9:$K$1273,0)),"")</f>
        <v/>
      </c>
      <c r="U166" s="224" t="str">
        <f>IFERROR(INDEX(Data!U$9:U$1273,MATCH($M166,Data!$K$9:$K$1273,0)),"")</f>
        <v/>
      </c>
      <c r="V166" s="224" t="str">
        <f>IFERROR(INDEX(Data!V$9:V$1273,MATCH($M166,Data!$K$9:$K$1273,0)),"")</f>
        <v/>
      </c>
      <c r="W166" s="224" t="str">
        <f>IFERROR(INDEX(Data!W$9:W$1273,MATCH($M166,Data!$K$9:$K$1273,0)),"")</f>
        <v/>
      </c>
      <c r="X166" s="224" t="str">
        <f>IFERROR(INDEX(Data!AJ$9:AJ$1273,MATCH($M166,Data!$K$9:$K$1273,0)),"")</f>
        <v/>
      </c>
      <c r="Y166" s="224" t="str">
        <f>IFERROR(INDEX(Data!AK$9:AK$1273,MATCH($M166,Data!$K$9:$K$1273,0)),"")</f>
        <v/>
      </c>
      <c r="Z166" s="224" t="str">
        <f>IFERROR(INDEX(Data!AL$9:AL$1273,MATCH($M166,Data!$K$9:$K$1273,0)),"")</f>
        <v/>
      </c>
      <c r="AA166" s="224" t="str">
        <f>IFERROR(INDEX(Data!AM$9:AM$1273,MATCH($M166,Data!$K$9:$K$1273,0)),"")</f>
        <v/>
      </c>
      <c r="AB166" s="224" t="str">
        <f>IFERROR(INDEX(Data!AN$9:AN$1273,MATCH($M166,Data!$K$9:$K$1273,0)),"")</f>
        <v/>
      </c>
      <c r="AC166" s="225" t="str">
        <f>IFERROR(INDEX(Data!BY$9:BY$1273,MATCH($M166,Data!$K$9:$K$1273,0)),"")</f>
        <v/>
      </c>
      <c r="AD166" s="225" t="str">
        <f>IFERROR(INDEX(Data!BZ$9:BZ$1273,MATCH($M166,Data!$K$9:$K$1273,0)),"")</f>
        <v/>
      </c>
      <c r="AE166" s="225" t="str">
        <f>IFERROR(INDEX(Data!CA$9:CA$1273,MATCH($M166,Data!$K$9:$K$1273,0)),"")</f>
        <v/>
      </c>
      <c r="AF166" s="225" t="str">
        <f>IFERROR(INDEX(Data!CB$9:CB$1273,MATCH($M166,Data!$K$9:$K$1273,0)),"")</f>
        <v/>
      </c>
      <c r="AG166" s="225" t="str">
        <f>IFERROR(INDEX(Data!CC$9:CC$1273,MATCH($M166,Data!$K$9:$K$1273,0)),"")</f>
        <v/>
      </c>
      <c r="AH166" s="225" t="str">
        <f>IFERROR(INDEX(Data!CD$9:CD$1273,MATCH($M166,Data!$K$9:$K$1273,0)),"")</f>
        <v/>
      </c>
      <c r="AI166" s="225" t="str">
        <f>IFERROR(INDEX(Data!CE$9:CE$1273,MATCH($M166,Data!$K$9:$K$1273,0)),"")</f>
        <v/>
      </c>
      <c r="AJ166" s="225" t="str">
        <f>IFERROR(INDEX(Data!CF$9:CF$1273,MATCH($M166,Data!$K$9:$K$1273,0)),"")</f>
        <v/>
      </c>
      <c r="AK166" s="225" t="str">
        <f>IFERROR(INDEX(Data!CG$9:CG$1273,MATCH($M166,Data!$K$9:$K$1273,0)),"")</f>
        <v/>
      </c>
      <c r="AL166" s="225" t="str">
        <f>IFERROR(INDEX(Data!CH$9:CH$1273,MATCH($M166,Data!$K$9:$K$1273,0)),"")</f>
        <v/>
      </c>
      <c r="AM166" s="225" t="str">
        <f>IFERROR(INDEX(Data!CI$9:CI$1273,MATCH($M166,Data!$K$9:$K$1273,0)),"")</f>
        <v/>
      </c>
      <c r="AN166" s="225" t="str">
        <f>IFERROR(INDEX(Data!CJ$9:CJ$1273,MATCH($M166,Data!$K$9:$K$1273,0)),"")</f>
        <v/>
      </c>
      <c r="AO166" s="225" t="str">
        <f>IFERROR(INDEX(Data!CK$9:CK$1273,MATCH($M166,Data!$K$9:$K$1273,0)),"")</f>
        <v/>
      </c>
      <c r="AP166" s="225" t="str">
        <f>IFERROR(INDEX(Data!CL$9:CL$1273,MATCH($M166,Data!$K$9:$K$1273,0)),"")</f>
        <v/>
      </c>
      <c r="AQ166" s="225" t="str">
        <f>IFERROR(INDEX(Data!CM$9:CM$1273,MATCH($M166,Data!$K$9:$K$1273,0)),"")</f>
        <v/>
      </c>
      <c r="AR166" s="225" t="str">
        <f>IFERROR(INDEX(Data!CN$9:CN$1273,MATCH($M166,Data!$K$9:$K$1273,0)),"")</f>
        <v/>
      </c>
      <c r="AS166" s="225" t="str">
        <f>IFERROR(INDEX(Data!CO$9:CO$1273,MATCH($M166,Data!$K$9:$K$1273,0)),"")</f>
        <v/>
      </c>
      <c r="AT166" s="225" t="str">
        <f>IFERROR(INDEX(Data!CP$9:CP$1273,MATCH($M166,Data!$K$9:$K$1273,0)),"")</f>
        <v/>
      </c>
      <c r="AU166" s="225" t="str">
        <f>IFERROR(INDEX(Data!CQ$9:CQ$1273,MATCH($M166,Data!$K$9:$K$1273,0)),"")</f>
        <v/>
      </c>
      <c r="AV166" s="225" t="str">
        <f>IFERROR(INDEX(Data!CR$9:CR$1273,MATCH($M166,Data!$K$9:$K$1273,0)),"")</f>
        <v/>
      </c>
      <c r="AW166" s="225" t="str">
        <f>IFERROR(INDEX(Data!CS$9:CS$1273,MATCH($M166,Data!$K$9:$K$1273,0)),"")</f>
        <v/>
      </c>
      <c r="AX166" s="225" t="str">
        <f>IFERROR(INDEX(Data!CT$9:CT$1273,MATCH($M166,Data!$K$9:$K$1273,0)),"")</f>
        <v/>
      </c>
      <c r="AY166" s="225" t="str">
        <f>IFERROR(INDEX(Data!CU$9:CU$1273,MATCH($M166,Data!$K$9:$K$1273,0)),"")</f>
        <v/>
      </c>
      <c r="AZ166" s="225" t="str">
        <f>IFERROR(INDEX(Data!CV$9:CV$1273,MATCH($M166,Data!$K$9:$K$1273,0)),"")</f>
        <v/>
      </c>
      <c r="BA166" s="225" t="str">
        <f>IFERROR(INDEX(Data!CX$9:CX$1273,MATCH($M166,Data!$K$9:$K$1273,0)),"")</f>
        <v/>
      </c>
      <c r="BB166" s="225" t="str">
        <f>IFERROR(INDEX(Data!CY$9:CY$1273,MATCH($M166,Data!$K$9:$K$1273,0)),"")</f>
        <v/>
      </c>
      <c r="BC166" s="225" t="str">
        <f>IFERROR(INDEX(Data!CZ$9:CZ$1273,MATCH($M166,Data!$K$9:$K$1273,0)),"")</f>
        <v/>
      </c>
      <c r="BD166" s="225" t="str">
        <f>IFERROR(INDEX(Data!DA$9:DA$1273,MATCH($M166,Data!$K$9:$K$1273,0)),"")</f>
        <v/>
      </c>
      <c r="BE166" s="225" t="str">
        <f>IFERROR(INDEX(Data!DB$9:DB$1273,MATCH($M166,Data!$K$9:$K$1273,0)),"")</f>
        <v/>
      </c>
      <c r="BF166" s="225" t="str">
        <f>IFERROR(INDEX(Data!DC$9:DC$1273,MATCH($M166,Data!$K$9:$K$1273,0)),"")</f>
        <v/>
      </c>
      <c r="BG166" s="225" t="str">
        <f>IFERROR(INDEX(Data!DD$9:DD$1273,MATCH($M166,Data!$K$9:$K$1273,0)),"")</f>
        <v/>
      </c>
      <c r="BH166" s="225" t="str">
        <f>IFERROR(INDEX(Data!DE$9:DE$1273,MATCH($M166,Data!$K$9:$K$1273,0)),"")</f>
        <v/>
      </c>
      <c r="BI166" s="225" t="str">
        <f>IFERROR(INDEX(Data!DF$9:DF$1273,MATCH($M166,Data!$K$9:$K$1273,0)),"")</f>
        <v/>
      </c>
      <c r="BJ166" s="225" t="str">
        <f>IFERROR(INDEX(Data!DG$9:DG$1273,MATCH($M166,Data!$K$9:$K$1273,0)),"")</f>
        <v/>
      </c>
      <c r="BK166" s="225" t="str">
        <f>IFERROR(INDEX(Data!DH$9:DH$1273,MATCH($M166,Data!$K$9:$K$1273,0)),"")</f>
        <v/>
      </c>
      <c r="BL166" s="225" t="str">
        <f>IFERROR(INDEX(Data!DI$9:DI$1273,MATCH($M166,Data!$K$9:$K$1273,0)),"")</f>
        <v/>
      </c>
      <c r="BM166" s="225" t="str">
        <f>IFERROR(INDEX(Data!DJ$9:DJ$1273,MATCH($M166,Data!$K$9:$K$1273,0)),"")</f>
        <v/>
      </c>
      <c r="BN166" s="225" t="str">
        <f>IFERROR(INDEX(Data!DK$9:DK$1273,MATCH($M166,Data!$K$9:$K$1273,0)),"")</f>
        <v/>
      </c>
      <c r="BO166" s="225" t="str">
        <f>IFERROR(INDEX(Data!DL$9:DL$1273,MATCH($M166,Data!$K$9:$K$1273,0)),"")</f>
        <v/>
      </c>
      <c r="BP166" s="243" t="str">
        <f t="shared" si="17"/>
        <v/>
      </c>
      <c r="BQ166" s="225" t="str">
        <f t="shared" si="18"/>
        <v xml:space="preserve"> </v>
      </c>
      <c r="BR166" s="225" t="str">
        <f t="shared" si="19"/>
        <v/>
      </c>
      <c r="BS166" s="225" t="str">
        <f>IFERROR(INDEX(Data!$DO$9:$DO$1273,MATCH('Your recommendation'!BR166,Data!$DN$9:$DN$1273,0)),"")</f>
        <v/>
      </c>
    </row>
    <row r="167" spans="2:71" ht="15.6" customHeight="1">
      <c r="B167" s="222" t="str">
        <f t="shared" si="20"/>
        <v/>
      </c>
      <c r="C167" s="223"/>
      <c r="D167" s="225" t="str">
        <f>IFERROR(INDEX(Data!BR$9:BR$1273,MATCH($M167,Data!$K$9:$K$1273,0)),"")</f>
        <v/>
      </c>
      <c r="E167" s="225" t="str">
        <f>IFERROR(INDEX(Data!BS$9:BS$1273,MATCH($M167,Data!$K$9:$K$1273,0)),"")</f>
        <v/>
      </c>
      <c r="F167" s="225" t="str">
        <f>IFERROR(INDEX(Data!DM$9:DM$1273,MATCH($M167,Data!$K$9:$K$1273,0)),"")</f>
        <v/>
      </c>
      <c r="G167" s="225" t="str">
        <f>IFERROR(INDEX(Data!BV$9:BV$1273,MATCH($M167,Data!$K$9:$K$1273,0)),"")</f>
        <v/>
      </c>
      <c r="H167" s="225" t="str">
        <f>IFERROR(INDEX(Data!BW$9:BW$1273,MATCH($M167,Data!$K$9:$K$1273,0)),"")</f>
        <v/>
      </c>
      <c r="I167" s="225" t="str">
        <f>IFERROR(INDEX(Data!BX$9:BX$1273,MATCH($M167,Data!$K$9:$K$1273,0)),"")</f>
        <v/>
      </c>
      <c r="J167" s="225" t="str">
        <f>IFERROR(INDEX(Data!CB$9:CB$1273,MATCH($M167,Data!$K$9:$K$1273,0)),"")</f>
        <v/>
      </c>
      <c r="K167" s="241" t="str">
        <f t="shared" si="15"/>
        <v/>
      </c>
      <c r="L167" s="242" t="str">
        <f t="shared" si="16"/>
        <v/>
      </c>
      <c r="M167" s="224"/>
      <c r="N167" s="224"/>
      <c r="O167" s="224" t="str">
        <f>IFERROR(INDEX(Data!M$9:M$1273,MATCH($M167,Data!$K$9:$K$1273,0)),"")</f>
        <v/>
      </c>
      <c r="P167" s="224" t="str">
        <f>IFERROR(INDEX(Data!N$9:N$1273,MATCH($M167,Data!$K$9:$K$1273,0)),"")</f>
        <v/>
      </c>
      <c r="Q167" s="224" t="str">
        <f>IFERROR(INDEX(Data!O$9:O$1273,MATCH($M167,Data!$K$9:$K$1273,0)),"")</f>
        <v/>
      </c>
      <c r="R167" s="224" t="str">
        <f>IFERROR(INDEX(Data!P$9:P$1273,MATCH($M167,Data!$K$9:$K$1273,0)),"")</f>
        <v/>
      </c>
      <c r="S167" s="224" t="str">
        <f>IFERROR(INDEX(Data!S$9:S$1273,MATCH($M167,Data!$K$9:$K$1273,0)),"")</f>
        <v/>
      </c>
      <c r="T167" s="224" t="str">
        <f>IFERROR(INDEX(Data!T$9:T$1273,MATCH($M167,Data!$K$9:$K$1273,0)),"")</f>
        <v/>
      </c>
      <c r="U167" s="224" t="str">
        <f>IFERROR(INDEX(Data!U$9:U$1273,MATCH($M167,Data!$K$9:$K$1273,0)),"")</f>
        <v/>
      </c>
      <c r="V167" s="224" t="str">
        <f>IFERROR(INDEX(Data!V$9:V$1273,MATCH($M167,Data!$K$9:$K$1273,0)),"")</f>
        <v/>
      </c>
      <c r="W167" s="224" t="str">
        <f>IFERROR(INDEX(Data!W$9:W$1273,MATCH($M167,Data!$K$9:$K$1273,0)),"")</f>
        <v/>
      </c>
      <c r="X167" s="224" t="str">
        <f>IFERROR(INDEX(Data!AJ$9:AJ$1273,MATCH($M167,Data!$K$9:$K$1273,0)),"")</f>
        <v/>
      </c>
      <c r="Y167" s="224" t="str">
        <f>IFERROR(INDEX(Data!AK$9:AK$1273,MATCH($M167,Data!$K$9:$K$1273,0)),"")</f>
        <v/>
      </c>
      <c r="Z167" s="224" t="str">
        <f>IFERROR(INDEX(Data!AL$9:AL$1273,MATCH($M167,Data!$K$9:$K$1273,0)),"")</f>
        <v/>
      </c>
      <c r="AA167" s="224" t="str">
        <f>IFERROR(INDEX(Data!AM$9:AM$1273,MATCH($M167,Data!$K$9:$K$1273,0)),"")</f>
        <v/>
      </c>
      <c r="AB167" s="224" t="str">
        <f>IFERROR(INDEX(Data!AN$9:AN$1273,MATCH($M167,Data!$K$9:$K$1273,0)),"")</f>
        <v/>
      </c>
      <c r="AC167" s="225" t="str">
        <f>IFERROR(INDEX(Data!BY$9:BY$1273,MATCH($M167,Data!$K$9:$K$1273,0)),"")</f>
        <v/>
      </c>
      <c r="AD167" s="225" t="str">
        <f>IFERROR(INDEX(Data!BZ$9:BZ$1273,MATCH($M167,Data!$K$9:$K$1273,0)),"")</f>
        <v/>
      </c>
      <c r="AE167" s="225" t="str">
        <f>IFERROR(INDEX(Data!CA$9:CA$1273,MATCH($M167,Data!$K$9:$K$1273,0)),"")</f>
        <v/>
      </c>
      <c r="AF167" s="225" t="str">
        <f>IFERROR(INDEX(Data!CB$9:CB$1273,MATCH($M167,Data!$K$9:$K$1273,0)),"")</f>
        <v/>
      </c>
      <c r="AG167" s="225" t="str">
        <f>IFERROR(INDEX(Data!CC$9:CC$1273,MATCH($M167,Data!$K$9:$K$1273,0)),"")</f>
        <v/>
      </c>
      <c r="AH167" s="225" t="str">
        <f>IFERROR(INDEX(Data!CD$9:CD$1273,MATCH($M167,Data!$K$9:$K$1273,0)),"")</f>
        <v/>
      </c>
      <c r="AI167" s="225" t="str">
        <f>IFERROR(INDEX(Data!CE$9:CE$1273,MATCH($M167,Data!$K$9:$K$1273,0)),"")</f>
        <v/>
      </c>
      <c r="AJ167" s="225" t="str">
        <f>IFERROR(INDEX(Data!CF$9:CF$1273,MATCH($M167,Data!$K$9:$K$1273,0)),"")</f>
        <v/>
      </c>
      <c r="AK167" s="225" t="str">
        <f>IFERROR(INDEX(Data!CG$9:CG$1273,MATCH($M167,Data!$K$9:$K$1273,0)),"")</f>
        <v/>
      </c>
      <c r="AL167" s="225" t="str">
        <f>IFERROR(INDEX(Data!CH$9:CH$1273,MATCH($M167,Data!$K$9:$K$1273,0)),"")</f>
        <v/>
      </c>
      <c r="AM167" s="225" t="str">
        <f>IFERROR(INDEX(Data!CI$9:CI$1273,MATCH($M167,Data!$K$9:$K$1273,0)),"")</f>
        <v/>
      </c>
      <c r="AN167" s="225" t="str">
        <f>IFERROR(INDEX(Data!CJ$9:CJ$1273,MATCH($M167,Data!$K$9:$K$1273,0)),"")</f>
        <v/>
      </c>
      <c r="AO167" s="225" t="str">
        <f>IFERROR(INDEX(Data!CK$9:CK$1273,MATCH($M167,Data!$K$9:$K$1273,0)),"")</f>
        <v/>
      </c>
      <c r="AP167" s="225" t="str">
        <f>IFERROR(INDEX(Data!CL$9:CL$1273,MATCH($M167,Data!$K$9:$K$1273,0)),"")</f>
        <v/>
      </c>
      <c r="AQ167" s="225" t="str">
        <f>IFERROR(INDEX(Data!CM$9:CM$1273,MATCH($M167,Data!$K$9:$K$1273,0)),"")</f>
        <v/>
      </c>
      <c r="AR167" s="225" t="str">
        <f>IFERROR(INDEX(Data!CN$9:CN$1273,MATCH($M167,Data!$K$9:$K$1273,0)),"")</f>
        <v/>
      </c>
      <c r="AS167" s="225" t="str">
        <f>IFERROR(INDEX(Data!CO$9:CO$1273,MATCH($M167,Data!$K$9:$K$1273,0)),"")</f>
        <v/>
      </c>
      <c r="AT167" s="225" t="str">
        <f>IFERROR(INDEX(Data!CP$9:CP$1273,MATCH($M167,Data!$K$9:$K$1273,0)),"")</f>
        <v/>
      </c>
      <c r="AU167" s="225" t="str">
        <f>IFERROR(INDEX(Data!CQ$9:CQ$1273,MATCH($M167,Data!$K$9:$K$1273,0)),"")</f>
        <v/>
      </c>
      <c r="AV167" s="225" t="str">
        <f>IFERROR(INDEX(Data!CR$9:CR$1273,MATCH($M167,Data!$K$9:$K$1273,0)),"")</f>
        <v/>
      </c>
      <c r="AW167" s="225" t="str">
        <f>IFERROR(INDEX(Data!CS$9:CS$1273,MATCH($M167,Data!$K$9:$K$1273,0)),"")</f>
        <v/>
      </c>
      <c r="AX167" s="225" t="str">
        <f>IFERROR(INDEX(Data!CT$9:CT$1273,MATCH($M167,Data!$K$9:$K$1273,0)),"")</f>
        <v/>
      </c>
      <c r="AY167" s="225" t="str">
        <f>IFERROR(INDEX(Data!CU$9:CU$1273,MATCH($M167,Data!$K$9:$K$1273,0)),"")</f>
        <v/>
      </c>
      <c r="AZ167" s="225" t="str">
        <f>IFERROR(INDEX(Data!CV$9:CV$1273,MATCH($M167,Data!$K$9:$K$1273,0)),"")</f>
        <v/>
      </c>
      <c r="BA167" s="225" t="str">
        <f>IFERROR(INDEX(Data!CX$9:CX$1273,MATCH($M167,Data!$K$9:$K$1273,0)),"")</f>
        <v/>
      </c>
      <c r="BB167" s="225" t="str">
        <f>IFERROR(INDEX(Data!CY$9:CY$1273,MATCH($M167,Data!$K$9:$K$1273,0)),"")</f>
        <v/>
      </c>
      <c r="BC167" s="225" t="str">
        <f>IFERROR(INDEX(Data!CZ$9:CZ$1273,MATCH($M167,Data!$K$9:$K$1273,0)),"")</f>
        <v/>
      </c>
      <c r="BD167" s="225" t="str">
        <f>IFERROR(INDEX(Data!DA$9:DA$1273,MATCH($M167,Data!$K$9:$K$1273,0)),"")</f>
        <v/>
      </c>
      <c r="BE167" s="225" t="str">
        <f>IFERROR(INDEX(Data!DB$9:DB$1273,MATCH($M167,Data!$K$9:$K$1273,0)),"")</f>
        <v/>
      </c>
      <c r="BF167" s="225" t="str">
        <f>IFERROR(INDEX(Data!DC$9:DC$1273,MATCH($M167,Data!$K$9:$K$1273,0)),"")</f>
        <v/>
      </c>
      <c r="BG167" s="225" t="str">
        <f>IFERROR(INDEX(Data!DD$9:DD$1273,MATCH($M167,Data!$K$9:$K$1273,0)),"")</f>
        <v/>
      </c>
      <c r="BH167" s="225" t="str">
        <f>IFERROR(INDEX(Data!DE$9:DE$1273,MATCH($M167,Data!$K$9:$K$1273,0)),"")</f>
        <v/>
      </c>
      <c r="BI167" s="225" t="str">
        <f>IFERROR(INDEX(Data!DF$9:DF$1273,MATCH($M167,Data!$K$9:$K$1273,0)),"")</f>
        <v/>
      </c>
      <c r="BJ167" s="225" t="str">
        <f>IFERROR(INDEX(Data!DG$9:DG$1273,MATCH($M167,Data!$K$9:$K$1273,0)),"")</f>
        <v/>
      </c>
      <c r="BK167" s="225" t="str">
        <f>IFERROR(INDEX(Data!DH$9:DH$1273,MATCH($M167,Data!$K$9:$K$1273,0)),"")</f>
        <v/>
      </c>
      <c r="BL167" s="225" t="str">
        <f>IFERROR(INDEX(Data!DI$9:DI$1273,MATCH($M167,Data!$K$9:$K$1273,0)),"")</f>
        <v/>
      </c>
      <c r="BM167" s="225" t="str">
        <f>IFERROR(INDEX(Data!DJ$9:DJ$1273,MATCH($M167,Data!$K$9:$K$1273,0)),"")</f>
        <v/>
      </c>
      <c r="BN167" s="225" t="str">
        <f>IFERROR(INDEX(Data!DK$9:DK$1273,MATCH($M167,Data!$K$9:$K$1273,0)),"")</f>
        <v/>
      </c>
      <c r="BO167" s="225" t="str">
        <f>IFERROR(INDEX(Data!DL$9:DL$1273,MATCH($M167,Data!$K$9:$K$1273,0)),"")</f>
        <v/>
      </c>
      <c r="BP167" s="243" t="str">
        <f t="shared" si="17"/>
        <v/>
      </c>
      <c r="BQ167" s="225" t="str">
        <f t="shared" si="18"/>
        <v xml:space="preserve"> </v>
      </c>
      <c r="BR167" s="225" t="str">
        <f t="shared" si="19"/>
        <v/>
      </c>
      <c r="BS167" s="225" t="str">
        <f>IFERROR(INDEX(Data!$DO$9:$DO$1273,MATCH('Your recommendation'!BR167,Data!$DN$9:$DN$1273,0)),"")</f>
        <v/>
      </c>
    </row>
    <row r="168" spans="2:71" ht="15.6" customHeight="1">
      <c r="B168" s="222" t="str">
        <f t="shared" si="20"/>
        <v/>
      </c>
      <c r="C168" s="223"/>
      <c r="D168" s="225" t="str">
        <f>IFERROR(INDEX(Data!BR$9:BR$1273,MATCH($M168,Data!$K$9:$K$1273,0)),"")</f>
        <v/>
      </c>
      <c r="E168" s="225" t="str">
        <f>IFERROR(INDEX(Data!BS$9:BS$1273,MATCH($M168,Data!$K$9:$K$1273,0)),"")</f>
        <v/>
      </c>
      <c r="F168" s="225" t="str">
        <f>IFERROR(INDEX(Data!DM$9:DM$1273,MATCH($M168,Data!$K$9:$K$1273,0)),"")</f>
        <v/>
      </c>
      <c r="G168" s="225" t="str">
        <f>IFERROR(INDEX(Data!BV$9:BV$1273,MATCH($M168,Data!$K$9:$K$1273,0)),"")</f>
        <v/>
      </c>
      <c r="H168" s="225" t="str">
        <f>IFERROR(INDEX(Data!BW$9:BW$1273,MATCH($M168,Data!$K$9:$K$1273,0)),"")</f>
        <v/>
      </c>
      <c r="I168" s="225" t="str">
        <f>IFERROR(INDEX(Data!BX$9:BX$1273,MATCH($M168,Data!$K$9:$K$1273,0)),"")</f>
        <v/>
      </c>
      <c r="J168" s="225" t="str">
        <f>IFERROR(INDEX(Data!CB$9:CB$1273,MATCH($M168,Data!$K$9:$K$1273,0)),"")</f>
        <v/>
      </c>
      <c r="K168" s="241" t="str">
        <f t="shared" si="15"/>
        <v/>
      </c>
      <c r="L168" s="242" t="str">
        <f t="shared" si="16"/>
        <v/>
      </c>
      <c r="M168" s="224"/>
      <c r="N168" s="224"/>
      <c r="O168" s="224" t="str">
        <f>IFERROR(INDEX(Data!M$9:M$1273,MATCH($M168,Data!$K$9:$K$1273,0)),"")</f>
        <v/>
      </c>
      <c r="P168" s="224" t="str">
        <f>IFERROR(INDEX(Data!N$9:N$1273,MATCH($M168,Data!$K$9:$K$1273,0)),"")</f>
        <v/>
      </c>
      <c r="Q168" s="224" t="str">
        <f>IFERROR(INDEX(Data!O$9:O$1273,MATCH($M168,Data!$K$9:$K$1273,0)),"")</f>
        <v/>
      </c>
      <c r="R168" s="224" t="str">
        <f>IFERROR(INDEX(Data!P$9:P$1273,MATCH($M168,Data!$K$9:$K$1273,0)),"")</f>
        <v/>
      </c>
      <c r="S168" s="224" t="str">
        <f>IFERROR(INDEX(Data!S$9:S$1273,MATCH($M168,Data!$K$9:$K$1273,0)),"")</f>
        <v/>
      </c>
      <c r="T168" s="224" t="str">
        <f>IFERROR(INDEX(Data!T$9:T$1273,MATCH($M168,Data!$K$9:$K$1273,0)),"")</f>
        <v/>
      </c>
      <c r="U168" s="224" t="str">
        <f>IFERROR(INDEX(Data!U$9:U$1273,MATCH($M168,Data!$K$9:$K$1273,0)),"")</f>
        <v/>
      </c>
      <c r="V168" s="224" t="str">
        <f>IFERROR(INDEX(Data!V$9:V$1273,MATCH($M168,Data!$K$9:$K$1273,0)),"")</f>
        <v/>
      </c>
      <c r="W168" s="224" t="str">
        <f>IFERROR(INDEX(Data!W$9:W$1273,MATCH($M168,Data!$K$9:$K$1273,0)),"")</f>
        <v/>
      </c>
      <c r="X168" s="224" t="str">
        <f>IFERROR(INDEX(Data!AJ$9:AJ$1273,MATCH($M168,Data!$K$9:$K$1273,0)),"")</f>
        <v/>
      </c>
      <c r="Y168" s="224" t="str">
        <f>IFERROR(INDEX(Data!AK$9:AK$1273,MATCH($M168,Data!$K$9:$K$1273,0)),"")</f>
        <v/>
      </c>
      <c r="Z168" s="224" t="str">
        <f>IFERROR(INDEX(Data!AL$9:AL$1273,MATCH($M168,Data!$K$9:$K$1273,0)),"")</f>
        <v/>
      </c>
      <c r="AA168" s="224" t="str">
        <f>IFERROR(INDEX(Data!AM$9:AM$1273,MATCH($M168,Data!$K$9:$K$1273,0)),"")</f>
        <v/>
      </c>
      <c r="AB168" s="224" t="str">
        <f>IFERROR(INDEX(Data!AN$9:AN$1273,MATCH($M168,Data!$K$9:$K$1273,0)),"")</f>
        <v/>
      </c>
      <c r="AC168" s="225" t="str">
        <f>IFERROR(INDEX(Data!BY$9:BY$1273,MATCH($M168,Data!$K$9:$K$1273,0)),"")</f>
        <v/>
      </c>
      <c r="AD168" s="225" t="str">
        <f>IFERROR(INDEX(Data!BZ$9:BZ$1273,MATCH($M168,Data!$K$9:$K$1273,0)),"")</f>
        <v/>
      </c>
      <c r="AE168" s="225" t="str">
        <f>IFERROR(INDEX(Data!CA$9:CA$1273,MATCH($M168,Data!$K$9:$K$1273,0)),"")</f>
        <v/>
      </c>
      <c r="AF168" s="225" t="str">
        <f>IFERROR(INDEX(Data!CB$9:CB$1273,MATCH($M168,Data!$K$9:$K$1273,0)),"")</f>
        <v/>
      </c>
      <c r="AG168" s="225" t="str">
        <f>IFERROR(INDEX(Data!CC$9:CC$1273,MATCH($M168,Data!$K$9:$K$1273,0)),"")</f>
        <v/>
      </c>
      <c r="AH168" s="225" t="str">
        <f>IFERROR(INDEX(Data!CD$9:CD$1273,MATCH($M168,Data!$K$9:$K$1273,0)),"")</f>
        <v/>
      </c>
      <c r="AI168" s="225" t="str">
        <f>IFERROR(INDEX(Data!CE$9:CE$1273,MATCH($M168,Data!$K$9:$K$1273,0)),"")</f>
        <v/>
      </c>
      <c r="AJ168" s="225" t="str">
        <f>IFERROR(INDEX(Data!CF$9:CF$1273,MATCH($M168,Data!$K$9:$K$1273,0)),"")</f>
        <v/>
      </c>
      <c r="AK168" s="225" t="str">
        <f>IFERROR(INDEX(Data!CG$9:CG$1273,MATCH($M168,Data!$K$9:$K$1273,0)),"")</f>
        <v/>
      </c>
      <c r="AL168" s="225" t="str">
        <f>IFERROR(INDEX(Data!CH$9:CH$1273,MATCH($M168,Data!$K$9:$K$1273,0)),"")</f>
        <v/>
      </c>
      <c r="AM168" s="225" t="str">
        <f>IFERROR(INDEX(Data!CI$9:CI$1273,MATCH($M168,Data!$K$9:$K$1273,0)),"")</f>
        <v/>
      </c>
      <c r="AN168" s="225" t="str">
        <f>IFERROR(INDEX(Data!CJ$9:CJ$1273,MATCH($M168,Data!$K$9:$K$1273,0)),"")</f>
        <v/>
      </c>
      <c r="AO168" s="225" t="str">
        <f>IFERROR(INDEX(Data!CK$9:CK$1273,MATCH($M168,Data!$K$9:$K$1273,0)),"")</f>
        <v/>
      </c>
      <c r="AP168" s="225" t="str">
        <f>IFERROR(INDEX(Data!CL$9:CL$1273,MATCH($M168,Data!$K$9:$K$1273,0)),"")</f>
        <v/>
      </c>
      <c r="AQ168" s="225" t="str">
        <f>IFERROR(INDEX(Data!CM$9:CM$1273,MATCH($M168,Data!$K$9:$K$1273,0)),"")</f>
        <v/>
      </c>
      <c r="AR168" s="225" t="str">
        <f>IFERROR(INDEX(Data!CN$9:CN$1273,MATCH($M168,Data!$K$9:$K$1273,0)),"")</f>
        <v/>
      </c>
      <c r="AS168" s="225" t="str">
        <f>IFERROR(INDEX(Data!CO$9:CO$1273,MATCH($M168,Data!$K$9:$K$1273,0)),"")</f>
        <v/>
      </c>
      <c r="AT168" s="225" t="str">
        <f>IFERROR(INDEX(Data!CP$9:CP$1273,MATCH($M168,Data!$K$9:$K$1273,0)),"")</f>
        <v/>
      </c>
      <c r="AU168" s="225" t="str">
        <f>IFERROR(INDEX(Data!CQ$9:CQ$1273,MATCH($M168,Data!$K$9:$K$1273,0)),"")</f>
        <v/>
      </c>
      <c r="AV168" s="225" t="str">
        <f>IFERROR(INDEX(Data!CR$9:CR$1273,MATCH($M168,Data!$K$9:$K$1273,0)),"")</f>
        <v/>
      </c>
      <c r="AW168" s="225" t="str">
        <f>IFERROR(INDEX(Data!CS$9:CS$1273,MATCH($M168,Data!$K$9:$K$1273,0)),"")</f>
        <v/>
      </c>
      <c r="AX168" s="225" t="str">
        <f>IFERROR(INDEX(Data!CT$9:CT$1273,MATCH($M168,Data!$K$9:$K$1273,0)),"")</f>
        <v/>
      </c>
      <c r="AY168" s="225" t="str">
        <f>IFERROR(INDEX(Data!CU$9:CU$1273,MATCH($M168,Data!$K$9:$K$1273,0)),"")</f>
        <v/>
      </c>
      <c r="AZ168" s="225" t="str">
        <f>IFERROR(INDEX(Data!CV$9:CV$1273,MATCH($M168,Data!$K$9:$K$1273,0)),"")</f>
        <v/>
      </c>
      <c r="BA168" s="225" t="str">
        <f>IFERROR(INDEX(Data!CX$9:CX$1273,MATCH($M168,Data!$K$9:$K$1273,0)),"")</f>
        <v/>
      </c>
      <c r="BB168" s="225" t="str">
        <f>IFERROR(INDEX(Data!CY$9:CY$1273,MATCH($M168,Data!$K$9:$K$1273,0)),"")</f>
        <v/>
      </c>
      <c r="BC168" s="225" t="str">
        <f>IFERROR(INDEX(Data!CZ$9:CZ$1273,MATCH($M168,Data!$K$9:$K$1273,0)),"")</f>
        <v/>
      </c>
      <c r="BD168" s="225" t="str">
        <f>IFERROR(INDEX(Data!DA$9:DA$1273,MATCH($M168,Data!$K$9:$K$1273,0)),"")</f>
        <v/>
      </c>
      <c r="BE168" s="225" t="str">
        <f>IFERROR(INDEX(Data!DB$9:DB$1273,MATCH($M168,Data!$K$9:$K$1273,0)),"")</f>
        <v/>
      </c>
      <c r="BF168" s="225" t="str">
        <f>IFERROR(INDEX(Data!DC$9:DC$1273,MATCH($M168,Data!$K$9:$K$1273,0)),"")</f>
        <v/>
      </c>
      <c r="BG168" s="225" t="str">
        <f>IFERROR(INDEX(Data!DD$9:DD$1273,MATCH($M168,Data!$K$9:$K$1273,0)),"")</f>
        <v/>
      </c>
      <c r="BH168" s="225" t="str">
        <f>IFERROR(INDEX(Data!DE$9:DE$1273,MATCH($M168,Data!$K$9:$K$1273,0)),"")</f>
        <v/>
      </c>
      <c r="BI168" s="225" t="str">
        <f>IFERROR(INDEX(Data!DF$9:DF$1273,MATCH($M168,Data!$K$9:$K$1273,0)),"")</f>
        <v/>
      </c>
      <c r="BJ168" s="225" t="str">
        <f>IFERROR(INDEX(Data!DG$9:DG$1273,MATCH($M168,Data!$K$9:$K$1273,0)),"")</f>
        <v/>
      </c>
      <c r="BK168" s="225" t="str">
        <f>IFERROR(INDEX(Data!DH$9:DH$1273,MATCH($M168,Data!$K$9:$K$1273,0)),"")</f>
        <v/>
      </c>
      <c r="BL168" s="225" t="str">
        <f>IFERROR(INDEX(Data!DI$9:DI$1273,MATCH($M168,Data!$K$9:$K$1273,0)),"")</f>
        <v/>
      </c>
      <c r="BM168" s="225" t="str">
        <f>IFERROR(INDEX(Data!DJ$9:DJ$1273,MATCH($M168,Data!$K$9:$K$1273,0)),"")</f>
        <v/>
      </c>
      <c r="BN168" s="225" t="str">
        <f>IFERROR(INDEX(Data!DK$9:DK$1273,MATCH($M168,Data!$K$9:$K$1273,0)),"")</f>
        <v/>
      </c>
      <c r="BO168" s="225" t="str">
        <f>IFERROR(INDEX(Data!DL$9:DL$1273,MATCH($M168,Data!$K$9:$K$1273,0)),"")</f>
        <v/>
      </c>
      <c r="BP168" s="243" t="str">
        <f t="shared" si="17"/>
        <v/>
      </c>
      <c r="BQ168" s="225" t="str">
        <f t="shared" si="18"/>
        <v xml:space="preserve"> </v>
      </c>
      <c r="BR168" s="225" t="str">
        <f t="shared" si="19"/>
        <v/>
      </c>
      <c r="BS168" s="225" t="str">
        <f>IFERROR(INDEX(Data!$DO$9:$DO$1273,MATCH('Your recommendation'!BR168,Data!$DN$9:$DN$1273,0)),"")</f>
        <v/>
      </c>
    </row>
    <row r="169" spans="2:71" ht="15.6" customHeight="1">
      <c r="B169" s="222" t="str">
        <f t="shared" si="20"/>
        <v/>
      </c>
      <c r="C169" s="223"/>
      <c r="D169" s="225" t="str">
        <f>IFERROR(INDEX(Data!BR$9:BR$1273,MATCH($M169,Data!$K$9:$K$1273,0)),"")</f>
        <v/>
      </c>
      <c r="E169" s="225" t="str">
        <f>IFERROR(INDEX(Data!BS$9:BS$1273,MATCH($M169,Data!$K$9:$K$1273,0)),"")</f>
        <v/>
      </c>
      <c r="F169" s="225" t="str">
        <f>IFERROR(INDEX(Data!DM$9:DM$1273,MATCH($M169,Data!$K$9:$K$1273,0)),"")</f>
        <v/>
      </c>
      <c r="G169" s="225" t="str">
        <f>IFERROR(INDEX(Data!BV$9:BV$1273,MATCH($M169,Data!$K$9:$K$1273,0)),"")</f>
        <v/>
      </c>
      <c r="H169" s="225" t="str">
        <f>IFERROR(INDEX(Data!BW$9:BW$1273,MATCH($M169,Data!$K$9:$K$1273,0)),"")</f>
        <v/>
      </c>
      <c r="I169" s="225" t="str">
        <f>IFERROR(INDEX(Data!BX$9:BX$1273,MATCH($M169,Data!$K$9:$K$1273,0)),"")</f>
        <v/>
      </c>
      <c r="J169" s="225" t="str">
        <f>IFERROR(INDEX(Data!CB$9:CB$1273,MATCH($M169,Data!$K$9:$K$1273,0)),"")</f>
        <v/>
      </c>
      <c r="K169" s="241" t="str">
        <f t="shared" si="15"/>
        <v/>
      </c>
      <c r="L169" s="242" t="str">
        <f t="shared" si="16"/>
        <v/>
      </c>
      <c r="M169" s="224"/>
      <c r="N169" s="224"/>
      <c r="O169" s="224" t="str">
        <f>IFERROR(INDEX(Data!M$9:M$1273,MATCH($M169,Data!$K$9:$K$1273,0)),"")</f>
        <v/>
      </c>
      <c r="P169" s="224" t="str">
        <f>IFERROR(INDEX(Data!N$9:N$1273,MATCH($M169,Data!$K$9:$K$1273,0)),"")</f>
        <v/>
      </c>
      <c r="Q169" s="224" t="str">
        <f>IFERROR(INDEX(Data!O$9:O$1273,MATCH($M169,Data!$K$9:$K$1273,0)),"")</f>
        <v/>
      </c>
      <c r="R169" s="224" t="str">
        <f>IFERROR(INDEX(Data!P$9:P$1273,MATCH($M169,Data!$K$9:$K$1273,0)),"")</f>
        <v/>
      </c>
      <c r="S169" s="224" t="str">
        <f>IFERROR(INDEX(Data!S$9:S$1273,MATCH($M169,Data!$K$9:$K$1273,0)),"")</f>
        <v/>
      </c>
      <c r="T169" s="224" t="str">
        <f>IFERROR(INDEX(Data!T$9:T$1273,MATCH($M169,Data!$K$9:$K$1273,0)),"")</f>
        <v/>
      </c>
      <c r="U169" s="224" t="str">
        <f>IFERROR(INDEX(Data!U$9:U$1273,MATCH($M169,Data!$K$9:$K$1273,0)),"")</f>
        <v/>
      </c>
      <c r="V169" s="224" t="str">
        <f>IFERROR(INDEX(Data!V$9:V$1273,MATCH($M169,Data!$K$9:$K$1273,0)),"")</f>
        <v/>
      </c>
      <c r="W169" s="224" t="str">
        <f>IFERROR(INDEX(Data!W$9:W$1273,MATCH($M169,Data!$K$9:$K$1273,0)),"")</f>
        <v/>
      </c>
      <c r="X169" s="224" t="str">
        <f>IFERROR(INDEX(Data!AJ$9:AJ$1273,MATCH($M169,Data!$K$9:$K$1273,0)),"")</f>
        <v/>
      </c>
      <c r="Y169" s="224" t="str">
        <f>IFERROR(INDEX(Data!AK$9:AK$1273,MATCH($M169,Data!$K$9:$K$1273,0)),"")</f>
        <v/>
      </c>
      <c r="Z169" s="224" t="str">
        <f>IFERROR(INDEX(Data!AL$9:AL$1273,MATCH($M169,Data!$K$9:$K$1273,0)),"")</f>
        <v/>
      </c>
      <c r="AA169" s="224" t="str">
        <f>IFERROR(INDEX(Data!AM$9:AM$1273,MATCH($M169,Data!$K$9:$K$1273,0)),"")</f>
        <v/>
      </c>
      <c r="AB169" s="224" t="str">
        <f>IFERROR(INDEX(Data!AN$9:AN$1273,MATCH($M169,Data!$K$9:$K$1273,0)),"")</f>
        <v/>
      </c>
      <c r="AC169" s="225" t="str">
        <f>IFERROR(INDEX(Data!BY$9:BY$1273,MATCH($M169,Data!$K$9:$K$1273,0)),"")</f>
        <v/>
      </c>
      <c r="AD169" s="225" t="str">
        <f>IFERROR(INDEX(Data!BZ$9:BZ$1273,MATCH($M169,Data!$K$9:$K$1273,0)),"")</f>
        <v/>
      </c>
      <c r="AE169" s="225" t="str">
        <f>IFERROR(INDEX(Data!CA$9:CA$1273,MATCH($M169,Data!$K$9:$K$1273,0)),"")</f>
        <v/>
      </c>
      <c r="AF169" s="225" t="str">
        <f>IFERROR(INDEX(Data!CB$9:CB$1273,MATCH($M169,Data!$K$9:$K$1273,0)),"")</f>
        <v/>
      </c>
      <c r="AG169" s="225" t="str">
        <f>IFERROR(INDEX(Data!CC$9:CC$1273,MATCH($M169,Data!$K$9:$K$1273,0)),"")</f>
        <v/>
      </c>
      <c r="AH169" s="225" t="str">
        <f>IFERROR(INDEX(Data!CD$9:CD$1273,MATCH($M169,Data!$K$9:$K$1273,0)),"")</f>
        <v/>
      </c>
      <c r="AI169" s="225" t="str">
        <f>IFERROR(INDEX(Data!CE$9:CE$1273,MATCH($M169,Data!$K$9:$K$1273,0)),"")</f>
        <v/>
      </c>
      <c r="AJ169" s="225" t="str">
        <f>IFERROR(INDEX(Data!CF$9:CF$1273,MATCH($M169,Data!$K$9:$K$1273,0)),"")</f>
        <v/>
      </c>
      <c r="AK169" s="225" t="str">
        <f>IFERROR(INDEX(Data!CG$9:CG$1273,MATCH($M169,Data!$K$9:$K$1273,0)),"")</f>
        <v/>
      </c>
      <c r="AL169" s="225" t="str">
        <f>IFERROR(INDEX(Data!CH$9:CH$1273,MATCH($M169,Data!$K$9:$K$1273,0)),"")</f>
        <v/>
      </c>
      <c r="AM169" s="225" t="str">
        <f>IFERROR(INDEX(Data!CI$9:CI$1273,MATCH($M169,Data!$K$9:$K$1273,0)),"")</f>
        <v/>
      </c>
      <c r="AN169" s="225" t="str">
        <f>IFERROR(INDEX(Data!CJ$9:CJ$1273,MATCH($M169,Data!$K$9:$K$1273,0)),"")</f>
        <v/>
      </c>
      <c r="AO169" s="225" t="str">
        <f>IFERROR(INDEX(Data!CK$9:CK$1273,MATCH($M169,Data!$K$9:$K$1273,0)),"")</f>
        <v/>
      </c>
      <c r="AP169" s="225" t="str">
        <f>IFERROR(INDEX(Data!CL$9:CL$1273,MATCH($M169,Data!$K$9:$K$1273,0)),"")</f>
        <v/>
      </c>
      <c r="AQ169" s="225" t="str">
        <f>IFERROR(INDEX(Data!CM$9:CM$1273,MATCH($M169,Data!$K$9:$K$1273,0)),"")</f>
        <v/>
      </c>
      <c r="AR169" s="225" t="str">
        <f>IFERROR(INDEX(Data!CN$9:CN$1273,MATCH($M169,Data!$K$9:$K$1273,0)),"")</f>
        <v/>
      </c>
      <c r="AS169" s="225" t="str">
        <f>IFERROR(INDEX(Data!CO$9:CO$1273,MATCH($M169,Data!$K$9:$K$1273,0)),"")</f>
        <v/>
      </c>
      <c r="AT169" s="225" t="str">
        <f>IFERROR(INDEX(Data!CP$9:CP$1273,MATCH($M169,Data!$K$9:$K$1273,0)),"")</f>
        <v/>
      </c>
      <c r="AU169" s="225" t="str">
        <f>IFERROR(INDEX(Data!CQ$9:CQ$1273,MATCH($M169,Data!$K$9:$K$1273,0)),"")</f>
        <v/>
      </c>
      <c r="AV169" s="225" t="str">
        <f>IFERROR(INDEX(Data!CR$9:CR$1273,MATCH($M169,Data!$K$9:$K$1273,0)),"")</f>
        <v/>
      </c>
      <c r="AW169" s="225" t="str">
        <f>IFERROR(INDEX(Data!CS$9:CS$1273,MATCH($M169,Data!$K$9:$K$1273,0)),"")</f>
        <v/>
      </c>
      <c r="AX169" s="225" t="str">
        <f>IFERROR(INDEX(Data!CT$9:CT$1273,MATCH($M169,Data!$K$9:$K$1273,0)),"")</f>
        <v/>
      </c>
      <c r="AY169" s="225" t="str">
        <f>IFERROR(INDEX(Data!CU$9:CU$1273,MATCH($M169,Data!$K$9:$K$1273,0)),"")</f>
        <v/>
      </c>
      <c r="AZ169" s="225" t="str">
        <f>IFERROR(INDEX(Data!CV$9:CV$1273,MATCH($M169,Data!$K$9:$K$1273,0)),"")</f>
        <v/>
      </c>
      <c r="BA169" s="225" t="str">
        <f>IFERROR(INDEX(Data!CX$9:CX$1273,MATCH($M169,Data!$K$9:$K$1273,0)),"")</f>
        <v/>
      </c>
      <c r="BB169" s="225" t="str">
        <f>IFERROR(INDEX(Data!CY$9:CY$1273,MATCH($M169,Data!$K$9:$K$1273,0)),"")</f>
        <v/>
      </c>
      <c r="BC169" s="225" t="str">
        <f>IFERROR(INDEX(Data!CZ$9:CZ$1273,MATCH($M169,Data!$K$9:$K$1273,0)),"")</f>
        <v/>
      </c>
      <c r="BD169" s="225" t="str">
        <f>IFERROR(INDEX(Data!DA$9:DA$1273,MATCH($M169,Data!$K$9:$K$1273,0)),"")</f>
        <v/>
      </c>
      <c r="BE169" s="225" t="str">
        <f>IFERROR(INDEX(Data!DB$9:DB$1273,MATCH($M169,Data!$K$9:$K$1273,0)),"")</f>
        <v/>
      </c>
      <c r="BF169" s="225" t="str">
        <f>IFERROR(INDEX(Data!DC$9:DC$1273,MATCH($M169,Data!$K$9:$K$1273,0)),"")</f>
        <v/>
      </c>
      <c r="BG169" s="225" t="str">
        <f>IFERROR(INDEX(Data!DD$9:DD$1273,MATCH($M169,Data!$K$9:$K$1273,0)),"")</f>
        <v/>
      </c>
      <c r="BH169" s="225" t="str">
        <f>IFERROR(INDEX(Data!DE$9:DE$1273,MATCH($M169,Data!$K$9:$K$1273,0)),"")</f>
        <v/>
      </c>
      <c r="BI169" s="225" t="str">
        <f>IFERROR(INDEX(Data!DF$9:DF$1273,MATCH($M169,Data!$K$9:$K$1273,0)),"")</f>
        <v/>
      </c>
      <c r="BJ169" s="225" t="str">
        <f>IFERROR(INDEX(Data!DG$9:DG$1273,MATCH($M169,Data!$K$9:$K$1273,0)),"")</f>
        <v/>
      </c>
      <c r="BK169" s="225" t="str">
        <f>IFERROR(INDEX(Data!DH$9:DH$1273,MATCH($M169,Data!$K$9:$K$1273,0)),"")</f>
        <v/>
      </c>
      <c r="BL169" s="225" t="str">
        <f>IFERROR(INDEX(Data!DI$9:DI$1273,MATCH($M169,Data!$K$9:$K$1273,0)),"")</f>
        <v/>
      </c>
      <c r="BM169" s="225" t="str">
        <f>IFERROR(INDEX(Data!DJ$9:DJ$1273,MATCH($M169,Data!$K$9:$K$1273,0)),"")</f>
        <v/>
      </c>
      <c r="BN169" s="225" t="str">
        <f>IFERROR(INDEX(Data!DK$9:DK$1273,MATCH($M169,Data!$K$9:$K$1273,0)),"")</f>
        <v/>
      </c>
      <c r="BO169" s="225" t="str">
        <f>IFERROR(INDEX(Data!DL$9:DL$1273,MATCH($M169,Data!$K$9:$K$1273,0)),"")</f>
        <v/>
      </c>
      <c r="BP169" s="243" t="str">
        <f t="shared" si="17"/>
        <v/>
      </c>
      <c r="BQ169" s="225" t="str">
        <f t="shared" si="18"/>
        <v xml:space="preserve"> </v>
      </c>
      <c r="BR169" s="225" t="str">
        <f t="shared" si="19"/>
        <v/>
      </c>
      <c r="BS169" s="225" t="str">
        <f>IFERROR(INDEX(Data!$DO$9:$DO$1273,MATCH('Your recommendation'!BR169,Data!$DN$9:$DN$1273,0)),"")</f>
        <v/>
      </c>
    </row>
    <row r="170" spans="2:71" ht="15.6" customHeight="1">
      <c r="B170" s="222" t="str">
        <f t="shared" si="20"/>
        <v/>
      </c>
      <c r="C170" s="223"/>
      <c r="D170" s="225" t="str">
        <f>IFERROR(INDEX(Data!BR$9:BR$1273,MATCH($M170,Data!$K$9:$K$1273,0)),"")</f>
        <v/>
      </c>
      <c r="E170" s="225" t="str">
        <f>IFERROR(INDEX(Data!BS$9:BS$1273,MATCH($M170,Data!$K$9:$K$1273,0)),"")</f>
        <v/>
      </c>
      <c r="F170" s="225" t="str">
        <f>IFERROR(INDEX(Data!DM$9:DM$1273,MATCH($M170,Data!$K$9:$K$1273,0)),"")</f>
        <v/>
      </c>
      <c r="G170" s="225" t="str">
        <f>IFERROR(INDEX(Data!BV$9:BV$1273,MATCH($M170,Data!$K$9:$K$1273,0)),"")</f>
        <v/>
      </c>
      <c r="H170" s="225" t="str">
        <f>IFERROR(INDEX(Data!BW$9:BW$1273,MATCH($M170,Data!$K$9:$K$1273,0)),"")</f>
        <v/>
      </c>
      <c r="I170" s="225" t="str">
        <f>IFERROR(INDEX(Data!BX$9:BX$1273,MATCH($M170,Data!$K$9:$K$1273,0)),"")</f>
        <v/>
      </c>
      <c r="J170" s="225" t="str">
        <f>IFERROR(INDEX(Data!CB$9:CB$1273,MATCH($M170,Data!$K$9:$K$1273,0)),"")</f>
        <v/>
      </c>
      <c r="K170" s="241" t="str">
        <f t="shared" si="15"/>
        <v/>
      </c>
      <c r="L170" s="242" t="str">
        <f t="shared" si="16"/>
        <v/>
      </c>
      <c r="M170" s="224"/>
      <c r="N170" s="224"/>
      <c r="O170" s="224" t="str">
        <f>IFERROR(INDEX(Data!M$9:M$1273,MATCH($M170,Data!$K$9:$K$1273,0)),"")</f>
        <v/>
      </c>
      <c r="P170" s="224" t="str">
        <f>IFERROR(INDEX(Data!N$9:N$1273,MATCH($M170,Data!$K$9:$K$1273,0)),"")</f>
        <v/>
      </c>
      <c r="Q170" s="224" t="str">
        <f>IFERROR(INDEX(Data!O$9:O$1273,MATCH($M170,Data!$K$9:$K$1273,0)),"")</f>
        <v/>
      </c>
      <c r="R170" s="224" t="str">
        <f>IFERROR(INDEX(Data!P$9:P$1273,MATCH($M170,Data!$K$9:$K$1273,0)),"")</f>
        <v/>
      </c>
      <c r="S170" s="224" t="str">
        <f>IFERROR(INDEX(Data!S$9:S$1273,MATCH($M170,Data!$K$9:$K$1273,0)),"")</f>
        <v/>
      </c>
      <c r="T170" s="224" t="str">
        <f>IFERROR(INDEX(Data!T$9:T$1273,MATCH($M170,Data!$K$9:$K$1273,0)),"")</f>
        <v/>
      </c>
      <c r="U170" s="224" t="str">
        <f>IFERROR(INDEX(Data!U$9:U$1273,MATCH($M170,Data!$K$9:$K$1273,0)),"")</f>
        <v/>
      </c>
      <c r="V170" s="224" t="str">
        <f>IFERROR(INDEX(Data!V$9:V$1273,MATCH($M170,Data!$K$9:$K$1273,0)),"")</f>
        <v/>
      </c>
      <c r="W170" s="224" t="str">
        <f>IFERROR(INDEX(Data!W$9:W$1273,MATCH($M170,Data!$K$9:$K$1273,0)),"")</f>
        <v/>
      </c>
      <c r="X170" s="224" t="str">
        <f>IFERROR(INDEX(Data!AJ$9:AJ$1273,MATCH($M170,Data!$K$9:$K$1273,0)),"")</f>
        <v/>
      </c>
      <c r="Y170" s="224" t="str">
        <f>IFERROR(INDEX(Data!AK$9:AK$1273,MATCH($M170,Data!$K$9:$K$1273,0)),"")</f>
        <v/>
      </c>
      <c r="Z170" s="224" t="str">
        <f>IFERROR(INDEX(Data!AL$9:AL$1273,MATCH($M170,Data!$K$9:$K$1273,0)),"")</f>
        <v/>
      </c>
      <c r="AA170" s="224" t="str">
        <f>IFERROR(INDEX(Data!AM$9:AM$1273,MATCH($M170,Data!$K$9:$K$1273,0)),"")</f>
        <v/>
      </c>
      <c r="AB170" s="224" t="str">
        <f>IFERROR(INDEX(Data!AN$9:AN$1273,MATCH($M170,Data!$K$9:$K$1273,0)),"")</f>
        <v/>
      </c>
      <c r="AC170" s="225" t="str">
        <f>IFERROR(INDEX(Data!BY$9:BY$1273,MATCH($M170,Data!$K$9:$K$1273,0)),"")</f>
        <v/>
      </c>
      <c r="AD170" s="225" t="str">
        <f>IFERROR(INDEX(Data!BZ$9:BZ$1273,MATCH($M170,Data!$K$9:$K$1273,0)),"")</f>
        <v/>
      </c>
      <c r="AE170" s="225" t="str">
        <f>IFERROR(INDEX(Data!CA$9:CA$1273,MATCH($M170,Data!$K$9:$K$1273,0)),"")</f>
        <v/>
      </c>
      <c r="AF170" s="225" t="str">
        <f>IFERROR(INDEX(Data!CB$9:CB$1273,MATCH($M170,Data!$K$9:$K$1273,0)),"")</f>
        <v/>
      </c>
      <c r="AG170" s="225" t="str">
        <f>IFERROR(INDEX(Data!CC$9:CC$1273,MATCH($M170,Data!$K$9:$K$1273,0)),"")</f>
        <v/>
      </c>
      <c r="AH170" s="225" t="str">
        <f>IFERROR(INDEX(Data!CD$9:CD$1273,MATCH($M170,Data!$K$9:$K$1273,0)),"")</f>
        <v/>
      </c>
      <c r="AI170" s="225" t="str">
        <f>IFERROR(INDEX(Data!CE$9:CE$1273,MATCH($M170,Data!$K$9:$K$1273,0)),"")</f>
        <v/>
      </c>
      <c r="AJ170" s="225" t="str">
        <f>IFERROR(INDEX(Data!CF$9:CF$1273,MATCH($M170,Data!$K$9:$K$1273,0)),"")</f>
        <v/>
      </c>
      <c r="AK170" s="225" t="str">
        <f>IFERROR(INDEX(Data!CG$9:CG$1273,MATCH($M170,Data!$K$9:$K$1273,0)),"")</f>
        <v/>
      </c>
      <c r="AL170" s="225" t="str">
        <f>IFERROR(INDEX(Data!CH$9:CH$1273,MATCH($M170,Data!$K$9:$K$1273,0)),"")</f>
        <v/>
      </c>
      <c r="AM170" s="225" t="str">
        <f>IFERROR(INDEX(Data!CI$9:CI$1273,MATCH($M170,Data!$K$9:$K$1273,0)),"")</f>
        <v/>
      </c>
      <c r="AN170" s="225" t="str">
        <f>IFERROR(INDEX(Data!CJ$9:CJ$1273,MATCH($M170,Data!$K$9:$K$1273,0)),"")</f>
        <v/>
      </c>
      <c r="AO170" s="225" t="str">
        <f>IFERROR(INDEX(Data!CK$9:CK$1273,MATCH($M170,Data!$K$9:$K$1273,0)),"")</f>
        <v/>
      </c>
      <c r="AP170" s="225" t="str">
        <f>IFERROR(INDEX(Data!CL$9:CL$1273,MATCH($M170,Data!$K$9:$K$1273,0)),"")</f>
        <v/>
      </c>
      <c r="AQ170" s="225" t="str">
        <f>IFERROR(INDEX(Data!CM$9:CM$1273,MATCH($M170,Data!$K$9:$K$1273,0)),"")</f>
        <v/>
      </c>
      <c r="AR170" s="225" t="str">
        <f>IFERROR(INDEX(Data!CN$9:CN$1273,MATCH($M170,Data!$K$9:$K$1273,0)),"")</f>
        <v/>
      </c>
      <c r="AS170" s="225" t="str">
        <f>IFERROR(INDEX(Data!CO$9:CO$1273,MATCH($M170,Data!$K$9:$K$1273,0)),"")</f>
        <v/>
      </c>
      <c r="AT170" s="225" t="str">
        <f>IFERROR(INDEX(Data!CP$9:CP$1273,MATCH($M170,Data!$K$9:$K$1273,0)),"")</f>
        <v/>
      </c>
      <c r="AU170" s="225" t="str">
        <f>IFERROR(INDEX(Data!CQ$9:CQ$1273,MATCH($M170,Data!$K$9:$K$1273,0)),"")</f>
        <v/>
      </c>
      <c r="AV170" s="225" t="str">
        <f>IFERROR(INDEX(Data!CR$9:CR$1273,MATCH($M170,Data!$K$9:$K$1273,0)),"")</f>
        <v/>
      </c>
      <c r="AW170" s="225" t="str">
        <f>IFERROR(INDEX(Data!CS$9:CS$1273,MATCH($M170,Data!$K$9:$K$1273,0)),"")</f>
        <v/>
      </c>
      <c r="AX170" s="225" t="str">
        <f>IFERROR(INDEX(Data!CT$9:CT$1273,MATCH($M170,Data!$K$9:$K$1273,0)),"")</f>
        <v/>
      </c>
      <c r="AY170" s="225" t="str">
        <f>IFERROR(INDEX(Data!CU$9:CU$1273,MATCH($M170,Data!$K$9:$K$1273,0)),"")</f>
        <v/>
      </c>
      <c r="AZ170" s="225" t="str">
        <f>IFERROR(INDEX(Data!CV$9:CV$1273,MATCH($M170,Data!$K$9:$K$1273,0)),"")</f>
        <v/>
      </c>
      <c r="BA170" s="225" t="str">
        <f>IFERROR(INDEX(Data!CX$9:CX$1273,MATCH($M170,Data!$K$9:$K$1273,0)),"")</f>
        <v/>
      </c>
      <c r="BB170" s="225" t="str">
        <f>IFERROR(INDEX(Data!CY$9:CY$1273,MATCH($M170,Data!$K$9:$K$1273,0)),"")</f>
        <v/>
      </c>
      <c r="BC170" s="225" t="str">
        <f>IFERROR(INDEX(Data!CZ$9:CZ$1273,MATCH($M170,Data!$K$9:$K$1273,0)),"")</f>
        <v/>
      </c>
      <c r="BD170" s="225" t="str">
        <f>IFERROR(INDEX(Data!DA$9:DA$1273,MATCH($M170,Data!$K$9:$K$1273,0)),"")</f>
        <v/>
      </c>
      <c r="BE170" s="225" t="str">
        <f>IFERROR(INDEX(Data!DB$9:DB$1273,MATCH($M170,Data!$K$9:$K$1273,0)),"")</f>
        <v/>
      </c>
      <c r="BF170" s="225" t="str">
        <f>IFERROR(INDEX(Data!DC$9:DC$1273,MATCH($M170,Data!$K$9:$K$1273,0)),"")</f>
        <v/>
      </c>
      <c r="BG170" s="225" t="str">
        <f>IFERROR(INDEX(Data!DD$9:DD$1273,MATCH($M170,Data!$K$9:$K$1273,0)),"")</f>
        <v/>
      </c>
      <c r="BH170" s="225" t="str">
        <f>IFERROR(INDEX(Data!DE$9:DE$1273,MATCH($M170,Data!$K$9:$K$1273,0)),"")</f>
        <v/>
      </c>
      <c r="BI170" s="225" t="str">
        <f>IFERROR(INDEX(Data!DF$9:DF$1273,MATCH($M170,Data!$K$9:$K$1273,0)),"")</f>
        <v/>
      </c>
      <c r="BJ170" s="225" t="str">
        <f>IFERROR(INDEX(Data!DG$9:DG$1273,MATCH($M170,Data!$K$9:$K$1273,0)),"")</f>
        <v/>
      </c>
      <c r="BK170" s="225" t="str">
        <f>IFERROR(INDEX(Data!DH$9:DH$1273,MATCH($M170,Data!$K$9:$K$1273,0)),"")</f>
        <v/>
      </c>
      <c r="BL170" s="225" t="str">
        <f>IFERROR(INDEX(Data!DI$9:DI$1273,MATCH($M170,Data!$K$9:$K$1273,0)),"")</f>
        <v/>
      </c>
      <c r="BM170" s="225" t="str">
        <f>IFERROR(INDEX(Data!DJ$9:DJ$1273,MATCH($M170,Data!$K$9:$K$1273,0)),"")</f>
        <v/>
      </c>
      <c r="BN170" s="225" t="str">
        <f>IFERROR(INDEX(Data!DK$9:DK$1273,MATCH($M170,Data!$K$9:$K$1273,0)),"")</f>
        <v/>
      </c>
      <c r="BO170" s="225" t="str">
        <f>IFERROR(INDEX(Data!DL$9:DL$1273,MATCH($M170,Data!$K$9:$K$1273,0)),"")</f>
        <v/>
      </c>
      <c r="BP170" s="243" t="str">
        <f t="shared" si="17"/>
        <v/>
      </c>
      <c r="BQ170" s="225" t="str">
        <f t="shared" si="18"/>
        <v xml:space="preserve"> </v>
      </c>
      <c r="BR170" s="225" t="str">
        <f t="shared" si="19"/>
        <v/>
      </c>
      <c r="BS170" s="225" t="str">
        <f>IFERROR(INDEX(Data!$DO$9:$DO$1273,MATCH('Your recommendation'!BR170,Data!$DN$9:$DN$1273,0)),"")</f>
        <v/>
      </c>
    </row>
    <row r="171" spans="2:71" ht="15.6" customHeight="1">
      <c r="B171" s="222" t="str">
        <f t="shared" si="20"/>
        <v/>
      </c>
      <c r="C171" s="223"/>
      <c r="D171" s="225" t="str">
        <f>IFERROR(INDEX(Data!BR$9:BR$1273,MATCH($M171,Data!$K$9:$K$1273,0)),"")</f>
        <v/>
      </c>
      <c r="E171" s="225" t="str">
        <f>IFERROR(INDEX(Data!BS$9:BS$1273,MATCH($M171,Data!$K$9:$K$1273,0)),"")</f>
        <v/>
      </c>
      <c r="F171" s="225" t="str">
        <f>IFERROR(INDEX(Data!DM$9:DM$1273,MATCH($M171,Data!$K$9:$K$1273,0)),"")</f>
        <v/>
      </c>
      <c r="G171" s="225" t="str">
        <f>IFERROR(INDEX(Data!BV$9:BV$1273,MATCH($M171,Data!$K$9:$K$1273,0)),"")</f>
        <v/>
      </c>
      <c r="H171" s="225" t="str">
        <f>IFERROR(INDEX(Data!BW$9:BW$1273,MATCH($M171,Data!$K$9:$K$1273,0)),"")</f>
        <v/>
      </c>
      <c r="I171" s="225" t="str">
        <f>IFERROR(INDEX(Data!BX$9:BX$1273,MATCH($M171,Data!$K$9:$K$1273,0)),"")</f>
        <v/>
      </c>
      <c r="J171" s="225" t="str">
        <f>IFERROR(INDEX(Data!CB$9:CB$1273,MATCH($M171,Data!$K$9:$K$1273,0)),"")</f>
        <v/>
      </c>
      <c r="K171" s="241" t="str">
        <f t="shared" ref="K171:K202" si="21">IFERROR(HYPERLINK(BM171,BC171),"-")</f>
        <v/>
      </c>
      <c r="L171" s="242" t="str">
        <f t="shared" ref="L171:L202" si="22">IFERROR(IF(BB171=0,"-",BB171)," ")</f>
        <v/>
      </c>
      <c r="M171" s="224"/>
      <c r="N171" s="224"/>
      <c r="O171" s="224" t="str">
        <f>IFERROR(INDEX(Data!M$9:M$1273,MATCH($M171,Data!$K$9:$K$1273,0)),"")</f>
        <v/>
      </c>
      <c r="P171" s="224" t="str">
        <f>IFERROR(INDEX(Data!N$9:N$1273,MATCH($M171,Data!$K$9:$K$1273,0)),"")</f>
        <v/>
      </c>
      <c r="Q171" s="224" t="str">
        <f>IFERROR(INDEX(Data!O$9:O$1273,MATCH($M171,Data!$K$9:$K$1273,0)),"")</f>
        <v/>
      </c>
      <c r="R171" s="224" t="str">
        <f>IFERROR(INDEX(Data!P$9:P$1273,MATCH($M171,Data!$K$9:$K$1273,0)),"")</f>
        <v/>
      </c>
      <c r="S171" s="224" t="str">
        <f>IFERROR(INDEX(Data!S$9:S$1273,MATCH($M171,Data!$K$9:$K$1273,0)),"")</f>
        <v/>
      </c>
      <c r="T171" s="224" t="str">
        <f>IFERROR(INDEX(Data!T$9:T$1273,MATCH($M171,Data!$K$9:$K$1273,0)),"")</f>
        <v/>
      </c>
      <c r="U171" s="224" t="str">
        <f>IFERROR(INDEX(Data!U$9:U$1273,MATCH($M171,Data!$K$9:$K$1273,0)),"")</f>
        <v/>
      </c>
      <c r="V171" s="224" t="str">
        <f>IFERROR(INDEX(Data!V$9:V$1273,MATCH($M171,Data!$K$9:$K$1273,0)),"")</f>
        <v/>
      </c>
      <c r="W171" s="224" t="str">
        <f>IFERROR(INDEX(Data!W$9:W$1273,MATCH($M171,Data!$K$9:$K$1273,0)),"")</f>
        <v/>
      </c>
      <c r="X171" s="224" t="str">
        <f>IFERROR(INDEX(Data!AJ$9:AJ$1273,MATCH($M171,Data!$K$9:$K$1273,0)),"")</f>
        <v/>
      </c>
      <c r="Y171" s="224" t="str">
        <f>IFERROR(INDEX(Data!AK$9:AK$1273,MATCH($M171,Data!$K$9:$K$1273,0)),"")</f>
        <v/>
      </c>
      <c r="Z171" s="224" t="str">
        <f>IFERROR(INDEX(Data!AL$9:AL$1273,MATCH($M171,Data!$K$9:$K$1273,0)),"")</f>
        <v/>
      </c>
      <c r="AA171" s="224" t="str">
        <f>IFERROR(INDEX(Data!AM$9:AM$1273,MATCH($M171,Data!$K$9:$K$1273,0)),"")</f>
        <v/>
      </c>
      <c r="AB171" s="224" t="str">
        <f>IFERROR(INDEX(Data!AN$9:AN$1273,MATCH($M171,Data!$K$9:$K$1273,0)),"")</f>
        <v/>
      </c>
      <c r="AC171" s="225" t="str">
        <f>IFERROR(INDEX(Data!BY$9:BY$1273,MATCH($M171,Data!$K$9:$K$1273,0)),"")</f>
        <v/>
      </c>
      <c r="AD171" s="225" t="str">
        <f>IFERROR(INDEX(Data!BZ$9:BZ$1273,MATCH($M171,Data!$K$9:$K$1273,0)),"")</f>
        <v/>
      </c>
      <c r="AE171" s="225" t="str">
        <f>IFERROR(INDEX(Data!CA$9:CA$1273,MATCH($M171,Data!$K$9:$K$1273,0)),"")</f>
        <v/>
      </c>
      <c r="AF171" s="225" t="str">
        <f>IFERROR(INDEX(Data!CB$9:CB$1273,MATCH($M171,Data!$K$9:$K$1273,0)),"")</f>
        <v/>
      </c>
      <c r="AG171" s="225" t="str">
        <f>IFERROR(INDEX(Data!CC$9:CC$1273,MATCH($M171,Data!$K$9:$K$1273,0)),"")</f>
        <v/>
      </c>
      <c r="AH171" s="225" t="str">
        <f>IFERROR(INDEX(Data!CD$9:CD$1273,MATCH($M171,Data!$K$9:$K$1273,0)),"")</f>
        <v/>
      </c>
      <c r="AI171" s="225" t="str">
        <f>IFERROR(INDEX(Data!CE$9:CE$1273,MATCH($M171,Data!$K$9:$K$1273,0)),"")</f>
        <v/>
      </c>
      <c r="AJ171" s="225" t="str">
        <f>IFERROR(INDEX(Data!CF$9:CF$1273,MATCH($M171,Data!$K$9:$K$1273,0)),"")</f>
        <v/>
      </c>
      <c r="AK171" s="225" t="str">
        <f>IFERROR(INDEX(Data!CG$9:CG$1273,MATCH($M171,Data!$K$9:$K$1273,0)),"")</f>
        <v/>
      </c>
      <c r="AL171" s="225" t="str">
        <f>IFERROR(INDEX(Data!CH$9:CH$1273,MATCH($M171,Data!$K$9:$K$1273,0)),"")</f>
        <v/>
      </c>
      <c r="AM171" s="225" t="str">
        <f>IFERROR(INDEX(Data!CI$9:CI$1273,MATCH($M171,Data!$K$9:$K$1273,0)),"")</f>
        <v/>
      </c>
      <c r="AN171" s="225" t="str">
        <f>IFERROR(INDEX(Data!CJ$9:CJ$1273,MATCH($M171,Data!$K$9:$K$1273,0)),"")</f>
        <v/>
      </c>
      <c r="AO171" s="225" t="str">
        <f>IFERROR(INDEX(Data!CK$9:CK$1273,MATCH($M171,Data!$K$9:$K$1273,0)),"")</f>
        <v/>
      </c>
      <c r="AP171" s="225" t="str">
        <f>IFERROR(INDEX(Data!CL$9:CL$1273,MATCH($M171,Data!$K$9:$K$1273,0)),"")</f>
        <v/>
      </c>
      <c r="AQ171" s="225" t="str">
        <f>IFERROR(INDEX(Data!CM$9:CM$1273,MATCH($M171,Data!$K$9:$K$1273,0)),"")</f>
        <v/>
      </c>
      <c r="AR171" s="225" t="str">
        <f>IFERROR(INDEX(Data!CN$9:CN$1273,MATCH($M171,Data!$K$9:$K$1273,0)),"")</f>
        <v/>
      </c>
      <c r="AS171" s="225" t="str">
        <f>IFERROR(INDEX(Data!CO$9:CO$1273,MATCH($M171,Data!$K$9:$K$1273,0)),"")</f>
        <v/>
      </c>
      <c r="AT171" s="225" t="str">
        <f>IFERROR(INDEX(Data!CP$9:CP$1273,MATCH($M171,Data!$K$9:$K$1273,0)),"")</f>
        <v/>
      </c>
      <c r="AU171" s="225" t="str">
        <f>IFERROR(INDEX(Data!CQ$9:CQ$1273,MATCH($M171,Data!$K$9:$K$1273,0)),"")</f>
        <v/>
      </c>
      <c r="AV171" s="225" t="str">
        <f>IFERROR(INDEX(Data!CR$9:CR$1273,MATCH($M171,Data!$K$9:$K$1273,0)),"")</f>
        <v/>
      </c>
      <c r="AW171" s="225" t="str">
        <f>IFERROR(INDEX(Data!CS$9:CS$1273,MATCH($M171,Data!$K$9:$K$1273,0)),"")</f>
        <v/>
      </c>
      <c r="AX171" s="225" t="str">
        <f>IFERROR(INDEX(Data!CT$9:CT$1273,MATCH($M171,Data!$K$9:$K$1273,0)),"")</f>
        <v/>
      </c>
      <c r="AY171" s="225" t="str">
        <f>IFERROR(INDEX(Data!CU$9:CU$1273,MATCH($M171,Data!$K$9:$K$1273,0)),"")</f>
        <v/>
      </c>
      <c r="AZ171" s="225" t="str">
        <f>IFERROR(INDEX(Data!CV$9:CV$1273,MATCH($M171,Data!$K$9:$K$1273,0)),"")</f>
        <v/>
      </c>
      <c r="BA171" s="225" t="str">
        <f>IFERROR(INDEX(Data!CX$9:CX$1273,MATCH($M171,Data!$K$9:$K$1273,0)),"")</f>
        <v/>
      </c>
      <c r="BB171" s="225" t="str">
        <f>IFERROR(INDEX(Data!CY$9:CY$1273,MATCH($M171,Data!$K$9:$K$1273,0)),"")</f>
        <v/>
      </c>
      <c r="BC171" s="225" t="str">
        <f>IFERROR(INDEX(Data!CZ$9:CZ$1273,MATCH($M171,Data!$K$9:$K$1273,0)),"")</f>
        <v/>
      </c>
      <c r="BD171" s="225" t="str">
        <f>IFERROR(INDEX(Data!DA$9:DA$1273,MATCH($M171,Data!$K$9:$K$1273,0)),"")</f>
        <v/>
      </c>
      <c r="BE171" s="225" t="str">
        <f>IFERROR(INDEX(Data!DB$9:DB$1273,MATCH($M171,Data!$K$9:$K$1273,0)),"")</f>
        <v/>
      </c>
      <c r="BF171" s="225" t="str">
        <f>IFERROR(INDEX(Data!DC$9:DC$1273,MATCH($M171,Data!$K$9:$K$1273,0)),"")</f>
        <v/>
      </c>
      <c r="BG171" s="225" t="str">
        <f>IFERROR(INDEX(Data!DD$9:DD$1273,MATCH($M171,Data!$K$9:$K$1273,0)),"")</f>
        <v/>
      </c>
      <c r="BH171" s="225" t="str">
        <f>IFERROR(INDEX(Data!DE$9:DE$1273,MATCH($M171,Data!$K$9:$K$1273,0)),"")</f>
        <v/>
      </c>
      <c r="BI171" s="225" t="str">
        <f>IFERROR(INDEX(Data!DF$9:DF$1273,MATCH($M171,Data!$K$9:$K$1273,0)),"")</f>
        <v/>
      </c>
      <c r="BJ171" s="225" t="str">
        <f>IFERROR(INDEX(Data!DG$9:DG$1273,MATCH($M171,Data!$K$9:$K$1273,0)),"")</f>
        <v/>
      </c>
      <c r="BK171" s="225" t="str">
        <f>IFERROR(INDEX(Data!DH$9:DH$1273,MATCH($M171,Data!$K$9:$K$1273,0)),"")</f>
        <v/>
      </c>
      <c r="BL171" s="225" t="str">
        <f>IFERROR(INDEX(Data!DI$9:DI$1273,MATCH($M171,Data!$K$9:$K$1273,0)),"")</f>
        <v/>
      </c>
      <c r="BM171" s="225" t="str">
        <f>IFERROR(INDEX(Data!DJ$9:DJ$1273,MATCH($M171,Data!$K$9:$K$1273,0)),"")</f>
        <v/>
      </c>
      <c r="BN171" s="225" t="str">
        <f>IFERROR(INDEX(Data!DK$9:DK$1273,MATCH($M171,Data!$K$9:$K$1273,0)),"")</f>
        <v/>
      </c>
      <c r="BO171" s="225" t="str">
        <f>IFERROR(INDEX(Data!DL$9:DL$1273,MATCH($M171,Data!$K$9:$K$1273,0)),"")</f>
        <v/>
      </c>
      <c r="BP171" s="243" t="str">
        <f t="shared" ref="BP171:BP202" si="23">IFERROR(IF(BK171=0,"-",BK171),"")</f>
        <v/>
      </c>
      <c r="BQ171" s="225" t="str">
        <f t="shared" ref="BQ171:BQ202" si="24">IFERROR(IF(BP171-K171&gt;0,TRUE,FALSE)," ")</f>
        <v xml:space="preserve"> </v>
      </c>
      <c r="BR171" s="225" t="str">
        <f t="shared" ref="BR171:BR202" si="25">_xlfn.CONCAT(E171,F171,H171,G171)</f>
        <v/>
      </c>
      <c r="BS171" s="225" t="str">
        <f>IFERROR(INDEX(Data!$DO$9:$DO$1273,MATCH('Your recommendation'!BR171,Data!$DN$9:$DN$1273,0)),"")</f>
        <v/>
      </c>
    </row>
    <row r="172" spans="2:71" ht="15.6" customHeight="1">
      <c r="B172" s="222" t="str">
        <f t="shared" ref="B172:B203" si="26">IF(C172&gt;0,B171+1,"")</f>
        <v/>
      </c>
      <c r="C172" s="223"/>
      <c r="D172" s="225" t="str">
        <f>IFERROR(INDEX(Data!BR$9:BR$1273,MATCH($M172,Data!$K$9:$K$1273,0)),"")</f>
        <v/>
      </c>
      <c r="E172" s="225" t="str">
        <f>IFERROR(INDEX(Data!BS$9:BS$1273,MATCH($M172,Data!$K$9:$K$1273,0)),"")</f>
        <v/>
      </c>
      <c r="F172" s="225" t="str">
        <f>IFERROR(INDEX(Data!DM$9:DM$1273,MATCH($M172,Data!$K$9:$K$1273,0)),"")</f>
        <v/>
      </c>
      <c r="G172" s="225" t="str">
        <f>IFERROR(INDEX(Data!BV$9:BV$1273,MATCH($M172,Data!$K$9:$K$1273,0)),"")</f>
        <v/>
      </c>
      <c r="H172" s="225" t="str">
        <f>IFERROR(INDEX(Data!BW$9:BW$1273,MATCH($M172,Data!$K$9:$K$1273,0)),"")</f>
        <v/>
      </c>
      <c r="I172" s="225" t="str">
        <f>IFERROR(INDEX(Data!BX$9:BX$1273,MATCH($M172,Data!$K$9:$K$1273,0)),"")</f>
        <v/>
      </c>
      <c r="J172" s="225" t="str">
        <f>IFERROR(INDEX(Data!CB$9:CB$1273,MATCH($M172,Data!$K$9:$K$1273,0)),"")</f>
        <v/>
      </c>
      <c r="K172" s="241" t="str">
        <f t="shared" si="21"/>
        <v/>
      </c>
      <c r="L172" s="242" t="str">
        <f t="shared" si="22"/>
        <v/>
      </c>
      <c r="M172" s="224"/>
      <c r="N172" s="224"/>
      <c r="O172" s="224" t="str">
        <f>IFERROR(INDEX(Data!M$9:M$1273,MATCH($M172,Data!$K$9:$K$1273,0)),"")</f>
        <v/>
      </c>
      <c r="P172" s="224" t="str">
        <f>IFERROR(INDEX(Data!N$9:N$1273,MATCH($M172,Data!$K$9:$K$1273,0)),"")</f>
        <v/>
      </c>
      <c r="Q172" s="224" t="str">
        <f>IFERROR(INDEX(Data!O$9:O$1273,MATCH($M172,Data!$K$9:$K$1273,0)),"")</f>
        <v/>
      </c>
      <c r="R172" s="224" t="str">
        <f>IFERROR(INDEX(Data!P$9:P$1273,MATCH($M172,Data!$K$9:$K$1273,0)),"")</f>
        <v/>
      </c>
      <c r="S172" s="224" t="str">
        <f>IFERROR(INDEX(Data!S$9:S$1273,MATCH($M172,Data!$K$9:$K$1273,0)),"")</f>
        <v/>
      </c>
      <c r="T172" s="224" t="str">
        <f>IFERROR(INDEX(Data!T$9:T$1273,MATCH($M172,Data!$K$9:$K$1273,0)),"")</f>
        <v/>
      </c>
      <c r="U172" s="224" t="str">
        <f>IFERROR(INDEX(Data!U$9:U$1273,MATCH($M172,Data!$K$9:$K$1273,0)),"")</f>
        <v/>
      </c>
      <c r="V172" s="224" t="str">
        <f>IFERROR(INDEX(Data!V$9:V$1273,MATCH($M172,Data!$K$9:$K$1273,0)),"")</f>
        <v/>
      </c>
      <c r="W172" s="224" t="str">
        <f>IFERROR(INDEX(Data!W$9:W$1273,MATCH($M172,Data!$K$9:$K$1273,0)),"")</f>
        <v/>
      </c>
      <c r="X172" s="224" t="str">
        <f>IFERROR(INDEX(Data!AJ$9:AJ$1273,MATCH($M172,Data!$K$9:$K$1273,0)),"")</f>
        <v/>
      </c>
      <c r="Y172" s="224" t="str">
        <f>IFERROR(INDEX(Data!AK$9:AK$1273,MATCH($M172,Data!$K$9:$K$1273,0)),"")</f>
        <v/>
      </c>
      <c r="Z172" s="224" t="str">
        <f>IFERROR(INDEX(Data!AL$9:AL$1273,MATCH($M172,Data!$K$9:$K$1273,0)),"")</f>
        <v/>
      </c>
      <c r="AA172" s="224" t="str">
        <f>IFERROR(INDEX(Data!AM$9:AM$1273,MATCH($M172,Data!$K$9:$K$1273,0)),"")</f>
        <v/>
      </c>
      <c r="AB172" s="224" t="str">
        <f>IFERROR(INDEX(Data!AN$9:AN$1273,MATCH($M172,Data!$K$9:$K$1273,0)),"")</f>
        <v/>
      </c>
      <c r="AC172" s="225" t="str">
        <f>IFERROR(INDEX(Data!BY$9:BY$1273,MATCH($M172,Data!$K$9:$K$1273,0)),"")</f>
        <v/>
      </c>
      <c r="AD172" s="225" t="str">
        <f>IFERROR(INDEX(Data!BZ$9:BZ$1273,MATCH($M172,Data!$K$9:$K$1273,0)),"")</f>
        <v/>
      </c>
      <c r="AE172" s="225" t="str">
        <f>IFERROR(INDEX(Data!CA$9:CA$1273,MATCH($M172,Data!$K$9:$K$1273,0)),"")</f>
        <v/>
      </c>
      <c r="AF172" s="225" t="str">
        <f>IFERROR(INDEX(Data!CB$9:CB$1273,MATCH($M172,Data!$K$9:$K$1273,0)),"")</f>
        <v/>
      </c>
      <c r="AG172" s="225" t="str">
        <f>IFERROR(INDEX(Data!CC$9:CC$1273,MATCH($M172,Data!$K$9:$K$1273,0)),"")</f>
        <v/>
      </c>
      <c r="AH172" s="225" t="str">
        <f>IFERROR(INDEX(Data!CD$9:CD$1273,MATCH($M172,Data!$K$9:$K$1273,0)),"")</f>
        <v/>
      </c>
      <c r="AI172" s="225" t="str">
        <f>IFERROR(INDEX(Data!CE$9:CE$1273,MATCH($M172,Data!$K$9:$K$1273,0)),"")</f>
        <v/>
      </c>
      <c r="AJ172" s="225" t="str">
        <f>IFERROR(INDEX(Data!CF$9:CF$1273,MATCH($M172,Data!$K$9:$K$1273,0)),"")</f>
        <v/>
      </c>
      <c r="AK172" s="225" t="str">
        <f>IFERROR(INDEX(Data!CG$9:CG$1273,MATCH($M172,Data!$K$9:$K$1273,0)),"")</f>
        <v/>
      </c>
      <c r="AL172" s="225" t="str">
        <f>IFERROR(INDEX(Data!CH$9:CH$1273,MATCH($M172,Data!$K$9:$K$1273,0)),"")</f>
        <v/>
      </c>
      <c r="AM172" s="225" t="str">
        <f>IFERROR(INDEX(Data!CI$9:CI$1273,MATCH($M172,Data!$K$9:$K$1273,0)),"")</f>
        <v/>
      </c>
      <c r="AN172" s="225" t="str">
        <f>IFERROR(INDEX(Data!CJ$9:CJ$1273,MATCH($M172,Data!$K$9:$K$1273,0)),"")</f>
        <v/>
      </c>
      <c r="AO172" s="225" t="str">
        <f>IFERROR(INDEX(Data!CK$9:CK$1273,MATCH($M172,Data!$K$9:$K$1273,0)),"")</f>
        <v/>
      </c>
      <c r="AP172" s="225" t="str">
        <f>IFERROR(INDEX(Data!CL$9:CL$1273,MATCH($M172,Data!$K$9:$K$1273,0)),"")</f>
        <v/>
      </c>
      <c r="AQ172" s="225" t="str">
        <f>IFERROR(INDEX(Data!CM$9:CM$1273,MATCH($M172,Data!$K$9:$K$1273,0)),"")</f>
        <v/>
      </c>
      <c r="AR172" s="225" t="str">
        <f>IFERROR(INDEX(Data!CN$9:CN$1273,MATCH($M172,Data!$K$9:$K$1273,0)),"")</f>
        <v/>
      </c>
      <c r="AS172" s="225" t="str">
        <f>IFERROR(INDEX(Data!CO$9:CO$1273,MATCH($M172,Data!$K$9:$K$1273,0)),"")</f>
        <v/>
      </c>
      <c r="AT172" s="225" t="str">
        <f>IFERROR(INDEX(Data!CP$9:CP$1273,MATCH($M172,Data!$K$9:$K$1273,0)),"")</f>
        <v/>
      </c>
      <c r="AU172" s="225" t="str">
        <f>IFERROR(INDEX(Data!CQ$9:CQ$1273,MATCH($M172,Data!$K$9:$K$1273,0)),"")</f>
        <v/>
      </c>
      <c r="AV172" s="225" t="str">
        <f>IFERROR(INDEX(Data!CR$9:CR$1273,MATCH($M172,Data!$K$9:$K$1273,0)),"")</f>
        <v/>
      </c>
      <c r="AW172" s="225" t="str">
        <f>IFERROR(INDEX(Data!CS$9:CS$1273,MATCH($M172,Data!$K$9:$K$1273,0)),"")</f>
        <v/>
      </c>
      <c r="AX172" s="225" t="str">
        <f>IFERROR(INDEX(Data!CT$9:CT$1273,MATCH($M172,Data!$K$9:$K$1273,0)),"")</f>
        <v/>
      </c>
      <c r="AY172" s="225" t="str">
        <f>IFERROR(INDEX(Data!CU$9:CU$1273,MATCH($M172,Data!$K$9:$K$1273,0)),"")</f>
        <v/>
      </c>
      <c r="AZ172" s="225" t="str">
        <f>IFERROR(INDEX(Data!CV$9:CV$1273,MATCH($M172,Data!$K$9:$K$1273,0)),"")</f>
        <v/>
      </c>
      <c r="BA172" s="225" t="str">
        <f>IFERROR(INDEX(Data!CX$9:CX$1273,MATCH($M172,Data!$K$9:$K$1273,0)),"")</f>
        <v/>
      </c>
      <c r="BB172" s="225" t="str">
        <f>IFERROR(INDEX(Data!CY$9:CY$1273,MATCH($M172,Data!$K$9:$K$1273,0)),"")</f>
        <v/>
      </c>
      <c r="BC172" s="225" t="str">
        <f>IFERROR(INDEX(Data!CZ$9:CZ$1273,MATCH($M172,Data!$K$9:$K$1273,0)),"")</f>
        <v/>
      </c>
      <c r="BD172" s="225" t="str">
        <f>IFERROR(INDEX(Data!DA$9:DA$1273,MATCH($M172,Data!$K$9:$K$1273,0)),"")</f>
        <v/>
      </c>
      <c r="BE172" s="225" t="str">
        <f>IFERROR(INDEX(Data!DB$9:DB$1273,MATCH($M172,Data!$K$9:$K$1273,0)),"")</f>
        <v/>
      </c>
      <c r="BF172" s="225" t="str">
        <f>IFERROR(INDEX(Data!DC$9:DC$1273,MATCH($M172,Data!$K$9:$K$1273,0)),"")</f>
        <v/>
      </c>
      <c r="BG172" s="225" t="str">
        <f>IFERROR(INDEX(Data!DD$9:DD$1273,MATCH($M172,Data!$K$9:$K$1273,0)),"")</f>
        <v/>
      </c>
      <c r="BH172" s="225" t="str">
        <f>IFERROR(INDEX(Data!DE$9:DE$1273,MATCH($M172,Data!$K$9:$K$1273,0)),"")</f>
        <v/>
      </c>
      <c r="BI172" s="225" t="str">
        <f>IFERROR(INDEX(Data!DF$9:DF$1273,MATCH($M172,Data!$K$9:$K$1273,0)),"")</f>
        <v/>
      </c>
      <c r="BJ172" s="225" t="str">
        <f>IFERROR(INDEX(Data!DG$9:DG$1273,MATCH($M172,Data!$K$9:$K$1273,0)),"")</f>
        <v/>
      </c>
      <c r="BK172" s="225" t="str">
        <f>IFERROR(INDEX(Data!DH$9:DH$1273,MATCH($M172,Data!$K$9:$K$1273,0)),"")</f>
        <v/>
      </c>
      <c r="BL172" s="225" t="str">
        <f>IFERROR(INDEX(Data!DI$9:DI$1273,MATCH($M172,Data!$K$9:$K$1273,0)),"")</f>
        <v/>
      </c>
      <c r="BM172" s="225" t="str">
        <f>IFERROR(INDEX(Data!DJ$9:DJ$1273,MATCH($M172,Data!$K$9:$K$1273,0)),"")</f>
        <v/>
      </c>
      <c r="BN172" s="225" t="str">
        <f>IFERROR(INDEX(Data!DK$9:DK$1273,MATCH($M172,Data!$K$9:$K$1273,0)),"")</f>
        <v/>
      </c>
      <c r="BO172" s="225" t="str">
        <f>IFERROR(INDEX(Data!DL$9:DL$1273,MATCH($M172,Data!$K$9:$K$1273,0)),"")</f>
        <v/>
      </c>
      <c r="BP172" s="243" t="str">
        <f t="shared" si="23"/>
        <v/>
      </c>
      <c r="BQ172" s="225" t="str">
        <f t="shared" si="24"/>
        <v xml:space="preserve"> </v>
      </c>
      <c r="BR172" s="225" t="str">
        <f t="shared" si="25"/>
        <v/>
      </c>
      <c r="BS172" s="225" t="str">
        <f>IFERROR(INDEX(Data!$DO$9:$DO$1273,MATCH('Your recommendation'!BR172,Data!$DN$9:$DN$1273,0)),"")</f>
        <v/>
      </c>
    </row>
    <row r="173" spans="2:71" ht="15.6" customHeight="1">
      <c r="B173" s="222" t="str">
        <f t="shared" si="26"/>
        <v/>
      </c>
      <c r="C173" s="223"/>
      <c r="D173" s="225" t="str">
        <f>IFERROR(INDEX(Data!BR$9:BR$1273,MATCH($M173,Data!$K$9:$K$1273,0)),"")</f>
        <v/>
      </c>
      <c r="E173" s="225" t="str">
        <f>IFERROR(INDEX(Data!BS$9:BS$1273,MATCH($M173,Data!$K$9:$K$1273,0)),"")</f>
        <v/>
      </c>
      <c r="F173" s="225" t="str">
        <f>IFERROR(INDEX(Data!DM$9:DM$1273,MATCH($M173,Data!$K$9:$K$1273,0)),"")</f>
        <v/>
      </c>
      <c r="G173" s="225" t="str">
        <f>IFERROR(INDEX(Data!BV$9:BV$1273,MATCH($M173,Data!$K$9:$K$1273,0)),"")</f>
        <v/>
      </c>
      <c r="H173" s="225" t="str">
        <f>IFERROR(INDEX(Data!BW$9:BW$1273,MATCH($M173,Data!$K$9:$K$1273,0)),"")</f>
        <v/>
      </c>
      <c r="I173" s="225" t="str">
        <f>IFERROR(INDEX(Data!BX$9:BX$1273,MATCH($M173,Data!$K$9:$K$1273,0)),"")</f>
        <v/>
      </c>
      <c r="J173" s="225" t="str">
        <f>IFERROR(INDEX(Data!CB$9:CB$1273,MATCH($M173,Data!$K$9:$K$1273,0)),"")</f>
        <v/>
      </c>
      <c r="K173" s="241" t="str">
        <f t="shared" si="21"/>
        <v/>
      </c>
      <c r="L173" s="242" t="str">
        <f t="shared" si="22"/>
        <v/>
      </c>
      <c r="M173" s="224"/>
      <c r="N173" s="224"/>
      <c r="O173" s="224" t="str">
        <f>IFERROR(INDEX(Data!M$9:M$1273,MATCH($M173,Data!$K$9:$K$1273,0)),"")</f>
        <v/>
      </c>
      <c r="P173" s="224" t="str">
        <f>IFERROR(INDEX(Data!N$9:N$1273,MATCH($M173,Data!$K$9:$K$1273,0)),"")</f>
        <v/>
      </c>
      <c r="Q173" s="224" t="str">
        <f>IFERROR(INDEX(Data!O$9:O$1273,MATCH($M173,Data!$K$9:$K$1273,0)),"")</f>
        <v/>
      </c>
      <c r="R173" s="224" t="str">
        <f>IFERROR(INDEX(Data!P$9:P$1273,MATCH($M173,Data!$K$9:$K$1273,0)),"")</f>
        <v/>
      </c>
      <c r="S173" s="224" t="str">
        <f>IFERROR(INDEX(Data!S$9:S$1273,MATCH($M173,Data!$K$9:$K$1273,0)),"")</f>
        <v/>
      </c>
      <c r="T173" s="224" t="str">
        <f>IFERROR(INDEX(Data!T$9:T$1273,MATCH($M173,Data!$K$9:$K$1273,0)),"")</f>
        <v/>
      </c>
      <c r="U173" s="224" t="str">
        <f>IFERROR(INDEX(Data!U$9:U$1273,MATCH($M173,Data!$K$9:$K$1273,0)),"")</f>
        <v/>
      </c>
      <c r="V173" s="224" t="str">
        <f>IFERROR(INDEX(Data!V$9:V$1273,MATCH($M173,Data!$K$9:$K$1273,0)),"")</f>
        <v/>
      </c>
      <c r="W173" s="224" t="str">
        <f>IFERROR(INDEX(Data!W$9:W$1273,MATCH($M173,Data!$K$9:$K$1273,0)),"")</f>
        <v/>
      </c>
      <c r="X173" s="224" t="str">
        <f>IFERROR(INDEX(Data!AJ$9:AJ$1273,MATCH($M173,Data!$K$9:$K$1273,0)),"")</f>
        <v/>
      </c>
      <c r="Y173" s="224" t="str">
        <f>IFERROR(INDEX(Data!AK$9:AK$1273,MATCH($M173,Data!$K$9:$K$1273,0)),"")</f>
        <v/>
      </c>
      <c r="Z173" s="224" t="str">
        <f>IFERROR(INDEX(Data!AL$9:AL$1273,MATCH($M173,Data!$K$9:$K$1273,0)),"")</f>
        <v/>
      </c>
      <c r="AA173" s="224" t="str">
        <f>IFERROR(INDEX(Data!AM$9:AM$1273,MATCH($M173,Data!$K$9:$K$1273,0)),"")</f>
        <v/>
      </c>
      <c r="AB173" s="224" t="str">
        <f>IFERROR(INDEX(Data!AN$9:AN$1273,MATCH($M173,Data!$K$9:$K$1273,0)),"")</f>
        <v/>
      </c>
      <c r="AC173" s="225" t="str">
        <f>IFERROR(INDEX(Data!BY$9:BY$1273,MATCH($M173,Data!$K$9:$K$1273,0)),"")</f>
        <v/>
      </c>
      <c r="AD173" s="225" t="str">
        <f>IFERROR(INDEX(Data!BZ$9:BZ$1273,MATCH($M173,Data!$K$9:$K$1273,0)),"")</f>
        <v/>
      </c>
      <c r="AE173" s="225" t="str">
        <f>IFERROR(INDEX(Data!CA$9:CA$1273,MATCH($M173,Data!$K$9:$K$1273,0)),"")</f>
        <v/>
      </c>
      <c r="AF173" s="225" t="str">
        <f>IFERROR(INDEX(Data!CB$9:CB$1273,MATCH($M173,Data!$K$9:$K$1273,0)),"")</f>
        <v/>
      </c>
      <c r="AG173" s="225" t="str">
        <f>IFERROR(INDEX(Data!CC$9:CC$1273,MATCH($M173,Data!$K$9:$K$1273,0)),"")</f>
        <v/>
      </c>
      <c r="AH173" s="225" t="str">
        <f>IFERROR(INDEX(Data!CD$9:CD$1273,MATCH($M173,Data!$K$9:$K$1273,0)),"")</f>
        <v/>
      </c>
      <c r="AI173" s="225" t="str">
        <f>IFERROR(INDEX(Data!CE$9:CE$1273,MATCH($M173,Data!$K$9:$K$1273,0)),"")</f>
        <v/>
      </c>
      <c r="AJ173" s="225" t="str">
        <f>IFERROR(INDEX(Data!CF$9:CF$1273,MATCH($M173,Data!$K$9:$K$1273,0)),"")</f>
        <v/>
      </c>
      <c r="AK173" s="225" t="str">
        <f>IFERROR(INDEX(Data!CG$9:CG$1273,MATCH($M173,Data!$K$9:$K$1273,0)),"")</f>
        <v/>
      </c>
      <c r="AL173" s="225" t="str">
        <f>IFERROR(INDEX(Data!CH$9:CH$1273,MATCH($M173,Data!$K$9:$K$1273,0)),"")</f>
        <v/>
      </c>
      <c r="AM173" s="225" t="str">
        <f>IFERROR(INDEX(Data!CI$9:CI$1273,MATCH($M173,Data!$K$9:$K$1273,0)),"")</f>
        <v/>
      </c>
      <c r="AN173" s="225" t="str">
        <f>IFERROR(INDEX(Data!CJ$9:CJ$1273,MATCH($M173,Data!$K$9:$K$1273,0)),"")</f>
        <v/>
      </c>
      <c r="AO173" s="225" t="str">
        <f>IFERROR(INDEX(Data!CK$9:CK$1273,MATCH($M173,Data!$K$9:$K$1273,0)),"")</f>
        <v/>
      </c>
      <c r="AP173" s="225" t="str">
        <f>IFERROR(INDEX(Data!CL$9:CL$1273,MATCH($M173,Data!$K$9:$K$1273,0)),"")</f>
        <v/>
      </c>
      <c r="AQ173" s="225" t="str">
        <f>IFERROR(INDEX(Data!CM$9:CM$1273,MATCH($M173,Data!$K$9:$K$1273,0)),"")</f>
        <v/>
      </c>
      <c r="AR173" s="225" t="str">
        <f>IFERROR(INDEX(Data!CN$9:CN$1273,MATCH($M173,Data!$K$9:$K$1273,0)),"")</f>
        <v/>
      </c>
      <c r="AS173" s="225" t="str">
        <f>IFERROR(INDEX(Data!CO$9:CO$1273,MATCH($M173,Data!$K$9:$K$1273,0)),"")</f>
        <v/>
      </c>
      <c r="AT173" s="225" t="str">
        <f>IFERROR(INDEX(Data!CP$9:CP$1273,MATCH($M173,Data!$K$9:$K$1273,0)),"")</f>
        <v/>
      </c>
      <c r="AU173" s="225" t="str">
        <f>IFERROR(INDEX(Data!CQ$9:CQ$1273,MATCH($M173,Data!$K$9:$K$1273,0)),"")</f>
        <v/>
      </c>
      <c r="AV173" s="225" t="str">
        <f>IFERROR(INDEX(Data!CR$9:CR$1273,MATCH($M173,Data!$K$9:$K$1273,0)),"")</f>
        <v/>
      </c>
      <c r="AW173" s="225" t="str">
        <f>IFERROR(INDEX(Data!CS$9:CS$1273,MATCH($M173,Data!$K$9:$K$1273,0)),"")</f>
        <v/>
      </c>
      <c r="AX173" s="225" t="str">
        <f>IFERROR(INDEX(Data!CT$9:CT$1273,MATCH($M173,Data!$K$9:$K$1273,0)),"")</f>
        <v/>
      </c>
      <c r="AY173" s="225" t="str">
        <f>IFERROR(INDEX(Data!CU$9:CU$1273,MATCH($M173,Data!$K$9:$K$1273,0)),"")</f>
        <v/>
      </c>
      <c r="AZ173" s="225" t="str">
        <f>IFERROR(INDEX(Data!CV$9:CV$1273,MATCH($M173,Data!$K$9:$K$1273,0)),"")</f>
        <v/>
      </c>
      <c r="BA173" s="225" t="str">
        <f>IFERROR(INDEX(Data!CX$9:CX$1273,MATCH($M173,Data!$K$9:$K$1273,0)),"")</f>
        <v/>
      </c>
      <c r="BB173" s="225" t="str">
        <f>IFERROR(INDEX(Data!CY$9:CY$1273,MATCH($M173,Data!$K$9:$K$1273,0)),"")</f>
        <v/>
      </c>
      <c r="BC173" s="225" t="str">
        <f>IFERROR(INDEX(Data!CZ$9:CZ$1273,MATCH($M173,Data!$K$9:$K$1273,0)),"")</f>
        <v/>
      </c>
      <c r="BD173" s="225" t="str">
        <f>IFERROR(INDEX(Data!DA$9:DA$1273,MATCH($M173,Data!$K$9:$K$1273,0)),"")</f>
        <v/>
      </c>
      <c r="BE173" s="225" t="str">
        <f>IFERROR(INDEX(Data!DB$9:DB$1273,MATCH($M173,Data!$K$9:$K$1273,0)),"")</f>
        <v/>
      </c>
      <c r="BF173" s="225" t="str">
        <f>IFERROR(INDEX(Data!DC$9:DC$1273,MATCH($M173,Data!$K$9:$K$1273,0)),"")</f>
        <v/>
      </c>
      <c r="BG173" s="225" t="str">
        <f>IFERROR(INDEX(Data!DD$9:DD$1273,MATCH($M173,Data!$K$9:$K$1273,0)),"")</f>
        <v/>
      </c>
      <c r="BH173" s="225" t="str">
        <f>IFERROR(INDEX(Data!DE$9:DE$1273,MATCH($M173,Data!$K$9:$K$1273,0)),"")</f>
        <v/>
      </c>
      <c r="BI173" s="225" t="str">
        <f>IFERROR(INDEX(Data!DF$9:DF$1273,MATCH($M173,Data!$K$9:$K$1273,0)),"")</f>
        <v/>
      </c>
      <c r="BJ173" s="225" t="str">
        <f>IFERROR(INDEX(Data!DG$9:DG$1273,MATCH($M173,Data!$K$9:$K$1273,0)),"")</f>
        <v/>
      </c>
      <c r="BK173" s="225" t="str">
        <f>IFERROR(INDEX(Data!DH$9:DH$1273,MATCH($M173,Data!$K$9:$K$1273,0)),"")</f>
        <v/>
      </c>
      <c r="BL173" s="225" t="str">
        <f>IFERROR(INDEX(Data!DI$9:DI$1273,MATCH($M173,Data!$K$9:$K$1273,0)),"")</f>
        <v/>
      </c>
      <c r="BM173" s="225" t="str">
        <f>IFERROR(INDEX(Data!DJ$9:DJ$1273,MATCH($M173,Data!$K$9:$K$1273,0)),"")</f>
        <v/>
      </c>
      <c r="BN173" s="225" t="str">
        <f>IFERROR(INDEX(Data!DK$9:DK$1273,MATCH($M173,Data!$K$9:$K$1273,0)),"")</f>
        <v/>
      </c>
      <c r="BO173" s="225" t="str">
        <f>IFERROR(INDEX(Data!DL$9:DL$1273,MATCH($M173,Data!$K$9:$K$1273,0)),"")</f>
        <v/>
      </c>
      <c r="BP173" s="243" t="str">
        <f t="shared" si="23"/>
        <v/>
      </c>
      <c r="BQ173" s="225" t="str">
        <f t="shared" si="24"/>
        <v xml:space="preserve"> </v>
      </c>
      <c r="BR173" s="225" t="str">
        <f t="shared" si="25"/>
        <v/>
      </c>
      <c r="BS173" s="225" t="str">
        <f>IFERROR(INDEX(Data!$DO$9:$DO$1273,MATCH('Your recommendation'!BR173,Data!$DN$9:$DN$1273,0)),"")</f>
        <v/>
      </c>
    </row>
    <row r="174" spans="2:71" ht="15.6" customHeight="1">
      <c r="B174" s="222" t="str">
        <f t="shared" si="26"/>
        <v/>
      </c>
      <c r="C174" s="223"/>
      <c r="D174" s="225" t="str">
        <f>IFERROR(INDEX(Data!BR$9:BR$1273,MATCH($M174,Data!$K$9:$K$1273,0)),"")</f>
        <v/>
      </c>
      <c r="E174" s="225" t="str">
        <f>IFERROR(INDEX(Data!BS$9:BS$1273,MATCH($M174,Data!$K$9:$K$1273,0)),"")</f>
        <v/>
      </c>
      <c r="F174" s="225" t="str">
        <f>IFERROR(INDEX(Data!DM$9:DM$1273,MATCH($M174,Data!$K$9:$K$1273,0)),"")</f>
        <v/>
      </c>
      <c r="G174" s="225" t="str">
        <f>IFERROR(INDEX(Data!BV$9:BV$1273,MATCH($M174,Data!$K$9:$K$1273,0)),"")</f>
        <v/>
      </c>
      <c r="H174" s="225" t="str">
        <f>IFERROR(INDEX(Data!BW$9:BW$1273,MATCH($M174,Data!$K$9:$K$1273,0)),"")</f>
        <v/>
      </c>
      <c r="I174" s="225" t="str">
        <f>IFERROR(INDEX(Data!BX$9:BX$1273,MATCH($M174,Data!$K$9:$K$1273,0)),"")</f>
        <v/>
      </c>
      <c r="J174" s="225" t="str">
        <f>IFERROR(INDEX(Data!CB$9:CB$1273,MATCH($M174,Data!$K$9:$K$1273,0)),"")</f>
        <v/>
      </c>
      <c r="K174" s="241" t="str">
        <f t="shared" si="21"/>
        <v/>
      </c>
      <c r="L174" s="242" t="str">
        <f t="shared" si="22"/>
        <v/>
      </c>
      <c r="M174" s="224"/>
      <c r="N174" s="224"/>
      <c r="O174" s="224" t="str">
        <f>IFERROR(INDEX(Data!M$9:M$1273,MATCH($M174,Data!$K$9:$K$1273,0)),"")</f>
        <v/>
      </c>
      <c r="P174" s="224" t="str">
        <f>IFERROR(INDEX(Data!N$9:N$1273,MATCH($M174,Data!$K$9:$K$1273,0)),"")</f>
        <v/>
      </c>
      <c r="Q174" s="224" t="str">
        <f>IFERROR(INDEX(Data!O$9:O$1273,MATCH($M174,Data!$K$9:$K$1273,0)),"")</f>
        <v/>
      </c>
      <c r="R174" s="224" t="str">
        <f>IFERROR(INDEX(Data!P$9:P$1273,MATCH($M174,Data!$K$9:$K$1273,0)),"")</f>
        <v/>
      </c>
      <c r="S174" s="224" t="str">
        <f>IFERROR(INDEX(Data!S$9:S$1273,MATCH($M174,Data!$K$9:$K$1273,0)),"")</f>
        <v/>
      </c>
      <c r="T174" s="224" t="str">
        <f>IFERROR(INDEX(Data!T$9:T$1273,MATCH($M174,Data!$K$9:$K$1273,0)),"")</f>
        <v/>
      </c>
      <c r="U174" s="224" t="str">
        <f>IFERROR(INDEX(Data!U$9:U$1273,MATCH($M174,Data!$K$9:$K$1273,0)),"")</f>
        <v/>
      </c>
      <c r="V174" s="224" t="str">
        <f>IFERROR(INDEX(Data!V$9:V$1273,MATCH($M174,Data!$K$9:$K$1273,0)),"")</f>
        <v/>
      </c>
      <c r="W174" s="224" t="str">
        <f>IFERROR(INDEX(Data!W$9:W$1273,MATCH($M174,Data!$K$9:$K$1273,0)),"")</f>
        <v/>
      </c>
      <c r="X174" s="224" t="str">
        <f>IFERROR(INDEX(Data!AJ$9:AJ$1273,MATCH($M174,Data!$K$9:$K$1273,0)),"")</f>
        <v/>
      </c>
      <c r="Y174" s="224" t="str">
        <f>IFERROR(INDEX(Data!AK$9:AK$1273,MATCH($M174,Data!$K$9:$K$1273,0)),"")</f>
        <v/>
      </c>
      <c r="Z174" s="224" t="str">
        <f>IFERROR(INDEX(Data!AL$9:AL$1273,MATCH($M174,Data!$K$9:$K$1273,0)),"")</f>
        <v/>
      </c>
      <c r="AA174" s="224" t="str">
        <f>IFERROR(INDEX(Data!AM$9:AM$1273,MATCH($M174,Data!$K$9:$K$1273,0)),"")</f>
        <v/>
      </c>
      <c r="AB174" s="224" t="str">
        <f>IFERROR(INDEX(Data!AN$9:AN$1273,MATCH($M174,Data!$K$9:$K$1273,0)),"")</f>
        <v/>
      </c>
      <c r="AC174" s="225" t="str">
        <f>IFERROR(INDEX(Data!BY$9:BY$1273,MATCH($M174,Data!$K$9:$K$1273,0)),"")</f>
        <v/>
      </c>
      <c r="AD174" s="225" t="str">
        <f>IFERROR(INDEX(Data!BZ$9:BZ$1273,MATCH($M174,Data!$K$9:$K$1273,0)),"")</f>
        <v/>
      </c>
      <c r="AE174" s="225" t="str">
        <f>IFERROR(INDEX(Data!CA$9:CA$1273,MATCH($M174,Data!$K$9:$K$1273,0)),"")</f>
        <v/>
      </c>
      <c r="AF174" s="225" t="str">
        <f>IFERROR(INDEX(Data!CB$9:CB$1273,MATCH($M174,Data!$K$9:$K$1273,0)),"")</f>
        <v/>
      </c>
      <c r="AG174" s="225" t="str">
        <f>IFERROR(INDEX(Data!CC$9:CC$1273,MATCH($M174,Data!$K$9:$K$1273,0)),"")</f>
        <v/>
      </c>
      <c r="AH174" s="225" t="str">
        <f>IFERROR(INDEX(Data!CD$9:CD$1273,MATCH($M174,Data!$K$9:$K$1273,0)),"")</f>
        <v/>
      </c>
      <c r="AI174" s="225" t="str">
        <f>IFERROR(INDEX(Data!CE$9:CE$1273,MATCH($M174,Data!$K$9:$K$1273,0)),"")</f>
        <v/>
      </c>
      <c r="AJ174" s="225" t="str">
        <f>IFERROR(INDEX(Data!CF$9:CF$1273,MATCH($M174,Data!$K$9:$K$1273,0)),"")</f>
        <v/>
      </c>
      <c r="AK174" s="225" t="str">
        <f>IFERROR(INDEX(Data!CG$9:CG$1273,MATCH($M174,Data!$K$9:$K$1273,0)),"")</f>
        <v/>
      </c>
      <c r="AL174" s="225" t="str">
        <f>IFERROR(INDEX(Data!CH$9:CH$1273,MATCH($M174,Data!$K$9:$K$1273,0)),"")</f>
        <v/>
      </c>
      <c r="AM174" s="225" t="str">
        <f>IFERROR(INDEX(Data!CI$9:CI$1273,MATCH($M174,Data!$K$9:$K$1273,0)),"")</f>
        <v/>
      </c>
      <c r="AN174" s="225" t="str">
        <f>IFERROR(INDEX(Data!CJ$9:CJ$1273,MATCH($M174,Data!$K$9:$K$1273,0)),"")</f>
        <v/>
      </c>
      <c r="AO174" s="225" t="str">
        <f>IFERROR(INDEX(Data!CK$9:CK$1273,MATCH($M174,Data!$K$9:$K$1273,0)),"")</f>
        <v/>
      </c>
      <c r="AP174" s="225" t="str">
        <f>IFERROR(INDEX(Data!CL$9:CL$1273,MATCH($M174,Data!$K$9:$K$1273,0)),"")</f>
        <v/>
      </c>
      <c r="AQ174" s="225" t="str">
        <f>IFERROR(INDEX(Data!CM$9:CM$1273,MATCH($M174,Data!$K$9:$K$1273,0)),"")</f>
        <v/>
      </c>
      <c r="AR174" s="225" t="str">
        <f>IFERROR(INDEX(Data!CN$9:CN$1273,MATCH($M174,Data!$K$9:$K$1273,0)),"")</f>
        <v/>
      </c>
      <c r="AS174" s="225" t="str">
        <f>IFERROR(INDEX(Data!CO$9:CO$1273,MATCH($M174,Data!$K$9:$K$1273,0)),"")</f>
        <v/>
      </c>
      <c r="AT174" s="225" t="str">
        <f>IFERROR(INDEX(Data!CP$9:CP$1273,MATCH($M174,Data!$K$9:$K$1273,0)),"")</f>
        <v/>
      </c>
      <c r="AU174" s="225" t="str">
        <f>IFERROR(INDEX(Data!CQ$9:CQ$1273,MATCH($M174,Data!$K$9:$K$1273,0)),"")</f>
        <v/>
      </c>
      <c r="AV174" s="225" t="str">
        <f>IFERROR(INDEX(Data!CR$9:CR$1273,MATCH($M174,Data!$K$9:$K$1273,0)),"")</f>
        <v/>
      </c>
      <c r="AW174" s="225" t="str">
        <f>IFERROR(INDEX(Data!CS$9:CS$1273,MATCH($M174,Data!$K$9:$K$1273,0)),"")</f>
        <v/>
      </c>
      <c r="AX174" s="225" t="str">
        <f>IFERROR(INDEX(Data!CT$9:CT$1273,MATCH($M174,Data!$K$9:$K$1273,0)),"")</f>
        <v/>
      </c>
      <c r="AY174" s="225" t="str">
        <f>IFERROR(INDEX(Data!CU$9:CU$1273,MATCH($M174,Data!$K$9:$K$1273,0)),"")</f>
        <v/>
      </c>
      <c r="AZ174" s="225" t="str">
        <f>IFERROR(INDEX(Data!CV$9:CV$1273,MATCH($M174,Data!$K$9:$K$1273,0)),"")</f>
        <v/>
      </c>
      <c r="BA174" s="225" t="str">
        <f>IFERROR(INDEX(Data!CX$9:CX$1273,MATCH($M174,Data!$K$9:$K$1273,0)),"")</f>
        <v/>
      </c>
      <c r="BB174" s="225" t="str">
        <f>IFERROR(INDEX(Data!CY$9:CY$1273,MATCH($M174,Data!$K$9:$K$1273,0)),"")</f>
        <v/>
      </c>
      <c r="BC174" s="225" t="str">
        <f>IFERROR(INDEX(Data!CZ$9:CZ$1273,MATCH($M174,Data!$K$9:$K$1273,0)),"")</f>
        <v/>
      </c>
      <c r="BD174" s="225" t="str">
        <f>IFERROR(INDEX(Data!DA$9:DA$1273,MATCH($M174,Data!$K$9:$K$1273,0)),"")</f>
        <v/>
      </c>
      <c r="BE174" s="225" t="str">
        <f>IFERROR(INDEX(Data!DB$9:DB$1273,MATCH($M174,Data!$K$9:$K$1273,0)),"")</f>
        <v/>
      </c>
      <c r="BF174" s="225" t="str">
        <f>IFERROR(INDEX(Data!DC$9:DC$1273,MATCH($M174,Data!$K$9:$K$1273,0)),"")</f>
        <v/>
      </c>
      <c r="BG174" s="225" t="str">
        <f>IFERROR(INDEX(Data!DD$9:DD$1273,MATCH($M174,Data!$K$9:$K$1273,0)),"")</f>
        <v/>
      </c>
      <c r="BH174" s="225" t="str">
        <f>IFERROR(INDEX(Data!DE$9:DE$1273,MATCH($M174,Data!$K$9:$K$1273,0)),"")</f>
        <v/>
      </c>
      <c r="BI174" s="225" t="str">
        <f>IFERROR(INDEX(Data!DF$9:DF$1273,MATCH($M174,Data!$K$9:$K$1273,0)),"")</f>
        <v/>
      </c>
      <c r="BJ174" s="225" t="str">
        <f>IFERROR(INDEX(Data!DG$9:DG$1273,MATCH($M174,Data!$K$9:$K$1273,0)),"")</f>
        <v/>
      </c>
      <c r="BK174" s="225" t="str">
        <f>IFERROR(INDEX(Data!DH$9:DH$1273,MATCH($M174,Data!$K$9:$K$1273,0)),"")</f>
        <v/>
      </c>
      <c r="BL174" s="225" t="str">
        <f>IFERROR(INDEX(Data!DI$9:DI$1273,MATCH($M174,Data!$K$9:$K$1273,0)),"")</f>
        <v/>
      </c>
      <c r="BM174" s="225" t="str">
        <f>IFERROR(INDEX(Data!DJ$9:DJ$1273,MATCH($M174,Data!$K$9:$K$1273,0)),"")</f>
        <v/>
      </c>
      <c r="BN174" s="225" t="str">
        <f>IFERROR(INDEX(Data!DK$9:DK$1273,MATCH($M174,Data!$K$9:$K$1273,0)),"")</f>
        <v/>
      </c>
      <c r="BO174" s="225" t="str">
        <f>IFERROR(INDEX(Data!DL$9:DL$1273,MATCH($M174,Data!$K$9:$K$1273,0)),"")</f>
        <v/>
      </c>
      <c r="BP174" s="243" t="str">
        <f t="shared" si="23"/>
        <v/>
      </c>
      <c r="BQ174" s="225" t="str">
        <f t="shared" si="24"/>
        <v xml:space="preserve"> </v>
      </c>
      <c r="BR174" s="225" t="str">
        <f t="shared" si="25"/>
        <v/>
      </c>
      <c r="BS174" s="225" t="str">
        <f>IFERROR(INDEX(Data!$DO$9:$DO$1273,MATCH('Your recommendation'!BR174,Data!$DN$9:$DN$1273,0)),"")</f>
        <v/>
      </c>
    </row>
    <row r="175" spans="2:71" ht="15.6" customHeight="1">
      <c r="B175" s="222" t="str">
        <f t="shared" si="26"/>
        <v/>
      </c>
      <c r="C175" s="223"/>
      <c r="D175" s="225" t="str">
        <f>IFERROR(INDEX(Data!BR$9:BR$1273,MATCH($M175,Data!$K$9:$K$1273,0)),"")</f>
        <v/>
      </c>
      <c r="E175" s="225" t="str">
        <f>IFERROR(INDEX(Data!BS$9:BS$1273,MATCH($M175,Data!$K$9:$K$1273,0)),"")</f>
        <v/>
      </c>
      <c r="F175" s="225" t="str">
        <f>IFERROR(INDEX(Data!DM$9:DM$1273,MATCH($M175,Data!$K$9:$K$1273,0)),"")</f>
        <v/>
      </c>
      <c r="G175" s="225" t="str">
        <f>IFERROR(INDEX(Data!BV$9:BV$1273,MATCH($M175,Data!$K$9:$K$1273,0)),"")</f>
        <v/>
      </c>
      <c r="H175" s="225" t="str">
        <f>IFERROR(INDEX(Data!BW$9:BW$1273,MATCH($M175,Data!$K$9:$K$1273,0)),"")</f>
        <v/>
      </c>
      <c r="I175" s="225" t="str">
        <f>IFERROR(INDEX(Data!BX$9:BX$1273,MATCH($M175,Data!$K$9:$K$1273,0)),"")</f>
        <v/>
      </c>
      <c r="J175" s="225" t="str">
        <f>IFERROR(INDEX(Data!CB$9:CB$1273,MATCH($M175,Data!$K$9:$K$1273,0)),"")</f>
        <v/>
      </c>
      <c r="K175" s="241" t="str">
        <f t="shared" si="21"/>
        <v/>
      </c>
      <c r="L175" s="242" t="str">
        <f t="shared" si="22"/>
        <v/>
      </c>
      <c r="M175" s="224"/>
      <c r="N175" s="224"/>
      <c r="O175" s="224" t="str">
        <f>IFERROR(INDEX(Data!M$9:M$1273,MATCH($M175,Data!$K$9:$K$1273,0)),"")</f>
        <v/>
      </c>
      <c r="P175" s="224" t="str">
        <f>IFERROR(INDEX(Data!N$9:N$1273,MATCH($M175,Data!$K$9:$K$1273,0)),"")</f>
        <v/>
      </c>
      <c r="Q175" s="224" t="str">
        <f>IFERROR(INDEX(Data!O$9:O$1273,MATCH($M175,Data!$K$9:$K$1273,0)),"")</f>
        <v/>
      </c>
      <c r="R175" s="224" t="str">
        <f>IFERROR(INDEX(Data!P$9:P$1273,MATCH($M175,Data!$K$9:$K$1273,0)),"")</f>
        <v/>
      </c>
      <c r="S175" s="224" t="str">
        <f>IFERROR(INDEX(Data!S$9:S$1273,MATCH($M175,Data!$K$9:$K$1273,0)),"")</f>
        <v/>
      </c>
      <c r="T175" s="224" t="str">
        <f>IFERROR(INDEX(Data!T$9:T$1273,MATCH($M175,Data!$K$9:$K$1273,0)),"")</f>
        <v/>
      </c>
      <c r="U175" s="224" t="str">
        <f>IFERROR(INDEX(Data!U$9:U$1273,MATCH($M175,Data!$K$9:$K$1273,0)),"")</f>
        <v/>
      </c>
      <c r="V175" s="224" t="str">
        <f>IFERROR(INDEX(Data!V$9:V$1273,MATCH($M175,Data!$K$9:$K$1273,0)),"")</f>
        <v/>
      </c>
      <c r="W175" s="224" t="str">
        <f>IFERROR(INDEX(Data!W$9:W$1273,MATCH($M175,Data!$K$9:$K$1273,0)),"")</f>
        <v/>
      </c>
      <c r="X175" s="224" t="str">
        <f>IFERROR(INDEX(Data!AJ$9:AJ$1273,MATCH($M175,Data!$K$9:$K$1273,0)),"")</f>
        <v/>
      </c>
      <c r="Y175" s="224" t="str">
        <f>IFERROR(INDEX(Data!AK$9:AK$1273,MATCH($M175,Data!$K$9:$K$1273,0)),"")</f>
        <v/>
      </c>
      <c r="Z175" s="224" t="str">
        <f>IFERROR(INDEX(Data!AL$9:AL$1273,MATCH($M175,Data!$K$9:$K$1273,0)),"")</f>
        <v/>
      </c>
      <c r="AA175" s="224" t="str">
        <f>IFERROR(INDEX(Data!AM$9:AM$1273,MATCH($M175,Data!$K$9:$K$1273,0)),"")</f>
        <v/>
      </c>
      <c r="AB175" s="224" t="str">
        <f>IFERROR(INDEX(Data!AN$9:AN$1273,MATCH($M175,Data!$K$9:$K$1273,0)),"")</f>
        <v/>
      </c>
      <c r="AC175" s="225" t="str">
        <f>IFERROR(INDEX(Data!BY$9:BY$1273,MATCH($M175,Data!$K$9:$K$1273,0)),"")</f>
        <v/>
      </c>
      <c r="AD175" s="225" t="str">
        <f>IFERROR(INDEX(Data!BZ$9:BZ$1273,MATCH($M175,Data!$K$9:$K$1273,0)),"")</f>
        <v/>
      </c>
      <c r="AE175" s="225" t="str">
        <f>IFERROR(INDEX(Data!CA$9:CA$1273,MATCH($M175,Data!$K$9:$K$1273,0)),"")</f>
        <v/>
      </c>
      <c r="AF175" s="225" t="str">
        <f>IFERROR(INDEX(Data!CB$9:CB$1273,MATCH($M175,Data!$K$9:$K$1273,0)),"")</f>
        <v/>
      </c>
      <c r="AG175" s="225" t="str">
        <f>IFERROR(INDEX(Data!CC$9:CC$1273,MATCH($M175,Data!$K$9:$K$1273,0)),"")</f>
        <v/>
      </c>
      <c r="AH175" s="225" t="str">
        <f>IFERROR(INDEX(Data!CD$9:CD$1273,MATCH($M175,Data!$K$9:$K$1273,0)),"")</f>
        <v/>
      </c>
      <c r="AI175" s="225" t="str">
        <f>IFERROR(INDEX(Data!CE$9:CE$1273,MATCH($M175,Data!$K$9:$K$1273,0)),"")</f>
        <v/>
      </c>
      <c r="AJ175" s="225" t="str">
        <f>IFERROR(INDEX(Data!CF$9:CF$1273,MATCH($M175,Data!$K$9:$K$1273,0)),"")</f>
        <v/>
      </c>
      <c r="AK175" s="225" t="str">
        <f>IFERROR(INDEX(Data!CG$9:CG$1273,MATCH($M175,Data!$K$9:$K$1273,0)),"")</f>
        <v/>
      </c>
      <c r="AL175" s="225" t="str">
        <f>IFERROR(INDEX(Data!CH$9:CH$1273,MATCH($M175,Data!$K$9:$K$1273,0)),"")</f>
        <v/>
      </c>
      <c r="AM175" s="225" t="str">
        <f>IFERROR(INDEX(Data!CI$9:CI$1273,MATCH($M175,Data!$K$9:$K$1273,0)),"")</f>
        <v/>
      </c>
      <c r="AN175" s="225" t="str">
        <f>IFERROR(INDEX(Data!CJ$9:CJ$1273,MATCH($M175,Data!$K$9:$K$1273,0)),"")</f>
        <v/>
      </c>
      <c r="AO175" s="225" t="str">
        <f>IFERROR(INDEX(Data!CK$9:CK$1273,MATCH($M175,Data!$K$9:$K$1273,0)),"")</f>
        <v/>
      </c>
      <c r="AP175" s="225" t="str">
        <f>IFERROR(INDEX(Data!CL$9:CL$1273,MATCH($M175,Data!$K$9:$K$1273,0)),"")</f>
        <v/>
      </c>
      <c r="AQ175" s="225" t="str">
        <f>IFERROR(INDEX(Data!CM$9:CM$1273,MATCH($M175,Data!$K$9:$K$1273,0)),"")</f>
        <v/>
      </c>
      <c r="AR175" s="225" t="str">
        <f>IFERROR(INDEX(Data!CN$9:CN$1273,MATCH($M175,Data!$K$9:$K$1273,0)),"")</f>
        <v/>
      </c>
      <c r="AS175" s="225" t="str">
        <f>IFERROR(INDEX(Data!CO$9:CO$1273,MATCH($M175,Data!$K$9:$K$1273,0)),"")</f>
        <v/>
      </c>
      <c r="AT175" s="225" t="str">
        <f>IFERROR(INDEX(Data!CP$9:CP$1273,MATCH($M175,Data!$K$9:$K$1273,0)),"")</f>
        <v/>
      </c>
      <c r="AU175" s="225" t="str">
        <f>IFERROR(INDEX(Data!CQ$9:CQ$1273,MATCH($M175,Data!$K$9:$K$1273,0)),"")</f>
        <v/>
      </c>
      <c r="AV175" s="225" t="str">
        <f>IFERROR(INDEX(Data!CR$9:CR$1273,MATCH($M175,Data!$K$9:$K$1273,0)),"")</f>
        <v/>
      </c>
      <c r="AW175" s="225" t="str">
        <f>IFERROR(INDEX(Data!CS$9:CS$1273,MATCH($M175,Data!$K$9:$K$1273,0)),"")</f>
        <v/>
      </c>
      <c r="AX175" s="225" t="str">
        <f>IFERROR(INDEX(Data!CT$9:CT$1273,MATCH($M175,Data!$K$9:$K$1273,0)),"")</f>
        <v/>
      </c>
      <c r="AY175" s="225" t="str">
        <f>IFERROR(INDEX(Data!CU$9:CU$1273,MATCH($M175,Data!$K$9:$K$1273,0)),"")</f>
        <v/>
      </c>
      <c r="AZ175" s="225" t="str">
        <f>IFERROR(INDEX(Data!CV$9:CV$1273,MATCH($M175,Data!$K$9:$K$1273,0)),"")</f>
        <v/>
      </c>
      <c r="BA175" s="225" t="str">
        <f>IFERROR(INDEX(Data!CX$9:CX$1273,MATCH($M175,Data!$K$9:$K$1273,0)),"")</f>
        <v/>
      </c>
      <c r="BB175" s="225" t="str">
        <f>IFERROR(INDEX(Data!CY$9:CY$1273,MATCH($M175,Data!$K$9:$K$1273,0)),"")</f>
        <v/>
      </c>
      <c r="BC175" s="225" t="str">
        <f>IFERROR(INDEX(Data!CZ$9:CZ$1273,MATCH($M175,Data!$K$9:$K$1273,0)),"")</f>
        <v/>
      </c>
      <c r="BD175" s="225" t="str">
        <f>IFERROR(INDEX(Data!DA$9:DA$1273,MATCH($M175,Data!$K$9:$K$1273,0)),"")</f>
        <v/>
      </c>
      <c r="BE175" s="225" t="str">
        <f>IFERROR(INDEX(Data!DB$9:DB$1273,MATCH($M175,Data!$K$9:$K$1273,0)),"")</f>
        <v/>
      </c>
      <c r="BF175" s="225" t="str">
        <f>IFERROR(INDEX(Data!DC$9:DC$1273,MATCH($M175,Data!$K$9:$K$1273,0)),"")</f>
        <v/>
      </c>
      <c r="BG175" s="225" t="str">
        <f>IFERROR(INDEX(Data!DD$9:DD$1273,MATCH($M175,Data!$K$9:$K$1273,0)),"")</f>
        <v/>
      </c>
      <c r="BH175" s="225" t="str">
        <f>IFERROR(INDEX(Data!DE$9:DE$1273,MATCH($M175,Data!$K$9:$K$1273,0)),"")</f>
        <v/>
      </c>
      <c r="BI175" s="225" t="str">
        <f>IFERROR(INDEX(Data!DF$9:DF$1273,MATCH($M175,Data!$K$9:$K$1273,0)),"")</f>
        <v/>
      </c>
      <c r="BJ175" s="225" t="str">
        <f>IFERROR(INDEX(Data!DG$9:DG$1273,MATCH($M175,Data!$K$9:$K$1273,0)),"")</f>
        <v/>
      </c>
      <c r="BK175" s="225" t="str">
        <f>IFERROR(INDEX(Data!DH$9:DH$1273,MATCH($M175,Data!$K$9:$K$1273,0)),"")</f>
        <v/>
      </c>
      <c r="BL175" s="225" t="str">
        <f>IFERROR(INDEX(Data!DI$9:DI$1273,MATCH($M175,Data!$K$9:$K$1273,0)),"")</f>
        <v/>
      </c>
      <c r="BM175" s="225" t="str">
        <f>IFERROR(INDEX(Data!DJ$9:DJ$1273,MATCH($M175,Data!$K$9:$K$1273,0)),"")</f>
        <v/>
      </c>
      <c r="BN175" s="225" t="str">
        <f>IFERROR(INDEX(Data!DK$9:DK$1273,MATCH($M175,Data!$K$9:$K$1273,0)),"")</f>
        <v/>
      </c>
      <c r="BO175" s="225" t="str">
        <f>IFERROR(INDEX(Data!DL$9:DL$1273,MATCH($M175,Data!$K$9:$K$1273,0)),"")</f>
        <v/>
      </c>
      <c r="BP175" s="243" t="str">
        <f t="shared" si="23"/>
        <v/>
      </c>
      <c r="BQ175" s="225" t="str">
        <f t="shared" si="24"/>
        <v xml:space="preserve"> </v>
      </c>
      <c r="BR175" s="225" t="str">
        <f t="shared" si="25"/>
        <v/>
      </c>
      <c r="BS175" s="225" t="str">
        <f>IFERROR(INDEX(Data!$DO$9:$DO$1273,MATCH('Your recommendation'!BR175,Data!$DN$9:$DN$1273,0)),"")</f>
        <v/>
      </c>
    </row>
    <row r="176" spans="2:71" ht="15.6" customHeight="1">
      <c r="B176" s="222" t="str">
        <f t="shared" si="26"/>
        <v/>
      </c>
      <c r="C176" s="223"/>
      <c r="D176" s="225" t="str">
        <f>IFERROR(INDEX(Data!BR$9:BR$1273,MATCH($M176,Data!$K$9:$K$1273,0)),"")</f>
        <v/>
      </c>
      <c r="E176" s="225" t="str">
        <f>IFERROR(INDEX(Data!BS$9:BS$1273,MATCH($M176,Data!$K$9:$K$1273,0)),"")</f>
        <v/>
      </c>
      <c r="F176" s="225" t="str">
        <f>IFERROR(INDEX(Data!DM$9:DM$1273,MATCH($M176,Data!$K$9:$K$1273,0)),"")</f>
        <v/>
      </c>
      <c r="G176" s="225" t="str">
        <f>IFERROR(INDEX(Data!BV$9:BV$1273,MATCH($M176,Data!$K$9:$K$1273,0)),"")</f>
        <v/>
      </c>
      <c r="H176" s="225" t="str">
        <f>IFERROR(INDEX(Data!BW$9:BW$1273,MATCH($M176,Data!$K$9:$K$1273,0)),"")</f>
        <v/>
      </c>
      <c r="I176" s="225" t="str">
        <f>IFERROR(INDEX(Data!BX$9:BX$1273,MATCH($M176,Data!$K$9:$K$1273,0)),"")</f>
        <v/>
      </c>
      <c r="J176" s="225" t="str">
        <f>IFERROR(INDEX(Data!CB$9:CB$1273,MATCH($M176,Data!$K$9:$K$1273,0)),"")</f>
        <v/>
      </c>
      <c r="K176" s="241" t="str">
        <f t="shared" si="21"/>
        <v/>
      </c>
      <c r="L176" s="242" t="str">
        <f t="shared" si="22"/>
        <v/>
      </c>
      <c r="M176" s="224"/>
      <c r="N176" s="224"/>
      <c r="O176" s="224" t="str">
        <f>IFERROR(INDEX(Data!M$9:M$1273,MATCH($M176,Data!$K$9:$K$1273,0)),"")</f>
        <v/>
      </c>
      <c r="P176" s="224" t="str">
        <f>IFERROR(INDEX(Data!N$9:N$1273,MATCH($M176,Data!$K$9:$K$1273,0)),"")</f>
        <v/>
      </c>
      <c r="Q176" s="224" t="str">
        <f>IFERROR(INDEX(Data!O$9:O$1273,MATCH($M176,Data!$K$9:$K$1273,0)),"")</f>
        <v/>
      </c>
      <c r="R176" s="224" t="str">
        <f>IFERROR(INDEX(Data!P$9:P$1273,MATCH($M176,Data!$K$9:$K$1273,0)),"")</f>
        <v/>
      </c>
      <c r="S176" s="224" t="str">
        <f>IFERROR(INDEX(Data!S$9:S$1273,MATCH($M176,Data!$K$9:$K$1273,0)),"")</f>
        <v/>
      </c>
      <c r="T176" s="224" t="str">
        <f>IFERROR(INDEX(Data!T$9:T$1273,MATCH($M176,Data!$K$9:$K$1273,0)),"")</f>
        <v/>
      </c>
      <c r="U176" s="224" t="str">
        <f>IFERROR(INDEX(Data!U$9:U$1273,MATCH($M176,Data!$K$9:$K$1273,0)),"")</f>
        <v/>
      </c>
      <c r="V176" s="224" t="str">
        <f>IFERROR(INDEX(Data!V$9:V$1273,MATCH($M176,Data!$K$9:$K$1273,0)),"")</f>
        <v/>
      </c>
      <c r="W176" s="224" t="str">
        <f>IFERROR(INDEX(Data!W$9:W$1273,MATCH($M176,Data!$K$9:$K$1273,0)),"")</f>
        <v/>
      </c>
      <c r="X176" s="224" t="str">
        <f>IFERROR(INDEX(Data!AJ$9:AJ$1273,MATCH($M176,Data!$K$9:$K$1273,0)),"")</f>
        <v/>
      </c>
      <c r="Y176" s="224" t="str">
        <f>IFERROR(INDEX(Data!AK$9:AK$1273,MATCH($M176,Data!$K$9:$K$1273,0)),"")</f>
        <v/>
      </c>
      <c r="Z176" s="224" t="str">
        <f>IFERROR(INDEX(Data!AL$9:AL$1273,MATCH($M176,Data!$K$9:$K$1273,0)),"")</f>
        <v/>
      </c>
      <c r="AA176" s="224" t="str">
        <f>IFERROR(INDEX(Data!AM$9:AM$1273,MATCH($M176,Data!$K$9:$K$1273,0)),"")</f>
        <v/>
      </c>
      <c r="AB176" s="224" t="str">
        <f>IFERROR(INDEX(Data!AN$9:AN$1273,MATCH($M176,Data!$K$9:$K$1273,0)),"")</f>
        <v/>
      </c>
      <c r="AC176" s="225" t="str">
        <f>IFERROR(INDEX(Data!BY$9:BY$1273,MATCH($M176,Data!$K$9:$K$1273,0)),"")</f>
        <v/>
      </c>
      <c r="AD176" s="225" t="str">
        <f>IFERROR(INDEX(Data!BZ$9:BZ$1273,MATCH($M176,Data!$K$9:$K$1273,0)),"")</f>
        <v/>
      </c>
      <c r="AE176" s="225" t="str">
        <f>IFERROR(INDEX(Data!CA$9:CA$1273,MATCH($M176,Data!$K$9:$K$1273,0)),"")</f>
        <v/>
      </c>
      <c r="AF176" s="225" t="str">
        <f>IFERROR(INDEX(Data!CB$9:CB$1273,MATCH($M176,Data!$K$9:$K$1273,0)),"")</f>
        <v/>
      </c>
      <c r="AG176" s="225" t="str">
        <f>IFERROR(INDEX(Data!CC$9:CC$1273,MATCH($M176,Data!$K$9:$K$1273,0)),"")</f>
        <v/>
      </c>
      <c r="AH176" s="225" t="str">
        <f>IFERROR(INDEX(Data!CD$9:CD$1273,MATCH($M176,Data!$K$9:$K$1273,0)),"")</f>
        <v/>
      </c>
      <c r="AI176" s="225" t="str">
        <f>IFERROR(INDEX(Data!CE$9:CE$1273,MATCH($M176,Data!$K$9:$K$1273,0)),"")</f>
        <v/>
      </c>
      <c r="AJ176" s="225" t="str">
        <f>IFERROR(INDEX(Data!CF$9:CF$1273,MATCH($M176,Data!$K$9:$K$1273,0)),"")</f>
        <v/>
      </c>
      <c r="AK176" s="225" t="str">
        <f>IFERROR(INDEX(Data!CG$9:CG$1273,MATCH($M176,Data!$K$9:$K$1273,0)),"")</f>
        <v/>
      </c>
      <c r="AL176" s="225" t="str">
        <f>IFERROR(INDEX(Data!CH$9:CH$1273,MATCH($M176,Data!$K$9:$K$1273,0)),"")</f>
        <v/>
      </c>
      <c r="AM176" s="225" t="str">
        <f>IFERROR(INDEX(Data!CI$9:CI$1273,MATCH($M176,Data!$K$9:$K$1273,0)),"")</f>
        <v/>
      </c>
      <c r="AN176" s="225" t="str">
        <f>IFERROR(INDEX(Data!CJ$9:CJ$1273,MATCH($M176,Data!$K$9:$K$1273,0)),"")</f>
        <v/>
      </c>
      <c r="AO176" s="225" t="str">
        <f>IFERROR(INDEX(Data!CK$9:CK$1273,MATCH($M176,Data!$K$9:$K$1273,0)),"")</f>
        <v/>
      </c>
      <c r="AP176" s="225" t="str">
        <f>IFERROR(INDEX(Data!CL$9:CL$1273,MATCH($M176,Data!$K$9:$K$1273,0)),"")</f>
        <v/>
      </c>
      <c r="AQ176" s="225" t="str">
        <f>IFERROR(INDEX(Data!CM$9:CM$1273,MATCH($M176,Data!$K$9:$K$1273,0)),"")</f>
        <v/>
      </c>
      <c r="AR176" s="225" t="str">
        <f>IFERROR(INDEX(Data!CN$9:CN$1273,MATCH($M176,Data!$K$9:$K$1273,0)),"")</f>
        <v/>
      </c>
      <c r="AS176" s="225" t="str">
        <f>IFERROR(INDEX(Data!CO$9:CO$1273,MATCH($M176,Data!$K$9:$K$1273,0)),"")</f>
        <v/>
      </c>
      <c r="AT176" s="225" t="str">
        <f>IFERROR(INDEX(Data!CP$9:CP$1273,MATCH($M176,Data!$K$9:$K$1273,0)),"")</f>
        <v/>
      </c>
      <c r="AU176" s="225" t="str">
        <f>IFERROR(INDEX(Data!CQ$9:CQ$1273,MATCH($M176,Data!$K$9:$K$1273,0)),"")</f>
        <v/>
      </c>
      <c r="AV176" s="225" t="str">
        <f>IFERROR(INDEX(Data!CR$9:CR$1273,MATCH($M176,Data!$K$9:$K$1273,0)),"")</f>
        <v/>
      </c>
      <c r="AW176" s="225" t="str">
        <f>IFERROR(INDEX(Data!CS$9:CS$1273,MATCH($M176,Data!$K$9:$K$1273,0)),"")</f>
        <v/>
      </c>
      <c r="AX176" s="225" t="str">
        <f>IFERROR(INDEX(Data!CT$9:CT$1273,MATCH($M176,Data!$K$9:$K$1273,0)),"")</f>
        <v/>
      </c>
      <c r="AY176" s="225" t="str">
        <f>IFERROR(INDEX(Data!CU$9:CU$1273,MATCH($M176,Data!$K$9:$K$1273,0)),"")</f>
        <v/>
      </c>
      <c r="AZ176" s="225" t="str">
        <f>IFERROR(INDEX(Data!CV$9:CV$1273,MATCH($M176,Data!$K$9:$K$1273,0)),"")</f>
        <v/>
      </c>
      <c r="BA176" s="225" t="str">
        <f>IFERROR(INDEX(Data!CX$9:CX$1273,MATCH($M176,Data!$K$9:$K$1273,0)),"")</f>
        <v/>
      </c>
      <c r="BB176" s="225" t="str">
        <f>IFERROR(INDEX(Data!CY$9:CY$1273,MATCH($M176,Data!$K$9:$K$1273,0)),"")</f>
        <v/>
      </c>
      <c r="BC176" s="225" t="str">
        <f>IFERROR(INDEX(Data!CZ$9:CZ$1273,MATCH($M176,Data!$K$9:$K$1273,0)),"")</f>
        <v/>
      </c>
      <c r="BD176" s="225" t="str">
        <f>IFERROR(INDEX(Data!DA$9:DA$1273,MATCH($M176,Data!$K$9:$K$1273,0)),"")</f>
        <v/>
      </c>
      <c r="BE176" s="225" t="str">
        <f>IFERROR(INDEX(Data!DB$9:DB$1273,MATCH($M176,Data!$K$9:$K$1273,0)),"")</f>
        <v/>
      </c>
      <c r="BF176" s="225" t="str">
        <f>IFERROR(INDEX(Data!DC$9:DC$1273,MATCH($M176,Data!$K$9:$K$1273,0)),"")</f>
        <v/>
      </c>
      <c r="BG176" s="225" t="str">
        <f>IFERROR(INDEX(Data!DD$9:DD$1273,MATCH($M176,Data!$K$9:$K$1273,0)),"")</f>
        <v/>
      </c>
      <c r="BH176" s="225" t="str">
        <f>IFERROR(INDEX(Data!DE$9:DE$1273,MATCH($M176,Data!$K$9:$K$1273,0)),"")</f>
        <v/>
      </c>
      <c r="BI176" s="225" t="str">
        <f>IFERROR(INDEX(Data!DF$9:DF$1273,MATCH($M176,Data!$K$9:$K$1273,0)),"")</f>
        <v/>
      </c>
      <c r="BJ176" s="225" t="str">
        <f>IFERROR(INDEX(Data!DG$9:DG$1273,MATCH($M176,Data!$K$9:$K$1273,0)),"")</f>
        <v/>
      </c>
      <c r="BK176" s="225" t="str">
        <f>IFERROR(INDEX(Data!DH$9:DH$1273,MATCH($M176,Data!$K$9:$K$1273,0)),"")</f>
        <v/>
      </c>
      <c r="BL176" s="225" t="str">
        <f>IFERROR(INDEX(Data!DI$9:DI$1273,MATCH($M176,Data!$K$9:$K$1273,0)),"")</f>
        <v/>
      </c>
      <c r="BM176" s="225" t="str">
        <f>IFERROR(INDEX(Data!DJ$9:DJ$1273,MATCH($M176,Data!$K$9:$K$1273,0)),"")</f>
        <v/>
      </c>
      <c r="BN176" s="225" t="str">
        <f>IFERROR(INDEX(Data!DK$9:DK$1273,MATCH($M176,Data!$K$9:$K$1273,0)),"")</f>
        <v/>
      </c>
      <c r="BO176" s="225" t="str">
        <f>IFERROR(INDEX(Data!DL$9:DL$1273,MATCH($M176,Data!$K$9:$K$1273,0)),"")</f>
        <v/>
      </c>
      <c r="BP176" s="243" t="str">
        <f t="shared" si="23"/>
        <v/>
      </c>
      <c r="BQ176" s="225" t="str">
        <f t="shared" si="24"/>
        <v xml:space="preserve"> </v>
      </c>
      <c r="BR176" s="225" t="str">
        <f t="shared" si="25"/>
        <v/>
      </c>
      <c r="BS176" s="225" t="str">
        <f>IFERROR(INDEX(Data!$DO$9:$DO$1273,MATCH('Your recommendation'!BR176,Data!$DN$9:$DN$1273,0)),"")</f>
        <v/>
      </c>
    </row>
    <row r="177" spans="2:71" ht="15.6" customHeight="1">
      <c r="B177" s="222" t="str">
        <f t="shared" si="26"/>
        <v/>
      </c>
      <c r="C177" s="223"/>
      <c r="D177" s="225" t="str">
        <f>IFERROR(INDEX(Data!BR$9:BR$1273,MATCH($M177,Data!$K$9:$K$1273,0)),"")</f>
        <v/>
      </c>
      <c r="E177" s="225" t="str">
        <f>IFERROR(INDEX(Data!BS$9:BS$1273,MATCH($M177,Data!$K$9:$K$1273,0)),"")</f>
        <v/>
      </c>
      <c r="F177" s="225" t="str">
        <f>IFERROR(INDEX(Data!DM$9:DM$1273,MATCH($M177,Data!$K$9:$K$1273,0)),"")</f>
        <v/>
      </c>
      <c r="G177" s="225" t="str">
        <f>IFERROR(INDEX(Data!BV$9:BV$1273,MATCH($M177,Data!$K$9:$K$1273,0)),"")</f>
        <v/>
      </c>
      <c r="H177" s="225" t="str">
        <f>IFERROR(INDEX(Data!BW$9:BW$1273,MATCH($M177,Data!$K$9:$K$1273,0)),"")</f>
        <v/>
      </c>
      <c r="I177" s="225" t="str">
        <f>IFERROR(INDEX(Data!BX$9:BX$1273,MATCH($M177,Data!$K$9:$K$1273,0)),"")</f>
        <v/>
      </c>
      <c r="J177" s="225" t="str">
        <f>IFERROR(INDEX(Data!CB$9:CB$1273,MATCH($M177,Data!$K$9:$K$1273,0)),"")</f>
        <v/>
      </c>
      <c r="K177" s="241" t="str">
        <f t="shared" si="21"/>
        <v/>
      </c>
      <c r="L177" s="242" t="str">
        <f t="shared" si="22"/>
        <v/>
      </c>
      <c r="M177" s="224"/>
      <c r="N177" s="224"/>
      <c r="O177" s="224" t="str">
        <f>IFERROR(INDEX(Data!M$9:M$1273,MATCH($M177,Data!$K$9:$K$1273,0)),"")</f>
        <v/>
      </c>
      <c r="P177" s="224" t="str">
        <f>IFERROR(INDEX(Data!N$9:N$1273,MATCH($M177,Data!$K$9:$K$1273,0)),"")</f>
        <v/>
      </c>
      <c r="Q177" s="224" t="str">
        <f>IFERROR(INDEX(Data!O$9:O$1273,MATCH($M177,Data!$K$9:$K$1273,0)),"")</f>
        <v/>
      </c>
      <c r="R177" s="224" t="str">
        <f>IFERROR(INDEX(Data!P$9:P$1273,MATCH($M177,Data!$K$9:$K$1273,0)),"")</f>
        <v/>
      </c>
      <c r="S177" s="224" t="str">
        <f>IFERROR(INDEX(Data!S$9:S$1273,MATCH($M177,Data!$K$9:$K$1273,0)),"")</f>
        <v/>
      </c>
      <c r="T177" s="224" t="str">
        <f>IFERROR(INDEX(Data!T$9:T$1273,MATCH($M177,Data!$K$9:$K$1273,0)),"")</f>
        <v/>
      </c>
      <c r="U177" s="224" t="str">
        <f>IFERROR(INDEX(Data!U$9:U$1273,MATCH($M177,Data!$K$9:$K$1273,0)),"")</f>
        <v/>
      </c>
      <c r="V177" s="224" t="str">
        <f>IFERROR(INDEX(Data!V$9:V$1273,MATCH($M177,Data!$K$9:$K$1273,0)),"")</f>
        <v/>
      </c>
      <c r="W177" s="224" t="str">
        <f>IFERROR(INDEX(Data!W$9:W$1273,MATCH($M177,Data!$K$9:$K$1273,0)),"")</f>
        <v/>
      </c>
      <c r="X177" s="224" t="str">
        <f>IFERROR(INDEX(Data!AJ$9:AJ$1273,MATCH($M177,Data!$K$9:$K$1273,0)),"")</f>
        <v/>
      </c>
      <c r="Y177" s="224" t="str">
        <f>IFERROR(INDEX(Data!AK$9:AK$1273,MATCH($M177,Data!$K$9:$K$1273,0)),"")</f>
        <v/>
      </c>
      <c r="Z177" s="224" t="str">
        <f>IFERROR(INDEX(Data!AL$9:AL$1273,MATCH($M177,Data!$K$9:$K$1273,0)),"")</f>
        <v/>
      </c>
      <c r="AA177" s="224" t="str">
        <f>IFERROR(INDEX(Data!AM$9:AM$1273,MATCH($M177,Data!$K$9:$K$1273,0)),"")</f>
        <v/>
      </c>
      <c r="AB177" s="224" t="str">
        <f>IFERROR(INDEX(Data!AN$9:AN$1273,MATCH($M177,Data!$K$9:$K$1273,0)),"")</f>
        <v/>
      </c>
      <c r="AC177" s="225" t="str">
        <f>IFERROR(INDEX(Data!BY$9:BY$1273,MATCH($M177,Data!$K$9:$K$1273,0)),"")</f>
        <v/>
      </c>
      <c r="AD177" s="225" t="str">
        <f>IFERROR(INDEX(Data!BZ$9:BZ$1273,MATCH($M177,Data!$K$9:$K$1273,0)),"")</f>
        <v/>
      </c>
      <c r="AE177" s="225" t="str">
        <f>IFERROR(INDEX(Data!CA$9:CA$1273,MATCH($M177,Data!$K$9:$K$1273,0)),"")</f>
        <v/>
      </c>
      <c r="AF177" s="225" t="str">
        <f>IFERROR(INDEX(Data!CB$9:CB$1273,MATCH($M177,Data!$K$9:$K$1273,0)),"")</f>
        <v/>
      </c>
      <c r="AG177" s="225" t="str">
        <f>IFERROR(INDEX(Data!CC$9:CC$1273,MATCH($M177,Data!$K$9:$K$1273,0)),"")</f>
        <v/>
      </c>
      <c r="AH177" s="225" t="str">
        <f>IFERROR(INDEX(Data!CD$9:CD$1273,MATCH($M177,Data!$K$9:$K$1273,0)),"")</f>
        <v/>
      </c>
      <c r="AI177" s="225" t="str">
        <f>IFERROR(INDEX(Data!CE$9:CE$1273,MATCH($M177,Data!$K$9:$K$1273,0)),"")</f>
        <v/>
      </c>
      <c r="AJ177" s="225" t="str">
        <f>IFERROR(INDEX(Data!CF$9:CF$1273,MATCH($M177,Data!$K$9:$K$1273,0)),"")</f>
        <v/>
      </c>
      <c r="AK177" s="225" t="str">
        <f>IFERROR(INDEX(Data!CG$9:CG$1273,MATCH($M177,Data!$K$9:$K$1273,0)),"")</f>
        <v/>
      </c>
      <c r="AL177" s="225" t="str">
        <f>IFERROR(INDEX(Data!CH$9:CH$1273,MATCH($M177,Data!$K$9:$K$1273,0)),"")</f>
        <v/>
      </c>
      <c r="AM177" s="225" t="str">
        <f>IFERROR(INDEX(Data!CI$9:CI$1273,MATCH($M177,Data!$K$9:$K$1273,0)),"")</f>
        <v/>
      </c>
      <c r="AN177" s="225" t="str">
        <f>IFERROR(INDEX(Data!CJ$9:CJ$1273,MATCH($M177,Data!$K$9:$K$1273,0)),"")</f>
        <v/>
      </c>
      <c r="AO177" s="225" t="str">
        <f>IFERROR(INDEX(Data!CK$9:CK$1273,MATCH($M177,Data!$K$9:$K$1273,0)),"")</f>
        <v/>
      </c>
      <c r="AP177" s="225" t="str">
        <f>IFERROR(INDEX(Data!CL$9:CL$1273,MATCH($M177,Data!$K$9:$K$1273,0)),"")</f>
        <v/>
      </c>
      <c r="AQ177" s="225" t="str">
        <f>IFERROR(INDEX(Data!CM$9:CM$1273,MATCH($M177,Data!$K$9:$K$1273,0)),"")</f>
        <v/>
      </c>
      <c r="AR177" s="225" t="str">
        <f>IFERROR(INDEX(Data!CN$9:CN$1273,MATCH($M177,Data!$K$9:$K$1273,0)),"")</f>
        <v/>
      </c>
      <c r="AS177" s="225" t="str">
        <f>IFERROR(INDEX(Data!CO$9:CO$1273,MATCH($M177,Data!$K$9:$K$1273,0)),"")</f>
        <v/>
      </c>
      <c r="AT177" s="225" t="str">
        <f>IFERROR(INDEX(Data!CP$9:CP$1273,MATCH($M177,Data!$K$9:$K$1273,0)),"")</f>
        <v/>
      </c>
      <c r="AU177" s="225" t="str">
        <f>IFERROR(INDEX(Data!CQ$9:CQ$1273,MATCH($M177,Data!$K$9:$K$1273,0)),"")</f>
        <v/>
      </c>
      <c r="AV177" s="225" t="str">
        <f>IFERROR(INDEX(Data!CR$9:CR$1273,MATCH($M177,Data!$K$9:$K$1273,0)),"")</f>
        <v/>
      </c>
      <c r="AW177" s="225" t="str">
        <f>IFERROR(INDEX(Data!CS$9:CS$1273,MATCH($M177,Data!$K$9:$K$1273,0)),"")</f>
        <v/>
      </c>
      <c r="AX177" s="225" t="str">
        <f>IFERROR(INDEX(Data!CT$9:CT$1273,MATCH($M177,Data!$K$9:$K$1273,0)),"")</f>
        <v/>
      </c>
      <c r="AY177" s="225" t="str">
        <f>IFERROR(INDEX(Data!CU$9:CU$1273,MATCH($M177,Data!$K$9:$K$1273,0)),"")</f>
        <v/>
      </c>
      <c r="AZ177" s="225" t="str">
        <f>IFERROR(INDEX(Data!CV$9:CV$1273,MATCH($M177,Data!$K$9:$K$1273,0)),"")</f>
        <v/>
      </c>
      <c r="BA177" s="225" t="str">
        <f>IFERROR(INDEX(Data!CX$9:CX$1273,MATCH($M177,Data!$K$9:$K$1273,0)),"")</f>
        <v/>
      </c>
      <c r="BB177" s="225" t="str">
        <f>IFERROR(INDEX(Data!CY$9:CY$1273,MATCH($M177,Data!$K$9:$K$1273,0)),"")</f>
        <v/>
      </c>
      <c r="BC177" s="225" t="str">
        <f>IFERROR(INDEX(Data!CZ$9:CZ$1273,MATCH($M177,Data!$K$9:$K$1273,0)),"")</f>
        <v/>
      </c>
      <c r="BD177" s="225" t="str">
        <f>IFERROR(INDEX(Data!DA$9:DA$1273,MATCH($M177,Data!$K$9:$K$1273,0)),"")</f>
        <v/>
      </c>
      <c r="BE177" s="225" t="str">
        <f>IFERROR(INDEX(Data!DB$9:DB$1273,MATCH($M177,Data!$K$9:$K$1273,0)),"")</f>
        <v/>
      </c>
      <c r="BF177" s="225" t="str">
        <f>IFERROR(INDEX(Data!DC$9:DC$1273,MATCH($M177,Data!$K$9:$K$1273,0)),"")</f>
        <v/>
      </c>
      <c r="BG177" s="225" t="str">
        <f>IFERROR(INDEX(Data!DD$9:DD$1273,MATCH($M177,Data!$K$9:$K$1273,0)),"")</f>
        <v/>
      </c>
      <c r="BH177" s="225" t="str">
        <f>IFERROR(INDEX(Data!DE$9:DE$1273,MATCH($M177,Data!$K$9:$K$1273,0)),"")</f>
        <v/>
      </c>
      <c r="BI177" s="225" t="str">
        <f>IFERROR(INDEX(Data!DF$9:DF$1273,MATCH($M177,Data!$K$9:$K$1273,0)),"")</f>
        <v/>
      </c>
      <c r="BJ177" s="225" t="str">
        <f>IFERROR(INDEX(Data!DG$9:DG$1273,MATCH($M177,Data!$K$9:$K$1273,0)),"")</f>
        <v/>
      </c>
      <c r="BK177" s="225" t="str">
        <f>IFERROR(INDEX(Data!DH$9:DH$1273,MATCH($M177,Data!$K$9:$K$1273,0)),"")</f>
        <v/>
      </c>
      <c r="BL177" s="225" t="str">
        <f>IFERROR(INDEX(Data!DI$9:DI$1273,MATCH($M177,Data!$K$9:$K$1273,0)),"")</f>
        <v/>
      </c>
      <c r="BM177" s="225" t="str">
        <f>IFERROR(INDEX(Data!DJ$9:DJ$1273,MATCH($M177,Data!$K$9:$K$1273,0)),"")</f>
        <v/>
      </c>
      <c r="BN177" s="225" t="str">
        <f>IFERROR(INDEX(Data!DK$9:DK$1273,MATCH($M177,Data!$K$9:$K$1273,0)),"")</f>
        <v/>
      </c>
      <c r="BO177" s="225" t="str">
        <f>IFERROR(INDEX(Data!DL$9:DL$1273,MATCH($M177,Data!$K$9:$K$1273,0)),"")</f>
        <v/>
      </c>
      <c r="BP177" s="243" t="str">
        <f t="shared" si="23"/>
        <v/>
      </c>
      <c r="BQ177" s="225" t="str">
        <f t="shared" si="24"/>
        <v xml:space="preserve"> </v>
      </c>
      <c r="BR177" s="225" t="str">
        <f t="shared" si="25"/>
        <v/>
      </c>
      <c r="BS177" s="225" t="str">
        <f>IFERROR(INDEX(Data!$DO$9:$DO$1273,MATCH('Your recommendation'!BR177,Data!$DN$9:$DN$1273,0)),"")</f>
        <v/>
      </c>
    </row>
    <row r="178" spans="2:71" ht="15.6" customHeight="1">
      <c r="B178" s="222" t="str">
        <f t="shared" si="26"/>
        <v/>
      </c>
      <c r="C178" s="223"/>
      <c r="D178" s="225" t="str">
        <f>IFERROR(INDEX(Data!BR$9:BR$1273,MATCH($M178,Data!$K$9:$K$1273,0)),"")</f>
        <v/>
      </c>
      <c r="E178" s="225" t="str">
        <f>IFERROR(INDEX(Data!BS$9:BS$1273,MATCH($M178,Data!$K$9:$K$1273,0)),"")</f>
        <v/>
      </c>
      <c r="F178" s="225" t="str">
        <f>IFERROR(INDEX(Data!DM$9:DM$1273,MATCH($M178,Data!$K$9:$K$1273,0)),"")</f>
        <v/>
      </c>
      <c r="G178" s="225" t="str">
        <f>IFERROR(INDEX(Data!BV$9:BV$1273,MATCH($M178,Data!$K$9:$K$1273,0)),"")</f>
        <v/>
      </c>
      <c r="H178" s="225" t="str">
        <f>IFERROR(INDEX(Data!BW$9:BW$1273,MATCH($M178,Data!$K$9:$K$1273,0)),"")</f>
        <v/>
      </c>
      <c r="I178" s="225" t="str">
        <f>IFERROR(INDEX(Data!BX$9:BX$1273,MATCH($M178,Data!$K$9:$K$1273,0)),"")</f>
        <v/>
      </c>
      <c r="J178" s="225" t="str">
        <f>IFERROR(INDEX(Data!CB$9:CB$1273,MATCH($M178,Data!$K$9:$K$1273,0)),"")</f>
        <v/>
      </c>
      <c r="K178" s="241" t="str">
        <f t="shared" si="21"/>
        <v/>
      </c>
      <c r="L178" s="242" t="str">
        <f t="shared" si="22"/>
        <v/>
      </c>
      <c r="M178" s="224"/>
      <c r="N178" s="224"/>
      <c r="O178" s="224" t="str">
        <f>IFERROR(INDEX(Data!M$9:M$1273,MATCH($M178,Data!$K$9:$K$1273,0)),"")</f>
        <v/>
      </c>
      <c r="P178" s="224" t="str">
        <f>IFERROR(INDEX(Data!N$9:N$1273,MATCH($M178,Data!$K$9:$K$1273,0)),"")</f>
        <v/>
      </c>
      <c r="Q178" s="224" t="str">
        <f>IFERROR(INDEX(Data!O$9:O$1273,MATCH($M178,Data!$K$9:$K$1273,0)),"")</f>
        <v/>
      </c>
      <c r="R178" s="224" t="str">
        <f>IFERROR(INDEX(Data!P$9:P$1273,MATCH($M178,Data!$K$9:$K$1273,0)),"")</f>
        <v/>
      </c>
      <c r="S178" s="224" t="str">
        <f>IFERROR(INDEX(Data!S$9:S$1273,MATCH($M178,Data!$K$9:$K$1273,0)),"")</f>
        <v/>
      </c>
      <c r="T178" s="224" t="str">
        <f>IFERROR(INDEX(Data!T$9:T$1273,MATCH($M178,Data!$K$9:$K$1273,0)),"")</f>
        <v/>
      </c>
      <c r="U178" s="224" t="str">
        <f>IFERROR(INDEX(Data!U$9:U$1273,MATCH($M178,Data!$K$9:$K$1273,0)),"")</f>
        <v/>
      </c>
      <c r="V178" s="224" t="str">
        <f>IFERROR(INDEX(Data!V$9:V$1273,MATCH($M178,Data!$K$9:$K$1273,0)),"")</f>
        <v/>
      </c>
      <c r="W178" s="224" t="str">
        <f>IFERROR(INDEX(Data!W$9:W$1273,MATCH($M178,Data!$K$9:$K$1273,0)),"")</f>
        <v/>
      </c>
      <c r="X178" s="224" t="str">
        <f>IFERROR(INDEX(Data!AJ$9:AJ$1273,MATCH($M178,Data!$K$9:$K$1273,0)),"")</f>
        <v/>
      </c>
      <c r="Y178" s="224" t="str">
        <f>IFERROR(INDEX(Data!AK$9:AK$1273,MATCH($M178,Data!$K$9:$K$1273,0)),"")</f>
        <v/>
      </c>
      <c r="Z178" s="224" t="str">
        <f>IFERROR(INDEX(Data!AL$9:AL$1273,MATCH($M178,Data!$K$9:$K$1273,0)),"")</f>
        <v/>
      </c>
      <c r="AA178" s="224" t="str">
        <f>IFERROR(INDEX(Data!AM$9:AM$1273,MATCH($M178,Data!$K$9:$K$1273,0)),"")</f>
        <v/>
      </c>
      <c r="AB178" s="224" t="str">
        <f>IFERROR(INDEX(Data!AN$9:AN$1273,MATCH($M178,Data!$K$9:$K$1273,0)),"")</f>
        <v/>
      </c>
      <c r="AC178" s="225" t="str">
        <f>IFERROR(INDEX(Data!BY$9:BY$1273,MATCH($M178,Data!$K$9:$K$1273,0)),"")</f>
        <v/>
      </c>
      <c r="AD178" s="225" t="str">
        <f>IFERROR(INDEX(Data!BZ$9:BZ$1273,MATCH($M178,Data!$K$9:$K$1273,0)),"")</f>
        <v/>
      </c>
      <c r="AE178" s="225" t="str">
        <f>IFERROR(INDEX(Data!CA$9:CA$1273,MATCH($M178,Data!$K$9:$K$1273,0)),"")</f>
        <v/>
      </c>
      <c r="AF178" s="225" t="str">
        <f>IFERROR(INDEX(Data!CB$9:CB$1273,MATCH($M178,Data!$K$9:$K$1273,0)),"")</f>
        <v/>
      </c>
      <c r="AG178" s="225" t="str">
        <f>IFERROR(INDEX(Data!CC$9:CC$1273,MATCH($M178,Data!$K$9:$K$1273,0)),"")</f>
        <v/>
      </c>
      <c r="AH178" s="225" t="str">
        <f>IFERROR(INDEX(Data!CD$9:CD$1273,MATCH($M178,Data!$K$9:$K$1273,0)),"")</f>
        <v/>
      </c>
      <c r="AI178" s="225" t="str">
        <f>IFERROR(INDEX(Data!CE$9:CE$1273,MATCH($M178,Data!$K$9:$K$1273,0)),"")</f>
        <v/>
      </c>
      <c r="AJ178" s="225" t="str">
        <f>IFERROR(INDEX(Data!CF$9:CF$1273,MATCH($M178,Data!$K$9:$K$1273,0)),"")</f>
        <v/>
      </c>
      <c r="AK178" s="225" t="str">
        <f>IFERROR(INDEX(Data!CG$9:CG$1273,MATCH($M178,Data!$K$9:$K$1273,0)),"")</f>
        <v/>
      </c>
      <c r="AL178" s="225" t="str">
        <f>IFERROR(INDEX(Data!CH$9:CH$1273,MATCH($M178,Data!$K$9:$K$1273,0)),"")</f>
        <v/>
      </c>
      <c r="AM178" s="225" t="str">
        <f>IFERROR(INDEX(Data!CI$9:CI$1273,MATCH($M178,Data!$K$9:$K$1273,0)),"")</f>
        <v/>
      </c>
      <c r="AN178" s="225" t="str">
        <f>IFERROR(INDEX(Data!CJ$9:CJ$1273,MATCH($M178,Data!$K$9:$K$1273,0)),"")</f>
        <v/>
      </c>
      <c r="AO178" s="225" t="str">
        <f>IFERROR(INDEX(Data!CK$9:CK$1273,MATCH($M178,Data!$K$9:$K$1273,0)),"")</f>
        <v/>
      </c>
      <c r="AP178" s="225" t="str">
        <f>IFERROR(INDEX(Data!CL$9:CL$1273,MATCH($M178,Data!$K$9:$K$1273,0)),"")</f>
        <v/>
      </c>
      <c r="AQ178" s="225" t="str">
        <f>IFERROR(INDEX(Data!CM$9:CM$1273,MATCH($M178,Data!$K$9:$K$1273,0)),"")</f>
        <v/>
      </c>
      <c r="AR178" s="225" t="str">
        <f>IFERROR(INDEX(Data!CN$9:CN$1273,MATCH($M178,Data!$K$9:$K$1273,0)),"")</f>
        <v/>
      </c>
      <c r="AS178" s="225" t="str">
        <f>IFERROR(INDEX(Data!CO$9:CO$1273,MATCH($M178,Data!$K$9:$K$1273,0)),"")</f>
        <v/>
      </c>
      <c r="AT178" s="225" t="str">
        <f>IFERROR(INDEX(Data!CP$9:CP$1273,MATCH($M178,Data!$K$9:$K$1273,0)),"")</f>
        <v/>
      </c>
      <c r="AU178" s="225" t="str">
        <f>IFERROR(INDEX(Data!CQ$9:CQ$1273,MATCH($M178,Data!$K$9:$K$1273,0)),"")</f>
        <v/>
      </c>
      <c r="AV178" s="225" t="str">
        <f>IFERROR(INDEX(Data!CR$9:CR$1273,MATCH($M178,Data!$K$9:$K$1273,0)),"")</f>
        <v/>
      </c>
      <c r="AW178" s="225" t="str">
        <f>IFERROR(INDEX(Data!CS$9:CS$1273,MATCH($M178,Data!$K$9:$K$1273,0)),"")</f>
        <v/>
      </c>
      <c r="AX178" s="225" t="str">
        <f>IFERROR(INDEX(Data!CT$9:CT$1273,MATCH($M178,Data!$K$9:$K$1273,0)),"")</f>
        <v/>
      </c>
      <c r="AY178" s="225" t="str">
        <f>IFERROR(INDEX(Data!CU$9:CU$1273,MATCH($M178,Data!$K$9:$K$1273,0)),"")</f>
        <v/>
      </c>
      <c r="AZ178" s="225" t="str">
        <f>IFERROR(INDEX(Data!CV$9:CV$1273,MATCH($M178,Data!$K$9:$K$1273,0)),"")</f>
        <v/>
      </c>
      <c r="BA178" s="225" t="str">
        <f>IFERROR(INDEX(Data!CX$9:CX$1273,MATCH($M178,Data!$K$9:$K$1273,0)),"")</f>
        <v/>
      </c>
      <c r="BB178" s="225" t="str">
        <f>IFERROR(INDEX(Data!CY$9:CY$1273,MATCH($M178,Data!$K$9:$K$1273,0)),"")</f>
        <v/>
      </c>
      <c r="BC178" s="225" t="str">
        <f>IFERROR(INDEX(Data!CZ$9:CZ$1273,MATCH($M178,Data!$K$9:$K$1273,0)),"")</f>
        <v/>
      </c>
      <c r="BD178" s="225" t="str">
        <f>IFERROR(INDEX(Data!DA$9:DA$1273,MATCH($M178,Data!$K$9:$K$1273,0)),"")</f>
        <v/>
      </c>
      <c r="BE178" s="225" t="str">
        <f>IFERROR(INDEX(Data!DB$9:DB$1273,MATCH($M178,Data!$K$9:$K$1273,0)),"")</f>
        <v/>
      </c>
      <c r="BF178" s="225" t="str">
        <f>IFERROR(INDEX(Data!DC$9:DC$1273,MATCH($M178,Data!$K$9:$K$1273,0)),"")</f>
        <v/>
      </c>
      <c r="BG178" s="225" t="str">
        <f>IFERROR(INDEX(Data!DD$9:DD$1273,MATCH($M178,Data!$K$9:$K$1273,0)),"")</f>
        <v/>
      </c>
      <c r="BH178" s="225" t="str">
        <f>IFERROR(INDEX(Data!DE$9:DE$1273,MATCH($M178,Data!$K$9:$K$1273,0)),"")</f>
        <v/>
      </c>
      <c r="BI178" s="225" t="str">
        <f>IFERROR(INDEX(Data!DF$9:DF$1273,MATCH($M178,Data!$K$9:$K$1273,0)),"")</f>
        <v/>
      </c>
      <c r="BJ178" s="225" t="str">
        <f>IFERROR(INDEX(Data!DG$9:DG$1273,MATCH($M178,Data!$K$9:$K$1273,0)),"")</f>
        <v/>
      </c>
      <c r="BK178" s="225" t="str">
        <f>IFERROR(INDEX(Data!DH$9:DH$1273,MATCH($M178,Data!$K$9:$K$1273,0)),"")</f>
        <v/>
      </c>
      <c r="BL178" s="225" t="str">
        <f>IFERROR(INDEX(Data!DI$9:DI$1273,MATCH($M178,Data!$K$9:$K$1273,0)),"")</f>
        <v/>
      </c>
      <c r="BM178" s="225" t="str">
        <f>IFERROR(INDEX(Data!DJ$9:DJ$1273,MATCH($M178,Data!$K$9:$K$1273,0)),"")</f>
        <v/>
      </c>
      <c r="BN178" s="225" t="str">
        <f>IFERROR(INDEX(Data!DK$9:DK$1273,MATCH($M178,Data!$K$9:$K$1273,0)),"")</f>
        <v/>
      </c>
      <c r="BO178" s="225" t="str">
        <f>IFERROR(INDEX(Data!DL$9:DL$1273,MATCH($M178,Data!$K$9:$K$1273,0)),"")</f>
        <v/>
      </c>
      <c r="BP178" s="243" t="str">
        <f t="shared" si="23"/>
        <v/>
      </c>
      <c r="BQ178" s="225" t="str">
        <f t="shared" si="24"/>
        <v xml:space="preserve"> </v>
      </c>
      <c r="BR178" s="225" t="str">
        <f t="shared" si="25"/>
        <v/>
      </c>
      <c r="BS178" s="225" t="str">
        <f>IFERROR(INDEX(Data!$DO$9:$DO$1273,MATCH('Your recommendation'!BR178,Data!$DN$9:$DN$1273,0)),"")</f>
        <v/>
      </c>
    </row>
    <row r="179" spans="2:71" ht="15.6" customHeight="1">
      <c r="B179" s="222" t="str">
        <f t="shared" si="26"/>
        <v/>
      </c>
      <c r="C179" s="223"/>
      <c r="D179" s="225" t="str">
        <f>IFERROR(INDEX(Data!BR$9:BR$1273,MATCH($M179,Data!$K$9:$K$1273,0)),"")</f>
        <v/>
      </c>
      <c r="E179" s="225" t="str">
        <f>IFERROR(INDEX(Data!BS$9:BS$1273,MATCH($M179,Data!$K$9:$K$1273,0)),"")</f>
        <v/>
      </c>
      <c r="F179" s="225" t="str">
        <f>IFERROR(INDEX(Data!DM$9:DM$1273,MATCH($M179,Data!$K$9:$K$1273,0)),"")</f>
        <v/>
      </c>
      <c r="G179" s="225" t="str">
        <f>IFERROR(INDEX(Data!BV$9:BV$1273,MATCH($M179,Data!$K$9:$K$1273,0)),"")</f>
        <v/>
      </c>
      <c r="H179" s="225" t="str">
        <f>IFERROR(INDEX(Data!BW$9:BW$1273,MATCH($M179,Data!$K$9:$K$1273,0)),"")</f>
        <v/>
      </c>
      <c r="I179" s="225" t="str">
        <f>IFERROR(INDEX(Data!BX$9:BX$1273,MATCH($M179,Data!$K$9:$K$1273,0)),"")</f>
        <v/>
      </c>
      <c r="J179" s="225" t="str">
        <f>IFERROR(INDEX(Data!CB$9:CB$1273,MATCH($M179,Data!$K$9:$K$1273,0)),"")</f>
        <v/>
      </c>
      <c r="K179" s="241" t="str">
        <f t="shared" si="21"/>
        <v/>
      </c>
      <c r="L179" s="242" t="str">
        <f t="shared" si="22"/>
        <v/>
      </c>
      <c r="M179" s="224"/>
      <c r="N179" s="224"/>
      <c r="O179" s="224" t="str">
        <f>IFERROR(INDEX(Data!M$9:M$1273,MATCH($M179,Data!$K$9:$K$1273,0)),"")</f>
        <v/>
      </c>
      <c r="P179" s="224" t="str">
        <f>IFERROR(INDEX(Data!N$9:N$1273,MATCH($M179,Data!$K$9:$K$1273,0)),"")</f>
        <v/>
      </c>
      <c r="Q179" s="224" t="str">
        <f>IFERROR(INDEX(Data!O$9:O$1273,MATCH($M179,Data!$K$9:$K$1273,0)),"")</f>
        <v/>
      </c>
      <c r="R179" s="224" t="str">
        <f>IFERROR(INDEX(Data!P$9:P$1273,MATCH($M179,Data!$K$9:$K$1273,0)),"")</f>
        <v/>
      </c>
      <c r="S179" s="224" t="str">
        <f>IFERROR(INDEX(Data!S$9:S$1273,MATCH($M179,Data!$K$9:$K$1273,0)),"")</f>
        <v/>
      </c>
      <c r="T179" s="224" t="str">
        <f>IFERROR(INDEX(Data!T$9:T$1273,MATCH($M179,Data!$K$9:$K$1273,0)),"")</f>
        <v/>
      </c>
      <c r="U179" s="224" t="str">
        <f>IFERROR(INDEX(Data!U$9:U$1273,MATCH($M179,Data!$K$9:$K$1273,0)),"")</f>
        <v/>
      </c>
      <c r="V179" s="224" t="str">
        <f>IFERROR(INDEX(Data!V$9:V$1273,MATCH($M179,Data!$K$9:$K$1273,0)),"")</f>
        <v/>
      </c>
      <c r="W179" s="224" t="str">
        <f>IFERROR(INDEX(Data!W$9:W$1273,MATCH($M179,Data!$K$9:$K$1273,0)),"")</f>
        <v/>
      </c>
      <c r="X179" s="224" t="str">
        <f>IFERROR(INDEX(Data!AJ$9:AJ$1273,MATCH($M179,Data!$K$9:$K$1273,0)),"")</f>
        <v/>
      </c>
      <c r="Y179" s="224" t="str">
        <f>IFERROR(INDEX(Data!AK$9:AK$1273,MATCH($M179,Data!$K$9:$K$1273,0)),"")</f>
        <v/>
      </c>
      <c r="Z179" s="224" t="str">
        <f>IFERROR(INDEX(Data!AL$9:AL$1273,MATCH($M179,Data!$K$9:$K$1273,0)),"")</f>
        <v/>
      </c>
      <c r="AA179" s="224" t="str">
        <f>IFERROR(INDEX(Data!AM$9:AM$1273,MATCH($M179,Data!$K$9:$K$1273,0)),"")</f>
        <v/>
      </c>
      <c r="AB179" s="224" t="str">
        <f>IFERROR(INDEX(Data!AN$9:AN$1273,MATCH($M179,Data!$K$9:$K$1273,0)),"")</f>
        <v/>
      </c>
      <c r="AC179" s="225" t="str">
        <f>IFERROR(INDEX(Data!BY$9:BY$1273,MATCH($M179,Data!$K$9:$K$1273,0)),"")</f>
        <v/>
      </c>
      <c r="AD179" s="225" t="str">
        <f>IFERROR(INDEX(Data!BZ$9:BZ$1273,MATCH($M179,Data!$K$9:$K$1273,0)),"")</f>
        <v/>
      </c>
      <c r="AE179" s="225" t="str">
        <f>IFERROR(INDEX(Data!CA$9:CA$1273,MATCH($M179,Data!$K$9:$K$1273,0)),"")</f>
        <v/>
      </c>
      <c r="AF179" s="225" t="str">
        <f>IFERROR(INDEX(Data!CB$9:CB$1273,MATCH($M179,Data!$K$9:$K$1273,0)),"")</f>
        <v/>
      </c>
      <c r="AG179" s="225" t="str">
        <f>IFERROR(INDEX(Data!CC$9:CC$1273,MATCH($M179,Data!$K$9:$K$1273,0)),"")</f>
        <v/>
      </c>
      <c r="AH179" s="225" t="str">
        <f>IFERROR(INDEX(Data!CD$9:CD$1273,MATCH($M179,Data!$K$9:$K$1273,0)),"")</f>
        <v/>
      </c>
      <c r="AI179" s="225" t="str">
        <f>IFERROR(INDEX(Data!CE$9:CE$1273,MATCH($M179,Data!$K$9:$K$1273,0)),"")</f>
        <v/>
      </c>
      <c r="AJ179" s="225" t="str">
        <f>IFERROR(INDEX(Data!CF$9:CF$1273,MATCH($M179,Data!$K$9:$K$1273,0)),"")</f>
        <v/>
      </c>
      <c r="AK179" s="225" t="str">
        <f>IFERROR(INDEX(Data!CG$9:CG$1273,MATCH($M179,Data!$K$9:$K$1273,0)),"")</f>
        <v/>
      </c>
      <c r="AL179" s="225" t="str">
        <f>IFERROR(INDEX(Data!CH$9:CH$1273,MATCH($M179,Data!$K$9:$K$1273,0)),"")</f>
        <v/>
      </c>
      <c r="AM179" s="225" t="str">
        <f>IFERROR(INDEX(Data!CI$9:CI$1273,MATCH($M179,Data!$K$9:$K$1273,0)),"")</f>
        <v/>
      </c>
      <c r="AN179" s="225" t="str">
        <f>IFERROR(INDEX(Data!CJ$9:CJ$1273,MATCH($M179,Data!$K$9:$K$1273,0)),"")</f>
        <v/>
      </c>
      <c r="AO179" s="225" t="str">
        <f>IFERROR(INDEX(Data!CK$9:CK$1273,MATCH($M179,Data!$K$9:$K$1273,0)),"")</f>
        <v/>
      </c>
      <c r="AP179" s="225" t="str">
        <f>IFERROR(INDEX(Data!CL$9:CL$1273,MATCH($M179,Data!$K$9:$K$1273,0)),"")</f>
        <v/>
      </c>
      <c r="AQ179" s="225" t="str">
        <f>IFERROR(INDEX(Data!CM$9:CM$1273,MATCH($M179,Data!$K$9:$K$1273,0)),"")</f>
        <v/>
      </c>
      <c r="AR179" s="225" t="str">
        <f>IFERROR(INDEX(Data!CN$9:CN$1273,MATCH($M179,Data!$K$9:$K$1273,0)),"")</f>
        <v/>
      </c>
      <c r="AS179" s="225" t="str">
        <f>IFERROR(INDEX(Data!CO$9:CO$1273,MATCH($M179,Data!$K$9:$K$1273,0)),"")</f>
        <v/>
      </c>
      <c r="AT179" s="225" t="str">
        <f>IFERROR(INDEX(Data!CP$9:CP$1273,MATCH($M179,Data!$K$9:$K$1273,0)),"")</f>
        <v/>
      </c>
      <c r="AU179" s="225" t="str">
        <f>IFERROR(INDEX(Data!CQ$9:CQ$1273,MATCH($M179,Data!$K$9:$K$1273,0)),"")</f>
        <v/>
      </c>
      <c r="AV179" s="225" t="str">
        <f>IFERROR(INDEX(Data!CR$9:CR$1273,MATCH($M179,Data!$K$9:$K$1273,0)),"")</f>
        <v/>
      </c>
      <c r="AW179" s="225" t="str">
        <f>IFERROR(INDEX(Data!CS$9:CS$1273,MATCH($M179,Data!$K$9:$K$1273,0)),"")</f>
        <v/>
      </c>
      <c r="AX179" s="225" t="str">
        <f>IFERROR(INDEX(Data!CT$9:CT$1273,MATCH($M179,Data!$K$9:$K$1273,0)),"")</f>
        <v/>
      </c>
      <c r="AY179" s="225" t="str">
        <f>IFERROR(INDEX(Data!CU$9:CU$1273,MATCH($M179,Data!$K$9:$K$1273,0)),"")</f>
        <v/>
      </c>
      <c r="AZ179" s="225" t="str">
        <f>IFERROR(INDEX(Data!CV$9:CV$1273,MATCH($M179,Data!$K$9:$K$1273,0)),"")</f>
        <v/>
      </c>
      <c r="BA179" s="225" t="str">
        <f>IFERROR(INDEX(Data!CX$9:CX$1273,MATCH($M179,Data!$K$9:$K$1273,0)),"")</f>
        <v/>
      </c>
      <c r="BB179" s="225" t="str">
        <f>IFERROR(INDEX(Data!CY$9:CY$1273,MATCH($M179,Data!$K$9:$K$1273,0)),"")</f>
        <v/>
      </c>
      <c r="BC179" s="225" t="str">
        <f>IFERROR(INDEX(Data!CZ$9:CZ$1273,MATCH($M179,Data!$K$9:$K$1273,0)),"")</f>
        <v/>
      </c>
      <c r="BD179" s="225" t="str">
        <f>IFERROR(INDEX(Data!DA$9:DA$1273,MATCH($M179,Data!$K$9:$K$1273,0)),"")</f>
        <v/>
      </c>
      <c r="BE179" s="225" t="str">
        <f>IFERROR(INDEX(Data!DB$9:DB$1273,MATCH($M179,Data!$K$9:$K$1273,0)),"")</f>
        <v/>
      </c>
      <c r="BF179" s="225" t="str">
        <f>IFERROR(INDEX(Data!DC$9:DC$1273,MATCH($M179,Data!$K$9:$K$1273,0)),"")</f>
        <v/>
      </c>
      <c r="BG179" s="225" t="str">
        <f>IFERROR(INDEX(Data!DD$9:DD$1273,MATCH($M179,Data!$K$9:$K$1273,0)),"")</f>
        <v/>
      </c>
      <c r="BH179" s="225" t="str">
        <f>IFERROR(INDEX(Data!DE$9:DE$1273,MATCH($M179,Data!$K$9:$K$1273,0)),"")</f>
        <v/>
      </c>
      <c r="BI179" s="225" t="str">
        <f>IFERROR(INDEX(Data!DF$9:DF$1273,MATCH($M179,Data!$K$9:$K$1273,0)),"")</f>
        <v/>
      </c>
      <c r="BJ179" s="225" t="str">
        <f>IFERROR(INDEX(Data!DG$9:DG$1273,MATCH($M179,Data!$K$9:$K$1273,0)),"")</f>
        <v/>
      </c>
      <c r="BK179" s="225" t="str">
        <f>IFERROR(INDEX(Data!DH$9:DH$1273,MATCH($M179,Data!$K$9:$K$1273,0)),"")</f>
        <v/>
      </c>
      <c r="BL179" s="225" t="str">
        <f>IFERROR(INDEX(Data!DI$9:DI$1273,MATCH($M179,Data!$K$9:$K$1273,0)),"")</f>
        <v/>
      </c>
      <c r="BM179" s="225" t="str">
        <f>IFERROR(INDEX(Data!DJ$9:DJ$1273,MATCH($M179,Data!$K$9:$K$1273,0)),"")</f>
        <v/>
      </c>
      <c r="BN179" s="225" t="str">
        <f>IFERROR(INDEX(Data!DK$9:DK$1273,MATCH($M179,Data!$K$9:$K$1273,0)),"")</f>
        <v/>
      </c>
      <c r="BO179" s="225" t="str">
        <f>IFERROR(INDEX(Data!DL$9:DL$1273,MATCH($M179,Data!$K$9:$K$1273,0)),"")</f>
        <v/>
      </c>
      <c r="BP179" s="243" t="str">
        <f t="shared" si="23"/>
        <v/>
      </c>
      <c r="BQ179" s="225" t="str">
        <f t="shared" si="24"/>
        <v xml:space="preserve"> </v>
      </c>
      <c r="BR179" s="225" t="str">
        <f t="shared" si="25"/>
        <v/>
      </c>
      <c r="BS179" s="225" t="str">
        <f>IFERROR(INDEX(Data!$DO$9:$DO$1273,MATCH('Your recommendation'!BR179,Data!$DN$9:$DN$1273,0)),"")</f>
        <v/>
      </c>
    </row>
    <row r="180" spans="2:71" ht="15.6" customHeight="1">
      <c r="B180" s="222" t="str">
        <f t="shared" si="26"/>
        <v/>
      </c>
      <c r="C180" s="223"/>
      <c r="D180" s="225" t="str">
        <f>IFERROR(INDEX(Data!BR$9:BR$1273,MATCH($M180,Data!$K$9:$K$1273,0)),"")</f>
        <v/>
      </c>
      <c r="E180" s="225" t="str">
        <f>IFERROR(INDEX(Data!BS$9:BS$1273,MATCH($M180,Data!$K$9:$K$1273,0)),"")</f>
        <v/>
      </c>
      <c r="F180" s="225" t="str">
        <f>IFERROR(INDEX(Data!DM$9:DM$1273,MATCH($M180,Data!$K$9:$K$1273,0)),"")</f>
        <v/>
      </c>
      <c r="G180" s="225" t="str">
        <f>IFERROR(INDEX(Data!BV$9:BV$1273,MATCH($M180,Data!$K$9:$K$1273,0)),"")</f>
        <v/>
      </c>
      <c r="H180" s="225" t="str">
        <f>IFERROR(INDEX(Data!BW$9:BW$1273,MATCH($M180,Data!$K$9:$K$1273,0)),"")</f>
        <v/>
      </c>
      <c r="I180" s="225" t="str">
        <f>IFERROR(INDEX(Data!BX$9:BX$1273,MATCH($M180,Data!$K$9:$K$1273,0)),"")</f>
        <v/>
      </c>
      <c r="J180" s="225" t="str">
        <f>IFERROR(INDEX(Data!CB$9:CB$1273,MATCH($M180,Data!$K$9:$K$1273,0)),"")</f>
        <v/>
      </c>
      <c r="K180" s="241" t="str">
        <f t="shared" si="21"/>
        <v/>
      </c>
      <c r="L180" s="242" t="str">
        <f t="shared" si="22"/>
        <v/>
      </c>
      <c r="M180" s="224"/>
      <c r="N180" s="224"/>
      <c r="O180" s="224" t="str">
        <f>IFERROR(INDEX(Data!M$9:M$1273,MATCH($M180,Data!$K$9:$K$1273,0)),"")</f>
        <v/>
      </c>
      <c r="P180" s="224" t="str">
        <f>IFERROR(INDEX(Data!N$9:N$1273,MATCH($M180,Data!$K$9:$K$1273,0)),"")</f>
        <v/>
      </c>
      <c r="Q180" s="224" t="str">
        <f>IFERROR(INDEX(Data!O$9:O$1273,MATCH($M180,Data!$K$9:$K$1273,0)),"")</f>
        <v/>
      </c>
      <c r="R180" s="224" t="str">
        <f>IFERROR(INDEX(Data!P$9:P$1273,MATCH($M180,Data!$K$9:$K$1273,0)),"")</f>
        <v/>
      </c>
      <c r="S180" s="224" t="str">
        <f>IFERROR(INDEX(Data!S$9:S$1273,MATCH($M180,Data!$K$9:$K$1273,0)),"")</f>
        <v/>
      </c>
      <c r="T180" s="224" t="str">
        <f>IFERROR(INDEX(Data!T$9:T$1273,MATCH($M180,Data!$K$9:$K$1273,0)),"")</f>
        <v/>
      </c>
      <c r="U180" s="224" t="str">
        <f>IFERROR(INDEX(Data!U$9:U$1273,MATCH($M180,Data!$K$9:$K$1273,0)),"")</f>
        <v/>
      </c>
      <c r="V180" s="224" t="str">
        <f>IFERROR(INDEX(Data!V$9:V$1273,MATCH($M180,Data!$K$9:$K$1273,0)),"")</f>
        <v/>
      </c>
      <c r="W180" s="224" t="str">
        <f>IFERROR(INDEX(Data!W$9:W$1273,MATCH($M180,Data!$K$9:$K$1273,0)),"")</f>
        <v/>
      </c>
      <c r="X180" s="224" t="str">
        <f>IFERROR(INDEX(Data!AJ$9:AJ$1273,MATCH($M180,Data!$K$9:$K$1273,0)),"")</f>
        <v/>
      </c>
      <c r="Y180" s="224" t="str">
        <f>IFERROR(INDEX(Data!AK$9:AK$1273,MATCH($M180,Data!$K$9:$K$1273,0)),"")</f>
        <v/>
      </c>
      <c r="Z180" s="224" t="str">
        <f>IFERROR(INDEX(Data!AL$9:AL$1273,MATCH($M180,Data!$K$9:$K$1273,0)),"")</f>
        <v/>
      </c>
      <c r="AA180" s="224" t="str">
        <f>IFERROR(INDEX(Data!AM$9:AM$1273,MATCH($M180,Data!$K$9:$K$1273,0)),"")</f>
        <v/>
      </c>
      <c r="AB180" s="224" t="str">
        <f>IFERROR(INDEX(Data!AN$9:AN$1273,MATCH($M180,Data!$K$9:$K$1273,0)),"")</f>
        <v/>
      </c>
      <c r="AC180" s="225" t="str">
        <f>IFERROR(INDEX(Data!BY$9:BY$1273,MATCH($M180,Data!$K$9:$K$1273,0)),"")</f>
        <v/>
      </c>
      <c r="AD180" s="225" t="str">
        <f>IFERROR(INDEX(Data!BZ$9:BZ$1273,MATCH($M180,Data!$K$9:$K$1273,0)),"")</f>
        <v/>
      </c>
      <c r="AE180" s="225" t="str">
        <f>IFERROR(INDEX(Data!CA$9:CA$1273,MATCH($M180,Data!$K$9:$K$1273,0)),"")</f>
        <v/>
      </c>
      <c r="AF180" s="225" t="str">
        <f>IFERROR(INDEX(Data!CB$9:CB$1273,MATCH($M180,Data!$K$9:$K$1273,0)),"")</f>
        <v/>
      </c>
      <c r="AG180" s="225" t="str">
        <f>IFERROR(INDEX(Data!CC$9:CC$1273,MATCH($M180,Data!$K$9:$K$1273,0)),"")</f>
        <v/>
      </c>
      <c r="AH180" s="225" t="str">
        <f>IFERROR(INDEX(Data!CD$9:CD$1273,MATCH($M180,Data!$K$9:$K$1273,0)),"")</f>
        <v/>
      </c>
      <c r="AI180" s="225" t="str">
        <f>IFERROR(INDEX(Data!CE$9:CE$1273,MATCH($M180,Data!$K$9:$K$1273,0)),"")</f>
        <v/>
      </c>
      <c r="AJ180" s="225" t="str">
        <f>IFERROR(INDEX(Data!CF$9:CF$1273,MATCH($M180,Data!$K$9:$K$1273,0)),"")</f>
        <v/>
      </c>
      <c r="AK180" s="225" t="str">
        <f>IFERROR(INDEX(Data!CG$9:CG$1273,MATCH($M180,Data!$K$9:$K$1273,0)),"")</f>
        <v/>
      </c>
      <c r="AL180" s="225" t="str">
        <f>IFERROR(INDEX(Data!CH$9:CH$1273,MATCH($M180,Data!$K$9:$K$1273,0)),"")</f>
        <v/>
      </c>
      <c r="AM180" s="225" t="str">
        <f>IFERROR(INDEX(Data!CI$9:CI$1273,MATCH($M180,Data!$K$9:$K$1273,0)),"")</f>
        <v/>
      </c>
      <c r="AN180" s="225" t="str">
        <f>IFERROR(INDEX(Data!CJ$9:CJ$1273,MATCH($M180,Data!$K$9:$K$1273,0)),"")</f>
        <v/>
      </c>
      <c r="AO180" s="225" t="str">
        <f>IFERROR(INDEX(Data!CK$9:CK$1273,MATCH($M180,Data!$K$9:$K$1273,0)),"")</f>
        <v/>
      </c>
      <c r="AP180" s="225" t="str">
        <f>IFERROR(INDEX(Data!CL$9:CL$1273,MATCH($M180,Data!$K$9:$K$1273,0)),"")</f>
        <v/>
      </c>
      <c r="AQ180" s="225" t="str">
        <f>IFERROR(INDEX(Data!CM$9:CM$1273,MATCH($M180,Data!$K$9:$K$1273,0)),"")</f>
        <v/>
      </c>
      <c r="AR180" s="225" t="str">
        <f>IFERROR(INDEX(Data!CN$9:CN$1273,MATCH($M180,Data!$K$9:$K$1273,0)),"")</f>
        <v/>
      </c>
      <c r="AS180" s="225" t="str">
        <f>IFERROR(INDEX(Data!CO$9:CO$1273,MATCH($M180,Data!$K$9:$K$1273,0)),"")</f>
        <v/>
      </c>
      <c r="AT180" s="225" t="str">
        <f>IFERROR(INDEX(Data!CP$9:CP$1273,MATCH($M180,Data!$K$9:$K$1273,0)),"")</f>
        <v/>
      </c>
      <c r="AU180" s="225" t="str">
        <f>IFERROR(INDEX(Data!CQ$9:CQ$1273,MATCH($M180,Data!$K$9:$K$1273,0)),"")</f>
        <v/>
      </c>
      <c r="AV180" s="225" t="str">
        <f>IFERROR(INDEX(Data!CR$9:CR$1273,MATCH($M180,Data!$K$9:$K$1273,0)),"")</f>
        <v/>
      </c>
      <c r="AW180" s="225" t="str">
        <f>IFERROR(INDEX(Data!CS$9:CS$1273,MATCH($M180,Data!$K$9:$K$1273,0)),"")</f>
        <v/>
      </c>
      <c r="AX180" s="225" t="str">
        <f>IFERROR(INDEX(Data!CT$9:CT$1273,MATCH($M180,Data!$K$9:$K$1273,0)),"")</f>
        <v/>
      </c>
      <c r="AY180" s="225" t="str">
        <f>IFERROR(INDEX(Data!CU$9:CU$1273,MATCH($M180,Data!$K$9:$K$1273,0)),"")</f>
        <v/>
      </c>
      <c r="AZ180" s="225" t="str">
        <f>IFERROR(INDEX(Data!CV$9:CV$1273,MATCH($M180,Data!$K$9:$K$1273,0)),"")</f>
        <v/>
      </c>
      <c r="BA180" s="225" t="str">
        <f>IFERROR(INDEX(Data!CX$9:CX$1273,MATCH($M180,Data!$K$9:$K$1273,0)),"")</f>
        <v/>
      </c>
      <c r="BB180" s="225" t="str">
        <f>IFERROR(INDEX(Data!CY$9:CY$1273,MATCH($M180,Data!$K$9:$K$1273,0)),"")</f>
        <v/>
      </c>
      <c r="BC180" s="225" t="str">
        <f>IFERROR(INDEX(Data!CZ$9:CZ$1273,MATCH($M180,Data!$K$9:$K$1273,0)),"")</f>
        <v/>
      </c>
      <c r="BD180" s="225" t="str">
        <f>IFERROR(INDEX(Data!DA$9:DA$1273,MATCH($M180,Data!$K$9:$K$1273,0)),"")</f>
        <v/>
      </c>
      <c r="BE180" s="225" t="str">
        <f>IFERROR(INDEX(Data!DB$9:DB$1273,MATCH($M180,Data!$K$9:$K$1273,0)),"")</f>
        <v/>
      </c>
      <c r="BF180" s="225" t="str">
        <f>IFERROR(INDEX(Data!DC$9:DC$1273,MATCH($M180,Data!$K$9:$K$1273,0)),"")</f>
        <v/>
      </c>
      <c r="BG180" s="225" t="str">
        <f>IFERROR(INDEX(Data!DD$9:DD$1273,MATCH($M180,Data!$K$9:$K$1273,0)),"")</f>
        <v/>
      </c>
      <c r="BH180" s="225" t="str">
        <f>IFERROR(INDEX(Data!DE$9:DE$1273,MATCH($M180,Data!$K$9:$K$1273,0)),"")</f>
        <v/>
      </c>
      <c r="BI180" s="225" t="str">
        <f>IFERROR(INDEX(Data!DF$9:DF$1273,MATCH($M180,Data!$K$9:$K$1273,0)),"")</f>
        <v/>
      </c>
      <c r="BJ180" s="225" t="str">
        <f>IFERROR(INDEX(Data!DG$9:DG$1273,MATCH($M180,Data!$K$9:$K$1273,0)),"")</f>
        <v/>
      </c>
      <c r="BK180" s="225" t="str">
        <f>IFERROR(INDEX(Data!DH$9:DH$1273,MATCH($M180,Data!$K$9:$K$1273,0)),"")</f>
        <v/>
      </c>
      <c r="BL180" s="225" t="str">
        <f>IFERROR(INDEX(Data!DI$9:DI$1273,MATCH($M180,Data!$K$9:$K$1273,0)),"")</f>
        <v/>
      </c>
      <c r="BM180" s="225" t="str">
        <f>IFERROR(INDEX(Data!DJ$9:DJ$1273,MATCH($M180,Data!$K$9:$K$1273,0)),"")</f>
        <v/>
      </c>
      <c r="BN180" s="225" t="str">
        <f>IFERROR(INDEX(Data!DK$9:DK$1273,MATCH($M180,Data!$K$9:$K$1273,0)),"")</f>
        <v/>
      </c>
      <c r="BO180" s="225" t="str">
        <f>IFERROR(INDEX(Data!DL$9:DL$1273,MATCH($M180,Data!$K$9:$K$1273,0)),"")</f>
        <v/>
      </c>
      <c r="BP180" s="243" t="str">
        <f t="shared" si="23"/>
        <v/>
      </c>
      <c r="BQ180" s="225" t="str">
        <f t="shared" si="24"/>
        <v xml:space="preserve"> </v>
      </c>
      <c r="BR180" s="225" t="str">
        <f t="shared" si="25"/>
        <v/>
      </c>
      <c r="BS180" s="225" t="str">
        <f>IFERROR(INDEX(Data!$DO$9:$DO$1273,MATCH('Your recommendation'!BR180,Data!$DN$9:$DN$1273,0)),"")</f>
        <v/>
      </c>
    </row>
    <row r="181" spans="2:71" ht="15.6" customHeight="1">
      <c r="B181" s="222" t="str">
        <f t="shared" si="26"/>
        <v/>
      </c>
      <c r="C181" s="223"/>
      <c r="D181" s="225" t="str">
        <f>IFERROR(INDEX(Data!BR$9:BR$1273,MATCH($M181,Data!$K$9:$K$1273,0)),"")</f>
        <v/>
      </c>
      <c r="E181" s="225" t="str">
        <f>IFERROR(INDEX(Data!BS$9:BS$1273,MATCH($M181,Data!$K$9:$K$1273,0)),"")</f>
        <v/>
      </c>
      <c r="F181" s="225" t="str">
        <f>IFERROR(INDEX(Data!DM$9:DM$1273,MATCH($M181,Data!$K$9:$K$1273,0)),"")</f>
        <v/>
      </c>
      <c r="G181" s="225" t="str">
        <f>IFERROR(INDEX(Data!BV$9:BV$1273,MATCH($M181,Data!$K$9:$K$1273,0)),"")</f>
        <v/>
      </c>
      <c r="H181" s="225" t="str">
        <f>IFERROR(INDEX(Data!BW$9:BW$1273,MATCH($M181,Data!$K$9:$K$1273,0)),"")</f>
        <v/>
      </c>
      <c r="I181" s="225" t="str">
        <f>IFERROR(INDEX(Data!BX$9:BX$1273,MATCH($M181,Data!$K$9:$K$1273,0)),"")</f>
        <v/>
      </c>
      <c r="J181" s="225" t="str">
        <f>IFERROR(INDEX(Data!CB$9:CB$1273,MATCH($M181,Data!$K$9:$K$1273,0)),"")</f>
        <v/>
      </c>
      <c r="K181" s="241" t="str">
        <f t="shared" si="21"/>
        <v/>
      </c>
      <c r="L181" s="242" t="str">
        <f t="shared" si="22"/>
        <v/>
      </c>
      <c r="M181" s="224"/>
      <c r="N181" s="224"/>
      <c r="O181" s="224" t="str">
        <f>IFERROR(INDEX(Data!M$9:M$1273,MATCH($M181,Data!$K$9:$K$1273,0)),"")</f>
        <v/>
      </c>
      <c r="P181" s="224" t="str">
        <f>IFERROR(INDEX(Data!N$9:N$1273,MATCH($M181,Data!$K$9:$K$1273,0)),"")</f>
        <v/>
      </c>
      <c r="Q181" s="224" t="str">
        <f>IFERROR(INDEX(Data!O$9:O$1273,MATCH($M181,Data!$K$9:$K$1273,0)),"")</f>
        <v/>
      </c>
      <c r="R181" s="224" t="str">
        <f>IFERROR(INDEX(Data!P$9:P$1273,MATCH($M181,Data!$K$9:$K$1273,0)),"")</f>
        <v/>
      </c>
      <c r="S181" s="224" t="str">
        <f>IFERROR(INDEX(Data!S$9:S$1273,MATCH($M181,Data!$K$9:$K$1273,0)),"")</f>
        <v/>
      </c>
      <c r="T181" s="224" t="str">
        <f>IFERROR(INDEX(Data!T$9:T$1273,MATCH($M181,Data!$K$9:$K$1273,0)),"")</f>
        <v/>
      </c>
      <c r="U181" s="224" t="str">
        <f>IFERROR(INDEX(Data!U$9:U$1273,MATCH($M181,Data!$K$9:$K$1273,0)),"")</f>
        <v/>
      </c>
      <c r="V181" s="224" t="str">
        <f>IFERROR(INDEX(Data!V$9:V$1273,MATCH($M181,Data!$K$9:$K$1273,0)),"")</f>
        <v/>
      </c>
      <c r="W181" s="224" t="str">
        <f>IFERROR(INDEX(Data!W$9:W$1273,MATCH($M181,Data!$K$9:$K$1273,0)),"")</f>
        <v/>
      </c>
      <c r="X181" s="224" t="str">
        <f>IFERROR(INDEX(Data!AJ$9:AJ$1273,MATCH($M181,Data!$K$9:$K$1273,0)),"")</f>
        <v/>
      </c>
      <c r="Y181" s="224" t="str">
        <f>IFERROR(INDEX(Data!AK$9:AK$1273,MATCH($M181,Data!$K$9:$K$1273,0)),"")</f>
        <v/>
      </c>
      <c r="Z181" s="224" t="str">
        <f>IFERROR(INDEX(Data!AL$9:AL$1273,MATCH($M181,Data!$K$9:$K$1273,0)),"")</f>
        <v/>
      </c>
      <c r="AA181" s="224" t="str">
        <f>IFERROR(INDEX(Data!AM$9:AM$1273,MATCH($M181,Data!$K$9:$K$1273,0)),"")</f>
        <v/>
      </c>
      <c r="AB181" s="224" t="str">
        <f>IFERROR(INDEX(Data!AN$9:AN$1273,MATCH($M181,Data!$K$9:$K$1273,0)),"")</f>
        <v/>
      </c>
      <c r="AC181" s="225" t="str">
        <f>IFERROR(INDEX(Data!BY$9:BY$1273,MATCH($M181,Data!$K$9:$K$1273,0)),"")</f>
        <v/>
      </c>
      <c r="AD181" s="225" t="str">
        <f>IFERROR(INDEX(Data!BZ$9:BZ$1273,MATCH($M181,Data!$K$9:$K$1273,0)),"")</f>
        <v/>
      </c>
      <c r="AE181" s="225" t="str">
        <f>IFERROR(INDEX(Data!CA$9:CA$1273,MATCH($M181,Data!$K$9:$K$1273,0)),"")</f>
        <v/>
      </c>
      <c r="AF181" s="225" t="str">
        <f>IFERROR(INDEX(Data!CB$9:CB$1273,MATCH($M181,Data!$K$9:$K$1273,0)),"")</f>
        <v/>
      </c>
      <c r="AG181" s="225" t="str">
        <f>IFERROR(INDEX(Data!CC$9:CC$1273,MATCH($M181,Data!$K$9:$K$1273,0)),"")</f>
        <v/>
      </c>
      <c r="AH181" s="225" t="str">
        <f>IFERROR(INDEX(Data!CD$9:CD$1273,MATCH($M181,Data!$K$9:$K$1273,0)),"")</f>
        <v/>
      </c>
      <c r="AI181" s="225" t="str">
        <f>IFERROR(INDEX(Data!CE$9:CE$1273,MATCH($M181,Data!$K$9:$K$1273,0)),"")</f>
        <v/>
      </c>
      <c r="AJ181" s="225" t="str">
        <f>IFERROR(INDEX(Data!CF$9:CF$1273,MATCH($M181,Data!$K$9:$K$1273,0)),"")</f>
        <v/>
      </c>
      <c r="AK181" s="225" t="str">
        <f>IFERROR(INDEX(Data!CG$9:CG$1273,MATCH($M181,Data!$K$9:$K$1273,0)),"")</f>
        <v/>
      </c>
      <c r="AL181" s="225" t="str">
        <f>IFERROR(INDEX(Data!CH$9:CH$1273,MATCH($M181,Data!$K$9:$K$1273,0)),"")</f>
        <v/>
      </c>
      <c r="AM181" s="225" t="str">
        <f>IFERROR(INDEX(Data!CI$9:CI$1273,MATCH($M181,Data!$K$9:$K$1273,0)),"")</f>
        <v/>
      </c>
      <c r="AN181" s="225" t="str">
        <f>IFERROR(INDEX(Data!CJ$9:CJ$1273,MATCH($M181,Data!$K$9:$K$1273,0)),"")</f>
        <v/>
      </c>
      <c r="AO181" s="225" t="str">
        <f>IFERROR(INDEX(Data!CK$9:CK$1273,MATCH($M181,Data!$K$9:$K$1273,0)),"")</f>
        <v/>
      </c>
      <c r="AP181" s="225" t="str">
        <f>IFERROR(INDEX(Data!CL$9:CL$1273,MATCH($M181,Data!$K$9:$K$1273,0)),"")</f>
        <v/>
      </c>
      <c r="AQ181" s="225" t="str">
        <f>IFERROR(INDEX(Data!CM$9:CM$1273,MATCH($M181,Data!$K$9:$K$1273,0)),"")</f>
        <v/>
      </c>
      <c r="AR181" s="225" t="str">
        <f>IFERROR(INDEX(Data!CN$9:CN$1273,MATCH($M181,Data!$K$9:$K$1273,0)),"")</f>
        <v/>
      </c>
      <c r="AS181" s="225" t="str">
        <f>IFERROR(INDEX(Data!CO$9:CO$1273,MATCH($M181,Data!$K$9:$K$1273,0)),"")</f>
        <v/>
      </c>
      <c r="AT181" s="225" t="str">
        <f>IFERROR(INDEX(Data!CP$9:CP$1273,MATCH($M181,Data!$K$9:$K$1273,0)),"")</f>
        <v/>
      </c>
      <c r="AU181" s="225" t="str">
        <f>IFERROR(INDEX(Data!CQ$9:CQ$1273,MATCH($M181,Data!$K$9:$K$1273,0)),"")</f>
        <v/>
      </c>
      <c r="AV181" s="225" t="str">
        <f>IFERROR(INDEX(Data!CR$9:CR$1273,MATCH($M181,Data!$K$9:$K$1273,0)),"")</f>
        <v/>
      </c>
      <c r="AW181" s="225" t="str">
        <f>IFERROR(INDEX(Data!CS$9:CS$1273,MATCH($M181,Data!$K$9:$K$1273,0)),"")</f>
        <v/>
      </c>
      <c r="AX181" s="225" t="str">
        <f>IFERROR(INDEX(Data!CT$9:CT$1273,MATCH($M181,Data!$K$9:$K$1273,0)),"")</f>
        <v/>
      </c>
      <c r="AY181" s="225" t="str">
        <f>IFERROR(INDEX(Data!CU$9:CU$1273,MATCH($M181,Data!$K$9:$K$1273,0)),"")</f>
        <v/>
      </c>
      <c r="AZ181" s="225" t="str">
        <f>IFERROR(INDEX(Data!CV$9:CV$1273,MATCH($M181,Data!$K$9:$K$1273,0)),"")</f>
        <v/>
      </c>
      <c r="BA181" s="225" t="str">
        <f>IFERROR(INDEX(Data!CX$9:CX$1273,MATCH($M181,Data!$K$9:$K$1273,0)),"")</f>
        <v/>
      </c>
      <c r="BB181" s="225" t="str">
        <f>IFERROR(INDEX(Data!CY$9:CY$1273,MATCH($M181,Data!$K$9:$K$1273,0)),"")</f>
        <v/>
      </c>
      <c r="BC181" s="225" t="str">
        <f>IFERROR(INDEX(Data!CZ$9:CZ$1273,MATCH($M181,Data!$K$9:$K$1273,0)),"")</f>
        <v/>
      </c>
      <c r="BD181" s="225" t="str">
        <f>IFERROR(INDEX(Data!DA$9:DA$1273,MATCH($M181,Data!$K$9:$K$1273,0)),"")</f>
        <v/>
      </c>
      <c r="BE181" s="225" t="str">
        <f>IFERROR(INDEX(Data!DB$9:DB$1273,MATCH($M181,Data!$K$9:$K$1273,0)),"")</f>
        <v/>
      </c>
      <c r="BF181" s="225" t="str">
        <f>IFERROR(INDEX(Data!DC$9:DC$1273,MATCH($M181,Data!$K$9:$K$1273,0)),"")</f>
        <v/>
      </c>
      <c r="BG181" s="225" t="str">
        <f>IFERROR(INDEX(Data!DD$9:DD$1273,MATCH($M181,Data!$K$9:$K$1273,0)),"")</f>
        <v/>
      </c>
      <c r="BH181" s="225" t="str">
        <f>IFERROR(INDEX(Data!DE$9:DE$1273,MATCH($M181,Data!$K$9:$K$1273,0)),"")</f>
        <v/>
      </c>
      <c r="BI181" s="225" t="str">
        <f>IFERROR(INDEX(Data!DF$9:DF$1273,MATCH($M181,Data!$K$9:$K$1273,0)),"")</f>
        <v/>
      </c>
      <c r="BJ181" s="225" t="str">
        <f>IFERROR(INDEX(Data!DG$9:DG$1273,MATCH($M181,Data!$K$9:$K$1273,0)),"")</f>
        <v/>
      </c>
      <c r="BK181" s="225" t="str">
        <f>IFERROR(INDEX(Data!DH$9:DH$1273,MATCH($M181,Data!$K$9:$K$1273,0)),"")</f>
        <v/>
      </c>
      <c r="BL181" s="225" t="str">
        <f>IFERROR(INDEX(Data!DI$9:DI$1273,MATCH($M181,Data!$K$9:$K$1273,0)),"")</f>
        <v/>
      </c>
      <c r="BM181" s="225" t="str">
        <f>IFERROR(INDEX(Data!DJ$9:DJ$1273,MATCH($M181,Data!$K$9:$K$1273,0)),"")</f>
        <v/>
      </c>
      <c r="BN181" s="225" t="str">
        <f>IFERROR(INDEX(Data!DK$9:DK$1273,MATCH($M181,Data!$K$9:$K$1273,0)),"")</f>
        <v/>
      </c>
      <c r="BO181" s="225" t="str">
        <f>IFERROR(INDEX(Data!DL$9:DL$1273,MATCH($M181,Data!$K$9:$K$1273,0)),"")</f>
        <v/>
      </c>
      <c r="BP181" s="243" t="str">
        <f t="shared" si="23"/>
        <v/>
      </c>
      <c r="BQ181" s="225" t="str">
        <f t="shared" si="24"/>
        <v xml:space="preserve"> </v>
      </c>
      <c r="BR181" s="225" t="str">
        <f t="shared" si="25"/>
        <v/>
      </c>
      <c r="BS181" s="225" t="str">
        <f>IFERROR(INDEX(Data!$DO$9:$DO$1273,MATCH('Your recommendation'!BR181,Data!$DN$9:$DN$1273,0)),"")</f>
        <v/>
      </c>
    </row>
    <row r="182" spans="2:71" ht="15.6" customHeight="1">
      <c r="B182" s="222" t="str">
        <f t="shared" si="26"/>
        <v/>
      </c>
      <c r="C182" s="223"/>
      <c r="D182" s="225" t="str">
        <f>IFERROR(INDEX(Data!BR$9:BR$1273,MATCH($M182,Data!$K$9:$K$1273,0)),"")</f>
        <v/>
      </c>
      <c r="E182" s="225" t="str">
        <f>IFERROR(INDEX(Data!BS$9:BS$1273,MATCH($M182,Data!$K$9:$K$1273,0)),"")</f>
        <v/>
      </c>
      <c r="F182" s="225" t="str">
        <f>IFERROR(INDEX(Data!DM$9:DM$1273,MATCH($M182,Data!$K$9:$K$1273,0)),"")</f>
        <v/>
      </c>
      <c r="G182" s="225" t="str">
        <f>IFERROR(INDEX(Data!BV$9:BV$1273,MATCH($M182,Data!$K$9:$K$1273,0)),"")</f>
        <v/>
      </c>
      <c r="H182" s="225" t="str">
        <f>IFERROR(INDEX(Data!BW$9:BW$1273,MATCH($M182,Data!$K$9:$K$1273,0)),"")</f>
        <v/>
      </c>
      <c r="I182" s="225" t="str">
        <f>IFERROR(INDEX(Data!BX$9:BX$1273,MATCH($M182,Data!$K$9:$K$1273,0)),"")</f>
        <v/>
      </c>
      <c r="J182" s="225" t="str">
        <f>IFERROR(INDEX(Data!CB$9:CB$1273,MATCH($M182,Data!$K$9:$K$1273,0)),"")</f>
        <v/>
      </c>
      <c r="K182" s="241" t="str">
        <f t="shared" si="21"/>
        <v/>
      </c>
      <c r="L182" s="242" t="str">
        <f t="shared" si="22"/>
        <v/>
      </c>
      <c r="M182" s="224"/>
      <c r="N182" s="224"/>
      <c r="O182" s="224" t="str">
        <f>IFERROR(INDEX(Data!M$9:M$1273,MATCH($M182,Data!$K$9:$K$1273,0)),"")</f>
        <v/>
      </c>
      <c r="P182" s="224" t="str">
        <f>IFERROR(INDEX(Data!N$9:N$1273,MATCH($M182,Data!$K$9:$K$1273,0)),"")</f>
        <v/>
      </c>
      <c r="Q182" s="224" t="str">
        <f>IFERROR(INDEX(Data!O$9:O$1273,MATCH($M182,Data!$K$9:$K$1273,0)),"")</f>
        <v/>
      </c>
      <c r="R182" s="224" t="str">
        <f>IFERROR(INDEX(Data!P$9:P$1273,MATCH($M182,Data!$K$9:$K$1273,0)),"")</f>
        <v/>
      </c>
      <c r="S182" s="224" t="str">
        <f>IFERROR(INDEX(Data!S$9:S$1273,MATCH($M182,Data!$K$9:$K$1273,0)),"")</f>
        <v/>
      </c>
      <c r="T182" s="224" t="str">
        <f>IFERROR(INDEX(Data!T$9:T$1273,MATCH($M182,Data!$K$9:$K$1273,0)),"")</f>
        <v/>
      </c>
      <c r="U182" s="224" t="str">
        <f>IFERROR(INDEX(Data!U$9:U$1273,MATCH($M182,Data!$K$9:$K$1273,0)),"")</f>
        <v/>
      </c>
      <c r="V182" s="224" t="str">
        <f>IFERROR(INDEX(Data!V$9:V$1273,MATCH($M182,Data!$K$9:$K$1273,0)),"")</f>
        <v/>
      </c>
      <c r="W182" s="224" t="str">
        <f>IFERROR(INDEX(Data!W$9:W$1273,MATCH($M182,Data!$K$9:$K$1273,0)),"")</f>
        <v/>
      </c>
      <c r="X182" s="224" t="str">
        <f>IFERROR(INDEX(Data!AJ$9:AJ$1273,MATCH($M182,Data!$K$9:$K$1273,0)),"")</f>
        <v/>
      </c>
      <c r="Y182" s="224" t="str">
        <f>IFERROR(INDEX(Data!AK$9:AK$1273,MATCH($M182,Data!$K$9:$K$1273,0)),"")</f>
        <v/>
      </c>
      <c r="Z182" s="224" t="str">
        <f>IFERROR(INDEX(Data!AL$9:AL$1273,MATCH($M182,Data!$K$9:$K$1273,0)),"")</f>
        <v/>
      </c>
      <c r="AA182" s="224" t="str">
        <f>IFERROR(INDEX(Data!AM$9:AM$1273,MATCH($M182,Data!$K$9:$K$1273,0)),"")</f>
        <v/>
      </c>
      <c r="AB182" s="224" t="str">
        <f>IFERROR(INDEX(Data!AN$9:AN$1273,MATCH($M182,Data!$K$9:$K$1273,0)),"")</f>
        <v/>
      </c>
      <c r="AC182" s="225" t="str">
        <f>IFERROR(INDEX(Data!BY$9:BY$1273,MATCH($M182,Data!$K$9:$K$1273,0)),"")</f>
        <v/>
      </c>
      <c r="AD182" s="225" t="str">
        <f>IFERROR(INDEX(Data!BZ$9:BZ$1273,MATCH($M182,Data!$K$9:$K$1273,0)),"")</f>
        <v/>
      </c>
      <c r="AE182" s="225" t="str">
        <f>IFERROR(INDEX(Data!CA$9:CA$1273,MATCH($M182,Data!$K$9:$K$1273,0)),"")</f>
        <v/>
      </c>
      <c r="AF182" s="225" t="str">
        <f>IFERROR(INDEX(Data!CB$9:CB$1273,MATCH($M182,Data!$K$9:$K$1273,0)),"")</f>
        <v/>
      </c>
      <c r="AG182" s="225" t="str">
        <f>IFERROR(INDEX(Data!CC$9:CC$1273,MATCH($M182,Data!$K$9:$K$1273,0)),"")</f>
        <v/>
      </c>
      <c r="AH182" s="225" t="str">
        <f>IFERROR(INDEX(Data!CD$9:CD$1273,MATCH($M182,Data!$K$9:$K$1273,0)),"")</f>
        <v/>
      </c>
      <c r="AI182" s="225" t="str">
        <f>IFERROR(INDEX(Data!CE$9:CE$1273,MATCH($M182,Data!$K$9:$K$1273,0)),"")</f>
        <v/>
      </c>
      <c r="AJ182" s="225" t="str">
        <f>IFERROR(INDEX(Data!CF$9:CF$1273,MATCH($M182,Data!$K$9:$K$1273,0)),"")</f>
        <v/>
      </c>
      <c r="AK182" s="225" t="str">
        <f>IFERROR(INDEX(Data!CG$9:CG$1273,MATCH($M182,Data!$K$9:$K$1273,0)),"")</f>
        <v/>
      </c>
      <c r="AL182" s="225" t="str">
        <f>IFERROR(INDEX(Data!CH$9:CH$1273,MATCH($M182,Data!$K$9:$K$1273,0)),"")</f>
        <v/>
      </c>
      <c r="AM182" s="225" t="str">
        <f>IFERROR(INDEX(Data!CI$9:CI$1273,MATCH($M182,Data!$K$9:$K$1273,0)),"")</f>
        <v/>
      </c>
      <c r="AN182" s="225" t="str">
        <f>IFERROR(INDEX(Data!CJ$9:CJ$1273,MATCH($M182,Data!$K$9:$K$1273,0)),"")</f>
        <v/>
      </c>
      <c r="AO182" s="225" t="str">
        <f>IFERROR(INDEX(Data!CK$9:CK$1273,MATCH($M182,Data!$K$9:$K$1273,0)),"")</f>
        <v/>
      </c>
      <c r="AP182" s="225" t="str">
        <f>IFERROR(INDEX(Data!CL$9:CL$1273,MATCH($M182,Data!$K$9:$K$1273,0)),"")</f>
        <v/>
      </c>
      <c r="AQ182" s="225" t="str">
        <f>IFERROR(INDEX(Data!CM$9:CM$1273,MATCH($M182,Data!$K$9:$K$1273,0)),"")</f>
        <v/>
      </c>
      <c r="AR182" s="225" t="str">
        <f>IFERROR(INDEX(Data!CN$9:CN$1273,MATCH($M182,Data!$K$9:$K$1273,0)),"")</f>
        <v/>
      </c>
      <c r="AS182" s="225" t="str">
        <f>IFERROR(INDEX(Data!CO$9:CO$1273,MATCH($M182,Data!$K$9:$K$1273,0)),"")</f>
        <v/>
      </c>
      <c r="AT182" s="225" t="str">
        <f>IFERROR(INDEX(Data!CP$9:CP$1273,MATCH($M182,Data!$K$9:$K$1273,0)),"")</f>
        <v/>
      </c>
      <c r="AU182" s="225" t="str">
        <f>IFERROR(INDEX(Data!CQ$9:CQ$1273,MATCH($M182,Data!$K$9:$K$1273,0)),"")</f>
        <v/>
      </c>
      <c r="AV182" s="225" t="str">
        <f>IFERROR(INDEX(Data!CR$9:CR$1273,MATCH($M182,Data!$K$9:$K$1273,0)),"")</f>
        <v/>
      </c>
      <c r="AW182" s="225" t="str">
        <f>IFERROR(INDEX(Data!CS$9:CS$1273,MATCH($M182,Data!$K$9:$K$1273,0)),"")</f>
        <v/>
      </c>
      <c r="AX182" s="225" t="str">
        <f>IFERROR(INDEX(Data!CT$9:CT$1273,MATCH($M182,Data!$K$9:$K$1273,0)),"")</f>
        <v/>
      </c>
      <c r="AY182" s="225" t="str">
        <f>IFERROR(INDEX(Data!CU$9:CU$1273,MATCH($M182,Data!$K$9:$K$1273,0)),"")</f>
        <v/>
      </c>
      <c r="AZ182" s="225" t="str">
        <f>IFERROR(INDEX(Data!CV$9:CV$1273,MATCH($M182,Data!$K$9:$K$1273,0)),"")</f>
        <v/>
      </c>
      <c r="BA182" s="225" t="str">
        <f>IFERROR(INDEX(Data!CX$9:CX$1273,MATCH($M182,Data!$K$9:$K$1273,0)),"")</f>
        <v/>
      </c>
      <c r="BB182" s="225" t="str">
        <f>IFERROR(INDEX(Data!CY$9:CY$1273,MATCH($M182,Data!$K$9:$K$1273,0)),"")</f>
        <v/>
      </c>
      <c r="BC182" s="225" t="str">
        <f>IFERROR(INDEX(Data!CZ$9:CZ$1273,MATCH($M182,Data!$K$9:$K$1273,0)),"")</f>
        <v/>
      </c>
      <c r="BD182" s="225" t="str">
        <f>IFERROR(INDEX(Data!DA$9:DA$1273,MATCH($M182,Data!$K$9:$K$1273,0)),"")</f>
        <v/>
      </c>
      <c r="BE182" s="225" t="str">
        <f>IFERROR(INDEX(Data!DB$9:DB$1273,MATCH($M182,Data!$K$9:$K$1273,0)),"")</f>
        <v/>
      </c>
      <c r="BF182" s="225" t="str">
        <f>IFERROR(INDEX(Data!DC$9:DC$1273,MATCH($M182,Data!$K$9:$K$1273,0)),"")</f>
        <v/>
      </c>
      <c r="BG182" s="225" t="str">
        <f>IFERROR(INDEX(Data!DD$9:DD$1273,MATCH($M182,Data!$K$9:$K$1273,0)),"")</f>
        <v/>
      </c>
      <c r="BH182" s="225" t="str">
        <f>IFERROR(INDEX(Data!DE$9:DE$1273,MATCH($M182,Data!$K$9:$K$1273,0)),"")</f>
        <v/>
      </c>
      <c r="BI182" s="225" t="str">
        <f>IFERROR(INDEX(Data!DF$9:DF$1273,MATCH($M182,Data!$K$9:$K$1273,0)),"")</f>
        <v/>
      </c>
      <c r="BJ182" s="225" t="str">
        <f>IFERROR(INDEX(Data!DG$9:DG$1273,MATCH($M182,Data!$K$9:$K$1273,0)),"")</f>
        <v/>
      </c>
      <c r="BK182" s="225" t="str">
        <f>IFERROR(INDEX(Data!DH$9:DH$1273,MATCH($M182,Data!$K$9:$K$1273,0)),"")</f>
        <v/>
      </c>
      <c r="BL182" s="225" t="str">
        <f>IFERROR(INDEX(Data!DI$9:DI$1273,MATCH($M182,Data!$K$9:$K$1273,0)),"")</f>
        <v/>
      </c>
      <c r="BM182" s="225" t="str">
        <f>IFERROR(INDEX(Data!DJ$9:DJ$1273,MATCH($M182,Data!$K$9:$K$1273,0)),"")</f>
        <v/>
      </c>
      <c r="BN182" s="225" t="str">
        <f>IFERROR(INDEX(Data!DK$9:DK$1273,MATCH($M182,Data!$K$9:$K$1273,0)),"")</f>
        <v/>
      </c>
      <c r="BO182" s="225" t="str">
        <f>IFERROR(INDEX(Data!DL$9:DL$1273,MATCH($M182,Data!$K$9:$K$1273,0)),"")</f>
        <v/>
      </c>
      <c r="BP182" s="243" t="str">
        <f t="shared" si="23"/>
        <v/>
      </c>
      <c r="BQ182" s="225" t="str">
        <f t="shared" si="24"/>
        <v xml:space="preserve"> </v>
      </c>
      <c r="BR182" s="225" t="str">
        <f t="shared" si="25"/>
        <v/>
      </c>
      <c r="BS182" s="225" t="str">
        <f>IFERROR(INDEX(Data!$DO$9:$DO$1273,MATCH('Your recommendation'!BR182,Data!$DN$9:$DN$1273,0)),"")</f>
        <v/>
      </c>
    </row>
    <row r="183" spans="2:71" ht="15.6" customHeight="1">
      <c r="B183" s="222" t="str">
        <f t="shared" si="26"/>
        <v/>
      </c>
      <c r="C183" s="223"/>
      <c r="D183" s="225" t="str">
        <f>IFERROR(INDEX(Data!BR$9:BR$1273,MATCH($M183,Data!$K$9:$K$1273,0)),"")</f>
        <v/>
      </c>
      <c r="E183" s="225" t="str">
        <f>IFERROR(INDEX(Data!BS$9:BS$1273,MATCH($M183,Data!$K$9:$K$1273,0)),"")</f>
        <v/>
      </c>
      <c r="F183" s="225" t="str">
        <f>IFERROR(INDEX(Data!DM$9:DM$1273,MATCH($M183,Data!$K$9:$K$1273,0)),"")</f>
        <v/>
      </c>
      <c r="G183" s="225" t="str">
        <f>IFERROR(INDEX(Data!BV$9:BV$1273,MATCH($M183,Data!$K$9:$K$1273,0)),"")</f>
        <v/>
      </c>
      <c r="H183" s="225" t="str">
        <f>IFERROR(INDEX(Data!BW$9:BW$1273,MATCH($M183,Data!$K$9:$K$1273,0)),"")</f>
        <v/>
      </c>
      <c r="I183" s="225" t="str">
        <f>IFERROR(INDEX(Data!BX$9:BX$1273,MATCH($M183,Data!$K$9:$K$1273,0)),"")</f>
        <v/>
      </c>
      <c r="J183" s="225" t="str">
        <f>IFERROR(INDEX(Data!CB$9:CB$1273,MATCH($M183,Data!$K$9:$K$1273,0)),"")</f>
        <v/>
      </c>
      <c r="K183" s="241" t="str">
        <f t="shared" si="21"/>
        <v/>
      </c>
      <c r="L183" s="242" t="str">
        <f t="shared" si="22"/>
        <v/>
      </c>
      <c r="M183" s="224"/>
      <c r="N183" s="224"/>
      <c r="O183" s="224" t="str">
        <f>IFERROR(INDEX(Data!M$9:M$1273,MATCH($M183,Data!$K$9:$K$1273,0)),"")</f>
        <v/>
      </c>
      <c r="P183" s="224" t="str">
        <f>IFERROR(INDEX(Data!N$9:N$1273,MATCH($M183,Data!$K$9:$K$1273,0)),"")</f>
        <v/>
      </c>
      <c r="Q183" s="224" t="str">
        <f>IFERROR(INDEX(Data!O$9:O$1273,MATCH($M183,Data!$K$9:$K$1273,0)),"")</f>
        <v/>
      </c>
      <c r="R183" s="224" t="str">
        <f>IFERROR(INDEX(Data!P$9:P$1273,MATCH($M183,Data!$K$9:$K$1273,0)),"")</f>
        <v/>
      </c>
      <c r="S183" s="224" t="str">
        <f>IFERROR(INDEX(Data!S$9:S$1273,MATCH($M183,Data!$K$9:$K$1273,0)),"")</f>
        <v/>
      </c>
      <c r="T183" s="224" t="str">
        <f>IFERROR(INDEX(Data!T$9:T$1273,MATCH($M183,Data!$K$9:$K$1273,0)),"")</f>
        <v/>
      </c>
      <c r="U183" s="224" t="str">
        <f>IFERROR(INDEX(Data!U$9:U$1273,MATCH($M183,Data!$K$9:$K$1273,0)),"")</f>
        <v/>
      </c>
      <c r="V183" s="224" t="str">
        <f>IFERROR(INDEX(Data!V$9:V$1273,MATCH($M183,Data!$K$9:$K$1273,0)),"")</f>
        <v/>
      </c>
      <c r="W183" s="224" t="str">
        <f>IFERROR(INDEX(Data!W$9:W$1273,MATCH($M183,Data!$K$9:$K$1273,0)),"")</f>
        <v/>
      </c>
      <c r="X183" s="224" t="str">
        <f>IFERROR(INDEX(Data!AJ$9:AJ$1273,MATCH($M183,Data!$K$9:$K$1273,0)),"")</f>
        <v/>
      </c>
      <c r="Y183" s="224" t="str">
        <f>IFERROR(INDEX(Data!AK$9:AK$1273,MATCH($M183,Data!$K$9:$K$1273,0)),"")</f>
        <v/>
      </c>
      <c r="Z183" s="224" t="str">
        <f>IFERROR(INDEX(Data!AL$9:AL$1273,MATCH($M183,Data!$K$9:$K$1273,0)),"")</f>
        <v/>
      </c>
      <c r="AA183" s="224" t="str">
        <f>IFERROR(INDEX(Data!AM$9:AM$1273,MATCH($M183,Data!$K$9:$K$1273,0)),"")</f>
        <v/>
      </c>
      <c r="AB183" s="224" t="str">
        <f>IFERROR(INDEX(Data!AN$9:AN$1273,MATCH($M183,Data!$K$9:$K$1273,0)),"")</f>
        <v/>
      </c>
      <c r="AC183" s="225" t="str">
        <f>IFERROR(INDEX(Data!BY$9:BY$1273,MATCH($M183,Data!$K$9:$K$1273,0)),"")</f>
        <v/>
      </c>
      <c r="AD183" s="225" t="str">
        <f>IFERROR(INDEX(Data!BZ$9:BZ$1273,MATCH($M183,Data!$K$9:$K$1273,0)),"")</f>
        <v/>
      </c>
      <c r="AE183" s="225" t="str">
        <f>IFERROR(INDEX(Data!CA$9:CA$1273,MATCH($M183,Data!$K$9:$K$1273,0)),"")</f>
        <v/>
      </c>
      <c r="AF183" s="225" t="str">
        <f>IFERROR(INDEX(Data!CB$9:CB$1273,MATCH($M183,Data!$K$9:$K$1273,0)),"")</f>
        <v/>
      </c>
      <c r="AG183" s="225" t="str">
        <f>IFERROR(INDEX(Data!CC$9:CC$1273,MATCH($M183,Data!$K$9:$K$1273,0)),"")</f>
        <v/>
      </c>
      <c r="AH183" s="225" t="str">
        <f>IFERROR(INDEX(Data!CD$9:CD$1273,MATCH($M183,Data!$K$9:$K$1273,0)),"")</f>
        <v/>
      </c>
      <c r="AI183" s="225" t="str">
        <f>IFERROR(INDEX(Data!CE$9:CE$1273,MATCH($M183,Data!$K$9:$K$1273,0)),"")</f>
        <v/>
      </c>
      <c r="AJ183" s="225" t="str">
        <f>IFERROR(INDEX(Data!CF$9:CF$1273,MATCH($M183,Data!$K$9:$K$1273,0)),"")</f>
        <v/>
      </c>
      <c r="AK183" s="225" t="str">
        <f>IFERROR(INDEX(Data!CG$9:CG$1273,MATCH($M183,Data!$K$9:$K$1273,0)),"")</f>
        <v/>
      </c>
      <c r="AL183" s="225" t="str">
        <f>IFERROR(INDEX(Data!CH$9:CH$1273,MATCH($M183,Data!$K$9:$K$1273,0)),"")</f>
        <v/>
      </c>
      <c r="AM183" s="225" t="str">
        <f>IFERROR(INDEX(Data!CI$9:CI$1273,MATCH($M183,Data!$K$9:$K$1273,0)),"")</f>
        <v/>
      </c>
      <c r="AN183" s="225" t="str">
        <f>IFERROR(INDEX(Data!CJ$9:CJ$1273,MATCH($M183,Data!$K$9:$K$1273,0)),"")</f>
        <v/>
      </c>
      <c r="AO183" s="225" t="str">
        <f>IFERROR(INDEX(Data!CK$9:CK$1273,MATCH($M183,Data!$K$9:$K$1273,0)),"")</f>
        <v/>
      </c>
      <c r="AP183" s="225" t="str">
        <f>IFERROR(INDEX(Data!CL$9:CL$1273,MATCH($M183,Data!$K$9:$K$1273,0)),"")</f>
        <v/>
      </c>
      <c r="AQ183" s="225" t="str">
        <f>IFERROR(INDEX(Data!CM$9:CM$1273,MATCH($M183,Data!$K$9:$K$1273,0)),"")</f>
        <v/>
      </c>
      <c r="AR183" s="225" t="str">
        <f>IFERROR(INDEX(Data!CN$9:CN$1273,MATCH($M183,Data!$K$9:$K$1273,0)),"")</f>
        <v/>
      </c>
      <c r="AS183" s="225" t="str">
        <f>IFERROR(INDEX(Data!CO$9:CO$1273,MATCH($M183,Data!$K$9:$K$1273,0)),"")</f>
        <v/>
      </c>
      <c r="AT183" s="225" t="str">
        <f>IFERROR(INDEX(Data!CP$9:CP$1273,MATCH($M183,Data!$K$9:$K$1273,0)),"")</f>
        <v/>
      </c>
      <c r="AU183" s="225" t="str">
        <f>IFERROR(INDEX(Data!CQ$9:CQ$1273,MATCH($M183,Data!$K$9:$K$1273,0)),"")</f>
        <v/>
      </c>
      <c r="AV183" s="225" t="str">
        <f>IFERROR(INDEX(Data!CR$9:CR$1273,MATCH($M183,Data!$K$9:$K$1273,0)),"")</f>
        <v/>
      </c>
      <c r="AW183" s="225" t="str">
        <f>IFERROR(INDEX(Data!CS$9:CS$1273,MATCH($M183,Data!$K$9:$K$1273,0)),"")</f>
        <v/>
      </c>
      <c r="AX183" s="225" t="str">
        <f>IFERROR(INDEX(Data!CT$9:CT$1273,MATCH($M183,Data!$K$9:$K$1273,0)),"")</f>
        <v/>
      </c>
      <c r="AY183" s="225" t="str">
        <f>IFERROR(INDEX(Data!CU$9:CU$1273,MATCH($M183,Data!$K$9:$K$1273,0)),"")</f>
        <v/>
      </c>
      <c r="AZ183" s="225" t="str">
        <f>IFERROR(INDEX(Data!CV$9:CV$1273,MATCH($M183,Data!$K$9:$K$1273,0)),"")</f>
        <v/>
      </c>
      <c r="BA183" s="225" t="str">
        <f>IFERROR(INDEX(Data!CX$9:CX$1273,MATCH($M183,Data!$K$9:$K$1273,0)),"")</f>
        <v/>
      </c>
      <c r="BB183" s="225" t="str">
        <f>IFERROR(INDEX(Data!CY$9:CY$1273,MATCH($M183,Data!$K$9:$K$1273,0)),"")</f>
        <v/>
      </c>
      <c r="BC183" s="225" t="str">
        <f>IFERROR(INDEX(Data!CZ$9:CZ$1273,MATCH($M183,Data!$K$9:$K$1273,0)),"")</f>
        <v/>
      </c>
      <c r="BD183" s="225" t="str">
        <f>IFERROR(INDEX(Data!DA$9:DA$1273,MATCH($M183,Data!$K$9:$K$1273,0)),"")</f>
        <v/>
      </c>
      <c r="BE183" s="225" t="str">
        <f>IFERROR(INDEX(Data!DB$9:DB$1273,MATCH($M183,Data!$K$9:$K$1273,0)),"")</f>
        <v/>
      </c>
      <c r="BF183" s="225" t="str">
        <f>IFERROR(INDEX(Data!DC$9:DC$1273,MATCH($M183,Data!$K$9:$K$1273,0)),"")</f>
        <v/>
      </c>
      <c r="BG183" s="225" t="str">
        <f>IFERROR(INDEX(Data!DD$9:DD$1273,MATCH($M183,Data!$K$9:$K$1273,0)),"")</f>
        <v/>
      </c>
      <c r="BH183" s="225" t="str">
        <f>IFERROR(INDEX(Data!DE$9:DE$1273,MATCH($M183,Data!$K$9:$K$1273,0)),"")</f>
        <v/>
      </c>
      <c r="BI183" s="225" t="str">
        <f>IFERROR(INDEX(Data!DF$9:DF$1273,MATCH($M183,Data!$K$9:$K$1273,0)),"")</f>
        <v/>
      </c>
      <c r="BJ183" s="225" t="str">
        <f>IFERROR(INDEX(Data!DG$9:DG$1273,MATCH($M183,Data!$K$9:$K$1273,0)),"")</f>
        <v/>
      </c>
      <c r="BK183" s="225" t="str">
        <f>IFERROR(INDEX(Data!DH$9:DH$1273,MATCH($M183,Data!$K$9:$K$1273,0)),"")</f>
        <v/>
      </c>
      <c r="BL183" s="225" t="str">
        <f>IFERROR(INDEX(Data!DI$9:DI$1273,MATCH($M183,Data!$K$9:$K$1273,0)),"")</f>
        <v/>
      </c>
      <c r="BM183" s="225" t="str">
        <f>IFERROR(INDEX(Data!DJ$9:DJ$1273,MATCH($M183,Data!$K$9:$K$1273,0)),"")</f>
        <v/>
      </c>
      <c r="BN183" s="225" t="str">
        <f>IFERROR(INDEX(Data!DK$9:DK$1273,MATCH($M183,Data!$K$9:$K$1273,0)),"")</f>
        <v/>
      </c>
      <c r="BO183" s="225" t="str">
        <f>IFERROR(INDEX(Data!DL$9:DL$1273,MATCH($M183,Data!$K$9:$K$1273,0)),"")</f>
        <v/>
      </c>
      <c r="BP183" s="243" t="str">
        <f t="shared" si="23"/>
        <v/>
      </c>
      <c r="BQ183" s="225" t="str">
        <f t="shared" si="24"/>
        <v xml:space="preserve"> </v>
      </c>
      <c r="BR183" s="225" t="str">
        <f t="shared" si="25"/>
        <v/>
      </c>
      <c r="BS183" s="225" t="str">
        <f>IFERROR(INDEX(Data!$DO$9:$DO$1273,MATCH('Your recommendation'!BR183,Data!$DN$9:$DN$1273,0)),"")</f>
        <v/>
      </c>
    </row>
    <row r="184" spans="2:71" ht="15.6" customHeight="1">
      <c r="B184" s="222" t="str">
        <f t="shared" si="26"/>
        <v/>
      </c>
      <c r="C184" s="223"/>
      <c r="D184" s="225" t="str">
        <f>IFERROR(INDEX(Data!BR$9:BR$1273,MATCH($M184,Data!$K$9:$K$1273,0)),"")</f>
        <v/>
      </c>
      <c r="E184" s="225" t="str">
        <f>IFERROR(INDEX(Data!BS$9:BS$1273,MATCH($M184,Data!$K$9:$K$1273,0)),"")</f>
        <v/>
      </c>
      <c r="F184" s="225" t="str">
        <f>IFERROR(INDEX(Data!DM$9:DM$1273,MATCH($M184,Data!$K$9:$K$1273,0)),"")</f>
        <v/>
      </c>
      <c r="G184" s="225" t="str">
        <f>IFERROR(INDEX(Data!BV$9:BV$1273,MATCH($M184,Data!$K$9:$K$1273,0)),"")</f>
        <v/>
      </c>
      <c r="H184" s="225" t="str">
        <f>IFERROR(INDEX(Data!BW$9:BW$1273,MATCH($M184,Data!$K$9:$K$1273,0)),"")</f>
        <v/>
      </c>
      <c r="I184" s="225" t="str">
        <f>IFERROR(INDEX(Data!BX$9:BX$1273,MATCH($M184,Data!$K$9:$K$1273,0)),"")</f>
        <v/>
      </c>
      <c r="J184" s="225" t="str">
        <f>IFERROR(INDEX(Data!CB$9:CB$1273,MATCH($M184,Data!$K$9:$K$1273,0)),"")</f>
        <v/>
      </c>
      <c r="K184" s="241" t="str">
        <f t="shared" si="21"/>
        <v/>
      </c>
      <c r="L184" s="242" t="str">
        <f t="shared" si="22"/>
        <v/>
      </c>
      <c r="M184" s="224"/>
      <c r="N184" s="224"/>
      <c r="O184" s="224" t="str">
        <f>IFERROR(INDEX(Data!M$9:M$1273,MATCH($M184,Data!$K$9:$K$1273,0)),"")</f>
        <v/>
      </c>
      <c r="P184" s="224" t="str">
        <f>IFERROR(INDEX(Data!N$9:N$1273,MATCH($M184,Data!$K$9:$K$1273,0)),"")</f>
        <v/>
      </c>
      <c r="Q184" s="224" t="str">
        <f>IFERROR(INDEX(Data!O$9:O$1273,MATCH($M184,Data!$K$9:$K$1273,0)),"")</f>
        <v/>
      </c>
      <c r="R184" s="224" t="str">
        <f>IFERROR(INDEX(Data!P$9:P$1273,MATCH($M184,Data!$K$9:$K$1273,0)),"")</f>
        <v/>
      </c>
      <c r="S184" s="224" t="str">
        <f>IFERROR(INDEX(Data!S$9:S$1273,MATCH($M184,Data!$K$9:$K$1273,0)),"")</f>
        <v/>
      </c>
      <c r="T184" s="224" t="str">
        <f>IFERROR(INDEX(Data!T$9:T$1273,MATCH($M184,Data!$K$9:$K$1273,0)),"")</f>
        <v/>
      </c>
      <c r="U184" s="224" t="str">
        <f>IFERROR(INDEX(Data!U$9:U$1273,MATCH($M184,Data!$K$9:$K$1273,0)),"")</f>
        <v/>
      </c>
      <c r="V184" s="224" t="str">
        <f>IFERROR(INDEX(Data!V$9:V$1273,MATCH($M184,Data!$K$9:$K$1273,0)),"")</f>
        <v/>
      </c>
      <c r="W184" s="224" t="str">
        <f>IFERROR(INDEX(Data!W$9:W$1273,MATCH($M184,Data!$K$9:$K$1273,0)),"")</f>
        <v/>
      </c>
      <c r="X184" s="224" t="str">
        <f>IFERROR(INDEX(Data!AJ$9:AJ$1273,MATCH($M184,Data!$K$9:$K$1273,0)),"")</f>
        <v/>
      </c>
      <c r="Y184" s="224" t="str">
        <f>IFERROR(INDEX(Data!AK$9:AK$1273,MATCH($M184,Data!$K$9:$K$1273,0)),"")</f>
        <v/>
      </c>
      <c r="Z184" s="224" t="str">
        <f>IFERROR(INDEX(Data!AL$9:AL$1273,MATCH($M184,Data!$K$9:$K$1273,0)),"")</f>
        <v/>
      </c>
      <c r="AA184" s="224" t="str">
        <f>IFERROR(INDEX(Data!AM$9:AM$1273,MATCH($M184,Data!$K$9:$K$1273,0)),"")</f>
        <v/>
      </c>
      <c r="AB184" s="224" t="str">
        <f>IFERROR(INDEX(Data!AN$9:AN$1273,MATCH($M184,Data!$K$9:$K$1273,0)),"")</f>
        <v/>
      </c>
      <c r="AC184" s="225" t="str">
        <f>IFERROR(INDEX(Data!BY$9:BY$1273,MATCH($M184,Data!$K$9:$K$1273,0)),"")</f>
        <v/>
      </c>
      <c r="AD184" s="225" t="str">
        <f>IFERROR(INDEX(Data!BZ$9:BZ$1273,MATCH($M184,Data!$K$9:$K$1273,0)),"")</f>
        <v/>
      </c>
      <c r="AE184" s="225" t="str">
        <f>IFERROR(INDEX(Data!CA$9:CA$1273,MATCH($M184,Data!$K$9:$K$1273,0)),"")</f>
        <v/>
      </c>
      <c r="AF184" s="225" t="str">
        <f>IFERROR(INDEX(Data!CB$9:CB$1273,MATCH($M184,Data!$K$9:$K$1273,0)),"")</f>
        <v/>
      </c>
      <c r="AG184" s="225" t="str">
        <f>IFERROR(INDEX(Data!CC$9:CC$1273,MATCH($M184,Data!$K$9:$K$1273,0)),"")</f>
        <v/>
      </c>
      <c r="AH184" s="225" t="str">
        <f>IFERROR(INDEX(Data!CD$9:CD$1273,MATCH($M184,Data!$K$9:$K$1273,0)),"")</f>
        <v/>
      </c>
      <c r="AI184" s="225" t="str">
        <f>IFERROR(INDEX(Data!CE$9:CE$1273,MATCH($M184,Data!$K$9:$K$1273,0)),"")</f>
        <v/>
      </c>
      <c r="AJ184" s="225" t="str">
        <f>IFERROR(INDEX(Data!CF$9:CF$1273,MATCH($M184,Data!$K$9:$K$1273,0)),"")</f>
        <v/>
      </c>
      <c r="AK184" s="225" t="str">
        <f>IFERROR(INDEX(Data!CG$9:CG$1273,MATCH($M184,Data!$K$9:$K$1273,0)),"")</f>
        <v/>
      </c>
      <c r="AL184" s="225" t="str">
        <f>IFERROR(INDEX(Data!CH$9:CH$1273,MATCH($M184,Data!$K$9:$K$1273,0)),"")</f>
        <v/>
      </c>
      <c r="AM184" s="225" t="str">
        <f>IFERROR(INDEX(Data!CI$9:CI$1273,MATCH($M184,Data!$K$9:$K$1273,0)),"")</f>
        <v/>
      </c>
      <c r="AN184" s="225" t="str">
        <f>IFERROR(INDEX(Data!CJ$9:CJ$1273,MATCH($M184,Data!$K$9:$K$1273,0)),"")</f>
        <v/>
      </c>
      <c r="AO184" s="225" t="str">
        <f>IFERROR(INDEX(Data!CK$9:CK$1273,MATCH($M184,Data!$K$9:$K$1273,0)),"")</f>
        <v/>
      </c>
      <c r="AP184" s="225" t="str">
        <f>IFERROR(INDEX(Data!CL$9:CL$1273,MATCH($M184,Data!$K$9:$K$1273,0)),"")</f>
        <v/>
      </c>
      <c r="AQ184" s="225" t="str">
        <f>IFERROR(INDEX(Data!CM$9:CM$1273,MATCH($M184,Data!$K$9:$K$1273,0)),"")</f>
        <v/>
      </c>
      <c r="AR184" s="225" t="str">
        <f>IFERROR(INDEX(Data!CN$9:CN$1273,MATCH($M184,Data!$K$9:$K$1273,0)),"")</f>
        <v/>
      </c>
      <c r="AS184" s="225" t="str">
        <f>IFERROR(INDEX(Data!CO$9:CO$1273,MATCH($M184,Data!$K$9:$K$1273,0)),"")</f>
        <v/>
      </c>
      <c r="AT184" s="225" t="str">
        <f>IFERROR(INDEX(Data!CP$9:CP$1273,MATCH($M184,Data!$K$9:$K$1273,0)),"")</f>
        <v/>
      </c>
      <c r="AU184" s="225" t="str">
        <f>IFERROR(INDEX(Data!CQ$9:CQ$1273,MATCH($M184,Data!$K$9:$K$1273,0)),"")</f>
        <v/>
      </c>
      <c r="AV184" s="225" t="str">
        <f>IFERROR(INDEX(Data!CR$9:CR$1273,MATCH($M184,Data!$K$9:$K$1273,0)),"")</f>
        <v/>
      </c>
      <c r="AW184" s="225" t="str">
        <f>IFERROR(INDEX(Data!CS$9:CS$1273,MATCH($M184,Data!$K$9:$K$1273,0)),"")</f>
        <v/>
      </c>
      <c r="AX184" s="225" t="str">
        <f>IFERROR(INDEX(Data!CT$9:CT$1273,MATCH($M184,Data!$K$9:$K$1273,0)),"")</f>
        <v/>
      </c>
      <c r="AY184" s="225" t="str">
        <f>IFERROR(INDEX(Data!CU$9:CU$1273,MATCH($M184,Data!$K$9:$K$1273,0)),"")</f>
        <v/>
      </c>
      <c r="AZ184" s="225" t="str">
        <f>IFERROR(INDEX(Data!CV$9:CV$1273,MATCH($M184,Data!$K$9:$K$1273,0)),"")</f>
        <v/>
      </c>
      <c r="BA184" s="225" t="str">
        <f>IFERROR(INDEX(Data!CX$9:CX$1273,MATCH($M184,Data!$K$9:$K$1273,0)),"")</f>
        <v/>
      </c>
      <c r="BB184" s="225" t="str">
        <f>IFERROR(INDEX(Data!CY$9:CY$1273,MATCH($M184,Data!$K$9:$K$1273,0)),"")</f>
        <v/>
      </c>
      <c r="BC184" s="225" t="str">
        <f>IFERROR(INDEX(Data!CZ$9:CZ$1273,MATCH($M184,Data!$K$9:$K$1273,0)),"")</f>
        <v/>
      </c>
      <c r="BD184" s="225" t="str">
        <f>IFERROR(INDEX(Data!DA$9:DA$1273,MATCH($M184,Data!$K$9:$K$1273,0)),"")</f>
        <v/>
      </c>
      <c r="BE184" s="225" t="str">
        <f>IFERROR(INDEX(Data!DB$9:DB$1273,MATCH($M184,Data!$K$9:$K$1273,0)),"")</f>
        <v/>
      </c>
      <c r="BF184" s="225" t="str">
        <f>IFERROR(INDEX(Data!DC$9:DC$1273,MATCH($M184,Data!$K$9:$K$1273,0)),"")</f>
        <v/>
      </c>
      <c r="BG184" s="225" t="str">
        <f>IFERROR(INDEX(Data!DD$9:DD$1273,MATCH($M184,Data!$K$9:$K$1273,0)),"")</f>
        <v/>
      </c>
      <c r="BH184" s="225" t="str">
        <f>IFERROR(INDEX(Data!DE$9:DE$1273,MATCH($M184,Data!$K$9:$K$1273,0)),"")</f>
        <v/>
      </c>
      <c r="BI184" s="225" t="str">
        <f>IFERROR(INDEX(Data!DF$9:DF$1273,MATCH($M184,Data!$K$9:$K$1273,0)),"")</f>
        <v/>
      </c>
      <c r="BJ184" s="225" t="str">
        <f>IFERROR(INDEX(Data!DG$9:DG$1273,MATCH($M184,Data!$K$9:$K$1273,0)),"")</f>
        <v/>
      </c>
      <c r="BK184" s="225" t="str">
        <f>IFERROR(INDEX(Data!DH$9:DH$1273,MATCH($M184,Data!$K$9:$K$1273,0)),"")</f>
        <v/>
      </c>
      <c r="BL184" s="225" t="str">
        <f>IFERROR(INDEX(Data!DI$9:DI$1273,MATCH($M184,Data!$K$9:$K$1273,0)),"")</f>
        <v/>
      </c>
      <c r="BM184" s="225" t="str">
        <f>IFERROR(INDEX(Data!DJ$9:DJ$1273,MATCH($M184,Data!$K$9:$K$1273,0)),"")</f>
        <v/>
      </c>
      <c r="BN184" s="225" t="str">
        <f>IFERROR(INDEX(Data!DK$9:DK$1273,MATCH($M184,Data!$K$9:$K$1273,0)),"")</f>
        <v/>
      </c>
      <c r="BO184" s="225" t="str">
        <f>IFERROR(INDEX(Data!DL$9:DL$1273,MATCH($M184,Data!$K$9:$K$1273,0)),"")</f>
        <v/>
      </c>
      <c r="BP184" s="243" t="str">
        <f t="shared" si="23"/>
        <v/>
      </c>
      <c r="BQ184" s="225" t="str">
        <f t="shared" si="24"/>
        <v xml:space="preserve"> </v>
      </c>
      <c r="BR184" s="225" t="str">
        <f t="shared" si="25"/>
        <v/>
      </c>
      <c r="BS184" s="225" t="str">
        <f>IFERROR(INDEX(Data!$DO$9:$DO$1273,MATCH('Your recommendation'!BR184,Data!$DN$9:$DN$1273,0)),"")</f>
        <v/>
      </c>
    </row>
    <row r="185" spans="2:71" ht="15.6" customHeight="1">
      <c r="B185" s="222" t="str">
        <f t="shared" si="26"/>
        <v/>
      </c>
      <c r="C185" s="223"/>
      <c r="D185" s="225" t="str">
        <f>IFERROR(INDEX(Data!BR$9:BR$1273,MATCH($M185,Data!$K$9:$K$1273,0)),"")</f>
        <v/>
      </c>
      <c r="E185" s="225" t="str">
        <f>IFERROR(INDEX(Data!BS$9:BS$1273,MATCH($M185,Data!$K$9:$K$1273,0)),"")</f>
        <v/>
      </c>
      <c r="F185" s="225" t="str">
        <f>IFERROR(INDEX(Data!DM$9:DM$1273,MATCH($M185,Data!$K$9:$K$1273,0)),"")</f>
        <v/>
      </c>
      <c r="G185" s="225" t="str">
        <f>IFERROR(INDEX(Data!BV$9:BV$1273,MATCH($M185,Data!$K$9:$K$1273,0)),"")</f>
        <v/>
      </c>
      <c r="H185" s="225" t="str">
        <f>IFERROR(INDEX(Data!BW$9:BW$1273,MATCH($M185,Data!$K$9:$K$1273,0)),"")</f>
        <v/>
      </c>
      <c r="I185" s="225" t="str">
        <f>IFERROR(INDEX(Data!BX$9:BX$1273,MATCH($M185,Data!$K$9:$K$1273,0)),"")</f>
        <v/>
      </c>
      <c r="J185" s="225" t="str">
        <f>IFERROR(INDEX(Data!CB$9:CB$1273,MATCH($M185,Data!$K$9:$K$1273,0)),"")</f>
        <v/>
      </c>
      <c r="K185" s="241" t="str">
        <f t="shared" si="21"/>
        <v/>
      </c>
      <c r="L185" s="242" t="str">
        <f t="shared" si="22"/>
        <v/>
      </c>
      <c r="M185" s="224"/>
      <c r="N185" s="224"/>
      <c r="O185" s="224" t="str">
        <f>IFERROR(INDEX(Data!M$9:M$1273,MATCH($M185,Data!$K$9:$K$1273,0)),"")</f>
        <v/>
      </c>
      <c r="P185" s="224" t="str">
        <f>IFERROR(INDEX(Data!N$9:N$1273,MATCH($M185,Data!$K$9:$K$1273,0)),"")</f>
        <v/>
      </c>
      <c r="Q185" s="224" t="str">
        <f>IFERROR(INDEX(Data!O$9:O$1273,MATCH($M185,Data!$K$9:$K$1273,0)),"")</f>
        <v/>
      </c>
      <c r="R185" s="224" t="str">
        <f>IFERROR(INDEX(Data!P$9:P$1273,MATCH($M185,Data!$K$9:$K$1273,0)),"")</f>
        <v/>
      </c>
      <c r="S185" s="224" t="str">
        <f>IFERROR(INDEX(Data!S$9:S$1273,MATCH($M185,Data!$K$9:$K$1273,0)),"")</f>
        <v/>
      </c>
      <c r="T185" s="224" t="str">
        <f>IFERROR(INDEX(Data!T$9:T$1273,MATCH($M185,Data!$K$9:$K$1273,0)),"")</f>
        <v/>
      </c>
      <c r="U185" s="224" t="str">
        <f>IFERROR(INDEX(Data!U$9:U$1273,MATCH($M185,Data!$K$9:$K$1273,0)),"")</f>
        <v/>
      </c>
      <c r="V185" s="224" t="str">
        <f>IFERROR(INDEX(Data!V$9:V$1273,MATCH($M185,Data!$K$9:$K$1273,0)),"")</f>
        <v/>
      </c>
      <c r="W185" s="224" t="str">
        <f>IFERROR(INDEX(Data!W$9:W$1273,MATCH($M185,Data!$K$9:$K$1273,0)),"")</f>
        <v/>
      </c>
      <c r="X185" s="224" t="str">
        <f>IFERROR(INDEX(Data!AJ$9:AJ$1273,MATCH($M185,Data!$K$9:$K$1273,0)),"")</f>
        <v/>
      </c>
      <c r="Y185" s="224" t="str">
        <f>IFERROR(INDEX(Data!AK$9:AK$1273,MATCH($M185,Data!$K$9:$K$1273,0)),"")</f>
        <v/>
      </c>
      <c r="Z185" s="224" t="str">
        <f>IFERROR(INDEX(Data!AL$9:AL$1273,MATCH($M185,Data!$K$9:$K$1273,0)),"")</f>
        <v/>
      </c>
      <c r="AA185" s="224" t="str">
        <f>IFERROR(INDEX(Data!AM$9:AM$1273,MATCH($M185,Data!$K$9:$K$1273,0)),"")</f>
        <v/>
      </c>
      <c r="AB185" s="224" t="str">
        <f>IFERROR(INDEX(Data!AN$9:AN$1273,MATCH($M185,Data!$K$9:$K$1273,0)),"")</f>
        <v/>
      </c>
      <c r="AC185" s="225" t="str">
        <f>IFERROR(INDEX(Data!BY$9:BY$1273,MATCH($M185,Data!$K$9:$K$1273,0)),"")</f>
        <v/>
      </c>
      <c r="AD185" s="225" t="str">
        <f>IFERROR(INDEX(Data!BZ$9:BZ$1273,MATCH($M185,Data!$K$9:$K$1273,0)),"")</f>
        <v/>
      </c>
      <c r="AE185" s="225" t="str">
        <f>IFERROR(INDEX(Data!CA$9:CA$1273,MATCH($M185,Data!$K$9:$K$1273,0)),"")</f>
        <v/>
      </c>
      <c r="AF185" s="225" t="str">
        <f>IFERROR(INDEX(Data!CB$9:CB$1273,MATCH($M185,Data!$K$9:$K$1273,0)),"")</f>
        <v/>
      </c>
      <c r="AG185" s="225" t="str">
        <f>IFERROR(INDEX(Data!CC$9:CC$1273,MATCH($M185,Data!$K$9:$K$1273,0)),"")</f>
        <v/>
      </c>
      <c r="AH185" s="225" t="str">
        <f>IFERROR(INDEX(Data!CD$9:CD$1273,MATCH($M185,Data!$K$9:$K$1273,0)),"")</f>
        <v/>
      </c>
      <c r="AI185" s="225" t="str">
        <f>IFERROR(INDEX(Data!CE$9:CE$1273,MATCH($M185,Data!$K$9:$K$1273,0)),"")</f>
        <v/>
      </c>
      <c r="AJ185" s="225" t="str">
        <f>IFERROR(INDEX(Data!CF$9:CF$1273,MATCH($M185,Data!$K$9:$K$1273,0)),"")</f>
        <v/>
      </c>
      <c r="AK185" s="225" t="str">
        <f>IFERROR(INDEX(Data!CG$9:CG$1273,MATCH($M185,Data!$K$9:$K$1273,0)),"")</f>
        <v/>
      </c>
      <c r="AL185" s="225" t="str">
        <f>IFERROR(INDEX(Data!CH$9:CH$1273,MATCH($M185,Data!$K$9:$K$1273,0)),"")</f>
        <v/>
      </c>
      <c r="AM185" s="225" t="str">
        <f>IFERROR(INDEX(Data!CI$9:CI$1273,MATCH($M185,Data!$K$9:$K$1273,0)),"")</f>
        <v/>
      </c>
      <c r="AN185" s="225" t="str">
        <f>IFERROR(INDEX(Data!CJ$9:CJ$1273,MATCH($M185,Data!$K$9:$K$1273,0)),"")</f>
        <v/>
      </c>
      <c r="AO185" s="225" t="str">
        <f>IFERROR(INDEX(Data!CK$9:CK$1273,MATCH($M185,Data!$K$9:$K$1273,0)),"")</f>
        <v/>
      </c>
      <c r="AP185" s="225" t="str">
        <f>IFERROR(INDEX(Data!CL$9:CL$1273,MATCH($M185,Data!$K$9:$K$1273,0)),"")</f>
        <v/>
      </c>
      <c r="AQ185" s="225" t="str">
        <f>IFERROR(INDEX(Data!CM$9:CM$1273,MATCH($M185,Data!$K$9:$K$1273,0)),"")</f>
        <v/>
      </c>
      <c r="AR185" s="225" t="str">
        <f>IFERROR(INDEX(Data!CN$9:CN$1273,MATCH($M185,Data!$K$9:$K$1273,0)),"")</f>
        <v/>
      </c>
      <c r="AS185" s="225" t="str">
        <f>IFERROR(INDEX(Data!CO$9:CO$1273,MATCH($M185,Data!$K$9:$K$1273,0)),"")</f>
        <v/>
      </c>
      <c r="AT185" s="225" t="str">
        <f>IFERROR(INDEX(Data!CP$9:CP$1273,MATCH($M185,Data!$K$9:$K$1273,0)),"")</f>
        <v/>
      </c>
      <c r="AU185" s="225" t="str">
        <f>IFERROR(INDEX(Data!CQ$9:CQ$1273,MATCH($M185,Data!$K$9:$K$1273,0)),"")</f>
        <v/>
      </c>
      <c r="AV185" s="225" t="str">
        <f>IFERROR(INDEX(Data!CR$9:CR$1273,MATCH($M185,Data!$K$9:$K$1273,0)),"")</f>
        <v/>
      </c>
      <c r="AW185" s="225" t="str">
        <f>IFERROR(INDEX(Data!CS$9:CS$1273,MATCH($M185,Data!$K$9:$K$1273,0)),"")</f>
        <v/>
      </c>
      <c r="AX185" s="225" t="str">
        <f>IFERROR(INDEX(Data!CT$9:CT$1273,MATCH($M185,Data!$K$9:$K$1273,0)),"")</f>
        <v/>
      </c>
      <c r="AY185" s="225" t="str">
        <f>IFERROR(INDEX(Data!CU$9:CU$1273,MATCH($M185,Data!$K$9:$K$1273,0)),"")</f>
        <v/>
      </c>
      <c r="AZ185" s="225" t="str">
        <f>IFERROR(INDEX(Data!CV$9:CV$1273,MATCH($M185,Data!$K$9:$K$1273,0)),"")</f>
        <v/>
      </c>
      <c r="BA185" s="225" t="str">
        <f>IFERROR(INDEX(Data!CX$9:CX$1273,MATCH($M185,Data!$K$9:$K$1273,0)),"")</f>
        <v/>
      </c>
      <c r="BB185" s="225" t="str">
        <f>IFERROR(INDEX(Data!CY$9:CY$1273,MATCH($M185,Data!$K$9:$K$1273,0)),"")</f>
        <v/>
      </c>
      <c r="BC185" s="225" t="str">
        <f>IFERROR(INDEX(Data!CZ$9:CZ$1273,MATCH($M185,Data!$K$9:$K$1273,0)),"")</f>
        <v/>
      </c>
      <c r="BD185" s="225" t="str">
        <f>IFERROR(INDEX(Data!DA$9:DA$1273,MATCH($M185,Data!$K$9:$K$1273,0)),"")</f>
        <v/>
      </c>
      <c r="BE185" s="225" t="str">
        <f>IFERROR(INDEX(Data!DB$9:DB$1273,MATCH($M185,Data!$K$9:$K$1273,0)),"")</f>
        <v/>
      </c>
      <c r="BF185" s="225" t="str">
        <f>IFERROR(INDEX(Data!DC$9:DC$1273,MATCH($M185,Data!$K$9:$K$1273,0)),"")</f>
        <v/>
      </c>
      <c r="BG185" s="225" t="str">
        <f>IFERROR(INDEX(Data!DD$9:DD$1273,MATCH($M185,Data!$K$9:$K$1273,0)),"")</f>
        <v/>
      </c>
      <c r="BH185" s="225" t="str">
        <f>IFERROR(INDEX(Data!DE$9:DE$1273,MATCH($M185,Data!$K$9:$K$1273,0)),"")</f>
        <v/>
      </c>
      <c r="BI185" s="225" t="str">
        <f>IFERROR(INDEX(Data!DF$9:DF$1273,MATCH($M185,Data!$K$9:$K$1273,0)),"")</f>
        <v/>
      </c>
      <c r="BJ185" s="225" t="str">
        <f>IFERROR(INDEX(Data!DG$9:DG$1273,MATCH($M185,Data!$K$9:$K$1273,0)),"")</f>
        <v/>
      </c>
      <c r="BK185" s="225" t="str">
        <f>IFERROR(INDEX(Data!DH$9:DH$1273,MATCH($M185,Data!$K$9:$K$1273,0)),"")</f>
        <v/>
      </c>
      <c r="BL185" s="225" t="str">
        <f>IFERROR(INDEX(Data!DI$9:DI$1273,MATCH($M185,Data!$K$9:$K$1273,0)),"")</f>
        <v/>
      </c>
      <c r="BM185" s="225" t="str">
        <f>IFERROR(INDEX(Data!DJ$9:DJ$1273,MATCH($M185,Data!$K$9:$K$1273,0)),"")</f>
        <v/>
      </c>
      <c r="BN185" s="225" t="str">
        <f>IFERROR(INDEX(Data!DK$9:DK$1273,MATCH($M185,Data!$K$9:$K$1273,0)),"")</f>
        <v/>
      </c>
      <c r="BO185" s="225" t="str">
        <f>IFERROR(INDEX(Data!DL$9:DL$1273,MATCH($M185,Data!$K$9:$K$1273,0)),"")</f>
        <v/>
      </c>
      <c r="BP185" s="243" t="str">
        <f t="shared" si="23"/>
        <v/>
      </c>
      <c r="BQ185" s="225" t="str">
        <f t="shared" si="24"/>
        <v xml:space="preserve"> </v>
      </c>
      <c r="BR185" s="225" t="str">
        <f t="shared" si="25"/>
        <v/>
      </c>
      <c r="BS185" s="225" t="str">
        <f>IFERROR(INDEX(Data!$DO$9:$DO$1273,MATCH('Your recommendation'!BR185,Data!$DN$9:$DN$1273,0)),"")</f>
        <v/>
      </c>
    </row>
    <row r="186" spans="2:71" ht="15.6" customHeight="1">
      <c r="B186" s="222" t="str">
        <f t="shared" si="26"/>
        <v/>
      </c>
      <c r="C186" s="223"/>
      <c r="D186" s="225" t="str">
        <f>IFERROR(INDEX(Data!BR$9:BR$1273,MATCH($M186,Data!$K$9:$K$1273,0)),"")</f>
        <v/>
      </c>
      <c r="E186" s="225" t="str">
        <f>IFERROR(INDEX(Data!BS$9:BS$1273,MATCH($M186,Data!$K$9:$K$1273,0)),"")</f>
        <v/>
      </c>
      <c r="F186" s="225" t="str">
        <f>IFERROR(INDEX(Data!DM$9:DM$1273,MATCH($M186,Data!$K$9:$K$1273,0)),"")</f>
        <v/>
      </c>
      <c r="G186" s="225" t="str">
        <f>IFERROR(INDEX(Data!BV$9:BV$1273,MATCH($M186,Data!$K$9:$K$1273,0)),"")</f>
        <v/>
      </c>
      <c r="H186" s="225" t="str">
        <f>IFERROR(INDEX(Data!BW$9:BW$1273,MATCH($M186,Data!$K$9:$K$1273,0)),"")</f>
        <v/>
      </c>
      <c r="I186" s="225" t="str">
        <f>IFERROR(INDEX(Data!BX$9:BX$1273,MATCH($M186,Data!$K$9:$K$1273,0)),"")</f>
        <v/>
      </c>
      <c r="J186" s="225" t="str">
        <f>IFERROR(INDEX(Data!CB$9:CB$1273,MATCH($M186,Data!$K$9:$K$1273,0)),"")</f>
        <v/>
      </c>
      <c r="K186" s="241" t="str">
        <f t="shared" si="21"/>
        <v/>
      </c>
      <c r="L186" s="242" t="str">
        <f t="shared" si="22"/>
        <v/>
      </c>
      <c r="M186" s="224"/>
      <c r="N186" s="224"/>
      <c r="O186" s="224" t="str">
        <f>IFERROR(INDEX(Data!M$9:M$1273,MATCH($M186,Data!$K$9:$K$1273,0)),"")</f>
        <v/>
      </c>
      <c r="P186" s="224" t="str">
        <f>IFERROR(INDEX(Data!N$9:N$1273,MATCH($M186,Data!$K$9:$K$1273,0)),"")</f>
        <v/>
      </c>
      <c r="Q186" s="224" t="str">
        <f>IFERROR(INDEX(Data!O$9:O$1273,MATCH($M186,Data!$K$9:$K$1273,0)),"")</f>
        <v/>
      </c>
      <c r="R186" s="224" t="str">
        <f>IFERROR(INDEX(Data!P$9:P$1273,MATCH($M186,Data!$K$9:$K$1273,0)),"")</f>
        <v/>
      </c>
      <c r="S186" s="224" t="str">
        <f>IFERROR(INDEX(Data!S$9:S$1273,MATCH($M186,Data!$K$9:$K$1273,0)),"")</f>
        <v/>
      </c>
      <c r="T186" s="224" t="str">
        <f>IFERROR(INDEX(Data!T$9:T$1273,MATCH($M186,Data!$K$9:$K$1273,0)),"")</f>
        <v/>
      </c>
      <c r="U186" s="224" t="str">
        <f>IFERROR(INDEX(Data!U$9:U$1273,MATCH($M186,Data!$K$9:$K$1273,0)),"")</f>
        <v/>
      </c>
      <c r="V186" s="224" t="str">
        <f>IFERROR(INDEX(Data!V$9:V$1273,MATCH($M186,Data!$K$9:$K$1273,0)),"")</f>
        <v/>
      </c>
      <c r="W186" s="224" t="str">
        <f>IFERROR(INDEX(Data!W$9:W$1273,MATCH($M186,Data!$K$9:$K$1273,0)),"")</f>
        <v/>
      </c>
      <c r="X186" s="224" t="str">
        <f>IFERROR(INDEX(Data!AJ$9:AJ$1273,MATCH($M186,Data!$K$9:$K$1273,0)),"")</f>
        <v/>
      </c>
      <c r="Y186" s="224" t="str">
        <f>IFERROR(INDEX(Data!AK$9:AK$1273,MATCH($M186,Data!$K$9:$K$1273,0)),"")</f>
        <v/>
      </c>
      <c r="Z186" s="224" t="str">
        <f>IFERROR(INDEX(Data!AL$9:AL$1273,MATCH($M186,Data!$K$9:$K$1273,0)),"")</f>
        <v/>
      </c>
      <c r="AA186" s="224" t="str">
        <f>IFERROR(INDEX(Data!AM$9:AM$1273,MATCH($M186,Data!$K$9:$K$1273,0)),"")</f>
        <v/>
      </c>
      <c r="AB186" s="224" t="str">
        <f>IFERROR(INDEX(Data!AN$9:AN$1273,MATCH($M186,Data!$K$9:$K$1273,0)),"")</f>
        <v/>
      </c>
      <c r="AC186" s="225" t="str">
        <f>IFERROR(INDEX(Data!BY$9:BY$1273,MATCH($M186,Data!$K$9:$K$1273,0)),"")</f>
        <v/>
      </c>
      <c r="AD186" s="225" t="str">
        <f>IFERROR(INDEX(Data!BZ$9:BZ$1273,MATCH($M186,Data!$K$9:$K$1273,0)),"")</f>
        <v/>
      </c>
      <c r="AE186" s="225" t="str">
        <f>IFERROR(INDEX(Data!CA$9:CA$1273,MATCH($M186,Data!$K$9:$K$1273,0)),"")</f>
        <v/>
      </c>
      <c r="AF186" s="225" t="str">
        <f>IFERROR(INDEX(Data!CB$9:CB$1273,MATCH($M186,Data!$K$9:$K$1273,0)),"")</f>
        <v/>
      </c>
      <c r="AG186" s="225" t="str">
        <f>IFERROR(INDEX(Data!CC$9:CC$1273,MATCH($M186,Data!$K$9:$K$1273,0)),"")</f>
        <v/>
      </c>
      <c r="AH186" s="225" t="str">
        <f>IFERROR(INDEX(Data!CD$9:CD$1273,MATCH($M186,Data!$K$9:$K$1273,0)),"")</f>
        <v/>
      </c>
      <c r="AI186" s="225" t="str">
        <f>IFERROR(INDEX(Data!CE$9:CE$1273,MATCH($M186,Data!$K$9:$K$1273,0)),"")</f>
        <v/>
      </c>
      <c r="AJ186" s="225" t="str">
        <f>IFERROR(INDEX(Data!CF$9:CF$1273,MATCH($M186,Data!$K$9:$K$1273,0)),"")</f>
        <v/>
      </c>
      <c r="AK186" s="225" t="str">
        <f>IFERROR(INDEX(Data!CG$9:CG$1273,MATCH($M186,Data!$K$9:$K$1273,0)),"")</f>
        <v/>
      </c>
      <c r="AL186" s="225" t="str">
        <f>IFERROR(INDEX(Data!CH$9:CH$1273,MATCH($M186,Data!$K$9:$K$1273,0)),"")</f>
        <v/>
      </c>
      <c r="AM186" s="225" t="str">
        <f>IFERROR(INDEX(Data!CI$9:CI$1273,MATCH($M186,Data!$K$9:$K$1273,0)),"")</f>
        <v/>
      </c>
      <c r="AN186" s="225" t="str">
        <f>IFERROR(INDEX(Data!CJ$9:CJ$1273,MATCH($M186,Data!$K$9:$K$1273,0)),"")</f>
        <v/>
      </c>
      <c r="AO186" s="225" t="str">
        <f>IFERROR(INDEX(Data!CK$9:CK$1273,MATCH($M186,Data!$K$9:$K$1273,0)),"")</f>
        <v/>
      </c>
      <c r="AP186" s="225" t="str">
        <f>IFERROR(INDEX(Data!CL$9:CL$1273,MATCH($M186,Data!$K$9:$K$1273,0)),"")</f>
        <v/>
      </c>
      <c r="AQ186" s="225" t="str">
        <f>IFERROR(INDEX(Data!CM$9:CM$1273,MATCH($M186,Data!$K$9:$K$1273,0)),"")</f>
        <v/>
      </c>
      <c r="AR186" s="225" t="str">
        <f>IFERROR(INDEX(Data!CN$9:CN$1273,MATCH($M186,Data!$K$9:$K$1273,0)),"")</f>
        <v/>
      </c>
      <c r="AS186" s="225" t="str">
        <f>IFERROR(INDEX(Data!CO$9:CO$1273,MATCH($M186,Data!$K$9:$K$1273,0)),"")</f>
        <v/>
      </c>
      <c r="AT186" s="225" t="str">
        <f>IFERROR(INDEX(Data!CP$9:CP$1273,MATCH($M186,Data!$K$9:$K$1273,0)),"")</f>
        <v/>
      </c>
      <c r="AU186" s="225" t="str">
        <f>IFERROR(INDEX(Data!CQ$9:CQ$1273,MATCH($M186,Data!$K$9:$K$1273,0)),"")</f>
        <v/>
      </c>
      <c r="AV186" s="225" t="str">
        <f>IFERROR(INDEX(Data!CR$9:CR$1273,MATCH($M186,Data!$K$9:$K$1273,0)),"")</f>
        <v/>
      </c>
      <c r="AW186" s="225" t="str">
        <f>IFERROR(INDEX(Data!CS$9:CS$1273,MATCH($M186,Data!$K$9:$K$1273,0)),"")</f>
        <v/>
      </c>
      <c r="AX186" s="225" t="str">
        <f>IFERROR(INDEX(Data!CT$9:CT$1273,MATCH($M186,Data!$K$9:$K$1273,0)),"")</f>
        <v/>
      </c>
      <c r="AY186" s="225" t="str">
        <f>IFERROR(INDEX(Data!CU$9:CU$1273,MATCH($M186,Data!$K$9:$K$1273,0)),"")</f>
        <v/>
      </c>
      <c r="AZ186" s="225" t="str">
        <f>IFERROR(INDEX(Data!CV$9:CV$1273,MATCH($M186,Data!$K$9:$K$1273,0)),"")</f>
        <v/>
      </c>
      <c r="BA186" s="225" t="str">
        <f>IFERROR(INDEX(Data!CX$9:CX$1273,MATCH($M186,Data!$K$9:$K$1273,0)),"")</f>
        <v/>
      </c>
      <c r="BB186" s="225" t="str">
        <f>IFERROR(INDEX(Data!CY$9:CY$1273,MATCH($M186,Data!$K$9:$K$1273,0)),"")</f>
        <v/>
      </c>
      <c r="BC186" s="225" t="str">
        <f>IFERROR(INDEX(Data!CZ$9:CZ$1273,MATCH($M186,Data!$K$9:$K$1273,0)),"")</f>
        <v/>
      </c>
      <c r="BD186" s="225" t="str">
        <f>IFERROR(INDEX(Data!DA$9:DA$1273,MATCH($M186,Data!$K$9:$K$1273,0)),"")</f>
        <v/>
      </c>
      <c r="BE186" s="225" t="str">
        <f>IFERROR(INDEX(Data!DB$9:DB$1273,MATCH($M186,Data!$K$9:$K$1273,0)),"")</f>
        <v/>
      </c>
      <c r="BF186" s="225" t="str">
        <f>IFERROR(INDEX(Data!DC$9:DC$1273,MATCH($M186,Data!$K$9:$K$1273,0)),"")</f>
        <v/>
      </c>
      <c r="BG186" s="225" t="str">
        <f>IFERROR(INDEX(Data!DD$9:DD$1273,MATCH($M186,Data!$K$9:$K$1273,0)),"")</f>
        <v/>
      </c>
      <c r="BH186" s="225" t="str">
        <f>IFERROR(INDEX(Data!DE$9:DE$1273,MATCH($M186,Data!$K$9:$K$1273,0)),"")</f>
        <v/>
      </c>
      <c r="BI186" s="225" t="str">
        <f>IFERROR(INDEX(Data!DF$9:DF$1273,MATCH($M186,Data!$K$9:$K$1273,0)),"")</f>
        <v/>
      </c>
      <c r="BJ186" s="225" t="str">
        <f>IFERROR(INDEX(Data!DG$9:DG$1273,MATCH($M186,Data!$K$9:$K$1273,0)),"")</f>
        <v/>
      </c>
      <c r="BK186" s="225" t="str">
        <f>IFERROR(INDEX(Data!DH$9:DH$1273,MATCH($M186,Data!$K$9:$K$1273,0)),"")</f>
        <v/>
      </c>
      <c r="BL186" s="225" t="str">
        <f>IFERROR(INDEX(Data!DI$9:DI$1273,MATCH($M186,Data!$K$9:$K$1273,0)),"")</f>
        <v/>
      </c>
      <c r="BM186" s="225" t="str">
        <f>IFERROR(INDEX(Data!DJ$9:DJ$1273,MATCH($M186,Data!$K$9:$K$1273,0)),"")</f>
        <v/>
      </c>
      <c r="BN186" s="225" t="str">
        <f>IFERROR(INDEX(Data!DK$9:DK$1273,MATCH($M186,Data!$K$9:$K$1273,0)),"")</f>
        <v/>
      </c>
      <c r="BO186" s="225" t="str">
        <f>IFERROR(INDEX(Data!DL$9:DL$1273,MATCH($M186,Data!$K$9:$K$1273,0)),"")</f>
        <v/>
      </c>
      <c r="BP186" s="243" t="str">
        <f t="shared" si="23"/>
        <v/>
      </c>
      <c r="BQ186" s="225" t="str">
        <f t="shared" si="24"/>
        <v xml:space="preserve"> </v>
      </c>
      <c r="BR186" s="225" t="str">
        <f t="shared" si="25"/>
        <v/>
      </c>
      <c r="BS186" s="225" t="str">
        <f>IFERROR(INDEX(Data!$DO$9:$DO$1273,MATCH('Your recommendation'!BR186,Data!$DN$9:$DN$1273,0)),"")</f>
        <v/>
      </c>
    </row>
    <row r="187" spans="2:71" ht="15.6" customHeight="1">
      <c r="B187" s="222" t="str">
        <f t="shared" si="26"/>
        <v/>
      </c>
      <c r="C187" s="223"/>
      <c r="D187" s="225" t="str">
        <f>IFERROR(INDEX(Data!BR$9:BR$1273,MATCH($M187,Data!$K$9:$K$1273,0)),"")</f>
        <v/>
      </c>
      <c r="E187" s="225" t="str">
        <f>IFERROR(INDEX(Data!BS$9:BS$1273,MATCH($M187,Data!$K$9:$K$1273,0)),"")</f>
        <v/>
      </c>
      <c r="F187" s="225" t="str">
        <f>IFERROR(INDEX(Data!DM$9:DM$1273,MATCH($M187,Data!$K$9:$K$1273,0)),"")</f>
        <v/>
      </c>
      <c r="G187" s="225" t="str">
        <f>IFERROR(INDEX(Data!BV$9:BV$1273,MATCH($M187,Data!$K$9:$K$1273,0)),"")</f>
        <v/>
      </c>
      <c r="H187" s="225" t="str">
        <f>IFERROR(INDEX(Data!BW$9:BW$1273,MATCH($M187,Data!$K$9:$K$1273,0)),"")</f>
        <v/>
      </c>
      <c r="I187" s="225" t="str">
        <f>IFERROR(INDEX(Data!BX$9:BX$1273,MATCH($M187,Data!$K$9:$K$1273,0)),"")</f>
        <v/>
      </c>
      <c r="J187" s="225" t="str">
        <f>IFERROR(INDEX(Data!CB$9:CB$1273,MATCH($M187,Data!$K$9:$K$1273,0)),"")</f>
        <v/>
      </c>
      <c r="K187" s="241" t="str">
        <f t="shared" si="21"/>
        <v/>
      </c>
      <c r="L187" s="242" t="str">
        <f t="shared" si="22"/>
        <v/>
      </c>
      <c r="M187" s="224"/>
      <c r="N187" s="224"/>
      <c r="O187" s="224" t="str">
        <f>IFERROR(INDEX(Data!M$9:M$1273,MATCH($M187,Data!$K$9:$K$1273,0)),"")</f>
        <v/>
      </c>
      <c r="P187" s="224" t="str">
        <f>IFERROR(INDEX(Data!N$9:N$1273,MATCH($M187,Data!$K$9:$K$1273,0)),"")</f>
        <v/>
      </c>
      <c r="Q187" s="224" t="str">
        <f>IFERROR(INDEX(Data!O$9:O$1273,MATCH($M187,Data!$K$9:$K$1273,0)),"")</f>
        <v/>
      </c>
      <c r="R187" s="224" t="str">
        <f>IFERROR(INDEX(Data!P$9:P$1273,MATCH($M187,Data!$K$9:$K$1273,0)),"")</f>
        <v/>
      </c>
      <c r="S187" s="224" t="str">
        <f>IFERROR(INDEX(Data!S$9:S$1273,MATCH($M187,Data!$K$9:$K$1273,0)),"")</f>
        <v/>
      </c>
      <c r="T187" s="224" t="str">
        <f>IFERROR(INDEX(Data!T$9:T$1273,MATCH($M187,Data!$K$9:$K$1273,0)),"")</f>
        <v/>
      </c>
      <c r="U187" s="224" t="str">
        <f>IFERROR(INDEX(Data!U$9:U$1273,MATCH($M187,Data!$K$9:$K$1273,0)),"")</f>
        <v/>
      </c>
      <c r="V187" s="224" t="str">
        <f>IFERROR(INDEX(Data!V$9:V$1273,MATCH($M187,Data!$K$9:$K$1273,0)),"")</f>
        <v/>
      </c>
      <c r="W187" s="224" t="str">
        <f>IFERROR(INDEX(Data!W$9:W$1273,MATCH($M187,Data!$K$9:$K$1273,0)),"")</f>
        <v/>
      </c>
      <c r="X187" s="224" t="str">
        <f>IFERROR(INDEX(Data!AJ$9:AJ$1273,MATCH($M187,Data!$K$9:$K$1273,0)),"")</f>
        <v/>
      </c>
      <c r="Y187" s="224" t="str">
        <f>IFERROR(INDEX(Data!AK$9:AK$1273,MATCH($M187,Data!$K$9:$K$1273,0)),"")</f>
        <v/>
      </c>
      <c r="Z187" s="224" t="str">
        <f>IFERROR(INDEX(Data!AL$9:AL$1273,MATCH($M187,Data!$K$9:$K$1273,0)),"")</f>
        <v/>
      </c>
      <c r="AA187" s="224" t="str">
        <f>IFERROR(INDEX(Data!AM$9:AM$1273,MATCH($M187,Data!$K$9:$K$1273,0)),"")</f>
        <v/>
      </c>
      <c r="AB187" s="224" t="str">
        <f>IFERROR(INDEX(Data!AN$9:AN$1273,MATCH($M187,Data!$K$9:$K$1273,0)),"")</f>
        <v/>
      </c>
      <c r="AC187" s="225" t="str">
        <f>IFERROR(INDEX(Data!BY$9:BY$1273,MATCH($M187,Data!$K$9:$K$1273,0)),"")</f>
        <v/>
      </c>
      <c r="AD187" s="225" t="str">
        <f>IFERROR(INDEX(Data!BZ$9:BZ$1273,MATCH($M187,Data!$K$9:$K$1273,0)),"")</f>
        <v/>
      </c>
      <c r="AE187" s="225" t="str">
        <f>IFERROR(INDEX(Data!CA$9:CA$1273,MATCH($M187,Data!$K$9:$K$1273,0)),"")</f>
        <v/>
      </c>
      <c r="AF187" s="225" t="str">
        <f>IFERROR(INDEX(Data!CB$9:CB$1273,MATCH($M187,Data!$K$9:$K$1273,0)),"")</f>
        <v/>
      </c>
      <c r="AG187" s="225" t="str">
        <f>IFERROR(INDEX(Data!CC$9:CC$1273,MATCH($M187,Data!$K$9:$K$1273,0)),"")</f>
        <v/>
      </c>
      <c r="AH187" s="225" t="str">
        <f>IFERROR(INDEX(Data!CD$9:CD$1273,MATCH($M187,Data!$K$9:$K$1273,0)),"")</f>
        <v/>
      </c>
      <c r="AI187" s="225" t="str">
        <f>IFERROR(INDEX(Data!CE$9:CE$1273,MATCH($M187,Data!$K$9:$K$1273,0)),"")</f>
        <v/>
      </c>
      <c r="AJ187" s="225" t="str">
        <f>IFERROR(INDEX(Data!CF$9:CF$1273,MATCH($M187,Data!$K$9:$K$1273,0)),"")</f>
        <v/>
      </c>
      <c r="AK187" s="225" t="str">
        <f>IFERROR(INDEX(Data!CG$9:CG$1273,MATCH($M187,Data!$K$9:$K$1273,0)),"")</f>
        <v/>
      </c>
      <c r="AL187" s="225" t="str">
        <f>IFERROR(INDEX(Data!CH$9:CH$1273,MATCH($M187,Data!$K$9:$K$1273,0)),"")</f>
        <v/>
      </c>
      <c r="AM187" s="225" t="str">
        <f>IFERROR(INDEX(Data!CI$9:CI$1273,MATCH($M187,Data!$K$9:$K$1273,0)),"")</f>
        <v/>
      </c>
      <c r="AN187" s="225" t="str">
        <f>IFERROR(INDEX(Data!CJ$9:CJ$1273,MATCH($M187,Data!$K$9:$K$1273,0)),"")</f>
        <v/>
      </c>
      <c r="AO187" s="225" t="str">
        <f>IFERROR(INDEX(Data!CK$9:CK$1273,MATCH($M187,Data!$K$9:$K$1273,0)),"")</f>
        <v/>
      </c>
      <c r="AP187" s="225" t="str">
        <f>IFERROR(INDEX(Data!CL$9:CL$1273,MATCH($M187,Data!$K$9:$K$1273,0)),"")</f>
        <v/>
      </c>
      <c r="AQ187" s="225" t="str">
        <f>IFERROR(INDEX(Data!CM$9:CM$1273,MATCH($M187,Data!$K$9:$K$1273,0)),"")</f>
        <v/>
      </c>
      <c r="AR187" s="225" t="str">
        <f>IFERROR(INDEX(Data!CN$9:CN$1273,MATCH($M187,Data!$K$9:$K$1273,0)),"")</f>
        <v/>
      </c>
      <c r="AS187" s="225" t="str">
        <f>IFERROR(INDEX(Data!CO$9:CO$1273,MATCH($M187,Data!$K$9:$K$1273,0)),"")</f>
        <v/>
      </c>
      <c r="AT187" s="225" t="str">
        <f>IFERROR(INDEX(Data!CP$9:CP$1273,MATCH($M187,Data!$K$9:$K$1273,0)),"")</f>
        <v/>
      </c>
      <c r="AU187" s="225" t="str">
        <f>IFERROR(INDEX(Data!CQ$9:CQ$1273,MATCH($M187,Data!$K$9:$K$1273,0)),"")</f>
        <v/>
      </c>
      <c r="AV187" s="225" t="str">
        <f>IFERROR(INDEX(Data!CR$9:CR$1273,MATCH($M187,Data!$K$9:$K$1273,0)),"")</f>
        <v/>
      </c>
      <c r="AW187" s="225" t="str">
        <f>IFERROR(INDEX(Data!CS$9:CS$1273,MATCH($M187,Data!$K$9:$K$1273,0)),"")</f>
        <v/>
      </c>
      <c r="AX187" s="225" t="str">
        <f>IFERROR(INDEX(Data!CT$9:CT$1273,MATCH($M187,Data!$K$9:$K$1273,0)),"")</f>
        <v/>
      </c>
      <c r="AY187" s="225" t="str">
        <f>IFERROR(INDEX(Data!CU$9:CU$1273,MATCH($M187,Data!$K$9:$K$1273,0)),"")</f>
        <v/>
      </c>
      <c r="AZ187" s="225" t="str">
        <f>IFERROR(INDEX(Data!CV$9:CV$1273,MATCH($M187,Data!$K$9:$K$1273,0)),"")</f>
        <v/>
      </c>
      <c r="BA187" s="225" t="str">
        <f>IFERROR(INDEX(Data!CX$9:CX$1273,MATCH($M187,Data!$K$9:$K$1273,0)),"")</f>
        <v/>
      </c>
      <c r="BB187" s="225" t="str">
        <f>IFERROR(INDEX(Data!CY$9:CY$1273,MATCH($M187,Data!$K$9:$K$1273,0)),"")</f>
        <v/>
      </c>
      <c r="BC187" s="225" t="str">
        <f>IFERROR(INDEX(Data!CZ$9:CZ$1273,MATCH($M187,Data!$K$9:$K$1273,0)),"")</f>
        <v/>
      </c>
      <c r="BD187" s="225" t="str">
        <f>IFERROR(INDEX(Data!DA$9:DA$1273,MATCH($M187,Data!$K$9:$K$1273,0)),"")</f>
        <v/>
      </c>
      <c r="BE187" s="225" t="str">
        <f>IFERROR(INDEX(Data!DB$9:DB$1273,MATCH($M187,Data!$K$9:$K$1273,0)),"")</f>
        <v/>
      </c>
      <c r="BF187" s="225" t="str">
        <f>IFERROR(INDEX(Data!DC$9:DC$1273,MATCH($M187,Data!$K$9:$K$1273,0)),"")</f>
        <v/>
      </c>
      <c r="BG187" s="225" t="str">
        <f>IFERROR(INDEX(Data!DD$9:DD$1273,MATCH($M187,Data!$K$9:$K$1273,0)),"")</f>
        <v/>
      </c>
      <c r="BH187" s="225" t="str">
        <f>IFERROR(INDEX(Data!DE$9:DE$1273,MATCH($M187,Data!$K$9:$K$1273,0)),"")</f>
        <v/>
      </c>
      <c r="BI187" s="225" t="str">
        <f>IFERROR(INDEX(Data!DF$9:DF$1273,MATCH($M187,Data!$K$9:$K$1273,0)),"")</f>
        <v/>
      </c>
      <c r="BJ187" s="225" t="str">
        <f>IFERROR(INDEX(Data!DG$9:DG$1273,MATCH($M187,Data!$K$9:$K$1273,0)),"")</f>
        <v/>
      </c>
      <c r="BK187" s="225" t="str">
        <f>IFERROR(INDEX(Data!DH$9:DH$1273,MATCH($M187,Data!$K$9:$K$1273,0)),"")</f>
        <v/>
      </c>
      <c r="BL187" s="225" t="str">
        <f>IFERROR(INDEX(Data!DI$9:DI$1273,MATCH($M187,Data!$K$9:$K$1273,0)),"")</f>
        <v/>
      </c>
      <c r="BM187" s="225" t="str">
        <f>IFERROR(INDEX(Data!DJ$9:DJ$1273,MATCH($M187,Data!$K$9:$K$1273,0)),"")</f>
        <v/>
      </c>
      <c r="BN187" s="225" t="str">
        <f>IFERROR(INDEX(Data!DK$9:DK$1273,MATCH($M187,Data!$K$9:$K$1273,0)),"")</f>
        <v/>
      </c>
      <c r="BO187" s="225" t="str">
        <f>IFERROR(INDEX(Data!DL$9:DL$1273,MATCH($M187,Data!$K$9:$K$1273,0)),"")</f>
        <v/>
      </c>
      <c r="BP187" s="243" t="str">
        <f t="shared" si="23"/>
        <v/>
      </c>
      <c r="BQ187" s="225" t="str">
        <f t="shared" si="24"/>
        <v xml:space="preserve"> </v>
      </c>
      <c r="BR187" s="225" t="str">
        <f t="shared" si="25"/>
        <v/>
      </c>
      <c r="BS187" s="225" t="str">
        <f>IFERROR(INDEX(Data!$DO$9:$DO$1273,MATCH('Your recommendation'!BR187,Data!$DN$9:$DN$1273,0)),"")</f>
        <v/>
      </c>
    </row>
    <row r="188" spans="2:71" ht="15.6" customHeight="1">
      <c r="B188" s="222" t="str">
        <f t="shared" si="26"/>
        <v/>
      </c>
      <c r="C188" s="223"/>
      <c r="D188" s="225" t="str">
        <f>IFERROR(INDEX(Data!BR$9:BR$1273,MATCH($M188,Data!$K$9:$K$1273,0)),"")</f>
        <v/>
      </c>
      <c r="E188" s="225" t="str">
        <f>IFERROR(INDEX(Data!BS$9:BS$1273,MATCH($M188,Data!$K$9:$K$1273,0)),"")</f>
        <v/>
      </c>
      <c r="F188" s="225" t="str">
        <f>IFERROR(INDEX(Data!DM$9:DM$1273,MATCH($M188,Data!$K$9:$K$1273,0)),"")</f>
        <v/>
      </c>
      <c r="G188" s="225" t="str">
        <f>IFERROR(INDEX(Data!BV$9:BV$1273,MATCH($M188,Data!$K$9:$K$1273,0)),"")</f>
        <v/>
      </c>
      <c r="H188" s="225" t="str">
        <f>IFERROR(INDEX(Data!BW$9:BW$1273,MATCH($M188,Data!$K$9:$K$1273,0)),"")</f>
        <v/>
      </c>
      <c r="I188" s="225" t="str">
        <f>IFERROR(INDEX(Data!BX$9:BX$1273,MATCH($M188,Data!$K$9:$K$1273,0)),"")</f>
        <v/>
      </c>
      <c r="J188" s="225" t="str">
        <f>IFERROR(INDEX(Data!CB$9:CB$1273,MATCH($M188,Data!$K$9:$K$1273,0)),"")</f>
        <v/>
      </c>
      <c r="K188" s="241" t="str">
        <f t="shared" si="21"/>
        <v/>
      </c>
      <c r="L188" s="242" t="str">
        <f t="shared" si="22"/>
        <v/>
      </c>
      <c r="M188" s="224"/>
      <c r="N188" s="224"/>
      <c r="O188" s="224" t="str">
        <f>IFERROR(INDEX(Data!M$9:M$1273,MATCH($M188,Data!$K$9:$K$1273,0)),"")</f>
        <v/>
      </c>
      <c r="P188" s="224" t="str">
        <f>IFERROR(INDEX(Data!N$9:N$1273,MATCH($M188,Data!$K$9:$K$1273,0)),"")</f>
        <v/>
      </c>
      <c r="Q188" s="224" t="str">
        <f>IFERROR(INDEX(Data!O$9:O$1273,MATCH($M188,Data!$K$9:$K$1273,0)),"")</f>
        <v/>
      </c>
      <c r="R188" s="224" t="str">
        <f>IFERROR(INDEX(Data!P$9:P$1273,MATCH($M188,Data!$K$9:$K$1273,0)),"")</f>
        <v/>
      </c>
      <c r="S188" s="224" t="str">
        <f>IFERROR(INDEX(Data!S$9:S$1273,MATCH($M188,Data!$K$9:$K$1273,0)),"")</f>
        <v/>
      </c>
      <c r="T188" s="224" t="str">
        <f>IFERROR(INDEX(Data!T$9:T$1273,MATCH($M188,Data!$K$9:$K$1273,0)),"")</f>
        <v/>
      </c>
      <c r="U188" s="224" t="str">
        <f>IFERROR(INDEX(Data!U$9:U$1273,MATCH($M188,Data!$K$9:$K$1273,0)),"")</f>
        <v/>
      </c>
      <c r="V188" s="224" t="str">
        <f>IFERROR(INDEX(Data!V$9:V$1273,MATCH($M188,Data!$K$9:$K$1273,0)),"")</f>
        <v/>
      </c>
      <c r="W188" s="224" t="str">
        <f>IFERROR(INDEX(Data!W$9:W$1273,MATCH($M188,Data!$K$9:$K$1273,0)),"")</f>
        <v/>
      </c>
      <c r="X188" s="224" t="str">
        <f>IFERROR(INDEX(Data!AJ$9:AJ$1273,MATCH($M188,Data!$K$9:$K$1273,0)),"")</f>
        <v/>
      </c>
      <c r="Y188" s="224" t="str">
        <f>IFERROR(INDEX(Data!AK$9:AK$1273,MATCH($M188,Data!$K$9:$K$1273,0)),"")</f>
        <v/>
      </c>
      <c r="Z188" s="224" t="str">
        <f>IFERROR(INDEX(Data!AL$9:AL$1273,MATCH($M188,Data!$K$9:$K$1273,0)),"")</f>
        <v/>
      </c>
      <c r="AA188" s="224" t="str">
        <f>IFERROR(INDEX(Data!AM$9:AM$1273,MATCH($M188,Data!$K$9:$K$1273,0)),"")</f>
        <v/>
      </c>
      <c r="AB188" s="224" t="str">
        <f>IFERROR(INDEX(Data!AN$9:AN$1273,MATCH($M188,Data!$K$9:$K$1273,0)),"")</f>
        <v/>
      </c>
      <c r="AC188" s="225" t="str">
        <f>IFERROR(INDEX(Data!BY$9:BY$1273,MATCH($M188,Data!$K$9:$K$1273,0)),"")</f>
        <v/>
      </c>
      <c r="AD188" s="225" t="str">
        <f>IFERROR(INDEX(Data!BZ$9:BZ$1273,MATCH($M188,Data!$K$9:$K$1273,0)),"")</f>
        <v/>
      </c>
      <c r="AE188" s="225" t="str">
        <f>IFERROR(INDEX(Data!CA$9:CA$1273,MATCH($M188,Data!$K$9:$K$1273,0)),"")</f>
        <v/>
      </c>
      <c r="AF188" s="225" t="str">
        <f>IFERROR(INDEX(Data!CB$9:CB$1273,MATCH($M188,Data!$K$9:$K$1273,0)),"")</f>
        <v/>
      </c>
      <c r="AG188" s="225" t="str">
        <f>IFERROR(INDEX(Data!CC$9:CC$1273,MATCH($M188,Data!$K$9:$K$1273,0)),"")</f>
        <v/>
      </c>
      <c r="AH188" s="225" t="str">
        <f>IFERROR(INDEX(Data!CD$9:CD$1273,MATCH($M188,Data!$K$9:$K$1273,0)),"")</f>
        <v/>
      </c>
      <c r="AI188" s="225" t="str">
        <f>IFERROR(INDEX(Data!CE$9:CE$1273,MATCH($M188,Data!$K$9:$K$1273,0)),"")</f>
        <v/>
      </c>
      <c r="AJ188" s="225" t="str">
        <f>IFERROR(INDEX(Data!CF$9:CF$1273,MATCH($M188,Data!$K$9:$K$1273,0)),"")</f>
        <v/>
      </c>
      <c r="AK188" s="225" t="str">
        <f>IFERROR(INDEX(Data!CG$9:CG$1273,MATCH($M188,Data!$K$9:$K$1273,0)),"")</f>
        <v/>
      </c>
      <c r="AL188" s="225" t="str">
        <f>IFERROR(INDEX(Data!CH$9:CH$1273,MATCH($M188,Data!$K$9:$K$1273,0)),"")</f>
        <v/>
      </c>
      <c r="AM188" s="225" t="str">
        <f>IFERROR(INDEX(Data!CI$9:CI$1273,MATCH($M188,Data!$K$9:$K$1273,0)),"")</f>
        <v/>
      </c>
      <c r="AN188" s="225" t="str">
        <f>IFERROR(INDEX(Data!CJ$9:CJ$1273,MATCH($M188,Data!$K$9:$K$1273,0)),"")</f>
        <v/>
      </c>
      <c r="AO188" s="225" t="str">
        <f>IFERROR(INDEX(Data!CK$9:CK$1273,MATCH($M188,Data!$K$9:$K$1273,0)),"")</f>
        <v/>
      </c>
      <c r="AP188" s="225" t="str">
        <f>IFERROR(INDEX(Data!CL$9:CL$1273,MATCH($M188,Data!$K$9:$K$1273,0)),"")</f>
        <v/>
      </c>
      <c r="AQ188" s="225" t="str">
        <f>IFERROR(INDEX(Data!CM$9:CM$1273,MATCH($M188,Data!$K$9:$K$1273,0)),"")</f>
        <v/>
      </c>
      <c r="AR188" s="225" t="str">
        <f>IFERROR(INDEX(Data!CN$9:CN$1273,MATCH($M188,Data!$K$9:$K$1273,0)),"")</f>
        <v/>
      </c>
      <c r="AS188" s="225" t="str">
        <f>IFERROR(INDEX(Data!CO$9:CO$1273,MATCH($M188,Data!$K$9:$K$1273,0)),"")</f>
        <v/>
      </c>
      <c r="AT188" s="225" t="str">
        <f>IFERROR(INDEX(Data!CP$9:CP$1273,MATCH($M188,Data!$K$9:$K$1273,0)),"")</f>
        <v/>
      </c>
      <c r="AU188" s="225" t="str">
        <f>IFERROR(INDEX(Data!CQ$9:CQ$1273,MATCH($M188,Data!$K$9:$K$1273,0)),"")</f>
        <v/>
      </c>
      <c r="AV188" s="225" t="str">
        <f>IFERROR(INDEX(Data!CR$9:CR$1273,MATCH($M188,Data!$K$9:$K$1273,0)),"")</f>
        <v/>
      </c>
      <c r="AW188" s="225" t="str">
        <f>IFERROR(INDEX(Data!CS$9:CS$1273,MATCH($M188,Data!$K$9:$K$1273,0)),"")</f>
        <v/>
      </c>
      <c r="AX188" s="225" t="str">
        <f>IFERROR(INDEX(Data!CT$9:CT$1273,MATCH($M188,Data!$K$9:$K$1273,0)),"")</f>
        <v/>
      </c>
      <c r="AY188" s="225" t="str">
        <f>IFERROR(INDEX(Data!CU$9:CU$1273,MATCH($M188,Data!$K$9:$K$1273,0)),"")</f>
        <v/>
      </c>
      <c r="AZ188" s="225" t="str">
        <f>IFERROR(INDEX(Data!CV$9:CV$1273,MATCH($M188,Data!$K$9:$K$1273,0)),"")</f>
        <v/>
      </c>
      <c r="BA188" s="225" t="str">
        <f>IFERROR(INDEX(Data!CX$9:CX$1273,MATCH($M188,Data!$K$9:$K$1273,0)),"")</f>
        <v/>
      </c>
      <c r="BB188" s="225" t="str">
        <f>IFERROR(INDEX(Data!CY$9:CY$1273,MATCH($M188,Data!$K$9:$K$1273,0)),"")</f>
        <v/>
      </c>
      <c r="BC188" s="225" t="str">
        <f>IFERROR(INDEX(Data!CZ$9:CZ$1273,MATCH($M188,Data!$K$9:$K$1273,0)),"")</f>
        <v/>
      </c>
      <c r="BD188" s="225" t="str">
        <f>IFERROR(INDEX(Data!DA$9:DA$1273,MATCH($M188,Data!$K$9:$K$1273,0)),"")</f>
        <v/>
      </c>
      <c r="BE188" s="225" t="str">
        <f>IFERROR(INDEX(Data!DB$9:DB$1273,MATCH($M188,Data!$K$9:$K$1273,0)),"")</f>
        <v/>
      </c>
      <c r="BF188" s="225" t="str">
        <f>IFERROR(INDEX(Data!DC$9:DC$1273,MATCH($M188,Data!$K$9:$K$1273,0)),"")</f>
        <v/>
      </c>
      <c r="BG188" s="225" t="str">
        <f>IFERROR(INDEX(Data!DD$9:DD$1273,MATCH($M188,Data!$K$9:$K$1273,0)),"")</f>
        <v/>
      </c>
      <c r="BH188" s="225" t="str">
        <f>IFERROR(INDEX(Data!DE$9:DE$1273,MATCH($M188,Data!$K$9:$K$1273,0)),"")</f>
        <v/>
      </c>
      <c r="BI188" s="225" t="str">
        <f>IFERROR(INDEX(Data!DF$9:DF$1273,MATCH($M188,Data!$K$9:$K$1273,0)),"")</f>
        <v/>
      </c>
      <c r="BJ188" s="225" t="str">
        <f>IFERROR(INDEX(Data!DG$9:DG$1273,MATCH($M188,Data!$K$9:$K$1273,0)),"")</f>
        <v/>
      </c>
      <c r="BK188" s="225" t="str">
        <f>IFERROR(INDEX(Data!DH$9:DH$1273,MATCH($M188,Data!$K$9:$K$1273,0)),"")</f>
        <v/>
      </c>
      <c r="BL188" s="225" t="str">
        <f>IFERROR(INDEX(Data!DI$9:DI$1273,MATCH($M188,Data!$K$9:$K$1273,0)),"")</f>
        <v/>
      </c>
      <c r="BM188" s="225" t="str">
        <f>IFERROR(INDEX(Data!DJ$9:DJ$1273,MATCH($M188,Data!$K$9:$K$1273,0)),"")</f>
        <v/>
      </c>
      <c r="BN188" s="225" t="str">
        <f>IFERROR(INDEX(Data!DK$9:DK$1273,MATCH($M188,Data!$K$9:$K$1273,0)),"")</f>
        <v/>
      </c>
      <c r="BO188" s="225" t="str">
        <f>IFERROR(INDEX(Data!DL$9:DL$1273,MATCH($M188,Data!$K$9:$K$1273,0)),"")</f>
        <v/>
      </c>
      <c r="BP188" s="243" t="str">
        <f t="shared" si="23"/>
        <v/>
      </c>
      <c r="BQ188" s="225" t="str">
        <f t="shared" si="24"/>
        <v xml:space="preserve"> </v>
      </c>
      <c r="BR188" s="225" t="str">
        <f t="shared" si="25"/>
        <v/>
      </c>
      <c r="BS188" s="225" t="str">
        <f>IFERROR(INDEX(Data!$DO$9:$DO$1273,MATCH('Your recommendation'!BR188,Data!$DN$9:$DN$1273,0)),"")</f>
        <v/>
      </c>
    </row>
    <row r="189" spans="2:71" ht="15.6" customHeight="1">
      <c r="B189" s="222" t="str">
        <f t="shared" si="26"/>
        <v/>
      </c>
      <c r="C189" s="223"/>
      <c r="D189" s="225" t="str">
        <f>IFERROR(INDEX(Data!BR$9:BR$1273,MATCH($M189,Data!$K$9:$K$1273,0)),"")</f>
        <v/>
      </c>
      <c r="E189" s="225" t="str">
        <f>IFERROR(INDEX(Data!BS$9:BS$1273,MATCH($M189,Data!$K$9:$K$1273,0)),"")</f>
        <v/>
      </c>
      <c r="F189" s="225" t="str">
        <f>IFERROR(INDEX(Data!DM$9:DM$1273,MATCH($M189,Data!$K$9:$K$1273,0)),"")</f>
        <v/>
      </c>
      <c r="G189" s="225" t="str">
        <f>IFERROR(INDEX(Data!BV$9:BV$1273,MATCH($M189,Data!$K$9:$K$1273,0)),"")</f>
        <v/>
      </c>
      <c r="H189" s="225" t="str">
        <f>IFERROR(INDEX(Data!BW$9:BW$1273,MATCH($M189,Data!$K$9:$K$1273,0)),"")</f>
        <v/>
      </c>
      <c r="I189" s="225" t="str">
        <f>IFERROR(INDEX(Data!BX$9:BX$1273,MATCH($M189,Data!$K$9:$K$1273,0)),"")</f>
        <v/>
      </c>
      <c r="J189" s="225" t="str">
        <f>IFERROR(INDEX(Data!CB$9:CB$1273,MATCH($M189,Data!$K$9:$K$1273,0)),"")</f>
        <v/>
      </c>
      <c r="K189" s="241" t="str">
        <f t="shared" si="21"/>
        <v/>
      </c>
      <c r="L189" s="242" t="str">
        <f t="shared" si="22"/>
        <v/>
      </c>
      <c r="M189" s="224"/>
      <c r="N189" s="224"/>
      <c r="O189" s="224" t="str">
        <f>IFERROR(INDEX(Data!M$9:M$1273,MATCH($M189,Data!$K$9:$K$1273,0)),"")</f>
        <v/>
      </c>
      <c r="P189" s="224" t="str">
        <f>IFERROR(INDEX(Data!N$9:N$1273,MATCH($M189,Data!$K$9:$K$1273,0)),"")</f>
        <v/>
      </c>
      <c r="Q189" s="224" t="str">
        <f>IFERROR(INDEX(Data!O$9:O$1273,MATCH($M189,Data!$K$9:$K$1273,0)),"")</f>
        <v/>
      </c>
      <c r="R189" s="224" t="str">
        <f>IFERROR(INDEX(Data!P$9:P$1273,MATCH($M189,Data!$K$9:$K$1273,0)),"")</f>
        <v/>
      </c>
      <c r="S189" s="224" t="str">
        <f>IFERROR(INDEX(Data!S$9:S$1273,MATCH($M189,Data!$K$9:$K$1273,0)),"")</f>
        <v/>
      </c>
      <c r="T189" s="224" t="str">
        <f>IFERROR(INDEX(Data!T$9:T$1273,MATCH($M189,Data!$K$9:$K$1273,0)),"")</f>
        <v/>
      </c>
      <c r="U189" s="224" t="str">
        <f>IFERROR(INDEX(Data!U$9:U$1273,MATCH($M189,Data!$K$9:$K$1273,0)),"")</f>
        <v/>
      </c>
      <c r="V189" s="224" t="str">
        <f>IFERROR(INDEX(Data!V$9:V$1273,MATCH($M189,Data!$K$9:$K$1273,0)),"")</f>
        <v/>
      </c>
      <c r="W189" s="224" t="str">
        <f>IFERROR(INDEX(Data!W$9:W$1273,MATCH($M189,Data!$K$9:$K$1273,0)),"")</f>
        <v/>
      </c>
      <c r="X189" s="224" t="str">
        <f>IFERROR(INDEX(Data!AJ$9:AJ$1273,MATCH($M189,Data!$K$9:$K$1273,0)),"")</f>
        <v/>
      </c>
      <c r="Y189" s="224" t="str">
        <f>IFERROR(INDEX(Data!AK$9:AK$1273,MATCH($M189,Data!$K$9:$K$1273,0)),"")</f>
        <v/>
      </c>
      <c r="Z189" s="224" t="str">
        <f>IFERROR(INDEX(Data!AL$9:AL$1273,MATCH($M189,Data!$K$9:$K$1273,0)),"")</f>
        <v/>
      </c>
      <c r="AA189" s="224" t="str">
        <f>IFERROR(INDEX(Data!AM$9:AM$1273,MATCH($M189,Data!$K$9:$K$1273,0)),"")</f>
        <v/>
      </c>
      <c r="AB189" s="224" t="str">
        <f>IFERROR(INDEX(Data!AN$9:AN$1273,MATCH($M189,Data!$K$9:$K$1273,0)),"")</f>
        <v/>
      </c>
      <c r="AC189" s="225" t="str">
        <f>IFERROR(INDEX(Data!BY$9:BY$1273,MATCH($M189,Data!$K$9:$K$1273,0)),"")</f>
        <v/>
      </c>
      <c r="AD189" s="225" t="str">
        <f>IFERROR(INDEX(Data!BZ$9:BZ$1273,MATCH($M189,Data!$K$9:$K$1273,0)),"")</f>
        <v/>
      </c>
      <c r="AE189" s="225" t="str">
        <f>IFERROR(INDEX(Data!CA$9:CA$1273,MATCH($M189,Data!$K$9:$K$1273,0)),"")</f>
        <v/>
      </c>
      <c r="AF189" s="225" t="str">
        <f>IFERROR(INDEX(Data!CB$9:CB$1273,MATCH($M189,Data!$K$9:$K$1273,0)),"")</f>
        <v/>
      </c>
      <c r="AG189" s="225" t="str">
        <f>IFERROR(INDEX(Data!CC$9:CC$1273,MATCH($M189,Data!$K$9:$K$1273,0)),"")</f>
        <v/>
      </c>
      <c r="AH189" s="225" t="str">
        <f>IFERROR(INDEX(Data!CD$9:CD$1273,MATCH($M189,Data!$K$9:$K$1273,0)),"")</f>
        <v/>
      </c>
      <c r="AI189" s="225" t="str">
        <f>IFERROR(INDEX(Data!CE$9:CE$1273,MATCH($M189,Data!$K$9:$K$1273,0)),"")</f>
        <v/>
      </c>
      <c r="AJ189" s="225" t="str">
        <f>IFERROR(INDEX(Data!CF$9:CF$1273,MATCH($M189,Data!$K$9:$K$1273,0)),"")</f>
        <v/>
      </c>
      <c r="AK189" s="225" t="str">
        <f>IFERROR(INDEX(Data!CG$9:CG$1273,MATCH($M189,Data!$K$9:$K$1273,0)),"")</f>
        <v/>
      </c>
      <c r="AL189" s="225" t="str">
        <f>IFERROR(INDEX(Data!CH$9:CH$1273,MATCH($M189,Data!$K$9:$K$1273,0)),"")</f>
        <v/>
      </c>
      <c r="AM189" s="225" t="str">
        <f>IFERROR(INDEX(Data!CI$9:CI$1273,MATCH($M189,Data!$K$9:$K$1273,0)),"")</f>
        <v/>
      </c>
      <c r="AN189" s="225" t="str">
        <f>IFERROR(INDEX(Data!CJ$9:CJ$1273,MATCH($M189,Data!$K$9:$K$1273,0)),"")</f>
        <v/>
      </c>
      <c r="AO189" s="225" t="str">
        <f>IFERROR(INDEX(Data!CK$9:CK$1273,MATCH($M189,Data!$K$9:$K$1273,0)),"")</f>
        <v/>
      </c>
      <c r="AP189" s="225" t="str">
        <f>IFERROR(INDEX(Data!CL$9:CL$1273,MATCH($M189,Data!$K$9:$K$1273,0)),"")</f>
        <v/>
      </c>
      <c r="AQ189" s="225" t="str">
        <f>IFERROR(INDEX(Data!CM$9:CM$1273,MATCH($M189,Data!$K$9:$K$1273,0)),"")</f>
        <v/>
      </c>
      <c r="AR189" s="225" t="str">
        <f>IFERROR(INDEX(Data!CN$9:CN$1273,MATCH($M189,Data!$K$9:$K$1273,0)),"")</f>
        <v/>
      </c>
      <c r="AS189" s="225" t="str">
        <f>IFERROR(INDEX(Data!CO$9:CO$1273,MATCH($M189,Data!$K$9:$K$1273,0)),"")</f>
        <v/>
      </c>
      <c r="AT189" s="225" t="str">
        <f>IFERROR(INDEX(Data!CP$9:CP$1273,MATCH($M189,Data!$K$9:$K$1273,0)),"")</f>
        <v/>
      </c>
      <c r="AU189" s="225" t="str">
        <f>IFERROR(INDEX(Data!CQ$9:CQ$1273,MATCH($M189,Data!$K$9:$K$1273,0)),"")</f>
        <v/>
      </c>
      <c r="AV189" s="225" t="str">
        <f>IFERROR(INDEX(Data!CR$9:CR$1273,MATCH($M189,Data!$K$9:$K$1273,0)),"")</f>
        <v/>
      </c>
      <c r="AW189" s="225" t="str">
        <f>IFERROR(INDEX(Data!CS$9:CS$1273,MATCH($M189,Data!$K$9:$K$1273,0)),"")</f>
        <v/>
      </c>
      <c r="AX189" s="225" t="str">
        <f>IFERROR(INDEX(Data!CT$9:CT$1273,MATCH($M189,Data!$K$9:$K$1273,0)),"")</f>
        <v/>
      </c>
      <c r="AY189" s="225" t="str">
        <f>IFERROR(INDEX(Data!CU$9:CU$1273,MATCH($M189,Data!$K$9:$K$1273,0)),"")</f>
        <v/>
      </c>
      <c r="AZ189" s="225" t="str">
        <f>IFERROR(INDEX(Data!CV$9:CV$1273,MATCH($M189,Data!$K$9:$K$1273,0)),"")</f>
        <v/>
      </c>
      <c r="BA189" s="225" t="str">
        <f>IFERROR(INDEX(Data!CX$9:CX$1273,MATCH($M189,Data!$K$9:$K$1273,0)),"")</f>
        <v/>
      </c>
      <c r="BB189" s="225" t="str">
        <f>IFERROR(INDEX(Data!CY$9:CY$1273,MATCH($M189,Data!$K$9:$K$1273,0)),"")</f>
        <v/>
      </c>
      <c r="BC189" s="225" t="str">
        <f>IFERROR(INDEX(Data!CZ$9:CZ$1273,MATCH($M189,Data!$K$9:$K$1273,0)),"")</f>
        <v/>
      </c>
      <c r="BD189" s="225" t="str">
        <f>IFERROR(INDEX(Data!DA$9:DA$1273,MATCH($M189,Data!$K$9:$K$1273,0)),"")</f>
        <v/>
      </c>
      <c r="BE189" s="225" t="str">
        <f>IFERROR(INDEX(Data!DB$9:DB$1273,MATCH($M189,Data!$K$9:$K$1273,0)),"")</f>
        <v/>
      </c>
      <c r="BF189" s="225" t="str">
        <f>IFERROR(INDEX(Data!DC$9:DC$1273,MATCH($M189,Data!$K$9:$K$1273,0)),"")</f>
        <v/>
      </c>
      <c r="BG189" s="225" t="str">
        <f>IFERROR(INDEX(Data!DD$9:DD$1273,MATCH($M189,Data!$K$9:$K$1273,0)),"")</f>
        <v/>
      </c>
      <c r="BH189" s="225" t="str">
        <f>IFERROR(INDEX(Data!DE$9:DE$1273,MATCH($M189,Data!$K$9:$K$1273,0)),"")</f>
        <v/>
      </c>
      <c r="BI189" s="225" t="str">
        <f>IFERROR(INDEX(Data!DF$9:DF$1273,MATCH($M189,Data!$K$9:$K$1273,0)),"")</f>
        <v/>
      </c>
      <c r="BJ189" s="225" t="str">
        <f>IFERROR(INDEX(Data!DG$9:DG$1273,MATCH($M189,Data!$K$9:$K$1273,0)),"")</f>
        <v/>
      </c>
      <c r="BK189" s="225" t="str">
        <f>IFERROR(INDEX(Data!DH$9:DH$1273,MATCH($M189,Data!$K$9:$K$1273,0)),"")</f>
        <v/>
      </c>
      <c r="BL189" s="225" t="str">
        <f>IFERROR(INDEX(Data!DI$9:DI$1273,MATCH($M189,Data!$K$9:$K$1273,0)),"")</f>
        <v/>
      </c>
      <c r="BM189" s="225" t="str">
        <f>IFERROR(INDEX(Data!DJ$9:DJ$1273,MATCH($M189,Data!$K$9:$K$1273,0)),"")</f>
        <v/>
      </c>
      <c r="BN189" s="225" t="str">
        <f>IFERROR(INDEX(Data!DK$9:DK$1273,MATCH($M189,Data!$K$9:$K$1273,0)),"")</f>
        <v/>
      </c>
      <c r="BO189" s="225" t="str">
        <f>IFERROR(INDEX(Data!DL$9:DL$1273,MATCH($M189,Data!$K$9:$K$1273,0)),"")</f>
        <v/>
      </c>
      <c r="BP189" s="243" t="str">
        <f t="shared" si="23"/>
        <v/>
      </c>
      <c r="BQ189" s="225" t="str">
        <f t="shared" si="24"/>
        <v xml:space="preserve"> </v>
      </c>
      <c r="BR189" s="225" t="str">
        <f t="shared" si="25"/>
        <v/>
      </c>
      <c r="BS189" s="225" t="str">
        <f>IFERROR(INDEX(Data!$DO$9:$DO$1273,MATCH('Your recommendation'!BR189,Data!$DN$9:$DN$1273,0)),"")</f>
        <v/>
      </c>
    </row>
    <row r="190" spans="2:71" ht="15.6" customHeight="1">
      <c r="B190" s="222" t="str">
        <f t="shared" si="26"/>
        <v/>
      </c>
      <c r="C190" s="223"/>
      <c r="D190" s="225" t="str">
        <f>IFERROR(INDEX(Data!BR$9:BR$1273,MATCH($M190,Data!$K$9:$K$1273,0)),"")</f>
        <v/>
      </c>
      <c r="E190" s="225" t="str">
        <f>IFERROR(INDEX(Data!BS$9:BS$1273,MATCH($M190,Data!$K$9:$K$1273,0)),"")</f>
        <v/>
      </c>
      <c r="F190" s="225" t="str">
        <f>IFERROR(INDEX(Data!DM$9:DM$1273,MATCH($M190,Data!$K$9:$K$1273,0)),"")</f>
        <v/>
      </c>
      <c r="G190" s="225" t="str">
        <f>IFERROR(INDEX(Data!BV$9:BV$1273,MATCH($M190,Data!$K$9:$K$1273,0)),"")</f>
        <v/>
      </c>
      <c r="H190" s="225" t="str">
        <f>IFERROR(INDEX(Data!BW$9:BW$1273,MATCH($M190,Data!$K$9:$K$1273,0)),"")</f>
        <v/>
      </c>
      <c r="I190" s="225" t="str">
        <f>IFERROR(INDEX(Data!BX$9:BX$1273,MATCH($M190,Data!$K$9:$K$1273,0)),"")</f>
        <v/>
      </c>
      <c r="J190" s="225" t="str">
        <f>IFERROR(INDEX(Data!CB$9:CB$1273,MATCH($M190,Data!$K$9:$K$1273,0)),"")</f>
        <v/>
      </c>
      <c r="K190" s="241" t="str">
        <f t="shared" si="21"/>
        <v/>
      </c>
      <c r="L190" s="242" t="str">
        <f t="shared" si="22"/>
        <v/>
      </c>
      <c r="M190" s="224"/>
      <c r="N190" s="224"/>
      <c r="O190" s="224" t="str">
        <f>IFERROR(INDEX(Data!M$9:M$1273,MATCH($M190,Data!$K$9:$K$1273,0)),"")</f>
        <v/>
      </c>
      <c r="P190" s="224" t="str">
        <f>IFERROR(INDEX(Data!N$9:N$1273,MATCH($M190,Data!$K$9:$K$1273,0)),"")</f>
        <v/>
      </c>
      <c r="Q190" s="224" t="str">
        <f>IFERROR(INDEX(Data!O$9:O$1273,MATCH($M190,Data!$K$9:$K$1273,0)),"")</f>
        <v/>
      </c>
      <c r="R190" s="224" t="str">
        <f>IFERROR(INDEX(Data!P$9:P$1273,MATCH($M190,Data!$K$9:$K$1273,0)),"")</f>
        <v/>
      </c>
      <c r="S190" s="224" t="str">
        <f>IFERROR(INDEX(Data!S$9:S$1273,MATCH($M190,Data!$K$9:$K$1273,0)),"")</f>
        <v/>
      </c>
      <c r="T190" s="224" t="str">
        <f>IFERROR(INDEX(Data!T$9:T$1273,MATCH($M190,Data!$K$9:$K$1273,0)),"")</f>
        <v/>
      </c>
      <c r="U190" s="224" t="str">
        <f>IFERROR(INDEX(Data!U$9:U$1273,MATCH($M190,Data!$K$9:$K$1273,0)),"")</f>
        <v/>
      </c>
      <c r="V190" s="224" t="str">
        <f>IFERROR(INDEX(Data!V$9:V$1273,MATCH($M190,Data!$K$9:$K$1273,0)),"")</f>
        <v/>
      </c>
      <c r="W190" s="224" t="str">
        <f>IFERROR(INDEX(Data!W$9:W$1273,MATCH($M190,Data!$K$9:$K$1273,0)),"")</f>
        <v/>
      </c>
      <c r="X190" s="224" t="str">
        <f>IFERROR(INDEX(Data!AJ$9:AJ$1273,MATCH($M190,Data!$K$9:$K$1273,0)),"")</f>
        <v/>
      </c>
      <c r="Y190" s="224" t="str">
        <f>IFERROR(INDEX(Data!AK$9:AK$1273,MATCH($M190,Data!$K$9:$K$1273,0)),"")</f>
        <v/>
      </c>
      <c r="Z190" s="224" t="str">
        <f>IFERROR(INDEX(Data!AL$9:AL$1273,MATCH($M190,Data!$K$9:$K$1273,0)),"")</f>
        <v/>
      </c>
      <c r="AA190" s="224" t="str">
        <f>IFERROR(INDEX(Data!AM$9:AM$1273,MATCH($M190,Data!$K$9:$K$1273,0)),"")</f>
        <v/>
      </c>
      <c r="AB190" s="224" t="str">
        <f>IFERROR(INDEX(Data!AN$9:AN$1273,MATCH($M190,Data!$K$9:$K$1273,0)),"")</f>
        <v/>
      </c>
      <c r="AC190" s="225" t="str">
        <f>IFERROR(INDEX(Data!BY$9:BY$1273,MATCH($M190,Data!$K$9:$K$1273,0)),"")</f>
        <v/>
      </c>
      <c r="AD190" s="225" t="str">
        <f>IFERROR(INDEX(Data!BZ$9:BZ$1273,MATCH($M190,Data!$K$9:$K$1273,0)),"")</f>
        <v/>
      </c>
      <c r="AE190" s="225" t="str">
        <f>IFERROR(INDEX(Data!CA$9:CA$1273,MATCH($M190,Data!$K$9:$K$1273,0)),"")</f>
        <v/>
      </c>
      <c r="AF190" s="225" t="str">
        <f>IFERROR(INDEX(Data!CB$9:CB$1273,MATCH($M190,Data!$K$9:$K$1273,0)),"")</f>
        <v/>
      </c>
      <c r="AG190" s="225" t="str">
        <f>IFERROR(INDEX(Data!CC$9:CC$1273,MATCH($M190,Data!$K$9:$K$1273,0)),"")</f>
        <v/>
      </c>
      <c r="AH190" s="225" t="str">
        <f>IFERROR(INDEX(Data!CD$9:CD$1273,MATCH($M190,Data!$K$9:$K$1273,0)),"")</f>
        <v/>
      </c>
      <c r="AI190" s="225" t="str">
        <f>IFERROR(INDEX(Data!CE$9:CE$1273,MATCH($M190,Data!$K$9:$K$1273,0)),"")</f>
        <v/>
      </c>
      <c r="AJ190" s="225" t="str">
        <f>IFERROR(INDEX(Data!CF$9:CF$1273,MATCH($M190,Data!$K$9:$K$1273,0)),"")</f>
        <v/>
      </c>
      <c r="AK190" s="225" t="str">
        <f>IFERROR(INDEX(Data!CG$9:CG$1273,MATCH($M190,Data!$K$9:$K$1273,0)),"")</f>
        <v/>
      </c>
      <c r="AL190" s="225" t="str">
        <f>IFERROR(INDEX(Data!CH$9:CH$1273,MATCH($M190,Data!$K$9:$K$1273,0)),"")</f>
        <v/>
      </c>
      <c r="AM190" s="225" t="str">
        <f>IFERROR(INDEX(Data!CI$9:CI$1273,MATCH($M190,Data!$K$9:$K$1273,0)),"")</f>
        <v/>
      </c>
      <c r="AN190" s="225" t="str">
        <f>IFERROR(INDEX(Data!CJ$9:CJ$1273,MATCH($M190,Data!$K$9:$K$1273,0)),"")</f>
        <v/>
      </c>
      <c r="AO190" s="225" t="str">
        <f>IFERROR(INDEX(Data!CK$9:CK$1273,MATCH($M190,Data!$K$9:$K$1273,0)),"")</f>
        <v/>
      </c>
      <c r="AP190" s="225" t="str">
        <f>IFERROR(INDEX(Data!CL$9:CL$1273,MATCH($M190,Data!$K$9:$K$1273,0)),"")</f>
        <v/>
      </c>
      <c r="AQ190" s="225" t="str">
        <f>IFERROR(INDEX(Data!CM$9:CM$1273,MATCH($M190,Data!$K$9:$K$1273,0)),"")</f>
        <v/>
      </c>
      <c r="AR190" s="225" t="str">
        <f>IFERROR(INDEX(Data!CN$9:CN$1273,MATCH($M190,Data!$K$9:$K$1273,0)),"")</f>
        <v/>
      </c>
      <c r="AS190" s="225" t="str">
        <f>IFERROR(INDEX(Data!CO$9:CO$1273,MATCH($M190,Data!$K$9:$K$1273,0)),"")</f>
        <v/>
      </c>
      <c r="AT190" s="225" t="str">
        <f>IFERROR(INDEX(Data!CP$9:CP$1273,MATCH($M190,Data!$K$9:$K$1273,0)),"")</f>
        <v/>
      </c>
      <c r="AU190" s="225" t="str">
        <f>IFERROR(INDEX(Data!CQ$9:CQ$1273,MATCH($M190,Data!$K$9:$K$1273,0)),"")</f>
        <v/>
      </c>
      <c r="AV190" s="225" t="str">
        <f>IFERROR(INDEX(Data!CR$9:CR$1273,MATCH($M190,Data!$K$9:$K$1273,0)),"")</f>
        <v/>
      </c>
      <c r="AW190" s="225" t="str">
        <f>IFERROR(INDEX(Data!CS$9:CS$1273,MATCH($M190,Data!$K$9:$K$1273,0)),"")</f>
        <v/>
      </c>
      <c r="AX190" s="225" t="str">
        <f>IFERROR(INDEX(Data!CT$9:CT$1273,MATCH($M190,Data!$K$9:$K$1273,0)),"")</f>
        <v/>
      </c>
      <c r="AY190" s="225" t="str">
        <f>IFERROR(INDEX(Data!CU$9:CU$1273,MATCH($M190,Data!$K$9:$K$1273,0)),"")</f>
        <v/>
      </c>
      <c r="AZ190" s="225" t="str">
        <f>IFERROR(INDEX(Data!CV$9:CV$1273,MATCH($M190,Data!$K$9:$K$1273,0)),"")</f>
        <v/>
      </c>
      <c r="BA190" s="225" t="str">
        <f>IFERROR(INDEX(Data!CX$9:CX$1273,MATCH($M190,Data!$K$9:$K$1273,0)),"")</f>
        <v/>
      </c>
      <c r="BB190" s="225" t="str">
        <f>IFERROR(INDEX(Data!CY$9:CY$1273,MATCH($M190,Data!$K$9:$K$1273,0)),"")</f>
        <v/>
      </c>
      <c r="BC190" s="225" t="str">
        <f>IFERROR(INDEX(Data!CZ$9:CZ$1273,MATCH($M190,Data!$K$9:$K$1273,0)),"")</f>
        <v/>
      </c>
      <c r="BD190" s="225" t="str">
        <f>IFERROR(INDEX(Data!DA$9:DA$1273,MATCH($M190,Data!$K$9:$K$1273,0)),"")</f>
        <v/>
      </c>
      <c r="BE190" s="225" t="str">
        <f>IFERROR(INDEX(Data!DB$9:DB$1273,MATCH($M190,Data!$K$9:$K$1273,0)),"")</f>
        <v/>
      </c>
      <c r="BF190" s="225" t="str">
        <f>IFERROR(INDEX(Data!DC$9:DC$1273,MATCH($M190,Data!$K$9:$K$1273,0)),"")</f>
        <v/>
      </c>
      <c r="BG190" s="225" t="str">
        <f>IFERROR(INDEX(Data!DD$9:DD$1273,MATCH($M190,Data!$K$9:$K$1273,0)),"")</f>
        <v/>
      </c>
      <c r="BH190" s="225" t="str">
        <f>IFERROR(INDEX(Data!DE$9:DE$1273,MATCH($M190,Data!$K$9:$K$1273,0)),"")</f>
        <v/>
      </c>
      <c r="BI190" s="225" t="str">
        <f>IFERROR(INDEX(Data!DF$9:DF$1273,MATCH($M190,Data!$K$9:$K$1273,0)),"")</f>
        <v/>
      </c>
      <c r="BJ190" s="225" t="str">
        <f>IFERROR(INDEX(Data!DG$9:DG$1273,MATCH($M190,Data!$K$9:$K$1273,0)),"")</f>
        <v/>
      </c>
      <c r="BK190" s="225" t="str">
        <f>IFERROR(INDEX(Data!DH$9:DH$1273,MATCH($M190,Data!$K$9:$K$1273,0)),"")</f>
        <v/>
      </c>
      <c r="BL190" s="225" t="str">
        <f>IFERROR(INDEX(Data!DI$9:DI$1273,MATCH($M190,Data!$K$9:$K$1273,0)),"")</f>
        <v/>
      </c>
      <c r="BM190" s="225" t="str">
        <f>IFERROR(INDEX(Data!DJ$9:DJ$1273,MATCH($M190,Data!$K$9:$K$1273,0)),"")</f>
        <v/>
      </c>
      <c r="BN190" s="225" t="str">
        <f>IFERROR(INDEX(Data!DK$9:DK$1273,MATCH($M190,Data!$K$9:$K$1273,0)),"")</f>
        <v/>
      </c>
      <c r="BO190" s="225" t="str">
        <f>IFERROR(INDEX(Data!DL$9:DL$1273,MATCH($M190,Data!$K$9:$K$1273,0)),"")</f>
        <v/>
      </c>
      <c r="BP190" s="243" t="str">
        <f t="shared" si="23"/>
        <v/>
      </c>
      <c r="BQ190" s="225" t="str">
        <f t="shared" si="24"/>
        <v xml:space="preserve"> </v>
      </c>
      <c r="BR190" s="225" t="str">
        <f t="shared" si="25"/>
        <v/>
      </c>
      <c r="BS190" s="225" t="str">
        <f>IFERROR(INDEX(Data!$DO$9:$DO$1273,MATCH('Your recommendation'!BR190,Data!$DN$9:$DN$1273,0)),"")</f>
        <v/>
      </c>
    </row>
    <row r="191" spans="2:71" ht="15.6" customHeight="1">
      <c r="B191" s="222" t="str">
        <f t="shared" si="26"/>
        <v/>
      </c>
      <c r="C191" s="223"/>
      <c r="D191" s="225" t="str">
        <f>IFERROR(INDEX(Data!BR$9:BR$1273,MATCH($M191,Data!$K$9:$K$1273,0)),"")</f>
        <v/>
      </c>
      <c r="E191" s="225" t="str">
        <f>IFERROR(INDEX(Data!BS$9:BS$1273,MATCH($M191,Data!$K$9:$K$1273,0)),"")</f>
        <v/>
      </c>
      <c r="F191" s="225" t="str">
        <f>IFERROR(INDEX(Data!DM$9:DM$1273,MATCH($M191,Data!$K$9:$K$1273,0)),"")</f>
        <v/>
      </c>
      <c r="G191" s="225" t="str">
        <f>IFERROR(INDEX(Data!BV$9:BV$1273,MATCH($M191,Data!$K$9:$K$1273,0)),"")</f>
        <v/>
      </c>
      <c r="H191" s="225" t="str">
        <f>IFERROR(INDEX(Data!BW$9:BW$1273,MATCH($M191,Data!$K$9:$K$1273,0)),"")</f>
        <v/>
      </c>
      <c r="I191" s="225" t="str">
        <f>IFERROR(INDEX(Data!BX$9:BX$1273,MATCH($M191,Data!$K$9:$K$1273,0)),"")</f>
        <v/>
      </c>
      <c r="J191" s="225" t="str">
        <f>IFERROR(INDEX(Data!CB$9:CB$1273,MATCH($M191,Data!$K$9:$K$1273,0)),"")</f>
        <v/>
      </c>
      <c r="K191" s="241" t="str">
        <f t="shared" si="21"/>
        <v/>
      </c>
      <c r="L191" s="242" t="str">
        <f t="shared" si="22"/>
        <v/>
      </c>
      <c r="M191" s="224"/>
      <c r="N191" s="224"/>
      <c r="O191" s="224" t="str">
        <f>IFERROR(INDEX(Data!M$9:M$1273,MATCH($M191,Data!$K$9:$K$1273,0)),"")</f>
        <v/>
      </c>
      <c r="P191" s="224" t="str">
        <f>IFERROR(INDEX(Data!N$9:N$1273,MATCH($M191,Data!$K$9:$K$1273,0)),"")</f>
        <v/>
      </c>
      <c r="Q191" s="224" t="str">
        <f>IFERROR(INDEX(Data!O$9:O$1273,MATCH($M191,Data!$K$9:$K$1273,0)),"")</f>
        <v/>
      </c>
      <c r="R191" s="224" t="str">
        <f>IFERROR(INDEX(Data!P$9:P$1273,MATCH($M191,Data!$K$9:$K$1273,0)),"")</f>
        <v/>
      </c>
      <c r="S191" s="224" t="str">
        <f>IFERROR(INDEX(Data!S$9:S$1273,MATCH($M191,Data!$K$9:$K$1273,0)),"")</f>
        <v/>
      </c>
      <c r="T191" s="224" t="str">
        <f>IFERROR(INDEX(Data!T$9:T$1273,MATCH($M191,Data!$K$9:$K$1273,0)),"")</f>
        <v/>
      </c>
      <c r="U191" s="224" t="str">
        <f>IFERROR(INDEX(Data!U$9:U$1273,MATCH($M191,Data!$K$9:$K$1273,0)),"")</f>
        <v/>
      </c>
      <c r="V191" s="224" t="str">
        <f>IFERROR(INDEX(Data!V$9:V$1273,MATCH($M191,Data!$K$9:$K$1273,0)),"")</f>
        <v/>
      </c>
      <c r="W191" s="224" t="str">
        <f>IFERROR(INDEX(Data!W$9:W$1273,MATCH($M191,Data!$K$9:$K$1273,0)),"")</f>
        <v/>
      </c>
      <c r="X191" s="224" t="str">
        <f>IFERROR(INDEX(Data!AJ$9:AJ$1273,MATCH($M191,Data!$K$9:$K$1273,0)),"")</f>
        <v/>
      </c>
      <c r="Y191" s="224" t="str">
        <f>IFERROR(INDEX(Data!AK$9:AK$1273,MATCH($M191,Data!$K$9:$K$1273,0)),"")</f>
        <v/>
      </c>
      <c r="Z191" s="224" t="str">
        <f>IFERROR(INDEX(Data!AL$9:AL$1273,MATCH($M191,Data!$K$9:$K$1273,0)),"")</f>
        <v/>
      </c>
      <c r="AA191" s="224" t="str">
        <f>IFERROR(INDEX(Data!AM$9:AM$1273,MATCH($M191,Data!$K$9:$K$1273,0)),"")</f>
        <v/>
      </c>
      <c r="AB191" s="224" t="str">
        <f>IFERROR(INDEX(Data!AN$9:AN$1273,MATCH($M191,Data!$K$9:$K$1273,0)),"")</f>
        <v/>
      </c>
      <c r="AC191" s="225" t="str">
        <f>IFERROR(INDEX(Data!BY$9:BY$1273,MATCH($M191,Data!$K$9:$K$1273,0)),"")</f>
        <v/>
      </c>
      <c r="AD191" s="225" t="str">
        <f>IFERROR(INDEX(Data!BZ$9:BZ$1273,MATCH($M191,Data!$K$9:$K$1273,0)),"")</f>
        <v/>
      </c>
      <c r="AE191" s="225" t="str">
        <f>IFERROR(INDEX(Data!CA$9:CA$1273,MATCH($M191,Data!$K$9:$K$1273,0)),"")</f>
        <v/>
      </c>
      <c r="AF191" s="225" t="str">
        <f>IFERROR(INDEX(Data!CB$9:CB$1273,MATCH($M191,Data!$K$9:$K$1273,0)),"")</f>
        <v/>
      </c>
      <c r="AG191" s="225" t="str">
        <f>IFERROR(INDEX(Data!CC$9:CC$1273,MATCH($M191,Data!$K$9:$K$1273,0)),"")</f>
        <v/>
      </c>
      <c r="AH191" s="225" t="str">
        <f>IFERROR(INDEX(Data!CD$9:CD$1273,MATCH($M191,Data!$K$9:$K$1273,0)),"")</f>
        <v/>
      </c>
      <c r="AI191" s="225" t="str">
        <f>IFERROR(INDEX(Data!CE$9:CE$1273,MATCH($M191,Data!$K$9:$K$1273,0)),"")</f>
        <v/>
      </c>
      <c r="AJ191" s="225" t="str">
        <f>IFERROR(INDEX(Data!CF$9:CF$1273,MATCH($M191,Data!$K$9:$K$1273,0)),"")</f>
        <v/>
      </c>
      <c r="AK191" s="225" t="str">
        <f>IFERROR(INDEX(Data!CG$9:CG$1273,MATCH($M191,Data!$K$9:$K$1273,0)),"")</f>
        <v/>
      </c>
      <c r="AL191" s="225" t="str">
        <f>IFERROR(INDEX(Data!CH$9:CH$1273,MATCH($M191,Data!$K$9:$K$1273,0)),"")</f>
        <v/>
      </c>
      <c r="AM191" s="225" t="str">
        <f>IFERROR(INDEX(Data!CI$9:CI$1273,MATCH($M191,Data!$K$9:$K$1273,0)),"")</f>
        <v/>
      </c>
      <c r="AN191" s="225" t="str">
        <f>IFERROR(INDEX(Data!CJ$9:CJ$1273,MATCH($M191,Data!$K$9:$K$1273,0)),"")</f>
        <v/>
      </c>
      <c r="AO191" s="225" t="str">
        <f>IFERROR(INDEX(Data!CK$9:CK$1273,MATCH($M191,Data!$K$9:$K$1273,0)),"")</f>
        <v/>
      </c>
      <c r="AP191" s="225" t="str">
        <f>IFERROR(INDEX(Data!CL$9:CL$1273,MATCH($M191,Data!$K$9:$K$1273,0)),"")</f>
        <v/>
      </c>
      <c r="AQ191" s="225" t="str">
        <f>IFERROR(INDEX(Data!CM$9:CM$1273,MATCH($M191,Data!$K$9:$K$1273,0)),"")</f>
        <v/>
      </c>
      <c r="AR191" s="225" t="str">
        <f>IFERROR(INDEX(Data!CN$9:CN$1273,MATCH($M191,Data!$K$9:$K$1273,0)),"")</f>
        <v/>
      </c>
      <c r="AS191" s="225" t="str">
        <f>IFERROR(INDEX(Data!CO$9:CO$1273,MATCH($M191,Data!$K$9:$K$1273,0)),"")</f>
        <v/>
      </c>
      <c r="AT191" s="225" t="str">
        <f>IFERROR(INDEX(Data!CP$9:CP$1273,MATCH($M191,Data!$K$9:$K$1273,0)),"")</f>
        <v/>
      </c>
      <c r="AU191" s="225" t="str">
        <f>IFERROR(INDEX(Data!CQ$9:CQ$1273,MATCH($M191,Data!$K$9:$K$1273,0)),"")</f>
        <v/>
      </c>
      <c r="AV191" s="225" t="str">
        <f>IFERROR(INDEX(Data!CR$9:CR$1273,MATCH($M191,Data!$K$9:$K$1273,0)),"")</f>
        <v/>
      </c>
      <c r="AW191" s="225" t="str">
        <f>IFERROR(INDEX(Data!CS$9:CS$1273,MATCH($M191,Data!$K$9:$K$1273,0)),"")</f>
        <v/>
      </c>
      <c r="AX191" s="225" t="str">
        <f>IFERROR(INDEX(Data!CT$9:CT$1273,MATCH($M191,Data!$K$9:$K$1273,0)),"")</f>
        <v/>
      </c>
      <c r="AY191" s="225" t="str">
        <f>IFERROR(INDEX(Data!CU$9:CU$1273,MATCH($M191,Data!$K$9:$K$1273,0)),"")</f>
        <v/>
      </c>
      <c r="AZ191" s="225" t="str">
        <f>IFERROR(INDEX(Data!CV$9:CV$1273,MATCH($M191,Data!$K$9:$K$1273,0)),"")</f>
        <v/>
      </c>
      <c r="BA191" s="225" t="str">
        <f>IFERROR(INDEX(Data!CX$9:CX$1273,MATCH($M191,Data!$K$9:$K$1273,0)),"")</f>
        <v/>
      </c>
      <c r="BB191" s="225" t="str">
        <f>IFERROR(INDEX(Data!CY$9:CY$1273,MATCH($M191,Data!$K$9:$K$1273,0)),"")</f>
        <v/>
      </c>
      <c r="BC191" s="225" t="str">
        <f>IFERROR(INDEX(Data!CZ$9:CZ$1273,MATCH($M191,Data!$K$9:$K$1273,0)),"")</f>
        <v/>
      </c>
      <c r="BD191" s="225" t="str">
        <f>IFERROR(INDEX(Data!DA$9:DA$1273,MATCH($M191,Data!$K$9:$K$1273,0)),"")</f>
        <v/>
      </c>
      <c r="BE191" s="225" t="str">
        <f>IFERROR(INDEX(Data!DB$9:DB$1273,MATCH($M191,Data!$K$9:$K$1273,0)),"")</f>
        <v/>
      </c>
      <c r="BF191" s="225" t="str">
        <f>IFERROR(INDEX(Data!DC$9:DC$1273,MATCH($M191,Data!$K$9:$K$1273,0)),"")</f>
        <v/>
      </c>
      <c r="BG191" s="225" t="str">
        <f>IFERROR(INDEX(Data!DD$9:DD$1273,MATCH($M191,Data!$K$9:$K$1273,0)),"")</f>
        <v/>
      </c>
      <c r="BH191" s="225" t="str">
        <f>IFERROR(INDEX(Data!DE$9:DE$1273,MATCH($M191,Data!$K$9:$K$1273,0)),"")</f>
        <v/>
      </c>
      <c r="BI191" s="225" t="str">
        <f>IFERROR(INDEX(Data!DF$9:DF$1273,MATCH($M191,Data!$K$9:$K$1273,0)),"")</f>
        <v/>
      </c>
      <c r="BJ191" s="225" t="str">
        <f>IFERROR(INDEX(Data!DG$9:DG$1273,MATCH($M191,Data!$K$9:$K$1273,0)),"")</f>
        <v/>
      </c>
      <c r="BK191" s="225" t="str">
        <f>IFERROR(INDEX(Data!DH$9:DH$1273,MATCH($M191,Data!$K$9:$K$1273,0)),"")</f>
        <v/>
      </c>
      <c r="BL191" s="225" t="str">
        <f>IFERROR(INDEX(Data!DI$9:DI$1273,MATCH($M191,Data!$K$9:$K$1273,0)),"")</f>
        <v/>
      </c>
      <c r="BM191" s="225" t="str">
        <f>IFERROR(INDEX(Data!DJ$9:DJ$1273,MATCH($M191,Data!$K$9:$K$1273,0)),"")</f>
        <v/>
      </c>
      <c r="BN191" s="225" t="str">
        <f>IFERROR(INDEX(Data!DK$9:DK$1273,MATCH($M191,Data!$K$9:$K$1273,0)),"")</f>
        <v/>
      </c>
      <c r="BO191" s="225" t="str">
        <f>IFERROR(INDEX(Data!DL$9:DL$1273,MATCH($M191,Data!$K$9:$K$1273,0)),"")</f>
        <v/>
      </c>
      <c r="BP191" s="243" t="str">
        <f t="shared" si="23"/>
        <v/>
      </c>
      <c r="BQ191" s="225" t="str">
        <f t="shared" si="24"/>
        <v xml:space="preserve"> </v>
      </c>
      <c r="BR191" s="225" t="str">
        <f t="shared" si="25"/>
        <v/>
      </c>
      <c r="BS191" s="225" t="str">
        <f>IFERROR(INDEX(Data!$DO$9:$DO$1273,MATCH('Your recommendation'!BR191,Data!$DN$9:$DN$1273,0)),"")</f>
        <v/>
      </c>
    </row>
    <row r="192" spans="2:71" ht="15.6" customHeight="1">
      <c r="B192" s="222" t="str">
        <f t="shared" si="26"/>
        <v/>
      </c>
      <c r="C192" s="223"/>
      <c r="D192" s="225" t="str">
        <f>IFERROR(INDEX(Data!BR$9:BR$1273,MATCH($M192,Data!$K$9:$K$1273,0)),"")</f>
        <v/>
      </c>
      <c r="E192" s="225" t="str">
        <f>IFERROR(INDEX(Data!BS$9:BS$1273,MATCH($M192,Data!$K$9:$K$1273,0)),"")</f>
        <v/>
      </c>
      <c r="F192" s="225" t="str">
        <f>IFERROR(INDEX(Data!DM$9:DM$1273,MATCH($M192,Data!$K$9:$K$1273,0)),"")</f>
        <v/>
      </c>
      <c r="G192" s="225" t="str">
        <f>IFERROR(INDEX(Data!BV$9:BV$1273,MATCH($M192,Data!$K$9:$K$1273,0)),"")</f>
        <v/>
      </c>
      <c r="H192" s="225" t="str">
        <f>IFERROR(INDEX(Data!BW$9:BW$1273,MATCH($M192,Data!$K$9:$K$1273,0)),"")</f>
        <v/>
      </c>
      <c r="I192" s="225" t="str">
        <f>IFERROR(INDEX(Data!BX$9:BX$1273,MATCH($M192,Data!$K$9:$K$1273,0)),"")</f>
        <v/>
      </c>
      <c r="J192" s="225" t="str">
        <f>IFERROR(INDEX(Data!CB$9:CB$1273,MATCH($M192,Data!$K$9:$K$1273,0)),"")</f>
        <v/>
      </c>
      <c r="K192" s="241" t="str">
        <f t="shared" si="21"/>
        <v/>
      </c>
      <c r="L192" s="242" t="str">
        <f t="shared" si="22"/>
        <v/>
      </c>
      <c r="M192" s="224"/>
      <c r="N192" s="224"/>
      <c r="O192" s="224" t="str">
        <f>IFERROR(INDEX(Data!M$9:M$1273,MATCH($M192,Data!$K$9:$K$1273,0)),"")</f>
        <v/>
      </c>
      <c r="P192" s="224" t="str">
        <f>IFERROR(INDEX(Data!N$9:N$1273,MATCH($M192,Data!$K$9:$K$1273,0)),"")</f>
        <v/>
      </c>
      <c r="Q192" s="224" t="str">
        <f>IFERROR(INDEX(Data!O$9:O$1273,MATCH($M192,Data!$K$9:$K$1273,0)),"")</f>
        <v/>
      </c>
      <c r="R192" s="224" t="str">
        <f>IFERROR(INDEX(Data!P$9:P$1273,MATCH($M192,Data!$K$9:$K$1273,0)),"")</f>
        <v/>
      </c>
      <c r="S192" s="224" t="str">
        <f>IFERROR(INDEX(Data!S$9:S$1273,MATCH($M192,Data!$K$9:$K$1273,0)),"")</f>
        <v/>
      </c>
      <c r="T192" s="224" t="str">
        <f>IFERROR(INDEX(Data!T$9:T$1273,MATCH($M192,Data!$K$9:$K$1273,0)),"")</f>
        <v/>
      </c>
      <c r="U192" s="224" t="str">
        <f>IFERROR(INDEX(Data!U$9:U$1273,MATCH($M192,Data!$K$9:$K$1273,0)),"")</f>
        <v/>
      </c>
      <c r="V192" s="224" t="str">
        <f>IFERROR(INDEX(Data!V$9:V$1273,MATCH($M192,Data!$K$9:$K$1273,0)),"")</f>
        <v/>
      </c>
      <c r="W192" s="224" t="str">
        <f>IFERROR(INDEX(Data!W$9:W$1273,MATCH($M192,Data!$K$9:$K$1273,0)),"")</f>
        <v/>
      </c>
      <c r="X192" s="224" t="str">
        <f>IFERROR(INDEX(Data!AJ$9:AJ$1273,MATCH($M192,Data!$K$9:$K$1273,0)),"")</f>
        <v/>
      </c>
      <c r="Y192" s="224" t="str">
        <f>IFERROR(INDEX(Data!AK$9:AK$1273,MATCH($M192,Data!$K$9:$K$1273,0)),"")</f>
        <v/>
      </c>
      <c r="Z192" s="224" t="str">
        <f>IFERROR(INDEX(Data!AL$9:AL$1273,MATCH($M192,Data!$K$9:$K$1273,0)),"")</f>
        <v/>
      </c>
      <c r="AA192" s="224" t="str">
        <f>IFERROR(INDEX(Data!AM$9:AM$1273,MATCH($M192,Data!$K$9:$K$1273,0)),"")</f>
        <v/>
      </c>
      <c r="AB192" s="224" t="str">
        <f>IFERROR(INDEX(Data!AN$9:AN$1273,MATCH($M192,Data!$K$9:$K$1273,0)),"")</f>
        <v/>
      </c>
      <c r="AC192" s="225" t="str">
        <f>IFERROR(INDEX(Data!BY$9:BY$1273,MATCH($M192,Data!$K$9:$K$1273,0)),"")</f>
        <v/>
      </c>
      <c r="AD192" s="225" t="str">
        <f>IFERROR(INDEX(Data!BZ$9:BZ$1273,MATCH($M192,Data!$K$9:$K$1273,0)),"")</f>
        <v/>
      </c>
      <c r="AE192" s="225" t="str">
        <f>IFERROR(INDEX(Data!CA$9:CA$1273,MATCH($M192,Data!$K$9:$K$1273,0)),"")</f>
        <v/>
      </c>
      <c r="AF192" s="225" t="str">
        <f>IFERROR(INDEX(Data!CB$9:CB$1273,MATCH($M192,Data!$K$9:$K$1273,0)),"")</f>
        <v/>
      </c>
      <c r="AG192" s="225" t="str">
        <f>IFERROR(INDEX(Data!CC$9:CC$1273,MATCH($M192,Data!$K$9:$K$1273,0)),"")</f>
        <v/>
      </c>
      <c r="AH192" s="225" t="str">
        <f>IFERROR(INDEX(Data!CD$9:CD$1273,MATCH($M192,Data!$K$9:$K$1273,0)),"")</f>
        <v/>
      </c>
      <c r="AI192" s="225" t="str">
        <f>IFERROR(INDEX(Data!CE$9:CE$1273,MATCH($M192,Data!$K$9:$K$1273,0)),"")</f>
        <v/>
      </c>
      <c r="AJ192" s="225" t="str">
        <f>IFERROR(INDEX(Data!CF$9:CF$1273,MATCH($M192,Data!$K$9:$K$1273,0)),"")</f>
        <v/>
      </c>
      <c r="AK192" s="225" t="str">
        <f>IFERROR(INDEX(Data!CG$9:CG$1273,MATCH($M192,Data!$K$9:$K$1273,0)),"")</f>
        <v/>
      </c>
      <c r="AL192" s="225" t="str">
        <f>IFERROR(INDEX(Data!CH$9:CH$1273,MATCH($M192,Data!$K$9:$K$1273,0)),"")</f>
        <v/>
      </c>
      <c r="AM192" s="225" t="str">
        <f>IFERROR(INDEX(Data!CI$9:CI$1273,MATCH($M192,Data!$K$9:$K$1273,0)),"")</f>
        <v/>
      </c>
      <c r="AN192" s="225" t="str">
        <f>IFERROR(INDEX(Data!CJ$9:CJ$1273,MATCH($M192,Data!$K$9:$K$1273,0)),"")</f>
        <v/>
      </c>
      <c r="AO192" s="225" t="str">
        <f>IFERROR(INDEX(Data!CK$9:CK$1273,MATCH($M192,Data!$K$9:$K$1273,0)),"")</f>
        <v/>
      </c>
      <c r="AP192" s="225" t="str">
        <f>IFERROR(INDEX(Data!CL$9:CL$1273,MATCH($M192,Data!$K$9:$K$1273,0)),"")</f>
        <v/>
      </c>
      <c r="AQ192" s="225" t="str">
        <f>IFERROR(INDEX(Data!CM$9:CM$1273,MATCH($M192,Data!$K$9:$K$1273,0)),"")</f>
        <v/>
      </c>
      <c r="AR192" s="225" t="str">
        <f>IFERROR(INDEX(Data!CN$9:CN$1273,MATCH($M192,Data!$K$9:$K$1273,0)),"")</f>
        <v/>
      </c>
      <c r="AS192" s="225" t="str">
        <f>IFERROR(INDEX(Data!CO$9:CO$1273,MATCH($M192,Data!$K$9:$K$1273,0)),"")</f>
        <v/>
      </c>
      <c r="AT192" s="225" t="str">
        <f>IFERROR(INDEX(Data!CP$9:CP$1273,MATCH($M192,Data!$K$9:$K$1273,0)),"")</f>
        <v/>
      </c>
      <c r="AU192" s="225" t="str">
        <f>IFERROR(INDEX(Data!CQ$9:CQ$1273,MATCH($M192,Data!$K$9:$K$1273,0)),"")</f>
        <v/>
      </c>
      <c r="AV192" s="225" t="str">
        <f>IFERROR(INDEX(Data!CR$9:CR$1273,MATCH($M192,Data!$K$9:$K$1273,0)),"")</f>
        <v/>
      </c>
      <c r="AW192" s="225" t="str">
        <f>IFERROR(INDEX(Data!CS$9:CS$1273,MATCH($M192,Data!$K$9:$K$1273,0)),"")</f>
        <v/>
      </c>
      <c r="AX192" s="225" t="str">
        <f>IFERROR(INDEX(Data!CT$9:CT$1273,MATCH($M192,Data!$K$9:$K$1273,0)),"")</f>
        <v/>
      </c>
      <c r="AY192" s="225" t="str">
        <f>IFERROR(INDEX(Data!CU$9:CU$1273,MATCH($M192,Data!$K$9:$K$1273,0)),"")</f>
        <v/>
      </c>
      <c r="AZ192" s="225" t="str">
        <f>IFERROR(INDEX(Data!CV$9:CV$1273,MATCH($M192,Data!$K$9:$K$1273,0)),"")</f>
        <v/>
      </c>
      <c r="BA192" s="225" t="str">
        <f>IFERROR(INDEX(Data!CX$9:CX$1273,MATCH($M192,Data!$K$9:$K$1273,0)),"")</f>
        <v/>
      </c>
      <c r="BB192" s="225" t="str">
        <f>IFERROR(INDEX(Data!CY$9:CY$1273,MATCH($M192,Data!$K$9:$K$1273,0)),"")</f>
        <v/>
      </c>
      <c r="BC192" s="225" t="str">
        <f>IFERROR(INDEX(Data!CZ$9:CZ$1273,MATCH($M192,Data!$K$9:$K$1273,0)),"")</f>
        <v/>
      </c>
      <c r="BD192" s="225" t="str">
        <f>IFERROR(INDEX(Data!DA$9:DA$1273,MATCH($M192,Data!$K$9:$K$1273,0)),"")</f>
        <v/>
      </c>
      <c r="BE192" s="225" t="str">
        <f>IFERROR(INDEX(Data!DB$9:DB$1273,MATCH($M192,Data!$K$9:$K$1273,0)),"")</f>
        <v/>
      </c>
      <c r="BF192" s="225" t="str">
        <f>IFERROR(INDEX(Data!DC$9:DC$1273,MATCH($M192,Data!$K$9:$K$1273,0)),"")</f>
        <v/>
      </c>
      <c r="BG192" s="225" t="str">
        <f>IFERROR(INDEX(Data!DD$9:DD$1273,MATCH($M192,Data!$K$9:$K$1273,0)),"")</f>
        <v/>
      </c>
      <c r="BH192" s="225" t="str">
        <f>IFERROR(INDEX(Data!DE$9:DE$1273,MATCH($M192,Data!$K$9:$K$1273,0)),"")</f>
        <v/>
      </c>
      <c r="BI192" s="225" t="str">
        <f>IFERROR(INDEX(Data!DF$9:DF$1273,MATCH($M192,Data!$K$9:$K$1273,0)),"")</f>
        <v/>
      </c>
      <c r="BJ192" s="225" t="str">
        <f>IFERROR(INDEX(Data!DG$9:DG$1273,MATCH($M192,Data!$K$9:$K$1273,0)),"")</f>
        <v/>
      </c>
      <c r="BK192" s="225" t="str">
        <f>IFERROR(INDEX(Data!DH$9:DH$1273,MATCH($M192,Data!$K$9:$K$1273,0)),"")</f>
        <v/>
      </c>
      <c r="BL192" s="225" t="str">
        <f>IFERROR(INDEX(Data!DI$9:DI$1273,MATCH($M192,Data!$K$9:$K$1273,0)),"")</f>
        <v/>
      </c>
      <c r="BM192" s="225" t="str">
        <f>IFERROR(INDEX(Data!DJ$9:DJ$1273,MATCH($M192,Data!$K$9:$K$1273,0)),"")</f>
        <v/>
      </c>
      <c r="BN192" s="225" t="str">
        <f>IFERROR(INDEX(Data!DK$9:DK$1273,MATCH($M192,Data!$K$9:$K$1273,0)),"")</f>
        <v/>
      </c>
      <c r="BO192" s="225" t="str">
        <f>IFERROR(INDEX(Data!DL$9:DL$1273,MATCH($M192,Data!$K$9:$K$1273,0)),"")</f>
        <v/>
      </c>
      <c r="BP192" s="243" t="str">
        <f t="shared" si="23"/>
        <v/>
      </c>
      <c r="BQ192" s="225" t="str">
        <f t="shared" si="24"/>
        <v xml:space="preserve"> </v>
      </c>
      <c r="BR192" s="225" t="str">
        <f t="shared" si="25"/>
        <v/>
      </c>
      <c r="BS192" s="225" t="str">
        <f>IFERROR(INDEX(Data!$DO$9:$DO$1273,MATCH('Your recommendation'!BR192,Data!$DN$9:$DN$1273,0)),"")</f>
        <v/>
      </c>
    </row>
    <row r="193" spans="2:71" ht="15.6" customHeight="1">
      <c r="B193" s="222" t="str">
        <f t="shared" si="26"/>
        <v/>
      </c>
      <c r="C193" s="223"/>
      <c r="D193" s="225" t="str">
        <f>IFERROR(INDEX(Data!BR$9:BR$1273,MATCH($M193,Data!$K$9:$K$1273,0)),"")</f>
        <v/>
      </c>
      <c r="E193" s="225" t="str">
        <f>IFERROR(INDEX(Data!BS$9:BS$1273,MATCH($M193,Data!$K$9:$K$1273,0)),"")</f>
        <v/>
      </c>
      <c r="F193" s="225" t="str">
        <f>IFERROR(INDEX(Data!DM$9:DM$1273,MATCH($M193,Data!$K$9:$K$1273,0)),"")</f>
        <v/>
      </c>
      <c r="G193" s="225" t="str">
        <f>IFERROR(INDEX(Data!BV$9:BV$1273,MATCH($M193,Data!$K$9:$K$1273,0)),"")</f>
        <v/>
      </c>
      <c r="H193" s="225" t="str">
        <f>IFERROR(INDEX(Data!BW$9:BW$1273,MATCH($M193,Data!$K$9:$K$1273,0)),"")</f>
        <v/>
      </c>
      <c r="I193" s="225" t="str">
        <f>IFERROR(INDEX(Data!BX$9:BX$1273,MATCH($M193,Data!$K$9:$K$1273,0)),"")</f>
        <v/>
      </c>
      <c r="J193" s="225" t="str">
        <f>IFERROR(INDEX(Data!CB$9:CB$1273,MATCH($M193,Data!$K$9:$K$1273,0)),"")</f>
        <v/>
      </c>
      <c r="K193" s="241" t="str">
        <f t="shared" si="21"/>
        <v/>
      </c>
      <c r="L193" s="242" t="str">
        <f t="shared" si="22"/>
        <v/>
      </c>
      <c r="M193" s="224"/>
      <c r="N193" s="224"/>
      <c r="O193" s="224" t="str">
        <f>IFERROR(INDEX(Data!M$9:M$1273,MATCH($M193,Data!$K$9:$K$1273,0)),"")</f>
        <v/>
      </c>
      <c r="P193" s="224" t="str">
        <f>IFERROR(INDEX(Data!N$9:N$1273,MATCH($M193,Data!$K$9:$K$1273,0)),"")</f>
        <v/>
      </c>
      <c r="Q193" s="224" t="str">
        <f>IFERROR(INDEX(Data!O$9:O$1273,MATCH($M193,Data!$K$9:$K$1273,0)),"")</f>
        <v/>
      </c>
      <c r="R193" s="224" t="str">
        <f>IFERROR(INDEX(Data!P$9:P$1273,MATCH($M193,Data!$K$9:$K$1273,0)),"")</f>
        <v/>
      </c>
      <c r="S193" s="224" t="str">
        <f>IFERROR(INDEX(Data!S$9:S$1273,MATCH($M193,Data!$K$9:$K$1273,0)),"")</f>
        <v/>
      </c>
      <c r="T193" s="224" t="str">
        <f>IFERROR(INDEX(Data!T$9:T$1273,MATCH($M193,Data!$K$9:$K$1273,0)),"")</f>
        <v/>
      </c>
      <c r="U193" s="224" t="str">
        <f>IFERROR(INDEX(Data!U$9:U$1273,MATCH($M193,Data!$K$9:$K$1273,0)),"")</f>
        <v/>
      </c>
      <c r="V193" s="224" t="str">
        <f>IFERROR(INDEX(Data!V$9:V$1273,MATCH($M193,Data!$K$9:$K$1273,0)),"")</f>
        <v/>
      </c>
      <c r="W193" s="224" t="str">
        <f>IFERROR(INDEX(Data!W$9:W$1273,MATCH($M193,Data!$K$9:$K$1273,0)),"")</f>
        <v/>
      </c>
      <c r="X193" s="224" t="str">
        <f>IFERROR(INDEX(Data!AJ$9:AJ$1273,MATCH($M193,Data!$K$9:$K$1273,0)),"")</f>
        <v/>
      </c>
      <c r="Y193" s="224" t="str">
        <f>IFERROR(INDEX(Data!AK$9:AK$1273,MATCH($M193,Data!$K$9:$K$1273,0)),"")</f>
        <v/>
      </c>
      <c r="Z193" s="224" t="str">
        <f>IFERROR(INDEX(Data!AL$9:AL$1273,MATCH($M193,Data!$K$9:$K$1273,0)),"")</f>
        <v/>
      </c>
      <c r="AA193" s="224" t="str">
        <f>IFERROR(INDEX(Data!AM$9:AM$1273,MATCH($M193,Data!$K$9:$K$1273,0)),"")</f>
        <v/>
      </c>
      <c r="AB193" s="224" t="str">
        <f>IFERROR(INDEX(Data!AN$9:AN$1273,MATCH($M193,Data!$K$9:$K$1273,0)),"")</f>
        <v/>
      </c>
      <c r="AC193" s="225" t="str">
        <f>IFERROR(INDEX(Data!BY$9:BY$1273,MATCH($M193,Data!$K$9:$K$1273,0)),"")</f>
        <v/>
      </c>
      <c r="AD193" s="225" t="str">
        <f>IFERROR(INDEX(Data!BZ$9:BZ$1273,MATCH($M193,Data!$K$9:$K$1273,0)),"")</f>
        <v/>
      </c>
      <c r="AE193" s="225" t="str">
        <f>IFERROR(INDEX(Data!CA$9:CA$1273,MATCH($M193,Data!$K$9:$K$1273,0)),"")</f>
        <v/>
      </c>
      <c r="AF193" s="225" t="str">
        <f>IFERROR(INDEX(Data!CB$9:CB$1273,MATCH($M193,Data!$K$9:$K$1273,0)),"")</f>
        <v/>
      </c>
      <c r="AG193" s="225" t="str">
        <f>IFERROR(INDEX(Data!CC$9:CC$1273,MATCH($M193,Data!$K$9:$K$1273,0)),"")</f>
        <v/>
      </c>
      <c r="AH193" s="225" t="str">
        <f>IFERROR(INDEX(Data!CD$9:CD$1273,MATCH($M193,Data!$K$9:$K$1273,0)),"")</f>
        <v/>
      </c>
      <c r="AI193" s="225" t="str">
        <f>IFERROR(INDEX(Data!CE$9:CE$1273,MATCH($M193,Data!$K$9:$K$1273,0)),"")</f>
        <v/>
      </c>
      <c r="AJ193" s="225" t="str">
        <f>IFERROR(INDEX(Data!CF$9:CF$1273,MATCH($M193,Data!$K$9:$K$1273,0)),"")</f>
        <v/>
      </c>
      <c r="AK193" s="225" t="str">
        <f>IFERROR(INDEX(Data!CG$9:CG$1273,MATCH($M193,Data!$K$9:$K$1273,0)),"")</f>
        <v/>
      </c>
      <c r="AL193" s="225" t="str">
        <f>IFERROR(INDEX(Data!CH$9:CH$1273,MATCH($M193,Data!$K$9:$K$1273,0)),"")</f>
        <v/>
      </c>
      <c r="AM193" s="225" t="str">
        <f>IFERROR(INDEX(Data!CI$9:CI$1273,MATCH($M193,Data!$K$9:$K$1273,0)),"")</f>
        <v/>
      </c>
      <c r="AN193" s="225" t="str">
        <f>IFERROR(INDEX(Data!CJ$9:CJ$1273,MATCH($M193,Data!$K$9:$K$1273,0)),"")</f>
        <v/>
      </c>
      <c r="AO193" s="225" t="str">
        <f>IFERROR(INDEX(Data!CK$9:CK$1273,MATCH($M193,Data!$K$9:$K$1273,0)),"")</f>
        <v/>
      </c>
      <c r="AP193" s="225" t="str">
        <f>IFERROR(INDEX(Data!CL$9:CL$1273,MATCH($M193,Data!$K$9:$K$1273,0)),"")</f>
        <v/>
      </c>
      <c r="AQ193" s="225" t="str">
        <f>IFERROR(INDEX(Data!CM$9:CM$1273,MATCH($M193,Data!$K$9:$K$1273,0)),"")</f>
        <v/>
      </c>
      <c r="AR193" s="225" t="str">
        <f>IFERROR(INDEX(Data!CN$9:CN$1273,MATCH($M193,Data!$K$9:$K$1273,0)),"")</f>
        <v/>
      </c>
      <c r="AS193" s="225" t="str">
        <f>IFERROR(INDEX(Data!CO$9:CO$1273,MATCH($M193,Data!$K$9:$K$1273,0)),"")</f>
        <v/>
      </c>
      <c r="AT193" s="225" t="str">
        <f>IFERROR(INDEX(Data!CP$9:CP$1273,MATCH($M193,Data!$K$9:$K$1273,0)),"")</f>
        <v/>
      </c>
      <c r="AU193" s="225" t="str">
        <f>IFERROR(INDEX(Data!CQ$9:CQ$1273,MATCH($M193,Data!$K$9:$K$1273,0)),"")</f>
        <v/>
      </c>
      <c r="AV193" s="225" t="str">
        <f>IFERROR(INDEX(Data!CR$9:CR$1273,MATCH($M193,Data!$K$9:$K$1273,0)),"")</f>
        <v/>
      </c>
      <c r="AW193" s="225" t="str">
        <f>IFERROR(INDEX(Data!CS$9:CS$1273,MATCH($M193,Data!$K$9:$K$1273,0)),"")</f>
        <v/>
      </c>
      <c r="AX193" s="225" t="str">
        <f>IFERROR(INDEX(Data!CT$9:CT$1273,MATCH($M193,Data!$K$9:$K$1273,0)),"")</f>
        <v/>
      </c>
      <c r="AY193" s="225" t="str">
        <f>IFERROR(INDEX(Data!CU$9:CU$1273,MATCH($M193,Data!$K$9:$K$1273,0)),"")</f>
        <v/>
      </c>
      <c r="AZ193" s="225" t="str">
        <f>IFERROR(INDEX(Data!CV$9:CV$1273,MATCH($M193,Data!$K$9:$K$1273,0)),"")</f>
        <v/>
      </c>
      <c r="BA193" s="225" t="str">
        <f>IFERROR(INDEX(Data!CX$9:CX$1273,MATCH($M193,Data!$K$9:$K$1273,0)),"")</f>
        <v/>
      </c>
      <c r="BB193" s="225" t="str">
        <f>IFERROR(INDEX(Data!CY$9:CY$1273,MATCH($M193,Data!$K$9:$K$1273,0)),"")</f>
        <v/>
      </c>
      <c r="BC193" s="225" t="str">
        <f>IFERROR(INDEX(Data!CZ$9:CZ$1273,MATCH($M193,Data!$K$9:$K$1273,0)),"")</f>
        <v/>
      </c>
      <c r="BD193" s="225" t="str">
        <f>IFERROR(INDEX(Data!DA$9:DA$1273,MATCH($M193,Data!$K$9:$K$1273,0)),"")</f>
        <v/>
      </c>
      <c r="BE193" s="225" t="str">
        <f>IFERROR(INDEX(Data!DB$9:DB$1273,MATCH($M193,Data!$K$9:$K$1273,0)),"")</f>
        <v/>
      </c>
      <c r="BF193" s="225" t="str">
        <f>IFERROR(INDEX(Data!DC$9:DC$1273,MATCH($M193,Data!$K$9:$K$1273,0)),"")</f>
        <v/>
      </c>
      <c r="BG193" s="225" t="str">
        <f>IFERROR(INDEX(Data!DD$9:DD$1273,MATCH($M193,Data!$K$9:$K$1273,0)),"")</f>
        <v/>
      </c>
      <c r="BH193" s="225" t="str">
        <f>IFERROR(INDEX(Data!DE$9:DE$1273,MATCH($M193,Data!$K$9:$K$1273,0)),"")</f>
        <v/>
      </c>
      <c r="BI193" s="225" t="str">
        <f>IFERROR(INDEX(Data!DF$9:DF$1273,MATCH($M193,Data!$K$9:$K$1273,0)),"")</f>
        <v/>
      </c>
      <c r="BJ193" s="225" t="str">
        <f>IFERROR(INDEX(Data!DG$9:DG$1273,MATCH($M193,Data!$K$9:$K$1273,0)),"")</f>
        <v/>
      </c>
      <c r="BK193" s="225" t="str">
        <f>IFERROR(INDEX(Data!DH$9:DH$1273,MATCH($M193,Data!$K$9:$K$1273,0)),"")</f>
        <v/>
      </c>
      <c r="BL193" s="225" t="str">
        <f>IFERROR(INDEX(Data!DI$9:DI$1273,MATCH($M193,Data!$K$9:$K$1273,0)),"")</f>
        <v/>
      </c>
      <c r="BM193" s="225" t="str">
        <f>IFERROR(INDEX(Data!DJ$9:DJ$1273,MATCH($M193,Data!$K$9:$K$1273,0)),"")</f>
        <v/>
      </c>
      <c r="BN193" s="225" t="str">
        <f>IFERROR(INDEX(Data!DK$9:DK$1273,MATCH($M193,Data!$K$9:$K$1273,0)),"")</f>
        <v/>
      </c>
      <c r="BO193" s="225" t="str">
        <f>IFERROR(INDEX(Data!DL$9:DL$1273,MATCH($M193,Data!$K$9:$K$1273,0)),"")</f>
        <v/>
      </c>
      <c r="BP193" s="243" t="str">
        <f t="shared" si="23"/>
        <v/>
      </c>
      <c r="BQ193" s="225" t="str">
        <f t="shared" si="24"/>
        <v xml:space="preserve"> </v>
      </c>
      <c r="BR193" s="225" t="str">
        <f t="shared" si="25"/>
        <v/>
      </c>
      <c r="BS193" s="225" t="str">
        <f>IFERROR(INDEX(Data!$DO$9:$DO$1273,MATCH('Your recommendation'!BR193,Data!$DN$9:$DN$1273,0)),"")</f>
        <v/>
      </c>
    </row>
    <row r="194" spans="2:71" ht="15.6" customHeight="1">
      <c r="B194" s="222" t="str">
        <f t="shared" si="26"/>
        <v/>
      </c>
      <c r="C194" s="223"/>
      <c r="D194" s="225" t="str">
        <f>IFERROR(INDEX(Data!BR$9:BR$1273,MATCH($M194,Data!$K$9:$K$1273,0)),"")</f>
        <v/>
      </c>
      <c r="E194" s="225" t="str">
        <f>IFERROR(INDEX(Data!BS$9:BS$1273,MATCH($M194,Data!$K$9:$K$1273,0)),"")</f>
        <v/>
      </c>
      <c r="F194" s="225" t="str">
        <f>IFERROR(INDEX(Data!DM$9:DM$1273,MATCH($M194,Data!$K$9:$K$1273,0)),"")</f>
        <v/>
      </c>
      <c r="G194" s="225" t="str">
        <f>IFERROR(INDEX(Data!BV$9:BV$1273,MATCH($M194,Data!$K$9:$K$1273,0)),"")</f>
        <v/>
      </c>
      <c r="H194" s="225" t="str">
        <f>IFERROR(INDEX(Data!BW$9:BW$1273,MATCH($M194,Data!$K$9:$K$1273,0)),"")</f>
        <v/>
      </c>
      <c r="I194" s="225" t="str">
        <f>IFERROR(INDEX(Data!BX$9:BX$1273,MATCH($M194,Data!$K$9:$K$1273,0)),"")</f>
        <v/>
      </c>
      <c r="J194" s="225" t="str">
        <f>IFERROR(INDEX(Data!CB$9:CB$1273,MATCH($M194,Data!$K$9:$K$1273,0)),"")</f>
        <v/>
      </c>
      <c r="K194" s="241" t="str">
        <f t="shared" si="21"/>
        <v/>
      </c>
      <c r="L194" s="242" t="str">
        <f t="shared" si="22"/>
        <v/>
      </c>
      <c r="M194" s="224"/>
      <c r="N194" s="224"/>
      <c r="O194" s="224" t="str">
        <f>IFERROR(INDEX(Data!M$9:M$1273,MATCH($M194,Data!$K$9:$K$1273,0)),"")</f>
        <v/>
      </c>
      <c r="P194" s="224" t="str">
        <f>IFERROR(INDEX(Data!N$9:N$1273,MATCH($M194,Data!$K$9:$K$1273,0)),"")</f>
        <v/>
      </c>
      <c r="Q194" s="224" t="str">
        <f>IFERROR(INDEX(Data!O$9:O$1273,MATCH($M194,Data!$K$9:$K$1273,0)),"")</f>
        <v/>
      </c>
      <c r="R194" s="224" t="str">
        <f>IFERROR(INDEX(Data!P$9:P$1273,MATCH($M194,Data!$K$9:$K$1273,0)),"")</f>
        <v/>
      </c>
      <c r="S194" s="224" t="str">
        <f>IFERROR(INDEX(Data!S$9:S$1273,MATCH($M194,Data!$K$9:$K$1273,0)),"")</f>
        <v/>
      </c>
      <c r="T194" s="224" t="str">
        <f>IFERROR(INDEX(Data!T$9:T$1273,MATCH($M194,Data!$K$9:$K$1273,0)),"")</f>
        <v/>
      </c>
      <c r="U194" s="224" t="str">
        <f>IFERROR(INDEX(Data!U$9:U$1273,MATCH($M194,Data!$K$9:$K$1273,0)),"")</f>
        <v/>
      </c>
      <c r="V194" s="224" t="str">
        <f>IFERROR(INDEX(Data!V$9:V$1273,MATCH($M194,Data!$K$9:$K$1273,0)),"")</f>
        <v/>
      </c>
      <c r="W194" s="224" t="str">
        <f>IFERROR(INDEX(Data!W$9:W$1273,MATCH($M194,Data!$K$9:$K$1273,0)),"")</f>
        <v/>
      </c>
      <c r="X194" s="224" t="str">
        <f>IFERROR(INDEX(Data!AJ$9:AJ$1273,MATCH($M194,Data!$K$9:$K$1273,0)),"")</f>
        <v/>
      </c>
      <c r="Y194" s="224" t="str">
        <f>IFERROR(INDEX(Data!AK$9:AK$1273,MATCH($M194,Data!$K$9:$K$1273,0)),"")</f>
        <v/>
      </c>
      <c r="Z194" s="224" t="str">
        <f>IFERROR(INDEX(Data!AL$9:AL$1273,MATCH($M194,Data!$K$9:$K$1273,0)),"")</f>
        <v/>
      </c>
      <c r="AA194" s="224" t="str">
        <f>IFERROR(INDEX(Data!AM$9:AM$1273,MATCH($M194,Data!$K$9:$K$1273,0)),"")</f>
        <v/>
      </c>
      <c r="AB194" s="224" t="str">
        <f>IFERROR(INDEX(Data!AN$9:AN$1273,MATCH($M194,Data!$K$9:$K$1273,0)),"")</f>
        <v/>
      </c>
      <c r="AC194" s="225" t="str">
        <f>IFERROR(INDEX(Data!BY$9:BY$1273,MATCH($M194,Data!$K$9:$K$1273,0)),"")</f>
        <v/>
      </c>
      <c r="AD194" s="225" t="str">
        <f>IFERROR(INDEX(Data!BZ$9:BZ$1273,MATCH($M194,Data!$K$9:$K$1273,0)),"")</f>
        <v/>
      </c>
      <c r="AE194" s="225" t="str">
        <f>IFERROR(INDEX(Data!CA$9:CA$1273,MATCH($M194,Data!$K$9:$K$1273,0)),"")</f>
        <v/>
      </c>
      <c r="AF194" s="225" t="str">
        <f>IFERROR(INDEX(Data!CB$9:CB$1273,MATCH($M194,Data!$K$9:$K$1273,0)),"")</f>
        <v/>
      </c>
      <c r="AG194" s="225" t="str">
        <f>IFERROR(INDEX(Data!CC$9:CC$1273,MATCH($M194,Data!$K$9:$K$1273,0)),"")</f>
        <v/>
      </c>
      <c r="AH194" s="225" t="str">
        <f>IFERROR(INDEX(Data!CD$9:CD$1273,MATCH($M194,Data!$K$9:$K$1273,0)),"")</f>
        <v/>
      </c>
      <c r="AI194" s="225" t="str">
        <f>IFERROR(INDEX(Data!CE$9:CE$1273,MATCH($M194,Data!$K$9:$K$1273,0)),"")</f>
        <v/>
      </c>
      <c r="AJ194" s="225" t="str">
        <f>IFERROR(INDEX(Data!CF$9:CF$1273,MATCH($M194,Data!$K$9:$K$1273,0)),"")</f>
        <v/>
      </c>
      <c r="AK194" s="225" t="str">
        <f>IFERROR(INDEX(Data!CG$9:CG$1273,MATCH($M194,Data!$K$9:$K$1273,0)),"")</f>
        <v/>
      </c>
      <c r="AL194" s="225" t="str">
        <f>IFERROR(INDEX(Data!CH$9:CH$1273,MATCH($M194,Data!$K$9:$K$1273,0)),"")</f>
        <v/>
      </c>
      <c r="AM194" s="225" t="str">
        <f>IFERROR(INDEX(Data!CI$9:CI$1273,MATCH($M194,Data!$K$9:$K$1273,0)),"")</f>
        <v/>
      </c>
      <c r="AN194" s="225" t="str">
        <f>IFERROR(INDEX(Data!CJ$9:CJ$1273,MATCH($M194,Data!$K$9:$K$1273,0)),"")</f>
        <v/>
      </c>
      <c r="AO194" s="225" t="str">
        <f>IFERROR(INDEX(Data!CK$9:CK$1273,MATCH($M194,Data!$K$9:$K$1273,0)),"")</f>
        <v/>
      </c>
      <c r="AP194" s="225" t="str">
        <f>IFERROR(INDEX(Data!CL$9:CL$1273,MATCH($M194,Data!$K$9:$K$1273,0)),"")</f>
        <v/>
      </c>
      <c r="AQ194" s="225" t="str">
        <f>IFERROR(INDEX(Data!CM$9:CM$1273,MATCH($M194,Data!$K$9:$K$1273,0)),"")</f>
        <v/>
      </c>
      <c r="AR194" s="225" t="str">
        <f>IFERROR(INDEX(Data!CN$9:CN$1273,MATCH($M194,Data!$K$9:$K$1273,0)),"")</f>
        <v/>
      </c>
      <c r="AS194" s="225" t="str">
        <f>IFERROR(INDEX(Data!CO$9:CO$1273,MATCH($M194,Data!$K$9:$K$1273,0)),"")</f>
        <v/>
      </c>
      <c r="AT194" s="225" t="str">
        <f>IFERROR(INDEX(Data!CP$9:CP$1273,MATCH($M194,Data!$K$9:$K$1273,0)),"")</f>
        <v/>
      </c>
      <c r="AU194" s="225" t="str">
        <f>IFERROR(INDEX(Data!CQ$9:CQ$1273,MATCH($M194,Data!$K$9:$K$1273,0)),"")</f>
        <v/>
      </c>
      <c r="AV194" s="225" t="str">
        <f>IFERROR(INDEX(Data!CR$9:CR$1273,MATCH($M194,Data!$K$9:$K$1273,0)),"")</f>
        <v/>
      </c>
      <c r="AW194" s="225" t="str">
        <f>IFERROR(INDEX(Data!CS$9:CS$1273,MATCH($M194,Data!$K$9:$K$1273,0)),"")</f>
        <v/>
      </c>
      <c r="AX194" s="225" t="str">
        <f>IFERROR(INDEX(Data!CT$9:CT$1273,MATCH($M194,Data!$K$9:$K$1273,0)),"")</f>
        <v/>
      </c>
      <c r="AY194" s="225" t="str">
        <f>IFERROR(INDEX(Data!CU$9:CU$1273,MATCH($M194,Data!$K$9:$K$1273,0)),"")</f>
        <v/>
      </c>
      <c r="AZ194" s="225" t="str">
        <f>IFERROR(INDEX(Data!CV$9:CV$1273,MATCH($M194,Data!$K$9:$K$1273,0)),"")</f>
        <v/>
      </c>
      <c r="BA194" s="225" t="str">
        <f>IFERROR(INDEX(Data!CX$9:CX$1273,MATCH($M194,Data!$K$9:$K$1273,0)),"")</f>
        <v/>
      </c>
      <c r="BB194" s="225" t="str">
        <f>IFERROR(INDEX(Data!CY$9:CY$1273,MATCH($M194,Data!$K$9:$K$1273,0)),"")</f>
        <v/>
      </c>
      <c r="BC194" s="225" t="str">
        <f>IFERROR(INDEX(Data!CZ$9:CZ$1273,MATCH($M194,Data!$K$9:$K$1273,0)),"")</f>
        <v/>
      </c>
      <c r="BD194" s="225" t="str">
        <f>IFERROR(INDEX(Data!DA$9:DA$1273,MATCH($M194,Data!$K$9:$K$1273,0)),"")</f>
        <v/>
      </c>
      <c r="BE194" s="225" t="str">
        <f>IFERROR(INDEX(Data!DB$9:DB$1273,MATCH($M194,Data!$K$9:$K$1273,0)),"")</f>
        <v/>
      </c>
      <c r="BF194" s="225" t="str">
        <f>IFERROR(INDEX(Data!DC$9:DC$1273,MATCH($M194,Data!$K$9:$K$1273,0)),"")</f>
        <v/>
      </c>
      <c r="BG194" s="225" t="str">
        <f>IFERROR(INDEX(Data!DD$9:DD$1273,MATCH($M194,Data!$K$9:$K$1273,0)),"")</f>
        <v/>
      </c>
      <c r="BH194" s="225" t="str">
        <f>IFERROR(INDEX(Data!DE$9:DE$1273,MATCH($M194,Data!$K$9:$K$1273,0)),"")</f>
        <v/>
      </c>
      <c r="BI194" s="225" t="str">
        <f>IFERROR(INDEX(Data!DF$9:DF$1273,MATCH($M194,Data!$K$9:$K$1273,0)),"")</f>
        <v/>
      </c>
      <c r="BJ194" s="225" t="str">
        <f>IFERROR(INDEX(Data!DG$9:DG$1273,MATCH($M194,Data!$K$9:$K$1273,0)),"")</f>
        <v/>
      </c>
      <c r="BK194" s="225" t="str">
        <f>IFERROR(INDEX(Data!DH$9:DH$1273,MATCH($M194,Data!$K$9:$K$1273,0)),"")</f>
        <v/>
      </c>
      <c r="BL194" s="225" t="str">
        <f>IFERROR(INDEX(Data!DI$9:DI$1273,MATCH($M194,Data!$K$9:$K$1273,0)),"")</f>
        <v/>
      </c>
      <c r="BM194" s="225" t="str">
        <f>IFERROR(INDEX(Data!DJ$9:DJ$1273,MATCH($M194,Data!$K$9:$K$1273,0)),"")</f>
        <v/>
      </c>
      <c r="BN194" s="225" t="str">
        <f>IFERROR(INDEX(Data!DK$9:DK$1273,MATCH($M194,Data!$K$9:$K$1273,0)),"")</f>
        <v/>
      </c>
      <c r="BO194" s="225" t="str">
        <f>IFERROR(INDEX(Data!DL$9:DL$1273,MATCH($M194,Data!$K$9:$K$1273,0)),"")</f>
        <v/>
      </c>
      <c r="BP194" s="243" t="str">
        <f t="shared" si="23"/>
        <v/>
      </c>
      <c r="BQ194" s="225" t="str">
        <f t="shared" si="24"/>
        <v xml:space="preserve"> </v>
      </c>
      <c r="BR194" s="225" t="str">
        <f t="shared" si="25"/>
        <v/>
      </c>
      <c r="BS194" s="225" t="str">
        <f>IFERROR(INDEX(Data!$DO$9:$DO$1273,MATCH('Your recommendation'!BR194,Data!$DN$9:$DN$1273,0)),"")</f>
        <v/>
      </c>
    </row>
    <row r="195" spans="2:71" ht="15.6" customHeight="1">
      <c r="B195" s="222" t="str">
        <f t="shared" si="26"/>
        <v/>
      </c>
      <c r="C195" s="223"/>
      <c r="D195" s="225" t="str">
        <f>IFERROR(INDEX(Data!BR$9:BR$1273,MATCH($M195,Data!$K$9:$K$1273,0)),"")</f>
        <v/>
      </c>
      <c r="E195" s="225" t="str">
        <f>IFERROR(INDEX(Data!BS$9:BS$1273,MATCH($M195,Data!$K$9:$K$1273,0)),"")</f>
        <v/>
      </c>
      <c r="F195" s="225" t="str">
        <f>IFERROR(INDEX(Data!DM$9:DM$1273,MATCH($M195,Data!$K$9:$K$1273,0)),"")</f>
        <v/>
      </c>
      <c r="G195" s="225" t="str">
        <f>IFERROR(INDEX(Data!BV$9:BV$1273,MATCH($M195,Data!$K$9:$K$1273,0)),"")</f>
        <v/>
      </c>
      <c r="H195" s="225" t="str">
        <f>IFERROR(INDEX(Data!BW$9:BW$1273,MATCH($M195,Data!$K$9:$K$1273,0)),"")</f>
        <v/>
      </c>
      <c r="I195" s="225" t="str">
        <f>IFERROR(INDEX(Data!BX$9:BX$1273,MATCH($M195,Data!$K$9:$K$1273,0)),"")</f>
        <v/>
      </c>
      <c r="J195" s="225" t="str">
        <f>IFERROR(INDEX(Data!CB$9:CB$1273,MATCH($M195,Data!$K$9:$K$1273,0)),"")</f>
        <v/>
      </c>
      <c r="K195" s="241" t="str">
        <f t="shared" si="21"/>
        <v/>
      </c>
      <c r="L195" s="242" t="str">
        <f t="shared" si="22"/>
        <v/>
      </c>
      <c r="M195" s="224"/>
      <c r="N195" s="224"/>
      <c r="O195" s="224" t="str">
        <f>IFERROR(INDEX(Data!M$9:M$1273,MATCH($M195,Data!$K$9:$K$1273,0)),"")</f>
        <v/>
      </c>
      <c r="P195" s="224" t="str">
        <f>IFERROR(INDEX(Data!N$9:N$1273,MATCH($M195,Data!$K$9:$K$1273,0)),"")</f>
        <v/>
      </c>
      <c r="Q195" s="224" t="str">
        <f>IFERROR(INDEX(Data!O$9:O$1273,MATCH($M195,Data!$K$9:$K$1273,0)),"")</f>
        <v/>
      </c>
      <c r="R195" s="224" t="str">
        <f>IFERROR(INDEX(Data!P$9:P$1273,MATCH($M195,Data!$K$9:$K$1273,0)),"")</f>
        <v/>
      </c>
      <c r="S195" s="224" t="str">
        <f>IFERROR(INDEX(Data!S$9:S$1273,MATCH($M195,Data!$K$9:$K$1273,0)),"")</f>
        <v/>
      </c>
      <c r="T195" s="224" t="str">
        <f>IFERROR(INDEX(Data!T$9:T$1273,MATCH($M195,Data!$K$9:$K$1273,0)),"")</f>
        <v/>
      </c>
      <c r="U195" s="224" t="str">
        <f>IFERROR(INDEX(Data!U$9:U$1273,MATCH($M195,Data!$K$9:$K$1273,0)),"")</f>
        <v/>
      </c>
      <c r="V195" s="224" t="str">
        <f>IFERROR(INDEX(Data!V$9:V$1273,MATCH($M195,Data!$K$9:$K$1273,0)),"")</f>
        <v/>
      </c>
      <c r="W195" s="224" t="str">
        <f>IFERROR(INDEX(Data!W$9:W$1273,MATCH($M195,Data!$K$9:$K$1273,0)),"")</f>
        <v/>
      </c>
      <c r="X195" s="224" t="str">
        <f>IFERROR(INDEX(Data!AJ$9:AJ$1273,MATCH($M195,Data!$K$9:$K$1273,0)),"")</f>
        <v/>
      </c>
      <c r="Y195" s="224" t="str">
        <f>IFERROR(INDEX(Data!AK$9:AK$1273,MATCH($M195,Data!$K$9:$K$1273,0)),"")</f>
        <v/>
      </c>
      <c r="Z195" s="224" t="str">
        <f>IFERROR(INDEX(Data!AL$9:AL$1273,MATCH($M195,Data!$K$9:$K$1273,0)),"")</f>
        <v/>
      </c>
      <c r="AA195" s="224" t="str">
        <f>IFERROR(INDEX(Data!AM$9:AM$1273,MATCH($M195,Data!$K$9:$K$1273,0)),"")</f>
        <v/>
      </c>
      <c r="AB195" s="224" t="str">
        <f>IFERROR(INDEX(Data!AN$9:AN$1273,MATCH($M195,Data!$K$9:$K$1273,0)),"")</f>
        <v/>
      </c>
      <c r="AC195" s="225" t="str">
        <f>IFERROR(INDEX(Data!BY$9:BY$1273,MATCH($M195,Data!$K$9:$K$1273,0)),"")</f>
        <v/>
      </c>
      <c r="AD195" s="225" t="str">
        <f>IFERROR(INDEX(Data!BZ$9:BZ$1273,MATCH($M195,Data!$K$9:$K$1273,0)),"")</f>
        <v/>
      </c>
      <c r="AE195" s="225" t="str">
        <f>IFERROR(INDEX(Data!CA$9:CA$1273,MATCH($M195,Data!$K$9:$K$1273,0)),"")</f>
        <v/>
      </c>
      <c r="AF195" s="225" t="str">
        <f>IFERROR(INDEX(Data!CB$9:CB$1273,MATCH($M195,Data!$K$9:$K$1273,0)),"")</f>
        <v/>
      </c>
      <c r="AG195" s="225" t="str">
        <f>IFERROR(INDEX(Data!CC$9:CC$1273,MATCH($M195,Data!$K$9:$K$1273,0)),"")</f>
        <v/>
      </c>
      <c r="AH195" s="225" t="str">
        <f>IFERROR(INDEX(Data!CD$9:CD$1273,MATCH($M195,Data!$K$9:$K$1273,0)),"")</f>
        <v/>
      </c>
      <c r="AI195" s="225" t="str">
        <f>IFERROR(INDEX(Data!CE$9:CE$1273,MATCH($M195,Data!$K$9:$K$1273,0)),"")</f>
        <v/>
      </c>
      <c r="AJ195" s="225" t="str">
        <f>IFERROR(INDEX(Data!CF$9:CF$1273,MATCH($M195,Data!$K$9:$K$1273,0)),"")</f>
        <v/>
      </c>
      <c r="AK195" s="225" t="str">
        <f>IFERROR(INDEX(Data!CG$9:CG$1273,MATCH($M195,Data!$K$9:$K$1273,0)),"")</f>
        <v/>
      </c>
      <c r="AL195" s="225" t="str">
        <f>IFERROR(INDEX(Data!CH$9:CH$1273,MATCH($M195,Data!$K$9:$K$1273,0)),"")</f>
        <v/>
      </c>
      <c r="AM195" s="225" t="str">
        <f>IFERROR(INDEX(Data!CI$9:CI$1273,MATCH($M195,Data!$K$9:$K$1273,0)),"")</f>
        <v/>
      </c>
      <c r="AN195" s="225" t="str">
        <f>IFERROR(INDEX(Data!CJ$9:CJ$1273,MATCH($M195,Data!$K$9:$K$1273,0)),"")</f>
        <v/>
      </c>
      <c r="AO195" s="225" t="str">
        <f>IFERROR(INDEX(Data!CK$9:CK$1273,MATCH($M195,Data!$K$9:$K$1273,0)),"")</f>
        <v/>
      </c>
      <c r="AP195" s="225" t="str">
        <f>IFERROR(INDEX(Data!CL$9:CL$1273,MATCH($M195,Data!$K$9:$K$1273,0)),"")</f>
        <v/>
      </c>
      <c r="AQ195" s="225" t="str">
        <f>IFERROR(INDEX(Data!CM$9:CM$1273,MATCH($M195,Data!$K$9:$K$1273,0)),"")</f>
        <v/>
      </c>
      <c r="AR195" s="225" t="str">
        <f>IFERROR(INDEX(Data!CN$9:CN$1273,MATCH($M195,Data!$K$9:$K$1273,0)),"")</f>
        <v/>
      </c>
      <c r="AS195" s="225" t="str">
        <f>IFERROR(INDEX(Data!CO$9:CO$1273,MATCH($M195,Data!$K$9:$K$1273,0)),"")</f>
        <v/>
      </c>
      <c r="AT195" s="225" t="str">
        <f>IFERROR(INDEX(Data!CP$9:CP$1273,MATCH($M195,Data!$K$9:$K$1273,0)),"")</f>
        <v/>
      </c>
      <c r="AU195" s="225" t="str">
        <f>IFERROR(INDEX(Data!CQ$9:CQ$1273,MATCH($M195,Data!$K$9:$K$1273,0)),"")</f>
        <v/>
      </c>
      <c r="AV195" s="225" t="str">
        <f>IFERROR(INDEX(Data!CR$9:CR$1273,MATCH($M195,Data!$K$9:$K$1273,0)),"")</f>
        <v/>
      </c>
      <c r="AW195" s="225" t="str">
        <f>IFERROR(INDEX(Data!CS$9:CS$1273,MATCH($M195,Data!$K$9:$K$1273,0)),"")</f>
        <v/>
      </c>
      <c r="AX195" s="225" t="str">
        <f>IFERROR(INDEX(Data!CT$9:CT$1273,MATCH($M195,Data!$K$9:$K$1273,0)),"")</f>
        <v/>
      </c>
      <c r="AY195" s="225" t="str">
        <f>IFERROR(INDEX(Data!CU$9:CU$1273,MATCH($M195,Data!$K$9:$K$1273,0)),"")</f>
        <v/>
      </c>
      <c r="AZ195" s="225" t="str">
        <f>IFERROR(INDEX(Data!CV$9:CV$1273,MATCH($M195,Data!$K$9:$K$1273,0)),"")</f>
        <v/>
      </c>
      <c r="BA195" s="225" t="str">
        <f>IFERROR(INDEX(Data!CX$9:CX$1273,MATCH($M195,Data!$K$9:$K$1273,0)),"")</f>
        <v/>
      </c>
      <c r="BB195" s="225" t="str">
        <f>IFERROR(INDEX(Data!CY$9:CY$1273,MATCH($M195,Data!$K$9:$K$1273,0)),"")</f>
        <v/>
      </c>
      <c r="BC195" s="225" t="str">
        <f>IFERROR(INDEX(Data!CZ$9:CZ$1273,MATCH($M195,Data!$K$9:$K$1273,0)),"")</f>
        <v/>
      </c>
      <c r="BD195" s="225" t="str">
        <f>IFERROR(INDEX(Data!DA$9:DA$1273,MATCH($M195,Data!$K$9:$K$1273,0)),"")</f>
        <v/>
      </c>
      <c r="BE195" s="225" t="str">
        <f>IFERROR(INDEX(Data!DB$9:DB$1273,MATCH($M195,Data!$K$9:$K$1273,0)),"")</f>
        <v/>
      </c>
      <c r="BF195" s="225" t="str">
        <f>IFERROR(INDEX(Data!DC$9:DC$1273,MATCH($M195,Data!$K$9:$K$1273,0)),"")</f>
        <v/>
      </c>
      <c r="BG195" s="225" t="str">
        <f>IFERROR(INDEX(Data!DD$9:DD$1273,MATCH($M195,Data!$K$9:$K$1273,0)),"")</f>
        <v/>
      </c>
      <c r="BH195" s="225" t="str">
        <f>IFERROR(INDEX(Data!DE$9:DE$1273,MATCH($M195,Data!$K$9:$K$1273,0)),"")</f>
        <v/>
      </c>
      <c r="BI195" s="225" t="str">
        <f>IFERROR(INDEX(Data!DF$9:DF$1273,MATCH($M195,Data!$K$9:$K$1273,0)),"")</f>
        <v/>
      </c>
      <c r="BJ195" s="225" t="str">
        <f>IFERROR(INDEX(Data!DG$9:DG$1273,MATCH($M195,Data!$K$9:$K$1273,0)),"")</f>
        <v/>
      </c>
      <c r="BK195" s="225" t="str">
        <f>IFERROR(INDEX(Data!DH$9:DH$1273,MATCH($M195,Data!$K$9:$K$1273,0)),"")</f>
        <v/>
      </c>
      <c r="BL195" s="225" t="str">
        <f>IFERROR(INDEX(Data!DI$9:DI$1273,MATCH($M195,Data!$K$9:$K$1273,0)),"")</f>
        <v/>
      </c>
      <c r="BM195" s="225" t="str">
        <f>IFERROR(INDEX(Data!DJ$9:DJ$1273,MATCH($M195,Data!$K$9:$K$1273,0)),"")</f>
        <v/>
      </c>
      <c r="BN195" s="225" t="str">
        <f>IFERROR(INDEX(Data!DK$9:DK$1273,MATCH($M195,Data!$K$9:$K$1273,0)),"")</f>
        <v/>
      </c>
      <c r="BO195" s="225" t="str">
        <f>IFERROR(INDEX(Data!DL$9:DL$1273,MATCH($M195,Data!$K$9:$K$1273,0)),"")</f>
        <v/>
      </c>
      <c r="BP195" s="243" t="str">
        <f t="shared" si="23"/>
        <v/>
      </c>
      <c r="BQ195" s="225" t="str">
        <f t="shared" si="24"/>
        <v xml:space="preserve"> </v>
      </c>
      <c r="BR195" s="225" t="str">
        <f t="shared" si="25"/>
        <v/>
      </c>
      <c r="BS195" s="225" t="str">
        <f>IFERROR(INDEX(Data!$DO$9:$DO$1273,MATCH('Your recommendation'!BR195,Data!$DN$9:$DN$1273,0)),"")</f>
        <v/>
      </c>
    </row>
    <row r="196" spans="2:71" ht="15.6" customHeight="1">
      <c r="B196" s="222" t="str">
        <f t="shared" si="26"/>
        <v/>
      </c>
      <c r="C196" s="223"/>
      <c r="D196" s="225" t="str">
        <f>IFERROR(INDEX(Data!BR$9:BR$1273,MATCH($M196,Data!$K$9:$K$1273,0)),"")</f>
        <v/>
      </c>
      <c r="E196" s="225" t="str">
        <f>IFERROR(INDEX(Data!BS$9:BS$1273,MATCH($M196,Data!$K$9:$K$1273,0)),"")</f>
        <v/>
      </c>
      <c r="F196" s="225" t="str">
        <f>IFERROR(INDEX(Data!DM$9:DM$1273,MATCH($M196,Data!$K$9:$K$1273,0)),"")</f>
        <v/>
      </c>
      <c r="G196" s="225" t="str">
        <f>IFERROR(INDEX(Data!BV$9:BV$1273,MATCH($M196,Data!$K$9:$K$1273,0)),"")</f>
        <v/>
      </c>
      <c r="H196" s="225" t="str">
        <f>IFERROR(INDEX(Data!BW$9:BW$1273,MATCH($M196,Data!$K$9:$K$1273,0)),"")</f>
        <v/>
      </c>
      <c r="I196" s="225" t="str">
        <f>IFERROR(INDEX(Data!BX$9:BX$1273,MATCH($M196,Data!$K$9:$K$1273,0)),"")</f>
        <v/>
      </c>
      <c r="J196" s="225" t="str">
        <f>IFERROR(INDEX(Data!CB$9:CB$1273,MATCH($M196,Data!$K$9:$K$1273,0)),"")</f>
        <v/>
      </c>
      <c r="K196" s="241" t="str">
        <f t="shared" si="21"/>
        <v/>
      </c>
      <c r="L196" s="242" t="str">
        <f t="shared" si="22"/>
        <v/>
      </c>
      <c r="M196" s="224"/>
      <c r="N196" s="224"/>
      <c r="O196" s="224" t="str">
        <f>IFERROR(INDEX(Data!M$9:M$1273,MATCH($M196,Data!$K$9:$K$1273,0)),"")</f>
        <v/>
      </c>
      <c r="P196" s="224" t="str">
        <f>IFERROR(INDEX(Data!N$9:N$1273,MATCH($M196,Data!$K$9:$K$1273,0)),"")</f>
        <v/>
      </c>
      <c r="Q196" s="224" t="str">
        <f>IFERROR(INDEX(Data!O$9:O$1273,MATCH($M196,Data!$K$9:$K$1273,0)),"")</f>
        <v/>
      </c>
      <c r="R196" s="224" t="str">
        <f>IFERROR(INDEX(Data!P$9:P$1273,MATCH($M196,Data!$K$9:$K$1273,0)),"")</f>
        <v/>
      </c>
      <c r="S196" s="224" t="str">
        <f>IFERROR(INDEX(Data!S$9:S$1273,MATCH($M196,Data!$K$9:$K$1273,0)),"")</f>
        <v/>
      </c>
      <c r="T196" s="224" t="str">
        <f>IFERROR(INDEX(Data!T$9:T$1273,MATCH($M196,Data!$K$9:$K$1273,0)),"")</f>
        <v/>
      </c>
      <c r="U196" s="224" t="str">
        <f>IFERROR(INDEX(Data!U$9:U$1273,MATCH($M196,Data!$K$9:$K$1273,0)),"")</f>
        <v/>
      </c>
      <c r="V196" s="224" t="str">
        <f>IFERROR(INDEX(Data!V$9:V$1273,MATCH($M196,Data!$K$9:$K$1273,0)),"")</f>
        <v/>
      </c>
      <c r="W196" s="224" t="str">
        <f>IFERROR(INDEX(Data!W$9:W$1273,MATCH($M196,Data!$K$9:$K$1273,0)),"")</f>
        <v/>
      </c>
      <c r="X196" s="224" t="str">
        <f>IFERROR(INDEX(Data!AJ$9:AJ$1273,MATCH($M196,Data!$K$9:$K$1273,0)),"")</f>
        <v/>
      </c>
      <c r="Y196" s="224" t="str">
        <f>IFERROR(INDEX(Data!AK$9:AK$1273,MATCH($M196,Data!$K$9:$K$1273,0)),"")</f>
        <v/>
      </c>
      <c r="Z196" s="224" t="str">
        <f>IFERROR(INDEX(Data!AL$9:AL$1273,MATCH($M196,Data!$K$9:$K$1273,0)),"")</f>
        <v/>
      </c>
      <c r="AA196" s="224" t="str">
        <f>IFERROR(INDEX(Data!AM$9:AM$1273,MATCH($M196,Data!$K$9:$K$1273,0)),"")</f>
        <v/>
      </c>
      <c r="AB196" s="224" t="str">
        <f>IFERROR(INDEX(Data!AN$9:AN$1273,MATCH($M196,Data!$K$9:$K$1273,0)),"")</f>
        <v/>
      </c>
      <c r="AC196" s="225" t="str">
        <f>IFERROR(INDEX(Data!BY$9:BY$1273,MATCH($M196,Data!$K$9:$K$1273,0)),"")</f>
        <v/>
      </c>
      <c r="AD196" s="225" t="str">
        <f>IFERROR(INDEX(Data!BZ$9:BZ$1273,MATCH($M196,Data!$K$9:$K$1273,0)),"")</f>
        <v/>
      </c>
      <c r="AE196" s="225" t="str">
        <f>IFERROR(INDEX(Data!CA$9:CA$1273,MATCH($M196,Data!$K$9:$K$1273,0)),"")</f>
        <v/>
      </c>
      <c r="AF196" s="225" t="str">
        <f>IFERROR(INDEX(Data!CB$9:CB$1273,MATCH($M196,Data!$K$9:$K$1273,0)),"")</f>
        <v/>
      </c>
      <c r="AG196" s="225" t="str">
        <f>IFERROR(INDEX(Data!CC$9:CC$1273,MATCH($M196,Data!$K$9:$K$1273,0)),"")</f>
        <v/>
      </c>
      <c r="AH196" s="225" t="str">
        <f>IFERROR(INDEX(Data!CD$9:CD$1273,MATCH($M196,Data!$K$9:$K$1273,0)),"")</f>
        <v/>
      </c>
      <c r="AI196" s="225" t="str">
        <f>IFERROR(INDEX(Data!CE$9:CE$1273,MATCH($M196,Data!$K$9:$K$1273,0)),"")</f>
        <v/>
      </c>
      <c r="AJ196" s="225" t="str">
        <f>IFERROR(INDEX(Data!CF$9:CF$1273,MATCH($M196,Data!$K$9:$K$1273,0)),"")</f>
        <v/>
      </c>
      <c r="AK196" s="225" t="str">
        <f>IFERROR(INDEX(Data!CG$9:CG$1273,MATCH($M196,Data!$K$9:$K$1273,0)),"")</f>
        <v/>
      </c>
      <c r="AL196" s="225" t="str">
        <f>IFERROR(INDEX(Data!CH$9:CH$1273,MATCH($M196,Data!$K$9:$K$1273,0)),"")</f>
        <v/>
      </c>
      <c r="AM196" s="225" t="str">
        <f>IFERROR(INDEX(Data!CI$9:CI$1273,MATCH($M196,Data!$K$9:$K$1273,0)),"")</f>
        <v/>
      </c>
      <c r="AN196" s="225" t="str">
        <f>IFERROR(INDEX(Data!CJ$9:CJ$1273,MATCH($M196,Data!$K$9:$K$1273,0)),"")</f>
        <v/>
      </c>
      <c r="AO196" s="225" t="str">
        <f>IFERROR(INDEX(Data!CK$9:CK$1273,MATCH($M196,Data!$K$9:$K$1273,0)),"")</f>
        <v/>
      </c>
      <c r="AP196" s="225" t="str">
        <f>IFERROR(INDEX(Data!CL$9:CL$1273,MATCH($M196,Data!$K$9:$K$1273,0)),"")</f>
        <v/>
      </c>
      <c r="AQ196" s="225" t="str">
        <f>IFERROR(INDEX(Data!CM$9:CM$1273,MATCH($M196,Data!$K$9:$K$1273,0)),"")</f>
        <v/>
      </c>
      <c r="AR196" s="225" t="str">
        <f>IFERROR(INDEX(Data!CN$9:CN$1273,MATCH($M196,Data!$K$9:$K$1273,0)),"")</f>
        <v/>
      </c>
      <c r="AS196" s="225" t="str">
        <f>IFERROR(INDEX(Data!CO$9:CO$1273,MATCH($M196,Data!$K$9:$K$1273,0)),"")</f>
        <v/>
      </c>
      <c r="AT196" s="225" t="str">
        <f>IFERROR(INDEX(Data!CP$9:CP$1273,MATCH($M196,Data!$K$9:$K$1273,0)),"")</f>
        <v/>
      </c>
      <c r="AU196" s="225" t="str">
        <f>IFERROR(INDEX(Data!CQ$9:CQ$1273,MATCH($M196,Data!$K$9:$K$1273,0)),"")</f>
        <v/>
      </c>
      <c r="AV196" s="225" t="str">
        <f>IFERROR(INDEX(Data!CR$9:CR$1273,MATCH($M196,Data!$K$9:$K$1273,0)),"")</f>
        <v/>
      </c>
      <c r="AW196" s="225" t="str">
        <f>IFERROR(INDEX(Data!CS$9:CS$1273,MATCH($M196,Data!$K$9:$K$1273,0)),"")</f>
        <v/>
      </c>
      <c r="AX196" s="225" t="str">
        <f>IFERROR(INDEX(Data!CT$9:CT$1273,MATCH($M196,Data!$K$9:$K$1273,0)),"")</f>
        <v/>
      </c>
      <c r="AY196" s="225" t="str">
        <f>IFERROR(INDEX(Data!CU$9:CU$1273,MATCH($M196,Data!$K$9:$K$1273,0)),"")</f>
        <v/>
      </c>
      <c r="AZ196" s="225" t="str">
        <f>IFERROR(INDEX(Data!CV$9:CV$1273,MATCH($M196,Data!$K$9:$K$1273,0)),"")</f>
        <v/>
      </c>
      <c r="BA196" s="225" t="str">
        <f>IFERROR(INDEX(Data!CX$9:CX$1273,MATCH($M196,Data!$K$9:$K$1273,0)),"")</f>
        <v/>
      </c>
      <c r="BB196" s="225" t="str">
        <f>IFERROR(INDEX(Data!CY$9:CY$1273,MATCH($M196,Data!$K$9:$K$1273,0)),"")</f>
        <v/>
      </c>
      <c r="BC196" s="225" t="str">
        <f>IFERROR(INDEX(Data!CZ$9:CZ$1273,MATCH($M196,Data!$K$9:$K$1273,0)),"")</f>
        <v/>
      </c>
      <c r="BD196" s="225" t="str">
        <f>IFERROR(INDEX(Data!DA$9:DA$1273,MATCH($M196,Data!$K$9:$K$1273,0)),"")</f>
        <v/>
      </c>
      <c r="BE196" s="225" t="str">
        <f>IFERROR(INDEX(Data!DB$9:DB$1273,MATCH($M196,Data!$K$9:$K$1273,0)),"")</f>
        <v/>
      </c>
      <c r="BF196" s="225" t="str">
        <f>IFERROR(INDEX(Data!DC$9:DC$1273,MATCH($M196,Data!$K$9:$K$1273,0)),"")</f>
        <v/>
      </c>
      <c r="BG196" s="225" t="str">
        <f>IFERROR(INDEX(Data!DD$9:DD$1273,MATCH($M196,Data!$K$9:$K$1273,0)),"")</f>
        <v/>
      </c>
      <c r="BH196" s="225" t="str">
        <f>IFERROR(INDEX(Data!DE$9:DE$1273,MATCH($M196,Data!$K$9:$K$1273,0)),"")</f>
        <v/>
      </c>
      <c r="BI196" s="225" t="str">
        <f>IFERROR(INDEX(Data!DF$9:DF$1273,MATCH($M196,Data!$K$9:$K$1273,0)),"")</f>
        <v/>
      </c>
      <c r="BJ196" s="225" t="str">
        <f>IFERROR(INDEX(Data!DG$9:DG$1273,MATCH($M196,Data!$K$9:$K$1273,0)),"")</f>
        <v/>
      </c>
      <c r="BK196" s="225" t="str">
        <f>IFERROR(INDEX(Data!DH$9:DH$1273,MATCH($M196,Data!$K$9:$K$1273,0)),"")</f>
        <v/>
      </c>
      <c r="BL196" s="225" t="str">
        <f>IFERROR(INDEX(Data!DI$9:DI$1273,MATCH($M196,Data!$K$9:$K$1273,0)),"")</f>
        <v/>
      </c>
      <c r="BM196" s="225" t="str">
        <f>IFERROR(INDEX(Data!DJ$9:DJ$1273,MATCH($M196,Data!$K$9:$K$1273,0)),"")</f>
        <v/>
      </c>
      <c r="BN196" s="225" t="str">
        <f>IFERROR(INDEX(Data!DK$9:DK$1273,MATCH($M196,Data!$K$9:$K$1273,0)),"")</f>
        <v/>
      </c>
      <c r="BO196" s="225" t="str">
        <f>IFERROR(INDEX(Data!DL$9:DL$1273,MATCH($M196,Data!$K$9:$K$1273,0)),"")</f>
        <v/>
      </c>
      <c r="BP196" s="243" t="str">
        <f t="shared" si="23"/>
        <v/>
      </c>
      <c r="BQ196" s="225" t="str">
        <f t="shared" si="24"/>
        <v xml:space="preserve"> </v>
      </c>
      <c r="BR196" s="225" t="str">
        <f t="shared" si="25"/>
        <v/>
      </c>
      <c r="BS196" s="225" t="str">
        <f>IFERROR(INDEX(Data!$DO$9:$DO$1273,MATCH('Your recommendation'!BR196,Data!$DN$9:$DN$1273,0)),"")</f>
        <v/>
      </c>
    </row>
    <row r="197" spans="2:71" ht="15.6" customHeight="1">
      <c r="B197" s="222" t="str">
        <f t="shared" si="26"/>
        <v/>
      </c>
      <c r="C197" s="223"/>
      <c r="D197" s="225" t="str">
        <f>IFERROR(INDEX(Data!BR$9:BR$1273,MATCH($M197,Data!$K$9:$K$1273,0)),"")</f>
        <v/>
      </c>
      <c r="E197" s="225" t="str">
        <f>IFERROR(INDEX(Data!BS$9:BS$1273,MATCH($M197,Data!$K$9:$K$1273,0)),"")</f>
        <v/>
      </c>
      <c r="F197" s="225" t="str">
        <f>IFERROR(INDEX(Data!DM$9:DM$1273,MATCH($M197,Data!$K$9:$K$1273,0)),"")</f>
        <v/>
      </c>
      <c r="G197" s="225" t="str">
        <f>IFERROR(INDEX(Data!BV$9:BV$1273,MATCH($M197,Data!$K$9:$K$1273,0)),"")</f>
        <v/>
      </c>
      <c r="H197" s="225" t="str">
        <f>IFERROR(INDEX(Data!BW$9:BW$1273,MATCH($M197,Data!$K$9:$K$1273,0)),"")</f>
        <v/>
      </c>
      <c r="I197" s="225" t="str">
        <f>IFERROR(INDEX(Data!BX$9:BX$1273,MATCH($M197,Data!$K$9:$K$1273,0)),"")</f>
        <v/>
      </c>
      <c r="J197" s="225" t="str">
        <f>IFERROR(INDEX(Data!CB$9:CB$1273,MATCH($M197,Data!$K$9:$K$1273,0)),"")</f>
        <v/>
      </c>
      <c r="K197" s="241" t="str">
        <f t="shared" si="21"/>
        <v/>
      </c>
      <c r="L197" s="242" t="str">
        <f t="shared" si="22"/>
        <v/>
      </c>
      <c r="M197" s="224"/>
      <c r="N197" s="224"/>
      <c r="O197" s="224" t="str">
        <f>IFERROR(INDEX(Data!M$9:M$1273,MATCH($M197,Data!$K$9:$K$1273,0)),"")</f>
        <v/>
      </c>
      <c r="P197" s="224" t="str">
        <f>IFERROR(INDEX(Data!N$9:N$1273,MATCH($M197,Data!$K$9:$K$1273,0)),"")</f>
        <v/>
      </c>
      <c r="Q197" s="224" t="str">
        <f>IFERROR(INDEX(Data!O$9:O$1273,MATCH($M197,Data!$K$9:$K$1273,0)),"")</f>
        <v/>
      </c>
      <c r="R197" s="224" t="str">
        <f>IFERROR(INDEX(Data!P$9:P$1273,MATCH($M197,Data!$K$9:$K$1273,0)),"")</f>
        <v/>
      </c>
      <c r="S197" s="224" t="str">
        <f>IFERROR(INDEX(Data!S$9:S$1273,MATCH($M197,Data!$K$9:$K$1273,0)),"")</f>
        <v/>
      </c>
      <c r="T197" s="224" t="str">
        <f>IFERROR(INDEX(Data!T$9:T$1273,MATCH($M197,Data!$K$9:$K$1273,0)),"")</f>
        <v/>
      </c>
      <c r="U197" s="224" t="str">
        <f>IFERROR(INDEX(Data!U$9:U$1273,MATCH($M197,Data!$K$9:$K$1273,0)),"")</f>
        <v/>
      </c>
      <c r="V197" s="224" t="str">
        <f>IFERROR(INDEX(Data!V$9:V$1273,MATCH($M197,Data!$K$9:$K$1273,0)),"")</f>
        <v/>
      </c>
      <c r="W197" s="224" t="str">
        <f>IFERROR(INDEX(Data!W$9:W$1273,MATCH($M197,Data!$K$9:$K$1273,0)),"")</f>
        <v/>
      </c>
      <c r="X197" s="224" t="str">
        <f>IFERROR(INDEX(Data!AJ$9:AJ$1273,MATCH($M197,Data!$K$9:$K$1273,0)),"")</f>
        <v/>
      </c>
      <c r="Y197" s="224" t="str">
        <f>IFERROR(INDEX(Data!AK$9:AK$1273,MATCH($M197,Data!$K$9:$K$1273,0)),"")</f>
        <v/>
      </c>
      <c r="Z197" s="224" t="str">
        <f>IFERROR(INDEX(Data!AL$9:AL$1273,MATCH($M197,Data!$K$9:$K$1273,0)),"")</f>
        <v/>
      </c>
      <c r="AA197" s="224" t="str">
        <f>IFERROR(INDEX(Data!AM$9:AM$1273,MATCH($M197,Data!$K$9:$K$1273,0)),"")</f>
        <v/>
      </c>
      <c r="AB197" s="224" t="str">
        <f>IFERROR(INDEX(Data!AN$9:AN$1273,MATCH($M197,Data!$K$9:$K$1273,0)),"")</f>
        <v/>
      </c>
      <c r="AC197" s="225" t="str">
        <f>IFERROR(INDEX(Data!BY$9:BY$1273,MATCH($M197,Data!$K$9:$K$1273,0)),"")</f>
        <v/>
      </c>
      <c r="AD197" s="225" t="str">
        <f>IFERROR(INDEX(Data!BZ$9:BZ$1273,MATCH($M197,Data!$K$9:$K$1273,0)),"")</f>
        <v/>
      </c>
      <c r="AE197" s="225" t="str">
        <f>IFERROR(INDEX(Data!CA$9:CA$1273,MATCH($M197,Data!$K$9:$K$1273,0)),"")</f>
        <v/>
      </c>
      <c r="AF197" s="225" t="str">
        <f>IFERROR(INDEX(Data!CB$9:CB$1273,MATCH($M197,Data!$K$9:$K$1273,0)),"")</f>
        <v/>
      </c>
      <c r="AG197" s="225" t="str">
        <f>IFERROR(INDEX(Data!CC$9:CC$1273,MATCH($M197,Data!$K$9:$K$1273,0)),"")</f>
        <v/>
      </c>
      <c r="AH197" s="225" t="str">
        <f>IFERROR(INDEX(Data!CD$9:CD$1273,MATCH($M197,Data!$K$9:$K$1273,0)),"")</f>
        <v/>
      </c>
      <c r="AI197" s="225" t="str">
        <f>IFERROR(INDEX(Data!CE$9:CE$1273,MATCH($M197,Data!$K$9:$K$1273,0)),"")</f>
        <v/>
      </c>
      <c r="AJ197" s="225" t="str">
        <f>IFERROR(INDEX(Data!CF$9:CF$1273,MATCH($M197,Data!$K$9:$K$1273,0)),"")</f>
        <v/>
      </c>
      <c r="AK197" s="225" t="str">
        <f>IFERROR(INDEX(Data!CG$9:CG$1273,MATCH($M197,Data!$K$9:$K$1273,0)),"")</f>
        <v/>
      </c>
      <c r="AL197" s="225" t="str">
        <f>IFERROR(INDEX(Data!CH$9:CH$1273,MATCH($M197,Data!$K$9:$K$1273,0)),"")</f>
        <v/>
      </c>
      <c r="AM197" s="225" t="str">
        <f>IFERROR(INDEX(Data!CI$9:CI$1273,MATCH($M197,Data!$K$9:$K$1273,0)),"")</f>
        <v/>
      </c>
      <c r="AN197" s="225" t="str">
        <f>IFERROR(INDEX(Data!CJ$9:CJ$1273,MATCH($M197,Data!$K$9:$K$1273,0)),"")</f>
        <v/>
      </c>
      <c r="AO197" s="225" t="str">
        <f>IFERROR(INDEX(Data!CK$9:CK$1273,MATCH($M197,Data!$K$9:$K$1273,0)),"")</f>
        <v/>
      </c>
      <c r="AP197" s="225" t="str">
        <f>IFERROR(INDEX(Data!CL$9:CL$1273,MATCH($M197,Data!$K$9:$K$1273,0)),"")</f>
        <v/>
      </c>
      <c r="AQ197" s="225" t="str">
        <f>IFERROR(INDEX(Data!CM$9:CM$1273,MATCH($M197,Data!$K$9:$K$1273,0)),"")</f>
        <v/>
      </c>
      <c r="AR197" s="225" t="str">
        <f>IFERROR(INDEX(Data!CN$9:CN$1273,MATCH($M197,Data!$K$9:$K$1273,0)),"")</f>
        <v/>
      </c>
      <c r="AS197" s="225" t="str">
        <f>IFERROR(INDEX(Data!CO$9:CO$1273,MATCH($M197,Data!$K$9:$K$1273,0)),"")</f>
        <v/>
      </c>
      <c r="AT197" s="225" t="str">
        <f>IFERROR(INDEX(Data!CP$9:CP$1273,MATCH($M197,Data!$K$9:$K$1273,0)),"")</f>
        <v/>
      </c>
      <c r="AU197" s="225" t="str">
        <f>IFERROR(INDEX(Data!CQ$9:CQ$1273,MATCH($M197,Data!$K$9:$K$1273,0)),"")</f>
        <v/>
      </c>
      <c r="AV197" s="225" t="str">
        <f>IFERROR(INDEX(Data!CR$9:CR$1273,MATCH($M197,Data!$K$9:$K$1273,0)),"")</f>
        <v/>
      </c>
      <c r="AW197" s="225" t="str">
        <f>IFERROR(INDEX(Data!CS$9:CS$1273,MATCH($M197,Data!$K$9:$K$1273,0)),"")</f>
        <v/>
      </c>
      <c r="AX197" s="225" t="str">
        <f>IFERROR(INDEX(Data!CT$9:CT$1273,MATCH($M197,Data!$K$9:$K$1273,0)),"")</f>
        <v/>
      </c>
      <c r="AY197" s="225" t="str">
        <f>IFERROR(INDEX(Data!CU$9:CU$1273,MATCH($M197,Data!$K$9:$K$1273,0)),"")</f>
        <v/>
      </c>
      <c r="AZ197" s="225" t="str">
        <f>IFERROR(INDEX(Data!CV$9:CV$1273,MATCH($M197,Data!$K$9:$K$1273,0)),"")</f>
        <v/>
      </c>
      <c r="BA197" s="225" t="str">
        <f>IFERROR(INDEX(Data!CX$9:CX$1273,MATCH($M197,Data!$K$9:$K$1273,0)),"")</f>
        <v/>
      </c>
      <c r="BB197" s="225" t="str">
        <f>IFERROR(INDEX(Data!CY$9:CY$1273,MATCH($M197,Data!$K$9:$K$1273,0)),"")</f>
        <v/>
      </c>
      <c r="BC197" s="225" t="str">
        <f>IFERROR(INDEX(Data!CZ$9:CZ$1273,MATCH($M197,Data!$K$9:$K$1273,0)),"")</f>
        <v/>
      </c>
      <c r="BD197" s="225" t="str">
        <f>IFERROR(INDEX(Data!DA$9:DA$1273,MATCH($M197,Data!$K$9:$K$1273,0)),"")</f>
        <v/>
      </c>
      <c r="BE197" s="225" t="str">
        <f>IFERROR(INDEX(Data!DB$9:DB$1273,MATCH($M197,Data!$K$9:$K$1273,0)),"")</f>
        <v/>
      </c>
      <c r="BF197" s="225" t="str">
        <f>IFERROR(INDEX(Data!DC$9:DC$1273,MATCH($M197,Data!$K$9:$K$1273,0)),"")</f>
        <v/>
      </c>
      <c r="BG197" s="225" t="str">
        <f>IFERROR(INDEX(Data!DD$9:DD$1273,MATCH($M197,Data!$K$9:$K$1273,0)),"")</f>
        <v/>
      </c>
      <c r="BH197" s="225" t="str">
        <f>IFERROR(INDEX(Data!DE$9:DE$1273,MATCH($M197,Data!$K$9:$K$1273,0)),"")</f>
        <v/>
      </c>
      <c r="BI197" s="225" t="str">
        <f>IFERROR(INDEX(Data!DF$9:DF$1273,MATCH($M197,Data!$K$9:$K$1273,0)),"")</f>
        <v/>
      </c>
      <c r="BJ197" s="225" t="str">
        <f>IFERROR(INDEX(Data!DG$9:DG$1273,MATCH($M197,Data!$K$9:$K$1273,0)),"")</f>
        <v/>
      </c>
      <c r="BK197" s="225" t="str">
        <f>IFERROR(INDEX(Data!DH$9:DH$1273,MATCH($M197,Data!$K$9:$K$1273,0)),"")</f>
        <v/>
      </c>
      <c r="BL197" s="225" t="str">
        <f>IFERROR(INDEX(Data!DI$9:DI$1273,MATCH($M197,Data!$K$9:$K$1273,0)),"")</f>
        <v/>
      </c>
      <c r="BM197" s="225" t="str">
        <f>IFERROR(INDEX(Data!DJ$9:DJ$1273,MATCH($M197,Data!$K$9:$K$1273,0)),"")</f>
        <v/>
      </c>
      <c r="BN197" s="225" t="str">
        <f>IFERROR(INDEX(Data!DK$9:DK$1273,MATCH($M197,Data!$K$9:$K$1273,0)),"")</f>
        <v/>
      </c>
      <c r="BO197" s="225" t="str">
        <f>IFERROR(INDEX(Data!DL$9:DL$1273,MATCH($M197,Data!$K$9:$K$1273,0)),"")</f>
        <v/>
      </c>
      <c r="BP197" s="243" t="str">
        <f t="shared" si="23"/>
        <v/>
      </c>
      <c r="BQ197" s="225" t="str">
        <f t="shared" si="24"/>
        <v xml:space="preserve"> </v>
      </c>
      <c r="BR197" s="225" t="str">
        <f t="shared" si="25"/>
        <v/>
      </c>
      <c r="BS197" s="225" t="str">
        <f>IFERROR(INDEX(Data!$DO$9:$DO$1273,MATCH('Your recommendation'!BR197,Data!$DN$9:$DN$1273,0)),"")</f>
        <v/>
      </c>
    </row>
    <row r="198" spans="2:71" ht="15.6" customHeight="1">
      <c r="B198" s="222" t="str">
        <f t="shared" si="26"/>
        <v/>
      </c>
      <c r="C198" s="223"/>
      <c r="D198" s="225" t="str">
        <f>IFERROR(INDEX(Data!BR$9:BR$1273,MATCH($M198,Data!$K$9:$K$1273,0)),"")</f>
        <v/>
      </c>
      <c r="E198" s="225" t="str">
        <f>IFERROR(INDEX(Data!BS$9:BS$1273,MATCH($M198,Data!$K$9:$K$1273,0)),"")</f>
        <v/>
      </c>
      <c r="F198" s="225" t="str">
        <f>IFERROR(INDEX(Data!DM$9:DM$1273,MATCH($M198,Data!$K$9:$K$1273,0)),"")</f>
        <v/>
      </c>
      <c r="G198" s="225" t="str">
        <f>IFERROR(INDEX(Data!BV$9:BV$1273,MATCH($M198,Data!$K$9:$K$1273,0)),"")</f>
        <v/>
      </c>
      <c r="H198" s="225" t="str">
        <f>IFERROR(INDEX(Data!BW$9:BW$1273,MATCH($M198,Data!$K$9:$K$1273,0)),"")</f>
        <v/>
      </c>
      <c r="I198" s="225" t="str">
        <f>IFERROR(INDEX(Data!BX$9:BX$1273,MATCH($M198,Data!$K$9:$K$1273,0)),"")</f>
        <v/>
      </c>
      <c r="J198" s="225" t="str">
        <f>IFERROR(INDEX(Data!CB$9:CB$1273,MATCH($M198,Data!$K$9:$K$1273,0)),"")</f>
        <v/>
      </c>
      <c r="K198" s="241" t="str">
        <f t="shared" si="21"/>
        <v/>
      </c>
      <c r="L198" s="242" t="str">
        <f t="shared" si="22"/>
        <v/>
      </c>
      <c r="M198" s="224"/>
      <c r="N198" s="224"/>
      <c r="O198" s="224" t="str">
        <f>IFERROR(INDEX(Data!M$9:M$1273,MATCH($M198,Data!$K$9:$K$1273,0)),"")</f>
        <v/>
      </c>
      <c r="P198" s="224" t="str">
        <f>IFERROR(INDEX(Data!N$9:N$1273,MATCH($M198,Data!$K$9:$K$1273,0)),"")</f>
        <v/>
      </c>
      <c r="Q198" s="224" t="str">
        <f>IFERROR(INDEX(Data!O$9:O$1273,MATCH($M198,Data!$K$9:$K$1273,0)),"")</f>
        <v/>
      </c>
      <c r="R198" s="224" t="str">
        <f>IFERROR(INDEX(Data!P$9:P$1273,MATCH($M198,Data!$K$9:$K$1273,0)),"")</f>
        <v/>
      </c>
      <c r="S198" s="224" t="str">
        <f>IFERROR(INDEX(Data!S$9:S$1273,MATCH($M198,Data!$K$9:$K$1273,0)),"")</f>
        <v/>
      </c>
      <c r="T198" s="224" t="str">
        <f>IFERROR(INDEX(Data!T$9:T$1273,MATCH($M198,Data!$K$9:$K$1273,0)),"")</f>
        <v/>
      </c>
      <c r="U198" s="224" t="str">
        <f>IFERROR(INDEX(Data!U$9:U$1273,MATCH($M198,Data!$K$9:$K$1273,0)),"")</f>
        <v/>
      </c>
      <c r="V198" s="224" t="str">
        <f>IFERROR(INDEX(Data!V$9:V$1273,MATCH($M198,Data!$K$9:$K$1273,0)),"")</f>
        <v/>
      </c>
      <c r="W198" s="224" t="str">
        <f>IFERROR(INDEX(Data!W$9:W$1273,MATCH($M198,Data!$K$9:$K$1273,0)),"")</f>
        <v/>
      </c>
      <c r="X198" s="224" t="str">
        <f>IFERROR(INDEX(Data!AJ$9:AJ$1273,MATCH($M198,Data!$K$9:$K$1273,0)),"")</f>
        <v/>
      </c>
      <c r="Y198" s="224" t="str">
        <f>IFERROR(INDEX(Data!AK$9:AK$1273,MATCH($M198,Data!$K$9:$K$1273,0)),"")</f>
        <v/>
      </c>
      <c r="Z198" s="224" t="str">
        <f>IFERROR(INDEX(Data!AL$9:AL$1273,MATCH($M198,Data!$K$9:$K$1273,0)),"")</f>
        <v/>
      </c>
      <c r="AA198" s="224" t="str">
        <f>IFERROR(INDEX(Data!AM$9:AM$1273,MATCH($M198,Data!$K$9:$K$1273,0)),"")</f>
        <v/>
      </c>
      <c r="AB198" s="224" t="str">
        <f>IFERROR(INDEX(Data!AN$9:AN$1273,MATCH($M198,Data!$K$9:$K$1273,0)),"")</f>
        <v/>
      </c>
      <c r="AC198" s="225" t="str">
        <f>IFERROR(INDEX(Data!BY$9:BY$1273,MATCH($M198,Data!$K$9:$K$1273,0)),"")</f>
        <v/>
      </c>
      <c r="AD198" s="225" t="str">
        <f>IFERROR(INDEX(Data!BZ$9:BZ$1273,MATCH($M198,Data!$K$9:$K$1273,0)),"")</f>
        <v/>
      </c>
      <c r="AE198" s="225" t="str">
        <f>IFERROR(INDEX(Data!CA$9:CA$1273,MATCH($M198,Data!$K$9:$K$1273,0)),"")</f>
        <v/>
      </c>
      <c r="AF198" s="225" t="str">
        <f>IFERROR(INDEX(Data!CB$9:CB$1273,MATCH($M198,Data!$K$9:$K$1273,0)),"")</f>
        <v/>
      </c>
      <c r="AG198" s="225" t="str">
        <f>IFERROR(INDEX(Data!CC$9:CC$1273,MATCH($M198,Data!$K$9:$K$1273,0)),"")</f>
        <v/>
      </c>
      <c r="AH198" s="225" t="str">
        <f>IFERROR(INDEX(Data!CD$9:CD$1273,MATCH($M198,Data!$K$9:$K$1273,0)),"")</f>
        <v/>
      </c>
      <c r="AI198" s="225" t="str">
        <f>IFERROR(INDEX(Data!CE$9:CE$1273,MATCH($M198,Data!$K$9:$K$1273,0)),"")</f>
        <v/>
      </c>
      <c r="AJ198" s="225" t="str">
        <f>IFERROR(INDEX(Data!CF$9:CF$1273,MATCH($M198,Data!$K$9:$K$1273,0)),"")</f>
        <v/>
      </c>
      <c r="AK198" s="225" t="str">
        <f>IFERROR(INDEX(Data!CG$9:CG$1273,MATCH($M198,Data!$K$9:$K$1273,0)),"")</f>
        <v/>
      </c>
      <c r="AL198" s="225" t="str">
        <f>IFERROR(INDEX(Data!CH$9:CH$1273,MATCH($M198,Data!$K$9:$K$1273,0)),"")</f>
        <v/>
      </c>
      <c r="AM198" s="225" t="str">
        <f>IFERROR(INDEX(Data!CI$9:CI$1273,MATCH($M198,Data!$K$9:$K$1273,0)),"")</f>
        <v/>
      </c>
      <c r="AN198" s="225" t="str">
        <f>IFERROR(INDEX(Data!CJ$9:CJ$1273,MATCH($M198,Data!$K$9:$K$1273,0)),"")</f>
        <v/>
      </c>
      <c r="AO198" s="225" t="str">
        <f>IFERROR(INDEX(Data!CK$9:CK$1273,MATCH($M198,Data!$K$9:$K$1273,0)),"")</f>
        <v/>
      </c>
      <c r="AP198" s="225" t="str">
        <f>IFERROR(INDEX(Data!CL$9:CL$1273,MATCH($M198,Data!$K$9:$K$1273,0)),"")</f>
        <v/>
      </c>
      <c r="AQ198" s="225" t="str">
        <f>IFERROR(INDEX(Data!CM$9:CM$1273,MATCH($M198,Data!$K$9:$K$1273,0)),"")</f>
        <v/>
      </c>
      <c r="AR198" s="225" t="str">
        <f>IFERROR(INDEX(Data!CN$9:CN$1273,MATCH($M198,Data!$K$9:$K$1273,0)),"")</f>
        <v/>
      </c>
      <c r="AS198" s="225" t="str">
        <f>IFERROR(INDEX(Data!CO$9:CO$1273,MATCH($M198,Data!$K$9:$K$1273,0)),"")</f>
        <v/>
      </c>
      <c r="AT198" s="225" t="str">
        <f>IFERROR(INDEX(Data!CP$9:CP$1273,MATCH($M198,Data!$K$9:$K$1273,0)),"")</f>
        <v/>
      </c>
      <c r="AU198" s="225" t="str">
        <f>IFERROR(INDEX(Data!CQ$9:CQ$1273,MATCH($M198,Data!$K$9:$K$1273,0)),"")</f>
        <v/>
      </c>
      <c r="AV198" s="225" t="str">
        <f>IFERROR(INDEX(Data!CR$9:CR$1273,MATCH($M198,Data!$K$9:$K$1273,0)),"")</f>
        <v/>
      </c>
      <c r="AW198" s="225" t="str">
        <f>IFERROR(INDEX(Data!CS$9:CS$1273,MATCH($M198,Data!$K$9:$K$1273,0)),"")</f>
        <v/>
      </c>
      <c r="AX198" s="225" t="str">
        <f>IFERROR(INDEX(Data!CT$9:CT$1273,MATCH($M198,Data!$K$9:$K$1273,0)),"")</f>
        <v/>
      </c>
      <c r="AY198" s="225" t="str">
        <f>IFERROR(INDEX(Data!CU$9:CU$1273,MATCH($M198,Data!$K$9:$K$1273,0)),"")</f>
        <v/>
      </c>
      <c r="AZ198" s="225" t="str">
        <f>IFERROR(INDEX(Data!CV$9:CV$1273,MATCH($M198,Data!$K$9:$K$1273,0)),"")</f>
        <v/>
      </c>
      <c r="BA198" s="225" t="str">
        <f>IFERROR(INDEX(Data!CX$9:CX$1273,MATCH($M198,Data!$K$9:$K$1273,0)),"")</f>
        <v/>
      </c>
      <c r="BB198" s="225" t="str">
        <f>IFERROR(INDEX(Data!CY$9:CY$1273,MATCH($M198,Data!$K$9:$K$1273,0)),"")</f>
        <v/>
      </c>
      <c r="BC198" s="225" t="str">
        <f>IFERROR(INDEX(Data!CZ$9:CZ$1273,MATCH($M198,Data!$K$9:$K$1273,0)),"")</f>
        <v/>
      </c>
      <c r="BD198" s="225" t="str">
        <f>IFERROR(INDEX(Data!DA$9:DA$1273,MATCH($M198,Data!$K$9:$K$1273,0)),"")</f>
        <v/>
      </c>
      <c r="BE198" s="225" t="str">
        <f>IFERROR(INDEX(Data!DB$9:DB$1273,MATCH($M198,Data!$K$9:$K$1273,0)),"")</f>
        <v/>
      </c>
      <c r="BF198" s="225" t="str">
        <f>IFERROR(INDEX(Data!DC$9:DC$1273,MATCH($M198,Data!$K$9:$K$1273,0)),"")</f>
        <v/>
      </c>
      <c r="BG198" s="225" t="str">
        <f>IFERROR(INDEX(Data!DD$9:DD$1273,MATCH($M198,Data!$K$9:$K$1273,0)),"")</f>
        <v/>
      </c>
      <c r="BH198" s="225" t="str">
        <f>IFERROR(INDEX(Data!DE$9:DE$1273,MATCH($M198,Data!$K$9:$K$1273,0)),"")</f>
        <v/>
      </c>
      <c r="BI198" s="225" t="str">
        <f>IFERROR(INDEX(Data!DF$9:DF$1273,MATCH($M198,Data!$K$9:$K$1273,0)),"")</f>
        <v/>
      </c>
      <c r="BJ198" s="225" t="str">
        <f>IFERROR(INDEX(Data!DG$9:DG$1273,MATCH($M198,Data!$K$9:$K$1273,0)),"")</f>
        <v/>
      </c>
      <c r="BK198" s="225" t="str">
        <f>IFERROR(INDEX(Data!DH$9:DH$1273,MATCH($M198,Data!$K$9:$K$1273,0)),"")</f>
        <v/>
      </c>
      <c r="BL198" s="225" t="str">
        <f>IFERROR(INDEX(Data!DI$9:DI$1273,MATCH($M198,Data!$K$9:$K$1273,0)),"")</f>
        <v/>
      </c>
      <c r="BM198" s="225" t="str">
        <f>IFERROR(INDEX(Data!DJ$9:DJ$1273,MATCH($M198,Data!$K$9:$K$1273,0)),"")</f>
        <v/>
      </c>
      <c r="BN198" s="225" t="str">
        <f>IFERROR(INDEX(Data!DK$9:DK$1273,MATCH($M198,Data!$K$9:$K$1273,0)),"")</f>
        <v/>
      </c>
      <c r="BO198" s="225" t="str">
        <f>IFERROR(INDEX(Data!DL$9:DL$1273,MATCH($M198,Data!$K$9:$K$1273,0)),"")</f>
        <v/>
      </c>
      <c r="BP198" s="243" t="str">
        <f t="shared" si="23"/>
        <v/>
      </c>
      <c r="BQ198" s="225" t="str">
        <f t="shared" si="24"/>
        <v xml:space="preserve"> </v>
      </c>
      <c r="BR198" s="225" t="str">
        <f t="shared" si="25"/>
        <v/>
      </c>
      <c r="BS198" s="225" t="str">
        <f>IFERROR(INDEX(Data!$DO$9:$DO$1273,MATCH('Your recommendation'!BR198,Data!$DN$9:$DN$1273,0)),"")</f>
        <v/>
      </c>
    </row>
    <row r="199" spans="2:71" ht="15.6" customHeight="1">
      <c r="B199" s="222" t="str">
        <f t="shared" si="26"/>
        <v/>
      </c>
      <c r="C199" s="223"/>
      <c r="D199" s="225" t="str">
        <f>IFERROR(INDEX(Data!BR$9:BR$1273,MATCH($M199,Data!$K$9:$K$1273,0)),"")</f>
        <v/>
      </c>
      <c r="E199" s="225" t="str">
        <f>IFERROR(INDEX(Data!BS$9:BS$1273,MATCH($M199,Data!$K$9:$K$1273,0)),"")</f>
        <v/>
      </c>
      <c r="F199" s="225" t="str">
        <f>IFERROR(INDEX(Data!DM$9:DM$1273,MATCH($M199,Data!$K$9:$K$1273,0)),"")</f>
        <v/>
      </c>
      <c r="G199" s="225" t="str">
        <f>IFERROR(INDEX(Data!BV$9:BV$1273,MATCH($M199,Data!$K$9:$K$1273,0)),"")</f>
        <v/>
      </c>
      <c r="H199" s="225" t="str">
        <f>IFERROR(INDEX(Data!BW$9:BW$1273,MATCH($M199,Data!$K$9:$K$1273,0)),"")</f>
        <v/>
      </c>
      <c r="I199" s="225" t="str">
        <f>IFERROR(INDEX(Data!BX$9:BX$1273,MATCH($M199,Data!$K$9:$K$1273,0)),"")</f>
        <v/>
      </c>
      <c r="J199" s="225" t="str">
        <f>IFERROR(INDEX(Data!CB$9:CB$1273,MATCH($M199,Data!$K$9:$K$1273,0)),"")</f>
        <v/>
      </c>
      <c r="K199" s="241" t="str">
        <f t="shared" si="21"/>
        <v/>
      </c>
      <c r="L199" s="242" t="str">
        <f t="shared" si="22"/>
        <v/>
      </c>
      <c r="M199" s="224"/>
      <c r="N199" s="224"/>
      <c r="O199" s="224" t="str">
        <f>IFERROR(INDEX(Data!M$9:M$1273,MATCH($M199,Data!$K$9:$K$1273,0)),"")</f>
        <v/>
      </c>
      <c r="P199" s="224" t="str">
        <f>IFERROR(INDEX(Data!N$9:N$1273,MATCH($M199,Data!$K$9:$K$1273,0)),"")</f>
        <v/>
      </c>
      <c r="Q199" s="224" t="str">
        <f>IFERROR(INDEX(Data!O$9:O$1273,MATCH($M199,Data!$K$9:$K$1273,0)),"")</f>
        <v/>
      </c>
      <c r="R199" s="224" t="str">
        <f>IFERROR(INDEX(Data!P$9:P$1273,MATCH($M199,Data!$K$9:$K$1273,0)),"")</f>
        <v/>
      </c>
      <c r="S199" s="224" t="str">
        <f>IFERROR(INDEX(Data!S$9:S$1273,MATCH($M199,Data!$K$9:$K$1273,0)),"")</f>
        <v/>
      </c>
      <c r="T199" s="224" t="str">
        <f>IFERROR(INDEX(Data!T$9:T$1273,MATCH($M199,Data!$K$9:$K$1273,0)),"")</f>
        <v/>
      </c>
      <c r="U199" s="224" t="str">
        <f>IFERROR(INDEX(Data!U$9:U$1273,MATCH($M199,Data!$K$9:$K$1273,0)),"")</f>
        <v/>
      </c>
      <c r="V199" s="224" t="str">
        <f>IFERROR(INDEX(Data!V$9:V$1273,MATCH($M199,Data!$K$9:$K$1273,0)),"")</f>
        <v/>
      </c>
      <c r="W199" s="224" t="str">
        <f>IFERROR(INDEX(Data!W$9:W$1273,MATCH($M199,Data!$K$9:$K$1273,0)),"")</f>
        <v/>
      </c>
      <c r="X199" s="224" t="str">
        <f>IFERROR(INDEX(Data!AJ$9:AJ$1273,MATCH($M199,Data!$K$9:$K$1273,0)),"")</f>
        <v/>
      </c>
      <c r="Y199" s="224" t="str">
        <f>IFERROR(INDEX(Data!AK$9:AK$1273,MATCH($M199,Data!$K$9:$K$1273,0)),"")</f>
        <v/>
      </c>
      <c r="Z199" s="224" t="str">
        <f>IFERROR(INDEX(Data!AL$9:AL$1273,MATCH($M199,Data!$K$9:$K$1273,0)),"")</f>
        <v/>
      </c>
      <c r="AA199" s="224" t="str">
        <f>IFERROR(INDEX(Data!AM$9:AM$1273,MATCH($M199,Data!$K$9:$K$1273,0)),"")</f>
        <v/>
      </c>
      <c r="AB199" s="224" t="str">
        <f>IFERROR(INDEX(Data!AN$9:AN$1273,MATCH($M199,Data!$K$9:$K$1273,0)),"")</f>
        <v/>
      </c>
      <c r="AC199" s="225" t="str">
        <f>IFERROR(INDEX(Data!BY$9:BY$1273,MATCH($M199,Data!$K$9:$K$1273,0)),"")</f>
        <v/>
      </c>
      <c r="AD199" s="225" t="str">
        <f>IFERROR(INDEX(Data!BZ$9:BZ$1273,MATCH($M199,Data!$K$9:$K$1273,0)),"")</f>
        <v/>
      </c>
      <c r="AE199" s="225" t="str">
        <f>IFERROR(INDEX(Data!CA$9:CA$1273,MATCH($M199,Data!$K$9:$K$1273,0)),"")</f>
        <v/>
      </c>
      <c r="AF199" s="225" t="str">
        <f>IFERROR(INDEX(Data!CB$9:CB$1273,MATCH($M199,Data!$K$9:$K$1273,0)),"")</f>
        <v/>
      </c>
      <c r="AG199" s="225" t="str">
        <f>IFERROR(INDEX(Data!CC$9:CC$1273,MATCH($M199,Data!$K$9:$K$1273,0)),"")</f>
        <v/>
      </c>
      <c r="AH199" s="225" t="str">
        <f>IFERROR(INDEX(Data!CD$9:CD$1273,MATCH($M199,Data!$K$9:$K$1273,0)),"")</f>
        <v/>
      </c>
      <c r="AI199" s="225" t="str">
        <f>IFERROR(INDEX(Data!CE$9:CE$1273,MATCH($M199,Data!$K$9:$K$1273,0)),"")</f>
        <v/>
      </c>
      <c r="AJ199" s="225" t="str">
        <f>IFERROR(INDEX(Data!CF$9:CF$1273,MATCH($M199,Data!$K$9:$K$1273,0)),"")</f>
        <v/>
      </c>
      <c r="AK199" s="225" t="str">
        <f>IFERROR(INDEX(Data!CG$9:CG$1273,MATCH($M199,Data!$K$9:$K$1273,0)),"")</f>
        <v/>
      </c>
      <c r="AL199" s="225" t="str">
        <f>IFERROR(INDEX(Data!CH$9:CH$1273,MATCH($M199,Data!$K$9:$K$1273,0)),"")</f>
        <v/>
      </c>
      <c r="AM199" s="225" t="str">
        <f>IFERROR(INDEX(Data!CI$9:CI$1273,MATCH($M199,Data!$K$9:$K$1273,0)),"")</f>
        <v/>
      </c>
      <c r="AN199" s="225" t="str">
        <f>IFERROR(INDEX(Data!CJ$9:CJ$1273,MATCH($M199,Data!$K$9:$K$1273,0)),"")</f>
        <v/>
      </c>
      <c r="AO199" s="225" t="str">
        <f>IFERROR(INDEX(Data!CK$9:CK$1273,MATCH($M199,Data!$K$9:$K$1273,0)),"")</f>
        <v/>
      </c>
      <c r="AP199" s="225" t="str">
        <f>IFERROR(INDEX(Data!CL$9:CL$1273,MATCH($M199,Data!$K$9:$K$1273,0)),"")</f>
        <v/>
      </c>
      <c r="AQ199" s="225" t="str">
        <f>IFERROR(INDEX(Data!CM$9:CM$1273,MATCH($M199,Data!$K$9:$K$1273,0)),"")</f>
        <v/>
      </c>
      <c r="AR199" s="225" t="str">
        <f>IFERROR(INDEX(Data!CN$9:CN$1273,MATCH($M199,Data!$K$9:$K$1273,0)),"")</f>
        <v/>
      </c>
      <c r="AS199" s="225" t="str">
        <f>IFERROR(INDEX(Data!CO$9:CO$1273,MATCH($M199,Data!$K$9:$K$1273,0)),"")</f>
        <v/>
      </c>
      <c r="AT199" s="225" t="str">
        <f>IFERROR(INDEX(Data!CP$9:CP$1273,MATCH($M199,Data!$K$9:$K$1273,0)),"")</f>
        <v/>
      </c>
      <c r="AU199" s="225" t="str">
        <f>IFERROR(INDEX(Data!CQ$9:CQ$1273,MATCH($M199,Data!$K$9:$K$1273,0)),"")</f>
        <v/>
      </c>
      <c r="AV199" s="225" t="str">
        <f>IFERROR(INDEX(Data!CR$9:CR$1273,MATCH($M199,Data!$K$9:$K$1273,0)),"")</f>
        <v/>
      </c>
      <c r="AW199" s="225" t="str">
        <f>IFERROR(INDEX(Data!CS$9:CS$1273,MATCH($M199,Data!$K$9:$K$1273,0)),"")</f>
        <v/>
      </c>
      <c r="AX199" s="225" t="str">
        <f>IFERROR(INDEX(Data!CT$9:CT$1273,MATCH($M199,Data!$K$9:$K$1273,0)),"")</f>
        <v/>
      </c>
      <c r="AY199" s="225" t="str">
        <f>IFERROR(INDEX(Data!CU$9:CU$1273,MATCH($M199,Data!$K$9:$K$1273,0)),"")</f>
        <v/>
      </c>
      <c r="AZ199" s="225" t="str">
        <f>IFERROR(INDEX(Data!CV$9:CV$1273,MATCH($M199,Data!$K$9:$K$1273,0)),"")</f>
        <v/>
      </c>
      <c r="BA199" s="225" t="str">
        <f>IFERROR(INDEX(Data!CX$9:CX$1273,MATCH($M199,Data!$K$9:$K$1273,0)),"")</f>
        <v/>
      </c>
      <c r="BB199" s="225" t="str">
        <f>IFERROR(INDEX(Data!CY$9:CY$1273,MATCH($M199,Data!$K$9:$K$1273,0)),"")</f>
        <v/>
      </c>
      <c r="BC199" s="225" t="str">
        <f>IFERROR(INDEX(Data!CZ$9:CZ$1273,MATCH($M199,Data!$K$9:$K$1273,0)),"")</f>
        <v/>
      </c>
      <c r="BD199" s="225" t="str">
        <f>IFERROR(INDEX(Data!DA$9:DA$1273,MATCH($M199,Data!$K$9:$K$1273,0)),"")</f>
        <v/>
      </c>
      <c r="BE199" s="225" t="str">
        <f>IFERROR(INDEX(Data!DB$9:DB$1273,MATCH($M199,Data!$K$9:$K$1273,0)),"")</f>
        <v/>
      </c>
      <c r="BF199" s="225" t="str">
        <f>IFERROR(INDEX(Data!DC$9:DC$1273,MATCH($M199,Data!$K$9:$K$1273,0)),"")</f>
        <v/>
      </c>
      <c r="BG199" s="225" t="str">
        <f>IFERROR(INDEX(Data!DD$9:DD$1273,MATCH($M199,Data!$K$9:$K$1273,0)),"")</f>
        <v/>
      </c>
      <c r="BH199" s="225" t="str">
        <f>IFERROR(INDEX(Data!DE$9:DE$1273,MATCH($M199,Data!$K$9:$K$1273,0)),"")</f>
        <v/>
      </c>
      <c r="BI199" s="225" t="str">
        <f>IFERROR(INDEX(Data!DF$9:DF$1273,MATCH($M199,Data!$K$9:$K$1273,0)),"")</f>
        <v/>
      </c>
      <c r="BJ199" s="225" t="str">
        <f>IFERROR(INDEX(Data!DG$9:DG$1273,MATCH($M199,Data!$K$9:$K$1273,0)),"")</f>
        <v/>
      </c>
      <c r="BK199" s="225" t="str">
        <f>IFERROR(INDEX(Data!DH$9:DH$1273,MATCH($M199,Data!$K$9:$K$1273,0)),"")</f>
        <v/>
      </c>
      <c r="BL199" s="225" t="str">
        <f>IFERROR(INDEX(Data!DI$9:DI$1273,MATCH($M199,Data!$K$9:$K$1273,0)),"")</f>
        <v/>
      </c>
      <c r="BM199" s="225" t="str">
        <f>IFERROR(INDEX(Data!DJ$9:DJ$1273,MATCH($M199,Data!$K$9:$K$1273,0)),"")</f>
        <v/>
      </c>
      <c r="BN199" s="225" t="str">
        <f>IFERROR(INDEX(Data!DK$9:DK$1273,MATCH($M199,Data!$K$9:$K$1273,0)),"")</f>
        <v/>
      </c>
      <c r="BO199" s="225" t="str">
        <f>IFERROR(INDEX(Data!DL$9:DL$1273,MATCH($M199,Data!$K$9:$K$1273,0)),"")</f>
        <v/>
      </c>
      <c r="BP199" s="243" t="str">
        <f t="shared" si="23"/>
        <v/>
      </c>
      <c r="BQ199" s="225" t="str">
        <f t="shared" si="24"/>
        <v xml:space="preserve"> </v>
      </c>
      <c r="BR199" s="225" t="str">
        <f t="shared" si="25"/>
        <v/>
      </c>
      <c r="BS199" s="225" t="str">
        <f>IFERROR(INDEX(Data!$DO$9:$DO$1273,MATCH('Your recommendation'!BR199,Data!$DN$9:$DN$1273,0)),"")</f>
        <v/>
      </c>
    </row>
    <row r="200" spans="2:71" ht="15.6" customHeight="1">
      <c r="B200" s="222" t="str">
        <f t="shared" si="26"/>
        <v/>
      </c>
      <c r="C200" s="223"/>
      <c r="D200" s="225" t="str">
        <f>IFERROR(INDEX(Data!BR$9:BR$1273,MATCH($M200,Data!$K$9:$K$1273,0)),"")</f>
        <v/>
      </c>
      <c r="E200" s="225" t="str">
        <f>IFERROR(INDEX(Data!BS$9:BS$1273,MATCH($M200,Data!$K$9:$K$1273,0)),"")</f>
        <v/>
      </c>
      <c r="F200" s="225" t="str">
        <f>IFERROR(INDEX(Data!DM$9:DM$1273,MATCH($M200,Data!$K$9:$K$1273,0)),"")</f>
        <v/>
      </c>
      <c r="G200" s="225" t="str">
        <f>IFERROR(INDEX(Data!BV$9:BV$1273,MATCH($M200,Data!$K$9:$K$1273,0)),"")</f>
        <v/>
      </c>
      <c r="H200" s="225" t="str">
        <f>IFERROR(INDEX(Data!BW$9:BW$1273,MATCH($M200,Data!$K$9:$K$1273,0)),"")</f>
        <v/>
      </c>
      <c r="I200" s="225" t="str">
        <f>IFERROR(INDEX(Data!BX$9:BX$1273,MATCH($M200,Data!$K$9:$K$1273,0)),"")</f>
        <v/>
      </c>
      <c r="J200" s="225" t="str">
        <f>IFERROR(INDEX(Data!CB$9:CB$1273,MATCH($M200,Data!$K$9:$K$1273,0)),"")</f>
        <v/>
      </c>
      <c r="K200" s="241" t="str">
        <f t="shared" si="21"/>
        <v/>
      </c>
      <c r="L200" s="242" t="str">
        <f t="shared" si="22"/>
        <v/>
      </c>
      <c r="M200" s="224"/>
      <c r="N200" s="224"/>
      <c r="O200" s="224" t="str">
        <f>IFERROR(INDEX(Data!M$9:M$1273,MATCH($M200,Data!$K$9:$K$1273,0)),"")</f>
        <v/>
      </c>
      <c r="P200" s="224" t="str">
        <f>IFERROR(INDEX(Data!N$9:N$1273,MATCH($M200,Data!$K$9:$K$1273,0)),"")</f>
        <v/>
      </c>
      <c r="Q200" s="224" t="str">
        <f>IFERROR(INDEX(Data!O$9:O$1273,MATCH($M200,Data!$K$9:$K$1273,0)),"")</f>
        <v/>
      </c>
      <c r="R200" s="224" t="str">
        <f>IFERROR(INDEX(Data!P$9:P$1273,MATCH($M200,Data!$K$9:$K$1273,0)),"")</f>
        <v/>
      </c>
      <c r="S200" s="224" t="str">
        <f>IFERROR(INDEX(Data!S$9:S$1273,MATCH($M200,Data!$K$9:$K$1273,0)),"")</f>
        <v/>
      </c>
      <c r="T200" s="224" t="str">
        <f>IFERROR(INDEX(Data!T$9:T$1273,MATCH($M200,Data!$K$9:$K$1273,0)),"")</f>
        <v/>
      </c>
      <c r="U200" s="224" t="str">
        <f>IFERROR(INDEX(Data!U$9:U$1273,MATCH($M200,Data!$K$9:$K$1273,0)),"")</f>
        <v/>
      </c>
      <c r="V200" s="224" t="str">
        <f>IFERROR(INDEX(Data!V$9:V$1273,MATCH($M200,Data!$K$9:$K$1273,0)),"")</f>
        <v/>
      </c>
      <c r="W200" s="224" t="str">
        <f>IFERROR(INDEX(Data!W$9:W$1273,MATCH($M200,Data!$K$9:$K$1273,0)),"")</f>
        <v/>
      </c>
      <c r="X200" s="224" t="str">
        <f>IFERROR(INDEX(Data!AJ$9:AJ$1273,MATCH($M200,Data!$K$9:$K$1273,0)),"")</f>
        <v/>
      </c>
      <c r="Y200" s="224" t="str">
        <f>IFERROR(INDEX(Data!AK$9:AK$1273,MATCH($M200,Data!$K$9:$K$1273,0)),"")</f>
        <v/>
      </c>
      <c r="Z200" s="224" t="str">
        <f>IFERROR(INDEX(Data!AL$9:AL$1273,MATCH($M200,Data!$K$9:$K$1273,0)),"")</f>
        <v/>
      </c>
      <c r="AA200" s="224" t="str">
        <f>IFERROR(INDEX(Data!AM$9:AM$1273,MATCH($M200,Data!$K$9:$K$1273,0)),"")</f>
        <v/>
      </c>
      <c r="AB200" s="224" t="str">
        <f>IFERROR(INDEX(Data!AN$9:AN$1273,MATCH($M200,Data!$K$9:$K$1273,0)),"")</f>
        <v/>
      </c>
      <c r="AC200" s="225" t="str">
        <f>IFERROR(INDEX(Data!BY$9:BY$1273,MATCH($M200,Data!$K$9:$K$1273,0)),"")</f>
        <v/>
      </c>
      <c r="AD200" s="225" t="str">
        <f>IFERROR(INDEX(Data!BZ$9:BZ$1273,MATCH($M200,Data!$K$9:$K$1273,0)),"")</f>
        <v/>
      </c>
      <c r="AE200" s="225" t="str">
        <f>IFERROR(INDEX(Data!CA$9:CA$1273,MATCH($M200,Data!$K$9:$K$1273,0)),"")</f>
        <v/>
      </c>
      <c r="AF200" s="225" t="str">
        <f>IFERROR(INDEX(Data!CB$9:CB$1273,MATCH($M200,Data!$K$9:$K$1273,0)),"")</f>
        <v/>
      </c>
      <c r="AG200" s="225" t="str">
        <f>IFERROR(INDEX(Data!CC$9:CC$1273,MATCH($M200,Data!$K$9:$K$1273,0)),"")</f>
        <v/>
      </c>
      <c r="AH200" s="225" t="str">
        <f>IFERROR(INDEX(Data!CD$9:CD$1273,MATCH($M200,Data!$K$9:$K$1273,0)),"")</f>
        <v/>
      </c>
      <c r="AI200" s="225" t="str">
        <f>IFERROR(INDEX(Data!CE$9:CE$1273,MATCH($M200,Data!$K$9:$K$1273,0)),"")</f>
        <v/>
      </c>
      <c r="AJ200" s="225" t="str">
        <f>IFERROR(INDEX(Data!CF$9:CF$1273,MATCH($M200,Data!$K$9:$K$1273,0)),"")</f>
        <v/>
      </c>
      <c r="AK200" s="225" t="str">
        <f>IFERROR(INDEX(Data!CG$9:CG$1273,MATCH($M200,Data!$K$9:$K$1273,0)),"")</f>
        <v/>
      </c>
      <c r="AL200" s="225" t="str">
        <f>IFERROR(INDEX(Data!CH$9:CH$1273,MATCH($M200,Data!$K$9:$K$1273,0)),"")</f>
        <v/>
      </c>
      <c r="AM200" s="225" t="str">
        <f>IFERROR(INDEX(Data!CI$9:CI$1273,MATCH($M200,Data!$K$9:$K$1273,0)),"")</f>
        <v/>
      </c>
      <c r="AN200" s="225" t="str">
        <f>IFERROR(INDEX(Data!CJ$9:CJ$1273,MATCH($M200,Data!$K$9:$K$1273,0)),"")</f>
        <v/>
      </c>
      <c r="AO200" s="225" t="str">
        <f>IFERROR(INDEX(Data!CK$9:CK$1273,MATCH($M200,Data!$K$9:$K$1273,0)),"")</f>
        <v/>
      </c>
      <c r="AP200" s="225" t="str">
        <f>IFERROR(INDEX(Data!CL$9:CL$1273,MATCH($M200,Data!$K$9:$K$1273,0)),"")</f>
        <v/>
      </c>
      <c r="AQ200" s="225" t="str">
        <f>IFERROR(INDEX(Data!CM$9:CM$1273,MATCH($M200,Data!$K$9:$K$1273,0)),"")</f>
        <v/>
      </c>
      <c r="AR200" s="225" t="str">
        <f>IFERROR(INDEX(Data!CN$9:CN$1273,MATCH($M200,Data!$K$9:$K$1273,0)),"")</f>
        <v/>
      </c>
      <c r="AS200" s="225" t="str">
        <f>IFERROR(INDEX(Data!CO$9:CO$1273,MATCH($M200,Data!$K$9:$K$1273,0)),"")</f>
        <v/>
      </c>
      <c r="AT200" s="225" t="str">
        <f>IFERROR(INDEX(Data!CP$9:CP$1273,MATCH($M200,Data!$K$9:$K$1273,0)),"")</f>
        <v/>
      </c>
      <c r="AU200" s="225" t="str">
        <f>IFERROR(INDEX(Data!CQ$9:CQ$1273,MATCH($M200,Data!$K$9:$K$1273,0)),"")</f>
        <v/>
      </c>
      <c r="AV200" s="225" t="str">
        <f>IFERROR(INDEX(Data!CR$9:CR$1273,MATCH($M200,Data!$K$9:$K$1273,0)),"")</f>
        <v/>
      </c>
      <c r="AW200" s="225" t="str">
        <f>IFERROR(INDEX(Data!CS$9:CS$1273,MATCH($M200,Data!$K$9:$K$1273,0)),"")</f>
        <v/>
      </c>
      <c r="AX200" s="225" t="str">
        <f>IFERROR(INDEX(Data!CT$9:CT$1273,MATCH($M200,Data!$K$9:$K$1273,0)),"")</f>
        <v/>
      </c>
      <c r="AY200" s="225" t="str">
        <f>IFERROR(INDEX(Data!CU$9:CU$1273,MATCH($M200,Data!$K$9:$K$1273,0)),"")</f>
        <v/>
      </c>
      <c r="AZ200" s="225" t="str">
        <f>IFERROR(INDEX(Data!CV$9:CV$1273,MATCH($M200,Data!$K$9:$K$1273,0)),"")</f>
        <v/>
      </c>
      <c r="BA200" s="225" t="str">
        <f>IFERROR(INDEX(Data!CX$9:CX$1273,MATCH($M200,Data!$K$9:$K$1273,0)),"")</f>
        <v/>
      </c>
      <c r="BB200" s="225" t="str">
        <f>IFERROR(INDEX(Data!CY$9:CY$1273,MATCH($M200,Data!$K$9:$K$1273,0)),"")</f>
        <v/>
      </c>
      <c r="BC200" s="225" t="str">
        <f>IFERROR(INDEX(Data!CZ$9:CZ$1273,MATCH($M200,Data!$K$9:$K$1273,0)),"")</f>
        <v/>
      </c>
      <c r="BD200" s="225" t="str">
        <f>IFERROR(INDEX(Data!DA$9:DA$1273,MATCH($M200,Data!$K$9:$K$1273,0)),"")</f>
        <v/>
      </c>
      <c r="BE200" s="225" t="str">
        <f>IFERROR(INDEX(Data!DB$9:DB$1273,MATCH($M200,Data!$K$9:$K$1273,0)),"")</f>
        <v/>
      </c>
      <c r="BF200" s="225" t="str">
        <f>IFERROR(INDEX(Data!DC$9:DC$1273,MATCH($M200,Data!$K$9:$K$1273,0)),"")</f>
        <v/>
      </c>
      <c r="BG200" s="225" t="str">
        <f>IFERROR(INDEX(Data!DD$9:DD$1273,MATCH($M200,Data!$K$9:$K$1273,0)),"")</f>
        <v/>
      </c>
      <c r="BH200" s="225" t="str">
        <f>IFERROR(INDEX(Data!DE$9:DE$1273,MATCH($M200,Data!$K$9:$K$1273,0)),"")</f>
        <v/>
      </c>
      <c r="BI200" s="225" t="str">
        <f>IFERROR(INDEX(Data!DF$9:DF$1273,MATCH($M200,Data!$K$9:$K$1273,0)),"")</f>
        <v/>
      </c>
      <c r="BJ200" s="225" t="str">
        <f>IFERROR(INDEX(Data!DG$9:DG$1273,MATCH($M200,Data!$K$9:$K$1273,0)),"")</f>
        <v/>
      </c>
      <c r="BK200" s="225" t="str">
        <f>IFERROR(INDEX(Data!DH$9:DH$1273,MATCH($M200,Data!$K$9:$K$1273,0)),"")</f>
        <v/>
      </c>
      <c r="BL200" s="225" t="str">
        <f>IFERROR(INDEX(Data!DI$9:DI$1273,MATCH($M200,Data!$K$9:$K$1273,0)),"")</f>
        <v/>
      </c>
      <c r="BM200" s="225" t="str">
        <f>IFERROR(INDEX(Data!DJ$9:DJ$1273,MATCH($M200,Data!$K$9:$K$1273,0)),"")</f>
        <v/>
      </c>
      <c r="BN200" s="225" t="str">
        <f>IFERROR(INDEX(Data!DK$9:DK$1273,MATCH($M200,Data!$K$9:$K$1273,0)),"")</f>
        <v/>
      </c>
      <c r="BO200" s="225" t="str">
        <f>IFERROR(INDEX(Data!DL$9:DL$1273,MATCH($M200,Data!$K$9:$K$1273,0)),"")</f>
        <v/>
      </c>
      <c r="BP200" s="243" t="str">
        <f t="shared" si="23"/>
        <v/>
      </c>
      <c r="BQ200" s="225" t="str">
        <f t="shared" si="24"/>
        <v xml:space="preserve"> </v>
      </c>
      <c r="BR200" s="225" t="str">
        <f t="shared" si="25"/>
        <v/>
      </c>
      <c r="BS200" s="225" t="str">
        <f>IFERROR(INDEX(Data!$DO$9:$DO$1273,MATCH('Your recommendation'!BR200,Data!$DN$9:$DN$1273,0)),"")</f>
        <v/>
      </c>
    </row>
    <row r="201" spans="2:71" ht="15.6" customHeight="1">
      <c r="B201" s="222" t="str">
        <f t="shared" si="26"/>
        <v/>
      </c>
      <c r="C201" s="223"/>
      <c r="D201" s="225" t="str">
        <f>IFERROR(INDEX(Data!BR$9:BR$1273,MATCH($M201,Data!$K$9:$K$1273,0)),"")</f>
        <v/>
      </c>
      <c r="E201" s="225" t="str">
        <f>IFERROR(INDEX(Data!BS$9:BS$1273,MATCH($M201,Data!$K$9:$K$1273,0)),"")</f>
        <v/>
      </c>
      <c r="F201" s="225" t="str">
        <f>IFERROR(INDEX(Data!DM$9:DM$1273,MATCH($M201,Data!$K$9:$K$1273,0)),"")</f>
        <v/>
      </c>
      <c r="G201" s="225" t="str">
        <f>IFERROR(INDEX(Data!BV$9:BV$1273,MATCH($M201,Data!$K$9:$K$1273,0)),"")</f>
        <v/>
      </c>
      <c r="H201" s="225" t="str">
        <f>IFERROR(INDEX(Data!BW$9:BW$1273,MATCH($M201,Data!$K$9:$K$1273,0)),"")</f>
        <v/>
      </c>
      <c r="I201" s="225" t="str">
        <f>IFERROR(INDEX(Data!BX$9:BX$1273,MATCH($M201,Data!$K$9:$K$1273,0)),"")</f>
        <v/>
      </c>
      <c r="J201" s="225" t="str">
        <f>IFERROR(INDEX(Data!CB$9:CB$1273,MATCH($M201,Data!$K$9:$K$1273,0)),"")</f>
        <v/>
      </c>
      <c r="K201" s="241" t="str">
        <f t="shared" si="21"/>
        <v/>
      </c>
      <c r="L201" s="242" t="str">
        <f t="shared" si="22"/>
        <v/>
      </c>
      <c r="M201" s="224"/>
      <c r="N201" s="224"/>
      <c r="O201" s="224" t="str">
        <f>IFERROR(INDEX(Data!M$9:M$1273,MATCH($M201,Data!$K$9:$K$1273,0)),"")</f>
        <v/>
      </c>
      <c r="P201" s="224" t="str">
        <f>IFERROR(INDEX(Data!N$9:N$1273,MATCH($M201,Data!$K$9:$K$1273,0)),"")</f>
        <v/>
      </c>
      <c r="Q201" s="224" t="str">
        <f>IFERROR(INDEX(Data!O$9:O$1273,MATCH($M201,Data!$K$9:$K$1273,0)),"")</f>
        <v/>
      </c>
      <c r="R201" s="224" t="str">
        <f>IFERROR(INDEX(Data!P$9:P$1273,MATCH($M201,Data!$K$9:$K$1273,0)),"")</f>
        <v/>
      </c>
      <c r="S201" s="224" t="str">
        <f>IFERROR(INDEX(Data!S$9:S$1273,MATCH($M201,Data!$K$9:$K$1273,0)),"")</f>
        <v/>
      </c>
      <c r="T201" s="224" t="str">
        <f>IFERROR(INDEX(Data!T$9:T$1273,MATCH($M201,Data!$K$9:$K$1273,0)),"")</f>
        <v/>
      </c>
      <c r="U201" s="224" t="str">
        <f>IFERROR(INDEX(Data!U$9:U$1273,MATCH($M201,Data!$K$9:$K$1273,0)),"")</f>
        <v/>
      </c>
      <c r="V201" s="224" t="str">
        <f>IFERROR(INDEX(Data!V$9:V$1273,MATCH($M201,Data!$K$9:$K$1273,0)),"")</f>
        <v/>
      </c>
      <c r="W201" s="224" t="str">
        <f>IFERROR(INDEX(Data!W$9:W$1273,MATCH($M201,Data!$K$9:$K$1273,0)),"")</f>
        <v/>
      </c>
      <c r="X201" s="224" t="str">
        <f>IFERROR(INDEX(Data!AJ$9:AJ$1273,MATCH($M201,Data!$K$9:$K$1273,0)),"")</f>
        <v/>
      </c>
      <c r="Y201" s="224" t="str">
        <f>IFERROR(INDEX(Data!AK$9:AK$1273,MATCH($M201,Data!$K$9:$K$1273,0)),"")</f>
        <v/>
      </c>
      <c r="Z201" s="224" t="str">
        <f>IFERROR(INDEX(Data!AL$9:AL$1273,MATCH($M201,Data!$K$9:$K$1273,0)),"")</f>
        <v/>
      </c>
      <c r="AA201" s="224" t="str">
        <f>IFERROR(INDEX(Data!AM$9:AM$1273,MATCH($M201,Data!$K$9:$K$1273,0)),"")</f>
        <v/>
      </c>
      <c r="AB201" s="224" t="str">
        <f>IFERROR(INDEX(Data!AN$9:AN$1273,MATCH($M201,Data!$K$9:$K$1273,0)),"")</f>
        <v/>
      </c>
      <c r="AC201" s="225" t="str">
        <f>IFERROR(INDEX(Data!BY$9:BY$1273,MATCH($M201,Data!$K$9:$K$1273,0)),"")</f>
        <v/>
      </c>
      <c r="AD201" s="225" t="str">
        <f>IFERROR(INDEX(Data!BZ$9:BZ$1273,MATCH($M201,Data!$K$9:$K$1273,0)),"")</f>
        <v/>
      </c>
      <c r="AE201" s="225" t="str">
        <f>IFERROR(INDEX(Data!CA$9:CA$1273,MATCH($M201,Data!$K$9:$K$1273,0)),"")</f>
        <v/>
      </c>
      <c r="AF201" s="225" t="str">
        <f>IFERROR(INDEX(Data!CB$9:CB$1273,MATCH($M201,Data!$K$9:$K$1273,0)),"")</f>
        <v/>
      </c>
      <c r="AG201" s="225" t="str">
        <f>IFERROR(INDEX(Data!CC$9:CC$1273,MATCH($M201,Data!$K$9:$K$1273,0)),"")</f>
        <v/>
      </c>
      <c r="AH201" s="225" t="str">
        <f>IFERROR(INDEX(Data!CD$9:CD$1273,MATCH($M201,Data!$K$9:$K$1273,0)),"")</f>
        <v/>
      </c>
      <c r="AI201" s="225" t="str">
        <f>IFERROR(INDEX(Data!CE$9:CE$1273,MATCH($M201,Data!$K$9:$K$1273,0)),"")</f>
        <v/>
      </c>
      <c r="AJ201" s="225" t="str">
        <f>IFERROR(INDEX(Data!CF$9:CF$1273,MATCH($M201,Data!$K$9:$K$1273,0)),"")</f>
        <v/>
      </c>
      <c r="AK201" s="225" t="str">
        <f>IFERROR(INDEX(Data!CG$9:CG$1273,MATCH($M201,Data!$K$9:$K$1273,0)),"")</f>
        <v/>
      </c>
      <c r="AL201" s="225" t="str">
        <f>IFERROR(INDEX(Data!CH$9:CH$1273,MATCH($M201,Data!$K$9:$K$1273,0)),"")</f>
        <v/>
      </c>
      <c r="AM201" s="225" t="str">
        <f>IFERROR(INDEX(Data!CI$9:CI$1273,MATCH($M201,Data!$K$9:$K$1273,0)),"")</f>
        <v/>
      </c>
      <c r="AN201" s="225" t="str">
        <f>IFERROR(INDEX(Data!CJ$9:CJ$1273,MATCH($M201,Data!$K$9:$K$1273,0)),"")</f>
        <v/>
      </c>
      <c r="AO201" s="225" t="str">
        <f>IFERROR(INDEX(Data!CK$9:CK$1273,MATCH($M201,Data!$K$9:$K$1273,0)),"")</f>
        <v/>
      </c>
      <c r="AP201" s="225" t="str">
        <f>IFERROR(INDEX(Data!CL$9:CL$1273,MATCH($M201,Data!$K$9:$K$1273,0)),"")</f>
        <v/>
      </c>
      <c r="AQ201" s="225" t="str">
        <f>IFERROR(INDEX(Data!CM$9:CM$1273,MATCH($M201,Data!$K$9:$K$1273,0)),"")</f>
        <v/>
      </c>
      <c r="AR201" s="225" t="str">
        <f>IFERROR(INDEX(Data!CN$9:CN$1273,MATCH($M201,Data!$K$9:$K$1273,0)),"")</f>
        <v/>
      </c>
      <c r="AS201" s="225" t="str">
        <f>IFERROR(INDEX(Data!CO$9:CO$1273,MATCH($M201,Data!$K$9:$K$1273,0)),"")</f>
        <v/>
      </c>
      <c r="AT201" s="225" t="str">
        <f>IFERROR(INDEX(Data!CP$9:CP$1273,MATCH($M201,Data!$K$9:$K$1273,0)),"")</f>
        <v/>
      </c>
      <c r="AU201" s="225" t="str">
        <f>IFERROR(INDEX(Data!CQ$9:CQ$1273,MATCH($M201,Data!$K$9:$K$1273,0)),"")</f>
        <v/>
      </c>
      <c r="AV201" s="225" t="str">
        <f>IFERROR(INDEX(Data!CR$9:CR$1273,MATCH($M201,Data!$K$9:$K$1273,0)),"")</f>
        <v/>
      </c>
      <c r="AW201" s="225" t="str">
        <f>IFERROR(INDEX(Data!CS$9:CS$1273,MATCH($M201,Data!$K$9:$K$1273,0)),"")</f>
        <v/>
      </c>
      <c r="AX201" s="225" t="str">
        <f>IFERROR(INDEX(Data!CT$9:CT$1273,MATCH($M201,Data!$K$9:$K$1273,0)),"")</f>
        <v/>
      </c>
      <c r="AY201" s="225" t="str">
        <f>IFERROR(INDEX(Data!CU$9:CU$1273,MATCH($M201,Data!$K$9:$K$1273,0)),"")</f>
        <v/>
      </c>
      <c r="AZ201" s="225" t="str">
        <f>IFERROR(INDEX(Data!CV$9:CV$1273,MATCH($M201,Data!$K$9:$K$1273,0)),"")</f>
        <v/>
      </c>
      <c r="BA201" s="225" t="str">
        <f>IFERROR(INDEX(Data!CX$9:CX$1273,MATCH($M201,Data!$K$9:$K$1273,0)),"")</f>
        <v/>
      </c>
      <c r="BB201" s="225" t="str">
        <f>IFERROR(INDEX(Data!CY$9:CY$1273,MATCH($M201,Data!$K$9:$K$1273,0)),"")</f>
        <v/>
      </c>
      <c r="BC201" s="225" t="str">
        <f>IFERROR(INDEX(Data!CZ$9:CZ$1273,MATCH($M201,Data!$K$9:$K$1273,0)),"")</f>
        <v/>
      </c>
      <c r="BD201" s="225" t="str">
        <f>IFERROR(INDEX(Data!DA$9:DA$1273,MATCH($M201,Data!$K$9:$K$1273,0)),"")</f>
        <v/>
      </c>
      <c r="BE201" s="225" t="str">
        <f>IFERROR(INDEX(Data!DB$9:DB$1273,MATCH($M201,Data!$K$9:$K$1273,0)),"")</f>
        <v/>
      </c>
      <c r="BF201" s="225" t="str">
        <f>IFERROR(INDEX(Data!DC$9:DC$1273,MATCH($M201,Data!$K$9:$K$1273,0)),"")</f>
        <v/>
      </c>
      <c r="BG201" s="225" t="str">
        <f>IFERROR(INDEX(Data!DD$9:DD$1273,MATCH($M201,Data!$K$9:$K$1273,0)),"")</f>
        <v/>
      </c>
      <c r="BH201" s="225" t="str">
        <f>IFERROR(INDEX(Data!DE$9:DE$1273,MATCH($M201,Data!$K$9:$K$1273,0)),"")</f>
        <v/>
      </c>
      <c r="BI201" s="225" t="str">
        <f>IFERROR(INDEX(Data!DF$9:DF$1273,MATCH($M201,Data!$K$9:$K$1273,0)),"")</f>
        <v/>
      </c>
      <c r="BJ201" s="225" t="str">
        <f>IFERROR(INDEX(Data!DG$9:DG$1273,MATCH($M201,Data!$K$9:$K$1273,0)),"")</f>
        <v/>
      </c>
      <c r="BK201" s="225" t="str">
        <f>IFERROR(INDEX(Data!DH$9:DH$1273,MATCH($M201,Data!$K$9:$K$1273,0)),"")</f>
        <v/>
      </c>
      <c r="BL201" s="225" t="str">
        <f>IFERROR(INDEX(Data!DI$9:DI$1273,MATCH($M201,Data!$K$9:$K$1273,0)),"")</f>
        <v/>
      </c>
      <c r="BM201" s="225" t="str">
        <f>IFERROR(INDEX(Data!DJ$9:DJ$1273,MATCH($M201,Data!$K$9:$K$1273,0)),"")</f>
        <v/>
      </c>
      <c r="BN201" s="225" t="str">
        <f>IFERROR(INDEX(Data!DK$9:DK$1273,MATCH($M201,Data!$K$9:$K$1273,0)),"")</f>
        <v/>
      </c>
      <c r="BO201" s="225" t="str">
        <f>IFERROR(INDEX(Data!DL$9:DL$1273,MATCH($M201,Data!$K$9:$K$1273,0)),"")</f>
        <v/>
      </c>
      <c r="BP201" s="243" t="str">
        <f t="shared" si="23"/>
        <v/>
      </c>
      <c r="BQ201" s="225" t="str">
        <f t="shared" si="24"/>
        <v xml:space="preserve"> </v>
      </c>
      <c r="BR201" s="225" t="str">
        <f t="shared" si="25"/>
        <v/>
      </c>
      <c r="BS201" s="225" t="str">
        <f>IFERROR(INDEX(Data!$DO$9:$DO$1273,MATCH('Your recommendation'!BR201,Data!$DN$9:$DN$1273,0)),"")</f>
        <v/>
      </c>
    </row>
    <row r="202" spans="2:71" ht="15.6" customHeight="1">
      <c r="B202" s="222" t="str">
        <f t="shared" si="26"/>
        <v/>
      </c>
      <c r="C202" s="223"/>
      <c r="D202" s="225" t="str">
        <f>IFERROR(INDEX(Data!BR$9:BR$1273,MATCH($M202,Data!$K$9:$K$1273,0)),"")</f>
        <v/>
      </c>
      <c r="E202" s="225" t="str">
        <f>IFERROR(INDEX(Data!BS$9:BS$1273,MATCH($M202,Data!$K$9:$K$1273,0)),"")</f>
        <v/>
      </c>
      <c r="F202" s="225" t="str">
        <f>IFERROR(INDEX(Data!DM$9:DM$1273,MATCH($M202,Data!$K$9:$K$1273,0)),"")</f>
        <v/>
      </c>
      <c r="G202" s="225" t="str">
        <f>IFERROR(INDEX(Data!BV$9:BV$1273,MATCH($M202,Data!$K$9:$K$1273,0)),"")</f>
        <v/>
      </c>
      <c r="H202" s="225" t="str">
        <f>IFERROR(INDEX(Data!BW$9:BW$1273,MATCH($M202,Data!$K$9:$K$1273,0)),"")</f>
        <v/>
      </c>
      <c r="I202" s="225" t="str">
        <f>IFERROR(INDEX(Data!BX$9:BX$1273,MATCH($M202,Data!$K$9:$K$1273,0)),"")</f>
        <v/>
      </c>
      <c r="J202" s="225" t="str">
        <f>IFERROR(INDEX(Data!CB$9:CB$1273,MATCH($M202,Data!$K$9:$K$1273,0)),"")</f>
        <v/>
      </c>
      <c r="K202" s="241" t="str">
        <f t="shared" si="21"/>
        <v/>
      </c>
      <c r="L202" s="242" t="str">
        <f t="shared" si="22"/>
        <v/>
      </c>
      <c r="M202" s="224"/>
      <c r="N202" s="224"/>
      <c r="O202" s="224" t="str">
        <f>IFERROR(INDEX(Data!M$9:M$1273,MATCH($M202,Data!$K$9:$K$1273,0)),"")</f>
        <v/>
      </c>
      <c r="P202" s="224" t="str">
        <f>IFERROR(INDEX(Data!N$9:N$1273,MATCH($M202,Data!$K$9:$K$1273,0)),"")</f>
        <v/>
      </c>
      <c r="Q202" s="224" t="str">
        <f>IFERROR(INDEX(Data!O$9:O$1273,MATCH($M202,Data!$K$9:$K$1273,0)),"")</f>
        <v/>
      </c>
      <c r="R202" s="224" t="str">
        <f>IFERROR(INDEX(Data!P$9:P$1273,MATCH($M202,Data!$K$9:$K$1273,0)),"")</f>
        <v/>
      </c>
      <c r="S202" s="224" t="str">
        <f>IFERROR(INDEX(Data!S$9:S$1273,MATCH($M202,Data!$K$9:$K$1273,0)),"")</f>
        <v/>
      </c>
      <c r="T202" s="224" t="str">
        <f>IFERROR(INDEX(Data!T$9:T$1273,MATCH($M202,Data!$K$9:$K$1273,0)),"")</f>
        <v/>
      </c>
      <c r="U202" s="224" t="str">
        <f>IFERROR(INDEX(Data!U$9:U$1273,MATCH($M202,Data!$K$9:$K$1273,0)),"")</f>
        <v/>
      </c>
      <c r="V202" s="224" t="str">
        <f>IFERROR(INDEX(Data!V$9:V$1273,MATCH($M202,Data!$K$9:$K$1273,0)),"")</f>
        <v/>
      </c>
      <c r="W202" s="224" t="str">
        <f>IFERROR(INDEX(Data!W$9:W$1273,MATCH($M202,Data!$K$9:$K$1273,0)),"")</f>
        <v/>
      </c>
      <c r="X202" s="224" t="str">
        <f>IFERROR(INDEX(Data!AJ$9:AJ$1273,MATCH($M202,Data!$K$9:$K$1273,0)),"")</f>
        <v/>
      </c>
      <c r="Y202" s="224" t="str">
        <f>IFERROR(INDEX(Data!AK$9:AK$1273,MATCH($M202,Data!$K$9:$K$1273,0)),"")</f>
        <v/>
      </c>
      <c r="Z202" s="224" t="str">
        <f>IFERROR(INDEX(Data!AL$9:AL$1273,MATCH($M202,Data!$K$9:$K$1273,0)),"")</f>
        <v/>
      </c>
      <c r="AA202" s="224" t="str">
        <f>IFERROR(INDEX(Data!AM$9:AM$1273,MATCH($M202,Data!$K$9:$K$1273,0)),"")</f>
        <v/>
      </c>
      <c r="AB202" s="224" t="str">
        <f>IFERROR(INDEX(Data!AN$9:AN$1273,MATCH($M202,Data!$K$9:$K$1273,0)),"")</f>
        <v/>
      </c>
      <c r="AC202" s="225" t="str">
        <f>IFERROR(INDEX(Data!BY$9:BY$1273,MATCH($M202,Data!$K$9:$K$1273,0)),"")</f>
        <v/>
      </c>
      <c r="AD202" s="225" t="str">
        <f>IFERROR(INDEX(Data!BZ$9:BZ$1273,MATCH($M202,Data!$K$9:$K$1273,0)),"")</f>
        <v/>
      </c>
      <c r="AE202" s="225" t="str">
        <f>IFERROR(INDEX(Data!CA$9:CA$1273,MATCH($M202,Data!$K$9:$K$1273,0)),"")</f>
        <v/>
      </c>
      <c r="AF202" s="225" t="str">
        <f>IFERROR(INDEX(Data!CB$9:CB$1273,MATCH($M202,Data!$K$9:$K$1273,0)),"")</f>
        <v/>
      </c>
      <c r="AG202" s="225" t="str">
        <f>IFERROR(INDEX(Data!CC$9:CC$1273,MATCH($M202,Data!$K$9:$K$1273,0)),"")</f>
        <v/>
      </c>
      <c r="AH202" s="225" t="str">
        <f>IFERROR(INDEX(Data!CD$9:CD$1273,MATCH($M202,Data!$K$9:$K$1273,0)),"")</f>
        <v/>
      </c>
      <c r="AI202" s="225" t="str">
        <f>IFERROR(INDEX(Data!CE$9:CE$1273,MATCH($M202,Data!$K$9:$K$1273,0)),"")</f>
        <v/>
      </c>
      <c r="AJ202" s="225" t="str">
        <f>IFERROR(INDEX(Data!CF$9:CF$1273,MATCH($M202,Data!$K$9:$K$1273,0)),"")</f>
        <v/>
      </c>
      <c r="AK202" s="225" t="str">
        <f>IFERROR(INDEX(Data!CG$9:CG$1273,MATCH($M202,Data!$K$9:$K$1273,0)),"")</f>
        <v/>
      </c>
      <c r="AL202" s="225" t="str">
        <f>IFERROR(INDEX(Data!CH$9:CH$1273,MATCH($M202,Data!$K$9:$K$1273,0)),"")</f>
        <v/>
      </c>
      <c r="AM202" s="225" t="str">
        <f>IFERROR(INDEX(Data!CI$9:CI$1273,MATCH($M202,Data!$K$9:$K$1273,0)),"")</f>
        <v/>
      </c>
      <c r="AN202" s="225" t="str">
        <f>IFERROR(INDEX(Data!CJ$9:CJ$1273,MATCH($M202,Data!$K$9:$K$1273,0)),"")</f>
        <v/>
      </c>
      <c r="AO202" s="225" t="str">
        <f>IFERROR(INDEX(Data!CK$9:CK$1273,MATCH($M202,Data!$K$9:$K$1273,0)),"")</f>
        <v/>
      </c>
      <c r="AP202" s="225" t="str">
        <f>IFERROR(INDEX(Data!CL$9:CL$1273,MATCH($M202,Data!$K$9:$K$1273,0)),"")</f>
        <v/>
      </c>
      <c r="AQ202" s="225" t="str">
        <f>IFERROR(INDEX(Data!CM$9:CM$1273,MATCH($M202,Data!$K$9:$K$1273,0)),"")</f>
        <v/>
      </c>
      <c r="AR202" s="225" t="str">
        <f>IFERROR(INDEX(Data!CN$9:CN$1273,MATCH($M202,Data!$K$9:$K$1273,0)),"")</f>
        <v/>
      </c>
      <c r="AS202" s="225" t="str">
        <f>IFERROR(INDEX(Data!CO$9:CO$1273,MATCH($M202,Data!$K$9:$K$1273,0)),"")</f>
        <v/>
      </c>
      <c r="AT202" s="225" t="str">
        <f>IFERROR(INDEX(Data!CP$9:CP$1273,MATCH($M202,Data!$K$9:$K$1273,0)),"")</f>
        <v/>
      </c>
      <c r="AU202" s="225" t="str">
        <f>IFERROR(INDEX(Data!CQ$9:CQ$1273,MATCH($M202,Data!$K$9:$K$1273,0)),"")</f>
        <v/>
      </c>
      <c r="AV202" s="225" t="str">
        <f>IFERROR(INDEX(Data!CR$9:CR$1273,MATCH($M202,Data!$K$9:$K$1273,0)),"")</f>
        <v/>
      </c>
      <c r="AW202" s="225" t="str">
        <f>IFERROR(INDEX(Data!CS$9:CS$1273,MATCH($M202,Data!$K$9:$K$1273,0)),"")</f>
        <v/>
      </c>
      <c r="AX202" s="225" t="str">
        <f>IFERROR(INDEX(Data!CT$9:CT$1273,MATCH($M202,Data!$K$9:$K$1273,0)),"")</f>
        <v/>
      </c>
      <c r="AY202" s="225" t="str">
        <f>IFERROR(INDEX(Data!CU$9:CU$1273,MATCH($M202,Data!$K$9:$K$1273,0)),"")</f>
        <v/>
      </c>
      <c r="AZ202" s="225" t="str">
        <f>IFERROR(INDEX(Data!CV$9:CV$1273,MATCH($M202,Data!$K$9:$K$1273,0)),"")</f>
        <v/>
      </c>
      <c r="BA202" s="225" t="str">
        <f>IFERROR(INDEX(Data!CX$9:CX$1273,MATCH($M202,Data!$K$9:$K$1273,0)),"")</f>
        <v/>
      </c>
      <c r="BB202" s="225" t="str">
        <f>IFERROR(INDEX(Data!CY$9:CY$1273,MATCH($M202,Data!$K$9:$K$1273,0)),"")</f>
        <v/>
      </c>
      <c r="BC202" s="225" t="str">
        <f>IFERROR(INDEX(Data!CZ$9:CZ$1273,MATCH($M202,Data!$K$9:$K$1273,0)),"")</f>
        <v/>
      </c>
      <c r="BD202" s="225" t="str">
        <f>IFERROR(INDEX(Data!DA$9:DA$1273,MATCH($M202,Data!$K$9:$K$1273,0)),"")</f>
        <v/>
      </c>
      <c r="BE202" s="225" t="str">
        <f>IFERROR(INDEX(Data!DB$9:DB$1273,MATCH($M202,Data!$K$9:$K$1273,0)),"")</f>
        <v/>
      </c>
      <c r="BF202" s="225" t="str">
        <f>IFERROR(INDEX(Data!DC$9:DC$1273,MATCH($M202,Data!$K$9:$K$1273,0)),"")</f>
        <v/>
      </c>
      <c r="BG202" s="225" t="str">
        <f>IFERROR(INDEX(Data!DD$9:DD$1273,MATCH($M202,Data!$K$9:$K$1273,0)),"")</f>
        <v/>
      </c>
      <c r="BH202" s="225" t="str">
        <f>IFERROR(INDEX(Data!DE$9:DE$1273,MATCH($M202,Data!$K$9:$K$1273,0)),"")</f>
        <v/>
      </c>
      <c r="BI202" s="225" t="str">
        <f>IFERROR(INDEX(Data!DF$9:DF$1273,MATCH($M202,Data!$K$9:$K$1273,0)),"")</f>
        <v/>
      </c>
      <c r="BJ202" s="225" t="str">
        <f>IFERROR(INDEX(Data!DG$9:DG$1273,MATCH($M202,Data!$K$9:$K$1273,0)),"")</f>
        <v/>
      </c>
      <c r="BK202" s="225" t="str">
        <f>IFERROR(INDEX(Data!DH$9:DH$1273,MATCH($M202,Data!$K$9:$K$1273,0)),"")</f>
        <v/>
      </c>
      <c r="BL202" s="225" t="str">
        <f>IFERROR(INDEX(Data!DI$9:DI$1273,MATCH($M202,Data!$K$9:$K$1273,0)),"")</f>
        <v/>
      </c>
      <c r="BM202" s="225" t="str">
        <f>IFERROR(INDEX(Data!DJ$9:DJ$1273,MATCH($M202,Data!$K$9:$K$1273,0)),"")</f>
        <v/>
      </c>
      <c r="BN202" s="225" t="str">
        <f>IFERROR(INDEX(Data!DK$9:DK$1273,MATCH($M202,Data!$K$9:$K$1273,0)),"")</f>
        <v/>
      </c>
      <c r="BO202" s="225" t="str">
        <f>IFERROR(INDEX(Data!DL$9:DL$1273,MATCH($M202,Data!$K$9:$K$1273,0)),"")</f>
        <v/>
      </c>
      <c r="BP202" s="243" t="str">
        <f t="shared" si="23"/>
        <v/>
      </c>
      <c r="BQ202" s="225" t="str">
        <f t="shared" si="24"/>
        <v xml:space="preserve"> </v>
      </c>
      <c r="BR202" s="225" t="str">
        <f t="shared" si="25"/>
        <v/>
      </c>
      <c r="BS202" s="225" t="str">
        <f>IFERROR(INDEX(Data!$DO$9:$DO$1273,MATCH('Your recommendation'!BR202,Data!$DN$9:$DN$1273,0)),"")</f>
        <v/>
      </c>
    </row>
    <row r="203" spans="2:71" ht="15.6" customHeight="1">
      <c r="B203" s="222" t="str">
        <f t="shared" si="26"/>
        <v/>
      </c>
      <c r="C203" s="223"/>
      <c r="D203" s="225" t="str">
        <f>IFERROR(INDEX(Data!BR$9:BR$1273,MATCH($M203,Data!$K$9:$K$1273,0)),"")</f>
        <v/>
      </c>
      <c r="E203" s="225" t="str">
        <f>IFERROR(INDEX(Data!BS$9:BS$1273,MATCH($M203,Data!$K$9:$K$1273,0)),"")</f>
        <v/>
      </c>
      <c r="F203" s="225" t="str">
        <f>IFERROR(INDEX(Data!DM$9:DM$1273,MATCH($M203,Data!$K$9:$K$1273,0)),"")</f>
        <v/>
      </c>
      <c r="G203" s="225" t="str">
        <f>IFERROR(INDEX(Data!BV$9:BV$1273,MATCH($M203,Data!$K$9:$K$1273,0)),"")</f>
        <v/>
      </c>
      <c r="H203" s="225" t="str">
        <f>IFERROR(INDEX(Data!BW$9:BW$1273,MATCH($M203,Data!$K$9:$K$1273,0)),"")</f>
        <v/>
      </c>
      <c r="I203" s="225" t="str">
        <f>IFERROR(INDEX(Data!BX$9:BX$1273,MATCH($M203,Data!$K$9:$K$1273,0)),"")</f>
        <v/>
      </c>
      <c r="J203" s="225" t="str">
        <f>IFERROR(INDEX(Data!CB$9:CB$1273,MATCH($M203,Data!$K$9:$K$1273,0)),"")</f>
        <v/>
      </c>
      <c r="K203" s="241" t="str">
        <f t="shared" ref="K203:K221" si="27">IFERROR(HYPERLINK(BM203,BC203),"-")</f>
        <v/>
      </c>
      <c r="L203" s="242" t="str">
        <f t="shared" ref="L203:L221" si="28">IFERROR(IF(BB203=0,"-",BB203)," ")</f>
        <v/>
      </c>
      <c r="M203" s="224"/>
      <c r="N203" s="224"/>
      <c r="O203" s="224" t="str">
        <f>IFERROR(INDEX(Data!M$9:M$1273,MATCH($M203,Data!$K$9:$K$1273,0)),"")</f>
        <v/>
      </c>
      <c r="P203" s="224" t="str">
        <f>IFERROR(INDEX(Data!N$9:N$1273,MATCH($M203,Data!$K$9:$K$1273,0)),"")</f>
        <v/>
      </c>
      <c r="Q203" s="224" t="str">
        <f>IFERROR(INDEX(Data!O$9:O$1273,MATCH($M203,Data!$K$9:$K$1273,0)),"")</f>
        <v/>
      </c>
      <c r="R203" s="224" t="str">
        <f>IFERROR(INDEX(Data!P$9:P$1273,MATCH($M203,Data!$K$9:$K$1273,0)),"")</f>
        <v/>
      </c>
      <c r="S203" s="224" t="str">
        <f>IFERROR(INDEX(Data!S$9:S$1273,MATCH($M203,Data!$K$9:$K$1273,0)),"")</f>
        <v/>
      </c>
      <c r="T203" s="224" t="str">
        <f>IFERROR(INDEX(Data!T$9:T$1273,MATCH($M203,Data!$K$9:$K$1273,0)),"")</f>
        <v/>
      </c>
      <c r="U203" s="224" t="str">
        <f>IFERROR(INDEX(Data!U$9:U$1273,MATCH($M203,Data!$K$9:$K$1273,0)),"")</f>
        <v/>
      </c>
      <c r="V203" s="224" t="str">
        <f>IFERROR(INDEX(Data!V$9:V$1273,MATCH($M203,Data!$K$9:$K$1273,0)),"")</f>
        <v/>
      </c>
      <c r="W203" s="224" t="str">
        <f>IFERROR(INDEX(Data!W$9:W$1273,MATCH($M203,Data!$K$9:$K$1273,0)),"")</f>
        <v/>
      </c>
      <c r="X203" s="224" t="str">
        <f>IFERROR(INDEX(Data!AJ$9:AJ$1273,MATCH($M203,Data!$K$9:$K$1273,0)),"")</f>
        <v/>
      </c>
      <c r="Y203" s="224" t="str">
        <f>IFERROR(INDEX(Data!AK$9:AK$1273,MATCH($M203,Data!$K$9:$K$1273,0)),"")</f>
        <v/>
      </c>
      <c r="Z203" s="224" t="str">
        <f>IFERROR(INDEX(Data!AL$9:AL$1273,MATCH($M203,Data!$K$9:$K$1273,0)),"")</f>
        <v/>
      </c>
      <c r="AA203" s="224" t="str">
        <f>IFERROR(INDEX(Data!AM$9:AM$1273,MATCH($M203,Data!$K$9:$K$1273,0)),"")</f>
        <v/>
      </c>
      <c r="AB203" s="224" t="str">
        <f>IFERROR(INDEX(Data!AN$9:AN$1273,MATCH($M203,Data!$K$9:$K$1273,0)),"")</f>
        <v/>
      </c>
      <c r="AC203" s="225" t="str">
        <f>IFERROR(INDEX(Data!BY$9:BY$1273,MATCH($M203,Data!$K$9:$K$1273,0)),"")</f>
        <v/>
      </c>
      <c r="AD203" s="225" t="str">
        <f>IFERROR(INDEX(Data!BZ$9:BZ$1273,MATCH($M203,Data!$K$9:$K$1273,0)),"")</f>
        <v/>
      </c>
      <c r="AE203" s="225" t="str">
        <f>IFERROR(INDEX(Data!CA$9:CA$1273,MATCH($M203,Data!$K$9:$K$1273,0)),"")</f>
        <v/>
      </c>
      <c r="AF203" s="225" t="str">
        <f>IFERROR(INDEX(Data!CB$9:CB$1273,MATCH($M203,Data!$K$9:$K$1273,0)),"")</f>
        <v/>
      </c>
      <c r="AG203" s="225" t="str">
        <f>IFERROR(INDEX(Data!CC$9:CC$1273,MATCH($M203,Data!$K$9:$K$1273,0)),"")</f>
        <v/>
      </c>
      <c r="AH203" s="225" t="str">
        <f>IFERROR(INDEX(Data!CD$9:CD$1273,MATCH($M203,Data!$K$9:$K$1273,0)),"")</f>
        <v/>
      </c>
      <c r="AI203" s="225" t="str">
        <f>IFERROR(INDEX(Data!CE$9:CE$1273,MATCH($M203,Data!$K$9:$K$1273,0)),"")</f>
        <v/>
      </c>
      <c r="AJ203" s="225" t="str">
        <f>IFERROR(INDEX(Data!CF$9:CF$1273,MATCH($M203,Data!$K$9:$K$1273,0)),"")</f>
        <v/>
      </c>
      <c r="AK203" s="225" t="str">
        <f>IFERROR(INDEX(Data!CG$9:CG$1273,MATCH($M203,Data!$K$9:$K$1273,0)),"")</f>
        <v/>
      </c>
      <c r="AL203" s="225" t="str">
        <f>IFERROR(INDEX(Data!CH$9:CH$1273,MATCH($M203,Data!$K$9:$K$1273,0)),"")</f>
        <v/>
      </c>
      <c r="AM203" s="225" t="str">
        <f>IFERROR(INDEX(Data!CI$9:CI$1273,MATCH($M203,Data!$K$9:$K$1273,0)),"")</f>
        <v/>
      </c>
      <c r="AN203" s="225" t="str">
        <f>IFERROR(INDEX(Data!CJ$9:CJ$1273,MATCH($M203,Data!$K$9:$K$1273,0)),"")</f>
        <v/>
      </c>
      <c r="AO203" s="225" t="str">
        <f>IFERROR(INDEX(Data!CK$9:CK$1273,MATCH($M203,Data!$K$9:$K$1273,0)),"")</f>
        <v/>
      </c>
      <c r="AP203" s="225" t="str">
        <f>IFERROR(INDEX(Data!CL$9:CL$1273,MATCH($M203,Data!$K$9:$K$1273,0)),"")</f>
        <v/>
      </c>
      <c r="AQ203" s="225" t="str">
        <f>IFERROR(INDEX(Data!CM$9:CM$1273,MATCH($M203,Data!$K$9:$K$1273,0)),"")</f>
        <v/>
      </c>
      <c r="AR203" s="225" t="str">
        <f>IFERROR(INDEX(Data!CN$9:CN$1273,MATCH($M203,Data!$K$9:$K$1273,0)),"")</f>
        <v/>
      </c>
      <c r="AS203" s="225" t="str">
        <f>IFERROR(INDEX(Data!CO$9:CO$1273,MATCH($M203,Data!$K$9:$K$1273,0)),"")</f>
        <v/>
      </c>
      <c r="AT203" s="225" t="str">
        <f>IFERROR(INDEX(Data!CP$9:CP$1273,MATCH($M203,Data!$K$9:$K$1273,0)),"")</f>
        <v/>
      </c>
      <c r="AU203" s="225" t="str">
        <f>IFERROR(INDEX(Data!CQ$9:CQ$1273,MATCH($M203,Data!$K$9:$K$1273,0)),"")</f>
        <v/>
      </c>
      <c r="AV203" s="225" t="str">
        <f>IFERROR(INDEX(Data!CR$9:CR$1273,MATCH($M203,Data!$K$9:$K$1273,0)),"")</f>
        <v/>
      </c>
      <c r="AW203" s="225" t="str">
        <f>IFERROR(INDEX(Data!CS$9:CS$1273,MATCH($M203,Data!$K$9:$K$1273,0)),"")</f>
        <v/>
      </c>
      <c r="AX203" s="225" t="str">
        <f>IFERROR(INDEX(Data!CT$9:CT$1273,MATCH($M203,Data!$K$9:$K$1273,0)),"")</f>
        <v/>
      </c>
      <c r="AY203" s="225" t="str">
        <f>IFERROR(INDEX(Data!CU$9:CU$1273,MATCH($M203,Data!$K$9:$K$1273,0)),"")</f>
        <v/>
      </c>
      <c r="AZ203" s="225" t="str">
        <f>IFERROR(INDEX(Data!CV$9:CV$1273,MATCH($M203,Data!$K$9:$K$1273,0)),"")</f>
        <v/>
      </c>
      <c r="BA203" s="225" t="str">
        <f>IFERROR(INDEX(Data!CX$9:CX$1273,MATCH($M203,Data!$K$9:$K$1273,0)),"")</f>
        <v/>
      </c>
      <c r="BB203" s="225" t="str">
        <f>IFERROR(INDEX(Data!CY$9:CY$1273,MATCH($M203,Data!$K$9:$K$1273,0)),"")</f>
        <v/>
      </c>
      <c r="BC203" s="225" t="str">
        <f>IFERROR(INDEX(Data!CZ$9:CZ$1273,MATCH($M203,Data!$K$9:$K$1273,0)),"")</f>
        <v/>
      </c>
      <c r="BD203" s="225" t="str">
        <f>IFERROR(INDEX(Data!DA$9:DA$1273,MATCH($M203,Data!$K$9:$K$1273,0)),"")</f>
        <v/>
      </c>
      <c r="BE203" s="225" t="str">
        <f>IFERROR(INDEX(Data!DB$9:DB$1273,MATCH($M203,Data!$K$9:$K$1273,0)),"")</f>
        <v/>
      </c>
      <c r="BF203" s="225" t="str">
        <f>IFERROR(INDEX(Data!DC$9:DC$1273,MATCH($M203,Data!$K$9:$K$1273,0)),"")</f>
        <v/>
      </c>
      <c r="BG203" s="225" t="str">
        <f>IFERROR(INDEX(Data!DD$9:DD$1273,MATCH($M203,Data!$K$9:$K$1273,0)),"")</f>
        <v/>
      </c>
      <c r="BH203" s="225" t="str">
        <f>IFERROR(INDEX(Data!DE$9:DE$1273,MATCH($M203,Data!$K$9:$K$1273,0)),"")</f>
        <v/>
      </c>
      <c r="BI203" s="225" t="str">
        <f>IFERROR(INDEX(Data!DF$9:DF$1273,MATCH($M203,Data!$K$9:$K$1273,0)),"")</f>
        <v/>
      </c>
      <c r="BJ203" s="225" t="str">
        <f>IFERROR(INDEX(Data!DG$9:DG$1273,MATCH($M203,Data!$K$9:$K$1273,0)),"")</f>
        <v/>
      </c>
      <c r="BK203" s="225" t="str">
        <f>IFERROR(INDEX(Data!DH$9:DH$1273,MATCH($M203,Data!$K$9:$K$1273,0)),"")</f>
        <v/>
      </c>
      <c r="BL203" s="225" t="str">
        <f>IFERROR(INDEX(Data!DI$9:DI$1273,MATCH($M203,Data!$K$9:$K$1273,0)),"")</f>
        <v/>
      </c>
      <c r="BM203" s="225" t="str">
        <f>IFERROR(INDEX(Data!DJ$9:DJ$1273,MATCH($M203,Data!$K$9:$K$1273,0)),"")</f>
        <v/>
      </c>
      <c r="BN203" s="225" t="str">
        <f>IFERROR(INDEX(Data!DK$9:DK$1273,MATCH($M203,Data!$K$9:$K$1273,0)),"")</f>
        <v/>
      </c>
      <c r="BO203" s="225" t="str">
        <f>IFERROR(INDEX(Data!DL$9:DL$1273,MATCH($M203,Data!$K$9:$K$1273,0)),"")</f>
        <v/>
      </c>
      <c r="BP203" s="243" t="str">
        <f t="shared" ref="BP203:BP221" si="29">IFERROR(IF(BK203=0,"-",BK203),"")</f>
        <v/>
      </c>
      <c r="BQ203" s="225" t="str">
        <f t="shared" ref="BQ203:BQ234" si="30">IFERROR(IF(BP203-K203&gt;0,TRUE,FALSE)," ")</f>
        <v xml:space="preserve"> </v>
      </c>
      <c r="BR203" s="225" t="str">
        <f t="shared" ref="BR203:BR221" si="31">_xlfn.CONCAT(E203,F203,H203,G203)</f>
        <v/>
      </c>
      <c r="BS203" s="225" t="str">
        <f>IFERROR(INDEX(Data!$DO$9:$DO$1273,MATCH('Your recommendation'!BR203,Data!$DN$9:$DN$1273,0)),"")</f>
        <v/>
      </c>
    </row>
    <row r="204" spans="2:71" ht="15.6" customHeight="1">
      <c r="B204" s="222" t="str">
        <f t="shared" ref="B204:B235" si="32">IF(C204&gt;0,B203+1,"")</f>
        <v/>
      </c>
      <c r="C204" s="223"/>
      <c r="D204" s="225" t="str">
        <f>IFERROR(INDEX(Data!BR$9:BR$1273,MATCH($M204,Data!$K$9:$K$1273,0)),"")</f>
        <v/>
      </c>
      <c r="E204" s="225" t="str">
        <f>IFERROR(INDEX(Data!BS$9:BS$1273,MATCH($M204,Data!$K$9:$K$1273,0)),"")</f>
        <v/>
      </c>
      <c r="F204" s="225" t="str">
        <f>IFERROR(INDEX(Data!DM$9:DM$1273,MATCH($M204,Data!$K$9:$K$1273,0)),"")</f>
        <v/>
      </c>
      <c r="G204" s="225" t="str">
        <f>IFERROR(INDEX(Data!BV$9:BV$1273,MATCH($M204,Data!$K$9:$K$1273,0)),"")</f>
        <v/>
      </c>
      <c r="H204" s="225" t="str">
        <f>IFERROR(INDEX(Data!BW$9:BW$1273,MATCH($M204,Data!$K$9:$K$1273,0)),"")</f>
        <v/>
      </c>
      <c r="I204" s="225" t="str">
        <f>IFERROR(INDEX(Data!BX$9:BX$1273,MATCH($M204,Data!$K$9:$K$1273,0)),"")</f>
        <v/>
      </c>
      <c r="J204" s="225" t="str">
        <f>IFERROR(INDEX(Data!CB$9:CB$1273,MATCH($M204,Data!$K$9:$K$1273,0)),"")</f>
        <v/>
      </c>
      <c r="K204" s="241" t="str">
        <f t="shared" si="27"/>
        <v/>
      </c>
      <c r="L204" s="242" t="str">
        <f t="shared" si="28"/>
        <v/>
      </c>
      <c r="M204" s="224"/>
      <c r="N204" s="224"/>
      <c r="O204" s="224" t="str">
        <f>IFERROR(INDEX(Data!M$9:M$1273,MATCH($M204,Data!$K$9:$K$1273,0)),"")</f>
        <v/>
      </c>
      <c r="P204" s="224" t="str">
        <f>IFERROR(INDEX(Data!N$9:N$1273,MATCH($M204,Data!$K$9:$K$1273,0)),"")</f>
        <v/>
      </c>
      <c r="Q204" s="224" t="str">
        <f>IFERROR(INDEX(Data!O$9:O$1273,MATCH($M204,Data!$K$9:$K$1273,0)),"")</f>
        <v/>
      </c>
      <c r="R204" s="224" t="str">
        <f>IFERROR(INDEX(Data!P$9:P$1273,MATCH($M204,Data!$K$9:$K$1273,0)),"")</f>
        <v/>
      </c>
      <c r="S204" s="224" t="str">
        <f>IFERROR(INDEX(Data!S$9:S$1273,MATCH($M204,Data!$K$9:$K$1273,0)),"")</f>
        <v/>
      </c>
      <c r="T204" s="224" t="str">
        <f>IFERROR(INDEX(Data!T$9:T$1273,MATCH($M204,Data!$K$9:$K$1273,0)),"")</f>
        <v/>
      </c>
      <c r="U204" s="224" t="str">
        <f>IFERROR(INDEX(Data!U$9:U$1273,MATCH($M204,Data!$K$9:$K$1273,0)),"")</f>
        <v/>
      </c>
      <c r="V204" s="224" t="str">
        <f>IFERROR(INDEX(Data!V$9:V$1273,MATCH($M204,Data!$K$9:$K$1273,0)),"")</f>
        <v/>
      </c>
      <c r="W204" s="224" t="str">
        <f>IFERROR(INDEX(Data!W$9:W$1273,MATCH($M204,Data!$K$9:$K$1273,0)),"")</f>
        <v/>
      </c>
      <c r="X204" s="224" t="str">
        <f>IFERROR(INDEX(Data!AJ$9:AJ$1273,MATCH($M204,Data!$K$9:$K$1273,0)),"")</f>
        <v/>
      </c>
      <c r="Y204" s="224" t="str">
        <f>IFERROR(INDEX(Data!AK$9:AK$1273,MATCH($M204,Data!$K$9:$K$1273,0)),"")</f>
        <v/>
      </c>
      <c r="Z204" s="224" t="str">
        <f>IFERROR(INDEX(Data!AL$9:AL$1273,MATCH($M204,Data!$K$9:$K$1273,0)),"")</f>
        <v/>
      </c>
      <c r="AA204" s="224" t="str">
        <f>IFERROR(INDEX(Data!AM$9:AM$1273,MATCH($M204,Data!$K$9:$K$1273,0)),"")</f>
        <v/>
      </c>
      <c r="AB204" s="224" t="str">
        <f>IFERROR(INDEX(Data!AN$9:AN$1273,MATCH($M204,Data!$K$9:$K$1273,0)),"")</f>
        <v/>
      </c>
      <c r="AC204" s="225" t="str">
        <f>IFERROR(INDEX(Data!BY$9:BY$1273,MATCH($M204,Data!$K$9:$K$1273,0)),"")</f>
        <v/>
      </c>
      <c r="AD204" s="225" t="str">
        <f>IFERROR(INDEX(Data!BZ$9:BZ$1273,MATCH($M204,Data!$K$9:$K$1273,0)),"")</f>
        <v/>
      </c>
      <c r="AE204" s="225" t="str">
        <f>IFERROR(INDEX(Data!CA$9:CA$1273,MATCH($M204,Data!$K$9:$K$1273,0)),"")</f>
        <v/>
      </c>
      <c r="AF204" s="225" t="str">
        <f>IFERROR(INDEX(Data!CB$9:CB$1273,MATCH($M204,Data!$K$9:$K$1273,0)),"")</f>
        <v/>
      </c>
      <c r="AG204" s="225" t="str">
        <f>IFERROR(INDEX(Data!CC$9:CC$1273,MATCH($M204,Data!$K$9:$K$1273,0)),"")</f>
        <v/>
      </c>
      <c r="AH204" s="225" t="str">
        <f>IFERROR(INDEX(Data!CD$9:CD$1273,MATCH($M204,Data!$K$9:$K$1273,0)),"")</f>
        <v/>
      </c>
      <c r="AI204" s="225" t="str">
        <f>IFERROR(INDEX(Data!CE$9:CE$1273,MATCH($M204,Data!$K$9:$K$1273,0)),"")</f>
        <v/>
      </c>
      <c r="AJ204" s="225" t="str">
        <f>IFERROR(INDEX(Data!CF$9:CF$1273,MATCH($M204,Data!$K$9:$K$1273,0)),"")</f>
        <v/>
      </c>
      <c r="AK204" s="225" t="str">
        <f>IFERROR(INDEX(Data!CG$9:CG$1273,MATCH($M204,Data!$K$9:$K$1273,0)),"")</f>
        <v/>
      </c>
      <c r="AL204" s="225" t="str">
        <f>IFERROR(INDEX(Data!CH$9:CH$1273,MATCH($M204,Data!$K$9:$K$1273,0)),"")</f>
        <v/>
      </c>
      <c r="AM204" s="225" t="str">
        <f>IFERROR(INDEX(Data!CI$9:CI$1273,MATCH($M204,Data!$K$9:$K$1273,0)),"")</f>
        <v/>
      </c>
      <c r="AN204" s="225" t="str">
        <f>IFERROR(INDEX(Data!CJ$9:CJ$1273,MATCH($M204,Data!$K$9:$K$1273,0)),"")</f>
        <v/>
      </c>
      <c r="AO204" s="225" t="str">
        <f>IFERROR(INDEX(Data!CK$9:CK$1273,MATCH($M204,Data!$K$9:$K$1273,0)),"")</f>
        <v/>
      </c>
      <c r="AP204" s="225" t="str">
        <f>IFERROR(INDEX(Data!CL$9:CL$1273,MATCH($M204,Data!$K$9:$K$1273,0)),"")</f>
        <v/>
      </c>
      <c r="AQ204" s="225" t="str">
        <f>IFERROR(INDEX(Data!CM$9:CM$1273,MATCH($M204,Data!$K$9:$K$1273,0)),"")</f>
        <v/>
      </c>
      <c r="AR204" s="225" t="str">
        <f>IFERROR(INDEX(Data!CN$9:CN$1273,MATCH($M204,Data!$K$9:$K$1273,0)),"")</f>
        <v/>
      </c>
      <c r="AS204" s="225" t="str">
        <f>IFERROR(INDEX(Data!CO$9:CO$1273,MATCH($M204,Data!$K$9:$K$1273,0)),"")</f>
        <v/>
      </c>
      <c r="AT204" s="225" t="str">
        <f>IFERROR(INDEX(Data!CP$9:CP$1273,MATCH($M204,Data!$K$9:$K$1273,0)),"")</f>
        <v/>
      </c>
      <c r="AU204" s="225" t="str">
        <f>IFERROR(INDEX(Data!CQ$9:CQ$1273,MATCH($M204,Data!$K$9:$K$1273,0)),"")</f>
        <v/>
      </c>
      <c r="AV204" s="225" t="str">
        <f>IFERROR(INDEX(Data!CR$9:CR$1273,MATCH($M204,Data!$K$9:$K$1273,0)),"")</f>
        <v/>
      </c>
      <c r="AW204" s="225" t="str">
        <f>IFERROR(INDEX(Data!CS$9:CS$1273,MATCH($M204,Data!$K$9:$K$1273,0)),"")</f>
        <v/>
      </c>
      <c r="AX204" s="225" t="str">
        <f>IFERROR(INDEX(Data!CT$9:CT$1273,MATCH($M204,Data!$K$9:$K$1273,0)),"")</f>
        <v/>
      </c>
      <c r="AY204" s="225" t="str">
        <f>IFERROR(INDEX(Data!CU$9:CU$1273,MATCH($M204,Data!$K$9:$K$1273,0)),"")</f>
        <v/>
      </c>
      <c r="AZ204" s="225" t="str">
        <f>IFERROR(INDEX(Data!CV$9:CV$1273,MATCH($M204,Data!$K$9:$K$1273,0)),"")</f>
        <v/>
      </c>
      <c r="BA204" s="225" t="str">
        <f>IFERROR(INDEX(Data!CX$9:CX$1273,MATCH($M204,Data!$K$9:$K$1273,0)),"")</f>
        <v/>
      </c>
      <c r="BB204" s="225" t="str">
        <f>IFERROR(INDEX(Data!CY$9:CY$1273,MATCH($M204,Data!$K$9:$K$1273,0)),"")</f>
        <v/>
      </c>
      <c r="BC204" s="225" t="str">
        <f>IFERROR(INDEX(Data!CZ$9:CZ$1273,MATCH($M204,Data!$K$9:$K$1273,0)),"")</f>
        <v/>
      </c>
      <c r="BD204" s="225" t="str">
        <f>IFERROR(INDEX(Data!DA$9:DA$1273,MATCH($M204,Data!$K$9:$K$1273,0)),"")</f>
        <v/>
      </c>
      <c r="BE204" s="225" t="str">
        <f>IFERROR(INDEX(Data!DB$9:DB$1273,MATCH($M204,Data!$K$9:$K$1273,0)),"")</f>
        <v/>
      </c>
      <c r="BF204" s="225" t="str">
        <f>IFERROR(INDEX(Data!DC$9:DC$1273,MATCH($M204,Data!$K$9:$K$1273,0)),"")</f>
        <v/>
      </c>
      <c r="BG204" s="225" t="str">
        <f>IFERROR(INDEX(Data!DD$9:DD$1273,MATCH($M204,Data!$K$9:$K$1273,0)),"")</f>
        <v/>
      </c>
      <c r="BH204" s="225" t="str">
        <f>IFERROR(INDEX(Data!DE$9:DE$1273,MATCH($M204,Data!$K$9:$K$1273,0)),"")</f>
        <v/>
      </c>
      <c r="BI204" s="225" t="str">
        <f>IFERROR(INDEX(Data!DF$9:DF$1273,MATCH($M204,Data!$K$9:$K$1273,0)),"")</f>
        <v/>
      </c>
      <c r="BJ204" s="225" t="str">
        <f>IFERROR(INDEX(Data!DG$9:DG$1273,MATCH($M204,Data!$K$9:$K$1273,0)),"")</f>
        <v/>
      </c>
      <c r="BK204" s="225" t="str">
        <f>IFERROR(INDEX(Data!DH$9:DH$1273,MATCH($M204,Data!$K$9:$K$1273,0)),"")</f>
        <v/>
      </c>
      <c r="BL204" s="225" t="str">
        <f>IFERROR(INDEX(Data!DI$9:DI$1273,MATCH($M204,Data!$K$9:$K$1273,0)),"")</f>
        <v/>
      </c>
      <c r="BM204" s="225" t="str">
        <f>IFERROR(INDEX(Data!DJ$9:DJ$1273,MATCH($M204,Data!$K$9:$K$1273,0)),"")</f>
        <v/>
      </c>
      <c r="BN204" s="225" t="str">
        <f>IFERROR(INDEX(Data!DK$9:DK$1273,MATCH($M204,Data!$K$9:$K$1273,0)),"")</f>
        <v/>
      </c>
      <c r="BO204" s="225" t="str">
        <f>IFERROR(INDEX(Data!DL$9:DL$1273,MATCH($M204,Data!$K$9:$K$1273,0)),"")</f>
        <v/>
      </c>
      <c r="BP204" s="243" t="str">
        <f t="shared" si="29"/>
        <v/>
      </c>
      <c r="BQ204" s="225" t="str">
        <f t="shared" si="30"/>
        <v xml:space="preserve"> </v>
      </c>
      <c r="BR204" s="225" t="str">
        <f t="shared" si="31"/>
        <v/>
      </c>
      <c r="BS204" s="225" t="str">
        <f>IFERROR(INDEX(Data!$DO$9:$DO$1273,MATCH('Your recommendation'!BR204,Data!$DN$9:$DN$1273,0)),"")</f>
        <v/>
      </c>
    </row>
    <row r="205" spans="2:71" ht="15.6" customHeight="1">
      <c r="B205" s="222" t="str">
        <f t="shared" si="32"/>
        <v/>
      </c>
      <c r="C205" s="223"/>
      <c r="D205" s="225" t="str">
        <f>IFERROR(INDEX(Data!BR$9:BR$1273,MATCH($M205,Data!$K$9:$K$1273,0)),"")</f>
        <v/>
      </c>
      <c r="E205" s="225" t="str">
        <f>IFERROR(INDEX(Data!BS$9:BS$1273,MATCH($M205,Data!$K$9:$K$1273,0)),"")</f>
        <v/>
      </c>
      <c r="F205" s="225" t="str">
        <f>IFERROR(INDEX(Data!DM$9:DM$1273,MATCH($M205,Data!$K$9:$K$1273,0)),"")</f>
        <v/>
      </c>
      <c r="G205" s="225" t="str">
        <f>IFERROR(INDEX(Data!BV$9:BV$1273,MATCH($M205,Data!$K$9:$K$1273,0)),"")</f>
        <v/>
      </c>
      <c r="H205" s="225" t="str">
        <f>IFERROR(INDEX(Data!BW$9:BW$1273,MATCH($M205,Data!$K$9:$K$1273,0)),"")</f>
        <v/>
      </c>
      <c r="I205" s="225" t="str">
        <f>IFERROR(INDEX(Data!BX$9:BX$1273,MATCH($M205,Data!$K$9:$K$1273,0)),"")</f>
        <v/>
      </c>
      <c r="J205" s="225" t="str">
        <f>IFERROR(INDEX(Data!CB$9:CB$1273,MATCH($M205,Data!$K$9:$K$1273,0)),"")</f>
        <v/>
      </c>
      <c r="K205" s="241" t="str">
        <f t="shared" si="27"/>
        <v/>
      </c>
      <c r="L205" s="242" t="str">
        <f t="shared" si="28"/>
        <v/>
      </c>
      <c r="M205" s="224"/>
      <c r="N205" s="224"/>
      <c r="O205" s="224" t="str">
        <f>IFERROR(INDEX(Data!M$9:M$1273,MATCH($M205,Data!$K$9:$K$1273,0)),"")</f>
        <v/>
      </c>
      <c r="P205" s="224" t="str">
        <f>IFERROR(INDEX(Data!N$9:N$1273,MATCH($M205,Data!$K$9:$K$1273,0)),"")</f>
        <v/>
      </c>
      <c r="Q205" s="224" t="str">
        <f>IFERROR(INDEX(Data!O$9:O$1273,MATCH($M205,Data!$K$9:$K$1273,0)),"")</f>
        <v/>
      </c>
      <c r="R205" s="224" t="str">
        <f>IFERROR(INDEX(Data!P$9:P$1273,MATCH($M205,Data!$K$9:$K$1273,0)),"")</f>
        <v/>
      </c>
      <c r="S205" s="224" t="str">
        <f>IFERROR(INDEX(Data!S$9:S$1273,MATCH($M205,Data!$K$9:$K$1273,0)),"")</f>
        <v/>
      </c>
      <c r="T205" s="224" t="str">
        <f>IFERROR(INDEX(Data!T$9:T$1273,MATCH($M205,Data!$K$9:$K$1273,0)),"")</f>
        <v/>
      </c>
      <c r="U205" s="224" t="str">
        <f>IFERROR(INDEX(Data!U$9:U$1273,MATCH($M205,Data!$K$9:$K$1273,0)),"")</f>
        <v/>
      </c>
      <c r="V205" s="224" t="str">
        <f>IFERROR(INDEX(Data!V$9:V$1273,MATCH($M205,Data!$K$9:$K$1273,0)),"")</f>
        <v/>
      </c>
      <c r="W205" s="224" t="str">
        <f>IFERROR(INDEX(Data!W$9:W$1273,MATCH($M205,Data!$K$9:$K$1273,0)),"")</f>
        <v/>
      </c>
      <c r="X205" s="224" t="str">
        <f>IFERROR(INDEX(Data!AJ$9:AJ$1273,MATCH($M205,Data!$K$9:$K$1273,0)),"")</f>
        <v/>
      </c>
      <c r="Y205" s="224" t="str">
        <f>IFERROR(INDEX(Data!AK$9:AK$1273,MATCH($M205,Data!$K$9:$K$1273,0)),"")</f>
        <v/>
      </c>
      <c r="Z205" s="224" t="str">
        <f>IFERROR(INDEX(Data!AL$9:AL$1273,MATCH($M205,Data!$K$9:$K$1273,0)),"")</f>
        <v/>
      </c>
      <c r="AA205" s="224" t="str">
        <f>IFERROR(INDEX(Data!AM$9:AM$1273,MATCH($M205,Data!$K$9:$K$1273,0)),"")</f>
        <v/>
      </c>
      <c r="AB205" s="224" t="str">
        <f>IFERROR(INDEX(Data!AN$9:AN$1273,MATCH($M205,Data!$K$9:$K$1273,0)),"")</f>
        <v/>
      </c>
      <c r="AC205" s="225" t="str">
        <f>IFERROR(INDEX(Data!BY$9:BY$1273,MATCH($M205,Data!$K$9:$K$1273,0)),"")</f>
        <v/>
      </c>
      <c r="AD205" s="225" t="str">
        <f>IFERROR(INDEX(Data!BZ$9:BZ$1273,MATCH($M205,Data!$K$9:$K$1273,0)),"")</f>
        <v/>
      </c>
      <c r="AE205" s="225" t="str">
        <f>IFERROR(INDEX(Data!CA$9:CA$1273,MATCH($M205,Data!$K$9:$K$1273,0)),"")</f>
        <v/>
      </c>
      <c r="AF205" s="225" t="str">
        <f>IFERROR(INDEX(Data!CB$9:CB$1273,MATCH($M205,Data!$K$9:$K$1273,0)),"")</f>
        <v/>
      </c>
      <c r="AG205" s="225" t="str">
        <f>IFERROR(INDEX(Data!CC$9:CC$1273,MATCH($M205,Data!$K$9:$K$1273,0)),"")</f>
        <v/>
      </c>
      <c r="AH205" s="225" t="str">
        <f>IFERROR(INDEX(Data!CD$9:CD$1273,MATCH($M205,Data!$K$9:$K$1273,0)),"")</f>
        <v/>
      </c>
      <c r="AI205" s="225" t="str">
        <f>IFERROR(INDEX(Data!CE$9:CE$1273,MATCH($M205,Data!$K$9:$K$1273,0)),"")</f>
        <v/>
      </c>
      <c r="AJ205" s="225" t="str">
        <f>IFERROR(INDEX(Data!CF$9:CF$1273,MATCH($M205,Data!$K$9:$K$1273,0)),"")</f>
        <v/>
      </c>
      <c r="AK205" s="225" t="str">
        <f>IFERROR(INDEX(Data!CG$9:CG$1273,MATCH($M205,Data!$K$9:$K$1273,0)),"")</f>
        <v/>
      </c>
      <c r="AL205" s="225" t="str">
        <f>IFERROR(INDEX(Data!CH$9:CH$1273,MATCH($M205,Data!$K$9:$K$1273,0)),"")</f>
        <v/>
      </c>
      <c r="AM205" s="225" t="str">
        <f>IFERROR(INDEX(Data!CI$9:CI$1273,MATCH($M205,Data!$K$9:$K$1273,0)),"")</f>
        <v/>
      </c>
      <c r="AN205" s="225" t="str">
        <f>IFERROR(INDEX(Data!CJ$9:CJ$1273,MATCH($M205,Data!$K$9:$K$1273,0)),"")</f>
        <v/>
      </c>
      <c r="AO205" s="225" t="str">
        <f>IFERROR(INDEX(Data!CK$9:CK$1273,MATCH($M205,Data!$K$9:$K$1273,0)),"")</f>
        <v/>
      </c>
      <c r="AP205" s="225" t="str">
        <f>IFERROR(INDEX(Data!CL$9:CL$1273,MATCH($M205,Data!$K$9:$K$1273,0)),"")</f>
        <v/>
      </c>
      <c r="AQ205" s="225" t="str">
        <f>IFERROR(INDEX(Data!CM$9:CM$1273,MATCH($M205,Data!$K$9:$K$1273,0)),"")</f>
        <v/>
      </c>
      <c r="AR205" s="225" t="str">
        <f>IFERROR(INDEX(Data!CN$9:CN$1273,MATCH($M205,Data!$K$9:$K$1273,0)),"")</f>
        <v/>
      </c>
      <c r="AS205" s="225" t="str">
        <f>IFERROR(INDEX(Data!CO$9:CO$1273,MATCH($M205,Data!$K$9:$K$1273,0)),"")</f>
        <v/>
      </c>
      <c r="AT205" s="225" t="str">
        <f>IFERROR(INDEX(Data!CP$9:CP$1273,MATCH($M205,Data!$K$9:$K$1273,0)),"")</f>
        <v/>
      </c>
      <c r="AU205" s="225" t="str">
        <f>IFERROR(INDEX(Data!CQ$9:CQ$1273,MATCH($M205,Data!$K$9:$K$1273,0)),"")</f>
        <v/>
      </c>
      <c r="AV205" s="225" t="str">
        <f>IFERROR(INDEX(Data!CR$9:CR$1273,MATCH($M205,Data!$K$9:$K$1273,0)),"")</f>
        <v/>
      </c>
      <c r="AW205" s="225" t="str">
        <f>IFERROR(INDEX(Data!CS$9:CS$1273,MATCH($M205,Data!$K$9:$K$1273,0)),"")</f>
        <v/>
      </c>
      <c r="AX205" s="225" t="str">
        <f>IFERROR(INDEX(Data!CT$9:CT$1273,MATCH($M205,Data!$K$9:$K$1273,0)),"")</f>
        <v/>
      </c>
      <c r="AY205" s="225" t="str">
        <f>IFERROR(INDEX(Data!CU$9:CU$1273,MATCH($M205,Data!$K$9:$K$1273,0)),"")</f>
        <v/>
      </c>
      <c r="AZ205" s="225" t="str">
        <f>IFERROR(INDEX(Data!CV$9:CV$1273,MATCH($M205,Data!$K$9:$K$1273,0)),"")</f>
        <v/>
      </c>
      <c r="BA205" s="225" t="str">
        <f>IFERROR(INDEX(Data!CX$9:CX$1273,MATCH($M205,Data!$K$9:$K$1273,0)),"")</f>
        <v/>
      </c>
      <c r="BB205" s="225" t="str">
        <f>IFERROR(INDEX(Data!CY$9:CY$1273,MATCH($M205,Data!$K$9:$K$1273,0)),"")</f>
        <v/>
      </c>
      <c r="BC205" s="225" t="str">
        <f>IFERROR(INDEX(Data!CZ$9:CZ$1273,MATCH($M205,Data!$K$9:$K$1273,0)),"")</f>
        <v/>
      </c>
      <c r="BD205" s="225" t="str">
        <f>IFERROR(INDEX(Data!DA$9:DA$1273,MATCH($M205,Data!$K$9:$K$1273,0)),"")</f>
        <v/>
      </c>
      <c r="BE205" s="225" t="str">
        <f>IFERROR(INDEX(Data!DB$9:DB$1273,MATCH($M205,Data!$K$9:$K$1273,0)),"")</f>
        <v/>
      </c>
      <c r="BF205" s="225" t="str">
        <f>IFERROR(INDEX(Data!DC$9:DC$1273,MATCH($M205,Data!$K$9:$K$1273,0)),"")</f>
        <v/>
      </c>
      <c r="BG205" s="225" t="str">
        <f>IFERROR(INDEX(Data!DD$9:DD$1273,MATCH($M205,Data!$K$9:$K$1273,0)),"")</f>
        <v/>
      </c>
      <c r="BH205" s="225" t="str">
        <f>IFERROR(INDEX(Data!DE$9:DE$1273,MATCH($M205,Data!$K$9:$K$1273,0)),"")</f>
        <v/>
      </c>
      <c r="BI205" s="225" t="str">
        <f>IFERROR(INDEX(Data!DF$9:DF$1273,MATCH($M205,Data!$K$9:$K$1273,0)),"")</f>
        <v/>
      </c>
      <c r="BJ205" s="225" t="str">
        <f>IFERROR(INDEX(Data!DG$9:DG$1273,MATCH($M205,Data!$K$9:$K$1273,0)),"")</f>
        <v/>
      </c>
      <c r="BK205" s="225" t="str">
        <f>IFERROR(INDEX(Data!DH$9:DH$1273,MATCH($M205,Data!$K$9:$K$1273,0)),"")</f>
        <v/>
      </c>
      <c r="BL205" s="225" t="str">
        <f>IFERROR(INDEX(Data!DI$9:DI$1273,MATCH($M205,Data!$K$9:$K$1273,0)),"")</f>
        <v/>
      </c>
      <c r="BM205" s="225" t="str">
        <f>IFERROR(INDEX(Data!DJ$9:DJ$1273,MATCH($M205,Data!$K$9:$K$1273,0)),"")</f>
        <v/>
      </c>
      <c r="BN205" s="225" t="str">
        <f>IFERROR(INDEX(Data!DK$9:DK$1273,MATCH($M205,Data!$K$9:$K$1273,0)),"")</f>
        <v/>
      </c>
      <c r="BO205" s="225" t="str">
        <f>IFERROR(INDEX(Data!DL$9:DL$1273,MATCH($M205,Data!$K$9:$K$1273,0)),"")</f>
        <v/>
      </c>
      <c r="BP205" s="243" t="str">
        <f t="shared" si="29"/>
        <v/>
      </c>
      <c r="BQ205" s="225" t="str">
        <f t="shared" si="30"/>
        <v xml:space="preserve"> </v>
      </c>
      <c r="BR205" s="225" t="str">
        <f t="shared" si="31"/>
        <v/>
      </c>
      <c r="BS205" s="225" t="str">
        <f>IFERROR(INDEX(Data!$DO$9:$DO$1273,MATCH('Your recommendation'!BR205,Data!$DN$9:$DN$1273,0)),"")</f>
        <v/>
      </c>
    </row>
    <row r="206" spans="2:71" ht="15.6" customHeight="1">
      <c r="B206" s="222" t="str">
        <f t="shared" si="32"/>
        <v/>
      </c>
      <c r="C206" s="223"/>
      <c r="D206" s="225" t="str">
        <f>IFERROR(INDEX(Data!BR$9:BR$1273,MATCH($M206,Data!$K$9:$K$1273,0)),"")</f>
        <v/>
      </c>
      <c r="E206" s="225" t="str">
        <f>IFERROR(INDEX(Data!BS$9:BS$1273,MATCH($M206,Data!$K$9:$K$1273,0)),"")</f>
        <v/>
      </c>
      <c r="F206" s="225" t="str">
        <f>IFERROR(INDEX(Data!DM$9:DM$1273,MATCH($M206,Data!$K$9:$K$1273,0)),"")</f>
        <v/>
      </c>
      <c r="G206" s="225" t="str">
        <f>IFERROR(INDEX(Data!BV$9:BV$1273,MATCH($M206,Data!$K$9:$K$1273,0)),"")</f>
        <v/>
      </c>
      <c r="H206" s="225" t="str">
        <f>IFERROR(INDEX(Data!BW$9:BW$1273,MATCH($M206,Data!$K$9:$K$1273,0)),"")</f>
        <v/>
      </c>
      <c r="I206" s="225" t="str">
        <f>IFERROR(INDEX(Data!BX$9:BX$1273,MATCH($M206,Data!$K$9:$K$1273,0)),"")</f>
        <v/>
      </c>
      <c r="J206" s="225" t="str">
        <f>IFERROR(INDEX(Data!CB$9:CB$1273,MATCH($M206,Data!$K$9:$K$1273,0)),"")</f>
        <v/>
      </c>
      <c r="K206" s="241" t="str">
        <f t="shared" si="27"/>
        <v/>
      </c>
      <c r="L206" s="242" t="str">
        <f t="shared" si="28"/>
        <v/>
      </c>
      <c r="M206" s="224"/>
      <c r="N206" s="224"/>
      <c r="O206" s="224" t="str">
        <f>IFERROR(INDEX(Data!M$9:M$1273,MATCH($M206,Data!$K$9:$K$1273,0)),"")</f>
        <v/>
      </c>
      <c r="P206" s="224" t="str">
        <f>IFERROR(INDEX(Data!N$9:N$1273,MATCH($M206,Data!$K$9:$K$1273,0)),"")</f>
        <v/>
      </c>
      <c r="Q206" s="224" t="str">
        <f>IFERROR(INDEX(Data!O$9:O$1273,MATCH($M206,Data!$K$9:$K$1273,0)),"")</f>
        <v/>
      </c>
      <c r="R206" s="224" t="str">
        <f>IFERROR(INDEX(Data!P$9:P$1273,MATCH($M206,Data!$K$9:$K$1273,0)),"")</f>
        <v/>
      </c>
      <c r="S206" s="224" t="str">
        <f>IFERROR(INDEX(Data!S$9:S$1273,MATCH($M206,Data!$K$9:$K$1273,0)),"")</f>
        <v/>
      </c>
      <c r="T206" s="224" t="str">
        <f>IFERROR(INDEX(Data!T$9:T$1273,MATCH($M206,Data!$K$9:$K$1273,0)),"")</f>
        <v/>
      </c>
      <c r="U206" s="224" t="str">
        <f>IFERROR(INDEX(Data!U$9:U$1273,MATCH($M206,Data!$K$9:$K$1273,0)),"")</f>
        <v/>
      </c>
      <c r="V206" s="224" t="str">
        <f>IFERROR(INDEX(Data!V$9:V$1273,MATCH($M206,Data!$K$9:$K$1273,0)),"")</f>
        <v/>
      </c>
      <c r="W206" s="224" t="str">
        <f>IFERROR(INDEX(Data!W$9:W$1273,MATCH($M206,Data!$K$9:$K$1273,0)),"")</f>
        <v/>
      </c>
      <c r="X206" s="224" t="str">
        <f>IFERROR(INDEX(Data!AJ$9:AJ$1273,MATCH($M206,Data!$K$9:$K$1273,0)),"")</f>
        <v/>
      </c>
      <c r="Y206" s="224" t="str">
        <f>IFERROR(INDEX(Data!AK$9:AK$1273,MATCH($M206,Data!$K$9:$K$1273,0)),"")</f>
        <v/>
      </c>
      <c r="Z206" s="224" t="str">
        <f>IFERROR(INDEX(Data!AL$9:AL$1273,MATCH($M206,Data!$K$9:$K$1273,0)),"")</f>
        <v/>
      </c>
      <c r="AA206" s="224" t="str">
        <f>IFERROR(INDEX(Data!AM$9:AM$1273,MATCH($M206,Data!$K$9:$K$1273,0)),"")</f>
        <v/>
      </c>
      <c r="AB206" s="224" t="str">
        <f>IFERROR(INDEX(Data!AN$9:AN$1273,MATCH($M206,Data!$K$9:$K$1273,0)),"")</f>
        <v/>
      </c>
      <c r="AC206" s="225" t="str">
        <f>IFERROR(INDEX(Data!BY$9:BY$1273,MATCH($M206,Data!$K$9:$K$1273,0)),"")</f>
        <v/>
      </c>
      <c r="AD206" s="225" t="str">
        <f>IFERROR(INDEX(Data!BZ$9:BZ$1273,MATCH($M206,Data!$K$9:$K$1273,0)),"")</f>
        <v/>
      </c>
      <c r="AE206" s="225" t="str">
        <f>IFERROR(INDEX(Data!CA$9:CA$1273,MATCH($M206,Data!$K$9:$K$1273,0)),"")</f>
        <v/>
      </c>
      <c r="AF206" s="225" t="str">
        <f>IFERROR(INDEX(Data!CB$9:CB$1273,MATCH($M206,Data!$K$9:$K$1273,0)),"")</f>
        <v/>
      </c>
      <c r="AG206" s="225" t="str">
        <f>IFERROR(INDEX(Data!CC$9:CC$1273,MATCH($M206,Data!$K$9:$K$1273,0)),"")</f>
        <v/>
      </c>
      <c r="AH206" s="225" t="str">
        <f>IFERROR(INDEX(Data!CD$9:CD$1273,MATCH($M206,Data!$K$9:$K$1273,0)),"")</f>
        <v/>
      </c>
      <c r="AI206" s="225" t="str">
        <f>IFERROR(INDEX(Data!CE$9:CE$1273,MATCH($M206,Data!$K$9:$K$1273,0)),"")</f>
        <v/>
      </c>
      <c r="AJ206" s="225" t="str">
        <f>IFERROR(INDEX(Data!CF$9:CF$1273,MATCH($M206,Data!$K$9:$K$1273,0)),"")</f>
        <v/>
      </c>
      <c r="AK206" s="225" t="str">
        <f>IFERROR(INDEX(Data!CG$9:CG$1273,MATCH($M206,Data!$K$9:$K$1273,0)),"")</f>
        <v/>
      </c>
      <c r="AL206" s="225" t="str">
        <f>IFERROR(INDEX(Data!CH$9:CH$1273,MATCH($M206,Data!$K$9:$K$1273,0)),"")</f>
        <v/>
      </c>
      <c r="AM206" s="225" t="str">
        <f>IFERROR(INDEX(Data!CI$9:CI$1273,MATCH($M206,Data!$K$9:$K$1273,0)),"")</f>
        <v/>
      </c>
      <c r="AN206" s="225" t="str">
        <f>IFERROR(INDEX(Data!CJ$9:CJ$1273,MATCH($M206,Data!$K$9:$K$1273,0)),"")</f>
        <v/>
      </c>
      <c r="AO206" s="225" t="str">
        <f>IFERROR(INDEX(Data!CK$9:CK$1273,MATCH($M206,Data!$K$9:$K$1273,0)),"")</f>
        <v/>
      </c>
      <c r="AP206" s="225" t="str">
        <f>IFERROR(INDEX(Data!CL$9:CL$1273,MATCH($M206,Data!$K$9:$K$1273,0)),"")</f>
        <v/>
      </c>
      <c r="AQ206" s="225" t="str">
        <f>IFERROR(INDEX(Data!CM$9:CM$1273,MATCH($M206,Data!$K$9:$K$1273,0)),"")</f>
        <v/>
      </c>
      <c r="AR206" s="225" t="str">
        <f>IFERROR(INDEX(Data!CN$9:CN$1273,MATCH($M206,Data!$K$9:$K$1273,0)),"")</f>
        <v/>
      </c>
      <c r="AS206" s="225" t="str">
        <f>IFERROR(INDEX(Data!CO$9:CO$1273,MATCH($M206,Data!$K$9:$K$1273,0)),"")</f>
        <v/>
      </c>
      <c r="AT206" s="225" t="str">
        <f>IFERROR(INDEX(Data!CP$9:CP$1273,MATCH($M206,Data!$K$9:$K$1273,0)),"")</f>
        <v/>
      </c>
      <c r="AU206" s="225" t="str">
        <f>IFERROR(INDEX(Data!CQ$9:CQ$1273,MATCH($M206,Data!$K$9:$K$1273,0)),"")</f>
        <v/>
      </c>
      <c r="AV206" s="225" t="str">
        <f>IFERROR(INDEX(Data!CR$9:CR$1273,MATCH($M206,Data!$K$9:$K$1273,0)),"")</f>
        <v/>
      </c>
      <c r="AW206" s="225" t="str">
        <f>IFERROR(INDEX(Data!CS$9:CS$1273,MATCH($M206,Data!$K$9:$K$1273,0)),"")</f>
        <v/>
      </c>
      <c r="AX206" s="225" t="str">
        <f>IFERROR(INDEX(Data!CT$9:CT$1273,MATCH($M206,Data!$K$9:$K$1273,0)),"")</f>
        <v/>
      </c>
      <c r="AY206" s="225" t="str">
        <f>IFERROR(INDEX(Data!CU$9:CU$1273,MATCH($M206,Data!$K$9:$K$1273,0)),"")</f>
        <v/>
      </c>
      <c r="AZ206" s="225" t="str">
        <f>IFERROR(INDEX(Data!CV$9:CV$1273,MATCH($M206,Data!$K$9:$K$1273,0)),"")</f>
        <v/>
      </c>
      <c r="BA206" s="225" t="str">
        <f>IFERROR(INDEX(Data!CX$9:CX$1273,MATCH($M206,Data!$K$9:$K$1273,0)),"")</f>
        <v/>
      </c>
      <c r="BB206" s="225" t="str">
        <f>IFERROR(INDEX(Data!CY$9:CY$1273,MATCH($M206,Data!$K$9:$K$1273,0)),"")</f>
        <v/>
      </c>
      <c r="BC206" s="225" t="str">
        <f>IFERROR(INDEX(Data!CZ$9:CZ$1273,MATCH($M206,Data!$K$9:$K$1273,0)),"")</f>
        <v/>
      </c>
      <c r="BD206" s="225" t="str">
        <f>IFERROR(INDEX(Data!DA$9:DA$1273,MATCH($M206,Data!$K$9:$K$1273,0)),"")</f>
        <v/>
      </c>
      <c r="BE206" s="225" t="str">
        <f>IFERROR(INDEX(Data!DB$9:DB$1273,MATCH($M206,Data!$K$9:$K$1273,0)),"")</f>
        <v/>
      </c>
      <c r="BF206" s="225" t="str">
        <f>IFERROR(INDEX(Data!DC$9:DC$1273,MATCH($M206,Data!$K$9:$K$1273,0)),"")</f>
        <v/>
      </c>
      <c r="BG206" s="225" t="str">
        <f>IFERROR(INDEX(Data!DD$9:DD$1273,MATCH($M206,Data!$K$9:$K$1273,0)),"")</f>
        <v/>
      </c>
      <c r="BH206" s="225" t="str">
        <f>IFERROR(INDEX(Data!DE$9:DE$1273,MATCH($M206,Data!$K$9:$K$1273,0)),"")</f>
        <v/>
      </c>
      <c r="BI206" s="225" t="str">
        <f>IFERROR(INDEX(Data!DF$9:DF$1273,MATCH($M206,Data!$K$9:$K$1273,0)),"")</f>
        <v/>
      </c>
      <c r="BJ206" s="225" t="str">
        <f>IFERROR(INDEX(Data!DG$9:DG$1273,MATCH($M206,Data!$K$9:$K$1273,0)),"")</f>
        <v/>
      </c>
      <c r="BK206" s="225" t="str">
        <f>IFERROR(INDEX(Data!DH$9:DH$1273,MATCH($M206,Data!$K$9:$K$1273,0)),"")</f>
        <v/>
      </c>
      <c r="BL206" s="225" t="str">
        <f>IFERROR(INDEX(Data!DI$9:DI$1273,MATCH($M206,Data!$K$9:$K$1273,0)),"")</f>
        <v/>
      </c>
      <c r="BM206" s="225" t="str">
        <f>IFERROR(INDEX(Data!DJ$9:DJ$1273,MATCH($M206,Data!$K$9:$K$1273,0)),"")</f>
        <v/>
      </c>
      <c r="BN206" s="225" t="str">
        <f>IFERROR(INDEX(Data!DK$9:DK$1273,MATCH($M206,Data!$K$9:$K$1273,0)),"")</f>
        <v/>
      </c>
      <c r="BO206" s="225" t="str">
        <f>IFERROR(INDEX(Data!DL$9:DL$1273,MATCH($M206,Data!$K$9:$K$1273,0)),"")</f>
        <v/>
      </c>
      <c r="BP206" s="243" t="str">
        <f t="shared" si="29"/>
        <v/>
      </c>
      <c r="BQ206" s="225" t="str">
        <f t="shared" si="30"/>
        <v xml:space="preserve"> </v>
      </c>
      <c r="BR206" s="225" t="str">
        <f t="shared" si="31"/>
        <v/>
      </c>
      <c r="BS206" s="225" t="str">
        <f>IFERROR(INDEX(Data!$DO$9:$DO$1273,MATCH('Your recommendation'!BR206,Data!$DN$9:$DN$1273,0)),"")</f>
        <v/>
      </c>
    </row>
    <row r="207" spans="2:71" ht="15.6" customHeight="1">
      <c r="B207" s="222" t="str">
        <f t="shared" si="32"/>
        <v/>
      </c>
      <c r="C207" s="223"/>
      <c r="D207" s="225" t="str">
        <f>IFERROR(INDEX(Data!BR$9:BR$1273,MATCH($M207,Data!$K$9:$K$1273,0)),"")</f>
        <v/>
      </c>
      <c r="E207" s="225" t="str">
        <f>IFERROR(INDEX(Data!BS$9:BS$1273,MATCH($M207,Data!$K$9:$K$1273,0)),"")</f>
        <v/>
      </c>
      <c r="F207" s="225" t="str">
        <f>IFERROR(INDEX(Data!DM$9:DM$1273,MATCH($M207,Data!$K$9:$K$1273,0)),"")</f>
        <v/>
      </c>
      <c r="G207" s="225" t="str">
        <f>IFERROR(INDEX(Data!BV$9:BV$1273,MATCH($M207,Data!$K$9:$K$1273,0)),"")</f>
        <v/>
      </c>
      <c r="H207" s="225" t="str">
        <f>IFERROR(INDEX(Data!BW$9:BW$1273,MATCH($M207,Data!$K$9:$K$1273,0)),"")</f>
        <v/>
      </c>
      <c r="I207" s="225" t="str">
        <f>IFERROR(INDEX(Data!BX$9:BX$1273,MATCH($M207,Data!$K$9:$K$1273,0)),"")</f>
        <v/>
      </c>
      <c r="J207" s="225" t="str">
        <f>IFERROR(INDEX(Data!CB$9:CB$1273,MATCH($M207,Data!$K$9:$K$1273,0)),"")</f>
        <v/>
      </c>
      <c r="K207" s="241" t="str">
        <f t="shared" si="27"/>
        <v/>
      </c>
      <c r="L207" s="242" t="str">
        <f t="shared" si="28"/>
        <v/>
      </c>
      <c r="M207" s="224"/>
      <c r="N207" s="224"/>
      <c r="O207" s="224" t="str">
        <f>IFERROR(INDEX(Data!M$9:M$1273,MATCH($M207,Data!$K$9:$K$1273,0)),"")</f>
        <v/>
      </c>
      <c r="P207" s="224" t="str">
        <f>IFERROR(INDEX(Data!N$9:N$1273,MATCH($M207,Data!$K$9:$K$1273,0)),"")</f>
        <v/>
      </c>
      <c r="Q207" s="224" t="str">
        <f>IFERROR(INDEX(Data!O$9:O$1273,MATCH($M207,Data!$K$9:$K$1273,0)),"")</f>
        <v/>
      </c>
      <c r="R207" s="224" t="str">
        <f>IFERROR(INDEX(Data!P$9:P$1273,MATCH($M207,Data!$K$9:$K$1273,0)),"")</f>
        <v/>
      </c>
      <c r="S207" s="224" t="str">
        <f>IFERROR(INDEX(Data!S$9:S$1273,MATCH($M207,Data!$K$9:$K$1273,0)),"")</f>
        <v/>
      </c>
      <c r="T207" s="224" t="str">
        <f>IFERROR(INDEX(Data!T$9:T$1273,MATCH($M207,Data!$K$9:$K$1273,0)),"")</f>
        <v/>
      </c>
      <c r="U207" s="224" t="str">
        <f>IFERROR(INDEX(Data!U$9:U$1273,MATCH($M207,Data!$K$9:$K$1273,0)),"")</f>
        <v/>
      </c>
      <c r="V207" s="224" t="str">
        <f>IFERROR(INDEX(Data!V$9:V$1273,MATCH($M207,Data!$K$9:$K$1273,0)),"")</f>
        <v/>
      </c>
      <c r="W207" s="224" t="str">
        <f>IFERROR(INDEX(Data!W$9:W$1273,MATCH($M207,Data!$K$9:$K$1273,0)),"")</f>
        <v/>
      </c>
      <c r="X207" s="224" t="str">
        <f>IFERROR(INDEX(Data!AJ$9:AJ$1273,MATCH($M207,Data!$K$9:$K$1273,0)),"")</f>
        <v/>
      </c>
      <c r="Y207" s="224" t="str">
        <f>IFERROR(INDEX(Data!AK$9:AK$1273,MATCH($M207,Data!$K$9:$K$1273,0)),"")</f>
        <v/>
      </c>
      <c r="Z207" s="224" t="str">
        <f>IFERROR(INDEX(Data!AL$9:AL$1273,MATCH($M207,Data!$K$9:$K$1273,0)),"")</f>
        <v/>
      </c>
      <c r="AA207" s="224" t="str">
        <f>IFERROR(INDEX(Data!AM$9:AM$1273,MATCH($M207,Data!$K$9:$K$1273,0)),"")</f>
        <v/>
      </c>
      <c r="AB207" s="224" t="str">
        <f>IFERROR(INDEX(Data!AN$9:AN$1273,MATCH($M207,Data!$K$9:$K$1273,0)),"")</f>
        <v/>
      </c>
      <c r="AC207" s="225" t="str">
        <f>IFERROR(INDEX(Data!BY$9:BY$1273,MATCH($M207,Data!$K$9:$K$1273,0)),"")</f>
        <v/>
      </c>
      <c r="AD207" s="225" t="str">
        <f>IFERROR(INDEX(Data!BZ$9:BZ$1273,MATCH($M207,Data!$K$9:$K$1273,0)),"")</f>
        <v/>
      </c>
      <c r="AE207" s="225" t="str">
        <f>IFERROR(INDEX(Data!CA$9:CA$1273,MATCH($M207,Data!$K$9:$K$1273,0)),"")</f>
        <v/>
      </c>
      <c r="AF207" s="225" t="str">
        <f>IFERROR(INDEX(Data!CB$9:CB$1273,MATCH($M207,Data!$K$9:$K$1273,0)),"")</f>
        <v/>
      </c>
      <c r="AG207" s="225" t="str">
        <f>IFERROR(INDEX(Data!CC$9:CC$1273,MATCH($M207,Data!$K$9:$K$1273,0)),"")</f>
        <v/>
      </c>
      <c r="AH207" s="225" t="str">
        <f>IFERROR(INDEX(Data!CD$9:CD$1273,MATCH($M207,Data!$K$9:$K$1273,0)),"")</f>
        <v/>
      </c>
      <c r="AI207" s="225" t="str">
        <f>IFERROR(INDEX(Data!CE$9:CE$1273,MATCH($M207,Data!$K$9:$K$1273,0)),"")</f>
        <v/>
      </c>
      <c r="AJ207" s="225" t="str">
        <f>IFERROR(INDEX(Data!CF$9:CF$1273,MATCH($M207,Data!$K$9:$K$1273,0)),"")</f>
        <v/>
      </c>
      <c r="AK207" s="225" t="str">
        <f>IFERROR(INDEX(Data!CG$9:CG$1273,MATCH($M207,Data!$K$9:$K$1273,0)),"")</f>
        <v/>
      </c>
      <c r="AL207" s="225" t="str">
        <f>IFERROR(INDEX(Data!CH$9:CH$1273,MATCH($M207,Data!$K$9:$K$1273,0)),"")</f>
        <v/>
      </c>
      <c r="AM207" s="225" t="str">
        <f>IFERROR(INDEX(Data!CI$9:CI$1273,MATCH($M207,Data!$K$9:$K$1273,0)),"")</f>
        <v/>
      </c>
      <c r="AN207" s="225" t="str">
        <f>IFERROR(INDEX(Data!CJ$9:CJ$1273,MATCH($M207,Data!$K$9:$K$1273,0)),"")</f>
        <v/>
      </c>
      <c r="AO207" s="225" t="str">
        <f>IFERROR(INDEX(Data!CK$9:CK$1273,MATCH($M207,Data!$K$9:$K$1273,0)),"")</f>
        <v/>
      </c>
      <c r="AP207" s="225" t="str">
        <f>IFERROR(INDEX(Data!CL$9:CL$1273,MATCH($M207,Data!$K$9:$K$1273,0)),"")</f>
        <v/>
      </c>
      <c r="AQ207" s="225" t="str">
        <f>IFERROR(INDEX(Data!CM$9:CM$1273,MATCH($M207,Data!$K$9:$K$1273,0)),"")</f>
        <v/>
      </c>
      <c r="AR207" s="225" t="str">
        <f>IFERROR(INDEX(Data!CN$9:CN$1273,MATCH($M207,Data!$K$9:$K$1273,0)),"")</f>
        <v/>
      </c>
      <c r="AS207" s="225" t="str">
        <f>IFERROR(INDEX(Data!CO$9:CO$1273,MATCH($M207,Data!$K$9:$K$1273,0)),"")</f>
        <v/>
      </c>
      <c r="AT207" s="225" t="str">
        <f>IFERROR(INDEX(Data!CP$9:CP$1273,MATCH($M207,Data!$K$9:$K$1273,0)),"")</f>
        <v/>
      </c>
      <c r="AU207" s="225" t="str">
        <f>IFERROR(INDEX(Data!CQ$9:CQ$1273,MATCH($M207,Data!$K$9:$K$1273,0)),"")</f>
        <v/>
      </c>
      <c r="AV207" s="225" t="str">
        <f>IFERROR(INDEX(Data!CR$9:CR$1273,MATCH($M207,Data!$K$9:$K$1273,0)),"")</f>
        <v/>
      </c>
      <c r="AW207" s="225" t="str">
        <f>IFERROR(INDEX(Data!CS$9:CS$1273,MATCH($M207,Data!$K$9:$K$1273,0)),"")</f>
        <v/>
      </c>
      <c r="AX207" s="225" t="str">
        <f>IFERROR(INDEX(Data!CT$9:CT$1273,MATCH($M207,Data!$K$9:$K$1273,0)),"")</f>
        <v/>
      </c>
      <c r="AY207" s="225" t="str">
        <f>IFERROR(INDEX(Data!CU$9:CU$1273,MATCH($M207,Data!$K$9:$K$1273,0)),"")</f>
        <v/>
      </c>
      <c r="AZ207" s="225" t="str">
        <f>IFERROR(INDEX(Data!CV$9:CV$1273,MATCH($M207,Data!$K$9:$K$1273,0)),"")</f>
        <v/>
      </c>
      <c r="BA207" s="225" t="str">
        <f>IFERROR(INDEX(Data!CX$9:CX$1273,MATCH($M207,Data!$K$9:$K$1273,0)),"")</f>
        <v/>
      </c>
      <c r="BB207" s="225" t="str">
        <f>IFERROR(INDEX(Data!CY$9:CY$1273,MATCH($M207,Data!$K$9:$K$1273,0)),"")</f>
        <v/>
      </c>
      <c r="BC207" s="225" t="str">
        <f>IFERROR(INDEX(Data!CZ$9:CZ$1273,MATCH($M207,Data!$K$9:$K$1273,0)),"")</f>
        <v/>
      </c>
      <c r="BD207" s="225" t="str">
        <f>IFERROR(INDEX(Data!DA$9:DA$1273,MATCH($M207,Data!$K$9:$K$1273,0)),"")</f>
        <v/>
      </c>
      <c r="BE207" s="225" t="str">
        <f>IFERROR(INDEX(Data!DB$9:DB$1273,MATCH($M207,Data!$K$9:$K$1273,0)),"")</f>
        <v/>
      </c>
      <c r="BF207" s="225" t="str">
        <f>IFERROR(INDEX(Data!DC$9:DC$1273,MATCH($M207,Data!$K$9:$K$1273,0)),"")</f>
        <v/>
      </c>
      <c r="BG207" s="225" t="str">
        <f>IFERROR(INDEX(Data!DD$9:DD$1273,MATCH($M207,Data!$K$9:$K$1273,0)),"")</f>
        <v/>
      </c>
      <c r="BH207" s="225" t="str">
        <f>IFERROR(INDEX(Data!DE$9:DE$1273,MATCH($M207,Data!$K$9:$K$1273,0)),"")</f>
        <v/>
      </c>
      <c r="BI207" s="225" t="str">
        <f>IFERROR(INDEX(Data!DF$9:DF$1273,MATCH($M207,Data!$K$9:$K$1273,0)),"")</f>
        <v/>
      </c>
      <c r="BJ207" s="225" t="str">
        <f>IFERROR(INDEX(Data!DG$9:DG$1273,MATCH($M207,Data!$K$9:$K$1273,0)),"")</f>
        <v/>
      </c>
      <c r="BK207" s="225" t="str">
        <f>IFERROR(INDEX(Data!DH$9:DH$1273,MATCH($M207,Data!$K$9:$K$1273,0)),"")</f>
        <v/>
      </c>
      <c r="BL207" s="225" t="str">
        <f>IFERROR(INDEX(Data!DI$9:DI$1273,MATCH($M207,Data!$K$9:$K$1273,0)),"")</f>
        <v/>
      </c>
      <c r="BM207" s="225" t="str">
        <f>IFERROR(INDEX(Data!DJ$9:DJ$1273,MATCH($M207,Data!$K$9:$K$1273,0)),"")</f>
        <v/>
      </c>
      <c r="BN207" s="225" t="str">
        <f>IFERROR(INDEX(Data!DK$9:DK$1273,MATCH($M207,Data!$K$9:$K$1273,0)),"")</f>
        <v/>
      </c>
      <c r="BO207" s="225" t="str">
        <f>IFERROR(INDEX(Data!DL$9:DL$1273,MATCH($M207,Data!$K$9:$K$1273,0)),"")</f>
        <v/>
      </c>
      <c r="BP207" s="243" t="str">
        <f t="shared" si="29"/>
        <v/>
      </c>
      <c r="BQ207" s="225" t="str">
        <f t="shared" si="30"/>
        <v xml:space="preserve"> </v>
      </c>
      <c r="BR207" s="225" t="str">
        <f t="shared" si="31"/>
        <v/>
      </c>
      <c r="BS207" s="225" t="str">
        <f>IFERROR(INDEX(Data!$DO$9:$DO$1273,MATCH('Your recommendation'!BR207,Data!$DN$9:$DN$1273,0)),"")</f>
        <v/>
      </c>
    </row>
    <row r="208" spans="2:71" ht="15.6" customHeight="1">
      <c r="B208" s="222" t="str">
        <f t="shared" si="32"/>
        <v/>
      </c>
      <c r="C208" s="223"/>
      <c r="D208" s="225" t="str">
        <f>IFERROR(INDEX(Data!BR$9:BR$1273,MATCH($M208,Data!$K$9:$K$1273,0)),"")</f>
        <v/>
      </c>
      <c r="E208" s="225" t="str">
        <f>IFERROR(INDEX(Data!BS$9:BS$1273,MATCH($M208,Data!$K$9:$K$1273,0)),"")</f>
        <v/>
      </c>
      <c r="F208" s="225" t="str">
        <f>IFERROR(INDEX(Data!DM$9:DM$1273,MATCH($M208,Data!$K$9:$K$1273,0)),"")</f>
        <v/>
      </c>
      <c r="G208" s="225" t="str">
        <f>IFERROR(INDEX(Data!BV$9:BV$1273,MATCH($M208,Data!$K$9:$K$1273,0)),"")</f>
        <v/>
      </c>
      <c r="H208" s="225" t="str">
        <f>IFERROR(INDEX(Data!BW$9:BW$1273,MATCH($M208,Data!$K$9:$K$1273,0)),"")</f>
        <v/>
      </c>
      <c r="I208" s="225" t="str">
        <f>IFERROR(INDEX(Data!BX$9:BX$1273,MATCH($M208,Data!$K$9:$K$1273,0)),"")</f>
        <v/>
      </c>
      <c r="J208" s="225" t="str">
        <f>IFERROR(INDEX(Data!CB$9:CB$1273,MATCH($M208,Data!$K$9:$K$1273,0)),"")</f>
        <v/>
      </c>
      <c r="K208" s="241" t="str">
        <f t="shared" si="27"/>
        <v/>
      </c>
      <c r="L208" s="242" t="str">
        <f t="shared" si="28"/>
        <v/>
      </c>
      <c r="M208" s="224"/>
      <c r="N208" s="224"/>
      <c r="O208" s="224" t="str">
        <f>IFERROR(INDEX(Data!M$9:M$1273,MATCH($M208,Data!$K$9:$K$1273,0)),"")</f>
        <v/>
      </c>
      <c r="P208" s="224" t="str">
        <f>IFERROR(INDEX(Data!N$9:N$1273,MATCH($M208,Data!$K$9:$K$1273,0)),"")</f>
        <v/>
      </c>
      <c r="Q208" s="224" t="str">
        <f>IFERROR(INDEX(Data!O$9:O$1273,MATCH($M208,Data!$K$9:$K$1273,0)),"")</f>
        <v/>
      </c>
      <c r="R208" s="224" t="str">
        <f>IFERROR(INDEX(Data!P$9:P$1273,MATCH($M208,Data!$K$9:$K$1273,0)),"")</f>
        <v/>
      </c>
      <c r="S208" s="224" t="str">
        <f>IFERROR(INDEX(Data!S$9:S$1273,MATCH($M208,Data!$K$9:$K$1273,0)),"")</f>
        <v/>
      </c>
      <c r="T208" s="224" t="str">
        <f>IFERROR(INDEX(Data!T$9:T$1273,MATCH($M208,Data!$K$9:$K$1273,0)),"")</f>
        <v/>
      </c>
      <c r="U208" s="224" t="str">
        <f>IFERROR(INDEX(Data!U$9:U$1273,MATCH($M208,Data!$K$9:$K$1273,0)),"")</f>
        <v/>
      </c>
      <c r="V208" s="224" t="str">
        <f>IFERROR(INDEX(Data!V$9:V$1273,MATCH($M208,Data!$K$9:$K$1273,0)),"")</f>
        <v/>
      </c>
      <c r="W208" s="224" t="str">
        <f>IFERROR(INDEX(Data!W$9:W$1273,MATCH($M208,Data!$K$9:$K$1273,0)),"")</f>
        <v/>
      </c>
      <c r="X208" s="224" t="str">
        <f>IFERROR(INDEX(Data!AJ$9:AJ$1273,MATCH($M208,Data!$K$9:$K$1273,0)),"")</f>
        <v/>
      </c>
      <c r="Y208" s="224" t="str">
        <f>IFERROR(INDEX(Data!AK$9:AK$1273,MATCH($M208,Data!$K$9:$K$1273,0)),"")</f>
        <v/>
      </c>
      <c r="Z208" s="224" t="str">
        <f>IFERROR(INDEX(Data!AL$9:AL$1273,MATCH($M208,Data!$K$9:$K$1273,0)),"")</f>
        <v/>
      </c>
      <c r="AA208" s="224" t="str">
        <f>IFERROR(INDEX(Data!AM$9:AM$1273,MATCH($M208,Data!$K$9:$K$1273,0)),"")</f>
        <v/>
      </c>
      <c r="AB208" s="224" t="str">
        <f>IFERROR(INDEX(Data!AN$9:AN$1273,MATCH($M208,Data!$K$9:$K$1273,0)),"")</f>
        <v/>
      </c>
      <c r="AC208" s="225" t="str">
        <f>IFERROR(INDEX(Data!BY$9:BY$1273,MATCH($M208,Data!$K$9:$K$1273,0)),"")</f>
        <v/>
      </c>
      <c r="AD208" s="225" t="str">
        <f>IFERROR(INDEX(Data!BZ$9:BZ$1273,MATCH($M208,Data!$K$9:$K$1273,0)),"")</f>
        <v/>
      </c>
      <c r="AE208" s="225" t="str">
        <f>IFERROR(INDEX(Data!CA$9:CA$1273,MATCH($M208,Data!$K$9:$K$1273,0)),"")</f>
        <v/>
      </c>
      <c r="AF208" s="225" t="str">
        <f>IFERROR(INDEX(Data!CB$9:CB$1273,MATCH($M208,Data!$K$9:$K$1273,0)),"")</f>
        <v/>
      </c>
      <c r="AG208" s="225" t="str">
        <f>IFERROR(INDEX(Data!CC$9:CC$1273,MATCH($M208,Data!$K$9:$K$1273,0)),"")</f>
        <v/>
      </c>
      <c r="AH208" s="225" t="str">
        <f>IFERROR(INDEX(Data!CD$9:CD$1273,MATCH($M208,Data!$K$9:$K$1273,0)),"")</f>
        <v/>
      </c>
      <c r="AI208" s="225" t="str">
        <f>IFERROR(INDEX(Data!CE$9:CE$1273,MATCH($M208,Data!$K$9:$K$1273,0)),"")</f>
        <v/>
      </c>
      <c r="AJ208" s="225" t="str">
        <f>IFERROR(INDEX(Data!CF$9:CF$1273,MATCH($M208,Data!$K$9:$K$1273,0)),"")</f>
        <v/>
      </c>
      <c r="AK208" s="225" t="str">
        <f>IFERROR(INDEX(Data!CG$9:CG$1273,MATCH($M208,Data!$K$9:$K$1273,0)),"")</f>
        <v/>
      </c>
      <c r="AL208" s="225" t="str">
        <f>IFERROR(INDEX(Data!CH$9:CH$1273,MATCH($M208,Data!$K$9:$K$1273,0)),"")</f>
        <v/>
      </c>
      <c r="AM208" s="225" t="str">
        <f>IFERROR(INDEX(Data!CI$9:CI$1273,MATCH($M208,Data!$K$9:$K$1273,0)),"")</f>
        <v/>
      </c>
      <c r="AN208" s="225" t="str">
        <f>IFERROR(INDEX(Data!CJ$9:CJ$1273,MATCH($M208,Data!$K$9:$K$1273,0)),"")</f>
        <v/>
      </c>
      <c r="AO208" s="225" t="str">
        <f>IFERROR(INDEX(Data!CK$9:CK$1273,MATCH($M208,Data!$K$9:$K$1273,0)),"")</f>
        <v/>
      </c>
      <c r="AP208" s="225" t="str">
        <f>IFERROR(INDEX(Data!CL$9:CL$1273,MATCH($M208,Data!$K$9:$K$1273,0)),"")</f>
        <v/>
      </c>
      <c r="AQ208" s="225" t="str">
        <f>IFERROR(INDEX(Data!CM$9:CM$1273,MATCH($M208,Data!$K$9:$K$1273,0)),"")</f>
        <v/>
      </c>
      <c r="AR208" s="225" t="str">
        <f>IFERROR(INDEX(Data!CN$9:CN$1273,MATCH($M208,Data!$K$9:$K$1273,0)),"")</f>
        <v/>
      </c>
      <c r="AS208" s="225" t="str">
        <f>IFERROR(INDEX(Data!CO$9:CO$1273,MATCH($M208,Data!$K$9:$K$1273,0)),"")</f>
        <v/>
      </c>
      <c r="AT208" s="225" t="str">
        <f>IFERROR(INDEX(Data!CP$9:CP$1273,MATCH($M208,Data!$K$9:$K$1273,0)),"")</f>
        <v/>
      </c>
      <c r="AU208" s="225" t="str">
        <f>IFERROR(INDEX(Data!CQ$9:CQ$1273,MATCH($M208,Data!$K$9:$K$1273,0)),"")</f>
        <v/>
      </c>
      <c r="AV208" s="225" t="str">
        <f>IFERROR(INDEX(Data!CR$9:CR$1273,MATCH($M208,Data!$K$9:$K$1273,0)),"")</f>
        <v/>
      </c>
      <c r="AW208" s="225" t="str">
        <f>IFERROR(INDEX(Data!CS$9:CS$1273,MATCH($M208,Data!$K$9:$K$1273,0)),"")</f>
        <v/>
      </c>
      <c r="AX208" s="225" t="str">
        <f>IFERROR(INDEX(Data!CT$9:CT$1273,MATCH($M208,Data!$K$9:$K$1273,0)),"")</f>
        <v/>
      </c>
      <c r="AY208" s="225" t="str">
        <f>IFERROR(INDEX(Data!CU$9:CU$1273,MATCH($M208,Data!$K$9:$K$1273,0)),"")</f>
        <v/>
      </c>
      <c r="AZ208" s="225" t="str">
        <f>IFERROR(INDEX(Data!CV$9:CV$1273,MATCH($M208,Data!$K$9:$K$1273,0)),"")</f>
        <v/>
      </c>
      <c r="BA208" s="225" t="str">
        <f>IFERROR(INDEX(Data!CX$9:CX$1273,MATCH($M208,Data!$K$9:$K$1273,0)),"")</f>
        <v/>
      </c>
      <c r="BB208" s="225" t="str">
        <f>IFERROR(INDEX(Data!CY$9:CY$1273,MATCH($M208,Data!$K$9:$K$1273,0)),"")</f>
        <v/>
      </c>
      <c r="BC208" s="225" t="str">
        <f>IFERROR(INDEX(Data!CZ$9:CZ$1273,MATCH($M208,Data!$K$9:$K$1273,0)),"")</f>
        <v/>
      </c>
      <c r="BD208" s="225" t="str">
        <f>IFERROR(INDEX(Data!DA$9:DA$1273,MATCH($M208,Data!$K$9:$K$1273,0)),"")</f>
        <v/>
      </c>
      <c r="BE208" s="225" t="str">
        <f>IFERROR(INDEX(Data!DB$9:DB$1273,MATCH($M208,Data!$K$9:$K$1273,0)),"")</f>
        <v/>
      </c>
      <c r="BF208" s="225" t="str">
        <f>IFERROR(INDEX(Data!DC$9:DC$1273,MATCH($M208,Data!$K$9:$K$1273,0)),"")</f>
        <v/>
      </c>
      <c r="BG208" s="225" t="str">
        <f>IFERROR(INDEX(Data!DD$9:DD$1273,MATCH($M208,Data!$K$9:$K$1273,0)),"")</f>
        <v/>
      </c>
      <c r="BH208" s="225" t="str">
        <f>IFERROR(INDEX(Data!DE$9:DE$1273,MATCH($M208,Data!$K$9:$K$1273,0)),"")</f>
        <v/>
      </c>
      <c r="BI208" s="225" t="str">
        <f>IFERROR(INDEX(Data!DF$9:DF$1273,MATCH($M208,Data!$K$9:$K$1273,0)),"")</f>
        <v/>
      </c>
      <c r="BJ208" s="225" t="str">
        <f>IFERROR(INDEX(Data!DG$9:DG$1273,MATCH($M208,Data!$K$9:$K$1273,0)),"")</f>
        <v/>
      </c>
      <c r="BK208" s="225" t="str">
        <f>IFERROR(INDEX(Data!DH$9:DH$1273,MATCH($M208,Data!$K$9:$K$1273,0)),"")</f>
        <v/>
      </c>
      <c r="BL208" s="225" t="str">
        <f>IFERROR(INDEX(Data!DI$9:DI$1273,MATCH($M208,Data!$K$9:$K$1273,0)),"")</f>
        <v/>
      </c>
      <c r="BM208" s="225" t="str">
        <f>IFERROR(INDEX(Data!DJ$9:DJ$1273,MATCH($M208,Data!$K$9:$K$1273,0)),"")</f>
        <v/>
      </c>
      <c r="BN208" s="225" t="str">
        <f>IFERROR(INDEX(Data!DK$9:DK$1273,MATCH($M208,Data!$K$9:$K$1273,0)),"")</f>
        <v/>
      </c>
      <c r="BO208" s="225" t="str">
        <f>IFERROR(INDEX(Data!DL$9:DL$1273,MATCH($M208,Data!$K$9:$K$1273,0)),"")</f>
        <v/>
      </c>
      <c r="BP208" s="243" t="str">
        <f t="shared" si="29"/>
        <v/>
      </c>
      <c r="BQ208" s="225" t="str">
        <f t="shared" si="30"/>
        <v xml:space="preserve"> </v>
      </c>
      <c r="BR208" s="225" t="str">
        <f t="shared" si="31"/>
        <v/>
      </c>
      <c r="BS208" s="225" t="str">
        <f>IFERROR(INDEX(Data!$DO$9:$DO$1273,MATCH('Your recommendation'!BR208,Data!$DN$9:$DN$1273,0)),"")</f>
        <v/>
      </c>
    </row>
    <row r="209" spans="2:71" ht="15.6" customHeight="1">
      <c r="B209" s="222" t="str">
        <f t="shared" si="32"/>
        <v/>
      </c>
      <c r="C209" s="223"/>
      <c r="D209" s="225" t="str">
        <f>IFERROR(INDEX(Data!BR$9:BR$1273,MATCH($M209,Data!$K$9:$K$1273,0)),"")</f>
        <v/>
      </c>
      <c r="E209" s="225" t="str">
        <f>IFERROR(INDEX(Data!BS$9:BS$1273,MATCH($M209,Data!$K$9:$K$1273,0)),"")</f>
        <v/>
      </c>
      <c r="F209" s="225" t="str">
        <f>IFERROR(INDEX(Data!DM$9:DM$1273,MATCH($M209,Data!$K$9:$K$1273,0)),"")</f>
        <v/>
      </c>
      <c r="G209" s="225" t="str">
        <f>IFERROR(INDEX(Data!BV$9:BV$1273,MATCH($M209,Data!$K$9:$K$1273,0)),"")</f>
        <v/>
      </c>
      <c r="H209" s="225" t="str">
        <f>IFERROR(INDEX(Data!BW$9:BW$1273,MATCH($M209,Data!$K$9:$K$1273,0)),"")</f>
        <v/>
      </c>
      <c r="I209" s="225" t="str">
        <f>IFERROR(INDEX(Data!BX$9:BX$1273,MATCH($M209,Data!$K$9:$K$1273,0)),"")</f>
        <v/>
      </c>
      <c r="J209" s="225" t="str">
        <f>IFERROR(INDEX(Data!CB$9:CB$1273,MATCH($M209,Data!$K$9:$K$1273,0)),"")</f>
        <v/>
      </c>
      <c r="K209" s="241" t="str">
        <f t="shared" si="27"/>
        <v/>
      </c>
      <c r="L209" s="242" t="str">
        <f t="shared" si="28"/>
        <v/>
      </c>
      <c r="M209" s="224"/>
      <c r="N209" s="224"/>
      <c r="O209" s="224" t="str">
        <f>IFERROR(INDEX(Data!M$9:M$1273,MATCH($M209,Data!$K$9:$K$1273,0)),"")</f>
        <v/>
      </c>
      <c r="P209" s="224" t="str">
        <f>IFERROR(INDEX(Data!N$9:N$1273,MATCH($M209,Data!$K$9:$K$1273,0)),"")</f>
        <v/>
      </c>
      <c r="Q209" s="224" t="str">
        <f>IFERROR(INDEX(Data!O$9:O$1273,MATCH($M209,Data!$K$9:$K$1273,0)),"")</f>
        <v/>
      </c>
      <c r="R209" s="224" t="str">
        <f>IFERROR(INDEX(Data!P$9:P$1273,MATCH($M209,Data!$K$9:$K$1273,0)),"")</f>
        <v/>
      </c>
      <c r="S209" s="224" t="str">
        <f>IFERROR(INDEX(Data!S$9:S$1273,MATCH($M209,Data!$K$9:$K$1273,0)),"")</f>
        <v/>
      </c>
      <c r="T209" s="224" t="str">
        <f>IFERROR(INDEX(Data!T$9:T$1273,MATCH($M209,Data!$K$9:$K$1273,0)),"")</f>
        <v/>
      </c>
      <c r="U209" s="224" t="str">
        <f>IFERROR(INDEX(Data!U$9:U$1273,MATCH($M209,Data!$K$9:$K$1273,0)),"")</f>
        <v/>
      </c>
      <c r="V209" s="224" t="str">
        <f>IFERROR(INDEX(Data!V$9:V$1273,MATCH($M209,Data!$K$9:$K$1273,0)),"")</f>
        <v/>
      </c>
      <c r="W209" s="224" t="str">
        <f>IFERROR(INDEX(Data!W$9:W$1273,MATCH($M209,Data!$K$9:$K$1273,0)),"")</f>
        <v/>
      </c>
      <c r="X209" s="224" t="str">
        <f>IFERROR(INDEX(Data!AJ$9:AJ$1273,MATCH($M209,Data!$K$9:$K$1273,0)),"")</f>
        <v/>
      </c>
      <c r="Y209" s="224" t="str">
        <f>IFERROR(INDEX(Data!AK$9:AK$1273,MATCH($M209,Data!$K$9:$K$1273,0)),"")</f>
        <v/>
      </c>
      <c r="Z209" s="224" t="str">
        <f>IFERROR(INDEX(Data!AL$9:AL$1273,MATCH($M209,Data!$K$9:$K$1273,0)),"")</f>
        <v/>
      </c>
      <c r="AA209" s="224" t="str">
        <f>IFERROR(INDEX(Data!AM$9:AM$1273,MATCH($M209,Data!$K$9:$K$1273,0)),"")</f>
        <v/>
      </c>
      <c r="AB209" s="224" t="str">
        <f>IFERROR(INDEX(Data!AN$9:AN$1273,MATCH($M209,Data!$K$9:$K$1273,0)),"")</f>
        <v/>
      </c>
      <c r="AC209" s="225" t="str">
        <f>IFERROR(INDEX(Data!BY$9:BY$1273,MATCH($M209,Data!$K$9:$K$1273,0)),"")</f>
        <v/>
      </c>
      <c r="AD209" s="225" t="str">
        <f>IFERROR(INDEX(Data!BZ$9:BZ$1273,MATCH($M209,Data!$K$9:$K$1273,0)),"")</f>
        <v/>
      </c>
      <c r="AE209" s="225" t="str">
        <f>IFERROR(INDEX(Data!CA$9:CA$1273,MATCH($M209,Data!$K$9:$K$1273,0)),"")</f>
        <v/>
      </c>
      <c r="AF209" s="225" t="str">
        <f>IFERROR(INDEX(Data!CB$9:CB$1273,MATCH($M209,Data!$K$9:$K$1273,0)),"")</f>
        <v/>
      </c>
      <c r="AG209" s="225" t="str">
        <f>IFERROR(INDEX(Data!CC$9:CC$1273,MATCH($M209,Data!$K$9:$K$1273,0)),"")</f>
        <v/>
      </c>
      <c r="AH209" s="225" t="str">
        <f>IFERROR(INDEX(Data!CD$9:CD$1273,MATCH($M209,Data!$K$9:$K$1273,0)),"")</f>
        <v/>
      </c>
      <c r="AI209" s="225" t="str">
        <f>IFERROR(INDEX(Data!CE$9:CE$1273,MATCH($M209,Data!$K$9:$K$1273,0)),"")</f>
        <v/>
      </c>
      <c r="AJ209" s="225" t="str">
        <f>IFERROR(INDEX(Data!CF$9:CF$1273,MATCH($M209,Data!$K$9:$K$1273,0)),"")</f>
        <v/>
      </c>
      <c r="AK209" s="225" t="str">
        <f>IFERROR(INDEX(Data!CG$9:CG$1273,MATCH($M209,Data!$K$9:$K$1273,0)),"")</f>
        <v/>
      </c>
      <c r="AL209" s="225" t="str">
        <f>IFERROR(INDEX(Data!CH$9:CH$1273,MATCH($M209,Data!$K$9:$K$1273,0)),"")</f>
        <v/>
      </c>
      <c r="AM209" s="225" t="str">
        <f>IFERROR(INDEX(Data!CI$9:CI$1273,MATCH($M209,Data!$K$9:$K$1273,0)),"")</f>
        <v/>
      </c>
      <c r="AN209" s="225" t="str">
        <f>IFERROR(INDEX(Data!CJ$9:CJ$1273,MATCH($M209,Data!$K$9:$K$1273,0)),"")</f>
        <v/>
      </c>
      <c r="AO209" s="225" t="str">
        <f>IFERROR(INDEX(Data!CK$9:CK$1273,MATCH($M209,Data!$K$9:$K$1273,0)),"")</f>
        <v/>
      </c>
      <c r="AP209" s="225" t="str">
        <f>IFERROR(INDEX(Data!CL$9:CL$1273,MATCH($M209,Data!$K$9:$K$1273,0)),"")</f>
        <v/>
      </c>
      <c r="AQ209" s="225" t="str">
        <f>IFERROR(INDEX(Data!CM$9:CM$1273,MATCH($M209,Data!$K$9:$K$1273,0)),"")</f>
        <v/>
      </c>
      <c r="AR209" s="225" t="str">
        <f>IFERROR(INDEX(Data!CN$9:CN$1273,MATCH($M209,Data!$K$9:$K$1273,0)),"")</f>
        <v/>
      </c>
      <c r="AS209" s="225" t="str">
        <f>IFERROR(INDEX(Data!CO$9:CO$1273,MATCH($M209,Data!$K$9:$K$1273,0)),"")</f>
        <v/>
      </c>
      <c r="AT209" s="225" t="str">
        <f>IFERROR(INDEX(Data!CP$9:CP$1273,MATCH($M209,Data!$K$9:$K$1273,0)),"")</f>
        <v/>
      </c>
      <c r="AU209" s="225" t="str">
        <f>IFERROR(INDEX(Data!CQ$9:CQ$1273,MATCH($M209,Data!$K$9:$K$1273,0)),"")</f>
        <v/>
      </c>
      <c r="AV209" s="225" t="str">
        <f>IFERROR(INDEX(Data!CR$9:CR$1273,MATCH($M209,Data!$K$9:$K$1273,0)),"")</f>
        <v/>
      </c>
      <c r="AW209" s="225" t="str">
        <f>IFERROR(INDEX(Data!CS$9:CS$1273,MATCH($M209,Data!$K$9:$K$1273,0)),"")</f>
        <v/>
      </c>
      <c r="AX209" s="225" t="str">
        <f>IFERROR(INDEX(Data!CT$9:CT$1273,MATCH($M209,Data!$K$9:$K$1273,0)),"")</f>
        <v/>
      </c>
      <c r="AY209" s="225" t="str">
        <f>IFERROR(INDEX(Data!CU$9:CU$1273,MATCH($M209,Data!$K$9:$K$1273,0)),"")</f>
        <v/>
      </c>
      <c r="AZ209" s="225" t="str">
        <f>IFERROR(INDEX(Data!CV$9:CV$1273,MATCH($M209,Data!$K$9:$K$1273,0)),"")</f>
        <v/>
      </c>
      <c r="BA209" s="225" t="str">
        <f>IFERROR(INDEX(Data!CX$9:CX$1273,MATCH($M209,Data!$K$9:$K$1273,0)),"")</f>
        <v/>
      </c>
      <c r="BB209" s="225" t="str">
        <f>IFERROR(INDEX(Data!CY$9:CY$1273,MATCH($M209,Data!$K$9:$K$1273,0)),"")</f>
        <v/>
      </c>
      <c r="BC209" s="225" t="str">
        <f>IFERROR(INDEX(Data!CZ$9:CZ$1273,MATCH($M209,Data!$K$9:$K$1273,0)),"")</f>
        <v/>
      </c>
      <c r="BD209" s="225" t="str">
        <f>IFERROR(INDEX(Data!DA$9:DA$1273,MATCH($M209,Data!$K$9:$K$1273,0)),"")</f>
        <v/>
      </c>
      <c r="BE209" s="225" t="str">
        <f>IFERROR(INDEX(Data!DB$9:DB$1273,MATCH($M209,Data!$K$9:$K$1273,0)),"")</f>
        <v/>
      </c>
      <c r="BF209" s="225" t="str">
        <f>IFERROR(INDEX(Data!DC$9:DC$1273,MATCH($M209,Data!$K$9:$K$1273,0)),"")</f>
        <v/>
      </c>
      <c r="BG209" s="225" t="str">
        <f>IFERROR(INDEX(Data!DD$9:DD$1273,MATCH($M209,Data!$K$9:$K$1273,0)),"")</f>
        <v/>
      </c>
      <c r="BH209" s="225" t="str">
        <f>IFERROR(INDEX(Data!DE$9:DE$1273,MATCH($M209,Data!$K$9:$K$1273,0)),"")</f>
        <v/>
      </c>
      <c r="BI209" s="225" t="str">
        <f>IFERROR(INDEX(Data!DF$9:DF$1273,MATCH($M209,Data!$K$9:$K$1273,0)),"")</f>
        <v/>
      </c>
      <c r="BJ209" s="225" t="str">
        <f>IFERROR(INDEX(Data!DG$9:DG$1273,MATCH($M209,Data!$K$9:$K$1273,0)),"")</f>
        <v/>
      </c>
      <c r="BK209" s="225" t="str">
        <f>IFERROR(INDEX(Data!DH$9:DH$1273,MATCH($M209,Data!$K$9:$K$1273,0)),"")</f>
        <v/>
      </c>
      <c r="BL209" s="225" t="str">
        <f>IFERROR(INDEX(Data!DI$9:DI$1273,MATCH($M209,Data!$K$9:$K$1273,0)),"")</f>
        <v/>
      </c>
      <c r="BM209" s="225" t="str">
        <f>IFERROR(INDEX(Data!DJ$9:DJ$1273,MATCH($M209,Data!$K$9:$K$1273,0)),"")</f>
        <v/>
      </c>
      <c r="BN209" s="225" t="str">
        <f>IFERROR(INDEX(Data!DK$9:DK$1273,MATCH($M209,Data!$K$9:$K$1273,0)),"")</f>
        <v/>
      </c>
      <c r="BO209" s="225" t="str">
        <f>IFERROR(INDEX(Data!DL$9:DL$1273,MATCH($M209,Data!$K$9:$K$1273,0)),"")</f>
        <v/>
      </c>
      <c r="BP209" s="243" t="str">
        <f t="shared" si="29"/>
        <v/>
      </c>
      <c r="BQ209" s="225" t="str">
        <f t="shared" si="30"/>
        <v xml:space="preserve"> </v>
      </c>
      <c r="BR209" s="225" t="str">
        <f t="shared" si="31"/>
        <v/>
      </c>
      <c r="BS209" s="225" t="str">
        <f>IFERROR(INDEX(Data!$DO$9:$DO$1273,MATCH('Your recommendation'!BR209,Data!$DN$9:$DN$1273,0)),"")</f>
        <v/>
      </c>
    </row>
    <row r="210" spans="2:71" ht="15.6" customHeight="1">
      <c r="B210" s="222" t="str">
        <f t="shared" si="32"/>
        <v/>
      </c>
      <c r="C210" s="223"/>
      <c r="D210" s="225" t="str">
        <f>IFERROR(INDEX(Data!BR$9:BR$1273,MATCH($M210,Data!$K$9:$K$1273,0)),"")</f>
        <v/>
      </c>
      <c r="E210" s="225" t="str">
        <f>IFERROR(INDEX(Data!BS$9:BS$1273,MATCH($M210,Data!$K$9:$K$1273,0)),"")</f>
        <v/>
      </c>
      <c r="F210" s="225" t="str">
        <f>IFERROR(INDEX(Data!DM$9:DM$1273,MATCH($M210,Data!$K$9:$K$1273,0)),"")</f>
        <v/>
      </c>
      <c r="G210" s="225" t="str">
        <f>IFERROR(INDEX(Data!BV$9:BV$1273,MATCH($M210,Data!$K$9:$K$1273,0)),"")</f>
        <v/>
      </c>
      <c r="H210" s="225" t="str">
        <f>IFERROR(INDEX(Data!BW$9:BW$1273,MATCH($M210,Data!$K$9:$K$1273,0)),"")</f>
        <v/>
      </c>
      <c r="I210" s="225" t="str">
        <f>IFERROR(INDEX(Data!BX$9:BX$1273,MATCH($M210,Data!$K$9:$K$1273,0)),"")</f>
        <v/>
      </c>
      <c r="J210" s="225" t="str">
        <f>IFERROR(INDEX(Data!CB$9:CB$1273,MATCH($M210,Data!$K$9:$K$1273,0)),"")</f>
        <v/>
      </c>
      <c r="K210" s="241" t="str">
        <f t="shared" si="27"/>
        <v/>
      </c>
      <c r="L210" s="242" t="str">
        <f t="shared" si="28"/>
        <v/>
      </c>
      <c r="M210" s="224"/>
      <c r="N210" s="224"/>
      <c r="O210" s="224" t="str">
        <f>IFERROR(INDEX(Data!M$9:M$1273,MATCH($M210,Data!$K$9:$K$1273,0)),"")</f>
        <v/>
      </c>
      <c r="P210" s="224" t="str">
        <f>IFERROR(INDEX(Data!N$9:N$1273,MATCH($M210,Data!$K$9:$K$1273,0)),"")</f>
        <v/>
      </c>
      <c r="Q210" s="224" t="str">
        <f>IFERROR(INDEX(Data!O$9:O$1273,MATCH($M210,Data!$K$9:$K$1273,0)),"")</f>
        <v/>
      </c>
      <c r="R210" s="224" t="str">
        <f>IFERROR(INDEX(Data!P$9:P$1273,MATCH($M210,Data!$K$9:$K$1273,0)),"")</f>
        <v/>
      </c>
      <c r="S210" s="224" t="str">
        <f>IFERROR(INDEX(Data!S$9:S$1273,MATCH($M210,Data!$K$9:$K$1273,0)),"")</f>
        <v/>
      </c>
      <c r="T210" s="224" t="str">
        <f>IFERROR(INDEX(Data!T$9:T$1273,MATCH($M210,Data!$K$9:$K$1273,0)),"")</f>
        <v/>
      </c>
      <c r="U210" s="224" t="str">
        <f>IFERROR(INDEX(Data!U$9:U$1273,MATCH($M210,Data!$K$9:$K$1273,0)),"")</f>
        <v/>
      </c>
      <c r="V210" s="224" t="str">
        <f>IFERROR(INDEX(Data!V$9:V$1273,MATCH($M210,Data!$K$9:$K$1273,0)),"")</f>
        <v/>
      </c>
      <c r="W210" s="224" t="str">
        <f>IFERROR(INDEX(Data!W$9:W$1273,MATCH($M210,Data!$K$9:$K$1273,0)),"")</f>
        <v/>
      </c>
      <c r="X210" s="224" t="str">
        <f>IFERROR(INDEX(Data!AJ$9:AJ$1273,MATCH($M210,Data!$K$9:$K$1273,0)),"")</f>
        <v/>
      </c>
      <c r="Y210" s="224" t="str">
        <f>IFERROR(INDEX(Data!AK$9:AK$1273,MATCH($M210,Data!$K$9:$K$1273,0)),"")</f>
        <v/>
      </c>
      <c r="Z210" s="224" t="str">
        <f>IFERROR(INDEX(Data!AL$9:AL$1273,MATCH($M210,Data!$K$9:$K$1273,0)),"")</f>
        <v/>
      </c>
      <c r="AA210" s="224" t="str">
        <f>IFERROR(INDEX(Data!AM$9:AM$1273,MATCH($M210,Data!$K$9:$K$1273,0)),"")</f>
        <v/>
      </c>
      <c r="AB210" s="224" t="str">
        <f>IFERROR(INDEX(Data!AN$9:AN$1273,MATCH($M210,Data!$K$9:$K$1273,0)),"")</f>
        <v/>
      </c>
      <c r="AC210" s="225" t="str">
        <f>IFERROR(INDEX(Data!BY$9:BY$1273,MATCH($M210,Data!$K$9:$K$1273,0)),"")</f>
        <v/>
      </c>
      <c r="AD210" s="225" t="str">
        <f>IFERROR(INDEX(Data!BZ$9:BZ$1273,MATCH($M210,Data!$K$9:$K$1273,0)),"")</f>
        <v/>
      </c>
      <c r="AE210" s="225" t="str">
        <f>IFERROR(INDEX(Data!CA$9:CA$1273,MATCH($M210,Data!$K$9:$K$1273,0)),"")</f>
        <v/>
      </c>
      <c r="AF210" s="225" t="str">
        <f>IFERROR(INDEX(Data!CB$9:CB$1273,MATCH($M210,Data!$K$9:$K$1273,0)),"")</f>
        <v/>
      </c>
      <c r="AG210" s="225" t="str">
        <f>IFERROR(INDEX(Data!CC$9:CC$1273,MATCH($M210,Data!$K$9:$K$1273,0)),"")</f>
        <v/>
      </c>
      <c r="AH210" s="225" t="str">
        <f>IFERROR(INDEX(Data!CD$9:CD$1273,MATCH($M210,Data!$K$9:$K$1273,0)),"")</f>
        <v/>
      </c>
      <c r="AI210" s="225" t="str">
        <f>IFERROR(INDEX(Data!CE$9:CE$1273,MATCH($M210,Data!$K$9:$K$1273,0)),"")</f>
        <v/>
      </c>
      <c r="AJ210" s="225" t="str">
        <f>IFERROR(INDEX(Data!CF$9:CF$1273,MATCH($M210,Data!$K$9:$K$1273,0)),"")</f>
        <v/>
      </c>
      <c r="AK210" s="225" t="str">
        <f>IFERROR(INDEX(Data!CG$9:CG$1273,MATCH($M210,Data!$K$9:$K$1273,0)),"")</f>
        <v/>
      </c>
      <c r="AL210" s="225" t="str">
        <f>IFERROR(INDEX(Data!CH$9:CH$1273,MATCH($M210,Data!$K$9:$K$1273,0)),"")</f>
        <v/>
      </c>
      <c r="AM210" s="225" t="str">
        <f>IFERROR(INDEX(Data!CI$9:CI$1273,MATCH($M210,Data!$K$9:$K$1273,0)),"")</f>
        <v/>
      </c>
      <c r="AN210" s="225" t="str">
        <f>IFERROR(INDEX(Data!CJ$9:CJ$1273,MATCH($M210,Data!$K$9:$K$1273,0)),"")</f>
        <v/>
      </c>
      <c r="AO210" s="225" t="str">
        <f>IFERROR(INDEX(Data!CK$9:CK$1273,MATCH($M210,Data!$K$9:$K$1273,0)),"")</f>
        <v/>
      </c>
      <c r="AP210" s="225" t="str">
        <f>IFERROR(INDEX(Data!CL$9:CL$1273,MATCH($M210,Data!$K$9:$K$1273,0)),"")</f>
        <v/>
      </c>
      <c r="AQ210" s="225" t="str">
        <f>IFERROR(INDEX(Data!CM$9:CM$1273,MATCH($M210,Data!$K$9:$K$1273,0)),"")</f>
        <v/>
      </c>
      <c r="AR210" s="225" t="str">
        <f>IFERROR(INDEX(Data!CN$9:CN$1273,MATCH($M210,Data!$K$9:$K$1273,0)),"")</f>
        <v/>
      </c>
      <c r="AS210" s="225" t="str">
        <f>IFERROR(INDEX(Data!CO$9:CO$1273,MATCH($M210,Data!$K$9:$K$1273,0)),"")</f>
        <v/>
      </c>
      <c r="AT210" s="225" t="str">
        <f>IFERROR(INDEX(Data!CP$9:CP$1273,MATCH($M210,Data!$K$9:$K$1273,0)),"")</f>
        <v/>
      </c>
      <c r="AU210" s="225" t="str">
        <f>IFERROR(INDEX(Data!CQ$9:CQ$1273,MATCH($M210,Data!$K$9:$K$1273,0)),"")</f>
        <v/>
      </c>
      <c r="AV210" s="225" t="str">
        <f>IFERROR(INDEX(Data!CR$9:CR$1273,MATCH($M210,Data!$K$9:$K$1273,0)),"")</f>
        <v/>
      </c>
      <c r="AW210" s="225" t="str">
        <f>IFERROR(INDEX(Data!CS$9:CS$1273,MATCH($M210,Data!$K$9:$K$1273,0)),"")</f>
        <v/>
      </c>
      <c r="AX210" s="225" t="str">
        <f>IFERROR(INDEX(Data!CT$9:CT$1273,MATCH($M210,Data!$K$9:$K$1273,0)),"")</f>
        <v/>
      </c>
      <c r="AY210" s="225" t="str">
        <f>IFERROR(INDEX(Data!CU$9:CU$1273,MATCH($M210,Data!$K$9:$K$1273,0)),"")</f>
        <v/>
      </c>
      <c r="AZ210" s="225" t="str">
        <f>IFERROR(INDEX(Data!CV$9:CV$1273,MATCH($M210,Data!$K$9:$K$1273,0)),"")</f>
        <v/>
      </c>
      <c r="BA210" s="225" t="str">
        <f>IFERROR(INDEX(Data!CX$9:CX$1273,MATCH($M210,Data!$K$9:$K$1273,0)),"")</f>
        <v/>
      </c>
      <c r="BB210" s="225" t="str">
        <f>IFERROR(INDEX(Data!CY$9:CY$1273,MATCH($M210,Data!$K$9:$K$1273,0)),"")</f>
        <v/>
      </c>
      <c r="BC210" s="225" t="str">
        <f>IFERROR(INDEX(Data!CZ$9:CZ$1273,MATCH($M210,Data!$K$9:$K$1273,0)),"")</f>
        <v/>
      </c>
      <c r="BD210" s="225" t="str">
        <f>IFERROR(INDEX(Data!DA$9:DA$1273,MATCH($M210,Data!$K$9:$K$1273,0)),"")</f>
        <v/>
      </c>
      <c r="BE210" s="225" t="str">
        <f>IFERROR(INDEX(Data!DB$9:DB$1273,MATCH($M210,Data!$K$9:$K$1273,0)),"")</f>
        <v/>
      </c>
      <c r="BF210" s="225" t="str">
        <f>IFERROR(INDEX(Data!DC$9:DC$1273,MATCH($M210,Data!$K$9:$K$1273,0)),"")</f>
        <v/>
      </c>
      <c r="BG210" s="225" t="str">
        <f>IFERROR(INDEX(Data!DD$9:DD$1273,MATCH($M210,Data!$K$9:$K$1273,0)),"")</f>
        <v/>
      </c>
      <c r="BH210" s="225" t="str">
        <f>IFERROR(INDEX(Data!DE$9:DE$1273,MATCH($M210,Data!$K$9:$K$1273,0)),"")</f>
        <v/>
      </c>
      <c r="BI210" s="225" t="str">
        <f>IFERROR(INDEX(Data!DF$9:DF$1273,MATCH($M210,Data!$K$9:$K$1273,0)),"")</f>
        <v/>
      </c>
      <c r="BJ210" s="225" t="str">
        <f>IFERROR(INDEX(Data!DG$9:DG$1273,MATCH($M210,Data!$K$9:$K$1273,0)),"")</f>
        <v/>
      </c>
      <c r="BK210" s="225" t="str">
        <f>IFERROR(INDEX(Data!DH$9:DH$1273,MATCH($M210,Data!$K$9:$K$1273,0)),"")</f>
        <v/>
      </c>
      <c r="BL210" s="225" t="str">
        <f>IFERROR(INDEX(Data!DI$9:DI$1273,MATCH($M210,Data!$K$9:$K$1273,0)),"")</f>
        <v/>
      </c>
      <c r="BM210" s="225" t="str">
        <f>IFERROR(INDEX(Data!DJ$9:DJ$1273,MATCH($M210,Data!$K$9:$K$1273,0)),"")</f>
        <v/>
      </c>
      <c r="BN210" s="225" t="str">
        <f>IFERROR(INDEX(Data!DK$9:DK$1273,MATCH($M210,Data!$K$9:$K$1273,0)),"")</f>
        <v/>
      </c>
      <c r="BO210" s="225" t="str">
        <f>IFERROR(INDEX(Data!DL$9:DL$1273,MATCH($M210,Data!$K$9:$K$1273,0)),"")</f>
        <v/>
      </c>
      <c r="BP210" s="243" t="str">
        <f t="shared" si="29"/>
        <v/>
      </c>
      <c r="BQ210" s="225" t="str">
        <f t="shared" si="30"/>
        <v xml:space="preserve"> </v>
      </c>
      <c r="BR210" s="225" t="str">
        <f t="shared" si="31"/>
        <v/>
      </c>
      <c r="BS210" s="225" t="str">
        <f>IFERROR(INDEX(Data!$DO$9:$DO$1273,MATCH('Your recommendation'!BR210,Data!$DN$9:$DN$1273,0)),"")</f>
        <v/>
      </c>
    </row>
    <row r="211" spans="2:71" ht="15.6" customHeight="1">
      <c r="B211" s="222" t="str">
        <f t="shared" si="32"/>
        <v/>
      </c>
      <c r="C211" s="223"/>
      <c r="D211" s="225" t="str">
        <f>IFERROR(INDEX(Data!BR$9:BR$1273,MATCH($M211,Data!$K$9:$K$1273,0)),"")</f>
        <v/>
      </c>
      <c r="E211" s="225" t="str">
        <f>IFERROR(INDEX(Data!BS$9:BS$1273,MATCH($M211,Data!$K$9:$K$1273,0)),"")</f>
        <v/>
      </c>
      <c r="F211" s="225" t="str">
        <f>IFERROR(INDEX(Data!DM$9:DM$1273,MATCH($M211,Data!$K$9:$K$1273,0)),"")</f>
        <v/>
      </c>
      <c r="G211" s="225" t="str">
        <f>IFERROR(INDEX(Data!BV$9:BV$1273,MATCH($M211,Data!$K$9:$K$1273,0)),"")</f>
        <v/>
      </c>
      <c r="H211" s="225" t="str">
        <f>IFERROR(INDEX(Data!BW$9:BW$1273,MATCH($M211,Data!$K$9:$K$1273,0)),"")</f>
        <v/>
      </c>
      <c r="I211" s="225" t="str">
        <f>IFERROR(INDEX(Data!BX$9:BX$1273,MATCH($M211,Data!$K$9:$K$1273,0)),"")</f>
        <v/>
      </c>
      <c r="J211" s="225" t="str">
        <f>IFERROR(INDEX(Data!CB$9:CB$1273,MATCH($M211,Data!$K$9:$K$1273,0)),"")</f>
        <v/>
      </c>
      <c r="K211" s="241" t="str">
        <f t="shared" si="27"/>
        <v/>
      </c>
      <c r="L211" s="242" t="str">
        <f t="shared" si="28"/>
        <v/>
      </c>
      <c r="M211" s="224"/>
      <c r="N211" s="224"/>
      <c r="O211" s="224" t="str">
        <f>IFERROR(INDEX(Data!M$9:M$1273,MATCH($M211,Data!$K$9:$K$1273,0)),"")</f>
        <v/>
      </c>
      <c r="P211" s="224" t="str">
        <f>IFERROR(INDEX(Data!N$9:N$1273,MATCH($M211,Data!$K$9:$K$1273,0)),"")</f>
        <v/>
      </c>
      <c r="Q211" s="224" t="str">
        <f>IFERROR(INDEX(Data!O$9:O$1273,MATCH($M211,Data!$K$9:$K$1273,0)),"")</f>
        <v/>
      </c>
      <c r="R211" s="224" t="str">
        <f>IFERROR(INDEX(Data!P$9:P$1273,MATCH($M211,Data!$K$9:$K$1273,0)),"")</f>
        <v/>
      </c>
      <c r="S211" s="224" t="str">
        <f>IFERROR(INDEX(Data!S$9:S$1273,MATCH($M211,Data!$K$9:$K$1273,0)),"")</f>
        <v/>
      </c>
      <c r="T211" s="224" t="str">
        <f>IFERROR(INDEX(Data!T$9:T$1273,MATCH($M211,Data!$K$9:$K$1273,0)),"")</f>
        <v/>
      </c>
      <c r="U211" s="224" t="str">
        <f>IFERROR(INDEX(Data!U$9:U$1273,MATCH($M211,Data!$K$9:$K$1273,0)),"")</f>
        <v/>
      </c>
      <c r="V211" s="224" t="str">
        <f>IFERROR(INDEX(Data!V$9:V$1273,MATCH($M211,Data!$K$9:$K$1273,0)),"")</f>
        <v/>
      </c>
      <c r="W211" s="224" t="str">
        <f>IFERROR(INDEX(Data!W$9:W$1273,MATCH($M211,Data!$K$9:$K$1273,0)),"")</f>
        <v/>
      </c>
      <c r="X211" s="224" t="str">
        <f>IFERROR(INDEX(Data!AJ$9:AJ$1273,MATCH($M211,Data!$K$9:$K$1273,0)),"")</f>
        <v/>
      </c>
      <c r="Y211" s="224" t="str">
        <f>IFERROR(INDEX(Data!AK$9:AK$1273,MATCH($M211,Data!$K$9:$K$1273,0)),"")</f>
        <v/>
      </c>
      <c r="Z211" s="224" t="str">
        <f>IFERROR(INDEX(Data!AL$9:AL$1273,MATCH($M211,Data!$K$9:$K$1273,0)),"")</f>
        <v/>
      </c>
      <c r="AA211" s="224" t="str">
        <f>IFERROR(INDEX(Data!AM$9:AM$1273,MATCH($M211,Data!$K$9:$K$1273,0)),"")</f>
        <v/>
      </c>
      <c r="AB211" s="224" t="str">
        <f>IFERROR(INDEX(Data!AN$9:AN$1273,MATCH($M211,Data!$K$9:$K$1273,0)),"")</f>
        <v/>
      </c>
      <c r="AC211" s="225" t="str">
        <f>IFERROR(INDEX(Data!BY$9:BY$1273,MATCH($M211,Data!$K$9:$K$1273,0)),"")</f>
        <v/>
      </c>
      <c r="AD211" s="225" t="str">
        <f>IFERROR(INDEX(Data!BZ$9:BZ$1273,MATCH($M211,Data!$K$9:$K$1273,0)),"")</f>
        <v/>
      </c>
      <c r="AE211" s="225" t="str">
        <f>IFERROR(INDEX(Data!CA$9:CA$1273,MATCH($M211,Data!$K$9:$K$1273,0)),"")</f>
        <v/>
      </c>
      <c r="AF211" s="225" t="str">
        <f>IFERROR(INDEX(Data!CB$9:CB$1273,MATCH($M211,Data!$K$9:$K$1273,0)),"")</f>
        <v/>
      </c>
      <c r="AG211" s="225" t="str">
        <f>IFERROR(INDEX(Data!CC$9:CC$1273,MATCH($M211,Data!$K$9:$K$1273,0)),"")</f>
        <v/>
      </c>
      <c r="AH211" s="225" t="str">
        <f>IFERROR(INDEX(Data!CD$9:CD$1273,MATCH($M211,Data!$K$9:$K$1273,0)),"")</f>
        <v/>
      </c>
      <c r="AI211" s="225" t="str">
        <f>IFERROR(INDEX(Data!CE$9:CE$1273,MATCH($M211,Data!$K$9:$K$1273,0)),"")</f>
        <v/>
      </c>
      <c r="AJ211" s="225" t="str">
        <f>IFERROR(INDEX(Data!CF$9:CF$1273,MATCH($M211,Data!$K$9:$K$1273,0)),"")</f>
        <v/>
      </c>
      <c r="AK211" s="225" t="str">
        <f>IFERROR(INDEX(Data!CG$9:CG$1273,MATCH($M211,Data!$K$9:$K$1273,0)),"")</f>
        <v/>
      </c>
      <c r="AL211" s="225" t="str">
        <f>IFERROR(INDEX(Data!CH$9:CH$1273,MATCH($M211,Data!$K$9:$K$1273,0)),"")</f>
        <v/>
      </c>
      <c r="AM211" s="225" t="str">
        <f>IFERROR(INDEX(Data!CI$9:CI$1273,MATCH($M211,Data!$K$9:$K$1273,0)),"")</f>
        <v/>
      </c>
      <c r="AN211" s="225" t="str">
        <f>IFERROR(INDEX(Data!CJ$9:CJ$1273,MATCH($M211,Data!$K$9:$K$1273,0)),"")</f>
        <v/>
      </c>
      <c r="AO211" s="225" t="str">
        <f>IFERROR(INDEX(Data!CK$9:CK$1273,MATCH($M211,Data!$K$9:$K$1273,0)),"")</f>
        <v/>
      </c>
      <c r="AP211" s="225" t="str">
        <f>IFERROR(INDEX(Data!CL$9:CL$1273,MATCH($M211,Data!$K$9:$K$1273,0)),"")</f>
        <v/>
      </c>
      <c r="AQ211" s="225" t="str">
        <f>IFERROR(INDEX(Data!CM$9:CM$1273,MATCH($M211,Data!$K$9:$K$1273,0)),"")</f>
        <v/>
      </c>
      <c r="AR211" s="225" t="str">
        <f>IFERROR(INDEX(Data!CN$9:CN$1273,MATCH($M211,Data!$K$9:$K$1273,0)),"")</f>
        <v/>
      </c>
      <c r="AS211" s="225" t="str">
        <f>IFERROR(INDEX(Data!CO$9:CO$1273,MATCH($M211,Data!$K$9:$K$1273,0)),"")</f>
        <v/>
      </c>
      <c r="AT211" s="225" t="str">
        <f>IFERROR(INDEX(Data!CP$9:CP$1273,MATCH($M211,Data!$K$9:$K$1273,0)),"")</f>
        <v/>
      </c>
      <c r="AU211" s="225" t="str">
        <f>IFERROR(INDEX(Data!CQ$9:CQ$1273,MATCH($M211,Data!$K$9:$K$1273,0)),"")</f>
        <v/>
      </c>
      <c r="AV211" s="225" t="str">
        <f>IFERROR(INDEX(Data!CR$9:CR$1273,MATCH($M211,Data!$K$9:$K$1273,0)),"")</f>
        <v/>
      </c>
      <c r="AW211" s="225" t="str">
        <f>IFERROR(INDEX(Data!CS$9:CS$1273,MATCH($M211,Data!$K$9:$K$1273,0)),"")</f>
        <v/>
      </c>
      <c r="AX211" s="225" t="str">
        <f>IFERROR(INDEX(Data!CT$9:CT$1273,MATCH($M211,Data!$K$9:$K$1273,0)),"")</f>
        <v/>
      </c>
      <c r="AY211" s="225" t="str">
        <f>IFERROR(INDEX(Data!CU$9:CU$1273,MATCH($M211,Data!$K$9:$K$1273,0)),"")</f>
        <v/>
      </c>
      <c r="AZ211" s="225" t="str">
        <f>IFERROR(INDEX(Data!CV$9:CV$1273,MATCH($M211,Data!$K$9:$K$1273,0)),"")</f>
        <v/>
      </c>
      <c r="BA211" s="225" t="str">
        <f>IFERROR(INDEX(Data!CX$9:CX$1273,MATCH($M211,Data!$K$9:$K$1273,0)),"")</f>
        <v/>
      </c>
      <c r="BB211" s="225" t="str">
        <f>IFERROR(INDEX(Data!CY$9:CY$1273,MATCH($M211,Data!$K$9:$K$1273,0)),"")</f>
        <v/>
      </c>
      <c r="BC211" s="225" t="str">
        <f>IFERROR(INDEX(Data!CZ$9:CZ$1273,MATCH($M211,Data!$K$9:$K$1273,0)),"")</f>
        <v/>
      </c>
      <c r="BD211" s="225" t="str">
        <f>IFERROR(INDEX(Data!DA$9:DA$1273,MATCH($M211,Data!$K$9:$K$1273,0)),"")</f>
        <v/>
      </c>
      <c r="BE211" s="225" t="str">
        <f>IFERROR(INDEX(Data!DB$9:DB$1273,MATCH($M211,Data!$K$9:$K$1273,0)),"")</f>
        <v/>
      </c>
      <c r="BF211" s="225" t="str">
        <f>IFERROR(INDEX(Data!DC$9:DC$1273,MATCH($M211,Data!$K$9:$K$1273,0)),"")</f>
        <v/>
      </c>
      <c r="BG211" s="225" t="str">
        <f>IFERROR(INDEX(Data!DD$9:DD$1273,MATCH($M211,Data!$K$9:$K$1273,0)),"")</f>
        <v/>
      </c>
      <c r="BH211" s="225" t="str">
        <f>IFERROR(INDEX(Data!DE$9:DE$1273,MATCH($M211,Data!$K$9:$K$1273,0)),"")</f>
        <v/>
      </c>
      <c r="BI211" s="225" t="str">
        <f>IFERROR(INDEX(Data!DF$9:DF$1273,MATCH($M211,Data!$K$9:$K$1273,0)),"")</f>
        <v/>
      </c>
      <c r="BJ211" s="225" t="str">
        <f>IFERROR(INDEX(Data!DG$9:DG$1273,MATCH($M211,Data!$K$9:$K$1273,0)),"")</f>
        <v/>
      </c>
      <c r="BK211" s="225" t="str">
        <f>IFERROR(INDEX(Data!DH$9:DH$1273,MATCH($M211,Data!$K$9:$K$1273,0)),"")</f>
        <v/>
      </c>
      <c r="BL211" s="225" t="str">
        <f>IFERROR(INDEX(Data!DI$9:DI$1273,MATCH($M211,Data!$K$9:$K$1273,0)),"")</f>
        <v/>
      </c>
      <c r="BM211" s="225" t="str">
        <f>IFERROR(INDEX(Data!DJ$9:DJ$1273,MATCH($M211,Data!$K$9:$K$1273,0)),"")</f>
        <v/>
      </c>
      <c r="BN211" s="225" t="str">
        <f>IFERROR(INDEX(Data!DK$9:DK$1273,MATCH($M211,Data!$K$9:$K$1273,0)),"")</f>
        <v/>
      </c>
      <c r="BO211" s="225" t="str">
        <f>IFERROR(INDEX(Data!DL$9:DL$1273,MATCH($M211,Data!$K$9:$K$1273,0)),"")</f>
        <v/>
      </c>
      <c r="BP211" s="243" t="str">
        <f t="shared" si="29"/>
        <v/>
      </c>
      <c r="BQ211" s="225" t="str">
        <f t="shared" si="30"/>
        <v xml:space="preserve"> </v>
      </c>
      <c r="BR211" s="225" t="str">
        <f t="shared" si="31"/>
        <v/>
      </c>
      <c r="BS211" s="225" t="str">
        <f>IFERROR(INDEX(Data!$DO$9:$DO$1273,MATCH('Your recommendation'!BR211,Data!$DN$9:$DN$1273,0)),"")</f>
        <v/>
      </c>
    </row>
    <row r="212" spans="2:71" ht="15.6" customHeight="1">
      <c r="B212" s="222" t="str">
        <f t="shared" si="32"/>
        <v/>
      </c>
      <c r="C212" s="223"/>
      <c r="D212" s="225" t="str">
        <f>IFERROR(INDEX(Data!BR$9:BR$1273,MATCH($M212,Data!$K$9:$K$1273,0)),"")</f>
        <v/>
      </c>
      <c r="E212" s="225" t="str">
        <f>IFERROR(INDEX(Data!BS$9:BS$1273,MATCH($M212,Data!$K$9:$K$1273,0)),"")</f>
        <v/>
      </c>
      <c r="F212" s="225" t="str">
        <f>IFERROR(INDEX(Data!DM$9:DM$1273,MATCH($M212,Data!$K$9:$K$1273,0)),"")</f>
        <v/>
      </c>
      <c r="G212" s="225" t="str">
        <f>IFERROR(INDEX(Data!BV$9:BV$1273,MATCH($M212,Data!$K$9:$K$1273,0)),"")</f>
        <v/>
      </c>
      <c r="H212" s="225" t="str">
        <f>IFERROR(INDEX(Data!BW$9:BW$1273,MATCH($M212,Data!$K$9:$K$1273,0)),"")</f>
        <v/>
      </c>
      <c r="I212" s="225" t="str">
        <f>IFERROR(INDEX(Data!BX$9:BX$1273,MATCH($M212,Data!$K$9:$K$1273,0)),"")</f>
        <v/>
      </c>
      <c r="J212" s="225" t="str">
        <f>IFERROR(INDEX(Data!CB$9:CB$1273,MATCH($M212,Data!$K$9:$K$1273,0)),"")</f>
        <v/>
      </c>
      <c r="K212" s="241" t="str">
        <f t="shared" si="27"/>
        <v/>
      </c>
      <c r="L212" s="242" t="str">
        <f t="shared" si="28"/>
        <v/>
      </c>
      <c r="M212" s="224"/>
      <c r="N212" s="224"/>
      <c r="O212" s="224" t="str">
        <f>IFERROR(INDEX(Data!M$9:M$1273,MATCH($M212,Data!$K$9:$K$1273,0)),"")</f>
        <v/>
      </c>
      <c r="P212" s="224" t="str">
        <f>IFERROR(INDEX(Data!N$9:N$1273,MATCH($M212,Data!$K$9:$K$1273,0)),"")</f>
        <v/>
      </c>
      <c r="Q212" s="224" t="str">
        <f>IFERROR(INDEX(Data!O$9:O$1273,MATCH($M212,Data!$K$9:$K$1273,0)),"")</f>
        <v/>
      </c>
      <c r="R212" s="224" t="str">
        <f>IFERROR(INDEX(Data!P$9:P$1273,MATCH($M212,Data!$K$9:$K$1273,0)),"")</f>
        <v/>
      </c>
      <c r="S212" s="224" t="str">
        <f>IFERROR(INDEX(Data!S$9:S$1273,MATCH($M212,Data!$K$9:$K$1273,0)),"")</f>
        <v/>
      </c>
      <c r="T212" s="224" t="str">
        <f>IFERROR(INDEX(Data!T$9:T$1273,MATCH($M212,Data!$K$9:$K$1273,0)),"")</f>
        <v/>
      </c>
      <c r="U212" s="224" t="str">
        <f>IFERROR(INDEX(Data!U$9:U$1273,MATCH($M212,Data!$K$9:$K$1273,0)),"")</f>
        <v/>
      </c>
      <c r="V212" s="224" t="str">
        <f>IFERROR(INDEX(Data!V$9:V$1273,MATCH($M212,Data!$K$9:$K$1273,0)),"")</f>
        <v/>
      </c>
      <c r="W212" s="224" t="str">
        <f>IFERROR(INDEX(Data!W$9:W$1273,MATCH($M212,Data!$K$9:$K$1273,0)),"")</f>
        <v/>
      </c>
      <c r="X212" s="224" t="str">
        <f>IFERROR(INDEX(Data!AJ$9:AJ$1273,MATCH($M212,Data!$K$9:$K$1273,0)),"")</f>
        <v/>
      </c>
      <c r="Y212" s="224" t="str">
        <f>IFERROR(INDEX(Data!AK$9:AK$1273,MATCH($M212,Data!$K$9:$K$1273,0)),"")</f>
        <v/>
      </c>
      <c r="Z212" s="224" t="str">
        <f>IFERROR(INDEX(Data!AL$9:AL$1273,MATCH($M212,Data!$K$9:$K$1273,0)),"")</f>
        <v/>
      </c>
      <c r="AA212" s="224" t="str">
        <f>IFERROR(INDEX(Data!AM$9:AM$1273,MATCH($M212,Data!$K$9:$K$1273,0)),"")</f>
        <v/>
      </c>
      <c r="AB212" s="224" t="str">
        <f>IFERROR(INDEX(Data!AN$9:AN$1273,MATCH($M212,Data!$K$9:$K$1273,0)),"")</f>
        <v/>
      </c>
      <c r="AC212" s="225" t="str">
        <f>IFERROR(INDEX(Data!BY$9:BY$1273,MATCH($M212,Data!$K$9:$K$1273,0)),"")</f>
        <v/>
      </c>
      <c r="AD212" s="225" t="str">
        <f>IFERROR(INDEX(Data!BZ$9:BZ$1273,MATCH($M212,Data!$K$9:$K$1273,0)),"")</f>
        <v/>
      </c>
      <c r="AE212" s="225" t="str">
        <f>IFERROR(INDEX(Data!CA$9:CA$1273,MATCH($M212,Data!$K$9:$K$1273,0)),"")</f>
        <v/>
      </c>
      <c r="AF212" s="225" t="str">
        <f>IFERROR(INDEX(Data!CB$9:CB$1273,MATCH($M212,Data!$K$9:$K$1273,0)),"")</f>
        <v/>
      </c>
      <c r="AG212" s="225" t="str">
        <f>IFERROR(INDEX(Data!CC$9:CC$1273,MATCH($M212,Data!$K$9:$K$1273,0)),"")</f>
        <v/>
      </c>
      <c r="AH212" s="225" t="str">
        <f>IFERROR(INDEX(Data!CD$9:CD$1273,MATCH($M212,Data!$K$9:$K$1273,0)),"")</f>
        <v/>
      </c>
      <c r="AI212" s="225" t="str">
        <f>IFERROR(INDEX(Data!CE$9:CE$1273,MATCH($M212,Data!$K$9:$K$1273,0)),"")</f>
        <v/>
      </c>
      <c r="AJ212" s="225" t="str">
        <f>IFERROR(INDEX(Data!CF$9:CF$1273,MATCH($M212,Data!$K$9:$K$1273,0)),"")</f>
        <v/>
      </c>
      <c r="AK212" s="225" t="str">
        <f>IFERROR(INDEX(Data!CG$9:CG$1273,MATCH($M212,Data!$K$9:$K$1273,0)),"")</f>
        <v/>
      </c>
      <c r="AL212" s="225" t="str">
        <f>IFERROR(INDEX(Data!CH$9:CH$1273,MATCH($M212,Data!$K$9:$K$1273,0)),"")</f>
        <v/>
      </c>
      <c r="AM212" s="225" t="str">
        <f>IFERROR(INDEX(Data!CI$9:CI$1273,MATCH($M212,Data!$K$9:$K$1273,0)),"")</f>
        <v/>
      </c>
      <c r="AN212" s="225" t="str">
        <f>IFERROR(INDEX(Data!CJ$9:CJ$1273,MATCH($M212,Data!$K$9:$K$1273,0)),"")</f>
        <v/>
      </c>
      <c r="AO212" s="225" t="str">
        <f>IFERROR(INDEX(Data!CK$9:CK$1273,MATCH($M212,Data!$K$9:$K$1273,0)),"")</f>
        <v/>
      </c>
      <c r="AP212" s="225" t="str">
        <f>IFERROR(INDEX(Data!CL$9:CL$1273,MATCH($M212,Data!$K$9:$K$1273,0)),"")</f>
        <v/>
      </c>
      <c r="AQ212" s="225" t="str">
        <f>IFERROR(INDEX(Data!CM$9:CM$1273,MATCH($M212,Data!$K$9:$K$1273,0)),"")</f>
        <v/>
      </c>
      <c r="AR212" s="225" t="str">
        <f>IFERROR(INDEX(Data!CN$9:CN$1273,MATCH($M212,Data!$K$9:$K$1273,0)),"")</f>
        <v/>
      </c>
      <c r="AS212" s="225" t="str">
        <f>IFERROR(INDEX(Data!CO$9:CO$1273,MATCH($M212,Data!$K$9:$K$1273,0)),"")</f>
        <v/>
      </c>
      <c r="AT212" s="225" t="str">
        <f>IFERROR(INDEX(Data!CP$9:CP$1273,MATCH($M212,Data!$K$9:$K$1273,0)),"")</f>
        <v/>
      </c>
      <c r="AU212" s="225" t="str">
        <f>IFERROR(INDEX(Data!CQ$9:CQ$1273,MATCH($M212,Data!$K$9:$K$1273,0)),"")</f>
        <v/>
      </c>
      <c r="AV212" s="225" t="str">
        <f>IFERROR(INDEX(Data!CR$9:CR$1273,MATCH($M212,Data!$K$9:$K$1273,0)),"")</f>
        <v/>
      </c>
      <c r="AW212" s="225" t="str">
        <f>IFERROR(INDEX(Data!CS$9:CS$1273,MATCH($M212,Data!$K$9:$K$1273,0)),"")</f>
        <v/>
      </c>
      <c r="AX212" s="225" t="str">
        <f>IFERROR(INDEX(Data!CT$9:CT$1273,MATCH($M212,Data!$K$9:$K$1273,0)),"")</f>
        <v/>
      </c>
      <c r="AY212" s="225" t="str">
        <f>IFERROR(INDEX(Data!CU$9:CU$1273,MATCH($M212,Data!$K$9:$K$1273,0)),"")</f>
        <v/>
      </c>
      <c r="AZ212" s="225" t="str">
        <f>IFERROR(INDEX(Data!CV$9:CV$1273,MATCH($M212,Data!$K$9:$K$1273,0)),"")</f>
        <v/>
      </c>
      <c r="BA212" s="225" t="str">
        <f>IFERROR(INDEX(Data!CX$9:CX$1273,MATCH($M212,Data!$K$9:$K$1273,0)),"")</f>
        <v/>
      </c>
      <c r="BB212" s="225" t="str">
        <f>IFERROR(INDEX(Data!CY$9:CY$1273,MATCH($M212,Data!$K$9:$K$1273,0)),"")</f>
        <v/>
      </c>
      <c r="BC212" s="225" t="str">
        <f>IFERROR(INDEX(Data!CZ$9:CZ$1273,MATCH($M212,Data!$K$9:$K$1273,0)),"")</f>
        <v/>
      </c>
      <c r="BD212" s="225" t="str">
        <f>IFERROR(INDEX(Data!DA$9:DA$1273,MATCH($M212,Data!$K$9:$K$1273,0)),"")</f>
        <v/>
      </c>
      <c r="BE212" s="225" t="str">
        <f>IFERROR(INDEX(Data!DB$9:DB$1273,MATCH($M212,Data!$K$9:$K$1273,0)),"")</f>
        <v/>
      </c>
      <c r="BF212" s="225" t="str">
        <f>IFERROR(INDEX(Data!DC$9:DC$1273,MATCH($M212,Data!$K$9:$K$1273,0)),"")</f>
        <v/>
      </c>
      <c r="BG212" s="225" t="str">
        <f>IFERROR(INDEX(Data!DD$9:DD$1273,MATCH($M212,Data!$K$9:$K$1273,0)),"")</f>
        <v/>
      </c>
      <c r="BH212" s="225" t="str">
        <f>IFERROR(INDEX(Data!DE$9:DE$1273,MATCH($M212,Data!$K$9:$K$1273,0)),"")</f>
        <v/>
      </c>
      <c r="BI212" s="225" t="str">
        <f>IFERROR(INDEX(Data!DF$9:DF$1273,MATCH($M212,Data!$K$9:$K$1273,0)),"")</f>
        <v/>
      </c>
      <c r="BJ212" s="225" t="str">
        <f>IFERROR(INDEX(Data!DG$9:DG$1273,MATCH($M212,Data!$K$9:$K$1273,0)),"")</f>
        <v/>
      </c>
      <c r="BK212" s="225" t="str">
        <f>IFERROR(INDEX(Data!DH$9:DH$1273,MATCH($M212,Data!$K$9:$K$1273,0)),"")</f>
        <v/>
      </c>
      <c r="BL212" s="225" t="str">
        <f>IFERROR(INDEX(Data!DI$9:DI$1273,MATCH($M212,Data!$K$9:$K$1273,0)),"")</f>
        <v/>
      </c>
      <c r="BM212" s="225" t="str">
        <f>IFERROR(INDEX(Data!DJ$9:DJ$1273,MATCH($M212,Data!$K$9:$K$1273,0)),"")</f>
        <v/>
      </c>
      <c r="BN212" s="225" t="str">
        <f>IFERROR(INDEX(Data!DK$9:DK$1273,MATCH($M212,Data!$K$9:$K$1273,0)),"")</f>
        <v/>
      </c>
      <c r="BO212" s="225" t="str">
        <f>IFERROR(INDEX(Data!DL$9:DL$1273,MATCH($M212,Data!$K$9:$K$1273,0)),"")</f>
        <v/>
      </c>
      <c r="BP212" s="243" t="str">
        <f t="shared" si="29"/>
        <v/>
      </c>
      <c r="BQ212" s="225" t="str">
        <f t="shared" si="30"/>
        <v xml:space="preserve"> </v>
      </c>
      <c r="BR212" s="225" t="str">
        <f t="shared" si="31"/>
        <v/>
      </c>
      <c r="BS212" s="225" t="str">
        <f>IFERROR(INDEX(Data!$DO$9:$DO$1273,MATCH('Your recommendation'!BR212,Data!$DN$9:$DN$1273,0)),"")</f>
        <v/>
      </c>
    </row>
    <row r="213" spans="2:71" ht="15.6" customHeight="1">
      <c r="B213" s="222" t="str">
        <f t="shared" si="32"/>
        <v/>
      </c>
      <c r="C213" s="223"/>
      <c r="D213" s="225" t="str">
        <f>IFERROR(INDEX(Data!BR$9:BR$1273,MATCH($M213,Data!$K$9:$K$1273,0)),"")</f>
        <v/>
      </c>
      <c r="E213" s="225" t="str">
        <f>IFERROR(INDEX(Data!BS$9:BS$1273,MATCH($M213,Data!$K$9:$K$1273,0)),"")</f>
        <v/>
      </c>
      <c r="F213" s="225" t="str">
        <f>IFERROR(INDEX(Data!DM$9:DM$1273,MATCH($M213,Data!$K$9:$K$1273,0)),"")</f>
        <v/>
      </c>
      <c r="G213" s="225" t="str">
        <f>IFERROR(INDEX(Data!BV$9:BV$1273,MATCH($M213,Data!$K$9:$K$1273,0)),"")</f>
        <v/>
      </c>
      <c r="H213" s="225" t="str">
        <f>IFERROR(INDEX(Data!BW$9:BW$1273,MATCH($M213,Data!$K$9:$K$1273,0)),"")</f>
        <v/>
      </c>
      <c r="I213" s="225" t="str">
        <f>IFERROR(INDEX(Data!BX$9:BX$1273,MATCH($M213,Data!$K$9:$K$1273,0)),"")</f>
        <v/>
      </c>
      <c r="J213" s="225" t="str">
        <f>IFERROR(INDEX(Data!CB$9:CB$1273,MATCH($M213,Data!$K$9:$K$1273,0)),"")</f>
        <v/>
      </c>
      <c r="K213" s="241" t="str">
        <f t="shared" si="27"/>
        <v/>
      </c>
      <c r="L213" s="242" t="str">
        <f t="shared" si="28"/>
        <v/>
      </c>
      <c r="M213" s="224"/>
      <c r="N213" s="224"/>
      <c r="O213" s="224" t="str">
        <f>IFERROR(INDEX(Data!M$9:M$1273,MATCH($M213,Data!$K$9:$K$1273,0)),"")</f>
        <v/>
      </c>
      <c r="P213" s="224" t="str">
        <f>IFERROR(INDEX(Data!N$9:N$1273,MATCH($M213,Data!$K$9:$K$1273,0)),"")</f>
        <v/>
      </c>
      <c r="Q213" s="224" t="str">
        <f>IFERROR(INDEX(Data!O$9:O$1273,MATCH($M213,Data!$K$9:$K$1273,0)),"")</f>
        <v/>
      </c>
      <c r="R213" s="224" t="str">
        <f>IFERROR(INDEX(Data!P$9:P$1273,MATCH($M213,Data!$K$9:$K$1273,0)),"")</f>
        <v/>
      </c>
      <c r="S213" s="224" t="str">
        <f>IFERROR(INDEX(Data!S$9:S$1273,MATCH($M213,Data!$K$9:$K$1273,0)),"")</f>
        <v/>
      </c>
      <c r="T213" s="224" t="str">
        <f>IFERROR(INDEX(Data!T$9:T$1273,MATCH($M213,Data!$K$9:$K$1273,0)),"")</f>
        <v/>
      </c>
      <c r="U213" s="224" t="str">
        <f>IFERROR(INDEX(Data!U$9:U$1273,MATCH($M213,Data!$K$9:$K$1273,0)),"")</f>
        <v/>
      </c>
      <c r="V213" s="224" t="str">
        <f>IFERROR(INDEX(Data!V$9:V$1273,MATCH($M213,Data!$K$9:$K$1273,0)),"")</f>
        <v/>
      </c>
      <c r="W213" s="224" t="str">
        <f>IFERROR(INDEX(Data!W$9:W$1273,MATCH($M213,Data!$K$9:$K$1273,0)),"")</f>
        <v/>
      </c>
      <c r="X213" s="224" t="str">
        <f>IFERROR(INDEX(Data!AJ$9:AJ$1273,MATCH($M213,Data!$K$9:$K$1273,0)),"")</f>
        <v/>
      </c>
      <c r="Y213" s="224" t="str">
        <f>IFERROR(INDEX(Data!AK$9:AK$1273,MATCH($M213,Data!$K$9:$K$1273,0)),"")</f>
        <v/>
      </c>
      <c r="Z213" s="224" t="str">
        <f>IFERROR(INDEX(Data!AL$9:AL$1273,MATCH($M213,Data!$K$9:$K$1273,0)),"")</f>
        <v/>
      </c>
      <c r="AA213" s="224" t="str">
        <f>IFERROR(INDEX(Data!AM$9:AM$1273,MATCH($M213,Data!$K$9:$K$1273,0)),"")</f>
        <v/>
      </c>
      <c r="AB213" s="224" t="str">
        <f>IFERROR(INDEX(Data!AN$9:AN$1273,MATCH($M213,Data!$K$9:$K$1273,0)),"")</f>
        <v/>
      </c>
      <c r="AC213" s="225" t="str">
        <f>IFERROR(INDEX(Data!BY$9:BY$1273,MATCH($M213,Data!$K$9:$K$1273,0)),"")</f>
        <v/>
      </c>
      <c r="AD213" s="225" t="str">
        <f>IFERROR(INDEX(Data!BZ$9:BZ$1273,MATCH($M213,Data!$K$9:$K$1273,0)),"")</f>
        <v/>
      </c>
      <c r="AE213" s="225" t="str">
        <f>IFERROR(INDEX(Data!CA$9:CA$1273,MATCH($M213,Data!$K$9:$K$1273,0)),"")</f>
        <v/>
      </c>
      <c r="AF213" s="225" t="str">
        <f>IFERROR(INDEX(Data!CB$9:CB$1273,MATCH($M213,Data!$K$9:$K$1273,0)),"")</f>
        <v/>
      </c>
      <c r="AG213" s="225" t="str">
        <f>IFERROR(INDEX(Data!CC$9:CC$1273,MATCH($M213,Data!$K$9:$K$1273,0)),"")</f>
        <v/>
      </c>
      <c r="AH213" s="225" t="str">
        <f>IFERROR(INDEX(Data!CD$9:CD$1273,MATCH($M213,Data!$K$9:$K$1273,0)),"")</f>
        <v/>
      </c>
      <c r="AI213" s="225" t="str">
        <f>IFERROR(INDEX(Data!CE$9:CE$1273,MATCH($M213,Data!$K$9:$K$1273,0)),"")</f>
        <v/>
      </c>
      <c r="AJ213" s="225" t="str">
        <f>IFERROR(INDEX(Data!CF$9:CF$1273,MATCH($M213,Data!$K$9:$K$1273,0)),"")</f>
        <v/>
      </c>
      <c r="AK213" s="225" t="str">
        <f>IFERROR(INDEX(Data!CG$9:CG$1273,MATCH($M213,Data!$K$9:$K$1273,0)),"")</f>
        <v/>
      </c>
      <c r="AL213" s="225" t="str">
        <f>IFERROR(INDEX(Data!CH$9:CH$1273,MATCH($M213,Data!$K$9:$K$1273,0)),"")</f>
        <v/>
      </c>
      <c r="AM213" s="225" t="str">
        <f>IFERROR(INDEX(Data!CI$9:CI$1273,MATCH($M213,Data!$K$9:$K$1273,0)),"")</f>
        <v/>
      </c>
      <c r="AN213" s="225" t="str">
        <f>IFERROR(INDEX(Data!CJ$9:CJ$1273,MATCH($M213,Data!$K$9:$K$1273,0)),"")</f>
        <v/>
      </c>
      <c r="AO213" s="225" t="str">
        <f>IFERROR(INDEX(Data!CK$9:CK$1273,MATCH($M213,Data!$K$9:$K$1273,0)),"")</f>
        <v/>
      </c>
      <c r="AP213" s="225" t="str">
        <f>IFERROR(INDEX(Data!CL$9:CL$1273,MATCH($M213,Data!$K$9:$K$1273,0)),"")</f>
        <v/>
      </c>
      <c r="AQ213" s="225" t="str">
        <f>IFERROR(INDEX(Data!CM$9:CM$1273,MATCH($M213,Data!$K$9:$K$1273,0)),"")</f>
        <v/>
      </c>
      <c r="AR213" s="225" t="str">
        <f>IFERROR(INDEX(Data!CN$9:CN$1273,MATCH($M213,Data!$K$9:$K$1273,0)),"")</f>
        <v/>
      </c>
      <c r="AS213" s="225" t="str">
        <f>IFERROR(INDEX(Data!CO$9:CO$1273,MATCH($M213,Data!$K$9:$K$1273,0)),"")</f>
        <v/>
      </c>
      <c r="AT213" s="225" t="str">
        <f>IFERROR(INDEX(Data!CP$9:CP$1273,MATCH($M213,Data!$K$9:$K$1273,0)),"")</f>
        <v/>
      </c>
      <c r="AU213" s="225" t="str">
        <f>IFERROR(INDEX(Data!CQ$9:CQ$1273,MATCH($M213,Data!$K$9:$K$1273,0)),"")</f>
        <v/>
      </c>
      <c r="AV213" s="225" t="str">
        <f>IFERROR(INDEX(Data!CR$9:CR$1273,MATCH($M213,Data!$K$9:$K$1273,0)),"")</f>
        <v/>
      </c>
      <c r="AW213" s="225" t="str">
        <f>IFERROR(INDEX(Data!CS$9:CS$1273,MATCH($M213,Data!$K$9:$K$1273,0)),"")</f>
        <v/>
      </c>
      <c r="AX213" s="225" t="str">
        <f>IFERROR(INDEX(Data!CT$9:CT$1273,MATCH($M213,Data!$K$9:$K$1273,0)),"")</f>
        <v/>
      </c>
      <c r="AY213" s="225" t="str">
        <f>IFERROR(INDEX(Data!CU$9:CU$1273,MATCH($M213,Data!$K$9:$K$1273,0)),"")</f>
        <v/>
      </c>
      <c r="AZ213" s="225" t="str">
        <f>IFERROR(INDEX(Data!CV$9:CV$1273,MATCH($M213,Data!$K$9:$K$1273,0)),"")</f>
        <v/>
      </c>
      <c r="BA213" s="225" t="str">
        <f>IFERROR(INDEX(Data!CX$9:CX$1273,MATCH($M213,Data!$K$9:$K$1273,0)),"")</f>
        <v/>
      </c>
      <c r="BB213" s="225" t="str">
        <f>IFERROR(INDEX(Data!CY$9:CY$1273,MATCH($M213,Data!$K$9:$K$1273,0)),"")</f>
        <v/>
      </c>
      <c r="BC213" s="225" t="str">
        <f>IFERROR(INDEX(Data!CZ$9:CZ$1273,MATCH($M213,Data!$K$9:$K$1273,0)),"")</f>
        <v/>
      </c>
      <c r="BD213" s="225" t="str">
        <f>IFERROR(INDEX(Data!DA$9:DA$1273,MATCH($M213,Data!$K$9:$K$1273,0)),"")</f>
        <v/>
      </c>
      <c r="BE213" s="225" t="str">
        <f>IFERROR(INDEX(Data!DB$9:DB$1273,MATCH($M213,Data!$K$9:$K$1273,0)),"")</f>
        <v/>
      </c>
      <c r="BF213" s="225" t="str">
        <f>IFERROR(INDEX(Data!DC$9:DC$1273,MATCH($M213,Data!$K$9:$K$1273,0)),"")</f>
        <v/>
      </c>
      <c r="BG213" s="225" t="str">
        <f>IFERROR(INDEX(Data!DD$9:DD$1273,MATCH($M213,Data!$K$9:$K$1273,0)),"")</f>
        <v/>
      </c>
      <c r="BH213" s="225" t="str">
        <f>IFERROR(INDEX(Data!DE$9:DE$1273,MATCH($M213,Data!$K$9:$K$1273,0)),"")</f>
        <v/>
      </c>
      <c r="BI213" s="225" t="str">
        <f>IFERROR(INDEX(Data!DF$9:DF$1273,MATCH($M213,Data!$K$9:$K$1273,0)),"")</f>
        <v/>
      </c>
      <c r="BJ213" s="225" t="str">
        <f>IFERROR(INDEX(Data!DG$9:DG$1273,MATCH($M213,Data!$K$9:$K$1273,0)),"")</f>
        <v/>
      </c>
      <c r="BK213" s="225" t="str">
        <f>IFERROR(INDEX(Data!DH$9:DH$1273,MATCH($M213,Data!$K$9:$K$1273,0)),"")</f>
        <v/>
      </c>
      <c r="BL213" s="225" t="str">
        <f>IFERROR(INDEX(Data!DI$9:DI$1273,MATCH($M213,Data!$K$9:$K$1273,0)),"")</f>
        <v/>
      </c>
      <c r="BM213" s="225" t="str">
        <f>IFERROR(INDEX(Data!DJ$9:DJ$1273,MATCH($M213,Data!$K$9:$K$1273,0)),"")</f>
        <v/>
      </c>
      <c r="BN213" s="225" t="str">
        <f>IFERROR(INDEX(Data!DK$9:DK$1273,MATCH($M213,Data!$K$9:$K$1273,0)),"")</f>
        <v/>
      </c>
      <c r="BO213" s="225" t="str">
        <f>IFERROR(INDEX(Data!DL$9:DL$1273,MATCH($M213,Data!$K$9:$K$1273,0)),"")</f>
        <v/>
      </c>
      <c r="BP213" s="243" t="str">
        <f t="shared" si="29"/>
        <v/>
      </c>
      <c r="BQ213" s="225" t="str">
        <f t="shared" si="30"/>
        <v xml:space="preserve"> </v>
      </c>
      <c r="BR213" s="225" t="str">
        <f t="shared" si="31"/>
        <v/>
      </c>
      <c r="BS213" s="225" t="str">
        <f>IFERROR(INDEX(Data!$DO$9:$DO$1273,MATCH('Your recommendation'!BR213,Data!$DN$9:$DN$1273,0)),"")</f>
        <v/>
      </c>
    </row>
    <row r="214" spans="2:71" ht="15.6" customHeight="1">
      <c r="B214" s="222" t="str">
        <f t="shared" si="32"/>
        <v/>
      </c>
      <c r="C214" s="223"/>
      <c r="D214" s="225" t="str">
        <f>IFERROR(INDEX(Data!BR$9:BR$1273,MATCH($M214,Data!$K$9:$K$1273,0)),"")</f>
        <v/>
      </c>
      <c r="E214" s="225" t="str">
        <f>IFERROR(INDEX(Data!BS$9:BS$1273,MATCH($M214,Data!$K$9:$K$1273,0)),"")</f>
        <v/>
      </c>
      <c r="F214" s="225" t="str">
        <f>IFERROR(INDEX(Data!DM$9:DM$1273,MATCH($M214,Data!$K$9:$K$1273,0)),"")</f>
        <v/>
      </c>
      <c r="G214" s="225" t="str">
        <f>IFERROR(INDEX(Data!BV$9:BV$1273,MATCH($M214,Data!$K$9:$K$1273,0)),"")</f>
        <v/>
      </c>
      <c r="H214" s="225" t="str">
        <f>IFERROR(INDEX(Data!BW$9:BW$1273,MATCH($M214,Data!$K$9:$K$1273,0)),"")</f>
        <v/>
      </c>
      <c r="I214" s="225" t="str">
        <f>IFERROR(INDEX(Data!BX$9:BX$1273,MATCH($M214,Data!$K$9:$K$1273,0)),"")</f>
        <v/>
      </c>
      <c r="J214" s="225" t="str">
        <f>IFERROR(INDEX(Data!CB$9:CB$1273,MATCH($M214,Data!$K$9:$K$1273,0)),"")</f>
        <v/>
      </c>
      <c r="K214" s="241" t="str">
        <f t="shared" si="27"/>
        <v/>
      </c>
      <c r="L214" s="242" t="str">
        <f t="shared" si="28"/>
        <v/>
      </c>
      <c r="M214" s="224"/>
      <c r="N214" s="224"/>
      <c r="O214" s="224" t="str">
        <f>IFERROR(INDEX(Data!M$9:M$1273,MATCH($M214,Data!$K$9:$K$1273,0)),"")</f>
        <v/>
      </c>
      <c r="P214" s="224" t="str">
        <f>IFERROR(INDEX(Data!N$9:N$1273,MATCH($M214,Data!$K$9:$K$1273,0)),"")</f>
        <v/>
      </c>
      <c r="Q214" s="224" t="str">
        <f>IFERROR(INDEX(Data!O$9:O$1273,MATCH($M214,Data!$K$9:$K$1273,0)),"")</f>
        <v/>
      </c>
      <c r="R214" s="224" t="str">
        <f>IFERROR(INDEX(Data!P$9:P$1273,MATCH($M214,Data!$K$9:$K$1273,0)),"")</f>
        <v/>
      </c>
      <c r="S214" s="224" t="str">
        <f>IFERROR(INDEX(Data!S$9:S$1273,MATCH($M214,Data!$K$9:$K$1273,0)),"")</f>
        <v/>
      </c>
      <c r="T214" s="224" t="str">
        <f>IFERROR(INDEX(Data!T$9:T$1273,MATCH($M214,Data!$K$9:$K$1273,0)),"")</f>
        <v/>
      </c>
      <c r="U214" s="224" t="str">
        <f>IFERROR(INDEX(Data!U$9:U$1273,MATCH($M214,Data!$K$9:$K$1273,0)),"")</f>
        <v/>
      </c>
      <c r="V214" s="224" t="str">
        <f>IFERROR(INDEX(Data!V$9:V$1273,MATCH($M214,Data!$K$9:$K$1273,0)),"")</f>
        <v/>
      </c>
      <c r="W214" s="224" t="str">
        <f>IFERROR(INDEX(Data!W$9:W$1273,MATCH($M214,Data!$K$9:$K$1273,0)),"")</f>
        <v/>
      </c>
      <c r="X214" s="224" t="str">
        <f>IFERROR(INDEX(Data!AJ$9:AJ$1273,MATCH($M214,Data!$K$9:$K$1273,0)),"")</f>
        <v/>
      </c>
      <c r="Y214" s="224" t="str">
        <f>IFERROR(INDEX(Data!AK$9:AK$1273,MATCH($M214,Data!$K$9:$K$1273,0)),"")</f>
        <v/>
      </c>
      <c r="Z214" s="224" t="str">
        <f>IFERROR(INDEX(Data!AL$9:AL$1273,MATCH($M214,Data!$K$9:$K$1273,0)),"")</f>
        <v/>
      </c>
      <c r="AA214" s="224" t="str">
        <f>IFERROR(INDEX(Data!AM$9:AM$1273,MATCH($M214,Data!$K$9:$K$1273,0)),"")</f>
        <v/>
      </c>
      <c r="AB214" s="224" t="str">
        <f>IFERROR(INDEX(Data!AN$9:AN$1273,MATCH($M214,Data!$K$9:$K$1273,0)),"")</f>
        <v/>
      </c>
      <c r="AC214" s="225" t="str">
        <f>IFERROR(INDEX(Data!BY$9:BY$1273,MATCH($M214,Data!$K$9:$K$1273,0)),"")</f>
        <v/>
      </c>
      <c r="AD214" s="225" t="str">
        <f>IFERROR(INDEX(Data!BZ$9:BZ$1273,MATCH($M214,Data!$K$9:$K$1273,0)),"")</f>
        <v/>
      </c>
      <c r="AE214" s="225" t="str">
        <f>IFERROR(INDEX(Data!CA$9:CA$1273,MATCH($M214,Data!$K$9:$K$1273,0)),"")</f>
        <v/>
      </c>
      <c r="AF214" s="225" t="str">
        <f>IFERROR(INDEX(Data!CB$9:CB$1273,MATCH($M214,Data!$K$9:$K$1273,0)),"")</f>
        <v/>
      </c>
      <c r="AG214" s="225" t="str">
        <f>IFERROR(INDEX(Data!CC$9:CC$1273,MATCH($M214,Data!$K$9:$K$1273,0)),"")</f>
        <v/>
      </c>
      <c r="AH214" s="225" t="str">
        <f>IFERROR(INDEX(Data!CD$9:CD$1273,MATCH($M214,Data!$K$9:$K$1273,0)),"")</f>
        <v/>
      </c>
      <c r="AI214" s="225" t="str">
        <f>IFERROR(INDEX(Data!CE$9:CE$1273,MATCH($M214,Data!$K$9:$K$1273,0)),"")</f>
        <v/>
      </c>
      <c r="AJ214" s="225" t="str">
        <f>IFERROR(INDEX(Data!CF$9:CF$1273,MATCH($M214,Data!$K$9:$K$1273,0)),"")</f>
        <v/>
      </c>
      <c r="AK214" s="225" t="str">
        <f>IFERROR(INDEX(Data!CG$9:CG$1273,MATCH($M214,Data!$K$9:$K$1273,0)),"")</f>
        <v/>
      </c>
      <c r="AL214" s="225" t="str">
        <f>IFERROR(INDEX(Data!CH$9:CH$1273,MATCH($M214,Data!$K$9:$K$1273,0)),"")</f>
        <v/>
      </c>
      <c r="AM214" s="225" t="str">
        <f>IFERROR(INDEX(Data!CI$9:CI$1273,MATCH($M214,Data!$K$9:$K$1273,0)),"")</f>
        <v/>
      </c>
      <c r="AN214" s="225" t="str">
        <f>IFERROR(INDEX(Data!CJ$9:CJ$1273,MATCH($M214,Data!$K$9:$K$1273,0)),"")</f>
        <v/>
      </c>
      <c r="AO214" s="225" t="str">
        <f>IFERROR(INDEX(Data!CK$9:CK$1273,MATCH($M214,Data!$K$9:$K$1273,0)),"")</f>
        <v/>
      </c>
      <c r="AP214" s="225" t="str">
        <f>IFERROR(INDEX(Data!CL$9:CL$1273,MATCH($M214,Data!$K$9:$K$1273,0)),"")</f>
        <v/>
      </c>
      <c r="AQ214" s="225" t="str">
        <f>IFERROR(INDEX(Data!CM$9:CM$1273,MATCH($M214,Data!$K$9:$K$1273,0)),"")</f>
        <v/>
      </c>
      <c r="AR214" s="225" t="str">
        <f>IFERROR(INDEX(Data!CN$9:CN$1273,MATCH($M214,Data!$K$9:$K$1273,0)),"")</f>
        <v/>
      </c>
      <c r="AS214" s="225" t="str">
        <f>IFERROR(INDEX(Data!CO$9:CO$1273,MATCH($M214,Data!$K$9:$K$1273,0)),"")</f>
        <v/>
      </c>
      <c r="AT214" s="225" t="str">
        <f>IFERROR(INDEX(Data!CP$9:CP$1273,MATCH($M214,Data!$K$9:$K$1273,0)),"")</f>
        <v/>
      </c>
      <c r="AU214" s="225" t="str">
        <f>IFERROR(INDEX(Data!CQ$9:CQ$1273,MATCH($M214,Data!$K$9:$K$1273,0)),"")</f>
        <v/>
      </c>
      <c r="AV214" s="225" t="str">
        <f>IFERROR(INDEX(Data!CR$9:CR$1273,MATCH($M214,Data!$K$9:$K$1273,0)),"")</f>
        <v/>
      </c>
      <c r="AW214" s="225" t="str">
        <f>IFERROR(INDEX(Data!CS$9:CS$1273,MATCH($M214,Data!$K$9:$K$1273,0)),"")</f>
        <v/>
      </c>
      <c r="AX214" s="225" t="str">
        <f>IFERROR(INDEX(Data!CT$9:CT$1273,MATCH($M214,Data!$K$9:$K$1273,0)),"")</f>
        <v/>
      </c>
      <c r="AY214" s="225" t="str">
        <f>IFERROR(INDEX(Data!CU$9:CU$1273,MATCH($M214,Data!$K$9:$K$1273,0)),"")</f>
        <v/>
      </c>
      <c r="AZ214" s="225" t="str">
        <f>IFERROR(INDEX(Data!CV$9:CV$1273,MATCH($M214,Data!$K$9:$K$1273,0)),"")</f>
        <v/>
      </c>
      <c r="BA214" s="225" t="str">
        <f>IFERROR(INDEX(Data!CX$9:CX$1273,MATCH($M214,Data!$K$9:$K$1273,0)),"")</f>
        <v/>
      </c>
      <c r="BB214" s="225" t="str">
        <f>IFERROR(INDEX(Data!CY$9:CY$1273,MATCH($M214,Data!$K$9:$K$1273,0)),"")</f>
        <v/>
      </c>
      <c r="BC214" s="225" t="str">
        <f>IFERROR(INDEX(Data!CZ$9:CZ$1273,MATCH($M214,Data!$K$9:$K$1273,0)),"")</f>
        <v/>
      </c>
      <c r="BD214" s="225" t="str">
        <f>IFERROR(INDEX(Data!DA$9:DA$1273,MATCH($M214,Data!$K$9:$K$1273,0)),"")</f>
        <v/>
      </c>
      <c r="BE214" s="225" t="str">
        <f>IFERROR(INDEX(Data!DB$9:DB$1273,MATCH($M214,Data!$K$9:$K$1273,0)),"")</f>
        <v/>
      </c>
      <c r="BF214" s="225" t="str">
        <f>IFERROR(INDEX(Data!DC$9:DC$1273,MATCH($M214,Data!$K$9:$K$1273,0)),"")</f>
        <v/>
      </c>
      <c r="BG214" s="225" t="str">
        <f>IFERROR(INDEX(Data!DD$9:DD$1273,MATCH($M214,Data!$K$9:$K$1273,0)),"")</f>
        <v/>
      </c>
      <c r="BH214" s="225" t="str">
        <f>IFERROR(INDEX(Data!DE$9:DE$1273,MATCH($M214,Data!$K$9:$K$1273,0)),"")</f>
        <v/>
      </c>
      <c r="BI214" s="225" t="str">
        <f>IFERROR(INDEX(Data!DF$9:DF$1273,MATCH($M214,Data!$K$9:$K$1273,0)),"")</f>
        <v/>
      </c>
      <c r="BJ214" s="225" t="str">
        <f>IFERROR(INDEX(Data!DG$9:DG$1273,MATCH($M214,Data!$K$9:$K$1273,0)),"")</f>
        <v/>
      </c>
      <c r="BK214" s="225" t="str">
        <f>IFERROR(INDEX(Data!DH$9:DH$1273,MATCH($M214,Data!$K$9:$K$1273,0)),"")</f>
        <v/>
      </c>
      <c r="BL214" s="225" t="str">
        <f>IFERROR(INDEX(Data!DI$9:DI$1273,MATCH($M214,Data!$K$9:$K$1273,0)),"")</f>
        <v/>
      </c>
      <c r="BM214" s="225" t="str">
        <f>IFERROR(INDEX(Data!DJ$9:DJ$1273,MATCH($M214,Data!$K$9:$K$1273,0)),"")</f>
        <v/>
      </c>
      <c r="BN214" s="225" t="str">
        <f>IFERROR(INDEX(Data!DK$9:DK$1273,MATCH($M214,Data!$K$9:$K$1273,0)),"")</f>
        <v/>
      </c>
      <c r="BO214" s="225" t="str">
        <f>IFERROR(INDEX(Data!DL$9:DL$1273,MATCH($M214,Data!$K$9:$K$1273,0)),"")</f>
        <v/>
      </c>
      <c r="BP214" s="243" t="str">
        <f t="shared" si="29"/>
        <v/>
      </c>
      <c r="BQ214" s="225" t="str">
        <f t="shared" si="30"/>
        <v xml:space="preserve"> </v>
      </c>
      <c r="BR214" s="225" t="str">
        <f t="shared" si="31"/>
        <v/>
      </c>
      <c r="BS214" s="225" t="str">
        <f>IFERROR(INDEX(Data!$DO$9:$DO$1273,MATCH('Your recommendation'!BR214,Data!$DN$9:$DN$1273,0)),"")</f>
        <v/>
      </c>
    </row>
    <row r="215" spans="2:71" ht="15.6" customHeight="1">
      <c r="B215" s="222" t="str">
        <f t="shared" si="32"/>
        <v/>
      </c>
      <c r="C215" s="223"/>
      <c r="D215" s="225" t="str">
        <f>IFERROR(INDEX(Data!BR$9:BR$1273,MATCH($M215,Data!$K$9:$K$1273,0)),"")</f>
        <v/>
      </c>
      <c r="E215" s="225" t="str">
        <f>IFERROR(INDEX(Data!BS$9:BS$1273,MATCH($M215,Data!$K$9:$K$1273,0)),"")</f>
        <v/>
      </c>
      <c r="F215" s="225" t="str">
        <f>IFERROR(INDEX(Data!DM$9:DM$1273,MATCH($M215,Data!$K$9:$K$1273,0)),"")</f>
        <v/>
      </c>
      <c r="G215" s="225" t="str">
        <f>IFERROR(INDEX(Data!BV$9:BV$1273,MATCH($M215,Data!$K$9:$K$1273,0)),"")</f>
        <v/>
      </c>
      <c r="H215" s="225" t="str">
        <f>IFERROR(INDEX(Data!BW$9:BW$1273,MATCH($M215,Data!$K$9:$K$1273,0)),"")</f>
        <v/>
      </c>
      <c r="I215" s="225" t="str">
        <f>IFERROR(INDEX(Data!BX$9:BX$1273,MATCH($M215,Data!$K$9:$K$1273,0)),"")</f>
        <v/>
      </c>
      <c r="J215" s="225" t="str">
        <f>IFERROR(INDEX(Data!CB$9:CB$1273,MATCH($M215,Data!$K$9:$K$1273,0)),"")</f>
        <v/>
      </c>
      <c r="K215" s="241" t="str">
        <f t="shared" si="27"/>
        <v/>
      </c>
      <c r="L215" s="242" t="str">
        <f t="shared" si="28"/>
        <v/>
      </c>
      <c r="M215" s="224"/>
      <c r="N215" s="224"/>
      <c r="O215" s="224" t="str">
        <f>IFERROR(INDEX(Data!M$9:M$1273,MATCH($M215,Data!$K$9:$K$1273,0)),"")</f>
        <v/>
      </c>
      <c r="P215" s="224" t="str">
        <f>IFERROR(INDEX(Data!N$9:N$1273,MATCH($M215,Data!$K$9:$K$1273,0)),"")</f>
        <v/>
      </c>
      <c r="Q215" s="224" t="str">
        <f>IFERROR(INDEX(Data!O$9:O$1273,MATCH($M215,Data!$K$9:$K$1273,0)),"")</f>
        <v/>
      </c>
      <c r="R215" s="224" t="str">
        <f>IFERROR(INDEX(Data!P$9:P$1273,MATCH($M215,Data!$K$9:$K$1273,0)),"")</f>
        <v/>
      </c>
      <c r="S215" s="224" t="str">
        <f>IFERROR(INDEX(Data!S$9:S$1273,MATCH($M215,Data!$K$9:$K$1273,0)),"")</f>
        <v/>
      </c>
      <c r="T215" s="224" t="str">
        <f>IFERROR(INDEX(Data!T$9:T$1273,MATCH($M215,Data!$K$9:$K$1273,0)),"")</f>
        <v/>
      </c>
      <c r="U215" s="224" t="str">
        <f>IFERROR(INDEX(Data!U$9:U$1273,MATCH($M215,Data!$K$9:$K$1273,0)),"")</f>
        <v/>
      </c>
      <c r="V215" s="224" t="str">
        <f>IFERROR(INDEX(Data!V$9:V$1273,MATCH($M215,Data!$K$9:$K$1273,0)),"")</f>
        <v/>
      </c>
      <c r="W215" s="224" t="str">
        <f>IFERROR(INDEX(Data!W$9:W$1273,MATCH($M215,Data!$K$9:$K$1273,0)),"")</f>
        <v/>
      </c>
      <c r="X215" s="224" t="str">
        <f>IFERROR(INDEX(Data!AJ$9:AJ$1273,MATCH($M215,Data!$K$9:$K$1273,0)),"")</f>
        <v/>
      </c>
      <c r="Y215" s="224" t="str">
        <f>IFERROR(INDEX(Data!AK$9:AK$1273,MATCH($M215,Data!$K$9:$K$1273,0)),"")</f>
        <v/>
      </c>
      <c r="Z215" s="224" t="str">
        <f>IFERROR(INDEX(Data!AL$9:AL$1273,MATCH($M215,Data!$K$9:$K$1273,0)),"")</f>
        <v/>
      </c>
      <c r="AA215" s="224" t="str">
        <f>IFERROR(INDEX(Data!AM$9:AM$1273,MATCH($M215,Data!$K$9:$K$1273,0)),"")</f>
        <v/>
      </c>
      <c r="AB215" s="224" t="str">
        <f>IFERROR(INDEX(Data!AN$9:AN$1273,MATCH($M215,Data!$K$9:$K$1273,0)),"")</f>
        <v/>
      </c>
      <c r="AC215" s="225" t="str">
        <f>IFERROR(INDEX(Data!BY$9:BY$1273,MATCH($M215,Data!$K$9:$K$1273,0)),"")</f>
        <v/>
      </c>
      <c r="AD215" s="225" t="str">
        <f>IFERROR(INDEX(Data!BZ$9:BZ$1273,MATCH($M215,Data!$K$9:$K$1273,0)),"")</f>
        <v/>
      </c>
      <c r="AE215" s="225" t="str">
        <f>IFERROR(INDEX(Data!CA$9:CA$1273,MATCH($M215,Data!$K$9:$K$1273,0)),"")</f>
        <v/>
      </c>
      <c r="AF215" s="225" t="str">
        <f>IFERROR(INDEX(Data!CB$9:CB$1273,MATCH($M215,Data!$K$9:$K$1273,0)),"")</f>
        <v/>
      </c>
      <c r="AG215" s="225" t="str">
        <f>IFERROR(INDEX(Data!CC$9:CC$1273,MATCH($M215,Data!$K$9:$K$1273,0)),"")</f>
        <v/>
      </c>
      <c r="AH215" s="225" t="str">
        <f>IFERROR(INDEX(Data!CD$9:CD$1273,MATCH($M215,Data!$K$9:$K$1273,0)),"")</f>
        <v/>
      </c>
      <c r="AI215" s="225" t="str">
        <f>IFERROR(INDEX(Data!CE$9:CE$1273,MATCH($M215,Data!$K$9:$K$1273,0)),"")</f>
        <v/>
      </c>
      <c r="AJ215" s="225" t="str">
        <f>IFERROR(INDEX(Data!CF$9:CF$1273,MATCH($M215,Data!$K$9:$K$1273,0)),"")</f>
        <v/>
      </c>
      <c r="AK215" s="225" t="str">
        <f>IFERROR(INDEX(Data!CG$9:CG$1273,MATCH($M215,Data!$K$9:$K$1273,0)),"")</f>
        <v/>
      </c>
      <c r="AL215" s="225" t="str">
        <f>IFERROR(INDEX(Data!CH$9:CH$1273,MATCH($M215,Data!$K$9:$K$1273,0)),"")</f>
        <v/>
      </c>
      <c r="AM215" s="225" t="str">
        <f>IFERROR(INDEX(Data!CI$9:CI$1273,MATCH($M215,Data!$K$9:$K$1273,0)),"")</f>
        <v/>
      </c>
      <c r="AN215" s="225" t="str">
        <f>IFERROR(INDEX(Data!CJ$9:CJ$1273,MATCH($M215,Data!$K$9:$K$1273,0)),"")</f>
        <v/>
      </c>
      <c r="AO215" s="225" t="str">
        <f>IFERROR(INDEX(Data!CK$9:CK$1273,MATCH($M215,Data!$K$9:$K$1273,0)),"")</f>
        <v/>
      </c>
      <c r="AP215" s="225" t="str">
        <f>IFERROR(INDEX(Data!CL$9:CL$1273,MATCH($M215,Data!$K$9:$K$1273,0)),"")</f>
        <v/>
      </c>
      <c r="AQ215" s="225" t="str">
        <f>IFERROR(INDEX(Data!CM$9:CM$1273,MATCH($M215,Data!$K$9:$K$1273,0)),"")</f>
        <v/>
      </c>
      <c r="AR215" s="225" t="str">
        <f>IFERROR(INDEX(Data!CN$9:CN$1273,MATCH($M215,Data!$K$9:$K$1273,0)),"")</f>
        <v/>
      </c>
      <c r="AS215" s="225" t="str">
        <f>IFERROR(INDEX(Data!CO$9:CO$1273,MATCH($M215,Data!$K$9:$K$1273,0)),"")</f>
        <v/>
      </c>
      <c r="AT215" s="225" t="str">
        <f>IFERROR(INDEX(Data!CP$9:CP$1273,MATCH($M215,Data!$K$9:$K$1273,0)),"")</f>
        <v/>
      </c>
      <c r="AU215" s="225" t="str">
        <f>IFERROR(INDEX(Data!CQ$9:CQ$1273,MATCH($M215,Data!$K$9:$K$1273,0)),"")</f>
        <v/>
      </c>
      <c r="AV215" s="225" t="str">
        <f>IFERROR(INDEX(Data!CR$9:CR$1273,MATCH($M215,Data!$K$9:$K$1273,0)),"")</f>
        <v/>
      </c>
      <c r="AW215" s="225" t="str">
        <f>IFERROR(INDEX(Data!CS$9:CS$1273,MATCH($M215,Data!$K$9:$K$1273,0)),"")</f>
        <v/>
      </c>
      <c r="AX215" s="225" t="str">
        <f>IFERROR(INDEX(Data!CT$9:CT$1273,MATCH($M215,Data!$K$9:$K$1273,0)),"")</f>
        <v/>
      </c>
      <c r="AY215" s="225" t="str">
        <f>IFERROR(INDEX(Data!CU$9:CU$1273,MATCH($M215,Data!$K$9:$K$1273,0)),"")</f>
        <v/>
      </c>
      <c r="AZ215" s="225" t="str">
        <f>IFERROR(INDEX(Data!CV$9:CV$1273,MATCH($M215,Data!$K$9:$K$1273,0)),"")</f>
        <v/>
      </c>
      <c r="BA215" s="225" t="str">
        <f>IFERROR(INDEX(Data!CX$9:CX$1273,MATCH($M215,Data!$K$9:$K$1273,0)),"")</f>
        <v/>
      </c>
      <c r="BB215" s="225" t="str">
        <f>IFERROR(INDEX(Data!CY$9:CY$1273,MATCH($M215,Data!$K$9:$K$1273,0)),"")</f>
        <v/>
      </c>
      <c r="BC215" s="225" t="str">
        <f>IFERROR(INDEX(Data!CZ$9:CZ$1273,MATCH($M215,Data!$K$9:$K$1273,0)),"")</f>
        <v/>
      </c>
      <c r="BD215" s="225" t="str">
        <f>IFERROR(INDEX(Data!DA$9:DA$1273,MATCH($M215,Data!$K$9:$K$1273,0)),"")</f>
        <v/>
      </c>
      <c r="BE215" s="225" t="str">
        <f>IFERROR(INDEX(Data!DB$9:DB$1273,MATCH($M215,Data!$K$9:$K$1273,0)),"")</f>
        <v/>
      </c>
      <c r="BF215" s="225" t="str">
        <f>IFERROR(INDEX(Data!DC$9:DC$1273,MATCH($M215,Data!$K$9:$K$1273,0)),"")</f>
        <v/>
      </c>
      <c r="BG215" s="225" t="str">
        <f>IFERROR(INDEX(Data!DD$9:DD$1273,MATCH($M215,Data!$K$9:$K$1273,0)),"")</f>
        <v/>
      </c>
      <c r="BH215" s="225" t="str">
        <f>IFERROR(INDEX(Data!DE$9:DE$1273,MATCH($M215,Data!$K$9:$K$1273,0)),"")</f>
        <v/>
      </c>
      <c r="BI215" s="225" t="str">
        <f>IFERROR(INDEX(Data!DF$9:DF$1273,MATCH($M215,Data!$K$9:$K$1273,0)),"")</f>
        <v/>
      </c>
      <c r="BJ215" s="225" t="str">
        <f>IFERROR(INDEX(Data!DG$9:DG$1273,MATCH($M215,Data!$K$9:$K$1273,0)),"")</f>
        <v/>
      </c>
      <c r="BK215" s="225" t="str">
        <f>IFERROR(INDEX(Data!DH$9:DH$1273,MATCH($M215,Data!$K$9:$K$1273,0)),"")</f>
        <v/>
      </c>
      <c r="BL215" s="225" t="str">
        <f>IFERROR(INDEX(Data!DI$9:DI$1273,MATCH($M215,Data!$K$9:$K$1273,0)),"")</f>
        <v/>
      </c>
      <c r="BM215" s="225" t="str">
        <f>IFERROR(INDEX(Data!DJ$9:DJ$1273,MATCH($M215,Data!$K$9:$K$1273,0)),"")</f>
        <v/>
      </c>
      <c r="BN215" s="225" t="str">
        <f>IFERROR(INDEX(Data!DK$9:DK$1273,MATCH($M215,Data!$K$9:$K$1273,0)),"")</f>
        <v/>
      </c>
      <c r="BO215" s="225" t="str">
        <f>IFERROR(INDEX(Data!DL$9:DL$1273,MATCH($M215,Data!$K$9:$K$1273,0)),"")</f>
        <v/>
      </c>
      <c r="BP215" s="243" t="str">
        <f t="shared" si="29"/>
        <v/>
      </c>
      <c r="BQ215" s="225" t="str">
        <f t="shared" si="30"/>
        <v xml:space="preserve"> </v>
      </c>
      <c r="BR215" s="225" t="str">
        <f t="shared" si="31"/>
        <v/>
      </c>
      <c r="BS215" s="225" t="str">
        <f>IFERROR(INDEX(Data!$DO$9:$DO$1273,MATCH('Your recommendation'!BR215,Data!$DN$9:$DN$1273,0)),"")</f>
        <v/>
      </c>
    </row>
    <row r="216" spans="2:71" ht="15.6" customHeight="1">
      <c r="B216" s="222" t="str">
        <f t="shared" si="32"/>
        <v/>
      </c>
      <c r="C216" s="223"/>
      <c r="D216" s="225" t="str">
        <f>IFERROR(INDEX(Data!BR$9:BR$1273,MATCH($M216,Data!$K$9:$K$1273,0)),"")</f>
        <v/>
      </c>
      <c r="E216" s="225" t="str">
        <f>IFERROR(INDEX(Data!BS$9:BS$1273,MATCH($M216,Data!$K$9:$K$1273,0)),"")</f>
        <v/>
      </c>
      <c r="F216" s="225" t="str">
        <f>IFERROR(INDEX(Data!DM$9:DM$1273,MATCH($M216,Data!$K$9:$K$1273,0)),"")</f>
        <v/>
      </c>
      <c r="G216" s="225" t="str">
        <f>IFERROR(INDEX(Data!BV$9:BV$1273,MATCH($M216,Data!$K$9:$K$1273,0)),"")</f>
        <v/>
      </c>
      <c r="H216" s="225" t="str">
        <f>IFERROR(INDEX(Data!BW$9:BW$1273,MATCH($M216,Data!$K$9:$K$1273,0)),"")</f>
        <v/>
      </c>
      <c r="I216" s="225" t="str">
        <f>IFERROR(INDEX(Data!BX$9:BX$1273,MATCH($M216,Data!$K$9:$K$1273,0)),"")</f>
        <v/>
      </c>
      <c r="J216" s="225" t="str">
        <f>IFERROR(INDEX(Data!CB$9:CB$1273,MATCH($M216,Data!$K$9:$K$1273,0)),"")</f>
        <v/>
      </c>
      <c r="K216" s="241" t="str">
        <f t="shared" si="27"/>
        <v/>
      </c>
      <c r="L216" s="242" t="str">
        <f t="shared" si="28"/>
        <v/>
      </c>
      <c r="M216" s="224"/>
      <c r="N216" s="224"/>
      <c r="O216" s="224" t="str">
        <f>IFERROR(INDEX(Data!M$9:M$1273,MATCH($M216,Data!$K$9:$K$1273,0)),"")</f>
        <v/>
      </c>
      <c r="P216" s="224" t="str">
        <f>IFERROR(INDEX(Data!N$9:N$1273,MATCH($M216,Data!$K$9:$K$1273,0)),"")</f>
        <v/>
      </c>
      <c r="Q216" s="224" t="str">
        <f>IFERROR(INDEX(Data!O$9:O$1273,MATCH($M216,Data!$K$9:$K$1273,0)),"")</f>
        <v/>
      </c>
      <c r="R216" s="224" t="str">
        <f>IFERROR(INDEX(Data!P$9:P$1273,MATCH($M216,Data!$K$9:$K$1273,0)),"")</f>
        <v/>
      </c>
      <c r="S216" s="224" t="str">
        <f>IFERROR(INDEX(Data!S$9:S$1273,MATCH($M216,Data!$K$9:$K$1273,0)),"")</f>
        <v/>
      </c>
      <c r="T216" s="224" t="str">
        <f>IFERROR(INDEX(Data!T$9:T$1273,MATCH($M216,Data!$K$9:$K$1273,0)),"")</f>
        <v/>
      </c>
      <c r="U216" s="224" t="str">
        <f>IFERROR(INDEX(Data!U$9:U$1273,MATCH($M216,Data!$K$9:$K$1273,0)),"")</f>
        <v/>
      </c>
      <c r="V216" s="224" t="str">
        <f>IFERROR(INDEX(Data!V$9:V$1273,MATCH($M216,Data!$K$9:$K$1273,0)),"")</f>
        <v/>
      </c>
      <c r="W216" s="224" t="str">
        <f>IFERROR(INDEX(Data!W$9:W$1273,MATCH($M216,Data!$K$9:$K$1273,0)),"")</f>
        <v/>
      </c>
      <c r="X216" s="224" t="str">
        <f>IFERROR(INDEX(Data!AJ$9:AJ$1273,MATCH($M216,Data!$K$9:$K$1273,0)),"")</f>
        <v/>
      </c>
      <c r="Y216" s="224" t="str">
        <f>IFERROR(INDEX(Data!AK$9:AK$1273,MATCH($M216,Data!$K$9:$K$1273,0)),"")</f>
        <v/>
      </c>
      <c r="Z216" s="224" t="str">
        <f>IFERROR(INDEX(Data!AL$9:AL$1273,MATCH($M216,Data!$K$9:$K$1273,0)),"")</f>
        <v/>
      </c>
      <c r="AA216" s="224" t="str">
        <f>IFERROR(INDEX(Data!AM$9:AM$1273,MATCH($M216,Data!$K$9:$K$1273,0)),"")</f>
        <v/>
      </c>
      <c r="AB216" s="224" t="str">
        <f>IFERROR(INDEX(Data!AN$9:AN$1273,MATCH($M216,Data!$K$9:$K$1273,0)),"")</f>
        <v/>
      </c>
      <c r="AC216" s="225" t="str">
        <f>IFERROR(INDEX(Data!BY$9:BY$1273,MATCH($M216,Data!$K$9:$K$1273,0)),"")</f>
        <v/>
      </c>
      <c r="AD216" s="225" t="str">
        <f>IFERROR(INDEX(Data!BZ$9:BZ$1273,MATCH($M216,Data!$K$9:$K$1273,0)),"")</f>
        <v/>
      </c>
      <c r="AE216" s="225" t="str">
        <f>IFERROR(INDEX(Data!CA$9:CA$1273,MATCH($M216,Data!$K$9:$K$1273,0)),"")</f>
        <v/>
      </c>
      <c r="AF216" s="225" t="str">
        <f>IFERROR(INDEX(Data!CB$9:CB$1273,MATCH($M216,Data!$K$9:$K$1273,0)),"")</f>
        <v/>
      </c>
      <c r="AG216" s="225" t="str">
        <f>IFERROR(INDEX(Data!CC$9:CC$1273,MATCH($M216,Data!$K$9:$K$1273,0)),"")</f>
        <v/>
      </c>
      <c r="AH216" s="225" t="str">
        <f>IFERROR(INDEX(Data!CD$9:CD$1273,MATCH($M216,Data!$K$9:$K$1273,0)),"")</f>
        <v/>
      </c>
      <c r="AI216" s="225" t="str">
        <f>IFERROR(INDEX(Data!CE$9:CE$1273,MATCH($M216,Data!$K$9:$K$1273,0)),"")</f>
        <v/>
      </c>
      <c r="AJ216" s="225" t="str">
        <f>IFERROR(INDEX(Data!CF$9:CF$1273,MATCH($M216,Data!$K$9:$K$1273,0)),"")</f>
        <v/>
      </c>
      <c r="AK216" s="225" t="str">
        <f>IFERROR(INDEX(Data!CG$9:CG$1273,MATCH($M216,Data!$K$9:$K$1273,0)),"")</f>
        <v/>
      </c>
      <c r="AL216" s="225" t="str">
        <f>IFERROR(INDEX(Data!CH$9:CH$1273,MATCH($M216,Data!$K$9:$K$1273,0)),"")</f>
        <v/>
      </c>
      <c r="AM216" s="225" t="str">
        <f>IFERROR(INDEX(Data!CI$9:CI$1273,MATCH($M216,Data!$K$9:$K$1273,0)),"")</f>
        <v/>
      </c>
      <c r="AN216" s="225" t="str">
        <f>IFERROR(INDEX(Data!CJ$9:CJ$1273,MATCH($M216,Data!$K$9:$K$1273,0)),"")</f>
        <v/>
      </c>
      <c r="AO216" s="225" t="str">
        <f>IFERROR(INDEX(Data!CK$9:CK$1273,MATCH($M216,Data!$K$9:$K$1273,0)),"")</f>
        <v/>
      </c>
      <c r="AP216" s="225" t="str">
        <f>IFERROR(INDEX(Data!CL$9:CL$1273,MATCH($M216,Data!$K$9:$K$1273,0)),"")</f>
        <v/>
      </c>
      <c r="AQ216" s="225" t="str">
        <f>IFERROR(INDEX(Data!CM$9:CM$1273,MATCH($M216,Data!$K$9:$K$1273,0)),"")</f>
        <v/>
      </c>
      <c r="AR216" s="225" t="str">
        <f>IFERROR(INDEX(Data!CN$9:CN$1273,MATCH($M216,Data!$K$9:$K$1273,0)),"")</f>
        <v/>
      </c>
      <c r="AS216" s="225" t="str">
        <f>IFERROR(INDEX(Data!CO$9:CO$1273,MATCH($M216,Data!$K$9:$K$1273,0)),"")</f>
        <v/>
      </c>
      <c r="AT216" s="225" t="str">
        <f>IFERROR(INDEX(Data!CP$9:CP$1273,MATCH($M216,Data!$K$9:$K$1273,0)),"")</f>
        <v/>
      </c>
      <c r="AU216" s="225" t="str">
        <f>IFERROR(INDEX(Data!CQ$9:CQ$1273,MATCH($M216,Data!$K$9:$K$1273,0)),"")</f>
        <v/>
      </c>
      <c r="AV216" s="225" t="str">
        <f>IFERROR(INDEX(Data!CR$9:CR$1273,MATCH($M216,Data!$K$9:$K$1273,0)),"")</f>
        <v/>
      </c>
      <c r="AW216" s="225" t="str">
        <f>IFERROR(INDEX(Data!CS$9:CS$1273,MATCH($M216,Data!$K$9:$K$1273,0)),"")</f>
        <v/>
      </c>
      <c r="AX216" s="225" t="str">
        <f>IFERROR(INDEX(Data!CT$9:CT$1273,MATCH($M216,Data!$K$9:$K$1273,0)),"")</f>
        <v/>
      </c>
      <c r="AY216" s="225" t="str">
        <f>IFERROR(INDEX(Data!CU$9:CU$1273,MATCH($M216,Data!$K$9:$K$1273,0)),"")</f>
        <v/>
      </c>
      <c r="AZ216" s="225" t="str">
        <f>IFERROR(INDEX(Data!CV$9:CV$1273,MATCH($M216,Data!$K$9:$K$1273,0)),"")</f>
        <v/>
      </c>
      <c r="BA216" s="225" t="str">
        <f>IFERROR(INDEX(Data!CX$9:CX$1273,MATCH($M216,Data!$K$9:$K$1273,0)),"")</f>
        <v/>
      </c>
      <c r="BB216" s="225" t="str">
        <f>IFERROR(INDEX(Data!CY$9:CY$1273,MATCH($M216,Data!$K$9:$K$1273,0)),"")</f>
        <v/>
      </c>
      <c r="BC216" s="225" t="str">
        <f>IFERROR(INDEX(Data!CZ$9:CZ$1273,MATCH($M216,Data!$K$9:$K$1273,0)),"")</f>
        <v/>
      </c>
      <c r="BD216" s="225" t="str">
        <f>IFERROR(INDEX(Data!DA$9:DA$1273,MATCH($M216,Data!$K$9:$K$1273,0)),"")</f>
        <v/>
      </c>
      <c r="BE216" s="225" t="str">
        <f>IFERROR(INDEX(Data!DB$9:DB$1273,MATCH($M216,Data!$K$9:$K$1273,0)),"")</f>
        <v/>
      </c>
      <c r="BF216" s="225" t="str">
        <f>IFERROR(INDEX(Data!DC$9:DC$1273,MATCH($M216,Data!$K$9:$K$1273,0)),"")</f>
        <v/>
      </c>
      <c r="BG216" s="225" t="str">
        <f>IFERROR(INDEX(Data!DD$9:DD$1273,MATCH($M216,Data!$K$9:$K$1273,0)),"")</f>
        <v/>
      </c>
      <c r="BH216" s="225" t="str">
        <f>IFERROR(INDEX(Data!DE$9:DE$1273,MATCH($M216,Data!$K$9:$K$1273,0)),"")</f>
        <v/>
      </c>
      <c r="BI216" s="225" t="str">
        <f>IFERROR(INDEX(Data!DF$9:DF$1273,MATCH($M216,Data!$K$9:$K$1273,0)),"")</f>
        <v/>
      </c>
      <c r="BJ216" s="225" t="str">
        <f>IFERROR(INDEX(Data!DG$9:DG$1273,MATCH($M216,Data!$K$9:$K$1273,0)),"")</f>
        <v/>
      </c>
      <c r="BK216" s="225" t="str">
        <f>IFERROR(INDEX(Data!DH$9:DH$1273,MATCH($M216,Data!$K$9:$K$1273,0)),"")</f>
        <v/>
      </c>
      <c r="BL216" s="225" t="str">
        <f>IFERROR(INDEX(Data!DI$9:DI$1273,MATCH($M216,Data!$K$9:$K$1273,0)),"")</f>
        <v/>
      </c>
      <c r="BM216" s="225" t="str">
        <f>IFERROR(INDEX(Data!DJ$9:DJ$1273,MATCH($M216,Data!$K$9:$K$1273,0)),"")</f>
        <v/>
      </c>
      <c r="BN216" s="225" t="str">
        <f>IFERROR(INDEX(Data!DK$9:DK$1273,MATCH($M216,Data!$K$9:$K$1273,0)),"")</f>
        <v/>
      </c>
      <c r="BO216" s="225" t="str">
        <f>IFERROR(INDEX(Data!DL$9:DL$1273,MATCH($M216,Data!$K$9:$K$1273,0)),"")</f>
        <v/>
      </c>
      <c r="BP216" s="243" t="str">
        <f t="shared" si="29"/>
        <v/>
      </c>
      <c r="BQ216" s="225" t="str">
        <f t="shared" si="30"/>
        <v xml:space="preserve"> </v>
      </c>
      <c r="BR216" s="225" t="str">
        <f t="shared" si="31"/>
        <v/>
      </c>
      <c r="BS216" s="225" t="str">
        <f>IFERROR(INDEX(Data!$DO$9:$DO$1273,MATCH('Your recommendation'!BR216,Data!$DN$9:$DN$1273,0)),"")</f>
        <v/>
      </c>
    </row>
    <row r="217" spans="2:71" ht="15.6" customHeight="1">
      <c r="B217" s="222" t="str">
        <f t="shared" si="32"/>
        <v/>
      </c>
      <c r="C217" s="223"/>
      <c r="D217" s="225" t="str">
        <f>IFERROR(INDEX(Data!BR$9:BR$1273,MATCH($M217,Data!$K$9:$K$1273,0)),"")</f>
        <v/>
      </c>
      <c r="E217" s="225" t="str">
        <f>IFERROR(INDEX(Data!BS$9:BS$1273,MATCH($M217,Data!$K$9:$K$1273,0)),"")</f>
        <v/>
      </c>
      <c r="F217" s="225" t="str">
        <f>IFERROR(INDEX(Data!DM$9:DM$1273,MATCH($M217,Data!$K$9:$K$1273,0)),"")</f>
        <v/>
      </c>
      <c r="G217" s="225" t="str">
        <f>IFERROR(INDEX(Data!BV$9:BV$1273,MATCH($M217,Data!$K$9:$K$1273,0)),"")</f>
        <v/>
      </c>
      <c r="H217" s="225" t="str">
        <f>IFERROR(INDEX(Data!BW$9:BW$1273,MATCH($M217,Data!$K$9:$K$1273,0)),"")</f>
        <v/>
      </c>
      <c r="I217" s="225" t="str">
        <f>IFERROR(INDEX(Data!BX$9:BX$1273,MATCH($M217,Data!$K$9:$K$1273,0)),"")</f>
        <v/>
      </c>
      <c r="J217" s="225" t="str">
        <f>IFERROR(INDEX(Data!CB$9:CB$1273,MATCH($M217,Data!$K$9:$K$1273,0)),"")</f>
        <v/>
      </c>
      <c r="K217" s="241" t="str">
        <f t="shared" si="27"/>
        <v/>
      </c>
      <c r="L217" s="242" t="str">
        <f t="shared" si="28"/>
        <v/>
      </c>
      <c r="M217" s="224"/>
      <c r="N217" s="224"/>
      <c r="O217" s="224" t="str">
        <f>IFERROR(INDEX(Data!M$9:M$1273,MATCH($M217,Data!$K$9:$K$1273,0)),"")</f>
        <v/>
      </c>
      <c r="P217" s="224" t="str">
        <f>IFERROR(INDEX(Data!N$9:N$1273,MATCH($M217,Data!$K$9:$K$1273,0)),"")</f>
        <v/>
      </c>
      <c r="Q217" s="224" t="str">
        <f>IFERROR(INDEX(Data!O$9:O$1273,MATCH($M217,Data!$K$9:$K$1273,0)),"")</f>
        <v/>
      </c>
      <c r="R217" s="224" t="str">
        <f>IFERROR(INDEX(Data!P$9:P$1273,MATCH($M217,Data!$K$9:$K$1273,0)),"")</f>
        <v/>
      </c>
      <c r="S217" s="224" t="str">
        <f>IFERROR(INDEX(Data!S$9:S$1273,MATCH($M217,Data!$K$9:$K$1273,0)),"")</f>
        <v/>
      </c>
      <c r="T217" s="224" t="str">
        <f>IFERROR(INDEX(Data!T$9:T$1273,MATCH($M217,Data!$K$9:$K$1273,0)),"")</f>
        <v/>
      </c>
      <c r="U217" s="224" t="str">
        <f>IFERROR(INDEX(Data!U$9:U$1273,MATCH($M217,Data!$K$9:$K$1273,0)),"")</f>
        <v/>
      </c>
      <c r="V217" s="224" t="str">
        <f>IFERROR(INDEX(Data!V$9:V$1273,MATCH($M217,Data!$K$9:$K$1273,0)),"")</f>
        <v/>
      </c>
      <c r="W217" s="224" t="str">
        <f>IFERROR(INDEX(Data!W$9:W$1273,MATCH($M217,Data!$K$9:$K$1273,0)),"")</f>
        <v/>
      </c>
      <c r="X217" s="224" t="str">
        <f>IFERROR(INDEX(Data!AJ$9:AJ$1273,MATCH($M217,Data!$K$9:$K$1273,0)),"")</f>
        <v/>
      </c>
      <c r="Y217" s="224" t="str">
        <f>IFERROR(INDEX(Data!AK$9:AK$1273,MATCH($M217,Data!$K$9:$K$1273,0)),"")</f>
        <v/>
      </c>
      <c r="Z217" s="224" t="str">
        <f>IFERROR(INDEX(Data!AL$9:AL$1273,MATCH($M217,Data!$K$9:$K$1273,0)),"")</f>
        <v/>
      </c>
      <c r="AA217" s="224" t="str">
        <f>IFERROR(INDEX(Data!AM$9:AM$1273,MATCH($M217,Data!$K$9:$K$1273,0)),"")</f>
        <v/>
      </c>
      <c r="AB217" s="224" t="str">
        <f>IFERROR(INDEX(Data!AN$9:AN$1273,MATCH($M217,Data!$K$9:$K$1273,0)),"")</f>
        <v/>
      </c>
      <c r="AC217" s="225" t="str">
        <f>IFERROR(INDEX(Data!BY$9:BY$1273,MATCH($M217,Data!$K$9:$K$1273,0)),"")</f>
        <v/>
      </c>
      <c r="AD217" s="225" t="str">
        <f>IFERROR(INDEX(Data!BZ$9:BZ$1273,MATCH($M217,Data!$K$9:$K$1273,0)),"")</f>
        <v/>
      </c>
      <c r="AE217" s="225" t="str">
        <f>IFERROR(INDEX(Data!CA$9:CA$1273,MATCH($M217,Data!$K$9:$K$1273,0)),"")</f>
        <v/>
      </c>
      <c r="AF217" s="225" t="str">
        <f>IFERROR(INDEX(Data!CB$9:CB$1273,MATCH($M217,Data!$K$9:$K$1273,0)),"")</f>
        <v/>
      </c>
      <c r="AG217" s="225" t="str">
        <f>IFERROR(INDEX(Data!CC$9:CC$1273,MATCH($M217,Data!$K$9:$K$1273,0)),"")</f>
        <v/>
      </c>
      <c r="AH217" s="225" t="str">
        <f>IFERROR(INDEX(Data!CD$9:CD$1273,MATCH($M217,Data!$K$9:$K$1273,0)),"")</f>
        <v/>
      </c>
      <c r="AI217" s="225" t="str">
        <f>IFERROR(INDEX(Data!CE$9:CE$1273,MATCH($M217,Data!$K$9:$K$1273,0)),"")</f>
        <v/>
      </c>
      <c r="AJ217" s="225" t="str">
        <f>IFERROR(INDEX(Data!CF$9:CF$1273,MATCH($M217,Data!$K$9:$K$1273,0)),"")</f>
        <v/>
      </c>
      <c r="AK217" s="225" t="str">
        <f>IFERROR(INDEX(Data!CG$9:CG$1273,MATCH($M217,Data!$K$9:$K$1273,0)),"")</f>
        <v/>
      </c>
      <c r="AL217" s="225" t="str">
        <f>IFERROR(INDEX(Data!CH$9:CH$1273,MATCH($M217,Data!$K$9:$K$1273,0)),"")</f>
        <v/>
      </c>
      <c r="AM217" s="225" t="str">
        <f>IFERROR(INDEX(Data!CI$9:CI$1273,MATCH($M217,Data!$K$9:$K$1273,0)),"")</f>
        <v/>
      </c>
      <c r="AN217" s="225" t="str">
        <f>IFERROR(INDEX(Data!CJ$9:CJ$1273,MATCH($M217,Data!$K$9:$K$1273,0)),"")</f>
        <v/>
      </c>
      <c r="AO217" s="225" t="str">
        <f>IFERROR(INDEX(Data!CK$9:CK$1273,MATCH($M217,Data!$K$9:$K$1273,0)),"")</f>
        <v/>
      </c>
      <c r="AP217" s="225" t="str">
        <f>IFERROR(INDEX(Data!CL$9:CL$1273,MATCH($M217,Data!$K$9:$K$1273,0)),"")</f>
        <v/>
      </c>
      <c r="AQ217" s="225" t="str">
        <f>IFERROR(INDEX(Data!CM$9:CM$1273,MATCH($M217,Data!$K$9:$K$1273,0)),"")</f>
        <v/>
      </c>
      <c r="AR217" s="225" t="str">
        <f>IFERROR(INDEX(Data!CN$9:CN$1273,MATCH($M217,Data!$K$9:$K$1273,0)),"")</f>
        <v/>
      </c>
      <c r="AS217" s="225" t="str">
        <f>IFERROR(INDEX(Data!CO$9:CO$1273,MATCH($M217,Data!$K$9:$K$1273,0)),"")</f>
        <v/>
      </c>
      <c r="AT217" s="225" t="str">
        <f>IFERROR(INDEX(Data!CP$9:CP$1273,MATCH($M217,Data!$K$9:$K$1273,0)),"")</f>
        <v/>
      </c>
      <c r="AU217" s="225" t="str">
        <f>IFERROR(INDEX(Data!CQ$9:CQ$1273,MATCH($M217,Data!$K$9:$K$1273,0)),"")</f>
        <v/>
      </c>
      <c r="AV217" s="225" t="str">
        <f>IFERROR(INDEX(Data!CR$9:CR$1273,MATCH($M217,Data!$K$9:$K$1273,0)),"")</f>
        <v/>
      </c>
      <c r="AW217" s="225" t="str">
        <f>IFERROR(INDEX(Data!CS$9:CS$1273,MATCH($M217,Data!$K$9:$K$1273,0)),"")</f>
        <v/>
      </c>
      <c r="AX217" s="225" t="str">
        <f>IFERROR(INDEX(Data!CT$9:CT$1273,MATCH($M217,Data!$K$9:$K$1273,0)),"")</f>
        <v/>
      </c>
      <c r="AY217" s="225" t="str">
        <f>IFERROR(INDEX(Data!CU$9:CU$1273,MATCH($M217,Data!$K$9:$K$1273,0)),"")</f>
        <v/>
      </c>
      <c r="AZ217" s="225" t="str">
        <f>IFERROR(INDEX(Data!CV$9:CV$1273,MATCH($M217,Data!$K$9:$K$1273,0)),"")</f>
        <v/>
      </c>
      <c r="BA217" s="225" t="str">
        <f>IFERROR(INDEX(Data!CX$9:CX$1273,MATCH($M217,Data!$K$9:$K$1273,0)),"")</f>
        <v/>
      </c>
      <c r="BB217" s="225" t="str">
        <f>IFERROR(INDEX(Data!CY$9:CY$1273,MATCH($M217,Data!$K$9:$K$1273,0)),"")</f>
        <v/>
      </c>
      <c r="BC217" s="225" t="str">
        <f>IFERROR(INDEX(Data!CZ$9:CZ$1273,MATCH($M217,Data!$K$9:$K$1273,0)),"")</f>
        <v/>
      </c>
      <c r="BD217" s="225" t="str">
        <f>IFERROR(INDEX(Data!DA$9:DA$1273,MATCH($M217,Data!$K$9:$K$1273,0)),"")</f>
        <v/>
      </c>
      <c r="BE217" s="225" t="str">
        <f>IFERROR(INDEX(Data!DB$9:DB$1273,MATCH($M217,Data!$K$9:$K$1273,0)),"")</f>
        <v/>
      </c>
      <c r="BF217" s="225" t="str">
        <f>IFERROR(INDEX(Data!DC$9:DC$1273,MATCH($M217,Data!$K$9:$K$1273,0)),"")</f>
        <v/>
      </c>
      <c r="BG217" s="225" t="str">
        <f>IFERROR(INDEX(Data!DD$9:DD$1273,MATCH($M217,Data!$K$9:$K$1273,0)),"")</f>
        <v/>
      </c>
      <c r="BH217" s="225" t="str">
        <f>IFERROR(INDEX(Data!DE$9:DE$1273,MATCH($M217,Data!$K$9:$K$1273,0)),"")</f>
        <v/>
      </c>
      <c r="BI217" s="225" t="str">
        <f>IFERROR(INDEX(Data!DF$9:DF$1273,MATCH($M217,Data!$K$9:$K$1273,0)),"")</f>
        <v/>
      </c>
      <c r="BJ217" s="225" t="str">
        <f>IFERROR(INDEX(Data!DG$9:DG$1273,MATCH($M217,Data!$K$9:$K$1273,0)),"")</f>
        <v/>
      </c>
      <c r="BK217" s="225" t="str">
        <f>IFERROR(INDEX(Data!DH$9:DH$1273,MATCH($M217,Data!$K$9:$K$1273,0)),"")</f>
        <v/>
      </c>
      <c r="BL217" s="225" t="str">
        <f>IFERROR(INDEX(Data!DI$9:DI$1273,MATCH($M217,Data!$K$9:$K$1273,0)),"")</f>
        <v/>
      </c>
      <c r="BM217" s="225" t="str">
        <f>IFERROR(INDEX(Data!DJ$9:DJ$1273,MATCH($M217,Data!$K$9:$K$1273,0)),"")</f>
        <v/>
      </c>
      <c r="BN217" s="225" t="str">
        <f>IFERROR(INDEX(Data!DK$9:DK$1273,MATCH($M217,Data!$K$9:$K$1273,0)),"")</f>
        <v/>
      </c>
      <c r="BO217" s="225" t="str">
        <f>IFERROR(INDEX(Data!DL$9:DL$1273,MATCH($M217,Data!$K$9:$K$1273,0)),"")</f>
        <v/>
      </c>
      <c r="BP217" s="243" t="str">
        <f t="shared" si="29"/>
        <v/>
      </c>
      <c r="BQ217" s="225" t="str">
        <f t="shared" si="30"/>
        <v xml:space="preserve"> </v>
      </c>
      <c r="BR217" s="225" t="str">
        <f t="shared" si="31"/>
        <v/>
      </c>
      <c r="BS217" s="225" t="str">
        <f>IFERROR(INDEX(Data!$DO$9:$DO$1273,MATCH('Your recommendation'!BR217,Data!$DN$9:$DN$1273,0)),"")</f>
        <v/>
      </c>
    </row>
    <row r="218" spans="2:71" ht="15.6" customHeight="1">
      <c r="B218" s="222" t="str">
        <f t="shared" si="32"/>
        <v/>
      </c>
      <c r="C218" s="223"/>
      <c r="D218" s="225" t="str">
        <f>IFERROR(INDEX(Data!BR$9:BR$1273,MATCH($M218,Data!$K$9:$K$1273,0)),"")</f>
        <v/>
      </c>
      <c r="E218" s="225" t="str">
        <f>IFERROR(INDEX(Data!BS$9:BS$1273,MATCH($M218,Data!$K$9:$K$1273,0)),"")</f>
        <v/>
      </c>
      <c r="F218" s="225" t="str">
        <f>IFERROR(INDEX(Data!DM$9:DM$1273,MATCH($M218,Data!$K$9:$K$1273,0)),"")</f>
        <v/>
      </c>
      <c r="G218" s="225" t="str">
        <f>IFERROR(INDEX(Data!BV$9:BV$1273,MATCH($M218,Data!$K$9:$K$1273,0)),"")</f>
        <v/>
      </c>
      <c r="H218" s="225" t="str">
        <f>IFERROR(INDEX(Data!BW$9:BW$1273,MATCH($M218,Data!$K$9:$K$1273,0)),"")</f>
        <v/>
      </c>
      <c r="I218" s="225" t="str">
        <f>IFERROR(INDEX(Data!BX$9:BX$1273,MATCH($M218,Data!$K$9:$K$1273,0)),"")</f>
        <v/>
      </c>
      <c r="J218" s="225" t="str">
        <f>IFERROR(INDEX(Data!CB$9:CB$1273,MATCH($M218,Data!$K$9:$K$1273,0)),"")</f>
        <v/>
      </c>
      <c r="K218" s="241" t="str">
        <f t="shared" si="27"/>
        <v/>
      </c>
      <c r="L218" s="242" t="str">
        <f t="shared" si="28"/>
        <v/>
      </c>
      <c r="M218" s="224"/>
      <c r="N218" s="224"/>
      <c r="O218" s="224" t="str">
        <f>IFERROR(INDEX(Data!M$9:M$1273,MATCH($M218,Data!$K$9:$K$1273,0)),"")</f>
        <v/>
      </c>
      <c r="P218" s="224" t="str">
        <f>IFERROR(INDEX(Data!N$9:N$1273,MATCH($M218,Data!$K$9:$K$1273,0)),"")</f>
        <v/>
      </c>
      <c r="Q218" s="224" t="str">
        <f>IFERROR(INDEX(Data!O$9:O$1273,MATCH($M218,Data!$K$9:$K$1273,0)),"")</f>
        <v/>
      </c>
      <c r="R218" s="224" t="str">
        <f>IFERROR(INDEX(Data!P$9:P$1273,MATCH($M218,Data!$K$9:$K$1273,0)),"")</f>
        <v/>
      </c>
      <c r="S218" s="224" t="str">
        <f>IFERROR(INDEX(Data!S$9:S$1273,MATCH($M218,Data!$K$9:$K$1273,0)),"")</f>
        <v/>
      </c>
      <c r="T218" s="224" t="str">
        <f>IFERROR(INDEX(Data!T$9:T$1273,MATCH($M218,Data!$K$9:$K$1273,0)),"")</f>
        <v/>
      </c>
      <c r="U218" s="224" t="str">
        <f>IFERROR(INDEX(Data!U$9:U$1273,MATCH($M218,Data!$K$9:$K$1273,0)),"")</f>
        <v/>
      </c>
      <c r="V218" s="224" t="str">
        <f>IFERROR(INDEX(Data!V$9:V$1273,MATCH($M218,Data!$K$9:$K$1273,0)),"")</f>
        <v/>
      </c>
      <c r="W218" s="224" t="str">
        <f>IFERROR(INDEX(Data!W$9:W$1273,MATCH($M218,Data!$K$9:$K$1273,0)),"")</f>
        <v/>
      </c>
      <c r="X218" s="224" t="str">
        <f>IFERROR(INDEX(Data!AJ$9:AJ$1273,MATCH($M218,Data!$K$9:$K$1273,0)),"")</f>
        <v/>
      </c>
      <c r="Y218" s="224" t="str">
        <f>IFERROR(INDEX(Data!AK$9:AK$1273,MATCH($M218,Data!$K$9:$K$1273,0)),"")</f>
        <v/>
      </c>
      <c r="Z218" s="224" t="str">
        <f>IFERROR(INDEX(Data!AL$9:AL$1273,MATCH($M218,Data!$K$9:$K$1273,0)),"")</f>
        <v/>
      </c>
      <c r="AA218" s="224" t="str">
        <f>IFERROR(INDEX(Data!AM$9:AM$1273,MATCH($M218,Data!$K$9:$K$1273,0)),"")</f>
        <v/>
      </c>
      <c r="AB218" s="224" t="str">
        <f>IFERROR(INDEX(Data!AN$9:AN$1273,MATCH($M218,Data!$K$9:$K$1273,0)),"")</f>
        <v/>
      </c>
      <c r="AC218" s="225" t="str">
        <f>IFERROR(INDEX(Data!BY$9:BY$1273,MATCH($M218,Data!$K$9:$K$1273,0)),"")</f>
        <v/>
      </c>
      <c r="AD218" s="225" t="str">
        <f>IFERROR(INDEX(Data!BZ$9:BZ$1273,MATCH($M218,Data!$K$9:$K$1273,0)),"")</f>
        <v/>
      </c>
      <c r="AE218" s="225" t="str">
        <f>IFERROR(INDEX(Data!CA$9:CA$1273,MATCH($M218,Data!$K$9:$K$1273,0)),"")</f>
        <v/>
      </c>
      <c r="AF218" s="225" t="str">
        <f>IFERROR(INDEX(Data!CB$9:CB$1273,MATCH($M218,Data!$K$9:$K$1273,0)),"")</f>
        <v/>
      </c>
      <c r="AG218" s="225" t="str">
        <f>IFERROR(INDEX(Data!CC$9:CC$1273,MATCH($M218,Data!$K$9:$K$1273,0)),"")</f>
        <v/>
      </c>
      <c r="AH218" s="225" t="str">
        <f>IFERROR(INDEX(Data!CD$9:CD$1273,MATCH($M218,Data!$K$9:$K$1273,0)),"")</f>
        <v/>
      </c>
      <c r="AI218" s="225" t="str">
        <f>IFERROR(INDEX(Data!CE$9:CE$1273,MATCH($M218,Data!$K$9:$K$1273,0)),"")</f>
        <v/>
      </c>
      <c r="AJ218" s="225" t="str">
        <f>IFERROR(INDEX(Data!CF$9:CF$1273,MATCH($M218,Data!$K$9:$K$1273,0)),"")</f>
        <v/>
      </c>
      <c r="AK218" s="225" t="str">
        <f>IFERROR(INDEX(Data!CG$9:CG$1273,MATCH($M218,Data!$K$9:$K$1273,0)),"")</f>
        <v/>
      </c>
      <c r="AL218" s="225" t="str">
        <f>IFERROR(INDEX(Data!CH$9:CH$1273,MATCH($M218,Data!$K$9:$K$1273,0)),"")</f>
        <v/>
      </c>
      <c r="AM218" s="225" t="str">
        <f>IFERROR(INDEX(Data!CI$9:CI$1273,MATCH($M218,Data!$K$9:$K$1273,0)),"")</f>
        <v/>
      </c>
      <c r="AN218" s="225" t="str">
        <f>IFERROR(INDEX(Data!CJ$9:CJ$1273,MATCH($M218,Data!$K$9:$K$1273,0)),"")</f>
        <v/>
      </c>
      <c r="AO218" s="225" t="str">
        <f>IFERROR(INDEX(Data!CK$9:CK$1273,MATCH($M218,Data!$K$9:$K$1273,0)),"")</f>
        <v/>
      </c>
      <c r="AP218" s="225" t="str">
        <f>IFERROR(INDEX(Data!CL$9:CL$1273,MATCH($M218,Data!$K$9:$K$1273,0)),"")</f>
        <v/>
      </c>
      <c r="AQ218" s="225" t="str">
        <f>IFERROR(INDEX(Data!CM$9:CM$1273,MATCH($M218,Data!$K$9:$K$1273,0)),"")</f>
        <v/>
      </c>
      <c r="AR218" s="225" t="str">
        <f>IFERROR(INDEX(Data!CN$9:CN$1273,MATCH($M218,Data!$K$9:$K$1273,0)),"")</f>
        <v/>
      </c>
      <c r="AS218" s="225" t="str">
        <f>IFERROR(INDEX(Data!CO$9:CO$1273,MATCH($M218,Data!$K$9:$K$1273,0)),"")</f>
        <v/>
      </c>
      <c r="AT218" s="225" t="str">
        <f>IFERROR(INDEX(Data!CP$9:CP$1273,MATCH($M218,Data!$K$9:$K$1273,0)),"")</f>
        <v/>
      </c>
      <c r="AU218" s="225" t="str">
        <f>IFERROR(INDEX(Data!CQ$9:CQ$1273,MATCH($M218,Data!$K$9:$K$1273,0)),"")</f>
        <v/>
      </c>
      <c r="AV218" s="225" t="str">
        <f>IFERROR(INDEX(Data!CR$9:CR$1273,MATCH($M218,Data!$K$9:$K$1273,0)),"")</f>
        <v/>
      </c>
      <c r="AW218" s="225" t="str">
        <f>IFERROR(INDEX(Data!CS$9:CS$1273,MATCH($M218,Data!$K$9:$K$1273,0)),"")</f>
        <v/>
      </c>
      <c r="AX218" s="225" t="str">
        <f>IFERROR(INDEX(Data!CT$9:CT$1273,MATCH($M218,Data!$K$9:$K$1273,0)),"")</f>
        <v/>
      </c>
      <c r="AY218" s="225" t="str">
        <f>IFERROR(INDEX(Data!CU$9:CU$1273,MATCH($M218,Data!$K$9:$K$1273,0)),"")</f>
        <v/>
      </c>
      <c r="AZ218" s="225" t="str">
        <f>IFERROR(INDEX(Data!CV$9:CV$1273,MATCH($M218,Data!$K$9:$K$1273,0)),"")</f>
        <v/>
      </c>
      <c r="BA218" s="225" t="str">
        <f>IFERROR(INDEX(Data!CX$9:CX$1273,MATCH($M218,Data!$K$9:$K$1273,0)),"")</f>
        <v/>
      </c>
      <c r="BB218" s="225" t="str">
        <f>IFERROR(INDEX(Data!CY$9:CY$1273,MATCH($M218,Data!$K$9:$K$1273,0)),"")</f>
        <v/>
      </c>
      <c r="BC218" s="225" t="str">
        <f>IFERROR(INDEX(Data!CZ$9:CZ$1273,MATCH($M218,Data!$K$9:$K$1273,0)),"")</f>
        <v/>
      </c>
      <c r="BD218" s="225" t="str">
        <f>IFERROR(INDEX(Data!DA$9:DA$1273,MATCH($M218,Data!$K$9:$K$1273,0)),"")</f>
        <v/>
      </c>
      <c r="BE218" s="225" t="str">
        <f>IFERROR(INDEX(Data!DB$9:DB$1273,MATCH($M218,Data!$K$9:$K$1273,0)),"")</f>
        <v/>
      </c>
      <c r="BF218" s="225" t="str">
        <f>IFERROR(INDEX(Data!DC$9:DC$1273,MATCH($M218,Data!$K$9:$K$1273,0)),"")</f>
        <v/>
      </c>
      <c r="BG218" s="225" t="str">
        <f>IFERROR(INDEX(Data!DD$9:DD$1273,MATCH($M218,Data!$K$9:$K$1273,0)),"")</f>
        <v/>
      </c>
      <c r="BH218" s="225" t="str">
        <f>IFERROR(INDEX(Data!DE$9:DE$1273,MATCH($M218,Data!$K$9:$K$1273,0)),"")</f>
        <v/>
      </c>
      <c r="BI218" s="225" t="str">
        <f>IFERROR(INDEX(Data!DF$9:DF$1273,MATCH($M218,Data!$K$9:$K$1273,0)),"")</f>
        <v/>
      </c>
      <c r="BJ218" s="225" t="str">
        <f>IFERROR(INDEX(Data!DG$9:DG$1273,MATCH($M218,Data!$K$9:$K$1273,0)),"")</f>
        <v/>
      </c>
      <c r="BK218" s="225" t="str">
        <f>IFERROR(INDEX(Data!DH$9:DH$1273,MATCH($M218,Data!$K$9:$K$1273,0)),"")</f>
        <v/>
      </c>
      <c r="BL218" s="225" t="str">
        <f>IFERROR(INDEX(Data!DI$9:DI$1273,MATCH($M218,Data!$K$9:$K$1273,0)),"")</f>
        <v/>
      </c>
      <c r="BM218" s="225" t="str">
        <f>IFERROR(INDEX(Data!DJ$9:DJ$1273,MATCH($M218,Data!$K$9:$K$1273,0)),"")</f>
        <v/>
      </c>
      <c r="BN218" s="225" t="str">
        <f>IFERROR(INDEX(Data!DK$9:DK$1273,MATCH($M218,Data!$K$9:$K$1273,0)),"")</f>
        <v/>
      </c>
      <c r="BO218" s="225" t="str">
        <f>IFERROR(INDEX(Data!DL$9:DL$1273,MATCH($M218,Data!$K$9:$K$1273,0)),"")</f>
        <v/>
      </c>
      <c r="BP218" s="243" t="str">
        <f t="shared" si="29"/>
        <v/>
      </c>
      <c r="BQ218" s="225" t="str">
        <f t="shared" si="30"/>
        <v xml:space="preserve"> </v>
      </c>
      <c r="BR218" s="225" t="str">
        <f t="shared" si="31"/>
        <v/>
      </c>
      <c r="BS218" s="225" t="str">
        <f>IFERROR(INDEX(Data!$DO$9:$DO$1273,MATCH('Your recommendation'!BR218,Data!$DN$9:$DN$1273,0)),"")</f>
        <v/>
      </c>
    </row>
    <row r="219" spans="2:71" ht="15.6" customHeight="1">
      <c r="B219" s="222" t="str">
        <f t="shared" si="32"/>
        <v/>
      </c>
      <c r="C219" s="223"/>
      <c r="D219" s="225" t="str">
        <f>IFERROR(INDEX(Data!BR$9:BR$1273,MATCH($M219,Data!$K$9:$K$1273,0)),"")</f>
        <v/>
      </c>
      <c r="E219" s="225" t="str">
        <f>IFERROR(INDEX(Data!BS$9:BS$1273,MATCH($M219,Data!$K$9:$K$1273,0)),"")</f>
        <v/>
      </c>
      <c r="F219" s="225" t="str">
        <f>IFERROR(INDEX(Data!DM$9:DM$1273,MATCH($M219,Data!$K$9:$K$1273,0)),"")</f>
        <v/>
      </c>
      <c r="G219" s="225" t="str">
        <f>IFERROR(INDEX(Data!BV$9:BV$1273,MATCH($M219,Data!$K$9:$K$1273,0)),"")</f>
        <v/>
      </c>
      <c r="H219" s="225" t="str">
        <f>IFERROR(INDEX(Data!BW$9:BW$1273,MATCH($M219,Data!$K$9:$K$1273,0)),"")</f>
        <v/>
      </c>
      <c r="I219" s="225" t="str">
        <f>IFERROR(INDEX(Data!BX$9:BX$1273,MATCH($M219,Data!$K$9:$K$1273,0)),"")</f>
        <v/>
      </c>
      <c r="J219" s="225" t="str">
        <f>IFERROR(INDEX(Data!CB$9:CB$1273,MATCH($M219,Data!$K$9:$K$1273,0)),"")</f>
        <v/>
      </c>
      <c r="K219" s="241" t="str">
        <f t="shared" si="27"/>
        <v/>
      </c>
      <c r="L219" s="242" t="str">
        <f t="shared" si="28"/>
        <v/>
      </c>
      <c r="M219" s="224"/>
      <c r="N219" s="224"/>
      <c r="O219" s="224" t="str">
        <f>IFERROR(INDEX(Data!M$9:M$1273,MATCH($M219,Data!$K$9:$K$1273,0)),"")</f>
        <v/>
      </c>
      <c r="P219" s="224" t="str">
        <f>IFERROR(INDEX(Data!N$9:N$1273,MATCH($M219,Data!$K$9:$K$1273,0)),"")</f>
        <v/>
      </c>
      <c r="Q219" s="224" t="str">
        <f>IFERROR(INDEX(Data!O$9:O$1273,MATCH($M219,Data!$K$9:$K$1273,0)),"")</f>
        <v/>
      </c>
      <c r="R219" s="224" t="str">
        <f>IFERROR(INDEX(Data!P$9:P$1273,MATCH($M219,Data!$K$9:$K$1273,0)),"")</f>
        <v/>
      </c>
      <c r="S219" s="224" t="str">
        <f>IFERROR(INDEX(Data!S$9:S$1273,MATCH($M219,Data!$K$9:$K$1273,0)),"")</f>
        <v/>
      </c>
      <c r="T219" s="224" t="str">
        <f>IFERROR(INDEX(Data!T$9:T$1273,MATCH($M219,Data!$K$9:$K$1273,0)),"")</f>
        <v/>
      </c>
      <c r="U219" s="224" t="str">
        <f>IFERROR(INDEX(Data!U$9:U$1273,MATCH($M219,Data!$K$9:$K$1273,0)),"")</f>
        <v/>
      </c>
      <c r="V219" s="224" t="str">
        <f>IFERROR(INDEX(Data!V$9:V$1273,MATCH($M219,Data!$K$9:$K$1273,0)),"")</f>
        <v/>
      </c>
      <c r="W219" s="224" t="str">
        <f>IFERROR(INDEX(Data!W$9:W$1273,MATCH($M219,Data!$K$9:$K$1273,0)),"")</f>
        <v/>
      </c>
      <c r="X219" s="224" t="str">
        <f>IFERROR(INDEX(Data!AJ$9:AJ$1273,MATCH($M219,Data!$K$9:$K$1273,0)),"")</f>
        <v/>
      </c>
      <c r="Y219" s="224" t="str">
        <f>IFERROR(INDEX(Data!AK$9:AK$1273,MATCH($M219,Data!$K$9:$K$1273,0)),"")</f>
        <v/>
      </c>
      <c r="Z219" s="224" t="str">
        <f>IFERROR(INDEX(Data!AL$9:AL$1273,MATCH($M219,Data!$K$9:$K$1273,0)),"")</f>
        <v/>
      </c>
      <c r="AA219" s="224" t="str">
        <f>IFERROR(INDEX(Data!AM$9:AM$1273,MATCH($M219,Data!$K$9:$K$1273,0)),"")</f>
        <v/>
      </c>
      <c r="AB219" s="224" t="str">
        <f>IFERROR(INDEX(Data!AN$9:AN$1273,MATCH($M219,Data!$K$9:$K$1273,0)),"")</f>
        <v/>
      </c>
      <c r="AC219" s="225" t="str">
        <f>IFERROR(INDEX(Data!BY$9:BY$1273,MATCH($M219,Data!$K$9:$K$1273,0)),"")</f>
        <v/>
      </c>
      <c r="AD219" s="225" t="str">
        <f>IFERROR(INDEX(Data!BZ$9:BZ$1273,MATCH($M219,Data!$K$9:$K$1273,0)),"")</f>
        <v/>
      </c>
      <c r="AE219" s="225" t="str">
        <f>IFERROR(INDEX(Data!CA$9:CA$1273,MATCH($M219,Data!$K$9:$K$1273,0)),"")</f>
        <v/>
      </c>
      <c r="AF219" s="225" t="str">
        <f>IFERROR(INDEX(Data!CB$9:CB$1273,MATCH($M219,Data!$K$9:$K$1273,0)),"")</f>
        <v/>
      </c>
      <c r="AG219" s="225" t="str">
        <f>IFERROR(INDEX(Data!CC$9:CC$1273,MATCH($M219,Data!$K$9:$K$1273,0)),"")</f>
        <v/>
      </c>
      <c r="AH219" s="225" t="str">
        <f>IFERROR(INDEX(Data!CD$9:CD$1273,MATCH($M219,Data!$K$9:$K$1273,0)),"")</f>
        <v/>
      </c>
      <c r="AI219" s="225" t="str">
        <f>IFERROR(INDEX(Data!CE$9:CE$1273,MATCH($M219,Data!$K$9:$K$1273,0)),"")</f>
        <v/>
      </c>
      <c r="AJ219" s="225" t="str">
        <f>IFERROR(INDEX(Data!CF$9:CF$1273,MATCH($M219,Data!$K$9:$K$1273,0)),"")</f>
        <v/>
      </c>
      <c r="AK219" s="225" t="str">
        <f>IFERROR(INDEX(Data!CG$9:CG$1273,MATCH($M219,Data!$K$9:$K$1273,0)),"")</f>
        <v/>
      </c>
      <c r="AL219" s="225" t="str">
        <f>IFERROR(INDEX(Data!CH$9:CH$1273,MATCH($M219,Data!$K$9:$K$1273,0)),"")</f>
        <v/>
      </c>
      <c r="AM219" s="225" t="str">
        <f>IFERROR(INDEX(Data!CI$9:CI$1273,MATCH($M219,Data!$K$9:$K$1273,0)),"")</f>
        <v/>
      </c>
      <c r="AN219" s="225" t="str">
        <f>IFERROR(INDEX(Data!CJ$9:CJ$1273,MATCH($M219,Data!$K$9:$K$1273,0)),"")</f>
        <v/>
      </c>
      <c r="AO219" s="225" t="str">
        <f>IFERROR(INDEX(Data!CK$9:CK$1273,MATCH($M219,Data!$K$9:$K$1273,0)),"")</f>
        <v/>
      </c>
      <c r="AP219" s="225" t="str">
        <f>IFERROR(INDEX(Data!CL$9:CL$1273,MATCH($M219,Data!$K$9:$K$1273,0)),"")</f>
        <v/>
      </c>
      <c r="AQ219" s="225" t="str">
        <f>IFERROR(INDEX(Data!CM$9:CM$1273,MATCH($M219,Data!$K$9:$K$1273,0)),"")</f>
        <v/>
      </c>
      <c r="AR219" s="225" t="str">
        <f>IFERROR(INDEX(Data!CN$9:CN$1273,MATCH($M219,Data!$K$9:$K$1273,0)),"")</f>
        <v/>
      </c>
      <c r="AS219" s="225" t="str">
        <f>IFERROR(INDEX(Data!CO$9:CO$1273,MATCH($M219,Data!$K$9:$K$1273,0)),"")</f>
        <v/>
      </c>
      <c r="AT219" s="225" t="str">
        <f>IFERROR(INDEX(Data!CP$9:CP$1273,MATCH($M219,Data!$K$9:$K$1273,0)),"")</f>
        <v/>
      </c>
      <c r="AU219" s="225" t="str">
        <f>IFERROR(INDEX(Data!CQ$9:CQ$1273,MATCH($M219,Data!$K$9:$K$1273,0)),"")</f>
        <v/>
      </c>
      <c r="AV219" s="225" t="str">
        <f>IFERROR(INDEX(Data!CR$9:CR$1273,MATCH($M219,Data!$K$9:$K$1273,0)),"")</f>
        <v/>
      </c>
      <c r="AW219" s="225" t="str">
        <f>IFERROR(INDEX(Data!CS$9:CS$1273,MATCH($M219,Data!$K$9:$K$1273,0)),"")</f>
        <v/>
      </c>
      <c r="AX219" s="225" t="str">
        <f>IFERROR(INDEX(Data!CT$9:CT$1273,MATCH($M219,Data!$K$9:$K$1273,0)),"")</f>
        <v/>
      </c>
      <c r="AY219" s="225" t="str">
        <f>IFERROR(INDEX(Data!CU$9:CU$1273,MATCH($M219,Data!$K$9:$K$1273,0)),"")</f>
        <v/>
      </c>
      <c r="AZ219" s="225" t="str">
        <f>IFERROR(INDEX(Data!CV$9:CV$1273,MATCH($M219,Data!$K$9:$K$1273,0)),"")</f>
        <v/>
      </c>
      <c r="BA219" s="225" t="str">
        <f>IFERROR(INDEX(Data!CX$9:CX$1273,MATCH($M219,Data!$K$9:$K$1273,0)),"")</f>
        <v/>
      </c>
      <c r="BB219" s="225" t="str">
        <f>IFERROR(INDEX(Data!CY$9:CY$1273,MATCH($M219,Data!$K$9:$K$1273,0)),"")</f>
        <v/>
      </c>
      <c r="BC219" s="225" t="str">
        <f>IFERROR(INDEX(Data!CZ$9:CZ$1273,MATCH($M219,Data!$K$9:$K$1273,0)),"")</f>
        <v/>
      </c>
      <c r="BD219" s="225" t="str">
        <f>IFERROR(INDEX(Data!DA$9:DA$1273,MATCH($M219,Data!$K$9:$K$1273,0)),"")</f>
        <v/>
      </c>
      <c r="BE219" s="225" t="str">
        <f>IFERROR(INDEX(Data!DB$9:DB$1273,MATCH($M219,Data!$K$9:$K$1273,0)),"")</f>
        <v/>
      </c>
      <c r="BF219" s="225" t="str">
        <f>IFERROR(INDEX(Data!DC$9:DC$1273,MATCH($M219,Data!$K$9:$K$1273,0)),"")</f>
        <v/>
      </c>
      <c r="BG219" s="225" t="str">
        <f>IFERROR(INDEX(Data!DD$9:DD$1273,MATCH($M219,Data!$K$9:$K$1273,0)),"")</f>
        <v/>
      </c>
      <c r="BH219" s="225" t="str">
        <f>IFERROR(INDEX(Data!DE$9:DE$1273,MATCH($M219,Data!$K$9:$K$1273,0)),"")</f>
        <v/>
      </c>
      <c r="BI219" s="225" t="str">
        <f>IFERROR(INDEX(Data!DF$9:DF$1273,MATCH($M219,Data!$K$9:$K$1273,0)),"")</f>
        <v/>
      </c>
      <c r="BJ219" s="225" t="str">
        <f>IFERROR(INDEX(Data!DG$9:DG$1273,MATCH($M219,Data!$K$9:$K$1273,0)),"")</f>
        <v/>
      </c>
      <c r="BK219" s="225" t="str">
        <f>IFERROR(INDEX(Data!DH$9:DH$1273,MATCH($M219,Data!$K$9:$K$1273,0)),"")</f>
        <v/>
      </c>
      <c r="BL219" s="225" t="str">
        <f>IFERROR(INDEX(Data!DI$9:DI$1273,MATCH($M219,Data!$K$9:$K$1273,0)),"")</f>
        <v/>
      </c>
      <c r="BM219" s="225" t="str">
        <f>IFERROR(INDEX(Data!DJ$9:DJ$1273,MATCH($M219,Data!$K$9:$K$1273,0)),"")</f>
        <v/>
      </c>
      <c r="BN219" s="225" t="str">
        <f>IFERROR(INDEX(Data!DK$9:DK$1273,MATCH($M219,Data!$K$9:$K$1273,0)),"")</f>
        <v/>
      </c>
      <c r="BO219" s="225" t="str">
        <f>IFERROR(INDEX(Data!DL$9:DL$1273,MATCH($M219,Data!$K$9:$K$1273,0)),"")</f>
        <v/>
      </c>
      <c r="BP219" s="243" t="str">
        <f t="shared" si="29"/>
        <v/>
      </c>
      <c r="BQ219" s="225" t="str">
        <f t="shared" si="30"/>
        <v xml:space="preserve"> </v>
      </c>
      <c r="BR219" s="225" t="str">
        <f t="shared" si="31"/>
        <v/>
      </c>
      <c r="BS219" s="225" t="str">
        <f>IFERROR(INDEX(Data!$DO$9:$DO$1273,MATCH('Your recommendation'!BR219,Data!$DN$9:$DN$1273,0)),"")</f>
        <v/>
      </c>
    </row>
    <row r="220" spans="2:71" ht="15.6" customHeight="1">
      <c r="B220" s="222" t="str">
        <f t="shared" si="32"/>
        <v/>
      </c>
      <c r="C220" s="223"/>
      <c r="D220" s="225" t="str">
        <f>IFERROR(INDEX(Data!BR$9:BR$1273,MATCH($M220,Data!$K$9:$K$1273,0)),"")</f>
        <v/>
      </c>
      <c r="E220" s="225" t="str">
        <f>IFERROR(INDEX(Data!BS$9:BS$1273,MATCH($M220,Data!$K$9:$K$1273,0)),"")</f>
        <v/>
      </c>
      <c r="F220" s="225" t="str">
        <f>IFERROR(INDEX(Data!DM$9:DM$1273,MATCH($M220,Data!$K$9:$K$1273,0)),"")</f>
        <v/>
      </c>
      <c r="G220" s="225" t="str">
        <f>IFERROR(INDEX(Data!BV$9:BV$1273,MATCH($M220,Data!$K$9:$K$1273,0)),"")</f>
        <v/>
      </c>
      <c r="H220" s="225" t="str">
        <f>IFERROR(INDEX(Data!BW$9:BW$1273,MATCH($M220,Data!$K$9:$K$1273,0)),"")</f>
        <v/>
      </c>
      <c r="I220" s="225" t="str">
        <f>IFERROR(INDEX(Data!BX$9:BX$1273,MATCH($M220,Data!$K$9:$K$1273,0)),"")</f>
        <v/>
      </c>
      <c r="J220" s="225" t="str">
        <f>IFERROR(INDEX(Data!CB$9:CB$1273,MATCH($M220,Data!$K$9:$K$1273,0)),"")</f>
        <v/>
      </c>
      <c r="K220" s="241" t="str">
        <f t="shared" si="27"/>
        <v/>
      </c>
      <c r="L220" s="242" t="str">
        <f t="shared" si="28"/>
        <v/>
      </c>
      <c r="M220" s="224"/>
      <c r="N220" s="224"/>
      <c r="O220" s="224" t="str">
        <f>IFERROR(INDEX(Data!M$9:M$1273,MATCH($M220,Data!$K$9:$K$1273,0)),"")</f>
        <v/>
      </c>
      <c r="P220" s="224" t="str">
        <f>IFERROR(INDEX(Data!N$9:N$1273,MATCH($M220,Data!$K$9:$K$1273,0)),"")</f>
        <v/>
      </c>
      <c r="Q220" s="224" t="str">
        <f>IFERROR(INDEX(Data!O$9:O$1273,MATCH($M220,Data!$K$9:$K$1273,0)),"")</f>
        <v/>
      </c>
      <c r="R220" s="224" t="str">
        <f>IFERROR(INDEX(Data!P$9:P$1273,MATCH($M220,Data!$K$9:$K$1273,0)),"")</f>
        <v/>
      </c>
      <c r="S220" s="224" t="str">
        <f>IFERROR(INDEX(Data!S$9:S$1273,MATCH($M220,Data!$K$9:$K$1273,0)),"")</f>
        <v/>
      </c>
      <c r="T220" s="224" t="str">
        <f>IFERROR(INDEX(Data!T$9:T$1273,MATCH($M220,Data!$K$9:$K$1273,0)),"")</f>
        <v/>
      </c>
      <c r="U220" s="224" t="str">
        <f>IFERROR(INDEX(Data!U$9:U$1273,MATCH($M220,Data!$K$9:$K$1273,0)),"")</f>
        <v/>
      </c>
      <c r="V220" s="224" t="str">
        <f>IFERROR(INDEX(Data!V$9:V$1273,MATCH($M220,Data!$K$9:$K$1273,0)),"")</f>
        <v/>
      </c>
      <c r="W220" s="224" t="str">
        <f>IFERROR(INDEX(Data!W$9:W$1273,MATCH($M220,Data!$K$9:$K$1273,0)),"")</f>
        <v/>
      </c>
      <c r="X220" s="224" t="str">
        <f>IFERROR(INDEX(Data!AJ$9:AJ$1273,MATCH($M220,Data!$K$9:$K$1273,0)),"")</f>
        <v/>
      </c>
      <c r="Y220" s="224" t="str">
        <f>IFERROR(INDEX(Data!AK$9:AK$1273,MATCH($M220,Data!$K$9:$K$1273,0)),"")</f>
        <v/>
      </c>
      <c r="Z220" s="224" t="str">
        <f>IFERROR(INDEX(Data!AL$9:AL$1273,MATCH($M220,Data!$K$9:$K$1273,0)),"")</f>
        <v/>
      </c>
      <c r="AA220" s="224" t="str">
        <f>IFERROR(INDEX(Data!AM$9:AM$1273,MATCH($M220,Data!$K$9:$K$1273,0)),"")</f>
        <v/>
      </c>
      <c r="AB220" s="224" t="str">
        <f>IFERROR(INDEX(Data!AN$9:AN$1273,MATCH($M220,Data!$K$9:$K$1273,0)),"")</f>
        <v/>
      </c>
      <c r="AC220" s="225" t="str">
        <f>IFERROR(INDEX(Data!BY$9:BY$1273,MATCH($M220,Data!$K$9:$K$1273,0)),"")</f>
        <v/>
      </c>
      <c r="AD220" s="225" t="str">
        <f>IFERROR(INDEX(Data!BZ$9:BZ$1273,MATCH($M220,Data!$K$9:$K$1273,0)),"")</f>
        <v/>
      </c>
      <c r="AE220" s="225" t="str">
        <f>IFERROR(INDEX(Data!CA$9:CA$1273,MATCH($M220,Data!$K$9:$K$1273,0)),"")</f>
        <v/>
      </c>
      <c r="AF220" s="225" t="str">
        <f>IFERROR(INDEX(Data!CB$9:CB$1273,MATCH($M220,Data!$K$9:$K$1273,0)),"")</f>
        <v/>
      </c>
      <c r="AG220" s="225" t="str">
        <f>IFERROR(INDEX(Data!CC$9:CC$1273,MATCH($M220,Data!$K$9:$K$1273,0)),"")</f>
        <v/>
      </c>
      <c r="AH220" s="225" t="str">
        <f>IFERROR(INDEX(Data!CD$9:CD$1273,MATCH($M220,Data!$K$9:$K$1273,0)),"")</f>
        <v/>
      </c>
      <c r="AI220" s="225" t="str">
        <f>IFERROR(INDEX(Data!CE$9:CE$1273,MATCH($M220,Data!$K$9:$K$1273,0)),"")</f>
        <v/>
      </c>
      <c r="AJ220" s="225" t="str">
        <f>IFERROR(INDEX(Data!CF$9:CF$1273,MATCH($M220,Data!$K$9:$K$1273,0)),"")</f>
        <v/>
      </c>
      <c r="AK220" s="225" t="str">
        <f>IFERROR(INDEX(Data!CG$9:CG$1273,MATCH($M220,Data!$K$9:$K$1273,0)),"")</f>
        <v/>
      </c>
      <c r="AL220" s="225" t="str">
        <f>IFERROR(INDEX(Data!CH$9:CH$1273,MATCH($M220,Data!$K$9:$K$1273,0)),"")</f>
        <v/>
      </c>
      <c r="AM220" s="225" t="str">
        <f>IFERROR(INDEX(Data!CI$9:CI$1273,MATCH($M220,Data!$K$9:$K$1273,0)),"")</f>
        <v/>
      </c>
      <c r="AN220" s="225" t="str">
        <f>IFERROR(INDEX(Data!CJ$9:CJ$1273,MATCH($M220,Data!$K$9:$K$1273,0)),"")</f>
        <v/>
      </c>
      <c r="AO220" s="225" t="str">
        <f>IFERROR(INDEX(Data!CK$9:CK$1273,MATCH($M220,Data!$K$9:$K$1273,0)),"")</f>
        <v/>
      </c>
      <c r="AP220" s="225" t="str">
        <f>IFERROR(INDEX(Data!CL$9:CL$1273,MATCH($M220,Data!$K$9:$K$1273,0)),"")</f>
        <v/>
      </c>
      <c r="AQ220" s="225" t="str">
        <f>IFERROR(INDEX(Data!CM$9:CM$1273,MATCH($M220,Data!$K$9:$K$1273,0)),"")</f>
        <v/>
      </c>
      <c r="AR220" s="225" t="str">
        <f>IFERROR(INDEX(Data!CN$9:CN$1273,MATCH($M220,Data!$K$9:$K$1273,0)),"")</f>
        <v/>
      </c>
      <c r="AS220" s="225" t="str">
        <f>IFERROR(INDEX(Data!CO$9:CO$1273,MATCH($M220,Data!$K$9:$K$1273,0)),"")</f>
        <v/>
      </c>
      <c r="AT220" s="225" t="str">
        <f>IFERROR(INDEX(Data!CP$9:CP$1273,MATCH($M220,Data!$K$9:$K$1273,0)),"")</f>
        <v/>
      </c>
      <c r="AU220" s="225" t="str">
        <f>IFERROR(INDEX(Data!CQ$9:CQ$1273,MATCH($M220,Data!$K$9:$K$1273,0)),"")</f>
        <v/>
      </c>
      <c r="AV220" s="225" t="str">
        <f>IFERROR(INDEX(Data!CR$9:CR$1273,MATCH($M220,Data!$K$9:$K$1273,0)),"")</f>
        <v/>
      </c>
      <c r="AW220" s="225" t="str">
        <f>IFERROR(INDEX(Data!CS$9:CS$1273,MATCH($M220,Data!$K$9:$K$1273,0)),"")</f>
        <v/>
      </c>
      <c r="AX220" s="225" t="str">
        <f>IFERROR(INDEX(Data!CT$9:CT$1273,MATCH($M220,Data!$K$9:$K$1273,0)),"")</f>
        <v/>
      </c>
      <c r="AY220" s="225" t="str">
        <f>IFERROR(INDEX(Data!CU$9:CU$1273,MATCH($M220,Data!$K$9:$K$1273,0)),"")</f>
        <v/>
      </c>
      <c r="AZ220" s="225" t="str">
        <f>IFERROR(INDEX(Data!CV$9:CV$1273,MATCH($M220,Data!$K$9:$K$1273,0)),"")</f>
        <v/>
      </c>
      <c r="BA220" s="225" t="str">
        <f>IFERROR(INDEX(Data!CX$9:CX$1273,MATCH($M220,Data!$K$9:$K$1273,0)),"")</f>
        <v/>
      </c>
      <c r="BB220" s="225" t="str">
        <f>IFERROR(INDEX(Data!CY$9:CY$1273,MATCH($M220,Data!$K$9:$K$1273,0)),"")</f>
        <v/>
      </c>
      <c r="BC220" s="225" t="str">
        <f>IFERROR(INDEX(Data!CZ$9:CZ$1273,MATCH($M220,Data!$K$9:$K$1273,0)),"")</f>
        <v/>
      </c>
      <c r="BD220" s="225" t="str">
        <f>IFERROR(INDEX(Data!DA$9:DA$1273,MATCH($M220,Data!$K$9:$K$1273,0)),"")</f>
        <v/>
      </c>
      <c r="BE220" s="225" t="str">
        <f>IFERROR(INDEX(Data!DB$9:DB$1273,MATCH($M220,Data!$K$9:$K$1273,0)),"")</f>
        <v/>
      </c>
      <c r="BF220" s="225" t="str">
        <f>IFERROR(INDEX(Data!DC$9:DC$1273,MATCH($M220,Data!$K$9:$K$1273,0)),"")</f>
        <v/>
      </c>
      <c r="BG220" s="225" t="str">
        <f>IFERROR(INDEX(Data!DD$9:DD$1273,MATCH($M220,Data!$K$9:$K$1273,0)),"")</f>
        <v/>
      </c>
      <c r="BH220" s="225" t="str">
        <f>IFERROR(INDEX(Data!DE$9:DE$1273,MATCH($M220,Data!$K$9:$K$1273,0)),"")</f>
        <v/>
      </c>
      <c r="BI220" s="225" t="str">
        <f>IFERROR(INDEX(Data!DF$9:DF$1273,MATCH($M220,Data!$K$9:$K$1273,0)),"")</f>
        <v/>
      </c>
      <c r="BJ220" s="225" t="str">
        <f>IFERROR(INDEX(Data!DG$9:DG$1273,MATCH($M220,Data!$K$9:$K$1273,0)),"")</f>
        <v/>
      </c>
      <c r="BK220" s="225" t="str">
        <f>IFERROR(INDEX(Data!DH$9:DH$1273,MATCH($M220,Data!$K$9:$K$1273,0)),"")</f>
        <v/>
      </c>
      <c r="BL220" s="225" t="str">
        <f>IFERROR(INDEX(Data!DI$9:DI$1273,MATCH($M220,Data!$K$9:$K$1273,0)),"")</f>
        <v/>
      </c>
      <c r="BM220" s="225" t="str">
        <f>IFERROR(INDEX(Data!DJ$9:DJ$1273,MATCH($M220,Data!$K$9:$K$1273,0)),"")</f>
        <v/>
      </c>
      <c r="BN220" s="225" t="str">
        <f>IFERROR(INDEX(Data!DK$9:DK$1273,MATCH($M220,Data!$K$9:$K$1273,0)),"")</f>
        <v/>
      </c>
      <c r="BO220" s="225" t="str">
        <f>IFERROR(INDEX(Data!DL$9:DL$1273,MATCH($M220,Data!$K$9:$K$1273,0)),"")</f>
        <v/>
      </c>
      <c r="BP220" s="243" t="str">
        <f t="shared" si="29"/>
        <v/>
      </c>
      <c r="BQ220" s="225" t="str">
        <f t="shared" si="30"/>
        <v xml:space="preserve"> </v>
      </c>
      <c r="BR220" s="225" t="str">
        <f t="shared" si="31"/>
        <v/>
      </c>
      <c r="BS220" s="225" t="str">
        <f>IFERROR(INDEX(Data!$DO$9:$DO$1273,MATCH('Your recommendation'!BR220,Data!$DN$9:$DN$1273,0)),"")</f>
        <v/>
      </c>
    </row>
    <row r="221" spans="2:71" ht="15.6" customHeight="1">
      <c r="B221" s="222" t="str">
        <f t="shared" si="32"/>
        <v/>
      </c>
      <c r="C221" s="223"/>
      <c r="D221" s="225" t="str">
        <f>IFERROR(INDEX(Data!BR$9:BR$1273,MATCH($M221,Data!$K$9:$K$1273,0)),"")</f>
        <v/>
      </c>
      <c r="E221" s="225" t="str">
        <f>IFERROR(INDEX(Data!BS$9:BS$1273,MATCH($M221,Data!$K$9:$K$1273,0)),"")</f>
        <v/>
      </c>
      <c r="F221" s="225" t="str">
        <f>IFERROR(INDEX(Data!DM$9:DM$1273,MATCH($M221,Data!$K$9:$K$1273,0)),"")</f>
        <v/>
      </c>
      <c r="G221" s="225" t="str">
        <f>IFERROR(INDEX(Data!BV$9:BV$1273,MATCH($M221,Data!$K$9:$K$1273,0)),"")</f>
        <v/>
      </c>
      <c r="H221" s="225" t="str">
        <f>IFERROR(INDEX(Data!BW$9:BW$1273,MATCH($M221,Data!$K$9:$K$1273,0)),"")</f>
        <v/>
      </c>
      <c r="I221" s="225" t="str">
        <f>IFERROR(INDEX(Data!BX$9:BX$1273,MATCH($M221,Data!$K$9:$K$1273,0)),"")</f>
        <v/>
      </c>
      <c r="J221" s="225" t="str">
        <f>IFERROR(INDEX(Data!CB$9:CB$1273,MATCH($M221,Data!$K$9:$K$1273,0)),"")</f>
        <v/>
      </c>
      <c r="K221" s="241" t="str">
        <f t="shared" si="27"/>
        <v/>
      </c>
      <c r="L221" s="242" t="str">
        <f t="shared" si="28"/>
        <v/>
      </c>
      <c r="M221" s="224"/>
      <c r="N221" s="224"/>
      <c r="O221" s="224" t="str">
        <f>IFERROR(INDEX(Data!M$9:M$1273,MATCH($M221,Data!$K$9:$K$1273,0)),"")</f>
        <v/>
      </c>
      <c r="P221" s="224" t="str">
        <f>IFERROR(INDEX(Data!N$9:N$1273,MATCH($M221,Data!$K$9:$K$1273,0)),"")</f>
        <v/>
      </c>
      <c r="Q221" s="224" t="str">
        <f>IFERROR(INDEX(Data!O$9:O$1273,MATCH($M221,Data!$K$9:$K$1273,0)),"")</f>
        <v/>
      </c>
      <c r="R221" s="224" t="str">
        <f>IFERROR(INDEX(Data!P$9:P$1273,MATCH($M221,Data!$K$9:$K$1273,0)),"")</f>
        <v/>
      </c>
      <c r="S221" s="224" t="str">
        <f>IFERROR(INDEX(Data!S$9:S$1273,MATCH($M221,Data!$K$9:$K$1273,0)),"")</f>
        <v/>
      </c>
      <c r="T221" s="224" t="str">
        <f>IFERROR(INDEX(Data!T$9:T$1273,MATCH($M221,Data!$K$9:$K$1273,0)),"")</f>
        <v/>
      </c>
      <c r="U221" s="224" t="str">
        <f>IFERROR(INDEX(Data!U$9:U$1273,MATCH($M221,Data!$K$9:$K$1273,0)),"")</f>
        <v/>
      </c>
      <c r="V221" s="224" t="str">
        <f>IFERROR(INDEX(Data!V$9:V$1273,MATCH($M221,Data!$K$9:$K$1273,0)),"")</f>
        <v/>
      </c>
      <c r="W221" s="224" t="str">
        <f>IFERROR(INDEX(Data!W$9:W$1273,MATCH($M221,Data!$K$9:$K$1273,0)),"")</f>
        <v/>
      </c>
      <c r="X221" s="224" t="str">
        <f>IFERROR(INDEX(Data!AJ$9:AJ$1273,MATCH($M221,Data!$K$9:$K$1273,0)),"")</f>
        <v/>
      </c>
      <c r="Y221" s="224" t="str">
        <f>IFERROR(INDEX(Data!AK$9:AK$1273,MATCH($M221,Data!$K$9:$K$1273,0)),"")</f>
        <v/>
      </c>
      <c r="Z221" s="224" t="str">
        <f>IFERROR(INDEX(Data!AL$9:AL$1273,MATCH($M221,Data!$K$9:$K$1273,0)),"")</f>
        <v/>
      </c>
      <c r="AA221" s="224" t="str">
        <f>IFERROR(INDEX(Data!AM$9:AM$1273,MATCH($M221,Data!$K$9:$K$1273,0)),"")</f>
        <v/>
      </c>
      <c r="AB221" s="224" t="str">
        <f>IFERROR(INDEX(Data!AN$9:AN$1273,MATCH($M221,Data!$K$9:$K$1273,0)),"")</f>
        <v/>
      </c>
      <c r="AC221" s="225" t="str">
        <f>IFERROR(INDEX(Data!BY$9:BY$1273,MATCH($M221,Data!$K$9:$K$1273,0)),"")</f>
        <v/>
      </c>
      <c r="AD221" s="225" t="str">
        <f>IFERROR(INDEX(Data!BZ$9:BZ$1273,MATCH($M221,Data!$K$9:$K$1273,0)),"")</f>
        <v/>
      </c>
      <c r="AE221" s="225" t="str">
        <f>IFERROR(INDEX(Data!CA$9:CA$1273,MATCH($M221,Data!$K$9:$K$1273,0)),"")</f>
        <v/>
      </c>
      <c r="AF221" s="225" t="str">
        <f>IFERROR(INDEX(Data!CB$9:CB$1273,MATCH($M221,Data!$K$9:$K$1273,0)),"")</f>
        <v/>
      </c>
      <c r="AG221" s="225" t="str">
        <f>IFERROR(INDEX(Data!CC$9:CC$1273,MATCH($M221,Data!$K$9:$K$1273,0)),"")</f>
        <v/>
      </c>
      <c r="AH221" s="225" t="str">
        <f>IFERROR(INDEX(Data!CD$9:CD$1273,MATCH($M221,Data!$K$9:$K$1273,0)),"")</f>
        <v/>
      </c>
      <c r="AI221" s="225" t="str">
        <f>IFERROR(INDEX(Data!CE$9:CE$1273,MATCH($M221,Data!$K$9:$K$1273,0)),"")</f>
        <v/>
      </c>
      <c r="AJ221" s="225" t="str">
        <f>IFERROR(INDEX(Data!CF$9:CF$1273,MATCH($M221,Data!$K$9:$K$1273,0)),"")</f>
        <v/>
      </c>
      <c r="AK221" s="225" t="str">
        <f>IFERROR(INDEX(Data!CG$9:CG$1273,MATCH($M221,Data!$K$9:$K$1273,0)),"")</f>
        <v/>
      </c>
      <c r="AL221" s="225" t="str">
        <f>IFERROR(INDEX(Data!CH$9:CH$1273,MATCH($M221,Data!$K$9:$K$1273,0)),"")</f>
        <v/>
      </c>
      <c r="AM221" s="225" t="str">
        <f>IFERROR(INDEX(Data!CI$9:CI$1273,MATCH($M221,Data!$K$9:$K$1273,0)),"")</f>
        <v/>
      </c>
      <c r="AN221" s="225" t="str">
        <f>IFERROR(INDEX(Data!CJ$9:CJ$1273,MATCH($M221,Data!$K$9:$K$1273,0)),"")</f>
        <v/>
      </c>
      <c r="AO221" s="225" t="str">
        <f>IFERROR(INDEX(Data!CK$9:CK$1273,MATCH($M221,Data!$K$9:$K$1273,0)),"")</f>
        <v/>
      </c>
      <c r="AP221" s="225" t="str">
        <f>IFERROR(INDEX(Data!CL$9:CL$1273,MATCH($M221,Data!$K$9:$K$1273,0)),"")</f>
        <v/>
      </c>
      <c r="AQ221" s="225" t="str">
        <f>IFERROR(INDEX(Data!CM$9:CM$1273,MATCH($M221,Data!$K$9:$K$1273,0)),"")</f>
        <v/>
      </c>
      <c r="AR221" s="225" t="str">
        <f>IFERROR(INDEX(Data!CN$9:CN$1273,MATCH($M221,Data!$K$9:$K$1273,0)),"")</f>
        <v/>
      </c>
      <c r="AS221" s="225" t="str">
        <f>IFERROR(INDEX(Data!CO$9:CO$1273,MATCH($M221,Data!$K$9:$K$1273,0)),"")</f>
        <v/>
      </c>
      <c r="AT221" s="225" t="str">
        <f>IFERROR(INDEX(Data!CP$9:CP$1273,MATCH($M221,Data!$K$9:$K$1273,0)),"")</f>
        <v/>
      </c>
      <c r="AU221" s="225" t="str">
        <f>IFERROR(INDEX(Data!CQ$9:CQ$1273,MATCH($M221,Data!$K$9:$K$1273,0)),"")</f>
        <v/>
      </c>
      <c r="AV221" s="225" t="str">
        <f>IFERROR(INDEX(Data!CR$9:CR$1273,MATCH($M221,Data!$K$9:$K$1273,0)),"")</f>
        <v/>
      </c>
      <c r="AW221" s="225" t="str">
        <f>IFERROR(INDEX(Data!CS$9:CS$1273,MATCH($M221,Data!$K$9:$K$1273,0)),"")</f>
        <v/>
      </c>
      <c r="AX221" s="225" t="str">
        <f>IFERROR(INDEX(Data!CT$9:CT$1273,MATCH($M221,Data!$K$9:$K$1273,0)),"")</f>
        <v/>
      </c>
      <c r="AY221" s="225" t="str">
        <f>IFERROR(INDEX(Data!CU$9:CU$1273,MATCH($M221,Data!$K$9:$K$1273,0)),"")</f>
        <v/>
      </c>
      <c r="AZ221" s="225" t="str">
        <f>IFERROR(INDEX(Data!CV$9:CV$1273,MATCH($M221,Data!$K$9:$K$1273,0)),"")</f>
        <v/>
      </c>
      <c r="BA221" s="225" t="str">
        <f>IFERROR(INDEX(Data!CX$9:CX$1273,MATCH($M221,Data!$K$9:$K$1273,0)),"")</f>
        <v/>
      </c>
      <c r="BB221" s="225" t="str">
        <f>IFERROR(INDEX(Data!CY$9:CY$1273,MATCH($M221,Data!$K$9:$K$1273,0)),"")</f>
        <v/>
      </c>
      <c r="BC221" s="225" t="str">
        <f>IFERROR(INDEX(Data!CZ$9:CZ$1273,MATCH($M221,Data!$K$9:$K$1273,0)),"")</f>
        <v/>
      </c>
      <c r="BD221" s="225" t="str">
        <f>IFERROR(INDEX(Data!DA$9:DA$1273,MATCH($M221,Data!$K$9:$K$1273,0)),"")</f>
        <v/>
      </c>
      <c r="BE221" s="225" t="str">
        <f>IFERROR(INDEX(Data!DB$9:DB$1273,MATCH($M221,Data!$K$9:$K$1273,0)),"")</f>
        <v/>
      </c>
      <c r="BF221" s="225" t="str">
        <f>IFERROR(INDEX(Data!DC$9:DC$1273,MATCH($M221,Data!$K$9:$K$1273,0)),"")</f>
        <v/>
      </c>
      <c r="BG221" s="225" t="str">
        <f>IFERROR(INDEX(Data!DD$9:DD$1273,MATCH($M221,Data!$K$9:$K$1273,0)),"")</f>
        <v/>
      </c>
      <c r="BH221" s="225" t="str">
        <f>IFERROR(INDEX(Data!DE$9:DE$1273,MATCH($M221,Data!$K$9:$K$1273,0)),"")</f>
        <v/>
      </c>
      <c r="BI221" s="225" t="str">
        <f>IFERROR(INDEX(Data!DF$9:DF$1273,MATCH($M221,Data!$K$9:$K$1273,0)),"")</f>
        <v/>
      </c>
      <c r="BJ221" s="225" t="str">
        <f>IFERROR(INDEX(Data!DG$9:DG$1273,MATCH($M221,Data!$K$9:$K$1273,0)),"")</f>
        <v/>
      </c>
      <c r="BK221" s="225" t="str">
        <f>IFERROR(INDEX(Data!DH$9:DH$1273,MATCH($M221,Data!$K$9:$K$1273,0)),"")</f>
        <v/>
      </c>
      <c r="BL221" s="225" t="str">
        <f>IFERROR(INDEX(Data!DI$9:DI$1273,MATCH($M221,Data!$K$9:$K$1273,0)),"")</f>
        <v/>
      </c>
      <c r="BM221" s="225" t="str">
        <f>IFERROR(INDEX(Data!DJ$9:DJ$1273,MATCH($M221,Data!$K$9:$K$1273,0)),"")</f>
        <v/>
      </c>
      <c r="BN221" s="225" t="str">
        <f>IFERROR(INDEX(Data!DK$9:DK$1273,MATCH($M221,Data!$K$9:$K$1273,0)),"")</f>
        <v/>
      </c>
      <c r="BO221" s="225" t="str">
        <f>IFERROR(INDEX(Data!DL$9:DL$1273,MATCH($M221,Data!$K$9:$K$1273,0)),"")</f>
        <v/>
      </c>
      <c r="BP221" s="243" t="str">
        <f t="shared" si="29"/>
        <v/>
      </c>
      <c r="BQ221" s="225" t="str">
        <f t="shared" si="30"/>
        <v xml:space="preserve"> </v>
      </c>
      <c r="BR221" s="225" t="str">
        <f t="shared" si="31"/>
        <v/>
      </c>
      <c r="BS221" s="225" t="str">
        <f>IFERROR(INDEX(Data!$DO$9:$DO$1273,MATCH('Your recommendation'!BR221,Data!$DN$9:$DN$1273,0)),"")</f>
        <v/>
      </c>
    </row>
  </sheetData>
  <conditionalFormatting sqref="C43:C47">
    <cfRule type="dataBar" priority="167">
      <dataBar>
        <cfvo type="min"/>
        <cfvo type="max"/>
        <color rgb="FF008AEF"/>
      </dataBar>
    </cfRule>
  </conditionalFormatting>
  <conditionalFormatting sqref="C42:C47">
    <cfRule type="dataBar" priority="131">
      <dataBar>
        <cfvo type="min"/>
        <cfvo type="max"/>
        <color rgb="FF008AEF"/>
      </dataBar>
    </cfRule>
  </conditionalFormatting>
  <conditionalFormatting sqref="F43:F47">
    <cfRule type="dataBar" priority="130">
      <dataBar>
        <cfvo type="min"/>
        <cfvo type="max"/>
        <color rgb="FF008AEF"/>
      </dataBar>
    </cfRule>
  </conditionalFormatting>
  <conditionalFormatting sqref="G18:G23">
    <cfRule type="dataBar" priority="35">
      <dataBar>
        <cfvo type="min"/>
        <cfvo type="max"/>
        <color rgb="FF008AEF"/>
      </dataBar>
    </cfRule>
  </conditionalFormatting>
  <conditionalFormatting sqref="I43:I47">
    <cfRule type="dataBar" priority="30">
      <dataBar>
        <cfvo type="min"/>
        <cfvo type="max"/>
        <color rgb="FF008AEF"/>
      </dataBar>
    </cfRule>
  </conditionalFormatting>
  <conditionalFormatting sqref="L43:L47">
    <cfRule type="dataBar" priority="29">
      <dataBar>
        <cfvo type="min"/>
        <cfvo type="max"/>
        <color rgb="FF008AEF"/>
      </dataBar>
    </cfRule>
  </conditionalFormatting>
  <conditionalFormatting sqref="O43:O47">
    <cfRule type="dataBar" priority="28">
      <dataBar>
        <cfvo type="min"/>
        <cfvo type="max"/>
        <color rgb="FF008AEF"/>
      </dataBar>
    </cfRule>
  </conditionalFormatting>
  <conditionalFormatting sqref="L42">
    <cfRule type="dataBar" priority="24">
      <dataBar>
        <cfvo type="min"/>
        <cfvo type="max"/>
        <color rgb="FF008AEF"/>
      </dataBar>
    </cfRule>
  </conditionalFormatting>
  <conditionalFormatting sqref="O42">
    <cfRule type="dataBar" priority="23">
      <dataBar>
        <cfvo type="min"/>
        <cfvo type="max"/>
        <color rgb="FF008AEF"/>
      </dataBar>
    </cfRule>
  </conditionalFormatting>
  <conditionalFormatting sqref="R43:R47">
    <cfRule type="dataBar" priority="20">
      <dataBar>
        <cfvo type="min"/>
        <cfvo type="max"/>
        <color rgb="FF008AEF"/>
      </dataBar>
    </cfRule>
  </conditionalFormatting>
  <conditionalFormatting sqref="R42">
    <cfRule type="dataBar" priority="19">
      <dataBar>
        <cfvo type="min"/>
        <cfvo type="max"/>
        <color rgb="FF008AEF"/>
      </dataBar>
    </cfRule>
  </conditionalFormatting>
  <conditionalFormatting sqref="F42">
    <cfRule type="dataBar" priority="16">
      <dataBar>
        <cfvo type="min"/>
        <cfvo type="max"/>
        <color rgb="FF008AEF"/>
      </dataBar>
    </cfRule>
  </conditionalFormatting>
  <conditionalFormatting sqref="I42">
    <cfRule type="dataBar" priority="5">
      <dataBar>
        <cfvo type="min"/>
        <cfvo type="max"/>
        <color rgb="FF008AEF"/>
      </dataBar>
    </cfRule>
  </conditionalFormatting>
  <conditionalFormatting sqref="M75:M221">
    <cfRule type="dataBar" priority="430">
      <dataBar>
        <cfvo type="min"/>
        <cfvo type="max"/>
        <color rgb="FF0070C0"/>
      </dataBar>
    </cfRule>
  </conditionalFormatting>
  <conditionalFormatting sqref="N75:R221">
    <cfRule type="dataBar" priority="431">
      <dataBar>
        <cfvo type="min"/>
        <cfvo type="max"/>
        <color theme="4" tint="-0.499984740745262"/>
      </dataBar>
    </cfRule>
  </conditionalFormatting>
  <conditionalFormatting sqref="S75:W221">
    <cfRule type="dataBar" priority="432">
      <dataBar>
        <cfvo type="min"/>
        <cfvo type="max"/>
        <color rgb="FF002060"/>
      </dataBar>
    </cfRule>
  </conditionalFormatting>
  <conditionalFormatting sqref="X75:AB221">
    <cfRule type="dataBar" priority="433">
      <dataBar>
        <cfvo type="min"/>
        <cfvo type="max"/>
        <color theme="4" tint="-0.499984740745262"/>
      </dataBar>
    </cfRule>
  </conditionalFormatting>
  <conditionalFormatting sqref="C75:C221">
    <cfRule type="dataBar" priority="434">
      <dataBar>
        <cfvo type="min"/>
        <cfvo type="max"/>
        <color rgb="FF0070C0"/>
      </dataBar>
    </cfRule>
  </conditionalFormatting>
  <conditionalFormatting sqref="B76:C221 B75:B221">
    <cfRule type="colorScale" priority="435">
      <colorScale>
        <cfvo type="min"/>
        <cfvo type="max"/>
        <color theme="0"/>
        <color theme="4" tint="-0.499984740745262"/>
      </colorScale>
    </cfRule>
  </conditionalFormatting>
  <conditionalFormatting sqref="B75:BS221">
    <cfRule type="containsBlanks" dxfId="37" priority="1">
      <formula>LEN(TRIM(B75))=0</formula>
    </cfRule>
  </conditionalFormatting>
  <hyperlinks>
    <hyperlink ref="U37" r:id="rId1" display="https://www.google.com/aclk?sa=l&amp;ai=DChcSEwizrI-8xv71AhUfPa0GHb-8ATUYABAIGgJwdg&amp;ae=2&amp;sig=AOD64_0XwUpaToo4C0FqRwMD1oaEhwuxCg&amp;ctype=5&amp;q=&amp;ved=2ahUKEwiAqfu7xv71AhWMD0QIHWi_DdgQ9aACegQIAhBC&amp;adurl=" xr:uid="{00000000-0004-0000-0000-000000000000}"/>
    <hyperlink ref="X37" r:id="rId2" display="https://www.google.com/aclk?sa=l&amp;ai=DChcSEwizrI-8xv71AhUfPa0GHb-8ATUYABAIGgJwdg&amp;ae=2&amp;sig=AOD64_0XwUpaToo4C0FqRwMD1oaEhwuxCg&amp;ctype=5&amp;q=&amp;ved=2ahUKEwiAqfu7xv71AhWMD0QIHWi_DdgQ9aACegQIAhBC&amp;adurl=" xr:uid="{00000000-0004-0000-0000-000001000000}"/>
    <hyperlink ref="AA37" r:id="rId3" display="https://www.google.com/aclk?sa=l&amp;ai=DChcSEwizrI-8xv71AhUfPa0GHb-8ATUYABAIGgJwdg&amp;ae=2&amp;sig=AOD64_0XwUpaToo4C0FqRwMD1oaEhwuxCg&amp;ctype=5&amp;q=&amp;ved=2ahUKEwiAqfu7xv71AhWMD0QIHWi_DdgQ9aACegQIAhBC&amp;adurl=" xr:uid="{00000000-0004-0000-0000-000002000000}"/>
    <hyperlink ref="AD37" r:id="rId4" display="https://www.google.com/aclk?sa=l&amp;ai=DChcSEwizrI-8xv71AhUfPa0GHb-8ATUYABAIGgJwdg&amp;ae=2&amp;sig=AOD64_0XwUpaToo4C0FqRwMD1oaEhwuxCg&amp;ctype=5&amp;q=&amp;ved=2ahUKEwiAqfu7xv71AhWMD0QIHWi_DdgQ9aACegQIAhBC&amp;adurl=" xr:uid="{00000000-0004-0000-0000-000003000000}"/>
    <hyperlink ref="K75" r:id="rId5" display="https://www.google.com/aclk?sa=l&amp;ai=DChcSEwizrI-8xv71AhUfPa0GHb-8ATUYABAIGgJwdg&amp;ae=2&amp;sig=AOD64_0XwUpaToo4C0FqRwMD1oaEhwuxCg&amp;ctype=5&amp;q=&amp;ved=2ahUKEwiAqfu7xv71AhWMD0QIHWi_DdgQ9aACegQIAhBC&amp;adurl=" xr:uid="{00000000-0004-0000-0000-000004000000}"/>
    <hyperlink ref="K76" r:id="rId6" display="https://www.google.com/aclk?sa=l&amp;ai=DChcSEwizrI-8xv71AhUfPa0GHb-8ATUYABAIGgJwdg&amp;ae=2&amp;sig=AOD64_0XwUpaToo4C0FqRwMD1oaEhwuxCg&amp;ctype=5&amp;q=&amp;ved=2ahUKEwiAqfu7xv71AhWMD0QIHWi_DdgQ9aACegQIAhBC&amp;adurl=" xr:uid="{00000000-0004-0000-0000-000005000000}"/>
    <hyperlink ref="K77" r:id="rId7" display="https://www.google.com/aclk?sa=l&amp;ai=DChcSEwizrI-8xv71AhUfPa0GHb-8ATUYABAIGgJwdg&amp;ae=2&amp;sig=AOD64_0XwUpaToo4C0FqRwMD1oaEhwuxCg&amp;ctype=5&amp;q=&amp;ved=2ahUKEwiAqfu7xv71AhWMD0QIHWi_DdgQ9aACegQIAhBC&amp;adurl=" xr:uid="{00000000-0004-0000-0000-000006000000}"/>
    <hyperlink ref="K78" r:id="rId8" display="https://www.google.com/aclk?sa=l&amp;ai=DChcSEwizrI-8xv71AhUfPa0GHb-8ATUYABAIGgJwdg&amp;ae=2&amp;sig=AOD64_0XwUpaToo4C0FqRwMD1oaEhwuxCg&amp;ctype=5&amp;q=&amp;ved=2ahUKEwiAqfu7xv71AhWMD0QIHWi_DdgQ9aACegQIAhBC&amp;adurl=" xr:uid="{00000000-0004-0000-0000-000007000000}"/>
    <hyperlink ref="K79" r:id="rId9" display="https://www.google.com/aclk?sa=l&amp;ai=DChcSEwizrI-8xv71AhUfPa0GHb-8ATUYABAIGgJwdg&amp;ae=2&amp;sig=AOD64_0XwUpaToo4C0FqRwMD1oaEhwuxCg&amp;ctype=5&amp;q=&amp;ved=2ahUKEwiAqfu7xv71AhWMD0QIHWi_DdgQ9aACegQIAhBC&amp;adurl=" xr:uid="{00000000-0004-0000-0000-000008000000}"/>
    <hyperlink ref="K80" r:id="rId10" display="https://www.google.com/aclk?sa=l&amp;ai=DChcSEwizrI-8xv71AhUfPa0GHb-8ATUYABAIGgJwdg&amp;ae=2&amp;sig=AOD64_0XwUpaToo4C0FqRwMD1oaEhwuxCg&amp;ctype=5&amp;q=&amp;ved=2ahUKEwiAqfu7xv71AhWMD0QIHWi_DdgQ9aACegQIAhBC&amp;adurl=" xr:uid="{00000000-0004-0000-0000-000009000000}"/>
    <hyperlink ref="K81" r:id="rId11" display="https://www.google.com/aclk?sa=l&amp;ai=DChcSEwizrI-8xv71AhUfPa0GHb-8ATUYABAIGgJwdg&amp;ae=2&amp;sig=AOD64_0XwUpaToo4C0FqRwMD1oaEhwuxCg&amp;ctype=5&amp;q=&amp;ved=2ahUKEwiAqfu7xv71AhWMD0QIHWi_DdgQ9aACegQIAhBC&amp;adurl=" xr:uid="{00000000-0004-0000-0000-00000A000000}"/>
    <hyperlink ref="K82" r:id="rId12" display="https://www.google.com/aclk?sa=l&amp;ai=DChcSEwizrI-8xv71AhUfPa0GHb-8ATUYABAIGgJwdg&amp;ae=2&amp;sig=AOD64_0XwUpaToo4C0FqRwMD1oaEhwuxCg&amp;ctype=5&amp;q=&amp;ved=2ahUKEwiAqfu7xv71AhWMD0QIHWi_DdgQ9aACegQIAhBC&amp;adurl=" xr:uid="{00000000-0004-0000-0000-00000B000000}"/>
    <hyperlink ref="K83" r:id="rId13" display="https://www.google.com/aclk?sa=l&amp;ai=DChcSEwizrI-8xv71AhUfPa0GHb-8ATUYABAIGgJwdg&amp;ae=2&amp;sig=AOD64_0XwUpaToo4C0FqRwMD1oaEhwuxCg&amp;ctype=5&amp;q=&amp;ved=2ahUKEwiAqfu7xv71AhWMD0QIHWi_DdgQ9aACegQIAhBC&amp;adurl=" xr:uid="{00000000-0004-0000-0000-00000C000000}"/>
    <hyperlink ref="K84" r:id="rId14" display="https://www.google.com/aclk?sa=l&amp;ai=DChcSEwizrI-8xv71AhUfPa0GHb-8ATUYABAIGgJwdg&amp;ae=2&amp;sig=AOD64_0XwUpaToo4C0FqRwMD1oaEhwuxCg&amp;ctype=5&amp;q=&amp;ved=2ahUKEwiAqfu7xv71AhWMD0QIHWi_DdgQ9aACegQIAhBC&amp;adurl=" xr:uid="{00000000-0004-0000-0000-00000D000000}"/>
    <hyperlink ref="K85" r:id="rId15" display="https://www.google.com/aclk?sa=l&amp;ai=DChcSEwizrI-8xv71AhUfPa0GHb-8ATUYABAIGgJwdg&amp;ae=2&amp;sig=AOD64_0XwUpaToo4C0FqRwMD1oaEhwuxCg&amp;ctype=5&amp;q=&amp;ved=2ahUKEwiAqfu7xv71AhWMD0QIHWi_DdgQ9aACegQIAhBC&amp;adurl=" xr:uid="{00000000-0004-0000-0000-00000E000000}"/>
    <hyperlink ref="K86" r:id="rId16" display="https://www.google.com/aclk?sa=l&amp;ai=DChcSEwizrI-8xv71AhUfPa0GHb-8ATUYABAIGgJwdg&amp;ae=2&amp;sig=AOD64_0XwUpaToo4C0FqRwMD1oaEhwuxCg&amp;ctype=5&amp;q=&amp;ved=2ahUKEwiAqfu7xv71AhWMD0QIHWi_DdgQ9aACegQIAhBC&amp;adurl=" xr:uid="{00000000-0004-0000-0000-00000F000000}"/>
    <hyperlink ref="K87" r:id="rId17" display="https://www.google.com/aclk?sa=l&amp;ai=DChcSEwizrI-8xv71AhUfPa0GHb-8ATUYABAIGgJwdg&amp;ae=2&amp;sig=AOD64_0XwUpaToo4C0FqRwMD1oaEhwuxCg&amp;ctype=5&amp;q=&amp;ved=2ahUKEwiAqfu7xv71AhWMD0QIHWi_DdgQ9aACegQIAhBC&amp;adurl=" xr:uid="{00000000-0004-0000-0000-000010000000}"/>
    <hyperlink ref="K88" r:id="rId18" display="https://www.google.com/aclk?sa=l&amp;ai=DChcSEwizrI-8xv71AhUfPa0GHb-8ATUYABAIGgJwdg&amp;ae=2&amp;sig=AOD64_0XwUpaToo4C0FqRwMD1oaEhwuxCg&amp;ctype=5&amp;q=&amp;ved=2ahUKEwiAqfu7xv71AhWMD0QIHWi_DdgQ9aACegQIAhBC&amp;adurl=" xr:uid="{00000000-0004-0000-0000-000011000000}"/>
    <hyperlink ref="K89" r:id="rId19" display="https://www.google.com/aclk?sa=l&amp;ai=DChcSEwizrI-8xv71AhUfPa0GHb-8ATUYABAIGgJwdg&amp;ae=2&amp;sig=AOD64_0XwUpaToo4C0FqRwMD1oaEhwuxCg&amp;ctype=5&amp;q=&amp;ved=2ahUKEwiAqfu7xv71AhWMD0QIHWi_DdgQ9aACegQIAhBC&amp;adurl=" xr:uid="{00000000-0004-0000-0000-000012000000}"/>
    <hyperlink ref="K90" r:id="rId20" display="https://www.google.com/aclk?sa=l&amp;ai=DChcSEwizrI-8xv71AhUfPa0GHb-8ATUYABAIGgJwdg&amp;ae=2&amp;sig=AOD64_0XwUpaToo4C0FqRwMD1oaEhwuxCg&amp;ctype=5&amp;q=&amp;ved=2ahUKEwiAqfu7xv71AhWMD0QIHWi_DdgQ9aACegQIAhBC&amp;adurl=" xr:uid="{00000000-0004-0000-0000-000013000000}"/>
    <hyperlink ref="K91" r:id="rId21" display="https://www.google.com/aclk?sa=l&amp;ai=DChcSEwizrI-8xv71AhUfPa0GHb-8ATUYABAIGgJwdg&amp;ae=2&amp;sig=AOD64_0XwUpaToo4C0FqRwMD1oaEhwuxCg&amp;ctype=5&amp;q=&amp;ved=2ahUKEwiAqfu7xv71AhWMD0QIHWi_DdgQ9aACegQIAhBC&amp;adurl=" xr:uid="{00000000-0004-0000-0000-000014000000}"/>
    <hyperlink ref="K92" r:id="rId22" display="https://www.google.com/aclk?sa=l&amp;ai=DChcSEwizrI-8xv71AhUfPa0GHb-8ATUYABAIGgJwdg&amp;ae=2&amp;sig=AOD64_0XwUpaToo4C0FqRwMD1oaEhwuxCg&amp;ctype=5&amp;q=&amp;ved=2ahUKEwiAqfu7xv71AhWMD0QIHWi_DdgQ9aACegQIAhBC&amp;adurl=" xr:uid="{00000000-0004-0000-0000-000015000000}"/>
    <hyperlink ref="K93" r:id="rId23" display="https://www.google.com/aclk?sa=l&amp;ai=DChcSEwizrI-8xv71AhUfPa0GHb-8ATUYABAIGgJwdg&amp;ae=2&amp;sig=AOD64_0XwUpaToo4C0FqRwMD1oaEhwuxCg&amp;ctype=5&amp;q=&amp;ved=2ahUKEwiAqfu7xv71AhWMD0QIHWi_DdgQ9aACegQIAhBC&amp;adurl=" xr:uid="{00000000-0004-0000-0000-000016000000}"/>
    <hyperlink ref="K94" r:id="rId24" display="https://www.google.com/aclk?sa=l&amp;ai=DChcSEwizrI-8xv71AhUfPa0GHb-8ATUYABAIGgJwdg&amp;ae=2&amp;sig=AOD64_0XwUpaToo4C0FqRwMD1oaEhwuxCg&amp;ctype=5&amp;q=&amp;ved=2ahUKEwiAqfu7xv71AhWMD0QIHWi_DdgQ9aACegQIAhBC&amp;adurl=" xr:uid="{00000000-0004-0000-0000-000017000000}"/>
    <hyperlink ref="K95" r:id="rId25" display="https://www.google.com/aclk?sa=l&amp;ai=DChcSEwizrI-8xv71AhUfPa0GHb-8ATUYABAIGgJwdg&amp;ae=2&amp;sig=AOD64_0XwUpaToo4C0FqRwMD1oaEhwuxCg&amp;ctype=5&amp;q=&amp;ved=2ahUKEwiAqfu7xv71AhWMD0QIHWi_DdgQ9aACegQIAhBC&amp;adurl=" xr:uid="{00000000-0004-0000-0000-000018000000}"/>
    <hyperlink ref="K96" r:id="rId26" display="https://www.google.com/aclk?sa=l&amp;ai=DChcSEwizrI-8xv71AhUfPa0GHb-8ATUYABAIGgJwdg&amp;ae=2&amp;sig=AOD64_0XwUpaToo4C0FqRwMD1oaEhwuxCg&amp;ctype=5&amp;q=&amp;ved=2ahUKEwiAqfu7xv71AhWMD0QIHWi_DdgQ9aACegQIAhBC&amp;adurl=" xr:uid="{00000000-0004-0000-0000-000019000000}"/>
    <hyperlink ref="K97" r:id="rId27" display="https://www.google.com/aclk?sa=l&amp;ai=DChcSEwizrI-8xv71AhUfPa0GHb-8ATUYABAIGgJwdg&amp;ae=2&amp;sig=AOD64_0XwUpaToo4C0FqRwMD1oaEhwuxCg&amp;ctype=5&amp;q=&amp;ved=2ahUKEwiAqfu7xv71AhWMD0QIHWi_DdgQ9aACegQIAhBC&amp;adurl=" xr:uid="{00000000-0004-0000-0000-00001A000000}"/>
    <hyperlink ref="K98" r:id="rId28" display="https://www.google.com/aclk?sa=l&amp;ai=DChcSEwizrI-8xv71AhUfPa0GHb-8ATUYABAIGgJwdg&amp;ae=2&amp;sig=AOD64_0XwUpaToo4C0FqRwMD1oaEhwuxCg&amp;ctype=5&amp;q=&amp;ved=2ahUKEwiAqfu7xv71AhWMD0QIHWi_DdgQ9aACegQIAhBC&amp;adurl=" xr:uid="{00000000-0004-0000-0000-00001B000000}"/>
    <hyperlink ref="K99" r:id="rId29" display="https://www.google.com/aclk?sa=l&amp;ai=DChcSEwizrI-8xv71AhUfPa0GHb-8ATUYABAIGgJwdg&amp;ae=2&amp;sig=AOD64_0XwUpaToo4C0FqRwMD1oaEhwuxCg&amp;ctype=5&amp;q=&amp;ved=2ahUKEwiAqfu7xv71AhWMD0QIHWi_DdgQ9aACegQIAhBC&amp;adurl=" xr:uid="{00000000-0004-0000-0000-00001C000000}"/>
    <hyperlink ref="K100" r:id="rId30" display="https://www.google.com/aclk?sa=l&amp;ai=DChcSEwizrI-8xv71AhUfPa0GHb-8ATUYABAIGgJwdg&amp;ae=2&amp;sig=AOD64_0XwUpaToo4C0FqRwMD1oaEhwuxCg&amp;ctype=5&amp;q=&amp;ved=2ahUKEwiAqfu7xv71AhWMD0QIHWi_DdgQ9aACegQIAhBC&amp;adurl=" xr:uid="{00000000-0004-0000-0000-00001D000000}"/>
    <hyperlink ref="K101" r:id="rId31" display="https://www.google.com/aclk?sa=l&amp;ai=DChcSEwizrI-8xv71AhUfPa0GHb-8ATUYABAIGgJwdg&amp;ae=2&amp;sig=AOD64_0XwUpaToo4C0FqRwMD1oaEhwuxCg&amp;ctype=5&amp;q=&amp;ved=2ahUKEwiAqfu7xv71AhWMD0QIHWi_DdgQ9aACegQIAhBC&amp;adurl=" xr:uid="{00000000-0004-0000-0000-00001E000000}"/>
    <hyperlink ref="K102" r:id="rId32" display="https://www.google.com/aclk?sa=l&amp;ai=DChcSEwizrI-8xv71AhUfPa0GHb-8ATUYABAIGgJwdg&amp;ae=2&amp;sig=AOD64_0XwUpaToo4C0FqRwMD1oaEhwuxCg&amp;ctype=5&amp;q=&amp;ved=2ahUKEwiAqfu7xv71AhWMD0QIHWi_DdgQ9aACegQIAhBC&amp;adurl=" xr:uid="{00000000-0004-0000-0000-00001F000000}"/>
    <hyperlink ref="K103" r:id="rId33" display="https://www.google.com/aclk?sa=l&amp;ai=DChcSEwizrI-8xv71AhUfPa0GHb-8ATUYABAIGgJwdg&amp;ae=2&amp;sig=AOD64_0XwUpaToo4C0FqRwMD1oaEhwuxCg&amp;ctype=5&amp;q=&amp;ved=2ahUKEwiAqfu7xv71AhWMD0QIHWi_DdgQ9aACegQIAhBC&amp;adurl=" xr:uid="{00000000-0004-0000-0000-000020000000}"/>
    <hyperlink ref="K104" r:id="rId34" display="https://www.google.com/aclk?sa=l&amp;ai=DChcSEwizrI-8xv71AhUfPa0GHb-8ATUYABAIGgJwdg&amp;ae=2&amp;sig=AOD64_0XwUpaToo4C0FqRwMD1oaEhwuxCg&amp;ctype=5&amp;q=&amp;ved=2ahUKEwiAqfu7xv71AhWMD0QIHWi_DdgQ9aACegQIAhBC&amp;adurl=" xr:uid="{00000000-0004-0000-0000-000021000000}"/>
    <hyperlink ref="K105" r:id="rId35" display="https://www.google.com/aclk?sa=l&amp;ai=DChcSEwizrI-8xv71AhUfPa0GHb-8ATUYABAIGgJwdg&amp;ae=2&amp;sig=AOD64_0XwUpaToo4C0FqRwMD1oaEhwuxCg&amp;ctype=5&amp;q=&amp;ved=2ahUKEwiAqfu7xv71AhWMD0QIHWi_DdgQ9aACegQIAhBC&amp;adurl=" xr:uid="{00000000-0004-0000-0000-000022000000}"/>
    <hyperlink ref="K106" r:id="rId36" display="https://www.google.com/aclk?sa=l&amp;ai=DChcSEwizrI-8xv71AhUfPa0GHb-8ATUYABAIGgJwdg&amp;ae=2&amp;sig=AOD64_0XwUpaToo4C0FqRwMD1oaEhwuxCg&amp;ctype=5&amp;q=&amp;ved=2ahUKEwiAqfu7xv71AhWMD0QIHWi_DdgQ9aACegQIAhBC&amp;adurl=" xr:uid="{00000000-0004-0000-0000-000023000000}"/>
    <hyperlink ref="K107" r:id="rId37" display="https://www.google.com/aclk?sa=l&amp;ai=DChcSEwizrI-8xv71AhUfPa0GHb-8ATUYABAIGgJwdg&amp;ae=2&amp;sig=AOD64_0XwUpaToo4C0FqRwMD1oaEhwuxCg&amp;ctype=5&amp;q=&amp;ved=2ahUKEwiAqfu7xv71AhWMD0QIHWi_DdgQ9aACegQIAhBC&amp;adurl=" xr:uid="{00000000-0004-0000-0000-000024000000}"/>
    <hyperlink ref="K108" r:id="rId38" display="https://www.google.com/aclk?sa=l&amp;ai=DChcSEwizrI-8xv71AhUfPa0GHb-8ATUYABAIGgJwdg&amp;ae=2&amp;sig=AOD64_0XwUpaToo4C0FqRwMD1oaEhwuxCg&amp;ctype=5&amp;q=&amp;ved=2ahUKEwiAqfu7xv71AhWMD0QIHWi_DdgQ9aACegQIAhBC&amp;adurl=" xr:uid="{00000000-0004-0000-0000-000025000000}"/>
    <hyperlink ref="K109" r:id="rId39" display="https://www.google.com/aclk?sa=l&amp;ai=DChcSEwizrI-8xv71AhUfPa0GHb-8ATUYABAIGgJwdg&amp;ae=2&amp;sig=AOD64_0XwUpaToo4C0FqRwMD1oaEhwuxCg&amp;ctype=5&amp;q=&amp;ved=2ahUKEwiAqfu7xv71AhWMD0QIHWi_DdgQ9aACegQIAhBC&amp;adurl=" xr:uid="{00000000-0004-0000-0000-000026000000}"/>
    <hyperlink ref="K110" r:id="rId40" display="https://www.google.com/aclk?sa=l&amp;ai=DChcSEwizrI-8xv71AhUfPa0GHb-8ATUYABAIGgJwdg&amp;ae=2&amp;sig=AOD64_0XwUpaToo4C0FqRwMD1oaEhwuxCg&amp;ctype=5&amp;q=&amp;ved=2ahUKEwiAqfu7xv71AhWMD0QIHWi_DdgQ9aACegQIAhBC&amp;adurl=" xr:uid="{00000000-0004-0000-0000-000027000000}"/>
    <hyperlink ref="K111" r:id="rId41" display="https://www.google.com/aclk?sa=l&amp;ai=DChcSEwizrI-8xv71AhUfPa0GHb-8ATUYABAIGgJwdg&amp;ae=2&amp;sig=AOD64_0XwUpaToo4C0FqRwMD1oaEhwuxCg&amp;ctype=5&amp;q=&amp;ved=2ahUKEwiAqfu7xv71AhWMD0QIHWi_DdgQ9aACegQIAhBC&amp;adurl=" xr:uid="{00000000-0004-0000-0000-000028000000}"/>
    <hyperlink ref="K112" r:id="rId42" display="https://www.google.com/aclk?sa=l&amp;ai=DChcSEwizrI-8xv71AhUfPa0GHb-8ATUYABAIGgJwdg&amp;ae=2&amp;sig=AOD64_0XwUpaToo4C0FqRwMD1oaEhwuxCg&amp;ctype=5&amp;q=&amp;ved=2ahUKEwiAqfu7xv71AhWMD0QIHWi_DdgQ9aACegQIAhBC&amp;adurl=" xr:uid="{00000000-0004-0000-0000-000029000000}"/>
    <hyperlink ref="K113" r:id="rId43" display="https://www.google.com/aclk?sa=l&amp;ai=DChcSEwizrI-8xv71AhUfPa0GHb-8ATUYABAIGgJwdg&amp;ae=2&amp;sig=AOD64_0XwUpaToo4C0FqRwMD1oaEhwuxCg&amp;ctype=5&amp;q=&amp;ved=2ahUKEwiAqfu7xv71AhWMD0QIHWi_DdgQ9aACegQIAhBC&amp;adurl=" xr:uid="{00000000-0004-0000-0000-00002A000000}"/>
    <hyperlink ref="K114" r:id="rId44" display="https://www.google.com/aclk?sa=l&amp;ai=DChcSEwizrI-8xv71AhUfPa0GHb-8ATUYABAIGgJwdg&amp;ae=2&amp;sig=AOD64_0XwUpaToo4C0FqRwMD1oaEhwuxCg&amp;ctype=5&amp;q=&amp;ved=2ahUKEwiAqfu7xv71AhWMD0QIHWi_DdgQ9aACegQIAhBC&amp;adurl=" xr:uid="{00000000-0004-0000-0000-00002B000000}"/>
    <hyperlink ref="K115" r:id="rId45" display="https://www.google.com/aclk?sa=l&amp;ai=DChcSEwizrI-8xv71AhUfPa0GHb-8ATUYABAIGgJwdg&amp;ae=2&amp;sig=AOD64_0XwUpaToo4C0FqRwMD1oaEhwuxCg&amp;ctype=5&amp;q=&amp;ved=2ahUKEwiAqfu7xv71AhWMD0QIHWi_DdgQ9aACegQIAhBC&amp;adurl=" xr:uid="{00000000-0004-0000-0000-00002C000000}"/>
    <hyperlink ref="K116" r:id="rId46" display="https://www.google.com/aclk?sa=l&amp;ai=DChcSEwizrI-8xv71AhUfPa0GHb-8ATUYABAIGgJwdg&amp;ae=2&amp;sig=AOD64_0XwUpaToo4C0FqRwMD1oaEhwuxCg&amp;ctype=5&amp;q=&amp;ved=2ahUKEwiAqfu7xv71AhWMD0QIHWi_DdgQ9aACegQIAhBC&amp;adurl=" xr:uid="{00000000-0004-0000-0000-00002D000000}"/>
    <hyperlink ref="K117" r:id="rId47" display="https://www.google.com/aclk?sa=l&amp;ai=DChcSEwizrI-8xv71AhUfPa0GHb-8ATUYABAIGgJwdg&amp;ae=2&amp;sig=AOD64_0XwUpaToo4C0FqRwMD1oaEhwuxCg&amp;ctype=5&amp;q=&amp;ved=2ahUKEwiAqfu7xv71AhWMD0QIHWi_DdgQ9aACegQIAhBC&amp;adurl=" xr:uid="{00000000-0004-0000-0000-00002E000000}"/>
    <hyperlink ref="K118" r:id="rId48" display="https://www.google.com/aclk?sa=l&amp;ai=DChcSEwizrI-8xv71AhUfPa0GHb-8ATUYABAIGgJwdg&amp;ae=2&amp;sig=AOD64_0XwUpaToo4C0FqRwMD1oaEhwuxCg&amp;ctype=5&amp;q=&amp;ved=2ahUKEwiAqfu7xv71AhWMD0QIHWi_DdgQ9aACegQIAhBC&amp;adurl=" xr:uid="{00000000-0004-0000-0000-00002F000000}"/>
    <hyperlink ref="K119" r:id="rId49" display="https://www.google.com/aclk?sa=l&amp;ai=DChcSEwizrI-8xv71AhUfPa0GHb-8ATUYABAIGgJwdg&amp;ae=2&amp;sig=AOD64_0XwUpaToo4C0FqRwMD1oaEhwuxCg&amp;ctype=5&amp;q=&amp;ved=2ahUKEwiAqfu7xv71AhWMD0QIHWi_DdgQ9aACegQIAhBC&amp;adurl=" xr:uid="{00000000-0004-0000-0000-000030000000}"/>
    <hyperlink ref="K120" r:id="rId50" display="https://www.google.com/aclk?sa=l&amp;ai=DChcSEwizrI-8xv71AhUfPa0GHb-8ATUYABAIGgJwdg&amp;ae=2&amp;sig=AOD64_0XwUpaToo4C0FqRwMD1oaEhwuxCg&amp;ctype=5&amp;q=&amp;ved=2ahUKEwiAqfu7xv71AhWMD0QIHWi_DdgQ9aACegQIAhBC&amp;adurl=" xr:uid="{00000000-0004-0000-0000-000031000000}"/>
    <hyperlink ref="K121" r:id="rId51" display="https://www.google.com/aclk?sa=l&amp;ai=DChcSEwizrI-8xv71AhUfPa0GHb-8ATUYABAIGgJwdg&amp;ae=2&amp;sig=AOD64_0XwUpaToo4C0FqRwMD1oaEhwuxCg&amp;ctype=5&amp;q=&amp;ved=2ahUKEwiAqfu7xv71AhWMD0QIHWi_DdgQ9aACegQIAhBC&amp;adurl=" xr:uid="{00000000-0004-0000-0000-000032000000}"/>
    <hyperlink ref="K122" r:id="rId52" display="https://www.google.com/aclk?sa=l&amp;ai=DChcSEwizrI-8xv71AhUfPa0GHb-8ATUYABAIGgJwdg&amp;ae=2&amp;sig=AOD64_0XwUpaToo4C0FqRwMD1oaEhwuxCg&amp;ctype=5&amp;q=&amp;ved=2ahUKEwiAqfu7xv71AhWMD0QIHWi_DdgQ9aACegQIAhBC&amp;adurl=" xr:uid="{00000000-0004-0000-0000-000033000000}"/>
    <hyperlink ref="K123" r:id="rId53" display="https://www.google.com/aclk?sa=l&amp;ai=DChcSEwizrI-8xv71AhUfPa0GHb-8ATUYABAIGgJwdg&amp;ae=2&amp;sig=AOD64_0XwUpaToo4C0FqRwMD1oaEhwuxCg&amp;ctype=5&amp;q=&amp;ved=2ahUKEwiAqfu7xv71AhWMD0QIHWi_DdgQ9aACegQIAhBC&amp;adurl=" xr:uid="{00000000-0004-0000-0000-000034000000}"/>
    <hyperlink ref="K124" r:id="rId54" display="https://www.google.com/aclk?sa=l&amp;ai=DChcSEwizrI-8xv71AhUfPa0GHb-8ATUYABAIGgJwdg&amp;ae=2&amp;sig=AOD64_0XwUpaToo4C0FqRwMD1oaEhwuxCg&amp;ctype=5&amp;q=&amp;ved=2ahUKEwiAqfu7xv71AhWMD0QIHWi_DdgQ9aACegQIAhBC&amp;adurl=" xr:uid="{00000000-0004-0000-0000-000035000000}"/>
    <hyperlink ref="K125" r:id="rId55" display="https://www.google.com/aclk?sa=l&amp;ai=DChcSEwizrI-8xv71AhUfPa0GHb-8ATUYABAIGgJwdg&amp;ae=2&amp;sig=AOD64_0XwUpaToo4C0FqRwMD1oaEhwuxCg&amp;ctype=5&amp;q=&amp;ved=2ahUKEwiAqfu7xv71AhWMD0QIHWi_DdgQ9aACegQIAhBC&amp;adurl=" xr:uid="{00000000-0004-0000-0000-000036000000}"/>
    <hyperlink ref="K126" r:id="rId56" display="https://www.google.com/aclk?sa=l&amp;ai=DChcSEwizrI-8xv71AhUfPa0GHb-8ATUYABAIGgJwdg&amp;ae=2&amp;sig=AOD64_0XwUpaToo4C0FqRwMD1oaEhwuxCg&amp;ctype=5&amp;q=&amp;ved=2ahUKEwiAqfu7xv71AhWMD0QIHWi_DdgQ9aACegQIAhBC&amp;adurl=" xr:uid="{00000000-0004-0000-0000-000037000000}"/>
    <hyperlink ref="K127" r:id="rId57" display="https://www.google.com/aclk?sa=l&amp;ai=DChcSEwizrI-8xv71AhUfPa0GHb-8ATUYABAIGgJwdg&amp;ae=2&amp;sig=AOD64_0XwUpaToo4C0FqRwMD1oaEhwuxCg&amp;ctype=5&amp;q=&amp;ved=2ahUKEwiAqfu7xv71AhWMD0QIHWi_DdgQ9aACegQIAhBC&amp;adurl=" xr:uid="{00000000-0004-0000-0000-000038000000}"/>
    <hyperlink ref="K128" r:id="rId58" display="https://www.google.com/aclk?sa=l&amp;ai=DChcSEwizrI-8xv71AhUfPa0GHb-8ATUYABAIGgJwdg&amp;ae=2&amp;sig=AOD64_0XwUpaToo4C0FqRwMD1oaEhwuxCg&amp;ctype=5&amp;q=&amp;ved=2ahUKEwiAqfu7xv71AhWMD0QIHWi_DdgQ9aACegQIAhBC&amp;adurl=" xr:uid="{00000000-0004-0000-0000-000039000000}"/>
    <hyperlink ref="K129" r:id="rId59" display="https://www.google.com/aclk?sa=l&amp;ai=DChcSEwizrI-8xv71AhUfPa0GHb-8ATUYABAIGgJwdg&amp;ae=2&amp;sig=AOD64_0XwUpaToo4C0FqRwMD1oaEhwuxCg&amp;ctype=5&amp;q=&amp;ved=2ahUKEwiAqfu7xv71AhWMD0QIHWi_DdgQ9aACegQIAhBC&amp;adurl=" xr:uid="{00000000-0004-0000-0000-00003A000000}"/>
    <hyperlink ref="K130" r:id="rId60" display="https://www.google.com/aclk?sa=l&amp;ai=DChcSEwizrI-8xv71AhUfPa0GHb-8ATUYABAIGgJwdg&amp;ae=2&amp;sig=AOD64_0XwUpaToo4C0FqRwMD1oaEhwuxCg&amp;ctype=5&amp;q=&amp;ved=2ahUKEwiAqfu7xv71AhWMD0QIHWi_DdgQ9aACegQIAhBC&amp;adurl=" xr:uid="{00000000-0004-0000-0000-00003B000000}"/>
    <hyperlink ref="K131" r:id="rId61" display="https://www.google.com/aclk?sa=l&amp;ai=DChcSEwizrI-8xv71AhUfPa0GHb-8ATUYABAIGgJwdg&amp;ae=2&amp;sig=AOD64_0XwUpaToo4C0FqRwMD1oaEhwuxCg&amp;ctype=5&amp;q=&amp;ved=2ahUKEwiAqfu7xv71AhWMD0QIHWi_DdgQ9aACegQIAhBC&amp;adurl=" xr:uid="{00000000-0004-0000-0000-00003C000000}"/>
    <hyperlink ref="K132" r:id="rId62" display="https://www.google.com/aclk?sa=l&amp;ai=DChcSEwizrI-8xv71AhUfPa0GHb-8ATUYABAIGgJwdg&amp;ae=2&amp;sig=AOD64_0XwUpaToo4C0FqRwMD1oaEhwuxCg&amp;ctype=5&amp;q=&amp;ved=2ahUKEwiAqfu7xv71AhWMD0QIHWi_DdgQ9aACegQIAhBC&amp;adurl=" xr:uid="{00000000-0004-0000-0000-00003D000000}"/>
    <hyperlink ref="K133" r:id="rId63" display="https://www.google.com/aclk?sa=l&amp;ai=DChcSEwizrI-8xv71AhUfPa0GHb-8ATUYABAIGgJwdg&amp;ae=2&amp;sig=AOD64_0XwUpaToo4C0FqRwMD1oaEhwuxCg&amp;ctype=5&amp;q=&amp;ved=2ahUKEwiAqfu7xv71AhWMD0QIHWi_DdgQ9aACegQIAhBC&amp;adurl=" xr:uid="{00000000-0004-0000-0000-00003E000000}"/>
    <hyperlink ref="K134" r:id="rId64" display="https://www.google.com/aclk?sa=l&amp;ai=DChcSEwizrI-8xv71AhUfPa0GHb-8ATUYABAIGgJwdg&amp;ae=2&amp;sig=AOD64_0XwUpaToo4C0FqRwMD1oaEhwuxCg&amp;ctype=5&amp;q=&amp;ved=2ahUKEwiAqfu7xv71AhWMD0QIHWi_DdgQ9aACegQIAhBC&amp;adurl=" xr:uid="{00000000-0004-0000-0000-00003F000000}"/>
    <hyperlink ref="K135" r:id="rId65" display="https://www.google.com/aclk?sa=l&amp;ai=DChcSEwizrI-8xv71AhUfPa0GHb-8ATUYABAIGgJwdg&amp;ae=2&amp;sig=AOD64_0XwUpaToo4C0FqRwMD1oaEhwuxCg&amp;ctype=5&amp;q=&amp;ved=2ahUKEwiAqfu7xv71AhWMD0QIHWi_DdgQ9aACegQIAhBC&amp;adurl=" xr:uid="{00000000-0004-0000-0000-000040000000}"/>
    <hyperlink ref="K136" r:id="rId66" display="https://www.google.com/aclk?sa=l&amp;ai=DChcSEwizrI-8xv71AhUfPa0GHb-8ATUYABAIGgJwdg&amp;ae=2&amp;sig=AOD64_0XwUpaToo4C0FqRwMD1oaEhwuxCg&amp;ctype=5&amp;q=&amp;ved=2ahUKEwiAqfu7xv71AhWMD0QIHWi_DdgQ9aACegQIAhBC&amp;adurl=" xr:uid="{00000000-0004-0000-0000-000041000000}"/>
    <hyperlink ref="K137" r:id="rId67" display="https://www.google.com/aclk?sa=l&amp;ai=DChcSEwizrI-8xv71AhUfPa0GHb-8ATUYABAIGgJwdg&amp;ae=2&amp;sig=AOD64_0XwUpaToo4C0FqRwMD1oaEhwuxCg&amp;ctype=5&amp;q=&amp;ved=2ahUKEwiAqfu7xv71AhWMD0QIHWi_DdgQ9aACegQIAhBC&amp;adurl=" xr:uid="{00000000-0004-0000-0000-000042000000}"/>
    <hyperlink ref="K138" r:id="rId68" display="https://www.google.com/aclk?sa=l&amp;ai=DChcSEwizrI-8xv71AhUfPa0GHb-8ATUYABAIGgJwdg&amp;ae=2&amp;sig=AOD64_0XwUpaToo4C0FqRwMD1oaEhwuxCg&amp;ctype=5&amp;q=&amp;ved=2ahUKEwiAqfu7xv71AhWMD0QIHWi_DdgQ9aACegQIAhBC&amp;adurl=" xr:uid="{00000000-0004-0000-0000-000043000000}"/>
    <hyperlink ref="K139" r:id="rId69" display="https://www.google.com/aclk?sa=l&amp;ai=DChcSEwizrI-8xv71AhUfPa0GHb-8ATUYABAIGgJwdg&amp;ae=2&amp;sig=AOD64_0XwUpaToo4C0FqRwMD1oaEhwuxCg&amp;ctype=5&amp;q=&amp;ved=2ahUKEwiAqfu7xv71AhWMD0QIHWi_DdgQ9aACegQIAhBC&amp;adurl=" xr:uid="{00000000-0004-0000-0000-000044000000}"/>
    <hyperlink ref="K140" r:id="rId70" display="https://www.google.com/aclk?sa=l&amp;ai=DChcSEwizrI-8xv71AhUfPa0GHb-8ATUYABAIGgJwdg&amp;ae=2&amp;sig=AOD64_0XwUpaToo4C0FqRwMD1oaEhwuxCg&amp;ctype=5&amp;q=&amp;ved=2ahUKEwiAqfu7xv71AhWMD0QIHWi_DdgQ9aACegQIAhBC&amp;adurl=" xr:uid="{00000000-0004-0000-0000-000045000000}"/>
    <hyperlink ref="K141" r:id="rId71" display="https://www.google.com/aclk?sa=l&amp;ai=DChcSEwizrI-8xv71AhUfPa0GHb-8ATUYABAIGgJwdg&amp;ae=2&amp;sig=AOD64_0XwUpaToo4C0FqRwMD1oaEhwuxCg&amp;ctype=5&amp;q=&amp;ved=2ahUKEwiAqfu7xv71AhWMD0QIHWi_DdgQ9aACegQIAhBC&amp;adurl=" xr:uid="{00000000-0004-0000-0000-000046000000}"/>
    <hyperlink ref="K142" r:id="rId72" display="https://www.google.com/aclk?sa=l&amp;ai=DChcSEwizrI-8xv71AhUfPa0GHb-8ATUYABAIGgJwdg&amp;ae=2&amp;sig=AOD64_0XwUpaToo4C0FqRwMD1oaEhwuxCg&amp;ctype=5&amp;q=&amp;ved=2ahUKEwiAqfu7xv71AhWMD0QIHWi_DdgQ9aACegQIAhBC&amp;adurl=" xr:uid="{00000000-0004-0000-0000-000047000000}"/>
    <hyperlink ref="K143" r:id="rId73" display="https://www.google.com/aclk?sa=l&amp;ai=DChcSEwizrI-8xv71AhUfPa0GHb-8ATUYABAIGgJwdg&amp;ae=2&amp;sig=AOD64_0XwUpaToo4C0FqRwMD1oaEhwuxCg&amp;ctype=5&amp;q=&amp;ved=2ahUKEwiAqfu7xv71AhWMD0QIHWi_DdgQ9aACegQIAhBC&amp;adurl=" xr:uid="{00000000-0004-0000-0000-000048000000}"/>
    <hyperlink ref="K144" r:id="rId74" display="https://www.google.com/aclk?sa=l&amp;ai=DChcSEwizrI-8xv71AhUfPa0GHb-8ATUYABAIGgJwdg&amp;ae=2&amp;sig=AOD64_0XwUpaToo4C0FqRwMD1oaEhwuxCg&amp;ctype=5&amp;q=&amp;ved=2ahUKEwiAqfu7xv71AhWMD0QIHWi_DdgQ9aACegQIAhBC&amp;adurl=" xr:uid="{00000000-0004-0000-0000-000049000000}"/>
    <hyperlink ref="K145" r:id="rId75" display="https://www.google.com/aclk?sa=l&amp;ai=DChcSEwizrI-8xv71AhUfPa0GHb-8ATUYABAIGgJwdg&amp;ae=2&amp;sig=AOD64_0XwUpaToo4C0FqRwMD1oaEhwuxCg&amp;ctype=5&amp;q=&amp;ved=2ahUKEwiAqfu7xv71AhWMD0QIHWi_DdgQ9aACegQIAhBC&amp;adurl=" xr:uid="{00000000-0004-0000-0000-00004A000000}"/>
    <hyperlink ref="K146" r:id="rId76" display="https://www.google.com/aclk?sa=l&amp;ai=DChcSEwizrI-8xv71AhUfPa0GHb-8ATUYABAIGgJwdg&amp;ae=2&amp;sig=AOD64_0XwUpaToo4C0FqRwMD1oaEhwuxCg&amp;ctype=5&amp;q=&amp;ved=2ahUKEwiAqfu7xv71AhWMD0QIHWi_DdgQ9aACegQIAhBC&amp;adurl=" xr:uid="{00000000-0004-0000-0000-00004B000000}"/>
    <hyperlink ref="K147" r:id="rId77" display="https://www.google.com/aclk?sa=l&amp;ai=DChcSEwizrI-8xv71AhUfPa0GHb-8ATUYABAIGgJwdg&amp;ae=2&amp;sig=AOD64_0XwUpaToo4C0FqRwMD1oaEhwuxCg&amp;ctype=5&amp;q=&amp;ved=2ahUKEwiAqfu7xv71AhWMD0QIHWi_DdgQ9aACegQIAhBC&amp;adurl=" xr:uid="{00000000-0004-0000-0000-00004C000000}"/>
    <hyperlink ref="K148" r:id="rId78" display="https://www.google.com/aclk?sa=l&amp;ai=DChcSEwizrI-8xv71AhUfPa0GHb-8ATUYABAIGgJwdg&amp;ae=2&amp;sig=AOD64_0XwUpaToo4C0FqRwMD1oaEhwuxCg&amp;ctype=5&amp;q=&amp;ved=2ahUKEwiAqfu7xv71AhWMD0QIHWi_DdgQ9aACegQIAhBC&amp;adurl=" xr:uid="{00000000-0004-0000-0000-00004D000000}"/>
    <hyperlink ref="K149" r:id="rId79" display="https://www.google.com/aclk?sa=l&amp;ai=DChcSEwizrI-8xv71AhUfPa0GHb-8ATUYABAIGgJwdg&amp;ae=2&amp;sig=AOD64_0XwUpaToo4C0FqRwMD1oaEhwuxCg&amp;ctype=5&amp;q=&amp;ved=2ahUKEwiAqfu7xv71AhWMD0QIHWi_DdgQ9aACegQIAhBC&amp;adurl=" xr:uid="{00000000-0004-0000-0000-00004E000000}"/>
    <hyperlink ref="K150" r:id="rId80" display="https://www.google.com/aclk?sa=l&amp;ai=DChcSEwizrI-8xv71AhUfPa0GHb-8ATUYABAIGgJwdg&amp;ae=2&amp;sig=AOD64_0XwUpaToo4C0FqRwMD1oaEhwuxCg&amp;ctype=5&amp;q=&amp;ved=2ahUKEwiAqfu7xv71AhWMD0QIHWi_DdgQ9aACegQIAhBC&amp;adurl=" xr:uid="{00000000-0004-0000-0000-00004F000000}"/>
    <hyperlink ref="K151" r:id="rId81" display="https://www.google.com/aclk?sa=l&amp;ai=DChcSEwizrI-8xv71AhUfPa0GHb-8ATUYABAIGgJwdg&amp;ae=2&amp;sig=AOD64_0XwUpaToo4C0FqRwMD1oaEhwuxCg&amp;ctype=5&amp;q=&amp;ved=2ahUKEwiAqfu7xv71AhWMD0QIHWi_DdgQ9aACegQIAhBC&amp;adurl=" xr:uid="{00000000-0004-0000-0000-000050000000}"/>
    <hyperlink ref="K152" r:id="rId82" display="https://www.google.com/aclk?sa=l&amp;ai=DChcSEwizrI-8xv71AhUfPa0GHb-8ATUYABAIGgJwdg&amp;ae=2&amp;sig=AOD64_0XwUpaToo4C0FqRwMD1oaEhwuxCg&amp;ctype=5&amp;q=&amp;ved=2ahUKEwiAqfu7xv71AhWMD0QIHWi_DdgQ9aACegQIAhBC&amp;adurl=" xr:uid="{00000000-0004-0000-0000-000051000000}"/>
    <hyperlink ref="K153" r:id="rId83" display="https://www.google.com/aclk?sa=l&amp;ai=DChcSEwizrI-8xv71AhUfPa0GHb-8ATUYABAIGgJwdg&amp;ae=2&amp;sig=AOD64_0XwUpaToo4C0FqRwMD1oaEhwuxCg&amp;ctype=5&amp;q=&amp;ved=2ahUKEwiAqfu7xv71AhWMD0QIHWi_DdgQ9aACegQIAhBC&amp;adurl=" xr:uid="{00000000-0004-0000-0000-000052000000}"/>
    <hyperlink ref="K154" r:id="rId84" display="https://www.google.com/aclk?sa=l&amp;ai=DChcSEwizrI-8xv71AhUfPa0GHb-8ATUYABAIGgJwdg&amp;ae=2&amp;sig=AOD64_0XwUpaToo4C0FqRwMD1oaEhwuxCg&amp;ctype=5&amp;q=&amp;ved=2ahUKEwiAqfu7xv71AhWMD0QIHWi_DdgQ9aACegQIAhBC&amp;adurl=" xr:uid="{00000000-0004-0000-0000-000053000000}"/>
    <hyperlink ref="K155" r:id="rId85" display="https://www.google.com/aclk?sa=l&amp;ai=DChcSEwizrI-8xv71AhUfPa0GHb-8ATUYABAIGgJwdg&amp;ae=2&amp;sig=AOD64_0XwUpaToo4C0FqRwMD1oaEhwuxCg&amp;ctype=5&amp;q=&amp;ved=2ahUKEwiAqfu7xv71AhWMD0QIHWi_DdgQ9aACegQIAhBC&amp;adurl=" xr:uid="{00000000-0004-0000-0000-000054000000}"/>
    <hyperlink ref="K156" r:id="rId86" display="https://www.google.com/aclk?sa=l&amp;ai=DChcSEwizrI-8xv71AhUfPa0GHb-8ATUYABAIGgJwdg&amp;ae=2&amp;sig=AOD64_0XwUpaToo4C0FqRwMD1oaEhwuxCg&amp;ctype=5&amp;q=&amp;ved=2ahUKEwiAqfu7xv71AhWMD0QIHWi_DdgQ9aACegQIAhBC&amp;adurl=" xr:uid="{00000000-0004-0000-0000-000055000000}"/>
    <hyperlink ref="K157" r:id="rId87" display="https://www.google.com/aclk?sa=l&amp;ai=DChcSEwizrI-8xv71AhUfPa0GHb-8ATUYABAIGgJwdg&amp;ae=2&amp;sig=AOD64_0XwUpaToo4C0FqRwMD1oaEhwuxCg&amp;ctype=5&amp;q=&amp;ved=2ahUKEwiAqfu7xv71AhWMD0QIHWi_DdgQ9aACegQIAhBC&amp;adurl=" xr:uid="{00000000-0004-0000-0000-000056000000}"/>
    <hyperlink ref="K158" r:id="rId88" display="https://www.google.com/aclk?sa=l&amp;ai=DChcSEwizrI-8xv71AhUfPa0GHb-8ATUYABAIGgJwdg&amp;ae=2&amp;sig=AOD64_0XwUpaToo4C0FqRwMD1oaEhwuxCg&amp;ctype=5&amp;q=&amp;ved=2ahUKEwiAqfu7xv71AhWMD0QIHWi_DdgQ9aACegQIAhBC&amp;adurl=" xr:uid="{00000000-0004-0000-0000-000057000000}"/>
    <hyperlink ref="K159" r:id="rId89" display="https://www.google.com/aclk?sa=l&amp;ai=DChcSEwizrI-8xv71AhUfPa0GHb-8ATUYABAIGgJwdg&amp;ae=2&amp;sig=AOD64_0XwUpaToo4C0FqRwMD1oaEhwuxCg&amp;ctype=5&amp;q=&amp;ved=2ahUKEwiAqfu7xv71AhWMD0QIHWi_DdgQ9aACegQIAhBC&amp;adurl=" xr:uid="{00000000-0004-0000-0000-000058000000}"/>
    <hyperlink ref="K160" r:id="rId90" display="https://www.google.com/aclk?sa=l&amp;ai=DChcSEwizrI-8xv71AhUfPa0GHb-8ATUYABAIGgJwdg&amp;ae=2&amp;sig=AOD64_0XwUpaToo4C0FqRwMD1oaEhwuxCg&amp;ctype=5&amp;q=&amp;ved=2ahUKEwiAqfu7xv71AhWMD0QIHWi_DdgQ9aACegQIAhBC&amp;adurl=" xr:uid="{00000000-0004-0000-0000-000059000000}"/>
    <hyperlink ref="K161" r:id="rId91" display="https://www.google.com/aclk?sa=l&amp;ai=DChcSEwizrI-8xv71AhUfPa0GHb-8ATUYABAIGgJwdg&amp;ae=2&amp;sig=AOD64_0XwUpaToo4C0FqRwMD1oaEhwuxCg&amp;ctype=5&amp;q=&amp;ved=2ahUKEwiAqfu7xv71AhWMD0QIHWi_DdgQ9aACegQIAhBC&amp;adurl=" xr:uid="{00000000-0004-0000-0000-00005A000000}"/>
    <hyperlink ref="K162" r:id="rId92" display="https://www.google.com/aclk?sa=l&amp;ai=DChcSEwizrI-8xv71AhUfPa0GHb-8ATUYABAIGgJwdg&amp;ae=2&amp;sig=AOD64_0XwUpaToo4C0FqRwMD1oaEhwuxCg&amp;ctype=5&amp;q=&amp;ved=2ahUKEwiAqfu7xv71AhWMD0QIHWi_DdgQ9aACegQIAhBC&amp;adurl=" xr:uid="{00000000-0004-0000-0000-00005B000000}"/>
    <hyperlink ref="K163" r:id="rId93" display="https://www.google.com/aclk?sa=l&amp;ai=DChcSEwizrI-8xv71AhUfPa0GHb-8ATUYABAIGgJwdg&amp;ae=2&amp;sig=AOD64_0XwUpaToo4C0FqRwMD1oaEhwuxCg&amp;ctype=5&amp;q=&amp;ved=2ahUKEwiAqfu7xv71AhWMD0QIHWi_DdgQ9aACegQIAhBC&amp;adurl=" xr:uid="{00000000-0004-0000-0000-00005C000000}"/>
    <hyperlink ref="K164" r:id="rId94" display="https://www.google.com/aclk?sa=l&amp;ai=DChcSEwizrI-8xv71AhUfPa0GHb-8ATUYABAIGgJwdg&amp;ae=2&amp;sig=AOD64_0XwUpaToo4C0FqRwMD1oaEhwuxCg&amp;ctype=5&amp;q=&amp;ved=2ahUKEwiAqfu7xv71AhWMD0QIHWi_DdgQ9aACegQIAhBC&amp;adurl=" xr:uid="{00000000-0004-0000-0000-00005D000000}"/>
    <hyperlink ref="K165" r:id="rId95" display="https://www.google.com/aclk?sa=l&amp;ai=DChcSEwizrI-8xv71AhUfPa0GHb-8ATUYABAIGgJwdg&amp;ae=2&amp;sig=AOD64_0XwUpaToo4C0FqRwMD1oaEhwuxCg&amp;ctype=5&amp;q=&amp;ved=2ahUKEwiAqfu7xv71AhWMD0QIHWi_DdgQ9aACegQIAhBC&amp;adurl=" xr:uid="{00000000-0004-0000-0000-00005E000000}"/>
    <hyperlink ref="K166" r:id="rId96" display="https://www.google.com/aclk?sa=l&amp;ai=DChcSEwizrI-8xv71AhUfPa0GHb-8ATUYABAIGgJwdg&amp;ae=2&amp;sig=AOD64_0XwUpaToo4C0FqRwMD1oaEhwuxCg&amp;ctype=5&amp;q=&amp;ved=2ahUKEwiAqfu7xv71AhWMD0QIHWi_DdgQ9aACegQIAhBC&amp;adurl=" xr:uid="{00000000-0004-0000-0000-00005F000000}"/>
    <hyperlink ref="K167" r:id="rId97" display="https://www.google.com/aclk?sa=l&amp;ai=DChcSEwizrI-8xv71AhUfPa0GHb-8ATUYABAIGgJwdg&amp;ae=2&amp;sig=AOD64_0XwUpaToo4C0FqRwMD1oaEhwuxCg&amp;ctype=5&amp;q=&amp;ved=2ahUKEwiAqfu7xv71AhWMD0QIHWi_DdgQ9aACegQIAhBC&amp;adurl=" xr:uid="{00000000-0004-0000-0000-000060000000}"/>
    <hyperlink ref="K168" r:id="rId98" display="https://www.google.com/aclk?sa=l&amp;ai=DChcSEwizrI-8xv71AhUfPa0GHb-8ATUYABAIGgJwdg&amp;ae=2&amp;sig=AOD64_0XwUpaToo4C0FqRwMD1oaEhwuxCg&amp;ctype=5&amp;q=&amp;ved=2ahUKEwiAqfu7xv71AhWMD0QIHWi_DdgQ9aACegQIAhBC&amp;adurl=" xr:uid="{00000000-0004-0000-0000-000061000000}"/>
    <hyperlink ref="K169" r:id="rId99" display="https://www.google.com/aclk?sa=l&amp;ai=DChcSEwizrI-8xv71AhUfPa0GHb-8ATUYABAIGgJwdg&amp;ae=2&amp;sig=AOD64_0XwUpaToo4C0FqRwMD1oaEhwuxCg&amp;ctype=5&amp;q=&amp;ved=2ahUKEwiAqfu7xv71AhWMD0QIHWi_DdgQ9aACegQIAhBC&amp;adurl=" xr:uid="{00000000-0004-0000-0000-000062000000}"/>
    <hyperlink ref="K170" r:id="rId100" display="https://www.google.com/aclk?sa=l&amp;ai=DChcSEwizrI-8xv71AhUfPa0GHb-8ATUYABAIGgJwdg&amp;ae=2&amp;sig=AOD64_0XwUpaToo4C0FqRwMD1oaEhwuxCg&amp;ctype=5&amp;q=&amp;ved=2ahUKEwiAqfu7xv71AhWMD0QIHWi_DdgQ9aACegQIAhBC&amp;adurl=" xr:uid="{00000000-0004-0000-0000-000063000000}"/>
    <hyperlink ref="K171" r:id="rId101" display="https://www.google.com/aclk?sa=l&amp;ai=DChcSEwizrI-8xv71AhUfPa0GHb-8ATUYABAIGgJwdg&amp;ae=2&amp;sig=AOD64_0XwUpaToo4C0FqRwMD1oaEhwuxCg&amp;ctype=5&amp;q=&amp;ved=2ahUKEwiAqfu7xv71AhWMD0QIHWi_DdgQ9aACegQIAhBC&amp;adurl=" xr:uid="{00000000-0004-0000-0000-000064000000}"/>
    <hyperlink ref="K172" r:id="rId102" display="https://www.google.com/aclk?sa=l&amp;ai=DChcSEwizrI-8xv71AhUfPa0GHb-8ATUYABAIGgJwdg&amp;ae=2&amp;sig=AOD64_0XwUpaToo4C0FqRwMD1oaEhwuxCg&amp;ctype=5&amp;q=&amp;ved=2ahUKEwiAqfu7xv71AhWMD0QIHWi_DdgQ9aACegQIAhBC&amp;adurl=" xr:uid="{00000000-0004-0000-0000-000065000000}"/>
    <hyperlink ref="K173" r:id="rId103" display="https://www.google.com/aclk?sa=l&amp;ai=DChcSEwizrI-8xv71AhUfPa0GHb-8ATUYABAIGgJwdg&amp;ae=2&amp;sig=AOD64_0XwUpaToo4C0FqRwMD1oaEhwuxCg&amp;ctype=5&amp;q=&amp;ved=2ahUKEwiAqfu7xv71AhWMD0QIHWi_DdgQ9aACegQIAhBC&amp;adurl=" xr:uid="{00000000-0004-0000-0000-000066000000}"/>
    <hyperlink ref="K174" r:id="rId104" display="https://www.google.com/aclk?sa=l&amp;ai=DChcSEwizrI-8xv71AhUfPa0GHb-8ATUYABAIGgJwdg&amp;ae=2&amp;sig=AOD64_0XwUpaToo4C0FqRwMD1oaEhwuxCg&amp;ctype=5&amp;q=&amp;ved=2ahUKEwiAqfu7xv71AhWMD0QIHWi_DdgQ9aACegQIAhBC&amp;adurl=" xr:uid="{00000000-0004-0000-0000-000067000000}"/>
    <hyperlink ref="K175" r:id="rId105" display="https://www.google.com/aclk?sa=l&amp;ai=DChcSEwizrI-8xv71AhUfPa0GHb-8ATUYABAIGgJwdg&amp;ae=2&amp;sig=AOD64_0XwUpaToo4C0FqRwMD1oaEhwuxCg&amp;ctype=5&amp;q=&amp;ved=2ahUKEwiAqfu7xv71AhWMD0QIHWi_DdgQ9aACegQIAhBC&amp;adurl=" xr:uid="{00000000-0004-0000-0000-000068000000}"/>
    <hyperlink ref="K176" r:id="rId106" display="https://www.google.com/aclk?sa=l&amp;ai=DChcSEwizrI-8xv71AhUfPa0GHb-8ATUYABAIGgJwdg&amp;ae=2&amp;sig=AOD64_0XwUpaToo4C0FqRwMD1oaEhwuxCg&amp;ctype=5&amp;q=&amp;ved=2ahUKEwiAqfu7xv71AhWMD0QIHWi_DdgQ9aACegQIAhBC&amp;adurl=" xr:uid="{00000000-0004-0000-0000-000069000000}"/>
    <hyperlink ref="K177" r:id="rId107" display="https://www.google.com/aclk?sa=l&amp;ai=DChcSEwizrI-8xv71AhUfPa0GHb-8ATUYABAIGgJwdg&amp;ae=2&amp;sig=AOD64_0XwUpaToo4C0FqRwMD1oaEhwuxCg&amp;ctype=5&amp;q=&amp;ved=2ahUKEwiAqfu7xv71AhWMD0QIHWi_DdgQ9aACegQIAhBC&amp;adurl=" xr:uid="{00000000-0004-0000-0000-00006A000000}"/>
    <hyperlink ref="K178" r:id="rId108" display="https://www.google.com/aclk?sa=l&amp;ai=DChcSEwizrI-8xv71AhUfPa0GHb-8ATUYABAIGgJwdg&amp;ae=2&amp;sig=AOD64_0XwUpaToo4C0FqRwMD1oaEhwuxCg&amp;ctype=5&amp;q=&amp;ved=2ahUKEwiAqfu7xv71AhWMD0QIHWi_DdgQ9aACegQIAhBC&amp;adurl=" xr:uid="{00000000-0004-0000-0000-00006B000000}"/>
    <hyperlink ref="K179" r:id="rId109" display="https://www.google.com/aclk?sa=l&amp;ai=DChcSEwizrI-8xv71AhUfPa0GHb-8ATUYABAIGgJwdg&amp;ae=2&amp;sig=AOD64_0XwUpaToo4C0FqRwMD1oaEhwuxCg&amp;ctype=5&amp;q=&amp;ved=2ahUKEwiAqfu7xv71AhWMD0QIHWi_DdgQ9aACegQIAhBC&amp;adurl=" xr:uid="{00000000-0004-0000-0000-00006C000000}"/>
    <hyperlink ref="K180" r:id="rId110" display="https://www.google.com/aclk?sa=l&amp;ai=DChcSEwizrI-8xv71AhUfPa0GHb-8ATUYABAIGgJwdg&amp;ae=2&amp;sig=AOD64_0XwUpaToo4C0FqRwMD1oaEhwuxCg&amp;ctype=5&amp;q=&amp;ved=2ahUKEwiAqfu7xv71AhWMD0QIHWi_DdgQ9aACegQIAhBC&amp;adurl=" xr:uid="{00000000-0004-0000-0000-00006D000000}"/>
    <hyperlink ref="K181" r:id="rId111" display="https://www.google.com/aclk?sa=l&amp;ai=DChcSEwizrI-8xv71AhUfPa0GHb-8ATUYABAIGgJwdg&amp;ae=2&amp;sig=AOD64_0XwUpaToo4C0FqRwMD1oaEhwuxCg&amp;ctype=5&amp;q=&amp;ved=2ahUKEwiAqfu7xv71AhWMD0QIHWi_DdgQ9aACegQIAhBC&amp;adurl=" xr:uid="{00000000-0004-0000-0000-00006E000000}"/>
    <hyperlink ref="K182" r:id="rId112" display="https://www.google.com/aclk?sa=l&amp;ai=DChcSEwizrI-8xv71AhUfPa0GHb-8ATUYABAIGgJwdg&amp;ae=2&amp;sig=AOD64_0XwUpaToo4C0FqRwMD1oaEhwuxCg&amp;ctype=5&amp;q=&amp;ved=2ahUKEwiAqfu7xv71AhWMD0QIHWi_DdgQ9aACegQIAhBC&amp;adurl=" xr:uid="{00000000-0004-0000-0000-00006F000000}"/>
    <hyperlink ref="K183" r:id="rId113" display="https://www.google.com/aclk?sa=l&amp;ai=DChcSEwizrI-8xv71AhUfPa0GHb-8ATUYABAIGgJwdg&amp;ae=2&amp;sig=AOD64_0XwUpaToo4C0FqRwMD1oaEhwuxCg&amp;ctype=5&amp;q=&amp;ved=2ahUKEwiAqfu7xv71AhWMD0QIHWi_DdgQ9aACegQIAhBC&amp;adurl=" xr:uid="{00000000-0004-0000-0000-000070000000}"/>
    <hyperlink ref="K184" r:id="rId114" display="https://www.google.com/aclk?sa=l&amp;ai=DChcSEwizrI-8xv71AhUfPa0GHb-8ATUYABAIGgJwdg&amp;ae=2&amp;sig=AOD64_0XwUpaToo4C0FqRwMD1oaEhwuxCg&amp;ctype=5&amp;q=&amp;ved=2ahUKEwiAqfu7xv71AhWMD0QIHWi_DdgQ9aACegQIAhBC&amp;adurl=" xr:uid="{00000000-0004-0000-0000-000071000000}"/>
    <hyperlink ref="K185" r:id="rId115" display="https://www.google.com/aclk?sa=l&amp;ai=DChcSEwizrI-8xv71AhUfPa0GHb-8ATUYABAIGgJwdg&amp;ae=2&amp;sig=AOD64_0XwUpaToo4C0FqRwMD1oaEhwuxCg&amp;ctype=5&amp;q=&amp;ved=2ahUKEwiAqfu7xv71AhWMD0QIHWi_DdgQ9aACegQIAhBC&amp;adurl=" xr:uid="{00000000-0004-0000-0000-000072000000}"/>
    <hyperlink ref="K186" r:id="rId116" display="https://www.google.com/aclk?sa=l&amp;ai=DChcSEwizrI-8xv71AhUfPa0GHb-8ATUYABAIGgJwdg&amp;ae=2&amp;sig=AOD64_0XwUpaToo4C0FqRwMD1oaEhwuxCg&amp;ctype=5&amp;q=&amp;ved=2ahUKEwiAqfu7xv71AhWMD0QIHWi_DdgQ9aACegQIAhBC&amp;adurl=" xr:uid="{00000000-0004-0000-0000-000073000000}"/>
    <hyperlink ref="K187" r:id="rId117" display="https://www.google.com/aclk?sa=l&amp;ai=DChcSEwizrI-8xv71AhUfPa0GHb-8ATUYABAIGgJwdg&amp;ae=2&amp;sig=AOD64_0XwUpaToo4C0FqRwMD1oaEhwuxCg&amp;ctype=5&amp;q=&amp;ved=2ahUKEwiAqfu7xv71AhWMD0QIHWi_DdgQ9aACegQIAhBC&amp;adurl=" xr:uid="{00000000-0004-0000-0000-000074000000}"/>
    <hyperlink ref="K188" r:id="rId118" display="https://www.google.com/aclk?sa=l&amp;ai=DChcSEwizrI-8xv71AhUfPa0GHb-8ATUYABAIGgJwdg&amp;ae=2&amp;sig=AOD64_0XwUpaToo4C0FqRwMD1oaEhwuxCg&amp;ctype=5&amp;q=&amp;ved=2ahUKEwiAqfu7xv71AhWMD0QIHWi_DdgQ9aACegQIAhBC&amp;adurl=" xr:uid="{00000000-0004-0000-0000-000075000000}"/>
    <hyperlink ref="K189" r:id="rId119" display="https://www.google.com/aclk?sa=l&amp;ai=DChcSEwizrI-8xv71AhUfPa0GHb-8ATUYABAIGgJwdg&amp;ae=2&amp;sig=AOD64_0XwUpaToo4C0FqRwMD1oaEhwuxCg&amp;ctype=5&amp;q=&amp;ved=2ahUKEwiAqfu7xv71AhWMD0QIHWi_DdgQ9aACegQIAhBC&amp;adurl=" xr:uid="{00000000-0004-0000-0000-000076000000}"/>
    <hyperlink ref="K190" r:id="rId120" display="https://www.google.com/aclk?sa=l&amp;ai=DChcSEwizrI-8xv71AhUfPa0GHb-8ATUYABAIGgJwdg&amp;ae=2&amp;sig=AOD64_0XwUpaToo4C0FqRwMD1oaEhwuxCg&amp;ctype=5&amp;q=&amp;ved=2ahUKEwiAqfu7xv71AhWMD0QIHWi_DdgQ9aACegQIAhBC&amp;adurl=" xr:uid="{00000000-0004-0000-0000-000077000000}"/>
    <hyperlink ref="K191" r:id="rId121" display="https://www.google.com/aclk?sa=l&amp;ai=DChcSEwizrI-8xv71AhUfPa0GHb-8ATUYABAIGgJwdg&amp;ae=2&amp;sig=AOD64_0XwUpaToo4C0FqRwMD1oaEhwuxCg&amp;ctype=5&amp;q=&amp;ved=2ahUKEwiAqfu7xv71AhWMD0QIHWi_DdgQ9aACegQIAhBC&amp;adurl=" xr:uid="{00000000-0004-0000-0000-000078000000}"/>
    <hyperlink ref="K192" r:id="rId122" display="https://www.google.com/aclk?sa=l&amp;ai=DChcSEwizrI-8xv71AhUfPa0GHb-8ATUYABAIGgJwdg&amp;ae=2&amp;sig=AOD64_0XwUpaToo4C0FqRwMD1oaEhwuxCg&amp;ctype=5&amp;q=&amp;ved=2ahUKEwiAqfu7xv71AhWMD0QIHWi_DdgQ9aACegQIAhBC&amp;adurl=" xr:uid="{00000000-0004-0000-0000-000079000000}"/>
    <hyperlink ref="K193" r:id="rId123" display="https://www.google.com/aclk?sa=l&amp;ai=DChcSEwizrI-8xv71AhUfPa0GHb-8ATUYABAIGgJwdg&amp;ae=2&amp;sig=AOD64_0XwUpaToo4C0FqRwMD1oaEhwuxCg&amp;ctype=5&amp;q=&amp;ved=2ahUKEwiAqfu7xv71AhWMD0QIHWi_DdgQ9aACegQIAhBC&amp;adurl=" xr:uid="{00000000-0004-0000-0000-00007A000000}"/>
    <hyperlink ref="K194" r:id="rId124" display="https://www.google.com/aclk?sa=l&amp;ai=DChcSEwizrI-8xv71AhUfPa0GHb-8ATUYABAIGgJwdg&amp;ae=2&amp;sig=AOD64_0XwUpaToo4C0FqRwMD1oaEhwuxCg&amp;ctype=5&amp;q=&amp;ved=2ahUKEwiAqfu7xv71AhWMD0QIHWi_DdgQ9aACegQIAhBC&amp;adurl=" xr:uid="{00000000-0004-0000-0000-00007B000000}"/>
    <hyperlink ref="K195" r:id="rId125" display="https://www.google.com/aclk?sa=l&amp;ai=DChcSEwizrI-8xv71AhUfPa0GHb-8ATUYABAIGgJwdg&amp;ae=2&amp;sig=AOD64_0XwUpaToo4C0FqRwMD1oaEhwuxCg&amp;ctype=5&amp;q=&amp;ved=2ahUKEwiAqfu7xv71AhWMD0QIHWi_DdgQ9aACegQIAhBC&amp;adurl=" xr:uid="{00000000-0004-0000-0000-00007C000000}"/>
    <hyperlink ref="K196" r:id="rId126" display="https://www.google.com/aclk?sa=l&amp;ai=DChcSEwizrI-8xv71AhUfPa0GHb-8ATUYABAIGgJwdg&amp;ae=2&amp;sig=AOD64_0XwUpaToo4C0FqRwMD1oaEhwuxCg&amp;ctype=5&amp;q=&amp;ved=2ahUKEwiAqfu7xv71AhWMD0QIHWi_DdgQ9aACegQIAhBC&amp;adurl=" xr:uid="{00000000-0004-0000-0000-00007D000000}"/>
    <hyperlink ref="K197" r:id="rId127" display="https://www.google.com/aclk?sa=l&amp;ai=DChcSEwizrI-8xv71AhUfPa0GHb-8ATUYABAIGgJwdg&amp;ae=2&amp;sig=AOD64_0XwUpaToo4C0FqRwMD1oaEhwuxCg&amp;ctype=5&amp;q=&amp;ved=2ahUKEwiAqfu7xv71AhWMD0QIHWi_DdgQ9aACegQIAhBC&amp;adurl=" xr:uid="{00000000-0004-0000-0000-00007E000000}"/>
    <hyperlink ref="K198" r:id="rId128" display="https://www.google.com/aclk?sa=l&amp;ai=DChcSEwizrI-8xv71AhUfPa0GHb-8ATUYABAIGgJwdg&amp;ae=2&amp;sig=AOD64_0XwUpaToo4C0FqRwMD1oaEhwuxCg&amp;ctype=5&amp;q=&amp;ved=2ahUKEwiAqfu7xv71AhWMD0QIHWi_DdgQ9aACegQIAhBC&amp;adurl=" xr:uid="{00000000-0004-0000-0000-00007F000000}"/>
    <hyperlink ref="K199" r:id="rId129" display="https://www.google.com/aclk?sa=l&amp;ai=DChcSEwizrI-8xv71AhUfPa0GHb-8ATUYABAIGgJwdg&amp;ae=2&amp;sig=AOD64_0XwUpaToo4C0FqRwMD1oaEhwuxCg&amp;ctype=5&amp;q=&amp;ved=2ahUKEwiAqfu7xv71AhWMD0QIHWi_DdgQ9aACegQIAhBC&amp;adurl=" xr:uid="{00000000-0004-0000-0000-000080000000}"/>
    <hyperlink ref="K200" r:id="rId130" display="https://www.google.com/aclk?sa=l&amp;ai=DChcSEwizrI-8xv71AhUfPa0GHb-8ATUYABAIGgJwdg&amp;ae=2&amp;sig=AOD64_0XwUpaToo4C0FqRwMD1oaEhwuxCg&amp;ctype=5&amp;q=&amp;ved=2ahUKEwiAqfu7xv71AhWMD0QIHWi_DdgQ9aACegQIAhBC&amp;adurl=" xr:uid="{00000000-0004-0000-0000-000081000000}"/>
    <hyperlink ref="K201" r:id="rId131" display="https://www.google.com/aclk?sa=l&amp;ai=DChcSEwizrI-8xv71AhUfPa0GHb-8ATUYABAIGgJwdg&amp;ae=2&amp;sig=AOD64_0XwUpaToo4C0FqRwMD1oaEhwuxCg&amp;ctype=5&amp;q=&amp;ved=2ahUKEwiAqfu7xv71AhWMD0QIHWi_DdgQ9aACegQIAhBC&amp;adurl=" xr:uid="{00000000-0004-0000-0000-000082000000}"/>
    <hyperlink ref="K202" r:id="rId132" display="https://www.google.com/aclk?sa=l&amp;ai=DChcSEwizrI-8xv71AhUfPa0GHb-8ATUYABAIGgJwdg&amp;ae=2&amp;sig=AOD64_0XwUpaToo4C0FqRwMD1oaEhwuxCg&amp;ctype=5&amp;q=&amp;ved=2ahUKEwiAqfu7xv71AhWMD0QIHWi_DdgQ9aACegQIAhBC&amp;adurl=" xr:uid="{00000000-0004-0000-0000-000083000000}"/>
    <hyperlink ref="K203" r:id="rId133" display="https://www.google.com/aclk?sa=l&amp;ai=DChcSEwizrI-8xv71AhUfPa0GHb-8ATUYABAIGgJwdg&amp;ae=2&amp;sig=AOD64_0XwUpaToo4C0FqRwMD1oaEhwuxCg&amp;ctype=5&amp;q=&amp;ved=2ahUKEwiAqfu7xv71AhWMD0QIHWi_DdgQ9aACegQIAhBC&amp;adurl=" xr:uid="{00000000-0004-0000-0000-000084000000}"/>
    <hyperlink ref="K204" r:id="rId134" display="https://www.google.com/aclk?sa=l&amp;ai=DChcSEwizrI-8xv71AhUfPa0GHb-8ATUYABAIGgJwdg&amp;ae=2&amp;sig=AOD64_0XwUpaToo4C0FqRwMD1oaEhwuxCg&amp;ctype=5&amp;q=&amp;ved=2ahUKEwiAqfu7xv71AhWMD0QIHWi_DdgQ9aACegQIAhBC&amp;adurl=" xr:uid="{00000000-0004-0000-0000-000085000000}"/>
    <hyperlink ref="K205" r:id="rId135" display="https://www.google.com/aclk?sa=l&amp;ai=DChcSEwizrI-8xv71AhUfPa0GHb-8ATUYABAIGgJwdg&amp;ae=2&amp;sig=AOD64_0XwUpaToo4C0FqRwMD1oaEhwuxCg&amp;ctype=5&amp;q=&amp;ved=2ahUKEwiAqfu7xv71AhWMD0QIHWi_DdgQ9aACegQIAhBC&amp;adurl=" xr:uid="{00000000-0004-0000-0000-000086000000}"/>
    <hyperlink ref="K206" r:id="rId136" display="https://www.google.com/aclk?sa=l&amp;ai=DChcSEwizrI-8xv71AhUfPa0GHb-8ATUYABAIGgJwdg&amp;ae=2&amp;sig=AOD64_0XwUpaToo4C0FqRwMD1oaEhwuxCg&amp;ctype=5&amp;q=&amp;ved=2ahUKEwiAqfu7xv71AhWMD0QIHWi_DdgQ9aACegQIAhBC&amp;adurl=" xr:uid="{00000000-0004-0000-0000-000087000000}"/>
    <hyperlink ref="K207" r:id="rId137" display="https://www.google.com/aclk?sa=l&amp;ai=DChcSEwizrI-8xv71AhUfPa0GHb-8ATUYABAIGgJwdg&amp;ae=2&amp;sig=AOD64_0XwUpaToo4C0FqRwMD1oaEhwuxCg&amp;ctype=5&amp;q=&amp;ved=2ahUKEwiAqfu7xv71AhWMD0QIHWi_DdgQ9aACegQIAhBC&amp;adurl=" xr:uid="{00000000-0004-0000-0000-000088000000}"/>
    <hyperlink ref="K208" r:id="rId138" display="https://www.google.com/aclk?sa=l&amp;ai=DChcSEwizrI-8xv71AhUfPa0GHb-8ATUYABAIGgJwdg&amp;ae=2&amp;sig=AOD64_0XwUpaToo4C0FqRwMD1oaEhwuxCg&amp;ctype=5&amp;q=&amp;ved=2ahUKEwiAqfu7xv71AhWMD0QIHWi_DdgQ9aACegQIAhBC&amp;adurl=" xr:uid="{00000000-0004-0000-0000-000089000000}"/>
    <hyperlink ref="K209" r:id="rId139" display="https://www.google.com/aclk?sa=l&amp;ai=DChcSEwizrI-8xv71AhUfPa0GHb-8ATUYABAIGgJwdg&amp;ae=2&amp;sig=AOD64_0XwUpaToo4C0FqRwMD1oaEhwuxCg&amp;ctype=5&amp;q=&amp;ved=2ahUKEwiAqfu7xv71AhWMD0QIHWi_DdgQ9aACegQIAhBC&amp;adurl=" xr:uid="{00000000-0004-0000-0000-00008A000000}"/>
    <hyperlink ref="K210" r:id="rId140" display="https://www.google.com/aclk?sa=l&amp;ai=DChcSEwizrI-8xv71AhUfPa0GHb-8ATUYABAIGgJwdg&amp;ae=2&amp;sig=AOD64_0XwUpaToo4C0FqRwMD1oaEhwuxCg&amp;ctype=5&amp;q=&amp;ved=2ahUKEwiAqfu7xv71AhWMD0QIHWi_DdgQ9aACegQIAhBC&amp;adurl=" xr:uid="{00000000-0004-0000-0000-00008B000000}"/>
    <hyperlink ref="K211" r:id="rId141" display="https://www.google.com/aclk?sa=l&amp;ai=DChcSEwizrI-8xv71AhUfPa0GHb-8ATUYABAIGgJwdg&amp;ae=2&amp;sig=AOD64_0XwUpaToo4C0FqRwMD1oaEhwuxCg&amp;ctype=5&amp;q=&amp;ved=2ahUKEwiAqfu7xv71AhWMD0QIHWi_DdgQ9aACegQIAhBC&amp;adurl=" xr:uid="{00000000-0004-0000-0000-00008C000000}"/>
    <hyperlink ref="K212" r:id="rId142" display="https://www.google.com/aclk?sa=l&amp;ai=DChcSEwizrI-8xv71AhUfPa0GHb-8ATUYABAIGgJwdg&amp;ae=2&amp;sig=AOD64_0XwUpaToo4C0FqRwMD1oaEhwuxCg&amp;ctype=5&amp;q=&amp;ved=2ahUKEwiAqfu7xv71AhWMD0QIHWi_DdgQ9aACegQIAhBC&amp;adurl=" xr:uid="{00000000-0004-0000-0000-00008D000000}"/>
    <hyperlink ref="K213" r:id="rId143" display="https://www.google.com/aclk?sa=l&amp;ai=DChcSEwizrI-8xv71AhUfPa0GHb-8ATUYABAIGgJwdg&amp;ae=2&amp;sig=AOD64_0XwUpaToo4C0FqRwMD1oaEhwuxCg&amp;ctype=5&amp;q=&amp;ved=2ahUKEwiAqfu7xv71AhWMD0QIHWi_DdgQ9aACegQIAhBC&amp;adurl=" xr:uid="{00000000-0004-0000-0000-00008E000000}"/>
    <hyperlink ref="K214" r:id="rId144" display="https://www.google.com/aclk?sa=l&amp;ai=DChcSEwizrI-8xv71AhUfPa0GHb-8ATUYABAIGgJwdg&amp;ae=2&amp;sig=AOD64_0XwUpaToo4C0FqRwMD1oaEhwuxCg&amp;ctype=5&amp;q=&amp;ved=2ahUKEwiAqfu7xv71AhWMD0QIHWi_DdgQ9aACegQIAhBC&amp;adurl=" xr:uid="{00000000-0004-0000-0000-00008F000000}"/>
    <hyperlink ref="K215" r:id="rId145" display="https://www.google.com/aclk?sa=l&amp;ai=DChcSEwizrI-8xv71AhUfPa0GHb-8ATUYABAIGgJwdg&amp;ae=2&amp;sig=AOD64_0XwUpaToo4C0FqRwMD1oaEhwuxCg&amp;ctype=5&amp;q=&amp;ved=2ahUKEwiAqfu7xv71AhWMD0QIHWi_DdgQ9aACegQIAhBC&amp;adurl=" xr:uid="{00000000-0004-0000-0000-000090000000}"/>
    <hyperlink ref="K216" r:id="rId146" display="https://www.google.com/aclk?sa=l&amp;ai=DChcSEwizrI-8xv71AhUfPa0GHb-8ATUYABAIGgJwdg&amp;ae=2&amp;sig=AOD64_0XwUpaToo4C0FqRwMD1oaEhwuxCg&amp;ctype=5&amp;q=&amp;ved=2ahUKEwiAqfu7xv71AhWMD0QIHWi_DdgQ9aACegQIAhBC&amp;adurl=" xr:uid="{00000000-0004-0000-0000-000091000000}"/>
    <hyperlink ref="K217" r:id="rId147" display="https://www.google.com/aclk?sa=l&amp;ai=DChcSEwizrI-8xv71AhUfPa0GHb-8ATUYABAIGgJwdg&amp;ae=2&amp;sig=AOD64_0XwUpaToo4C0FqRwMD1oaEhwuxCg&amp;ctype=5&amp;q=&amp;ved=2ahUKEwiAqfu7xv71AhWMD0QIHWi_DdgQ9aACegQIAhBC&amp;adurl=" xr:uid="{00000000-0004-0000-0000-000092000000}"/>
    <hyperlink ref="K218" r:id="rId148" display="https://www.google.com/aclk?sa=l&amp;ai=DChcSEwizrI-8xv71AhUfPa0GHb-8ATUYABAIGgJwdg&amp;ae=2&amp;sig=AOD64_0XwUpaToo4C0FqRwMD1oaEhwuxCg&amp;ctype=5&amp;q=&amp;ved=2ahUKEwiAqfu7xv71AhWMD0QIHWi_DdgQ9aACegQIAhBC&amp;adurl=" xr:uid="{00000000-0004-0000-0000-000093000000}"/>
    <hyperlink ref="K219" r:id="rId149" display="https://www.google.com/aclk?sa=l&amp;ai=DChcSEwizrI-8xv71AhUfPa0GHb-8ATUYABAIGgJwdg&amp;ae=2&amp;sig=AOD64_0XwUpaToo4C0FqRwMD1oaEhwuxCg&amp;ctype=5&amp;q=&amp;ved=2ahUKEwiAqfu7xv71AhWMD0QIHWi_DdgQ9aACegQIAhBC&amp;adurl=" xr:uid="{00000000-0004-0000-0000-000094000000}"/>
    <hyperlink ref="K220" r:id="rId150" display="https://www.google.com/aclk?sa=l&amp;ai=DChcSEwizrI-8xv71AhUfPa0GHb-8ATUYABAIGgJwdg&amp;ae=2&amp;sig=AOD64_0XwUpaToo4C0FqRwMD1oaEhwuxCg&amp;ctype=5&amp;q=&amp;ved=2ahUKEwiAqfu7xv71AhWMD0QIHWi_DdgQ9aACegQIAhBC&amp;adurl=" xr:uid="{00000000-0004-0000-0000-000095000000}"/>
    <hyperlink ref="K221" r:id="rId151" display="https://www.google.com/aclk?sa=l&amp;ai=DChcSEwizrI-8xv71AhUfPa0GHb-8ATUYABAIGgJwdg&amp;ae=2&amp;sig=AOD64_0XwUpaToo4C0FqRwMD1oaEhwuxCg&amp;ctype=5&amp;q=&amp;ved=2ahUKEwiAqfu7xv71AhWMD0QIHWi_DdgQ9aACegQIAhBC&amp;adurl=" xr:uid="{00000000-0004-0000-0000-000096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7" tint="0.39997558519241921"/>
  </sheetPr>
  <dimension ref="A1:DO1273"/>
  <sheetViews>
    <sheetView showGridLines="0" topLeftCell="CU8" zoomScale="70" zoomScaleNormal="70" workbookViewId="0">
      <selection activeCell="DJ20" sqref="DJ20"/>
    </sheetView>
  </sheetViews>
  <sheetFormatPr defaultColWidth="8.77734375" defaultRowHeight="13.2"/>
  <cols>
    <col min="1" max="1" width="3.77734375" style="123" customWidth="1"/>
    <col min="2" max="2" width="7.77734375" style="123" bestFit="1" customWidth="1"/>
    <col min="3" max="8" width="9.44140625" style="123" customWidth="1"/>
    <col min="9" max="10" width="12.33203125" style="123" customWidth="1"/>
    <col min="11" max="69" width="9.44140625" style="123" customWidth="1"/>
    <col min="72" max="72" width="26.21875" style="123" bestFit="1" customWidth="1"/>
    <col min="105" max="105" width="12.6640625" style="123" customWidth="1"/>
    <col min="117" max="117" width="26.21875" style="123" customWidth="1"/>
    <col min="118" max="118" width="40.6640625" style="123" bestFit="1" customWidth="1"/>
  </cols>
  <sheetData>
    <row r="1" spans="2:119" s="170" customFormat="1">
      <c r="K1" s="78">
        <f>MAX(K9:K1273)</f>
        <v>0.97064016684994403</v>
      </c>
      <c r="AJ1" s="170">
        <f t="array" ref="AJ1:AN1">TRANSPOSE(Driver!I179:I183)</f>
        <v>0.25421940928270043</v>
      </c>
      <c r="AK1" s="170">
        <v>0</v>
      </c>
      <c r="AL1" s="170">
        <v>0.10168776371308018</v>
      </c>
      <c r="AM1" s="170">
        <v>0.44738502109704636</v>
      </c>
      <c r="AN1" s="170">
        <v>0.25421940928270043</v>
      </c>
      <c r="AQ1" s="79">
        <f t="array" ref="AQ1:AU1">TRANSPOSE(Driver!I188:I192)</f>
        <v>0.62</v>
      </c>
      <c r="AR1" s="170">
        <v>0.55000000000000004</v>
      </c>
      <c r="AS1" s="170">
        <v>0.51</v>
      </c>
      <c r="AT1" s="170">
        <v>0.51</v>
      </c>
      <c r="AU1" s="170">
        <v>0.25</v>
      </c>
      <c r="BD1" s="170" t="s">
        <v>119</v>
      </c>
      <c r="BE1" s="170">
        <v>1</v>
      </c>
      <c r="BH1" s="170" t="s">
        <v>120</v>
      </c>
      <c r="BI1" s="170">
        <v>10</v>
      </c>
    </row>
    <row r="2" spans="2:119"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</row>
    <row r="3" spans="2:119">
      <c r="AJ3" s="219" t="s">
        <v>121</v>
      </c>
      <c r="BH3" s="89" t="s">
        <v>122</v>
      </c>
    </row>
    <row r="4" spans="2:119">
      <c r="B4" s="89" t="s">
        <v>123</v>
      </c>
      <c r="AJ4" s="89" t="s">
        <v>124</v>
      </c>
      <c r="AV4" s="89" t="s">
        <v>125</v>
      </c>
      <c r="BH4" s="89" t="s">
        <v>126</v>
      </c>
      <c r="DJ4" s="89"/>
    </row>
    <row r="5" spans="2:119">
      <c r="B5" s="89" t="s">
        <v>127</v>
      </c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AJ5" s="59" t="s">
        <v>8</v>
      </c>
      <c r="AK5" s="60"/>
      <c r="AL5" s="60"/>
      <c r="AM5" s="60"/>
      <c r="AN5" s="61"/>
      <c r="AO5" s="59" t="s">
        <v>128</v>
      </c>
      <c r="AP5" s="61"/>
      <c r="AQ5" s="59" t="s">
        <v>129</v>
      </c>
      <c r="AR5" s="60"/>
      <c r="AS5" s="60"/>
      <c r="AT5" s="60"/>
      <c r="AU5" s="61"/>
      <c r="AV5" s="59" t="s">
        <v>8</v>
      </c>
      <c r="AW5" s="60"/>
      <c r="AX5" s="60"/>
      <c r="AY5" s="60"/>
      <c r="AZ5" s="61"/>
      <c r="BA5" s="59" t="s">
        <v>128</v>
      </c>
      <c r="BB5" s="61"/>
      <c r="BC5" s="59" t="s">
        <v>129</v>
      </c>
      <c r="BD5" s="60"/>
      <c r="BE5" s="60"/>
      <c r="BF5" s="60"/>
      <c r="BG5" s="61"/>
      <c r="BH5" s="59" t="s">
        <v>130</v>
      </c>
      <c r="BI5" s="60"/>
      <c r="BJ5" s="60"/>
      <c r="BK5" s="60"/>
      <c r="BL5" s="60"/>
      <c r="BM5" s="60"/>
      <c r="BN5" s="60"/>
      <c r="BO5" s="60"/>
      <c r="BP5" s="60"/>
      <c r="BQ5" s="61"/>
    </row>
    <row r="6" spans="2:119">
      <c r="K6" s="59" t="s">
        <v>131</v>
      </c>
      <c r="L6" s="60"/>
      <c r="M6" s="60"/>
      <c r="N6" s="60"/>
      <c r="O6" s="60"/>
      <c r="P6" s="61"/>
      <c r="Q6" s="60"/>
      <c r="R6" s="60"/>
      <c r="S6" s="60"/>
      <c r="T6" s="60"/>
      <c r="U6" s="60"/>
      <c r="V6" s="60"/>
      <c r="W6" s="60"/>
      <c r="X6" s="59" t="s">
        <v>132</v>
      </c>
      <c r="Y6" s="60"/>
      <c r="Z6" s="60"/>
      <c r="AA6" s="60"/>
      <c r="AB6" s="61"/>
      <c r="AC6" s="60"/>
      <c r="AD6" s="60"/>
      <c r="AE6" s="60"/>
      <c r="AF6" s="60"/>
      <c r="AG6" s="60"/>
      <c r="AH6" s="60"/>
      <c r="AI6" s="60"/>
      <c r="AJ6" s="59"/>
      <c r="AK6" s="60"/>
      <c r="AL6" s="60"/>
      <c r="AM6" s="60"/>
      <c r="AN6" s="61"/>
      <c r="AO6" s="59"/>
      <c r="AP6" s="61"/>
      <c r="AQ6" s="59"/>
      <c r="AR6" s="60"/>
      <c r="AS6" s="60"/>
      <c r="AT6" s="60"/>
      <c r="AU6" s="61"/>
      <c r="AV6" s="59"/>
      <c r="AW6" s="60"/>
      <c r="AX6" s="60"/>
      <c r="AY6" s="60"/>
      <c r="AZ6" s="61"/>
      <c r="BA6" s="59"/>
      <c r="BB6" s="61"/>
      <c r="BC6" s="59"/>
      <c r="BD6" s="60"/>
      <c r="BE6" s="60"/>
      <c r="BF6" s="60"/>
      <c r="BG6" s="61"/>
      <c r="BH6" s="89"/>
      <c r="BI6" s="219"/>
      <c r="BJ6" s="219"/>
      <c r="BK6" s="219"/>
      <c r="BL6" s="219"/>
      <c r="BM6" s="219"/>
      <c r="BN6" s="219"/>
      <c r="BO6" s="219"/>
      <c r="BP6" s="219"/>
      <c r="BQ6" s="219"/>
      <c r="CW6" s="89"/>
      <c r="DG6" s="89"/>
      <c r="DJ6" s="89"/>
    </row>
    <row r="7" spans="2:119" ht="26.4" customHeight="1">
      <c r="K7" s="59"/>
      <c r="L7" s="60"/>
      <c r="M7" s="60"/>
      <c r="N7" s="60"/>
      <c r="O7" s="60"/>
      <c r="P7" s="61"/>
      <c r="Q7" s="60"/>
      <c r="R7" s="60"/>
      <c r="S7" s="60"/>
      <c r="T7" s="60"/>
      <c r="U7" s="60"/>
      <c r="V7" s="60"/>
      <c r="W7" s="60"/>
      <c r="X7" s="59"/>
      <c r="Y7" s="60"/>
      <c r="Z7" s="60"/>
      <c r="AA7" s="60"/>
      <c r="AB7" s="61"/>
      <c r="AC7" s="60"/>
      <c r="AD7" s="60"/>
      <c r="AE7" s="60"/>
      <c r="AF7" s="60"/>
      <c r="AG7" s="60"/>
      <c r="AH7" s="60"/>
      <c r="AI7" s="60"/>
      <c r="AJ7" s="59"/>
      <c r="AK7" s="60"/>
      <c r="AL7" s="60"/>
      <c r="AM7" s="60"/>
      <c r="AN7" s="61"/>
      <c r="AO7" s="59"/>
      <c r="AP7" s="61"/>
      <c r="AQ7" s="59"/>
      <c r="AR7" s="60"/>
      <c r="AS7" s="60"/>
      <c r="AT7" s="60"/>
      <c r="AU7" s="61"/>
      <c r="AV7" s="59"/>
      <c r="AW7" s="60"/>
      <c r="AX7" s="60"/>
      <c r="AY7" s="60"/>
      <c r="AZ7" s="61"/>
      <c r="BA7" s="59"/>
      <c r="BB7" s="61"/>
      <c r="BC7" s="59"/>
      <c r="BD7" s="60"/>
      <c r="BE7" s="60"/>
      <c r="BF7" s="60"/>
      <c r="BG7" s="61"/>
      <c r="BH7" s="89"/>
      <c r="BI7" s="219"/>
      <c r="BJ7" s="219"/>
      <c r="BK7" s="219"/>
      <c r="BL7" s="219"/>
      <c r="BM7" s="219"/>
      <c r="BN7" s="219"/>
      <c r="BO7" s="219"/>
      <c r="BP7" s="219"/>
      <c r="BQ7" s="219"/>
      <c r="CW7" s="89"/>
      <c r="CX7" s="89" t="s">
        <v>64</v>
      </c>
      <c r="DB7" s="89" t="s">
        <v>65</v>
      </c>
      <c r="DF7" s="89" t="s">
        <v>66</v>
      </c>
      <c r="DJ7" s="219" t="s">
        <v>67</v>
      </c>
    </row>
    <row r="8" spans="2:119" ht="52.8" customHeight="1">
      <c r="B8" s="108" t="s">
        <v>133</v>
      </c>
      <c r="C8" s="108" t="s">
        <v>70</v>
      </c>
      <c r="D8" s="44" t="s">
        <v>73</v>
      </c>
      <c r="E8" s="44" t="s">
        <v>20</v>
      </c>
      <c r="F8" s="44" t="s">
        <v>134</v>
      </c>
      <c r="G8" s="44" t="s">
        <v>135</v>
      </c>
      <c r="H8" s="44" t="s">
        <v>136</v>
      </c>
      <c r="I8" s="44" t="s">
        <v>137</v>
      </c>
      <c r="J8" s="44" t="s">
        <v>138</v>
      </c>
      <c r="K8" s="71" t="s">
        <v>139</v>
      </c>
      <c r="L8" s="71" t="s">
        <v>11</v>
      </c>
      <c r="M8" s="71" t="s">
        <v>13</v>
      </c>
      <c r="N8" s="71" t="s">
        <v>19</v>
      </c>
      <c r="O8" s="71" t="s">
        <v>22</v>
      </c>
      <c r="P8" s="71" t="s">
        <v>25</v>
      </c>
      <c r="Q8" s="71" t="s">
        <v>9</v>
      </c>
      <c r="R8" s="71" t="s">
        <v>140</v>
      </c>
      <c r="S8" s="71" t="s">
        <v>80</v>
      </c>
      <c r="T8" s="71" t="s">
        <v>81</v>
      </c>
      <c r="U8" s="71" t="s">
        <v>82</v>
      </c>
      <c r="V8" s="71" t="s">
        <v>83</v>
      </c>
      <c r="W8" s="71" t="s">
        <v>84</v>
      </c>
      <c r="X8" s="77" t="s">
        <v>11</v>
      </c>
      <c r="Y8" s="77" t="s">
        <v>13</v>
      </c>
      <c r="Z8" s="77" t="s">
        <v>19</v>
      </c>
      <c r="AA8" s="77" t="s">
        <v>22</v>
      </c>
      <c r="AB8" s="77" t="s">
        <v>25</v>
      </c>
      <c r="AC8" s="77" t="s">
        <v>9</v>
      </c>
      <c r="AD8" s="77" t="s">
        <v>140</v>
      </c>
      <c r="AE8" s="77" t="s">
        <v>80</v>
      </c>
      <c r="AF8" s="77" t="s">
        <v>81</v>
      </c>
      <c r="AG8" s="77" t="s">
        <v>82</v>
      </c>
      <c r="AH8" s="77" t="s">
        <v>83</v>
      </c>
      <c r="AI8" s="77" t="s">
        <v>84</v>
      </c>
      <c r="AJ8" s="62" t="s">
        <v>11</v>
      </c>
      <c r="AK8" s="62" t="s">
        <v>13</v>
      </c>
      <c r="AL8" s="62" t="s">
        <v>19</v>
      </c>
      <c r="AM8" s="62" t="s">
        <v>22</v>
      </c>
      <c r="AN8" s="62" t="s">
        <v>25</v>
      </c>
      <c r="AO8" s="62" t="s">
        <v>9</v>
      </c>
      <c r="AP8" s="62" t="s">
        <v>140</v>
      </c>
      <c r="AQ8" s="62" t="s">
        <v>80</v>
      </c>
      <c r="AR8" s="62" t="s">
        <v>81</v>
      </c>
      <c r="AS8" s="62" t="s">
        <v>82</v>
      </c>
      <c r="AT8" s="62" t="s">
        <v>83</v>
      </c>
      <c r="AU8" s="62" t="s">
        <v>84</v>
      </c>
      <c r="AV8" s="62" t="s">
        <v>11</v>
      </c>
      <c r="AW8" s="62" t="s">
        <v>13</v>
      </c>
      <c r="AX8" s="62" t="s">
        <v>19</v>
      </c>
      <c r="AY8" s="62" t="s">
        <v>22</v>
      </c>
      <c r="AZ8" s="62" t="s">
        <v>25</v>
      </c>
      <c r="BA8" s="62" t="s">
        <v>9</v>
      </c>
      <c r="BB8" s="62" t="s">
        <v>140</v>
      </c>
      <c r="BC8" s="62" t="s">
        <v>80</v>
      </c>
      <c r="BD8" s="62" t="s">
        <v>81</v>
      </c>
      <c r="BE8" s="62" t="s">
        <v>82</v>
      </c>
      <c r="BF8" s="62" t="s">
        <v>83</v>
      </c>
      <c r="BG8" s="62" t="s">
        <v>84</v>
      </c>
      <c r="BH8" s="63" t="s">
        <v>141</v>
      </c>
      <c r="BI8" s="63" t="s">
        <v>142</v>
      </c>
      <c r="BJ8" s="63" t="s">
        <v>143</v>
      </c>
      <c r="BK8" s="63" t="s">
        <v>144</v>
      </c>
      <c r="BL8" s="63" t="s">
        <v>145</v>
      </c>
      <c r="BM8" s="63" t="s">
        <v>146</v>
      </c>
      <c r="BN8" s="63" t="s">
        <v>147</v>
      </c>
      <c r="BO8" s="63" t="s">
        <v>148</v>
      </c>
      <c r="BP8" s="63" t="s">
        <v>149</v>
      </c>
      <c r="BQ8" s="63" t="s">
        <v>134</v>
      </c>
      <c r="BR8" s="133" t="s">
        <v>70</v>
      </c>
      <c r="BS8" s="1" t="s">
        <v>71</v>
      </c>
      <c r="BT8" s="1" t="s">
        <v>72</v>
      </c>
      <c r="BU8" s="1" t="s">
        <v>74</v>
      </c>
      <c r="BV8" s="1" t="s">
        <v>73</v>
      </c>
      <c r="BW8" s="1" t="s">
        <v>74</v>
      </c>
      <c r="BX8" s="1" t="s">
        <v>75</v>
      </c>
      <c r="BY8" s="1" t="s">
        <v>85</v>
      </c>
      <c r="BZ8" s="1" t="s">
        <v>86</v>
      </c>
      <c r="CA8" s="1" t="s">
        <v>87</v>
      </c>
      <c r="CB8" s="1" t="s">
        <v>76</v>
      </c>
      <c r="CC8" s="1" t="s">
        <v>88</v>
      </c>
      <c r="CD8" s="1" t="s">
        <v>89</v>
      </c>
      <c r="CE8" s="1" t="s">
        <v>90</v>
      </c>
      <c r="CF8" s="1" t="s">
        <v>91</v>
      </c>
      <c r="CG8" s="1" t="s">
        <v>92</v>
      </c>
      <c r="CH8" s="1" t="s">
        <v>93</v>
      </c>
      <c r="CI8" s="1" t="s">
        <v>94</v>
      </c>
      <c r="CJ8" s="1" t="s">
        <v>95</v>
      </c>
      <c r="CK8" s="1" t="s">
        <v>96</v>
      </c>
      <c r="CL8" s="1" t="s">
        <v>97</v>
      </c>
      <c r="CM8" s="1" t="s">
        <v>98</v>
      </c>
      <c r="CN8" s="1" t="s">
        <v>99</v>
      </c>
      <c r="CO8" s="1" t="s">
        <v>100</v>
      </c>
      <c r="CP8" s="1" t="s">
        <v>101</v>
      </c>
      <c r="CQ8" s="1" t="s">
        <v>102</v>
      </c>
      <c r="CR8" s="1" t="s">
        <v>103</v>
      </c>
      <c r="CS8" s="1" t="s">
        <v>104</v>
      </c>
      <c r="CT8" s="1" t="s">
        <v>105</v>
      </c>
      <c r="CU8" s="1" t="s">
        <v>106</v>
      </c>
      <c r="CV8" s="1" t="s">
        <v>107</v>
      </c>
      <c r="CW8" s="2"/>
      <c r="CX8" s="2" t="s">
        <v>108</v>
      </c>
      <c r="CY8" s="2" t="s">
        <v>109</v>
      </c>
      <c r="CZ8" s="2" t="s">
        <v>110</v>
      </c>
      <c r="DA8" s="2" t="s">
        <v>111</v>
      </c>
      <c r="DB8" s="2" t="s">
        <v>108</v>
      </c>
      <c r="DC8" s="2" t="s">
        <v>109</v>
      </c>
      <c r="DD8" s="2" t="s">
        <v>110</v>
      </c>
      <c r="DE8" s="2" t="s">
        <v>111</v>
      </c>
      <c r="DF8" s="2" t="s">
        <v>108</v>
      </c>
      <c r="DG8" s="2" t="s">
        <v>109</v>
      </c>
      <c r="DH8" s="2" t="s">
        <v>110</v>
      </c>
      <c r="DI8" s="2" t="s">
        <v>111</v>
      </c>
      <c r="DJ8" s="2" t="s">
        <v>150</v>
      </c>
      <c r="DK8" s="2" t="s">
        <v>151</v>
      </c>
      <c r="DL8" s="2" t="s">
        <v>152</v>
      </c>
      <c r="DM8" s="1" t="s">
        <v>153</v>
      </c>
      <c r="DN8" s="1" t="s">
        <v>117</v>
      </c>
      <c r="DO8" s="219" t="s">
        <v>154</v>
      </c>
    </row>
    <row r="9" spans="2:119" ht="15.6" customHeight="1">
      <c r="B9" s="219" t="b">
        <f t="array" ref="B9">IF(OR(ISERROR(K9:P9)),FALSE,TRUE)</f>
        <v>0</v>
      </c>
      <c r="C9" s="43" t="b">
        <f>OR(BR9=Driver!$G$50,Data!BR190=Driver!$H$50)</f>
        <v>1</v>
      </c>
      <c r="D9" s="43" t="b">
        <f>OR(BV9=Driver!$G$51,BV9=Driver!$H$51)</f>
        <v>1</v>
      </c>
      <c r="E9" s="43" t="b">
        <f>AND(BX9&gt;Driver!$F$54,BX9&lt;Driver!$G$54)</f>
        <v>1</v>
      </c>
      <c r="F9" s="43" t="b">
        <f>CL9&gt;Driver!$F$56</f>
        <v>1</v>
      </c>
      <c r="G9" s="43" t="b">
        <f>AND(CB9&gt;Driver!$F$55,CB9&lt;Driver!$G$55)</f>
        <v>0</v>
      </c>
      <c r="H9" s="43" t="b">
        <f t="shared" ref="H9:H72" si="0">AND(B9:G9)</f>
        <v>0</v>
      </c>
      <c r="I9" s="43">
        <f t="shared" ref="I9:I72" si="1">COUNTIFS($H$9:$H$1273,TRUE,$BT$9:$BT$1273,BT9)</f>
        <v>0</v>
      </c>
      <c r="J9" s="43" t="b">
        <f t="array" ref="J9">NOT(OR(($H$9:$H$1273=TRUE)*($I$9:$I$1273&gt;0)*($BT$9:$BT$1273=BT9)*($K$9:$K$1273&gt;K9)))</f>
        <v>1</v>
      </c>
      <c r="K9" s="72" t="str">
        <f t="shared" ref="K9:K72" si="2">IFERROR(1-AVERAGE(X9:Y9),"")</f>
        <v/>
      </c>
      <c r="L9" s="72">
        <f t="shared" ref="L9:L72" si="3">1-X9</f>
        <v>0.78848464357363668</v>
      </c>
      <c r="M9" s="72" t="e">
        <f t="shared" ref="M9:M72" si="4">1-Y9</f>
        <v>#VALUE!</v>
      </c>
      <c r="N9" s="72" t="e">
        <f t="shared" ref="N9:N72" si="5">1-Z9</f>
        <v>#VALUE!</v>
      </c>
      <c r="O9" s="72" t="e">
        <f t="shared" ref="O9:O72" si="6">1-AA9</f>
        <v>#VALUE!</v>
      </c>
      <c r="P9" s="72">
        <f t="shared" ref="P9:P72" si="7">1-AB9</f>
        <v>0.91383614627285514</v>
      </c>
      <c r="Q9" s="72"/>
      <c r="R9" s="72"/>
      <c r="S9" s="72">
        <f t="shared" ref="S9:S72" si="8">1-AE9</f>
        <v>0.43160493423539659</v>
      </c>
      <c r="T9" s="72" t="e">
        <f t="shared" ref="T9:T72" si="9">1-AF9</f>
        <v>#VALUE!</v>
      </c>
      <c r="U9" s="72" t="e">
        <f t="shared" ref="U9:U72" si="10">1-AG9</f>
        <v>#VALUE!</v>
      </c>
      <c r="V9" s="72">
        <f t="shared" ref="V9:V72" si="11">1-AH9</f>
        <v>0.49315879450145517</v>
      </c>
      <c r="W9" s="72" t="e">
        <f t="shared" ref="W9:W72" si="12">1-AI9</f>
        <v>#VALUE!</v>
      </c>
      <c r="X9" s="72">
        <f t="shared" ref="X9:X72" si="13">ABS(AJ9-AJ$1)</f>
        <v>0.21151535642636332</v>
      </c>
      <c r="Y9" s="72" t="e">
        <f t="shared" ref="Y9:Y72" si="14">AVERAGE(Z9:AB9)</f>
        <v>#VALUE!</v>
      </c>
      <c r="Z9" s="72" t="e">
        <f t="shared" ref="Z9:Z72" si="15">ABS(AL9-AL$1)</f>
        <v>#VALUE!</v>
      </c>
      <c r="AA9" s="72" t="e">
        <f t="shared" ref="AA9:AA72" si="16">ABS(AM9-AM$1)</f>
        <v>#VALUE!</v>
      </c>
      <c r="AB9" s="72">
        <f t="shared" ref="AB9:AB72" si="17">ABS(AN9-AN$1)</f>
        <v>8.6163853727144885E-2</v>
      </c>
      <c r="AC9" s="72"/>
      <c r="AD9" s="72"/>
      <c r="AE9" s="72">
        <f t="shared" ref="AE9:AE72" si="18">ABS(AQ$1-AQ9)</f>
        <v>0.56839506576460341</v>
      </c>
      <c r="AF9" s="72" t="e">
        <f t="shared" ref="AF9:AF72" si="19">ABS(AR$1-AR9)</f>
        <v>#VALUE!</v>
      </c>
      <c r="AG9" s="72" t="e">
        <f t="shared" ref="AG9:AG72" si="20">ABS(AS$1-AS9)</f>
        <v>#VALUE!</v>
      </c>
      <c r="AH9" s="72">
        <f t="shared" ref="AH9:AH72" si="21">ABS(AT$1-AT9)</f>
        <v>0.50684120549854483</v>
      </c>
      <c r="AI9" s="72" t="e">
        <f t="shared" ref="AI9:AI72" si="22">ABS(AU$1-AU9)</f>
        <v>#VALUE!</v>
      </c>
      <c r="AJ9" s="72">
        <f>(AV9-Driver!$K$179)/(Driver!$L$179-Driver!$K$179)</f>
        <v>4.2704052856337112E-2</v>
      </c>
      <c r="AK9" s="72">
        <f>(AW9-Driver!$K$180)/(Driver!$L$180-Driver!$K$180)</f>
        <v>0.13795116165317775</v>
      </c>
      <c r="AL9" s="72" t="e">
        <f>(AX9-Driver!$K$181)/(Driver!$L$181-Driver!$K$181)</f>
        <v>#VALUE!</v>
      </c>
      <c r="AM9" s="72" t="e">
        <f>(AY9-Driver!$K$182)/(Driver!$L$182-Driver!$K$182)</f>
        <v>#VALUE!</v>
      </c>
      <c r="AN9" s="72">
        <f>(AZ9-Driver!$K$183)/(Driver!$L$183-Driver!$K$183)</f>
        <v>0.16805555555555554</v>
      </c>
      <c r="AO9" s="72"/>
      <c r="AP9" s="72"/>
      <c r="AQ9" s="72">
        <f>(BC9-Driver!$K$188)/(Driver!$L$188-Driver!$K$188)</f>
        <v>5.1604934235396541E-2</v>
      </c>
      <c r="AR9" s="72" t="e">
        <f>MIN((BD9-Driver!$K$189)/(Driver!$L$189-Driver!$K$189),100%)</f>
        <v>#VALUE!</v>
      </c>
      <c r="AS9" s="72" t="e">
        <f>(BE9-Driver!$K$190)/(Driver!$L$190-Driver!$K$190)</f>
        <v>#VALUE!</v>
      </c>
      <c r="AT9" s="72">
        <f>(BF9-Driver!$K$191)/(Driver!$L$191-Driver!$K$191)</f>
        <v>3.1587945014551512E-3</v>
      </c>
      <c r="AU9" s="72" t="e">
        <f>(BG9-Driver!$K$192)/(Driver!$L$192-Driver!$K$192)</f>
        <v>#VALUE!</v>
      </c>
      <c r="AV9" s="70">
        <f t="shared" ref="AV9:AV72" si="23">IFERROR(BM9*BJ9^1/4,"")</f>
        <v>0.89879256545923203</v>
      </c>
      <c r="AW9" s="70">
        <f t="shared" ref="AW9:AW72" si="24">IFERROR(SUM(AX9:AZ9),"")</f>
        <v>15.316455696202532</v>
      </c>
      <c r="AX9" s="70" t="str">
        <f t="shared" ref="AX9:AX72" si="25">IFERROR(BH9,"")</f>
        <v/>
      </c>
      <c r="AY9" s="70" t="str">
        <f>IFERROR(Driver!$K$19/Data!BH9/Data!BI9*Data!BK9*Data!BL9,"")</f>
        <v/>
      </c>
      <c r="AZ9" s="70">
        <f t="shared" ref="AZ9:AZ72" si="26">IFERROR(BI9*BN9,"")</f>
        <v>15.316455696202532</v>
      </c>
      <c r="BA9" s="70"/>
      <c r="BB9" s="70"/>
      <c r="BC9" s="70">
        <f t="shared" ref="BC9:BC72" si="27">IFERROR(BI9*BN9*BK9/BJ9^(1/2),"")</f>
        <v>26.767838139582754</v>
      </c>
      <c r="BD9" s="70" t="str">
        <f t="shared" ref="BD9:BD72" si="28">IFERROR(BH9*BM9*BL9/BJ9/BK9,"")</f>
        <v/>
      </c>
      <c r="BE9" s="70" t="str">
        <f t="shared" ref="BE9:BE72" si="29">IFERROR(MIN(BI9/BQ9/BP9/BO9/BH9,$BE$1),"")</f>
        <v/>
      </c>
      <c r="BF9" s="70">
        <f t="shared" ref="BF9:BF72" si="30">IFERROR(BJ9*BO9*BP9/BK9,"")</f>
        <v>0.35676364715201897</v>
      </c>
      <c r="BG9" s="70" t="str">
        <f t="shared" ref="BG9:BG72" si="31">IFERROR(1/BM9/BH9*BQ9,"")</f>
        <v/>
      </c>
      <c r="BH9" s="67" t="e">
        <f>MAX((CE9-Driver!$F$200)/(Driver!$G$200-Driver!$F$200),1)</f>
        <v>#VALUE!</v>
      </c>
      <c r="BI9" s="67">
        <f>MAX($BI$1*(BY9-Driver!$F$201)/(Driver!$G$201-Driver!$F$201),1)</f>
        <v>7.6582278481012658</v>
      </c>
      <c r="BJ9" s="67">
        <f>(CB9-Driver!$F$206)/(Driver!$G$206-Driver!$F$206)*$BI$1</f>
        <v>1.5873015873015872</v>
      </c>
      <c r="BK9" s="67">
        <f>(CD9-Driver!$F$203)/(Driver!$G$203-Driver!$F$203)*$BI$1</f>
        <v>2.2018348623853208</v>
      </c>
      <c r="BL9" s="67">
        <f>MAX((CR9-Driver!$F$202)/(Driver!$G$202-Driver!$F$202)*$BI$1,1)</f>
        <v>7.2413793103448274</v>
      </c>
      <c r="BM9" s="67">
        <f>MAX((CH9-Driver!$F$204)/(Driver!$G$204-Driver!$F$204)*$BI$1,1)</f>
        <v>2.2649572649572649</v>
      </c>
      <c r="BN9" s="67">
        <f>(CI9-Driver!$F$205)/(Driver!$G$205-Driver!$F$205)*$BI$1</f>
        <v>2</v>
      </c>
      <c r="BO9" s="67">
        <f>(CK9-Driver!$F$207)/(Driver!$G$207-Driver!$F$207)*$BI$1</f>
        <v>0.61013443640124088</v>
      </c>
      <c r="BP9" s="67">
        <f>(CM9-Driver!$F$208)/(Driver!$G$208-Driver!$F$208)*$BI$1</f>
        <v>0.81111111111111112</v>
      </c>
      <c r="BQ9" s="67">
        <f>(CL9-Driver!$F$209)/(Driver!$G$209-Driver!$F$209)*$BI$1</f>
        <v>0.9375</v>
      </c>
      <c r="BR9" s="27" t="s">
        <v>155</v>
      </c>
      <c r="BS9" s="4" t="s">
        <v>156</v>
      </c>
      <c r="BT9" s="5" t="s">
        <v>157</v>
      </c>
      <c r="BU9" s="6">
        <v>154</v>
      </c>
      <c r="BV9" s="5" t="s">
        <v>158</v>
      </c>
      <c r="BW9" s="6">
        <v>154</v>
      </c>
      <c r="BX9" s="6">
        <v>153.5</v>
      </c>
      <c r="BY9" s="6">
        <v>129</v>
      </c>
      <c r="BZ9" s="6">
        <v>137</v>
      </c>
      <c r="CA9" s="6">
        <v>113</v>
      </c>
      <c r="CB9" s="6">
        <v>74</v>
      </c>
      <c r="CC9" s="6">
        <v>98</v>
      </c>
      <c r="CD9" s="6">
        <v>14.2</v>
      </c>
      <c r="CE9" s="5" t="s">
        <v>159</v>
      </c>
      <c r="CF9" s="5" t="s">
        <v>159</v>
      </c>
      <c r="CG9" s="6">
        <v>1328</v>
      </c>
      <c r="CH9" s="6">
        <v>154</v>
      </c>
      <c r="CI9" s="6">
        <v>67</v>
      </c>
      <c r="CJ9" s="6">
        <v>35</v>
      </c>
      <c r="CK9" s="6">
        <v>169</v>
      </c>
      <c r="CL9" s="6">
        <v>6</v>
      </c>
      <c r="CM9" s="6">
        <v>73</v>
      </c>
      <c r="CN9" s="6">
        <v>0.16</v>
      </c>
      <c r="CO9" s="6">
        <v>98</v>
      </c>
      <c r="CP9" s="6">
        <v>70</v>
      </c>
      <c r="CQ9" s="6">
        <v>71</v>
      </c>
      <c r="CR9" s="6">
        <v>10</v>
      </c>
      <c r="CS9" s="6">
        <v>10.7</v>
      </c>
      <c r="CT9" s="5" t="s">
        <v>160</v>
      </c>
      <c r="CU9" s="6"/>
      <c r="CV9" s="6"/>
      <c r="CW9" s="6"/>
      <c r="CX9" t="str">
        <f>INDEX('Data_Price '!AG$2:AG$1266,MATCH(Data!$DN9,'Data_Price '!$AT$2:$AT$1266,0))</f>
        <v>Atomic Vantage 75 C Skis w/ M 10 GW Bindings</v>
      </c>
      <c r="CY9" t="str">
        <f>INDEX('Data_Price '!AH$2:AH$1266,MATCH(Data!$DN9,'Data_Price '!$AT$2:$AT$1266,0))</f>
        <v>The-House.com</v>
      </c>
      <c r="CZ9">
        <f>INDEX('Data_Price '!AI$2:AI$1266,MATCH(Data!$DN9,'Data_Price '!$AT$2:$AT$1266,0))</f>
        <v>319.99</v>
      </c>
      <c r="DA9" t="str">
        <f>INDEX('Data_Price '!AJ$2:AJ$1266,MATCH(Data!$DN9,'Data_Price '!$AT$2:$AT$1266,0))</f>
        <v>https://tinyurl.com/y7u52u6u</v>
      </c>
      <c r="DB9" t="str">
        <f>INDEX('Data_Price '!AK$2:AK$1266,MATCH(Data!$DN9,'Data_Price '!$AT$2:$AT$1266,0))</f>
        <v>Atomic Vantage 75 C Skis w/ M 10 GW Bindings</v>
      </c>
      <c r="DC9" t="str">
        <f>INDEX('Data_Price '!AL$2:AL$1266,MATCH(Data!$DN9,'Data_Price '!$AT$2:$AT$1266,0))</f>
        <v>SkiEssentials.com</v>
      </c>
      <c r="DD9">
        <f>INDEX('Data_Price '!AM$2:AM$1266,MATCH(Data!$DN9,'Data_Price '!$AT$2:$AT$1266,0))</f>
        <v>319.99</v>
      </c>
      <c r="DE9" t="str">
        <f>INDEX('Data_Price '!AN$2:AN$1266,MATCH(Data!$DN9,'Data_Price '!$AT$2:$AT$1266,0))</f>
        <v>https://tinyurl.com/y7fj2wle</v>
      </c>
      <c r="DF9" t="str">
        <f>INDEX('Data_Price '!AO$2:AO$1266,MATCH(Data!$DN9,'Data_Price '!$AT$2:$AT$1266,0))</f>
        <v>Atomic Vantage 75 C Skis w/ M 10 GW Bindings</v>
      </c>
      <c r="DG9" t="str">
        <f>INDEX('Data_Price '!AP$2:AP$1266,MATCH(Data!$DN9,'Data_Price '!$AT$2:$AT$1266,0))</f>
        <v>Spoke-N-Sport</v>
      </c>
      <c r="DH9">
        <f>INDEX('Data_Price '!AQ$2:AQ$1266,MATCH(Data!$DN9,'Data_Price '!$AT$2:$AT$1266,0))</f>
        <v>335.99</v>
      </c>
      <c r="DI9" t="str">
        <f>INDEX('Data_Price '!AR$2:AR$1266,MATCH(Data!$DN9,'Data_Price '!$AT$2:$AT$1266,0))</f>
        <v>https://tinyurl.com/yabonsc2</v>
      </c>
      <c r="DJ9" s="89" t="str">
        <f t="shared" ref="DJ9:DJ72" si="32">DA9</f>
        <v>https://tinyurl.com/y7u52u6u</v>
      </c>
      <c r="DK9" s="89" t="str">
        <f t="shared" ref="DK9:DK72" si="33">DE9</f>
        <v>https://tinyurl.com/y7fj2wle</v>
      </c>
      <c r="DL9" s="89" t="str">
        <f t="shared" ref="DL9:DL72" si="34">DI9</f>
        <v>https://tinyurl.com/yabonsc2</v>
      </c>
      <c r="DM9" s="219" t="str">
        <f t="shared" ref="DM9:DM72" si="35">IF(LEFT(BT9,1)=" ",RIGHT(BT9,LEN(BT9)-1),BT9)</f>
        <v>Vantage 75 C</v>
      </c>
      <c r="DN9" s="89" t="str">
        <f t="shared" ref="DN9:DN72" si="36">_xlfn.CONCAT(BS9,DM9,BU9,BV9)</f>
        <v xml:space="preserve"> AtomicVantage 75 C154 Unisex</v>
      </c>
      <c r="DO9" s="221" t="s">
        <v>161</v>
      </c>
    </row>
    <row r="10" spans="2:119" ht="15.6" customHeight="1">
      <c r="B10" s="219" t="b">
        <f t="array" ref="B10">IF(OR(ISERROR(K10:P10)),FALSE,TRUE)</f>
        <v>0</v>
      </c>
      <c r="C10" s="43" t="b">
        <f>OR(BR10=Driver!$G$50,Data!BR192=Driver!$H$50)</f>
        <v>1</v>
      </c>
      <c r="D10" s="43" t="b">
        <f>OR(BV10=Driver!$G$51,BV10=Driver!$H$51)</f>
        <v>0</v>
      </c>
      <c r="E10" s="43" t="b">
        <f>AND(BX10&gt;Driver!$F$54,BX10&lt;Driver!$G$54)</f>
        <v>1</v>
      </c>
      <c r="F10" s="43" t="b">
        <f>CL10&gt;Driver!$F$56</f>
        <v>1</v>
      </c>
      <c r="G10" s="43" t="b">
        <f>AND(CB10&gt;Driver!$F$55,CB10&lt;Driver!$G$55)</f>
        <v>0</v>
      </c>
      <c r="H10" s="43" t="b">
        <f t="shared" si="0"/>
        <v>0</v>
      </c>
      <c r="I10" s="43">
        <f t="shared" si="1"/>
        <v>0</v>
      </c>
      <c r="J10" s="43" t="b">
        <f t="array" ref="J10">NOT(OR(($H$9:$H$1273=TRUE)*($I$9:$I$1273&gt;0)*($BT$9:$BT$1273=BT10)*($K$9:$K$1273&gt;K10)))</f>
        <v>1</v>
      </c>
      <c r="K10" s="72" t="str">
        <f t="shared" si="2"/>
        <v/>
      </c>
      <c r="L10" s="72">
        <f t="shared" si="3"/>
        <v>0.79412480149805853</v>
      </c>
      <c r="M10" s="72" t="e">
        <f t="shared" si="4"/>
        <v>#VALUE!</v>
      </c>
      <c r="N10" s="72" t="e">
        <f t="shared" si="5"/>
        <v>#VALUE!</v>
      </c>
      <c r="O10" s="72" t="e">
        <f t="shared" si="6"/>
        <v>#VALUE!</v>
      </c>
      <c r="P10" s="72">
        <f t="shared" si="7"/>
        <v>0.93254529659965246</v>
      </c>
      <c r="Q10" s="72"/>
      <c r="R10" s="72"/>
      <c r="S10" s="72">
        <f t="shared" si="8"/>
        <v>0.4492978753484318</v>
      </c>
      <c r="T10" s="72" t="e">
        <f t="shared" si="9"/>
        <v>#VALUE!</v>
      </c>
      <c r="U10" s="72" t="e">
        <f t="shared" si="10"/>
        <v>#VALUE!</v>
      </c>
      <c r="V10" s="72">
        <f t="shared" si="11"/>
        <v>0.4933346357396049</v>
      </c>
      <c r="W10" s="72" t="e">
        <f t="shared" si="12"/>
        <v>#VALUE!</v>
      </c>
      <c r="X10" s="72">
        <f t="shared" si="13"/>
        <v>0.20587519850194144</v>
      </c>
      <c r="Y10" s="72" t="e">
        <f t="shared" si="14"/>
        <v>#VALUE!</v>
      </c>
      <c r="Z10" s="72" t="e">
        <f t="shared" si="15"/>
        <v>#VALUE!</v>
      </c>
      <c r="AA10" s="72" t="e">
        <f t="shared" si="16"/>
        <v>#VALUE!</v>
      </c>
      <c r="AB10" s="72">
        <f t="shared" si="17"/>
        <v>6.745470340034751E-2</v>
      </c>
      <c r="AC10" s="72"/>
      <c r="AD10" s="72"/>
      <c r="AE10" s="72">
        <f t="shared" si="18"/>
        <v>0.5507021246515682</v>
      </c>
      <c r="AF10" s="72" t="e">
        <f t="shared" si="19"/>
        <v>#VALUE!</v>
      </c>
      <c r="AG10" s="72" t="e">
        <f t="shared" si="20"/>
        <v>#VALUE!</v>
      </c>
      <c r="AH10" s="72">
        <f t="shared" si="21"/>
        <v>0.5066653642603951</v>
      </c>
      <c r="AI10" s="72" t="e">
        <f t="shared" si="22"/>
        <v>#VALUE!</v>
      </c>
      <c r="AJ10" s="72">
        <f>(AV10-Driver!$K$179)/(Driver!$L$179-Driver!$K$179)</f>
        <v>4.8344210780758991E-2</v>
      </c>
      <c r="AK10" s="72">
        <f>(AW10-Driver!$K$180)/(Driver!$L$180-Driver!$K$180)</f>
        <v>0.15544713621651746</v>
      </c>
      <c r="AL10" s="72" t="e">
        <f>(AX10-Driver!$K$181)/(Driver!$L$181-Driver!$K$181)</f>
        <v>#VALUE!</v>
      </c>
      <c r="AM10" s="72" t="e">
        <f>(AY10-Driver!$K$182)/(Driver!$L$182-Driver!$K$182)</f>
        <v>#VALUE!</v>
      </c>
      <c r="AN10" s="72">
        <f>(AZ10-Driver!$K$183)/(Driver!$L$183-Driver!$K$183)</f>
        <v>0.18676470588235292</v>
      </c>
      <c r="AO10" s="72"/>
      <c r="AP10" s="72"/>
      <c r="AQ10" s="72">
        <f>(BC10-Driver!$K$188)/(Driver!$L$188-Driver!$K$188)</f>
        <v>6.9297875348431737E-2</v>
      </c>
      <c r="AR10" s="72" t="e">
        <f>MIN((BD10-Driver!$K$189)/(Driver!$L$189-Driver!$K$189),100%)</f>
        <v>#VALUE!</v>
      </c>
      <c r="AS10" s="72" t="e">
        <f>(BE10-Driver!$K$190)/(Driver!$L$190-Driver!$K$190)</f>
        <v>#VALUE!</v>
      </c>
      <c r="AT10" s="72">
        <f>(BF10-Driver!$K$191)/(Driver!$L$191-Driver!$K$191)</f>
        <v>3.3346357396048971E-3</v>
      </c>
      <c r="AU10" s="72" t="e">
        <f>(BG10-Driver!$K$192)/(Driver!$L$192-Driver!$K$192)</f>
        <v>#VALUE!</v>
      </c>
      <c r="AV10" s="70">
        <f t="shared" si="23"/>
        <v>1.0175010175010173</v>
      </c>
      <c r="AW10" s="70">
        <f t="shared" si="24"/>
        <v>17.021593447505584</v>
      </c>
      <c r="AX10" s="70" t="str">
        <f t="shared" si="25"/>
        <v/>
      </c>
      <c r="AY10" s="70" t="str">
        <f>IFERROR(Driver!$K$19/Data!BH10/Data!BI10*Data!BK10*Data!BL10,"")</f>
        <v/>
      </c>
      <c r="AZ10" s="70">
        <f t="shared" si="26"/>
        <v>17.021593447505584</v>
      </c>
      <c r="BA10" s="70"/>
      <c r="BB10" s="70"/>
      <c r="BC10" s="70">
        <f t="shared" si="27"/>
        <v>35.94528969424524</v>
      </c>
      <c r="BD10" s="70" t="str">
        <f t="shared" si="28"/>
        <v/>
      </c>
      <c r="BE10" s="70" t="str">
        <f t="shared" si="29"/>
        <v/>
      </c>
      <c r="BF10" s="70">
        <f t="shared" si="30"/>
        <v>0.37662367964641857</v>
      </c>
      <c r="BG10" s="70" t="str">
        <f t="shared" si="31"/>
        <v/>
      </c>
      <c r="BH10" s="67" t="e">
        <f>MAX((CE10-Driver!$F$200)/(Driver!$G$200-Driver!$F$200)*$BI$1,1)</f>
        <v>#VALUE!</v>
      </c>
      <c r="BI10" s="67">
        <f>MAX($BI$1*(BY10-Driver!$F$201)/(Driver!$G$201-Driver!$F$201),1)</f>
        <v>8.037974683544304</v>
      </c>
      <c r="BJ10" s="67">
        <f>(CB10-Driver!$F$206)/(Driver!$G$206-Driver!$F$206)*$BI$1</f>
        <v>1.5873015873015872</v>
      </c>
      <c r="BK10" s="67">
        <f>(CD10-Driver!$F$203)/(Driver!$G$203-Driver!$F$203)*$BI$1</f>
        <v>2.6605504587155959</v>
      </c>
      <c r="BL10" s="67">
        <f>MAX((CR10-Driver!$F$202)/(Driver!$G$202-Driver!$F$202)*$BI$1,1)</f>
        <v>7.2413793103448274</v>
      </c>
      <c r="BM10" s="67">
        <f>MAX((CH10-Driver!$F$204)/(Driver!$G$204-Driver!$F$204)*$BI$1,1)</f>
        <v>2.5641025641025639</v>
      </c>
      <c r="BN10" s="67">
        <f>(CI10-Driver!$F$205)/(Driver!$G$205-Driver!$F$205)*$BI$1</f>
        <v>2.1176470588235294</v>
      </c>
      <c r="BO10" s="67">
        <f>(CK10-Driver!$F$207)/(Driver!$G$207-Driver!$F$207)*$BI$1</f>
        <v>0.69286452947259558</v>
      </c>
      <c r="BP10" s="67">
        <f>(CM10-Driver!$F$208)/(Driver!$G$208-Driver!$F$208)*$BI$1</f>
        <v>0.9111111111111112</v>
      </c>
      <c r="BQ10" s="67">
        <f>(CL10-Driver!$F$209)/(Driver!$G$209-Driver!$F$209)*$BI$1</f>
        <v>0.78125</v>
      </c>
      <c r="BR10" s="28" t="s">
        <v>155</v>
      </c>
      <c r="BS10" s="8" t="s">
        <v>156</v>
      </c>
      <c r="BT10" s="9" t="s">
        <v>162</v>
      </c>
      <c r="BU10" s="10">
        <v>161</v>
      </c>
      <c r="BV10" s="9" t="s">
        <v>163</v>
      </c>
      <c r="BW10" s="10">
        <v>161</v>
      </c>
      <c r="BX10" s="10">
        <v>160.5</v>
      </c>
      <c r="BY10" s="10">
        <v>135</v>
      </c>
      <c r="BZ10" s="10">
        <v>144</v>
      </c>
      <c r="CA10" s="10">
        <v>115</v>
      </c>
      <c r="CB10" s="10">
        <v>74</v>
      </c>
      <c r="CC10" s="10">
        <v>99</v>
      </c>
      <c r="CD10" s="10">
        <v>15.2</v>
      </c>
      <c r="CE10" s="9" t="s">
        <v>159</v>
      </c>
      <c r="CF10" s="9" t="s">
        <v>159</v>
      </c>
      <c r="CG10" s="10">
        <v>1397</v>
      </c>
      <c r="CH10" s="10">
        <v>161</v>
      </c>
      <c r="CI10" s="10">
        <v>69</v>
      </c>
      <c r="CJ10" s="10">
        <v>38</v>
      </c>
      <c r="CK10" s="10">
        <v>177</v>
      </c>
      <c r="CL10" s="10">
        <v>5</v>
      </c>
      <c r="CM10" s="10">
        <v>82</v>
      </c>
      <c r="CN10" s="10">
        <v>0.11899999999999999</v>
      </c>
      <c r="CO10" s="10">
        <v>97</v>
      </c>
      <c r="CP10" s="10">
        <v>71</v>
      </c>
      <c r="CQ10" s="10">
        <v>80</v>
      </c>
      <c r="CR10" s="10">
        <v>10</v>
      </c>
      <c r="CS10" s="10">
        <v>10.6</v>
      </c>
      <c r="CT10" s="9" t="s">
        <v>160</v>
      </c>
      <c r="CU10" s="10"/>
      <c r="CV10" s="10"/>
      <c r="CW10" s="10"/>
      <c r="CX10" t="str">
        <f>INDEX('Data_Price '!AG$2:AG$1266,MATCH(Data!$DN10,'Data_Price '!$AT$2:$AT$1266,0))</f>
        <v>Atomic Vantage 75 C Skis w/ M 10 GW Bindings</v>
      </c>
      <c r="CY10" t="str">
        <f>INDEX('Data_Price '!AH$2:AH$1266,MATCH(Data!$DN10,'Data_Price '!$AT$2:$AT$1266,0))</f>
        <v>Gorham Bike and Ski</v>
      </c>
      <c r="CZ10">
        <f>INDEX('Data_Price '!AI$2:AI$1266,MATCH(Data!$DN10,'Data_Price '!$AT$2:$AT$1266,0))</f>
        <v>349.99</v>
      </c>
      <c r="DA10" t="str">
        <f>INDEX('Data_Price '!AJ$2:AJ$1266,MATCH(Data!$DN10,'Data_Price '!$AT$2:$AT$1266,0))</f>
        <v>https://tinyurl.com/y9p9bu8z</v>
      </c>
      <c r="DB10" t="str">
        <f>INDEX('Data_Price '!AK$2:AK$1266,MATCH(Data!$DN10,'Data_Price '!$AT$2:$AT$1266,0))</f>
        <v>2022 Atomic Women's Vantage 75 C Demo Skis w/ M 10 GW Demo Bindings - 140| Ski Essentials</v>
      </c>
      <c r="DC10" t="str">
        <f>INDEX('Data_Price '!AL$2:AL$1266,MATCH(Data!$DN10,'Data_Price '!$AT$2:$AT$1266,0))</f>
        <v>SkiEssentials.com</v>
      </c>
      <c r="DD10">
        <f>INDEX('Data_Price '!AM$2:AM$1266,MATCH(Data!$DN10,'Data_Price '!$AT$2:$AT$1266,0))</f>
        <v>399</v>
      </c>
      <c r="DE10" t="str">
        <f>INDEX('Data_Price '!AN$2:AN$1266,MATCH(Data!$DN10,'Data_Price '!$AT$2:$AT$1266,0))</f>
        <v>https://tinyurl.com/yae4sa39</v>
      </c>
      <c r="DF10" t="str">
        <f>INDEX('Data_Price '!AO$2:AO$1266,MATCH(Data!$DN10,'Data_Price '!$AT$2:$AT$1266,0))</f>
        <v>Atomic Vantage 75 C Skis w/ M 10 GW Bindings</v>
      </c>
      <c r="DG10" t="str">
        <f>INDEX('Data_Price '!AP$2:AP$1266,MATCH(Data!$DN10,'Data_Price '!$AT$2:$AT$1266,0))</f>
        <v>The-House.com</v>
      </c>
      <c r="DH10">
        <f>INDEX('Data_Price '!AQ$2:AQ$1266,MATCH(Data!$DN10,'Data_Price '!$AT$2:$AT$1266,0))</f>
        <v>399.99</v>
      </c>
      <c r="DI10" t="str">
        <f>INDEX('Data_Price '!AR$2:AR$1266,MATCH(Data!$DN10,'Data_Price '!$AT$2:$AT$1266,0))</f>
        <v>https://tinyurl.com/y76d8fbz</v>
      </c>
      <c r="DJ10" s="89" t="str">
        <f t="shared" si="32"/>
        <v>https://tinyurl.com/y9p9bu8z</v>
      </c>
      <c r="DK10" s="89" t="str">
        <f t="shared" si="33"/>
        <v>https://tinyurl.com/yae4sa39</v>
      </c>
      <c r="DL10" s="89" t="str">
        <f t="shared" si="34"/>
        <v>https://tinyurl.com/y76d8fbz</v>
      </c>
      <c r="DM10" s="219" t="str">
        <f t="shared" si="35"/>
        <v>Vantage 75 C W</v>
      </c>
      <c r="DN10" s="89" t="str">
        <f t="shared" si="36"/>
        <v xml:space="preserve"> AtomicVantage 75 C W161 Women's</v>
      </c>
      <c r="DO10" s="221"/>
    </row>
    <row r="11" spans="2:119" ht="15.6" customHeight="1">
      <c r="B11" s="219" t="b">
        <f t="array" ref="B11">IF(OR(ISERROR(K11:P11)),FALSE,TRUE)</f>
        <v>0</v>
      </c>
      <c r="C11" s="43" t="b">
        <f>OR(BR11=Driver!$G$50,Data!BR421=Driver!$H$50)</f>
        <v>1</v>
      </c>
      <c r="D11" s="43" t="b">
        <f>OR(BV11=Driver!$G$51,BV11=Driver!$H$51)</f>
        <v>1</v>
      </c>
      <c r="E11" s="43" t="b">
        <f>AND(BX11&gt;Driver!$F$54,BX11&lt;Driver!$G$54)</f>
        <v>1</v>
      </c>
      <c r="F11" s="43" t="b">
        <f>CL11&gt;Driver!$F$56</f>
        <v>1</v>
      </c>
      <c r="G11" s="43" t="b">
        <f>AND(CB11&gt;Driver!$F$55,CB11&lt;Driver!$G$55)</f>
        <v>0</v>
      </c>
      <c r="H11" s="43" t="b">
        <f t="shared" si="0"/>
        <v>0</v>
      </c>
      <c r="I11" s="43">
        <f t="shared" si="1"/>
        <v>0</v>
      </c>
      <c r="J11" s="43" t="b">
        <f t="array" ref="J11">NOT(OR(($H$9:$H$1273=TRUE)*($I$9:$I$1273&gt;0)*($BT$9:$BT$1273=BT11)*($K$9:$K$1273&gt;K11)))</f>
        <v>1</v>
      </c>
      <c r="K11" s="72" t="str">
        <f t="shared" si="2"/>
        <v/>
      </c>
      <c r="L11" s="72">
        <f t="shared" si="3"/>
        <v>0.77357851191623594</v>
      </c>
      <c r="M11" s="72" t="e">
        <f t="shared" si="4"/>
        <v>#VALUE!</v>
      </c>
      <c r="N11" s="72" t="e">
        <f t="shared" si="5"/>
        <v>#VALUE!</v>
      </c>
      <c r="O11" s="72" t="e">
        <f t="shared" si="6"/>
        <v>#VALUE!</v>
      </c>
      <c r="P11" s="72">
        <f t="shared" si="7"/>
        <v>0.78632725241995538</v>
      </c>
      <c r="Q11" s="72"/>
      <c r="R11" s="72"/>
      <c r="S11" s="72">
        <f t="shared" si="8"/>
        <v>0.56580661550171685</v>
      </c>
      <c r="T11" s="72" t="e">
        <f t="shared" si="9"/>
        <v>#VALUE!</v>
      </c>
      <c r="U11" s="72" t="e">
        <f t="shared" si="10"/>
        <v>#VALUE!</v>
      </c>
      <c r="V11" s="72">
        <f t="shared" si="11"/>
        <v>0.49022178301770136</v>
      </c>
      <c r="W11" s="72" t="e">
        <f t="shared" si="12"/>
        <v>#VALUE!</v>
      </c>
      <c r="X11" s="72">
        <f t="shared" si="13"/>
        <v>0.226421488083764</v>
      </c>
      <c r="Y11" s="72" t="e">
        <f t="shared" si="14"/>
        <v>#VALUE!</v>
      </c>
      <c r="Z11" s="72" t="e">
        <f t="shared" si="15"/>
        <v>#VALUE!</v>
      </c>
      <c r="AA11" s="72" t="e">
        <f t="shared" si="16"/>
        <v>#VALUE!</v>
      </c>
      <c r="AB11" s="72">
        <f t="shared" si="17"/>
        <v>0.21367274758004468</v>
      </c>
      <c r="AC11" s="72"/>
      <c r="AD11" s="72"/>
      <c r="AE11" s="72">
        <f t="shared" si="18"/>
        <v>0.43419338449828315</v>
      </c>
      <c r="AF11" s="72" t="e">
        <f t="shared" si="19"/>
        <v>#VALUE!</v>
      </c>
      <c r="AG11" s="72" t="e">
        <f t="shared" si="20"/>
        <v>#VALUE!</v>
      </c>
      <c r="AH11" s="72">
        <f t="shared" si="21"/>
        <v>0.50977821698229864</v>
      </c>
      <c r="AI11" s="72" t="e">
        <f t="shared" si="22"/>
        <v>#VALUE!</v>
      </c>
      <c r="AJ11" s="72">
        <f>(AV11-Driver!$K$179)/(Driver!$L$179-Driver!$K$179)</f>
        <v>2.7797921198936419E-2</v>
      </c>
      <c r="AK11" s="72">
        <f>(AW11-Driver!$K$180)/(Driver!$L$180-Driver!$K$180)</f>
        <v>0.41834516448049985</v>
      </c>
      <c r="AL11" s="72" t="e">
        <f>(AX11-Driver!$K$181)/(Driver!$L$181-Driver!$K$181)</f>
        <v>#VALUE!</v>
      </c>
      <c r="AM11" s="72" t="e">
        <f>(AY11-Driver!$K$182)/(Driver!$L$182-Driver!$K$182)</f>
        <v>#VALUE!</v>
      </c>
      <c r="AN11" s="72">
        <f>(AZ11-Driver!$K$183)/(Driver!$L$183-Driver!$K$183)</f>
        <v>0.4678921568627451</v>
      </c>
      <c r="AO11" s="72"/>
      <c r="AP11" s="72"/>
      <c r="AQ11" s="72">
        <f>(BC11-Driver!$K$188)/(Driver!$L$188-Driver!$K$188)</f>
        <v>0.18580661550171682</v>
      </c>
      <c r="AR11" s="72" t="e">
        <f>MIN((BD11-Driver!$K$189)/(Driver!$L$189-Driver!$K$189),100%)</f>
        <v>#VALUE!</v>
      </c>
      <c r="AS11" s="72" t="e">
        <f>(BE11-Driver!$K$190)/(Driver!$L$190-Driver!$K$190)</f>
        <v>#VALUE!</v>
      </c>
      <c r="AT11" s="72">
        <f>(BF11-Driver!$K$191)/(Driver!$L$191-Driver!$K$191)</f>
        <v>2.2178301770142493E-4</v>
      </c>
      <c r="AU11" s="72" t="e">
        <f>(BG11-Driver!$K$192)/(Driver!$L$192-Driver!$K$192)</f>
        <v>#VALUE!</v>
      </c>
      <c r="AV11" s="70">
        <f t="shared" si="23"/>
        <v>0.58506308506308491</v>
      </c>
      <c r="AW11" s="70">
        <f t="shared" si="24"/>
        <v>42.643335815338794</v>
      </c>
      <c r="AX11" s="70" t="str">
        <f t="shared" si="25"/>
        <v/>
      </c>
      <c r="AY11" s="70" t="str">
        <f>IFERROR(Driver!$K$19/Data!BH11/Data!BI11*Data!BK11*Data!BL11,"")</f>
        <v/>
      </c>
      <c r="AZ11" s="70">
        <f t="shared" si="26"/>
        <v>42.643335815338794</v>
      </c>
      <c r="BA11" s="70"/>
      <c r="BB11" s="70"/>
      <c r="BC11" s="70">
        <f t="shared" si="27"/>
        <v>96.379183167375373</v>
      </c>
      <c r="BD11" s="70" t="str">
        <f t="shared" si="28"/>
        <v/>
      </c>
      <c r="BE11" s="70" t="str">
        <f t="shared" si="29"/>
        <v/>
      </c>
      <c r="BF11" s="70">
        <f t="shared" si="30"/>
        <v>2.5048833735493495E-2</v>
      </c>
      <c r="BG11" s="70" t="str">
        <f t="shared" si="31"/>
        <v/>
      </c>
      <c r="BH11" s="67" t="e">
        <f>MAX((CE11-Driver!$F$200)/(Driver!$G$200-Driver!$F$200)*$BI$1,1)</f>
        <v>#VALUE!</v>
      </c>
      <c r="BI11" s="67">
        <f>MAX($BI$1*(BY11-Driver!$F$201)/(Driver!$G$201-Driver!$F$201),1)</f>
        <v>8.7341772151898738</v>
      </c>
      <c r="BJ11" s="67">
        <f>(CB11-Driver!$F$206)/(Driver!$G$206-Driver!$F$206)*$BI$1</f>
        <v>0.47619047619047616</v>
      </c>
      <c r="BK11" s="67">
        <f>(CD11-Driver!$F$203)/(Driver!$G$203-Driver!$F$203)*$BI$1</f>
        <v>1.5596330275229362</v>
      </c>
      <c r="BL11" s="67">
        <f>MAX((CR11-Driver!$F$202)/(Driver!$G$202-Driver!$F$202)*$BI$1,1)</f>
        <v>7.2413793103448274</v>
      </c>
      <c r="BM11" s="67">
        <f>MAX((CH11-Driver!$F$204)/(Driver!$G$204-Driver!$F$204)*$BI$1,1)</f>
        <v>4.9145299145299139</v>
      </c>
      <c r="BN11" s="67">
        <f>(CI11-Driver!$F$205)/(Driver!$G$205-Driver!$F$205)*$BI$1</f>
        <v>4.8823529411764701</v>
      </c>
      <c r="BO11" s="67">
        <f>(CK11-Driver!$F$207)/(Driver!$G$207-Driver!$F$207)*$BI$1</f>
        <v>0.17580144777662873</v>
      </c>
      <c r="BP11" s="67">
        <f>(CM11-Driver!$F$208)/(Driver!$G$208-Driver!$F$208)*$BI$1</f>
        <v>0.46666666666666667</v>
      </c>
      <c r="BQ11" s="67">
        <f>(CL11-Driver!$F$209)/(Driver!$G$209-Driver!$F$209)*$BI$1</f>
        <v>0.46875</v>
      </c>
      <c r="BR11" s="28" t="s">
        <v>155</v>
      </c>
      <c r="BS11" s="8" t="s">
        <v>164</v>
      </c>
      <c r="BT11" s="9" t="s">
        <v>165</v>
      </c>
      <c r="BU11" s="10">
        <v>164</v>
      </c>
      <c r="BV11" s="9" t="s">
        <v>158</v>
      </c>
      <c r="BW11" s="10">
        <v>164</v>
      </c>
      <c r="BX11" s="10">
        <v>162.9</v>
      </c>
      <c r="BY11" s="10">
        <v>146</v>
      </c>
      <c r="BZ11" s="10">
        <v>153</v>
      </c>
      <c r="CA11" s="10">
        <v>120</v>
      </c>
      <c r="CB11" s="10">
        <v>67</v>
      </c>
      <c r="CC11" s="10">
        <v>103</v>
      </c>
      <c r="CD11" s="10">
        <v>12.8</v>
      </c>
      <c r="CE11" s="9" t="s">
        <v>159</v>
      </c>
      <c r="CF11" s="9" t="s">
        <v>159</v>
      </c>
      <c r="CG11" s="10">
        <v>1363</v>
      </c>
      <c r="CH11" s="10">
        <v>216</v>
      </c>
      <c r="CI11" s="10">
        <v>116</v>
      </c>
      <c r="CJ11" s="10">
        <v>37</v>
      </c>
      <c r="CK11" s="10">
        <v>127</v>
      </c>
      <c r="CL11" s="10">
        <v>3</v>
      </c>
      <c r="CM11" s="10">
        <v>42</v>
      </c>
      <c r="CN11" s="10">
        <v>7.4999999999999997E-2</v>
      </c>
      <c r="CO11" s="10">
        <v>60</v>
      </c>
      <c r="CP11" s="10">
        <v>39</v>
      </c>
      <c r="CQ11" s="10">
        <v>67</v>
      </c>
      <c r="CR11" s="10">
        <v>10</v>
      </c>
      <c r="CS11" s="10">
        <v>8.4</v>
      </c>
      <c r="CT11" s="9" t="s">
        <v>160</v>
      </c>
      <c r="CU11" s="10"/>
      <c r="CV11" s="10"/>
      <c r="CW11" s="10"/>
      <c r="CX11" t="str">
        <f>INDEX('Data_Price '!AG$2:AG$1266,MATCH(Data!$DN11,'Data_Price '!$AT$2:$AT$1266,0))</f>
        <v>Elan Ace SLX Blue-Green 164 Ski Lady's Men</v>
      </c>
      <c r="CY11" t="str">
        <f>INDEX('Data_Price '!AH$2:AH$1266,MATCH(Data!$DN11,'Data_Price '!$AT$2:$AT$1266,0))</f>
        <v>! OutdoorXL.com</v>
      </c>
      <c r="CZ11">
        <f>INDEX('Data_Price '!AI$2:AI$1266,MATCH(Data!$DN11,'Data_Price '!$AT$2:$AT$1266,0))</f>
        <v>659.95</v>
      </c>
      <c r="DA11" t="str">
        <f>INDEX('Data_Price '!AJ$2:AJ$1266,MATCH(Data!$DN11,'Data_Price '!$AT$2:$AT$1266,0))</f>
        <v>https://tinyurl.com/ybc7gwze</v>
      </c>
      <c r="DB11">
        <f>INDEX('Data_Price '!AK$2:AK$1266,MATCH(Data!$DN11,'Data_Price '!$AT$2:$AT$1266,0))</f>
        <v>0</v>
      </c>
      <c r="DC11">
        <f>INDEX('Data_Price '!AL$2:AL$1266,MATCH(Data!$DN11,'Data_Price '!$AT$2:$AT$1266,0))</f>
        <v>0</v>
      </c>
      <c r="DD11">
        <f>INDEX('Data_Price '!AM$2:AM$1266,MATCH(Data!$DN11,'Data_Price '!$AT$2:$AT$1266,0))</f>
        <v>0</v>
      </c>
      <c r="DE11">
        <f>INDEX('Data_Price '!AN$2:AN$1266,MATCH(Data!$DN11,'Data_Price '!$AT$2:$AT$1266,0))</f>
        <v>0</v>
      </c>
      <c r="DF11">
        <f>INDEX('Data_Price '!AO$2:AO$1266,MATCH(Data!$DN11,'Data_Price '!$AT$2:$AT$1266,0))</f>
        <v>0</v>
      </c>
      <c r="DG11">
        <f>INDEX('Data_Price '!AP$2:AP$1266,MATCH(Data!$DN11,'Data_Price '!$AT$2:$AT$1266,0))</f>
        <v>0</v>
      </c>
      <c r="DH11">
        <f>INDEX('Data_Price '!AQ$2:AQ$1266,MATCH(Data!$DN11,'Data_Price '!$AT$2:$AT$1266,0))</f>
        <v>0</v>
      </c>
      <c r="DI11">
        <f>INDEX('Data_Price '!AR$2:AR$1266,MATCH(Data!$DN11,'Data_Price '!$AT$2:$AT$1266,0))</f>
        <v>0</v>
      </c>
      <c r="DJ11" s="89" t="str">
        <f t="shared" si="32"/>
        <v>https://tinyurl.com/ybc7gwze</v>
      </c>
      <c r="DK11" s="89">
        <f t="shared" si="33"/>
        <v>0</v>
      </c>
      <c r="DL11" s="89">
        <f t="shared" si="34"/>
        <v>0</v>
      </c>
      <c r="DM11" s="219" t="str">
        <f t="shared" si="35"/>
        <v>Ace SLX</v>
      </c>
      <c r="DN11" s="89" t="str">
        <f t="shared" si="36"/>
        <v xml:space="preserve"> ElanAce SLX164 Unisex</v>
      </c>
      <c r="DO11" s="221"/>
    </row>
    <row r="12" spans="2:119" ht="15.6" customHeight="1">
      <c r="B12" s="219" t="b">
        <f t="array" ref="B12">IF(OR(ISERROR(K12:P12)),FALSE,TRUE)</f>
        <v>0</v>
      </c>
      <c r="C12" s="43" t="b">
        <f>OR(BR12=Driver!$G$50,Data!BR468=Driver!$H$50)</f>
        <v>1</v>
      </c>
      <c r="D12" s="43" t="b">
        <f>OR(BV12=Driver!$G$51,BV12=Driver!$H$51)</f>
        <v>1</v>
      </c>
      <c r="E12" s="43" t="b">
        <f>AND(BX12&gt;Driver!$F$54,BX12&lt;Driver!$G$54)</f>
        <v>1</v>
      </c>
      <c r="F12" s="43" t="b">
        <f>CL12&gt;Driver!$F$56</f>
        <v>1</v>
      </c>
      <c r="G12" s="43" t="b">
        <f>AND(CB12&gt;Driver!$F$55,CB12&lt;Driver!$G$55)</f>
        <v>0</v>
      </c>
      <c r="H12" s="43" t="b">
        <f t="shared" si="0"/>
        <v>0</v>
      </c>
      <c r="I12" s="43">
        <f t="shared" si="1"/>
        <v>0</v>
      </c>
      <c r="J12" s="43" t="b">
        <f t="array" ref="J12">NOT(OR(($H$9:$H$1273=TRUE)*($I$9:$I$1273&gt;0)*($BT$9:$BT$1273=BT12)*($K$9:$K$1273&gt;K12)))</f>
        <v>1</v>
      </c>
      <c r="K12" s="72" t="str">
        <f t="shared" si="2"/>
        <v/>
      </c>
      <c r="L12" s="72">
        <f t="shared" si="3"/>
        <v>0.85366875444302681</v>
      </c>
      <c r="M12" s="72" t="e">
        <f t="shared" si="4"/>
        <v>#VALUE!</v>
      </c>
      <c r="N12" s="72" t="e">
        <f t="shared" si="5"/>
        <v>#VALUE!</v>
      </c>
      <c r="O12" s="72" t="e">
        <f t="shared" si="6"/>
        <v>#VALUE!</v>
      </c>
      <c r="P12" s="72">
        <f t="shared" si="7"/>
        <v>0.98642601555390086</v>
      </c>
      <c r="Q12" s="72"/>
      <c r="R12" s="72"/>
      <c r="S12" s="72">
        <f t="shared" si="8"/>
        <v>0.43670904597894611</v>
      </c>
      <c r="T12" s="72" t="e">
        <f t="shared" si="9"/>
        <v>#VALUE!</v>
      </c>
      <c r="U12" s="72" t="e">
        <f t="shared" si="10"/>
        <v>#VALUE!</v>
      </c>
      <c r="V12" s="72">
        <f t="shared" si="11"/>
        <v>0.49142851397229226</v>
      </c>
      <c r="W12" s="72" t="e">
        <f t="shared" si="12"/>
        <v>#VALUE!</v>
      </c>
      <c r="X12" s="72">
        <f t="shared" si="13"/>
        <v>0.14633124555697324</v>
      </c>
      <c r="Y12" s="72" t="e">
        <f t="shared" si="14"/>
        <v>#VALUE!</v>
      </c>
      <c r="Z12" s="72" t="e">
        <f t="shared" si="15"/>
        <v>#VALUE!</v>
      </c>
      <c r="AA12" s="72" t="e">
        <f t="shared" si="16"/>
        <v>#VALUE!</v>
      </c>
      <c r="AB12" s="72">
        <f t="shared" si="17"/>
        <v>1.3573984446099141E-2</v>
      </c>
      <c r="AC12" s="72"/>
      <c r="AD12" s="72"/>
      <c r="AE12" s="72">
        <f t="shared" si="18"/>
        <v>0.56329095402105389</v>
      </c>
      <c r="AF12" s="72" t="e">
        <f t="shared" si="19"/>
        <v>#VALUE!</v>
      </c>
      <c r="AG12" s="72" t="e">
        <f t="shared" si="20"/>
        <v>#VALUE!</v>
      </c>
      <c r="AH12" s="72">
        <f t="shared" si="21"/>
        <v>0.50857148602770774</v>
      </c>
      <c r="AI12" s="72" t="e">
        <f t="shared" si="22"/>
        <v>#VALUE!</v>
      </c>
      <c r="AJ12" s="72">
        <f>(AV12-Driver!$K$179)/(Driver!$L$179-Driver!$K$179)</f>
        <v>0.10788816372572718</v>
      </c>
      <c r="AK12" s="72">
        <f>(AW12-Driver!$K$180)/(Driver!$L$180-Driver!$K$180)</f>
        <v>0.20583401492622291</v>
      </c>
      <c r="AL12" s="72" t="e">
        <f>(AX12-Driver!$K$181)/(Driver!$L$181-Driver!$K$181)</f>
        <v>#VALUE!</v>
      </c>
      <c r="AM12" s="72" t="e">
        <f>(AY12-Driver!$K$182)/(Driver!$L$182-Driver!$K$182)</f>
        <v>#VALUE!</v>
      </c>
      <c r="AN12" s="72">
        <f>(AZ12-Driver!$K$183)/(Driver!$L$183-Driver!$K$183)</f>
        <v>0.24064542483660128</v>
      </c>
      <c r="AO12" s="72"/>
      <c r="AP12" s="72"/>
      <c r="AQ12" s="72">
        <f>(BC12-Driver!$K$188)/(Driver!$L$188-Driver!$K$188)</f>
        <v>5.670904597894607E-2</v>
      </c>
      <c r="AR12" s="72" t="e">
        <f>MIN((BD12-Driver!$K$189)/(Driver!$L$189-Driver!$K$189),100%)</f>
        <v>#VALUE!</v>
      </c>
      <c r="AS12" s="72" t="e">
        <f>(BE12-Driver!$K$190)/(Driver!$L$190-Driver!$K$190)</f>
        <v>#VALUE!</v>
      </c>
      <c r="AT12" s="72">
        <f>(BF12-Driver!$K$191)/(Driver!$L$191-Driver!$K$191)</f>
        <v>1.4285139722922857E-3</v>
      </c>
      <c r="AU12" s="72" t="e">
        <f>(BG12-Driver!$K$192)/(Driver!$L$192-Driver!$K$192)</f>
        <v>#VALUE!</v>
      </c>
      <c r="AV12" s="70">
        <f t="shared" si="23"/>
        <v>2.2707231040564375</v>
      </c>
      <c r="AW12" s="70">
        <f t="shared" si="24"/>
        <v>21.932241250930751</v>
      </c>
      <c r="AX12" s="70" t="str">
        <f t="shared" si="25"/>
        <v/>
      </c>
      <c r="AY12" s="70" t="str">
        <f>IFERROR(Driver!$K$19/Data!BH12/Data!BI12*Data!BK12*Data!BL12,"")</f>
        <v/>
      </c>
      <c r="AZ12" s="70">
        <f t="shared" si="26"/>
        <v>21.932241250930751</v>
      </c>
      <c r="BA12" s="70"/>
      <c r="BB12" s="70"/>
      <c r="BC12" s="70">
        <f t="shared" si="27"/>
        <v>29.415376384171072</v>
      </c>
      <c r="BD12" s="70" t="str">
        <f t="shared" si="28"/>
        <v/>
      </c>
      <c r="BE12" s="70" t="str">
        <f t="shared" si="29"/>
        <v/>
      </c>
      <c r="BF12" s="70">
        <f t="shared" si="30"/>
        <v>0.16134061729176719</v>
      </c>
      <c r="BG12" s="70" t="str">
        <f t="shared" si="31"/>
        <v/>
      </c>
      <c r="BH12" s="67" t="e">
        <f>MAX((CE12-Driver!$F$200)/(Driver!$G$200-Driver!$F$200)*$BI$1,1)</f>
        <v>#VALUE!</v>
      </c>
      <c r="BI12" s="67">
        <f>MAX($BI$1*(BY12-Driver!$F$201)/(Driver!$G$201-Driver!$F$201),1)</f>
        <v>8.6708860759493671</v>
      </c>
      <c r="BJ12" s="67">
        <f>(CB12-Driver!$F$206)/(Driver!$G$206-Driver!$F$206)*$BI$1</f>
        <v>2.0634920634920633</v>
      </c>
      <c r="BK12" s="67">
        <f>(CD12-Driver!$F$203)/(Driver!$G$203-Driver!$F$203)*$BI$1</f>
        <v>1.9266055045871557</v>
      </c>
      <c r="BL12" s="67">
        <f>MAX((CR12-Driver!$F$202)/(Driver!$G$202-Driver!$F$202)*$BI$1,1)</f>
        <v>8.9655172413793096</v>
      </c>
      <c r="BM12" s="67">
        <f>MAX((CH12-Driver!$F$204)/(Driver!$G$204-Driver!$F$204)*$BI$1,1)</f>
        <v>4.4017094017094021</v>
      </c>
      <c r="BN12" s="67">
        <f>(CI12-Driver!$F$205)/(Driver!$G$205-Driver!$F$205)*$BI$1</f>
        <v>2.5294117647058822</v>
      </c>
      <c r="BO12" s="67">
        <f>(CK12-Driver!$F$207)/(Driver!$G$207-Driver!$F$207)*$BI$1</f>
        <v>0.23784901758014479</v>
      </c>
      <c r="BP12" s="67">
        <f>(CM12-Driver!$F$208)/(Driver!$G$208-Driver!$F$208)*$BI$1</f>
        <v>0.63333333333333341</v>
      </c>
      <c r="BQ12" s="67">
        <f>(CL12-Driver!$F$209)/(Driver!$G$209-Driver!$F$209)*$BI$1</f>
        <v>1.09375</v>
      </c>
      <c r="BR12" s="28" t="s">
        <v>155</v>
      </c>
      <c r="BS12" s="8" t="s">
        <v>164</v>
      </c>
      <c r="BT12" s="9" t="s">
        <v>166</v>
      </c>
      <c r="BU12" s="10">
        <v>166</v>
      </c>
      <c r="BV12" s="9" t="s">
        <v>158</v>
      </c>
      <c r="BW12" s="10">
        <v>166</v>
      </c>
      <c r="BX12" s="10">
        <v>164.3</v>
      </c>
      <c r="BY12" s="10">
        <v>145</v>
      </c>
      <c r="BZ12" s="10">
        <v>151</v>
      </c>
      <c r="CA12" s="10">
        <v>127</v>
      </c>
      <c r="CB12" s="10">
        <v>77</v>
      </c>
      <c r="CC12" s="10">
        <v>110</v>
      </c>
      <c r="CD12" s="10">
        <v>13.6</v>
      </c>
      <c r="CE12" s="9" t="s">
        <v>159</v>
      </c>
      <c r="CF12" s="9" t="s">
        <v>159</v>
      </c>
      <c r="CG12" s="10">
        <v>1528</v>
      </c>
      <c r="CH12" s="10">
        <v>204</v>
      </c>
      <c r="CI12" s="10">
        <v>76</v>
      </c>
      <c r="CJ12" s="10">
        <v>39</v>
      </c>
      <c r="CK12" s="10">
        <v>133</v>
      </c>
      <c r="CL12" s="10">
        <v>7</v>
      </c>
      <c r="CM12" s="10">
        <v>57</v>
      </c>
      <c r="CN12" s="10">
        <v>0.182</v>
      </c>
      <c r="CO12" s="10">
        <v>84</v>
      </c>
      <c r="CP12" s="10">
        <v>47</v>
      </c>
      <c r="CQ12" s="10">
        <v>49</v>
      </c>
      <c r="CR12" s="10">
        <v>15</v>
      </c>
      <c r="CS12" s="10">
        <v>7.5</v>
      </c>
      <c r="CT12" s="9" t="s">
        <v>160</v>
      </c>
      <c r="CU12" s="10"/>
      <c r="CV12" s="10"/>
      <c r="CW12" s="10"/>
      <c r="CX12" t="str">
        <f>INDEX('Data_Price '!AG$2:AG$1266,MATCH(Data!$DN12,'Data_Price '!$AT$2:$AT$1266,0))</f>
        <v>Elan Voyager 21/22</v>
      </c>
      <c r="CY12" t="str">
        <f>INDEX('Data_Price '!AH$2:AH$1266,MATCH(Data!$DN12,'Data_Price '!$AT$2:$AT$1266,0))</f>
        <v>Snowcountry.eu</v>
      </c>
      <c r="CZ12">
        <f>INDEX('Data_Price '!AI$2:AI$1266,MATCH(Data!$DN12,'Data_Price '!$AT$2:$AT$1266,0))</f>
        <v>1198.6300000000001</v>
      </c>
      <c r="DA12" t="str">
        <f>INDEX('Data_Price '!AJ$2:AJ$1266,MATCH(Data!$DN12,'Data_Price '!$AT$2:$AT$1266,0))</f>
        <v>https://tinyurl.com/y7q7zaaw</v>
      </c>
      <c r="DB12" t="str">
        <f>INDEX('Data_Price '!AK$2:AK$1266,MATCH(Data!$DN12,'Data_Price '!$AT$2:$AT$1266,0))</f>
        <v>Elan Voyager Ski Bag Package Black-Green 166 Ski Men</v>
      </c>
      <c r="DC12" t="str">
        <f>INDEX('Data_Price '!AL$2:AL$1266,MATCH(Data!$DN12,'Data_Price '!$AT$2:$AT$1266,0))</f>
        <v>! OutdoorXL.com</v>
      </c>
      <c r="DD12">
        <f>INDEX('Data_Price '!AM$2:AM$1266,MATCH(Data!$DN12,'Data_Price '!$AT$2:$AT$1266,0))</f>
        <v>1404.95</v>
      </c>
      <c r="DE12" t="str">
        <f>INDEX('Data_Price '!AN$2:AN$1266,MATCH(Data!$DN12,'Data_Price '!$AT$2:$AT$1266,0))</f>
        <v>https://tinyurl.com/yacvvfcv</v>
      </c>
      <c r="DF12" t="str">
        <f>INDEX('Data_Price '!AO$2:AO$1266,MATCH(Data!$DN12,'Data_Price '!$AT$2:$AT$1266,0))</f>
        <v>Elan Wingman 86 Ti Skis 2022</v>
      </c>
      <c r="DG12" t="str">
        <f>INDEX('Data_Price '!AP$2:AP$1266,MATCH(Data!$DN12,'Data_Price '!$AT$2:$AT$1266,0))</f>
        <v>Gorham Bike and Ski</v>
      </c>
      <c r="DH12">
        <f>INDEX('Data_Price '!AQ$2:AQ$1266,MATCH(Data!$DN12,'Data_Price '!$AT$2:$AT$1266,0))</f>
        <v>349.99</v>
      </c>
      <c r="DI12" t="str">
        <f>INDEX('Data_Price '!AR$2:AR$1266,MATCH(Data!$DN12,'Data_Price '!$AT$2:$AT$1266,0))</f>
        <v>https://tinyurl.com/yac3lp7w</v>
      </c>
      <c r="DJ12" s="89" t="str">
        <f t="shared" si="32"/>
        <v>https://tinyurl.com/y7q7zaaw</v>
      </c>
      <c r="DK12" s="89" t="str">
        <f t="shared" si="33"/>
        <v>https://tinyurl.com/yacvvfcv</v>
      </c>
      <c r="DL12" s="89" t="str">
        <f t="shared" si="34"/>
        <v>https://tinyurl.com/yac3lp7w</v>
      </c>
      <c r="DM12" s="219" t="str">
        <f t="shared" si="35"/>
        <v>Voyager</v>
      </c>
      <c r="DN12" s="89" t="str">
        <f t="shared" si="36"/>
        <v xml:space="preserve"> ElanVoyager166 Unisex</v>
      </c>
      <c r="DO12" s="221"/>
    </row>
    <row r="13" spans="2:119" ht="15.6" customHeight="1">
      <c r="B13" s="219" t="b">
        <f t="array" ref="B13">IF(OR(ISERROR(K13:P13)),FALSE,TRUE)</f>
        <v>0</v>
      </c>
      <c r="C13" s="43" t="b">
        <f>OR(BR13=Driver!$G$50,Data!BR603=Driver!$H$50)</f>
        <v>1</v>
      </c>
      <c r="D13" s="43" t="b">
        <f>OR(BV13=Driver!$G$51,BV13=Driver!$H$51)</f>
        <v>1</v>
      </c>
      <c r="E13" s="43" t="b">
        <f>AND(BX13&gt;Driver!$F$54,BX13&lt;Driver!$G$54)</f>
        <v>0</v>
      </c>
      <c r="F13" s="43" t="b">
        <f>CL13&gt;Driver!$F$56</f>
        <v>1</v>
      </c>
      <c r="G13" s="43" t="b">
        <f>AND(CB13&gt;Driver!$F$55,CB13&lt;Driver!$G$55)</f>
        <v>1</v>
      </c>
      <c r="H13" s="43" t="b">
        <f t="shared" si="0"/>
        <v>0</v>
      </c>
      <c r="I13" s="43">
        <f t="shared" si="1"/>
        <v>0</v>
      </c>
      <c r="J13" s="43" t="b">
        <f t="array" ref="J13">NOT(OR(($H$9:$H$1273=TRUE)*($I$9:$I$1273&gt;0)*($BT$9:$BT$1273=BT13)*($K$9:$K$1273&gt;K13)))</f>
        <v>1</v>
      </c>
      <c r="K13" s="72" t="str">
        <f t="shared" si="2"/>
        <v/>
      </c>
      <c r="L13" s="72">
        <f t="shared" si="3"/>
        <v>0.47926171046713373</v>
      </c>
      <c r="M13" s="72" t="e">
        <f t="shared" si="4"/>
        <v>#VALUE!</v>
      </c>
      <c r="N13" s="72" t="e">
        <f t="shared" si="5"/>
        <v>#VALUE!</v>
      </c>
      <c r="O13" s="72" t="e">
        <f t="shared" si="6"/>
        <v>#VALUE!</v>
      </c>
      <c r="P13" s="72">
        <f t="shared" si="7"/>
        <v>0.57366385372714501</v>
      </c>
      <c r="Q13" s="72"/>
      <c r="R13" s="72"/>
      <c r="S13" s="72">
        <f t="shared" si="8"/>
        <v>0.59881308075165784</v>
      </c>
      <c r="T13" s="72" t="e">
        <f t="shared" si="9"/>
        <v>#VALUE!</v>
      </c>
      <c r="U13" s="72" t="e">
        <f t="shared" si="10"/>
        <v>#VALUE!</v>
      </c>
      <c r="V13" s="72">
        <f t="shared" si="11"/>
        <v>0.5230736616688727</v>
      </c>
      <c r="W13" s="72" t="e">
        <f t="shared" si="12"/>
        <v>#VALUE!</v>
      </c>
      <c r="X13" s="72">
        <f t="shared" si="13"/>
        <v>0.52073828953286627</v>
      </c>
      <c r="Y13" s="72" t="e">
        <f t="shared" si="14"/>
        <v>#VALUE!</v>
      </c>
      <c r="Z13" s="72" t="e">
        <f t="shared" si="15"/>
        <v>#VALUE!</v>
      </c>
      <c r="AA13" s="72" t="e">
        <f t="shared" si="16"/>
        <v>#VALUE!</v>
      </c>
      <c r="AB13" s="72">
        <f t="shared" si="17"/>
        <v>0.42633614627285504</v>
      </c>
      <c r="AC13" s="72"/>
      <c r="AD13" s="72"/>
      <c r="AE13" s="72">
        <f t="shared" si="18"/>
        <v>0.40118691924834221</v>
      </c>
      <c r="AF13" s="72" t="e">
        <f t="shared" si="19"/>
        <v>#VALUE!</v>
      </c>
      <c r="AG13" s="72" t="e">
        <f t="shared" si="20"/>
        <v>#VALUE!</v>
      </c>
      <c r="AH13" s="72">
        <f t="shared" si="21"/>
        <v>0.4769263383311273</v>
      </c>
      <c r="AI13" s="72" t="e">
        <f t="shared" si="22"/>
        <v>#VALUE!</v>
      </c>
      <c r="AJ13" s="72">
        <f>(AV13-Driver!$K$179)/(Driver!$L$179-Driver!$K$179)</f>
        <v>0.77495769881556664</v>
      </c>
      <c r="AK13" s="72">
        <f>(AW13-Driver!$K$180)/(Driver!$L$180-Driver!$K$180)</f>
        <v>0.61721862207164957</v>
      </c>
      <c r="AL13" s="72" t="e">
        <f>(AX13-Driver!$K$181)/(Driver!$L$181-Driver!$K$181)</f>
        <v>#VALUE!</v>
      </c>
      <c r="AM13" s="72" t="e">
        <f>(AY13-Driver!$K$182)/(Driver!$L$182-Driver!$K$182)</f>
        <v>#VALUE!</v>
      </c>
      <c r="AN13" s="72">
        <f>(AZ13-Driver!$K$183)/(Driver!$L$183-Driver!$K$183)</f>
        <v>0.68055555555555547</v>
      </c>
      <c r="AO13" s="72"/>
      <c r="AP13" s="72"/>
      <c r="AQ13" s="72">
        <f>(BC13-Driver!$K$188)/(Driver!$L$188-Driver!$K$188)</f>
        <v>0.21881308075165778</v>
      </c>
      <c r="AR13" s="72" t="e">
        <f>MIN((BD13-Driver!$K$189)/(Driver!$L$189-Driver!$K$189),100%)</f>
        <v>#VALUE!</v>
      </c>
      <c r="AS13" s="72" t="e">
        <f>(BE13-Driver!$K$190)/(Driver!$L$190-Driver!$K$190)</f>
        <v>#VALUE!</v>
      </c>
      <c r="AT13" s="72">
        <f>(BF13-Driver!$K$191)/(Driver!$L$191-Driver!$K$191)</f>
        <v>3.3073661668872704E-2</v>
      </c>
      <c r="AU13" s="72" t="e">
        <f>(BG13-Driver!$K$192)/(Driver!$L$192-Driver!$K$192)</f>
        <v>#VALUE!</v>
      </c>
      <c r="AV13" s="70">
        <f t="shared" si="23"/>
        <v>16.310541310541307</v>
      </c>
      <c r="AW13" s="70">
        <f t="shared" si="24"/>
        <v>62.025316455696199</v>
      </c>
      <c r="AX13" s="70" t="str">
        <f t="shared" si="25"/>
        <v/>
      </c>
      <c r="AY13" s="70" t="str">
        <f>IFERROR(Driver!$K$19/Data!BH13/Data!BI13*Data!BK13*Data!BL13,"")</f>
        <v/>
      </c>
      <c r="AZ13" s="70">
        <f t="shared" si="26"/>
        <v>62.025316455696199</v>
      </c>
      <c r="BA13" s="70"/>
      <c r="BB13" s="70"/>
      <c r="BC13" s="70">
        <f t="shared" si="27"/>
        <v>113.49986614974355</v>
      </c>
      <c r="BD13" s="70" t="str">
        <f t="shared" si="28"/>
        <v/>
      </c>
      <c r="BE13" s="70" t="str">
        <f t="shared" si="29"/>
        <v/>
      </c>
      <c r="BF13" s="70">
        <f t="shared" si="30"/>
        <v>3.7354377298755366</v>
      </c>
      <c r="BG13" s="70" t="str">
        <f t="shared" si="31"/>
        <v/>
      </c>
      <c r="BH13" s="67" t="e">
        <f>MAX((CE13-Driver!$F$200)/(Driver!$G$200-Driver!$F$200)*$BI$1,1)</f>
        <v>#VALUE!</v>
      </c>
      <c r="BI13" s="67">
        <f>MAX($BI$1*(BY13-Driver!$F$201)/(Driver!$G$201-Driver!$F$201),1)</f>
        <v>8.8607594936708853</v>
      </c>
      <c r="BJ13" s="67">
        <f>(CB13-Driver!$F$206)/(Driver!$G$206-Driver!$F$206)*$BI$1</f>
        <v>6.6666666666666661</v>
      </c>
      <c r="BK13" s="67">
        <f>(CD13-Driver!$F$203)/(Driver!$G$203-Driver!$F$203)*$BI$1</f>
        <v>4.7247706422018352</v>
      </c>
      <c r="BL13" s="67">
        <f>MAX((CR13-Driver!$F$202)/(Driver!$G$202-Driver!$F$202)*$BI$1,1)</f>
        <v>7.2413793103448274</v>
      </c>
      <c r="BM13" s="67">
        <f>MAX((CH13-Driver!$F$204)/(Driver!$G$204-Driver!$F$204)*$BI$1,1)</f>
        <v>9.7863247863247853</v>
      </c>
      <c r="BN13" s="67">
        <f>(CI13-Driver!$F$205)/(Driver!$G$205-Driver!$F$205)*$BI$1</f>
        <v>7</v>
      </c>
      <c r="BO13" s="67">
        <f>(CK13-Driver!$F$207)/(Driver!$G$207-Driver!$F$207)*$BI$1</f>
        <v>1.3236814891416753</v>
      </c>
      <c r="BP13" s="67">
        <f>(CM13-Driver!$F$208)/(Driver!$G$208-Driver!$F$208)*$BI$1</f>
        <v>2</v>
      </c>
      <c r="BQ13" s="67">
        <f>(CL13-Driver!$F$209)/(Driver!$G$209-Driver!$F$209)*$BI$1</f>
        <v>3.4375</v>
      </c>
      <c r="BR13" s="28" t="s">
        <v>155</v>
      </c>
      <c r="BS13" s="8" t="s">
        <v>167</v>
      </c>
      <c r="BT13" s="9" t="s">
        <v>168</v>
      </c>
      <c r="BU13" s="10">
        <v>191</v>
      </c>
      <c r="BV13" s="9" t="s">
        <v>158</v>
      </c>
      <c r="BW13" s="10">
        <v>191</v>
      </c>
      <c r="BX13" s="10">
        <v>189.6</v>
      </c>
      <c r="BY13" s="10">
        <v>148</v>
      </c>
      <c r="BZ13" s="10">
        <v>152</v>
      </c>
      <c r="CA13" s="10">
        <v>136</v>
      </c>
      <c r="CB13" s="10">
        <v>106</v>
      </c>
      <c r="CC13" s="10">
        <v>126</v>
      </c>
      <c r="CD13" s="10">
        <v>19.7</v>
      </c>
      <c r="CE13" s="9" t="s">
        <v>159</v>
      </c>
      <c r="CF13" s="9" t="s">
        <v>159</v>
      </c>
      <c r="CG13" s="10">
        <v>2210</v>
      </c>
      <c r="CH13" s="10">
        <v>330</v>
      </c>
      <c r="CI13" s="10">
        <v>152</v>
      </c>
      <c r="CJ13" s="10">
        <v>49</v>
      </c>
      <c r="CK13" s="10">
        <v>238</v>
      </c>
      <c r="CL13" s="10">
        <v>22</v>
      </c>
      <c r="CM13" s="10">
        <v>180</v>
      </c>
      <c r="CN13" s="10">
        <v>0.45400000000000001</v>
      </c>
      <c r="CO13" s="10">
        <v>229</v>
      </c>
      <c r="CP13" s="10">
        <v>148</v>
      </c>
      <c r="CQ13" s="10">
        <v>9</v>
      </c>
      <c r="CR13" s="10">
        <v>10</v>
      </c>
      <c r="CS13" s="10">
        <v>11.3</v>
      </c>
      <c r="CT13" s="9" t="s">
        <v>169</v>
      </c>
      <c r="CU13" s="10"/>
      <c r="CV13" s="10"/>
      <c r="CW13" s="10"/>
      <c r="CX13" t="str">
        <f>INDEX('Data_Price '!AG$2:AG$1266,MATCH(Data!$DN13,'Data_Price '!$AT$2:$AT$1266,0))</f>
        <v>Head Kore 105 Skis Â· 2022</v>
      </c>
      <c r="CY13" t="str">
        <f>INDEX('Data_Price '!AH$2:AH$1266,MATCH(Data!$DN13,'Data_Price '!$AT$2:$AT$1266,0))</f>
        <v>Snowcountry.eu</v>
      </c>
      <c r="CZ13">
        <f>INDEX('Data_Price '!AI$2:AI$1266,MATCH(Data!$DN13,'Data_Price '!$AT$2:$AT$1266,0))</f>
        <v>450.88</v>
      </c>
      <c r="DA13" t="str">
        <f>INDEX('Data_Price '!AJ$2:AJ$1266,MATCH(Data!$DN13,'Data_Price '!$AT$2:$AT$1266,0))</f>
        <v>https://tinyurl.com/yabtjb6o</v>
      </c>
      <c r="DB13" t="str">
        <f>INDEX('Data_Price '!AK$2:AK$1266,MATCH(Data!$DN13,'Data_Price '!$AT$2:$AT$1266,0))</f>
        <v>Head Kore 105 Skis Â· 2022</v>
      </c>
      <c r="DC13" t="str">
        <f>INDEX('Data_Price '!AL$2:AL$1266,MATCH(Data!$DN13,'Data_Price '!$AT$2:$AT$1266,0))</f>
        <v>! OutdoorXL.com</v>
      </c>
      <c r="DD13">
        <f>INDEX('Data_Price '!AM$2:AM$1266,MATCH(Data!$DN13,'Data_Price '!$AT$2:$AT$1266,0))</f>
        <v>499.95</v>
      </c>
      <c r="DE13" t="str">
        <f>INDEX('Data_Price '!AN$2:AN$1266,MATCH(Data!$DN13,'Data_Price '!$AT$2:$AT$1266,0))</f>
        <v>https://tinyurl.com/ycopktyv</v>
      </c>
      <c r="DF13" t="str">
        <f>INDEX('Data_Price '!AO$2:AO$1266,MATCH(Data!$DN13,'Data_Price '!$AT$2:$AT$1266,0))</f>
        <v>Head Kore 105 Anth/Ge / 191cm</v>
      </c>
      <c r="DG13" t="str">
        <f>INDEX('Data_Price '!AP$2:AP$1266,MATCH(Data!$DN13,'Data_Price '!$AT$2:$AT$1266,0))</f>
        <v>Sundance Ski and Board Shop</v>
      </c>
      <c r="DH13">
        <f>INDEX('Data_Price '!AQ$2:AQ$1266,MATCH(Data!$DN13,'Data_Price '!$AT$2:$AT$1266,0))</f>
        <v>521.29</v>
      </c>
      <c r="DI13" t="str">
        <f>INDEX('Data_Price '!AR$2:AR$1266,MATCH(Data!$DN13,'Data_Price '!$AT$2:$AT$1266,0))</f>
        <v>https://tinyurl.com/y72shv7z</v>
      </c>
      <c r="DJ13" s="89" t="str">
        <f t="shared" si="32"/>
        <v>https://tinyurl.com/yabtjb6o</v>
      </c>
      <c r="DK13" s="89" t="str">
        <f t="shared" si="33"/>
        <v>https://tinyurl.com/ycopktyv</v>
      </c>
      <c r="DL13" s="89" t="str">
        <f t="shared" si="34"/>
        <v>https://tinyurl.com/y72shv7z</v>
      </c>
      <c r="DM13" s="219" t="str">
        <f t="shared" si="35"/>
        <v>Kore 105</v>
      </c>
      <c r="DN13" s="89" t="str">
        <f t="shared" si="36"/>
        <v xml:space="preserve"> HeadKore 105191 Unisex</v>
      </c>
      <c r="DO13" s="221" t="s">
        <v>170</v>
      </c>
    </row>
    <row r="14" spans="2:119" ht="15.6" customHeight="1">
      <c r="B14" s="219" t="b">
        <f t="array" ref="B14">IF(OR(ISERROR(K14:P14)),FALSE,TRUE)</f>
        <v>0</v>
      </c>
      <c r="C14" s="43" t="b">
        <f>OR(BR14=Driver!$G$50,Data!BR668=Driver!$H$50)</f>
        <v>1</v>
      </c>
      <c r="D14" s="43" t="b">
        <f>OR(BV14=Driver!$G$51,BV14=Driver!$H$51)</f>
        <v>1</v>
      </c>
      <c r="E14" s="43" t="b">
        <f>AND(BX14&gt;Driver!$F$54,BX14&lt;Driver!$G$54)</f>
        <v>0</v>
      </c>
      <c r="F14" s="43" t="b">
        <f>CL14&gt;Driver!$F$56</f>
        <v>1</v>
      </c>
      <c r="G14" s="43" t="b">
        <f>AND(CB14&gt;Driver!$F$55,CB14&lt;Driver!$G$55)</f>
        <v>0</v>
      </c>
      <c r="H14" s="43" t="b">
        <f t="shared" si="0"/>
        <v>0</v>
      </c>
      <c r="I14" s="43">
        <f t="shared" si="1"/>
        <v>0</v>
      </c>
      <c r="J14" s="43" t="b">
        <f t="array" ref="J14">NOT(OR(($H$9:$H$1273=TRUE)*($I$9:$I$1273&gt;0)*($BT$9:$BT$1273=BT14)*($K$9:$K$1273&gt;K14)))</f>
        <v>1</v>
      </c>
      <c r="K14" s="72" t="str">
        <f t="shared" si="2"/>
        <v/>
      </c>
      <c r="L14" s="72">
        <f t="shared" si="3"/>
        <v>0.78397251723409922</v>
      </c>
      <c r="M14" s="72" t="e">
        <f t="shared" si="4"/>
        <v>#VALUE!</v>
      </c>
      <c r="N14" s="72" t="e">
        <f t="shared" si="5"/>
        <v>#VALUE!</v>
      </c>
      <c r="O14" s="72" t="e">
        <f t="shared" si="6"/>
        <v>#VALUE!</v>
      </c>
      <c r="P14" s="72">
        <f t="shared" si="7"/>
        <v>0.5622259452304128</v>
      </c>
      <c r="Q14" s="72"/>
      <c r="R14" s="72"/>
      <c r="S14" s="72">
        <f t="shared" si="8"/>
        <v>0.92491657235714952</v>
      </c>
      <c r="T14" s="72" t="e">
        <f t="shared" si="9"/>
        <v>#VALUE!</v>
      </c>
      <c r="U14" s="72" t="e">
        <f t="shared" si="10"/>
        <v>#VALUE!</v>
      </c>
      <c r="V14" s="72">
        <f t="shared" si="11"/>
        <v>0.49006864712452658</v>
      </c>
      <c r="W14" s="72" t="e">
        <f t="shared" si="12"/>
        <v>#VALUE!</v>
      </c>
      <c r="X14" s="72">
        <f t="shared" si="13"/>
        <v>0.21602748276590081</v>
      </c>
      <c r="Y14" s="72" t="e">
        <f t="shared" si="14"/>
        <v>#VALUE!</v>
      </c>
      <c r="Z14" s="72" t="e">
        <f t="shared" si="15"/>
        <v>#VALUE!</v>
      </c>
      <c r="AA14" s="72" t="e">
        <f t="shared" si="16"/>
        <v>#VALUE!</v>
      </c>
      <c r="AB14" s="72">
        <f t="shared" si="17"/>
        <v>0.43777405476958714</v>
      </c>
      <c r="AC14" s="72"/>
      <c r="AD14" s="72"/>
      <c r="AE14" s="72">
        <f t="shared" si="18"/>
        <v>7.5083427642850475E-2</v>
      </c>
      <c r="AF14" s="72" t="e">
        <f t="shared" si="19"/>
        <v>#VALUE!</v>
      </c>
      <c r="AG14" s="72" t="e">
        <f t="shared" si="20"/>
        <v>#VALUE!</v>
      </c>
      <c r="AH14" s="72">
        <f t="shared" si="21"/>
        <v>0.50993135287547342</v>
      </c>
      <c r="AI14" s="72" t="e">
        <f t="shared" si="22"/>
        <v>#VALUE!</v>
      </c>
      <c r="AJ14" s="72">
        <f>(AV14-Driver!$K$179)/(Driver!$L$179-Driver!$K$179)</f>
        <v>3.8191926516799618E-2</v>
      </c>
      <c r="AK14" s="72">
        <f>(AW14-Driver!$K$180)/(Driver!$L$180-Driver!$K$180)</f>
        <v>0.62791485106233769</v>
      </c>
      <c r="AL14" s="72" t="e">
        <f>(AX14-Driver!$K$181)/(Driver!$L$181-Driver!$K$181)</f>
        <v>#VALUE!</v>
      </c>
      <c r="AM14" s="72" t="e">
        <f>(AY14-Driver!$K$182)/(Driver!$L$182-Driver!$K$182)</f>
        <v>#VALUE!</v>
      </c>
      <c r="AN14" s="72">
        <f>(AZ14-Driver!$K$183)/(Driver!$L$183-Driver!$K$183)</f>
        <v>0.69199346405228757</v>
      </c>
      <c r="AO14" s="72"/>
      <c r="AP14" s="72"/>
      <c r="AQ14" s="72">
        <f>(BC14-Driver!$K$188)/(Driver!$L$188-Driver!$K$188)</f>
        <v>0.69508342764285047</v>
      </c>
      <c r="AR14" s="72" t="e">
        <f>MIN((BD14-Driver!$K$189)/(Driver!$L$189-Driver!$K$189),100%)</f>
        <v>#VALUE!</v>
      </c>
      <c r="AS14" s="72" t="e">
        <f>(BE14-Driver!$K$190)/(Driver!$L$190-Driver!$K$190)</f>
        <v>#VALUE!</v>
      </c>
      <c r="AT14" s="72">
        <f>(BF14-Driver!$K$191)/(Driver!$L$191-Driver!$K$191)</f>
        <v>6.8647124526631582E-5</v>
      </c>
      <c r="AU14" s="72" t="e">
        <f>(BG14-Driver!$K$192)/(Driver!$L$192-Driver!$K$192)</f>
        <v>#VALUE!</v>
      </c>
      <c r="AV14" s="70">
        <f t="shared" si="23"/>
        <v>0.80382580382580393</v>
      </c>
      <c r="AW14" s="70">
        <f t="shared" si="24"/>
        <v>63.067758749069249</v>
      </c>
      <c r="AX14" s="70" t="str">
        <f t="shared" si="25"/>
        <v/>
      </c>
      <c r="AY14" s="70" t="str">
        <f>IFERROR(Driver!$K$19/Data!BH14/Data!BI14*Data!BK14*Data!BL14,"")</f>
        <v/>
      </c>
      <c r="AZ14" s="70">
        <f t="shared" si="26"/>
        <v>63.067758749069249</v>
      </c>
      <c r="BA14" s="70"/>
      <c r="BB14" s="70"/>
      <c r="BC14" s="70">
        <f t="shared" si="27"/>
        <v>360.54460605994086</v>
      </c>
      <c r="BD14" s="70" t="str">
        <f t="shared" si="28"/>
        <v/>
      </c>
      <c r="BE14" s="70" t="str">
        <f t="shared" si="29"/>
        <v/>
      </c>
      <c r="BF14" s="70">
        <f t="shared" si="30"/>
        <v>7.7532104419384684E-3</v>
      </c>
      <c r="BG14" s="70" t="str">
        <f t="shared" si="31"/>
        <v/>
      </c>
      <c r="BH14" s="67" t="e">
        <f>MAX((CE14-Driver!$F$200)/(Driver!$G$200-Driver!$F$200)*$BI$1,1)</f>
        <v>#VALUE!</v>
      </c>
      <c r="BI14" s="67">
        <f>MAX($BI$1*(BY14-Driver!$F$201)/(Driver!$G$201-Driver!$F$201),1)</f>
        <v>9.7468354430379751</v>
      </c>
      <c r="BJ14" s="67">
        <f>(CB14-Driver!$F$206)/(Driver!$G$206-Driver!$F$206)*$BI$1</f>
        <v>0.47619047619047616</v>
      </c>
      <c r="BK14" s="67">
        <f>(CD14-Driver!$F$203)/(Driver!$G$203-Driver!$F$203)*$BI$1</f>
        <v>3.9449541284403673</v>
      </c>
      <c r="BL14" s="67">
        <f>MAX((CR14-Driver!$F$202)/(Driver!$G$202-Driver!$F$202)*$BI$1,1)</f>
        <v>8.2758620689655178</v>
      </c>
      <c r="BM14" s="67">
        <f>MAX((CH14-Driver!$F$204)/(Driver!$G$204-Driver!$F$204)*$BI$1,1)</f>
        <v>6.752136752136753</v>
      </c>
      <c r="BN14" s="67">
        <f>(CI14-Driver!$F$205)/(Driver!$G$205-Driver!$F$205)*$BI$1</f>
        <v>6.4705882352941178</v>
      </c>
      <c r="BO14" s="67">
        <f>(CK14-Driver!$F$207)/(Driver!$G$207-Driver!$F$207)*$BI$1</f>
        <v>0.13443640124095141</v>
      </c>
      <c r="BP14" s="67">
        <f>(CM14-Driver!$F$208)/(Driver!$G$208-Driver!$F$208)*$BI$1</f>
        <v>0.4777777777777778</v>
      </c>
      <c r="BQ14" s="67">
        <f>(CL14-Driver!$F$209)/(Driver!$G$209-Driver!$F$209)*$BI$1</f>
        <v>0.46875</v>
      </c>
      <c r="BR14" s="28" t="s">
        <v>155</v>
      </c>
      <c r="BS14" s="8" t="s">
        <v>167</v>
      </c>
      <c r="BT14" s="9" t="s">
        <v>171</v>
      </c>
      <c r="BU14" s="10">
        <v>180</v>
      </c>
      <c r="BV14" s="9" t="s">
        <v>158</v>
      </c>
      <c r="BW14" s="10">
        <v>180</v>
      </c>
      <c r="BX14" s="10">
        <v>179</v>
      </c>
      <c r="BY14" s="10">
        <v>162</v>
      </c>
      <c r="BZ14" s="10">
        <v>170</v>
      </c>
      <c r="CA14" s="10">
        <v>116</v>
      </c>
      <c r="CB14" s="10">
        <v>67</v>
      </c>
      <c r="CC14" s="10">
        <v>98</v>
      </c>
      <c r="CD14" s="10">
        <v>18</v>
      </c>
      <c r="CE14" s="9" t="s">
        <v>159</v>
      </c>
      <c r="CF14" s="9" t="s">
        <v>159</v>
      </c>
      <c r="CG14" s="10">
        <v>1456</v>
      </c>
      <c r="CH14" s="10">
        <v>259</v>
      </c>
      <c r="CI14" s="10">
        <v>143</v>
      </c>
      <c r="CJ14" s="10">
        <v>31</v>
      </c>
      <c r="CK14" s="10">
        <v>123</v>
      </c>
      <c r="CL14" s="10">
        <v>3</v>
      </c>
      <c r="CM14" s="10">
        <v>43</v>
      </c>
      <c r="CN14" s="10">
        <v>0.09</v>
      </c>
      <c r="CO14" s="10">
        <v>59</v>
      </c>
      <c r="CP14" s="10">
        <v>33</v>
      </c>
      <c r="CQ14" s="10">
        <v>63</v>
      </c>
      <c r="CR14" s="10">
        <v>13</v>
      </c>
      <c r="CS14" s="10">
        <v>13.3</v>
      </c>
      <c r="CT14" s="9" t="s">
        <v>160</v>
      </c>
      <c r="CU14" s="10"/>
      <c r="CV14" s="10"/>
      <c r="CW14" s="10"/>
      <c r="CX14" t="str">
        <f>INDEX('Data_Price '!AG$2:AG$1266,MATCH(Data!$DN14,'Data_Price '!$AT$2:$AT$1266,0))</f>
        <v>Head Worldcup Rebels eSPEED Pro Skis 2021</v>
      </c>
      <c r="CY14" t="str">
        <f>INDEX('Data_Price '!AH$2:AH$1266,MATCH(Data!$DN14,'Data_Price '!$AT$2:$AT$1266,0))</f>
        <v>eBay - gloliquidation</v>
      </c>
      <c r="CZ14">
        <f>INDEX('Data_Price '!AI$2:AI$1266,MATCH(Data!$DN14,'Data_Price '!$AT$2:$AT$1266,0))</f>
        <v>590</v>
      </c>
      <c r="DA14" t="str">
        <f>INDEX('Data_Price '!AJ$2:AJ$1266,MATCH(Data!$DN14,'Data_Price '!$AT$2:$AT$1266,0))</f>
        <v>https://tinyurl.com/y8fy9bdl</v>
      </c>
      <c r="DB14" t="str">
        <f>INDEX('Data_Price '!AK$2:AK$1266,MATCH(Data!$DN14,'Data_Price '!$AT$2:$AT$1266,0))</f>
        <v>Head WC Rebels e-Speed SW Pro RP WCR14 Yellow Black / 180cm</v>
      </c>
      <c r="DC14" t="str">
        <f>INDEX('Data_Price '!AL$2:AL$1266,MATCH(Data!$DN14,'Data_Price '!$AT$2:$AT$1266,0))</f>
        <v>Sundance Ski and Board Shop</v>
      </c>
      <c r="DD14">
        <f>INDEX('Data_Price '!AM$2:AM$1266,MATCH(Data!$DN14,'Data_Price '!$AT$2:$AT$1266,0))</f>
        <v>641.59</v>
      </c>
      <c r="DE14" t="str">
        <f>INDEX('Data_Price '!AN$2:AN$1266,MATCH(Data!$DN14,'Data_Price '!$AT$2:$AT$1266,0))</f>
        <v>https://tinyurl.com/yb5s2j67</v>
      </c>
      <c r="DF14" t="str">
        <f>INDEX('Data_Price '!AO$2:AO$1266,MATCH(Data!$DN14,'Data_Price '!$AT$2:$AT$1266,0))</f>
        <v>Head Worldcup Rebels eSPEED Pro Skis 2021</v>
      </c>
      <c r="DG14" t="str">
        <f>INDEX('Data_Price '!AP$2:AP$1266,MATCH(Data!$DN14,'Data_Price '!$AT$2:$AT$1266,0))</f>
        <v>Suburban Ski and Bike</v>
      </c>
      <c r="DH14">
        <f>INDEX('Data_Price '!AQ$2:AQ$1266,MATCH(Data!$DN14,'Data_Price '!$AT$2:$AT$1266,0))</f>
        <v>669.99</v>
      </c>
      <c r="DI14" t="str">
        <f>INDEX('Data_Price '!AR$2:AR$1266,MATCH(Data!$DN14,'Data_Price '!$AT$2:$AT$1266,0))</f>
        <v>https://tinyurl.com/yafu7259</v>
      </c>
      <c r="DJ14" s="89" t="str">
        <f t="shared" si="32"/>
        <v>https://tinyurl.com/y8fy9bdl</v>
      </c>
      <c r="DK14" s="89" t="str">
        <f t="shared" si="33"/>
        <v>https://tinyurl.com/yb5s2j67</v>
      </c>
      <c r="DL14" s="89" t="str">
        <f t="shared" si="34"/>
        <v>https://tinyurl.com/yafu7259</v>
      </c>
      <c r="DM14" s="219" t="str">
        <f t="shared" si="35"/>
        <v>Worldcup Rebels e-Speed Pro</v>
      </c>
      <c r="DN14" s="89" t="str">
        <f t="shared" si="36"/>
        <v xml:space="preserve"> HeadWorldcup Rebels e-Speed Pro180 Unisex</v>
      </c>
      <c r="DO14" s="221"/>
    </row>
    <row r="15" spans="2:119" ht="15.6" customHeight="1">
      <c r="B15" s="219" t="b">
        <f t="array" ref="B15">IF(OR(ISERROR(K15:P15)),FALSE,TRUE)</f>
        <v>0</v>
      </c>
      <c r="C15" s="43" t="b">
        <f>OR(BR15=Driver!$G$50,Data!BR1022=Driver!$H$50)</f>
        <v>1</v>
      </c>
      <c r="D15" s="43" t="b">
        <f>OR(BV15=Driver!$G$51,BV15=Driver!$H$51)</f>
        <v>1</v>
      </c>
      <c r="E15" s="43" t="b">
        <f>AND(BX15&gt;Driver!$F$54,BX15&lt;Driver!$G$54)</f>
        <v>0</v>
      </c>
      <c r="F15" s="43" t="b">
        <f>CL15&gt;Driver!$F$56</f>
        <v>1</v>
      </c>
      <c r="G15" s="43" t="b">
        <f>AND(CB15&gt;Driver!$F$55,CB15&lt;Driver!$G$55)</f>
        <v>0</v>
      </c>
      <c r="H15" s="43" t="b">
        <f t="shared" si="0"/>
        <v>0</v>
      </c>
      <c r="I15" s="43">
        <f t="shared" si="1"/>
        <v>0</v>
      </c>
      <c r="J15" s="43" t="b">
        <f t="array" ref="J15">NOT(OR(($H$9:$H$1273=TRUE)*($I$9:$I$1273&gt;0)*($BT$9:$BT$1273=BT15)*($K$9:$K$1273&gt;K15)))</f>
        <v>1</v>
      </c>
      <c r="K15" s="72" t="str">
        <f t="shared" si="2"/>
        <v/>
      </c>
      <c r="L15" s="72">
        <f t="shared" si="3"/>
        <v>0.87284529138606115</v>
      </c>
      <c r="M15" s="72" t="e">
        <f t="shared" si="4"/>
        <v>#VALUE!</v>
      </c>
      <c r="N15" s="72" t="e">
        <f t="shared" si="5"/>
        <v>#VALUE!</v>
      </c>
      <c r="O15" s="72" t="e">
        <f t="shared" si="6"/>
        <v>#VALUE!</v>
      </c>
      <c r="P15" s="72">
        <f t="shared" si="7"/>
        <v>0.86206254653760239</v>
      </c>
      <c r="Q15" s="72"/>
      <c r="R15" s="72"/>
      <c r="S15" s="72">
        <f t="shared" si="8"/>
        <v>0.45644153988348612</v>
      </c>
      <c r="T15" s="72" t="e">
        <f t="shared" si="9"/>
        <v>#VALUE!</v>
      </c>
      <c r="U15" s="72" t="e">
        <f t="shared" si="10"/>
        <v>#VALUE!</v>
      </c>
      <c r="V15" s="72">
        <f t="shared" si="11"/>
        <v>0.51965321088526462</v>
      </c>
      <c r="W15" s="72" t="e">
        <f t="shared" si="12"/>
        <v>#VALUE!</v>
      </c>
      <c r="X15" s="72">
        <f t="shared" si="13"/>
        <v>0.12715470861393885</v>
      </c>
      <c r="Y15" s="72" t="e">
        <f t="shared" si="14"/>
        <v>#VALUE!</v>
      </c>
      <c r="Z15" s="72" t="e">
        <f t="shared" si="15"/>
        <v>#VALUE!</v>
      </c>
      <c r="AA15" s="72" t="e">
        <f t="shared" si="16"/>
        <v>#VALUE!</v>
      </c>
      <c r="AB15" s="72">
        <f t="shared" si="17"/>
        <v>0.13793745346239761</v>
      </c>
      <c r="AC15" s="72"/>
      <c r="AD15" s="72"/>
      <c r="AE15" s="72">
        <f t="shared" si="18"/>
        <v>0.54355846011651388</v>
      </c>
      <c r="AF15" s="72" t="e">
        <f t="shared" si="19"/>
        <v>#VALUE!</v>
      </c>
      <c r="AG15" s="72" t="e">
        <f t="shared" si="20"/>
        <v>#VALUE!</v>
      </c>
      <c r="AH15" s="72">
        <f t="shared" si="21"/>
        <v>0.48034678911473538</v>
      </c>
      <c r="AI15" s="72" t="e">
        <f t="shared" si="22"/>
        <v>#VALUE!</v>
      </c>
      <c r="AJ15" s="72">
        <f>(AV15-Driver!$K$179)/(Driver!$L$179-Driver!$K$179)</f>
        <v>0.12706470066876158</v>
      </c>
      <c r="AK15" s="72">
        <f>(AW15-Driver!$K$180)/(Driver!$L$180-Driver!$K$180)</f>
        <v>0.3475208482350155</v>
      </c>
      <c r="AL15" s="72" t="e">
        <f>(AX15-Driver!$K$181)/(Driver!$L$181-Driver!$K$181)</f>
        <v>#VALUE!</v>
      </c>
      <c r="AM15" s="72" t="e">
        <f>(AY15-Driver!$K$182)/(Driver!$L$182-Driver!$K$182)</f>
        <v>#VALUE!</v>
      </c>
      <c r="AN15" s="72">
        <f>(AZ15-Driver!$K$183)/(Driver!$L$183-Driver!$K$183)</f>
        <v>0.39215686274509803</v>
      </c>
      <c r="AO15" s="72"/>
      <c r="AP15" s="72"/>
      <c r="AQ15" s="72">
        <f>(BC15-Driver!$K$188)/(Driver!$L$188-Driver!$K$188)</f>
        <v>7.6441539883486079E-2</v>
      </c>
      <c r="AR15" s="72" t="e">
        <f>MIN((BD15-Driver!$K$189)/(Driver!$L$189-Driver!$K$189),100%)</f>
        <v>#VALUE!</v>
      </c>
      <c r="AS15" s="72" t="e">
        <f>(BE15-Driver!$K$190)/(Driver!$L$190-Driver!$K$190)</f>
        <v>#VALUE!</v>
      </c>
      <c r="AT15" s="72">
        <f>(BF15-Driver!$K$191)/(Driver!$L$191-Driver!$K$191)</f>
        <v>2.9653210885264614E-2</v>
      </c>
      <c r="AU15" s="72" t="e">
        <f>(BG15-Driver!$K$192)/(Driver!$L$192-Driver!$K$192)</f>
        <v>#VALUE!</v>
      </c>
      <c r="AV15" s="70">
        <f t="shared" si="23"/>
        <v>2.6743318409985077</v>
      </c>
      <c r="AW15" s="70">
        <f t="shared" si="24"/>
        <v>35.740878629932986</v>
      </c>
      <c r="AX15" s="70" t="str">
        <f t="shared" si="25"/>
        <v/>
      </c>
      <c r="AY15" s="70" t="str">
        <f>IFERROR(Driver!$K$19/Data!BH15/Data!BI15*Data!BK15*Data!BL15,"")</f>
        <v/>
      </c>
      <c r="AZ15" s="70">
        <f t="shared" si="26"/>
        <v>35.740878629932986</v>
      </c>
      <c r="BA15" s="70"/>
      <c r="BB15" s="70"/>
      <c r="BC15" s="70">
        <f t="shared" si="27"/>
        <v>39.650758150528077</v>
      </c>
      <c r="BD15" s="70" t="str">
        <f t="shared" si="28"/>
        <v/>
      </c>
      <c r="BE15" s="70" t="str">
        <f t="shared" si="29"/>
        <v/>
      </c>
      <c r="BF15" s="70">
        <f t="shared" si="30"/>
        <v>3.3491218438937622</v>
      </c>
      <c r="BG15" s="70" t="str">
        <f t="shared" si="31"/>
        <v/>
      </c>
      <c r="BH15" s="67" t="e">
        <f>MAX((" "-Driver!$F$200)/(Driver!$G$200-Driver!$F$200)*$BI$1,1)</f>
        <v>#VALUE!</v>
      </c>
      <c r="BI15" s="67">
        <f>MAX($BI$1*(BY15-Driver!$F$201)/(Driver!$G$201-Driver!$F$201),1)</f>
        <v>7.5949367088607591</v>
      </c>
      <c r="BJ15" s="67">
        <f>(CB15-Driver!$F$206)/(Driver!$G$206-Driver!$F$206)*$BI$1</f>
        <v>3.0158730158730158</v>
      </c>
      <c r="BK15" s="67">
        <f>(CD15-Driver!$F$203)/(Driver!$G$203-Driver!$F$203)*$BI$1</f>
        <v>1.9266055045871557</v>
      </c>
      <c r="BL15" s="67">
        <f>MAX((CR15-Driver!$F$202)/(Driver!$G$202-Driver!$F$202)*$BI$1,1)</f>
        <v>7.5862068965517242</v>
      </c>
      <c r="BM15" s="67">
        <f>MAX((CH15-Driver!$F$204)/(Driver!$G$204-Driver!$F$204)*$BI$1,1)</f>
        <v>3.5470085470085473</v>
      </c>
      <c r="BN15" s="67">
        <f>(CI15-Driver!$F$205)/(Driver!$G$205-Driver!$F$205)*$BI$1</f>
        <v>4.7058823529411766</v>
      </c>
      <c r="BO15" s="67">
        <f>(CK15-Driver!$F$207)/(Driver!$G$207-Driver!$F$207)*$BI$1</f>
        <v>1.4477766287487073</v>
      </c>
      <c r="BP15" s="67">
        <f>(CM15-Driver!$F$208)/(Driver!$G$208-Driver!$F$208)*$BI$1</f>
        <v>1.4777777777777779</v>
      </c>
      <c r="BQ15" s="67">
        <f>(CL15-Driver!$F$209)/(Driver!$G$209-Driver!$F$209)*$BI$1</f>
        <v>2.1875</v>
      </c>
      <c r="BR15" s="28" t="s">
        <v>155</v>
      </c>
      <c r="BS15" s="8" t="s">
        <v>172</v>
      </c>
      <c r="BT15" s="9" t="s">
        <v>173</v>
      </c>
      <c r="BU15" s="10">
        <v>167</v>
      </c>
      <c r="BV15" s="9" t="s">
        <v>158</v>
      </c>
      <c r="BW15" s="10">
        <v>167</v>
      </c>
      <c r="BX15" s="10">
        <v>166.4</v>
      </c>
      <c r="BY15" s="10">
        <v>128</v>
      </c>
      <c r="BZ15" s="10">
        <v>152</v>
      </c>
      <c r="CA15" s="10">
        <v>131</v>
      </c>
      <c r="CB15" s="10">
        <v>83</v>
      </c>
      <c r="CC15" s="10">
        <v>119</v>
      </c>
      <c r="CD15" s="10">
        <v>13.6</v>
      </c>
      <c r="CE15" s="9" t="s">
        <v>159</v>
      </c>
      <c r="CF15" s="9" t="s">
        <v>159</v>
      </c>
      <c r="CG15" s="10">
        <v>1643</v>
      </c>
      <c r="CH15" s="10">
        <v>184</v>
      </c>
      <c r="CI15" s="10">
        <v>113</v>
      </c>
      <c r="CJ15" s="10">
        <v>47</v>
      </c>
      <c r="CK15" s="10">
        <v>250</v>
      </c>
      <c r="CL15" s="10">
        <v>14</v>
      </c>
      <c r="CM15" s="10">
        <v>133</v>
      </c>
      <c r="CN15" s="10">
        <v>0.30399999999999999</v>
      </c>
      <c r="CO15" s="10">
        <v>82</v>
      </c>
      <c r="CP15" s="10">
        <v>64</v>
      </c>
      <c r="CQ15" s="10">
        <v>168</v>
      </c>
      <c r="CR15" s="10">
        <v>11</v>
      </c>
      <c r="CS15" s="10">
        <v>6.9</v>
      </c>
      <c r="CT15" s="9" t="s">
        <v>160</v>
      </c>
      <c r="CU15" s="10"/>
      <c r="CV15" s="10"/>
      <c r="CW15" s="10"/>
      <c r="CX15" t="str">
        <f>INDEX('Data_Price '!AG$2:AG$1266,MATCH(Data!$DN15,'Data_Price '!$AT$2:$AT$1266,0))</f>
        <v>Rossignol Experience 86 Ti Black 167 Ski Men</v>
      </c>
      <c r="CY15" t="str">
        <f>INDEX('Data_Price '!AH$2:AH$1266,MATCH(Data!$DN15,'Data_Price '!$AT$2:$AT$1266,0))</f>
        <v>! OutdoorXL.com</v>
      </c>
      <c r="CZ15">
        <f>INDEX('Data_Price '!AI$2:AI$1266,MATCH(Data!$DN15,'Data_Price '!$AT$2:$AT$1266,0))</f>
        <v>564.95000000000005</v>
      </c>
      <c r="DA15" t="str">
        <f>INDEX('Data_Price '!AJ$2:AJ$1266,MATCH(Data!$DN15,'Data_Price '!$AT$2:$AT$1266,0))</f>
        <v>https://tinyurl.com/y7k98py8</v>
      </c>
      <c r="DB15" t="str">
        <f>INDEX('Data_Price '!AK$2:AK$1266,MATCH(Data!$DN15,'Data_Price '!$AT$2:$AT$1266,0))</f>
        <v>2022 Rossignol Experience 86 Ti Demo Skis w/ Look SPX 14 GW Demo Bindings - 167| Ski Essentials</v>
      </c>
      <c r="DC15" t="str">
        <f>INDEX('Data_Price '!AL$2:AL$1266,MATCH(Data!$DN15,'Data_Price '!$AT$2:$AT$1266,0))</f>
        <v>SkiEssentials.com</v>
      </c>
      <c r="DD15">
        <f>INDEX('Data_Price '!AM$2:AM$1266,MATCH(Data!$DN15,'Data_Price '!$AT$2:$AT$1266,0))</f>
        <v>599</v>
      </c>
      <c r="DE15" t="str">
        <f>INDEX('Data_Price '!AN$2:AN$1266,MATCH(Data!$DN15,'Data_Price '!$AT$2:$AT$1266,0))</f>
        <v>https://tinyurl.com/y84e4qyl</v>
      </c>
      <c r="DF15" t="str">
        <f>INDEX('Data_Price '!AO$2:AO$1266,MATCH(Data!$DN15,'Data_Price '!$AT$2:$AT$1266,0))</f>
        <v>Rossignol Experience 86 Ti Skis 167cm 2022</v>
      </c>
      <c r="DG15" t="str">
        <f>INDEX('Data_Price '!AP$2:AP$1266,MATCH(Data!$DN15,'Data_Price '!$AT$2:$AT$1266,0))</f>
        <v>Aspen Ski and Board</v>
      </c>
      <c r="DH15">
        <f>INDEX('Data_Price '!AQ$2:AQ$1266,MATCH(Data!$DN15,'Data_Price '!$AT$2:$AT$1266,0))</f>
        <v>639.95000000000005</v>
      </c>
      <c r="DI15" t="str">
        <f>INDEX('Data_Price '!AR$2:AR$1266,MATCH(Data!$DN15,'Data_Price '!$AT$2:$AT$1266,0))</f>
        <v>https://tinyurl.com/y8h9zaa6</v>
      </c>
      <c r="DJ15" s="89" t="str">
        <f t="shared" si="32"/>
        <v>https://tinyurl.com/y7k98py8</v>
      </c>
      <c r="DK15" s="89" t="str">
        <f t="shared" si="33"/>
        <v>https://tinyurl.com/y84e4qyl</v>
      </c>
      <c r="DL15" s="89" t="str">
        <f t="shared" si="34"/>
        <v>https://tinyurl.com/y8h9zaa6</v>
      </c>
      <c r="DM15" s="219" t="str">
        <f t="shared" si="35"/>
        <v>Experience 86 Ti</v>
      </c>
      <c r="DN15" s="89" t="str">
        <f t="shared" si="36"/>
        <v xml:space="preserve"> RossignolExperience 86 Ti167 Unisex</v>
      </c>
      <c r="DO15" s="221"/>
    </row>
    <row r="16" spans="2:119" ht="15.6" customHeight="1">
      <c r="B16" s="219" t="b">
        <f t="array" ref="B16">IF(OR(ISERROR(K16:P16)),FALSE,TRUE)</f>
        <v>0</v>
      </c>
      <c r="C16" s="43" t="b">
        <f>OR(BR16=Driver!$G$50,Data!BR1082=Driver!$H$50)</f>
        <v>1</v>
      </c>
      <c r="D16" s="43" t="b">
        <f>OR(BV16=Driver!$G$51,BV16=Driver!$H$51)</f>
        <v>0</v>
      </c>
      <c r="E16" s="43" t="b">
        <f>AND(BX16&gt;Driver!$F$54,BX16&lt;Driver!$G$54)</f>
        <v>1</v>
      </c>
      <c r="F16" s="43" t="b">
        <f>CL16&gt;Driver!$F$56</f>
        <v>1</v>
      </c>
      <c r="G16" s="43" t="b">
        <f>AND(CB16&gt;Driver!$F$55,CB16&lt;Driver!$G$55)</f>
        <v>0</v>
      </c>
      <c r="H16" s="43" t="b">
        <f t="shared" si="0"/>
        <v>0</v>
      </c>
      <c r="I16" s="43">
        <f t="shared" si="1"/>
        <v>0</v>
      </c>
      <c r="J16" s="43" t="b">
        <f t="array" ref="J16">NOT(OR(($H$9:$H$1273=TRUE)*($I$9:$I$1273&gt;0)*($BT$9:$BT$1273=BT16)*($K$9:$K$1273&gt;K16)))</f>
        <v>1</v>
      </c>
      <c r="K16" s="72" t="str">
        <f t="shared" si="2"/>
        <v/>
      </c>
      <c r="L16" s="72">
        <f t="shared" si="3"/>
        <v>0.99233606569917043</v>
      </c>
      <c r="M16" s="72" t="e">
        <f t="shared" si="4"/>
        <v>#VALUE!</v>
      </c>
      <c r="N16" s="72" t="e">
        <f t="shared" si="5"/>
        <v>#VALUE!</v>
      </c>
      <c r="O16" s="72" t="e">
        <f t="shared" si="6"/>
        <v>#VALUE!</v>
      </c>
      <c r="P16" s="72">
        <f t="shared" si="7"/>
        <v>0.97938280797551092</v>
      </c>
      <c r="Q16" s="72"/>
      <c r="R16" s="72"/>
      <c r="S16" s="72">
        <f t="shared" si="8"/>
        <v>0.42004806331384092</v>
      </c>
      <c r="T16" s="72" t="e">
        <f t="shared" si="9"/>
        <v>#VALUE!</v>
      </c>
      <c r="U16" s="72" t="e">
        <f t="shared" si="10"/>
        <v>#VALUE!</v>
      </c>
      <c r="V16" s="72">
        <f t="shared" si="11"/>
        <v>0.55363647116374748</v>
      </c>
      <c r="W16" s="72" t="e">
        <f t="shared" si="12"/>
        <v>#VALUE!</v>
      </c>
      <c r="X16" s="72">
        <f t="shared" si="13"/>
        <v>7.6639343008295668E-3</v>
      </c>
      <c r="Y16" s="72" t="e">
        <f t="shared" si="14"/>
        <v>#VALUE!</v>
      </c>
      <c r="Z16" s="72" t="e">
        <f t="shared" si="15"/>
        <v>#VALUE!</v>
      </c>
      <c r="AA16" s="72" t="e">
        <f t="shared" si="16"/>
        <v>#VALUE!</v>
      </c>
      <c r="AB16" s="72">
        <f t="shared" si="17"/>
        <v>2.0617192024489139E-2</v>
      </c>
      <c r="AC16" s="72"/>
      <c r="AD16" s="72"/>
      <c r="AE16" s="72">
        <f t="shared" si="18"/>
        <v>0.57995193668615908</v>
      </c>
      <c r="AF16" s="72" t="e">
        <f t="shared" si="19"/>
        <v>#VALUE!</v>
      </c>
      <c r="AG16" s="72" t="e">
        <f t="shared" si="20"/>
        <v>#VALUE!</v>
      </c>
      <c r="AH16" s="72">
        <f t="shared" si="21"/>
        <v>0.44636352883625252</v>
      </c>
      <c r="AI16" s="72" t="e">
        <f t="shared" si="22"/>
        <v>#VALUE!</v>
      </c>
      <c r="AJ16" s="72">
        <f>(AV16-Driver!$K$179)/(Driver!$L$179-Driver!$K$179)</f>
        <v>0.24655547498187086</v>
      </c>
      <c r="AK16" s="72">
        <f>(AW16-Driver!$K$180)/(Driver!$L$180-Driver!$K$180)</f>
        <v>0.2378080994448154</v>
      </c>
      <c r="AL16" s="72" t="e">
        <f>(AX16-Driver!$K$181)/(Driver!$L$181-Driver!$K$181)</f>
        <v>#VALUE!</v>
      </c>
      <c r="AM16" s="72" t="e">
        <f>(AY16-Driver!$K$182)/(Driver!$L$182-Driver!$K$182)</f>
        <v>#VALUE!</v>
      </c>
      <c r="AN16" s="72">
        <f>(AZ16-Driver!$K$183)/(Driver!$L$183-Driver!$K$183)</f>
        <v>0.27483660130718957</v>
      </c>
      <c r="AO16" s="72"/>
      <c r="AP16" s="72"/>
      <c r="AQ16" s="72">
        <f>(BC16-Driver!$K$188)/(Driver!$L$188-Driver!$K$188)</f>
        <v>4.0048063313840948E-2</v>
      </c>
      <c r="AR16" s="72" t="e">
        <f>MIN((BD16-Driver!$K$189)/(Driver!$L$189-Driver!$K$189),100%)</f>
        <v>#VALUE!</v>
      </c>
      <c r="AS16" s="72" t="e">
        <f>(BE16-Driver!$K$190)/(Driver!$L$190-Driver!$K$190)</f>
        <v>#VALUE!</v>
      </c>
      <c r="AT16" s="72">
        <f>(BF16-Driver!$K$191)/(Driver!$L$191-Driver!$K$191)</f>
        <v>6.3636471163747516E-2</v>
      </c>
      <c r="AU16" s="72" t="e">
        <f>(BG16-Driver!$K$192)/(Driver!$L$192-Driver!$K$192)</f>
        <v>#VALUE!</v>
      </c>
      <c r="AV16" s="70">
        <f t="shared" si="23"/>
        <v>5.1892551892551886</v>
      </c>
      <c r="AW16" s="70">
        <f t="shared" si="24"/>
        <v>25.048399106478037</v>
      </c>
      <c r="AX16" s="70" t="str">
        <f t="shared" si="25"/>
        <v/>
      </c>
      <c r="AY16" s="70" t="str">
        <f>IFERROR(Driver!$K$19/Data!BH16/Data!BI16*Data!BK16*Data!BL16,"")</f>
        <v/>
      </c>
      <c r="AZ16" s="70">
        <f t="shared" si="26"/>
        <v>25.048399106478037</v>
      </c>
      <c r="BA16" s="70"/>
      <c r="BB16" s="70"/>
      <c r="BC16" s="70">
        <f t="shared" si="27"/>
        <v>20.773208850508656</v>
      </c>
      <c r="BD16" s="70" t="str">
        <f t="shared" si="28"/>
        <v/>
      </c>
      <c r="BE16" s="70" t="str">
        <f t="shared" si="29"/>
        <v/>
      </c>
      <c r="BF16" s="70">
        <f t="shared" si="30"/>
        <v>7.1872923464328728</v>
      </c>
      <c r="BG16" s="70" t="str">
        <f t="shared" si="31"/>
        <v/>
      </c>
      <c r="BH16" s="67" t="e">
        <f>MAX((CE16-Driver!$F$200)/(Driver!$G$200-Driver!$F$200)*$BI$1,1)</f>
        <v>#VALUE!</v>
      </c>
      <c r="BI16" s="67">
        <f>MAX($BI$1*(BY16-Driver!$F$201)/(Driver!$G$201-Driver!$F$201),1)</f>
        <v>7.3417721518987342</v>
      </c>
      <c r="BJ16" s="67">
        <f>(CB16-Driver!$F$206)/(Driver!$G$206-Driver!$F$206)*$BI$1</f>
        <v>5.3968253968253963</v>
      </c>
      <c r="BK16" s="67">
        <f>(CD16-Driver!$F$203)/(Driver!$G$203-Driver!$F$203)*$BI$1</f>
        <v>1.9266055045871557</v>
      </c>
      <c r="BL16" s="67">
        <f>MAX((CR16-Driver!$F$202)/(Driver!$G$202-Driver!$F$202)*$BI$1,1)</f>
        <v>7.2413793103448274</v>
      </c>
      <c r="BM16" s="67">
        <f>MAX((CH16-Driver!$F$204)/(Driver!$G$204-Driver!$F$204)*$BI$1,1)</f>
        <v>3.8461538461538463</v>
      </c>
      <c r="BN16" s="67">
        <f>(CI16-Driver!$F$205)/(Driver!$G$205-Driver!$F$205)*$BI$1</f>
        <v>3.4117647058823533</v>
      </c>
      <c r="BO16" s="67">
        <f>(CK16-Driver!$F$207)/(Driver!$G$207-Driver!$F$207)*$BI$1</f>
        <v>1.1375387797311272</v>
      </c>
      <c r="BP16" s="67">
        <f>(CM16-Driver!$F$208)/(Driver!$G$208-Driver!$F$208)*$BI$1</f>
        <v>2.2555555555555555</v>
      </c>
      <c r="BQ16" s="67">
        <f>(CL16-Driver!$F$209)/(Driver!$G$209-Driver!$F$209)*$BI$1</f>
        <v>3.4375</v>
      </c>
      <c r="BR16" s="28" t="s">
        <v>155</v>
      </c>
      <c r="BS16" s="8" t="s">
        <v>174</v>
      </c>
      <c r="BT16" s="9" t="s">
        <v>175</v>
      </c>
      <c r="BU16" s="10">
        <v>167</v>
      </c>
      <c r="BV16" s="9" t="s">
        <v>163</v>
      </c>
      <c r="BW16" s="10">
        <v>167</v>
      </c>
      <c r="BX16" s="10">
        <v>165.8</v>
      </c>
      <c r="BY16" s="10">
        <v>124</v>
      </c>
      <c r="BZ16" s="10">
        <v>129</v>
      </c>
      <c r="CA16" s="10">
        <v>134</v>
      </c>
      <c r="CB16" s="10">
        <v>98</v>
      </c>
      <c r="CC16" s="10">
        <v>116</v>
      </c>
      <c r="CD16" s="10">
        <v>13.6</v>
      </c>
      <c r="CE16" s="9" t="s">
        <v>159</v>
      </c>
      <c r="CF16" s="9" t="s">
        <v>159</v>
      </c>
      <c r="CG16" s="10">
        <v>1829</v>
      </c>
      <c r="CH16" s="10">
        <v>191</v>
      </c>
      <c r="CI16" s="10">
        <v>91</v>
      </c>
      <c r="CJ16" s="10">
        <v>52</v>
      </c>
      <c r="CK16" s="10">
        <v>220</v>
      </c>
      <c r="CL16" s="10">
        <v>22</v>
      </c>
      <c r="CM16" s="10">
        <v>203</v>
      </c>
      <c r="CN16" s="10">
        <v>0.41799999999999998</v>
      </c>
      <c r="CO16" s="10">
        <v>218</v>
      </c>
      <c r="CP16" s="10">
        <v>145</v>
      </c>
      <c r="CQ16" s="10">
        <v>2</v>
      </c>
      <c r="CR16" s="10">
        <v>10</v>
      </c>
      <c r="CS16" s="10">
        <v>9.3000000000000007</v>
      </c>
      <c r="CT16" s="9" t="s">
        <v>160</v>
      </c>
      <c r="CU16" s="10"/>
      <c r="CV16" s="10"/>
      <c r="CW16" s="10"/>
      <c r="CX16" t="str">
        <f>INDEX('Data_Price '!AG$2:AG$1266,MATCH(Data!$DN16,'Data_Price '!$AT$2:$AT$1266,0))</f>
        <v>Salomon Qst Lumen 99 Skis 2021 &amp; Warden 11 Bindings 167cm Womens</v>
      </c>
      <c r="CY16" t="str">
        <f>INDEX('Data_Price '!AH$2:AH$1266,MATCH(Data!$DN16,'Data_Price '!$AT$2:$AT$1266,0))</f>
        <v>eBay - suburbansports</v>
      </c>
      <c r="CZ16">
        <f>INDEX('Data_Price '!AI$2:AI$1266,MATCH(Data!$DN16,'Data_Price '!$AT$2:$AT$1266,0))</f>
        <v>469.99</v>
      </c>
      <c r="DA16" t="str">
        <f>INDEX('Data_Price '!AJ$2:AJ$1266,MATCH(Data!$DN16,'Data_Price '!$AT$2:$AT$1266,0))</f>
        <v>https://tinyurl.com/yaghz5cw</v>
      </c>
      <c r="DB16" t="str">
        <f>INDEX('Data_Price '!AK$2:AK$1266,MATCH(Data!$DN16,'Data_Price '!$AT$2:$AT$1266,0))</f>
        <v>Salomon QST Lumen 99 Skis - Women's 2022</v>
      </c>
      <c r="DC16" t="str">
        <f>INDEX('Data_Price '!AL$2:AL$1266,MATCH(Data!$DN16,'Data_Price '!$AT$2:$AT$1266,0))</f>
        <v>evo.com</v>
      </c>
      <c r="DD16">
        <f>INDEX('Data_Price '!AM$2:AM$1266,MATCH(Data!$DN16,'Data_Price '!$AT$2:$AT$1266,0))</f>
        <v>479.99</v>
      </c>
      <c r="DE16" t="str">
        <f>INDEX('Data_Price '!AN$2:AN$1266,MATCH(Data!$DN16,'Data_Price '!$AT$2:$AT$1266,0))</f>
        <v>https://tinyurl.com/y8k55cee</v>
      </c>
      <c r="DF16" t="str">
        <f>INDEX('Data_Price '!AO$2:AO$1266,MATCH(Data!$DN16,'Data_Price '!$AT$2:$AT$1266,0))</f>
        <v>Salomon QST Lumen 99 Skis - Women's 2022</v>
      </c>
      <c r="DG16" t="str">
        <f>INDEX('Data_Price '!AP$2:AP$1266,MATCH(Data!$DN16,'Data_Price '!$AT$2:$AT$1266,0))</f>
        <v>Curated</v>
      </c>
      <c r="DH16">
        <f>INDEX('Data_Price '!AQ$2:AQ$1266,MATCH(Data!$DN16,'Data_Price '!$AT$2:$AT$1266,0))</f>
        <v>479.99</v>
      </c>
      <c r="DI16" t="str">
        <f>INDEX('Data_Price '!AR$2:AR$1266,MATCH(Data!$DN16,'Data_Price '!$AT$2:$AT$1266,0))</f>
        <v>https://tinyurl.com/yay38hmh</v>
      </c>
      <c r="DJ16" s="89" t="str">
        <f t="shared" si="32"/>
        <v>https://tinyurl.com/yaghz5cw</v>
      </c>
      <c r="DK16" s="89" t="str">
        <f t="shared" si="33"/>
        <v>https://tinyurl.com/y8k55cee</v>
      </c>
      <c r="DL16" s="89" t="str">
        <f t="shared" si="34"/>
        <v>https://tinyurl.com/yay38hmh</v>
      </c>
      <c r="DM16" s="219" t="str">
        <f t="shared" si="35"/>
        <v>QST Lumen 99</v>
      </c>
      <c r="DN16" s="89" t="str">
        <f t="shared" si="36"/>
        <v xml:space="preserve"> SalomonQST Lumen 99167 Women's</v>
      </c>
      <c r="DO16" s="221" t="s">
        <v>176</v>
      </c>
    </row>
    <row r="17" spans="2:119" ht="15.6" customHeight="1">
      <c r="B17" s="219" t="b">
        <f t="array" ref="B17">IF(OR(ISERROR(K17:P17)),FALSE,TRUE)</f>
        <v>0</v>
      </c>
      <c r="C17" s="43" t="b">
        <f>OR(BR17=Driver!$G$50,Data!BR1098=Driver!$H$50)</f>
        <v>1</v>
      </c>
      <c r="D17" s="43" t="b">
        <f>OR(BV17=Driver!$G$51,BV17=Driver!$H$51)</f>
        <v>1</v>
      </c>
      <c r="E17" s="43" t="b">
        <f>AND(BX17&gt;Driver!$F$54,BX17&lt;Driver!$G$54)</f>
        <v>0</v>
      </c>
      <c r="F17" s="43" t="b">
        <f>CL17&gt;Driver!$F$56</f>
        <v>1</v>
      </c>
      <c r="G17" s="43" t="b">
        <f>AND(CB17&gt;Driver!$F$55,CB17&lt;Driver!$G$55)</f>
        <v>1</v>
      </c>
      <c r="H17" s="43" t="b">
        <f t="shared" si="0"/>
        <v>0</v>
      </c>
      <c r="I17" s="43">
        <f t="shared" si="1"/>
        <v>0</v>
      </c>
      <c r="J17" s="43" t="b">
        <f t="array" ref="J17">NOT(OR(($H$9:$H$1273=TRUE)*($I$9:$I$1273&gt;0)*($BT$9:$BT$1273=BT17)*($K$9:$K$1273&gt;K17)))</f>
        <v>1</v>
      </c>
      <c r="K17" s="72" t="str">
        <f t="shared" si="2"/>
        <v/>
      </c>
      <c r="L17" s="72">
        <f t="shared" si="3"/>
        <v>0.96028660773568575</v>
      </c>
      <c r="M17" s="72" t="e">
        <f t="shared" si="4"/>
        <v>#VALUE!</v>
      </c>
      <c r="N17" s="72" t="e">
        <f t="shared" si="5"/>
        <v>#VALUE!</v>
      </c>
      <c r="O17" s="72" t="e">
        <f t="shared" si="6"/>
        <v>#VALUE!</v>
      </c>
      <c r="P17" s="72">
        <f t="shared" si="7"/>
        <v>0.8534841151650534</v>
      </c>
      <c r="Q17" s="72"/>
      <c r="R17" s="72"/>
      <c r="S17" s="72">
        <f t="shared" si="8"/>
        <v>0.56543086572723467</v>
      </c>
      <c r="T17" s="72" t="e">
        <f t="shared" si="9"/>
        <v>#VALUE!</v>
      </c>
      <c r="U17" s="72" t="e">
        <f t="shared" si="10"/>
        <v>#VALUE!</v>
      </c>
      <c r="V17" s="72">
        <f t="shared" si="11"/>
        <v>0.54440137936845534</v>
      </c>
      <c r="W17" s="72" t="e">
        <f t="shared" si="12"/>
        <v>#VALUE!</v>
      </c>
      <c r="X17" s="72">
        <f t="shared" si="13"/>
        <v>3.9713392264314251E-2</v>
      </c>
      <c r="Y17" s="72" t="e">
        <f t="shared" si="14"/>
        <v>#VALUE!</v>
      </c>
      <c r="Z17" s="72" t="e">
        <f t="shared" si="15"/>
        <v>#VALUE!</v>
      </c>
      <c r="AA17" s="72" t="e">
        <f t="shared" si="16"/>
        <v>#VALUE!</v>
      </c>
      <c r="AB17" s="72">
        <f t="shared" si="17"/>
        <v>0.14651588483494665</v>
      </c>
      <c r="AC17" s="72"/>
      <c r="AD17" s="72"/>
      <c r="AE17" s="72">
        <f t="shared" si="18"/>
        <v>0.43456913427276528</v>
      </c>
      <c r="AF17" s="72" t="e">
        <f t="shared" si="19"/>
        <v>#VALUE!</v>
      </c>
      <c r="AG17" s="72" t="e">
        <f t="shared" si="20"/>
        <v>#VALUE!</v>
      </c>
      <c r="AH17" s="72">
        <f t="shared" si="21"/>
        <v>0.45559862063154466</v>
      </c>
      <c r="AI17" s="72" t="e">
        <f t="shared" si="22"/>
        <v>#VALUE!</v>
      </c>
      <c r="AJ17" s="72">
        <f>(AV17-Driver!$K$179)/(Driver!$L$179-Driver!$K$179)</f>
        <v>0.29393280154701468</v>
      </c>
      <c r="AK17" s="72">
        <f>(AW17-Driver!$K$180)/(Driver!$L$180-Driver!$K$180)</f>
        <v>0.35554301997803156</v>
      </c>
      <c r="AL17" s="72" t="e">
        <f>(AX17-Driver!$K$181)/(Driver!$L$181-Driver!$K$181)</f>
        <v>#VALUE!</v>
      </c>
      <c r="AM17" s="72" t="e">
        <f>(AY17-Driver!$K$182)/(Driver!$L$182-Driver!$K$182)</f>
        <v>#VALUE!</v>
      </c>
      <c r="AN17" s="72">
        <f>(AZ17-Driver!$K$183)/(Driver!$L$183-Driver!$K$183)</f>
        <v>0.40073529411764708</v>
      </c>
      <c r="AO17" s="72"/>
      <c r="AP17" s="72"/>
      <c r="AQ17" s="72">
        <f>(BC17-Driver!$K$188)/(Driver!$L$188-Driver!$K$188)</f>
        <v>0.18543086572723472</v>
      </c>
      <c r="AR17" s="72" t="e">
        <f>MIN((BD17-Driver!$K$189)/(Driver!$L$189-Driver!$K$189),100%)</f>
        <v>#VALUE!</v>
      </c>
      <c r="AS17" s="72" t="e">
        <f>(BE17-Driver!$K$190)/(Driver!$L$190-Driver!$K$190)</f>
        <v>#VALUE!</v>
      </c>
      <c r="AT17" s="72">
        <f>(BF17-Driver!$K$191)/(Driver!$L$191-Driver!$K$191)</f>
        <v>5.4401379368455363E-2</v>
      </c>
      <c r="AU17" s="72" t="e">
        <f>(BG17-Driver!$K$192)/(Driver!$L$192-Driver!$K$192)</f>
        <v>#VALUE!</v>
      </c>
      <c r="AV17" s="70">
        <f t="shared" si="23"/>
        <v>6.1864061864061854</v>
      </c>
      <c r="AW17" s="70">
        <f t="shared" si="24"/>
        <v>36.522710349962772</v>
      </c>
      <c r="AX17" s="70" t="str">
        <f t="shared" si="25"/>
        <v/>
      </c>
      <c r="AY17" s="70" t="str">
        <f>IFERROR(Driver!$K$19/Data!BH17/Data!BI17*Data!BK17*Data!BL17,"")</f>
        <v/>
      </c>
      <c r="AZ17" s="70">
        <f t="shared" si="26"/>
        <v>36.522710349962772</v>
      </c>
      <c r="BA17" s="70"/>
      <c r="BB17" s="70"/>
      <c r="BC17" s="70">
        <f t="shared" si="27"/>
        <v>96.184279147181456</v>
      </c>
      <c r="BD17" s="70" t="str">
        <f t="shared" si="28"/>
        <v/>
      </c>
      <c r="BE17" s="70" t="str">
        <f t="shared" si="29"/>
        <v/>
      </c>
      <c r="BF17" s="70">
        <f t="shared" si="30"/>
        <v>6.1442536083464487</v>
      </c>
      <c r="BG17" s="70" t="str">
        <f t="shared" si="31"/>
        <v/>
      </c>
      <c r="BH17" s="67" t="e">
        <f>MAX((CE17-Driver!$F$200)/(Driver!$G$200-Driver!$F$200)*$BI$1,1)</f>
        <v>#VALUE!</v>
      </c>
      <c r="BI17" s="67">
        <f>MAX($BI$1*(BY17-Driver!$F$201)/(Driver!$G$201-Driver!$F$201),1)</f>
        <v>6.8987341772151902</v>
      </c>
      <c r="BJ17" s="67">
        <f>(CB17-Driver!$F$206)/(Driver!$G$206-Driver!$F$206)*$BI$1</f>
        <v>6.0317460317460316</v>
      </c>
      <c r="BK17" s="67">
        <f>(CD17-Driver!$F$203)/(Driver!$G$203-Driver!$F$203)*$BI$1</f>
        <v>6.4678899082568817</v>
      </c>
      <c r="BL17" s="67">
        <f>MAX((CR17-Driver!$F$202)/(Driver!$G$202-Driver!$F$202)*$BI$1,1)</f>
        <v>6.5517241379310338</v>
      </c>
      <c r="BM17" s="67">
        <f>MAX((CH17-Driver!$F$204)/(Driver!$G$204-Driver!$F$204)*$BI$1,1)</f>
        <v>4.1025641025641022</v>
      </c>
      <c r="BN17" s="67">
        <f>(CI17-Driver!$F$205)/(Driver!$G$205-Driver!$F$205)*$BI$1</f>
        <v>5.2941176470588234</v>
      </c>
      <c r="BO17" s="67">
        <f>(CK17-Driver!$F$207)/(Driver!$G$207-Driver!$F$207)*$BI$1</f>
        <v>2.4301964839710442</v>
      </c>
      <c r="BP17" s="67">
        <f>(CM17-Driver!$F$208)/(Driver!$G$208-Driver!$F$208)*$BI$1</f>
        <v>2.7111111111111112</v>
      </c>
      <c r="BQ17" s="67">
        <f>(CL17-Driver!$F$209)/(Driver!$G$209-Driver!$F$209)*$BI$1</f>
        <v>1.25</v>
      </c>
      <c r="BR17" s="28" t="s">
        <v>155</v>
      </c>
      <c r="BS17" s="8" t="s">
        <v>174</v>
      </c>
      <c r="BT17" s="9" t="s">
        <v>177</v>
      </c>
      <c r="BU17" s="10">
        <v>176</v>
      </c>
      <c r="BV17" s="9" t="s">
        <v>158</v>
      </c>
      <c r="BW17" s="10">
        <v>176</v>
      </c>
      <c r="BX17" s="10">
        <v>175.6</v>
      </c>
      <c r="BY17" s="10">
        <v>117</v>
      </c>
      <c r="BZ17" s="10">
        <v>151</v>
      </c>
      <c r="CA17" s="10">
        <v>131</v>
      </c>
      <c r="CB17" s="10">
        <v>102</v>
      </c>
      <c r="CC17" s="10">
        <v>119</v>
      </c>
      <c r="CD17" s="10">
        <v>23.5</v>
      </c>
      <c r="CE17" s="9" t="s">
        <v>159</v>
      </c>
      <c r="CF17" s="9" t="s">
        <v>159</v>
      </c>
      <c r="CG17" s="10">
        <v>1939</v>
      </c>
      <c r="CH17" s="10">
        <v>197</v>
      </c>
      <c r="CI17" s="10">
        <v>123</v>
      </c>
      <c r="CJ17" s="10">
        <v>49</v>
      </c>
      <c r="CK17" s="10">
        <v>345</v>
      </c>
      <c r="CL17" s="10">
        <v>8</v>
      </c>
      <c r="CM17" s="10">
        <v>244</v>
      </c>
      <c r="CN17" s="10">
        <v>0.16300000000000001</v>
      </c>
      <c r="CO17" s="10">
        <v>134</v>
      </c>
      <c r="CP17" s="10">
        <v>108</v>
      </c>
      <c r="CQ17" s="10">
        <v>212</v>
      </c>
      <c r="CR17" s="10">
        <v>8</v>
      </c>
      <c r="CS17" s="10">
        <v>10.5</v>
      </c>
      <c r="CT17" s="9" t="s">
        <v>178</v>
      </c>
      <c r="CU17" s="10"/>
      <c r="CV17" s="10"/>
      <c r="CW17" s="10"/>
      <c r="CX17" t="str">
        <f>INDEX('Data_Price '!AG$2:AG$1266,MATCH(Data!$DN17,'Data_Price '!$AT$2:$AT$1266,0))</f>
        <v>Salomon Stance 102 Skis</v>
      </c>
      <c r="CY17" t="str">
        <f>INDEX('Data_Price '!AH$2:AH$1266,MATCH(Data!$DN17,'Data_Price '!$AT$2:$AT$1266,0))</f>
        <v>eBay - asogear</v>
      </c>
      <c r="CZ17">
        <f>INDEX('Data_Price '!AI$2:AI$1266,MATCH(Data!$DN17,'Data_Price '!$AT$2:$AT$1266,0))</f>
        <v>479.99</v>
      </c>
      <c r="DA17" t="str">
        <f>INDEX('Data_Price '!AJ$2:AJ$1266,MATCH(Data!$DN17,'Data_Price '!$AT$2:$AT$1266,0))</f>
        <v>https://tinyurl.com/y8rryby3</v>
      </c>
      <c r="DB17" t="str">
        <f>INDEX('Data_Price '!AK$2:AK$1266,MATCH(Data!$DN17,'Data_Price '!$AT$2:$AT$1266,0))</f>
        <v>Salomon Stance 102 Skis 2020-2021 | BLACK / 176</v>
      </c>
      <c r="DC17" t="str">
        <f>INDEX('Data_Price '!AL$2:AL$1266,MATCH(Data!$DN17,'Data_Price '!$AT$2:$AT$1266,0))</f>
        <v>Ski Pro  - Snow Ski &amp; Snowboard</v>
      </c>
      <c r="DD17">
        <f>INDEX('Data_Price '!AM$2:AM$1266,MATCH(Data!$DN17,'Data_Price '!$AT$2:$AT$1266,0))</f>
        <v>539.95000000000005</v>
      </c>
      <c r="DE17" t="str">
        <f>INDEX('Data_Price '!AN$2:AN$1266,MATCH(Data!$DN17,'Data_Price '!$AT$2:$AT$1266,0))</f>
        <v>https://tinyurl.com/y8w3grpv</v>
      </c>
      <c r="DF17" t="str">
        <f>INDEX('Data_Price '!AO$2:AO$1266,MATCH(Data!$DN17,'Data_Price '!$AT$2:$AT$1266,0))</f>
        <v>Salomon Stance 102 Skis</v>
      </c>
      <c r="DG17" t="str">
        <f>INDEX('Data_Price '!AP$2:AP$1266,MATCH(Data!$DN17,'Data_Price '!$AT$2:$AT$1266,0))</f>
        <v>The-House.com</v>
      </c>
      <c r="DH17">
        <f>INDEX('Data_Price '!AQ$2:AQ$1266,MATCH(Data!$DN17,'Data_Price '!$AT$2:$AT$1266,0))</f>
        <v>575.95000000000005</v>
      </c>
      <c r="DI17" t="str">
        <f>INDEX('Data_Price '!AR$2:AR$1266,MATCH(Data!$DN17,'Data_Price '!$AT$2:$AT$1266,0))</f>
        <v>https://tinyurl.com/y9rd6wov</v>
      </c>
      <c r="DJ17" s="89" t="str">
        <f t="shared" si="32"/>
        <v>https://tinyurl.com/y8rryby3</v>
      </c>
      <c r="DK17" s="89" t="str">
        <f t="shared" si="33"/>
        <v>https://tinyurl.com/y8w3grpv</v>
      </c>
      <c r="DL17" s="89" t="str">
        <f t="shared" si="34"/>
        <v>https://tinyurl.com/y9rd6wov</v>
      </c>
      <c r="DM17" s="219" t="str">
        <f t="shared" si="35"/>
        <v>Stance 102</v>
      </c>
      <c r="DN17" s="89" t="str">
        <f t="shared" si="36"/>
        <v xml:space="preserve"> SalomonStance 102176 Unisex</v>
      </c>
      <c r="DO17" s="221" t="s">
        <v>179</v>
      </c>
    </row>
    <row r="18" spans="2:119" ht="15.6" customHeight="1">
      <c r="B18" s="219" t="b">
        <f t="array" ref="B18">IF(OR(ISERROR(K18:P18)),FALSE,TRUE)</f>
        <v>0</v>
      </c>
      <c r="C18" s="43" t="b">
        <f>OR(BR18=Driver!$G$50,Data!BR1099=Driver!$H$50)</f>
        <v>1</v>
      </c>
      <c r="D18" s="43" t="b">
        <f>OR(BV18=Driver!$G$51,BV18=Driver!$H$51)</f>
        <v>1</v>
      </c>
      <c r="E18" s="43" t="b">
        <f>AND(BX18&gt;Driver!$F$54,BX18&lt;Driver!$G$54)</f>
        <v>0</v>
      </c>
      <c r="F18" s="43" t="b">
        <f>CL18&gt;Driver!$F$56</f>
        <v>1</v>
      </c>
      <c r="G18" s="43" t="b">
        <f>AND(CB18&gt;Driver!$F$55,CB18&lt;Driver!$G$55)</f>
        <v>1</v>
      </c>
      <c r="H18" s="43" t="b">
        <f t="shared" si="0"/>
        <v>0</v>
      </c>
      <c r="I18" s="43">
        <f t="shared" si="1"/>
        <v>0</v>
      </c>
      <c r="J18" s="43" t="b">
        <f t="array" ref="J18">NOT(OR(($H$9:$H$1273=TRUE)*($I$9:$I$1273&gt;0)*($BT$9:$BT$1273=BT18)*($K$9:$K$1273&gt;K18)))</f>
        <v>1</v>
      </c>
      <c r="K18" s="72" t="str">
        <f t="shared" si="2"/>
        <v/>
      </c>
      <c r="L18" s="72">
        <f t="shared" si="3"/>
        <v>0.90541592849952424</v>
      </c>
      <c r="M18" s="72" t="e">
        <f t="shared" si="4"/>
        <v>#VALUE!</v>
      </c>
      <c r="N18" s="72" t="e">
        <f t="shared" si="5"/>
        <v>#VALUE!</v>
      </c>
      <c r="O18" s="72" t="e">
        <f t="shared" si="6"/>
        <v>#VALUE!</v>
      </c>
      <c r="P18" s="72">
        <f t="shared" si="7"/>
        <v>0.77358215438073963</v>
      </c>
      <c r="Q18" s="72"/>
      <c r="R18" s="72"/>
      <c r="S18" s="72">
        <f t="shared" si="8"/>
        <v>0.61178305803871491</v>
      </c>
      <c r="T18" s="72" t="e">
        <f t="shared" si="9"/>
        <v>#VALUE!</v>
      </c>
      <c r="U18" s="72" t="e">
        <f t="shared" si="10"/>
        <v>#VALUE!</v>
      </c>
      <c r="V18" s="72">
        <f t="shared" si="11"/>
        <v>0.55118950971214176</v>
      </c>
      <c r="W18" s="72" t="e">
        <f t="shared" si="12"/>
        <v>#VALUE!</v>
      </c>
      <c r="X18" s="72">
        <f t="shared" si="13"/>
        <v>9.4584071500475764E-2</v>
      </c>
      <c r="Y18" s="72" t="e">
        <f t="shared" si="14"/>
        <v>#VALUE!</v>
      </c>
      <c r="Z18" s="72" t="e">
        <f t="shared" si="15"/>
        <v>#VALUE!</v>
      </c>
      <c r="AA18" s="72" t="e">
        <f t="shared" si="16"/>
        <v>#VALUE!</v>
      </c>
      <c r="AB18" s="72">
        <f t="shared" si="17"/>
        <v>0.22641784561926037</v>
      </c>
      <c r="AC18" s="72"/>
      <c r="AD18" s="72"/>
      <c r="AE18" s="72">
        <f t="shared" si="18"/>
        <v>0.38821694196128509</v>
      </c>
      <c r="AF18" s="72" t="e">
        <f t="shared" si="19"/>
        <v>#VALUE!</v>
      </c>
      <c r="AG18" s="72" t="e">
        <f t="shared" si="20"/>
        <v>#VALUE!</v>
      </c>
      <c r="AH18" s="72">
        <f t="shared" si="21"/>
        <v>0.44881049028785824</v>
      </c>
      <c r="AI18" s="72" t="e">
        <f t="shared" si="22"/>
        <v>#VALUE!</v>
      </c>
      <c r="AJ18" s="72">
        <f>(AV18-Driver!$K$179)/(Driver!$L$179-Driver!$K$179)</f>
        <v>0.34880348078317619</v>
      </c>
      <c r="AK18" s="72">
        <f>(AW18-Driver!$K$180)/(Driver!$L$180-Driver!$K$180)</f>
        <v>0.43026381964155225</v>
      </c>
      <c r="AL18" s="72" t="e">
        <f>(AX18-Driver!$K$181)/(Driver!$L$181-Driver!$K$181)</f>
        <v>#VALUE!</v>
      </c>
      <c r="AM18" s="72" t="e">
        <f>(AY18-Driver!$K$182)/(Driver!$L$182-Driver!$K$182)</f>
        <v>#VALUE!</v>
      </c>
      <c r="AN18" s="72">
        <f>(AZ18-Driver!$K$183)/(Driver!$L$183-Driver!$K$183)</f>
        <v>0.4806372549019608</v>
      </c>
      <c r="AO18" s="72"/>
      <c r="AP18" s="72"/>
      <c r="AQ18" s="72">
        <f>(BC18-Driver!$K$188)/(Driver!$L$188-Driver!$K$188)</f>
        <v>0.23178305803871493</v>
      </c>
      <c r="AR18" s="72" t="e">
        <f>MIN((BD18-Driver!$K$189)/(Driver!$L$189-Driver!$K$189),100%)</f>
        <v>#VALUE!</v>
      </c>
      <c r="AS18" s="72" t="e">
        <f>(BE18-Driver!$K$190)/(Driver!$L$190-Driver!$K$190)</f>
        <v>#VALUE!</v>
      </c>
      <c r="AT18" s="72">
        <f>(BF18-Driver!$K$191)/(Driver!$L$191-Driver!$K$191)</f>
        <v>6.1189509712141758E-2</v>
      </c>
      <c r="AU18" s="72" t="e">
        <f>(BG18-Driver!$K$192)/(Driver!$L$192-Driver!$K$192)</f>
        <v>#VALUE!</v>
      </c>
      <c r="AV18" s="70">
        <f t="shared" si="23"/>
        <v>7.3412698412698418</v>
      </c>
      <c r="AW18" s="70">
        <f t="shared" si="24"/>
        <v>43.804914370811616</v>
      </c>
      <c r="AX18" s="70" t="str">
        <f t="shared" si="25"/>
        <v/>
      </c>
      <c r="AY18" s="70" t="str">
        <f>IFERROR(Driver!$K$19/Data!BH18/Data!BI18*Data!BK18*Data!BL18,"")</f>
        <v/>
      </c>
      <c r="AZ18" s="70">
        <f t="shared" si="26"/>
        <v>43.804914370811616</v>
      </c>
      <c r="BA18" s="70"/>
      <c r="BB18" s="70"/>
      <c r="BC18" s="70">
        <f t="shared" si="27"/>
        <v>120.22748353435938</v>
      </c>
      <c r="BD18" s="70" t="str">
        <f t="shared" si="28"/>
        <v/>
      </c>
      <c r="BE18" s="70" t="str">
        <f t="shared" si="29"/>
        <v/>
      </c>
      <c r="BF18" s="70">
        <f t="shared" si="30"/>
        <v>6.9109252413511353</v>
      </c>
      <c r="BG18" s="70" t="str">
        <f t="shared" si="31"/>
        <v/>
      </c>
      <c r="BH18" s="67" t="e">
        <f>MAX((CE18-Driver!$F$200)/(Driver!$G$200-Driver!$F$200)*$BI$1,1)</f>
        <v>#VALUE!</v>
      </c>
      <c r="BI18" s="67">
        <f>MAX($BI$1*(BY18-Driver!$F$201)/(Driver!$G$201-Driver!$F$201),1)</f>
        <v>7.0253164556962027</v>
      </c>
      <c r="BJ18" s="67">
        <f>(CB18-Driver!$F$206)/(Driver!$G$206-Driver!$F$206)*$BI$1</f>
        <v>5.8730158730158735</v>
      </c>
      <c r="BK18" s="67">
        <f>(CD18-Driver!$F$203)/(Driver!$G$203-Driver!$F$203)*$BI$1</f>
        <v>6.6513761467889907</v>
      </c>
      <c r="BL18" s="67">
        <f>MAX((CR18-Driver!$F$202)/(Driver!$G$202-Driver!$F$202)*$BI$1,1)</f>
        <v>6.2068965517241379</v>
      </c>
      <c r="BM18" s="67">
        <f>MAX((CH18-Driver!$F$204)/(Driver!$G$204-Driver!$F$204)*$BI$1,1)</f>
        <v>5</v>
      </c>
      <c r="BN18" s="67">
        <f>(CI18-Driver!$F$205)/(Driver!$G$205-Driver!$F$205)*$BI$1</f>
        <v>6.2352941176470589</v>
      </c>
      <c r="BO18" s="67">
        <f>(CK18-Driver!$F$207)/(Driver!$G$207-Driver!$F$207)*$BI$1</f>
        <v>2.6783867631851086</v>
      </c>
      <c r="BP18" s="67">
        <f>(CM18-Driver!$F$208)/(Driver!$G$208-Driver!$F$208)*$BI$1</f>
        <v>2.9222222222222221</v>
      </c>
      <c r="BQ18" s="67">
        <f>(CL18-Driver!$F$209)/(Driver!$G$209-Driver!$F$209)*$BI$1</f>
        <v>0.625</v>
      </c>
      <c r="BR18" s="28" t="s">
        <v>155</v>
      </c>
      <c r="BS18" s="8" t="s">
        <v>174</v>
      </c>
      <c r="BT18" s="9" t="s">
        <v>177</v>
      </c>
      <c r="BU18" s="10">
        <v>183</v>
      </c>
      <c r="BV18" s="9" t="s">
        <v>158</v>
      </c>
      <c r="BW18" s="10">
        <v>183</v>
      </c>
      <c r="BX18" s="10">
        <v>182.5</v>
      </c>
      <c r="BY18" s="10">
        <v>119</v>
      </c>
      <c r="BZ18" s="10">
        <v>158</v>
      </c>
      <c r="CA18" s="10">
        <v>133</v>
      </c>
      <c r="CB18" s="10">
        <v>101</v>
      </c>
      <c r="CC18" s="10">
        <v>120</v>
      </c>
      <c r="CD18" s="10">
        <v>23.9</v>
      </c>
      <c r="CE18" s="9" t="s">
        <v>159</v>
      </c>
      <c r="CF18" s="9" t="s">
        <v>159</v>
      </c>
      <c r="CG18" s="10">
        <v>2026</v>
      </c>
      <c r="CH18" s="10">
        <v>218</v>
      </c>
      <c r="CI18" s="10">
        <v>139</v>
      </c>
      <c r="CJ18" s="10">
        <v>48</v>
      </c>
      <c r="CK18" s="10">
        <v>369</v>
      </c>
      <c r="CL18" s="10">
        <v>4</v>
      </c>
      <c r="CM18" s="10">
        <v>263</v>
      </c>
      <c r="CN18" s="10">
        <v>8.1000000000000003E-2</v>
      </c>
      <c r="CO18" s="10">
        <v>142</v>
      </c>
      <c r="CP18" s="10">
        <v>106</v>
      </c>
      <c r="CQ18" s="10">
        <v>227</v>
      </c>
      <c r="CR18" s="10">
        <v>7</v>
      </c>
      <c r="CS18" s="10">
        <v>10.6</v>
      </c>
      <c r="CT18" s="9" t="s">
        <v>178</v>
      </c>
      <c r="CU18" s="10"/>
      <c r="CV18" s="10"/>
      <c r="CW18" s="10"/>
      <c r="CX18" t="str">
        <f>INDEX('Data_Price '!AG$2:AG$1266,MATCH(Data!$DN18,'Data_Price '!$AT$2:$AT$1266,0))</f>
        <v>Salomon STANCE 102 Black Grey / 183cm</v>
      </c>
      <c r="CY18" t="str">
        <f>INDEX('Data_Price '!AH$2:AH$1266,MATCH(Data!$DN18,'Data_Price '!$AT$2:$AT$1266,0))</f>
        <v>Sundance Ski and Board Shop</v>
      </c>
      <c r="CZ18">
        <f>INDEX('Data_Price '!AI$2:AI$1266,MATCH(Data!$DN18,'Data_Price '!$AT$2:$AT$1266,0))</f>
        <v>521.29</v>
      </c>
      <c r="DA18" t="str">
        <f>INDEX('Data_Price '!AJ$2:AJ$1266,MATCH(Data!$DN18,'Data_Price '!$AT$2:$AT$1266,0))</f>
        <v>https://tinyurl.com/y9gg45ws</v>
      </c>
      <c r="DB18" t="str">
        <f>INDEX('Data_Price '!AK$2:AK$1266,MATCH(Data!$DN18,'Data_Price '!$AT$2:$AT$1266,0))</f>
        <v>Salomon Stance 102 Skis 2020-2021 | BLACK / 183</v>
      </c>
      <c r="DC18" t="str">
        <f>INDEX('Data_Price '!AL$2:AL$1266,MATCH(Data!$DN18,'Data_Price '!$AT$2:$AT$1266,0))</f>
        <v>Ski Pro  - Snow Ski &amp; Snowboard</v>
      </c>
      <c r="DD18">
        <f>INDEX('Data_Price '!AM$2:AM$1266,MATCH(Data!$DN18,'Data_Price '!$AT$2:$AT$1266,0))</f>
        <v>539.95000000000005</v>
      </c>
      <c r="DE18" t="str">
        <f>INDEX('Data_Price '!AN$2:AN$1266,MATCH(Data!$DN18,'Data_Price '!$AT$2:$AT$1266,0))</f>
        <v>https://tinyurl.com/y7xggw34</v>
      </c>
      <c r="DF18" t="str">
        <f>INDEX('Data_Price '!AO$2:AO$1266,MATCH(Data!$DN18,'Data_Price '!$AT$2:$AT$1266,0))</f>
        <v>'21 Salomon Stance 102 Skis 183cm</v>
      </c>
      <c r="DG18" t="str">
        <f>INDEX('Data_Price '!AP$2:AP$1266,MATCH(Data!$DN18,'Data_Price '!$AT$2:$AT$1266,0))</f>
        <v>Al's Ski Equipment Barn</v>
      </c>
      <c r="DH18">
        <f>INDEX('Data_Price '!AQ$2:AQ$1266,MATCH(Data!$DN18,'Data_Price '!$AT$2:$AT$1266,0))</f>
        <v>569.95000000000005</v>
      </c>
      <c r="DI18" t="str">
        <f>INDEX('Data_Price '!AR$2:AR$1266,MATCH(Data!$DN18,'Data_Price '!$AT$2:$AT$1266,0))</f>
        <v>https://tinyurl.com/y8npa4fp</v>
      </c>
      <c r="DJ18" s="89" t="str">
        <f t="shared" si="32"/>
        <v>https://tinyurl.com/y9gg45ws</v>
      </c>
      <c r="DK18" s="89" t="str">
        <f t="shared" si="33"/>
        <v>https://tinyurl.com/y7xggw34</v>
      </c>
      <c r="DL18" s="89" t="str">
        <f t="shared" si="34"/>
        <v>https://tinyurl.com/y8npa4fp</v>
      </c>
      <c r="DM18" s="219" t="str">
        <f t="shared" si="35"/>
        <v>Stance 102</v>
      </c>
      <c r="DN18" s="89" t="str">
        <f t="shared" si="36"/>
        <v xml:space="preserve"> SalomonStance 102183 Unisex</v>
      </c>
      <c r="DO18" s="221" t="s">
        <v>179</v>
      </c>
    </row>
    <row r="19" spans="2:119" ht="15.6" customHeight="1">
      <c r="B19" s="219" t="b">
        <f t="array" ref="B19">IF(OR(ISERROR(K19:P19)),FALSE,TRUE)</f>
        <v>0</v>
      </c>
      <c r="C19" s="43" t="b">
        <f>OR(BR19=Driver!$G$50,Data!BR1100=Driver!$H$50)</f>
        <v>1</v>
      </c>
      <c r="D19" s="43" t="b">
        <f>OR(BV19=Driver!$G$51,BV19=Driver!$H$51)</f>
        <v>1</v>
      </c>
      <c r="E19" s="43" t="b">
        <f>AND(BX19&gt;Driver!$F$54,BX19&lt;Driver!$G$54)</f>
        <v>0</v>
      </c>
      <c r="F19" s="43" t="b">
        <f>CL19&gt;Driver!$F$56</f>
        <v>1</v>
      </c>
      <c r="G19" s="43" t="b">
        <f>AND(CB19&gt;Driver!$F$55,CB19&lt;Driver!$G$55)</f>
        <v>1</v>
      </c>
      <c r="H19" s="43" t="b">
        <f t="shared" si="0"/>
        <v>0</v>
      </c>
      <c r="I19" s="43">
        <f t="shared" si="1"/>
        <v>0</v>
      </c>
      <c r="J19" s="43" t="b">
        <f t="array" ref="J19">NOT(OR(($H$9:$H$1273=TRUE)*($I$9:$I$1273&gt;0)*($BT$9:$BT$1273=BT19)*($K$9:$K$1273&gt;K19)))</f>
        <v>1</v>
      </c>
      <c r="K19" s="72" t="str">
        <f t="shared" si="2"/>
        <v/>
      </c>
      <c r="L19" s="72">
        <f t="shared" si="3"/>
        <v>0.78576400681714575</v>
      </c>
      <c r="M19" s="72" t="e">
        <f t="shared" si="4"/>
        <v>#VALUE!</v>
      </c>
      <c r="N19" s="72" t="e">
        <f t="shared" si="5"/>
        <v>#VALUE!</v>
      </c>
      <c r="O19" s="72" t="e">
        <f t="shared" si="6"/>
        <v>#VALUE!</v>
      </c>
      <c r="P19" s="72">
        <f t="shared" si="7"/>
        <v>0.5750935922892364</v>
      </c>
      <c r="Q19" s="72"/>
      <c r="R19" s="72"/>
      <c r="S19" s="72">
        <f t="shared" si="8"/>
        <v>0.74551012167733421</v>
      </c>
      <c r="T19" s="72" t="e">
        <f t="shared" si="9"/>
        <v>#VALUE!</v>
      </c>
      <c r="U19" s="72" t="e">
        <f t="shared" si="10"/>
        <v>#VALUE!</v>
      </c>
      <c r="V19" s="72">
        <f t="shared" si="11"/>
        <v>0.51347813228252082</v>
      </c>
      <c r="W19" s="72" t="e">
        <f t="shared" si="12"/>
        <v>#VALUE!</v>
      </c>
      <c r="X19" s="72">
        <f t="shared" si="13"/>
        <v>0.21423599318285425</v>
      </c>
      <c r="Y19" s="72" t="e">
        <f t="shared" si="14"/>
        <v>#VALUE!</v>
      </c>
      <c r="Z19" s="72" t="e">
        <f t="shared" si="15"/>
        <v>#VALUE!</v>
      </c>
      <c r="AA19" s="72" t="e">
        <f t="shared" si="16"/>
        <v>#VALUE!</v>
      </c>
      <c r="AB19" s="72">
        <f t="shared" si="17"/>
        <v>0.42490640771076366</v>
      </c>
      <c r="AC19" s="72"/>
      <c r="AD19" s="72"/>
      <c r="AE19" s="72">
        <f t="shared" si="18"/>
        <v>0.25448987832266579</v>
      </c>
      <c r="AF19" s="72" t="e">
        <f t="shared" si="19"/>
        <v>#VALUE!</v>
      </c>
      <c r="AG19" s="72" t="e">
        <f t="shared" si="20"/>
        <v>#VALUE!</v>
      </c>
      <c r="AH19" s="72">
        <f t="shared" si="21"/>
        <v>0.48652186771747924</v>
      </c>
      <c r="AI19" s="72" t="e">
        <f t="shared" si="22"/>
        <v>#VALUE!</v>
      </c>
      <c r="AJ19" s="72">
        <f>(AV19-Driver!$K$179)/(Driver!$L$179-Driver!$K$179)</f>
        <v>0.46845540246555467</v>
      </c>
      <c r="AK19" s="72">
        <f>(AW19-Driver!$K$180)/(Driver!$L$180-Driver!$K$180)</f>
        <v>0.61588159344781368</v>
      </c>
      <c r="AL19" s="72" t="e">
        <f>(AX19-Driver!$K$181)/(Driver!$L$181-Driver!$K$181)</f>
        <v>#VALUE!</v>
      </c>
      <c r="AM19" s="72" t="e">
        <f>(AY19-Driver!$K$182)/(Driver!$L$182-Driver!$K$182)</f>
        <v>#VALUE!</v>
      </c>
      <c r="AN19" s="72">
        <f>(AZ19-Driver!$K$183)/(Driver!$L$183-Driver!$K$183)</f>
        <v>0.67912581699346408</v>
      </c>
      <c r="AO19" s="72"/>
      <c r="AP19" s="72"/>
      <c r="AQ19" s="72">
        <f>(BC19-Driver!$K$188)/(Driver!$L$188-Driver!$K$188)</f>
        <v>0.36551012167733421</v>
      </c>
      <c r="AR19" s="72" t="e">
        <f>MIN((BD19-Driver!$K$189)/(Driver!$L$189-Driver!$K$189),100%)</f>
        <v>#VALUE!</v>
      </c>
      <c r="AS19" s="72" t="e">
        <f>(BE19-Driver!$K$190)/(Driver!$L$190-Driver!$K$190)</f>
        <v>#VALUE!</v>
      </c>
      <c r="AT19" s="72">
        <f>(BF19-Driver!$K$191)/(Driver!$L$191-Driver!$K$191)</f>
        <v>2.3478132282520756E-2</v>
      </c>
      <c r="AU19" s="72" t="e">
        <f>(BG19-Driver!$K$192)/(Driver!$L$192-Driver!$K$192)</f>
        <v>#VALUE!</v>
      </c>
      <c r="AV19" s="70">
        <f t="shared" si="23"/>
        <v>9.8595848595848583</v>
      </c>
      <c r="AW19" s="70">
        <f t="shared" si="24"/>
        <v>61.895011169024578</v>
      </c>
      <c r="AX19" s="70" t="str">
        <f t="shared" si="25"/>
        <v/>
      </c>
      <c r="AY19" s="70" t="str">
        <f>IFERROR(Driver!$K$19/Data!BH19/Data!BI19*Data!BK19*Data!BL19,"")</f>
        <v/>
      </c>
      <c r="AZ19" s="70">
        <f t="shared" si="26"/>
        <v>61.895011169024578</v>
      </c>
      <c r="BA19" s="70"/>
      <c r="BB19" s="70"/>
      <c r="BC19" s="70">
        <f t="shared" si="27"/>
        <v>189.59264109917527</v>
      </c>
      <c r="BD19" s="70" t="str">
        <f t="shared" si="28"/>
        <v/>
      </c>
      <c r="BE19" s="70" t="str">
        <f t="shared" si="29"/>
        <v/>
      </c>
      <c r="BF19" s="70">
        <f t="shared" si="30"/>
        <v>2.6516900980962994</v>
      </c>
      <c r="BG19" s="70" t="str">
        <f t="shared" si="31"/>
        <v/>
      </c>
      <c r="BH19" s="67" t="e">
        <f>MAX((CE19-Driver!$F$200)/(Driver!$G$200-Driver!$F$200)*$BI$1,1)</f>
        <v>#VALUE!</v>
      </c>
      <c r="BI19" s="67">
        <f>MAX($BI$1*(BY19-Driver!$F$201)/(Driver!$G$201-Driver!$F$201),1)</f>
        <v>8.4177215189873422</v>
      </c>
      <c r="BJ19" s="67">
        <f>(CB19-Driver!$F$206)/(Driver!$G$206-Driver!$F$206)*$BI$1</f>
        <v>6.0317460317460316</v>
      </c>
      <c r="BK19" s="67">
        <f>(CD19-Driver!$F$203)/(Driver!$G$203-Driver!$F$203)*$BI$1</f>
        <v>7.522935779816514</v>
      </c>
      <c r="BL19" s="67">
        <f>MAX((CR19-Driver!$F$202)/(Driver!$G$202-Driver!$F$202)*$BI$1,1)</f>
        <v>6.8965517241379315</v>
      </c>
      <c r="BM19" s="67">
        <f>MAX((CH19-Driver!$F$204)/(Driver!$G$204-Driver!$F$204)*$BI$1,1)</f>
        <v>6.5384615384615383</v>
      </c>
      <c r="BN19" s="67">
        <f>(CI19-Driver!$F$205)/(Driver!$G$205-Driver!$F$205)*$BI$1</f>
        <v>7.3529411764705888</v>
      </c>
      <c r="BO19" s="67">
        <f>(CK19-Driver!$F$207)/(Driver!$G$207-Driver!$F$207)*$BI$1</f>
        <v>2.7817993795243017</v>
      </c>
      <c r="BP19" s="67">
        <f>(CM19-Driver!$F$208)/(Driver!$G$208-Driver!$F$208)*$BI$1</f>
        <v>1.1888888888888889</v>
      </c>
      <c r="BQ19" s="67">
        <f>(CL19-Driver!$F$209)/(Driver!$G$209-Driver!$F$209)*$BI$1</f>
        <v>0.625</v>
      </c>
      <c r="BR19" s="28" t="s">
        <v>155</v>
      </c>
      <c r="BS19" s="8" t="s">
        <v>174</v>
      </c>
      <c r="BT19" s="9" t="s">
        <v>177</v>
      </c>
      <c r="BU19" s="10">
        <v>190</v>
      </c>
      <c r="BV19" s="9" t="s">
        <v>158</v>
      </c>
      <c r="BW19" s="10">
        <v>190</v>
      </c>
      <c r="BX19" s="10">
        <v>189.9</v>
      </c>
      <c r="BY19" s="10">
        <v>141</v>
      </c>
      <c r="BZ19" s="10">
        <v>165</v>
      </c>
      <c r="CA19" s="10">
        <v>133</v>
      </c>
      <c r="CB19" s="10">
        <v>102</v>
      </c>
      <c r="CC19" s="10">
        <v>120</v>
      </c>
      <c r="CD19" s="10">
        <v>25.8</v>
      </c>
      <c r="CE19" s="9" t="s">
        <v>159</v>
      </c>
      <c r="CF19" s="9" t="s">
        <v>159</v>
      </c>
      <c r="CG19" s="10">
        <v>2108</v>
      </c>
      <c r="CH19" s="10">
        <v>254</v>
      </c>
      <c r="CI19" s="10">
        <v>158</v>
      </c>
      <c r="CJ19" s="10">
        <v>46</v>
      </c>
      <c r="CK19" s="10">
        <v>379</v>
      </c>
      <c r="CL19" s="10">
        <v>4</v>
      </c>
      <c r="CM19" s="10">
        <v>107</v>
      </c>
      <c r="CN19" s="10">
        <v>8.5000000000000006E-2</v>
      </c>
      <c r="CO19" s="10">
        <v>142</v>
      </c>
      <c r="CP19" s="10">
        <v>111</v>
      </c>
      <c r="CQ19" s="10">
        <v>237</v>
      </c>
      <c r="CR19" s="10">
        <v>9</v>
      </c>
      <c r="CS19" s="10">
        <v>9.8000000000000007</v>
      </c>
      <c r="CT19" s="9" t="s">
        <v>178</v>
      </c>
      <c r="CU19" s="10"/>
      <c r="CV19" s="10"/>
      <c r="CW19" s="10"/>
      <c r="CX19" t="str">
        <f>INDEX('Data_Price '!AG$2:AG$1266,MATCH(Data!$DN19,'Data_Price '!$AT$2:$AT$1266,0))</f>
        <v>Salomon Stance 102 Skis</v>
      </c>
      <c r="CY19" t="str">
        <f>INDEX('Data_Price '!AH$2:AH$1266,MATCH(Data!$DN19,'Data_Price '!$AT$2:$AT$1266,0))</f>
        <v>Erik's Bike, Board and Ski</v>
      </c>
      <c r="CZ19">
        <f>INDEX('Data_Price '!AI$2:AI$1266,MATCH(Data!$DN19,'Data_Price '!$AT$2:$AT$1266,0))</f>
        <v>429.99</v>
      </c>
      <c r="DA19" t="str">
        <f>INDEX('Data_Price '!AJ$2:AJ$1266,MATCH(Data!$DN19,'Data_Price '!$AT$2:$AT$1266,0))</f>
        <v>https://tinyurl.com/y7r9n4qe</v>
      </c>
      <c r="DB19" t="str">
        <f>INDEX('Data_Price '!AK$2:AK$1266,MATCH(Data!$DN19,'Data_Price '!$AT$2:$AT$1266,0))</f>
        <v>Salomon Stance 102 Skis</v>
      </c>
      <c r="DC19" t="str">
        <f>INDEX('Data_Price '!AL$2:AL$1266,MATCH(Data!$DN19,'Data_Price '!$AT$2:$AT$1266,0))</f>
        <v>Backcountry.com</v>
      </c>
      <c r="DD19">
        <f>INDEX('Data_Price '!AM$2:AM$1266,MATCH(Data!$DN19,'Data_Price '!$AT$2:$AT$1266,0))</f>
        <v>599.96</v>
      </c>
      <c r="DE19" t="str">
        <f>INDEX('Data_Price '!AN$2:AN$1266,MATCH(Data!$DN19,'Data_Price '!$AT$2:$AT$1266,0))</f>
        <v>https://tinyurl.com/y7wefbn8</v>
      </c>
      <c r="DF19" t="str">
        <f>INDEX('Data_Price '!AO$2:AO$1266,MATCH(Data!$DN19,'Data_Price '!$AT$2:$AT$1266,0))</f>
        <v>Salomon Stance 102 Skis</v>
      </c>
      <c r="DG19" t="str">
        <f>INDEX('Data_Price '!AP$2:AP$1266,MATCH(Data!$DN19,'Data_Price '!$AT$2:$AT$1266,0))</f>
        <v>SkiEssentials.com</v>
      </c>
      <c r="DH19">
        <f>INDEX('Data_Price '!AQ$2:AQ$1266,MATCH(Data!$DN19,'Data_Price '!$AT$2:$AT$1266,0))</f>
        <v>599.99</v>
      </c>
      <c r="DI19" t="str">
        <f>INDEX('Data_Price '!AR$2:AR$1266,MATCH(Data!$DN19,'Data_Price '!$AT$2:$AT$1266,0))</f>
        <v>https://tinyurl.com/yaxad2et</v>
      </c>
      <c r="DJ19" s="89" t="str">
        <f t="shared" si="32"/>
        <v>https://tinyurl.com/y7r9n4qe</v>
      </c>
      <c r="DK19" s="89" t="str">
        <f t="shared" si="33"/>
        <v>https://tinyurl.com/y7wefbn8</v>
      </c>
      <c r="DL19" s="89" t="str">
        <f t="shared" si="34"/>
        <v>https://tinyurl.com/yaxad2et</v>
      </c>
      <c r="DM19" s="219" t="str">
        <f t="shared" si="35"/>
        <v>Stance 102</v>
      </c>
      <c r="DN19" s="89" t="str">
        <f t="shared" si="36"/>
        <v xml:space="preserve"> SalomonStance 102190 Unisex</v>
      </c>
      <c r="DO19" s="221" t="s">
        <v>179</v>
      </c>
    </row>
    <row r="20" spans="2:119" ht="15.6" customHeight="1">
      <c r="B20" s="219" t="b">
        <f t="array" ref="B20">IF(OR(ISERROR(K20:P20)),FALSE,TRUE)</f>
        <v>0</v>
      </c>
      <c r="C20" s="43" t="b">
        <f>OR(BR20=Driver!$G$50,Data!BR1118=Driver!$H$50)</f>
        <v>1</v>
      </c>
      <c r="D20" s="43" t="b">
        <f>OR(BV20=Driver!$G$51,BV20=Driver!$H$51)</f>
        <v>0</v>
      </c>
      <c r="E20" s="43" t="b">
        <f>AND(BX20&gt;Driver!$F$54,BX20&lt;Driver!$G$54)</f>
        <v>1</v>
      </c>
      <c r="F20" s="43" t="b">
        <f>CL20&gt;Driver!$F$56</f>
        <v>1</v>
      </c>
      <c r="G20" s="43" t="b">
        <f>AND(CB20&gt;Driver!$F$55,CB20&lt;Driver!$G$55)</f>
        <v>0</v>
      </c>
      <c r="H20" s="43" t="b">
        <f t="shared" si="0"/>
        <v>0</v>
      </c>
      <c r="I20" s="43">
        <f t="shared" si="1"/>
        <v>0</v>
      </c>
      <c r="J20" s="43" t="b">
        <f t="array" ref="J20">NOT(OR(($H$9:$H$1273=TRUE)*($I$9:$I$1273&gt;0)*($BT$9:$BT$1273=BT20)*($K$9:$K$1273&gt;K20)))</f>
        <v>1</v>
      </c>
      <c r="K20" s="72" t="str">
        <f t="shared" si="2"/>
        <v/>
      </c>
      <c r="L20" s="72">
        <f t="shared" si="3"/>
        <v>0.85181555969643097</v>
      </c>
      <c r="M20" s="72" t="e">
        <f t="shared" si="4"/>
        <v>#VALUE!</v>
      </c>
      <c r="N20" s="72" t="e">
        <f t="shared" si="5"/>
        <v>#VALUE!</v>
      </c>
      <c r="O20" s="72" t="e">
        <f t="shared" si="6"/>
        <v>#VALUE!</v>
      </c>
      <c r="P20" s="72">
        <f t="shared" si="7"/>
        <v>0.87135248614213623</v>
      </c>
      <c r="Q20" s="72"/>
      <c r="R20" s="72"/>
      <c r="S20" s="72">
        <f t="shared" si="8"/>
        <v>0.42128658890048021</v>
      </c>
      <c r="T20" s="72" t="e">
        <f t="shared" si="9"/>
        <v>#VALUE!</v>
      </c>
      <c r="U20" s="72" t="e">
        <f t="shared" si="10"/>
        <v>#VALUE!</v>
      </c>
      <c r="V20" s="72">
        <f t="shared" si="11"/>
        <v>0.52189205409582506</v>
      </c>
      <c r="W20" s="72" t="e">
        <f t="shared" si="12"/>
        <v>#VALUE!</v>
      </c>
      <c r="X20" s="72">
        <f t="shared" si="13"/>
        <v>0.14818444030356903</v>
      </c>
      <c r="Y20" s="72" t="e">
        <f t="shared" si="14"/>
        <v>#VALUE!</v>
      </c>
      <c r="Z20" s="72" t="e">
        <f t="shared" si="15"/>
        <v>#VALUE!</v>
      </c>
      <c r="AA20" s="72" t="e">
        <f t="shared" si="16"/>
        <v>#VALUE!</v>
      </c>
      <c r="AB20" s="72">
        <f t="shared" si="17"/>
        <v>0.1286475138578638</v>
      </c>
      <c r="AC20" s="72"/>
      <c r="AD20" s="72"/>
      <c r="AE20" s="72">
        <f t="shared" si="18"/>
        <v>0.57871341109951979</v>
      </c>
      <c r="AF20" s="72" t="e">
        <f t="shared" si="19"/>
        <v>#VALUE!</v>
      </c>
      <c r="AG20" s="72" t="e">
        <f t="shared" si="20"/>
        <v>#VALUE!</v>
      </c>
      <c r="AH20" s="72">
        <f t="shared" si="21"/>
        <v>0.47810794590417494</v>
      </c>
      <c r="AI20" s="72" t="e">
        <f t="shared" si="22"/>
        <v>#VALUE!</v>
      </c>
      <c r="AJ20" s="72">
        <f>(AV20-Driver!$K$179)/(Driver!$L$179-Driver!$K$179)</f>
        <v>0.10603496897913141</v>
      </c>
      <c r="AK20" s="72">
        <f>(AW20-Driver!$K$180)/(Driver!$L$180-Driver!$K$180)</f>
        <v>9.8222311116336489E-2</v>
      </c>
      <c r="AL20" s="72" t="e">
        <f>(AX20-Driver!$K$181)/(Driver!$L$181-Driver!$K$181)</f>
        <v>#VALUE!</v>
      </c>
      <c r="AM20" s="72" t="e">
        <f>(AY20-Driver!$K$182)/(Driver!$L$182-Driver!$K$182)</f>
        <v>#VALUE!</v>
      </c>
      <c r="AN20" s="72">
        <f>(AZ20-Driver!$K$183)/(Driver!$L$183-Driver!$K$183)</f>
        <v>0.12557189542483663</v>
      </c>
      <c r="AO20" s="72"/>
      <c r="AP20" s="72"/>
      <c r="AQ20" s="72">
        <f>(BC20-Driver!$K$188)/(Driver!$L$188-Driver!$K$188)</f>
        <v>4.1286588900480224E-2</v>
      </c>
      <c r="AR20" s="72" t="e">
        <f>MIN((BD20-Driver!$K$189)/(Driver!$L$189-Driver!$K$189),100%)</f>
        <v>#VALUE!</v>
      </c>
      <c r="AS20" s="72" t="e">
        <f>(BE20-Driver!$K$190)/(Driver!$L$190-Driver!$K$190)</f>
        <v>#VALUE!</v>
      </c>
      <c r="AT20" s="72">
        <f>(BF20-Driver!$K$191)/(Driver!$L$191-Driver!$K$191)</f>
        <v>3.1892054095825073E-2</v>
      </c>
      <c r="AU20" s="72" t="e">
        <f>(BG20-Driver!$K$192)/(Driver!$L$192-Driver!$K$192)</f>
        <v>#VALUE!</v>
      </c>
      <c r="AV20" s="70">
        <f t="shared" si="23"/>
        <v>2.2317188983855649</v>
      </c>
      <c r="AW20" s="70">
        <f t="shared" si="24"/>
        <v>11.444527177959793</v>
      </c>
      <c r="AX20" s="70" t="str">
        <f t="shared" si="25"/>
        <v/>
      </c>
      <c r="AY20" s="70" t="str">
        <f>IFERROR(Driver!$K$19/Data!BH20/Data!BI20*Data!BK20*Data!BL20,"")</f>
        <v/>
      </c>
      <c r="AZ20" s="70">
        <f t="shared" si="26"/>
        <v>11.444527177959793</v>
      </c>
      <c r="BA20" s="70"/>
      <c r="BB20" s="70"/>
      <c r="BC20" s="70">
        <f t="shared" si="27"/>
        <v>21.415640682388641</v>
      </c>
      <c r="BD20" s="70" t="str">
        <f t="shared" si="28"/>
        <v/>
      </c>
      <c r="BE20" s="70" t="str">
        <f t="shared" si="29"/>
        <v/>
      </c>
      <c r="BF20" s="70">
        <f t="shared" si="30"/>
        <v>3.6019834557628259</v>
      </c>
      <c r="BG20" s="70" t="str">
        <f t="shared" si="31"/>
        <v/>
      </c>
      <c r="BH20" s="67" t="e">
        <f>MAX((CE20-Driver!$F$200)/(Driver!$G$200-Driver!$F$200)*$BI$1,1)</f>
        <v>#VALUE!</v>
      </c>
      <c r="BI20" s="67">
        <f>MAX($BI$1*(BY20-Driver!$F$201)/(Driver!$G$201-Driver!$F$201),1)</f>
        <v>6.7088607594936711</v>
      </c>
      <c r="BJ20" s="67">
        <f>(CB20-Driver!$F$206)/(Driver!$G$206-Driver!$F$206)*$BI$1</f>
        <v>4.4444444444444446</v>
      </c>
      <c r="BK20" s="67">
        <f>(CD20-Driver!$F$203)/(Driver!$G$203-Driver!$F$203)*$BI$1</f>
        <v>3.9449541284403673</v>
      </c>
      <c r="BL20" s="67">
        <f>MAX((CR20-Driver!$F$202)/(Driver!$G$202-Driver!$F$202)*$BI$1,1)</f>
        <v>5.1724137931034484</v>
      </c>
      <c r="BM20" s="67">
        <f>MAX((CH20-Driver!$F$204)/(Driver!$G$204-Driver!$F$204)*$BI$1,1)</f>
        <v>2.0085470085470085</v>
      </c>
      <c r="BN20" s="67">
        <f>(CI20-Driver!$F$205)/(Driver!$G$205-Driver!$F$205)*$BI$1</f>
        <v>1.7058823529411766</v>
      </c>
      <c r="BO20" s="67">
        <f>(CK20-Driver!$F$207)/(Driver!$G$207-Driver!$F$207)*$BI$1</f>
        <v>1.6442605997931747</v>
      </c>
      <c r="BP20" s="67">
        <f>(CM20-Driver!$F$208)/(Driver!$G$208-Driver!$F$208)*$BI$1</f>
        <v>1.9444444444444444</v>
      </c>
      <c r="BQ20" s="67">
        <f>(CL20-Driver!$F$209)/(Driver!$G$209-Driver!$F$209)*$BI$1</f>
        <v>5.15625</v>
      </c>
      <c r="BR20" s="28" t="s">
        <v>155</v>
      </c>
      <c r="BS20" s="8" t="s">
        <v>180</v>
      </c>
      <c r="BT20" s="9" t="s">
        <v>181</v>
      </c>
      <c r="BU20" s="10">
        <v>160</v>
      </c>
      <c r="BV20" s="9" t="s">
        <v>163</v>
      </c>
      <c r="BW20" s="10">
        <v>160</v>
      </c>
      <c r="BX20" s="10">
        <v>158.30000000000001</v>
      </c>
      <c r="BY20" s="10">
        <v>114</v>
      </c>
      <c r="BZ20" s="10">
        <v>141</v>
      </c>
      <c r="CA20" s="10">
        <v>126</v>
      </c>
      <c r="CB20" s="10">
        <v>92</v>
      </c>
      <c r="CC20" s="10">
        <v>115</v>
      </c>
      <c r="CD20" s="10">
        <v>18</v>
      </c>
      <c r="CE20" s="9" t="s">
        <v>159</v>
      </c>
      <c r="CF20" s="9" t="s">
        <v>159</v>
      </c>
      <c r="CG20" s="10">
        <v>1594</v>
      </c>
      <c r="CH20" s="10">
        <v>148</v>
      </c>
      <c r="CI20" s="10">
        <v>62</v>
      </c>
      <c r="CJ20" s="10">
        <v>56</v>
      </c>
      <c r="CK20" s="10">
        <v>269</v>
      </c>
      <c r="CL20" s="10">
        <v>33</v>
      </c>
      <c r="CM20" s="10">
        <v>175</v>
      </c>
      <c r="CN20" s="10">
        <v>0.59399999999999997</v>
      </c>
      <c r="CO20" s="10">
        <v>96</v>
      </c>
      <c r="CP20" s="10">
        <v>74</v>
      </c>
      <c r="CQ20" s="10">
        <v>173</v>
      </c>
      <c r="CR20" s="10">
        <v>4</v>
      </c>
      <c r="CS20" s="10">
        <v>6.9</v>
      </c>
      <c r="CT20" s="9" t="s">
        <v>160</v>
      </c>
      <c r="CU20" s="10"/>
      <c r="CV20" s="10"/>
      <c r="CW20" s="10"/>
      <c r="CX20" t="str">
        <f>INDEX('Data_Price '!AG$2:AG$1266,MATCH(Data!$DN20,'Data_Price '!$AT$2:$AT$1266,0))</f>
        <v>Scott Scrapper 95 Skis - Women's 2021 - Sample</v>
      </c>
      <c r="CY20" t="str">
        <f>INDEX('Data_Price '!AH$2:AH$1266,MATCH(Data!$DN20,'Data_Price '!$AT$2:$AT$1266,0))</f>
        <v>Next Adventure</v>
      </c>
      <c r="CZ20">
        <f>INDEX('Data_Price '!AI$2:AI$1266,MATCH(Data!$DN20,'Data_Price '!$AT$2:$AT$1266,0))</f>
        <v>419.97</v>
      </c>
      <c r="DA20" t="str">
        <f>INDEX('Data_Price '!AJ$2:AJ$1266,MATCH(Data!$DN20,'Data_Price '!$AT$2:$AT$1266,0))</f>
        <v>https://tinyurl.com/yarfvofk</v>
      </c>
      <c r="DB20" t="str">
        <f>INDEX('Data_Price '!AK$2:AK$1266,MATCH(Data!$DN20,'Data_Price '!$AT$2:$AT$1266,0))</f>
        <v>Scott Ski Scrapper 95 W's - 160</v>
      </c>
      <c r="DC20" t="str">
        <f>INDEX('Data_Price '!AL$2:AL$1266,MATCH(Data!$DN20,'Data_Price '!$AT$2:$AT$1266,0))</f>
        <v>eXXpozed.com</v>
      </c>
      <c r="DD20">
        <f>INDEX('Data_Price '!AM$2:AM$1266,MATCH(Data!$DN20,'Data_Price '!$AT$2:$AT$1266,0))</f>
        <v>485.38</v>
      </c>
      <c r="DE20" t="str">
        <f>INDEX('Data_Price '!AN$2:AN$1266,MATCH(Data!$DN20,'Data_Price '!$AT$2:$AT$1266,0))</f>
        <v>https://tinyurl.com/ycxugxd7</v>
      </c>
      <c r="DF20" t="str">
        <f>INDEX('Data_Price '!AO$2:AO$1266,MATCH(Data!$DN20,'Data_Price '!$AT$2:$AT$1266,0))</f>
        <v>Scott Women's Scrapper 95 Skis Â· 160 cm</v>
      </c>
      <c r="DG20" t="str">
        <f>INDEX('Data_Price '!AP$2:AP$1266,MATCH(Data!$DN20,'Data_Price '!$AT$2:$AT$1266,0))</f>
        <v>evo.com</v>
      </c>
      <c r="DH20">
        <f>INDEX('Data_Price '!AQ$2:AQ$1266,MATCH(Data!$DN20,'Data_Price '!$AT$2:$AT$1266,0))</f>
        <v>560</v>
      </c>
      <c r="DI20" t="str">
        <f>INDEX('Data_Price '!AR$2:AR$1266,MATCH(Data!$DN20,'Data_Price '!$AT$2:$AT$1266,0))</f>
        <v>https://tinyurl.com/ycyppnz6</v>
      </c>
      <c r="DJ20" s="89" t="str">
        <f t="shared" si="32"/>
        <v>https://tinyurl.com/yarfvofk</v>
      </c>
      <c r="DK20" s="89" t="str">
        <f t="shared" si="33"/>
        <v>https://tinyurl.com/ycxugxd7</v>
      </c>
      <c r="DL20" s="89" t="str">
        <f t="shared" si="34"/>
        <v>https://tinyurl.com/ycyppnz6</v>
      </c>
      <c r="DM20" s="219" t="str">
        <f t="shared" si="35"/>
        <v>Scrapper 95 W</v>
      </c>
      <c r="DN20" s="89" t="str">
        <f t="shared" si="36"/>
        <v xml:space="preserve"> ScottScrapper 95 W160 Women's</v>
      </c>
      <c r="DO20" s="221"/>
    </row>
    <row r="21" spans="2:119" ht="15.6" customHeight="1">
      <c r="B21" s="219" t="b">
        <f t="array" ref="B21">IF(OR(ISERROR(K21:P21)),FALSE,TRUE)</f>
        <v>0</v>
      </c>
      <c r="C21" s="43" t="b">
        <f>OR(BR21=Driver!$G$50,Data!BR1119=Driver!$H$50)</f>
        <v>1</v>
      </c>
      <c r="D21" s="43" t="b">
        <f>OR(BV21=Driver!$G$51,BV21=Driver!$H$51)</f>
        <v>0</v>
      </c>
      <c r="E21" s="43" t="b">
        <f>AND(BX21&gt;Driver!$F$54,BX21&lt;Driver!$G$54)</f>
        <v>0</v>
      </c>
      <c r="F21" s="43" t="b">
        <f>CL21&gt;Driver!$F$56</f>
        <v>1</v>
      </c>
      <c r="G21" s="43" t="b">
        <f>AND(CB21&gt;Driver!$F$55,CB21&lt;Driver!$G$55)</f>
        <v>0</v>
      </c>
      <c r="H21" s="43" t="b">
        <f t="shared" si="0"/>
        <v>0</v>
      </c>
      <c r="I21" s="43">
        <f t="shared" si="1"/>
        <v>0</v>
      </c>
      <c r="J21" s="43" t="b">
        <f t="array" ref="J21">NOT(OR(($H$9:$H$1273=TRUE)*($I$9:$I$1273&gt;0)*($BT$9:$BT$1273=BT21)*($K$9:$K$1273&gt;K21)))</f>
        <v>1</v>
      </c>
      <c r="K21" s="72" t="str">
        <f t="shared" si="2"/>
        <v/>
      </c>
      <c r="L21" s="72">
        <f t="shared" si="3"/>
        <v>0.84859261231104699</v>
      </c>
      <c r="M21" s="72" t="e">
        <f t="shared" si="4"/>
        <v>#VALUE!</v>
      </c>
      <c r="N21" s="72" t="e">
        <f t="shared" si="5"/>
        <v>#VALUE!</v>
      </c>
      <c r="O21" s="72" t="e">
        <f t="shared" si="6"/>
        <v>#VALUE!</v>
      </c>
      <c r="P21" s="72">
        <f t="shared" si="7"/>
        <v>0.88761065607677669</v>
      </c>
      <c r="Q21" s="72"/>
      <c r="R21" s="72"/>
      <c r="S21" s="72">
        <f t="shared" si="8"/>
        <v>0.4343458759976534</v>
      </c>
      <c r="T21" s="72" t="e">
        <f t="shared" si="9"/>
        <v>#VALUE!</v>
      </c>
      <c r="U21" s="72" t="e">
        <f t="shared" si="10"/>
        <v>#VALUE!</v>
      </c>
      <c r="V21" s="72">
        <f t="shared" si="11"/>
        <v>0.52055211202065732</v>
      </c>
      <c r="W21" s="72" t="e">
        <f t="shared" si="12"/>
        <v>#VALUE!</v>
      </c>
      <c r="X21" s="72">
        <f t="shared" si="13"/>
        <v>0.15140738768895295</v>
      </c>
      <c r="Y21" s="72" t="e">
        <f t="shared" si="14"/>
        <v>#VALUE!</v>
      </c>
      <c r="Z21" s="72" t="e">
        <f t="shared" si="15"/>
        <v>#VALUE!</v>
      </c>
      <c r="AA21" s="72" t="e">
        <f t="shared" si="16"/>
        <v>#VALUE!</v>
      </c>
      <c r="AB21" s="72">
        <f t="shared" si="17"/>
        <v>0.11238934392322331</v>
      </c>
      <c r="AC21" s="72"/>
      <c r="AD21" s="72"/>
      <c r="AE21" s="72">
        <f t="shared" si="18"/>
        <v>0.5656541240023466</v>
      </c>
      <c r="AF21" s="72" t="e">
        <f t="shared" si="19"/>
        <v>#VALUE!</v>
      </c>
      <c r="AG21" s="72" t="e">
        <f t="shared" si="20"/>
        <v>#VALUE!</v>
      </c>
      <c r="AH21" s="72">
        <f t="shared" si="21"/>
        <v>0.47944788797934268</v>
      </c>
      <c r="AI21" s="72" t="e">
        <f t="shared" si="22"/>
        <v>#VALUE!</v>
      </c>
      <c r="AJ21" s="72">
        <f>(AV21-Driver!$K$179)/(Driver!$L$179-Driver!$K$179)</f>
        <v>0.10281202159374746</v>
      </c>
      <c r="AK21" s="72">
        <f>(AW21-Driver!$K$180)/(Driver!$L$180-Driver!$K$180)</f>
        <v>0.11342623661024302</v>
      </c>
      <c r="AL21" s="72" t="e">
        <f>(AX21-Driver!$K$181)/(Driver!$L$181-Driver!$K$181)</f>
        <v>#VALUE!</v>
      </c>
      <c r="AM21" s="72" t="e">
        <f>(AY21-Driver!$K$182)/(Driver!$L$182-Driver!$K$182)</f>
        <v>#VALUE!</v>
      </c>
      <c r="AN21" s="72">
        <f>(AZ21-Driver!$K$183)/(Driver!$L$183-Driver!$K$183)</f>
        <v>0.14183006535947712</v>
      </c>
      <c r="AO21" s="72"/>
      <c r="AP21" s="72"/>
      <c r="AQ21" s="72">
        <f>(BC21-Driver!$K$188)/(Driver!$L$188-Driver!$K$188)</f>
        <v>5.4345875997653358E-2</v>
      </c>
      <c r="AR21" s="72" t="e">
        <f>MIN((BD21-Driver!$K$189)/(Driver!$L$189-Driver!$K$189),100%)</f>
        <v>#VALUE!</v>
      </c>
      <c r="AS21" s="72" t="e">
        <f>(BE21-Driver!$K$190)/(Driver!$L$190-Driver!$K$190)</f>
        <v>#VALUE!</v>
      </c>
      <c r="AT21" s="72">
        <f>(BF21-Driver!$K$191)/(Driver!$L$191-Driver!$K$191)</f>
        <v>3.0552112020657312E-2</v>
      </c>
      <c r="AU21" s="72" t="e">
        <f>(BG21-Driver!$K$192)/(Driver!$L$192-Driver!$K$192)</f>
        <v>#VALUE!</v>
      </c>
      <c r="AV21" s="70">
        <f t="shared" si="23"/>
        <v>2.1638854972188302</v>
      </c>
      <c r="AW21" s="70">
        <f t="shared" si="24"/>
        <v>12.926284437825762</v>
      </c>
      <c r="AX21" s="70" t="str">
        <f t="shared" si="25"/>
        <v/>
      </c>
      <c r="AY21" s="70" t="str">
        <f>IFERROR(Driver!$K$19/Data!BH21/Data!BI21*Data!BK21*Data!BL21,"")</f>
        <v/>
      </c>
      <c r="AZ21" s="70">
        <f t="shared" si="26"/>
        <v>12.926284437825762</v>
      </c>
      <c r="BA21" s="70"/>
      <c r="BB21" s="70"/>
      <c r="BC21" s="70">
        <f t="shared" si="27"/>
        <v>28.189583686383358</v>
      </c>
      <c r="BD21" s="70" t="str">
        <f t="shared" si="28"/>
        <v/>
      </c>
      <c r="BE21" s="70" t="str">
        <f t="shared" si="29"/>
        <v/>
      </c>
      <c r="BF21" s="70">
        <f t="shared" si="30"/>
        <v>3.4506464119984792</v>
      </c>
      <c r="BG21" s="70" t="str">
        <f t="shared" si="31"/>
        <v/>
      </c>
      <c r="BH21" s="67" t="e">
        <f>MAX((CE21-Driver!$F$200)/(Driver!$G$200-Driver!$F$200)*$BI$1,1)</f>
        <v>#VALUE!</v>
      </c>
      <c r="BI21" s="67">
        <f>MAX($BI$1*(BY21-Driver!$F$201)/(Driver!$G$201-Driver!$F$201),1)</f>
        <v>7.0886075949367084</v>
      </c>
      <c r="BJ21" s="67">
        <f>(CB21-Driver!$F$206)/(Driver!$G$206-Driver!$F$206)*$BI$1</f>
        <v>4.6031746031746028</v>
      </c>
      <c r="BK21" s="67">
        <f>(CD21-Driver!$F$203)/(Driver!$G$203-Driver!$F$203)*$BI$1</f>
        <v>4.678899082568809</v>
      </c>
      <c r="BL21" s="67">
        <f>MAX((CR21-Driver!$F$202)/(Driver!$G$202-Driver!$F$202)*$BI$1,1)</f>
        <v>5.5172413793103452</v>
      </c>
      <c r="BM21" s="67">
        <f>MAX((CH21-Driver!$F$204)/(Driver!$G$204-Driver!$F$204)*$BI$1,1)</f>
        <v>1.8803418803418803</v>
      </c>
      <c r="BN21" s="67">
        <f>(CI21-Driver!$F$205)/(Driver!$G$205-Driver!$F$205)*$BI$1</f>
        <v>1.8235294117647058</v>
      </c>
      <c r="BO21" s="67">
        <f>(CK21-Driver!$F$207)/(Driver!$G$207-Driver!$F$207)*$BI$1</f>
        <v>1.9131334022750777</v>
      </c>
      <c r="BP21" s="67">
        <f>(CM21-Driver!$F$208)/(Driver!$G$208-Driver!$F$208)*$BI$1</f>
        <v>1.8333333333333333</v>
      </c>
      <c r="BQ21" s="67">
        <f>(CL21-Driver!$F$209)/(Driver!$G$209-Driver!$F$209)*$BI$1</f>
        <v>5.3125</v>
      </c>
      <c r="BR21" s="28" t="s">
        <v>155</v>
      </c>
      <c r="BS21" s="8" t="s">
        <v>180</v>
      </c>
      <c r="BT21" s="9" t="s">
        <v>181</v>
      </c>
      <c r="BU21" s="10">
        <v>168</v>
      </c>
      <c r="BV21" s="9" t="s">
        <v>163</v>
      </c>
      <c r="BW21" s="10">
        <v>168</v>
      </c>
      <c r="BX21" s="10">
        <v>166.5</v>
      </c>
      <c r="BY21" s="10">
        <v>120</v>
      </c>
      <c r="BZ21" s="10">
        <v>149</v>
      </c>
      <c r="CA21" s="10">
        <v>128</v>
      </c>
      <c r="CB21" s="10">
        <v>93</v>
      </c>
      <c r="CC21" s="10">
        <v>117</v>
      </c>
      <c r="CD21" s="10">
        <v>19.600000000000001</v>
      </c>
      <c r="CE21" s="9" t="s">
        <v>159</v>
      </c>
      <c r="CF21" s="9" t="s">
        <v>159</v>
      </c>
      <c r="CG21" s="10">
        <v>1695</v>
      </c>
      <c r="CH21" s="10">
        <v>145</v>
      </c>
      <c r="CI21" s="10">
        <v>64</v>
      </c>
      <c r="CJ21" s="10">
        <v>59</v>
      </c>
      <c r="CK21" s="10">
        <v>295</v>
      </c>
      <c r="CL21" s="10">
        <v>34</v>
      </c>
      <c r="CM21" s="10">
        <v>165</v>
      </c>
      <c r="CN21" s="10">
        <v>0.57799999999999996</v>
      </c>
      <c r="CO21" s="10">
        <v>105</v>
      </c>
      <c r="CP21" s="10">
        <v>75</v>
      </c>
      <c r="CQ21" s="10">
        <v>190</v>
      </c>
      <c r="CR21" s="10">
        <v>5</v>
      </c>
      <c r="CS21" s="10">
        <v>7</v>
      </c>
      <c r="CT21" s="9" t="s">
        <v>160</v>
      </c>
      <c r="CU21" s="10"/>
      <c r="CV21" s="10"/>
      <c r="CW21" s="10"/>
      <c r="CX21" t="str">
        <f>INDEX('Data_Price '!AG$2:AG$1266,MATCH(Data!$DN21,'Data_Price '!$AT$2:$AT$1266,0))</f>
        <v>Scott Sports W's Scrapper 95 Womens Skis - Multicolour</v>
      </c>
      <c r="CY21" t="str">
        <f>INDEX('Data_Price '!AH$2:AH$1266,MATCH(Data!$DN21,'Data_Price '!$AT$2:$AT$1266,0))</f>
        <v>Surfdome US</v>
      </c>
      <c r="CZ21">
        <f>INDEX('Data_Price '!AI$2:AI$1266,MATCH(Data!$DN21,'Data_Price '!$AT$2:$AT$1266,0))</f>
        <v>317.95</v>
      </c>
      <c r="DA21" t="str">
        <f>INDEX('Data_Price '!AJ$2:AJ$1266,MATCH(Data!$DN21,'Data_Price '!$AT$2:$AT$1266,0))</f>
        <v>https://tinyurl.com/y797pytx</v>
      </c>
      <c r="DB21" t="str">
        <f>INDEX('Data_Price '!AK$2:AK$1266,MATCH(Data!$DN21,'Data_Price '!$AT$2:$AT$1266,0))</f>
        <v>Scott Sports W's Scrapper 95 Womens Skis - Multicolour</v>
      </c>
      <c r="DC21" t="str">
        <f>INDEX('Data_Price '!AL$2:AL$1266,MATCH(Data!$DN21,'Data_Price '!$AT$2:$AT$1266,0))</f>
        <v>eBay - extremepiestores</v>
      </c>
      <c r="DD21">
        <f>INDEX('Data_Price '!AM$2:AM$1266,MATCH(Data!$DN21,'Data_Price '!$AT$2:$AT$1266,0))</f>
        <v>357.82</v>
      </c>
      <c r="DE21" t="str">
        <f>INDEX('Data_Price '!AN$2:AN$1266,MATCH(Data!$DN21,'Data_Price '!$AT$2:$AT$1266,0))</f>
        <v>https://tinyurl.com/yc2s4rod</v>
      </c>
      <c r="DF21" t="str">
        <f>INDEX('Data_Price '!AO$2:AO$1266,MATCH(Data!$DN21,'Data_Price '!$AT$2:$AT$1266,0))</f>
        <v>Scott Scrapper 95 Skis - Women's 2021 - Sample</v>
      </c>
      <c r="DG21" t="str">
        <f>INDEX('Data_Price '!AP$2:AP$1266,MATCH(Data!$DN21,'Data_Price '!$AT$2:$AT$1266,0))</f>
        <v>Next Adventure</v>
      </c>
      <c r="DH21">
        <f>INDEX('Data_Price '!AQ$2:AQ$1266,MATCH(Data!$DN21,'Data_Price '!$AT$2:$AT$1266,0))</f>
        <v>419.97</v>
      </c>
      <c r="DI21" t="str">
        <f>INDEX('Data_Price '!AR$2:AR$1266,MATCH(Data!$DN21,'Data_Price '!$AT$2:$AT$1266,0))</f>
        <v>https://tinyurl.com/y9dwxeax</v>
      </c>
      <c r="DJ21" s="89" t="str">
        <f t="shared" si="32"/>
        <v>https://tinyurl.com/y797pytx</v>
      </c>
      <c r="DK21" s="89" t="str">
        <f t="shared" si="33"/>
        <v>https://tinyurl.com/yc2s4rod</v>
      </c>
      <c r="DL21" s="89" t="str">
        <f t="shared" si="34"/>
        <v>https://tinyurl.com/y9dwxeax</v>
      </c>
      <c r="DM21" s="219" t="str">
        <f t="shared" si="35"/>
        <v>Scrapper 95 W</v>
      </c>
      <c r="DN21" s="89" t="str">
        <f t="shared" si="36"/>
        <v xml:space="preserve"> ScottScrapper 95 W168 Women's</v>
      </c>
      <c r="DO21" s="221"/>
    </row>
    <row r="22" spans="2:119" ht="15.6" customHeight="1">
      <c r="B22" s="219" t="b">
        <f t="array" ref="B22">IF(OR(ISERROR(K22:P22)),FALSE,TRUE)</f>
        <v>1</v>
      </c>
      <c r="C22" s="43" t="b">
        <f>OR(BR22=Driver!$G$50,Data!BR28=Driver!$H$50)</f>
        <v>1</v>
      </c>
      <c r="D22" s="43" t="b">
        <f>OR(BV22=Driver!$G$51,BV22=Driver!$H$51)</f>
        <v>1</v>
      </c>
      <c r="E22" s="43" t="b">
        <f>AND(BX22&gt;Driver!$F$54,BX22&lt;Driver!$G$54)</f>
        <v>1</v>
      </c>
      <c r="F22" s="43" t="b">
        <f>CL22&gt;Driver!$F$56</f>
        <v>1</v>
      </c>
      <c r="G22" s="43" t="b">
        <f>AND(CB22&gt;Driver!$F$55,CB22&lt;Driver!$G$55)</f>
        <v>0</v>
      </c>
      <c r="H22" s="43" t="b">
        <f t="shared" si="0"/>
        <v>0</v>
      </c>
      <c r="I22" s="43">
        <f t="shared" si="1"/>
        <v>0</v>
      </c>
      <c r="J22" s="43" t="b">
        <f t="array" ref="J22">NOT(OR(($H$9:$H$1273=TRUE)*($I$9:$I$1273&gt;0)*($BT$9:$BT$1273=BT22)*($K$9:$K$1273&gt;K22)))</f>
        <v>1</v>
      </c>
      <c r="K22" s="72">
        <f t="shared" si="2"/>
        <v>0.89465095885637824</v>
      </c>
      <c r="L22" s="72">
        <f t="shared" si="3"/>
        <v>0.98711764471900698</v>
      </c>
      <c r="M22" s="72">
        <f t="shared" si="4"/>
        <v>0.80218427299374939</v>
      </c>
      <c r="N22" s="72">
        <f t="shared" si="5"/>
        <v>0.75937447717668616</v>
      </c>
      <c r="O22" s="72">
        <f t="shared" si="6"/>
        <v>0.66965755500883106</v>
      </c>
      <c r="P22" s="72">
        <f t="shared" si="7"/>
        <v>0.97752078679573096</v>
      </c>
      <c r="Q22" s="72"/>
      <c r="R22" s="72"/>
      <c r="S22" s="72">
        <f t="shared" si="8"/>
        <v>0.42463980742686758</v>
      </c>
      <c r="T22" s="72">
        <f t="shared" si="9"/>
        <v>0.45854189181196969</v>
      </c>
      <c r="U22" s="72">
        <f t="shared" si="10"/>
        <v>0.51187772000435661</v>
      </c>
      <c r="V22" s="72">
        <f t="shared" si="11"/>
        <v>0.6617656666617131</v>
      </c>
      <c r="W22" s="72">
        <f t="shared" si="12"/>
        <v>0.95384937238493728</v>
      </c>
      <c r="X22" s="72">
        <f t="shared" si="13"/>
        <v>1.2882355280993019E-2</v>
      </c>
      <c r="Y22" s="72">
        <f t="shared" si="14"/>
        <v>0.19781572700625061</v>
      </c>
      <c r="Z22" s="72">
        <f t="shared" si="15"/>
        <v>0.2406255228233139</v>
      </c>
      <c r="AA22" s="72">
        <f t="shared" si="16"/>
        <v>0.33034244499116888</v>
      </c>
      <c r="AB22" s="72">
        <f t="shared" si="17"/>
        <v>2.2479213204269044E-2</v>
      </c>
      <c r="AC22" s="72"/>
      <c r="AD22" s="72"/>
      <c r="AE22" s="72">
        <f t="shared" si="18"/>
        <v>0.57536019257313242</v>
      </c>
      <c r="AF22" s="72">
        <f t="shared" si="19"/>
        <v>0.54145810818803031</v>
      </c>
      <c r="AG22" s="72">
        <f t="shared" si="20"/>
        <v>0.48812227999564339</v>
      </c>
      <c r="AH22" s="72">
        <f t="shared" si="21"/>
        <v>0.33823433333828684</v>
      </c>
      <c r="AI22" s="72">
        <f t="shared" si="22"/>
        <v>4.615062761506275E-2</v>
      </c>
      <c r="AJ22" s="72">
        <f>(AV22-Driver!$K$179)/(Driver!$L$179-Driver!$K$179)</f>
        <v>0.26710176456369344</v>
      </c>
      <c r="AK22" s="72">
        <f>(AW22-Driver!$K$180)/(Driver!$L$180-Driver!$K$180)</f>
        <v>0.24084877702171714</v>
      </c>
      <c r="AL22" s="72">
        <f>(AX22-Driver!$K$181)/(Driver!$L$181-Driver!$K$181)</f>
        <v>0.34231328653639409</v>
      </c>
      <c r="AM22" s="72">
        <f>(AY22-Driver!$K$182)/(Driver!$L$182-Driver!$K$182)</f>
        <v>0.11704257610587747</v>
      </c>
      <c r="AN22" s="72">
        <f>(AZ22-Driver!$K$183)/(Driver!$L$183-Driver!$K$183)</f>
        <v>0.23174019607843138</v>
      </c>
      <c r="AO22" s="72"/>
      <c r="AP22" s="72"/>
      <c r="AQ22" s="72">
        <f>(BC22-Driver!$K$188)/(Driver!$L$188-Driver!$K$188)</f>
        <v>4.4639807426867559E-2</v>
      </c>
      <c r="AR22" s="72">
        <f>MIN((BD22-Driver!$K$189)/(Driver!$L$189-Driver!$K$189),100%)</f>
        <v>8.5418918119697738E-3</v>
      </c>
      <c r="AS22" s="72">
        <f>(BE22-Driver!$K$190)/(Driver!$L$190-Driver!$K$190)</f>
        <v>2.1877720004356626E-2</v>
      </c>
      <c r="AT22" s="72">
        <f>(BF22-Driver!$K$191)/(Driver!$L$191-Driver!$K$191)</f>
        <v>0.17176566666171317</v>
      </c>
      <c r="AU22" s="72">
        <f>(BG22-Driver!$K$192)/(Driver!$L$192-Driver!$K$192)</f>
        <v>0.20384937238493725</v>
      </c>
      <c r="AV22" s="70">
        <f t="shared" si="23"/>
        <v>5.621693121693121</v>
      </c>
      <c r="AW22" s="70">
        <f t="shared" si="24"/>
        <v>25.344740079491327</v>
      </c>
      <c r="AX22" s="70">
        <f t="shared" si="25"/>
        <v>4.0808195788275468</v>
      </c>
      <c r="AY22" s="70">
        <f>IFERROR(Driver!$K$19/Data!BH22/Data!BI22*Data!BK22*Data!BL22,"")</f>
        <v>0.14329503528775481</v>
      </c>
      <c r="AZ22" s="70">
        <f t="shared" si="26"/>
        <v>21.120625465376026</v>
      </c>
      <c r="BA22" s="70"/>
      <c r="BB22" s="70"/>
      <c r="BC22" s="70">
        <f t="shared" si="27"/>
        <v>23.154978443222756</v>
      </c>
      <c r="BD22" s="70">
        <f t="shared" si="28"/>
        <v>2.476765174120366</v>
      </c>
      <c r="BE22" s="70">
        <f t="shared" si="29"/>
        <v>2.2052206009872642E-2</v>
      </c>
      <c r="BF22" s="70">
        <f t="shared" si="30"/>
        <v>19.399725327336494</v>
      </c>
      <c r="BG22" s="70">
        <f t="shared" si="31"/>
        <v>0.77190376569037666</v>
      </c>
      <c r="BH22" s="67">
        <f>MAX((CE22-Driver!$F$200)/(Driver!$G$200-Driver!$F$200)*$BI$1,1)</f>
        <v>4.0808195788275468</v>
      </c>
      <c r="BI22" s="67">
        <f>MAX($BI$1*(BY22-Driver!$F$201)/(Driver!$G$201-Driver!$F$201),1)</f>
        <v>5.8860759493670889</v>
      </c>
      <c r="BJ22" s="67">
        <f>(CB22-Driver!$F$206)/(Driver!$G$206-Driver!$F$206)*$BI$1</f>
        <v>8.0952380952380949</v>
      </c>
      <c r="BK22" s="67">
        <f>(CD22-Driver!$F$203)/(Driver!$G$203-Driver!$F$203)*$BI$1</f>
        <v>3.1192660550458715</v>
      </c>
      <c r="BL22" s="67">
        <f>MAX((CR22-Driver!$F$202)/(Driver!$G$202-Driver!$F$202)*$BI$1,1)</f>
        <v>5.5172413793103452</v>
      </c>
      <c r="BM22" s="67">
        <f>MAX((CH22-Driver!$F$204)/(Driver!$G$204-Driver!$F$204)*$BI$1,1)</f>
        <v>2.7777777777777777</v>
      </c>
      <c r="BN22" s="67">
        <f>(CI22-Driver!$F$205)/(Driver!$G$205-Driver!$F$205)*$BI$1</f>
        <v>3.5882352941176472</v>
      </c>
      <c r="BO22" s="67">
        <f>(CK22-Driver!$F$207)/(Driver!$G$207-Driver!$F$207)*$BI$1</f>
        <v>2.2130299896587382</v>
      </c>
      <c r="BP22" s="67">
        <f>(CM22-Driver!$F$208)/(Driver!$G$208-Driver!$F$208)*$BI$1</f>
        <v>3.3777777777777778</v>
      </c>
      <c r="BQ22" s="67">
        <f>(CL22-Driver!$F$209)/(Driver!$G$209-Driver!$F$209)*$BI$1</f>
        <v>8.75</v>
      </c>
      <c r="BR22" s="28" t="s">
        <v>155</v>
      </c>
      <c r="BS22" s="8" t="s">
        <v>182</v>
      </c>
      <c r="BT22" s="9" t="s">
        <v>183</v>
      </c>
      <c r="BU22" s="10">
        <v>165</v>
      </c>
      <c r="BV22" s="9" t="s">
        <v>158</v>
      </c>
      <c r="BW22" s="10">
        <v>165</v>
      </c>
      <c r="BX22" s="10">
        <v>163.4</v>
      </c>
      <c r="BY22" s="10">
        <v>101</v>
      </c>
      <c r="BZ22" s="10">
        <v>122</v>
      </c>
      <c r="CA22" s="10">
        <v>137</v>
      </c>
      <c r="CB22" s="10">
        <v>115</v>
      </c>
      <c r="CC22" s="10">
        <v>133</v>
      </c>
      <c r="CD22" s="10">
        <v>16.2</v>
      </c>
      <c r="CE22" s="10">
        <v>1617</v>
      </c>
      <c r="CF22" s="10">
        <v>1.24</v>
      </c>
      <c r="CG22" s="10">
        <v>2008</v>
      </c>
      <c r="CH22" s="10">
        <v>166</v>
      </c>
      <c r="CI22" s="10">
        <v>94</v>
      </c>
      <c r="CJ22" s="10">
        <v>57</v>
      </c>
      <c r="CK22" s="10">
        <v>324</v>
      </c>
      <c r="CL22" s="10">
        <v>56</v>
      </c>
      <c r="CM22" s="10">
        <v>304</v>
      </c>
      <c r="CN22" s="10">
        <v>0.98699999999999999</v>
      </c>
      <c r="CO22" s="10">
        <v>226</v>
      </c>
      <c r="CP22" s="10">
        <v>188</v>
      </c>
      <c r="CQ22" s="10">
        <v>98</v>
      </c>
      <c r="CR22" s="10">
        <v>5</v>
      </c>
      <c r="CS22" s="10">
        <v>5.8</v>
      </c>
      <c r="CT22" s="9" t="s">
        <v>184</v>
      </c>
      <c r="CU22" s="9" t="s">
        <v>169</v>
      </c>
      <c r="CV22" s="9" t="s">
        <v>185</v>
      </c>
      <c r="CW22" s="10"/>
      <c r="CX22" t="str">
        <f>INDEX('Data_Price '!AG$2:AG$1266,MATCH(Data!$DN22,'Data_Price '!$AT$2:$AT$1266,0))</f>
        <v>Armada ARV 116 Jj UL Skis 2022 - 165</v>
      </c>
      <c r="CY22" t="str">
        <f>INDEX('Data_Price '!AH$2:AH$1266,MATCH(Data!$DN22,'Data_Price '!$AT$2:$AT$1266,0))</f>
        <v>Blue Tomato</v>
      </c>
      <c r="CZ22">
        <f>INDEX('Data_Price '!AI$2:AI$1266,MATCH(Data!$DN22,'Data_Price '!$AT$2:$AT$1266,0))</f>
        <v>553.33000000000004</v>
      </c>
      <c r="DA22" t="str">
        <f>INDEX('Data_Price '!AJ$2:AJ$1266,MATCH(Data!$DN22,'Data_Price '!$AT$2:$AT$1266,0))</f>
        <v>https://tinyurl.com/yceonvas</v>
      </c>
      <c r="DB22" t="str">
        <f>INDEX('Data_Price '!AK$2:AK$1266,MATCH(Data!$DN22,'Data_Price '!$AT$2:$AT$1266,0))</f>
        <v>Armada ARW 116 VJJ UL Skis - Women's 2022</v>
      </c>
      <c r="DC22" t="str">
        <f>INDEX('Data_Price '!AL$2:AL$1266,MATCH(Data!$DN22,'Data_Price '!$AT$2:$AT$1266,0))</f>
        <v>PRFO Sports</v>
      </c>
      <c r="DD22">
        <f>INDEX('Data_Price '!AM$2:AM$1266,MATCH(Data!$DN22,'Data_Price '!$AT$2:$AT$1266,0))</f>
        <v>544.54999999999995</v>
      </c>
      <c r="DE22" t="str">
        <f>INDEX('Data_Price '!AN$2:AN$1266,MATCH(Data!$DN22,'Data_Price '!$AT$2:$AT$1266,0))</f>
        <v>https://tinyurl.com/yacjbmbp</v>
      </c>
      <c r="DF22" t="str">
        <f>INDEX('Data_Price '!AO$2:AO$1266,MATCH(Data!$DN22,'Data_Price '!$AT$2:$AT$1266,0))</f>
        <v>Armada ARW 116 VJJ UL Skis - Women's 2022</v>
      </c>
      <c r="DG22" t="str">
        <f>INDEX('Data_Price '!AP$2:AP$1266,MATCH(Data!$DN22,'Data_Price '!$AT$2:$AT$1266,0))</f>
        <v>Curated</v>
      </c>
      <c r="DH22">
        <f>INDEX('Data_Price '!AQ$2:AQ$1266,MATCH(Data!$DN22,'Data_Price '!$AT$2:$AT$1266,0))</f>
        <v>599</v>
      </c>
      <c r="DI22" t="str">
        <f>INDEX('Data_Price '!AR$2:AR$1266,MATCH(Data!$DN22,'Data_Price '!$AT$2:$AT$1266,0))</f>
        <v>https://tinyurl.com/y84s2bdc</v>
      </c>
      <c r="DJ22" s="89" t="str">
        <f t="shared" si="32"/>
        <v>https://tinyurl.com/yceonvas</v>
      </c>
      <c r="DK22" s="89" t="str">
        <f t="shared" si="33"/>
        <v>https://tinyurl.com/yacjbmbp</v>
      </c>
      <c r="DL22" s="89" t="str">
        <f t="shared" si="34"/>
        <v>https://tinyurl.com/y84s2bdc</v>
      </c>
      <c r="DM22" s="219" t="str">
        <f t="shared" si="35"/>
        <v>ARV 116 JJ UL</v>
      </c>
      <c r="DN22" s="89" t="str">
        <f t="shared" si="36"/>
        <v xml:space="preserve"> ArmadaARV 116 JJ UL165 Unisex</v>
      </c>
      <c r="DO22" s="221" t="s">
        <v>186</v>
      </c>
    </row>
    <row r="23" spans="2:119" ht="15.6" customHeight="1">
      <c r="B23" s="219" t="b">
        <f t="array" ref="B23">IF(OR(ISERROR(K23:P23)),FALSE,TRUE)</f>
        <v>1</v>
      </c>
      <c r="C23" s="43" t="b">
        <f>OR(BR23=Driver!$G$50,Data!BR29=Driver!$H$50)</f>
        <v>1</v>
      </c>
      <c r="D23" s="43" t="b">
        <f>OR(BV23=Driver!$G$51,BV23=Driver!$H$51)</f>
        <v>1</v>
      </c>
      <c r="E23" s="43" t="b">
        <f>AND(BX23&gt;Driver!$F$54,BX23&lt;Driver!$G$54)</f>
        <v>0</v>
      </c>
      <c r="F23" s="43" t="b">
        <f>CL23&gt;Driver!$F$56</f>
        <v>1</v>
      </c>
      <c r="G23" s="43" t="b">
        <f>AND(CB23&gt;Driver!$F$55,CB23&lt;Driver!$G$55)</f>
        <v>0</v>
      </c>
      <c r="H23" s="43" t="b">
        <f t="shared" si="0"/>
        <v>0</v>
      </c>
      <c r="I23" s="43">
        <f t="shared" si="1"/>
        <v>0</v>
      </c>
      <c r="J23" s="43" t="b">
        <f t="array" ref="J23">NOT(OR(($H$9:$H$1273=TRUE)*($I$9:$I$1273&gt;0)*($BT$9:$BT$1273=BT23)*($K$9:$K$1273&gt;K23)))</f>
        <v>1</v>
      </c>
      <c r="K23" s="72">
        <f t="shared" si="2"/>
        <v>0.84732080504781226</v>
      </c>
      <c r="L23" s="72">
        <f t="shared" si="3"/>
        <v>0.90904174430808116</v>
      </c>
      <c r="M23" s="72">
        <f t="shared" si="4"/>
        <v>0.78559986578754348</v>
      </c>
      <c r="N23" s="72">
        <f t="shared" si="5"/>
        <v>0.70688601831372522</v>
      </c>
      <c r="O23" s="72">
        <f t="shared" si="6"/>
        <v>0.65964769421395841</v>
      </c>
      <c r="P23" s="72">
        <f t="shared" si="7"/>
        <v>0.9902658848349466</v>
      </c>
      <c r="Q23" s="72"/>
      <c r="R23" s="72"/>
      <c r="S23" s="72">
        <f t="shared" si="8"/>
        <v>0.43609831151541878</v>
      </c>
      <c r="T23" s="72">
        <f t="shared" si="9"/>
        <v>0.46019806662013996</v>
      </c>
      <c r="U23" s="72">
        <f t="shared" si="10"/>
        <v>0.50345410720813932</v>
      </c>
      <c r="V23" s="72">
        <f t="shared" si="11"/>
        <v>0.67985878000703437</v>
      </c>
      <c r="W23" s="72">
        <f t="shared" si="12"/>
        <v>0.90904687500000003</v>
      </c>
      <c r="X23" s="72">
        <f t="shared" si="13"/>
        <v>9.0958255691918843E-2</v>
      </c>
      <c r="Y23" s="72">
        <f t="shared" si="14"/>
        <v>0.21440013421245654</v>
      </c>
      <c r="Z23" s="72">
        <f t="shared" si="15"/>
        <v>0.29311398168627478</v>
      </c>
      <c r="AA23" s="72">
        <f t="shared" si="16"/>
        <v>0.34035230578604159</v>
      </c>
      <c r="AB23" s="72">
        <f t="shared" si="17"/>
        <v>9.7341151650533475E-3</v>
      </c>
      <c r="AC23" s="72"/>
      <c r="AD23" s="72"/>
      <c r="AE23" s="72">
        <f t="shared" si="18"/>
        <v>0.56390168848458122</v>
      </c>
      <c r="AF23" s="72">
        <f t="shared" si="19"/>
        <v>0.53980193337986004</v>
      </c>
      <c r="AG23" s="72">
        <f t="shared" si="20"/>
        <v>0.49654589279186062</v>
      </c>
      <c r="AH23" s="72">
        <f t="shared" si="21"/>
        <v>0.32014121999296563</v>
      </c>
      <c r="AI23" s="72">
        <f t="shared" si="22"/>
        <v>9.0953125000000024E-2</v>
      </c>
      <c r="AJ23" s="72">
        <f>(AV23-Driver!$K$179)/(Driver!$L$179-Driver!$K$179)</f>
        <v>0.34517766497461927</v>
      </c>
      <c r="AK23" s="72">
        <f>(AW23-Driver!$K$180)/(Driver!$L$180-Driver!$K$180)</f>
        <v>0.25748881994827016</v>
      </c>
      <c r="AL23" s="72">
        <f>(AX23-Driver!$K$181)/(Driver!$L$181-Driver!$K$181)</f>
        <v>0.39480174539935498</v>
      </c>
      <c r="AM23" s="72">
        <f>(AY23-Driver!$K$182)/(Driver!$L$182-Driver!$K$182)</f>
        <v>0.10703271531100478</v>
      </c>
      <c r="AN23" s="72">
        <f>(AZ23-Driver!$K$183)/(Driver!$L$183-Driver!$K$183)</f>
        <v>0.24448529411764708</v>
      </c>
      <c r="AO23" s="72"/>
      <c r="AP23" s="72"/>
      <c r="AQ23" s="72">
        <f>(BC23-Driver!$K$188)/(Driver!$L$188-Driver!$K$188)</f>
        <v>5.6098311515418733E-2</v>
      </c>
      <c r="AR23" s="72">
        <f>MIN((BD23-Driver!$K$189)/(Driver!$L$189-Driver!$K$189),100%)</f>
        <v>1.0198066620139976E-2</v>
      </c>
      <c r="AS23" s="72">
        <f>(BE23-Driver!$K$190)/(Driver!$L$190-Driver!$K$190)</f>
        <v>1.3454107208139407E-2</v>
      </c>
      <c r="AT23" s="72">
        <f>(BF23-Driver!$K$191)/(Driver!$L$191-Driver!$K$191)</f>
        <v>0.18985878000703435</v>
      </c>
      <c r="AU23" s="72">
        <f>(BG23-Driver!$K$192)/(Driver!$L$192-Driver!$K$192)</f>
        <v>0.15904687499999998</v>
      </c>
      <c r="AV23" s="70">
        <f t="shared" si="23"/>
        <v>7.2649572649572649</v>
      </c>
      <c r="AW23" s="70">
        <f t="shared" si="24"/>
        <v>26.966459708463674</v>
      </c>
      <c r="AX23" s="70">
        <f t="shared" si="25"/>
        <v>4.5532157085941947</v>
      </c>
      <c r="AY23" s="70">
        <f>IFERROR(Driver!$K$19/Data!BH23/Data!BI23*Data!BK23*Data!BL23,"")</f>
        <v>0.13103997902062975</v>
      </c>
      <c r="AZ23" s="70">
        <f t="shared" si="26"/>
        <v>22.282204020848848</v>
      </c>
      <c r="BA23" s="70"/>
      <c r="BB23" s="70"/>
      <c r="BC23" s="70">
        <f t="shared" si="27"/>
        <v>29.098584172182331</v>
      </c>
      <c r="BD23" s="70">
        <f t="shared" si="28"/>
        <v>2.6233337100753165</v>
      </c>
      <c r="BE23" s="70">
        <f t="shared" si="29"/>
        <v>1.3630095891366469E-2</v>
      </c>
      <c r="BF23" s="70">
        <f t="shared" si="30"/>
        <v>21.44321536837527</v>
      </c>
      <c r="BG23" s="70">
        <f t="shared" si="31"/>
        <v>0.60225292968749999</v>
      </c>
      <c r="BH23" s="67">
        <f>MAX((CE23-Driver!$F$200)/(Driver!$G$200-Driver!$F$200)*$BI$1,1)</f>
        <v>4.5532157085941947</v>
      </c>
      <c r="BI23" s="67">
        <f>MAX($BI$1*(BY23-Driver!$F$201)/(Driver!$G$201-Driver!$F$201),1)</f>
        <v>6.0126582278481013</v>
      </c>
      <c r="BJ23" s="67">
        <f>(CB23-Driver!$F$206)/(Driver!$G$206-Driver!$F$206)*$BI$1</f>
        <v>8.0952380952380949</v>
      </c>
      <c r="BK23" s="67">
        <f>(CD23-Driver!$F$203)/(Driver!$G$203-Driver!$F$203)*$BI$1</f>
        <v>3.71559633027523</v>
      </c>
      <c r="BL23" s="67">
        <f>MAX((CR23-Driver!$F$202)/(Driver!$G$202-Driver!$F$202)*$BI$1,1)</f>
        <v>4.8275862068965516</v>
      </c>
      <c r="BM23" s="67">
        <f>MAX((CH23-Driver!$F$204)/(Driver!$G$204-Driver!$F$204)*$BI$1,1)</f>
        <v>3.5897435897435899</v>
      </c>
      <c r="BN23" s="67">
        <f>(CI23-Driver!$F$205)/(Driver!$G$205-Driver!$F$205)*$BI$1</f>
        <v>3.7058823529411766</v>
      </c>
      <c r="BO23" s="67">
        <f>(CK23-Driver!$F$207)/(Driver!$G$207-Driver!$F$207)*$BI$1</f>
        <v>2.5749741468459151</v>
      </c>
      <c r="BP23" s="67">
        <f>(CM23-Driver!$F$208)/(Driver!$G$208-Driver!$F$208)*$BI$1</f>
        <v>3.8222222222222224</v>
      </c>
      <c r="BQ23" s="67">
        <f>(CL23-Driver!$F$209)/(Driver!$G$209-Driver!$F$209)*$BI$1</f>
        <v>9.84375</v>
      </c>
      <c r="BR23" s="28" t="s">
        <v>155</v>
      </c>
      <c r="BS23" s="8" t="s">
        <v>182</v>
      </c>
      <c r="BT23" s="9" t="s">
        <v>183</v>
      </c>
      <c r="BU23" s="10">
        <v>175</v>
      </c>
      <c r="BV23" s="9" t="s">
        <v>158</v>
      </c>
      <c r="BW23" s="10">
        <v>175</v>
      </c>
      <c r="BX23" s="10">
        <v>173.2</v>
      </c>
      <c r="BY23" s="10">
        <v>103</v>
      </c>
      <c r="BZ23" s="10">
        <v>130</v>
      </c>
      <c r="CA23" s="10">
        <v>138</v>
      </c>
      <c r="CB23" s="10">
        <v>115</v>
      </c>
      <c r="CC23" s="10">
        <v>135</v>
      </c>
      <c r="CD23" s="10">
        <v>17.5</v>
      </c>
      <c r="CE23" s="10">
        <v>1700</v>
      </c>
      <c r="CF23" s="10">
        <v>1.24</v>
      </c>
      <c r="CG23" s="10">
        <v>2109</v>
      </c>
      <c r="CH23" s="10">
        <v>185</v>
      </c>
      <c r="CI23" s="10">
        <v>96</v>
      </c>
      <c r="CJ23" s="10">
        <v>63</v>
      </c>
      <c r="CK23" s="10">
        <v>359</v>
      </c>
      <c r="CL23" s="10">
        <v>63</v>
      </c>
      <c r="CM23" s="10">
        <v>344</v>
      </c>
      <c r="CN23" s="10">
        <v>0.98599999999999999</v>
      </c>
      <c r="CO23" s="10">
        <v>239</v>
      </c>
      <c r="CP23" s="10">
        <v>197</v>
      </c>
      <c r="CQ23" s="10">
        <v>120</v>
      </c>
      <c r="CR23" s="10">
        <v>3</v>
      </c>
      <c r="CS23" s="10">
        <v>6</v>
      </c>
      <c r="CT23" s="9" t="s">
        <v>184</v>
      </c>
      <c r="CU23" s="9" t="s">
        <v>169</v>
      </c>
      <c r="CV23" s="9" t="s">
        <v>185</v>
      </c>
      <c r="CW23" s="10"/>
      <c r="CX23" t="str">
        <f>INDEX('Data_Price '!AG$2:AG$1266,MATCH(Data!$DN23,'Data_Price '!$AT$2:$AT$1266,0))</f>
        <v>Armada ARV 116 Jj UL Skis 2022</v>
      </c>
      <c r="CY23" t="str">
        <f>INDEX('Data_Price '!AH$2:AH$1266,MATCH(Data!$DN23,'Data_Price '!$AT$2:$AT$1266,0))</f>
        <v>Next Adventure</v>
      </c>
      <c r="CZ23">
        <f>INDEX('Data_Price '!AI$2:AI$1266,MATCH(Data!$DN23,'Data_Price '!$AT$2:$AT$1266,0))</f>
        <v>599.96</v>
      </c>
      <c r="DA23" t="str">
        <f>INDEX('Data_Price '!AJ$2:AJ$1266,MATCH(Data!$DN23,'Data_Price '!$AT$2:$AT$1266,0))</f>
        <v>https://tinyurl.com/ybfcknl8</v>
      </c>
      <c r="DB23" t="str">
        <f>INDEX('Data_Price '!AK$2:AK$1266,MATCH(Data!$DN23,'Data_Price '!$AT$2:$AT$1266,0))</f>
        <v>Armada ARV 116 Jj UL Skis 2022</v>
      </c>
      <c r="DC23" t="str">
        <f>INDEX('Data_Price '!AL$2:AL$1266,MATCH(Data!$DN23,'Data_Price '!$AT$2:$AT$1266,0))</f>
        <v>! OutdoorXL.com</v>
      </c>
      <c r="DD23">
        <f>INDEX('Data_Price '!AM$2:AM$1266,MATCH(Data!$DN23,'Data_Price '!$AT$2:$AT$1266,0))</f>
        <v>609.95000000000005</v>
      </c>
      <c r="DE23" t="str">
        <f>INDEX('Data_Price '!AN$2:AN$1266,MATCH(Data!$DN23,'Data_Price '!$AT$2:$AT$1266,0))</f>
        <v>https://tinyurl.com/y7bu5ssy</v>
      </c>
      <c r="DF23" t="str">
        <f>INDEX('Data_Price '!AO$2:AO$1266,MATCH(Data!$DN23,'Data_Price '!$AT$2:$AT$1266,0))</f>
        <v>Armada ARV 116 Jj UL Skis 2022</v>
      </c>
      <c r="DG23" t="str">
        <f>INDEX('Data_Price '!AP$2:AP$1266,MATCH(Data!$DN23,'Data_Price '!$AT$2:$AT$1266,0))</f>
        <v>Powder7 Ski Shop</v>
      </c>
      <c r="DH23">
        <f>INDEX('Data_Price '!AQ$2:AQ$1266,MATCH(Data!$DN23,'Data_Price '!$AT$2:$AT$1266,0))</f>
        <v>649.95000000000005</v>
      </c>
      <c r="DI23" t="str">
        <f>INDEX('Data_Price '!AR$2:AR$1266,MATCH(Data!$DN23,'Data_Price '!$AT$2:$AT$1266,0))</f>
        <v>https://tinyurl.com/y7zbckwa</v>
      </c>
      <c r="DJ23" s="89" t="str">
        <f t="shared" si="32"/>
        <v>https://tinyurl.com/ybfcknl8</v>
      </c>
      <c r="DK23" s="89" t="str">
        <f t="shared" si="33"/>
        <v>https://tinyurl.com/y7bu5ssy</v>
      </c>
      <c r="DL23" s="89" t="str">
        <f t="shared" si="34"/>
        <v>https://tinyurl.com/y7zbckwa</v>
      </c>
      <c r="DM23" s="219" t="str">
        <f t="shared" si="35"/>
        <v>ARV 116 JJ UL</v>
      </c>
      <c r="DN23" s="89" t="str">
        <f t="shared" si="36"/>
        <v xml:space="preserve"> ArmadaARV 116 JJ UL175 Unisex</v>
      </c>
      <c r="DO23" s="221" t="s">
        <v>186</v>
      </c>
    </row>
    <row r="24" spans="2:119" ht="15.6" customHeight="1">
      <c r="B24" s="219" t="b">
        <f t="array" ref="B24">IF(OR(ISERROR(K24:P24)),FALSE,TRUE)</f>
        <v>1</v>
      </c>
      <c r="C24" s="43" t="b">
        <f>OR(BR24=Driver!$G$50,Data!BR30=Driver!$H$50)</f>
        <v>1</v>
      </c>
      <c r="D24" s="43" t="b">
        <f>OR(BV24=Driver!$G$51,BV24=Driver!$H$51)</f>
        <v>1</v>
      </c>
      <c r="E24" s="43" t="b">
        <f>AND(BX24&gt;Driver!$F$54,BX24&lt;Driver!$G$54)</f>
        <v>0</v>
      </c>
      <c r="F24" s="43" t="b">
        <f>CL24&gt;Driver!$F$56</f>
        <v>1</v>
      </c>
      <c r="G24" s="43" t="b">
        <f>AND(CB24&gt;Driver!$F$55,CB24&lt;Driver!$G$55)</f>
        <v>0</v>
      </c>
      <c r="H24" s="43" t="b">
        <f t="shared" si="0"/>
        <v>0</v>
      </c>
      <c r="I24" s="43">
        <f t="shared" si="1"/>
        <v>0</v>
      </c>
      <c r="J24" s="43" t="b">
        <f t="array" ref="J24">NOT(OR(($H$9:$H$1273=TRUE)*($I$9:$I$1273&gt;0)*($BT$9:$BT$1273=BT24)*($K$9:$K$1273&gt;K24)))</f>
        <v>1</v>
      </c>
      <c r="K24" s="72">
        <f t="shared" si="2"/>
        <v>0.79530347717550653</v>
      </c>
      <c r="L24" s="72">
        <f t="shared" si="3"/>
        <v>0.83507510181351985</v>
      </c>
      <c r="M24" s="72">
        <f t="shared" si="4"/>
        <v>0.75553185253749311</v>
      </c>
      <c r="N24" s="72">
        <f t="shared" si="5"/>
        <v>0.65439755945076428</v>
      </c>
      <c r="O24" s="72">
        <f t="shared" si="6"/>
        <v>0.65822368691823008</v>
      </c>
      <c r="P24" s="72">
        <f t="shared" si="7"/>
        <v>0.95397431124348475</v>
      </c>
      <c r="Q24" s="72"/>
      <c r="R24" s="72"/>
      <c r="S24" s="72">
        <f t="shared" si="8"/>
        <v>0.45739793033424669</v>
      </c>
      <c r="T24" s="72">
        <f t="shared" si="9"/>
        <v>0.46844465716313421</v>
      </c>
      <c r="U24" s="72">
        <f t="shared" si="10"/>
        <v>0.50352334458787518</v>
      </c>
      <c r="V24" s="72">
        <f t="shared" si="11"/>
        <v>0.65837172497167629</v>
      </c>
      <c r="W24" s="72">
        <f t="shared" si="12"/>
        <v>0.86866797681700081</v>
      </c>
      <c r="X24" s="72">
        <f t="shared" si="13"/>
        <v>0.16492489818648015</v>
      </c>
      <c r="Y24" s="72">
        <f t="shared" si="14"/>
        <v>0.24446814746250692</v>
      </c>
      <c r="Z24" s="72">
        <f t="shared" si="15"/>
        <v>0.34560244054923567</v>
      </c>
      <c r="AA24" s="72">
        <f t="shared" si="16"/>
        <v>0.34177631308176987</v>
      </c>
      <c r="AB24" s="72">
        <f t="shared" si="17"/>
        <v>4.6025688756515248E-2</v>
      </c>
      <c r="AC24" s="72"/>
      <c r="AD24" s="72"/>
      <c r="AE24" s="72">
        <f t="shared" si="18"/>
        <v>0.54260206966575331</v>
      </c>
      <c r="AF24" s="72">
        <f t="shared" si="19"/>
        <v>0.53155534283686579</v>
      </c>
      <c r="AG24" s="72">
        <f t="shared" si="20"/>
        <v>0.49647665541212482</v>
      </c>
      <c r="AH24" s="72">
        <f t="shared" si="21"/>
        <v>0.34162827502832371</v>
      </c>
      <c r="AI24" s="72">
        <f t="shared" si="22"/>
        <v>0.13133202318299916</v>
      </c>
      <c r="AJ24" s="72">
        <f>(AV24-Driver!$K$179)/(Driver!$L$179-Driver!$K$179)</f>
        <v>0.41914430746918058</v>
      </c>
      <c r="AK24" s="72">
        <f>(AW24-Driver!$K$180)/(Driver!$L$180-Driver!$K$180)</f>
        <v>0.31446218131112008</v>
      </c>
      <c r="AL24" s="72">
        <f>(AX24-Driver!$K$181)/(Driver!$L$181-Driver!$K$181)</f>
        <v>0.44729020426231586</v>
      </c>
      <c r="AM24" s="72">
        <f>(AY24-Driver!$K$182)/(Driver!$L$182-Driver!$K$182)</f>
        <v>0.1056087080152765</v>
      </c>
      <c r="AN24" s="72">
        <f>(AZ24-Driver!$K$183)/(Driver!$L$183-Driver!$K$183)</f>
        <v>0.30024509803921567</v>
      </c>
      <c r="AO24" s="72"/>
      <c r="AP24" s="72"/>
      <c r="AQ24" s="72">
        <f>(BC24-Driver!$K$188)/(Driver!$L$188-Driver!$K$188)</f>
        <v>7.7397930334246731E-2</v>
      </c>
      <c r="AR24" s="72">
        <f>MIN((BD24-Driver!$K$189)/(Driver!$L$189-Driver!$K$189),100%)</f>
        <v>1.8444657163134294E-2</v>
      </c>
      <c r="AS24" s="72">
        <f>(BE24-Driver!$K$190)/(Driver!$L$190-Driver!$K$190)</f>
        <v>1.352334458787516E-2</v>
      </c>
      <c r="AT24" s="72">
        <f>(BF24-Driver!$K$191)/(Driver!$L$191-Driver!$K$191)</f>
        <v>0.16837172497167632</v>
      </c>
      <c r="AU24" s="72">
        <f>(BG24-Driver!$K$192)/(Driver!$L$192-Driver!$K$192)</f>
        <v>0.11866797681700084</v>
      </c>
      <c r="AV24" s="70">
        <f t="shared" si="23"/>
        <v>8.8217338217338224</v>
      </c>
      <c r="AW24" s="70">
        <f t="shared" si="24"/>
        <v>32.519018608611169</v>
      </c>
      <c r="AX24" s="70">
        <f t="shared" si="25"/>
        <v>5.0256118383608426</v>
      </c>
      <c r="AY24" s="70">
        <f>IFERROR(Driver!$K$19/Data!BH24/Data!BI24*Data!BK24*Data!BL24,"")</f>
        <v>0.12929656920788932</v>
      </c>
      <c r="AZ24" s="70">
        <f t="shared" si="26"/>
        <v>27.36411020104244</v>
      </c>
      <c r="BA24" s="70"/>
      <c r="BB24" s="70"/>
      <c r="BC24" s="70">
        <f t="shared" si="27"/>
        <v>40.146844526056178</v>
      </c>
      <c r="BD24" s="70">
        <f t="shared" si="28"/>
        <v>3.3531423610365145</v>
      </c>
      <c r="BE24" s="70">
        <f t="shared" si="29"/>
        <v>1.3699320919932976E-2</v>
      </c>
      <c r="BF24" s="70">
        <f t="shared" si="30"/>
        <v>19.016403457236667</v>
      </c>
      <c r="BG24" s="70">
        <f t="shared" si="31"/>
        <v>0.44935266221437603</v>
      </c>
      <c r="BH24" s="67">
        <f>MAX((CE24-Driver!$F$200)/(Driver!$G$200-Driver!$F$200)*$BI$1,1)</f>
        <v>5.0256118383608426</v>
      </c>
      <c r="BI24" s="67">
        <f>MAX($BI$1*(BY24-Driver!$F$201)/(Driver!$G$201-Driver!$F$201),1)</f>
        <v>6.6455696202531644</v>
      </c>
      <c r="BJ24" s="67">
        <f>(CB24-Driver!$F$206)/(Driver!$G$206-Driver!$F$206)*$BI$1</f>
        <v>8.0952380952380949</v>
      </c>
      <c r="BK24" s="67">
        <f>(CD24-Driver!$F$203)/(Driver!$G$203-Driver!$F$203)*$BI$1</f>
        <v>4.1743119266055047</v>
      </c>
      <c r="BL24" s="67">
        <f>MAX((CR24-Driver!$F$202)/(Driver!$G$202-Driver!$F$202)*$BI$1,1)</f>
        <v>5.1724137931034484</v>
      </c>
      <c r="BM24" s="67">
        <f>MAX((CH24-Driver!$F$204)/(Driver!$G$204-Driver!$F$204)*$BI$1,1)</f>
        <v>4.3589743589743595</v>
      </c>
      <c r="BN24" s="67">
        <f>(CI24-Driver!$F$205)/(Driver!$G$205-Driver!$F$205)*$BI$1</f>
        <v>4.117647058823529</v>
      </c>
      <c r="BO24" s="67">
        <f>(CK24-Driver!$F$207)/(Driver!$G$207-Driver!$F$207)*$BI$1</f>
        <v>2.5956566701137538</v>
      </c>
      <c r="BP24" s="67">
        <f>(CM24-Driver!$F$208)/(Driver!$G$208-Driver!$F$208)*$BI$1</f>
        <v>3.7777777777777777</v>
      </c>
      <c r="BQ24" s="67">
        <f>(CL24-Driver!$F$209)/(Driver!$G$209-Driver!$F$209)*$BI$1</f>
        <v>9.84375</v>
      </c>
      <c r="BR24" s="28" t="s">
        <v>155</v>
      </c>
      <c r="BS24" s="8" t="s">
        <v>182</v>
      </c>
      <c r="BT24" s="9" t="s">
        <v>183</v>
      </c>
      <c r="BU24" s="10">
        <v>185</v>
      </c>
      <c r="BV24" s="9" t="s">
        <v>158</v>
      </c>
      <c r="BW24" s="10">
        <v>185</v>
      </c>
      <c r="BX24" s="10">
        <v>183</v>
      </c>
      <c r="BY24" s="10">
        <v>113</v>
      </c>
      <c r="BZ24" s="10">
        <v>136</v>
      </c>
      <c r="CA24" s="10">
        <v>138</v>
      </c>
      <c r="CB24" s="10">
        <v>115</v>
      </c>
      <c r="CC24" s="10">
        <v>134</v>
      </c>
      <c r="CD24" s="10">
        <v>18.5</v>
      </c>
      <c r="CE24" s="10">
        <v>1783</v>
      </c>
      <c r="CF24" s="10">
        <v>1.24</v>
      </c>
      <c r="CG24" s="10">
        <v>2218</v>
      </c>
      <c r="CH24" s="10">
        <v>203</v>
      </c>
      <c r="CI24" s="10">
        <v>103</v>
      </c>
      <c r="CJ24" s="10">
        <v>66</v>
      </c>
      <c r="CK24" s="10">
        <v>361</v>
      </c>
      <c r="CL24" s="10">
        <v>63</v>
      </c>
      <c r="CM24" s="10">
        <v>340</v>
      </c>
      <c r="CN24" s="10">
        <v>0.95299999999999996</v>
      </c>
      <c r="CO24" s="10">
        <v>236</v>
      </c>
      <c r="CP24" s="10">
        <v>231</v>
      </c>
      <c r="CQ24" s="10">
        <v>124</v>
      </c>
      <c r="CR24" s="10">
        <v>4</v>
      </c>
      <c r="CS24" s="10">
        <v>5.4</v>
      </c>
      <c r="CT24" s="9" t="s">
        <v>184</v>
      </c>
      <c r="CU24" s="9" t="s">
        <v>169</v>
      </c>
      <c r="CV24" s="9" t="s">
        <v>185</v>
      </c>
      <c r="CW24" s="10"/>
      <c r="CX24" t="str">
        <f>INDEX('Data_Price '!AG$2:AG$1266,MATCH(Data!$DN24,'Data_Price '!$AT$2:$AT$1266,0))</f>
        <v>Armada ARV 116 Jj UL Skis 2022</v>
      </c>
      <c r="CY24" t="str">
        <f>INDEX('Data_Price '!AH$2:AH$1266,MATCH(Data!$DN24,'Data_Price '!$AT$2:$AT$1266,0))</f>
        <v>Snowcountry.eu</v>
      </c>
      <c r="CZ24">
        <f>INDEX('Data_Price '!AI$2:AI$1266,MATCH(Data!$DN24,'Data_Price '!$AT$2:$AT$1266,0))</f>
        <v>506.21</v>
      </c>
      <c r="DA24" t="str">
        <f>INDEX('Data_Price '!AJ$2:AJ$1266,MATCH(Data!$DN24,'Data_Price '!$AT$2:$AT$1266,0))</f>
        <v>https://tinyurl.com/y8h28jz6</v>
      </c>
      <c r="DB24" t="str">
        <f>INDEX('Data_Price '!AK$2:AK$1266,MATCH(Data!$DN24,'Data_Price '!$AT$2:$AT$1266,0))</f>
        <v>Armada ARV 116 Jj UL Skis 2022</v>
      </c>
      <c r="DC24" t="str">
        <f>INDEX('Data_Price '!AL$2:AL$1266,MATCH(Data!$DN24,'Data_Price '!$AT$2:$AT$1266,0))</f>
        <v>Blue Tomato</v>
      </c>
      <c r="DD24">
        <f>INDEX('Data_Price '!AM$2:AM$1266,MATCH(Data!$DN24,'Data_Price '!$AT$2:$AT$1266,0))</f>
        <v>553.33000000000004</v>
      </c>
      <c r="DE24" t="str">
        <f>INDEX('Data_Price '!AN$2:AN$1266,MATCH(Data!$DN24,'Data_Price '!$AT$2:$AT$1266,0))</f>
        <v>https://tinyurl.com/y7rs8t92</v>
      </c>
      <c r="DF24" t="str">
        <f>INDEX('Data_Price '!AO$2:AO$1266,MATCH(Data!$DN24,'Data_Price '!$AT$2:$AT$1266,0))</f>
        <v>Armada ARV 116 Jj UL Skis 2022</v>
      </c>
      <c r="DG24" t="str">
        <f>INDEX('Data_Price '!AP$2:AP$1266,MATCH(Data!$DN24,'Data_Price '!$AT$2:$AT$1266,0))</f>
        <v>Next Adventure</v>
      </c>
      <c r="DH24">
        <f>INDEX('Data_Price '!AQ$2:AQ$1266,MATCH(Data!$DN24,'Data_Price '!$AT$2:$AT$1266,0))</f>
        <v>599.96</v>
      </c>
      <c r="DI24" t="str">
        <f>INDEX('Data_Price '!AR$2:AR$1266,MATCH(Data!$DN24,'Data_Price '!$AT$2:$AT$1266,0))</f>
        <v>https://tinyurl.com/ycyothm5</v>
      </c>
      <c r="DJ24" s="89" t="str">
        <f t="shared" si="32"/>
        <v>https://tinyurl.com/y8h28jz6</v>
      </c>
      <c r="DK24" s="89" t="str">
        <f t="shared" si="33"/>
        <v>https://tinyurl.com/y7rs8t92</v>
      </c>
      <c r="DL24" s="89" t="str">
        <f t="shared" si="34"/>
        <v>https://tinyurl.com/ycyothm5</v>
      </c>
      <c r="DM24" s="219" t="str">
        <f t="shared" si="35"/>
        <v>ARV 116 JJ UL</v>
      </c>
      <c r="DN24" s="89" t="str">
        <f t="shared" si="36"/>
        <v xml:space="preserve"> ArmadaARV 116 JJ UL185 Unisex</v>
      </c>
      <c r="DO24" s="221" t="s">
        <v>186</v>
      </c>
    </row>
    <row r="25" spans="2:119" ht="15.6" customHeight="1">
      <c r="B25" s="219" t="b">
        <f t="array" ref="B25">IF(OR(ISERROR(K25:P25)),FALSE,TRUE)</f>
        <v>1</v>
      </c>
      <c r="C25" s="43" t="b">
        <f>OR(BR25=Driver!$G$50,Data!BR25=Driver!$H$50)</f>
        <v>1</v>
      </c>
      <c r="D25" s="43" t="b">
        <f>OR(BV25=Driver!$G$51,BV25=Driver!$H$51)</f>
        <v>1</v>
      </c>
      <c r="E25" s="43" t="b">
        <f>AND(BX25&gt;Driver!$F$54,BX25&lt;Driver!$G$54)</f>
        <v>0</v>
      </c>
      <c r="F25" s="43" t="b">
        <f>CL25&gt;Driver!$F$56</f>
        <v>1</v>
      </c>
      <c r="G25" s="43" t="b">
        <f>AND(CB25&gt;Driver!$F$55,CB25&lt;Driver!$G$55)</f>
        <v>1</v>
      </c>
      <c r="H25" s="43" t="b">
        <f t="shared" si="0"/>
        <v>0</v>
      </c>
      <c r="I25" s="43">
        <f t="shared" si="1"/>
        <v>0</v>
      </c>
      <c r="J25" s="43" t="b">
        <f t="array" ref="J25">NOT(OR(($H$9:$H$1273=TRUE)*($I$9:$I$1273&gt;0)*($BT$9:$BT$1273=BT25)*($K$9:$K$1273&gt;K25)))</f>
        <v>1</v>
      </c>
      <c r="K25" s="72">
        <f t="shared" si="2"/>
        <v>0.84458174485970983</v>
      </c>
      <c r="L25" s="72">
        <f t="shared" si="3"/>
        <v>0.97011659726110666</v>
      </c>
      <c r="M25" s="72">
        <f t="shared" si="4"/>
        <v>0.71904689245831288</v>
      </c>
      <c r="N25" s="72">
        <f t="shared" si="5"/>
        <v>0.55005303279548068</v>
      </c>
      <c r="O25" s="72">
        <f t="shared" si="6"/>
        <v>0.67027019608107152</v>
      </c>
      <c r="P25" s="72">
        <f t="shared" si="7"/>
        <v>0.93681744849838666</v>
      </c>
      <c r="Q25" s="72"/>
      <c r="R25" s="72"/>
      <c r="S25" s="72">
        <f t="shared" si="8"/>
        <v>0.48629691487676985</v>
      </c>
      <c r="T25" s="72">
        <f t="shared" si="9"/>
        <v>0.47914220414817299</v>
      </c>
      <c r="U25" s="72">
        <f t="shared" si="10"/>
        <v>0.5276952227947318</v>
      </c>
      <c r="V25" s="72">
        <f t="shared" si="11"/>
        <v>0.5448609088216243</v>
      </c>
      <c r="W25" s="72">
        <f t="shared" si="12"/>
        <v>0.83093988549618314</v>
      </c>
      <c r="X25" s="72">
        <f t="shared" si="13"/>
        <v>2.9883402738893339E-2</v>
      </c>
      <c r="Y25" s="72">
        <f t="shared" si="14"/>
        <v>0.28095310754168706</v>
      </c>
      <c r="Z25" s="72">
        <f t="shared" si="15"/>
        <v>0.44994696720451932</v>
      </c>
      <c r="AA25" s="72">
        <f t="shared" si="16"/>
        <v>0.32972980391892848</v>
      </c>
      <c r="AB25" s="72">
        <f t="shared" si="17"/>
        <v>6.3182551501613282E-2</v>
      </c>
      <c r="AC25" s="72"/>
      <c r="AD25" s="72"/>
      <c r="AE25" s="72">
        <f t="shared" si="18"/>
        <v>0.51370308512323015</v>
      </c>
      <c r="AF25" s="72">
        <f t="shared" si="19"/>
        <v>0.52085779585182701</v>
      </c>
      <c r="AG25" s="72">
        <f t="shared" si="20"/>
        <v>0.4723047772052682</v>
      </c>
      <c r="AH25" s="72">
        <f t="shared" si="21"/>
        <v>0.45513909117837575</v>
      </c>
      <c r="AI25" s="72">
        <f t="shared" si="22"/>
        <v>0.16906011450381681</v>
      </c>
      <c r="AJ25" s="72">
        <f>(AV25-Driver!$K$179)/(Driver!$L$179-Driver!$K$179)</f>
        <v>0.28410281202159376</v>
      </c>
      <c r="AK25" s="72">
        <f>(AW25-Driver!$K$180)/(Driver!$L$180-Driver!$K$180)</f>
        <v>0.34029372375086514</v>
      </c>
      <c r="AL25" s="72">
        <f>(AX25-Driver!$K$181)/(Driver!$L$181-Driver!$K$181)</f>
        <v>0.55163473091759951</v>
      </c>
      <c r="AM25" s="72">
        <f>(AY25-Driver!$K$182)/(Driver!$L$182-Driver!$K$182)</f>
        <v>0.11765521717811789</v>
      </c>
      <c r="AN25" s="72">
        <f>(AZ25-Driver!$K$183)/(Driver!$L$183-Driver!$K$183)</f>
        <v>0.31740196078431371</v>
      </c>
      <c r="AO25" s="72"/>
      <c r="AP25" s="72"/>
      <c r="AQ25" s="72">
        <f>(BC25-Driver!$K$188)/(Driver!$L$188-Driver!$K$188)</f>
        <v>0.10629691487676989</v>
      </c>
      <c r="AR25" s="72">
        <f>MIN((BD25-Driver!$K$189)/(Driver!$L$189-Driver!$K$189),100%)</f>
        <v>2.9142204148172986E-2</v>
      </c>
      <c r="AS25" s="72">
        <f>(BE25-Driver!$K$190)/(Driver!$L$190-Driver!$K$190)</f>
        <v>3.7695222794731822E-2</v>
      </c>
      <c r="AT25" s="72">
        <f>(BF25-Driver!$K$191)/(Driver!$L$191-Driver!$K$191)</f>
        <v>5.4860908821624275E-2</v>
      </c>
      <c r="AU25" s="72">
        <f>(BG25-Driver!$K$192)/(Driver!$L$192-Driver!$K$192)</f>
        <v>8.0939885496183181E-2</v>
      </c>
      <c r="AV25" s="70">
        <f t="shared" si="23"/>
        <v>5.9795143128476465</v>
      </c>
      <c r="AW25" s="70">
        <f t="shared" si="24"/>
        <v>35.036531310115031</v>
      </c>
      <c r="AX25" s="70">
        <f t="shared" si="25"/>
        <v>5.9647125782583954</v>
      </c>
      <c r="AY25" s="70">
        <f>IFERROR(Driver!$K$19/Data!BH25/Data!BI25*Data!BK25*Data!BL25,"")</f>
        <v>0.14404509075463043</v>
      </c>
      <c r="AZ25" s="70">
        <f t="shared" si="26"/>
        <v>28.927773641102007</v>
      </c>
      <c r="BA25" s="70"/>
      <c r="BB25" s="70"/>
      <c r="BC25" s="70">
        <f t="shared" si="27"/>
        <v>55.136948710744115</v>
      </c>
      <c r="BD25" s="70">
        <f t="shared" si="28"/>
        <v>4.2998563142808033</v>
      </c>
      <c r="BE25" s="70">
        <f t="shared" si="29"/>
        <v>3.7866887135783608E-2</v>
      </c>
      <c r="BF25" s="70">
        <f t="shared" si="30"/>
        <v>6.1961542317047558</v>
      </c>
      <c r="BG25" s="70">
        <f t="shared" si="31"/>
        <v>0.30649004055343504</v>
      </c>
      <c r="BH25" s="67">
        <f>MAX((CE25-Driver!$F$200)/(Driver!$G$200-Driver!$F$200)*$BI$1,1)</f>
        <v>5.9647125782583954</v>
      </c>
      <c r="BI25" s="67">
        <f>MAX($BI$1*(BY25-Driver!$F$201)/(Driver!$G$201-Driver!$F$201),1)</f>
        <v>7.0253164556962027</v>
      </c>
      <c r="BJ25" s="67">
        <f>(CB25-Driver!$F$206)/(Driver!$G$206-Driver!$F$206)*$BI$1</f>
        <v>6.5079365079365079</v>
      </c>
      <c r="BK25" s="67">
        <f>(CD25-Driver!$F$203)/(Driver!$G$203-Driver!$F$203)*$BI$1</f>
        <v>4.862385321100918</v>
      </c>
      <c r="BL25" s="67">
        <f>MAX((CR25-Driver!$F$202)/(Driver!$G$202-Driver!$F$202)*$BI$1,1)</f>
        <v>6.2068965517241379</v>
      </c>
      <c r="BM25" s="67">
        <f>MAX((CH25-Driver!$F$204)/(Driver!$G$204-Driver!$F$204)*$BI$1,1)</f>
        <v>3.6752136752136755</v>
      </c>
      <c r="BN25" s="67">
        <f>(CI25-Driver!$F$205)/(Driver!$G$205-Driver!$F$205)*$BI$1</f>
        <v>4.117647058823529</v>
      </c>
      <c r="BO25" s="67">
        <f>(CK25-Driver!$F$207)/(Driver!$G$207-Driver!$F$207)*$BI$1</f>
        <v>1.7580144777662876</v>
      </c>
      <c r="BP25" s="67">
        <f>(CM25-Driver!$F$208)/(Driver!$G$208-Driver!$F$208)*$BI$1</f>
        <v>2.6333333333333329</v>
      </c>
      <c r="BQ25" s="67">
        <f>(CL25-Driver!$F$209)/(Driver!$G$209-Driver!$F$209)*$BI$1</f>
        <v>6.71875</v>
      </c>
      <c r="BR25" s="28" t="s">
        <v>155</v>
      </c>
      <c r="BS25" s="8" t="s">
        <v>182</v>
      </c>
      <c r="BT25" s="9" t="s">
        <v>187</v>
      </c>
      <c r="BU25" s="10">
        <v>172</v>
      </c>
      <c r="BV25" s="9" t="s">
        <v>158</v>
      </c>
      <c r="BW25" s="10">
        <v>172</v>
      </c>
      <c r="BX25" s="10">
        <v>170.4</v>
      </c>
      <c r="BY25" s="10">
        <v>119</v>
      </c>
      <c r="BZ25" s="10">
        <v>140</v>
      </c>
      <c r="CA25" s="10">
        <v>132</v>
      </c>
      <c r="CB25" s="10">
        <v>105</v>
      </c>
      <c r="CC25" s="10">
        <v>122</v>
      </c>
      <c r="CD25" s="10">
        <v>20</v>
      </c>
      <c r="CE25" s="10">
        <v>1948</v>
      </c>
      <c r="CF25" s="10">
        <v>0.98</v>
      </c>
      <c r="CG25" s="10">
        <v>1900</v>
      </c>
      <c r="CH25" s="10">
        <v>187</v>
      </c>
      <c r="CI25" s="10">
        <v>103</v>
      </c>
      <c r="CJ25" s="10">
        <v>55</v>
      </c>
      <c r="CK25" s="10">
        <v>280</v>
      </c>
      <c r="CL25" s="10">
        <v>43</v>
      </c>
      <c r="CM25" s="10">
        <v>237</v>
      </c>
      <c r="CN25" s="10">
        <v>0.78</v>
      </c>
      <c r="CO25" s="10">
        <v>150</v>
      </c>
      <c r="CP25" s="10">
        <v>155</v>
      </c>
      <c r="CQ25" s="10">
        <v>130</v>
      </c>
      <c r="CR25" s="10">
        <v>7</v>
      </c>
      <c r="CS25" s="10">
        <v>5.4</v>
      </c>
      <c r="CT25" s="9" t="s">
        <v>188</v>
      </c>
      <c r="CU25" s="9" t="s">
        <v>169</v>
      </c>
      <c r="CV25" s="10"/>
      <c r="CW25" s="10"/>
      <c r="CX25" t="str">
        <f>INDEX('Data_Price '!AG$2:AG$1266,MATCH(Data!$DN25,'Data_Price '!$AT$2:$AT$1266,0))</f>
        <v>Armada Arv 106 Size 172</v>
      </c>
      <c r="CY25" t="str">
        <f>INDEX('Data_Price '!AH$2:AH$1266,MATCH(Data!$DN25,'Data_Price '!$AT$2:$AT$1266,0))</f>
        <v>eBay</v>
      </c>
      <c r="CZ25">
        <f>INDEX('Data_Price '!AI$2:AI$1266,MATCH(Data!$DN25,'Data_Price '!$AT$2:$AT$1266,0))</f>
        <v>400</v>
      </c>
      <c r="DA25" t="str">
        <f>INDEX('Data_Price '!AJ$2:AJ$1266,MATCH(Data!$DN25,'Data_Price '!$AT$2:$AT$1266,0))</f>
        <v>https://tinyurl.com/y8md7yk7</v>
      </c>
      <c r="DB25" t="str">
        <f>INDEX('Data_Price '!AK$2:AK$1266,MATCH(Data!$DN25,'Data_Price '!$AT$2:$AT$1266,0))</f>
        <v>Armada ARV 106 Skis 2022</v>
      </c>
      <c r="DC25" t="str">
        <f>INDEX('Data_Price '!AL$2:AL$1266,MATCH(Data!$DN25,'Data_Price '!$AT$2:$AT$1266,0))</f>
        <v>REI</v>
      </c>
      <c r="DD25">
        <f>INDEX('Data_Price '!AM$2:AM$1266,MATCH(Data!$DN25,'Data_Price '!$AT$2:$AT$1266,0))</f>
        <v>519.92999999999995</v>
      </c>
      <c r="DE25" t="str">
        <f>INDEX('Data_Price '!AN$2:AN$1266,MATCH(Data!$DN25,'Data_Price '!$AT$2:$AT$1266,0))</f>
        <v>https://tinyurl.com/y9eqdvzv</v>
      </c>
      <c r="DF25" t="str">
        <f>INDEX('Data_Price '!AO$2:AO$1266,MATCH(Data!$DN25,'Data_Price '!$AT$2:$AT$1266,0))</f>
        <v>Armada ARV 106 Skis 2022</v>
      </c>
      <c r="DG25" t="str">
        <f>INDEX('Data_Price '!AP$2:AP$1266,MATCH(Data!$DN25,'Data_Price '!$AT$2:$AT$1266,0))</f>
        <v>Level Nine Sports</v>
      </c>
      <c r="DH25">
        <f>INDEX('Data_Price '!AQ$2:AQ$1266,MATCH(Data!$DN25,'Data_Price '!$AT$2:$AT$1266,0))</f>
        <v>519.96</v>
      </c>
      <c r="DI25" t="str">
        <f>INDEX('Data_Price '!AR$2:AR$1266,MATCH(Data!$DN25,'Data_Price '!$AT$2:$AT$1266,0))</f>
        <v>https://tinyurl.com/yaom4y3e</v>
      </c>
      <c r="DJ25" s="89" t="str">
        <f t="shared" si="32"/>
        <v>https://tinyurl.com/y8md7yk7</v>
      </c>
      <c r="DK25" s="89" t="str">
        <f t="shared" si="33"/>
        <v>https://tinyurl.com/y9eqdvzv</v>
      </c>
      <c r="DL25" s="89" t="str">
        <f t="shared" si="34"/>
        <v>https://tinyurl.com/yaom4y3e</v>
      </c>
      <c r="DM25" s="219" t="str">
        <f t="shared" si="35"/>
        <v>ARV 106</v>
      </c>
      <c r="DN25" s="89" t="str">
        <f t="shared" si="36"/>
        <v xml:space="preserve"> ArmadaARV 106172 Unisex</v>
      </c>
      <c r="DO25" s="221" t="s">
        <v>189</v>
      </c>
    </row>
    <row r="26" spans="2:119" ht="15.6" customHeight="1">
      <c r="B26" s="219" t="b">
        <f t="array" ref="B26">IF(OR(ISERROR(K26:P26)),FALSE,TRUE)</f>
        <v>1</v>
      </c>
      <c r="C26" s="43" t="b">
        <f>OR(BR26=Driver!$G$50,Data!BR24=Driver!$H$50)</f>
        <v>1</v>
      </c>
      <c r="D26" s="43" t="b">
        <f>OR(BV26=Driver!$G$51,BV26=Driver!$H$51)</f>
        <v>1</v>
      </c>
      <c r="E26" s="43" t="b">
        <f>AND(BX26&gt;Driver!$F$54,BX26&lt;Driver!$G$54)</f>
        <v>0</v>
      </c>
      <c r="F26" s="43" t="b">
        <f>CL26&gt;Driver!$F$56</f>
        <v>1</v>
      </c>
      <c r="G26" s="43" t="b">
        <f>AND(CB26&gt;Driver!$F$55,CB26&lt;Driver!$G$55)</f>
        <v>0</v>
      </c>
      <c r="H26" s="43" t="b">
        <f t="shared" si="0"/>
        <v>0</v>
      </c>
      <c r="I26" s="43">
        <f t="shared" si="1"/>
        <v>0</v>
      </c>
      <c r="J26" s="43" t="b">
        <f t="array" ref="J26">NOT(OR(($H$9:$H$1273=TRUE)*($I$9:$I$1273&gt;0)*($BT$9:$BT$1273=BT26)*($K$9:$K$1273&gt;K26)))</f>
        <v>1</v>
      </c>
      <c r="K26" s="72">
        <f t="shared" si="2"/>
        <v>0.86235630107966776</v>
      </c>
      <c r="L26" s="72">
        <f t="shared" si="3"/>
        <v>0.96494101292340706</v>
      </c>
      <c r="M26" s="72">
        <f t="shared" si="4"/>
        <v>0.75977158923592836</v>
      </c>
      <c r="N26" s="72">
        <f t="shared" si="5"/>
        <v>0.66894255407544034</v>
      </c>
      <c r="O26" s="72">
        <f t="shared" si="6"/>
        <v>0.66056456905552663</v>
      </c>
      <c r="P26" s="72">
        <f t="shared" si="7"/>
        <v>0.9498076445768181</v>
      </c>
      <c r="Q26" s="72"/>
      <c r="R26" s="72"/>
      <c r="S26" s="72">
        <f t="shared" si="8"/>
        <v>0.47927661151189704</v>
      </c>
      <c r="T26" s="72">
        <f t="shared" si="9"/>
        <v>0.48379210597691358</v>
      </c>
      <c r="U26" s="72">
        <f t="shared" si="10"/>
        <v>0.72219206586387008</v>
      </c>
      <c r="V26" s="72">
        <f t="shared" si="11"/>
        <v>0.50815759512029024</v>
      </c>
      <c r="W26" s="72">
        <f t="shared" si="12"/>
        <v>0.82397529069767439</v>
      </c>
      <c r="X26" s="72">
        <f t="shared" si="13"/>
        <v>3.505898707659294E-2</v>
      </c>
      <c r="Y26" s="72">
        <f t="shared" si="14"/>
        <v>0.24022841076407164</v>
      </c>
      <c r="Z26" s="72">
        <f t="shared" si="15"/>
        <v>0.33105744592455971</v>
      </c>
      <c r="AA26" s="72">
        <f t="shared" si="16"/>
        <v>0.33943543094447337</v>
      </c>
      <c r="AB26" s="72">
        <f t="shared" si="17"/>
        <v>5.01923554231819E-2</v>
      </c>
      <c r="AC26" s="72"/>
      <c r="AD26" s="72"/>
      <c r="AE26" s="72">
        <f t="shared" si="18"/>
        <v>0.52072338848810296</v>
      </c>
      <c r="AF26" s="72">
        <f t="shared" si="19"/>
        <v>0.51620789402308642</v>
      </c>
      <c r="AG26" s="72">
        <f t="shared" si="20"/>
        <v>0.27780793413612997</v>
      </c>
      <c r="AH26" s="72">
        <f t="shared" si="21"/>
        <v>0.49184240487970976</v>
      </c>
      <c r="AI26" s="72">
        <f t="shared" si="22"/>
        <v>0.17602470930232561</v>
      </c>
      <c r="AJ26" s="72">
        <f>(AV26-Driver!$K$179)/(Driver!$L$179-Driver!$K$179)</f>
        <v>0.21916042220610749</v>
      </c>
      <c r="AK26" s="72">
        <f>(AW26-Driver!$K$180)/(Driver!$L$180-Driver!$K$180)</f>
        <v>0.31704488974502498</v>
      </c>
      <c r="AL26" s="72">
        <f>(AX26-Driver!$K$181)/(Driver!$L$181-Driver!$K$181)</f>
        <v>0.4327452096376399</v>
      </c>
      <c r="AM26" s="72">
        <f>(AY26-Driver!$K$182)/(Driver!$L$182-Driver!$K$182)</f>
        <v>0.10794959015257297</v>
      </c>
      <c r="AN26" s="72">
        <f>(AZ26-Driver!$K$183)/(Driver!$L$183-Driver!$K$183)</f>
        <v>0.30441176470588233</v>
      </c>
      <c r="AO26" s="72"/>
      <c r="AP26" s="72"/>
      <c r="AQ26" s="72">
        <f>(BC26-Driver!$K$188)/(Driver!$L$188-Driver!$K$188)</f>
        <v>9.9276611511897053E-2</v>
      </c>
      <c r="AR26" s="72">
        <f>MIN((BD26-Driver!$K$189)/(Driver!$L$189-Driver!$K$189),100%)</f>
        <v>3.3792105976913574E-2</v>
      </c>
      <c r="AS26" s="72">
        <f>(BE26-Driver!$K$190)/(Driver!$L$190-Driver!$K$190)</f>
        <v>0.23219206586387003</v>
      </c>
      <c r="AT26" s="72">
        <f>(BF26-Driver!$K$191)/(Driver!$L$191-Driver!$K$191)</f>
        <v>1.8157595120290256E-2</v>
      </c>
      <c r="AU26" s="72">
        <f>(BG26-Driver!$K$192)/(Driver!$L$192-Driver!$K$192)</f>
        <v>7.3975290697674403E-2</v>
      </c>
      <c r="AV26" s="70">
        <f t="shared" si="23"/>
        <v>4.6126712793379463</v>
      </c>
      <c r="AW26" s="70">
        <f t="shared" si="24"/>
        <v>32.770726430619995</v>
      </c>
      <c r="AX26" s="70">
        <f t="shared" si="25"/>
        <v>4.8947068867387591</v>
      </c>
      <c r="AY26" s="70">
        <f>IFERROR(Driver!$K$19/Data!BH26/Data!BI26*Data!BK26*Data!BL26,"")</f>
        <v>0.13216250739575811</v>
      </c>
      <c r="AZ26" s="70">
        <f t="shared" si="26"/>
        <v>27.74385703648548</v>
      </c>
      <c r="BA26" s="70"/>
      <c r="BB26" s="70"/>
      <c r="BC26" s="70">
        <f t="shared" si="27"/>
        <v>51.495468551027372</v>
      </c>
      <c r="BD26" s="70">
        <f t="shared" si="28"/>
        <v>4.7113643869858404</v>
      </c>
      <c r="BE26" s="70">
        <f t="shared" si="29"/>
        <v>0.23232903415727349</v>
      </c>
      <c r="BF26" s="70">
        <f t="shared" si="30"/>
        <v>2.0507728045114266</v>
      </c>
      <c r="BG26" s="70">
        <f t="shared" si="31"/>
        <v>0.28011764171511627</v>
      </c>
      <c r="BH26" s="67">
        <f>MAX((CE26-Driver!$F$200)/(Driver!$G$200-Driver!$F$200)*$BI$1,1)</f>
        <v>4.8947068867387591</v>
      </c>
      <c r="BI26" s="67">
        <f>MAX($BI$1*(BY26-Driver!$F$201)/(Driver!$G$201-Driver!$F$201),1)</f>
        <v>8.7341772151898738</v>
      </c>
      <c r="BJ26" s="67">
        <f>(CB26-Driver!$F$206)/(Driver!$G$206-Driver!$F$206)*$BI$1</f>
        <v>5.3968253968253963</v>
      </c>
      <c r="BK26" s="67">
        <f>(CD26-Driver!$F$203)/(Driver!$G$203-Driver!$F$203)*$BI$1</f>
        <v>4.3119266055045884</v>
      </c>
      <c r="BL26" s="67">
        <f>MAX((CR26-Driver!$F$202)/(Driver!$G$202-Driver!$F$202)*$BI$1,1)</f>
        <v>6.5517241379310338</v>
      </c>
      <c r="BM26" s="67">
        <f>MAX((CH26-Driver!$F$204)/(Driver!$G$204-Driver!$F$204)*$BI$1,1)</f>
        <v>3.4188034188034191</v>
      </c>
      <c r="BN26" s="67">
        <f>(CI26-Driver!$F$205)/(Driver!$G$205-Driver!$F$205)*$BI$1</f>
        <v>3.1764705882352939</v>
      </c>
      <c r="BO26" s="67">
        <f>(CK26-Driver!$F$207)/(Driver!$G$207-Driver!$F$207)*$BI$1</f>
        <v>0.95139607032057916</v>
      </c>
      <c r="BP26" s="67">
        <f>(CM26-Driver!$F$208)/(Driver!$G$208-Driver!$F$208)*$BI$1</f>
        <v>1.7222222222222223</v>
      </c>
      <c r="BQ26" s="67">
        <f>(CL26-Driver!$F$209)/(Driver!$G$209-Driver!$F$209)*$BI$1</f>
        <v>4.6875</v>
      </c>
      <c r="BR26" s="28" t="s">
        <v>155</v>
      </c>
      <c r="BS26" s="8" t="s">
        <v>190</v>
      </c>
      <c r="BT26" s="9" t="s">
        <v>191</v>
      </c>
      <c r="BU26" s="10">
        <v>184</v>
      </c>
      <c r="BV26" s="9" t="s">
        <v>158</v>
      </c>
      <c r="BW26" s="10">
        <v>184</v>
      </c>
      <c r="BX26" s="10">
        <v>182.1</v>
      </c>
      <c r="BY26" s="10">
        <v>146</v>
      </c>
      <c r="BZ26" s="10">
        <v>149</v>
      </c>
      <c r="CA26" s="10">
        <v>126</v>
      </c>
      <c r="CB26" s="10">
        <v>98</v>
      </c>
      <c r="CC26" s="10">
        <v>122</v>
      </c>
      <c r="CD26" s="10">
        <v>18.8</v>
      </c>
      <c r="CE26" s="10">
        <v>1760</v>
      </c>
      <c r="CF26" s="10">
        <v>1.1200000000000001</v>
      </c>
      <c r="CG26" s="10">
        <v>1978</v>
      </c>
      <c r="CH26" s="10">
        <v>181</v>
      </c>
      <c r="CI26" s="10">
        <v>87</v>
      </c>
      <c r="CJ26" s="10">
        <v>40</v>
      </c>
      <c r="CK26" s="10">
        <v>202</v>
      </c>
      <c r="CL26" s="10">
        <v>30</v>
      </c>
      <c r="CM26" s="10">
        <v>155</v>
      </c>
      <c r="CN26" s="10">
        <v>0.746</v>
      </c>
      <c r="CO26" s="10">
        <v>176</v>
      </c>
      <c r="CP26" s="10">
        <v>154</v>
      </c>
      <c r="CQ26" s="10">
        <v>27</v>
      </c>
      <c r="CR26" s="10">
        <v>8</v>
      </c>
      <c r="CS26" s="10">
        <v>3.6</v>
      </c>
      <c r="CT26" s="9" t="s">
        <v>188</v>
      </c>
      <c r="CU26" s="9" t="s">
        <v>185</v>
      </c>
      <c r="CV26" s="10"/>
      <c r="CW26" s="10"/>
      <c r="CX26" t="e">
        <f>INDEX('Data_Price '!AG$2:AG$1266,MATCH(Data!$DN26,'Data_Price '!$AT$2:$AT$1266,0))</f>
        <v>#N/A</v>
      </c>
      <c r="CY26" t="e">
        <f>INDEX('Data_Price '!AH$2:AH$1266,MATCH(Data!$DN26,'Data_Price '!$AT$2:$AT$1266,0))</f>
        <v>#N/A</v>
      </c>
      <c r="CZ26" t="e">
        <f>INDEX('Data_Price '!AI$2:AI$1266,MATCH(Data!$DN26,'Data_Price '!$AT$2:$AT$1266,0))</f>
        <v>#N/A</v>
      </c>
      <c r="DA26" t="e">
        <f>INDEX('Data_Price '!AJ$2:AJ$1266,MATCH(Data!$DN26,'Data_Price '!$AT$2:$AT$1266,0))</f>
        <v>#N/A</v>
      </c>
      <c r="DB26" t="e">
        <f>INDEX('Data_Price '!AK$2:AK$1266,MATCH(Data!$DN26,'Data_Price '!$AT$2:$AT$1266,0))</f>
        <v>#N/A</v>
      </c>
      <c r="DC26" t="e">
        <f>INDEX('Data_Price '!AL$2:AL$1266,MATCH(Data!$DN26,'Data_Price '!$AT$2:$AT$1266,0))</f>
        <v>#N/A</v>
      </c>
      <c r="DD26" t="e">
        <f>INDEX('Data_Price '!AM$2:AM$1266,MATCH(Data!$DN26,'Data_Price '!$AT$2:$AT$1266,0))</f>
        <v>#N/A</v>
      </c>
      <c r="DE26" t="e">
        <f>INDEX('Data_Price '!AN$2:AN$1266,MATCH(Data!$DN26,'Data_Price '!$AT$2:$AT$1266,0))</f>
        <v>#N/A</v>
      </c>
      <c r="DF26" t="e">
        <f>INDEX('Data_Price '!AO$2:AO$1266,MATCH(Data!$DN26,'Data_Price '!$AT$2:$AT$1266,0))</f>
        <v>#N/A</v>
      </c>
      <c r="DG26" t="e">
        <f>INDEX('Data_Price '!AP$2:AP$1266,MATCH(Data!$DN26,'Data_Price '!$AT$2:$AT$1266,0))</f>
        <v>#N/A</v>
      </c>
      <c r="DH26" t="e">
        <f>INDEX('Data_Price '!AQ$2:AQ$1266,MATCH(Data!$DN26,'Data_Price '!$AT$2:$AT$1266,0))</f>
        <v>#N/A</v>
      </c>
      <c r="DI26" t="e">
        <f>INDEX('Data_Price '!AR$2:AR$1266,MATCH(Data!$DN26,'Data_Price '!$AT$2:$AT$1266,0))</f>
        <v>#N/A</v>
      </c>
      <c r="DJ26" s="89" t="e">
        <f t="shared" si="32"/>
        <v>#N/A</v>
      </c>
      <c r="DK26" s="89" t="e">
        <f t="shared" si="33"/>
        <v>#N/A</v>
      </c>
      <c r="DL26" s="89" t="e">
        <f t="shared" si="34"/>
        <v>#N/A</v>
      </c>
      <c r="DM26" s="219" t="str">
        <f t="shared" si="35"/>
        <v>Switch</v>
      </c>
      <c r="DN26" s="89" t="str">
        <f t="shared" si="36"/>
        <v xml:space="preserve"> 4FRNTSwitch184 Unisex</v>
      </c>
      <c r="DO26" s="221"/>
    </row>
    <row r="27" spans="2:119" ht="15.6" customHeight="1">
      <c r="B27" s="219" t="b">
        <f t="array" ref="B27">IF(OR(ISERROR(K27:P27)),FALSE,TRUE)</f>
        <v>1</v>
      </c>
      <c r="C27" s="43" t="b">
        <f>OR(BR27=Driver!$G$50,Data!BR31=Driver!$H$50)</f>
        <v>1</v>
      </c>
      <c r="D27" s="43" t="b">
        <f>OR(BV27=Driver!$G$51,BV27=Driver!$H$51)</f>
        <v>1</v>
      </c>
      <c r="E27" s="43" t="b">
        <f>AND(BX27&gt;Driver!$F$54,BX27&lt;Driver!$G$54)</f>
        <v>0</v>
      </c>
      <c r="F27" s="43" t="b">
        <f>CL27&gt;Driver!$F$56</f>
        <v>1</v>
      </c>
      <c r="G27" s="43" t="b">
        <f>AND(CB27&gt;Driver!$F$55,CB27&lt;Driver!$G$55)</f>
        <v>0</v>
      </c>
      <c r="H27" s="43" t="b">
        <f t="shared" si="0"/>
        <v>0</v>
      </c>
      <c r="I27" s="43">
        <f t="shared" si="1"/>
        <v>0</v>
      </c>
      <c r="J27" s="43" t="b">
        <f t="array" ref="J27">NOT(OR(($H$9:$H$1273=TRUE)*($I$9:$I$1273&gt;0)*($BT$9:$BT$1273=BT27)*($K$9:$K$1273&gt;K27)))</f>
        <v>1</v>
      </c>
      <c r="K27" s="72">
        <f t="shared" si="2"/>
        <v>0.69599759607460376</v>
      </c>
      <c r="L27" s="72">
        <f t="shared" si="3"/>
        <v>0.68714181682439723</v>
      </c>
      <c r="M27" s="72">
        <f t="shared" si="4"/>
        <v>0.70485337532481029</v>
      </c>
      <c r="N27" s="72">
        <f t="shared" si="5"/>
        <v>0.59684997202269885</v>
      </c>
      <c r="O27" s="72">
        <f t="shared" si="6"/>
        <v>0.65585185578014227</v>
      </c>
      <c r="P27" s="72">
        <f t="shared" si="7"/>
        <v>0.86185829817158943</v>
      </c>
      <c r="Q27" s="72"/>
      <c r="R27" s="72"/>
      <c r="S27" s="72">
        <f t="shared" si="8"/>
        <v>0.49003559088761839</v>
      </c>
      <c r="T27" s="72">
        <f t="shared" si="9"/>
        <v>0.48599608656702908</v>
      </c>
      <c r="U27" s="72">
        <f t="shared" si="10"/>
        <v>0.50727701892597932</v>
      </c>
      <c r="V27" s="72">
        <f t="shared" si="11"/>
        <v>0.6335982633139885</v>
      </c>
      <c r="W27" s="72">
        <f t="shared" si="12"/>
        <v>0.8156325328095706</v>
      </c>
      <c r="X27" s="72">
        <f t="shared" si="13"/>
        <v>0.31285818317560271</v>
      </c>
      <c r="Y27" s="72">
        <f t="shared" si="14"/>
        <v>0.29514662467518976</v>
      </c>
      <c r="Z27" s="72">
        <f t="shared" si="15"/>
        <v>0.40315002797730115</v>
      </c>
      <c r="AA27" s="72">
        <f t="shared" si="16"/>
        <v>0.34414814421985768</v>
      </c>
      <c r="AB27" s="72">
        <f t="shared" si="17"/>
        <v>0.13814170182841062</v>
      </c>
      <c r="AC27" s="72"/>
      <c r="AD27" s="72"/>
      <c r="AE27" s="72">
        <f t="shared" si="18"/>
        <v>0.50996440911238161</v>
      </c>
      <c r="AF27" s="72">
        <f t="shared" si="19"/>
        <v>0.51400391343297092</v>
      </c>
      <c r="AG27" s="72">
        <f t="shared" si="20"/>
        <v>0.49272298107402068</v>
      </c>
      <c r="AH27" s="72">
        <f t="shared" si="21"/>
        <v>0.36640173668601156</v>
      </c>
      <c r="AI27" s="72">
        <f t="shared" si="22"/>
        <v>0.18436746719042943</v>
      </c>
      <c r="AJ27" s="72">
        <f>(AV27-Driver!$K$179)/(Driver!$L$179-Driver!$K$179)</f>
        <v>0.56707759245830314</v>
      </c>
      <c r="AK27" s="72">
        <f>(AW27-Driver!$K$180)/(Driver!$L$180-Driver!$K$180)</f>
        <v>0.40588955738841015</v>
      </c>
      <c r="AL27" s="72">
        <f>(AX27-Driver!$K$181)/(Driver!$L$181-Driver!$K$181)</f>
        <v>0.50483779169038134</v>
      </c>
      <c r="AM27" s="72">
        <f>(AY27-Driver!$K$182)/(Driver!$L$182-Driver!$K$182)</f>
        <v>0.1032368768771887</v>
      </c>
      <c r="AN27" s="72">
        <f>(AZ27-Driver!$K$183)/(Driver!$L$183-Driver!$K$183)</f>
        <v>0.39236111111111105</v>
      </c>
      <c r="AO27" s="72"/>
      <c r="AP27" s="72"/>
      <c r="AQ27" s="72">
        <f>(BC27-Driver!$K$188)/(Driver!$L$188-Driver!$K$188)</f>
        <v>0.1100355908876184</v>
      </c>
      <c r="AR27" s="72">
        <f>MIN((BD27-Driver!$K$189)/(Driver!$L$189-Driver!$K$189),100%)</f>
        <v>3.5996086567029136E-2</v>
      </c>
      <c r="AS27" s="72">
        <f>(BE27-Driver!$K$190)/(Driver!$L$190-Driver!$K$190)</f>
        <v>1.7277018925979336E-2</v>
      </c>
      <c r="AT27" s="72">
        <f>(BF27-Driver!$K$191)/(Driver!$L$191-Driver!$K$191)</f>
        <v>0.14359826331398845</v>
      </c>
      <c r="AU27" s="72">
        <f>(BG27-Driver!$K$192)/(Driver!$L$192-Driver!$K$192)</f>
        <v>6.5632532809570571E-2</v>
      </c>
      <c r="AV27" s="70">
        <f t="shared" si="23"/>
        <v>11.935286935286936</v>
      </c>
      <c r="AW27" s="70">
        <f t="shared" si="24"/>
        <v>41.429426536308263</v>
      </c>
      <c r="AX27" s="70">
        <f t="shared" si="25"/>
        <v>5.5435401252134318</v>
      </c>
      <c r="AY27" s="70">
        <f>IFERROR(Driver!$K$19/Data!BH27/Data!BI27*Data!BK27*Data!BL27,"")</f>
        <v>0.12639274020876137</v>
      </c>
      <c r="AZ27" s="70">
        <f t="shared" si="26"/>
        <v>35.759493670886073</v>
      </c>
      <c r="BA27" s="70"/>
      <c r="BB27" s="70"/>
      <c r="BC27" s="70">
        <f t="shared" si="27"/>
        <v>57.076225948425204</v>
      </c>
      <c r="BD27" s="70">
        <f t="shared" si="28"/>
        <v>4.9064127639885458</v>
      </c>
      <c r="BE27" s="70">
        <f t="shared" si="29"/>
        <v>1.7452325644784637E-2</v>
      </c>
      <c r="BF27" s="70">
        <f t="shared" si="30"/>
        <v>16.218415006419139</v>
      </c>
      <c r="BG27" s="70">
        <f t="shared" si="31"/>
        <v>0.24852663824658514</v>
      </c>
      <c r="BH27" s="67">
        <f>MAX((CE27-Driver!$F$200)/(Driver!$G$200-Driver!$F$200)*$BI$1,1)</f>
        <v>5.5435401252134318</v>
      </c>
      <c r="BI27" s="67">
        <f>MAX($BI$1*(BY27-Driver!$F$201)/(Driver!$G$201-Driver!$F$201),1)</f>
        <v>7.1518987341772151</v>
      </c>
      <c r="BJ27" s="67">
        <f>(CB27-Driver!$F$206)/(Driver!$G$206-Driver!$F$206)*$BI$1</f>
        <v>8.0952380952380949</v>
      </c>
      <c r="BK27" s="67">
        <f>(CD27-Driver!$F$203)/(Driver!$G$203-Driver!$F$203)*$BI$1</f>
        <v>4.5412844036697253</v>
      </c>
      <c r="BL27" s="67">
        <f>MAX((CR27-Driver!$F$202)/(Driver!$G$202-Driver!$F$202)*$BI$1,1)</f>
        <v>5.5172413793103452</v>
      </c>
      <c r="BM27" s="67">
        <f>MAX((CH27-Driver!$F$204)/(Driver!$G$204-Driver!$F$204)*$BI$1,1)</f>
        <v>5.8974358974358978</v>
      </c>
      <c r="BN27" s="67">
        <f>(CI27-Driver!$F$205)/(Driver!$G$205-Driver!$F$205)*$BI$1</f>
        <v>5</v>
      </c>
      <c r="BO27" s="67">
        <f>(CK27-Driver!$F$207)/(Driver!$G$207-Driver!$F$207)*$BI$1</f>
        <v>2.5749741468459151</v>
      </c>
      <c r="BP27" s="67">
        <f>(CM27-Driver!$F$208)/(Driver!$G$208-Driver!$F$208)*$BI$1</f>
        <v>3.5333333333333332</v>
      </c>
      <c r="BQ27" s="67">
        <f>(CL27-Driver!$F$209)/(Driver!$G$209-Driver!$F$209)*$BI$1</f>
        <v>8.125</v>
      </c>
      <c r="BR27" s="28" t="s">
        <v>155</v>
      </c>
      <c r="BS27" s="8" t="s">
        <v>182</v>
      </c>
      <c r="BT27" s="9" t="s">
        <v>183</v>
      </c>
      <c r="BU27" s="10">
        <v>192</v>
      </c>
      <c r="BV27" s="9" t="s">
        <v>158</v>
      </c>
      <c r="BW27" s="10">
        <v>192</v>
      </c>
      <c r="BX27" s="10">
        <v>188.2</v>
      </c>
      <c r="BY27" s="10">
        <v>121</v>
      </c>
      <c r="BZ27" s="10">
        <v>138</v>
      </c>
      <c r="CA27" s="10">
        <v>138</v>
      </c>
      <c r="CB27" s="10">
        <v>115</v>
      </c>
      <c r="CC27" s="10">
        <v>134</v>
      </c>
      <c r="CD27" s="10">
        <v>19.3</v>
      </c>
      <c r="CE27" s="10">
        <v>1874</v>
      </c>
      <c r="CF27" s="10">
        <v>1.21</v>
      </c>
      <c r="CG27" s="10">
        <v>2270</v>
      </c>
      <c r="CH27" s="10">
        <v>239</v>
      </c>
      <c r="CI27" s="10">
        <v>118</v>
      </c>
      <c r="CJ27" s="10">
        <v>62</v>
      </c>
      <c r="CK27" s="10">
        <v>359</v>
      </c>
      <c r="CL27" s="10">
        <v>52</v>
      </c>
      <c r="CM27" s="10">
        <v>318</v>
      </c>
      <c r="CN27" s="10">
        <v>0.83899999999999997</v>
      </c>
      <c r="CO27" s="10">
        <v>270</v>
      </c>
      <c r="CP27" s="10">
        <v>234</v>
      </c>
      <c r="CQ27" s="10">
        <v>89</v>
      </c>
      <c r="CR27" s="10">
        <v>5</v>
      </c>
      <c r="CS27" s="10">
        <v>6.7</v>
      </c>
      <c r="CT27" s="9" t="s">
        <v>184</v>
      </c>
      <c r="CU27" s="9" t="s">
        <v>169</v>
      </c>
      <c r="CV27" s="9" t="s">
        <v>185</v>
      </c>
      <c r="CW27" s="10"/>
      <c r="CX27" t="str">
        <f>INDEX('Data_Price '!AG$2:AG$1266,MATCH(Data!$DN27,'Data_Price '!$AT$2:$AT$1266,0))</f>
        <v>'21 Armada ARV 116 JJ Skis 192cm</v>
      </c>
      <c r="CY27" t="str">
        <f>INDEX('Data_Price '!AH$2:AH$1266,MATCH(Data!$DN27,'Data_Price '!$AT$2:$AT$1266,0))</f>
        <v>Al's Ski Equipment Barn</v>
      </c>
      <c r="CZ27">
        <f>INDEX('Data_Price '!AI$2:AI$1266,MATCH(Data!$DN27,'Data_Price '!$AT$2:$AT$1266,0))</f>
        <v>549.95000000000005</v>
      </c>
      <c r="DA27" t="str">
        <f>INDEX('Data_Price '!AJ$2:AJ$1266,MATCH(Data!$DN27,'Data_Price '!$AT$2:$AT$1266,0))</f>
        <v>https://tinyurl.com/ya67bse2</v>
      </c>
      <c r="DB27" t="str">
        <f>INDEX('Data_Price '!AK$2:AK$1266,MATCH(Data!$DN27,'Data_Price '!$AT$2:$AT$1266,0))</f>
        <v>Armada ARV 116 Jj Skis Â· 2021 Â· 192 cm</v>
      </c>
      <c r="DC27" t="str">
        <f>INDEX('Data_Price '!AL$2:AL$1266,MATCH(Data!$DN27,'Data_Price '!$AT$2:$AT$1266,0))</f>
        <v>evo.com</v>
      </c>
      <c r="DD27">
        <f>INDEX('Data_Price '!AM$2:AM$1266,MATCH(Data!$DN27,'Data_Price '!$AT$2:$AT$1266,0))</f>
        <v>549.97</v>
      </c>
      <c r="DE27" t="str">
        <f>INDEX('Data_Price '!AN$2:AN$1266,MATCH(Data!$DN27,'Data_Price '!$AT$2:$AT$1266,0))</f>
        <v>https://tinyurl.com/y8x6lupk</v>
      </c>
      <c r="DF27" t="str">
        <f>INDEX('Data_Price '!AO$2:AO$1266,MATCH(Data!$DN27,'Data_Price '!$AT$2:$AT$1266,0))</f>
        <v>Armada ARV JJ 116 Skis - Men's - 2022 192 cm</v>
      </c>
      <c r="DG27" t="str">
        <f>INDEX('Data_Price '!AP$2:AP$1266,MATCH(Data!$DN27,'Data_Price '!$AT$2:$AT$1266,0))</f>
        <v>Arlberg Ski &amp; Surf Shops</v>
      </c>
      <c r="DH27">
        <f>INDEX('Data_Price '!AQ$2:AQ$1266,MATCH(Data!$DN27,'Data_Price '!$AT$2:$AT$1266,0))</f>
        <v>559.95000000000005</v>
      </c>
      <c r="DI27" t="str">
        <f>INDEX('Data_Price '!AR$2:AR$1266,MATCH(Data!$DN27,'Data_Price '!$AT$2:$AT$1266,0))</f>
        <v>https://tinyurl.com/yao7hjje</v>
      </c>
      <c r="DJ27" s="89" t="str">
        <f t="shared" si="32"/>
        <v>https://tinyurl.com/ya67bse2</v>
      </c>
      <c r="DK27" s="89" t="str">
        <f t="shared" si="33"/>
        <v>https://tinyurl.com/y8x6lupk</v>
      </c>
      <c r="DL27" s="89" t="str">
        <f t="shared" si="34"/>
        <v>https://tinyurl.com/yao7hjje</v>
      </c>
      <c r="DM27" s="219" t="str">
        <f t="shared" si="35"/>
        <v>ARV 116 JJ UL</v>
      </c>
      <c r="DN27" s="89" t="str">
        <f t="shared" si="36"/>
        <v xml:space="preserve"> ArmadaARV 116 JJ UL192 Unisex</v>
      </c>
      <c r="DO27" s="221" t="s">
        <v>186</v>
      </c>
    </row>
    <row r="28" spans="2:119" ht="15.6" customHeight="1">
      <c r="B28" s="219" t="b">
        <f t="array" ref="B28">IF(OR(ISERROR(K28:P28)),FALSE,TRUE)</f>
        <v>1</v>
      </c>
      <c r="C28" s="43" t="b">
        <f>OR(BR28=Driver!$G$50,Data!BR26=Driver!$H$50)</f>
        <v>1</v>
      </c>
      <c r="D28" s="43" t="b">
        <f>OR(BV28=Driver!$G$51,BV28=Driver!$H$51)</f>
        <v>1</v>
      </c>
      <c r="E28" s="43" t="b">
        <f>AND(BX28&gt;Driver!$F$54,BX28&lt;Driver!$G$54)</f>
        <v>0</v>
      </c>
      <c r="F28" s="43" t="b">
        <f>CL28&gt;Driver!$F$56</f>
        <v>1</v>
      </c>
      <c r="G28" s="43" t="b">
        <f>AND(CB28&gt;Driver!$F$55,CB28&lt;Driver!$G$55)</f>
        <v>1</v>
      </c>
      <c r="H28" s="43" t="b">
        <f t="shared" si="0"/>
        <v>0</v>
      </c>
      <c r="I28" s="43">
        <f t="shared" si="1"/>
        <v>0</v>
      </c>
      <c r="J28" s="43" t="b">
        <f t="array" ref="J28">NOT(OR(($H$9:$H$1273=TRUE)*($I$9:$I$1273&gt;0)*($BT$9:$BT$1273=BT28)*($K$9:$K$1273&gt;K28)))</f>
        <v>1</v>
      </c>
      <c r="K28" s="244">
        <f t="shared" si="2"/>
        <v>0.71573788149251572</v>
      </c>
      <c r="L28" s="72">
        <f t="shared" si="3"/>
        <v>0.78842293841008748</v>
      </c>
      <c r="M28" s="72">
        <f t="shared" si="4"/>
        <v>0.64305282457494384</v>
      </c>
      <c r="N28" s="72">
        <f t="shared" si="5"/>
        <v>0.42736916509169276</v>
      </c>
      <c r="O28" s="72">
        <f t="shared" si="6"/>
        <v>0.65859931111514403</v>
      </c>
      <c r="P28" s="72">
        <f t="shared" si="7"/>
        <v>0.84318999751799462</v>
      </c>
      <c r="Q28" s="72"/>
      <c r="R28" s="72"/>
      <c r="S28" s="72">
        <f t="shared" si="8"/>
        <v>0.52674270901189457</v>
      </c>
      <c r="T28" s="72">
        <f t="shared" si="9"/>
        <v>0.5240331655381818</v>
      </c>
      <c r="U28" s="72">
        <f t="shared" si="10"/>
        <v>0.51977829057025937</v>
      </c>
      <c r="V28" s="72">
        <f t="shared" si="11"/>
        <v>0.5440936848975797</v>
      </c>
      <c r="W28" s="72">
        <f t="shared" si="12"/>
        <v>0.7945626477541371</v>
      </c>
      <c r="X28" s="72">
        <f t="shared" si="13"/>
        <v>0.21157706158991252</v>
      </c>
      <c r="Y28" s="72">
        <f t="shared" si="14"/>
        <v>0.35694717542505616</v>
      </c>
      <c r="Z28" s="72">
        <f t="shared" si="15"/>
        <v>0.57263083490830724</v>
      </c>
      <c r="AA28" s="72">
        <f t="shared" si="16"/>
        <v>0.34140068888485592</v>
      </c>
      <c r="AB28" s="72">
        <f t="shared" si="17"/>
        <v>0.15681000248200544</v>
      </c>
      <c r="AC28" s="72"/>
      <c r="AD28" s="72"/>
      <c r="AE28" s="72">
        <f t="shared" si="18"/>
        <v>0.47325729098810543</v>
      </c>
      <c r="AF28" s="72">
        <f t="shared" si="19"/>
        <v>0.4759668344618182</v>
      </c>
      <c r="AG28" s="72">
        <f t="shared" si="20"/>
        <v>0.48022170942974063</v>
      </c>
      <c r="AH28" s="72">
        <f t="shared" si="21"/>
        <v>0.45590631510242036</v>
      </c>
      <c r="AI28" s="72">
        <f t="shared" si="22"/>
        <v>0.2054373522458629</v>
      </c>
      <c r="AJ28" s="72">
        <f>(AV28-Driver!$K$179)/(Driver!$L$179-Driver!$K$179)</f>
        <v>0.46579647087261294</v>
      </c>
      <c r="AK28" s="72">
        <f>(AW28-Driver!$K$180)/(Driver!$L$180-Driver!$K$180)</f>
        <v>0.43903283118319458</v>
      </c>
      <c r="AL28" s="72">
        <f>(AX28-Driver!$K$181)/(Driver!$L$181-Driver!$K$181)</f>
        <v>0.67431859862138743</v>
      </c>
      <c r="AM28" s="72">
        <f>(AY28-Driver!$K$182)/(Driver!$L$182-Driver!$K$182)</f>
        <v>0.10598433221219046</v>
      </c>
      <c r="AN28" s="72">
        <f>(AZ28-Driver!$K$183)/(Driver!$L$183-Driver!$K$183)</f>
        <v>0.41102941176470587</v>
      </c>
      <c r="AO28" s="72"/>
      <c r="AP28" s="72"/>
      <c r="AQ28" s="72">
        <f>(BC28-Driver!$K$188)/(Driver!$L$188-Driver!$K$188)</f>
        <v>0.14674270901189454</v>
      </c>
      <c r="AR28" s="72">
        <f>MIN((BD28-Driver!$K$189)/(Driver!$L$189-Driver!$K$189),100%)</f>
        <v>7.4033165538181817E-2</v>
      </c>
      <c r="AS28" s="72">
        <f>(BE28-Driver!$K$190)/(Driver!$L$190-Driver!$K$190)</f>
        <v>2.9778290570259373E-2</v>
      </c>
      <c r="AT28" s="72">
        <f>(BF28-Driver!$K$191)/(Driver!$L$191-Driver!$K$191)</f>
        <v>5.4093684897579639E-2</v>
      </c>
      <c r="AU28" s="72">
        <f>(BG28-Driver!$K$192)/(Driver!$L$192-Driver!$K$192)</f>
        <v>4.4562647754137104E-2</v>
      </c>
      <c r="AV28" s="70">
        <f t="shared" si="23"/>
        <v>9.8036223036223031</v>
      </c>
      <c r="AW28" s="70">
        <f t="shared" si="24"/>
        <v>44.659532246891352</v>
      </c>
      <c r="AX28" s="70">
        <f t="shared" si="25"/>
        <v>7.068867387592487</v>
      </c>
      <c r="AY28" s="70">
        <f>IFERROR(Driver!$K$19/Data!BH28/Data!BI28*Data!BK28*Data!BL28,"")</f>
        <v>0.12975644530035529</v>
      </c>
      <c r="AZ28" s="70">
        <f t="shared" si="26"/>
        <v>37.46090841399851</v>
      </c>
      <c r="BA28" s="70"/>
      <c r="BB28" s="70"/>
      <c r="BC28" s="70">
        <f t="shared" si="27"/>
        <v>76.11646330323245</v>
      </c>
      <c r="BD28" s="70">
        <f t="shared" si="28"/>
        <v>8.2726268552197535</v>
      </c>
      <c r="BE28" s="70">
        <f t="shared" si="29"/>
        <v>2.9951367202911139E-2</v>
      </c>
      <c r="BF28" s="70">
        <f t="shared" si="30"/>
        <v>6.1095016795370363</v>
      </c>
      <c r="BG28" s="70">
        <f t="shared" si="31"/>
        <v>0.16874261229314419</v>
      </c>
      <c r="BH28" s="67">
        <f>MAX((CE28-Driver!$F$200)/(Driver!$G$200-Driver!$F$200)*$BI$1,1)</f>
        <v>7.068867387592487</v>
      </c>
      <c r="BI28" s="67">
        <f>MAX($BI$1*(BY28-Driver!$F$201)/(Driver!$G$201-Driver!$F$201),1)</f>
        <v>7.4050632911392409</v>
      </c>
      <c r="BJ28" s="67">
        <f>(CB28-Driver!$F$206)/(Driver!$G$206-Driver!$F$206)*$BI$1</f>
        <v>6.5079365079365079</v>
      </c>
      <c r="BK28" s="67">
        <f>(CD28-Driver!$F$203)/(Driver!$G$203-Driver!$F$203)*$BI$1</f>
        <v>5.1834862385321099</v>
      </c>
      <c r="BL28" s="67">
        <f>MAX((CR28-Driver!$F$202)/(Driver!$G$202-Driver!$F$202)*$BI$1,1)</f>
        <v>6.5517241379310338</v>
      </c>
      <c r="BM28" s="67">
        <f>MAX((CH28-Driver!$F$204)/(Driver!$G$204-Driver!$F$204)*$BI$1,1)</f>
        <v>6.0256410256410255</v>
      </c>
      <c r="BN28" s="67">
        <f>(CI28-Driver!$F$205)/(Driver!$G$205-Driver!$F$205)*$BI$1</f>
        <v>5.0588235294117645</v>
      </c>
      <c r="BO28" s="67">
        <f>(CK28-Driver!$F$207)/(Driver!$G$207-Driver!$F$207)*$BI$1</f>
        <v>1.8097207859358841</v>
      </c>
      <c r="BP28" s="67">
        <f>(CM28-Driver!$F$208)/(Driver!$G$208-Driver!$F$208)*$BI$1</f>
        <v>2.6888888888888891</v>
      </c>
      <c r="BQ28" s="67">
        <f>(CL28-Driver!$F$209)/(Driver!$G$209-Driver!$F$209)*$BI$1</f>
        <v>7.1875</v>
      </c>
      <c r="BR28" s="28" t="s">
        <v>155</v>
      </c>
      <c r="BS28" s="8" t="s">
        <v>182</v>
      </c>
      <c r="BT28" s="9" t="s">
        <v>187</v>
      </c>
      <c r="BU28" s="10">
        <v>180</v>
      </c>
      <c r="BV28" s="9" t="s">
        <v>158</v>
      </c>
      <c r="BW28" s="10">
        <v>180</v>
      </c>
      <c r="BX28" s="10">
        <v>177.9</v>
      </c>
      <c r="BY28" s="10">
        <v>125</v>
      </c>
      <c r="BZ28" s="10">
        <v>140</v>
      </c>
      <c r="CA28" s="10">
        <v>132</v>
      </c>
      <c r="CB28" s="10">
        <v>105</v>
      </c>
      <c r="CC28" s="10">
        <v>121</v>
      </c>
      <c r="CD28" s="10">
        <v>20.7</v>
      </c>
      <c r="CE28" s="10">
        <v>2142</v>
      </c>
      <c r="CF28" s="10">
        <v>0.93</v>
      </c>
      <c r="CG28" s="10">
        <v>1983</v>
      </c>
      <c r="CH28" s="10">
        <v>242</v>
      </c>
      <c r="CI28" s="10">
        <v>119</v>
      </c>
      <c r="CJ28" s="10">
        <v>53</v>
      </c>
      <c r="CK28" s="10">
        <v>285</v>
      </c>
      <c r="CL28" s="10">
        <v>46</v>
      </c>
      <c r="CM28" s="10">
        <v>242</v>
      </c>
      <c r="CN28" s="10">
        <v>0.85199999999999998</v>
      </c>
      <c r="CO28" s="10">
        <v>177</v>
      </c>
      <c r="CP28" s="10">
        <v>200</v>
      </c>
      <c r="CQ28" s="10">
        <v>108</v>
      </c>
      <c r="CR28" s="10">
        <v>8</v>
      </c>
      <c r="CS28" s="10">
        <v>5.4</v>
      </c>
      <c r="CT28" s="9" t="s">
        <v>188</v>
      </c>
      <c r="CU28" s="9" t="s">
        <v>184</v>
      </c>
      <c r="CV28" s="9" t="s">
        <v>169</v>
      </c>
      <c r="CW28" s="10"/>
      <c r="CX28" t="str">
        <f>INDEX('Data_Price '!AG$2:AG$1266,MATCH(Data!$DN28,'Data_Price '!$AT$2:$AT$1266,0))</f>
        <v xml:space="preserve">Armada ARV 106 W/ Armada Warden Bindings Grey/ Orange / 180 / </v>
      </c>
      <c r="CY28" t="str">
        <f>INDEX('Data_Price '!AH$2:AH$1266,MATCH(Data!$DN28,'Data_Price '!$AT$2:$AT$1266,0))</f>
        <v>Lone Pine Gear Exchange</v>
      </c>
      <c r="CZ28">
        <f>INDEX('Data_Price '!AI$2:AI$1266,MATCH(Data!$DN28,'Data_Price '!$AT$2:$AT$1266,0))</f>
        <v>375</v>
      </c>
      <c r="DA28" t="str">
        <f>INDEX('Data_Price '!AJ$2:AJ$1266,MATCH(Data!$DN28,'Data_Price '!$AT$2:$AT$1266,0))</f>
        <v>https://tinyurl.com/ybdknzxp</v>
      </c>
      <c r="DB28" t="str">
        <f>INDEX('Data_Price '!AK$2:AK$1266,MATCH(Data!$DN28,'Data_Price '!$AT$2:$AT$1266,0))</f>
        <v>Armada ARV 106 Skis 2022</v>
      </c>
      <c r="DC28" t="str">
        <f>INDEX('Data_Price '!AL$2:AL$1266,MATCH(Data!$DN28,'Data_Price '!$AT$2:$AT$1266,0))</f>
        <v>sunandski.com</v>
      </c>
      <c r="DD28">
        <f>INDEX('Data_Price '!AM$2:AM$1266,MATCH(Data!$DN28,'Data_Price '!$AT$2:$AT$1266,0))</f>
        <v>519.92999999999995</v>
      </c>
      <c r="DE28" t="str">
        <f>INDEX('Data_Price '!AN$2:AN$1266,MATCH(Data!$DN28,'Data_Price '!$AT$2:$AT$1266,0))</f>
        <v>https://tinyurl.com/yb46frc3</v>
      </c>
      <c r="DF28" t="str">
        <f>INDEX('Data_Price '!AO$2:AO$1266,MATCH(Data!$DN28,'Data_Price '!$AT$2:$AT$1266,0))</f>
        <v>Armada ARV 106 Skis 2022</v>
      </c>
      <c r="DG28" t="str">
        <f>INDEX('Data_Price '!AP$2:AP$1266,MATCH(Data!$DN28,'Data_Price '!$AT$2:$AT$1266,0))</f>
        <v>Powder7 Ski Shop</v>
      </c>
      <c r="DH28">
        <f>INDEX('Data_Price '!AQ$2:AQ$1266,MATCH(Data!$DN28,'Data_Price '!$AT$2:$AT$1266,0))</f>
        <v>519.92999999999995</v>
      </c>
      <c r="DI28" t="str">
        <f>INDEX('Data_Price '!AR$2:AR$1266,MATCH(Data!$DN28,'Data_Price '!$AT$2:$AT$1266,0))</f>
        <v>https://tinyurl.com/yaqtvdzf</v>
      </c>
      <c r="DJ28" s="89" t="str">
        <f t="shared" si="32"/>
        <v>https://tinyurl.com/ybdknzxp</v>
      </c>
      <c r="DK28" s="89" t="str">
        <f t="shared" si="33"/>
        <v>https://tinyurl.com/yb46frc3</v>
      </c>
      <c r="DL28" s="89" t="str">
        <f t="shared" si="34"/>
        <v>https://tinyurl.com/yaqtvdzf</v>
      </c>
      <c r="DM28" s="219" t="str">
        <f t="shared" si="35"/>
        <v>ARV 106</v>
      </c>
      <c r="DN28" s="89" t="str">
        <f t="shared" si="36"/>
        <v xml:space="preserve"> ArmadaARV 106180 Unisex</v>
      </c>
      <c r="DO28" s="221" t="s">
        <v>189</v>
      </c>
    </row>
    <row r="29" spans="2:119" ht="15.6" customHeight="1">
      <c r="B29" s="219" t="b">
        <f t="array" ref="B29">IF(OR(ISERROR(K29:P29)),FALSE,TRUE)</f>
        <v>1</v>
      </c>
      <c r="C29" s="43" t="b">
        <f>OR(BR29=Driver!$G$50,Data!BR22=Driver!$H$50)</f>
        <v>1</v>
      </c>
      <c r="D29" s="43" t="b">
        <f>OR(BV29=Driver!$G$51,BV29=Driver!$H$51)</f>
        <v>1</v>
      </c>
      <c r="E29" s="43" t="b">
        <f>AND(BX29&gt;Driver!$F$54,BX29&lt;Driver!$G$54)</f>
        <v>0</v>
      </c>
      <c r="F29" s="43" t="b">
        <f>CL29&gt;Driver!$F$56</f>
        <v>1</v>
      </c>
      <c r="G29" s="43" t="b">
        <f>AND(CB29&gt;Driver!$F$55,CB29&lt;Driver!$G$55)</f>
        <v>1</v>
      </c>
      <c r="H29" s="43" t="b">
        <f t="shared" si="0"/>
        <v>0</v>
      </c>
      <c r="I29" s="43">
        <f t="shared" si="1"/>
        <v>0</v>
      </c>
      <c r="J29" s="43" t="b">
        <f t="array" ref="J29">NOT(OR(($H$9:$H$1273=TRUE)*($I$9:$I$1273&gt;0)*($BT$9:$BT$1273=BT29)*($K$9:$K$1273&gt;K29)))</f>
        <v>1</v>
      </c>
      <c r="K29" s="72">
        <f t="shared" si="2"/>
        <v>0.83115874684083912</v>
      </c>
      <c r="L29" s="72">
        <f t="shared" si="3"/>
        <v>0.87713456519278021</v>
      </c>
      <c r="M29" s="72">
        <f t="shared" si="4"/>
        <v>0.78518292848889792</v>
      </c>
      <c r="N29" s="72">
        <f t="shared" si="5"/>
        <v>0.63732300054353619</v>
      </c>
      <c r="O29" s="72">
        <f t="shared" si="6"/>
        <v>0.93178342949997561</v>
      </c>
      <c r="P29" s="72">
        <f t="shared" si="7"/>
        <v>0.78644235542318186</v>
      </c>
      <c r="Q29" s="72"/>
      <c r="R29" s="72"/>
      <c r="S29" s="72">
        <f t="shared" si="8"/>
        <v>0.40502676052882802</v>
      </c>
      <c r="T29" s="72">
        <f t="shared" si="9"/>
        <v>0.43822786161488636</v>
      </c>
      <c r="U29" s="72">
        <f t="shared" si="10"/>
        <v>0.49038355614356943</v>
      </c>
      <c r="V29" s="72">
        <f t="shared" si="11"/>
        <v>0.97805849025230773</v>
      </c>
      <c r="W29" s="72">
        <f t="shared" si="12"/>
        <v>0.79039285714285712</v>
      </c>
      <c r="X29" s="72">
        <f t="shared" si="13"/>
        <v>0.12286543480721973</v>
      </c>
      <c r="Y29" s="72">
        <f t="shared" si="14"/>
        <v>0.21481707151110208</v>
      </c>
      <c r="Z29" s="72">
        <f t="shared" si="15"/>
        <v>0.36267699945646381</v>
      </c>
      <c r="AA29" s="72">
        <f t="shared" si="16"/>
        <v>6.8216570500024332E-2</v>
      </c>
      <c r="AB29" s="72">
        <f t="shared" si="17"/>
        <v>0.21355764457681808</v>
      </c>
      <c r="AC29" s="72"/>
      <c r="AD29" s="72"/>
      <c r="AE29" s="72">
        <f t="shared" si="18"/>
        <v>0.59497323947117198</v>
      </c>
      <c r="AF29" s="72">
        <f t="shared" si="19"/>
        <v>0.56177213838511364</v>
      </c>
      <c r="AG29" s="72">
        <f t="shared" si="20"/>
        <v>0.50961644385643057</v>
      </c>
      <c r="AH29" s="72">
        <f t="shared" si="21"/>
        <v>2.1941509747692267E-2</v>
      </c>
      <c r="AI29" s="72">
        <f t="shared" si="22"/>
        <v>0.20960714285714285</v>
      </c>
      <c r="AJ29" s="72">
        <f>(AV29-Driver!$K$179)/(Driver!$L$179-Driver!$K$179)</f>
        <v>0.37708484408992016</v>
      </c>
      <c r="AK29" s="72">
        <f>(AW29-Driver!$K$180)/(Driver!$L$180-Driver!$K$180)</f>
        <v>7.6724556877909425E-2</v>
      </c>
      <c r="AL29" s="72">
        <f>(AX29-Driver!$K$181)/(Driver!$L$181-Driver!$K$181)</f>
        <v>0.464364763169544</v>
      </c>
      <c r="AM29" s="72">
        <f>(AY29-Driver!$K$182)/(Driver!$L$182-Driver!$K$182)</f>
        <v>0.37916845059702203</v>
      </c>
      <c r="AN29" s="72">
        <f>(AZ29-Driver!$K$183)/(Driver!$L$183-Driver!$K$183)</f>
        <v>4.0661764705882356E-2</v>
      </c>
      <c r="AO29" s="72"/>
      <c r="AP29" s="72"/>
      <c r="AQ29" s="72">
        <f>(BC29-Driver!$K$188)/(Driver!$L$188-Driver!$K$188)</f>
        <v>2.5026760528827966E-2</v>
      </c>
      <c r="AR29" s="72">
        <f>MIN((BD29-Driver!$K$189)/(Driver!$L$189-Driver!$K$189),100%)</f>
        <v>-1.1772138385113646E-2</v>
      </c>
      <c r="AS29" s="72">
        <f>(BE29-Driver!$K$190)/(Driver!$L$190-Driver!$K$190)</f>
        <v>3.8355614356940366E-4</v>
      </c>
      <c r="AT29" s="72">
        <f>(BF29-Driver!$K$191)/(Driver!$L$191-Driver!$K$191)</f>
        <v>0.53194150974769228</v>
      </c>
      <c r="AU29" s="72">
        <f>(BG29-Driver!$K$192)/(Driver!$L$192-Driver!$K$192)</f>
        <v>4.0392857142857147E-2</v>
      </c>
      <c r="AV29" s="70">
        <f t="shared" si="23"/>
        <v>7.9365079365079358</v>
      </c>
      <c r="AW29" s="70">
        <f t="shared" si="24"/>
        <v>9.3493805379443309</v>
      </c>
      <c r="AX29" s="70">
        <f t="shared" si="25"/>
        <v>5.1792828685258963</v>
      </c>
      <c r="AY29" s="70">
        <f>IFERROR(Driver!$K$19/Data!BH29/Data!BI29*Data!BK29*Data!BL29,"")</f>
        <v>0.46421531647725905</v>
      </c>
      <c r="AZ29" s="70">
        <f t="shared" si="26"/>
        <v>3.7058823529411766</v>
      </c>
      <c r="BA29" s="70"/>
      <c r="BB29" s="70"/>
      <c r="BC29" s="70">
        <f t="shared" si="27"/>
        <v>12.981554669519632</v>
      </c>
      <c r="BD29" s="70">
        <f t="shared" si="28"/>
        <v>0.67900949601009597</v>
      </c>
      <c r="BE29" s="70">
        <f t="shared" si="29"/>
        <v>5.6187646599106507E-4</v>
      </c>
      <c r="BF29" s="70">
        <f t="shared" si="30"/>
        <v>60.079056425390711</v>
      </c>
      <c r="BG29" s="70">
        <f t="shared" si="31"/>
        <v>0.15295312500000002</v>
      </c>
      <c r="BH29" s="67">
        <f>MAX((CE29-Driver!$F$200)/(Driver!$G$200-Driver!$F$200)*$BI$1,1)</f>
        <v>5.1792828685258963</v>
      </c>
      <c r="BI29" s="67">
        <f>MAX($BI$1*(BY29-Driver!$F$201)/(Driver!$G$201-Driver!$F$201),1)</f>
        <v>1</v>
      </c>
      <c r="BJ29" s="67">
        <f>(CB29-Driver!$F$206)/(Driver!$G$206-Driver!$F$206)*$BI$1</f>
        <v>6.1904761904761907</v>
      </c>
      <c r="BK29" s="67">
        <f>(CD29-Driver!$F$203)/(Driver!$G$203-Driver!$F$203)*$BI$1</f>
        <v>8.7155963302752308</v>
      </c>
      <c r="BL29" s="67">
        <f>MAX((CR29-Driver!$F$202)/(Driver!$G$202-Driver!$F$202)*$BI$1,1)</f>
        <v>1.3793103448275863</v>
      </c>
      <c r="BM29" s="67">
        <f>MAX((CH29-Driver!$F$204)/(Driver!$G$204-Driver!$F$204)*$BI$1,1)</f>
        <v>5.1282051282051277</v>
      </c>
      <c r="BN29" s="67">
        <f>(CI29-Driver!$F$205)/(Driver!$G$205-Driver!$F$205)*$BI$1</f>
        <v>3.7058823529411766</v>
      </c>
      <c r="BO29" s="67">
        <f>(CK29-Driver!$F$207)/(Driver!$G$207-Driver!$F$207)*$BI$1</f>
        <v>8.9141675284384689</v>
      </c>
      <c r="BP29" s="67">
        <f>(CM29-Driver!$F$208)/(Driver!$G$208-Driver!$F$208)*$BI$1</f>
        <v>9.4888888888888889</v>
      </c>
      <c r="BQ29" s="67">
        <f>(CL29-Driver!$F$209)/(Driver!$G$209-Driver!$F$209)*$BI$1</f>
        <v>4.0625</v>
      </c>
      <c r="BR29" s="28" t="s">
        <v>155</v>
      </c>
      <c r="BS29" s="8" t="s">
        <v>190</v>
      </c>
      <c r="BT29" s="9" t="s">
        <v>192</v>
      </c>
      <c r="BU29" s="10">
        <v>184</v>
      </c>
      <c r="BV29" s="9" t="s">
        <v>158</v>
      </c>
      <c r="BW29" s="10">
        <v>184</v>
      </c>
      <c r="BX29" s="10">
        <v>182.6</v>
      </c>
      <c r="BY29" s="10">
        <v>0</v>
      </c>
      <c r="BZ29" s="10">
        <v>130</v>
      </c>
      <c r="CA29" s="10">
        <v>121</v>
      </c>
      <c r="CB29" s="10">
        <v>103</v>
      </c>
      <c r="CC29" s="10">
        <v>111</v>
      </c>
      <c r="CD29" s="10">
        <v>28.4</v>
      </c>
      <c r="CE29" s="10">
        <v>1810</v>
      </c>
      <c r="CF29" s="10">
        <v>1.0900000000000001</v>
      </c>
      <c r="CG29" s="10">
        <v>1969</v>
      </c>
      <c r="CH29" s="10">
        <v>221</v>
      </c>
      <c r="CI29" s="10">
        <v>96</v>
      </c>
      <c r="CJ29" s="10">
        <v>67</v>
      </c>
      <c r="CK29" s="10">
        <v>972</v>
      </c>
      <c r="CL29" s="10">
        <v>26</v>
      </c>
      <c r="CM29" s="10">
        <v>854</v>
      </c>
      <c r="CN29" s="10">
        <v>0.39400000000000002</v>
      </c>
      <c r="CO29" s="10">
        <v>216</v>
      </c>
      <c r="CP29" s="10">
        <v>309</v>
      </c>
      <c r="CQ29" s="10">
        <v>756</v>
      </c>
      <c r="CR29" s="10">
        <v>-7</v>
      </c>
      <c r="CS29" s="10">
        <v>5.9</v>
      </c>
      <c r="CT29" s="9" t="s">
        <v>188</v>
      </c>
      <c r="CU29" s="9" t="s">
        <v>169</v>
      </c>
      <c r="CV29" s="9" t="s">
        <v>178</v>
      </c>
      <c r="CW29" s="9" t="s">
        <v>185</v>
      </c>
      <c r="CX29" t="e">
        <f>INDEX('Data_Price '!AG$2:AG$1266,MATCH(Data!$DN29,'Data_Price '!$AT$2:$AT$1266,0))</f>
        <v>#N/A</v>
      </c>
      <c r="CY29" t="e">
        <f>INDEX('Data_Price '!AH$2:AH$1266,MATCH(Data!$DN29,'Data_Price '!$AT$2:$AT$1266,0))</f>
        <v>#N/A</v>
      </c>
      <c r="CZ29" t="e">
        <f>INDEX('Data_Price '!AI$2:AI$1266,MATCH(Data!$DN29,'Data_Price '!$AT$2:$AT$1266,0))</f>
        <v>#N/A</v>
      </c>
      <c r="DA29" t="e">
        <f>INDEX('Data_Price '!AJ$2:AJ$1266,MATCH(Data!$DN29,'Data_Price '!$AT$2:$AT$1266,0))</f>
        <v>#N/A</v>
      </c>
      <c r="DB29" t="e">
        <f>INDEX('Data_Price '!AK$2:AK$1266,MATCH(Data!$DN29,'Data_Price '!$AT$2:$AT$1266,0))</f>
        <v>#N/A</v>
      </c>
      <c r="DC29" t="e">
        <f>INDEX('Data_Price '!AL$2:AL$1266,MATCH(Data!$DN29,'Data_Price '!$AT$2:$AT$1266,0))</f>
        <v>#N/A</v>
      </c>
      <c r="DD29" t="e">
        <f>INDEX('Data_Price '!AM$2:AM$1266,MATCH(Data!$DN29,'Data_Price '!$AT$2:$AT$1266,0))</f>
        <v>#N/A</v>
      </c>
      <c r="DE29" t="e">
        <f>INDEX('Data_Price '!AN$2:AN$1266,MATCH(Data!$DN29,'Data_Price '!$AT$2:$AT$1266,0))</f>
        <v>#N/A</v>
      </c>
      <c r="DF29" t="e">
        <f>INDEX('Data_Price '!AO$2:AO$1266,MATCH(Data!$DN29,'Data_Price '!$AT$2:$AT$1266,0))</f>
        <v>#N/A</v>
      </c>
      <c r="DG29" t="e">
        <f>INDEX('Data_Price '!AP$2:AP$1266,MATCH(Data!$DN29,'Data_Price '!$AT$2:$AT$1266,0))</f>
        <v>#N/A</v>
      </c>
      <c r="DH29" t="e">
        <f>INDEX('Data_Price '!AQ$2:AQ$1266,MATCH(Data!$DN29,'Data_Price '!$AT$2:$AT$1266,0))</f>
        <v>#N/A</v>
      </c>
      <c r="DI29" t="e">
        <f>INDEX('Data_Price '!AR$2:AR$1266,MATCH(Data!$DN29,'Data_Price '!$AT$2:$AT$1266,0))</f>
        <v>#N/A</v>
      </c>
      <c r="DJ29" s="89" t="e">
        <f t="shared" si="32"/>
        <v>#N/A</v>
      </c>
      <c r="DK29" s="89" t="e">
        <f t="shared" si="33"/>
        <v>#N/A</v>
      </c>
      <c r="DL29" s="89" t="e">
        <f t="shared" si="34"/>
        <v>#N/A</v>
      </c>
      <c r="DM29" s="219" t="str">
        <f t="shared" si="35"/>
        <v>Raven</v>
      </c>
      <c r="DN29" s="89" t="str">
        <f t="shared" si="36"/>
        <v xml:space="preserve"> 4FRNTRaven184 Unisex</v>
      </c>
      <c r="DO29" s="221"/>
    </row>
    <row r="30" spans="2:119" ht="15.6" customHeight="1">
      <c r="B30" s="219" t="b">
        <f t="array" ref="B30">IF(OR(ISERROR(K30:P30)),FALSE,TRUE)</f>
        <v>1</v>
      </c>
      <c r="C30" s="43" t="b">
        <f>OR(BR30=Driver!$G$50,Data!BR34=Driver!$H$50)</f>
        <v>1</v>
      </c>
      <c r="D30" s="43" t="b">
        <f>OR(BV30=Driver!$G$51,BV30=Driver!$H$51)</f>
        <v>1</v>
      </c>
      <c r="E30" s="43" t="b">
        <f>AND(BX30&gt;Driver!$F$54,BX30&lt;Driver!$G$54)</f>
        <v>1</v>
      </c>
      <c r="F30" s="43" t="b">
        <f>CL30&gt;Driver!$F$56</f>
        <v>1</v>
      </c>
      <c r="G30" s="43" t="b">
        <f>AND(CB30&gt;Driver!$F$55,CB30&lt;Driver!$G$55)</f>
        <v>0</v>
      </c>
      <c r="H30" s="43" t="b">
        <f t="shared" si="0"/>
        <v>0</v>
      </c>
      <c r="I30" s="43">
        <f t="shared" si="1"/>
        <v>0</v>
      </c>
      <c r="J30" s="43" t="b">
        <f t="array" ref="J30">NOT(OR(($H$9:$H$1273=TRUE)*($I$9:$I$1273&gt;0)*($BT$9:$BT$1273=BT30)*($K$9:$K$1273&gt;K30)))</f>
        <v>1</v>
      </c>
      <c r="K30" s="72">
        <f t="shared" si="2"/>
        <v>0.77147696244728059</v>
      </c>
      <c r="L30" s="72">
        <f t="shared" si="3"/>
        <v>0.79251332780536665</v>
      </c>
      <c r="M30" s="72">
        <f t="shared" si="4"/>
        <v>0.75044059708919442</v>
      </c>
      <c r="N30" s="72">
        <f t="shared" si="5"/>
        <v>0.81249532711028505</v>
      </c>
      <c r="O30" s="72">
        <f t="shared" si="6"/>
        <v>0.63414064468182885</v>
      </c>
      <c r="P30" s="72">
        <f t="shared" si="7"/>
        <v>0.80468581947546958</v>
      </c>
      <c r="Q30" s="72"/>
      <c r="R30" s="72"/>
      <c r="S30" s="72">
        <f t="shared" si="8"/>
        <v>0.39039203435432768</v>
      </c>
      <c r="T30" s="72">
        <f t="shared" si="9"/>
        <v>0.48875723719682496</v>
      </c>
      <c r="U30" s="72">
        <f t="shared" si="10"/>
        <v>0.59264512796955515</v>
      </c>
      <c r="V30" s="72">
        <f t="shared" si="11"/>
        <v>0.53783364132695932</v>
      </c>
      <c r="W30" s="72">
        <f t="shared" si="12"/>
        <v>0.90805687203791474</v>
      </c>
      <c r="X30" s="72">
        <f t="shared" si="13"/>
        <v>0.2074866721946334</v>
      </c>
      <c r="Y30" s="72">
        <f t="shared" si="14"/>
        <v>0.24955940291080556</v>
      </c>
      <c r="Z30" s="72">
        <f t="shared" si="15"/>
        <v>0.18750467288971495</v>
      </c>
      <c r="AA30" s="72">
        <f t="shared" si="16"/>
        <v>0.36585935531817115</v>
      </c>
      <c r="AB30" s="72">
        <f t="shared" si="17"/>
        <v>0.19531418052453048</v>
      </c>
      <c r="AC30" s="72"/>
      <c r="AD30" s="72"/>
      <c r="AE30" s="72">
        <f t="shared" si="18"/>
        <v>0.60960796564567232</v>
      </c>
      <c r="AF30" s="72">
        <f t="shared" si="19"/>
        <v>0.51124276280317504</v>
      </c>
      <c r="AG30" s="72">
        <f t="shared" si="20"/>
        <v>0.40735487203044485</v>
      </c>
      <c r="AH30" s="72">
        <f t="shared" si="21"/>
        <v>0.46216635867304068</v>
      </c>
      <c r="AI30" s="72">
        <f t="shared" si="22"/>
        <v>9.1943127962085258E-2</v>
      </c>
      <c r="AJ30" s="72">
        <f>(AV30-Driver!$K$179)/(Driver!$L$179-Driver!$K$179)</f>
        <v>4.6732737088067036E-2</v>
      </c>
      <c r="AK30" s="72">
        <f>(AW30-Driver!$K$180)/(Driver!$L$180-Driver!$K$180)</f>
        <v>7.3869413125457542E-2</v>
      </c>
      <c r="AL30" s="72">
        <f>(AX30-Driver!$K$181)/(Driver!$L$181-Driver!$K$181)</f>
        <v>0.28919243660279514</v>
      </c>
      <c r="AM30" s="72">
        <f>(AY30-Driver!$K$182)/(Driver!$L$182-Driver!$K$182)</f>
        <v>8.1525665778875184E-2</v>
      </c>
      <c r="AN30" s="72">
        <f>(AZ30-Driver!$K$183)/(Driver!$L$183-Driver!$K$183)</f>
        <v>5.8905228758169934E-2</v>
      </c>
      <c r="AO30" s="72"/>
      <c r="AP30" s="72"/>
      <c r="AQ30" s="72">
        <f>(BC30-Driver!$K$188)/(Driver!$L$188-Driver!$K$188)</f>
        <v>1.0392034354327662E-2</v>
      </c>
      <c r="AR30" s="72">
        <f>MIN((BD30-Driver!$K$189)/(Driver!$L$189-Driver!$K$189),100%)</f>
        <v>3.8757237196824966E-2</v>
      </c>
      <c r="AS30" s="72">
        <f>(BE30-Driver!$K$190)/(Driver!$L$190-Driver!$K$190)</f>
        <v>0.10264512796955515</v>
      </c>
      <c r="AT30" s="72">
        <f>(BF30-Driver!$K$191)/(Driver!$L$191-Driver!$K$191)</f>
        <v>4.7833641326959345E-2</v>
      </c>
      <c r="AU30" s="72">
        <f>(BG30-Driver!$K$192)/(Driver!$L$192-Driver!$K$192)</f>
        <v>0.34194312796208526</v>
      </c>
      <c r="AV30" s="70">
        <f t="shared" si="23"/>
        <v>0.98358431691765025</v>
      </c>
      <c r="AW30" s="70">
        <f t="shared" si="24"/>
        <v>9.0711214801206062</v>
      </c>
      <c r="AX30" s="70">
        <f t="shared" si="25"/>
        <v>3.6027319294251563</v>
      </c>
      <c r="AY30" s="70">
        <f>IFERROR(Driver!$K$19/Data!BH30/Data!BI30*Data!BK30*Data!BL30,"")</f>
        <v>9.9811739824265402E-2</v>
      </c>
      <c r="AZ30" s="70">
        <f t="shared" si="26"/>
        <v>5.3685778108711837</v>
      </c>
      <c r="BA30" s="70"/>
      <c r="BB30" s="70"/>
      <c r="BC30" s="70">
        <f t="shared" si="27"/>
        <v>5.3904204638405293</v>
      </c>
      <c r="BD30" s="70">
        <f t="shared" si="28"/>
        <v>5.1507697022560635</v>
      </c>
      <c r="BE30" s="70">
        <f t="shared" si="29"/>
        <v>0.10280520597856607</v>
      </c>
      <c r="BF30" s="70">
        <f t="shared" si="30"/>
        <v>5.4024737375306122</v>
      </c>
      <c r="BG30" s="70">
        <f t="shared" si="31"/>
        <v>1.2948148185978101</v>
      </c>
      <c r="BH30" s="67">
        <f>MAX((CE30-Driver!$F$200)/(Driver!$G$200-Driver!$F$200)*$BI$1,1)</f>
        <v>3.6027319294251563</v>
      </c>
      <c r="BI30" s="67">
        <f>MAX($BI$1*(BY30-Driver!$F$201)/(Driver!$G$201-Driver!$F$201),1)</f>
        <v>6.518987341772152</v>
      </c>
      <c r="BJ30" s="67">
        <f>(CB30-Driver!$F$206)/(Driver!$G$206-Driver!$F$206)*$BI$1</f>
        <v>3.1746031746031744</v>
      </c>
      <c r="BK30" s="67">
        <f>(CD30-Driver!$F$203)/(Driver!$G$203-Driver!$F$203)*$BI$1</f>
        <v>1.7889908256880738</v>
      </c>
      <c r="BL30" s="67">
        <f>MAX((CR30-Driver!$F$202)/(Driver!$G$202-Driver!$F$202)*$BI$1,1)</f>
        <v>6.5517241379310338</v>
      </c>
      <c r="BM30" s="67">
        <f>MAX((CH30-Driver!$F$204)/(Driver!$G$204-Driver!$F$204)*$BI$1,1)</f>
        <v>1.2393162393162394</v>
      </c>
      <c r="BN30" s="67">
        <f>(CI30-Driver!$F$205)/(Driver!$G$205-Driver!$F$205)*$BI$1</f>
        <v>0.82352941176470584</v>
      </c>
      <c r="BO30" s="67">
        <f>(CK30-Driver!$F$207)/(Driver!$G$207-Driver!$F$207)*$BI$1</f>
        <v>1.4270941054808686</v>
      </c>
      <c r="BP30" s="67">
        <f>(CM30-Driver!$F$208)/(Driver!$G$208-Driver!$F$208)*$BI$1</f>
        <v>2.1333333333333333</v>
      </c>
      <c r="BQ30" s="67">
        <f>(CL30-Driver!$F$209)/(Driver!$G$209-Driver!$F$209)*$BI$1</f>
        <v>5.78125</v>
      </c>
      <c r="BR30" s="28" t="s">
        <v>155</v>
      </c>
      <c r="BS30" s="8" t="s">
        <v>182</v>
      </c>
      <c r="BT30" s="9" t="s">
        <v>193</v>
      </c>
      <c r="BU30" s="10">
        <v>157</v>
      </c>
      <c r="BV30" s="9" t="s">
        <v>158</v>
      </c>
      <c r="BW30" s="10">
        <v>157</v>
      </c>
      <c r="BX30" s="10">
        <v>155.4</v>
      </c>
      <c r="BY30" s="10">
        <v>111</v>
      </c>
      <c r="BZ30" s="10">
        <v>128</v>
      </c>
      <c r="CA30" s="10">
        <v>116</v>
      </c>
      <c r="CB30" s="10">
        <v>84</v>
      </c>
      <c r="CC30" s="10">
        <v>108</v>
      </c>
      <c r="CD30" s="10">
        <v>13.3</v>
      </c>
      <c r="CE30" s="10">
        <v>1533</v>
      </c>
      <c r="CF30" s="10">
        <v>0.96</v>
      </c>
      <c r="CG30" s="10">
        <v>1479</v>
      </c>
      <c r="CH30" s="10">
        <v>130</v>
      </c>
      <c r="CI30" s="10">
        <v>47</v>
      </c>
      <c r="CJ30" s="10">
        <v>46</v>
      </c>
      <c r="CK30" s="10">
        <v>248</v>
      </c>
      <c r="CL30" s="10">
        <v>37</v>
      </c>
      <c r="CM30" s="10">
        <v>192</v>
      </c>
      <c r="CN30" s="10">
        <v>0.79800000000000004</v>
      </c>
      <c r="CO30" s="10">
        <v>144</v>
      </c>
      <c r="CP30" s="10">
        <v>126</v>
      </c>
      <c r="CQ30" s="10">
        <v>104</v>
      </c>
      <c r="CR30" s="10">
        <v>8</v>
      </c>
      <c r="CS30" s="10">
        <v>6.8</v>
      </c>
      <c r="CT30" s="9" t="s">
        <v>188</v>
      </c>
      <c r="CU30" s="10"/>
      <c r="CV30" s="10"/>
      <c r="CW30" s="10"/>
      <c r="CX30" t="str">
        <f>INDEX('Data_Price '!AG$2:AG$1266,MATCH(Data!$DN30,'Data_Price '!$AT$2:$AT$1266,0))</f>
        <v>Armada ARV 84 Ski 2022 - 157</v>
      </c>
      <c r="CY30" t="str">
        <f>INDEX('Data_Price '!AH$2:AH$1266,MATCH(Data!$DN30,'Data_Price '!$AT$2:$AT$1266,0))</f>
        <v>UtahSkis</v>
      </c>
      <c r="CZ30">
        <f>INDEX('Data_Price '!AI$2:AI$1266,MATCH(Data!$DN30,'Data_Price '!$AT$2:$AT$1266,0))</f>
        <v>279.95999999999998</v>
      </c>
      <c r="DA30" t="str">
        <f>INDEX('Data_Price '!AJ$2:AJ$1266,MATCH(Data!$DN30,'Data_Price '!$AT$2:$AT$1266,0))</f>
        <v>https://tinyurl.com/yd2z9qdt</v>
      </c>
      <c r="DB30" t="str">
        <f>INDEX('Data_Price '!AK$2:AK$1266,MATCH(Data!$DN30,'Data_Price '!$AT$2:$AT$1266,0))</f>
        <v>Armada Arv 84 Skis 2022 157cm</v>
      </c>
      <c r="DC30" t="str">
        <f>INDEX('Data_Price '!AL$2:AL$1266,MATCH(Data!$DN30,'Data_Price '!$AT$2:$AT$1266,0))</f>
        <v>eBay</v>
      </c>
      <c r="DD30">
        <f>INDEX('Data_Price '!AM$2:AM$1266,MATCH(Data!$DN30,'Data_Price '!$AT$2:$AT$1266,0))</f>
        <v>315.99</v>
      </c>
      <c r="DE30" t="str">
        <f>INDEX('Data_Price '!AN$2:AN$1266,MATCH(Data!$DN30,'Data_Price '!$AT$2:$AT$1266,0))</f>
        <v>https://tinyurl.com/y7gl7r3t</v>
      </c>
      <c r="DF30" t="str">
        <f>INDEX('Data_Price '!AO$2:AO$1266,MATCH(Data!$DN30,'Data_Price '!$AT$2:$AT$1266,0))</f>
        <v>Armada ARV 84 Ski 2022 - 157</v>
      </c>
      <c r="DG30" t="str">
        <f>INDEX('Data_Price '!AP$2:AP$1266,MATCH(Data!$DN30,'Data_Price '!$AT$2:$AT$1266,0))</f>
        <v xml:space="preserve">Aspen East </v>
      </c>
      <c r="DH30">
        <f>INDEX('Data_Price '!AQ$2:AQ$1266,MATCH(Data!$DN30,'Data_Price '!$AT$2:$AT$1266,0))</f>
        <v>349</v>
      </c>
      <c r="DI30" t="str">
        <f>INDEX('Data_Price '!AR$2:AR$1266,MATCH(Data!$DN30,'Data_Price '!$AT$2:$AT$1266,0))</f>
        <v>https://tinyurl.com/y89cyskw</v>
      </c>
      <c r="DJ30" s="89" t="str">
        <f t="shared" si="32"/>
        <v>https://tinyurl.com/yd2z9qdt</v>
      </c>
      <c r="DK30" s="89" t="str">
        <f t="shared" si="33"/>
        <v>https://tinyurl.com/y7gl7r3t</v>
      </c>
      <c r="DL30" s="89" t="str">
        <f t="shared" si="34"/>
        <v>https://tinyurl.com/y89cyskw</v>
      </c>
      <c r="DM30" s="219" t="str">
        <f t="shared" si="35"/>
        <v>ARV 84</v>
      </c>
      <c r="DN30" s="89" t="str">
        <f t="shared" si="36"/>
        <v xml:space="preserve"> ArmadaARV 84157 Unisex</v>
      </c>
      <c r="DO30" s="221" t="s">
        <v>194</v>
      </c>
    </row>
    <row r="31" spans="2:119" ht="15.6" customHeight="1">
      <c r="B31" s="219" t="b">
        <f t="array" ref="B31">IF(OR(ISERROR(K31:P31)),FALSE,TRUE)</f>
        <v>1</v>
      </c>
      <c r="C31" s="43" t="b">
        <f>OR(BR31=Driver!$G$50,Data!BR33=Driver!$H$50)</f>
        <v>1</v>
      </c>
      <c r="D31" s="43" t="b">
        <f>OR(BV31=Driver!$G$51,BV31=Driver!$H$51)</f>
        <v>1</v>
      </c>
      <c r="E31" s="43" t="b">
        <f>AND(BX31&gt;Driver!$F$54,BX31&lt;Driver!$G$54)</f>
        <v>0</v>
      </c>
      <c r="F31" s="43" t="b">
        <f>CL31&gt;Driver!$F$56</f>
        <v>1</v>
      </c>
      <c r="G31" s="43" t="b">
        <f>AND(CB31&gt;Driver!$F$55,CB31&lt;Driver!$G$55)</f>
        <v>0</v>
      </c>
      <c r="H31" s="43" t="b">
        <f t="shared" si="0"/>
        <v>0</v>
      </c>
      <c r="I31" s="43">
        <f t="shared" si="1"/>
        <v>0</v>
      </c>
      <c r="J31" s="43" t="b">
        <f t="array" ref="J31">NOT(OR(($H$9:$H$1273=TRUE)*($I$9:$I$1273&gt;0)*($BT$9:$BT$1273=BT31)*($K$9:$K$1273&gt;K31)))</f>
        <v>1</v>
      </c>
      <c r="K31" s="72">
        <f t="shared" si="2"/>
        <v>0.76878853351131982</v>
      </c>
      <c r="L31" s="72">
        <f t="shared" si="3"/>
        <v>0.78348907512629162</v>
      </c>
      <c r="M31" s="72">
        <f t="shared" si="4"/>
        <v>0.75408799189634812</v>
      </c>
      <c r="N31" s="72">
        <f t="shared" si="5"/>
        <v>0.85486552884303657</v>
      </c>
      <c r="O31" s="72">
        <f t="shared" si="6"/>
        <v>0.61504922867772782</v>
      </c>
      <c r="P31" s="72">
        <f t="shared" si="7"/>
        <v>0.79234921816827997</v>
      </c>
      <c r="Q31" s="72"/>
      <c r="R31" s="72"/>
      <c r="S31" s="72">
        <f t="shared" si="8"/>
        <v>0.38547707774569284</v>
      </c>
      <c r="T31" s="72">
        <f t="shared" si="9"/>
        <v>0.49022834323184639</v>
      </c>
      <c r="U31" s="72">
        <f t="shared" si="10"/>
        <v>0.58447725155220653</v>
      </c>
      <c r="V31" s="72">
        <f t="shared" si="11"/>
        <v>0.56828209372054694</v>
      </c>
      <c r="W31" s="72">
        <f t="shared" si="12"/>
        <v>0.76325088339222624</v>
      </c>
      <c r="X31" s="72">
        <f t="shared" si="13"/>
        <v>0.2165109248737084</v>
      </c>
      <c r="Y31" s="72">
        <f t="shared" si="14"/>
        <v>0.24591200810365185</v>
      </c>
      <c r="Z31" s="72">
        <f t="shared" si="15"/>
        <v>0.14513447115696343</v>
      </c>
      <c r="AA31" s="72">
        <f t="shared" si="16"/>
        <v>0.38495077132227212</v>
      </c>
      <c r="AB31" s="72">
        <f t="shared" si="17"/>
        <v>0.20765078183172003</v>
      </c>
      <c r="AC31" s="72"/>
      <c r="AD31" s="72"/>
      <c r="AE31" s="72">
        <f t="shared" si="18"/>
        <v>0.61452292225430716</v>
      </c>
      <c r="AF31" s="72">
        <f t="shared" si="19"/>
        <v>0.50977165676815361</v>
      </c>
      <c r="AG31" s="72">
        <f t="shared" si="20"/>
        <v>0.41552274844779352</v>
      </c>
      <c r="AH31" s="72">
        <f t="shared" si="21"/>
        <v>0.43171790627945306</v>
      </c>
      <c r="AI31" s="72">
        <f t="shared" si="22"/>
        <v>0.23674911660777381</v>
      </c>
      <c r="AJ31" s="72">
        <f>(AV31-Driver!$K$179)/(Driver!$L$179-Driver!$K$179)</f>
        <v>3.7708484408992021E-2</v>
      </c>
      <c r="AK31" s="72">
        <f>(AW31-Driver!$K$180)/(Driver!$L$180-Driver!$K$180)</f>
        <v>5.8180189338755926E-2</v>
      </c>
      <c r="AL31" s="72">
        <f>(AX31-Driver!$K$181)/(Driver!$L$181-Driver!$K$181)</f>
        <v>0.24682223487004362</v>
      </c>
      <c r="AM31" s="72">
        <f>(AY31-Driver!$K$182)/(Driver!$L$182-Driver!$K$182)</f>
        <v>6.2434249774774221E-2</v>
      </c>
      <c r="AN31" s="72">
        <f>(AZ31-Driver!$K$183)/(Driver!$L$183-Driver!$K$183)</f>
        <v>4.6568627450980386E-2</v>
      </c>
      <c r="AO31" s="72"/>
      <c r="AP31" s="72"/>
      <c r="AQ31" s="72">
        <f>(BC31-Driver!$K$188)/(Driver!$L$188-Driver!$K$188)</f>
        <v>5.4770777456928021E-3</v>
      </c>
      <c r="AR31" s="72">
        <f>MIN((BD31-Driver!$K$189)/(Driver!$L$189-Driver!$K$189),100%)</f>
        <v>4.0228343231846389E-2</v>
      </c>
      <c r="AS31" s="72">
        <f>(BE31-Driver!$K$190)/(Driver!$L$190-Driver!$K$190)</f>
        <v>9.4477251552206473E-2</v>
      </c>
      <c r="AT31" s="72">
        <f>(BF31-Driver!$K$191)/(Driver!$L$191-Driver!$K$191)</f>
        <v>7.8282093720546952E-2</v>
      </c>
      <c r="AU31" s="72">
        <f>(BG31-Driver!$K$192)/(Driver!$L$192-Driver!$K$192)</f>
        <v>0.48674911660777381</v>
      </c>
      <c r="AV31" s="70">
        <f t="shared" si="23"/>
        <v>0.79365079365079361</v>
      </c>
      <c r="AW31" s="70">
        <f t="shared" si="24"/>
        <v>7.5420676014414321</v>
      </c>
      <c r="AX31" s="70">
        <f t="shared" si="25"/>
        <v>3.2214001138303927</v>
      </c>
      <c r="AY31" s="70">
        <f>IFERROR(Driver!$K$19/Data!BH31/Data!BI31*Data!BK31*Data!BL31,"")</f>
        <v>7.6438150306497796E-2</v>
      </c>
      <c r="AZ31" s="70">
        <f t="shared" si="26"/>
        <v>4.2442293373045414</v>
      </c>
      <c r="BA31" s="70"/>
      <c r="BB31" s="70"/>
      <c r="BC31" s="70">
        <f t="shared" si="27"/>
        <v>2.8409983027176149</v>
      </c>
      <c r="BD31" s="70">
        <f t="shared" si="28"/>
        <v>5.2809599797098086</v>
      </c>
      <c r="BE31" s="70">
        <f t="shared" si="29"/>
        <v>9.4638786618436888E-2</v>
      </c>
      <c r="BF31" s="70">
        <f t="shared" si="30"/>
        <v>8.8414125229016651</v>
      </c>
      <c r="BG31" s="70">
        <f t="shared" si="31"/>
        <v>1.8431426678445231</v>
      </c>
      <c r="BH31" s="67">
        <f>MAX((CE31-Driver!$F$200)/(Driver!$G$200-Driver!$F$200)*$BI$1,1)</f>
        <v>3.2214001138303927</v>
      </c>
      <c r="BI31" s="67">
        <f>MAX($BI$1*(BY31-Driver!$F$201)/(Driver!$G$201-Driver!$F$201),1)</f>
        <v>6.0126582278481013</v>
      </c>
      <c r="BJ31" s="67">
        <f>(CB31-Driver!$F$206)/(Driver!$G$206-Driver!$F$206)*$BI$1</f>
        <v>3.1746031746031744</v>
      </c>
      <c r="BK31" s="67">
        <f>(CD31-Driver!$F$203)/(Driver!$G$203-Driver!$F$203)*$BI$1</f>
        <v>1.1926605504587156</v>
      </c>
      <c r="BL31" s="67">
        <f>MAX((CR31-Driver!$F$202)/(Driver!$G$202-Driver!$F$202)*$BI$1,1)</f>
        <v>6.2068965517241379</v>
      </c>
      <c r="BM31" s="67">
        <f>MAX((CH31-Driver!$F$204)/(Driver!$G$204-Driver!$F$204)*$BI$1,1)</f>
        <v>1</v>
      </c>
      <c r="BN31" s="67">
        <f>(CI31-Driver!$F$205)/(Driver!$G$205-Driver!$F$205)*$BI$1</f>
        <v>0.70588235294117641</v>
      </c>
      <c r="BO31" s="67">
        <f>(CK31-Driver!$F$207)/(Driver!$G$207-Driver!$F$207)*$BI$1</f>
        <v>1.5098241985522234</v>
      </c>
      <c r="BP31" s="67">
        <f>(CM31-Driver!$F$208)/(Driver!$G$208-Driver!$F$208)*$BI$1</f>
        <v>2.2000000000000002</v>
      </c>
      <c r="BQ31" s="67">
        <f>(CL31-Driver!$F$209)/(Driver!$G$209-Driver!$F$209)*$BI$1</f>
        <v>5.9375</v>
      </c>
      <c r="BR31" s="28" t="s">
        <v>155</v>
      </c>
      <c r="BS31" s="8" t="s">
        <v>182</v>
      </c>
      <c r="BT31" s="9" t="s">
        <v>193</v>
      </c>
      <c r="BU31" s="10">
        <v>150</v>
      </c>
      <c r="BV31" s="9" t="s">
        <v>158</v>
      </c>
      <c r="BW31" s="10">
        <v>150</v>
      </c>
      <c r="BX31" s="10">
        <v>148</v>
      </c>
      <c r="BY31" s="10">
        <v>103</v>
      </c>
      <c r="BZ31" s="10">
        <v>122</v>
      </c>
      <c r="CA31" s="10">
        <v>116</v>
      </c>
      <c r="CB31" s="10">
        <v>84</v>
      </c>
      <c r="CC31" s="10">
        <v>107</v>
      </c>
      <c r="CD31" s="10">
        <v>12</v>
      </c>
      <c r="CE31" s="10">
        <v>1466</v>
      </c>
      <c r="CF31" s="10">
        <v>0.96</v>
      </c>
      <c r="CG31" s="10">
        <v>1412</v>
      </c>
      <c r="CH31" s="10">
        <v>124</v>
      </c>
      <c r="CI31" s="10">
        <v>45</v>
      </c>
      <c r="CJ31" s="10">
        <v>49</v>
      </c>
      <c r="CK31" s="10">
        <v>256</v>
      </c>
      <c r="CL31" s="10">
        <v>38</v>
      </c>
      <c r="CM31" s="10">
        <v>198</v>
      </c>
      <c r="CN31" s="10">
        <v>0.76900000000000002</v>
      </c>
      <c r="CO31" s="10">
        <v>138</v>
      </c>
      <c r="CP31" s="10">
        <v>121</v>
      </c>
      <c r="CQ31" s="10">
        <v>118</v>
      </c>
      <c r="CR31" s="10">
        <v>7</v>
      </c>
      <c r="CS31" s="10">
        <v>5.8</v>
      </c>
      <c r="CT31" s="9" t="s">
        <v>188</v>
      </c>
      <c r="CU31" s="10"/>
      <c r="CV31" s="10"/>
      <c r="CW31" s="10"/>
      <c r="CX31" t="str">
        <f>INDEX('Data_Price '!AG$2:AG$1266,MATCH(Data!$DN31,'Data_Price '!$AT$2:$AT$1266,0))</f>
        <v>Armada ARV 84 Ski 2022 - 150</v>
      </c>
      <c r="CY31" t="str">
        <f>INDEX('Data_Price '!AH$2:AH$1266,MATCH(Data!$DN31,'Data_Price '!$AT$2:$AT$1266,0))</f>
        <v>evo.com</v>
      </c>
      <c r="CZ31">
        <f>INDEX('Data_Price '!AI$2:AI$1266,MATCH(Data!$DN31,'Data_Price '!$AT$2:$AT$1266,0))</f>
        <v>279.95999999999998</v>
      </c>
      <c r="DA31" t="str">
        <f>INDEX('Data_Price '!AJ$2:AJ$1266,MATCH(Data!$DN31,'Data_Price '!$AT$2:$AT$1266,0))</f>
        <v>https://tinyurl.com/y9w5rx23</v>
      </c>
      <c r="DB31" t="str">
        <f>INDEX('Data_Price '!AK$2:AK$1266,MATCH(Data!$DN31,'Data_Price '!$AT$2:$AT$1266,0))</f>
        <v>Armada ARV 84 Ski 2022 - 150</v>
      </c>
      <c r="DC31" t="str">
        <f>INDEX('Data_Price '!AL$2:AL$1266,MATCH(Data!$DN31,'Data_Price '!$AT$2:$AT$1266,0))</f>
        <v>Steep &amp; Cheap</v>
      </c>
      <c r="DD31">
        <f>INDEX('Data_Price '!AM$2:AM$1266,MATCH(Data!$DN31,'Data_Price '!$AT$2:$AT$1266,0))</f>
        <v>279.95999999999998</v>
      </c>
      <c r="DE31" t="str">
        <f>INDEX('Data_Price '!AN$2:AN$1266,MATCH(Data!$DN31,'Data_Price '!$AT$2:$AT$1266,0))</f>
        <v>https://tinyurl.com/ya3f9gqv</v>
      </c>
      <c r="DF31" t="str">
        <f>INDEX('Data_Price '!AO$2:AO$1266,MATCH(Data!$DN31,'Data_Price '!$AT$2:$AT$1266,0))</f>
        <v>Armada ARV 84 Ski 2022 - 150</v>
      </c>
      <c r="DG31" t="str">
        <f>INDEX('Data_Price '!AP$2:AP$1266,MATCH(Data!$DN31,'Data_Price '!$AT$2:$AT$1266,0))</f>
        <v>UtahSkis</v>
      </c>
      <c r="DH31">
        <f>INDEX('Data_Price '!AQ$2:AQ$1266,MATCH(Data!$DN31,'Data_Price '!$AT$2:$AT$1266,0))</f>
        <v>279.95999999999998</v>
      </c>
      <c r="DI31" t="str">
        <f>INDEX('Data_Price '!AR$2:AR$1266,MATCH(Data!$DN31,'Data_Price '!$AT$2:$AT$1266,0))</f>
        <v>https://tinyurl.com/yawk9buu</v>
      </c>
      <c r="DJ31" s="89" t="str">
        <f t="shared" si="32"/>
        <v>https://tinyurl.com/y9w5rx23</v>
      </c>
      <c r="DK31" s="89" t="str">
        <f t="shared" si="33"/>
        <v>https://tinyurl.com/ya3f9gqv</v>
      </c>
      <c r="DL31" s="89" t="str">
        <f t="shared" si="34"/>
        <v>https://tinyurl.com/yawk9buu</v>
      </c>
      <c r="DM31" s="219" t="str">
        <f t="shared" si="35"/>
        <v>ARV 84</v>
      </c>
      <c r="DN31" s="89" t="str">
        <f t="shared" si="36"/>
        <v xml:space="preserve"> ArmadaARV 84150 Unisex</v>
      </c>
      <c r="DO31" s="221" t="s">
        <v>194</v>
      </c>
    </row>
    <row r="32" spans="2:119" ht="15.6" customHeight="1">
      <c r="B32" s="219" t="b">
        <f t="array" ref="B32">IF(OR(ISERROR(K32:P32)),FALSE,TRUE)</f>
        <v>1</v>
      </c>
      <c r="C32" s="43" t="b">
        <f>OR(BR32=Driver!$G$50,Data!BR32=Driver!$H$50)</f>
        <v>1</v>
      </c>
      <c r="D32" s="43" t="b">
        <f>OR(BV32=Driver!$G$51,BV32=Driver!$H$51)</f>
        <v>1</v>
      </c>
      <c r="E32" s="43" t="b">
        <f>AND(BX32&gt;Driver!$F$54,BX32&lt;Driver!$G$54)</f>
        <v>0</v>
      </c>
      <c r="F32" s="43" t="b">
        <f>CL32&gt;Driver!$F$56</f>
        <v>1</v>
      </c>
      <c r="G32" s="43" t="b">
        <f>AND(CB32&gt;Driver!$F$55,CB32&lt;Driver!$G$55)</f>
        <v>0</v>
      </c>
      <c r="H32" s="43" t="b">
        <f t="shared" si="0"/>
        <v>0</v>
      </c>
      <c r="I32" s="43">
        <f t="shared" si="1"/>
        <v>0</v>
      </c>
      <c r="J32" s="43" t="b">
        <f t="array" ref="J32">NOT(OR(($H$9:$H$1273=TRUE)*($I$9:$I$1273&gt;0)*($BT$9:$BT$1273=BT32)*($K$9:$K$1273&gt;K32)))</f>
        <v>1</v>
      </c>
      <c r="K32" s="72">
        <f t="shared" si="2"/>
        <v>0.77149372048404519</v>
      </c>
      <c r="L32" s="72">
        <f t="shared" si="3"/>
        <v>0.78348907512629162</v>
      </c>
      <c r="M32" s="72">
        <f t="shared" si="4"/>
        <v>0.75949836584179875</v>
      </c>
      <c r="N32" s="72">
        <f t="shared" si="5"/>
        <v>0.91367789841237823</v>
      </c>
      <c r="O32" s="72">
        <f t="shared" si="6"/>
        <v>0.58227190251336558</v>
      </c>
      <c r="P32" s="72">
        <f t="shared" si="7"/>
        <v>0.78254529659965255</v>
      </c>
      <c r="Q32" s="72"/>
      <c r="R32" s="72"/>
      <c r="S32" s="72">
        <f t="shared" si="8"/>
        <v>0.3818293883158691</v>
      </c>
      <c r="T32" s="72">
        <f t="shared" si="9"/>
        <v>0.53532871167092555</v>
      </c>
      <c r="U32" s="72">
        <f t="shared" si="10"/>
        <v>0.61468211233306347</v>
      </c>
      <c r="V32" s="72">
        <f t="shared" si="11"/>
        <v>0.65331294939832207</v>
      </c>
      <c r="W32" s="72">
        <f t="shared" si="12"/>
        <v>0.68287526427061307</v>
      </c>
      <c r="X32" s="72">
        <f t="shared" si="13"/>
        <v>0.2165109248737084</v>
      </c>
      <c r="Y32" s="72">
        <f t="shared" si="14"/>
        <v>0.24050163415820122</v>
      </c>
      <c r="Z32" s="72">
        <f t="shared" si="15"/>
        <v>8.6322101587621783E-2</v>
      </c>
      <c r="AA32" s="72">
        <f t="shared" si="16"/>
        <v>0.41772809748663442</v>
      </c>
      <c r="AB32" s="72">
        <f t="shared" si="17"/>
        <v>0.21745470340034748</v>
      </c>
      <c r="AC32" s="72"/>
      <c r="AD32" s="72"/>
      <c r="AE32" s="72">
        <f t="shared" si="18"/>
        <v>0.6181706116841309</v>
      </c>
      <c r="AF32" s="72">
        <f t="shared" si="19"/>
        <v>0.46467128832907439</v>
      </c>
      <c r="AG32" s="72">
        <f t="shared" si="20"/>
        <v>0.38531788766693648</v>
      </c>
      <c r="AH32" s="72">
        <f t="shared" si="21"/>
        <v>0.34668705060167793</v>
      </c>
      <c r="AI32" s="72">
        <f t="shared" si="22"/>
        <v>0.31712473572938693</v>
      </c>
      <c r="AJ32" s="72">
        <f>(AV32-Driver!$K$179)/(Driver!$L$179-Driver!$K$179)</f>
        <v>3.7708484408992021E-2</v>
      </c>
      <c r="AK32" s="72">
        <f>(AW32-Driver!$K$180)/(Driver!$L$180-Driver!$K$180)</f>
        <v>4.3169111788939209E-2</v>
      </c>
      <c r="AL32" s="72">
        <f>(AX32-Driver!$K$181)/(Driver!$L$181-Driver!$K$181)</f>
        <v>0.18800986530070196</v>
      </c>
      <c r="AM32" s="72">
        <f>(AY32-Driver!$K$182)/(Driver!$L$182-Driver!$K$182)</f>
        <v>2.9656923610411966E-2</v>
      </c>
      <c r="AN32" s="72">
        <f>(AZ32-Driver!$K$183)/(Driver!$L$183-Driver!$K$183)</f>
        <v>3.6764705882352942E-2</v>
      </c>
      <c r="AO32" s="72"/>
      <c r="AP32" s="72"/>
      <c r="AQ32" s="72">
        <f>(BC32-Driver!$K$188)/(Driver!$L$188-Driver!$K$188)</f>
        <v>1.8293883158690535E-3</v>
      </c>
      <c r="AR32" s="72">
        <f>MIN((BD32-Driver!$K$189)/(Driver!$L$189-Driver!$K$189),100%)</f>
        <v>8.5328711670925636E-2</v>
      </c>
      <c r="AS32" s="72">
        <f>(BE32-Driver!$K$190)/(Driver!$L$190-Driver!$K$190)</f>
        <v>0.12468211233306353</v>
      </c>
      <c r="AT32" s="72">
        <f>(BF32-Driver!$K$191)/(Driver!$L$191-Driver!$K$191)</f>
        <v>0.16331294939832211</v>
      </c>
      <c r="AU32" s="72">
        <f>(BG32-Driver!$K$192)/(Driver!$L$192-Driver!$K$192)</f>
        <v>0.56712473572938693</v>
      </c>
      <c r="AV32" s="70">
        <f t="shared" si="23"/>
        <v>0.79365079365079361</v>
      </c>
      <c r="AW32" s="70">
        <f t="shared" si="24"/>
        <v>6.0791050825336352</v>
      </c>
      <c r="AX32" s="70">
        <f t="shared" si="25"/>
        <v>2.6920887877063175</v>
      </c>
      <c r="AY32" s="70">
        <f>IFERROR(Driver!$K$19/Data!BH32/Data!BI32*Data!BK32*Data!BL32,"")</f>
        <v>3.6308923271100378E-2</v>
      </c>
      <c r="AZ32" s="70">
        <f t="shared" si="26"/>
        <v>3.3507073715562177</v>
      </c>
      <c r="BA32" s="70"/>
      <c r="BB32" s="70"/>
      <c r="BC32" s="70">
        <f t="shared" si="27"/>
        <v>0.94891643714252327</v>
      </c>
      <c r="BD32" s="70">
        <f t="shared" si="28"/>
        <v>9.2722626734441569</v>
      </c>
      <c r="BE32" s="70">
        <f t="shared" si="29"/>
        <v>0.12483825919210083</v>
      </c>
      <c r="BF32" s="70">
        <f t="shared" si="30"/>
        <v>18.445050296136131</v>
      </c>
      <c r="BG32" s="70">
        <f t="shared" si="31"/>
        <v>2.1474960359408035</v>
      </c>
      <c r="BH32" s="67">
        <f>MAX((CE32-Driver!$F$200)/(Driver!$G$200-Driver!$F$200)*$BI$1,1)</f>
        <v>2.6920887877063175</v>
      </c>
      <c r="BI32" s="67">
        <f>MAX($BI$1*(BY32-Driver!$F$201)/(Driver!$G$201-Driver!$F$201),1)</f>
        <v>5.6962025316455698</v>
      </c>
      <c r="BJ32" s="67">
        <f>(CB32-Driver!$F$206)/(Driver!$G$206-Driver!$F$206)*$BI$1</f>
        <v>3.1746031746031744</v>
      </c>
      <c r="BK32" s="67">
        <f>(CD32-Driver!$F$203)/(Driver!$G$203-Driver!$F$203)*$BI$1</f>
        <v>0.50458715596330261</v>
      </c>
      <c r="BL32" s="67">
        <f>MAX((CR32-Driver!$F$202)/(Driver!$G$202-Driver!$F$202)*$BI$1,1)</f>
        <v>5.5172413793103452</v>
      </c>
      <c r="BM32" s="67">
        <f>MAX((CH32-Driver!$F$204)/(Driver!$G$204-Driver!$F$204)*$BI$1,1)</f>
        <v>1</v>
      </c>
      <c r="BN32" s="67">
        <f>(CI32-Driver!$F$205)/(Driver!$G$205-Driver!$F$205)*$BI$1</f>
        <v>0.58823529411764708</v>
      </c>
      <c r="BO32" s="67">
        <f>(CK32-Driver!$F$207)/(Driver!$G$207-Driver!$F$207)*$BI$1</f>
        <v>1.3960703205791105</v>
      </c>
      <c r="BP32" s="67">
        <f>(CM32-Driver!$F$208)/(Driver!$G$208-Driver!$F$208)*$BI$1</f>
        <v>2.1</v>
      </c>
      <c r="BQ32" s="67">
        <f>(CL32-Driver!$F$209)/(Driver!$G$209-Driver!$F$209)*$BI$1</f>
        <v>5.78125</v>
      </c>
      <c r="BR32" s="28" t="s">
        <v>155</v>
      </c>
      <c r="BS32" s="8" t="s">
        <v>182</v>
      </c>
      <c r="BT32" s="9" t="s">
        <v>193</v>
      </c>
      <c r="BU32" s="10">
        <v>143</v>
      </c>
      <c r="BV32" s="9" t="s">
        <v>158</v>
      </c>
      <c r="BW32" s="10">
        <v>143</v>
      </c>
      <c r="BX32" s="10">
        <v>140.9</v>
      </c>
      <c r="BY32" s="10">
        <v>98</v>
      </c>
      <c r="BZ32" s="10">
        <v>116</v>
      </c>
      <c r="CA32" s="10">
        <v>116</v>
      </c>
      <c r="CB32" s="10">
        <v>84</v>
      </c>
      <c r="CC32" s="10">
        <v>108</v>
      </c>
      <c r="CD32" s="10">
        <v>10.5</v>
      </c>
      <c r="CE32" s="10">
        <v>1373</v>
      </c>
      <c r="CF32" s="10">
        <v>0.99</v>
      </c>
      <c r="CG32" s="10">
        <v>1353</v>
      </c>
      <c r="CH32" s="10">
        <v>112</v>
      </c>
      <c r="CI32" s="10">
        <v>43</v>
      </c>
      <c r="CJ32" s="10">
        <v>47</v>
      </c>
      <c r="CK32" s="10">
        <v>245</v>
      </c>
      <c r="CL32" s="10">
        <v>37</v>
      </c>
      <c r="CM32" s="10">
        <v>189</v>
      </c>
      <c r="CN32" s="10">
        <v>0.76900000000000002</v>
      </c>
      <c r="CO32" s="10">
        <v>130</v>
      </c>
      <c r="CP32" s="10">
        <v>114</v>
      </c>
      <c r="CQ32" s="10">
        <v>115</v>
      </c>
      <c r="CR32" s="10">
        <v>5</v>
      </c>
      <c r="CS32" s="10">
        <v>9.1</v>
      </c>
      <c r="CT32" s="9" t="s">
        <v>188</v>
      </c>
      <c r="CU32" s="10"/>
      <c r="CV32" s="10"/>
      <c r="CW32" s="10"/>
      <c r="CX32" t="str">
        <f>INDEX('Data_Price '!AG$2:AG$1266,MATCH(Data!$DN32,'Data_Price '!$AT$2:$AT$1266,0))</f>
        <v>Armada 2022 ARV 84 Ski 143</v>
      </c>
      <c r="CY32" t="str">
        <f>INDEX('Data_Price '!AH$2:AH$1266,MATCH(Data!$DN32,'Data_Price '!$AT$2:$AT$1266,0))</f>
        <v>PRFO Sports</v>
      </c>
      <c r="CZ32">
        <f>INDEX('Data_Price '!AI$2:AI$1266,MATCH(Data!$DN32,'Data_Price '!$AT$2:$AT$1266,0))</f>
        <v>275.08</v>
      </c>
      <c r="DA32" t="str">
        <f>INDEX('Data_Price '!AJ$2:AJ$1266,MATCH(Data!$DN32,'Data_Price '!$AT$2:$AT$1266,0))</f>
        <v>https://tinyurl.com/yad74cxw</v>
      </c>
      <c r="DB32" t="str">
        <f>INDEX('Data_Price '!AK$2:AK$1266,MATCH(Data!$DN32,'Data_Price '!$AT$2:$AT$1266,0))</f>
        <v>Armada - ARV 84 - 143 Short Blue</v>
      </c>
      <c r="DC32" t="str">
        <f>INDEX('Data_Price '!AL$2:AL$1266,MATCH(Data!$DN32,'Data_Price '!$AT$2:$AT$1266,0))</f>
        <v>REI</v>
      </c>
      <c r="DD32">
        <f>INDEX('Data_Price '!AM$2:AM$1266,MATCH(Data!$DN32,'Data_Price '!$AT$2:$AT$1266,0))</f>
        <v>279.93</v>
      </c>
      <c r="DE32" t="str">
        <f>INDEX('Data_Price '!AN$2:AN$1266,MATCH(Data!$DN32,'Data_Price '!$AT$2:$AT$1266,0))</f>
        <v>https://tinyurl.com/ycujnrm9</v>
      </c>
      <c r="DF32" t="str">
        <f>INDEX('Data_Price '!AO$2:AO$1266,MATCH(Data!$DN32,'Data_Price '!$AT$2:$AT$1266,0))</f>
        <v>Armada - ARV 84 - 143 Short Blue</v>
      </c>
      <c r="DG32" t="str">
        <f>INDEX('Data_Price '!AP$2:AP$1266,MATCH(Data!$DN32,'Data_Price '!$AT$2:$AT$1266,0))</f>
        <v>evo.com</v>
      </c>
      <c r="DH32">
        <f>INDEX('Data_Price '!AQ$2:AQ$1266,MATCH(Data!$DN32,'Data_Price '!$AT$2:$AT$1266,0))</f>
        <v>279.95999999999998</v>
      </c>
      <c r="DI32" t="str">
        <f>INDEX('Data_Price '!AR$2:AR$1266,MATCH(Data!$DN32,'Data_Price '!$AT$2:$AT$1266,0))</f>
        <v>https://tinyurl.com/ycderqlt</v>
      </c>
      <c r="DJ32" s="89" t="str">
        <f t="shared" si="32"/>
        <v>https://tinyurl.com/yad74cxw</v>
      </c>
      <c r="DK32" s="89" t="str">
        <f t="shared" si="33"/>
        <v>https://tinyurl.com/ycujnrm9</v>
      </c>
      <c r="DL32" s="89" t="str">
        <f t="shared" si="34"/>
        <v>https://tinyurl.com/ycderqlt</v>
      </c>
      <c r="DM32" s="219" t="str">
        <f t="shared" si="35"/>
        <v>ARV 84</v>
      </c>
      <c r="DN32" s="89" t="str">
        <f t="shared" si="36"/>
        <v xml:space="preserve"> ArmadaARV 84143 Unisex</v>
      </c>
      <c r="DO32" s="221" t="s">
        <v>194</v>
      </c>
    </row>
    <row r="33" spans="2:119" ht="15.6" customHeight="1">
      <c r="B33" s="219" t="b">
        <f t="array" ref="B33">IF(OR(ISERROR(K33:P33)),FALSE,TRUE)</f>
        <v>1</v>
      </c>
      <c r="C33" s="43" t="b">
        <f>OR(BR33=Driver!$G$50,Data!BR27=Driver!$H$50)</f>
        <v>1</v>
      </c>
      <c r="D33" s="43" t="b">
        <f>OR(BV33=Driver!$G$51,BV33=Driver!$H$51)</f>
        <v>1</v>
      </c>
      <c r="E33" s="43" t="b">
        <f>AND(BX33&gt;Driver!$F$54,BX33&lt;Driver!$G$54)</f>
        <v>0</v>
      </c>
      <c r="F33" s="43" t="b">
        <f>CL33&gt;Driver!$F$56</f>
        <v>1</v>
      </c>
      <c r="G33" s="43" t="b">
        <f>AND(CB33&gt;Driver!$F$55,CB33&lt;Driver!$G$55)</f>
        <v>1</v>
      </c>
      <c r="H33" s="43" t="b">
        <f t="shared" si="0"/>
        <v>0</v>
      </c>
      <c r="I33" s="43">
        <f t="shared" si="1"/>
        <v>0</v>
      </c>
      <c r="J33" s="43" t="b">
        <f t="array" ref="J33">NOT(OR(($H$9:$H$1273=TRUE)*($I$9:$I$1273&gt;0)*($BT$9:$BT$1273=BT33)*($K$9:$K$1273&gt;K33)))</f>
        <v>1</v>
      </c>
      <c r="K33" s="72">
        <f t="shared" si="2"/>
        <v>0.64293129042689912</v>
      </c>
      <c r="L33" s="72">
        <f t="shared" si="3"/>
        <v>0.71904899593969818</v>
      </c>
      <c r="M33" s="72">
        <f t="shared" si="4"/>
        <v>0.56681358491409983</v>
      </c>
      <c r="N33" s="72">
        <f t="shared" si="5"/>
        <v>0.30531768845854279</v>
      </c>
      <c r="O33" s="72">
        <f t="shared" si="6"/>
        <v>0.6534036570010564</v>
      </c>
      <c r="P33" s="72">
        <f t="shared" si="7"/>
        <v>0.74171940928270041</v>
      </c>
      <c r="Q33" s="72"/>
      <c r="R33" s="72"/>
      <c r="S33" s="72">
        <f t="shared" si="8"/>
        <v>0.58078013605965184</v>
      </c>
      <c r="T33" s="72">
        <f t="shared" si="9"/>
        <v>0.54958851479968207</v>
      </c>
      <c r="U33" s="72">
        <f t="shared" si="10"/>
        <v>0.51409092806193168</v>
      </c>
      <c r="V33" s="72">
        <f t="shared" si="11"/>
        <v>0.54536410466103091</v>
      </c>
      <c r="W33" s="72">
        <f t="shared" si="12"/>
        <v>0.78356949283778554</v>
      </c>
      <c r="X33" s="72">
        <f t="shared" si="13"/>
        <v>0.28095100406030177</v>
      </c>
      <c r="Y33" s="72">
        <f t="shared" si="14"/>
        <v>0.43318641508590011</v>
      </c>
      <c r="Z33" s="72">
        <f t="shared" si="15"/>
        <v>0.69468231154145721</v>
      </c>
      <c r="AA33" s="72">
        <f t="shared" si="16"/>
        <v>0.3465963429989436</v>
      </c>
      <c r="AB33" s="72">
        <f t="shared" si="17"/>
        <v>0.25828059071729953</v>
      </c>
      <c r="AC33" s="72"/>
      <c r="AD33" s="72"/>
      <c r="AE33" s="72">
        <f t="shared" si="18"/>
        <v>0.41921986394034821</v>
      </c>
      <c r="AF33" s="72">
        <f t="shared" si="19"/>
        <v>0.45041148520031793</v>
      </c>
      <c r="AG33" s="72">
        <f t="shared" si="20"/>
        <v>0.48590907193806832</v>
      </c>
      <c r="AH33" s="72">
        <f t="shared" si="21"/>
        <v>0.45463589533896909</v>
      </c>
      <c r="AI33" s="72">
        <f t="shared" si="22"/>
        <v>0.21643050716221449</v>
      </c>
      <c r="AJ33" s="72">
        <f>(AV33-Driver!$K$179)/(Driver!$L$179-Driver!$K$179)</f>
        <v>0.53517041334300219</v>
      </c>
      <c r="AK33" s="72">
        <f>(AW33-Driver!$K$180)/(Driver!$L$180-Driver!$K$180)</f>
        <v>0.54512943962585692</v>
      </c>
      <c r="AL33" s="72">
        <f>(AX33-Driver!$K$181)/(Driver!$L$181-Driver!$K$181)</f>
        <v>0.7963700752545374</v>
      </c>
      <c r="AM33" s="72">
        <f>(AY33-Driver!$K$182)/(Driver!$L$182-Driver!$K$182)</f>
        <v>0.10078867809810277</v>
      </c>
      <c r="AN33" s="72">
        <f>(AZ33-Driver!$K$183)/(Driver!$L$183-Driver!$K$183)</f>
        <v>0.51249999999999996</v>
      </c>
      <c r="AO33" s="72"/>
      <c r="AP33" s="72"/>
      <c r="AQ33" s="72">
        <f>(BC33-Driver!$K$188)/(Driver!$L$188-Driver!$K$188)</f>
        <v>0.20078013605965178</v>
      </c>
      <c r="AR33" s="72">
        <f>MIN((BD33-Driver!$K$189)/(Driver!$L$189-Driver!$K$189),100%)</f>
        <v>9.9588514799682143E-2</v>
      </c>
      <c r="AS33" s="72">
        <f>(BE33-Driver!$K$190)/(Driver!$L$190-Driver!$K$190)</f>
        <v>2.4090928061931683E-2</v>
      </c>
      <c r="AT33" s="72">
        <f>(BF33-Driver!$K$191)/(Driver!$L$191-Driver!$K$191)</f>
        <v>5.5364104661030936E-2</v>
      </c>
      <c r="AU33" s="72">
        <f>(BG33-Driver!$K$192)/(Driver!$L$192-Driver!$K$192)</f>
        <v>3.3569492837785521E-2</v>
      </c>
      <c r="AV33" s="70">
        <f t="shared" si="23"/>
        <v>11.263736263736265</v>
      </c>
      <c r="AW33" s="70">
        <f t="shared" si="24"/>
        <v>54.999586851215653</v>
      </c>
      <c r="AX33" s="70">
        <f t="shared" si="25"/>
        <v>8.1673306772908365</v>
      </c>
      <c r="AY33" s="70">
        <f>IFERROR(Driver!$K$19/Data!BH33/Data!BI33*Data!BK33*Data!BL33,"")</f>
        <v>0.12339541443114685</v>
      </c>
      <c r="AZ33" s="70">
        <f t="shared" si="26"/>
        <v>46.708860759493668</v>
      </c>
      <c r="BA33" s="70"/>
      <c r="BB33" s="70"/>
      <c r="BC33" s="70">
        <f t="shared" si="27"/>
        <v>104.14605237500238</v>
      </c>
      <c r="BD33" s="70">
        <f t="shared" si="28"/>
        <v>10.534229983463083</v>
      </c>
      <c r="BE33" s="70">
        <f t="shared" si="29"/>
        <v>2.4265019256040944E-2</v>
      </c>
      <c r="BF33" s="70">
        <f t="shared" si="30"/>
        <v>6.2529866666148903</v>
      </c>
      <c r="BG33" s="70">
        <f t="shared" si="31"/>
        <v>0.12711551490514905</v>
      </c>
      <c r="BH33" s="67">
        <f>MAX((CE33-Driver!$F$200)/(Driver!$G$200-Driver!$F$200)*$BI$1,1)</f>
        <v>8.1673306772908365</v>
      </c>
      <c r="BI33" s="67">
        <f>MAX($BI$1*(BY33-Driver!$F$201)/(Driver!$G$201-Driver!$F$201),1)</f>
        <v>7.7848101265822782</v>
      </c>
      <c r="BJ33" s="67">
        <f>(CB33-Driver!$F$206)/(Driver!$G$206-Driver!$F$206)*$BI$1</f>
        <v>6.5079365079365079</v>
      </c>
      <c r="BK33" s="67">
        <f>(CD33-Driver!$F$203)/(Driver!$G$203-Driver!$F$203)*$BI$1</f>
        <v>5.6880733944954143</v>
      </c>
      <c r="BL33" s="67">
        <f>MAX((CR33-Driver!$F$202)/(Driver!$G$202-Driver!$F$202)*$BI$1,1)</f>
        <v>6.8965517241379315</v>
      </c>
      <c r="BM33" s="67">
        <f>MAX((CH33-Driver!$F$204)/(Driver!$G$204-Driver!$F$204)*$BI$1,1)</f>
        <v>6.9230769230769234</v>
      </c>
      <c r="BN33" s="67">
        <f>(CI33-Driver!$F$205)/(Driver!$G$205-Driver!$F$205)*$BI$1</f>
        <v>6</v>
      </c>
      <c r="BO33" s="67">
        <f>(CK33-Driver!$F$207)/(Driver!$G$207-Driver!$F$207)*$BI$1</f>
        <v>1.9441571871768357</v>
      </c>
      <c r="BP33" s="67">
        <f>(CM33-Driver!$F$208)/(Driver!$G$208-Driver!$F$208)*$BI$1</f>
        <v>2.8111111111111109</v>
      </c>
      <c r="BQ33" s="67">
        <f>(CL33-Driver!$F$209)/(Driver!$G$209-Driver!$F$209)*$BI$1</f>
        <v>7.1875</v>
      </c>
      <c r="BR33" s="28" t="s">
        <v>155</v>
      </c>
      <c r="BS33" s="8" t="s">
        <v>182</v>
      </c>
      <c r="BT33" s="9" t="s">
        <v>187</v>
      </c>
      <c r="BU33" s="10">
        <v>188</v>
      </c>
      <c r="BV33" s="9" t="s">
        <v>158</v>
      </c>
      <c r="BW33" s="10">
        <v>188</v>
      </c>
      <c r="BX33" s="10">
        <v>186.1</v>
      </c>
      <c r="BY33" s="10">
        <v>131</v>
      </c>
      <c r="BZ33" s="10">
        <v>151</v>
      </c>
      <c r="CA33" s="10">
        <v>136</v>
      </c>
      <c r="CB33" s="10">
        <v>105</v>
      </c>
      <c r="CC33" s="10">
        <v>124</v>
      </c>
      <c r="CD33" s="10">
        <v>21.8</v>
      </c>
      <c r="CE33" s="10">
        <v>2335</v>
      </c>
      <c r="CF33" s="10">
        <v>0.9</v>
      </c>
      <c r="CG33" s="10">
        <v>2091</v>
      </c>
      <c r="CH33" s="10">
        <v>263</v>
      </c>
      <c r="CI33" s="10">
        <v>135</v>
      </c>
      <c r="CJ33" s="10">
        <v>56</v>
      </c>
      <c r="CK33" s="10">
        <v>298</v>
      </c>
      <c r="CL33" s="10">
        <v>46</v>
      </c>
      <c r="CM33" s="10">
        <v>253</v>
      </c>
      <c r="CN33" s="10">
        <v>0.82299999999999995</v>
      </c>
      <c r="CO33" s="10">
        <v>174</v>
      </c>
      <c r="CP33" s="10">
        <v>174</v>
      </c>
      <c r="CQ33" s="10">
        <v>125</v>
      </c>
      <c r="CR33" s="10">
        <v>9</v>
      </c>
      <c r="CS33" s="10">
        <v>5.2</v>
      </c>
      <c r="CT33" s="9" t="s">
        <v>188</v>
      </c>
      <c r="CU33" s="9" t="s">
        <v>184</v>
      </c>
      <c r="CV33" s="9" t="s">
        <v>169</v>
      </c>
      <c r="CW33" s="10"/>
      <c r="CX33" t="str">
        <f>INDEX('Data_Price '!AG$2:AG$1266,MATCH(Data!$DN33,'Data_Price '!$AT$2:$AT$1266,0))</f>
        <v>Armada ARV 106 Skis - 2021</v>
      </c>
      <c r="CY33" t="str">
        <f>INDEX('Data_Price '!AH$2:AH$1266,MATCH(Data!$DN33,'Data_Price '!$AT$2:$AT$1266,0))</f>
        <v>Erik's Bike, Board and Ski</v>
      </c>
      <c r="CZ33">
        <f>INDEX('Data_Price '!AI$2:AI$1266,MATCH(Data!$DN33,'Data_Price '!$AT$2:$AT$1266,0))</f>
        <v>519.96</v>
      </c>
      <c r="DA33" t="str">
        <f>INDEX('Data_Price '!AJ$2:AJ$1266,MATCH(Data!$DN33,'Data_Price '!$AT$2:$AT$1266,0))</f>
        <v>https://tinyurl.com/yc3hmt5m</v>
      </c>
      <c r="DB33" t="str">
        <f>INDEX('Data_Price '!AK$2:AK$1266,MATCH(Data!$DN33,'Data_Price '!$AT$2:$AT$1266,0))</f>
        <v>Armada ARV 106 Skis</v>
      </c>
      <c r="DC33" t="str">
        <f>INDEX('Data_Price '!AL$2:AL$1266,MATCH(Data!$DN33,'Data_Price '!$AT$2:$AT$1266,0))</f>
        <v>Cole Sport</v>
      </c>
      <c r="DD33">
        <f>INDEX('Data_Price '!AM$2:AM$1266,MATCH(Data!$DN33,'Data_Price '!$AT$2:$AT$1266,0))</f>
        <v>519.96</v>
      </c>
      <c r="DE33" t="str">
        <f>INDEX('Data_Price '!AN$2:AN$1266,MATCH(Data!$DN33,'Data_Price '!$AT$2:$AT$1266,0))</f>
        <v>https://tinyurl.com/ycn8fxkw</v>
      </c>
      <c r="DF33" t="str">
        <f>INDEX('Data_Price '!AO$2:AO$1266,MATCH(Data!$DN33,'Data_Price '!$AT$2:$AT$1266,0))</f>
        <v>Armada ARV 106 Flat Ski 2020-2021 | GREY/BLUE / 188</v>
      </c>
      <c r="DG33" t="str">
        <f>INDEX('Data_Price '!AP$2:AP$1266,MATCH(Data!$DN33,'Data_Price '!$AT$2:$AT$1266,0))</f>
        <v>Ski Pro  - Snow Ski &amp; Snowboard</v>
      </c>
      <c r="DH33">
        <f>INDEX('Data_Price '!AQ$2:AQ$1266,MATCH(Data!$DN33,'Data_Price '!$AT$2:$AT$1266,0))</f>
        <v>549.95000000000005</v>
      </c>
      <c r="DI33" t="str">
        <f>INDEX('Data_Price '!AR$2:AR$1266,MATCH(Data!$DN33,'Data_Price '!$AT$2:$AT$1266,0))</f>
        <v>https://tinyurl.com/y8el7vuv</v>
      </c>
      <c r="DJ33" s="89" t="str">
        <f t="shared" si="32"/>
        <v>https://tinyurl.com/yc3hmt5m</v>
      </c>
      <c r="DK33" s="89" t="str">
        <f t="shared" si="33"/>
        <v>https://tinyurl.com/ycn8fxkw</v>
      </c>
      <c r="DL33" s="89" t="str">
        <f t="shared" si="34"/>
        <v>https://tinyurl.com/y8el7vuv</v>
      </c>
      <c r="DM33" s="219" t="str">
        <f t="shared" si="35"/>
        <v>ARV 106</v>
      </c>
      <c r="DN33" s="89" t="str">
        <f t="shared" si="36"/>
        <v xml:space="preserve"> ArmadaARV 106188 Unisex</v>
      </c>
      <c r="DO33" s="221" t="s">
        <v>189</v>
      </c>
    </row>
    <row r="34" spans="2:119" ht="15.6" customHeight="1">
      <c r="B34" s="219" t="b">
        <f t="array" ref="B34">IF(OR(ISERROR(K34:P34)),FALSE,TRUE)</f>
        <v>1</v>
      </c>
      <c r="C34" s="43" t="b">
        <f>OR(BR34=Driver!$G$50,Data!BR23=Driver!$H$50)</f>
        <v>1</v>
      </c>
      <c r="D34" s="43" t="b">
        <f>OR(BV34=Driver!$G$51,BV34=Driver!$H$51)</f>
        <v>1</v>
      </c>
      <c r="E34" s="43" t="b">
        <f>AND(BX34&gt;Driver!$F$54,BX34&lt;Driver!$G$54)</f>
        <v>0</v>
      </c>
      <c r="F34" s="43" t="b">
        <f>CL34&gt;Driver!$F$56</f>
        <v>1</v>
      </c>
      <c r="G34" s="43" t="b">
        <f>AND(CB34&gt;Driver!$F$55,CB34&lt;Driver!$G$55)</f>
        <v>0</v>
      </c>
      <c r="H34" s="43" t="b">
        <f t="shared" si="0"/>
        <v>0</v>
      </c>
      <c r="I34" s="43">
        <f t="shared" si="1"/>
        <v>0</v>
      </c>
      <c r="J34" s="43" t="b">
        <f t="array" ref="J34">NOT(OR(($H$9:$H$1273=TRUE)*($I$9:$I$1273&gt;0)*($BT$9:$BT$1273=BT34)*($K$9:$K$1273&gt;K34)))</f>
        <v>1</v>
      </c>
      <c r="K34" s="72">
        <f t="shared" si="2"/>
        <v>0.54390701346570536</v>
      </c>
      <c r="L34" s="72">
        <f t="shared" si="3"/>
        <v>0.3849904994446538</v>
      </c>
      <c r="M34" s="72">
        <f t="shared" si="4"/>
        <v>0.70282352748675692</v>
      </c>
      <c r="N34" s="72">
        <f t="shared" si="5"/>
        <v>0.49756457393251996</v>
      </c>
      <c r="O34" s="72">
        <f t="shared" si="6"/>
        <v>0.80639175767973237</v>
      </c>
      <c r="P34" s="72">
        <f t="shared" si="7"/>
        <v>0.80451425084801853</v>
      </c>
      <c r="Q34" s="72"/>
      <c r="R34" s="72"/>
      <c r="S34" s="72">
        <f t="shared" si="8"/>
        <v>0.41401157004175726</v>
      </c>
      <c r="T34" s="72">
        <f t="shared" si="9"/>
        <v>0.43683537493782176</v>
      </c>
      <c r="U34" s="72">
        <f t="shared" si="10"/>
        <v>0.49016896479269956</v>
      </c>
      <c r="V34" s="72">
        <f t="shared" si="11"/>
        <v>0.82371517261313298</v>
      </c>
      <c r="W34" s="72">
        <f t="shared" si="12"/>
        <v>0.77741935483870961</v>
      </c>
      <c r="X34" s="72">
        <f t="shared" si="13"/>
        <v>0.6150095005553462</v>
      </c>
      <c r="Y34" s="72">
        <f t="shared" si="14"/>
        <v>0.29717647251324303</v>
      </c>
      <c r="Z34" s="72">
        <f t="shared" si="15"/>
        <v>0.50243542606748004</v>
      </c>
      <c r="AA34" s="72">
        <f t="shared" si="16"/>
        <v>0.19360824232026763</v>
      </c>
      <c r="AB34" s="72">
        <f t="shared" si="17"/>
        <v>0.19548574915198147</v>
      </c>
      <c r="AC34" s="72"/>
      <c r="AD34" s="72"/>
      <c r="AE34" s="72">
        <f t="shared" si="18"/>
        <v>0.58598842995824274</v>
      </c>
      <c r="AF34" s="72">
        <f t="shared" si="19"/>
        <v>0.56316462506217824</v>
      </c>
      <c r="AG34" s="72">
        <f t="shared" si="20"/>
        <v>0.50983103520730044</v>
      </c>
      <c r="AH34" s="72">
        <f t="shared" si="21"/>
        <v>0.17628482738686702</v>
      </c>
      <c r="AI34" s="72">
        <f t="shared" si="22"/>
        <v>0.22258064516129034</v>
      </c>
      <c r="AJ34" s="72">
        <f>(AV34-Driver!$K$179)/(Driver!$L$179-Driver!$K$179)</f>
        <v>0.86922890983804668</v>
      </c>
      <c r="AK34" s="72">
        <f>(AW34-Driver!$K$180)/(Driver!$L$180-Driver!$K$180)</f>
        <v>0.10495562604913772</v>
      </c>
      <c r="AL34" s="72">
        <f>(AX34-Driver!$K$181)/(Driver!$L$181-Driver!$K$181)</f>
        <v>0.60412318978056023</v>
      </c>
      <c r="AM34" s="72">
        <f>(AY34-Driver!$K$182)/(Driver!$L$182-Driver!$K$182)</f>
        <v>0.25377677877677873</v>
      </c>
      <c r="AN34" s="72">
        <f>(AZ34-Driver!$K$183)/(Driver!$L$183-Driver!$K$183)</f>
        <v>5.873366013071895E-2</v>
      </c>
      <c r="AO34" s="72"/>
      <c r="AP34" s="72"/>
      <c r="AQ34" s="72">
        <f>(BC34-Driver!$K$188)/(Driver!$L$188-Driver!$K$188)</f>
        <v>3.40115700417572E-2</v>
      </c>
      <c r="AR34" s="72">
        <f>MIN((BD34-Driver!$K$189)/(Driver!$L$189-Driver!$K$189),100%)</f>
        <v>-1.3164625062178151E-2</v>
      </c>
      <c r="AS34" s="72">
        <f>(BE34-Driver!$K$190)/(Driver!$L$190-Driver!$K$190)</f>
        <v>1.6896479269953694E-4</v>
      </c>
      <c r="AT34" s="72">
        <f>(BF34-Driver!$K$191)/(Driver!$L$191-Driver!$K$191)</f>
        <v>0.68628482738686702</v>
      </c>
      <c r="AU34" s="72">
        <f>(BG34-Driver!$K$192)/(Driver!$L$192-Driver!$K$192)</f>
        <v>2.7419354838709678E-2</v>
      </c>
      <c r="AV34" s="70">
        <f t="shared" si="23"/>
        <v>18.294668294668291</v>
      </c>
      <c r="AW34" s="70">
        <f t="shared" si="24"/>
        <v>12.100748381401024</v>
      </c>
      <c r="AX34" s="70">
        <f t="shared" si="25"/>
        <v>6.4371087080250424</v>
      </c>
      <c r="AY34" s="70">
        <f>IFERROR(Driver!$K$19/Data!BH34/Data!BI34*Data!BK34*Data!BL34,"")</f>
        <v>0.31069849690539347</v>
      </c>
      <c r="AZ34" s="70">
        <f t="shared" si="26"/>
        <v>5.3529411764705879</v>
      </c>
      <c r="BA34" s="70"/>
      <c r="BB34" s="70"/>
      <c r="BC34" s="70">
        <f t="shared" si="27"/>
        <v>17.642037825258413</v>
      </c>
      <c r="BD34" s="70">
        <f t="shared" si="28"/>
        <v>0.55577689243027883</v>
      </c>
      <c r="BE34" s="70">
        <f t="shared" si="29"/>
        <v>3.4732339580286501E-4</v>
      </c>
      <c r="BF34" s="70">
        <f t="shared" si="30"/>
        <v>77.511049829560676</v>
      </c>
      <c r="BG34" s="70">
        <f t="shared" si="31"/>
        <v>0.10382716907675196</v>
      </c>
      <c r="BH34" s="67">
        <f>MAX((CE34-Driver!$F$200)/(Driver!$G$200-Driver!$F$200)*$BI$1,1)</f>
        <v>6.4371087080250424</v>
      </c>
      <c r="BI34" s="67">
        <f>MAX($BI$1*(BY34-Driver!$F$201)/(Driver!$G$201-Driver!$F$201),1)</f>
        <v>1</v>
      </c>
      <c r="BJ34" s="67">
        <f>(CB34-Driver!$F$206)/(Driver!$G$206-Driver!$F$206)*$BI$1</f>
        <v>9.2063492063492056</v>
      </c>
      <c r="BK34" s="67">
        <f>(CD34-Driver!$F$203)/(Driver!$G$203-Driver!$F$203)*$BI$1</f>
        <v>10</v>
      </c>
      <c r="BL34" s="67">
        <f>MAX((CR34-Driver!$F$202)/(Driver!$G$202-Driver!$F$202)*$BI$1,1)</f>
        <v>1</v>
      </c>
      <c r="BM34" s="67">
        <f>MAX((CH34-Driver!$F$204)/(Driver!$G$204-Driver!$F$204)*$BI$1,1)</f>
        <v>7.948717948717948</v>
      </c>
      <c r="BN34" s="67">
        <f>(CI34-Driver!$F$205)/(Driver!$G$205-Driver!$F$205)*$BI$1</f>
        <v>5.3529411764705879</v>
      </c>
      <c r="BO34" s="67">
        <f>(CK34-Driver!$F$207)/(Driver!$G$207-Driver!$F$207)*$BI$1</f>
        <v>8.8728024819027915</v>
      </c>
      <c r="BP34" s="67">
        <f>(CM34-Driver!$F$208)/(Driver!$G$208-Driver!$F$208)*$BI$1</f>
        <v>9.4888888888888889</v>
      </c>
      <c r="BQ34" s="67">
        <f>(CL34-Driver!$F$209)/(Driver!$G$209-Driver!$F$209)*$BI$1</f>
        <v>5.3125</v>
      </c>
      <c r="BR34" s="28" t="s">
        <v>155</v>
      </c>
      <c r="BS34" s="8" t="s">
        <v>190</v>
      </c>
      <c r="BT34" s="9" t="s">
        <v>195</v>
      </c>
      <c r="BU34" s="10">
        <v>184</v>
      </c>
      <c r="BV34" s="9" t="s">
        <v>158</v>
      </c>
      <c r="BW34" s="10">
        <v>184</v>
      </c>
      <c r="BX34" s="10">
        <v>182.2</v>
      </c>
      <c r="BY34" s="10">
        <v>0</v>
      </c>
      <c r="BZ34" s="10">
        <v>131</v>
      </c>
      <c r="CA34" s="10">
        <v>136</v>
      </c>
      <c r="CB34" s="10">
        <v>122</v>
      </c>
      <c r="CC34" s="10">
        <v>129</v>
      </c>
      <c r="CD34" s="10">
        <v>31.2</v>
      </c>
      <c r="CE34" s="10">
        <v>2031</v>
      </c>
      <c r="CF34" s="10">
        <v>1.1200000000000001</v>
      </c>
      <c r="CG34" s="10">
        <v>2279</v>
      </c>
      <c r="CH34" s="10">
        <v>287</v>
      </c>
      <c r="CI34" s="10">
        <v>124</v>
      </c>
      <c r="CJ34" s="10">
        <v>83</v>
      </c>
      <c r="CK34" s="10">
        <v>968</v>
      </c>
      <c r="CL34" s="10">
        <v>34</v>
      </c>
      <c r="CM34" s="10">
        <v>854</v>
      </c>
      <c r="CN34" s="10">
        <v>0.40500000000000003</v>
      </c>
      <c r="CO34" s="10">
        <v>238</v>
      </c>
      <c r="CP34" s="10">
        <v>276</v>
      </c>
      <c r="CQ34" s="10">
        <v>730</v>
      </c>
      <c r="CR34" s="10">
        <v>-10</v>
      </c>
      <c r="CS34" s="10">
        <v>5.7</v>
      </c>
      <c r="CT34" s="9" t="s">
        <v>169</v>
      </c>
      <c r="CU34" s="9" t="s">
        <v>185</v>
      </c>
      <c r="CV34" s="10"/>
      <c r="CW34" s="10"/>
      <c r="CX34" t="e">
        <f>INDEX('Data_Price '!AG$2:AG$1266,MATCH(Data!$DN34,'Data_Price '!$AT$2:$AT$1266,0))</f>
        <v>#N/A</v>
      </c>
      <c r="CY34" t="e">
        <f>INDEX('Data_Price '!AH$2:AH$1266,MATCH(Data!$DN34,'Data_Price '!$AT$2:$AT$1266,0))</f>
        <v>#N/A</v>
      </c>
      <c r="CZ34" t="e">
        <f>INDEX('Data_Price '!AI$2:AI$1266,MATCH(Data!$DN34,'Data_Price '!$AT$2:$AT$1266,0))</f>
        <v>#N/A</v>
      </c>
      <c r="DA34" t="e">
        <f>INDEX('Data_Price '!AJ$2:AJ$1266,MATCH(Data!$DN34,'Data_Price '!$AT$2:$AT$1266,0))</f>
        <v>#N/A</v>
      </c>
      <c r="DB34" t="e">
        <f>INDEX('Data_Price '!AK$2:AK$1266,MATCH(Data!$DN34,'Data_Price '!$AT$2:$AT$1266,0))</f>
        <v>#N/A</v>
      </c>
      <c r="DC34" t="e">
        <f>INDEX('Data_Price '!AL$2:AL$1266,MATCH(Data!$DN34,'Data_Price '!$AT$2:$AT$1266,0))</f>
        <v>#N/A</v>
      </c>
      <c r="DD34" t="e">
        <f>INDEX('Data_Price '!AM$2:AM$1266,MATCH(Data!$DN34,'Data_Price '!$AT$2:$AT$1266,0))</f>
        <v>#N/A</v>
      </c>
      <c r="DE34" t="e">
        <f>INDEX('Data_Price '!AN$2:AN$1266,MATCH(Data!$DN34,'Data_Price '!$AT$2:$AT$1266,0))</f>
        <v>#N/A</v>
      </c>
      <c r="DF34" t="e">
        <f>INDEX('Data_Price '!AO$2:AO$1266,MATCH(Data!$DN34,'Data_Price '!$AT$2:$AT$1266,0))</f>
        <v>#N/A</v>
      </c>
      <c r="DG34" t="e">
        <f>INDEX('Data_Price '!AP$2:AP$1266,MATCH(Data!$DN34,'Data_Price '!$AT$2:$AT$1266,0))</f>
        <v>#N/A</v>
      </c>
      <c r="DH34" t="e">
        <f>INDEX('Data_Price '!AQ$2:AQ$1266,MATCH(Data!$DN34,'Data_Price '!$AT$2:$AT$1266,0))</f>
        <v>#N/A</v>
      </c>
      <c r="DI34" t="e">
        <f>INDEX('Data_Price '!AR$2:AR$1266,MATCH(Data!$DN34,'Data_Price '!$AT$2:$AT$1266,0))</f>
        <v>#N/A</v>
      </c>
      <c r="DJ34" s="89" t="e">
        <f t="shared" si="32"/>
        <v>#N/A</v>
      </c>
      <c r="DK34" s="89" t="e">
        <f t="shared" si="33"/>
        <v>#N/A</v>
      </c>
      <c r="DL34" s="89" t="e">
        <f t="shared" si="34"/>
        <v>#N/A</v>
      </c>
      <c r="DM34" s="219" t="str">
        <f t="shared" si="35"/>
        <v>Renegade</v>
      </c>
      <c r="DN34" s="89" t="str">
        <f t="shared" si="36"/>
        <v xml:space="preserve"> 4FRNTRenegade184 Unisex</v>
      </c>
      <c r="DO34" s="221"/>
    </row>
    <row r="35" spans="2:119" ht="15.6" customHeight="1">
      <c r="B35" s="219" t="b">
        <f t="array" ref="B35">IF(OR(ISERROR(K35:P35)),FALSE,TRUE)</f>
        <v>1</v>
      </c>
      <c r="C35" s="43" t="b">
        <f>OR(BR35=Driver!$G$50,Data!BR1121=Driver!$H$50)</f>
        <v>1</v>
      </c>
      <c r="D35" s="43" t="b">
        <f>OR(BV35=Driver!$G$51,BV35=Driver!$H$51)</f>
        <v>1</v>
      </c>
      <c r="E35" s="43" t="b">
        <f>AND(BX35&gt;Driver!$F$54,BX35&lt;Driver!$G$54)</f>
        <v>0</v>
      </c>
      <c r="F35" s="43" t="b">
        <f>CL35&gt;Driver!$F$56</f>
        <v>1</v>
      </c>
      <c r="G35" s="43" t="b">
        <f>AND(CB35&gt;Driver!$F$55,CB35&lt;Driver!$G$55)</f>
        <v>0</v>
      </c>
      <c r="H35" s="43" t="b">
        <f t="shared" si="0"/>
        <v>0</v>
      </c>
      <c r="I35" s="43">
        <f t="shared" si="1"/>
        <v>0</v>
      </c>
      <c r="J35" s="43" t="b">
        <f t="array" ref="J35">NOT(OR(($H$9:$H$1273=TRUE)*($I$9:$I$1273&gt;0)*($BT$9:$BT$1273=BT35)*($K$9:$K$1273&gt;K35)))</f>
        <v>1</v>
      </c>
      <c r="K35" s="72">
        <f t="shared" si="2"/>
        <v>0.83943982095456326</v>
      </c>
      <c r="L35" s="72">
        <f t="shared" si="3"/>
        <v>0.91339272327834953</v>
      </c>
      <c r="M35" s="72">
        <f t="shared" si="4"/>
        <v>0.76548691863077689</v>
      </c>
      <c r="N35" s="72">
        <f t="shared" si="5"/>
        <v>0.76443360574179064</v>
      </c>
      <c r="O35" s="72">
        <f t="shared" si="6"/>
        <v>0.65239924413581329</v>
      </c>
      <c r="P35" s="72">
        <f t="shared" si="7"/>
        <v>0.87962790601472662</v>
      </c>
      <c r="Q35" s="72"/>
      <c r="R35" s="72"/>
      <c r="S35" s="72">
        <f t="shared" si="8"/>
        <v>0.48514969197046998</v>
      </c>
      <c r="T35" s="72">
        <f t="shared" si="9"/>
        <v>0.527574167954036</v>
      </c>
      <c r="U35" s="72">
        <f t="shared" si="10"/>
        <v>0.78879840145461844</v>
      </c>
      <c r="V35" s="72">
        <f t="shared" si="11"/>
        <v>0.51800080079375754</v>
      </c>
      <c r="W35" s="72">
        <f t="shared" si="12"/>
        <v>0.78224349548359995</v>
      </c>
      <c r="X35" s="72">
        <f t="shared" si="13"/>
        <v>8.6607276721650472E-2</v>
      </c>
      <c r="Y35" s="72">
        <f t="shared" si="14"/>
        <v>0.23451308136922314</v>
      </c>
      <c r="Z35" s="72">
        <f t="shared" si="15"/>
        <v>0.2355663942582093</v>
      </c>
      <c r="AA35" s="72">
        <f t="shared" si="16"/>
        <v>0.34760075586418676</v>
      </c>
      <c r="AB35" s="72">
        <f t="shared" si="17"/>
        <v>0.12037209398527338</v>
      </c>
      <c r="AC35" s="72"/>
      <c r="AD35" s="72"/>
      <c r="AE35" s="72">
        <f t="shared" si="18"/>
        <v>0.51485030802953002</v>
      </c>
      <c r="AF35" s="72">
        <f t="shared" si="19"/>
        <v>0.472425832045964</v>
      </c>
      <c r="AG35" s="72">
        <f t="shared" si="20"/>
        <v>0.21120159854538156</v>
      </c>
      <c r="AH35" s="72">
        <f t="shared" si="21"/>
        <v>0.4819991992062424</v>
      </c>
      <c r="AI35" s="72">
        <f t="shared" si="22"/>
        <v>0.21775650451640011</v>
      </c>
      <c r="AJ35" s="72">
        <f>(AV35-Driver!$K$179)/(Driver!$L$179-Driver!$K$179)</f>
        <v>0.3408266860043509</v>
      </c>
      <c r="AK35" s="72">
        <f>(AW35-Driver!$K$180)/(Driver!$L$180-Driver!$K$180)</f>
        <v>0.37375304087020772</v>
      </c>
      <c r="AL35" s="72">
        <f>(AX35-Driver!$K$181)/(Driver!$L$181-Driver!$K$181)</f>
        <v>0.33725415797128949</v>
      </c>
      <c r="AM35" s="72">
        <f>(AY35-Driver!$K$182)/(Driver!$L$182-Driver!$K$182)</f>
        <v>9.9784265232859604E-2</v>
      </c>
      <c r="AN35" s="72">
        <f>(AZ35-Driver!$K$183)/(Driver!$L$183-Driver!$K$183)</f>
        <v>0.3745915032679738</v>
      </c>
      <c r="AO35" s="72"/>
      <c r="AP35" s="72"/>
      <c r="AQ35" s="72">
        <f>(BC35-Driver!$K$188)/(Driver!$L$188-Driver!$K$188)</f>
        <v>0.10514969197047</v>
      </c>
      <c r="AR35" s="72">
        <f>MIN((BD35-Driver!$K$189)/(Driver!$L$189-Driver!$K$189),100%)</f>
        <v>7.7574167954036058E-2</v>
      </c>
      <c r="AS35" s="72">
        <f>(BE35-Driver!$K$190)/(Driver!$L$190-Driver!$K$190)</f>
        <v>0.29879840145461845</v>
      </c>
      <c r="AT35" s="72">
        <f>(BF35-Driver!$K$191)/(Driver!$L$191-Driver!$K$191)</f>
        <v>2.8000800793757597E-2</v>
      </c>
      <c r="AU35" s="72">
        <f>(BG35-Driver!$K$192)/(Driver!$L$192-Driver!$K$192)</f>
        <v>3.2243495483599907E-2</v>
      </c>
      <c r="AV35" s="70">
        <f t="shared" si="23"/>
        <v>7.1733821733821728</v>
      </c>
      <c r="AW35" s="70">
        <f t="shared" si="24"/>
        <v>38.297438243105056</v>
      </c>
      <c r="AX35" s="70">
        <f t="shared" si="25"/>
        <v>4.0352874217416055</v>
      </c>
      <c r="AY35" s="70">
        <f>IFERROR(Driver!$K$19/Data!BH35/Data!BI35*Data!BK35*Data!BL35,"")</f>
        <v>0.12216571339621494</v>
      </c>
      <c r="AZ35" s="70">
        <f t="shared" si="26"/>
        <v>34.139985107967235</v>
      </c>
      <c r="BA35" s="70"/>
      <c r="BB35" s="70"/>
      <c r="BC35" s="70">
        <f t="shared" si="27"/>
        <v>54.541876213882112</v>
      </c>
      <c r="BD35" s="70">
        <f t="shared" si="28"/>
        <v>8.5859992947378423</v>
      </c>
      <c r="BE35" s="70">
        <f t="shared" si="29"/>
        <v>0.29892348792743878</v>
      </c>
      <c r="BF35" s="70">
        <f t="shared" si="30"/>
        <v>3.1624937328959519</v>
      </c>
      <c r="BG35" s="70">
        <f t="shared" si="31"/>
        <v>0.12209444302733845</v>
      </c>
      <c r="BH35" s="67">
        <f>MAX((CE35-Driver!$F$200)/(Driver!$G$200-Driver!$F$200)*$BI$1,1)</f>
        <v>4.0352874217416055</v>
      </c>
      <c r="BI35" s="67">
        <f>MAX($BI$1*(BY35-Driver!$F$201)/(Driver!$G$201-Driver!$F$201),1)</f>
        <v>8.2911392405063289</v>
      </c>
      <c r="BJ35" s="67">
        <f>(CB35-Driver!$F$206)/(Driver!$G$206-Driver!$F$206)*$BI$1</f>
        <v>4.7619047619047619</v>
      </c>
      <c r="BK35" s="67">
        <f>(CD35-Driver!$F$203)/(Driver!$G$203-Driver!$F$203)*$BI$1</f>
        <v>3.4862385321100922</v>
      </c>
      <c r="BL35" s="67">
        <f>MAX((CR35-Driver!$F$202)/(Driver!$G$202-Driver!$F$202)*$BI$1,1)</f>
        <v>5.8620689655172411</v>
      </c>
      <c r="BM35" s="67">
        <f>MAX((CH35-Driver!$F$204)/(Driver!$G$204-Driver!$F$204)*$BI$1,1)</f>
        <v>6.0256410256410255</v>
      </c>
      <c r="BN35" s="67">
        <f>(CI35-Driver!$F$205)/(Driver!$G$205-Driver!$F$205)*$BI$1</f>
        <v>4.117647058823529</v>
      </c>
      <c r="BO35" s="67">
        <f>(CK35-Driver!$F$207)/(Driver!$G$207-Driver!$F$207)*$BI$1</f>
        <v>1.6028955532574973</v>
      </c>
      <c r="BP35" s="67">
        <f>(CM35-Driver!$F$208)/(Driver!$G$208-Driver!$F$208)*$BI$1</f>
        <v>1.4444444444444442</v>
      </c>
      <c r="BQ35" s="67">
        <f>(CL35-Driver!$F$209)/(Driver!$G$209-Driver!$F$209)*$BI$1</f>
        <v>2.96875</v>
      </c>
      <c r="BR35" s="28" t="s">
        <v>155</v>
      </c>
      <c r="BS35" s="8" t="s">
        <v>180</v>
      </c>
      <c r="BT35" s="9" t="s">
        <v>196</v>
      </c>
      <c r="BU35" s="10">
        <v>180</v>
      </c>
      <c r="BV35" s="9" t="s">
        <v>158</v>
      </c>
      <c r="BW35" s="10">
        <v>180</v>
      </c>
      <c r="BX35" s="10">
        <v>178.5</v>
      </c>
      <c r="BY35" s="10">
        <v>139</v>
      </c>
      <c r="BZ35" s="10">
        <v>157</v>
      </c>
      <c r="CA35" s="10">
        <v>137</v>
      </c>
      <c r="CB35" s="10">
        <v>94</v>
      </c>
      <c r="CC35" s="10">
        <v>124</v>
      </c>
      <c r="CD35" s="10">
        <v>17</v>
      </c>
      <c r="CE35" s="10">
        <v>1609</v>
      </c>
      <c r="CF35" s="10">
        <v>1.19</v>
      </c>
      <c r="CG35" s="10">
        <v>1921</v>
      </c>
      <c r="CH35" s="10">
        <v>242</v>
      </c>
      <c r="CI35" s="10">
        <v>103</v>
      </c>
      <c r="CJ35" s="10">
        <v>56</v>
      </c>
      <c r="CK35" s="10">
        <v>265</v>
      </c>
      <c r="CL35" s="10">
        <v>19</v>
      </c>
      <c r="CM35" s="10">
        <v>130</v>
      </c>
      <c r="CN35" s="10">
        <v>0.33800000000000002</v>
      </c>
      <c r="CO35" s="10">
        <v>123</v>
      </c>
      <c r="CP35" s="10">
        <v>88</v>
      </c>
      <c r="CQ35" s="10">
        <v>142</v>
      </c>
      <c r="CR35" s="10">
        <v>6</v>
      </c>
      <c r="CS35" s="10">
        <v>12.4</v>
      </c>
      <c r="CT35" s="9" t="s">
        <v>188</v>
      </c>
      <c r="CU35" s="9" t="s">
        <v>185</v>
      </c>
      <c r="CV35" s="10"/>
      <c r="CW35" s="10"/>
      <c r="CX35" t="str">
        <f>INDEX('Data_Price '!AG$2:AG$1266,MATCH(Data!$DN35,'Data_Price '!$AT$2:$AT$1266,0))</f>
        <v>Scott Sports Ski Slight 93 Set M11 Mens Skis - Multicolour</v>
      </c>
      <c r="CY35" t="str">
        <f>INDEX('Data_Price '!AH$2:AH$1266,MATCH(Data!$DN35,'Data_Price '!$AT$2:$AT$1266,0))</f>
        <v>Bobleisure</v>
      </c>
      <c r="CZ35">
        <f>INDEX('Data_Price '!AI$2:AI$1266,MATCH(Data!$DN35,'Data_Price '!$AT$2:$AT$1266,0))</f>
        <v>531.48</v>
      </c>
      <c r="DA35" t="str">
        <f>INDEX('Data_Price '!AJ$2:AJ$1266,MATCH(Data!$DN35,'Data_Price '!$AT$2:$AT$1266,0))</f>
        <v>https://tinyurl.com/yc3eg3o6</v>
      </c>
      <c r="DB35" t="str">
        <f>INDEX('Data_Price '!AK$2:AK$1266,MATCH(Data!$DN35,'Data_Price '!$AT$2:$AT$1266,0))</f>
        <v>Scott Sports Ski Slight 93 Set M11 Mens Skis - Multicolour</v>
      </c>
      <c r="DC35" t="str">
        <f>INDEX('Data_Price '!AL$2:AL$1266,MATCH(Data!$DN35,'Data_Price '!$AT$2:$AT$1266,0))</f>
        <v>Surfdome US</v>
      </c>
      <c r="DD35">
        <f>INDEX('Data_Price '!AM$2:AM$1266,MATCH(Data!$DN35,'Data_Price '!$AT$2:$AT$1266,0))</f>
        <v>559.45000000000005</v>
      </c>
      <c r="DE35" t="str">
        <f>INDEX('Data_Price '!AN$2:AN$1266,MATCH(Data!$DN35,'Data_Price '!$AT$2:$AT$1266,0))</f>
        <v>https://tinyurl.com/y7fqr9rv</v>
      </c>
      <c r="DF35" t="str">
        <f>INDEX('Data_Price '!AO$2:AO$1266,MATCH(Data!$DN35,'Data_Price '!$AT$2:$AT$1266,0))</f>
        <v>Scott Slight 93 Skis Â· 180 cm</v>
      </c>
      <c r="DG35" t="str">
        <f>INDEX('Data_Price '!AP$2:AP$1266,MATCH(Data!$DN35,'Data_Price '!$AT$2:$AT$1266,0))</f>
        <v>Steep &amp; Cheap</v>
      </c>
      <c r="DH35">
        <f>INDEX('Data_Price '!AQ$2:AQ$1266,MATCH(Data!$DN35,'Data_Price '!$AT$2:$AT$1266,0))</f>
        <v>639.96</v>
      </c>
      <c r="DI35" t="str">
        <f>INDEX('Data_Price '!AR$2:AR$1266,MATCH(Data!$DN35,'Data_Price '!$AT$2:$AT$1266,0))</f>
        <v>https://tinyurl.com/ycpnqdzp</v>
      </c>
      <c r="DJ35" s="89" t="str">
        <f t="shared" si="32"/>
        <v>https://tinyurl.com/yc3eg3o6</v>
      </c>
      <c r="DK35" s="89" t="str">
        <f t="shared" si="33"/>
        <v>https://tinyurl.com/y7fqr9rv</v>
      </c>
      <c r="DL35" s="89" t="str">
        <f t="shared" si="34"/>
        <v>https://tinyurl.com/ycpnqdzp</v>
      </c>
      <c r="DM35" s="219" t="str">
        <f t="shared" si="35"/>
        <v>Slight 93</v>
      </c>
      <c r="DN35" s="89" t="str">
        <f t="shared" si="36"/>
        <v xml:space="preserve"> ScottSlight 93180 Unisex</v>
      </c>
      <c r="DO35" s="221"/>
    </row>
    <row r="36" spans="2:119" ht="15.6" customHeight="1">
      <c r="B36" s="219" t="b">
        <f t="array" ref="B36">IF(OR(ISERROR(K36:P36)),FALSE,TRUE)</f>
        <v>1</v>
      </c>
      <c r="C36" s="43" t="b">
        <f>OR(BR36=Driver!$G$50,Data!BR121=Driver!$H$50)</f>
        <v>1</v>
      </c>
      <c r="D36" s="43" t="b">
        <f>OR(BV36=Driver!$G$51,BV36=Driver!$H$51)</f>
        <v>1</v>
      </c>
      <c r="E36" s="43" t="b">
        <f>AND(BX36&gt;Driver!$F$54,BX36&lt;Driver!$G$54)</f>
        <v>0</v>
      </c>
      <c r="F36" s="43" t="b">
        <f>CL36&gt;Driver!$F$56</f>
        <v>1</v>
      </c>
      <c r="G36" s="43" t="b">
        <f>AND(CB36&gt;Driver!$F$55,CB36&lt;Driver!$G$55)</f>
        <v>1</v>
      </c>
      <c r="H36" s="43" t="b">
        <f t="shared" si="0"/>
        <v>0</v>
      </c>
      <c r="I36" s="43">
        <f t="shared" si="1"/>
        <v>0</v>
      </c>
      <c r="J36" s="43" t="b">
        <f t="array" ref="J36">NOT(OR(($H$9:$H$1273=TRUE)*($I$9:$I$1273&gt;0)*($BT$9:$BT$1273=BT36)*($K$9:$K$1273&gt;K36)))</f>
        <v>1</v>
      </c>
      <c r="K36" s="72">
        <f t="shared" si="2"/>
        <v>0.86909401577334744</v>
      </c>
      <c r="L36" s="72">
        <f t="shared" si="3"/>
        <v>0.94586391818609261</v>
      </c>
      <c r="M36" s="72">
        <f t="shared" si="4"/>
        <v>0.79232411336060227</v>
      </c>
      <c r="N36" s="72">
        <f t="shared" si="5"/>
        <v>0.73913796291626754</v>
      </c>
      <c r="O36" s="72">
        <f t="shared" si="6"/>
        <v>0.70211986984362329</v>
      </c>
      <c r="P36" s="72">
        <f t="shared" si="7"/>
        <v>0.93571450732191619</v>
      </c>
      <c r="Q36" s="72"/>
      <c r="R36" s="72"/>
      <c r="S36" s="72">
        <f t="shared" si="8"/>
        <v>0.47629529907022039</v>
      </c>
      <c r="T36" s="72">
        <f t="shared" si="9"/>
        <v>0.4676170963397599</v>
      </c>
      <c r="U36" s="72">
        <f t="shared" si="10"/>
        <v>0.58638978708833611</v>
      </c>
      <c r="V36" s="72">
        <f t="shared" si="11"/>
        <v>0.58343588497775278</v>
      </c>
      <c r="W36" s="72">
        <f t="shared" si="12"/>
        <v>0.79071946115419811</v>
      </c>
      <c r="X36" s="72">
        <f t="shared" si="13"/>
        <v>5.4136081813907388E-2</v>
      </c>
      <c r="Y36" s="72">
        <f t="shared" si="14"/>
        <v>0.20767588663939773</v>
      </c>
      <c r="Z36" s="72">
        <f t="shared" si="15"/>
        <v>0.26086203708373251</v>
      </c>
      <c r="AA36" s="72">
        <f t="shared" si="16"/>
        <v>0.29788013015637677</v>
      </c>
      <c r="AB36" s="72">
        <f t="shared" si="17"/>
        <v>6.4285492678083866E-2</v>
      </c>
      <c r="AC36" s="72"/>
      <c r="AD36" s="72"/>
      <c r="AE36" s="72">
        <f t="shared" si="18"/>
        <v>0.52370470092977961</v>
      </c>
      <c r="AF36" s="72">
        <f t="shared" si="19"/>
        <v>0.5323829036602401</v>
      </c>
      <c r="AG36" s="72">
        <f t="shared" si="20"/>
        <v>0.41361021291166394</v>
      </c>
      <c r="AH36" s="72">
        <f t="shared" si="21"/>
        <v>0.41656411502224722</v>
      </c>
      <c r="AI36" s="72">
        <f t="shared" si="22"/>
        <v>0.20928053884580189</v>
      </c>
      <c r="AJ36" s="72">
        <f>(AV36-Driver!$K$179)/(Driver!$L$179-Driver!$K$179)</f>
        <v>0.30835549109660781</v>
      </c>
      <c r="AK36" s="72">
        <f>(AW36-Driver!$K$180)/(Driver!$L$180-Driver!$K$180)</f>
        <v>0.32426388683526619</v>
      </c>
      <c r="AL36" s="72">
        <f>(AX36-Driver!$K$181)/(Driver!$L$181-Driver!$K$181)</f>
        <v>0.3625498007968127</v>
      </c>
      <c r="AM36" s="72">
        <f>(AY36-Driver!$K$182)/(Driver!$L$182-Driver!$K$182)</f>
        <v>0.1495048909406696</v>
      </c>
      <c r="AN36" s="72">
        <f>(AZ36-Driver!$K$183)/(Driver!$L$183-Driver!$K$183)</f>
        <v>0.31850490196078429</v>
      </c>
      <c r="AO36" s="72"/>
      <c r="AP36" s="72"/>
      <c r="AQ36" s="72">
        <f>(BC36-Driver!$K$188)/(Driver!$L$188-Driver!$K$188)</f>
        <v>9.6295299070220372E-2</v>
      </c>
      <c r="AR36" s="72">
        <f>MIN((BD36-Driver!$K$189)/(Driver!$L$189-Driver!$K$189),100%)</f>
        <v>1.7617096339759906E-2</v>
      </c>
      <c r="AS36" s="72">
        <f>(BE36-Driver!$K$190)/(Driver!$L$190-Driver!$K$190)</f>
        <v>9.6389787088336079E-2</v>
      </c>
      <c r="AT36" s="72">
        <f>(BF36-Driver!$K$191)/(Driver!$L$191-Driver!$K$191)</f>
        <v>9.3435884977752764E-2</v>
      </c>
      <c r="AU36" s="72">
        <f>(BG36-Driver!$K$192)/(Driver!$L$192-Driver!$K$192)</f>
        <v>4.0719461154198097E-2</v>
      </c>
      <c r="AV36" s="70">
        <f t="shared" si="23"/>
        <v>6.4899606566273231</v>
      </c>
      <c r="AW36" s="70">
        <f t="shared" si="24"/>
        <v>33.474281663885463</v>
      </c>
      <c r="AX36" s="70">
        <f t="shared" si="25"/>
        <v>4.2629482071713145</v>
      </c>
      <c r="AY36" s="70">
        <f>IFERROR(Driver!$K$19/Data!BH36/Data!BI36*Data!BK36*Data!BL36,"")</f>
        <v>0.18303859446544923</v>
      </c>
      <c r="AZ36" s="70">
        <f t="shared" si="26"/>
        <v>29.028294862248696</v>
      </c>
      <c r="BA36" s="70"/>
      <c r="BB36" s="70"/>
      <c r="BC36" s="70">
        <f t="shared" si="27"/>
        <v>49.949041061781827</v>
      </c>
      <c r="BD36" s="70">
        <f t="shared" si="28"/>
        <v>3.2799046945188914</v>
      </c>
      <c r="BE36" s="70">
        <f t="shared" si="29"/>
        <v>9.6550980979753356E-2</v>
      </c>
      <c r="BF36" s="70">
        <f t="shared" si="30"/>
        <v>10.552926783994183</v>
      </c>
      <c r="BG36" s="70">
        <f t="shared" si="31"/>
        <v>0.1541898561377717</v>
      </c>
      <c r="BH36" s="67">
        <f>MAX((CE36-Driver!$F$200)/(Driver!$G$200-Driver!$F$200)*$BI$1,1)</f>
        <v>4.2629482071713145</v>
      </c>
      <c r="BI36" s="67">
        <f>MAX($BI$1*(BY36-Driver!$F$201)/(Driver!$G$201-Driver!$F$201),1)</f>
        <v>7.1518987341772151</v>
      </c>
      <c r="BJ36" s="67">
        <f>(CB36-Driver!$F$206)/(Driver!$G$206-Driver!$F$206)*$BI$1</f>
        <v>6.825396825396826</v>
      </c>
      <c r="BK36" s="67">
        <f>(CD36-Driver!$F$203)/(Driver!$G$203-Driver!$F$203)*$BI$1</f>
        <v>4.4954128440366974</v>
      </c>
      <c r="BL36" s="67">
        <f>MAX((CR36-Driver!$F$202)/(Driver!$G$202-Driver!$F$202)*$BI$1,1)</f>
        <v>6.2068965517241379</v>
      </c>
      <c r="BM36" s="67">
        <f>MAX((CH36-Driver!$F$204)/(Driver!$G$204-Driver!$F$204)*$BI$1,1)</f>
        <v>3.8034188034188032</v>
      </c>
      <c r="BN36" s="67">
        <f>(CI36-Driver!$F$205)/(Driver!$G$205-Driver!$F$205)*$BI$1</f>
        <v>4.0588235294117645</v>
      </c>
      <c r="BO36" s="67">
        <f>(CK36-Driver!$F$207)/(Driver!$G$207-Driver!$F$207)*$BI$1</f>
        <v>2.7197518097207856</v>
      </c>
      <c r="BP36" s="67">
        <f>(CM36-Driver!$F$208)/(Driver!$G$208-Driver!$F$208)*$BI$1</f>
        <v>2.5555555555555554</v>
      </c>
      <c r="BQ36" s="67">
        <f>(CL36-Driver!$F$209)/(Driver!$G$209-Driver!$F$209)*$BI$1</f>
        <v>2.5</v>
      </c>
      <c r="BR36" s="28" t="s">
        <v>155</v>
      </c>
      <c r="BS36" s="8" t="s">
        <v>156</v>
      </c>
      <c r="BT36" s="9" t="s">
        <v>197</v>
      </c>
      <c r="BU36" s="10">
        <v>182</v>
      </c>
      <c r="BV36" s="9" t="s">
        <v>158</v>
      </c>
      <c r="BW36" s="10">
        <v>182</v>
      </c>
      <c r="BX36" s="10">
        <v>181.2</v>
      </c>
      <c r="BY36" s="10">
        <v>121</v>
      </c>
      <c r="BZ36" s="10">
        <v>143</v>
      </c>
      <c r="CA36" s="10">
        <v>136</v>
      </c>
      <c r="CB36" s="10">
        <v>107</v>
      </c>
      <c r="CC36" s="10">
        <v>123</v>
      </c>
      <c r="CD36" s="10">
        <v>19.2</v>
      </c>
      <c r="CE36" s="10">
        <v>1649</v>
      </c>
      <c r="CF36" s="10">
        <v>1.27</v>
      </c>
      <c r="CG36" s="10">
        <v>2094</v>
      </c>
      <c r="CH36" s="10">
        <v>190</v>
      </c>
      <c r="CI36" s="10">
        <v>102</v>
      </c>
      <c r="CJ36" s="10">
        <v>47</v>
      </c>
      <c r="CK36" s="10">
        <v>373</v>
      </c>
      <c r="CL36" s="10">
        <v>16</v>
      </c>
      <c r="CM36" s="10">
        <v>230</v>
      </c>
      <c r="CN36" s="10">
        <v>0.34699999999999998</v>
      </c>
      <c r="CO36" s="10">
        <v>214</v>
      </c>
      <c r="CP36" s="10">
        <v>170</v>
      </c>
      <c r="CQ36" s="10">
        <v>160</v>
      </c>
      <c r="CR36" s="10">
        <v>7</v>
      </c>
      <c r="CS36" s="10">
        <v>9.8000000000000007</v>
      </c>
      <c r="CT36" s="9" t="s">
        <v>178</v>
      </c>
      <c r="CU36" s="9" t="s">
        <v>185</v>
      </c>
      <c r="CV36" s="9" t="s">
        <v>198</v>
      </c>
      <c r="CW36" s="10"/>
      <c r="CX36" t="str">
        <f>INDEX('Data_Price '!AG$2:AG$1266,MATCH(Data!$DN36,'Data_Price '!$AT$2:$AT$1266,0))</f>
        <v>Atomic Backland 107</v>
      </c>
      <c r="CY36" t="str">
        <f>INDEX('Data_Price '!AH$2:AH$1266,MATCH(Data!$DN36,'Data_Price '!$AT$2:$AT$1266,0))</f>
        <v>Gorham Bike and Ski</v>
      </c>
      <c r="CZ36">
        <f>INDEX('Data_Price '!AI$2:AI$1266,MATCH(Data!$DN36,'Data_Price '!$AT$2:$AT$1266,0))</f>
        <v>489.99</v>
      </c>
      <c r="DA36" t="str">
        <f>INDEX('Data_Price '!AJ$2:AJ$1266,MATCH(Data!$DN36,'Data_Price '!$AT$2:$AT$1266,0))</f>
        <v>https://tinyurl.com/y7kx3y5a</v>
      </c>
      <c r="DB36" t="str">
        <f>INDEX('Data_Price '!AK$2:AK$1266,MATCH(Data!$DN36,'Data_Price '!$AT$2:$AT$1266,0))</f>
        <v>Atomic Backland 107</v>
      </c>
      <c r="DC36" t="str">
        <f>INDEX('Data_Price '!AL$2:AL$1266,MATCH(Data!$DN36,'Data_Price '!$AT$2:$AT$1266,0))</f>
        <v>REI</v>
      </c>
      <c r="DD36">
        <f>INDEX('Data_Price '!AM$2:AM$1266,MATCH(Data!$DN36,'Data_Price '!$AT$2:$AT$1266,0))</f>
        <v>559.92999999999995</v>
      </c>
      <c r="DE36" t="str">
        <f>INDEX('Data_Price '!AN$2:AN$1266,MATCH(Data!$DN36,'Data_Price '!$AT$2:$AT$1266,0))</f>
        <v>https://tinyurl.com/y8z2onkf</v>
      </c>
      <c r="DF36" t="str">
        <f>INDEX('Data_Price '!AO$2:AO$1266,MATCH(Data!$DN36,'Data_Price '!$AT$2:$AT$1266,0))</f>
        <v>Atomic Backland 107</v>
      </c>
      <c r="DG36" t="str">
        <f>INDEX('Data_Price '!AP$2:AP$1266,MATCH(Data!$DN36,'Data_Price '!$AT$2:$AT$1266,0))</f>
        <v>Skimo &amp; SkyRun</v>
      </c>
      <c r="DH36">
        <f>INDEX('Data_Price '!AQ$2:AQ$1266,MATCH(Data!$DN36,'Data_Price '!$AT$2:$AT$1266,0))</f>
        <v>559.96</v>
      </c>
      <c r="DI36" t="str">
        <f>INDEX('Data_Price '!AR$2:AR$1266,MATCH(Data!$DN36,'Data_Price '!$AT$2:$AT$1266,0))</f>
        <v>https://tinyurl.com/y74wv8hb</v>
      </c>
      <c r="DJ36" s="89" t="str">
        <f t="shared" si="32"/>
        <v>https://tinyurl.com/y7kx3y5a</v>
      </c>
      <c r="DK36" s="89" t="str">
        <f t="shared" si="33"/>
        <v>https://tinyurl.com/y8z2onkf</v>
      </c>
      <c r="DL36" s="89" t="str">
        <f t="shared" si="34"/>
        <v>https://tinyurl.com/y74wv8hb</v>
      </c>
      <c r="DM36" s="219" t="str">
        <f t="shared" si="35"/>
        <v>Backland 107</v>
      </c>
      <c r="DN36" s="89" t="str">
        <f t="shared" si="36"/>
        <v xml:space="preserve"> AtomicBackland 107182 Unisex</v>
      </c>
      <c r="DO36" s="221" t="s">
        <v>199</v>
      </c>
    </row>
    <row r="37" spans="2:119" ht="15.6" customHeight="1">
      <c r="B37" s="219" t="b">
        <f t="array" ref="B37">IF(OR(ISERROR(K37:P37)),FALSE,TRUE)</f>
        <v>1</v>
      </c>
      <c r="C37" s="43" t="b">
        <f>OR(BR37=Driver!$G$50,Data!BR622=Driver!$H$50)</f>
        <v>1</v>
      </c>
      <c r="D37" s="43" t="b">
        <f>OR(BV37=Driver!$G$51,BV37=Driver!$H$51)</f>
        <v>1</v>
      </c>
      <c r="E37" s="43" t="b">
        <f>AND(BX37&gt;Driver!$F$54,BX37&lt;Driver!$G$54)</f>
        <v>0</v>
      </c>
      <c r="F37" s="43" t="b">
        <f>CL37&gt;Driver!$F$56</f>
        <v>1</v>
      </c>
      <c r="G37" s="43" t="b">
        <f>AND(CB37&gt;Driver!$F$55,CB37&lt;Driver!$G$55)</f>
        <v>0</v>
      </c>
      <c r="H37" s="43" t="b">
        <f t="shared" si="0"/>
        <v>0</v>
      </c>
      <c r="I37" s="43">
        <f t="shared" si="1"/>
        <v>0</v>
      </c>
      <c r="J37" s="43" t="b">
        <f t="array" ref="J37">NOT(OR(($H$9:$H$1273=TRUE)*($I$9:$I$1273&gt;0)*($BT$9:$BT$1273=BT37)*($K$9:$K$1273&gt;K37)))</f>
        <v>1</v>
      </c>
      <c r="K37" s="72">
        <f t="shared" si="2"/>
        <v>0.87943845581213886</v>
      </c>
      <c r="L37" s="72">
        <f t="shared" si="3"/>
        <v>0.98816510261925683</v>
      </c>
      <c r="M37" s="72">
        <f t="shared" si="4"/>
        <v>0.77071180900502101</v>
      </c>
      <c r="N37" s="72">
        <f t="shared" si="5"/>
        <v>0.78150816464901895</v>
      </c>
      <c r="O37" s="72">
        <f t="shared" si="6"/>
        <v>0.62640785308334346</v>
      </c>
      <c r="P37" s="72">
        <f t="shared" si="7"/>
        <v>0.9042194092827005</v>
      </c>
      <c r="Q37" s="72"/>
      <c r="R37" s="72"/>
      <c r="S37" s="72">
        <f t="shared" si="8"/>
        <v>0.4522074206502894</v>
      </c>
      <c r="T37" s="72">
        <f t="shared" si="9"/>
        <v>0.57230988933358318</v>
      </c>
      <c r="U37" s="72">
        <f t="shared" si="10"/>
        <v>0.93073396949959775</v>
      </c>
      <c r="V37" s="72">
        <f t="shared" si="11"/>
        <v>0.5167442156425035</v>
      </c>
      <c r="W37" s="72">
        <f t="shared" si="12"/>
        <v>0.77546297365322003</v>
      </c>
      <c r="X37" s="72">
        <f t="shared" si="13"/>
        <v>1.1834897380743226E-2</v>
      </c>
      <c r="Y37" s="72">
        <f t="shared" si="14"/>
        <v>0.22928819099497902</v>
      </c>
      <c r="Z37" s="72">
        <f t="shared" si="15"/>
        <v>0.21849183535098105</v>
      </c>
      <c r="AA37" s="72">
        <f t="shared" si="16"/>
        <v>0.37359214691665649</v>
      </c>
      <c r="AB37" s="72">
        <f t="shared" si="17"/>
        <v>9.5780590717299552E-2</v>
      </c>
      <c r="AC37" s="72"/>
      <c r="AD37" s="72"/>
      <c r="AE37" s="72">
        <f t="shared" si="18"/>
        <v>0.5477925793497106</v>
      </c>
      <c r="AF37" s="72">
        <f t="shared" si="19"/>
        <v>0.42769011066641688</v>
      </c>
      <c r="AG37" s="72">
        <f t="shared" si="20"/>
        <v>6.9266030500402254E-2</v>
      </c>
      <c r="AH37" s="72">
        <f t="shared" si="21"/>
        <v>0.48325578435749644</v>
      </c>
      <c r="AI37" s="72">
        <f t="shared" si="22"/>
        <v>0.22453702634677997</v>
      </c>
      <c r="AJ37" s="72">
        <f>(AV37-Driver!$K$179)/(Driver!$L$179-Driver!$K$179)</f>
        <v>0.26605430666344365</v>
      </c>
      <c r="AK37" s="72">
        <f>(AW37-Driver!$K$180)/(Driver!$L$180-Driver!$K$180)</f>
        <v>0.34885286087423029</v>
      </c>
      <c r="AL37" s="72">
        <f>(AX37-Driver!$K$181)/(Driver!$L$181-Driver!$K$181)</f>
        <v>0.32017959906406124</v>
      </c>
      <c r="AM37" s="72">
        <f>(AY37-Driver!$K$182)/(Driver!$L$182-Driver!$K$182)</f>
        <v>7.3792874180389878E-2</v>
      </c>
      <c r="AN37" s="72">
        <f>(AZ37-Driver!$K$183)/(Driver!$L$183-Driver!$K$183)</f>
        <v>0.35</v>
      </c>
      <c r="AO37" s="72"/>
      <c r="AP37" s="72"/>
      <c r="AQ37" s="72">
        <f>(BC37-Driver!$K$188)/(Driver!$L$188-Driver!$K$188)</f>
        <v>7.2207420650289428E-2</v>
      </c>
      <c r="AR37" s="72">
        <f>MIN((BD37-Driver!$K$189)/(Driver!$L$189-Driver!$K$189),100%)</f>
        <v>0.12230988933358317</v>
      </c>
      <c r="AS37" s="72">
        <f>(BE37-Driver!$K$190)/(Driver!$L$190-Driver!$K$190)</f>
        <v>0.57926603050040226</v>
      </c>
      <c r="AT37" s="72">
        <f>(BF37-Driver!$K$191)/(Driver!$L$191-Driver!$K$191)</f>
        <v>2.6744215642503583E-2</v>
      </c>
      <c r="AU37" s="72">
        <f>(BG37-Driver!$K$192)/(Driver!$L$192-Driver!$K$192)</f>
        <v>2.5462973653220033E-2</v>
      </c>
      <c r="AV37" s="70">
        <f t="shared" si="23"/>
        <v>5.5996472663139318</v>
      </c>
      <c r="AW37" s="70">
        <f t="shared" si="24"/>
        <v>35.870695064457131</v>
      </c>
      <c r="AX37" s="70">
        <f t="shared" si="25"/>
        <v>3.8816163915765509</v>
      </c>
      <c r="AY37" s="70">
        <f>IFERROR(Driver!$K$19/Data!BH37/Data!BI37*Data!BK37*Data!BL37,"")</f>
        <v>9.0344495665392488E-2</v>
      </c>
      <c r="AZ37" s="70">
        <f t="shared" si="26"/>
        <v>31.898734177215189</v>
      </c>
      <c r="BA37" s="70"/>
      <c r="BB37" s="70"/>
      <c r="BC37" s="70">
        <f t="shared" si="27"/>
        <v>37.454491069149611</v>
      </c>
      <c r="BD37" s="70">
        <f t="shared" si="28"/>
        <v>12.545031369819952</v>
      </c>
      <c r="BE37" s="70">
        <f t="shared" si="29"/>
        <v>0.57934108470499845</v>
      </c>
      <c r="BF37" s="70">
        <f t="shared" si="30"/>
        <v>3.0205712680721293</v>
      </c>
      <c r="BG37" s="70">
        <f t="shared" si="31"/>
        <v>9.6419061872214662E-2</v>
      </c>
      <c r="BH37" s="67">
        <f>MAX((CE37-Driver!$F$200)/(Driver!$G$200-Driver!$F$200)*$BI$1,1)</f>
        <v>3.8816163915765509</v>
      </c>
      <c r="BI37" s="67">
        <f>MAX($BI$1*(BY37-Driver!$F$201)/(Driver!$G$201-Driver!$F$201),1)</f>
        <v>7.9746835443037973</v>
      </c>
      <c r="BJ37" s="67">
        <f>(CB37-Driver!$F$206)/(Driver!$G$206-Driver!$F$206)*$BI$1</f>
        <v>4.1269841269841265</v>
      </c>
      <c r="BK37" s="67">
        <f>(CD37-Driver!$F$203)/(Driver!$G$203-Driver!$F$203)*$BI$1</f>
        <v>2.3853211009174311</v>
      </c>
      <c r="BL37" s="67">
        <f>MAX((CR37-Driver!$F$202)/(Driver!$G$202-Driver!$F$202)*$BI$1,1)</f>
        <v>5.8620689655172411</v>
      </c>
      <c r="BM37" s="67">
        <f>MAX((CH37-Driver!$F$204)/(Driver!$G$204-Driver!$F$204)*$BI$1,1)</f>
        <v>5.4273504273504267</v>
      </c>
      <c r="BN37" s="67">
        <f>(CI37-Driver!$F$205)/(Driver!$G$205-Driver!$F$205)*$BI$1</f>
        <v>4</v>
      </c>
      <c r="BO37" s="67">
        <f>(CK37-Driver!$F$207)/(Driver!$G$207-Driver!$F$207)*$BI$1</f>
        <v>1.1065149948293691</v>
      </c>
      <c r="BP37" s="67">
        <f>(CM37-Driver!$F$208)/(Driver!$G$208-Driver!$F$208)*$BI$1</f>
        <v>1.5777777777777777</v>
      </c>
      <c r="BQ37" s="67">
        <f>(CL37-Driver!$F$209)/(Driver!$G$209-Driver!$F$209)*$BI$1</f>
        <v>2.03125</v>
      </c>
      <c r="BR37" s="28" t="s">
        <v>155</v>
      </c>
      <c r="BS37" s="8" t="s">
        <v>167</v>
      </c>
      <c r="BT37" s="9" t="s">
        <v>200</v>
      </c>
      <c r="BU37" s="10">
        <v>170</v>
      </c>
      <c r="BV37" s="9" t="s">
        <v>158</v>
      </c>
      <c r="BW37" s="10">
        <v>170</v>
      </c>
      <c r="BX37" s="10">
        <v>169.7</v>
      </c>
      <c r="BY37" s="10">
        <v>134</v>
      </c>
      <c r="BZ37" s="10">
        <v>140</v>
      </c>
      <c r="CA37" s="10">
        <v>129</v>
      </c>
      <c r="CB37" s="10">
        <v>90</v>
      </c>
      <c r="CC37" s="10">
        <v>112</v>
      </c>
      <c r="CD37" s="10">
        <v>14.6</v>
      </c>
      <c r="CE37" s="10">
        <v>1582</v>
      </c>
      <c r="CF37" s="10">
        <v>1.1000000000000001</v>
      </c>
      <c r="CG37" s="10">
        <v>1742</v>
      </c>
      <c r="CH37" s="10">
        <v>228</v>
      </c>
      <c r="CI37" s="10">
        <v>101</v>
      </c>
      <c r="CJ37" s="10">
        <v>48</v>
      </c>
      <c r="CK37" s="10">
        <v>217</v>
      </c>
      <c r="CL37" s="10">
        <v>13</v>
      </c>
      <c r="CM37" s="10">
        <v>142</v>
      </c>
      <c r="CN37" s="10">
        <v>0.27700000000000002</v>
      </c>
      <c r="CO37" s="10">
        <v>145</v>
      </c>
      <c r="CP37" s="10">
        <v>153</v>
      </c>
      <c r="CQ37" s="10">
        <v>71</v>
      </c>
      <c r="CR37" s="10">
        <v>6</v>
      </c>
      <c r="CS37" s="10">
        <v>10.3</v>
      </c>
      <c r="CT37" s="9" t="s">
        <v>188</v>
      </c>
      <c r="CU37" s="9" t="s">
        <v>185</v>
      </c>
      <c r="CV37" s="10"/>
      <c r="CW37" s="10"/>
      <c r="CX37" t="str">
        <f>INDEX('Data_Price '!AG$2:AG$1266,MATCH(Data!$DN37,'Data_Price '!$AT$2:$AT$1266,0))</f>
        <v xml:space="preserve"> Head Kore 93 Attack 11 162 Cm Downhill Ski Mens Combo</v>
      </c>
      <c r="CY37" t="str">
        <f>INDEX('Data_Price '!AH$2:AH$1266,MATCH(Data!$DN37,'Data_Price '!$AT$2:$AT$1266,0))</f>
        <v>SidelineSwap</v>
      </c>
      <c r="CZ37">
        <f>INDEX('Data_Price '!AI$2:AI$1266,MATCH(Data!$DN37,'Data_Price '!$AT$2:$AT$1266,0))</f>
        <v>349.99</v>
      </c>
      <c r="DA37" t="str">
        <f>INDEX('Data_Price '!AJ$2:AJ$1266,MATCH(Data!$DN37,'Data_Price '!$AT$2:$AT$1266,0))</f>
        <v>https://tinyurl.com/ychagddt</v>
      </c>
      <c r="DB37" t="str">
        <f>INDEX('Data_Price '!AK$2:AK$1266,MATCH(Data!$DN37,'Data_Price '!$AT$2:$AT$1266,0))</f>
        <v>Head Kore 93 Skis</v>
      </c>
      <c r="DC37" t="str">
        <f>INDEX('Data_Price '!AL$2:AL$1266,MATCH(Data!$DN37,'Data_Price '!$AT$2:$AT$1266,0))</f>
        <v>Gorham Bike and Ski</v>
      </c>
      <c r="DD37">
        <f>INDEX('Data_Price '!AM$2:AM$1266,MATCH(Data!$DN37,'Data_Price '!$AT$2:$AT$1266,0))</f>
        <v>454.99</v>
      </c>
      <c r="DE37" t="str">
        <f>INDEX('Data_Price '!AN$2:AN$1266,MATCH(Data!$DN37,'Data_Price '!$AT$2:$AT$1266,0))</f>
        <v>https://tinyurl.com/y9o8e6op</v>
      </c>
      <c r="DF37" t="str">
        <f>INDEX('Data_Price '!AO$2:AO$1266,MATCH(Data!$DN37,'Data_Price '!$AT$2:$AT$1266,0))</f>
        <v>Head Kore 93 Skis</v>
      </c>
      <c r="DG37" t="str">
        <f>INDEX('Data_Price '!AP$2:AP$1266,MATCH(Data!$DN37,'Data_Price '!$AT$2:$AT$1266,0))</f>
        <v>SkiEssentials.com</v>
      </c>
      <c r="DH37">
        <f>INDEX('Data_Price '!AQ$2:AQ$1266,MATCH(Data!$DN37,'Data_Price '!$AT$2:$AT$1266,0))</f>
        <v>489</v>
      </c>
      <c r="DI37" t="str">
        <f>INDEX('Data_Price '!AR$2:AR$1266,MATCH(Data!$DN37,'Data_Price '!$AT$2:$AT$1266,0))</f>
        <v>https://tinyurl.com/y7vveggr</v>
      </c>
      <c r="DJ37" s="89" t="str">
        <f t="shared" si="32"/>
        <v>https://tinyurl.com/ychagddt</v>
      </c>
      <c r="DK37" s="89" t="str">
        <f t="shared" si="33"/>
        <v>https://tinyurl.com/y9o8e6op</v>
      </c>
      <c r="DL37" s="89" t="str">
        <f t="shared" si="34"/>
        <v>https://tinyurl.com/y7vveggr</v>
      </c>
      <c r="DM37" s="219" t="str">
        <f t="shared" si="35"/>
        <v>Kore 93</v>
      </c>
      <c r="DN37" s="89" t="str">
        <f t="shared" si="36"/>
        <v xml:space="preserve"> HeadKore 93170 Unisex</v>
      </c>
      <c r="DO37" s="221" t="s">
        <v>201</v>
      </c>
    </row>
    <row r="38" spans="2:119" ht="15.6" customHeight="1">
      <c r="B38" s="219" t="b">
        <f t="array" ref="B38">IF(OR(ISERROR(K38:P38)),FALSE,TRUE)</f>
        <v>1</v>
      </c>
      <c r="C38" s="43" t="b">
        <f>OR(BR38=Driver!$G$50,Data!BR400=Driver!$H$50)</f>
        <v>1</v>
      </c>
      <c r="D38" s="43" t="b">
        <f>OR(BV38=Driver!$G$51,BV38=Driver!$H$51)</f>
        <v>1</v>
      </c>
      <c r="E38" s="43" t="b">
        <f>AND(BX38&gt;Driver!$F$54,BX38&lt;Driver!$G$54)</f>
        <v>0</v>
      </c>
      <c r="F38" s="43" t="b">
        <f>CL38&gt;Driver!$F$56</f>
        <v>1</v>
      </c>
      <c r="G38" s="43" t="b">
        <f>AND(CB38&gt;Driver!$F$55,CB38&lt;Driver!$G$55)</f>
        <v>0</v>
      </c>
      <c r="H38" s="43" t="b">
        <f t="shared" si="0"/>
        <v>0</v>
      </c>
      <c r="I38" s="43">
        <f t="shared" si="1"/>
        <v>0</v>
      </c>
      <c r="J38" s="43" t="b">
        <f t="array" ref="J38">NOT(OR(($H$9:$H$1273=TRUE)*($I$9:$I$1273&gt;0)*($BT$9:$BT$1273=BT38)*($K$9:$K$1273&gt;K38)))</f>
        <v>1</v>
      </c>
      <c r="K38" s="72">
        <f t="shared" si="2"/>
        <v>0.86497082162503269</v>
      </c>
      <c r="L38" s="72">
        <f t="shared" si="3"/>
        <v>0.97575675518552862</v>
      </c>
      <c r="M38" s="72">
        <f t="shared" si="4"/>
        <v>0.75418488806453687</v>
      </c>
      <c r="N38" s="72">
        <f t="shared" si="5"/>
        <v>0.66578059872224982</v>
      </c>
      <c r="O38" s="72">
        <f t="shared" si="6"/>
        <v>0.66150890455467326</v>
      </c>
      <c r="P38" s="72">
        <f t="shared" si="7"/>
        <v>0.93526516091668732</v>
      </c>
      <c r="Q38" s="72"/>
      <c r="R38" s="72"/>
      <c r="S38" s="72">
        <f t="shared" si="8"/>
        <v>0.49722220722787513</v>
      </c>
      <c r="T38" s="72">
        <f t="shared" si="9"/>
        <v>0.56717919337634548</v>
      </c>
      <c r="U38" s="72">
        <f t="shared" si="10"/>
        <v>0.70248152013034093</v>
      </c>
      <c r="V38" s="72">
        <f t="shared" si="11"/>
        <v>0.52000300599017035</v>
      </c>
      <c r="W38" s="72">
        <f t="shared" si="12"/>
        <v>0.76770592485549138</v>
      </c>
      <c r="X38" s="72">
        <f t="shared" si="13"/>
        <v>2.4243244814471376E-2</v>
      </c>
      <c r="Y38" s="72">
        <f t="shared" si="14"/>
        <v>0.24581511193546315</v>
      </c>
      <c r="Z38" s="72">
        <f t="shared" si="15"/>
        <v>0.33421940127775018</v>
      </c>
      <c r="AA38" s="72">
        <f t="shared" si="16"/>
        <v>0.33849109544532674</v>
      </c>
      <c r="AB38" s="72">
        <f t="shared" si="17"/>
        <v>6.4734839083312623E-2</v>
      </c>
      <c r="AC38" s="72"/>
      <c r="AD38" s="72"/>
      <c r="AE38" s="72">
        <f t="shared" si="18"/>
        <v>0.50277779277212487</v>
      </c>
      <c r="AF38" s="72">
        <f t="shared" si="19"/>
        <v>0.43282080662365446</v>
      </c>
      <c r="AG38" s="72">
        <f t="shared" si="20"/>
        <v>0.29751847986965907</v>
      </c>
      <c r="AH38" s="72">
        <f t="shared" si="21"/>
        <v>0.4799969940098297</v>
      </c>
      <c r="AI38" s="72">
        <f t="shared" si="22"/>
        <v>0.23229407514450867</v>
      </c>
      <c r="AJ38" s="72">
        <f>(AV38-Driver!$K$179)/(Driver!$L$179-Driver!$K$179)</f>
        <v>0.2784626540971718</v>
      </c>
      <c r="AK38" s="72">
        <f>(AW38-Driver!$K$180)/(Driver!$L$180-Driver!$K$180)</f>
        <v>0.33094823983469007</v>
      </c>
      <c r="AL38" s="72">
        <f>(AX38-Driver!$K$181)/(Driver!$L$181-Driver!$K$181)</f>
        <v>0.43590716499083038</v>
      </c>
      <c r="AM38" s="72">
        <f>(AY38-Driver!$K$182)/(Driver!$L$182-Driver!$K$182)</f>
        <v>0.10889392565171963</v>
      </c>
      <c r="AN38" s="72">
        <f>(AZ38-Driver!$K$183)/(Driver!$L$183-Driver!$K$183)</f>
        <v>0.31895424836601305</v>
      </c>
      <c r="AO38" s="72"/>
      <c r="AP38" s="72"/>
      <c r="AQ38" s="72">
        <f>(BC38-Driver!$K$188)/(Driver!$L$188-Driver!$K$188)</f>
        <v>0.11722220722787509</v>
      </c>
      <c r="AR38" s="72">
        <f>MIN((BD38-Driver!$K$189)/(Driver!$L$189-Driver!$K$189),100%)</f>
        <v>0.11717919337634558</v>
      </c>
      <c r="AS38" s="72">
        <f>(BE38-Driver!$K$190)/(Driver!$L$190-Driver!$K$190)</f>
        <v>0.21248152013034094</v>
      </c>
      <c r="AT38" s="72">
        <f>(BF38-Driver!$K$191)/(Driver!$L$191-Driver!$K$191)</f>
        <v>3.0003005990170306E-2</v>
      </c>
      <c r="AU38" s="72">
        <f>(BG38-Driver!$K$192)/(Driver!$L$192-Driver!$K$192)</f>
        <v>1.7705924855491325E-2</v>
      </c>
      <c r="AV38" s="70">
        <f t="shared" si="23"/>
        <v>5.8608058608058604</v>
      </c>
      <c r="AW38" s="70">
        <f t="shared" si="24"/>
        <v>34.125731093072204</v>
      </c>
      <c r="AX38" s="70">
        <f t="shared" si="25"/>
        <v>4.9231644849174732</v>
      </c>
      <c r="AY38" s="70">
        <f>IFERROR(Driver!$K$19/Data!BH38/Data!BI38*Data!BK38*Data!BL38,"")</f>
        <v>0.13331865580923194</v>
      </c>
      <c r="AZ38" s="70">
        <f t="shared" si="26"/>
        <v>29.069247952345496</v>
      </c>
      <c r="BA38" s="70"/>
      <c r="BB38" s="70"/>
      <c r="BC38" s="70">
        <f t="shared" si="27"/>
        <v>60.803973804662611</v>
      </c>
      <c r="BD38" s="70">
        <f t="shared" si="28"/>
        <v>12.090973868659717</v>
      </c>
      <c r="BE38" s="70">
        <f t="shared" si="29"/>
        <v>0.21262200456325162</v>
      </c>
      <c r="BF38" s="70">
        <f t="shared" si="30"/>
        <v>3.3886287435431663</v>
      </c>
      <c r="BG38" s="70">
        <f t="shared" si="31"/>
        <v>6.7045926661849706E-2</v>
      </c>
      <c r="BH38" s="67">
        <f>MAX((CE38-Driver!$F$200)/(Driver!$G$200-Driver!$F$200)*$BI$1,1)</f>
        <v>4.9231644849174732</v>
      </c>
      <c r="BI38" s="67">
        <f>MAX($BI$1*(BY38-Driver!$F$201)/(Driver!$G$201-Driver!$F$201),1)</f>
        <v>7.7215189873417724</v>
      </c>
      <c r="BJ38" s="67">
        <f>(CB38-Driver!$F$206)/(Driver!$G$206-Driver!$F$206)*$BI$1</f>
        <v>3.8095238095238093</v>
      </c>
      <c r="BK38" s="67">
        <f>(CD38-Driver!$F$203)/(Driver!$G$203-Driver!$F$203)*$BI$1</f>
        <v>4.0825688073394497</v>
      </c>
      <c r="BL38" s="67">
        <f>MAX((CR38-Driver!$F$202)/(Driver!$G$202-Driver!$F$202)*$BI$1,1)</f>
        <v>6.2068965517241379</v>
      </c>
      <c r="BM38" s="67">
        <f>MAX((CH38-Driver!$F$204)/(Driver!$G$204-Driver!$F$204)*$BI$1,1)</f>
        <v>6.1538461538461542</v>
      </c>
      <c r="BN38" s="67">
        <f>(CI38-Driver!$F$205)/(Driver!$G$205-Driver!$F$205)*$BI$1</f>
        <v>3.7647058823529411</v>
      </c>
      <c r="BO38" s="67">
        <f>(CK38-Driver!$F$207)/(Driver!$G$207-Driver!$F$207)*$BI$1</f>
        <v>2.2233712512926576</v>
      </c>
      <c r="BP38" s="67">
        <f>(CM38-Driver!$F$208)/(Driver!$G$208-Driver!$F$208)*$BI$1</f>
        <v>1.6333333333333333</v>
      </c>
      <c r="BQ38" s="67">
        <f>(CL38-Driver!$F$209)/(Driver!$G$209-Driver!$F$209)*$BI$1</f>
        <v>2.03125</v>
      </c>
      <c r="BR38" s="28" t="s">
        <v>155</v>
      </c>
      <c r="BS38" s="8" t="s">
        <v>202</v>
      </c>
      <c r="BT38" s="9" t="s">
        <v>203</v>
      </c>
      <c r="BU38" s="10">
        <v>178</v>
      </c>
      <c r="BV38" s="9" t="s">
        <v>158</v>
      </c>
      <c r="BW38" s="10">
        <v>178</v>
      </c>
      <c r="BX38" s="10">
        <v>177.3</v>
      </c>
      <c r="BY38" s="10">
        <v>130</v>
      </c>
      <c r="BZ38" s="10">
        <v>147</v>
      </c>
      <c r="CA38" s="10">
        <v>119</v>
      </c>
      <c r="CB38" s="10">
        <v>88</v>
      </c>
      <c r="CC38" s="10">
        <v>109</v>
      </c>
      <c r="CD38" s="10">
        <v>18.3</v>
      </c>
      <c r="CE38" s="10">
        <v>1765</v>
      </c>
      <c r="CF38" s="10">
        <v>1</v>
      </c>
      <c r="CG38" s="10">
        <v>1756</v>
      </c>
      <c r="CH38" s="10">
        <v>245</v>
      </c>
      <c r="CI38" s="10">
        <v>97</v>
      </c>
      <c r="CJ38" s="10">
        <v>60</v>
      </c>
      <c r="CK38" s="10">
        <v>325</v>
      </c>
      <c r="CL38" s="10">
        <v>13</v>
      </c>
      <c r="CM38" s="10">
        <v>147</v>
      </c>
      <c r="CN38" s="10">
        <v>0.22</v>
      </c>
      <c r="CO38" s="10">
        <v>187</v>
      </c>
      <c r="CP38" s="10">
        <v>119</v>
      </c>
      <c r="CQ38" s="10">
        <v>137</v>
      </c>
      <c r="CR38" s="10">
        <v>7</v>
      </c>
      <c r="CS38" s="10">
        <v>11.9</v>
      </c>
      <c r="CT38" s="9" t="s">
        <v>188</v>
      </c>
      <c r="CU38" s="10"/>
      <c r="CV38" s="10"/>
      <c r="CW38" s="10"/>
      <c r="CX38" t="str">
        <f>INDEX('Data_Price '!AG$2:AG$1266,MATCH(Data!$DN38,'Data_Price '!$AT$2:$AT$1266,0))</f>
        <v>Dynastar M-Pro 90 Skis 2022</v>
      </c>
      <c r="CY38" t="str">
        <f>INDEX('Data_Price '!AH$2:AH$1266,MATCH(Data!$DN38,'Data_Price '!$AT$2:$AT$1266,0))</f>
        <v>Next Adventure</v>
      </c>
      <c r="CZ38">
        <f>INDEX('Data_Price '!AI$2:AI$1266,MATCH(Data!$DN38,'Data_Price '!$AT$2:$AT$1266,0))</f>
        <v>419.97</v>
      </c>
      <c r="DA38" t="str">
        <f>INDEX('Data_Price '!AJ$2:AJ$1266,MATCH(Data!$DN38,'Data_Price '!$AT$2:$AT$1266,0))</f>
        <v>https://tinyurl.com/y9rxgzbt</v>
      </c>
      <c r="DB38" t="str">
        <f>INDEX('Data_Price '!AK$2:AK$1266,MATCH(Data!$DN38,'Data_Price '!$AT$2:$AT$1266,0))</f>
        <v>Dynastar M-PRO 90 178cm</v>
      </c>
      <c r="DC38" t="str">
        <f>INDEX('Data_Price '!AL$2:AL$1266,MATCH(Data!$DN38,'Data_Price '!$AT$2:$AT$1266,0))</f>
        <v>Sundance Ski and Board Shop</v>
      </c>
      <c r="DD38">
        <f>INDEX('Data_Price '!AM$2:AM$1266,MATCH(Data!$DN38,'Data_Price '!$AT$2:$AT$1266,0))</f>
        <v>449.11</v>
      </c>
      <c r="DE38" t="str">
        <f>INDEX('Data_Price '!AN$2:AN$1266,MATCH(Data!$DN38,'Data_Price '!$AT$2:$AT$1266,0))</f>
        <v>https://tinyurl.com/ycyopta9</v>
      </c>
      <c r="DF38" t="str">
        <f>INDEX('Data_Price '!AO$2:AO$1266,MATCH(Data!$DN38,'Data_Price '!$AT$2:$AT$1266,0))</f>
        <v>Dynastar M-Pro 90 Skis 2022</v>
      </c>
      <c r="DG38" t="str">
        <f>INDEX('Data_Price '!AP$2:AP$1266,MATCH(Data!$DN38,'Data_Price '!$AT$2:$AT$1266,0))</f>
        <v>Level Nine Sports</v>
      </c>
      <c r="DH38">
        <f>INDEX('Data_Price '!AQ$2:AQ$1266,MATCH(Data!$DN38,'Data_Price '!$AT$2:$AT$1266,0))</f>
        <v>479.96</v>
      </c>
      <c r="DI38" t="str">
        <f>INDEX('Data_Price '!AR$2:AR$1266,MATCH(Data!$DN38,'Data_Price '!$AT$2:$AT$1266,0))</f>
        <v>https://tinyurl.com/y88g6umk</v>
      </c>
      <c r="DJ38" s="89" t="str">
        <f t="shared" si="32"/>
        <v>https://tinyurl.com/y9rxgzbt</v>
      </c>
      <c r="DK38" s="89" t="str">
        <f t="shared" si="33"/>
        <v>https://tinyurl.com/ycyopta9</v>
      </c>
      <c r="DL38" s="89" t="str">
        <f t="shared" si="34"/>
        <v>https://tinyurl.com/y88g6umk</v>
      </c>
      <c r="DM38" s="219" t="str">
        <f t="shared" si="35"/>
        <v>M-Pro 90</v>
      </c>
      <c r="DN38" s="89" t="str">
        <f t="shared" si="36"/>
        <v xml:space="preserve"> DynastarM-Pro 90178 Unisex</v>
      </c>
      <c r="DO38" s="221" t="s">
        <v>204</v>
      </c>
    </row>
    <row r="39" spans="2:119" ht="15.6" customHeight="1">
      <c r="B39" s="219" t="b">
        <f t="array" ref="B39">IF(OR(ISERROR(K39:P39)),FALSE,TRUE)</f>
        <v>1</v>
      </c>
      <c r="C39" s="43" t="b">
        <f>OR(BR39=Driver!$G$50,Data!BR489=Driver!$H$50)</f>
        <v>1</v>
      </c>
      <c r="D39" s="43" t="b">
        <f>OR(BV39=Driver!$G$51,BV39=Driver!$H$51)</f>
        <v>1</v>
      </c>
      <c r="E39" s="43" t="b">
        <f>AND(BX39&gt;Driver!$F$54,BX39&lt;Driver!$G$54)</f>
        <v>0</v>
      </c>
      <c r="F39" s="43" t="b">
        <f>CL39&gt;Driver!$F$56</f>
        <v>1</v>
      </c>
      <c r="G39" s="43" t="b">
        <f>AND(CB39&gt;Driver!$F$55,CB39&lt;Driver!$G$55)</f>
        <v>0</v>
      </c>
      <c r="H39" s="43" t="b">
        <f t="shared" si="0"/>
        <v>0</v>
      </c>
      <c r="I39" s="43">
        <f t="shared" si="1"/>
        <v>0</v>
      </c>
      <c r="J39" s="43" t="b">
        <f t="array" ref="J39">NOT(OR(($H$9:$H$1273=TRUE)*($I$9:$I$1273&gt;0)*($BT$9:$BT$1273=BT39)*($K$9:$K$1273&gt;K39)))</f>
        <v>1</v>
      </c>
      <c r="K39" s="72">
        <f t="shared" si="2"/>
        <v>0.89964675406487327</v>
      </c>
      <c r="L39" s="72">
        <f t="shared" si="3"/>
        <v>0.99195206579708284</v>
      </c>
      <c r="M39" s="72">
        <f t="shared" si="4"/>
        <v>0.80734144233266358</v>
      </c>
      <c r="N39" s="72">
        <f t="shared" si="5"/>
        <v>0.79162642177922837</v>
      </c>
      <c r="O39" s="72">
        <f t="shared" si="6"/>
        <v>0.67985496652429722</v>
      </c>
      <c r="P39" s="72">
        <f t="shared" si="7"/>
        <v>0.95054293869446516</v>
      </c>
      <c r="Q39" s="72"/>
      <c r="R39" s="72"/>
      <c r="S39" s="72">
        <f t="shared" si="8"/>
        <v>0.47047764050056351</v>
      </c>
      <c r="T39" s="72">
        <f t="shared" si="9"/>
        <v>0.49142674933536634</v>
      </c>
      <c r="U39" s="72">
        <f t="shared" si="10"/>
        <v>0.70519166633521879</v>
      </c>
      <c r="V39" s="72">
        <f t="shared" si="11"/>
        <v>0.52391322504241167</v>
      </c>
      <c r="W39" s="72">
        <f t="shared" si="12"/>
        <v>0.79851994851994856</v>
      </c>
      <c r="X39" s="72">
        <f t="shared" si="13"/>
        <v>8.0479342029171064E-3</v>
      </c>
      <c r="Y39" s="72">
        <f t="shared" si="14"/>
        <v>0.19265855766733642</v>
      </c>
      <c r="Z39" s="72">
        <f t="shared" si="15"/>
        <v>0.20837357822077168</v>
      </c>
      <c r="AA39" s="72">
        <f t="shared" si="16"/>
        <v>0.32014503347570278</v>
      </c>
      <c r="AB39" s="72">
        <f t="shared" si="17"/>
        <v>4.9457061305534844E-2</v>
      </c>
      <c r="AC39" s="72"/>
      <c r="AD39" s="72"/>
      <c r="AE39" s="72">
        <f t="shared" si="18"/>
        <v>0.52952235949943649</v>
      </c>
      <c r="AF39" s="72">
        <f t="shared" si="19"/>
        <v>0.50857325066463366</v>
      </c>
      <c r="AG39" s="72">
        <f t="shared" si="20"/>
        <v>0.29480833366478121</v>
      </c>
      <c r="AH39" s="72">
        <f t="shared" si="21"/>
        <v>0.47608677495758828</v>
      </c>
      <c r="AI39" s="72">
        <f t="shared" si="22"/>
        <v>0.20148005148005149</v>
      </c>
      <c r="AJ39" s="72">
        <f>(AV39-Driver!$K$179)/(Driver!$L$179-Driver!$K$179)</f>
        <v>0.26226734348561753</v>
      </c>
      <c r="AK39" s="72">
        <f>(AW39-Driver!$K$180)/(Driver!$L$180-Driver!$K$180)</f>
        <v>0.30527015993646223</v>
      </c>
      <c r="AL39" s="72">
        <f>(AX39-Driver!$K$181)/(Driver!$L$181-Driver!$K$181)</f>
        <v>0.31006134193385188</v>
      </c>
      <c r="AM39" s="72">
        <f>(AY39-Driver!$K$182)/(Driver!$L$182-Driver!$K$182)</f>
        <v>0.12723998762134356</v>
      </c>
      <c r="AN39" s="72">
        <f>(AZ39-Driver!$K$183)/(Driver!$L$183-Driver!$K$183)</f>
        <v>0.30367647058823527</v>
      </c>
      <c r="AO39" s="72"/>
      <c r="AP39" s="72"/>
      <c r="AQ39" s="72">
        <f>(BC39-Driver!$K$188)/(Driver!$L$188-Driver!$K$188)</f>
        <v>9.0477640500563478E-2</v>
      </c>
      <c r="AR39" s="72">
        <f>MIN((BD39-Driver!$K$189)/(Driver!$L$189-Driver!$K$189),100%)</f>
        <v>4.14267493353664E-2</v>
      </c>
      <c r="AS39" s="72">
        <f>(BE39-Driver!$K$190)/(Driver!$L$190-Driver!$K$190)</f>
        <v>0.2151916663352188</v>
      </c>
      <c r="AT39" s="72">
        <f>(BF39-Driver!$K$191)/(Driver!$L$191-Driver!$K$191)</f>
        <v>3.3913225042411732E-2</v>
      </c>
      <c r="AU39" s="72">
        <f>(BG39-Driver!$K$192)/(Driver!$L$192-Driver!$K$192)</f>
        <v>4.8519948519948515E-2</v>
      </c>
      <c r="AV39" s="70">
        <f t="shared" si="23"/>
        <v>5.5199430199430193</v>
      </c>
      <c r="AW39" s="70">
        <f t="shared" si="24"/>
        <v>31.623174676055644</v>
      </c>
      <c r="AX39" s="70">
        <f t="shared" si="25"/>
        <v>3.790552077404667</v>
      </c>
      <c r="AY39" s="70">
        <f>IFERROR(Driver!$K$19/Data!BH39/Data!BI39*Data!BK39*Data!BL39,"")</f>
        <v>0.15577970959662019</v>
      </c>
      <c r="AZ39" s="70">
        <f t="shared" si="26"/>
        <v>27.676842889054356</v>
      </c>
      <c r="BA39" s="70"/>
      <c r="BB39" s="70"/>
      <c r="BC39" s="70">
        <f t="shared" si="27"/>
        <v>46.931381117994562</v>
      </c>
      <c r="BD39" s="70">
        <f t="shared" si="28"/>
        <v>5.3870167964213653</v>
      </c>
      <c r="BE39" s="70">
        <f t="shared" si="29"/>
        <v>0.21533166730855052</v>
      </c>
      <c r="BF39" s="70">
        <f t="shared" si="30"/>
        <v>3.8302605146502517</v>
      </c>
      <c r="BG39" s="70">
        <f t="shared" si="31"/>
        <v>0.18372747747747747</v>
      </c>
      <c r="BH39" s="67">
        <f>MAX((CE39-Driver!$F$200)/(Driver!$G$200-Driver!$F$200)*$BI$1,1)</f>
        <v>3.790552077404667</v>
      </c>
      <c r="BI39" s="67">
        <f>MAX($BI$1*(BY39-Driver!$F$201)/(Driver!$G$201-Driver!$F$201),1)</f>
        <v>7.4683544303797467</v>
      </c>
      <c r="BJ39" s="67">
        <f>(CB39-Driver!$F$206)/(Driver!$G$206-Driver!$F$206)*$BI$1</f>
        <v>4.92063492063492</v>
      </c>
      <c r="BK39" s="67">
        <f>(CD39-Driver!$F$203)/(Driver!$G$203-Driver!$F$203)*$BI$1</f>
        <v>3.7614678899082579</v>
      </c>
      <c r="BL39" s="67">
        <f>MAX((CR39-Driver!$F$202)/(Driver!$G$202-Driver!$F$202)*$BI$1,1)</f>
        <v>5.8620689655172411</v>
      </c>
      <c r="BM39" s="67">
        <f>MAX((CH39-Driver!$F$204)/(Driver!$G$204-Driver!$F$204)*$BI$1,1)</f>
        <v>4.4871794871794872</v>
      </c>
      <c r="BN39" s="67">
        <f>(CI39-Driver!$F$205)/(Driver!$G$205-Driver!$F$205)*$BI$1</f>
        <v>3.7058823529411766</v>
      </c>
      <c r="BO39" s="67">
        <f>(CK39-Driver!$F$207)/(Driver!$G$207-Driver!$F$207)*$BI$1</f>
        <v>1.4167528438469492</v>
      </c>
      <c r="BP39" s="67">
        <f>(CM39-Driver!$F$208)/(Driver!$G$208-Driver!$F$208)*$BI$1</f>
        <v>2.0666666666666664</v>
      </c>
      <c r="BQ39" s="67">
        <f>(CL39-Driver!$F$209)/(Driver!$G$209-Driver!$F$209)*$BI$1</f>
        <v>3.125</v>
      </c>
      <c r="BR39" s="28" t="s">
        <v>155</v>
      </c>
      <c r="BS39" s="8" t="s">
        <v>205</v>
      </c>
      <c r="BT39" s="9" t="s">
        <v>206</v>
      </c>
      <c r="BU39" s="10">
        <v>171</v>
      </c>
      <c r="BV39" s="9" t="s">
        <v>158</v>
      </c>
      <c r="BW39" s="10">
        <v>171</v>
      </c>
      <c r="BX39" s="10">
        <v>169.4</v>
      </c>
      <c r="BY39" s="10">
        <v>126</v>
      </c>
      <c r="BZ39" s="10">
        <v>143</v>
      </c>
      <c r="CA39" s="10">
        <v>127</v>
      </c>
      <c r="CB39" s="10">
        <v>95</v>
      </c>
      <c r="CC39" s="10">
        <v>117</v>
      </c>
      <c r="CD39" s="10">
        <v>17.600000000000001</v>
      </c>
      <c r="CE39" s="10">
        <v>1566</v>
      </c>
      <c r="CF39" s="10">
        <v>1.1499999999999999</v>
      </c>
      <c r="CG39" s="10">
        <v>1801</v>
      </c>
      <c r="CH39" s="10">
        <v>206</v>
      </c>
      <c r="CI39" s="10">
        <v>96</v>
      </c>
      <c r="CJ39" s="10">
        <v>52</v>
      </c>
      <c r="CK39" s="10">
        <v>247</v>
      </c>
      <c r="CL39" s="10">
        <v>20</v>
      </c>
      <c r="CM39" s="10">
        <v>186</v>
      </c>
      <c r="CN39" s="10">
        <v>0.38800000000000001</v>
      </c>
      <c r="CO39" s="10">
        <v>161</v>
      </c>
      <c r="CP39" s="10">
        <v>107</v>
      </c>
      <c r="CQ39" s="10">
        <v>86</v>
      </c>
      <c r="CR39" s="10">
        <v>6</v>
      </c>
      <c r="CS39" s="10">
        <v>11.4</v>
      </c>
      <c r="CT39" s="9" t="s">
        <v>188</v>
      </c>
      <c r="CU39" s="9" t="s">
        <v>185</v>
      </c>
      <c r="CV39" s="10"/>
      <c r="CW39" s="10"/>
      <c r="CX39" t="str">
        <f>INDEX('Data_Price '!AG$2:AG$1266,MATCH(Data!$DN39,'Data_Price '!$AT$2:$AT$1266,0))</f>
        <v>Faction Agent 2.0 Skis</v>
      </c>
      <c r="CY39" t="str">
        <f>INDEX('Data_Price '!AH$2:AH$1266,MATCH(Data!$DN39,'Data_Price '!$AT$2:$AT$1266,0))</f>
        <v>Gorham Bike and Ski</v>
      </c>
      <c r="CZ39">
        <f>INDEX('Data_Price '!AI$2:AI$1266,MATCH(Data!$DN39,'Data_Price '!$AT$2:$AT$1266,0))</f>
        <v>489.99</v>
      </c>
      <c r="DA39" t="str">
        <f>INDEX('Data_Price '!AJ$2:AJ$1266,MATCH(Data!$DN39,'Data_Price '!$AT$2:$AT$1266,0))</f>
        <v>https://tinyurl.com/y7gqsrfn</v>
      </c>
      <c r="DB39" t="str">
        <f>INDEX('Data_Price '!AK$2:AK$1266,MATCH(Data!$DN39,'Data_Price '!$AT$2:$AT$1266,0))</f>
        <v>Faction Agent 2.0 Skis</v>
      </c>
      <c r="DC39" t="str">
        <f>INDEX('Data_Price '!AL$2:AL$1266,MATCH(Data!$DN39,'Data_Price '!$AT$2:$AT$1266,0))</f>
        <v>Telemark Pyrenees</v>
      </c>
      <c r="DD39">
        <f>INDEX('Data_Price '!AM$2:AM$1266,MATCH(Data!$DN39,'Data_Price '!$AT$2:$AT$1266,0))</f>
        <v>504.17</v>
      </c>
      <c r="DE39" t="str">
        <f>INDEX('Data_Price '!AN$2:AN$1266,MATCH(Data!$DN39,'Data_Price '!$AT$2:$AT$1266,0))</f>
        <v>https://tinyurl.com/y958hty9</v>
      </c>
      <c r="DF39" t="str">
        <f>INDEX('Data_Price '!AO$2:AO$1266,MATCH(Data!$DN39,'Data_Price '!$AT$2:$AT$1266,0))</f>
        <v>Faction Agent 2.0 21/22</v>
      </c>
      <c r="DG39" t="str">
        <f>INDEX('Data_Price '!AP$2:AP$1266,MATCH(Data!$DN39,'Data_Price '!$AT$2:$AT$1266,0))</f>
        <v>PRFO Sports</v>
      </c>
      <c r="DH39">
        <f>INDEX('Data_Price '!AQ$2:AQ$1266,MATCH(Data!$DN39,'Data_Price '!$AT$2:$AT$1266,0))</f>
        <v>544.54999999999995</v>
      </c>
      <c r="DI39" t="str">
        <f>INDEX('Data_Price '!AR$2:AR$1266,MATCH(Data!$DN39,'Data_Price '!$AT$2:$AT$1266,0))</f>
        <v>https://tinyurl.com/y8gdyg6z</v>
      </c>
      <c r="DJ39" s="89" t="str">
        <f t="shared" si="32"/>
        <v>https://tinyurl.com/y7gqsrfn</v>
      </c>
      <c r="DK39" s="89" t="str">
        <f t="shared" si="33"/>
        <v>https://tinyurl.com/y958hty9</v>
      </c>
      <c r="DL39" s="89" t="str">
        <f t="shared" si="34"/>
        <v>https://tinyurl.com/y8gdyg6z</v>
      </c>
      <c r="DM39" s="219" t="str">
        <f t="shared" si="35"/>
        <v>Agent 2.0</v>
      </c>
      <c r="DN39" s="89" t="str">
        <f t="shared" si="36"/>
        <v xml:space="preserve"> FactionAgent 2.0171 Unisex</v>
      </c>
      <c r="DO39" s="221" t="s">
        <v>207</v>
      </c>
    </row>
    <row r="40" spans="2:119" ht="15.6" customHeight="1">
      <c r="B40" s="219" t="b">
        <f t="array" ref="B40">IF(OR(ISERROR(K40:P40)),FALSE,TRUE)</f>
        <v>1</v>
      </c>
      <c r="C40" s="43" t="b">
        <f>OR(BR40=Driver!$G$50,Data!BR883=Driver!$H$50)</f>
        <v>1</v>
      </c>
      <c r="D40" s="43" t="b">
        <f>OR(BV40=Driver!$G$51,BV40=Driver!$H$51)</f>
        <v>1</v>
      </c>
      <c r="E40" s="43" t="b">
        <f>AND(BX40&gt;Driver!$F$54,BX40&lt;Driver!$G$54)</f>
        <v>0</v>
      </c>
      <c r="F40" s="43" t="b">
        <f>CL40&gt;Driver!$F$56</f>
        <v>1</v>
      </c>
      <c r="G40" s="43" t="b">
        <f>AND(CB40&gt;Driver!$F$55,CB40&lt;Driver!$G$55)</f>
        <v>0</v>
      </c>
      <c r="H40" s="43" t="b">
        <f t="shared" si="0"/>
        <v>0</v>
      </c>
      <c r="I40" s="43">
        <f t="shared" si="1"/>
        <v>0</v>
      </c>
      <c r="J40" s="43" t="b">
        <f t="array" ref="J40">NOT(OR(($H$9:$H$1273=TRUE)*($I$9:$I$1273&gt;0)*($BT$9:$BT$1273=BT40)*($K$9:$K$1273&gt;K40)))</f>
        <v>1</v>
      </c>
      <c r="K40" s="72">
        <f t="shared" si="2"/>
        <v>0.91411788271180938</v>
      </c>
      <c r="L40" s="72">
        <f t="shared" si="3"/>
        <v>0.98566731839558419</v>
      </c>
      <c r="M40" s="72">
        <f t="shared" si="4"/>
        <v>0.84256844702803457</v>
      </c>
      <c r="N40" s="72">
        <f t="shared" si="5"/>
        <v>0.81376010925156117</v>
      </c>
      <c r="O40" s="72">
        <f t="shared" si="6"/>
        <v>0.73450451039628861</v>
      </c>
      <c r="P40" s="72">
        <f t="shared" si="7"/>
        <v>0.97944072143625382</v>
      </c>
      <c r="Q40" s="72"/>
      <c r="R40" s="72"/>
      <c r="S40" s="72">
        <f t="shared" si="8"/>
        <v>0.46557720584169493</v>
      </c>
      <c r="T40" s="72">
        <f t="shared" si="9"/>
        <v>0.46922760971369437</v>
      </c>
      <c r="U40" s="72">
        <f t="shared" si="10"/>
        <v>0.52044043638711845</v>
      </c>
      <c r="V40" s="72">
        <f t="shared" si="11"/>
        <v>0.59642812561947134</v>
      </c>
      <c r="W40" s="72">
        <f t="shared" si="12"/>
        <v>0.84316894446972424</v>
      </c>
      <c r="X40" s="72">
        <f t="shared" si="13"/>
        <v>1.4332681604415864E-2</v>
      </c>
      <c r="Y40" s="72">
        <f t="shared" si="14"/>
        <v>0.15743155297196545</v>
      </c>
      <c r="Z40" s="72">
        <f t="shared" si="15"/>
        <v>0.18623989074843883</v>
      </c>
      <c r="AA40" s="72">
        <f t="shared" si="16"/>
        <v>0.26549548960371139</v>
      </c>
      <c r="AB40" s="72">
        <f t="shared" si="17"/>
        <v>2.0559278563746147E-2</v>
      </c>
      <c r="AC40" s="72"/>
      <c r="AD40" s="72"/>
      <c r="AE40" s="72">
        <f t="shared" si="18"/>
        <v>0.53442279415830507</v>
      </c>
      <c r="AF40" s="72">
        <f t="shared" si="19"/>
        <v>0.53077239028630563</v>
      </c>
      <c r="AG40" s="72">
        <f t="shared" si="20"/>
        <v>0.47955956361288149</v>
      </c>
      <c r="AH40" s="72">
        <f t="shared" si="21"/>
        <v>0.40357187438052866</v>
      </c>
      <c r="AI40" s="72">
        <f t="shared" si="22"/>
        <v>0.15683105553027574</v>
      </c>
      <c r="AJ40" s="72">
        <f>(AV40-Driver!$K$179)/(Driver!$L$179-Driver!$K$179)</f>
        <v>0.26855209088711629</v>
      </c>
      <c r="AK40" s="72">
        <f>(AW40-Driver!$K$180)/(Driver!$L$180-Driver!$K$180)</f>
        <v>0.2384365050160514</v>
      </c>
      <c r="AL40" s="72">
        <f>(AX40-Driver!$K$181)/(Driver!$L$181-Driver!$K$181)</f>
        <v>0.28792765446151902</v>
      </c>
      <c r="AM40" s="72">
        <f>(AY40-Driver!$K$182)/(Driver!$L$182-Driver!$K$182)</f>
        <v>0.18188953149333498</v>
      </c>
      <c r="AN40" s="72">
        <f>(AZ40-Driver!$K$183)/(Driver!$L$183-Driver!$K$183)</f>
        <v>0.23366013071895428</v>
      </c>
      <c r="AO40" s="72"/>
      <c r="AP40" s="72"/>
      <c r="AQ40" s="72">
        <f>(BC40-Driver!$K$188)/(Driver!$L$188-Driver!$K$188)</f>
        <v>8.5577205841694939E-2</v>
      </c>
      <c r="AR40" s="72">
        <f>MIN((BD40-Driver!$K$189)/(Driver!$L$189-Driver!$K$189),100%)</f>
        <v>1.9227609713694391E-2</v>
      </c>
      <c r="AS40" s="72">
        <f>(BE40-Driver!$K$190)/(Driver!$L$190-Driver!$K$190)</f>
        <v>3.0440436387118502E-2</v>
      </c>
      <c r="AT40" s="72">
        <f>(BF40-Driver!$K$191)/(Driver!$L$191-Driver!$K$191)</f>
        <v>0.10642812561947132</v>
      </c>
      <c r="AU40" s="72">
        <f>(BG40-Driver!$K$192)/(Driver!$L$192-Driver!$K$192)</f>
        <v>9.3168944469724263E-2</v>
      </c>
      <c r="AV40" s="70">
        <f t="shared" si="23"/>
        <v>5.6522181522181532</v>
      </c>
      <c r="AW40" s="70">
        <f t="shared" si="24"/>
        <v>25.109642797634795</v>
      </c>
      <c r="AX40" s="70">
        <f t="shared" si="25"/>
        <v>3.5913488901536712</v>
      </c>
      <c r="AY40" s="70">
        <f>IFERROR(Driver!$K$19/Data!BH40/Data!BI40*Data!BK40*Data!BL40,"")</f>
        <v>0.22268705714605155</v>
      </c>
      <c r="AZ40" s="70">
        <f t="shared" si="26"/>
        <v>21.295606850335073</v>
      </c>
      <c r="BA40" s="70"/>
      <c r="BB40" s="70"/>
      <c r="BC40" s="70">
        <f t="shared" si="27"/>
        <v>44.389491593170391</v>
      </c>
      <c r="BD40" s="70">
        <f t="shared" si="28"/>
        <v>3.4224322744512548</v>
      </c>
      <c r="BE40" s="70">
        <f t="shared" si="29"/>
        <v>3.0613394900409308E-2</v>
      </c>
      <c r="BF40" s="70">
        <f t="shared" si="30"/>
        <v>12.020309088819944</v>
      </c>
      <c r="BG40" s="70">
        <f t="shared" si="31"/>
        <v>0.35279705912350334</v>
      </c>
      <c r="BH40" s="67">
        <f>MAX((CE40-Driver!$F$200)/(Driver!$G$200-Driver!$F$200)*$BI$1,1)</f>
        <v>3.5913488901536712</v>
      </c>
      <c r="BI40" s="67">
        <f>MAX($BI$1*(BY40-Driver!$F$201)/(Driver!$G$201-Driver!$F$201),1)</f>
        <v>6.5822784810126587</v>
      </c>
      <c r="BJ40" s="67">
        <f>(CB40-Driver!$F$206)/(Driver!$G$206-Driver!$F$206)*$BI$1</f>
        <v>5.2380952380952381</v>
      </c>
      <c r="BK40" s="67">
        <f>(CD40-Driver!$F$203)/(Driver!$G$203-Driver!$F$203)*$BI$1</f>
        <v>4.7706422018348631</v>
      </c>
      <c r="BL40" s="67">
        <f>MAX((CR40-Driver!$F$202)/(Driver!$G$202-Driver!$F$202)*$BI$1,1)</f>
        <v>5.5172413793103452</v>
      </c>
      <c r="BM40" s="67">
        <f>MAX((CH40-Driver!$F$204)/(Driver!$G$204-Driver!$F$204)*$BI$1,1)</f>
        <v>4.3162393162393169</v>
      </c>
      <c r="BN40" s="67">
        <f>(CI40-Driver!$F$205)/(Driver!$G$205-Driver!$F$205)*$BI$1</f>
        <v>3.2352941176470589</v>
      </c>
      <c r="BO40" s="67">
        <f>(CK40-Driver!$F$207)/(Driver!$G$207-Driver!$F$207)*$BI$1</f>
        <v>2.8231644260599791</v>
      </c>
      <c r="BP40" s="67">
        <f>(CM40-Driver!$F$208)/(Driver!$G$208-Driver!$F$208)*$BI$1</f>
        <v>3.8777777777777778</v>
      </c>
      <c r="BQ40" s="67">
        <f>(CL40-Driver!$F$209)/(Driver!$G$209-Driver!$F$209)*$BI$1</f>
        <v>5.46875</v>
      </c>
      <c r="BR40" s="28" t="s">
        <v>155</v>
      </c>
      <c r="BS40" s="8" t="s">
        <v>208</v>
      </c>
      <c r="BT40" s="9" t="s">
        <v>209</v>
      </c>
      <c r="BU40" s="10">
        <v>186</v>
      </c>
      <c r="BV40" s="9" t="s">
        <v>158</v>
      </c>
      <c r="BW40" s="10">
        <v>186</v>
      </c>
      <c r="BX40" s="10">
        <v>185.2</v>
      </c>
      <c r="BY40" s="10">
        <v>112</v>
      </c>
      <c r="BZ40" s="10">
        <v>151</v>
      </c>
      <c r="CA40" s="10">
        <v>130</v>
      </c>
      <c r="CB40" s="10">
        <v>97</v>
      </c>
      <c r="CC40" s="10">
        <v>117</v>
      </c>
      <c r="CD40" s="10">
        <v>19.8</v>
      </c>
      <c r="CE40" s="10">
        <v>1531</v>
      </c>
      <c r="CF40" s="10">
        <v>1.29</v>
      </c>
      <c r="CG40" s="10">
        <v>1982</v>
      </c>
      <c r="CH40" s="10">
        <v>202</v>
      </c>
      <c r="CI40" s="10">
        <v>88</v>
      </c>
      <c r="CJ40" s="10">
        <v>52</v>
      </c>
      <c r="CK40" s="10">
        <v>383</v>
      </c>
      <c r="CL40" s="10">
        <v>35</v>
      </c>
      <c r="CM40" s="10">
        <v>349</v>
      </c>
      <c r="CN40" s="10">
        <v>0.66500000000000004</v>
      </c>
      <c r="CO40" s="10">
        <v>168</v>
      </c>
      <c r="CP40" s="10">
        <v>176</v>
      </c>
      <c r="CQ40" s="10">
        <v>215</v>
      </c>
      <c r="CR40" s="10">
        <v>5</v>
      </c>
      <c r="CS40" s="10">
        <v>6.6</v>
      </c>
      <c r="CT40" s="9" t="s">
        <v>185</v>
      </c>
      <c r="CU40" s="9" t="s">
        <v>198</v>
      </c>
      <c r="CV40" s="10"/>
      <c r="CW40" s="10"/>
      <c r="CX40" t="str">
        <f>INDEX('Data_Price '!AG$2:AG$1266,MATCH(Data!$DN40,'Data_Price '!$AT$2:$AT$1266,0))</f>
        <v>Line Vision 98 Skis 2022</v>
      </c>
      <c r="CY40" t="str">
        <f>INDEX('Data_Price '!AH$2:AH$1266,MATCH(Data!$DN40,'Data_Price '!$AT$2:$AT$1266,0))</f>
        <v>Snowcountry.eu</v>
      </c>
      <c r="CZ40">
        <f>INDEX('Data_Price '!AI$2:AI$1266,MATCH(Data!$DN40,'Data_Price '!$AT$2:$AT$1266,0))</f>
        <v>395.57</v>
      </c>
      <c r="DA40" t="str">
        <f>INDEX('Data_Price '!AJ$2:AJ$1266,MATCH(Data!$DN40,'Data_Price '!$AT$2:$AT$1266,0))</f>
        <v>https://tinyurl.com/y97plko4</v>
      </c>
      <c r="DB40" t="str">
        <f>INDEX('Data_Price '!AK$2:AK$1266,MATCH(Data!$DN40,'Data_Price '!$AT$2:$AT$1266,0))</f>
        <v>Line Vision 98 Skis 2022</v>
      </c>
      <c r="DC40" t="str">
        <f>INDEX('Data_Price '!AL$2:AL$1266,MATCH(Data!$DN40,'Data_Price '!$AT$2:$AT$1266,0))</f>
        <v>! OutdoorXL.com</v>
      </c>
      <c r="DD40">
        <f>INDEX('Data_Price '!AM$2:AM$1266,MATCH(Data!$DN40,'Data_Price '!$AT$2:$AT$1266,0))</f>
        <v>424.95</v>
      </c>
      <c r="DE40" t="str">
        <f>INDEX('Data_Price '!AN$2:AN$1266,MATCH(Data!$DN40,'Data_Price '!$AT$2:$AT$1266,0))</f>
        <v>https://tinyurl.com/y79fkxed</v>
      </c>
      <c r="DF40" t="str">
        <f>INDEX('Data_Price '!AO$2:AO$1266,MATCH(Data!$DN40,'Data_Price '!$AT$2:$AT$1266,0))</f>
        <v>Line Vision 98 Skis 2022</v>
      </c>
      <c r="DG40" t="str">
        <f>INDEX('Data_Price '!AP$2:AP$1266,MATCH(Data!$DN40,'Data_Price '!$AT$2:$AT$1266,0))</f>
        <v>Surfdome US</v>
      </c>
      <c r="DH40">
        <f>INDEX('Data_Price '!AQ$2:AQ$1266,MATCH(Data!$DN40,'Data_Price '!$AT$2:$AT$1266,0))</f>
        <v>455.95</v>
      </c>
      <c r="DI40" t="str">
        <f>INDEX('Data_Price '!AR$2:AR$1266,MATCH(Data!$DN40,'Data_Price '!$AT$2:$AT$1266,0))</f>
        <v>https://tinyurl.com/yb57dhst</v>
      </c>
      <c r="DJ40" s="89" t="str">
        <f t="shared" si="32"/>
        <v>https://tinyurl.com/y97plko4</v>
      </c>
      <c r="DK40" s="89" t="str">
        <f t="shared" si="33"/>
        <v>https://tinyurl.com/y79fkxed</v>
      </c>
      <c r="DL40" s="89" t="str">
        <f t="shared" si="34"/>
        <v>https://tinyurl.com/yb57dhst</v>
      </c>
      <c r="DM40" s="219" t="str">
        <f t="shared" si="35"/>
        <v>Vision 98</v>
      </c>
      <c r="DN40" s="89" t="str">
        <f t="shared" si="36"/>
        <v xml:space="preserve"> LineVision 98186 Unisex</v>
      </c>
      <c r="DO40" s="221" t="s">
        <v>210</v>
      </c>
    </row>
    <row r="41" spans="2:119" ht="15.6" customHeight="1">
      <c r="B41" s="219" t="b">
        <f t="array" ref="B41">IF(OR(ISERROR(K41:P41)),FALSE,TRUE)</f>
        <v>1</v>
      </c>
      <c r="C41" s="43" t="b">
        <f>OR(BR41=Driver!$G$50,Data!BR408=Driver!$H$50)</f>
        <v>1</v>
      </c>
      <c r="D41" s="43" t="b">
        <f>OR(BV41=Driver!$G$51,BV41=Driver!$H$51)</f>
        <v>0</v>
      </c>
      <c r="E41" s="43" t="b">
        <f>AND(BX41&gt;Driver!$F$54,BX41&lt;Driver!$G$54)</f>
        <v>0</v>
      </c>
      <c r="F41" s="43" t="b">
        <f>CL41&gt;Driver!$F$56</f>
        <v>1</v>
      </c>
      <c r="G41" s="43" t="b">
        <f>AND(CB41&gt;Driver!$F$55,CB41&lt;Driver!$G$55)</f>
        <v>0</v>
      </c>
      <c r="H41" s="43" t="b">
        <f t="shared" si="0"/>
        <v>0</v>
      </c>
      <c r="I41" s="43">
        <f t="shared" si="1"/>
        <v>0</v>
      </c>
      <c r="J41" s="43" t="b">
        <f t="array" ref="J41">NOT(OR(($H$9:$H$1273=TRUE)*($I$9:$I$1273&gt;0)*($BT$9:$BT$1273=BT41)*($K$9:$K$1273&gt;K41)))</f>
        <v>1</v>
      </c>
      <c r="K41" s="72">
        <f t="shared" si="2"/>
        <v>0.84432363499147589</v>
      </c>
      <c r="L41" s="72">
        <f t="shared" si="3"/>
        <v>0.929346312836</v>
      </c>
      <c r="M41" s="72">
        <f t="shared" si="4"/>
        <v>0.75930095714695178</v>
      </c>
      <c r="N41" s="72">
        <f t="shared" si="5"/>
        <v>0.66388342551033563</v>
      </c>
      <c r="O41" s="72">
        <f t="shared" si="6"/>
        <v>0.66715297782428995</v>
      </c>
      <c r="P41" s="72">
        <f t="shared" si="7"/>
        <v>0.94686646810622976</v>
      </c>
      <c r="Q41" s="72"/>
      <c r="R41" s="72"/>
      <c r="S41" s="72">
        <f t="shared" si="8"/>
        <v>0.4668333573837169</v>
      </c>
      <c r="T41" s="72">
        <f t="shared" si="9"/>
        <v>0.54317645751761257</v>
      </c>
      <c r="U41" s="72">
        <f t="shared" si="10"/>
        <v>0.67246247472354703</v>
      </c>
      <c r="V41" s="72">
        <f t="shared" si="11"/>
        <v>0.53537439018370481</v>
      </c>
      <c r="W41" s="72">
        <f t="shared" si="12"/>
        <v>0.77171658986175118</v>
      </c>
      <c r="X41" s="72">
        <f t="shared" si="13"/>
        <v>7.0653687164000001E-2</v>
      </c>
      <c r="Y41" s="72">
        <f t="shared" si="14"/>
        <v>0.24069904285304822</v>
      </c>
      <c r="Z41" s="72">
        <f t="shared" si="15"/>
        <v>0.33611657448966437</v>
      </c>
      <c r="AA41" s="72">
        <f t="shared" si="16"/>
        <v>0.33284702217571005</v>
      </c>
      <c r="AB41" s="72">
        <f t="shared" si="17"/>
        <v>5.3133531893770181E-2</v>
      </c>
      <c r="AC41" s="72"/>
      <c r="AD41" s="72"/>
      <c r="AE41" s="72">
        <f t="shared" si="18"/>
        <v>0.5331666426162831</v>
      </c>
      <c r="AF41" s="72">
        <f t="shared" si="19"/>
        <v>0.45682354248238749</v>
      </c>
      <c r="AG41" s="72">
        <f t="shared" si="20"/>
        <v>0.32753752527645297</v>
      </c>
      <c r="AH41" s="72">
        <f t="shared" si="21"/>
        <v>0.46462560981629519</v>
      </c>
      <c r="AI41" s="72">
        <f t="shared" si="22"/>
        <v>0.22828341013824885</v>
      </c>
      <c r="AJ41" s="72">
        <f>(AV41-Driver!$K$179)/(Driver!$L$179-Driver!$K$179)</f>
        <v>0.32487309644670043</v>
      </c>
      <c r="AK41" s="72">
        <f>(AW41-Driver!$K$180)/(Driver!$L$180-Driver!$K$180)</f>
        <v>0.32034530719254944</v>
      </c>
      <c r="AL41" s="72">
        <f>(AX41-Driver!$K$181)/(Driver!$L$181-Driver!$K$181)</f>
        <v>0.43780433820274456</v>
      </c>
      <c r="AM41" s="72">
        <f>(AY41-Driver!$K$182)/(Driver!$L$182-Driver!$K$182)</f>
        <v>0.11453799892133631</v>
      </c>
      <c r="AN41" s="72">
        <f>(AZ41-Driver!$K$183)/(Driver!$L$183-Driver!$K$183)</f>
        <v>0.30735294117647061</v>
      </c>
      <c r="AO41" s="72"/>
      <c r="AP41" s="72"/>
      <c r="AQ41" s="72">
        <f>(BC41-Driver!$K$188)/(Driver!$L$188-Driver!$K$188)</f>
        <v>8.6833357383716933E-2</v>
      </c>
      <c r="AR41" s="72">
        <f>MIN((BD41-Driver!$K$189)/(Driver!$L$189-Driver!$K$189),100%)</f>
        <v>9.317645751761254E-2</v>
      </c>
      <c r="AS41" s="72">
        <f>(BE41-Driver!$K$190)/(Driver!$L$190-Driver!$K$190)</f>
        <v>0.18246247472354704</v>
      </c>
      <c r="AT41" s="72">
        <f>(BF41-Driver!$K$191)/(Driver!$L$191-Driver!$K$191)</f>
        <v>4.5374390183704837E-2</v>
      </c>
      <c r="AU41" s="72">
        <f>(BG41-Driver!$K$192)/(Driver!$L$192-Driver!$K$192)</f>
        <v>2.1716589861751151E-2</v>
      </c>
      <c r="AV41" s="70">
        <f t="shared" si="23"/>
        <v>6.8376068376068364</v>
      </c>
      <c r="AW41" s="70">
        <f t="shared" si="24"/>
        <v>33.092381355554849</v>
      </c>
      <c r="AX41" s="70">
        <f t="shared" si="25"/>
        <v>4.9402390438247012</v>
      </c>
      <c r="AY41" s="70">
        <f>IFERROR(Driver!$K$19/Data!BH41/Data!BI41*Data!BK41*Data!BL41,"")</f>
        <v>0.14022868552017045</v>
      </c>
      <c r="AZ41" s="70">
        <f t="shared" si="26"/>
        <v>28.011913626209978</v>
      </c>
      <c r="BA41" s="70"/>
      <c r="BB41" s="70"/>
      <c r="BC41" s="70">
        <f t="shared" si="27"/>
        <v>45.041066130641049</v>
      </c>
      <c r="BD41" s="70">
        <f t="shared" si="28"/>
        <v>9.9667742754931314</v>
      </c>
      <c r="BE41" s="70">
        <f t="shared" si="29"/>
        <v>0.18260831421627954</v>
      </c>
      <c r="BF41" s="70">
        <f t="shared" si="30"/>
        <v>5.1247185981171191</v>
      </c>
      <c r="BG41" s="70">
        <f t="shared" si="31"/>
        <v>8.2232862903225803E-2</v>
      </c>
      <c r="BH41" s="67">
        <f>MAX((CE41-Driver!$F$200)/(Driver!$G$200-Driver!$F$200)*$BI$1,1)</f>
        <v>4.9402390438247012</v>
      </c>
      <c r="BI41" s="67">
        <f>MAX($BI$1*(BY41-Driver!$F$201)/(Driver!$G$201-Driver!$F$201),1)</f>
        <v>7.2151898734177218</v>
      </c>
      <c r="BJ41" s="67">
        <f>(CB41-Driver!$F$206)/(Driver!$G$206-Driver!$F$206)*$BI$1</f>
        <v>5.0793650793650791</v>
      </c>
      <c r="BK41" s="67">
        <f>(CD41-Driver!$F$203)/(Driver!$G$203-Driver!$F$203)*$BI$1</f>
        <v>3.623853211009175</v>
      </c>
      <c r="BL41" s="67">
        <f>MAX((CR41-Driver!$F$202)/(Driver!$G$202-Driver!$F$202)*$BI$1,1)</f>
        <v>6.8965517241379315</v>
      </c>
      <c r="BM41" s="67">
        <f>MAX((CH41-Driver!$F$204)/(Driver!$G$204-Driver!$F$204)*$BI$1,1)</f>
        <v>5.3846153846153841</v>
      </c>
      <c r="BN41" s="67">
        <f>(CI41-Driver!$F$205)/(Driver!$G$205-Driver!$F$205)*$BI$1</f>
        <v>3.8823529411764706</v>
      </c>
      <c r="BO41" s="67">
        <f>(CK41-Driver!$F$207)/(Driver!$G$207-Driver!$F$207)*$BI$1</f>
        <v>2.2233712512926576</v>
      </c>
      <c r="BP41" s="67">
        <f>(CM41-Driver!$F$208)/(Driver!$G$208-Driver!$F$208)*$BI$1</f>
        <v>1.6444444444444444</v>
      </c>
      <c r="BQ41" s="67">
        <f>(CL41-Driver!$F$209)/(Driver!$G$209-Driver!$F$209)*$BI$1</f>
        <v>2.1875</v>
      </c>
      <c r="BR41" s="28" t="s">
        <v>155</v>
      </c>
      <c r="BS41" s="8" t="s">
        <v>202</v>
      </c>
      <c r="BT41" s="9" t="s">
        <v>211</v>
      </c>
      <c r="BU41" s="10">
        <v>170</v>
      </c>
      <c r="BV41" s="9" t="s">
        <v>163</v>
      </c>
      <c r="BW41" s="10">
        <v>170</v>
      </c>
      <c r="BX41" s="10">
        <v>169.6</v>
      </c>
      <c r="BY41" s="10">
        <v>122</v>
      </c>
      <c r="BZ41" s="10">
        <v>139</v>
      </c>
      <c r="CA41" s="10">
        <v>125</v>
      </c>
      <c r="CB41" s="10">
        <v>96</v>
      </c>
      <c r="CC41" s="10">
        <v>114</v>
      </c>
      <c r="CD41" s="10">
        <v>17.3</v>
      </c>
      <c r="CE41" s="10">
        <v>1768</v>
      </c>
      <c r="CF41" s="10">
        <v>1.01</v>
      </c>
      <c r="CG41" s="10">
        <v>1789</v>
      </c>
      <c r="CH41" s="10">
        <v>227</v>
      </c>
      <c r="CI41" s="10">
        <v>99</v>
      </c>
      <c r="CJ41" s="10">
        <v>60</v>
      </c>
      <c r="CK41" s="10">
        <v>325</v>
      </c>
      <c r="CL41" s="10">
        <v>14</v>
      </c>
      <c r="CM41" s="10">
        <v>148</v>
      </c>
      <c r="CN41" s="10">
        <v>0.22900000000000001</v>
      </c>
      <c r="CO41" s="10">
        <v>199</v>
      </c>
      <c r="CP41" s="10">
        <v>107</v>
      </c>
      <c r="CQ41" s="10">
        <v>126</v>
      </c>
      <c r="CR41" s="10">
        <v>9</v>
      </c>
      <c r="CS41" s="10">
        <v>11.6</v>
      </c>
      <c r="CT41" s="9" t="s">
        <v>188</v>
      </c>
      <c r="CU41" s="10"/>
      <c r="CV41" s="10"/>
      <c r="CW41" s="10"/>
      <c r="CX41" t="str">
        <f>INDEX('Data_Price '!AG$2:AG$1266,MATCH(Data!$DN41,'Data_Price '!$AT$2:$AT$1266,0))</f>
        <v>Dynastar M-Pro 99 W Skis Women's 2022 - 170</v>
      </c>
      <c r="CY41" t="str">
        <f>INDEX('Data_Price '!AH$2:AH$1266,MATCH(Data!$DN41,'Data_Price '!$AT$2:$AT$1266,0))</f>
        <v>Snowcountry.eu</v>
      </c>
      <c r="CZ41">
        <f>INDEX('Data_Price '!AI$2:AI$1266,MATCH(Data!$DN41,'Data_Price '!$AT$2:$AT$1266,0))</f>
        <v>414</v>
      </c>
      <c r="DA41" t="str">
        <f>INDEX('Data_Price '!AJ$2:AJ$1266,MATCH(Data!$DN41,'Data_Price '!$AT$2:$AT$1266,0))</f>
        <v>https://tinyurl.com/ycv22qne</v>
      </c>
      <c r="DB41" t="str">
        <f>INDEX('Data_Price '!AK$2:AK$1266,MATCH(Data!$DN41,'Data_Price '!$AT$2:$AT$1266,0))</f>
        <v>Dynastar M-Pro 99 W Skis Women's 2022 - 170</v>
      </c>
      <c r="DC41" t="str">
        <f>INDEX('Data_Price '!AL$2:AL$1266,MATCH(Data!$DN41,'Data_Price '!$AT$2:$AT$1266,0))</f>
        <v>Next Adventure</v>
      </c>
      <c r="DD41">
        <f>INDEX('Data_Price '!AM$2:AM$1266,MATCH(Data!$DN41,'Data_Price '!$AT$2:$AT$1266,0))</f>
        <v>489.97</v>
      </c>
      <c r="DE41" t="str">
        <f>INDEX('Data_Price '!AN$2:AN$1266,MATCH(Data!$DN41,'Data_Price '!$AT$2:$AT$1266,0))</f>
        <v>https://tinyurl.com/yddgcedt</v>
      </c>
      <c r="DF41" t="str">
        <f>INDEX('Data_Price '!AO$2:AO$1266,MATCH(Data!$DN41,'Data_Price '!$AT$2:$AT$1266,0))</f>
        <v>Dynastar M-Pro 99 W Skis Women's 2022 - 170</v>
      </c>
      <c r="DG41" t="str">
        <f>INDEX('Data_Price '!AP$2:AP$1266,MATCH(Data!$DN41,'Data_Price '!$AT$2:$AT$1266,0))</f>
        <v>Backcountry.com</v>
      </c>
      <c r="DH41">
        <f>INDEX('Data_Price '!AQ$2:AQ$1266,MATCH(Data!$DN41,'Data_Price '!$AT$2:$AT$1266,0))</f>
        <v>524.96</v>
      </c>
      <c r="DI41" t="str">
        <f>INDEX('Data_Price '!AR$2:AR$1266,MATCH(Data!$DN41,'Data_Price '!$AT$2:$AT$1266,0))</f>
        <v>https://tinyurl.com/y9p4k2pp</v>
      </c>
      <c r="DJ41" s="89" t="str">
        <f t="shared" si="32"/>
        <v>https://tinyurl.com/ycv22qne</v>
      </c>
      <c r="DK41" s="89" t="str">
        <f t="shared" si="33"/>
        <v>https://tinyurl.com/yddgcedt</v>
      </c>
      <c r="DL41" s="89" t="str">
        <f t="shared" si="34"/>
        <v>https://tinyurl.com/y9p4k2pp</v>
      </c>
      <c r="DM41" s="219" t="str">
        <f t="shared" si="35"/>
        <v>M-Pro 99 W</v>
      </c>
      <c r="DN41" s="89" t="str">
        <f t="shared" si="36"/>
        <v xml:space="preserve"> DynastarM-Pro 99 W170 Women's</v>
      </c>
      <c r="DO41" s="221" t="s">
        <v>212</v>
      </c>
    </row>
    <row r="42" spans="2:119" ht="15.6" customHeight="1">
      <c r="B42" s="219" t="b">
        <f t="array" ref="B42">IF(OR(ISERROR(K42:P42)),FALSE,TRUE)</f>
        <v>1</v>
      </c>
      <c r="C42" s="43" t="b">
        <f>OR(BR42=Driver!$G$50,Data!BR1128=Driver!$H$50)</f>
        <v>1</v>
      </c>
      <c r="D42" s="43" t="b">
        <f>OR(BV42=Driver!$G$51,BV42=Driver!$H$51)</f>
        <v>1</v>
      </c>
      <c r="E42" s="43" t="b">
        <f>AND(BX42&gt;Driver!$F$54,BX42&lt;Driver!$G$54)</f>
        <v>0</v>
      </c>
      <c r="F42" s="43" t="b">
        <f>CL42&gt;Driver!$F$56</f>
        <v>1</v>
      </c>
      <c r="G42" s="43" t="b">
        <f>AND(CB42&gt;Driver!$F$55,CB42&lt;Driver!$G$55)</f>
        <v>0</v>
      </c>
      <c r="H42" s="43" t="b">
        <f t="shared" si="0"/>
        <v>0</v>
      </c>
      <c r="I42" s="43">
        <f t="shared" si="1"/>
        <v>0</v>
      </c>
      <c r="J42" s="43" t="b">
        <f t="array" ref="J42">NOT(OR(($H$9:$H$1273=TRUE)*($I$9:$I$1273&gt;0)*($BT$9:$BT$1273=BT42)*($K$9:$K$1273&gt;K42)))</f>
        <v>1</v>
      </c>
      <c r="K42" s="72">
        <f t="shared" si="2"/>
        <v>0.85158627036034751</v>
      </c>
      <c r="L42" s="72">
        <f t="shared" si="3"/>
        <v>0.9403660391098545</v>
      </c>
      <c r="M42" s="72">
        <f t="shared" si="4"/>
        <v>0.76280650161084051</v>
      </c>
      <c r="N42" s="72">
        <f t="shared" si="5"/>
        <v>0.7619040414592384</v>
      </c>
      <c r="O42" s="72">
        <f t="shared" si="6"/>
        <v>0.68083363578992884</v>
      </c>
      <c r="P42" s="72">
        <f t="shared" si="7"/>
        <v>0.84568182758335408</v>
      </c>
      <c r="Q42" s="72"/>
      <c r="R42" s="72"/>
      <c r="S42" s="72">
        <f t="shared" si="8"/>
        <v>0.54716176487533463</v>
      </c>
      <c r="T42" s="72">
        <f t="shared" si="9"/>
        <v>0.50917448328127635</v>
      </c>
      <c r="U42" s="72">
        <f t="shared" si="10"/>
        <v>0.51</v>
      </c>
      <c r="V42" s="72">
        <f t="shared" si="11"/>
        <v>0.49580635271412465</v>
      </c>
      <c r="W42" s="72">
        <f t="shared" si="12"/>
        <v>0.76812863153676614</v>
      </c>
      <c r="X42" s="72">
        <f t="shared" si="13"/>
        <v>5.9633960890145443E-2</v>
      </c>
      <c r="Y42" s="72">
        <f t="shared" si="14"/>
        <v>0.23719349838915951</v>
      </c>
      <c r="Z42" s="72">
        <f t="shared" si="15"/>
        <v>0.23809595854076154</v>
      </c>
      <c r="AA42" s="72">
        <f t="shared" si="16"/>
        <v>0.31916636421007116</v>
      </c>
      <c r="AB42" s="72">
        <f t="shared" si="17"/>
        <v>0.15431817241664592</v>
      </c>
      <c r="AC42" s="72"/>
      <c r="AD42" s="72"/>
      <c r="AE42" s="72">
        <f t="shared" si="18"/>
        <v>0.45283823512466537</v>
      </c>
      <c r="AF42" s="72">
        <f t="shared" si="19"/>
        <v>0.49082551671872365</v>
      </c>
      <c r="AG42" s="72">
        <f t="shared" si="20"/>
        <v>0.49</v>
      </c>
      <c r="AH42" s="72">
        <f t="shared" si="21"/>
        <v>0.50419364728587535</v>
      </c>
      <c r="AI42" s="72">
        <f t="shared" si="22"/>
        <v>0.23187136846323381</v>
      </c>
      <c r="AJ42" s="72">
        <f>(AV42-Driver!$K$179)/(Driver!$L$179-Driver!$K$179)</f>
        <v>0.19458544839255498</v>
      </c>
      <c r="AK42" s="72">
        <f>(AW42-Driver!$K$180)/(Driver!$L$180-Driver!$K$180)</f>
        <v>0.40608871599699714</v>
      </c>
      <c r="AL42" s="72">
        <f>(AX42-Driver!$K$181)/(Driver!$L$181-Driver!$K$181)</f>
        <v>0.33978372225384174</v>
      </c>
      <c r="AM42" s="72">
        <f>(AY42-Driver!$K$182)/(Driver!$L$182-Driver!$K$182)</f>
        <v>0.12821865688697517</v>
      </c>
      <c r="AN42" s="72">
        <f>(AZ42-Driver!$K$183)/(Driver!$L$183-Driver!$K$183)</f>
        <v>0.40853758169934634</v>
      </c>
      <c r="AO42" s="72"/>
      <c r="AP42" s="72"/>
      <c r="AQ42" s="72">
        <f>(BC42-Driver!$K$188)/(Driver!$L$188-Driver!$K$188)</f>
        <v>0.16716176487533463</v>
      </c>
      <c r="AR42" s="72">
        <f>MIN((BD42-Driver!$K$189)/(Driver!$L$189-Driver!$K$189),100%)</f>
        <v>5.9174483281276363E-2</v>
      </c>
      <c r="AS42" s="72">
        <f>(BE42-Driver!$K$190)/(Driver!$L$190-Driver!$K$190)</f>
        <v>1</v>
      </c>
      <c r="AT42" s="72">
        <f>(BF42-Driver!$K$191)/(Driver!$L$191-Driver!$K$191)</f>
        <v>5.8063527141246256E-3</v>
      </c>
      <c r="AU42" s="72">
        <f>(BG42-Driver!$K$192)/(Driver!$L$192-Driver!$K$192)</f>
        <v>1.8128631536766179E-2</v>
      </c>
      <c r="AV42" s="70">
        <f t="shared" si="23"/>
        <v>4.0954415954415957</v>
      </c>
      <c r="AW42" s="70">
        <f t="shared" si="24"/>
        <v>41.448836307439862</v>
      </c>
      <c r="AX42" s="70">
        <f t="shared" si="25"/>
        <v>4.0580535002845757</v>
      </c>
      <c r="AY42" s="70">
        <f>IFERROR(Driver!$K$19/Data!BH42/Data!BI42*Data!BK42*Data!BL42,"")</f>
        <v>0.1569778927844788</v>
      </c>
      <c r="AZ42" s="70">
        <f t="shared" si="26"/>
        <v>37.233804914370808</v>
      </c>
      <c r="BA42" s="70"/>
      <c r="BB42" s="70"/>
      <c r="BC42" s="70">
        <f t="shared" si="27"/>
        <v>86.707969530572228</v>
      </c>
      <c r="BD42" s="70">
        <f t="shared" si="28"/>
        <v>6.9576598035106691</v>
      </c>
      <c r="BE42" s="70">
        <f t="shared" si="29"/>
        <v>1</v>
      </c>
      <c r="BF42" s="70">
        <f t="shared" si="30"/>
        <v>0.65578674712389706</v>
      </c>
      <c r="BG42" s="70">
        <f t="shared" si="31"/>
        <v>6.8646563814866765E-2</v>
      </c>
      <c r="BH42" s="67">
        <f>MAX((CE42-Driver!$F$200)/(Driver!$G$200-Driver!$F$200)*$BI$1,1)</f>
        <v>4.0580535002845757</v>
      </c>
      <c r="BI42" s="67">
        <f>MAX($BI$1*(BY42-Driver!$F$201)/(Driver!$G$201-Driver!$F$201),1)</f>
        <v>8.6708860759493671</v>
      </c>
      <c r="BJ42" s="67">
        <f>(CB42-Driver!$F$206)/(Driver!$G$206-Driver!$F$206)*$BI$1</f>
        <v>3.6507936507936507</v>
      </c>
      <c r="BK42" s="67">
        <f>(CD42-Driver!$F$203)/(Driver!$G$203-Driver!$F$203)*$BI$1</f>
        <v>4.4495412844036704</v>
      </c>
      <c r="BL42" s="67">
        <f>MAX((CR42-Driver!$F$202)/(Driver!$G$202-Driver!$F$202)*$BI$1,1)</f>
        <v>6.2068965517241379</v>
      </c>
      <c r="BM42" s="67">
        <f>MAX((CH42-Driver!$F$204)/(Driver!$G$204-Driver!$F$204)*$BI$1,1)</f>
        <v>4.4871794871794872</v>
      </c>
      <c r="BN42" s="67">
        <f>(CI42-Driver!$F$205)/(Driver!$G$205-Driver!$F$205)*$BI$1</f>
        <v>4.2941176470588234</v>
      </c>
      <c r="BO42" s="67">
        <f>(CK42-Driver!$F$207)/(Driver!$G$207-Driver!$F$207)*$BI$1</f>
        <v>0.97207859358841786</v>
      </c>
      <c r="BP42" s="67">
        <f>(CM42-Driver!$F$208)/(Driver!$G$208-Driver!$F$208)*$BI$1</f>
        <v>0.82222222222222219</v>
      </c>
      <c r="BQ42" s="67">
        <f>(CL42-Driver!$F$209)/(Driver!$G$209-Driver!$F$209)*$BI$1</f>
        <v>1.25</v>
      </c>
      <c r="BR42" s="28" t="s">
        <v>155</v>
      </c>
      <c r="BS42" s="8" t="s">
        <v>213</v>
      </c>
      <c r="BT42" s="9" t="s">
        <v>214</v>
      </c>
      <c r="BU42" s="10">
        <v>174</v>
      </c>
      <c r="BV42" s="9" t="s">
        <v>158</v>
      </c>
      <c r="BW42" s="10">
        <v>174</v>
      </c>
      <c r="BX42" s="10">
        <v>173.1</v>
      </c>
      <c r="BY42" s="10">
        <v>145</v>
      </c>
      <c r="BZ42" s="10">
        <v>153</v>
      </c>
      <c r="CA42" s="10">
        <v>123</v>
      </c>
      <c r="CB42" s="10">
        <v>87</v>
      </c>
      <c r="CC42" s="10">
        <v>110</v>
      </c>
      <c r="CD42" s="10">
        <v>19.100000000000001</v>
      </c>
      <c r="CE42" s="10">
        <v>1613</v>
      </c>
      <c r="CF42" s="10">
        <v>1.05</v>
      </c>
      <c r="CG42" s="10">
        <v>1697</v>
      </c>
      <c r="CH42" s="10">
        <v>206</v>
      </c>
      <c r="CI42" s="10">
        <v>106</v>
      </c>
      <c r="CJ42" s="10">
        <v>44</v>
      </c>
      <c r="CK42" s="10">
        <v>204</v>
      </c>
      <c r="CL42" s="10">
        <v>8</v>
      </c>
      <c r="CM42" s="10">
        <v>74</v>
      </c>
      <c r="CN42" s="10">
        <v>0.186</v>
      </c>
      <c r="CO42" s="10">
        <v>141</v>
      </c>
      <c r="CP42" s="10">
        <v>59</v>
      </c>
      <c r="CQ42" s="10">
        <v>63</v>
      </c>
      <c r="CR42" s="10">
        <v>7</v>
      </c>
      <c r="CS42" s="10">
        <v>13.5</v>
      </c>
      <c r="CT42" s="9" t="s">
        <v>188</v>
      </c>
      <c r="CU42" s="9" t="s">
        <v>185</v>
      </c>
      <c r="CV42" s="10"/>
      <c r="CW42" s="10"/>
      <c r="CX42" t="e">
        <f>INDEX('Data_Price '!AG$2:AG$1266,MATCH(Data!$DN42,'Data_Price '!$AT$2:$AT$1266,0))</f>
        <v>#N/A</v>
      </c>
      <c r="CY42" t="e">
        <f>INDEX('Data_Price '!AH$2:AH$1266,MATCH(Data!$DN42,'Data_Price '!$AT$2:$AT$1266,0))</f>
        <v>#N/A</v>
      </c>
      <c r="CZ42" t="e">
        <f>INDEX('Data_Price '!AI$2:AI$1266,MATCH(Data!$DN42,'Data_Price '!$AT$2:$AT$1266,0))</f>
        <v>#N/A</v>
      </c>
      <c r="DA42" t="e">
        <f>INDEX('Data_Price '!AJ$2:AJ$1266,MATCH(Data!$DN42,'Data_Price '!$AT$2:$AT$1266,0))</f>
        <v>#N/A</v>
      </c>
      <c r="DB42" t="e">
        <f>INDEX('Data_Price '!AK$2:AK$1266,MATCH(Data!$DN42,'Data_Price '!$AT$2:$AT$1266,0))</f>
        <v>#N/A</v>
      </c>
      <c r="DC42" t="e">
        <f>INDEX('Data_Price '!AL$2:AL$1266,MATCH(Data!$DN42,'Data_Price '!$AT$2:$AT$1266,0))</f>
        <v>#N/A</v>
      </c>
      <c r="DD42" t="e">
        <f>INDEX('Data_Price '!AM$2:AM$1266,MATCH(Data!$DN42,'Data_Price '!$AT$2:$AT$1266,0))</f>
        <v>#N/A</v>
      </c>
      <c r="DE42" t="e">
        <f>INDEX('Data_Price '!AN$2:AN$1266,MATCH(Data!$DN42,'Data_Price '!$AT$2:$AT$1266,0))</f>
        <v>#N/A</v>
      </c>
      <c r="DF42" t="e">
        <f>INDEX('Data_Price '!AO$2:AO$1266,MATCH(Data!$DN42,'Data_Price '!$AT$2:$AT$1266,0))</f>
        <v>#N/A</v>
      </c>
      <c r="DG42" t="e">
        <f>INDEX('Data_Price '!AP$2:AP$1266,MATCH(Data!$DN42,'Data_Price '!$AT$2:$AT$1266,0))</f>
        <v>#N/A</v>
      </c>
      <c r="DH42" t="e">
        <f>INDEX('Data_Price '!AQ$2:AQ$1266,MATCH(Data!$DN42,'Data_Price '!$AT$2:$AT$1266,0))</f>
        <v>#N/A</v>
      </c>
      <c r="DI42" t="e">
        <f>INDEX('Data_Price '!AR$2:AR$1266,MATCH(Data!$DN42,'Data_Price '!$AT$2:$AT$1266,0))</f>
        <v>#N/A</v>
      </c>
      <c r="DJ42" s="89" t="e">
        <f t="shared" si="32"/>
        <v>#N/A</v>
      </c>
      <c r="DK42" s="89" t="e">
        <f t="shared" si="33"/>
        <v>#N/A</v>
      </c>
      <c r="DL42" s="89" t="e">
        <f t="shared" si="34"/>
        <v>#N/A</v>
      </c>
      <c r="DM42" s="219" t="str">
        <f t="shared" si="35"/>
        <v>Edge 88</v>
      </c>
      <c r="DN42" s="89" t="str">
        <f t="shared" si="36"/>
        <v xml:space="preserve"> StöckliEdge 88174 Unisex</v>
      </c>
      <c r="DO42" s="221"/>
    </row>
    <row r="43" spans="2:119" ht="15.6" customHeight="1">
      <c r="B43" s="219" t="b">
        <f t="array" ref="B43">IF(OR(ISERROR(K43:P43)),FALSE,TRUE)</f>
        <v>1</v>
      </c>
      <c r="C43" s="43" t="b">
        <f>OR(BR43=Driver!$G$50,Data!BR796=Driver!$H$50)</f>
        <v>1</v>
      </c>
      <c r="D43" s="43" t="b">
        <f>OR(BV43=Driver!$G$51,BV43=Driver!$H$51)</f>
        <v>1</v>
      </c>
      <c r="E43" s="43" t="b">
        <f>AND(BX43&gt;Driver!$F$54,BX43&lt;Driver!$G$54)</f>
        <v>0</v>
      </c>
      <c r="F43" s="43" t="b">
        <f>CL43&gt;Driver!$F$56</f>
        <v>1</v>
      </c>
      <c r="G43" s="43" t="b">
        <f>AND(CB43&gt;Driver!$F$55,CB43&lt;Driver!$G$55)</f>
        <v>0</v>
      </c>
      <c r="H43" s="43" t="b">
        <f t="shared" si="0"/>
        <v>0</v>
      </c>
      <c r="I43" s="43">
        <f t="shared" si="1"/>
        <v>0</v>
      </c>
      <c r="J43" s="43" t="b">
        <f t="array" ref="J43">NOT(OR(($H$9:$H$1273=TRUE)*($I$9:$I$1273&gt;0)*($BT$9:$BT$1273=BT43)*($K$9:$K$1273&gt;K43)))</f>
        <v>1</v>
      </c>
      <c r="K43" s="72">
        <f t="shared" si="2"/>
        <v>0.83261529041785698</v>
      </c>
      <c r="L43" s="72">
        <f t="shared" si="3"/>
        <v>0.94401072343949677</v>
      </c>
      <c r="M43" s="72">
        <f t="shared" si="4"/>
        <v>0.72121985739621708</v>
      </c>
      <c r="N43" s="72">
        <f t="shared" si="5"/>
        <v>0.62467517913077453</v>
      </c>
      <c r="O43" s="72">
        <f t="shared" si="6"/>
        <v>0.65400517985360773</v>
      </c>
      <c r="P43" s="72">
        <f t="shared" si="7"/>
        <v>0.88497921320426909</v>
      </c>
      <c r="Q43" s="72"/>
      <c r="R43" s="72"/>
      <c r="S43" s="72">
        <f t="shared" si="8"/>
        <v>0.48353469794069681</v>
      </c>
      <c r="T43" s="72">
        <f t="shared" si="9"/>
        <v>0.52798465167499209</v>
      </c>
      <c r="U43" s="72">
        <f t="shared" si="10"/>
        <v>0.76043305293094143</v>
      </c>
      <c r="V43" s="72">
        <f t="shared" si="11"/>
        <v>0.50748870286603576</v>
      </c>
      <c r="W43" s="72">
        <f t="shared" si="12"/>
        <v>0.76658357771260999</v>
      </c>
      <c r="X43" s="72">
        <f t="shared" si="13"/>
        <v>5.5989276560503176E-2</v>
      </c>
      <c r="Y43" s="72">
        <f t="shared" si="14"/>
        <v>0.27878014260378292</v>
      </c>
      <c r="Z43" s="72">
        <f t="shared" si="15"/>
        <v>0.37532482086922553</v>
      </c>
      <c r="AA43" s="72">
        <f t="shared" si="16"/>
        <v>0.34599482014639232</v>
      </c>
      <c r="AB43" s="72">
        <f t="shared" si="17"/>
        <v>0.11502078679573091</v>
      </c>
      <c r="AC43" s="72"/>
      <c r="AD43" s="72"/>
      <c r="AE43" s="72">
        <f t="shared" si="18"/>
        <v>0.51646530205930319</v>
      </c>
      <c r="AF43" s="72">
        <f t="shared" si="19"/>
        <v>0.47201534832500791</v>
      </c>
      <c r="AG43" s="72">
        <f t="shared" si="20"/>
        <v>0.23956694706905857</v>
      </c>
      <c r="AH43" s="72">
        <f t="shared" si="21"/>
        <v>0.49251129713396419</v>
      </c>
      <c r="AI43" s="72">
        <f t="shared" si="22"/>
        <v>0.23341642228739004</v>
      </c>
      <c r="AJ43" s="72">
        <f>(AV43-Driver!$K$179)/(Driver!$L$179-Driver!$K$179)</f>
        <v>0.3102086858432036</v>
      </c>
      <c r="AK43" s="72">
        <f>(AW43-Driver!$K$180)/(Driver!$L$180-Driver!$K$180)</f>
        <v>0.38167513131812308</v>
      </c>
      <c r="AL43" s="72">
        <f>(AX43-Driver!$K$181)/(Driver!$L$181-Driver!$K$181)</f>
        <v>0.47701258458230572</v>
      </c>
      <c r="AM43" s="72">
        <f>(AY43-Driver!$K$182)/(Driver!$L$182-Driver!$K$182)</f>
        <v>0.10139020095065404</v>
      </c>
      <c r="AN43" s="72">
        <f>(AZ43-Driver!$K$183)/(Driver!$L$183-Driver!$K$183)</f>
        <v>0.36924019607843134</v>
      </c>
      <c r="AO43" s="72"/>
      <c r="AP43" s="72"/>
      <c r="AQ43" s="72">
        <f>(BC43-Driver!$K$188)/(Driver!$L$188-Driver!$K$188)</f>
        <v>0.10353469794069682</v>
      </c>
      <c r="AR43" s="72">
        <f>MIN((BD43-Driver!$K$189)/(Driver!$L$189-Driver!$K$189),100%)</f>
        <v>7.7984651674992161E-2</v>
      </c>
      <c r="AS43" s="72">
        <f>(BE43-Driver!$K$190)/(Driver!$L$190-Driver!$K$190)</f>
        <v>0.74956694706905858</v>
      </c>
      <c r="AT43" s="72">
        <f>(BF43-Driver!$K$191)/(Driver!$L$191-Driver!$K$191)</f>
        <v>1.7488702866035807E-2</v>
      </c>
      <c r="AU43" s="72">
        <f>(BG43-Driver!$K$192)/(Driver!$L$192-Driver!$K$192)</f>
        <v>1.6583577712609966E-2</v>
      </c>
      <c r="AV43" s="70">
        <f t="shared" si="23"/>
        <v>6.5289648622981957</v>
      </c>
      <c r="AW43" s="70">
        <f t="shared" si="24"/>
        <v>39.069516154116791</v>
      </c>
      <c r="AX43" s="70">
        <f t="shared" si="25"/>
        <v>5.2931132612407517</v>
      </c>
      <c r="AY43" s="70">
        <f>IFERROR(Driver!$K$19/Data!BH43/Data!BI43*Data!BK43*Data!BL43,"")</f>
        <v>0.12413185787976638</v>
      </c>
      <c r="AZ43" s="70">
        <f t="shared" si="26"/>
        <v>33.652271034996275</v>
      </c>
      <c r="BA43" s="70"/>
      <c r="BB43" s="70"/>
      <c r="BC43" s="70">
        <f t="shared" si="27"/>
        <v>53.704167583382414</v>
      </c>
      <c r="BD43" s="70">
        <f t="shared" si="28"/>
        <v>8.622326376708342</v>
      </c>
      <c r="BE43" s="70">
        <f t="shared" si="29"/>
        <v>0.74961162150695737</v>
      </c>
      <c r="BF43" s="70">
        <f t="shared" si="30"/>
        <v>1.9752261236274311</v>
      </c>
      <c r="BG43" s="70">
        <f t="shared" si="31"/>
        <v>6.2796004398826974E-2</v>
      </c>
      <c r="BH43" s="67">
        <f>MAX((CE43-Driver!$F$200)/(Driver!$G$200-Driver!$F$200)*$BI$1,1)</f>
        <v>5.2931132612407517</v>
      </c>
      <c r="BI43" s="67">
        <f>MAX($BI$1*(BY43-Driver!$F$201)/(Driver!$G$201-Driver!$F$201),1)</f>
        <v>8.2911392405063289</v>
      </c>
      <c r="BJ43" s="67">
        <f>(CB43-Driver!$F$206)/(Driver!$G$206-Driver!$F$206)*$BI$1</f>
        <v>5.5555555555555554</v>
      </c>
      <c r="BK43" s="67">
        <f>(CD43-Driver!$F$203)/(Driver!$G$203-Driver!$F$203)*$BI$1</f>
        <v>3.7614678899082579</v>
      </c>
      <c r="BL43" s="67">
        <f>MAX((CR43-Driver!$F$202)/(Driver!$G$202-Driver!$F$202)*$BI$1,1)</f>
        <v>7.2413793103448274</v>
      </c>
      <c r="BM43" s="67">
        <f>MAX((CH43-Driver!$F$204)/(Driver!$G$204-Driver!$F$204)*$BI$1,1)</f>
        <v>4.700854700854701</v>
      </c>
      <c r="BN43" s="67">
        <f>(CI43-Driver!$F$205)/(Driver!$G$205-Driver!$F$205)*$BI$1</f>
        <v>4.0588235294117645</v>
      </c>
      <c r="BO43" s="67">
        <f>(CK43-Driver!$F$207)/(Driver!$G$207-Driver!$F$207)*$BI$1</f>
        <v>1.1685625646328852</v>
      </c>
      <c r="BP43" s="67">
        <f>(CM43-Driver!$F$208)/(Driver!$G$208-Driver!$F$208)*$BI$1</f>
        <v>1.1444444444444444</v>
      </c>
      <c r="BQ43" s="67">
        <f>(CL43-Driver!$F$209)/(Driver!$G$209-Driver!$F$209)*$BI$1</f>
        <v>1.5625</v>
      </c>
      <c r="BR43" s="28" t="s">
        <v>155</v>
      </c>
      <c r="BS43" s="8" t="s">
        <v>215</v>
      </c>
      <c r="BT43" s="9" t="s">
        <v>216</v>
      </c>
      <c r="BU43" s="10">
        <v>172</v>
      </c>
      <c r="BV43" s="9" t="s">
        <v>158</v>
      </c>
      <c r="BW43" s="10">
        <v>172</v>
      </c>
      <c r="BX43" s="10">
        <v>171.4</v>
      </c>
      <c r="BY43" s="10">
        <v>139</v>
      </c>
      <c r="BZ43" s="10">
        <v>150</v>
      </c>
      <c r="CA43" s="10">
        <v>137</v>
      </c>
      <c r="CB43" s="10">
        <v>99</v>
      </c>
      <c r="CC43" s="10">
        <v>121</v>
      </c>
      <c r="CD43" s="10">
        <v>17.600000000000001</v>
      </c>
      <c r="CE43" s="10">
        <v>1830</v>
      </c>
      <c r="CF43" s="10">
        <v>1.04</v>
      </c>
      <c r="CG43" s="10">
        <v>1898</v>
      </c>
      <c r="CH43" s="10">
        <v>211</v>
      </c>
      <c r="CI43" s="10">
        <v>102</v>
      </c>
      <c r="CJ43" s="10">
        <v>38</v>
      </c>
      <c r="CK43" s="10">
        <v>223</v>
      </c>
      <c r="CL43" s="10">
        <v>10</v>
      </c>
      <c r="CM43" s="10">
        <v>103</v>
      </c>
      <c r="CN43" s="10">
        <v>0.25600000000000001</v>
      </c>
      <c r="CO43" s="10">
        <v>125</v>
      </c>
      <c r="CP43" s="10">
        <v>85</v>
      </c>
      <c r="CQ43" s="10">
        <v>98</v>
      </c>
      <c r="CR43" s="10">
        <v>10</v>
      </c>
      <c r="CS43" s="10">
        <v>11</v>
      </c>
      <c r="CT43" s="9" t="s">
        <v>188</v>
      </c>
      <c r="CU43" s="10"/>
      <c r="CV43" s="10"/>
      <c r="CW43" s="10"/>
      <c r="CX43" t="str">
        <f>INDEX('Data_Price '!AG$2:AG$1266,MATCH(Data!$DN43,'Data_Price '!$AT$2:$AT$1266,0))</f>
        <v>2022 Liberty Evolv 100 Skis - 172| Ski Essentials</v>
      </c>
      <c r="CY43" t="str">
        <f>INDEX('Data_Price '!AH$2:AH$1266,MATCH(Data!$DN43,'Data_Price '!$AT$2:$AT$1266,0))</f>
        <v>REI</v>
      </c>
      <c r="CZ43">
        <f>INDEX('Data_Price '!AI$2:AI$1266,MATCH(Data!$DN43,'Data_Price '!$AT$2:$AT$1266,0))</f>
        <v>523.92999999999995</v>
      </c>
      <c r="DA43" t="str">
        <f>INDEX('Data_Price '!AJ$2:AJ$1266,MATCH(Data!$DN43,'Data_Price '!$AT$2:$AT$1266,0))</f>
        <v>https://tinyurl.com/ybmv9tqe</v>
      </c>
      <c r="DB43" t="str">
        <f>INDEX('Data_Price '!AK$2:AK$1266,MATCH(Data!$DN43,'Data_Price '!$AT$2:$AT$1266,0))</f>
        <v>Evolv 100 172</v>
      </c>
      <c r="DC43" t="str">
        <f>INDEX('Data_Price '!AL$2:AL$1266,MATCH(Data!$DN43,'Data_Price '!$AT$2:$AT$1266,0))</f>
        <v>Liberty Skis</v>
      </c>
      <c r="DD43">
        <f>INDEX('Data_Price '!AM$2:AM$1266,MATCH(Data!$DN43,'Data_Price '!$AT$2:$AT$1266,0))</f>
        <v>525</v>
      </c>
      <c r="DE43" t="str">
        <f>INDEX('Data_Price '!AN$2:AN$1266,MATCH(Data!$DN43,'Data_Price '!$AT$2:$AT$1266,0))</f>
        <v>https://tinyurl.com/y7pftw2x</v>
      </c>
      <c r="DF43" t="str">
        <f>INDEX('Data_Price '!AO$2:AO$1266,MATCH(Data!$DN43,'Data_Price '!$AT$2:$AT$1266,0))</f>
        <v>2021 Liberty Evolv100 Skis W/ Marker 11.0 Tp Bindings 172 Cm</v>
      </c>
      <c r="DG43" t="str">
        <f>INDEX('Data_Price '!AP$2:AP$1266,MATCH(Data!$DN43,'Data_Price '!$AT$2:$AT$1266,0))</f>
        <v>eBay</v>
      </c>
      <c r="DH43">
        <f>INDEX('Data_Price '!AQ$2:AQ$1266,MATCH(Data!$DN43,'Data_Price '!$AT$2:$AT$1266,0))</f>
        <v>499.99</v>
      </c>
      <c r="DI43" t="str">
        <f>INDEX('Data_Price '!AR$2:AR$1266,MATCH(Data!$DN43,'Data_Price '!$AT$2:$AT$1266,0))</f>
        <v>https://tinyurl.com/yaggpksr</v>
      </c>
      <c r="DJ43" s="89" t="str">
        <f t="shared" si="32"/>
        <v>https://tinyurl.com/ybmv9tqe</v>
      </c>
      <c r="DK43" s="89" t="str">
        <f t="shared" si="33"/>
        <v>https://tinyurl.com/y7pftw2x</v>
      </c>
      <c r="DL43" s="89" t="str">
        <f t="shared" si="34"/>
        <v>https://tinyurl.com/yaggpksr</v>
      </c>
      <c r="DM43" s="219" t="str">
        <f t="shared" si="35"/>
        <v>Evolv 100</v>
      </c>
      <c r="DN43" s="89" t="str">
        <f t="shared" si="36"/>
        <v xml:space="preserve"> LibertyEvolv 100172 Unisex</v>
      </c>
      <c r="DO43" s="221"/>
    </row>
    <row r="44" spans="2:119" ht="15.6" customHeight="1">
      <c r="B44" s="219" t="b">
        <f t="array" ref="B44">IF(OR(ISERROR(K44:P44)),FALSE,TRUE)</f>
        <v>1</v>
      </c>
      <c r="C44" s="43" t="b">
        <f>OR(BR44=Driver!$G$50,Data!BR13=Driver!$H$50)</f>
        <v>0</v>
      </c>
      <c r="D44" s="43" t="b">
        <f>OR(BV44=Driver!$G$51,BV44=Driver!$H$51)</f>
        <v>1</v>
      </c>
      <c r="E44" s="43" t="b">
        <f>AND(BX44&gt;Driver!$F$54,BX44&lt;Driver!$G$54)</f>
        <v>0</v>
      </c>
      <c r="F44" s="43" t="b">
        <f>CL44&gt;Driver!$F$56</f>
        <v>1</v>
      </c>
      <c r="G44" s="43" t="b">
        <f>AND(CB44&gt;Driver!$F$55,CB44&lt;Driver!$G$55)</f>
        <v>0</v>
      </c>
      <c r="H44" s="43" t="b">
        <f t="shared" si="0"/>
        <v>0</v>
      </c>
      <c r="I44" s="43">
        <f t="shared" si="1"/>
        <v>0</v>
      </c>
      <c r="J44" s="43" t="b">
        <f t="array" ref="J44">NOT(OR(($H$9:$H$1273=TRUE)*($I$9:$I$1273&gt;0)*($BT$9:$BT$1273=BT44)*($K$9:$K$1273&gt;K44)))</f>
        <v>1</v>
      </c>
      <c r="K44" s="72">
        <f t="shared" si="2"/>
        <v>0.90539830179007508</v>
      </c>
      <c r="L44" s="72">
        <f t="shared" si="3"/>
        <v>0.94965088136391873</v>
      </c>
      <c r="M44" s="72">
        <f t="shared" si="4"/>
        <v>0.86114572221623131</v>
      </c>
      <c r="N44" s="72">
        <f t="shared" si="5"/>
        <v>0.91431028948301629</v>
      </c>
      <c r="O44" s="72">
        <f t="shared" si="6"/>
        <v>0.75379635677186618</v>
      </c>
      <c r="P44" s="72">
        <f t="shared" si="7"/>
        <v>0.91533052039381158</v>
      </c>
      <c r="Q44" s="72"/>
      <c r="R44" s="72"/>
      <c r="S44" s="72">
        <f t="shared" si="8"/>
        <v>0.49890973890226542</v>
      </c>
      <c r="T44" s="72">
        <f t="shared" si="9"/>
        <v>0.47672885450416635</v>
      </c>
      <c r="U44" s="72">
        <f t="shared" si="10"/>
        <v>0.72149284958732063</v>
      </c>
      <c r="V44" s="72">
        <f t="shared" si="11"/>
        <v>0.52340752614007779</v>
      </c>
      <c r="W44" s="72">
        <f t="shared" si="12"/>
        <v>0.81560986682808712</v>
      </c>
      <c r="X44" s="72">
        <f t="shared" si="13"/>
        <v>5.0349118636081269E-2</v>
      </c>
      <c r="Y44" s="72">
        <f t="shared" si="14"/>
        <v>0.13885427778376869</v>
      </c>
      <c r="Z44" s="72">
        <f t="shared" si="15"/>
        <v>8.5689710516983722E-2</v>
      </c>
      <c r="AA44" s="72">
        <f t="shared" si="16"/>
        <v>0.24620364322813384</v>
      </c>
      <c r="AB44" s="72">
        <f t="shared" si="17"/>
        <v>8.466947960618848E-2</v>
      </c>
      <c r="AC44" s="72"/>
      <c r="AD44" s="72"/>
      <c r="AE44" s="72">
        <f t="shared" si="18"/>
        <v>0.50109026109773458</v>
      </c>
      <c r="AF44" s="72">
        <f t="shared" si="19"/>
        <v>0.52327114549583365</v>
      </c>
      <c r="AG44" s="72">
        <f t="shared" si="20"/>
        <v>0.27850715041267937</v>
      </c>
      <c r="AH44" s="72">
        <f t="shared" si="21"/>
        <v>0.47659247385992221</v>
      </c>
      <c r="AI44" s="72">
        <f t="shared" si="22"/>
        <v>0.18439013317191283</v>
      </c>
      <c r="AJ44" s="72">
        <f>(AV44-Driver!$K$179)/(Driver!$L$179-Driver!$K$179)</f>
        <v>0.3045685279187817</v>
      </c>
      <c r="AK44" s="72">
        <f>(AW44-Driver!$K$180)/(Driver!$L$180-Driver!$K$180)</f>
        <v>0.32779868688943337</v>
      </c>
      <c r="AL44" s="72">
        <f>(AX44-Driver!$K$181)/(Driver!$L$181-Driver!$K$181)</f>
        <v>0.1873774742300639</v>
      </c>
      <c r="AM44" s="72">
        <f>(AY44-Driver!$K$182)/(Driver!$L$182-Driver!$K$182)</f>
        <v>0.20118137786891252</v>
      </c>
      <c r="AN44" s="72">
        <f>(AZ44-Driver!$K$183)/(Driver!$L$183-Driver!$K$183)</f>
        <v>0.33888888888888891</v>
      </c>
      <c r="AO44" s="72"/>
      <c r="AP44" s="72"/>
      <c r="AQ44" s="72">
        <f>(BC44-Driver!$K$188)/(Driver!$L$188-Driver!$K$188)</f>
        <v>0.11890973890226542</v>
      </c>
      <c r="AR44" s="72">
        <f>MIN((BD44-Driver!$K$189)/(Driver!$L$189-Driver!$K$189),100%)</f>
        <v>2.6728854504166455E-2</v>
      </c>
      <c r="AS44" s="72">
        <f>(BE44-Driver!$K$190)/(Driver!$L$190-Driver!$K$190)</f>
        <v>0.23149284958732061</v>
      </c>
      <c r="AT44" s="72">
        <f>(BF44-Driver!$K$191)/(Driver!$L$191-Driver!$K$191)</f>
        <v>3.3407526140077817E-2</v>
      </c>
      <c r="AU44" s="72">
        <f>(BG44-Driver!$K$192)/(Driver!$L$192-Driver!$K$192)</f>
        <v>6.5609866828087157E-2</v>
      </c>
      <c r="AV44" s="70">
        <f t="shared" si="23"/>
        <v>6.4102564102564097</v>
      </c>
      <c r="AW44" s="70">
        <f t="shared" si="24"/>
        <v>33.818779250678823</v>
      </c>
      <c r="AX44" s="70">
        <f t="shared" si="25"/>
        <v>2.686397268070575</v>
      </c>
      <c r="AY44" s="70">
        <f>IFERROR(Driver!$K$19/Data!BH44/Data!BI44*Data!BK44*Data!BL44,"")</f>
        <v>0.24630603324115743</v>
      </c>
      <c r="AZ44" s="70">
        <f t="shared" si="26"/>
        <v>30.88607594936709</v>
      </c>
      <c r="BA44" s="70"/>
      <c r="BB44" s="70"/>
      <c r="BC44" s="70">
        <f t="shared" si="27"/>
        <v>61.679308215698747</v>
      </c>
      <c r="BD44" s="70">
        <f t="shared" si="28"/>
        <v>4.0862791469887583</v>
      </c>
      <c r="BE44" s="70">
        <f t="shared" si="29"/>
        <v>0.23162994261303779</v>
      </c>
      <c r="BF44" s="70">
        <f t="shared" si="30"/>
        <v>3.7731453763674958</v>
      </c>
      <c r="BG44" s="70">
        <f t="shared" si="31"/>
        <v>0.24844081038135593</v>
      </c>
      <c r="BH44" s="67">
        <f>MAX((CE44-Driver!$F$200)/(Driver!$G$200-Driver!$F$200)*$BI$1,1)</f>
        <v>2.686397268070575</v>
      </c>
      <c r="BI44" s="67">
        <f>MAX($BI$1*(BY44-Driver!$F$201)/(Driver!$G$201-Driver!$F$201),1)</f>
        <v>7.7215189873417724</v>
      </c>
      <c r="BJ44" s="67">
        <f>(CB44-Driver!$F$206)/(Driver!$G$206-Driver!$F$206)*$BI$1</f>
        <v>4.7619047619047619</v>
      </c>
      <c r="BK44" s="67">
        <f>(CD44-Driver!$F$203)/(Driver!$G$203-Driver!$F$203)*$BI$1</f>
        <v>4.3577981651376145</v>
      </c>
      <c r="BL44" s="67">
        <f>MAX((CR44-Driver!$F$202)/(Driver!$G$202-Driver!$F$202)*$BI$1,1)</f>
        <v>5.8620689655172411</v>
      </c>
      <c r="BM44" s="67">
        <f>MAX((CH44-Driver!$F$204)/(Driver!$G$204-Driver!$F$204)*$BI$1,1)</f>
        <v>5.3846153846153841</v>
      </c>
      <c r="BN44" s="67">
        <f>(CI44-Driver!$F$205)/(Driver!$G$205-Driver!$F$205)*$BI$1</f>
        <v>4</v>
      </c>
      <c r="BO44" s="67">
        <f>(CK44-Driver!$F$207)/(Driver!$G$207-Driver!$F$207)*$BI$1</f>
        <v>1.6442605997931747</v>
      </c>
      <c r="BP44" s="67">
        <f>(CM44-Driver!$F$208)/(Driver!$G$208-Driver!$F$208)*$BI$1</f>
        <v>2.1</v>
      </c>
      <c r="BQ44" s="67">
        <f>(CL44-Driver!$F$209)/(Driver!$G$209-Driver!$F$209)*$BI$1</f>
        <v>3.59375</v>
      </c>
      <c r="BR44" s="28" t="s">
        <v>217</v>
      </c>
      <c r="BS44" s="8" t="s">
        <v>218</v>
      </c>
      <c r="BT44" s="9" t="s">
        <v>219</v>
      </c>
      <c r="BU44" s="10">
        <v>178</v>
      </c>
      <c r="BV44" s="9" t="s">
        <v>158</v>
      </c>
      <c r="BW44" s="10">
        <v>178</v>
      </c>
      <c r="BX44" s="10">
        <v>176.2</v>
      </c>
      <c r="BY44" s="10">
        <v>130</v>
      </c>
      <c r="BZ44" s="10">
        <v>146</v>
      </c>
      <c r="CA44" s="10">
        <v>131</v>
      </c>
      <c r="CB44" s="10">
        <v>94</v>
      </c>
      <c r="CC44" s="10">
        <v>111</v>
      </c>
      <c r="CD44" s="10">
        <v>18.899999999999999</v>
      </c>
      <c r="CE44" s="10">
        <v>1372</v>
      </c>
      <c r="CF44" s="10">
        <v>1.35</v>
      </c>
      <c r="CG44" s="10">
        <v>1846</v>
      </c>
      <c r="CH44" s="10">
        <v>227</v>
      </c>
      <c r="CI44" s="10">
        <v>101</v>
      </c>
      <c r="CJ44" s="10">
        <v>53</v>
      </c>
      <c r="CK44" s="10">
        <v>269</v>
      </c>
      <c r="CL44" s="10">
        <v>23</v>
      </c>
      <c r="CM44" s="10">
        <v>189</v>
      </c>
      <c r="CN44" s="10">
        <v>0.437</v>
      </c>
      <c r="CO44" s="10">
        <v>143</v>
      </c>
      <c r="CP44" s="10">
        <v>159</v>
      </c>
      <c r="CQ44" s="10">
        <v>125</v>
      </c>
      <c r="CR44" s="10">
        <v>6</v>
      </c>
      <c r="CS44" s="10">
        <v>10.8</v>
      </c>
      <c r="CT44" s="9" t="s">
        <v>185</v>
      </c>
      <c r="CU44" s="9" t="s">
        <v>198</v>
      </c>
      <c r="CV44" s="10"/>
      <c r="CW44" s="10"/>
      <c r="CX44" t="str">
        <f>INDEX('Data_Price '!AG$2:AG$1266,MATCH(Data!$DN44,'Data_Price '!$AT$2:$AT$1266,0))</f>
        <v>DPS Pagoda Tour 94 C2 Skis Â· 178 cm</v>
      </c>
      <c r="CY44" t="str">
        <f>INDEX('Data_Price '!AH$2:AH$1266,MATCH(Data!$DN44,'Data_Price '!$AT$2:$AT$1266,0))</f>
        <v>Backcountry.com</v>
      </c>
      <c r="CZ44">
        <f>INDEX('Data_Price '!AI$2:AI$1266,MATCH(Data!$DN44,'Data_Price '!$AT$2:$AT$1266,0))</f>
        <v>1039.2</v>
      </c>
      <c r="DA44" t="str">
        <f>INDEX('Data_Price '!AJ$2:AJ$1266,MATCH(Data!$DN44,'Data_Price '!$AT$2:$AT$1266,0))</f>
        <v>https://tinyurl.com/ya2mhmv6</v>
      </c>
      <c r="DB44" t="str">
        <f>INDEX('Data_Price '!AK$2:AK$1266,MATCH(Data!$DN44,'Data_Price '!$AT$2:$AT$1266,0))</f>
        <v>DPS Pagoda Tour 94 C2 Skis Â· 178 cm</v>
      </c>
      <c r="DC44" t="str">
        <f>INDEX('Data_Price '!AL$2:AL$1266,MATCH(Data!$DN44,'Data_Price '!$AT$2:$AT$1266,0))</f>
        <v>Steep &amp; Cheap</v>
      </c>
      <c r="DD44">
        <f>INDEX('Data_Price '!AM$2:AM$1266,MATCH(Data!$DN44,'Data_Price '!$AT$2:$AT$1266,0))</f>
        <v>1039.2</v>
      </c>
      <c r="DE44" t="str">
        <f>INDEX('Data_Price '!AN$2:AN$1266,MATCH(Data!$DN44,'Data_Price '!$AT$2:$AT$1266,0))</f>
        <v>https://tinyurl.com/yc7dq2c6</v>
      </c>
      <c r="DF44" t="str">
        <f>INDEX('Data_Price '!AO$2:AO$1266,MATCH(Data!$DN44,'Data_Price '!$AT$2:$AT$1266,0))</f>
        <v>DPS Pagoda Tour 94 C2 Skis Â· 178 cm</v>
      </c>
      <c r="DG44" t="str">
        <f>INDEX('Data_Price '!AP$2:AP$1266,MATCH(Data!$DN44,'Data_Price '!$AT$2:$AT$1266,0))</f>
        <v>Skimo &amp; SkyRun</v>
      </c>
      <c r="DH44">
        <f>INDEX('Data_Price '!AQ$2:AQ$1266,MATCH(Data!$DN44,'Data_Price '!$AT$2:$AT$1266,0))</f>
        <v>1098.95</v>
      </c>
      <c r="DI44" t="str">
        <f>INDEX('Data_Price '!AR$2:AR$1266,MATCH(Data!$DN44,'Data_Price '!$AT$2:$AT$1266,0))</f>
        <v>https://tinyurl.com/y9rhohgw</v>
      </c>
      <c r="DJ44" s="89" t="str">
        <f t="shared" si="32"/>
        <v>https://tinyurl.com/ya2mhmv6</v>
      </c>
      <c r="DK44" s="89" t="str">
        <f t="shared" si="33"/>
        <v>https://tinyurl.com/yc7dq2c6</v>
      </c>
      <c r="DL44" s="89" t="str">
        <f t="shared" si="34"/>
        <v>https://tinyurl.com/y9rhohgw</v>
      </c>
      <c r="DM44" s="219" t="str">
        <f t="shared" si="35"/>
        <v>Pagoda Tour 94</v>
      </c>
      <c r="DN44" s="89" t="str">
        <f t="shared" si="36"/>
        <v xml:space="preserve"> DPSPagoda Tour 94178 Unisex</v>
      </c>
      <c r="DO44" s="221"/>
    </row>
    <row r="45" spans="2:119" ht="15.6" customHeight="1">
      <c r="B45" s="219" t="b">
        <f t="array" ref="B45">IF(OR(ISERROR(K45:P45)),FALSE,TRUE)</f>
        <v>1</v>
      </c>
      <c r="C45" s="43" t="b">
        <f>OR(BR45=Driver!$G$50,Data!BR46=Driver!$H$50)</f>
        <v>1</v>
      </c>
      <c r="D45" s="43" t="b">
        <f>OR(BV45=Driver!$G$51,BV45=Driver!$H$51)</f>
        <v>0</v>
      </c>
      <c r="E45" s="43" t="b">
        <f>AND(BX45&gt;Driver!$F$54,BX45&lt;Driver!$G$54)</f>
        <v>0</v>
      </c>
      <c r="F45" s="43" t="b">
        <f>CL45&gt;Driver!$F$56</f>
        <v>1</v>
      </c>
      <c r="G45" s="43" t="b">
        <f>AND(CB45&gt;Driver!$F$55,CB45&lt;Driver!$G$55)</f>
        <v>1</v>
      </c>
      <c r="H45" s="43" t="b">
        <f t="shared" si="0"/>
        <v>0</v>
      </c>
      <c r="I45" s="43">
        <f t="shared" si="1"/>
        <v>0</v>
      </c>
      <c r="J45" s="43" t="b">
        <f t="array" ref="J45">NOT(OR(($H$9:$H$1273=TRUE)*($I$9:$I$1273&gt;0)*($BT$9:$BT$1273=BT45)*($K$9:$K$1273&gt;K45)))</f>
        <v>1</v>
      </c>
      <c r="K45" s="72">
        <f t="shared" si="2"/>
        <v>0.84990414737254782</v>
      </c>
      <c r="L45" s="72">
        <f t="shared" si="3"/>
        <v>0.92717082335086576</v>
      </c>
      <c r="M45" s="72">
        <f t="shared" si="4"/>
        <v>0.77263747139422989</v>
      </c>
      <c r="N45" s="72">
        <f t="shared" si="5"/>
        <v>0.667677771934164</v>
      </c>
      <c r="O45" s="72">
        <f t="shared" si="6"/>
        <v>0.68621131139719793</v>
      </c>
      <c r="P45" s="72">
        <f t="shared" si="7"/>
        <v>0.96402333085132785</v>
      </c>
      <c r="Q45" s="72"/>
      <c r="R45" s="72"/>
      <c r="S45" s="72">
        <f t="shared" si="8"/>
        <v>0.47076782380851945</v>
      </c>
      <c r="T45" s="72">
        <f t="shared" si="9"/>
        <v>0.47981282957281435</v>
      </c>
      <c r="U45" s="72">
        <f t="shared" si="10"/>
        <v>0.53541510353682797</v>
      </c>
      <c r="V45" s="72">
        <f t="shared" si="11"/>
        <v>0.54797455020920061</v>
      </c>
      <c r="W45" s="72">
        <f t="shared" si="12"/>
        <v>0.83747099767981437</v>
      </c>
      <c r="X45" s="72">
        <f t="shared" si="13"/>
        <v>7.2829176649134242E-2</v>
      </c>
      <c r="Y45" s="72">
        <f t="shared" si="14"/>
        <v>0.22736252860577008</v>
      </c>
      <c r="Z45" s="72">
        <f t="shared" si="15"/>
        <v>0.33232222806583595</v>
      </c>
      <c r="AA45" s="72">
        <f t="shared" si="16"/>
        <v>0.31378868860280207</v>
      </c>
      <c r="AB45" s="72">
        <f t="shared" si="17"/>
        <v>3.5976669148672147E-2</v>
      </c>
      <c r="AC45" s="72"/>
      <c r="AD45" s="72"/>
      <c r="AE45" s="72">
        <f t="shared" si="18"/>
        <v>0.52923217619148055</v>
      </c>
      <c r="AF45" s="72">
        <f t="shared" si="19"/>
        <v>0.52018717042718565</v>
      </c>
      <c r="AG45" s="72">
        <f t="shared" si="20"/>
        <v>0.46458489646317208</v>
      </c>
      <c r="AH45" s="72">
        <f t="shared" si="21"/>
        <v>0.45202544979079945</v>
      </c>
      <c r="AI45" s="72">
        <f t="shared" si="22"/>
        <v>0.16252900232018563</v>
      </c>
      <c r="AJ45" s="72">
        <f>(AV45-Driver!$K$179)/(Driver!$L$179-Driver!$K$179)</f>
        <v>0.32704858593183467</v>
      </c>
      <c r="AK45" s="72">
        <f>(AW45-Driver!$K$180)/(Driver!$L$180-Driver!$K$180)</f>
        <v>0.30418998322754115</v>
      </c>
      <c r="AL45" s="72">
        <f>(AX45-Driver!$K$181)/(Driver!$L$181-Driver!$K$181)</f>
        <v>0.43400999177891614</v>
      </c>
      <c r="AM45" s="72">
        <f>(AY45-Driver!$K$182)/(Driver!$L$182-Driver!$K$182)</f>
        <v>0.1335963324942443</v>
      </c>
      <c r="AN45" s="72">
        <f>(AZ45-Driver!$K$183)/(Driver!$L$183-Driver!$K$183)</f>
        <v>0.29019607843137257</v>
      </c>
      <c r="AO45" s="72"/>
      <c r="AP45" s="72"/>
      <c r="AQ45" s="72">
        <f>(BC45-Driver!$K$188)/(Driver!$L$188-Driver!$K$188)</f>
        <v>9.0767823808519402E-2</v>
      </c>
      <c r="AR45" s="72">
        <f>MIN((BD45-Driver!$K$189)/(Driver!$L$189-Driver!$K$189),100%)</f>
        <v>2.9812829572814427E-2</v>
      </c>
      <c r="AS45" s="72">
        <f>(BE45-Driver!$K$190)/(Driver!$L$190-Driver!$K$190)</f>
        <v>4.5415103536827921E-2</v>
      </c>
      <c r="AT45" s="72">
        <f>(BF45-Driver!$K$191)/(Driver!$L$191-Driver!$K$191)</f>
        <v>5.7974550209200566E-2</v>
      </c>
      <c r="AU45" s="72">
        <f>(BG45-Driver!$K$192)/(Driver!$L$192-Driver!$K$192)</f>
        <v>8.7470997679814366E-2</v>
      </c>
      <c r="AV45" s="70">
        <f t="shared" si="23"/>
        <v>6.8833943833943838</v>
      </c>
      <c r="AW45" s="70">
        <f t="shared" si="24"/>
        <v>31.517901884431968</v>
      </c>
      <c r="AX45" s="70">
        <f t="shared" si="25"/>
        <v>4.9060899260102451</v>
      </c>
      <c r="AY45" s="70">
        <f>IFERROR(Driver!$K$19/Data!BH45/Data!BI45*Data!BK45*Data!BL45,"")</f>
        <v>0.16356177227131308</v>
      </c>
      <c r="AZ45" s="70">
        <f t="shared" si="26"/>
        <v>26.44825018615041</v>
      </c>
      <c r="BA45" s="70"/>
      <c r="BB45" s="70"/>
      <c r="BC45" s="70">
        <f t="shared" si="27"/>
        <v>47.081901217152925</v>
      </c>
      <c r="BD45" s="70">
        <f t="shared" si="28"/>
        <v>4.3592054760836323</v>
      </c>
      <c r="BE45" s="70">
        <f t="shared" si="29"/>
        <v>4.558539073804628E-2</v>
      </c>
      <c r="BF45" s="70">
        <f t="shared" si="30"/>
        <v>6.5478181518627352</v>
      </c>
      <c r="BG45" s="70">
        <f t="shared" si="31"/>
        <v>0.33122099767981433</v>
      </c>
      <c r="BH45" s="67">
        <f>MAX((CE45-Driver!$F$200)/(Driver!$G$200-Driver!$F$200)*$BI$1,1)</f>
        <v>4.9060899260102451</v>
      </c>
      <c r="BI45" s="67">
        <f>MAX($BI$1*(BY45-Driver!$F$201)/(Driver!$G$201-Driver!$F$201),1)</f>
        <v>7.0253164556962027</v>
      </c>
      <c r="BJ45" s="67">
        <f>(CB45-Driver!$F$206)/(Driver!$G$206-Driver!$F$206)*$BI$1</f>
        <v>6.5079365079365079</v>
      </c>
      <c r="BK45" s="67">
        <f>(CD45-Driver!$F$203)/(Driver!$G$203-Driver!$F$203)*$BI$1</f>
        <v>4.5412844036697253</v>
      </c>
      <c r="BL45" s="67">
        <f>MAX((CR45-Driver!$F$202)/(Driver!$G$202-Driver!$F$202)*$BI$1,1)</f>
        <v>6.2068965517241379</v>
      </c>
      <c r="BM45" s="67">
        <f>MAX((CH45-Driver!$F$204)/(Driver!$G$204-Driver!$F$204)*$BI$1,1)</f>
        <v>4.2307692307692308</v>
      </c>
      <c r="BN45" s="67">
        <f>(CI45-Driver!$F$205)/(Driver!$G$205-Driver!$F$205)*$BI$1</f>
        <v>3.7647058823529411</v>
      </c>
      <c r="BO45" s="67">
        <f>(CK45-Driver!$F$207)/(Driver!$G$207-Driver!$F$207)*$BI$1</f>
        <v>1.7063081695966908</v>
      </c>
      <c r="BP45" s="67">
        <f>(CM45-Driver!$F$208)/(Driver!$G$208-Driver!$F$208)*$BI$1</f>
        <v>2.677777777777778</v>
      </c>
      <c r="BQ45" s="67">
        <f>(CL45-Driver!$F$209)/(Driver!$G$209-Driver!$F$209)*$BI$1</f>
        <v>6.875</v>
      </c>
      <c r="BR45" s="28" t="s">
        <v>155</v>
      </c>
      <c r="BS45" s="8" t="s">
        <v>182</v>
      </c>
      <c r="BT45" s="9" t="s">
        <v>220</v>
      </c>
      <c r="BU45" s="10">
        <v>172</v>
      </c>
      <c r="BV45" s="9" t="s">
        <v>163</v>
      </c>
      <c r="BW45" s="10">
        <v>172</v>
      </c>
      <c r="BX45" s="10">
        <v>170.1</v>
      </c>
      <c r="BY45" s="10">
        <v>119</v>
      </c>
      <c r="BZ45" s="10">
        <v>137</v>
      </c>
      <c r="CA45" s="10">
        <v>133</v>
      </c>
      <c r="CB45" s="10">
        <v>105</v>
      </c>
      <c r="CC45" s="10">
        <v>122</v>
      </c>
      <c r="CD45" s="10">
        <v>19.3</v>
      </c>
      <c r="CE45" s="10">
        <v>1762</v>
      </c>
      <c r="CF45" s="10">
        <v>1.0900000000000001</v>
      </c>
      <c r="CG45" s="10">
        <v>1917</v>
      </c>
      <c r="CH45" s="10">
        <v>200</v>
      </c>
      <c r="CI45" s="10">
        <v>97</v>
      </c>
      <c r="CJ45" s="10">
        <v>54</v>
      </c>
      <c r="CK45" s="10">
        <v>275</v>
      </c>
      <c r="CL45" s="10">
        <v>44</v>
      </c>
      <c r="CM45" s="10">
        <v>241</v>
      </c>
      <c r="CN45" s="10">
        <v>0.82299999999999995</v>
      </c>
      <c r="CO45" s="10">
        <v>146</v>
      </c>
      <c r="CP45" s="10">
        <v>180</v>
      </c>
      <c r="CQ45" s="10">
        <v>129</v>
      </c>
      <c r="CR45" s="10">
        <v>7</v>
      </c>
      <c r="CS45" s="10">
        <v>6.1</v>
      </c>
      <c r="CT45" s="9" t="s">
        <v>188</v>
      </c>
      <c r="CU45" s="9" t="s">
        <v>184</v>
      </c>
      <c r="CV45" s="9" t="s">
        <v>169</v>
      </c>
      <c r="CW45" s="9" t="s">
        <v>185</v>
      </c>
      <c r="CX45" t="str">
        <f>INDEX('Data_Price '!AG$2:AG$1266,MATCH(Data!$DN45,'Data_Price '!$AT$2:$AT$1266,0))</f>
        <v>Armada ARW 106 UL Skis - Women's 2022</v>
      </c>
      <c r="CY45" t="str">
        <f>INDEX('Data_Price '!AH$2:AH$1266,MATCH(Data!$DN45,'Data_Price '!$AT$2:$AT$1266,0))</f>
        <v>Powder7 Ski Shop</v>
      </c>
      <c r="CZ45">
        <f>INDEX('Data_Price '!AI$2:AI$1266,MATCH(Data!$DN45,'Data_Price '!$AT$2:$AT$1266,0))</f>
        <v>559.92999999999995</v>
      </c>
      <c r="DA45" t="str">
        <f>INDEX('Data_Price '!AJ$2:AJ$1266,MATCH(Data!$DN45,'Data_Price '!$AT$2:$AT$1266,0))</f>
        <v>https://tinyurl.com/y8j3q2g4</v>
      </c>
      <c r="DB45" t="str">
        <f>INDEX('Data_Price '!AK$2:AK$1266,MATCH(Data!$DN45,'Data_Price '!$AT$2:$AT$1266,0))</f>
        <v>Armada ARW 106 UL Skis - Women's 2022</v>
      </c>
      <c r="DC45" t="str">
        <f>INDEX('Data_Price '!AL$2:AL$1266,MATCH(Data!$DN45,'Data_Price '!$AT$2:$AT$1266,0))</f>
        <v>Next Adventure</v>
      </c>
      <c r="DD45">
        <f>INDEX('Data_Price '!AM$2:AM$1266,MATCH(Data!$DN45,'Data_Price '!$AT$2:$AT$1266,0))</f>
        <v>559.96</v>
      </c>
      <c r="DE45" t="str">
        <f>INDEX('Data_Price '!AN$2:AN$1266,MATCH(Data!$DN45,'Data_Price '!$AT$2:$AT$1266,0))</f>
        <v>https://tinyurl.com/y7yhemju</v>
      </c>
      <c r="DF45" t="str">
        <f>INDEX('Data_Price '!AO$2:AO$1266,MATCH(Data!$DN45,'Data_Price '!$AT$2:$AT$1266,0))</f>
        <v>Armada ARW 106 UL Skis - Women's 2022</v>
      </c>
      <c r="DG45" t="str">
        <f>INDEX('Data_Price '!AP$2:AP$1266,MATCH(Data!$DN45,'Data_Price '!$AT$2:$AT$1266,0))</f>
        <v>evo.com</v>
      </c>
      <c r="DH45">
        <f>INDEX('Data_Price '!AQ$2:AQ$1266,MATCH(Data!$DN45,'Data_Price '!$AT$2:$AT$1266,0))</f>
        <v>559.96</v>
      </c>
      <c r="DI45" t="str">
        <f>INDEX('Data_Price '!AR$2:AR$1266,MATCH(Data!$DN45,'Data_Price '!$AT$2:$AT$1266,0))</f>
        <v>https://tinyurl.com/y8rmo2wr</v>
      </c>
      <c r="DJ45" s="89" t="str">
        <f t="shared" si="32"/>
        <v>https://tinyurl.com/y8j3q2g4</v>
      </c>
      <c r="DK45" s="89" t="str">
        <f t="shared" si="33"/>
        <v>https://tinyurl.com/y7yhemju</v>
      </c>
      <c r="DL45" s="89" t="str">
        <f t="shared" si="34"/>
        <v>https://tinyurl.com/y8rmo2wr</v>
      </c>
      <c r="DM45" s="219" t="str">
        <f t="shared" si="35"/>
        <v>ARW 106 UL</v>
      </c>
      <c r="DN45" s="89" t="str">
        <f t="shared" si="36"/>
        <v xml:space="preserve"> ArmadaARW 106 UL172 Women's</v>
      </c>
      <c r="DO45" s="221" t="s">
        <v>221</v>
      </c>
    </row>
    <row r="46" spans="2:119" ht="15.6" customHeight="1">
      <c r="B46" s="219" t="b">
        <f t="array" ref="B46">IF(OR(ISERROR(K46:P46)),FALSE,TRUE)</f>
        <v>1</v>
      </c>
      <c r="C46" s="43" t="b">
        <f>OR(BR46=Driver!$G$50,Data!BR357=Driver!$H$50)</f>
        <v>1</v>
      </c>
      <c r="D46" s="43" t="b">
        <f>OR(BV46=Driver!$G$51,BV46=Driver!$H$51)</f>
        <v>1</v>
      </c>
      <c r="E46" s="43" t="b">
        <f>AND(BX46&gt;Driver!$F$54,BX46&lt;Driver!$G$54)</f>
        <v>0</v>
      </c>
      <c r="F46" s="43" t="b">
        <f>CL46&gt;Driver!$F$56</f>
        <v>1</v>
      </c>
      <c r="G46" s="43" t="b">
        <f>AND(CB46&gt;Driver!$F$55,CB46&lt;Driver!$G$55)</f>
        <v>0</v>
      </c>
      <c r="H46" s="43" t="b">
        <f t="shared" si="0"/>
        <v>0</v>
      </c>
      <c r="I46" s="43">
        <f t="shared" si="1"/>
        <v>0</v>
      </c>
      <c r="J46" s="43" t="b">
        <f t="array" ref="J46">NOT(OR(($H$9:$H$1273=TRUE)*($I$9:$I$1273&gt;0)*($BT$9:$BT$1273=BT46)*($K$9:$K$1273&gt;K46)))</f>
        <v>1</v>
      </c>
      <c r="K46" s="72">
        <f t="shared" si="2"/>
        <v>0.83312415602389966</v>
      </c>
      <c r="L46" s="72">
        <f t="shared" si="3"/>
        <v>0.87632882834643433</v>
      </c>
      <c r="M46" s="72">
        <f t="shared" si="4"/>
        <v>0.789919483701365</v>
      </c>
      <c r="N46" s="72">
        <f t="shared" si="5"/>
        <v>0.8049066342626281</v>
      </c>
      <c r="O46" s="72">
        <f t="shared" si="6"/>
        <v>0.65156378010778615</v>
      </c>
      <c r="P46" s="72">
        <f t="shared" si="7"/>
        <v>0.91328803673368086</v>
      </c>
      <c r="Q46" s="72"/>
      <c r="R46" s="72"/>
      <c r="S46" s="72">
        <f t="shared" si="8"/>
        <v>0.44528570366451492</v>
      </c>
      <c r="T46" s="72">
        <f t="shared" si="9"/>
        <v>0.52812930786159296</v>
      </c>
      <c r="U46" s="72">
        <f t="shared" si="10"/>
        <v>0.58731865789192095</v>
      </c>
      <c r="V46" s="72">
        <f t="shared" si="11"/>
        <v>0.63495104371200273</v>
      </c>
      <c r="W46" s="72">
        <f t="shared" si="12"/>
        <v>0.7814057618882333</v>
      </c>
      <c r="X46" s="72">
        <f t="shared" si="13"/>
        <v>0.12367117165356567</v>
      </c>
      <c r="Y46" s="72">
        <f t="shared" si="14"/>
        <v>0.210080516298635</v>
      </c>
      <c r="Z46" s="72">
        <f t="shared" si="15"/>
        <v>0.19509336573737196</v>
      </c>
      <c r="AA46" s="72">
        <f t="shared" si="16"/>
        <v>0.34843621989221385</v>
      </c>
      <c r="AB46" s="72">
        <f t="shared" si="17"/>
        <v>8.6711963266319136E-2</v>
      </c>
      <c r="AC46" s="72"/>
      <c r="AD46" s="72"/>
      <c r="AE46" s="72">
        <f t="shared" si="18"/>
        <v>0.55471429633548508</v>
      </c>
      <c r="AF46" s="72">
        <f t="shared" si="19"/>
        <v>0.47187069213840699</v>
      </c>
      <c r="AG46" s="72">
        <f t="shared" si="20"/>
        <v>0.41268134210807905</v>
      </c>
      <c r="AH46" s="72">
        <f t="shared" si="21"/>
        <v>0.36504895628799727</v>
      </c>
      <c r="AI46" s="72">
        <f t="shared" si="22"/>
        <v>0.21859423811176676</v>
      </c>
      <c r="AJ46" s="72">
        <f>(AV46-Driver!$K$179)/(Driver!$L$179-Driver!$K$179)</f>
        <v>0.3778905809362661</v>
      </c>
      <c r="AK46" s="72">
        <f>(AW46-Driver!$K$180)/(Driver!$L$180-Driver!$K$180)</f>
        <v>0.33852752282851273</v>
      </c>
      <c r="AL46" s="72">
        <f>(AX46-Driver!$K$181)/(Driver!$L$181-Driver!$K$181)</f>
        <v>0.29678112945045215</v>
      </c>
      <c r="AM46" s="72">
        <f>(AY46-Driver!$K$182)/(Driver!$L$182-Driver!$K$182)</f>
        <v>9.8948801204832487E-2</v>
      </c>
      <c r="AN46" s="72">
        <f>(AZ46-Driver!$K$183)/(Driver!$L$183-Driver!$K$183)</f>
        <v>0.34093137254901956</v>
      </c>
      <c r="AO46" s="72"/>
      <c r="AP46" s="72"/>
      <c r="AQ46" s="72">
        <f>(BC46-Driver!$K$188)/(Driver!$L$188-Driver!$K$188)</f>
        <v>6.5285703664514888E-2</v>
      </c>
      <c r="AR46" s="72">
        <f>MIN((BD46-Driver!$K$189)/(Driver!$L$189-Driver!$K$189),100%)</f>
        <v>7.812930786159307E-2</v>
      </c>
      <c r="AS46" s="72">
        <f>(BE46-Driver!$K$190)/(Driver!$L$190-Driver!$K$190)</f>
        <v>9.7318657891920984E-2</v>
      </c>
      <c r="AT46" s="72">
        <f>(BF46-Driver!$K$191)/(Driver!$L$191-Driver!$K$191)</f>
        <v>0.14495104371200276</v>
      </c>
      <c r="AU46" s="72">
        <f>(BG46-Driver!$K$192)/(Driver!$L$192-Driver!$K$192)</f>
        <v>3.1405761888233255E-2</v>
      </c>
      <c r="AV46" s="70">
        <f t="shared" si="23"/>
        <v>7.9534662867996184</v>
      </c>
      <c r="AW46" s="70">
        <f t="shared" si="24"/>
        <v>34.864399380099556</v>
      </c>
      <c r="AX46" s="70">
        <f t="shared" si="25"/>
        <v>3.6710301650540695</v>
      </c>
      <c r="AY46" s="70">
        <f>IFERROR(Driver!$K$19/Data!BH46/Data!BI46*Data!BK46*Data!BL46,"")</f>
        <v>0.12114285614750317</v>
      </c>
      <c r="AZ46" s="70">
        <f t="shared" si="26"/>
        <v>31.072226358897986</v>
      </c>
      <c r="BA46" s="70"/>
      <c r="BB46" s="70"/>
      <c r="BC46" s="70">
        <f t="shared" si="27"/>
        <v>33.864148349632529</v>
      </c>
      <c r="BD46" s="70">
        <f t="shared" si="28"/>
        <v>8.6351281929069277</v>
      </c>
      <c r="BE46" s="70">
        <f t="shared" si="29"/>
        <v>9.7479686083241784E-2</v>
      </c>
      <c r="BF46" s="70">
        <f t="shared" si="30"/>
        <v>16.371202048554682</v>
      </c>
      <c r="BG46" s="70">
        <f t="shared" si="31"/>
        <v>0.11892224921902118</v>
      </c>
      <c r="BH46" s="67">
        <f>MAX((CE46-Driver!$F$200)/(Driver!$G$200-Driver!$F$200)*$BI$1,1)</f>
        <v>3.6710301650540695</v>
      </c>
      <c r="BI46" s="67">
        <f>MAX($BI$1*(BY46-Driver!$F$201)/(Driver!$G$201-Driver!$F$201),1)</f>
        <v>6.7721518987341769</v>
      </c>
      <c r="BJ46" s="67">
        <f>(CB46-Driver!$F$206)/(Driver!$G$206-Driver!$F$206)*$BI$1</f>
        <v>5.5555555555555554</v>
      </c>
      <c r="BK46" s="67">
        <f>(CD46-Driver!$F$203)/(Driver!$G$203-Driver!$F$203)*$BI$1</f>
        <v>2.5688073394495414</v>
      </c>
      <c r="BL46" s="67">
        <f>MAX((CR46-Driver!$F$202)/(Driver!$G$202-Driver!$F$202)*$BI$1,1)</f>
        <v>5.8620689655172411</v>
      </c>
      <c r="BM46" s="67">
        <f>MAX((CH46-Driver!$F$204)/(Driver!$G$204-Driver!$F$204)*$BI$1,1)</f>
        <v>5.7264957264957257</v>
      </c>
      <c r="BN46" s="67">
        <f>(CI46-Driver!$F$205)/(Driver!$G$205-Driver!$F$205)*$BI$1</f>
        <v>4.5882352941176467</v>
      </c>
      <c r="BO46" s="67">
        <f>(CK46-Driver!$F$207)/(Driver!$G$207-Driver!$F$207)*$BI$1</f>
        <v>2.5232678386763183</v>
      </c>
      <c r="BP46" s="67">
        <f>(CM46-Driver!$F$208)/(Driver!$G$208-Driver!$F$208)*$BI$1</f>
        <v>3</v>
      </c>
      <c r="BQ46" s="67">
        <f>(CL46-Driver!$F$209)/(Driver!$G$209-Driver!$F$209)*$BI$1</f>
        <v>2.5</v>
      </c>
      <c r="BR46" s="28" t="s">
        <v>155</v>
      </c>
      <c r="BS46" s="8" t="s">
        <v>218</v>
      </c>
      <c r="BT46" s="9" t="s">
        <v>222</v>
      </c>
      <c r="BU46" s="10">
        <v>179</v>
      </c>
      <c r="BV46" s="9" t="s">
        <v>158</v>
      </c>
      <c r="BW46" s="10">
        <v>179</v>
      </c>
      <c r="BX46" s="10">
        <v>177.4</v>
      </c>
      <c r="BY46" s="10">
        <v>115</v>
      </c>
      <c r="BZ46" s="10">
        <v>132</v>
      </c>
      <c r="CA46" s="10">
        <v>132</v>
      </c>
      <c r="CB46" s="10">
        <v>99</v>
      </c>
      <c r="CC46" s="10">
        <v>117</v>
      </c>
      <c r="CD46" s="10">
        <v>15</v>
      </c>
      <c r="CE46" s="10">
        <v>1545</v>
      </c>
      <c r="CF46" s="10">
        <v>1.27</v>
      </c>
      <c r="CG46" s="10">
        <v>1968</v>
      </c>
      <c r="CH46" s="10">
        <v>235</v>
      </c>
      <c r="CI46" s="10">
        <v>111</v>
      </c>
      <c r="CJ46" s="10">
        <v>62</v>
      </c>
      <c r="CK46" s="10">
        <v>354</v>
      </c>
      <c r="CL46" s="10">
        <v>16</v>
      </c>
      <c r="CM46" s="10">
        <v>270</v>
      </c>
      <c r="CN46" s="10">
        <v>0.25600000000000001</v>
      </c>
      <c r="CO46" s="10">
        <v>231</v>
      </c>
      <c r="CP46" s="10">
        <v>222</v>
      </c>
      <c r="CQ46" s="10">
        <v>123</v>
      </c>
      <c r="CR46" s="10">
        <v>6</v>
      </c>
      <c r="CS46" s="10">
        <v>12.2</v>
      </c>
      <c r="CT46" s="9" t="s">
        <v>188</v>
      </c>
      <c r="CU46" s="9" t="s">
        <v>185</v>
      </c>
      <c r="CV46" s="9" t="s">
        <v>198</v>
      </c>
      <c r="CW46" s="10"/>
      <c r="CX46" t="str">
        <f>INDEX('Data_Price '!AG$2:AG$1266,MATCH(Data!$DN46,'Data_Price '!$AT$2:$AT$1266,0))</f>
        <v>DPS Pagoda Tour 100 RP 179cm</v>
      </c>
      <c r="CY46" t="str">
        <f>INDEX('Data_Price '!AH$2:AH$1266,MATCH(Data!$DN46,'Data_Price '!$AT$2:$AT$1266,0))</f>
        <v>Skimo &amp; SkyRun</v>
      </c>
      <c r="CZ46">
        <f>INDEX('Data_Price '!AI$2:AI$1266,MATCH(Data!$DN46,'Data_Price '!$AT$2:$AT$1266,0))</f>
        <v>1029</v>
      </c>
      <c r="DA46" t="str">
        <f>INDEX('Data_Price '!AJ$2:AJ$1266,MATCH(Data!$DN46,'Data_Price '!$AT$2:$AT$1266,0))</f>
        <v>https://tinyurl.com/y9eecdb5</v>
      </c>
      <c r="DB46" t="str">
        <f>INDEX('Data_Price '!AK$2:AK$1266,MATCH(Data!$DN46,'Data_Price '!$AT$2:$AT$1266,0))</f>
        <v>DPS Pagoda Tour 100 RP 179cm</v>
      </c>
      <c r="DC46" t="str">
        <f>INDEX('Data_Price '!AL$2:AL$1266,MATCH(Data!$DN46,'Data_Price '!$AT$2:$AT$1266,0))</f>
        <v>REI</v>
      </c>
      <c r="DD46">
        <f>INDEX('Data_Price '!AM$2:AM$1266,MATCH(Data!$DN46,'Data_Price '!$AT$2:$AT$1266,0))</f>
        <v>1038.93</v>
      </c>
      <c r="DE46" t="str">
        <f>INDEX('Data_Price '!AN$2:AN$1266,MATCH(Data!$DN46,'Data_Price '!$AT$2:$AT$1266,0))</f>
        <v>https://tinyurl.com/ydemnszo</v>
      </c>
      <c r="DF46" t="str">
        <f>INDEX('Data_Price '!AO$2:AO$1266,MATCH(Data!$DN46,'Data_Price '!$AT$2:$AT$1266,0))</f>
        <v>DPS Pagoda Tour 100 RP 179cm</v>
      </c>
      <c r="DG46" t="str">
        <f>INDEX('Data_Price '!AP$2:AP$1266,MATCH(Data!$DN46,'Data_Price '!$AT$2:$AT$1266,0))</f>
        <v>Backcountry.com</v>
      </c>
      <c r="DH46">
        <f>INDEX('Data_Price '!AQ$2:AQ$1266,MATCH(Data!$DN46,'Data_Price '!$AT$2:$AT$1266,0))</f>
        <v>1039.2</v>
      </c>
      <c r="DI46" t="str">
        <f>INDEX('Data_Price '!AR$2:AR$1266,MATCH(Data!$DN46,'Data_Price '!$AT$2:$AT$1266,0))</f>
        <v>https://tinyurl.com/ycy5pzd4</v>
      </c>
      <c r="DJ46" s="89" t="str">
        <f t="shared" si="32"/>
        <v>https://tinyurl.com/y9eecdb5</v>
      </c>
      <c r="DK46" s="89" t="str">
        <f t="shared" si="33"/>
        <v>https://tinyurl.com/ydemnszo</v>
      </c>
      <c r="DL46" s="89" t="str">
        <f t="shared" si="34"/>
        <v>https://tinyurl.com/ycy5pzd4</v>
      </c>
      <c r="DM46" s="219" t="str">
        <f t="shared" si="35"/>
        <v>Pagoda Tour 100 RP</v>
      </c>
      <c r="DN46" s="89" t="str">
        <f t="shared" si="36"/>
        <v xml:space="preserve"> DPSPagoda Tour 100 RP179 Unisex</v>
      </c>
      <c r="DO46" s="221" t="s">
        <v>223</v>
      </c>
    </row>
    <row r="47" spans="2:119" ht="15.6" customHeight="1">
      <c r="B47" s="219" t="b">
        <f t="array" ref="B47">IF(OR(ISERROR(K47:P47)),FALSE,TRUE)</f>
        <v>1</v>
      </c>
      <c r="C47" s="43" t="b">
        <f>OR(BR47=Driver!$G$50,Data!BR619=Driver!$H$50)</f>
        <v>1</v>
      </c>
      <c r="D47" s="43" t="b">
        <f>OR(BV47=Driver!$G$51,BV47=Driver!$H$51)</f>
        <v>0</v>
      </c>
      <c r="E47" s="43" t="b">
        <f>AND(BX47&gt;Driver!$F$54,BX47&lt;Driver!$G$54)</f>
        <v>0</v>
      </c>
      <c r="F47" s="43" t="b">
        <f>CL47&gt;Driver!$F$56</f>
        <v>1</v>
      </c>
      <c r="G47" s="43" t="b">
        <f>AND(CB47&gt;Driver!$F$55,CB47&lt;Driver!$G$55)</f>
        <v>0</v>
      </c>
      <c r="H47" s="43" t="b">
        <f t="shared" si="0"/>
        <v>0</v>
      </c>
      <c r="I47" s="43">
        <f t="shared" si="1"/>
        <v>0</v>
      </c>
      <c r="J47" s="43" t="b">
        <f t="array" ref="J47">NOT(OR(($H$9:$H$1273=TRUE)*($I$9:$I$1273&gt;0)*($BT$9:$BT$1273=BT47)*($K$9:$K$1273&gt;K47)))</f>
        <v>1</v>
      </c>
      <c r="K47" s="72">
        <f t="shared" si="2"/>
        <v>0.8770158691829063</v>
      </c>
      <c r="L47" s="72">
        <f t="shared" si="3"/>
        <v>0.98041116037324993</v>
      </c>
      <c r="M47" s="72">
        <f t="shared" si="4"/>
        <v>0.77362057799256267</v>
      </c>
      <c r="N47" s="72">
        <f t="shared" si="5"/>
        <v>0.80111228783879951</v>
      </c>
      <c r="O47" s="72">
        <f t="shared" si="6"/>
        <v>0.63097121332677641</v>
      </c>
      <c r="P47" s="72">
        <f t="shared" si="7"/>
        <v>0.88877823281211221</v>
      </c>
      <c r="Q47" s="72"/>
      <c r="R47" s="72"/>
      <c r="S47" s="72">
        <f t="shared" si="8"/>
        <v>0.46119250693030289</v>
      </c>
      <c r="T47" s="72">
        <f t="shared" si="9"/>
        <v>0.53484331576418198</v>
      </c>
      <c r="U47" s="72">
        <f t="shared" si="10"/>
        <v>0.84316033534081081</v>
      </c>
      <c r="V47" s="72">
        <f t="shared" si="11"/>
        <v>0.51448414108116525</v>
      </c>
      <c r="W47" s="72">
        <f t="shared" si="12"/>
        <v>0.77792132982225148</v>
      </c>
      <c r="X47" s="72">
        <f t="shared" si="13"/>
        <v>1.9588839626750093E-2</v>
      </c>
      <c r="Y47" s="72">
        <f t="shared" si="14"/>
        <v>0.2263794220074373</v>
      </c>
      <c r="Z47" s="72">
        <f t="shared" si="15"/>
        <v>0.19888771216120049</v>
      </c>
      <c r="AA47" s="72">
        <f t="shared" si="16"/>
        <v>0.36902878667322364</v>
      </c>
      <c r="AB47" s="72">
        <f t="shared" si="17"/>
        <v>0.11122176718788779</v>
      </c>
      <c r="AC47" s="72"/>
      <c r="AD47" s="72"/>
      <c r="AE47" s="72">
        <f t="shared" si="18"/>
        <v>0.53880749306969711</v>
      </c>
      <c r="AF47" s="72">
        <f t="shared" si="19"/>
        <v>0.46515668423581802</v>
      </c>
      <c r="AG47" s="72">
        <f t="shared" si="20"/>
        <v>0.15683966465918919</v>
      </c>
      <c r="AH47" s="72">
        <f t="shared" si="21"/>
        <v>0.48551585891883475</v>
      </c>
      <c r="AI47" s="72">
        <f t="shared" si="22"/>
        <v>0.22207867017774852</v>
      </c>
      <c r="AJ47" s="72">
        <f>(AV47-Driver!$K$179)/(Driver!$L$179-Driver!$K$179)</f>
        <v>0.23463056965595033</v>
      </c>
      <c r="AK47" s="72">
        <f>(AW47-Driver!$K$180)/(Driver!$L$180-Driver!$K$180)</f>
        <v>0.36153972064688544</v>
      </c>
      <c r="AL47" s="72">
        <f>(AX47-Driver!$K$181)/(Driver!$L$181-Driver!$K$181)</f>
        <v>0.30057547587428068</v>
      </c>
      <c r="AM47" s="72">
        <f>(AY47-Driver!$K$182)/(Driver!$L$182-Driver!$K$182)</f>
        <v>7.8356234423822738E-2</v>
      </c>
      <c r="AN47" s="72">
        <f>(AZ47-Driver!$K$183)/(Driver!$L$183-Driver!$K$183)</f>
        <v>0.36544117647058821</v>
      </c>
      <c r="AO47" s="72"/>
      <c r="AP47" s="72"/>
      <c r="AQ47" s="72">
        <f>(BC47-Driver!$K$188)/(Driver!$L$188-Driver!$K$188)</f>
        <v>8.1192506930302832E-2</v>
      </c>
      <c r="AR47" s="72">
        <f>MIN((BD47-Driver!$K$189)/(Driver!$L$189-Driver!$K$189),100%)</f>
        <v>8.484331576418204E-2</v>
      </c>
      <c r="AS47" s="72">
        <f>(BE47-Driver!$K$190)/(Driver!$L$190-Driver!$K$190)</f>
        <v>0.6668396646591892</v>
      </c>
      <c r="AT47" s="72">
        <f>(BF47-Driver!$K$191)/(Driver!$L$191-Driver!$K$191)</f>
        <v>2.4484141081165249E-2</v>
      </c>
      <c r="AU47" s="72">
        <f>(BG47-Driver!$K$192)/(Driver!$L$192-Driver!$K$192)</f>
        <v>2.7921329822251477E-2</v>
      </c>
      <c r="AV47" s="70">
        <f t="shared" si="23"/>
        <v>4.9382716049382713</v>
      </c>
      <c r="AW47" s="70">
        <f t="shared" si="24"/>
        <v>37.107141966315965</v>
      </c>
      <c r="AX47" s="70">
        <f t="shared" si="25"/>
        <v>3.7051792828685262</v>
      </c>
      <c r="AY47" s="70">
        <f>IFERROR(Driver!$K$19/Data!BH47/Data!BI47*Data!BK47*Data!BL47,"")</f>
        <v>9.5931410178636975E-2</v>
      </c>
      <c r="AZ47" s="70">
        <f t="shared" si="26"/>
        <v>33.3060312732688</v>
      </c>
      <c r="BA47" s="70"/>
      <c r="BB47" s="70"/>
      <c r="BC47" s="70">
        <f t="shared" si="27"/>
        <v>42.115117785899002</v>
      </c>
      <c r="BD47" s="70">
        <f t="shared" si="28"/>
        <v>9.2293059957680015</v>
      </c>
      <c r="BE47" s="70">
        <f t="shared" si="29"/>
        <v>0.66689909671313474</v>
      </c>
      <c r="BF47" s="70">
        <f t="shared" si="30"/>
        <v>2.7653117242913856</v>
      </c>
      <c r="BG47" s="70">
        <f t="shared" si="31"/>
        <v>0.10572796658986175</v>
      </c>
      <c r="BH47" s="67">
        <f>MAX((CE47-Driver!$F$200)/(Driver!$G$200-Driver!$F$200)*$BI$1,1)</f>
        <v>3.7051792828685262</v>
      </c>
      <c r="BI47" s="67">
        <f>MAX($BI$1*(BY47-Driver!$F$201)/(Driver!$G$201-Driver!$F$201),1)</f>
        <v>7.9746835443037973</v>
      </c>
      <c r="BJ47" s="67">
        <f>(CB47-Driver!$F$206)/(Driver!$G$206-Driver!$F$206)*$BI$1</f>
        <v>4.1269841269841265</v>
      </c>
      <c r="BK47" s="67">
        <f>(CD47-Driver!$F$203)/(Driver!$G$203-Driver!$F$203)*$BI$1</f>
        <v>2.5688073394495414</v>
      </c>
      <c r="BL47" s="67">
        <f>MAX((CR47-Driver!$F$202)/(Driver!$G$202-Driver!$F$202)*$BI$1,1)</f>
        <v>5.5172413793103452</v>
      </c>
      <c r="BM47" s="67">
        <f>MAX((CH47-Driver!$F$204)/(Driver!$G$204-Driver!$F$204)*$BI$1,1)</f>
        <v>4.7863247863247862</v>
      </c>
      <c r="BN47" s="67">
        <f>(CI47-Driver!$F$205)/(Driver!$G$205-Driver!$F$205)*$BI$1</f>
        <v>4.1764705882352944</v>
      </c>
      <c r="BO47" s="67">
        <f>(CK47-Driver!$F$207)/(Driver!$G$207-Driver!$F$207)*$BI$1</f>
        <v>1.1065149948293691</v>
      </c>
      <c r="BP47" s="67">
        <f>(CM47-Driver!$F$208)/(Driver!$G$208-Driver!$F$208)*$BI$1</f>
        <v>1.5555555555555556</v>
      </c>
      <c r="BQ47" s="67">
        <f>(CL47-Driver!$F$209)/(Driver!$G$209-Driver!$F$209)*$BI$1</f>
        <v>1.875</v>
      </c>
      <c r="BR47" s="28" t="s">
        <v>155</v>
      </c>
      <c r="BS47" s="8" t="s">
        <v>167</v>
      </c>
      <c r="BT47" s="9" t="s">
        <v>224</v>
      </c>
      <c r="BU47" s="10">
        <v>170</v>
      </c>
      <c r="BV47" s="9" t="s">
        <v>163</v>
      </c>
      <c r="BW47" s="10">
        <v>170</v>
      </c>
      <c r="BX47" s="10">
        <v>169.7</v>
      </c>
      <c r="BY47" s="10">
        <v>134</v>
      </c>
      <c r="BZ47" s="10">
        <v>139</v>
      </c>
      <c r="CA47" s="10">
        <v>129</v>
      </c>
      <c r="CB47" s="10">
        <v>90</v>
      </c>
      <c r="CC47" s="10">
        <v>111</v>
      </c>
      <c r="CD47" s="10">
        <v>15</v>
      </c>
      <c r="CE47" s="10">
        <v>1551</v>
      </c>
      <c r="CF47" s="10">
        <v>1.1200000000000001</v>
      </c>
      <c r="CG47" s="10">
        <v>1738</v>
      </c>
      <c r="CH47" s="10">
        <v>213</v>
      </c>
      <c r="CI47" s="10">
        <v>104</v>
      </c>
      <c r="CJ47" s="10">
        <v>50</v>
      </c>
      <c r="CK47" s="10">
        <v>217</v>
      </c>
      <c r="CL47" s="10">
        <v>12</v>
      </c>
      <c r="CM47" s="10">
        <v>140</v>
      </c>
      <c r="CN47" s="10">
        <v>0.23799999999999999</v>
      </c>
      <c r="CO47" s="10">
        <v>150</v>
      </c>
      <c r="CP47" s="10">
        <v>158</v>
      </c>
      <c r="CQ47" s="10">
        <v>67</v>
      </c>
      <c r="CR47" s="10">
        <v>5</v>
      </c>
      <c r="CS47" s="10">
        <v>9</v>
      </c>
      <c r="CT47" s="9" t="s">
        <v>188</v>
      </c>
      <c r="CU47" s="9" t="s">
        <v>185</v>
      </c>
      <c r="CV47" s="10"/>
      <c r="CW47" s="10"/>
      <c r="CX47" t="str">
        <f>INDEX('Data_Price '!AG$2:AG$1266,MATCH(Data!$DN47,'Data_Price '!$AT$2:$AT$1266,0))</f>
        <v>Head Kore 91 W Testski's Incl Attack 11 GW binding Anthracite-Mint 170 Ski Lady's Ladies / Women</v>
      </c>
      <c r="CY47" t="str">
        <f>INDEX('Data_Price '!AH$2:AH$1266,MATCH(Data!$DN47,'Data_Price '!$AT$2:$AT$1266,0))</f>
        <v>! OutdoorXL.com</v>
      </c>
      <c r="CZ47">
        <f>INDEX('Data_Price '!AI$2:AI$1266,MATCH(Data!$DN47,'Data_Price '!$AT$2:$AT$1266,0))</f>
        <v>374.95</v>
      </c>
      <c r="DA47" t="str">
        <f>INDEX('Data_Price '!AJ$2:AJ$1266,MATCH(Data!$DN47,'Data_Price '!$AT$2:$AT$1266,0))</f>
        <v>https://tinyurl.com/y7sm45ok</v>
      </c>
      <c r="DB47" t="str">
        <f>INDEX('Data_Price '!AK$2:AK$1266,MATCH(Data!$DN47,'Data_Price '!$AT$2:$AT$1266,0))</f>
        <v>Head Kore 91 W Skis - Women's 2022</v>
      </c>
      <c r="DC47" t="str">
        <f>INDEX('Data_Price '!AL$2:AL$1266,MATCH(Data!$DN47,'Data_Price '!$AT$2:$AT$1266,0))</f>
        <v>UtahSkis</v>
      </c>
      <c r="DD47">
        <f>INDEX('Data_Price '!AM$2:AM$1266,MATCH(Data!$DN47,'Data_Price '!$AT$2:$AT$1266,0))</f>
        <v>389</v>
      </c>
      <c r="DE47" t="str">
        <f>INDEX('Data_Price '!AN$2:AN$1266,MATCH(Data!$DN47,'Data_Price '!$AT$2:$AT$1266,0))</f>
        <v>https://tinyurl.com/ycmnlqmg</v>
      </c>
      <c r="DF47" t="str">
        <f>INDEX('Data_Price '!AO$2:AO$1266,MATCH(Data!$DN47,'Data_Price '!$AT$2:$AT$1266,0))</f>
        <v>Head Kore 91 W Skis - Women's 2022</v>
      </c>
      <c r="DG47" t="str">
        <f>INDEX('Data_Price '!AP$2:AP$1266,MATCH(Data!$DN47,'Data_Price '!$AT$2:$AT$1266,0))</f>
        <v>Snowcountry.eu</v>
      </c>
      <c r="DH47">
        <f>INDEX('Data_Price '!AQ$2:AQ$1266,MATCH(Data!$DN47,'Data_Price '!$AT$2:$AT$1266,0))</f>
        <v>414</v>
      </c>
      <c r="DI47" t="str">
        <f>INDEX('Data_Price '!AR$2:AR$1266,MATCH(Data!$DN47,'Data_Price '!$AT$2:$AT$1266,0))</f>
        <v>https://tinyurl.com/yaamtvw8</v>
      </c>
      <c r="DJ47" s="89" t="str">
        <f t="shared" si="32"/>
        <v>https://tinyurl.com/y7sm45ok</v>
      </c>
      <c r="DK47" s="89" t="str">
        <f t="shared" si="33"/>
        <v>https://tinyurl.com/ycmnlqmg</v>
      </c>
      <c r="DL47" s="89" t="str">
        <f t="shared" si="34"/>
        <v>https://tinyurl.com/yaamtvw8</v>
      </c>
      <c r="DM47" s="219" t="str">
        <f t="shared" si="35"/>
        <v>Kore 91 W</v>
      </c>
      <c r="DN47" s="89" t="str">
        <f t="shared" si="36"/>
        <v xml:space="preserve"> HeadKore 91 W170 Women's</v>
      </c>
      <c r="DO47" s="221"/>
    </row>
    <row r="48" spans="2:119" ht="15.6" customHeight="1">
      <c r="B48" s="219" t="b">
        <f t="array" ref="B48">IF(OR(ISERROR(K48:P48)),FALSE,TRUE)</f>
        <v>1</v>
      </c>
      <c r="C48" s="43" t="b">
        <f>OR(BR48=Driver!$G$50,Data!BR542=Driver!$H$50)</f>
        <v>1</v>
      </c>
      <c r="D48" s="43" t="b">
        <f>OR(BV48=Driver!$G$51,BV48=Driver!$H$51)</f>
        <v>1</v>
      </c>
      <c r="E48" s="43" t="b">
        <f>AND(BX48&gt;Driver!$F$54,BX48&lt;Driver!$G$54)</f>
        <v>0</v>
      </c>
      <c r="F48" s="43" t="b">
        <f>CL48&gt;Driver!$F$56</f>
        <v>1</v>
      </c>
      <c r="G48" s="43" t="b">
        <f>AND(CB48&gt;Driver!$F$55,CB48&lt;Driver!$G$55)</f>
        <v>1</v>
      </c>
      <c r="H48" s="43" t="b">
        <f t="shared" si="0"/>
        <v>0</v>
      </c>
      <c r="I48" s="43">
        <f t="shared" si="1"/>
        <v>0</v>
      </c>
      <c r="J48" s="43" t="b">
        <f t="array" ref="J48">NOT(OR(($H$9:$H$1273=TRUE)*($I$9:$I$1273&gt;0)*($BT$9:$BT$1273=BT48)*($K$9:$K$1273&gt;K48)))</f>
        <v>1</v>
      </c>
      <c r="K48" s="72">
        <f t="shared" si="2"/>
        <v>0.81002749297533949</v>
      </c>
      <c r="L48" s="72">
        <f t="shared" si="3"/>
        <v>0.90734969693075462</v>
      </c>
      <c r="M48" s="72">
        <f t="shared" si="4"/>
        <v>0.71270528901992458</v>
      </c>
      <c r="N48" s="72">
        <f t="shared" si="5"/>
        <v>0.5171686971223004</v>
      </c>
      <c r="O48" s="72">
        <f t="shared" si="6"/>
        <v>0.66999573451098193</v>
      </c>
      <c r="P48" s="72">
        <f t="shared" si="7"/>
        <v>0.9509514354264913</v>
      </c>
      <c r="Q48" s="72"/>
      <c r="R48" s="72"/>
      <c r="S48" s="72">
        <f t="shared" si="8"/>
        <v>0.49114494832718514</v>
      </c>
      <c r="T48" s="72">
        <f t="shared" si="9"/>
        <v>0.48745230084905045</v>
      </c>
      <c r="U48" s="72">
        <f t="shared" si="10"/>
        <v>0.51652340531748075</v>
      </c>
      <c r="V48" s="72">
        <f t="shared" si="11"/>
        <v>0.56079630757911914</v>
      </c>
      <c r="W48" s="72">
        <f t="shared" si="12"/>
        <v>0.81315974025974025</v>
      </c>
      <c r="X48" s="72">
        <f t="shared" si="13"/>
        <v>9.2650303069245432E-2</v>
      </c>
      <c r="Y48" s="72">
        <f t="shared" si="14"/>
        <v>0.28729471098007547</v>
      </c>
      <c r="Z48" s="72">
        <f t="shared" si="15"/>
        <v>0.4828313028776996</v>
      </c>
      <c r="AA48" s="72">
        <f t="shared" si="16"/>
        <v>0.33000426548901807</v>
      </c>
      <c r="AB48" s="72">
        <f t="shared" si="17"/>
        <v>4.9048564573508702E-2</v>
      </c>
      <c r="AC48" s="72"/>
      <c r="AD48" s="72"/>
      <c r="AE48" s="72">
        <f t="shared" si="18"/>
        <v>0.50885505167281486</v>
      </c>
      <c r="AF48" s="72">
        <f t="shared" si="19"/>
        <v>0.51254769915094955</v>
      </c>
      <c r="AG48" s="72">
        <f t="shared" si="20"/>
        <v>0.48347659468251925</v>
      </c>
      <c r="AH48" s="72">
        <f t="shared" si="21"/>
        <v>0.43920369242088086</v>
      </c>
      <c r="AI48" s="72">
        <f t="shared" si="22"/>
        <v>0.18684025974025975</v>
      </c>
      <c r="AJ48" s="72">
        <f>(AV48-Driver!$K$179)/(Driver!$L$179-Driver!$K$179)</f>
        <v>0.34686971235194586</v>
      </c>
      <c r="AK48" s="72">
        <f>(AW48-Driver!$K$180)/(Driver!$L$180-Driver!$K$180)</f>
        <v>0.33010955140811082</v>
      </c>
      <c r="AL48" s="72">
        <f>(AX48-Driver!$K$181)/(Driver!$L$181-Driver!$K$181)</f>
        <v>0.58451906659077979</v>
      </c>
      <c r="AM48" s="72">
        <f>(AY48-Driver!$K$182)/(Driver!$L$182-Driver!$K$182)</f>
        <v>0.11738075560802831</v>
      </c>
      <c r="AN48" s="72">
        <f>(AZ48-Driver!$K$183)/(Driver!$L$183-Driver!$K$183)</f>
        <v>0.30326797385620913</v>
      </c>
      <c r="AO48" s="72"/>
      <c r="AP48" s="72"/>
      <c r="AQ48" s="72">
        <f>(BC48-Driver!$K$188)/(Driver!$L$188-Driver!$K$188)</f>
        <v>0.11114494832718509</v>
      </c>
      <c r="AR48" s="72">
        <f>MIN((BD48-Driver!$K$189)/(Driver!$L$189-Driver!$K$189),100%)</f>
        <v>3.7452300849050491E-2</v>
      </c>
      <c r="AS48" s="72">
        <f>(BE48-Driver!$K$190)/(Driver!$L$190-Driver!$K$190)</f>
        <v>2.6523405317480767E-2</v>
      </c>
      <c r="AT48" s="72">
        <f>(BF48-Driver!$K$191)/(Driver!$L$191-Driver!$K$191)</f>
        <v>7.0796307579119172E-2</v>
      </c>
      <c r="AU48" s="72">
        <f>(BG48-Driver!$K$192)/(Driver!$L$192-Driver!$K$192)</f>
        <v>6.3159740259740249E-2</v>
      </c>
      <c r="AV48" s="70">
        <f t="shared" si="23"/>
        <v>7.300569800569801</v>
      </c>
      <c r="AW48" s="70">
        <f t="shared" si="24"/>
        <v>34.043993474366602</v>
      </c>
      <c r="AX48" s="70">
        <f t="shared" si="25"/>
        <v>6.2606715993170177</v>
      </c>
      <c r="AY48" s="70">
        <f>IFERROR(Driver!$K$19/Data!BH48/Data!BI48*Data!BK48*Data!BL48,"")</f>
        <v>0.14370906790141211</v>
      </c>
      <c r="AZ48" s="70">
        <f t="shared" si="26"/>
        <v>27.639612807148175</v>
      </c>
      <c r="BA48" s="70"/>
      <c r="BB48" s="70"/>
      <c r="BC48" s="70">
        <f t="shared" si="27"/>
        <v>57.651657364456248</v>
      </c>
      <c r="BD48" s="70">
        <f t="shared" si="28"/>
        <v>5.03528514768841</v>
      </c>
      <c r="BE48" s="70">
        <f t="shared" si="29"/>
        <v>2.6697062585026337E-2</v>
      </c>
      <c r="BF48" s="70">
        <f t="shared" si="30"/>
        <v>7.9959455688514627</v>
      </c>
      <c r="BG48" s="70">
        <f t="shared" si="31"/>
        <v>0.23916306818181818</v>
      </c>
      <c r="BH48" s="67">
        <f>MAX((CE48-Driver!$F$200)/(Driver!$G$200-Driver!$F$200)*$BI$1,1)</f>
        <v>6.2606715993170177</v>
      </c>
      <c r="BI48" s="67">
        <f>MAX($BI$1*(BY48-Driver!$F$201)/(Driver!$G$201-Driver!$F$201),1)</f>
        <v>7.3417721518987342</v>
      </c>
      <c r="BJ48" s="67">
        <f>(CB48-Driver!$F$206)/(Driver!$G$206-Driver!$F$206)*$BI$1</f>
        <v>6.5079365079365079</v>
      </c>
      <c r="BK48" s="67">
        <f>(CD48-Driver!$F$203)/(Driver!$G$203-Driver!$F$203)*$BI$1</f>
        <v>5.3211009174311927</v>
      </c>
      <c r="BL48" s="67">
        <f>MAX((CR48-Driver!$F$202)/(Driver!$G$202-Driver!$F$202)*$BI$1,1)</f>
        <v>6.2068965517241379</v>
      </c>
      <c r="BM48" s="67">
        <f>MAX((CH48-Driver!$F$204)/(Driver!$G$204-Driver!$F$204)*$BI$1,1)</f>
        <v>4.4871794871794872</v>
      </c>
      <c r="BN48" s="67">
        <f>(CI48-Driver!$F$205)/(Driver!$G$205-Driver!$F$205)*$BI$1</f>
        <v>3.7647058823529411</v>
      </c>
      <c r="BO48" s="67">
        <f>(CK48-Driver!$F$207)/(Driver!$G$207-Driver!$F$207)*$BI$1</f>
        <v>2.2543950361944156</v>
      </c>
      <c r="BP48" s="67">
        <f>(CM48-Driver!$F$208)/(Driver!$G$208-Driver!$F$208)*$BI$1</f>
        <v>2.9</v>
      </c>
      <c r="BQ48" s="67">
        <f>(CL48-Driver!$F$209)/(Driver!$G$209-Driver!$F$209)*$BI$1</f>
        <v>6.71875</v>
      </c>
      <c r="BR48" s="28" t="s">
        <v>155</v>
      </c>
      <c r="BS48" s="8" t="s">
        <v>205</v>
      </c>
      <c r="BT48" s="9" t="s">
        <v>225</v>
      </c>
      <c r="BU48" s="10">
        <v>184</v>
      </c>
      <c r="BV48" s="9" t="s">
        <v>158</v>
      </c>
      <c r="BW48" s="10">
        <v>184</v>
      </c>
      <c r="BX48" s="10">
        <v>182.6</v>
      </c>
      <c r="BY48" s="10">
        <v>124</v>
      </c>
      <c r="BZ48" s="10">
        <v>147</v>
      </c>
      <c r="CA48" s="10">
        <v>132</v>
      </c>
      <c r="CB48" s="10">
        <v>105</v>
      </c>
      <c r="CC48" s="10">
        <v>125</v>
      </c>
      <c r="CD48" s="10">
        <v>21</v>
      </c>
      <c r="CE48" s="10">
        <v>2000</v>
      </c>
      <c r="CF48" s="10">
        <v>1.05</v>
      </c>
      <c r="CG48" s="10">
        <v>2096</v>
      </c>
      <c r="CH48" s="10">
        <v>206</v>
      </c>
      <c r="CI48" s="10">
        <v>97</v>
      </c>
      <c r="CJ48" s="10">
        <v>51</v>
      </c>
      <c r="CK48" s="10">
        <v>328</v>
      </c>
      <c r="CL48" s="10">
        <v>43</v>
      </c>
      <c r="CM48" s="10">
        <v>261</v>
      </c>
      <c r="CN48" s="10">
        <v>0.84599999999999997</v>
      </c>
      <c r="CO48" s="10">
        <v>192</v>
      </c>
      <c r="CP48" s="10">
        <v>164</v>
      </c>
      <c r="CQ48" s="10">
        <v>137</v>
      </c>
      <c r="CR48" s="10">
        <v>7</v>
      </c>
      <c r="CS48" s="10">
        <v>9.3000000000000007</v>
      </c>
      <c r="CT48" s="9" t="s">
        <v>184</v>
      </c>
      <c r="CU48" s="9" t="s">
        <v>169</v>
      </c>
      <c r="CV48" s="10"/>
      <c r="CW48" s="10"/>
      <c r="CX48" t="str">
        <f>INDEX('Data_Price '!AG$2:AG$1266,MATCH(Data!$DN48,'Data_Price '!$AT$2:$AT$1266,0))</f>
        <v>Faction Prodigy 3.0 Skis 2022 - 184</v>
      </c>
      <c r="CY48" t="str">
        <f>INDEX('Data_Price '!AH$2:AH$1266,MATCH(Data!$DN48,'Data_Price '!$AT$2:$AT$1266,0))</f>
        <v>evo.com</v>
      </c>
      <c r="CZ48">
        <f>INDEX('Data_Price '!AI$2:AI$1266,MATCH(Data!$DN48,'Data_Price '!$AT$2:$AT$1266,0))</f>
        <v>559.20000000000005</v>
      </c>
      <c r="DA48" t="str">
        <f>INDEX('Data_Price '!AJ$2:AJ$1266,MATCH(Data!$DN48,'Data_Price '!$AT$2:$AT$1266,0))</f>
        <v>https://tinyurl.com/y9vgcjwn</v>
      </c>
      <c r="DB48" t="str">
        <f>INDEX('Data_Price '!AK$2:AK$1266,MATCH(Data!$DN48,'Data_Price '!$AT$2:$AT$1266,0))</f>
        <v>Faction Prodigy 3.0 Skis 2022 - 184</v>
      </c>
      <c r="DC48" t="str">
        <f>INDEX('Data_Price '!AL$2:AL$1266,MATCH(Data!$DN48,'Data_Price '!$AT$2:$AT$1266,0))</f>
        <v>Powder7 Ski Shop</v>
      </c>
      <c r="DD48">
        <f>INDEX('Data_Price '!AM$2:AM$1266,MATCH(Data!$DN48,'Data_Price '!$AT$2:$AT$1266,0))</f>
        <v>629.92999999999995</v>
      </c>
      <c r="DE48" t="str">
        <f>INDEX('Data_Price '!AN$2:AN$1266,MATCH(Data!$DN48,'Data_Price '!$AT$2:$AT$1266,0))</f>
        <v>https://tinyurl.com/yasurxb4</v>
      </c>
      <c r="DF48" t="str">
        <f>INDEX('Data_Price '!AO$2:AO$1266,MATCH(Data!$DN48,'Data_Price '!$AT$2:$AT$1266,0))</f>
        <v>Faction Prodigy 3.0 Skis 2022 - 184</v>
      </c>
      <c r="DG48" t="str">
        <f>INDEX('Data_Price '!AP$2:AP$1266,MATCH(Data!$DN48,'Data_Price '!$AT$2:$AT$1266,0))</f>
        <v>Next Adventure</v>
      </c>
      <c r="DH48">
        <f>INDEX('Data_Price '!AQ$2:AQ$1266,MATCH(Data!$DN48,'Data_Price '!$AT$2:$AT$1266,0))</f>
        <v>639.20000000000005</v>
      </c>
      <c r="DI48" t="str">
        <f>INDEX('Data_Price '!AR$2:AR$1266,MATCH(Data!$DN48,'Data_Price '!$AT$2:$AT$1266,0))</f>
        <v>https://tinyurl.com/yawbwqvx</v>
      </c>
      <c r="DJ48" s="89" t="str">
        <f t="shared" si="32"/>
        <v>https://tinyurl.com/y9vgcjwn</v>
      </c>
      <c r="DK48" s="89" t="str">
        <f t="shared" si="33"/>
        <v>https://tinyurl.com/yasurxb4</v>
      </c>
      <c r="DL48" s="89" t="str">
        <f t="shared" si="34"/>
        <v>https://tinyurl.com/yawbwqvx</v>
      </c>
      <c r="DM48" s="219" t="str">
        <f t="shared" si="35"/>
        <v>Prodigy 3.0</v>
      </c>
      <c r="DN48" s="89" t="str">
        <f t="shared" si="36"/>
        <v xml:space="preserve"> FactionProdigy 3.0184 Unisex</v>
      </c>
      <c r="DO48" s="221" t="s">
        <v>226</v>
      </c>
    </row>
    <row r="49" spans="2:119" ht="15.6" customHeight="1">
      <c r="B49" s="219" t="b">
        <f t="array" ref="B49">IF(OR(ISERROR(K49:P49)),FALSE,TRUE)</f>
        <v>1</v>
      </c>
      <c r="C49" s="43" t="b">
        <f>OR(BR49=Driver!$G$50,Data!BR958=Driver!$H$50)</f>
        <v>1</v>
      </c>
      <c r="D49" s="43" t="b">
        <f>OR(BV49=Driver!$G$51,BV49=Driver!$H$51)</f>
        <v>1</v>
      </c>
      <c r="E49" s="43" t="b">
        <f>AND(BX49&gt;Driver!$F$54,BX49&lt;Driver!$G$54)</f>
        <v>0</v>
      </c>
      <c r="F49" s="43" t="b">
        <f>CL49&gt;Driver!$F$56</f>
        <v>1</v>
      </c>
      <c r="G49" s="43" t="b">
        <f>AND(CB49&gt;Driver!$F$55,CB49&lt;Driver!$G$55)</f>
        <v>0</v>
      </c>
      <c r="H49" s="43" t="b">
        <f t="shared" si="0"/>
        <v>0</v>
      </c>
      <c r="I49" s="43">
        <f t="shared" si="1"/>
        <v>0</v>
      </c>
      <c r="J49" s="43" t="b">
        <f t="array" ref="J49">NOT(OR(($H$9:$H$1273=TRUE)*($I$9:$I$1273&gt;0)*($BT$9:$BT$1273=BT49)*($K$9:$K$1273&gt;K49)))</f>
        <v>1</v>
      </c>
      <c r="K49" s="72">
        <f t="shared" si="2"/>
        <v>0.86109353225243579</v>
      </c>
      <c r="L49" s="72">
        <f t="shared" si="3"/>
        <v>0.94119064447728595</v>
      </c>
      <c r="M49" s="72">
        <f t="shared" si="4"/>
        <v>0.78099642002758551</v>
      </c>
      <c r="N49" s="72">
        <f t="shared" si="5"/>
        <v>0.72079862186776311</v>
      </c>
      <c r="O49" s="72">
        <f t="shared" si="6"/>
        <v>0.68186011782118217</v>
      </c>
      <c r="P49" s="72">
        <f t="shared" si="7"/>
        <v>0.94033052039381149</v>
      </c>
      <c r="Q49" s="72"/>
      <c r="R49" s="72"/>
      <c r="S49" s="72">
        <f t="shared" si="8"/>
        <v>0.48626108176041372</v>
      </c>
      <c r="T49" s="72">
        <f t="shared" si="9"/>
        <v>0.48245872763957776</v>
      </c>
      <c r="U49" s="72">
        <f t="shared" si="10"/>
        <v>0.55171190220402966</v>
      </c>
      <c r="V49" s="72">
        <f t="shared" si="11"/>
        <v>0.55701531072475263</v>
      </c>
      <c r="W49" s="72">
        <f t="shared" si="12"/>
        <v>0.80304140901827281</v>
      </c>
      <c r="X49" s="72">
        <f t="shared" si="13"/>
        <v>5.8809355522714102E-2</v>
      </c>
      <c r="Y49" s="72">
        <f t="shared" si="14"/>
        <v>0.21900357997241446</v>
      </c>
      <c r="Z49" s="72">
        <f t="shared" si="15"/>
        <v>0.27920137813223694</v>
      </c>
      <c r="AA49" s="72">
        <f t="shared" si="16"/>
        <v>0.31813988217881783</v>
      </c>
      <c r="AB49" s="72">
        <f t="shared" si="17"/>
        <v>5.9669479606188458E-2</v>
      </c>
      <c r="AC49" s="72"/>
      <c r="AD49" s="72"/>
      <c r="AE49" s="72">
        <f t="shared" si="18"/>
        <v>0.51373891823958628</v>
      </c>
      <c r="AF49" s="72">
        <f t="shared" si="19"/>
        <v>0.51754127236042224</v>
      </c>
      <c r="AG49" s="72">
        <f t="shared" si="20"/>
        <v>0.44828809779597034</v>
      </c>
      <c r="AH49" s="72">
        <f t="shared" si="21"/>
        <v>0.44298468927524731</v>
      </c>
      <c r="AI49" s="72">
        <f t="shared" si="22"/>
        <v>0.19695859098172722</v>
      </c>
      <c r="AJ49" s="72">
        <f>(AV49-Driver!$K$179)/(Driver!$L$179-Driver!$K$179)</f>
        <v>0.31302876480541453</v>
      </c>
      <c r="AK49" s="72">
        <f>(AW49-Driver!$K$180)/(Driver!$L$180-Driver!$K$180)</f>
        <v>0.32138626406283244</v>
      </c>
      <c r="AL49" s="72">
        <f>(AX49-Driver!$K$181)/(Driver!$L$181-Driver!$K$181)</f>
        <v>0.38088914184531714</v>
      </c>
      <c r="AM49" s="72">
        <f>(AY49-Driver!$K$182)/(Driver!$L$182-Driver!$K$182)</f>
        <v>0.12924513891822853</v>
      </c>
      <c r="AN49" s="72">
        <f>(AZ49-Driver!$K$183)/(Driver!$L$183-Driver!$K$183)</f>
        <v>0.31388888888888888</v>
      </c>
      <c r="AO49" s="72"/>
      <c r="AP49" s="72"/>
      <c r="AQ49" s="72">
        <f>(BC49-Driver!$K$188)/(Driver!$L$188-Driver!$K$188)</f>
        <v>0.1062610817604137</v>
      </c>
      <c r="AR49" s="72">
        <f>MIN((BD49-Driver!$K$189)/(Driver!$L$189-Driver!$K$189),100%)</f>
        <v>3.2458727639577745E-2</v>
      </c>
      <c r="AS49" s="72">
        <f>(BE49-Driver!$K$190)/(Driver!$L$190-Driver!$K$190)</f>
        <v>6.1711902204029667E-2</v>
      </c>
      <c r="AT49" s="72">
        <f>(BF49-Driver!$K$191)/(Driver!$L$191-Driver!$K$191)</f>
        <v>6.7015310724752697E-2</v>
      </c>
      <c r="AU49" s="72">
        <f>(BG49-Driver!$K$192)/(Driver!$L$192-Driver!$K$192)</f>
        <v>5.3041409018272777E-2</v>
      </c>
      <c r="AV49" s="70">
        <f t="shared" si="23"/>
        <v>6.5883190883190883</v>
      </c>
      <c r="AW49" s="70">
        <f t="shared" si="24"/>
        <v>33.193831826380126</v>
      </c>
      <c r="AX49" s="70">
        <f t="shared" si="25"/>
        <v>4.4280022766078542</v>
      </c>
      <c r="AY49" s="70">
        <f>IFERROR(Driver!$K$19/Data!BH49/Data!BI49*Data!BK49*Data!BL49,"")</f>
        <v>0.15823461306341077</v>
      </c>
      <c r="AZ49" s="70">
        <f t="shared" si="26"/>
        <v>28.60759493670886</v>
      </c>
      <c r="BA49" s="70"/>
      <c r="BB49" s="70"/>
      <c r="BC49" s="70">
        <f t="shared" si="27"/>
        <v>55.118361824182379</v>
      </c>
      <c r="BD49" s="70">
        <f t="shared" si="28"/>
        <v>4.5933627667382302</v>
      </c>
      <c r="BE49" s="70">
        <f t="shared" si="29"/>
        <v>6.1879282239794081E-2</v>
      </c>
      <c r="BF49" s="70">
        <f t="shared" si="30"/>
        <v>7.5689085371570322</v>
      </c>
      <c r="BG49" s="70">
        <f t="shared" si="31"/>
        <v>0.20084861130410619</v>
      </c>
      <c r="BH49" s="67">
        <f>MAX((CE49-Driver!$F$200)/(Driver!$G$200-Driver!$F$200)*$BI$1,1)</f>
        <v>4.4280022766078542</v>
      </c>
      <c r="BI49" s="67">
        <f>MAX($BI$1*(BY49-Driver!$F$201)/(Driver!$G$201-Driver!$F$201),1)</f>
        <v>7.1518987341772151</v>
      </c>
      <c r="BJ49" s="67">
        <f>(CB49-Driver!$F$206)/(Driver!$G$206-Driver!$F$206)*$BI$1</f>
        <v>5.5555555555555554</v>
      </c>
      <c r="BK49" s="67">
        <f>(CD49-Driver!$F$203)/(Driver!$G$203-Driver!$F$203)*$BI$1</f>
        <v>4.5412844036697253</v>
      </c>
      <c r="BL49" s="67">
        <f>MAX((CR49-Driver!$F$202)/(Driver!$G$202-Driver!$F$202)*$BI$1,1)</f>
        <v>5.5172413793103452</v>
      </c>
      <c r="BM49" s="67">
        <f>MAX((CH49-Driver!$F$204)/(Driver!$G$204-Driver!$F$204)*$BI$1,1)</f>
        <v>4.7435897435897436</v>
      </c>
      <c r="BN49" s="67">
        <f>(CI49-Driver!$F$205)/(Driver!$G$205-Driver!$F$205)*$BI$1</f>
        <v>4</v>
      </c>
      <c r="BO49" s="67">
        <f>(CK49-Driver!$F$207)/(Driver!$G$207-Driver!$F$207)*$BI$1</f>
        <v>2.2543950361944156</v>
      </c>
      <c r="BP49" s="67">
        <f>(CM49-Driver!$F$208)/(Driver!$G$208-Driver!$F$208)*$BI$1</f>
        <v>2.7444444444444445</v>
      </c>
      <c r="BQ49" s="67">
        <f>(CL49-Driver!$F$209)/(Driver!$G$209-Driver!$F$209)*$BI$1</f>
        <v>4.21875</v>
      </c>
      <c r="BR49" s="28" t="s">
        <v>155</v>
      </c>
      <c r="BS49" s="8" t="s">
        <v>227</v>
      </c>
      <c r="BT49" s="9" t="s">
        <v>228</v>
      </c>
      <c r="BU49" s="10">
        <v>180</v>
      </c>
      <c r="BV49" s="9" t="s">
        <v>158</v>
      </c>
      <c r="BW49" s="10">
        <v>180</v>
      </c>
      <c r="BX49" s="10">
        <v>178.1</v>
      </c>
      <c r="BY49" s="10">
        <v>121</v>
      </c>
      <c r="BZ49" s="10">
        <v>149</v>
      </c>
      <c r="CA49" s="10">
        <v>129</v>
      </c>
      <c r="CB49" s="10">
        <v>99</v>
      </c>
      <c r="CC49" s="10">
        <v>120</v>
      </c>
      <c r="CD49" s="10">
        <v>19.3</v>
      </c>
      <c r="CE49" s="10">
        <v>1678</v>
      </c>
      <c r="CF49" s="10">
        <v>1.1599999999999999</v>
      </c>
      <c r="CG49" s="10">
        <v>1949</v>
      </c>
      <c r="CH49" s="10">
        <v>212</v>
      </c>
      <c r="CI49" s="10">
        <v>101</v>
      </c>
      <c r="CJ49" s="10">
        <v>72</v>
      </c>
      <c r="CK49" s="10">
        <v>328</v>
      </c>
      <c r="CL49" s="10">
        <v>27</v>
      </c>
      <c r="CM49" s="10">
        <v>247</v>
      </c>
      <c r="CN49" s="10">
        <v>0.376</v>
      </c>
      <c r="CO49" s="10">
        <v>169</v>
      </c>
      <c r="CP49" s="10">
        <v>123</v>
      </c>
      <c r="CQ49" s="10">
        <v>159</v>
      </c>
      <c r="CR49" s="10">
        <v>5</v>
      </c>
      <c r="CS49" s="10">
        <v>11.5</v>
      </c>
      <c r="CT49" s="9" t="s">
        <v>188</v>
      </c>
      <c r="CU49" s="9" t="s">
        <v>185</v>
      </c>
      <c r="CV49" s="10"/>
      <c r="CW49" s="10"/>
      <c r="CX49">
        <f>INDEX('Data_Price '!AG$2:AG$1266,MATCH(Data!$DN49,'Data_Price '!$AT$2:$AT$1266,0))</f>
        <v>0</v>
      </c>
      <c r="CY49">
        <f>INDEX('Data_Price '!AH$2:AH$1266,MATCH(Data!$DN49,'Data_Price '!$AT$2:$AT$1266,0))</f>
        <v>0</v>
      </c>
      <c r="CZ49">
        <f>INDEX('Data_Price '!AI$2:AI$1266,MATCH(Data!$DN49,'Data_Price '!$AT$2:$AT$1266,0))</f>
        <v>0</v>
      </c>
      <c r="DA49">
        <f>INDEX('Data_Price '!AJ$2:AJ$1266,MATCH(Data!$DN49,'Data_Price '!$AT$2:$AT$1266,0))</f>
        <v>0</v>
      </c>
      <c r="DB49">
        <f>INDEX('Data_Price '!AK$2:AK$1266,MATCH(Data!$DN49,'Data_Price '!$AT$2:$AT$1266,0))</f>
        <v>0</v>
      </c>
      <c r="DC49">
        <f>INDEX('Data_Price '!AL$2:AL$1266,MATCH(Data!$DN49,'Data_Price '!$AT$2:$AT$1266,0))</f>
        <v>0</v>
      </c>
      <c r="DD49">
        <f>INDEX('Data_Price '!AM$2:AM$1266,MATCH(Data!$DN49,'Data_Price '!$AT$2:$AT$1266,0))</f>
        <v>0</v>
      </c>
      <c r="DE49">
        <f>INDEX('Data_Price '!AN$2:AN$1266,MATCH(Data!$DN49,'Data_Price '!$AT$2:$AT$1266,0))</f>
        <v>0</v>
      </c>
      <c r="DF49">
        <f>INDEX('Data_Price '!AO$2:AO$1266,MATCH(Data!$DN49,'Data_Price '!$AT$2:$AT$1266,0))</f>
        <v>0</v>
      </c>
      <c r="DG49">
        <f>INDEX('Data_Price '!AP$2:AP$1266,MATCH(Data!$DN49,'Data_Price '!$AT$2:$AT$1266,0))</f>
        <v>0</v>
      </c>
      <c r="DH49">
        <f>INDEX('Data_Price '!AQ$2:AQ$1266,MATCH(Data!$DN49,'Data_Price '!$AT$2:$AT$1266,0))</f>
        <v>0</v>
      </c>
      <c r="DI49">
        <f>INDEX('Data_Price '!AR$2:AR$1266,MATCH(Data!$DN49,'Data_Price '!$AT$2:$AT$1266,0))</f>
        <v>0</v>
      </c>
      <c r="DJ49" s="89">
        <f t="shared" si="32"/>
        <v>0</v>
      </c>
      <c r="DK49" s="89">
        <f t="shared" si="33"/>
        <v>0</v>
      </c>
      <c r="DL49" s="89">
        <f t="shared" si="34"/>
        <v>0</v>
      </c>
      <c r="DM49" s="219" t="str">
        <f t="shared" si="35"/>
        <v>Le Grizzly</v>
      </c>
      <c r="DN49" s="89" t="str">
        <f t="shared" si="36"/>
        <v xml:space="preserve"> RaccoonLe Grizzly180 Unisex</v>
      </c>
      <c r="DO49" s="221"/>
    </row>
    <row r="50" spans="2:119" ht="15.6" customHeight="1">
      <c r="B50" s="219" t="b">
        <f t="array" ref="B50">IF(OR(ISERROR(K50:P50)),FALSE,TRUE)</f>
        <v>1</v>
      </c>
      <c r="C50" s="43" t="b">
        <f>OR(BR50=Driver!$G$50,Data!BR1202=Driver!$H$50)</f>
        <v>1</v>
      </c>
      <c r="D50" s="43" t="b">
        <f>OR(BV50=Driver!$G$51,BV50=Driver!$H$51)</f>
        <v>1</v>
      </c>
      <c r="E50" s="43" t="b">
        <f>AND(BX50&gt;Driver!$F$54,BX50&lt;Driver!$G$54)</f>
        <v>0</v>
      </c>
      <c r="F50" s="43" t="b">
        <f>CL50&gt;Driver!$F$56</f>
        <v>1</v>
      </c>
      <c r="G50" s="43" t="b">
        <f>AND(CB50&gt;Driver!$F$55,CB50&lt;Driver!$G$55)</f>
        <v>0</v>
      </c>
      <c r="H50" s="43" t="b">
        <f t="shared" si="0"/>
        <v>0</v>
      </c>
      <c r="I50" s="43">
        <f t="shared" si="1"/>
        <v>0</v>
      </c>
      <c r="J50" s="43" t="b">
        <f t="array" ref="J50">NOT(OR(($H$9:$H$1273=TRUE)*($I$9:$I$1273&gt;0)*($BT$9:$BT$1273=BT50)*($K$9:$K$1273&gt;K50)))</f>
        <v>1</v>
      </c>
      <c r="K50" s="72">
        <f t="shared" si="2"/>
        <v>0.83998502164564148</v>
      </c>
      <c r="L50" s="72">
        <f t="shared" si="3"/>
        <v>0.89121609148274961</v>
      </c>
      <c r="M50" s="72">
        <f t="shared" si="4"/>
        <v>0.78875395180853347</v>
      </c>
      <c r="N50" s="72">
        <f t="shared" si="5"/>
        <v>0.72712253257414394</v>
      </c>
      <c r="O50" s="72">
        <f t="shared" si="6"/>
        <v>0.64664376977790639</v>
      </c>
      <c r="P50" s="72">
        <f t="shared" si="7"/>
        <v>0.99249555307355009</v>
      </c>
      <c r="Q50" s="72"/>
      <c r="R50" s="72"/>
      <c r="S50" s="72">
        <f t="shared" si="8"/>
        <v>0.50146848859957727</v>
      </c>
      <c r="T50" s="72">
        <f t="shared" si="9"/>
        <v>0.50552732535689504</v>
      </c>
      <c r="U50" s="72">
        <f t="shared" si="10"/>
        <v>0.51</v>
      </c>
      <c r="V50" s="72">
        <f t="shared" si="11"/>
        <v>0.4935958419936658</v>
      </c>
      <c r="W50" s="72">
        <f t="shared" si="12"/>
        <v>0.7779029605263158</v>
      </c>
      <c r="X50" s="72">
        <f t="shared" si="13"/>
        <v>0.10878390851725045</v>
      </c>
      <c r="Y50" s="72">
        <f t="shared" si="14"/>
        <v>0.21124604819146653</v>
      </c>
      <c r="Z50" s="72">
        <f t="shared" si="15"/>
        <v>0.27287746742585611</v>
      </c>
      <c r="AA50" s="72">
        <f t="shared" si="16"/>
        <v>0.35335623022209361</v>
      </c>
      <c r="AB50" s="72">
        <f t="shared" si="17"/>
        <v>7.5044469264499147E-3</v>
      </c>
      <c r="AC50" s="72"/>
      <c r="AD50" s="72"/>
      <c r="AE50" s="72">
        <f t="shared" si="18"/>
        <v>0.49853151140042279</v>
      </c>
      <c r="AF50" s="72">
        <f t="shared" si="19"/>
        <v>0.49447267464310496</v>
      </c>
      <c r="AG50" s="72">
        <f t="shared" si="20"/>
        <v>0.49</v>
      </c>
      <c r="AH50" s="72">
        <f t="shared" si="21"/>
        <v>0.5064041580063342</v>
      </c>
      <c r="AI50" s="72">
        <f t="shared" si="22"/>
        <v>0.2220970394736842</v>
      </c>
      <c r="AJ50" s="72">
        <f>(AV50-Driver!$K$179)/(Driver!$L$179-Driver!$K$179)</f>
        <v>0.14543550076544998</v>
      </c>
      <c r="AK50" s="72">
        <f>(AW50-Driver!$K$180)/(Driver!$L$180-Driver!$K$180)</f>
        <v>0.27157743263972978</v>
      </c>
      <c r="AL50" s="72">
        <f>(AX50-Driver!$K$181)/(Driver!$L$181-Driver!$K$181)</f>
        <v>0.37456523113893631</v>
      </c>
      <c r="AM50" s="72">
        <f>(AY50-Driver!$K$182)/(Driver!$L$182-Driver!$K$182)</f>
        <v>9.4028790874952764E-2</v>
      </c>
      <c r="AN50" s="72">
        <f>(AZ50-Driver!$K$183)/(Driver!$L$183-Driver!$K$183)</f>
        <v>0.26172385620915034</v>
      </c>
      <c r="AO50" s="72"/>
      <c r="AP50" s="72"/>
      <c r="AQ50" s="72">
        <f>(BC50-Driver!$K$188)/(Driver!$L$188-Driver!$K$188)</f>
        <v>0.12146848859957721</v>
      </c>
      <c r="AR50" s="72">
        <f>MIN((BD50-Driver!$K$189)/(Driver!$L$189-Driver!$K$189),100%)</f>
        <v>5.5527325356895071E-2</v>
      </c>
      <c r="AS50" s="72">
        <f>(BE50-Driver!$K$190)/(Driver!$L$190-Driver!$K$190)</f>
        <v>1</v>
      </c>
      <c r="AT50" s="72">
        <f>(BF50-Driver!$K$191)/(Driver!$L$191-Driver!$K$191)</f>
        <v>3.5958419936657714E-3</v>
      </c>
      <c r="AU50" s="72">
        <f>(BG50-Driver!$K$192)/(Driver!$L$192-Driver!$K$192)</f>
        <v>2.7902960526315787E-2</v>
      </c>
      <c r="AV50" s="70">
        <f t="shared" si="23"/>
        <v>3.060982227648894</v>
      </c>
      <c r="AW50" s="70">
        <f t="shared" si="24"/>
        <v>28.339519853054409</v>
      </c>
      <c r="AX50" s="70">
        <f t="shared" si="25"/>
        <v>4.3710870802504269</v>
      </c>
      <c r="AY50" s="70">
        <f>IFERROR(Driver!$K$19/Data!BH50/Data!BI50*Data!BK50*Data!BL50,"")</f>
        <v>0.11511929551433261</v>
      </c>
      <c r="AZ50" s="70">
        <f t="shared" si="26"/>
        <v>23.85331347728965</v>
      </c>
      <c r="BA50" s="70"/>
      <c r="BB50" s="70"/>
      <c r="BC50" s="70">
        <f t="shared" si="27"/>
        <v>63.006549471833679</v>
      </c>
      <c r="BD50" s="70">
        <f t="shared" si="28"/>
        <v>6.6348927895843675</v>
      </c>
      <c r="BE50" s="70">
        <f t="shared" si="29"/>
        <v>1</v>
      </c>
      <c r="BF50" s="70">
        <f t="shared" si="30"/>
        <v>0.40612509096480137</v>
      </c>
      <c r="BG50" s="70">
        <f t="shared" si="31"/>
        <v>0.10565840871710526</v>
      </c>
      <c r="BH50" s="67">
        <f>MAX((CE50-Driver!$F$200)/(Driver!$G$200-Driver!$F$200)*$BI$1,1)</f>
        <v>4.3710870802504269</v>
      </c>
      <c r="BI50" s="67">
        <f>MAX($BI$1*(BY50-Driver!$F$201)/(Driver!$G$201-Driver!$F$201),1)</f>
        <v>9.4303797468354436</v>
      </c>
      <c r="BJ50" s="67">
        <f>(CB50-Driver!$F$206)/(Driver!$G$206-Driver!$F$206)*$BI$1</f>
        <v>3.0158730158730158</v>
      </c>
      <c r="BK50" s="67">
        <f>(CD50-Driver!$F$203)/(Driver!$G$203-Driver!$F$203)*$BI$1</f>
        <v>4.5871559633027523</v>
      </c>
      <c r="BL50" s="67">
        <f>MAX((CR50-Driver!$F$202)/(Driver!$G$202-Driver!$F$202)*$BI$1,1)</f>
        <v>5.1724137931034484</v>
      </c>
      <c r="BM50" s="67">
        <f>MAX((CH50-Driver!$F$204)/(Driver!$G$204-Driver!$F$204)*$BI$1,1)</f>
        <v>4.0598290598290596</v>
      </c>
      <c r="BN50" s="67">
        <f>(CI50-Driver!$F$205)/(Driver!$G$205-Driver!$F$205)*$BI$1</f>
        <v>2.5294117647058822</v>
      </c>
      <c r="BO50" s="67">
        <f>(CK50-Driver!$F$207)/(Driver!$G$207-Driver!$F$207)*$BI$1</f>
        <v>0.57911065149948293</v>
      </c>
      <c r="BP50" s="67">
        <f>(CM50-Driver!$F$208)/(Driver!$G$208-Driver!$F$208)*$BI$1</f>
        <v>1.0666666666666667</v>
      </c>
      <c r="BQ50" s="67">
        <f>(CL50-Driver!$F$209)/(Driver!$G$209-Driver!$F$209)*$BI$1</f>
        <v>1.875</v>
      </c>
      <c r="BR50" s="28" t="s">
        <v>155</v>
      </c>
      <c r="BS50" s="8" t="s">
        <v>229</v>
      </c>
      <c r="BT50" s="9" t="s">
        <v>230</v>
      </c>
      <c r="BU50" s="10">
        <v>182</v>
      </c>
      <c r="BV50" s="9" t="s">
        <v>158</v>
      </c>
      <c r="BW50" s="10">
        <v>182</v>
      </c>
      <c r="BX50" s="10">
        <v>183.5</v>
      </c>
      <c r="BY50" s="10">
        <v>157</v>
      </c>
      <c r="BZ50" s="10">
        <v>160</v>
      </c>
      <c r="CA50" s="10">
        <v>124</v>
      </c>
      <c r="CB50" s="10">
        <v>83</v>
      </c>
      <c r="CC50" s="10">
        <v>106</v>
      </c>
      <c r="CD50" s="10">
        <v>19.399999999999999</v>
      </c>
      <c r="CE50" s="10">
        <v>1668</v>
      </c>
      <c r="CF50" s="10">
        <v>1.06</v>
      </c>
      <c r="CG50" s="10">
        <v>1763</v>
      </c>
      <c r="CH50" s="10">
        <v>196</v>
      </c>
      <c r="CI50" s="10">
        <v>76</v>
      </c>
      <c r="CJ50" s="10">
        <v>34</v>
      </c>
      <c r="CK50" s="10">
        <v>166</v>
      </c>
      <c r="CL50" s="10">
        <v>12</v>
      </c>
      <c r="CM50" s="10">
        <v>96</v>
      </c>
      <c r="CN50" s="10">
        <v>0.35</v>
      </c>
      <c r="CO50" s="10">
        <v>132</v>
      </c>
      <c r="CP50" s="10">
        <v>104</v>
      </c>
      <c r="CQ50" s="10">
        <v>34</v>
      </c>
      <c r="CR50" s="10">
        <v>4</v>
      </c>
      <c r="CS50" s="10">
        <v>11.8</v>
      </c>
      <c r="CT50" s="9" t="s">
        <v>231</v>
      </c>
      <c r="CU50" s="9" t="s">
        <v>188</v>
      </c>
      <c r="CV50" s="9" t="s">
        <v>185</v>
      </c>
      <c r="CW50" s="10"/>
      <c r="CX50" t="e">
        <f>INDEX('Data_Price '!AG$2:AG$1266,MATCH(Data!$DN50,'Data_Price '!$AT$2:$AT$1266,0))</f>
        <v>#N/A</v>
      </c>
      <c r="CY50" t="e">
        <f>INDEX('Data_Price '!AH$2:AH$1266,MATCH(Data!$DN50,'Data_Price '!$AT$2:$AT$1266,0))</f>
        <v>#N/A</v>
      </c>
      <c r="CZ50" t="e">
        <f>INDEX('Data_Price '!AI$2:AI$1266,MATCH(Data!$DN50,'Data_Price '!$AT$2:$AT$1266,0))</f>
        <v>#N/A</v>
      </c>
      <c r="DA50" t="e">
        <f>INDEX('Data_Price '!AJ$2:AJ$1266,MATCH(Data!$DN50,'Data_Price '!$AT$2:$AT$1266,0))</f>
        <v>#N/A</v>
      </c>
      <c r="DB50" t="e">
        <f>INDEX('Data_Price '!AK$2:AK$1266,MATCH(Data!$DN50,'Data_Price '!$AT$2:$AT$1266,0))</f>
        <v>#N/A</v>
      </c>
      <c r="DC50" t="e">
        <f>INDEX('Data_Price '!AL$2:AL$1266,MATCH(Data!$DN50,'Data_Price '!$AT$2:$AT$1266,0))</f>
        <v>#N/A</v>
      </c>
      <c r="DD50" t="e">
        <f>INDEX('Data_Price '!AM$2:AM$1266,MATCH(Data!$DN50,'Data_Price '!$AT$2:$AT$1266,0))</f>
        <v>#N/A</v>
      </c>
      <c r="DE50" t="e">
        <f>INDEX('Data_Price '!AN$2:AN$1266,MATCH(Data!$DN50,'Data_Price '!$AT$2:$AT$1266,0))</f>
        <v>#N/A</v>
      </c>
      <c r="DF50" t="e">
        <f>INDEX('Data_Price '!AO$2:AO$1266,MATCH(Data!$DN50,'Data_Price '!$AT$2:$AT$1266,0))</f>
        <v>#N/A</v>
      </c>
      <c r="DG50" t="e">
        <f>INDEX('Data_Price '!AP$2:AP$1266,MATCH(Data!$DN50,'Data_Price '!$AT$2:$AT$1266,0))</f>
        <v>#N/A</v>
      </c>
      <c r="DH50" t="e">
        <f>INDEX('Data_Price '!AQ$2:AQ$1266,MATCH(Data!$DN50,'Data_Price '!$AT$2:$AT$1266,0))</f>
        <v>#N/A</v>
      </c>
      <c r="DI50" t="e">
        <f>INDEX('Data_Price '!AR$2:AR$1266,MATCH(Data!$DN50,'Data_Price '!$AT$2:$AT$1266,0))</f>
        <v>#N/A</v>
      </c>
      <c r="DJ50" s="89" t="e">
        <f t="shared" si="32"/>
        <v>#N/A</v>
      </c>
      <c r="DK50" s="89" t="e">
        <f t="shared" si="33"/>
        <v>#N/A</v>
      </c>
      <c r="DL50" s="89" t="e">
        <f t="shared" si="34"/>
        <v>#N/A</v>
      </c>
      <c r="DM50" s="219" t="str">
        <f t="shared" si="35"/>
        <v>Kanjo 84</v>
      </c>
      <c r="DN50" s="89" t="str">
        <f t="shared" si="36"/>
        <v xml:space="preserve"> VölklKanjo 84182 Unisex</v>
      </c>
      <c r="DO50" s="221"/>
    </row>
    <row r="51" spans="2:119" ht="15.6" customHeight="1">
      <c r="B51" s="219" t="b">
        <f t="array" ref="B51">IF(OR(ISERROR(K51:P51)),FALSE,TRUE)</f>
        <v>1</v>
      </c>
      <c r="C51" s="43" t="b">
        <f>OR(BR51=Driver!$G$50,Data!BR1114=Driver!$H$50)</f>
        <v>1</v>
      </c>
      <c r="D51" s="43" t="b">
        <f>OR(BV51=Driver!$G$51,BV51=Driver!$H$51)</f>
        <v>1</v>
      </c>
      <c r="E51" s="43" t="b">
        <f>AND(BX51&gt;Driver!$F$54,BX51&lt;Driver!$G$54)</f>
        <v>0</v>
      </c>
      <c r="F51" s="43" t="b">
        <f>CL51&gt;Driver!$F$56</f>
        <v>1</v>
      </c>
      <c r="G51" s="43" t="b">
        <f>AND(CB51&gt;Driver!$F$55,CB51&lt;Driver!$G$55)</f>
        <v>0</v>
      </c>
      <c r="H51" s="43" t="b">
        <f t="shared" si="0"/>
        <v>0</v>
      </c>
      <c r="I51" s="43">
        <f t="shared" si="1"/>
        <v>0</v>
      </c>
      <c r="J51" s="43" t="b">
        <f t="array" ref="J51">NOT(OR(($H$9:$H$1273=TRUE)*($I$9:$I$1273&gt;0)*($BT$9:$BT$1273=BT51)*($K$9:$K$1273&gt;K51)))</f>
        <v>1</v>
      </c>
      <c r="K51" s="72">
        <f t="shared" si="2"/>
        <v>0.86400503045036081</v>
      </c>
      <c r="L51" s="72">
        <f t="shared" si="3"/>
        <v>0.89743913372069906</v>
      </c>
      <c r="M51" s="72">
        <f t="shared" si="4"/>
        <v>0.83057092718002246</v>
      </c>
      <c r="N51" s="72">
        <f t="shared" si="5"/>
        <v>0.80364185212135197</v>
      </c>
      <c r="O51" s="72">
        <f t="shared" si="6"/>
        <v>0.74185805608372735</v>
      </c>
      <c r="P51" s="72">
        <f t="shared" si="7"/>
        <v>0.94621287333498805</v>
      </c>
      <c r="Q51" s="72"/>
      <c r="R51" s="72"/>
      <c r="S51" s="72">
        <f t="shared" si="8"/>
        <v>0.51708177867428473</v>
      </c>
      <c r="T51" s="72">
        <f t="shared" si="9"/>
        <v>0.46325176955688729</v>
      </c>
      <c r="U51" s="72">
        <f t="shared" si="10"/>
        <v>0.56711033114599885</v>
      </c>
      <c r="V51" s="72">
        <f t="shared" si="11"/>
        <v>0.5253777516721303</v>
      </c>
      <c r="W51" s="72">
        <f t="shared" si="12"/>
        <v>0.83313981980623519</v>
      </c>
      <c r="X51" s="72">
        <f t="shared" si="13"/>
        <v>0.10256086627930094</v>
      </c>
      <c r="Y51" s="72">
        <f t="shared" si="14"/>
        <v>0.16942907281997754</v>
      </c>
      <c r="Z51" s="72">
        <f t="shared" si="15"/>
        <v>0.19635814787864808</v>
      </c>
      <c r="AA51" s="72">
        <f t="shared" si="16"/>
        <v>0.2581419439162726</v>
      </c>
      <c r="AB51" s="72">
        <f t="shared" si="17"/>
        <v>5.3787126665011953E-2</v>
      </c>
      <c r="AC51" s="72"/>
      <c r="AD51" s="72"/>
      <c r="AE51" s="72">
        <f t="shared" si="18"/>
        <v>0.48291822132571532</v>
      </c>
      <c r="AF51" s="72">
        <f t="shared" si="19"/>
        <v>0.53674823044311271</v>
      </c>
      <c r="AG51" s="72">
        <f t="shared" si="20"/>
        <v>0.4328896688540011</v>
      </c>
      <c r="AH51" s="72">
        <f t="shared" si="21"/>
        <v>0.4746222483278697</v>
      </c>
      <c r="AI51" s="72">
        <f t="shared" si="22"/>
        <v>0.16686018019376486</v>
      </c>
      <c r="AJ51" s="72">
        <f>(AV51-Driver!$K$179)/(Driver!$L$179-Driver!$K$179)</f>
        <v>0.35678027556200137</v>
      </c>
      <c r="AK51" s="72">
        <f>(AW51-Driver!$K$180)/(Driver!$L$180-Driver!$K$180)</f>
        <v>0.30898875743833693</v>
      </c>
      <c r="AL51" s="72">
        <f>(AX51-Driver!$K$181)/(Driver!$L$181-Driver!$K$181)</f>
        <v>0.29804591159172827</v>
      </c>
      <c r="AM51" s="72">
        <f>(AY51-Driver!$K$182)/(Driver!$L$182-Driver!$K$182)</f>
        <v>0.18924307718077377</v>
      </c>
      <c r="AN51" s="72">
        <f>(AZ51-Driver!$K$183)/(Driver!$L$183-Driver!$K$183)</f>
        <v>0.30800653594771238</v>
      </c>
      <c r="AO51" s="72"/>
      <c r="AP51" s="72"/>
      <c r="AQ51" s="72">
        <f>(BC51-Driver!$K$188)/(Driver!$L$188-Driver!$K$188)</f>
        <v>0.13708177867428467</v>
      </c>
      <c r="AR51" s="72">
        <f>MIN((BD51-Driver!$K$189)/(Driver!$L$189-Driver!$K$189),100%)</f>
        <v>1.3251769556887333E-2</v>
      </c>
      <c r="AS51" s="72">
        <f>(BE51-Driver!$K$190)/(Driver!$L$190-Driver!$K$190)</f>
        <v>7.7110331145998925E-2</v>
      </c>
      <c r="AT51" s="72">
        <f>(BF51-Driver!$K$191)/(Driver!$L$191-Driver!$K$191)</f>
        <v>3.5377751672130336E-2</v>
      </c>
      <c r="AU51" s="72">
        <f>(BG51-Driver!$K$192)/(Driver!$L$192-Driver!$K$192)</f>
        <v>8.3139819806235152E-2</v>
      </c>
      <c r="AV51" s="70">
        <f t="shared" si="23"/>
        <v>7.5091575091575082</v>
      </c>
      <c r="AW51" s="70">
        <f t="shared" si="24"/>
        <v>31.985584952739163</v>
      </c>
      <c r="AX51" s="70">
        <f t="shared" si="25"/>
        <v>3.6824132043255546</v>
      </c>
      <c r="AY51" s="70">
        <f>IFERROR(Driver!$K$19/Data!BH51/Data!BI51*Data!BK51*Data!BL51,"")</f>
        <v>0.23168999115374506</v>
      </c>
      <c r="AZ51" s="70">
        <f t="shared" si="26"/>
        <v>28.071481757259864</v>
      </c>
      <c r="BA51" s="70"/>
      <c r="BB51" s="70"/>
      <c r="BC51" s="70">
        <f t="shared" si="27"/>
        <v>71.105271575416097</v>
      </c>
      <c r="BD51" s="70">
        <f t="shared" si="28"/>
        <v>2.8935810091360299</v>
      </c>
      <c r="BE51" s="70">
        <f t="shared" si="29"/>
        <v>7.7274964275356794E-2</v>
      </c>
      <c r="BF51" s="70">
        <f t="shared" si="30"/>
        <v>3.9956685085950845</v>
      </c>
      <c r="BG51" s="70">
        <f t="shared" si="31"/>
        <v>0.31482039525766203</v>
      </c>
      <c r="BH51" s="67">
        <f>MAX((CE51-Driver!$F$200)/(Driver!$G$200-Driver!$F$200)*$BI$1,1)</f>
        <v>3.6824132043255546</v>
      </c>
      <c r="BI51" s="67">
        <f>MAX($BI$1*(BY51-Driver!$F$201)/(Driver!$G$201-Driver!$F$201),1)</f>
        <v>7.3417721518987342</v>
      </c>
      <c r="BJ51" s="67">
        <f>(CB51-Driver!$F$206)/(Driver!$G$206-Driver!$F$206)*$BI$1</f>
        <v>5.7142857142857135</v>
      </c>
      <c r="BK51" s="67">
        <f>(CD51-Driver!$F$203)/(Driver!$G$203-Driver!$F$203)*$BI$1</f>
        <v>6.0550458715596349</v>
      </c>
      <c r="BL51" s="67">
        <f>MAX((CR51-Driver!$F$202)/(Driver!$G$202-Driver!$F$202)*$BI$1,1)</f>
        <v>5.1724137931034484</v>
      </c>
      <c r="BM51" s="67">
        <f>MAX((CH51-Driver!$F$204)/(Driver!$G$204-Driver!$F$204)*$BI$1,1)</f>
        <v>5.2564102564102564</v>
      </c>
      <c r="BN51" s="67">
        <f>(CI51-Driver!$F$205)/(Driver!$G$205-Driver!$F$205)*$BI$1</f>
        <v>3.8235294117647056</v>
      </c>
      <c r="BO51" s="67">
        <f>(CK51-Driver!$F$207)/(Driver!$G$207-Driver!$F$207)*$BI$1</f>
        <v>2.0268872802481903</v>
      </c>
      <c r="BP51" s="67">
        <f>(CM51-Driver!$F$208)/(Driver!$G$208-Driver!$F$208)*$BI$1</f>
        <v>2.088888888888889</v>
      </c>
      <c r="BQ51" s="67">
        <f>(CL51-Driver!$F$209)/(Driver!$G$209-Driver!$F$209)*$BI$1</f>
        <v>6.09375</v>
      </c>
      <c r="BR51" s="28" t="s">
        <v>155</v>
      </c>
      <c r="BS51" s="8" t="s">
        <v>180</v>
      </c>
      <c r="BT51" s="9" t="s">
        <v>232</v>
      </c>
      <c r="BU51" s="10">
        <v>175</v>
      </c>
      <c r="BV51" s="9" t="s">
        <v>158</v>
      </c>
      <c r="BW51" s="10">
        <v>175</v>
      </c>
      <c r="BX51" s="10">
        <v>173.4</v>
      </c>
      <c r="BY51" s="10">
        <v>124</v>
      </c>
      <c r="BZ51" s="10">
        <v>156</v>
      </c>
      <c r="CA51" s="10">
        <v>135</v>
      </c>
      <c r="CB51" s="10">
        <v>100</v>
      </c>
      <c r="CC51" s="10">
        <v>123</v>
      </c>
      <c r="CD51" s="10">
        <v>22.6</v>
      </c>
      <c r="CE51" s="10">
        <v>1547</v>
      </c>
      <c r="CF51" s="10">
        <v>1.21</v>
      </c>
      <c r="CG51" s="10">
        <v>1877</v>
      </c>
      <c r="CH51" s="10">
        <v>224</v>
      </c>
      <c r="CI51" s="10">
        <v>98</v>
      </c>
      <c r="CJ51" s="10">
        <v>60</v>
      </c>
      <c r="CK51" s="10">
        <v>306</v>
      </c>
      <c r="CL51" s="10">
        <v>39</v>
      </c>
      <c r="CM51" s="10">
        <v>188</v>
      </c>
      <c r="CN51" s="10">
        <v>0.64</v>
      </c>
      <c r="CO51" s="10">
        <v>99</v>
      </c>
      <c r="CP51" s="10">
        <v>74</v>
      </c>
      <c r="CQ51" s="10">
        <v>207</v>
      </c>
      <c r="CR51" s="10">
        <v>4</v>
      </c>
      <c r="CS51" s="10">
        <v>11.1</v>
      </c>
      <c r="CT51" s="9" t="s">
        <v>188</v>
      </c>
      <c r="CU51" s="9" t="s">
        <v>169</v>
      </c>
      <c r="CV51" s="9" t="s">
        <v>185</v>
      </c>
      <c r="CW51" s="10"/>
      <c r="CX51" t="str">
        <f>INDEX('Data_Price '!AG$2:AG$1266,MATCH(Data!$DN51,'Data_Price '!$AT$2:$AT$1266,0))</f>
        <v>2020 Scott Scrapper 105 Women's Skis w/ Tyrolia Attack2 14 GW Bindings - 175| Ski Essentials</v>
      </c>
      <c r="CY51" t="str">
        <f>INDEX('Data_Price '!AH$2:AH$1266,MATCH(Data!$DN51,'Data_Price '!$AT$2:$AT$1266,0))</f>
        <v>eBay - david110549</v>
      </c>
      <c r="CZ51">
        <f>INDEX('Data_Price '!AI$2:AI$1266,MATCH(Data!$DN51,'Data_Price '!$AT$2:$AT$1266,0))</f>
        <v>420.95</v>
      </c>
      <c r="DA51" t="str">
        <f>INDEX('Data_Price '!AJ$2:AJ$1266,MATCH(Data!$DN51,'Data_Price '!$AT$2:$AT$1266,0))</f>
        <v>https://tinyurl.com/y8jal6qk</v>
      </c>
      <c r="DB51" t="str">
        <f>INDEX('Data_Price '!AK$2:AK$1266,MATCH(Data!$DN51,'Data_Price '!$AT$2:$AT$1266,0))</f>
        <v>2020 Scott Scrapper 105 Women's Skis w/ Tyrolia Attack2 14 GW Bindings - 175| Ski Essentials</v>
      </c>
      <c r="DC51" t="str">
        <f>INDEX('Data_Price '!AL$2:AL$1266,MATCH(Data!$DN51,'Data_Price '!$AT$2:$AT$1266,0))</f>
        <v>SkiEssentials.com</v>
      </c>
      <c r="DD51">
        <f>INDEX('Data_Price '!AM$2:AM$1266,MATCH(Data!$DN51,'Data_Price '!$AT$2:$AT$1266,0))</f>
        <v>420.95</v>
      </c>
      <c r="DE51" t="str">
        <f>INDEX('Data_Price '!AN$2:AN$1266,MATCH(Data!$DN51,'Data_Price '!$AT$2:$AT$1266,0))</f>
        <v>https://tinyurl.com/ycjbu7wv</v>
      </c>
      <c r="DF51" t="str">
        <f>INDEX('Data_Price '!AO$2:AO$1266,MATCH(Data!$DN51,'Data_Price '!$AT$2:$AT$1266,0))</f>
        <v>Scott Scrapper 105 Skis 2022 - 175</v>
      </c>
      <c r="DG51" t="str">
        <f>INDEX('Data_Price '!AP$2:AP$1266,MATCH(Data!$DN51,'Data_Price '!$AT$2:$AT$1266,0))</f>
        <v>AlpinStore</v>
      </c>
      <c r="DH51">
        <f>INDEX('Data_Price '!AQ$2:AQ$1266,MATCH(Data!$DN51,'Data_Price '!$AT$2:$AT$1266,0))</f>
        <v>427.58</v>
      </c>
      <c r="DI51" t="str">
        <f>INDEX('Data_Price '!AR$2:AR$1266,MATCH(Data!$DN51,'Data_Price '!$AT$2:$AT$1266,0))</f>
        <v>https://tinyurl.com/y7esz3w8</v>
      </c>
      <c r="DJ51" s="89" t="str">
        <f t="shared" si="32"/>
        <v>https://tinyurl.com/y8jal6qk</v>
      </c>
      <c r="DK51" s="89" t="str">
        <f t="shared" si="33"/>
        <v>https://tinyurl.com/ycjbu7wv</v>
      </c>
      <c r="DL51" s="89" t="str">
        <f t="shared" si="34"/>
        <v>https://tinyurl.com/y7esz3w8</v>
      </c>
      <c r="DM51" s="219" t="str">
        <f t="shared" si="35"/>
        <v>Scrapper 105</v>
      </c>
      <c r="DN51" s="89" t="str">
        <f t="shared" si="36"/>
        <v xml:space="preserve"> ScottScrapper 105175 Unisex</v>
      </c>
      <c r="DO51" s="221" t="s">
        <v>233</v>
      </c>
    </row>
    <row r="52" spans="2:119" ht="15.6" customHeight="1">
      <c r="B52" s="219" t="b">
        <f t="array" ref="B52">IF(OR(ISERROR(K52:P52)),FALSE,TRUE)</f>
        <v>1</v>
      </c>
      <c r="C52" s="43" t="b">
        <f>OR(BR52=Driver!$G$50,Data!BR625=Driver!$H$50)</f>
        <v>1</v>
      </c>
      <c r="D52" s="43" t="b">
        <f>OR(BV52=Driver!$G$51,BV52=Driver!$H$51)</f>
        <v>0</v>
      </c>
      <c r="E52" s="43" t="b">
        <f>AND(BX52&gt;Driver!$F$54,BX52&lt;Driver!$G$54)</f>
        <v>1</v>
      </c>
      <c r="F52" s="43" t="b">
        <f>CL52&gt;Driver!$F$56</f>
        <v>1</v>
      </c>
      <c r="G52" s="43" t="b">
        <f>AND(CB52&gt;Driver!$F$55,CB52&lt;Driver!$G$55)</f>
        <v>0</v>
      </c>
      <c r="H52" s="43" t="b">
        <f t="shared" si="0"/>
        <v>0</v>
      </c>
      <c r="I52" s="43">
        <f t="shared" si="1"/>
        <v>0</v>
      </c>
      <c r="J52" s="43" t="b">
        <f t="array" ref="J52">NOT(OR(($H$9:$H$1273=TRUE)*($I$9:$I$1273&gt;0)*($BT$9:$BT$1273=BT52)*($K$9:$K$1273&gt;K52)))</f>
        <v>1</v>
      </c>
      <c r="K52" s="72">
        <f t="shared" si="2"/>
        <v>0.88309607005557378</v>
      </c>
      <c r="L52" s="72">
        <f t="shared" si="3"/>
        <v>0.97446757623137503</v>
      </c>
      <c r="M52" s="72">
        <f t="shared" si="4"/>
        <v>0.79172456387977252</v>
      </c>
      <c r="N52" s="72">
        <f t="shared" si="5"/>
        <v>0.83526140565325591</v>
      </c>
      <c r="O52" s="72">
        <f t="shared" si="6"/>
        <v>0.61669777866414532</v>
      </c>
      <c r="P52" s="72">
        <f t="shared" si="7"/>
        <v>0.92321450732191612</v>
      </c>
      <c r="Q52" s="72"/>
      <c r="R52" s="72"/>
      <c r="S52" s="72">
        <f t="shared" si="8"/>
        <v>0.42682246260777512</v>
      </c>
      <c r="T52" s="72">
        <f t="shared" si="9"/>
        <v>0.57936561931709307</v>
      </c>
      <c r="U52" s="72">
        <f t="shared" si="10"/>
        <v>0.9886185663879351</v>
      </c>
      <c r="V52" s="72">
        <f t="shared" si="11"/>
        <v>0.53525705591245409</v>
      </c>
      <c r="W52" s="72">
        <f t="shared" si="12"/>
        <v>0.779792105689739</v>
      </c>
      <c r="X52" s="72">
        <f t="shared" si="13"/>
        <v>2.5532423768624968E-2</v>
      </c>
      <c r="Y52" s="72">
        <f t="shared" si="14"/>
        <v>0.2082754361202275</v>
      </c>
      <c r="Z52" s="72">
        <f t="shared" si="15"/>
        <v>0.16473859434674404</v>
      </c>
      <c r="AA52" s="72">
        <f t="shared" si="16"/>
        <v>0.38330222133585468</v>
      </c>
      <c r="AB52" s="72">
        <f t="shared" si="17"/>
        <v>7.6785492678083878E-2</v>
      </c>
      <c r="AC52" s="72"/>
      <c r="AD52" s="72"/>
      <c r="AE52" s="72">
        <f t="shared" si="18"/>
        <v>0.57317753739222488</v>
      </c>
      <c r="AF52" s="72">
        <f t="shared" si="19"/>
        <v>0.42063438068290693</v>
      </c>
      <c r="AG52" s="72">
        <f t="shared" si="20"/>
        <v>1.1381433612064895E-2</v>
      </c>
      <c r="AH52" s="72">
        <f t="shared" si="21"/>
        <v>0.46474294408754585</v>
      </c>
      <c r="AI52" s="72">
        <f t="shared" si="22"/>
        <v>0.220207894310261</v>
      </c>
      <c r="AJ52" s="72">
        <f>(AV52-Driver!$K$179)/(Driver!$L$179-Driver!$K$179)</f>
        <v>0.27975183305132539</v>
      </c>
      <c r="AK52" s="72">
        <f>(AW52-Driver!$K$180)/(Driver!$L$180-Driver!$K$180)</f>
        <v>0.3260035685125639</v>
      </c>
      <c r="AL52" s="72">
        <f>(AX52-Driver!$K$181)/(Driver!$L$181-Driver!$K$181)</f>
        <v>0.26642635805982423</v>
      </c>
      <c r="AM52" s="72">
        <f>(AY52-Driver!$K$182)/(Driver!$L$182-Driver!$K$182)</f>
        <v>6.4082799761191703E-2</v>
      </c>
      <c r="AN52" s="72">
        <f>(AZ52-Driver!$K$183)/(Driver!$L$183-Driver!$K$183)</f>
        <v>0.3310049019607843</v>
      </c>
      <c r="AO52" s="72"/>
      <c r="AP52" s="72"/>
      <c r="AQ52" s="72">
        <f>(BC52-Driver!$K$188)/(Driver!$L$188-Driver!$K$188)</f>
        <v>4.6822462607775152E-2</v>
      </c>
      <c r="AR52" s="72">
        <f>MIN((BD52-Driver!$K$189)/(Driver!$L$189-Driver!$K$189),100%)</f>
        <v>0.12936561931709314</v>
      </c>
      <c r="AS52" s="72">
        <f>(BE52-Driver!$K$190)/(Driver!$L$190-Driver!$K$190)</f>
        <v>0.5213814336120649</v>
      </c>
      <c r="AT52" s="72">
        <f>(BF52-Driver!$K$191)/(Driver!$L$191-Driver!$K$191)</f>
        <v>4.5257055912454165E-2</v>
      </c>
      <c r="AU52" s="72">
        <f>(BG52-Driver!$K$192)/(Driver!$L$192-Driver!$K$192)</f>
        <v>2.9792105689739015E-2</v>
      </c>
      <c r="AV52" s="70">
        <f t="shared" si="23"/>
        <v>5.8879392212725543</v>
      </c>
      <c r="AW52" s="70">
        <f t="shared" si="24"/>
        <v>33.643829058485942</v>
      </c>
      <c r="AX52" s="70">
        <f t="shared" si="25"/>
        <v>3.3978372225384179</v>
      </c>
      <c r="AY52" s="70">
        <f>IFERROR(Driver!$K$19/Data!BH52/Data!BI52*Data!BK52*Data!BL52,"")</f>
        <v>7.84564673697144E-2</v>
      </c>
      <c r="AZ52" s="70">
        <f t="shared" si="26"/>
        <v>30.167535368577809</v>
      </c>
      <c r="BA52" s="70"/>
      <c r="BB52" s="70"/>
      <c r="BC52" s="70">
        <f t="shared" si="27"/>
        <v>24.287136859132172</v>
      </c>
      <c r="BD52" s="70">
        <f t="shared" si="28"/>
        <v>13.169450971346837</v>
      </c>
      <c r="BE52" s="70">
        <f t="shared" si="29"/>
        <v>0.52146681377722715</v>
      </c>
      <c r="BF52" s="70">
        <f t="shared" si="30"/>
        <v>5.1114665164992648</v>
      </c>
      <c r="BG52" s="70">
        <f t="shared" si="31"/>
        <v>0.112811917450154</v>
      </c>
      <c r="BH52" s="67">
        <f>MAX((CE52-Driver!$F$200)/(Driver!$G$200-Driver!$F$200)*$BI$1,1)</f>
        <v>3.3978372225384179</v>
      </c>
      <c r="BI52" s="67">
        <f>MAX($BI$1*(BY52-Driver!$F$201)/(Driver!$G$201-Driver!$F$201),1)</f>
        <v>7.0253164556962027</v>
      </c>
      <c r="BJ52" s="67">
        <f>(CB52-Driver!$F$206)/(Driver!$G$206-Driver!$F$206)*$BI$1</f>
        <v>4.4444444444444446</v>
      </c>
      <c r="BK52" s="67">
        <f>(CD52-Driver!$F$203)/(Driver!$G$203-Driver!$F$203)*$BI$1</f>
        <v>1.6972477064220182</v>
      </c>
      <c r="BL52" s="67">
        <f>MAX((CR52-Driver!$F$202)/(Driver!$G$202-Driver!$F$202)*$BI$1,1)</f>
        <v>5.5172413793103452</v>
      </c>
      <c r="BM52" s="67">
        <f>MAX((CH52-Driver!$F$204)/(Driver!$G$204-Driver!$F$204)*$BI$1,1)</f>
        <v>5.299145299145299</v>
      </c>
      <c r="BN52" s="67">
        <f>(CI52-Driver!$F$205)/(Driver!$G$205-Driver!$F$205)*$BI$1</f>
        <v>4.2941176470588234</v>
      </c>
      <c r="BO52" s="67">
        <f>(CK52-Driver!$F$207)/(Driver!$G$207-Driver!$F$207)*$BI$1</f>
        <v>1.2823164426059979</v>
      </c>
      <c r="BP52" s="67">
        <f>(CM52-Driver!$F$208)/(Driver!$G$208-Driver!$F$208)*$BI$1</f>
        <v>1.5222222222222224</v>
      </c>
      <c r="BQ52" s="67">
        <f>(CL52-Driver!$F$209)/(Driver!$G$209-Driver!$F$209)*$BI$1</f>
        <v>2.03125</v>
      </c>
      <c r="BR52" s="28" t="s">
        <v>155</v>
      </c>
      <c r="BS52" s="8" t="s">
        <v>167</v>
      </c>
      <c r="BT52" s="9" t="s">
        <v>234</v>
      </c>
      <c r="BU52" s="10">
        <v>156</v>
      </c>
      <c r="BV52" s="9" t="s">
        <v>163</v>
      </c>
      <c r="BW52" s="10">
        <v>156</v>
      </c>
      <c r="BX52" s="10">
        <v>155.80000000000001</v>
      </c>
      <c r="BY52" s="10">
        <v>119</v>
      </c>
      <c r="BZ52" s="10">
        <v>123</v>
      </c>
      <c r="CA52" s="10">
        <v>124</v>
      </c>
      <c r="CB52" s="10">
        <v>92</v>
      </c>
      <c r="CC52" s="10">
        <v>111</v>
      </c>
      <c r="CD52" s="10">
        <v>13.1</v>
      </c>
      <c r="CE52" s="10">
        <v>1497</v>
      </c>
      <c r="CF52" s="10">
        <v>1.08</v>
      </c>
      <c r="CG52" s="10">
        <v>1614</v>
      </c>
      <c r="CH52" s="10">
        <v>225</v>
      </c>
      <c r="CI52" s="10">
        <v>106</v>
      </c>
      <c r="CJ52" s="10">
        <v>48</v>
      </c>
      <c r="CK52" s="10">
        <v>234</v>
      </c>
      <c r="CL52" s="10">
        <v>13</v>
      </c>
      <c r="CM52" s="10">
        <v>137</v>
      </c>
      <c r="CN52" s="10">
        <v>0.27200000000000002</v>
      </c>
      <c r="CO52" s="10">
        <v>167</v>
      </c>
      <c r="CP52" s="10">
        <v>158</v>
      </c>
      <c r="CQ52" s="10">
        <v>67</v>
      </c>
      <c r="CR52" s="10">
        <v>5</v>
      </c>
      <c r="CS52" s="10">
        <v>6.9</v>
      </c>
      <c r="CT52" s="9" t="s">
        <v>188</v>
      </c>
      <c r="CU52" s="9" t="s">
        <v>185</v>
      </c>
      <c r="CV52" s="10"/>
      <c r="CW52" s="10"/>
      <c r="CX52" t="str">
        <f>INDEX('Data_Price '!AG$2:AG$1266,MATCH(Data!$DN52,'Data_Price '!$AT$2:$AT$1266,0))</f>
        <v>Head Kore 97 W Incl Attack 12 GW Binding Anthracite-Green 156 Ski Lady's Ladies / Women</v>
      </c>
      <c r="CY52" t="str">
        <f>INDEX('Data_Price '!AH$2:AH$1266,MATCH(Data!$DN52,'Data_Price '!$AT$2:$AT$1266,0))</f>
        <v>! OutdoorXL.com</v>
      </c>
      <c r="CZ52">
        <f>INDEX('Data_Price '!AI$2:AI$1266,MATCH(Data!$DN52,'Data_Price '!$AT$2:$AT$1266,0))</f>
        <v>514.95000000000005</v>
      </c>
      <c r="DA52" t="str">
        <f>INDEX('Data_Price '!AJ$2:AJ$1266,MATCH(Data!$DN52,'Data_Price '!$AT$2:$AT$1266,0))</f>
        <v>https://tinyurl.com/yaslw7hr</v>
      </c>
      <c r="DB52" t="str">
        <f>INDEX('Data_Price '!AK$2:AK$1266,MATCH(Data!$DN52,'Data_Price '!$AT$2:$AT$1266,0))</f>
        <v>Head Women's Kore 97 W Skis Green 156 Cm</v>
      </c>
      <c r="DC52" t="str">
        <f>INDEX('Data_Price '!AL$2:AL$1266,MATCH(Data!$DN52,'Data_Price '!$AT$2:$AT$1266,0))</f>
        <v>REI</v>
      </c>
      <c r="DD52">
        <f>INDEX('Data_Price '!AM$2:AM$1266,MATCH(Data!$DN52,'Data_Price '!$AT$2:$AT$1266,0))</f>
        <v>518.92999999999995</v>
      </c>
      <c r="DE52" t="str">
        <f>INDEX('Data_Price '!AN$2:AN$1266,MATCH(Data!$DN52,'Data_Price '!$AT$2:$AT$1266,0))</f>
        <v>https://tinyurl.com/y8vvwaxu</v>
      </c>
      <c r="DF52" t="str">
        <f>INDEX('Data_Price '!AO$2:AO$1266,MATCH(Data!$DN52,'Data_Price '!$AT$2:$AT$1266,0))</f>
        <v>2022 Head Kore 97 W Ladies' Snow Skis 156</v>
      </c>
      <c r="DG52" t="str">
        <f>INDEX('Data_Price '!AP$2:AP$1266,MATCH(Data!$DN52,'Data_Price '!$AT$2:$AT$1266,0))</f>
        <v>The Pro Shop</v>
      </c>
      <c r="DH52">
        <f>INDEX('Data_Price '!AQ$2:AQ$1266,MATCH(Data!$DN52,'Data_Price '!$AT$2:$AT$1266,0))</f>
        <v>699</v>
      </c>
      <c r="DI52" t="str">
        <f>INDEX('Data_Price '!AR$2:AR$1266,MATCH(Data!$DN52,'Data_Price '!$AT$2:$AT$1266,0))</f>
        <v>https://tinyurl.com/y728wchx</v>
      </c>
      <c r="DJ52" s="89" t="str">
        <f t="shared" si="32"/>
        <v>https://tinyurl.com/yaslw7hr</v>
      </c>
      <c r="DK52" s="89" t="str">
        <f t="shared" si="33"/>
        <v>https://tinyurl.com/y8vvwaxu</v>
      </c>
      <c r="DL52" s="89" t="str">
        <f t="shared" si="34"/>
        <v>https://tinyurl.com/y728wchx</v>
      </c>
      <c r="DM52" s="219" t="str">
        <f t="shared" si="35"/>
        <v>Kore 97 W</v>
      </c>
      <c r="DN52" s="89" t="str">
        <f t="shared" si="36"/>
        <v xml:space="preserve"> HeadKore 97 W156 Women's</v>
      </c>
      <c r="DO52" s="221"/>
    </row>
    <row r="53" spans="2:119" ht="15.6" customHeight="1">
      <c r="B53" s="219" t="b">
        <f t="array" ref="B53">IF(OR(ISERROR(K53:P53)),FALSE,TRUE)</f>
        <v>1</v>
      </c>
      <c r="C53" s="43" t="b">
        <f>OR(BR53=Driver!$G$50,Data!BR55=Driver!$H$50)</f>
        <v>1</v>
      </c>
      <c r="D53" s="43" t="b">
        <f>OR(BV53=Driver!$G$51,BV53=Driver!$H$51)</f>
        <v>0</v>
      </c>
      <c r="E53" s="43" t="b">
        <f>AND(BX53&gt;Driver!$F$54,BX53&lt;Driver!$G$54)</f>
        <v>0</v>
      </c>
      <c r="F53" s="43" t="b">
        <f>CL53&gt;Driver!$F$56</f>
        <v>1</v>
      </c>
      <c r="G53" s="43" t="b">
        <f>AND(CB53&gt;Driver!$F$55,CB53&lt;Driver!$G$55)</f>
        <v>0</v>
      </c>
      <c r="H53" s="43" t="b">
        <f t="shared" si="0"/>
        <v>0</v>
      </c>
      <c r="I53" s="43">
        <f t="shared" si="1"/>
        <v>0</v>
      </c>
      <c r="J53" s="43" t="b">
        <f t="array" ref="J53">NOT(OR(($H$9:$H$1273=TRUE)*($I$9:$I$1273&gt;0)*($BT$9:$BT$1273=BT53)*($K$9:$K$1273&gt;K53)))</f>
        <v>1</v>
      </c>
      <c r="K53" s="72">
        <f t="shared" si="2"/>
        <v>0.81488772944865651</v>
      </c>
      <c r="L53" s="72">
        <f t="shared" si="3"/>
        <v>0.85576367024352629</v>
      </c>
      <c r="M53" s="72">
        <f t="shared" si="4"/>
        <v>0.77401178865378661</v>
      </c>
      <c r="N53" s="72">
        <f t="shared" si="5"/>
        <v>0.70435645403117286</v>
      </c>
      <c r="O53" s="72">
        <f t="shared" si="6"/>
        <v>0.68510982944487198</v>
      </c>
      <c r="P53" s="72">
        <f t="shared" si="7"/>
        <v>0.93256908248531478</v>
      </c>
      <c r="Q53" s="72"/>
      <c r="R53" s="72"/>
      <c r="S53" s="72">
        <f t="shared" si="8"/>
        <v>0.49643547511748087</v>
      </c>
      <c r="T53" s="72">
        <f t="shared" si="9"/>
        <v>0.5214086342346187</v>
      </c>
      <c r="U53" s="72">
        <f t="shared" si="10"/>
        <v>0.75568630701991313</v>
      </c>
      <c r="V53" s="72">
        <f t="shared" si="11"/>
        <v>0.49873248093274791</v>
      </c>
      <c r="W53" s="72">
        <f t="shared" si="12"/>
        <v>0.87335820895522387</v>
      </c>
      <c r="X53" s="72">
        <f t="shared" si="13"/>
        <v>0.14423632975647371</v>
      </c>
      <c r="Y53" s="72">
        <f t="shared" si="14"/>
        <v>0.22598821134621341</v>
      </c>
      <c r="Z53" s="72">
        <f t="shared" si="15"/>
        <v>0.29564354596882714</v>
      </c>
      <c r="AA53" s="72">
        <f t="shared" si="16"/>
        <v>0.31489017055512802</v>
      </c>
      <c r="AB53" s="72">
        <f t="shared" si="17"/>
        <v>6.7430917514685162E-2</v>
      </c>
      <c r="AC53" s="72"/>
      <c r="AD53" s="72"/>
      <c r="AE53" s="72">
        <f t="shared" si="18"/>
        <v>0.50356452488251913</v>
      </c>
      <c r="AF53" s="72">
        <f t="shared" si="19"/>
        <v>0.47859136576538125</v>
      </c>
      <c r="AG53" s="72">
        <f t="shared" si="20"/>
        <v>0.24431369298008687</v>
      </c>
      <c r="AH53" s="72">
        <f t="shared" si="21"/>
        <v>0.50126751906725209</v>
      </c>
      <c r="AI53" s="72">
        <f t="shared" si="22"/>
        <v>0.12664179104477613</v>
      </c>
      <c r="AJ53" s="72">
        <f>(AV53-Driver!$K$179)/(Driver!$L$179-Driver!$K$179)</f>
        <v>0.10998307952622671</v>
      </c>
      <c r="AK53" s="72">
        <f>(AW53-Driver!$K$180)/(Driver!$L$180-Driver!$K$180)</f>
        <v>0.33020362223269495</v>
      </c>
      <c r="AL53" s="72">
        <f>(AX53-Driver!$K$181)/(Driver!$L$181-Driver!$K$181)</f>
        <v>0.39733130968190733</v>
      </c>
      <c r="AM53" s="72">
        <f>(AY53-Driver!$K$182)/(Driver!$L$182-Driver!$K$182)</f>
        <v>0.13249485054191837</v>
      </c>
      <c r="AN53" s="72">
        <f>(AZ53-Driver!$K$183)/(Driver!$L$183-Driver!$K$183)</f>
        <v>0.32165032679738559</v>
      </c>
      <c r="AO53" s="72"/>
      <c r="AP53" s="72"/>
      <c r="AQ53" s="72">
        <f>(BC53-Driver!$K$188)/(Driver!$L$188-Driver!$K$188)</f>
        <v>0.11643547511748084</v>
      </c>
      <c r="AR53" s="72">
        <f>MIN((BD53-Driver!$K$189)/(Driver!$L$189-Driver!$K$189),100%)</f>
        <v>7.1408634234618809E-2</v>
      </c>
      <c r="AS53" s="72">
        <f>(BE53-Driver!$K$190)/(Driver!$L$190-Driver!$K$190)</f>
        <v>0.26568630701991314</v>
      </c>
      <c r="AT53" s="72">
        <f>(BF53-Driver!$K$191)/(Driver!$L$191-Driver!$K$191)</f>
        <v>8.7324809327479751E-3</v>
      </c>
      <c r="AU53" s="72">
        <f>(BG53-Driver!$K$192)/(Driver!$L$192-Driver!$K$192)</f>
        <v>0.12335820895522386</v>
      </c>
      <c r="AV53" s="70">
        <f t="shared" si="23"/>
        <v>2.3148148148148144</v>
      </c>
      <c r="AW53" s="70">
        <f t="shared" si="24"/>
        <v>34.053161509774625</v>
      </c>
      <c r="AX53" s="70">
        <f t="shared" si="25"/>
        <v>4.5759817871371657</v>
      </c>
      <c r="AY53" s="70">
        <f>IFERROR(Driver!$K$19/Data!BH53/Data!BI53*Data!BK53*Data!BL53,"")</f>
        <v>0.16221322971117164</v>
      </c>
      <c r="AZ53" s="70">
        <f t="shared" si="26"/>
        <v>29.314966492926285</v>
      </c>
      <c r="BA53" s="70"/>
      <c r="BB53" s="70"/>
      <c r="BC53" s="70">
        <f t="shared" si="27"/>
        <v>60.395890389728208</v>
      </c>
      <c r="BD53" s="70">
        <f t="shared" si="28"/>
        <v>8.0403604852487192</v>
      </c>
      <c r="BE53" s="70">
        <f t="shared" si="29"/>
        <v>0.26581730031768813</v>
      </c>
      <c r="BF53" s="70">
        <f t="shared" si="30"/>
        <v>0.98627237220321129</v>
      </c>
      <c r="BG53" s="70">
        <f t="shared" si="31"/>
        <v>0.46711287313432831</v>
      </c>
      <c r="BH53" s="67">
        <f>MAX((CE53-Driver!$F$200)/(Driver!$G$200-Driver!$F$200)*$BI$1,1)</f>
        <v>4.5759817871371657</v>
      </c>
      <c r="BI53" s="67">
        <f>MAX($BI$1*(BY53-Driver!$F$201)/(Driver!$G$201-Driver!$F$201),1)</f>
        <v>8.037974683544304</v>
      </c>
      <c r="BJ53" s="67">
        <f>(CB53-Driver!$F$206)/(Driver!$G$206-Driver!$F$206)*$BI$1</f>
        <v>3.333333333333333</v>
      </c>
      <c r="BK53" s="67">
        <f>(CD53-Driver!$F$203)/(Driver!$G$203-Driver!$F$203)*$BI$1</f>
        <v>3.7614678899082579</v>
      </c>
      <c r="BL53" s="67">
        <f>MAX((CR53-Driver!$F$202)/(Driver!$G$202-Driver!$F$202)*$BI$1,1)</f>
        <v>7.931034482758621</v>
      </c>
      <c r="BM53" s="67">
        <f>MAX((CH53-Driver!$F$204)/(Driver!$G$204-Driver!$F$204)*$BI$1,1)</f>
        <v>2.7777777777777777</v>
      </c>
      <c r="BN53" s="67">
        <f>(CI53-Driver!$F$205)/(Driver!$G$205-Driver!$F$205)*$BI$1</f>
        <v>3.6470588235294117</v>
      </c>
      <c r="BO53" s="67">
        <f>(CK53-Driver!$F$207)/(Driver!$G$207-Driver!$F$207)*$BI$1</f>
        <v>0.59979317476732152</v>
      </c>
      <c r="BP53" s="67">
        <f>(CM53-Driver!$F$208)/(Driver!$G$208-Driver!$F$208)*$BI$1</f>
        <v>1.8555555555555556</v>
      </c>
      <c r="BQ53" s="67">
        <f>(CL53-Driver!$F$209)/(Driver!$G$209-Driver!$F$209)*$BI$1</f>
        <v>5.9375</v>
      </c>
      <c r="BR53" s="28" t="s">
        <v>155</v>
      </c>
      <c r="BS53" s="8" t="s">
        <v>182</v>
      </c>
      <c r="BT53" s="9" t="s">
        <v>235</v>
      </c>
      <c r="BU53" s="10">
        <v>170</v>
      </c>
      <c r="BV53" s="9" t="s">
        <v>163</v>
      </c>
      <c r="BW53" s="10">
        <v>170</v>
      </c>
      <c r="BX53" s="10">
        <v>168.2</v>
      </c>
      <c r="BY53" s="10">
        <v>135</v>
      </c>
      <c r="BZ53" s="10">
        <v>139</v>
      </c>
      <c r="CA53" s="10">
        <v>114</v>
      </c>
      <c r="CB53" s="10">
        <v>85</v>
      </c>
      <c r="CC53" s="10">
        <v>108</v>
      </c>
      <c r="CD53" s="10">
        <v>17.600000000000001</v>
      </c>
      <c r="CE53" s="10">
        <v>1704</v>
      </c>
      <c r="CF53" s="10">
        <v>0.94</v>
      </c>
      <c r="CG53" s="10">
        <v>1604</v>
      </c>
      <c r="CH53" s="10">
        <v>166</v>
      </c>
      <c r="CI53" s="10">
        <v>95</v>
      </c>
      <c r="CJ53" s="10">
        <v>44</v>
      </c>
      <c r="CK53" s="10">
        <v>168</v>
      </c>
      <c r="CL53" s="10">
        <v>38</v>
      </c>
      <c r="CM53" s="10">
        <v>167</v>
      </c>
      <c r="CN53" s="10">
        <v>0.87</v>
      </c>
      <c r="CO53" s="10">
        <v>139</v>
      </c>
      <c r="CP53" s="10">
        <v>152</v>
      </c>
      <c r="CQ53" s="10">
        <v>29</v>
      </c>
      <c r="CR53" s="10">
        <v>12</v>
      </c>
      <c r="CS53" s="10">
        <v>3.8</v>
      </c>
      <c r="CT53" s="9" t="s">
        <v>184</v>
      </c>
      <c r="CU53" s="10"/>
      <c r="CV53" s="10"/>
      <c r="CW53" s="10"/>
      <c r="CX53" t="str">
        <f>INDEX('Data_Price '!AG$2:AG$1266,MATCH(Data!$DN53,'Data_Price '!$AT$2:$AT$1266,0))</f>
        <v>Armada Women's ARW 86 Skis 170 cm</v>
      </c>
      <c r="CY53" t="str">
        <f>INDEX('Data_Price '!AH$2:AH$1266,MATCH(Data!$DN53,'Data_Price '!$AT$2:$AT$1266,0))</f>
        <v>! OutdoorXL.com</v>
      </c>
      <c r="CZ53">
        <f>INDEX('Data_Price '!AI$2:AI$1266,MATCH(Data!$DN53,'Data_Price '!$AT$2:$AT$1266,0))</f>
        <v>299.95</v>
      </c>
      <c r="DA53" t="str">
        <f>INDEX('Data_Price '!AJ$2:AJ$1266,MATCH(Data!$DN53,'Data_Price '!$AT$2:$AT$1266,0))</f>
        <v>https://tinyurl.com/yc939x2b</v>
      </c>
      <c r="DB53" t="str">
        <f>INDEX('Data_Price '!AK$2:AK$1266,MATCH(Data!$DN53,'Data_Price '!$AT$2:$AT$1266,0))</f>
        <v>Armada Women's ARW 86 Skis 170 cm</v>
      </c>
      <c r="DC53" t="str">
        <f>INDEX('Data_Price '!AL$2:AL$1266,MATCH(Data!$DN53,'Data_Price '!$AT$2:$AT$1266,0))</f>
        <v>evo.com</v>
      </c>
      <c r="DD53">
        <f>INDEX('Data_Price '!AM$2:AM$1266,MATCH(Data!$DN53,'Data_Price '!$AT$2:$AT$1266,0))</f>
        <v>319.95999999999998</v>
      </c>
      <c r="DE53" t="str">
        <f>INDEX('Data_Price '!AN$2:AN$1266,MATCH(Data!$DN53,'Data_Price '!$AT$2:$AT$1266,0))</f>
        <v>https://tinyurl.com/ybblrjnu</v>
      </c>
      <c r="DF53" t="str">
        <f>INDEX('Data_Price '!AO$2:AO$1266,MATCH(Data!$DN53,'Data_Price '!$AT$2:$AT$1266,0))</f>
        <v>Armada Women's ARW 86 Skis 170 cm</v>
      </c>
      <c r="DG53" t="str">
        <f>INDEX('Data_Price '!AP$2:AP$1266,MATCH(Data!$DN53,'Data_Price '!$AT$2:$AT$1266,0))</f>
        <v>BlueZone Sports</v>
      </c>
      <c r="DH53">
        <f>INDEX('Data_Price '!AQ$2:AQ$1266,MATCH(Data!$DN53,'Data_Price '!$AT$2:$AT$1266,0))</f>
        <v>399.95</v>
      </c>
      <c r="DI53" t="str">
        <f>INDEX('Data_Price '!AR$2:AR$1266,MATCH(Data!$DN53,'Data_Price '!$AT$2:$AT$1266,0))</f>
        <v>https://tinyurl.com/ycyckmnk</v>
      </c>
      <c r="DJ53" s="89" t="str">
        <f t="shared" si="32"/>
        <v>https://tinyurl.com/yc939x2b</v>
      </c>
      <c r="DK53" s="89" t="str">
        <f t="shared" si="33"/>
        <v>https://tinyurl.com/ybblrjnu</v>
      </c>
      <c r="DL53" s="89" t="str">
        <f t="shared" si="34"/>
        <v>https://tinyurl.com/ycyckmnk</v>
      </c>
      <c r="DM53" s="219" t="str">
        <f t="shared" si="35"/>
        <v>ARW 86</v>
      </c>
      <c r="DN53" s="89" t="str">
        <f t="shared" si="36"/>
        <v xml:space="preserve"> ArmadaARW 86170 Women's</v>
      </c>
      <c r="DO53" s="221" t="s">
        <v>236</v>
      </c>
    </row>
    <row r="54" spans="2:119" ht="15.6" customHeight="1">
      <c r="B54" s="219" t="b">
        <f t="array" ref="B54">IF(OR(ISERROR(K54:P54)),FALSE,TRUE)</f>
        <v>1</v>
      </c>
      <c r="C54" s="43" t="b">
        <f>OR(BR54=Driver!$G$50,Data!BR233=Driver!$H$50)</f>
        <v>1</v>
      </c>
      <c r="D54" s="43" t="b">
        <f>OR(BV54=Driver!$G$51,BV54=Driver!$H$51)</f>
        <v>1</v>
      </c>
      <c r="E54" s="43" t="b">
        <f>AND(BX54&gt;Driver!$F$54,BX54&lt;Driver!$G$54)</f>
        <v>0</v>
      </c>
      <c r="F54" s="43" t="b">
        <f>CL54&gt;Driver!$F$56</f>
        <v>1</v>
      </c>
      <c r="G54" s="43" t="b">
        <f>AND(CB54&gt;Driver!$F$55,CB54&lt;Driver!$G$55)</f>
        <v>0</v>
      </c>
      <c r="H54" s="43" t="b">
        <f t="shared" si="0"/>
        <v>0</v>
      </c>
      <c r="I54" s="43">
        <f t="shared" si="1"/>
        <v>0</v>
      </c>
      <c r="J54" s="43" t="b">
        <f t="array" ref="J54">NOT(OR(($H$9:$H$1273=TRUE)*($I$9:$I$1273&gt;0)*($BT$9:$BT$1273=BT54)*($K$9:$K$1273&gt;K54)))</f>
        <v>1</v>
      </c>
      <c r="K54" s="72">
        <f t="shared" si="2"/>
        <v>0.86333846196818187</v>
      </c>
      <c r="L54" s="72">
        <f t="shared" si="3"/>
        <v>0.9409489234233821</v>
      </c>
      <c r="M54" s="72">
        <f t="shared" si="4"/>
        <v>0.78572800051298153</v>
      </c>
      <c r="N54" s="72">
        <f t="shared" si="5"/>
        <v>0.72522535936222965</v>
      </c>
      <c r="O54" s="72">
        <f t="shared" si="6"/>
        <v>0.66646472309009286</v>
      </c>
      <c r="P54" s="72">
        <f t="shared" si="7"/>
        <v>0.96549391908662208</v>
      </c>
      <c r="Q54" s="72"/>
      <c r="R54" s="72"/>
      <c r="S54" s="72">
        <f t="shared" si="8"/>
        <v>0.47053446576370017</v>
      </c>
      <c r="T54" s="72">
        <f t="shared" si="9"/>
        <v>0.47911328468750558</v>
      </c>
      <c r="U54" s="72">
        <f t="shared" si="10"/>
        <v>0.64554317514907278</v>
      </c>
      <c r="V54" s="72">
        <f t="shared" si="11"/>
        <v>0.54009911436420999</v>
      </c>
      <c r="W54" s="72">
        <f t="shared" si="12"/>
        <v>0.78259835711197578</v>
      </c>
      <c r="X54" s="72">
        <f t="shared" si="13"/>
        <v>5.90510765766179E-2</v>
      </c>
      <c r="Y54" s="72">
        <f t="shared" si="14"/>
        <v>0.2142719994870185</v>
      </c>
      <c r="Z54" s="72">
        <f t="shared" si="15"/>
        <v>0.27477464063777035</v>
      </c>
      <c r="AA54" s="72">
        <f t="shared" si="16"/>
        <v>0.33353527690990714</v>
      </c>
      <c r="AB54" s="72">
        <f t="shared" si="17"/>
        <v>3.4506080913377979E-2</v>
      </c>
      <c r="AC54" s="72"/>
      <c r="AD54" s="72"/>
      <c r="AE54" s="72">
        <f t="shared" si="18"/>
        <v>0.52946553423629983</v>
      </c>
      <c r="AF54" s="72">
        <f t="shared" si="19"/>
        <v>0.52088671531249442</v>
      </c>
      <c r="AG54" s="72">
        <f t="shared" si="20"/>
        <v>0.35445682485092728</v>
      </c>
      <c r="AH54" s="72">
        <f t="shared" si="21"/>
        <v>0.45990088563578996</v>
      </c>
      <c r="AI54" s="72">
        <f t="shared" si="22"/>
        <v>0.21740164288802422</v>
      </c>
      <c r="AJ54" s="72">
        <f>(AV54-Driver!$K$179)/(Driver!$L$179-Driver!$K$179)</f>
        <v>0.31327048585931833</v>
      </c>
      <c r="AK54" s="72">
        <f>(AW54-Driver!$K$180)/(Driver!$L$180-Driver!$K$180)</f>
        <v>0.29725236574091729</v>
      </c>
      <c r="AL54" s="72">
        <f>(AX54-Driver!$K$181)/(Driver!$L$181-Driver!$K$181)</f>
        <v>0.37646240435085054</v>
      </c>
      <c r="AM54" s="72">
        <f>(AY54-Driver!$K$182)/(Driver!$L$182-Driver!$K$182)</f>
        <v>0.11384974418713921</v>
      </c>
      <c r="AN54" s="72">
        <f>(AZ54-Driver!$K$183)/(Driver!$L$183-Driver!$K$183)</f>
        <v>0.2887254901960784</v>
      </c>
      <c r="AO54" s="72"/>
      <c r="AP54" s="72"/>
      <c r="AQ54" s="72">
        <f>(BC54-Driver!$K$188)/(Driver!$L$188-Driver!$K$188)</f>
        <v>9.0534465763700139E-2</v>
      </c>
      <c r="AR54" s="72">
        <f>MIN((BD54-Driver!$K$189)/(Driver!$L$189-Driver!$K$189),100%)</f>
        <v>2.9113284687505576E-2</v>
      </c>
      <c r="AS54" s="72">
        <f>(BE54-Driver!$K$190)/(Driver!$L$190-Driver!$K$190)</f>
        <v>0.15554317514907273</v>
      </c>
      <c r="AT54" s="72">
        <f>(BF54-Driver!$K$191)/(Driver!$L$191-Driver!$K$191)</f>
        <v>5.0099114364210072E-2</v>
      </c>
      <c r="AU54" s="72">
        <f>(BG54-Driver!$K$192)/(Driver!$L$192-Driver!$K$192)</f>
        <v>3.2598357111975777E-2</v>
      </c>
      <c r="AV54" s="70">
        <f t="shared" si="23"/>
        <v>6.5934065934065931</v>
      </c>
      <c r="AW54" s="70">
        <f t="shared" si="24"/>
        <v>30.841769586815936</v>
      </c>
      <c r="AX54" s="70">
        <f t="shared" si="25"/>
        <v>4.388161639157655</v>
      </c>
      <c r="AY54" s="70">
        <f>IFERROR(Driver!$K$19/Data!BH54/Data!BI54*Data!BK54*Data!BL54,"")</f>
        <v>0.13938605637012064</v>
      </c>
      <c r="AZ54" s="70">
        <f t="shared" si="26"/>
        <v>26.31422189128816</v>
      </c>
      <c r="BA54" s="70"/>
      <c r="BB54" s="70"/>
      <c r="BC54" s="70">
        <f t="shared" si="27"/>
        <v>46.960856777026365</v>
      </c>
      <c r="BD54" s="70">
        <f t="shared" si="28"/>
        <v>4.2972969932539895</v>
      </c>
      <c r="BE54" s="70">
        <f t="shared" si="29"/>
        <v>0.1556938167418597</v>
      </c>
      <c r="BF54" s="70">
        <f t="shared" si="30"/>
        <v>5.6583430012392206</v>
      </c>
      <c r="BG54" s="70">
        <f t="shared" si="31"/>
        <v>0.1234381755296152</v>
      </c>
      <c r="BH54" s="67">
        <f>MAX((CE54-Driver!$F$200)/(Driver!$G$200-Driver!$F$200)*$BI$1,1)</f>
        <v>4.388161639157655</v>
      </c>
      <c r="BI54" s="67">
        <f>MAX($BI$1*(BY54-Driver!$F$201)/(Driver!$G$201-Driver!$F$201),1)</f>
        <v>7.2151898734177218</v>
      </c>
      <c r="BJ54" s="67">
        <f>(CB54-Driver!$F$206)/(Driver!$G$206-Driver!$F$206)*$BI$1</f>
        <v>5.7142857142857135</v>
      </c>
      <c r="BK54" s="67">
        <f>(CD54-Driver!$F$203)/(Driver!$G$203-Driver!$F$203)*$BI$1</f>
        <v>4.2660550458715596</v>
      </c>
      <c r="BL54" s="67">
        <f>MAX((CR54-Driver!$F$202)/(Driver!$G$202-Driver!$F$202)*$BI$1,1)</f>
        <v>5.1724137931034484</v>
      </c>
      <c r="BM54" s="67">
        <f>MAX((CH54-Driver!$F$204)/(Driver!$G$204-Driver!$F$204)*$BI$1,1)</f>
        <v>4.6153846153846159</v>
      </c>
      <c r="BN54" s="67">
        <f>(CI54-Driver!$F$205)/(Driver!$G$205-Driver!$F$205)*$BI$1</f>
        <v>3.6470588235294117</v>
      </c>
      <c r="BO54" s="67">
        <f>(CK54-Driver!$F$207)/(Driver!$G$207-Driver!$F$207)*$BI$1</f>
        <v>1.8821096173733196</v>
      </c>
      <c r="BP54" s="67">
        <f>(CM54-Driver!$F$208)/(Driver!$G$208-Driver!$F$208)*$BI$1</f>
        <v>2.2444444444444445</v>
      </c>
      <c r="BQ54" s="67">
        <f>(CL54-Driver!$F$209)/(Driver!$G$209-Driver!$F$209)*$BI$1</f>
        <v>2.5</v>
      </c>
      <c r="BR54" s="28" t="s">
        <v>155</v>
      </c>
      <c r="BS54" s="8" t="s">
        <v>237</v>
      </c>
      <c r="BT54" s="9" t="s">
        <v>238</v>
      </c>
      <c r="BU54" s="10">
        <v>173.4</v>
      </c>
      <c r="BV54" s="9" t="s">
        <v>158</v>
      </c>
      <c r="BW54" s="10">
        <v>173.4</v>
      </c>
      <c r="BX54" s="10">
        <v>171.8</v>
      </c>
      <c r="BY54" s="10">
        <v>122</v>
      </c>
      <c r="BZ54" s="10">
        <v>145</v>
      </c>
      <c r="CA54" s="10">
        <v>138</v>
      </c>
      <c r="CB54" s="10">
        <v>100</v>
      </c>
      <c r="CC54" s="10">
        <v>118</v>
      </c>
      <c r="CD54" s="10">
        <v>18.7</v>
      </c>
      <c r="CE54" s="10">
        <v>1671</v>
      </c>
      <c r="CF54" s="10">
        <v>1.1399999999999999</v>
      </c>
      <c r="CG54" s="10">
        <v>1913</v>
      </c>
      <c r="CH54" s="10">
        <v>209</v>
      </c>
      <c r="CI54" s="10">
        <v>95</v>
      </c>
      <c r="CJ54" s="10">
        <v>44</v>
      </c>
      <c r="CK54" s="10">
        <v>292</v>
      </c>
      <c r="CL54" s="10">
        <v>16</v>
      </c>
      <c r="CM54" s="10">
        <v>202</v>
      </c>
      <c r="CN54" s="10">
        <v>0.35199999999999998</v>
      </c>
      <c r="CO54" s="10">
        <v>157</v>
      </c>
      <c r="CP54" s="10">
        <v>116</v>
      </c>
      <c r="CQ54" s="10">
        <v>135</v>
      </c>
      <c r="CR54" s="10">
        <v>4</v>
      </c>
      <c r="CS54" s="10">
        <v>9.6999999999999993</v>
      </c>
      <c r="CT54" s="9" t="s">
        <v>188</v>
      </c>
      <c r="CU54" s="9" t="s">
        <v>169</v>
      </c>
      <c r="CV54" s="9" t="s">
        <v>178</v>
      </c>
      <c r="CW54" s="9" t="s">
        <v>185</v>
      </c>
      <c r="CX54" t="str">
        <f>INDEX('Data_Price '!AG$2:AG$1266,MATCH(Data!$DN54,'Data_Price '!$AT$2:$AT$1266,0))</f>
        <v>Skis Black Crows Navis Freebird</v>
      </c>
      <c r="CY54" t="str">
        <f>INDEX('Data_Price '!AH$2:AH$1266,MATCH(Data!$DN54,'Data_Price '!$AT$2:$AT$1266,0))</f>
        <v>Ascent Outdoors</v>
      </c>
      <c r="CZ54">
        <f>INDEX('Data_Price '!AI$2:AI$1266,MATCH(Data!$DN54,'Data_Price '!$AT$2:$AT$1266,0))</f>
        <v>576.99</v>
      </c>
      <c r="DA54" t="str">
        <f>INDEX('Data_Price '!AJ$2:AJ$1266,MATCH(Data!$DN54,'Data_Price '!$AT$2:$AT$1266,0))</f>
        <v>https://tinyurl.com/y8rqumm7</v>
      </c>
      <c r="DB54" t="str">
        <f>INDEX('Data_Price '!AK$2:AK$1266,MATCH(Data!$DN54,'Data_Price '!$AT$2:$AT$1266,0))</f>
        <v>Skis Black Crows Navis Freebird</v>
      </c>
      <c r="DC54" t="str">
        <f>INDEX('Data_Price '!AL$2:AL$1266,MATCH(Data!$DN54,'Data_Price '!$AT$2:$AT$1266,0))</f>
        <v>! OutdoorXL.com</v>
      </c>
      <c r="DD54">
        <f>INDEX('Data_Price '!AM$2:AM$1266,MATCH(Data!$DN54,'Data_Price '!$AT$2:$AT$1266,0))</f>
        <v>584.95000000000005</v>
      </c>
      <c r="DE54" t="str">
        <f>INDEX('Data_Price '!AN$2:AN$1266,MATCH(Data!$DN54,'Data_Price '!$AT$2:$AT$1266,0))</f>
        <v>https://tinyurl.com/ybwzgztz</v>
      </c>
      <c r="DF54" t="str">
        <f>INDEX('Data_Price '!AO$2:AO$1266,MATCH(Data!$DN54,'Data_Price '!$AT$2:$AT$1266,0))</f>
        <v>Skis Black Crows Navis Freebird</v>
      </c>
      <c r="DG54" t="str">
        <f>INDEX('Data_Price '!AP$2:AP$1266,MATCH(Data!$DN54,'Data_Price '!$AT$2:$AT$1266,0))</f>
        <v>evo.com</v>
      </c>
      <c r="DH54">
        <f>INDEX('Data_Price '!AQ$2:AQ$1266,MATCH(Data!$DN54,'Data_Price '!$AT$2:$AT$1266,0))</f>
        <v>663.96</v>
      </c>
      <c r="DI54" t="str">
        <f>INDEX('Data_Price '!AR$2:AR$1266,MATCH(Data!$DN54,'Data_Price '!$AT$2:$AT$1266,0))</f>
        <v>https://tinyurl.com/yackbgjm</v>
      </c>
      <c r="DJ54" s="89" t="str">
        <f t="shared" si="32"/>
        <v>https://tinyurl.com/y8rqumm7</v>
      </c>
      <c r="DK54" s="89" t="str">
        <f t="shared" si="33"/>
        <v>https://tinyurl.com/ybwzgztz</v>
      </c>
      <c r="DL54" s="89" t="str">
        <f t="shared" si="34"/>
        <v>https://tinyurl.com/yackbgjm</v>
      </c>
      <c r="DM54" s="219" t="str">
        <f t="shared" si="35"/>
        <v>Navis Freebird</v>
      </c>
      <c r="DN54" s="89" t="str">
        <f t="shared" si="36"/>
        <v xml:space="preserve"> Black CrowsNavis Freebird173.4 Unisex</v>
      </c>
      <c r="DO54" s="221" t="s">
        <v>239</v>
      </c>
    </row>
    <row r="55" spans="2:119" ht="15.6" customHeight="1">
      <c r="B55" s="219" t="b">
        <f t="array" ref="B55">IF(OR(ISERROR(K55:P55)),FALSE,TRUE)</f>
        <v>1</v>
      </c>
      <c r="C55" s="43" t="b">
        <f>OR(BR55=Driver!$G$50,Data!BR628=Driver!$H$50)</f>
        <v>1</v>
      </c>
      <c r="D55" s="43" t="b">
        <f>OR(BV55=Driver!$G$51,BV55=Driver!$H$51)</f>
        <v>1</v>
      </c>
      <c r="E55" s="43" t="b">
        <f>AND(BX55&gt;Driver!$F$54,BX55&lt;Driver!$G$54)</f>
        <v>1</v>
      </c>
      <c r="F55" s="43" t="b">
        <f>CL55&gt;Driver!$F$56</f>
        <v>1</v>
      </c>
      <c r="G55" s="43" t="b">
        <f>AND(CB55&gt;Driver!$F$55,CB55&lt;Driver!$G$55)</f>
        <v>0</v>
      </c>
      <c r="H55" s="43" t="b">
        <f t="shared" si="0"/>
        <v>0</v>
      </c>
      <c r="I55" s="43">
        <f t="shared" si="1"/>
        <v>0</v>
      </c>
      <c r="J55" s="43" t="b">
        <f t="array" ref="J55">NOT(OR(($H$9:$H$1273=TRUE)*($I$9:$I$1273&gt;0)*($BT$9:$BT$1273=BT55)*($K$9:$K$1273&gt;K55)))</f>
        <v>1</v>
      </c>
      <c r="K55" s="72">
        <f t="shared" si="2"/>
        <v>0.88957780884596915</v>
      </c>
      <c r="L55" s="72">
        <f t="shared" si="3"/>
        <v>0.98025001300398074</v>
      </c>
      <c r="M55" s="72">
        <f t="shared" si="4"/>
        <v>0.79890560468795757</v>
      </c>
      <c r="N55" s="72">
        <f t="shared" si="5"/>
        <v>0.82387836638177059</v>
      </c>
      <c r="O55" s="72">
        <f t="shared" si="6"/>
        <v>0.64157655473927111</v>
      </c>
      <c r="P55" s="72">
        <f t="shared" si="7"/>
        <v>0.93126189294283113</v>
      </c>
      <c r="Q55" s="72"/>
      <c r="R55" s="72"/>
      <c r="S55" s="72">
        <f t="shared" si="8"/>
        <v>0.43964195780853865</v>
      </c>
      <c r="T55" s="72">
        <f t="shared" si="9"/>
        <v>0.52373147407230514</v>
      </c>
      <c r="U55" s="72">
        <f t="shared" si="10"/>
        <v>0.87521778902613456</v>
      </c>
      <c r="V55" s="72">
        <f t="shared" si="11"/>
        <v>0.5259457466213604</v>
      </c>
      <c r="W55" s="72">
        <f t="shared" si="12"/>
        <v>0.78128237364847875</v>
      </c>
      <c r="X55" s="72">
        <f t="shared" si="13"/>
        <v>1.9749986996019236E-2</v>
      </c>
      <c r="Y55" s="72">
        <f t="shared" si="14"/>
        <v>0.2010943953120424</v>
      </c>
      <c r="Z55" s="72">
        <f t="shared" si="15"/>
        <v>0.17612163361822947</v>
      </c>
      <c r="AA55" s="72">
        <f t="shared" si="16"/>
        <v>0.35842344526072889</v>
      </c>
      <c r="AB55" s="72">
        <f t="shared" si="17"/>
        <v>6.8738107057168818E-2</v>
      </c>
      <c r="AC55" s="72"/>
      <c r="AD55" s="72"/>
      <c r="AE55" s="72">
        <f t="shared" si="18"/>
        <v>0.56035804219146135</v>
      </c>
      <c r="AF55" s="72">
        <f t="shared" si="19"/>
        <v>0.47626852592769481</v>
      </c>
      <c r="AG55" s="72">
        <f t="shared" si="20"/>
        <v>0.12478221097386544</v>
      </c>
      <c r="AH55" s="72">
        <f t="shared" si="21"/>
        <v>0.47405425337863955</v>
      </c>
      <c r="AI55" s="72">
        <f t="shared" si="22"/>
        <v>0.21871762635152125</v>
      </c>
      <c r="AJ55" s="72">
        <f>(AV55-Driver!$K$179)/(Driver!$L$179-Driver!$K$179)</f>
        <v>0.23446942228668119</v>
      </c>
      <c r="AK55" s="72">
        <f>(AW55-Driver!$K$180)/(Driver!$L$180-Driver!$K$180)</f>
        <v>0.31984172535609995</v>
      </c>
      <c r="AL55" s="72">
        <f>(AX55-Driver!$K$181)/(Driver!$L$181-Driver!$K$181)</f>
        <v>0.27780939733130966</v>
      </c>
      <c r="AM55" s="72">
        <f>(AY55-Driver!$K$182)/(Driver!$L$182-Driver!$K$182)</f>
        <v>8.8961575836317475E-2</v>
      </c>
      <c r="AN55" s="72">
        <f>(AZ55-Driver!$K$183)/(Driver!$L$183-Driver!$K$183)</f>
        <v>0.32295751633986924</v>
      </c>
      <c r="AO55" s="72"/>
      <c r="AP55" s="72"/>
      <c r="AQ55" s="72">
        <f>(BC55-Driver!$K$188)/(Driver!$L$188-Driver!$K$188)</f>
        <v>5.9641957808538704E-2</v>
      </c>
      <c r="AR55" s="72">
        <f>MIN((BD55-Driver!$K$189)/(Driver!$L$189-Driver!$K$189),100%)</f>
        <v>7.3731474072305236E-2</v>
      </c>
      <c r="AS55" s="72">
        <f>(BE55-Driver!$K$190)/(Driver!$L$190-Driver!$K$190)</f>
        <v>0.63478221097386545</v>
      </c>
      <c r="AT55" s="72">
        <f>(BF55-Driver!$K$191)/(Driver!$L$191-Driver!$K$191)</f>
        <v>3.5945746621360478E-2</v>
      </c>
      <c r="AU55" s="72">
        <f>(BG55-Driver!$K$192)/(Driver!$L$192-Driver!$K$192)</f>
        <v>3.1282373648478745E-2</v>
      </c>
      <c r="AV55" s="70">
        <f t="shared" si="23"/>
        <v>4.9348799348799357</v>
      </c>
      <c r="AW55" s="70">
        <f t="shared" si="24"/>
        <v>33.043302843403843</v>
      </c>
      <c r="AX55" s="70">
        <f t="shared" si="25"/>
        <v>3.5002845759817869</v>
      </c>
      <c r="AY55" s="70">
        <f>IFERROR(Driver!$K$19/Data!BH55/Data!BI55*Data!BK55*Data!BL55,"")</f>
        <v>0.10891551239599929</v>
      </c>
      <c r="AZ55" s="70">
        <f t="shared" si="26"/>
        <v>29.434102755026057</v>
      </c>
      <c r="BA55" s="70"/>
      <c r="BB55" s="70"/>
      <c r="BC55" s="70">
        <f t="shared" si="27"/>
        <v>30.936698139453021</v>
      </c>
      <c r="BD55" s="70">
        <f t="shared" si="28"/>
        <v>8.2459276950553217</v>
      </c>
      <c r="BE55" s="70">
        <f t="shared" si="29"/>
        <v>0.6348473617167264</v>
      </c>
      <c r="BF55" s="70">
        <f t="shared" si="30"/>
        <v>4.0598195477202701</v>
      </c>
      <c r="BG55" s="70">
        <f t="shared" si="31"/>
        <v>0.1184550226301232</v>
      </c>
      <c r="BH55" s="67">
        <f>MAX((CE55-Driver!$F$200)/(Driver!$G$200-Driver!$F$200)*$BI$1,1)</f>
        <v>3.5002845759817869</v>
      </c>
      <c r="BI55" s="67">
        <f>MAX($BI$1*(BY55-Driver!$F$201)/(Driver!$G$201-Driver!$F$201),1)</f>
        <v>7.4683544303797467</v>
      </c>
      <c r="BJ55" s="67">
        <f>(CB55-Driver!$F$206)/(Driver!$G$206-Driver!$F$206)*$BI$1</f>
        <v>4.7619047619047619</v>
      </c>
      <c r="BK55" s="67">
        <f>(CD55-Driver!$F$203)/(Driver!$G$203-Driver!$F$203)*$BI$1</f>
        <v>2.2935779816513766</v>
      </c>
      <c r="BL55" s="67">
        <f>MAX((CR55-Driver!$F$202)/(Driver!$G$202-Driver!$F$202)*$BI$1,1)</f>
        <v>6.2068965517241379</v>
      </c>
      <c r="BM55" s="67">
        <f>MAX((CH55-Driver!$F$204)/(Driver!$G$204-Driver!$F$204)*$BI$1,1)</f>
        <v>4.1452991452991457</v>
      </c>
      <c r="BN55" s="67">
        <f>(CI55-Driver!$F$205)/(Driver!$G$205-Driver!$F$205)*$BI$1</f>
        <v>3.9411764705882351</v>
      </c>
      <c r="BO55" s="67">
        <f>(CK55-Driver!$F$207)/(Driver!$G$207-Driver!$F$207)*$BI$1</f>
        <v>1.3133402275077559</v>
      </c>
      <c r="BP55" s="67">
        <f>(CM55-Driver!$F$208)/(Driver!$G$208-Driver!$F$208)*$BI$1</f>
        <v>1.4888888888888887</v>
      </c>
      <c r="BQ55" s="67">
        <f>(CL55-Driver!$F$209)/(Driver!$G$209-Driver!$F$209)*$BI$1</f>
        <v>1.71875</v>
      </c>
      <c r="BR55" s="28" t="s">
        <v>155</v>
      </c>
      <c r="BS55" s="8" t="s">
        <v>167</v>
      </c>
      <c r="BT55" s="9" t="s">
        <v>240</v>
      </c>
      <c r="BU55" s="10">
        <v>163</v>
      </c>
      <c r="BV55" s="9" t="s">
        <v>158</v>
      </c>
      <c r="BW55" s="10">
        <v>163</v>
      </c>
      <c r="BX55" s="10">
        <v>162.6</v>
      </c>
      <c r="BY55" s="10">
        <v>126</v>
      </c>
      <c r="BZ55" s="10">
        <v>130</v>
      </c>
      <c r="CA55" s="10">
        <v>127</v>
      </c>
      <c r="CB55" s="10">
        <v>94</v>
      </c>
      <c r="CC55" s="10">
        <v>114</v>
      </c>
      <c r="CD55" s="10">
        <v>14.4</v>
      </c>
      <c r="CE55" s="10">
        <v>1515</v>
      </c>
      <c r="CF55" s="10">
        <v>1.1299999999999999</v>
      </c>
      <c r="CG55" s="10">
        <v>1718</v>
      </c>
      <c r="CH55" s="10">
        <v>198</v>
      </c>
      <c r="CI55" s="10">
        <v>100</v>
      </c>
      <c r="CJ55" s="10">
        <v>49</v>
      </c>
      <c r="CK55" s="10">
        <v>237</v>
      </c>
      <c r="CL55" s="10">
        <v>11</v>
      </c>
      <c r="CM55" s="10">
        <v>134</v>
      </c>
      <c r="CN55" s="10">
        <v>0.219</v>
      </c>
      <c r="CO55" s="10">
        <v>179</v>
      </c>
      <c r="CP55" s="10">
        <v>142</v>
      </c>
      <c r="CQ55" s="10">
        <v>58</v>
      </c>
      <c r="CR55" s="10">
        <v>7</v>
      </c>
      <c r="CS55" s="10">
        <v>8.9</v>
      </c>
      <c r="CT55" s="9" t="s">
        <v>188</v>
      </c>
      <c r="CU55" s="9" t="s">
        <v>185</v>
      </c>
      <c r="CV55" s="10"/>
      <c r="CW55" s="10"/>
      <c r="CX55" t="str">
        <f>INDEX('Data_Price '!AG$2:AG$1266,MATCH(Data!$DN55,'Data_Price '!$AT$2:$AT$1266,0))</f>
        <v>Head Kore 99 Skis</v>
      </c>
      <c r="CY55" t="str">
        <f>INDEX('Data_Price '!AH$2:AH$1266,MATCH(Data!$DN55,'Data_Price '!$AT$2:$AT$1266,0))</f>
        <v>Snowcountry.eu</v>
      </c>
      <c r="CZ55">
        <f>INDEX('Data_Price '!AI$2:AI$1266,MATCH(Data!$DN55,'Data_Price '!$AT$2:$AT$1266,0))</f>
        <v>414</v>
      </c>
      <c r="DA55" t="str">
        <f>INDEX('Data_Price '!AJ$2:AJ$1266,MATCH(Data!$DN55,'Data_Price '!$AT$2:$AT$1266,0))</f>
        <v>https://tinyurl.com/yag2s2h3</v>
      </c>
      <c r="DB55" t="str">
        <f>INDEX('Data_Price '!AK$2:AK$1266,MATCH(Data!$DN55,'Data_Price '!$AT$2:$AT$1266,0))</f>
        <v>Head Kore 99 Skis</v>
      </c>
      <c r="DC55" t="str">
        <f>INDEX('Data_Price '!AL$2:AL$1266,MATCH(Data!$DN55,'Data_Price '!$AT$2:$AT$1266,0))</f>
        <v>Gorham Bike and Ski</v>
      </c>
      <c r="DD55">
        <f>INDEX('Data_Price '!AM$2:AM$1266,MATCH(Data!$DN55,'Data_Price '!$AT$2:$AT$1266,0))</f>
        <v>489.99</v>
      </c>
      <c r="DE55" t="str">
        <f>INDEX('Data_Price '!AN$2:AN$1266,MATCH(Data!$DN55,'Data_Price '!$AT$2:$AT$1266,0))</f>
        <v>https://tinyurl.com/y8g27yue</v>
      </c>
      <c r="DF55" t="str">
        <f>INDEX('Data_Price '!AO$2:AO$1266,MATCH(Data!$DN55,'Data_Price '!$AT$2:$AT$1266,0))</f>
        <v>Head Kore 99 + Attack 14 GW Alpine Skis 163</v>
      </c>
      <c r="DG55" t="str">
        <f>INDEX('Data_Price '!AP$2:AP$1266,MATCH(Data!$DN55,'Data_Price '!$AT$2:$AT$1266,0))</f>
        <v>! OutdoorXL.com</v>
      </c>
      <c r="DH55">
        <f>INDEX('Data_Price '!AQ$2:AQ$1266,MATCH(Data!$DN55,'Data_Price '!$AT$2:$AT$1266,0))</f>
        <v>514.95000000000005</v>
      </c>
      <c r="DI55" t="str">
        <f>INDEX('Data_Price '!AR$2:AR$1266,MATCH(Data!$DN55,'Data_Price '!$AT$2:$AT$1266,0))</f>
        <v>https://tinyurl.com/ybx7o3hg</v>
      </c>
      <c r="DJ55" s="89" t="str">
        <f t="shared" si="32"/>
        <v>https://tinyurl.com/yag2s2h3</v>
      </c>
      <c r="DK55" s="89" t="str">
        <f t="shared" si="33"/>
        <v>https://tinyurl.com/y8g27yue</v>
      </c>
      <c r="DL55" s="89" t="str">
        <f t="shared" si="34"/>
        <v>https://tinyurl.com/ybx7o3hg</v>
      </c>
      <c r="DM55" s="219" t="str">
        <f t="shared" si="35"/>
        <v>Kore 99</v>
      </c>
      <c r="DN55" s="89" t="str">
        <f t="shared" si="36"/>
        <v xml:space="preserve"> HeadKore 99163 Unisex</v>
      </c>
      <c r="DO55" s="221" t="s">
        <v>241</v>
      </c>
    </row>
    <row r="56" spans="2:119" ht="15.6" customHeight="1">
      <c r="B56" s="219" t="b">
        <f t="array" ref="B56">IF(OR(ISERROR(K56:P56)),FALSE,TRUE)</f>
        <v>1</v>
      </c>
      <c r="C56" s="43" t="b">
        <f>OR(BR56=Driver!$G$50,Data!BR506=Driver!$H$50)</f>
        <v>1</v>
      </c>
      <c r="D56" s="43" t="b">
        <f>OR(BV56=Driver!$G$51,BV56=Driver!$H$51)</f>
        <v>1</v>
      </c>
      <c r="E56" s="43" t="b">
        <f>AND(BX56&gt;Driver!$F$54,BX56&lt;Driver!$G$54)</f>
        <v>0</v>
      </c>
      <c r="F56" s="43" t="b">
        <f>CL56&gt;Driver!$F$56</f>
        <v>1</v>
      </c>
      <c r="G56" s="43" t="b">
        <f>AND(CB56&gt;Driver!$F$55,CB56&lt;Driver!$G$55)</f>
        <v>1</v>
      </c>
      <c r="H56" s="43" t="b">
        <f t="shared" si="0"/>
        <v>0</v>
      </c>
      <c r="I56" s="43">
        <f t="shared" si="1"/>
        <v>0</v>
      </c>
      <c r="J56" s="43" t="b">
        <f t="array" ref="J56">NOT(OR(($H$9:$H$1273=TRUE)*($I$9:$I$1273&gt;0)*($BT$9:$BT$1273=BT56)*($K$9:$K$1273&gt;K56)))</f>
        <v>1</v>
      </c>
      <c r="K56" s="72">
        <f t="shared" si="2"/>
        <v>0.76359413225782968</v>
      </c>
      <c r="L56" s="72">
        <f t="shared" si="3"/>
        <v>0.79978382794356584</v>
      </c>
      <c r="M56" s="72">
        <f t="shared" si="4"/>
        <v>0.72740443657209353</v>
      </c>
      <c r="N56" s="72">
        <f t="shared" si="5"/>
        <v>0.56080368099632805</v>
      </c>
      <c r="O56" s="72">
        <f t="shared" si="6"/>
        <v>0.67433891224770948</v>
      </c>
      <c r="P56" s="72">
        <f t="shared" si="7"/>
        <v>0.94707071647224295</v>
      </c>
      <c r="Q56" s="72"/>
      <c r="R56" s="72"/>
      <c r="S56" s="72">
        <f t="shared" si="8"/>
        <v>0.47607330373333034</v>
      </c>
      <c r="T56" s="72">
        <f t="shared" si="9"/>
        <v>0.4855045585080644</v>
      </c>
      <c r="U56" s="72">
        <f t="shared" si="10"/>
        <v>0.50635659033241698</v>
      </c>
      <c r="V56" s="72">
        <f t="shared" si="11"/>
        <v>0.60235478524483121</v>
      </c>
      <c r="W56" s="72">
        <f t="shared" si="12"/>
        <v>0.82130455868089236</v>
      </c>
      <c r="X56" s="72">
        <f t="shared" si="13"/>
        <v>0.20021617205643416</v>
      </c>
      <c r="Y56" s="72">
        <f t="shared" si="14"/>
        <v>0.27259556342790653</v>
      </c>
      <c r="Z56" s="72">
        <f t="shared" si="15"/>
        <v>0.43919631900367195</v>
      </c>
      <c r="AA56" s="72">
        <f t="shared" si="16"/>
        <v>0.32566108775229058</v>
      </c>
      <c r="AB56" s="72">
        <f t="shared" si="17"/>
        <v>5.2929283527757109E-2</v>
      </c>
      <c r="AC56" s="72"/>
      <c r="AD56" s="72"/>
      <c r="AE56" s="72">
        <f t="shared" si="18"/>
        <v>0.52392669626666966</v>
      </c>
      <c r="AF56" s="72">
        <f t="shared" si="19"/>
        <v>0.5144954414919356</v>
      </c>
      <c r="AG56" s="72">
        <f t="shared" si="20"/>
        <v>0.49364340966758297</v>
      </c>
      <c r="AH56" s="72">
        <f t="shared" si="21"/>
        <v>0.39764521475516879</v>
      </c>
      <c r="AI56" s="72">
        <f t="shared" si="22"/>
        <v>0.17869544131910767</v>
      </c>
      <c r="AJ56" s="72">
        <f>(AV56-Driver!$K$179)/(Driver!$L$179-Driver!$K$179)</f>
        <v>0.45443558133913459</v>
      </c>
      <c r="AK56" s="72">
        <f>(AW56-Driver!$K$180)/(Driver!$L$180-Driver!$K$180)</f>
        <v>0.32976364410920733</v>
      </c>
      <c r="AL56" s="72">
        <f>(AX56-Driver!$K$181)/(Driver!$L$181-Driver!$K$181)</f>
        <v>0.54088408271675215</v>
      </c>
      <c r="AM56" s="72">
        <f>(AY56-Driver!$K$182)/(Driver!$L$182-Driver!$K$182)</f>
        <v>0.12172393334475577</v>
      </c>
      <c r="AN56" s="72">
        <f>(AZ56-Driver!$K$183)/(Driver!$L$183-Driver!$K$183)</f>
        <v>0.30714869281045754</v>
      </c>
      <c r="AO56" s="72"/>
      <c r="AP56" s="72"/>
      <c r="AQ56" s="72">
        <f>(BC56-Driver!$K$188)/(Driver!$L$188-Driver!$K$188)</f>
        <v>9.6073303733330381E-2</v>
      </c>
      <c r="AR56" s="72">
        <f>MIN((BD56-Driver!$K$189)/(Driver!$L$189-Driver!$K$189),100%)</f>
        <v>3.5504558508064485E-2</v>
      </c>
      <c r="AS56" s="72">
        <f>(BE56-Driver!$K$190)/(Driver!$L$190-Driver!$K$190)</f>
        <v>1.6356590332417039E-2</v>
      </c>
      <c r="AT56" s="72">
        <f>(BF56-Driver!$K$191)/(Driver!$L$191-Driver!$K$191)</f>
        <v>0.11235478524483124</v>
      </c>
      <c r="AU56" s="72">
        <f>(BG56-Driver!$K$192)/(Driver!$L$192-Driver!$K$192)</f>
        <v>7.1304558680892333E-2</v>
      </c>
      <c r="AV56" s="70">
        <f t="shared" si="23"/>
        <v>9.5645095645095637</v>
      </c>
      <c r="AW56" s="70">
        <f t="shared" si="24"/>
        <v>34.010281743037986</v>
      </c>
      <c r="AX56" s="70">
        <f t="shared" si="25"/>
        <v>5.867956744450769</v>
      </c>
      <c r="AY56" s="70">
        <f>IFERROR(Driver!$K$19/Data!BH56/Data!BI56*Data!BK56*Data!BL56,"")</f>
        <v>0.14902641333032993</v>
      </c>
      <c r="AZ56" s="70">
        <f t="shared" si="26"/>
        <v>27.993298585256888</v>
      </c>
      <c r="BA56" s="70"/>
      <c r="BB56" s="70"/>
      <c r="BC56" s="70">
        <f t="shared" si="27"/>
        <v>49.83389053725044</v>
      </c>
      <c r="BD56" s="70">
        <f t="shared" si="28"/>
        <v>4.8629134017063587</v>
      </c>
      <c r="BE56" s="70">
        <f t="shared" si="29"/>
        <v>1.6532061245323568E-2</v>
      </c>
      <c r="BF56" s="70">
        <f t="shared" si="30"/>
        <v>12.689683656363981</v>
      </c>
      <c r="BG56" s="70">
        <f t="shared" si="31"/>
        <v>0.27000454655674105</v>
      </c>
      <c r="BH56" s="67">
        <f>MAX((CE56-Driver!$F$200)/(Driver!$G$200-Driver!$F$200)*$BI$1,1)</f>
        <v>5.867956744450769</v>
      </c>
      <c r="BI56" s="67">
        <f>MAX($BI$1*(BY56-Driver!$F$201)/(Driver!$G$201-Driver!$F$201),1)</f>
        <v>6.518987341772152</v>
      </c>
      <c r="BJ56" s="67">
        <f>(CB56-Driver!$F$206)/(Driver!$G$206-Driver!$F$206)*$BI$1</f>
        <v>7.4603174603174605</v>
      </c>
      <c r="BK56" s="67">
        <f>(CD56-Driver!$F$203)/(Driver!$G$203-Driver!$F$203)*$BI$1</f>
        <v>4.862385321100918</v>
      </c>
      <c r="BL56" s="67">
        <f>MAX((CR56-Driver!$F$202)/(Driver!$G$202-Driver!$F$202)*$BI$1,1)</f>
        <v>5.8620689655172411</v>
      </c>
      <c r="BM56" s="67">
        <f>MAX((CH56-Driver!$F$204)/(Driver!$G$204-Driver!$F$204)*$BI$1,1)</f>
        <v>5.1282051282051277</v>
      </c>
      <c r="BN56" s="67">
        <f>(CI56-Driver!$F$205)/(Driver!$G$205-Driver!$F$205)*$BI$1</f>
        <v>4.2941176470588234</v>
      </c>
      <c r="BO56" s="67">
        <f>(CK56-Driver!$F$207)/(Driver!$G$207-Driver!$F$207)*$BI$1</f>
        <v>2.4405377456049635</v>
      </c>
      <c r="BP56" s="67">
        <f>(CM56-Driver!$F$208)/(Driver!$G$208-Driver!$F$208)*$BI$1</f>
        <v>3.3888888888888893</v>
      </c>
      <c r="BQ56" s="67">
        <f>(CL56-Driver!$F$209)/(Driver!$G$209-Driver!$F$209)*$BI$1</f>
        <v>8.125</v>
      </c>
      <c r="BR56" s="28" t="s">
        <v>155</v>
      </c>
      <c r="BS56" s="8" t="s">
        <v>205</v>
      </c>
      <c r="BT56" s="9" t="s">
        <v>242</v>
      </c>
      <c r="BU56" s="10">
        <v>178</v>
      </c>
      <c r="BV56" s="9" t="s">
        <v>158</v>
      </c>
      <c r="BW56" s="10">
        <v>178</v>
      </c>
      <c r="BX56" s="10">
        <v>176.4</v>
      </c>
      <c r="BY56" s="10">
        <v>111</v>
      </c>
      <c r="BZ56" s="10">
        <v>147</v>
      </c>
      <c r="CA56" s="10">
        <v>139</v>
      </c>
      <c r="CB56" s="10">
        <v>111</v>
      </c>
      <c r="CC56" s="10">
        <v>133</v>
      </c>
      <c r="CD56" s="10">
        <v>20</v>
      </c>
      <c r="CE56" s="10">
        <v>1931</v>
      </c>
      <c r="CF56" s="10">
        <v>1.1000000000000001</v>
      </c>
      <c r="CG56" s="10">
        <v>2119</v>
      </c>
      <c r="CH56" s="10">
        <v>221</v>
      </c>
      <c r="CI56" s="10">
        <v>106</v>
      </c>
      <c r="CJ56" s="10">
        <v>59</v>
      </c>
      <c r="CK56" s="10">
        <v>346</v>
      </c>
      <c r="CL56" s="10">
        <v>52</v>
      </c>
      <c r="CM56" s="10">
        <v>305</v>
      </c>
      <c r="CN56" s="10">
        <v>0.88200000000000001</v>
      </c>
      <c r="CO56" s="10">
        <v>148</v>
      </c>
      <c r="CP56" s="10">
        <v>147</v>
      </c>
      <c r="CQ56" s="10">
        <v>198</v>
      </c>
      <c r="CR56" s="10">
        <v>6</v>
      </c>
      <c r="CS56" s="10">
        <v>5.6</v>
      </c>
      <c r="CT56" s="9" t="s">
        <v>184</v>
      </c>
      <c r="CU56" s="9" t="s">
        <v>169</v>
      </c>
      <c r="CV56" s="9" t="s">
        <v>185</v>
      </c>
      <c r="CW56" s="10"/>
      <c r="CX56" t="str">
        <f>INDEX('Data_Price '!AG$2:AG$1266,MATCH(Data!$DN56,'Data_Price '!$AT$2:$AT$1266,0))</f>
        <v>Faction Ct Candide 3.0 x Skis</v>
      </c>
      <c r="CY56" t="str">
        <f>INDEX('Data_Price '!AH$2:AH$1266,MATCH(Data!$DN56,'Data_Price '!$AT$2:$AT$1266,0))</f>
        <v>AlpinStore</v>
      </c>
      <c r="CZ56">
        <f>INDEX('Data_Price '!AI$2:AI$1266,MATCH(Data!$DN56,'Data_Price '!$AT$2:$AT$1266,0))</f>
        <v>623.86</v>
      </c>
      <c r="DA56" t="str">
        <f>INDEX('Data_Price '!AJ$2:AJ$1266,MATCH(Data!$DN56,'Data_Price '!$AT$2:$AT$1266,0))</f>
        <v>https://tinyurl.com/y8ofsx4v</v>
      </c>
      <c r="DB56" t="str">
        <f>INDEX('Data_Price '!AK$2:AK$1266,MATCH(Data!$DN56,'Data_Price '!$AT$2:$AT$1266,0))</f>
        <v>Faction Prodigy 3.0 Skis 2022 - 178</v>
      </c>
      <c r="DC56" t="str">
        <f>INDEX('Data_Price '!AL$2:AL$1266,MATCH(Data!$DN56,'Data_Price '!$AT$2:$AT$1266,0))</f>
        <v>Powder7 Ski Shop</v>
      </c>
      <c r="DD56">
        <f>INDEX('Data_Price '!AM$2:AM$1266,MATCH(Data!$DN56,'Data_Price '!$AT$2:$AT$1266,0))</f>
        <v>599.92999999999995</v>
      </c>
      <c r="DE56" t="str">
        <f>INDEX('Data_Price '!AN$2:AN$1266,MATCH(Data!$DN56,'Data_Price '!$AT$2:$AT$1266,0))</f>
        <v>https://tinyurl.com/ydemywdf</v>
      </c>
      <c r="DF56" t="str">
        <f>INDEX('Data_Price '!AO$2:AO$1266,MATCH(Data!$DN56,'Data_Price '!$AT$2:$AT$1266,0))</f>
        <v>Faction Women's Candide 3.0 x Skis Black 178 cm</v>
      </c>
      <c r="DG56" t="str">
        <f>INDEX('Data_Price '!AP$2:AP$1266,MATCH(Data!$DN56,'Data_Price '!$AT$2:$AT$1266,0))</f>
        <v>REI</v>
      </c>
      <c r="DH56">
        <f>INDEX('Data_Price '!AQ$2:AQ$1266,MATCH(Data!$DN56,'Data_Price '!$AT$2:$AT$1266,0))</f>
        <v>638.92999999999995</v>
      </c>
      <c r="DI56" t="str">
        <f>INDEX('Data_Price '!AR$2:AR$1266,MATCH(Data!$DN56,'Data_Price '!$AT$2:$AT$1266,0))</f>
        <v>https://tinyurl.com/y89ts2jf</v>
      </c>
      <c r="DJ56" s="89" t="str">
        <f t="shared" si="32"/>
        <v>https://tinyurl.com/y8ofsx4v</v>
      </c>
      <c r="DK56" s="89" t="str">
        <f t="shared" si="33"/>
        <v>https://tinyurl.com/ydemywdf</v>
      </c>
      <c r="DL56" s="89" t="str">
        <f t="shared" si="34"/>
        <v>https://tinyurl.com/y89ts2jf</v>
      </c>
      <c r="DM56" s="219" t="str">
        <f t="shared" si="35"/>
        <v>CT 3.0</v>
      </c>
      <c r="DN56" s="89" t="str">
        <f t="shared" si="36"/>
        <v xml:space="preserve"> FactionCT 3.0178 Unisex</v>
      </c>
      <c r="DO56" s="221" t="s">
        <v>243</v>
      </c>
    </row>
    <row r="57" spans="2:119" ht="15.6" customHeight="1">
      <c r="B57" s="219" t="b">
        <f t="array" ref="B57">IF(OR(ISERROR(K57:P57)),FALSE,TRUE)</f>
        <v>1</v>
      </c>
      <c r="C57" s="43" t="b">
        <f>OR(BR57=Driver!$G$50,Data!BR600=Driver!$H$50)</f>
        <v>1</v>
      </c>
      <c r="D57" s="43" t="b">
        <f>OR(BV57=Driver!$G$51,BV57=Driver!$H$51)</f>
        <v>1</v>
      </c>
      <c r="E57" s="43" t="b">
        <f>AND(BX57&gt;Driver!$F$54,BX57&lt;Driver!$G$54)</f>
        <v>0</v>
      </c>
      <c r="F57" s="43" t="b">
        <f>CL57&gt;Driver!$F$56</f>
        <v>1</v>
      </c>
      <c r="G57" s="43" t="b">
        <f>AND(CB57&gt;Driver!$F$55,CB57&lt;Driver!$G$55)</f>
        <v>0</v>
      </c>
      <c r="H57" s="43" t="b">
        <f t="shared" si="0"/>
        <v>0</v>
      </c>
      <c r="I57" s="43">
        <f t="shared" si="1"/>
        <v>0</v>
      </c>
      <c r="J57" s="43" t="b">
        <f t="array" ref="J57">NOT(OR(($H$9:$H$1273=TRUE)*($I$9:$I$1273&gt;0)*($BT$9:$BT$1273=BT57)*($K$9:$K$1273&gt;K57)))</f>
        <v>1</v>
      </c>
      <c r="K57" s="72">
        <f t="shared" si="2"/>
        <v>0.83163877831213384</v>
      </c>
      <c r="L57" s="72">
        <f t="shared" si="3"/>
        <v>0.90324043901439011</v>
      </c>
      <c r="M57" s="72">
        <f t="shared" si="4"/>
        <v>0.76003711760987758</v>
      </c>
      <c r="N57" s="72">
        <f t="shared" si="5"/>
        <v>0.74735904683456256</v>
      </c>
      <c r="O57" s="72">
        <f t="shared" si="6"/>
        <v>0.64311623004570317</v>
      </c>
      <c r="P57" s="72">
        <f t="shared" si="7"/>
        <v>0.88963607594936711</v>
      </c>
      <c r="Q57" s="72"/>
      <c r="R57" s="72"/>
      <c r="S57" s="72">
        <f t="shared" si="8"/>
        <v>0.45990170289106524</v>
      </c>
      <c r="T57" s="72">
        <f t="shared" si="9"/>
        <v>0.5147671132260041</v>
      </c>
      <c r="U57" s="72">
        <f t="shared" si="10"/>
        <v>0.69928488505224773</v>
      </c>
      <c r="V57" s="72">
        <f t="shared" si="11"/>
        <v>0.53907107683085242</v>
      </c>
      <c r="W57" s="72">
        <f t="shared" si="12"/>
        <v>0.78619464157384122</v>
      </c>
      <c r="X57" s="72">
        <f t="shared" si="13"/>
        <v>9.6759560985609894E-2</v>
      </c>
      <c r="Y57" s="72">
        <f t="shared" si="14"/>
        <v>0.2399628823901224</v>
      </c>
      <c r="Z57" s="72">
        <f t="shared" si="15"/>
        <v>0.2526409531654375</v>
      </c>
      <c r="AA57" s="72">
        <f t="shared" si="16"/>
        <v>0.35688376995429677</v>
      </c>
      <c r="AB57" s="72">
        <f t="shared" si="17"/>
        <v>0.11036392405063294</v>
      </c>
      <c r="AC57" s="72"/>
      <c r="AD57" s="72"/>
      <c r="AE57" s="72">
        <f t="shared" si="18"/>
        <v>0.54009829710893476</v>
      </c>
      <c r="AF57" s="72">
        <f t="shared" si="19"/>
        <v>0.4852328867739959</v>
      </c>
      <c r="AG57" s="72">
        <f t="shared" si="20"/>
        <v>0.30071511494775222</v>
      </c>
      <c r="AH57" s="72">
        <f t="shared" si="21"/>
        <v>0.46092892316914758</v>
      </c>
      <c r="AI57" s="72">
        <f t="shared" si="22"/>
        <v>0.21380535842615883</v>
      </c>
      <c r="AJ57" s="72">
        <f>(AV57-Driver!$K$179)/(Driver!$L$179-Driver!$K$179)</f>
        <v>0.35097897026831032</v>
      </c>
      <c r="AK57" s="72">
        <f>(AW57-Driver!$K$180)/(Driver!$L$180-Driver!$K$180)</f>
        <v>0.36585400379501015</v>
      </c>
      <c r="AL57" s="72">
        <f>(AX57-Driver!$K$181)/(Driver!$L$181-Driver!$K$181)</f>
        <v>0.35432871687851769</v>
      </c>
      <c r="AM57" s="72">
        <f>(AY57-Driver!$K$182)/(Driver!$L$182-Driver!$K$182)</f>
        <v>9.0501251142749581E-2</v>
      </c>
      <c r="AN57" s="72">
        <f>(AZ57-Driver!$K$183)/(Driver!$L$183-Driver!$K$183)</f>
        <v>0.36458333333333337</v>
      </c>
      <c r="AO57" s="72"/>
      <c r="AP57" s="72"/>
      <c r="AQ57" s="72">
        <f>(BC57-Driver!$K$188)/(Driver!$L$188-Driver!$K$188)</f>
        <v>7.9901702891065227E-2</v>
      </c>
      <c r="AR57" s="72">
        <f>MIN((BD57-Driver!$K$189)/(Driver!$L$189-Driver!$K$189),100%)</f>
        <v>6.4767113226004161E-2</v>
      </c>
      <c r="AS57" s="72">
        <f>(BE57-Driver!$K$190)/(Driver!$L$190-Driver!$K$190)</f>
        <v>0.20928488505224779</v>
      </c>
      <c r="AT57" s="72">
        <f>(BF57-Driver!$K$191)/(Driver!$L$191-Driver!$K$191)</f>
        <v>4.9071076830852434E-2</v>
      </c>
      <c r="AU57" s="72">
        <f>(BG57-Driver!$K$192)/(Driver!$L$192-Driver!$K$192)</f>
        <v>3.6194641573841176E-2</v>
      </c>
      <c r="AV57" s="70">
        <f t="shared" si="23"/>
        <v>7.3870573870573866</v>
      </c>
      <c r="AW57" s="70">
        <f t="shared" si="24"/>
        <v>37.527607087538328</v>
      </c>
      <c r="AX57" s="70">
        <f t="shared" si="25"/>
        <v>4.1889584519066592</v>
      </c>
      <c r="AY57" s="70">
        <f>IFERROR(Driver!$K$19/Data!BH57/Data!BI57*Data!BK57*Data!BL57,"")</f>
        <v>0.11080053436584462</v>
      </c>
      <c r="AZ57" s="70">
        <f t="shared" si="26"/>
        <v>33.227848101265828</v>
      </c>
      <c r="BA57" s="70"/>
      <c r="BB57" s="70"/>
      <c r="BC57" s="70">
        <f t="shared" si="27"/>
        <v>41.445568757222361</v>
      </c>
      <c r="BD57" s="70">
        <f t="shared" si="28"/>
        <v>7.4525976440651958</v>
      </c>
      <c r="BE57" s="70">
        <f t="shared" si="29"/>
        <v>0.20942593972887674</v>
      </c>
      <c r="BF57" s="70">
        <f t="shared" si="30"/>
        <v>5.5422333842189051</v>
      </c>
      <c r="BG57" s="70">
        <f t="shared" si="31"/>
        <v>0.13705600268370463</v>
      </c>
      <c r="BH57" s="67">
        <f>MAX((CE57-Driver!$F$200)/(Driver!$G$200-Driver!$F$200)*$BI$1,1)</f>
        <v>4.1889584519066592</v>
      </c>
      <c r="BI57" s="67">
        <f>MAX($BI$1*(BY57-Driver!$F$201)/(Driver!$G$201-Driver!$F$201),1)</f>
        <v>7.5316455696202533</v>
      </c>
      <c r="BJ57" s="67">
        <f>(CB57-Driver!$F$206)/(Driver!$G$206-Driver!$F$206)*$BI$1</f>
        <v>5.7142857142857135</v>
      </c>
      <c r="BK57" s="67">
        <f>(CD57-Driver!$F$203)/(Driver!$G$203-Driver!$F$203)*$BI$1</f>
        <v>2.9816513761467895</v>
      </c>
      <c r="BL57" s="67">
        <f>MAX((CR57-Driver!$F$202)/(Driver!$G$202-Driver!$F$202)*$BI$1,1)</f>
        <v>5.8620689655172411</v>
      </c>
      <c r="BM57" s="67">
        <f>MAX((CH57-Driver!$F$204)/(Driver!$G$204-Driver!$F$204)*$BI$1,1)</f>
        <v>5.1709401709401712</v>
      </c>
      <c r="BN57" s="67">
        <f>(CI57-Driver!$F$205)/(Driver!$G$205-Driver!$F$205)*$BI$1</f>
        <v>4.4117647058823533</v>
      </c>
      <c r="BO57" s="67">
        <f>(CK57-Driver!$F$207)/(Driver!$G$207-Driver!$F$207)*$BI$1</f>
        <v>1.4788004136504653</v>
      </c>
      <c r="BP57" s="67">
        <f>(CM57-Driver!$F$208)/(Driver!$G$208-Driver!$F$208)*$BI$1</f>
        <v>1.9555555555555557</v>
      </c>
      <c r="BQ57" s="67">
        <f>(CL57-Driver!$F$209)/(Driver!$G$209-Driver!$F$209)*$BI$1</f>
        <v>2.96875</v>
      </c>
      <c r="BR57" s="28" t="s">
        <v>155</v>
      </c>
      <c r="BS57" s="8" t="s">
        <v>167</v>
      </c>
      <c r="BT57" s="9" t="s">
        <v>168</v>
      </c>
      <c r="BU57" s="10">
        <v>170</v>
      </c>
      <c r="BV57" s="9" t="s">
        <v>158</v>
      </c>
      <c r="BW57" s="10">
        <v>170</v>
      </c>
      <c r="BX57" s="10">
        <v>170.1</v>
      </c>
      <c r="BY57" s="10">
        <v>127</v>
      </c>
      <c r="BZ57" s="10">
        <v>131</v>
      </c>
      <c r="CA57" s="10">
        <v>128</v>
      </c>
      <c r="CB57" s="10">
        <v>100</v>
      </c>
      <c r="CC57" s="10">
        <v>118</v>
      </c>
      <c r="CD57" s="10">
        <v>15.9</v>
      </c>
      <c r="CE57" s="10">
        <v>1636</v>
      </c>
      <c r="CF57" s="10">
        <v>1.1499999999999999</v>
      </c>
      <c r="CG57" s="10">
        <v>1875</v>
      </c>
      <c r="CH57" s="10">
        <v>222</v>
      </c>
      <c r="CI57" s="10">
        <v>108</v>
      </c>
      <c r="CJ57" s="10">
        <v>54</v>
      </c>
      <c r="CK57" s="10">
        <v>253</v>
      </c>
      <c r="CL57" s="10">
        <v>19</v>
      </c>
      <c r="CM57" s="10">
        <v>176</v>
      </c>
      <c r="CN57" s="10">
        <v>0.35599999999999998</v>
      </c>
      <c r="CO57" s="10">
        <v>230</v>
      </c>
      <c r="CP57" s="10">
        <v>161</v>
      </c>
      <c r="CQ57" s="10">
        <v>23</v>
      </c>
      <c r="CR57" s="10">
        <v>6</v>
      </c>
      <c r="CS57" s="10">
        <v>9.8000000000000007</v>
      </c>
      <c r="CT57" s="9" t="s">
        <v>188</v>
      </c>
      <c r="CU57" s="9" t="s">
        <v>185</v>
      </c>
      <c r="CV57" s="10"/>
      <c r="CW57" s="10"/>
      <c r="CX57" t="str">
        <f>INDEX('Data_Price '!AG$2:AG$1266,MATCH(Data!$DN57,'Data_Price '!$AT$2:$AT$1266,0))</f>
        <v>Head Kore 105 Skis</v>
      </c>
      <c r="CY57" t="str">
        <f>INDEX('Data_Price '!AH$2:AH$1266,MATCH(Data!$DN57,'Data_Price '!$AT$2:$AT$1266,0))</f>
        <v>UtahSkis</v>
      </c>
      <c r="CZ57">
        <f>INDEX('Data_Price '!AI$2:AI$1266,MATCH(Data!$DN57,'Data_Price '!$AT$2:$AT$1266,0))</f>
        <v>449</v>
      </c>
      <c r="DA57" t="str">
        <f>INDEX('Data_Price '!AJ$2:AJ$1266,MATCH(Data!$DN57,'Data_Price '!$AT$2:$AT$1266,0))</f>
        <v>https://tinyurl.com/yb4mgmzh</v>
      </c>
      <c r="DB57" t="str">
        <f>INDEX('Data_Price '!AK$2:AK$1266,MATCH(Data!$DN57,'Data_Price '!$AT$2:$AT$1266,0))</f>
        <v>Head Kore 105 Anth/Ge / 170cm</v>
      </c>
      <c r="DC57" t="str">
        <f>INDEX('Data_Price '!AL$2:AL$1266,MATCH(Data!$DN57,'Data_Price '!$AT$2:$AT$1266,0))</f>
        <v>Sundance Ski and Board Shop</v>
      </c>
      <c r="DD57">
        <f>INDEX('Data_Price '!AM$2:AM$1266,MATCH(Data!$DN57,'Data_Price '!$AT$2:$AT$1266,0))</f>
        <v>521.29</v>
      </c>
      <c r="DE57" t="str">
        <f>INDEX('Data_Price '!AN$2:AN$1266,MATCH(Data!$DN57,'Data_Price '!$AT$2:$AT$1266,0))</f>
        <v>https://tinyurl.com/ya86xhx5</v>
      </c>
      <c r="DF57" t="str">
        <f>INDEX('Data_Price '!AO$2:AO$1266,MATCH(Data!$DN57,'Data_Price '!$AT$2:$AT$1266,0))</f>
        <v>Head Kore 105 Skis</v>
      </c>
      <c r="DG57" t="str">
        <f>INDEX('Data_Price '!AP$2:AP$1266,MATCH(Data!$DN57,'Data_Price '!$AT$2:$AT$1266,0))</f>
        <v>Gorham Bike and Ski</v>
      </c>
      <c r="DH57">
        <f>INDEX('Data_Price '!AQ$2:AQ$1266,MATCH(Data!$DN57,'Data_Price '!$AT$2:$AT$1266,0))</f>
        <v>524.99</v>
      </c>
      <c r="DI57" t="str">
        <f>INDEX('Data_Price '!AR$2:AR$1266,MATCH(Data!$DN57,'Data_Price '!$AT$2:$AT$1266,0))</f>
        <v>https://tinyurl.com/y7glbffp</v>
      </c>
      <c r="DJ57" s="89" t="str">
        <f t="shared" si="32"/>
        <v>https://tinyurl.com/yb4mgmzh</v>
      </c>
      <c r="DK57" s="89" t="str">
        <f t="shared" si="33"/>
        <v>https://tinyurl.com/ya86xhx5</v>
      </c>
      <c r="DL57" s="89" t="str">
        <f t="shared" si="34"/>
        <v>https://tinyurl.com/y7glbffp</v>
      </c>
      <c r="DM57" s="219" t="str">
        <f t="shared" si="35"/>
        <v>Kore 105</v>
      </c>
      <c r="DN57" s="89" t="str">
        <f t="shared" si="36"/>
        <v xml:space="preserve"> HeadKore 105170 Unisex</v>
      </c>
      <c r="DO57" s="221" t="s">
        <v>170</v>
      </c>
    </row>
    <row r="58" spans="2:119" ht="15.6" customHeight="1">
      <c r="B58" s="219" t="b">
        <f t="array" ref="B58">IF(OR(ISERROR(K58:P58)),FALSE,TRUE)</f>
        <v>1</v>
      </c>
      <c r="C58" s="43" t="b">
        <f>OR(BR58=Driver!$G$50,Data!BR87=Driver!$H$50)</f>
        <v>1</v>
      </c>
      <c r="D58" s="43" t="b">
        <f>OR(BV58=Driver!$G$51,BV58=Driver!$H$51)</f>
        <v>0</v>
      </c>
      <c r="E58" s="43" t="b">
        <f>AND(BX58&gt;Driver!$F$54,BX58&lt;Driver!$G$54)</f>
        <v>1</v>
      </c>
      <c r="F58" s="43" t="b">
        <f>CL58&gt;Driver!$F$56</f>
        <v>1</v>
      </c>
      <c r="G58" s="43" t="b">
        <f>AND(CB58&gt;Driver!$F$55,CB58&lt;Driver!$G$55)</f>
        <v>0</v>
      </c>
      <c r="H58" s="43" t="b">
        <f t="shared" si="0"/>
        <v>0</v>
      </c>
      <c r="I58" s="43">
        <f t="shared" si="1"/>
        <v>0</v>
      </c>
      <c r="J58" s="43" t="b">
        <f t="array" ref="J58">NOT(OR(($H$9:$H$1273=TRUE)*($I$9:$I$1273&gt;0)*($BT$9:$BT$1273=BT58)*($K$9:$K$1273&gt;K58)))</f>
        <v>1</v>
      </c>
      <c r="K58" s="72">
        <f t="shared" si="2"/>
        <v>0.88583594017892819</v>
      </c>
      <c r="L58" s="72">
        <f t="shared" si="3"/>
        <v>0.97001715505538677</v>
      </c>
      <c r="M58" s="72">
        <f t="shared" si="4"/>
        <v>0.80165472530246962</v>
      </c>
      <c r="N58" s="72">
        <f t="shared" si="5"/>
        <v>0.84727683599537951</v>
      </c>
      <c r="O58" s="72">
        <f t="shared" si="6"/>
        <v>0.66310845350514569</v>
      </c>
      <c r="P58" s="72">
        <f t="shared" si="7"/>
        <v>0.89457888640688343</v>
      </c>
      <c r="Q58" s="72"/>
      <c r="R58" s="72"/>
      <c r="S58" s="72">
        <f t="shared" si="8"/>
        <v>0.48467691403994528</v>
      </c>
      <c r="T58" s="72">
        <f t="shared" si="9"/>
        <v>0.52233212752693203</v>
      </c>
      <c r="U58" s="72">
        <f t="shared" si="10"/>
        <v>0.51</v>
      </c>
      <c r="V58" s="72">
        <f t="shared" si="11"/>
        <v>0.49727542174470285</v>
      </c>
      <c r="W58" s="72">
        <f t="shared" si="12"/>
        <v>0.77425719923360692</v>
      </c>
      <c r="X58" s="72">
        <f t="shared" si="13"/>
        <v>2.9982844944613257E-2</v>
      </c>
      <c r="Y58" s="72">
        <f t="shared" si="14"/>
        <v>0.19834527469753041</v>
      </c>
      <c r="Z58" s="72">
        <f t="shared" si="15"/>
        <v>0.15272316400462044</v>
      </c>
      <c r="AA58" s="72">
        <f t="shared" si="16"/>
        <v>0.33689154649485431</v>
      </c>
      <c r="AB58" s="72">
        <f t="shared" si="17"/>
        <v>0.10542111359311657</v>
      </c>
      <c r="AC58" s="72"/>
      <c r="AD58" s="72"/>
      <c r="AE58" s="72">
        <f t="shared" si="18"/>
        <v>0.51532308596005472</v>
      </c>
      <c r="AF58" s="72">
        <f t="shared" si="19"/>
        <v>0.47766787247306797</v>
      </c>
      <c r="AG58" s="72">
        <f t="shared" si="20"/>
        <v>0.49</v>
      </c>
      <c r="AH58" s="72">
        <f t="shared" si="21"/>
        <v>0.50272457825529715</v>
      </c>
      <c r="AI58" s="72">
        <f t="shared" si="22"/>
        <v>0.22574280076639308</v>
      </c>
      <c r="AJ58" s="72">
        <f>(AV58-Driver!$K$179)/(Driver!$L$179-Driver!$K$179)</f>
        <v>0.22423656433808717</v>
      </c>
      <c r="AK58" s="72">
        <f>(AW58-Driver!$K$180)/(Driver!$L$180-Driver!$K$180)</f>
        <v>0.35225577748047587</v>
      </c>
      <c r="AL58" s="72">
        <f>(AX58-Driver!$K$181)/(Driver!$L$181-Driver!$K$181)</f>
        <v>0.25441092771770063</v>
      </c>
      <c r="AM58" s="72">
        <f>(AY58-Driver!$K$182)/(Driver!$L$182-Driver!$K$182)</f>
        <v>0.11049347460219208</v>
      </c>
      <c r="AN58" s="72">
        <f>(AZ58-Driver!$K$183)/(Driver!$L$183-Driver!$K$183)</f>
        <v>0.35964052287581699</v>
      </c>
      <c r="AO58" s="72"/>
      <c r="AP58" s="72"/>
      <c r="AQ58" s="72">
        <f>(BC58-Driver!$K$188)/(Driver!$L$188-Driver!$K$188)</f>
        <v>0.10467691403994527</v>
      </c>
      <c r="AR58" s="72">
        <f>MIN((BD58-Driver!$K$189)/(Driver!$L$189-Driver!$K$189),100%)</f>
        <v>7.2332127526932063E-2</v>
      </c>
      <c r="AS58" s="72">
        <f>(BE58-Driver!$K$190)/(Driver!$L$190-Driver!$K$190)</f>
        <v>1</v>
      </c>
      <c r="AT58" s="72">
        <f>(BF58-Driver!$K$191)/(Driver!$L$191-Driver!$K$191)</f>
        <v>7.2754217447028313E-3</v>
      </c>
      <c r="AU58" s="72">
        <f>(BG58-Driver!$K$192)/(Driver!$L$192-Driver!$K$192)</f>
        <v>2.4257199233606908E-2</v>
      </c>
      <c r="AV58" s="70">
        <f t="shared" si="23"/>
        <v>4.7195088861755528</v>
      </c>
      <c r="AW58" s="70">
        <f t="shared" si="24"/>
        <v>36.202339440644302</v>
      </c>
      <c r="AX58" s="70">
        <f t="shared" si="25"/>
        <v>3.2896983494593055</v>
      </c>
      <c r="AY58" s="70">
        <f>IFERROR(Driver!$K$19/Data!BH58/Data!BI58*Data!BK58*Data!BL58,"")</f>
        <v>0.13527698098395383</v>
      </c>
      <c r="AZ58" s="70">
        <f t="shared" si="26"/>
        <v>32.777364110201042</v>
      </c>
      <c r="BA58" s="70"/>
      <c r="BB58" s="70"/>
      <c r="BC58" s="70">
        <f t="shared" si="27"/>
        <v>54.296643014620081</v>
      </c>
      <c r="BD58" s="70">
        <f t="shared" si="28"/>
        <v>8.1220880052851552</v>
      </c>
      <c r="BE58" s="70">
        <f t="shared" si="29"/>
        <v>1</v>
      </c>
      <c r="BF58" s="70">
        <f t="shared" si="30"/>
        <v>0.82170777333364931</v>
      </c>
      <c r="BG58" s="70">
        <f t="shared" si="31"/>
        <v>9.1853230718636505E-2</v>
      </c>
      <c r="BH58" s="67">
        <f>MAX((CE58-Driver!$F$200)/(Driver!$G$200-Driver!$F$200)*$BI$1,1)</f>
        <v>3.2896983494593055</v>
      </c>
      <c r="BI58" s="67">
        <f>MAX($BI$1*(BY58-Driver!$F$201)/(Driver!$G$201-Driver!$F$201),1)</f>
        <v>7.8481012658227849</v>
      </c>
      <c r="BJ58" s="67">
        <f>(CB58-Driver!$F$206)/(Driver!$G$206-Driver!$F$206)*$BI$1</f>
        <v>3.6507936507936507</v>
      </c>
      <c r="BK58" s="67">
        <f>(CD58-Driver!$F$203)/(Driver!$G$203-Driver!$F$203)*$BI$1</f>
        <v>3.1651376146788994</v>
      </c>
      <c r="BL58" s="67">
        <f>MAX((CR58-Driver!$F$202)/(Driver!$G$202-Driver!$F$202)*$BI$1,1)</f>
        <v>5.5172413793103452</v>
      </c>
      <c r="BM58" s="67">
        <f>MAX((CH58-Driver!$F$204)/(Driver!$G$204-Driver!$F$204)*$BI$1,1)</f>
        <v>5.1709401709401712</v>
      </c>
      <c r="BN58" s="67">
        <f>(CI58-Driver!$F$205)/(Driver!$G$205-Driver!$F$205)*$BI$1</f>
        <v>4.1764705882352944</v>
      </c>
      <c r="BO58" s="67">
        <f>(CK58-Driver!$F$207)/(Driver!$G$207-Driver!$F$207)*$BI$1</f>
        <v>0.64115822130299893</v>
      </c>
      <c r="BP58" s="67">
        <f>(CM58-Driver!$F$208)/(Driver!$G$208-Driver!$F$208)*$BI$1</f>
        <v>1.1111111111111112</v>
      </c>
      <c r="BQ58" s="67">
        <f>(CL58-Driver!$F$209)/(Driver!$G$209-Driver!$F$209)*$BI$1</f>
        <v>1.5625</v>
      </c>
      <c r="BR58" s="28" t="s">
        <v>155</v>
      </c>
      <c r="BS58" s="8" t="s">
        <v>182</v>
      </c>
      <c r="BT58" s="9" t="s">
        <v>244</v>
      </c>
      <c r="BU58" s="10">
        <v>160</v>
      </c>
      <c r="BV58" s="9" t="s">
        <v>163</v>
      </c>
      <c r="BW58" s="10">
        <v>160</v>
      </c>
      <c r="BX58" s="10">
        <v>159.5</v>
      </c>
      <c r="BY58" s="10">
        <v>132</v>
      </c>
      <c r="BZ58" s="10">
        <v>142</v>
      </c>
      <c r="CA58" s="10">
        <v>127</v>
      </c>
      <c r="CB58" s="10">
        <v>87</v>
      </c>
      <c r="CC58" s="10">
        <v>109</v>
      </c>
      <c r="CD58" s="10">
        <v>16.3</v>
      </c>
      <c r="CE58" s="10">
        <v>1478</v>
      </c>
      <c r="CF58" s="10">
        <v>1.06</v>
      </c>
      <c r="CG58" s="10">
        <v>1574</v>
      </c>
      <c r="CH58" s="10">
        <v>222</v>
      </c>
      <c r="CI58" s="10">
        <v>104</v>
      </c>
      <c r="CJ58" s="10">
        <v>39</v>
      </c>
      <c r="CK58" s="10">
        <v>172</v>
      </c>
      <c r="CL58" s="10">
        <v>10</v>
      </c>
      <c r="CM58" s="10">
        <v>100</v>
      </c>
      <c r="CN58" s="10">
        <v>0.245</v>
      </c>
      <c r="CO58" s="10">
        <v>112</v>
      </c>
      <c r="CP58" s="10">
        <v>62</v>
      </c>
      <c r="CQ58" s="10">
        <v>60</v>
      </c>
      <c r="CR58" s="10">
        <v>5</v>
      </c>
      <c r="CS58" s="10">
        <v>11.4</v>
      </c>
      <c r="CT58" s="9" t="s">
        <v>188</v>
      </c>
      <c r="CU58" s="9" t="s">
        <v>185</v>
      </c>
      <c r="CV58" s="10"/>
      <c r="CW58" s="10"/>
      <c r="CX58" t="str">
        <f>INDEX('Data_Price '!AG$2:AG$1266,MATCH(Data!$DN58,'Data_Price '!$AT$2:$AT$1266,0))</f>
        <v>Armada Reliance 88 C Skis</v>
      </c>
      <c r="CY58" t="str">
        <f>INDEX('Data_Price '!AH$2:AH$1266,MATCH(Data!$DN58,'Data_Price '!$AT$2:$AT$1266,0))</f>
        <v>Snowcountry.eu</v>
      </c>
      <c r="CZ58">
        <f>INDEX('Data_Price '!AI$2:AI$1266,MATCH(Data!$DN58,'Data_Price '!$AT$2:$AT$1266,0))</f>
        <v>367.9</v>
      </c>
      <c r="DA58" t="str">
        <f>INDEX('Data_Price '!AJ$2:AJ$1266,MATCH(Data!$DN58,'Data_Price '!$AT$2:$AT$1266,0))</f>
        <v>https://tinyurl.com/y8e8w3wd</v>
      </c>
      <c r="DB58" t="str">
        <f>INDEX('Data_Price '!AK$2:AK$1266,MATCH(Data!$DN58,'Data_Price '!$AT$2:$AT$1266,0))</f>
        <v>Armada Reliance 88 C White-Black 160 Ski Lady's Ladies / Women</v>
      </c>
      <c r="DC58" t="str">
        <f>INDEX('Data_Price '!AL$2:AL$1266,MATCH(Data!$DN58,'Data_Price '!$AT$2:$AT$1266,0))</f>
        <v>! OutdoorXL.com</v>
      </c>
      <c r="DD58">
        <f>INDEX('Data_Price '!AM$2:AM$1266,MATCH(Data!$DN58,'Data_Price '!$AT$2:$AT$1266,0))</f>
        <v>374.95</v>
      </c>
      <c r="DE58" t="str">
        <f>INDEX('Data_Price '!AN$2:AN$1266,MATCH(Data!$DN58,'Data_Price '!$AT$2:$AT$1266,0))</f>
        <v>https://tinyurl.com/y8345xxq</v>
      </c>
      <c r="DF58" t="str">
        <f>INDEX('Data_Price '!AO$2:AO$1266,MATCH(Data!$DN58,'Data_Price '!$AT$2:$AT$1266,0))</f>
        <v>Armada Reliance 88 C Skis</v>
      </c>
      <c r="DG58" t="str">
        <f>INDEX('Data_Price '!AP$2:AP$1266,MATCH(Data!$DN58,'Data_Price '!$AT$2:$AT$1266,0))</f>
        <v>UtahSkis</v>
      </c>
      <c r="DH58">
        <f>INDEX('Data_Price '!AQ$2:AQ$1266,MATCH(Data!$DN58,'Data_Price '!$AT$2:$AT$1266,0))</f>
        <v>479.96</v>
      </c>
      <c r="DI58" t="str">
        <f>INDEX('Data_Price '!AR$2:AR$1266,MATCH(Data!$DN58,'Data_Price '!$AT$2:$AT$1266,0))</f>
        <v>https://tinyurl.com/y9kngcux</v>
      </c>
      <c r="DJ58" s="89" t="str">
        <f t="shared" si="32"/>
        <v>https://tinyurl.com/y8e8w3wd</v>
      </c>
      <c r="DK58" s="89" t="str">
        <f t="shared" si="33"/>
        <v>https://tinyurl.com/y8345xxq</v>
      </c>
      <c r="DL58" s="89" t="str">
        <f t="shared" si="34"/>
        <v>https://tinyurl.com/y9kngcux</v>
      </c>
      <c r="DM58" s="219" t="str">
        <f t="shared" si="35"/>
        <v>Reliance 88 Ca</v>
      </c>
      <c r="DN58" s="89" t="str">
        <f t="shared" si="36"/>
        <v xml:space="preserve"> ArmadaReliance 88 Ca160 Women's</v>
      </c>
      <c r="DO58" s="221"/>
    </row>
    <row r="59" spans="2:119" ht="15.6" customHeight="1">
      <c r="B59" s="219" t="b">
        <f t="array" ref="B59">IF(OR(ISERROR(K59:P59)),FALSE,TRUE)</f>
        <v>1</v>
      </c>
      <c r="C59" s="43" t="b">
        <f>OR(BR59=Driver!$G$50,Data!BR584=Driver!$H$50)</f>
        <v>1</v>
      </c>
      <c r="D59" s="43" t="b">
        <f>OR(BV59=Driver!$G$51,BV59=Driver!$H$51)</f>
        <v>0</v>
      </c>
      <c r="E59" s="43" t="b">
        <f>AND(BX59&gt;Driver!$F$54,BX59&lt;Driver!$G$54)</f>
        <v>0</v>
      </c>
      <c r="F59" s="43" t="b">
        <f>CL59&gt;Driver!$F$56</f>
        <v>1</v>
      </c>
      <c r="G59" s="43" t="b">
        <f>AND(CB59&gt;Driver!$F$55,CB59&lt;Driver!$G$55)</f>
        <v>0</v>
      </c>
      <c r="H59" s="43" t="b">
        <f t="shared" si="0"/>
        <v>0</v>
      </c>
      <c r="I59" s="43">
        <f t="shared" si="1"/>
        <v>0</v>
      </c>
      <c r="J59" s="43" t="b">
        <f t="array" ref="J59">NOT(OR(($H$9:$H$1273=TRUE)*($I$9:$I$1273&gt;0)*($BT$9:$BT$1273=BT59)*($K$9:$K$1273&gt;K59)))</f>
        <v>1</v>
      </c>
      <c r="K59" s="72">
        <f t="shared" si="2"/>
        <v>0.88043503627684472</v>
      </c>
      <c r="L59" s="72">
        <f t="shared" si="3"/>
        <v>0.97622132877225076</v>
      </c>
      <c r="M59" s="72">
        <f t="shared" si="4"/>
        <v>0.78464874378143867</v>
      </c>
      <c r="N59" s="72">
        <f t="shared" si="5"/>
        <v>0.77455186287200006</v>
      </c>
      <c r="O59" s="72">
        <f t="shared" si="6"/>
        <v>0.61255241017000761</v>
      </c>
      <c r="P59" s="72">
        <f t="shared" si="7"/>
        <v>0.96684195830230824</v>
      </c>
      <c r="Q59" s="72"/>
      <c r="R59" s="72"/>
      <c r="S59" s="72">
        <f t="shared" si="8"/>
        <v>0.42332581376688272</v>
      </c>
      <c r="T59" s="72">
        <f t="shared" si="9"/>
        <v>0.59123675891607697</v>
      </c>
      <c r="U59" s="72">
        <f t="shared" si="10"/>
        <v>0.54994314605139838</v>
      </c>
      <c r="V59" s="72">
        <f t="shared" si="11"/>
        <v>0.6039542267142084</v>
      </c>
      <c r="W59" s="72">
        <f t="shared" si="12"/>
        <v>0.82344155844155842</v>
      </c>
      <c r="X59" s="72">
        <f t="shared" si="13"/>
        <v>2.377867122774921E-2</v>
      </c>
      <c r="Y59" s="72">
        <f t="shared" si="14"/>
        <v>0.21535125621856133</v>
      </c>
      <c r="Z59" s="72">
        <f t="shared" si="15"/>
        <v>0.22544813712799994</v>
      </c>
      <c r="AA59" s="72">
        <f t="shared" si="16"/>
        <v>0.38744758982999239</v>
      </c>
      <c r="AB59" s="72">
        <f t="shared" si="17"/>
        <v>3.3158041697691709E-2</v>
      </c>
      <c r="AC59" s="72"/>
      <c r="AD59" s="72"/>
      <c r="AE59" s="72">
        <f t="shared" si="18"/>
        <v>0.57667418623311728</v>
      </c>
      <c r="AF59" s="72">
        <f t="shared" si="19"/>
        <v>0.40876324108392303</v>
      </c>
      <c r="AG59" s="72">
        <f t="shared" si="20"/>
        <v>0.45005685394860168</v>
      </c>
      <c r="AH59" s="72">
        <f t="shared" si="21"/>
        <v>0.3960457732857916</v>
      </c>
      <c r="AI59" s="72">
        <f t="shared" si="22"/>
        <v>0.17655844155844158</v>
      </c>
      <c r="AJ59" s="72">
        <f>(AV59-Driver!$K$179)/(Driver!$L$179-Driver!$K$179)</f>
        <v>0.23044073805495122</v>
      </c>
      <c r="AK59" s="72">
        <f>(AW59-Driver!$K$180)/(Driver!$L$180-Driver!$K$180)</f>
        <v>0.29075934342441068</v>
      </c>
      <c r="AL59" s="72">
        <f>(AX59-Driver!$K$181)/(Driver!$L$181-Driver!$K$181)</f>
        <v>0.32713590084108013</v>
      </c>
      <c r="AM59" s="72">
        <f>(AY59-Driver!$K$182)/(Driver!$L$182-Driver!$K$182)</f>
        <v>5.9937431267053996E-2</v>
      </c>
      <c r="AN59" s="72">
        <f>(AZ59-Driver!$K$183)/(Driver!$L$183-Driver!$K$183)</f>
        <v>0.28737745098039214</v>
      </c>
      <c r="AO59" s="72"/>
      <c r="AP59" s="72"/>
      <c r="AQ59" s="72">
        <f>(BC59-Driver!$K$188)/(Driver!$L$188-Driver!$K$188)</f>
        <v>4.3325813766882743E-2</v>
      </c>
      <c r="AR59" s="72">
        <f>MIN((BD59-Driver!$K$189)/(Driver!$L$189-Driver!$K$189),100%)</f>
        <v>0.14123675891607701</v>
      </c>
      <c r="AS59" s="72">
        <f>(BE59-Driver!$K$190)/(Driver!$L$190-Driver!$K$190)</f>
        <v>5.9943146051398319E-2</v>
      </c>
      <c r="AT59" s="72">
        <f>(BF59-Driver!$K$191)/(Driver!$L$191-Driver!$K$191)</f>
        <v>0.11395422671420839</v>
      </c>
      <c r="AU59" s="72">
        <f>(BG59-Driver!$K$192)/(Driver!$L$192-Driver!$K$192)</f>
        <v>7.3441558441558433E-2</v>
      </c>
      <c r="AV59" s="70">
        <f t="shared" si="23"/>
        <v>4.8500881834215166</v>
      </c>
      <c r="AW59" s="70">
        <f t="shared" si="24"/>
        <v>30.208967028041794</v>
      </c>
      <c r="AX59" s="70">
        <f t="shared" si="25"/>
        <v>3.9442231075697212</v>
      </c>
      <c r="AY59" s="70">
        <f>IFERROR(Driver!$K$19/Data!BH59/Data!BI59*Data!BK59*Data!BL59,"")</f>
        <v>7.3381299474308007E-2</v>
      </c>
      <c r="AZ59" s="70">
        <f t="shared" si="26"/>
        <v>26.191362620997765</v>
      </c>
      <c r="BA59" s="70"/>
      <c r="BB59" s="70"/>
      <c r="BC59" s="70">
        <f t="shared" si="27"/>
        <v>22.473400797052907</v>
      </c>
      <c r="BD59" s="70">
        <f t="shared" si="28"/>
        <v>14.220025791442211</v>
      </c>
      <c r="BE59" s="70">
        <f t="shared" si="29"/>
        <v>6.0110841613352159E-2</v>
      </c>
      <c r="BF59" s="70">
        <f t="shared" si="30"/>
        <v>12.870329333617855</v>
      </c>
      <c r="BG59" s="70">
        <f t="shared" si="31"/>
        <v>0.27809659090909089</v>
      </c>
      <c r="BH59" s="67">
        <f>MAX((CE59-Driver!$F$200)/(Driver!$G$200-Driver!$F$200)*$BI$1,1)</f>
        <v>3.9442231075697212</v>
      </c>
      <c r="BI59" s="67">
        <f>MAX($BI$1*(BY59-Driver!$F$201)/(Driver!$G$201-Driver!$F$201),1)</f>
        <v>6.6455696202531644</v>
      </c>
      <c r="BJ59" s="67">
        <f>(CB59-Driver!$F$206)/(Driver!$G$206-Driver!$F$206)*$BI$1</f>
        <v>4.1269841269841265</v>
      </c>
      <c r="BK59" s="67">
        <f>(CD59-Driver!$F$203)/(Driver!$G$203-Driver!$F$203)*$BI$1</f>
        <v>1.7431192660550456</v>
      </c>
      <c r="BL59" s="67">
        <f>MAX((CR59-Driver!$F$202)/(Driver!$G$202-Driver!$F$202)*$BI$1,1)</f>
        <v>5.5172413793103452</v>
      </c>
      <c r="BM59" s="67">
        <f>MAX((CH59-Driver!$F$204)/(Driver!$G$204-Driver!$F$204)*$BI$1,1)</f>
        <v>4.700854700854701</v>
      </c>
      <c r="BN59" s="67">
        <f>(CI59-Driver!$F$205)/(Driver!$G$205-Driver!$F$205)*$BI$1</f>
        <v>3.9411764705882351</v>
      </c>
      <c r="BO59" s="67">
        <f>(CK59-Driver!$F$207)/(Driver!$G$207-Driver!$F$207)*$BI$1</f>
        <v>2.5749741468459151</v>
      </c>
      <c r="BP59" s="67">
        <f>(CM59-Driver!$F$208)/(Driver!$G$208-Driver!$F$208)*$BI$1</f>
        <v>2.1111111111111112</v>
      </c>
      <c r="BQ59" s="67">
        <f>(CL59-Driver!$F$209)/(Driver!$G$209-Driver!$F$209)*$BI$1</f>
        <v>5.15625</v>
      </c>
      <c r="BR59" s="28" t="s">
        <v>155</v>
      </c>
      <c r="BS59" s="8" t="s">
        <v>245</v>
      </c>
      <c r="BT59" s="9" t="s">
        <v>246</v>
      </c>
      <c r="BU59" s="10">
        <v>169</v>
      </c>
      <c r="BV59" s="9" t="s">
        <v>163</v>
      </c>
      <c r="BW59" s="10">
        <v>169</v>
      </c>
      <c r="BX59" s="10">
        <v>168.1</v>
      </c>
      <c r="BY59" s="10">
        <v>113</v>
      </c>
      <c r="BZ59" s="10">
        <v>139</v>
      </c>
      <c r="CA59" s="10">
        <v>125</v>
      </c>
      <c r="CB59" s="10">
        <v>90</v>
      </c>
      <c r="CC59" s="10">
        <v>116</v>
      </c>
      <c r="CD59" s="10">
        <v>13.2</v>
      </c>
      <c r="CE59" s="10">
        <v>1593</v>
      </c>
      <c r="CF59" s="10">
        <v>1.1000000000000001</v>
      </c>
      <c r="CG59" s="10">
        <v>1746</v>
      </c>
      <c r="CH59" s="10">
        <v>211</v>
      </c>
      <c r="CI59" s="10">
        <v>100</v>
      </c>
      <c r="CJ59" s="10">
        <v>52</v>
      </c>
      <c r="CK59" s="10">
        <v>359</v>
      </c>
      <c r="CL59" s="10">
        <v>33</v>
      </c>
      <c r="CM59" s="10">
        <v>190</v>
      </c>
      <c r="CN59" s="10">
        <v>0.63400000000000001</v>
      </c>
      <c r="CO59" s="10">
        <v>147</v>
      </c>
      <c r="CP59" s="10">
        <v>145</v>
      </c>
      <c r="CQ59" s="10">
        <v>212</v>
      </c>
      <c r="CR59" s="10">
        <v>5</v>
      </c>
      <c r="CS59" s="10">
        <v>5.9</v>
      </c>
      <c r="CT59" s="9" t="s">
        <v>188</v>
      </c>
      <c r="CU59" s="9" t="s">
        <v>185</v>
      </c>
      <c r="CV59" s="10"/>
      <c r="CW59" s="10"/>
      <c r="CX59" t="str">
        <f>INDEX('Data_Price '!AG$2:AG$1266,MATCH(Data!$DN59,'Data_Price '!$AT$2:$AT$1266,0))</f>
        <v>Fischer Ranger 94 FR Skis</v>
      </c>
      <c r="CY59" t="str">
        <f>INDEX('Data_Price '!AH$2:AH$1266,MATCH(Data!$DN59,'Data_Price '!$AT$2:$AT$1266,0))</f>
        <v>ColoradoSkiShop.com</v>
      </c>
      <c r="CZ59">
        <f>INDEX('Data_Price '!AI$2:AI$1266,MATCH(Data!$DN59,'Data_Price '!$AT$2:$AT$1266,0))</f>
        <v>479.99</v>
      </c>
      <c r="DA59" t="str">
        <f>INDEX('Data_Price '!AJ$2:AJ$1266,MATCH(Data!$DN59,'Data_Price '!$AT$2:$AT$1266,0))</f>
        <v>https://tinyurl.com/y86b8cje</v>
      </c>
      <c r="DB59" t="str">
        <f>INDEX('Data_Price '!AK$2:AK$1266,MATCH(Data!$DN59,'Data_Price '!$AT$2:$AT$1266,0))</f>
        <v>Fischer Ranger 94 FR Skis</v>
      </c>
      <c r="DC59" t="str">
        <f>INDEX('Data_Price '!AL$2:AL$1266,MATCH(Data!$DN59,'Data_Price '!$AT$2:$AT$1266,0))</f>
        <v>skicenterltd.com</v>
      </c>
      <c r="DD59">
        <f>INDEX('Data_Price '!AM$2:AM$1266,MATCH(Data!$DN59,'Data_Price '!$AT$2:$AT$1266,0))</f>
        <v>699.99</v>
      </c>
      <c r="DE59" t="str">
        <f>INDEX('Data_Price '!AN$2:AN$1266,MATCH(Data!$DN59,'Data_Price '!$AT$2:$AT$1266,0))</f>
        <v>https://tinyurl.com/y7a68hff</v>
      </c>
      <c r="DF59" t="str">
        <f>INDEX('Data_Price '!AO$2:AO$1266,MATCH(Data!$DN59,'Data_Price '!$AT$2:$AT$1266,0))</f>
        <v>Ranger 94 Fr 169</v>
      </c>
      <c r="DG59" t="str">
        <f>INDEX('Data_Price '!AP$2:AP$1266,MATCH(Data!$DN59,'Data_Price '!$AT$2:$AT$1266,0))</f>
        <v>Pro Ski and Mountain Service</v>
      </c>
      <c r="DH59">
        <f>INDEX('Data_Price '!AQ$2:AQ$1266,MATCH(Data!$DN59,'Data_Price '!$AT$2:$AT$1266,0))</f>
        <v>699.99</v>
      </c>
      <c r="DI59" t="str">
        <f>INDEX('Data_Price '!AR$2:AR$1266,MATCH(Data!$DN59,'Data_Price '!$AT$2:$AT$1266,0))</f>
        <v>https://tinyurl.com/y8cpf4nn</v>
      </c>
      <c r="DJ59" s="89" t="str">
        <f t="shared" si="32"/>
        <v>https://tinyurl.com/y86b8cje</v>
      </c>
      <c r="DK59" s="89" t="str">
        <f t="shared" si="33"/>
        <v>https://tinyurl.com/y7a68hff</v>
      </c>
      <c r="DL59" s="89" t="str">
        <f t="shared" si="34"/>
        <v>https://tinyurl.com/y8cpf4nn</v>
      </c>
      <c r="DM59" s="219" t="str">
        <f t="shared" si="35"/>
        <v>Ranger 94 FR W</v>
      </c>
      <c r="DN59" s="89" t="str">
        <f t="shared" si="36"/>
        <v xml:space="preserve"> FischerRanger 94 FR W169 Women's</v>
      </c>
      <c r="DO59" s="221"/>
    </row>
    <row r="60" spans="2:119" ht="15.6" customHeight="1">
      <c r="B60" s="219" t="b">
        <f t="array" ref="B60">IF(OR(ISERROR(K60:P60)),FALSE,TRUE)</f>
        <v>1</v>
      </c>
      <c r="C60" s="43" t="b">
        <f>OR(BR60=Driver!$G$50,Data!BR155=Driver!$H$50)</f>
        <v>1</v>
      </c>
      <c r="D60" s="43" t="b">
        <f>OR(BV60=Driver!$G$51,BV60=Driver!$H$51)</f>
        <v>0</v>
      </c>
      <c r="E60" s="43" t="b">
        <f>AND(BX60&gt;Driver!$F$54,BX60&lt;Driver!$G$54)</f>
        <v>0</v>
      </c>
      <c r="F60" s="43" t="b">
        <f>CL60&gt;Driver!$F$56</f>
        <v>1</v>
      </c>
      <c r="G60" s="43" t="b">
        <f>AND(CB60&gt;Driver!$F$55,CB60&lt;Driver!$G$55)</f>
        <v>0</v>
      </c>
      <c r="H60" s="43" t="b">
        <f t="shared" si="0"/>
        <v>0</v>
      </c>
      <c r="I60" s="43">
        <f t="shared" si="1"/>
        <v>0</v>
      </c>
      <c r="J60" s="43" t="b">
        <f t="array" ref="J60">NOT(OR(($H$9:$H$1273=TRUE)*($I$9:$I$1273&gt;0)*($BT$9:$BT$1273=BT60)*($K$9:$K$1273&gt;K60)))</f>
        <v>1</v>
      </c>
      <c r="K60" s="72">
        <f t="shared" si="2"/>
        <v>0.88085573720582899</v>
      </c>
      <c r="L60" s="72">
        <f t="shared" si="3"/>
        <v>0.98800395524998752</v>
      </c>
      <c r="M60" s="72">
        <f t="shared" si="4"/>
        <v>0.77370751916167058</v>
      </c>
      <c r="N60" s="72">
        <f t="shared" si="5"/>
        <v>0.74356470041073397</v>
      </c>
      <c r="O60" s="72">
        <f t="shared" si="6"/>
        <v>0.66794629092883229</v>
      </c>
      <c r="P60" s="72">
        <f t="shared" si="7"/>
        <v>0.90961156614544547</v>
      </c>
      <c r="Q60" s="72"/>
      <c r="R60" s="72"/>
      <c r="S60" s="72">
        <f t="shared" si="8"/>
        <v>0.4919856010537681</v>
      </c>
      <c r="T60" s="72">
        <f t="shared" si="9"/>
        <v>0.50716887004636768</v>
      </c>
      <c r="U60" s="72">
        <f t="shared" si="10"/>
        <v>0.67722205389555723</v>
      </c>
      <c r="V60" s="72">
        <f t="shared" si="11"/>
        <v>0.53206977420220802</v>
      </c>
      <c r="W60" s="72">
        <f t="shared" si="12"/>
        <v>0.77712663895107137</v>
      </c>
      <c r="X60" s="72">
        <f t="shared" si="13"/>
        <v>1.199604475001248E-2</v>
      </c>
      <c r="Y60" s="72">
        <f t="shared" si="14"/>
        <v>0.22629248083832942</v>
      </c>
      <c r="Z60" s="72">
        <f t="shared" si="15"/>
        <v>0.25643529958926597</v>
      </c>
      <c r="AA60" s="72">
        <f t="shared" si="16"/>
        <v>0.33205370907116777</v>
      </c>
      <c r="AB60" s="72">
        <f t="shared" si="17"/>
        <v>9.0388433854554529E-2</v>
      </c>
      <c r="AC60" s="72"/>
      <c r="AD60" s="72"/>
      <c r="AE60" s="72">
        <f t="shared" si="18"/>
        <v>0.5080143989462319</v>
      </c>
      <c r="AF60" s="72">
        <f t="shared" si="19"/>
        <v>0.49283112995363232</v>
      </c>
      <c r="AG60" s="72">
        <f t="shared" si="20"/>
        <v>0.32277794610444277</v>
      </c>
      <c r="AH60" s="72">
        <f t="shared" si="21"/>
        <v>0.46793022579779192</v>
      </c>
      <c r="AI60" s="72">
        <f t="shared" si="22"/>
        <v>0.22287336104892869</v>
      </c>
      <c r="AJ60" s="72">
        <f>(AV60-Driver!$K$179)/(Driver!$L$179-Driver!$K$179)</f>
        <v>0.26621545403271291</v>
      </c>
      <c r="AK60" s="72">
        <f>(AW60-Driver!$K$180)/(Driver!$L$180-Driver!$K$180)</f>
        <v>0.34783611944811482</v>
      </c>
      <c r="AL60" s="72">
        <f>(AX60-Driver!$K$181)/(Driver!$L$181-Driver!$K$181)</f>
        <v>0.35812306330234617</v>
      </c>
      <c r="AM60" s="72">
        <f>(AY60-Driver!$K$182)/(Driver!$L$182-Driver!$K$182)</f>
        <v>0.11533131202587858</v>
      </c>
      <c r="AN60" s="72">
        <f>(AZ60-Driver!$K$183)/(Driver!$L$183-Driver!$K$183)</f>
        <v>0.34460784313725495</v>
      </c>
      <c r="AO60" s="72"/>
      <c r="AP60" s="72"/>
      <c r="AQ60" s="72">
        <f>(BC60-Driver!$K$188)/(Driver!$L$188-Driver!$K$188)</f>
        <v>0.11198560105376808</v>
      </c>
      <c r="AR60" s="72">
        <f>MIN((BD60-Driver!$K$189)/(Driver!$L$189-Driver!$K$189),100%)</f>
        <v>5.7168870046367705E-2</v>
      </c>
      <c r="AS60" s="72">
        <f>(BE60-Driver!$K$190)/(Driver!$L$190-Driver!$K$190)</f>
        <v>0.18722205389555721</v>
      </c>
      <c r="AT60" s="72">
        <f>(BF60-Driver!$K$191)/(Driver!$L$191-Driver!$K$191)</f>
        <v>4.2069774202208102E-2</v>
      </c>
      <c r="AU60" s="72">
        <f>(BG60-Driver!$K$192)/(Driver!$L$192-Driver!$K$192)</f>
        <v>2.7126638951071317E-2</v>
      </c>
      <c r="AV60" s="70">
        <f t="shared" si="23"/>
        <v>5.6030389363722701</v>
      </c>
      <c r="AW60" s="70">
        <f t="shared" si="24"/>
        <v>35.771604603236646</v>
      </c>
      <c r="AX60" s="70">
        <f t="shared" si="25"/>
        <v>4.2231075697211153</v>
      </c>
      <c r="AY60" s="70">
        <f>IFERROR(Driver!$K$19/Data!BH60/Data!BI60*Data!BK60*Data!BL60,"")</f>
        <v>0.14119993746191506</v>
      </c>
      <c r="AZ60" s="70">
        <f t="shared" si="26"/>
        <v>31.407297096053615</v>
      </c>
      <c r="BA60" s="70"/>
      <c r="BB60" s="70"/>
      <c r="BC60" s="70">
        <f t="shared" si="27"/>
        <v>58.087709777857789</v>
      </c>
      <c r="BD60" s="70">
        <f t="shared" si="28"/>
        <v>6.7801665859576197</v>
      </c>
      <c r="BE60" s="70">
        <f t="shared" si="29"/>
        <v>0.18736704433293677</v>
      </c>
      <c r="BF60" s="70">
        <f t="shared" si="30"/>
        <v>4.7514854392482802</v>
      </c>
      <c r="BG60" s="70">
        <f t="shared" si="31"/>
        <v>0.10271875999360411</v>
      </c>
      <c r="BH60" s="67">
        <f>MAX((CE60-Driver!$F$200)/(Driver!$G$200-Driver!$F$200)*$BI$1,1)</f>
        <v>4.2231075697211153</v>
      </c>
      <c r="BI60" s="67">
        <f>MAX($BI$1*(BY60-Driver!$F$201)/(Driver!$G$201-Driver!$F$201),1)</f>
        <v>7.2151898734177218</v>
      </c>
      <c r="BJ60" s="67">
        <f>(CB60-Driver!$F$206)/(Driver!$G$206-Driver!$F$206)*$BI$1</f>
        <v>4.4444444444444446</v>
      </c>
      <c r="BK60" s="67">
        <f>(CD60-Driver!$F$203)/(Driver!$G$203-Driver!$F$203)*$BI$1</f>
        <v>3.8990825688073394</v>
      </c>
      <c r="BL60" s="67">
        <f>MAX((CR60-Driver!$F$202)/(Driver!$G$202-Driver!$F$202)*$BI$1,1)</f>
        <v>5.5172413793103452</v>
      </c>
      <c r="BM60" s="67">
        <f>MAX((CH60-Driver!$F$204)/(Driver!$G$204-Driver!$F$204)*$BI$1,1)</f>
        <v>5.0427350427350426</v>
      </c>
      <c r="BN60" s="67">
        <f>(CI60-Driver!$F$205)/(Driver!$G$205-Driver!$F$205)*$BI$1</f>
        <v>4.3529411764705888</v>
      </c>
      <c r="BO60" s="67">
        <f>(CK60-Driver!$F$207)/(Driver!$G$207-Driver!$F$207)*$BI$1</f>
        <v>1.9338159255429164</v>
      </c>
      <c r="BP60" s="67">
        <f>(CM60-Driver!$F$208)/(Driver!$G$208-Driver!$F$208)*$BI$1</f>
        <v>2.1555555555555554</v>
      </c>
      <c r="BQ60" s="67">
        <f>(CL60-Driver!$F$209)/(Driver!$G$209-Driver!$F$209)*$BI$1</f>
        <v>2.1875</v>
      </c>
      <c r="BR60" s="28" t="s">
        <v>155</v>
      </c>
      <c r="BS60" s="8" t="s">
        <v>156</v>
      </c>
      <c r="BT60" s="9" t="s">
        <v>247</v>
      </c>
      <c r="BU60" s="10">
        <v>172</v>
      </c>
      <c r="BV60" s="9" t="s">
        <v>163</v>
      </c>
      <c r="BW60" s="10">
        <v>172</v>
      </c>
      <c r="BX60" s="10">
        <v>171.4</v>
      </c>
      <c r="BY60" s="10">
        <v>122</v>
      </c>
      <c r="BZ60" s="10">
        <v>140</v>
      </c>
      <c r="CA60" s="10">
        <v>127</v>
      </c>
      <c r="CB60" s="10">
        <v>92</v>
      </c>
      <c r="CC60" s="10">
        <v>110</v>
      </c>
      <c r="CD60" s="10">
        <v>17.899999999999999</v>
      </c>
      <c r="CE60" s="10">
        <v>1642</v>
      </c>
      <c r="CF60" s="10">
        <v>1.07</v>
      </c>
      <c r="CG60" s="10">
        <v>1761</v>
      </c>
      <c r="CH60" s="10">
        <v>219</v>
      </c>
      <c r="CI60" s="10">
        <v>107</v>
      </c>
      <c r="CJ60" s="10">
        <v>52</v>
      </c>
      <c r="CK60" s="10">
        <v>297</v>
      </c>
      <c r="CL60" s="10">
        <v>14</v>
      </c>
      <c r="CM60" s="10">
        <v>194</v>
      </c>
      <c r="CN60" s="10">
        <v>0.26900000000000002</v>
      </c>
      <c r="CO60" s="10">
        <v>183</v>
      </c>
      <c r="CP60" s="10">
        <v>133</v>
      </c>
      <c r="CQ60" s="10">
        <v>114</v>
      </c>
      <c r="CR60" s="10">
        <v>5</v>
      </c>
      <c r="CS60" s="10">
        <v>8.8000000000000007</v>
      </c>
      <c r="CT60" s="9" t="s">
        <v>188</v>
      </c>
      <c r="CU60" s="9" t="s">
        <v>185</v>
      </c>
      <c r="CV60" s="10"/>
      <c r="CW60" s="10"/>
      <c r="CX60" t="str">
        <f>INDEX('Data_Price '!AG$2:AG$1266,MATCH(Data!$DN60,'Data_Price '!$AT$2:$AT$1266,0))</f>
        <v>Atomic Maven 93 C Skis</v>
      </c>
      <c r="CY60" t="str">
        <f>INDEX('Data_Price '!AH$2:AH$1266,MATCH(Data!$DN60,'Data_Price '!$AT$2:$AT$1266,0))</f>
        <v>eBay - asogear</v>
      </c>
      <c r="CZ60">
        <f>INDEX('Data_Price '!AI$2:AI$1266,MATCH(Data!$DN60,'Data_Price '!$AT$2:$AT$1266,0))</f>
        <v>389.99</v>
      </c>
      <c r="DA60" t="str">
        <f>INDEX('Data_Price '!AJ$2:AJ$1266,MATCH(Data!$DN60,'Data_Price '!$AT$2:$AT$1266,0))</f>
        <v>https://tinyurl.com/y95z7xhm</v>
      </c>
      <c r="DB60" t="str">
        <f>INDEX('Data_Price '!AK$2:AK$1266,MATCH(Data!$DN60,'Data_Price '!$AT$2:$AT$1266,0))</f>
        <v>Atomic Maven 93 C Anthracite/Mint / 172cm</v>
      </c>
      <c r="DC60" t="str">
        <f>INDEX('Data_Price '!AL$2:AL$1266,MATCH(Data!$DN60,'Data_Price '!$AT$2:$AT$1266,0))</f>
        <v>Sundance Ski and Board Shop</v>
      </c>
      <c r="DD60">
        <f>INDEX('Data_Price '!AM$2:AM$1266,MATCH(Data!$DN60,'Data_Price '!$AT$2:$AT$1266,0))</f>
        <v>441.09</v>
      </c>
      <c r="DE60" t="str">
        <f>INDEX('Data_Price '!AN$2:AN$1266,MATCH(Data!$DN60,'Data_Price '!$AT$2:$AT$1266,0))</f>
        <v>https://tinyurl.com/y8vyl476</v>
      </c>
      <c r="DF60" t="str">
        <f>INDEX('Data_Price '!AO$2:AO$1266,MATCH(Data!$DN60,'Data_Price '!$AT$2:$AT$1266,0))</f>
        <v>Atomic Maven 93 C Skis</v>
      </c>
      <c r="DG60" t="str">
        <f>INDEX('Data_Price '!AP$2:AP$1266,MATCH(Data!$DN60,'Data_Price '!$AT$2:$AT$1266,0))</f>
        <v>Backcountry.com</v>
      </c>
      <c r="DH60">
        <f>INDEX('Data_Price '!AQ$2:AQ$1266,MATCH(Data!$DN60,'Data_Price '!$AT$2:$AT$1266,0))</f>
        <v>519.96</v>
      </c>
      <c r="DI60" t="str">
        <f>INDEX('Data_Price '!AR$2:AR$1266,MATCH(Data!$DN60,'Data_Price '!$AT$2:$AT$1266,0))</f>
        <v>https://tinyurl.com/ybq4tsok</v>
      </c>
      <c r="DJ60" s="89" t="str">
        <f t="shared" si="32"/>
        <v>https://tinyurl.com/y95z7xhm</v>
      </c>
      <c r="DK60" s="89" t="str">
        <f t="shared" si="33"/>
        <v>https://tinyurl.com/y8vyl476</v>
      </c>
      <c r="DL60" s="89" t="str">
        <f t="shared" si="34"/>
        <v>https://tinyurl.com/ybq4tsok</v>
      </c>
      <c r="DM60" s="219" t="str">
        <f t="shared" si="35"/>
        <v>Maven 93 C</v>
      </c>
      <c r="DN60" s="89" t="str">
        <f t="shared" si="36"/>
        <v xml:space="preserve"> AtomicMaven 93 C172 Women's</v>
      </c>
      <c r="DO60" s="221" t="s">
        <v>248</v>
      </c>
    </row>
    <row r="61" spans="2:119" ht="15.6" customHeight="1">
      <c r="B61" s="219" t="b">
        <f t="array" ref="B61">IF(OR(ISERROR(K61:P61)),FALSE,TRUE)</f>
        <v>1</v>
      </c>
      <c r="C61" s="43" t="b">
        <f>OR(BR61=Driver!$G$50,Data!BR492=Driver!$H$50)</f>
        <v>1</v>
      </c>
      <c r="D61" s="43" t="b">
        <f>OR(BV61=Driver!$G$51,BV61=Driver!$H$51)</f>
        <v>0</v>
      </c>
      <c r="E61" s="43" t="b">
        <f>AND(BX61&gt;Driver!$F$54,BX61&lt;Driver!$G$54)</f>
        <v>0</v>
      </c>
      <c r="F61" s="43" t="b">
        <f>CL61&gt;Driver!$F$56</f>
        <v>1</v>
      </c>
      <c r="G61" s="43" t="b">
        <f>AND(CB61&gt;Driver!$F$55,CB61&lt;Driver!$G$55)</f>
        <v>0</v>
      </c>
      <c r="H61" s="43" t="b">
        <f t="shared" si="0"/>
        <v>0</v>
      </c>
      <c r="I61" s="43">
        <f t="shared" si="1"/>
        <v>0</v>
      </c>
      <c r="J61" s="43" t="b">
        <f t="array" ref="J61">NOT(OR(($H$9:$H$1273=TRUE)*($I$9:$I$1273&gt;0)*($BT$9:$BT$1273=BT61)*($K$9:$K$1273&gt;K61)))</f>
        <v>1</v>
      </c>
      <c r="K61" s="72">
        <f t="shared" si="2"/>
        <v>0.87736457568516524</v>
      </c>
      <c r="L61" s="72">
        <f t="shared" si="3"/>
        <v>0.9544853024419947</v>
      </c>
      <c r="M61" s="72">
        <f t="shared" si="4"/>
        <v>0.80024384892833567</v>
      </c>
      <c r="N61" s="72">
        <f t="shared" si="5"/>
        <v>0.81565728246347546</v>
      </c>
      <c r="O61" s="72">
        <f t="shared" si="6"/>
        <v>0.68755420144405999</v>
      </c>
      <c r="P61" s="72">
        <f t="shared" si="7"/>
        <v>0.89752006287747166</v>
      </c>
      <c r="Q61" s="72"/>
      <c r="R61" s="72"/>
      <c r="S61" s="72">
        <f t="shared" si="8"/>
        <v>0.48627532376256666</v>
      </c>
      <c r="T61" s="72">
        <f t="shared" si="9"/>
        <v>0.49615336244932196</v>
      </c>
      <c r="U61" s="72">
        <f t="shared" si="10"/>
        <v>0.707347326895717</v>
      </c>
      <c r="V61" s="72">
        <f t="shared" si="11"/>
        <v>0.52391322504241167</v>
      </c>
      <c r="W61" s="72">
        <f t="shared" si="12"/>
        <v>0.79727507961783439</v>
      </c>
      <c r="X61" s="72">
        <f t="shared" si="13"/>
        <v>4.5514697558005301E-2</v>
      </c>
      <c r="Y61" s="72">
        <f t="shared" si="14"/>
        <v>0.19975615107166431</v>
      </c>
      <c r="Z61" s="72">
        <f t="shared" si="15"/>
        <v>0.18434271753652454</v>
      </c>
      <c r="AA61" s="72">
        <f t="shared" si="16"/>
        <v>0.31244579855594001</v>
      </c>
      <c r="AB61" s="72">
        <f t="shared" si="17"/>
        <v>0.10247993712252834</v>
      </c>
      <c r="AC61" s="72"/>
      <c r="AD61" s="72"/>
      <c r="AE61" s="72">
        <f t="shared" si="18"/>
        <v>0.51372467623743334</v>
      </c>
      <c r="AF61" s="72">
        <f t="shared" si="19"/>
        <v>0.50384663755067804</v>
      </c>
      <c r="AG61" s="72">
        <f t="shared" si="20"/>
        <v>0.292652673104283</v>
      </c>
      <c r="AH61" s="72">
        <f t="shared" si="21"/>
        <v>0.47608677495758828</v>
      </c>
      <c r="AI61" s="72">
        <f t="shared" si="22"/>
        <v>0.20272492038216561</v>
      </c>
      <c r="AJ61" s="72">
        <f>(AV61-Driver!$K$179)/(Driver!$L$179-Driver!$K$179)</f>
        <v>0.29973410684070573</v>
      </c>
      <c r="AK61" s="72">
        <f>(AW61-Driver!$K$180)/(Driver!$L$180-Driver!$K$180)</f>
        <v>0.35273237120440687</v>
      </c>
      <c r="AL61" s="72">
        <f>(AX61-Driver!$K$181)/(Driver!$L$181-Driver!$K$181)</f>
        <v>0.28603048124960473</v>
      </c>
      <c r="AM61" s="72">
        <f>(AY61-Driver!$K$182)/(Driver!$L$182-Driver!$K$182)</f>
        <v>0.13493922254110638</v>
      </c>
      <c r="AN61" s="72">
        <f>(AZ61-Driver!$K$183)/(Driver!$L$183-Driver!$K$183)</f>
        <v>0.35669934640522877</v>
      </c>
      <c r="AO61" s="72"/>
      <c r="AP61" s="72"/>
      <c r="AQ61" s="72">
        <f>(BC61-Driver!$K$188)/(Driver!$L$188-Driver!$K$188)</f>
        <v>0.10627532376256664</v>
      </c>
      <c r="AR61" s="72">
        <f>MIN((BD61-Driver!$K$189)/(Driver!$L$189-Driver!$K$189),100%)</f>
        <v>4.6153362449321958E-2</v>
      </c>
      <c r="AS61" s="72">
        <f>(BE61-Driver!$K$190)/(Driver!$L$190-Driver!$K$190)</f>
        <v>0.21734732689571701</v>
      </c>
      <c r="AT61" s="72">
        <f>(BF61-Driver!$K$191)/(Driver!$L$191-Driver!$K$191)</f>
        <v>3.3913225042411732E-2</v>
      </c>
      <c r="AU61" s="72">
        <f>(BG61-Driver!$K$192)/(Driver!$L$192-Driver!$K$192)</f>
        <v>4.7275079617834399E-2</v>
      </c>
      <c r="AV61" s="70">
        <f t="shared" si="23"/>
        <v>6.3085063085063071</v>
      </c>
      <c r="AW61" s="70">
        <f t="shared" si="24"/>
        <v>36.248787722091379</v>
      </c>
      <c r="AX61" s="70">
        <f t="shared" si="25"/>
        <v>3.5742743312464427</v>
      </c>
      <c r="AY61" s="70">
        <f>IFERROR(Driver!$K$19/Data!BH61/Data!BI61*Data!BK61*Data!BL61,"")</f>
        <v>0.16520587036839021</v>
      </c>
      <c r="AZ61" s="70">
        <f t="shared" si="26"/>
        <v>32.509307520476547</v>
      </c>
      <c r="BA61" s="70"/>
      <c r="BB61" s="70"/>
      <c r="BC61" s="70">
        <f t="shared" si="27"/>
        <v>55.125749249707901</v>
      </c>
      <c r="BD61" s="70">
        <f t="shared" si="28"/>
        <v>5.8053136819435727</v>
      </c>
      <c r="BE61" s="70">
        <f t="shared" si="29"/>
        <v>0.21748694332346774</v>
      </c>
      <c r="BF61" s="70">
        <f t="shared" si="30"/>
        <v>3.8302605146502517</v>
      </c>
      <c r="BG61" s="70">
        <f t="shared" si="31"/>
        <v>0.17901360967356691</v>
      </c>
      <c r="BH61" s="67">
        <f>MAX((CE61-Driver!$F$200)/(Driver!$G$200-Driver!$F$200)*$BI$1,1)</f>
        <v>3.5742743312464427</v>
      </c>
      <c r="BI61" s="67">
        <f>MAX($BI$1*(BY61-Driver!$F$201)/(Driver!$G$201-Driver!$F$201),1)</f>
        <v>7.4683544303797467</v>
      </c>
      <c r="BJ61" s="67">
        <f>(CB61-Driver!$F$206)/(Driver!$G$206-Driver!$F$206)*$BI$1</f>
        <v>4.92063492063492</v>
      </c>
      <c r="BK61" s="67">
        <f>(CD61-Driver!$F$203)/(Driver!$G$203-Driver!$F$203)*$BI$1</f>
        <v>3.7614678899082579</v>
      </c>
      <c r="BL61" s="67">
        <f>MAX((CR61-Driver!$F$202)/(Driver!$G$202-Driver!$F$202)*$BI$1,1)</f>
        <v>5.8620689655172411</v>
      </c>
      <c r="BM61" s="67">
        <f>MAX((CH61-Driver!$F$204)/(Driver!$G$204-Driver!$F$204)*$BI$1,1)</f>
        <v>5.1282051282051277</v>
      </c>
      <c r="BN61" s="67">
        <f>(CI61-Driver!$F$205)/(Driver!$G$205-Driver!$F$205)*$BI$1</f>
        <v>4.3529411764705888</v>
      </c>
      <c r="BO61" s="67">
        <f>(CK61-Driver!$F$207)/(Driver!$G$207-Driver!$F$207)*$BI$1</f>
        <v>1.4167528438469492</v>
      </c>
      <c r="BP61" s="67">
        <f>(CM61-Driver!$F$208)/(Driver!$G$208-Driver!$F$208)*$BI$1</f>
        <v>2.0666666666666664</v>
      </c>
      <c r="BQ61" s="67">
        <f>(CL61-Driver!$F$209)/(Driver!$G$209-Driver!$F$209)*$BI$1</f>
        <v>3.28125</v>
      </c>
      <c r="BR61" s="28" t="s">
        <v>155</v>
      </c>
      <c r="BS61" s="8" t="s">
        <v>205</v>
      </c>
      <c r="BT61" s="9" t="s">
        <v>249</v>
      </c>
      <c r="BU61" s="10">
        <v>163</v>
      </c>
      <c r="BV61" s="9" t="s">
        <v>163</v>
      </c>
      <c r="BW61" s="10">
        <v>163</v>
      </c>
      <c r="BX61" s="10">
        <v>169.5</v>
      </c>
      <c r="BY61" s="10">
        <v>126</v>
      </c>
      <c r="BZ61" s="10">
        <v>140</v>
      </c>
      <c r="CA61" s="10">
        <v>126</v>
      </c>
      <c r="CB61" s="10">
        <v>95</v>
      </c>
      <c r="CC61" s="10">
        <v>116</v>
      </c>
      <c r="CD61" s="10">
        <v>17.600000000000001</v>
      </c>
      <c r="CE61" s="10">
        <v>1528</v>
      </c>
      <c r="CF61" s="10">
        <v>1.17</v>
      </c>
      <c r="CG61" s="10">
        <v>1793</v>
      </c>
      <c r="CH61" s="10">
        <v>221</v>
      </c>
      <c r="CI61" s="10">
        <v>107</v>
      </c>
      <c r="CJ61" s="10">
        <v>52</v>
      </c>
      <c r="CK61" s="10">
        <v>247</v>
      </c>
      <c r="CL61" s="10">
        <v>21</v>
      </c>
      <c r="CM61" s="10">
        <v>186</v>
      </c>
      <c r="CN61" s="10">
        <v>0.40500000000000003</v>
      </c>
      <c r="CO61" s="10">
        <v>173</v>
      </c>
      <c r="CP61" s="10">
        <v>120</v>
      </c>
      <c r="CQ61" s="10">
        <v>74</v>
      </c>
      <c r="CR61" s="10">
        <v>6</v>
      </c>
      <c r="CS61" s="10">
        <v>10.9</v>
      </c>
      <c r="CT61" s="9" t="s">
        <v>188</v>
      </c>
      <c r="CU61" s="9" t="s">
        <v>185</v>
      </c>
      <c r="CV61" s="10"/>
      <c r="CW61" s="10"/>
      <c r="CX61" t="str">
        <f>INDEX('Data_Price '!AG$2:AG$1266,MATCH(Data!$DN61,'Data_Price '!$AT$2:$AT$1266,0))</f>
        <v>Faction Agent 2.0x Women's Skis</v>
      </c>
      <c r="CY61" t="str">
        <f>INDEX('Data_Price '!AH$2:AH$1266,MATCH(Data!$DN61,'Data_Price '!$AT$2:$AT$1266,0))</f>
        <v>Aspen Ski and Board</v>
      </c>
      <c r="CZ61">
        <f>INDEX('Data_Price '!AI$2:AI$1266,MATCH(Data!$DN61,'Data_Price '!$AT$2:$AT$1266,0))</f>
        <v>559.20000000000005</v>
      </c>
      <c r="DA61" t="str">
        <f>INDEX('Data_Price '!AJ$2:AJ$1266,MATCH(Data!$DN61,'Data_Price '!$AT$2:$AT$1266,0))</f>
        <v>https://tinyurl.com/ycql4jcg</v>
      </c>
      <c r="DB61" t="str">
        <f>INDEX('Data_Price '!AK$2:AK$1266,MATCH(Data!$DN61,'Data_Price '!$AT$2:$AT$1266,0))</f>
        <v>Faction Agent 2.0x Women's Skis</v>
      </c>
      <c r="DC61" t="str">
        <f>INDEX('Data_Price '!AL$2:AL$1266,MATCH(Data!$DN61,'Data_Price '!$AT$2:$AT$1266,0))</f>
        <v>Saint Bernard</v>
      </c>
      <c r="DD61">
        <f>INDEX('Data_Price '!AM$2:AM$1266,MATCH(Data!$DN61,'Data_Price '!$AT$2:$AT$1266,0))</f>
        <v>559.9</v>
      </c>
      <c r="DE61" t="str">
        <f>INDEX('Data_Price '!AN$2:AN$1266,MATCH(Data!$DN61,'Data_Price '!$AT$2:$AT$1266,0))</f>
        <v>https://tinyurl.com/yauymccn</v>
      </c>
      <c r="DF61" t="str">
        <f>INDEX('Data_Price '!AO$2:AO$1266,MATCH(Data!$DN61,'Data_Price '!$AT$2:$AT$1266,0))</f>
        <v>Faction Agent 2.0x Women's Skis</v>
      </c>
      <c r="DG61" t="str">
        <f>INDEX('Data_Price '!AP$2:AP$1266,MATCH(Data!$DN61,'Data_Price '!$AT$2:$AT$1266,0))</f>
        <v>Next Adventure</v>
      </c>
      <c r="DH61">
        <f>INDEX('Data_Price '!AQ$2:AQ$1266,MATCH(Data!$DN61,'Data_Price '!$AT$2:$AT$1266,0))</f>
        <v>639.20000000000005</v>
      </c>
      <c r="DI61" t="str">
        <f>INDEX('Data_Price '!AR$2:AR$1266,MATCH(Data!$DN61,'Data_Price '!$AT$2:$AT$1266,0))</f>
        <v>https://tinyurl.com/ybpbchbn</v>
      </c>
      <c r="DJ61" s="89" t="str">
        <f t="shared" si="32"/>
        <v>https://tinyurl.com/ycql4jcg</v>
      </c>
      <c r="DK61" s="89" t="str">
        <f t="shared" si="33"/>
        <v>https://tinyurl.com/yauymccn</v>
      </c>
      <c r="DL61" s="89" t="str">
        <f t="shared" si="34"/>
        <v>https://tinyurl.com/ybpbchbn</v>
      </c>
      <c r="DM61" s="219" t="str">
        <f t="shared" si="35"/>
        <v>Agent 2.0 X</v>
      </c>
      <c r="DN61" s="89" t="str">
        <f t="shared" si="36"/>
        <v xml:space="preserve"> FactionAgent 2.0 X163 Women's</v>
      </c>
      <c r="DO61" s="221"/>
    </row>
    <row r="62" spans="2:119" ht="15.6" customHeight="1">
      <c r="B62" s="219" t="b">
        <f t="array" ref="B62">IF(OR(ISERROR(K62:P62)),FALSE,TRUE)</f>
        <v>1</v>
      </c>
      <c r="C62" s="43" t="b">
        <f>OR(BR62=Driver!$G$50,Data!BR338=Driver!$H$50)</f>
        <v>1</v>
      </c>
      <c r="D62" s="43" t="b">
        <f>OR(BV62=Driver!$G$51,BV62=Driver!$H$51)</f>
        <v>1</v>
      </c>
      <c r="E62" s="43" t="b">
        <f>AND(BX62&gt;Driver!$F$54,BX62&lt;Driver!$G$54)</f>
        <v>1</v>
      </c>
      <c r="F62" s="43" t="b">
        <f>CL62&gt;Driver!$F$56</f>
        <v>1</v>
      </c>
      <c r="G62" s="43" t="b">
        <f>AND(CB62&gt;Driver!$F$55,CB62&lt;Driver!$G$55)</f>
        <v>1</v>
      </c>
      <c r="H62" s="43" t="b">
        <f t="shared" si="0"/>
        <v>1</v>
      </c>
      <c r="I62" s="43">
        <f t="shared" si="1"/>
        <v>2</v>
      </c>
      <c r="J62" s="43" t="b">
        <f t="array" ref="J62">NOT(OR(($H$9:$H$1273=TRUE)*($I$9:$I$1273&gt;0)*($BT$9:$BT$1273=BT62)*($K$9:$K$1273&gt;K62)))</f>
        <v>0</v>
      </c>
      <c r="K62" s="72">
        <f t="shared" si="2"/>
        <v>0.82941295533423576</v>
      </c>
      <c r="L62" s="72">
        <f t="shared" si="3"/>
        <v>0.88752857051064338</v>
      </c>
      <c r="M62" s="72">
        <f t="shared" si="4"/>
        <v>0.77129734015782825</v>
      </c>
      <c r="N62" s="72">
        <f t="shared" si="5"/>
        <v>0.69423819690096344</v>
      </c>
      <c r="O62" s="72">
        <f t="shared" si="6"/>
        <v>0.69141480644668363</v>
      </c>
      <c r="P62" s="72">
        <f t="shared" si="7"/>
        <v>0.92823901712583767</v>
      </c>
      <c r="Q62" s="72"/>
      <c r="R62" s="72"/>
      <c r="S62" s="72">
        <f t="shared" si="8"/>
        <v>0.48093057394214456</v>
      </c>
      <c r="T62" s="72">
        <f t="shared" si="9"/>
        <v>0.48068008641475368</v>
      </c>
      <c r="U62" s="72">
        <f t="shared" si="10"/>
        <v>0.60014393041455105</v>
      </c>
      <c r="V62" s="72">
        <f t="shared" si="11"/>
        <v>0.54295031829421236</v>
      </c>
      <c r="W62" s="72">
        <f t="shared" si="12"/>
        <v>0.78727752142386287</v>
      </c>
      <c r="X62" s="72">
        <f t="shared" si="13"/>
        <v>0.11247142948935662</v>
      </c>
      <c r="Y62" s="72">
        <f t="shared" si="14"/>
        <v>0.22870265984217175</v>
      </c>
      <c r="Z62" s="72">
        <f t="shared" si="15"/>
        <v>0.3057618030990365</v>
      </c>
      <c r="AA62" s="72">
        <f t="shared" si="16"/>
        <v>0.30858519355331643</v>
      </c>
      <c r="AB62" s="72">
        <f t="shared" si="17"/>
        <v>7.1760982874162327E-2</v>
      </c>
      <c r="AC62" s="72"/>
      <c r="AD62" s="72"/>
      <c r="AE62" s="72">
        <f t="shared" si="18"/>
        <v>0.51906942605785544</v>
      </c>
      <c r="AF62" s="72">
        <f t="shared" si="19"/>
        <v>0.51931991358524632</v>
      </c>
      <c r="AG62" s="72">
        <f t="shared" si="20"/>
        <v>0.39985606958544895</v>
      </c>
      <c r="AH62" s="72">
        <f t="shared" si="21"/>
        <v>0.45704968170578769</v>
      </c>
      <c r="AI62" s="72">
        <f t="shared" si="22"/>
        <v>0.21272247857613713</v>
      </c>
      <c r="AJ62" s="72">
        <f>(AV62-Driver!$K$179)/(Driver!$L$179-Driver!$K$179)</f>
        <v>0.36669083877205705</v>
      </c>
      <c r="AK62" s="72">
        <f>(AW62-Driver!$K$180)/(Driver!$L$180-Driver!$K$180)</f>
        <v>0.33526650056810209</v>
      </c>
      <c r="AL62" s="72">
        <f>(AX62-Driver!$K$181)/(Driver!$L$181-Driver!$K$181)</f>
        <v>0.40744956681211669</v>
      </c>
      <c r="AM62" s="72">
        <f>(AY62-Driver!$K$182)/(Driver!$L$182-Driver!$K$182)</f>
        <v>0.13879982754372994</v>
      </c>
      <c r="AN62" s="72">
        <f>(AZ62-Driver!$K$183)/(Driver!$L$183-Driver!$K$183)</f>
        <v>0.32598039215686275</v>
      </c>
      <c r="AO62" s="72"/>
      <c r="AP62" s="72"/>
      <c r="AQ62" s="72">
        <f>(BC62-Driver!$K$188)/(Driver!$L$188-Driver!$K$188)</f>
        <v>0.10093057394214458</v>
      </c>
      <c r="AR62" s="72">
        <f>MIN((BD62-Driver!$K$189)/(Driver!$L$189-Driver!$K$189),100%)</f>
        <v>3.0680086414753716E-2</v>
      </c>
      <c r="AS62" s="72">
        <f>(BE62-Driver!$K$190)/(Driver!$L$190-Driver!$K$190)</f>
        <v>0.11014393041455106</v>
      </c>
      <c r="AT62" s="72">
        <f>(BF62-Driver!$K$191)/(Driver!$L$191-Driver!$K$191)</f>
        <v>5.2950318294212338E-2</v>
      </c>
      <c r="AU62" s="72">
        <f>(BG62-Driver!$K$192)/(Driver!$L$192-Driver!$K$192)</f>
        <v>3.7277521423862883E-2</v>
      </c>
      <c r="AV62" s="70">
        <f t="shared" si="23"/>
        <v>7.7177452177452182</v>
      </c>
      <c r="AW62" s="70">
        <f t="shared" si="24"/>
        <v>34.546583865225806</v>
      </c>
      <c r="AX62" s="70">
        <f t="shared" si="25"/>
        <v>4.6670461013090501</v>
      </c>
      <c r="AY62" s="70">
        <f>IFERROR(Driver!$K$19/Data!BH62/Data!BI62*Data!BK62*Data!BL62,"")</f>
        <v>0.16993240278495794</v>
      </c>
      <c r="AZ62" s="70">
        <f t="shared" si="26"/>
        <v>29.709605361131796</v>
      </c>
      <c r="BA62" s="70"/>
      <c r="BB62" s="70"/>
      <c r="BC62" s="70">
        <f t="shared" si="27"/>
        <v>52.353390361757036</v>
      </c>
      <c r="BD62" s="70">
        <f t="shared" si="28"/>
        <v>4.4359561699070662</v>
      </c>
      <c r="BE62" s="70">
        <f t="shared" si="29"/>
        <v>0.11030267072160842</v>
      </c>
      <c r="BF62" s="70">
        <f t="shared" si="30"/>
        <v>5.9803664542917021</v>
      </c>
      <c r="BG62" s="70">
        <f t="shared" si="31"/>
        <v>0.14115647659854977</v>
      </c>
      <c r="BH62" s="67">
        <f>MAX((CE62-Driver!$F$200)/(Driver!$G$200-Driver!$F$200)*$BI$1,1)</f>
        <v>4.6670461013090501</v>
      </c>
      <c r="BI62" s="67">
        <f>MAX($BI$1*(BY62-Driver!$F$201)/(Driver!$G$201-Driver!$F$201),1)</f>
        <v>6.6455696202531644</v>
      </c>
      <c r="BJ62" s="67">
        <f>(CB62-Driver!$F$206)/(Driver!$G$206-Driver!$F$206)*$BI$1</f>
        <v>6.5079365079365079</v>
      </c>
      <c r="BK62" s="67">
        <f>(CD62-Driver!$F$203)/(Driver!$G$203-Driver!$F$203)*$BI$1</f>
        <v>4.4954128440366974</v>
      </c>
      <c r="BL62" s="67">
        <f>MAX((CR62-Driver!$F$202)/(Driver!$G$202-Driver!$F$202)*$BI$1,1)</f>
        <v>5.8620689655172411</v>
      </c>
      <c r="BM62" s="67">
        <f>MAX((CH62-Driver!$F$204)/(Driver!$G$204-Driver!$F$204)*$BI$1,1)</f>
        <v>4.7435897435897436</v>
      </c>
      <c r="BN62" s="67">
        <f>(CI62-Driver!$F$205)/(Driver!$G$205-Driver!$F$205)*$BI$1</f>
        <v>4.4705882352941178</v>
      </c>
      <c r="BO62" s="67">
        <f>(CK62-Driver!$F$207)/(Driver!$G$207-Driver!$F$207)*$BI$1</f>
        <v>1.7373319544984489</v>
      </c>
      <c r="BP62" s="67">
        <f>(CM62-Driver!$F$208)/(Driver!$G$208-Driver!$F$208)*$BI$1</f>
        <v>2.3777777777777778</v>
      </c>
      <c r="BQ62" s="67">
        <f>(CL62-Driver!$F$209)/(Driver!$G$209-Driver!$F$209)*$BI$1</f>
        <v>3.125</v>
      </c>
      <c r="BR62" s="28" t="s">
        <v>155</v>
      </c>
      <c r="BS62" s="8" t="s">
        <v>218</v>
      </c>
      <c r="BT62" s="9" t="s">
        <v>250</v>
      </c>
      <c r="BU62" s="10">
        <v>163</v>
      </c>
      <c r="BV62" s="9" t="s">
        <v>158</v>
      </c>
      <c r="BW62" s="10">
        <v>163</v>
      </c>
      <c r="BX62" s="10">
        <v>162</v>
      </c>
      <c r="BY62" s="10">
        <v>113</v>
      </c>
      <c r="BZ62" s="10">
        <v>126</v>
      </c>
      <c r="CA62" s="10">
        <v>131</v>
      </c>
      <c r="CB62" s="10">
        <v>105</v>
      </c>
      <c r="CC62" s="10">
        <v>117</v>
      </c>
      <c r="CD62" s="10">
        <v>19.2</v>
      </c>
      <c r="CE62" s="10">
        <v>1720</v>
      </c>
      <c r="CF62" s="10">
        <v>1.06</v>
      </c>
      <c r="CG62" s="10">
        <v>1832</v>
      </c>
      <c r="CH62" s="10">
        <v>212</v>
      </c>
      <c r="CI62" s="10">
        <v>109</v>
      </c>
      <c r="CJ62" s="10">
        <v>43</v>
      </c>
      <c r="CK62" s="10">
        <v>278</v>
      </c>
      <c r="CL62" s="10">
        <v>20</v>
      </c>
      <c r="CM62" s="10">
        <v>214</v>
      </c>
      <c r="CN62" s="10">
        <v>0.46300000000000002</v>
      </c>
      <c r="CO62" s="10">
        <v>192</v>
      </c>
      <c r="CP62" s="10">
        <v>173</v>
      </c>
      <c r="CQ62" s="10">
        <v>86</v>
      </c>
      <c r="CR62" s="10">
        <v>6</v>
      </c>
      <c r="CS62" s="10">
        <v>9.5</v>
      </c>
      <c r="CT62" s="9" t="s">
        <v>169</v>
      </c>
      <c r="CU62" s="9" t="s">
        <v>185</v>
      </c>
      <c r="CV62" s="10"/>
      <c r="CW62" s="10"/>
      <c r="CX62" t="str">
        <f>INDEX('Data_Price '!AG$2:AG$1266,MATCH(Data!$DN62,'Data_Price '!$AT$2:$AT$1266,0))</f>
        <v>DPS Pagoda 106 C2 Ski 163 / Blue</v>
      </c>
      <c r="CY62" t="str">
        <f>INDEX('Data_Price '!AH$2:AH$1266,MATCH(Data!$DN62,'Data_Price '!$AT$2:$AT$1266,0))</f>
        <v>Cripple Creek Backcountry</v>
      </c>
      <c r="CZ62">
        <f>INDEX('Data_Price '!AI$2:AI$1266,MATCH(Data!$DN62,'Data_Price '!$AT$2:$AT$1266,0))</f>
        <v>1029</v>
      </c>
      <c r="DA62" t="str">
        <f>INDEX('Data_Price '!AJ$2:AJ$1266,MATCH(Data!$DN62,'Data_Price '!$AT$2:$AT$1266,0))</f>
        <v>https://tinyurl.com/yc4pl6hp</v>
      </c>
      <c r="DB62" t="str">
        <f>INDEX('Data_Price '!AK$2:AK$1266,MATCH(Data!$DN62,'Data_Price '!$AT$2:$AT$1266,0))</f>
        <v>DPS Pagoda 106 C2 163CM / PURPLE</v>
      </c>
      <c r="DC62" t="str">
        <f>INDEX('Data_Price '!AL$2:AL$1266,MATCH(Data!$DN62,'Data_Price '!$AT$2:$AT$1266,0))</f>
        <v>Neptune Mountaineering</v>
      </c>
      <c r="DD62">
        <f>INDEX('Data_Price '!AM$2:AM$1266,MATCH(Data!$DN62,'Data_Price '!$AT$2:$AT$1266,0))</f>
        <v>1039.2</v>
      </c>
      <c r="DE62" t="str">
        <f>INDEX('Data_Price '!AN$2:AN$1266,MATCH(Data!$DN62,'Data_Price '!$AT$2:$AT$1266,0))</f>
        <v>https://tinyurl.com/yajbx3gj</v>
      </c>
      <c r="DF62" t="str">
        <f>INDEX('Data_Price '!AO$2:AO$1266,MATCH(Data!$DN62,'Data_Price '!$AT$2:$AT$1266,0))</f>
        <v>DPS Pagoda 106 C2 Skis 2022 - 163</v>
      </c>
      <c r="DG62" t="str">
        <f>INDEX('Data_Price '!AP$2:AP$1266,MATCH(Data!$DN62,'Data_Price '!$AT$2:$AT$1266,0))</f>
        <v>Powder7 Ski Shop</v>
      </c>
      <c r="DH62">
        <f>INDEX('Data_Price '!AQ$2:AQ$1266,MATCH(Data!$DN62,'Data_Price '!$AT$2:$AT$1266,0))</f>
        <v>1039.2</v>
      </c>
      <c r="DI62" t="str">
        <f>INDEX('Data_Price '!AR$2:AR$1266,MATCH(Data!$DN62,'Data_Price '!$AT$2:$AT$1266,0))</f>
        <v>https://tinyurl.com/yaryldsa</v>
      </c>
      <c r="DJ62" s="89" t="str">
        <f t="shared" si="32"/>
        <v>https://tinyurl.com/yc4pl6hp</v>
      </c>
      <c r="DK62" s="89" t="str">
        <f t="shared" si="33"/>
        <v>https://tinyurl.com/yajbx3gj</v>
      </c>
      <c r="DL62" s="89" t="str">
        <f t="shared" si="34"/>
        <v>https://tinyurl.com/yaryldsa</v>
      </c>
      <c r="DM62" s="219" t="str">
        <f t="shared" si="35"/>
        <v>Pagoda 106 C2</v>
      </c>
      <c r="DN62" s="89" t="str">
        <f t="shared" si="36"/>
        <v xml:space="preserve"> DPSPagoda 106 C2163 Unisex</v>
      </c>
      <c r="DO62" s="221" t="s">
        <v>251</v>
      </c>
    </row>
    <row r="63" spans="2:119" ht="15.6" customHeight="1">
      <c r="B63" s="219" t="b">
        <f t="array" ref="B63">IF(OR(ISERROR(K63:P63)),FALSE,TRUE)</f>
        <v>1</v>
      </c>
      <c r="C63" s="43" t="b">
        <f>OR(BR63=Driver!$G$50,Data!BR1064=Driver!$H$50)</f>
        <v>1</v>
      </c>
      <c r="D63" s="43" t="b">
        <f>OR(BV63=Driver!$G$51,BV63=Driver!$H$51)</f>
        <v>1</v>
      </c>
      <c r="E63" s="43" t="b">
        <f>AND(BX63&gt;Driver!$F$54,BX63&lt;Driver!$G$54)</f>
        <v>0</v>
      </c>
      <c r="F63" s="43" t="b">
        <f>CL63&gt;Driver!$F$56</f>
        <v>1</v>
      </c>
      <c r="G63" s="43" t="b">
        <f>AND(CB63&gt;Driver!$F$55,CB63&lt;Driver!$G$55)</f>
        <v>0</v>
      </c>
      <c r="H63" s="43" t="b">
        <f t="shared" si="0"/>
        <v>0</v>
      </c>
      <c r="I63" s="43">
        <f t="shared" si="1"/>
        <v>0</v>
      </c>
      <c r="J63" s="43" t="b">
        <f t="array" ref="J63">NOT(OR(($H$9:$H$1273=TRUE)*($I$9:$I$1273&gt;0)*($BT$9:$BT$1273=BT63)*($K$9:$K$1273&gt;K63)))</f>
        <v>1</v>
      </c>
      <c r="K63" s="72">
        <f t="shared" si="2"/>
        <v>0.86902285670534507</v>
      </c>
      <c r="L63" s="72">
        <f t="shared" si="3"/>
        <v>0.95948087088933975</v>
      </c>
      <c r="M63" s="72">
        <f t="shared" si="4"/>
        <v>0.77856484252135039</v>
      </c>
      <c r="N63" s="72">
        <f t="shared" si="5"/>
        <v>0.70625362724308705</v>
      </c>
      <c r="O63" s="72">
        <f t="shared" si="6"/>
        <v>0.68302377861996288</v>
      </c>
      <c r="P63" s="72">
        <f t="shared" si="7"/>
        <v>0.94641712170100112</v>
      </c>
      <c r="Q63" s="72"/>
      <c r="R63" s="72"/>
      <c r="S63" s="72">
        <f t="shared" si="8"/>
        <v>0.48624578733721113</v>
      </c>
      <c r="T63" s="72">
        <f t="shared" si="9"/>
        <v>0.51828068688000273</v>
      </c>
      <c r="U63" s="72">
        <f t="shared" si="10"/>
        <v>0.65601120646566113</v>
      </c>
      <c r="V63" s="72">
        <f t="shared" si="11"/>
        <v>0.51035701295861247</v>
      </c>
      <c r="W63" s="72">
        <f t="shared" si="12"/>
        <v>0.76256427347171973</v>
      </c>
      <c r="X63" s="72">
        <f t="shared" si="13"/>
        <v>4.0519129110660246E-2</v>
      </c>
      <c r="Y63" s="72">
        <f t="shared" si="14"/>
        <v>0.22143515747864964</v>
      </c>
      <c r="Z63" s="72">
        <f t="shared" si="15"/>
        <v>0.2937463727569129</v>
      </c>
      <c r="AA63" s="72">
        <f t="shared" si="16"/>
        <v>0.31697622138003706</v>
      </c>
      <c r="AB63" s="72">
        <f t="shared" si="17"/>
        <v>5.3582878298998937E-2</v>
      </c>
      <c r="AC63" s="72"/>
      <c r="AD63" s="72"/>
      <c r="AE63" s="72">
        <f t="shared" si="18"/>
        <v>0.51375421266278887</v>
      </c>
      <c r="AF63" s="72">
        <f t="shared" si="19"/>
        <v>0.48171931311999727</v>
      </c>
      <c r="AG63" s="72">
        <f t="shared" si="20"/>
        <v>0.34398879353433887</v>
      </c>
      <c r="AH63" s="72">
        <f t="shared" si="21"/>
        <v>0.48964298704138753</v>
      </c>
      <c r="AI63" s="72">
        <f t="shared" si="22"/>
        <v>0.23743572652828032</v>
      </c>
      <c r="AJ63" s="72">
        <f>(AV63-Driver!$K$179)/(Driver!$L$179-Driver!$K$179)</f>
        <v>0.29473853839336067</v>
      </c>
      <c r="AK63" s="72">
        <f>(AW63-Driver!$K$180)/(Driver!$L$180-Driver!$K$180)</f>
        <v>0.31705214198452558</v>
      </c>
      <c r="AL63" s="72">
        <f>(AX63-Driver!$K$181)/(Driver!$L$181-Driver!$K$181)</f>
        <v>0.39543413646999309</v>
      </c>
      <c r="AM63" s="72">
        <f>(AY63-Driver!$K$182)/(Driver!$L$182-Driver!$K$182)</f>
        <v>0.1304087997170093</v>
      </c>
      <c r="AN63" s="72">
        <f>(AZ63-Driver!$K$183)/(Driver!$L$183-Driver!$K$183)</f>
        <v>0.30780228758169936</v>
      </c>
      <c r="AO63" s="72"/>
      <c r="AP63" s="72"/>
      <c r="AQ63" s="72">
        <f>(BC63-Driver!$K$188)/(Driver!$L$188-Driver!$K$188)</f>
        <v>0.1062457873372111</v>
      </c>
      <c r="AR63" s="72">
        <f>MIN((BD63-Driver!$K$189)/(Driver!$L$189-Driver!$K$189),100%)</f>
        <v>6.8280686880002772E-2</v>
      </c>
      <c r="AS63" s="72">
        <f>(BE63-Driver!$K$190)/(Driver!$L$190-Driver!$K$190)</f>
        <v>0.85398879353433887</v>
      </c>
      <c r="AT63" s="72">
        <f>(BF63-Driver!$K$191)/(Driver!$L$191-Driver!$K$191)</f>
        <v>2.0357012958612457E-2</v>
      </c>
      <c r="AU63" s="72">
        <f>(BG63-Driver!$K$192)/(Driver!$L$192-Driver!$K$192)</f>
        <v>1.2564273471719671E-2</v>
      </c>
      <c r="AV63" s="70">
        <f t="shared" si="23"/>
        <v>6.2033645366978689</v>
      </c>
      <c r="AW63" s="70">
        <f t="shared" si="24"/>
        <v>32.771433225620704</v>
      </c>
      <c r="AX63" s="70">
        <f t="shared" si="25"/>
        <v>4.5589072282299377</v>
      </c>
      <c r="AY63" s="70">
        <f>IFERROR(Driver!$K$19/Data!BH63/Data!BI63*Data!BK63*Data!BL63,"")</f>
        <v>0.15965928108399013</v>
      </c>
      <c r="AZ63" s="70">
        <f t="shared" si="26"/>
        <v>28.052866716306777</v>
      </c>
      <c r="BA63" s="70"/>
      <c r="BB63" s="70"/>
      <c r="BC63" s="70">
        <f t="shared" si="27"/>
        <v>55.110428500542085</v>
      </c>
      <c r="BD63" s="70">
        <f t="shared" si="28"/>
        <v>7.7635426867599522</v>
      </c>
      <c r="BE63" s="70">
        <f t="shared" si="29"/>
        <v>0.85401484029014618</v>
      </c>
      <c r="BF63" s="70">
        <f t="shared" si="30"/>
        <v>2.2991815975650951</v>
      </c>
      <c r="BG63" s="70">
        <f t="shared" si="31"/>
        <v>4.7576354503904017E-2</v>
      </c>
      <c r="BH63" s="67">
        <f>MAX((CE63-Driver!$F$200)/(Driver!$G$200-Driver!$F$200)*$BI$1,1)</f>
        <v>4.5589072282299377</v>
      </c>
      <c r="BI63" s="67">
        <f>MAX($BI$1*(BY63-Driver!$F$201)/(Driver!$G$201-Driver!$F$201),1)</f>
        <v>8.6708860759493671</v>
      </c>
      <c r="BJ63" s="67">
        <f>(CB63-Driver!$F$206)/(Driver!$G$206-Driver!$F$206)*$BI$1</f>
        <v>4.92063492063492</v>
      </c>
      <c r="BK63" s="67">
        <f>(CD63-Driver!$F$203)/(Driver!$G$203-Driver!$F$203)*$BI$1</f>
        <v>4.3577981651376145</v>
      </c>
      <c r="BL63" s="67">
        <f>MAX((CR63-Driver!$F$202)/(Driver!$G$202-Driver!$F$202)*$BI$1,1)</f>
        <v>7.2413793103448274</v>
      </c>
      <c r="BM63" s="67">
        <f>MAX((CH63-Driver!$F$204)/(Driver!$G$204-Driver!$F$204)*$BI$1,1)</f>
        <v>5.0427350427350426</v>
      </c>
      <c r="BN63" s="67">
        <f>(CI63-Driver!$F$205)/(Driver!$G$205-Driver!$F$205)*$BI$1</f>
        <v>3.2352941176470589</v>
      </c>
      <c r="BO63" s="67">
        <f>(CK63-Driver!$F$207)/(Driver!$G$207-Driver!$F$207)*$BI$1</f>
        <v>1.8510858324715616</v>
      </c>
      <c r="BP63" s="67">
        <f>(CM63-Driver!$F$208)/(Driver!$G$208-Driver!$F$208)*$BI$1</f>
        <v>1.1000000000000001</v>
      </c>
      <c r="BQ63" s="67">
        <f>(CL63-Driver!$F$209)/(Driver!$G$209-Driver!$F$209)*$BI$1</f>
        <v>1.09375</v>
      </c>
      <c r="BR63" s="28" t="s">
        <v>155</v>
      </c>
      <c r="BS63" s="8" t="s">
        <v>174</v>
      </c>
      <c r="BT63" s="9" t="s">
        <v>252</v>
      </c>
      <c r="BU63" s="10">
        <v>184</v>
      </c>
      <c r="BV63" s="9" t="s">
        <v>158</v>
      </c>
      <c r="BW63" s="10">
        <v>184</v>
      </c>
      <c r="BX63" s="10">
        <v>183.6</v>
      </c>
      <c r="BY63" s="10">
        <v>145</v>
      </c>
      <c r="BZ63" s="10">
        <v>153</v>
      </c>
      <c r="CA63" s="10">
        <v>131</v>
      </c>
      <c r="CB63" s="10">
        <v>95</v>
      </c>
      <c r="CC63" s="10">
        <v>117</v>
      </c>
      <c r="CD63" s="10">
        <v>18.899999999999999</v>
      </c>
      <c r="CE63" s="10">
        <v>1701</v>
      </c>
      <c r="CF63" s="10">
        <v>1.1499999999999999</v>
      </c>
      <c r="CG63" s="10">
        <v>1959</v>
      </c>
      <c r="CH63" s="10">
        <v>219</v>
      </c>
      <c r="CI63" s="10">
        <v>88</v>
      </c>
      <c r="CJ63" s="10">
        <v>50</v>
      </c>
      <c r="CK63" s="10">
        <v>289</v>
      </c>
      <c r="CL63" s="10">
        <v>7</v>
      </c>
      <c r="CM63" s="10">
        <v>99</v>
      </c>
      <c r="CN63" s="10">
        <v>0.14199999999999999</v>
      </c>
      <c r="CO63" s="10">
        <v>199</v>
      </c>
      <c r="CP63" s="10">
        <v>110</v>
      </c>
      <c r="CQ63" s="10">
        <v>90</v>
      </c>
      <c r="CR63" s="10">
        <v>10</v>
      </c>
      <c r="CS63" s="10">
        <v>10.9</v>
      </c>
      <c r="CT63" s="9" t="s">
        <v>188</v>
      </c>
      <c r="CU63" s="9" t="s">
        <v>185</v>
      </c>
      <c r="CV63" s="10"/>
      <c r="CW63" s="10"/>
      <c r="CX63" t="str">
        <f>INDEX('Data_Price '!AG$2:AG$1266,MATCH(Data!$DN63,'Data_Price '!$AT$2:$AT$1266,0))</f>
        <v>Salomon MTN Explore 95 Skis 2022</v>
      </c>
      <c r="CY63" t="str">
        <f>INDEX('Data_Price '!AH$2:AH$1266,MATCH(Data!$DN63,'Data_Price '!$AT$2:$AT$1266,0))</f>
        <v>Telemark Pyrenees</v>
      </c>
      <c r="CZ63">
        <f>INDEX('Data_Price '!AI$2:AI$1266,MATCH(Data!$DN63,'Data_Price '!$AT$2:$AT$1266,0))</f>
        <v>366.64</v>
      </c>
      <c r="DA63" t="str">
        <f>INDEX('Data_Price '!AJ$2:AJ$1266,MATCH(Data!$DN63,'Data_Price '!$AT$2:$AT$1266,0))</f>
        <v>https://tinyurl.com/yd4tgds7</v>
      </c>
      <c r="DB63" t="str">
        <f>INDEX('Data_Price '!AK$2:AK$1266,MATCH(Data!$DN63,'Data_Price '!$AT$2:$AT$1266,0))</f>
        <v>Salomon MTN Explore 95 Skis 2022</v>
      </c>
      <c r="DC63" t="str">
        <f>INDEX('Data_Price '!AL$2:AL$1266,MATCH(Data!$DN63,'Data_Price '!$AT$2:$AT$1266,0))</f>
        <v>Powder7 Ski Shop</v>
      </c>
      <c r="DD63">
        <f>INDEX('Data_Price '!AM$2:AM$1266,MATCH(Data!$DN63,'Data_Price '!$AT$2:$AT$1266,0))</f>
        <v>559.99</v>
      </c>
      <c r="DE63" t="str">
        <f>INDEX('Data_Price '!AN$2:AN$1266,MATCH(Data!$DN63,'Data_Price '!$AT$2:$AT$1266,0))</f>
        <v>https://tinyurl.com/yd35uxz9</v>
      </c>
      <c r="DF63" t="str">
        <f>INDEX('Data_Price '!AO$2:AO$1266,MATCH(Data!$DN63,'Data_Price '!$AT$2:$AT$1266,0))</f>
        <v>Salomon MTN Explore 95</v>
      </c>
      <c r="DG63" t="str">
        <f>INDEX('Data_Price '!AP$2:AP$1266,MATCH(Data!$DN63,'Data_Price '!$AT$2:$AT$1266,0))</f>
        <v>Level Nine Sports</v>
      </c>
      <c r="DH63">
        <f>INDEX('Data_Price '!AQ$2:AQ$1266,MATCH(Data!$DN63,'Data_Price '!$AT$2:$AT$1266,0))</f>
        <v>559.99</v>
      </c>
      <c r="DI63" t="str">
        <f>INDEX('Data_Price '!AR$2:AR$1266,MATCH(Data!$DN63,'Data_Price '!$AT$2:$AT$1266,0))</f>
        <v>https://tinyurl.com/y7w8wqt8</v>
      </c>
      <c r="DJ63" s="89" t="str">
        <f t="shared" si="32"/>
        <v>https://tinyurl.com/yd4tgds7</v>
      </c>
      <c r="DK63" s="89" t="str">
        <f t="shared" si="33"/>
        <v>https://tinyurl.com/yd35uxz9</v>
      </c>
      <c r="DL63" s="89" t="str">
        <f t="shared" si="34"/>
        <v>https://tinyurl.com/y7w8wqt8</v>
      </c>
      <c r="DM63" s="219" t="str">
        <f t="shared" si="35"/>
        <v>MTN Explore 95</v>
      </c>
      <c r="DN63" s="89" t="str">
        <f t="shared" si="36"/>
        <v xml:space="preserve"> SalomonMTN Explore 95184 Unisex</v>
      </c>
      <c r="DO63" s="221" t="s">
        <v>253</v>
      </c>
    </row>
    <row r="64" spans="2:119" ht="15.6" customHeight="1">
      <c r="B64" s="219" t="b">
        <f t="array" ref="B64">IF(OR(ISERROR(K64:P64)),FALSE,TRUE)</f>
        <v>1</v>
      </c>
      <c r="C64" s="43" t="b">
        <f>OR(BR64=Driver!$G$50,Data!BR346=Driver!$H$50)</f>
        <v>1</v>
      </c>
      <c r="D64" s="43" t="b">
        <f>OR(BV64=Driver!$G$51,BV64=Driver!$H$51)</f>
        <v>1</v>
      </c>
      <c r="E64" s="43" t="b">
        <f>AND(BX64&gt;Driver!$F$54,BX64&lt;Driver!$G$54)</f>
        <v>1</v>
      </c>
      <c r="F64" s="43" t="b">
        <f>CL64&gt;Driver!$F$56</f>
        <v>1</v>
      </c>
      <c r="G64" s="43" t="b">
        <f>AND(CB64&gt;Driver!$F$55,CB64&lt;Driver!$G$55)</f>
        <v>0</v>
      </c>
      <c r="H64" s="43" t="b">
        <f t="shared" si="0"/>
        <v>0</v>
      </c>
      <c r="I64" s="43">
        <f t="shared" si="1"/>
        <v>0</v>
      </c>
      <c r="J64" s="43" t="b">
        <f t="array" ref="J64">NOT(OR(($H$9:$H$1273=TRUE)*($I$9:$I$1273&gt;0)*($BT$9:$BT$1273=BT64)*($K$9:$K$1273&gt;K64)))</f>
        <v>1</v>
      </c>
      <c r="K64" s="72">
        <f t="shared" si="2"/>
        <v>0.88876176613077484</v>
      </c>
      <c r="L64" s="72">
        <f t="shared" si="3"/>
        <v>0.96042888658386949</v>
      </c>
      <c r="M64" s="72">
        <f t="shared" si="4"/>
        <v>0.81709464567768031</v>
      </c>
      <c r="N64" s="72">
        <f t="shared" si="5"/>
        <v>0.7960531592736948</v>
      </c>
      <c r="O64" s="72">
        <f t="shared" si="6"/>
        <v>0.72004731618906392</v>
      </c>
      <c r="P64" s="72">
        <f t="shared" si="7"/>
        <v>0.93518346157028209</v>
      </c>
      <c r="Q64" s="72"/>
      <c r="R64" s="72"/>
      <c r="S64" s="72">
        <f t="shared" si="8"/>
        <v>0.48111447732893198</v>
      </c>
      <c r="T64" s="72">
        <f t="shared" si="9"/>
        <v>0.46431790393552519</v>
      </c>
      <c r="U64" s="72">
        <f t="shared" si="10"/>
        <v>0.79064436578130715</v>
      </c>
      <c r="V64" s="72">
        <f t="shared" si="11"/>
        <v>0.51574705342883953</v>
      </c>
      <c r="W64" s="72">
        <f t="shared" si="12"/>
        <v>0.8126194479760489</v>
      </c>
      <c r="X64" s="72">
        <f t="shared" si="13"/>
        <v>3.957111341613051E-2</v>
      </c>
      <c r="Y64" s="72">
        <f t="shared" si="14"/>
        <v>0.18290535432231972</v>
      </c>
      <c r="Z64" s="72">
        <f t="shared" si="15"/>
        <v>0.20394684072630515</v>
      </c>
      <c r="AA64" s="72">
        <f t="shared" si="16"/>
        <v>0.27995268381093613</v>
      </c>
      <c r="AB64" s="72">
        <f t="shared" si="17"/>
        <v>6.4816538429717907E-2</v>
      </c>
      <c r="AC64" s="72"/>
      <c r="AD64" s="72"/>
      <c r="AE64" s="72">
        <f t="shared" si="18"/>
        <v>0.51888552267106802</v>
      </c>
      <c r="AF64" s="72">
        <f t="shared" si="19"/>
        <v>0.53568209606447481</v>
      </c>
      <c r="AG64" s="72">
        <f t="shared" si="20"/>
        <v>0.2093556342186928</v>
      </c>
      <c r="AH64" s="72">
        <f t="shared" si="21"/>
        <v>0.48425294657116041</v>
      </c>
      <c r="AI64" s="72">
        <f t="shared" si="22"/>
        <v>0.18738055202395112</v>
      </c>
      <c r="AJ64" s="72">
        <f>(AV64-Driver!$K$179)/(Driver!$L$179-Driver!$K$179)</f>
        <v>0.21464829586656992</v>
      </c>
      <c r="AK64" s="72">
        <f>(AW64-Driver!$K$180)/(Driver!$L$180-Driver!$K$180)</f>
        <v>0.31972977763994825</v>
      </c>
      <c r="AL64" s="72">
        <f>(AX64-Driver!$K$181)/(Driver!$L$181-Driver!$K$181)</f>
        <v>0.30563460443938534</v>
      </c>
      <c r="AM64" s="72">
        <f>(AY64-Driver!$K$182)/(Driver!$L$182-Driver!$K$182)</f>
        <v>0.16743233728611023</v>
      </c>
      <c r="AN64" s="72">
        <f>(AZ64-Driver!$K$183)/(Driver!$L$183-Driver!$K$183)</f>
        <v>0.31903594771241833</v>
      </c>
      <c r="AO64" s="72"/>
      <c r="AP64" s="72"/>
      <c r="AQ64" s="72">
        <f>(BC64-Driver!$K$188)/(Driver!$L$188-Driver!$K$188)</f>
        <v>0.10111447732893192</v>
      </c>
      <c r="AR64" s="72">
        <f>MIN((BD64-Driver!$K$189)/(Driver!$L$189-Driver!$K$189),100%)</f>
        <v>1.4317903935525227E-2</v>
      </c>
      <c r="AS64" s="72">
        <f>(BE64-Driver!$K$190)/(Driver!$L$190-Driver!$K$190)</f>
        <v>0.30064436578130721</v>
      </c>
      <c r="AT64" s="72">
        <f>(BF64-Driver!$K$191)/(Driver!$L$191-Driver!$K$191)</f>
        <v>2.5747053428839588E-2</v>
      </c>
      <c r="AU64" s="72">
        <f>(BG64-Driver!$K$192)/(Driver!$L$192-Driver!$K$192)</f>
        <v>6.2619447976048875E-2</v>
      </c>
      <c r="AV64" s="70">
        <f t="shared" si="23"/>
        <v>4.5177045177045168</v>
      </c>
      <c r="AW64" s="70">
        <f t="shared" si="24"/>
        <v>33.032392546507189</v>
      </c>
      <c r="AX64" s="70">
        <f t="shared" si="25"/>
        <v>3.7507114399544679</v>
      </c>
      <c r="AY64" s="70">
        <f>IFERROR(Driver!$K$19/Data!BH64/Data!BI64*Data!BK64*Data!BL64,"")</f>
        <v>0.20498713782599001</v>
      </c>
      <c r="AZ64" s="70">
        <f t="shared" si="26"/>
        <v>29.076693968726733</v>
      </c>
      <c r="BA64" s="70"/>
      <c r="BB64" s="70"/>
      <c r="BC64" s="70">
        <f t="shared" si="27"/>
        <v>52.448782326959233</v>
      </c>
      <c r="BD64" s="70">
        <f t="shared" si="28"/>
        <v>2.9879320125671471</v>
      </c>
      <c r="BE64" s="70">
        <f t="shared" si="29"/>
        <v>0.30076912295486891</v>
      </c>
      <c r="BF64" s="70">
        <f t="shared" si="30"/>
        <v>2.9079488014998134</v>
      </c>
      <c r="BG64" s="70">
        <f t="shared" si="31"/>
        <v>0.23711717692654719</v>
      </c>
      <c r="BH64" s="67">
        <f>MAX((CE64-Driver!$F$200)/(Driver!$G$200-Driver!$F$200)*$BI$1,1)</f>
        <v>3.7507114399544679</v>
      </c>
      <c r="BI64" s="67">
        <f>MAX($BI$1*(BY64-Driver!$F$201)/(Driver!$G$201-Driver!$F$201),1)</f>
        <v>6.962025316455696</v>
      </c>
      <c r="BJ64" s="67">
        <f>(CB64-Driver!$F$206)/(Driver!$G$206-Driver!$F$206)*$BI$1</f>
        <v>5.7142857142857135</v>
      </c>
      <c r="BK64" s="67">
        <f>(CD64-Driver!$F$203)/(Driver!$G$203-Driver!$F$203)*$BI$1</f>
        <v>4.3119266055045884</v>
      </c>
      <c r="BL64" s="67">
        <f>MAX((CR64-Driver!$F$202)/(Driver!$G$202-Driver!$F$202)*$BI$1,1)</f>
        <v>6.2068965517241379</v>
      </c>
      <c r="BM64" s="67">
        <f>MAX((CH64-Driver!$F$204)/(Driver!$G$204-Driver!$F$204)*$BI$1,1)</f>
        <v>3.1623931623931623</v>
      </c>
      <c r="BN64" s="67">
        <f>(CI64-Driver!$F$205)/(Driver!$G$205-Driver!$F$205)*$BI$1</f>
        <v>4.1764705882352944</v>
      </c>
      <c r="BO64" s="67">
        <f>(CK64-Driver!$F$207)/(Driver!$G$207-Driver!$F$207)*$BI$1</f>
        <v>1.1685625646328852</v>
      </c>
      <c r="BP64" s="67">
        <f>(CM64-Driver!$F$208)/(Driver!$G$208-Driver!$F$208)*$BI$1</f>
        <v>1.8777777777777778</v>
      </c>
      <c r="BQ64" s="67">
        <f>(CL64-Driver!$F$209)/(Driver!$G$209-Driver!$F$209)*$BI$1</f>
        <v>2.8125</v>
      </c>
      <c r="BR64" s="28" t="s">
        <v>155</v>
      </c>
      <c r="BS64" s="8" t="s">
        <v>218</v>
      </c>
      <c r="BT64" s="9" t="s">
        <v>254</v>
      </c>
      <c r="BU64" s="10">
        <v>157</v>
      </c>
      <c r="BV64" s="9" t="s">
        <v>158</v>
      </c>
      <c r="BW64" s="10">
        <v>157</v>
      </c>
      <c r="BX64" s="10">
        <v>156.80000000000001</v>
      </c>
      <c r="BY64" s="10">
        <v>118</v>
      </c>
      <c r="BZ64" s="10">
        <v>121</v>
      </c>
      <c r="CA64" s="10">
        <v>125</v>
      </c>
      <c r="CB64" s="10">
        <v>100</v>
      </c>
      <c r="CC64" s="10">
        <v>111</v>
      </c>
      <c r="CD64" s="10">
        <v>18.8</v>
      </c>
      <c r="CE64" s="10">
        <v>1559</v>
      </c>
      <c r="CF64" s="10">
        <v>1.08</v>
      </c>
      <c r="CG64" s="10">
        <v>1683</v>
      </c>
      <c r="CH64" s="10">
        <v>175</v>
      </c>
      <c r="CI64" s="10">
        <v>104</v>
      </c>
      <c r="CJ64" s="10">
        <v>35</v>
      </c>
      <c r="CK64" s="10">
        <v>223</v>
      </c>
      <c r="CL64" s="10">
        <v>18</v>
      </c>
      <c r="CM64" s="10">
        <v>169</v>
      </c>
      <c r="CN64" s="10">
        <v>0.50800000000000001</v>
      </c>
      <c r="CO64" s="10">
        <v>170</v>
      </c>
      <c r="CP64" s="10">
        <v>184</v>
      </c>
      <c r="CQ64" s="10">
        <v>53</v>
      </c>
      <c r="CR64" s="10">
        <v>7</v>
      </c>
      <c r="CS64" s="10">
        <v>10.199999999999999</v>
      </c>
      <c r="CT64" s="9" t="s">
        <v>188</v>
      </c>
      <c r="CU64" s="9" t="s">
        <v>185</v>
      </c>
      <c r="CV64" s="10"/>
      <c r="CW64" s="10"/>
      <c r="CX64" t="str">
        <f>INDEX('Data_Price '!AG$2:AG$1266,MATCH(Data!$DN64,'Data_Price '!$AT$2:$AT$1266,0))</f>
        <v>DPS Pagoda Piste 100 C2 Ski 157 / Red</v>
      </c>
      <c r="CY64" t="str">
        <f>INDEX('Data_Price '!AH$2:AH$1266,MATCH(Data!$DN64,'Data_Price '!$AT$2:$AT$1266,0))</f>
        <v>Cripple Creek Backcountry</v>
      </c>
      <c r="CZ64">
        <f>INDEX('Data_Price '!AI$2:AI$1266,MATCH(Data!$DN64,'Data_Price '!$AT$2:$AT$1266,0))</f>
        <v>1029</v>
      </c>
      <c r="DA64" t="str">
        <f>INDEX('Data_Price '!AJ$2:AJ$1266,MATCH(Data!$DN64,'Data_Price '!$AT$2:$AT$1266,0))</f>
        <v>https://tinyurl.com/y9n9hvto</v>
      </c>
      <c r="DB64" t="str">
        <f>INDEX('Data_Price '!AK$2:AK$1266,MATCH(Data!$DN64,'Data_Price '!$AT$2:$AT$1266,0))</f>
        <v>DPS Pagoda Piste 100 C2 Red Skis 157cm 2021</v>
      </c>
      <c r="DC64" t="str">
        <f>INDEX('Data_Price '!AL$2:AL$1266,MATCH(Data!$DN64,'Data_Price '!$AT$2:$AT$1266,0))</f>
        <v>SkiEssentials.com</v>
      </c>
      <c r="DD64">
        <f>INDEX('Data_Price '!AM$2:AM$1266,MATCH(Data!$DN64,'Data_Price '!$AT$2:$AT$1266,0))</f>
        <v>1039</v>
      </c>
      <c r="DE64" t="str">
        <f>INDEX('Data_Price '!AN$2:AN$1266,MATCH(Data!$DN64,'Data_Price '!$AT$2:$AT$1266,0))</f>
        <v>https://tinyurl.com/y98nzyb8</v>
      </c>
      <c r="DF64" t="str">
        <f>INDEX('Data_Price '!AO$2:AO$1266,MATCH(Data!$DN64,'Data_Price '!$AT$2:$AT$1266,0))</f>
        <v>DPS Pagoda Piste 100 C2 Red Skis 157cm 2021</v>
      </c>
      <c r="DG64" t="str">
        <f>INDEX('Data_Price '!AP$2:AP$1266,MATCH(Data!$DN64,'Data_Price '!$AT$2:$AT$1266,0))</f>
        <v>Powder7 Ski Shop</v>
      </c>
      <c r="DH64">
        <f>INDEX('Data_Price '!AQ$2:AQ$1266,MATCH(Data!$DN64,'Data_Price '!$AT$2:$AT$1266,0))</f>
        <v>1039.2</v>
      </c>
      <c r="DI64" t="str">
        <f>INDEX('Data_Price '!AR$2:AR$1266,MATCH(Data!$DN64,'Data_Price '!$AT$2:$AT$1266,0))</f>
        <v>https://tinyurl.com/ybdsv8ro</v>
      </c>
      <c r="DJ64" s="89" t="str">
        <f t="shared" si="32"/>
        <v>https://tinyurl.com/y9n9hvto</v>
      </c>
      <c r="DK64" s="89" t="str">
        <f t="shared" si="33"/>
        <v>https://tinyurl.com/y98nzyb8</v>
      </c>
      <c r="DL64" s="89" t="str">
        <f t="shared" si="34"/>
        <v>https://tinyurl.com/ybdsv8ro</v>
      </c>
      <c r="DM64" s="219" t="str">
        <f t="shared" si="35"/>
        <v>Pagoda Piste 100 C2</v>
      </c>
      <c r="DN64" s="89" t="str">
        <f t="shared" si="36"/>
        <v xml:space="preserve"> DPSPagoda Piste 100 C2157 Unisex</v>
      </c>
      <c r="DO64" s="221"/>
    </row>
    <row r="65" spans="2:119" ht="15.6" customHeight="1">
      <c r="B65" s="219" t="b">
        <f t="array" ref="B65">IF(OR(ISERROR(K65:P65)),FALSE,TRUE)</f>
        <v>1</v>
      </c>
      <c r="C65" s="43" t="b">
        <f>OR(BR65=Driver!$G$50,Data!BR9=Driver!$H$50)</f>
        <v>0</v>
      </c>
      <c r="D65" s="43" t="b">
        <f>OR(BV65=Driver!$G$51,BV65=Driver!$H$51)</f>
        <v>1</v>
      </c>
      <c r="E65" s="43" t="b">
        <f>AND(BX65&gt;Driver!$F$54,BX65&lt;Driver!$G$54)</f>
        <v>0</v>
      </c>
      <c r="F65" s="43" t="b">
        <f>CL65&gt;Driver!$F$56</f>
        <v>1</v>
      </c>
      <c r="G65" s="43" t="b">
        <f>AND(CB65&gt;Driver!$F$55,CB65&lt;Driver!$G$55)</f>
        <v>0</v>
      </c>
      <c r="H65" s="43" t="b">
        <f t="shared" si="0"/>
        <v>0</v>
      </c>
      <c r="I65" s="43">
        <f t="shared" si="1"/>
        <v>0</v>
      </c>
      <c r="J65" s="43" t="b">
        <f t="array" ref="J65">NOT(OR(($H$9:$H$1273=TRUE)*($I$9:$I$1273&gt;0)*($BT$9:$BT$1273=BT65)*($K$9:$K$1273&gt;K65)))</f>
        <v>1</v>
      </c>
      <c r="K65" s="72">
        <f t="shared" si="2"/>
        <v>0.88149120364299594</v>
      </c>
      <c r="L65" s="72">
        <f t="shared" si="3"/>
        <v>0.91774370224861779</v>
      </c>
      <c r="M65" s="72">
        <f t="shared" si="4"/>
        <v>0.84523870503737408</v>
      </c>
      <c r="N65" s="72">
        <f t="shared" si="5"/>
        <v>0.89027942879876909</v>
      </c>
      <c r="O65" s="72">
        <f t="shared" si="6"/>
        <v>0.67834962997182924</v>
      </c>
      <c r="P65" s="72">
        <f t="shared" si="7"/>
        <v>0.96708705634152392</v>
      </c>
      <c r="Q65" s="72"/>
      <c r="R65" s="72"/>
      <c r="S65" s="72">
        <f t="shared" si="8"/>
        <v>0.43711892283155618</v>
      </c>
      <c r="T65" s="72">
        <f t="shared" si="9"/>
        <v>0.48493560480951492</v>
      </c>
      <c r="U65" s="72">
        <f t="shared" si="10"/>
        <v>0.6222132188314744</v>
      </c>
      <c r="V65" s="72">
        <f t="shared" si="11"/>
        <v>0.62936565589817095</v>
      </c>
      <c r="W65" s="72">
        <f t="shared" si="12"/>
        <v>0.79014705882352942</v>
      </c>
      <c r="X65" s="72">
        <f t="shared" si="13"/>
        <v>8.2256297751382212E-2</v>
      </c>
      <c r="Y65" s="72">
        <f t="shared" si="14"/>
        <v>0.15476129496262589</v>
      </c>
      <c r="Z65" s="72">
        <f t="shared" si="15"/>
        <v>0.10972057120123087</v>
      </c>
      <c r="AA65" s="72">
        <f t="shared" si="16"/>
        <v>0.32165037002817071</v>
      </c>
      <c r="AB65" s="72">
        <f t="shared" si="17"/>
        <v>3.2912943658476079E-2</v>
      </c>
      <c r="AC65" s="72"/>
      <c r="AD65" s="72"/>
      <c r="AE65" s="72">
        <f t="shared" si="18"/>
        <v>0.56288107716844382</v>
      </c>
      <c r="AF65" s="72">
        <f t="shared" si="19"/>
        <v>0.51506439519048508</v>
      </c>
      <c r="AG65" s="72">
        <f t="shared" si="20"/>
        <v>0.3777867811685256</v>
      </c>
      <c r="AH65" s="72">
        <f t="shared" si="21"/>
        <v>0.37063434410182905</v>
      </c>
      <c r="AI65" s="72">
        <f t="shared" si="22"/>
        <v>0.2098529411764706</v>
      </c>
      <c r="AJ65" s="72">
        <f>(AV65-Driver!$K$179)/(Driver!$L$179-Driver!$K$179)</f>
        <v>0.33647570703408264</v>
      </c>
      <c r="AK65" s="72">
        <f>(AW65-Driver!$K$180)/(Driver!$L$180-Driver!$K$180)</f>
        <v>0.28066964296663083</v>
      </c>
      <c r="AL65" s="72">
        <f>(AX65-Driver!$K$181)/(Driver!$L$181-Driver!$K$181)</f>
        <v>0.21140833491431105</v>
      </c>
      <c r="AM65" s="72">
        <f>(AY65-Driver!$K$182)/(Driver!$L$182-Driver!$K$182)</f>
        <v>0.12573465106887566</v>
      </c>
      <c r="AN65" s="72">
        <f>(AZ65-Driver!$K$183)/(Driver!$L$183-Driver!$K$183)</f>
        <v>0.28713235294117651</v>
      </c>
      <c r="AO65" s="72"/>
      <c r="AP65" s="72"/>
      <c r="AQ65" s="72">
        <f>(BC65-Driver!$K$188)/(Driver!$L$188-Driver!$K$188)</f>
        <v>5.7118922831556215E-2</v>
      </c>
      <c r="AR65" s="72">
        <f>MIN((BD65-Driver!$K$189)/(Driver!$L$189-Driver!$K$189),100%)</f>
        <v>3.4935604809514957E-2</v>
      </c>
      <c r="AS65" s="72">
        <f>(BE65-Driver!$K$190)/(Driver!$L$190-Driver!$K$190)</f>
        <v>0.13221321883147441</v>
      </c>
      <c r="AT65" s="72">
        <f>(BF65-Driver!$K$191)/(Driver!$L$191-Driver!$K$191)</f>
        <v>0.13936565589817099</v>
      </c>
      <c r="AU65" s="72">
        <f>(BG65-Driver!$K$192)/(Driver!$L$192-Driver!$K$192)</f>
        <v>4.0147058823529404E-2</v>
      </c>
      <c r="AV65" s="70">
        <f t="shared" si="23"/>
        <v>7.0818070818070815</v>
      </c>
      <c r="AW65" s="70">
        <f t="shared" si="24"/>
        <v>29.225636314590183</v>
      </c>
      <c r="AX65" s="70">
        <f t="shared" si="25"/>
        <v>2.9026750142287994</v>
      </c>
      <c r="AY65" s="70">
        <f>IFERROR(Driver!$K$19/Data!BH65/Data!BI65*Data!BK65*Data!BL65,"")</f>
        <v>0.15393672850732235</v>
      </c>
      <c r="AZ65" s="70">
        <f t="shared" si="26"/>
        <v>26.16902457185406</v>
      </c>
      <c r="BA65" s="70"/>
      <c r="BB65" s="70"/>
      <c r="BC65" s="70">
        <f t="shared" si="27"/>
        <v>29.627982357037606</v>
      </c>
      <c r="BD65" s="70">
        <f t="shared" si="28"/>
        <v>4.8125620075110254</v>
      </c>
      <c r="BE65" s="70">
        <f t="shared" si="29"/>
        <v>0.1323680222258786</v>
      </c>
      <c r="BF65" s="70">
        <f t="shared" si="30"/>
        <v>15.740371734552578</v>
      </c>
      <c r="BG65" s="70">
        <f t="shared" si="31"/>
        <v>0.15202237576064906</v>
      </c>
      <c r="BH65" s="67">
        <f>MAX((CE65-Driver!$F$200)/(Driver!$G$200-Driver!$F$200)*$BI$1,1)</f>
        <v>2.9026750142287994</v>
      </c>
      <c r="BI65" s="67">
        <f>MAX($BI$1*(BY65-Driver!$F$201)/(Driver!$G$201-Driver!$F$201),1)</f>
        <v>6.2658227848101262</v>
      </c>
      <c r="BJ65" s="67">
        <f>(CB65-Driver!$F$206)/(Driver!$G$206-Driver!$F$206)*$BI$1</f>
        <v>5.7142857142857135</v>
      </c>
      <c r="BK65" s="67">
        <f>(CD65-Driver!$F$203)/(Driver!$G$203-Driver!$F$203)*$BI$1</f>
        <v>2.7064220183486243</v>
      </c>
      <c r="BL65" s="67">
        <f>MAX((CR65-Driver!$F$202)/(Driver!$G$202-Driver!$F$202)*$BI$1,1)</f>
        <v>5.1724137931034484</v>
      </c>
      <c r="BM65" s="67">
        <f>MAX((CH65-Driver!$F$204)/(Driver!$G$204-Driver!$F$204)*$BI$1,1)</f>
        <v>4.9572649572649574</v>
      </c>
      <c r="BN65" s="67">
        <f>(CI65-Driver!$F$205)/(Driver!$G$205-Driver!$F$205)*$BI$1</f>
        <v>4.1764705882352944</v>
      </c>
      <c r="BO65" s="67">
        <f>(CK65-Driver!$F$207)/(Driver!$G$207-Driver!$F$207)*$BI$1</f>
        <v>2.512926577042399</v>
      </c>
      <c r="BP65" s="67">
        <f>(CM65-Driver!$F$208)/(Driver!$G$208-Driver!$F$208)*$BI$1</f>
        <v>2.9666666666666668</v>
      </c>
      <c r="BQ65" s="67">
        <f>(CL65-Driver!$F$209)/(Driver!$G$209-Driver!$F$209)*$BI$1</f>
        <v>2.1875</v>
      </c>
      <c r="BR65" s="28" t="s">
        <v>217</v>
      </c>
      <c r="BS65" s="8" t="s">
        <v>218</v>
      </c>
      <c r="BT65" s="9" t="s">
        <v>222</v>
      </c>
      <c r="BU65" s="10">
        <v>171</v>
      </c>
      <c r="BV65" s="9" t="s">
        <v>158</v>
      </c>
      <c r="BW65" s="10">
        <v>171</v>
      </c>
      <c r="BX65" s="10">
        <v>169.4</v>
      </c>
      <c r="BY65" s="10">
        <v>107</v>
      </c>
      <c r="BZ65" s="10">
        <v>130</v>
      </c>
      <c r="CA65" s="10">
        <v>129</v>
      </c>
      <c r="CB65" s="10">
        <v>100</v>
      </c>
      <c r="CC65" s="10">
        <v>115</v>
      </c>
      <c r="CD65" s="10">
        <v>15.3</v>
      </c>
      <c r="CE65" s="10">
        <v>1410</v>
      </c>
      <c r="CF65" s="10">
        <v>1.32</v>
      </c>
      <c r="CG65" s="10">
        <v>1864</v>
      </c>
      <c r="CH65" s="10">
        <v>217</v>
      </c>
      <c r="CI65" s="10">
        <v>104</v>
      </c>
      <c r="CJ65" s="10">
        <v>61</v>
      </c>
      <c r="CK65" s="10">
        <v>353</v>
      </c>
      <c r="CL65" s="10">
        <v>14</v>
      </c>
      <c r="CM65" s="10">
        <v>267</v>
      </c>
      <c r="CN65" s="10">
        <v>0.23300000000000001</v>
      </c>
      <c r="CO65" s="10">
        <v>214</v>
      </c>
      <c r="CP65" s="10">
        <v>182</v>
      </c>
      <c r="CQ65" s="10">
        <v>139</v>
      </c>
      <c r="CR65" s="10">
        <v>4</v>
      </c>
      <c r="CS65" s="10">
        <v>11.9</v>
      </c>
      <c r="CT65" s="9" t="s">
        <v>185</v>
      </c>
      <c r="CU65" s="9" t="s">
        <v>198</v>
      </c>
      <c r="CV65" s="10"/>
      <c r="CW65" s="10"/>
      <c r="CX65" t="str">
        <f>INDEX('Data_Price '!AG$2:AG$1266,MATCH(Data!$DN65,'Data_Price '!$AT$2:$AT$1266,0))</f>
        <v>DPS Pagoda Tour 100 RP Skis Â· 171 cm</v>
      </c>
      <c r="CY65" t="str">
        <f>INDEX('Data_Price '!AH$2:AH$1266,MATCH(Data!$DN65,'Data_Price '!$AT$2:$AT$1266,0))</f>
        <v>Skimo &amp; SkyRun</v>
      </c>
      <c r="CZ65">
        <f>INDEX('Data_Price '!AI$2:AI$1266,MATCH(Data!$DN65,'Data_Price '!$AT$2:$AT$1266,0))</f>
        <v>1029</v>
      </c>
      <c r="DA65" t="str">
        <f>INDEX('Data_Price '!AJ$2:AJ$1266,MATCH(Data!$DN65,'Data_Price '!$AT$2:$AT$1266,0))</f>
        <v>https://tinyurl.com/yb3qg92b</v>
      </c>
      <c r="DB65" t="str">
        <f>INDEX('Data_Price '!AK$2:AK$1266,MATCH(Data!$DN65,'Data_Price '!$AT$2:$AT$1266,0))</f>
        <v>DPS Pagoda Tour 100 RP Skis Â· 171 cm</v>
      </c>
      <c r="DC65" t="str">
        <f>INDEX('Data_Price '!AL$2:AL$1266,MATCH(Data!$DN65,'Data_Price '!$AT$2:$AT$1266,0))</f>
        <v>REI</v>
      </c>
      <c r="DD65">
        <f>INDEX('Data_Price '!AM$2:AM$1266,MATCH(Data!$DN65,'Data_Price '!$AT$2:$AT$1266,0))</f>
        <v>1038.93</v>
      </c>
      <c r="DE65" t="str">
        <f>INDEX('Data_Price '!AN$2:AN$1266,MATCH(Data!$DN65,'Data_Price '!$AT$2:$AT$1266,0))</f>
        <v>https://tinyurl.com/y7upfrkz</v>
      </c>
      <c r="DF65" t="str">
        <f>INDEX('Data_Price '!AO$2:AO$1266,MATCH(Data!$DN65,'Data_Price '!$AT$2:$AT$1266,0))</f>
        <v>DPS Pagoda Tour 100 RP Skis Â· 171 cm</v>
      </c>
      <c r="DG65" t="str">
        <f>INDEX('Data_Price '!AP$2:AP$1266,MATCH(Data!$DN65,'Data_Price '!$AT$2:$AT$1266,0))</f>
        <v>Backcountry.com</v>
      </c>
      <c r="DH65">
        <f>INDEX('Data_Price '!AQ$2:AQ$1266,MATCH(Data!$DN65,'Data_Price '!$AT$2:$AT$1266,0))</f>
        <v>1039.2</v>
      </c>
      <c r="DI65" t="str">
        <f>INDEX('Data_Price '!AR$2:AR$1266,MATCH(Data!$DN65,'Data_Price '!$AT$2:$AT$1266,0))</f>
        <v>https://tinyurl.com/yct3fwa9</v>
      </c>
      <c r="DJ65" s="89" t="str">
        <f t="shared" si="32"/>
        <v>https://tinyurl.com/yb3qg92b</v>
      </c>
      <c r="DK65" s="89" t="str">
        <f t="shared" si="33"/>
        <v>https://tinyurl.com/y7upfrkz</v>
      </c>
      <c r="DL65" s="89" t="str">
        <f t="shared" si="34"/>
        <v>https://tinyurl.com/yct3fwa9</v>
      </c>
      <c r="DM65" s="219" t="str">
        <f t="shared" si="35"/>
        <v>Pagoda Tour 100 RP</v>
      </c>
      <c r="DN65" s="89" t="str">
        <f t="shared" si="36"/>
        <v xml:space="preserve"> DPSPagoda Tour 100 RP171 Unisex</v>
      </c>
      <c r="DO65" s="221" t="s">
        <v>223</v>
      </c>
    </row>
    <row r="66" spans="2:119" ht="15.6" customHeight="1">
      <c r="B66" s="219" t="b">
        <f t="array" ref="B66">IF(OR(ISERROR(K66:P66)),FALSE,TRUE)</f>
        <v>1</v>
      </c>
      <c r="C66" s="43" t="b">
        <f>OR(BR66=Driver!$G$50,Data!BR464=Driver!$H$50)</f>
        <v>1</v>
      </c>
      <c r="D66" s="43" t="b">
        <f>OR(BV66=Driver!$G$51,BV66=Driver!$H$51)</f>
        <v>1</v>
      </c>
      <c r="E66" s="43" t="b">
        <f>AND(BX66&gt;Driver!$F$54,BX66&lt;Driver!$G$54)</f>
        <v>0</v>
      </c>
      <c r="F66" s="43" t="b">
        <f>CL66&gt;Driver!$F$56</f>
        <v>1</v>
      </c>
      <c r="G66" s="43" t="b">
        <f>AND(CB66&gt;Driver!$F$55,CB66&lt;Driver!$G$55)</f>
        <v>0</v>
      </c>
      <c r="H66" s="43" t="b">
        <f t="shared" si="0"/>
        <v>0</v>
      </c>
      <c r="I66" s="43">
        <f t="shared" si="1"/>
        <v>0</v>
      </c>
      <c r="J66" s="43" t="b">
        <f t="array" ref="J66">NOT(OR(($H$9:$H$1273=TRUE)*($I$9:$I$1273&gt;0)*($BT$9:$BT$1273=BT66)*($K$9:$K$1273&gt;K66)))</f>
        <v>1</v>
      </c>
      <c r="K66" s="72">
        <f t="shared" si="2"/>
        <v>0.83412902703812619</v>
      </c>
      <c r="L66" s="72">
        <f t="shared" si="3"/>
        <v>0.92064435489546326</v>
      </c>
      <c r="M66" s="72">
        <f t="shared" si="4"/>
        <v>0.74761369918078913</v>
      </c>
      <c r="N66" s="72">
        <f t="shared" si="5"/>
        <v>0.65060321302693591</v>
      </c>
      <c r="O66" s="72">
        <f t="shared" si="6"/>
        <v>0.64410507653992077</v>
      </c>
      <c r="P66" s="72">
        <f t="shared" si="7"/>
        <v>0.94813280797551092</v>
      </c>
      <c r="Q66" s="72"/>
      <c r="R66" s="72"/>
      <c r="S66" s="72">
        <f t="shared" si="8"/>
        <v>0.48853055964204539</v>
      </c>
      <c r="T66" s="72">
        <f t="shared" si="9"/>
        <v>0.51372332485227246</v>
      </c>
      <c r="U66" s="72">
        <f t="shared" si="10"/>
        <v>0.70225343209447311</v>
      </c>
      <c r="V66" s="72">
        <f t="shared" si="11"/>
        <v>0.52819266381716456</v>
      </c>
      <c r="W66" s="72">
        <f t="shared" si="12"/>
        <v>0.76659412138700056</v>
      </c>
      <c r="X66" s="72">
        <f t="shared" si="13"/>
        <v>7.9355645104536743E-2</v>
      </c>
      <c r="Y66" s="72">
        <f t="shared" si="14"/>
        <v>0.25238630081921082</v>
      </c>
      <c r="Z66" s="72">
        <f t="shared" si="15"/>
        <v>0.34939678697306409</v>
      </c>
      <c r="AA66" s="72">
        <f t="shared" si="16"/>
        <v>0.35589492346007928</v>
      </c>
      <c r="AB66" s="72">
        <f t="shared" si="17"/>
        <v>5.1867192024489139E-2</v>
      </c>
      <c r="AC66" s="72"/>
      <c r="AD66" s="72"/>
      <c r="AE66" s="72">
        <f t="shared" si="18"/>
        <v>0.51146944035795461</v>
      </c>
      <c r="AF66" s="72">
        <f t="shared" si="19"/>
        <v>0.48627667514772754</v>
      </c>
      <c r="AG66" s="72">
        <f t="shared" si="20"/>
        <v>0.29774656790552689</v>
      </c>
      <c r="AH66" s="72">
        <f t="shared" si="21"/>
        <v>0.47180733618283544</v>
      </c>
      <c r="AI66" s="72">
        <f t="shared" si="22"/>
        <v>0.23340587861299947</v>
      </c>
      <c r="AJ66" s="72">
        <f>(AV66-Driver!$K$179)/(Driver!$L$179-Driver!$K$179)</f>
        <v>0.33357505438723717</v>
      </c>
      <c r="AK66" s="72">
        <f>(AW66-Driver!$K$180)/(Driver!$L$180-Driver!$K$180)</f>
        <v>0.32009793256352481</v>
      </c>
      <c r="AL66" s="72">
        <f>(AX66-Driver!$K$181)/(Driver!$L$181-Driver!$K$181)</f>
        <v>0.45108455068614428</v>
      </c>
      <c r="AM66" s="72">
        <f>(AY66-Driver!$K$182)/(Driver!$L$182-Driver!$K$182)</f>
        <v>9.1490097636967069E-2</v>
      </c>
      <c r="AN66" s="72">
        <f>(AZ66-Driver!$K$183)/(Driver!$L$183-Driver!$K$183)</f>
        <v>0.30608660130718957</v>
      </c>
      <c r="AO66" s="72"/>
      <c r="AP66" s="72"/>
      <c r="AQ66" s="72">
        <f>(BC66-Driver!$K$188)/(Driver!$L$188-Driver!$K$188)</f>
        <v>0.10853055964204536</v>
      </c>
      <c r="AR66" s="72">
        <f>MIN((BD66-Driver!$K$189)/(Driver!$L$189-Driver!$K$189),100%)</f>
        <v>6.3723324852272487E-2</v>
      </c>
      <c r="AS66" s="72">
        <f>(BE66-Driver!$K$190)/(Driver!$L$190-Driver!$K$190)</f>
        <v>0.21225343209447312</v>
      </c>
      <c r="AT66" s="72">
        <f>(BF66-Driver!$K$191)/(Driver!$L$191-Driver!$K$191)</f>
        <v>3.8192663817164553E-2</v>
      </c>
      <c r="AU66" s="72">
        <f>(BG66-Driver!$K$192)/(Driver!$L$192-Driver!$K$192)</f>
        <v>1.6594121387000536E-2</v>
      </c>
      <c r="AV66" s="70">
        <f t="shared" si="23"/>
        <v>7.0207570207570216</v>
      </c>
      <c r="AW66" s="70">
        <f t="shared" si="24"/>
        <v>33.068272505994202</v>
      </c>
      <c r="AX66" s="70">
        <f t="shared" si="25"/>
        <v>5.0597609561752988</v>
      </c>
      <c r="AY66" s="70">
        <f>IFERROR(Driver!$K$19/Data!BH66/Data!BI66*Data!BK66*Data!BL66,"")</f>
        <v>0.11201117751808426</v>
      </c>
      <c r="AZ66" s="70">
        <f t="shared" si="26"/>
        <v>27.896500372300821</v>
      </c>
      <c r="BA66" s="70"/>
      <c r="BB66" s="70"/>
      <c r="BC66" s="70">
        <f t="shared" si="27"/>
        <v>56.295555778538997</v>
      </c>
      <c r="BD66" s="70">
        <f t="shared" si="28"/>
        <v>7.3602242224735015</v>
      </c>
      <c r="BE66" s="70">
        <f t="shared" si="29"/>
        <v>0.21239395721572216</v>
      </c>
      <c r="BF66" s="70">
        <f t="shared" si="30"/>
        <v>4.3135930594996434</v>
      </c>
      <c r="BG66" s="70">
        <f t="shared" si="31"/>
        <v>6.2835929476206781E-2</v>
      </c>
      <c r="BH66" s="67">
        <f>MAX((CE66-Driver!$F$200)/(Driver!$G$200-Driver!$F$200)*$BI$1,1)</f>
        <v>5.0597609561752988</v>
      </c>
      <c r="BI66" s="67">
        <f>MAX($BI$1*(BY66-Driver!$F$201)/(Driver!$G$201-Driver!$F$201),1)</f>
        <v>8.037974683544304</v>
      </c>
      <c r="BJ66" s="67">
        <f>(CB66-Driver!$F$206)/(Driver!$G$206-Driver!$F$206)*$BI$1</f>
        <v>4.7619047619047619</v>
      </c>
      <c r="BK66" s="67">
        <f>(CD66-Driver!$F$203)/(Driver!$G$203-Driver!$F$203)*$BI$1</f>
        <v>4.4036697247706424</v>
      </c>
      <c r="BL66" s="67">
        <f>MAX((CR66-Driver!$F$202)/(Driver!$G$202-Driver!$F$202)*$BI$1,1)</f>
        <v>5.1724137931034484</v>
      </c>
      <c r="BM66" s="67">
        <f>MAX((CH66-Driver!$F$204)/(Driver!$G$204-Driver!$F$204)*$BI$1,1)</f>
        <v>5.8974358974358978</v>
      </c>
      <c r="BN66" s="67">
        <f>(CI66-Driver!$F$205)/(Driver!$G$205-Driver!$F$205)*$BI$1</f>
        <v>3.4705882352941178</v>
      </c>
      <c r="BO66" s="67">
        <f>(CK66-Driver!$F$207)/(Driver!$G$207-Driver!$F$207)*$BI$1</f>
        <v>1.5408479834539814</v>
      </c>
      <c r="BP66" s="67">
        <f>(CM66-Driver!$F$208)/(Driver!$G$208-Driver!$F$208)*$BI$1</f>
        <v>2.588888888888889</v>
      </c>
      <c r="BQ66" s="67">
        <f>(CL66-Driver!$F$209)/(Driver!$G$209-Driver!$F$209)*$BI$1</f>
        <v>1.875</v>
      </c>
      <c r="BR66" s="28" t="s">
        <v>155</v>
      </c>
      <c r="BS66" s="8" t="s">
        <v>164</v>
      </c>
      <c r="BT66" s="9" t="s">
        <v>255</v>
      </c>
      <c r="BU66" s="10">
        <v>188</v>
      </c>
      <c r="BV66" s="9" t="s">
        <v>158</v>
      </c>
      <c r="BW66" s="10">
        <v>188</v>
      </c>
      <c r="BX66" s="10">
        <v>184.2</v>
      </c>
      <c r="BY66" s="10">
        <v>135</v>
      </c>
      <c r="BZ66" s="10">
        <v>150</v>
      </c>
      <c r="CA66" s="10">
        <v>136</v>
      </c>
      <c r="CB66" s="10">
        <v>94</v>
      </c>
      <c r="CC66" s="10">
        <v>110</v>
      </c>
      <c r="CD66" s="10">
        <v>19</v>
      </c>
      <c r="CE66" s="10">
        <v>1789</v>
      </c>
      <c r="CF66" s="10">
        <v>1.0900000000000001</v>
      </c>
      <c r="CG66" s="10">
        <v>1958</v>
      </c>
      <c r="CH66" s="10">
        <v>239</v>
      </c>
      <c r="CI66" s="10">
        <v>92</v>
      </c>
      <c r="CJ66" s="10">
        <v>45</v>
      </c>
      <c r="CK66" s="10">
        <v>259</v>
      </c>
      <c r="CL66" s="10">
        <v>12</v>
      </c>
      <c r="CM66" s="10">
        <v>233</v>
      </c>
      <c r="CN66" s="10">
        <v>0.27600000000000002</v>
      </c>
      <c r="CO66" s="10">
        <v>170</v>
      </c>
      <c r="CP66" s="10">
        <v>168</v>
      </c>
      <c r="CQ66" s="10">
        <v>88</v>
      </c>
      <c r="CR66" s="10">
        <v>4</v>
      </c>
      <c r="CS66" s="10">
        <v>7.7</v>
      </c>
      <c r="CT66" s="9" t="s">
        <v>188</v>
      </c>
      <c r="CU66" s="9" t="s">
        <v>185</v>
      </c>
      <c r="CV66" s="10"/>
      <c r="CW66" s="10"/>
      <c r="CX66" t="str">
        <f>INDEX('Data_Price '!AG$2:AG$1266,MATCH(Data!$DN66,'Data_Price '!$AT$2:$AT$1266,0))</f>
        <v>Elan Ripstick 96 Skis</v>
      </c>
      <c r="CY66" t="str">
        <f>INDEX('Data_Price '!AH$2:AH$1266,MATCH(Data!$DN66,'Data_Price '!$AT$2:$AT$1266,0))</f>
        <v>eBay - asogear</v>
      </c>
      <c r="CZ66">
        <f>INDEX('Data_Price '!AI$2:AI$1266,MATCH(Data!$DN66,'Data_Price '!$AT$2:$AT$1266,0))</f>
        <v>419.99</v>
      </c>
      <c r="DA66" t="str">
        <f>INDEX('Data_Price '!AJ$2:AJ$1266,MATCH(Data!$DN66,'Data_Price '!$AT$2:$AT$1266,0))</f>
        <v>https://tinyurl.com/ybz4hjnz</v>
      </c>
      <c r="DB66" t="str">
        <f>INDEX('Data_Price '!AK$2:AK$1266,MATCH(Data!$DN66,'Data_Price '!$AT$2:$AT$1266,0))</f>
        <v>Elan Ripstick 96 Skis</v>
      </c>
      <c r="DC66" t="str">
        <f>INDEX('Data_Price '!AL$2:AL$1266,MATCH(Data!$DN66,'Data_Price '!$AT$2:$AT$1266,0))</f>
        <v>Gorham Bike and Ski</v>
      </c>
      <c r="DD66">
        <f>INDEX('Data_Price '!AM$2:AM$1266,MATCH(Data!$DN66,'Data_Price '!$AT$2:$AT$1266,0))</f>
        <v>454.99</v>
      </c>
      <c r="DE66" t="str">
        <f>INDEX('Data_Price '!AN$2:AN$1266,MATCH(Data!$DN66,'Data_Price '!$AT$2:$AT$1266,0))</f>
        <v>https://tinyurl.com/yb64dpjw</v>
      </c>
      <c r="DF66" t="str">
        <f>INDEX('Data_Price '!AO$2:AO$1266,MATCH(Data!$DN66,'Data_Price '!$AT$2:$AT$1266,0))</f>
        <v>Elan Ripstick 96 Testski's Incl Attack 13 Binding Blue-Green 188 Ski Men</v>
      </c>
      <c r="DG66" t="str">
        <f>INDEX('Data_Price '!AP$2:AP$1266,MATCH(Data!$DN66,'Data_Price '!$AT$2:$AT$1266,0))</f>
        <v>! OutdoorXL.com</v>
      </c>
      <c r="DH66">
        <f>INDEX('Data_Price '!AQ$2:AQ$1266,MATCH(Data!$DN66,'Data_Price '!$AT$2:$AT$1266,0))</f>
        <v>469.95</v>
      </c>
      <c r="DI66" t="str">
        <f>INDEX('Data_Price '!AR$2:AR$1266,MATCH(Data!$DN66,'Data_Price '!$AT$2:$AT$1266,0))</f>
        <v>https://tinyurl.com/y8mk4x3l</v>
      </c>
      <c r="DJ66" s="89" t="str">
        <f t="shared" si="32"/>
        <v>https://tinyurl.com/ybz4hjnz</v>
      </c>
      <c r="DK66" s="89" t="str">
        <f t="shared" si="33"/>
        <v>https://tinyurl.com/yb64dpjw</v>
      </c>
      <c r="DL66" s="89" t="str">
        <f t="shared" si="34"/>
        <v>https://tinyurl.com/y8mk4x3l</v>
      </c>
      <c r="DM66" s="219" t="str">
        <f t="shared" si="35"/>
        <v>Ripstick 96</v>
      </c>
      <c r="DN66" s="89" t="str">
        <f t="shared" si="36"/>
        <v xml:space="preserve"> ElanRipstick 96188 Unisex</v>
      </c>
      <c r="DO66" s="221" t="s">
        <v>256</v>
      </c>
    </row>
    <row r="67" spans="2:119" ht="15.6" customHeight="1">
      <c r="B67" s="219" t="b">
        <f t="array" ref="B67">IF(OR(ISERROR(K67:P67)),FALSE,TRUE)</f>
        <v>1</v>
      </c>
      <c r="C67" s="43" t="b">
        <f>OR(BR67=Driver!$G$50,Data!BR132=Driver!$H$50)</f>
        <v>1</v>
      </c>
      <c r="D67" s="43" t="b">
        <f>OR(BV67=Driver!$G$51,BV67=Driver!$H$51)</f>
        <v>1</v>
      </c>
      <c r="E67" s="43" t="b">
        <f>AND(BX67&gt;Driver!$F$54,BX67&lt;Driver!$G$54)</f>
        <v>0</v>
      </c>
      <c r="F67" s="43" t="b">
        <f>CL67&gt;Driver!$F$56</f>
        <v>1</v>
      </c>
      <c r="G67" s="43" t="b">
        <f>AND(CB67&gt;Driver!$F$55,CB67&lt;Driver!$G$55)</f>
        <v>0</v>
      </c>
      <c r="H67" s="43" t="b">
        <f t="shared" si="0"/>
        <v>0</v>
      </c>
      <c r="I67" s="43">
        <f t="shared" si="1"/>
        <v>0</v>
      </c>
      <c r="J67" s="43" t="b">
        <f t="array" ref="J67">NOT(OR(($H$9:$H$1273=TRUE)*($I$9:$I$1273&gt;0)*($BT$9:$BT$1273=BT67)*($K$9:$K$1273&gt;K67)))</f>
        <v>1</v>
      </c>
      <c r="K67" s="72">
        <f t="shared" si="2"/>
        <v>0.88351404167883474</v>
      </c>
      <c r="L67" s="72">
        <f t="shared" si="3"/>
        <v>0.99676761835407335</v>
      </c>
      <c r="M67" s="72">
        <f t="shared" si="4"/>
        <v>0.77026046500359602</v>
      </c>
      <c r="N67" s="72">
        <f t="shared" si="5"/>
        <v>0.72079862186776311</v>
      </c>
      <c r="O67" s="72">
        <f t="shared" si="6"/>
        <v>0.69115552072306952</v>
      </c>
      <c r="P67" s="72">
        <f t="shared" si="7"/>
        <v>0.89882725241995542</v>
      </c>
      <c r="Q67" s="72"/>
      <c r="R67" s="72"/>
      <c r="S67" s="72">
        <f t="shared" si="8"/>
        <v>0.48086698207898182</v>
      </c>
      <c r="T67" s="72">
        <f t="shared" si="9"/>
        <v>0.4957060632535808</v>
      </c>
      <c r="U67" s="72">
        <f t="shared" si="10"/>
        <v>0.58545265246087386</v>
      </c>
      <c r="V67" s="72">
        <f t="shared" si="11"/>
        <v>0.53944247113496424</v>
      </c>
      <c r="W67" s="72">
        <f t="shared" si="12"/>
        <v>0.82105297362872243</v>
      </c>
      <c r="X67" s="72">
        <f t="shared" si="13"/>
        <v>3.2323816459266519E-3</v>
      </c>
      <c r="Y67" s="72">
        <f t="shared" si="14"/>
        <v>0.22973953499640398</v>
      </c>
      <c r="Z67" s="72">
        <f t="shared" si="15"/>
        <v>0.27920137813223694</v>
      </c>
      <c r="AA67" s="72">
        <f t="shared" si="16"/>
        <v>0.30884447927693048</v>
      </c>
      <c r="AB67" s="72">
        <f t="shared" si="17"/>
        <v>0.10117274758004463</v>
      </c>
      <c r="AC67" s="72"/>
      <c r="AD67" s="72"/>
      <c r="AE67" s="72">
        <f t="shared" si="18"/>
        <v>0.51913301792101818</v>
      </c>
      <c r="AF67" s="72">
        <f t="shared" si="19"/>
        <v>0.5042939367464192</v>
      </c>
      <c r="AG67" s="72">
        <f t="shared" si="20"/>
        <v>0.41454734753912609</v>
      </c>
      <c r="AH67" s="72">
        <f t="shared" si="21"/>
        <v>0.46055752886503576</v>
      </c>
      <c r="AI67" s="72">
        <f t="shared" si="22"/>
        <v>0.17894702637127757</v>
      </c>
      <c r="AJ67" s="72">
        <f>(AV67-Driver!$K$179)/(Driver!$L$179-Driver!$K$179)</f>
        <v>0.25098702763677377</v>
      </c>
      <c r="AK67" s="72">
        <f>(AW67-Driver!$K$180)/(Driver!$L$180-Driver!$K$180)</f>
        <v>0.36031506574602196</v>
      </c>
      <c r="AL67" s="72">
        <f>(AX67-Driver!$K$181)/(Driver!$L$181-Driver!$K$181)</f>
        <v>0.38088914184531714</v>
      </c>
      <c r="AM67" s="72">
        <f>(AY67-Driver!$K$182)/(Driver!$L$182-Driver!$K$182)</f>
        <v>0.13854054182011585</v>
      </c>
      <c r="AN67" s="72">
        <f>(AZ67-Driver!$K$183)/(Driver!$L$183-Driver!$K$183)</f>
        <v>0.35539215686274506</v>
      </c>
      <c r="AO67" s="72"/>
      <c r="AP67" s="72"/>
      <c r="AQ67" s="72">
        <f>(BC67-Driver!$K$188)/(Driver!$L$188-Driver!$K$188)</f>
        <v>0.1008669820789818</v>
      </c>
      <c r="AR67" s="72">
        <f>MIN((BD67-Driver!$K$189)/(Driver!$L$189-Driver!$K$189),100%)</f>
        <v>4.5706063253580856E-2</v>
      </c>
      <c r="AS67" s="72">
        <f>(BE67-Driver!$K$190)/(Driver!$L$190-Driver!$K$190)</f>
        <v>9.5452652460873935E-2</v>
      </c>
      <c r="AT67" s="72">
        <f>(BF67-Driver!$K$191)/(Driver!$L$191-Driver!$K$191)</f>
        <v>4.9442471134964271E-2</v>
      </c>
      <c r="AU67" s="72">
        <f>(BG67-Driver!$K$192)/(Driver!$L$192-Driver!$K$192)</f>
        <v>7.1052973628722441E-2</v>
      </c>
      <c r="AV67" s="70">
        <f t="shared" si="23"/>
        <v>5.282526115859449</v>
      </c>
      <c r="AW67" s="70">
        <f t="shared" si="24"/>
        <v>36.987788494680487</v>
      </c>
      <c r="AX67" s="70">
        <f t="shared" si="25"/>
        <v>4.4280022766078542</v>
      </c>
      <c r="AY67" s="70">
        <f>IFERROR(Driver!$K$19/Data!BH67/Data!BI67*Data!BK67*Data!BL67,"")</f>
        <v>0.16961495969586118</v>
      </c>
      <c r="AZ67" s="70">
        <f t="shared" si="26"/>
        <v>32.390171258376768</v>
      </c>
      <c r="BA67" s="70"/>
      <c r="BB67" s="70"/>
      <c r="BC67" s="70">
        <f t="shared" si="27"/>
        <v>52.320404820251042</v>
      </c>
      <c r="BD67" s="70">
        <f t="shared" si="28"/>
        <v>5.7657284956877612</v>
      </c>
      <c r="BE67" s="70">
        <f t="shared" si="29"/>
        <v>9.5614013526560848E-2</v>
      </c>
      <c r="BF67" s="70">
        <f t="shared" si="30"/>
        <v>5.5841797616756805</v>
      </c>
      <c r="BG67" s="70">
        <f t="shared" si="31"/>
        <v>0.26905188505531324</v>
      </c>
      <c r="BH67" s="67">
        <f>MAX((CE67-Driver!$F$200)/(Driver!$G$200-Driver!$F$200)*$BI$1,1)</f>
        <v>4.4280022766078542</v>
      </c>
      <c r="BI67" s="67">
        <f>MAX($BI$1*(BY67-Driver!$F$201)/(Driver!$G$201-Driver!$F$201),1)</f>
        <v>7.3417721518987342</v>
      </c>
      <c r="BJ67" s="67">
        <f>(CB67-Driver!$F$206)/(Driver!$G$206-Driver!$F$206)*$BI$1</f>
        <v>5.5555555555555554</v>
      </c>
      <c r="BK67" s="67">
        <f>(CD67-Driver!$F$203)/(Driver!$G$203-Driver!$F$203)*$BI$1</f>
        <v>3.8073394495412844</v>
      </c>
      <c r="BL67" s="67">
        <f>MAX((CR67-Driver!$F$202)/(Driver!$G$202-Driver!$F$202)*$BI$1,1)</f>
        <v>7.2413793103448274</v>
      </c>
      <c r="BM67" s="67">
        <f>MAX((CH67-Driver!$F$204)/(Driver!$G$204-Driver!$F$204)*$BI$1,1)</f>
        <v>3.8034188034188032</v>
      </c>
      <c r="BN67" s="67">
        <f>(CI67-Driver!$F$205)/(Driver!$G$205-Driver!$F$205)*$BI$1</f>
        <v>4.4117647058823533</v>
      </c>
      <c r="BO67" s="67">
        <f>(CK67-Driver!$F$207)/(Driver!$G$207-Driver!$F$207)*$BI$1</f>
        <v>1.892450879007239</v>
      </c>
      <c r="BP67" s="67">
        <f>(CM67-Driver!$F$208)/(Driver!$G$208-Driver!$F$208)*$BI$1</f>
        <v>2.0222222222222221</v>
      </c>
      <c r="BQ67" s="67">
        <f>(CL67-Driver!$F$209)/(Driver!$G$209-Driver!$F$209)*$BI$1</f>
        <v>4.53125</v>
      </c>
      <c r="BR67" s="28" t="s">
        <v>155</v>
      </c>
      <c r="BS67" s="8" t="s">
        <v>156</v>
      </c>
      <c r="BT67" s="9" t="s">
        <v>257</v>
      </c>
      <c r="BU67" s="10">
        <v>172</v>
      </c>
      <c r="BV67" s="9" t="s">
        <v>158</v>
      </c>
      <c r="BW67" s="10">
        <v>172</v>
      </c>
      <c r="BX67" s="10">
        <v>171.4</v>
      </c>
      <c r="BY67" s="10">
        <v>124</v>
      </c>
      <c r="BZ67" s="10">
        <v>139</v>
      </c>
      <c r="CA67" s="10">
        <v>128</v>
      </c>
      <c r="CB67" s="10">
        <v>99</v>
      </c>
      <c r="CC67" s="10">
        <v>118</v>
      </c>
      <c r="CD67" s="10">
        <v>17.7</v>
      </c>
      <c r="CE67" s="10">
        <v>1678</v>
      </c>
      <c r="CF67" s="10">
        <v>1.0900000000000001</v>
      </c>
      <c r="CG67" s="10">
        <v>1829</v>
      </c>
      <c r="CH67" s="10">
        <v>190</v>
      </c>
      <c r="CI67" s="10">
        <v>108</v>
      </c>
      <c r="CJ67" s="10">
        <v>46</v>
      </c>
      <c r="CK67" s="10">
        <v>293</v>
      </c>
      <c r="CL67" s="10">
        <v>29</v>
      </c>
      <c r="CM67" s="10">
        <v>182</v>
      </c>
      <c r="CN67" s="10">
        <v>0.64300000000000002</v>
      </c>
      <c r="CO67" s="10">
        <v>180</v>
      </c>
      <c r="CP67" s="10">
        <v>147</v>
      </c>
      <c r="CQ67" s="10">
        <v>113</v>
      </c>
      <c r="CR67" s="10">
        <v>10</v>
      </c>
      <c r="CS67" s="10">
        <v>7.9</v>
      </c>
      <c r="CT67" s="9" t="s">
        <v>188</v>
      </c>
      <c r="CU67" s="9" t="s">
        <v>185</v>
      </c>
      <c r="CV67" s="10"/>
      <c r="CW67" s="10"/>
      <c r="CX67" t="str">
        <f>INDEX('Data_Price '!AG$2:AG$1266,MATCH(Data!$DN67,'Data_Price '!$AT$2:$AT$1266,0))</f>
        <v>Atomic Bent Chetler 100 Grey/Green / 172cm</v>
      </c>
      <c r="CY67" t="str">
        <f>INDEX('Data_Price '!AH$2:AH$1266,MATCH(Data!$DN67,'Data_Price '!$AT$2:$AT$1266,0))</f>
        <v>Sundance Ski and Board Shop</v>
      </c>
      <c r="CZ67">
        <f>INDEX('Data_Price '!AI$2:AI$1266,MATCH(Data!$DN67,'Data_Price '!$AT$2:$AT$1266,0))</f>
        <v>400.99</v>
      </c>
      <c r="DA67" t="str">
        <f>INDEX('Data_Price '!AJ$2:AJ$1266,MATCH(Data!$DN67,'Data_Price '!$AT$2:$AT$1266,0))</f>
        <v>https://tinyurl.com/y8yfvxf8</v>
      </c>
      <c r="DB67" t="str">
        <f>INDEX('Data_Price '!AK$2:AK$1266,MATCH(Data!$DN67,'Data_Price '!$AT$2:$AT$1266,0))</f>
        <v>Atomic Bent Chetler 100</v>
      </c>
      <c r="DC67" t="str">
        <f>INDEX('Data_Price '!AL$2:AL$1266,MATCH(Data!$DN67,'Data_Price '!$AT$2:$AT$1266,0))</f>
        <v>Skirack</v>
      </c>
      <c r="DD67">
        <f>INDEX('Data_Price '!AM$2:AM$1266,MATCH(Data!$DN67,'Data_Price '!$AT$2:$AT$1266,0))</f>
        <v>479.99</v>
      </c>
      <c r="DE67" t="str">
        <f>INDEX('Data_Price '!AN$2:AN$1266,MATCH(Data!$DN67,'Data_Price '!$AT$2:$AT$1266,0))</f>
        <v>https://tinyurl.com/y9x6qwy4</v>
      </c>
      <c r="DF67" t="str">
        <f>INDEX('Data_Price '!AO$2:AO$1266,MATCH(Data!$DN67,'Data_Price '!$AT$2:$AT$1266,0))</f>
        <v>Atomic Bent Chetler 100</v>
      </c>
      <c r="DG67" t="str">
        <f>INDEX('Data_Price '!AP$2:AP$1266,MATCH(Data!$DN67,'Data_Price '!$AT$2:$AT$1266,0))</f>
        <v>Level Nine Sports</v>
      </c>
      <c r="DH67">
        <f>INDEX('Data_Price '!AQ$2:AQ$1266,MATCH(Data!$DN67,'Data_Price '!$AT$2:$AT$1266,0))</f>
        <v>479.99</v>
      </c>
      <c r="DI67" t="str">
        <f>INDEX('Data_Price '!AR$2:AR$1266,MATCH(Data!$DN67,'Data_Price '!$AT$2:$AT$1266,0))</f>
        <v>https://tinyurl.com/y8kpz9s2</v>
      </c>
      <c r="DJ67" s="89" t="str">
        <f t="shared" si="32"/>
        <v>https://tinyurl.com/y8yfvxf8</v>
      </c>
      <c r="DK67" s="89" t="str">
        <f t="shared" si="33"/>
        <v>https://tinyurl.com/y9x6qwy4</v>
      </c>
      <c r="DL67" s="89" t="str">
        <f t="shared" si="34"/>
        <v>https://tinyurl.com/y8kpz9s2</v>
      </c>
      <c r="DM67" s="219" t="str">
        <f t="shared" si="35"/>
        <v>Bent Chetler 100</v>
      </c>
      <c r="DN67" s="89" t="str">
        <f t="shared" si="36"/>
        <v xml:space="preserve"> AtomicBent Chetler 100172 Unisex</v>
      </c>
      <c r="DO67" s="221" t="s">
        <v>258</v>
      </c>
    </row>
    <row r="68" spans="2:119" ht="15.6" customHeight="1">
      <c r="B68" s="219" t="b">
        <f t="array" ref="B68">IF(OR(ISERROR(K68:P68)),FALSE,TRUE)</f>
        <v>1</v>
      </c>
      <c r="C68" s="43" t="b">
        <f>OR(BR68=Driver!$G$50,Data!BR501=Driver!$H$50)</f>
        <v>1</v>
      </c>
      <c r="D68" s="43" t="b">
        <f>OR(BV68=Driver!$G$51,BV68=Driver!$H$51)</f>
        <v>1</v>
      </c>
      <c r="E68" s="43" t="b">
        <f>AND(BX68&gt;Driver!$F$54,BX68&lt;Driver!$G$54)</f>
        <v>1</v>
      </c>
      <c r="F68" s="43" t="b">
        <f>CL68&gt;Driver!$F$56</f>
        <v>1</v>
      </c>
      <c r="G68" s="43" t="b">
        <f>AND(CB68&gt;Driver!$F$55,CB68&lt;Driver!$G$55)</f>
        <v>1</v>
      </c>
      <c r="H68" s="43" t="b">
        <f t="shared" si="0"/>
        <v>1</v>
      </c>
      <c r="I68" s="43">
        <f t="shared" si="1"/>
        <v>1</v>
      </c>
      <c r="J68" s="43" t="b">
        <f t="array" ref="J68">NOT(OR(($H$9:$H$1273=TRUE)*($I$9:$I$1273&gt;0)*($BT$9:$BT$1273=BT68)*($K$9:$K$1273&gt;K68)))</f>
        <v>1</v>
      </c>
      <c r="K68" s="72">
        <f t="shared" si="2"/>
        <v>0.85269792530457056</v>
      </c>
      <c r="L68" s="72">
        <f t="shared" si="3"/>
        <v>0.93885400762288251</v>
      </c>
      <c r="M68" s="72">
        <f t="shared" si="4"/>
        <v>0.7665418429862586</v>
      </c>
      <c r="N68" s="72">
        <f t="shared" si="5"/>
        <v>0.69044385047713508</v>
      </c>
      <c r="O68" s="72">
        <f t="shared" si="6"/>
        <v>0.62238801586891612</v>
      </c>
      <c r="P68" s="72">
        <f t="shared" si="7"/>
        <v>0.9867936626127245</v>
      </c>
      <c r="Q68" s="72"/>
      <c r="R68" s="72"/>
      <c r="S68" s="72">
        <f t="shared" si="8"/>
        <v>0.43378421449365356</v>
      </c>
      <c r="T68" s="72">
        <f t="shared" si="9"/>
        <v>0.50340880345520367</v>
      </c>
      <c r="U68" s="72">
        <f t="shared" si="10"/>
        <v>0.52004948411626439</v>
      </c>
      <c r="V68" s="72">
        <f t="shared" si="11"/>
        <v>0.5857073447303045</v>
      </c>
      <c r="W68" s="72">
        <f t="shared" si="12"/>
        <v>0.85169667834222706</v>
      </c>
      <c r="X68" s="72">
        <f t="shared" si="13"/>
        <v>6.1145992377117486E-2</v>
      </c>
      <c r="Y68" s="72">
        <f t="shared" si="14"/>
        <v>0.23345815701374142</v>
      </c>
      <c r="Z68" s="72">
        <f t="shared" si="15"/>
        <v>0.30955614952286492</v>
      </c>
      <c r="AA68" s="72">
        <f t="shared" si="16"/>
        <v>0.37761198413108382</v>
      </c>
      <c r="AB68" s="72">
        <f t="shared" si="17"/>
        <v>1.3206337387275557E-2</v>
      </c>
      <c r="AC68" s="72"/>
      <c r="AD68" s="72"/>
      <c r="AE68" s="72">
        <f t="shared" si="18"/>
        <v>0.56621578550634644</v>
      </c>
      <c r="AF68" s="72">
        <f t="shared" si="19"/>
        <v>0.49659119654479633</v>
      </c>
      <c r="AG68" s="72">
        <f t="shared" si="20"/>
        <v>0.47995051588373566</v>
      </c>
      <c r="AH68" s="72">
        <f t="shared" si="21"/>
        <v>0.4142926552696955</v>
      </c>
      <c r="AI68" s="72">
        <f t="shared" si="22"/>
        <v>0.14830332165777288</v>
      </c>
      <c r="AJ68" s="72">
        <f>(AV68-Driver!$K$179)/(Driver!$L$179-Driver!$K$179)</f>
        <v>0.31536540165981791</v>
      </c>
      <c r="AK68" s="72">
        <f>(AW68-Driver!$K$180)/(Driver!$L$180-Driver!$K$180)</f>
        <v>0.25529206587991338</v>
      </c>
      <c r="AL68" s="72">
        <f>(AX68-Driver!$K$181)/(Driver!$L$181-Driver!$K$181)</f>
        <v>0.41124391323594511</v>
      </c>
      <c r="AM68" s="72">
        <f>(AY68-Driver!$K$182)/(Driver!$L$182-Driver!$K$182)</f>
        <v>6.9773036965962529E-2</v>
      </c>
      <c r="AN68" s="72">
        <f>(AZ68-Driver!$K$183)/(Driver!$L$183-Driver!$K$183)</f>
        <v>0.24101307189542487</v>
      </c>
      <c r="AO68" s="72"/>
      <c r="AP68" s="72"/>
      <c r="AQ68" s="72">
        <f>(BC68-Driver!$K$188)/(Driver!$L$188-Driver!$K$188)</f>
        <v>5.3784214493653573E-2</v>
      </c>
      <c r="AR68" s="72">
        <f>MIN((BD68-Driver!$K$189)/(Driver!$L$189-Driver!$K$189),100%)</f>
        <v>5.3408803455203699E-2</v>
      </c>
      <c r="AS68" s="72">
        <f>(BE68-Driver!$K$190)/(Driver!$L$190-Driver!$K$190)</f>
        <v>3.004948411626435E-2</v>
      </c>
      <c r="AT68" s="72">
        <f>(BF68-Driver!$K$191)/(Driver!$L$191-Driver!$K$191)</f>
        <v>9.5707344730304483E-2</v>
      </c>
      <c r="AU68" s="72">
        <f>(BG68-Driver!$K$192)/(Driver!$L$192-Driver!$K$192)</f>
        <v>0.10169667834222712</v>
      </c>
      <c r="AV68" s="70">
        <f t="shared" si="23"/>
        <v>6.6374983041649713</v>
      </c>
      <c r="AW68" s="70">
        <f t="shared" si="24"/>
        <v>26.752366559281093</v>
      </c>
      <c r="AX68" s="70">
        <f t="shared" si="25"/>
        <v>4.7011952191235062</v>
      </c>
      <c r="AY68" s="70">
        <f>IFERROR(Driver!$K$19/Data!BH147/Data!BI147*Data!BK147*Data!BL147,"")</f>
        <v>8.5423015511270434E-2</v>
      </c>
      <c r="AZ68" s="70">
        <f t="shared" si="26"/>
        <v>21.965748324646317</v>
      </c>
      <c r="BA68" s="70"/>
      <c r="BB68" s="70"/>
      <c r="BC68" s="70">
        <f t="shared" si="27"/>
        <v>27.898245959651241</v>
      </c>
      <c r="BD68" s="70">
        <f t="shared" si="28"/>
        <v>6.4474073550833673</v>
      </c>
      <c r="BE68" s="70">
        <f t="shared" si="29"/>
        <v>3.0222512371039924E-2</v>
      </c>
      <c r="BF68" s="70">
        <f t="shared" si="30"/>
        <v>10.809472205136984</v>
      </c>
      <c r="BG68" s="70">
        <f t="shared" si="31"/>
        <v>0.38508849967089021</v>
      </c>
      <c r="BH68" s="67">
        <f>MAX((CE68-Driver!$F$200)/(Driver!$G$200-Driver!$F$200)*$BI$1,1)</f>
        <v>4.7011952191235062</v>
      </c>
      <c r="BI68" s="67">
        <f>MAX($BI$1*(BY68-Driver!$F$201)/(Driver!$G$201-Driver!$F$201),1)</f>
        <v>6.3291139240506329</v>
      </c>
      <c r="BJ68" s="67">
        <f>(CB68-Driver!$F$206)/(Driver!$G$206-Driver!$F$206)*$BI$1</f>
        <v>6.0317460317460316</v>
      </c>
      <c r="BK68" s="67">
        <f>(CD68-Driver!$F$203)/(Driver!$G$203-Driver!$F$203)*$BI$1</f>
        <v>3.1192660550458715</v>
      </c>
      <c r="BL68" s="67">
        <f>MAX((CR68-Driver!$F$202)/(Driver!$G$202-Driver!$F$202)*$BI$1,1)</f>
        <v>5.8620689655172411</v>
      </c>
      <c r="BM68" s="67">
        <f>MAX((CH68-Driver!$F$204)/(Driver!$G$204-Driver!$F$204)*$BI$1,1)</f>
        <v>4.4017094017094021</v>
      </c>
      <c r="BN68" s="67">
        <f>(CI68-Driver!$F$205)/(Driver!$G$205-Driver!$F$205)*$BI$1</f>
        <v>3.4705882352941178</v>
      </c>
      <c r="BO68" s="67">
        <f>(CK68-Driver!$F$207)/(Driver!$G$207-Driver!$F$207)*$BI$1</f>
        <v>1.8097207859358841</v>
      </c>
      <c r="BP68" s="67">
        <f>(CM68-Driver!$F$208)/(Driver!$G$208-Driver!$F$208)*$BI$1</f>
        <v>3.0888888888888886</v>
      </c>
      <c r="BQ68" s="67">
        <f>(CL68-Driver!$F$209)/(Driver!$G$209-Driver!$F$209)*$BI$1</f>
        <v>7.96875</v>
      </c>
      <c r="BR68" s="28" t="s">
        <v>155</v>
      </c>
      <c r="BS68" s="8" t="s">
        <v>205</v>
      </c>
      <c r="BT68" s="9" t="s">
        <v>259</v>
      </c>
      <c r="BU68" s="10">
        <v>166</v>
      </c>
      <c r="BV68" s="9" t="s">
        <v>158</v>
      </c>
      <c r="BW68" s="10">
        <v>166</v>
      </c>
      <c r="BX68" s="10">
        <v>163.9</v>
      </c>
      <c r="BY68" s="10">
        <v>108</v>
      </c>
      <c r="BZ68" s="10">
        <v>138</v>
      </c>
      <c r="CA68" s="10">
        <v>131</v>
      </c>
      <c r="CB68" s="10">
        <v>102</v>
      </c>
      <c r="CC68" s="10">
        <v>127</v>
      </c>
      <c r="CD68" s="10">
        <v>16.2</v>
      </c>
      <c r="CE68" s="10">
        <v>1726</v>
      </c>
      <c r="CF68" s="10">
        <v>1.06</v>
      </c>
      <c r="CG68" s="10">
        <v>1831</v>
      </c>
      <c r="CH68" s="10">
        <v>204</v>
      </c>
      <c r="CI68" s="10">
        <v>92</v>
      </c>
      <c r="CJ68" s="10">
        <v>51</v>
      </c>
      <c r="CK68" s="10">
        <v>285</v>
      </c>
      <c r="CL68" s="10">
        <v>51</v>
      </c>
      <c r="CM68" s="10">
        <v>278</v>
      </c>
      <c r="CN68" s="10">
        <v>0.99299999999999999</v>
      </c>
      <c r="CO68" s="10">
        <v>133</v>
      </c>
      <c r="CP68" s="10">
        <v>130</v>
      </c>
      <c r="CQ68" s="10">
        <v>151</v>
      </c>
      <c r="CR68" s="10">
        <v>6</v>
      </c>
      <c r="CS68" s="10">
        <v>3.8</v>
      </c>
      <c r="CT68" s="9" t="s">
        <v>184</v>
      </c>
      <c r="CU68" s="9" t="s">
        <v>169</v>
      </c>
      <c r="CV68" s="9" t="s">
        <v>185</v>
      </c>
      <c r="CW68" s="10"/>
      <c r="CX68" t="str">
        <f>INDEX('Data_Price '!AG$2:AG$1266,MATCH(Data!$DN68,'Data_Price '!$AT$2:$AT$1266,0))</f>
        <v>Rossignol Blackops W Blazer Skis - Women's 2021</v>
      </c>
      <c r="CY68" t="str">
        <f>INDEX('Data_Price '!AH$2:AH$1266,MATCH(Data!$DN68,'Data_Price '!$AT$2:$AT$1266,0))</f>
        <v>Snowcountry.eu</v>
      </c>
      <c r="CZ68">
        <f>INDEX('Data_Price '!AI$2:AI$1266,MATCH(Data!$DN68,'Data_Price '!$AT$2:$AT$1266,0))</f>
        <v>387.23</v>
      </c>
      <c r="DA68" t="str">
        <f>INDEX('Data_Price '!AJ$2:AJ$1266,MATCH(Data!$DN68,'Data_Price '!$AT$2:$AT$1266,0))</f>
        <v>https://tinyurl.com/yakkt85z</v>
      </c>
      <c r="DB68" t="str">
        <f>INDEX('Data_Price '!AK$2:AK$1266,MATCH(Data!$DN68,'Data_Price '!$AT$2:$AT$1266,0))</f>
        <v>Rossignol Blackops W Blazer Skis - Women's 2021</v>
      </c>
      <c r="DC68" t="str">
        <f>INDEX('Data_Price '!AL$2:AL$1266,MATCH(Data!$DN68,'Data_Price '!$AT$2:$AT$1266,0))</f>
        <v>eBay - asogear</v>
      </c>
      <c r="DD68">
        <f>INDEX('Data_Price '!AM$2:AM$1266,MATCH(Data!$DN68,'Data_Price '!$AT$2:$AT$1266,0))</f>
        <v>524.99</v>
      </c>
      <c r="DE68" t="str">
        <f>INDEX('Data_Price '!AN$2:AN$1266,MATCH(Data!$DN68,'Data_Price '!$AT$2:$AT$1266,0))</f>
        <v>https://tinyurl.com/y7gaf7xn</v>
      </c>
      <c r="DF68" t="str">
        <f>INDEX('Data_Price '!AO$2:AO$1266,MATCH(Data!$DN68,'Data_Price '!$AT$2:$AT$1266,0))</f>
        <v>Rossignol Blackops W Blazer Skis - Women's 2021</v>
      </c>
      <c r="DG68" t="str">
        <f>INDEX('Data_Price '!AP$2:AP$1266,MATCH(Data!$DN68,'Data_Price '!$AT$2:$AT$1266,0))</f>
        <v>Powder7 Ski Shop</v>
      </c>
      <c r="DH68">
        <f>INDEX('Data_Price '!AQ$2:AQ$1266,MATCH(Data!$DN68,'Data_Price '!$AT$2:$AT$1266,0))</f>
        <v>559.95000000000005</v>
      </c>
      <c r="DI68" t="str">
        <f>INDEX('Data_Price '!AR$2:AR$1266,MATCH(Data!$DN68,'Data_Price '!$AT$2:$AT$1266,0))</f>
        <v>https://tinyurl.com/y87ams7s</v>
      </c>
      <c r="DJ68" s="89" t="str">
        <f t="shared" si="32"/>
        <v>https://tinyurl.com/yakkt85z</v>
      </c>
      <c r="DK68" s="89" t="str">
        <f t="shared" si="33"/>
        <v>https://tinyurl.com/y7gaf7xn</v>
      </c>
      <c r="DL68" s="89" t="str">
        <f t="shared" si="34"/>
        <v>https://tinyurl.com/y87ams7s</v>
      </c>
      <c r="DM68" s="219" t="str">
        <f t="shared" si="35"/>
        <v>CT 2.0</v>
      </c>
      <c r="DN68" s="89" t="str">
        <f t="shared" si="36"/>
        <v xml:space="preserve"> FactionCT 2.0166 Unisex</v>
      </c>
      <c r="DO68" s="221"/>
    </row>
    <row r="69" spans="2:119" ht="15.6" customHeight="1">
      <c r="B69" s="219" t="b">
        <f t="array" ref="B69">IF(OR(ISERROR(K69:P69)),FALSE,TRUE)</f>
        <v>1</v>
      </c>
      <c r="C69" s="43" t="b">
        <f>OR(BR69=Driver!$G$50,Data!BR561=Driver!$H$50)</f>
        <v>1</v>
      </c>
      <c r="D69" s="43" t="b">
        <f>OR(BV69=Driver!$G$51,BV69=Driver!$H$51)</f>
        <v>1</v>
      </c>
      <c r="E69" s="43" t="b">
        <f>AND(BX69&gt;Driver!$F$54,BX69&lt;Driver!$G$54)</f>
        <v>0</v>
      </c>
      <c r="F69" s="43" t="b">
        <f>CL69&gt;Driver!$F$56</f>
        <v>1</v>
      </c>
      <c r="G69" s="43" t="b">
        <f>AND(CB69&gt;Driver!$F$55,CB69&lt;Driver!$G$55)</f>
        <v>1</v>
      </c>
      <c r="H69" s="43" t="b">
        <f t="shared" si="0"/>
        <v>0</v>
      </c>
      <c r="I69" s="43">
        <f t="shared" si="1"/>
        <v>0</v>
      </c>
      <c r="J69" s="43" t="b">
        <f t="array" ref="J69">NOT(OR(($H$9:$H$1273=TRUE)*($I$9:$I$1273&gt;0)*($BT$9:$BT$1273=BT69)*($K$9:$K$1273&gt;K69)))</f>
        <v>1</v>
      </c>
      <c r="K69" s="72">
        <f t="shared" si="2"/>
        <v>0.81855084379824683</v>
      </c>
      <c r="L69" s="72">
        <f t="shared" si="3"/>
        <v>0.91734083382544473</v>
      </c>
      <c r="M69" s="72">
        <f t="shared" si="4"/>
        <v>0.71976085377104881</v>
      </c>
      <c r="N69" s="72">
        <f t="shared" si="5"/>
        <v>0.61202735771801287</v>
      </c>
      <c r="O69" s="72">
        <f t="shared" si="6"/>
        <v>0.62077272241700832</v>
      </c>
      <c r="P69" s="72">
        <f t="shared" si="7"/>
        <v>0.92648248117812526</v>
      </c>
      <c r="Q69" s="72"/>
      <c r="R69" s="72"/>
      <c r="S69" s="72">
        <f t="shared" si="8"/>
        <v>0.44539926760254656</v>
      </c>
      <c r="T69" s="72">
        <f t="shared" si="9"/>
        <v>0.53755308391087531</v>
      </c>
      <c r="U69" s="72">
        <f t="shared" si="10"/>
        <v>0.54032765627199686</v>
      </c>
      <c r="V69" s="72">
        <f t="shared" si="11"/>
        <v>0.59921757512187079</v>
      </c>
      <c r="W69" s="72">
        <f t="shared" si="12"/>
        <v>0.79582999534233811</v>
      </c>
      <c r="X69" s="72">
        <f t="shared" si="13"/>
        <v>8.265916617455521E-2</v>
      </c>
      <c r="Y69" s="72">
        <f t="shared" si="14"/>
        <v>0.28023914622895119</v>
      </c>
      <c r="Z69" s="72">
        <f t="shared" si="15"/>
        <v>0.38797264228198713</v>
      </c>
      <c r="AA69" s="72">
        <f t="shared" si="16"/>
        <v>0.37922727758299174</v>
      </c>
      <c r="AB69" s="72">
        <f t="shared" si="17"/>
        <v>7.3517518821874739E-2</v>
      </c>
      <c r="AC69" s="72"/>
      <c r="AD69" s="72"/>
      <c r="AE69" s="72">
        <f t="shared" si="18"/>
        <v>0.55460073239745344</v>
      </c>
      <c r="AF69" s="72">
        <f t="shared" si="19"/>
        <v>0.46244691608912469</v>
      </c>
      <c r="AG69" s="72">
        <f t="shared" si="20"/>
        <v>0.45967234372800314</v>
      </c>
      <c r="AH69" s="72">
        <f t="shared" si="21"/>
        <v>0.40078242487812921</v>
      </c>
      <c r="AI69" s="72">
        <f t="shared" si="22"/>
        <v>0.20417000465766186</v>
      </c>
      <c r="AJ69" s="72">
        <f>(AV69-Driver!$K$179)/(Driver!$L$179-Driver!$K$179)</f>
        <v>0.33687857545725564</v>
      </c>
      <c r="AK69" s="72">
        <f>(AW69-Driver!$K$180)/(Driver!$L$180-Driver!$K$180)</f>
        <v>0.34361361143009167</v>
      </c>
      <c r="AL69" s="72">
        <f>(AX69-Driver!$K$181)/(Driver!$L$181-Driver!$K$181)</f>
        <v>0.48966040599506733</v>
      </c>
      <c r="AM69" s="72">
        <f>(AY69-Driver!$K$182)/(Driver!$L$182-Driver!$K$182)</f>
        <v>6.8157743514054639E-2</v>
      </c>
      <c r="AN69" s="72">
        <f>(AZ69-Driver!$K$183)/(Driver!$L$183-Driver!$K$183)</f>
        <v>0.32773692810457516</v>
      </c>
      <c r="AO69" s="72"/>
      <c r="AP69" s="72"/>
      <c r="AQ69" s="72">
        <f>(BC69-Driver!$K$188)/(Driver!$L$188-Driver!$K$188)</f>
        <v>6.5399267602546579E-2</v>
      </c>
      <c r="AR69" s="72">
        <f>MIN((BD69-Driver!$K$189)/(Driver!$L$189-Driver!$K$189),100%)</f>
        <v>8.7553083910875323E-2</v>
      </c>
      <c r="AS69" s="72">
        <f>(BE69-Driver!$K$190)/(Driver!$L$190-Driver!$K$190)</f>
        <v>5.0327656271996861E-2</v>
      </c>
      <c r="AT69" s="72">
        <f>(BF69-Driver!$K$191)/(Driver!$L$191-Driver!$K$191)</f>
        <v>0.10921757512187083</v>
      </c>
      <c r="AU69" s="72">
        <f>(BG69-Driver!$K$192)/(Driver!$L$192-Driver!$K$192)</f>
        <v>4.5829995342338142E-2</v>
      </c>
      <c r="AV69" s="70">
        <f t="shared" si="23"/>
        <v>7.0902862569529237</v>
      </c>
      <c r="AW69" s="70">
        <f t="shared" si="24"/>
        <v>35.36008378165306</v>
      </c>
      <c r="AX69" s="70">
        <f t="shared" si="25"/>
        <v>5.4069436539556062</v>
      </c>
      <c r="AY69" s="70">
        <f>IFERROR(Driver!$K$19/Data!BH69/Data!BI69*Data!BK69*Data!BL69,"")</f>
        <v>8.3445414369085757E-2</v>
      </c>
      <c r="AZ69" s="70">
        <f t="shared" si="26"/>
        <v>29.869694713328371</v>
      </c>
      <c r="BA69" s="70"/>
      <c r="BB69" s="70"/>
      <c r="BC69" s="70">
        <f t="shared" si="27"/>
        <v>33.923054753773258</v>
      </c>
      <c r="BD69" s="70">
        <f t="shared" si="28"/>
        <v>9.4691156753253161</v>
      </c>
      <c r="BE69" s="70">
        <f t="shared" si="29"/>
        <v>5.0497067129100404E-2</v>
      </c>
      <c r="BF69" s="70">
        <f t="shared" si="30"/>
        <v>12.335357813124102</v>
      </c>
      <c r="BG69" s="70">
        <f t="shared" si="31"/>
        <v>0.1735415987424313</v>
      </c>
      <c r="BH69" s="67">
        <f>MAX((CE69-Driver!$F$200)/(Driver!$G$200-Driver!$F$200)*$BI$1,1)</f>
        <v>5.4069436539556062</v>
      </c>
      <c r="BI69" s="67">
        <f>MAX($BI$1*(BY69-Driver!$F$201)/(Driver!$G$201-Driver!$F$201),1)</f>
        <v>7.1518987341772151</v>
      </c>
      <c r="BJ69" s="67">
        <f>(CB69-Driver!$F$206)/(Driver!$G$206-Driver!$F$206)*$BI$1</f>
        <v>5.8730158730158735</v>
      </c>
      <c r="BK69" s="67">
        <f>(CD69-Driver!$F$203)/(Driver!$G$203-Driver!$F$203)*$BI$1</f>
        <v>2.7522935779816518</v>
      </c>
      <c r="BL69" s="67">
        <f>MAX((CR69-Driver!$F$202)/(Driver!$G$202-Driver!$F$202)*$BI$1,1)</f>
        <v>5.8620689655172411</v>
      </c>
      <c r="BM69" s="67">
        <f>MAX((CH69-Driver!$F$204)/(Driver!$G$204-Driver!$F$204)*$BI$1,1)</f>
        <v>4.8290598290598288</v>
      </c>
      <c r="BN69" s="67">
        <f>(CI69-Driver!$F$205)/(Driver!$G$205-Driver!$F$205)*$BI$1</f>
        <v>4.1764705882352944</v>
      </c>
      <c r="BO69" s="67">
        <f>(CK69-Driver!$F$207)/(Driver!$G$207-Driver!$F$207)*$BI$1</f>
        <v>2.6680455015511892</v>
      </c>
      <c r="BP69" s="67">
        <f>(CM69-Driver!$F$208)/(Driver!$G$208-Driver!$F$208)*$BI$1</f>
        <v>2.166666666666667</v>
      </c>
      <c r="BQ69" s="67">
        <f>(CL69-Driver!$F$209)/(Driver!$G$209-Driver!$F$209)*$BI$1</f>
        <v>4.53125</v>
      </c>
      <c r="BR69" s="28" t="s">
        <v>155</v>
      </c>
      <c r="BS69" s="8" t="s">
        <v>245</v>
      </c>
      <c r="BT69" s="9" t="s">
        <v>260</v>
      </c>
      <c r="BU69" s="10">
        <v>177</v>
      </c>
      <c r="BV69" s="9" t="s">
        <v>158</v>
      </c>
      <c r="BW69" s="10">
        <v>177</v>
      </c>
      <c r="BX69" s="10">
        <v>176.8</v>
      </c>
      <c r="BY69" s="10">
        <v>121</v>
      </c>
      <c r="BZ69" s="10">
        <v>146</v>
      </c>
      <c r="CA69" s="10">
        <v>135</v>
      </c>
      <c r="CB69" s="10">
        <v>101</v>
      </c>
      <c r="CC69" s="10">
        <v>125</v>
      </c>
      <c r="CD69" s="10">
        <v>15.4</v>
      </c>
      <c r="CE69" s="10">
        <v>1850</v>
      </c>
      <c r="CF69" s="10">
        <v>1.08</v>
      </c>
      <c r="CG69" s="10">
        <v>2004</v>
      </c>
      <c r="CH69" s="10">
        <v>214</v>
      </c>
      <c r="CI69" s="10">
        <v>104</v>
      </c>
      <c r="CJ69" s="10">
        <v>49</v>
      </c>
      <c r="CK69" s="10">
        <v>368</v>
      </c>
      <c r="CL69" s="10">
        <v>29</v>
      </c>
      <c r="CM69" s="10">
        <v>195</v>
      </c>
      <c r="CN69" s="10">
        <v>0.59799999999999998</v>
      </c>
      <c r="CO69" s="10">
        <v>158</v>
      </c>
      <c r="CP69" s="10">
        <v>154</v>
      </c>
      <c r="CQ69" s="10">
        <v>210</v>
      </c>
      <c r="CR69" s="10">
        <v>6</v>
      </c>
      <c r="CS69" s="10">
        <v>9.1999999999999993</v>
      </c>
      <c r="CT69" s="9" t="s">
        <v>188</v>
      </c>
      <c r="CU69" s="9" t="s">
        <v>169</v>
      </c>
      <c r="CV69" s="9" t="s">
        <v>185</v>
      </c>
      <c r="CW69" s="10"/>
      <c r="CX69" t="str">
        <f>INDEX('Data_Price '!AG$2:AG$1266,MATCH(Data!$DN69,'Data_Price '!$AT$2:$AT$1266,0))</f>
        <v>Fischer Ranger 102 FR 177cm</v>
      </c>
      <c r="CY69" t="str">
        <f>INDEX('Data_Price '!AH$2:AH$1266,MATCH(Data!$DN69,'Data_Price '!$AT$2:$AT$1266,0))</f>
        <v>Sundance Ski and Board Shop</v>
      </c>
      <c r="CZ69">
        <f>INDEX('Data_Price '!AI$2:AI$1266,MATCH(Data!$DN69,'Data_Price '!$AT$2:$AT$1266,0))</f>
        <v>521.29</v>
      </c>
      <c r="DA69" t="str">
        <f>INDEX('Data_Price '!AJ$2:AJ$1266,MATCH(Data!$DN69,'Data_Price '!$AT$2:$AT$1266,0))</f>
        <v>https://tinyurl.com/y77duyvl</v>
      </c>
      <c r="DB69" t="str">
        <f>INDEX('Data_Price '!AK$2:AK$1266,MATCH(Data!$DN69,'Data_Price '!$AT$2:$AT$1266,0))</f>
        <v>Fischer Ranger 102 FR Skis (Pink)</v>
      </c>
      <c r="DC69" t="str">
        <f>INDEX('Data_Price '!AL$2:AL$1266,MATCH(Data!$DN69,'Data_Price '!$AT$2:$AT$1266,0))</f>
        <v>ColoradoSkiShop.com</v>
      </c>
      <c r="DD69">
        <f>INDEX('Data_Price '!AM$2:AM$1266,MATCH(Data!$DN69,'Data_Price '!$AT$2:$AT$1266,0))</f>
        <v>699.99</v>
      </c>
      <c r="DE69" t="str">
        <f>INDEX('Data_Price '!AN$2:AN$1266,MATCH(Data!$DN69,'Data_Price '!$AT$2:$AT$1266,0))</f>
        <v>https://tinyurl.com/yco67pt7</v>
      </c>
      <c r="DF69">
        <f>INDEX('Data_Price '!AO$2:AO$1266,MATCH(Data!$DN69,'Data_Price '!$AT$2:$AT$1266,0))</f>
        <v>0</v>
      </c>
      <c r="DG69">
        <f>INDEX('Data_Price '!AP$2:AP$1266,MATCH(Data!$DN69,'Data_Price '!$AT$2:$AT$1266,0))</f>
        <v>0</v>
      </c>
      <c r="DH69">
        <f>INDEX('Data_Price '!AQ$2:AQ$1266,MATCH(Data!$DN69,'Data_Price '!$AT$2:$AT$1266,0))</f>
        <v>0</v>
      </c>
      <c r="DI69">
        <f>INDEX('Data_Price '!AR$2:AR$1266,MATCH(Data!$DN69,'Data_Price '!$AT$2:$AT$1266,0))</f>
        <v>0</v>
      </c>
      <c r="DJ69" s="89" t="str">
        <f t="shared" si="32"/>
        <v>https://tinyurl.com/y77duyvl</v>
      </c>
      <c r="DK69" s="89" t="str">
        <f t="shared" si="33"/>
        <v>https://tinyurl.com/yco67pt7</v>
      </c>
      <c r="DL69" s="89">
        <f t="shared" si="34"/>
        <v>0</v>
      </c>
      <c r="DM69" s="219" t="str">
        <f t="shared" si="35"/>
        <v>Ranger 102 FR</v>
      </c>
      <c r="DN69" s="89" t="str">
        <f t="shared" si="36"/>
        <v xml:space="preserve"> FischerRanger 102 FR177 Unisex</v>
      </c>
      <c r="DO69" s="221" t="s">
        <v>261</v>
      </c>
    </row>
    <row r="70" spans="2:119" ht="15.6" customHeight="1">
      <c r="B70" s="219" t="b">
        <f t="array" ref="B70">IF(OR(ISERROR(K70:P70)),FALSE,TRUE)</f>
        <v>1</v>
      </c>
      <c r="C70" s="43" t="b">
        <f>OR(BR70=Driver!$G$50,Data!BR788=Driver!$H$50)</f>
        <v>1</v>
      </c>
      <c r="D70" s="43" t="b">
        <f>OR(BV70=Driver!$G$51,BV70=Driver!$H$51)</f>
        <v>1</v>
      </c>
      <c r="E70" s="43" t="b">
        <f>AND(BX70&gt;Driver!$F$54,BX70&lt;Driver!$G$54)</f>
        <v>0</v>
      </c>
      <c r="F70" s="43" t="b">
        <f>CL70&gt;Driver!$F$56</f>
        <v>1</v>
      </c>
      <c r="G70" s="43" t="b">
        <f>AND(CB70&gt;Driver!$F$55,CB70&lt;Driver!$G$55)</f>
        <v>1</v>
      </c>
      <c r="H70" s="43" t="b">
        <f t="shared" si="0"/>
        <v>0</v>
      </c>
      <c r="I70" s="43">
        <f t="shared" si="1"/>
        <v>0</v>
      </c>
      <c r="J70" s="43" t="b">
        <f t="array" ref="J70">NOT(OR(($H$9:$H$1273=TRUE)*($I$9:$I$1273&gt;0)*($BT$9:$BT$1273=BT70)*($K$9:$K$1273&gt;K70)))</f>
        <v>1</v>
      </c>
      <c r="K70" s="72">
        <f t="shared" si="2"/>
        <v>0.89949582138425188</v>
      </c>
      <c r="L70" s="72">
        <f t="shared" si="3"/>
        <v>0.94368842870095848</v>
      </c>
      <c r="M70" s="72">
        <f t="shared" si="4"/>
        <v>0.85530321406754517</v>
      </c>
      <c r="N70" s="72">
        <f t="shared" si="5"/>
        <v>0.81945162888730394</v>
      </c>
      <c r="O70" s="72">
        <f t="shared" si="6"/>
        <v>0.74959154520910187</v>
      </c>
      <c r="P70" s="72">
        <f t="shared" si="7"/>
        <v>0.99686646810622981</v>
      </c>
      <c r="Q70" s="72"/>
      <c r="R70" s="72"/>
      <c r="S70" s="72">
        <f t="shared" si="8"/>
        <v>0.47919599909458888</v>
      </c>
      <c r="T70" s="72">
        <f t="shared" si="9"/>
        <v>0.45185527617227172</v>
      </c>
      <c r="U70" s="72">
        <f t="shared" si="10"/>
        <v>0.55996893773202105</v>
      </c>
      <c r="V70" s="72">
        <f t="shared" si="11"/>
        <v>0.59498595168147317</v>
      </c>
      <c r="W70" s="72">
        <f t="shared" si="12"/>
        <v>0.79642539508791133</v>
      </c>
      <c r="X70" s="72">
        <f t="shared" si="13"/>
        <v>5.6311571299041518E-2</v>
      </c>
      <c r="Y70" s="72">
        <f t="shared" si="14"/>
        <v>0.1446967859324548</v>
      </c>
      <c r="Z70" s="72">
        <f t="shared" si="15"/>
        <v>0.18054837111269606</v>
      </c>
      <c r="AA70" s="72">
        <f t="shared" si="16"/>
        <v>0.25040845479089813</v>
      </c>
      <c r="AB70" s="72">
        <f t="shared" si="17"/>
        <v>3.1335318937701917E-3</v>
      </c>
      <c r="AC70" s="72"/>
      <c r="AD70" s="72"/>
      <c r="AE70" s="72">
        <f t="shared" si="18"/>
        <v>0.52080400090541112</v>
      </c>
      <c r="AF70" s="72">
        <f t="shared" si="19"/>
        <v>0.54814472382772828</v>
      </c>
      <c r="AG70" s="72">
        <f t="shared" si="20"/>
        <v>0.44003106226797895</v>
      </c>
      <c r="AH70" s="72">
        <f t="shared" si="21"/>
        <v>0.40501404831852683</v>
      </c>
      <c r="AI70" s="72">
        <f t="shared" si="22"/>
        <v>0.20357460491208867</v>
      </c>
      <c r="AJ70" s="72">
        <f>(AV70-Driver!$K$179)/(Driver!$L$179-Driver!$K$179)</f>
        <v>0.31053098058174194</v>
      </c>
      <c r="AK70" s="72">
        <f>(AW70-Driver!$K$180)/(Driver!$L$180-Driver!$K$180)</f>
        <v>0.26025691299450848</v>
      </c>
      <c r="AL70" s="72">
        <f>(AX70-Driver!$K$181)/(Driver!$L$181-Driver!$K$181)</f>
        <v>0.28223613482577625</v>
      </c>
      <c r="AM70" s="72">
        <f>(AY70-Driver!$K$182)/(Driver!$L$182-Driver!$K$182)</f>
        <v>0.19697656630614827</v>
      </c>
      <c r="AN70" s="72">
        <f>(AZ70-Driver!$K$183)/(Driver!$L$183-Driver!$K$183)</f>
        <v>0.25735294117647062</v>
      </c>
      <c r="AO70" s="72"/>
      <c r="AP70" s="72"/>
      <c r="AQ70" s="72">
        <f>(BC70-Driver!$K$188)/(Driver!$L$188-Driver!$K$188)</f>
        <v>9.9195999094588927E-2</v>
      </c>
      <c r="AR70" s="72">
        <f>MIN((BD70-Driver!$K$189)/(Driver!$L$189-Driver!$K$189),100%)</f>
        <v>1.8552761722717651E-3</v>
      </c>
      <c r="AS70" s="72">
        <f>(BE70-Driver!$K$190)/(Driver!$L$190-Driver!$K$190)</f>
        <v>6.9968937732021064E-2</v>
      </c>
      <c r="AT70" s="72">
        <f>(BF70-Driver!$K$191)/(Driver!$L$191-Driver!$K$191)</f>
        <v>0.10498595168147315</v>
      </c>
      <c r="AU70" s="72">
        <f>(BG70-Driver!$K$192)/(Driver!$L$192-Driver!$K$192)</f>
        <v>4.6425395087911332E-2</v>
      </c>
      <c r="AV70" s="70">
        <f t="shared" si="23"/>
        <v>6.5357482024148688</v>
      </c>
      <c r="AW70" s="70">
        <f t="shared" si="24"/>
        <v>27.236234903619163</v>
      </c>
      <c r="AX70" s="70">
        <f t="shared" si="25"/>
        <v>3.5401252134319865</v>
      </c>
      <c r="AY70" s="70">
        <f>IFERROR(Driver!$K$19/Data!BH70/Data!BI70*Data!BK70*Data!BL70,"")</f>
        <v>0.24115808929365226</v>
      </c>
      <c r="AZ70" s="70">
        <f t="shared" si="26"/>
        <v>23.454951600893523</v>
      </c>
      <c r="BA70" s="70"/>
      <c r="BB70" s="70"/>
      <c r="BC70" s="70">
        <f t="shared" si="27"/>
        <v>51.453654329761207</v>
      </c>
      <c r="BD70" s="70">
        <f t="shared" si="28"/>
        <v>1.8850115379889238</v>
      </c>
      <c r="BE70" s="70">
        <f t="shared" si="29"/>
        <v>7.0134844805584184E-2</v>
      </c>
      <c r="BF70" s="70">
        <f t="shared" si="30"/>
        <v>11.857425674368388</v>
      </c>
      <c r="BG70" s="70">
        <f t="shared" si="31"/>
        <v>0.17579616200314702</v>
      </c>
      <c r="BH70" s="67">
        <f>MAX((CE70-Driver!$F$200)/(Driver!$G$200-Driver!$F$200)*$BI$1,1)</f>
        <v>3.5401252134319865</v>
      </c>
      <c r="BI70" s="67">
        <f>MAX($BI$1*(BY70-Driver!$F$201)/(Driver!$G$201-Driver!$F$201),1)</f>
        <v>6.3291139240506329</v>
      </c>
      <c r="BJ70" s="67">
        <f>(CB70-Driver!$F$206)/(Driver!$G$206-Driver!$F$206)*$BI$1</f>
        <v>6.5079365079365079</v>
      </c>
      <c r="BK70" s="67">
        <f>(CD70-Driver!$F$203)/(Driver!$G$203-Driver!$F$203)*$BI$1</f>
        <v>5.5963302752293584</v>
      </c>
      <c r="BL70" s="67">
        <f>MAX((CR70-Driver!$F$202)/(Driver!$G$202-Driver!$F$202)*$BI$1,1)</f>
        <v>4.8275862068965516</v>
      </c>
      <c r="BM70" s="67">
        <f>MAX((CH70-Driver!$F$204)/(Driver!$G$204-Driver!$F$204)*$BI$1,1)</f>
        <v>4.017094017094017</v>
      </c>
      <c r="BN70" s="67">
        <f>(CI70-Driver!$F$205)/(Driver!$G$205-Driver!$F$205)*$BI$1</f>
        <v>3.7058823529411766</v>
      </c>
      <c r="BO70" s="67">
        <f>(CK70-Driver!$F$207)/(Driver!$G$207-Driver!$F$207)*$BI$1</f>
        <v>3.5987590486039296</v>
      </c>
      <c r="BP70" s="67">
        <f>(CM70-Driver!$F$208)/(Driver!$G$208-Driver!$F$208)*$BI$1</f>
        <v>2.833333333333333</v>
      </c>
      <c r="BQ70" s="67">
        <f>(CL70-Driver!$F$209)/(Driver!$G$209-Driver!$F$209)*$BI$1</f>
        <v>2.5</v>
      </c>
      <c r="BR70" s="28" t="s">
        <v>155</v>
      </c>
      <c r="BS70" s="8" t="s">
        <v>262</v>
      </c>
      <c r="BT70" s="9" t="s">
        <v>263</v>
      </c>
      <c r="BU70" s="10">
        <v>179</v>
      </c>
      <c r="BV70" s="9" t="s">
        <v>158</v>
      </c>
      <c r="BW70" s="10">
        <v>179</v>
      </c>
      <c r="BX70" s="10">
        <v>178.9</v>
      </c>
      <c r="BY70" s="10">
        <v>108</v>
      </c>
      <c r="BZ70" s="10">
        <v>148</v>
      </c>
      <c r="CA70" s="10">
        <v>135</v>
      </c>
      <c r="CB70" s="10">
        <v>105</v>
      </c>
      <c r="CC70" s="10">
        <v>123</v>
      </c>
      <c r="CD70" s="10">
        <v>21.6</v>
      </c>
      <c r="CE70" s="10">
        <v>1522</v>
      </c>
      <c r="CF70" s="10">
        <v>1.34</v>
      </c>
      <c r="CG70" s="10">
        <v>2039</v>
      </c>
      <c r="CH70" s="10">
        <v>195</v>
      </c>
      <c r="CI70" s="10">
        <v>96</v>
      </c>
      <c r="CJ70" s="10">
        <v>47</v>
      </c>
      <c r="CK70" s="10">
        <v>458</v>
      </c>
      <c r="CL70" s="10">
        <v>16</v>
      </c>
      <c r="CM70" s="10">
        <v>255</v>
      </c>
      <c r="CN70" s="10">
        <v>0.34</v>
      </c>
      <c r="CO70" s="10">
        <v>181</v>
      </c>
      <c r="CP70" s="10">
        <v>133</v>
      </c>
      <c r="CQ70" s="10">
        <v>276</v>
      </c>
      <c r="CR70" s="10">
        <v>3</v>
      </c>
      <c r="CS70" s="10">
        <v>13.2</v>
      </c>
      <c r="CT70" s="9" t="s">
        <v>178</v>
      </c>
      <c r="CU70" s="9" t="s">
        <v>185</v>
      </c>
      <c r="CV70" s="9" t="s">
        <v>198</v>
      </c>
      <c r="CW70" s="10"/>
      <c r="CX70" t="e">
        <f>INDEX('Data_Price '!AG$2:AG$1266,MATCH(Data!$DN70,'Data_Price '!$AT$2:$AT$1266,0))</f>
        <v>#N/A</v>
      </c>
      <c r="CY70" t="e">
        <f>INDEX('Data_Price '!AH$2:AH$1266,MATCH(Data!$DN70,'Data_Price '!$AT$2:$AT$1266,0))</f>
        <v>#N/A</v>
      </c>
      <c r="CZ70" t="e">
        <f>INDEX('Data_Price '!AI$2:AI$1266,MATCH(Data!$DN70,'Data_Price '!$AT$2:$AT$1266,0))</f>
        <v>#N/A</v>
      </c>
      <c r="DA70" t="e">
        <f>INDEX('Data_Price '!AJ$2:AJ$1266,MATCH(Data!$DN70,'Data_Price '!$AT$2:$AT$1266,0))</f>
        <v>#N/A</v>
      </c>
      <c r="DB70" t="e">
        <f>INDEX('Data_Price '!AK$2:AK$1266,MATCH(Data!$DN70,'Data_Price '!$AT$2:$AT$1266,0))</f>
        <v>#N/A</v>
      </c>
      <c r="DC70" t="e">
        <f>INDEX('Data_Price '!AL$2:AL$1266,MATCH(Data!$DN70,'Data_Price '!$AT$2:$AT$1266,0))</f>
        <v>#N/A</v>
      </c>
      <c r="DD70" t="e">
        <f>INDEX('Data_Price '!AM$2:AM$1266,MATCH(Data!$DN70,'Data_Price '!$AT$2:$AT$1266,0))</f>
        <v>#N/A</v>
      </c>
      <c r="DE70" t="e">
        <f>INDEX('Data_Price '!AN$2:AN$1266,MATCH(Data!$DN70,'Data_Price '!$AT$2:$AT$1266,0))</f>
        <v>#N/A</v>
      </c>
      <c r="DF70" t="e">
        <f>INDEX('Data_Price '!AO$2:AO$1266,MATCH(Data!$DN70,'Data_Price '!$AT$2:$AT$1266,0))</f>
        <v>#N/A</v>
      </c>
      <c r="DG70" t="e">
        <f>INDEX('Data_Price '!AP$2:AP$1266,MATCH(Data!$DN70,'Data_Price '!$AT$2:$AT$1266,0))</f>
        <v>#N/A</v>
      </c>
      <c r="DH70" t="e">
        <f>INDEX('Data_Price '!AQ$2:AQ$1266,MATCH(Data!$DN70,'Data_Price '!$AT$2:$AT$1266,0))</f>
        <v>#N/A</v>
      </c>
      <c r="DI70" t="e">
        <f>INDEX('Data_Price '!AR$2:AR$1266,MATCH(Data!$DN70,'Data_Price '!$AT$2:$AT$1266,0))</f>
        <v>#N/A</v>
      </c>
      <c r="DJ70" s="89" t="e">
        <f t="shared" si="32"/>
        <v>#N/A</v>
      </c>
      <c r="DK70" s="89" t="e">
        <f t="shared" si="33"/>
        <v>#N/A</v>
      </c>
      <c r="DL70" s="89" t="e">
        <f t="shared" si="34"/>
        <v>#N/A</v>
      </c>
      <c r="DM70" s="219" t="str">
        <f t="shared" si="35"/>
        <v>Wayback 106</v>
      </c>
      <c r="DN70" s="89" t="str">
        <f t="shared" si="36"/>
        <v xml:space="preserve"> K2Wayback 106179 Unisex</v>
      </c>
      <c r="DO70" s="221" t="s">
        <v>264</v>
      </c>
    </row>
    <row r="71" spans="2:119" ht="15.6" customHeight="1">
      <c r="B71" s="219" t="b">
        <f t="array" ref="B71">IF(OR(ISERROR(K71:P71)),FALSE,TRUE)</f>
        <v>1</v>
      </c>
      <c r="C71" s="43" t="b">
        <f>OR(BR71=Driver!$G$50,Data!BR824=Driver!$H$50)</f>
        <v>1</v>
      </c>
      <c r="D71" s="43" t="b">
        <f>OR(BV71=Driver!$G$51,BV71=Driver!$H$51)</f>
        <v>0</v>
      </c>
      <c r="E71" s="43" t="b">
        <f>AND(BX71&gt;Driver!$F$54,BX71&lt;Driver!$G$54)</f>
        <v>0</v>
      </c>
      <c r="F71" s="43" t="b">
        <f>CL71&gt;Driver!$F$56</f>
        <v>1</v>
      </c>
      <c r="G71" s="43" t="b">
        <f>AND(CB71&gt;Driver!$F$55,CB71&lt;Driver!$G$55)</f>
        <v>0</v>
      </c>
      <c r="H71" s="43" t="b">
        <f t="shared" si="0"/>
        <v>0</v>
      </c>
      <c r="I71" s="43">
        <f t="shared" si="1"/>
        <v>0</v>
      </c>
      <c r="J71" s="43" t="b">
        <f t="array" ref="J71">NOT(OR(($H$9:$H$1273=TRUE)*($I$9:$I$1273&gt;0)*($BT$9:$BT$1273=BT71)*($K$9:$K$1273&gt;K71)))</f>
        <v>1</v>
      </c>
      <c r="K71" s="72">
        <f t="shared" si="2"/>
        <v>0.81005898712817825</v>
      </c>
      <c r="L71" s="72">
        <f t="shared" si="3"/>
        <v>0.81910264373478403</v>
      </c>
      <c r="M71" s="72">
        <f t="shared" si="4"/>
        <v>0.80101533052157237</v>
      </c>
      <c r="N71" s="72">
        <f t="shared" si="5"/>
        <v>0.79858272355624715</v>
      </c>
      <c r="O71" s="72">
        <f t="shared" si="6"/>
        <v>0.62258862996759978</v>
      </c>
      <c r="P71" s="72">
        <f t="shared" si="7"/>
        <v>0.98187463804087038</v>
      </c>
      <c r="Q71" s="72"/>
      <c r="R71" s="72"/>
      <c r="S71" s="72">
        <f t="shared" si="8"/>
        <v>0.42105944568355469</v>
      </c>
      <c r="T71" s="72">
        <f t="shared" si="9"/>
        <v>0.48793823172711315</v>
      </c>
      <c r="U71" s="72">
        <f t="shared" si="10"/>
        <v>0.98351856607074284</v>
      </c>
      <c r="V71" s="72">
        <f t="shared" si="11"/>
        <v>0.51370132299445803</v>
      </c>
      <c r="W71" s="72">
        <f t="shared" si="12"/>
        <v>0.91280479825517991</v>
      </c>
      <c r="X71" s="72">
        <f t="shared" si="13"/>
        <v>0.18089735626521597</v>
      </c>
      <c r="Y71" s="72">
        <f t="shared" si="14"/>
        <v>0.19898466947842761</v>
      </c>
      <c r="Z71" s="72">
        <f t="shared" si="15"/>
        <v>0.20141727644375285</v>
      </c>
      <c r="AA71" s="72">
        <f t="shared" si="16"/>
        <v>0.37741137003240027</v>
      </c>
      <c r="AB71" s="72">
        <f t="shared" si="17"/>
        <v>1.8125361959129616E-2</v>
      </c>
      <c r="AC71" s="72"/>
      <c r="AD71" s="72"/>
      <c r="AE71" s="72">
        <f t="shared" si="18"/>
        <v>0.57894055431644531</v>
      </c>
      <c r="AF71" s="72">
        <f t="shared" si="19"/>
        <v>0.51206176827288685</v>
      </c>
      <c r="AG71" s="72">
        <f t="shared" si="20"/>
        <v>1.6481433929257217E-2</v>
      </c>
      <c r="AH71" s="72">
        <f t="shared" si="21"/>
        <v>0.48629867700554197</v>
      </c>
      <c r="AI71" s="72">
        <f t="shared" si="22"/>
        <v>8.7195201744820094E-2</v>
      </c>
      <c r="AJ71" s="72">
        <f>(AV71-Driver!$K$179)/(Driver!$L$179-Driver!$K$179)</f>
        <v>7.332205301748447E-2</v>
      </c>
      <c r="AK71" s="72">
        <f>(AW71-Driver!$K$180)/(Driver!$L$180-Driver!$K$180)</f>
        <v>0.27460834988523075</v>
      </c>
      <c r="AL71" s="72">
        <f>(AX71-Driver!$K$181)/(Driver!$L$181-Driver!$K$181)</f>
        <v>0.30310504015683304</v>
      </c>
      <c r="AM71" s="72">
        <f>(AY71-Driver!$K$182)/(Driver!$L$182-Driver!$K$182)</f>
        <v>6.9973651064646092E-2</v>
      </c>
      <c r="AN71" s="72">
        <f>(AZ71-Driver!$K$183)/(Driver!$L$183-Driver!$K$183)</f>
        <v>0.27234477124183004</v>
      </c>
      <c r="AO71" s="72"/>
      <c r="AP71" s="72"/>
      <c r="AQ71" s="72">
        <f>(BC71-Driver!$K$188)/(Driver!$L$188-Driver!$K$188)</f>
        <v>4.1059445683554699E-2</v>
      </c>
      <c r="AR71" s="72">
        <f>MIN((BD71-Driver!$K$189)/(Driver!$L$189-Driver!$K$189),100%)</f>
        <v>3.793823172711322E-2</v>
      </c>
      <c r="AS71" s="72">
        <f>(BE71-Driver!$K$190)/(Driver!$L$190-Driver!$K$190)</f>
        <v>0.49351856607074279</v>
      </c>
      <c r="AT71" s="72">
        <f>(BF71-Driver!$K$191)/(Driver!$L$191-Driver!$K$191)</f>
        <v>2.3701322994458054E-2</v>
      </c>
      <c r="AU71" s="72">
        <f>(BG71-Driver!$K$192)/(Driver!$L$192-Driver!$K$192)</f>
        <v>0.16280479825517991</v>
      </c>
      <c r="AV71" s="70">
        <f t="shared" si="23"/>
        <v>1.5432098765432096</v>
      </c>
      <c r="AW71" s="70">
        <f t="shared" si="24"/>
        <v>28.634909595287361</v>
      </c>
      <c r="AX71" s="70">
        <f t="shared" si="25"/>
        <v>3.7279453614114972</v>
      </c>
      <c r="AY71" s="70">
        <f>IFERROR(Driver!$K$19/Data!BH71/Data!BI71*Data!BK71*Data!BL71,"")</f>
        <v>8.5668627025528951E-2</v>
      </c>
      <c r="AZ71" s="70">
        <f t="shared" si="26"/>
        <v>24.821295606850335</v>
      </c>
      <c r="BA71" s="70"/>
      <c r="BB71" s="70"/>
      <c r="BC71" s="70">
        <f t="shared" si="27"/>
        <v>21.297819916695346</v>
      </c>
      <c r="BD71" s="70">
        <f t="shared" si="28"/>
        <v>5.0782891693783947</v>
      </c>
      <c r="BE71" s="70">
        <f t="shared" si="29"/>
        <v>0.49360891665786444</v>
      </c>
      <c r="BF71" s="70">
        <f t="shared" si="30"/>
        <v>2.6768979210061232</v>
      </c>
      <c r="BG71" s="70">
        <f t="shared" si="31"/>
        <v>0.61648282442748081</v>
      </c>
      <c r="BH71" s="67">
        <f>MAX((CE71-Driver!$F$200)/(Driver!$G$200-Driver!$F$200)*$BI$1,1)</f>
        <v>3.7279453614114972</v>
      </c>
      <c r="BI71" s="67">
        <f>MAX($BI$1*(BY71-Driver!$F$201)/(Driver!$G$201-Driver!$F$201),1)</f>
        <v>7.1518987341772151</v>
      </c>
      <c r="BJ71" s="67">
        <f>(CB71-Driver!$F$206)/(Driver!$G$206-Driver!$F$206)*$BI$1</f>
        <v>4.1269841269841265</v>
      </c>
      <c r="BK71" s="67">
        <f>(CD71-Driver!$F$203)/(Driver!$G$203-Driver!$F$203)*$BI$1</f>
        <v>1.7431192660550456</v>
      </c>
      <c r="BL71" s="67">
        <f>MAX((CR71-Driver!$F$202)/(Driver!$G$202-Driver!$F$202)*$BI$1,1)</f>
        <v>6.5517241379310338</v>
      </c>
      <c r="BM71" s="67">
        <f>MAX((CH71-Driver!$F$204)/(Driver!$G$204-Driver!$F$204)*$BI$1,1)</f>
        <v>1.4957264957264957</v>
      </c>
      <c r="BN71" s="67">
        <f>(CI71-Driver!$F$205)/(Driver!$G$205-Driver!$F$205)*$BI$1</f>
        <v>3.4705882352941178</v>
      </c>
      <c r="BO71" s="67">
        <f>(CK71-Driver!$F$207)/(Driver!$G$207-Driver!$F$207)*$BI$1</f>
        <v>0.84798345398138575</v>
      </c>
      <c r="BP71" s="67">
        <f>(CM71-Driver!$F$208)/(Driver!$G$208-Driver!$F$208)*$BI$1</f>
        <v>1.3333333333333333</v>
      </c>
      <c r="BQ71" s="67">
        <f>(CL71-Driver!$F$209)/(Driver!$G$209-Driver!$F$209)*$BI$1</f>
        <v>3.4375</v>
      </c>
      <c r="BR71" s="28" t="s">
        <v>155</v>
      </c>
      <c r="BS71" s="8" t="s">
        <v>208</v>
      </c>
      <c r="BT71" s="9" t="s">
        <v>265</v>
      </c>
      <c r="BU71" s="10">
        <v>153</v>
      </c>
      <c r="BV71" s="9" t="s">
        <v>163</v>
      </c>
      <c r="BW71" s="10">
        <v>153</v>
      </c>
      <c r="BX71" s="10">
        <v>152.19999999999999</v>
      </c>
      <c r="BY71" s="10">
        <v>121</v>
      </c>
      <c r="BZ71" s="10">
        <v>137</v>
      </c>
      <c r="CA71" s="10">
        <v>139</v>
      </c>
      <c r="CB71" s="10">
        <v>90</v>
      </c>
      <c r="CC71" s="10">
        <v>113</v>
      </c>
      <c r="CD71" s="10">
        <v>13.2</v>
      </c>
      <c r="CE71" s="10">
        <v>1555</v>
      </c>
      <c r="CF71" s="10">
        <v>1.02</v>
      </c>
      <c r="CG71" s="10">
        <v>1593</v>
      </c>
      <c r="CH71" s="10">
        <v>136</v>
      </c>
      <c r="CI71" s="10">
        <v>92</v>
      </c>
      <c r="CJ71" s="10">
        <v>30</v>
      </c>
      <c r="CK71" s="10">
        <v>192</v>
      </c>
      <c r="CL71" s="10">
        <v>22</v>
      </c>
      <c r="CM71" s="10">
        <v>120</v>
      </c>
      <c r="CN71" s="10">
        <v>0.746</v>
      </c>
      <c r="CO71" s="10">
        <v>131</v>
      </c>
      <c r="CP71" s="10">
        <v>22</v>
      </c>
      <c r="CQ71" s="10">
        <v>61</v>
      </c>
      <c r="CR71" s="10">
        <v>8</v>
      </c>
      <c r="CS71" s="10">
        <v>6</v>
      </c>
      <c r="CT71" s="9" t="s">
        <v>188</v>
      </c>
      <c r="CU71" s="10"/>
      <c r="CV71" s="10"/>
      <c r="CW71" s="10"/>
      <c r="CX71" t="str">
        <f>INDEX('Data_Price '!AG$2:AG$1266,MATCH(Data!$DN71,'Data_Price '!$AT$2:$AT$1266,0))</f>
        <v>Line Blade W Women's Skis Â· 2021 Â· 153 cm</v>
      </c>
      <c r="CY71" t="str">
        <f>INDEX('Data_Price '!AH$2:AH$1266,MATCH(Data!$DN71,'Data_Price '!$AT$2:$AT$1266,0))</f>
        <v>Level Nine Sports</v>
      </c>
      <c r="CZ71">
        <f>INDEX('Data_Price '!AI$2:AI$1266,MATCH(Data!$DN71,'Data_Price '!$AT$2:$AT$1266,0))</f>
        <v>449.97</v>
      </c>
      <c r="DA71" t="str">
        <f>INDEX('Data_Price '!AJ$2:AJ$1266,MATCH(Data!$DN71,'Data_Price '!$AT$2:$AT$1266,0))</f>
        <v>https://tinyurl.com/ycehyfa9</v>
      </c>
      <c r="DB71" t="str">
        <f>INDEX('Data_Price '!AK$2:AK$1266,MATCH(Data!$DN71,'Data_Price '!$AT$2:$AT$1266,0))</f>
        <v>Line Blade W Women's Skis Â· 2021 Â· 153 cm</v>
      </c>
      <c r="DC71" t="str">
        <f>INDEX('Data_Price '!AL$2:AL$1266,MATCH(Data!$DN71,'Data_Price '!$AT$2:$AT$1266,0))</f>
        <v>eBay - asogear</v>
      </c>
      <c r="DD71">
        <f>INDEX('Data_Price '!AM$2:AM$1266,MATCH(Data!$DN71,'Data_Price '!$AT$2:$AT$1266,0))</f>
        <v>449.99</v>
      </c>
      <c r="DE71" t="str">
        <f>INDEX('Data_Price '!AN$2:AN$1266,MATCH(Data!$DN71,'Data_Price '!$AT$2:$AT$1266,0))</f>
        <v>https://tinyurl.com/y7xajrrk</v>
      </c>
      <c r="DF71" t="str">
        <f>INDEX('Data_Price '!AO$2:AO$1266,MATCH(Data!$DN71,'Data_Price '!$AT$2:$AT$1266,0))</f>
        <v>Line Blade W Women's Skis Â· 2021 Â· 153 cm</v>
      </c>
      <c r="DG71" t="str">
        <f>INDEX('Data_Price '!AP$2:AP$1266,MATCH(Data!$DN71,'Data_Price '!$AT$2:$AT$1266,0))</f>
        <v>SkiEssentials.com</v>
      </c>
      <c r="DH71">
        <f>INDEX('Data_Price '!AQ$2:AQ$1266,MATCH(Data!$DN71,'Data_Price '!$AT$2:$AT$1266,0))</f>
        <v>544.95000000000005</v>
      </c>
      <c r="DI71" t="str">
        <f>INDEX('Data_Price '!AR$2:AR$1266,MATCH(Data!$DN71,'Data_Price '!$AT$2:$AT$1266,0))</f>
        <v>https://tinyurl.com/y8dkfnvw</v>
      </c>
      <c r="DJ71" s="89" t="str">
        <f t="shared" si="32"/>
        <v>https://tinyurl.com/ycehyfa9</v>
      </c>
      <c r="DK71" s="89" t="str">
        <f t="shared" si="33"/>
        <v>https://tinyurl.com/y7xajrrk</v>
      </c>
      <c r="DL71" s="89" t="str">
        <f t="shared" si="34"/>
        <v>https://tinyurl.com/y8dkfnvw</v>
      </c>
      <c r="DM71" s="219" t="str">
        <f t="shared" si="35"/>
        <v>Blade W</v>
      </c>
      <c r="DN71" s="89" t="str">
        <f t="shared" si="36"/>
        <v xml:space="preserve"> LineBlade W153 Women's</v>
      </c>
      <c r="DO71" s="221" t="s">
        <v>266</v>
      </c>
    </row>
    <row r="72" spans="2:119" ht="15.6" customHeight="1">
      <c r="B72" s="219" t="b">
        <f t="array" ref="B72">IF(OR(ISERROR(K72:P72)),FALSE,TRUE)</f>
        <v>1</v>
      </c>
      <c r="C72" s="43" t="b">
        <f>OR(BR72=Driver!$G$50,Data!BR165=Driver!$H$50)</f>
        <v>1</v>
      </c>
      <c r="D72" s="43" t="b">
        <f>OR(BV72=Driver!$G$51,BV72=Driver!$H$51)</f>
        <v>1</v>
      </c>
      <c r="E72" s="43" t="b">
        <f>AND(BX72&gt;Driver!$F$54,BX72&lt;Driver!$G$54)</f>
        <v>0</v>
      </c>
      <c r="F72" s="43" t="b">
        <f>CL72&gt;Driver!$F$56</f>
        <v>1</v>
      </c>
      <c r="G72" s="43" t="b">
        <f>AND(CB72&gt;Driver!$F$55,CB72&lt;Driver!$G$55)</f>
        <v>0</v>
      </c>
      <c r="H72" s="43" t="b">
        <f t="shared" si="0"/>
        <v>0</v>
      </c>
      <c r="I72" s="43">
        <f t="shared" si="1"/>
        <v>0</v>
      </c>
      <c r="J72" s="43" t="b">
        <f t="array" ref="J72">NOT(OR(($H$9:$H$1273=TRUE)*($I$9:$I$1273&gt;0)*($BT$9:$BT$1273=BT72)*($K$9:$K$1273&gt;K72)))</f>
        <v>1</v>
      </c>
      <c r="K72" s="72">
        <f t="shared" si="2"/>
        <v>0.88291514322581044</v>
      </c>
      <c r="L72" s="72">
        <f t="shared" si="3"/>
        <v>0.96075118132240789</v>
      </c>
      <c r="M72" s="72">
        <f t="shared" si="4"/>
        <v>0.80507910512921299</v>
      </c>
      <c r="N72" s="72">
        <f t="shared" si="5"/>
        <v>0.80364185212135197</v>
      </c>
      <c r="O72" s="72">
        <f t="shared" si="6"/>
        <v>0.68899370104241009</v>
      </c>
      <c r="P72" s="72">
        <f t="shared" si="7"/>
        <v>0.92260176222387691</v>
      </c>
      <c r="Q72" s="72"/>
      <c r="R72" s="72"/>
      <c r="S72" s="72">
        <f t="shared" si="8"/>
        <v>0.50449755998210388</v>
      </c>
      <c r="T72" s="72">
        <f t="shared" si="9"/>
        <v>0.51168317778772032</v>
      </c>
      <c r="U72" s="72">
        <f t="shared" si="10"/>
        <v>0.88151481162720513</v>
      </c>
      <c r="V72" s="72">
        <f t="shared" si="11"/>
        <v>0.51486730714010476</v>
      </c>
      <c r="W72" s="72">
        <f t="shared" si="12"/>
        <v>0.77486476043276664</v>
      </c>
      <c r="X72" s="72">
        <f t="shared" si="13"/>
        <v>3.9248818677592057E-2</v>
      </c>
      <c r="Y72" s="72">
        <f t="shared" si="14"/>
        <v>0.19492089487078701</v>
      </c>
      <c r="Z72" s="72">
        <f t="shared" si="15"/>
        <v>0.19635814787864808</v>
      </c>
      <c r="AA72" s="72">
        <f t="shared" si="16"/>
        <v>0.31100629895758991</v>
      </c>
      <c r="AB72" s="72">
        <f t="shared" si="17"/>
        <v>7.7398237776123091E-2</v>
      </c>
      <c r="AC72" s="72"/>
      <c r="AD72" s="72"/>
      <c r="AE72" s="72">
        <f t="shared" si="18"/>
        <v>0.49550244001789612</v>
      </c>
      <c r="AF72" s="72">
        <f t="shared" si="19"/>
        <v>0.48831682221227968</v>
      </c>
      <c r="AG72" s="72">
        <f t="shared" si="20"/>
        <v>0.11848518837279487</v>
      </c>
      <c r="AH72" s="72">
        <f t="shared" si="21"/>
        <v>0.48513269285989524</v>
      </c>
      <c r="AI72" s="72">
        <f t="shared" si="22"/>
        <v>0.22513523956723339</v>
      </c>
      <c r="AJ72" s="72">
        <f>(AV72-Driver!$K$179)/(Driver!$L$179-Driver!$K$179)</f>
        <v>0.21497059060510837</v>
      </c>
      <c r="AK72" s="72">
        <f>(AW72-Driver!$K$180)/(Driver!$L$180-Driver!$K$180)</f>
        <v>0.33040473717687469</v>
      </c>
      <c r="AL72" s="72">
        <f>(AX72-Driver!$K$181)/(Driver!$L$181-Driver!$K$181)</f>
        <v>0.29804591159172827</v>
      </c>
      <c r="AM72" s="72">
        <f>(AY72-Driver!$K$182)/(Driver!$L$182-Driver!$K$182)</f>
        <v>0.13637872213945645</v>
      </c>
      <c r="AN72" s="72">
        <f>(AZ72-Driver!$K$183)/(Driver!$L$183-Driver!$K$183)</f>
        <v>0.33161764705882352</v>
      </c>
      <c r="AO72" s="72"/>
      <c r="AP72" s="72"/>
      <c r="AQ72" s="72">
        <f>(BC72-Driver!$K$188)/(Driver!$L$188-Driver!$K$188)</f>
        <v>0.12449755998210388</v>
      </c>
      <c r="AR72" s="72">
        <f>MIN((BD72-Driver!$K$189)/(Driver!$L$189-Driver!$K$189),100%)</f>
        <v>6.1683177787720367E-2</v>
      </c>
      <c r="AS72" s="72">
        <f>(BE72-Driver!$K$190)/(Driver!$L$190-Driver!$K$190)</f>
        <v>0.39151481162720514</v>
      </c>
      <c r="AT72" s="72">
        <f>(BF72-Driver!$K$191)/(Driver!$L$191-Driver!$K$191)</f>
        <v>2.4867307140104742E-2</v>
      </c>
      <c r="AU72" s="72">
        <f>(BG72-Driver!$K$192)/(Driver!$L$192-Driver!$K$192)</f>
        <v>2.4864760432766614E-2</v>
      </c>
      <c r="AV72" s="70">
        <f t="shared" si="23"/>
        <v>4.5244878578211916</v>
      </c>
      <c r="AW72" s="70">
        <f t="shared" si="24"/>
        <v>34.072761943144634</v>
      </c>
      <c r="AX72" s="70">
        <f t="shared" si="25"/>
        <v>3.6824132043255546</v>
      </c>
      <c r="AY72" s="70">
        <f>IFERROR(Driver!$K$19/Data!BH72/Data!BI72*Data!BK72*Data!BL72,"")</f>
        <v>0.16696824738199667</v>
      </c>
      <c r="AZ72" s="70">
        <f t="shared" si="26"/>
        <v>30.22338049143708</v>
      </c>
      <c r="BA72" s="70"/>
      <c r="BB72" s="70"/>
      <c r="BC72" s="70">
        <f t="shared" si="27"/>
        <v>64.577749855712881</v>
      </c>
      <c r="BD72" s="70">
        <f t="shared" si="28"/>
        <v>7.179674822187331</v>
      </c>
      <c r="BE72" s="70">
        <f t="shared" si="29"/>
        <v>0.39162335853601832</v>
      </c>
      <c r="BF72" s="70">
        <f t="shared" si="30"/>
        <v>2.8085876387546866</v>
      </c>
      <c r="BG72" s="70">
        <f t="shared" si="31"/>
        <v>9.4153845000799444E-2</v>
      </c>
      <c r="BH72" s="67">
        <f>MAX((CE72-Driver!$F$200)/(Driver!$G$200-Driver!$F$200)*$BI$1,1)</f>
        <v>3.6824132043255546</v>
      </c>
      <c r="BI72" s="67">
        <f>MAX($BI$1*(BY72-Driver!$F$201)/(Driver!$G$201-Driver!$F$201),1)</f>
        <v>7.7848101265822782</v>
      </c>
      <c r="BJ72" s="67">
        <f>(CB72-Driver!$F$206)/(Driver!$G$206-Driver!$F$206)*$BI$1</f>
        <v>3.6507936507936507</v>
      </c>
      <c r="BK72" s="67">
        <f>(CD72-Driver!$F$203)/(Driver!$G$203-Driver!$F$203)*$BI$1</f>
        <v>4.0825688073394497</v>
      </c>
      <c r="BL72" s="67">
        <f>MAX((CR72-Driver!$F$202)/(Driver!$G$202-Driver!$F$202)*$BI$1,1)</f>
        <v>5.8620689655172411</v>
      </c>
      <c r="BM72" s="67">
        <f>MAX((CH72-Driver!$F$204)/(Driver!$G$204-Driver!$F$204)*$BI$1,1)</f>
        <v>4.9572649572649574</v>
      </c>
      <c r="BN72" s="67">
        <f>(CI72-Driver!$F$205)/(Driver!$G$205-Driver!$F$205)*$BI$1</f>
        <v>3.8823529411764706</v>
      </c>
      <c r="BO72" s="67">
        <f>(CK72-Driver!$F$207)/(Driver!$G$207-Driver!$F$207)*$BI$1</f>
        <v>1.6339193381592554</v>
      </c>
      <c r="BP72" s="67">
        <f>(CM72-Driver!$F$208)/(Driver!$G$208-Driver!$F$208)*$BI$1</f>
        <v>1.9222222222222221</v>
      </c>
      <c r="BQ72" s="67">
        <f>(CL72-Driver!$F$209)/(Driver!$G$209-Driver!$F$209)*$BI$1</f>
        <v>1.71875</v>
      </c>
      <c r="BR72" s="28" t="s">
        <v>155</v>
      </c>
      <c r="BS72" s="8" t="s">
        <v>156</v>
      </c>
      <c r="BT72" s="9" t="s">
        <v>267</v>
      </c>
      <c r="BU72" s="10">
        <v>176</v>
      </c>
      <c r="BV72" s="9" t="s">
        <v>158</v>
      </c>
      <c r="BW72" s="10">
        <v>176</v>
      </c>
      <c r="BX72" s="10">
        <v>175.3</v>
      </c>
      <c r="BY72" s="10">
        <v>131</v>
      </c>
      <c r="BZ72" s="10">
        <v>147</v>
      </c>
      <c r="CA72" s="10">
        <v>124</v>
      </c>
      <c r="CB72" s="10">
        <v>87</v>
      </c>
      <c r="CC72" s="10">
        <v>107</v>
      </c>
      <c r="CD72" s="10">
        <v>18.3</v>
      </c>
      <c r="CE72" s="10">
        <v>1547</v>
      </c>
      <c r="CF72" s="10">
        <v>1.1100000000000001</v>
      </c>
      <c r="CG72" s="10">
        <v>1719</v>
      </c>
      <c r="CH72" s="10">
        <v>217</v>
      </c>
      <c r="CI72" s="10">
        <v>99</v>
      </c>
      <c r="CJ72" s="10">
        <v>45</v>
      </c>
      <c r="CK72" s="10">
        <v>268</v>
      </c>
      <c r="CL72" s="10">
        <v>11</v>
      </c>
      <c r="CM72" s="10">
        <v>173</v>
      </c>
      <c r="CN72" s="10">
        <v>0.24</v>
      </c>
      <c r="CO72" s="10">
        <v>170</v>
      </c>
      <c r="CP72" s="10">
        <v>109</v>
      </c>
      <c r="CQ72" s="10">
        <v>98</v>
      </c>
      <c r="CR72" s="10">
        <v>6</v>
      </c>
      <c r="CS72" s="10">
        <v>8.8000000000000007</v>
      </c>
      <c r="CT72" s="9" t="s">
        <v>188</v>
      </c>
      <c r="CU72" s="9" t="s">
        <v>185</v>
      </c>
      <c r="CV72" s="10"/>
      <c r="CW72" s="10"/>
      <c r="CX72" t="str">
        <f>INDEX('Data_Price '!AG$2:AG$1266,MATCH(Data!$DN72,'Data_Price '!$AT$2:$AT$1266,0))</f>
        <v>Atomic Maverick 86 C Skis 2022</v>
      </c>
      <c r="CY72" t="str">
        <f>INDEX('Data_Price '!AH$2:AH$1266,MATCH(Data!$DN72,'Data_Price '!$AT$2:$AT$1266,0))</f>
        <v>evo.com</v>
      </c>
      <c r="CZ72">
        <f>INDEX('Data_Price '!AI$2:AI$1266,MATCH(Data!$DN72,'Data_Price '!$AT$2:$AT$1266,0))</f>
        <v>399.99</v>
      </c>
      <c r="DA72" t="str">
        <f>INDEX('Data_Price '!AJ$2:AJ$1266,MATCH(Data!$DN72,'Data_Price '!$AT$2:$AT$1266,0))</f>
        <v>https://tinyurl.com/y8hl3euh</v>
      </c>
      <c r="DB72" t="str">
        <f>INDEX('Data_Price '!AK$2:AK$1266,MATCH(Data!$DN72,'Data_Price '!$AT$2:$AT$1266,0))</f>
        <v>Atomic Maverick 86 C Skis 2022</v>
      </c>
      <c r="DC72" t="str">
        <f>INDEX('Data_Price '!AL$2:AL$1266,MATCH(Data!$DN72,'Data_Price '!$AT$2:$AT$1266,0))</f>
        <v>BlueZone Sports</v>
      </c>
      <c r="DD72">
        <f>INDEX('Data_Price '!AM$2:AM$1266,MATCH(Data!$DN72,'Data_Price '!$AT$2:$AT$1266,0))</f>
        <v>399.99</v>
      </c>
      <c r="DE72" t="str">
        <f>INDEX('Data_Price '!AN$2:AN$1266,MATCH(Data!$DN72,'Data_Price '!$AT$2:$AT$1266,0))</f>
        <v>https://tinyurl.com/yb9a6cs2</v>
      </c>
      <c r="DF72" t="str">
        <f>INDEX('Data_Price '!AO$2:AO$1266,MATCH(Data!$DN72,'Data_Price '!$AT$2:$AT$1266,0))</f>
        <v>Atomic Maverick 86 C Skis 2022 - - 176 cm</v>
      </c>
      <c r="DG72" t="str">
        <f>INDEX('Data_Price '!AP$2:AP$1266,MATCH(Data!$DN72,'Data_Price '!$AT$2:$AT$1266,0))</f>
        <v>Skirack</v>
      </c>
      <c r="DH72">
        <f>INDEX('Data_Price '!AQ$2:AQ$1266,MATCH(Data!$DN72,'Data_Price '!$AT$2:$AT$1266,0))</f>
        <v>399.99</v>
      </c>
      <c r="DI72" t="str">
        <f>INDEX('Data_Price '!AR$2:AR$1266,MATCH(Data!$DN72,'Data_Price '!$AT$2:$AT$1266,0))</f>
        <v>https://tinyurl.com/y9x9fgm7</v>
      </c>
      <c r="DJ72" s="89" t="str">
        <f t="shared" si="32"/>
        <v>https://tinyurl.com/y8hl3euh</v>
      </c>
      <c r="DK72" s="89" t="str">
        <f t="shared" si="33"/>
        <v>https://tinyurl.com/yb9a6cs2</v>
      </c>
      <c r="DL72" s="89" t="str">
        <f t="shared" si="34"/>
        <v>https://tinyurl.com/y9x9fgm7</v>
      </c>
      <c r="DM72" s="219" t="str">
        <f t="shared" si="35"/>
        <v>Maverick 86 C</v>
      </c>
      <c r="DN72" s="89" t="str">
        <f t="shared" si="36"/>
        <v xml:space="preserve"> AtomicMaverick 86 C176 Unisex</v>
      </c>
      <c r="DO72" s="221" t="s">
        <v>268</v>
      </c>
    </row>
    <row r="73" spans="2:119" ht="15.6" customHeight="1">
      <c r="B73" s="219" t="b">
        <f t="array" ref="B73">IF(OR(ISERROR(K73:P73)),FALSE,TRUE)</f>
        <v>1</v>
      </c>
      <c r="C73" s="43" t="b">
        <f>OR(BR73=Driver!$G$50,Data!BR795=Driver!$H$50)</f>
        <v>1</v>
      </c>
      <c r="D73" s="43" t="b">
        <f>OR(BV73=Driver!$G$51,BV73=Driver!$H$51)</f>
        <v>1</v>
      </c>
      <c r="E73" s="43" t="b">
        <f>AND(BX73&gt;Driver!$F$54,BX73&lt;Driver!$G$54)</f>
        <v>0</v>
      </c>
      <c r="F73" s="43" t="b">
        <f>CL73&gt;Driver!$F$56</f>
        <v>1</v>
      </c>
      <c r="G73" s="43" t="b">
        <f>AND(CB73&gt;Driver!$F$55,CB73&lt;Driver!$G$55)</f>
        <v>0</v>
      </c>
      <c r="H73" s="43" t="b">
        <f t="shared" ref="H73:H136" si="37">AND(B73:G73)</f>
        <v>0</v>
      </c>
      <c r="I73" s="43">
        <f t="shared" ref="I73:I136" si="38">COUNTIFS($H$9:$H$1273,TRUE,$BT$9:$BT$1273,BT73)</f>
        <v>0</v>
      </c>
      <c r="J73" s="43" t="b">
        <f t="array" ref="J73">NOT(OR(($H$9:$H$1273=TRUE)*($I$9:$I$1273&gt;0)*($BT$9:$BT$1273=BT73)*($K$9:$K$1273&gt;K73)))</f>
        <v>1</v>
      </c>
      <c r="K73" s="72">
        <f t="shared" ref="K73:K136" si="39">IFERROR(1-AVERAGE(X73:Y73),"")</f>
        <v>0.8933515731560453</v>
      </c>
      <c r="L73" s="72">
        <f t="shared" ref="L73:L136" si="40">1-X73</f>
        <v>0.93700081287628689</v>
      </c>
      <c r="M73" s="72">
        <f t="shared" ref="M73:M136" si="41">1-Y73</f>
        <v>0.8497023334358037</v>
      </c>
      <c r="N73" s="72">
        <f t="shared" ref="N73:N136" si="42">1-Z73</f>
        <v>0.84474727171282726</v>
      </c>
      <c r="O73" s="72">
        <f t="shared" ref="O73:O136" si="43">1-AA73</f>
        <v>0.80046711669750437</v>
      </c>
      <c r="P73" s="72">
        <f t="shared" ref="P73:P136" si="44">1-AB73</f>
        <v>0.90389261189707948</v>
      </c>
      <c r="Q73" s="72"/>
      <c r="R73" s="72"/>
      <c r="S73" s="72">
        <f t="shared" ref="S73:S136" si="45">1-AE73</f>
        <v>0.56202274819286968</v>
      </c>
      <c r="T73" s="72">
        <f t="shared" ref="T73:T136" si="46">1-AF73</f>
        <v>0.4696194299386719</v>
      </c>
      <c r="U73" s="72">
        <f t="shared" ref="U73:U136" si="47">1-AG73</f>
        <v>0.99770828394395672</v>
      </c>
      <c r="V73" s="72">
        <f t="shared" ref="V73:V136" si="48">1-AH73</f>
        <v>0.51536196757080865</v>
      </c>
      <c r="W73" s="72">
        <f t="shared" ref="W73:W136" si="49">1-AI73</f>
        <v>0.76836188002272909</v>
      </c>
      <c r="X73" s="72">
        <f t="shared" ref="X73:X136" si="50">ABS(AJ73-AJ$1)</f>
        <v>6.2999187123713107E-2</v>
      </c>
      <c r="Y73" s="72">
        <f t="shared" ref="Y73:Y136" si="51">AVERAGE(Z73:AB73)</f>
        <v>0.15029766656419627</v>
      </c>
      <c r="Z73" s="72">
        <f t="shared" ref="Z73:Z136" si="52">ABS(AL73-AL$1)</f>
        <v>0.15525272828717274</v>
      </c>
      <c r="AA73" s="72">
        <f t="shared" ref="AA73:AA136" si="53">ABS(AM73-AM$1)</f>
        <v>0.19953288330249558</v>
      </c>
      <c r="AB73" s="72">
        <f t="shared" ref="AB73:AB136" si="54">ABS(AN73-AN$1)</f>
        <v>9.6107388102920521E-2</v>
      </c>
      <c r="AC73" s="72"/>
      <c r="AD73" s="72"/>
      <c r="AE73" s="72">
        <f t="shared" ref="AE73:AE136" si="55">ABS(AQ$1-AQ73)</f>
        <v>0.43797725180713032</v>
      </c>
      <c r="AF73" s="72">
        <f t="shared" ref="AF73:AF136" si="56">ABS(AR$1-AR73)</f>
        <v>0.5303805700613281</v>
      </c>
      <c r="AG73" s="72">
        <f t="shared" ref="AG73:AG136" si="57">ABS(AS$1-AS73)</f>
        <v>2.2917160560432803E-3</v>
      </c>
      <c r="AH73" s="72">
        <f t="shared" ref="AH73:AH136" si="58">ABS(AT$1-AT73)</f>
        <v>0.48463803242919135</v>
      </c>
      <c r="AI73" s="72">
        <f t="shared" ref="AI73:AI136" si="59">ABS(AU$1-AU73)</f>
        <v>0.23163811997727088</v>
      </c>
      <c r="AJ73" s="72">
        <f>(AV73-Driver!$K$179)/(Driver!$L$179-Driver!$K$179)</f>
        <v>0.31721859640641353</v>
      </c>
      <c r="AK73" s="72">
        <f>(AW73-Driver!$K$180)/(Driver!$L$180-Driver!$K$180)</f>
        <v>0.34550511576315313</v>
      </c>
      <c r="AL73" s="72">
        <f>(AX73-Driver!$K$181)/(Driver!$L$181-Driver!$K$181)</f>
        <v>0.25694049200025293</v>
      </c>
      <c r="AM73" s="72">
        <f>(AY73-Driver!$K$182)/(Driver!$L$182-Driver!$K$182)</f>
        <v>0.24785213779455079</v>
      </c>
      <c r="AN73" s="72">
        <f>(AZ73-Driver!$K$183)/(Driver!$L$183-Driver!$K$183)</f>
        <v>0.35032679738562095</v>
      </c>
      <c r="AO73" s="72"/>
      <c r="AP73" s="72"/>
      <c r="AQ73" s="72">
        <f>(BC73-Driver!$K$188)/(Driver!$L$188-Driver!$K$188)</f>
        <v>0.18202274819286965</v>
      </c>
      <c r="AR73" s="72">
        <f>MIN((BD73-Driver!$K$189)/(Driver!$L$189-Driver!$K$189),100%)</f>
        <v>1.9619429938671985E-2</v>
      </c>
      <c r="AS73" s="72">
        <f>(BE73-Driver!$K$190)/(Driver!$L$190-Driver!$K$190)</f>
        <v>0.51229171605604329</v>
      </c>
      <c r="AT73" s="72">
        <f>(BF73-Driver!$K$191)/(Driver!$L$191-Driver!$K$191)</f>
        <v>2.5361967570808656E-2</v>
      </c>
      <c r="AU73" s="72">
        <f>(BG73-Driver!$K$192)/(Driver!$L$192-Driver!$K$192)</f>
        <v>1.8361880022729118E-2</v>
      </c>
      <c r="AV73" s="70">
        <f t="shared" ref="AV73:AV136" si="60">IFERROR(BM73*BJ73^1/4,"")</f>
        <v>6.6765025098358413</v>
      </c>
      <c r="AW73" s="70">
        <f t="shared" ref="AW73:AW136" si="61">IFERROR(SUM(AX73:AZ73),"")</f>
        <v>35.544427639343304</v>
      </c>
      <c r="AX73" s="70">
        <f t="shared" ref="AX73:AX136" si="62">IFERROR(BH73,"")</f>
        <v>3.3124644280022766</v>
      </c>
      <c r="AY73" s="70">
        <f>IFERROR(Driver!$K$19/Data!BH73/Data!BI73*Data!BK73*Data!BL73,"")</f>
        <v>0.30344496860089304</v>
      </c>
      <c r="AZ73" s="70">
        <f t="shared" ref="AZ73:AZ136" si="63">IFERROR(BI73*BN73,"")</f>
        <v>31.928518242740136</v>
      </c>
      <c r="BA73" s="70"/>
      <c r="BB73" s="70"/>
      <c r="BC73" s="70">
        <f t="shared" ref="BC73:BC136" si="64">IFERROR(BI73*BN73*BK73/BJ73^(1/2),"")</f>
        <v>94.416464889257583</v>
      </c>
      <c r="BD73" s="70">
        <f t="shared" ref="BD73:BD136" si="65">IFERROR(BH73*BM73*BL73/BJ73/BK73,"")</f>
        <v>3.457107670097415</v>
      </c>
      <c r="BE73" s="70">
        <f t="shared" ref="BE73:BE136" si="66">IFERROR(MIN(BI73/BQ73/BP73/BO73/BH73,$BE$1),"")</f>
        <v>0.51237871772450838</v>
      </c>
      <c r="BF73" s="70">
        <f t="shared" ref="BF73:BF136" si="67">IFERROR(BJ73*BO73*BP73/BK73,"")</f>
        <v>2.8644560592164861</v>
      </c>
      <c r="BG73" s="70">
        <f t="shared" ref="BG73:BG136" si="68">IFERROR(1/BM73/BH73*BQ73,"")</f>
        <v>6.9529791379170397E-2</v>
      </c>
      <c r="BH73" s="67">
        <f>MAX((CE73-Driver!$F$200)/(Driver!$G$200-Driver!$F$200)*$BI$1,1)</f>
        <v>3.3124644280022766</v>
      </c>
      <c r="BI73" s="67">
        <f>MAX($BI$1*(BY73-Driver!$F$201)/(Driver!$G$201-Driver!$F$201),1)</f>
        <v>8.1012658227848107</v>
      </c>
      <c r="BJ73" s="67">
        <f>(CB73-Driver!$F$206)/(Driver!$G$206-Driver!$F$206)*$BI$1</f>
        <v>4.92063492063492</v>
      </c>
      <c r="BK73" s="67">
        <f>(CD73-Driver!$F$203)/(Driver!$G$203-Driver!$F$203)*$BI$1</f>
        <v>6.5596330275229366</v>
      </c>
      <c r="BL73" s="67">
        <f>MAX((CR73-Driver!$F$202)/(Driver!$G$202-Driver!$F$202)*$BI$1,1)</f>
        <v>6.2068965517241379</v>
      </c>
      <c r="BM73" s="67">
        <f>MAX((CH73-Driver!$F$204)/(Driver!$G$204-Driver!$F$204)*$BI$1,1)</f>
        <v>5.4273504273504267</v>
      </c>
      <c r="BN73" s="67">
        <f>(CI73-Driver!$F$205)/(Driver!$G$205-Driver!$F$205)*$BI$1</f>
        <v>3.9411764705882351</v>
      </c>
      <c r="BO73" s="67">
        <f>(CK73-Driver!$F$207)/(Driver!$G$207-Driver!$F$207)*$BI$1</f>
        <v>2.0579110651499484</v>
      </c>
      <c r="BP73" s="67">
        <f>(CM73-Driver!$F$208)/(Driver!$G$208-Driver!$F$208)*$BI$1</f>
        <v>1.8555555555555556</v>
      </c>
      <c r="BQ73" s="67">
        <f>(CL73-Driver!$F$209)/(Driver!$G$209-Driver!$F$209)*$BI$1</f>
        <v>1.25</v>
      </c>
      <c r="BR73" s="28" t="s">
        <v>155</v>
      </c>
      <c r="BS73" s="8" t="s">
        <v>262</v>
      </c>
      <c r="BT73" s="9" t="s">
        <v>269</v>
      </c>
      <c r="BU73" s="10">
        <v>184</v>
      </c>
      <c r="BV73" s="9" t="s">
        <v>158</v>
      </c>
      <c r="BW73" s="10">
        <v>184</v>
      </c>
      <c r="BX73" s="10">
        <v>183.5</v>
      </c>
      <c r="BY73" s="10">
        <v>136</v>
      </c>
      <c r="BZ73" s="10">
        <v>157</v>
      </c>
      <c r="CA73" s="10">
        <v>127</v>
      </c>
      <c r="CB73" s="10">
        <v>95</v>
      </c>
      <c r="CC73" s="10">
        <v>114</v>
      </c>
      <c r="CD73" s="10">
        <v>23.7</v>
      </c>
      <c r="CE73" s="10">
        <v>1482</v>
      </c>
      <c r="CF73" s="10">
        <v>1.29</v>
      </c>
      <c r="CG73" s="10">
        <v>1919</v>
      </c>
      <c r="CH73" s="10">
        <v>228</v>
      </c>
      <c r="CI73" s="10">
        <v>100</v>
      </c>
      <c r="CJ73" s="10">
        <v>51</v>
      </c>
      <c r="CK73" s="10">
        <v>309</v>
      </c>
      <c r="CL73" s="10">
        <v>8</v>
      </c>
      <c r="CM73" s="10">
        <v>167</v>
      </c>
      <c r="CN73" s="10">
        <v>0.159</v>
      </c>
      <c r="CO73" s="10">
        <v>156</v>
      </c>
      <c r="CP73" s="10">
        <v>112</v>
      </c>
      <c r="CQ73" s="10">
        <v>153</v>
      </c>
      <c r="CR73" s="10">
        <v>7</v>
      </c>
      <c r="CS73" s="10">
        <v>12.6</v>
      </c>
      <c r="CT73" s="9" t="s">
        <v>185</v>
      </c>
      <c r="CU73" s="9" t="s">
        <v>198</v>
      </c>
      <c r="CV73" s="10"/>
      <c r="CW73" s="10"/>
      <c r="CX73" t="e">
        <f>INDEX('Data_Price '!AG$2:AG$1266,MATCH(Data!$DN73,'Data_Price '!$AT$2:$AT$1266,0))</f>
        <v>#N/A</v>
      </c>
      <c r="CY73" t="e">
        <f>INDEX('Data_Price '!AH$2:AH$1266,MATCH(Data!$DN73,'Data_Price '!$AT$2:$AT$1266,0))</f>
        <v>#N/A</v>
      </c>
      <c r="CZ73" t="e">
        <f>INDEX('Data_Price '!AI$2:AI$1266,MATCH(Data!$DN73,'Data_Price '!$AT$2:$AT$1266,0))</f>
        <v>#N/A</v>
      </c>
      <c r="DA73" t="e">
        <f>INDEX('Data_Price '!AJ$2:AJ$1266,MATCH(Data!$DN73,'Data_Price '!$AT$2:$AT$1266,0))</f>
        <v>#N/A</v>
      </c>
      <c r="DB73" t="e">
        <f>INDEX('Data_Price '!AK$2:AK$1266,MATCH(Data!$DN73,'Data_Price '!$AT$2:$AT$1266,0))</f>
        <v>#N/A</v>
      </c>
      <c r="DC73" t="e">
        <f>INDEX('Data_Price '!AL$2:AL$1266,MATCH(Data!$DN73,'Data_Price '!$AT$2:$AT$1266,0))</f>
        <v>#N/A</v>
      </c>
      <c r="DD73" t="e">
        <f>INDEX('Data_Price '!AM$2:AM$1266,MATCH(Data!$DN73,'Data_Price '!$AT$2:$AT$1266,0))</f>
        <v>#N/A</v>
      </c>
      <c r="DE73" t="e">
        <f>INDEX('Data_Price '!AN$2:AN$1266,MATCH(Data!$DN73,'Data_Price '!$AT$2:$AT$1266,0))</f>
        <v>#N/A</v>
      </c>
      <c r="DF73" t="e">
        <f>INDEX('Data_Price '!AO$2:AO$1266,MATCH(Data!$DN73,'Data_Price '!$AT$2:$AT$1266,0))</f>
        <v>#N/A</v>
      </c>
      <c r="DG73" t="e">
        <f>INDEX('Data_Price '!AP$2:AP$1266,MATCH(Data!$DN73,'Data_Price '!$AT$2:$AT$1266,0))</f>
        <v>#N/A</v>
      </c>
      <c r="DH73" t="e">
        <f>INDEX('Data_Price '!AQ$2:AQ$1266,MATCH(Data!$DN73,'Data_Price '!$AT$2:$AT$1266,0))</f>
        <v>#N/A</v>
      </c>
      <c r="DI73" t="e">
        <f>INDEX('Data_Price '!AR$2:AR$1266,MATCH(Data!$DN73,'Data_Price '!$AT$2:$AT$1266,0))</f>
        <v>#N/A</v>
      </c>
      <c r="DJ73" s="89" t="e">
        <f t="shared" ref="DJ73:DJ136" si="69">DA73</f>
        <v>#N/A</v>
      </c>
      <c r="DK73" s="89" t="e">
        <f t="shared" ref="DK73:DK136" si="70">DE73</f>
        <v>#N/A</v>
      </c>
      <c r="DL73" s="89" t="e">
        <f t="shared" ref="DL73:DL136" si="71">DI73</f>
        <v>#N/A</v>
      </c>
      <c r="DM73" s="219" t="str">
        <f t="shared" ref="DM73:DM136" si="72">IF(LEFT(BT73,1)=" ",RIGHT(BT73,LEN(BT73)-1),BT73)</f>
        <v>Wayback 96</v>
      </c>
      <c r="DN73" s="89" t="str">
        <f t="shared" ref="DN73:DN136" si="73">_xlfn.CONCAT(BS73,DM73,BU73,BV73)</f>
        <v xml:space="preserve"> K2Wayback 96184 Unisex</v>
      </c>
      <c r="DO73" s="221" t="s">
        <v>270</v>
      </c>
    </row>
    <row r="74" spans="2:119" ht="15.6" customHeight="1">
      <c r="B74" s="219" t="b">
        <f t="array" ref="B74">IF(OR(ISERROR(K74:P74)),FALSE,TRUE)</f>
        <v>1</v>
      </c>
      <c r="C74" s="43" t="b">
        <f>OR(BR74=Driver!$G$50,Data!BR618=Driver!$H$50)</f>
        <v>1</v>
      </c>
      <c r="D74" s="43" t="b">
        <f>OR(BV74=Driver!$G$51,BV74=Driver!$H$51)</f>
        <v>0</v>
      </c>
      <c r="E74" s="43" t="b">
        <f>AND(BX74&gt;Driver!$F$54,BX74&lt;Driver!$G$54)</f>
        <v>1</v>
      </c>
      <c r="F74" s="43" t="b">
        <f>CL74&gt;Driver!$F$56</f>
        <v>1</v>
      </c>
      <c r="G74" s="43" t="b">
        <f>AND(CB74&gt;Driver!$F$55,CB74&lt;Driver!$G$55)</f>
        <v>0</v>
      </c>
      <c r="H74" s="43" t="b">
        <f t="shared" si="37"/>
        <v>0</v>
      </c>
      <c r="I74" s="43">
        <f t="shared" si="38"/>
        <v>0</v>
      </c>
      <c r="J74" s="43" t="b">
        <f t="array" ref="J74">NOT(OR(($H$9:$H$1273=TRUE)*($I$9:$I$1273&gt;0)*($BT$9:$BT$1273=BT74)*($K$9:$K$1273&gt;K74)))</f>
        <v>1</v>
      </c>
      <c r="K74" s="72">
        <f t="shared" si="39"/>
        <v>0.87206346191098028</v>
      </c>
      <c r="L74" s="72">
        <f t="shared" si="40"/>
        <v>0.9584951181526391</v>
      </c>
      <c r="M74" s="72">
        <f t="shared" si="41"/>
        <v>0.78563180566932145</v>
      </c>
      <c r="N74" s="72">
        <f t="shared" si="42"/>
        <v>0.81186293603964699</v>
      </c>
      <c r="O74" s="72">
        <f t="shared" si="43"/>
        <v>0.61650751613006127</v>
      </c>
      <c r="P74" s="72">
        <f t="shared" si="44"/>
        <v>0.92852496483825597</v>
      </c>
      <c r="Q74" s="72"/>
      <c r="R74" s="72"/>
      <c r="S74" s="72">
        <f t="shared" si="45"/>
        <v>0.43648734177215187</v>
      </c>
      <c r="T74" s="72">
        <f t="shared" si="46"/>
        <v>0.57464010966363954</v>
      </c>
      <c r="U74" s="72">
        <f t="shared" si="47"/>
        <v>0.80092197923383368</v>
      </c>
      <c r="V74" s="72">
        <f t="shared" si="48"/>
        <v>0.5199814430460048</v>
      </c>
      <c r="W74" s="72">
        <f t="shared" si="49"/>
        <v>0.77675867507886442</v>
      </c>
      <c r="X74" s="72">
        <f t="shared" si="50"/>
        <v>4.1504881847360842E-2</v>
      </c>
      <c r="Y74" s="72">
        <f t="shared" si="51"/>
        <v>0.21436819433067858</v>
      </c>
      <c r="Z74" s="72">
        <f t="shared" si="52"/>
        <v>0.18813706396035301</v>
      </c>
      <c r="AA74" s="72">
        <f t="shared" si="53"/>
        <v>0.38349248386993873</v>
      </c>
      <c r="AB74" s="72">
        <f t="shared" si="54"/>
        <v>7.1475035161744027E-2</v>
      </c>
      <c r="AC74" s="72"/>
      <c r="AD74" s="72"/>
      <c r="AE74" s="72">
        <f t="shared" si="55"/>
        <v>0.56351265822784813</v>
      </c>
      <c r="AF74" s="72">
        <f t="shared" si="56"/>
        <v>0.42535989033636046</v>
      </c>
      <c r="AG74" s="72">
        <f t="shared" si="57"/>
        <v>0.19907802076616632</v>
      </c>
      <c r="AH74" s="72">
        <f t="shared" si="58"/>
        <v>0.48001855695399515</v>
      </c>
      <c r="AI74" s="72">
        <f t="shared" si="59"/>
        <v>0.22324132492113563</v>
      </c>
      <c r="AJ74" s="72">
        <f>(AV74-Driver!$K$179)/(Driver!$L$179-Driver!$K$179)</f>
        <v>0.21271452743533958</v>
      </c>
      <c r="AK74" s="72">
        <f>(AW74-Driver!$K$180)/(Driver!$L$180-Driver!$K$180)</f>
        <v>0.32319584252605493</v>
      </c>
      <c r="AL74" s="72">
        <f>(AX74-Driver!$K$181)/(Driver!$L$181-Driver!$K$181)</f>
        <v>0.28982482767343321</v>
      </c>
      <c r="AM74" s="72">
        <f>(AY74-Driver!$K$182)/(Driver!$L$182-Driver!$K$182)</f>
        <v>6.3892537227107624E-2</v>
      </c>
      <c r="AN74" s="72">
        <f>(AZ74-Driver!$K$183)/(Driver!$L$183-Driver!$K$183)</f>
        <v>0.32569444444444445</v>
      </c>
      <c r="AO74" s="72"/>
      <c r="AP74" s="72"/>
      <c r="AQ74" s="72">
        <f>(BC74-Driver!$K$188)/(Driver!$L$188-Driver!$K$188)</f>
        <v>5.6487341772151894E-2</v>
      </c>
      <c r="AR74" s="72">
        <f>MIN((BD74-Driver!$K$189)/(Driver!$L$189-Driver!$K$189),100%)</f>
        <v>0.12464010966363959</v>
      </c>
      <c r="AS74" s="72">
        <f>(BE74-Driver!$K$190)/(Driver!$L$190-Driver!$K$190)</f>
        <v>0.70907802076616633</v>
      </c>
      <c r="AT74" s="72">
        <f>(BF74-Driver!$K$191)/(Driver!$L$191-Driver!$K$191)</f>
        <v>2.9981443046004887E-2</v>
      </c>
      <c r="AU74" s="72">
        <f>(BG74-Driver!$K$192)/(Driver!$L$192-Driver!$K$192)</f>
        <v>2.6758675078864355E-2</v>
      </c>
      <c r="AV74" s="70">
        <f t="shared" si="60"/>
        <v>4.4770044770044768</v>
      </c>
      <c r="AW74" s="70">
        <f t="shared" si="61"/>
        <v>33.370191282117503</v>
      </c>
      <c r="AX74" s="70">
        <f t="shared" si="62"/>
        <v>3.6084234490608988</v>
      </c>
      <c r="AY74" s="70">
        <f>IFERROR(Driver!$K$19/Data!BH74/Data!BI74*Data!BK74*Data!BL74,"")</f>
        <v>7.8223529259134436E-2</v>
      </c>
      <c r="AZ74" s="70">
        <f t="shared" si="63"/>
        <v>29.683544303797468</v>
      </c>
      <c r="BA74" s="70"/>
      <c r="BB74" s="70"/>
      <c r="BC74" s="70">
        <f t="shared" si="64"/>
        <v>29.300376870844289</v>
      </c>
      <c r="BD74" s="70">
        <f t="shared" si="65"/>
        <v>12.751251740123841</v>
      </c>
      <c r="BE74" s="70">
        <f t="shared" si="66"/>
        <v>0.70912991797279534</v>
      </c>
      <c r="BF74" s="70">
        <f t="shared" si="67"/>
        <v>3.3861933604879386</v>
      </c>
      <c r="BG74" s="70">
        <f t="shared" si="68"/>
        <v>0.1013254140378549</v>
      </c>
      <c r="BH74" s="67">
        <f>MAX((CE74-Driver!$F$200)/(Driver!$G$200-Driver!$F$200)*$BI$1,1)</f>
        <v>3.6084234490608988</v>
      </c>
      <c r="BI74" s="67">
        <f>MAX($BI$1*(BY74-Driver!$F$201)/(Driver!$G$201-Driver!$F$201),1)</f>
        <v>7.5316455696202533</v>
      </c>
      <c r="BJ74" s="67">
        <f>(CB74-Driver!$F$206)/(Driver!$G$206-Driver!$F$206)*$BI$1</f>
        <v>3.8095238095238093</v>
      </c>
      <c r="BK74" s="67">
        <f>(CD74-Driver!$F$203)/(Driver!$G$203-Driver!$F$203)*$BI$1</f>
        <v>1.9266055045871557</v>
      </c>
      <c r="BL74" s="67">
        <f>MAX((CR74-Driver!$F$202)/(Driver!$G$202-Driver!$F$202)*$BI$1,1)</f>
        <v>5.5172413793103452</v>
      </c>
      <c r="BM74" s="67">
        <f>MAX((CH74-Driver!$F$204)/(Driver!$G$204-Driver!$F$204)*$BI$1,1)</f>
        <v>4.700854700854701</v>
      </c>
      <c r="BN74" s="67">
        <f>(CI74-Driver!$F$205)/(Driver!$G$205-Driver!$F$205)*$BI$1</f>
        <v>3.9411764705882351</v>
      </c>
      <c r="BO74" s="67">
        <f>(CK74-Driver!$F$207)/(Driver!$G$207-Driver!$F$207)*$BI$1</f>
        <v>1.1168562564632885</v>
      </c>
      <c r="BP74" s="67">
        <f>(CM74-Driver!$F$208)/(Driver!$G$208-Driver!$F$208)*$BI$1</f>
        <v>1.5333333333333332</v>
      </c>
      <c r="BQ74" s="67">
        <f>(CL74-Driver!$F$209)/(Driver!$G$209-Driver!$F$209)*$BI$1</f>
        <v>1.71875</v>
      </c>
      <c r="BR74" s="28" t="s">
        <v>155</v>
      </c>
      <c r="BS74" s="8" t="s">
        <v>167</v>
      </c>
      <c r="BT74" s="9" t="s">
        <v>224</v>
      </c>
      <c r="BU74" s="10">
        <v>163</v>
      </c>
      <c r="BV74" s="9" t="s">
        <v>163</v>
      </c>
      <c r="BW74" s="10">
        <v>163</v>
      </c>
      <c r="BX74" s="10">
        <v>162.69999999999999</v>
      </c>
      <c r="BY74" s="10">
        <v>127</v>
      </c>
      <c r="BZ74" s="10">
        <v>132</v>
      </c>
      <c r="CA74" s="10">
        <v>126</v>
      </c>
      <c r="CB74" s="10">
        <v>88</v>
      </c>
      <c r="CC74" s="10">
        <v>108</v>
      </c>
      <c r="CD74" s="10">
        <v>13.6</v>
      </c>
      <c r="CE74" s="10">
        <v>1534</v>
      </c>
      <c r="CF74" s="10">
        <v>1.07</v>
      </c>
      <c r="CG74" s="10">
        <v>1635</v>
      </c>
      <c r="CH74" s="10">
        <v>211</v>
      </c>
      <c r="CI74" s="10">
        <v>100</v>
      </c>
      <c r="CJ74" s="10">
        <v>47</v>
      </c>
      <c r="CK74" s="10">
        <v>218</v>
      </c>
      <c r="CL74" s="10">
        <v>11</v>
      </c>
      <c r="CM74" s="10">
        <v>138</v>
      </c>
      <c r="CN74" s="10">
        <v>0.24199999999999999</v>
      </c>
      <c r="CO74" s="10">
        <v>147</v>
      </c>
      <c r="CP74" s="10">
        <v>156</v>
      </c>
      <c r="CQ74" s="10">
        <v>71</v>
      </c>
      <c r="CR74" s="10">
        <v>5</v>
      </c>
      <c r="CS74" s="10">
        <v>8.1</v>
      </c>
      <c r="CT74" s="9" t="s">
        <v>188</v>
      </c>
      <c r="CU74" s="9" t="s">
        <v>185</v>
      </c>
      <c r="CV74" s="10"/>
      <c r="CW74" s="10"/>
      <c r="CX74" t="str">
        <f>INDEX('Data_Price '!AG$2:AG$1266,MATCH(Data!$DN74,'Data_Price '!$AT$2:$AT$1266,0))</f>
        <v>Head Kore 91 W Anth/Mi / 163cm</v>
      </c>
      <c r="CY74" t="str">
        <f>INDEX('Data_Price '!AH$2:AH$1266,MATCH(Data!$DN74,'Data_Price '!$AT$2:$AT$1266,0))</f>
        <v>Sundance Ski and Board Shop</v>
      </c>
      <c r="CZ74">
        <f>INDEX('Data_Price '!AI$2:AI$1266,MATCH(Data!$DN74,'Data_Price '!$AT$2:$AT$1266,0))</f>
        <v>481.19</v>
      </c>
      <c r="DA74" t="str">
        <f>INDEX('Data_Price '!AJ$2:AJ$1266,MATCH(Data!$DN74,'Data_Price '!$AT$2:$AT$1266,0))</f>
        <v>https://tinyurl.com/y8tqayjh</v>
      </c>
      <c r="DB74" t="str">
        <f>INDEX('Data_Price '!AK$2:AK$1266,MATCH(Data!$DN74,'Data_Price '!$AT$2:$AT$1266,0))</f>
        <v>Head Kore 91 W Skis</v>
      </c>
      <c r="DC74" t="str">
        <f>INDEX('Data_Price '!AL$2:AL$1266,MATCH(Data!$DN74,'Data_Price '!$AT$2:$AT$1266,0))</f>
        <v>Cole Sport</v>
      </c>
      <c r="DD74">
        <f>INDEX('Data_Price '!AM$2:AM$1266,MATCH(Data!$DN74,'Data_Price '!$AT$2:$AT$1266,0))</f>
        <v>489</v>
      </c>
      <c r="DE74" t="str">
        <f>INDEX('Data_Price '!AN$2:AN$1266,MATCH(Data!$DN74,'Data_Price '!$AT$2:$AT$1266,0))</f>
        <v>https://tinyurl.com/y9cz6qsb</v>
      </c>
      <c r="DF74" t="str">
        <f>INDEX('Data_Price '!AO$2:AO$1266,MATCH(Data!$DN74,'Data_Price '!$AT$2:$AT$1266,0))</f>
        <v>Head Kore 91 W 2022 (Size: 163) | By Alpine Shop Vermont</v>
      </c>
      <c r="DG74" t="str">
        <f>INDEX('Data_Price '!AP$2:AP$1266,MATCH(Data!$DN74,'Data_Price '!$AT$2:$AT$1266,0))</f>
        <v>AlpineShopVT.com</v>
      </c>
      <c r="DH74">
        <f>INDEX('Data_Price '!AQ$2:AQ$1266,MATCH(Data!$DN74,'Data_Price '!$AT$2:$AT$1266,0))</f>
        <v>489</v>
      </c>
      <c r="DI74" t="str">
        <f>INDEX('Data_Price '!AR$2:AR$1266,MATCH(Data!$DN74,'Data_Price '!$AT$2:$AT$1266,0))</f>
        <v>https://tinyurl.com/yax7qbwo</v>
      </c>
      <c r="DJ74" s="89" t="str">
        <f t="shared" si="69"/>
        <v>https://tinyurl.com/y8tqayjh</v>
      </c>
      <c r="DK74" s="89" t="str">
        <f t="shared" si="70"/>
        <v>https://tinyurl.com/y9cz6qsb</v>
      </c>
      <c r="DL74" s="89" t="str">
        <f t="shared" si="71"/>
        <v>https://tinyurl.com/yax7qbwo</v>
      </c>
      <c r="DM74" s="219" t="str">
        <f t="shared" si="72"/>
        <v>Kore 91 W</v>
      </c>
      <c r="DN74" s="89" t="str">
        <f t="shared" si="73"/>
        <v xml:space="preserve"> HeadKore 91 W163 Women's</v>
      </c>
      <c r="DO74" s="221"/>
    </row>
    <row r="75" spans="2:119" ht="15.6" customHeight="1">
      <c r="B75" s="219" t="b">
        <f t="array" ref="B75">IF(OR(ISERROR(K75:P75)),FALSE,TRUE)</f>
        <v>1</v>
      </c>
      <c r="C75" s="43" t="b">
        <f>OR(BR75=Driver!$G$50,Data!BR73=Driver!$H$50)</f>
        <v>1</v>
      </c>
      <c r="D75" s="43" t="b">
        <f>OR(BV75=Driver!$G$51,BV75=Driver!$H$51)</f>
        <v>1</v>
      </c>
      <c r="E75" s="43" t="b">
        <f>AND(BX75&gt;Driver!$F$54,BX75&lt;Driver!$G$54)</f>
        <v>1</v>
      </c>
      <c r="F75" s="43" t="b">
        <f>CL75&gt;Driver!$F$56</f>
        <v>1</v>
      </c>
      <c r="G75" s="43" t="b">
        <f>AND(CB75&gt;Driver!$F$55,CB75&lt;Driver!$G$55)</f>
        <v>0</v>
      </c>
      <c r="H75" s="43" t="b">
        <f t="shared" si="37"/>
        <v>0</v>
      </c>
      <c r="I75" s="43">
        <f t="shared" si="38"/>
        <v>0</v>
      </c>
      <c r="J75" s="43" t="b">
        <f t="array" ref="J75">NOT(OR(($H$9:$H$1273=TRUE)*($I$9:$I$1273&gt;0)*($BT$9:$BT$1273=BT75)*($K$9:$K$1273&gt;K75)))</f>
        <v>1</v>
      </c>
      <c r="K75" s="72">
        <f t="shared" si="39"/>
        <v>0.85788028655094029</v>
      </c>
      <c r="L75" s="72">
        <f t="shared" si="40"/>
        <v>0.93504817592397105</v>
      </c>
      <c r="M75" s="72">
        <f t="shared" si="41"/>
        <v>0.78071239717790963</v>
      </c>
      <c r="N75" s="72">
        <f t="shared" si="42"/>
        <v>0.75684491289413369</v>
      </c>
      <c r="O75" s="72">
        <f t="shared" si="43"/>
        <v>0.65885064713467245</v>
      </c>
      <c r="P75" s="72">
        <f t="shared" si="44"/>
        <v>0.92644163150492265</v>
      </c>
      <c r="Q75" s="72"/>
      <c r="R75" s="72"/>
      <c r="S75" s="72">
        <f t="shared" si="45"/>
        <v>0.46932906373576511</v>
      </c>
      <c r="T75" s="72">
        <f t="shared" si="46"/>
        <v>0.50831274493725953</v>
      </c>
      <c r="U75" s="72">
        <f t="shared" si="47"/>
        <v>0.81086367173640306</v>
      </c>
      <c r="V75" s="72">
        <f t="shared" si="48"/>
        <v>0.51382356966676435</v>
      </c>
      <c r="W75" s="72">
        <f t="shared" si="49"/>
        <v>0.79868238557558946</v>
      </c>
      <c r="X75" s="72">
        <f t="shared" si="50"/>
        <v>6.4951824076028924E-2</v>
      </c>
      <c r="Y75" s="72">
        <f t="shared" si="51"/>
        <v>0.21928760282209037</v>
      </c>
      <c r="Z75" s="72">
        <f t="shared" si="52"/>
        <v>0.24315508710586625</v>
      </c>
      <c r="AA75" s="72">
        <f t="shared" si="53"/>
        <v>0.34114935286532749</v>
      </c>
      <c r="AB75" s="72">
        <f t="shared" si="54"/>
        <v>7.3558368495077353E-2</v>
      </c>
      <c r="AC75" s="72"/>
      <c r="AD75" s="72"/>
      <c r="AE75" s="72">
        <f t="shared" si="55"/>
        <v>0.53067093626423489</v>
      </c>
      <c r="AF75" s="72">
        <f t="shared" si="56"/>
        <v>0.49168725506274047</v>
      </c>
      <c r="AG75" s="72">
        <f t="shared" si="57"/>
        <v>0.18913632826359694</v>
      </c>
      <c r="AH75" s="72">
        <f t="shared" si="58"/>
        <v>0.48617643033323571</v>
      </c>
      <c r="AI75" s="72">
        <f t="shared" si="59"/>
        <v>0.20131761442441054</v>
      </c>
      <c r="AJ75" s="72">
        <f>(AV75-Driver!$K$179)/(Driver!$L$179-Driver!$K$179)</f>
        <v>0.1892675852066715</v>
      </c>
      <c r="AK75" s="72">
        <f>(AW75-Driver!$K$180)/(Driver!$L$180-Driver!$K$180)</f>
        <v>0.33075673791859556</v>
      </c>
      <c r="AL75" s="72">
        <f>(AX75-Driver!$K$181)/(Driver!$L$181-Driver!$K$181)</f>
        <v>0.34484285081894644</v>
      </c>
      <c r="AM75" s="72">
        <f>(AY75-Driver!$K$182)/(Driver!$L$182-Driver!$K$182)</f>
        <v>0.10623566823171889</v>
      </c>
      <c r="AN75" s="72">
        <f>(AZ75-Driver!$K$183)/(Driver!$L$183-Driver!$K$183)</f>
        <v>0.32777777777777778</v>
      </c>
      <c r="AO75" s="72"/>
      <c r="AP75" s="72"/>
      <c r="AQ75" s="72">
        <f>(BC75-Driver!$K$188)/(Driver!$L$188-Driver!$K$188)</f>
        <v>8.9329063735765102E-2</v>
      </c>
      <c r="AR75" s="72">
        <f>MIN((BD75-Driver!$K$189)/(Driver!$L$189-Driver!$K$189),100%)</f>
        <v>5.8312744937259575E-2</v>
      </c>
      <c r="AS75" s="72">
        <f>(BE75-Driver!$K$190)/(Driver!$L$190-Driver!$K$190)</f>
        <v>0.32086367173640307</v>
      </c>
      <c r="AT75" s="72">
        <f>(BF75-Driver!$K$191)/(Driver!$L$191-Driver!$K$191)</f>
        <v>2.3823569666764303E-2</v>
      </c>
      <c r="AU75" s="72">
        <f>(BG75-Driver!$K$192)/(Driver!$L$192-Driver!$K$192)</f>
        <v>4.8682385575589453E-2</v>
      </c>
      <c r="AV75" s="70">
        <f t="shared" si="60"/>
        <v>3.9835164835164836</v>
      </c>
      <c r="AW75" s="70">
        <f t="shared" si="61"/>
        <v>34.107067534469195</v>
      </c>
      <c r="AX75" s="70">
        <f t="shared" si="62"/>
        <v>4.1035856573705178</v>
      </c>
      <c r="AY75" s="70">
        <f>IFERROR(Driver!$K$19/Data!BH75/Data!BI75*Data!BK75*Data!BL75,"")</f>
        <v>0.13006415557968842</v>
      </c>
      <c r="AZ75" s="70">
        <f t="shared" si="63"/>
        <v>29.873417721518987</v>
      </c>
      <c r="BA75" s="70"/>
      <c r="BB75" s="70"/>
      <c r="BC75" s="70">
        <f t="shared" si="64"/>
        <v>46.335606365317517</v>
      </c>
      <c r="BD75" s="70">
        <f t="shared" si="65"/>
        <v>6.8813974869751773</v>
      </c>
      <c r="BE75" s="70">
        <f t="shared" si="66"/>
        <v>0.32098482201336032</v>
      </c>
      <c r="BF75" s="70">
        <f t="shared" si="67"/>
        <v>2.6907048238116342</v>
      </c>
      <c r="BG75" s="70">
        <f t="shared" si="68"/>
        <v>0.184342567793773</v>
      </c>
      <c r="BH75" s="67">
        <f>MAX((CE75-Driver!$F$200)/(Driver!$G$200-Driver!$F$200)*$BI$1,1)</f>
        <v>4.1035856573705178</v>
      </c>
      <c r="BI75" s="67">
        <f>MAX($BI$1*(BY75-Driver!$F$201)/(Driver!$G$201-Driver!$F$201),1)</f>
        <v>7.4683544303797467</v>
      </c>
      <c r="BJ75" s="67">
        <f>(CB75-Driver!$F$206)/(Driver!$G$206-Driver!$F$206)*$BI$1</f>
        <v>4.2857142857142856</v>
      </c>
      <c r="BK75" s="67">
        <f>(CD75-Driver!$F$203)/(Driver!$G$203-Driver!$F$203)*$BI$1</f>
        <v>3.2110091743119265</v>
      </c>
      <c r="BL75" s="67">
        <f>MAX((CR75-Driver!$F$202)/(Driver!$G$202-Driver!$F$202)*$BI$1,1)</f>
        <v>6.2068965517241379</v>
      </c>
      <c r="BM75" s="67">
        <f>MAX((CH75-Driver!$F$204)/(Driver!$G$204-Driver!$F$204)*$BI$1,1)</f>
        <v>3.7179487179487181</v>
      </c>
      <c r="BN75" s="67">
        <f>(CI75-Driver!$F$205)/(Driver!$G$205-Driver!$F$205)*$BI$1</f>
        <v>4</v>
      </c>
      <c r="BO75" s="67">
        <f>(CK75-Driver!$F$207)/(Driver!$G$207-Driver!$F$207)*$BI$1</f>
        <v>1.2512926577042398</v>
      </c>
      <c r="BP75" s="67">
        <f>(CM75-Driver!$F$208)/(Driver!$G$208-Driver!$F$208)*$BI$1</f>
        <v>1.6111111111111112</v>
      </c>
      <c r="BQ75" s="67">
        <f>(CL75-Driver!$F$209)/(Driver!$G$209-Driver!$F$209)*$BI$1</f>
        <v>2.8125</v>
      </c>
      <c r="BR75" s="28" t="s">
        <v>155</v>
      </c>
      <c r="BS75" s="8" t="s">
        <v>182</v>
      </c>
      <c r="BT75" s="9" t="s">
        <v>271</v>
      </c>
      <c r="BU75" s="10">
        <v>164</v>
      </c>
      <c r="BV75" s="9" t="s">
        <v>158</v>
      </c>
      <c r="BW75" s="10">
        <v>164</v>
      </c>
      <c r="BX75" s="10">
        <v>163.80000000000001</v>
      </c>
      <c r="BY75" s="10">
        <v>126</v>
      </c>
      <c r="BZ75" s="10">
        <v>143</v>
      </c>
      <c r="CA75" s="10">
        <v>129</v>
      </c>
      <c r="CB75" s="10">
        <v>91</v>
      </c>
      <c r="CC75" s="10">
        <v>114</v>
      </c>
      <c r="CD75" s="10">
        <v>16.399999999999999</v>
      </c>
      <c r="CE75" s="10">
        <v>1621</v>
      </c>
      <c r="CF75" s="10">
        <v>1.04</v>
      </c>
      <c r="CG75" s="10">
        <v>1688</v>
      </c>
      <c r="CH75" s="10">
        <v>188</v>
      </c>
      <c r="CI75" s="10">
        <v>101</v>
      </c>
      <c r="CJ75" s="10">
        <v>42</v>
      </c>
      <c r="CK75" s="10">
        <v>231</v>
      </c>
      <c r="CL75" s="10">
        <v>18</v>
      </c>
      <c r="CM75" s="10">
        <v>145</v>
      </c>
      <c r="CN75" s="10">
        <v>0.43</v>
      </c>
      <c r="CO75" s="10">
        <v>131</v>
      </c>
      <c r="CP75" s="10">
        <v>74</v>
      </c>
      <c r="CQ75" s="10">
        <v>100</v>
      </c>
      <c r="CR75" s="10">
        <v>7</v>
      </c>
      <c r="CS75" s="10">
        <v>10.3</v>
      </c>
      <c r="CT75" s="9" t="s">
        <v>188</v>
      </c>
      <c r="CU75" s="10"/>
      <c r="CV75" s="10"/>
      <c r="CW75" s="10"/>
      <c r="CX75" t="str">
        <f>INDEX('Data_Price '!AG$2:AG$1266,MATCH(Data!$DN75,'Data_Price '!$AT$2:$AT$1266,0))</f>
        <v>Armada Declivity 92 Ti Skis</v>
      </c>
      <c r="CY75" t="str">
        <f>INDEX('Data_Price '!AH$2:AH$1266,MATCH(Data!$DN75,'Data_Price '!$AT$2:$AT$1266,0))</f>
        <v>Snowcountry.eu</v>
      </c>
      <c r="CZ75">
        <f>INDEX('Data_Price '!AI$2:AI$1266,MATCH(Data!$DN75,'Data_Price '!$AT$2:$AT$1266,0))</f>
        <v>414</v>
      </c>
      <c r="DA75" t="str">
        <f>INDEX('Data_Price '!AJ$2:AJ$1266,MATCH(Data!$DN75,'Data_Price '!$AT$2:$AT$1266,0))</f>
        <v>https://tinyurl.com/y8w6t2p8</v>
      </c>
      <c r="DB75" t="str">
        <f>INDEX('Data_Price '!AK$2:AK$1266,MATCH(Data!$DN75,'Data_Price '!$AT$2:$AT$1266,0))</f>
        <v>Armada Declivity 92 Ti Skis</v>
      </c>
      <c r="DC75" t="str">
        <f>INDEX('Data_Price '!AL$2:AL$1266,MATCH(Data!$DN75,'Data_Price '!$AT$2:$AT$1266,0))</f>
        <v>SkiEssentials.com</v>
      </c>
      <c r="DD75">
        <f>INDEX('Data_Price '!AM$2:AM$1266,MATCH(Data!$DN75,'Data_Price '!$AT$2:$AT$1266,0))</f>
        <v>519.96</v>
      </c>
      <c r="DE75" t="str">
        <f>INDEX('Data_Price '!AN$2:AN$1266,MATCH(Data!$DN75,'Data_Price '!$AT$2:$AT$1266,0))</f>
        <v>https://tinyurl.com/yaq7f6a4</v>
      </c>
      <c r="DF75" t="str">
        <f>INDEX('Data_Price '!AO$2:AO$1266,MATCH(Data!$DN75,'Data_Price '!$AT$2:$AT$1266,0))</f>
        <v>Armada Declivity 92 Ti Skis</v>
      </c>
      <c r="DG75" t="str">
        <f>INDEX('Data_Price '!AP$2:AP$1266,MATCH(Data!$DN75,'Data_Price '!$AT$2:$AT$1266,0))</f>
        <v>evo.com</v>
      </c>
      <c r="DH75">
        <f>INDEX('Data_Price '!AQ$2:AQ$1266,MATCH(Data!$DN75,'Data_Price '!$AT$2:$AT$1266,0))</f>
        <v>519.96</v>
      </c>
      <c r="DI75" t="str">
        <f>INDEX('Data_Price '!AR$2:AR$1266,MATCH(Data!$DN75,'Data_Price '!$AT$2:$AT$1266,0))</f>
        <v>https://tinyurl.com/yaw7h3bu</v>
      </c>
      <c r="DJ75" s="89" t="str">
        <f t="shared" si="69"/>
        <v>https://tinyurl.com/y8w6t2p8</v>
      </c>
      <c r="DK75" s="89" t="str">
        <f t="shared" si="70"/>
        <v>https://tinyurl.com/yaq7f6a4</v>
      </c>
      <c r="DL75" s="89" t="str">
        <f t="shared" si="71"/>
        <v>https://tinyurl.com/yaw7h3bu</v>
      </c>
      <c r="DM75" s="219" t="str">
        <f t="shared" si="72"/>
        <v>Declivity 92 Ti</v>
      </c>
      <c r="DN75" s="89" t="str">
        <f t="shared" si="73"/>
        <v xml:space="preserve"> ArmadaDeclivity 92 Ti164 Unisex</v>
      </c>
      <c r="DO75" s="221" t="s">
        <v>272</v>
      </c>
    </row>
    <row r="76" spans="2:119" ht="15.6" customHeight="1">
      <c r="B76" s="219" t="b">
        <f t="array" ref="B76">IF(OR(ISERROR(K76:P76)),FALSE,TRUE)</f>
        <v>1</v>
      </c>
      <c r="C76" s="43" t="b">
        <f>OR(BR76=Driver!$G$50,Data!BR343=Driver!$H$50)</f>
        <v>1</v>
      </c>
      <c r="D76" s="43" t="b">
        <f>OR(BV76=Driver!$G$51,BV76=Driver!$H$51)</f>
        <v>1</v>
      </c>
      <c r="E76" s="43" t="b">
        <f>AND(BX76&gt;Driver!$F$54,BX76&lt;Driver!$G$54)</f>
        <v>0</v>
      </c>
      <c r="F76" s="43" t="b">
        <f>CL76&gt;Driver!$F$56</f>
        <v>1</v>
      </c>
      <c r="G76" s="43" t="b">
        <f>AND(CB76&gt;Driver!$F$55,CB76&lt;Driver!$G$55)</f>
        <v>0</v>
      </c>
      <c r="H76" s="43" t="b">
        <f t="shared" si="37"/>
        <v>0</v>
      </c>
      <c r="I76" s="43">
        <f t="shared" si="38"/>
        <v>0</v>
      </c>
      <c r="J76" s="43" t="b">
        <f t="array" ref="J76">NOT(OR(($H$9:$H$1273=TRUE)*($I$9:$I$1273&gt;0)*($BT$9:$BT$1273=BT76)*($K$9:$K$1273&gt;K76)))</f>
        <v>1</v>
      </c>
      <c r="K76" s="72">
        <f t="shared" si="39"/>
        <v>0.8225726209959765</v>
      </c>
      <c r="L76" s="72">
        <f t="shared" si="40"/>
        <v>0.92161123911107845</v>
      </c>
      <c r="M76" s="72">
        <f t="shared" si="41"/>
        <v>0.72353400288087455</v>
      </c>
      <c r="N76" s="72">
        <f t="shared" si="42"/>
        <v>0.58862888810440384</v>
      </c>
      <c r="O76" s="72">
        <f t="shared" si="43"/>
        <v>0.63285992040584649</v>
      </c>
      <c r="P76" s="72">
        <f t="shared" si="44"/>
        <v>0.94911320013237366</v>
      </c>
      <c r="Q76" s="72"/>
      <c r="R76" s="72"/>
      <c r="S76" s="72">
        <f t="shared" si="45"/>
        <v>0.43612651726117146</v>
      </c>
      <c r="T76" s="72">
        <f t="shared" si="46"/>
        <v>0.49266500687669423</v>
      </c>
      <c r="U76" s="72">
        <f t="shared" si="47"/>
        <v>0.50945552816059936</v>
      </c>
      <c r="V76" s="72">
        <f t="shared" si="48"/>
        <v>0.73462314815931151</v>
      </c>
      <c r="W76" s="72">
        <f t="shared" si="49"/>
        <v>0.81795433660846828</v>
      </c>
      <c r="X76" s="72">
        <f t="shared" si="50"/>
        <v>7.8388760888921494E-2</v>
      </c>
      <c r="Y76" s="72">
        <f t="shared" si="51"/>
        <v>0.2764659971191254</v>
      </c>
      <c r="Z76" s="72">
        <f t="shared" si="52"/>
        <v>0.41137111189559616</v>
      </c>
      <c r="AA76" s="72">
        <f t="shared" si="53"/>
        <v>0.36714007959415357</v>
      </c>
      <c r="AB76" s="72">
        <f t="shared" si="54"/>
        <v>5.0886799867626342E-2</v>
      </c>
      <c r="AC76" s="72"/>
      <c r="AD76" s="72"/>
      <c r="AE76" s="72">
        <f t="shared" si="55"/>
        <v>0.56387348273882854</v>
      </c>
      <c r="AF76" s="72">
        <f t="shared" si="56"/>
        <v>0.50733499312330577</v>
      </c>
      <c r="AG76" s="72">
        <f t="shared" si="57"/>
        <v>0.49054447183940064</v>
      </c>
      <c r="AH76" s="72">
        <f t="shared" si="58"/>
        <v>0.26537685184068849</v>
      </c>
      <c r="AI76" s="72">
        <f t="shared" si="59"/>
        <v>0.18204566339153178</v>
      </c>
      <c r="AJ76" s="72">
        <f>(AV76-Driver!$K$179)/(Driver!$L$179-Driver!$K$179)</f>
        <v>0.33260817017162192</v>
      </c>
      <c r="AK76" s="72">
        <f>(AW76-Driver!$K$180)/(Driver!$L$180-Driver!$K$180)</f>
        <v>0.32476297068508708</v>
      </c>
      <c r="AL76" s="72">
        <f>(AX76-Driver!$K$181)/(Driver!$L$181-Driver!$K$181)</f>
        <v>0.51305887560867636</v>
      </c>
      <c r="AM76" s="72">
        <f>(AY76-Driver!$K$182)/(Driver!$L$182-Driver!$K$182)</f>
        <v>8.0244941502892783E-2</v>
      </c>
      <c r="AN76" s="72">
        <f>(AZ76-Driver!$K$183)/(Driver!$L$183-Driver!$K$183)</f>
        <v>0.30510620915032677</v>
      </c>
      <c r="AO76" s="72"/>
      <c r="AP76" s="72"/>
      <c r="AQ76" s="72">
        <f>(BC76-Driver!$K$188)/(Driver!$L$188-Driver!$K$188)</f>
        <v>5.6126517261171481E-2</v>
      </c>
      <c r="AR76" s="72">
        <f>MIN((BD76-Driver!$K$189)/(Driver!$L$189-Driver!$K$189),100%)</f>
        <v>4.2665006876694306E-2</v>
      </c>
      <c r="AS76" s="72">
        <f>(BE76-Driver!$K$190)/(Driver!$L$190-Driver!$K$190)</f>
        <v>1.9455528160599384E-2</v>
      </c>
      <c r="AT76" s="72">
        <f>(BF76-Driver!$K$191)/(Driver!$L$191-Driver!$K$191)</f>
        <v>0.24462314815931149</v>
      </c>
      <c r="AU76" s="72">
        <f>(BG76-Driver!$K$192)/(Driver!$L$192-Driver!$K$192)</f>
        <v>6.795433660846821E-2</v>
      </c>
      <c r="AV76" s="70">
        <f t="shared" si="60"/>
        <v>7.0004070004070007</v>
      </c>
      <c r="AW76" s="70">
        <f t="shared" si="61"/>
        <v>33.522921807383291</v>
      </c>
      <c r="AX76" s="70">
        <f t="shared" si="62"/>
        <v>5.6175298804780871</v>
      </c>
      <c r="AY76" s="70">
        <f>IFERROR(Driver!$K$19/Data!BH76/Data!BI76*Data!BK76*Data!BL76,"")</f>
        <v>9.8243751179220823E-2</v>
      </c>
      <c r="AZ76" s="70">
        <f t="shared" si="63"/>
        <v>27.807148175725985</v>
      </c>
      <c r="BA76" s="70"/>
      <c r="BB76" s="70"/>
      <c r="BC76" s="70">
        <f t="shared" si="64"/>
        <v>29.113214688587444</v>
      </c>
      <c r="BD76" s="70">
        <f t="shared" si="65"/>
        <v>5.4966003947663511</v>
      </c>
      <c r="BE76" s="70">
        <f t="shared" si="66"/>
        <v>1.9630446257877396E-2</v>
      </c>
      <c r="BF76" s="70">
        <f t="shared" si="67"/>
        <v>27.628466009713854</v>
      </c>
      <c r="BG76" s="70">
        <f t="shared" si="68"/>
        <v>0.25731846857991092</v>
      </c>
      <c r="BH76" s="67">
        <f>MAX((CE76-Driver!$F$200)/(Driver!$G$200-Driver!$F$200)*$BI$1,1)</f>
        <v>5.6175298804780871</v>
      </c>
      <c r="BI76" s="67">
        <f>MAX($BI$1*(BY76-Driver!$F$201)/(Driver!$G$201-Driver!$F$201),1)</f>
        <v>6.1392405063291138</v>
      </c>
      <c r="BJ76" s="67">
        <f>(CB76-Driver!$F$206)/(Driver!$G$206-Driver!$F$206)*$BI$1</f>
        <v>7.6190476190476186</v>
      </c>
      <c r="BK76" s="67">
        <f>(CD76-Driver!$F$203)/(Driver!$G$203-Driver!$F$203)*$BI$1</f>
        <v>2.8899082568807337</v>
      </c>
      <c r="BL76" s="67">
        <f>MAX((CR76-Driver!$F$202)/(Driver!$G$202-Driver!$F$202)*$BI$1,1)</f>
        <v>5.8620689655172411</v>
      </c>
      <c r="BM76" s="67">
        <f>MAX((CH76-Driver!$F$204)/(Driver!$G$204-Driver!$F$204)*$BI$1,1)</f>
        <v>3.6752136752136755</v>
      </c>
      <c r="BN76" s="67">
        <f>(CI76-Driver!$F$205)/(Driver!$G$205-Driver!$F$205)*$BI$1</f>
        <v>4.5294117647058822</v>
      </c>
      <c r="BO76" s="67">
        <f>(CK76-Driver!$F$207)/(Driver!$G$207-Driver!$F$207)*$BI$1</f>
        <v>3.1127197518097209</v>
      </c>
      <c r="BP76" s="67">
        <f>(CM76-Driver!$F$208)/(Driver!$G$208-Driver!$F$208)*$BI$1</f>
        <v>3.3666666666666667</v>
      </c>
      <c r="BQ76" s="67">
        <f>(CL76-Driver!$F$209)/(Driver!$G$209-Driver!$F$209)*$BI$1</f>
        <v>5.3125</v>
      </c>
      <c r="BR76" s="28" t="s">
        <v>155</v>
      </c>
      <c r="BS76" s="8" t="s">
        <v>218</v>
      </c>
      <c r="BT76" s="9" t="s">
        <v>273</v>
      </c>
      <c r="BU76" s="10">
        <v>178</v>
      </c>
      <c r="BV76" s="9" t="s">
        <v>158</v>
      </c>
      <c r="BW76" s="10">
        <v>178</v>
      </c>
      <c r="BX76" s="10">
        <v>176.7</v>
      </c>
      <c r="BY76" s="10">
        <v>105</v>
      </c>
      <c r="BZ76" s="10">
        <v>124</v>
      </c>
      <c r="CA76" s="10">
        <v>138</v>
      </c>
      <c r="CB76" s="10">
        <v>112</v>
      </c>
      <c r="CC76" s="10">
        <v>126</v>
      </c>
      <c r="CD76" s="10">
        <v>15.7</v>
      </c>
      <c r="CE76" s="10">
        <v>1887</v>
      </c>
      <c r="CF76" s="10">
        <v>1.1299999999999999</v>
      </c>
      <c r="CG76" s="10">
        <v>2127</v>
      </c>
      <c r="CH76" s="10">
        <v>187</v>
      </c>
      <c r="CI76" s="10">
        <v>110</v>
      </c>
      <c r="CJ76" s="10">
        <v>63</v>
      </c>
      <c r="CK76" s="10">
        <v>411</v>
      </c>
      <c r="CL76" s="10">
        <v>34</v>
      </c>
      <c r="CM76" s="10">
        <v>303</v>
      </c>
      <c r="CN76" s="10">
        <v>0.54200000000000004</v>
      </c>
      <c r="CO76" s="10">
        <v>322</v>
      </c>
      <c r="CP76" s="10">
        <v>201</v>
      </c>
      <c r="CQ76" s="10">
        <v>89</v>
      </c>
      <c r="CR76" s="10">
        <v>6</v>
      </c>
      <c r="CS76" s="10">
        <v>14.8</v>
      </c>
      <c r="CT76" s="9" t="s">
        <v>169</v>
      </c>
      <c r="CU76" s="9" t="s">
        <v>185</v>
      </c>
      <c r="CV76" s="10"/>
      <c r="CW76" s="10"/>
      <c r="CX76" t="str">
        <f>INDEX('Data_Price '!AG$2:AG$1266,MATCH(Data!$DN76,'Data_Price '!$AT$2:$AT$1266,0))</f>
        <v>DPS Pagoda 112 RP Light Green Skis 178cm 2022</v>
      </c>
      <c r="CY76" t="str">
        <f>INDEX('Data_Price '!AH$2:AH$1266,MATCH(Data!$DN76,'Data_Price '!$AT$2:$AT$1266,0))</f>
        <v>Telemark Pyrenees</v>
      </c>
      <c r="CZ76">
        <f>INDEX('Data_Price '!AI$2:AI$1266,MATCH(Data!$DN76,'Data_Price '!$AT$2:$AT$1266,0))</f>
        <v>1008.42</v>
      </c>
      <c r="DA76" t="str">
        <f>INDEX('Data_Price '!AJ$2:AJ$1266,MATCH(Data!$DN76,'Data_Price '!$AT$2:$AT$1266,0))</f>
        <v>https://tinyurl.com/y7fy7vhx</v>
      </c>
      <c r="DB76" t="str">
        <f>INDEX('Data_Price '!AK$2:AK$1266,MATCH(Data!$DN76,'Data_Price '!$AT$2:$AT$1266,0))</f>
        <v>DPS Pagoda 112 RP Ski 178 / Yellow</v>
      </c>
      <c r="DC76" t="str">
        <f>INDEX('Data_Price '!AL$2:AL$1266,MATCH(Data!$DN76,'Data_Price '!$AT$2:$AT$1266,0))</f>
        <v>Cripple Creek Backcountry</v>
      </c>
      <c r="DD76">
        <f>INDEX('Data_Price '!AM$2:AM$1266,MATCH(Data!$DN76,'Data_Price '!$AT$2:$AT$1266,0))</f>
        <v>1029</v>
      </c>
      <c r="DE76" t="str">
        <f>INDEX('Data_Price '!AN$2:AN$1266,MATCH(Data!$DN76,'Data_Price '!$AT$2:$AT$1266,0))</f>
        <v>https://tinyurl.com/y8jbxw26</v>
      </c>
      <c r="DF76" t="str">
        <f>INDEX('Data_Price '!AO$2:AO$1266,MATCH(Data!$DN76,'Data_Price '!$AT$2:$AT$1266,0))</f>
        <v>DPS Pagoda Tour 112 RP 178CM</v>
      </c>
      <c r="DG76" t="str">
        <f>INDEX('Data_Price '!AP$2:AP$1266,MATCH(Data!$DN76,'Data_Price '!$AT$2:$AT$1266,0))</f>
        <v>Neptune Mountaineering</v>
      </c>
      <c r="DH76">
        <f>INDEX('Data_Price '!AQ$2:AQ$1266,MATCH(Data!$DN76,'Data_Price '!$AT$2:$AT$1266,0))</f>
        <v>1039</v>
      </c>
      <c r="DI76" t="str">
        <f>INDEX('Data_Price '!AR$2:AR$1266,MATCH(Data!$DN76,'Data_Price '!$AT$2:$AT$1266,0))</f>
        <v>https://tinyurl.com/y7gorbqv</v>
      </c>
      <c r="DJ76" s="89" t="str">
        <f t="shared" si="69"/>
        <v>https://tinyurl.com/y7fy7vhx</v>
      </c>
      <c r="DK76" s="89" t="str">
        <f t="shared" si="70"/>
        <v>https://tinyurl.com/y8jbxw26</v>
      </c>
      <c r="DL76" s="89" t="str">
        <f t="shared" si="71"/>
        <v>https://tinyurl.com/y7gorbqv</v>
      </c>
      <c r="DM76" s="219" t="str">
        <f t="shared" si="72"/>
        <v>Pagoda 112 RP</v>
      </c>
      <c r="DN76" s="89" t="str">
        <f t="shared" si="73"/>
        <v xml:space="preserve"> DPSPagoda 112 RP178 Unisex</v>
      </c>
      <c r="DO76" s="221" t="s">
        <v>274</v>
      </c>
    </row>
    <row r="77" spans="2:119" ht="15.6" customHeight="1">
      <c r="B77" s="219" t="b">
        <f t="array" ref="B77">IF(OR(ISERROR(K77:P77)),FALSE,TRUE)</f>
        <v>1</v>
      </c>
      <c r="C77" s="43" t="b">
        <f>OR(BR77=Driver!$G$50,Data!BR552=Driver!$H$50)</f>
        <v>1</v>
      </c>
      <c r="D77" s="43" t="b">
        <f>OR(BV77=Driver!$G$51,BV77=Driver!$H$51)</f>
        <v>1</v>
      </c>
      <c r="E77" s="43" t="b">
        <f>AND(BX77&gt;Driver!$F$54,BX77&lt;Driver!$G$54)</f>
        <v>0</v>
      </c>
      <c r="F77" s="43" t="b">
        <f>CL77&gt;Driver!$F$56</f>
        <v>1</v>
      </c>
      <c r="G77" s="43" t="b">
        <f>AND(CB77&gt;Driver!$F$55,CB77&lt;Driver!$G$55)</f>
        <v>1</v>
      </c>
      <c r="H77" s="43" t="b">
        <f t="shared" si="37"/>
        <v>0</v>
      </c>
      <c r="I77" s="43">
        <f t="shared" si="38"/>
        <v>0</v>
      </c>
      <c r="J77" s="43" t="b">
        <f t="array" ref="J77">NOT(OR(($H$9:$H$1273=TRUE)*($I$9:$I$1273&gt;0)*($BT$9:$BT$1273=BT77)*($K$9:$K$1273&gt;K77)))</f>
        <v>1</v>
      </c>
      <c r="K77" s="72">
        <f t="shared" si="39"/>
        <v>0.80695288810763965</v>
      </c>
      <c r="L77" s="72">
        <f t="shared" si="40"/>
        <v>0.79656088055818197</v>
      </c>
      <c r="M77" s="72">
        <f t="shared" si="41"/>
        <v>0.81734489565709734</v>
      </c>
      <c r="N77" s="72">
        <f t="shared" si="42"/>
        <v>0.79542076820305674</v>
      </c>
      <c r="O77" s="72">
        <f t="shared" si="43"/>
        <v>0.73491084935481577</v>
      </c>
      <c r="P77" s="72">
        <f t="shared" si="44"/>
        <v>0.9217030694134194</v>
      </c>
      <c r="Q77" s="72"/>
      <c r="R77" s="72"/>
      <c r="S77" s="72">
        <f t="shared" si="45"/>
        <v>0.51082333762549559</v>
      </c>
      <c r="T77" s="72">
        <f t="shared" si="46"/>
        <v>0.46774606432895138</v>
      </c>
      <c r="U77" s="72">
        <f t="shared" si="47"/>
        <v>0.64060096361427976</v>
      </c>
      <c r="V77" s="72">
        <f t="shared" si="48"/>
        <v>0.55030414483119139</v>
      </c>
      <c r="W77" s="72">
        <f t="shared" si="49"/>
        <v>0.77353233034571067</v>
      </c>
      <c r="X77" s="72">
        <f t="shared" si="50"/>
        <v>0.20343911944181803</v>
      </c>
      <c r="Y77" s="72">
        <f t="shared" si="51"/>
        <v>0.18265510434290269</v>
      </c>
      <c r="Z77" s="72">
        <f t="shared" si="52"/>
        <v>0.20457923179694321</v>
      </c>
      <c r="AA77" s="72">
        <f t="shared" si="53"/>
        <v>0.26508915064518423</v>
      </c>
      <c r="AB77" s="72">
        <f t="shared" si="54"/>
        <v>7.8296930586580604E-2</v>
      </c>
      <c r="AC77" s="72"/>
      <c r="AD77" s="72"/>
      <c r="AE77" s="72">
        <f t="shared" si="55"/>
        <v>0.48917666237450441</v>
      </c>
      <c r="AF77" s="72">
        <f t="shared" si="56"/>
        <v>0.53225393567104862</v>
      </c>
      <c r="AG77" s="72">
        <f t="shared" si="57"/>
        <v>0.35939903638572024</v>
      </c>
      <c r="AH77" s="72">
        <f t="shared" si="58"/>
        <v>0.44969585516880856</v>
      </c>
      <c r="AI77" s="72">
        <f t="shared" si="59"/>
        <v>0.22646766965428938</v>
      </c>
      <c r="AJ77" s="72">
        <f>(AV77-Driver!$K$179)/(Driver!$L$179-Driver!$K$179)</f>
        <v>0.45765852872451845</v>
      </c>
      <c r="AK77" s="72">
        <f>(AW77-Driver!$K$180)/(Driver!$L$180-Driver!$K$180)</f>
        <v>0.33258116550145744</v>
      </c>
      <c r="AL77" s="72">
        <f>(AX77-Driver!$K$181)/(Driver!$L$181-Driver!$K$181)</f>
        <v>0.3062669955100234</v>
      </c>
      <c r="AM77" s="72">
        <f>(AY77-Driver!$K$182)/(Driver!$L$182-Driver!$K$182)</f>
        <v>0.18229587045186216</v>
      </c>
      <c r="AN77" s="72">
        <f>(AZ77-Driver!$K$183)/(Driver!$L$183-Driver!$K$183)</f>
        <v>0.33251633986928103</v>
      </c>
      <c r="AO77" s="72"/>
      <c r="AP77" s="72"/>
      <c r="AQ77" s="72">
        <f>(BC77-Driver!$K$188)/(Driver!$L$188-Driver!$K$188)</f>
        <v>0.13082333762549561</v>
      </c>
      <c r="AR77" s="72">
        <f>MIN((BD77-Driver!$K$189)/(Driver!$L$189-Driver!$K$189),100%)</f>
        <v>1.7746064328951393E-2</v>
      </c>
      <c r="AS77" s="72">
        <f>(BE77-Driver!$K$190)/(Driver!$L$190-Driver!$K$190)</f>
        <v>0.15060096361427974</v>
      </c>
      <c r="AT77" s="72">
        <f>(BF77-Driver!$K$191)/(Driver!$L$191-Driver!$K$191)</f>
        <v>6.0304144831191446E-2</v>
      </c>
      <c r="AU77" s="72">
        <f>(BG77-Driver!$K$192)/(Driver!$L$192-Driver!$K$192)</f>
        <v>2.3532330345710627E-2</v>
      </c>
      <c r="AV77" s="70">
        <f t="shared" si="60"/>
        <v>9.6323429656762976</v>
      </c>
      <c r="AW77" s="70">
        <f t="shared" si="61"/>
        <v>34.284874168492024</v>
      </c>
      <c r="AX77" s="70">
        <f t="shared" si="62"/>
        <v>3.7564029595902104</v>
      </c>
      <c r="AY77" s="70">
        <f>IFERROR(Driver!$K$19/Data!BH77/Data!BI77*Data!BK77*Data!BL77,"")</f>
        <v>0.22318453727113247</v>
      </c>
      <c r="AZ77" s="70">
        <f t="shared" si="63"/>
        <v>30.305286671630679</v>
      </c>
      <c r="BA77" s="70"/>
      <c r="BB77" s="70"/>
      <c r="BC77" s="70">
        <f t="shared" si="64"/>
        <v>67.858974695432906</v>
      </c>
      <c r="BD77" s="70">
        <f t="shared" si="65"/>
        <v>3.2913181330445833</v>
      </c>
      <c r="BE77" s="70">
        <f t="shared" si="66"/>
        <v>0.15075248684197756</v>
      </c>
      <c r="BF77" s="70">
        <f t="shared" si="67"/>
        <v>6.8109294980881163</v>
      </c>
      <c r="BG77" s="70">
        <f t="shared" si="68"/>
        <v>8.9108414692701671E-2</v>
      </c>
      <c r="BH77" s="67">
        <f>MAX((CE77-Driver!$F$200)/(Driver!$G$200-Driver!$F$200)*$BI$1,1)</f>
        <v>3.7564029595902104</v>
      </c>
      <c r="BI77" s="67">
        <f>MAX($BI$1*(BY77-Driver!$F$201)/(Driver!$G$201-Driver!$F$201),1)</f>
        <v>6.962025316455696</v>
      </c>
      <c r="BJ77" s="67">
        <f>(CB77-Driver!$F$206)/(Driver!$G$206-Driver!$F$206)*$BI$1</f>
        <v>6.3492063492063489</v>
      </c>
      <c r="BK77" s="67">
        <f>(CD77-Driver!$F$203)/(Driver!$G$203-Driver!$F$203)*$BI$1</f>
        <v>5.6422018348623855</v>
      </c>
      <c r="BL77" s="67">
        <f>MAX((CR77-Driver!$F$202)/(Driver!$G$202-Driver!$F$202)*$BI$1,1)</f>
        <v>5.1724137931034484</v>
      </c>
      <c r="BM77" s="67">
        <f>MAX((CH77-Driver!$F$204)/(Driver!$G$204-Driver!$F$204)*$BI$1,1)</f>
        <v>6.0683760683760681</v>
      </c>
      <c r="BN77" s="67">
        <f>(CI77-Driver!$F$205)/(Driver!$G$205-Driver!$F$205)*$BI$1</f>
        <v>4.3529411764705888</v>
      </c>
      <c r="BO77" s="67">
        <f>(CK77-Driver!$F$207)/(Driver!$G$207-Driver!$F$207)*$BI$1</f>
        <v>3.1127197518097209</v>
      </c>
      <c r="BP77" s="67">
        <f>(CM77-Driver!$F$208)/(Driver!$G$208-Driver!$F$208)*$BI$1</f>
        <v>1.9444444444444444</v>
      </c>
      <c r="BQ77" s="67">
        <f>(CL77-Driver!$F$209)/(Driver!$G$209-Driver!$F$209)*$BI$1</f>
        <v>2.03125</v>
      </c>
      <c r="BR77" s="28" t="s">
        <v>155</v>
      </c>
      <c r="BS77" s="8" t="s">
        <v>245</v>
      </c>
      <c r="BT77" s="9" t="s">
        <v>275</v>
      </c>
      <c r="BU77" s="10">
        <v>178</v>
      </c>
      <c r="BV77" s="9" t="s">
        <v>158</v>
      </c>
      <c r="BW77" s="10">
        <v>178</v>
      </c>
      <c r="BX77" s="10">
        <v>176.9</v>
      </c>
      <c r="BY77" s="10">
        <v>118</v>
      </c>
      <c r="BZ77" s="10">
        <v>148</v>
      </c>
      <c r="CA77" s="10">
        <v>137</v>
      </c>
      <c r="CB77" s="10">
        <v>104</v>
      </c>
      <c r="CC77" s="10">
        <v>120</v>
      </c>
      <c r="CD77" s="10">
        <v>21.7</v>
      </c>
      <c r="CE77" s="10">
        <v>1560</v>
      </c>
      <c r="CF77" s="10">
        <v>1.29</v>
      </c>
      <c r="CG77" s="10">
        <v>2007</v>
      </c>
      <c r="CH77" s="10">
        <v>243</v>
      </c>
      <c r="CI77" s="10">
        <v>107</v>
      </c>
      <c r="CJ77" s="10">
        <v>63</v>
      </c>
      <c r="CK77" s="10">
        <v>411</v>
      </c>
      <c r="CL77" s="10">
        <v>13</v>
      </c>
      <c r="CM77" s="10">
        <v>175</v>
      </c>
      <c r="CN77" s="10">
        <v>0.20499999999999999</v>
      </c>
      <c r="CO77" s="10">
        <v>164</v>
      </c>
      <c r="CP77" s="10">
        <v>126</v>
      </c>
      <c r="CQ77" s="10">
        <v>247</v>
      </c>
      <c r="CR77" s="10">
        <v>4</v>
      </c>
      <c r="CS77" s="10">
        <v>11.4</v>
      </c>
      <c r="CT77" s="9" t="s">
        <v>188</v>
      </c>
      <c r="CU77" s="9" t="s">
        <v>178</v>
      </c>
      <c r="CV77" s="9" t="s">
        <v>185</v>
      </c>
      <c r="CW77" s="9" t="s">
        <v>198</v>
      </c>
      <c r="CX77" t="str">
        <f>INDEX('Data_Price '!AG$2:AG$1266,MATCH(Data!$DN77,'Data_Price '!$AT$2:$AT$1266,0))</f>
        <v>Fischer Hannibal 106 Carbon</v>
      </c>
      <c r="CY77" t="str">
        <f>INDEX('Data_Price '!AH$2:AH$1266,MATCH(Data!$DN77,'Data_Price '!$AT$2:$AT$1266,0))</f>
        <v>Snowcountry.eu</v>
      </c>
      <c r="CZ77">
        <f>INDEX('Data_Price '!AI$2:AI$1266,MATCH(Data!$DN77,'Data_Price '!$AT$2:$AT$1266,0))</f>
        <v>451.78</v>
      </c>
      <c r="DA77" t="str">
        <f>INDEX('Data_Price '!AJ$2:AJ$1266,MATCH(Data!$DN77,'Data_Price '!$AT$2:$AT$1266,0))</f>
        <v>https://tinyurl.com/yd4ysjsh</v>
      </c>
      <c r="DB77" t="str">
        <f>INDEX('Data_Price '!AK$2:AK$1266,MATCH(Data!$DN77,'Data_Price '!$AT$2:$AT$1266,0))</f>
        <v>Fischer Hannibal 106 178 Carbon Alpine Touring Skis 138-106-122</v>
      </c>
      <c r="DC77" t="str">
        <f>INDEX('Data_Price '!AL$2:AL$1266,MATCH(Data!$DN77,'Data_Price '!$AT$2:$AT$1266,0))</f>
        <v>eBay - thegearrushstore</v>
      </c>
      <c r="DD77">
        <f>INDEX('Data_Price '!AM$2:AM$1266,MATCH(Data!$DN77,'Data_Price '!$AT$2:$AT$1266,0))</f>
        <v>474.99</v>
      </c>
      <c r="DE77" t="str">
        <f>INDEX('Data_Price '!AN$2:AN$1266,MATCH(Data!$DN77,'Data_Price '!$AT$2:$AT$1266,0))</f>
        <v>https://tinyurl.com/yaqvpjgf</v>
      </c>
      <c r="DF77" t="str">
        <f>INDEX('Data_Price '!AO$2:AO$1266,MATCH(Data!$DN77,'Data_Price '!$AT$2:$AT$1266,0))</f>
        <v>Fischer Hannibal 106 Carbon</v>
      </c>
      <c r="DG77" t="str">
        <f>INDEX('Data_Price '!AP$2:AP$1266,MATCH(Data!$DN77,'Data_Price '!$AT$2:$AT$1266,0))</f>
        <v>JANS Mountain Outfitters</v>
      </c>
      <c r="DH77">
        <f>INDEX('Data_Price '!AQ$2:AQ$1266,MATCH(Data!$DN77,'Data_Price '!$AT$2:$AT$1266,0))</f>
        <v>480</v>
      </c>
      <c r="DI77" t="str">
        <f>INDEX('Data_Price '!AR$2:AR$1266,MATCH(Data!$DN77,'Data_Price '!$AT$2:$AT$1266,0))</f>
        <v>https://tinyurl.com/yamtcgps</v>
      </c>
      <c r="DJ77" s="89" t="str">
        <f t="shared" si="69"/>
        <v>https://tinyurl.com/yd4ysjsh</v>
      </c>
      <c r="DK77" s="89" t="str">
        <f t="shared" si="70"/>
        <v>https://tinyurl.com/yaqvpjgf</v>
      </c>
      <c r="DL77" s="89" t="str">
        <f t="shared" si="71"/>
        <v>https://tinyurl.com/yamtcgps</v>
      </c>
      <c r="DM77" s="219" t="str">
        <f t="shared" si="72"/>
        <v>Hannibal 106</v>
      </c>
      <c r="DN77" s="89" t="str">
        <f t="shared" si="73"/>
        <v xml:space="preserve"> FischerHannibal 106178 Unisex</v>
      </c>
      <c r="DO77" s="221" t="s">
        <v>276</v>
      </c>
    </row>
    <row r="78" spans="2:119" ht="15.6" customHeight="1">
      <c r="B78" s="219" t="b">
        <f t="array" ref="B78">IF(OR(ISERROR(K78:P78)),FALSE,TRUE)</f>
        <v>1</v>
      </c>
      <c r="C78" s="43" t="b">
        <f>OR(BR78=Driver!$G$50,Data!BR494=Driver!$H$50)</f>
        <v>1</v>
      </c>
      <c r="D78" s="43" t="b">
        <f>OR(BV78=Driver!$G$51,BV78=Driver!$H$51)</f>
        <v>1</v>
      </c>
      <c r="E78" s="43" t="b">
        <f>AND(BX78&gt;Driver!$F$54,BX78&lt;Driver!$G$54)</f>
        <v>0</v>
      </c>
      <c r="F78" s="43" t="b">
        <f>CL78&gt;Driver!$F$56</f>
        <v>1</v>
      </c>
      <c r="G78" s="43" t="b">
        <f>AND(CB78&gt;Driver!$F$55,CB78&lt;Driver!$G$55)</f>
        <v>1</v>
      </c>
      <c r="H78" s="43" t="b">
        <f t="shared" si="37"/>
        <v>0</v>
      </c>
      <c r="I78" s="43">
        <f t="shared" si="38"/>
        <v>0</v>
      </c>
      <c r="J78" s="43" t="b">
        <f t="array" ref="J78">NOT(OR(($H$9:$H$1273=TRUE)*($I$9:$I$1273&gt;0)*($BT$9:$BT$1273=BT78)*($K$9:$K$1273&gt;K78)))</f>
        <v>1</v>
      </c>
      <c r="K78" s="72">
        <f t="shared" si="39"/>
        <v>0.83554022349318224</v>
      </c>
      <c r="L78" s="72">
        <f t="shared" si="40"/>
        <v>0.91242583906273422</v>
      </c>
      <c r="M78" s="72">
        <f t="shared" si="41"/>
        <v>0.75865460792363026</v>
      </c>
      <c r="N78" s="72">
        <f t="shared" si="42"/>
        <v>0.6917086326184112</v>
      </c>
      <c r="O78" s="72">
        <f t="shared" si="43"/>
        <v>0.67464362500703401</v>
      </c>
      <c r="P78" s="72">
        <f t="shared" si="44"/>
        <v>0.90961156614544547</v>
      </c>
      <c r="Q78" s="72"/>
      <c r="R78" s="72"/>
      <c r="S78" s="72">
        <f t="shared" si="45"/>
        <v>0.48111730441308909</v>
      </c>
      <c r="T78" s="72">
        <f t="shared" si="46"/>
        <v>0.47719943757942829</v>
      </c>
      <c r="U78" s="72">
        <f t="shared" si="47"/>
        <v>0.60370373842422176</v>
      </c>
      <c r="V78" s="72">
        <f t="shared" si="48"/>
        <v>0.54637063679704734</v>
      </c>
      <c r="W78" s="72">
        <f t="shared" si="49"/>
        <v>0.79280796404883203</v>
      </c>
      <c r="X78" s="72">
        <f t="shared" si="50"/>
        <v>8.7574160937265721E-2</v>
      </c>
      <c r="Y78" s="72">
        <f t="shared" si="51"/>
        <v>0.24134539207636974</v>
      </c>
      <c r="Z78" s="72">
        <f t="shared" si="52"/>
        <v>0.30829136738158874</v>
      </c>
      <c r="AA78" s="72">
        <f t="shared" si="53"/>
        <v>0.32535637499296594</v>
      </c>
      <c r="AB78" s="72">
        <f t="shared" si="54"/>
        <v>9.0388433854554529E-2</v>
      </c>
      <c r="AC78" s="72"/>
      <c r="AD78" s="72"/>
      <c r="AE78" s="72">
        <f t="shared" si="55"/>
        <v>0.51888269558691091</v>
      </c>
      <c r="AF78" s="72">
        <f t="shared" si="56"/>
        <v>0.52280056242057171</v>
      </c>
      <c r="AG78" s="72">
        <f t="shared" si="57"/>
        <v>0.39629626157577824</v>
      </c>
      <c r="AH78" s="72">
        <f t="shared" si="58"/>
        <v>0.45362936320295272</v>
      </c>
      <c r="AI78" s="72">
        <f t="shared" si="59"/>
        <v>0.20719203595116795</v>
      </c>
      <c r="AJ78" s="72">
        <f>(AV78-Driver!$K$179)/(Driver!$L$179-Driver!$K$179)</f>
        <v>0.34179357021996615</v>
      </c>
      <c r="AK78" s="72">
        <f>(AW78-Driver!$K$180)/(Driver!$L$180-Driver!$K$180)</f>
        <v>0.352708987250404</v>
      </c>
      <c r="AL78" s="72">
        <f>(AX78-Driver!$K$181)/(Driver!$L$181-Driver!$K$181)</f>
        <v>0.40997913109466894</v>
      </c>
      <c r="AM78" s="72">
        <f>(AY78-Driver!$K$182)/(Driver!$L$182-Driver!$K$182)</f>
        <v>0.12202864610408044</v>
      </c>
      <c r="AN78" s="72">
        <f>(AZ78-Driver!$K$183)/(Driver!$L$183-Driver!$K$183)</f>
        <v>0.34460784313725495</v>
      </c>
      <c r="AO78" s="72"/>
      <c r="AP78" s="72"/>
      <c r="AQ78" s="72">
        <f>(BC78-Driver!$K$188)/(Driver!$L$188-Driver!$K$188)</f>
        <v>0.10111730441308911</v>
      </c>
      <c r="AR78" s="72">
        <f>MIN((BD78-Driver!$K$189)/(Driver!$L$189-Driver!$K$189),100%)</f>
        <v>2.719943757942838E-2</v>
      </c>
      <c r="AS78" s="72">
        <f>(BE78-Driver!$K$190)/(Driver!$L$190-Driver!$K$190)</f>
        <v>0.1137037384242218</v>
      </c>
      <c r="AT78" s="72">
        <f>(BF78-Driver!$K$191)/(Driver!$L$191-Driver!$K$191)</f>
        <v>5.6370636797047298E-2</v>
      </c>
      <c r="AU78" s="72">
        <f>(BG78-Driver!$K$192)/(Driver!$L$192-Driver!$K$192)</f>
        <v>4.2807964048832053E-2</v>
      </c>
      <c r="AV78" s="70">
        <f t="shared" si="60"/>
        <v>7.1937321937321945</v>
      </c>
      <c r="AW78" s="70">
        <f t="shared" si="61"/>
        <v>36.246508748570889</v>
      </c>
      <c r="AX78" s="70">
        <f t="shared" si="62"/>
        <v>4.6898121798520203</v>
      </c>
      <c r="AY78" s="70">
        <f>IFERROR(Driver!$K$19/Data!BH78/Data!BI78*Data!BK78*Data!BL78,"")</f>
        <v>0.14939947266525569</v>
      </c>
      <c r="AZ78" s="70">
        <f t="shared" si="63"/>
        <v>31.407297096053615</v>
      </c>
      <c r="BA78" s="70"/>
      <c r="BB78" s="70"/>
      <c r="BC78" s="70">
        <f t="shared" si="64"/>
        <v>52.450248755165134</v>
      </c>
      <c r="BD78" s="70">
        <f t="shared" si="65"/>
        <v>4.1279249153255693</v>
      </c>
      <c r="BE78" s="70">
        <f t="shared" si="66"/>
        <v>0.11386184370159758</v>
      </c>
      <c r="BF78" s="70">
        <f t="shared" si="67"/>
        <v>6.3666674000894758</v>
      </c>
      <c r="BG78" s="70">
        <f t="shared" si="68"/>
        <v>0.16209826041766795</v>
      </c>
      <c r="BH78" s="67">
        <f>MAX((CE78-Driver!$F$200)/(Driver!$G$200-Driver!$F$200)*$BI$1,1)</f>
        <v>4.6898121798520203</v>
      </c>
      <c r="BI78" s="67">
        <f>MAX($BI$1*(BY78-Driver!$F$201)/(Driver!$G$201-Driver!$F$201),1)</f>
        <v>7.2151898734177218</v>
      </c>
      <c r="BJ78" s="67">
        <f>(CB78-Driver!$F$206)/(Driver!$G$206-Driver!$F$206)*$BI$1</f>
        <v>6.6666666666666661</v>
      </c>
      <c r="BK78" s="67">
        <f>(CD78-Driver!$F$203)/(Driver!$G$203-Driver!$F$203)*$BI$1</f>
        <v>4.3119266055045884</v>
      </c>
      <c r="BL78" s="67">
        <f>MAX((CR78-Driver!$F$202)/(Driver!$G$202-Driver!$F$202)*$BI$1,1)</f>
        <v>5.8620689655172411</v>
      </c>
      <c r="BM78" s="67">
        <f>MAX((CH78-Driver!$F$204)/(Driver!$G$204-Driver!$F$204)*$BI$1,1)</f>
        <v>4.3162393162393169</v>
      </c>
      <c r="BN78" s="67">
        <f>(CI78-Driver!$F$205)/(Driver!$G$205-Driver!$F$205)*$BI$1</f>
        <v>4.3529411764705888</v>
      </c>
      <c r="BO78" s="67">
        <f>(CK78-Driver!$F$207)/(Driver!$G$207-Driver!$F$207)*$BI$1</f>
        <v>1.8717683557394003</v>
      </c>
      <c r="BP78" s="67">
        <f>(CM78-Driver!$F$208)/(Driver!$G$208-Driver!$F$208)*$BI$1</f>
        <v>2.2000000000000002</v>
      </c>
      <c r="BQ78" s="67">
        <f>(CL78-Driver!$F$209)/(Driver!$G$209-Driver!$F$209)*$BI$1</f>
        <v>3.28125</v>
      </c>
      <c r="BR78" s="28" t="s">
        <v>155</v>
      </c>
      <c r="BS78" s="8" t="s">
        <v>205</v>
      </c>
      <c r="BT78" s="9" t="s">
        <v>277</v>
      </c>
      <c r="BU78" s="10">
        <v>172</v>
      </c>
      <c r="BV78" s="9" t="s">
        <v>158</v>
      </c>
      <c r="BW78" s="10">
        <v>172</v>
      </c>
      <c r="BX78" s="10">
        <v>170.6</v>
      </c>
      <c r="BY78" s="10">
        <v>122</v>
      </c>
      <c r="BZ78" s="10">
        <v>139</v>
      </c>
      <c r="CA78" s="10">
        <v>134</v>
      </c>
      <c r="CB78" s="10">
        <v>106</v>
      </c>
      <c r="CC78" s="10">
        <v>124</v>
      </c>
      <c r="CD78" s="10">
        <v>18.8</v>
      </c>
      <c r="CE78" s="10">
        <v>1724</v>
      </c>
      <c r="CF78" s="10">
        <v>1.1399999999999999</v>
      </c>
      <c r="CG78" s="10">
        <v>1964</v>
      </c>
      <c r="CH78" s="10">
        <v>202</v>
      </c>
      <c r="CI78" s="10">
        <v>107</v>
      </c>
      <c r="CJ78" s="10">
        <v>55</v>
      </c>
      <c r="CK78" s="10">
        <v>291</v>
      </c>
      <c r="CL78" s="10">
        <v>21</v>
      </c>
      <c r="CM78" s="10">
        <v>198</v>
      </c>
      <c r="CN78" s="10">
        <v>0.378</v>
      </c>
      <c r="CO78" s="10">
        <v>200</v>
      </c>
      <c r="CP78" s="10">
        <v>121</v>
      </c>
      <c r="CQ78" s="10">
        <v>91</v>
      </c>
      <c r="CR78" s="10">
        <v>6</v>
      </c>
      <c r="CS78" s="10">
        <v>11.1</v>
      </c>
      <c r="CT78" s="9" t="s">
        <v>169</v>
      </c>
      <c r="CU78" s="9" t="s">
        <v>178</v>
      </c>
      <c r="CV78" s="9" t="s">
        <v>185</v>
      </c>
      <c r="CW78" s="10"/>
      <c r="CX78" t="str">
        <f>INDEX('Data_Price '!AG$2:AG$1266,MATCH(Data!$DN78,'Data_Price '!$AT$2:$AT$1266,0))</f>
        <v>Faction Agent 3.0 Skis</v>
      </c>
      <c r="CY78" t="str">
        <f>INDEX('Data_Price '!AH$2:AH$1266,MATCH(Data!$DN78,'Data_Price '!$AT$2:$AT$1266,0))</f>
        <v>Blue Tomato</v>
      </c>
      <c r="CZ78">
        <f>INDEX('Data_Price '!AI$2:AI$1266,MATCH(Data!$DN78,'Data_Price '!$AT$2:$AT$1266,0))</f>
        <v>507.14</v>
      </c>
      <c r="DA78" t="str">
        <f>INDEX('Data_Price '!AJ$2:AJ$1266,MATCH(Data!$DN78,'Data_Price '!$AT$2:$AT$1266,0))</f>
        <v>https://tinyurl.com/y7usq8du</v>
      </c>
      <c r="DB78" t="str">
        <f>INDEX('Data_Price '!AK$2:AK$1266,MATCH(Data!$DN78,'Data_Price '!$AT$2:$AT$1266,0))</f>
        <v>Faction Agent 3.0 Skis</v>
      </c>
      <c r="DC78" t="str">
        <f>INDEX('Data_Price '!AL$2:AL$1266,MATCH(Data!$DN78,'Data_Price '!$AT$2:$AT$1266,0))</f>
        <v>Snowcountry.eu</v>
      </c>
      <c r="DD78">
        <f>INDEX('Data_Price '!AM$2:AM$1266,MATCH(Data!$DN78,'Data_Price '!$AT$2:$AT$1266,0))</f>
        <v>515.42999999999995</v>
      </c>
      <c r="DE78" t="str">
        <f>INDEX('Data_Price '!AN$2:AN$1266,MATCH(Data!$DN78,'Data_Price '!$AT$2:$AT$1266,0))</f>
        <v>https://tinyurl.com/yalmjg6g</v>
      </c>
      <c r="DF78" t="str">
        <f>INDEX('Data_Price '!AO$2:AO$1266,MATCH(Data!$DN78,'Data_Price '!$AT$2:$AT$1266,0))</f>
        <v>Faction Agent 3.0 Skis</v>
      </c>
      <c r="DG78" t="str">
        <f>INDEX('Data_Price '!AP$2:AP$1266,MATCH(Data!$DN78,'Data_Price '!$AT$2:$AT$1266,0))</f>
        <v>Gorham Bike and Ski</v>
      </c>
      <c r="DH78">
        <f>INDEX('Data_Price '!AQ$2:AQ$1266,MATCH(Data!$DN78,'Data_Price '!$AT$2:$AT$1266,0))</f>
        <v>524.99</v>
      </c>
      <c r="DI78" t="str">
        <f>INDEX('Data_Price '!AR$2:AR$1266,MATCH(Data!$DN78,'Data_Price '!$AT$2:$AT$1266,0))</f>
        <v>https://tinyurl.com/y76x8uyq</v>
      </c>
      <c r="DJ78" s="89" t="str">
        <f t="shared" si="69"/>
        <v>https://tinyurl.com/y7usq8du</v>
      </c>
      <c r="DK78" s="89" t="str">
        <f t="shared" si="70"/>
        <v>https://tinyurl.com/yalmjg6g</v>
      </c>
      <c r="DL78" s="89" t="str">
        <f t="shared" si="71"/>
        <v>https://tinyurl.com/y76x8uyq</v>
      </c>
      <c r="DM78" s="219" t="str">
        <f t="shared" si="72"/>
        <v>Agent 3.0</v>
      </c>
      <c r="DN78" s="89" t="str">
        <f t="shared" si="73"/>
        <v xml:space="preserve"> FactionAgent 3.0172 Unisex</v>
      </c>
      <c r="DO78" s="221" t="s">
        <v>278</v>
      </c>
    </row>
    <row r="79" spans="2:119" ht="15.6" customHeight="1">
      <c r="B79" s="219" t="b">
        <f t="array" ref="B79">IF(OR(ISERROR(K79:P79)),FALSE,TRUE)</f>
        <v>1</v>
      </c>
      <c r="C79" s="43" t="b">
        <f>OR(BR79=Driver!$G$50,Data!BR521=Driver!$H$50)</f>
        <v>1</v>
      </c>
      <c r="D79" s="43" t="b">
        <f>OR(BV79=Driver!$G$51,BV79=Driver!$H$51)</f>
        <v>1</v>
      </c>
      <c r="E79" s="43" t="b">
        <f>AND(BX79&gt;Driver!$F$54,BX79&lt;Driver!$G$54)</f>
        <v>0</v>
      </c>
      <c r="F79" s="43" t="b">
        <f>CL79&gt;Driver!$F$56</f>
        <v>1</v>
      </c>
      <c r="G79" s="43" t="b">
        <f>AND(CB79&gt;Driver!$F$55,CB79&lt;Driver!$G$55)</f>
        <v>0</v>
      </c>
      <c r="H79" s="43" t="b">
        <f t="shared" si="37"/>
        <v>0</v>
      </c>
      <c r="I79" s="43">
        <f t="shared" si="38"/>
        <v>0</v>
      </c>
      <c r="J79" s="43" t="b">
        <f t="array" ref="J79">NOT(OR(($H$9:$H$1273=TRUE)*($I$9:$I$1273&gt;0)*($BT$9:$BT$1273=BT79)*($K$9:$K$1273&gt;K79)))</f>
        <v>1</v>
      </c>
      <c r="K79" s="72">
        <f t="shared" si="39"/>
        <v>0.85363326800359274</v>
      </c>
      <c r="L79" s="72">
        <f t="shared" si="40"/>
        <v>0.95698308666566723</v>
      </c>
      <c r="M79" s="72">
        <f t="shared" si="41"/>
        <v>0.75028344934151836</v>
      </c>
      <c r="N79" s="72">
        <f t="shared" si="42"/>
        <v>0.65376516838012633</v>
      </c>
      <c r="O79" s="72">
        <f t="shared" si="43"/>
        <v>0.67742459389114007</v>
      </c>
      <c r="P79" s="72">
        <f t="shared" si="44"/>
        <v>0.91966058575328868</v>
      </c>
      <c r="Q79" s="72"/>
      <c r="R79" s="72"/>
      <c r="S79" s="72">
        <f t="shared" si="45"/>
        <v>0.50399064830895735</v>
      </c>
      <c r="T79" s="72">
        <f t="shared" si="46"/>
        <v>0.51283026946821142</v>
      </c>
      <c r="U79" s="72">
        <f t="shared" si="47"/>
        <v>0.66074932186904978</v>
      </c>
      <c r="V79" s="72">
        <f t="shared" si="48"/>
        <v>0.51908991791422432</v>
      </c>
      <c r="W79" s="72">
        <f t="shared" si="49"/>
        <v>0.78064137419673751</v>
      </c>
      <c r="X79" s="72">
        <f t="shared" si="50"/>
        <v>4.3016913334332774E-2</v>
      </c>
      <c r="Y79" s="72">
        <f t="shared" si="51"/>
        <v>0.24971655065848161</v>
      </c>
      <c r="Z79" s="72">
        <f t="shared" si="52"/>
        <v>0.34623483161987367</v>
      </c>
      <c r="AA79" s="72">
        <f t="shared" si="53"/>
        <v>0.32257540610885993</v>
      </c>
      <c r="AB79" s="72">
        <f t="shared" si="54"/>
        <v>8.033941424671126E-2</v>
      </c>
      <c r="AC79" s="72"/>
      <c r="AD79" s="72"/>
      <c r="AE79" s="72">
        <f t="shared" si="55"/>
        <v>0.4960093516910426</v>
      </c>
      <c r="AF79" s="72">
        <f t="shared" si="56"/>
        <v>0.48716973053178858</v>
      </c>
      <c r="AG79" s="72">
        <f t="shared" si="57"/>
        <v>0.33925067813095022</v>
      </c>
      <c r="AH79" s="72">
        <f t="shared" si="58"/>
        <v>0.48091008208577574</v>
      </c>
      <c r="AI79" s="72">
        <f t="shared" si="59"/>
        <v>0.21935862580326249</v>
      </c>
      <c r="AJ79" s="72">
        <f>(AV79-Driver!$K$179)/(Driver!$L$179-Driver!$K$179)</f>
        <v>0.2972363226170332</v>
      </c>
      <c r="AK79" s="72">
        <f>(AW79-Driver!$K$180)/(Driver!$L$180-Driver!$K$180)</f>
        <v>0.34685047324981544</v>
      </c>
      <c r="AL79" s="72">
        <f>(AX79-Driver!$K$181)/(Driver!$L$181-Driver!$K$181)</f>
        <v>0.44792259533295387</v>
      </c>
      <c r="AM79" s="72">
        <f>(AY79-Driver!$K$182)/(Driver!$L$182-Driver!$K$182)</f>
        <v>0.12480961498818643</v>
      </c>
      <c r="AN79" s="72">
        <f>(AZ79-Driver!$K$183)/(Driver!$L$183-Driver!$K$183)</f>
        <v>0.33455882352941169</v>
      </c>
      <c r="AO79" s="72"/>
      <c r="AP79" s="72"/>
      <c r="AQ79" s="72">
        <f>(BC79-Driver!$K$188)/(Driver!$L$188-Driver!$K$188)</f>
        <v>0.1239906483089574</v>
      </c>
      <c r="AR79" s="72">
        <f>MIN((BD79-Driver!$K$189)/(Driver!$L$189-Driver!$K$189),100%)</f>
        <v>6.283026946821145E-2</v>
      </c>
      <c r="AS79" s="72">
        <f>(BE79-Driver!$K$190)/(Driver!$L$190-Driver!$K$190)</f>
        <v>0.17074932186904976</v>
      </c>
      <c r="AT79" s="72">
        <f>(BF79-Driver!$K$191)/(Driver!$L$191-Driver!$K$191)</f>
        <v>2.9089917914224297E-2</v>
      </c>
      <c r="AU79" s="72">
        <f>(BG79-Driver!$K$192)/(Driver!$L$192-Driver!$K$192)</f>
        <v>3.0641374196737521E-2</v>
      </c>
      <c r="AV79" s="70">
        <f t="shared" si="60"/>
        <v>6.2559354226020885</v>
      </c>
      <c r="AW79" s="70">
        <f t="shared" si="61"/>
        <v>35.67554464749859</v>
      </c>
      <c r="AX79" s="70">
        <f t="shared" si="62"/>
        <v>5.0313033579965847</v>
      </c>
      <c r="AY79" s="70">
        <f>IFERROR(Driver!$K$19/Data!BH79/Data!BI79*Data!BK79*Data!BL79,"")</f>
        <v>0.15280420834043112</v>
      </c>
      <c r="AZ79" s="70">
        <f t="shared" si="63"/>
        <v>30.491437081161575</v>
      </c>
      <c r="BA79" s="70"/>
      <c r="BB79" s="70"/>
      <c r="BC79" s="70">
        <f t="shared" si="64"/>
        <v>64.314811246859023</v>
      </c>
      <c r="BD79" s="70">
        <f t="shared" si="65"/>
        <v>7.2811904033846044</v>
      </c>
      <c r="BE79" s="70">
        <f t="shared" si="66"/>
        <v>0.17089725085641436</v>
      </c>
      <c r="BF79" s="70">
        <f t="shared" si="67"/>
        <v>3.2855018601718506</v>
      </c>
      <c r="BG79" s="70">
        <f t="shared" si="68"/>
        <v>0.11602778979238756</v>
      </c>
      <c r="BH79" s="67">
        <f>MAX((CE79-Driver!$F$200)/(Driver!$G$200-Driver!$F$200)*$BI$1,1)</f>
        <v>5.0313033579965847</v>
      </c>
      <c r="BI79" s="67">
        <f>MAX($BI$1*(BY79-Driver!$F$201)/(Driver!$G$201-Driver!$F$201),1)</f>
        <v>7.9746835443037973</v>
      </c>
      <c r="BJ79" s="67">
        <f>(CB79-Driver!$F$206)/(Driver!$G$206-Driver!$F$206)*$BI$1</f>
        <v>4.92063492063492</v>
      </c>
      <c r="BK79" s="67">
        <f>(CD79-Driver!$F$203)/(Driver!$G$203-Driver!$F$203)*$BI$1</f>
        <v>4.678899082568809</v>
      </c>
      <c r="BL79" s="67">
        <f>MAX((CR79-Driver!$F$202)/(Driver!$G$202-Driver!$F$202)*$BI$1,1)</f>
        <v>6.5517241379310338</v>
      </c>
      <c r="BM79" s="67">
        <f>MAX((CH79-Driver!$F$204)/(Driver!$G$204-Driver!$F$204)*$BI$1,1)</f>
        <v>5.0854700854700852</v>
      </c>
      <c r="BN79" s="67">
        <f>(CI79-Driver!$F$205)/(Driver!$G$205-Driver!$F$205)*$BI$1</f>
        <v>3.8235294117647056</v>
      </c>
      <c r="BO79" s="67">
        <f>(CK79-Driver!$F$207)/(Driver!$G$207-Driver!$F$207)*$BI$1</f>
        <v>1.6442605997931747</v>
      </c>
      <c r="BP79" s="67">
        <f>(CM79-Driver!$F$208)/(Driver!$G$208-Driver!$F$208)*$BI$1</f>
        <v>1.9</v>
      </c>
      <c r="BQ79" s="67">
        <f>(CL79-Driver!$F$209)/(Driver!$G$209-Driver!$F$209)*$BI$1</f>
        <v>2.96875</v>
      </c>
      <c r="BR79" s="28" t="s">
        <v>155</v>
      </c>
      <c r="BS79" s="8" t="s">
        <v>205</v>
      </c>
      <c r="BT79" s="9" t="s">
        <v>279</v>
      </c>
      <c r="BU79" s="10">
        <v>179</v>
      </c>
      <c r="BV79" s="9" t="s">
        <v>158</v>
      </c>
      <c r="BW79" s="10">
        <v>179</v>
      </c>
      <c r="BX79" s="10">
        <v>177.6</v>
      </c>
      <c r="BY79" s="10">
        <v>134</v>
      </c>
      <c r="BZ79" s="10">
        <v>150</v>
      </c>
      <c r="CA79" s="10">
        <v>126</v>
      </c>
      <c r="CB79" s="10">
        <v>95</v>
      </c>
      <c r="CC79" s="10">
        <v>116</v>
      </c>
      <c r="CD79" s="10">
        <v>19.600000000000001</v>
      </c>
      <c r="CE79" s="10">
        <v>1784</v>
      </c>
      <c r="CF79" s="10">
        <v>1.05</v>
      </c>
      <c r="CG79" s="10">
        <v>1869</v>
      </c>
      <c r="CH79" s="10">
        <v>220</v>
      </c>
      <c r="CI79" s="10">
        <v>98</v>
      </c>
      <c r="CJ79" s="10">
        <v>52</v>
      </c>
      <c r="CK79" s="10">
        <v>269</v>
      </c>
      <c r="CL79" s="10">
        <v>19</v>
      </c>
      <c r="CM79" s="10">
        <v>171</v>
      </c>
      <c r="CN79" s="10">
        <v>0.36499999999999999</v>
      </c>
      <c r="CO79" s="10">
        <v>168</v>
      </c>
      <c r="CP79" s="10">
        <v>107</v>
      </c>
      <c r="CQ79" s="10">
        <v>101</v>
      </c>
      <c r="CR79" s="10">
        <v>8</v>
      </c>
      <c r="CS79" s="10">
        <v>11.3</v>
      </c>
      <c r="CT79" s="9" t="s">
        <v>188</v>
      </c>
      <c r="CU79" s="10"/>
      <c r="CV79" s="10"/>
      <c r="CW79" s="10"/>
      <c r="CX79" t="str">
        <f>INDEX('Data_Price '!AG$2:AG$1266,MATCH(Data!$DN79,'Data_Price '!$AT$2:$AT$1266,0))</f>
        <v>Faction Dictator 2.0 Skis</v>
      </c>
      <c r="CY79" t="str">
        <f>INDEX('Data_Price '!AH$2:AH$1266,MATCH(Data!$DN79,'Data_Price '!$AT$2:$AT$1266,0))</f>
        <v>Gear West Ski &amp; Bike</v>
      </c>
      <c r="CZ79">
        <f>INDEX('Data_Price '!AI$2:AI$1266,MATCH(Data!$DN79,'Data_Price '!$AT$2:$AT$1266,0))</f>
        <v>407.99</v>
      </c>
      <c r="DA79" t="str">
        <f>INDEX('Data_Price '!AJ$2:AJ$1266,MATCH(Data!$DN79,'Data_Price '!$AT$2:$AT$1266,0))</f>
        <v>https://tinyurl.com/y8b8tb92</v>
      </c>
      <c r="DB79" t="str">
        <f>INDEX('Data_Price '!AK$2:AK$1266,MATCH(Data!$DN79,'Data_Price '!$AT$2:$AT$1266,0))</f>
        <v>Faction Dictator 2.0 Skis 2022</v>
      </c>
      <c r="DC79" t="str">
        <f>INDEX('Data_Price '!AL$2:AL$1266,MATCH(Data!$DN79,'Data_Price '!$AT$2:$AT$1266,0))</f>
        <v>Next Adventure</v>
      </c>
      <c r="DD79">
        <f>INDEX('Data_Price '!AM$2:AM$1266,MATCH(Data!$DN79,'Data_Price '!$AT$2:$AT$1266,0))</f>
        <v>623.20000000000005</v>
      </c>
      <c r="DE79" t="str">
        <f>INDEX('Data_Price '!AN$2:AN$1266,MATCH(Data!$DN79,'Data_Price '!$AT$2:$AT$1266,0))</f>
        <v>https://tinyurl.com/ycqofx5s</v>
      </c>
      <c r="DF79" t="str">
        <f>INDEX('Data_Price '!AO$2:AO$1266,MATCH(Data!$DN79,'Data_Price '!$AT$2:$AT$1266,0))</f>
        <v>Brand Faction Chapter 2.0 Snow Ski, 179cm Retail $629</v>
      </c>
      <c r="DG79" t="str">
        <f>INDEX('Data_Price '!AP$2:AP$1266,MATCH(Data!$DN79,'Data_Price '!$AT$2:$AT$1266,0))</f>
        <v>eBay</v>
      </c>
      <c r="DH79">
        <f>INDEX('Data_Price '!AQ$2:AQ$1266,MATCH(Data!$DN79,'Data_Price '!$AT$2:$AT$1266,0))</f>
        <v>439</v>
      </c>
      <c r="DI79" t="str">
        <f>INDEX('Data_Price '!AR$2:AR$1266,MATCH(Data!$DN79,'Data_Price '!$AT$2:$AT$1266,0))</f>
        <v>https://tinyurl.com/ya8gzrcj</v>
      </c>
      <c r="DJ79" s="89" t="str">
        <f t="shared" si="69"/>
        <v>https://tinyurl.com/y8b8tb92</v>
      </c>
      <c r="DK79" s="89" t="str">
        <f t="shared" si="70"/>
        <v>https://tinyurl.com/ycqofx5s</v>
      </c>
      <c r="DL79" s="89" t="str">
        <f t="shared" si="71"/>
        <v>https://tinyurl.com/ya8gzrcj</v>
      </c>
      <c r="DM79" s="219" t="str">
        <f t="shared" si="72"/>
        <v>Dictator FG 2.0</v>
      </c>
      <c r="DN79" s="89" t="str">
        <f t="shared" si="73"/>
        <v xml:space="preserve"> FactionDictator FG 2.0179 Unisex</v>
      </c>
      <c r="DO79" s="221" t="s">
        <v>280</v>
      </c>
    </row>
    <row r="80" spans="2:119" ht="15.6" customHeight="1">
      <c r="B80" s="219" t="b">
        <f t="array" ref="B80">IF(OR(ISERROR(K80:P80)),FALSE,TRUE)</f>
        <v>1</v>
      </c>
      <c r="C80" s="43" t="b">
        <f>OR(BR80=Driver!$G$50,Data!BR818=Driver!$H$50)</f>
        <v>1</v>
      </c>
      <c r="D80" s="43" t="b">
        <f>OR(BV80=Driver!$G$51,BV80=Driver!$H$51)</f>
        <v>1</v>
      </c>
      <c r="E80" s="43" t="b">
        <f>AND(BX80&gt;Driver!$F$54,BX80&lt;Driver!$G$54)</f>
        <v>0</v>
      </c>
      <c r="F80" s="43" t="b">
        <f>CL80&gt;Driver!$F$56</f>
        <v>1</v>
      </c>
      <c r="G80" s="43" t="b">
        <f>AND(CB80&gt;Driver!$F$55,CB80&lt;Driver!$G$55)</f>
        <v>0</v>
      </c>
      <c r="H80" s="43" t="b">
        <f t="shared" si="37"/>
        <v>0</v>
      </c>
      <c r="I80" s="43">
        <f t="shared" si="38"/>
        <v>0</v>
      </c>
      <c r="J80" s="43" t="b">
        <f t="array" ref="J80">NOT(OR(($H$9:$H$1273=TRUE)*($I$9:$I$1273&gt;0)*($BT$9:$BT$1273=BT80)*($K$9:$K$1273&gt;K80)))</f>
        <v>1</v>
      </c>
      <c r="K80" s="72">
        <f t="shared" si="39"/>
        <v>0.86075503059065084</v>
      </c>
      <c r="L80" s="72">
        <f t="shared" si="40"/>
        <v>0.9654433235523</v>
      </c>
      <c r="M80" s="72">
        <f t="shared" si="41"/>
        <v>0.75606673762900156</v>
      </c>
      <c r="N80" s="72">
        <f t="shared" si="42"/>
        <v>0.66135386122778328</v>
      </c>
      <c r="O80" s="72">
        <f t="shared" si="43"/>
        <v>0.64204687701704388</v>
      </c>
      <c r="P80" s="72">
        <f t="shared" si="44"/>
        <v>0.96479947464217752</v>
      </c>
      <c r="Q80" s="72"/>
      <c r="R80" s="72"/>
      <c r="S80" s="72">
        <f t="shared" si="45"/>
        <v>0.46176692411797371</v>
      </c>
      <c r="T80" s="72">
        <f t="shared" si="46"/>
        <v>0.50598206083789621</v>
      </c>
      <c r="U80" s="72">
        <f t="shared" si="47"/>
        <v>0.53799358637273942</v>
      </c>
      <c r="V80" s="72">
        <f t="shared" si="48"/>
        <v>0.56640921821507351</v>
      </c>
      <c r="W80" s="72">
        <f t="shared" si="49"/>
        <v>0.80211234436435119</v>
      </c>
      <c r="X80" s="72">
        <f t="shared" si="50"/>
        <v>3.4556676447699997E-2</v>
      </c>
      <c r="Y80" s="72">
        <f t="shared" si="51"/>
        <v>0.24393326237099844</v>
      </c>
      <c r="Z80" s="72">
        <f t="shared" si="52"/>
        <v>0.33864613877221672</v>
      </c>
      <c r="AA80" s="72">
        <f t="shared" si="53"/>
        <v>0.35795312298295612</v>
      </c>
      <c r="AB80" s="72">
        <f t="shared" si="54"/>
        <v>3.5200525357822476E-2</v>
      </c>
      <c r="AC80" s="72"/>
      <c r="AD80" s="72"/>
      <c r="AE80" s="72">
        <f t="shared" si="55"/>
        <v>0.53823307588202629</v>
      </c>
      <c r="AF80" s="72">
        <f t="shared" si="56"/>
        <v>0.49401793916210379</v>
      </c>
      <c r="AG80" s="72">
        <f t="shared" si="57"/>
        <v>0.46200641362726058</v>
      </c>
      <c r="AH80" s="72">
        <f t="shared" si="58"/>
        <v>0.43359078178492644</v>
      </c>
      <c r="AI80" s="72">
        <f t="shared" si="59"/>
        <v>0.19788765563564875</v>
      </c>
      <c r="AJ80" s="72">
        <f>(AV80-Driver!$K$179)/(Driver!$L$179-Driver!$K$179)</f>
        <v>0.28877608573040042</v>
      </c>
      <c r="AK80" s="72">
        <f>(AW80-Driver!$K$180)/(Driver!$L$180-Driver!$K$180)</f>
        <v>0.30349335694119767</v>
      </c>
      <c r="AL80" s="72">
        <f>(AX80-Driver!$K$181)/(Driver!$L$181-Driver!$K$181)</f>
        <v>0.44033390248529691</v>
      </c>
      <c r="AM80" s="72">
        <f>(AY80-Driver!$K$182)/(Driver!$L$182-Driver!$K$182)</f>
        <v>8.9431898114090261E-2</v>
      </c>
      <c r="AN80" s="72">
        <f>(AZ80-Driver!$K$183)/(Driver!$L$183-Driver!$K$183)</f>
        <v>0.2894199346405229</v>
      </c>
      <c r="AO80" s="72"/>
      <c r="AP80" s="72"/>
      <c r="AQ80" s="72">
        <f>(BC80-Driver!$K$188)/(Driver!$L$188-Driver!$K$188)</f>
        <v>8.1766924117973733E-2</v>
      </c>
      <c r="AR80" s="72">
        <f>MIN((BD80-Driver!$K$189)/(Driver!$L$189-Driver!$K$189),100%)</f>
        <v>5.5982060837896246E-2</v>
      </c>
      <c r="AS80" s="72">
        <f>(BE80-Driver!$K$190)/(Driver!$L$190-Driver!$K$190)</f>
        <v>4.7993586372739414E-2</v>
      </c>
      <c r="AT80" s="72">
        <f>(BF80-Driver!$K$191)/(Driver!$L$191-Driver!$K$191)</f>
        <v>7.6409218215073557E-2</v>
      </c>
      <c r="AU80" s="72">
        <f>(BG80-Driver!$K$192)/(Driver!$L$192-Driver!$K$192)</f>
        <v>5.2112344364351249E-2</v>
      </c>
      <c r="AV80" s="70">
        <f t="shared" si="60"/>
        <v>6.0778727445394107</v>
      </c>
      <c r="AW80" s="70">
        <f t="shared" si="61"/>
        <v>31.450009480090955</v>
      </c>
      <c r="AX80" s="70">
        <f t="shared" si="62"/>
        <v>4.9630051223676723</v>
      </c>
      <c r="AY80" s="70">
        <f>IFERROR(Driver!$K$19/Data!BH80/Data!BI80*Data!BK80*Data!BL80,"")</f>
        <v>0.1094913271946167</v>
      </c>
      <c r="AZ80" s="70">
        <f t="shared" si="63"/>
        <v>26.377513030528668</v>
      </c>
      <c r="BA80" s="70"/>
      <c r="BB80" s="70"/>
      <c r="BC80" s="70">
        <f t="shared" si="64"/>
        <v>42.413071974427403</v>
      </c>
      <c r="BD80" s="70">
        <f t="shared" si="65"/>
        <v>6.6751360739093775</v>
      </c>
      <c r="BE80" s="70">
        <f t="shared" si="66"/>
        <v>4.8163413601641905E-2</v>
      </c>
      <c r="BF80" s="70">
        <f t="shared" si="67"/>
        <v>8.629884392253544</v>
      </c>
      <c r="BG80" s="70">
        <f t="shared" si="68"/>
        <v>0.19733057984518351</v>
      </c>
      <c r="BH80" s="67">
        <f>MAX((CE80-Driver!$F$200)/(Driver!$G$200-Driver!$F$200)*$BI$1,1)</f>
        <v>4.9630051223676723</v>
      </c>
      <c r="BI80" s="67">
        <f>MAX($BI$1*(BY80-Driver!$F$201)/(Driver!$G$201-Driver!$F$201),1)</f>
        <v>6.8987341772151902</v>
      </c>
      <c r="BJ80" s="67">
        <f>(CB80-Driver!$F$206)/(Driver!$G$206-Driver!$F$206)*$BI$1</f>
        <v>5.0793650793650791</v>
      </c>
      <c r="BK80" s="67">
        <f>(CD80-Driver!$F$203)/(Driver!$G$203-Driver!$F$203)*$BI$1</f>
        <v>3.623853211009175</v>
      </c>
      <c r="BL80" s="67">
        <f>MAX((CR80-Driver!$F$202)/(Driver!$G$202-Driver!$F$202)*$BI$1,1)</f>
        <v>5.1724137931034484</v>
      </c>
      <c r="BM80" s="67">
        <f>MAX((CH80-Driver!$F$204)/(Driver!$G$204-Driver!$F$204)*$BI$1,1)</f>
        <v>4.7863247863247862</v>
      </c>
      <c r="BN80" s="67">
        <f>(CI80-Driver!$F$205)/(Driver!$G$205-Driver!$F$205)*$BI$1</f>
        <v>3.8235294117647056</v>
      </c>
      <c r="BO80" s="67">
        <f>(CK80-Driver!$F$207)/(Driver!$G$207-Driver!$F$207)*$BI$1</f>
        <v>2.0372285418821097</v>
      </c>
      <c r="BP80" s="67">
        <f>(CM80-Driver!$F$208)/(Driver!$G$208-Driver!$F$208)*$BI$1</f>
        <v>3.0222222222222221</v>
      </c>
      <c r="BQ80" s="67">
        <f>(CL80-Driver!$F$209)/(Driver!$G$209-Driver!$F$209)*$BI$1</f>
        <v>4.6875</v>
      </c>
      <c r="BR80" s="28" t="s">
        <v>155</v>
      </c>
      <c r="BS80" s="8" t="s">
        <v>215</v>
      </c>
      <c r="BT80" s="9" t="s">
        <v>281</v>
      </c>
      <c r="BU80" s="10">
        <v>176</v>
      </c>
      <c r="BV80" s="9" t="s">
        <v>158</v>
      </c>
      <c r="BW80" s="10">
        <v>176</v>
      </c>
      <c r="BX80" s="10">
        <v>174.9</v>
      </c>
      <c r="BY80" s="10">
        <v>117</v>
      </c>
      <c r="BZ80" s="10">
        <v>145</v>
      </c>
      <c r="CA80" s="10">
        <v>129</v>
      </c>
      <c r="CB80" s="10">
        <v>96</v>
      </c>
      <c r="CC80" s="10">
        <v>117</v>
      </c>
      <c r="CD80" s="10">
        <v>17.3</v>
      </c>
      <c r="CE80" s="10">
        <v>1772</v>
      </c>
      <c r="CF80" s="10">
        <v>1.05</v>
      </c>
      <c r="CG80" s="10">
        <v>1865</v>
      </c>
      <c r="CH80" s="10">
        <v>213</v>
      </c>
      <c r="CI80" s="10">
        <v>98</v>
      </c>
      <c r="CJ80" s="10">
        <v>47</v>
      </c>
      <c r="CK80" s="10">
        <v>307</v>
      </c>
      <c r="CL80" s="10">
        <v>30</v>
      </c>
      <c r="CM80" s="10">
        <v>272</v>
      </c>
      <c r="CN80" s="10">
        <v>0.64500000000000002</v>
      </c>
      <c r="CO80" s="10">
        <v>136</v>
      </c>
      <c r="CP80" s="10">
        <v>168</v>
      </c>
      <c r="CQ80" s="10">
        <v>171</v>
      </c>
      <c r="CR80" s="10">
        <v>4</v>
      </c>
      <c r="CS80" s="10">
        <v>7.9</v>
      </c>
      <c r="CT80" s="9" t="s">
        <v>188</v>
      </c>
      <c r="CU80" s="9" t="s">
        <v>185</v>
      </c>
      <c r="CV80" s="10"/>
      <c r="CW80" s="10"/>
      <c r="CX80" t="str">
        <f>INDEX('Data_Price '!AG$2:AG$1266,MATCH(Data!$DN80,'Data_Price '!$AT$2:$AT$1266,0))</f>
        <v>Liberty Skis Origin 96 Ski</v>
      </c>
      <c r="CY80" t="str">
        <f>INDEX('Data_Price '!AH$2:AH$1266,MATCH(Data!$DN80,'Data_Price '!$AT$2:$AT$1266,0))</f>
        <v>Powder7 Ski Shop</v>
      </c>
      <c r="CZ80">
        <f>INDEX('Data_Price '!AI$2:AI$1266,MATCH(Data!$DN80,'Data_Price '!$AT$2:$AT$1266,0))</f>
        <v>599.99</v>
      </c>
      <c r="DA80" t="str">
        <f>INDEX('Data_Price '!AJ$2:AJ$1266,MATCH(Data!$DN80,'Data_Price '!$AT$2:$AT$1266,0))</f>
        <v>https://tinyurl.com/y88fuqpu</v>
      </c>
      <c r="DB80" t="str">
        <f>INDEX('Data_Price '!AK$2:AK$1266,MATCH(Data!$DN80,'Data_Price '!$AT$2:$AT$1266,0))</f>
        <v>'22 Liberty Origin 96 Skis 176cm</v>
      </c>
      <c r="DC80" t="str">
        <f>INDEX('Data_Price '!AL$2:AL$1266,MATCH(Data!$DN80,'Data_Price '!$AT$2:$AT$1266,0))</f>
        <v>Al's Ski Equipment Barn</v>
      </c>
      <c r="DD80">
        <f>INDEX('Data_Price '!AM$2:AM$1266,MATCH(Data!$DN80,'Data_Price '!$AT$2:$AT$1266,0))</f>
        <v>629</v>
      </c>
      <c r="DE80" t="str">
        <f>INDEX('Data_Price '!AN$2:AN$1266,MATCH(Data!$DN80,'Data_Price '!$AT$2:$AT$1266,0))</f>
        <v>https://tinyurl.com/ybaqulrh</v>
      </c>
      <c r="DF80" t="str">
        <f>INDEX('Data_Price '!AO$2:AO$1266,MATCH(Data!$DN80,'Data_Price '!$AT$2:$AT$1266,0))</f>
        <v>Liberty Skis Origin 96 Ski</v>
      </c>
      <c r="DG80" t="str">
        <f>INDEX('Data_Price '!AP$2:AP$1266,MATCH(Data!$DN80,'Data_Price '!$AT$2:$AT$1266,0))</f>
        <v>BobWards.com</v>
      </c>
      <c r="DH80">
        <f>INDEX('Data_Price '!AQ$2:AQ$1266,MATCH(Data!$DN80,'Data_Price '!$AT$2:$AT$1266,0))</f>
        <v>629.99</v>
      </c>
      <c r="DI80" t="str">
        <f>INDEX('Data_Price '!AR$2:AR$1266,MATCH(Data!$DN80,'Data_Price '!$AT$2:$AT$1266,0))</f>
        <v>https://tinyurl.com/ybchh24f</v>
      </c>
      <c r="DJ80" s="89" t="str">
        <f t="shared" si="69"/>
        <v>https://tinyurl.com/y88fuqpu</v>
      </c>
      <c r="DK80" s="89" t="str">
        <f t="shared" si="70"/>
        <v>https://tinyurl.com/ybaqulrh</v>
      </c>
      <c r="DL80" s="89" t="str">
        <f t="shared" si="71"/>
        <v>https://tinyurl.com/ybchh24f</v>
      </c>
      <c r="DM80" s="219" t="str">
        <f t="shared" si="72"/>
        <v>Origin 96</v>
      </c>
      <c r="DN80" s="89" t="str">
        <f t="shared" si="73"/>
        <v xml:space="preserve"> LibertyOrigin 96176 Unisex</v>
      </c>
      <c r="DO80" s="221" t="s">
        <v>282</v>
      </c>
    </row>
    <row r="81" spans="2:119" ht="15.6" customHeight="1">
      <c r="B81" s="219" t="b">
        <f t="array" ref="B81">IF(OR(ISERROR(K81:P81)),FALSE,TRUE)</f>
        <v>1</v>
      </c>
      <c r="C81" s="43" t="b">
        <f>OR(BR81=Driver!$G$50,Data!BR337=Driver!$H$50)</f>
        <v>1</v>
      </c>
      <c r="D81" s="43" t="b">
        <f>OR(BV81=Driver!$G$51,BV81=Driver!$H$51)</f>
        <v>1</v>
      </c>
      <c r="E81" s="43" t="b">
        <f>AND(BX81&gt;Driver!$F$54,BX81&lt;Driver!$G$54)</f>
        <v>1</v>
      </c>
      <c r="F81" s="43" t="b">
        <f>CL81&gt;Driver!$F$56</f>
        <v>1</v>
      </c>
      <c r="G81" s="43" t="b">
        <f>AND(CB81&gt;Driver!$F$55,CB81&lt;Driver!$G$55)</f>
        <v>1</v>
      </c>
      <c r="H81" s="43" t="b">
        <f t="shared" si="37"/>
        <v>1</v>
      </c>
      <c r="I81" s="43">
        <f t="shared" si="38"/>
        <v>2</v>
      </c>
      <c r="J81" s="43" t="b">
        <f t="array" ref="J81">NOT(OR(($H$9:$H$1273=TRUE)*($I$9:$I$1273&gt;0)*($BT$9:$BT$1273=BT81)*($K$9:$K$1273&gt;K81)))</f>
        <v>1</v>
      </c>
      <c r="K81" s="72">
        <f t="shared" si="39"/>
        <v>0.89691305657999665</v>
      </c>
      <c r="L81" s="72">
        <f t="shared" si="40"/>
        <v>0.96318726038253122</v>
      </c>
      <c r="M81" s="72">
        <f t="shared" si="41"/>
        <v>0.83063885277746208</v>
      </c>
      <c r="N81" s="72">
        <f t="shared" si="42"/>
        <v>0.77644903608391425</v>
      </c>
      <c r="O81" s="72">
        <f t="shared" si="43"/>
        <v>0.71895163741352519</v>
      </c>
      <c r="P81" s="72">
        <f t="shared" si="44"/>
        <v>0.99651588483494669</v>
      </c>
      <c r="Q81" s="72"/>
      <c r="R81" s="72"/>
      <c r="S81" s="72">
        <f t="shared" si="45"/>
        <v>0.45748598134926621</v>
      </c>
      <c r="T81" s="72">
        <f t="shared" si="46"/>
        <v>0.46027604292927737</v>
      </c>
      <c r="U81" s="72">
        <f t="shared" si="47"/>
        <v>0.64168965872897599</v>
      </c>
      <c r="V81" s="72">
        <f t="shared" si="48"/>
        <v>0.53600541466178242</v>
      </c>
      <c r="W81" s="72">
        <f t="shared" si="49"/>
        <v>0.80432002022244686</v>
      </c>
      <c r="X81" s="72">
        <f t="shared" si="50"/>
        <v>3.6812739617468782E-2</v>
      </c>
      <c r="Y81" s="72">
        <f t="shared" si="51"/>
        <v>0.16936114722253795</v>
      </c>
      <c r="Z81" s="72">
        <f t="shared" si="52"/>
        <v>0.2235509639160857</v>
      </c>
      <c r="AA81" s="72">
        <f t="shared" si="53"/>
        <v>0.28104836258647481</v>
      </c>
      <c r="AB81" s="72">
        <f t="shared" si="54"/>
        <v>3.4841151650533697E-3</v>
      </c>
      <c r="AC81" s="72"/>
      <c r="AD81" s="72"/>
      <c r="AE81" s="72">
        <f t="shared" si="55"/>
        <v>0.54251401865073379</v>
      </c>
      <c r="AF81" s="72">
        <f t="shared" si="56"/>
        <v>0.53972395707072263</v>
      </c>
      <c r="AG81" s="72">
        <f t="shared" si="57"/>
        <v>0.35831034127102401</v>
      </c>
      <c r="AH81" s="72">
        <f t="shared" si="58"/>
        <v>0.46399458533821758</v>
      </c>
      <c r="AI81" s="72">
        <f t="shared" si="59"/>
        <v>0.19567997977755311</v>
      </c>
      <c r="AJ81" s="72">
        <f>(AV81-Driver!$K$179)/(Driver!$L$179-Driver!$K$179)</f>
        <v>0.29103214890016921</v>
      </c>
      <c r="AK81" s="72">
        <f>(AW81-Driver!$K$180)/(Driver!$L$180-Driver!$K$180)</f>
        <v>0.25765462133511696</v>
      </c>
      <c r="AL81" s="72">
        <f>(AX81-Driver!$K$181)/(Driver!$L$181-Driver!$K$181)</f>
        <v>0.32523872762916589</v>
      </c>
      <c r="AM81" s="72">
        <f>(AY81-Driver!$K$182)/(Driver!$L$182-Driver!$K$182)</f>
        <v>0.16633665851057153</v>
      </c>
      <c r="AN81" s="72">
        <f>(AZ81-Driver!$K$183)/(Driver!$L$183-Driver!$K$183)</f>
        <v>0.25073529411764706</v>
      </c>
      <c r="AO81" s="72"/>
      <c r="AP81" s="72"/>
      <c r="AQ81" s="72">
        <f>(BC81-Driver!$K$188)/(Driver!$L$188-Driver!$K$188)</f>
        <v>7.7485981349266236E-2</v>
      </c>
      <c r="AR81" s="72">
        <f>MIN((BD81-Driver!$K$189)/(Driver!$L$189-Driver!$K$189),100%)</f>
        <v>1.0276042929277401E-2</v>
      </c>
      <c r="AS81" s="72">
        <f>(BE81-Driver!$K$190)/(Driver!$L$190-Driver!$K$190)</f>
        <v>0.15168965872897597</v>
      </c>
      <c r="AT81" s="72">
        <f>(BF81-Driver!$K$191)/(Driver!$L$191-Driver!$K$191)</f>
        <v>4.6005414661782457E-2</v>
      </c>
      <c r="AU81" s="72">
        <f>(BG81-Driver!$K$192)/(Driver!$L$192-Driver!$K$192)</f>
        <v>5.4320020222446898E-2</v>
      </c>
      <c r="AV81" s="70">
        <f t="shared" si="60"/>
        <v>6.1253561253561255</v>
      </c>
      <c r="AW81" s="70">
        <f t="shared" si="61"/>
        <v>26.982618522761634</v>
      </c>
      <c r="AX81" s="70">
        <f t="shared" si="62"/>
        <v>3.9271485486624931</v>
      </c>
      <c r="AY81" s="70">
        <f>IFERROR(Driver!$K$19/Data!BH81/Data!BI81*Data!BK81*Data!BL81,"")</f>
        <v>0.20364570008573699</v>
      </c>
      <c r="AZ81" s="70">
        <f t="shared" si="63"/>
        <v>22.851824274013403</v>
      </c>
      <c r="BA81" s="70"/>
      <c r="BB81" s="70"/>
      <c r="BC81" s="70">
        <f t="shared" si="64"/>
        <v>40.19251719966752</v>
      </c>
      <c r="BD81" s="70">
        <f t="shared" si="65"/>
        <v>2.6302344752681344</v>
      </c>
      <c r="BE81" s="70">
        <f t="shared" si="66"/>
        <v>0.15184098774571911</v>
      </c>
      <c r="BF81" s="70">
        <f t="shared" si="67"/>
        <v>5.1959883797181261</v>
      </c>
      <c r="BG81" s="70">
        <f t="shared" si="68"/>
        <v>0.20569024898887761</v>
      </c>
      <c r="BH81" s="67">
        <f>MAX((CE81-Driver!$F$200)/(Driver!$G$200-Driver!$F$200)*$BI$1,1)</f>
        <v>3.9271485486624931</v>
      </c>
      <c r="BI81" s="67">
        <f>MAX($BI$1*(BY81-Driver!$F$201)/(Driver!$G$201-Driver!$F$201),1)</f>
        <v>6.2658227848101262</v>
      </c>
      <c r="BJ81" s="67">
        <f>(CB81-Driver!$F$206)/(Driver!$G$206-Driver!$F$206)*$BI$1</f>
        <v>6.6666666666666661</v>
      </c>
      <c r="BK81" s="67">
        <f>(CD81-Driver!$F$203)/(Driver!$G$203-Driver!$F$203)*$BI$1</f>
        <v>4.5412844036697253</v>
      </c>
      <c r="BL81" s="67">
        <f>MAX((CR81-Driver!$F$202)/(Driver!$G$202-Driver!$F$202)*$BI$1,1)</f>
        <v>5.5172413793103452</v>
      </c>
      <c r="BM81" s="67">
        <f>MAX((CH81-Driver!$F$204)/(Driver!$G$204-Driver!$F$204)*$BI$1,1)</f>
        <v>3.6752136752136755</v>
      </c>
      <c r="BN81" s="67">
        <f>(CI81-Driver!$F$205)/(Driver!$G$205-Driver!$F$205)*$BI$1</f>
        <v>3.6470588235294117</v>
      </c>
      <c r="BO81" s="67">
        <f>(CK81-Driver!$F$207)/(Driver!$G$207-Driver!$F$207)*$BI$1</f>
        <v>1.5615305067218201</v>
      </c>
      <c r="BP81" s="67">
        <f>(CM81-Driver!$F$208)/(Driver!$G$208-Driver!$F$208)*$BI$1</f>
        <v>2.2666666666666666</v>
      </c>
      <c r="BQ81" s="67">
        <f>(CL81-Driver!$F$209)/(Driver!$G$209-Driver!$F$209)*$BI$1</f>
        <v>2.96875</v>
      </c>
      <c r="BR81" s="28" t="s">
        <v>155</v>
      </c>
      <c r="BS81" s="8" t="s">
        <v>218</v>
      </c>
      <c r="BT81" s="9" t="s">
        <v>250</v>
      </c>
      <c r="BU81" s="10">
        <v>155</v>
      </c>
      <c r="BV81" s="9" t="s">
        <v>158</v>
      </c>
      <c r="BW81" s="10">
        <v>155</v>
      </c>
      <c r="BX81" s="10">
        <v>154</v>
      </c>
      <c r="BY81" s="10">
        <v>107</v>
      </c>
      <c r="BZ81" s="10">
        <v>119</v>
      </c>
      <c r="CA81" s="10">
        <v>129</v>
      </c>
      <c r="CB81" s="10">
        <v>106</v>
      </c>
      <c r="CC81" s="10">
        <v>116</v>
      </c>
      <c r="CD81" s="10">
        <v>19.3</v>
      </c>
      <c r="CE81" s="10">
        <v>1590</v>
      </c>
      <c r="CF81" s="10">
        <v>1.0900000000000001</v>
      </c>
      <c r="CG81" s="10">
        <v>1730</v>
      </c>
      <c r="CH81" s="10">
        <v>187</v>
      </c>
      <c r="CI81" s="10">
        <v>95</v>
      </c>
      <c r="CJ81" s="10">
        <v>39</v>
      </c>
      <c r="CK81" s="10">
        <v>261</v>
      </c>
      <c r="CL81" s="10">
        <v>19</v>
      </c>
      <c r="CM81" s="10">
        <v>204</v>
      </c>
      <c r="CN81" s="10">
        <v>0.49</v>
      </c>
      <c r="CO81" s="10">
        <v>188</v>
      </c>
      <c r="CP81" s="10">
        <v>165</v>
      </c>
      <c r="CQ81" s="10">
        <v>73</v>
      </c>
      <c r="CR81" s="10">
        <v>5</v>
      </c>
      <c r="CS81" s="10">
        <v>11.5</v>
      </c>
      <c r="CT81" s="9" t="s">
        <v>169</v>
      </c>
      <c r="CU81" s="9" t="s">
        <v>185</v>
      </c>
      <c r="CV81" s="10"/>
      <c r="CW81" s="10"/>
      <c r="CX81" t="str">
        <f>INDEX('Data_Price '!AG$2:AG$1266,MATCH(Data!$DN81,'Data_Price '!$AT$2:$AT$1266,0))</f>
        <v>DPS Pagoda 106 C2 Ski 155 / Purple</v>
      </c>
      <c r="CY81" t="str">
        <f>INDEX('Data_Price '!AH$2:AH$1266,MATCH(Data!$DN81,'Data_Price '!$AT$2:$AT$1266,0))</f>
        <v>Cripple Creek Backcountry</v>
      </c>
      <c r="CZ81">
        <f>INDEX('Data_Price '!AI$2:AI$1266,MATCH(Data!$DN81,'Data_Price '!$AT$2:$AT$1266,0))</f>
        <v>1029</v>
      </c>
      <c r="DA81" t="str">
        <f>INDEX('Data_Price '!AJ$2:AJ$1266,MATCH(Data!$DN81,'Data_Price '!$AT$2:$AT$1266,0))</f>
        <v>https://tinyurl.com/ycjk8k5q</v>
      </c>
      <c r="DB81" t="str">
        <f>INDEX('Data_Price '!AK$2:AK$1266,MATCH(Data!$DN81,'Data_Price '!$AT$2:$AT$1266,0))</f>
        <v>DPS Pagoda Tour 106 C2 155cm</v>
      </c>
      <c r="DC81" t="str">
        <f>INDEX('Data_Price '!AL$2:AL$1266,MATCH(Data!$DN81,'Data_Price '!$AT$2:$AT$1266,0))</f>
        <v>REI</v>
      </c>
      <c r="DD81">
        <f>INDEX('Data_Price '!AM$2:AM$1266,MATCH(Data!$DN81,'Data_Price '!$AT$2:$AT$1266,0))</f>
        <v>1038.93</v>
      </c>
      <c r="DE81" t="str">
        <f>INDEX('Data_Price '!AN$2:AN$1266,MATCH(Data!$DN81,'Data_Price '!$AT$2:$AT$1266,0))</f>
        <v>https://tinyurl.com/yczaryvb</v>
      </c>
      <c r="DF81" t="str">
        <f>INDEX('Data_Price '!AO$2:AO$1266,MATCH(Data!$DN81,'Data_Price '!$AT$2:$AT$1266,0))</f>
        <v>DPS Pagoda Tour 106 C2 155cm</v>
      </c>
      <c r="DG81" t="str">
        <f>INDEX('Data_Price '!AP$2:AP$1266,MATCH(Data!$DN81,'Data_Price '!$AT$2:$AT$1266,0))</f>
        <v>Backcountry.com</v>
      </c>
      <c r="DH81">
        <f>INDEX('Data_Price '!AQ$2:AQ$1266,MATCH(Data!$DN81,'Data_Price '!$AT$2:$AT$1266,0))</f>
        <v>1039.2</v>
      </c>
      <c r="DI81" t="str">
        <f>INDEX('Data_Price '!AR$2:AR$1266,MATCH(Data!$DN81,'Data_Price '!$AT$2:$AT$1266,0))</f>
        <v>https://tinyurl.com/yawt5vu5</v>
      </c>
      <c r="DJ81" s="89" t="str">
        <f t="shared" si="69"/>
        <v>https://tinyurl.com/ycjk8k5q</v>
      </c>
      <c r="DK81" s="89" t="str">
        <f t="shared" si="70"/>
        <v>https://tinyurl.com/yczaryvb</v>
      </c>
      <c r="DL81" s="89" t="str">
        <f t="shared" si="71"/>
        <v>https://tinyurl.com/yawt5vu5</v>
      </c>
      <c r="DM81" s="219" t="str">
        <f t="shared" si="72"/>
        <v>Pagoda 106 C2</v>
      </c>
      <c r="DN81" s="89" t="str">
        <f t="shared" si="73"/>
        <v xml:space="preserve"> DPSPagoda 106 C2155 Unisex</v>
      </c>
      <c r="DO81" s="221" t="s">
        <v>251</v>
      </c>
    </row>
    <row r="82" spans="2:119" ht="15.6" customHeight="1">
      <c r="B82" s="219" t="b">
        <f t="array" ref="B82">IF(OR(ISERROR(K82:P82)),FALSE,TRUE)</f>
        <v>1</v>
      </c>
      <c r="C82" s="43" t="b">
        <f>OR(BR82=Driver!$G$50,Data!BR1071=Driver!$H$50)</f>
        <v>1</v>
      </c>
      <c r="D82" s="43" t="b">
        <f>OR(BV82=Driver!$G$51,BV82=Driver!$H$51)</f>
        <v>1</v>
      </c>
      <c r="E82" s="43" t="b">
        <f>AND(BX82&gt;Driver!$F$54,BX82&lt;Driver!$G$54)</f>
        <v>0</v>
      </c>
      <c r="F82" s="43" t="b">
        <f>CL82&gt;Driver!$F$56</f>
        <v>1</v>
      </c>
      <c r="G82" s="43" t="b">
        <f>AND(CB82&gt;Driver!$F$55,CB82&lt;Driver!$G$55)</f>
        <v>0</v>
      </c>
      <c r="H82" s="43" t="b">
        <f t="shared" si="37"/>
        <v>0</v>
      </c>
      <c r="I82" s="43">
        <f t="shared" si="38"/>
        <v>0</v>
      </c>
      <c r="J82" s="43" t="b">
        <f t="array" ref="J82">NOT(OR(($H$9:$H$1273=TRUE)*($I$9:$I$1273&gt;0)*($BT$9:$BT$1273=BT82)*($K$9:$K$1273&gt;K82)))</f>
        <v>1</v>
      </c>
      <c r="K82" s="72">
        <f t="shared" si="39"/>
        <v>0.84814505673781893</v>
      </c>
      <c r="L82" s="72">
        <f t="shared" si="40"/>
        <v>0.93939915489423931</v>
      </c>
      <c r="M82" s="72">
        <f t="shared" si="41"/>
        <v>0.75689095858139843</v>
      </c>
      <c r="N82" s="72">
        <f t="shared" si="42"/>
        <v>0.66704538086352605</v>
      </c>
      <c r="O82" s="72">
        <f t="shared" si="43"/>
        <v>0.63846037317966831</v>
      </c>
      <c r="P82" s="72">
        <f t="shared" si="44"/>
        <v>0.96516712170100105</v>
      </c>
      <c r="Q82" s="72"/>
      <c r="R82" s="72"/>
      <c r="S82" s="72">
        <f t="shared" si="45"/>
        <v>0.44752162672635032</v>
      </c>
      <c r="T82" s="72">
        <f t="shared" si="46"/>
        <v>0.56014840061535964</v>
      </c>
      <c r="U82" s="72">
        <f t="shared" si="47"/>
        <v>0.90966796329013422</v>
      </c>
      <c r="V82" s="72">
        <f t="shared" si="48"/>
        <v>0.52004050974765803</v>
      </c>
      <c r="W82" s="72">
        <f t="shared" si="49"/>
        <v>0.7742966135899072</v>
      </c>
      <c r="X82" s="72">
        <f t="shared" si="50"/>
        <v>6.0600845105760637E-2</v>
      </c>
      <c r="Y82" s="72">
        <f t="shared" si="51"/>
        <v>0.24310904141860154</v>
      </c>
      <c r="Z82" s="72">
        <f t="shared" si="52"/>
        <v>0.33295461913647395</v>
      </c>
      <c r="AA82" s="72">
        <f t="shared" si="53"/>
        <v>0.36153962682033169</v>
      </c>
      <c r="AB82" s="72">
        <f t="shared" si="54"/>
        <v>3.4832878298998948E-2</v>
      </c>
      <c r="AC82" s="72"/>
      <c r="AD82" s="72"/>
      <c r="AE82" s="72">
        <f t="shared" si="55"/>
        <v>0.55247837327364968</v>
      </c>
      <c r="AF82" s="72">
        <f t="shared" si="56"/>
        <v>0.43985159938464041</v>
      </c>
      <c r="AG82" s="72">
        <f t="shared" si="57"/>
        <v>9.0332036709865782E-2</v>
      </c>
      <c r="AH82" s="72">
        <f t="shared" si="58"/>
        <v>0.47995949025234197</v>
      </c>
      <c r="AI82" s="72">
        <f t="shared" si="59"/>
        <v>0.22570338641009283</v>
      </c>
      <c r="AJ82" s="72">
        <f>(AV82-Driver!$K$179)/(Driver!$L$179-Driver!$K$179)</f>
        <v>0.19361856417693979</v>
      </c>
      <c r="AK82" s="72">
        <f>(AW82-Driver!$K$180)/(Driver!$L$180-Driver!$K$180)</f>
        <v>0.3025789023660122</v>
      </c>
      <c r="AL82" s="72">
        <f>(AX82-Driver!$K$181)/(Driver!$L$181-Driver!$K$181)</f>
        <v>0.43464238284955414</v>
      </c>
      <c r="AM82" s="72">
        <f>(AY82-Driver!$K$182)/(Driver!$L$182-Driver!$K$182)</f>
        <v>8.584539427671467E-2</v>
      </c>
      <c r="AN82" s="72">
        <f>(AZ82-Driver!$K$183)/(Driver!$L$183-Driver!$K$183)</f>
        <v>0.28905228758169937</v>
      </c>
      <c r="AO82" s="72"/>
      <c r="AP82" s="72"/>
      <c r="AQ82" s="72">
        <f>(BC82-Driver!$K$188)/(Driver!$L$188-Driver!$K$188)</f>
        <v>6.7521626726350328E-2</v>
      </c>
      <c r="AR82" s="72">
        <f>MIN((BD82-Driver!$K$189)/(Driver!$L$189-Driver!$K$189),100%)</f>
        <v>0.11014840061535962</v>
      </c>
      <c r="AS82" s="72">
        <f>(BE82-Driver!$K$190)/(Driver!$L$190-Driver!$K$190)</f>
        <v>0.41966796329013423</v>
      </c>
      <c r="AT82" s="72">
        <f>(BF82-Driver!$K$191)/(Driver!$L$191-Driver!$K$191)</f>
        <v>3.0040509747658019E-2</v>
      </c>
      <c r="AU82" s="72">
        <f>(BG82-Driver!$K$192)/(Driver!$L$192-Driver!$K$192)</f>
        <v>2.4296613589907166E-2</v>
      </c>
      <c r="AV82" s="70">
        <f t="shared" si="60"/>
        <v>4.0750915750915748</v>
      </c>
      <c r="AW82" s="70">
        <f t="shared" si="61"/>
        <v>31.360887778847303</v>
      </c>
      <c r="AX82" s="70">
        <f t="shared" si="62"/>
        <v>4.9117814456459872</v>
      </c>
      <c r="AY82" s="70">
        <f>IFERROR(Driver!$K$19/Data!BH82/Data!BI82*Data!BK82*Data!BL82,"")</f>
        <v>0.10510037638820673</v>
      </c>
      <c r="AZ82" s="70">
        <f t="shared" si="63"/>
        <v>26.34400595681311</v>
      </c>
      <c r="BA82" s="70"/>
      <c r="BB82" s="70"/>
      <c r="BC82" s="70">
        <f t="shared" si="64"/>
        <v>35.023937185691523</v>
      </c>
      <c r="BD82" s="70">
        <f t="shared" si="65"/>
        <v>11.468761167140062</v>
      </c>
      <c r="BE82" s="70">
        <f t="shared" si="66"/>
        <v>0.41977148799356795</v>
      </c>
      <c r="BF82" s="70">
        <f t="shared" si="67"/>
        <v>3.392864529472595</v>
      </c>
      <c r="BG82" s="70">
        <f t="shared" si="68"/>
        <v>9.2002478615230379E-2</v>
      </c>
      <c r="BH82" s="67">
        <f>MAX((CE82-Driver!$F$200)/(Driver!$G$200-Driver!$F$200)*$BI$1,1)</f>
        <v>4.9117814456459872</v>
      </c>
      <c r="BI82" s="67">
        <f>MAX($BI$1*(BY82-Driver!$F$201)/(Driver!$G$201-Driver!$F$201),1)</f>
        <v>7.7215189873417724</v>
      </c>
      <c r="BJ82" s="67">
        <f>(CB82-Driver!$F$206)/(Driver!$G$206-Driver!$F$206)*$BI$1</f>
        <v>4.2857142857142856</v>
      </c>
      <c r="BK82" s="67">
        <f>(CD82-Driver!$F$203)/(Driver!$G$203-Driver!$F$203)*$BI$1</f>
        <v>2.7522935779816518</v>
      </c>
      <c r="BL82" s="67">
        <f>MAX((CR82-Driver!$F$202)/(Driver!$G$202-Driver!$F$202)*$BI$1,1)</f>
        <v>7.2413793103448274</v>
      </c>
      <c r="BM82" s="67">
        <f>MAX((CH82-Driver!$F$204)/(Driver!$G$204-Driver!$F$204)*$BI$1,1)</f>
        <v>3.8034188034188032</v>
      </c>
      <c r="BN82" s="67">
        <f>(CI82-Driver!$F$205)/(Driver!$G$205-Driver!$F$205)*$BI$1</f>
        <v>3.4117647058823533</v>
      </c>
      <c r="BO82" s="67">
        <f>(CK82-Driver!$F$207)/(Driver!$G$207-Driver!$F$207)*$BI$1</f>
        <v>1.5201654601861427</v>
      </c>
      <c r="BP82" s="67">
        <f>(CM82-Driver!$F$208)/(Driver!$G$208-Driver!$F$208)*$BI$1</f>
        <v>1.4333333333333333</v>
      </c>
      <c r="BQ82" s="67">
        <f>(CL82-Driver!$F$209)/(Driver!$G$209-Driver!$F$209)*$BI$1</f>
        <v>1.71875</v>
      </c>
      <c r="BR82" s="28" t="s">
        <v>155</v>
      </c>
      <c r="BS82" s="8" t="s">
        <v>174</v>
      </c>
      <c r="BT82" s="9" t="s">
        <v>283</v>
      </c>
      <c r="BU82" s="10">
        <v>169</v>
      </c>
      <c r="BV82" s="9" t="s">
        <v>158</v>
      </c>
      <c r="BW82" s="10">
        <v>169</v>
      </c>
      <c r="BX82" s="10">
        <v>168.2</v>
      </c>
      <c r="BY82" s="10">
        <v>130</v>
      </c>
      <c r="BZ82" s="10">
        <v>140</v>
      </c>
      <c r="CA82" s="10">
        <v>129</v>
      </c>
      <c r="CB82" s="10">
        <v>91</v>
      </c>
      <c r="CC82" s="10">
        <v>112</v>
      </c>
      <c r="CD82" s="10">
        <v>15.4</v>
      </c>
      <c r="CE82" s="10">
        <v>1763</v>
      </c>
      <c r="CF82" s="10">
        <v>0.99</v>
      </c>
      <c r="CG82" s="10">
        <v>1750</v>
      </c>
      <c r="CH82" s="10">
        <v>190</v>
      </c>
      <c r="CI82" s="10">
        <v>91</v>
      </c>
      <c r="CJ82" s="10">
        <v>48</v>
      </c>
      <c r="CK82" s="10">
        <v>257</v>
      </c>
      <c r="CL82" s="10">
        <v>11</v>
      </c>
      <c r="CM82" s="10">
        <v>129</v>
      </c>
      <c r="CN82" s="10">
        <v>0.22600000000000001</v>
      </c>
      <c r="CO82" s="10">
        <v>157</v>
      </c>
      <c r="CP82" s="10">
        <v>127</v>
      </c>
      <c r="CQ82" s="10">
        <v>99</v>
      </c>
      <c r="CR82" s="10">
        <v>10</v>
      </c>
      <c r="CS82" s="10">
        <v>9.8000000000000007</v>
      </c>
      <c r="CT82" s="9" t="s">
        <v>188</v>
      </c>
      <c r="CU82" s="10"/>
      <c r="CV82" s="10"/>
      <c r="CW82" s="10"/>
      <c r="CX82" t="str">
        <f>INDEX('Data_Price '!AG$2:AG$1266,MATCH(Data!$DN82,'Data_Price '!$AT$2:$AT$1266,0))</f>
        <v>Salomon QST Lux 92 Skis - Women's 2022</v>
      </c>
      <c r="CY82" t="str">
        <f>INDEX('Data_Price '!AH$2:AH$1266,MATCH(Data!$DN82,'Data_Price '!$AT$2:$AT$1266,0))</f>
        <v>Ski Pro  - Snow Ski &amp; Snowboard</v>
      </c>
      <c r="CZ82">
        <f>INDEX('Data_Price '!AI$2:AI$1266,MATCH(Data!$DN82,'Data_Price '!$AT$2:$AT$1266,0))</f>
        <v>399.95</v>
      </c>
      <c r="DA82" t="str">
        <f>INDEX('Data_Price '!AJ$2:AJ$1266,MATCH(Data!$DN82,'Data_Price '!$AT$2:$AT$1266,0))</f>
        <v>https://tinyurl.com/yaan2eh2</v>
      </c>
      <c r="DB82" t="str">
        <f>INDEX('Data_Price '!AK$2:AK$1266,MATCH(Data!$DN82,'Data_Price '!$AT$2:$AT$1266,0))</f>
        <v>Salomon QST Lux 92 Skis</v>
      </c>
      <c r="DC82" t="str">
        <f>INDEX('Data_Price '!AL$2:AL$1266,MATCH(Data!$DN82,'Data_Price '!$AT$2:$AT$1266,0))</f>
        <v>Cole Sport</v>
      </c>
      <c r="DD82">
        <f>INDEX('Data_Price '!AM$2:AM$1266,MATCH(Data!$DN82,'Data_Price '!$AT$2:$AT$1266,0))</f>
        <v>399.99</v>
      </c>
      <c r="DE82" t="str">
        <f>INDEX('Data_Price '!AN$2:AN$1266,MATCH(Data!$DN82,'Data_Price '!$AT$2:$AT$1266,0))</f>
        <v>https://tinyurl.com/y9gmqrph</v>
      </c>
      <c r="DF82" t="str">
        <f>INDEX('Data_Price '!AO$2:AO$1266,MATCH(Data!$DN82,'Data_Price '!$AT$2:$AT$1266,0))</f>
        <v>Salomon QST Lux 92 Skis - Women's 2022</v>
      </c>
      <c r="DG82" t="str">
        <f>INDEX('Data_Price '!AP$2:AP$1266,MATCH(Data!$DN82,'Data_Price '!$AT$2:$AT$1266,0))</f>
        <v>Level Nine Sports</v>
      </c>
      <c r="DH82">
        <f>INDEX('Data_Price '!AQ$2:AQ$1266,MATCH(Data!$DN82,'Data_Price '!$AT$2:$AT$1266,0))</f>
        <v>399.99</v>
      </c>
      <c r="DI82" t="str">
        <f>INDEX('Data_Price '!AR$2:AR$1266,MATCH(Data!$DN82,'Data_Price '!$AT$2:$AT$1266,0))</f>
        <v>https://tinyurl.com/yb6s29ly</v>
      </c>
      <c r="DJ82" s="89" t="str">
        <f t="shared" si="69"/>
        <v>https://tinyurl.com/yaan2eh2</v>
      </c>
      <c r="DK82" s="89" t="str">
        <f t="shared" si="70"/>
        <v>https://tinyurl.com/y9gmqrph</v>
      </c>
      <c r="DL82" s="89" t="str">
        <f t="shared" si="71"/>
        <v>https://tinyurl.com/yb6s29ly</v>
      </c>
      <c r="DM82" s="219" t="str">
        <f t="shared" si="72"/>
        <v>QST 92</v>
      </c>
      <c r="DN82" s="89" t="str">
        <f t="shared" si="73"/>
        <v xml:space="preserve"> SalomonQST 92169 Unisex</v>
      </c>
      <c r="DO82" s="221" t="s">
        <v>284</v>
      </c>
    </row>
    <row r="83" spans="2:119" ht="15.6" customHeight="1">
      <c r="B83" s="219" t="b">
        <f t="array" ref="B83">IF(OR(ISERROR(K83:P83)),FALSE,TRUE)</f>
        <v>1</v>
      </c>
      <c r="C83" s="43" t="b">
        <f>OR(BR83=Driver!$G$50,Data!BR959=Driver!$H$50)</f>
        <v>1</v>
      </c>
      <c r="D83" s="43" t="b">
        <f>OR(BV83=Driver!$G$51,BV83=Driver!$H$51)</f>
        <v>1</v>
      </c>
      <c r="E83" s="43" t="b">
        <f>AND(BX83&gt;Driver!$F$54,BX83&lt;Driver!$G$54)</f>
        <v>0</v>
      </c>
      <c r="F83" s="43" t="b">
        <f>CL83&gt;Driver!$F$56</f>
        <v>1</v>
      </c>
      <c r="G83" s="43" t="b">
        <f>AND(CB83&gt;Driver!$F$55,CB83&lt;Driver!$G$55)</f>
        <v>0</v>
      </c>
      <c r="H83" s="43" t="b">
        <f t="shared" si="37"/>
        <v>0</v>
      </c>
      <c r="I83" s="43">
        <f t="shared" si="38"/>
        <v>0</v>
      </c>
      <c r="J83" s="43" t="b">
        <f t="array" ref="J83">NOT(OR(($H$9:$H$1273=TRUE)*($I$9:$I$1273&gt;0)*($BT$9:$BT$1273=BT83)*($K$9:$K$1273&gt;K83)))</f>
        <v>1</v>
      </c>
      <c r="K83" s="72">
        <f t="shared" si="39"/>
        <v>0.83675558768424063</v>
      </c>
      <c r="L83" s="72">
        <f t="shared" si="40"/>
        <v>0.92821828125111561</v>
      </c>
      <c r="M83" s="72">
        <f t="shared" si="41"/>
        <v>0.74529289411736577</v>
      </c>
      <c r="N83" s="72">
        <f t="shared" si="42"/>
        <v>0.64174973803800273</v>
      </c>
      <c r="O83" s="72">
        <f t="shared" si="43"/>
        <v>0.68096345660002133</v>
      </c>
      <c r="P83" s="72">
        <f t="shared" si="44"/>
        <v>0.91316548771407302</v>
      </c>
      <c r="Q83" s="72"/>
      <c r="R83" s="72"/>
      <c r="S83" s="72">
        <f t="shared" si="45"/>
        <v>0.51607506394681313</v>
      </c>
      <c r="T83" s="72">
        <f t="shared" si="46"/>
        <v>0.49136650573896312</v>
      </c>
      <c r="U83" s="72">
        <f t="shared" si="47"/>
        <v>0.54916092447251708</v>
      </c>
      <c r="V83" s="72">
        <f t="shared" si="48"/>
        <v>0.54600044155865501</v>
      </c>
      <c r="W83" s="72">
        <f t="shared" si="49"/>
        <v>0.7910480471258271</v>
      </c>
      <c r="X83" s="72">
        <f t="shared" si="50"/>
        <v>7.1781718748884393E-2</v>
      </c>
      <c r="Y83" s="72">
        <f t="shared" si="51"/>
        <v>0.25470710588263429</v>
      </c>
      <c r="Z83" s="72">
        <f t="shared" si="52"/>
        <v>0.35825026196199727</v>
      </c>
      <c r="AA83" s="72">
        <f t="shared" si="53"/>
        <v>0.31903654339997861</v>
      </c>
      <c r="AB83" s="72">
        <f t="shared" si="54"/>
        <v>8.6834512285926979E-2</v>
      </c>
      <c r="AC83" s="72"/>
      <c r="AD83" s="72"/>
      <c r="AE83" s="72">
        <f t="shared" si="55"/>
        <v>0.48392493605318687</v>
      </c>
      <c r="AF83" s="72">
        <f t="shared" si="56"/>
        <v>0.50863349426103688</v>
      </c>
      <c r="AG83" s="72">
        <f t="shared" si="57"/>
        <v>0.45083907552748287</v>
      </c>
      <c r="AH83" s="72">
        <f t="shared" si="58"/>
        <v>0.45399955844134493</v>
      </c>
      <c r="AI83" s="72">
        <f t="shared" si="59"/>
        <v>0.20895195287417292</v>
      </c>
      <c r="AJ83" s="72">
        <f>(AV83-Driver!$K$179)/(Driver!$L$179-Driver!$K$179)</f>
        <v>0.32600112803158482</v>
      </c>
      <c r="AK83" s="72">
        <f>(AW83-Driver!$K$180)/(Driver!$L$180-Driver!$K$180)</f>
        <v>0.35407844403382049</v>
      </c>
      <c r="AL83" s="72">
        <f>(AX83-Driver!$K$181)/(Driver!$L$181-Driver!$K$181)</f>
        <v>0.45993802567507747</v>
      </c>
      <c r="AM83" s="72">
        <f>(AY83-Driver!$K$182)/(Driver!$L$182-Driver!$K$182)</f>
        <v>0.12834847769706775</v>
      </c>
      <c r="AN83" s="72">
        <f>(AZ83-Driver!$K$183)/(Driver!$L$183-Driver!$K$183)</f>
        <v>0.34105392156862741</v>
      </c>
      <c r="AO83" s="72"/>
      <c r="AP83" s="72"/>
      <c r="AQ83" s="72">
        <f>(BC83-Driver!$K$188)/(Driver!$L$188-Driver!$K$188)</f>
        <v>0.13607506394681315</v>
      </c>
      <c r="AR83" s="72">
        <f>MIN((BD83-Driver!$K$189)/(Driver!$L$189-Driver!$K$189),100%)</f>
        <v>4.1366505738963215E-2</v>
      </c>
      <c r="AS83" s="72">
        <f>(BE83-Driver!$K$190)/(Driver!$L$190-Driver!$K$190)</f>
        <v>5.9160924472517147E-2</v>
      </c>
      <c r="AT83" s="72">
        <f>(BF83-Driver!$K$191)/(Driver!$L$191-Driver!$K$191)</f>
        <v>5.6000441558655072E-2</v>
      </c>
      <c r="AU83" s="72">
        <f>(BG83-Driver!$K$192)/(Driver!$L$192-Driver!$K$192)</f>
        <v>4.1048047125827075E-2</v>
      </c>
      <c r="AV83" s="70">
        <f t="shared" si="60"/>
        <v>6.8613485280151938</v>
      </c>
      <c r="AW83" s="70">
        <f t="shared" si="61"/>
        <v>36.379974446736362</v>
      </c>
      <c r="AX83" s="70">
        <f t="shared" si="62"/>
        <v>5.1394422310756971</v>
      </c>
      <c r="AY83" s="70">
        <f>IFERROR(Driver!$K$19/Data!BH83/Data!BI83*Data!BK83*Data!BL83,"")</f>
        <v>0.15713683219082331</v>
      </c>
      <c r="AZ83" s="70">
        <f t="shared" si="63"/>
        <v>31.083395383469842</v>
      </c>
      <c r="BA83" s="70"/>
      <c r="BB83" s="70"/>
      <c r="BC83" s="70">
        <f t="shared" si="64"/>
        <v>70.583081647709378</v>
      </c>
      <c r="BD83" s="70">
        <f t="shared" si="65"/>
        <v>5.3816853448850202</v>
      </c>
      <c r="BE83" s="70">
        <f t="shared" si="66"/>
        <v>5.932875957399638E-2</v>
      </c>
      <c r="BF83" s="70">
        <f t="shared" si="67"/>
        <v>6.3248564486818166</v>
      </c>
      <c r="BG83" s="70">
        <f t="shared" si="68"/>
        <v>0.15543409224154781</v>
      </c>
      <c r="BH83" s="67">
        <f>MAX((CE83-Driver!$F$200)/(Driver!$G$200-Driver!$F$200)*$BI$1,1)</f>
        <v>5.1394422310756971</v>
      </c>
      <c r="BI83" s="67">
        <f>MAX($BI$1*(BY83-Driver!$F$201)/(Driver!$G$201-Driver!$F$201),1)</f>
        <v>7.6582278481012658</v>
      </c>
      <c r="BJ83" s="67">
        <f>(CB83-Driver!$F$206)/(Driver!$G$206-Driver!$F$206)*$BI$1</f>
        <v>5.3968253968253963</v>
      </c>
      <c r="BK83" s="67">
        <f>(CD83-Driver!$F$203)/(Driver!$G$203-Driver!$F$203)*$BI$1</f>
        <v>5.2752293577981648</v>
      </c>
      <c r="BL83" s="67">
        <f>MAX((CR83-Driver!$F$202)/(Driver!$G$202-Driver!$F$202)*$BI$1,1)</f>
        <v>5.8620689655172411</v>
      </c>
      <c r="BM83" s="67">
        <f>MAX((CH83-Driver!$F$204)/(Driver!$G$204-Driver!$F$204)*$BI$1,1)</f>
        <v>5.0854700854700852</v>
      </c>
      <c r="BN83" s="67">
        <f>(CI83-Driver!$F$205)/(Driver!$G$205-Driver!$F$205)*$BI$1</f>
        <v>4.0588235294117645</v>
      </c>
      <c r="BO83" s="67">
        <f>(CK83-Driver!$F$207)/(Driver!$G$207-Driver!$F$207)*$BI$1</f>
        <v>2.6370217166494312</v>
      </c>
      <c r="BP83" s="67">
        <f>(CM83-Driver!$F$208)/(Driver!$G$208-Driver!$F$208)*$BI$1</f>
        <v>2.3444444444444446</v>
      </c>
      <c r="BQ83" s="67">
        <f>(CL83-Driver!$F$209)/(Driver!$G$209-Driver!$F$209)*$BI$1</f>
        <v>4.0625</v>
      </c>
      <c r="BR83" s="28" t="s">
        <v>155</v>
      </c>
      <c r="BS83" s="8" t="s">
        <v>227</v>
      </c>
      <c r="BT83" s="9" t="s">
        <v>228</v>
      </c>
      <c r="BU83" s="10">
        <v>188</v>
      </c>
      <c r="BV83" s="9" t="s">
        <v>158</v>
      </c>
      <c r="BW83" s="10">
        <v>188</v>
      </c>
      <c r="BX83" s="10">
        <v>186.4</v>
      </c>
      <c r="BY83" s="10">
        <v>129</v>
      </c>
      <c r="BZ83" s="10">
        <v>154</v>
      </c>
      <c r="CA83" s="10">
        <v>130</v>
      </c>
      <c r="CB83" s="10">
        <v>98</v>
      </c>
      <c r="CC83" s="10">
        <v>120</v>
      </c>
      <c r="CD83" s="10">
        <v>20.9</v>
      </c>
      <c r="CE83" s="10">
        <v>1803</v>
      </c>
      <c r="CF83" s="10">
        <v>1.1299999999999999</v>
      </c>
      <c r="CG83" s="10">
        <v>2039</v>
      </c>
      <c r="CH83" s="10">
        <v>220</v>
      </c>
      <c r="CI83" s="10">
        <v>102</v>
      </c>
      <c r="CJ83" s="10">
        <v>66</v>
      </c>
      <c r="CK83" s="10">
        <v>365</v>
      </c>
      <c r="CL83" s="10">
        <v>26</v>
      </c>
      <c r="CM83" s="10">
        <v>211</v>
      </c>
      <c r="CN83" s="10">
        <v>0.40400000000000003</v>
      </c>
      <c r="CO83" s="10">
        <v>181</v>
      </c>
      <c r="CP83" s="10">
        <v>139</v>
      </c>
      <c r="CQ83" s="10">
        <v>184</v>
      </c>
      <c r="CR83" s="10">
        <v>6</v>
      </c>
      <c r="CS83" s="10">
        <v>11.8</v>
      </c>
      <c r="CT83" s="9" t="s">
        <v>188</v>
      </c>
      <c r="CU83" s="9" t="s">
        <v>185</v>
      </c>
      <c r="CV83" s="10"/>
      <c r="CW83" s="10"/>
      <c r="CX83">
        <f>INDEX('Data_Price '!AG$2:AG$1266,MATCH(Data!$DN83,'Data_Price '!$AT$2:$AT$1266,0))</f>
        <v>0</v>
      </c>
      <c r="CY83">
        <f>INDEX('Data_Price '!AH$2:AH$1266,MATCH(Data!$DN83,'Data_Price '!$AT$2:$AT$1266,0))</f>
        <v>0</v>
      </c>
      <c r="CZ83">
        <f>INDEX('Data_Price '!AI$2:AI$1266,MATCH(Data!$DN83,'Data_Price '!$AT$2:$AT$1266,0))</f>
        <v>0</v>
      </c>
      <c r="DA83">
        <f>INDEX('Data_Price '!AJ$2:AJ$1266,MATCH(Data!$DN83,'Data_Price '!$AT$2:$AT$1266,0))</f>
        <v>0</v>
      </c>
      <c r="DB83">
        <f>INDEX('Data_Price '!AK$2:AK$1266,MATCH(Data!$DN83,'Data_Price '!$AT$2:$AT$1266,0))</f>
        <v>0</v>
      </c>
      <c r="DC83">
        <f>INDEX('Data_Price '!AL$2:AL$1266,MATCH(Data!$DN83,'Data_Price '!$AT$2:$AT$1266,0))</f>
        <v>0</v>
      </c>
      <c r="DD83">
        <f>INDEX('Data_Price '!AM$2:AM$1266,MATCH(Data!$DN83,'Data_Price '!$AT$2:$AT$1266,0))</f>
        <v>0</v>
      </c>
      <c r="DE83">
        <f>INDEX('Data_Price '!AN$2:AN$1266,MATCH(Data!$DN83,'Data_Price '!$AT$2:$AT$1266,0))</f>
        <v>0</v>
      </c>
      <c r="DF83">
        <f>INDEX('Data_Price '!AO$2:AO$1266,MATCH(Data!$DN83,'Data_Price '!$AT$2:$AT$1266,0))</f>
        <v>0</v>
      </c>
      <c r="DG83">
        <f>INDEX('Data_Price '!AP$2:AP$1266,MATCH(Data!$DN83,'Data_Price '!$AT$2:$AT$1266,0))</f>
        <v>0</v>
      </c>
      <c r="DH83">
        <f>INDEX('Data_Price '!AQ$2:AQ$1266,MATCH(Data!$DN83,'Data_Price '!$AT$2:$AT$1266,0))</f>
        <v>0</v>
      </c>
      <c r="DI83">
        <f>INDEX('Data_Price '!AR$2:AR$1266,MATCH(Data!$DN83,'Data_Price '!$AT$2:$AT$1266,0))</f>
        <v>0</v>
      </c>
      <c r="DJ83" s="89">
        <f t="shared" si="69"/>
        <v>0</v>
      </c>
      <c r="DK83" s="89">
        <f t="shared" si="70"/>
        <v>0</v>
      </c>
      <c r="DL83" s="89">
        <f t="shared" si="71"/>
        <v>0</v>
      </c>
      <c r="DM83" s="219" t="str">
        <f t="shared" si="72"/>
        <v>Le Grizzly</v>
      </c>
      <c r="DN83" s="89" t="str">
        <f t="shared" si="73"/>
        <v xml:space="preserve"> RaccoonLe Grizzly188 Unisex</v>
      </c>
      <c r="DO83" s="221"/>
    </row>
    <row r="84" spans="2:119" ht="15.6" customHeight="1">
      <c r="B84" s="219" t="b">
        <f t="array" ref="B84">IF(OR(ISERROR(K84:P84)),FALSE,TRUE)</f>
        <v>1</v>
      </c>
      <c r="C84" s="43" t="b">
        <f>OR(BR84=Driver!$G$50,Data!BR629=Driver!$H$50)</f>
        <v>1</v>
      </c>
      <c r="D84" s="43" t="b">
        <f>OR(BV84=Driver!$G$51,BV84=Driver!$H$51)</f>
        <v>1</v>
      </c>
      <c r="E84" s="43" t="b">
        <f>AND(BX84&gt;Driver!$F$54,BX84&lt;Driver!$G$54)</f>
        <v>0</v>
      </c>
      <c r="F84" s="43" t="b">
        <f>CL84&gt;Driver!$F$56</f>
        <v>1</v>
      </c>
      <c r="G84" s="43" t="b">
        <f>AND(CB84&gt;Driver!$F$55,CB84&lt;Driver!$G$55)</f>
        <v>0</v>
      </c>
      <c r="H84" s="43" t="b">
        <f t="shared" si="37"/>
        <v>0</v>
      </c>
      <c r="I84" s="43">
        <f t="shared" si="38"/>
        <v>0</v>
      </c>
      <c r="J84" s="43" t="b">
        <f t="array" ref="J84">NOT(OR(($H$9:$H$1273=TRUE)*($I$9:$I$1273&gt;0)*($BT$9:$BT$1273=BT84)*($K$9:$K$1273&gt;K84)))</f>
        <v>1</v>
      </c>
      <c r="K84" s="72">
        <f t="shared" si="39"/>
        <v>0.82444895232911564</v>
      </c>
      <c r="L84" s="72">
        <f t="shared" si="40"/>
        <v>0.90098437584462132</v>
      </c>
      <c r="M84" s="72">
        <f t="shared" si="41"/>
        <v>0.74791352881361006</v>
      </c>
      <c r="N84" s="72">
        <f t="shared" si="42"/>
        <v>0.75558013075285757</v>
      </c>
      <c r="O84" s="72">
        <f t="shared" si="43"/>
        <v>0.63222536013076225</v>
      </c>
      <c r="P84" s="72">
        <f t="shared" si="44"/>
        <v>0.85593509555721026</v>
      </c>
      <c r="Q84" s="72"/>
      <c r="R84" s="72"/>
      <c r="S84" s="72">
        <f t="shared" si="45"/>
        <v>0.46403638119197166</v>
      </c>
      <c r="T84" s="72">
        <f t="shared" si="46"/>
        <v>0.54664203270478318</v>
      </c>
      <c r="U84" s="72">
        <f t="shared" si="47"/>
        <v>0.95334517992094325</v>
      </c>
      <c r="V84" s="72">
        <f t="shared" si="48"/>
        <v>0.52060498243302566</v>
      </c>
      <c r="W84" s="72">
        <f t="shared" si="49"/>
        <v>0.77055304842959682</v>
      </c>
      <c r="X84" s="72">
        <f t="shared" si="50"/>
        <v>9.9015624155378679E-2</v>
      </c>
      <c r="Y84" s="72">
        <f t="shared" si="51"/>
        <v>0.25208647118638999</v>
      </c>
      <c r="Z84" s="72">
        <f t="shared" si="52"/>
        <v>0.24441986924714243</v>
      </c>
      <c r="AA84" s="72">
        <f t="shared" si="53"/>
        <v>0.36777463986923775</v>
      </c>
      <c r="AB84" s="72">
        <f t="shared" si="54"/>
        <v>0.14406490444278974</v>
      </c>
      <c r="AC84" s="72"/>
      <c r="AD84" s="72"/>
      <c r="AE84" s="72">
        <f t="shared" si="55"/>
        <v>0.53596361880802834</v>
      </c>
      <c r="AF84" s="72">
        <f t="shared" si="56"/>
        <v>0.45335796729521682</v>
      </c>
      <c r="AG84" s="72">
        <f t="shared" si="57"/>
        <v>4.6654820079056747E-2</v>
      </c>
      <c r="AH84" s="72">
        <f t="shared" si="58"/>
        <v>0.47939501756697434</v>
      </c>
      <c r="AI84" s="72">
        <f t="shared" si="59"/>
        <v>0.22944695157040312</v>
      </c>
      <c r="AJ84" s="72">
        <f>(AV84-Driver!$K$179)/(Driver!$L$179-Driver!$K$179)</f>
        <v>0.3532350334380791</v>
      </c>
      <c r="AK84" s="72">
        <f>(AW84-Driver!$K$180)/(Driver!$L$180-Driver!$K$180)</f>
        <v>0.39647367552210228</v>
      </c>
      <c r="AL84" s="72">
        <f>(AX84-Driver!$K$181)/(Driver!$L$181-Driver!$K$181)</f>
        <v>0.34610763296022262</v>
      </c>
      <c r="AM84" s="72">
        <f>(AY84-Driver!$K$182)/(Driver!$L$182-Driver!$K$182)</f>
        <v>7.9610381227808585E-2</v>
      </c>
      <c r="AN84" s="72">
        <f>(AZ84-Driver!$K$183)/(Driver!$L$183-Driver!$K$183)</f>
        <v>0.39828431372549017</v>
      </c>
      <c r="AO84" s="72"/>
      <c r="AP84" s="72"/>
      <c r="AQ84" s="72">
        <f>(BC84-Driver!$K$188)/(Driver!$L$188-Driver!$K$188)</f>
        <v>8.4036381191971612E-2</v>
      </c>
      <c r="AR84" s="72">
        <f>MIN((BD84-Driver!$K$189)/(Driver!$L$189-Driver!$K$189),100%)</f>
        <v>9.6642032704783221E-2</v>
      </c>
      <c r="AS84" s="72">
        <f>(BE84-Driver!$K$190)/(Driver!$L$190-Driver!$K$190)</f>
        <v>0.55665482007905676</v>
      </c>
      <c r="AT84" s="72">
        <f>(BF84-Driver!$K$191)/(Driver!$L$191-Driver!$K$191)</f>
        <v>3.0604982433025698E-2</v>
      </c>
      <c r="AU84" s="72">
        <f>(BG84-Driver!$K$192)/(Driver!$L$192-Driver!$K$192)</f>
        <v>2.0553048429596873E-2</v>
      </c>
      <c r="AV84" s="70">
        <f t="shared" si="60"/>
        <v>7.4345407678741013</v>
      </c>
      <c r="AW84" s="70">
        <f t="shared" si="61"/>
        <v>40.511765415235701</v>
      </c>
      <c r="AX84" s="70">
        <f t="shared" si="62"/>
        <v>4.1149686966420038</v>
      </c>
      <c r="AY84" s="70">
        <f>IFERROR(Driver!$K$19/Data!BH84/Data!BI84*Data!BK84*Data!BL84,"")</f>
        <v>9.7466860068005506E-2</v>
      </c>
      <c r="AZ84" s="70">
        <f t="shared" si="63"/>
        <v>36.299329858525688</v>
      </c>
      <c r="BA84" s="70"/>
      <c r="BB84" s="70"/>
      <c r="BC84" s="70">
        <f t="shared" si="64"/>
        <v>43.590255135719723</v>
      </c>
      <c r="BD84" s="70">
        <f t="shared" si="65"/>
        <v>10.273471538921866</v>
      </c>
      <c r="BE84" s="70">
        <f t="shared" si="66"/>
        <v>0.55673390786909216</v>
      </c>
      <c r="BF84" s="70">
        <f t="shared" si="67"/>
        <v>3.4566177536398199</v>
      </c>
      <c r="BG84" s="70">
        <f t="shared" si="68"/>
        <v>7.782695278190023E-2</v>
      </c>
      <c r="BH84" s="67">
        <f>MAX((CE84-Driver!$F$200)/(Driver!$G$200-Driver!$F$200)*$BI$1,1)</f>
        <v>4.1149686966420038</v>
      </c>
      <c r="BI84" s="67">
        <f>MAX($BI$1*(BY84-Driver!$F$201)/(Driver!$G$201-Driver!$F$201),1)</f>
        <v>7.9113924050632916</v>
      </c>
      <c r="BJ84" s="67">
        <f>(CB84-Driver!$F$206)/(Driver!$G$206-Driver!$F$206)*$BI$1</f>
        <v>5.0793650793650791</v>
      </c>
      <c r="BK84" s="67">
        <f>(CD84-Driver!$F$203)/(Driver!$G$203-Driver!$F$203)*$BI$1</f>
        <v>2.7064220183486243</v>
      </c>
      <c r="BL84" s="67">
        <f>MAX((CR84-Driver!$F$202)/(Driver!$G$202-Driver!$F$202)*$BI$1,1)</f>
        <v>5.8620689655172411</v>
      </c>
      <c r="BM84" s="67">
        <f>MAX((CH84-Driver!$F$204)/(Driver!$G$204-Driver!$F$204)*$BI$1,1)</f>
        <v>5.8547008547008552</v>
      </c>
      <c r="BN84" s="67">
        <f>(CI84-Driver!$F$205)/(Driver!$G$205-Driver!$F$205)*$BI$1</f>
        <v>4.5882352941176467</v>
      </c>
      <c r="BO84" s="67">
        <f>(CK84-Driver!$F$207)/(Driver!$G$207-Driver!$F$207)*$BI$1</f>
        <v>1.2099276111685624</v>
      </c>
      <c r="BP84" s="67">
        <f>(CM84-Driver!$F$208)/(Driver!$G$208-Driver!$F$208)*$BI$1</f>
        <v>1.5222222222222224</v>
      </c>
      <c r="BQ84" s="67">
        <f>(CL84-Driver!$F$209)/(Driver!$G$209-Driver!$F$209)*$BI$1</f>
        <v>1.875</v>
      </c>
      <c r="BR84" s="28" t="s">
        <v>155</v>
      </c>
      <c r="BS84" s="8" t="s">
        <v>167</v>
      </c>
      <c r="BT84" s="9" t="s">
        <v>240</v>
      </c>
      <c r="BU84" s="10">
        <v>170</v>
      </c>
      <c r="BV84" s="9" t="s">
        <v>158</v>
      </c>
      <c r="BW84" s="10">
        <v>170</v>
      </c>
      <c r="BX84" s="10">
        <v>169.4</v>
      </c>
      <c r="BY84" s="10">
        <v>133</v>
      </c>
      <c r="BZ84" s="10">
        <v>137</v>
      </c>
      <c r="CA84" s="10">
        <v>130</v>
      </c>
      <c r="CB84" s="10">
        <v>96</v>
      </c>
      <c r="CC84" s="10">
        <v>117</v>
      </c>
      <c r="CD84" s="10">
        <v>15.3</v>
      </c>
      <c r="CE84" s="10">
        <v>1623</v>
      </c>
      <c r="CF84" s="10">
        <v>1.1200000000000001</v>
      </c>
      <c r="CG84" s="10">
        <v>1824</v>
      </c>
      <c r="CH84" s="10">
        <v>238</v>
      </c>
      <c r="CI84" s="10">
        <v>111</v>
      </c>
      <c r="CJ84" s="10">
        <v>48</v>
      </c>
      <c r="CK84" s="10">
        <v>227</v>
      </c>
      <c r="CL84" s="10">
        <v>12</v>
      </c>
      <c r="CM84" s="10">
        <v>137</v>
      </c>
      <c r="CN84" s="10">
        <v>0.25900000000000001</v>
      </c>
      <c r="CO84" s="10">
        <v>184</v>
      </c>
      <c r="CP84" s="10">
        <v>141</v>
      </c>
      <c r="CQ84" s="10">
        <v>43</v>
      </c>
      <c r="CR84" s="10">
        <v>6</v>
      </c>
      <c r="CS84" s="10">
        <v>10.199999999999999</v>
      </c>
      <c r="CT84" s="9" t="s">
        <v>188</v>
      </c>
      <c r="CU84" s="9" t="s">
        <v>185</v>
      </c>
      <c r="CV84" s="10"/>
      <c r="CW84" s="10"/>
      <c r="CX84" t="str">
        <f>INDEX('Data_Price '!AG$2:AG$1266,MATCH(Data!$DN84,'Data_Price '!$AT$2:$AT$1266,0))</f>
        <v xml:space="preserve"> Head Kore 99 162 Cm Downhill Ski Mens Combo</v>
      </c>
      <c r="CY84" t="str">
        <f>INDEX('Data_Price '!AH$2:AH$1266,MATCH(Data!$DN84,'Data_Price '!$AT$2:$AT$1266,0))</f>
        <v>SidelineSwap</v>
      </c>
      <c r="CZ84">
        <f>INDEX('Data_Price '!AI$2:AI$1266,MATCH(Data!$DN84,'Data_Price '!$AT$2:$AT$1266,0))</f>
        <v>349.99</v>
      </c>
      <c r="DA84" t="str">
        <f>INDEX('Data_Price '!AJ$2:AJ$1266,MATCH(Data!$DN84,'Data_Price '!$AT$2:$AT$1266,0))</f>
        <v>https://tinyurl.com/y9n7t8gz</v>
      </c>
      <c r="DB84" t="str">
        <f>INDEX('Data_Price '!AK$2:AK$1266,MATCH(Data!$DN84,'Data_Price '!$AT$2:$AT$1266,0))</f>
        <v>Head Kore 99 Skis</v>
      </c>
      <c r="DC84" t="str">
        <f>INDEX('Data_Price '!AL$2:AL$1266,MATCH(Data!$DN84,'Data_Price '!$AT$2:$AT$1266,0))</f>
        <v>Gorham Bike and Ski</v>
      </c>
      <c r="DD84">
        <f>INDEX('Data_Price '!AM$2:AM$1266,MATCH(Data!$DN84,'Data_Price '!$AT$2:$AT$1266,0))</f>
        <v>489.99</v>
      </c>
      <c r="DE84" t="str">
        <f>INDEX('Data_Price '!AN$2:AN$1266,MATCH(Data!$DN84,'Data_Price '!$AT$2:$AT$1266,0))</f>
        <v>https://tinyurl.com/y9hlw6h8</v>
      </c>
      <c r="DF84" t="str">
        <f>INDEX('Data_Price '!AO$2:AO$1266,MATCH(Data!$DN84,'Data_Price '!$AT$2:$AT$1266,0))</f>
        <v>Head Kore 99 + Attack 14 GW Alpine Skis 170</v>
      </c>
      <c r="DG84" t="str">
        <f>INDEX('Data_Price '!AP$2:AP$1266,MATCH(Data!$DN84,'Data_Price '!$AT$2:$AT$1266,0))</f>
        <v>! OutdoorXL.com</v>
      </c>
      <c r="DH84">
        <f>INDEX('Data_Price '!AQ$2:AQ$1266,MATCH(Data!$DN84,'Data_Price '!$AT$2:$AT$1266,0))</f>
        <v>514.95000000000005</v>
      </c>
      <c r="DI84" t="str">
        <f>INDEX('Data_Price '!AR$2:AR$1266,MATCH(Data!$DN84,'Data_Price '!$AT$2:$AT$1266,0))</f>
        <v>https://tinyurl.com/yce8ouac</v>
      </c>
      <c r="DJ84" s="89" t="str">
        <f t="shared" si="69"/>
        <v>https://tinyurl.com/y9n7t8gz</v>
      </c>
      <c r="DK84" s="89" t="str">
        <f t="shared" si="70"/>
        <v>https://tinyurl.com/y9hlw6h8</v>
      </c>
      <c r="DL84" s="89" t="str">
        <f t="shared" si="71"/>
        <v>https://tinyurl.com/yce8ouac</v>
      </c>
      <c r="DM84" s="219" t="str">
        <f t="shared" si="72"/>
        <v>Kore 99</v>
      </c>
      <c r="DN84" s="89" t="str">
        <f t="shared" si="73"/>
        <v xml:space="preserve"> HeadKore 99170 Unisex</v>
      </c>
      <c r="DO84" s="221" t="s">
        <v>241</v>
      </c>
    </row>
    <row r="85" spans="2:119" ht="15.6" customHeight="1">
      <c r="B85" s="219" t="b">
        <f t="array" ref="B85">IF(OR(ISERROR(K85:P85)),FALSE,TRUE)</f>
        <v>1</v>
      </c>
      <c r="C85" s="43" t="b">
        <f>OR(BR85=Driver!$G$50,Data!BR1146=Driver!$H$50)</f>
        <v>1</v>
      </c>
      <c r="D85" s="43" t="b">
        <f>OR(BV85=Driver!$G$51,BV85=Driver!$H$51)</f>
        <v>1</v>
      </c>
      <c r="E85" s="43" t="b">
        <f>AND(BX85&gt;Driver!$F$54,BX85&lt;Driver!$G$54)</f>
        <v>0</v>
      </c>
      <c r="F85" s="43" t="b">
        <f>CL85&gt;Driver!$F$56</f>
        <v>1</v>
      </c>
      <c r="G85" s="43" t="b">
        <f>AND(CB85&gt;Driver!$F$55,CB85&lt;Driver!$G$55)</f>
        <v>0</v>
      </c>
      <c r="H85" s="43" t="b">
        <f t="shared" si="37"/>
        <v>0</v>
      </c>
      <c r="I85" s="43">
        <f t="shared" si="38"/>
        <v>0</v>
      </c>
      <c r="J85" s="43" t="b">
        <f t="array" ref="J85">NOT(OR(($H$9:$H$1273=TRUE)*($I$9:$I$1273&gt;0)*($BT$9:$BT$1273=BT85)*($K$9:$K$1273&gt;K85)))</f>
        <v>1</v>
      </c>
      <c r="K85" s="72">
        <f t="shared" si="39"/>
        <v>0.81608393419753766</v>
      </c>
      <c r="L85" s="72">
        <f t="shared" si="40"/>
        <v>0.86438505449942826</v>
      </c>
      <c r="M85" s="72">
        <f t="shared" si="41"/>
        <v>0.76778281389564706</v>
      </c>
      <c r="N85" s="72">
        <f t="shared" si="42"/>
        <v>0.74482948255201031</v>
      </c>
      <c r="O85" s="72">
        <f t="shared" si="43"/>
        <v>0.69727340606138077</v>
      </c>
      <c r="P85" s="72">
        <f t="shared" si="44"/>
        <v>0.86124555307355011</v>
      </c>
      <c r="Q85" s="72"/>
      <c r="R85" s="72"/>
      <c r="S85" s="72">
        <f t="shared" si="45"/>
        <v>0.5727846801183416</v>
      </c>
      <c r="T85" s="72">
        <f t="shared" si="46"/>
        <v>0.54474702065263325</v>
      </c>
      <c r="U85" s="72">
        <f t="shared" si="47"/>
        <v>0.95877227304901369</v>
      </c>
      <c r="V85" s="72">
        <f t="shared" si="48"/>
        <v>0.4933708405635916</v>
      </c>
      <c r="W85" s="72">
        <f t="shared" si="49"/>
        <v>0.8347253231492362</v>
      </c>
      <c r="X85" s="72">
        <f t="shared" si="50"/>
        <v>0.13561494550057168</v>
      </c>
      <c r="Y85" s="72">
        <f t="shared" si="51"/>
        <v>0.23221718610435294</v>
      </c>
      <c r="Z85" s="72">
        <f t="shared" si="52"/>
        <v>0.25517051744798974</v>
      </c>
      <c r="AA85" s="72">
        <f t="shared" si="53"/>
        <v>0.30272659393861917</v>
      </c>
      <c r="AB85" s="72">
        <f t="shared" si="54"/>
        <v>0.13875444692644989</v>
      </c>
      <c r="AC85" s="72"/>
      <c r="AD85" s="72"/>
      <c r="AE85" s="72">
        <f t="shared" si="55"/>
        <v>0.4272153198816584</v>
      </c>
      <c r="AF85" s="72">
        <f t="shared" si="56"/>
        <v>0.4552529793473668</v>
      </c>
      <c r="AG85" s="72">
        <f t="shared" si="57"/>
        <v>4.122772695098631E-2</v>
      </c>
      <c r="AH85" s="72">
        <f t="shared" si="58"/>
        <v>0.5066291594364084</v>
      </c>
      <c r="AI85" s="72">
        <f t="shared" si="59"/>
        <v>0.1652746768507638</v>
      </c>
      <c r="AJ85" s="72">
        <f>(AV85-Driver!$K$179)/(Driver!$L$179-Driver!$K$179)</f>
        <v>0.11860446378212873</v>
      </c>
      <c r="AK85" s="72">
        <f>(AW85-Driver!$K$180)/(Driver!$L$180-Driver!$K$180)</f>
        <v>0.39331750263597398</v>
      </c>
      <c r="AL85" s="72">
        <f>(AX85-Driver!$K$181)/(Driver!$L$181-Driver!$K$181)</f>
        <v>0.35685828116106993</v>
      </c>
      <c r="AM85" s="72">
        <f>(AY85-Driver!$K$182)/(Driver!$L$182-Driver!$K$182)</f>
        <v>0.14465842715842719</v>
      </c>
      <c r="AN85" s="72">
        <f>(AZ85-Driver!$K$183)/(Driver!$L$183-Driver!$K$183)</f>
        <v>0.39297385620915032</v>
      </c>
      <c r="AO85" s="72"/>
      <c r="AP85" s="72"/>
      <c r="AQ85" s="72">
        <f>(BC85-Driver!$K$188)/(Driver!$L$188-Driver!$K$188)</f>
        <v>0.19278468011834157</v>
      </c>
      <c r="AR85" s="72">
        <f>MIN((BD85-Driver!$K$189)/(Driver!$L$189-Driver!$K$189),100%)</f>
        <v>9.474702065263324E-2</v>
      </c>
      <c r="AS85" s="72">
        <f>(BE85-Driver!$K$190)/(Driver!$L$190-Driver!$K$190)</f>
        <v>0.55122772695098632</v>
      </c>
      <c r="AT85" s="72">
        <f>(BF85-Driver!$K$191)/(Driver!$L$191-Driver!$K$191)</f>
        <v>3.3708405635916147E-3</v>
      </c>
      <c r="AU85" s="72">
        <f>(BG85-Driver!$K$192)/(Driver!$L$192-Driver!$K$192)</f>
        <v>8.4725323149236212E-2</v>
      </c>
      <c r="AV85" s="70">
        <f t="shared" si="60"/>
        <v>2.4962691629358291</v>
      </c>
      <c r="AW85" s="70">
        <f t="shared" si="61"/>
        <v>40.204168400945733</v>
      </c>
      <c r="AX85" s="70">
        <f t="shared" si="62"/>
        <v>4.2117245304496294</v>
      </c>
      <c r="AY85" s="70">
        <f>IFERROR(Driver!$K$19/Data!BH85/Data!BI85*Data!BK85*Data!BL85,"")</f>
        <v>0.17710507675075859</v>
      </c>
      <c r="AZ85" s="70">
        <f t="shared" si="63"/>
        <v>35.815338793745347</v>
      </c>
      <c r="BA85" s="70"/>
      <c r="BB85" s="70"/>
      <c r="BC85" s="70">
        <f t="shared" si="64"/>
        <v>99.998753794736828</v>
      </c>
      <c r="BD85" s="70">
        <f t="shared" si="65"/>
        <v>10.10576633006926</v>
      </c>
      <c r="BE85" s="70">
        <f t="shared" si="66"/>
        <v>0.55130778287335114</v>
      </c>
      <c r="BF85" s="70">
        <f t="shared" si="67"/>
        <v>0.38071276016243444</v>
      </c>
      <c r="BG85" s="70">
        <f t="shared" si="68"/>
        <v>0.32082412235605179</v>
      </c>
      <c r="BH85" s="67">
        <f>MAX((CE85-Driver!$F$200)/(Driver!$G$200-Driver!$F$200)*$BI$1,1)</f>
        <v>4.2117245304496294</v>
      </c>
      <c r="BI85" s="67">
        <f>MAX($BI$1*(BY85-Driver!$F$201)/(Driver!$G$201-Driver!$F$201),1)</f>
        <v>8.2278481012658222</v>
      </c>
      <c r="BJ85" s="67">
        <f>(CB85-Driver!$F$206)/(Driver!$G$206-Driver!$F$206)*$BI$1</f>
        <v>2.5396825396825395</v>
      </c>
      <c r="BK85" s="67">
        <f>(CD85-Driver!$F$203)/(Driver!$G$203-Driver!$F$203)*$BI$1</f>
        <v>4.4495412844036704</v>
      </c>
      <c r="BL85" s="67">
        <f>MAX((CR85-Driver!$F$202)/(Driver!$G$202-Driver!$F$202)*$BI$1,1)</f>
        <v>6.8965517241379315</v>
      </c>
      <c r="BM85" s="67">
        <f>MAX((CH85-Driver!$F$204)/(Driver!$G$204-Driver!$F$204)*$BI$1,1)</f>
        <v>3.9316239316239314</v>
      </c>
      <c r="BN85" s="67">
        <f>(CI85-Driver!$F$205)/(Driver!$G$205-Driver!$F$205)*$BI$1</f>
        <v>4.3529411764705888</v>
      </c>
      <c r="BO85" s="67">
        <f>(CK85-Driver!$F$207)/(Driver!$G$207-Driver!$F$207)*$BI$1</f>
        <v>0.44467425025853152</v>
      </c>
      <c r="BP85" s="67">
        <f>(CM85-Driver!$F$208)/(Driver!$G$208-Driver!$F$208)*$BI$1</f>
        <v>1.5</v>
      </c>
      <c r="BQ85" s="67">
        <f>(CL85-Driver!$F$209)/(Driver!$G$209-Driver!$F$209)*$BI$1</f>
        <v>5.3125</v>
      </c>
      <c r="BR85" s="28" t="s">
        <v>155</v>
      </c>
      <c r="BS85" s="8" t="s">
        <v>229</v>
      </c>
      <c r="BT85" s="9" t="s">
        <v>285</v>
      </c>
      <c r="BU85" s="10">
        <v>168</v>
      </c>
      <c r="BV85" s="9" t="s">
        <v>158</v>
      </c>
      <c r="BW85" s="10">
        <v>168</v>
      </c>
      <c r="BX85" s="10">
        <v>166.9</v>
      </c>
      <c r="BY85" s="10">
        <v>138</v>
      </c>
      <c r="BZ85" s="10">
        <v>145</v>
      </c>
      <c r="CA85" s="10">
        <v>110</v>
      </c>
      <c r="CB85" s="10">
        <v>80</v>
      </c>
      <c r="CC85" s="10">
        <v>104</v>
      </c>
      <c r="CD85" s="10">
        <v>19.100000000000001</v>
      </c>
      <c r="CE85" s="10">
        <v>1640</v>
      </c>
      <c r="CF85" s="10">
        <v>0.92</v>
      </c>
      <c r="CG85" s="10">
        <v>1505</v>
      </c>
      <c r="CH85" s="10">
        <v>193</v>
      </c>
      <c r="CI85" s="10">
        <v>107</v>
      </c>
      <c r="CJ85" s="10">
        <v>45</v>
      </c>
      <c r="CK85" s="10">
        <v>153</v>
      </c>
      <c r="CL85" s="10">
        <v>34</v>
      </c>
      <c r="CM85" s="10">
        <v>135</v>
      </c>
      <c r="CN85" s="10">
        <v>0.76300000000000001</v>
      </c>
      <c r="CO85" s="10">
        <v>93</v>
      </c>
      <c r="CP85" s="10">
        <v>129</v>
      </c>
      <c r="CQ85" s="10">
        <v>60</v>
      </c>
      <c r="CR85" s="10">
        <v>9</v>
      </c>
      <c r="CS85" s="10">
        <v>2.2000000000000002</v>
      </c>
      <c r="CT85" s="9" t="s">
        <v>188</v>
      </c>
      <c r="CU85" s="10"/>
      <c r="CV85" s="10"/>
      <c r="CW85" s="10"/>
      <c r="CX85" t="e">
        <f>INDEX('Data_Price '!AG$2:AG$1266,MATCH(Data!$DN85,'Data_Price '!$AT$2:$AT$1266,0))</f>
        <v>#N/A</v>
      </c>
      <c r="CY85" t="e">
        <f>INDEX('Data_Price '!AH$2:AH$1266,MATCH(Data!$DN85,'Data_Price '!$AT$2:$AT$1266,0))</f>
        <v>#N/A</v>
      </c>
      <c r="CZ85" t="e">
        <f>INDEX('Data_Price '!AI$2:AI$1266,MATCH(Data!$DN85,'Data_Price '!$AT$2:$AT$1266,0))</f>
        <v>#N/A</v>
      </c>
      <c r="DA85" t="e">
        <f>INDEX('Data_Price '!AJ$2:AJ$1266,MATCH(Data!$DN85,'Data_Price '!$AT$2:$AT$1266,0))</f>
        <v>#N/A</v>
      </c>
      <c r="DB85" t="e">
        <f>INDEX('Data_Price '!AK$2:AK$1266,MATCH(Data!$DN85,'Data_Price '!$AT$2:$AT$1266,0))</f>
        <v>#N/A</v>
      </c>
      <c r="DC85" t="e">
        <f>INDEX('Data_Price '!AL$2:AL$1266,MATCH(Data!$DN85,'Data_Price '!$AT$2:$AT$1266,0))</f>
        <v>#N/A</v>
      </c>
      <c r="DD85" t="e">
        <f>INDEX('Data_Price '!AM$2:AM$1266,MATCH(Data!$DN85,'Data_Price '!$AT$2:$AT$1266,0))</f>
        <v>#N/A</v>
      </c>
      <c r="DE85" t="e">
        <f>INDEX('Data_Price '!AN$2:AN$1266,MATCH(Data!$DN85,'Data_Price '!$AT$2:$AT$1266,0))</f>
        <v>#N/A</v>
      </c>
      <c r="DF85" t="e">
        <f>INDEX('Data_Price '!AO$2:AO$1266,MATCH(Data!$DN85,'Data_Price '!$AT$2:$AT$1266,0))</f>
        <v>#N/A</v>
      </c>
      <c r="DG85" t="e">
        <f>INDEX('Data_Price '!AP$2:AP$1266,MATCH(Data!$DN85,'Data_Price '!$AT$2:$AT$1266,0))</f>
        <v>#N/A</v>
      </c>
      <c r="DH85" t="e">
        <f>INDEX('Data_Price '!AQ$2:AQ$1266,MATCH(Data!$DN85,'Data_Price '!$AT$2:$AT$1266,0))</f>
        <v>#N/A</v>
      </c>
      <c r="DI85" t="e">
        <f>INDEX('Data_Price '!AR$2:AR$1266,MATCH(Data!$DN85,'Data_Price '!$AT$2:$AT$1266,0))</f>
        <v>#N/A</v>
      </c>
      <c r="DJ85" s="89" t="e">
        <f t="shared" si="69"/>
        <v>#N/A</v>
      </c>
      <c r="DK85" s="89" t="e">
        <f t="shared" si="70"/>
        <v>#N/A</v>
      </c>
      <c r="DL85" s="89" t="e">
        <f t="shared" si="71"/>
        <v>#N/A</v>
      </c>
      <c r="DM85" s="219" t="str">
        <f t="shared" si="72"/>
        <v>Bash 81</v>
      </c>
      <c r="DN85" s="89" t="str">
        <f t="shared" si="73"/>
        <v xml:space="preserve"> VölklBash 81168 Unisex</v>
      </c>
      <c r="DO85" s="221" t="s">
        <v>286</v>
      </c>
    </row>
    <row r="86" spans="2:119" ht="15.6" customHeight="1">
      <c r="B86" s="219" t="b">
        <f t="array" ref="B86">IF(OR(ISERROR(K86:P86)),FALSE,TRUE)</f>
        <v>1</v>
      </c>
      <c r="C86" s="43" t="b">
        <f>OR(BR86=Driver!$G$50,Data!BR81=Driver!$H$50)</f>
        <v>1</v>
      </c>
      <c r="D86" s="43" t="b">
        <f>OR(BV86=Driver!$G$51,BV86=Driver!$H$51)</f>
        <v>0</v>
      </c>
      <c r="E86" s="43" t="b">
        <f>AND(BX86&gt;Driver!$F$54,BX86&lt;Driver!$G$54)</f>
        <v>1</v>
      </c>
      <c r="F86" s="43" t="b">
        <f>CL86&gt;Driver!$F$56</f>
        <v>1</v>
      </c>
      <c r="G86" s="43" t="b">
        <f>AND(CB86&gt;Driver!$F$55,CB86&lt;Driver!$G$55)</f>
        <v>1</v>
      </c>
      <c r="H86" s="43" t="b">
        <f t="shared" si="37"/>
        <v>0</v>
      </c>
      <c r="I86" s="43">
        <f t="shared" si="38"/>
        <v>0</v>
      </c>
      <c r="J86" s="43" t="b">
        <f t="array" ref="J86">NOT(OR(($H$9:$H$1273=TRUE)*($I$9:$I$1273&gt;0)*($BT$9:$BT$1273=BT86)*($K$9:$K$1273&gt;K86)))</f>
        <v>1</v>
      </c>
      <c r="K86" s="72">
        <f t="shared" si="39"/>
        <v>0.86932503653020088</v>
      </c>
      <c r="L86" s="72">
        <f t="shared" si="40"/>
        <v>0.98889026578096817</v>
      </c>
      <c r="M86" s="72">
        <f t="shared" si="41"/>
        <v>0.74975980727943359</v>
      </c>
      <c r="N86" s="72">
        <f t="shared" si="42"/>
        <v>0.70245928081925868</v>
      </c>
      <c r="O86" s="72">
        <f t="shared" si="43"/>
        <v>0.6443572676840541</v>
      </c>
      <c r="P86" s="72">
        <f t="shared" si="44"/>
        <v>0.90246287333498798</v>
      </c>
      <c r="Q86" s="72"/>
      <c r="R86" s="72"/>
      <c r="S86" s="72">
        <f t="shared" si="45"/>
        <v>0.46774041713285686</v>
      </c>
      <c r="T86" s="72">
        <f t="shared" si="46"/>
        <v>0.48108753754100186</v>
      </c>
      <c r="U86" s="72">
        <f t="shared" si="47"/>
        <v>0.64244465043887622</v>
      </c>
      <c r="V86" s="72">
        <f t="shared" si="48"/>
        <v>0.5428968221516508</v>
      </c>
      <c r="W86" s="72">
        <f t="shared" si="49"/>
        <v>0.79251702100998289</v>
      </c>
      <c r="X86" s="72">
        <f t="shared" si="50"/>
        <v>1.1109734219031886E-2</v>
      </c>
      <c r="Y86" s="72">
        <f t="shared" si="51"/>
        <v>0.25024019272056641</v>
      </c>
      <c r="Z86" s="72">
        <f t="shared" si="52"/>
        <v>0.29754071918074132</v>
      </c>
      <c r="AA86" s="72">
        <f t="shared" si="53"/>
        <v>0.35564273231594584</v>
      </c>
      <c r="AB86" s="72">
        <f t="shared" si="54"/>
        <v>9.7537126665012019E-2</v>
      </c>
      <c r="AC86" s="72"/>
      <c r="AD86" s="72"/>
      <c r="AE86" s="72">
        <f t="shared" si="55"/>
        <v>0.53225958286714314</v>
      </c>
      <c r="AF86" s="72">
        <f t="shared" si="56"/>
        <v>0.51891246245899814</v>
      </c>
      <c r="AG86" s="72">
        <f t="shared" si="57"/>
        <v>0.35755534956112378</v>
      </c>
      <c r="AH86" s="72">
        <f t="shared" si="58"/>
        <v>0.45710317784834914</v>
      </c>
      <c r="AI86" s="72">
        <f t="shared" si="59"/>
        <v>0.20748297899001714</v>
      </c>
      <c r="AJ86" s="72">
        <f>(AV86-Driver!$K$179)/(Driver!$L$179-Driver!$K$179)</f>
        <v>0.26532914350173231</v>
      </c>
      <c r="AK86" s="72">
        <f>(AW86-Driver!$K$180)/(Driver!$L$180-Driver!$K$180)</f>
        <v>0.35802088046177732</v>
      </c>
      <c r="AL86" s="72">
        <f>(AX86-Driver!$K$181)/(Driver!$L$181-Driver!$K$181)</f>
        <v>0.39922848289382151</v>
      </c>
      <c r="AM86" s="72">
        <f>(AY86-Driver!$K$182)/(Driver!$L$182-Driver!$K$182)</f>
        <v>9.1742288781100509E-2</v>
      </c>
      <c r="AN86" s="72">
        <f>(AZ86-Driver!$K$183)/(Driver!$L$183-Driver!$K$183)</f>
        <v>0.35175653594771245</v>
      </c>
      <c r="AO86" s="72"/>
      <c r="AP86" s="72"/>
      <c r="AQ86" s="72">
        <f>(BC86-Driver!$K$188)/(Driver!$L$188-Driver!$K$188)</f>
        <v>8.7740417132856838E-2</v>
      </c>
      <c r="AR86" s="72">
        <f>MIN((BD86-Driver!$K$189)/(Driver!$L$189-Driver!$K$189),100%)</f>
        <v>3.1087537541001867E-2</v>
      </c>
      <c r="AS86" s="72">
        <f>(BE86-Driver!$K$190)/(Driver!$L$190-Driver!$K$190)</f>
        <v>0.15244465043887626</v>
      </c>
      <c r="AT86" s="72">
        <f>(BF86-Driver!$K$191)/(Driver!$L$191-Driver!$K$191)</f>
        <v>5.2896822151650848E-2</v>
      </c>
      <c r="AU86" s="72">
        <f>(BG86-Driver!$K$192)/(Driver!$L$192-Driver!$K$192)</f>
        <v>4.2517021009982871E-2</v>
      </c>
      <c r="AV86" s="70">
        <f t="shared" si="60"/>
        <v>5.5843847510514175</v>
      </c>
      <c r="AW86" s="70">
        <f t="shared" si="61"/>
        <v>36.764199810181239</v>
      </c>
      <c r="AX86" s="70">
        <f t="shared" si="62"/>
        <v>4.5930563460443938</v>
      </c>
      <c r="AY86" s="70">
        <f>IFERROR(Driver!$K$19/Data!BH86/Data!BI86*Data!BK86*Data!BL86,"")</f>
        <v>0.11231993472507849</v>
      </c>
      <c r="AZ86" s="70">
        <f t="shared" si="63"/>
        <v>32.058823529411768</v>
      </c>
      <c r="BA86" s="70"/>
      <c r="BB86" s="70"/>
      <c r="BC86" s="70">
        <f t="shared" si="64"/>
        <v>45.511564328296991</v>
      </c>
      <c r="BD86" s="70">
        <f t="shared" si="65"/>
        <v>4.4720148726193525</v>
      </c>
      <c r="BE86" s="70">
        <f t="shared" si="66"/>
        <v>0.15259584477359614</v>
      </c>
      <c r="BF86" s="70">
        <f t="shared" si="67"/>
        <v>5.9743244408210536</v>
      </c>
      <c r="BG86" s="70">
        <f t="shared" si="68"/>
        <v>0.1609965644709912</v>
      </c>
      <c r="BH86" s="67">
        <f>MAX((CE86-Driver!$F$200)/(Driver!$G$200-Driver!$F$200)*$BI$1,1)</f>
        <v>4.5930563460443938</v>
      </c>
      <c r="BI86" s="67">
        <f>MAX($BI$1*(BY86-Driver!$F$201)/(Driver!$G$201-Driver!$F$201),1)</f>
        <v>6.8987341772151902</v>
      </c>
      <c r="BJ86" s="67">
        <f>(CB86-Driver!$F$206)/(Driver!$G$206-Driver!$F$206)*$BI$1</f>
        <v>5.8730158730158735</v>
      </c>
      <c r="BK86" s="67">
        <f>(CD86-Driver!$F$203)/(Driver!$G$203-Driver!$F$203)*$BI$1</f>
        <v>3.4403669724770634</v>
      </c>
      <c r="BL86" s="67">
        <f>MAX((CR86-Driver!$F$202)/(Driver!$G$202-Driver!$F$202)*$BI$1,1)</f>
        <v>5.1724137931034484</v>
      </c>
      <c r="BM86" s="67">
        <f>MAX((CH86-Driver!$F$204)/(Driver!$G$204-Driver!$F$204)*$BI$1,1)</f>
        <v>3.8034188034188032</v>
      </c>
      <c r="BN86" s="67">
        <f>(CI86-Driver!$F$205)/(Driver!$G$205-Driver!$F$205)*$BI$1</f>
        <v>4.6470588235294121</v>
      </c>
      <c r="BO86" s="67">
        <f>(CK86-Driver!$F$207)/(Driver!$G$207-Driver!$F$207)*$BI$1</f>
        <v>2.0062047569803516</v>
      </c>
      <c r="BP86" s="67">
        <f>(CM86-Driver!$F$208)/(Driver!$G$208-Driver!$F$208)*$BI$1</f>
        <v>1.7444444444444445</v>
      </c>
      <c r="BQ86" s="67">
        <f>(CL86-Driver!$F$209)/(Driver!$G$209-Driver!$F$209)*$BI$1</f>
        <v>2.8125</v>
      </c>
      <c r="BR86" s="28" t="s">
        <v>155</v>
      </c>
      <c r="BS86" s="8" t="s">
        <v>182</v>
      </c>
      <c r="BT86" s="9" t="s">
        <v>287</v>
      </c>
      <c r="BU86" s="10">
        <v>164</v>
      </c>
      <c r="BV86" s="9" t="s">
        <v>163</v>
      </c>
      <c r="BW86" s="10">
        <v>164</v>
      </c>
      <c r="BX86" s="10">
        <v>163.5</v>
      </c>
      <c r="BY86" s="10">
        <v>117</v>
      </c>
      <c r="BZ86" s="10">
        <v>136</v>
      </c>
      <c r="CA86" s="10">
        <v>132</v>
      </c>
      <c r="CB86" s="10">
        <v>101</v>
      </c>
      <c r="CC86" s="10">
        <v>122</v>
      </c>
      <c r="CD86" s="10">
        <v>16.899999999999999</v>
      </c>
      <c r="CE86" s="10">
        <v>1707</v>
      </c>
      <c r="CF86" s="10">
        <v>1.07</v>
      </c>
      <c r="CG86" s="10">
        <v>1819</v>
      </c>
      <c r="CH86" s="10">
        <v>190</v>
      </c>
      <c r="CI86" s="10">
        <v>112</v>
      </c>
      <c r="CJ86" s="10">
        <v>53</v>
      </c>
      <c r="CK86" s="10">
        <v>304</v>
      </c>
      <c r="CL86" s="10">
        <v>18</v>
      </c>
      <c r="CM86" s="10">
        <v>157</v>
      </c>
      <c r="CN86" s="10">
        <v>0.33</v>
      </c>
      <c r="CO86" s="10">
        <v>162</v>
      </c>
      <c r="CP86" s="10">
        <v>116</v>
      </c>
      <c r="CQ86" s="10">
        <v>142</v>
      </c>
      <c r="CR86" s="10">
        <v>4</v>
      </c>
      <c r="CS86" s="10">
        <v>7.5</v>
      </c>
      <c r="CT86" s="9" t="s">
        <v>188</v>
      </c>
      <c r="CU86" s="9" t="s">
        <v>178</v>
      </c>
      <c r="CV86" s="9" t="s">
        <v>185</v>
      </c>
      <c r="CW86" s="10"/>
      <c r="CX86" t="str">
        <f>INDEX('Data_Price '!AG$2:AG$1266,MATCH(Data!$DN86,'Data_Price '!$AT$2:$AT$1266,0))</f>
        <v>Armada Reliance 102 Ti Skis - Women's 2022</v>
      </c>
      <c r="CY86" t="str">
        <f>INDEX('Data_Price '!AH$2:AH$1266,MATCH(Data!$DN86,'Data_Price '!$AT$2:$AT$1266,0))</f>
        <v>Ski Pro  - Snow Ski &amp; Snowboard</v>
      </c>
      <c r="CZ86">
        <f>INDEX('Data_Price '!AI$2:AI$1266,MATCH(Data!$DN86,'Data_Price '!$AT$2:$AT$1266,0))</f>
        <v>639.95000000000005</v>
      </c>
      <c r="DA86" t="str">
        <f>INDEX('Data_Price '!AJ$2:AJ$1266,MATCH(Data!$DN86,'Data_Price '!$AT$2:$AT$1266,0))</f>
        <v>https://tinyurl.com/y8s2jwun</v>
      </c>
      <c r="DB86" t="str">
        <f>INDEX('Data_Price '!AK$2:AK$1266,MATCH(Data!$DN86,'Data_Price '!$AT$2:$AT$1266,0))</f>
        <v>Armada Reliance 102 Ti Skis - Women's 2022</v>
      </c>
      <c r="DC86" t="str">
        <f>INDEX('Data_Price '!AL$2:AL$1266,MATCH(Data!$DN86,'Data_Price '!$AT$2:$AT$1266,0))</f>
        <v>Absolute-Snow.co.uk</v>
      </c>
      <c r="DD86">
        <f>INDEX('Data_Price '!AM$2:AM$1266,MATCH(Data!$DN86,'Data_Price '!$AT$2:$AT$1266,0))</f>
        <v>656.91</v>
      </c>
      <c r="DE86" t="str">
        <f>INDEX('Data_Price '!AN$2:AN$1266,MATCH(Data!$DN86,'Data_Price '!$AT$2:$AT$1266,0))</f>
        <v>https://tinyurl.com/ybtnk73h</v>
      </c>
      <c r="DF86" t="str">
        <f>INDEX('Data_Price '!AO$2:AO$1266,MATCH(Data!$DN86,'Data_Price '!$AT$2:$AT$1266,0))</f>
        <v>Armada Reliance 102 Ti+warden 11 Alpine Skis Woman 164</v>
      </c>
      <c r="DG86" t="str">
        <f>INDEX('Data_Price '!AP$2:AP$1266,MATCH(Data!$DN86,'Data_Price '!$AT$2:$AT$1266,0))</f>
        <v>Snowinn.com</v>
      </c>
      <c r="DH86">
        <f>INDEX('Data_Price '!AQ$2:AQ$1266,MATCH(Data!$DN86,'Data_Price '!$AT$2:$AT$1266,0))</f>
        <v>677.99</v>
      </c>
      <c r="DI86" t="str">
        <f>INDEX('Data_Price '!AR$2:AR$1266,MATCH(Data!$DN86,'Data_Price '!$AT$2:$AT$1266,0))</f>
        <v>https://tinyurl.com/y7e8yz6o</v>
      </c>
      <c r="DJ86" s="89" t="str">
        <f t="shared" si="69"/>
        <v>https://tinyurl.com/y8s2jwun</v>
      </c>
      <c r="DK86" s="89" t="str">
        <f t="shared" si="70"/>
        <v>https://tinyurl.com/ybtnk73h</v>
      </c>
      <c r="DL86" s="89" t="str">
        <f t="shared" si="71"/>
        <v>https://tinyurl.com/y7e8yz6o</v>
      </c>
      <c r="DM86" s="219" t="str">
        <f t="shared" si="72"/>
        <v>Reliance 102 Ti</v>
      </c>
      <c r="DN86" s="89" t="str">
        <f t="shared" si="73"/>
        <v xml:space="preserve"> ArmadaReliance 102 Ti164 Women's</v>
      </c>
      <c r="DO86" s="221" t="s">
        <v>288</v>
      </c>
    </row>
    <row r="87" spans="2:119" ht="15.6" customHeight="1">
      <c r="B87" s="219" t="b">
        <f t="array" ref="B87">IF(OR(ISERROR(K87:P87)),FALSE,TRUE)</f>
        <v>1</v>
      </c>
      <c r="C87" s="43" t="b">
        <f>OR(BR87=Driver!$G$50,Data!BR103=Driver!$H$50)</f>
        <v>1</v>
      </c>
      <c r="D87" s="43" t="b">
        <f>OR(BV87=Driver!$G$51,BV87=Driver!$H$51)</f>
        <v>0</v>
      </c>
      <c r="E87" s="43" t="b">
        <f>AND(BX87&gt;Driver!$F$54,BX87&lt;Driver!$G$54)</f>
        <v>0</v>
      </c>
      <c r="F87" s="43" t="b">
        <f>CL87&gt;Driver!$F$56</f>
        <v>1</v>
      </c>
      <c r="G87" s="43" t="b">
        <f>AND(CB87&gt;Driver!$F$55,CB87&lt;Driver!$G$55)</f>
        <v>0</v>
      </c>
      <c r="H87" s="43" t="b">
        <f t="shared" si="37"/>
        <v>0</v>
      </c>
      <c r="I87" s="43">
        <f t="shared" si="38"/>
        <v>0</v>
      </c>
      <c r="J87" s="43" t="b">
        <f t="array" ref="J87">NOT(OR(($H$9:$H$1273=TRUE)*($I$9:$I$1273&gt;0)*($BT$9:$BT$1273=BT87)*($K$9:$K$1273&gt;K87)))</f>
        <v>1</v>
      </c>
      <c r="K87" s="72">
        <f t="shared" si="39"/>
        <v>0.8754375689062891</v>
      </c>
      <c r="L87" s="72">
        <f t="shared" si="40"/>
        <v>0.94254152859498874</v>
      </c>
      <c r="M87" s="72">
        <f t="shared" si="41"/>
        <v>0.80833360921758957</v>
      </c>
      <c r="N87" s="72">
        <f t="shared" si="42"/>
        <v>0.82071641102858006</v>
      </c>
      <c r="O87" s="72">
        <f t="shared" si="43"/>
        <v>0.67400291583822003</v>
      </c>
      <c r="P87" s="72">
        <f t="shared" si="44"/>
        <v>0.93028150078596838</v>
      </c>
      <c r="Q87" s="72"/>
      <c r="R87" s="72"/>
      <c r="S87" s="72">
        <f t="shared" si="45"/>
        <v>0.47126240483117809</v>
      </c>
      <c r="T87" s="72">
        <f t="shared" si="46"/>
        <v>0.46674759537368393</v>
      </c>
      <c r="U87" s="72">
        <f t="shared" si="47"/>
        <v>0.7834018088567869</v>
      </c>
      <c r="V87" s="72">
        <f t="shared" si="48"/>
        <v>0.52349821260458407</v>
      </c>
      <c r="W87" s="72">
        <f t="shared" si="49"/>
        <v>0.81655841325196166</v>
      </c>
      <c r="X87" s="72">
        <f t="shared" si="50"/>
        <v>5.7458471405011285E-2</v>
      </c>
      <c r="Y87" s="72">
        <f t="shared" si="51"/>
        <v>0.19166639078241046</v>
      </c>
      <c r="Z87" s="72">
        <f t="shared" si="52"/>
        <v>0.17928358897141988</v>
      </c>
      <c r="AA87" s="72">
        <f t="shared" si="53"/>
        <v>0.32599708416177997</v>
      </c>
      <c r="AB87" s="72">
        <f t="shared" si="54"/>
        <v>6.9718499214031615E-2</v>
      </c>
      <c r="AC87" s="72"/>
      <c r="AD87" s="72"/>
      <c r="AE87" s="72">
        <f t="shared" si="55"/>
        <v>0.52873759516882191</v>
      </c>
      <c r="AF87" s="72">
        <f t="shared" si="56"/>
        <v>0.53325240462631607</v>
      </c>
      <c r="AG87" s="72">
        <f t="shared" si="57"/>
        <v>0.2165981911432131</v>
      </c>
      <c r="AH87" s="72">
        <f t="shared" si="58"/>
        <v>0.47650178739541593</v>
      </c>
      <c r="AI87" s="72">
        <f t="shared" si="59"/>
        <v>0.18344158674803834</v>
      </c>
      <c r="AJ87" s="72">
        <f>(AV87-Driver!$K$179)/(Driver!$L$179-Driver!$K$179)</f>
        <v>0.19676093787768914</v>
      </c>
      <c r="AK87" s="72">
        <f>(AW87-Driver!$K$180)/(Driver!$L$180-Driver!$K$180)</f>
        <v>0.32145788764626215</v>
      </c>
      <c r="AL87" s="72">
        <f>(AX87-Driver!$K$181)/(Driver!$L$181-Driver!$K$181)</f>
        <v>0.28097135268450008</v>
      </c>
      <c r="AM87" s="72">
        <f>(AY87-Driver!$K$182)/(Driver!$L$182-Driver!$K$182)</f>
        <v>0.12138793693526638</v>
      </c>
      <c r="AN87" s="72">
        <f>(AZ87-Driver!$K$183)/(Driver!$L$183-Driver!$K$183)</f>
        <v>0.32393790849673204</v>
      </c>
      <c r="AO87" s="72"/>
      <c r="AP87" s="72"/>
      <c r="AQ87" s="72">
        <f>(BC87-Driver!$K$188)/(Driver!$L$188-Driver!$K$188)</f>
        <v>9.1262404831178132E-2</v>
      </c>
      <c r="AR87" s="72">
        <f>MIN((BD87-Driver!$K$189)/(Driver!$L$189-Driver!$K$189),100%)</f>
        <v>1.6747595373684001E-2</v>
      </c>
      <c r="AS87" s="72">
        <f>(BE87-Driver!$K$190)/(Driver!$L$190-Driver!$K$190)</f>
        <v>0.29340180885678691</v>
      </c>
      <c r="AT87" s="72">
        <f>(BF87-Driver!$K$191)/(Driver!$L$191-Driver!$K$191)</f>
        <v>3.3498212604584049E-2</v>
      </c>
      <c r="AU87" s="72">
        <f>(BG87-Driver!$K$192)/(Driver!$L$192-Driver!$K$192)</f>
        <v>6.6558413251961643E-2</v>
      </c>
      <c r="AV87" s="70">
        <f t="shared" si="60"/>
        <v>4.1412291412291413</v>
      </c>
      <c r="AW87" s="70">
        <f t="shared" si="61"/>
        <v>33.200812179234859</v>
      </c>
      <c r="AX87" s="70">
        <f t="shared" si="62"/>
        <v>3.5287421741605005</v>
      </c>
      <c r="AY87" s="70">
        <f>IFERROR(Driver!$K$19/Data!BH87/Data!BI87*Data!BK87*Data!BL87,"")</f>
        <v>0.14861505347346221</v>
      </c>
      <c r="AZ87" s="70">
        <f t="shared" si="63"/>
        <v>29.523454951600893</v>
      </c>
      <c r="BA87" s="70"/>
      <c r="BB87" s="70"/>
      <c r="BC87" s="70">
        <f t="shared" si="64"/>
        <v>47.338443831877498</v>
      </c>
      <c r="BD87" s="70">
        <f t="shared" si="65"/>
        <v>3.2029553996857199</v>
      </c>
      <c r="BE87" s="70">
        <f t="shared" si="66"/>
        <v>0.29352785802098547</v>
      </c>
      <c r="BF87" s="70">
        <f t="shared" si="67"/>
        <v>3.783387775425004</v>
      </c>
      <c r="BG87" s="70">
        <f t="shared" si="68"/>
        <v>0.25203261224934614</v>
      </c>
      <c r="BH87" s="67">
        <f>MAX((CE87-Driver!$F$200)/(Driver!$G$200-Driver!$F$200)*$BI$1,1)</f>
        <v>3.5287421741605005</v>
      </c>
      <c r="BI87" s="67">
        <f>MAX($BI$1*(BY87-Driver!$F$201)/(Driver!$G$201-Driver!$F$201),1)</f>
        <v>7.7215189873417724</v>
      </c>
      <c r="BJ87" s="67">
        <f>(CB87-Driver!$F$206)/(Driver!$G$206-Driver!$F$206)*$BI$1</f>
        <v>5.2380952380952381</v>
      </c>
      <c r="BK87" s="67">
        <f>(CD87-Driver!$F$203)/(Driver!$G$203-Driver!$F$203)*$BI$1</f>
        <v>3.6697247706422016</v>
      </c>
      <c r="BL87" s="67">
        <f>MAX((CR87-Driver!$F$202)/(Driver!$G$202-Driver!$F$202)*$BI$1,1)</f>
        <v>5.5172413793103452</v>
      </c>
      <c r="BM87" s="67">
        <f>MAX((CH87-Driver!$F$204)/(Driver!$G$204-Driver!$F$204)*$BI$1,1)</f>
        <v>3.1623931623931623</v>
      </c>
      <c r="BN87" s="67">
        <f>(CI87-Driver!$F$205)/(Driver!$G$205-Driver!$F$205)*$BI$1</f>
        <v>3.8235294117647056</v>
      </c>
      <c r="BO87" s="67">
        <f>(CK87-Driver!$F$207)/(Driver!$G$207-Driver!$F$207)*$BI$1</f>
        <v>1.5098241985522234</v>
      </c>
      <c r="BP87" s="67">
        <f>(CM87-Driver!$F$208)/(Driver!$G$208-Driver!$F$208)*$BI$1</f>
        <v>1.7555555555555555</v>
      </c>
      <c r="BQ87" s="67">
        <f>(CL87-Driver!$F$209)/(Driver!$G$209-Driver!$F$209)*$BI$1</f>
        <v>2.8125</v>
      </c>
      <c r="BR87" s="28" t="s">
        <v>155</v>
      </c>
      <c r="BS87" s="8" t="s">
        <v>182</v>
      </c>
      <c r="BT87" s="9" t="s">
        <v>289</v>
      </c>
      <c r="BU87" s="10">
        <v>172</v>
      </c>
      <c r="BV87" s="9" t="s">
        <v>163</v>
      </c>
      <c r="BW87" s="10">
        <v>172</v>
      </c>
      <c r="BX87" s="10">
        <v>171.6</v>
      </c>
      <c r="BY87" s="10">
        <v>130</v>
      </c>
      <c r="BZ87" s="10">
        <v>144</v>
      </c>
      <c r="CA87" s="10">
        <v>128</v>
      </c>
      <c r="CB87" s="10">
        <v>97</v>
      </c>
      <c r="CC87" s="10">
        <v>120</v>
      </c>
      <c r="CD87" s="10">
        <v>17.399999999999999</v>
      </c>
      <c r="CE87" s="10">
        <v>1520</v>
      </c>
      <c r="CF87" s="10">
        <v>1.21</v>
      </c>
      <c r="CG87" s="10">
        <v>1843</v>
      </c>
      <c r="CH87" s="10">
        <v>175</v>
      </c>
      <c r="CI87" s="10">
        <v>98</v>
      </c>
      <c r="CJ87" s="10">
        <v>43</v>
      </c>
      <c r="CK87" s="10">
        <v>256</v>
      </c>
      <c r="CL87" s="10">
        <v>18</v>
      </c>
      <c r="CM87" s="10">
        <v>158</v>
      </c>
      <c r="CN87" s="10">
        <v>0.40699999999999997</v>
      </c>
      <c r="CO87" s="10">
        <v>171</v>
      </c>
      <c r="CP87" s="10">
        <v>104</v>
      </c>
      <c r="CQ87" s="10">
        <v>85</v>
      </c>
      <c r="CR87" s="10">
        <v>5</v>
      </c>
      <c r="CS87" s="10">
        <v>9.5</v>
      </c>
      <c r="CT87" s="9" t="s">
        <v>188</v>
      </c>
      <c r="CU87" s="9" t="s">
        <v>185</v>
      </c>
      <c r="CV87" s="10"/>
      <c r="CW87" s="10"/>
      <c r="CX87" t="str">
        <f>INDEX('Data_Price '!AG$2:AG$1266,MATCH(Data!$DN87,'Data_Price '!$AT$2:$AT$1266,0))</f>
        <v>Armada Trace 98 Skis - Women's 2022</v>
      </c>
      <c r="CY87" t="str">
        <f>INDEX('Data_Price '!AH$2:AH$1266,MATCH(Data!$DN87,'Data_Price '!$AT$2:$AT$1266,0))</f>
        <v>Snowcountry.eu</v>
      </c>
      <c r="CZ87">
        <f>INDEX('Data_Price '!AI$2:AI$1266,MATCH(Data!$DN87,'Data_Price '!$AT$2:$AT$1266,0))</f>
        <v>414</v>
      </c>
      <c r="DA87" t="str">
        <f>INDEX('Data_Price '!AJ$2:AJ$1266,MATCH(Data!$DN87,'Data_Price '!$AT$2:$AT$1266,0))</f>
        <v>https://tinyurl.com/ya4thnn4</v>
      </c>
      <c r="DB87" t="str">
        <f>INDEX('Data_Price '!AK$2:AK$1266,MATCH(Data!$DN87,'Data_Price '!$AT$2:$AT$1266,0))</f>
        <v>Armada Trace 98 Skis - Women's 2022</v>
      </c>
      <c r="DC87" t="str">
        <f>INDEX('Data_Price '!AL$2:AL$1266,MATCH(Data!$DN87,'Data_Price '!$AT$2:$AT$1266,0))</f>
        <v>REI</v>
      </c>
      <c r="DD87">
        <f>INDEX('Data_Price '!AM$2:AM$1266,MATCH(Data!$DN87,'Data_Price '!$AT$2:$AT$1266,0))</f>
        <v>559.92999999999995</v>
      </c>
      <c r="DE87" t="str">
        <f>INDEX('Data_Price '!AN$2:AN$1266,MATCH(Data!$DN87,'Data_Price '!$AT$2:$AT$1266,0))</f>
        <v>https://tinyurl.com/y87sulks</v>
      </c>
      <c r="DF87" t="str">
        <f>INDEX('Data_Price '!AO$2:AO$1266,MATCH(Data!$DN87,'Data_Price '!$AT$2:$AT$1266,0))</f>
        <v>Armada Trace 98 Skis - Women's 2022</v>
      </c>
      <c r="DG87" t="str">
        <f>INDEX('Data_Price '!AP$2:AP$1266,MATCH(Data!$DN87,'Data_Price '!$AT$2:$AT$1266,0))</f>
        <v>evo.com</v>
      </c>
      <c r="DH87">
        <f>INDEX('Data_Price '!AQ$2:AQ$1266,MATCH(Data!$DN87,'Data_Price '!$AT$2:$AT$1266,0))</f>
        <v>559.96</v>
      </c>
      <c r="DI87" t="str">
        <f>INDEX('Data_Price '!AR$2:AR$1266,MATCH(Data!$DN87,'Data_Price '!$AT$2:$AT$1266,0))</f>
        <v>https://tinyurl.com/ydduj3ma</v>
      </c>
      <c r="DJ87" s="89" t="str">
        <f t="shared" si="69"/>
        <v>https://tinyurl.com/ya4thnn4</v>
      </c>
      <c r="DK87" s="89" t="str">
        <f t="shared" si="70"/>
        <v>https://tinyurl.com/y87sulks</v>
      </c>
      <c r="DL87" s="89" t="str">
        <f t="shared" si="71"/>
        <v>https://tinyurl.com/ydduj3ma</v>
      </c>
      <c r="DM87" s="219" t="str">
        <f t="shared" si="72"/>
        <v>Trace 98</v>
      </c>
      <c r="DN87" s="89" t="str">
        <f t="shared" si="73"/>
        <v xml:space="preserve"> ArmadaTrace 98172 Women's</v>
      </c>
      <c r="DO87" s="221" t="s">
        <v>290</v>
      </c>
    </row>
    <row r="88" spans="2:119" ht="15.6" customHeight="1">
      <c r="B88" s="219" t="b">
        <f t="array" ref="B88">IF(OR(ISERROR(K88:P88)),FALSE,TRUE)</f>
        <v>1</v>
      </c>
      <c r="C88" s="43" t="b">
        <f>OR(BR88=Driver!$G$50,Data!BR578=Driver!$H$50)</f>
        <v>1</v>
      </c>
      <c r="D88" s="43" t="b">
        <f>OR(BV88=Driver!$G$51,BV88=Driver!$H$51)</f>
        <v>0</v>
      </c>
      <c r="E88" s="43" t="b">
        <f>AND(BX88&gt;Driver!$F$54,BX88&lt;Driver!$G$54)</f>
        <v>1</v>
      </c>
      <c r="F88" s="43" t="b">
        <f>CL88&gt;Driver!$F$56</f>
        <v>1</v>
      </c>
      <c r="G88" s="43" t="b">
        <f>AND(CB88&gt;Driver!$F$55,CB88&lt;Driver!$G$55)</f>
        <v>0</v>
      </c>
      <c r="H88" s="43" t="b">
        <f t="shared" si="37"/>
        <v>0</v>
      </c>
      <c r="I88" s="43">
        <f t="shared" si="38"/>
        <v>0</v>
      </c>
      <c r="J88" s="43" t="b">
        <f t="array" ref="J88">NOT(OR(($H$9:$H$1273=TRUE)*($I$9:$I$1273&gt;0)*($BT$9:$BT$1273=BT88)*($K$9:$K$1273&gt;K88)))</f>
        <v>1</v>
      </c>
      <c r="K88" s="72">
        <f t="shared" si="39"/>
        <v>0.8211800254741668</v>
      </c>
      <c r="L88" s="72">
        <f t="shared" si="40"/>
        <v>0.89081322305957655</v>
      </c>
      <c r="M88" s="72">
        <f t="shared" si="41"/>
        <v>0.75154682788875715</v>
      </c>
      <c r="N88" s="72">
        <f t="shared" si="42"/>
        <v>0.73913796291626754</v>
      </c>
      <c r="O88" s="72">
        <f t="shared" si="43"/>
        <v>0.60870958205553882</v>
      </c>
      <c r="P88" s="72">
        <f t="shared" si="44"/>
        <v>0.90679293869446509</v>
      </c>
      <c r="Q88" s="72"/>
      <c r="R88" s="72"/>
      <c r="S88" s="72">
        <f t="shared" si="45"/>
        <v>0.43882179293406387</v>
      </c>
      <c r="T88" s="72">
        <f t="shared" si="46"/>
        <v>0.54201452819422324</v>
      </c>
      <c r="U88" s="72">
        <f t="shared" si="47"/>
        <v>0.64782924767170835</v>
      </c>
      <c r="V88" s="72">
        <f t="shared" si="48"/>
        <v>0.56550823075136458</v>
      </c>
      <c r="W88" s="72">
        <f t="shared" si="49"/>
        <v>0.79530040053404538</v>
      </c>
      <c r="X88" s="72">
        <f t="shared" si="50"/>
        <v>0.10918677694042345</v>
      </c>
      <c r="Y88" s="72">
        <f t="shared" si="51"/>
        <v>0.24845317211124285</v>
      </c>
      <c r="Z88" s="72">
        <f t="shared" si="52"/>
        <v>0.26086203708373251</v>
      </c>
      <c r="AA88" s="72">
        <f t="shared" si="53"/>
        <v>0.39129041794446118</v>
      </c>
      <c r="AB88" s="72">
        <f t="shared" si="54"/>
        <v>9.3207061305534855E-2</v>
      </c>
      <c r="AC88" s="72"/>
      <c r="AD88" s="72"/>
      <c r="AE88" s="72">
        <f t="shared" si="55"/>
        <v>0.56117820706593613</v>
      </c>
      <c r="AF88" s="72">
        <f t="shared" si="56"/>
        <v>0.45798547180577681</v>
      </c>
      <c r="AG88" s="72">
        <f t="shared" si="57"/>
        <v>0.35217075232829165</v>
      </c>
      <c r="AH88" s="72">
        <f t="shared" si="58"/>
        <v>0.43449176924863542</v>
      </c>
      <c r="AI88" s="72">
        <f t="shared" si="59"/>
        <v>0.20469959946595462</v>
      </c>
      <c r="AJ88" s="72">
        <f>(AV88-Driver!$K$179)/(Driver!$L$179-Driver!$K$179)</f>
        <v>0.14503263234227698</v>
      </c>
      <c r="AK88" s="72">
        <f>(AW88-Driver!$K$180)/(Driver!$L$180-Driver!$K$180)</f>
        <v>0.35013662649632143</v>
      </c>
      <c r="AL88" s="72">
        <f>(AX88-Driver!$K$181)/(Driver!$L$181-Driver!$K$181)</f>
        <v>0.3625498007968127</v>
      </c>
      <c r="AM88" s="72">
        <f>(AY88-Driver!$K$182)/(Driver!$L$182-Driver!$K$182)</f>
        <v>5.6094603152585215E-2</v>
      </c>
      <c r="AN88" s="72">
        <f>(AZ88-Driver!$K$183)/(Driver!$L$183-Driver!$K$183)</f>
        <v>0.34742647058823528</v>
      </c>
      <c r="AO88" s="72"/>
      <c r="AP88" s="72"/>
      <c r="AQ88" s="72">
        <f>(BC88-Driver!$K$188)/(Driver!$L$188-Driver!$K$188)</f>
        <v>5.8821792934063852E-2</v>
      </c>
      <c r="AR88" s="72">
        <f>MIN((BD88-Driver!$K$189)/(Driver!$L$189-Driver!$K$189),100%)</f>
        <v>9.2014528194223219E-2</v>
      </c>
      <c r="AS88" s="72">
        <f>(BE88-Driver!$K$190)/(Driver!$L$190-Driver!$K$190)</f>
        <v>0.15782924767170836</v>
      </c>
      <c r="AT88" s="72">
        <f>(BF88-Driver!$K$191)/(Driver!$L$191-Driver!$K$191)</f>
        <v>7.5508230751364605E-2</v>
      </c>
      <c r="AU88" s="72">
        <f>(BG88-Driver!$K$192)/(Driver!$L$192-Driver!$K$192)</f>
        <v>4.5300400534045396E-2</v>
      </c>
      <c r="AV88" s="70">
        <f t="shared" si="60"/>
        <v>3.0525030525030523</v>
      </c>
      <c r="AW88" s="70">
        <f t="shared" si="61"/>
        <v>35.995809399650518</v>
      </c>
      <c r="AX88" s="70">
        <f t="shared" si="62"/>
        <v>4.2629482071713145</v>
      </c>
      <c r="AY88" s="70">
        <f>IFERROR(Driver!$K$19/Data!BH88/Data!BI88*Data!BK88*Data!BL88,"")</f>
        <v>6.8676531272953215E-2</v>
      </c>
      <c r="AZ88" s="70">
        <f t="shared" si="63"/>
        <v>31.664184661206253</v>
      </c>
      <c r="BA88" s="70"/>
      <c r="BB88" s="70"/>
      <c r="BC88" s="70">
        <f t="shared" si="64"/>
        <v>30.511272917369212</v>
      </c>
      <c r="BD88" s="70">
        <f t="shared" si="65"/>
        <v>9.8639455891901111</v>
      </c>
      <c r="BE88" s="70">
        <f t="shared" si="66"/>
        <v>0.15797948145488813</v>
      </c>
      <c r="BF88" s="70">
        <f t="shared" si="67"/>
        <v>8.528124188022792</v>
      </c>
      <c r="BG88" s="70">
        <f t="shared" si="68"/>
        <v>0.17153621495327104</v>
      </c>
      <c r="BH88" s="67">
        <f>MAX((CE88-Driver!$F$200)/(Driver!$G$200-Driver!$F$200)*$BI$1,1)</f>
        <v>4.2629482071713145</v>
      </c>
      <c r="BI88" s="67">
        <f>MAX($BI$1*(BY88-Driver!$F$201)/(Driver!$G$201-Driver!$F$201),1)</f>
        <v>6.6455696202531644</v>
      </c>
      <c r="BJ88" s="67">
        <f>(CB88-Driver!$F$206)/(Driver!$G$206-Driver!$F$206)*$BI$1</f>
        <v>3.8095238095238093</v>
      </c>
      <c r="BK88" s="67">
        <f>(CD88-Driver!$F$203)/(Driver!$G$203-Driver!$F$203)*$BI$1</f>
        <v>1.8807339449541285</v>
      </c>
      <c r="BL88" s="67">
        <f>MAX((CR88-Driver!$F$202)/(Driver!$G$202-Driver!$F$202)*$BI$1,1)</f>
        <v>5.1724137931034484</v>
      </c>
      <c r="BM88" s="67">
        <f>MAX((CH88-Driver!$F$204)/(Driver!$G$204-Driver!$F$204)*$BI$1,1)</f>
        <v>3.2051282051282053</v>
      </c>
      <c r="BN88" s="67">
        <f>(CI88-Driver!$F$205)/(Driver!$G$205-Driver!$F$205)*$BI$1</f>
        <v>4.7647058823529411</v>
      </c>
      <c r="BO88" s="67">
        <f>(CK88-Driver!$F$207)/(Driver!$G$207-Driver!$F$207)*$BI$1</f>
        <v>1.923474663908997</v>
      </c>
      <c r="BP88" s="67">
        <f>(CM88-Driver!$F$208)/(Driver!$G$208-Driver!$F$208)*$BI$1</f>
        <v>2.1888888888888887</v>
      </c>
      <c r="BQ88" s="67">
        <f>(CL88-Driver!$F$209)/(Driver!$G$209-Driver!$F$209)*$BI$1</f>
        <v>2.34375</v>
      </c>
      <c r="BR88" s="28" t="s">
        <v>155</v>
      </c>
      <c r="BS88" s="8" t="s">
        <v>245</v>
      </c>
      <c r="BT88" s="9" t="s">
        <v>291</v>
      </c>
      <c r="BU88" s="10">
        <v>163</v>
      </c>
      <c r="BV88" s="9" t="s">
        <v>163</v>
      </c>
      <c r="BW88" s="10">
        <v>163</v>
      </c>
      <c r="BX88" s="10">
        <v>162.1</v>
      </c>
      <c r="BY88" s="10">
        <v>113</v>
      </c>
      <c r="BZ88" s="10">
        <v>138</v>
      </c>
      <c r="CA88" s="10">
        <v>123</v>
      </c>
      <c r="CB88" s="10">
        <v>88</v>
      </c>
      <c r="CC88" s="10">
        <v>113</v>
      </c>
      <c r="CD88" s="10">
        <v>13.5</v>
      </c>
      <c r="CE88" s="10">
        <v>1649</v>
      </c>
      <c r="CF88" s="10">
        <v>1</v>
      </c>
      <c r="CG88" s="10">
        <v>1642</v>
      </c>
      <c r="CH88" s="10">
        <v>176</v>
      </c>
      <c r="CI88" s="10">
        <v>114</v>
      </c>
      <c r="CJ88" s="10">
        <v>49</v>
      </c>
      <c r="CK88" s="10">
        <v>296</v>
      </c>
      <c r="CL88" s="10">
        <v>15</v>
      </c>
      <c r="CM88" s="10">
        <v>197</v>
      </c>
      <c r="CN88" s="10">
        <v>0.3</v>
      </c>
      <c r="CO88" s="10">
        <v>121</v>
      </c>
      <c r="CP88" s="10">
        <v>121</v>
      </c>
      <c r="CQ88" s="10">
        <v>174</v>
      </c>
      <c r="CR88" s="10">
        <v>4</v>
      </c>
      <c r="CS88" s="10">
        <v>9.4</v>
      </c>
      <c r="CT88" s="9" t="s">
        <v>188</v>
      </c>
      <c r="CU88" s="10"/>
      <c r="CV88" s="10"/>
      <c r="CW88" s="10"/>
      <c r="CX88" t="str">
        <f>INDEX('Data_Price '!AG$2:AG$1266,MATCH(Data!$DN88,'Data_Price '!$AT$2:$AT$1266,0))</f>
        <v>Fischer Ranger 92 Ti Ski 163</v>
      </c>
      <c r="CY88" t="str">
        <f>INDEX('Data_Price '!AH$2:AH$1266,MATCH(Data!$DN88,'Data_Price '!$AT$2:$AT$1266,0))</f>
        <v>Ski The Whites</v>
      </c>
      <c r="CZ88">
        <f>INDEX('Data_Price '!AI$2:AI$1266,MATCH(Data!$DN88,'Data_Price '!$AT$2:$AT$1266,0))</f>
        <v>649.95000000000005</v>
      </c>
      <c r="DA88" t="str">
        <f>INDEX('Data_Price '!AJ$2:AJ$1266,MATCH(Data!$DN88,'Data_Price '!$AT$2:$AT$1266,0))</f>
        <v>https://tinyurl.com/ybc44oj4</v>
      </c>
      <c r="DB88" t="str">
        <f>INDEX('Data_Price '!AK$2:AK$1266,MATCH(Data!$DN88,'Data_Price '!$AT$2:$AT$1266,0))</f>
        <v>Fischer Ranger 92 Ti, Alpine Skis Freeride, Size 163 (A16020-163)</v>
      </c>
      <c r="DC88" t="str">
        <f>INDEX('Data_Price '!AL$2:AL$1266,MATCH(Data!$DN88,'Data_Price '!$AT$2:$AT$1266,0))</f>
        <v>Snowcountry.eu</v>
      </c>
      <c r="DD88">
        <f>INDEX('Data_Price '!AM$2:AM$1266,MATCH(Data!$DN88,'Data_Price '!$AT$2:$AT$1266,0))</f>
        <v>331.01</v>
      </c>
      <c r="DE88" t="str">
        <f>INDEX('Data_Price '!AN$2:AN$1266,MATCH(Data!$DN88,'Data_Price '!$AT$2:$AT$1266,0))</f>
        <v>https://tinyurl.com/yc894jn3</v>
      </c>
      <c r="DF88" t="str">
        <f>INDEX('Data_Price '!AO$2:AO$1266,MATCH(Data!$DN88,'Data_Price '!$AT$2:$AT$1266,0))</f>
        <v>Fischer W Ranger 102 FR 163cm</v>
      </c>
      <c r="DG88" t="str">
        <f>INDEX('Data_Price '!AP$2:AP$1266,MATCH(Data!$DN88,'Data_Price '!$AT$2:$AT$1266,0))</f>
        <v>Sundance Ski and Board Shop</v>
      </c>
      <c r="DH88">
        <f>INDEX('Data_Price '!AQ$2:AQ$1266,MATCH(Data!$DN88,'Data_Price '!$AT$2:$AT$1266,0))</f>
        <v>521.29</v>
      </c>
      <c r="DI88" t="str">
        <f>INDEX('Data_Price '!AR$2:AR$1266,MATCH(Data!$DN88,'Data_Price '!$AT$2:$AT$1266,0))</f>
        <v>https://tinyurl.com/y8qf3nnc</v>
      </c>
      <c r="DJ88" s="89" t="str">
        <f t="shared" si="69"/>
        <v>https://tinyurl.com/ybc44oj4</v>
      </c>
      <c r="DK88" s="89" t="str">
        <f t="shared" si="70"/>
        <v>https://tinyurl.com/yc894jn3</v>
      </c>
      <c r="DL88" s="89" t="str">
        <f t="shared" si="71"/>
        <v>https://tinyurl.com/y8qf3nnc</v>
      </c>
      <c r="DM88" s="219" t="str">
        <f t="shared" si="72"/>
        <v>Ranger 92 Ti W</v>
      </c>
      <c r="DN88" s="89" t="str">
        <f t="shared" si="73"/>
        <v xml:space="preserve"> FischerRanger 92 Ti W163 Women's</v>
      </c>
      <c r="DO88" s="221"/>
    </row>
    <row r="89" spans="2:119" ht="15.6" customHeight="1">
      <c r="B89" s="219" t="b">
        <f t="array" ref="B89">IF(OR(ISERROR(K89:P89)),FALSE,TRUE)</f>
        <v>1</v>
      </c>
      <c r="C89" s="43" t="b">
        <f>OR(BR89=Driver!$G$50,Data!BR473=Driver!$H$50)</f>
        <v>1</v>
      </c>
      <c r="D89" s="43" t="b">
        <f>OR(BV89=Driver!$G$51,BV89=Driver!$H$51)</f>
        <v>0</v>
      </c>
      <c r="E89" s="43" t="b">
        <f>AND(BX89&gt;Driver!$F$54,BX89&lt;Driver!$G$54)</f>
        <v>1</v>
      </c>
      <c r="F89" s="43" t="b">
        <f>CL89&gt;Driver!$F$56</f>
        <v>1</v>
      </c>
      <c r="G89" s="43" t="b">
        <f>AND(CB89&gt;Driver!$F$55,CB89&lt;Driver!$G$55)</f>
        <v>0</v>
      </c>
      <c r="H89" s="43" t="b">
        <f t="shared" si="37"/>
        <v>0</v>
      </c>
      <c r="I89" s="43">
        <f t="shared" si="38"/>
        <v>0</v>
      </c>
      <c r="J89" s="43" t="b">
        <f t="array" ref="J89">NOT(OR(($H$9:$H$1273=TRUE)*($I$9:$I$1273&gt;0)*($BT$9:$BT$1273=BT89)*($K$9:$K$1273&gt;K89)))</f>
        <v>1</v>
      </c>
      <c r="K89" s="72">
        <f t="shared" si="39"/>
        <v>0.82593993079947547</v>
      </c>
      <c r="L89" s="72">
        <f t="shared" si="40"/>
        <v>0.92127007585145471</v>
      </c>
      <c r="M89" s="72">
        <f t="shared" si="41"/>
        <v>0.73060978574749624</v>
      </c>
      <c r="N89" s="72">
        <f t="shared" si="42"/>
        <v>0.63226387197843148</v>
      </c>
      <c r="O89" s="72">
        <f t="shared" si="43"/>
        <v>0.59586895179834998</v>
      </c>
      <c r="P89" s="72">
        <f t="shared" si="44"/>
        <v>0.96369653346570705</v>
      </c>
      <c r="Q89" s="72"/>
      <c r="R89" s="72"/>
      <c r="S89" s="72">
        <f t="shared" si="45"/>
        <v>0.43125578905955131</v>
      </c>
      <c r="T89" s="72">
        <f t="shared" si="46"/>
        <v>0.84301759850848401</v>
      </c>
      <c r="U89" s="72">
        <f t="shared" si="47"/>
        <v>0.51</v>
      </c>
      <c r="V89" s="72">
        <f t="shared" si="48"/>
        <v>0.50502815428826264</v>
      </c>
      <c r="W89" s="72">
        <f t="shared" si="49"/>
        <v>0.76374574623237723</v>
      </c>
      <c r="X89" s="72">
        <f t="shared" si="50"/>
        <v>7.8729924148545266E-2</v>
      </c>
      <c r="Y89" s="72">
        <f t="shared" si="51"/>
        <v>0.26939021425250381</v>
      </c>
      <c r="Z89" s="72">
        <f t="shared" si="52"/>
        <v>0.36773612802156852</v>
      </c>
      <c r="AA89" s="72">
        <f t="shared" si="53"/>
        <v>0.40413104820165002</v>
      </c>
      <c r="AB89" s="72">
        <f t="shared" si="54"/>
        <v>3.6303466534293005E-2</v>
      </c>
      <c r="AC89" s="72"/>
      <c r="AD89" s="72"/>
      <c r="AE89" s="72">
        <f t="shared" si="55"/>
        <v>0.56874421094044869</v>
      </c>
      <c r="AF89" s="72">
        <f t="shared" si="56"/>
        <v>0.15698240149151604</v>
      </c>
      <c r="AG89" s="72">
        <f t="shared" si="57"/>
        <v>0.49</v>
      </c>
      <c r="AH89" s="72">
        <f t="shared" si="58"/>
        <v>0.49497184571173741</v>
      </c>
      <c r="AI89" s="72">
        <f t="shared" si="59"/>
        <v>0.23625425376762277</v>
      </c>
      <c r="AJ89" s="72">
        <f>(AV89-Driver!$K$179)/(Driver!$L$179-Driver!$K$179)</f>
        <v>0.17548948513415516</v>
      </c>
      <c r="AK89" s="72">
        <f>(AW89-Driver!$K$180)/(Driver!$L$180-Driver!$K$180)</f>
        <v>0.30663104563293664</v>
      </c>
      <c r="AL89" s="72">
        <f>(AX89-Driver!$K$181)/(Driver!$L$181-Driver!$K$181)</f>
        <v>0.46942389173464871</v>
      </c>
      <c r="AM89" s="72">
        <f>(AY89-Driver!$K$182)/(Driver!$L$182-Driver!$K$182)</f>
        <v>4.325397289539637E-2</v>
      </c>
      <c r="AN89" s="72">
        <f>(AZ89-Driver!$K$183)/(Driver!$L$183-Driver!$K$183)</f>
        <v>0.29052287581699343</v>
      </c>
      <c r="AO89" s="72"/>
      <c r="AP89" s="72"/>
      <c r="AQ89" s="72">
        <f>(BC89-Driver!$K$188)/(Driver!$L$188-Driver!$K$188)</f>
        <v>5.1255789059551318E-2</v>
      </c>
      <c r="AR89" s="72">
        <f>MIN((BD89-Driver!$K$189)/(Driver!$L$189-Driver!$K$189),100%)</f>
        <v>0.393017598508484</v>
      </c>
      <c r="AS89" s="72">
        <f>(BE89-Driver!$K$190)/(Driver!$L$190-Driver!$K$190)</f>
        <v>1</v>
      </c>
      <c r="AT89" s="72">
        <f>(BF89-Driver!$K$191)/(Driver!$L$191-Driver!$K$191)</f>
        <v>1.5028154288262586E-2</v>
      </c>
      <c r="AU89" s="72">
        <f>(BG89-Driver!$K$192)/(Driver!$L$192-Driver!$K$192)</f>
        <v>1.3745746232377246E-2</v>
      </c>
      <c r="AV89" s="70">
        <f t="shared" si="60"/>
        <v>3.6935286935286933</v>
      </c>
      <c r="AW89" s="70">
        <f t="shared" si="61"/>
        <v>31.755805045851055</v>
      </c>
      <c r="AX89" s="70">
        <f t="shared" si="62"/>
        <v>5.2248150256118384</v>
      </c>
      <c r="AY89" s="70">
        <f>IFERROR(Driver!$K$19/Data!BH89/Data!BI89*Data!BK89*Data!BL89,"")</f>
        <v>5.2955768563865087E-2</v>
      </c>
      <c r="AZ89" s="70">
        <f t="shared" si="63"/>
        <v>26.478034251675354</v>
      </c>
      <c r="BA89" s="70"/>
      <c r="BB89" s="70"/>
      <c r="BC89" s="70">
        <f t="shared" si="64"/>
        <v>26.586734109653953</v>
      </c>
      <c r="BD89" s="70">
        <f t="shared" si="65"/>
        <v>36.502183966121329</v>
      </c>
      <c r="BE89" s="70">
        <f t="shared" si="66"/>
        <v>1</v>
      </c>
      <c r="BF89" s="70">
        <f t="shared" si="67"/>
        <v>1.6973244481000427</v>
      </c>
      <c r="BG89" s="70">
        <f t="shared" si="68"/>
        <v>5.2050164073894012E-2</v>
      </c>
      <c r="BH89" s="67">
        <f>MAX((CE89-Driver!$F$200)/(Driver!$G$200-Driver!$F$200)*$BI$1,1)</f>
        <v>5.2248150256118384</v>
      </c>
      <c r="BI89" s="67">
        <f>MAX($BI$1*(BY89-Driver!$F$201)/(Driver!$G$201-Driver!$F$201),1)</f>
        <v>8.037974683544304</v>
      </c>
      <c r="BJ89" s="67">
        <f>(CB89-Driver!$F$206)/(Driver!$G$206-Driver!$F$206)*$BI$1</f>
        <v>2.8571428571428568</v>
      </c>
      <c r="BK89" s="67">
        <f>(CD89-Driver!$F$203)/(Driver!$G$203-Driver!$F$203)*$BI$1</f>
        <v>1.6972477064220182</v>
      </c>
      <c r="BL89" s="67">
        <f>MAX((CR89-Driver!$F$202)/(Driver!$G$202-Driver!$F$202)*$BI$1,1)</f>
        <v>6.5517241379310338</v>
      </c>
      <c r="BM89" s="67">
        <f>MAX((CH89-Driver!$F$204)/(Driver!$G$204-Driver!$F$204)*$BI$1,1)</f>
        <v>5.1709401709401712</v>
      </c>
      <c r="BN89" s="67">
        <f>(CI89-Driver!$F$205)/(Driver!$G$205-Driver!$F$205)*$BI$1</f>
        <v>3.2941176470588234</v>
      </c>
      <c r="BO89" s="67">
        <f>(CK89-Driver!$F$207)/(Driver!$G$207-Driver!$F$207)*$BI$1</f>
        <v>0.7755946225439504</v>
      </c>
      <c r="BP89" s="67">
        <f>(CM89-Driver!$F$208)/(Driver!$G$208-Driver!$F$208)*$BI$1</f>
        <v>1.3</v>
      </c>
      <c r="BQ89" s="67">
        <f>(CL89-Driver!$F$209)/(Driver!$G$209-Driver!$F$209)*$BI$1</f>
        <v>1.40625</v>
      </c>
      <c r="BR89" s="28" t="s">
        <v>155</v>
      </c>
      <c r="BS89" s="8" t="s">
        <v>164</v>
      </c>
      <c r="BT89" s="9" t="s">
        <v>292</v>
      </c>
      <c r="BU89" s="10">
        <v>164</v>
      </c>
      <c r="BV89" s="9" t="s">
        <v>163</v>
      </c>
      <c r="BW89" s="10">
        <v>164</v>
      </c>
      <c r="BX89" s="10">
        <v>165.1</v>
      </c>
      <c r="BY89" s="10">
        <v>135</v>
      </c>
      <c r="BZ89" s="10">
        <v>145</v>
      </c>
      <c r="CA89" s="10">
        <v>129</v>
      </c>
      <c r="CB89" s="10">
        <v>82</v>
      </c>
      <c r="CC89" s="10">
        <v>112</v>
      </c>
      <c r="CD89" s="10">
        <v>13.1</v>
      </c>
      <c r="CE89" s="10">
        <v>1818</v>
      </c>
      <c r="CF89" s="10">
        <v>0.88</v>
      </c>
      <c r="CG89" s="10">
        <v>1600</v>
      </c>
      <c r="CH89" s="10">
        <v>222</v>
      </c>
      <c r="CI89" s="10">
        <v>89</v>
      </c>
      <c r="CJ89" s="10">
        <v>41</v>
      </c>
      <c r="CK89" s="10">
        <v>185</v>
      </c>
      <c r="CL89" s="10">
        <v>9</v>
      </c>
      <c r="CM89" s="10">
        <v>117</v>
      </c>
      <c r="CN89" s="10">
        <v>0.22</v>
      </c>
      <c r="CO89" s="10">
        <v>109</v>
      </c>
      <c r="CP89" s="10">
        <v>91</v>
      </c>
      <c r="CQ89" s="10">
        <v>76</v>
      </c>
      <c r="CR89" s="10">
        <v>8</v>
      </c>
      <c r="CS89" s="10">
        <v>8.6</v>
      </c>
      <c r="CT89" s="9" t="s">
        <v>231</v>
      </c>
      <c r="CU89" s="9" t="s">
        <v>188</v>
      </c>
      <c r="CV89" s="10"/>
      <c r="CW89" s="10"/>
      <c r="CX89" t="str">
        <f>INDEX('Data_Price '!AG$2:AG$1266,MATCH(Data!$DN89,'Data_Price '!$AT$2:$AT$1266,0))</f>
        <v>Elan Ladies Wildcat 82 C Flat Ski 2020-2021 | PURPLE / 164</v>
      </c>
      <c r="CY89" t="str">
        <f>INDEX('Data_Price '!AH$2:AH$1266,MATCH(Data!$DN89,'Data_Price '!$AT$2:$AT$1266,0))</f>
        <v>Ski Pro  - Snow Ski &amp; Snowboard</v>
      </c>
      <c r="CZ89">
        <f>INDEX('Data_Price '!AI$2:AI$1266,MATCH(Data!$DN89,'Data_Price '!$AT$2:$AT$1266,0))</f>
        <v>399.95</v>
      </c>
      <c r="DA89" t="str">
        <f>INDEX('Data_Price '!AJ$2:AJ$1266,MATCH(Data!$DN89,'Data_Price '!$AT$2:$AT$1266,0))</f>
        <v>https://tinyurl.com/ycpyl4d2</v>
      </c>
      <c r="DB89" t="str">
        <f>INDEX('Data_Price '!AK$2:AK$1266,MATCH(Data!$DN89,'Data_Price '!$AT$2:$AT$1266,0))</f>
        <v>Women's Elan Wildcat 82 C Skis + ELW 9.0 GW Bindings 2022 - 164</v>
      </c>
      <c r="DC89" t="str">
        <f>INDEX('Data_Price '!AL$2:AL$1266,MATCH(Data!$DN89,'Data_Price '!$AT$2:$AT$1266,0))</f>
        <v>Ski World</v>
      </c>
      <c r="DD89">
        <f>INDEX('Data_Price '!AM$2:AM$1266,MATCH(Data!$DN89,'Data_Price '!$AT$2:$AT$1266,0))</f>
        <v>599.99</v>
      </c>
      <c r="DE89" t="str">
        <f>INDEX('Data_Price '!AN$2:AN$1266,MATCH(Data!$DN89,'Data_Price '!$AT$2:$AT$1266,0))</f>
        <v>https://tinyurl.com/yawey9jp</v>
      </c>
      <c r="DF89" t="str">
        <f>INDEX('Data_Price '!AO$2:AO$1266,MATCH(Data!$DN89,'Data_Price '!$AT$2:$AT$1266,0))</f>
        <v>WILDCAT 82 C - FLAT 164</v>
      </c>
      <c r="DG89" t="str">
        <f>INDEX('Data_Price '!AP$2:AP$1266,MATCH(Data!$DN89,'Data_Price '!$AT$2:$AT$1266,0))</f>
        <v>Maine Sport Outfitters</v>
      </c>
      <c r="DH89">
        <f>INDEX('Data_Price '!AQ$2:AQ$1266,MATCH(Data!$DN89,'Data_Price '!$AT$2:$AT$1266,0))</f>
        <v>449.99</v>
      </c>
      <c r="DI89" t="str">
        <f>INDEX('Data_Price '!AR$2:AR$1266,MATCH(Data!$DN89,'Data_Price '!$AT$2:$AT$1266,0))</f>
        <v>https://tinyurl.com/yd3dhmcu</v>
      </c>
      <c r="DJ89" s="89" t="str">
        <f t="shared" si="69"/>
        <v>https://tinyurl.com/ycpyl4d2</v>
      </c>
      <c r="DK89" s="89" t="str">
        <f t="shared" si="70"/>
        <v>https://tinyurl.com/yawey9jp</v>
      </c>
      <c r="DL89" s="89" t="str">
        <f t="shared" si="71"/>
        <v>https://tinyurl.com/yd3dhmcu</v>
      </c>
      <c r="DM89" s="219" t="str">
        <f t="shared" si="72"/>
        <v>Wildcat 82 C</v>
      </c>
      <c r="DN89" s="89" t="str">
        <f t="shared" si="73"/>
        <v xml:space="preserve"> ElanWildcat 82 C164 Women's</v>
      </c>
      <c r="DO89" s="221"/>
    </row>
    <row r="90" spans="2:119" ht="15.6" customHeight="1">
      <c r="B90" s="219" t="b">
        <f t="array" ref="B90">IF(OR(ISERROR(K90:P90)),FALSE,TRUE)</f>
        <v>1</v>
      </c>
      <c r="C90" s="43" t="b">
        <f>OR(BR90=Driver!$G$50,Data!BR581=Driver!$H$50)</f>
        <v>1</v>
      </c>
      <c r="D90" s="43" t="b">
        <f>OR(BV90=Driver!$G$51,BV90=Driver!$H$51)</f>
        <v>1</v>
      </c>
      <c r="E90" s="43" t="b">
        <f>AND(BX90&gt;Driver!$F$54,BX90&lt;Driver!$G$54)</f>
        <v>0</v>
      </c>
      <c r="F90" s="43" t="b">
        <f>CL90&gt;Driver!$F$56</f>
        <v>1</v>
      </c>
      <c r="G90" s="43" t="b">
        <f>AND(CB90&gt;Driver!$F$55,CB90&lt;Driver!$G$55)</f>
        <v>0</v>
      </c>
      <c r="H90" s="43" t="b">
        <f t="shared" si="37"/>
        <v>0</v>
      </c>
      <c r="I90" s="43">
        <f t="shared" si="38"/>
        <v>0</v>
      </c>
      <c r="J90" s="43" t="b">
        <f t="array" ref="J90">NOT(OR(($H$9:$H$1273=TRUE)*($I$9:$I$1273&gt;0)*($BT$9:$BT$1273=BT90)*($K$9:$K$1273&gt;K90)))</f>
        <v>1</v>
      </c>
      <c r="K90" s="72">
        <f t="shared" si="39"/>
        <v>0.85640625461355602</v>
      </c>
      <c r="L90" s="72">
        <f t="shared" si="40"/>
        <v>0.96784166557025253</v>
      </c>
      <c r="M90" s="72">
        <f t="shared" si="41"/>
        <v>0.7449708436568595</v>
      </c>
      <c r="N90" s="72">
        <f t="shared" si="42"/>
        <v>0.69866493439543009</v>
      </c>
      <c r="O90" s="72">
        <f t="shared" si="43"/>
        <v>0.60396446180225194</v>
      </c>
      <c r="P90" s="72">
        <f t="shared" si="44"/>
        <v>0.93228313477289648</v>
      </c>
      <c r="Q90" s="72"/>
      <c r="R90" s="72"/>
      <c r="S90" s="72">
        <f t="shared" si="45"/>
        <v>0.42853599691496846</v>
      </c>
      <c r="T90" s="72">
        <f t="shared" si="46"/>
        <v>0.62355880819736387</v>
      </c>
      <c r="U90" s="72">
        <f t="shared" si="47"/>
        <v>0.56580108208316959</v>
      </c>
      <c r="V90" s="72">
        <f t="shared" si="48"/>
        <v>0.57649537690355579</v>
      </c>
      <c r="W90" s="72">
        <f t="shared" si="49"/>
        <v>0.81102659611501782</v>
      </c>
      <c r="X90" s="72">
        <f t="shared" si="50"/>
        <v>3.2158334429747443E-2</v>
      </c>
      <c r="Y90" s="72">
        <f t="shared" si="51"/>
        <v>0.2550291563431405</v>
      </c>
      <c r="Z90" s="72">
        <f t="shared" si="52"/>
        <v>0.30133506560456991</v>
      </c>
      <c r="AA90" s="72">
        <f t="shared" si="53"/>
        <v>0.396035538197748</v>
      </c>
      <c r="AB90" s="72">
        <f t="shared" si="54"/>
        <v>6.7716865227103518E-2</v>
      </c>
      <c r="AC90" s="72"/>
      <c r="AD90" s="72"/>
      <c r="AE90" s="72">
        <f t="shared" si="55"/>
        <v>0.57146400308503154</v>
      </c>
      <c r="AF90" s="72">
        <f t="shared" si="56"/>
        <v>0.37644119180263613</v>
      </c>
      <c r="AG90" s="72">
        <f t="shared" si="57"/>
        <v>0.43419891791683041</v>
      </c>
      <c r="AH90" s="72">
        <f t="shared" si="58"/>
        <v>0.42350462309644421</v>
      </c>
      <c r="AI90" s="72">
        <f t="shared" si="59"/>
        <v>0.18897340388498224</v>
      </c>
      <c r="AJ90" s="72">
        <f>(AV90-Driver!$K$179)/(Driver!$L$179-Driver!$K$179)</f>
        <v>0.22206107485295298</v>
      </c>
      <c r="AK90" s="72">
        <f>(AW90-Driver!$K$180)/(Driver!$L$180-Driver!$K$180)</f>
        <v>0.32997725587487564</v>
      </c>
      <c r="AL90" s="72">
        <f>(AX90-Driver!$K$181)/(Driver!$L$181-Driver!$K$181)</f>
        <v>0.4030228293176501</v>
      </c>
      <c r="AM90" s="72">
        <f>(AY90-Driver!$K$182)/(Driver!$L$182-Driver!$K$182)</f>
        <v>5.1349482899298374E-2</v>
      </c>
      <c r="AN90" s="72">
        <f>(AZ90-Driver!$K$183)/(Driver!$L$183-Driver!$K$183)</f>
        <v>0.32193627450980394</v>
      </c>
      <c r="AO90" s="72"/>
      <c r="AP90" s="72"/>
      <c r="AQ90" s="72">
        <f>(BC90-Driver!$K$188)/(Driver!$L$188-Driver!$K$188)</f>
        <v>4.8535996914968446E-2</v>
      </c>
      <c r="AR90" s="72">
        <f>MIN((BD90-Driver!$K$189)/(Driver!$L$189-Driver!$K$189),100%)</f>
        <v>0.17355880819736394</v>
      </c>
      <c r="AS90" s="72">
        <f>(BE90-Driver!$K$190)/(Driver!$L$190-Driver!$K$190)</f>
        <v>7.5801082083169574E-2</v>
      </c>
      <c r="AT90" s="72">
        <f>(BF90-Driver!$K$191)/(Driver!$L$191-Driver!$K$191)</f>
        <v>8.6495376903555771E-2</v>
      </c>
      <c r="AU90" s="72">
        <f>(BG90-Driver!$K$192)/(Driver!$L$192-Driver!$K$192)</f>
        <v>6.1026596115017748E-2</v>
      </c>
      <c r="AV90" s="70">
        <f t="shared" si="60"/>
        <v>4.6737213403880062</v>
      </c>
      <c r="AW90" s="70">
        <f t="shared" si="61"/>
        <v>34.031100102395158</v>
      </c>
      <c r="AX90" s="70">
        <f t="shared" si="62"/>
        <v>4.6272054638588509</v>
      </c>
      <c r="AY90" s="70">
        <f>IFERROR(Driver!$K$19/Data!BH90/Data!BI90*Data!BK90*Data!BL90,"")</f>
        <v>6.2867088275694774E-2</v>
      </c>
      <c r="AZ90" s="70">
        <f t="shared" si="63"/>
        <v>29.341027550260613</v>
      </c>
      <c r="BA90" s="70"/>
      <c r="BB90" s="70"/>
      <c r="BC90" s="70">
        <f t="shared" si="64"/>
        <v>25.175959016570577</v>
      </c>
      <c r="BD90" s="70">
        <f t="shared" si="65"/>
        <v>17.0804698815537</v>
      </c>
      <c r="BE90" s="70">
        <f t="shared" si="66"/>
        <v>7.5965948767824032E-2</v>
      </c>
      <c r="BF90" s="70">
        <f t="shared" si="67"/>
        <v>9.7690451568424681</v>
      </c>
      <c r="BG90" s="70">
        <f t="shared" si="68"/>
        <v>0.23108562365104782</v>
      </c>
      <c r="BH90" s="67">
        <f>MAX((CE90-Driver!$F$200)/(Driver!$G$200-Driver!$F$200)*$BI$1,1)</f>
        <v>4.6272054638588509</v>
      </c>
      <c r="BI90" s="67">
        <f>MAX($BI$1*(BY90-Driver!$F$201)/(Driver!$G$201-Driver!$F$201),1)</f>
        <v>7.0253164556962027</v>
      </c>
      <c r="BJ90" s="67">
        <f>(CB90-Driver!$F$206)/(Driver!$G$206-Driver!$F$206)*$BI$1</f>
        <v>4.1269841269841265</v>
      </c>
      <c r="BK90" s="67">
        <f>(CD90-Driver!$F$203)/(Driver!$G$203-Driver!$F$203)*$BI$1</f>
        <v>1.7431192660550456</v>
      </c>
      <c r="BL90" s="67">
        <f>MAX((CR90-Driver!$F$202)/(Driver!$G$202-Driver!$F$202)*$BI$1,1)</f>
        <v>5.8620689655172411</v>
      </c>
      <c r="BM90" s="67">
        <f>MAX((CH90-Driver!$F$204)/(Driver!$G$204-Driver!$F$204)*$BI$1,1)</f>
        <v>4.5299145299145298</v>
      </c>
      <c r="BN90" s="67">
        <f>(CI90-Driver!$F$205)/(Driver!$G$205-Driver!$F$205)*$BI$1</f>
        <v>4.1764705882352944</v>
      </c>
      <c r="BO90" s="67">
        <f>(CK90-Driver!$F$207)/(Driver!$G$207-Driver!$F$207)*$BI$1</f>
        <v>1.9544984488107551</v>
      </c>
      <c r="BP90" s="67">
        <f>(CM90-Driver!$F$208)/(Driver!$G$208-Driver!$F$208)*$BI$1</f>
        <v>2.1111111111111112</v>
      </c>
      <c r="BQ90" s="67">
        <f>(CL90-Driver!$F$209)/(Driver!$G$209-Driver!$F$209)*$BI$1</f>
        <v>4.84375</v>
      </c>
      <c r="BR90" s="28" t="s">
        <v>155</v>
      </c>
      <c r="BS90" s="8" t="s">
        <v>245</v>
      </c>
      <c r="BT90" s="9" t="s">
        <v>293</v>
      </c>
      <c r="BU90" s="10">
        <v>169</v>
      </c>
      <c r="BV90" s="9" t="s">
        <v>158</v>
      </c>
      <c r="BW90" s="10">
        <v>169</v>
      </c>
      <c r="BX90" s="10">
        <v>168.3</v>
      </c>
      <c r="BY90" s="10">
        <v>119</v>
      </c>
      <c r="BZ90" s="10">
        <v>137</v>
      </c>
      <c r="CA90" s="10">
        <v>125</v>
      </c>
      <c r="CB90" s="10">
        <v>90</v>
      </c>
      <c r="CC90" s="10">
        <v>115</v>
      </c>
      <c r="CD90" s="10">
        <v>13.2</v>
      </c>
      <c r="CE90" s="10">
        <v>1713</v>
      </c>
      <c r="CF90" s="10">
        <v>1.01</v>
      </c>
      <c r="CG90" s="10">
        <v>1736</v>
      </c>
      <c r="CH90" s="10">
        <v>207</v>
      </c>
      <c r="CI90" s="10">
        <v>104</v>
      </c>
      <c r="CJ90" s="10">
        <v>50</v>
      </c>
      <c r="CK90" s="10">
        <v>299</v>
      </c>
      <c r="CL90" s="10">
        <v>31</v>
      </c>
      <c r="CM90" s="10">
        <v>190</v>
      </c>
      <c r="CN90" s="10">
        <v>0.621</v>
      </c>
      <c r="CO90" s="10">
        <v>167</v>
      </c>
      <c r="CP90" s="10">
        <v>145</v>
      </c>
      <c r="CQ90" s="10">
        <v>132</v>
      </c>
      <c r="CR90" s="10">
        <v>6</v>
      </c>
      <c r="CS90" s="10">
        <v>8</v>
      </c>
      <c r="CT90" s="9" t="s">
        <v>188</v>
      </c>
      <c r="CU90" s="10"/>
      <c r="CV90" s="10"/>
      <c r="CW90" s="10"/>
      <c r="CX90" t="str">
        <f>INDEX('Data_Price '!AG$2:AG$1266,MATCH(Data!$DN90,'Data_Price '!$AT$2:$AT$1266,0))</f>
        <v>Fischer Ranger 94 FR Skis</v>
      </c>
      <c r="CY90" t="str">
        <f>INDEX('Data_Price '!AH$2:AH$1266,MATCH(Data!$DN90,'Data_Price '!$AT$2:$AT$1266,0))</f>
        <v>ColoradoSkiShop.com</v>
      </c>
      <c r="CZ90">
        <f>INDEX('Data_Price '!AI$2:AI$1266,MATCH(Data!$DN90,'Data_Price '!$AT$2:$AT$1266,0))</f>
        <v>479.99</v>
      </c>
      <c r="DA90" t="str">
        <f>INDEX('Data_Price '!AJ$2:AJ$1266,MATCH(Data!$DN90,'Data_Price '!$AT$2:$AT$1266,0))</f>
        <v>https://tinyurl.com/y9qezykm</v>
      </c>
      <c r="DB90" t="str">
        <f>INDEX('Data_Price '!AK$2:AK$1266,MATCH(Data!$DN90,'Data_Price '!$AT$2:$AT$1266,0))</f>
        <v>Fischer Ranger 94 FR Skis</v>
      </c>
      <c r="DC90" t="str">
        <f>INDEX('Data_Price '!AL$2:AL$1266,MATCH(Data!$DN90,'Data_Price '!$AT$2:$AT$1266,0))</f>
        <v>skicenterltd.com</v>
      </c>
      <c r="DD90">
        <f>INDEX('Data_Price '!AM$2:AM$1266,MATCH(Data!$DN90,'Data_Price '!$AT$2:$AT$1266,0))</f>
        <v>699.99</v>
      </c>
      <c r="DE90" t="str">
        <f>INDEX('Data_Price '!AN$2:AN$1266,MATCH(Data!$DN90,'Data_Price '!$AT$2:$AT$1266,0))</f>
        <v>https://tinyurl.com/yara58zw</v>
      </c>
      <c r="DF90" t="str">
        <f>INDEX('Data_Price '!AO$2:AO$1266,MATCH(Data!$DN90,'Data_Price '!$AT$2:$AT$1266,0))</f>
        <v>Ranger 94 Fr 169</v>
      </c>
      <c r="DG90" t="str">
        <f>INDEX('Data_Price '!AP$2:AP$1266,MATCH(Data!$DN90,'Data_Price '!$AT$2:$AT$1266,0))</f>
        <v>Pro Ski and Mountain Service</v>
      </c>
      <c r="DH90">
        <f>INDEX('Data_Price '!AQ$2:AQ$1266,MATCH(Data!$DN90,'Data_Price '!$AT$2:$AT$1266,0))</f>
        <v>699.99</v>
      </c>
      <c r="DI90" t="str">
        <f>INDEX('Data_Price '!AR$2:AR$1266,MATCH(Data!$DN90,'Data_Price '!$AT$2:$AT$1266,0))</f>
        <v>https://tinyurl.com/ycbtglf6</v>
      </c>
      <c r="DJ90" s="89" t="str">
        <f t="shared" si="69"/>
        <v>https://tinyurl.com/y9qezykm</v>
      </c>
      <c r="DK90" s="89" t="str">
        <f t="shared" si="70"/>
        <v>https://tinyurl.com/yara58zw</v>
      </c>
      <c r="DL90" s="89" t="str">
        <f t="shared" si="71"/>
        <v>https://tinyurl.com/ycbtglf6</v>
      </c>
      <c r="DM90" s="219" t="str">
        <f t="shared" si="72"/>
        <v>Ranger 94 FR</v>
      </c>
      <c r="DN90" s="89" t="str">
        <f t="shared" si="73"/>
        <v xml:space="preserve"> FischerRanger 94 FR169 Unisex</v>
      </c>
      <c r="DO90" s="221"/>
    </row>
    <row r="91" spans="2:119" ht="15.6" customHeight="1">
      <c r="B91" s="219" t="b">
        <f t="array" ref="B91">IF(OR(ISERROR(K91:P91)),FALSE,TRUE)</f>
        <v>1</v>
      </c>
      <c r="C91" s="43" t="b">
        <f>OR(BR91=Driver!$G$50,Data!BR362=Driver!$H$50)</f>
        <v>1</v>
      </c>
      <c r="D91" s="43" t="b">
        <f>OR(BV91=Driver!$G$51,BV91=Driver!$H$51)</f>
        <v>1</v>
      </c>
      <c r="E91" s="43" t="b">
        <f>AND(BX91&gt;Driver!$F$54,BX91&lt;Driver!$G$54)</f>
        <v>0</v>
      </c>
      <c r="F91" s="43" t="b">
        <f>CL91&gt;Driver!$F$56</f>
        <v>1</v>
      </c>
      <c r="G91" s="43" t="b">
        <f>AND(CB91&gt;Driver!$F$55,CB91&lt;Driver!$G$55)</f>
        <v>0</v>
      </c>
      <c r="H91" s="43" t="b">
        <f t="shared" si="37"/>
        <v>0</v>
      </c>
      <c r="I91" s="43">
        <f t="shared" si="38"/>
        <v>1</v>
      </c>
      <c r="J91" s="43" t="b">
        <f t="array" ref="J91">NOT(OR(($H$9:$H$1273=TRUE)*($I$9:$I$1273&gt;0)*($BT$9:$BT$1273=BT91)*($K$9:$K$1273&gt;K91)))</f>
        <v>0</v>
      </c>
      <c r="K91" s="72">
        <f t="shared" si="39"/>
        <v>0.7632096556288992</v>
      </c>
      <c r="L91" s="72">
        <f t="shared" si="40"/>
        <v>0.75917469088772827</v>
      </c>
      <c r="M91" s="72">
        <f t="shared" si="41"/>
        <v>0.76724462037007013</v>
      </c>
      <c r="N91" s="72">
        <f t="shared" si="42"/>
        <v>0.73154927006861037</v>
      </c>
      <c r="O91" s="72">
        <f t="shared" si="43"/>
        <v>0.63545047587654646</v>
      </c>
      <c r="P91" s="72">
        <f t="shared" si="44"/>
        <v>0.93473411516505345</v>
      </c>
      <c r="Q91" s="72"/>
      <c r="R91" s="72"/>
      <c r="S91" s="72">
        <f t="shared" si="45"/>
        <v>0.43410723797405593</v>
      </c>
      <c r="T91" s="72">
        <f t="shared" si="46"/>
        <v>0.49886673454596864</v>
      </c>
      <c r="U91" s="72">
        <f t="shared" si="47"/>
        <v>0.51284364036309471</v>
      </c>
      <c r="V91" s="72">
        <f t="shared" si="48"/>
        <v>0.78996426275912945</v>
      </c>
      <c r="W91" s="72">
        <f t="shared" si="49"/>
        <v>0.80921587549277263</v>
      </c>
      <c r="X91" s="72">
        <f t="shared" si="50"/>
        <v>0.24082530911227173</v>
      </c>
      <c r="Y91" s="72">
        <f t="shared" si="51"/>
        <v>0.2327553796299299</v>
      </c>
      <c r="Z91" s="72">
        <f t="shared" si="52"/>
        <v>0.26845072993138958</v>
      </c>
      <c r="AA91" s="72">
        <f t="shared" si="53"/>
        <v>0.36454952412345359</v>
      </c>
      <c r="AB91" s="72">
        <f t="shared" si="54"/>
        <v>6.5265884834946608E-2</v>
      </c>
      <c r="AC91" s="72"/>
      <c r="AD91" s="72"/>
      <c r="AE91" s="72">
        <f t="shared" si="55"/>
        <v>0.56589276202594407</v>
      </c>
      <c r="AF91" s="72">
        <f t="shared" si="56"/>
        <v>0.50113326545403136</v>
      </c>
      <c r="AG91" s="72">
        <f t="shared" si="57"/>
        <v>0.48715635963690523</v>
      </c>
      <c r="AH91" s="72">
        <f t="shared" si="58"/>
        <v>0.2100357372408706</v>
      </c>
      <c r="AI91" s="72">
        <f t="shared" si="59"/>
        <v>0.19078412450722734</v>
      </c>
      <c r="AJ91" s="72">
        <f>(AV91-Driver!$K$179)/(Driver!$L$179-Driver!$K$179)</f>
        <v>0.49504471839497216</v>
      </c>
      <c r="AK91" s="72">
        <f>(AW91-Driver!$K$180)/(Driver!$L$180-Driver!$K$180)</f>
        <v>0.32504398216018199</v>
      </c>
      <c r="AL91" s="72">
        <f>(AX91-Driver!$K$181)/(Driver!$L$181-Driver!$K$181)</f>
        <v>0.37013849364446977</v>
      </c>
      <c r="AM91" s="72">
        <f>(AY91-Driver!$K$182)/(Driver!$L$182-Driver!$K$182)</f>
        <v>8.283549697359277E-2</v>
      </c>
      <c r="AN91" s="72">
        <f>(AZ91-Driver!$K$183)/(Driver!$L$183-Driver!$K$183)</f>
        <v>0.31948529411764703</v>
      </c>
      <c r="AO91" s="72"/>
      <c r="AP91" s="72"/>
      <c r="AQ91" s="72">
        <f>(BC91-Driver!$K$188)/(Driver!$L$188-Driver!$K$188)</f>
        <v>5.4107237974055908E-2</v>
      </c>
      <c r="AR91" s="72">
        <f>MIN((BD91-Driver!$K$189)/(Driver!$L$189-Driver!$K$189),100%)</f>
        <v>4.8866734545968724E-2</v>
      </c>
      <c r="AS91" s="72">
        <f>(BE91-Driver!$K$190)/(Driver!$L$190-Driver!$K$190)</f>
        <v>2.2843640363094789E-2</v>
      </c>
      <c r="AT91" s="72">
        <f>(BF91-Driver!$K$191)/(Driver!$L$191-Driver!$K$191)</f>
        <v>0.29996426275912941</v>
      </c>
      <c r="AU91" s="72">
        <f>(BG91-Driver!$K$192)/(Driver!$L$192-Driver!$K$192)</f>
        <v>5.921587549277265E-2</v>
      </c>
      <c r="AV91" s="70">
        <f t="shared" si="60"/>
        <v>10.419210419210419</v>
      </c>
      <c r="AW91" s="70">
        <f t="shared" si="61"/>
        <v>33.550308865646265</v>
      </c>
      <c r="AX91" s="70">
        <f t="shared" si="62"/>
        <v>4.3312464428002277</v>
      </c>
      <c r="AY91" s="70">
        <f>IFERROR(Driver!$K$19/Data!BH91/Data!BI91*Data!BK91*Data!BL91,"")</f>
        <v>0.10141536402250818</v>
      </c>
      <c r="AZ91" s="70">
        <f t="shared" si="63"/>
        <v>29.117647058823529</v>
      </c>
      <c r="BA91" s="70"/>
      <c r="BB91" s="70"/>
      <c r="BC91" s="70">
        <f t="shared" si="64"/>
        <v>28.065800484558736</v>
      </c>
      <c r="BD91" s="70">
        <f t="shared" si="65"/>
        <v>6.0454423046859498</v>
      </c>
      <c r="BE91" s="70">
        <f t="shared" si="66"/>
        <v>2.3017954059290701E-2</v>
      </c>
      <c r="BF91" s="70">
        <f t="shared" si="67"/>
        <v>33.878856110429055</v>
      </c>
      <c r="BG91" s="70">
        <f t="shared" si="68"/>
        <v>0.22422908026034818</v>
      </c>
      <c r="BH91" s="67">
        <f>MAX((CE91-Driver!$F$200)/(Driver!$G$200-Driver!$F$200)*$BI$1,1)</f>
        <v>4.3312464428002277</v>
      </c>
      <c r="BI91" s="67">
        <f>MAX($BI$1*(BY91-Driver!$F$201)/(Driver!$G$201-Driver!$F$201),1)</f>
        <v>6.2658227848101262</v>
      </c>
      <c r="BJ91" s="67">
        <f>(CB91-Driver!$F$206)/(Driver!$G$206-Driver!$F$206)*$BI$1</f>
        <v>7.6190476190476186</v>
      </c>
      <c r="BK91" s="67">
        <f>(CD91-Driver!$F$203)/(Driver!$G$203-Driver!$F$203)*$BI$1</f>
        <v>2.6605504587155959</v>
      </c>
      <c r="BL91" s="67">
        <f>MAX((CR91-Driver!$F$202)/(Driver!$G$202-Driver!$F$202)*$BI$1,1)</f>
        <v>5.1724137931034484</v>
      </c>
      <c r="BM91" s="67">
        <f>MAX((CH91-Driver!$F$204)/(Driver!$G$204-Driver!$F$204)*$BI$1,1)</f>
        <v>5.4700854700854702</v>
      </c>
      <c r="BN91" s="67">
        <f>(CI91-Driver!$F$205)/(Driver!$G$205-Driver!$F$205)*$BI$1</f>
        <v>4.6470588235294121</v>
      </c>
      <c r="BO91" s="67">
        <f>(CK91-Driver!$F$207)/(Driver!$G$207-Driver!$F$207)*$BI$1</f>
        <v>3.2264736297828334</v>
      </c>
      <c r="BP91" s="67">
        <f>(CM91-Driver!$F$208)/(Driver!$G$208-Driver!$F$208)*$BI$1</f>
        <v>3.6666666666666665</v>
      </c>
      <c r="BQ91" s="67">
        <f>(CL91-Driver!$F$209)/(Driver!$G$209-Driver!$F$209)*$BI$1</f>
        <v>5.3125</v>
      </c>
      <c r="BR91" s="28" t="s">
        <v>155</v>
      </c>
      <c r="BS91" s="8" t="s">
        <v>218</v>
      </c>
      <c r="BT91" s="9" t="s">
        <v>294</v>
      </c>
      <c r="BU91" s="10">
        <v>184</v>
      </c>
      <c r="BV91" s="9" t="s">
        <v>158</v>
      </c>
      <c r="BW91" s="10">
        <v>184</v>
      </c>
      <c r="BX91" s="10">
        <v>182.2</v>
      </c>
      <c r="BY91" s="10">
        <v>107</v>
      </c>
      <c r="BZ91" s="10">
        <v>125</v>
      </c>
      <c r="CA91" s="10">
        <v>140</v>
      </c>
      <c r="CB91" s="10">
        <v>112</v>
      </c>
      <c r="CC91" s="10">
        <v>127</v>
      </c>
      <c r="CD91" s="10">
        <v>15.2</v>
      </c>
      <c r="CE91" s="10">
        <v>1661</v>
      </c>
      <c r="CF91" s="10">
        <v>1.33</v>
      </c>
      <c r="CG91" s="10">
        <v>2209</v>
      </c>
      <c r="CH91" s="10">
        <v>229</v>
      </c>
      <c r="CI91" s="10">
        <v>112</v>
      </c>
      <c r="CJ91" s="10">
        <v>73</v>
      </c>
      <c r="CK91" s="10">
        <v>422</v>
      </c>
      <c r="CL91" s="10">
        <v>34</v>
      </c>
      <c r="CM91" s="10">
        <v>330</v>
      </c>
      <c r="CN91" s="10">
        <v>0.46400000000000002</v>
      </c>
      <c r="CO91" s="10">
        <v>304</v>
      </c>
      <c r="CP91" s="10">
        <v>270</v>
      </c>
      <c r="CQ91" s="10">
        <v>118</v>
      </c>
      <c r="CR91" s="10">
        <v>4</v>
      </c>
      <c r="CS91" s="10">
        <v>13.2</v>
      </c>
      <c r="CT91" s="9" t="s">
        <v>169</v>
      </c>
      <c r="CU91" s="9" t="s">
        <v>185</v>
      </c>
      <c r="CV91" s="9" t="s">
        <v>198</v>
      </c>
      <c r="CW91" s="10"/>
      <c r="CX91" t="str">
        <f>INDEX('Data_Price '!AG$2:AG$1266,MATCH(Data!$DN91,'Data_Price '!$AT$2:$AT$1266,0))</f>
        <v>DPS Pagoda Tour 112 RP SE Ski 184 / Early Riser Orange</v>
      </c>
      <c r="CY91" t="str">
        <f>INDEX('Data_Price '!AH$2:AH$1266,MATCH(Data!$DN91,'Data_Price '!$AT$2:$AT$1266,0))</f>
        <v>Cripple Creek Backcountry</v>
      </c>
      <c r="CZ91">
        <f>INDEX('Data_Price '!AI$2:AI$1266,MATCH(Data!$DN91,'Data_Price '!$AT$2:$AT$1266,0))</f>
        <v>1029</v>
      </c>
      <c r="DA91" t="str">
        <f>INDEX('Data_Price '!AJ$2:AJ$1266,MATCH(Data!$DN91,'Data_Price '!$AT$2:$AT$1266,0))</f>
        <v>https://tinyurl.com/y7v8nwho</v>
      </c>
      <c r="DB91" t="str">
        <f>INDEX('Data_Price '!AK$2:AK$1266,MATCH(Data!$DN91,'Data_Price '!$AT$2:$AT$1266,0))</f>
        <v>DPS Pagoda Tour 112 RP Skis 184cm</v>
      </c>
      <c r="DC91" t="str">
        <f>INDEX('Data_Price '!AL$2:AL$1266,MATCH(Data!$DN91,'Data_Price '!$AT$2:$AT$1266,0))</f>
        <v>Skimo &amp; SkyRun</v>
      </c>
      <c r="DD91">
        <f>INDEX('Data_Price '!AM$2:AM$1266,MATCH(Data!$DN91,'Data_Price '!$AT$2:$AT$1266,0))</f>
        <v>1029</v>
      </c>
      <c r="DE91" t="str">
        <f>INDEX('Data_Price '!AN$2:AN$1266,MATCH(Data!$DN91,'Data_Price '!$AT$2:$AT$1266,0))</f>
        <v>https://tinyurl.com/ycb4olrb</v>
      </c>
      <c r="DF91" t="str">
        <f>INDEX('Data_Price '!AO$2:AO$1266,MATCH(Data!$DN91,'Data_Price '!$AT$2:$AT$1266,0))</f>
        <v>DPS Pagoda Tour 112 RP Skis 184cm</v>
      </c>
      <c r="DG91" t="str">
        <f>INDEX('Data_Price '!AP$2:AP$1266,MATCH(Data!$DN91,'Data_Price '!$AT$2:$AT$1266,0))</f>
        <v>REI</v>
      </c>
      <c r="DH91">
        <f>INDEX('Data_Price '!AQ$2:AQ$1266,MATCH(Data!$DN91,'Data_Price '!$AT$2:$AT$1266,0))</f>
        <v>1038.93</v>
      </c>
      <c r="DI91" t="str">
        <f>INDEX('Data_Price '!AR$2:AR$1266,MATCH(Data!$DN91,'Data_Price '!$AT$2:$AT$1266,0))</f>
        <v>https://tinyurl.com/ycfe75j6</v>
      </c>
      <c r="DJ91" s="89" t="str">
        <f t="shared" si="69"/>
        <v>https://tinyurl.com/y7v8nwho</v>
      </c>
      <c r="DK91" s="89" t="str">
        <f t="shared" si="70"/>
        <v>https://tinyurl.com/ycb4olrb</v>
      </c>
      <c r="DL91" s="89" t="str">
        <f t="shared" si="71"/>
        <v>https://tinyurl.com/ycfe75j6</v>
      </c>
      <c r="DM91" s="219" t="str">
        <f t="shared" si="72"/>
        <v>Pagoda Tour 112 RP</v>
      </c>
      <c r="DN91" s="89" t="str">
        <f t="shared" si="73"/>
        <v xml:space="preserve"> DPSPagoda Tour 112 RP184 Unisex</v>
      </c>
      <c r="DO91" s="221" t="s">
        <v>274</v>
      </c>
    </row>
    <row r="92" spans="2:119" ht="15.6" customHeight="1">
      <c r="B92" s="219" t="b">
        <f t="array" ref="B92">IF(OR(ISERROR(K92:P92)),FALSE,TRUE)</f>
        <v>1</v>
      </c>
      <c r="C92" s="43" t="b">
        <f>OR(BR92=Driver!$G$50,Data!BR687=Driver!$H$50)</f>
        <v>1</v>
      </c>
      <c r="D92" s="43" t="b">
        <f>OR(BV92=Driver!$G$51,BV92=Driver!$H$51)</f>
        <v>1</v>
      </c>
      <c r="E92" s="43" t="b">
        <f>AND(BX92&gt;Driver!$F$54,BX92&lt;Driver!$G$54)</f>
        <v>0</v>
      </c>
      <c r="F92" s="43" t="b">
        <f>CL92&gt;Driver!$F$56</f>
        <v>1</v>
      </c>
      <c r="G92" s="43" t="b">
        <f>AND(CB92&gt;Driver!$F$55,CB92&lt;Driver!$G$55)</f>
        <v>0</v>
      </c>
      <c r="H92" s="43" t="b">
        <f t="shared" si="37"/>
        <v>0</v>
      </c>
      <c r="I92" s="43">
        <f t="shared" si="38"/>
        <v>0</v>
      </c>
      <c r="J92" s="43" t="b">
        <f t="array" ref="J92">NOT(OR(($H$9:$H$1273=TRUE)*($I$9:$I$1273&gt;0)*($BT$9:$BT$1273=BT92)*($K$9:$K$1273&gt;K92)))</f>
        <v>1</v>
      </c>
      <c r="K92" s="72">
        <f t="shared" si="39"/>
        <v>0.833516334161298</v>
      </c>
      <c r="L92" s="72">
        <f t="shared" si="40"/>
        <v>0.93708138656092133</v>
      </c>
      <c r="M92" s="72">
        <f t="shared" si="41"/>
        <v>0.72995128176167468</v>
      </c>
      <c r="N92" s="72">
        <f t="shared" si="42"/>
        <v>0.61582170414184123</v>
      </c>
      <c r="O92" s="72">
        <f t="shared" si="43"/>
        <v>0.64277024820035167</v>
      </c>
      <c r="P92" s="72">
        <f t="shared" si="44"/>
        <v>0.93126189294283113</v>
      </c>
      <c r="Q92" s="72"/>
      <c r="R92" s="72"/>
      <c r="S92" s="72">
        <f t="shared" si="45"/>
        <v>0.4954961546638379</v>
      </c>
      <c r="T92" s="72">
        <f t="shared" si="46"/>
        <v>0.49667515780266192</v>
      </c>
      <c r="U92" s="72">
        <f t="shared" si="47"/>
        <v>0.57383840135762565</v>
      </c>
      <c r="V92" s="72">
        <f t="shared" si="48"/>
        <v>0.54464733556163114</v>
      </c>
      <c r="W92" s="72">
        <f t="shared" si="49"/>
        <v>0.77776069656883007</v>
      </c>
      <c r="X92" s="72">
        <f t="shared" si="50"/>
        <v>6.2918613439078619E-2</v>
      </c>
      <c r="Y92" s="72">
        <f t="shared" si="51"/>
        <v>0.27004871823832532</v>
      </c>
      <c r="Z92" s="72">
        <f t="shared" si="52"/>
        <v>0.38417829585815871</v>
      </c>
      <c r="AA92" s="72">
        <f t="shared" si="53"/>
        <v>0.35722975179964839</v>
      </c>
      <c r="AB92" s="72">
        <f t="shared" si="54"/>
        <v>6.8738107057168818E-2</v>
      </c>
      <c r="AC92" s="72"/>
      <c r="AD92" s="72"/>
      <c r="AE92" s="72">
        <f t="shared" si="55"/>
        <v>0.5045038453361621</v>
      </c>
      <c r="AF92" s="72">
        <f t="shared" si="56"/>
        <v>0.50332484219733808</v>
      </c>
      <c r="AG92" s="72">
        <f t="shared" si="57"/>
        <v>0.4261615986423743</v>
      </c>
      <c r="AH92" s="72">
        <f t="shared" si="58"/>
        <v>0.45535266443836886</v>
      </c>
      <c r="AI92" s="72">
        <f t="shared" si="59"/>
        <v>0.2222393034311699</v>
      </c>
      <c r="AJ92" s="72">
        <f>(AV92-Driver!$K$179)/(Driver!$L$179-Driver!$K$179)</f>
        <v>0.31713802272177904</v>
      </c>
      <c r="AK92" s="72">
        <f>(AW92-Driver!$K$180)/(Driver!$L$180-Driver!$K$180)</f>
        <v>0.33907005800627615</v>
      </c>
      <c r="AL92" s="72">
        <f>(AX92-Driver!$K$181)/(Driver!$L$181-Driver!$K$181)</f>
        <v>0.48586605957123891</v>
      </c>
      <c r="AM92" s="72">
        <f>(AY92-Driver!$K$182)/(Driver!$L$182-Driver!$K$182)</f>
        <v>9.0155269297397964E-2</v>
      </c>
      <c r="AN92" s="72">
        <f>(AZ92-Driver!$K$183)/(Driver!$L$183-Driver!$K$183)</f>
        <v>0.32295751633986924</v>
      </c>
      <c r="AO92" s="72"/>
      <c r="AP92" s="72"/>
      <c r="AQ92" s="72">
        <f>(BC92-Driver!$K$188)/(Driver!$L$188-Driver!$K$188)</f>
        <v>0.11549615466383786</v>
      </c>
      <c r="AR92" s="72">
        <f>MIN((BD92-Driver!$K$189)/(Driver!$L$189-Driver!$K$189),100%)</f>
        <v>4.6675157802661953E-2</v>
      </c>
      <c r="AS92" s="72">
        <f>(BE92-Driver!$K$190)/(Driver!$L$190-Driver!$K$190)</f>
        <v>8.3838401357625728E-2</v>
      </c>
      <c r="AT92" s="72">
        <f>(BF92-Driver!$K$191)/(Driver!$L$191-Driver!$K$191)</f>
        <v>5.4647335561631129E-2</v>
      </c>
      <c r="AU92" s="72">
        <f>(BG92-Driver!$K$192)/(Driver!$L$192-Driver!$K$192)</f>
        <v>2.7760696568830089E-2</v>
      </c>
      <c r="AV92" s="70">
        <f t="shared" si="60"/>
        <v>6.6748066748066748</v>
      </c>
      <c r="AW92" s="70">
        <f t="shared" si="61"/>
        <v>34.917274240523319</v>
      </c>
      <c r="AX92" s="70">
        <f t="shared" si="62"/>
        <v>5.37279453614115</v>
      </c>
      <c r="AY92" s="70">
        <f>IFERROR(Driver!$K$19/Data!BH92/Data!BI92*Data!BK92*Data!BL92,"")</f>
        <v>0.11037694935611506</v>
      </c>
      <c r="AZ92" s="70">
        <f t="shared" si="63"/>
        <v>29.434102755026057</v>
      </c>
      <c r="BA92" s="70"/>
      <c r="BB92" s="70"/>
      <c r="BC92" s="70">
        <f t="shared" si="64"/>
        <v>59.908658340373748</v>
      </c>
      <c r="BD92" s="70">
        <f t="shared" si="65"/>
        <v>5.8514916461475055</v>
      </c>
      <c r="BE92" s="70">
        <f t="shared" si="66"/>
        <v>8.4001834274985504E-2</v>
      </c>
      <c r="BF92" s="70">
        <f t="shared" si="67"/>
        <v>6.1720326324255996</v>
      </c>
      <c r="BG92" s="70">
        <f t="shared" si="68"/>
        <v>0.10511970661947084</v>
      </c>
      <c r="BH92" s="67">
        <f>MAX((CE92-Driver!$F$200)/(Driver!$G$200-Driver!$F$200)*$BI$1,1)</f>
        <v>5.37279453614115</v>
      </c>
      <c r="BI92" s="67">
        <f>MAX($BI$1*(BY92-Driver!$F$201)/(Driver!$G$201-Driver!$F$201),1)</f>
        <v>7.4683544303797467</v>
      </c>
      <c r="BJ92" s="67">
        <f>(CB92-Driver!$F$206)/(Driver!$G$206-Driver!$F$206)*$BI$1</f>
        <v>5.0793650793650791</v>
      </c>
      <c r="BK92" s="67">
        <f>(CD92-Driver!$F$203)/(Driver!$G$203-Driver!$F$203)*$BI$1</f>
        <v>4.5871559633027523</v>
      </c>
      <c r="BL92" s="67">
        <f>MAX((CR92-Driver!$F$202)/(Driver!$G$202-Driver!$F$202)*$BI$1,1)</f>
        <v>4.8275862068965516</v>
      </c>
      <c r="BM92" s="67">
        <f>MAX((CH92-Driver!$F$204)/(Driver!$G$204-Driver!$F$204)*$BI$1,1)</f>
        <v>5.2564102564102564</v>
      </c>
      <c r="BN92" s="67">
        <f>(CI92-Driver!$F$205)/(Driver!$G$205-Driver!$F$205)*$BI$1</f>
        <v>3.9411764705882351</v>
      </c>
      <c r="BO92" s="67">
        <f>(CK92-Driver!$F$207)/(Driver!$G$207-Driver!$F$207)*$BI$1</f>
        <v>2.1716649431230612</v>
      </c>
      <c r="BP92" s="67">
        <f>(CM92-Driver!$F$208)/(Driver!$G$208-Driver!$F$208)*$BI$1</f>
        <v>2.5666666666666664</v>
      </c>
      <c r="BQ92" s="67">
        <f>(CL92-Driver!$F$209)/(Driver!$G$209-Driver!$F$209)*$BI$1</f>
        <v>2.96875</v>
      </c>
      <c r="BR92" s="28" t="s">
        <v>155</v>
      </c>
      <c r="BS92" s="8" t="s">
        <v>295</v>
      </c>
      <c r="BT92" s="9" t="s">
        <v>296</v>
      </c>
      <c r="BU92" s="10">
        <v>182</v>
      </c>
      <c r="BV92" s="9" t="s">
        <v>158</v>
      </c>
      <c r="BW92" s="10">
        <v>182</v>
      </c>
      <c r="BX92" s="10">
        <v>180.9</v>
      </c>
      <c r="BY92" s="10">
        <v>126</v>
      </c>
      <c r="BZ92" s="10">
        <v>151</v>
      </c>
      <c r="CA92" s="10">
        <v>131</v>
      </c>
      <c r="CB92" s="10">
        <v>96</v>
      </c>
      <c r="CC92" s="10">
        <v>118</v>
      </c>
      <c r="CD92" s="10">
        <v>19.399999999999999</v>
      </c>
      <c r="CE92" s="10">
        <v>1844</v>
      </c>
      <c r="CF92" s="10">
        <v>1.05</v>
      </c>
      <c r="CG92" s="10">
        <v>1930</v>
      </c>
      <c r="CH92" s="10">
        <v>224</v>
      </c>
      <c r="CI92" s="10">
        <v>100</v>
      </c>
      <c r="CJ92" s="10">
        <v>59</v>
      </c>
      <c r="CK92" s="10">
        <v>320</v>
      </c>
      <c r="CL92" s="10">
        <v>19</v>
      </c>
      <c r="CM92" s="10">
        <v>231</v>
      </c>
      <c r="CN92" s="10">
        <v>0.32900000000000001</v>
      </c>
      <c r="CO92" s="10">
        <v>188</v>
      </c>
      <c r="CP92" s="10">
        <v>115</v>
      </c>
      <c r="CQ92" s="10">
        <v>132</v>
      </c>
      <c r="CR92" s="10">
        <v>3</v>
      </c>
      <c r="CS92" s="10">
        <v>8.3000000000000007</v>
      </c>
      <c r="CT92" s="9" t="s">
        <v>188</v>
      </c>
      <c r="CU92" s="10"/>
      <c r="CV92" s="10"/>
      <c r="CW92" s="10"/>
      <c r="CX92" t="str">
        <f>INDEX('Data_Price '!AG$2:AG$1266,MATCH(Data!$DN92,'Data_Price '!$AT$2:$AT$1266,0))</f>
        <v>Icelantic Pioneer 96 Skis Â· 2022 Â· 182 cm</v>
      </c>
      <c r="CY92" t="str">
        <f>INDEX('Data_Price '!AH$2:AH$1266,MATCH(Data!$DN92,'Data_Price '!$AT$2:$AT$1266,0))</f>
        <v>REI</v>
      </c>
      <c r="CZ92">
        <f>INDEX('Data_Price '!AI$2:AI$1266,MATCH(Data!$DN92,'Data_Price '!$AT$2:$AT$1266,0))</f>
        <v>508.93</v>
      </c>
      <c r="DA92" t="str">
        <f>INDEX('Data_Price '!AJ$2:AJ$1266,MATCH(Data!$DN92,'Data_Price '!$AT$2:$AT$1266,0))</f>
        <v>https://tinyurl.com/ydz853xv</v>
      </c>
      <c r="DB92" t="str">
        <f>INDEX('Data_Price '!AK$2:AK$1266,MATCH(Data!$DN92,'Data_Price '!$AT$2:$AT$1266,0))</f>
        <v>Icelantic Pioneer 96 Skis Â· 2022 Â· 182 cm</v>
      </c>
      <c r="DC92" t="str">
        <f>INDEX('Data_Price '!AL$2:AL$1266,MATCH(Data!$DN92,'Data_Price '!$AT$2:$AT$1266,0))</f>
        <v>Curated</v>
      </c>
      <c r="DD92">
        <f>INDEX('Data_Price '!AM$2:AM$1266,MATCH(Data!$DN92,'Data_Price '!$AT$2:$AT$1266,0))</f>
        <v>509</v>
      </c>
      <c r="DE92" t="str">
        <f>INDEX('Data_Price '!AN$2:AN$1266,MATCH(Data!$DN92,'Data_Price '!$AT$2:$AT$1266,0))</f>
        <v>https://tinyurl.com/y8kltuw2</v>
      </c>
      <c r="DF92" t="str">
        <f>INDEX('Data_Price '!AO$2:AO$1266,MATCH(Data!$DN92,'Data_Price '!$AT$2:$AT$1266,0))</f>
        <v>Icelantic Pioneer 96 Skis 2022 182cm</v>
      </c>
      <c r="DG92" t="str">
        <f>INDEX('Data_Price '!AP$2:AP$1266,MATCH(Data!$DN92,'Data_Price '!$AT$2:$AT$1266,0))</f>
        <v>Glacier Ski Shop</v>
      </c>
      <c r="DH92">
        <f>INDEX('Data_Price '!AQ$2:AQ$1266,MATCH(Data!$DN92,'Data_Price '!$AT$2:$AT$1266,0))</f>
        <v>509</v>
      </c>
      <c r="DI92" t="str">
        <f>INDEX('Data_Price '!AR$2:AR$1266,MATCH(Data!$DN92,'Data_Price '!$AT$2:$AT$1266,0))</f>
        <v>https://tinyurl.com/y987vpjb</v>
      </c>
      <c r="DJ92" s="89" t="str">
        <f t="shared" si="69"/>
        <v>https://tinyurl.com/ydz853xv</v>
      </c>
      <c r="DK92" s="89" t="str">
        <f t="shared" si="70"/>
        <v>https://tinyurl.com/y8kltuw2</v>
      </c>
      <c r="DL92" s="89" t="str">
        <f t="shared" si="71"/>
        <v>https://tinyurl.com/y987vpjb</v>
      </c>
      <c r="DM92" s="219" t="str">
        <f t="shared" si="72"/>
        <v>Pioneer 96</v>
      </c>
      <c r="DN92" s="89" t="str">
        <f t="shared" si="73"/>
        <v xml:space="preserve"> IcelanticPioneer 96182 Unisex</v>
      </c>
      <c r="DO92" s="221" t="s">
        <v>297</v>
      </c>
    </row>
    <row r="93" spans="2:119" ht="15.6" customHeight="1">
      <c r="B93" s="219" t="b">
        <f t="array" ref="B93">IF(OR(ISERROR(K93:P93)),FALSE,TRUE)</f>
        <v>1</v>
      </c>
      <c r="C93" s="43" t="b">
        <f>OR(BR93=Driver!$G$50,Data!BR766=Driver!$H$50)</f>
        <v>1</v>
      </c>
      <c r="D93" s="43" t="b">
        <f>OR(BV93=Driver!$G$51,BV93=Driver!$H$51)</f>
        <v>1</v>
      </c>
      <c r="E93" s="43" t="b">
        <f>AND(BX93&gt;Driver!$F$54,BX93&lt;Driver!$G$54)</f>
        <v>0</v>
      </c>
      <c r="F93" s="43" t="b">
        <f>CL93&gt;Driver!$F$56</f>
        <v>1</v>
      </c>
      <c r="G93" s="43" t="b">
        <f>AND(CB93&gt;Driver!$F$55,CB93&lt;Driver!$G$55)</f>
        <v>0</v>
      </c>
      <c r="H93" s="43" t="b">
        <f t="shared" si="37"/>
        <v>0</v>
      </c>
      <c r="I93" s="43">
        <f t="shared" si="38"/>
        <v>0</v>
      </c>
      <c r="J93" s="43" t="b">
        <f t="array" ref="J93">NOT(OR(($H$9:$H$1273=TRUE)*($I$9:$I$1273&gt;0)*($BT$9:$BT$1273=BT93)*($K$9:$K$1273&gt;K93)))</f>
        <v>1</v>
      </c>
      <c r="K93" s="72">
        <f t="shared" si="39"/>
        <v>0.78838363941517464</v>
      </c>
      <c r="L93" s="72">
        <f t="shared" si="40"/>
        <v>0.86359818617416773</v>
      </c>
      <c r="M93" s="72">
        <f t="shared" si="41"/>
        <v>0.71316909265618156</v>
      </c>
      <c r="N93" s="72">
        <f t="shared" si="42"/>
        <v>0.50958000427464356</v>
      </c>
      <c r="O93" s="72">
        <f t="shared" si="43"/>
        <v>0.68820786441120096</v>
      </c>
      <c r="P93" s="72">
        <f t="shared" si="44"/>
        <v>0.94171940928270037</v>
      </c>
      <c r="Q93" s="72"/>
      <c r="R93" s="72"/>
      <c r="S93" s="72">
        <f t="shared" si="45"/>
        <v>0.5022732114845635</v>
      </c>
      <c r="T93" s="72">
        <f t="shared" si="46"/>
        <v>0.46691972890426781</v>
      </c>
      <c r="U93" s="72">
        <f t="shared" si="47"/>
        <v>0.50411348443592474</v>
      </c>
      <c r="V93" s="72">
        <f t="shared" si="48"/>
        <v>0.6153460239347357</v>
      </c>
      <c r="W93" s="72">
        <f t="shared" si="49"/>
        <v>0.81042097015456938</v>
      </c>
      <c r="X93" s="72">
        <f t="shared" si="50"/>
        <v>0.13640181382583233</v>
      </c>
      <c r="Y93" s="72">
        <f t="shared" si="51"/>
        <v>0.28683090734381839</v>
      </c>
      <c r="Z93" s="72">
        <f t="shared" si="52"/>
        <v>0.49041999572535644</v>
      </c>
      <c r="AA93" s="72">
        <f t="shared" si="53"/>
        <v>0.31179213558879904</v>
      </c>
      <c r="AB93" s="72">
        <f t="shared" si="54"/>
        <v>5.8280590717299574E-2</v>
      </c>
      <c r="AC93" s="72"/>
      <c r="AD93" s="72"/>
      <c r="AE93" s="72">
        <f t="shared" si="55"/>
        <v>0.4977267885154365</v>
      </c>
      <c r="AF93" s="72">
        <f t="shared" si="56"/>
        <v>0.53308027109573219</v>
      </c>
      <c r="AG93" s="72">
        <f t="shared" si="57"/>
        <v>0.4958865155640752</v>
      </c>
      <c r="AH93" s="72">
        <f t="shared" si="58"/>
        <v>0.3846539760652643</v>
      </c>
      <c r="AI93" s="72">
        <f t="shared" si="59"/>
        <v>0.1895790298454306</v>
      </c>
      <c r="AJ93" s="72">
        <f>(AV93-Driver!$K$179)/(Driver!$L$179-Driver!$K$179)</f>
        <v>0.39062122310853276</v>
      </c>
      <c r="AK93" s="72">
        <f>(AW93-Driver!$K$180)/(Driver!$L$180-Driver!$K$180)</f>
        <v>0.33967251119505532</v>
      </c>
      <c r="AL93" s="72">
        <f>(AX93-Driver!$K$181)/(Driver!$L$181-Driver!$K$181)</f>
        <v>0.59210775943843663</v>
      </c>
      <c r="AM93" s="72">
        <f>(AY93-Driver!$K$182)/(Driver!$L$182-Driver!$K$182)</f>
        <v>0.13559288550824736</v>
      </c>
      <c r="AN93" s="72">
        <f>(AZ93-Driver!$K$183)/(Driver!$L$183-Driver!$K$183)</f>
        <v>0.3125</v>
      </c>
      <c r="AO93" s="72"/>
      <c r="AP93" s="72"/>
      <c r="AQ93" s="72">
        <f>(BC93-Driver!$K$188)/(Driver!$L$188-Driver!$K$188)</f>
        <v>0.12227321148456352</v>
      </c>
      <c r="AR93" s="72">
        <f>MIN((BD93-Driver!$K$189)/(Driver!$L$189-Driver!$K$189),100%)</f>
        <v>1.6919728904267822E-2</v>
      </c>
      <c r="AS93" s="72">
        <f>(BE93-Driver!$K$190)/(Driver!$L$190-Driver!$K$190)</f>
        <v>1.4113484435924788E-2</v>
      </c>
      <c r="AT93" s="72">
        <f>(BF93-Driver!$K$191)/(Driver!$L$191-Driver!$K$191)</f>
        <v>0.12534602393473571</v>
      </c>
      <c r="AU93" s="72">
        <f>(BG93-Driver!$K$192)/(Driver!$L$192-Driver!$K$192)</f>
        <v>6.0420970154569403E-2</v>
      </c>
      <c r="AV93" s="70">
        <f t="shared" si="60"/>
        <v>8.2214082214082218</v>
      </c>
      <c r="AW93" s="70">
        <f t="shared" si="61"/>
        <v>34.975988642048158</v>
      </c>
      <c r="AX93" s="70">
        <f t="shared" si="62"/>
        <v>6.32896983494593</v>
      </c>
      <c r="AY93" s="70">
        <f>IFERROR(Driver!$K$19/Data!BH93/Data!BI93*Data!BK93*Data!BL93,"")</f>
        <v>0.1660061488743762</v>
      </c>
      <c r="AZ93" s="70">
        <f t="shared" si="63"/>
        <v>28.481012658227851</v>
      </c>
      <c r="BA93" s="70"/>
      <c r="BB93" s="70"/>
      <c r="BC93" s="70">
        <f t="shared" si="64"/>
        <v>63.423964826618814</v>
      </c>
      <c r="BD93" s="70">
        <f t="shared" si="65"/>
        <v>3.2181889121398197</v>
      </c>
      <c r="BE93" s="70">
        <f t="shared" si="66"/>
        <v>1.428935549367602E-2</v>
      </c>
      <c r="BF93" s="70">
        <f t="shared" si="67"/>
        <v>14.156952797771449</v>
      </c>
      <c r="BG93" s="70">
        <f t="shared" si="68"/>
        <v>0.22879233741719493</v>
      </c>
      <c r="BH93" s="67">
        <f>MAX((CE93-Driver!$F$200)/(Driver!$G$200-Driver!$F$200)*$BI$1,1)</f>
        <v>6.32896983494593</v>
      </c>
      <c r="BI93" s="67">
        <f>MAX($BI$1*(BY93-Driver!$F$201)/(Driver!$G$201-Driver!$F$201),1)</f>
        <v>6.4556962025316453</v>
      </c>
      <c r="BJ93" s="67">
        <f>(CB93-Driver!$F$206)/(Driver!$G$206-Driver!$F$206)*$BI$1</f>
        <v>7.6190476190476186</v>
      </c>
      <c r="BK93" s="67">
        <f>(CD93-Driver!$F$203)/(Driver!$G$203-Driver!$F$203)*$BI$1</f>
        <v>6.146788990825689</v>
      </c>
      <c r="BL93" s="67">
        <f>MAX((CR93-Driver!$F$202)/(Driver!$G$202-Driver!$F$202)*$BI$1,1)</f>
        <v>5.5172413793103452</v>
      </c>
      <c r="BM93" s="67">
        <f>MAX((CH93-Driver!$F$204)/(Driver!$G$204-Driver!$F$204)*$BI$1,1)</f>
        <v>4.3162393162393169</v>
      </c>
      <c r="BN93" s="67">
        <f>(CI93-Driver!$F$205)/(Driver!$G$205-Driver!$F$205)*$BI$1</f>
        <v>4.4117647058823533</v>
      </c>
      <c r="BO93" s="67">
        <f>(CK93-Driver!$F$207)/(Driver!$G$207-Driver!$F$207)*$BI$1</f>
        <v>2.936918304033092</v>
      </c>
      <c r="BP93" s="67">
        <f>(CM93-Driver!$F$208)/(Driver!$G$208-Driver!$F$208)*$BI$1</f>
        <v>3.8888888888888888</v>
      </c>
      <c r="BQ93" s="67">
        <f>(CL93-Driver!$F$209)/(Driver!$G$209-Driver!$F$209)*$BI$1</f>
        <v>6.25</v>
      </c>
      <c r="BR93" s="28" t="s">
        <v>155</v>
      </c>
      <c r="BS93" s="8" t="s">
        <v>262</v>
      </c>
      <c r="BT93" s="9" t="s">
        <v>298</v>
      </c>
      <c r="BU93" s="10">
        <v>184</v>
      </c>
      <c r="BV93" s="9" t="s">
        <v>158</v>
      </c>
      <c r="BW93" s="10">
        <v>184</v>
      </c>
      <c r="BX93" s="10">
        <v>184.2</v>
      </c>
      <c r="BY93" s="10">
        <v>110</v>
      </c>
      <c r="BZ93" s="10">
        <v>141</v>
      </c>
      <c r="CA93" s="10">
        <v>136</v>
      </c>
      <c r="CB93" s="10">
        <v>112</v>
      </c>
      <c r="CC93" s="10">
        <v>126</v>
      </c>
      <c r="CD93" s="10">
        <v>22.8</v>
      </c>
      <c r="CE93" s="10">
        <v>2012</v>
      </c>
      <c r="CF93" s="10">
        <v>1.0900000000000001</v>
      </c>
      <c r="CG93" s="10">
        <v>2190</v>
      </c>
      <c r="CH93" s="10">
        <v>202</v>
      </c>
      <c r="CI93" s="10">
        <v>108</v>
      </c>
      <c r="CJ93" s="10">
        <v>53</v>
      </c>
      <c r="CK93" s="10">
        <v>394</v>
      </c>
      <c r="CL93" s="10">
        <v>40</v>
      </c>
      <c r="CM93" s="10">
        <v>350</v>
      </c>
      <c r="CN93" s="10">
        <v>0.75</v>
      </c>
      <c r="CO93" s="10">
        <v>213</v>
      </c>
      <c r="CP93" s="10">
        <v>223</v>
      </c>
      <c r="CQ93" s="10">
        <v>181</v>
      </c>
      <c r="CR93" s="10">
        <v>5</v>
      </c>
      <c r="CS93" s="10">
        <v>6.6</v>
      </c>
      <c r="CT93" s="9" t="s">
        <v>169</v>
      </c>
      <c r="CU93" s="9" t="s">
        <v>185</v>
      </c>
      <c r="CV93" s="10"/>
      <c r="CW93" s="10"/>
      <c r="CX93" t="e">
        <f>INDEX('Data_Price '!AG$2:AG$1266,MATCH(Data!$DN93,'Data_Price '!$AT$2:$AT$1266,0))</f>
        <v>#N/A</v>
      </c>
      <c r="CY93" t="e">
        <f>INDEX('Data_Price '!AH$2:AH$1266,MATCH(Data!$DN93,'Data_Price '!$AT$2:$AT$1266,0))</f>
        <v>#N/A</v>
      </c>
      <c r="CZ93" t="e">
        <f>INDEX('Data_Price '!AI$2:AI$1266,MATCH(Data!$DN93,'Data_Price '!$AT$2:$AT$1266,0))</f>
        <v>#N/A</v>
      </c>
      <c r="DA93" t="e">
        <f>INDEX('Data_Price '!AJ$2:AJ$1266,MATCH(Data!$DN93,'Data_Price '!$AT$2:$AT$1266,0))</f>
        <v>#N/A</v>
      </c>
      <c r="DB93" t="e">
        <f>INDEX('Data_Price '!AK$2:AK$1266,MATCH(Data!$DN93,'Data_Price '!$AT$2:$AT$1266,0))</f>
        <v>#N/A</v>
      </c>
      <c r="DC93" t="e">
        <f>INDEX('Data_Price '!AL$2:AL$1266,MATCH(Data!$DN93,'Data_Price '!$AT$2:$AT$1266,0))</f>
        <v>#N/A</v>
      </c>
      <c r="DD93" t="e">
        <f>INDEX('Data_Price '!AM$2:AM$1266,MATCH(Data!$DN93,'Data_Price '!$AT$2:$AT$1266,0))</f>
        <v>#N/A</v>
      </c>
      <c r="DE93" t="e">
        <f>INDEX('Data_Price '!AN$2:AN$1266,MATCH(Data!$DN93,'Data_Price '!$AT$2:$AT$1266,0))</f>
        <v>#N/A</v>
      </c>
      <c r="DF93" t="e">
        <f>INDEX('Data_Price '!AO$2:AO$1266,MATCH(Data!$DN93,'Data_Price '!$AT$2:$AT$1266,0))</f>
        <v>#N/A</v>
      </c>
      <c r="DG93" t="e">
        <f>INDEX('Data_Price '!AP$2:AP$1266,MATCH(Data!$DN93,'Data_Price '!$AT$2:$AT$1266,0))</f>
        <v>#N/A</v>
      </c>
      <c r="DH93" t="e">
        <f>INDEX('Data_Price '!AQ$2:AQ$1266,MATCH(Data!$DN93,'Data_Price '!$AT$2:$AT$1266,0))</f>
        <v>#N/A</v>
      </c>
      <c r="DI93" t="e">
        <f>INDEX('Data_Price '!AR$2:AR$1266,MATCH(Data!$DN93,'Data_Price '!$AT$2:$AT$1266,0))</f>
        <v>#N/A</v>
      </c>
      <c r="DJ93" s="89" t="e">
        <f t="shared" si="69"/>
        <v>#N/A</v>
      </c>
      <c r="DK93" s="89" t="e">
        <f t="shared" si="70"/>
        <v>#N/A</v>
      </c>
      <c r="DL93" s="89" t="e">
        <f t="shared" si="71"/>
        <v>#N/A</v>
      </c>
      <c r="DM93" s="219" t="str">
        <f t="shared" si="72"/>
        <v>Reckoner 112</v>
      </c>
      <c r="DN93" s="89" t="str">
        <f t="shared" si="73"/>
        <v xml:space="preserve"> K2Reckoner 112184 Unisex</v>
      </c>
      <c r="DO93" s="221" t="s">
        <v>299</v>
      </c>
    </row>
    <row r="94" spans="2:119" ht="15.6" customHeight="1">
      <c r="B94" s="219" t="b">
        <f t="array" ref="B94">IF(OR(ISERROR(K94:P94)),FALSE,TRUE)</f>
        <v>1</v>
      </c>
      <c r="C94" s="43" t="b">
        <f>OR(BR94=Driver!$G$50,Data!BR1175=Driver!$H$50)</f>
        <v>1</v>
      </c>
      <c r="D94" s="43" t="b">
        <f>OR(BV94=Driver!$G$51,BV94=Driver!$H$51)</f>
        <v>1</v>
      </c>
      <c r="E94" s="43" t="b">
        <f>AND(BX94&gt;Driver!$F$54,BX94&lt;Driver!$G$54)</f>
        <v>0</v>
      </c>
      <c r="F94" s="43" t="b">
        <f>CL94&gt;Driver!$F$56</f>
        <v>1</v>
      </c>
      <c r="G94" s="43" t="b">
        <f>AND(CB94&gt;Driver!$F$55,CB94&lt;Driver!$G$55)</f>
        <v>0</v>
      </c>
      <c r="H94" s="43" t="b">
        <f t="shared" si="37"/>
        <v>0</v>
      </c>
      <c r="I94" s="43">
        <f t="shared" si="38"/>
        <v>0</v>
      </c>
      <c r="J94" s="43" t="b">
        <f t="array" ref="J94">NOT(OR(($H$9:$H$1273=TRUE)*($I$9:$I$1273&gt;0)*($BT$9:$BT$1273=BT94)*($K$9:$K$1273&gt;K94)))</f>
        <v>1</v>
      </c>
      <c r="K94" s="72">
        <f t="shared" si="39"/>
        <v>0.86361655625822298</v>
      </c>
      <c r="L94" s="72">
        <f t="shared" si="40"/>
        <v>0.9481199813558614</v>
      </c>
      <c r="M94" s="72">
        <f t="shared" si="41"/>
        <v>0.77911313116058467</v>
      </c>
      <c r="N94" s="72">
        <f t="shared" si="42"/>
        <v>0.70751840938436339</v>
      </c>
      <c r="O94" s="72">
        <f t="shared" si="43"/>
        <v>0.68148392775586675</v>
      </c>
      <c r="P94" s="72">
        <f t="shared" si="44"/>
        <v>0.94833705634152388</v>
      </c>
      <c r="Q94" s="72"/>
      <c r="R94" s="72"/>
      <c r="S94" s="72">
        <f t="shared" si="45"/>
        <v>0.50180311812106204</v>
      </c>
      <c r="T94" s="72">
        <f t="shared" si="46"/>
        <v>0.48817013158336975</v>
      </c>
      <c r="U94" s="72">
        <f t="shared" si="47"/>
        <v>0.5165428882194445</v>
      </c>
      <c r="V94" s="72">
        <f t="shared" si="48"/>
        <v>0.61194529002721054</v>
      </c>
      <c r="W94" s="72">
        <f t="shared" si="49"/>
        <v>0.78565812227115961</v>
      </c>
      <c r="X94" s="72">
        <f t="shared" si="50"/>
        <v>5.1880018644138604E-2</v>
      </c>
      <c r="Y94" s="72">
        <f t="shared" si="51"/>
        <v>0.22088686883941536</v>
      </c>
      <c r="Z94" s="72">
        <f t="shared" si="52"/>
        <v>0.29248159061563667</v>
      </c>
      <c r="AA94" s="72">
        <f t="shared" si="53"/>
        <v>0.31851607224413325</v>
      </c>
      <c r="AB94" s="72">
        <f t="shared" si="54"/>
        <v>5.1662943658476068E-2</v>
      </c>
      <c r="AC94" s="72"/>
      <c r="AD94" s="72"/>
      <c r="AE94" s="72">
        <f t="shared" si="55"/>
        <v>0.49819688187893796</v>
      </c>
      <c r="AF94" s="72">
        <f t="shared" si="56"/>
        <v>0.51182986841663025</v>
      </c>
      <c r="AG94" s="72">
        <f t="shared" si="57"/>
        <v>0.48345711178055545</v>
      </c>
      <c r="AH94" s="72">
        <f t="shared" si="58"/>
        <v>0.38805470997278946</v>
      </c>
      <c r="AI94" s="72">
        <f t="shared" si="59"/>
        <v>0.21434187772884045</v>
      </c>
      <c r="AJ94" s="72">
        <f>(AV94-Driver!$K$179)/(Driver!$L$179-Driver!$K$179)</f>
        <v>0.30609942792683903</v>
      </c>
      <c r="AK94" s="72">
        <f>(AW94-Driver!$K$180)/(Driver!$L$180-Driver!$K$180)</f>
        <v>0.31512056121912158</v>
      </c>
      <c r="AL94" s="72">
        <f>(AX94-Driver!$K$181)/(Driver!$L$181-Driver!$K$181)</f>
        <v>0.39416935432871686</v>
      </c>
      <c r="AM94" s="72">
        <f>(AY94-Driver!$K$182)/(Driver!$L$182-Driver!$K$182)</f>
        <v>0.12886894885291314</v>
      </c>
      <c r="AN94" s="72">
        <f>(AZ94-Driver!$K$183)/(Driver!$L$183-Driver!$K$183)</f>
        <v>0.30588235294117649</v>
      </c>
      <c r="AO94" s="72"/>
      <c r="AP94" s="72"/>
      <c r="AQ94" s="72">
        <f>(BC94-Driver!$K$188)/(Driver!$L$188-Driver!$K$188)</f>
        <v>0.12180311812106204</v>
      </c>
      <c r="AR94" s="72">
        <f>MIN((BD94-Driver!$K$189)/(Driver!$L$189-Driver!$K$189),100%)</f>
        <v>3.8170131583369835E-2</v>
      </c>
      <c r="AS94" s="72">
        <f>(BE94-Driver!$K$190)/(Driver!$L$190-Driver!$K$190)</f>
        <v>2.6542888219444581E-2</v>
      </c>
      <c r="AT94" s="72">
        <f>(BF94-Driver!$K$191)/(Driver!$L$191-Driver!$K$191)</f>
        <v>0.12194529002721052</v>
      </c>
      <c r="AU94" s="72">
        <f>(BG94-Driver!$K$192)/(Driver!$L$192-Driver!$K$192)</f>
        <v>3.5658122271159561E-2</v>
      </c>
      <c r="AV94" s="70">
        <f t="shared" si="60"/>
        <v>6.4424772758106084</v>
      </c>
      <c r="AW94" s="70">
        <f t="shared" si="61"/>
        <v>32.583183564485367</v>
      </c>
      <c r="AX94" s="70">
        <f t="shared" si="62"/>
        <v>4.5475241889584517</v>
      </c>
      <c r="AY94" s="70">
        <f>IFERROR(Driver!$K$19/Data!BH94/Data!BI94*Data!BK94*Data!BL94,"")</f>
        <v>0.15777404417918264</v>
      </c>
      <c r="AZ94" s="70">
        <f t="shared" si="63"/>
        <v>27.877885331347731</v>
      </c>
      <c r="BA94" s="70"/>
      <c r="BB94" s="70"/>
      <c r="BC94" s="70">
        <f t="shared" si="64"/>
        <v>63.180124130934551</v>
      </c>
      <c r="BD94" s="70">
        <f t="shared" si="65"/>
        <v>5.0988118957548743</v>
      </c>
      <c r="BE94" s="70">
        <f t="shared" si="66"/>
        <v>2.6716542011459728E-2</v>
      </c>
      <c r="BF94" s="70">
        <f t="shared" si="67"/>
        <v>13.772863794424346</v>
      </c>
      <c r="BG94" s="70">
        <f t="shared" si="68"/>
        <v>0.13502439834143826</v>
      </c>
      <c r="BH94" s="67">
        <f>MAX((CE94-Driver!$F$200)/(Driver!$G$200-Driver!$F$200)*$BI$1,1)</f>
        <v>4.5475241889584517</v>
      </c>
      <c r="BI94" s="67">
        <f>MAX($BI$1*(BY94-Driver!$F$201)/(Driver!$G$201-Driver!$F$201),1)</f>
        <v>6.075949367088608</v>
      </c>
      <c r="BJ94" s="67">
        <f>(CB94-Driver!$F$206)/(Driver!$G$206-Driver!$F$206)*$BI$1</f>
        <v>4.6031746031746028</v>
      </c>
      <c r="BK94" s="67">
        <f>(CD94-Driver!$F$203)/(Driver!$G$203-Driver!$F$203)*$BI$1</f>
        <v>4.862385321100918</v>
      </c>
      <c r="BL94" s="67">
        <f>MAX((CR94-Driver!$F$202)/(Driver!$G$202-Driver!$F$202)*$BI$1,1)</f>
        <v>4.4827586206896548</v>
      </c>
      <c r="BM94" s="67">
        <f>MAX((CH94-Driver!$F$204)/(Driver!$G$204-Driver!$F$204)*$BI$1,1)</f>
        <v>5.5982905982905979</v>
      </c>
      <c r="BN94" s="67">
        <f>(CI94-Driver!$F$205)/(Driver!$G$205-Driver!$F$205)*$BI$1</f>
        <v>4.5882352941176467</v>
      </c>
      <c r="BO94" s="67">
        <f>(CK94-Driver!$F$207)/(Driver!$G$207-Driver!$F$207)*$BI$1</f>
        <v>3.7952430196483973</v>
      </c>
      <c r="BP94" s="67">
        <f>(CM94-Driver!$F$208)/(Driver!$G$208-Driver!$F$208)*$BI$1</f>
        <v>3.8333333333333335</v>
      </c>
      <c r="BQ94" s="67">
        <f>(CL94-Driver!$F$209)/(Driver!$G$209-Driver!$F$209)*$BI$1</f>
        <v>3.4375</v>
      </c>
      <c r="BR94" s="28" t="s">
        <v>155</v>
      </c>
      <c r="BS94" s="8" t="s">
        <v>229</v>
      </c>
      <c r="BT94" s="9" t="s">
        <v>300</v>
      </c>
      <c r="BU94" s="10">
        <v>186</v>
      </c>
      <c r="BV94" s="9" t="s">
        <v>158</v>
      </c>
      <c r="BW94" s="10">
        <v>186</v>
      </c>
      <c r="BX94" s="10">
        <v>186.6</v>
      </c>
      <c r="BY94" s="10">
        <v>104</v>
      </c>
      <c r="BZ94" s="10">
        <v>163</v>
      </c>
      <c r="CA94" s="10">
        <v>133</v>
      </c>
      <c r="CB94" s="10">
        <v>93</v>
      </c>
      <c r="CC94" s="10">
        <v>116</v>
      </c>
      <c r="CD94" s="10">
        <v>20</v>
      </c>
      <c r="CE94" s="10">
        <v>1699</v>
      </c>
      <c r="CF94" s="10">
        <v>1.1599999999999999</v>
      </c>
      <c r="CG94" s="10">
        <v>1976</v>
      </c>
      <c r="CH94" s="10">
        <v>232</v>
      </c>
      <c r="CI94" s="10">
        <v>111</v>
      </c>
      <c r="CJ94" s="10">
        <v>47</v>
      </c>
      <c r="CK94" s="10">
        <v>477</v>
      </c>
      <c r="CL94" s="10">
        <v>22</v>
      </c>
      <c r="CM94" s="10">
        <v>345</v>
      </c>
      <c r="CN94" s="10">
        <v>0.46</v>
      </c>
      <c r="CO94" s="10">
        <v>138</v>
      </c>
      <c r="CP94" s="10">
        <v>102</v>
      </c>
      <c r="CQ94" s="10">
        <v>338</v>
      </c>
      <c r="CR94" s="10">
        <v>2</v>
      </c>
      <c r="CS94" s="10">
        <v>11.6</v>
      </c>
      <c r="CT94" s="9" t="s">
        <v>188</v>
      </c>
      <c r="CU94" s="9" t="s">
        <v>185</v>
      </c>
      <c r="CV94" s="10"/>
      <c r="CW94" s="10"/>
      <c r="CX94" t="e">
        <f>INDEX('Data_Price '!AG$2:AG$1266,MATCH(Data!$DN94,'Data_Price '!$AT$2:$AT$1266,0))</f>
        <v>#N/A</v>
      </c>
      <c r="CY94" t="e">
        <f>INDEX('Data_Price '!AH$2:AH$1266,MATCH(Data!$DN94,'Data_Price '!$AT$2:$AT$1266,0))</f>
        <v>#N/A</v>
      </c>
      <c r="CZ94" t="e">
        <f>INDEX('Data_Price '!AI$2:AI$1266,MATCH(Data!$DN94,'Data_Price '!$AT$2:$AT$1266,0))</f>
        <v>#N/A</v>
      </c>
      <c r="DA94" t="e">
        <f>INDEX('Data_Price '!AJ$2:AJ$1266,MATCH(Data!$DN94,'Data_Price '!$AT$2:$AT$1266,0))</f>
        <v>#N/A</v>
      </c>
      <c r="DB94" t="e">
        <f>INDEX('Data_Price '!AK$2:AK$1266,MATCH(Data!$DN94,'Data_Price '!$AT$2:$AT$1266,0))</f>
        <v>#N/A</v>
      </c>
      <c r="DC94" t="e">
        <f>INDEX('Data_Price '!AL$2:AL$1266,MATCH(Data!$DN94,'Data_Price '!$AT$2:$AT$1266,0))</f>
        <v>#N/A</v>
      </c>
      <c r="DD94" t="e">
        <f>INDEX('Data_Price '!AM$2:AM$1266,MATCH(Data!$DN94,'Data_Price '!$AT$2:$AT$1266,0))</f>
        <v>#N/A</v>
      </c>
      <c r="DE94" t="e">
        <f>INDEX('Data_Price '!AN$2:AN$1266,MATCH(Data!$DN94,'Data_Price '!$AT$2:$AT$1266,0))</f>
        <v>#N/A</v>
      </c>
      <c r="DF94" t="e">
        <f>INDEX('Data_Price '!AO$2:AO$1266,MATCH(Data!$DN94,'Data_Price '!$AT$2:$AT$1266,0))</f>
        <v>#N/A</v>
      </c>
      <c r="DG94" t="e">
        <f>INDEX('Data_Price '!AP$2:AP$1266,MATCH(Data!$DN94,'Data_Price '!$AT$2:$AT$1266,0))</f>
        <v>#N/A</v>
      </c>
      <c r="DH94" t="e">
        <f>INDEX('Data_Price '!AQ$2:AQ$1266,MATCH(Data!$DN94,'Data_Price '!$AT$2:$AT$1266,0))</f>
        <v>#N/A</v>
      </c>
      <c r="DI94" t="e">
        <f>INDEX('Data_Price '!AR$2:AR$1266,MATCH(Data!$DN94,'Data_Price '!$AT$2:$AT$1266,0))</f>
        <v>#N/A</v>
      </c>
      <c r="DJ94" s="89" t="e">
        <f t="shared" si="69"/>
        <v>#N/A</v>
      </c>
      <c r="DK94" s="89" t="e">
        <f t="shared" si="70"/>
        <v>#N/A</v>
      </c>
      <c r="DL94" s="89" t="e">
        <f t="shared" si="71"/>
        <v>#N/A</v>
      </c>
      <c r="DM94" s="219" t="str">
        <f t="shared" si="72"/>
        <v>Blaze 94</v>
      </c>
      <c r="DN94" s="89" t="str">
        <f t="shared" si="73"/>
        <v xml:space="preserve"> VölklBlaze 94186 Unisex</v>
      </c>
      <c r="DO94" s="221" t="s">
        <v>301</v>
      </c>
    </row>
    <row r="95" spans="2:119" ht="15.6" customHeight="1">
      <c r="B95" s="219" t="b">
        <f t="array" ref="B95">IF(OR(ISERROR(K95:P95)),FALSE,TRUE)</f>
        <v>1</v>
      </c>
      <c r="C95" s="43" t="b">
        <f>OR(BR95=Driver!$G$50,Data!BR805=Driver!$H$50)</f>
        <v>1</v>
      </c>
      <c r="D95" s="43" t="b">
        <f>OR(BV95=Driver!$G$51,BV95=Driver!$H$51)</f>
        <v>0</v>
      </c>
      <c r="E95" s="43" t="b">
        <f>AND(BX95&gt;Driver!$F$54,BX95&lt;Driver!$G$54)</f>
        <v>1</v>
      </c>
      <c r="F95" s="43" t="b">
        <f>CL95&gt;Driver!$F$56</f>
        <v>1</v>
      </c>
      <c r="G95" s="43" t="b">
        <f>AND(CB95&gt;Driver!$F$55,CB95&lt;Driver!$G$55)</f>
        <v>0</v>
      </c>
      <c r="H95" s="43" t="b">
        <f t="shared" si="37"/>
        <v>0</v>
      </c>
      <c r="I95" s="43">
        <f t="shared" si="38"/>
        <v>0</v>
      </c>
      <c r="J95" s="43" t="b">
        <f t="array" ref="J95">NOT(OR(($H$9:$H$1273=TRUE)*($I$9:$I$1273&gt;0)*($BT$9:$BT$1273=BT95)*($K$9:$K$1273&gt;K95)))</f>
        <v>1</v>
      </c>
      <c r="K95" s="72">
        <f t="shared" si="39"/>
        <v>0.87617620694952336</v>
      </c>
      <c r="L95" s="72">
        <f t="shared" si="40"/>
        <v>0.96993658137075212</v>
      </c>
      <c r="M95" s="72">
        <f t="shared" si="41"/>
        <v>0.78241583252829472</v>
      </c>
      <c r="N95" s="72">
        <f t="shared" si="42"/>
        <v>0.77581664501327618</v>
      </c>
      <c r="O95" s="72">
        <f t="shared" si="43"/>
        <v>0.64882909034773117</v>
      </c>
      <c r="P95" s="72">
        <f t="shared" si="44"/>
        <v>0.92260176222387691</v>
      </c>
      <c r="Q95" s="72"/>
      <c r="R95" s="72"/>
      <c r="S95" s="72">
        <f t="shared" si="45"/>
        <v>0.45894040088868904</v>
      </c>
      <c r="T95" s="72">
        <f t="shared" si="46"/>
        <v>0.5477660973621209</v>
      </c>
      <c r="U95" s="72">
        <f t="shared" si="47"/>
        <v>0.62658272625986067</v>
      </c>
      <c r="V95" s="72">
        <f t="shared" si="48"/>
        <v>0.50903813586871915</v>
      </c>
      <c r="W95" s="72">
        <f t="shared" si="49"/>
        <v>0.77294521011131101</v>
      </c>
      <c r="X95" s="72">
        <f t="shared" si="50"/>
        <v>3.0063418629247912E-2</v>
      </c>
      <c r="Y95" s="72">
        <f t="shared" si="51"/>
        <v>0.21758416747170525</v>
      </c>
      <c r="Z95" s="72">
        <f t="shared" si="52"/>
        <v>0.22418335498672376</v>
      </c>
      <c r="AA95" s="72">
        <f t="shared" si="53"/>
        <v>0.35117090965226888</v>
      </c>
      <c r="AB95" s="72">
        <f t="shared" si="54"/>
        <v>7.7398237776123091E-2</v>
      </c>
      <c r="AC95" s="72"/>
      <c r="AD95" s="72"/>
      <c r="AE95" s="72">
        <f t="shared" si="55"/>
        <v>0.54105959911131096</v>
      </c>
      <c r="AF95" s="72">
        <f t="shared" si="56"/>
        <v>0.4522339026378791</v>
      </c>
      <c r="AG95" s="72">
        <f t="shared" si="57"/>
        <v>0.37341727374013933</v>
      </c>
      <c r="AH95" s="72">
        <f t="shared" si="58"/>
        <v>0.49096186413128085</v>
      </c>
      <c r="AI95" s="72">
        <f t="shared" si="59"/>
        <v>0.22705478988868902</v>
      </c>
      <c r="AJ95" s="72">
        <f>(AV95-Driver!$K$179)/(Driver!$L$179-Driver!$K$179)</f>
        <v>0.22415599065345251</v>
      </c>
      <c r="AK95" s="72">
        <f>(AW95-Driver!$K$180)/(Driver!$L$180-Driver!$K$180)</f>
        <v>0.33246974588575756</v>
      </c>
      <c r="AL95" s="72">
        <f>(AX95-Driver!$K$181)/(Driver!$L$181-Driver!$K$181)</f>
        <v>0.32587111869980395</v>
      </c>
      <c r="AM95" s="72">
        <f>(AY95-Driver!$K$182)/(Driver!$L$182-Driver!$K$182)</f>
        <v>9.6214111444777484E-2</v>
      </c>
      <c r="AN95" s="72">
        <f>(AZ95-Driver!$K$183)/(Driver!$L$183-Driver!$K$183)</f>
        <v>0.33161764705882352</v>
      </c>
      <c r="AO95" s="72"/>
      <c r="AP95" s="72"/>
      <c r="AQ95" s="72">
        <f>(BC95-Driver!$K$188)/(Driver!$L$188-Driver!$K$188)</f>
        <v>7.8940400888689088E-2</v>
      </c>
      <c r="AR95" s="72">
        <f>MIN((BD95-Driver!$K$189)/(Driver!$L$189-Driver!$K$189),100%)</f>
        <v>9.7766097362120913E-2</v>
      </c>
      <c r="AS95" s="72">
        <f>(BE95-Driver!$K$190)/(Driver!$L$190-Driver!$K$190)</f>
        <v>0.88341727374013934</v>
      </c>
      <c r="AT95" s="72">
        <f>(BF95-Driver!$K$191)/(Driver!$L$191-Driver!$K$191)</f>
        <v>1.903813586871915E-2</v>
      </c>
      <c r="AU95" s="72">
        <f>(BG95-Driver!$K$192)/(Driver!$L$192-Driver!$K$192)</f>
        <v>2.2945210111310978E-2</v>
      </c>
      <c r="AV95" s="70">
        <f t="shared" si="60"/>
        <v>4.7178130511463836</v>
      </c>
      <c r="AW95" s="70">
        <f t="shared" si="61"/>
        <v>34.274015339663841</v>
      </c>
      <c r="AX95" s="70">
        <f t="shared" si="62"/>
        <v>3.9328400682982356</v>
      </c>
      <c r="AY95" s="70">
        <f>IFERROR(Driver!$K$19/Data!BH95/Data!BI95*Data!BK95*Data!BL95,"")</f>
        <v>0.11779477992852405</v>
      </c>
      <c r="AZ95" s="70">
        <f t="shared" si="63"/>
        <v>30.22338049143708</v>
      </c>
      <c r="BA95" s="70"/>
      <c r="BB95" s="70"/>
      <c r="BC95" s="70">
        <f t="shared" si="64"/>
        <v>40.946934725726756</v>
      </c>
      <c r="BD95" s="70">
        <f t="shared" si="65"/>
        <v>10.372949269371535</v>
      </c>
      <c r="BE95" s="70">
        <f t="shared" si="66"/>
        <v>0.88343807078630965</v>
      </c>
      <c r="BF95" s="70">
        <f t="shared" si="67"/>
        <v>2.1502236958976009</v>
      </c>
      <c r="BG95" s="70">
        <f t="shared" si="68"/>
        <v>8.6885202943046108E-2</v>
      </c>
      <c r="BH95" s="67">
        <f>MAX((CE95-Driver!$F$200)/(Driver!$G$200-Driver!$F$200)*$BI$1,1)</f>
        <v>3.9328400682982356</v>
      </c>
      <c r="BI95" s="67">
        <f>MAX($BI$1*(BY95-Driver!$F$201)/(Driver!$G$201-Driver!$F$201),1)</f>
        <v>7.7848101265822782</v>
      </c>
      <c r="BJ95" s="67">
        <f>(CB95-Driver!$F$206)/(Driver!$G$206-Driver!$F$206)*$BI$1</f>
        <v>4.1269841269841265</v>
      </c>
      <c r="BK95" s="67">
        <f>(CD95-Driver!$F$203)/(Driver!$G$203-Driver!$F$203)*$BI$1</f>
        <v>2.7522935779816518</v>
      </c>
      <c r="BL95" s="67">
        <f>MAX((CR95-Driver!$F$202)/(Driver!$G$202-Driver!$F$202)*$BI$1,1)</f>
        <v>6.5517241379310338</v>
      </c>
      <c r="BM95" s="67">
        <f>MAX((CH95-Driver!$F$204)/(Driver!$G$204-Driver!$F$204)*$BI$1,1)</f>
        <v>4.5726495726495724</v>
      </c>
      <c r="BN95" s="67">
        <f>(CI95-Driver!$F$205)/(Driver!$G$205-Driver!$F$205)*$BI$1</f>
        <v>3.8823529411764706</v>
      </c>
      <c r="BO95" s="67">
        <f>(CK95-Driver!$F$207)/(Driver!$G$207-Driver!$F$207)*$BI$1</f>
        <v>0.99276111685625645</v>
      </c>
      <c r="BP95" s="67">
        <f>(CM95-Driver!$F$208)/(Driver!$G$208-Driver!$F$208)*$BI$1</f>
        <v>1.4444444444444442</v>
      </c>
      <c r="BQ95" s="67">
        <f>(CL95-Driver!$F$209)/(Driver!$G$209-Driver!$F$209)*$BI$1</f>
        <v>1.5625</v>
      </c>
      <c r="BR95" s="28" t="s">
        <v>155</v>
      </c>
      <c r="BS95" s="8" t="s">
        <v>215</v>
      </c>
      <c r="BT95" s="9" t="s">
        <v>302</v>
      </c>
      <c r="BU95" s="10">
        <v>165</v>
      </c>
      <c r="BV95" s="9" t="s">
        <v>163</v>
      </c>
      <c r="BW95" s="10">
        <v>165</v>
      </c>
      <c r="BX95" s="10">
        <v>164.2</v>
      </c>
      <c r="BY95" s="10">
        <v>131</v>
      </c>
      <c r="BZ95" s="10">
        <v>145</v>
      </c>
      <c r="CA95" s="10">
        <v>131</v>
      </c>
      <c r="CB95" s="10">
        <v>90</v>
      </c>
      <c r="CC95" s="10">
        <v>113</v>
      </c>
      <c r="CD95" s="10">
        <v>15.4</v>
      </c>
      <c r="CE95" s="10">
        <v>1591</v>
      </c>
      <c r="CF95" s="10">
        <v>1.06</v>
      </c>
      <c r="CG95" s="10">
        <v>1679</v>
      </c>
      <c r="CH95" s="10">
        <v>208</v>
      </c>
      <c r="CI95" s="10">
        <v>99</v>
      </c>
      <c r="CJ95" s="10">
        <v>37</v>
      </c>
      <c r="CK95" s="10">
        <v>206</v>
      </c>
      <c r="CL95" s="10">
        <v>10</v>
      </c>
      <c r="CM95" s="10">
        <v>130</v>
      </c>
      <c r="CN95" s="10">
        <v>0.26200000000000001</v>
      </c>
      <c r="CO95" s="10">
        <v>108</v>
      </c>
      <c r="CP95" s="10">
        <v>79</v>
      </c>
      <c r="CQ95" s="10">
        <v>98</v>
      </c>
      <c r="CR95" s="10">
        <v>8</v>
      </c>
      <c r="CS95" s="10">
        <v>7.1</v>
      </c>
      <c r="CT95" s="9" t="s">
        <v>188</v>
      </c>
      <c r="CU95" s="9" t="s">
        <v>185</v>
      </c>
      <c r="CV95" s="10"/>
      <c r="CW95" s="10"/>
      <c r="CX95" t="str">
        <f>INDEX('Data_Price '!AG$2:AG$1266,MATCH(Data!$DN95,'Data_Price '!$AT$2:$AT$1266,0))</f>
        <v>Liberty Skis Evolv 90W Skis - Women's 2021</v>
      </c>
      <c r="CY95" t="str">
        <f>INDEX('Data_Price '!AH$2:AH$1266,MATCH(Data!$DN95,'Data_Price '!$AT$2:$AT$1266,0))</f>
        <v>BobWards.com</v>
      </c>
      <c r="CZ95">
        <f>INDEX('Data_Price '!AI$2:AI$1266,MATCH(Data!$DN95,'Data_Price '!$AT$2:$AT$1266,0))</f>
        <v>450</v>
      </c>
      <c r="DA95" t="str">
        <f>INDEX('Data_Price '!AJ$2:AJ$1266,MATCH(Data!$DN95,'Data_Price '!$AT$2:$AT$1266,0))</f>
        <v>https://tinyurl.com/y9kn3kle</v>
      </c>
      <c r="DB95" t="str">
        <f>INDEX('Data_Price '!AK$2:AK$1266,MATCH(Data!$DN95,'Data_Price '!$AT$2:$AT$1266,0))</f>
        <v>Liberty Skis Evolv 90W Skis - Women's 2021</v>
      </c>
      <c r="DC95" t="str">
        <f>INDEX('Data_Price '!AL$2:AL$1266,MATCH(Data!$DN95,'Data_Price '!$AT$2:$AT$1266,0))</f>
        <v>SkiEssentials.com</v>
      </c>
      <c r="DD95">
        <f>INDEX('Data_Price '!AM$2:AM$1266,MATCH(Data!$DN95,'Data_Price '!$AT$2:$AT$1266,0))</f>
        <v>469.95</v>
      </c>
      <c r="DE95" t="str">
        <f>INDEX('Data_Price '!AN$2:AN$1266,MATCH(Data!$DN95,'Data_Price '!$AT$2:$AT$1266,0))</f>
        <v>https://tinyurl.com/ycsenfd5</v>
      </c>
      <c r="DF95" t="str">
        <f>INDEX('Data_Price '!AO$2:AO$1266,MATCH(Data!$DN95,'Data_Price '!$AT$2:$AT$1266,0))</f>
        <v>2020 Liberty Evolv 90</v>
      </c>
      <c r="DG95" t="str">
        <f>INDEX('Data_Price '!AP$2:AP$1266,MATCH(Data!$DN95,'Data_Price '!$AT$2:$AT$1266,0))</f>
        <v>eBay - larsonski</v>
      </c>
      <c r="DH95">
        <f>INDEX('Data_Price '!AQ$2:AQ$1266,MATCH(Data!$DN95,'Data_Price '!$AT$2:$AT$1266,0))</f>
        <v>425</v>
      </c>
      <c r="DI95" t="str">
        <f>INDEX('Data_Price '!AR$2:AR$1266,MATCH(Data!$DN95,'Data_Price '!$AT$2:$AT$1266,0))</f>
        <v>https://tinyurl.com/y9mdnxvc</v>
      </c>
      <c r="DJ95" s="89" t="str">
        <f t="shared" si="69"/>
        <v>https://tinyurl.com/y9kn3kle</v>
      </c>
      <c r="DK95" s="89" t="str">
        <f t="shared" si="70"/>
        <v>https://tinyurl.com/ycsenfd5</v>
      </c>
      <c r="DL95" s="89" t="str">
        <f t="shared" si="71"/>
        <v>https://tinyurl.com/y9mdnxvc</v>
      </c>
      <c r="DM95" s="219" t="str">
        <f t="shared" si="72"/>
        <v>Evolv 90W</v>
      </c>
      <c r="DN95" s="89" t="str">
        <f t="shared" si="73"/>
        <v xml:space="preserve"> LibertyEvolv 90W165 Women's</v>
      </c>
      <c r="DO95" s="221"/>
    </row>
    <row r="96" spans="2:119" ht="15.6" customHeight="1">
      <c r="B96" s="219" t="b">
        <f t="array" ref="B96">IF(OR(ISERROR(K96:P96)),FALSE,TRUE)</f>
        <v>1</v>
      </c>
      <c r="C96" s="43" t="b">
        <f>OR(BR96=Driver!$G$50,Data!BR106=Driver!$H$50)</f>
        <v>1</v>
      </c>
      <c r="D96" s="43" t="b">
        <f>OR(BV96=Driver!$G$51,BV96=Driver!$H$51)</f>
        <v>1</v>
      </c>
      <c r="E96" s="43" t="b">
        <f>AND(BX96&gt;Driver!$F$54,BX96&lt;Driver!$G$54)</f>
        <v>0</v>
      </c>
      <c r="F96" s="43" t="b">
        <f>CL96&gt;Driver!$F$56</f>
        <v>1</v>
      </c>
      <c r="G96" s="43" t="b">
        <f>AND(CB96&gt;Driver!$F$55,CB96&lt;Driver!$G$55)</f>
        <v>1</v>
      </c>
      <c r="H96" s="43" t="b">
        <f t="shared" si="37"/>
        <v>0</v>
      </c>
      <c r="I96" s="43">
        <f t="shared" si="38"/>
        <v>1</v>
      </c>
      <c r="J96" s="43" t="b">
        <f t="array" ref="J96">NOT(OR(($H$9:$H$1273=TRUE)*($I$9:$I$1273&gt;0)*($BT$9:$BT$1273=BT96)*($K$9:$K$1273&gt;K96)))</f>
        <v>0</v>
      </c>
      <c r="K96" s="72">
        <f t="shared" si="39"/>
        <v>0.8239674956358165</v>
      </c>
      <c r="L96" s="72">
        <f t="shared" si="40"/>
        <v>0.89735856003606429</v>
      </c>
      <c r="M96" s="72">
        <f t="shared" si="41"/>
        <v>0.75057643123556872</v>
      </c>
      <c r="N96" s="72">
        <f t="shared" si="42"/>
        <v>0.69929732546606838</v>
      </c>
      <c r="O96" s="72">
        <f t="shared" si="43"/>
        <v>0.67100667660499624</v>
      </c>
      <c r="P96" s="72">
        <f t="shared" si="44"/>
        <v>0.88142529163564154</v>
      </c>
      <c r="Q96" s="72"/>
      <c r="R96" s="72"/>
      <c r="S96" s="72">
        <f t="shared" si="45"/>
        <v>0.49270884946964622</v>
      </c>
      <c r="T96" s="72">
        <f t="shared" si="46"/>
        <v>0.4718881537489038</v>
      </c>
      <c r="U96" s="72">
        <f t="shared" si="47"/>
        <v>0.56461532115030355</v>
      </c>
      <c r="V96" s="72">
        <f t="shared" si="48"/>
        <v>0.55827662403350353</v>
      </c>
      <c r="W96" s="72">
        <f t="shared" si="49"/>
        <v>0.80476768377253816</v>
      </c>
      <c r="X96" s="72">
        <f t="shared" si="50"/>
        <v>0.10264143996393565</v>
      </c>
      <c r="Y96" s="72">
        <f t="shared" si="51"/>
        <v>0.24942356876443128</v>
      </c>
      <c r="Z96" s="72">
        <f t="shared" si="52"/>
        <v>0.30070267453393168</v>
      </c>
      <c r="AA96" s="72">
        <f t="shared" si="53"/>
        <v>0.32899332339500381</v>
      </c>
      <c r="AB96" s="72">
        <f t="shared" si="54"/>
        <v>0.11857470836435841</v>
      </c>
      <c r="AC96" s="72"/>
      <c r="AD96" s="72"/>
      <c r="AE96" s="72">
        <f t="shared" si="55"/>
        <v>0.50729115053035378</v>
      </c>
      <c r="AF96" s="72">
        <f t="shared" si="56"/>
        <v>0.5281118462510962</v>
      </c>
      <c r="AG96" s="72">
        <f t="shared" si="57"/>
        <v>0.43538467884969639</v>
      </c>
      <c r="AH96" s="72">
        <f t="shared" si="58"/>
        <v>0.44172337596649647</v>
      </c>
      <c r="AI96" s="72">
        <f t="shared" si="59"/>
        <v>0.19523231622746184</v>
      </c>
      <c r="AJ96" s="72">
        <f>(AV96-Driver!$K$179)/(Driver!$L$179-Driver!$K$179)</f>
        <v>0.35686084924663608</v>
      </c>
      <c r="AK96" s="72">
        <f>(AW96-Driver!$K$180)/(Driver!$L$180-Driver!$K$180)</f>
        <v>0.37832107303517393</v>
      </c>
      <c r="AL96" s="72">
        <f>(AX96-Driver!$K$181)/(Driver!$L$181-Driver!$K$181)</f>
        <v>0.40239043824701187</v>
      </c>
      <c r="AM96" s="72">
        <f>(AY96-Driver!$K$182)/(Driver!$L$182-Driver!$K$182)</f>
        <v>0.11839169770204254</v>
      </c>
      <c r="AN96" s="72">
        <f>(AZ96-Driver!$K$183)/(Driver!$L$183-Driver!$K$183)</f>
        <v>0.37279411764705883</v>
      </c>
      <c r="AO96" s="72"/>
      <c r="AP96" s="72"/>
      <c r="AQ96" s="72">
        <f>(BC96-Driver!$K$188)/(Driver!$L$188-Driver!$K$188)</f>
        <v>0.11270884946964618</v>
      </c>
      <c r="AR96" s="72">
        <f>MIN((BD96-Driver!$K$189)/(Driver!$L$189-Driver!$K$189),100%)</f>
        <v>2.1888153748903891E-2</v>
      </c>
      <c r="AS96" s="72">
        <f>(BE96-Driver!$K$190)/(Driver!$L$190-Driver!$K$190)</f>
        <v>7.4615321150303601E-2</v>
      </c>
      <c r="AT96" s="72">
        <f>(BF96-Driver!$K$191)/(Driver!$L$191-Driver!$K$191)</f>
        <v>6.8276624033503527E-2</v>
      </c>
      <c r="AU96" s="72">
        <f>(BG96-Driver!$K$192)/(Driver!$L$192-Driver!$K$192)</f>
        <v>5.4767683772538142E-2</v>
      </c>
      <c r="AV96" s="70">
        <f t="shared" si="60"/>
        <v>7.5108533441866792</v>
      </c>
      <c r="AW96" s="70">
        <f t="shared" si="61"/>
        <v>38.742633454463643</v>
      </c>
      <c r="AX96" s="70">
        <f t="shared" si="62"/>
        <v>4.621513944223107</v>
      </c>
      <c r="AY96" s="70">
        <f>IFERROR(Driver!$K$19/Data!BH96/Data!BI96*Data!BK96*Data!BL96,"")</f>
        <v>0.14494676266049364</v>
      </c>
      <c r="AZ96" s="70">
        <f t="shared" si="63"/>
        <v>33.976172747580044</v>
      </c>
      <c r="BA96" s="70"/>
      <c r="BB96" s="70"/>
      <c r="BC96" s="70">
        <f t="shared" si="64"/>
        <v>58.462863759115173</v>
      </c>
      <c r="BD96" s="70">
        <f t="shared" si="65"/>
        <v>3.6578857073622193</v>
      </c>
      <c r="BE96" s="70">
        <f t="shared" si="66"/>
        <v>7.4780399361362174E-2</v>
      </c>
      <c r="BF96" s="70">
        <f t="shared" si="67"/>
        <v>7.7113650141529337</v>
      </c>
      <c r="BG96" s="70">
        <f t="shared" si="68"/>
        <v>0.20738538876799467</v>
      </c>
      <c r="BH96" s="67">
        <f>MAX((CE96-Driver!$F$200)/(Driver!$G$200-Driver!$F$200)*$BI$1,1)</f>
        <v>4.621513944223107</v>
      </c>
      <c r="BI96" s="67">
        <f>MAX($BI$1*(BY96-Driver!$F$201)/(Driver!$G$201-Driver!$F$201),1)</f>
        <v>7.4050632911392409</v>
      </c>
      <c r="BJ96" s="67">
        <f>(CB96-Driver!$F$206)/(Driver!$G$206-Driver!$F$206)*$BI$1</f>
        <v>6.825396825396826</v>
      </c>
      <c r="BK96" s="67">
        <f>(CD96-Driver!$F$203)/(Driver!$G$203-Driver!$F$203)*$BI$1</f>
        <v>4.4954128440366974</v>
      </c>
      <c r="BL96" s="67">
        <f>MAX((CR96-Driver!$F$202)/(Driver!$G$202-Driver!$F$202)*$BI$1,1)</f>
        <v>5.5172413793103452</v>
      </c>
      <c r="BM96" s="67">
        <f>MAX((CH96-Driver!$F$204)/(Driver!$G$204-Driver!$F$204)*$BI$1,1)</f>
        <v>4.4017094017094021</v>
      </c>
      <c r="BN96" s="67">
        <f>(CI96-Driver!$F$205)/(Driver!$G$205-Driver!$F$205)*$BI$1</f>
        <v>4.5882352941176467</v>
      </c>
      <c r="BO96" s="67">
        <f>(CK96-Driver!$F$207)/(Driver!$G$207-Driver!$F$207)*$BI$1</f>
        <v>2.8748707342295758</v>
      </c>
      <c r="BP96" s="67">
        <f>(CM96-Driver!$F$208)/(Driver!$G$208-Driver!$F$208)*$BI$1</f>
        <v>1.7666666666666666</v>
      </c>
      <c r="BQ96" s="67">
        <f>(CL96-Driver!$F$209)/(Driver!$G$209-Driver!$F$209)*$BI$1</f>
        <v>4.21875</v>
      </c>
      <c r="BR96" s="28" t="s">
        <v>155</v>
      </c>
      <c r="BS96" s="8" t="s">
        <v>182</v>
      </c>
      <c r="BT96" s="9" t="s">
        <v>303</v>
      </c>
      <c r="BU96" s="10">
        <v>180</v>
      </c>
      <c r="BV96" s="9" t="s">
        <v>158</v>
      </c>
      <c r="BW96" s="10">
        <v>180</v>
      </c>
      <c r="BX96" s="10">
        <v>179.4</v>
      </c>
      <c r="BY96" s="10">
        <v>125</v>
      </c>
      <c r="BZ96" s="10">
        <v>139</v>
      </c>
      <c r="CA96" s="10">
        <v>133</v>
      </c>
      <c r="CB96" s="10">
        <v>107</v>
      </c>
      <c r="CC96" s="10">
        <v>125</v>
      </c>
      <c r="CD96" s="10">
        <v>19.2</v>
      </c>
      <c r="CE96" s="10">
        <v>1712</v>
      </c>
      <c r="CF96" s="10">
        <v>1.22</v>
      </c>
      <c r="CG96" s="10">
        <v>2087</v>
      </c>
      <c r="CH96" s="10">
        <v>204</v>
      </c>
      <c r="CI96" s="10">
        <v>111</v>
      </c>
      <c r="CJ96" s="10">
        <v>44</v>
      </c>
      <c r="CK96" s="10">
        <v>388</v>
      </c>
      <c r="CL96" s="10">
        <v>27</v>
      </c>
      <c r="CM96" s="10">
        <v>159</v>
      </c>
      <c r="CN96" s="10">
        <v>0.60899999999999999</v>
      </c>
      <c r="CO96" s="10">
        <v>236</v>
      </c>
      <c r="CP96" s="10">
        <v>164</v>
      </c>
      <c r="CQ96" s="10">
        <v>152</v>
      </c>
      <c r="CR96" s="10">
        <v>5</v>
      </c>
      <c r="CS96" s="10">
        <v>9.5</v>
      </c>
      <c r="CT96" s="9" t="s">
        <v>169</v>
      </c>
      <c r="CU96" s="9" t="s">
        <v>185</v>
      </c>
      <c r="CV96" s="10"/>
      <c r="CW96" s="10"/>
      <c r="CX96" t="str">
        <f>INDEX('Data_Price '!AG$2:AG$1266,MATCH(Data!$DN96,'Data_Price '!$AT$2:$AT$1266,0))</f>
        <v>Armada Tracer 108 Purple-White-Orange 180 Ski Men</v>
      </c>
      <c r="CY96" t="str">
        <f>INDEX('Data_Price '!AH$2:AH$1266,MATCH(Data!$DN96,'Data_Price '!$AT$2:$AT$1266,0))</f>
        <v>! OutdoorXL.com</v>
      </c>
      <c r="CZ96">
        <f>INDEX('Data_Price '!AI$2:AI$1266,MATCH(Data!$DN96,'Data_Price '!$AT$2:$AT$1266,0))</f>
        <v>514.95000000000005</v>
      </c>
      <c r="DA96" t="str">
        <f>INDEX('Data_Price '!AJ$2:AJ$1266,MATCH(Data!$DN96,'Data_Price '!$AT$2:$AT$1266,0))</f>
        <v>https://tinyurl.com/y8noje4z</v>
      </c>
      <c r="DB96" t="str">
        <f>INDEX('Data_Price '!AK$2:AK$1266,MATCH(Data!$DN96,'Data_Price '!$AT$2:$AT$1266,0))</f>
        <v>Armada Men's Tracer 108 Ski</v>
      </c>
      <c r="DC96" t="str">
        <f>INDEX('Data_Price '!AL$2:AL$1266,MATCH(Data!$DN96,'Data_Price '!$AT$2:$AT$1266,0))</f>
        <v>PRFO Sports</v>
      </c>
      <c r="DD96">
        <f>INDEX('Data_Price '!AM$2:AM$1266,MATCH(Data!$DN96,'Data_Price '!$AT$2:$AT$1266,0))</f>
        <v>544.54999999999995</v>
      </c>
      <c r="DE96" t="str">
        <f>INDEX('Data_Price '!AN$2:AN$1266,MATCH(Data!$DN96,'Data_Price '!$AT$2:$AT$1266,0))</f>
        <v>https://tinyurl.com/y92on884</v>
      </c>
      <c r="DF96" t="str">
        <f>INDEX('Data_Price '!AO$2:AO$1266,MATCH(Data!$DN96,'Data_Price '!$AT$2:$AT$1266,0))</f>
        <v>Armada Tracer 108 Skis</v>
      </c>
      <c r="DG96" t="str">
        <f>INDEX('Data_Price '!AP$2:AP$1266,MATCH(Data!$DN96,'Data_Price '!$AT$2:$AT$1266,0))</f>
        <v>Powder7 Ski Shop</v>
      </c>
      <c r="DH96">
        <f>INDEX('Data_Price '!AQ$2:AQ$1266,MATCH(Data!$DN96,'Data_Price '!$AT$2:$AT$1266,0))</f>
        <v>599.95000000000005</v>
      </c>
      <c r="DI96" t="str">
        <f>INDEX('Data_Price '!AR$2:AR$1266,MATCH(Data!$DN96,'Data_Price '!$AT$2:$AT$1266,0))</f>
        <v>https://tinyurl.com/ya365k3v</v>
      </c>
      <c r="DJ96" s="89" t="str">
        <f t="shared" si="69"/>
        <v>https://tinyurl.com/y8noje4z</v>
      </c>
      <c r="DK96" s="89" t="str">
        <f t="shared" si="70"/>
        <v>https://tinyurl.com/y92on884</v>
      </c>
      <c r="DL96" s="89" t="str">
        <f t="shared" si="71"/>
        <v>https://tinyurl.com/ya365k3v</v>
      </c>
      <c r="DM96" s="219" t="str">
        <f t="shared" si="72"/>
        <v>Tracer 108</v>
      </c>
      <c r="DN96" s="89" t="str">
        <f t="shared" si="73"/>
        <v xml:space="preserve"> ArmadaTracer 108180 Unisex</v>
      </c>
      <c r="DO96" s="221" t="s">
        <v>304</v>
      </c>
    </row>
    <row r="97" spans="2:119" ht="15.6" customHeight="1">
      <c r="B97" s="219" t="b">
        <f t="array" ref="B97">IF(OR(ISERROR(K97:P97)),FALSE,TRUE)</f>
        <v>1</v>
      </c>
      <c r="C97" s="43" t="b">
        <f>OR(BR97=Driver!$G$50,Data!BR995=Driver!$H$50)</f>
        <v>1</v>
      </c>
      <c r="D97" s="43" t="b">
        <f>OR(BV97=Driver!$G$51,BV97=Driver!$H$51)</f>
        <v>0</v>
      </c>
      <c r="E97" s="43" t="b">
        <f>AND(BX97&gt;Driver!$F$54,BX97&lt;Driver!$G$54)</f>
        <v>0</v>
      </c>
      <c r="F97" s="43" t="b">
        <f>CL97&gt;Driver!$F$56</f>
        <v>1</v>
      </c>
      <c r="G97" s="43" t="b">
        <f>AND(CB97&gt;Driver!$F$55,CB97&lt;Driver!$G$55)</f>
        <v>0</v>
      </c>
      <c r="H97" s="43" t="b">
        <f t="shared" si="37"/>
        <v>0</v>
      </c>
      <c r="I97" s="43">
        <f t="shared" si="38"/>
        <v>0</v>
      </c>
      <c r="J97" s="43" t="b">
        <f t="array" ref="J97">NOT(OR(($H$9:$H$1273=TRUE)*($I$9:$I$1273&gt;0)*($BT$9:$BT$1273=BT97)*($K$9:$K$1273&gt;K97)))</f>
        <v>1</v>
      </c>
      <c r="K97" s="72">
        <f t="shared" si="39"/>
        <v>0.88489008203778596</v>
      </c>
      <c r="L97" s="72">
        <f t="shared" si="40"/>
        <v>0.99394753939186242</v>
      </c>
      <c r="M97" s="72">
        <f t="shared" si="41"/>
        <v>0.7758326246837095</v>
      </c>
      <c r="N97" s="72">
        <f t="shared" si="42"/>
        <v>0.73597600756307702</v>
      </c>
      <c r="O97" s="72">
        <f t="shared" si="43"/>
        <v>0.65004755524456681</v>
      </c>
      <c r="P97" s="72">
        <f t="shared" si="44"/>
        <v>0.94147431124348469</v>
      </c>
      <c r="Q97" s="72"/>
      <c r="R97" s="72"/>
      <c r="S97" s="72">
        <f t="shared" si="45"/>
        <v>0.458913725866824</v>
      </c>
      <c r="T97" s="72">
        <f t="shared" si="46"/>
        <v>0.53570580318687877</v>
      </c>
      <c r="U97" s="72">
        <f t="shared" si="47"/>
        <v>0.74215046689870867</v>
      </c>
      <c r="V97" s="72">
        <f t="shared" si="48"/>
        <v>0.53700903882269402</v>
      </c>
      <c r="W97" s="72">
        <f t="shared" si="49"/>
        <v>0.77454545454545454</v>
      </c>
      <c r="X97" s="72">
        <f t="shared" si="50"/>
        <v>6.0524606081375221E-3</v>
      </c>
      <c r="Y97" s="72">
        <f t="shared" si="51"/>
        <v>0.2241673753162905</v>
      </c>
      <c r="Z97" s="72">
        <f t="shared" si="52"/>
        <v>0.26402399243692298</v>
      </c>
      <c r="AA97" s="72">
        <f t="shared" si="53"/>
        <v>0.34995244475543319</v>
      </c>
      <c r="AB97" s="72">
        <f t="shared" si="54"/>
        <v>5.8525688756515259E-2</v>
      </c>
      <c r="AC97" s="72"/>
      <c r="AD97" s="72"/>
      <c r="AE97" s="72">
        <f t="shared" si="55"/>
        <v>0.541086274133176</v>
      </c>
      <c r="AF97" s="72">
        <f t="shared" si="56"/>
        <v>0.46429419681312123</v>
      </c>
      <c r="AG97" s="72">
        <f t="shared" si="57"/>
        <v>0.25784953310129133</v>
      </c>
      <c r="AH97" s="72">
        <f t="shared" si="58"/>
        <v>0.46299096117730604</v>
      </c>
      <c r="AI97" s="72">
        <f t="shared" si="59"/>
        <v>0.22545454545454546</v>
      </c>
      <c r="AJ97" s="72">
        <f>(AV97-Driver!$K$179)/(Driver!$L$179-Driver!$K$179)</f>
        <v>0.2481669486745629</v>
      </c>
      <c r="AK97" s="72">
        <f>(AW97-Driver!$K$180)/(Driver!$L$180-Driver!$K$180)</f>
        <v>0.31851542434078295</v>
      </c>
      <c r="AL97" s="72">
        <f>(AX97-Driver!$K$181)/(Driver!$L$181-Driver!$K$181)</f>
        <v>0.36571175615000318</v>
      </c>
      <c r="AM97" s="72">
        <f>(AY97-Driver!$K$182)/(Driver!$L$182-Driver!$K$182)</f>
        <v>9.7432576341613175E-2</v>
      </c>
      <c r="AN97" s="72">
        <f>(AZ97-Driver!$K$183)/(Driver!$L$183-Driver!$K$183)</f>
        <v>0.31274509803921569</v>
      </c>
      <c r="AO97" s="72"/>
      <c r="AP97" s="72"/>
      <c r="AQ97" s="72">
        <f>(BC97-Driver!$K$188)/(Driver!$L$188-Driver!$K$188)</f>
        <v>7.8913725866823964E-2</v>
      </c>
      <c r="AR97" s="72">
        <f>MIN((BD97-Driver!$K$189)/(Driver!$L$189-Driver!$K$189),100%)</f>
        <v>8.5705803186878829E-2</v>
      </c>
      <c r="AS97" s="72">
        <f>(BE97-Driver!$K$190)/(Driver!$L$190-Driver!$K$190)</f>
        <v>0.25215046689870868</v>
      </c>
      <c r="AT97" s="72">
        <f>(BF97-Driver!$K$191)/(Driver!$L$191-Driver!$K$191)</f>
        <v>4.7009038822693978E-2</v>
      </c>
      <c r="AU97" s="72">
        <f>(BG97-Driver!$K$192)/(Driver!$L$192-Driver!$K$192)</f>
        <v>2.454545454545454E-2</v>
      </c>
      <c r="AV97" s="70">
        <f t="shared" si="60"/>
        <v>5.2231718898385573</v>
      </c>
      <c r="AW97" s="70">
        <f t="shared" si="61"/>
        <v>32.914043057238672</v>
      </c>
      <c r="AX97" s="70">
        <f t="shared" si="62"/>
        <v>4.2914058053500286</v>
      </c>
      <c r="AY97" s="70">
        <f>IFERROR(Driver!$K$19/Data!BH97/Data!BI97*Data!BK97*Data!BL97,"")</f>
        <v>0.11928654451708724</v>
      </c>
      <c r="AZ97" s="70">
        <f t="shared" si="63"/>
        <v>28.503350707371556</v>
      </c>
      <c r="BA97" s="70"/>
      <c r="BB97" s="70"/>
      <c r="BC97" s="70">
        <f t="shared" si="64"/>
        <v>40.933098206443567</v>
      </c>
      <c r="BD97" s="70">
        <f t="shared" si="65"/>
        <v>9.3056346044393852</v>
      </c>
      <c r="BE97" s="70">
        <f t="shared" si="66"/>
        <v>0.2522838748380089</v>
      </c>
      <c r="BF97" s="70">
        <f t="shared" si="67"/>
        <v>5.3093406778343013</v>
      </c>
      <c r="BG97" s="70">
        <f t="shared" si="68"/>
        <v>9.2944749216300929E-2</v>
      </c>
      <c r="BH97" s="67">
        <f>MAX((CE97-Driver!$F$200)/(Driver!$G$200-Driver!$F$200)*$BI$1,1)</f>
        <v>4.2914058053500286</v>
      </c>
      <c r="BI97" s="67">
        <f>MAX($BI$1*(BY97-Driver!$F$201)/(Driver!$G$201-Driver!$F$201),1)</f>
        <v>7.3417721518987342</v>
      </c>
      <c r="BJ97" s="67">
        <f>(CB97-Driver!$F$206)/(Driver!$G$206-Driver!$F$206)*$BI$1</f>
        <v>4.4444444444444446</v>
      </c>
      <c r="BK97" s="67">
        <f>(CD97-Driver!$F$203)/(Driver!$G$203-Driver!$F$203)*$BI$1</f>
        <v>3.0275229357798166</v>
      </c>
      <c r="BL97" s="67">
        <f>MAX((CR97-Driver!$F$202)/(Driver!$G$202-Driver!$F$202)*$BI$1,1)</f>
        <v>6.2068965517241379</v>
      </c>
      <c r="BM97" s="67">
        <f>MAX((CH97-Driver!$F$204)/(Driver!$G$204-Driver!$F$204)*$BI$1,1)</f>
        <v>4.700854700854701</v>
      </c>
      <c r="BN97" s="67">
        <f>(CI97-Driver!$F$205)/(Driver!$G$205-Driver!$F$205)*$BI$1</f>
        <v>3.8823529411764706</v>
      </c>
      <c r="BO97" s="67">
        <f>(CK97-Driver!$F$207)/(Driver!$G$207-Driver!$F$207)*$BI$1</f>
        <v>1.892450879007239</v>
      </c>
      <c r="BP97" s="67">
        <f>(CM97-Driver!$F$208)/(Driver!$G$208-Driver!$F$208)*$BI$1</f>
        <v>1.9111111111111112</v>
      </c>
      <c r="BQ97" s="67">
        <f>(CL97-Driver!$F$209)/(Driver!$G$209-Driver!$F$209)*$BI$1</f>
        <v>1.875</v>
      </c>
      <c r="BR97" s="28" t="s">
        <v>155</v>
      </c>
      <c r="BS97" s="8" t="s">
        <v>172</v>
      </c>
      <c r="BT97" s="9" t="s">
        <v>305</v>
      </c>
      <c r="BU97" s="10">
        <v>170</v>
      </c>
      <c r="BV97" s="9" t="s">
        <v>163</v>
      </c>
      <c r="BW97" s="10">
        <v>170</v>
      </c>
      <c r="BX97" s="10">
        <v>170.6</v>
      </c>
      <c r="BY97" s="10">
        <v>124</v>
      </c>
      <c r="BZ97" s="10">
        <v>146</v>
      </c>
      <c r="CA97" s="10">
        <v>126</v>
      </c>
      <c r="CB97" s="10">
        <v>92</v>
      </c>
      <c r="CC97" s="10">
        <v>116</v>
      </c>
      <c r="CD97" s="10">
        <v>16</v>
      </c>
      <c r="CE97" s="10">
        <v>1654</v>
      </c>
      <c r="CF97" s="10">
        <v>1.07</v>
      </c>
      <c r="CG97" s="10">
        <v>1771</v>
      </c>
      <c r="CH97" s="10">
        <v>211</v>
      </c>
      <c r="CI97" s="10">
        <v>99</v>
      </c>
      <c r="CJ97" s="10">
        <v>46</v>
      </c>
      <c r="CK97" s="10">
        <v>293</v>
      </c>
      <c r="CL97" s="10">
        <v>12</v>
      </c>
      <c r="CM97" s="10">
        <v>172</v>
      </c>
      <c r="CN97" s="10">
        <v>0.252</v>
      </c>
      <c r="CO97" s="10">
        <v>144</v>
      </c>
      <c r="CP97" s="10">
        <v>106</v>
      </c>
      <c r="CQ97" s="10">
        <v>150</v>
      </c>
      <c r="CR97" s="10">
        <v>7</v>
      </c>
      <c r="CS97" s="10">
        <v>7</v>
      </c>
      <c r="CT97" s="9" t="s">
        <v>188</v>
      </c>
      <c r="CU97" s="9" t="s">
        <v>185</v>
      </c>
      <c r="CV97" s="10"/>
      <c r="CW97" s="10"/>
      <c r="CX97" t="str">
        <f>INDEX('Data_Price '!AG$2:AG$1266,MATCH(Data!$DN97,'Data_Price '!$AT$2:$AT$1266,0))</f>
        <v>Rossignol Women's Freeride Skis Blackops W Stargazer</v>
      </c>
      <c r="CY97" t="str">
        <f>INDEX('Data_Price '!AH$2:AH$1266,MATCH(Data!$DN97,'Data_Price '!$AT$2:$AT$1266,0))</f>
        <v>Level Nine Sports</v>
      </c>
      <c r="CZ97">
        <f>INDEX('Data_Price '!AI$2:AI$1266,MATCH(Data!$DN97,'Data_Price '!$AT$2:$AT$1266,0))</f>
        <v>479.96</v>
      </c>
      <c r="DA97" t="str">
        <f>INDEX('Data_Price '!AJ$2:AJ$1266,MATCH(Data!$DN97,'Data_Price '!$AT$2:$AT$1266,0))</f>
        <v>https://tinyurl.com/y9lhvobt</v>
      </c>
      <c r="DB97" t="str">
        <f>INDEX('Data_Price '!AK$2:AK$1266,MATCH(Data!$DN97,'Data_Price '!$AT$2:$AT$1266,0))</f>
        <v>Rossignol Blackops W Stargazer Skis</v>
      </c>
      <c r="DC97" t="str">
        <f>INDEX('Data_Price '!AL$2:AL$1266,MATCH(Data!$DN97,'Data_Price '!$AT$2:$AT$1266,0))</f>
        <v>Cole Sport</v>
      </c>
      <c r="DD97">
        <f>INDEX('Data_Price '!AM$2:AM$1266,MATCH(Data!$DN97,'Data_Price '!$AT$2:$AT$1266,0))</f>
        <v>479.96</v>
      </c>
      <c r="DE97" t="str">
        <f>INDEX('Data_Price '!AN$2:AN$1266,MATCH(Data!$DN97,'Data_Price '!$AT$2:$AT$1266,0))</f>
        <v>https://tinyurl.com/y9n8z4lr</v>
      </c>
      <c r="DF97" t="str">
        <f>INDEX('Data_Price '!AO$2:AO$1266,MATCH(Data!$DN97,'Data_Price '!$AT$2:$AT$1266,0))</f>
        <v>Rossignol Blackops W Stargazer 92 Skis Womens 2022</v>
      </c>
      <c r="DG97" t="str">
        <f>INDEX('Data_Price '!AP$2:AP$1266,MATCH(Data!$DN97,'Data_Price '!$AT$2:$AT$1266,0))</f>
        <v>BlueZone Sports</v>
      </c>
      <c r="DH97">
        <f>INDEX('Data_Price '!AQ$2:AQ$1266,MATCH(Data!$DN97,'Data_Price '!$AT$2:$AT$1266,0))</f>
        <v>479.99</v>
      </c>
      <c r="DI97" t="str">
        <f>INDEX('Data_Price '!AR$2:AR$1266,MATCH(Data!$DN97,'Data_Price '!$AT$2:$AT$1266,0))</f>
        <v>https://tinyurl.com/y84jrkjd</v>
      </c>
      <c r="DJ97" s="89" t="str">
        <f t="shared" si="69"/>
        <v>https://tinyurl.com/y9lhvobt</v>
      </c>
      <c r="DK97" s="89" t="str">
        <f t="shared" si="70"/>
        <v>https://tinyurl.com/y9n8z4lr</v>
      </c>
      <c r="DL97" s="89" t="str">
        <f t="shared" si="71"/>
        <v>https://tinyurl.com/y84jrkjd</v>
      </c>
      <c r="DM97" s="219" t="str">
        <f t="shared" si="72"/>
        <v>Blackops Stargazer W</v>
      </c>
      <c r="DN97" s="89" t="str">
        <f t="shared" si="73"/>
        <v xml:space="preserve"> RossignolBlackops Stargazer W170 Women's</v>
      </c>
      <c r="DO97" s="221"/>
    </row>
    <row r="98" spans="2:119" ht="15.6" customHeight="1">
      <c r="B98" s="219" t="b">
        <f t="array" ref="B98">IF(OR(ISERROR(K98:P98)),FALSE,TRUE)</f>
        <v>1</v>
      </c>
      <c r="C98" s="43" t="b">
        <f>OR(BR98=Driver!$G$50,Data!BR799=Driver!$H$50)</f>
        <v>1</v>
      </c>
      <c r="D98" s="43" t="b">
        <f>OR(BV98=Driver!$G$51,BV98=Driver!$H$51)</f>
        <v>1</v>
      </c>
      <c r="E98" s="43" t="b">
        <f>AND(BX98&gt;Driver!$F$54,BX98&lt;Driver!$G$54)</f>
        <v>1</v>
      </c>
      <c r="F98" s="43" t="b">
        <f>CL98&gt;Driver!$F$56</f>
        <v>1</v>
      </c>
      <c r="G98" s="43" t="b">
        <f>AND(CB98&gt;Driver!$F$55,CB98&lt;Driver!$G$55)</f>
        <v>0</v>
      </c>
      <c r="H98" s="43" t="b">
        <f t="shared" si="37"/>
        <v>0</v>
      </c>
      <c r="I98" s="43">
        <f t="shared" si="38"/>
        <v>0</v>
      </c>
      <c r="J98" s="43" t="b">
        <f t="array" ref="J98">NOT(OR(($H$9:$H$1273=TRUE)*($I$9:$I$1273&gt;0)*($BT$9:$BT$1273=BT98)*($K$9:$K$1273&gt;K98)))</f>
        <v>1</v>
      </c>
      <c r="K98" s="72">
        <f t="shared" si="39"/>
        <v>0.85129983315183688</v>
      </c>
      <c r="L98" s="72">
        <f t="shared" si="40"/>
        <v>0.93512874960860559</v>
      </c>
      <c r="M98" s="72">
        <f t="shared" si="41"/>
        <v>0.76747091669506806</v>
      </c>
      <c r="N98" s="72">
        <f t="shared" si="42"/>
        <v>0.74609426469328644</v>
      </c>
      <c r="O98" s="72">
        <f t="shared" si="43"/>
        <v>0.6442150891811127</v>
      </c>
      <c r="P98" s="72">
        <f t="shared" si="44"/>
        <v>0.91210339621080494</v>
      </c>
      <c r="Q98" s="72"/>
      <c r="R98" s="72"/>
      <c r="S98" s="72">
        <f t="shared" si="45"/>
        <v>0.46582073013819902</v>
      </c>
      <c r="T98" s="72">
        <f t="shared" si="46"/>
        <v>0.54123880603529251</v>
      </c>
      <c r="U98" s="72">
        <f t="shared" si="47"/>
        <v>0.56995607444447349</v>
      </c>
      <c r="V98" s="72">
        <f t="shared" si="48"/>
        <v>0.50584164412153032</v>
      </c>
      <c r="W98" s="72">
        <f t="shared" si="49"/>
        <v>0.77445511157239233</v>
      </c>
      <c r="X98" s="72">
        <f t="shared" si="50"/>
        <v>6.4871250391394353E-2</v>
      </c>
      <c r="Y98" s="72">
        <f t="shared" si="51"/>
        <v>0.23252908330493197</v>
      </c>
      <c r="Z98" s="72">
        <f t="shared" si="52"/>
        <v>0.25390573530671362</v>
      </c>
      <c r="AA98" s="72">
        <f t="shared" si="53"/>
        <v>0.3557849108188873</v>
      </c>
      <c r="AB98" s="72">
        <f t="shared" si="54"/>
        <v>8.7896603789195005E-2</v>
      </c>
      <c r="AC98" s="72"/>
      <c r="AD98" s="72"/>
      <c r="AE98" s="72">
        <f t="shared" si="55"/>
        <v>0.53417926986180098</v>
      </c>
      <c r="AF98" s="72">
        <f t="shared" si="56"/>
        <v>0.45876119396470749</v>
      </c>
      <c r="AG98" s="72">
        <f t="shared" si="57"/>
        <v>0.43004392555552651</v>
      </c>
      <c r="AH98" s="72">
        <f t="shared" si="58"/>
        <v>0.49415835587846968</v>
      </c>
      <c r="AI98" s="72">
        <f t="shared" si="59"/>
        <v>0.22554488842760767</v>
      </c>
      <c r="AJ98" s="72">
        <f>(AV98-Driver!$K$179)/(Driver!$L$179-Driver!$K$179)</f>
        <v>0.18934815889130607</v>
      </c>
      <c r="AK98" s="72">
        <f>(AW98-Driver!$K$180)/(Driver!$L$180-Driver!$K$180)</f>
        <v>0.344974156490234</v>
      </c>
      <c r="AL98" s="72">
        <f>(AX98-Driver!$K$181)/(Driver!$L$181-Driver!$K$181)</f>
        <v>0.35559349901979381</v>
      </c>
      <c r="AM98" s="72">
        <f>(AY98-Driver!$K$182)/(Driver!$L$182-Driver!$K$182)</f>
        <v>9.1600110278159036E-2</v>
      </c>
      <c r="AN98" s="72">
        <f>(AZ98-Driver!$K$183)/(Driver!$L$183-Driver!$K$183)</f>
        <v>0.34211601307189543</v>
      </c>
      <c r="AO98" s="72"/>
      <c r="AP98" s="72"/>
      <c r="AQ98" s="72">
        <f>(BC98-Driver!$K$188)/(Driver!$L$188-Driver!$K$188)</f>
        <v>8.5820730138199061E-2</v>
      </c>
      <c r="AR98" s="72">
        <f>MIN((BD98-Driver!$K$189)/(Driver!$L$189-Driver!$K$189),100%)</f>
        <v>9.1238806035292566E-2</v>
      </c>
      <c r="AS98" s="72">
        <f>(BE98-Driver!$K$190)/(Driver!$L$190-Driver!$K$190)</f>
        <v>0.94004392555552652</v>
      </c>
      <c r="AT98" s="72">
        <f>(BF98-Driver!$K$191)/(Driver!$L$191-Driver!$K$191)</f>
        <v>1.5841644121530357E-2</v>
      </c>
      <c r="AU98" s="72">
        <f>(BG98-Driver!$K$192)/(Driver!$L$192-Driver!$K$192)</f>
        <v>2.4455111572392323E-2</v>
      </c>
      <c r="AV98" s="70">
        <f t="shared" si="60"/>
        <v>3.9852123185456514</v>
      </c>
      <c r="AW98" s="70">
        <f t="shared" si="61"/>
        <v>35.492680953419566</v>
      </c>
      <c r="AX98" s="70">
        <f t="shared" si="62"/>
        <v>4.2003414911781443</v>
      </c>
      <c r="AY98" s="70">
        <f>IFERROR(Driver!$K$19/Data!BH98/Data!BI98*Data!BK98*Data!BL98,"")</f>
        <v>0.11214586581550726</v>
      </c>
      <c r="AZ98" s="70">
        <f t="shared" si="63"/>
        <v>31.180193596425912</v>
      </c>
      <c r="BA98" s="70"/>
      <c r="BB98" s="70"/>
      <c r="BC98" s="70">
        <f t="shared" si="64"/>
        <v>44.515809338720523</v>
      </c>
      <c r="BD98" s="70">
        <f t="shared" si="65"/>
        <v>9.7952955526230809</v>
      </c>
      <c r="BE98" s="70">
        <f t="shared" si="66"/>
        <v>0.9400546210443731</v>
      </c>
      <c r="BF98" s="70">
        <f t="shared" si="67"/>
        <v>1.7892024096781074</v>
      </c>
      <c r="BG98" s="70">
        <f t="shared" si="68"/>
        <v>9.2602653087701103E-2</v>
      </c>
      <c r="BH98" s="67">
        <f>MAX((CE98-Driver!$F$200)/(Driver!$G$200-Driver!$F$200)*$BI$1,1)</f>
        <v>4.2003414911781443</v>
      </c>
      <c r="BI98" s="67">
        <f>MAX($BI$1*(BY98-Driver!$F$201)/(Driver!$G$201-Driver!$F$201),1)</f>
        <v>7.9113924050632916</v>
      </c>
      <c r="BJ98" s="67">
        <f>(CB98-Driver!$F$206)/(Driver!$G$206-Driver!$F$206)*$BI$1</f>
        <v>3.9682539682539679</v>
      </c>
      <c r="BK98" s="67">
        <f>(CD98-Driver!$F$203)/(Driver!$G$203-Driver!$F$203)*$BI$1</f>
        <v>2.8440366972477067</v>
      </c>
      <c r="BL98" s="67">
        <f>MAX((CR98-Driver!$F$202)/(Driver!$G$202-Driver!$F$202)*$BI$1,1)</f>
        <v>6.5517241379310338</v>
      </c>
      <c r="BM98" s="67">
        <f>MAX((CH98-Driver!$F$204)/(Driver!$G$204-Driver!$F$204)*$BI$1,1)</f>
        <v>4.017094017094017</v>
      </c>
      <c r="BN98" s="67">
        <f>(CI98-Driver!$F$205)/(Driver!$G$205-Driver!$F$205)*$BI$1</f>
        <v>3.9411764705882351</v>
      </c>
      <c r="BO98" s="67">
        <f>(CK98-Driver!$F$207)/(Driver!$G$207-Driver!$F$207)*$BI$1</f>
        <v>0.96173733195449851</v>
      </c>
      <c r="BP98" s="67">
        <f>(CM98-Driver!$F$208)/(Driver!$G$208-Driver!$F$208)*$BI$1</f>
        <v>1.3333333333333333</v>
      </c>
      <c r="BQ98" s="67">
        <f>(CL98-Driver!$F$209)/(Driver!$G$209-Driver!$F$209)*$BI$1</f>
        <v>1.5625</v>
      </c>
      <c r="BR98" s="28" t="s">
        <v>155</v>
      </c>
      <c r="BS98" s="8" t="s">
        <v>215</v>
      </c>
      <c r="BT98" s="9" t="s">
        <v>306</v>
      </c>
      <c r="BU98" s="10">
        <v>165</v>
      </c>
      <c r="BV98" s="9" t="s">
        <v>158</v>
      </c>
      <c r="BW98" s="10">
        <v>165</v>
      </c>
      <c r="BX98" s="10">
        <v>165.1</v>
      </c>
      <c r="BY98" s="10">
        <v>133</v>
      </c>
      <c r="BZ98" s="10">
        <v>146</v>
      </c>
      <c r="CA98" s="10">
        <v>130</v>
      </c>
      <c r="CB98" s="10">
        <v>89</v>
      </c>
      <c r="CC98" s="10">
        <v>112</v>
      </c>
      <c r="CD98" s="10">
        <v>15.6</v>
      </c>
      <c r="CE98" s="10">
        <v>1638</v>
      </c>
      <c r="CF98" s="10">
        <v>1.02</v>
      </c>
      <c r="CG98" s="10">
        <v>1679</v>
      </c>
      <c r="CH98" s="10">
        <v>195</v>
      </c>
      <c r="CI98" s="10">
        <v>100</v>
      </c>
      <c r="CJ98" s="10">
        <v>38</v>
      </c>
      <c r="CK98" s="10">
        <v>203</v>
      </c>
      <c r="CL98" s="10">
        <v>10</v>
      </c>
      <c r="CM98" s="10">
        <v>120</v>
      </c>
      <c r="CN98" s="10">
        <v>0.25700000000000001</v>
      </c>
      <c r="CO98" s="10">
        <v>103</v>
      </c>
      <c r="CP98" s="10">
        <v>88</v>
      </c>
      <c r="CQ98" s="10">
        <v>100</v>
      </c>
      <c r="CR98" s="10">
        <v>8</v>
      </c>
      <c r="CS98" s="10">
        <v>10.5</v>
      </c>
      <c r="CT98" s="9" t="s">
        <v>188</v>
      </c>
      <c r="CU98" s="10"/>
      <c r="CV98" s="10"/>
      <c r="CW98" s="10"/>
      <c r="CX98" t="str">
        <f>INDEX('Data_Price '!AG$2:AG$1266,MATCH(Data!$DN98,'Data_Price '!$AT$2:$AT$1266,0))</f>
        <v>2020 Liberty Evolv 90</v>
      </c>
      <c r="CY98" t="str">
        <f>INDEX('Data_Price '!AH$2:AH$1266,MATCH(Data!$DN98,'Data_Price '!$AT$2:$AT$1266,0))</f>
        <v>eBay - larsonski</v>
      </c>
      <c r="CZ98">
        <f>INDEX('Data_Price '!AI$2:AI$1266,MATCH(Data!$DN98,'Data_Price '!$AT$2:$AT$1266,0))</f>
        <v>425</v>
      </c>
      <c r="DA98" t="str">
        <f>INDEX('Data_Price '!AJ$2:AJ$1266,MATCH(Data!$DN98,'Data_Price '!$AT$2:$AT$1266,0))</f>
        <v>https://tinyurl.com/y97wzj7z</v>
      </c>
      <c r="DB98" t="str">
        <f>INDEX('Data_Price '!AK$2:AK$1266,MATCH(Data!$DN98,'Data_Price '!$AT$2:$AT$1266,0))</f>
        <v>Liberty Evolv 90 Skis | Men's | 20/21 | Size 165</v>
      </c>
      <c r="DC98" t="str">
        <f>INDEX('Data_Price '!AL$2:AL$1266,MATCH(Data!$DN98,'Data_Price '!$AT$2:$AT$1266,0))</f>
        <v>Christy Sports</v>
      </c>
      <c r="DD98">
        <f>INDEX('Data_Price '!AM$2:AM$1266,MATCH(Data!$DN98,'Data_Price '!$AT$2:$AT$1266,0))</f>
        <v>479.94</v>
      </c>
      <c r="DE98" t="str">
        <f>INDEX('Data_Price '!AN$2:AN$1266,MATCH(Data!$DN98,'Data_Price '!$AT$2:$AT$1266,0))</f>
        <v>https://tinyurl.com/y98rs9ch</v>
      </c>
      <c r="DF98" t="str">
        <f>INDEX('Data_Price '!AO$2:AO$1266,MATCH(Data!$DN98,'Data_Price '!$AT$2:$AT$1266,0))</f>
        <v>2021 Liberty Evolv 90 Women's Skis w/ Tyrolia Attack 11 GW Bindings - 165| Ski Essentials</v>
      </c>
      <c r="DG98" t="str">
        <f>INDEX('Data_Price '!AP$2:AP$1266,MATCH(Data!$DN98,'Data_Price '!$AT$2:$AT$1266,0))</f>
        <v>SkiEssentials.com</v>
      </c>
      <c r="DH98">
        <f>INDEX('Data_Price '!AQ$2:AQ$1266,MATCH(Data!$DN98,'Data_Price '!$AT$2:$AT$1266,0))</f>
        <v>584.95000000000005</v>
      </c>
      <c r="DI98" t="str">
        <f>INDEX('Data_Price '!AR$2:AR$1266,MATCH(Data!$DN98,'Data_Price '!$AT$2:$AT$1266,0))</f>
        <v>https://tinyurl.com/yd3oc3my</v>
      </c>
      <c r="DJ98" s="89" t="str">
        <f t="shared" si="69"/>
        <v>https://tinyurl.com/y97wzj7z</v>
      </c>
      <c r="DK98" s="89" t="str">
        <f t="shared" si="70"/>
        <v>https://tinyurl.com/y98rs9ch</v>
      </c>
      <c r="DL98" s="89" t="str">
        <f t="shared" si="71"/>
        <v>https://tinyurl.com/yd3oc3my</v>
      </c>
      <c r="DM98" s="219" t="str">
        <f t="shared" si="72"/>
        <v>Evolv 90</v>
      </c>
      <c r="DN98" s="89" t="str">
        <f t="shared" si="73"/>
        <v xml:space="preserve"> LibertyEvolv 90165 Unisex</v>
      </c>
      <c r="DO98" s="221"/>
    </row>
    <row r="99" spans="2:119" ht="15.6" customHeight="1">
      <c r="B99" s="219" t="b">
        <f t="array" ref="B99">IF(OR(ISERROR(K99:P99)),FALSE,TRUE)</f>
        <v>1</v>
      </c>
      <c r="C99" s="43" t="b">
        <f>OR(BR99=Driver!$G$50,Data!BR588=Driver!$H$50)</f>
        <v>1</v>
      </c>
      <c r="D99" s="43" t="b">
        <f>OR(BV99=Driver!$G$51,BV99=Driver!$H$51)</f>
        <v>0</v>
      </c>
      <c r="E99" s="43" t="b">
        <f>AND(BX99&gt;Driver!$F$54,BX99&lt;Driver!$G$54)</f>
        <v>1</v>
      </c>
      <c r="F99" s="43" t="b">
        <f>CL99&gt;Driver!$F$56</f>
        <v>1</v>
      </c>
      <c r="G99" s="43" t="b">
        <f>AND(CB99&gt;Driver!$F$55,CB99&lt;Driver!$G$55)</f>
        <v>0</v>
      </c>
      <c r="H99" s="43" t="b">
        <f t="shared" si="37"/>
        <v>0</v>
      </c>
      <c r="I99" s="43">
        <f t="shared" si="38"/>
        <v>0</v>
      </c>
      <c r="J99" s="43" t="b">
        <f t="array" ref="J99">NOT(OR(($H$9:$H$1273=TRUE)*($I$9:$I$1273&gt;0)*($BT$9:$BT$1273=BT99)*($K$9:$K$1273&gt;K99)))</f>
        <v>1</v>
      </c>
      <c r="K99" s="72">
        <f t="shared" si="39"/>
        <v>0.85873162276373338</v>
      </c>
      <c r="L99" s="72">
        <f t="shared" si="40"/>
        <v>0.9537412707591979</v>
      </c>
      <c r="M99" s="72">
        <f t="shared" si="41"/>
        <v>0.76372197476826897</v>
      </c>
      <c r="N99" s="72">
        <f t="shared" si="42"/>
        <v>0.73850557184562937</v>
      </c>
      <c r="O99" s="72">
        <f t="shared" si="43"/>
        <v>0.6209899627843205</v>
      </c>
      <c r="P99" s="72">
        <f t="shared" si="44"/>
        <v>0.93167038967485727</v>
      </c>
      <c r="Q99" s="72"/>
      <c r="R99" s="72"/>
      <c r="S99" s="72">
        <f t="shared" si="45"/>
        <v>0.43816143085896864</v>
      </c>
      <c r="T99" s="72">
        <f t="shared" si="46"/>
        <v>0.51793626635723777</v>
      </c>
      <c r="U99" s="72">
        <f t="shared" si="47"/>
        <v>0.57504272657288391</v>
      </c>
      <c r="V99" s="72">
        <f t="shared" si="48"/>
        <v>0.59198850485441246</v>
      </c>
      <c r="W99" s="72">
        <f t="shared" si="49"/>
        <v>0.79828988764044939</v>
      </c>
      <c r="X99" s="72">
        <f t="shared" si="50"/>
        <v>4.6258729240802127E-2</v>
      </c>
      <c r="Y99" s="72">
        <f t="shared" si="51"/>
        <v>0.236278025231731</v>
      </c>
      <c r="Z99" s="72">
        <f t="shared" si="52"/>
        <v>0.26149442815437063</v>
      </c>
      <c r="AA99" s="72">
        <f t="shared" si="53"/>
        <v>0.37901003721567955</v>
      </c>
      <c r="AB99" s="72">
        <f t="shared" si="54"/>
        <v>6.8329610325142676E-2</v>
      </c>
      <c r="AC99" s="72"/>
      <c r="AD99" s="72"/>
      <c r="AE99" s="72">
        <f t="shared" si="55"/>
        <v>0.56183856914103136</v>
      </c>
      <c r="AF99" s="72">
        <f t="shared" si="56"/>
        <v>0.48206373364276217</v>
      </c>
      <c r="AG99" s="72">
        <f t="shared" si="57"/>
        <v>0.42495727342711614</v>
      </c>
      <c r="AH99" s="72">
        <f t="shared" si="58"/>
        <v>0.40801149514558754</v>
      </c>
      <c r="AI99" s="72">
        <f t="shared" si="59"/>
        <v>0.20171011235955055</v>
      </c>
      <c r="AJ99" s="72">
        <f>(AV99-Driver!$K$179)/(Driver!$L$179-Driver!$K$179)</f>
        <v>0.2079606800418983</v>
      </c>
      <c r="AK99" s="72">
        <f>(AW99-Driver!$K$180)/(Driver!$L$180-Driver!$K$180)</f>
        <v>0.32708499632593191</v>
      </c>
      <c r="AL99" s="72">
        <f>(AX99-Driver!$K$181)/(Driver!$L$181-Driver!$K$181)</f>
        <v>0.36318219186745082</v>
      </c>
      <c r="AM99" s="72">
        <f>(AY99-Driver!$K$182)/(Driver!$L$182-Driver!$K$182)</f>
        <v>6.8374983881366827E-2</v>
      </c>
      <c r="AN99" s="72">
        <f>(AZ99-Driver!$K$183)/(Driver!$L$183-Driver!$K$183)</f>
        <v>0.3225490196078431</v>
      </c>
      <c r="AO99" s="72"/>
      <c r="AP99" s="72"/>
      <c r="AQ99" s="72">
        <f>(BC99-Driver!$K$188)/(Driver!$L$188-Driver!$K$188)</f>
        <v>5.8161430858968646E-2</v>
      </c>
      <c r="AR99" s="72">
        <f>MIN((BD99-Driver!$K$189)/(Driver!$L$189-Driver!$K$189),100%)</f>
        <v>6.7936266357237859E-2</v>
      </c>
      <c r="AS99" s="72">
        <f>(BE99-Driver!$K$190)/(Driver!$L$190-Driver!$K$190)</f>
        <v>8.5042726572883851E-2</v>
      </c>
      <c r="AT99" s="72">
        <f>(BF99-Driver!$K$191)/(Driver!$L$191-Driver!$K$191)</f>
        <v>0.10198850485441248</v>
      </c>
      <c r="AU99" s="72">
        <f>(BG99-Driver!$K$192)/(Driver!$L$192-Driver!$K$192)</f>
        <v>4.8289887640449433E-2</v>
      </c>
      <c r="AV99" s="70">
        <f t="shared" si="60"/>
        <v>4.3769502102835434</v>
      </c>
      <c r="AW99" s="70">
        <f t="shared" si="61"/>
        <v>33.749223781323884</v>
      </c>
      <c r="AX99" s="70">
        <f t="shared" si="62"/>
        <v>4.2686397268070575</v>
      </c>
      <c r="AY99" s="70">
        <f>IFERROR(Driver!$K$19/Data!BH99/Data!BI99*Data!BK99*Data!BL99,"")</f>
        <v>8.3711381396945464E-2</v>
      </c>
      <c r="AZ99" s="70">
        <f t="shared" si="63"/>
        <v>29.39687267311988</v>
      </c>
      <c r="BA99" s="70"/>
      <c r="BB99" s="70"/>
      <c r="BC99" s="70">
        <f t="shared" si="64"/>
        <v>30.16873851825466</v>
      </c>
      <c r="BD99" s="70">
        <f t="shared" si="65"/>
        <v>7.7330620807723118</v>
      </c>
      <c r="BE99" s="70">
        <f t="shared" si="66"/>
        <v>8.5205944652180482E-2</v>
      </c>
      <c r="BF99" s="70">
        <f t="shared" si="67"/>
        <v>11.518885113507659</v>
      </c>
      <c r="BG99" s="70">
        <f t="shared" si="68"/>
        <v>0.18285632022471909</v>
      </c>
      <c r="BH99" s="67">
        <f>MAX((CE99-Driver!$F$200)/(Driver!$G$200-Driver!$F$200)*$BI$1,1)</f>
        <v>4.2686397268070575</v>
      </c>
      <c r="BI99" s="67">
        <f>MAX($BI$1*(BY99-Driver!$F$201)/(Driver!$G$201-Driver!$F$201),1)</f>
        <v>5.9493670886075947</v>
      </c>
      <c r="BJ99" s="67">
        <f>(CB99-Driver!$F$206)/(Driver!$G$206-Driver!$F$206)*$BI$1</f>
        <v>4.6031746031746028</v>
      </c>
      <c r="BK99" s="67">
        <f>(CD99-Driver!$F$203)/(Driver!$G$203-Driver!$F$203)*$BI$1</f>
        <v>2.2018348623853208</v>
      </c>
      <c r="BL99" s="67">
        <f>MAX((CR99-Driver!$F$202)/(Driver!$G$202-Driver!$F$202)*$BI$1,1)</f>
        <v>4.8275862068965516</v>
      </c>
      <c r="BM99" s="67">
        <f>MAX((CH99-Driver!$F$204)/(Driver!$G$204-Driver!$F$204)*$BI$1,1)</f>
        <v>3.8034188034188032</v>
      </c>
      <c r="BN99" s="67">
        <f>(CI99-Driver!$F$205)/(Driver!$G$205-Driver!$F$205)*$BI$1</f>
        <v>4.9411764705882355</v>
      </c>
      <c r="BO99" s="67">
        <f>(CK99-Driver!$F$207)/(Driver!$G$207-Driver!$F$207)*$BI$1</f>
        <v>2.295760082730093</v>
      </c>
      <c r="BP99" s="67">
        <f>(CM99-Driver!$F$208)/(Driver!$G$208-Driver!$F$208)*$BI$1</f>
        <v>2.4</v>
      </c>
      <c r="BQ99" s="67">
        <f>(CL99-Driver!$F$209)/(Driver!$G$209-Driver!$F$209)*$BI$1</f>
        <v>2.96875</v>
      </c>
      <c r="BR99" s="28" t="s">
        <v>155</v>
      </c>
      <c r="BS99" s="8" t="s">
        <v>245</v>
      </c>
      <c r="BT99" s="9" t="s">
        <v>307</v>
      </c>
      <c r="BU99" s="10">
        <v>158</v>
      </c>
      <c r="BV99" s="9" t="s">
        <v>163</v>
      </c>
      <c r="BW99" s="10">
        <v>158</v>
      </c>
      <c r="BX99" s="10">
        <v>157.1</v>
      </c>
      <c r="BY99" s="10">
        <v>102</v>
      </c>
      <c r="BZ99" s="10">
        <v>133</v>
      </c>
      <c r="CA99" s="10">
        <v>124</v>
      </c>
      <c r="CB99" s="10">
        <v>93</v>
      </c>
      <c r="CC99" s="10">
        <v>115</v>
      </c>
      <c r="CD99" s="10">
        <v>14.2</v>
      </c>
      <c r="CE99" s="10">
        <v>1650</v>
      </c>
      <c r="CF99" s="10">
        <v>0.99</v>
      </c>
      <c r="CG99" s="10">
        <v>1633</v>
      </c>
      <c r="CH99" s="10">
        <v>190</v>
      </c>
      <c r="CI99" s="10">
        <v>117</v>
      </c>
      <c r="CJ99" s="10">
        <v>50</v>
      </c>
      <c r="CK99" s="10">
        <v>332</v>
      </c>
      <c r="CL99" s="10">
        <v>19</v>
      </c>
      <c r="CM99" s="10">
        <v>216</v>
      </c>
      <c r="CN99" s="10">
        <v>0.374</v>
      </c>
      <c r="CO99" s="10">
        <v>132</v>
      </c>
      <c r="CP99" s="10">
        <v>114</v>
      </c>
      <c r="CQ99" s="10">
        <v>200</v>
      </c>
      <c r="CR99" s="10">
        <v>3</v>
      </c>
      <c r="CS99" s="10">
        <v>9</v>
      </c>
      <c r="CT99" s="9" t="s">
        <v>188</v>
      </c>
      <c r="CU99" s="10"/>
      <c r="CV99" s="10"/>
      <c r="CW99" s="10"/>
      <c r="CX99" t="str">
        <f>INDEX('Data_Price '!AG$2:AG$1266,MATCH(Data!$DN99,'Data_Price '!$AT$2:$AT$1266,0))</f>
        <v>Fischer RANGER 99 TI Women's Skis 2021</v>
      </c>
      <c r="CY99" t="str">
        <f>INDEX('Data_Price '!AH$2:AH$1266,MATCH(Data!$DN99,'Data_Price '!$AT$2:$AT$1266,0))</f>
        <v>Level Nine Sports</v>
      </c>
      <c r="CZ99">
        <f>INDEX('Data_Price '!AI$2:AI$1266,MATCH(Data!$DN99,'Data_Price '!$AT$2:$AT$1266,0))</f>
        <v>389.99</v>
      </c>
      <c r="DA99" t="str">
        <f>INDEX('Data_Price '!AJ$2:AJ$1266,MATCH(Data!$DN99,'Data_Price '!$AT$2:$AT$1266,0))</f>
        <v>https://tinyurl.com/ycyfpkw5</v>
      </c>
      <c r="DB99" t="str">
        <f>INDEX('Data_Price '!AK$2:AK$1266,MATCH(Data!$DN99,'Data_Price '!$AT$2:$AT$1266,0))</f>
        <v>2021 Fischer Ranger 99 Ti WS Womens Skis w/ Tyrolia Attack2 13 GW Bindings - 158</v>
      </c>
      <c r="DC99" t="str">
        <f>INDEX('Data_Price '!AL$2:AL$1266,MATCH(Data!$DN99,'Data_Price '!$AT$2:$AT$1266,0))</f>
        <v>eBay - david110549</v>
      </c>
      <c r="DD99">
        <f>INDEX('Data_Price '!AM$2:AM$1266,MATCH(Data!$DN99,'Data_Price '!$AT$2:$AT$1266,0))</f>
        <v>644.95000000000005</v>
      </c>
      <c r="DE99" t="str">
        <f>INDEX('Data_Price '!AN$2:AN$1266,MATCH(Data!$DN99,'Data_Price '!$AT$2:$AT$1266,0))</f>
        <v>https://tinyurl.com/yd3krd4u</v>
      </c>
      <c r="DF99" t="str">
        <f>INDEX('Data_Price '!AO$2:AO$1266,MATCH(Data!$DN99,'Data_Price '!$AT$2:$AT$1266,0))</f>
        <v>2021 Fischer Ranger 99 Ti WS Womens Skis w/ Tyrolia Attack2 13 GW Bindings - 158</v>
      </c>
      <c r="DG99" t="str">
        <f>INDEX('Data_Price '!AP$2:AP$1266,MATCH(Data!$DN99,'Data_Price '!$AT$2:$AT$1266,0))</f>
        <v>SkiEssentials.com</v>
      </c>
      <c r="DH99">
        <f>INDEX('Data_Price '!AQ$2:AQ$1266,MATCH(Data!$DN99,'Data_Price '!$AT$2:$AT$1266,0))</f>
        <v>644.95000000000005</v>
      </c>
      <c r="DI99" t="str">
        <f>INDEX('Data_Price '!AR$2:AR$1266,MATCH(Data!$DN99,'Data_Price '!$AT$2:$AT$1266,0))</f>
        <v>https://tinyurl.com/ycgfudk4</v>
      </c>
      <c r="DJ99" s="89" t="str">
        <f t="shared" si="69"/>
        <v>https://tinyurl.com/ycyfpkw5</v>
      </c>
      <c r="DK99" s="89" t="str">
        <f t="shared" si="70"/>
        <v>https://tinyurl.com/yd3krd4u</v>
      </c>
      <c r="DL99" s="89" t="str">
        <f t="shared" si="71"/>
        <v>https://tinyurl.com/ycgfudk4</v>
      </c>
      <c r="DM99" s="219" t="str">
        <f t="shared" si="72"/>
        <v>Ranger 99 Ti W</v>
      </c>
      <c r="DN99" s="89" t="str">
        <f t="shared" si="73"/>
        <v xml:space="preserve"> FischerRanger 99 Ti W158 Women's</v>
      </c>
      <c r="DO99" s="221"/>
    </row>
    <row r="100" spans="2:119" ht="15.6" customHeight="1">
      <c r="B100" s="219" t="b">
        <f t="array" ref="B100">IF(OR(ISERROR(K100:P100)),FALSE,TRUE)</f>
        <v>1</v>
      </c>
      <c r="C100" s="43" t="b">
        <f>OR(BR100=Driver!$G$50,Data!BR536=Driver!$H$50)</f>
        <v>1</v>
      </c>
      <c r="D100" s="43" t="b">
        <f>OR(BV100=Driver!$G$51,BV100=Driver!$H$51)</f>
        <v>1</v>
      </c>
      <c r="E100" s="43" t="b">
        <f>AND(BX100&gt;Driver!$F$54,BX100&lt;Driver!$G$54)</f>
        <v>0</v>
      </c>
      <c r="F100" s="43" t="b">
        <f>CL100&gt;Driver!$F$56</f>
        <v>1</v>
      </c>
      <c r="G100" s="43" t="b">
        <f>AND(CB100&gt;Driver!$F$55,CB100&lt;Driver!$G$55)</f>
        <v>0</v>
      </c>
      <c r="H100" s="43" t="b">
        <f t="shared" si="37"/>
        <v>0</v>
      </c>
      <c r="I100" s="43">
        <f t="shared" si="38"/>
        <v>0</v>
      </c>
      <c r="J100" s="43" t="b">
        <f t="array" ref="J100">NOT(OR(($H$9:$H$1273=TRUE)*($I$9:$I$1273&gt;0)*($BT$9:$BT$1273=BT100)*($K$9:$K$1273&gt;K100)))</f>
        <v>1</v>
      </c>
      <c r="K100" s="72">
        <f t="shared" si="39"/>
        <v>0.83409751424257639</v>
      </c>
      <c r="L100" s="72">
        <f t="shared" si="40"/>
        <v>0.9404654813155745</v>
      </c>
      <c r="M100" s="72">
        <f t="shared" si="41"/>
        <v>0.72772954716957838</v>
      </c>
      <c r="N100" s="72">
        <f t="shared" si="42"/>
        <v>0.58609932382185137</v>
      </c>
      <c r="O100" s="72">
        <f t="shared" si="43"/>
        <v>0.66100716330614384</v>
      </c>
      <c r="P100" s="72">
        <f t="shared" si="44"/>
        <v>0.93608215438073961</v>
      </c>
      <c r="Q100" s="72"/>
      <c r="R100" s="72"/>
      <c r="S100" s="72">
        <f t="shared" si="45"/>
        <v>0.48419277998225885</v>
      </c>
      <c r="T100" s="72">
        <f t="shared" si="46"/>
        <v>0.52478529169822119</v>
      </c>
      <c r="U100" s="72">
        <f t="shared" si="47"/>
        <v>0.53688499872688711</v>
      </c>
      <c r="V100" s="72">
        <f t="shared" si="48"/>
        <v>0.53553195132994691</v>
      </c>
      <c r="W100" s="72">
        <f t="shared" si="49"/>
        <v>0.81238305768868968</v>
      </c>
      <c r="X100" s="72">
        <f t="shared" si="50"/>
        <v>5.9534518684425497E-2</v>
      </c>
      <c r="Y100" s="72">
        <f t="shared" si="51"/>
        <v>0.27227045283042167</v>
      </c>
      <c r="Z100" s="72">
        <f t="shared" si="52"/>
        <v>0.41390067617814863</v>
      </c>
      <c r="AA100" s="72">
        <f t="shared" si="53"/>
        <v>0.33899283669385616</v>
      </c>
      <c r="AB100" s="72">
        <f t="shared" si="54"/>
        <v>6.3917845619260338E-2</v>
      </c>
      <c r="AC100" s="72"/>
      <c r="AD100" s="72"/>
      <c r="AE100" s="72">
        <f t="shared" si="55"/>
        <v>0.51580722001774115</v>
      </c>
      <c r="AF100" s="72">
        <f t="shared" si="56"/>
        <v>0.47521470830177875</v>
      </c>
      <c r="AG100" s="72">
        <f t="shared" si="57"/>
        <v>0.46311500127311289</v>
      </c>
      <c r="AH100" s="72">
        <f t="shared" si="58"/>
        <v>0.46446804867005309</v>
      </c>
      <c r="AI100" s="72">
        <f t="shared" si="59"/>
        <v>0.18761694231131026</v>
      </c>
      <c r="AJ100" s="72">
        <f>(AV100-Driver!$K$179)/(Driver!$L$179-Driver!$K$179)</f>
        <v>0.31375392796712592</v>
      </c>
      <c r="AK100" s="72">
        <f>(AW100-Driver!$K$180)/(Driver!$L$180-Driver!$K$180)</f>
        <v>0.33753621986400129</v>
      </c>
      <c r="AL100" s="72">
        <f>(AX100-Driver!$K$181)/(Driver!$L$181-Driver!$K$181)</f>
        <v>0.51558843989122882</v>
      </c>
      <c r="AM100" s="72">
        <f>(AY100-Driver!$K$182)/(Driver!$L$182-Driver!$K$182)</f>
        <v>0.10839218440319019</v>
      </c>
      <c r="AN100" s="72">
        <f>(AZ100-Driver!$K$183)/(Driver!$L$183-Driver!$K$183)</f>
        <v>0.31813725490196076</v>
      </c>
      <c r="AO100" s="72"/>
      <c r="AP100" s="72"/>
      <c r="AQ100" s="72">
        <f>(BC100-Driver!$K$188)/(Driver!$L$188-Driver!$K$188)</f>
        <v>0.10419277998225886</v>
      </c>
      <c r="AR100" s="72">
        <f>MIN((BD100-Driver!$K$189)/(Driver!$L$189-Driver!$K$189),100%)</f>
        <v>7.4785291698221304E-2</v>
      </c>
      <c r="AS100" s="72">
        <f>(BE100-Driver!$K$190)/(Driver!$L$190-Driver!$K$190)</f>
        <v>4.6884998726887124E-2</v>
      </c>
      <c r="AT100" s="72">
        <f>(BF100-Driver!$K$191)/(Driver!$L$191-Driver!$K$191)</f>
        <v>4.5531951329946939E-2</v>
      </c>
      <c r="AU100" s="72">
        <f>(BG100-Driver!$K$192)/(Driver!$L$192-Driver!$K$192)</f>
        <v>6.2383057688689729E-2</v>
      </c>
      <c r="AV100" s="70">
        <f t="shared" si="60"/>
        <v>6.6035816035816035</v>
      </c>
      <c r="AW100" s="70">
        <f t="shared" si="61"/>
        <v>34.767788122370085</v>
      </c>
      <c r="AX100" s="70">
        <f t="shared" si="62"/>
        <v>5.6402959590210591</v>
      </c>
      <c r="AY100" s="70">
        <f>IFERROR(Driver!$K$19/Data!BH100/Data!BI100*Data!BK100*Data!BL100,"")</f>
        <v>0.13270437481589231</v>
      </c>
      <c r="AZ100" s="70">
        <f t="shared" si="63"/>
        <v>28.994787788533134</v>
      </c>
      <c r="BA100" s="70"/>
      <c r="BB100" s="70"/>
      <c r="BC100" s="70">
        <f t="shared" si="64"/>
        <v>54.045519313252775</v>
      </c>
      <c r="BD100" s="70">
        <f t="shared" si="65"/>
        <v>8.339188687694552</v>
      </c>
      <c r="BE100" s="70">
        <f t="shared" si="66"/>
        <v>4.7055023715347949E-2</v>
      </c>
      <c r="BF100" s="70">
        <f t="shared" si="67"/>
        <v>5.1425140226554644</v>
      </c>
      <c r="BG100" s="70">
        <f t="shared" si="68"/>
        <v>0.23622205249790487</v>
      </c>
      <c r="BH100" s="67">
        <f>MAX((CE100-Driver!$F$200)/(Driver!$G$200-Driver!$F$200)*$BI$1,1)</f>
        <v>5.6402959590210591</v>
      </c>
      <c r="BI100" s="67">
        <f>MAX($BI$1*(BY100-Driver!$F$201)/(Driver!$G$201-Driver!$F$201),1)</f>
        <v>7.4683544303797467</v>
      </c>
      <c r="BJ100" s="67">
        <f>(CB100-Driver!$F$206)/(Driver!$G$206-Driver!$F$206)*$BI$1</f>
        <v>5.2380952380952381</v>
      </c>
      <c r="BK100" s="67">
        <f>(CD100-Driver!$F$203)/(Driver!$G$203-Driver!$F$203)*$BI$1</f>
        <v>4.2660550458715596</v>
      </c>
      <c r="BL100" s="67">
        <f>MAX((CR100-Driver!$F$202)/(Driver!$G$202-Driver!$F$202)*$BI$1,1)</f>
        <v>6.5517241379310338</v>
      </c>
      <c r="BM100" s="67">
        <f>MAX((CH100-Driver!$F$204)/(Driver!$G$204-Driver!$F$204)*$BI$1,1)</f>
        <v>5.0427350427350426</v>
      </c>
      <c r="BN100" s="67">
        <f>(CI100-Driver!$F$205)/(Driver!$G$205-Driver!$F$205)*$BI$1</f>
        <v>3.8823529411764706</v>
      </c>
      <c r="BO100" s="67">
        <f>(CK100-Driver!$F$207)/(Driver!$G$207-Driver!$F$207)*$BI$1</f>
        <v>1.6752843846949328</v>
      </c>
      <c r="BP100" s="67">
        <f>(CM100-Driver!$F$208)/(Driver!$G$208-Driver!$F$208)*$BI$1</f>
        <v>2.5</v>
      </c>
      <c r="BQ100" s="67">
        <f>(CL100-Driver!$F$209)/(Driver!$G$209-Driver!$F$209)*$BI$1</f>
        <v>6.71875</v>
      </c>
      <c r="BR100" s="28" t="s">
        <v>155</v>
      </c>
      <c r="BS100" s="8" t="s">
        <v>205</v>
      </c>
      <c r="BT100" s="9" t="s">
        <v>308</v>
      </c>
      <c r="BU100" s="10">
        <v>177</v>
      </c>
      <c r="BV100" s="9" t="s">
        <v>158</v>
      </c>
      <c r="BW100" s="10">
        <v>177</v>
      </c>
      <c r="BX100" s="10">
        <v>175.3</v>
      </c>
      <c r="BY100" s="10">
        <v>126</v>
      </c>
      <c r="BZ100" s="10">
        <v>145</v>
      </c>
      <c r="CA100" s="10">
        <v>127</v>
      </c>
      <c r="CB100" s="10">
        <v>97</v>
      </c>
      <c r="CC100" s="10">
        <v>119</v>
      </c>
      <c r="CD100" s="10">
        <v>18.7</v>
      </c>
      <c r="CE100" s="10">
        <v>1891</v>
      </c>
      <c r="CF100" s="10">
        <v>1</v>
      </c>
      <c r="CG100" s="10">
        <v>1887</v>
      </c>
      <c r="CH100" s="10">
        <v>219</v>
      </c>
      <c r="CI100" s="10">
        <v>99</v>
      </c>
      <c r="CJ100" s="10">
        <v>51</v>
      </c>
      <c r="CK100" s="10">
        <v>272</v>
      </c>
      <c r="CL100" s="10">
        <v>43</v>
      </c>
      <c r="CM100" s="10">
        <v>225</v>
      </c>
      <c r="CN100" s="10">
        <v>0.82899999999999996</v>
      </c>
      <c r="CO100" s="10">
        <v>167</v>
      </c>
      <c r="CP100" s="10">
        <v>138</v>
      </c>
      <c r="CQ100" s="10">
        <v>105</v>
      </c>
      <c r="CR100" s="10">
        <v>8</v>
      </c>
      <c r="CS100" s="10">
        <v>7.6</v>
      </c>
      <c r="CT100" s="9" t="s">
        <v>188</v>
      </c>
      <c r="CU100" s="9" t="s">
        <v>184</v>
      </c>
      <c r="CV100" s="10"/>
      <c r="CW100" s="10"/>
      <c r="CX100" t="str">
        <f>INDEX('Data_Price '!AG$2:AG$1266,MATCH(Data!$DN100,'Data_Price '!$AT$2:$AT$1266,0))</f>
        <v>Faction Prodigy 2.0 Skis - 2021</v>
      </c>
      <c r="CY100" t="str">
        <f>INDEX('Data_Price '!AH$2:AH$1266,MATCH(Data!$DN100,'Data_Price '!$AT$2:$AT$1266,0))</f>
        <v>Backcountry Freeskier</v>
      </c>
      <c r="CZ100">
        <f>INDEX('Data_Price '!AI$2:AI$1266,MATCH(Data!$DN100,'Data_Price '!$AT$2:$AT$1266,0))</f>
        <v>499</v>
      </c>
      <c r="DA100" t="str">
        <f>INDEX('Data_Price '!AJ$2:AJ$1266,MATCH(Data!$DN100,'Data_Price '!$AT$2:$AT$1266,0))</f>
        <v>https://tinyurl.com/y9rcnj4g</v>
      </c>
      <c r="DB100" t="str">
        <f>INDEX('Data_Price '!AK$2:AK$1266,MATCH(Data!$DN100,'Data_Price '!$AT$2:$AT$1266,0))</f>
        <v>Faction Prodigy 2.0 Skis 177cm 2022</v>
      </c>
      <c r="DC100" t="str">
        <f>INDEX('Data_Price '!AL$2:AL$1266,MATCH(Data!$DN100,'Data_Price '!$AT$2:$AT$1266,0))</f>
        <v>Gear West Ski &amp; Bike</v>
      </c>
      <c r="DD100">
        <f>INDEX('Data_Price '!AM$2:AM$1266,MATCH(Data!$DN100,'Data_Price '!$AT$2:$AT$1266,0))</f>
        <v>699</v>
      </c>
      <c r="DE100" t="str">
        <f>INDEX('Data_Price '!AN$2:AN$1266,MATCH(Data!$DN100,'Data_Price '!$AT$2:$AT$1266,0))</f>
        <v>https://tinyurl.com/y77lae2h</v>
      </c>
      <c r="DF100" t="str">
        <f>INDEX('Data_Price '!AO$2:AO$1266,MATCH(Data!$DN100,'Data_Price '!$AT$2:$AT$1266,0))</f>
        <v>K2 reckoner 102 skis - men</v>
      </c>
      <c r="DG100" t="str">
        <f>INDEX('Data_Price '!AP$2:AP$1266,MATCH(Data!$DN100,'Data_Price '!$AT$2:$AT$1266,0))</f>
        <v>Level Nine Sports</v>
      </c>
      <c r="DH100">
        <f>INDEX('Data_Price '!AQ$2:AQ$1266,MATCH(Data!$DN100,'Data_Price '!$AT$2:$AT$1266,0))</f>
        <v>599.95000000000005</v>
      </c>
      <c r="DI100" t="str">
        <f>INDEX('Data_Price '!AR$2:AR$1266,MATCH(Data!$DN100,'Data_Price '!$AT$2:$AT$1266,0))</f>
        <v>https://tinyurl.com/yc5z5nmp</v>
      </c>
      <c r="DJ100" s="89" t="str">
        <f t="shared" si="69"/>
        <v>https://tinyurl.com/y9rcnj4g</v>
      </c>
      <c r="DK100" s="89" t="str">
        <f t="shared" si="70"/>
        <v>https://tinyurl.com/y77lae2h</v>
      </c>
      <c r="DL100" s="89" t="str">
        <f t="shared" si="71"/>
        <v>https://tinyurl.com/yc5z5nmp</v>
      </c>
      <c r="DM100" s="219" t="str">
        <f t="shared" si="72"/>
        <v>Prodigy 2.0</v>
      </c>
      <c r="DN100" s="89" t="str">
        <f t="shared" si="73"/>
        <v xml:space="preserve"> FactionProdigy 2.0177 Unisex</v>
      </c>
      <c r="DO100" s="221" t="s">
        <v>309</v>
      </c>
    </row>
    <row r="101" spans="2:119" ht="15.6" customHeight="1">
      <c r="B101" s="219" t="b">
        <f t="array" ref="B101">IF(OR(ISERROR(K101:P101)),FALSE,TRUE)</f>
        <v>1</v>
      </c>
      <c r="C101" s="43" t="b">
        <f>OR(BR101=Driver!$G$50,Data!BR70=Driver!$H$50)</f>
        <v>1</v>
      </c>
      <c r="D101" s="43" t="b">
        <f>OR(BV101=Driver!$G$51,BV101=Driver!$H$51)</f>
        <v>1</v>
      </c>
      <c r="E101" s="43" t="b">
        <f>AND(BX101&gt;Driver!$F$54,BX101&lt;Driver!$G$54)</f>
        <v>1</v>
      </c>
      <c r="F101" s="43" t="b">
        <f>CL101&gt;Driver!$F$56</f>
        <v>1</v>
      </c>
      <c r="G101" s="43" t="b">
        <f>AND(CB101&gt;Driver!$F$55,CB101&lt;Driver!$G$55)</f>
        <v>0</v>
      </c>
      <c r="H101" s="43" t="b">
        <f t="shared" si="37"/>
        <v>0</v>
      </c>
      <c r="I101" s="43">
        <f t="shared" si="38"/>
        <v>0</v>
      </c>
      <c r="J101" s="43" t="b">
        <f t="array" ref="J101">NOT(OR(($H$9:$H$1273=TRUE)*($I$9:$I$1273&gt;0)*($BT$9:$BT$1273=BT101)*($K$9:$K$1273&gt;K101)))</f>
        <v>1</v>
      </c>
      <c r="K101" s="72">
        <f t="shared" si="39"/>
        <v>0.89374449420071245</v>
      </c>
      <c r="L101" s="72">
        <f t="shared" si="40"/>
        <v>0.9718703498019825</v>
      </c>
      <c r="M101" s="72">
        <f t="shared" si="41"/>
        <v>0.8156186385994425</v>
      </c>
      <c r="N101" s="72">
        <f t="shared" si="42"/>
        <v>0.87130769667962671</v>
      </c>
      <c r="O101" s="72">
        <f t="shared" si="43"/>
        <v>0.67365724120854931</v>
      </c>
      <c r="P101" s="72">
        <f t="shared" si="44"/>
        <v>0.90189097791015138</v>
      </c>
      <c r="Q101" s="72"/>
      <c r="R101" s="72"/>
      <c r="S101" s="72">
        <f t="shared" si="45"/>
        <v>0.47957623297189256</v>
      </c>
      <c r="T101" s="72">
        <f t="shared" si="46"/>
        <v>0.52515214499034724</v>
      </c>
      <c r="U101" s="72">
        <f t="shared" si="47"/>
        <v>0.51</v>
      </c>
      <c r="V101" s="72">
        <f t="shared" si="48"/>
        <v>0.49670225021842174</v>
      </c>
      <c r="W101" s="72">
        <f t="shared" si="49"/>
        <v>0.77317622950819676</v>
      </c>
      <c r="X101" s="72">
        <f t="shared" si="50"/>
        <v>2.8129650198017497E-2</v>
      </c>
      <c r="Y101" s="72">
        <f t="shared" si="51"/>
        <v>0.18438136140055753</v>
      </c>
      <c r="Z101" s="72">
        <f t="shared" si="52"/>
        <v>0.12869230332037335</v>
      </c>
      <c r="AA101" s="72">
        <f t="shared" si="53"/>
        <v>0.32634275879145075</v>
      </c>
      <c r="AB101" s="72">
        <f t="shared" si="54"/>
        <v>9.8109022089848563E-2</v>
      </c>
      <c r="AC101" s="72"/>
      <c r="AD101" s="72"/>
      <c r="AE101" s="72">
        <f t="shared" si="55"/>
        <v>0.52042376702810744</v>
      </c>
      <c r="AF101" s="72">
        <f t="shared" si="56"/>
        <v>0.47484785500965276</v>
      </c>
      <c r="AG101" s="72">
        <f t="shared" si="57"/>
        <v>0.49</v>
      </c>
      <c r="AH101" s="72">
        <f t="shared" si="58"/>
        <v>0.50329774978157826</v>
      </c>
      <c r="AI101" s="72">
        <f t="shared" si="59"/>
        <v>0.22682377049180327</v>
      </c>
      <c r="AJ101" s="72">
        <f>(AV101-Driver!$K$179)/(Driver!$L$179-Driver!$K$179)</f>
        <v>0.22608975908468293</v>
      </c>
      <c r="AK101" s="72">
        <f>(AW101-Driver!$K$180)/(Driver!$L$180-Driver!$K$180)</f>
        <v>0.34333117749407416</v>
      </c>
      <c r="AL101" s="72">
        <f>(AX101-Driver!$K$181)/(Driver!$L$181-Driver!$K$181)</f>
        <v>0.23038006703345351</v>
      </c>
      <c r="AM101" s="72">
        <f>(AY101-Driver!$K$182)/(Driver!$L$182-Driver!$K$182)</f>
        <v>0.12104226230559562</v>
      </c>
      <c r="AN101" s="72">
        <f>(AZ101-Driver!$K$183)/(Driver!$L$183-Driver!$K$183)</f>
        <v>0.35232843137254899</v>
      </c>
      <c r="AO101" s="72"/>
      <c r="AP101" s="72"/>
      <c r="AQ101" s="72">
        <f>(BC101-Driver!$K$188)/(Driver!$L$188-Driver!$K$188)</f>
        <v>9.9576232971892525E-2</v>
      </c>
      <c r="AR101" s="72">
        <f>MIN((BD101-Driver!$K$189)/(Driver!$L$189-Driver!$K$189),100%)</f>
        <v>7.5152144990347267E-2</v>
      </c>
      <c r="AS101" s="72">
        <f>(BE101-Driver!$K$190)/(Driver!$L$190-Driver!$K$190)</f>
        <v>1</v>
      </c>
      <c r="AT101" s="72">
        <f>(BF101-Driver!$K$191)/(Driver!$L$191-Driver!$K$191)</f>
        <v>6.7022502184217883E-3</v>
      </c>
      <c r="AU101" s="72">
        <f>(BG101-Driver!$K$192)/(Driver!$L$192-Driver!$K$192)</f>
        <v>2.317622950819672E-2</v>
      </c>
      <c r="AV101" s="70">
        <f t="shared" si="60"/>
        <v>4.7585130918464253</v>
      </c>
      <c r="AW101" s="70">
        <f t="shared" si="61"/>
        <v>35.332558091968892</v>
      </c>
      <c r="AX101" s="70">
        <f t="shared" si="62"/>
        <v>3.0734206033010816</v>
      </c>
      <c r="AY101" s="70">
        <f>IFERROR(Driver!$K$19/Data!BH101/Data!BI101*Data!BK101*Data!BL101,"")</f>
        <v>0.14819184458739032</v>
      </c>
      <c r="AZ101" s="70">
        <f t="shared" si="63"/>
        <v>32.110945644080417</v>
      </c>
      <c r="BA101" s="70"/>
      <c r="BB101" s="70"/>
      <c r="BC101" s="70">
        <f t="shared" si="64"/>
        <v>51.650884285261618</v>
      </c>
      <c r="BD101" s="70">
        <f t="shared" si="65"/>
        <v>8.3716545540221308</v>
      </c>
      <c r="BE101" s="70">
        <f t="shared" si="66"/>
        <v>1</v>
      </c>
      <c r="BF101" s="70">
        <f t="shared" si="67"/>
        <v>0.75697207619807627</v>
      </c>
      <c r="BG101" s="70">
        <f t="shared" si="68"/>
        <v>8.7759989754098364E-2</v>
      </c>
      <c r="BH101" s="67">
        <f>MAX((CE101-Driver!$F$200)/(Driver!$G$200-Driver!$F$200)*$BI$1,1)</f>
        <v>3.0734206033010816</v>
      </c>
      <c r="BI101" s="67">
        <f>MAX($BI$1*(BY101-Driver!$F$201)/(Driver!$G$201-Driver!$F$201),1)</f>
        <v>7.9113924050632916</v>
      </c>
      <c r="BJ101" s="67">
        <f>(CB101-Driver!$F$206)/(Driver!$G$206-Driver!$F$206)*$BI$1</f>
        <v>3.6507936507936507</v>
      </c>
      <c r="BK101" s="67">
        <f>(CD101-Driver!$F$203)/(Driver!$G$203-Driver!$F$203)*$BI$1</f>
        <v>3.0733944954128449</v>
      </c>
      <c r="BL101" s="67">
        <f>MAX((CR101-Driver!$F$202)/(Driver!$G$202-Driver!$F$202)*$BI$1,1)</f>
        <v>5.8620689655172411</v>
      </c>
      <c r="BM101" s="67">
        <f>MAX((CH101-Driver!$F$204)/(Driver!$G$204-Driver!$F$204)*$BI$1,1)</f>
        <v>5.2136752136752138</v>
      </c>
      <c r="BN101" s="67">
        <f>(CI101-Driver!$F$205)/(Driver!$G$205-Driver!$F$205)*$BI$1</f>
        <v>4.0588235294117645</v>
      </c>
      <c r="BO101" s="67">
        <f>(CK101-Driver!$F$207)/(Driver!$G$207-Driver!$F$207)*$BI$1</f>
        <v>0.61013443640124088</v>
      </c>
      <c r="BP101" s="67">
        <f>(CM101-Driver!$F$208)/(Driver!$G$208-Driver!$F$208)*$BI$1</f>
        <v>1.0444444444444445</v>
      </c>
      <c r="BQ101" s="67">
        <f>(CL101-Driver!$F$209)/(Driver!$G$209-Driver!$F$209)*$BI$1</f>
        <v>1.40625</v>
      </c>
      <c r="BR101" s="28" t="s">
        <v>155</v>
      </c>
      <c r="BS101" s="8" t="s">
        <v>182</v>
      </c>
      <c r="BT101" s="9" t="s">
        <v>310</v>
      </c>
      <c r="BU101" s="10">
        <v>160</v>
      </c>
      <c r="BV101" s="9" t="s">
        <v>158</v>
      </c>
      <c r="BW101" s="10">
        <v>160</v>
      </c>
      <c r="BX101" s="10">
        <v>159.6</v>
      </c>
      <c r="BY101" s="10">
        <v>133</v>
      </c>
      <c r="BZ101" s="10">
        <v>142</v>
      </c>
      <c r="CA101" s="10">
        <v>127</v>
      </c>
      <c r="CB101" s="10">
        <v>87</v>
      </c>
      <c r="CC101" s="10">
        <v>109</v>
      </c>
      <c r="CD101" s="10">
        <v>16.100000000000001</v>
      </c>
      <c r="CE101" s="10">
        <v>1440</v>
      </c>
      <c r="CF101" s="10">
        <v>1.0900000000000001</v>
      </c>
      <c r="CG101" s="10">
        <v>1574</v>
      </c>
      <c r="CH101" s="10">
        <v>223</v>
      </c>
      <c r="CI101" s="10">
        <v>102</v>
      </c>
      <c r="CJ101" s="10">
        <v>37</v>
      </c>
      <c r="CK101" s="10">
        <v>169</v>
      </c>
      <c r="CL101" s="10">
        <v>9</v>
      </c>
      <c r="CM101" s="10">
        <v>94</v>
      </c>
      <c r="CN101" s="10">
        <v>0.23899999999999999</v>
      </c>
      <c r="CO101" s="10">
        <v>114</v>
      </c>
      <c r="CP101" s="10">
        <v>65</v>
      </c>
      <c r="CQ101" s="10">
        <v>55</v>
      </c>
      <c r="CR101" s="10">
        <v>6</v>
      </c>
      <c r="CS101" s="10">
        <v>11</v>
      </c>
      <c r="CT101" s="9" t="s">
        <v>188</v>
      </c>
      <c r="CU101" s="9" t="s">
        <v>185</v>
      </c>
      <c r="CV101" s="10"/>
      <c r="CW101" s="10"/>
      <c r="CX101" t="str">
        <f>INDEX('Data_Price '!AG$2:AG$1266,MATCH(Data!$DN101,'Data_Price '!$AT$2:$AT$1266,0))</f>
        <v>Armada Declivity 88 C Skis</v>
      </c>
      <c r="CY101" t="str">
        <f>INDEX('Data_Price '!AH$2:AH$1266,MATCH(Data!$DN101,'Data_Price '!$AT$2:$AT$1266,0))</f>
        <v>The-House.com</v>
      </c>
      <c r="CZ101">
        <f>INDEX('Data_Price '!AI$2:AI$1266,MATCH(Data!$DN101,'Data_Price '!$AT$2:$AT$1266,0))</f>
        <v>599.95000000000005</v>
      </c>
      <c r="DA101" t="str">
        <f>INDEX('Data_Price '!AJ$2:AJ$1266,MATCH(Data!$DN101,'Data_Price '!$AT$2:$AT$1266,0))</f>
        <v>https://tinyurl.com/ydg95gc7</v>
      </c>
      <c r="DB101" t="str">
        <f>INDEX('Data_Price '!AK$2:AK$1266,MATCH(Data!$DN101,'Data_Price '!$AT$2:$AT$1266,0))</f>
        <v>Armada Reliance 88 C Skis</v>
      </c>
      <c r="DC101" t="str">
        <f>INDEX('Data_Price '!AL$2:AL$1266,MATCH(Data!$DN101,'Data_Price '!$AT$2:$AT$1266,0))</f>
        <v>Snowcountry.eu</v>
      </c>
      <c r="DD101">
        <f>INDEX('Data_Price '!AM$2:AM$1266,MATCH(Data!$DN101,'Data_Price '!$AT$2:$AT$1266,0))</f>
        <v>367.9</v>
      </c>
      <c r="DE101" t="str">
        <f>INDEX('Data_Price '!AN$2:AN$1266,MATCH(Data!$DN101,'Data_Price '!$AT$2:$AT$1266,0))</f>
        <v>https://tinyurl.com/y9sm54bv</v>
      </c>
      <c r="DF101" t="str">
        <f>INDEX('Data_Price '!AO$2:AO$1266,MATCH(Data!$DN101,'Data_Price '!$AT$2:$AT$1266,0))</f>
        <v>Armada Reliance 88 C White-Black 160 Ski Lady's Ladies / Women</v>
      </c>
      <c r="DG101" t="str">
        <f>INDEX('Data_Price '!AP$2:AP$1266,MATCH(Data!$DN101,'Data_Price '!$AT$2:$AT$1266,0))</f>
        <v>! OutdoorXL.com</v>
      </c>
      <c r="DH101">
        <f>INDEX('Data_Price '!AQ$2:AQ$1266,MATCH(Data!$DN101,'Data_Price '!$AT$2:$AT$1266,0))</f>
        <v>374.95</v>
      </c>
      <c r="DI101" t="str">
        <f>INDEX('Data_Price '!AR$2:AR$1266,MATCH(Data!$DN101,'Data_Price '!$AT$2:$AT$1266,0))</f>
        <v>https://tinyurl.com/yahvqc95</v>
      </c>
      <c r="DJ101" s="89" t="str">
        <f t="shared" si="69"/>
        <v>https://tinyurl.com/ydg95gc7</v>
      </c>
      <c r="DK101" s="89" t="str">
        <f t="shared" si="70"/>
        <v>https://tinyurl.com/y9sm54bv</v>
      </c>
      <c r="DL101" s="89" t="str">
        <f t="shared" si="71"/>
        <v>https://tinyurl.com/yahvqc95</v>
      </c>
      <c r="DM101" s="219" t="str">
        <f t="shared" si="72"/>
        <v>Declivity 88 Ca</v>
      </c>
      <c r="DN101" s="89" t="str">
        <f t="shared" si="73"/>
        <v xml:space="preserve"> ArmadaDeclivity 88 Ca160 Unisex</v>
      </c>
      <c r="DO101" s="221"/>
    </row>
    <row r="102" spans="2:119" ht="15.6" customHeight="1">
      <c r="B102" s="219" t="b">
        <f t="array" ref="B102">IF(OR(ISERROR(K102:P102)),FALSE,TRUE)</f>
        <v>1</v>
      </c>
      <c r="C102" s="43" t="b">
        <f>OR(BR102=Driver!$G$50,Data!BR1212=Driver!$H$50)</f>
        <v>1</v>
      </c>
      <c r="D102" s="43" t="b">
        <f>OR(BV102=Driver!$G$51,BV102=Driver!$H$51)</f>
        <v>0</v>
      </c>
      <c r="E102" s="43" t="b">
        <f>AND(BX102&gt;Driver!$F$54,BX102&lt;Driver!$G$54)</f>
        <v>0</v>
      </c>
      <c r="F102" s="43" t="b">
        <f>CL102&gt;Driver!$F$56</f>
        <v>1</v>
      </c>
      <c r="G102" s="43" t="b">
        <f>AND(CB102&gt;Driver!$F$55,CB102&lt;Driver!$G$55)</f>
        <v>0</v>
      </c>
      <c r="H102" s="43" t="b">
        <f t="shared" si="37"/>
        <v>0</v>
      </c>
      <c r="I102" s="43">
        <f t="shared" si="38"/>
        <v>0</v>
      </c>
      <c r="J102" s="43" t="b">
        <f t="array" ref="J102">NOT(OR(($H$9:$H$1273=TRUE)*($I$9:$I$1273&gt;0)*($BT$9:$BT$1273=BT102)*($K$9:$K$1273&gt;K102)))</f>
        <v>1</v>
      </c>
      <c r="K102" s="72">
        <f t="shared" si="39"/>
        <v>0.83690493461487225</v>
      </c>
      <c r="L102" s="72">
        <f t="shared" si="40"/>
        <v>0.89274699149080694</v>
      </c>
      <c r="M102" s="72">
        <f t="shared" si="41"/>
        <v>0.78106287773893746</v>
      </c>
      <c r="N102" s="72">
        <f t="shared" si="42"/>
        <v>0.80553902533326616</v>
      </c>
      <c r="O102" s="72">
        <f t="shared" si="43"/>
        <v>0.59160013324136884</v>
      </c>
      <c r="P102" s="72">
        <f t="shared" si="44"/>
        <v>0.94604947464217759</v>
      </c>
      <c r="Q102" s="72"/>
      <c r="R102" s="72"/>
      <c r="S102" s="72">
        <f t="shared" si="45"/>
        <v>0.40926911554344014</v>
      </c>
      <c r="T102" s="72">
        <f t="shared" si="46"/>
        <v>0.59212697461557928</v>
      </c>
      <c r="U102" s="72">
        <f t="shared" si="47"/>
        <v>0.63835131819701563</v>
      </c>
      <c r="V102" s="72">
        <f t="shared" si="48"/>
        <v>0.62679833671554563</v>
      </c>
      <c r="W102" s="72">
        <f t="shared" si="49"/>
        <v>0.80545930042497549</v>
      </c>
      <c r="X102" s="72">
        <f t="shared" si="50"/>
        <v>0.10725300850919306</v>
      </c>
      <c r="Y102" s="72">
        <f t="shared" si="51"/>
        <v>0.21893712226106252</v>
      </c>
      <c r="Z102" s="72">
        <f t="shared" si="52"/>
        <v>0.1944609746667339</v>
      </c>
      <c r="AA102" s="72">
        <f t="shared" si="53"/>
        <v>0.40839986675863116</v>
      </c>
      <c r="AB102" s="72">
        <f t="shared" si="54"/>
        <v>5.395052535782241E-2</v>
      </c>
      <c r="AC102" s="72"/>
      <c r="AD102" s="72"/>
      <c r="AE102" s="72">
        <f t="shared" si="55"/>
        <v>0.59073088445655986</v>
      </c>
      <c r="AF102" s="72">
        <f t="shared" si="56"/>
        <v>0.40787302538442072</v>
      </c>
      <c r="AG102" s="72">
        <f t="shared" si="57"/>
        <v>0.36164868180298437</v>
      </c>
      <c r="AH102" s="72">
        <f t="shared" si="58"/>
        <v>0.37320166328445437</v>
      </c>
      <c r="AI102" s="72">
        <f t="shared" si="59"/>
        <v>0.19454069957502451</v>
      </c>
      <c r="AJ102" s="72">
        <f>(AV102-Driver!$K$179)/(Driver!$L$179-Driver!$K$179)</f>
        <v>0.14696640077350737</v>
      </c>
      <c r="AK102" s="72">
        <f>(AW102-Driver!$K$180)/(Driver!$L$180-Driver!$K$180)</f>
        <v>0.30707879199631088</v>
      </c>
      <c r="AL102" s="72">
        <f>(AX102-Driver!$K$181)/(Driver!$L$181-Driver!$K$181)</f>
        <v>0.29614873837981409</v>
      </c>
      <c r="AM102" s="72">
        <f>(AY102-Driver!$K$182)/(Driver!$L$182-Driver!$K$182)</f>
        <v>3.8985154338415186E-2</v>
      </c>
      <c r="AN102" s="72">
        <f>(AZ102-Driver!$K$183)/(Driver!$L$183-Driver!$K$183)</f>
        <v>0.30816993464052284</v>
      </c>
      <c r="AO102" s="72"/>
      <c r="AP102" s="72"/>
      <c r="AQ102" s="72">
        <f>(BC102-Driver!$K$188)/(Driver!$L$188-Driver!$K$188)</f>
        <v>2.9269115543440111E-2</v>
      </c>
      <c r="AR102" s="72">
        <f>MIN((BD102-Driver!$K$189)/(Driver!$L$189-Driver!$K$189),100%)</f>
        <v>0.1421269746155793</v>
      </c>
      <c r="AS102" s="72">
        <f>(BE102-Driver!$K$190)/(Driver!$L$190-Driver!$K$190)</f>
        <v>0.14835131819701566</v>
      </c>
      <c r="AT102" s="72">
        <f>(BF102-Driver!$K$191)/(Driver!$L$191-Driver!$K$191)</f>
        <v>0.13679833671554567</v>
      </c>
      <c r="AU102" s="72">
        <f>(BG102-Driver!$K$192)/(Driver!$L$192-Driver!$K$192)</f>
        <v>5.5459300424975481E-2</v>
      </c>
      <c r="AV102" s="70">
        <f t="shared" si="60"/>
        <v>3.0932030932030932</v>
      </c>
      <c r="AW102" s="70">
        <f t="shared" si="61"/>
        <v>31.799441896398257</v>
      </c>
      <c r="AX102" s="70">
        <f t="shared" si="62"/>
        <v>3.665338645418327</v>
      </c>
      <c r="AY102" s="70">
        <f>IFERROR(Driver!$K$19/Data!BH102/Data!BI102*Data!BK102*Data!BL102,"")</f>
        <v>4.7729460957594581E-2</v>
      </c>
      <c r="AZ102" s="70">
        <f t="shared" si="63"/>
        <v>28.086373790022336</v>
      </c>
      <c r="BA102" s="70"/>
      <c r="BB102" s="70"/>
      <c r="BC102" s="70">
        <f t="shared" si="64"/>
        <v>15.182093707972541</v>
      </c>
      <c r="BD102" s="70">
        <f t="shared" si="65"/>
        <v>14.298808303479282</v>
      </c>
      <c r="BE102" s="70">
        <f t="shared" si="66"/>
        <v>0.14850324273613508</v>
      </c>
      <c r="BF102" s="70">
        <f t="shared" si="67"/>
        <v>15.4504110693131</v>
      </c>
      <c r="BG102" s="70">
        <f t="shared" si="68"/>
        <v>0.21000429061784898</v>
      </c>
      <c r="BH102" s="67">
        <f>MAX((CE102-Driver!$F$200)/(Driver!$G$200-Driver!$F$200)*$BI$1,1)</f>
        <v>3.665338645418327</v>
      </c>
      <c r="BI102" s="67">
        <f>MAX($BI$1*(BY102-Driver!$F$201)/(Driver!$G$201-Driver!$F$201),1)</f>
        <v>5.8227848101265822</v>
      </c>
      <c r="BJ102" s="67">
        <f>(CB102-Driver!$F$206)/(Driver!$G$206-Driver!$F$206)*$BI$1</f>
        <v>3.8095238095238093</v>
      </c>
      <c r="BK102" s="67">
        <f>(CD102-Driver!$F$203)/(Driver!$G$203-Driver!$F$203)*$BI$1</f>
        <v>1.0550458715596327</v>
      </c>
      <c r="BL102" s="67">
        <f>MAX((CR102-Driver!$F$202)/(Driver!$G$202-Driver!$F$202)*$BI$1,1)</f>
        <v>4.8275862068965516</v>
      </c>
      <c r="BM102" s="67">
        <f>MAX((CH102-Driver!$F$204)/(Driver!$G$204-Driver!$F$204)*$BI$1,1)</f>
        <v>3.2478632478632479</v>
      </c>
      <c r="BN102" s="67">
        <f>(CI102-Driver!$F$205)/(Driver!$G$205-Driver!$F$205)*$BI$1</f>
        <v>4.8235294117647056</v>
      </c>
      <c r="BO102" s="67">
        <f>(CK102-Driver!$F$207)/(Driver!$G$207-Driver!$F$207)*$BI$1</f>
        <v>1.9648397104446744</v>
      </c>
      <c r="BP102" s="67">
        <f>(CM102-Driver!$F$208)/(Driver!$G$208-Driver!$F$208)*$BI$1</f>
        <v>2.1777777777777776</v>
      </c>
      <c r="BQ102" s="67">
        <f>(CL102-Driver!$F$209)/(Driver!$G$209-Driver!$F$209)*$BI$1</f>
        <v>2.5</v>
      </c>
      <c r="BR102" s="28" t="s">
        <v>155</v>
      </c>
      <c r="BS102" s="8" t="s">
        <v>229</v>
      </c>
      <c r="BT102" s="9" t="s">
        <v>311</v>
      </c>
      <c r="BU102" s="10">
        <v>149</v>
      </c>
      <c r="BV102" s="9" t="s">
        <v>163</v>
      </c>
      <c r="BW102" s="10">
        <v>149</v>
      </c>
      <c r="BX102" s="10">
        <v>149.1</v>
      </c>
      <c r="BY102" s="10">
        <v>100</v>
      </c>
      <c r="BZ102" s="10">
        <v>125</v>
      </c>
      <c r="CA102" s="10">
        <v>128</v>
      </c>
      <c r="CB102" s="10">
        <v>88</v>
      </c>
      <c r="CC102" s="10">
        <v>110</v>
      </c>
      <c r="CD102" s="10">
        <v>11.7</v>
      </c>
      <c r="CE102" s="10">
        <v>1544</v>
      </c>
      <c r="CF102" s="10">
        <v>0.97</v>
      </c>
      <c r="CG102" s="10">
        <v>1497</v>
      </c>
      <c r="CH102" s="10">
        <v>177</v>
      </c>
      <c r="CI102" s="10">
        <v>115</v>
      </c>
      <c r="CJ102" s="10">
        <v>43</v>
      </c>
      <c r="CK102" s="10">
        <v>300</v>
      </c>
      <c r="CL102" s="10">
        <v>16</v>
      </c>
      <c r="CM102" s="10">
        <v>196</v>
      </c>
      <c r="CN102" s="10">
        <v>0.37</v>
      </c>
      <c r="CO102" s="10">
        <v>135</v>
      </c>
      <c r="CP102" s="10">
        <v>103</v>
      </c>
      <c r="CQ102" s="10">
        <v>164</v>
      </c>
      <c r="CR102" s="10">
        <v>3</v>
      </c>
      <c r="CS102" s="10">
        <v>11</v>
      </c>
      <c r="CT102" s="9" t="s">
        <v>188</v>
      </c>
      <c r="CU102" s="10"/>
      <c r="CV102" s="10"/>
      <c r="CW102" s="10"/>
      <c r="CX102" t="e">
        <f>INDEX('Data_Price '!AG$2:AG$1266,MATCH(Data!$DN102,'Data_Price '!$AT$2:$AT$1266,0))</f>
        <v>#N/A</v>
      </c>
      <c r="CY102" t="e">
        <f>INDEX('Data_Price '!AH$2:AH$1266,MATCH(Data!$DN102,'Data_Price '!$AT$2:$AT$1266,0))</f>
        <v>#N/A</v>
      </c>
      <c r="CZ102" t="e">
        <f>INDEX('Data_Price '!AI$2:AI$1266,MATCH(Data!$DN102,'Data_Price '!$AT$2:$AT$1266,0))</f>
        <v>#N/A</v>
      </c>
      <c r="DA102" t="e">
        <f>INDEX('Data_Price '!AJ$2:AJ$1266,MATCH(Data!$DN102,'Data_Price '!$AT$2:$AT$1266,0))</f>
        <v>#N/A</v>
      </c>
      <c r="DB102" t="e">
        <f>INDEX('Data_Price '!AK$2:AK$1266,MATCH(Data!$DN102,'Data_Price '!$AT$2:$AT$1266,0))</f>
        <v>#N/A</v>
      </c>
      <c r="DC102" t="e">
        <f>INDEX('Data_Price '!AL$2:AL$1266,MATCH(Data!$DN102,'Data_Price '!$AT$2:$AT$1266,0))</f>
        <v>#N/A</v>
      </c>
      <c r="DD102" t="e">
        <f>INDEX('Data_Price '!AM$2:AM$1266,MATCH(Data!$DN102,'Data_Price '!$AT$2:$AT$1266,0))</f>
        <v>#N/A</v>
      </c>
      <c r="DE102" t="e">
        <f>INDEX('Data_Price '!AN$2:AN$1266,MATCH(Data!$DN102,'Data_Price '!$AT$2:$AT$1266,0))</f>
        <v>#N/A</v>
      </c>
      <c r="DF102" t="e">
        <f>INDEX('Data_Price '!AO$2:AO$1266,MATCH(Data!$DN102,'Data_Price '!$AT$2:$AT$1266,0))</f>
        <v>#N/A</v>
      </c>
      <c r="DG102" t="e">
        <f>INDEX('Data_Price '!AP$2:AP$1266,MATCH(Data!$DN102,'Data_Price '!$AT$2:$AT$1266,0))</f>
        <v>#N/A</v>
      </c>
      <c r="DH102" t="e">
        <f>INDEX('Data_Price '!AQ$2:AQ$1266,MATCH(Data!$DN102,'Data_Price '!$AT$2:$AT$1266,0))</f>
        <v>#N/A</v>
      </c>
      <c r="DI102" t="e">
        <f>INDEX('Data_Price '!AR$2:AR$1266,MATCH(Data!$DN102,'Data_Price '!$AT$2:$AT$1266,0))</f>
        <v>#N/A</v>
      </c>
      <c r="DJ102" s="89" t="e">
        <f t="shared" si="69"/>
        <v>#N/A</v>
      </c>
      <c r="DK102" s="89" t="e">
        <f t="shared" si="70"/>
        <v>#N/A</v>
      </c>
      <c r="DL102" s="89" t="e">
        <f t="shared" si="71"/>
        <v>#N/A</v>
      </c>
      <c r="DM102" s="219" t="str">
        <f t="shared" si="72"/>
        <v>Kenja 88</v>
      </c>
      <c r="DN102" s="89" t="str">
        <f t="shared" si="73"/>
        <v xml:space="preserve"> VölklKenja 88149 Women's</v>
      </c>
      <c r="DO102" s="221" t="s">
        <v>312</v>
      </c>
    </row>
    <row r="103" spans="2:119" ht="15.6" customHeight="1">
      <c r="B103" s="219" t="b">
        <f t="array" ref="B103">IF(OR(ISERROR(K103:P103)),FALSE,TRUE)</f>
        <v>1</v>
      </c>
      <c r="C103" s="43" t="b">
        <f>OR(BR103=Driver!$G$50,Data!BR1083=Driver!$H$50)</f>
        <v>1</v>
      </c>
      <c r="D103" s="43" t="b">
        <f>OR(BV103=Driver!$G$51,BV103=Driver!$H$51)</f>
        <v>0</v>
      </c>
      <c r="E103" s="43" t="b">
        <f>AND(BX103&gt;Driver!$F$54,BX103&lt;Driver!$G$54)</f>
        <v>0</v>
      </c>
      <c r="F103" s="43" t="b">
        <f>CL103&gt;Driver!$F$56</f>
        <v>1</v>
      </c>
      <c r="G103" s="43" t="b">
        <f>AND(CB103&gt;Driver!$F$55,CB103&lt;Driver!$G$55)</f>
        <v>0</v>
      </c>
      <c r="H103" s="43" t="b">
        <f t="shared" si="37"/>
        <v>0</v>
      </c>
      <c r="I103" s="43">
        <f t="shared" si="38"/>
        <v>0</v>
      </c>
      <c r="J103" s="43" t="b">
        <f t="array" ref="J103">NOT(OR(($H$9:$H$1273=TRUE)*($I$9:$I$1273&gt;0)*($BT$9:$BT$1273=BT103)*($K$9:$K$1273&gt;K103)))</f>
        <v>1</v>
      </c>
      <c r="K103" s="72">
        <f t="shared" si="39"/>
        <v>0.809651620414928</v>
      </c>
      <c r="L103" s="72">
        <f t="shared" si="40"/>
        <v>0.91016977589296555</v>
      </c>
      <c r="M103" s="72">
        <f t="shared" si="41"/>
        <v>0.70913346493689056</v>
      </c>
      <c r="N103" s="72">
        <f t="shared" si="42"/>
        <v>0.62467517913077453</v>
      </c>
      <c r="O103" s="72">
        <f t="shared" si="43"/>
        <v>0.61795025084164112</v>
      </c>
      <c r="P103" s="72">
        <f t="shared" si="44"/>
        <v>0.88477496483825591</v>
      </c>
      <c r="Q103" s="72"/>
      <c r="R103" s="72"/>
      <c r="S103" s="72">
        <f t="shared" si="45"/>
        <v>0.4406392013907644</v>
      </c>
      <c r="T103" s="72">
        <f t="shared" si="46"/>
        <v>0.61515441141119376</v>
      </c>
      <c r="U103" s="72">
        <f t="shared" si="47"/>
        <v>0.63006863470281738</v>
      </c>
      <c r="V103" s="72">
        <f t="shared" si="48"/>
        <v>0.56636112512247672</v>
      </c>
      <c r="W103" s="72">
        <f t="shared" si="49"/>
        <v>0.77840957165520885</v>
      </c>
      <c r="X103" s="72">
        <f t="shared" si="50"/>
        <v>8.9830224107034451E-2</v>
      </c>
      <c r="Y103" s="72">
        <f t="shared" si="51"/>
        <v>0.2908665350631095</v>
      </c>
      <c r="Z103" s="72">
        <f t="shared" si="52"/>
        <v>0.37532482086922553</v>
      </c>
      <c r="AA103" s="72">
        <f t="shared" si="53"/>
        <v>0.38204974915835888</v>
      </c>
      <c r="AB103" s="72">
        <f t="shared" si="54"/>
        <v>0.11522503516174404</v>
      </c>
      <c r="AC103" s="72"/>
      <c r="AD103" s="72"/>
      <c r="AE103" s="72">
        <f t="shared" si="55"/>
        <v>0.5593607986092356</v>
      </c>
      <c r="AF103" s="72">
        <f t="shared" si="56"/>
        <v>0.38484558858880624</v>
      </c>
      <c r="AG103" s="72">
        <f t="shared" si="57"/>
        <v>0.36993136529718262</v>
      </c>
      <c r="AH103" s="72">
        <f t="shared" si="58"/>
        <v>0.43363887487752323</v>
      </c>
      <c r="AI103" s="72">
        <f t="shared" si="59"/>
        <v>0.22159042834479112</v>
      </c>
      <c r="AJ103" s="72">
        <f>(AV103-Driver!$K$179)/(Driver!$L$179-Driver!$K$179)</f>
        <v>0.34404963338973488</v>
      </c>
      <c r="AK103" s="72">
        <f>(AW103-Driver!$K$180)/(Driver!$L$180-Driver!$K$180)</f>
        <v>0.38141320593059064</v>
      </c>
      <c r="AL103" s="72">
        <f>(AX103-Driver!$K$181)/(Driver!$L$181-Driver!$K$181)</f>
        <v>0.47701258458230572</v>
      </c>
      <c r="AM103" s="72">
        <f>(AY103-Driver!$K$182)/(Driver!$L$182-Driver!$K$182)</f>
        <v>6.5335271938687475E-2</v>
      </c>
      <c r="AN103" s="72">
        <f>(AZ103-Driver!$K$183)/(Driver!$L$183-Driver!$K$183)</f>
        <v>0.36944444444444446</v>
      </c>
      <c r="AO103" s="72"/>
      <c r="AP103" s="72"/>
      <c r="AQ103" s="72">
        <f>(BC103-Driver!$K$188)/(Driver!$L$188-Driver!$K$188)</f>
        <v>6.0639201390764362E-2</v>
      </c>
      <c r="AR103" s="72">
        <f>MIN((BD103-Driver!$K$189)/(Driver!$L$189-Driver!$K$189),100%)</f>
        <v>0.16515441141119377</v>
      </c>
      <c r="AS103" s="72">
        <f>(BE103-Driver!$K$190)/(Driver!$L$190-Driver!$K$190)</f>
        <v>0.14006863470281736</v>
      </c>
      <c r="AT103" s="72">
        <f>(BF103-Driver!$K$191)/(Driver!$L$191-Driver!$K$191)</f>
        <v>7.6361125122476781E-2</v>
      </c>
      <c r="AU103" s="72">
        <f>(BG103-Driver!$K$192)/(Driver!$L$192-Driver!$K$192)</f>
        <v>2.8409571655208882E-2</v>
      </c>
      <c r="AV103" s="70">
        <f t="shared" si="60"/>
        <v>7.2412155745489075</v>
      </c>
      <c r="AW103" s="70">
        <f t="shared" si="61"/>
        <v>39.043989204206717</v>
      </c>
      <c r="AX103" s="70">
        <f t="shared" si="62"/>
        <v>5.2931132612407517</v>
      </c>
      <c r="AY103" s="70">
        <f>IFERROR(Driver!$K$19/Data!BH103/Data!BI103*Data!BK103*Data!BL103,"")</f>
        <v>7.9989867016598756E-2</v>
      </c>
      <c r="AZ103" s="70">
        <f t="shared" si="63"/>
        <v>33.670886075949369</v>
      </c>
      <c r="BA103" s="70"/>
      <c r="BB103" s="70"/>
      <c r="BC103" s="70">
        <f t="shared" si="64"/>
        <v>31.453975318278381</v>
      </c>
      <c r="BD103" s="70">
        <f t="shared" si="65"/>
        <v>16.336695657687557</v>
      </c>
      <c r="BE103" s="70">
        <f t="shared" si="66"/>
        <v>0.14022203677944656</v>
      </c>
      <c r="BF103" s="70">
        <f t="shared" si="67"/>
        <v>8.6244526153178356</v>
      </c>
      <c r="BG103" s="70">
        <f t="shared" si="68"/>
        <v>0.10757676163405605</v>
      </c>
      <c r="BH103" s="67">
        <f>MAX((CE103-Driver!$F$200)/(Driver!$G$200-Driver!$F$200)*$BI$1,1)</f>
        <v>5.2931132612407517</v>
      </c>
      <c r="BI103" s="67">
        <f>MAX($BI$1*(BY103-Driver!$F$201)/(Driver!$G$201-Driver!$F$201),1)</f>
        <v>7.5316455696202533</v>
      </c>
      <c r="BJ103" s="67">
        <f>(CB103-Driver!$F$206)/(Driver!$G$206-Driver!$F$206)*$BI$1</f>
        <v>5.5555555555555554</v>
      </c>
      <c r="BK103" s="67">
        <f>(CD103-Driver!$F$203)/(Driver!$G$203-Driver!$F$203)*$BI$1</f>
        <v>2.2018348623853208</v>
      </c>
      <c r="BL103" s="67">
        <f>MAX((CR103-Driver!$F$202)/(Driver!$G$202-Driver!$F$202)*$BI$1,1)</f>
        <v>7.2413793103448274</v>
      </c>
      <c r="BM103" s="67">
        <f>MAX((CH103-Driver!$F$204)/(Driver!$G$204-Driver!$F$204)*$BI$1,1)</f>
        <v>5.2136752136752138</v>
      </c>
      <c r="BN103" s="67">
        <f>(CI103-Driver!$F$205)/(Driver!$G$205-Driver!$F$205)*$BI$1</f>
        <v>4.4705882352941178</v>
      </c>
      <c r="BO103" s="67">
        <f>(CK103-Driver!$F$207)/(Driver!$G$207-Driver!$F$207)*$BI$1</f>
        <v>1.5305067218200621</v>
      </c>
      <c r="BP103" s="67">
        <f>(CM103-Driver!$F$208)/(Driver!$G$208-Driver!$F$208)*$BI$1</f>
        <v>2.2333333333333334</v>
      </c>
      <c r="BQ103" s="67">
        <f>(CL103-Driver!$F$209)/(Driver!$G$209-Driver!$F$209)*$BI$1</f>
        <v>2.96875</v>
      </c>
      <c r="BR103" s="28" t="s">
        <v>155</v>
      </c>
      <c r="BS103" s="8" t="s">
        <v>174</v>
      </c>
      <c r="BT103" s="9" t="s">
        <v>175</v>
      </c>
      <c r="BU103" s="10">
        <v>174</v>
      </c>
      <c r="BV103" s="9" t="s">
        <v>163</v>
      </c>
      <c r="BW103" s="10">
        <v>174</v>
      </c>
      <c r="BX103" s="10">
        <v>172.6</v>
      </c>
      <c r="BY103" s="10">
        <v>127</v>
      </c>
      <c r="BZ103" s="10">
        <v>134</v>
      </c>
      <c r="CA103" s="10">
        <v>135</v>
      </c>
      <c r="CB103" s="10">
        <v>99</v>
      </c>
      <c r="CC103" s="10">
        <v>117</v>
      </c>
      <c r="CD103" s="10">
        <v>14.2</v>
      </c>
      <c r="CE103" s="10">
        <v>1830</v>
      </c>
      <c r="CF103" s="10">
        <v>1.05</v>
      </c>
      <c r="CG103" s="10">
        <v>1919</v>
      </c>
      <c r="CH103" s="10">
        <v>223</v>
      </c>
      <c r="CI103" s="10">
        <v>109</v>
      </c>
      <c r="CJ103" s="10">
        <v>53</v>
      </c>
      <c r="CK103" s="10">
        <v>258</v>
      </c>
      <c r="CL103" s="10">
        <v>19</v>
      </c>
      <c r="CM103" s="10">
        <v>201</v>
      </c>
      <c r="CN103" s="10">
        <v>0.35599999999999998</v>
      </c>
      <c r="CO103" s="10">
        <v>227</v>
      </c>
      <c r="CP103" s="10">
        <v>155</v>
      </c>
      <c r="CQ103" s="10">
        <v>32</v>
      </c>
      <c r="CR103" s="10">
        <v>10</v>
      </c>
      <c r="CS103" s="10">
        <v>10.6</v>
      </c>
      <c r="CT103" s="9" t="s">
        <v>188</v>
      </c>
      <c r="CU103" s="10"/>
      <c r="CV103" s="10"/>
      <c r="CW103" s="10"/>
      <c r="CX103" t="str">
        <f>INDEX('Data_Price '!AG$2:AG$1266,MATCH(Data!$DN103,'Data_Price '!$AT$2:$AT$1266,0))</f>
        <v>2017 Salomon Qst 99 Lumen Women Skis 174cm With Tyrolia 10 Bindings</v>
      </c>
      <c r="CY103" t="str">
        <f>INDEX('Data_Price '!AH$2:AH$1266,MATCH(Data!$DN103,'Data_Price '!$AT$2:$AT$1266,0))</f>
        <v>eBay</v>
      </c>
      <c r="CZ103">
        <f>INDEX('Data_Price '!AI$2:AI$1266,MATCH(Data!$DN103,'Data_Price '!$AT$2:$AT$1266,0))</f>
        <v>280</v>
      </c>
      <c r="DA103" t="str">
        <f>INDEX('Data_Price '!AJ$2:AJ$1266,MATCH(Data!$DN103,'Data_Price '!$AT$2:$AT$1266,0))</f>
        <v>https://tinyurl.com/yblqzbsr</v>
      </c>
      <c r="DB103" t="str">
        <f>INDEX('Data_Price '!AK$2:AK$1266,MATCH(Data!$DN103,'Data_Price '!$AT$2:$AT$1266,0))</f>
        <v>Salomon QST Lumen 99 Skis - Women's 2022</v>
      </c>
      <c r="DC103" t="str">
        <f>INDEX('Data_Price '!AL$2:AL$1266,MATCH(Data!$DN103,'Data_Price '!$AT$2:$AT$1266,0))</f>
        <v>Backcountry.com</v>
      </c>
      <c r="DD103">
        <f>INDEX('Data_Price '!AM$2:AM$1266,MATCH(Data!$DN103,'Data_Price '!$AT$2:$AT$1266,0))</f>
        <v>479.96</v>
      </c>
      <c r="DE103" t="str">
        <f>INDEX('Data_Price '!AN$2:AN$1266,MATCH(Data!$DN103,'Data_Price '!$AT$2:$AT$1266,0))</f>
        <v>https://tinyurl.com/yae2jhnp</v>
      </c>
      <c r="DF103" t="str">
        <f>INDEX('Data_Price '!AO$2:AO$1266,MATCH(Data!$DN103,'Data_Price '!$AT$2:$AT$1266,0))</f>
        <v>Salomon QST Lumen 99 Skis - Women's 2022</v>
      </c>
      <c r="DG103" t="str">
        <f>INDEX('Data_Price '!AP$2:AP$1266,MATCH(Data!$DN103,'Data_Price '!$AT$2:$AT$1266,0))</f>
        <v>evo.com</v>
      </c>
      <c r="DH103">
        <f>INDEX('Data_Price '!AQ$2:AQ$1266,MATCH(Data!$DN103,'Data_Price '!$AT$2:$AT$1266,0))</f>
        <v>479.99</v>
      </c>
      <c r="DI103" t="str">
        <f>INDEX('Data_Price '!AR$2:AR$1266,MATCH(Data!$DN103,'Data_Price '!$AT$2:$AT$1266,0))</f>
        <v>https://tinyurl.com/yb7ln9cr</v>
      </c>
      <c r="DJ103" s="89" t="str">
        <f t="shared" si="69"/>
        <v>https://tinyurl.com/yblqzbsr</v>
      </c>
      <c r="DK103" s="89" t="str">
        <f t="shared" si="70"/>
        <v>https://tinyurl.com/yae2jhnp</v>
      </c>
      <c r="DL103" s="89" t="str">
        <f t="shared" si="71"/>
        <v>https://tinyurl.com/yb7ln9cr</v>
      </c>
      <c r="DM103" s="219" t="str">
        <f t="shared" si="72"/>
        <v>QST Lumen 99</v>
      </c>
      <c r="DN103" s="89" t="str">
        <f t="shared" si="73"/>
        <v xml:space="preserve"> SalomonQST Lumen 99174 Women's</v>
      </c>
      <c r="DO103" s="221" t="s">
        <v>176</v>
      </c>
    </row>
    <row r="104" spans="2:119" ht="15.6" customHeight="1">
      <c r="B104" s="219" t="b">
        <f t="array" ref="B104">IF(OR(ISERROR(K104:P104)),FALSE,TRUE)</f>
        <v>1</v>
      </c>
      <c r="C104" s="43" t="b">
        <f>OR(BR104=Driver!$G$50,Data!BR445=Driver!$H$50)</f>
        <v>1</v>
      </c>
      <c r="D104" s="43" t="b">
        <f>OR(BV104=Driver!$G$51,BV104=Driver!$H$51)</f>
        <v>1</v>
      </c>
      <c r="E104" s="43" t="b">
        <f>AND(BX104&gt;Driver!$F$54,BX104&lt;Driver!$G$54)</f>
        <v>0</v>
      </c>
      <c r="F104" s="43" t="b">
        <f>CL104&gt;Driver!$F$56</f>
        <v>1</v>
      </c>
      <c r="G104" s="43" t="b">
        <f>AND(CB104&gt;Driver!$F$55,CB104&lt;Driver!$G$55)</f>
        <v>1</v>
      </c>
      <c r="H104" s="43" t="b">
        <f t="shared" si="37"/>
        <v>0</v>
      </c>
      <c r="I104" s="43">
        <f t="shared" si="38"/>
        <v>0</v>
      </c>
      <c r="J104" s="43" t="b">
        <f t="array" ref="J104">NOT(OR(($H$9:$H$1273=TRUE)*($I$9:$I$1273&gt;0)*($BT$9:$BT$1273=BT104)*($K$9:$K$1273&gt;K104)))</f>
        <v>1</v>
      </c>
      <c r="K104" s="72">
        <f t="shared" si="39"/>
        <v>0.8794239268081564</v>
      </c>
      <c r="L104" s="72">
        <f t="shared" si="40"/>
        <v>0.93837056551507492</v>
      </c>
      <c r="M104" s="72">
        <f t="shared" si="41"/>
        <v>0.82047728810123788</v>
      </c>
      <c r="N104" s="72">
        <f t="shared" si="42"/>
        <v>0.80553902533326616</v>
      </c>
      <c r="O104" s="72">
        <f t="shared" si="43"/>
        <v>0.65657539047206082</v>
      </c>
      <c r="P104" s="72">
        <f t="shared" si="44"/>
        <v>0.99931744849838666</v>
      </c>
      <c r="Q104" s="72"/>
      <c r="R104" s="72"/>
      <c r="S104" s="72">
        <f t="shared" si="45"/>
        <v>0.43707400359043613</v>
      </c>
      <c r="T104" s="72">
        <f t="shared" si="46"/>
        <v>0.47749611223412414</v>
      </c>
      <c r="U104" s="72">
        <f t="shared" si="47"/>
        <v>0.76566973616406275</v>
      </c>
      <c r="V104" s="72">
        <f t="shared" si="48"/>
        <v>0.539518464977218</v>
      </c>
      <c r="W104" s="72">
        <f t="shared" si="49"/>
        <v>0.79569733172772217</v>
      </c>
      <c r="X104" s="72">
        <f t="shared" si="50"/>
        <v>6.1629434484925028E-2</v>
      </c>
      <c r="Y104" s="72">
        <f t="shared" si="51"/>
        <v>0.17952271189876212</v>
      </c>
      <c r="Z104" s="72">
        <f t="shared" si="52"/>
        <v>0.1944609746667339</v>
      </c>
      <c r="AA104" s="72">
        <f t="shared" si="53"/>
        <v>0.34342460952793918</v>
      </c>
      <c r="AB104" s="72">
        <f t="shared" si="54"/>
        <v>6.8255150161333766E-4</v>
      </c>
      <c r="AC104" s="72"/>
      <c r="AD104" s="72"/>
      <c r="AE104" s="72">
        <f t="shared" si="55"/>
        <v>0.56292599640956387</v>
      </c>
      <c r="AF104" s="72">
        <f t="shared" si="56"/>
        <v>0.52250388776587586</v>
      </c>
      <c r="AG104" s="72">
        <f t="shared" si="57"/>
        <v>0.23433026383593719</v>
      </c>
      <c r="AH104" s="72">
        <f t="shared" si="58"/>
        <v>0.46048153502278205</v>
      </c>
      <c r="AI104" s="72">
        <f t="shared" si="59"/>
        <v>0.20430266827227786</v>
      </c>
      <c r="AJ104" s="72">
        <f>(AV104-Driver!$K$179)/(Driver!$L$179-Driver!$K$179)</f>
        <v>0.31584884376762545</v>
      </c>
      <c r="AK104" s="72">
        <f>(AW104-Driver!$K$180)/(Driver!$L$180-Driver!$K$180)</f>
        <v>0.2580811581762234</v>
      </c>
      <c r="AL104" s="72">
        <f>(AX104-Driver!$K$181)/(Driver!$L$181-Driver!$K$181)</f>
        <v>0.29614873837981409</v>
      </c>
      <c r="AM104" s="72">
        <f>(AY104-Driver!$K$182)/(Driver!$L$182-Driver!$K$182)</f>
        <v>0.10396041156910719</v>
      </c>
      <c r="AN104" s="72">
        <f>(AZ104-Driver!$K$183)/(Driver!$L$183-Driver!$K$183)</f>
        <v>0.25490196078431376</v>
      </c>
      <c r="AO104" s="72"/>
      <c r="AP104" s="72"/>
      <c r="AQ104" s="72">
        <f>(BC104-Driver!$K$188)/(Driver!$L$188-Driver!$K$188)</f>
        <v>5.707400359043615E-2</v>
      </c>
      <c r="AR104" s="72">
        <f>MIN((BD104-Driver!$K$189)/(Driver!$L$189-Driver!$K$189),100%)</f>
        <v>2.7496112234124237E-2</v>
      </c>
      <c r="AS104" s="72">
        <f>(BE104-Driver!$K$190)/(Driver!$L$190-Driver!$K$190)</f>
        <v>0.27566973616406282</v>
      </c>
      <c r="AT104" s="72">
        <f>(BF104-Driver!$K$191)/(Driver!$L$191-Driver!$K$191)</f>
        <v>4.9518464977217944E-2</v>
      </c>
      <c r="AU104" s="72">
        <f>(BG104-Driver!$K$192)/(Driver!$L$192-Driver!$K$192)</f>
        <v>4.5697331727722133E-2</v>
      </c>
      <c r="AV104" s="70">
        <f t="shared" si="60"/>
        <v>6.6476733143399809</v>
      </c>
      <c r="AW104" s="70">
        <f t="shared" si="61"/>
        <v>27.024188317428354</v>
      </c>
      <c r="AX104" s="70">
        <f t="shared" si="62"/>
        <v>3.665338645418327</v>
      </c>
      <c r="AY104" s="70">
        <f>IFERROR(Driver!$K$19/Data!BH104/Data!BI104*Data!BK104*Data!BL104,"")</f>
        <v>0.12727856255358561</v>
      </c>
      <c r="AZ104" s="70">
        <f t="shared" si="63"/>
        <v>23.231571109456443</v>
      </c>
      <c r="BA104" s="70"/>
      <c r="BB104" s="70"/>
      <c r="BC104" s="70">
        <f t="shared" si="64"/>
        <v>29.604682434395126</v>
      </c>
      <c r="BD104" s="70">
        <f t="shared" si="65"/>
        <v>4.1541800965897702</v>
      </c>
      <c r="BE104" s="70">
        <f t="shared" si="66"/>
        <v>0.27579894853044679</v>
      </c>
      <c r="BF104" s="70">
        <f t="shared" si="67"/>
        <v>5.5927627322712752</v>
      </c>
      <c r="BG104" s="70">
        <f t="shared" si="68"/>
        <v>0.17303924966725817</v>
      </c>
      <c r="BH104" s="67">
        <f>MAX((CE104-Driver!$F$200)/(Driver!$G$200-Driver!$F$200)*$BI$1,1)</f>
        <v>3.665338645418327</v>
      </c>
      <c r="BI104" s="67">
        <f>MAX($BI$1*(BY104-Driver!$F$201)/(Driver!$G$201-Driver!$F$201),1)</f>
        <v>7.5949367088607591</v>
      </c>
      <c r="BJ104" s="67">
        <f>(CB104-Driver!$F$206)/(Driver!$G$206-Driver!$F$206)*$BI$1</f>
        <v>6.3492063492063489</v>
      </c>
      <c r="BK104" s="67">
        <f>(CD104-Driver!$F$203)/(Driver!$G$203-Driver!$F$203)*$BI$1</f>
        <v>3.2110091743119265</v>
      </c>
      <c r="BL104" s="67">
        <f>MAX((CR104-Driver!$F$202)/(Driver!$G$202-Driver!$F$202)*$BI$1,1)</f>
        <v>5.5172413793103452</v>
      </c>
      <c r="BM104" s="67">
        <f>MAX((CH104-Driver!$F$204)/(Driver!$G$204-Driver!$F$204)*$BI$1,1)</f>
        <v>4.1880341880341883</v>
      </c>
      <c r="BN104" s="67">
        <f>(CI104-Driver!$F$205)/(Driver!$G$205-Driver!$F$205)*$BI$1</f>
        <v>3.0588235294117649</v>
      </c>
      <c r="BO104" s="67">
        <f>(CK104-Driver!$F$207)/(Driver!$G$207-Driver!$F$207)*$BI$1</f>
        <v>1.4064115822130299</v>
      </c>
      <c r="BP104" s="67">
        <f>(CM104-Driver!$F$208)/(Driver!$G$208-Driver!$F$208)*$BI$1</f>
        <v>2.0111111111111111</v>
      </c>
      <c r="BQ104" s="67">
        <f>(CL104-Driver!$F$209)/(Driver!$G$209-Driver!$F$209)*$BI$1</f>
        <v>2.65625</v>
      </c>
      <c r="BR104" s="28" t="s">
        <v>155</v>
      </c>
      <c r="BS104" s="8" t="s">
        <v>164</v>
      </c>
      <c r="BT104" s="9" t="s">
        <v>313</v>
      </c>
      <c r="BU104" s="10">
        <v>172</v>
      </c>
      <c r="BV104" s="9" t="s">
        <v>158</v>
      </c>
      <c r="BW104" s="10">
        <v>172</v>
      </c>
      <c r="BX104" s="10">
        <v>170.4</v>
      </c>
      <c r="BY104" s="10">
        <v>128</v>
      </c>
      <c r="BZ104" s="10">
        <v>136</v>
      </c>
      <c r="CA104" s="10">
        <v>143</v>
      </c>
      <c r="CB104" s="10">
        <v>104</v>
      </c>
      <c r="CC104" s="10">
        <v>120</v>
      </c>
      <c r="CD104" s="10">
        <v>16.399999999999999</v>
      </c>
      <c r="CE104" s="10">
        <v>1544</v>
      </c>
      <c r="CF104" s="10">
        <v>1.28</v>
      </c>
      <c r="CG104" s="10">
        <v>1975</v>
      </c>
      <c r="CH104" s="10">
        <v>199</v>
      </c>
      <c r="CI104" s="10">
        <v>85</v>
      </c>
      <c r="CJ104" s="10">
        <v>48</v>
      </c>
      <c r="CK104" s="10">
        <v>246</v>
      </c>
      <c r="CL104" s="10">
        <v>17</v>
      </c>
      <c r="CM104" s="10">
        <v>181</v>
      </c>
      <c r="CN104" s="10">
        <v>0.35099999999999998</v>
      </c>
      <c r="CO104" s="10">
        <v>175</v>
      </c>
      <c r="CP104" s="10">
        <v>167</v>
      </c>
      <c r="CQ104" s="10">
        <v>71</v>
      </c>
      <c r="CR104" s="10">
        <v>5</v>
      </c>
      <c r="CS104" s="10">
        <v>9.8000000000000007</v>
      </c>
      <c r="CT104" s="9" t="s">
        <v>188</v>
      </c>
      <c r="CU104" s="9" t="s">
        <v>169</v>
      </c>
      <c r="CV104" s="9" t="s">
        <v>178</v>
      </c>
      <c r="CW104" s="9" t="s">
        <v>185</v>
      </c>
      <c r="CX104" t="str">
        <f>INDEX('Data_Price '!AG$2:AG$1266,MATCH(Data!$DN104,'Data_Price '!$AT$2:$AT$1266,0))</f>
        <v>Elan Ripstick 106</v>
      </c>
      <c r="CY104" t="str">
        <f>INDEX('Data_Price '!AH$2:AH$1266,MATCH(Data!$DN104,'Data_Price '!$AT$2:$AT$1266,0))</f>
        <v>Varuste.net</v>
      </c>
      <c r="CZ104">
        <f>INDEX('Data_Price '!AI$2:AI$1266,MATCH(Data!$DN104,'Data_Price '!$AT$2:$AT$1266,0))</f>
        <v>375.21</v>
      </c>
      <c r="DA104" t="str">
        <f>INDEX('Data_Price '!AJ$2:AJ$1266,MATCH(Data!$DN104,'Data_Price '!$AT$2:$AT$1266,0))</f>
        <v>https://tinyurl.com/yd3el4wn</v>
      </c>
      <c r="DB104" t="str">
        <f>INDEX('Data_Price '!AK$2:AK$1266,MATCH(Data!$DN104,'Data_Price '!$AT$2:$AT$1266,0))</f>
        <v>Elan Ripstick 106</v>
      </c>
      <c r="DC104" t="str">
        <f>INDEX('Data_Price '!AL$2:AL$1266,MATCH(Data!$DN104,'Data_Price '!$AT$2:$AT$1266,0))</f>
        <v>Snowcountry.eu</v>
      </c>
      <c r="DD104">
        <f>INDEX('Data_Price '!AM$2:AM$1266,MATCH(Data!$DN104,'Data_Price '!$AT$2:$AT$1266,0))</f>
        <v>450.88</v>
      </c>
      <c r="DE104" t="str">
        <f>INDEX('Data_Price '!AN$2:AN$1266,MATCH(Data!$DN104,'Data_Price '!$AT$2:$AT$1266,0))</f>
        <v>https://tinyurl.com/y6vfyab4</v>
      </c>
      <c r="DF104" t="str">
        <f>INDEX('Data_Price '!AO$2:AO$1266,MATCH(Data!$DN104,'Data_Price '!$AT$2:$AT$1266,0))</f>
        <v>Elan Ripstick 106 - Ski - 2022 172</v>
      </c>
      <c r="DG104" t="str">
        <f>INDEX('Data_Price '!AP$2:AP$1266,MATCH(Data!$DN104,'Data_Price '!$AT$2:$AT$1266,0))</f>
        <v>AJ Motion Sports</v>
      </c>
      <c r="DH104">
        <f>INDEX('Data_Price '!AQ$2:AQ$1266,MATCH(Data!$DN104,'Data_Price '!$AT$2:$AT$1266,0))</f>
        <v>524.99</v>
      </c>
      <c r="DI104" t="str">
        <f>INDEX('Data_Price '!AR$2:AR$1266,MATCH(Data!$DN104,'Data_Price '!$AT$2:$AT$1266,0))</f>
        <v>https://tinyurl.com/yawbmpvb</v>
      </c>
      <c r="DJ104" s="89" t="str">
        <f t="shared" si="69"/>
        <v>https://tinyurl.com/yd3el4wn</v>
      </c>
      <c r="DK104" s="89" t="str">
        <f t="shared" si="70"/>
        <v>https://tinyurl.com/y6vfyab4</v>
      </c>
      <c r="DL104" s="89" t="str">
        <f t="shared" si="71"/>
        <v>https://tinyurl.com/yawbmpvb</v>
      </c>
      <c r="DM104" s="219" t="str">
        <f t="shared" si="72"/>
        <v>Ripstick 106</v>
      </c>
      <c r="DN104" s="89" t="str">
        <f t="shared" si="73"/>
        <v xml:space="preserve"> ElanRipstick 106172 Unisex</v>
      </c>
      <c r="DO104" s="221" t="s">
        <v>314</v>
      </c>
    </row>
    <row r="105" spans="2:119" ht="15.6" customHeight="1">
      <c r="B105" s="219" t="b">
        <f t="array" ref="B105">IF(OR(ISERROR(K105:P105)),FALSE,TRUE)</f>
        <v>1</v>
      </c>
      <c r="C105" s="43" t="b">
        <f>OR(BR105=Driver!$G$50,Data!BR1117=Driver!$H$50)</f>
        <v>1</v>
      </c>
      <c r="D105" s="43" t="b">
        <f>OR(BV105=Driver!$G$51,BV105=Driver!$H$51)</f>
        <v>1</v>
      </c>
      <c r="E105" s="43" t="b">
        <f>AND(BX105&gt;Driver!$F$54,BX105&lt;Driver!$G$54)</f>
        <v>0</v>
      </c>
      <c r="F105" s="43" t="b">
        <f>CL105&gt;Driver!$F$56</f>
        <v>1</v>
      </c>
      <c r="G105" s="43" t="b">
        <f>AND(CB105&gt;Driver!$F$55,CB105&lt;Driver!$G$55)</f>
        <v>0</v>
      </c>
      <c r="H105" s="43" t="b">
        <f t="shared" si="37"/>
        <v>0</v>
      </c>
      <c r="I105" s="43">
        <f t="shared" si="38"/>
        <v>0</v>
      </c>
      <c r="J105" s="43" t="b">
        <f t="array" ref="J105">NOT(OR(($H$9:$H$1273=TRUE)*($I$9:$I$1273&gt;0)*($BT$9:$BT$1273=BT105)*($K$9:$K$1273&gt;K105)))</f>
        <v>1</v>
      </c>
      <c r="K105" s="72">
        <f t="shared" si="39"/>
        <v>0.82785526800412079</v>
      </c>
      <c r="L105" s="72">
        <f t="shared" si="40"/>
        <v>0.85956950194243775</v>
      </c>
      <c r="M105" s="72">
        <f t="shared" si="41"/>
        <v>0.79614103406580383</v>
      </c>
      <c r="N105" s="72">
        <f t="shared" si="42"/>
        <v>0.78087577357838089</v>
      </c>
      <c r="O105" s="72">
        <f t="shared" si="43"/>
        <v>0.74450438992456547</v>
      </c>
      <c r="P105" s="72">
        <f t="shared" si="44"/>
        <v>0.86304293869446513</v>
      </c>
      <c r="Q105" s="72"/>
      <c r="R105" s="72"/>
      <c r="S105" s="72">
        <f t="shared" si="45"/>
        <v>0.57187693086725533</v>
      </c>
      <c r="T105" s="72">
        <f t="shared" si="46"/>
        <v>0.49096846260803384</v>
      </c>
      <c r="U105" s="72">
        <f t="shared" si="47"/>
        <v>0.64586355212398616</v>
      </c>
      <c r="V105" s="72">
        <f t="shared" si="48"/>
        <v>0.50893792280146144</v>
      </c>
      <c r="W105" s="72">
        <f t="shared" si="49"/>
        <v>0.80187881090497992</v>
      </c>
      <c r="X105" s="72">
        <f t="shared" si="50"/>
        <v>0.14043049805756225</v>
      </c>
      <c r="Y105" s="72">
        <f t="shared" si="51"/>
        <v>0.2038589659341962</v>
      </c>
      <c r="Z105" s="72">
        <f t="shared" si="52"/>
        <v>0.21912422642161911</v>
      </c>
      <c r="AA105" s="72">
        <f t="shared" si="53"/>
        <v>0.25549561007543453</v>
      </c>
      <c r="AB105" s="72">
        <f t="shared" si="54"/>
        <v>0.13695706130553492</v>
      </c>
      <c r="AC105" s="72"/>
      <c r="AD105" s="72"/>
      <c r="AE105" s="72">
        <f t="shared" si="55"/>
        <v>0.42812306913274467</v>
      </c>
      <c r="AF105" s="72">
        <f t="shared" si="56"/>
        <v>0.50903153739196616</v>
      </c>
      <c r="AG105" s="72">
        <f t="shared" si="57"/>
        <v>0.35413644787601384</v>
      </c>
      <c r="AH105" s="72">
        <f t="shared" si="58"/>
        <v>0.49106207719853856</v>
      </c>
      <c r="AI105" s="72">
        <f t="shared" si="59"/>
        <v>0.19812118909502013</v>
      </c>
      <c r="AJ105" s="72">
        <f>(AV105-Driver!$K$179)/(Driver!$L$179-Driver!$K$179)</f>
        <v>0.39464990734026267</v>
      </c>
      <c r="AK105" s="72">
        <f>(AW105-Driver!$K$180)/(Driver!$L$180-Driver!$K$180)</f>
        <v>0.38890123756751638</v>
      </c>
      <c r="AL105" s="72">
        <f>(AX105-Driver!$K$181)/(Driver!$L$181-Driver!$K$181)</f>
        <v>0.3208119901346993</v>
      </c>
      <c r="AM105" s="72">
        <f>(AY105-Driver!$K$182)/(Driver!$L$182-Driver!$K$182)</f>
        <v>0.19188941102161186</v>
      </c>
      <c r="AN105" s="72">
        <f>(AZ105-Driver!$K$183)/(Driver!$L$183-Driver!$K$183)</f>
        <v>0.39117647058823535</v>
      </c>
      <c r="AO105" s="72"/>
      <c r="AP105" s="72"/>
      <c r="AQ105" s="72">
        <f>(BC105-Driver!$K$188)/(Driver!$L$188-Driver!$K$188)</f>
        <v>0.1918769308672553</v>
      </c>
      <c r="AR105" s="72">
        <f>MIN((BD105-Driver!$K$189)/(Driver!$L$189-Driver!$K$189),100%)</f>
        <v>4.0968462608033898E-2</v>
      </c>
      <c r="AS105" s="72">
        <f>(BE105-Driver!$K$190)/(Driver!$L$190-Driver!$K$190)</f>
        <v>0.1558635521239862</v>
      </c>
      <c r="AT105" s="72">
        <f>(BF105-Driver!$K$191)/(Driver!$L$191-Driver!$K$191)</f>
        <v>1.893792280146147E-2</v>
      </c>
      <c r="AU105" s="72">
        <f>(BG105-Driver!$K$192)/(Driver!$L$192-Driver!$K$192)</f>
        <v>5.187881090497988E-2</v>
      </c>
      <c r="AV105" s="70">
        <f t="shared" si="60"/>
        <v>8.30619997286664</v>
      </c>
      <c r="AW105" s="70">
        <f t="shared" si="61"/>
        <v>39.77376423793519</v>
      </c>
      <c r="AX105" s="70">
        <f t="shared" si="62"/>
        <v>3.8873079112122939</v>
      </c>
      <c r="AY105" s="70">
        <f>IFERROR(Driver!$K$19/Data!BH105/Data!BI105*Data!BK105*Data!BL105,"")</f>
        <v>0.23492989336474085</v>
      </c>
      <c r="AZ105" s="70">
        <f t="shared" si="63"/>
        <v>35.651526433358157</v>
      </c>
      <c r="BA105" s="70"/>
      <c r="BB105" s="70"/>
      <c r="BC105" s="70">
        <f t="shared" si="64"/>
        <v>99.527897947627963</v>
      </c>
      <c r="BD105" s="70">
        <f t="shared" si="65"/>
        <v>5.3464592330884688</v>
      </c>
      <c r="BE105" s="70">
        <f t="shared" si="66"/>
        <v>0.15601413656512683</v>
      </c>
      <c r="BF105" s="70">
        <f t="shared" si="67"/>
        <v>2.1389053339874891</v>
      </c>
      <c r="BG105" s="70">
        <f t="shared" si="68"/>
        <v>0.19644627318976218</v>
      </c>
      <c r="BH105" s="67">
        <f>MAX((CE105-Driver!$F$200)/(Driver!$G$200-Driver!$F$200)*$BI$1,1)</f>
        <v>3.8873079112122939</v>
      </c>
      <c r="BI105" s="67">
        <f>MAX($BI$1*(BY105-Driver!$F$201)/(Driver!$G$201-Driver!$F$201),1)</f>
        <v>8.4177215189873422</v>
      </c>
      <c r="BJ105" s="67">
        <f>(CB105-Driver!$F$206)/(Driver!$G$206-Driver!$F$206)*$BI$1</f>
        <v>4.92063492063492</v>
      </c>
      <c r="BK105" s="67">
        <f>(CD105-Driver!$F$203)/(Driver!$G$203-Driver!$F$203)*$BI$1</f>
        <v>6.1926605504587151</v>
      </c>
      <c r="BL105" s="67">
        <f>MAX((CR105-Driver!$F$202)/(Driver!$G$202-Driver!$F$202)*$BI$1,1)</f>
        <v>6.2068965517241379</v>
      </c>
      <c r="BM105" s="67">
        <f>MAX((CH105-Driver!$F$204)/(Driver!$G$204-Driver!$F$204)*$BI$1,1)</f>
        <v>6.752136752136753</v>
      </c>
      <c r="BN105" s="67">
        <f>(CI105-Driver!$F$205)/(Driver!$G$205-Driver!$F$205)*$BI$1</f>
        <v>4.2352941176470589</v>
      </c>
      <c r="BO105" s="67">
        <f>(CK105-Driver!$F$207)/(Driver!$G$207-Driver!$F$207)*$BI$1</f>
        <v>1.4167528438469492</v>
      </c>
      <c r="BP105" s="67">
        <f>(CM105-Driver!$F$208)/(Driver!$G$208-Driver!$F$208)*$BI$1</f>
        <v>1.9</v>
      </c>
      <c r="BQ105" s="67">
        <f>(CL105-Driver!$F$209)/(Driver!$G$209-Driver!$F$209)*$BI$1</f>
        <v>5.15625</v>
      </c>
      <c r="BR105" s="28" t="s">
        <v>155</v>
      </c>
      <c r="BS105" s="8" t="s">
        <v>180</v>
      </c>
      <c r="BT105" s="9" t="s">
        <v>315</v>
      </c>
      <c r="BU105" s="10">
        <v>184</v>
      </c>
      <c r="BV105" s="9" t="s">
        <v>158</v>
      </c>
      <c r="BW105" s="10">
        <v>184</v>
      </c>
      <c r="BX105" s="10">
        <v>182.4</v>
      </c>
      <c r="BY105" s="10">
        <v>141</v>
      </c>
      <c r="BZ105" s="10">
        <v>166</v>
      </c>
      <c r="CA105" s="10">
        <v>133</v>
      </c>
      <c r="CB105" s="10">
        <v>95</v>
      </c>
      <c r="CC105" s="10">
        <v>121</v>
      </c>
      <c r="CD105" s="10">
        <v>22.9</v>
      </c>
      <c r="CE105" s="10">
        <v>1583</v>
      </c>
      <c r="CF105" s="10">
        <v>1.2</v>
      </c>
      <c r="CG105" s="10">
        <v>1901</v>
      </c>
      <c r="CH105" s="10">
        <v>259</v>
      </c>
      <c r="CI105" s="10">
        <v>105</v>
      </c>
      <c r="CJ105" s="10">
        <v>56</v>
      </c>
      <c r="CK105" s="10">
        <v>247</v>
      </c>
      <c r="CL105" s="10">
        <v>33</v>
      </c>
      <c r="CM105" s="10">
        <v>171</v>
      </c>
      <c r="CN105" s="10">
        <v>0.58899999999999997</v>
      </c>
      <c r="CO105" s="10">
        <v>95</v>
      </c>
      <c r="CP105" s="10">
        <v>74</v>
      </c>
      <c r="CQ105" s="10">
        <v>152</v>
      </c>
      <c r="CR105" s="10">
        <v>7</v>
      </c>
      <c r="CS105" s="10">
        <v>9.1</v>
      </c>
      <c r="CT105" s="9" t="s">
        <v>188</v>
      </c>
      <c r="CU105" s="9" t="s">
        <v>185</v>
      </c>
      <c r="CV105" s="10"/>
      <c r="CW105" s="10"/>
      <c r="CX105" t="str">
        <f>INDEX('Data_Price '!AG$2:AG$1266,MATCH(Data!$DN105,'Data_Price '!$AT$2:$AT$1266,0))</f>
        <v>Scott Scrapper 95 A Version 184cm</v>
      </c>
      <c r="CY105" t="str">
        <f>INDEX('Data_Price '!AH$2:AH$1266,MATCH(Data!$DN105,'Data_Price '!$AT$2:$AT$1266,0))</f>
        <v>Sundance Ski and Board Shop</v>
      </c>
      <c r="CZ105">
        <f>INDEX('Data_Price '!AI$2:AI$1266,MATCH(Data!$DN105,'Data_Price '!$AT$2:$AT$1266,0))</f>
        <v>497.23</v>
      </c>
      <c r="DA105" t="str">
        <f>INDEX('Data_Price '!AJ$2:AJ$1266,MATCH(Data!$DN105,'Data_Price '!$AT$2:$AT$1266,0))</f>
        <v>https://tinyurl.com/ybwtmsb9</v>
      </c>
      <c r="DB105" t="str">
        <f>INDEX('Data_Price '!AK$2:AK$1266,MATCH(Data!$DN105,'Data_Price '!$AT$2:$AT$1266,0))</f>
        <v>Scott Scrapper 95 Ski - 2022 - Size: 184cm</v>
      </c>
      <c r="DC105" t="str">
        <f>INDEX('Data_Price '!AL$2:AL$1266,MATCH(Data!$DN105,'Data_Price '!$AT$2:$AT$1266,0))</f>
        <v>Backcountry.com</v>
      </c>
      <c r="DD105">
        <f>INDEX('Data_Price '!AM$2:AM$1266,MATCH(Data!$DN105,'Data_Price '!$AT$2:$AT$1266,0))</f>
        <v>559.96</v>
      </c>
      <c r="DE105" t="str">
        <f>INDEX('Data_Price '!AN$2:AN$1266,MATCH(Data!$DN105,'Data_Price '!$AT$2:$AT$1266,0))</f>
        <v>https://tinyurl.com/yc465c34</v>
      </c>
      <c r="DF105" t="str">
        <f>INDEX('Data_Price '!AO$2:AO$1266,MATCH(Data!$DN105,'Data_Price '!$AT$2:$AT$1266,0))</f>
        <v>Scott Scrapper 95 Ski - 2022 - Size: 184cm</v>
      </c>
      <c r="DG105" t="str">
        <f>INDEX('Data_Price '!AP$2:AP$1266,MATCH(Data!$DN105,'Data_Price '!$AT$2:$AT$1266,0))</f>
        <v>Steep &amp; Cheap</v>
      </c>
      <c r="DH105">
        <f>INDEX('Data_Price '!AQ$2:AQ$1266,MATCH(Data!$DN105,'Data_Price '!$AT$2:$AT$1266,0))</f>
        <v>559.96</v>
      </c>
      <c r="DI105" t="str">
        <f>INDEX('Data_Price '!AR$2:AR$1266,MATCH(Data!$DN105,'Data_Price '!$AT$2:$AT$1266,0))</f>
        <v>https://tinyurl.com/y7fnhq4z</v>
      </c>
      <c r="DJ105" s="89" t="str">
        <f t="shared" si="69"/>
        <v>https://tinyurl.com/ybwtmsb9</v>
      </c>
      <c r="DK105" s="89" t="str">
        <f t="shared" si="70"/>
        <v>https://tinyurl.com/yc465c34</v>
      </c>
      <c r="DL105" s="89" t="str">
        <f t="shared" si="71"/>
        <v>https://tinyurl.com/y7fnhq4z</v>
      </c>
      <c r="DM105" s="219" t="str">
        <f t="shared" si="72"/>
        <v>Scrapper 95</v>
      </c>
      <c r="DN105" s="89" t="str">
        <f t="shared" si="73"/>
        <v xml:space="preserve"> ScottScrapper 95184 Unisex</v>
      </c>
      <c r="DO105" s="221" t="s">
        <v>316</v>
      </c>
    </row>
    <row r="106" spans="2:119" ht="15.6" customHeight="1">
      <c r="B106" s="219" t="b">
        <f t="array" ref="B106">IF(OR(ISERROR(K106:P106)),FALSE,TRUE)</f>
        <v>1</v>
      </c>
      <c r="C106" s="43" t="b">
        <f>OR(BR106=Driver!$G$50,Data!BR300=Driver!$H$50)</f>
        <v>1</v>
      </c>
      <c r="D106" s="43" t="b">
        <f>OR(BV106=Driver!$G$51,BV106=Driver!$H$51)</f>
        <v>0</v>
      </c>
      <c r="E106" s="43" t="b">
        <f>AND(BX106&gt;Driver!$F$54,BX106&lt;Driver!$G$54)</f>
        <v>1</v>
      </c>
      <c r="F106" s="43" t="b">
        <f>CL106&gt;Driver!$F$56</f>
        <v>1</v>
      </c>
      <c r="G106" s="43" t="b">
        <f>AND(CB106&gt;Driver!$F$55,CB106&lt;Driver!$G$55)</f>
        <v>0</v>
      </c>
      <c r="H106" s="43" t="b">
        <f t="shared" si="37"/>
        <v>0</v>
      </c>
      <c r="I106" s="43">
        <f t="shared" si="38"/>
        <v>0</v>
      </c>
      <c r="J106" s="43" t="b">
        <f t="array" ref="J106">NOT(OR(($H$9:$H$1273=TRUE)*($I$9:$I$1273&gt;0)*($BT$9:$BT$1273=BT106)*($K$9:$K$1273&gt;K106)))</f>
        <v>1</v>
      </c>
      <c r="K106" s="72">
        <f t="shared" si="39"/>
        <v>0.86565460906168912</v>
      </c>
      <c r="L106" s="72">
        <f t="shared" si="40"/>
        <v>0.97783280246494275</v>
      </c>
      <c r="M106" s="72">
        <f t="shared" si="41"/>
        <v>0.75347641565843548</v>
      </c>
      <c r="N106" s="72">
        <f t="shared" si="42"/>
        <v>0.63732300054353619</v>
      </c>
      <c r="O106" s="72">
        <f t="shared" si="43"/>
        <v>0.65771781257721584</v>
      </c>
      <c r="P106" s="72">
        <f t="shared" si="44"/>
        <v>0.96538843385455442</v>
      </c>
      <c r="Q106" s="72"/>
      <c r="R106" s="72"/>
      <c r="S106" s="72">
        <f t="shared" si="45"/>
        <v>0.43129964178644142</v>
      </c>
      <c r="T106" s="72">
        <f t="shared" si="46"/>
        <v>0.45646521820392116</v>
      </c>
      <c r="U106" s="72">
        <f t="shared" si="47"/>
        <v>0.51321475293510921</v>
      </c>
      <c r="V106" s="72">
        <f t="shared" si="48"/>
        <v>0.68123399117746586</v>
      </c>
      <c r="W106" s="72">
        <f t="shared" si="49"/>
        <v>0.83389285714285721</v>
      </c>
      <c r="X106" s="72">
        <f t="shared" si="50"/>
        <v>2.2167197535057248E-2</v>
      </c>
      <c r="Y106" s="72">
        <f t="shared" si="51"/>
        <v>0.24652358434156452</v>
      </c>
      <c r="Z106" s="72">
        <f t="shared" si="52"/>
        <v>0.36267699945646381</v>
      </c>
      <c r="AA106" s="72">
        <f t="shared" si="53"/>
        <v>0.34228218742278416</v>
      </c>
      <c r="AB106" s="72">
        <f t="shared" si="54"/>
        <v>3.4611566145445527E-2</v>
      </c>
      <c r="AC106" s="72"/>
      <c r="AD106" s="72"/>
      <c r="AE106" s="72">
        <f t="shared" si="55"/>
        <v>0.56870035821355858</v>
      </c>
      <c r="AF106" s="72">
        <f t="shared" si="56"/>
        <v>0.54353478179607884</v>
      </c>
      <c r="AG106" s="72">
        <f t="shared" si="57"/>
        <v>0.48678524706489079</v>
      </c>
      <c r="AH106" s="72">
        <f t="shared" si="58"/>
        <v>0.31876600882253409</v>
      </c>
      <c r="AI106" s="72">
        <f t="shared" si="59"/>
        <v>0.16610714285714284</v>
      </c>
      <c r="AJ106" s="72">
        <f>(AV106-Driver!$K$179)/(Driver!$L$179-Driver!$K$179)</f>
        <v>0.23205221174764318</v>
      </c>
      <c r="AK106" s="72">
        <f>(AW106-Driver!$K$180)/(Driver!$L$180-Driver!$K$180)</f>
        <v>0.24062419046361086</v>
      </c>
      <c r="AL106" s="72">
        <f>(AX106-Driver!$K$181)/(Driver!$L$181-Driver!$K$181)</f>
        <v>0.464364763169544</v>
      </c>
      <c r="AM106" s="72">
        <f>(AY106-Driver!$K$182)/(Driver!$L$182-Driver!$K$182)</f>
        <v>0.10510283367426222</v>
      </c>
      <c r="AN106" s="72">
        <f>(AZ106-Driver!$K$183)/(Driver!$L$183-Driver!$K$183)</f>
        <v>0.2196078431372549</v>
      </c>
      <c r="AO106" s="72"/>
      <c r="AP106" s="72"/>
      <c r="AQ106" s="72">
        <f>(BC106-Driver!$K$188)/(Driver!$L$188-Driver!$K$188)</f>
        <v>5.1299641786441377E-2</v>
      </c>
      <c r="AR106" s="72">
        <f>MIN((BD106-Driver!$K$189)/(Driver!$L$189-Driver!$K$189),100%)</f>
        <v>6.465218203921254E-3</v>
      </c>
      <c r="AS106" s="72">
        <f>(BE106-Driver!$K$190)/(Driver!$L$190-Driver!$K$190)</f>
        <v>2.3214752935109211E-2</v>
      </c>
      <c r="AT106" s="72">
        <f>(BF106-Driver!$K$191)/(Driver!$L$191-Driver!$K$191)</f>
        <v>0.19123399117746592</v>
      </c>
      <c r="AU106" s="72">
        <f>(BG106-Driver!$K$192)/(Driver!$L$192-Driver!$K$192)</f>
        <v>8.3892857142857144E-2</v>
      </c>
      <c r="AV106" s="70">
        <f t="shared" si="60"/>
        <v>4.8840048840048835</v>
      </c>
      <c r="AW106" s="70">
        <f t="shared" si="61"/>
        <v>25.32285212936452</v>
      </c>
      <c r="AX106" s="70">
        <f t="shared" si="62"/>
        <v>5.1792828685258963</v>
      </c>
      <c r="AY106" s="70">
        <f>IFERROR(Driver!$K$19/Data!BH106/Data!BI106*Data!BK106*Data!BL106,"")</f>
        <v>0.12867722807615248</v>
      </c>
      <c r="AZ106" s="70">
        <f t="shared" si="63"/>
        <v>20.014892032762472</v>
      </c>
      <c r="BA106" s="70"/>
      <c r="BB106" s="70"/>
      <c r="BC106" s="70">
        <f t="shared" si="64"/>
        <v>26.609480823951039</v>
      </c>
      <c r="BD106" s="70">
        <f t="shared" si="65"/>
        <v>2.2929832394559693</v>
      </c>
      <c r="BE106" s="70">
        <f t="shared" si="66"/>
        <v>2.3389000428999326E-2</v>
      </c>
      <c r="BF106" s="70">
        <f t="shared" si="67"/>
        <v>21.598535808670245</v>
      </c>
      <c r="BG106" s="70">
        <f t="shared" si="68"/>
        <v>0.31767187500000005</v>
      </c>
      <c r="BH106" s="67">
        <f>MAX((CE106-Driver!$F$200)/(Driver!$G$200-Driver!$F$200)*$BI$1,1)</f>
        <v>5.1792828685258963</v>
      </c>
      <c r="BI106" s="67">
        <f>MAX($BI$1*(BY106-Driver!$F$201)/(Driver!$G$201-Driver!$F$201),1)</f>
        <v>5.3164556962025316</v>
      </c>
      <c r="BJ106" s="67">
        <f>(CB106-Driver!$F$206)/(Driver!$G$206-Driver!$F$206)*$BI$1</f>
        <v>7.6190476190476186</v>
      </c>
      <c r="BK106" s="67">
        <f>(CD106-Driver!$F$203)/(Driver!$G$203-Driver!$F$203)*$BI$1</f>
        <v>3.6697247706422016</v>
      </c>
      <c r="BL106" s="67">
        <f>MAX((CR106-Driver!$F$202)/(Driver!$G$202-Driver!$F$202)*$BI$1,1)</f>
        <v>4.8275862068965516</v>
      </c>
      <c r="BM106" s="67">
        <f>MAX((CH106-Driver!$F$204)/(Driver!$G$204-Driver!$F$204)*$BI$1,1)</f>
        <v>2.5641025641025639</v>
      </c>
      <c r="BN106" s="67">
        <f>(CI106-Driver!$F$205)/(Driver!$G$205-Driver!$F$205)*$BI$1</f>
        <v>3.7647058823529411</v>
      </c>
      <c r="BO106" s="67">
        <f>(CK106-Driver!$F$207)/(Driver!$G$207-Driver!$F$207)*$BI$1</f>
        <v>3.0299896587383661</v>
      </c>
      <c r="BP106" s="67">
        <f>(CM106-Driver!$F$208)/(Driver!$G$208-Driver!$F$208)*$BI$1</f>
        <v>3.4333333333333331</v>
      </c>
      <c r="BQ106" s="67">
        <f>(CL106-Driver!$F$209)/(Driver!$G$209-Driver!$F$209)*$BI$1</f>
        <v>4.21875</v>
      </c>
      <c r="BR106" s="28" t="s">
        <v>155</v>
      </c>
      <c r="BS106" s="8" t="s">
        <v>317</v>
      </c>
      <c r="BT106" s="9" t="s">
        <v>318</v>
      </c>
      <c r="BU106" s="10">
        <v>164</v>
      </c>
      <c r="BV106" s="9" t="s">
        <v>163</v>
      </c>
      <c r="BW106" s="10">
        <v>164</v>
      </c>
      <c r="BX106" s="10">
        <v>162.80000000000001</v>
      </c>
      <c r="BY106" s="10">
        <v>92</v>
      </c>
      <c r="BZ106" s="10">
        <v>131</v>
      </c>
      <c r="CA106" s="10">
        <v>138</v>
      </c>
      <c r="CB106" s="10">
        <v>112</v>
      </c>
      <c r="CC106" s="10">
        <v>128</v>
      </c>
      <c r="CD106" s="10">
        <v>17.399999999999999</v>
      </c>
      <c r="CE106" s="10">
        <v>1810</v>
      </c>
      <c r="CF106" s="10">
        <v>1.08</v>
      </c>
      <c r="CG106" s="10">
        <v>1955</v>
      </c>
      <c r="CH106" s="10">
        <v>161</v>
      </c>
      <c r="CI106" s="10">
        <v>97</v>
      </c>
      <c r="CJ106" s="10">
        <v>67</v>
      </c>
      <c r="CK106" s="10">
        <v>403</v>
      </c>
      <c r="CL106" s="10">
        <v>27</v>
      </c>
      <c r="CM106" s="10">
        <v>309</v>
      </c>
      <c r="CN106" s="10">
        <v>0.40300000000000002</v>
      </c>
      <c r="CO106" s="10">
        <v>167</v>
      </c>
      <c r="CP106" s="10">
        <v>150</v>
      </c>
      <c r="CQ106" s="10">
        <v>235</v>
      </c>
      <c r="CR106" s="10">
        <v>3</v>
      </c>
      <c r="CS106" s="10">
        <v>7.6</v>
      </c>
      <c r="CT106" s="9" t="s">
        <v>169</v>
      </c>
      <c r="CU106" s="9" t="s">
        <v>185</v>
      </c>
      <c r="CV106" s="10"/>
      <c r="CW106" s="10"/>
      <c r="CX106" t="str">
        <f>INDEX('Data_Price '!AG$2:AG$1266,MATCH(Data!$DN106,'Data_Price '!$AT$2:$AT$1266,0))</f>
        <v>Blizzard Sheeva 11 Women's Skis 2021 164 cm</v>
      </c>
      <c r="CY106" t="str">
        <f>INDEX('Data_Price '!AH$2:AH$1266,MATCH(Data!$DN106,'Data_Price '!$AT$2:$AT$1266,0))</f>
        <v>AlpineShopVT.com</v>
      </c>
      <c r="CZ106">
        <f>INDEX('Data_Price '!AI$2:AI$1266,MATCH(Data!$DN106,'Data_Price '!$AT$2:$AT$1266,0))</f>
        <v>559.95000000000005</v>
      </c>
      <c r="DA106" t="str">
        <f>INDEX('Data_Price '!AJ$2:AJ$1266,MATCH(Data!$DN106,'Data_Price '!$AT$2:$AT$1266,0))</f>
        <v>https://tinyurl.com/y9lfcuwn</v>
      </c>
      <c r="DB106" t="str">
        <f>INDEX('Data_Price '!AK$2:AK$1266,MATCH(Data!$DN106,'Data_Price '!$AT$2:$AT$1266,0))</f>
        <v>Blizzard Sheeva 11 Women's Skis 2021 164 cm</v>
      </c>
      <c r="DC106" t="str">
        <f>INDEX('Data_Price '!AL$2:AL$1266,MATCH(Data!$DN106,'Data_Price '!$AT$2:$AT$1266,0))</f>
        <v>Powder7 Ski Shop</v>
      </c>
      <c r="DD106">
        <f>INDEX('Data_Price '!AM$2:AM$1266,MATCH(Data!$DN106,'Data_Price '!$AT$2:$AT$1266,0))</f>
        <v>579.95000000000005</v>
      </c>
      <c r="DE106" t="str">
        <f>INDEX('Data_Price '!AN$2:AN$1266,MATCH(Data!$DN106,'Data_Price '!$AT$2:$AT$1266,0))</f>
        <v>https://tinyurl.com/y89t3f59</v>
      </c>
      <c r="DF106" t="str">
        <f>INDEX('Data_Price '!AO$2:AO$1266,MATCH(Data!$DN106,'Data_Price '!$AT$2:$AT$1266,0))</f>
        <v>Blizzard Sheeva 11 Women's Skis 2021 164 cm</v>
      </c>
      <c r="DG106" t="str">
        <f>INDEX('Data_Price '!AP$2:AP$1266,MATCH(Data!$DN106,'Data_Price '!$AT$2:$AT$1266,0))</f>
        <v>BlueZone Sports</v>
      </c>
      <c r="DH106">
        <f>INDEX('Data_Price '!AQ$2:AQ$1266,MATCH(Data!$DN106,'Data_Price '!$AT$2:$AT$1266,0))</f>
        <v>699.95</v>
      </c>
      <c r="DI106" t="str">
        <f>INDEX('Data_Price '!AR$2:AR$1266,MATCH(Data!$DN106,'Data_Price '!$AT$2:$AT$1266,0))</f>
        <v>https://tinyurl.com/y7csqttb</v>
      </c>
      <c r="DJ106" s="89" t="str">
        <f t="shared" si="69"/>
        <v>https://tinyurl.com/y9lfcuwn</v>
      </c>
      <c r="DK106" s="89" t="str">
        <f t="shared" si="70"/>
        <v>https://tinyurl.com/y89t3f59</v>
      </c>
      <c r="DL106" s="89" t="str">
        <f t="shared" si="71"/>
        <v>https://tinyurl.com/y7csqttb</v>
      </c>
      <c r="DM106" s="219" t="str">
        <f t="shared" si="72"/>
        <v>Sheeva 11</v>
      </c>
      <c r="DN106" s="89" t="str">
        <f t="shared" si="73"/>
        <v xml:space="preserve"> BlizzardSheeva 11164 Women's</v>
      </c>
      <c r="DO106" s="221"/>
    </row>
    <row r="107" spans="2:119" ht="15.6" customHeight="1">
      <c r="B107" s="219" t="b">
        <f t="array" ref="B107">IF(OR(ISERROR(K107:P107)),FALSE,TRUE)</f>
        <v>1</v>
      </c>
      <c r="C107" s="43" t="b">
        <f>OR(BR107=Driver!$G$50,Data!BR1262=Driver!$H$50)</f>
        <v>1</v>
      </c>
      <c r="D107" s="43" t="b">
        <f>OR(BV107=Driver!$G$51,BV107=Driver!$H$51)</f>
        <v>0</v>
      </c>
      <c r="E107" s="43" t="b">
        <f>AND(BX107&gt;Driver!$F$54,BX107&lt;Driver!$G$54)</f>
        <v>0</v>
      </c>
      <c r="F107" s="43" t="b">
        <f>CL107&gt;Driver!$F$56</f>
        <v>1</v>
      </c>
      <c r="G107" s="43" t="b">
        <f>AND(CB107&gt;Driver!$F$55,CB107&lt;Driver!$G$55)</f>
        <v>0</v>
      </c>
      <c r="H107" s="43" t="b">
        <f t="shared" si="37"/>
        <v>0</v>
      </c>
      <c r="I107" s="43">
        <f t="shared" si="38"/>
        <v>0</v>
      </c>
      <c r="J107" s="43" t="b">
        <f t="array" ref="J107">NOT(OR(($H$9:$H$1273=TRUE)*($I$9:$I$1273&gt;0)*($BT$9:$BT$1273=BT107)*($K$9:$K$1273&gt;K107)))</f>
        <v>1</v>
      </c>
      <c r="K107" s="72">
        <f t="shared" si="39"/>
        <v>0.84709903892024085</v>
      </c>
      <c r="L107" s="72">
        <f t="shared" si="40"/>
        <v>0.94560332861110341</v>
      </c>
      <c r="M107" s="72">
        <f t="shared" si="41"/>
        <v>0.7485947492293783</v>
      </c>
      <c r="N107" s="72">
        <f t="shared" si="42"/>
        <v>0.75684491289413369</v>
      </c>
      <c r="O107" s="72">
        <f t="shared" si="43"/>
        <v>0.59060227845247737</v>
      </c>
      <c r="P107" s="72">
        <f t="shared" si="44"/>
        <v>0.89833705634152394</v>
      </c>
      <c r="Q107" s="72"/>
      <c r="R107" s="72"/>
      <c r="S107" s="72">
        <f t="shared" si="45"/>
        <v>0.41491294531569611</v>
      </c>
      <c r="T107" s="72">
        <f t="shared" si="46"/>
        <v>0.55613071612762988</v>
      </c>
      <c r="U107" s="72">
        <f t="shared" si="47"/>
        <v>0.7314231129299229</v>
      </c>
      <c r="V107" s="72">
        <f t="shared" si="48"/>
        <v>0.58487149955092488</v>
      </c>
      <c r="W107" s="72">
        <f t="shared" si="49"/>
        <v>0.79411841192787791</v>
      </c>
      <c r="X107" s="72">
        <f t="shared" si="50"/>
        <v>5.4396671388896561E-2</v>
      </c>
      <c r="Y107" s="72">
        <f t="shared" si="51"/>
        <v>0.25140525077062165</v>
      </c>
      <c r="Z107" s="72">
        <f t="shared" si="52"/>
        <v>0.24315508710586625</v>
      </c>
      <c r="AA107" s="72">
        <f t="shared" si="53"/>
        <v>0.40939772154752263</v>
      </c>
      <c r="AB107" s="72">
        <f t="shared" si="54"/>
        <v>0.10166294365847606</v>
      </c>
      <c r="AC107" s="72"/>
      <c r="AD107" s="72"/>
      <c r="AE107" s="72">
        <f t="shared" si="55"/>
        <v>0.58508705468430389</v>
      </c>
      <c r="AF107" s="72">
        <f t="shared" si="56"/>
        <v>0.44386928387237012</v>
      </c>
      <c r="AG107" s="72">
        <f t="shared" si="57"/>
        <v>0.2685768870700771</v>
      </c>
      <c r="AH107" s="72">
        <f t="shared" si="58"/>
        <v>0.41512850044907512</v>
      </c>
      <c r="AI107" s="72">
        <f t="shared" si="59"/>
        <v>0.20588158807212206</v>
      </c>
      <c r="AJ107" s="72">
        <f>(AV107-Driver!$K$179)/(Driver!$L$179-Driver!$K$179)</f>
        <v>0.19982273789380386</v>
      </c>
      <c r="AK107" s="72">
        <f>(AW107-Driver!$K$180)/(Driver!$L$180-Driver!$K$180)</f>
        <v>0.35618155045603239</v>
      </c>
      <c r="AL107" s="72">
        <f>(AX107-Driver!$K$181)/(Driver!$L$181-Driver!$K$181)</f>
        <v>0.34484285081894644</v>
      </c>
      <c r="AM107" s="72">
        <f>(AY107-Driver!$K$182)/(Driver!$L$182-Driver!$K$182)</f>
        <v>3.798729954952372E-2</v>
      </c>
      <c r="AN107" s="72">
        <f>(AZ107-Driver!$K$183)/(Driver!$L$183-Driver!$K$183)</f>
        <v>0.35588235294117648</v>
      </c>
      <c r="AO107" s="72"/>
      <c r="AP107" s="72"/>
      <c r="AQ107" s="72">
        <f>(BC107-Driver!$K$188)/(Driver!$L$188-Driver!$K$188)</f>
        <v>3.4912945315696074E-2</v>
      </c>
      <c r="AR107" s="72">
        <f>MIN((BD107-Driver!$K$189)/(Driver!$L$189-Driver!$K$189),100%)</f>
        <v>0.10613071612762991</v>
      </c>
      <c r="AS107" s="72">
        <f>(BE107-Driver!$K$190)/(Driver!$L$190-Driver!$K$190)</f>
        <v>0.24142311292992291</v>
      </c>
      <c r="AT107" s="72">
        <f>(BF107-Driver!$K$191)/(Driver!$L$191-Driver!$K$191)</f>
        <v>9.4871499550924915E-2</v>
      </c>
      <c r="AU107" s="72">
        <f>(BG107-Driver!$K$192)/(Driver!$L$192-Driver!$K$192)</f>
        <v>4.4118411927877937E-2</v>
      </c>
      <c r="AV107" s="70">
        <f t="shared" si="60"/>
        <v>4.2056708723375387</v>
      </c>
      <c r="AW107" s="70">
        <f t="shared" si="61"/>
        <v>36.584940802999562</v>
      </c>
      <c r="AX107" s="70">
        <f t="shared" si="62"/>
        <v>4.1035856573705178</v>
      </c>
      <c r="AY107" s="70">
        <f>IFERROR(Driver!$K$19/Data!BH107/Data!BI107*Data!BK107*Data!BL107,"")</f>
        <v>4.6507788964858285E-2</v>
      </c>
      <c r="AZ107" s="70">
        <f t="shared" si="63"/>
        <v>32.434847356664186</v>
      </c>
      <c r="BA107" s="70"/>
      <c r="BB107" s="70"/>
      <c r="BC107" s="70">
        <f t="shared" si="64"/>
        <v>18.109587446109749</v>
      </c>
      <c r="BD107" s="70">
        <f t="shared" si="65"/>
        <v>11.113203208891647</v>
      </c>
      <c r="BE107" s="70">
        <f t="shared" si="66"/>
        <v>0.24155843450842965</v>
      </c>
      <c r="BF107" s="70">
        <f t="shared" si="67"/>
        <v>10.715069364270787</v>
      </c>
      <c r="BG107" s="70">
        <f t="shared" si="68"/>
        <v>0.16706045206310677</v>
      </c>
      <c r="BH107" s="67">
        <f>MAX((CE107-Driver!$F$200)/(Driver!$G$200-Driver!$F$200)*$BI$1,1)</f>
        <v>4.1035856573705178</v>
      </c>
      <c r="BI107" s="67">
        <f>MAX($BI$1*(BY107-Driver!$F$201)/(Driver!$G$201-Driver!$F$201),1)</f>
        <v>6.2658227848101262</v>
      </c>
      <c r="BJ107" s="67">
        <f>(CB107-Driver!$F$206)/(Driver!$G$206-Driver!$F$206)*$BI$1</f>
        <v>4.92063492063492</v>
      </c>
      <c r="BK107" s="67">
        <f>(CD107-Driver!$F$203)/(Driver!$G$203-Driver!$F$203)*$BI$1</f>
        <v>1.238532110091743</v>
      </c>
      <c r="BL107" s="67">
        <f>MAX((CR107-Driver!$F$202)/(Driver!$G$202-Driver!$F$202)*$BI$1,1)</f>
        <v>4.8275862068965516</v>
      </c>
      <c r="BM107" s="67">
        <f>MAX((CH107-Driver!$F$204)/(Driver!$G$204-Driver!$F$204)*$BI$1,1)</f>
        <v>3.4188034188034191</v>
      </c>
      <c r="BN107" s="67">
        <f>(CI107-Driver!$F$205)/(Driver!$G$205-Driver!$F$205)*$BI$1</f>
        <v>5.1764705882352944</v>
      </c>
      <c r="BO107" s="67">
        <f>(CK107-Driver!$F$207)/(Driver!$G$207-Driver!$F$207)*$BI$1</f>
        <v>1.4891416752843847</v>
      </c>
      <c r="BP107" s="67">
        <f>(CM107-Driver!$F$208)/(Driver!$G$208-Driver!$F$208)*$BI$1</f>
        <v>1.8111111111111111</v>
      </c>
      <c r="BQ107" s="67">
        <f>(CL107-Driver!$F$209)/(Driver!$G$209-Driver!$F$209)*$BI$1</f>
        <v>2.34375</v>
      </c>
      <c r="BR107" s="28" t="s">
        <v>155</v>
      </c>
      <c r="BS107" s="8" t="s">
        <v>229</v>
      </c>
      <c r="BT107" s="9" t="s">
        <v>319</v>
      </c>
      <c r="BU107" s="10">
        <v>149</v>
      </c>
      <c r="BV107" s="9" t="s">
        <v>163</v>
      </c>
      <c r="BW107" s="10">
        <v>149</v>
      </c>
      <c r="BX107" s="10">
        <v>148.4</v>
      </c>
      <c r="BY107" s="10">
        <v>107</v>
      </c>
      <c r="BZ107" s="10">
        <v>125</v>
      </c>
      <c r="CA107" s="10">
        <v>134</v>
      </c>
      <c r="CB107" s="10">
        <v>95</v>
      </c>
      <c r="CC107" s="10">
        <v>118</v>
      </c>
      <c r="CD107" s="10">
        <v>12.1</v>
      </c>
      <c r="CE107" s="10">
        <v>1621</v>
      </c>
      <c r="CF107" s="10">
        <v>0.98</v>
      </c>
      <c r="CG107" s="10">
        <v>1596</v>
      </c>
      <c r="CH107" s="10">
        <v>181</v>
      </c>
      <c r="CI107" s="10">
        <v>121</v>
      </c>
      <c r="CJ107" s="10">
        <v>45</v>
      </c>
      <c r="CK107" s="10">
        <v>254</v>
      </c>
      <c r="CL107" s="10">
        <v>15</v>
      </c>
      <c r="CM107" s="10">
        <v>163</v>
      </c>
      <c r="CN107" s="10">
        <v>0.32800000000000001</v>
      </c>
      <c r="CO107" s="10">
        <v>133</v>
      </c>
      <c r="CP107" s="10">
        <v>99</v>
      </c>
      <c r="CQ107" s="10">
        <v>121</v>
      </c>
      <c r="CR107" s="10">
        <v>3</v>
      </c>
      <c r="CS107" s="10">
        <v>11.2</v>
      </c>
      <c r="CT107" s="9" t="s">
        <v>188</v>
      </c>
      <c r="CU107" s="10"/>
      <c r="CV107" s="10"/>
      <c r="CW107" s="10"/>
      <c r="CX107" t="e">
        <f>INDEX('Data_Price '!AG$2:AG$1266,MATCH(Data!$DN107,'Data_Price '!$AT$2:$AT$1266,0))</f>
        <v>#N/A</v>
      </c>
      <c r="CY107" t="e">
        <f>INDEX('Data_Price '!AH$2:AH$1266,MATCH(Data!$DN107,'Data_Price '!$AT$2:$AT$1266,0))</f>
        <v>#N/A</v>
      </c>
      <c r="CZ107" t="e">
        <f>INDEX('Data_Price '!AI$2:AI$1266,MATCH(Data!$DN107,'Data_Price '!$AT$2:$AT$1266,0))</f>
        <v>#N/A</v>
      </c>
      <c r="DA107" t="e">
        <f>INDEX('Data_Price '!AJ$2:AJ$1266,MATCH(Data!$DN107,'Data_Price '!$AT$2:$AT$1266,0))</f>
        <v>#N/A</v>
      </c>
      <c r="DB107" t="e">
        <f>INDEX('Data_Price '!AK$2:AK$1266,MATCH(Data!$DN107,'Data_Price '!$AT$2:$AT$1266,0))</f>
        <v>#N/A</v>
      </c>
      <c r="DC107" t="e">
        <f>INDEX('Data_Price '!AL$2:AL$1266,MATCH(Data!$DN107,'Data_Price '!$AT$2:$AT$1266,0))</f>
        <v>#N/A</v>
      </c>
      <c r="DD107" t="e">
        <f>INDEX('Data_Price '!AM$2:AM$1266,MATCH(Data!$DN107,'Data_Price '!$AT$2:$AT$1266,0))</f>
        <v>#N/A</v>
      </c>
      <c r="DE107" t="e">
        <f>INDEX('Data_Price '!AN$2:AN$1266,MATCH(Data!$DN107,'Data_Price '!$AT$2:$AT$1266,0))</f>
        <v>#N/A</v>
      </c>
      <c r="DF107" t="e">
        <f>INDEX('Data_Price '!AO$2:AO$1266,MATCH(Data!$DN107,'Data_Price '!$AT$2:$AT$1266,0))</f>
        <v>#N/A</v>
      </c>
      <c r="DG107" t="e">
        <f>INDEX('Data_Price '!AP$2:AP$1266,MATCH(Data!$DN107,'Data_Price '!$AT$2:$AT$1266,0))</f>
        <v>#N/A</v>
      </c>
      <c r="DH107" t="e">
        <f>INDEX('Data_Price '!AQ$2:AQ$1266,MATCH(Data!$DN107,'Data_Price '!$AT$2:$AT$1266,0))</f>
        <v>#N/A</v>
      </c>
      <c r="DI107" t="e">
        <f>INDEX('Data_Price '!AR$2:AR$1266,MATCH(Data!$DN107,'Data_Price '!$AT$2:$AT$1266,0))</f>
        <v>#N/A</v>
      </c>
      <c r="DJ107" s="89" t="e">
        <f t="shared" si="69"/>
        <v>#N/A</v>
      </c>
      <c r="DK107" s="89" t="e">
        <f t="shared" si="70"/>
        <v>#N/A</v>
      </c>
      <c r="DL107" s="89" t="e">
        <f t="shared" si="71"/>
        <v>#N/A</v>
      </c>
      <c r="DM107" s="219" t="str">
        <f t="shared" si="72"/>
        <v>Secret 96</v>
      </c>
      <c r="DN107" s="89" t="str">
        <f t="shared" si="73"/>
        <v xml:space="preserve"> VölklSecret 96149 Women's</v>
      </c>
      <c r="DO107" s="221" t="s">
        <v>320</v>
      </c>
    </row>
    <row r="108" spans="2:119" ht="15.6" customHeight="1">
      <c r="B108" s="219" t="b">
        <f t="array" ref="B108">IF(OR(ISERROR(K108:P108)),FALSE,TRUE)</f>
        <v>1</v>
      </c>
      <c r="C108" s="43" t="b">
        <f>OR(BR108=Driver!$G$50,Data!BR545=Driver!$H$50)</f>
        <v>1</v>
      </c>
      <c r="D108" s="43" t="b">
        <f>OR(BV108=Driver!$G$51,BV108=Driver!$H$51)</f>
        <v>1</v>
      </c>
      <c r="E108" s="43" t="b">
        <f>AND(BX108&gt;Driver!$F$54,BX108&lt;Driver!$G$54)</f>
        <v>0</v>
      </c>
      <c r="F108" s="43" t="b">
        <f>CL108&gt;Driver!$F$56</f>
        <v>1</v>
      </c>
      <c r="G108" s="43" t="b">
        <f>AND(CB108&gt;Driver!$F$55,CB108&lt;Driver!$G$55)</f>
        <v>0</v>
      </c>
      <c r="H108" s="43" t="b">
        <f t="shared" si="37"/>
        <v>0</v>
      </c>
      <c r="I108" s="43">
        <f t="shared" si="38"/>
        <v>0</v>
      </c>
      <c r="J108" s="43" t="b">
        <f t="array" ref="J108">NOT(OR(($H$9:$H$1273=TRUE)*($I$9:$I$1273&gt;0)*($BT$9:$BT$1273=BT108)*($K$9:$K$1273&gt;K108)))</f>
        <v>1</v>
      </c>
      <c r="K108" s="72">
        <f t="shared" si="39"/>
        <v>0.88593063304967501</v>
      </c>
      <c r="L108" s="72">
        <f t="shared" si="40"/>
        <v>0.99572016045382361</v>
      </c>
      <c r="M108" s="72">
        <f t="shared" si="41"/>
        <v>0.77614110564552652</v>
      </c>
      <c r="N108" s="72">
        <f t="shared" si="42"/>
        <v>0.69803254332479203</v>
      </c>
      <c r="O108" s="72">
        <f t="shared" si="43"/>
        <v>0.66955371727026347</v>
      </c>
      <c r="P108" s="72">
        <f t="shared" si="44"/>
        <v>0.96083705634152405</v>
      </c>
      <c r="Q108" s="72"/>
      <c r="R108" s="72"/>
      <c r="S108" s="72">
        <f t="shared" si="45"/>
        <v>0.45852134450474724</v>
      </c>
      <c r="T108" s="72">
        <f t="shared" si="46"/>
        <v>0.51791762429365329</v>
      </c>
      <c r="U108" s="72">
        <f t="shared" si="47"/>
        <v>0.60722020599977611</v>
      </c>
      <c r="V108" s="72">
        <f t="shared" si="48"/>
        <v>0.53459172688987822</v>
      </c>
      <c r="W108" s="72">
        <f t="shared" si="49"/>
        <v>0.81208113335772913</v>
      </c>
      <c r="X108" s="72">
        <f t="shared" si="50"/>
        <v>4.2798395461763894E-3</v>
      </c>
      <c r="Y108" s="72">
        <f t="shared" si="51"/>
        <v>0.22385889435447348</v>
      </c>
      <c r="Z108" s="72">
        <f t="shared" si="52"/>
        <v>0.30196745667520791</v>
      </c>
      <c r="AA108" s="72">
        <f t="shared" si="53"/>
        <v>0.33044628272973653</v>
      </c>
      <c r="AB108" s="72">
        <f t="shared" si="54"/>
        <v>3.9162943658476002E-2</v>
      </c>
      <c r="AC108" s="72"/>
      <c r="AD108" s="72"/>
      <c r="AE108" s="72">
        <f t="shared" si="55"/>
        <v>0.54147865549525276</v>
      </c>
      <c r="AF108" s="72">
        <f t="shared" si="56"/>
        <v>0.48208237570634671</v>
      </c>
      <c r="AG108" s="72">
        <f t="shared" si="57"/>
        <v>0.39277979400022389</v>
      </c>
      <c r="AH108" s="72">
        <f t="shared" si="58"/>
        <v>0.46540827311012178</v>
      </c>
      <c r="AI108" s="72">
        <f t="shared" si="59"/>
        <v>0.18791886664227089</v>
      </c>
      <c r="AJ108" s="72">
        <f>(AV108-Driver!$K$179)/(Driver!$L$179-Driver!$K$179)</f>
        <v>0.24993956973652404</v>
      </c>
      <c r="AK108" s="72">
        <f>(AW108-Driver!$K$180)/(Driver!$L$180-Driver!$K$180)</f>
        <v>0.30415722921240407</v>
      </c>
      <c r="AL108" s="72">
        <f>(AX108-Driver!$K$181)/(Driver!$L$181-Driver!$K$181)</f>
        <v>0.40365522038828811</v>
      </c>
      <c r="AM108" s="72">
        <f>(AY108-Driver!$K$182)/(Driver!$L$182-Driver!$K$182)</f>
        <v>0.11693873836730981</v>
      </c>
      <c r="AN108" s="72">
        <f>(AZ108-Driver!$K$183)/(Driver!$L$183-Driver!$K$183)</f>
        <v>0.29338235294117643</v>
      </c>
      <c r="AO108" s="72"/>
      <c r="AP108" s="72"/>
      <c r="AQ108" s="72">
        <f>(BC108-Driver!$K$188)/(Driver!$L$188-Driver!$K$188)</f>
        <v>7.8521344504747209E-2</v>
      </c>
      <c r="AR108" s="72">
        <f>MIN((BD108-Driver!$K$189)/(Driver!$L$189-Driver!$K$189),100%)</f>
        <v>6.791762429365332E-2</v>
      </c>
      <c r="AS108" s="72">
        <f>(BE108-Driver!$K$190)/(Driver!$L$190-Driver!$K$190)</f>
        <v>0.11722020599977612</v>
      </c>
      <c r="AT108" s="72">
        <f>(BF108-Driver!$K$191)/(Driver!$L$191-Driver!$K$191)</f>
        <v>4.4591726889878246E-2</v>
      </c>
      <c r="AU108" s="72">
        <f>(BG108-Driver!$K$192)/(Driver!$L$192-Driver!$K$192)</f>
        <v>6.2081133357729107E-2</v>
      </c>
      <c r="AV108" s="70">
        <f t="shared" si="60"/>
        <v>5.2604802604802607</v>
      </c>
      <c r="AW108" s="70">
        <f t="shared" si="61"/>
        <v>31.514709715426761</v>
      </c>
      <c r="AX108" s="70">
        <f t="shared" si="62"/>
        <v>4.632896983494593</v>
      </c>
      <c r="AY108" s="70">
        <f>IFERROR(Driver!$K$19/Data!BH108/Data!BI108*Data!BK108*Data!BL108,"")</f>
        <v>0.14316790691355707</v>
      </c>
      <c r="AZ108" s="70">
        <f t="shared" si="63"/>
        <v>26.738644825018611</v>
      </c>
      <c r="BA108" s="70"/>
      <c r="BB108" s="70"/>
      <c r="BC108" s="70">
        <f t="shared" si="64"/>
        <v>40.729567266143384</v>
      </c>
      <c r="BD108" s="70">
        <f t="shared" si="65"/>
        <v>7.7314122911768619</v>
      </c>
      <c r="BE108" s="70">
        <f t="shared" si="66"/>
        <v>0.11737768397891594</v>
      </c>
      <c r="BF108" s="70">
        <f t="shared" si="67"/>
        <v>5.036322277600239</v>
      </c>
      <c r="BG108" s="70">
        <f t="shared" si="68"/>
        <v>0.23507877437398716</v>
      </c>
      <c r="BH108" s="67">
        <f>MAX((CE108-Driver!$F$200)/(Driver!$G$200-Driver!$F$200)*$BI$1,1)</f>
        <v>4.632896983494593</v>
      </c>
      <c r="BI108" s="67">
        <f>MAX($BI$1*(BY108-Driver!$F$201)/(Driver!$G$201-Driver!$F$201),1)</f>
        <v>7.9746835443037973</v>
      </c>
      <c r="BJ108" s="67">
        <f>(CB108-Driver!$F$206)/(Driver!$G$206-Driver!$F$206)*$BI$1</f>
        <v>5.2380952380952381</v>
      </c>
      <c r="BK108" s="67">
        <f>(CD108-Driver!$F$203)/(Driver!$G$203-Driver!$F$203)*$BI$1</f>
        <v>3.4862385321100922</v>
      </c>
      <c r="BL108" s="67">
        <f>MAX((CR108-Driver!$F$202)/(Driver!$G$202-Driver!$F$202)*$BI$1,1)</f>
        <v>7.5862068965517242</v>
      </c>
      <c r="BM108" s="67">
        <f>MAX((CH108-Driver!$F$204)/(Driver!$G$204-Driver!$F$204)*$BI$1,1)</f>
        <v>4.017094017094017</v>
      </c>
      <c r="BN108" s="67">
        <f>(CI108-Driver!$F$205)/(Driver!$G$205-Driver!$F$205)*$BI$1</f>
        <v>3.3529411764705879</v>
      </c>
      <c r="BO108" s="67">
        <f>(CK108-Driver!$F$207)/(Driver!$G$207-Driver!$F$207)*$BI$1</f>
        <v>1.6132368148914167</v>
      </c>
      <c r="BP108" s="67">
        <f>(CM108-Driver!$F$208)/(Driver!$G$208-Driver!$F$208)*$BI$1</f>
        <v>2.0777777777777779</v>
      </c>
      <c r="BQ108" s="67">
        <f>(CL108-Driver!$F$209)/(Driver!$G$209-Driver!$F$209)*$BI$1</f>
        <v>4.375</v>
      </c>
      <c r="BR108" s="28" t="s">
        <v>155</v>
      </c>
      <c r="BS108" s="8" t="s">
        <v>321</v>
      </c>
      <c r="BT108" s="9" t="s">
        <v>322</v>
      </c>
      <c r="BU108" s="10">
        <v>182</v>
      </c>
      <c r="BV108" s="9" t="s">
        <v>158</v>
      </c>
      <c r="BW108" s="10">
        <v>182</v>
      </c>
      <c r="BX108" s="10">
        <v>179.8</v>
      </c>
      <c r="BY108" s="10">
        <v>134</v>
      </c>
      <c r="BZ108" s="10">
        <v>152</v>
      </c>
      <c r="CA108" s="10">
        <v>130</v>
      </c>
      <c r="CB108" s="10">
        <v>97</v>
      </c>
      <c r="CC108" s="10">
        <v>120</v>
      </c>
      <c r="CD108" s="10">
        <v>17</v>
      </c>
      <c r="CE108" s="10">
        <v>1714</v>
      </c>
      <c r="CF108" s="10">
        <v>1.1499999999999999</v>
      </c>
      <c r="CG108" s="10">
        <v>1972</v>
      </c>
      <c r="CH108" s="10">
        <v>195</v>
      </c>
      <c r="CI108" s="10">
        <v>90</v>
      </c>
      <c r="CJ108" s="10">
        <v>56</v>
      </c>
      <c r="CK108" s="10">
        <v>266</v>
      </c>
      <c r="CL108" s="10">
        <v>28</v>
      </c>
      <c r="CM108" s="10">
        <v>187</v>
      </c>
      <c r="CN108" s="10">
        <v>0.501</v>
      </c>
      <c r="CO108" s="10">
        <v>160</v>
      </c>
      <c r="CP108" s="10">
        <v>117</v>
      </c>
      <c r="CQ108" s="10">
        <v>106</v>
      </c>
      <c r="CR108" s="10">
        <v>11</v>
      </c>
      <c r="CS108" s="10">
        <v>8</v>
      </c>
      <c r="CT108" s="9" t="s">
        <v>188</v>
      </c>
      <c r="CU108" s="9" t="s">
        <v>185</v>
      </c>
      <c r="CV108" s="10"/>
      <c r="CW108" s="10"/>
      <c r="CX108">
        <f>INDEX('Data_Price '!AG$2:AG$1266,MATCH(Data!$DN108,'Data_Price '!$AT$2:$AT$1266,0))</f>
        <v>0</v>
      </c>
      <c r="CY108">
        <f>INDEX('Data_Price '!AH$2:AH$1266,MATCH(Data!$DN108,'Data_Price '!$AT$2:$AT$1266,0))</f>
        <v>0</v>
      </c>
      <c r="CZ108">
        <f>INDEX('Data_Price '!AI$2:AI$1266,MATCH(Data!$DN108,'Data_Price '!$AT$2:$AT$1266,0))</f>
        <v>0</v>
      </c>
      <c r="DA108">
        <f>INDEX('Data_Price '!AJ$2:AJ$1266,MATCH(Data!$DN108,'Data_Price '!$AT$2:$AT$1266,0))</f>
        <v>0</v>
      </c>
      <c r="DB108">
        <f>INDEX('Data_Price '!AK$2:AK$1266,MATCH(Data!$DN108,'Data_Price '!$AT$2:$AT$1266,0))</f>
        <v>0</v>
      </c>
      <c r="DC108">
        <f>INDEX('Data_Price '!AL$2:AL$1266,MATCH(Data!$DN108,'Data_Price '!$AT$2:$AT$1266,0))</f>
        <v>0</v>
      </c>
      <c r="DD108">
        <f>INDEX('Data_Price '!AM$2:AM$1266,MATCH(Data!$DN108,'Data_Price '!$AT$2:$AT$1266,0))</f>
        <v>0</v>
      </c>
      <c r="DE108">
        <f>INDEX('Data_Price '!AN$2:AN$1266,MATCH(Data!$DN108,'Data_Price '!$AT$2:$AT$1266,0))</f>
        <v>0</v>
      </c>
      <c r="DF108">
        <f>INDEX('Data_Price '!AO$2:AO$1266,MATCH(Data!$DN108,'Data_Price '!$AT$2:$AT$1266,0))</f>
        <v>0</v>
      </c>
      <c r="DG108">
        <f>INDEX('Data_Price '!AP$2:AP$1266,MATCH(Data!$DN108,'Data_Price '!$AT$2:$AT$1266,0))</f>
        <v>0</v>
      </c>
      <c r="DH108">
        <f>INDEX('Data_Price '!AQ$2:AQ$1266,MATCH(Data!$DN108,'Data_Price '!$AT$2:$AT$1266,0))</f>
        <v>0</v>
      </c>
      <c r="DI108">
        <f>INDEX('Data_Price '!AR$2:AR$1266,MATCH(Data!$DN108,'Data_Price '!$AT$2:$AT$1266,0))</f>
        <v>0</v>
      </c>
      <c r="DJ108" s="89">
        <f t="shared" si="69"/>
        <v>0</v>
      </c>
      <c r="DK108" s="89">
        <f t="shared" si="70"/>
        <v>0</v>
      </c>
      <c r="DL108" s="89">
        <f t="shared" si="71"/>
        <v>0</v>
      </c>
      <c r="DM108" s="219" t="str">
        <f t="shared" si="72"/>
        <v>Explo 96</v>
      </c>
      <c r="DN108" s="89" t="str">
        <f t="shared" si="73"/>
        <v xml:space="preserve"> FerreolExplo 96182 Unisex</v>
      </c>
      <c r="DO108" s="221"/>
    </row>
    <row r="109" spans="2:119" ht="15.6" customHeight="1">
      <c r="B109" s="219" t="b">
        <f t="array" ref="B109">IF(OR(ISERROR(K109:P109)),FALSE,TRUE)</f>
        <v>1</v>
      </c>
      <c r="C109" s="43" t="b">
        <f>OR(BR109=Driver!$G$50,Data!BR222=Driver!$H$50)</f>
        <v>1</v>
      </c>
      <c r="D109" s="43" t="b">
        <f>OR(BV109=Driver!$G$51,BV109=Driver!$H$51)</f>
        <v>1</v>
      </c>
      <c r="E109" s="43" t="b">
        <f>AND(BX109&gt;Driver!$F$54,BX109&lt;Driver!$G$54)</f>
        <v>0</v>
      </c>
      <c r="F109" s="43" t="b">
        <f>CL109&gt;Driver!$F$56</f>
        <v>1</v>
      </c>
      <c r="G109" s="43" t="b">
        <f>AND(CB109&gt;Driver!$F$55,CB109&lt;Driver!$G$55)</f>
        <v>0</v>
      </c>
      <c r="H109" s="43" t="b">
        <f t="shared" si="37"/>
        <v>0</v>
      </c>
      <c r="I109" s="43">
        <f t="shared" si="38"/>
        <v>0</v>
      </c>
      <c r="J109" s="43" t="b">
        <f t="array" ref="J109">NOT(OR(($H$9:$H$1273=TRUE)*($I$9:$I$1273&gt;0)*($BT$9:$BT$1273=BT109)*($K$9:$K$1273&gt;K109)))</f>
        <v>1</v>
      </c>
      <c r="K109" s="72">
        <f t="shared" si="39"/>
        <v>0.82094858214725208</v>
      </c>
      <c r="L109" s="72">
        <f t="shared" si="40"/>
        <v>0.85810030709792962</v>
      </c>
      <c r="M109" s="72">
        <f t="shared" si="41"/>
        <v>0.78379685719657444</v>
      </c>
      <c r="N109" s="72">
        <f t="shared" si="42"/>
        <v>0.78277294679029508</v>
      </c>
      <c r="O109" s="72">
        <f t="shared" si="43"/>
        <v>0.64903873839254489</v>
      </c>
      <c r="P109" s="72">
        <f t="shared" si="44"/>
        <v>0.91957888640688346</v>
      </c>
      <c r="Q109" s="72"/>
      <c r="R109" s="72"/>
      <c r="S109" s="72">
        <f t="shared" si="45"/>
        <v>0.48672460197111134</v>
      </c>
      <c r="T109" s="72">
        <f t="shared" si="46"/>
        <v>0.54878042595781018</v>
      </c>
      <c r="U109" s="72">
        <f t="shared" si="47"/>
        <v>0.98073351212594184</v>
      </c>
      <c r="V109" s="72">
        <f t="shared" si="48"/>
        <v>0.50286509397016221</v>
      </c>
      <c r="W109" s="72">
        <f t="shared" si="49"/>
        <v>0.80172256097560979</v>
      </c>
      <c r="X109" s="72">
        <f t="shared" si="50"/>
        <v>0.14189969290207036</v>
      </c>
      <c r="Y109" s="72">
        <f t="shared" si="51"/>
        <v>0.21620314280342554</v>
      </c>
      <c r="Z109" s="72">
        <f t="shared" si="52"/>
        <v>0.21722705320970487</v>
      </c>
      <c r="AA109" s="72">
        <f t="shared" si="53"/>
        <v>0.35096126160745511</v>
      </c>
      <c r="AB109" s="72">
        <f t="shared" si="54"/>
        <v>8.0421113593116544E-2</v>
      </c>
      <c r="AC109" s="72"/>
      <c r="AD109" s="72"/>
      <c r="AE109" s="72">
        <f t="shared" si="55"/>
        <v>0.51327539802888866</v>
      </c>
      <c r="AF109" s="72">
        <f t="shared" si="56"/>
        <v>0.45121957404218982</v>
      </c>
      <c r="AG109" s="72">
        <f t="shared" si="57"/>
        <v>1.9266487874058158E-2</v>
      </c>
      <c r="AH109" s="72">
        <f t="shared" si="58"/>
        <v>0.49713490602983779</v>
      </c>
      <c r="AI109" s="72">
        <f t="shared" si="59"/>
        <v>0.19827743902439027</v>
      </c>
      <c r="AJ109" s="72">
        <f>(AV109-Driver!$K$179)/(Driver!$L$179-Driver!$K$179)</f>
        <v>0.11231971638063007</v>
      </c>
      <c r="AK109" s="72">
        <f>(AW109-Driver!$K$180)/(Driver!$L$180-Driver!$K$180)</f>
        <v>0.33465684883258962</v>
      </c>
      <c r="AL109" s="72">
        <f>(AX109-Driver!$K$181)/(Driver!$L$181-Driver!$K$181)</f>
        <v>0.31891481692278506</v>
      </c>
      <c r="AM109" s="72">
        <f>(AY109-Driver!$K$182)/(Driver!$L$182-Driver!$K$182)</f>
        <v>9.6423759489591282E-2</v>
      </c>
      <c r="AN109" s="72">
        <f>(AZ109-Driver!$K$183)/(Driver!$L$183-Driver!$K$183)</f>
        <v>0.33464052287581697</v>
      </c>
      <c r="AO109" s="72"/>
      <c r="AP109" s="72"/>
      <c r="AQ109" s="72">
        <f>(BC109-Driver!$K$188)/(Driver!$L$188-Driver!$K$188)</f>
        <v>0.10672460197111137</v>
      </c>
      <c r="AR109" s="72">
        <f>MIN((BD109-Driver!$K$189)/(Driver!$L$189-Driver!$K$189),100%)</f>
        <v>9.8780425957810225E-2</v>
      </c>
      <c r="AS109" s="72">
        <f>(BE109-Driver!$K$190)/(Driver!$L$190-Driver!$K$190)</f>
        <v>0.49073351212594185</v>
      </c>
      <c r="AT109" s="72">
        <f>(BF109-Driver!$K$191)/(Driver!$L$191-Driver!$K$191)</f>
        <v>1.2865093970162196E-2</v>
      </c>
      <c r="AU109" s="72">
        <f>(BG109-Driver!$K$192)/(Driver!$L$192-Driver!$K$192)</f>
        <v>5.1722560975609747E-2</v>
      </c>
      <c r="AV109" s="70">
        <f t="shared" si="60"/>
        <v>2.363994030660697</v>
      </c>
      <c r="AW109" s="70">
        <f t="shared" si="61"/>
        <v>34.487167901536196</v>
      </c>
      <c r="AX109" s="70">
        <f t="shared" si="62"/>
        <v>3.8702333523050654</v>
      </c>
      <c r="AY109" s="70">
        <f>IFERROR(Driver!$K$19/Data!BH109/Data!BI109*Data!BK109*Data!BL109,"")</f>
        <v>0.11805145168831534</v>
      </c>
      <c r="AZ109" s="70">
        <f t="shared" si="63"/>
        <v>30.498883097542816</v>
      </c>
      <c r="BA109" s="70"/>
      <c r="BB109" s="70"/>
      <c r="BC109" s="70">
        <f t="shared" si="64"/>
        <v>55.35879297981149</v>
      </c>
      <c r="BD109" s="70">
        <f t="shared" si="65"/>
        <v>10.462715552806118</v>
      </c>
      <c r="BE109" s="70">
        <f t="shared" si="66"/>
        <v>0.49082435953534009</v>
      </c>
      <c r="BF109" s="70">
        <f t="shared" si="67"/>
        <v>1.4530219815293923</v>
      </c>
      <c r="BG109" s="70">
        <f t="shared" si="68"/>
        <v>0.19585461128048778</v>
      </c>
      <c r="BH109" s="67">
        <f>MAX((CE109-Driver!$F$200)/(Driver!$G$200-Driver!$F$200)*$BI$1,1)</f>
        <v>3.8702333523050654</v>
      </c>
      <c r="BI109" s="67">
        <f>MAX($BI$1*(BY109-Driver!$F$201)/(Driver!$G$201-Driver!$F$201),1)</f>
        <v>8.1012658227848107</v>
      </c>
      <c r="BJ109" s="67">
        <f>(CB109-Driver!$F$206)/(Driver!$G$206-Driver!$F$206)*$BI$1</f>
        <v>2.6984126984126982</v>
      </c>
      <c r="BK109" s="67">
        <f>(CD109-Driver!$F$203)/(Driver!$G$203-Driver!$F$203)*$BI$1</f>
        <v>2.9816513761467895</v>
      </c>
      <c r="BL109" s="67">
        <f>MAX((CR109-Driver!$F$202)/(Driver!$G$202-Driver!$F$202)*$BI$1,1)</f>
        <v>6.2068965517241379</v>
      </c>
      <c r="BM109" s="67">
        <f>MAX((CH109-Driver!$F$204)/(Driver!$G$204-Driver!$F$204)*$BI$1,1)</f>
        <v>3.5042735042735043</v>
      </c>
      <c r="BN109" s="67">
        <f>(CI109-Driver!$F$205)/(Driver!$G$205-Driver!$F$205)*$BI$1</f>
        <v>3.7647058823529411</v>
      </c>
      <c r="BO109" s="67">
        <f>(CK109-Driver!$F$207)/(Driver!$G$207-Driver!$F$207)*$BI$1</f>
        <v>0.9203722854188211</v>
      </c>
      <c r="BP109" s="67">
        <f>(CM109-Driver!$F$208)/(Driver!$G$208-Driver!$F$208)*$BI$1</f>
        <v>1.7444444444444445</v>
      </c>
      <c r="BQ109" s="67">
        <f>(CL109-Driver!$F$209)/(Driver!$G$209-Driver!$F$209)*$BI$1</f>
        <v>2.65625</v>
      </c>
      <c r="BR109" s="28" t="s">
        <v>155</v>
      </c>
      <c r="BS109" s="8" t="s">
        <v>237</v>
      </c>
      <c r="BT109" s="9" t="s">
        <v>323</v>
      </c>
      <c r="BU109" s="10">
        <v>172.1</v>
      </c>
      <c r="BV109" s="9" t="s">
        <v>158</v>
      </c>
      <c r="BW109" s="10">
        <v>172.1</v>
      </c>
      <c r="BX109" s="10">
        <v>171.1</v>
      </c>
      <c r="BY109" s="10">
        <v>136</v>
      </c>
      <c r="BZ109" s="10">
        <v>151</v>
      </c>
      <c r="CA109" s="10">
        <v>123</v>
      </c>
      <c r="CB109" s="10">
        <v>81</v>
      </c>
      <c r="CC109" s="10">
        <v>109</v>
      </c>
      <c r="CD109" s="10">
        <v>15.9</v>
      </c>
      <c r="CE109" s="10">
        <v>1580</v>
      </c>
      <c r="CF109" s="10">
        <v>1.02</v>
      </c>
      <c r="CG109" s="10">
        <v>1614</v>
      </c>
      <c r="CH109" s="10">
        <v>183</v>
      </c>
      <c r="CI109" s="10">
        <v>97</v>
      </c>
      <c r="CJ109" s="10">
        <v>36</v>
      </c>
      <c r="CK109" s="10">
        <v>199</v>
      </c>
      <c r="CL109" s="10">
        <v>17</v>
      </c>
      <c r="CM109" s="10">
        <v>157</v>
      </c>
      <c r="CN109" s="10">
        <v>0.47599999999999998</v>
      </c>
      <c r="CO109" s="10">
        <v>113</v>
      </c>
      <c r="CP109" s="10">
        <v>84</v>
      </c>
      <c r="CQ109" s="10">
        <v>86</v>
      </c>
      <c r="CR109" s="10">
        <v>7</v>
      </c>
      <c r="CS109" s="10">
        <v>10.4</v>
      </c>
      <c r="CT109" s="9" t="s">
        <v>188</v>
      </c>
      <c r="CU109" s="10"/>
      <c r="CV109" s="10"/>
      <c r="CW109" s="10"/>
      <c r="CX109" t="str">
        <f>INDEX('Data_Price '!AG$2:AG$1266,MATCH(Data!$DN109,'Data_Price '!$AT$2:$AT$1266,0))</f>
        <v>Black Crows Divus Skis 172 cm</v>
      </c>
      <c r="CY109" t="str">
        <f>INDEX('Data_Price '!AH$2:AH$1266,MATCH(Data!$DN109,'Data_Price '!$AT$2:$AT$1266,0))</f>
        <v>SkiEssentials.com</v>
      </c>
      <c r="CZ109">
        <f>INDEX('Data_Price '!AI$2:AI$1266,MATCH(Data!$DN109,'Data_Price '!$AT$2:$AT$1266,0))</f>
        <v>623.96</v>
      </c>
      <c r="DA109" t="str">
        <f>INDEX('Data_Price '!AJ$2:AJ$1266,MATCH(Data!$DN109,'Data_Price '!$AT$2:$AT$1266,0))</f>
        <v>https://tinyurl.com/yb8qqmgy</v>
      </c>
      <c r="DB109" t="str">
        <f>INDEX('Data_Price '!AK$2:AK$1266,MATCH(Data!$DN109,'Data_Price '!$AT$2:$AT$1266,0))</f>
        <v>Black Crows Divus Skis 172 cm</v>
      </c>
      <c r="DC109" t="str">
        <f>INDEX('Data_Price '!AL$2:AL$1266,MATCH(Data!$DN109,'Data_Price '!$AT$2:$AT$1266,0))</f>
        <v>Powder7 Ski Shop</v>
      </c>
      <c r="DD109">
        <f>INDEX('Data_Price '!AM$2:AM$1266,MATCH(Data!$DN109,'Data_Price '!$AT$2:$AT$1266,0))</f>
        <v>623.96</v>
      </c>
      <c r="DE109" t="str">
        <f>INDEX('Data_Price '!AN$2:AN$1266,MATCH(Data!$DN109,'Data_Price '!$AT$2:$AT$1266,0))</f>
        <v>https://tinyurl.com/y7j2223b</v>
      </c>
      <c r="DF109" t="str">
        <f>INDEX('Data_Price '!AO$2:AO$1266,MATCH(Data!$DN109,'Data_Price '!$AT$2:$AT$1266,0))</f>
        <v>Black Crows Divus Skis 172 cm</v>
      </c>
      <c r="DG109" t="str">
        <f>INDEX('Data_Price '!AP$2:AP$1266,MATCH(Data!$DN109,'Data_Price '!$AT$2:$AT$1266,0))</f>
        <v>evo.com</v>
      </c>
      <c r="DH109">
        <f>INDEX('Data_Price '!AQ$2:AQ$1266,MATCH(Data!$DN109,'Data_Price '!$AT$2:$AT$1266,0))</f>
        <v>623.96</v>
      </c>
      <c r="DI109" t="str">
        <f>INDEX('Data_Price '!AR$2:AR$1266,MATCH(Data!$DN109,'Data_Price '!$AT$2:$AT$1266,0))</f>
        <v>https://tinyurl.com/yb2926rl</v>
      </c>
      <c r="DJ109" s="89" t="str">
        <f t="shared" si="69"/>
        <v>https://tinyurl.com/yb8qqmgy</v>
      </c>
      <c r="DK109" s="89" t="str">
        <f t="shared" si="70"/>
        <v>https://tinyurl.com/y7j2223b</v>
      </c>
      <c r="DL109" s="89" t="str">
        <f t="shared" si="71"/>
        <v>https://tinyurl.com/yb2926rl</v>
      </c>
      <c r="DM109" s="219" t="str">
        <f t="shared" si="72"/>
        <v>Divus</v>
      </c>
      <c r="DN109" s="89" t="str">
        <f t="shared" si="73"/>
        <v xml:space="preserve"> Black CrowsDivus172.1 Unisex</v>
      </c>
      <c r="DO109" s="221" t="s">
        <v>324</v>
      </c>
    </row>
    <row r="110" spans="2:119" ht="15.6" customHeight="1">
      <c r="B110" s="219" t="b">
        <f t="array" ref="B110">IF(OR(ISERROR(K110:P110)),FALSE,TRUE)</f>
        <v>1</v>
      </c>
      <c r="C110" s="43" t="b">
        <f>OR(BR110=Driver!$G$50,Data!BR498=Driver!$H$50)</f>
        <v>1</v>
      </c>
      <c r="D110" s="43" t="b">
        <f>OR(BV110=Driver!$G$51,BV110=Driver!$H$51)</f>
        <v>0</v>
      </c>
      <c r="E110" s="43" t="b">
        <f>AND(BX110&gt;Driver!$F$54,BX110&lt;Driver!$G$54)</f>
        <v>0</v>
      </c>
      <c r="F110" s="43" t="b">
        <f>CL110&gt;Driver!$F$56</f>
        <v>1</v>
      </c>
      <c r="G110" s="43" t="b">
        <f>AND(CB110&gt;Driver!$F$55,CB110&lt;Driver!$G$55)</f>
        <v>1</v>
      </c>
      <c r="H110" s="43" t="b">
        <f t="shared" si="37"/>
        <v>0</v>
      </c>
      <c r="I110" s="43">
        <f t="shared" si="38"/>
        <v>0</v>
      </c>
      <c r="J110" s="43" t="b">
        <f t="array" ref="J110">NOT(OR(($H$9:$H$1273=TRUE)*($I$9:$I$1273&gt;0)*($BT$9:$BT$1273=BT110)*($K$9:$K$1273&gt;K110)))</f>
        <v>1</v>
      </c>
      <c r="K110" s="72">
        <f t="shared" si="39"/>
        <v>0.81648106628854245</v>
      </c>
      <c r="L110" s="72">
        <f t="shared" si="40"/>
        <v>0.85828032298828427</v>
      </c>
      <c r="M110" s="72">
        <f t="shared" si="41"/>
        <v>0.77468180958880051</v>
      </c>
      <c r="N110" s="72">
        <f t="shared" si="42"/>
        <v>0.71637188437329646</v>
      </c>
      <c r="O110" s="72">
        <f t="shared" si="43"/>
        <v>0.68229400439145016</v>
      </c>
      <c r="P110" s="72">
        <f t="shared" si="44"/>
        <v>0.92537954000165468</v>
      </c>
      <c r="Q110" s="72"/>
      <c r="R110" s="72"/>
      <c r="S110" s="72">
        <f t="shared" si="45"/>
        <v>0.47854354293458035</v>
      </c>
      <c r="T110" s="72">
        <f t="shared" si="46"/>
        <v>0.48095879273273345</v>
      </c>
      <c r="U110" s="72">
        <f t="shared" si="47"/>
        <v>0.60511663754567269</v>
      </c>
      <c r="V110" s="72">
        <f t="shared" si="48"/>
        <v>0.54271043054037205</v>
      </c>
      <c r="W110" s="72">
        <f t="shared" si="49"/>
        <v>0.79248407643312102</v>
      </c>
      <c r="X110" s="72">
        <f t="shared" si="50"/>
        <v>0.14171967701171573</v>
      </c>
      <c r="Y110" s="72">
        <f t="shared" si="51"/>
        <v>0.22531819041119952</v>
      </c>
      <c r="Z110" s="72">
        <f t="shared" si="52"/>
        <v>0.28362811562670354</v>
      </c>
      <c r="AA110" s="72">
        <f t="shared" si="53"/>
        <v>0.31770599560854984</v>
      </c>
      <c r="AB110" s="72">
        <f t="shared" si="54"/>
        <v>7.4620459998345268E-2</v>
      </c>
      <c r="AC110" s="72"/>
      <c r="AD110" s="72"/>
      <c r="AE110" s="72">
        <f t="shared" si="55"/>
        <v>0.52145645706541965</v>
      </c>
      <c r="AF110" s="72">
        <f t="shared" si="56"/>
        <v>0.51904120726726655</v>
      </c>
      <c r="AG110" s="72">
        <f t="shared" si="57"/>
        <v>0.39488336245432731</v>
      </c>
      <c r="AH110" s="72">
        <f t="shared" si="58"/>
        <v>0.45728956945962801</v>
      </c>
      <c r="AI110" s="72">
        <f t="shared" si="59"/>
        <v>0.20751592356687898</v>
      </c>
      <c r="AJ110" s="72">
        <f>(AV110-Driver!$K$179)/(Driver!$L$179-Driver!$K$179)</f>
        <v>0.39593908629441615</v>
      </c>
      <c r="AK110" s="72">
        <f>(AW110-Driver!$K$180)/(Driver!$L$180-Driver!$K$180)</f>
        <v>0.33578200836828864</v>
      </c>
      <c r="AL110" s="72">
        <f>(AX110-Driver!$K$181)/(Driver!$L$181-Driver!$K$181)</f>
        <v>0.38531587933978373</v>
      </c>
      <c r="AM110" s="72">
        <f>(AY110-Driver!$K$182)/(Driver!$L$182-Driver!$K$182)</f>
        <v>0.12967902548849652</v>
      </c>
      <c r="AN110" s="72">
        <f>(AZ110-Driver!$K$183)/(Driver!$L$183-Driver!$K$183)</f>
        <v>0.32883986928104569</v>
      </c>
      <c r="AO110" s="72"/>
      <c r="AP110" s="72"/>
      <c r="AQ110" s="72">
        <f>(BC110-Driver!$K$188)/(Driver!$L$188-Driver!$K$188)</f>
        <v>9.85435429345803E-2</v>
      </c>
      <c r="AR110" s="72">
        <f>MIN((BD110-Driver!$K$189)/(Driver!$L$189-Driver!$K$189),100%)</f>
        <v>3.0958792732733456E-2</v>
      </c>
      <c r="AS110" s="72">
        <f>(BE110-Driver!$K$190)/(Driver!$L$190-Driver!$K$190)</f>
        <v>0.11511663754567268</v>
      </c>
      <c r="AT110" s="72">
        <f>(BF110-Driver!$K$191)/(Driver!$L$191-Driver!$K$191)</f>
        <v>5.2710430540372021E-2</v>
      </c>
      <c r="AU110" s="72">
        <f>(BG110-Driver!$K$192)/(Driver!$L$192-Driver!$K$192)</f>
        <v>4.2484076433121014E-2</v>
      </c>
      <c r="AV110" s="70">
        <f t="shared" si="60"/>
        <v>8.3333333333333321</v>
      </c>
      <c r="AW110" s="70">
        <f t="shared" si="61"/>
        <v>34.596824668217778</v>
      </c>
      <c r="AX110" s="70">
        <f t="shared" si="62"/>
        <v>4.4678429140580533</v>
      </c>
      <c r="AY110" s="70">
        <f>IFERROR(Driver!$K$19/Data!BH110/Data!BI110*Data!BK110*Data!BL110,"")</f>
        <v>0.15876581968467646</v>
      </c>
      <c r="AZ110" s="70">
        <f t="shared" si="63"/>
        <v>29.97021593447505</v>
      </c>
      <c r="BA110" s="70"/>
      <c r="BB110" s="70"/>
      <c r="BC110" s="70">
        <f t="shared" si="64"/>
        <v>51.1152207837631</v>
      </c>
      <c r="BD110" s="70">
        <f t="shared" si="65"/>
        <v>4.4606211852098996</v>
      </c>
      <c r="BE110" s="70">
        <f t="shared" si="66"/>
        <v>0.11527449077774805</v>
      </c>
      <c r="BF110" s="70">
        <f t="shared" si="67"/>
        <v>5.95327281780229</v>
      </c>
      <c r="BG110" s="70">
        <f t="shared" si="68"/>
        <v>0.1608718152866242</v>
      </c>
      <c r="BH110" s="67">
        <f>MAX((CE110-Driver!$F$200)/(Driver!$G$200-Driver!$F$200)*$BI$1,1)</f>
        <v>4.4678429140580533</v>
      </c>
      <c r="BI110" s="67">
        <f>MAX($BI$1*(BY110-Driver!$F$201)/(Driver!$G$201-Driver!$F$201),1)</f>
        <v>7.2784810126582276</v>
      </c>
      <c r="BJ110" s="67">
        <f>(CB110-Driver!$F$206)/(Driver!$G$206-Driver!$F$206)*$BI$1</f>
        <v>6.6666666666666661</v>
      </c>
      <c r="BK110" s="67">
        <f>(CD110-Driver!$F$203)/(Driver!$G$203-Driver!$F$203)*$BI$1</f>
        <v>4.4036697247706424</v>
      </c>
      <c r="BL110" s="67">
        <f>MAX((CR110-Driver!$F$202)/(Driver!$G$202-Driver!$F$202)*$BI$1,1)</f>
        <v>5.8620689655172411</v>
      </c>
      <c r="BM110" s="67">
        <f>MAX((CH110-Driver!$F$204)/(Driver!$G$204-Driver!$F$204)*$BI$1,1)</f>
        <v>5</v>
      </c>
      <c r="BN110" s="67">
        <f>(CI110-Driver!$F$205)/(Driver!$G$205-Driver!$F$205)*$BI$1</f>
        <v>4.117647058823529</v>
      </c>
      <c r="BO110" s="67">
        <f>(CK110-Driver!$F$207)/(Driver!$G$207-Driver!$F$207)*$BI$1</f>
        <v>1.923474663908997</v>
      </c>
      <c r="BP110" s="67">
        <f>(CM110-Driver!$F$208)/(Driver!$G$208-Driver!$F$208)*$BI$1</f>
        <v>2.0444444444444447</v>
      </c>
      <c r="BQ110" s="67">
        <f>(CL110-Driver!$F$209)/(Driver!$G$209-Driver!$F$209)*$BI$1</f>
        <v>3.59375</v>
      </c>
      <c r="BR110" s="28" t="s">
        <v>155</v>
      </c>
      <c r="BS110" s="8" t="s">
        <v>205</v>
      </c>
      <c r="BT110" s="9" t="s">
        <v>325</v>
      </c>
      <c r="BU110" s="10">
        <v>172</v>
      </c>
      <c r="BV110" s="9" t="s">
        <v>163</v>
      </c>
      <c r="BW110" s="10">
        <v>172</v>
      </c>
      <c r="BX110" s="10">
        <v>170.6</v>
      </c>
      <c r="BY110" s="10">
        <v>123</v>
      </c>
      <c r="BZ110" s="10">
        <v>139</v>
      </c>
      <c r="CA110" s="10">
        <v>134</v>
      </c>
      <c r="CB110" s="10">
        <v>106</v>
      </c>
      <c r="CC110" s="10">
        <v>124</v>
      </c>
      <c r="CD110" s="10">
        <v>19</v>
      </c>
      <c r="CE110" s="10">
        <v>1685</v>
      </c>
      <c r="CF110" s="10">
        <v>1.1599999999999999</v>
      </c>
      <c r="CG110" s="10">
        <v>1962</v>
      </c>
      <c r="CH110" s="10">
        <v>218</v>
      </c>
      <c r="CI110" s="10">
        <v>103</v>
      </c>
      <c r="CJ110" s="10">
        <v>55</v>
      </c>
      <c r="CK110" s="10">
        <v>296</v>
      </c>
      <c r="CL110" s="10">
        <v>23</v>
      </c>
      <c r="CM110" s="10">
        <v>184</v>
      </c>
      <c r="CN110" s="10">
        <v>0.41899999999999998</v>
      </c>
      <c r="CO110" s="10">
        <v>194</v>
      </c>
      <c r="CP110" s="10">
        <v>121</v>
      </c>
      <c r="CQ110" s="10">
        <v>102</v>
      </c>
      <c r="CR110" s="10">
        <v>6</v>
      </c>
      <c r="CS110" s="10">
        <v>11.1</v>
      </c>
      <c r="CT110" s="9" t="s">
        <v>169</v>
      </c>
      <c r="CU110" s="9" t="s">
        <v>185</v>
      </c>
      <c r="CV110" s="10"/>
      <c r="CW110" s="10"/>
      <c r="CX110" t="str">
        <f>INDEX('Data_Price '!AG$2:AG$1266,MATCH(Data!$DN110,'Data_Price '!$AT$2:$AT$1266,0))</f>
        <v>Faction Dictator 3.0 Skis</v>
      </c>
      <c r="CY110" t="str">
        <f>INDEX('Data_Price '!AH$2:AH$1266,MATCH(Data!$DN110,'Data_Price '!$AT$2:$AT$1266,0))</f>
        <v>Snowcountry.eu</v>
      </c>
      <c r="CZ110">
        <f>INDEX('Data_Price '!AI$2:AI$1266,MATCH(Data!$DN110,'Data_Price '!$AT$2:$AT$1266,0))</f>
        <v>460.11</v>
      </c>
      <c r="DA110" t="str">
        <f>INDEX('Data_Price '!AJ$2:AJ$1266,MATCH(Data!$DN110,'Data_Price '!$AT$2:$AT$1266,0))</f>
        <v>https://tinyurl.com/y9efkecq</v>
      </c>
      <c r="DB110" t="str">
        <f>INDEX('Data_Price '!AK$2:AK$1266,MATCH(Data!$DN110,'Data_Price '!$AT$2:$AT$1266,0))</f>
        <v>Faction Dictator 3.0 Skis</v>
      </c>
      <c r="DC110" t="str">
        <f>INDEX('Data_Price '!AL$2:AL$1266,MATCH(Data!$DN110,'Data_Price '!$AT$2:$AT$1266,0))</f>
        <v>Aspen Ski and Board</v>
      </c>
      <c r="DD110">
        <f>INDEX('Data_Price '!AM$2:AM$1266,MATCH(Data!$DN110,'Data_Price '!$AT$2:$AT$1266,0))</f>
        <v>575.20000000000005</v>
      </c>
      <c r="DE110" t="str">
        <f>INDEX('Data_Price '!AN$2:AN$1266,MATCH(Data!$DN110,'Data_Price '!$AT$2:$AT$1266,0))</f>
        <v>https://tinyurl.com/yclq2e2y</v>
      </c>
      <c r="DF110" t="str">
        <f>INDEX('Data_Price '!AO$2:AO$1266,MATCH(Data!$DN110,'Data_Price '!$AT$2:$AT$1266,0))</f>
        <v>Faction Dictator 3.0 Skis</v>
      </c>
      <c r="DG110" t="str">
        <f>INDEX('Data_Price '!AP$2:AP$1266,MATCH(Data!$DN110,'Data_Price '!$AT$2:$AT$1266,0))</f>
        <v>Saint Bernard</v>
      </c>
      <c r="DH110">
        <f>INDEX('Data_Price '!AQ$2:AQ$1266,MATCH(Data!$DN110,'Data_Price '!$AT$2:$AT$1266,0))</f>
        <v>575.9</v>
      </c>
      <c r="DI110" t="str">
        <f>INDEX('Data_Price '!AR$2:AR$1266,MATCH(Data!$DN110,'Data_Price '!$AT$2:$AT$1266,0))</f>
        <v>https://tinyurl.com/y7codxg6</v>
      </c>
      <c r="DJ110" s="89" t="str">
        <f t="shared" si="69"/>
        <v>https://tinyurl.com/y9efkecq</v>
      </c>
      <c r="DK110" s="89" t="str">
        <f t="shared" si="70"/>
        <v>https://tinyurl.com/yclq2e2y</v>
      </c>
      <c r="DL110" s="89" t="str">
        <f t="shared" si="71"/>
        <v>https://tinyurl.com/y7codxg6</v>
      </c>
      <c r="DM110" s="219" t="str">
        <f t="shared" si="72"/>
        <v>Agent 3.0 X</v>
      </c>
      <c r="DN110" s="89" t="str">
        <f t="shared" si="73"/>
        <v xml:space="preserve"> FactionAgent 3.0 X172 Women's</v>
      </c>
      <c r="DO110" s="221"/>
    </row>
    <row r="111" spans="2:119" ht="15.6" customHeight="1">
      <c r="B111" s="219" t="b">
        <f t="array" ref="B111">IF(OR(ISERROR(K111:P111)),FALSE,TRUE)</f>
        <v>1</v>
      </c>
      <c r="C111" s="43" t="b">
        <f>OR(BR111=Driver!$G$50,Data!BR573=Driver!$H$50)</f>
        <v>1</v>
      </c>
      <c r="D111" s="43" t="b">
        <f>OR(BV111=Driver!$G$51,BV111=Driver!$H$51)</f>
        <v>1</v>
      </c>
      <c r="E111" s="43" t="b">
        <f>AND(BX111&gt;Driver!$F$54,BX111&lt;Driver!$G$54)</f>
        <v>0</v>
      </c>
      <c r="F111" s="43" t="b">
        <f>CL111&gt;Driver!$F$56</f>
        <v>1</v>
      </c>
      <c r="G111" s="43" t="b">
        <f>AND(CB111&gt;Driver!$F$55,CB111&lt;Driver!$G$55)</f>
        <v>0</v>
      </c>
      <c r="H111" s="43" t="b">
        <f t="shared" si="37"/>
        <v>0</v>
      </c>
      <c r="I111" s="43">
        <f t="shared" si="38"/>
        <v>0</v>
      </c>
      <c r="J111" s="43" t="b">
        <f t="array" ref="J111">NOT(OR(($H$9:$H$1273=TRUE)*($I$9:$I$1273&gt;0)*($BT$9:$BT$1273=BT111)*($K$9:$K$1273&gt;K111)))</f>
        <v>1</v>
      </c>
      <c r="K111" s="72">
        <f t="shared" si="39"/>
        <v>0.87233241387369942</v>
      </c>
      <c r="L111" s="72">
        <f t="shared" si="40"/>
        <v>0.99928427109883122</v>
      </c>
      <c r="M111" s="72">
        <f t="shared" si="41"/>
        <v>0.74538055664856739</v>
      </c>
      <c r="N111" s="72">
        <f t="shared" si="42"/>
        <v>0.72143101293840117</v>
      </c>
      <c r="O111" s="72">
        <f t="shared" si="43"/>
        <v>0.6322232738683915</v>
      </c>
      <c r="P111" s="72">
        <f t="shared" si="44"/>
        <v>0.88248738313890973</v>
      </c>
      <c r="Q111" s="72"/>
      <c r="R111" s="72"/>
      <c r="S111" s="72">
        <f t="shared" si="45"/>
        <v>0.46384942571858434</v>
      </c>
      <c r="T111" s="72">
        <f t="shared" si="46"/>
        <v>0.56199296016944378</v>
      </c>
      <c r="U111" s="72">
        <f t="shared" si="47"/>
        <v>0.90168450956698354</v>
      </c>
      <c r="V111" s="72">
        <f t="shared" si="48"/>
        <v>0.50911092986430584</v>
      </c>
      <c r="W111" s="72">
        <f t="shared" si="49"/>
        <v>0.79250862746437967</v>
      </c>
      <c r="X111" s="72">
        <f t="shared" si="50"/>
        <v>7.1572890116872179E-4</v>
      </c>
      <c r="Y111" s="72">
        <f t="shared" si="51"/>
        <v>0.25461944335143255</v>
      </c>
      <c r="Z111" s="72">
        <f t="shared" si="52"/>
        <v>0.27856898706159883</v>
      </c>
      <c r="AA111" s="72">
        <f t="shared" si="53"/>
        <v>0.36777672613160856</v>
      </c>
      <c r="AB111" s="72">
        <f t="shared" si="54"/>
        <v>0.11751261686109032</v>
      </c>
      <c r="AC111" s="72"/>
      <c r="AD111" s="72"/>
      <c r="AE111" s="72">
        <f t="shared" si="55"/>
        <v>0.53615057428141566</v>
      </c>
      <c r="AF111" s="72">
        <f t="shared" si="56"/>
        <v>0.43800703983055617</v>
      </c>
      <c r="AG111" s="72">
        <f t="shared" si="57"/>
        <v>9.8315490433016461E-2</v>
      </c>
      <c r="AH111" s="72">
        <f t="shared" si="58"/>
        <v>0.49088907013569416</v>
      </c>
      <c r="AI111" s="72">
        <f t="shared" si="59"/>
        <v>0.20749137253562033</v>
      </c>
      <c r="AJ111" s="72">
        <f>(AV111-Driver!$K$179)/(Driver!$L$179-Driver!$K$179)</f>
        <v>0.25493513818386915</v>
      </c>
      <c r="AK111" s="72">
        <f>(AW111-Driver!$K$180)/(Driver!$L$180-Driver!$K$180)</f>
        <v>0.37479667459843596</v>
      </c>
      <c r="AL111" s="72">
        <f>(AX111-Driver!$K$181)/(Driver!$L$181-Driver!$K$181)</f>
        <v>0.38025675077467902</v>
      </c>
      <c r="AM111" s="72">
        <f>(AY111-Driver!$K$182)/(Driver!$L$182-Driver!$K$182)</f>
        <v>7.9608294965437809E-2</v>
      </c>
      <c r="AN111" s="72">
        <f>(AZ111-Driver!$K$183)/(Driver!$L$183-Driver!$K$183)</f>
        <v>0.37173202614379075</v>
      </c>
      <c r="AO111" s="72"/>
      <c r="AP111" s="72"/>
      <c r="AQ111" s="72">
        <f>(BC111-Driver!$K$188)/(Driver!$L$188-Driver!$K$188)</f>
        <v>8.3849425718584322E-2</v>
      </c>
      <c r="AR111" s="72">
        <f>MIN((BD111-Driver!$K$189)/(Driver!$L$189-Driver!$K$189),100%)</f>
        <v>0.11199296016944389</v>
      </c>
      <c r="AS111" s="72">
        <f>(BE111-Driver!$K$190)/(Driver!$L$190-Driver!$K$190)</f>
        <v>0.41168450956698355</v>
      </c>
      <c r="AT111" s="72">
        <f>(BF111-Driver!$K$191)/(Driver!$L$191-Driver!$K$191)</f>
        <v>1.9110929864305844E-2</v>
      </c>
      <c r="AU111" s="72">
        <f>(BG111-Driver!$K$192)/(Driver!$L$192-Driver!$K$192)</f>
        <v>4.2508627464379681E-2</v>
      </c>
      <c r="AV111" s="70">
        <f t="shared" si="60"/>
        <v>5.3656220322886989</v>
      </c>
      <c r="AW111" s="70">
        <f t="shared" si="61"/>
        <v>38.399149597456464</v>
      </c>
      <c r="AX111" s="70">
        <f t="shared" si="62"/>
        <v>4.4223107569721112</v>
      </c>
      <c r="AY111" s="70">
        <f>IFERROR(Driver!$K$19/Data!BH111/Data!BI111*Data!BK111*Data!BL111,"")</f>
        <v>9.7464305860383058E-2</v>
      </c>
      <c r="AZ111" s="70">
        <f t="shared" si="63"/>
        <v>33.87937453462397</v>
      </c>
      <c r="BA111" s="70"/>
      <c r="BB111" s="70"/>
      <c r="BC111" s="70">
        <f t="shared" si="64"/>
        <v>43.493280031980369</v>
      </c>
      <c r="BD111" s="70">
        <f t="shared" si="65"/>
        <v>11.63200141931039</v>
      </c>
      <c r="BE111" s="70">
        <f t="shared" si="66"/>
        <v>0.4117894584287039</v>
      </c>
      <c r="BF111" s="70">
        <f t="shared" si="67"/>
        <v>2.1584452662923557</v>
      </c>
      <c r="BG111" s="70">
        <f t="shared" si="68"/>
        <v>0.16096478115283427</v>
      </c>
      <c r="BH111" s="67">
        <f>MAX((CE111-Driver!$F$200)/(Driver!$G$200-Driver!$F$200)*$BI$1,1)</f>
        <v>4.4223107569721112</v>
      </c>
      <c r="BI111" s="67">
        <f>MAX($BI$1*(BY111-Driver!$F$201)/(Driver!$G$201-Driver!$F$201),1)</f>
        <v>8.2278481012658222</v>
      </c>
      <c r="BJ111" s="67">
        <f>(CB111-Driver!$F$206)/(Driver!$G$206-Driver!$F$206)*$BI$1</f>
        <v>4.4444444444444446</v>
      </c>
      <c r="BK111" s="67">
        <f>(CD111-Driver!$F$203)/(Driver!$G$203-Driver!$F$203)*$BI$1</f>
        <v>2.7064220183486243</v>
      </c>
      <c r="BL111" s="67">
        <f>MAX((CR111-Driver!$F$202)/(Driver!$G$202-Driver!$F$202)*$BI$1,1)</f>
        <v>6.5517241379310338</v>
      </c>
      <c r="BM111" s="67">
        <f>MAX((CH111-Driver!$F$204)/(Driver!$G$204-Driver!$F$204)*$BI$1,1)</f>
        <v>4.8290598290598288</v>
      </c>
      <c r="BN111" s="67">
        <f>(CI111-Driver!$F$205)/(Driver!$G$205-Driver!$F$205)*$BI$1</f>
        <v>4.117647058823529</v>
      </c>
      <c r="BO111" s="67">
        <f>(CK111-Driver!$F$207)/(Driver!$G$207-Driver!$F$207)*$BI$1</f>
        <v>0.96173733195449851</v>
      </c>
      <c r="BP111" s="67">
        <f>(CM111-Driver!$F$208)/(Driver!$G$208-Driver!$F$208)*$BI$1</f>
        <v>1.3666666666666667</v>
      </c>
      <c r="BQ111" s="67">
        <f>(CL111-Driver!$F$209)/(Driver!$G$209-Driver!$F$209)*$BI$1</f>
        <v>3.4375</v>
      </c>
      <c r="BR111" s="28" t="s">
        <v>155</v>
      </c>
      <c r="BS111" s="8" t="s">
        <v>245</v>
      </c>
      <c r="BT111" s="9" t="s">
        <v>326</v>
      </c>
      <c r="BU111" s="10">
        <v>172</v>
      </c>
      <c r="BV111" s="9" t="s">
        <v>158</v>
      </c>
      <c r="BW111" s="10">
        <v>172</v>
      </c>
      <c r="BX111" s="10">
        <v>170.6</v>
      </c>
      <c r="BY111" s="10">
        <v>138</v>
      </c>
      <c r="BZ111" s="10">
        <v>145</v>
      </c>
      <c r="CA111" s="10">
        <v>129</v>
      </c>
      <c r="CB111" s="10">
        <v>92</v>
      </c>
      <c r="CC111" s="10">
        <v>117</v>
      </c>
      <c r="CD111" s="10">
        <v>15.3</v>
      </c>
      <c r="CE111" s="10">
        <v>1677</v>
      </c>
      <c r="CF111" s="10">
        <v>1.06</v>
      </c>
      <c r="CG111" s="10">
        <v>1782</v>
      </c>
      <c r="CH111" s="10">
        <v>214</v>
      </c>
      <c r="CI111" s="10">
        <v>103</v>
      </c>
      <c r="CJ111" s="10">
        <v>56</v>
      </c>
      <c r="CK111" s="10">
        <v>203</v>
      </c>
      <c r="CL111" s="10">
        <v>22</v>
      </c>
      <c r="CM111" s="10">
        <v>123</v>
      </c>
      <c r="CN111" s="10">
        <v>0.39200000000000002</v>
      </c>
      <c r="CO111" s="10">
        <v>153</v>
      </c>
      <c r="CP111" s="10">
        <v>98</v>
      </c>
      <c r="CQ111" s="10">
        <v>50</v>
      </c>
      <c r="CR111" s="10">
        <v>8</v>
      </c>
      <c r="CS111" s="10">
        <v>10.9</v>
      </c>
      <c r="CT111" s="9" t="s">
        <v>188</v>
      </c>
      <c r="CU111" s="9" t="s">
        <v>185</v>
      </c>
      <c r="CV111" s="10"/>
      <c r="CW111" s="10"/>
      <c r="CX111" t="str">
        <f>INDEX('Data_Price '!AG$2:AG$1266,MATCH(Data!$DN111,'Data_Price '!$AT$2:$AT$1266,0))</f>
        <v>Fischer Ranger 90 FR Skis Â· 2022 Â· 172 cm</v>
      </c>
      <c r="CY111" t="str">
        <f>INDEX('Data_Price '!AH$2:AH$1266,MATCH(Data!$DN111,'Data_Price '!$AT$2:$AT$1266,0))</f>
        <v>! OutdoorXL.com</v>
      </c>
      <c r="CZ111">
        <f>INDEX('Data_Price '!AI$2:AI$1266,MATCH(Data!$DN111,'Data_Price '!$AT$2:$AT$1266,0))</f>
        <v>244.95</v>
      </c>
      <c r="DA111" t="str">
        <f>INDEX('Data_Price '!AJ$2:AJ$1266,MATCH(Data!$DN111,'Data_Price '!$AT$2:$AT$1266,0))</f>
        <v>https://tinyurl.com/yabyp4j8</v>
      </c>
      <c r="DB111" t="str">
        <f>INDEX('Data_Price '!AK$2:AK$1266,MATCH(Data!$DN111,'Data_Price '!$AT$2:$AT$1266,0))</f>
        <v xml:space="preserve"> 2017 Fischer Ranger 90 Ti Demo Ski with Bindings Size 172 (Option 210684)</v>
      </c>
      <c r="DC111" t="str">
        <f>INDEX('Data_Price '!AL$2:AL$1266,MATCH(Data!$DN111,'Data_Price '!$AT$2:$AT$1266,0))</f>
        <v>SidelineSwap</v>
      </c>
      <c r="DD111">
        <f>INDEX('Data_Price '!AM$2:AM$1266,MATCH(Data!$DN111,'Data_Price '!$AT$2:$AT$1266,0))</f>
        <v>329</v>
      </c>
      <c r="DE111" t="str">
        <f>INDEX('Data_Price '!AN$2:AN$1266,MATCH(Data!$DN111,'Data_Price '!$AT$2:$AT$1266,0))</f>
        <v>https://tinyurl.com/ydbgshyo</v>
      </c>
      <c r="DF111" t="str">
        <f>INDEX('Data_Price '!AO$2:AO$1266,MATCH(Data!$DN111,'Data_Price '!$AT$2:$AT$1266,0))</f>
        <v>Fischer My Ranger 89 Skis - Women's 2018</v>
      </c>
      <c r="DG111" t="str">
        <f>INDEX('Data_Price '!AP$2:AP$1266,MATCH(Data!$DN111,'Data_Price '!$AT$2:$AT$1266,0))</f>
        <v>Level Nine Sports</v>
      </c>
      <c r="DH111">
        <f>INDEX('Data_Price '!AQ$2:AQ$1266,MATCH(Data!$DN111,'Data_Price '!$AT$2:$AT$1266,0))</f>
        <v>299</v>
      </c>
      <c r="DI111" t="str">
        <f>INDEX('Data_Price '!AR$2:AR$1266,MATCH(Data!$DN111,'Data_Price '!$AT$2:$AT$1266,0))</f>
        <v>https://tinyurl.com/y7hkaejn</v>
      </c>
      <c r="DJ111" s="89" t="str">
        <f t="shared" si="69"/>
        <v>https://tinyurl.com/yabyp4j8</v>
      </c>
      <c r="DK111" s="89" t="str">
        <f t="shared" si="70"/>
        <v>https://tinyurl.com/ydbgshyo</v>
      </c>
      <c r="DL111" s="89" t="str">
        <f t="shared" si="71"/>
        <v>https://tinyurl.com/y7hkaejn</v>
      </c>
      <c r="DM111" s="219" t="str">
        <f t="shared" si="72"/>
        <v>Ranger 90 FR</v>
      </c>
      <c r="DN111" s="89" t="str">
        <f t="shared" si="73"/>
        <v xml:space="preserve"> FischerRanger 90 FR172 Unisex</v>
      </c>
      <c r="DO111" s="221"/>
    </row>
    <row r="112" spans="2:119" ht="15.6" customHeight="1">
      <c r="B112" s="219" t="b">
        <f t="array" ref="B112">IF(OR(ISERROR(K112:P112)),FALSE,TRUE)</f>
        <v>1</v>
      </c>
      <c r="C112" s="43" t="b">
        <f>OR(BR112=Driver!$G$50,Data!BR746=Driver!$H$50)</f>
        <v>1</v>
      </c>
      <c r="D112" s="43" t="b">
        <f>OR(BV112=Driver!$G$51,BV112=Driver!$H$51)</f>
        <v>1</v>
      </c>
      <c r="E112" s="43" t="b">
        <f>AND(BX112&gt;Driver!$F$54,BX112&lt;Driver!$G$54)</f>
        <v>0</v>
      </c>
      <c r="F112" s="43" t="b">
        <f>CL112&gt;Driver!$F$56</f>
        <v>1</v>
      </c>
      <c r="G112" s="43" t="b">
        <f>AND(CB112&gt;Driver!$F$55,CB112&lt;Driver!$G$55)</f>
        <v>0</v>
      </c>
      <c r="H112" s="43" t="b">
        <f t="shared" si="37"/>
        <v>0</v>
      </c>
      <c r="I112" s="43">
        <f t="shared" si="38"/>
        <v>0</v>
      </c>
      <c r="J112" s="43" t="b">
        <f t="array" ref="J112">NOT(OR(($H$9:$H$1273=TRUE)*($I$9:$I$1273&gt;0)*($BT$9:$BT$1273=BT112)*($K$9:$K$1273&gt;K112)))</f>
        <v>1</v>
      </c>
      <c r="K112" s="72">
        <f t="shared" si="39"/>
        <v>0.83813107479723581</v>
      </c>
      <c r="L112" s="72">
        <f t="shared" si="40"/>
        <v>0.91498532844995606</v>
      </c>
      <c r="M112" s="72">
        <f t="shared" si="41"/>
        <v>0.76127682114451556</v>
      </c>
      <c r="N112" s="72">
        <f t="shared" si="42"/>
        <v>0.69676776118351591</v>
      </c>
      <c r="O112" s="72">
        <f t="shared" si="43"/>
        <v>0.65637270473203635</v>
      </c>
      <c r="P112" s="72">
        <f t="shared" si="44"/>
        <v>0.93068999751799453</v>
      </c>
      <c r="Q112" s="72"/>
      <c r="R112" s="72"/>
      <c r="S112" s="72">
        <f t="shared" si="45"/>
        <v>0.48733830521127008</v>
      </c>
      <c r="T112" s="72">
        <f t="shared" si="46"/>
        <v>0.51324395982507776</v>
      </c>
      <c r="U112" s="72">
        <f t="shared" si="47"/>
        <v>0.88621883226070941</v>
      </c>
      <c r="V112" s="72">
        <f t="shared" si="48"/>
        <v>0.50808909688511328</v>
      </c>
      <c r="W112" s="72">
        <f t="shared" si="49"/>
        <v>0.7871257878151261</v>
      </c>
      <c r="X112" s="72">
        <f t="shared" si="50"/>
        <v>8.5014671550043941E-2</v>
      </c>
      <c r="Y112" s="72">
        <f t="shared" si="51"/>
        <v>0.23872317885548444</v>
      </c>
      <c r="Z112" s="72">
        <f t="shared" si="52"/>
        <v>0.30323223881648415</v>
      </c>
      <c r="AA112" s="72">
        <f t="shared" si="53"/>
        <v>0.34362729526796365</v>
      </c>
      <c r="AB112" s="72">
        <f t="shared" si="54"/>
        <v>6.9310002482005473E-2</v>
      </c>
      <c r="AC112" s="72"/>
      <c r="AD112" s="72"/>
      <c r="AE112" s="72">
        <f t="shared" si="55"/>
        <v>0.51266169478872992</v>
      </c>
      <c r="AF112" s="72">
        <f t="shared" si="56"/>
        <v>0.48675604017492219</v>
      </c>
      <c r="AG112" s="72">
        <f t="shared" si="57"/>
        <v>0.11378116773929053</v>
      </c>
      <c r="AH112" s="72">
        <f t="shared" si="58"/>
        <v>0.49191090311488672</v>
      </c>
      <c r="AI112" s="72">
        <f t="shared" si="59"/>
        <v>0.21287421218487396</v>
      </c>
      <c r="AJ112" s="72">
        <f>(AV112-Driver!$K$179)/(Driver!$L$179-Driver!$K$179)</f>
        <v>0.16920473773265648</v>
      </c>
      <c r="AK112" s="72">
        <f>(AW112-Driver!$K$180)/(Driver!$L$180-Driver!$K$180)</f>
        <v>0.33230064856286246</v>
      </c>
      <c r="AL112" s="72">
        <f>(AX112-Driver!$K$181)/(Driver!$L$181-Driver!$K$181)</f>
        <v>0.40492000252956434</v>
      </c>
      <c r="AM112" s="72">
        <f>(AY112-Driver!$K$182)/(Driver!$L$182-Driver!$K$182)</f>
        <v>0.10375772582908274</v>
      </c>
      <c r="AN112" s="72">
        <f>(AZ112-Driver!$K$183)/(Driver!$L$183-Driver!$K$183)</f>
        <v>0.3235294117647059</v>
      </c>
      <c r="AO112" s="72"/>
      <c r="AP112" s="72"/>
      <c r="AQ112" s="72">
        <f>(BC112-Driver!$K$188)/(Driver!$L$188-Driver!$K$188)</f>
        <v>0.10733830521127014</v>
      </c>
      <c r="AR112" s="72">
        <f>MIN((BD112-Driver!$K$189)/(Driver!$L$189-Driver!$K$189),100%)</f>
        <v>6.3243959825077842E-2</v>
      </c>
      <c r="AS112" s="72">
        <f>(BE112-Driver!$K$190)/(Driver!$L$190-Driver!$K$190)</f>
        <v>0.39621883226070947</v>
      </c>
      <c r="AT112" s="72">
        <f>(BF112-Driver!$K$191)/(Driver!$L$191-Driver!$K$191)</f>
        <v>1.8089096885113315E-2</v>
      </c>
      <c r="AU112" s="72">
        <f>(BG112-Driver!$K$192)/(Driver!$L$192-Driver!$K$192)</f>
        <v>3.7125787815126043E-2</v>
      </c>
      <c r="AV112" s="70">
        <f t="shared" si="60"/>
        <v>3.5612535612535612</v>
      </c>
      <c r="AW112" s="70">
        <f t="shared" si="61"/>
        <v>34.257535307193002</v>
      </c>
      <c r="AX112" s="70">
        <f t="shared" si="62"/>
        <v>4.644280022766079</v>
      </c>
      <c r="AY112" s="70">
        <f>IFERROR(Driver!$K$19/Data!BH112/Data!BI112*Data!BK112*Data!BL112,"")</f>
        <v>0.12703041473220772</v>
      </c>
      <c r="AZ112" s="70">
        <f t="shared" si="63"/>
        <v>29.486224869694716</v>
      </c>
      <c r="BA112" s="70"/>
      <c r="BB112" s="70"/>
      <c r="BC112" s="70">
        <f t="shared" si="64"/>
        <v>55.677125116877548</v>
      </c>
      <c r="BD112" s="70">
        <f t="shared" si="65"/>
        <v>7.317801266951343</v>
      </c>
      <c r="BE112" s="70">
        <f t="shared" si="66"/>
        <v>0.39632654002518763</v>
      </c>
      <c r="BF112" s="70">
        <f t="shared" si="67"/>
        <v>2.0430364100755289</v>
      </c>
      <c r="BG112" s="70">
        <f t="shared" si="68"/>
        <v>0.1405819163602941</v>
      </c>
      <c r="BH112" s="67">
        <f>MAX((CE112-Driver!$F$200)/(Driver!$G$200-Driver!$F$200)*$BI$1,1)</f>
        <v>4.644280022766079</v>
      </c>
      <c r="BI112" s="67">
        <f>MAX($BI$1*(BY112-Driver!$F$201)/(Driver!$G$201-Driver!$F$201),1)</f>
        <v>8.3544303797468356</v>
      </c>
      <c r="BJ112" s="67">
        <f>(CB112-Driver!$F$206)/(Driver!$G$206-Driver!$F$206)*$BI$1</f>
        <v>3.9682539682539679</v>
      </c>
      <c r="BK112" s="67">
        <f>(CD112-Driver!$F$203)/(Driver!$G$203-Driver!$F$203)*$BI$1</f>
        <v>3.7614678899082579</v>
      </c>
      <c r="BL112" s="67">
        <f>MAX((CR112-Driver!$F$202)/(Driver!$G$202-Driver!$F$202)*$BI$1,1)</f>
        <v>6.5517241379310338</v>
      </c>
      <c r="BM112" s="67">
        <f>MAX((CH112-Driver!$F$204)/(Driver!$G$204-Driver!$F$204)*$BI$1,1)</f>
        <v>3.5897435897435899</v>
      </c>
      <c r="BN112" s="67">
        <f>(CI112-Driver!$F$205)/(Driver!$G$205-Driver!$F$205)*$BI$1</f>
        <v>3.5294117647058827</v>
      </c>
      <c r="BO112" s="67">
        <f>(CK112-Driver!$F$207)/(Driver!$G$207-Driver!$F$207)*$BI$1</f>
        <v>1.0961737331954498</v>
      </c>
      <c r="BP112" s="67">
        <f>(CM112-Driver!$F$208)/(Driver!$G$208-Driver!$F$208)*$BI$1</f>
        <v>1.7666666666666666</v>
      </c>
      <c r="BQ112" s="67">
        <f>(CL112-Driver!$F$209)/(Driver!$G$209-Driver!$F$209)*$BI$1</f>
        <v>2.34375</v>
      </c>
      <c r="BR112" s="28" t="s">
        <v>155</v>
      </c>
      <c r="BS112" s="8" t="s">
        <v>262</v>
      </c>
      <c r="BT112" s="9" t="s">
        <v>327</v>
      </c>
      <c r="BU112" s="10">
        <v>177</v>
      </c>
      <c r="BV112" s="9" t="s">
        <v>158</v>
      </c>
      <c r="BW112" s="10">
        <v>177</v>
      </c>
      <c r="BX112" s="10">
        <v>177.4</v>
      </c>
      <c r="BY112" s="10">
        <v>140</v>
      </c>
      <c r="BZ112" s="10">
        <v>149</v>
      </c>
      <c r="CA112" s="10">
        <v>126</v>
      </c>
      <c r="CB112" s="10">
        <v>89</v>
      </c>
      <c r="CC112" s="10">
        <v>112</v>
      </c>
      <c r="CD112" s="10">
        <v>17.600000000000001</v>
      </c>
      <c r="CE112" s="10">
        <v>1716</v>
      </c>
      <c r="CF112" s="10">
        <v>1.05</v>
      </c>
      <c r="CG112" s="10">
        <v>1795</v>
      </c>
      <c r="CH112" s="10">
        <v>185</v>
      </c>
      <c r="CI112" s="10">
        <v>93</v>
      </c>
      <c r="CJ112" s="10">
        <v>46</v>
      </c>
      <c r="CK112" s="10">
        <v>216</v>
      </c>
      <c r="CL112" s="10">
        <v>15</v>
      </c>
      <c r="CM112" s="10">
        <v>159</v>
      </c>
      <c r="CN112" s="10">
        <v>0.318</v>
      </c>
      <c r="CO112" s="10">
        <v>166</v>
      </c>
      <c r="CP112" s="10">
        <v>119</v>
      </c>
      <c r="CQ112" s="10">
        <v>50</v>
      </c>
      <c r="CR112" s="10">
        <v>8</v>
      </c>
      <c r="CS112" s="10">
        <v>11</v>
      </c>
      <c r="CT112" s="9" t="s">
        <v>188</v>
      </c>
      <c r="CU112" s="10"/>
      <c r="CV112" s="10"/>
      <c r="CW112" s="10"/>
      <c r="CX112" t="e">
        <f>INDEX('Data_Price '!AG$2:AG$1266,MATCH(Data!$DN112,'Data_Price '!$AT$2:$AT$1266,0))</f>
        <v>#N/A</v>
      </c>
      <c r="CY112" t="e">
        <f>INDEX('Data_Price '!AH$2:AH$1266,MATCH(Data!$DN112,'Data_Price '!$AT$2:$AT$1266,0))</f>
        <v>#N/A</v>
      </c>
      <c r="CZ112" t="e">
        <f>INDEX('Data_Price '!AI$2:AI$1266,MATCH(Data!$DN112,'Data_Price '!$AT$2:$AT$1266,0))</f>
        <v>#N/A</v>
      </c>
      <c r="DA112" t="e">
        <f>INDEX('Data_Price '!AJ$2:AJ$1266,MATCH(Data!$DN112,'Data_Price '!$AT$2:$AT$1266,0))</f>
        <v>#N/A</v>
      </c>
      <c r="DB112" t="e">
        <f>INDEX('Data_Price '!AK$2:AK$1266,MATCH(Data!$DN112,'Data_Price '!$AT$2:$AT$1266,0))</f>
        <v>#N/A</v>
      </c>
      <c r="DC112" t="e">
        <f>INDEX('Data_Price '!AL$2:AL$1266,MATCH(Data!$DN112,'Data_Price '!$AT$2:$AT$1266,0))</f>
        <v>#N/A</v>
      </c>
      <c r="DD112" t="e">
        <f>INDEX('Data_Price '!AM$2:AM$1266,MATCH(Data!$DN112,'Data_Price '!$AT$2:$AT$1266,0))</f>
        <v>#N/A</v>
      </c>
      <c r="DE112" t="e">
        <f>INDEX('Data_Price '!AN$2:AN$1266,MATCH(Data!$DN112,'Data_Price '!$AT$2:$AT$1266,0))</f>
        <v>#N/A</v>
      </c>
      <c r="DF112" t="e">
        <f>INDEX('Data_Price '!AO$2:AO$1266,MATCH(Data!$DN112,'Data_Price '!$AT$2:$AT$1266,0))</f>
        <v>#N/A</v>
      </c>
      <c r="DG112" t="e">
        <f>INDEX('Data_Price '!AP$2:AP$1266,MATCH(Data!$DN112,'Data_Price '!$AT$2:$AT$1266,0))</f>
        <v>#N/A</v>
      </c>
      <c r="DH112" t="e">
        <f>INDEX('Data_Price '!AQ$2:AQ$1266,MATCH(Data!$DN112,'Data_Price '!$AT$2:$AT$1266,0))</f>
        <v>#N/A</v>
      </c>
      <c r="DI112" t="e">
        <f>INDEX('Data_Price '!AR$2:AR$1266,MATCH(Data!$DN112,'Data_Price '!$AT$2:$AT$1266,0))</f>
        <v>#N/A</v>
      </c>
      <c r="DJ112" s="89" t="e">
        <f t="shared" si="69"/>
        <v>#N/A</v>
      </c>
      <c r="DK112" s="89" t="e">
        <f t="shared" si="70"/>
        <v>#N/A</v>
      </c>
      <c r="DL112" s="89" t="e">
        <f t="shared" si="71"/>
        <v>#N/A</v>
      </c>
      <c r="DM112" s="219" t="str">
        <f t="shared" si="72"/>
        <v>Mindbender 90C</v>
      </c>
      <c r="DN112" s="89" t="str">
        <f t="shared" si="73"/>
        <v xml:space="preserve"> K2Mindbender 90C177 Unisex</v>
      </c>
      <c r="DO112" s="221" t="s">
        <v>328</v>
      </c>
    </row>
    <row r="113" spans="2:119" ht="15.6" customHeight="1">
      <c r="B113" s="219" t="b">
        <f t="array" ref="B113">IF(OR(ISERROR(K113:P113)),FALSE,TRUE)</f>
        <v>1</v>
      </c>
      <c r="C113" s="43" t="b">
        <f>OR(BR113=Driver!$G$50,Data!BR363=Driver!$H$50)</f>
        <v>1</v>
      </c>
      <c r="D113" s="43" t="b">
        <f>OR(BV113=Driver!$G$51,BV113=Driver!$H$51)</f>
        <v>1</v>
      </c>
      <c r="E113" s="43" t="b">
        <f>AND(BX113&gt;Driver!$F$54,BX113&lt;Driver!$G$54)</f>
        <v>0</v>
      </c>
      <c r="F113" s="43" t="b">
        <f>CL113&gt;Driver!$F$56</f>
        <v>1</v>
      </c>
      <c r="G113" s="43" t="b">
        <f>AND(CB113&gt;Driver!$F$55,CB113&lt;Driver!$G$55)</f>
        <v>1</v>
      </c>
      <c r="H113" s="43" t="b">
        <f t="shared" si="37"/>
        <v>0</v>
      </c>
      <c r="I113" s="43">
        <f t="shared" si="38"/>
        <v>0</v>
      </c>
      <c r="J113" s="43" t="b">
        <f t="array" ref="J113">NOT(OR(($H$9:$H$1273=TRUE)*($I$9:$I$1273&gt;0)*($BT$9:$BT$1273=BT113)*($K$9:$K$1273&gt;K113)))</f>
        <v>1</v>
      </c>
      <c r="K113" s="72">
        <f t="shared" si="39"/>
        <v>0.86056675562481355</v>
      </c>
      <c r="L113" s="72">
        <f t="shared" si="40"/>
        <v>0.8908320915806619</v>
      </c>
      <c r="M113" s="72">
        <f t="shared" si="41"/>
        <v>0.83030141966896531</v>
      </c>
      <c r="N113" s="72">
        <f t="shared" si="42"/>
        <v>0.80933337175709452</v>
      </c>
      <c r="O113" s="72">
        <f t="shared" si="43"/>
        <v>0.70790703352265649</v>
      </c>
      <c r="P113" s="72">
        <f t="shared" si="44"/>
        <v>0.97366385372714492</v>
      </c>
      <c r="Q113" s="72"/>
      <c r="R113" s="72"/>
      <c r="S113" s="72">
        <f t="shared" si="45"/>
        <v>0.46243412090253999</v>
      </c>
      <c r="T113" s="72">
        <f t="shared" si="46"/>
        <v>0.46649003768302644</v>
      </c>
      <c r="U113" s="72">
        <f t="shared" si="47"/>
        <v>0.59370458601919529</v>
      </c>
      <c r="V113" s="72">
        <f t="shared" si="48"/>
        <v>0.58767753357024377</v>
      </c>
      <c r="W113" s="72">
        <f t="shared" si="49"/>
        <v>0.78626033057851241</v>
      </c>
      <c r="X113" s="72">
        <f t="shared" si="50"/>
        <v>0.1091679084193381</v>
      </c>
      <c r="Y113" s="72">
        <f t="shared" si="51"/>
        <v>0.16969858033103469</v>
      </c>
      <c r="Z113" s="72">
        <f t="shared" si="52"/>
        <v>0.19066662824290542</v>
      </c>
      <c r="AA113" s="72">
        <f t="shared" si="53"/>
        <v>0.29209296647734351</v>
      </c>
      <c r="AB113" s="72">
        <f t="shared" si="54"/>
        <v>2.6336146272855132E-2</v>
      </c>
      <c r="AC113" s="72"/>
      <c r="AD113" s="72"/>
      <c r="AE113" s="72">
        <f t="shared" si="55"/>
        <v>0.53756587909746001</v>
      </c>
      <c r="AF113" s="72">
        <f t="shared" si="56"/>
        <v>0.53350996231697356</v>
      </c>
      <c r="AG113" s="72">
        <f t="shared" si="57"/>
        <v>0.40629541398080471</v>
      </c>
      <c r="AH113" s="72">
        <f t="shared" si="58"/>
        <v>0.41232246642975623</v>
      </c>
      <c r="AI113" s="72">
        <f t="shared" si="59"/>
        <v>0.21373966942148762</v>
      </c>
      <c r="AJ113" s="72">
        <f>(AV113-Driver!$K$179)/(Driver!$L$179-Driver!$K$179)</f>
        <v>0.36338731770203853</v>
      </c>
      <c r="AK113" s="72">
        <f>(AW113-Driver!$K$180)/(Driver!$L$180-Driver!$K$180)</f>
        <v>0.28236571528043558</v>
      </c>
      <c r="AL113" s="72">
        <f>(AX113-Driver!$K$181)/(Driver!$L$181-Driver!$K$181)</f>
        <v>0.29235439195598562</v>
      </c>
      <c r="AM113" s="72">
        <f>(AY113-Driver!$K$182)/(Driver!$L$182-Driver!$K$182)</f>
        <v>0.15529205461970283</v>
      </c>
      <c r="AN113" s="72">
        <f>(AZ113-Driver!$K$183)/(Driver!$L$183-Driver!$K$183)</f>
        <v>0.28055555555555556</v>
      </c>
      <c r="AO113" s="72"/>
      <c r="AP113" s="72"/>
      <c r="AQ113" s="72">
        <f>(BC113-Driver!$K$188)/(Driver!$L$188-Driver!$K$188)</f>
        <v>8.2434120902539959E-2</v>
      </c>
      <c r="AR113" s="72">
        <f>MIN((BD113-Driver!$K$189)/(Driver!$L$189-Driver!$K$189),100%)</f>
        <v>1.6490037683026471E-2</v>
      </c>
      <c r="AS113" s="72">
        <f>(BE113-Driver!$K$190)/(Driver!$L$190-Driver!$K$190)</f>
        <v>0.10370458601919531</v>
      </c>
      <c r="AT113" s="72">
        <f>(BF113-Driver!$K$191)/(Driver!$L$191-Driver!$K$191)</f>
        <v>9.7677533570243766E-2</v>
      </c>
      <c r="AU113" s="72">
        <f>(BG113-Driver!$K$192)/(Driver!$L$192-Driver!$K$192)</f>
        <v>3.6260330578512391E-2</v>
      </c>
      <c r="AV113" s="70">
        <f t="shared" si="60"/>
        <v>7.6482159815493151</v>
      </c>
      <c r="AW113" s="70">
        <f t="shared" si="61"/>
        <v>29.390933590300001</v>
      </c>
      <c r="AX113" s="70">
        <f t="shared" si="62"/>
        <v>3.6311895276038704</v>
      </c>
      <c r="AY113" s="70">
        <f>IFERROR(Driver!$K$19/Data!BH113/Data!BI113*Data!BK113*Data!BL113,"")</f>
        <v>0.19012380953157113</v>
      </c>
      <c r="AZ113" s="70">
        <f t="shared" si="63"/>
        <v>25.569620253164558</v>
      </c>
      <c r="BA113" s="70"/>
      <c r="BB113" s="70"/>
      <c r="BC113" s="70">
        <f t="shared" si="64"/>
        <v>42.759151584858699</v>
      </c>
      <c r="BD113" s="70">
        <f t="shared" si="65"/>
        <v>3.1801620004277518</v>
      </c>
      <c r="BE113" s="70">
        <f t="shared" si="66"/>
        <v>0.10386447503281489</v>
      </c>
      <c r="BF113" s="70">
        <f t="shared" si="67"/>
        <v>11.031991193248158</v>
      </c>
      <c r="BG113" s="70">
        <f t="shared" si="68"/>
        <v>0.13730474316044455</v>
      </c>
      <c r="BH113" s="67">
        <f>MAX((CE113-Driver!$F$200)/(Driver!$G$200-Driver!$F$200)*$BI$1,1)</f>
        <v>3.6311895276038704</v>
      </c>
      <c r="BI113" s="67">
        <f>MAX($BI$1*(BY113-Driver!$F$201)/(Driver!$G$201-Driver!$F$201),1)</f>
        <v>6.3924050632911396</v>
      </c>
      <c r="BJ113" s="67">
        <f>(CB113-Driver!$F$206)/(Driver!$G$206-Driver!$F$206)*$BI$1</f>
        <v>6.5079365079365079</v>
      </c>
      <c r="BK113" s="67">
        <f>(CD113-Driver!$F$203)/(Driver!$G$203-Driver!$F$203)*$BI$1</f>
        <v>4.2660550458715596</v>
      </c>
      <c r="BL113" s="67">
        <f>MAX((CR113-Driver!$F$202)/(Driver!$G$202-Driver!$F$202)*$BI$1,1)</f>
        <v>5.1724137931034484</v>
      </c>
      <c r="BM113" s="67">
        <f>MAX((CH113-Driver!$F$204)/(Driver!$G$204-Driver!$F$204)*$BI$1,1)</f>
        <v>4.700854700854701</v>
      </c>
      <c r="BN113" s="67">
        <f>(CI113-Driver!$F$205)/(Driver!$G$205-Driver!$F$205)*$BI$1</f>
        <v>4</v>
      </c>
      <c r="BO113" s="67">
        <f>(CK113-Driver!$F$207)/(Driver!$G$207-Driver!$F$207)*$BI$1</f>
        <v>3.4436401240951398</v>
      </c>
      <c r="BP113" s="67">
        <f>(CM113-Driver!$F$208)/(Driver!$G$208-Driver!$F$208)*$BI$1</f>
        <v>2.1</v>
      </c>
      <c r="BQ113" s="67">
        <f>(CL113-Driver!$F$209)/(Driver!$G$209-Driver!$F$209)*$BI$1</f>
        <v>2.34375</v>
      </c>
      <c r="BR113" s="28" t="s">
        <v>155</v>
      </c>
      <c r="BS113" s="8" t="s">
        <v>329</v>
      </c>
      <c r="BT113" s="9" t="s">
        <v>330</v>
      </c>
      <c r="BU113" s="10">
        <v>173</v>
      </c>
      <c r="BV113" s="9" t="s">
        <v>158</v>
      </c>
      <c r="BW113" s="10">
        <v>173</v>
      </c>
      <c r="BX113" s="10">
        <v>171.8</v>
      </c>
      <c r="BY113" s="10">
        <v>109</v>
      </c>
      <c r="BZ113" s="10">
        <v>137</v>
      </c>
      <c r="CA113" s="10">
        <v>133</v>
      </c>
      <c r="CB113" s="10">
        <v>105</v>
      </c>
      <c r="CC113" s="10">
        <v>123</v>
      </c>
      <c r="CD113" s="10">
        <v>18.7</v>
      </c>
      <c r="CE113" s="10">
        <v>1538</v>
      </c>
      <c r="CF113" s="10">
        <v>1.28</v>
      </c>
      <c r="CG113" s="10">
        <v>1962</v>
      </c>
      <c r="CH113" s="10">
        <v>211</v>
      </c>
      <c r="CI113" s="10">
        <v>101</v>
      </c>
      <c r="CJ113" s="10">
        <v>70</v>
      </c>
      <c r="CK113" s="10">
        <v>443</v>
      </c>
      <c r="CL113" s="10">
        <v>15</v>
      </c>
      <c r="CM113" s="10">
        <v>189</v>
      </c>
      <c r="CN113" s="10">
        <v>0.214</v>
      </c>
      <c r="CO113" s="10">
        <v>198</v>
      </c>
      <c r="CP113" s="10">
        <v>150</v>
      </c>
      <c r="CQ113" s="10">
        <v>244</v>
      </c>
      <c r="CR113" s="10">
        <v>4</v>
      </c>
      <c r="CS113" s="10">
        <v>8</v>
      </c>
      <c r="CT113" s="9" t="s">
        <v>188</v>
      </c>
      <c r="CU113" s="9" t="s">
        <v>178</v>
      </c>
      <c r="CV113" s="9" t="s">
        <v>185</v>
      </c>
      <c r="CW113" s="9" t="s">
        <v>198</v>
      </c>
      <c r="CX113" t="str">
        <f>INDEX('Data_Price '!AG$2:AG$1266,MATCH(Data!$DN113,'Data_Price '!$AT$2:$AT$1266,0))</f>
        <v>Dynafit Beast 108 Ski</v>
      </c>
      <c r="CY113" t="str">
        <f>INDEX('Data_Price '!AH$2:AH$1266,MATCH(Data!$DN113,'Data_Price '!$AT$2:$AT$1266,0))</f>
        <v>eBay - bikesportadventurecom</v>
      </c>
      <c r="CZ113">
        <f>INDEX('Data_Price '!AI$2:AI$1266,MATCH(Data!$DN113,'Data_Price '!$AT$2:$AT$1266,0))</f>
        <v>511.71</v>
      </c>
      <c r="DA113" t="str">
        <f>INDEX('Data_Price '!AJ$2:AJ$1266,MATCH(Data!$DN113,'Data_Price '!$AT$2:$AT$1266,0))</f>
        <v>https://tinyurl.com/yam8bk9u</v>
      </c>
      <c r="DB113" t="str">
        <f>INDEX('Data_Price '!AK$2:AK$1266,MATCH(Data!$DN113,'Data_Price '!$AT$2:$AT$1266,0))</f>
        <v>Dynafit Beast 108 - Neon/Yellow - Skis 173</v>
      </c>
      <c r="DC113" t="str">
        <f>INDEX('Data_Price '!AL$2:AL$1266,MATCH(Data!$DN113,'Data_Price '!$AT$2:$AT$1266,0))</f>
        <v>eXXpozed.com</v>
      </c>
      <c r="DD113">
        <f>INDEX('Data_Price '!AM$2:AM$1266,MATCH(Data!$DN113,'Data_Price '!$AT$2:$AT$1266,0))</f>
        <v>617.66999999999996</v>
      </c>
      <c r="DE113" t="str">
        <f>INDEX('Data_Price '!AN$2:AN$1266,MATCH(Data!$DN113,'Data_Price '!$AT$2:$AT$1266,0))</f>
        <v>https://tinyurl.com/ybk3usnr</v>
      </c>
      <c r="DF113" t="str">
        <f>INDEX('Data_Price '!AO$2:AO$1266,MATCH(Data!$DN113,'Data_Price '!$AT$2:$AT$1266,0))</f>
        <v>Dynafit Free 107 Ski</v>
      </c>
      <c r="DG113" t="str">
        <f>INDEX('Data_Price '!AP$2:AP$1266,MATCH(Data!$DN113,'Data_Price '!$AT$2:$AT$1266,0))</f>
        <v>JANS Mountain Outfitters</v>
      </c>
      <c r="DH113">
        <f>INDEX('Data_Price '!AQ$2:AQ$1266,MATCH(Data!$DN113,'Data_Price '!$AT$2:$AT$1266,0))</f>
        <v>420</v>
      </c>
      <c r="DI113" t="str">
        <f>INDEX('Data_Price '!AR$2:AR$1266,MATCH(Data!$DN113,'Data_Price '!$AT$2:$AT$1266,0))</f>
        <v>https://tinyurl.com/ydbzksqq</v>
      </c>
      <c r="DJ113" s="89" t="str">
        <f t="shared" si="69"/>
        <v>https://tinyurl.com/yam8bk9u</v>
      </c>
      <c r="DK113" s="89" t="str">
        <f t="shared" si="70"/>
        <v>https://tinyurl.com/ybk3usnr</v>
      </c>
      <c r="DL113" s="89" t="str">
        <f t="shared" si="71"/>
        <v>https://tinyurl.com/ydbzksqq</v>
      </c>
      <c r="DM113" s="219" t="str">
        <f t="shared" si="72"/>
        <v>Beast 108</v>
      </c>
      <c r="DN113" s="89" t="str">
        <f t="shared" si="73"/>
        <v xml:space="preserve"> DynafitBeast 108173 Unisex</v>
      </c>
      <c r="DO113" s="221"/>
    </row>
    <row r="114" spans="2:119" ht="15.6" customHeight="1">
      <c r="B114" s="219" t="b">
        <f t="array" ref="B114">IF(OR(ISERROR(K114:P114)),FALSE,TRUE)</f>
        <v>1</v>
      </c>
      <c r="C114" s="43" t="b">
        <f>OR(BR114=Driver!$G$50,Data!BR978=Driver!$H$50)</f>
        <v>1</v>
      </c>
      <c r="D114" s="43" t="b">
        <f>OR(BV114=Driver!$G$51,BV114=Driver!$H$51)</f>
        <v>1</v>
      </c>
      <c r="E114" s="43" t="b">
        <f>AND(BX114&gt;Driver!$F$54,BX114&lt;Driver!$G$54)</f>
        <v>0</v>
      </c>
      <c r="F114" s="43" t="b">
        <f>CL114&gt;Driver!$F$56</f>
        <v>1</v>
      </c>
      <c r="G114" s="43" t="b">
        <f>AND(CB114&gt;Driver!$F$55,CB114&lt;Driver!$G$55)</f>
        <v>0</v>
      </c>
      <c r="H114" s="43" t="b">
        <f t="shared" si="37"/>
        <v>0</v>
      </c>
      <c r="I114" s="43">
        <f t="shared" si="38"/>
        <v>0</v>
      </c>
      <c r="J114" s="43" t="b">
        <f t="array" ref="J114">NOT(OR(($H$9:$H$1273=TRUE)*($I$9:$I$1273&gt;0)*($BT$9:$BT$1273=BT114)*($K$9:$K$1273&gt;K114)))</f>
        <v>1</v>
      </c>
      <c r="K114" s="72">
        <f t="shared" si="39"/>
        <v>0.86148400611968468</v>
      </c>
      <c r="L114" s="72">
        <f t="shared" si="40"/>
        <v>0.99837909204676534</v>
      </c>
      <c r="M114" s="72">
        <f t="shared" si="41"/>
        <v>0.72458892019260412</v>
      </c>
      <c r="N114" s="72">
        <f t="shared" si="42"/>
        <v>0.61202735771801287</v>
      </c>
      <c r="O114" s="72">
        <f t="shared" si="43"/>
        <v>0.64910496089736036</v>
      </c>
      <c r="P114" s="72">
        <f t="shared" si="44"/>
        <v>0.91263444196243892</v>
      </c>
      <c r="Q114" s="72"/>
      <c r="R114" s="72"/>
      <c r="S114" s="72">
        <f t="shared" si="45"/>
        <v>0.4714223729808823</v>
      </c>
      <c r="T114" s="72">
        <f t="shared" si="46"/>
        <v>0.51954711280861632</v>
      </c>
      <c r="U114" s="72">
        <f t="shared" si="47"/>
        <v>0.54856977448083821</v>
      </c>
      <c r="V114" s="72">
        <f t="shared" si="48"/>
        <v>0.54181885169226907</v>
      </c>
      <c r="W114" s="72">
        <f t="shared" si="49"/>
        <v>0.81955180055401655</v>
      </c>
      <c r="X114" s="72">
        <f t="shared" si="50"/>
        <v>1.6209079532346626E-3</v>
      </c>
      <c r="Y114" s="72">
        <f t="shared" si="51"/>
        <v>0.27541107980739593</v>
      </c>
      <c r="Z114" s="72">
        <f t="shared" si="52"/>
        <v>0.38797264228198713</v>
      </c>
      <c r="AA114" s="72">
        <f t="shared" si="53"/>
        <v>0.35089503910263964</v>
      </c>
      <c r="AB114" s="72">
        <f t="shared" si="54"/>
        <v>8.7365558037561075E-2</v>
      </c>
      <c r="AC114" s="72"/>
      <c r="AD114" s="72"/>
      <c r="AE114" s="72">
        <f t="shared" si="55"/>
        <v>0.5285776270191177</v>
      </c>
      <c r="AF114" s="72">
        <f t="shared" si="56"/>
        <v>0.48045288719138368</v>
      </c>
      <c r="AG114" s="72">
        <f t="shared" si="57"/>
        <v>0.45143022551916179</v>
      </c>
      <c r="AH114" s="72">
        <f t="shared" si="58"/>
        <v>0.45818114830773093</v>
      </c>
      <c r="AI114" s="72">
        <f t="shared" si="59"/>
        <v>0.18044819944598339</v>
      </c>
      <c r="AJ114" s="72">
        <f>(AV114-Driver!$K$179)/(Driver!$L$179-Driver!$K$179)</f>
        <v>0.25259850132946576</v>
      </c>
      <c r="AK114" s="72">
        <f>(AW114-Driver!$K$180)/(Driver!$L$180-Driver!$K$180)</f>
        <v>0.35691960411304974</v>
      </c>
      <c r="AL114" s="72">
        <f>(AX114-Driver!$K$181)/(Driver!$L$181-Driver!$K$181)</f>
        <v>0.48966040599506733</v>
      </c>
      <c r="AM114" s="72">
        <f>(AY114-Driver!$K$182)/(Driver!$L$182-Driver!$K$182)</f>
        <v>9.6489981994406754E-2</v>
      </c>
      <c r="AN114" s="72">
        <f>(AZ114-Driver!$K$183)/(Driver!$L$183-Driver!$K$183)</f>
        <v>0.3415849673202615</v>
      </c>
      <c r="AO114" s="72"/>
      <c r="AP114" s="72"/>
      <c r="AQ114" s="72">
        <f>(BC114-Driver!$K$188)/(Driver!$L$188-Driver!$K$188)</f>
        <v>9.1422372980882252E-2</v>
      </c>
      <c r="AR114" s="72">
        <f>MIN((BD114-Driver!$K$189)/(Driver!$L$189-Driver!$K$189),100%)</f>
        <v>6.9547112808616335E-2</v>
      </c>
      <c r="AS114" s="72">
        <f>(BE114-Driver!$K$190)/(Driver!$L$190-Driver!$K$190)</f>
        <v>5.8569774480838215E-2</v>
      </c>
      <c r="AT114" s="72">
        <f>(BF114-Driver!$K$191)/(Driver!$L$191-Driver!$K$191)</f>
        <v>5.1818851692269047E-2</v>
      </c>
      <c r="AU114" s="72">
        <f>(BG114-Driver!$K$192)/(Driver!$L$192-Driver!$K$192)</f>
        <v>6.9551800554016621E-2</v>
      </c>
      <c r="AV114" s="70">
        <f t="shared" si="60"/>
        <v>5.3164428164428159</v>
      </c>
      <c r="AW114" s="70">
        <f t="shared" si="61"/>
        <v>36.656870671696588</v>
      </c>
      <c r="AX114" s="70">
        <f t="shared" si="62"/>
        <v>5.4069436539556062</v>
      </c>
      <c r="AY114" s="70">
        <f>IFERROR(Driver!$K$19/Data!BH114/Data!BI114*Data!BK114*Data!BL114,"")</f>
        <v>0.11813252779309787</v>
      </c>
      <c r="AZ114" s="70">
        <f t="shared" si="63"/>
        <v>31.131794489947882</v>
      </c>
      <c r="BA114" s="70"/>
      <c r="BB114" s="70"/>
      <c r="BC114" s="70">
        <f t="shared" si="64"/>
        <v>47.421420423209561</v>
      </c>
      <c r="BD114" s="70">
        <f t="shared" si="65"/>
        <v>7.8756191374682896</v>
      </c>
      <c r="BE114" s="70">
        <f t="shared" si="66"/>
        <v>5.8737715036822291E-2</v>
      </c>
      <c r="BF114" s="70">
        <f t="shared" si="67"/>
        <v>5.8525752506049677</v>
      </c>
      <c r="BG114" s="70">
        <f t="shared" si="68"/>
        <v>0.2633674861495845</v>
      </c>
      <c r="BH114" s="67">
        <f>MAX((CE114-Driver!$F$200)/(Driver!$G$200-Driver!$F$200)*$BI$1,1)</f>
        <v>5.4069436539556062</v>
      </c>
      <c r="BI114" s="67">
        <f>MAX($BI$1*(BY114-Driver!$F$201)/(Driver!$G$201-Driver!$F$201),1)</f>
        <v>7.1518987341772151</v>
      </c>
      <c r="BJ114" s="67">
        <f>(CB114-Driver!$F$206)/(Driver!$G$206-Driver!$F$206)*$BI$1</f>
        <v>5.2380952380952381</v>
      </c>
      <c r="BK114" s="67">
        <f>(CD114-Driver!$F$203)/(Driver!$G$203-Driver!$F$203)*$BI$1</f>
        <v>3.4862385321100922</v>
      </c>
      <c r="BL114" s="67">
        <f>MAX((CR114-Driver!$F$202)/(Driver!$G$202-Driver!$F$202)*$BI$1,1)</f>
        <v>6.5517241379310338</v>
      </c>
      <c r="BM114" s="67">
        <f>MAX((CH114-Driver!$F$204)/(Driver!$G$204-Driver!$F$204)*$BI$1,1)</f>
        <v>4.0598290598290596</v>
      </c>
      <c r="BN114" s="67">
        <f>(CI114-Driver!$F$205)/(Driver!$G$205-Driver!$F$205)*$BI$1</f>
        <v>4.3529411764705888</v>
      </c>
      <c r="BO114" s="67">
        <f>(CK114-Driver!$F$207)/(Driver!$G$207-Driver!$F$207)*$BI$1</f>
        <v>1.5511892450879008</v>
      </c>
      <c r="BP114" s="67">
        <f>(CM114-Driver!$F$208)/(Driver!$G$208-Driver!$F$208)*$BI$1</f>
        <v>2.5111111111111111</v>
      </c>
      <c r="BQ114" s="67">
        <f>(CL114-Driver!$F$209)/(Driver!$G$209-Driver!$F$209)*$BI$1</f>
        <v>5.78125</v>
      </c>
      <c r="BR114" s="28" t="s">
        <v>155</v>
      </c>
      <c r="BS114" s="8" t="s">
        <v>172</v>
      </c>
      <c r="BT114" s="9" t="s">
        <v>331</v>
      </c>
      <c r="BU114" s="10">
        <v>172</v>
      </c>
      <c r="BV114" s="9" t="s">
        <v>158</v>
      </c>
      <c r="BW114" s="10">
        <v>172</v>
      </c>
      <c r="BX114" s="10">
        <v>169.3</v>
      </c>
      <c r="BY114" s="10">
        <v>121</v>
      </c>
      <c r="BZ114" s="10">
        <v>146</v>
      </c>
      <c r="CA114" s="10">
        <v>129</v>
      </c>
      <c r="CB114" s="10">
        <v>97</v>
      </c>
      <c r="CC114" s="10">
        <v>120</v>
      </c>
      <c r="CD114" s="10">
        <v>17</v>
      </c>
      <c r="CE114" s="10">
        <v>1850</v>
      </c>
      <c r="CF114" s="10">
        <v>0.99</v>
      </c>
      <c r="CG114" s="10">
        <v>1826</v>
      </c>
      <c r="CH114" s="10">
        <v>196</v>
      </c>
      <c r="CI114" s="10">
        <v>107</v>
      </c>
      <c r="CJ114" s="10">
        <v>57</v>
      </c>
      <c r="CK114" s="10">
        <v>260</v>
      </c>
      <c r="CL114" s="10">
        <v>37</v>
      </c>
      <c r="CM114" s="10">
        <v>226</v>
      </c>
      <c r="CN114" s="10">
        <v>0.65</v>
      </c>
      <c r="CO114" s="10">
        <v>136</v>
      </c>
      <c r="CP114" s="10">
        <v>97</v>
      </c>
      <c r="CQ114" s="10">
        <v>125</v>
      </c>
      <c r="CR114" s="10">
        <v>8</v>
      </c>
      <c r="CS114" s="10">
        <v>4.3</v>
      </c>
      <c r="CT114" s="9" t="s">
        <v>188</v>
      </c>
      <c r="CU114" s="10"/>
      <c r="CV114" s="10"/>
      <c r="CW114" s="10"/>
      <c r="CX114" t="str">
        <f>INDEX('Data_Price '!AG$2:AG$1266,MATCH(Data!$DN114,'Data_Price '!$AT$2:$AT$1266,0))</f>
        <v>Rossignol Blackops Holyshred 172cm</v>
      </c>
      <c r="CY114" t="str">
        <f>INDEX('Data_Price '!AH$2:AH$1266,MATCH(Data!$DN114,'Data_Price '!$AT$2:$AT$1266,0))</f>
        <v>Sundance Ski and Board Shop</v>
      </c>
      <c r="CZ114">
        <f>INDEX('Data_Price '!AI$2:AI$1266,MATCH(Data!$DN114,'Data_Price '!$AT$2:$AT$1266,0))</f>
        <v>481.19</v>
      </c>
      <c r="DA114" t="str">
        <f>INDEX('Data_Price '!AJ$2:AJ$1266,MATCH(Data!$DN114,'Data_Price '!$AT$2:$AT$1266,0))</f>
        <v>https://tinyurl.com/y83klbon</v>
      </c>
      <c r="DB114" t="str">
        <f>INDEX('Data_Price '!AK$2:AK$1266,MATCH(Data!$DN114,'Data_Price '!$AT$2:$AT$1266,0))</f>
        <v>Skis Rossignol Blackops Holyshred</v>
      </c>
      <c r="DC114" t="str">
        <f>INDEX('Data_Price '!AL$2:AL$1266,MATCH(Data!$DN114,'Data_Price '!$AT$2:$AT$1266,0))</f>
        <v>Gorham Bike and Ski</v>
      </c>
      <c r="DD114">
        <f>INDEX('Data_Price '!AM$2:AM$1266,MATCH(Data!$DN114,'Data_Price '!$AT$2:$AT$1266,0))</f>
        <v>489.99</v>
      </c>
      <c r="DE114" t="str">
        <f>INDEX('Data_Price '!AN$2:AN$1266,MATCH(Data!$DN114,'Data_Price '!$AT$2:$AT$1266,0))</f>
        <v>https://tinyurl.com/y6u642r3</v>
      </c>
      <c r="DF114" t="str">
        <f>INDEX('Data_Price '!AO$2:AO$1266,MATCH(Data!$DN114,'Data_Price '!$AT$2:$AT$1266,0))</f>
        <v>2022 Rossignol Blackops Holyshred Skis 172cm</v>
      </c>
      <c r="DG114" t="str">
        <f>INDEX('Data_Price '!AP$2:AP$1266,MATCH(Data!$DN114,'Data_Price '!$AT$2:$AT$1266,0))</f>
        <v>eBay</v>
      </c>
      <c r="DH114">
        <f>INDEX('Data_Price '!AQ$2:AQ$1266,MATCH(Data!$DN114,'Data_Price '!$AT$2:$AT$1266,0))</f>
        <v>505</v>
      </c>
      <c r="DI114" t="str">
        <f>INDEX('Data_Price '!AR$2:AR$1266,MATCH(Data!$DN114,'Data_Price '!$AT$2:$AT$1266,0))</f>
        <v>https://tinyurl.com/yayumwye</v>
      </c>
      <c r="DJ114" s="89" t="str">
        <f t="shared" si="69"/>
        <v>https://tinyurl.com/y83klbon</v>
      </c>
      <c r="DK114" s="89" t="str">
        <f t="shared" si="70"/>
        <v>https://tinyurl.com/y6u642r3</v>
      </c>
      <c r="DL114" s="89" t="str">
        <f t="shared" si="71"/>
        <v>https://tinyurl.com/yayumwye</v>
      </c>
      <c r="DM114" s="219" t="str">
        <f t="shared" si="72"/>
        <v>Blackops Holyshred</v>
      </c>
      <c r="DN114" s="89" t="str">
        <f t="shared" si="73"/>
        <v xml:space="preserve"> RossignolBlackops Holyshred172 Unisex</v>
      </c>
      <c r="DO114" s="221"/>
    </row>
    <row r="115" spans="2:119" ht="15.6" customHeight="1">
      <c r="B115" s="219" t="b">
        <f t="array" ref="B115">IF(OR(ISERROR(K115:P115)),FALSE,TRUE)</f>
        <v>1</v>
      </c>
      <c r="C115" s="43" t="b">
        <f>OR(BR115=Driver!$G$50,Data!BR88=Driver!$H$50)</f>
        <v>1</v>
      </c>
      <c r="D115" s="43" t="b">
        <f>OR(BV115=Driver!$G$51,BV115=Driver!$H$51)</f>
        <v>0</v>
      </c>
      <c r="E115" s="43" t="b">
        <f>AND(BX115&gt;Driver!$F$54,BX115&lt;Driver!$G$54)</f>
        <v>0</v>
      </c>
      <c r="F115" s="43" t="b">
        <f>CL115&gt;Driver!$F$56</f>
        <v>1</v>
      </c>
      <c r="G115" s="43" t="b">
        <f>AND(CB115&gt;Driver!$F$55,CB115&lt;Driver!$G$55)</f>
        <v>0</v>
      </c>
      <c r="H115" s="43" t="b">
        <f t="shared" si="37"/>
        <v>0</v>
      </c>
      <c r="I115" s="43">
        <f t="shared" si="38"/>
        <v>0</v>
      </c>
      <c r="J115" s="43" t="b">
        <f t="array" ref="J115">NOT(OR(($H$9:$H$1273=TRUE)*($I$9:$I$1273&gt;0)*($BT$9:$BT$1273=BT115)*($K$9:$K$1273&gt;K115)))</f>
        <v>1</v>
      </c>
      <c r="K115" s="72">
        <f t="shared" si="39"/>
        <v>0.88266363908850443</v>
      </c>
      <c r="L115" s="72">
        <f t="shared" si="40"/>
        <v>0.99106575526610219</v>
      </c>
      <c r="M115" s="72">
        <f t="shared" si="41"/>
        <v>0.77426152291090666</v>
      </c>
      <c r="N115" s="72">
        <f t="shared" si="42"/>
        <v>0.80174467890943757</v>
      </c>
      <c r="O115" s="72">
        <f t="shared" si="43"/>
        <v>0.65448387923339246</v>
      </c>
      <c r="P115" s="72">
        <f t="shared" si="44"/>
        <v>0.86655601058988996</v>
      </c>
      <c r="Q115" s="72"/>
      <c r="R115" s="72"/>
      <c r="S115" s="72">
        <f t="shared" si="45"/>
        <v>0.50264483464026732</v>
      </c>
      <c r="T115" s="72">
        <f t="shared" si="46"/>
        <v>0.54198715852043622</v>
      </c>
      <c r="U115" s="72">
        <f t="shared" si="47"/>
        <v>0.51</v>
      </c>
      <c r="V115" s="72">
        <f t="shared" si="48"/>
        <v>0.49918937398381247</v>
      </c>
      <c r="W115" s="72">
        <f t="shared" si="49"/>
        <v>0.77021830985915496</v>
      </c>
      <c r="X115" s="72">
        <f t="shared" si="50"/>
        <v>8.934244733897756E-3</v>
      </c>
      <c r="Y115" s="72">
        <f t="shared" si="51"/>
        <v>0.22573847708909334</v>
      </c>
      <c r="Z115" s="72">
        <f t="shared" si="52"/>
        <v>0.19825532109056238</v>
      </c>
      <c r="AA115" s="72">
        <f t="shared" si="53"/>
        <v>0.34551612076660759</v>
      </c>
      <c r="AB115" s="72">
        <f t="shared" si="54"/>
        <v>0.13344398941010999</v>
      </c>
      <c r="AC115" s="72"/>
      <c r="AD115" s="72"/>
      <c r="AE115" s="72">
        <f t="shared" si="55"/>
        <v>0.49735516535973268</v>
      </c>
      <c r="AF115" s="72">
        <f t="shared" si="56"/>
        <v>0.45801284147956378</v>
      </c>
      <c r="AG115" s="72">
        <f t="shared" si="57"/>
        <v>0.49</v>
      </c>
      <c r="AH115" s="72">
        <f t="shared" si="58"/>
        <v>0.50081062601618753</v>
      </c>
      <c r="AI115" s="72">
        <f t="shared" si="59"/>
        <v>0.22978169014084507</v>
      </c>
      <c r="AJ115" s="72">
        <f>(AV115-Driver!$K$179)/(Driver!$L$179-Driver!$K$179)</f>
        <v>0.26315365401659818</v>
      </c>
      <c r="AK115" s="72">
        <f>(AW115-Driver!$K$180)/(Driver!$L$180-Driver!$K$180)</f>
        <v>0.38255793731478627</v>
      </c>
      <c r="AL115" s="72">
        <f>(AX115-Driver!$K$181)/(Driver!$L$181-Driver!$K$181)</f>
        <v>0.29994308480364257</v>
      </c>
      <c r="AM115" s="72">
        <f>(AY115-Driver!$K$182)/(Driver!$L$182-Driver!$K$182)</f>
        <v>0.10186890033043877</v>
      </c>
      <c r="AN115" s="72">
        <f>(AZ115-Driver!$K$183)/(Driver!$L$183-Driver!$K$183)</f>
        <v>0.38766339869281041</v>
      </c>
      <c r="AO115" s="72"/>
      <c r="AP115" s="72"/>
      <c r="AQ115" s="72">
        <f>(BC115-Driver!$K$188)/(Driver!$L$188-Driver!$K$188)</f>
        <v>0.12264483464026729</v>
      </c>
      <c r="AR115" s="72">
        <f>MIN((BD115-Driver!$K$189)/(Driver!$L$189-Driver!$K$189),100%)</f>
        <v>9.1987158520436249E-2</v>
      </c>
      <c r="AS115" s="72">
        <f>(BE115-Driver!$K$190)/(Driver!$L$190-Driver!$K$190)</f>
        <v>1</v>
      </c>
      <c r="AT115" s="72">
        <f>(BF115-Driver!$K$191)/(Driver!$L$191-Driver!$K$191)</f>
        <v>9.1893739838125287E-3</v>
      </c>
      <c r="AU115" s="72">
        <f>(BG115-Driver!$K$192)/(Driver!$L$192-Driver!$K$192)</f>
        <v>2.0218309859154932E-2</v>
      </c>
      <c r="AV115" s="70">
        <f t="shared" si="60"/>
        <v>5.5385972052638719</v>
      </c>
      <c r="AW115" s="70">
        <f t="shared" si="61"/>
        <v>39.155553420948515</v>
      </c>
      <c r="AX115" s="70">
        <f t="shared" si="62"/>
        <v>3.6994877632327832</v>
      </c>
      <c r="AY115" s="70">
        <f>IFERROR(Driver!$K$19/Data!BH115/Data!BI115*Data!BK115*Data!BL115,"")</f>
        <v>0.1247179287507324</v>
      </c>
      <c r="AZ115" s="70">
        <f t="shared" si="63"/>
        <v>35.331347728965</v>
      </c>
      <c r="BA115" s="70"/>
      <c r="BB115" s="70"/>
      <c r="BC115" s="70">
        <f t="shared" si="64"/>
        <v>63.616728340964627</v>
      </c>
      <c r="BD115" s="70">
        <f t="shared" si="65"/>
        <v>9.8615234215561571</v>
      </c>
      <c r="BE115" s="70">
        <f t="shared" si="66"/>
        <v>1</v>
      </c>
      <c r="BF115" s="70">
        <f t="shared" si="67"/>
        <v>1.0378752324656038</v>
      </c>
      <c r="BG115" s="70">
        <f t="shared" si="68"/>
        <v>7.6559419014084515E-2</v>
      </c>
      <c r="BH115" s="67">
        <f>MAX((CE115-Driver!$F$200)/(Driver!$G$200-Driver!$F$200)*$BI$1,1)</f>
        <v>3.6994877632327832</v>
      </c>
      <c r="BI115" s="67">
        <f>MAX($BI$1*(BY115-Driver!$F$201)/(Driver!$G$201-Driver!$F$201),1)</f>
        <v>8.2278481012658222</v>
      </c>
      <c r="BJ115" s="67">
        <f>(CB115-Driver!$F$206)/(Driver!$G$206-Driver!$F$206)*$BI$1</f>
        <v>3.6507936507936507</v>
      </c>
      <c r="BK115" s="67">
        <f>(CD115-Driver!$F$203)/(Driver!$G$203-Driver!$F$203)*$BI$1</f>
        <v>3.4403669724770634</v>
      </c>
      <c r="BL115" s="67">
        <f>MAX((CR115-Driver!$F$202)/(Driver!$G$202-Driver!$F$202)*$BI$1,1)</f>
        <v>5.5172413793103452</v>
      </c>
      <c r="BM115" s="67">
        <f>MAX((CH115-Driver!$F$204)/(Driver!$G$204-Driver!$F$204)*$BI$1,1)</f>
        <v>6.0683760683760681</v>
      </c>
      <c r="BN115" s="67">
        <f>(CI115-Driver!$F$205)/(Driver!$G$205-Driver!$F$205)*$BI$1</f>
        <v>4.2941176470588234</v>
      </c>
      <c r="BO115" s="67">
        <f>(CK115-Driver!$F$207)/(Driver!$G$207-Driver!$F$207)*$BI$1</f>
        <v>0.78593588417786964</v>
      </c>
      <c r="BP115" s="67">
        <f>(CM115-Driver!$F$208)/(Driver!$G$208-Driver!$F$208)*$BI$1</f>
        <v>1.2444444444444445</v>
      </c>
      <c r="BQ115" s="67">
        <f>(CL115-Driver!$F$209)/(Driver!$G$209-Driver!$F$209)*$BI$1</f>
        <v>1.71875</v>
      </c>
      <c r="BR115" s="28" t="s">
        <v>155</v>
      </c>
      <c r="BS115" s="8" t="s">
        <v>182</v>
      </c>
      <c r="BT115" s="9" t="s">
        <v>244</v>
      </c>
      <c r="BU115" s="10">
        <v>168</v>
      </c>
      <c r="BV115" s="9" t="s">
        <v>163</v>
      </c>
      <c r="BW115" s="10">
        <v>168</v>
      </c>
      <c r="BX115" s="10">
        <v>167.4</v>
      </c>
      <c r="BY115" s="10">
        <v>138</v>
      </c>
      <c r="BZ115" s="10">
        <v>149</v>
      </c>
      <c r="CA115" s="10">
        <v>128</v>
      </c>
      <c r="CB115" s="10">
        <v>87</v>
      </c>
      <c r="CC115" s="10">
        <v>109</v>
      </c>
      <c r="CD115" s="10">
        <v>16.899999999999999</v>
      </c>
      <c r="CE115" s="10">
        <v>1550</v>
      </c>
      <c r="CF115" s="10">
        <v>1.07</v>
      </c>
      <c r="CG115" s="10">
        <v>1664</v>
      </c>
      <c r="CH115" s="10">
        <v>243</v>
      </c>
      <c r="CI115" s="10">
        <v>106</v>
      </c>
      <c r="CJ115" s="10">
        <v>41</v>
      </c>
      <c r="CK115" s="10">
        <v>186</v>
      </c>
      <c r="CL115" s="10">
        <v>11</v>
      </c>
      <c r="CM115" s="10">
        <v>112</v>
      </c>
      <c r="CN115" s="10">
        <v>0.25800000000000001</v>
      </c>
      <c r="CO115" s="10">
        <v>114</v>
      </c>
      <c r="CP115" s="10">
        <v>74</v>
      </c>
      <c r="CQ115" s="10">
        <v>72</v>
      </c>
      <c r="CR115" s="10">
        <v>5</v>
      </c>
      <c r="CS115" s="10">
        <v>11.8</v>
      </c>
      <c r="CT115" s="9" t="s">
        <v>188</v>
      </c>
      <c r="CU115" s="9" t="s">
        <v>185</v>
      </c>
      <c r="CV115" s="10"/>
      <c r="CW115" s="10"/>
      <c r="CX115" t="str">
        <f>INDEX('Data_Price '!AG$2:AG$1266,MATCH(Data!$DN115,'Data_Price '!$AT$2:$AT$1266,0))</f>
        <v>Armada Reliance 88 C Skis - Women's 2022</v>
      </c>
      <c r="CY115" t="str">
        <f>INDEX('Data_Price '!AH$2:AH$1266,MATCH(Data!$DN115,'Data_Price '!$AT$2:$AT$1266,0))</f>
        <v>Snowcountry.eu</v>
      </c>
      <c r="CZ115">
        <f>INDEX('Data_Price '!AI$2:AI$1266,MATCH(Data!$DN115,'Data_Price '!$AT$2:$AT$1266,0))</f>
        <v>367.9</v>
      </c>
      <c r="DA115" t="str">
        <f>INDEX('Data_Price '!AJ$2:AJ$1266,MATCH(Data!$DN115,'Data_Price '!$AT$2:$AT$1266,0))</f>
        <v>https://tinyurl.com/ybt3j4sg</v>
      </c>
      <c r="DB115" t="str">
        <f>INDEX('Data_Price '!AK$2:AK$1266,MATCH(Data!$DN115,'Data_Price '!$AT$2:$AT$1266,0))</f>
        <v>Armada Reliance 88 C White-Black 168 Ski Lady's Ladies / Women</v>
      </c>
      <c r="DC115" t="str">
        <f>INDEX('Data_Price '!AL$2:AL$1266,MATCH(Data!$DN115,'Data_Price '!$AT$2:$AT$1266,0))</f>
        <v>! OutdoorXL.com</v>
      </c>
      <c r="DD115">
        <f>INDEX('Data_Price '!AM$2:AM$1266,MATCH(Data!$DN115,'Data_Price '!$AT$2:$AT$1266,0))</f>
        <v>374.95</v>
      </c>
      <c r="DE115" t="str">
        <f>INDEX('Data_Price '!AN$2:AN$1266,MATCH(Data!$DN115,'Data_Price '!$AT$2:$AT$1266,0))</f>
        <v>https://tinyurl.com/yb5hgbnr</v>
      </c>
      <c r="DF115" t="str">
        <f>INDEX('Data_Price '!AO$2:AO$1266,MATCH(Data!$DN115,'Data_Price '!$AT$2:$AT$1266,0))</f>
        <v>Armada Reliance 88 C Skis - Women's 2022</v>
      </c>
      <c r="DG115" t="str">
        <f>INDEX('Data_Price '!AP$2:AP$1266,MATCH(Data!$DN115,'Data_Price '!$AT$2:$AT$1266,0))</f>
        <v>Next Adventure</v>
      </c>
      <c r="DH115">
        <f>INDEX('Data_Price '!AQ$2:AQ$1266,MATCH(Data!$DN115,'Data_Price '!$AT$2:$AT$1266,0))</f>
        <v>479.96</v>
      </c>
      <c r="DI115" t="str">
        <f>INDEX('Data_Price '!AR$2:AR$1266,MATCH(Data!$DN115,'Data_Price '!$AT$2:$AT$1266,0))</f>
        <v>https://tinyurl.com/ycd8f5st</v>
      </c>
      <c r="DJ115" s="89" t="str">
        <f t="shared" si="69"/>
        <v>https://tinyurl.com/ybt3j4sg</v>
      </c>
      <c r="DK115" s="89" t="str">
        <f t="shared" si="70"/>
        <v>https://tinyurl.com/yb5hgbnr</v>
      </c>
      <c r="DL115" s="89" t="str">
        <f t="shared" si="71"/>
        <v>https://tinyurl.com/ycd8f5st</v>
      </c>
      <c r="DM115" s="219" t="str">
        <f t="shared" si="72"/>
        <v>Reliance 88 Ca</v>
      </c>
      <c r="DN115" s="89" t="str">
        <f t="shared" si="73"/>
        <v xml:space="preserve"> ArmadaReliance 88 Ca168 Women's</v>
      </c>
      <c r="DO115" s="221"/>
    </row>
    <row r="116" spans="2:119" ht="15.6" customHeight="1">
      <c r="B116" s="219" t="b">
        <f t="array" ref="B116">IF(OR(ISERROR(K116:P116)),FALSE,TRUE)</f>
        <v>1</v>
      </c>
      <c r="C116" s="43" t="b">
        <f>OR(BR116=Driver!$G$50,Data!BR917=Driver!$H$50)</f>
        <v>1</v>
      </c>
      <c r="D116" s="43" t="b">
        <f>OR(BV116=Driver!$G$51,BV116=Driver!$H$51)</f>
        <v>0</v>
      </c>
      <c r="E116" s="43" t="b">
        <f>AND(BX116&gt;Driver!$F$54,BX116&lt;Driver!$G$54)</f>
        <v>0</v>
      </c>
      <c r="F116" s="43" t="b">
        <f>CL116&gt;Driver!$F$56</f>
        <v>1</v>
      </c>
      <c r="G116" s="43" t="b">
        <f>AND(CB116&gt;Driver!$F$55,CB116&lt;Driver!$G$55)</f>
        <v>1</v>
      </c>
      <c r="H116" s="43" t="b">
        <f t="shared" si="37"/>
        <v>0</v>
      </c>
      <c r="I116" s="43">
        <f t="shared" si="38"/>
        <v>0</v>
      </c>
      <c r="J116" s="43" t="b">
        <f t="array" ref="J116">NOT(OR(($H$9:$H$1273=TRUE)*($I$9:$I$1273&gt;0)*($BT$9:$BT$1273=BT116)*($K$9:$K$1273&gt;K116)))</f>
        <v>1</v>
      </c>
      <c r="K116" s="72">
        <f t="shared" si="39"/>
        <v>0.8125814282176852</v>
      </c>
      <c r="L116" s="72">
        <f t="shared" si="40"/>
        <v>0.90678568113831237</v>
      </c>
      <c r="M116" s="72">
        <f t="shared" si="41"/>
        <v>0.71837717529705802</v>
      </c>
      <c r="N116" s="72">
        <f t="shared" si="42"/>
        <v>0.575348675621004</v>
      </c>
      <c r="O116" s="72">
        <f t="shared" si="43"/>
        <v>0.6343869703992342</v>
      </c>
      <c r="P116" s="72">
        <f t="shared" si="44"/>
        <v>0.94539587987093576</v>
      </c>
      <c r="Q116" s="72"/>
      <c r="R116" s="72"/>
      <c r="S116" s="72">
        <f t="shared" si="45"/>
        <v>0.44875495807300159</v>
      </c>
      <c r="T116" s="72">
        <f t="shared" si="46"/>
        <v>0.49860664971280089</v>
      </c>
      <c r="U116" s="72">
        <f t="shared" si="47"/>
        <v>0.51307677165675414</v>
      </c>
      <c r="V116" s="72">
        <f t="shared" si="48"/>
        <v>0.61112448759047577</v>
      </c>
      <c r="W116" s="72">
        <f t="shared" si="49"/>
        <v>0.8358691690962099</v>
      </c>
      <c r="X116" s="72">
        <f t="shared" si="50"/>
        <v>9.3214318861687628E-2</v>
      </c>
      <c r="Y116" s="72">
        <f t="shared" si="51"/>
        <v>0.28162282470294203</v>
      </c>
      <c r="Z116" s="72">
        <f t="shared" si="52"/>
        <v>0.424651324378996</v>
      </c>
      <c r="AA116" s="72">
        <f t="shared" si="53"/>
        <v>0.36561302960076586</v>
      </c>
      <c r="AB116" s="72">
        <f t="shared" si="54"/>
        <v>5.4604120129064238E-2</v>
      </c>
      <c r="AC116" s="72"/>
      <c r="AD116" s="72"/>
      <c r="AE116" s="72">
        <f t="shared" si="55"/>
        <v>0.55124504192699841</v>
      </c>
      <c r="AF116" s="72">
        <f t="shared" si="56"/>
        <v>0.50139335028719911</v>
      </c>
      <c r="AG116" s="72">
        <f t="shared" si="57"/>
        <v>0.48692322834324581</v>
      </c>
      <c r="AH116" s="72">
        <f t="shared" si="58"/>
        <v>0.38887551240952417</v>
      </c>
      <c r="AI116" s="72">
        <f t="shared" si="59"/>
        <v>0.1641308309037901</v>
      </c>
      <c r="AJ116" s="72">
        <f>(AV116-Driver!$K$179)/(Driver!$L$179-Driver!$K$179)</f>
        <v>0.34743372814438805</v>
      </c>
      <c r="AK116" s="72">
        <f>(AW116-Driver!$K$180)/(Driver!$L$180-Driver!$K$180)</f>
        <v>0.32948481145215741</v>
      </c>
      <c r="AL116" s="72">
        <f>(AX116-Driver!$K$181)/(Driver!$L$181-Driver!$K$181)</f>
        <v>0.52633908809207619</v>
      </c>
      <c r="AM116" s="72">
        <f>(AY116-Driver!$K$182)/(Driver!$L$182-Driver!$K$182)</f>
        <v>8.1771991496280505E-2</v>
      </c>
      <c r="AN116" s="72">
        <f>(AZ116-Driver!$K$183)/(Driver!$L$183-Driver!$K$183)</f>
        <v>0.30882352941176466</v>
      </c>
      <c r="AO116" s="72"/>
      <c r="AP116" s="72"/>
      <c r="AQ116" s="72">
        <f>(BC116-Driver!$K$188)/(Driver!$L$188-Driver!$K$188)</f>
        <v>6.8754958073001554E-2</v>
      </c>
      <c r="AR116" s="72">
        <f>MIN((BD116-Driver!$K$189)/(Driver!$L$189-Driver!$K$189),100%)</f>
        <v>4.8606649712800945E-2</v>
      </c>
      <c r="AS116" s="72">
        <f>(BE116-Driver!$K$190)/(Driver!$L$190-Driver!$K$190)</f>
        <v>2.3076771656754196E-2</v>
      </c>
      <c r="AT116" s="72">
        <f>(BF116-Driver!$K$191)/(Driver!$L$191-Driver!$K$191)</f>
        <v>0.12112448759047584</v>
      </c>
      <c r="AU116" s="72">
        <f>(BG116-Driver!$K$192)/(Driver!$L$192-Driver!$K$192)</f>
        <v>8.5869169096209896E-2</v>
      </c>
      <c r="AV116" s="70">
        <f t="shared" si="60"/>
        <v>7.3124406457739797</v>
      </c>
      <c r="AW116" s="70">
        <f t="shared" si="61"/>
        <v>33.983107029899784</v>
      </c>
      <c r="AX116" s="70">
        <f t="shared" si="62"/>
        <v>5.7370517928286855</v>
      </c>
      <c r="AY116" s="70">
        <f>IFERROR(Driver!$K$19/Data!BH116/Data!BI116*Data!BK116*Data!BL116,"")</f>
        <v>0.10011331599886999</v>
      </c>
      <c r="AZ116" s="70">
        <f t="shared" si="63"/>
        <v>28.145941921072225</v>
      </c>
      <c r="BA116" s="70"/>
      <c r="BB116" s="70"/>
      <c r="BC116" s="70">
        <f t="shared" si="64"/>
        <v>35.663674729179938</v>
      </c>
      <c r="BD116" s="70">
        <f t="shared" si="65"/>
        <v>6.0224252577936559</v>
      </c>
      <c r="BE116" s="70">
        <f t="shared" si="66"/>
        <v>2.3251043764951324E-2</v>
      </c>
      <c r="BF116" s="70">
        <f t="shared" si="67"/>
        <v>13.680159925658641</v>
      </c>
      <c r="BG116" s="70">
        <f t="shared" si="68"/>
        <v>0.3251554528061224</v>
      </c>
      <c r="BH116" s="67">
        <f>MAX((CE116-Driver!$F$200)/(Driver!$G$200-Driver!$F$200)*$BI$1,1)</f>
        <v>5.7370517928286855</v>
      </c>
      <c r="BI116" s="67">
        <f>MAX($BI$1*(BY116-Driver!$F$201)/(Driver!$G$201-Driver!$F$201),1)</f>
        <v>6.8354430379746836</v>
      </c>
      <c r="BJ116" s="67">
        <f>(CB116-Driver!$F$206)/(Driver!$G$206-Driver!$F$206)*$BI$1</f>
        <v>6.9841269841269842</v>
      </c>
      <c r="BK116" s="67">
        <f>(CD116-Driver!$F$203)/(Driver!$G$203-Driver!$F$203)*$BI$1</f>
        <v>3.3486238532110093</v>
      </c>
      <c r="BL116" s="67">
        <f>MAX((CR116-Driver!$F$202)/(Driver!$G$202-Driver!$F$202)*$BI$1,1)</f>
        <v>5.8620689655172411</v>
      </c>
      <c r="BM116" s="67">
        <f>MAX((CH116-Driver!$F$204)/(Driver!$G$204-Driver!$F$204)*$BI$1,1)</f>
        <v>4.1880341880341883</v>
      </c>
      <c r="BN116" s="67">
        <f>(CI116-Driver!$F$205)/(Driver!$G$205-Driver!$F$205)*$BI$1</f>
        <v>4.117647058823529</v>
      </c>
      <c r="BO116" s="67">
        <f>(CK116-Driver!$F$207)/(Driver!$G$207-Driver!$F$207)*$BI$1</f>
        <v>2.2026887280248189</v>
      </c>
      <c r="BP116" s="67">
        <f>(CM116-Driver!$F$208)/(Driver!$G$208-Driver!$F$208)*$BI$1</f>
        <v>2.9777777777777774</v>
      </c>
      <c r="BQ116" s="67">
        <f>(CL116-Driver!$F$209)/(Driver!$G$209-Driver!$F$209)*$BI$1</f>
        <v>7.8125</v>
      </c>
      <c r="BR116" s="28" t="s">
        <v>155</v>
      </c>
      <c r="BS116" s="8" t="s">
        <v>332</v>
      </c>
      <c r="BT116" s="9" t="s">
        <v>333</v>
      </c>
      <c r="BU116" s="10">
        <v>177</v>
      </c>
      <c r="BV116" s="9" t="s">
        <v>163</v>
      </c>
      <c r="BW116" s="10">
        <v>177</v>
      </c>
      <c r="BX116" s="10">
        <v>175.5</v>
      </c>
      <c r="BY116" s="10">
        <v>116</v>
      </c>
      <c r="BZ116" s="10">
        <v>145</v>
      </c>
      <c r="CA116" s="10">
        <v>140</v>
      </c>
      <c r="CB116" s="10">
        <v>108</v>
      </c>
      <c r="CC116" s="10">
        <v>131</v>
      </c>
      <c r="CD116" s="10">
        <v>16.7</v>
      </c>
      <c r="CE116" s="10">
        <v>1908</v>
      </c>
      <c r="CF116" s="10">
        <v>1.0900000000000001</v>
      </c>
      <c r="CG116" s="10">
        <v>2087</v>
      </c>
      <c r="CH116" s="10">
        <v>199</v>
      </c>
      <c r="CI116" s="10">
        <v>103</v>
      </c>
      <c r="CJ116" s="10">
        <v>71</v>
      </c>
      <c r="CK116" s="10">
        <v>323</v>
      </c>
      <c r="CL116" s="10">
        <v>50</v>
      </c>
      <c r="CM116" s="10">
        <v>268</v>
      </c>
      <c r="CN116" s="10">
        <v>0.70799999999999996</v>
      </c>
      <c r="CO116" s="10">
        <v>156</v>
      </c>
      <c r="CP116" s="10">
        <v>153</v>
      </c>
      <c r="CQ116" s="10">
        <v>167</v>
      </c>
      <c r="CR116" s="10">
        <v>6</v>
      </c>
      <c r="CS116" s="10">
        <v>8.4</v>
      </c>
      <c r="CT116" s="9" t="s">
        <v>169</v>
      </c>
      <c r="CU116" s="9" t="s">
        <v>185</v>
      </c>
      <c r="CV116" s="10"/>
      <c r="CW116" s="10"/>
      <c r="CX116" t="str">
        <f>INDEX('Data_Price '!AG$2:AG$1266,MATCH(Data!$DN116,'Data_Price '!$AT$2:$AT$1266,0))</f>
        <v>Nordica Santa Ana Free 110 Skis Â· Women's Â· 2021 Â· 177 cm</v>
      </c>
      <c r="CY116" t="str">
        <f>INDEX('Data_Price '!AH$2:AH$1266,MATCH(Data!$DN116,'Data_Price '!$AT$2:$AT$1266,0))</f>
        <v>Next Adventure</v>
      </c>
      <c r="CZ116">
        <f>INDEX('Data_Price '!AI$2:AI$1266,MATCH(Data!$DN116,'Data_Price '!$AT$2:$AT$1266,0))</f>
        <v>447.99</v>
      </c>
      <c r="DA116" t="str">
        <f>INDEX('Data_Price '!AJ$2:AJ$1266,MATCH(Data!$DN116,'Data_Price '!$AT$2:$AT$1266,0))</f>
        <v>https://tinyurl.com/yd9yvnzf</v>
      </c>
      <c r="DB116" t="str">
        <f>INDEX('Data_Price '!AK$2:AK$1266,MATCH(Data!$DN116,'Data_Price '!$AT$2:$AT$1266,0))</f>
        <v>Nordica Santa Ana Free 110 21/22</v>
      </c>
      <c r="DC116" t="str">
        <f>INDEX('Data_Price '!AL$2:AL$1266,MATCH(Data!$DN116,'Data_Price '!$AT$2:$AT$1266,0))</f>
        <v>Snowcountry.eu</v>
      </c>
      <c r="DD116">
        <f>INDEX('Data_Price '!AM$2:AM$1266,MATCH(Data!$DN116,'Data_Price '!$AT$2:$AT$1266,0))</f>
        <v>460.11</v>
      </c>
      <c r="DE116" t="str">
        <f>INDEX('Data_Price '!AN$2:AN$1266,MATCH(Data!$DN116,'Data_Price '!$AT$2:$AT$1266,0))</f>
        <v>https://tinyurl.com/y7wj4eu4</v>
      </c>
      <c r="DF116" t="str">
        <f>INDEX('Data_Price '!AO$2:AO$1266,MATCH(Data!$DN116,'Data_Price '!$AT$2:$AT$1266,0))</f>
        <v>Nordica Santa Ana Free 110 Skis Â· Women's Â· 2021 Â· 177 cm</v>
      </c>
      <c r="DG116" t="str">
        <f>INDEX('Data_Price '!AP$2:AP$1266,MATCH(Data!$DN116,'Data_Price '!$AT$2:$AT$1266,0))</f>
        <v>Curated</v>
      </c>
      <c r="DH116">
        <f>INDEX('Data_Price '!AQ$2:AQ$1266,MATCH(Data!$DN116,'Data_Price '!$AT$2:$AT$1266,0))</f>
        <v>559.99</v>
      </c>
      <c r="DI116" t="str">
        <f>INDEX('Data_Price '!AR$2:AR$1266,MATCH(Data!$DN116,'Data_Price '!$AT$2:$AT$1266,0))</f>
        <v>https://tinyurl.com/y9ma8yn5</v>
      </c>
      <c r="DJ116" s="89" t="str">
        <f t="shared" si="69"/>
        <v>https://tinyurl.com/yd9yvnzf</v>
      </c>
      <c r="DK116" s="89" t="str">
        <f t="shared" si="70"/>
        <v>https://tinyurl.com/y7wj4eu4</v>
      </c>
      <c r="DL116" s="89" t="str">
        <f t="shared" si="71"/>
        <v>https://tinyurl.com/y9ma8yn5</v>
      </c>
      <c r="DM116" s="219" t="str">
        <f t="shared" si="72"/>
        <v>Santa Ana 110 Free</v>
      </c>
      <c r="DN116" s="89" t="str">
        <f t="shared" si="73"/>
        <v xml:space="preserve"> NordicaSanta Ana 110 Free177 Women's</v>
      </c>
      <c r="DO116" s="221" t="s">
        <v>334</v>
      </c>
    </row>
    <row r="117" spans="2:119" ht="15.6" customHeight="1">
      <c r="B117" s="219" t="b">
        <f t="array" ref="B117">IF(OR(ISERROR(K117:P117)),FALSE,TRUE)</f>
        <v>1</v>
      </c>
      <c r="C117" s="43" t="b">
        <f>OR(BR117=Driver!$G$50,Data!BR1159=Driver!$H$50)</f>
        <v>1</v>
      </c>
      <c r="D117" s="43" t="b">
        <f>OR(BV117=Driver!$G$51,BV117=Driver!$H$51)</f>
        <v>1</v>
      </c>
      <c r="E117" s="43" t="b">
        <f>AND(BX117&gt;Driver!$F$54,BX117&lt;Driver!$G$54)</f>
        <v>0</v>
      </c>
      <c r="F117" s="43" t="b">
        <f>CL117&gt;Driver!$F$56</f>
        <v>1</v>
      </c>
      <c r="G117" s="43" t="b">
        <f>AND(CB117&gt;Driver!$F$55,CB117&lt;Driver!$G$55)</f>
        <v>1</v>
      </c>
      <c r="H117" s="43" t="b">
        <f t="shared" si="37"/>
        <v>0</v>
      </c>
      <c r="I117" s="43">
        <f t="shared" si="38"/>
        <v>1</v>
      </c>
      <c r="J117" s="43" t="b">
        <f t="array" ref="J117">NOT(OR(($H$9:$H$1273=TRUE)*($I$9:$I$1273&gt;0)*($BT$9:$BT$1273=BT117)*($K$9:$K$1273&gt;K117)))</f>
        <v>0</v>
      </c>
      <c r="K117" s="72">
        <f t="shared" si="39"/>
        <v>0.83483786632872126</v>
      </c>
      <c r="L117" s="72">
        <f t="shared" si="40"/>
        <v>0.92717082335086576</v>
      </c>
      <c r="M117" s="72">
        <f t="shared" si="41"/>
        <v>0.74250490930657675</v>
      </c>
      <c r="N117" s="72">
        <f t="shared" si="42"/>
        <v>0.61518931307120328</v>
      </c>
      <c r="O117" s="72">
        <f t="shared" si="43"/>
        <v>0.6568805153697479</v>
      </c>
      <c r="P117" s="72">
        <f t="shared" si="44"/>
        <v>0.95544489947877886</v>
      </c>
      <c r="Q117" s="72"/>
      <c r="R117" s="72"/>
      <c r="S117" s="72">
        <f t="shared" si="45"/>
        <v>0.48572233695851708</v>
      </c>
      <c r="T117" s="72">
        <f t="shared" si="46"/>
        <v>0.46502878022584193</v>
      </c>
      <c r="U117" s="72">
        <f t="shared" si="47"/>
        <v>0.52202940052098223</v>
      </c>
      <c r="V117" s="72">
        <f t="shared" si="48"/>
        <v>0.61088698908656025</v>
      </c>
      <c r="W117" s="72">
        <f t="shared" si="49"/>
        <v>0.79170755170755169</v>
      </c>
      <c r="X117" s="72">
        <f t="shared" si="50"/>
        <v>7.2829176649134242E-2</v>
      </c>
      <c r="Y117" s="72">
        <f t="shared" si="51"/>
        <v>0.2574950906934233</v>
      </c>
      <c r="Z117" s="72">
        <f t="shared" si="52"/>
        <v>0.38481068692879672</v>
      </c>
      <c r="AA117" s="72">
        <f t="shared" si="53"/>
        <v>0.34311948463025205</v>
      </c>
      <c r="AB117" s="72">
        <f t="shared" si="54"/>
        <v>4.4555100521221136E-2</v>
      </c>
      <c r="AC117" s="72"/>
      <c r="AD117" s="72"/>
      <c r="AE117" s="72">
        <f t="shared" si="55"/>
        <v>0.51427766304148292</v>
      </c>
      <c r="AF117" s="72">
        <f t="shared" si="56"/>
        <v>0.53497121977415807</v>
      </c>
      <c r="AG117" s="72">
        <f t="shared" si="57"/>
        <v>0.47797059947901782</v>
      </c>
      <c r="AH117" s="72">
        <f t="shared" si="58"/>
        <v>0.38911301091343975</v>
      </c>
      <c r="AI117" s="72">
        <f t="shared" si="59"/>
        <v>0.20829244829244831</v>
      </c>
      <c r="AJ117" s="72">
        <f>(AV117-Driver!$K$179)/(Driver!$L$179-Driver!$K$179)</f>
        <v>0.32704858593183467</v>
      </c>
      <c r="AK117" s="72">
        <f>(AW117-Driver!$K$180)/(Driver!$L$180-Driver!$K$180)</f>
        <v>0.31669082915089414</v>
      </c>
      <c r="AL117" s="72">
        <f>(AX117-Driver!$K$181)/(Driver!$L$181-Driver!$K$181)</f>
        <v>0.48649845064187691</v>
      </c>
      <c r="AM117" s="72">
        <f>(AY117-Driver!$K$182)/(Driver!$L$182-Driver!$K$182)</f>
        <v>0.10426553646679432</v>
      </c>
      <c r="AN117" s="72">
        <f>(AZ117-Driver!$K$183)/(Driver!$L$183-Driver!$K$183)</f>
        <v>0.29877450980392156</v>
      </c>
      <c r="AO117" s="72"/>
      <c r="AP117" s="72"/>
      <c r="AQ117" s="72">
        <f>(BC117-Driver!$K$188)/(Driver!$L$188-Driver!$K$188)</f>
        <v>0.10572233695851709</v>
      </c>
      <c r="AR117" s="72">
        <f>MIN((BD117-Driver!$K$189)/(Driver!$L$189-Driver!$K$189),100%)</f>
        <v>1.5028780225841929E-2</v>
      </c>
      <c r="AS117" s="72">
        <f>(BE117-Driver!$K$190)/(Driver!$L$190-Driver!$K$190)</f>
        <v>3.2029400520982187E-2</v>
      </c>
      <c r="AT117" s="72">
        <f>(BF117-Driver!$K$191)/(Driver!$L$191-Driver!$K$191)</f>
        <v>0.12088698908656025</v>
      </c>
      <c r="AU117" s="72">
        <f>(BG117-Driver!$K$192)/(Driver!$L$192-Driver!$K$192)</f>
        <v>4.1707551707551707E-2</v>
      </c>
      <c r="AV117" s="70">
        <f t="shared" si="60"/>
        <v>6.8833943833943838</v>
      </c>
      <c r="AW117" s="70">
        <f t="shared" si="61"/>
        <v>32.736220088425924</v>
      </c>
      <c r="AX117" s="70">
        <f t="shared" si="62"/>
        <v>5.3784860557768921</v>
      </c>
      <c r="AY117" s="70">
        <f>IFERROR(Driver!$K$19/Data!BH117/Data!BI117*Data!BK117*Data!BL117,"")</f>
        <v>0.12765212646883722</v>
      </c>
      <c r="AZ117" s="70">
        <f t="shared" si="63"/>
        <v>27.230081906180192</v>
      </c>
      <c r="BA117" s="70"/>
      <c r="BB117" s="70"/>
      <c r="BC117" s="70">
        <f t="shared" si="64"/>
        <v>54.838911150145506</v>
      </c>
      <c r="BD117" s="70">
        <f t="shared" si="65"/>
        <v>3.0508433046619232</v>
      </c>
      <c r="BE117" s="70">
        <f t="shared" si="66"/>
        <v>3.2202075580956065E-2</v>
      </c>
      <c r="BF117" s="70">
        <f t="shared" si="67"/>
        <v>13.653336138162796</v>
      </c>
      <c r="BG117" s="70">
        <f t="shared" si="68"/>
        <v>0.15793139730639733</v>
      </c>
      <c r="BH117" s="67">
        <f>MAX((CE117-Driver!$F$200)/(Driver!$G$200-Driver!$F$200)*$BI$1,1)</f>
        <v>5.3784860557768921</v>
      </c>
      <c r="BI117" s="67">
        <f>MAX($BI$1*(BY117-Driver!$F$201)/(Driver!$G$201-Driver!$F$201),1)</f>
        <v>6.7088607594936711</v>
      </c>
      <c r="BJ117" s="67">
        <f>(CB117-Driver!$F$206)/(Driver!$G$206-Driver!$F$206)*$BI$1</f>
        <v>6.5079365079365079</v>
      </c>
      <c r="BK117" s="67">
        <f>(CD117-Driver!$F$203)/(Driver!$G$203-Driver!$F$203)*$BI$1</f>
        <v>5.1376146788990837</v>
      </c>
      <c r="BL117" s="67">
        <f>MAX((CR117-Driver!$F$202)/(Driver!$G$202-Driver!$F$202)*$BI$1,1)</f>
        <v>4.4827586206896548</v>
      </c>
      <c r="BM117" s="67">
        <f>MAX((CH117-Driver!$F$204)/(Driver!$G$204-Driver!$F$204)*$BI$1,1)</f>
        <v>4.2307692307692308</v>
      </c>
      <c r="BN117" s="67">
        <f>(CI117-Driver!$F$205)/(Driver!$G$205-Driver!$F$205)*$BI$1</f>
        <v>4.0588235294117645</v>
      </c>
      <c r="BO117" s="67">
        <f>(CK117-Driver!$F$207)/(Driver!$G$207-Driver!$F$207)*$BI$1</f>
        <v>3.7745604963805586</v>
      </c>
      <c r="BP117" s="67">
        <f>(CM117-Driver!$F$208)/(Driver!$G$208-Driver!$F$208)*$BI$1</f>
        <v>2.8555555555555556</v>
      </c>
      <c r="BQ117" s="67">
        <f>(CL117-Driver!$F$209)/(Driver!$G$209-Driver!$F$209)*$BI$1</f>
        <v>3.59375</v>
      </c>
      <c r="BR117" s="28" t="s">
        <v>155</v>
      </c>
      <c r="BS117" s="8" t="s">
        <v>229</v>
      </c>
      <c r="BT117" s="9" t="s">
        <v>335</v>
      </c>
      <c r="BU117" s="10">
        <v>186</v>
      </c>
      <c r="BV117" s="9" t="s">
        <v>158</v>
      </c>
      <c r="BW117" s="10">
        <v>186</v>
      </c>
      <c r="BX117" s="10">
        <v>186.9</v>
      </c>
      <c r="BY117" s="10">
        <v>114</v>
      </c>
      <c r="BZ117" s="10">
        <v>162</v>
      </c>
      <c r="CA117" s="10">
        <v>145</v>
      </c>
      <c r="CB117" s="10">
        <v>105</v>
      </c>
      <c r="CC117" s="10">
        <v>127</v>
      </c>
      <c r="CD117" s="10">
        <v>20.6</v>
      </c>
      <c r="CE117" s="10">
        <v>1845</v>
      </c>
      <c r="CF117" s="10">
        <v>1.19</v>
      </c>
      <c r="CG117" s="10">
        <v>2189</v>
      </c>
      <c r="CH117" s="10">
        <v>200</v>
      </c>
      <c r="CI117" s="10">
        <v>102</v>
      </c>
      <c r="CJ117" s="10">
        <v>55</v>
      </c>
      <c r="CK117" s="10">
        <v>475</v>
      </c>
      <c r="CL117" s="10">
        <v>23</v>
      </c>
      <c r="CM117" s="10">
        <v>257</v>
      </c>
      <c r="CN117" s="10">
        <v>0.41699999999999998</v>
      </c>
      <c r="CO117" s="10">
        <v>145</v>
      </c>
      <c r="CP117" s="10">
        <v>103</v>
      </c>
      <c r="CQ117" s="10">
        <v>330</v>
      </c>
      <c r="CR117" s="10">
        <v>2</v>
      </c>
      <c r="CS117" s="10">
        <v>11.3</v>
      </c>
      <c r="CT117" s="9" t="s">
        <v>169</v>
      </c>
      <c r="CU117" s="9" t="s">
        <v>185</v>
      </c>
      <c r="CV117" s="10"/>
      <c r="CW117" s="10"/>
      <c r="CX117" t="e">
        <f>INDEX('Data_Price '!AG$2:AG$1266,MATCH(Data!$DN117,'Data_Price '!$AT$2:$AT$1266,0))</f>
        <v>#N/A</v>
      </c>
      <c r="CY117" t="e">
        <f>INDEX('Data_Price '!AH$2:AH$1266,MATCH(Data!$DN117,'Data_Price '!$AT$2:$AT$1266,0))</f>
        <v>#N/A</v>
      </c>
      <c r="CZ117" t="e">
        <f>INDEX('Data_Price '!AI$2:AI$1266,MATCH(Data!$DN117,'Data_Price '!$AT$2:$AT$1266,0))</f>
        <v>#N/A</v>
      </c>
      <c r="DA117" t="e">
        <f>INDEX('Data_Price '!AJ$2:AJ$1266,MATCH(Data!$DN117,'Data_Price '!$AT$2:$AT$1266,0))</f>
        <v>#N/A</v>
      </c>
      <c r="DB117" t="e">
        <f>INDEX('Data_Price '!AK$2:AK$1266,MATCH(Data!$DN117,'Data_Price '!$AT$2:$AT$1266,0))</f>
        <v>#N/A</v>
      </c>
      <c r="DC117" t="e">
        <f>INDEX('Data_Price '!AL$2:AL$1266,MATCH(Data!$DN117,'Data_Price '!$AT$2:$AT$1266,0))</f>
        <v>#N/A</v>
      </c>
      <c r="DD117" t="e">
        <f>INDEX('Data_Price '!AM$2:AM$1266,MATCH(Data!$DN117,'Data_Price '!$AT$2:$AT$1266,0))</f>
        <v>#N/A</v>
      </c>
      <c r="DE117" t="e">
        <f>INDEX('Data_Price '!AN$2:AN$1266,MATCH(Data!$DN117,'Data_Price '!$AT$2:$AT$1266,0))</f>
        <v>#N/A</v>
      </c>
      <c r="DF117" t="e">
        <f>INDEX('Data_Price '!AO$2:AO$1266,MATCH(Data!$DN117,'Data_Price '!$AT$2:$AT$1266,0))</f>
        <v>#N/A</v>
      </c>
      <c r="DG117" t="e">
        <f>INDEX('Data_Price '!AP$2:AP$1266,MATCH(Data!$DN117,'Data_Price '!$AT$2:$AT$1266,0))</f>
        <v>#N/A</v>
      </c>
      <c r="DH117" t="e">
        <f>INDEX('Data_Price '!AQ$2:AQ$1266,MATCH(Data!$DN117,'Data_Price '!$AT$2:$AT$1266,0))</f>
        <v>#N/A</v>
      </c>
      <c r="DI117" t="e">
        <f>INDEX('Data_Price '!AR$2:AR$1266,MATCH(Data!$DN117,'Data_Price '!$AT$2:$AT$1266,0))</f>
        <v>#N/A</v>
      </c>
      <c r="DJ117" s="89" t="e">
        <f t="shared" si="69"/>
        <v>#N/A</v>
      </c>
      <c r="DK117" s="89" t="e">
        <f t="shared" si="70"/>
        <v>#N/A</v>
      </c>
      <c r="DL117" s="89" t="e">
        <f t="shared" si="71"/>
        <v>#N/A</v>
      </c>
      <c r="DM117" s="219" t="str">
        <f t="shared" si="72"/>
        <v>Blaze 106</v>
      </c>
      <c r="DN117" s="89" t="str">
        <f t="shared" si="73"/>
        <v xml:space="preserve"> VölklBlaze 106186 Unisex</v>
      </c>
      <c r="DO117" s="221" t="s">
        <v>336</v>
      </c>
    </row>
    <row r="118" spans="2:119" ht="15.6" customHeight="1">
      <c r="B118" s="219" t="b">
        <f t="array" ref="B118">IF(OR(ISERROR(K118:P118)),FALSE,TRUE)</f>
        <v>1</v>
      </c>
      <c r="C118" s="43" t="b">
        <f>OR(BR118=Driver!$G$50,Data!BR566=Driver!$H$50)</f>
        <v>1</v>
      </c>
      <c r="D118" s="43" t="b">
        <f>OR(BV118=Driver!$G$51,BV118=Driver!$H$51)</f>
        <v>0</v>
      </c>
      <c r="E118" s="43" t="b">
        <f>AND(BX118&gt;Driver!$F$54,BX118&lt;Driver!$G$54)</f>
        <v>0</v>
      </c>
      <c r="F118" s="43" t="b">
        <f>CL118&gt;Driver!$F$56</f>
        <v>1</v>
      </c>
      <c r="G118" s="43" t="b">
        <f>AND(CB118&gt;Driver!$F$55,CB118&lt;Driver!$G$55)</f>
        <v>1</v>
      </c>
      <c r="H118" s="43" t="b">
        <f t="shared" si="37"/>
        <v>0</v>
      </c>
      <c r="I118" s="43">
        <f t="shared" si="38"/>
        <v>0</v>
      </c>
      <c r="J118" s="43" t="b">
        <f t="array" ref="J118">NOT(OR(($H$9:$H$1273=TRUE)*($I$9:$I$1273&gt;0)*($BT$9:$BT$1273=BT118)*($K$9:$K$1273&gt;K118)))</f>
        <v>1</v>
      </c>
      <c r="K118" s="72">
        <f t="shared" si="39"/>
        <v>0.8055623098548631</v>
      </c>
      <c r="L118" s="72">
        <f t="shared" si="40"/>
        <v>0.87262243885324264</v>
      </c>
      <c r="M118" s="72">
        <f t="shared" si="41"/>
        <v>0.73850218085648356</v>
      </c>
      <c r="N118" s="72">
        <f t="shared" si="42"/>
        <v>0.66198625229842145</v>
      </c>
      <c r="O118" s="72">
        <f t="shared" si="43"/>
        <v>0.62577146922362303</v>
      </c>
      <c r="P118" s="72">
        <f t="shared" si="44"/>
        <v>0.9277488210474063</v>
      </c>
      <c r="Q118" s="72"/>
      <c r="R118" s="72"/>
      <c r="S118" s="72">
        <f t="shared" si="45"/>
        <v>0.44297501954259422</v>
      </c>
      <c r="T118" s="72">
        <f t="shared" si="46"/>
        <v>0.54550930851565749</v>
      </c>
      <c r="U118" s="72">
        <f t="shared" si="47"/>
        <v>0.54421206196544114</v>
      </c>
      <c r="V118" s="72">
        <f t="shared" si="48"/>
        <v>0.60641969638553617</v>
      </c>
      <c r="W118" s="72">
        <f t="shared" si="49"/>
        <v>0.79260727611940296</v>
      </c>
      <c r="X118" s="72">
        <f t="shared" si="50"/>
        <v>0.12737756114675736</v>
      </c>
      <c r="Y118" s="72">
        <f t="shared" si="51"/>
        <v>0.26149781914351644</v>
      </c>
      <c r="Z118" s="72">
        <f t="shared" si="52"/>
        <v>0.3380137477015786</v>
      </c>
      <c r="AA118" s="72">
        <f t="shared" si="53"/>
        <v>0.37422853077637697</v>
      </c>
      <c r="AB118" s="72">
        <f t="shared" si="54"/>
        <v>7.2251178952593698E-2</v>
      </c>
      <c r="AC118" s="72"/>
      <c r="AD118" s="72"/>
      <c r="AE118" s="72">
        <f t="shared" si="55"/>
        <v>0.55702498045740578</v>
      </c>
      <c r="AF118" s="72">
        <f t="shared" si="56"/>
        <v>0.45449069148434251</v>
      </c>
      <c r="AG118" s="72">
        <f t="shared" si="57"/>
        <v>0.45578793803455886</v>
      </c>
      <c r="AH118" s="72">
        <f t="shared" si="58"/>
        <v>0.39358030361446378</v>
      </c>
      <c r="AI118" s="72">
        <f t="shared" si="59"/>
        <v>0.20739272388059701</v>
      </c>
      <c r="AJ118" s="72">
        <f>(AV118-Driver!$K$179)/(Driver!$L$179-Driver!$K$179)</f>
        <v>0.38159697042945778</v>
      </c>
      <c r="AK118" s="72">
        <f>(AW118-Driver!$K$180)/(Driver!$L$180-Driver!$K$180)</f>
        <v>0.33787864446669896</v>
      </c>
      <c r="AL118" s="72">
        <f>(AX118-Driver!$K$181)/(Driver!$L$181-Driver!$K$181)</f>
        <v>0.4397015114146588</v>
      </c>
      <c r="AM118" s="72">
        <f>(AY118-Driver!$K$182)/(Driver!$L$182-Driver!$K$182)</f>
        <v>7.3156490320669385E-2</v>
      </c>
      <c r="AN118" s="72">
        <f>(AZ118-Driver!$K$183)/(Driver!$L$183-Driver!$K$183)</f>
        <v>0.32647058823529412</v>
      </c>
      <c r="AO118" s="72"/>
      <c r="AP118" s="72"/>
      <c r="AQ118" s="72">
        <f>(BC118-Driver!$K$188)/(Driver!$L$188-Driver!$K$188)</f>
        <v>6.2975019542594241E-2</v>
      </c>
      <c r="AR118" s="72">
        <f>MIN((BD118-Driver!$K$189)/(Driver!$L$189-Driver!$K$189),100%)</f>
        <v>9.5509308515657559E-2</v>
      </c>
      <c r="AS118" s="72">
        <f>(BE118-Driver!$K$190)/(Driver!$L$190-Driver!$K$190)</f>
        <v>5.4212061965441136E-2</v>
      </c>
      <c r="AT118" s="72">
        <f>(BF118-Driver!$K$191)/(Driver!$L$191-Driver!$K$191)</f>
        <v>0.11641969638553622</v>
      </c>
      <c r="AU118" s="72">
        <f>(BG118-Driver!$K$192)/(Driver!$L$192-Driver!$K$192)</f>
        <v>4.260727611940298E-2</v>
      </c>
      <c r="AV118" s="70">
        <f t="shared" si="60"/>
        <v>8.0314746981413663</v>
      </c>
      <c r="AW118" s="70">
        <f t="shared" si="61"/>
        <v>34.801160434093617</v>
      </c>
      <c r="AX118" s="70">
        <f t="shared" si="62"/>
        <v>4.9573136027319293</v>
      </c>
      <c r="AY118" s="70">
        <f>IFERROR(Driver!$K$19/Data!BH118/Data!BI118*Data!BK118*Data!BL118,"")</f>
        <v>8.9565371942477226E-2</v>
      </c>
      <c r="AZ118" s="70">
        <f t="shared" si="63"/>
        <v>29.754281459419211</v>
      </c>
      <c r="BA118" s="70"/>
      <c r="BB118" s="70"/>
      <c r="BC118" s="70">
        <f t="shared" si="64"/>
        <v>32.665580431976885</v>
      </c>
      <c r="BD118" s="70">
        <f t="shared" si="65"/>
        <v>10.173227455252743</v>
      </c>
      <c r="BE118" s="70">
        <f t="shared" si="66"/>
        <v>5.4380779888289814E-2</v>
      </c>
      <c r="BF118" s="70">
        <f t="shared" si="67"/>
        <v>13.148786812089597</v>
      </c>
      <c r="BG118" s="70">
        <f t="shared" si="68"/>
        <v>0.16133832789179103</v>
      </c>
      <c r="BH118" s="67">
        <f>MAX((CE118-Driver!$F$200)/(Driver!$G$200-Driver!$F$200)*$BI$1,1)</f>
        <v>4.9573136027319293</v>
      </c>
      <c r="BI118" s="67">
        <f>MAX($BI$1*(BY118-Driver!$F$201)/(Driver!$G$201-Driver!$F$201),1)</f>
        <v>7.0253164556962027</v>
      </c>
      <c r="BJ118" s="67">
        <f>(CB118-Driver!$F$206)/(Driver!$G$206-Driver!$F$206)*$BI$1</f>
        <v>5.8730158730158735</v>
      </c>
      <c r="BK118" s="67">
        <f>(CD118-Driver!$F$203)/(Driver!$G$203-Driver!$F$203)*$BI$1</f>
        <v>2.6605504587155959</v>
      </c>
      <c r="BL118" s="67">
        <f>MAX((CR118-Driver!$F$202)/(Driver!$G$202-Driver!$F$202)*$BI$1,1)</f>
        <v>5.8620689655172411</v>
      </c>
      <c r="BM118" s="67">
        <f>MAX((CH118-Driver!$F$204)/(Driver!$G$204-Driver!$F$204)*$BI$1,1)</f>
        <v>5.4700854700854702</v>
      </c>
      <c r="BN118" s="67">
        <f>(CI118-Driver!$F$205)/(Driver!$G$205-Driver!$F$205)*$BI$1</f>
        <v>4.2352941176470589</v>
      </c>
      <c r="BO118" s="67">
        <f>(CK118-Driver!$F$207)/(Driver!$G$207-Driver!$F$207)*$BI$1</f>
        <v>2.792140641158221</v>
      </c>
      <c r="BP118" s="67">
        <f>(CM118-Driver!$F$208)/(Driver!$G$208-Driver!$F$208)*$BI$1</f>
        <v>2.1333333333333333</v>
      </c>
      <c r="BQ118" s="67">
        <f>(CL118-Driver!$F$209)/(Driver!$G$209-Driver!$F$209)*$BI$1</f>
        <v>4.375</v>
      </c>
      <c r="BR118" s="28" t="s">
        <v>155</v>
      </c>
      <c r="BS118" s="8" t="s">
        <v>245</v>
      </c>
      <c r="BT118" s="9" t="s">
        <v>337</v>
      </c>
      <c r="BU118" s="10">
        <v>177</v>
      </c>
      <c r="BV118" s="9" t="s">
        <v>163</v>
      </c>
      <c r="BW118" s="10">
        <v>177</v>
      </c>
      <c r="BX118" s="10">
        <v>176.5</v>
      </c>
      <c r="BY118" s="10">
        <v>119</v>
      </c>
      <c r="BZ118" s="10">
        <v>147</v>
      </c>
      <c r="CA118" s="10">
        <v>135</v>
      </c>
      <c r="CB118" s="10">
        <v>101</v>
      </c>
      <c r="CC118" s="10">
        <v>125</v>
      </c>
      <c r="CD118" s="10">
        <v>15.2</v>
      </c>
      <c r="CE118" s="10">
        <v>1771</v>
      </c>
      <c r="CF118" s="10">
        <v>1.1299999999999999</v>
      </c>
      <c r="CG118" s="10">
        <v>2009</v>
      </c>
      <c r="CH118" s="10">
        <v>229</v>
      </c>
      <c r="CI118" s="10">
        <v>105</v>
      </c>
      <c r="CJ118" s="10">
        <v>49</v>
      </c>
      <c r="CK118" s="10">
        <v>380</v>
      </c>
      <c r="CL118" s="10">
        <v>28</v>
      </c>
      <c r="CM118" s="10">
        <v>192</v>
      </c>
      <c r="CN118" s="10">
        <v>0.57499999999999996</v>
      </c>
      <c r="CO118" s="10">
        <v>148</v>
      </c>
      <c r="CP118" s="10">
        <v>152</v>
      </c>
      <c r="CQ118" s="10">
        <v>232</v>
      </c>
      <c r="CR118" s="10">
        <v>6</v>
      </c>
      <c r="CS118" s="10">
        <v>10.7</v>
      </c>
      <c r="CT118" s="9" t="s">
        <v>188</v>
      </c>
      <c r="CU118" s="9" t="s">
        <v>169</v>
      </c>
      <c r="CV118" s="9" t="s">
        <v>185</v>
      </c>
      <c r="CW118" s="10"/>
      <c r="CX118" t="str">
        <f>INDEX('Data_Price '!AG$2:AG$1266,MATCH(Data!$DN118,'Data_Price '!$AT$2:$AT$1266,0))</f>
        <v>Fischer Ranger 102 FR Skis (Pink)</v>
      </c>
      <c r="CY118" t="str">
        <f>INDEX('Data_Price '!AH$2:AH$1266,MATCH(Data!$DN118,'Data_Price '!$AT$2:$AT$1266,0))</f>
        <v>ColoradoSkiShop.com</v>
      </c>
      <c r="CZ118">
        <f>INDEX('Data_Price '!AI$2:AI$1266,MATCH(Data!$DN118,'Data_Price '!$AT$2:$AT$1266,0))</f>
        <v>699.99</v>
      </c>
      <c r="DA118" t="str">
        <f>INDEX('Data_Price '!AJ$2:AJ$1266,MATCH(Data!$DN118,'Data_Price '!$AT$2:$AT$1266,0))</f>
        <v>https://tinyurl.com/yd5vdygv</v>
      </c>
      <c r="DB118" t="str">
        <f>INDEX('Data_Price '!AK$2:AK$1266,MATCH(Data!$DN118,'Data_Price '!$AT$2:$AT$1266,0))</f>
        <v>Fischer Ranger 94 FR Women's Skis 2021 177cm</v>
      </c>
      <c r="DC118" t="str">
        <f>INDEX('Data_Price '!AL$2:AL$1266,MATCH(Data!$DN118,'Data_Price '!$AT$2:$AT$1266,0))</f>
        <v>Powder7 Ski Shop</v>
      </c>
      <c r="DD118">
        <f>INDEX('Data_Price '!AM$2:AM$1266,MATCH(Data!$DN118,'Data_Price '!$AT$2:$AT$1266,0))</f>
        <v>419.99</v>
      </c>
      <c r="DE118" t="str">
        <f>INDEX('Data_Price '!AN$2:AN$1266,MATCH(Data!$DN118,'Data_Price '!$AT$2:$AT$1266,0))</f>
        <v>https://tinyurl.com/y89p456l</v>
      </c>
      <c r="DF118" t="str">
        <f>INDEX('Data_Price '!AO$2:AO$1266,MATCH(Data!$DN118,'Data_Price '!$AT$2:$AT$1266,0))</f>
        <v>Ranger 94 Fr 177</v>
      </c>
      <c r="DG118" t="str">
        <f>INDEX('Data_Price '!AP$2:AP$1266,MATCH(Data!$DN118,'Data_Price '!$AT$2:$AT$1266,0))</f>
        <v>Pro Ski and Mountain Service</v>
      </c>
      <c r="DH118">
        <f>INDEX('Data_Price '!AQ$2:AQ$1266,MATCH(Data!$DN118,'Data_Price '!$AT$2:$AT$1266,0))</f>
        <v>699.99</v>
      </c>
      <c r="DI118" t="str">
        <f>INDEX('Data_Price '!AR$2:AR$1266,MATCH(Data!$DN118,'Data_Price '!$AT$2:$AT$1266,0))</f>
        <v>https://tinyurl.com/y74kyegg</v>
      </c>
      <c r="DJ118" s="89" t="str">
        <f t="shared" si="69"/>
        <v>https://tinyurl.com/yd5vdygv</v>
      </c>
      <c r="DK118" s="89" t="str">
        <f t="shared" si="70"/>
        <v>https://tinyurl.com/y89p456l</v>
      </c>
      <c r="DL118" s="89" t="str">
        <f t="shared" si="71"/>
        <v>https://tinyurl.com/y74kyegg</v>
      </c>
      <c r="DM118" s="219" t="str">
        <f t="shared" si="72"/>
        <v>Ranger 102 FR W</v>
      </c>
      <c r="DN118" s="89" t="str">
        <f t="shared" si="73"/>
        <v xml:space="preserve"> FischerRanger 102 FR W177 Women's</v>
      </c>
      <c r="DO118" s="221"/>
    </row>
    <row r="119" spans="2:119" ht="15.6" customHeight="1">
      <c r="B119" s="219" t="b">
        <f t="array" ref="B119">IF(OR(ISERROR(K119:P119)),FALSE,TRUE)</f>
        <v>1</v>
      </c>
      <c r="C119" s="43" t="b">
        <f>OR(BR119=Driver!$G$50,Data!BR877=Driver!$H$50)</f>
        <v>1</v>
      </c>
      <c r="D119" s="43" t="b">
        <f>OR(BV119=Driver!$G$51,BV119=Driver!$H$51)</f>
        <v>1</v>
      </c>
      <c r="E119" s="43" t="b">
        <f>AND(BX119&gt;Driver!$F$54,BX119&lt;Driver!$G$54)</f>
        <v>0</v>
      </c>
      <c r="F119" s="43" t="b">
        <f>CL119&gt;Driver!$F$56</f>
        <v>1</v>
      </c>
      <c r="G119" s="43" t="b">
        <f>AND(CB119&gt;Driver!$F$55,CB119&lt;Driver!$G$55)</f>
        <v>1</v>
      </c>
      <c r="H119" s="43" t="b">
        <f t="shared" si="37"/>
        <v>0</v>
      </c>
      <c r="I119" s="43">
        <f t="shared" si="38"/>
        <v>0</v>
      </c>
      <c r="J119" s="43" t="b">
        <f t="array" ref="J119">NOT(OR(($H$9:$H$1273=TRUE)*($I$9:$I$1273&gt;0)*($BT$9:$BT$1273=BT119)*($K$9:$K$1273&gt;K119)))</f>
        <v>1</v>
      </c>
      <c r="K119" s="72">
        <f t="shared" si="39"/>
        <v>0.88235291484193779</v>
      </c>
      <c r="L119" s="72">
        <f t="shared" si="40"/>
        <v>0.9597225919432435</v>
      </c>
      <c r="M119" s="72">
        <f t="shared" si="41"/>
        <v>0.80498323774063207</v>
      </c>
      <c r="N119" s="72">
        <f t="shared" si="42"/>
        <v>0.75305056647030533</v>
      </c>
      <c r="O119" s="72">
        <f t="shared" si="43"/>
        <v>0.70161692204736315</v>
      </c>
      <c r="P119" s="72">
        <f t="shared" si="44"/>
        <v>0.96028222470422775</v>
      </c>
      <c r="Q119" s="72"/>
      <c r="R119" s="72"/>
      <c r="S119" s="72">
        <f t="shared" si="45"/>
        <v>0.44352793340204344</v>
      </c>
      <c r="T119" s="72">
        <f t="shared" si="46"/>
        <v>0.45783366176904083</v>
      </c>
      <c r="U119" s="72">
        <f t="shared" si="47"/>
        <v>0.50588421158704766</v>
      </c>
      <c r="V119" s="72">
        <f t="shared" si="48"/>
        <v>0.70271440985129896</v>
      </c>
      <c r="W119" s="72">
        <f t="shared" si="49"/>
        <v>0.84608787118698925</v>
      </c>
      <c r="X119" s="72">
        <f t="shared" si="50"/>
        <v>4.0277408056756503E-2</v>
      </c>
      <c r="Y119" s="72">
        <f t="shared" si="51"/>
        <v>0.19501676225936793</v>
      </c>
      <c r="Z119" s="72">
        <f t="shared" si="52"/>
        <v>0.24694943352969467</v>
      </c>
      <c r="AA119" s="72">
        <f t="shared" si="53"/>
        <v>0.29838307795263685</v>
      </c>
      <c r="AB119" s="72">
        <f t="shared" si="54"/>
        <v>3.9717775295772306E-2</v>
      </c>
      <c r="AC119" s="72"/>
      <c r="AD119" s="72"/>
      <c r="AE119" s="72">
        <f t="shared" si="55"/>
        <v>0.55647206659795656</v>
      </c>
      <c r="AF119" s="72">
        <f t="shared" si="56"/>
        <v>0.54216633823095917</v>
      </c>
      <c r="AG119" s="72">
        <f t="shared" si="57"/>
        <v>0.49411578841295234</v>
      </c>
      <c r="AH119" s="72">
        <f t="shared" si="58"/>
        <v>0.29728559014870104</v>
      </c>
      <c r="AI119" s="72">
        <f t="shared" si="59"/>
        <v>0.15391212881301075</v>
      </c>
      <c r="AJ119" s="72">
        <f>(AV119-Driver!$K$179)/(Driver!$L$179-Driver!$K$179)</f>
        <v>0.29449681733945693</v>
      </c>
      <c r="AK119" s="72">
        <f>(AW119-Driver!$K$180)/(Driver!$L$180-Driver!$K$180)</f>
        <v>0.2257135040929098</v>
      </c>
      <c r="AL119" s="72">
        <f>(AX119-Driver!$K$181)/(Driver!$L$181-Driver!$K$181)</f>
        <v>0.34863719724277487</v>
      </c>
      <c r="AM119" s="72">
        <f>(AY119-Driver!$K$182)/(Driver!$L$182-Driver!$K$182)</f>
        <v>0.14900194314440948</v>
      </c>
      <c r="AN119" s="72">
        <f>(AZ119-Driver!$K$183)/(Driver!$L$183-Driver!$K$183)</f>
        <v>0.21450163398692812</v>
      </c>
      <c r="AO119" s="72"/>
      <c r="AP119" s="72"/>
      <c r="AQ119" s="72">
        <f>(BC119-Driver!$K$188)/(Driver!$L$188-Driver!$K$188)</f>
        <v>6.3527933402043463E-2</v>
      </c>
      <c r="AR119" s="72">
        <f>MIN((BD119-Driver!$K$189)/(Driver!$L$189-Driver!$K$189),100%)</f>
        <v>7.8336617690409026E-3</v>
      </c>
      <c r="AS119" s="72">
        <f>(BE119-Driver!$K$190)/(Driver!$L$190-Driver!$K$190)</f>
        <v>1.588421158704769E-2</v>
      </c>
      <c r="AT119" s="72">
        <f>(BF119-Driver!$K$191)/(Driver!$L$191-Driver!$K$191)</f>
        <v>0.21271440985129897</v>
      </c>
      <c r="AU119" s="72">
        <f>(BG119-Driver!$K$192)/(Driver!$L$192-Driver!$K$192)</f>
        <v>9.6087871186989235E-2</v>
      </c>
      <c r="AV119" s="70">
        <f t="shared" si="60"/>
        <v>6.198277031610365</v>
      </c>
      <c r="AW119" s="70">
        <f t="shared" si="61"/>
        <v>23.869673620417885</v>
      </c>
      <c r="AX119" s="70">
        <f t="shared" si="62"/>
        <v>4.137734775184974</v>
      </c>
      <c r="AY119" s="70">
        <f>IFERROR(Driver!$K$19/Data!BH119/Data!BI119*Data!BK119*Data!BL119,"")</f>
        <v>0.18242283629768816</v>
      </c>
      <c r="AZ119" s="70">
        <f t="shared" si="63"/>
        <v>19.549516008935221</v>
      </c>
      <c r="BA119" s="70"/>
      <c r="BB119" s="70"/>
      <c r="BC119" s="70">
        <f t="shared" si="64"/>
        <v>32.952380694667987</v>
      </c>
      <c r="BD119" s="70">
        <f t="shared" si="65"/>
        <v>2.4140880702305401</v>
      </c>
      <c r="BE119" s="70">
        <f t="shared" si="66"/>
        <v>1.6059766767005542E-2</v>
      </c>
      <c r="BF119" s="70">
        <f t="shared" si="67"/>
        <v>24.024598189397683</v>
      </c>
      <c r="BG119" s="70">
        <f t="shared" si="68"/>
        <v>0.36384997774900885</v>
      </c>
      <c r="BH119" s="67">
        <f>MAX((CE119-Driver!$F$200)/(Driver!$G$200-Driver!$F$200)*$BI$1,1)</f>
        <v>4.137734775184974</v>
      </c>
      <c r="BI119" s="67">
        <f>MAX($BI$1*(BY119-Driver!$F$201)/(Driver!$G$201-Driver!$F$201),1)</f>
        <v>5.6329113924050631</v>
      </c>
      <c r="BJ119" s="67">
        <f>(CB119-Driver!$F$206)/(Driver!$G$206-Driver!$F$206)*$BI$1</f>
        <v>6.825396825396826</v>
      </c>
      <c r="BK119" s="67">
        <f>(CD119-Driver!$F$203)/(Driver!$G$203-Driver!$F$203)*$BI$1</f>
        <v>4.4036697247706424</v>
      </c>
      <c r="BL119" s="67">
        <f>MAX((CR119-Driver!$F$202)/(Driver!$G$202-Driver!$F$202)*$BI$1,1)</f>
        <v>4.8275862068965516</v>
      </c>
      <c r="BM119" s="67">
        <f>MAX((CH119-Driver!$F$204)/(Driver!$G$204-Driver!$F$204)*$BI$1,1)</f>
        <v>3.6324786324786325</v>
      </c>
      <c r="BN119" s="67">
        <f>(CI119-Driver!$F$205)/(Driver!$G$205-Driver!$F$205)*$BI$1</f>
        <v>3.4705882352941178</v>
      </c>
      <c r="BO119" s="67">
        <f>(CK119-Driver!$F$207)/(Driver!$G$207-Driver!$F$207)*$BI$1</f>
        <v>3.6711478800413651</v>
      </c>
      <c r="BP119" s="67">
        <f>(CM119-Driver!$F$208)/(Driver!$G$208-Driver!$F$208)*$BI$1</f>
        <v>4.2222222222222223</v>
      </c>
      <c r="BQ119" s="67">
        <f>(CL119-Driver!$F$209)/(Driver!$G$209-Driver!$F$209)*$BI$1</f>
        <v>5.46875</v>
      </c>
      <c r="BR119" s="28" t="s">
        <v>155</v>
      </c>
      <c r="BS119" s="8" t="s">
        <v>208</v>
      </c>
      <c r="BT119" s="9" t="s">
        <v>338</v>
      </c>
      <c r="BU119" s="10">
        <v>183</v>
      </c>
      <c r="BV119" s="9" t="s">
        <v>158</v>
      </c>
      <c r="BW119" s="10">
        <v>183</v>
      </c>
      <c r="BX119" s="10">
        <v>181.7</v>
      </c>
      <c r="BY119" s="10">
        <v>97</v>
      </c>
      <c r="BZ119" s="10">
        <v>148</v>
      </c>
      <c r="CA119" s="10">
        <v>141</v>
      </c>
      <c r="CB119" s="10">
        <v>107</v>
      </c>
      <c r="CC119" s="10">
        <v>127</v>
      </c>
      <c r="CD119" s="10">
        <v>19</v>
      </c>
      <c r="CE119" s="10">
        <v>1627</v>
      </c>
      <c r="CF119" s="10">
        <v>1.31</v>
      </c>
      <c r="CG119" s="10">
        <v>2125</v>
      </c>
      <c r="CH119" s="10">
        <v>186</v>
      </c>
      <c r="CI119" s="10">
        <v>92</v>
      </c>
      <c r="CJ119" s="10">
        <v>55</v>
      </c>
      <c r="CK119" s="10">
        <v>465</v>
      </c>
      <c r="CL119" s="10">
        <v>35</v>
      </c>
      <c r="CM119" s="10">
        <v>380</v>
      </c>
      <c r="CN119" s="10">
        <v>0.64300000000000002</v>
      </c>
      <c r="CO119" s="10">
        <v>164</v>
      </c>
      <c r="CP119" s="10">
        <v>173</v>
      </c>
      <c r="CQ119" s="10">
        <v>302</v>
      </c>
      <c r="CR119" s="10">
        <v>3</v>
      </c>
      <c r="CS119" s="10">
        <v>6.8</v>
      </c>
      <c r="CT119" s="9" t="s">
        <v>169</v>
      </c>
      <c r="CU119" s="9" t="s">
        <v>185</v>
      </c>
      <c r="CV119" s="9" t="s">
        <v>198</v>
      </c>
      <c r="CW119" s="10"/>
      <c r="CX119" t="str">
        <f>INDEX('Data_Price '!AG$2:AG$1266,MATCH(Data!$DN119,'Data_Price '!$AT$2:$AT$1266,0))</f>
        <v>Line Vision 108 Skis 2022</v>
      </c>
      <c r="CY119" t="str">
        <f>INDEX('Data_Price '!AH$2:AH$1266,MATCH(Data!$DN119,'Data_Price '!$AT$2:$AT$1266,0))</f>
        <v>Telemark Pyrenees</v>
      </c>
      <c r="CZ119">
        <f>INDEX('Data_Price '!AI$2:AI$1266,MATCH(Data!$DN119,'Data_Price '!$AT$2:$AT$1266,0))</f>
        <v>421.65</v>
      </c>
      <c r="DA119" t="str">
        <f>INDEX('Data_Price '!AJ$2:AJ$1266,MATCH(Data!$DN119,'Data_Price '!$AT$2:$AT$1266,0))</f>
        <v>https://tinyurl.com/y8zuh32x</v>
      </c>
      <c r="DB119" t="str">
        <f>INDEX('Data_Price '!AK$2:AK$1266,MATCH(Data!$DN119,'Data_Price '!$AT$2:$AT$1266,0))</f>
        <v>Line Vision 108 Skis 2022</v>
      </c>
      <c r="DC119" t="str">
        <f>INDEX('Data_Price '!AL$2:AL$1266,MATCH(Data!$DN119,'Data_Price '!$AT$2:$AT$1266,0))</f>
        <v>! OutdoorXL.com</v>
      </c>
      <c r="DD119">
        <f>INDEX('Data_Price '!AM$2:AM$1266,MATCH(Data!$DN119,'Data_Price '!$AT$2:$AT$1266,0))</f>
        <v>514.95000000000005</v>
      </c>
      <c r="DE119" t="str">
        <f>INDEX('Data_Price '!AN$2:AN$1266,MATCH(Data!$DN119,'Data_Price '!$AT$2:$AT$1266,0))</f>
        <v>https://tinyurl.com/ybmqq94c</v>
      </c>
      <c r="DF119" t="str">
        <f>INDEX('Data_Price '!AO$2:AO$1266,MATCH(Data!$DN119,'Data_Price '!$AT$2:$AT$1266,0))</f>
        <v>Line Vision 108 Skis 2022</v>
      </c>
      <c r="DG119" t="str">
        <f>INDEX('Data_Price '!AP$2:AP$1266,MATCH(Data!$DN119,'Data_Price '!$AT$2:$AT$1266,0))</f>
        <v>The-House.com</v>
      </c>
      <c r="DH119">
        <f>INDEX('Data_Price '!AQ$2:AQ$1266,MATCH(Data!$DN119,'Data_Price '!$AT$2:$AT$1266,0))</f>
        <v>599.95000000000005</v>
      </c>
      <c r="DI119" t="str">
        <f>INDEX('Data_Price '!AR$2:AR$1266,MATCH(Data!$DN119,'Data_Price '!$AT$2:$AT$1266,0))</f>
        <v>https://tinyurl.com/y9kyw2qk</v>
      </c>
      <c r="DJ119" s="89" t="str">
        <f t="shared" si="69"/>
        <v>https://tinyurl.com/y8zuh32x</v>
      </c>
      <c r="DK119" s="89" t="str">
        <f t="shared" si="70"/>
        <v>https://tinyurl.com/ybmqq94c</v>
      </c>
      <c r="DL119" s="89" t="str">
        <f t="shared" si="71"/>
        <v>https://tinyurl.com/y9kyw2qk</v>
      </c>
      <c r="DM119" s="219" t="str">
        <f t="shared" si="72"/>
        <v>Vision 108</v>
      </c>
      <c r="DN119" s="89" t="str">
        <f t="shared" si="73"/>
        <v xml:space="preserve"> LineVision 108183 Unisex</v>
      </c>
      <c r="DO119" s="221" t="s">
        <v>339</v>
      </c>
    </row>
    <row r="120" spans="2:119" ht="15.6" customHeight="1">
      <c r="B120" s="219" t="b">
        <f t="array" ref="B120">IF(OR(ISERROR(K120:P120)),FALSE,TRUE)</f>
        <v>1</v>
      </c>
      <c r="C120" s="43" t="b">
        <f>OR(BR120=Driver!$G$50,Data!BR626=Driver!$H$50)</f>
        <v>1</v>
      </c>
      <c r="D120" s="43" t="b">
        <f>OR(BV120=Driver!$G$51,BV120=Driver!$H$51)</f>
        <v>0</v>
      </c>
      <c r="E120" s="43" t="b">
        <f>AND(BX120&gt;Driver!$F$54,BX120&lt;Driver!$G$54)</f>
        <v>0</v>
      </c>
      <c r="F120" s="43" t="b">
        <f>CL120&gt;Driver!$F$56</f>
        <v>1</v>
      </c>
      <c r="G120" s="43" t="b">
        <f>AND(CB120&gt;Driver!$F$55,CB120&lt;Driver!$G$55)</f>
        <v>0</v>
      </c>
      <c r="H120" s="43" t="b">
        <f t="shared" si="37"/>
        <v>0</v>
      </c>
      <c r="I120" s="43">
        <f t="shared" si="38"/>
        <v>0</v>
      </c>
      <c r="J120" s="43" t="b">
        <f t="array" ref="J120">NOT(OR(($H$9:$H$1273=TRUE)*($I$9:$I$1273&gt;0)*($BT$9:$BT$1273=BT120)*($K$9:$K$1273&gt;K120)))</f>
        <v>1</v>
      </c>
      <c r="K120" s="72">
        <f t="shared" si="39"/>
        <v>0.82032075048857223</v>
      </c>
      <c r="L120" s="72">
        <f t="shared" si="40"/>
        <v>0.90098437584462132</v>
      </c>
      <c r="M120" s="72">
        <f t="shared" si="41"/>
        <v>0.73965712513252302</v>
      </c>
      <c r="N120" s="72">
        <f t="shared" si="42"/>
        <v>0.75368295754094339</v>
      </c>
      <c r="O120" s="72">
        <f t="shared" si="43"/>
        <v>0.6450967863517032</v>
      </c>
      <c r="P120" s="72">
        <f t="shared" si="44"/>
        <v>0.82019163150492269</v>
      </c>
      <c r="Q120" s="72"/>
      <c r="R120" s="72"/>
      <c r="S120" s="72">
        <f t="shared" si="45"/>
        <v>0.48089113561183039</v>
      </c>
      <c r="T120" s="72">
        <f t="shared" si="46"/>
        <v>0.54258757316864781</v>
      </c>
      <c r="U120" s="72">
        <f t="shared" si="47"/>
        <v>0.9734273417328978</v>
      </c>
      <c r="V120" s="72">
        <f t="shared" si="48"/>
        <v>0.51870018479617563</v>
      </c>
      <c r="W120" s="72">
        <f t="shared" si="49"/>
        <v>0.77046811847740848</v>
      </c>
      <c r="X120" s="72">
        <f t="shared" si="50"/>
        <v>9.9015624155378679E-2</v>
      </c>
      <c r="Y120" s="72">
        <f t="shared" si="51"/>
        <v>0.26034287486747693</v>
      </c>
      <c r="Z120" s="72">
        <f t="shared" si="52"/>
        <v>0.24631704245905661</v>
      </c>
      <c r="AA120" s="72">
        <f t="shared" si="53"/>
        <v>0.35490321364829674</v>
      </c>
      <c r="AB120" s="72">
        <f t="shared" si="54"/>
        <v>0.17980836849507736</v>
      </c>
      <c r="AC120" s="72"/>
      <c r="AD120" s="72"/>
      <c r="AE120" s="72">
        <f t="shared" si="55"/>
        <v>0.51910886438816961</v>
      </c>
      <c r="AF120" s="72">
        <f t="shared" si="56"/>
        <v>0.45741242683135214</v>
      </c>
      <c r="AG120" s="72">
        <f t="shared" si="57"/>
        <v>2.65726582671022E-2</v>
      </c>
      <c r="AH120" s="72">
        <f t="shared" si="58"/>
        <v>0.48129981520382442</v>
      </c>
      <c r="AI120" s="72">
        <f t="shared" si="59"/>
        <v>0.22953188152259155</v>
      </c>
      <c r="AJ120" s="72">
        <f>(AV120-Driver!$K$179)/(Driver!$L$179-Driver!$K$179)</f>
        <v>0.3532350334380791</v>
      </c>
      <c r="AK120" s="72">
        <f>(AW120-Driver!$K$180)/(Driver!$L$180-Driver!$K$180)</f>
        <v>0.43023628224068644</v>
      </c>
      <c r="AL120" s="72">
        <f>(AX120-Driver!$K$181)/(Driver!$L$181-Driver!$K$181)</f>
        <v>0.3480048061721368</v>
      </c>
      <c r="AM120" s="72">
        <f>(AY120-Driver!$K$182)/(Driver!$L$182-Driver!$K$182)</f>
        <v>9.2481807448749606E-2</v>
      </c>
      <c r="AN120" s="72">
        <f>(AZ120-Driver!$K$183)/(Driver!$L$183-Driver!$K$183)</f>
        <v>0.43402777777777779</v>
      </c>
      <c r="AO120" s="72"/>
      <c r="AP120" s="72"/>
      <c r="AQ120" s="72">
        <f>(BC120-Driver!$K$188)/(Driver!$L$188-Driver!$K$188)</f>
        <v>0.10089113561183034</v>
      </c>
      <c r="AR120" s="72">
        <f>MIN((BD120-Driver!$K$189)/(Driver!$L$189-Driver!$K$189),100%)</f>
        <v>9.2587573168647921E-2</v>
      </c>
      <c r="AS120" s="72">
        <f>(BE120-Driver!$K$190)/(Driver!$L$190-Driver!$K$190)</f>
        <v>0.53657265826710221</v>
      </c>
      <c r="AT120" s="72">
        <f>(BF120-Driver!$K$191)/(Driver!$L$191-Driver!$K$191)</f>
        <v>2.8700184796175608E-2</v>
      </c>
      <c r="AU120" s="72">
        <f>(BG120-Driver!$K$192)/(Driver!$L$192-Driver!$K$192)</f>
        <v>2.046811847740846E-2</v>
      </c>
      <c r="AV120" s="70">
        <f t="shared" si="60"/>
        <v>7.4345407678741013</v>
      </c>
      <c r="AW120" s="70">
        <f t="shared" si="61"/>
        <v>43.802230607091047</v>
      </c>
      <c r="AX120" s="70">
        <f t="shared" si="62"/>
        <v>4.132043255549231</v>
      </c>
      <c r="AY120" s="70">
        <f>IFERROR(Driver!$K$19/Data!BH120/Data!BI120*Data!BK120*Data!BL120,"")</f>
        <v>0.11322532622535503</v>
      </c>
      <c r="AZ120" s="70">
        <f t="shared" si="63"/>
        <v>39.556962025316459</v>
      </c>
      <c r="BA120" s="70"/>
      <c r="BB120" s="70"/>
      <c r="BC120" s="70">
        <f t="shared" si="64"/>
        <v>52.332933425652215</v>
      </c>
      <c r="BD120" s="70">
        <f t="shared" si="65"/>
        <v>9.9146590540510857</v>
      </c>
      <c r="BE120" s="70">
        <f t="shared" si="66"/>
        <v>0.5366553284887704</v>
      </c>
      <c r="BF120" s="70">
        <f t="shared" si="67"/>
        <v>3.2414842425183674</v>
      </c>
      <c r="BG120" s="70">
        <f t="shared" si="68"/>
        <v>7.7505353803462643E-2</v>
      </c>
      <c r="BH120" s="67">
        <f>MAX((CE120-Driver!$F$200)/(Driver!$G$200-Driver!$F$200)*$BI$1,1)</f>
        <v>4.132043255549231</v>
      </c>
      <c r="BI120" s="67">
        <f>MAX($BI$1*(BY120-Driver!$F$201)/(Driver!$G$201-Driver!$F$201),1)</f>
        <v>7.9113924050632916</v>
      </c>
      <c r="BJ120" s="67">
        <f>(CB120-Driver!$F$206)/(Driver!$G$206-Driver!$F$206)*$BI$1</f>
        <v>5.0793650793650791</v>
      </c>
      <c r="BK120" s="67">
        <f>(CD120-Driver!$F$203)/(Driver!$G$203-Driver!$F$203)*$BI$1</f>
        <v>2.9816513761467895</v>
      </c>
      <c r="BL120" s="67">
        <f>MAX((CR120-Driver!$F$202)/(Driver!$G$202-Driver!$F$202)*$BI$1,1)</f>
        <v>6.2068965517241379</v>
      </c>
      <c r="BM120" s="67">
        <f>MAX((CH120-Driver!$F$204)/(Driver!$G$204-Driver!$F$204)*$BI$1,1)</f>
        <v>5.8547008547008552</v>
      </c>
      <c r="BN120" s="67">
        <f>(CI120-Driver!$F$205)/(Driver!$G$205-Driver!$F$205)*$BI$1</f>
        <v>5</v>
      </c>
      <c r="BO120" s="67">
        <f>(CK120-Driver!$F$207)/(Driver!$G$207-Driver!$F$207)*$BI$1</f>
        <v>1.2409513960703205</v>
      </c>
      <c r="BP120" s="67">
        <f>(CM120-Driver!$F$208)/(Driver!$G$208-Driver!$F$208)*$BI$1</f>
        <v>1.5333333333333332</v>
      </c>
      <c r="BQ120" s="67">
        <f>(CL120-Driver!$F$209)/(Driver!$G$209-Driver!$F$209)*$BI$1</f>
        <v>1.875</v>
      </c>
      <c r="BR120" s="28" t="s">
        <v>155</v>
      </c>
      <c r="BS120" s="8" t="s">
        <v>167</v>
      </c>
      <c r="BT120" s="9" t="s">
        <v>234</v>
      </c>
      <c r="BU120" s="10">
        <v>170</v>
      </c>
      <c r="BV120" s="9" t="s">
        <v>163</v>
      </c>
      <c r="BW120" s="10">
        <v>170</v>
      </c>
      <c r="BX120" s="10">
        <v>169.9</v>
      </c>
      <c r="BY120" s="10">
        <v>133</v>
      </c>
      <c r="BZ120" s="10">
        <v>135</v>
      </c>
      <c r="CA120" s="10">
        <v>130</v>
      </c>
      <c r="CB120" s="10">
        <v>96</v>
      </c>
      <c r="CC120" s="10">
        <v>116</v>
      </c>
      <c r="CD120" s="10">
        <v>15.9</v>
      </c>
      <c r="CE120" s="10">
        <v>1626</v>
      </c>
      <c r="CF120" s="10">
        <v>1.1200000000000001</v>
      </c>
      <c r="CG120" s="10">
        <v>1826</v>
      </c>
      <c r="CH120" s="10">
        <v>238</v>
      </c>
      <c r="CI120" s="10">
        <v>118</v>
      </c>
      <c r="CJ120" s="10">
        <v>47</v>
      </c>
      <c r="CK120" s="10">
        <v>230</v>
      </c>
      <c r="CL120" s="10">
        <v>12</v>
      </c>
      <c r="CM120" s="10">
        <v>138</v>
      </c>
      <c r="CN120" s="10">
        <v>0.25700000000000001</v>
      </c>
      <c r="CO120" s="10">
        <v>186</v>
      </c>
      <c r="CP120" s="10">
        <v>161</v>
      </c>
      <c r="CQ120" s="10">
        <v>44</v>
      </c>
      <c r="CR120" s="10">
        <v>7</v>
      </c>
      <c r="CS120" s="10">
        <v>8.8000000000000007</v>
      </c>
      <c r="CT120" s="9" t="s">
        <v>188</v>
      </c>
      <c r="CU120" s="9" t="s">
        <v>185</v>
      </c>
      <c r="CV120" s="10"/>
      <c r="CW120" s="10"/>
      <c r="CX120" t="str">
        <f>INDEX('Data_Price '!AG$2:AG$1266,MATCH(Data!$DN120,'Data_Price '!$AT$2:$AT$1266,0))</f>
        <v>Head Kore 97 W Incl Attack 12 GW Binding Anthracite-Green 170 Ski Lady's Ladies / Women</v>
      </c>
      <c r="CY120" t="str">
        <f>INDEX('Data_Price '!AH$2:AH$1266,MATCH(Data!$DN120,'Data_Price '!$AT$2:$AT$1266,0))</f>
        <v>! OutdoorXL.com</v>
      </c>
      <c r="CZ120">
        <f>INDEX('Data_Price '!AI$2:AI$1266,MATCH(Data!$DN120,'Data_Price '!$AT$2:$AT$1266,0))</f>
        <v>514.95000000000005</v>
      </c>
      <c r="DA120" t="str">
        <f>INDEX('Data_Price '!AJ$2:AJ$1266,MATCH(Data!$DN120,'Data_Price '!$AT$2:$AT$1266,0))</f>
        <v>https://tinyurl.com/yaj57hmu</v>
      </c>
      <c r="DB120" t="str">
        <f>INDEX('Data_Price '!AK$2:AK$1266,MATCH(Data!$DN120,'Data_Price '!$AT$2:$AT$1266,0))</f>
        <v>Head Women's Kore 97 W Skis Green 170 Cm</v>
      </c>
      <c r="DC120" t="str">
        <f>INDEX('Data_Price '!AL$2:AL$1266,MATCH(Data!$DN120,'Data_Price '!$AT$2:$AT$1266,0))</f>
        <v>REI</v>
      </c>
      <c r="DD120">
        <f>INDEX('Data_Price '!AM$2:AM$1266,MATCH(Data!$DN120,'Data_Price '!$AT$2:$AT$1266,0))</f>
        <v>518.92999999999995</v>
      </c>
      <c r="DE120" t="str">
        <f>INDEX('Data_Price '!AN$2:AN$1266,MATCH(Data!$DN120,'Data_Price '!$AT$2:$AT$1266,0))</f>
        <v>https://tinyurl.com/yd5tkmot</v>
      </c>
      <c r="DF120" t="str">
        <f>INDEX('Data_Price '!AO$2:AO$1266,MATCH(Data!$DN120,'Data_Price '!$AT$2:$AT$1266,0))</f>
        <v>Head Kore 97 W 170cm</v>
      </c>
      <c r="DG120" t="str">
        <f>INDEX('Data_Price '!AP$2:AP$1266,MATCH(Data!$DN120,'Data_Price '!$AT$2:$AT$1266,0))</f>
        <v>Miller Sports</v>
      </c>
      <c r="DH120">
        <f>INDEX('Data_Price '!AQ$2:AQ$1266,MATCH(Data!$DN120,'Data_Price '!$AT$2:$AT$1266,0))</f>
        <v>600</v>
      </c>
      <c r="DI120" t="str">
        <f>INDEX('Data_Price '!AR$2:AR$1266,MATCH(Data!$DN120,'Data_Price '!$AT$2:$AT$1266,0))</f>
        <v>https://tinyurl.com/y8bdv6oh</v>
      </c>
      <c r="DJ120" s="89" t="str">
        <f t="shared" si="69"/>
        <v>https://tinyurl.com/yaj57hmu</v>
      </c>
      <c r="DK120" s="89" t="str">
        <f t="shared" si="70"/>
        <v>https://tinyurl.com/yd5tkmot</v>
      </c>
      <c r="DL120" s="89" t="str">
        <f t="shared" si="71"/>
        <v>https://tinyurl.com/y8bdv6oh</v>
      </c>
      <c r="DM120" s="219" t="str">
        <f t="shared" si="72"/>
        <v>Kore 97 W</v>
      </c>
      <c r="DN120" s="89" t="str">
        <f t="shared" si="73"/>
        <v xml:space="preserve"> HeadKore 97 W170 Women's</v>
      </c>
      <c r="DO120" s="221"/>
    </row>
    <row r="121" spans="2:119" ht="15.6" customHeight="1">
      <c r="B121" s="219" t="b">
        <f t="array" ref="B121">IF(OR(ISERROR(K121:P121)),FALSE,TRUE)</f>
        <v>1</v>
      </c>
      <c r="C121" s="43" t="b">
        <f>OR(BR121=Driver!$G$50,Data!BR387=Driver!$H$50)</f>
        <v>1</v>
      </c>
      <c r="D121" s="43" t="b">
        <f>OR(BV121=Driver!$G$51,BV121=Driver!$H$51)</f>
        <v>1</v>
      </c>
      <c r="E121" s="43" t="b">
        <f>AND(BX121&gt;Driver!$F$54,BX121&lt;Driver!$G$54)</f>
        <v>0</v>
      </c>
      <c r="F121" s="43" t="b">
        <f>CL121&gt;Driver!$F$56</f>
        <v>1</v>
      </c>
      <c r="G121" s="43" t="b">
        <f>AND(CB121&gt;Driver!$F$55,CB121&lt;Driver!$G$55)</f>
        <v>0</v>
      </c>
      <c r="H121" s="43" t="b">
        <f t="shared" si="37"/>
        <v>0</v>
      </c>
      <c r="I121" s="43">
        <f t="shared" si="38"/>
        <v>0</v>
      </c>
      <c r="J121" s="43" t="b">
        <f t="array" ref="J121">NOT(OR(($H$9:$H$1273=TRUE)*($I$9:$I$1273&gt;0)*($BT$9:$BT$1273=BT121)*($K$9:$K$1273&gt;K121)))</f>
        <v>1</v>
      </c>
      <c r="K121" s="72">
        <f t="shared" si="39"/>
        <v>0.81663846279215668</v>
      </c>
      <c r="L121" s="72">
        <f t="shared" si="40"/>
        <v>0.91653509697909885</v>
      </c>
      <c r="M121" s="72">
        <f t="shared" si="41"/>
        <v>0.71674182860521451</v>
      </c>
      <c r="N121" s="72">
        <f t="shared" si="42"/>
        <v>0.5582741167137758</v>
      </c>
      <c r="O121" s="72">
        <f t="shared" si="43"/>
        <v>0.64189862648583396</v>
      </c>
      <c r="P121" s="72">
        <f t="shared" si="44"/>
        <v>0.95005274261603379</v>
      </c>
      <c r="Q121" s="72"/>
      <c r="R121" s="72"/>
      <c r="S121" s="72">
        <f t="shared" si="45"/>
        <v>0.45819421539285232</v>
      </c>
      <c r="T121" s="72">
        <f t="shared" si="46"/>
        <v>0.55839230090299175</v>
      </c>
      <c r="U121" s="72">
        <f t="shared" si="47"/>
        <v>0.50701912481603262</v>
      </c>
      <c r="V121" s="72">
        <f t="shared" si="48"/>
        <v>0.61281614370657689</v>
      </c>
      <c r="W121" s="72">
        <f t="shared" si="49"/>
        <v>0.80937007874015743</v>
      </c>
      <c r="X121" s="72">
        <f t="shared" si="50"/>
        <v>8.3464903020901149E-2</v>
      </c>
      <c r="Y121" s="72">
        <f t="shared" si="51"/>
        <v>0.28325817139478549</v>
      </c>
      <c r="Z121" s="72">
        <f t="shared" si="52"/>
        <v>0.4417258832862242</v>
      </c>
      <c r="AA121" s="72">
        <f t="shared" si="53"/>
        <v>0.35810137351416604</v>
      </c>
      <c r="AB121" s="72">
        <f t="shared" si="54"/>
        <v>4.9947257383966215E-2</v>
      </c>
      <c r="AC121" s="72"/>
      <c r="AD121" s="72"/>
      <c r="AE121" s="72">
        <f t="shared" si="55"/>
        <v>0.54180578460714768</v>
      </c>
      <c r="AF121" s="72">
        <f t="shared" si="56"/>
        <v>0.44160769909700825</v>
      </c>
      <c r="AG121" s="72">
        <f t="shared" si="57"/>
        <v>0.49298087518396738</v>
      </c>
      <c r="AH121" s="72">
        <f t="shared" si="58"/>
        <v>0.38718385629342317</v>
      </c>
      <c r="AI121" s="72">
        <f t="shared" si="59"/>
        <v>0.19062992125984252</v>
      </c>
      <c r="AJ121" s="72">
        <f>(AV121-Driver!$K$179)/(Driver!$L$179-Driver!$K$179)</f>
        <v>0.33768431230360157</v>
      </c>
      <c r="AK121" s="72">
        <f>(AW121-Driver!$K$180)/(Driver!$L$180-Driver!$K$180)</f>
        <v>0.32680105963283179</v>
      </c>
      <c r="AL121" s="72">
        <f>(AX121-Driver!$K$181)/(Driver!$L$181-Driver!$K$181)</f>
        <v>0.54341364699930439</v>
      </c>
      <c r="AM121" s="72">
        <f>(AY121-Driver!$K$182)/(Driver!$L$182-Driver!$K$182)</f>
        <v>8.9283647582880307E-2</v>
      </c>
      <c r="AN121" s="72">
        <f>(AZ121-Driver!$K$183)/(Driver!$L$183-Driver!$K$183)</f>
        <v>0.30416666666666664</v>
      </c>
      <c r="AO121" s="72"/>
      <c r="AP121" s="72"/>
      <c r="AQ121" s="72">
        <f>(BC121-Driver!$K$188)/(Driver!$L$188-Driver!$K$188)</f>
        <v>7.8194215392852345E-2</v>
      </c>
      <c r="AR121" s="72">
        <f>MIN((BD121-Driver!$K$189)/(Driver!$L$189-Driver!$K$189),100%)</f>
        <v>0.10839230090299179</v>
      </c>
      <c r="AS121" s="72">
        <f>(BE121-Driver!$K$190)/(Driver!$L$190-Driver!$K$190)</f>
        <v>1.7019124816032606E-2</v>
      </c>
      <c r="AT121" s="72">
        <f>(BF121-Driver!$K$191)/(Driver!$L$191-Driver!$K$191)</f>
        <v>0.12281614370657684</v>
      </c>
      <c r="AU121" s="72">
        <f>(BG121-Driver!$K$192)/(Driver!$L$192-Driver!$K$192)</f>
        <v>5.9370078740157484E-2</v>
      </c>
      <c r="AV121" s="70">
        <f t="shared" si="60"/>
        <v>7.1072446072446063</v>
      </c>
      <c r="AW121" s="70">
        <f t="shared" si="61"/>
        <v>33.721551634646239</v>
      </c>
      <c r="AX121" s="70">
        <f t="shared" si="62"/>
        <v>5.8907228229937392</v>
      </c>
      <c r="AY121" s="70">
        <f>IFERROR(Driver!$K$19/Data!BH121/Data!BI121*Data!BK121*Data!BL121,"")</f>
        <v>0.10930982431072647</v>
      </c>
      <c r="AZ121" s="70">
        <f t="shared" si="63"/>
        <v>27.721518987341771</v>
      </c>
      <c r="BA121" s="70"/>
      <c r="BB121" s="70"/>
      <c r="BC121" s="70">
        <f t="shared" si="64"/>
        <v>40.559883121638826</v>
      </c>
      <c r="BD121" s="70">
        <f t="shared" si="65"/>
        <v>11.313349454220075</v>
      </c>
      <c r="BE121" s="70">
        <f t="shared" si="66"/>
        <v>1.7194477540244401E-2</v>
      </c>
      <c r="BF121" s="70">
        <f t="shared" si="67"/>
        <v>13.871220599415414</v>
      </c>
      <c r="BG121" s="70">
        <f t="shared" si="68"/>
        <v>0.2248129921259843</v>
      </c>
      <c r="BH121" s="67">
        <f>MAX((CE121-Driver!$F$200)/(Driver!$G$200-Driver!$F$200)*$BI$1,1)</f>
        <v>5.8907228229937392</v>
      </c>
      <c r="BI121" s="67">
        <f>MAX($BI$1*(BY121-Driver!$F$201)/(Driver!$G$201-Driver!$F$201),1)</f>
        <v>6.4556962025316453</v>
      </c>
      <c r="BJ121" s="67">
        <f>(CB121-Driver!$F$206)/(Driver!$G$206-Driver!$F$206)*$BI$1</f>
        <v>5.2380952380952381</v>
      </c>
      <c r="BK121" s="67">
        <f>(CD121-Driver!$F$203)/(Driver!$G$203-Driver!$F$203)*$BI$1</f>
        <v>3.3486238532110093</v>
      </c>
      <c r="BL121" s="67">
        <f>MAX((CR121-Driver!$F$202)/(Driver!$G$202-Driver!$F$202)*$BI$1,1)</f>
        <v>6.2068965517241379</v>
      </c>
      <c r="BM121" s="67">
        <f>MAX((CH121-Driver!$F$204)/(Driver!$G$204-Driver!$F$204)*$BI$1,1)</f>
        <v>5.4273504273504267</v>
      </c>
      <c r="BN121" s="67">
        <f>(CI121-Driver!$F$205)/(Driver!$G$205-Driver!$F$205)*$BI$1</f>
        <v>4.2941176470588234</v>
      </c>
      <c r="BO121" s="67">
        <f>(CK121-Driver!$F$207)/(Driver!$G$207-Driver!$F$207)*$BI$1</f>
        <v>2.3267838676318511</v>
      </c>
      <c r="BP121" s="67">
        <f>(CM121-Driver!$F$208)/(Driver!$G$208-Driver!$F$208)*$BI$1</f>
        <v>3.8111111111111113</v>
      </c>
      <c r="BQ121" s="67">
        <f>(CL121-Driver!$F$209)/(Driver!$G$209-Driver!$F$209)*$BI$1</f>
        <v>7.1875</v>
      </c>
      <c r="BR121" s="28" t="s">
        <v>155</v>
      </c>
      <c r="BS121" s="8" t="s">
        <v>202</v>
      </c>
      <c r="BT121" s="9" t="s">
        <v>340</v>
      </c>
      <c r="BU121" s="10">
        <v>179</v>
      </c>
      <c r="BV121" s="9" t="s">
        <v>158</v>
      </c>
      <c r="BW121" s="10">
        <v>179</v>
      </c>
      <c r="BX121" s="10">
        <v>177.9</v>
      </c>
      <c r="BY121" s="10">
        <v>110</v>
      </c>
      <c r="BZ121" s="10">
        <v>143</v>
      </c>
      <c r="CA121" s="10">
        <v>127</v>
      </c>
      <c r="CB121" s="10">
        <v>97</v>
      </c>
      <c r="CC121" s="10">
        <v>119</v>
      </c>
      <c r="CD121" s="10">
        <v>16.7</v>
      </c>
      <c r="CE121" s="10">
        <v>1935</v>
      </c>
      <c r="CF121" s="10">
        <v>0.99</v>
      </c>
      <c r="CG121" s="10">
        <v>1914</v>
      </c>
      <c r="CH121" s="10">
        <v>228</v>
      </c>
      <c r="CI121" s="10">
        <v>106</v>
      </c>
      <c r="CJ121" s="10">
        <v>54</v>
      </c>
      <c r="CK121" s="10">
        <v>335</v>
      </c>
      <c r="CL121" s="10">
        <v>46</v>
      </c>
      <c r="CM121" s="10">
        <v>343</v>
      </c>
      <c r="CN121" s="10">
        <v>0.85199999999999998</v>
      </c>
      <c r="CO121" s="10">
        <v>198</v>
      </c>
      <c r="CP121" s="10">
        <v>155</v>
      </c>
      <c r="CQ121" s="10">
        <v>137</v>
      </c>
      <c r="CR121" s="10">
        <v>7</v>
      </c>
      <c r="CS121" s="10">
        <v>8</v>
      </c>
      <c r="CT121" s="9" t="s">
        <v>188</v>
      </c>
      <c r="CU121" s="9" t="s">
        <v>184</v>
      </c>
      <c r="CV121" s="10"/>
      <c r="CW121" s="10"/>
      <c r="CX121" t="str">
        <f>INDEX('Data_Price '!AG$2:AG$1266,MATCH(Data!$DN121,'Data_Price '!$AT$2:$AT$1266,0))</f>
        <v>Dynastar M-Free 99 Skis 2022</v>
      </c>
      <c r="CY121" t="str">
        <f>INDEX('Data_Price '!AH$2:AH$1266,MATCH(Data!$DN121,'Data_Price '!$AT$2:$AT$1266,0))</f>
        <v>Snowcountry.eu</v>
      </c>
      <c r="CZ121">
        <f>INDEX('Data_Price '!AI$2:AI$1266,MATCH(Data!$DN121,'Data_Price '!$AT$2:$AT$1266,0))</f>
        <v>367.9</v>
      </c>
      <c r="DA121" t="str">
        <f>INDEX('Data_Price '!AJ$2:AJ$1266,MATCH(Data!$DN121,'Data_Price '!$AT$2:$AT$1266,0))</f>
        <v>https://tinyurl.com/y8q3frr4</v>
      </c>
      <c r="DB121" t="str">
        <f>INDEX('Data_Price '!AK$2:AK$1266,MATCH(Data!$DN121,'Data_Price '!$AT$2:$AT$1266,0))</f>
        <v>Dynastar M-Free 99 Skis 2022</v>
      </c>
      <c r="DC121" t="str">
        <f>INDEX('Data_Price '!AL$2:AL$1266,MATCH(Data!$DN121,'Data_Price '!$AT$2:$AT$1266,0))</f>
        <v>Next Adventure</v>
      </c>
      <c r="DD121">
        <f>INDEX('Data_Price '!AM$2:AM$1266,MATCH(Data!$DN121,'Data_Price '!$AT$2:$AT$1266,0))</f>
        <v>419.97</v>
      </c>
      <c r="DE121" t="str">
        <f>INDEX('Data_Price '!AN$2:AN$1266,MATCH(Data!$DN121,'Data_Price '!$AT$2:$AT$1266,0))</f>
        <v>https://tinyurl.com/yce4lytt</v>
      </c>
      <c r="DF121" t="str">
        <f>INDEX('Data_Price '!AO$2:AO$1266,MATCH(Data!$DN121,'Data_Price '!$AT$2:$AT$1266,0))</f>
        <v>Dynastar M-Free 99 Skis 2022</v>
      </c>
      <c r="DG121" t="str">
        <f>INDEX('Data_Price '!AP$2:AP$1266,MATCH(Data!$DN121,'Data_Price '!$AT$2:$AT$1266,0))</f>
        <v>Ski Pro  - Snow Ski &amp; Snowboard</v>
      </c>
      <c r="DH121">
        <f>INDEX('Data_Price '!AQ$2:AQ$1266,MATCH(Data!$DN121,'Data_Price '!$AT$2:$AT$1266,0))</f>
        <v>479.95</v>
      </c>
      <c r="DI121" t="str">
        <f>INDEX('Data_Price '!AR$2:AR$1266,MATCH(Data!$DN121,'Data_Price '!$AT$2:$AT$1266,0))</f>
        <v>https://tinyurl.com/yb48uwcd</v>
      </c>
      <c r="DJ121" s="89" t="str">
        <f t="shared" si="69"/>
        <v>https://tinyurl.com/y8q3frr4</v>
      </c>
      <c r="DK121" s="89" t="str">
        <f t="shared" si="70"/>
        <v>https://tinyurl.com/yce4lytt</v>
      </c>
      <c r="DL121" s="89" t="str">
        <f t="shared" si="71"/>
        <v>https://tinyurl.com/yb48uwcd</v>
      </c>
      <c r="DM121" s="219" t="str">
        <f t="shared" si="72"/>
        <v>M-Free 99</v>
      </c>
      <c r="DN121" s="89" t="str">
        <f t="shared" si="73"/>
        <v xml:space="preserve"> DynastarM-Free 99179 Unisex</v>
      </c>
      <c r="DO121" s="221" t="s">
        <v>341</v>
      </c>
    </row>
    <row r="122" spans="2:119" ht="15.6" customHeight="1">
      <c r="B122" s="219" t="b">
        <f t="array" ref="B122">IF(OR(ISERROR(K122:P122)),FALSE,TRUE)</f>
        <v>1</v>
      </c>
      <c r="C122" s="43" t="b">
        <f>OR(BR122=Driver!$G$50,Data!BR972=Driver!$H$50)</f>
        <v>1</v>
      </c>
      <c r="D122" s="43" t="b">
        <f>OR(BV122=Driver!$G$51,BV122=Driver!$H$51)</f>
        <v>1</v>
      </c>
      <c r="E122" s="43" t="b">
        <f>AND(BX122&gt;Driver!$F$54,BX122&lt;Driver!$G$54)</f>
        <v>0</v>
      </c>
      <c r="F122" s="43" t="b">
        <f>CL122&gt;Driver!$F$56</f>
        <v>1</v>
      </c>
      <c r="G122" s="43" t="b">
        <f>AND(CB122&gt;Driver!$F$55,CB122&lt;Driver!$G$55)</f>
        <v>0</v>
      </c>
      <c r="H122" s="43" t="b">
        <f t="shared" si="37"/>
        <v>0</v>
      </c>
      <c r="I122" s="43">
        <f t="shared" si="38"/>
        <v>0</v>
      </c>
      <c r="J122" s="43" t="b">
        <f t="array" ref="J122">NOT(OR(($H$9:$H$1273=TRUE)*($I$9:$I$1273&gt;0)*($BT$9:$BT$1273=BT122)*($K$9:$K$1273&gt;K122)))</f>
        <v>1</v>
      </c>
      <c r="K122" s="72">
        <f t="shared" si="39"/>
        <v>0.88597925419845935</v>
      </c>
      <c r="L122" s="72">
        <f t="shared" si="40"/>
        <v>0.97815509720348115</v>
      </c>
      <c r="M122" s="72">
        <f t="shared" si="41"/>
        <v>0.79380341119343756</v>
      </c>
      <c r="N122" s="72">
        <f t="shared" si="42"/>
        <v>0.7498886111171148</v>
      </c>
      <c r="O122" s="72">
        <f t="shared" si="43"/>
        <v>0.6474002523961836</v>
      </c>
      <c r="P122" s="72">
        <f t="shared" si="44"/>
        <v>0.98412137006701417</v>
      </c>
      <c r="Q122" s="72"/>
      <c r="R122" s="72"/>
      <c r="S122" s="72">
        <f t="shared" si="45"/>
        <v>0.44815276324862063</v>
      </c>
      <c r="T122" s="72">
        <f t="shared" si="46"/>
        <v>0.52083124341177423</v>
      </c>
      <c r="U122" s="72">
        <f t="shared" si="47"/>
        <v>0.74958557223856725</v>
      </c>
      <c r="V122" s="72">
        <f t="shared" si="48"/>
        <v>0.5370359216127184</v>
      </c>
      <c r="W122" s="72">
        <f t="shared" si="49"/>
        <v>0.77700143243673403</v>
      </c>
      <c r="X122" s="72">
        <f t="shared" si="50"/>
        <v>2.1844902796518795E-2</v>
      </c>
      <c r="Y122" s="72">
        <f t="shared" si="51"/>
        <v>0.20619658880656244</v>
      </c>
      <c r="Z122" s="72">
        <f t="shared" si="52"/>
        <v>0.25011138888288514</v>
      </c>
      <c r="AA122" s="72">
        <f t="shared" si="53"/>
        <v>0.3525997476038164</v>
      </c>
      <c r="AB122" s="72">
        <f t="shared" si="54"/>
        <v>1.5878629932985833E-2</v>
      </c>
      <c r="AC122" s="72"/>
      <c r="AD122" s="72"/>
      <c r="AE122" s="72">
        <f t="shared" si="55"/>
        <v>0.55184723675137937</v>
      </c>
      <c r="AF122" s="72">
        <f t="shared" si="56"/>
        <v>0.47916875658822577</v>
      </c>
      <c r="AG122" s="72">
        <f t="shared" si="57"/>
        <v>0.25041442776143275</v>
      </c>
      <c r="AH122" s="72">
        <f t="shared" si="58"/>
        <v>0.4629640783872816</v>
      </c>
      <c r="AI122" s="72">
        <f t="shared" si="59"/>
        <v>0.22299856756326597</v>
      </c>
      <c r="AJ122" s="72">
        <f>(AV122-Driver!$K$179)/(Driver!$L$179-Driver!$K$179)</f>
        <v>0.23237450648618163</v>
      </c>
      <c r="AK122" s="72">
        <f>(AW122-Driver!$K$180)/(Driver!$L$180-Driver!$K$180)</f>
        <v>0.27731573213815214</v>
      </c>
      <c r="AL122" s="72">
        <f>(AX122-Driver!$K$181)/(Driver!$L$181-Driver!$K$181)</f>
        <v>0.35179915259596534</v>
      </c>
      <c r="AM122" s="72">
        <f>(AY122-Driver!$K$182)/(Driver!$L$182-Driver!$K$182)</f>
        <v>9.4785273493229932E-2</v>
      </c>
      <c r="AN122" s="72">
        <f>(AZ122-Driver!$K$183)/(Driver!$L$183-Driver!$K$183)</f>
        <v>0.27009803921568626</v>
      </c>
      <c r="AO122" s="72"/>
      <c r="AP122" s="72"/>
      <c r="AQ122" s="72">
        <f>(BC122-Driver!$K$188)/(Driver!$L$188-Driver!$K$188)</f>
        <v>6.8152763248620685E-2</v>
      </c>
      <c r="AR122" s="72">
        <f>MIN((BD122-Driver!$K$189)/(Driver!$L$189-Driver!$K$189),100%)</f>
        <v>7.0831243411774256E-2</v>
      </c>
      <c r="AS122" s="72">
        <f>(BE122-Driver!$K$190)/(Driver!$L$190-Driver!$K$190)</f>
        <v>0.25958557223856726</v>
      </c>
      <c r="AT122" s="72">
        <f>(BF122-Driver!$K$191)/(Driver!$L$191-Driver!$K$191)</f>
        <v>4.7035921612718391E-2</v>
      </c>
      <c r="AU122" s="72">
        <f>(BG122-Driver!$K$192)/(Driver!$L$192-Driver!$K$192)</f>
        <v>2.7001432436734044E-2</v>
      </c>
      <c r="AV122" s="70">
        <f t="shared" si="60"/>
        <v>4.8907882241215583</v>
      </c>
      <c r="AW122" s="70">
        <f t="shared" si="61"/>
        <v>28.898767985681761</v>
      </c>
      <c r="AX122" s="70">
        <f t="shared" si="62"/>
        <v>4.1661923733636881</v>
      </c>
      <c r="AY122" s="70">
        <f>IFERROR(Driver!$K$19/Data!BH122/Data!BI122*Data!BK122*Data!BL122,"")</f>
        <v>0.11604545595173225</v>
      </c>
      <c r="AZ122" s="70">
        <f t="shared" si="63"/>
        <v>24.616530156366341</v>
      </c>
      <c r="BA122" s="70"/>
      <c r="BB122" s="70"/>
      <c r="BC122" s="70">
        <f t="shared" si="64"/>
        <v>35.351312087383079</v>
      </c>
      <c r="BD122" s="70">
        <f t="shared" si="65"/>
        <v>7.9892624205029756</v>
      </c>
      <c r="BE122" s="70">
        <f t="shared" si="66"/>
        <v>0.25971765383876055</v>
      </c>
      <c r="BF122" s="70">
        <f t="shared" si="67"/>
        <v>5.3123769001052699</v>
      </c>
      <c r="BG122" s="70">
        <f t="shared" si="68"/>
        <v>0.10224464825720198</v>
      </c>
      <c r="BH122" s="67">
        <f>MAX((CE122-Driver!$F$200)/(Driver!$G$200-Driver!$F$200)*$BI$1,1)</f>
        <v>4.1661923733636881</v>
      </c>
      <c r="BI122" s="67">
        <f>MAX($BI$1*(BY122-Driver!$F$201)/(Driver!$G$201-Driver!$F$201),1)</f>
        <v>7.3417721518987342</v>
      </c>
      <c r="BJ122" s="67">
        <f>(CB122-Driver!$F$206)/(Driver!$G$206-Driver!$F$206)*$BI$1</f>
        <v>4.4444444444444446</v>
      </c>
      <c r="BK122" s="67">
        <f>(CD122-Driver!$F$203)/(Driver!$G$203-Driver!$F$203)*$BI$1</f>
        <v>3.0275229357798166</v>
      </c>
      <c r="BL122" s="67">
        <f>MAX((CR122-Driver!$F$202)/(Driver!$G$202-Driver!$F$202)*$BI$1,1)</f>
        <v>5.8620689655172411</v>
      </c>
      <c r="BM122" s="67">
        <f>MAX((CH122-Driver!$F$204)/(Driver!$G$204-Driver!$F$204)*$BI$1,1)</f>
        <v>4.4017094017094021</v>
      </c>
      <c r="BN122" s="67">
        <f>(CI122-Driver!$F$205)/(Driver!$G$205-Driver!$F$205)*$BI$1</f>
        <v>3.3529411764705879</v>
      </c>
      <c r="BO122" s="67">
        <f>(CK122-Driver!$F$207)/(Driver!$G$207-Driver!$F$207)*$BI$1</f>
        <v>1.8717683557394003</v>
      </c>
      <c r="BP122" s="67">
        <f>(CM122-Driver!$F$208)/(Driver!$G$208-Driver!$F$208)*$BI$1</f>
        <v>1.9333333333333333</v>
      </c>
      <c r="BQ122" s="67">
        <f>(CL122-Driver!$F$209)/(Driver!$G$209-Driver!$F$209)*$BI$1</f>
        <v>1.875</v>
      </c>
      <c r="BR122" s="28" t="s">
        <v>155</v>
      </c>
      <c r="BS122" s="8" t="s">
        <v>172</v>
      </c>
      <c r="BT122" s="9" t="s">
        <v>342</v>
      </c>
      <c r="BU122" s="10">
        <v>172</v>
      </c>
      <c r="BV122" s="9" t="s">
        <v>158</v>
      </c>
      <c r="BW122" s="10">
        <v>172</v>
      </c>
      <c r="BX122" s="10">
        <v>170.8</v>
      </c>
      <c r="BY122" s="10">
        <v>124</v>
      </c>
      <c r="BZ122" s="10">
        <v>146</v>
      </c>
      <c r="CA122" s="10">
        <v>126</v>
      </c>
      <c r="CB122" s="10">
        <v>92</v>
      </c>
      <c r="CC122" s="10">
        <v>116</v>
      </c>
      <c r="CD122" s="10">
        <v>16</v>
      </c>
      <c r="CE122" s="10">
        <v>1632</v>
      </c>
      <c r="CF122" s="10">
        <v>1.08</v>
      </c>
      <c r="CG122" s="10">
        <v>1769</v>
      </c>
      <c r="CH122" s="10">
        <v>204</v>
      </c>
      <c r="CI122" s="10">
        <v>90</v>
      </c>
      <c r="CJ122" s="10">
        <v>47</v>
      </c>
      <c r="CK122" s="10">
        <v>291</v>
      </c>
      <c r="CL122" s="10">
        <v>12</v>
      </c>
      <c r="CM122" s="10">
        <v>174</v>
      </c>
      <c r="CN122" s="10">
        <v>0.26</v>
      </c>
      <c r="CO122" s="10">
        <v>153</v>
      </c>
      <c r="CP122" s="10">
        <v>98</v>
      </c>
      <c r="CQ122" s="10">
        <v>138</v>
      </c>
      <c r="CR122" s="10">
        <v>6</v>
      </c>
      <c r="CS122" s="10">
        <v>6.5</v>
      </c>
      <c r="CT122" s="9" t="s">
        <v>188</v>
      </c>
      <c r="CU122" s="9" t="s">
        <v>185</v>
      </c>
      <c r="CV122" s="10"/>
      <c r="CW122" s="10"/>
      <c r="CX122" t="str">
        <f>INDEX('Data_Price '!AG$2:AG$1266,MATCH(Data!$DN122,'Data_Price '!$AT$2:$AT$1266,0))</f>
        <v>Rossignol Blackops Escaper Open 172cm</v>
      </c>
      <c r="CY122" t="str">
        <f>INDEX('Data_Price '!AH$2:AH$1266,MATCH(Data!$DN122,'Data_Price '!$AT$2:$AT$1266,0))</f>
        <v>Sundance Ski and Board Shop</v>
      </c>
      <c r="CZ122">
        <f>INDEX('Data_Price '!AI$2:AI$1266,MATCH(Data!$DN122,'Data_Price '!$AT$2:$AT$1266,0))</f>
        <v>400.99</v>
      </c>
      <c r="DA122" t="str">
        <f>INDEX('Data_Price '!AJ$2:AJ$1266,MATCH(Data!$DN122,'Data_Price '!$AT$2:$AT$1266,0))</f>
        <v>https://tinyurl.com/y79k5f9d</v>
      </c>
      <c r="DB122" t="str">
        <f>INDEX('Data_Price '!AK$2:AK$1266,MATCH(Data!$DN122,'Data_Price '!$AT$2:$AT$1266,0))</f>
        <v>Rossignol Blackops Escaper Skis 2022</v>
      </c>
      <c r="DC122" t="str">
        <f>INDEX('Data_Price '!AL$2:AL$1266,MATCH(Data!$DN122,'Data_Price '!$AT$2:$AT$1266,0))</f>
        <v>Saint Bernard</v>
      </c>
      <c r="DD122">
        <f>INDEX('Data_Price '!AM$2:AM$1266,MATCH(Data!$DN122,'Data_Price '!$AT$2:$AT$1266,0))</f>
        <v>473.9</v>
      </c>
      <c r="DE122" t="str">
        <f>INDEX('Data_Price '!AN$2:AN$1266,MATCH(Data!$DN122,'Data_Price '!$AT$2:$AT$1266,0))</f>
        <v>https://tinyurl.com/yanbr72u</v>
      </c>
      <c r="DF122" t="str">
        <f>INDEX('Data_Price '!AO$2:AO$1266,MATCH(Data!$DN122,'Data_Price '!$AT$2:$AT$1266,0))</f>
        <v>Rossignol Blackops Escaper Skis</v>
      </c>
      <c r="DG122" t="str">
        <f>INDEX('Data_Price '!AP$2:AP$1266,MATCH(Data!$DN122,'Data_Price '!$AT$2:$AT$1266,0))</f>
        <v>sunandski.com</v>
      </c>
      <c r="DH122">
        <f>INDEX('Data_Price '!AQ$2:AQ$1266,MATCH(Data!$DN122,'Data_Price '!$AT$2:$AT$1266,0))</f>
        <v>479.93</v>
      </c>
      <c r="DI122" t="str">
        <f>INDEX('Data_Price '!AR$2:AR$1266,MATCH(Data!$DN122,'Data_Price '!$AT$2:$AT$1266,0))</f>
        <v>https://tinyurl.com/y82zyuro</v>
      </c>
      <c r="DJ122" s="89" t="str">
        <f t="shared" si="69"/>
        <v>https://tinyurl.com/y79k5f9d</v>
      </c>
      <c r="DK122" s="89" t="str">
        <f t="shared" si="70"/>
        <v>https://tinyurl.com/yanbr72u</v>
      </c>
      <c r="DL122" s="89" t="str">
        <f t="shared" si="71"/>
        <v>https://tinyurl.com/y82zyuro</v>
      </c>
      <c r="DM122" s="219" t="str">
        <f t="shared" si="72"/>
        <v>Blackops Escaper</v>
      </c>
      <c r="DN122" s="89" t="str">
        <f t="shared" si="73"/>
        <v xml:space="preserve"> RossignolBlackops Escaper172 Unisex</v>
      </c>
      <c r="DO122" s="221"/>
    </row>
    <row r="123" spans="2:119" ht="15.6" customHeight="1">
      <c r="B123" s="219" t="b">
        <f t="array" ref="B123">IF(OR(ISERROR(K123:P123)),FALSE,TRUE)</f>
        <v>1</v>
      </c>
      <c r="C123" s="43" t="b">
        <f>OR(BR123=Driver!$G$50,Data!BR1104=Driver!$H$50)</f>
        <v>1</v>
      </c>
      <c r="D123" s="43" t="b">
        <f>OR(BV123=Driver!$G$51,BV123=Driver!$H$51)</f>
        <v>1</v>
      </c>
      <c r="E123" s="43" t="b">
        <f>AND(BX123&gt;Driver!$F$54,BX123&lt;Driver!$G$54)</f>
        <v>0</v>
      </c>
      <c r="F123" s="43" t="b">
        <f>CL123&gt;Driver!$F$56</f>
        <v>1</v>
      </c>
      <c r="G123" s="43" t="b">
        <f>AND(CB123&gt;Driver!$F$55,CB123&lt;Driver!$G$55)</f>
        <v>0</v>
      </c>
      <c r="H123" s="43" t="b">
        <f t="shared" si="37"/>
        <v>0</v>
      </c>
      <c r="I123" s="43">
        <f t="shared" si="38"/>
        <v>0</v>
      </c>
      <c r="J123" s="43" t="b">
        <f t="array" ref="J123">NOT(OR(($H$9:$H$1273=TRUE)*($I$9:$I$1273&gt;0)*($BT$9:$BT$1273=BT123)*($K$9:$K$1273&gt;K123)))</f>
        <v>1</v>
      </c>
      <c r="K123" s="72">
        <f t="shared" si="39"/>
        <v>0.86856572682216648</v>
      </c>
      <c r="L123" s="72">
        <f t="shared" si="40"/>
        <v>0.96163749185338854</v>
      </c>
      <c r="M123" s="72">
        <f t="shared" si="41"/>
        <v>0.77549396179094432</v>
      </c>
      <c r="N123" s="72">
        <f t="shared" si="42"/>
        <v>0.73407883435116283</v>
      </c>
      <c r="O123" s="72">
        <f t="shared" si="43"/>
        <v>0.65730128879779348</v>
      </c>
      <c r="P123" s="72">
        <f t="shared" si="44"/>
        <v>0.93510176222387686</v>
      </c>
      <c r="Q123" s="72"/>
      <c r="R123" s="72"/>
      <c r="S123" s="72">
        <f t="shared" si="45"/>
        <v>0.50885177066610132</v>
      </c>
      <c r="T123" s="72">
        <f t="shared" si="46"/>
        <v>0.565029485173274</v>
      </c>
      <c r="U123" s="72">
        <f t="shared" si="47"/>
        <v>0.71126258037610668</v>
      </c>
      <c r="V123" s="72">
        <f t="shared" si="48"/>
        <v>0.5198331136943688</v>
      </c>
      <c r="W123" s="72">
        <f t="shared" si="49"/>
        <v>0.76907304870850779</v>
      </c>
      <c r="X123" s="72">
        <f t="shared" si="50"/>
        <v>3.836250814661149E-2</v>
      </c>
      <c r="Y123" s="72">
        <f t="shared" si="51"/>
        <v>0.22450603820905565</v>
      </c>
      <c r="Z123" s="72">
        <f t="shared" si="52"/>
        <v>0.26592116564883722</v>
      </c>
      <c r="AA123" s="72">
        <f t="shared" si="53"/>
        <v>0.34269871120220652</v>
      </c>
      <c r="AB123" s="72">
        <f t="shared" si="54"/>
        <v>6.489823777612308E-2</v>
      </c>
      <c r="AC123" s="72"/>
      <c r="AD123" s="72"/>
      <c r="AE123" s="72">
        <f t="shared" si="55"/>
        <v>0.49114822933389873</v>
      </c>
      <c r="AF123" s="72">
        <f t="shared" si="56"/>
        <v>0.43497051482672605</v>
      </c>
      <c r="AG123" s="72">
        <f t="shared" si="57"/>
        <v>0.28873741962389332</v>
      </c>
      <c r="AH123" s="72">
        <f t="shared" si="58"/>
        <v>0.48016688630563115</v>
      </c>
      <c r="AI123" s="72">
        <f t="shared" si="59"/>
        <v>0.23092695129149218</v>
      </c>
      <c r="AJ123" s="72">
        <f>(AV123-Driver!$K$179)/(Driver!$L$179-Driver!$K$179)</f>
        <v>0.21585690113608894</v>
      </c>
      <c r="AK123" s="72">
        <f>(AW123-Driver!$K$180)/(Driver!$L$180-Driver!$K$180)</f>
        <v>0.32474107242661276</v>
      </c>
      <c r="AL123" s="72">
        <f>(AX123-Driver!$K$181)/(Driver!$L$181-Driver!$K$181)</f>
        <v>0.36760892936191741</v>
      </c>
      <c r="AM123" s="72">
        <f>(AY123-Driver!$K$182)/(Driver!$L$182-Driver!$K$182)</f>
        <v>0.10468630989483983</v>
      </c>
      <c r="AN123" s="72">
        <f>(AZ123-Driver!$K$183)/(Driver!$L$183-Driver!$K$183)</f>
        <v>0.31911764705882351</v>
      </c>
      <c r="AO123" s="72"/>
      <c r="AP123" s="72"/>
      <c r="AQ123" s="72">
        <f>(BC123-Driver!$K$188)/(Driver!$L$188-Driver!$K$188)</f>
        <v>0.12885177066610126</v>
      </c>
      <c r="AR123" s="72">
        <f>MIN((BD123-Driver!$K$189)/(Driver!$L$189-Driver!$K$189),100%)</f>
        <v>0.11502948517327399</v>
      </c>
      <c r="AS123" s="72">
        <f>(BE123-Driver!$K$190)/(Driver!$L$190-Driver!$K$190)</f>
        <v>0.22126258037610672</v>
      </c>
      <c r="AT123" s="72">
        <f>(BF123-Driver!$K$191)/(Driver!$L$191-Driver!$K$191)</f>
        <v>2.983311369436888E-2</v>
      </c>
      <c r="AU123" s="72">
        <f>(BG123-Driver!$K$192)/(Driver!$L$192-Driver!$K$192)</f>
        <v>1.9073048708507824E-2</v>
      </c>
      <c r="AV123" s="70">
        <f t="shared" si="60"/>
        <v>4.5431420431420433</v>
      </c>
      <c r="AW123" s="70">
        <f t="shared" si="61"/>
        <v>33.520787628056659</v>
      </c>
      <c r="AX123" s="70">
        <f t="shared" si="62"/>
        <v>4.3084803642572567</v>
      </c>
      <c r="AY123" s="70">
        <f>IFERROR(Driver!$K$19/Data!BH123/Data!BI123*Data!BK123*Data!BL123,"")</f>
        <v>0.1281672786914386</v>
      </c>
      <c r="AZ123" s="70">
        <f t="shared" si="63"/>
        <v>29.084139985107967</v>
      </c>
      <c r="BA123" s="70"/>
      <c r="BB123" s="70"/>
      <c r="BC123" s="70">
        <f t="shared" si="64"/>
        <v>66.836309207483907</v>
      </c>
      <c r="BD123" s="70">
        <f t="shared" si="65"/>
        <v>11.900728501745423</v>
      </c>
      <c r="BE123" s="70">
        <f t="shared" si="66"/>
        <v>0.22140149836670459</v>
      </c>
      <c r="BF123" s="70">
        <f t="shared" si="67"/>
        <v>3.3694406022933241</v>
      </c>
      <c r="BG123" s="70">
        <f t="shared" si="68"/>
        <v>7.2222729700103988E-2</v>
      </c>
      <c r="BH123" s="67">
        <f>MAX((CE123-Driver!$F$200)/(Driver!$G$200-Driver!$F$200)*$BI$1,1)</f>
        <v>4.3084803642572567</v>
      </c>
      <c r="BI123" s="67">
        <f>MAX($BI$1*(BY123-Driver!$F$201)/(Driver!$G$201-Driver!$F$201),1)</f>
        <v>7.9746835443037973</v>
      </c>
      <c r="BJ123" s="67">
        <f>(CB123-Driver!$F$206)/(Driver!$G$206-Driver!$F$206)*$BI$1</f>
        <v>3.0158730158730158</v>
      </c>
      <c r="BK123" s="67">
        <f>(CD123-Driver!$F$203)/(Driver!$G$203-Driver!$F$203)*$BI$1</f>
        <v>3.9908256880733957</v>
      </c>
      <c r="BL123" s="67">
        <f>MAX((CR123-Driver!$F$202)/(Driver!$G$202-Driver!$F$202)*$BI$1,1)</f>
        <v>5.5172413793103452</v>
      </c>
      <c r="BM123" s="67">
        <f>MAX((CH123-Driver!$F$204)/(Driver!$G$204-Driver!$F$204)*$BI$1,1)</f>
        <v>6.0256410256410255</v>
      </c>
      <c r="BN123" s="67">
        <f>(CI123-Driver!$F$205)/(Driver!$G$205-Driver!$F$205)*$BI$1</f>
        <v>3.6470588235294117</v>
      </c>
      <c r="BO123" s="67">
        <f>(CK123-Driver!$F$207)/(Driver!$G$207-Driver!$F$207)*$BI$1</f>
        <v>1.8407445708376422</v>
      </c>
      <c r="BP123" s="67">
        <f>(CM123-Driver!$F$208)/(Driver!$G$208-Driver!$F$208)*$BI$1</f>
        <v>2.4222222222222225</v>
      </c>
      <c r="BQ123" s="67">
        <f>(CL123-Driver!$F$209)/(Driver!$G$209-Driver!$F$209)*$BI$1</f>
        <v>1.875</v>
      </c>
      <c r="BR123" s="28" t="s">
        <v>155</v>
      </c>
      <c r="BS123" s="8" t="s">
        <v>174</v>
      </c>
      <c r="BT123" s="9" t="s">
        <v>343</v>
      </c>
      <c r="BU123" s="10">
        <v>185</v>
      </c>
      <c r="BV123" s="9" t="s">
        <v>158</v>
      </c>
      <c r="BW123" s="10">
        <v>185</v>
      </c>
      <c r="BX123" s="10">
        <v>184.7</v>
      </c>
      <c r="BY123" s="10">
        <v>134</v>
      </c>
      <c r="BZ123" s="10">
        <v>156</v>
      </c>
      <c r="CA123" s="10">
        <v>122</v>
      </c>
      <c r="CB123" s="10">
        <v>83</v>
      </c>
      <c r="CC123" s="10">
        <v>105</v>
      </c>
      <c r="CD123" s="10">
        <v>18.100000000000001</v>
      </c>
      <c r="CE123" s="10">
        <v>1657</v>
      </c>
      <c r="CF123" s="10">
        <v>1.07</v>
      </c>
      <c r="CG123" s="10">
        <v>1779</v>
      </c>
      <c r="CH123" s="10">
        <v>242</v>
      </c>
      <c r="CI123" s="10">
        <v>95</v>
      </c>
      <c r="CJ123" s="10">
        <v>48</v>
      </c>
      <c r="CK123" s="10">
        <v>288</v>
      </c>
      <c r="CL123" s="10">
        <v>12</v>
      </c>
      <c r="CM123" s="10">
        <v>218</v>
      </c>
      <c r="CN123" s="10">
        <v>0.25700000000000001</v>
      </c>
      <c r="CO123" s="10">
        <v>160</v>
      </c>
      <c r="CP123" s="10">
        <v>128</v>
      </c>
      <c r="CQ123" s="10">
        <v>128</v>
      </c>
      <c r="CR123" s="10">
        <v>5</v>
      </c>
      <c r="CS123" s="10">
        <v>9.3000000000000007</v>
      </c>
      <c r="CT123" s="9" t="s">
        <v>231</v>
      </c>
      <c r="CU123" s="9" t="s">
        <v>188</v>
      </c>
      <c r="CV123" s="9" t="s">
        <v>185</v>
      </c>
      <c r="CW123" s="10"/>
      <c r="CX123" t="str">
        <f>INDEX('Data_Price '!AG$2:AG$1266,MATCH(Data!$DN123,'Data_Price '!$AT$2:$AT$1266,0))</f>
        <v>Salomon Stance 84 Skis Â· 185 cm</v>
      </c>
      <c r="CY123" t="str">
        <f>INDEX('Data_Price '!AH$2:AH$1266,MATCH(Data!$DN123,'Data_Price '!$AT$2:$AT$1266,0))</f>
        <v>Curated</v>
      </c>
      <c r="CZ123">
        <f>INDEX('Data_Price '!AI$2:AI$1266,MATCH(Data!$DN123,'Data_Price '!$AT$2:$AT$1266,0))</f>
        <v>499.99</v>
      </c>
      <c r="DA123" t="str">
        <f>INDEX('Data_Price '!AJ$2:AJ$1266,MATCH(Data!$DN123,'Data_Price '!$AT$2:$AT$1266,0))</f>
        <v>https://tinyurl.com/y8w7obza</v>
      </c>
      <c r="DB123" t="str">
        <f>INDEX('Data_Price '!AK$2:AK$1266,MATCH(Data!$DN123,'Data_Price '!$AT$2:$AT$1266,0))</f>
        <v>Salomon Stance 84 Skis + M12 GW Bindings 2022 - 185</v>
      </c>
      <c r="DC123" t="str">
        <f>INDEX('Data_Price '!AL$2:AL$1266,MATCH(Data!$DN123,'Data_Price '!$AT$2:$AT$1266,0))</f>
        <v>evo.com</v>
      </c>
      <c r="DD123">
        <f>INDEX('Data_Price '!AM$2:AM$1266,MATCH(Data!$DN123,'Data_Price '!$AT$2:$AT$1266,0))</f>
        <v>599.99</v>
      </c>
      <c r="DE123" t="str">
        <f>INDEX('Data_Price '!AN$2:AN$1266,MATCH(Data!$DN123,'Data_Price '!$AT$2:$AT$1266,0))</f>
        <v>https://tinyurl.com/yaarxrco</v>
      </c>
      <c r="DF123" t="str">
        <f>INDEX('Data_Price '!AO$2:AO$1266,MATCH(Data!$DN123,'Data_Price '!$AT$2:$AT$1266,0))</f>
        <v>Salomon Stance 80 M10 GW Skis, 185cm Dark Blue/Red/Black 2021</v>
      </c>
      <c r="DG123" t="str">
        <f>INDEX('Data_Price '!AP$2:AP$1266,MATCH(Data!$DN123,'Data_Price '!$AT$2:$AT$1266,0))</f>
        <v>Absolute-Snow.co.uk</v>
      </c>
      <c r="DH123">
        <f>INDEX('Data_Price '!AQ$2:AQ$1266,MATCH(Data!$DN123,'Data_Price '!$AT$2:$AT$1266,0))</f>
        <v>375.83</v>
      </c>
      <c r="DI123" t="str">
        <f>INDEX('Data_Price '!AR$2:AR$1266,MATCH(Data!$DN123,'Data_Price '!$AT$2:$AT$1266,0))</f>
        <v>https://tinyurl.com/y8tepr25</v>
      </c>
      <c r="DJ123" s="89" t="str">
        <f t="shared" si="69"/>
        <v>https://tinyurl.com/y8w7obza</v>
      </c>
      <c r="DK123" s="89" t="str">
        <f t="shared" si="70"/>
        <v>https://tinyurl.com/yaarxrco</v>
      </c>
      <c r="DL123" s="89" t="str">
        <f t="shared" si="71"/>
        <v>https://tinyurl.com/y8tepr25</v>
      </c>
      <c r="DM123" s="219" t="str">
        <f t="shared" si="72"/>
        <v>Stance 84</v>
      </c>
      <c r="DN123" s="89" t="str">
        <f t="shared" si="73"/>
        <v xml:space="preserve"> SalomonStance 84185 Unisex</v>
      </c>
      <c r="DO123" s="221" t="s">
        <v>344</v>
      </c>
    </row>
    <row r="124" spans="2:119" ht="15.6" customHeight="1">
      <c r="B124" s="219" t="b">
        <f t="array" ref="B124">IF(OR(ISERROR(K124:P124)),FALSE,TRUE)</f>
        <v>1</v>
      </c>
      <c r="C124" s="43" t="b">
        <f>OR(BR124=Driver!$G$50,Data!BR1019=Driver!$H$50)</f>
        <v>1</v>
      </c>
      <c r="D124" s="43" t="b">
        <f>OR(BV124=Driver!$G$51,BV124=Driver!$H$51)</f>
        <v>1</v>
      </c>
      <c r="E124" s="43" t="b">
        <f>AND(BX124&gt;Driver!$F$54,BX124&lt;Driver!$G$54)</f>
        <v>0</v>
      </c>
      <c r="F124" s="43" t="b">
        <f>CL124&gt;Driver!$F$56</f>
        <v>1</v>
      </c>
      <c r="G124" s="43" t="b">
        <f>AND(CB124&gt;Driver!$F$55,CB124&lt;Driver!$G$55)</f>
        <v>0</v>
      </c>
      <c r="H124" s="43" t="b">
        <f t="shared" si="37"/>
        <v>0</v>
      </c>
      <c r="I124" s="43">
        <f t="shared" si="38"/>
        <v>0</v>
      </c>
      <c r="J124" s="43" t="b">
        <f t="array" ref="J124">NOT(OR(($H$9:$H$1273=TRUE)*($I$9:$I$1273&gt;0)*($BT$9:$BT$1273=BT124)*($K$9:$K$1273&gt;K124)))</f>
        <v>1</v>
      </c>
      <c r="K124" s="72">
        <f t="shared" si="39"/>
        <v>0.83327721289362688</v>
      </c>
      <c r="L124" s="72">
        <f t="shared" si="40"/>
        <v>0.95366069707456325</v>
      </c>
      <c r="M124" s="72">
        <f t="shared" si="41"/>
        <v>0.71289372871269052</v>
      </c>
      <c r="N124" s="72">
        <f t="shared" si="42"/>
        <v>0.57345150240908993</v>
      </c>
      <c r="O124" s="72">
        <f t="shared" si="43"/>
        <v>0.6219171371913792</v>
      </c>
      <c r="P124" s="72">
        <f t="shared" si="44"/>
        <v>0.94331254653760233</v>
      </c>
      <c r="Q124" s="72"/>
      <c r="R124" s="72"/>
      <c r="S124" s="72">
        <f t="shared" si="45"/>
        <v>0.46438469377017799</v>
      </c>
      <c r="T124" s="72">
        <f t="shared" si="46"/>
        <v>0.72762321115653461</v>
      </c>
      <c r="U124" s="72">
        <f t="shared" si="47"/>
        <v>0.81588648197434588</v>
      </c>
      <c r="V124" s="72">
        <f t="shared" si="48"/>
        <v>0.51188259107987388</v>
      </c>
      <c r="W124" s="72">
        <f t="shared" si="49"/>
        <v>0.76691049617003659</v>
      </c>
      <c r="X124" s="72">
        <f t="shared" si="50"/>
        <v>4.6339302925436726E-2</v>
      </c>
      <c r="Y124" s="72">
        <f t="shared" si="51"/>
        <v>0.28710627128730948</v>
      </c>
      <c r="Z124" s="72">
        <f t="shared" si="52"/>
        <v>0.42654849759091007</v>
      </c>
      <c r="AA124" s="72">
        <f t="shared" si="53"/>
        <v>0.37808286280862075</v>
      </c>
      <c r="AB124" s="72">
        <f t="shared" si="54"/>
        <v>5.6687453462397674E-2</v>
      </c>
      <c r="AC124" s="72"/>
      <c r="AD124" s="72"/>
      <c r="AE124" s="72">
        <f t="shared" si="55"/>
        <v>0.53561530622982201</v>
      </c>
      <c r="AF124" s="72">
        <f t="shared" si="56"/>
        <v>0.27237678884346533</v>
      </c>
      <c r="AG124" s="72">
        <f t="shared" si="57"/>
        <v>0.18411351802565418</v>
      </c>
      <c r="AH124" s="72">
        <f t="shared" si="58"/>
        <v>0.48811740892012606</v>
      </c>
      <c r="AI124" s="72">
        <f t="shared" si="59"/>
        <v>0.23308950382996343</v>
      </c>
      <c r="AJ124" s="72">
        <f>(AV124-Driver!$K$179)/(Driver!$L$179-Driver!$K$179)</f>
        <v>0.2078801063572637</v>
      </c>
      <c r="AK124" s="72">
        <f>(AW124-Driver!$K$180)/(Driver!$L$180-Driver!$K$180)</f>
        <v>0.33145160214076519</v>
      </c>
      <c r="AL124" s="72">
        <f>(AX124-Driver!$K$181)/(Driver!$L$181-Driver!$K$181)</f>
        <v>0.52823626130399026</v>
      </c>
      <c r="AM124" s="72">
        <f>(AY124-Driver!$K$182)/(Driver!$L$182-Driver!$K$182)</f>
        <v>6.9302158288425619E-2</v>
      </c>
      <c r="AN124" s="72">
        <f>(AZ124-Driver!$K$183)/(Driver!$L$183-Driver!$K$183)</f>
        <v>0.3109068627450981</v>
      </c>
      <c r="AO124" s="72"/>
      <c r="AP124" s="72"/>
      <c r="AQ124" s="72">
        <f>(BC124-Driver!$K$188)/(Driver!$L$188-Driver!$K$188)</f>
        <v>8.4384693770178001E-2</v>
      </c>
      <c r="AR124" s="72">
        <f>MIN((BD124-Driver!$K$189)/(Driver!$L$189-Driver!$K$189),100%)</f>
        <v>0.27762321115653471</v>
      </c>
      <c r="AS124" s="72">
        <f>(BE124-Driver!$K$190)/(Driver!$L$190-Driver!$K$190)</f>
        <v>0.32588648197434583</v>
      </c>
      <c r="AT124" s="72">
        <f>(BF124-Driver!$K$191)/(Driver!$L$191-Driver!$K$191)</f>
        <v>2.1882591079873941E-2</v>
      </c>
      <c r="AU124" s="72">
        <f>(BG124-Driver!$K$192)/(Driver!$L$192-Driver!$K$192)</f>
        <v>1.6910496170036576E-2</v>
      </c>
      <c r="AV124" s="70">
        <f t="shared" si="60"/>
        <v>4.3752543752543751</v>
      </c>
      <c r="AW124" s="70">
        <f t="shared" si="61"/>
        <v>34.17478821004299</v>
      </c>
      <c r="AX124" s="70">
        <f t="shared" si="62"/>
        <v>5.7541263517359127</v>
      </c>
      <c r="AY124" s="70">
        <f>IFERROR(Driver!$K$19/Data!BH124/Data!BI124*Data!BK124*Data!BL124,"")</f>
        <v>8.484651951332807E-2</v>
      </c>
      <c r="AZ124" s="70">
        <f t="shared" si="63"/>
        <v>28.335815338793751</v>
      </c>
      <c r="BA124" s="70"/>
      <c r="BB124" s="70"/>
      <c r="BC124" s="70">
        <f t="shared" si="64"/>
        <v>43.770927291465135</v>
      </c>
      <c r="BD124" s="70">
        <f t="shared" si="65"/>
        <v>26.289985152229271</v>
      </c>
      <c r="BE124" s="70">
        <f t="shared" si="66"/>
        <v>0.3260067362384908</v>
      </c>
      <c r="BF124" s="70">
        <f t="shared" si="67"/>
        <v>2.4714849285686928</v>
      </c>
      <c r="BG124" s="70">
        <f t="shared" si="68"/>
        <v>6.4033926230073854E-2</v>
      </c>
      <c r="BH124" s="67">
        <f>MAX((CE124-Driver!$F$200)/(Driver!$G$200-Driver!$F$200)*$BI$1,1)</f>
        <v>5.7541263517359127</v>
      </c>
      <c r="BI124" s="67">
        <f>MAX($BI$1*(BY124-Driver!$F$201)/(Driver!$G$201-Driver!$F$201),1)</f>
        <v>8.1645569620253173</v>
      </c>
      <c r="BJ124" s="67">
        <f>(CB124-Driver!$F$206)/(Driver!$G$206-Driver!$F$206)*$BI$1</f>
        <v>3.1746031746031744</v>
      </c>
      <c r="BK124" s="67">
        <f>(CD124-Driver!$F$203)/(Driver!$G$203-Driver!$F$203)*$BI$1</f>
        <v>2.7522935779816518</v>
      </c>
      <c r="BL124" s="67">
        <f>MAX((CR124-Driver!$F$202)/(Driver!$G$202-Driver!$F$202)*$BI$1,1)</f>
        <v>7.2413793103448274</v>
      </c>
      <c r="BM124" s="67">
        <f>MAX((CH124-Driver!$F$204)/(Driver!$G$204-Driver!$F$204)*$BI$1,1)</f>
        <v>5.5128205128205128</v>
      </c>
      <c r="BN124" s="67">
        <f>(CI124-Driver!$F$205)/(Driver!$G$205-Driver!$F$205)*$BI$1</f>
        <v>3.4705882352941178</v>
      </c>
      <c r="BO124" s="67">
        <f>(CK124-Driver!$F$207)/(Driver!$G$207-Driver!$F$207)*$BI$1</f>
        <v>1.5305067218200621</v>
      </c>
      <c r="BP124" s="67">
        <f>(CM124-Driver!$F$208)/(Driver!$G$208-Driver!$F$208)*$BI$1</f>
        <v>1.4000000000000001</v>
      </c>
      <c r="BQ124" s="67">
        <f>(CL124-Driver!$F$209)/(Driver!$G$209-Driver!$F$209)*$BI$1</f>
        <v>2.03125</v>
      </c>
      <c r="BR124" s="28" t="s">
        <v>155</v>
      </c>
      <c r="BS124" s="8" t="s">
        <v>172</v>
      </c>
      <c r="BT124" s="9" t="s">
        <v>345</v>
      </c>
      <c r="BU124" s="10">
        <v>176</v>
      </c>
      <c r="BV124" s="9" t="s">
        <v>158</v>
      </c>
      <c r="BW124" s="10">
        <v>176</v>
      </c>
      <c r="BX124" s="10">
        <v>175.5</v>
      </c>
      <c r="BY124" s="10">
        <v>137</v>
      </c>
      <c r="BZ124" s="10">
        <v>161</v>
      </c>
      <c r="CA124" s="10">
        <v>131</v>
      </c>
      <c r="CB124" s="10">
        <v>84</v>
      </c>
      <c r="CC124" s="10">
        <v>119</v>
      </c>
      <c r="CD124" s="10">
        <v>15.4</v>
      </c>
      <c r="CE124" s="10">
        <v>1911</v>
      </c>
      <c r="CF124" s="10">
        <v>0.91</v>
      </c>
      <c r="CG124" s="10">
        <v>1733</v>
      </c>
      <c r="CH124" s="10">
        <v>230</v>
      </c>
      <c r="CI124" s="10">
        <v>92</v>
      </c>
      <c r="CJ124" s="10">
        <v>47</v>
      </c>
      <c r="CK124" s="10">
        <v>258</v>
      </c>
      <c r="CL124" s="10">
        <v>13</v>
      </c>
      <c r="CM124" s="10">
        <v>126</v>
      </c>
      <c r="CN124" s="10">
        <v>0.26900000000000002</v>
      </c>
      <c r="CO124" s="10">
        <v>73</v>
      </c>
      <c r="CP124" s="10">
        <v>67</v>
      </c>
      <c r="CQ124" s="10">
        <v>184</v>
      </c>
      <c r="CR124" s="10">
        <v>10</v>
      </c>
      <c r="CS124" s="10">
        <v>6.9</v>
      </c>
      <c r="CT124" s="9" t="s">
        <v>188</v>
      </c>
      <c r="CU124" s="10"/>
      <c r="CV124" s="10"/>
      <c r="CW124" s="10"/>
      <c r="CX124" t="str">
        <f>INDEX('Data_Price '!AG$2:AG$1266,MATCH(Data!$DN124,'Data_Price '!$AT$2:$AT$1266,0))</f>
        <v>Rossignol Experience 86 Basalt Mens Skis</v>
      </c>
      <c r="CY124" t="str">
        <f>INDEX('Data_Price '!AH$2:AH$1266,MATCH(Data!$DN124,'Data_Price '!$AT$2:$AT$1266,0))</f>
        <v>UtahSkis</v>
      </c>
      <c r="CZ124">
        <f>INDEX('Data_Price '!AI$2:AI$1266,MATCH(Data!$DN124,'Data_Price '!$AT$2:$AT$1266,0))</f>
        <v>479.96</v>
      </c>
      <c r="DA124" t="str">
        <f>INDEX('Data_Price '!AJ$2:AJ$1266,MATCH(Data!$DN124,'Data_Price '!$AT$2:$AT$1266,0))</f>
        <v>https://tinyurl.com/y7t5khfh</v>
      </c>
      <c r="DB124" t="str">
        <f>INDEX('Data_Price '!AK$2:AK$1266,MATCH(Data!$DN124,'Data_Price '!$AT$2:$AT$1266,0))</f>
        <v>Rossignol Experience 86 Basalt Skis | 176 | Christy Sports</v>
      </c>
      <c r="DC124" t="str">
        <f>INDEX('Data_Price '!AL$2:AL$1266,MATCH(Data!$DN124,'Data_Price '!$AT$2:$AT$1266,0))</f>
        <v>Christy Sports</v>
      </c>
      <c r="DD124">
        <f>INDEX('Data_Price '!AM$2:AM$1266,MATCH(Data!$DN124,'Data_Price '!$AT$2:$AT$1266,0))</f>
        <v>599.95000000000005</v>
      </c>
      <c r="DE124" t="str">
        <f>INDEX('Data_Price '!AN$2:AN$1266,MATCH(Data!$DN124,'Data_Price '!$AT$2:$AT$1266,0))</f>
        <v>https://tinyurl.com/y8e28z3p</v>
      </c>
      <c r="DF124" t="str">
        <f>INDEX('Data_Price '!AO$2:AO$1266,MATCH(Data!$DN124,'Data_Price '!$AT$2:$AT$1266,0))</f>
        <v>Rossignol Experience 86 Basalt Skis w/ Look SPX 12 Konect GW Bindings</v>
      </c>
      <c r="DG124" t="str">
        <f>INDEX('Data_Price '!AP$2:AP$1266,MATCH(Data!$DN124,'Data_Price '!$AT$2:$AT$1266,0))</f>
        <v>The-House.com</v>
      </c>
      <c r="DH124">
        <f>INDEX('Data_Price '!AQ$2:AQ$1266,MATCH(Data!$DN124,'Data_Price '!$AT$2:$AT$1266,0))</f>
        <v>639.95000000000005</v>
      </c>
      <c r="DI124" t="str">
        <f>INDEX('Data_Price '!AR$2:AR$1266,MATCH(Data!$DN124,'Data_Price '!$AT$2:$AT$1266,0))</f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J124" s="89" t="str">
        <f t="shared" si="69"/>
        <v>https://tinyurl.com/y7t5khfh</v>
      </c>
      <c r="DK124" s="89" t="str">
        <f t="shared" si="70"/>
        <v>https://tinyurl.com/y8e28z3p</v>
      </c>
      <c r="DL124" s="89" t="str">
        <f t="shared" si="71"/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M124" s="219" t="str">
        <f t="shared" si="72"/>
        <v>Experience 86 Basalt</v>
      </c>
      <c r="DN124" s="89" t="str">
        <f t="shared" si="73"/>
        <v xml:space="preserve"> RossignolExperience 86 Basalt176 Unisex</v>
      </c>
      <c r="DO124" s="221" t="s">
        <v>346</v>
      </c>
    </row>
    <row r="125" spans="2:119" ht="15.6" customHeight="1">
      <c r="B125" s="219" t="b">
        <f t="array" ref="B125">IF(OR(ISERROR(K125:P125)),FALSE,TRUE)</f>
        <v>1</v>
      </c>
      <c r="C125" s="43" t="b">
        <f>OR(BR125=Driver!$G$50,Data!BR800=Driver!$H$50)</f>
        <v>1</v>
      </c>
      <c r="D125" s="43" t="b">
        <f>OR(BV125=Driver!$G$51,BV125=Driver!$H$51)</f>
        <v>1</v>
      </c>
      <c r="E125" s="43" t="b">
        <f>AND(BX125&gt;Driver!$F$54,BX125&lt;Driver!$G$54)</f>
        <v>0</v>
      </c>
      <c r="F125" s="43" t="b">
        <f>CL125&gt;Driver!$F$56</f>
        <v>1</v>
      </c>
      <c r="G125" s="43" t="b">
        <f>AND(CB125&gt;Driver!$F$55,CB125&lt;Driver!$G$55)</f>
        <v>0</v>
      </c>
      <c r="H125" s="43" t="b">
        <f t="shared" si="37"/>
        <v>0</v>
      </c>
      <c r="I125" s="43">
        <f t="shared" si="38"/>
        <v>0</v>
      </c>
      <c r="J125" s="43" t="b">
        <f t="array" ref="J125">NOT(OR(($H$9:$H$1273=TRUE)*($I$9:$I$1273&gt;0)*($BT$9:$BT$1273=BT125)*($K$9:$K$1273&gt;K125)))</f>
        <v>1</v>
      </c>
      <c r="K125" s="72">
        <f t="shared" si="39"/>
        <v>0.85502773764732654</v>
      </c>
      <c r="L125" s="72">
        <f t="shared" si="40"/>
        <v>0.94318611807206554</v>
      </c>
      <c r="M125" s="72">
        <f t="shared" si="41"/>
        <v>0.76686935722258753</v>
      </c>
      <c r="N125" s="72">
        <f t="shared" si="42"/>
        <v>0.73534361649243896</v>
      </c>
      <c r="O125" s="72">
        <f t="shared" si="43"/>
        <v>0.67771171255928997</v>
      </c>
      <c r="P125" s="72">
        <f t="shared" si="44"/>
        <v>0.88755274261603379</v>
      </c>
      <c r="Q125" s="72"/>
      <c r="R125" s="72"/>
      <c r="S125" s="72">
        <f t="shared" si="45"/>
        <v>0.497199466584338</v>
      </c>
      <c r="T125" s="72">
        <f t="shared" si="46"/>
        <v>0.53783199754199063</v>
      </c>
      <c r="U125" s="72">
        <f t="shared" si="47"/>
        <v>0.51</v>
      </c>
      <c r="V125" s="72">
        <f t="shared" si="48"/>
        <v>0.50169296038674982</v>
      </c>
      <c r="W125" s="72">
        <f t="shared" si="49"/>
        <v>0.77063589674280308</v>
      </c>
      <c r="X125" s="72">
        <f t="shared" si="50"/>
        <v>5.681388192793449E-2</v>
      </c>
      <c r="Y125" s="72">
        <f t="shared" si="51"/>
        <v>0.23313064277741247</v>
      </c>
      <c r="Z125" s="72">
        <f t="shared" si="52"/>
        <v>0.2646563835075611</v>
      </c>
      <c r="AA125" s="72">
        <f t="shared" si="53"/>
        <v>0.32228828744071009</v>
      </c>
      <c r="AB125" s="72">
        <f t="shared" si="54"/>
        <v>0.11244725738396621</v>
      </c>
      <c r="AC125" s="72"/>
      <c r="AD125" s="72"/>
      <c r="AE125" s="72">
        <f t="shared" si="55"/>
        <v>0.502800533415662</v>
      </c>
      <c r="AF125" s="72">
        <f t="shared" si="56"/>
        <v>0.46216800245800937</v>
      </c>
      <c r="AG125" s="72">
        <f t="shared" si="57"/>
        <v>0.49</v>
      </c>
      <c r="AH125" s="72">
        <f t="shared" si="58"/>
        <v>0.49830703961325018</v>
      </c>
      <c r="AI125" s="72">
        <f t="shared" si="59"/>
        <v>0.22936410325719692</v>
      </c>
      <c r="AJ125" s="72">
        <f>(AV125-Driver!$K$179)/(Driver!$L$179-Driver!$K$179)</f>
        <v>0.19740552735476594</v>
      </c>
      <c r="AK125" s="72">
        <f>(AW125-Driver!$K$180)/(Driver!$L$180-Driver!$K$180)</f>
        <v>0.36934642593646433</v>
      </c>
      <c r="AL125" s="72">
        <f>(AX125-Driver!$K$181)/(Driver!$L$181-Driver!$K$181)</f>
        <v>0.36634414722064129</v>
      </c>
      <c r="AM125" s="72">
        <f>(AY125-Driver!$K$182)/(Driver!$L$182-Driver!$K$182)</f>
        <v>0.12509673365633628</v>
      </c>
      <c r="AN125" s="72">
        <f>(AZ125-Driver!$K$183)/(Driver!$L$183-Driver!$K$183)</f>
        <v>0.36666666666666664</v>
      </c>
      <c r="AO125" s="72"/>
      <c r="AP125" s="72"/>
      <c r="AQ125" s="72">
        <f>(BC125-Driver!$K$188)/(Driver!$L$188-Driver!$K$188)</f>
        <v>0.11719946658433801</v>
      </c>
      <c r="AR125" s="72">
        <f>MIN((BD125-Driver!$K$189)/(Driver!$L$189-Driver!$K$189),100%)</f>
        <v>8.7831997541990697E-2</v>
      </c>
      <c r="AS125" s="72">
        <f>(BE125-Driver!$K$190)/(Driver!$L$190-Driver!$K$190)</f>
        <v>1</v>
      </c>
      <c r="AT125" s="72">
        <f>(BF125-Driver!$K$191)/(Driver!$L$191-Driver!$K$191)</f>
        <v>1.1692960386749832E-2</v>
      </c>
      <c r="AU125" s="72">
        <f>(BG125-Driver!$K$192)/(Driver!$L$192-Driver!$K$192)</f>
        <v>2.0635896742803073E-2</v>
      </c>
      <c r="AV125" s="70">
        <f t="shared" si="60"/>
        <v>4.1547958214624883</v>
      </c>
      <c r="AW125" s="70">
        <f t="shared" si="61"/>
        <v>37.867974571231301</v>
      </c>
      <c r="AX125" s="70">
        <f t="shared" si="62"/>
        <v>4.2970973249857716</v>
      </c>
      <c r="AY125" s="70">
        <f>IFERROR(Driver!$K$19/Data!BH125/Data!BI125*Data!BK125*Data!BL125,"")</f>
        <v>0.15315572725818877</v>
      </c>
      <c r="AZ125" s="70">
        <f t="shared" si="63"/>
        <v>33.417721518987342</v>
      </c>
      <c r="BA125" s="70"/>
      <c r="BB125" s="70"/>
      <c r="BC125" s="70">
        <f t="shared" si="64"/>
        <v>60.792178074769538</v>
      </c>
      <c r="BD125" s="70">
        <f t="shared" si="65"/>
        <v>9.4937990374733161</v>
      </c>
      <c r="BE125" s="70">
        <f t="shared" si="66"/>
        <v>1</v>
      </c>
      <c r="BF125" s="70">
        <f t="shared" si="67"/>
        <v>1.3206377279874411</v>
      </c>
      <c r="BG125" s="70">
        <f t="shared" si="68"/>
        <v>7.8140669347209063E-2</v>
      </c>
      <c r="BH125" s="67">
        <f>MAX((CE125-Driver!$F$200)/(Driver!$G$200-Driver!$F$200)*$BI$1,1)</f>
        <v>4.2970973249857716</v>
      </c>
      <c r="BI125" s="67">
        <f>MAX($BI$1*(BY125-Driver!$F$201)/(Driver!$G$201-Driver!$F$201),1)</f>
        <v>8.3544303797468356</v>
      </c>
      <c r="BJ125" s="67">
        <f>(CB125-Driver!$F$206)/(Driver!$G$206-Driver!$F$206)*$BI$1</f>
        <v>3.9682539682539679</v>
      </c>
      <c r="BK125" s="67">
        <f>(CD125-Driver!$F$203)/(Driver!$G$203-Driver!$F$203)*$BI$1</f>
        <v>3.623853211009175</v>
      </c>
      <c r="BL125" s="67">
        <f>MAX((CR125-Driver!$F$202)/(Driver!$G$202-Driver!$F$202)*$BI$1,1)</f>
        <v>7.5862068965517242</v>
      </c>
      <c r="BM125" s="67">
        <f>MAX((CH125-Driver!$F$204)/(Driver!$G$204-Driver!$F$204)*$BI$1,1)</f>
        <v>4.1880341880341883</v>
      </c>
      <c r="BN125" s="67">
        <f>(CI125-Driver!$F$205)/(Driver!$G$205-Driver!$F$205)*$BI$1</f>
        <v>4</v>
      </c>
      <c r="BO125" s="67">
        <f>(CK125-Driver!$F$207)/(Driver!$G$207-Driver!$F$207)*$BI$1</f>
        <v>0.84798345398138575</v>
      </c>
      <c r="BP125" s="67">
        <f>(CM125-Driver!$F$208)/(Driver!$G$208-Driver!$F$208)*$BI$1</f>
        <v>1.4222222222222223</v>
      </c>
      <c r="BQ125" s="67">
        <f>(CL125-Driver!$F$209)/(Driver!$G$209-Driver!$F$209)*$BI$1</f>
        <v>1.40625</v>
      </c>
      <c r="BR125" s="28" t="s">
        <v>155</v>
      </c>
      <c r="BS125" s="8" t="s">
        <v>215</v>
      </c>
      <c r="BT125" s="9" t="s">
        <v>306</v>
      </c>
      <c r="BU125" s="10">
        <v>172</v>
      </c>
      <c r="BV125" s="9" t="s">
        <v>158</v>
      </c>
      <c r="BW125" s="10">
        <v>172</v>
      </c>
      <c r="BX125" s="10">
        <v>171.9</v>
      </c>
      <c r="BY125" s="10">
        <v>140</v>
      </c>
      <c r="BZ125" s="10">
        <v>152</v>
      </c>
      <c r="CA125" s="10">
        <v>130</v>
      </c>
      <c r="CB125" s="10">
        <v>89</v>
      </c>
      <c r="CC125" s="10">
        <v>113</v>
      </c>
      <c r="CD125" s="10">
        <v>17.3</v>
      </c>
      <c r="CE125" s="10">
        <v>1655</v>
      </c>
      <c r="CF125" s="10">
        <v>1.06</v>
      </c>
      <c r="CG125" s="10">
        <v>1748</v>
      </c>
      <c r="CH125" s="10">
        <v>199</v>
      </c>
      <c r="CI125" s="10">
        <v>101</v>
      </c>
      <c r="CJ125" s="10">
        <v>36</v>
      </c>
      <c r="CK125" s="10">
        <v>192</v>
      </c>
      <c r="CL125" s="10">
        <v>9</v>
      </c>
      <c r="CM125" s="10">
        <v>128</v>
      </c>
      <c r="CN125" s="10">
        <v>0.253</v>
      </c>
      <c r="CO125" s="10">
        <v>114</v>
      </c>
      <c r="CP125" s="10">
        <v>84</v>
      </c>
      <c r="CQ125" s="10">
        <v>79</v>
      </c>
      <c r="CR125" s="10">
        <v>11</v>
      </c>
      <c r="CS125" s="10">
        <v>10.4</v>
      </c>
      <c r="CT125" s="9" t="s">
        <v>188</v>
      </c>
      <c r="CU125" s="9" t="s">
        <v>185</v>
      </c>
      <c r="CV125" s="10"/>
      <c r="CW125" s="10"/>
      <c r="CX125" t="str">
        <f>INDEX('Data_Price '!AG$2:AG$1266,MATCH(Data!$DN125,'Data_Price '!$AT$2:$AT$1266,0))</f>
        <v>Men's Liberty Evolv 90 Skis</v>
      </c>
      <c r="CY125" t="str">
        <f>INDEX('Data_Price '!AH$2:AH$1266,MATCH(Data!$DN125,'Data_Price '!$AT$2:$AT$1266,0))</f>
        <v>REI</v>
      </c>
      <c r="CZ125">
        <f>INDEX('Data_Price '!AI$2:AI$1266,MATCH(Data!$DN125,'Data_Price '!$AT$2:$AT$1266,0))</f>
        <v>485.93</v>
      </c>
      <c r="DA125" t="str">
        <f>INDEX('Data_Price '!AJ$2:AJ$1266,MATCH(Data!$DN125,'Data_Price '!$AT$2:$AT$1266,0))</f>
        <v>https://tinyurl.com/y7uhnkb2</v>
      </c>
      <c r="DB125" t="str">
        <f>INDEX('Data_Price '!AK$2:AK$1266,MATCH(Data!$DN125,'Data_Price '!$AT$2:$AT$1266,0))</f>
        <v>Evolv 90 - 2023 172</v>
      </c>
      <c r="DC125" t="str">
        <f>INDEX('Data_Price '!AL$2:AL$1266,MATCH(Data!$DN125,'Data_Price '!$AT$2:$AT$1266,0))</f>
        <v>Liberty Skis</v>
      </c>
      <c r="DD125">
        <f>INDEX('Data_Price '!AM$2:AM$1266,MATCH(Data!$DN125,'Data_Price '!$AT$2:$AT$1266,0))</f>
        <v>729.99</v>
      </c>
      <c r="DE125" t="str">
        <f>INDEX('Data_Price '!AN$2:AN$1266,MATCH(Data!$DN125,'Data_Price '!$AT$2:$AT$1266,0))</f>
        <v>https://tinyurl.com/y7scwbvl</v>
      </c>
      <c r="DF125" t="str">
        <f>INDEX('Data_Price '!AO$2:AO$1266,MATCH(Data!$DN125,'Data_Price '!$AT$2:$AT$1266,0))</f>
        <v>2021 Liberty Evolv100 Skis W/ Marker 11.0 Tp Bindings 172 Cm</v>
      </c>
      <c r="DG125" t="str">
        <f>INDEX('Data_Price '!AP$2:AP$1266,MATCH(Data!$DN125,'Data_Price '!$AT$2:$AT$1266,0))</f>
        <v>eBay</v>
      </c>
      <c r="DH125">
        <f>INDEX('Data_Price '!AQ$2:AQ$1266,MATCH(Data!$DN125,'Data_Price '!$AT$2:$AT$1266,0))</f>
        <v>499.99</v>
      </c>
      <c r="DI125" t="str">
        <f>INDEX('Data_Price '!AR$2:AR$1266,MATCH(Data!$DN125,'Data_Price '!$AT$2:$AT$1266,0))</f>
        <v>https://tinyurl.com/yb2nebkt</v>
      </c>
      <c r="DJ125" s="89" t="str">
        <f t="shared" si="69"/>
        <v>https://tinyurl.com/y7uhnkb2</v>
      </c>
      <c r="DK125" s="89" t="str">
        <f t="shared" si="70"/>
        <v>https://tinyurl.com/y7scwbvl</v>
      </c>
      <c r="DL125" s="89" t="str">
        <f t="shared" si="71"/>
        <v>https://tinyurl.com/yb2nebkt</v>
      </c>
      <c r="DM125" s="219" t="str">
        <f t="shared" si="72"/>
        <v>Evolv 90</v>
      </c>
      <c r="DN125" s="89" t="str">
        <f t="shared" si="73"/>
        <v xml:space="preserve"> LibertyEvolv 90172 Unisex</v>
      </c>
      <c r="DO125" s="221"/>
    </row>
    <row r="126" spans="2:119" ht="15.6" customHeight="1">
      <c r="B126" s="219" t="b">
        <f t="array" ref="B126">IF(OR(ISERROR(K126:P126)),FALSE,TRUE)</f>
        <v>1</v>
      </c>
      <c r="C126" s="43" t="b">
        <f>OR(BR126=Driver!$G$50,Data!BR519=Driver!$H$50)</f>
        <v>1</v>
      </c>
      <c r="D126" s="43" t="b">
        <f>OR(BV126=Driver!$G$51,BV126=Driver!$H$51)</f>
        <v>1</v>
      </c>
      <c r="E126" s="43" t="b">
        <f>AND(BX126&gt;Driver!$F$54,BX126&lt;Driver!$G$54)</f>
        <v>0</v>
      </c>
      <c r="F126" s="43" t="b">
        <f>CL126&gt;Driver!$F$56</f>
        <v>1</v>
      </c>
      <c r="G126" s="43" t="b">
        <f>AND(CB126&gt;Driver!$F$55,CB126&lt;Driver!$G$55)</f>
        <v>0</v>
      </c>
      <c r="H126" s="43" t="b">
        <f t="shared" si="37"/>
        <v>0</v>
      </c>
      <c r="I126" s="43">
        <f t="shared" si="38"/>
        <v>0</v>
      </c>
      <c r="J126" s="43" t="b">
        <f t="array" ref="J126">NOT(OR(($H$9:$H$1273=TRUE)*($I$9:$I$1273&gt;0)*($BT$9:$BT$1273=BT126)*($K$9:$K$1273&gt;K126)))</f>
        <v>1</v>
      </c>
      <c r="K126" s="72">
        <f t="shared" si="39"/>
        <v>0.86136616624082984</v>
      </c>
      <c r="L126" s="72">
        <f t="shared" si="40"/>
        <v>0.9403660391098545</v>
      </c>
      <c r="M126" s="72">
        <f t="shared" si="41"/>
        <v>0.7823662933718053</v>
      </c>
      <c r="N126" s="72">
        <f t="shared" si="42"/>
        <v>0.73977035398690549</v>
      </c>
      <c r="O126" s="72">
        <f t="shared" si="43"/>
        <v>0.69024146978698631</v>
      </c>
      <c r="P126" s="72">
        <f t="shared" si="44"/>
        <v>0.91708705634152388</v>
      </c>
      <c r="Q126" s="72"/>
      <c r="R126" s="72"/>
      <c r="S126" s="72">
        <f t="shared" si="45"/>
        <v>0.51989936895988265</v>
      </c>
      <c r="T126" s="72">
        <f t="shared" si="46"/>
        <v>0.54399343461639738</v>
      </c>
      <c r="U126" s="72">
        <f t="shared" si="47"/>
        <v>0.86665641529641513</v>
      </c>
      <c r="V126" s="72">
        <f t="shared" si="48"/>
        <v>0.50331956449571391</v>
      </c>
      <c r="W126" s="72">
        <f t="shared" si="49"/>
        <v>0.78352766798418971</v>
      </c>
      <c r="X126" s="72">
        <f t="shared" si="50"/>
        <v>5.9633960890145471E-2</v>
      </c>
      <c r="Y126" s="72">
        <f t="shared" si="51"/>
        <v>0.21763370662819473</v>
      </c>
      <c r="Z126" s="72">
        <f t="shared" si="52"/>
        <v>0.26022964601309451</v>
      </c>
      <c r="AA126" s="72">
        <f t="shared" si="53"/>
        <v>0.30975853021301369</v>
      </c>
      <c r="AB126" s="72">
        <f t="shared" si="54"/>
        <v>8.2912943658476068E-2</v>
      </c>
      <c r="AC126" s="72"/>
      <c r="AD126" s="72"/>
      <c r="AE126" s="72">
        <f t="shared" si="55"/>
        <v>0.48010063104011735</v>
      </c>
      <c r="AF126" s="72">
        <f t="shared" si="56"/>
        <v>0.45600656538360262</v>
      </c>
      <c r="AG126" s="72">
        <f t="shared" si="57"/>
        <v>0.13334358470358482</v>
      </c>
      <c r="AH126" s="72">
        <f t="shared" si="58"/>
        <v>0.49668043550428609</v>
      </c>
      <c r="AI126" s="72">
        <f t="shared" si="59"/>
        <v>0.21647233201581029</v>
      </c>
      <c r="AJ126" s="72">
        <f>(AV126-Driver!$K$179)/(Driver!$L$179-Driver!$K$179)</f>
        <v>0.19458544839255495</v>
      </c>
      <c r="AK126" s="72">
        <f>(AW126-Driver!$K$180)/(Driver!$L$180-Driver!$K$180)</f>
        <v>0.3414758416429593</v>
      </c>
      <c r="AL126" s="72">
        <f>(AX126-Driver!$K$181)/(Driver!$L$181-Driver!$K$181)</f>
        <v>0.3619174097261747</v>
      </c>
      <c r="AM126" s="72">
        <f>(AY126-Driver!$K$182)/(Driver!$L$182-Driver!$K$182)</f>
        <v>0.13762649088403264</v>
      </c>
      <c r="AN126" s="72">
        <f>(AZ126-Driver!$K$183)/(Driver!$L$183-Driver!$K$183)</f>
        <v>0.33713235294117649</v>
      </c>
      <c r="AO126" s="72"/>
      <c r="AP126" s="72"/>
      <c r="AQ126" s="72">
        <f>(BC126-Driver!$K$188)/(Driver!$L$188-Driver!$K$188)</f>
        <v>0.13989936895988264</v>
      </c>
      <c r="AR126" s="72">
        <f>MIN((BD126-Driver!$K$189)/(Driver!$L$189-Driver!$K$189),100%)</f>
        <v>9.3993434616397434E-2</v>
      </c>
      <c r="AS126" s="72">
        <f>(BE126-Driver!$K$190)/(Driver!$L$190-Driver!$K$190)</f>
        <v>0.37665641529641519</v>
      </c>
      <c r="AT126" s="72">
        <f>(BF126-Driver!$K$191)/(Driver!$L$191-Driver!$K$191)</f>
        <v>1.3319564495713945E-2</v>
      </c>
      <c r="AU126" s="72">
        <f>(BG126-Driver!$K$192)/(Driver!$L$192-Driver!$K$192)</f>
        <v>3.3527667984189727E-2</v>
      </c>
      <c r="AV126" s="70">
        <f t="shared" si="60"/>
        <v>4.0954415954415948</v>
      </c>
      <c r="AW126" s="70">
        <f t="shared" si="61"/>
        <v>35.151739173329702</v>
      </c>
      <c r="AX126" s="70">
        <f t="shared" si="62"/>
        <v>4.2572566875355724</v>
      </c>
      <c r="AY126" s="70">
        <f>IFERROR(Driver!$K$19/Data!BH126/Data!BI126*Data!BK126*Data!BL126,"")</f>
        <v>0.1684958886236185</v>
      </c>
      <c r="AZ126" s="70">
        <f t="shared" si="63"/>
        <v>30.725986597170515</v>
      </c>
      <c r="BA126" s="70"/>
      <c r="BB126" s="70"/>
      <c r="BC126" s="70">
        <f t="shared" si="64"/>
        <v>72.566775244125651</v>
      </c>
      <c r="BD126" s="70">
        <f t="shared" si="65"/>
        <v>10.039075301137835</v>
      </c>
      <c r="BE126" s="70">
        <f t="shared" si="66"/>
        <v>0.37676761277589543</v>
      </c>
      <c r="BF126" s="70">
        <f t="shared" si="67"/>
        <v>1.5043512345543184</v>
      </c>
      <c r="BG126" s="70">
        <f t="shared" si="68"/>
        <v>0.12695713932806327</v>
      </c>
      <c r="BH126" s="67">
        <f>MAX((CE126-Driver!$F$200)/(Driver!$G$200-Driver!$F$200)*$BI$1,1)</f>
        <v>4.2572566875355724</v>
      </c>
      <c r="BI126" s="67">
        <f>MAX($BI$1*(BY126-Driver!$F$201)/(Driver!$G$201-Driver!$F$201),1)</f>
        <v>8.2911392405063289</v>
      </c>
      <c r="BJ126" s="67">
        <f>(CB126-Driver!$F$206)/(Driver!$G$206-Driver!$F$206)*$BI$1</f>
        <v>3.333333333333333</v>
      </c>
      <c r="BK126" s="67">
        <f>(CD126-Driver!$F$203)/(Driver!$G$203-Driver!$F$203)*$BI$1</f>
        <v>4.3119266055045884</v>
      </c>
      <c r="BL126" s="67">
        <f>MAX((CR126-Driver!$F$202)/(Driver!$G$202-Driver!$F$202)*$BI$1,1)</f>
        <v>6.8965517241379315</v>
      </c>
      <c r="BM126" s="67">
        <f>MAX((CH126-Driver!$F$204)/(Driver!$G$204-Driver!$F$204)*$BI$1,1)</f>
        <v>4.9145299145299139</v>
      </c>
      <c r="BN126" s="67">
        <f>(CI126-Driver!$F$205)/(Driver!$G$205-Driver!$F$205)*$BI$1</f>
        <v>3.7058823529411766</v>
      </c>
      <c r="BO126" s="67">
        <f>(CK126-Driver!$F$207)/(Driver!$G$207-Driver!$F$207)*$BI$1</f>
        <v>1.199586349534643</v>
      </c>
      <c r="BP126" s="67">
        <f>(CM126-Driver!$F$208)/(Driver!$G$208-Driver!$F$208)*$BI$1</f>
        <v>1.6222222222222222</v>
      </c>
      <c r="BQ126" s="67">
        <f>(CL126-Driver!$F$209)/(Driver!$G$209-Driver!$F$209)*$BI$1</f>
        <v>2.65625</v>
      </c>
      <c r="BR126" s="28" t="s">
        <v>155</v>
      </c>
      <c r="BS126" s="8" t="s">
        <v>205</v>
      </c>
      <c r="BT126" s="9" t="s">
        <v>347</v>
      </c>
      <c r="BU126" s="10">
        <v>178</v>
      </c>
      <c r="BV126" s="9" t="s">
        <v>158</v>
      </c>
      <c r="BW126" s="10">
        <v>178</v>
      </c>
      <c r="BX126" s="10">
        <v>176.5</v>
      </c>
      <c r="BY126" s="10">
        <v>139</v>
      </c>
      <c r="BZ126" s="10">
        <v>151</v>
      </c>
      <c r="CA126" s="10">
        <v>119</v>
      </c>
      <c r="CB126" s="10">
        <v>85</v>
      </c>
      <c r="CC126" s="10">
        <v>109</v>
      </c>
      <c r="CD126" s="10">
        <v>18.8</v>
      </c>
      <c r="CE126" s="10">
        <v>1648</v>
      </c>
      <c r="CF126" s="10">
        <v>1.03</v>
      </c>
      <c r="CG126" s="10">
        <v>1703</v>
      </c>
      <c r="CH126" s="10">
        <v>216</v>
      </c>
      <c r="CI126" s="10">
        <v>96</v>
      </c>
      <c r="CJ126" s="10">
        <v>48</v>
      </c>
      <c r="CK126" s="10">
        <v>226</v>
      </c>
      <c r="CL126" s="10">
        <v>17</v>
      </c>
      <c r="CM126" s="10">
        <v>146</v>
      </c>
      <c r="CN126" s="10">
        <v>0.34499999999999997</v>
      </c>
      <c r="CO126" s="10">
        <v>157</v>
      </c>
      <c r="CP126" s="10">
        <v>97</v>
      </c>
      <c r="CQ126" s="10">
        <v>69</v>
      </c>
      <c r="CR126" s="10">
        <v>9</v>
      </c>
      <c r="CS126" s="10">
        <v>10.3</v>
      </c>
      <c r="CT126" s="9" t="s">
        <v>231</v>
      </c>
      <c r="CU126" s="9" t="s">
        <v>188</v>
      </c>
      <c r="CV126" s="10"/>
      <c r="CW126" s="10"/>
      <c r="CX126" t="str">
        <f>INDEX('Data_Price '!AG$2:AG$1266,MATCH(Data!$DN126,'Data_Price '!$AT$2:$AT$1266,0))</f>
        <v>Faction Dictator 1.0 FG Skis- 2022</v>
      </c>
      <c r="CY126" t="str">
        <f>INDEX('Data_Price '!AH$2:AH$1266,MATCH(Data!$DN126,'Data_Price '!$AT$2:$AT$1266,0))</f>
        <v>Next Adventure</v>
      </c>
      <c r="CZ126">
        <f>INDEX('Data_Price '!AI$2:AI$1266,MATCH(Data!$DN126,'Data_Price '!$AT$2:$AT$1266,0))</f>
        <v>479.2</v>
      </c>
      <c r="DA126" t="str">
        <f>INDEX('Data_Price '!AJ$2:AJ$1266,MATCH(Data!$DN126,'Data_Price '!$AT$2:$AT$1266,0))</f>
        <v>https://tinyurl.com/y745m9n8</v>
      </c>
      <c r="DB126" t="str">
        <f>INDEX('Data_Price '!AK$2:AK$1266,MATCH(Data!$DN126,'Data_Price '!$AT$2:$AT$1266,0))</f>
        <v>Faction Chapter 1.0 Skis</v>
      </c>
      <c r="DC126" t="str">
        <f>INDEX('Data_Price '!AL$2:AL$1266,MATCH(Data!$DN126,'Data_Price '!$AT$2:$AT$1266,0))</f>
        <v>The Locals Sale</v>
      </c>
      <c r="DD126">
        <f>INDEX('Data_Price '!AM$2:AM$1266,MATCH(Data!$DN126,'Data_Price '!$AT$2:$AT$1266,0))</f>
        <v>222</v>
      </c>
      <c r="DE126" t="str">
        <f>INDEX('Data_Price '!AN$2:AN$1266,MATCH(Data!$DN126,'Data_Price '!$AT$2:$AT$1266,0))</f>
        <v>https://tinyurl.com/y9p6gwwm</v>
      </c>
      <c r="DF126" t="str">
        <f>INDEX('Data_Price '!AO$2:AO$1266,MATCH(Data!$DN126,'Data_Price '!$AT$2:$AT$1266,0))</f>
        <v xml:space="preserve"> Faction Candide 1.0 178 cm Mens Downhill Ski Combo</v>
      </c>
      <c r="DG126" t="str">
        <f>INDEX('Data_Price '!AP$2:AP$1266,MATCH(Data!$DN126,'Data_Price '!$AT$2:$AT$1266,0))</f>
        <v>Play It Again Sports</v>
      </c>
      <c r="DH126">
        <f>INDEX('Data_Price '!AQ$2:AQ$1266,MATCH(Data!$DN126,'Data_Price '!$AT$2:$AT$1266,0))</f>
        <v>429.99</v>
      </c>
      <c r="DI126" t="str">
        <f>INDEX('Data_Price '!AR$2:AR$1266,MATCH(Data!$DN126,'Data_Price '!$AT$2:$AT$1266,0))</f>
        <v>https://tinyurl.com/ycglhgsw</v>
      </c>
      <c r="DJ126" s="89" t="str">
        <f t="shared" si="69"/>
        <v>https://tinyurl.com/y745m9n8</v>
      </c>
      <c r="DK126" s="89" t="str">
        <f t="shared" si="70"/>
        <v>https://tinyurl.com/y9p6gwwm</v>
      </c>
      <c r="DL126" s="89" t="str">
        <f t="shared" si="71"/>
        <v>https://tinyurl.com/ycglhgsw</v>
      </c>
      <c r="DM126" s="219" t="str">
        <f t="shared" si="72"/>
        <v>Dictator FG 1.0</v>
      </c>
      <c r="DN126" s="89" t="str">
        <f t="shared" si="73"/>
        <v xml:space="preserve"> FactionDictator FG 1.0178 Unisex</v>
      </c>
      <c r="DO126" s="221"/>
    </row>
    <row r="127" spans="2:119" ht="15.6" customHeight="1">
      <c r="B127" s="219" t="b">
        <f t="array" ref="B127">IF(OR(ISERROR(K127:P127)),FALSE,TRUE)</f>
        <v>1</v>
      </c>
      <c r="C127" s="43" t="b">
        <f>OR(BR127=Driver!$G$50,Data!BR1182=Driver!$H$50)</f>
        <v>1</v>
      </c>
      <c r="D127" s="43" t="b">
        <f>OR(BV127=Driver!$G$51,BV127=Driver!$H$51)</f>
        <v>1</v>
      </c>
      <c r="E127" s="43" t="b">
        <f>AND(BX127&gt;Driver!$F$54,BX127&lt;Driver!$G$54)</f>
        <v>0</v>
      </c>
      <c r="F127" s="43" t="b">
        <f>CL127&gt;Driver!$F$56</f>
        <v>1</v>
      </c>
      <c r="G127" s="43" t="b">
        <f>AND(CB127&gt;Driver!$F$55,CB127&lt;Driver!$G$55)</f>
        <v>0</v>
      </c>
      <c r="H127" s="43" t="b">
        <f t="shared" si="37"/>
        <v>0</v>
      </c>
      <c r="I127" s="43">
        <f t="shared" si="38"/>
        <v>0</v>
      </c>
      <c r="J127" s="43" t="b">
        <f t="array" ref="J127">NOT(OR(($H$9:$H$1273=TRUE)*($I$9:$I$1273&gt;0)*($BT$9:$BT$1273=BT127)*($K$9:$K$1273&gt;K127)))</f>
        <v>1</v>
      </c>
      <c r="K127" s="72">
        <f t="shared" si="39"/>
        <v>0.8072227243040333</v>
      </c>
      <c r="L127" s="72">
        <f t="shared" si="40"/>
        <v>0.87437619139411848</v>
      </c>
      <c r="M127" s="72">
        <f t="shared" si="41"/>
        <v>0.74006925721394801</v>
      </c>
      <c r="N127" s="72">
        <f t="shared" si="42"/>
        <v>0.62404278806013647</v>
      </c>
      <c r="O127" s="72">
        <f t="shared" si="43"/>
        <v>0.62380831939704606</v>
      </c>
      <c r="P127" s="72">
        <f t="shared" si="44"/>
        <v>0.97235666418466127</v>
      </c>
      <c r="Q127" s="72"/>
      <c r="R127" s="72"/>
      <c r="S127" s="72">
        <f t="shared" si="45"/>
        <v>0.49734416589537001</v>
      </c>
      <c r="T127" s="72">
        <f t="shared" si="46"/>
        <v>0.66122210376996182</v>
      </c>
      <c r="U127" s="72">
        <f t="shared" si="47"/>
        <v>0.51</v>
      </c>
      <c r="V127" s="72">
        <f t="shared" si="48"/>
        <v>0.49066566908631881</v>
      </c>
      <c r="W127" s="72">
        <f t="shared" si="49"/>
        <v>0.75799225507377466</v>
      </c>
      <c r="X127" s="72">
        <f t="shared" si="50"/>
        <v>0.12562380860588149</v>
      </c>
      <c r="Y127" s="72">
        <f t="shared" si="51"/>
        <v>0.25993074278605205</v>
      </c>
      <c r="Z127" s="72">
        <f t="shared" si="52"/>
        <v>0.37595721193986353</v>
      </c>
      <c r="AA127" s="72">
        <f t="shared" si="53"/>
        <v>0.37619168060295399</v>
      </c>
      <c r="AB127" s="72">
        <f t="shared" si="54"/>
        <v>2.7643335815338788E-2</v>
      </c>
      <c r="AC127" s="72"/>
      <c r="AD127" s="72"/>
      <c r="AE127" s="72">
        <f t="shared" si="55"/>
        <v>0.50265583410462999</v>
      </c>
      <c r="AF127" s="72">
        <f t="shared" si="56"/>
        <v>0.33877789623003818</v>
      </c>
      <c r="AG127" s="72">
        <f t="shared" si="57"/>
        <v>0.49</v>
      </c>
      <c r="AH127" s="72">
        <f t="shared" si="58"/>
        <v>0.50933433091368119</v>
      </c>
      <c r="AI127" s="72">
        <f t="shared" si="59"/>
        <v>0.24200774492622534</v>
      </c>
      <c r="AJ127" s="72">
        <f>(AV127-Driver!$K$179)/(Driver!$L$179-Driver!$K$179)</f>
        <v>0.12859560067681894</v>
      </c>
      <c r="AK127" s="72">
        <f>(AW127-Driver!$K$180)/(Driver!$L$180-Driver!$K$180)</f>
        <v>0.29964264198648038</v>
      </c>
      <c r="AL127" s="72">
        <f>(AX127-Driver!$K$181)/(Driver!$L$181-Driver!$K$181)</f>
        <v>0.47764497565294373</v>
      </c>
      <c r="AM127" s="72">
        <f>(AY127-Driver!$K$182)/(Driver!$L$182-Driver!$K$182)</f>
        <v>7.1193340494092372E-2</v>
      </c>
      <c r="AN127" s="72">
        <f>(AZ127-Driver!$K$183)/(Driver!$L$183-Driver!$K$183)</f>
        <v>0.28186274509803921</v>
      </c>
      <c r="AO127" s="72"/>
      <c r="AP127" s="72"/>
      <c r="AQ127" s="72">
        <f>(BC127-Driver!$K$188)/(Driver!$L$188-Driver!$K$188)</f>
        <v>0.11734416589537001</v>
      </c>
      <c r="AR127" s="72">
        <f>MIN((BD127-Driver!$K$189)/(Driver!$L$189-Driver!$K$189),100%)</f>
        <v>0.21122210376996189</v>
      </c>
      <c r="AS127" s="72">
        <f>(BE127-Driver!$K$190)/(Driver!$L$190-Driver!$K$190)</f>
        <v>1</v>
      </c>
      <c r="AT127" s="72">
        <f>(BF127-Driver!$K$191)/(Driver!$L$191-Driver!$K$191)</f>
        <v>6.6566908631885129E-4</v>
      </c>
      <c r="AU127" s="72">
        <f>(BG127-Driver!$K$192)/(Driver!$L$192-Driver!$K$192)</f>
        <v>7.9922550737746637E-3</v>
      </c>
      <c r="AV127" s="70">
        <f t="shared" si="60"/>
        <v>2.7065527065527064</v>
      </c>
      <c r="AW127" s="70">
        <f t="shared" si="61"/>
        <v>31.074723186948201</v>
      </c>
      <c r="AX127" s="70">
        <f t="shared" si="62"/>
        <v>5.2988047808764938</v>
      </c>
      <c r="AY127" s="70">
        <f>IFERROR(Driver!$K$19/Data!BH127/Data!BI127*Data!BK127*Data!BL127,"")</f>
        <v>8.7161890807372772E-2</v>
      </c>
      <c r="AZ127" s="70">
        <f t="shared" si="63"/>
        <v>25.688756515264334</v>
      </c>
      <c r="BA127" s="70"/>
      <c r="BB127" s="70"/>
      <c r="BC127" s="70">
        <f t="shared" si="64"/>
        <v>60.867234613335128</v>
      </c>
      <c r="BD127" s="70">
        <f t="shared" si="65"/>
        <v>20.413604804317806</v>
      </c>
      <c r="BE127" s="70">
        <f t="shared" si="66"/>
        <v>1</v>
      </c>
      <c r="BF127" s="70">
        <f t="shared" si="67"/>
        <v>7.5182646709706313E-2</v>
      </c>
      <c r="BG127" s="70">
        <f t="shared" si="68"/>
        <v>3.0263776216857941E-2</v>
      </c>
      <c r="BH127" s="67">
        <f>MAX((CE127-Driver!$F$200)/(Driver!$G$200-Driver!$F$200)*$BI$1,1)</f>
        <v>5.2988047808764938</v>
      </c>
      <c r="BI127" s="67">
        <f>MAX($BI$1*(BY127-Driver!$F$201)/(Driver!$G$201-Driver!$F$201),1)</f>
        <v>9.4936708860759502</v>
      </c>
      <c r="BJ127" s="67">
        <f>(CB127-Driver!$F$206)/(Driver!$G$206-Driver!$F$206)*$BI$1</f>
        <v>2.2222222222222223</v>
      </c>
      <c r="BK127" s="67">
        <f>(CD127-Driver!$F$203)/(Driver!$G$203-Driver!$F$203)*$BI$1</f>
        <v>3.5321100917431201</v>
      </c>
      <c r="BL127" s="67">
        <f>MAX((CR127-Driver!$F$202)/(Driver!$G$202-Driver!$F$202)*$BI$1,1)</f>
        <v>6.2068965517241379</v>
      </c>
      <c r="BM127" s="67">
        <f>MAX((CH127-Driver!$F$204)/(Driver!$G$204-Driver!$F$204)*$BI$1,1)</f>
        <v>4.8717948717948714</v>
      </c>
      <c r="BN127" s="67">
        <f>(CI127-Driver!$F$205)/(Driver!$G$205-Driver!$F$205)*$BI$1</f>
        <v>2.7058823529411762</v>
      </c>
      <c r="BO127" s="67">
        <f>(CK127-Driver!$F$207)/(Driver!$G$207-Driver!$F$207)*$BI$1</f>
        <v>0.16546018614270941</v>
      </c>
      <c r="BP127" s="67">
        <f>(CM127-Driver!$F$208)/(Driver!$G$208-Driver!$F$208)*$BI$1</f>
        <v>0.7222222222222221</v>
      </c>
      <c r="BQ127" s="67">
        <f>(CL127-Driver!$F$209)/(Driver!$G$209-Driver!$F$209)*$BI$1</f>
        <v>0.78125</v>
      </c>
      <c r="BR127" s="28" t="s">
        <v>155</v>
      </c>
      <c r="BS127" s="8" t="s">
        <v>229</v>
      </c>
      <c r="BT127" s="9" t="s">
        <v>348</v>
      </c>
      <c r="BU127" s="10">
        <v>177</v>
      </c>
      <c r="BV127" s="9" t="s">
        <v>158</v>
      </c>
      <c r="BW127" s="10">
        <v>177</v>
      </c>
      <c r="BX127" s="10">
        <v>177</v>
      </c>
      <c r="BY127" s="10">
        <v>158</v>
      </c>
      <c r="BZ127" s="10">
        <v>165</v>
      </c>
      <c r="CA127" s="10">
        <v>128</v>
      </c>
      <c r="CB127" s="10">
        <v>78</v>
      </c>
      <c r="CC127" s="10">
        <v>108</v>
      </c>
      <c r="CD127" s="10">
        <v>17.100000000000001</v>
      </c>
      <c r="CE127" s="10">
        <v>1831</v>
      </c>
      <c r="CF127" s="10">
        <v>0.89</v>
      </c>
      <c r="CG127" s="10">
        <v>1637</v>
      </c>
      <c r="CH127" s="10">
        <v>215</v>
      </c>
      <c r="CI127" s="10">
        <v>79</v>
      </c>
      <c r="CJ127" s="10">
        <v>34</v>
      </c>
      <c r="CK127" s="10">
        <v>126</v>
      </c>
      <c r="CL127" s="10">
        <v>5</v>
      </c>
      <c r="CM127" s="10">
        <v>65</v>
      </c>
      <c r="CN127" s="10">
        <v>0.159</v>
      </c>
      <c r="CO127" s="10">
        <v>69</v>
      </c>
      <c r="CP127" s="10">
        <v>50</v>
      </c>
      <c r="CQ127" s="10">
        <v>57</v>
      </c>
      <c r="CR127" s="10">
        <v>7</v>
      </c>
      <c r="CS127" s="10">
        <v>11.6</v>
      </c>
      <c r="CT127" s="9" t="s">
        <v>349</v>
      </c>
      <c r="CU127" s="10"/>
      <c r="CV127" s="10"/>
      <c r="CW127" s="10"/>
      <c r="CX127" t="e">
        <f>INDEX('Data_Price '!AG$2:AG$1266,MATCH(Data!$DN127,'Data_Price '!$AT$2:$AT$1266,0))</f>
        <v>#N/A</v>
      </c>
      <c r="CY127" t="e">
        <f>INDEX('Data_Price '!AH$2:AH$1266,MATCH(Data!$DN127,'Data_Price '!$AT$2:$AT$1266,0))</f>
        <v>#N/A</v>
      </c>
      <c r="CZ127" t="e">
        <f>INDEX('Data_Price '!AI$2:AI$1266,MATCH(Data!$DN127,'Data_Price '!$AT$2:$AT$1266,0))</f>
        <v>#N/A</v>
      </c>
      <c r="DA127" t="e">
        <f>INDEX('Data_Price '!AJ$2:AJ$1266,MATCH(Data!$DN127,'Data_Price '!$AT$2:$AT$1266,0))</f>
        <v>#N/A</v>
      </c>
      <c r="DB127" t="e">
        <f>INDEX('Data_Price '!AK$2:AK$1266,MATCH(Data!$DN127,'Data_Price '!$AT$2:$AT$1266,0))</f>
        <v>#N/A</v>
      </c>
      <c r="DC127" t="e">
        <f>INDEX('Data_Price '!AL$2:AL$1266,MATCH(Data!$DN127,'Data_Price '!$AT$2:$AT$1266,0))</f>
        <v>#N/A</v>
      </c>
      <c r="DD127" t="e">
        <f>INDEX('Data_Price '!AM$2:AM$1266,MATCH(Data!$DN127,'Data_Price '!$AT$2:$AT$1266,0))</f>
        <v>#N/A</v>
      </c>
      <c r="DE127" t="e">
        <f>INDEX('Data_Price '!AN$2:AN$1266,MATCH(Data!$DN127,'Data_Price '!$AT$2:$AT$1266,0))</f>
        <v>#N/A</v>
      </c>
      <c r="DF127" t="e">
        <f>INDEX('Data_Price '!AO$2:AO$1266,MATCH(Data!$DN127,'Data_Price '!$AT$2:$AT$1266,0))</f>
        <v>#N/A</v>
      </c>
      <c r="DG127" t="e">
        <f>INDEX('Data_Price '!AP$2:AP$1266,MATCH(Data!$DN127,'Data_Price '!$AT$2:$AT$1266,0))</f>
        <v>#N/A</v>
      </c>
      <c r="DH127" t="e">
        <f>INDEX('Data_Price '!AQ$2:AQ$1266,MATCH(Data!$DN127,'Data_Price '!$AT$2:$AT$1266,0))</f>
        <v>#N/A</v>
      </c>
      <c r="DI127" t="e">
        <f>INDEX('Data_Price '!AR$2:AR$1266,MATCH(Data!$DN127,'Data_Price '!$AT$2:$AT$1266,0))</f>
        <v>#N/A</v>
      </c>
      <c r="DJ127" s="89" t="e">
        <f t="shared" si="69"/>
        <v>#N/A</v>
      </c>
      <c r="DK127" s="89" t="e">
        <f t="shared" si="70"/>
        <v>#N/A</v>
      </c>
      <c r="DL127" s="89" t="e">
        <f t="shared" si="71"/>
        <v>#N/A</v>
      </c>
      <c r="DM127" s="219" t="str">
        <f t="shared" si="72"/>
        <v>Deacon 79</v>
      </c>
      <c r="DN127" s="89" t="str">
        <f t="shared" si="73"/>
        <v xml:space="preserve"> VölklDeacon 79177 Unisex</v>
      </c>
      <c r="DO127" s="221"/>
    </row>
    <row r="128" spans="2:119" ht="15.6" customHeight="1">
      <c r="B128" s="219" t="b">
        <f t="array" ref="B128">IF(OR(ISERROR(K128:P128)),FALSE,TRUE)</f>
        <v>1</v>
      </c>
      <c r="C128" s="43" t="b">
        <f>OR(BR128=Driver!$G$50,Data!BR336=Driver!$H$50)</f>
        <v>1</v>
      </c>
      <c r="D128" s="43" t="b">
        <f>OR(BV128=Driver!$G$51,BV128=Driver!$H$51)</f>
        <v>1</v>
      </c>
      <c r="E128" s="43" t="b">
        <f>AND(BX128&gt;Driver!$F$54,BX128&lt;Driver!$G$54)</f>
        <v>0</v>
      </c>
      <c r="F128" s="43" t="b">
        <f>CL128&gt;Driver!$F$56</f>
        <v>1</v>
      </c>
      <c r="G128" s="43" t="b">
        <f>AND(CB128&gt;Driver!$F$55,CB128&lt;Driver!$G$55)</f>
        <v>0</v>
      </c>
      <c r="H128" s="43" t="b">
        <f t="shared" si="37"/>
        <v>0</v>
      </c>
      <c r="I128" s="43">
        <f t="shared" si="38"/>
        <v>0</v>
      </c>
      <c r="J128" s="43" t="b">
        <f t="array" ref="J128">NOT(OR(($H$9:$H$1273=TRUE)*($I$9:$I$1273&gt;0)*($BT$9:$BT$1273=BT128)*($K$9:$K$1273&gt;K128)))</f>
        <v>1</v>
      </c>
      <c r="K128" s="72">
        <f t="shared" si="39"/>
        <v>0.88040695209735687</v>
      </c>
      <c r="L128" s="72">
        <f t="shared" si="40"/>
        <v>0.9902600184197563</v>
      </c>
      <c r="M128" s="72">
        <f t="shared" si="41"/>
        <v>0.77055388577495731</v>
      </c>
      <c r="N128" s="72">
        <f t="shared" si="42"/>
        <v>0.69550297904223979</v>
      </c>
      <c r="O128" s="72">
        <f t="shared" si="43"/>
        <v>0.64233142586267689</v>
      </c>
      <c r="P128" s="72">
        <f t="shared" si="44"/>
        <v>0.97382725241995538</v>
      </c>
      <c r="Q128" s="72"/>
      <c r="R128" s="72"/>
      <c r="S128" s="72">
        <f t="shared" si="45"/>
        <v>0.43294192831558576</v>
      </c>
      <c r="T128" s="72">
        <f t="shared" si="46"/>
        <v>0.52186870665018736</v>
      </c>
      <c r="U128" s="72">
        <f t="shared" si="47"/>
        <v>0.54760581345024839</v>
      </c>
      <c r="V128" s="72">
        <f t="shared" si="48"/>
        <v>0.60864259901017559</v>
      </c>
      <c r="W128" s="72">
        <f t="shared" si="49"/>
        <v>0.80925602514844575</v>
      </c>
      <c r="X128" s="72">
        <f t="shared" si="50"/>
        <v>9.7399815802436396E-3</v>
      </c>
      <c r="Y128" s="72">
        <f t="shared" si="51"/>
        <v>0.22944611422504271</v>
      </c>
      <c r="Z128" s="72">
        <f t="shared" si="52"/>
        <v>0.30449702095776027</v>
      </c>
      <c r="AA128" s="72">
        <f t="shared" si="53"/>
        <v>0.35766857413732317</v>
      </c>
      <c r="AB128" s="72">
        <f t="shared" si="54"/>
        <v>2.6172747580044675E-2</v>
      </c>
      <c r="AC128" s="72"/>
      <c r="AD128" s="72"/>
      <c r="AE128" s="72">
        <f t="shared" si="55"/>
        <v>0.56705807168441424</v>
      </c>
      <c r="AF128" s="72">
        <f t="shared" si="56"/>
        <v>0.47813129334981264</v>
      </c>
      <c r="AG128" s="72">
        <f t="shared" si="57"/>
        <v>0.45239418654975155</v>
      </c>
      <c r="AH128" s="72">
        <f t="shared" si="58"/>
        <v>0.39135740098982441</v>
      </c>
      <c r="AI128" s="72">
        <f t="shared" si="59"/>
        <v>0.19074397485155431</v>
      </c>
      <c r="AJ128" s="72">
        <f>(AV128-Driver!$K$179)/(Driver!$L$179-Driver!$K$179)</f>
        <v>0.26395939086294407</v>
      </c>
      <c r="AK128" s="72">
        <f>(AW128-Driver!$K$180)/(Driver!$L$180-Driver!$K$180)</f>
        <v>0.2919009938936612</v>
      </c>
      <c r="AL128" s="72">
        <f>(AX128-Driver!$K$181)/(Driver!$L$181-Driver!$K$181)</f>
        <v>0.40618478467084046</v>
      </c>
      <c r="AM128" s="72">
        <f>(AY128-Driver!$K$182)/(Driver!$L$182-Driver!$K$182)</f>
        <v>8.9716446959723209E-2</v>
      </c>
      <c r="AN128" s="72">
        <f>(AZ128-Driver!$K$183)/(Driver!$L$183-Driver!$K$183)</f>
        <v>0.2803921568627451</v>
      </c>
      <c r="AO128" s="72"/>
      <c r="AP128" s="72"/>
      <c r="AQ128" s="72">
        <f>(BC128-Driver!$K$188)/(Driver!$L$188-Driver!$K$188)</f>
        <v>5.29419283155858E-2</v>
      </c>
      <c r="AR128" s="72">
        <f>MIN((BD128-Driver!$K$189)/(Driver!$L$189-Driver!$K$189),100%)</f>
        <v>7.1868706650187381E-2</v>
      </c>
      <c r="AS128" s="72">
        <f>(BE128-Driver!$K$190)/(Driver!$L$190-Driver!$K$190)</f>
        <v>5.7605813450248435E-2</v>
      </c>
      <c r="AT128" s="72">
        <f>(BF128-Driver!$K$191)/(Driver!$L$191-Driver!$K$191)</f>
        <v>0.11864259901017557</v>
      </c>
      <c r="AU128" s="72">
        <f>(BG128-Driver!$K$192)/(Driver!$L$192-Driver!$K$192)</f>
        <v>5.925602514844569E-2</v>
      </c>
      <c r="AV128" s="70">
        <f t="shared" si="60"/>
        <v>5.5555555555555545</v>
      </c>
      <c r="AW128" s="70">
        <f t="shared" si="61"/>
        <v>30.320230982322503</v>
      </c>
      <c r="AX128" s="70">
        <f t="shared" si="62"/>
        <v>4.6556630620375641</v>
      </c>
      <c r="AY128" s="70">
        <f>IFERROR(Driver!$K$19/Data!BH128/Data!BI128*Data!BK128*Data!BL128,"")</f>
        <v>0.10983969988285264</v>
      </c>
      <c r="AZ128" s="70">
        <f t="shared" si="63"/>
        <v>25.554728220402087</v>
      </c>
      <c r="BA128" s="70"/>
      <c r="BB128" s="70"/>
      <c r="BC128" s="70">
        <f t="shared" si="64"/>
        <v>27.461346263608974</v>
      </c>
      <c r="BD128" s="70">
        <f t="shared" si="65"/>
        <v>8.081076078826456</v>
      </c>
      <c r="BE128" s="70">
        <f t="shared" si="66"/>
        <v>5.7773925966030523E-2</v>
      </c>
      <c r="BF128" s="70">
        <f t="shared" si="67"/>
        <v>13.399848046767826</v>
      </c>
      <c r="BG128" s="70">
        <f t="shared" si="68"/>
        <v>0.22438111246943768</v>
      </c>
      <c r="BH128" s="67">
        <f>MAX((CE128-Driver!$F$200)/(Driver!$G$200-Driver!$F$200)*$BI$1,1)</f>
        <v>4.6556630620375641</v>
      </c>
      <c r="BI128" s="67">
        <f>MAX($BI$1*(BY128-Driver!$F$201)/(Driver!$G$201-Driver!$F$201),1)</f>
        <v>6.5822784810126587</v>
      </c>
      <c r="BJ128" s="67">
        <f>(CB128-Driver!$F$206)/(Driver!$G$206-Driver!$F$206)*$BI$1</f>
        <v>5.7142857142857135</v>
      </c>
      <c r="BK128" s="67">
        <f>(CD128-Driver!$F$203)/(Driver!$G$203-Driver!$F$203)*$BI$1</f>
        <v>2.5688073394495414</v>
      </c>
      <c r="BL128" s="67">
        <f>MAX((CR128-Driver!$F$202)/(Driver!$G$202-Driver!$F$202)*$BI$1,1)</f>
        <v>6.5517241379310338</v>
      </c>
      <c r="BM128" s="67">
        <f>MAX((CH128-Driver!$F$204)/(Driver!$G$204-Driver!$F$204)*$BI$1,1)</f>
        <v>3.8888888888888888</v>
      </c>
      <c r="BN128" s="67">
        <f>(CI128-Driver!$F$205)/(Driver!$G$205-Driver!$F$205)*$BI$1</f>
        <v>3.8823529411764706</v>
      </c>
      <c r="BO128" s="67">
        <f>(CK128-Driver!$F$207)/(Driver!$G$207-Driver!$F$207)*$BI$1</f>
        <v>2.3267838676318511</v>
      </c>
      <c r="BP128" s="67">
        <f>(CM128-Driver!$F$208)/(Driver!$G$208-Driver!$F$208)*$BI$1</f>
        <v>2.588888888888889</v>
      </c>
      <c r="BQ128" s="67">
        <f>(CL128-Driver!$F$209)/(Driver!$G$209-Driver!$F$209)*$BI$1</f>
        <v>4.0625</v>
      </c>
      <c r="BR128" s="28" t="s">
        <v>155</v>
      </c>
      <c r="BS128" s="8" t="s">
        <v>218</v>
      </c>
      <c r="BT128" s="9" t="s">
        <v>350</v>
      </c>
      <c r="BU128" s="10">
        <v>171</v>
      </c>
      <c r="BV128" s="9" t="s">
        <v>158</v>
      </c>
      <c r="BW128" s="10">
        <v>171</v>
      </c>
      <c r="BX128" s="10">
        <v>169.1</v>
      </c>
      <c r="BY128" s="10">
        <v>112</v>
      </c>
      <c r="BZ128" s="10">
        <v>124</v>
      </c>
      <c r="CA128" s="10">
        <v>129</v>
      </c>
      <c r="CB128" s="10">
        <v>100</v>
      </c>
      <c r="CC128" s="10">
        <v>115</v>
      </c>
      <c r="CD128" s="10">
        <v>15</v>
      </c>
      <c r="CE128" s="10">
        <v>1718</v>
      </c>
      <c r="CF128" s="10">
        <v>1.08</v>
      </c>
      <c r="CG128" s="10">
        <v>1858</v>
      </c>
      <c r="CH128" s="10">
        <v>192</v>
      </c>
      <c r="CI128" s="10">
        <v>99</v>
      </c>
      <c r="CJ128" s="10">
        <v>56</v>
      </c>
      <c r="CK128" s="10">
        <v>335</v>
      </c>
      <c r="CL128" s="10">
        <v>26</v>
      </c>
      <c r="CM128" s="10">
        <v>233</v>
      </c>
      <c r="CN128" s="10">
        <v>0.45600000000000002</v>
      </c>
      <c r="CO128" s="10">
        <v>237</v>
      </c>
      <c r="CP128" s="10">
        <v>211</v>
      </c>
      <c r="CQ128" s="10">
        <v>98</v>
      </c>
      <c r="CR128" s="10">
        <v>8</v>
      </c>
      <c r="CS128" s="10">
        <v>12.4</v>
      </c>
      <c r="CT128" s="9" t="s">
        <v>188</v>
      </c>
      <c r="CU128" s="9" t="s">
        <v>185</v>
      </c>
      <c r="CV128" s="10"/>
      <c r="CW128" s="10"/>
      <c r="CX128" t="str">
        <f>INDEX('Data_Price '!AG$2:AG$1266,MATCH(Data!$DN128,'Data_Price '!$AT$2:$AT$1266,0))</f>
        <v>DPS Pagoda 100 RP Skis - 2022</v>
      </c>
      <c r="CY128" t="str">
        <f>INDEX('Data_Price '!AH$2:AH$1266,MATCH(Data!$DN128,'Data_Price '!$AT$2:$AT$1266,0))</f>
        <v>Next Adventure</v>
      </c>
      <c r="CZ128">
        <f>INDEX('Data_Price '!AI$2:AI$1266,MATCH(Data!$DN128,'Data_Price '!$AT$2:$AT$1266,0))</f>
        <v>1039.2</v>
      </c>
      <c r="DA128" t="str">
        <f>INDEX('Data_Price '!AJ$2:AJ$1266,MATCH(Data!$DN128,'Data_Price '!$AT$2:$AT$1266,0))</f>
        <v>https://tinyurl.com/ydd2c4q8</v>
      </c>
      <c r="DB128" t="str">
        <f>INDEX('Data_Price '!AK$2:AK$1266,MATCH(Data!$DN128,'Data_Price '!$AT$2:$AT$1266,0))</f>
        <v>DPS Pagoda 100 RP Orange Skis 171cm 2022</v>
      </c>
      <c r="DC128" t="str">
        <f>INDEX('Data_Price '!AL$2:AL$1266,MATCH(Data!$DN128,'Data_Price '!$AT$2:$AT$1266,0))</f>
        <v>Powder7 Ski Shop</v>
      </c>
      <c r="DD128">
        <f>INDEX('Data_Price '!AM$2:AM$1266,MATCH(Data!$DN128,'Data_Price '!$AT$2:$AT$1266,0))</f>
        <v>1039.93</v>
      </c>
      <c r="DE128" t="str">
        <f>INDEX('Data_Price '!AN$2:AN$1266,MATCH(Data!$DN128,'Data_Price '!$AT$2:$AT$1266,0))</f>
        <v>https://tinyurl.com/ydc72el9</v>
      </c>
      <c r="DF128" t="str">
        <f>INDEX('Data_Price '!AO$2:AO$1266,MATCH(Data!$DN128,'Data_Price '!$AT$2:$AT$1266,0))</f>
        <v>DPS Pagoda 100 RP Orange Skis 171cm 2022</v>
      </c>
      <c r="DG128" t="str">
        <f>INDEX('Data_Price '!AP$2:AP$1266,MATCH(Data!$DN128,'Data_Price '!$AT$2:$AT$1266,0))</f>
        <v>Backcountry.com</v>
      </c>
      <c r="DH128">
        <f>INDEX('Data_Price '!AQ$2:AQ$1266,MATCH(Data!$DN128,'Data_Price '!$AT$2:$AT$1266,0))</f>
        <v>1299</v>
      </c>
      <c r="DI128" t="str">
        <f>INDEX('Data_Price '!AR$2:AR$1266,MATCH(Data!$DN128,'Data_Price '!$AT$2:$AT$1266,0))</f>
        <v>https://tinyurl.com/yadfzffo</v>
      </c>
      <c r="DJ128" s="89" t="str">
        <f t="shared" si="69"/>
        <v>https://tinyurl.com/ydd2c4q8</v>
      </c>
      <c r="DK128" s="89" t="str">
        <f t="shared" si="70"/>
        <v>https://tinyurl.com/ydc72el9</v>
      </c>
      <c r="DL128" s="89" t="str">
        <f t="shared" si="71"/>
        <v>https://tinyurl.com/yadfzffo</v>
      </c>
      <c r="DM128" s="219" t="str">
        <f t="shared" si="72"/>
        <v>Pagoda 100 RP</v>
      </c>
      <c r="DN128" s="89" t="str">
        <f t="shared" si="73"/>
        <v xml:space="preserve"> DPSPagoda 100 RP171 Unisex</v>
      </c>
      <c r="DO128" s="221" t="s">
        <v>351</v>
      </c>
    </row>
    <row r="129" spans="2:119" ht="15.6" customHeight="1">
      <c r="B129" s="219" t="b">
        <f t="array" ref="B129">IF(OR(ISERROR(K129:P129)),FALSE,TRUE)</f>
        <v>1</v>
      </c>
      <c r="C129" s="43" t="b">
        <f>OR(BR129=Driver!$G$50,Data!BR804=Driver!$H$50)</f>
        <v>1</v>
      </c>
      <c r="D129" s="43" t="b">
        <f>OR(BV129=Driver!$G$51,BV129=Driver!$H$51)</f>
        <v>0</v>
      </c>
      <c r="E129" s="43" t="b">
        <f>AND(BX129&gt;Driver!$F$54,BX129&lt;Driver!$G$54)</f>
        <v>1</v>
      </c>
      <c r="F129" s="43" t="b">
        <f>CL129&gt;Driver!$F$56</f>
        <v>1</v>
      </c>
      <c r="G129" s="43" t="b">
        <f>AND(CB129&gt;Driver!$F$55,CB129&lt;Driver!$G$55)</f>
        <v>0</v>
      </c>
      <c r="H129" s="43" t="b">
        <f t="shared" si="37"/>
        <v>0</v>
      </c>
      <c r="I129" s="43">
        <f t="shared" si="38"/>
        <v>0</v>
      </c>
      <c r="J129" s="43" t="b">
        <f t="array" ref="J129">NOT(OR(($H$9:$H$1273=TRUE)*($I$9:$I$1273&gt;0)*($BT$9:$BT$1273=BT129)*($K$9:$K$1273&gt;K129)))</f>
        <v>1</v>
      </c>
      <c r="K129" s="72">
        <f t="shared" si="39"/>
        <v>0.85072047170734177</v>
      </c>
      <c r="L129" s="72">
        <f t="shared" si="40"/>
        <v>0.90708910735576542</v>
      </c>
      <c r="M129" s="72">
        <f t="shared" si="41"/>
        <v>0.79435183605891824</v>
      </c>
      <c r="N129" s="72">
        <f t="shared" si="42"/>
        <v>0.80364185212135197</v>
      </c>
      <c r="O129" s="72">
        <f t="shared" si="43"/>
        <v>0.63107659971387897</v>
      </c>
      <c r="P129" s="72">
        <f t="shared" si="44"/>
        <v>0.94833705634152388</v>
      </c>
      <c r="Q129" s="72"/>
      <c r="R129" s="72"/>
      <c r="S129" s="72">
        <f t="shared" si="45"/>
        <v>0.43582422436829105</v>
      </c>
      <c r="T129" s="72">
        <f t="shared" si="46"/>
        <v>0.52814705147278118</v>
      </c>
      <c r="U129" s="72">
        <f t="shared" si="47"/>
        <v>0.58768997600491513</v>
      </c>
      <c r="V129" s="72">
        <f t="shared" si="48"/>
        <v>0.51196707984852208</v>
      </c>
      <c r="W129" s="72">
        <f t="shared" si="49"/>
        <v>0.78745860013247959</v>
      </c>
      <c r="X129" s="72">
        <f t="shared" si="50"/>
        <v>9.2910892644234577E-2</v>
      </c>
      <c r="Y129" s="72">
        <f t="shared" si="51"/>
        <v>0.20564816394108174</v>
      </c>
      <c r="Z129" s="72">
        <f t="shared" si="52"/>
        <v>0.19635814787864808</v>
      </c>
      <c r="AA129" s="72">
        <f t="shared" si="53"/>
        <v>0.36892340028612108</v>
      </c>
      <c r="AB129" s="72">
        <f t="shared" si="54"/>
        <v>5.1662943658476068E-2</v>
      </c>
      <c r="AC129" s="72"/>
      <c r="AD129" s="72"/>
      <c r="AE129" s="72">
        <f t="shared" si="55"/>
        <v>0.56417577563170895</v>
      </c>
      <c r="AF129" s="72">
        <f t="shared" si="56"/>
        <v>0.47185294852721882</v>
      </c>
      <c r="AG129" s="72">
        <f t="shared" si="57"/>
        <v>0.41231002399508487</v>
      </c>
      <c r="AH129" s="72">
        <f t="shared" si="58"/>
        <v>0.48803292015147792</v>
      </c>
      <c r="AI129" s="72">
        <f t="shared" si="59"/>
        <v>0.21254139986752044</v>
      </c>
      <c r="AJ129" s="72">
        <f>(AV129-Driver!$K$179)/(Driver!$L$179-Driver!$K$179)</f>
        <v>0.16130851663846585</v>
      </c>
      <c r="AK129" s="72">
        <f>(AW129-Driver!$K$180)/(Driver!$L$180-Driver!$K$180)</f>
        <v>0.30561065534007592</v>
      </c>
      <c r="AL129" s="72">
        <f>(AX129-Driver!$K$181)/(Driver!$L$181-Driver!$K$181)</f>
        <v>0.29804591159172827</v>
      </c>
      <c r="AM129" s="72">
        <f>(AY129-Driver!$K$182)/(Driver!$L$182-Driver!$K$182)</f>
        <v>7.8461620810925281E-2</v>
      </c>
      <c r="AN129" s="72">
        <f>(AZ129-Driver!$K$183)/(Driver!$L$183-Driver!$K$183)</f>
        <v>0.30588235294117649</v>
      </c>
      <c r="AO129" s="72"/>
      <c r="AP129" s="72"/>
      <c r="AQ129" s="72">
        <f>(BC129-Driver!$K$188)/(Driver!$L$188-Driver!$K$188)</f>
        <v>5.5824224368291007E-2</v>
      </c>
      <c r="AR129" s="72">
        <f>MIN((BD129-Driver!$K$189)/(Driver!$L$189-Driver!$K$189),100%)</f>
        <v>7.8147051472781254E-2</v>
      </c>
      <c r="AS129" s="72">
        <f>(BE129-Driver!$K$190)/(Driver!$L$190-Driver!$K$190)</f>
        <v>0.92231002399508488</v>
      </c>
      <c r="AT129" s="72">
        <f>(BF129-Driver!$K$191)/(Driver!$L$191-Driver!$K$191)</f>
        <v>2.1967079848522097E-2</v>
      </c>
      <c r="AU129" s="72">
        <f>(BG129-Driver!$K$192)/(Driver!$L$192-Driver!$K$192)</f>
        <v>3.7458600132479571E-2</v>
      </c>
      <c r="AV129" s="70">
        <f t="shared" si="60"/>
        <v>3.3950617283950613</v>
      </c>
      <c r="AW129" s="70">
        <f t="shared" si="61"/>
        <v>31.656358970233999</v>
      </c>
      <c r="AX129" s="70">
        <f t="shared" si="62"/>
        <v>3.6824132043255546</v>
      </c>
      <c r="AY129" s="70">
        <f>IFERROR(Driver!$K$19/Data!BH129/Data!BI129*Data!BK129*Data!BL129,"")</f>
        <v>9.6060434560713517E-2</v>
      </c>
      <c r="AZ129" s="70">
        <f t="shared" si="63"/>
        <v>27.877885331347731</v>
      </c>
      <c r="BA129" s="70"/>
      <c r="BB129" s="70"/>
      <c r="BC129" s="70">
        <f t="shared" si="64"/>
        <v>28.956413263544245</v>
      </c>
      <c r="BD129" s="70">
        <f t="shared" si="65"/>
        <v>8.6366984710572634</v>
      </c>
      <c r="BE129" s="70">
        <f t="shared" si="66"/>
        <v>0.92232388301236623</v>
      </c>
      <c r="BF129" s="70">
        <f t="shared" si="67"/>
        <v>2.481027341420309</v>
      </c>
      <c r="BG129" s="70">
        <f t="shared" si="68"/>
        <v>0.14184215610510045</v>
      </c>
      <c r="BH129" s="67">
        <f>MAX((CE129-Driver!$F$200)/(Driver!$G$200-Driver!$F$200)*$BI$1,1)</f>
        <v>3.6824132043255546</v>
      </c>
      <c r="BI129" s="67">
        <f>MAX($BI$1*(BY129-Driver!$F$201)/(Driver!$G$201-Driver!$F$201),1)</f>
        <v>7.4050632911392409</v>
      </c>
      <c r="BJ129" s="67">
        <f>(CB129-Driver!$F$206)/(Driver!$G$206-Driver!$F$206)*$BI$1</f>
        <v>4.1269841269841265</v>
      </c>
      <c r="BK129" s="67">
        <f>(CD129-Driver!$F$203)/(Driver!$G$203-Driver!$F$203)*$BI$1</f>
        <v>2.1100917431192663</v>
      </c>
      <c r="BL129" s="67">
        <f>MAX((CR129-Driver!$F$202)/(Driver!$G$202-Driver!$F$202)*$BI$1,1)</f>
        <v>6.2068965517241379</v>
      </c>
      <c r="BM129" s="67">
        <f>MAX((CH129-Driver!$F$204)/(Driver!$G$204-Driver!$F$204)*$BI$1,1)</f>
        <v>3.2905982905982905</v>
      </c>
      <c r="BN129" s="67">
        <f>(CI129-Driver!$F$205)/(Driver!$G$205-Driver!$F$205)*$BI$1</f>
        <v>3.7647058823529411</v>
      </c>
      <c r="BO129" s="67">
        <f>(CK129-Driver!$F$207)/(Driver!$G$207-Driver!$F$207)*$BI$1</f>
        <v>0.95139607032057916</v>
      </c>
      <c r="BP129" s="67">
        <f>(CM129-Driver!$F$208)/(Driver!$G$208-Driver!$F$208)*$BI$1</f>
        <v>1.3333333333333333</v>
      </c>
      <c r="BQ129" s="67">
        <f>(CL129-Driver!$F$209)/(Driver!$G$209-Driver!$F$209)*$BI$1</f>
        <v>1.71875</v>
      </c>
      <c r="BR129" s="28" t="s">
        <v>155</v>
      </c>
      <c r="BS129" s="8" t="s">
        <v>215</v>
      </c>
      <c r="BT129" s="9" t="s">
        <v>302</v>
      </c>
      <c r="BU129" s="10">
        <v>158</v>
      </c>
      <c r="BV129" s="9" t="s">
        <v>163</v>
      </c>
      <c r="BW129" s="10">
        <v>158</v>
      </c>
      <c r="BX129" s="10">
        <v>157.5</v>
      </c>
      <c r="BY129" s="10">
        <v>125</v>
      </c>
      <c r="BZ129" s="10">
        <v>137</v>
      </c>
      <c r="CA129" s="10">
        <v>131</v>
      </c>
      <c r="CB129" s="10">
        <v>90</v>
      </c>
      <c r="CC129" s="10">
        <v>113</v>
      </c>
      <c r="CD129" s="10">
        <v>14</v>
      </c>
      <c r="CE129" s="10">
        <v>1547</v>
      </c>
      <c r="CF129" s="10">
        <v>1.04</v>
      </c>
      <c r="CG129" s="10">
        <v>1614</v>
      </c>
      <c r="CH129" s="10">
        <v>178</v>
      </c>
      <c r="CI129" s="10">
        <v>97</v>
      </c>
      <c r="CJ129" s="10">
        <v>36</v>
      </c>
      <c r="CK129" s="10">
        <v>202</v>
      </c>
      <c r="CL129" s="10">
        <v>11</v>
      </c>
      <c r="CM129" s="10">
        <v>120</v>
      </c>
      <c r="CN129" s="10">
        <v>0.29599999999999999</v>
      </c>
      <c r="CO129" s="10">
        <v>111</v>
      </c>
      <c r="CP129" s="10">
        <v>91</v>
      </c>
      <c r="CQ129" s="10">
        <v>91</v>
      </c>
      <c r="CR129" s="10">
        <v>7</v>
      </c>
      <c r="CS129" s="10">
        <v>11</v>
      </c>
      <c r="CT129" s="9" t="s">
        <v>188</v>
      </c>
      <c r="CU129" s="10"/>
      <c r="CV129" s="10"/>
      <c r="CW129" s="10"/>
      <c r="CX129" t="str">
        <f>INDEX('Data_Price '!AG$2:AG$1266,MATCH(Data!$DN129,'Data_Price '!$AT$2:$AT$1266,0))</f>
        <v>Evolv 90W - 2023 158</v>
      </c>
      <c r="CY129" t="str">
        <f>INDEX('Data_Price '!AH$2:AH$1266,MATCH(Data!$DN129,'Data_Price '!$AT$2:$AT$1266,0))</f>
        <v>Liberty Skis</v>
      </c>
      <c r="CZ129">
        <f>INDEX('Data_Price '!AI$2:AI$1266,MATCH(Data!$DN129,'Data_Price '!$AT$2:$AT$1266,0))</f>
        <v>649.99</v>
      </c>
      <c r="DA129" t="str">
        <f>INDEX('Data_Price '!AJ$2:AJ$1266,MATCH(Data!$DN129,'Data_Price '!$AT$2:$AT$1266,0))</f>
        <v>https://tinyurl.com/y82wlcbo</v>
      </c>
      <c r="DB129" t="str">
        <f>INDEX('Data_Price '!AK$2:AK$1266,MATCH(Data!$DN129,'Data_Price '!$AT$2:$AT$1266,0))</f>
        <v>'21 Liberty Genesis 90 Skis 158cm</v>
      </c>
      <c r="DC129" t="str">
        <f>INDEX('Data_Price '!AL$2:AL$1266,MATCH(Data!$DN129,'Data_Price '!$AT$2:$AT$1266,0))</f>
        <v>Al's Ski Equipment Barn</v>
      </c>
      <c r="DD129">
        <f>INDEX('Data_Price '!AM$2:AM$1266,MATCH(Data!$DN129,'Data_Price '!$AT$2:$AT$1266,0))</f>
        <v>399.95</v>
      </c>
      <c r="DE129" t="str">
        <f>INDEX('Data_Price '!AN$2:AN$1266,MATCH(Data!$DN129,'Data_Price '!$AT$2:$AT$1266,0))</f>
        <v>https://tinyurl.com/yav9whud</v>
      </c>
      <c r="DF129" t="str">
        <f>INDEX('Data_Price '!AO$2:AO$1266,MATCH(Data!$DN129,'Data_Price '!$AT$2:$AT$1266,0))</f>
        <v>Liberty Genesis 90 Women's Skis</v>
      </c>
      <c r="DG129" t="str">
        <f>INDEX('Data_Price '!AP$2:AP$1266,MATCH(Data!$DN129,'Data_Price '!$AT$2:$AT$1266,0))</f>
        <v>ColoradoSkiShop.com</v>
      </c>
      <c r="DH129">
        <f>INDEX('Data_Price '!AQ$2:AQ$1266,MATCH(Data!$DN129,'Data_Price '!$AT$2:$AT$1266,0))</f>
        <v>499.95</v>
      </c>
      <c r="DI129" t="str">
        <f>INDEX('Data_Price '!AR$2:AR$1266,MATCH(Data!$DN129,'Data_Price '!$AT$2:$AT$1266,0))</f>
        <v>https://tinyurl.com/ycnjw85b</v>
      </c>
      <c r="DJ129" s="89" t="str">
        <f t="shared" si="69"/>
        <v>https://tinyurl.com/y82wlcbo</v>
      </c>
      <c r="DK129" s="89" t="str">
        <f t="shared" si="70"/>
        <v>https://tinyurl.com/yav9whud</v>
      </c>
      <c r="DL129" s="89" t="str">
        <f t="shared" si="71"/>
        <v>https://tinyurl.com/ycnjw85b</v>
      </c>
      <c r="DM129" s="219" t="str">
        <f t="shared" si="72"/>
        <v>Evolv 90W</v>
      </c>
      <c r="DN129" s="89" t="str">
        <f t="shared" si="73"/>
        <v xml:space="preserve"> LibertyEvolv 90W158 Women's</v>
      </c>
      <c r="DO129" s="221"/>
    </row>
    <row r="130" spans="2:119" ht="15.6" customHeight="1">
      <c r="B130" s="219" t="b">
        <f t="array" ref="B130">IF(OR(ISERROR(K130:P130)),FALSE,TRUE)</f>
        <v>1</v>
      </c>
      <c r="C130" s="43" t="b">
        <f>OR(BR130=Driver!$G$50,Data!BR861=Driver!$H$50)</f>
        <v>1</v>
      </c>
      <c r="D130" s="43" t="b">
        <f>OR(BV130=Driver!$G$51,BV130=Driver!$H$51)</f>
        <v>1</v>
      </c>
      <c r="E130" s="43" t="b">
        <f>AND(BX130&gt;Driver!$F$54,BX130&lt;Driver!$G$54)</f>
        <v>0</v>
      </c>
      <c r="F130" s="43" t="b">
        <f>CL130&gt;Driver!$F$56</f>
        <v>1</v>
      </c>
      <c r="G130" s="43" t="b">
        <f>AND(CB130&gt;Driver!$F$55,CB130&lt;Driver!$G$55)</f>
        <v>1</v>
      </c>
      <c r="H130" s="43" t="b">
        <f t="shared" si="37"/>
        <v>0</v>
      </c>
      <c r="I130" s="43">
        <f t="shared" si="38"/>
        <v>0</v>
      </c>
      <c r="J130" s="43" t="b">
        <f t="array" ref="J130">NOT(OR(($H$9:$H$1273=TRUE)*($I$9:$I$1273&gt;0)*($BT$9:$BT$1273=BT130)*($K$9:$K$1273&gt;K130)))</f>
        <v>1</v>
      </c>
      <c r="K130" s="72">
        <f t="shared" si="39"/>
        <v>0.87497755773996067</v>
      </c>
      <c r="L130" s="72">
        <f t="shared" si="40"/>
        <v>0.99654476582125495</v>
      </c>
      <c r="M130" s="72">
        <f t="shared" si="41"/>
        <v>0.75341034965866638</v>
      </c>
      <c r="N130" s="72">
        <f t="shared" si="42"/>
        <v>0.66325103443969757</v>
      </c>
      <c r="O130" s="72">
        <f t="shared" si="43"/>
        <v>0.65607759871765359</v>
      </c>
      <c r="P130" s="72">
        <f t="shared" si="44"/>
        <v>0.9409024158186482</v>
      </c>
      <c r="Q130" s="72"/>
      <c r="R130" s="72"/>
      <c r="S130" s="72">
        <f t="shared" si="45"/>
        <v>0.46830148701543739</v>
      </c>
      <c r="T130" s="72">
        <f t="shared" si="46"/>
        <v>0.47702559129393463</v>
      </c>
      <c r="U130" s="72">
        <f t="shared" si="47"/>
        <v>0.59129320586360901</v>
      </c>
      <c r="V130" s="72">
        <f t="shared" si="48"/>
        <v>0.55885543304243646</v>
      </c>
      <c r="W130" s="72">
        <f t="shared" si="49"/>
        <v>0.79523492099132731</v>
      </c>
      <c r="X130" s="72">
        <f t="shared" si="50"/>
        <v>3.455234178745048E-3</v>
      </c>
      <c r="Y130" s="72">
        <f t="shared" si="51"/>
        <v>0.24658965034133359</v>
      </c>
      <c r="Z130" s="72">
        <f t="shared" si="52"/>
        <v>0.33674896556030248</v>
      </c>
      <c r="AA130" s="72">
        <f t="shared" si="53"/>
        <v>0.34392240128234641</v>
      </c>
      <c r="AB130" s="72">
        <f t="shared" si="54"/>
        <v>5.9097584181351803E-2</v>
      </c>
      <c r="AC130" s="72"/>
      <c r="AD130" s="72"/>
      <c r="AE130" s="72">
        <f t="shared" si="55"/>
        <v>0.53169851298456261</v>
      </c>
      <c r="AF130" s="72">
        <f t="shared" si="56"/>
        <v>0.52297440870606537</v>
      </c>
      <c r="AG130" s="72">
        <f t="shared" si="57"/>
        <v>0.40870679413639099</v>
      </c>
      <c r="AH130" s="72">
        <f t="shared" si="58"/>
        <v>0.44114456695756354</v>
      </c>
      <c r="AI130" s="72">
        <f t="shared" si="59"/>
        <v>0.20476507900867272</v>
      </c>
      <c r="AJ130" s="72">
        <f>(AV130-Driver!$K$179)/(Driver!$L$179-Driver!$K$179)</f>
        <v>0.25767464346144547</v>
      </c>
      <c r="AK130" s="72">
        <f>(AW130-Driver!$K$180)/(Driver!$L$180-Driver!$K$180)</f>
        <v>0.32584189459271617</v>
      </c>
      <c r="AL130" s="72">
        <f>(AX130-Driver!$K$181)/(Driver!$L$181-Driver!$K$181)</f>
        <v>0.43843672927338267</v>
      </c>
      <c r="AM130" s="72">
        <f>(AY130-Driver!$K$182)/(Driver!$L$182-Driver!$K$182)</f>
        <v>0.10346261981469992</v>
      </c>
      <c r="AN130" s="72">
        <f>(AZ130-Driver!$K$183)/(Driver!$L$183-Driver!$K$183)</f>
        <v>0.31331699346405223</v>
      </c>
      <c r="AO130" s="72"/>
      <c r="AP130" s="72"/>
      <c r="AQ130" s="72">
        <f>(BC130-Driver!$K$188)/(Driver!$L$188-Driver!$K$188)</f>
        <v>8.8301487015437399E-2</v>
      </c>
      <c r="AR130" s="72">
        <f>MIN((BD130-Driver!$K$189)/(Driver!$L$189-Driver!$K$189),100%)</f>
        <v>2.7025591293934639E-2</v>
      </c>
      <c r="AS130" s="72">
        <f>(BE130-Driver!$K$190)/(Driver!$L$190-Driver!$K$190)</f>
        <v>0.10129320586360901</v>
      </c>
      <c r="AT130" s="72">
        <f>(BF130-Driver!$K$191)/(Driver!$L$191-Driver!$K$191)</f>
        <v>6.8855433042436492E-2</v>
      </c>
      <c r="AU130" s="72">
        <f>(BG130-Driver!$K$192)/(Driver!$L$192-Driver!$K$192)</f>
        <v>4.5234920991327282E-2</v>
      </c>
      <c r="AV130" s="70">
        <f t="shared" si="60"/>
        <v>5.4232804232804233</v>
      </c>
      <c r="AW130" s="70">
        <f t="shared" si="61"/>
        <v>33.628072502420117</v>
      </c>
      <c r="AX130" s="70">
        <f t="shared" si="62"/>
        <v>4.9459305634604442</v>
      </c>
      <c r="AY130" s="70">
        <f>IFERROR(Driver!$K$19/Data!BH130/Data!BI130*Data!BK130*Data!BL130,"")</f>
        <v>0.12666911691946681</v>
      </c>
      <c r="AZ130" s="70">
        <f t="shared" si="63"/>
        <v>28.555472822040205</v>
      </c>
      <c r="BA130" s="70"/>
      <c r="BB130" s="70"/>
      <c r="BC130" s="70">
        <f t="shared" si="64"/>
        <v>45.802595176886072</v>
      </c>
      <c r="BD130" s="70">
        <f t="shared" si="65"/>
        <v>4.1125398270967635</v>
      </c>
      <c r="BE130" s="70">
        <f t="shared" si="66"/>
        <v>0.10145352504030711</v>
      </c>
      <c r="BF130" s="70">
        <f t="shared" si="67"/>
        <v>7.7767374253484842</v>
      </c>
      <c r="BG130" s="70">
        <f t="shared" si="68"/>
        <v>0.17128826763310784</v>
      </c>
      <c r="BH130" s="67">
        <f>MAX((CE130-Driver!$F$200)/(Driver!$G$200-Driver!$F$200)*$BI$1,1)</f>
        <v>4.9459305634604442</v>
      </c>
      <c r="BI130" s="67">
        <f>MAX($BI$1*(BY130-Driver!$F$201)/(Driver!$G$201-Driver!$F$201),1)</f>
        <v>7.4683544303797467</v>
      </c>
      <c r="BJ130" s="67">
        <f>(CB130-Driver!$F$206)/(Driver!$G$206-Driver!$F$206)*$BI$1</f>
        <v>6.1904761904761907</v>
      </c>
      <c r="BK130" s="67">
        <f>(CD130-Driver!$F$203)/(Driver!$G$203-Driver!$F$203)*$BI$1</f>
        <v>3.9908256880733957</v>
      </c>
      <c r="BL130" s="67">
        <f>MAX((CR130-Driver!$F$202)/(Driver!$G$202-Driver!$F$202)*$BI$1,1)</f>
        <v>5.8620689655172411</v>
      </c>
      <c r="BM130" s="67">
        <f>MAX((CH130-Driver!$F$204)/(Driver!$G$204-Driver!$F$204)*$BI$1,1)</f>
        <v>3.5042735042735043</v>
      </c>
      <c r="BN130" s="67">
        <f>(CI130-Driver!$F$205)/(Driver!$G$205-Driver!$F$205)*$BI$1</f>
        <v>3.8235294117647056</v>
      </c>
      <c r="BO130" s="67">
        <f>(CK130-Driver!$F$207)/(Driver!$G$207-Driver!$F$207)*$BI$1</f>
        <v>2.2337125129265769</v>
      </c>
      <c r="BP130" s="67">
        <f>(CM130-Driver!$F$208)/(Driver!$G$208-Driver!$F$208)*$BI$1</f>
        <v>2.2444444444444445</v>
      </c>
      <c r="BQ130" s="67">
        <f>(CL130-Driver!$F$209)/(Driver!$G$209-Driver!$F$209)*$BI$1</f>
        <v>2.96875</v>
      </c>
      <c r="BR130" s="28" t="s">
        <v>155</v>
      </c>
      <c r="BS130" s="8" t="s">
        <v>208</v>
      </c>
      <c r="BT130" s="9" t="s">
        <v>352</v>
      </c>
      <c r="BU130" s="10">
        <v>179</v>
      </c>
      <c r="BV130" s="9" t="s">
        <v>158</v>
      </c>
      <c r="BW130" s="10">
        <v>179</v>
      </c>
      <c r="BX130" s="10">
        <v>179</v>
      </c>
      <c r="BY130" s="10">
        <v>126</v>
      </c>
      <c r="BZ130" s="10">
        <v>140</v>
      </c>
      <c r="CA130" s="10">
        <v>136</v>
      </c>
      <c r="CB130" s="10">
        <v>103</v>
      </c>
      <c r="CC130" s="10">
        <v>121</v>
      </c>
      <c r="CD130" s="10">
        <v>18.100000000000001</v>
      </c>
      <c r="CE130" s="10">
        <v>1769</v>
      </c>
      <c r="CF130" s="10">
        <v>1.1499999999999999</v>
      </c>
      <c r="CG130" s="10">
        <v>2031</v>
      </c>
      <c r="CH130" s="10">
        <v>183</v>
      </c>
      <c r="CI130" s="10">
        <v>98</v>
      </c>
      <c r="CJ130" s="10">
        <v>47</v>
      </c>
      <c r="CK130" s="10">
        <v>326</v>
      </c>
      <c r="CL130" s="10">
        <v>19</v>
      </c>
      <c r="CM130" s="10">
        <v>202</v>
      </c>
      <c r="CN130" s="10">
        <v>0.41</v>
      </c>
      <c r="CO130" s="10">
        <v>193</v>
      </c>
      <c r="CP130" s="10">
        <v>198</v>
      </c>
      <c r="CQ130" s="10">
        <v>133</v>
      </c>
      <c r="CR130" s="10">
        <v>6</v>
      </c>
      <c r="CS130" s="10">
        <v>10.6</v>
      </c>
      <c r="CT130" s="9" t="s">
        <v>188</v>
      </c>
      <c r="CU130" s="9" t="s">
        <v>169</v>
      </c>
      <c r="CV130" s="9" t="s">
        <v>185</v>
      </c>
      <c r="CW130" s="10"/>
      <c r="CX130" t="str">
        <f>INDEX('Data_Price '!AG$2:AG$1266,MATCH(Data!$DN130,'Data_Price '!$AT$2:$AT$1266,0))</f>
        <v>Line 2022 Sick Day 104 Skis</v>
      </c>
      <c r="CY130" t="str">
        <f>INDEX('Data_Price '!AH$2:AH$1266,MATCH(Data!$DN130,'Data_Price '!$AT$2:$AT$1266,0))</f>
        <v>Surfdome US</v>
      </c>
      <c r="CZ130">
        <f>INDEX('Data_Price '!AI$2:AI$1266,MATCH(Data!$DN130,'Data_Price '!$AT$2:$AT$1266,0))</f>
        <v>418.95</v>
      </c>
      <c r="DA130" t="str">
        <f>INDEX('Data_Price '!AJ$2:AJ$1266,MATCH(Data!$DN130,'Data_Price '!$AT$2:$AT$1266,0))</f>
        <v>https://tinyurl.com/y7ytvoc6</v>
      </c>
      <c r="DB130" t="str">
        <f>INDEX('Data_Price '!AK$2:AK$1266,MATCH(Data!$DN130,'Data_Price '!$AT$2:$AT$1266,0))</f>
        <v>Line 2022 Sick Day 104 Skis</v>
      </c>
      <c r="DC130" t="str">
        <f>INDEX('Data_Price '!AL$2:AL$1266,MATCH(Data!$DN130,'Data_Price '!$AT$2:$AT$1266,0))</f>
        <v>! OutdoorXL.com</v>
      </c>
      <c r="DD130">
        <f>INDEX('Data_Price '!AM$2:AM$1266,MATCH(Data!$DN130,'Data_Price '!$AT$2:$AT$1266,0))</f>
        <v>424.95</v>
      </c>
      <c r="DE130" t="str">
        <f>INDEX('Data_Price '!AN$2:AN$1266,MATCH(Data!$DN130,'Data_Price '!$AT$2:$AT$1266,0))</f>
        <v>https://tinyurl.com/ybshbh7j</v>
      </c>
      <c r="DF130" t="str">
        <f>INDEX('Data_Price '!AO$2:AO$1266,MATCH(Data!$DN130,'Data_Price '!$AT$2:$AT$1266,0))</f>
        <v>Line 2022 Sick Day 104 Skis</v>
      </c>
      <c r="DG130" t="str">
        <f>INDEX('Data_Price '!AP$2:AP$1266,MATCH(Data!$DN130,'Data_Price '!$AT$2:$AT$1266,0))</f>
        <v>Next Adventure</v>
      </c>
      <c r="DH130">
        <f>INDEX('Data_Price '!AQ$2:AQ$1266,MATCH(Data!$DN130,'Data_Price '!$AT$2:$AT$1266,0))</f>
        <v>479.96</v>
      </c>
      <c r="DI130" t="str">
        <f>INDEX('Data_Price '!AR$2:AR$1266,MATCH(Data!$DN130,'Data_Price '!$AT$2:$AT$1266,0))</f>
        <v>https://tinyurl.com/y7x6cb28</v>
      </c>
      <c r="DJ130" s="89" t="str">
        <f t="shared" si="69"/>
        <v>https://tinyurl.com/y7ytvoc6</v>
      </c>
      <c r="DK130" s="89" t="str">
        <f t="shared" si="70"/>
        <v>https://tinyurl.com/ybshbh7j</v>
      </c>
      <c r="DL130" s="89" t="str">
        <f t="shared" si="71"/>
        <v>https://tinyurl.com/y7x6cb28</v>
      </c>
      <c r="DM130" s="219" t="str">
        <f t="shared" si="72"/>
        <v>Sick Day 104</v>
      </c>
      <c r="DN130" s="89" t="str">
        <f t="shared" si="73"/>
        <v xml:space="preserve"> LineSick Day 104179 Unisex</v>
      </c>
      <c r="DO130" s="221" t="s">
        <v>353</v>
      </c>
    </row>
    <row r="131" spans="2:119" ht="15.6" customHeight="1">
      <c r="B131" s="219" t="b">
        <f t="array" ref="B131">IF(OR(ISERROR(K131:P131)),FALSE,TRUE)</f>
        <v>1</v>
      </c>
      <c r="C131" s="43" t="b">
        <f>OR(BR131=Driver!$G$50,Data!BR252=Driver!$H$50)</f>
        <v>1</v>
      </c>
      <c r="D131" s="43" t="b">
        <f>OR(BV131=Driver!$G$51,BV131=Driver!$H$51)</f>
        <v>1</v>
      </c>
      <c r="E131" s="43" t="b">
        <f>AND(BX131&gt;Driver!$F$54,BX131&lt;Driver!$G$54)</f>
        <v>0</v>
      </c>
      <c r="F131" s="43" t="b">
        <f>CL131&gt;Driver!$F$56</f>
        <v>1</v>
      </c>
      <c r="G131" s="43" t="b">
        <f>AND(CB131&gt;Driver!$F$55,CB131&lt;Driver!$G$55)</f>
        <v>0</v>
      </c>
      <c r="H131" s="43" t="b">
        <f t="shared" si="37"/>
        <v>0</v>
      </c>
      <c r="I131" s="43">
        <f t="shared" si="38"/>
        <v>0</v>
      </c>
      <c r="J131" s="43" t="b">
        <f t="array" ref="J131">NOT(OR(($H$9:$H$1273=TRUE)*($I$9:$I$1273&gt;0)*($BT$9:$BT$1273=BT131)*($K$9:$K$1273&gt;K131)))</f>
        <v>1</v>
      </c>
      <c r="K131" s="72">
        <f t="shared" si="39"/>
        <v>0.8209054003682914</v>
      </c>
      <c r="L131" s="72">
        <f t="shared" si="40"/>
        <v>0.92717082335086576</v>
      </c>
      <c r="M131" s="72">
        <f t="shared" si="41"/>
        <v>0.71463997738571705</v>
      </c>
      <c r="N131" s="72">
        <f t="shared" si="42"/>
        <v>0.56775998277334705</v>
      </c>
      <c r="O131" s="72">
        <f t="shared" si="43"/>
        <v>0.63591112833639807</v>
      </c>
      <c r="P131" s="72">
        <f t="shared" si="44"/>
        <v>0.94024882104740626</v>
      </c>
      <c r="Q131" s="72"/>
      <c r="R131" s="72"/>
      <c r="S131" s="72">
        <f t="shared" si="45"/>
        <v>0.47398272651364592</v>
      </c>
      <c r="T131" s="72">
        <f t="shared" si="46"/>
        <v>0.52952405819028159</v>
      </c>
      <c r="U131" s="72">
        <f t="shared" si="47"/>
        <v>0.55977392774481571</v>
      </c>
      <c r="V131" s="72">
        <f t="shared" si="48"/>
        <v>0.54790835353507183</v>
      </c>
      <c r="W131" s="72">
        <f t="shared" si="49"/>
        <v>0.78380559540889527</v>
      </c>
      <c r="X131" s="72">
        <f t="shared" si="50"/>
        <v>7.2829176649134242E-2</v>
      </c>
      <c r="Y131" s="72">
        <f t="shared" si="51"/>
        <v>0.28536002261428289</v>
      </c>
      <c r="Z131" s="72">
        <f t="shared" si="52"/>
        <v>0.43224001722665295</v>
      </c>
      <c r="AA131" s="72">
        <f t="shared" si="53"/>
        <v>0.36408887166360188</v>
      </c>
      <c r="AB131" s="72">
        <f t="shared" si="54"/>
        <v>5.9751178952593686E-2</v>
      </c>
      <c r="AC131" s="72"/>
      <c r="AD131" s="72"/>
      <c r="AE131" s="72">
        <f t="shared" si="55"/>
        <v>0.52601727348635408</v>
      </c>
      <c r="AF131" s="72">
        <f t="shared" si="56"/>
        <v>0.47047594180971841</v>
      </c>
      <c r="AG131" s="72">
        <f t="shared" si="57"/>
        <v>0.44022607225518423</v>
      </c>
      <c r="AH131" s="72">
        <f t="shared" si="58"/>
        <v>0.45209164646492817</v>
      </c>
      <c r="AI131" s="72">
        <f t="shared" si="59"/>
        <v>0.21619440459110473</v>
      </c>
      <c r="AJ131" s="72">
        <f>(AV131-Driver!$K$179)/(Driver!$L$179-Driver!$K$179)</f>
        <v>0.32704858593183467</v>
      </c>
      <c r="AK131" s="72">
        <f>(AW131-Driver!$K$180)/(Driver!$L$180-Driver!$K$180)</f>
        <v>0.3350180517008019</v>
      </c>
      <c r="AL131" s="72">
        <f>(AX131-Driver!$K$181)/(Driver!$L$181-Driver!$K$181)</f>
        <v>0.53392778093973314</v>
      </c>
      <c r="AM131" s="72">
        <f>(AY131-Driver!$K$182)/(Driver!$L$182-Driver!$K$182)</f>
        <v>8.3296149433444475E-2</v>
      </c>
      <c r="AN131" s="72">
        <f>(AZ131-Driver!$K$183)/(Driver!$L$183-Driver!$K$183)</f>
        <v>0.31397058823529411</v>
      </c>
      <c r="AO131" s="72"/>
      <c r="AP131" s="72"/>
      <c r="AQ131" s="72">
        <f>(BC131-Driver!$K$188)/(Driver!$L$188-Driver!$K$188)</f>
        <v>9.3982726513645948E-2</v>
      </c>
      <c r="AR131" s="72">
        <f>MIN((BD131-Driver!$K$189)/(Driver!$L$189-Driver!$K$189),100%)</f>
        <v>7.9524058190281605E-2</v>
      </c>
      <c r="AS131" s="72">
        <f>(BE131-Driver!$K$190)/(Driver!$L$190-Driver!$K$190)</f>
        <v>6.9773927744815764E-2</v>
      </c>
      <c r="AT131" s="72">
        <f>(BF131-Driver!$K$191)/(Driver!$L$191-Driver!$K$191)</f>
        <v>5.7908353535071823E-2</v>
      </c>
      <c r="AU131" s="72">
        <f>(BG131-Driver!$K$192)/(Driver!$L$192-Driver!$K$192)</f>
        <v>3.3805595408895259E-2</v>
      </c>
      <c r="AV131" s="70">
        <f t="shared" si="60"/>
        <v>6.8833943833943838</v>
      </c>
      <c r="AW131" s="70">
        <f t="shared" si="61"/>
        <v>34.522370321626489</v>
      </c>
      <c r="AX131" s="70">
        <f t="shared" si="62"/>
        <v>5.8053500284575987</v>
      </c>
      <c r="AY131" s="70">
        <f>IFERROR(Driver!$K$19/Data!BH131/Data!BI131*Data!BK131*Data!BL131,"")</f>
        <v>0.10197934007879499</v>
      </c>
      <c r="AZ131" s="70">
        <f t="shared" si="63"/>
        <v>28.615040953090098</v>
      </c>
      <c r="BA131" s="70"/>
      <c r="BB131" s="70"/>
      <c r="BC131" s="70">
        <f t="shared" si="64"/>
        <v>48.749493599943079</v>
      </c>
      <c r="BD131" s="70">
        <f t="shared" si="65"/>
        <v>8.7585611256445173</v>
      </c>
      <c r="BE131" s="70">
        <f t="shared" si="66"/>
        <v>6.9939869605965668E-2</v>
      </c>
      <c r="BF131" s="70">
        <f t="shared" si="67"/>
        <v>6.5403417025778499</v>
      </c>
      <c r="BG131" s="70">
        <f t="shared" si="68"/>
        <v>0.12800954985652796</v>
      </c>
      <c r="BH131" s="67">
        <f>MAX((CE131-Driver!$F$200)/(Driver!$G$200-Driver!$F$200)*$BI$1,1)</f>
        <v>5.8053500284575987</v>
      </c>
      <c r="BI131" s="67">
        <f>MAX($BI$1*(BY131-Driver!$F$201)/(Driver!$G$201-Driver!$F$201),1)</f>
        <v>7.7215189873417724</v>
      </c>
      <c r="BJ131" s="67">
        <f>(CB131-Driver!$F$206)/(Driver!$G$206-Driver!$F$206)*$BI$1</f>
        <v>5.2380952380952381</v>
      </c>
      <c r="BK131" s="67">
        <f>(CD131-Driver!$F$203)/(Driver!$G$203-Driver!$F$203)*$BI$1</f>
        <v>3.8990825688073394</v>
      </c>
      <c r="BL131" s="67">
        <f>MAX((CR131-Driver!$F$202)/(Driver!$G$202-Driver!$F$202)*$BI$1,1)</f>
        <v>5.8620689655172411</v>
      </c>
      <c r="BM131" s="67">
        <f>MAX((CH131-Driver!$F$204)/(Driver!$G$204-Driver!$F$204)*$BI$1,1)</f>
        <v>5.2564102564102564</v>
      </c>
      <c r="BN131" s="67">
        <f>(CI131-Driver!$F$205)/(Driver!$G$205-Driver!$F$205)*$BI$1</f>
        <v>3.7058823529411766</v>
      </c>
      <c r="BO131" s="67">
        <f>(CK131-Driver!$F$207)/(Driver!$G$207-Driver!$F$207)*$BI$1</f>
        <v>1.9648397104446744</v>
      </c>
      <c r="BP131" s="67">
        <f>(CM131-Driver!$F$208)/(Driver!$G$208-Driver!$F$208)*$BI$1</f>
        <v>2.4777777777777779</v>
      </c>
      <c r="BQ131" s="67">
        <f>(CL131-Driver!$F$209)/(Driver!$G$209-Driver!$F$209)*$BI$1</f>
        <v>3.90625</v>
      </c>
      <c r="BR131" s="28" t="s">
        <v>155</v>
      </c>
      <c r="BS131" s="8" t="s">
        <v>354</v>
      </c>
      <c r="BT131" s="9" t="s">
        <v>355</v>
      </c>
      <c r="BU131" s="10">
        <v>182</v>
      </c>
      <c r="BV131" s="9" t="s">
        <v>158</v>
      </c>
      <c r="BW131" s="10">
        <v>182</v>
      </c>
      <c r="BX131" s="10">
        <v>182.6</v>
      </c>
      <c r="BY131" s="10">
        <v>130</v>
      </c>
      <c r="BZ131" s="10">
        <v>148</v>
      </c>
      <c r="CA131" s="10">
        <v>131</v>
      </c>
      <c r="CB131" s="10">
        <v>97</v>
      </c>
      <c r="CC131" s="10">
        <v>118</v>
      </c>
      <c r="CD131" s="10">
        <v>17.899999999999999</v>
      </c>
      <c r="CE131" s="10">
        <v>1920</v>
      </c>
      <c r="CF131" s="10">
        <v>1.03</v>
      </c>
      <c r="CG131" s="10">
        <v>1975</v>
      </c>
      <c r="CH131" s="10">
        <v>224</v>
      </c>
      <c r="CI131" s="10">
        <v>96</v>
      </c>
      <c r="CJ131" s="10">
        <v>46</v>
      </c>
      <c r="CK131" s="10">
        <v>300</v>
      </c>
      <c r="CL131" s="10">
        <v>25</v>
      </c>
      <c r="CM131" s="10">
        <v>223</v>
      </c>
      <c r="CN131" s="10">
        <v>0.55200000000000005</v>
      </c>
      <c r="CO131" s="10">
        <v>215</v>
      </c>
      <c r="CP131" s="10">
        <v>135</v>
      </c>
      <c r="CQ131" s="10">
        <v>85</v>
      </c>
      <c r="CR131" s="10">
        <v>6</v>
      </c>
      <c r="CS131" s="10">
        <v>8.9</v>
      </c>
      <c r="CT131" s="9" t="s">
        <v>188</v>
      </c>
      <c r="CU131" s="10"/>
      <c r="CV131" s="10"/>
      <c r="CW131" s="10"/>
      <c r="CX131" t="str">
        <f>INDEX('Data_Price '!AG$2:AG$1266,MATCH(Data!$DN131,'Data_Price '!$AT$2:$AT$1266,0))</f>
        <v>Black Diamond Impulse 98 NO COLOR / 182</v>
      </c>
      <c r="CY131" t="str">
        <f>INDEX('Data_Price '!AH$2:AH$1266,MATCH(Data!$DN131,'Data_Price '!$AT$2:$AT$1266,0))</f>
        <v>Neptune Mountaineering</v>
      </c>
      <c r="CZ131">
        <f>INDEX('Data_Price '!AI$2:AI$1266,MATCH(Data!$DN131,'Data_Price '!$AT$2:$AT$1266,0))</f>
        <v>490</v>
      </c>
      <c r="DA131" t="str">
        <f>INDEX('Data_Price '!AJ$2:AJ$1266,MATCH(Data!$DN131,'Data_Price '!$AT$2:$AT$1266,0))</f>
        <v>https://tinyurl.com/y9jpfdsy</v>
      </c>
      <c r="DB131" t="str">
        <f>INDEX('Data_Price '!AK$2:AK$1266,MATCH(Data!$DN131,'Data_Price '!$AT$2:$AT$1266,0))</f>
        <v>Black Diamond Impulse 98 Skis</v>
      </c>
      <c r="DC131" t="str">
        <f>INDEX('Data_Price '!AL$2:AL$1266,MATCH(Data!$DN131,'Data_Price '!$AT$2:$AT$1266,0))</f>
        <v>PRFO Sports</v>
      </c>
      <c r="DD131">
        <f>INDEX('Data_Price '!AM$2:AM$1266,MATCH(Data!$DN131,'Data_Price '!$AT$2:$AT$1266,0))</f>
        <v>513.27</v>
      </c>
      <c r="DE131" t="str">
        <f>INDEX('Data_Price '!AN$2:AN$1266,MATCH(Data!$DN131,'Data_Price '!$AT$2:$AT$1266,0))</f>
        <v>https://tinyurl.com/y9hko5fk</v>
      </c>
      <c r="DF131" t="str">
        <f>INDEX('Data_Price '!AO$2:AO$1266,MATCH(Data!$DN131,'Data_Price '!$AT$2:$AT$1266,0))</f>
        <v>Black Diamond Impulse 98 Skis</v>
      </c>
      <c r="DG131" t="str">
        <f>INDEX('Data_Price '!AP$2:AP$1266,MATCH(Data!$DN131,'Data_Price '!$AT$2:$AT$1266,0))</f>
        <v>Moosejaw</v>
      </c>
      <c r="DH131">
        <f>INDEX('Data_Price '!AQ$2:AQ$1266,MATCH(Data!$DN131,'Data_Price '!$AT$2:$AT$1266,0))</f>
        <v>524.99</v>
      </c>
      <c r="DI131" t="str">
        <f>INDEX('Data_Price '!AR$2:AR$1266,MATCH(Data!$DN131,'Data_Price '!$AT$2:$AT$1266,0))</f>
        <v>https://tinyurl.com/y7uybr2x</v>
      </c>
      <c r="DJ131" s="89" t="str">
        <f t="shared" si="69"/>
        <v>https://tinyurl.com/y9jpfdsy</v>
      </c>
      <c r="DK131" s="89" t="str">
        <f t="shared" si="70"/>
        <v>https://tinyurl.com/y9hko5fk</v>
      </c>
      <c r="DL131" s="89" t="str">
        <f t="shared" si="71"/>
        <v>https://tinyurl.com/y7uybr2x</v>
      </c>
      <c r="DM131" s="219" t="str">
        <f t="shared" si="72"/>
        <v>Impulse 98</v>
      </c>
      <c r="DN131" s="89" t="str">
        <f t="shared" si="73"/>
        <v xml:space="preserve"> Black DiamondImpulse 98182 Unisex</v>
      </c>
      <c r="DO131" s="221" t="s">
        <v>356</v>
      </c>
    </row>
    <row r="132" spans="2:119" ht="15.6" customHeight="1">
      <c r="B132" s="219" t="b">
        <f t="array" ref="B132">IF(OR(ISERROR(K132:P132)),FALSE,TRUE)</f>
        <v>1</v>
      </c>
      <c r="C132" s="43" t="b">
        <f>OR(BR132=Driver!$G$50,Data!BR789=Driver!$H$50)</f>
        <v>1</v>
      </c>
      <c r="D132" s="43" t="b">
        <f>OR(BV132=Driver!$G$51,BV132=Driver!$H$51)</f>
        <v>1</v>
      </c>
      <c r="E132" s="43" t="b">
        <f>AND(BX132&gt;Driver!$F$54,BX132&lt;Driver!$G$54)</f>
        <v>0</v>
      </c>
      <c r="F132" s="43" t="b">
        <f>CL132&gt;Driver!$F$56</f>
        <v>1</v>
      </c>
      <c r="G132" s="43" t="b">
        <f>AND(CB132&gt;Driver!$F$55,CB132&lt;Driver!$G$55)</f>
        <v>1</v>
      </c>
      <c r="H132" s="43" t="b">
        <f t="shared" si="37"/>
        <v>0</v>
      </c>
      <c r="I132" s="43">
        <f t="shared" si="38"/>
        <v>0</v>
      </c>
      <c r="J132" s="43" t="b">
        <f t="array" ref="J132">NOT(OR(($H$9:$H$1273=TRUE)*($I$9:$I$1273&gt;0)*($BT$9:$BT$1273=BT132)*($K$9:$K$1273&gt;K132)))</f>
        <v>1</v>
      </c>
      <c r="K132" s="72">
        <f t="shared" si="39"/>
        <v>0.80824712126748111</v>
      </c>
      <c r="L132" s="72">
        <f t="shared" si="40"/>
        <v>0.847886317670421</v>
      </c>
      <c r="M132" s="72">
        <f t="shared" si="41"/>
        <v>0.7686079248645411</v>
      </c>
      <c r="N132" s="72">
        <f t="shared" si="42"/>
        <v>0.71953383972648677</v>
      </c>
      <c r="O132" s="72">
        <f t="shared" si="43"/>
        <v>0.73738098310077593</v>
      </c>
      <c r="P132" s="72">
        <f t="shared" si="44"/>
        <v>0.84890895176636061</v>
      </c>
      <c r="Q132" s="72"/>
      <c r="R132" s="72"/>
      <c r="S132" s="72">
        <f t="shared" si="45"/>
        <v>0.56311715655914796</v>
      </c>
      <c r="T132" s="72">
        <f t="shared" si="46"/>
        <v>0.46676337231834752</v>
      </c>
      <c r="U132" s="72">
        <f t="shared" si="47"/>
        <v>0.63176574690749776</v>
      </c>
      <c r="V132" s="72">
        <f t="shared" si="48"/>
        <v>0.5425661940323564</v>
      </c>
      <c r="W132" s="72">
        <f t="shared" si="49"/>
        <v>0.77298780487804875</v>
      </c>
      <c r="X132" s="72">
        <f t="shared" si="50"/>
        <v>0.152113682329579</v>
      </c>
      <c r="Y132" s="72">
        <f t="shared" si="51"/>
        <v>0.23139207513545887</v>
      </c>
      <c r="Z132" s="72">
        <f t="shared" si="52"/>
        <v>0.28046616027351318</v>
      </c>
      <c r="AA132" s="72">
        <f t="shared" si="53"/>
        <v>0.26261901689922407</v>
      </c>
      <c r="AB132" s="72">
        <f t="shared" si="54"/>
        <v>0.15109104823363945</v>
      </c>
      <c r="AC132" s="72"/>
      <c r="AD132" s="72"/>
      <c r="AE132" s="72">
        <f t="shared" si="55"/>
        <v>0.43688284344085204</v>
      </c>
      <c r="AF132" s="72">
        <f t="shared" si="56"/>
        <v>0.53323662768165248</v>
      </c>
      <c r="AG132" s="72">
        <f t="shared" si="57"/>
        <v>0.36823425309250218</v>
      </c>
      <c r="AH132" s="72">
        <f t="shared" si="58"/>
        <v>0.4574338059676436</v>
      </c>
      <c r="AI132" s="72">
        <f t="shared" si="59"/>
        <v>0.22701219512195123</v>
      </c>
      <c r="AJ132" s="72">
        <f>(AV132-Driver!$K$179)/(Driver!$L$179-Driver!$K$179)</f>
        <v>0.40633309161227943</v>
      </c>
      <c r="AK132" s="72">
        <f>(AW132-Driver!$K$180)/(Driver!$L$180-Driver!$K$180)</f>
        <v>0.40769395735009173</v>
      </c>
      <c r="AL132" s="72">
        <f>(AX132-Driver!$K$181)/(Driver!$L$181-Driver!$K$181)</f>
        <v>0.38215392398659337</v>
      </c>
      <c r="AM132" s="72">
        <f>(AY132-Driver!$K$182)/(Driver!$L$182-Driver!$K$182)</f>
        <v>0.18476600419782233</v>
      </c>
      <c r="AN132" s="72">
        <f>(AZ132-Driver!$K$183)/(Driver!$L$183-Driver!$K$183)</f>
        <v>0.40531045751633987</v>
      </c>
      <c r="AO132" s="72"/>
      <c r="AP132" s="72"/>
      <c r="AQ132" s="72">
        <f>(BC132-Driver!$K$188)/(Driver!$L$188-Driver!$K$188)</f>
        <v>0.18311715655914795</v>
      </c>
      <c r="AR132" s="72">
        <f>MIN((BD132-Driver!$K$189)/(Driver!$L$189-Driver!$K$189),100%)</f>
        <v>1.6763372318347625E-2</v>
      </c>
      <c r="AS132" s="72">
        <f>(BE132-Driver!$K$190)/(Driver!$L$190-Driver!$K$190)</f>
        <v>0.14176574690749782</v>
      </c>
      <c r="AT132" s="72">
        <f>(BF132-Driver!$K$191)/(Driver!$L$191-Driver!$K$191)</f>
        <v>5.2566194032356406E-2</v>
      </c>
      <c r="AU132" s="72">
        <f>(BG132-Driver!$K$192)/(Driver!$L$192-Driver!$K$192)</f>
        <v>2.2987804878048777E-2</v>
      </c>
      <c r="AV132" s="70">
        <f t="shared" si="60"/>
        <v>8.5520960520960525</v>
      </c>
      <c r="AW132" s="70">
        <f t="shared" si="61"/>
        <v>41.605281301184291</v>
      </c>
      <c r="AX132" s="70">
        <f t="shared" si="62"/>
        <v>4.4393853158793402</v>
      </c>
      <c r="AY132" s="70">
        <f>IFERROR(Driver!$K$19/Data!BH132/Data!BI132*Data!BK132*Data!BL132,"")</f>
        <v>0.22620871799296349</v>
      </c>
      <c r="AZ132" s="70">
        <f t="shared" si="63"/>
        <v>36.939687267311989</v>
      </c>
      <c r="BA132" s="70"/>
      <c r="BB132" s="70"/>
      <c r="BC132" s="70">
        <f t="shared" si="64"/>
        <v>94.984142117049672</v>
      </c>
      <c r="BD132" s="70">
        <f t="shared" si="65"/>
        <v>3.2043516313333589</v>
      </c>
      <c r="BE132" s="70">
        <f t="shared" si="66"/>
        <v>0.14191884623841153</v>
      </c>
      <c r="BF132" s="70">
        <f t="shared" si="67"/>
        <v>5.9369823175407452</v>
      </c>
      <c r="BG132" s="70">
        <f t="shared" si="68"/>
        <v>8.7046493902439015E-2</v>
      </c>
      <c r="BH132" s="67">
        <f>MAX((CE132-Driver!$F$200)/(Driver!$G$200-Driver!$F$200)*$BI$1,1)</f>
        <v>4.4393853158793402</v>
      </c>
      <c r="BI132" s="67">
        <f>MAX($BI$1*(BY132-Driver!$F$201)/(Driver!$G$201-Driver!$F$201),1)</f>
        <v>7.6582278481012658</v>
      </c>
      <c r="BJ132" s="67">
        <f>(CB132-Driver!$F$206)/(Driver!$G$206-Driver!$F$206)*$BI$1</f>
        <v>6.5079365079365079</v>
      </c>
      <c r="BK132" s="67">
        <f>(CD132-Driver!$F$203)/(Driver!$G$203-Driver!$F$203)*$BI$1</f>
        <v>6.5596330275229366</v>
      </c>
      <c r="BL132" s="67">
        <f>MAX((CR132-Driver!$F$202)/(Driver!$G$202-Driver!$F$202)*$BI$1,1)</f>
        <v>5.8620689655172411</v>
      </c>
      <c r="BM132" s="67">
        <f>MAX((CH132-Driver!$F$204)/(Driver!$G$204-Driver!$F$204)*$BI$1,1)</f>
        <v>5.2564102564102564</v>
      </c>
      <c r="BN132" s="67">
        <f>(CI132-Driver!$F$205)/(Driver!$G$205-Driver!$F$205)*$BI$1</f>
        <v>4.8235294117647056</v>
      </c>
      <c r="BO132" s="67">
        <f>(CK132-Driver!$F$207)/(Driver!$G$207-Driver!$F$207)*$BI$1</f>
        <v>2.5646328852119957</v>
      </c>
      <c r="BP132" s="67">
        <f>(CM132-Driver!$F$208)/(Driver!$G$208-Driver!$F$208)*$BI$1</f>
        <v>2.3333333333333335</v>
      </c>
      <c r="BQ132" s="67">
        <f>(CL132-Driver!$F$209)/(Driver!$G$209-Driver!$F$209)*$BI$1</f>
        <v>2.03125</v>
      </c>
      <c r="BR132" s="28" t="s">
        <v>155</v>
      </c>
      <c r="BS132" s="8" t="s">
        <v>262</v>
      </c>
      <c r="BT132" s="9" t="s">
        <v>263</v>
      </c>
      <c r="BU132" s="10">
        <v>186</v>
      </c>
      <c r="BV132" s="9" t="s">
        <v>158</v>
      </c>
      <c r="BW132" s="10">
        <v>186</v>
      </c>
      <c r="BX132" s="10">
        <v>185.7</v>
      </c>
      <c r="BY132" s="10">
        <v>129</v>
      </c>
      <c r="BZ132" s="10">
        <v>152</v>
      </c>
      <c r="CA132" s="10">
        <v>136</v>
      </c>
      <c r="CB132" s="10">
        <v>105</v>
      </c>
      <c r="CC132" s="10">
        <v>123</v>
      </c>
      <c r="CD132" s="10">
        <v>23.7</v>
      </c>
      <c r="CE132" s="10">
        <v>1680</v>
      </c>
      <c r="CF132" s="10">
        <v>1.26</v>
      </c>
      <c r="CG132" s="10">
        <v>2121</v>
      </c>
      <c r="CH132" s="10">
        <v>224</v>
      </c>
      <c r="CI132" s="10">
        <v>115</v>
      </c>
      <c r="CJ132" s="10">
        <v>42</v>
      </c>
      <c r="CK132" s="10">
        <v>358</v>
      </c>
      <c r="CL132" s="10">
        <v>13</v>
      </c>
      <c r="CM132" s="10">
        <v>210</v>
      </c>
      <c r="CN132" s="10">
        <v>0.318</v>
      </c>
      <c r="CO132" s="10">
        <v>195</v>
      </c>
      <c r="CP132" s="10">
        <v>138</v>
      </c>
      <c r="CQ132" s="10">
        <v>163</v>
      </c>
      <c r="CR132" s="10">
        <v>6</v>
      </c>
      <c r="CS132" s="10">
        <v>12.9</v>
      </c>
      <c r="CT132" s="9" t="s">
        <v>178</v>
      </c>
      <c r="CU132" s="9" t="s">
        <v>185</v>
      </c>
      <c r="CV132" s="9" t="s">
        <v>198</v>
      </c>
      <c r="CW132" s="10"/>
      <c r="CX132" t="e">
        <f>INDEX('Data_Price '!AG$2:AG$1266,MATCH(Data!$DN132,'Data_Price '!$AT$2:$AT$1266,0))</f>
        <v>#N/A</v>
      </c>
      <c r="CY132" t="e">
        <f>INDEX('Data_Price '!AH$2:AH$1266,MATCH(Data!$DN132,'Data_Price '!$AT$2:$AT$1266,0))</f>
        <v>#N/A</v>
      </c>
      <c r="CZ132" t="e">
        <f>INDEX('Data_Price '!AI$2:AI$1266,MATCH(Data!$DN132,'Data_Price '!$AT$2:$AT$1266,0))</f>
        <v>#N/A</v>
      </c>
      <c r="DA132" t="e">
        <f>INDEX('Data_Price '!AJ$2:AJ$1266,MATCH(Data!$DN132,'Data_Price '!$AT$2:$AT$1266,0))</f>
        <v>#N/A</v>
      </c>
      <c r="DB132" t="e">
        <f>INDEX('Data_Price '!AK$2:AK$1266,MATCH(Data!$DN132,'Data_Price '!$AT$2:$AT$1266,0))</f>
        <v>#N/A</v>
      </c>
      <c r="DC132" t="e">
        <f>INDEX('Data_Price '!AL$2:AL$1266,MATCH(Data!$DN132,'Data_Price '!$AT$2:$AT$1266,0))</f>
        <v>#N/A</v>
      </c>
      <c r="DD132" t="e">
        <f>INDEX('Data_Price '!AM$2:AM$1266,MATCH(Data!$DN132,'Data_Price '!$AT$2:$AT$1266,0))</f>
        <v>#N/A</v>
      </c>
      <c r="DE132" t="e">
        <f>INDEX('Data_Price '!AN$2:AN$1266,MATCH(Data!$DN132,'Data_Price '!$AT$2:$AT$1266,0))</f>
        <v>#N/A</v>
      </c>
      <c r="DF132" t="e">
        <f>INDEX('Data_Price '!AO$2:AO$1266,MATCH(Data!$DN132,'Data_Price '!$AT$2:$AT$1266,0))</f>
        <v>#N/A</v>
      </c>
      <c r="DG132" t="e">
        <f>INDEX('Data_Price '!AP$2:AP$1266,MATCH(Data!$DN132,'Data_Price '!$AT$2:$AT$1266,0))</f>
        <v>#N/A</v>
      </c>
      <c r="DH132" t="e">
        <f>INDEX('Data_Price '!AQ$2:AQ$1266,MATCH(Data!$DN132,'Data_Price '!$AT$2:$AT$1266,0))</f>
        <v>#N/A</v>
      </c>
      <c r="DI132" t="e">
        <f>INDEX('Data_Price '!AR$2:AR$1266,MATCH(Data!$DN132,'Data_Price '!$AT$2:$AT$1266,0))</f>
        <v>#N/A</v>
      </c>
      <c r="DJ132" s="89" t="e">
        <f t="shared" si="69"/>
        <v>#N/A</v>
      </c>
      <c r="DK132" s="89" t="e">
        <f t="shared" si="70"/>
        <v>#N/A</v>
      </c>
      <c r="DL132" s="89" t="e">
        <f t="shared" si="71"/>
        <v>#N/A</v>
      </c>
      <c r="DM132" s="219" t="str">
        <f t="shared" si="72"/>
        <v>Wayback 106</v>
      </c>
      <c r="DN132" s="89" t="str">
        <f t="shared" si="73"/>
        <v xml:space="preserve"> K2Wayback 106186 Unisex</v>
      </c>
      <c r="DO132" s="221" t="s">
        <v>264</v>
      </c>
    </row>
    <row r="133" spans="2:119" ht="15.6" customHeight="1">
      <c r="B133" s="219" t="b">
        <f t="array" ref="B133">IF(OR(ISERROR(K133:P133)),FALSE,TRUE)</f>
        <v>1</v>
      </c>
      <c r="C133" s="43" t="b">
        <f>OR(BR133=Driver!$G$50,Data!BR1138=Driver!$H$50)</f>
        <v>1</v>
      </c>
      <c r="D133" s="43" t="b">
        <f>OR(BV133=Driver!$G$51,BV133=Driver!$H$51)</f>
        <v>0</v>
      </c>
      <c r="E133" s="43" t="b">
        <f>AND(BX133&gt;Driver!$F$54,BX133&lt;Driver!$G$54)</f>
        <v>1</v>
      </c>
      <c r="F133" s="43" t="b">
        <f>CL133&gt;Driver!$F$56</f>
        <v>1</v>
      </c>
      <c r="G133" s="43" t="b">
        <f>AND(CB133&gt;Driver!$F$55,CB133&lt;Driver!$G$55)</f>
        <v>0</v>
      </c>
      <c r="H133" s="43" t="b">
        <f t="shared" si="37"/>
        <v>0</v>
      </c>
      <c r="I133" s="43">
        <f t="shared" si="38"/>
        <v>0</v>
      </c>
      <c r="J133" s="43" t="b">
        <f t="array" ref="J133">NOT(OR(($H$9:$H$1273=TRUE)*($I$9:$I$1273&gt;0)*($BT$9:$BT$1273=BT133)*($K$9:$K$1273&gt;K133)))</f>
        <v>1</v>
      </c>
      <c r="K133" s="72">
        <f t="shared" si="39"/>
        <v>0.84984838508527272</v>
      </c>
      <c r="L133" s="72">
        <f t="shared" si="40"/>
        <v>0.91853057057387844</v>
      </c>
      <c r="M133" s="72">
        <f t="shared" si="41"/>
        <v>0.781166199596667</v>
      </c>
      <c r="N133" s="72">
        <f t="shared" si="42"/>
        <v>0.77961099143710477</v>
      </c>
      <c r="O133" s="72">
        <f t="shared" si="43"/>
        <v>0.60852440722052248</v>
      </c>
      <c r="P133" s="72">
        <f t="shared" si="44"/>
        <v>0.95536320013237364</v>
      </c>
      <c r="Q133" s="72"/>
      <c r="R133" s="72"/>
      <c r="S133" s="72">
        <f t="shared" si="45"/>
        <v>0.42488835623054233</v>
      </c>
      <c r="T133" s="72">
        <f t="shared" si="46"/>
        <v>0.49722586156457249</v>
      </c>
      <c r="U133" s="72">
        <f t="shared" si="47"/>
        <v>0.51</v>
      </c>
      <c r="V133" s="72">
        <f t="shared" si="48"/>
        <v>0.511401139207736</v>
      </c>
      <c r="W133" s="72">
        <f t="shared" si="49"/>
        <v>0.78326832988342954</v>
      </c>
      <c r="X133" s="72">
        <f t="shared" si="50"/>
        <v>8.146942942612162E-2</v>
      </c>
      <c r="Y133" s="72">
        <f t="shared" si="51"/>
        <v>0.21883380040333303</v>
      </c>
      <c r="Z133" s="72">
        <f t="shared" si="52"/>
        <v>0.22038900856289523</v>
      </c>
      <c r="AA133" s="72">
        <f t="shared" si="53"/>
        <v>0.39147559277947752</v>
      </c>
      <c r="AB133" s="72">
        <f t="shared" si="54"/>
        <v>4.4636799867626364E-2</v>
      </c>
      <c r="AC133" s="72"/>
      <c r="AD133" s="72"/>
      <c r="AE133" s="72">
        <f t="shared" si="55"/>
        <v>0.57511164376945767</v>
      </c>
      <c r="AF133" s="72">
        <f t="shared" si="56"/>
        <v>0.50277413843542751</v>
      </c>
      <c r="AG133" s="72">
        <f t="shared" si="57"/>
        <v>0.49</v>
      </c>
      <c r="AH133" s="72">
        <f t="shared" si="58"/>
        <v>0.488598860792264</v>
      </c>
      <c r="AI133" s="72">
        <f t="shared" si="59"/>
        <v>0.21673167011657044</v>
      </c>
      <c r="AJ133" s="72">
        <f>(AV133-Driver!$K$179)/(Driver!$L$179-Driver!$K$179)</f>
        <v>0.17274997985657881</v>
      </c>
      <c r="AK133" s="72">
        <f>(AW133-Driver!$K$180)/(Driver!$L$180-Driver!$K$180)</f>
        <v>0.30097597901627104</v>
      </c>
      <c r="AL133" s="72">
        <f>(AX133-Driver!$K$181)/(Driver!$L$181-Driver!$K$181)</f>
        <v>0.32207677227597542</v>
      </c>
      <c r="AM133" s="72">
        <f>(AY133-Driver!$K$182)/(Driver!$L$182-Driver!$K$182)</f>
        <v>5.5909428317568843E-2</v>
      </c>
      <c r="AN133" s="72">
        <f>(AZ133-Driver!$K$183)/(Driver!$L$183-Driver!$K$183)</f>
        <v>0.29885620915032679</v>
      </c>
      <c r="AO133" s="72"/>
      <c r="AP133" s="72"/>
      <c r="AQ133" s="72">
        <f>(BC133-Driver!$K$188)/(Driver!$L$188-Driver!$K$188)</f>
        <v>4.488835623054236E-2</v>
      </c>
      <c r="AR133" s="72">
        <f>MIN((BD133-Driver!$K$189)/(Driver!$L$189-Driver!$K$189),100%)</f>
        <v>4.7225861564572549E-2</v>
      </c>
      <c r="AS133" s="72">
        <f>(BE133-Driver!$K$190)/(Driver!$L$190-Driver!$K$190)</f>
        <v>1</v>
      </c>
      <c r="AT133" s="72">
        <f>(BF133-Driver!$K$191)/(Driver!$L$191-Driver!$K$191)</f>
        <v>2.1401139207736005E-2</v>
      </c>
      <c r="AU133" s="72">
        <f>(BG133-Driver!$K$192)/(Driver!$L$192-Driver!$K$192)</f>
        <v>3.3268329883429572E-2</v>
      </c>
      <c r="AV133" s="70">
        <f t="shared" si="60"/>
        <v>3.6358703025369685</v>
      </c>
      <c r="AW133" s="70">
        <f t="shared" si="61"/>
        <v>31.204668695069262</v>
      </c>
      <c r="AX133" s="70">
        <f t="shared" si="62"/>
        <v>3.898690950483779</v>
      </c>
      <c r="AY133" s="70">
        <f>IFERROR(Driver!$K$19/Data!BH133/Data!BI133*Data!BK133*Data!BL133,"")</f>
        <v>6.8449822024055001E-2</v>
      </c>
      <c r="AZ133" s="70">
        <f t="shared" si="63"/>
        <v>27.23752792256143</v>
      </c>
      <c r="BA133" s="70"/>
      <c r="BB133" s="70"/>
      <c r="BC133" s="70">
        <f t="shared" si="64"/>
        <v>23.283902435572127</v>
      </c>
      <c r="BD133" s="70">
        <f t="shared" si="65"/>
        <v>5.9002279532872679</v>
      </c>
      <c r="BE133" s="70">
        <f t="shared" si="66"/>
        <v>1</v>
      </c>
      <c r="BF133" s="70">
        <f t="shared" si="67"/>
        <v>2.4171083220015448</v>
      </c>
      <c r="BG133" s="70">
        <f t="shared" si="68"/>
        <v>0.12597511983876242</v>
      </c>
      <c r="BH133" s="67">
        <f>MAX((CE133-Driver!$F$200)/(Driver!$G$200-Driver!$F$200)*$BI$1,1)</f>
        <v>3.898690950483779</v>
      </c>
      <c r="BI133" s="67">
        <f>MAX($BI$1*(BY133-Driver!$F$201)/(Driver!$G$201-Driver!$F$201),1)</f>
        <v>7.4683544303797467</v>
      </c>
      <c r="BJ133" s="67">
        <f>(CB133-Driver!$F$206)/(Driver!$G$206-Driver!$F$206)*$BI$1</f>
        <v>5.0793650793650791</v>
      </c>
      <c r="BK133" s="67">
        <f>(CD133-Driver!$F$203)/(Driver!$G$203-Driver!$F$203)*$BI$1</f>
        <v>1.9266055045871557</v>
      </c>
      <c r="BL133" s="67">
        <f>MAX((CR133-Driver!$F$202)/(Driver!$G$202-Driver!$F$202)*$BI$1,1)</f>
        <v>5.1724137931034484</v>
      </c>
      <c r="BM133" s="67">
        <f>MAX((CH133-Driver!$F$204)/(Driver!$G$204-Driver!$F$204)*$BI$1,1)</f>
        <v>2.8632478632478628</v>
      </c>
      <c r="BN133" s="67">
        <f>(CI133-Driver!$F$205)/(Driver!$G$205-Driver!$F$205)*$BI$1</f>
        <v>3.6470588235294117</v>
      </c>
      <c r="BO133" s="67">
        <f>(CK133-Driver!$F$207)/(Driver!$G$207-Driver!$F$207)*$BI$1</f>
        <v>1.0444674250258532</v>
      </c>
      <c r="BP133" s="67">
        <f>(CM133-Driver!$F$208)/(Driver!$G$208-Driver!$F$208)*$BI$1</f>
        <v>0.87777777777777777</v>
      </c>
      <c r="BQ133" s="67">
        <f>(CL133-Driver!$F$209)/(Driver!$G$209-Driver!$F$209)*$BI$1</f>
        <v>1.40625</v>
      </c>
      <c r="BR133" s="28" t="s">
        <v>155</v>
      </c>
      <c r="BS133" s="8" t="s">
        <v>213</v>
      </c>
      <c r="BT133" s="9" t="s">
        <v>357</v>
      </c>
      <c r="BU133" s="10">
        <v>156</v>
      </c>
      <c r="BV133" s="9" t="s">
        <v>163</v>
      </c>
      <c r="BW133" s="10">
        <v>156</v>
      </c>
      <c r="BX133" s="10">
        <v>155.30000000000001</v>
      </c>
      <c r="BY133" s="10">
        <v>126</v>
      </c>
      <c r="BZ133" s="10">
        <v>134</v>
      </c>
      <c r="CA133" s="10">
        <v>133</v>
      </c>
      <c r="CB133" s="10">
        <v>96</v>
      </c>
      <c r="CC133" s="10">
        <v>120</v>
      </c>
      <c r="CD133" s="10">
        <v>13.6</v>
      </c>
      <c r="CE133" s="10">
        <v>1585</v>
      </c>
      <c r="CF133" s="10">
        <v>1.06</v>
      </c>
      <c r="CG133" s="10">
        <v>1673</v>
      </c>
      <c r="CH133" s="10">
        <v>168</v>
      </c>
      <c r="CI133" s="10">
        <v>95</v>
      </c>
      <c r="CJ133" s="10">
        <v>45</v>
      </c>
      <c r="CK133" s="10">
        <v>211</v>
      </c>
      <c r="CL133" s="10">
        <v>9</v>
      </c>
      <c r="CM133" s="10">
        <v>79</v>
      </c>
      <c r="CN133" s="10">
        <v>0.19700000000000001</v>
      </c>
      <c r="CO133" s="10">
        <v>155</v>
      </c>
      <c r="CP133" s="10">
        <v>55</v>
      </c>
      <c r="CQ133" s="10">
        <v>55</v>
      </c>
      <c r="CR133" s="10">
        <v>4</v>
      </c>
      <c r="CS133" s="10">
        <v>12.7</v>
      </c>
      <c r="CT133" s="9" t="s">
        <v>188</v>
      </c>
      <c r="CU133" s="9" t="s">
        <v>185</v>
      </c>
      <c r="CV133" s="10"/>
      <c r="CW133" s="10"/>
      <c r="CX133" t="e">
        <f>INDEX('Data_Price '!AG$2:AG$1266,MATCH(Data!$DN133,'Data_Price '!$AT$2:$AT$1266,0))</f>
        <v>#N/A</v>
      </c>
      <c r="CY133" t="e">
        <f>INDEX('Data_Price '!AH$2:AH$1266,MATCH(Data!$DN133,'Data_Price '!$AT$2:$AT$1266,0))</f>
        <v>#N/A</v>
      </c>
      <c r="CZ133" t="e">
        <f>INDEX('Data_Price '!AI$2:AI$1266,MATCH(Data!$DN133,'Data_Price '!$AT$2:$AT$1266,0))</f>
        <v>#N/A</v>
      </c>
      <c r="DA133" t="e">
        <f>INDEX('Data_Price '!AJ$2:AJ$1266,MATCH(Data!$DN133,'Data_Price '!$AT$2:$AT$1266,0))</f>
        <v>#N/A</v>
      </c>
      <c r="DB133" t="e">
        <f>INDEX('Data_Price '!AK$2:AK$1266,MATCH(Data!$DN133,'Data_Price '!$AT$2:$AT$1266,0))</f>
        <v>#N/A</v>
      </c>
      <c r="DC133" t="e">
        <f>INDEX('Data_Price '!AL$2:AL$1266,MATCH(Data!$DN133,'Data_Price '!$AT$2:$AT$1266,0))</f>
        <v>#N/A</v>
      </c>
      <c r="DD133" t="e">
        <f>INDEX('Data_Price '!AM$2:AM$1266,MATCH(Data!$DN133,'Data_Price '!$AT$2:$AT$1266,0))</f>
        <v>#N/A</v>
      </c>
      <c r="DE133" t="e">
        <f>INDEX('Data_Price '!AN$2:AN$1266,MATCH(Data!$DN133,'Data_Price '!$AT$2:$AT$1266,0))</f>
        <v>#N/A</v>
      </c>
      <c r="DF133" t="e">
        <f>INDEX('Data_Price '!AO$2:AO$1266,MATCH(Data!$DN133,'Data_Price '!$AT$2:$AT$1266,0))</f>
        <v>#N/A</v>
      </c>
      <c r="DG133" t="e">
        <f>INDEX('Data_Price '!AP$2:AP$1266,MATCH(Data!$DN133,'Data_Price '!$AT$2:$AT$1266,0))</f>
        <v>#N/A</v>
      </c>
      <c r="DH133" t="e">
        <f>INDEX('Data_Price '!AQ$2:AQ$1266,MATCH(Data!$DN133,'Data_Price '!$AT$2:$AT$1266,0))</f>
        <v>#N/A</v>
      </c>
      <c r="DI133" t="e">
        <f>INDEX('Data_Price '!AR$2:AR$1266,MATCH(Data!$DN133,'Data_Price '!$AT$2:$AT$1266,0))</f>
        <v>#N/A</v>
      </c>
      <c r="DJ133" s="89" t="e">
        <f t="shared" si="69"/>
        <v>#N/A</v>
      </c>
      <c r="DK133" s="89" t="e">
        <f t="shared" si="70"/>
        <v>#N/A</v>
      </c>
      <c r="DL133" s="89" t="e">
        <f t="shared" si="71"/>
        <v>#N/A</v>
      </c>
      <c r="DM133" s="219" t="str">
        <f t="shared" si="72"/>
        <v>Nela 96</v>
      </c>
      <c r="DN133" s="89" t="str">
        <f t="shared" si="73"/>
        <v xml:space="preserve"> StöckliNela 96156 Women's</v>
      </c>
      <c r="DO133" s="221" t="s">
        <v>358</v>
      </c>
    </row>
    <row r="134" spans="2:119" ht="15.6" customHeight="1">
      <c r="B134" s="219" t="b">
        <f t="array" ref="B134">IF(OR(ISERROR(K134:P134)),FALSE,TRUE)</f>
        <v>1</v>
      </c>
      <c r="C134" s="43" t="b">
        <f>OR(BR134=Driver!$G$50,Data!BR675=Driver!$H$50)</f>
        <v>1</v>
      </c>
      <c r="D134" s="43" t="b">
        <f>OR(BV134=Driver!$G$51,BV134=Driver!$H$51)</f>
        <v>1</v>
      </c>
      <c r="E134" s="43" t="b">
        <f>AND(BX134&gt;Driver!$F$54,BX134&lt;Driver!$G$54)</f>
        <v>0</v>
      </c>
      <c r="F134" s="43" t="b">
        <f>CL134&gt;Driver!$F$56</f>
        <v>1</v>
      </c>
      <c r="G134" s="43" t="b">
        <f>AND(CB134&gt;Driver!$F$55,CB134&lt;Driver!$G$55)</f>
        <v>1</v>
      </c>
      <c r="H134" s="43" t="b">
        <f t="shared" si="37"/>
        <v>0</v>
      </c>
      <c r="I134" s="43">
        <f t="shared" si="38"/>
        <v>0</v>
      </c>
      <c r="J134" s="43" t="b">
        <f t="array" ref="J134">NOT(OR(($H$9:$H$1273=TRUE)*($I$9:$I$1273&gt;0)*($BT$9:$BT$1273=BT134)*($K$9:$K$1273&gt;K134)))</f>
        <v>1</v>
      </c>
      <c r="K134" s="72">
        <f t="shared" si="39"/>
        <v>0.87495123144331211</v>
      </c>
      <c r="L134" s="72">
        <f t="shared" si="40"/>
        <v>0.92628451281988511</v>
      </c>
      <c r="M134" s="72">
        <f t="shared" si="41"/>
        <v>0.82361795006673899</v>
      </c>
      <c r="N134" s="72">
        <f t="shared" si="42"/>
        <v>0.78150816464901895</v>
      </c>
      <c r="O134" s="72">
        <f t="shared" si="43"/>
        <v>0.69642457195808127</v>
      </c>
      <c r="P134" s="72">
        <f t="shared" si="44"/>
        <v>0.99292111359311663</v>
      </c>
      <c r="Q134" s="72"/>
      <c r="R134" s="72"/>
      <c r="S134" s="72">
        <f t="shared" si="45"/>
        <v>0.45726237792506597</v>
      </c>
      <c r="T134" s="72">
        <f t="shared" si="46"/>
        <v>0.4754757568006116</v>
      </c>
      <c r="U134" s="72">
        <f t="shared" si="47"/>
        <v>0.59292950107186027</v>
      </c>
      <c r="V134" s="72">
        <f t="shared" si="48"/>
        <v>0.54371294820346716</v>
      </c>
      <c r="W134" s="72">
        <f t="shared" si="49"/>
        <v>0.80653492402026128</v>
      </c>
      <c r="X134" s="72">
        <f t="shared" si="50"/>
        <v>7.3715487180114836E-2</v>
      </c>
      <c r="Y134" s="72">
        <f t="shared" si="51"/>
        <v>0.17638204993326104</v>
      </c>
      <c r="Z134" s="72">
        <f t="shared" si="52"/>
        <v>0.21849183535098105</v>
      </c>
      <c r="AA134" s="72">
        <f t="shared" si="53"/>
        <v>0.30357542804191878</v>
      </c>
      <c r="AB134" s="72">
        <f t="shared" si="54"/>
        <v>7.0788864068834223E-3</v>
      </c>
      <c r="AC134" s="72"/>
      <c r="AD134" s="72"/>
      <c r="AE134" s="72">
        <f t="shared" si="55"/>
        <v>0.54273762207493403</v>
      </c>
      <c r="AF134" s="72">
        <f t="shared" si="56"/>
        <v>0.5245242431993884</v>
      </c>
      <c r="AG134" s="72">
        <f t="shared" si="57"/>
        <v>0.40707049892813979</v>
      </c>
      <c r="AH134" s="72">
        <f t="shared" si="58"/>
        <v>0.45628705179653284</v>
      </c>
      <c r="AI134" s="72">
        <f t="shared" si="59"/>
        <v>0.19346507597973875</v>
      </c>
      <c r="AJ134" s="72">
        <f>(AV134-Driver!$K$179)/(Driver!$L$179-Driver!$K$179)</f>
        <v>0.32793489646281526</v>
      </c>
      <c r="AK134" s="72">
        <f>(AW134-Driver!$K$180)/(Driver!$L$180-Driver!$K$180)</f>
        <v>0.25354276610000598</v>
      </c>
      <c r="AL134" s="72">
        <f>(AX134-Driver!$K$181)/(Driver!$L$181-Driver!$K$181)</f>
        <v>0.32017959906406124</v>
      </c>
      <c r="AM134" s="72">
        <f>(AY134-Driver!$K$182)/(Driver!$L$182-Driver!$K$182)</f>
        <v>0.14380959305512758</v>
      </c>
      <c r="AN134" s="72">
        <f>(AZ134-Driver!$K$183)/(Driver!$L$183-Driver!$K$183)</f>
        <v>0.247140522875817</v>
      </c>
      <c r="AO134" s="72"/>
      <c r="AP134" s="72"/>
      <c r="AQ134" s="72">
        <f>(BC134-Driver!$K$188)/(Driver!$L$188-Driver!$K$188)</f>
        <v>7.7262377925065934E-2</v>
      </c>
      <c r="AR134" s="72">
        <f>MIN((BD134-Driver!$K$189)/(Driver!$L$189-Driver!$K$189),100%)</f>
        <v>2.5475756800611676E-2</v>
      </c>
      <c r="AS134" s="72">
        <f>(BE134-Driver!$K$190)/(Driver!$L$190-Driver!$K$190)</f>
        <v>0.10292950107186022</v>
      </c>
      <c r="AT134" s="72">
        <f>(BF134-Driver!$K$191)/(Driver!$L$191-Driver!$K$191)</f>
        <v>5.3712948203467149E-2</v>
      </c>
      <c r="AU134" s="72">
        <f>(BG134-Driver!$K$192)/(Driver!$L$192-Driver!$K$192)</f>
        <v>5.6534924020261258E-2</v>
      </c>
      <c r="AV134" s="70">
        <f t="shared" si="60"/>
        <v>6.9020485687152364</v>
      </c>
      <c r="AW134" s="70">
        <f t="shared" si="61"/>
        <v>26.581881795356239</v>
      </c>
      <c r="AX134" s="70">
        <f t="shared" si="62"/>
        <v>3.8816163915765509</v>
      </c>
      <c r="AY134" s="70">
        <f>IFERROR(Driver!$K$19/Data!BH134/Data!BI134*Data!BK134*Data!BL134,"")</f>
        <v>0.17606585054066787</v>
      </c>
      <c r="AZ134" s="70">
        <f t="shared" si="63"/>
        <v>22.524199553239018</v>
      </c>
      <c r="BA134" s="70"/>
      <c r="BB134" s="70"/>
      <c r="BC134" s="70">
        <f t="shared" si="64"/>
        <v>40.076532549069036</v>
      </c>
      <c r="BD134" s="70">
        <f t="shared" si="65"/>
        <v>3.9753822205819054</v>
      </c>
      <c r="BE134" s="70">
        <f t="shared" si="66"/>
        <v>0.10308952835191044</v>
      </c>
      <c r="BF134" s="70">
        <f t="shared" si="67"/>
        <v>6.0665001447636913</v>
      </c>
      <c r="BG134" s="70">
        <f t="shared" si="68"/>
        <v>0.21407728772327378</v>
      </c>
      <c r="BH134" s="67">
        <f>MAX((CE134-Driver!$F$200)/(Driver!$G$200-Driver!$F$200)*$BI$1,1)</f>
        <v>3.8816163915765509</v>
      </c>
      <c r="BI134" s="67">
        <f>MAX($BI$1*(BY134-Driver!$F$201)/(Driver!$G$201-Driver!$F$201),1)</f>
        <v>6.962025316455696</v>
      </c>
      <c r="BJ134" s="67">
        <f>(CB134-Driver!$F$206)/(Driver!$G$206-Driver!$F$206)*$BI$1</f>
        <v>5.8730158730158735</v>
      </c>
      <c r="BK134" s="67">
        <f>(CD134-Driver!$F$203)/(Driver!$G$203-Driver!$F$203)*$BI$1</f>
        <v>4.3119266055045884</v>
      </c>
      <c r="BL134" s="67">
        <f>MAX((CR134-Driver!$F$202)/(Driver!$G$202-Driver!$F$202)*$BI$1,1)</f>
        <v>5.5172413793103452</v>
      </c>
      <c r="BM134" s="67">
        <f>MAX((CH134-Driver!$F$204)/(Driver!$G$204-Driver!$F$204)*$BI$1,1)</f>
        <v>4.700854700854701</v>
      </c>
      <c r="BN134" s="67">
        <f>(CI134-Driver!$F$205)/(Driver!$G$205-Driver!$F$205)*$BI$1</f>
        <v>3.2352941176470589</v>
      </c>
      <c r="BO134" s="67">
        <f>(CK134-Driver!$F$207)/(Driver!$G$207-Driver!$F$207)*$BI$1</f>
        <v>2.264736297828335</v>
      </c>
      <c r="BP134" s="67">
        <f>(CM134-Driver!$F$208)/(Driver!$G$208-Driver!$F$208)*$BI$1</f>
        <v>1.9666666666666666</v>
      </c>
      <c r="BQ134" s="67">
        <f>(CL134-Driver!$F$209)/(Driver!$G$209-Driver!$F$209)*$BI$1</f>
        <v>3.90625</v>
      </c>
      <c r="BR134" s="28" t="s">
        <v>155</v>
      </c>
      <c r="BS134" s="8" t="s">
        <v>295</v>
      </c>
      <c r="BT134" s="9" t="s">
        <v>359</v>
      </c>
      <c r="BU134" s="10">
        <v>171</v>
      </c>
      <c r="BV134" s="9" t="s">
        <v>158</v>
      </c>
      <c r="BW134" s="10">
        <v>171</v>
      </c>
      <c r="BX134" s="10">
        <v>168.6</v>
      </c>
      <c r="BY134" s="10">
        <v>118</v>
      </c>
      <c r="BZ134" s="10">
        <v>134</v>
      </c>
      <c r="CA134" s="10">
        <v>132</v>
      </c>
      <c r="CB134" s="10">
        <v>101</v>
      </c>
      <c r="CC134" s="10">
        <v>116</v>
      </c>
      <c r="CD134" s="10">
        <v>18.8</v>
      </c>
      <c r="CE134" s="10">
        <v>1582</v>
      </c>
      <c r="CF134" s="10">
        <v>1.17</v>
      </c>
      <c r="CG134" s="10">
        <v>1854</v>
      </c>
      <c r="CH134" s="10">
        <v>211</v>
      </c>
      <c r="CI134" s="10">
        <v>88</v>
      </c>
      <c r="CJ134" s="10">
        <v>64</v>
      </c>
      <c r="CK134" s="10">
        <v>329</v>
      </c>
      <c r="CL134" s="10">
        <v>25</v>
      </c>
      <c r="CM134" s="10">
        <v>177</v>
      </c>
      <c r="CN134" s="10">
        <v>0.39500000000000002</v>
      </c>
      <c r="CO134" s="10">
        <v>238</v>
      </c>
      <c r="CP134" s="10">
        <v>105</v>
      </c>
      <c r="CQ134" s="10">
        <v>91</v>
      </c>
      <c r="CR134" s="10">
        <v>5</v>
      </c>
      <c r="CS134" s="10">
        <v>9.5</v>
      </c>
      <c r="CT134" s="9" t="s">
        <v>188</v>
      </c>
      <c r="CU134" s="9" t="s">
        <v>169</v>
      </c>
      <c r="CV134" s="9" t="s">
        <v>178</v>
      </c>
      <c r="CW134" s="9" t="s">
        <v>185</v>
      </c>
      <c r="CX134" t="str">
        <f>INDEX('Data_Price '!AG$2:AG$1266,MATCH(Data!$DN134,'Data_Price '!$AT$2:$AT$1266,0))</f>
        <v>Icelantic NATURAL 101 21/22</v>
      </c>
      <c r="CY134" t="str">
        <f>INDEX('Data_Price '!AH$2:AH$1266,MATCH(Data!$DN134,'Data_Price '!$AT$2:$AT$1266,0))</f>
        <v>H2Osport.se</v>
      </c>
      <c r="CZ134">
        <f>INDEX('Data_Price '!AI$2:AI$1266,MATCH(Data!$DN134,'Data_Price '!$AT$2:$AT$1266,0))</f>
        <v>531.20000000000005</v>
      </c>
      <c r="DA134" t="str">
        <f>INDEX('Data_Price '!AJ$2:AJ$1266,MATCH(Data!$DN134,'Data_Price '!$AT$2:$AT$1266,0))</f>
        <v>https://tinyurl.com/ycjmxyrt</v>
      </c>
      <c r="DB134" t="str">
        <f>INDEX('Data_Price '!AK$2:AK$1266,MATCH(Data!$DN134,'Data_Price '!$AT$2:$AT$1266,0))</f>
        <v>Icelantic Natural 101 Skis Â· 2022 Â· 171 cm</v>
      </c>
      <c r="DC134" t="str">
        <f>INDEX('Data_Price '!AL$2:AL$1266,MATCH(Data!$DN134,'Data_Price '!$AT$2:$AT$1266,0))</f>
        <v>Next Adventure</v>
      </c>
      <c r="DD134">
        <f>INDEX('Data_Price '!AM$2:AM$1266,MATCH(Data!$DN134,'Data_Price '!$AT$2:$AT$1266,0))</f>
        <v>584.25</v>
      </c>
      <c r="DE134" t="str">
        <f>INDEX('Data_Price '!AN$2:AN$1266,MATCH(Data!$DN134,'Data_Price '!$AT$2:$AT$1266,0))</f>
        <v>https://tinyurl.com/ybqv6xaq</v>
      </c>
      <c r="DF134" t="str">
        <f>INDEX('Data_Price '!AO$2:AO$1266,MATCH(Data!$DN134,'Data_Price '!$AT$2:$AT$1266,0))</f>
        <v>Icelantic Natural 101 Skis Â· 2022 Â· 171 cm</v>
      </c>
      <c r="DG134" t="str">
        <f>INDEX('Data_Price '!AP$2:AP$1266,MATCH(Data!$DN134,'Data_Price '!$AT$2:$AT$1266,0))</f>
        <v>REI</v>
      </c>
      <c r="DH134">
        <f>INDEX('Data_Price '!AQ$2:AQ$1266,MATCH(Data!$DN134,'Data_Price '!$AT$2:$AT$1266,0))</f>
        <v>598.92999999999995</v>
      </c>
      <c r="DI134" t="str">
        <f>INDEX('Data_Price '!AR$2:AR$1266,MATCH(Data!$DN134,'Data_Price '!$AT$2:$AT$1266,0))</f>
        <v>https://tinyurl.com/ycp7u3r6</v>
      </c>
      <c r="DJ134" s="89" t="str">
        <f t="shared" si="69"/>
        <v>https://tinyurl.com/ycjmxyrt</v>
      </c>
      <c r="DK134" s="89" t="str">
        <f t="shared" si="70"/>
        <v>https://tinyurl.com/ybqv6xaq</v>
      </c>
      <c r="DL134" s="89" t="str">
        <f t="shared" si="71"/>
        <v>https://tinyurl.com/ycp7u3r6</v>
      </c>
      <c r="DM134" s="219" t="str">
        <f t="shared" si="72"/>
        <v>Natural 101</v>
      </c>
      <c r="DN134" s="89" t="str">
        <f t="shared" si="73"/>
        <v xml:space="preserve"> IcelanticNatural 101171 Unisex</v>
      </c>
      <c r="DO134" s="221" t="s">
        <v>360</v>
      </c>
    </row>
    <row r="135" spans="2:119" ht="15.6" customHeight="1">
      <c r="B135" s="219" t="b">
        <f t="array" ref="B135">IF(OR(ISERROR(K135:P135)),FALSE,TRUE)</f>
        <v>1</v>
      </c>
      <c r="C135" s="43" t="b">
        <f>OR(BR135=Driver!$G$50,Data!BR213=Driver!$H$50)</f>
        <v>1</v>
      </c>
      <c r="D135" s="43" t="b">
        <f>OR(BV135=Driver!$G$51,BV135=Driver!$H$51)</f>
        <v>1</v>
      </c>
      <c r="E135" s="43" t="b">
        <f>AND(BX135&gt;Driver!$F$54,BX135&lt;Driver!$G$54)</f>
        <v>0</v>
      </c>
      <c r="F135" s="43" t="b">
        <f>CL135&gt;Driver!$F$56</f>
        <v>1</v>
      </c>
      <c r="G135" s="43" t="b">
        <f>AND(CB135&gt;Driver!$F$55,CB135&lt;Driver!$G$55)</f>
        <v>0</v>
      </c>
      <c r="H135" s="43" t="b">
        <f t="shared" si="37"/>
        <v>0</v>
      </c>
      <c r="I135" s="43">
        <f t="shared" si="38"/>
        <v>0</v>
      </c>
      <c r="J135" s="43" t="b">
        <f t="array" ref="J135">NOT(OR(($H$9:$H$1273=TRUE)*($I$9:$I$1273&gt;0)*($BT$9:$BT$1273=BT135)*($K$9:$K$1273&gt;K135)))</f>
        <v>1</v>
      </c>
      <c r="K135" s="72">
        <f t="shared" si="39"/>
        <v>0.84159443781033438</v>
      </c>
      <c r="L135" s="72">
        <f t="shared" si="40"/>
        <v>0.93450302865261425</v>
      </c>
      <c r="M135" s="72">
        <f t="shared" si="41"/>
        <v>0.7486858469680544</v>
      </c>
      <c r="N135" s="72">
        <f t="shared" si="42"/>
        <v>0.76063925931796228</v>
      </c>
      <c r="O135" s="72">
        <f t="shared" si="43"/>
        <v>0.66583939517931789</v>
      </c>
      <c r="P135" s="72">
        <f t="shared" si="44"/>
        <v>0.81957888640688337</v>
      </c>
      <c r="Q135" s="72"/>
      <c r="R135" s="72"/>
      <c r="S135" s="72">
        <f t="shared" si="45"/>
        <v>0.50475948591368858</v>
      </c>
      <c r="T135" s="72">
        <f t="shared" si="46"/>
        <v>0.52297352101509098</v>
      </c>
      <c r="U135" s="72">
        <f t="shared" si="47"/>
        <v>0.87445569468819295</v>
      </c>
      <c r="V135" s="72">
        <f t="shared" si="48"/>
        <v>0.52183595623957368</v>
      </c>
      <c r="W135" s="72">
        <f t="shared" si="49"/>
        <v>0.77409801136363643</v>
      </c>
      <c r="X135" s="72">
        <f t="shared" si="50"/>
        <v>6.5496971347385746E-2</v>
      </c>
      <c r="Y135" s="72">
        <f t="shared" si="51"/>
        <v>0.25131415303194554</v>
      </c>
      <c r="Z135" s="72">
        <f t="shared" si="52"/>
        <v>0.23936074068203778</v>
      </c>
      <c r="AA135" s="72">
        <f t="shared" si="53"/>
        <v>0.33416060482068211</v>
      </c>
      <c r="AB135" s="72">
        <f t="shared" si="54"/>
        <v>0.18042111359311658</v>
      </c>
      <c r="AC135" s="72"/>
      <c r="AD135" s="72"/>
      <c r="AE135" s="72">
        <f t="shared" si="55"/>
        <v>0.49524051408631137</v>
      </c>
      <c r="AF135" s="72">
        <f t="shared" si="56"/>
        <v>0.47702647898490907</v>
      </c>
      <c r="AG135" s="72">
        <f t="shared" si="57"/>
        <v>0.1255443053118071</v>
      </c>
      <c r="AH135" s="72">
        <f t="shared" si="58"/>
        <v>0.47816404376042632</v>
      </c>
      <c r="AI135" s="72">
        <f t="shared" si="59"/>
        <v>0.22590198863636363</v>
      </c>
      <c r="AJ135" s="72">
        <f>(AV135-Driver!$K$179)/(Driver!$L$179-Driver!$K$179)</f>
        <v>0.31971638063008617</v>
      </c>
      <c r="AK135" s="72">
        <f>(AW135-Driver!$K$180)/(Driver!$L$180-Driver!$K$180)</f>
        <v>0.43042747623675709</v>
      </c>
      <c r="AL135" s="72">
        <f>(AX135-Driver!$K$181)/(Driver!$L$181-Driver!$K$181)</f>
        <v>0.34104850439511797</v>
      </c>
      <c r="AM135" s="72">
        <f>(AY135-Driver!$K$182)/(Driver!$L$182-Driver!$K$182)</f>
        <v>0.11322441627636429</v>
      </c>
      <c r="AN135" s="72">
        <f>(AZ135-Driver!$K$183)/(Driver!$L$183-Driver!$K$183)</f>
        <v>0.434640522875817</v>
      </c>
      <c r="AO135" s="72"/>
      <c r="AP135" s="72"/>
      <c r="AQ135" s="72">
        <f>(BC135-Driver!$K$188)/(Driver!$L$188-Driver!$K$188)</f>
        <v>0.12475948591368864</v>
      </c>
      <c r="AR135" s="72">
        <f>MIN((BD135-Driver!$K$189)/(Driver!$L$189-Driver!$K$189),100%)</f>
        <v>7.297352101509097E-2</v>
      </c>
      <c r="AS135" s="72">
        <f>(BE135-Driver!$K$190)/(Driver!$L$190-Driver!$K$190)</f>
        <v>0.38445569468819291</v>
      </c>
      <c r="AT135" s="72">
        <f>(BF135-Driver!$K$191)/(Driver!$L$191-Driver!$K$191)</f>
        <v>3.1835956239573693E-2</v>
      </c>
      <c r="AU135" s="72">
        <f>(BG135-Driver!$K$192)/(Driver!$L$192-Driver!$K$192)</f>
        <v>2.409801136363636E-2</v>
      </c>
      <c r="AV135" s="70">
        <f t="shared" si="60"/>
        <v>6.7290733957400617</v>
      </c>
      <c r="AW135" s="70">
        <f t="shared" si="61"/>
        <v>43.820864156159281</v>
      </c>
      <c r="AX135" s="70">
        <f t="shared" si="62"/>
        <v>4.0694365395560617</v>
      </c>
      <c r="AY135" s="70">
        <f>IFERROR(Driver!$K$19/Data!BH135/Data!BI135*Data!BK135*Data!BL135,"")</f>
        <v>0.13862046842749151</v>
      </c>
      <c r="AZ135" s="70">
        <f t="shared" si="63"/>
        <v>39.612807148175726</v>
      </c>
      <c r="BA135" s="70"/>
      <c r="BB135" s="70"/>
      <c r="BC135" s="70">
        <f t="shared" si="64"/>
        <v>64.713612657305433</v>
      </c>
      <c r="BD135" s="70">
        <f t="shared" si="65"/>
        <v>8.1788501925052071</v>
      </c>
      <c r="BE135" s="70">
        <f t="shared" si="66"/>
        <v>0.38456550086401425</v>
      </c>
      <c r="BF135" s="70">
        <f t="shared" si="67"/>
        <v>3.5956475970089774</v>
      </c>
      <c r="BG135" s="70">
        <f t="shared" si="68"/>
        <v>9.1250443892045452E-2</v>
      </c>
      <c r="BH135" s="67">
        <f>MAX((CE135-Driver!$F$200)/(Driver!$G$200-Driver!$F$200)*$BI$1,1)</f>
        <v>4.0694365395560617</v>
      </c>
      <c r="BI135" s="67">
        <f>MAX($BI$1*(BY135-Driver!$F$201)/(Driver!$G$201-Driver!$F$201),1)</f>
        <v>8.4177215189873422</v>
      </c>
      <c r="BJ135" s="67">
        <f>(CB135-Driver!$F$206)/(Driver!$G$206-Driver!$F$206)*$BI$1</f>
        <v>4.92063492063492</v>
      </c>
      <c r="BK135" s="67">
        <f>(CD135-Driver!$F$203)/(Driver!$G$203-Driver!$F$203)*$BI$1</f>
        <v>3.623853211009175</v>
      </c>
      <c r="BL135" s="67">
        <f>MAX((CR135-Driver!$F$202)/(Driver!$G$202-Driver!$F$202)*$BI$1,1)</f>
        <v>6.5517241379310338</v>
      </c>
      <c r="BM135" s="67">
        <f>MAX((CH135-Driver!$F$204)/(Driver!$G$204-Driver!$F$204)*$BI$1,1)</f>
        <v>5.4700854700854702</v>
      </c>
      <c r="BN135" s="67">
        <f>(CI135-Driver!$F$205)/(Driver!$G$205-Driver!$F$205)*$BI$1</f>
        <v>4.7058823529411766</v>
      </c>
      <c r="BO135" s="67">
        <f>(CK135-Driver!$F$207)/(Driver!$G$207-Driver!$F$207)*$BI$1</f>
        <v>1.4270941054808686</v>
      </c>
      <c r="BP135" s="67">
        <f>(CM135-Driver!$F$208)/(Driver!$G$208-Driver!$F$208)*$BI$1</f>
        <v>1.8555555555555556</v>
      </c>
      <c r="BQ135" s="67">
        <f>(CL135-Driver!$F$209)/(Driver!$G$209-Driver!$F$209)*$BI$1</f>
        <v>2.03125</v>
      </c>
      <c r="BR135" s="28" t="s">
        <v>155</v>
      </c>
      <c r="BS135" s="8" t="s">
        <v>237</v>
      </c>
      <c r="BT135" s="9" t="s">
        <v>361</v>
      </c>
      <c r="BU135" s="10">
        <v>183.3</v>
      </c>
      <c r="BV135" s="9" t="s">
        <v>158</v>
      </c>
      <c r="BW135" s="10">
        <v>183.3</v>
      </c>
      <c r="BX135" s="10">
        <v>182.3</v>
      </c>
      <c r="BY135" s="10">
        <v>141</v>
      </c>
      <c r="BZ135" s="10">
        <v>150</v>
      </c>
      <c r="CA135" s="10">
        <v>136</v>
      </c>
      <c r="CB135" s="10">
        <v>95</v>
      </c>
      <c r="CC135" s="10">
        <v>116</v>
      </c>
      <c r="CD135" s="10">
        <v>17.3</v>
      </c>
      <c r="CE135" s="10">
        <v>1615</v>
      </c>
      <c r="CF135" s="10">
        <v>1.22</v>
      </c>
      <c r="CG135" s="10">
        <v>1966</v>
      </c>
      <c r="CH135" s="10">
        <v>229</v>
      </c>
      <c r="CI135" s="10">
        <v>113</v>
      </c>
      <c r="CJ135" s="10">
        <v>43</v>
      </c>
      <c r="CK135" s="10">
        <v>248</v>
      </c>
      <c r="CL135" s="10">
        <v>13</v>
      </c>
      <c r="CM135" s="10">
        <v>167</v>
      </c>
      <c r="CN135" s="10">
        <v>0.312</v>
      </c>
      <c r="CO135" s="10">
        <v>179</v>
      </c>
      <c r="CP135" s="10">
        <v>142</v>
      </c>
      <c r="CQ135" s="10">
        <v>69</v>
      </c>
      <c r="CR135" s="10">
        <v>8</v>
      </c>
      <c r="CS135" s="10">
        <v>9</v>
      </c>
      <c r="CT135" s="9" t="s">
        <v>188</v>
      </c>
      <c r="CU135" s="9" t="s">
        <v>185</v>
      </c>
      <c r="CV135" s="10"/>
      <c r="CW135" s="10"/>
      <c r="CX135" t="str">
        <f>INDEX('Data_Price '!AG$2:AG$1266,MATCH(Data!$DN135,'Data_Price '!$AT$2:$AT$1266,0))</f>
        <v>Black Crows Camox Freebird Skis 183cm</v>
      </c>
      <c r="CY135" t="str">
        <f>INDEX('Data_Price '!AH$2:AH$1266,MATCH(Data!$DN135,'Data_Price '!$AT$2:$AT$1266,0))</f>
        <v>Ascent Outdoors</v>
      </c>
      <c r="CZ135">
        <f>INDEX('Data_Price '!AI$2:AI$1266,MATCH(Data!$DN135,'Data_Price '!$AT$2:$AT$1266,0))</f>
        <v>514.99</v>
      </c>
      <c r="DA135" t="str">
        <f>INDEX('Data_Price '!AJ$2:AJ$1266,MATCH(Data!$DN135,'Data_Price '!$AT$2:$AT$1266,0))</f>
        <v>https://tinyurl.com/y8f2do3d</v>
      </c>
      <c r="DB135" t="str">
        <f>INDEX('Data_Price '!AK$2:AK$1266,MATCH(Data!$DN135,'Data_Price '!$AT$2:$AT$1266,0))</f>
        <v>Black Crows Camox Freebird Skis 183cm</v>
      </c>
      <c r="DC135" t="str">
        <f>INDEX('Data_Price '!AL$2:AL$1266,MATCH(Data!$DN135,'Data_Price '!$AT$2:$AT$1266,0))</f>
        <v>Backcountry.com</v>
      </c>
      <c r="DD135">
        <f>INDEX('Data_Price '!AM$2:AM$1266,MATCH(Data!$DN135,'Data_Price '!$AT$2:$AT$1266,0))</f>
        <v>591.96</v>
      </c>
      <c r="DE135" t="str">
        <f>INDEX('Data_Price '!AN$2:AN$1266,MATCH(Data!$DN135,'Data_Price '!$AT$2:$AT$1266,0))</f>
        <v>https://tinyurl.com/ya5lryyd</v>
      </c>
      <c r="DF135" t="str">
        <f>INDEX('Data_Price '!AO$2:AO$1266,MATCH(Data!$DN135,'Data_Price '!$AT$2:$AT$1266,0))</f>
        <v>Black Crows Camox Freebird Skis 183cm</v>
      </c>
      <c r="DG135" t="str">
        <f>INDEX('Data_Price '!AP$2:AP$1266,MATCH(Data!$DN135,'Data_Price '!$AT$2:$AT$1266,0))</f>
        <v>evo.com</v>
      </c>
      <c r="DH135">
        <f>INDEX('Data_Price '!AQ$2:AQ$1266,MATCH(Data!$DN135,'Data_Price '!$AT$2:$AT$1266,0))</f>
        <v>591.96</v>
      </c>
      <c r="DI135" t="str">
        <f>INDEX('Data_Price '!AR$2:AR$1266,MATCH(Data!$DN135,'Data_Price '!$AT$2:$AT$1266,0))</f>
        <v>https://tinyurl.com/yanlwp6p</v>
      </c>
      <c r="DJ135" s="89" t="str">
        <f t="shared" si="69"/>
        <v>https://tinyurl.com/y8f2do3d</v>
      </c>
      <c r="DK135" s="89" t="str">
        <f t="shared" si="70"/>
        <v>https://tinyurl.com/ya5lryyd</v>
      </c>
      <c r="DL135" s="89" t="str">
        <f t="shared" si="71"/>
        <v>https://tinyurl.com/yanlwp6p</v>
      </c>
      <c r="DM135" s="219" t="str">
        <f t="shared" si="72"/>
        <v>Camox Freebird</v>
      </c>
      <c r="DN135" s="89" t="str">
        <f t="shared" si="73"/>
        <v xml:space="preserve"> Black CrowsCamox Freebird183.3 Unisex</v>
      </c>
      <c r="DO135" s="221" t="s">
        <v>362</v>
      </c>
    </row>
    <row r="136" spans="2:119" ht="15.6" customHeight="1">
      <c r="B136" s="219" t="b">
        <f t="array" ref="B136">IF(OR(ISERROR(K136:P136)),FALSE,TRUE)</f>
        <v>1</v>
      </c>
      <c r="C136" s="43" t="b">
        <f>OR(BR136=Driver!$G$50,Data!BR244=Driver!$H$50)</f>
        <v>1</v>
      </c>
      <c r="D136" s="43" t="b">
        <f>OR(BV136=Driver!$G$51,BV136=Driver!$H$51)</f>
        <v>1</v>
      </c>
      <c r="E136" s="43" t="b">
        <f>AND(BX136&gt;Driver!$F$54,BX136&lt;Driver!$G$54)</f>
        <v>0</v>
      </c>
      <c r="F136" s="43" t="b">
        <f>CL136&gt;Driver!$F$56</f>
        <v>1</v>
      </c>
      <c r="G136" s="43" t="b">
        <f>AND(CB136&gt;Driver!$F$55,CB136&lt;Driver!$G$55)</f>
        <v>0</v>
      </c>
      <c r="H136" s="43" t="b">
        <f t="shared" si="37"/>
        <v>0</v>
      </c>
      <c r="I136" s="43">
        <f t="shared" si="38"/>
        <v>0</v>
      </c>
      <c r="J136" s="43" t="b">
        <f t="array" ref="J136">NOT(OR(($H$9:$H$1273=TRUE)*($I$9:$I$1273&gt;0)*($BT$9:$BT$1273=BT136)*($K$9:$K$1273&gt;K136)))</f>
        <v>1</v>
      </c>
      <c r="K136" s="72">
        <f t="shared" si="39"/>
        <v>0.8639033194051593</v>
      </c>
      <c r="L136" s="72">
        <f t="shared" si="40"/>
        <v>0.98349182891044995</v>
      </c>
      <c r="M136" s="72">
        <f t="shared" si="41"/>
        <v>0.74431480989986853</v>
      </c>
      <c r="N136" s="72">
        <f t="shared" si="42"/>
        <v>0.62593996127205065</v>
      </c>
      <c r="O136" s="72">
        <f t="shared" si="43"/>
        <v>0.65343865391609635</v>
      </c>
      <c r="P136" s="72">
        <f t="shared" si="44"/>
        <v>0.95356581451145861</v>
      </c>
      <c r="Q136" s="72"/>
      <c r="R136" s="72"/>
      <c r="S136" s="72">
        <f t="shared" si="45"/>
        <v>0.49494352268369912</v>
      </c>
      <c r="T136" s="72">
        <f t="shared" si="46"/>
        <v>0.50820489825123738</v>
      </c>
      <c r="U136" s="72">
        <f t="shared" si="47"/>
        <v>0.62589258432801431</v>
      </c>
      <c r="V136" s="72">
        <f t="shared" si="48"/>
        <v>0.54055667101291593</v>
      </c>
      <c r="W136" s="72">
        <f t="shared" si="49"/>
        <v>0.76675781249999997</v>
      </c>
      <c r="X136" s="72">
        <f t="shared" si="50"/>
        <v>1.6508171089549994E-2</v>
      </c>
      <c r="Y136" s="72">
        <f t="shared" si="51"/>
        <v>0.25568519010013147</v>
      </c>
      <c r="Z136" s="72">
        <f t="shared" si="52"/>
        <v>0.37406003872794941</v>
      </c>
      <c r="AA136" s="72">
        <f t="shared" si="53"/>
        <v>0.3465613460839036</v>
      </c>
      <c r="AB136" s="72">
        <f t="shared" si="54"/>
        <v>4.6434185488541391E-2</v>
      </c>
      <c r="AC136" s="72"/>
      <c r="AD136" s="72"/>
      <c r="AE136" s="72">
        <f t="shared" si="55"/>
        <v>0.50505647731630088</v>
      </c>
      <c r="AF136" s="72">
        <f t="shared" si="56"/>
        <v>0.49179510174876262</v>
      </c>
      <c r="AG136" s="72">
        <f t="shared" si="57"/>
        <v>0.37410741567198569</v>
      </c>
      <c r="AH136" s="72">
        <f t="shared" si="58"/>
        <v>0.45944332898708407</v>
      </c>
      <c r="AI136" s="72">
        <f t="shared" si="59"/>
        <v>0.2332421875</v>
      </c>
      <c r="AJ136" s="72">
        <f>(AV136-Driver!$K$179)/(Driver!$L$179-Driver!$K$179)</f>
        <v>0.27072758037225042</v>
      </c>
      <c r="AK136" s="72">
        <f>(AW136-Driver!$K$180)/(Driver!$L$180-Driver!$K$180)</f>
        <v>0.31741204297320935</v>
      </c>
      <c r="AL136" s="72">
        <f>(AX136-Driver!$K$181)/(Driver!$L$181-Driver!$K$181)</f>
        <v>0.4757478024410296</v>
      </c>
      <c r="AM136" s="72">
        <f>(AY136-Driver!$K$182)/(Driver!$L$182-Driver!$K$182)</f>
        <v>0.10082367501314277</v>
      </c>
      <c r="AN136" s="72">
        <f>(AZ136-Driver!$K$183)/(Driver!$L$183-Driver!$K$183)</f>
        <v>0.30065359477124182</v>
      </c>
      <c r="AO136" s="72"/>
      <c r="AP136" s="72"/>
      <c r="AQ136" s="72">
        <f>(BC136-Driver!$K$188)/(Driver!$L$188-Driver!$K$188)</f>
        <v>0.11494352268369913</v>
      </c>
      <c r="AR136" s="72">
        <f>MIN((BD136-Driver!$K$189)/(Driver!$L$189-Driver!$K$189),100%)</f>
        <v>5.8204898251237439E-2</v>
      </c>
      <c r="AS136" s="72">
        <f>(BE136-Driver!$K$190)/(Driver!$L$190-Driver!$K$190)</f>
        <v>0.13589258432801432</v>
      </c>
      <c r="AT136" s="72">
        <f>(BF136-Driver!$K$191)/(Driver!$L$191-Driver!$K$191)</f>
        <v>5.0556671012915957E-2</v>
      </c>
      <c r="AU136" s="72">
        <f>(BG136-Driver!$K$192)/(Driver!$L$192-Driver!$K$192)</f>
        <v>1.6757812499999997E-2</v>
      </c>
      <c r="AV136" s="70">
        <f t="shared" si="60"/>
        <v>5.6980056980056979</v>
      </c>
      <c r="AW136" s="70">
        <f t="shared" si="61"/>
        <v>32.806508766015114</v>
      </c>
      <c r="AX136" s="70">
        <f t="shared" si="62"/>
        <v>5.2817302219692666</v>
      </c>
      <c r="AY136" s="70">
        <f>IFERROR(Driver!$K$19/Data!BH136/Data!BI136*Data!BK136*Data!BL136,"")</f>
        <v>0.12343826109722743</v>
      </c>
      <c r="AZ136" s="70">
        <f t="shared" si="63"/>
        <v>27.40134028294862</v>
      </c>
      <c r="BA136" s="70"/>
      <c r="BB136" s="70"/>
      <c r="BC136" s="70">
        <f t="shared" si="64"/>
        <v>59.622004290440586</v>
      </c>
      <c r="BD136" s="70">
        <f t="shared" si="65"/>
        <v>6.8718532463552382</v>
      </c>
      <c r="BE136" s="70">
        <f t="shared" si="66"/>
        <v>0.13604673136502696</v>
      </c>
      <c r="BF136" s="70">
        <f t="shared" si="67"/>
        <v>5.7100208101931642</v>
      </c>
      <c r="BG136" s="70">
        <f t="shared" si="68"/>
        <v>6.3455768453663783E-2</v>
      </c>
      <c r="BH136" s="67">
        <f>MAX((CE136-Driver!$F$200)/(Driver!$G$200-Driver!$F$200)*$BI$1,1)</f>
        <v>5.2817302219692666</v>
      </c>
      <c r="BI136" s="67">
        <f>MAX($BI$1*(BY136-Driver!$F$201)/(Driver!$G$201-Driver!$F$201),1)</f>
        <v>7.2784810126582276</v>
      </c>
      <c r="BJ136" s="67">
        <f>(CB136-Driver!$F$206)/(Driver!$G$206-Driver!$F$206)*$BI$1</f>
        <v>4.4444444444444446</v>
      </c>
      <c r="BK136" s="67">
        <f>(CD136-Driver!$F$203)/(Driver!$G$203-Driver!$F$203)*$BI$1</f>
        <v>4.5871559633027523</v>
      </c>
      <c r="BL136" s="67">
        <f>MAX((CR136-Driver!$F$202)/(Driver!$G$202-Driver!$F$202)*$BI$1,1)</f>
        <v>5.1724137931034484</v>
      </c>
      <c r="BM136" s="67">
        <f>MAX((CH136-Driver!$F$204)/(Driver!$G$204-Driver!$F$204)*$BI$1,1)</f>
        <v>5.1282051282051277</v>
      </c>
      <c r="BN136" s="67">
        <f>(CI136-Driver!$F$205)/(Driver!$G$205-Driver!$F$205)*$BI$1</f>
        <v>3.7647058823529411</v>
      </c>
      <c r="BO136" s="67">
        <f>(CK136-Driver!$F$207)/(Driver!$G$207-Driver!$F$207)*$BI$1</f>
        <v>2.3061013443640124</v>
      </c>
      <c r="BP136" s="67">
        <f>(CM136-Driver!$F$208)/(Driver!$G$208-Driver!$F$208)*$BI$1</f>
        <v>2.5555555555555554</v>
      </c>
      <c r="BQ136" s="67">
        <f>(CL136-Driver!$F$209)/(Driver!$G$209-Driver!$F$209)*$BI$1</f>
        <v>1.71875</v>
      </c>
      <c r="BR136" s="28" t="s">
        <v>155</v>
      </c>
      <c r="BS136" s="8" t="s">
        <v>237</v>
      </c>
      <c r="BT136" s="9" t="s">
        <v>363</v>
      </c>
      <c r="BU136" s="10">
        <v>180.1</v>
      </c>
      <c r="BV136" s="9" t="s">
        <v>158</v>
      </c>
      <c r="BW136" s="10">
        <v>180.1</v>
      </c>
      <c r="BX136" s="10">
        <v>179.2</v>
      </c>
      <c r="BY136" s="10">
        <v>123</v>
      </c>
      <c r="BZ136" s="10">
        <v>157</v>
      </c>
      <c r="CA136" s="10">
        <v>131</v>
      </c>
      <c r="CB136" s="10">
        <v>92</v>
      </c>
      <c r="CC136" s="10">
        <v>114</v>
      </c>
      <c r="CD136" s="10">
        <v>19.399999999999999</v>
      </c>
      <c r="CE136" s="10">
        <v>1828</v>
      </c>
      <c r="CF136" s="10">
        <v>1.01</v>
      </c>
      <c r="CG136" s="10">
        <v>1855</v>
      </c>
      <c r="CH136" s="10">
        <v>221</v>
      </c>
      <c r="CI136" s="10">
        <v>97</v>
      </c>
      <c r="CJ136" s="10">
        <v>54</v>
      </c>
      <c r="CK136" s="10">
        <v>333</v>
      </c>
      <c r="CL136" s="10">
        <v>11</v>
      </c>
      <c r="CM136" s="10">
        <v>230</v>
      </c>
      <c r="CN136" s="10">
        <v>0.19800000000000001</v>
      </c>
      <c r="CO136" s="10">
        <v>111</v>
      </c>
      <c r="CP136" s="10">
        <v>109</v>
      </c>
      <c r="CQ136" s="10">
        <v>222</v>
      </c>
      <c r="CR136" s="10">
        <v>4</v>
      </c>
      <c r="CS136" s="10">
        <v>8.1999999999999993</v>
      </c>
      <c r="CT136" s="9" t="s">
        <v>188</v>
      </c>
      <c r="CU136" s="10"/>
      <c r="CV136" s="10"/>
      <c r="CW136" s="10"/>
      <c r="CX136" t="str">
        <f>INDEX('Data_Price '!AG$2:AG$1266,MATCH(Data!$DN136,'Data_Price '!$AT$2:$AT$1266,0))</f>
        <v>Black Crows Serpo Skis 2022</v>
      </c>
      <c r="CY136" t="str">
        <f>INDEX('Data_Price '!AH$2:AH$1266,MATCH(Data!$DN136,'Data_Price '!$AT$2:$AT$1266,0))</f>
        <v>Teton Wasatch Ski Co.</v>
      </c>
      <c r="CZ136">
        <f>INDEX('Data_Price '!AI$2:AI$1266,MATCH(Data!$DN136,'Data_Price '!$AT$2:$AT$1266,0))</f>
        <v>671</v>
      </c>
      <c r="DA136" t="str">
        <f>INDEX('Data_Price '!AJ$2:AJ$1266,MATCH(Data!$DN136,'Data_Price '!$AT$2:$AT$1266,0))</f>
        <v>https://tinyurl.com/y8sybvt2</v>
      </c>
      <c r="DB136" t="str">
        <f>INDEX('Data_Price '!AK$2:AK$1266,MATCH(Data!$DN136,'Data_Price '!$AT$2:$AT$1266,0))</f>
        <v>Black Crows Serpo Skis 2022</v>
      </c>
      <c r="DC136" t="str">
        <f>INDEX('Data_Price '!AL$2:AL$1266,MATCH(Data!$DN136,'Data_Price '!$AT$2:$AT$1266,0))</f>
        <v>Powder7 Ski Shop</v>
      </c>
      <c r="DD136">
        <f>INDEX('Data_Price '!AM$2:AM$1266,MATCH(Data!$DN136,'Data_Price '!$AT$2:$AT$1266,0))</f>
        <v>671.93</v>
      </c>
      <c r="DE136" t="str">
        <f>INDEX('Data_Price '!AN$2:AN$1266,MATCH(Data!$DN136,'Data_Price '!$AT$2:$AT$1266,0))</f>
        <v>https://tinyurl.com/ybd25nl3</v>
      </c>
      <c r="DF136" t="str">
        <f>INDEX('Data_Price '!AO$2:AO$1266,MATCH(Data!$DN136,'Data_Price '!$AT$2:$AT$1266,0))</f>
        <v>Black Crows Serpo Skis 2022</v>
      </c>
      <c r="DG136" t="str">
        <f>INDEX('Data_Price '!AP$2:AP$1266,MATCH(Data!$DN136,'Data_Price '!$AT$2:$AT$1266,0))</f>
        <v>evo.com</v>
      </c>
      <c r="DH136">
        <f>INDEX('Data_Price '!AQ$2:AQ$1266,MATCH(Data!$DN136,'Data_Price '!$AT$2:$AT$1266,0))</f>
        <v>671.96</v>
      </c>
      <c r="DI136" t="str">
        <f>INDEX('Data_Price '!AR$2:AR$1266,MATCH(Data!$DN136,'Data_Price '!$AT$2:$AT$1266,0))</f>
        <v>https://tinyurl.com/y6woba3o</v>
      </c>
      <c r="DJ136" s="89" t="str">
        <f t="shared" si="69"/>
        <v>https://tinyurl.com/y8sybvt2</v>
      </c>
      <c r="DK136" s="89" t="str">
        <f t="shared" si="70"/>
        <v>https://tinyurl.com/ybd25nl3</v>
      </c>
      <c r="DL136" s="89" t="str">
        <f t="shared" si="71"/>
        <v>https://tinyurl.com/y6woba3o</v>
      </c>
      <c r="DM136" s="219" t="str">
        <f t="shared" si="72"/>
        <v>Serpo</v>
      </c>
      <c r="DN136" s="89" t="str">
        <f t="shared" si="73"/>
        <v xml:space="preserve"> Black CrowsSerpo180.1 Unisex</v>
      </c>
      <c r="DO136" s="221" t="s">
        <v>364</v>
      </c>
    </row>
    <row r="137" spans="2:119" ht="15.6" customHeight="1">
      <c r="B137" s="219" t="b">
        <f t="array" ref="B137">IF(OR(ISERROR(K137:P137)),FALSE,TRUE)</f>
        <v>1</v>
      </c>
      <c r="C137" s="43" t="b">
        <f>OR(BR137=Driver!$G$50,Data!BR547=Driver!$H$50)</f>
        <v>1</v>
      </c>
      <c r="D137" s="43" t="b">
        <f>OR(BV137=Driver!$G$51,BV137=Driver!$H$51)</f>
        <v>1</v>
      </c>
      <c r="E137" s="43" t="b">
        <f>AND(BX137&gt;Driver!$F$54,BX137&lt;Driver!$G$54)</f>
        <v>0</v>
      </c>
      <c r="F137" s="43" t="b">
        <f>CL137&gt;Driver!$F$56</f>
        <v>1</v>
      </c>
      <c r="G137" s="43" t="b">
        <f>AND(CB137&gt;Driver!$F$55,CB137&lt;Driver!$G$55)</f>
        <v>1</v>
      </c>
      <c r="H137" s="43" t="b">
        <f t="shared" ref="H137:H200" si="74">AND(B137:G137)</f>
        <v>0</v>
      </c>
      <c r="I137" s="43">
        <f t="shared" ref="I137:I200" si="75">COUNTIFS($H$9:$H$1273,TRUE,$BT$9:$BT$1273,BT137)</f>
        <v>1</v>
      </c>
      <c r="J137" s="43" t="b">
        <f t="array" ref="J137">NOT(OR(($H$9:$H$1273=TRUE)*($I$9:$I$1273&gt;0)*($BT$9:$BT$1273=BT137)*($K$9:$K$1273&gt;K137)))</f>
        <v>0</v>
      </c>
      <c r="K137" s="72">
        <f t="shared" ref="K137:K200" si="76">IFERROR(1-AVERAGE(X137:Y137),"")</f>
        <v>0.86283208058566985</v>
      </c>
      <c r="L137" s="72">
        <f t="shared" ref="L137:L200" si="77">1-X137</f>
        <v>0.93998203920776691</v>
      </c>
      <c r="M137" s="72">
        <f t="shared" ref="M137:M200" si="78">1-Y137</f>
        <v>0.78568212196357279</v>
      </c>
      <c r="N137" s="72">
        <f t="shared" ref="N137:N200" si="79">1-Z137</f>
        <v>0.73218166113924854</v>
      </c>
      <c r="O137" s="72">
        <f t="shared" ref="O137:O200" si="80">1-AA137</f>
        <v>0.64991744736750345</v>
      </c>
      <c r="P137" s="72">
        <f t="shared" ref="P137:P200" si="81">1-AB137</f>
        <v>0.97494725738396626</v>
      </c>
      <c r="Q137" s="72"/>
      <c r="R137" s="72"/>
      <c r="S137" s="72">
        <f t="shared" ref="S137:S200" si="82">1-AE137</f>
        <v>0.42008759681166596</v>
      </c>
      <c r="T137" s="72">
        <f t="shared" ref="T137:T200" si="83">1-AF137</f>
        <v>0.52919489988323942</v>
      </c>
      <c r="U137" s="72">
        <f t="shared" ref="U137:U200" si="84">1-AG137</f>
        <v>0.55906480117109303</v>
      </c>
      <c r="V137" s="72">
        <f t="shared" ref="V137:V200" si="85">1-AH137</f>
        <v>0.61193763304804627</v>
      </c>
      <c r="W137" s="72">
        <f t="shared" ref="W137:W200" si="86">1-AI137</f>
        <v>0.81027039473684215</v>
      </c>
      <c r="X137" s="72">
        <f t="shared" ref="X137:X200" si="87">ABS(AJ137-AJ$1)</f>
        <v>6.0017960792233094E-2</v>
      </c>
      <c r="Y137" s="72">
        <f t="shared" ref="Y137:Y200" si="88">AVERAGE(Z137:AB137)</f>
        <v>0.21431787803642724</v>
      </c>
      <c r="Z137" s="72">
        <f t="shared" ref="Z137:Z200" si="89">ABS(AL137-AL$1)</f>
        <v>0.26781833886075146</v>
      </c>
      <c r="AA137" s="72">
        <f t="shared" ref="AA137:AA200" si="90">ABS(AM137-AM$1)</f>
        <v>0.35008255263249655</v>
      </c>
      <c r="AB137" s="72">
        <f t="shared" ref="AB137:AB200" si="91">ABS(AN137-AN$1)</f>
        <v>2.5052742616033741E-2</v>
      </c>
      <c r="AC137" s="72"/>
      <c r="AD137" s="72"/>
      <c r="AE137" s="72">
        <f t="shared" ref="AE137:AE200" si="92">ABS(AQ$1-AQ137)</f>
        <v>0.57991240318833404</v>
      </c>
      <c r="AF137" s="72">
        <f t="shared" ref="AF137:AF200" si="93">ABS(AR$1-AR137)</f>
        <v>0.47080510011676058</v>
      </c>
      <c r="AG137" s="72">
        <f t="shared" ref="AG137:AG200" si="94">ABS(AS$1-AS137)</f>
        <v>0.44093519882890692</v>
      </c>
      <c r="AH137" s="72">
        <f t="shared" ref="AH137:AH200" si="95">ABS(AT$1-AT137)</f>
        <v>0.38806236695195373</v>
      </c>
      <c r="AI137" s="72">
        <f t="shared" ref="AI137:AI200" si="96">ABS(AU$1-AU137)</f>
        <v>0.18972960526315791</v>
      </c>
      <c r="AJ137" s="72">
        <f>(AV137-Driver!$K$179)/(Driver!$L$179-Driver!$K$179)</f>
        <v>0.31423737007493352</v>
      </c>
      <c r="AK137" s="72">
        <f>(AW137-Driver!$K$180)/(Driver!$L$180-Driver!$K$180)</f>
        <v>0.24070531183881522</v>
      </c>
      <c r="AL137" s="72">
        <f>(AX137-Driver!$K$181)/(Driver!$L$181-Driver!$K$181)</f>
        <v>0.36950610257383165</v>
      </c>
      <c r="AM137" s="72">
        <f>(AY137-Driver!$K$182)/(Driver!$L$182-Driver!$K$182)</f>
        <v>9.7302468464549791E-2</v>
      </c>
      <c r="AN137" s="72">
        <f>(AZ137-Driver!$K$183)/(Driver!$L$183-Driver!$K$183)</f>
        <v>0.22916666666666669</v>
      </c>
      <c r="AO137" s="72"/>
      <c r="AP137" s="72"/>
      <c r="AQ137" s="72">
        <f>(BC137-Driver!$K$188)/(Driver!$L$188-Driver!$K$188)</f>
        <v>4.0087596811666001E-2</v>
      </c>
      <c r="AR137" s="72">
        <f>MIN((BD137-Driver!$K$189)/(Driver!$L$189-Driver!$K$189),100%)</f>
        <v>7.9194899883239439E-2</v>
      </c>
      <c r="AS137" s="72">
        <f>(BE137-Driver!$K$190)/(Driver!$L$190-Driver!$K$190)</f>
        <v>6.9064801171093093E-2</v>
      </c>
      <c r="AT137" s="72">
        <f>(BF137-Driver!$K$191)/(Driver!$L$191-Driver!$K$191)</f>
        <v>0.12193763304804627</v>
      </c>
      <c r="AU137" s="72">
        <f>(BG137-Driver!$K$192)/(Driver!$L$192-Driver!$K$192)</f>
        <v>6.0270394736842106E-2</v>
      </c>
      <c r="AV137" s="70">
        <f t="shared" ref="AV137:AV200" si="97">IFERROR(BM137*BJ137^1/4,"")</f>
        <v>6.6137566137566139</v>
      </c>
      <c r="AW137" s="70">
        <f t="shared" ref="AW137:AW200" si="98">IFERROR(SUM(AX137:AZ137),"")</f>
        <v>25.330758126186694</v>
      </c>
      <c r="AX137" s="70">
        <f t="shared" ref="AX137:AX200" si="99">IFERROR(BH137,"")</f>
        <v>4.3255549231644848</v>
      </c>
      <c r="AY137" s="70">
        <f>IFERROR(Driver!$K$19/Data!BH137/Data!BI137*Data!BK137*Data!BL137,"")</f>
        <v>0.11912725365511793</v>
      </c>
      <c r="AZ137" s="70">
        <f t="shared" ref="AZ137:AZ200" si="100">IFERROR(BI137*BN137,"")</f>
        <v>20.88607594936709</v>
      </c>
      <c r="BA137" s="70"/>
      <c r="BB137" s="70"/>
      <c r="BC137" s="70">
        <f t="shared" ref="BC137:BC200" si="101">IFERROR(BI137*BN137*BK137/BJ137^(1/2),"")</f>
        <v>20.79371515066293</v>
      </c>
      <c r="BD137" s="70">
        <f t="shared" ref="BD137:BD200" si="102">IFERROR(BH137*BM137*BL137/BJ137/BK137,"")</f>
        <v>8.7294311987052939</v>
      </c>
      <c r="BE137" s="70">
        <f t="shared" ref="BE137:BE200" si="103">IFERROR(MIN(BI137/BQ137/BP137/BO137/BH137,$BE$1),"")</f>
        <v>6.9230869532442188E-2</v>
      </c>
      <c r="BF137" s="70">
        <f t="shared" ref="BF137:BF200" si="104">IFERROR(BJ137*BO137*BP137/BK137,"")</f>
        <v>13.771998992421066</v>
      </c>
      <c r="BG137" s="70">
        <f t="shared" ref="BG137:BG200" si="105">IFERROR(1/BM137/BH137*BQ137,"")</f>
        <v>0.22822216282894739</v>
      </c>
      <c r="BH137" s="67">
        <f>MAX((CE137-Driver!$F$200)/(Driver!$G$200-Driver!$F$200)*$BI$1,1)</f>
        <v>4.3255549231644848</v>
      </c>
      <c r="BI137" s="67">
        <f>MAX($BI$1*(BY137-Driver!$F$201)/(Driver!$G$201-Driver!$F$201),1)</f>
        <v>6.962025316455696</v>
      </c>
      <c r="BJ137" s="67">
        <f>(CB137-Driver!$F$206)/(Driver!$G$206-Driver!$F$206)*$BI$1</f>
        <v>6.1904761904761907</v>
      </c>
      <c r="BK137" s="67">
        <f>(CD137-Driver!$F$203)/(Driver!$G$203-Driver!$F$203)*$BI$1</f>
        <v>2.4770642201834865</v>
      </c>
      <c r="BL137" s="67">
        <f>MAX((CR137-Driver!$F$202)/(Driver!$G$202-Driver!$F$202)*$BI$1,1)</f>
        <v>7.2413793103448274</v>
      </c>
      <c r="BM137" s="67">
        <f>MAX((CH137-Driver!$F$204)/(Driver!$G$204-Driver!$F$204)*$BI$1,1)</f>
        <v>4.2735042735042734</v>
      </c>
      <c r="BN137" s="67">
        <f>(CI137-Driver!$F$205)/(Driver!$G$205-Driver!$F$205)*$BI$1</f>
        <v>3</v>
      </c>
      <c r="BO137" s="67">
        <f>(CK137-Driver!$F$207)/(Driver!$G$207-Driver!$F$207)*$BI$1</f>
        <v>2.2543950361944156</v>
      </c>
      <c r="BP137" s="67">
        <f>(CM137-Driver!$F$208)/(Driver!$G$208-Driver!$F$208)*$BI$1</f>
        <v>2.4444444444444442</v>
      </c>
      <c r="BQ137" s="67">
        <f>(CL137-Driver!$F$209)/(Driver!$G$209-Driver!$F$209)*$BI$1</f>
        <v>4.21875</v>
      </c>
      <c r="BR137" s="28" t="s">
        <v>155</v>
      </c>
      <c r="BS137" s="8" t="s">
        <v>321</v>
      </c>
      <c r="BT137" s="9" t="s">
        <v>365</v>
      </c>
      <c r="BU137" s="10">
        <v>172</v>
      </c>
      <c r="BV137" s="9" t="s">
        <v>158</v>
      </c>
      <c r="BW137" s="10">
        <v>172</v>
      </c>
      <c r="BX137" s="10">
        <v>172.7</v>
      </c>
      <c r="BY137" s="10">
        <v>118</v>
      </c>
      <c r="BZ137" s="10">
        <v>136</v>
      </c>
      <c r="CA137" s="10">
        <v>133</v>
      </c>
      <c r="CB137" s="10">
        <v>103</v>
      </c>
      <c r="CC137" s="10">
        <v>125</v>
      </c>
      <c r="CD137" s="10">
        <v>14.8</v>
      </c>
      <c r="CE137" s="10">
        <v>1660</v>
      </c>
      <c r="CF137" s="10">
        <v>1.19</v>
      </c>
      <c r="CG137" s="10">
        <v>1973</v>
      </c>
      <c r="CH137" s="10">
        <v>201</v>
      </c>
      <c r="CI137" s="10">
        <v>84</v>
      </c>
      <c r="CJ137" s="10">
        <v>46</v>
      </c>
      <c r="CK137" s="10">
        <v>328</v>
      </c>
      <c r="CL137" s="10">
        <v>27</v>
      </c>
      <c r="CM137" s="10">
        <v>220</v>
      </c>
      <c r="CN137" s="10">
        <v>0.57199999999999995</v>
      </c>
      <c r="CO137" s="10">
        <v>250</v>
      </c>
      <c r="CP137" s="10">
        <v>116</v>
      </c>
      <c r="CQ137" s="10">
        <v>78</v>
      </c>
      <c r="CR137" s="10">
        <v>10</v>
      </c>
      <c r="CS137" s="10">
        <v>9.5</v>
      </c>
      <c r="CT137" s="9" t="s">
        <v>188</v>
      </c>
      <c r="CU137" s="9" t="s">
        <v>169</v>
      </c>
      <c r="CV137" s="9" t="s">
        <v>185</v>
      </c>
      <c r="CW137" s="10"/>
      <c r="CX137">
        <f>INDEX('Data_Price '!AG$2:AG$1266,MATCH(Data!$DN137,'Data_Price '!$AT$2:$AT$1266,0))</f>
        <v>0</v>
      </c>
      <c r="CY137">
        <f>INDEX('Data_Price '!AH$2:AH$1266,MATCH(Data!$DN137,'Data_Price '!$AT$2:$AT$1266,0))</f>
        <v>0</v>
      </c>
      <c r="CZ137">
        <f>INDEX('Data_Price '!AI$2:AI$1266,MATCH(Data!$DN137,'Data_Price '!$AT$2:$AT$1266,0))</f>
        <v>0</v>
      </c>
      <c r="DA137">
        <f>INDEX('Data_Price '!AJ$2:AJ$1266,MATCH(Data!$DN137,'Data_Price '!$AT$2:$AT$1266,0))</f>
        <v>0</v>
      </c>
      <c r="DB137">
        <f>INDEX('Data_Price '!AK$2:AK$1266,MATCH(Data!$DN137,'Data_Price '!$AT$2:$AT$1266,0))</f>
        <v>0</v>
      </c>
      <c r="DC137">
        <f>INDEX('Data_Price '!AL$2:AL$1266,MATCH(Data!$DN137,'Data_Price '!$AT$2:$AT$1266,0))</f>
        <v>0</v>
      </c>
      <c r="DD137">
        <f>INDEX('Data_Price '!AM$2:AM$1266,MATCH(Data!$DN137,'Data_Price '!$AT$2:$AT$1266,0))</f>
        <v>0</v>
      </c>
      <c r="DE137">
        <f>INDEX('Data_Price '!AN$2:AN$1266,MATCH(Data!$DN137,'Data_Price '!$AT$2:$AT$1266,0))</f>
        <v>0</v>
      </c>
      <c r="DF137">
        <f>INDEX('Data_Price '!AO$2:AO$1266,MATCH(Data!$DN137,'Data_Price '!$AT$2:$AT$1266,0))</f>
        <v>0</v>
      </c>
      <c r="DG137">
        <f>INDEX('Data_Price '!AP$2:AP$1266,MATCH(Data!$DN137,'Data_Price '!$AT$2:$AT$1266,0))</f>
        <v>0</v>
      </c>
      <c r="DH137">
        <f>INDEX('Data_Price '!AQ$2:AQ$1266,MATCH(Data!$DN137,'Data_Price '!$AT$2:$AT$1266,0))</f>
        <v>0</v>
      </c>
      <c r="DI137">
        <f>INDEX('Data_Price '!AR$2:AR$1266,MATCH(Data!$DN137,'Data_Price '!$AT$2:$AT$1266,0))</f>
        <v>0</v>
      </c>
      <c r="DJ137" s="89">
        <f t="shared" ref="DJ137:DJ200" si="106">DA137</f>
        <v>0</v>
      </c>
      <c r="DK137" s="89">
        <f t="shared" ref="DK137:DK200" si="107">DE137</f>
        <v>0</v>
      </c>
      <c r="DL137" s="89">
        <f t="shared" ref="DL137:DL200" si="108">DI137</f>
        <v>0</v>
      </c>
      <c r="DM137" s="219" t="str">
        <f t="shared" ref="DM137:DM200" si="109">IF(LEFT(BT137,1)=" ",RIGHT(BT137,LEN(BT137)-1),BT137)</f>
        <v>Pionnier 104</v>
      </c>
      <c r="DN137" s="89" t="str">
        <f t="shared" ref="DN137:DN200" si="110">_xlfn.CONCAT(BS137,DM137,BU137,BV137)</f>
        <v xml:space="preserve"> FerreolPionnier 104172 Unisex</v>
      </c>
      <c r="DO137" s="221"/>
    </row>
    <row r="138" spans="2:119" ht="15.6" customHeight="1">
      <c r="B138" s="219" t="b">
        <f t="array" ref="B138">IF(OR(ISERROR(K138:P138)),FALSE,TRUE)</f>
        <v>1</v>
      </c>
      <c r="C138" s="43" t="b">
        <f>OR(BR138=Driver!$G$50,Data!BR444=Driver!$H$50)</f>
        <v>1</v>
      </c>
      <c r="D138" s="43" t="b">
        <f>OR(BV138=Driver!$G$51,BV138=Driver!$H$51)</f>
        <v>0</v>
      </c>
      <c r="E138" s="43" t="b">
        <f>AND(BX138&gt;Driver!$F$54,BX138&lt;Driver!$G$54)</f>
        <v>0</v>
      </c>
      <c r="F138" s="43" t="b">
        <f>CL138&gt;Driver!$F$56</f>
        <v>1</v>
      </c>
      <c r="G138" s="43" t="b">
        <f>AND(CB138&gt;Driver!$F$55,CB138&lt;Driver!$G$55)</f>
        <v>1</v>
      </c>
      <c r="H138" s="43" t="b">
        <f t="shared" si="74"/>
        <v>0</v>
      </c>
      <c r="I138" s="43">
        <f t="shared" si="75"/>
        <v>0</v>
      </c>
      <c r="J138" s="43" t="b">
        <f t="array" ref="J138">NOT(OR(($H$9:$H$1273=TRUE)*($I$9:$I$1273&gt;0)*($BT$9:$BT$1273=BT138)*($K$9:$K$1273&gt;K138)))</f>
        <v>1</v>
      </c>
      <c r="K138" s="72">
        <f t="shared" si="76"/>
        <v>0.83366078235009011</v>
      </c>
      <c r="L138" s="72">
        <f t="shared" si="77"/>
        <v>0.91065321800077315</v>
      </c>
      <c r="M138" s="72">
        <f t="shared" si="78"/>
        <v>0.75666834669940719</v>
      </c>
      <c r="N138" s="72">
        <f t="shared" si="79"/>
        <v>0.6455440844618312</v>
      </c>
      <c r="O138" s="72">
        <f t="shared" si="80"/>
        <v>0.62788043524257875</v>
      </c>
      <c r="P138" s="72">
        <f t="shared" si="81"/>
        <v>0.99658052039381162</v>
      </c>
      <c r="Q138" s="72"/>
      <c r="R138" s="72"/>
      <c r="S138" s="72">
        <f t="shared" si="82"/>
        <v>0.4369789768934037</v>
      </c>
      <c r="T138" s="72">
        <f t="shared" si="83"/>
        <v>0.498247810105935</v>
      </c>
      <c r="U138" s="72">
        <f t="shared" si="84"/>
        <v>0.67539067012332277</v>
      </c>
      <c r="V138" s="72">
        <f t="shared" si="85"/>
        <v>0.54371735561529677</v>
      </c>
      <c r="W138" s="72">
        <f t="shared" si="86"/>
        <v>0.78091555183946482</v>
      </c>
      <c r="X138" s="72">
        <f t="shared" si="87"/>
        <v>8.934678199922691E-2</v>
      </c>
      <c r="Y138" s="72">
        <f t="shared" si="88"/>
        <v>0.24333165330059284</v>
      </c>
      <c r="Z138" s="72">
        <f t="shared" si="89"/>
        <v>0.3544559155381688</v>
      </c>
      <c r="AA138" s="72">
        <f t="shared" si="90"/>
        <v>0.37211956475742125</v>
      </c>
      <c r="AB138" s="72">
        <f t="shared" si="91"/>
        <v>3.4194796061884358E-3</v>
      </c>
      <c r="AC138" s="72"/>
      <c r="AD138" s="72"/>
      <c r="AE138" s="72">
        <f t="shared" si="92"/>
        <v>0.5630210231065963</v>
      </c>
      <c r="AF138" s="72">
        <f t="shared" si="93"/>
        <v>0.501752189894065</v>
      </c>
      <c r="AG138" s="72">
        <f t="shared" si="94"/>
        <v>0.32460932987667718</v>
      </c>
      <c r="AH138" s="72">
        <f t="shared" si="95"/>
        <v>0.45628264438470328</v>
      </c>
      <c r="AI138" s="72">
        <f t="shared" si="96"/>
        <v>0.21908444816053513</v>
      </c>
      <c r="AJ138" s="72">
        <f>(AV138-Driver!$K$179)/(Driver!$L$179-Driver!$K$179)</f>
        <v>0.34356619128192734</v>
      </c>
      <c r="AK138" s="72">
        <f>(AW138-Driver!$K$180)/(Driver!$L$180-Driver!$K$180)</f>
        <v>0.27505513893451156</v>
      </c>
      <c r="AL138" s="72">
        <f>(AX138-Driver!$K$181)/(Driver!$L$181-Driver!$K$181)</f>
        <v>0.45614367925124899</v>
      </c>
      <c r="AM138" s="72">
        <f>(AY138-Driver!$K$182)/(Driver!$L$182-Driver!$K$182)</f>
        <v>7.52654563396251E-2</v>
      </c>
      <c r="AN138" s="72">
        <f>(AZ138-Driver!$K$183)/(Driver!$L$183-Driver!$K$183)</f>
        <v>0.25763888888888886</v>
      </c>
      <c r="AO138" s="72"/>
      <c r="AP138" s="72"/>
      <c r="AQ138" s="72">
        <f>(BC138-Driver!$K$188)/(Driver!$L$188-Driver!$K$188)</f>
        <v>5.6978976893403657E-2</v>
      </c>
      <c r="AR138" s="72">
        <f>MIN((BD138-Driver!$K$189)/(Driver!$L$189-Driver!$K$189),100%)</f>
        <v>4.8247810105935034E-2</v>
      </c>
      <c r="AS138" s="72">
        <f>(BE138-Driver!$K$190)/(Driver!$L$190-Driver!$K$190)</f>
        <v>0.18539067012332283</v>
      </c>
      <c r="AT138" s="72">
        <f>(BF138-Driver!$K$191)/(Driver!$L$191-Driver!$K$191)</f>
        <v>5.3717355615296718E-2</v>
      </c>
      <c r="AU138" s="72">
        <f>(BG138-Driver!$K$192)/(Driver!$L$192-Driver!$K$192)</f>
        <v>3.0915551839464876E-2</v>
      </c>
      <c r="AV138" s="70">
        <f t="shared" si="97"/>
        <v>7.231040564373898</v>
      </c>
      <c r="AW138" s="70">
        <f t="shared" si="98"/>
        <v>28.678453147093492</v>
      </c>
      <c r="AX138" s="70">
        <f t="shared" si="99"/>
        <v>5.1052931132612409</v>
      </c>
      <c r="AY138" s="70">
        <f>IFERROR(Driver!$K$19/Data!BH138/Data!BI138*Data!BK138*Data!BL138,"")</f>
        <v>9.2147375604405848E-2</v>
      </c>
      <c r="AZ138" s="70">
        <f t="shared" si="100"/>
        <v>23.481012658227847</v>
      </c>
      <c r="BA138" s="70"/>
      <c r="BB138" s="70"/>
      <c r="BC138" s="70">
        <f t="shared" si="101"/>
        <v>29.555391426029495</v>
      </c>
      <c r="BD138" s="70">
        <f t="shared" si="102"/>
        <v>5.9906685884121824</v>
      </c>
      <c r="BE138" s="70">
        <f t="shared" si="103"/>
        <v>0.18553598725895426</v>
      </c>
      <c r="BF138" s="70">
        <f t="shared" si="104"/>
        <v>6.0669979309660205</v>
      </c>
      <c r="BG138" s="70">
        <f t="shared" si="105"/>
        <v>0.11706600125418058</v>
      </c>
      <c r="BH138" s="67">
        <f>MAX((CE138-Driver!$F$200)/(Driver!$G$200-Driver!$F$200)*$BI$1,1)</f>
        <v>5.1052931132612409</v>
      </c>
      <c r="BI138" s="67">
        <f>MAX($BI$1*(BY138-Driver!$F$201)/(Driver!$G$201-Driver!$F$201),1)</f>
        <v>7.5316455696202533</v>
      </c>
      <c r="BJ138" s="67">
        <f>(CB138-Driver!$F$206)/(Driver!$G$206-Driver!$F$206)*$BI$1</f>
        <v>6.5079365079365079</v>
      </c>
      <c r="BK138" s="67">
        <f>(CD138-Driver!$F$203)/(Driver!$G$203-Driver!$F$203)*$BI$1</f>
        <v>3.2110091743119265</v>
      </c>
      <c r="BL138" s="67">
        <f>MAX((CR138-Driver!$F$202)/(Driver!$G$202-Driver!$F$202)*$BI$1,1)</f>
        <v>5.5172413793103452</v>
      </c>
      <c r="BM138" s="67">
        <f>MAX((CH138-Driver!$F$204)/(Driver!$G$204-Driver!$F$204)*$BI$1,1)</f>
        <v>4.4444444444444446</v>
      </c>
      <c r="BN138" s="67">
        <f>(CI138-Driver!$F$205)/(Driver!$G$205-Driver!$F$205)*$BI$1</f>
        <v>3.1176470588235294</v>
      </c>
      <c r="BO138" s="67">
        <f>(CK138-Driver!$F$207)/(Driver!$G$207-Driver!$F$207)*$BI$1</f>
        <v>1.6132368148914167</v>
      </c>
      <c r="BP138" s="67">
        <f>(CM138-Driver!$F$208)/(Driver!$G$208-Driver!$F$208)*$BI$1</f>
        <v>1.8555555555555556</v>
      </c>
      <c r="BQ138" s="67">
        <f>(CL138-Driver!$F$209)/(Driver!$G$209-Driver!$F$209)*$BI$1</f>
        <v>2.65625</v>
      </c>
      <c r="BR138" s="28" t="s">
        <v>155</v>
      </c>
      <c r="BS138" s="8" t="s">
        <v>164</v>
      </c>
      <c r="BT138" s="9" t="s">
        <v>366</v>
      </c>
      <c r="BU138" s="10">
        <v>170</v>
      </c>
      <c r="BV138" s="9" t="s">
        <v>163</v>
      </c>
      <c r="BW138" s="10">
        <v>170</v>
      </c>
      <c r="BX138" s="10">
        <v>170.3</v>
      </c>
      <c r="BY138" s="10">
        <v>127</v>
      </c>
      <c r="BZ138" s="10">
        <v>136</v>
      </c>
      <c r="CA138" s="10">
        <v>143</v>
      </c>
      <c r="CB138" s="10">
        <v>105</v>
      </c>
      <c r="CC138" s="10">
        <v>120</v>
      </c>
      <c r="CD138" s="10">
        <v>16.399999999999999</v>
      </c>
      <c r="CE138" s="10">
        <v>1797</v>
      </c>
      <c r="CF138" s="10">
        <v>1.1000000000000001</v>
      </c>
      <c r="CG138" s="10">
        <v>1982</v>
      </c>
      <c r="CH138" s="10">
        <v>205</v>
      </c>
      <c r="CI138" s="10">
        <v>86</v>
      </c>
      <c r="CJ138" s="10">
        <v>47</v>
      </c>
      <c r="CK138" s="10">
        <v>266</v>
      </c>
      <c r="CL138" s="10">
        <v>17</v>
      </c>
      <c r="CM138" s="10">
        <v>167</v>
      </c>
      <c r="CN138" s="10">
        <v>0.35499999999999998</v>
      </c>
      <c r="CO138" s="10">
        <v>174</v>
      </c>
      <c r="CP138" s="10">
        <v>167</v>
      </c>
      <c r="CQ138" s="10">
        <v>92</v>
      </c>
      <c r="CR138" s="10">
        <v>5</v>
      </c>
      <c r="CS138" s="10">
        <v>8.6999999999999993</v>
      </c>
      <c r="CT138" s="9" t="s">
        <v>188</v>
      </c>
      <c r="CU138" s="9" t="s">
        <v>169</v>
      </c>
      <c r="CV138" s="9" t="s">
        <v>178</v>
      </c>
      <c r="CW138" s="9" t="s">
        <v>185</v>
      </c>
      <c r="CX138" t="str">
        <f>INDEX('Data_Price '!AG$2:AG$1266,MATCH(Data!$DN138,'Data_Price '!$AT$2:$AT$1266,0))</f>
        <v>Elan Ripstick 102 W Women's Skis 2022</v>
      </c>
      <c r="CY138" t="str">
        <f>INDEX('Data_Price '!AH$2:AH$1266,MATCH(Data!$DN138,'Data_Price '!$AT$2:$AT$1266,0))</f>
        <v>PRFO Sports</v>
      </c>
      <c r="CZ138">
        <f>INDEX('Data_Price '!AI$2:AI$1266,MATCH(Data!$DN138,'Data_Price '!$AT$2:$AT$1266,0))</f>
        <v>601.49</v>
      </c>
      <c r="DA138" t="str">
        <f>INDEX('Data_Price '!AJ$2:AJ$1266,MATCH(Data!$DN138,'Data_Price '!$AT$2:$AT$1266,0))</f>
        <v>https://tinyurl.com/ydh5hpyx</v>
      </c>
      <c r="DB138" t="str">
        <f>INDEX('Data_Price '!AK$2:AK$1266,MATCH(Data!$DN138,'Data_Price '!$AT$2:$AT$1266,0))</f>
        <v>Elan Ripstick 102 Skis - Women's 2021</v>
      </c>
      <c r="DC138" t="str">
        <f>INDEX('Data_Price '!AL$2:AL$1266,MATCH(Data!$DN138,'Data_Price '!$AT$2:$AT$1266,0))</f>
        <v>Snowcountry.eu</v>
      </c>
      <c r="DD138">
        <f>INDEX('Data_Price '!AM$2:AM$1266,MATCH(Data!$DN138,'Data_Price '!$AT$2:$AT$1266,0))</f>
        <v>414</v>
      </c>
      <c r="DE138" t="str">
        <f>INDEX('Data_Price '!AN$2:AN$1266,MATCH(Data!$DN138,'Data_Price '!$AT$2:$AT$1266,0))</f>
        <v>https://tinyurl.com/y8j8mfdp</v>
      </c>
      <c r="DF138" t="str">
        <f>INDEX('Data_Price '!AO$2:AO$1266,MATCH(Data!$DN138,'Data_Price '!$AT$2:$AT$1266,0))</f>
        <v>Elan Ripstick 102 Skis - Women's 2021</v>
      </c>
      <c r="DG138" t="str">
        <f>INDEX('Data_Price '!AP$2:AP$1266,MATCH(Data!$DN138,'Data_Price '!$AT$2:$AT$1266,0))</f>
        <v>! OutdoorXL.com</v>
      </c>
      <c r="DH138">
        <f>INDEX('Data_Price '!AQ$2:AQ$1266,MATCH(Data!$DN138,'Data_Price '!$AT$2:$AT$1266,0))</f>
        <v>449.95</v>
      </c>
      <c r="DI138" t="str">
        <f>INDEX('Data_Price '!AR$2:AR$1266,MATCH(Data!$DN138,'Data_Price '!$AT$2:$AT$1266,0))</f>
        <v>https://tinyurl.com/yad98zvl</v>
      </c>
      <c r="DJ138" s="89" t="str">
        <f t="shared" si="106"/>
        <v>https://tinyurl.com/ydh5hpyx</v>
      </c>
      <c r="DK138" s="89" t="str">
        <f t="shared" si="107"/>
        <v>https://tinyurl.com/y8j8mfdp</v>
      </c>
      <c r="DL138" s="89" t="str">
        <f t="shared" si="108"/>
        <v>https://tinyurl.com/yad98zvl</v>
      </c>
      <c r="DM138" s="219" t="str">
        <f t="shared" si="109"/>
        <v>Ripstick 102 W</v>
      </c>
      <c r="DN138" s="89" t="str">
        <f t="shared" si="110"/>
        <v xml:space="preserve"> ElanRipstick 102 W170 Women's</v>
      </c>
      <c r="DO138" s="221"/>
    </row>
    <row r="139" spans="2:119" ht="15.6" customHeight="1">
      <c r="B139" s="219" t="b">
        <f t="array" ref="B139">IF(OR(ISERROR(K139:P139)),FALSE,TRUE)</f>
        <v>1</v>
      </c>
      <c r="C139" s="43" t="b">
        <f>OR(BR139=Driver!$G$50,Data!BR723=Driver!$H$50)</f>
        <v>1</v>
      </c>
      <c r="D139" s="43" t="b">
        <f>OR(BV139=Driver!$G$51,BV139=Driver!$H$51)</f>
        <v>1</v>
      </c>
      <c r="E139" s="43" t="b">
        <f>AND(BX139&gt;Driver!$F$54,BX139&lt;Driver!$G$54)</f>
        <v>0</v>
      </c>
      <c r="F139" s="43" t="b">
        <f>CL139&gt;Driver!$F$56</f>
        <v>1</v>
      </c>
      <c r="G139" s="43" t="b">
        <f>AND(CB139&gt;Driver!$F$55,CB139&lt;Driver!$G$55)</f>
        <v>0</v>
      </c>
      <c r="H139" s="43" t="b">
        <f t="shared" si="74"/>
        <v>0</v>
      </c>
      <c r="I139" s="43">
        <f t="shared" si="75"/>
        <v>0</v>
      </c>
      <c r="J139" s="43" t="b">
        <f t="array" ref="J139">NOT(OR(($H$9:$H$1273=TRUE)*($I$9:$I$1273&gt;0)*($BT$9:$BT$1273=BT139)*($K$9:$K$1273&gt;K139)))</f>
        <v>1</v>
      </c>
      <c r="K139" s="72">
        <f t="shared" si="76"/>
        <v>0.84757388650650867</v>
      </c>
      <c r="L139" s="72">
        <f t="shared" si="77"/>
        <v>0.92958803388990363</v>
      </c>
      <c r="M139" s="72">
        <f t="shared" si="78"/>
        <v>0.7655597391231137</v>
      </c>
      <c r="N139" s="72">
        <f t="shared" si="79"/>
        <v>0.6303666987665173</v>
      </c>
      <c r="O139" s="72">
        <f t="shared" si="80"/>
        <v>0.70461761912404497</v>
      </c>
      <c r="P139" s="72">
        <f t="shared" si="81"/>
        <v>0.96169489947877884</v>
      </c>
      <c r="Q139" s="72"/>
      <c r="R139" s="72"/>
      <c r="S139" s="72">
        <f t="shared" si="82"/>
        <v>0.48026737844651035</v>
      </c>
      <c r="T139" s="72">
        <f t="shared" si="83"/>
        <v>0.4535749644646665</v>
      </c>
      <c r="U139" s="72">
        <f t="shared" si="84"/>
        <v>0.51230995279946345</v>
      </c>
      <c r="V139" s="72">
        <f t="shared" si="85"/>
        <v>0.6550969018181565</v>
      </c>
      <c r="W139" s="72">
        <f t="shared" si="86"/>
        <v>0.80829175772069428</v>
      </c>
      <c r="X139" s="72">
        <f t="shared" si="87"/>
        <v>7.0411966110096313E-2</v>
      </c>
      <c r="Y139" s="72">
        <f t="shared" si="88"/>
        <v>0.2344402608768863</v>
      </c>
      <c r="Z139" s="72">
        <f t="shared" si="89"/>
        <v>0.36963330123348276</v>
      </c>
      <c r="AA139" s="72">
        <f t="shared" si="90"/>
        <v>0.29538238087595498</v>
      </c>
      <c r="AB139" s="72">
        <f t="shared" si="91"/>
        <v>3.8305100521221158E-2</v>
      </c>
      <c r="AC139" s="72"/>
      <c r="AD139" s="72"/>
      <c r="AE139" s="72">
        <f t="shared" si="92"/>
        <v>0.51973262155348965</v>
      </c>
      <c r="AF139" s="72">
        <f t="shared" si="93"/>
        <v>0.5464250355353335</v>
      </c>
      <c r="AG139" s="72">
        <f t="shared" si="94"/>
        <v>0.48769004720053649</v>
      </c>
      <c r="AH139" s="72">
        <f t="shared" si="95"/>
        <v>0.3449030981818435</v>
      </c>
      <c r="AI139" s="72">
        <f t="shared" si="96"/>
        <v>0.19170824227930566</v>
      </c>
      <c r="AJ139" s="72">
        <f>(AV139-Driver!$K$179)/(Driver!$L$179-Driver!$K$179)</f>
        <v>0.32463137539279674</v>
      </c>
      <c r="AK139" s="72">
        <f>(AW139-Driver!$K$180)/(Driver!$L$180-Driver!$K$180)</f>
        <v>0.31004420656513049</v>
      </c>
      <c r="AL139" s="72">
        <f>(AX139-Driver!$K$181)/(Driver!$L$181-Driver!$K$181)</f>
        <v>0.47132106494656295</v>
      </c>
      <c r="AM139" s="72">
        <f>(AY139-Driver!$K$182)/(Driver!$L$182-Driver!$K$182)</f>
        <v>0.15200264022109139</v>
      </c>
      <c r="AN139" s="72">
        <f>(AZ139-Driver!$K$183)/(Driver!$L$183-Driver!$K$183)</f>
        <v>0.29252450980392158</v>
      </c>
      <c r="AO139" s="72"/>
      <c r="AP139" s="72"/>
      <c r="AQ139" s="72">
        <f>(BC139-Driver!$K$188)/(Driver!$L$188-Driver!$K$188)</f>
        <v>0.10026737844651037</v>
      </c>
      <c r="AR139" s="72">
        <f>MIN((BD139-Driver!$K$189)/(Driver!$L$189-Driver!$K$189),100%)</f>
        <v>3.5749644646665964E-3</v>
      </c>
      <c r="AS139" s="72">
        <f>(BE139-Driver!$K$190)/(Driver!$L$190-Driver!$K$190)</f>
        <v>2.23099527994635E-2</v>
      </c>
      <c r="AT139" s="72">
        <f>(BF139-Driver!$K$191)/(Driver!$L$191-Driver!$K$191)</f>
        <v>0.16509690181815653</v>
      </c>
      <c r="AU139" s="72">
        <f>(BG139-Driver!$K$192)/(Driver!$L$192-Driver!$K$192)</f>
        <v>5.8291757720694337E-2</v>
      </c>
      <c r="AV139" s="70">
        <f t="shared" si="97"/>
        <v>6.8325193325193334</v>
      </c>
      <c r="AW139" s="70">
        <f t="shared" si="98"/>
        <v>32.088447822375848</v>
      </c>
      <c r="AX139" s="70">
        <f t="shared" si="99"/>
        <v>5.2418895845190665</v>
      </c>
      <c r="AY139" s="70">
        <f>IFERROR(Driver!$K$19/Data!BH139/Data!BI139*Data!BK139*Data!BL139,"")</f>
        <v>0.1860965848411415</v>
      </c>
      <c r="AZ139" s="70">
        <f t="shared" si="100"/>
        <v>26.660461653015638</v>
      </c>
      <c r="BA139" s="70"/>
      <c r="BB139" s="70"/>
      <c r="BC139" s="70">
        <f t="shared" si="101"/>
        <v>52.009386247711284</v>
      </c>
      <c r="BD139" s="70">
        <f t="shared" si="102"/>
        <v>2.0372009047585191</v>
      </c>
      <c r="BE139" s="70">
        <f t="shared" si="103"/>
        <v>2.2484361699513854E-2</v>
      </c>
      <c r="BF139" s="70">
        <f t="shared" si="104"/>
        <v>18.646535188981364</v>
      </c>
      <c r="BG139" s="70">
        <f t="shared" si="105"/>
        <v>0.22072978085185335</v>
      </c>
      <c r="BH139" s="67">
        <f>MAX((CE139-Driver!$F$200)/(Driver!$G$200-Driver!$F$200)*$BI$1,1)</f>
        <v>5.2418895845190665</v>
      </c>
      <c r="BI139" s="67">
        <f>MAX($BI$1*(BY139-Driver!$F$201)/(Driver!$G$201-Driver!$F$201),1)</f>
        <v>5.8860759493670889</v>
      </c>
      <c r="BJ139" s="67">
        <f>(CB139-Driver!$F$206)/(Driver!$G$206-Driver!$F$206)*$BI$1</f>
        <v>8.0952380952380949</v>
      </c>
      <c r="BK139" s="67">
        <f>(CD139-Driver!$F$203)/(Driver!$G$203-Driver!$F$203)*$BI$1</f>
        <v>5.5504587155963305</v>
      </c>
      <c r="BL139" s="67">
        <f>MAX((CR139-Driver!$F$202)/(Driver!$G$202-Driver!$F$202)*$BI$1,1)</f>
        <v>5.1724137931034484</v>
      </c>
      <c r="BM139" s="67">
        <f>MAX((CH139-Driver!$F$204)/(Driver!$G$204-Driver!$F$204)*$BI$1,1)</f>
        <v>3.3760683760683765</v>
      </c>
      <c r="BN139" s="67">
        <f>(CI139-Driver!$F$205)/(Driver!$G$205-Driver!$F$205)*$BI$1</f>
        <v>4.5294117647058822</v>
      </c>
      <c r="BO139" s="67">
        <f>(CK139-Driver!$F$207)/(Driver!$G$207-Driver!$F$207)*$BI$1</f>
        <v>3.6297828335056876</v>
      </c>
      <c r="BP139" s="67">
        <f>(CM139-Driver!$F$208)/(Driver!$G$208-Driver!$F$208)*$BI$1</f>
        <v>3.5222222222222221</v>
      </c>
      <c r="BQ139" s="67">
        <f>(CL139-Driver!$F$209)/(Driver!$G$209-Driver!$F$209)*$BI$1</f>
        <v>3.90625</v>
      </c>
      <c r="BR139" s="28" t="s">
        <v>155</v>
      </c>
      <c r="BS139" s="8" t="s">
        <v>262</v>
      </c>
      <c r="BT139" s="9" t="s">
        <v>367</v>
      </c>
      <c r="BU139" s="10">
        <v>179</v>
      </c>
      <c r="BV139" s="9" t="s">
        <v>158</v>
      </c>
      <c r="BW139" s="10">
        <v>179</v>
      </c>
      <c r="BX139" s="10">
        <v>179</v>
      </c>
      <c r="BY139" s="10">
        <v>101</v>
      </c>
      <c r="BZ139" s="10">
        <v>141</v>
      </c>
      <c r="CA139" s="10">
        <v>142</v>
      </c>
      <c r="CB139" s="10">
        <v>115</v>
      </c>
      <c r="CC139" s="10">
        <v>132</v>
      </c>
      <c r="CD139" s="10">
        <v>21.5</v>
      </c>
      <c r="CE139" s="10">
        <v>1821</v>
      </c>
      <c r="CF139" s="10">
        <v>1.21</v>
      </c>
      <c r="CG139" s="10">
        <v>2209</v>
      </c>
      <c r="CH139" s="10">
        <v>180</v>
      </c>
      <c r="CI139" s="10">
        <v>110</v>
      </c>
      <c r="CJ139" s="10">
        <v>59</v>
      </c>
      <c r="CK139" s="10">
        <v>461</v>
      </c>
      <c r="CL139" s="10">
        <v>25</v>
      </c>
      <c r="CM139" s="10">
        <v>317</v>
      </c>
      <c r="CN139" s="10">
        <v>0.42699999999999999</v>
      </c>
      <c r="CO139" s="10">
        <v>204</v>
      </c>
      <c r="CP139" s="10">
        <v>175</v>
      </c>
      <c r="CQ139" s="10">
        <v>257</v>
      </c>
      <c r="CR139" s="10">
        <v>4</v>
      </c>
      <c r="CS139" s="10">
        <v>10.4</v>
      </c>
      <c r="CT139" s="9" t="s">
        <v>169</v>
      </c>
      <c r="CU139" s="9" t="s">
        <v>185</v>
      </c>
      <c r="CV139" s="10"/>
      <c r="CW139" s="10"/>
      <c r="CX139" t="e">
        <f>INDEX('Data_Price '!AG$2:AG$1266,MATCH(Data!$DN139,'Data_Price '!$AT$2:$AT$1266,0))</f>
        <v>#N/A</v>
      </c>
      <c r="CY139" t="e">
        <f>INDEX('Data_Price '!AH$2:AH$1266,MATCH(Data!$DN139,'Data_Price '!$AT$2:$AT$1266,0))</f>
        <v>#N/A</v>
      </c>
      <c r="CZ139" t="e">
        <f>INDEX('Data_Price '!AI$2:AI$1266,MATCH(Data!$DN139,'Data_Price '!$AT$2:$AT$1266,0))</f>
        <v>#N/A</v>
      </c>
      <c r="DA139" t="e">
        <f>INDEX('Data_Price '!AJ$2:AJ$1266,MATCH(Data!$DN139,'Data_Price '!$AT$2:$AT$1266,0))</f>
        <v>#N/A</v>
      </c>
      <c r="DB139" t="e">
        <f>INDEX('Data_Price '!AK$2:AK$1266,MATCH(Data!$DN139,'Data_Price '!$AT$2:$AT$1266,0))</f>
        <v>#N/A</v>
      </c>
      <c r="DC139" t="e">
        <f>INDEX('Data_Price '!AL$2:AL$1266,MATCH(Data!$DN139,'Data_Price '!$AT$2:$AT$1266,0))</f>
        <v>#N/A</v>
      </c>
      <c r="DD139" t="e">
        <f>INDEX('Data_Price '!AM$2:AM$1266,MATCH(Data!$DN139,'Data_Price '!$AT$2:$AT$1266,0))</f>
        <v>#N/A</v>
      </c>
      <c r="DE139" t="e">
        <f>INDEX('Data_Price '!AN$2:AN$1266,MATCH(Data!$DN139,'Data_Price '!$AT$2:$AT$1266,0))</f>
        <v>#N/A</v>
      </c>
      <c r="DF139" t="e">
        <f>INDEX('Data_Price '!AO$2:AO$1266,MATCH(Data!$DN139,'Data_Price '!$AT$2:$AT$1266,0))</f>
        <v>#N/A</v>
      </c>
      <c r="DG139" t="e">
        <f>INDEX('Data_Price '!AP$2:AP$1266,MATCH(Data!$DN139,'Data_Price '!$AT$2:$AT$1266,0))</f>
        <v>#N/A</v>
      </c>
      <c r="DH139" t="e">
        <f>INDEX('Data_Price '!AQ$2:AQ$1266,MATCH(Data!$DN139,'Data_Price '!$AT$2:$AT$1266,0))</f>
        <v>#N/A</v>
      </c>
      <c r="DI139" t="e">
        <f>INDEX('Data_Price '!AR$2:AR$1266,MATCH(Data!$DN139,'Data_Price '!$AT$2:$AT$1266,0))</f>
        <v>#N/A</v>
      </c>
      <c r="DJ139" s="89" t="e">
        <f t="shared" si="106"/>
        <v>#N/A</v>
      </c>
      <c r="DK139" s="89" t="e">
        <f t="shared" si="107"/>
        <v>#N/A</v>
      </c>
      <c r="DL139" s="89" t="e">
        <f t="shared" si="108"/>
        <v>#N/A</v>
      </c>
      <c r="DM139" s="219" t="str">
        <f t="shared" si="109"/>
        <v>Mindbender 116 C</v>
      </c>
      <c r="DN139" s="89" t="str">
        <f t="shared" si="110"/>
        <v xml:space="preserve"> K2Mindbender 116 C179 Unisex</v>
      </c>
      <c r="DO139" s="221" t="s">
        <v>368</v>
      </c>
    </row>
    <row r="140" spans="2:119" ht="15.6" customHeight="1">
      <c r="B140" s="219" t="b">
        <f t="array" ref="B140">IF(OR(ISERROR(K140:P140)),FALSE,TRUE)</f>
        <v>1</v>
      </c>
      <c r="C140" s="43" t="b">
        <f>OR(BR140=Driver!$G$50,Data!BR347=Driver!$H$50)</f>
        <v>1</v>
      </c>
      <c r="D140" s="43" t="b">
        <f>OR(BV140=Driver!$G$51,BV140=Driver!$H$51)</f>
        <v>1</v>
      </c>
      <c r="E140" s="43" t="b">
        <f>AND(BX140&gt;Driver!$F$54,BX140&lt;Driver!$G$54)</f>
        <v>1</v>
      </c>
      <c r="F140" s="43" t="b">
        <f>CL140&gt;Driver!$F$56</f>
        <v>1</v>
      </c>
      <c r="G140" s="43" t="b">
        <f>AND(CB140&gt;Driver!$F$55,CB140&lt;Driver!$G$55)</f>
        <v>0</v>
      </c>
      <c r="H140" s="43" t="b">
        <f t="shared" si="74"/>
        <v>0</v>
      </c>
      <c r="I140" s="43">
        <f t="shared" si="75"/>
        <v>0</v>
      </c>
      <c r="J140" s="43" t="b">
        <f t="array" ref="J140">NOT(OR(($H$9:$H$1273=TRUE)*($I$9:$I$1273&gt;0)*($BT$9:$BT$1273=BT140)*($K$9:$K$1273&gt;K140)))</f>
        <v>1</v>
      </c>
      <c r="K140" s="72">
        <f t="shared" si="76"/>
        <v>0.86180954419644107</v>
      </c>
      <c r="L140" s="72">
        <f t="shared" si="77"/>
        <v>0.9836341077586338</v>
      </c>
      <c r="M140" s="72">
        <f t="shared" si="78"/>
        <v>0.73998498063424845</v>
      </c>
      <c r="N140" s="72">
        <f t="shared" si="79"/>
        <v>0.6866495040533066</v>
      </c>
      <c r="O140" s="72">
        <f t="shared" si="80"/>
        <v>0.67369387170399309</v>
      </c>
      <c r="P140" s="72">
        <f t="shared" si="81"/>
        <v>0.85961156614544554</v>
      </c>
      <c r="Q140" s="72"/>
      <c r="R140" s="72"/>
      <c r="S140" s="72">
        <f t="shared" si="82"/>
        <v>0.50639653995799272</v>
      </c>
      <c r="T140" s="72">
        <f t="shared" si="83"/>
        <v>0.4746957433067196</v>
      </c>
      <c r="U140" s="72">
        <f t="shared" si="84"/>
        <v>0.68542639866380639</v>
      </c>
      <c r="V140" s="72">
        <f t="shared" si="85"/>
        <v>0.52073612467874186</v>
      </c>
      <c r="W140" s="72">
        <f t="shared" si="86"/>
        <v>0.79724657012195121</v>
      </c>
      <c r="X140" s="72">
        <f t="shared" si="87"/>
        <v>1.6365892241366198E-2</v>
      </c>
      <c r="Y140" s="72">
        <f t="shared" si="88"/>
        <v>0.26001501936575155</v>
      </c>
      <c r="Z140" s="72">
        <f t="shared" si="89"/>
        <v>0.3133504959466934</v>
      </c>
      <c r="AA140" s="72">
        <f t="shared" si="90"/>
        <v>0.32630612829600686</v>
      </c>
      <c r="AB140" s="72">
        <f t="shared" si="91"/>
        <v>0.14038843385455452</v>
      </c>
      <c r="AC140" s="72"/>
      <c r="AD140" s="72"/>
      <c r="AE140" s="72">
        <f t="shared" si="92"/>
        <v>0.49360346004200728</v>
      </c>
      <c r="AF140" s="72">
        <f t="shared" si="93"/>
        <v>0.5253042566932804</v>
      </c>
      <c r="AG140" s="72">
        <f t="shared" si="94"/>
        <v>0.31457360133619361</v>
      </c>
      <c r="AH140" s="72">
        <f t="shared" si="95"/>
        <v>0.47926387532125814</v>
      </c>
      <c r="AI140" s="72">
        <f t="shared" si="96"/>
        <v>0.20275342987804879</v>
      </c>
      <c r="AJ140" s="72">
        <f>(AV140-Driver!$K$179)/(Driver!$L$179-Driver!$K$179)</f>
        <v>0.23785351704133423</v>
      </c>
      <c r="AK140" s="72">
        <f>(AW140-Driver!$K$180)/(Driver!$L$180-Driver!$K$180)</f>
        <v>0.39992205087973776</v>
      </c>
      <c r="AL140" s="72">
        <f>(AX140-Driver!$K$181)/(Driver!$L$181-Driver!$K$181)</f>
        <v>0.41503825965977359</v>
      </c>
      <c r="AM140" s="72">
        <f>(AY140-Driver!$K$182)/(Driver!$L$182-Driver!$K$182)</f>
        <v>0.12107889280103951</v>
      </c>
      <c r="AN140" s="72">
        <f>(AZ140-Driver!$K$183)/(Driver!$L$183-Driver!$K$183)</f>
        <v>0.39460784313725494</v>
      </c>
      <c r="AO140" s="72"/>
      <c r="AP140" s="72"/>
      <c r="AQ140" s="72">
        <f>(BC140-Driver!$K$188)/(Driver!$L$188-Driver!$K$188)</f>
        <v>0.12639653995799274</v>
      </c>
      <c r="AR140" s="72">
        <f>MIN((BD140-Driver!$K$189)/(Driver!$L$189-Driver!$K$189),100%)</f>
        <v>2.4695743306719673E-2</v>
      </c>
      <c r="AS140" s="72">
        <f>(BE140-Driver!$K$190)/(Driver!$L$190-Driver!$K$190)</f>
        <v>0.19542639866380637</v>
      </c>
      <c r="AT140" s="72">
        <f>(BF140-Driver!$K$191)/(Driver!$L$191-Driver!$K$191)</f>
        <v>3.0736124678741851E-2</v>
      </c>
      <c r="AU140" s="72">
        <f>(BG140-Driver!$K$192)/(Driver!$L$192-Driver!$K$192)</f>
        <v>4.7246570121951215E-2</v>
      </c>
      <c r="AV140" s="70">
        <f t="shared" si="97"/>
        <v>5.0061050061050052</v>
      </c>
      <c r="AW140" s="70">
        <f t="shared" si="98"/>
        <v>40.847840149551331</v>
      </c>
      <c r="AX140" s="70">
        <f t="shared" si="99"/>
        <v>4.7353443369379624</v>
      </c>
      <c r="AY140" s="70">
        <f>IFERROR(Driver!$K$19/Data!BH140/Data!BI140*Data!BK140*Data!BL140,"")</f>
        <v>0.14823669124329861</v>
      </c>
      <c r="AZ140" s="70">
        <f t="shared" si="100"/>
        <v>35.96425912137007</v>
      </c>
      <c r="BA140" s="70"/>
      <c r="BB140" s="70"/>
      <c r="BC140" s="70">
        <f t="shared" si="101"/>
        <v>65.562763970701056</v>
      </c>
      <c r="BD140" s="70">
        <f t="shared" si="102"/>
        <v>3.9063524084745915</v>
      </c>
      <c r="BE140" s="70">
        <f t="shared" si="103"/>
        <v>0.19556992553842312</v>
      </c>
      <c r="BF140" s="70">
        <f t="shared" si="104"/>
        <v>3.4714293489670398</v>
      </c>
      <c r="BG140" s="70">
        <f t="shared" si="105"/>
        <v>0.17890565453506097</v>
      </c>
      <c r="BH140" s="67">
        <f>MAX((CE140-Driver!$F$200)/(Driver!$G$200-Driver!$F$200)*$BI$1,1)</f>
        <v>4.7353443369379624</v>
      </c>
      <c r="BI140" s="67">
        <f>MAX($BI$1*(BY140-Driver!$F$201)/(Driver!$G$201-Driver!$F$201),1)</f>
        <v>7.2784810126582276</v>
      </c>
      <c r="BJ140" s="67">
        <f>(CB140-Driver!$F$206)/(Driver!$G$206-Driver!$F$206)*$BI$1</f>
        <v>5.7142857142857135</v>
      </c>
      <c r="BK140" s="67">
        <f>(CD140-Driver!$F$203)/(Driver!$G$203-Driver!$F$203)*$BI$1</f>
        <v>4.3577981651376145</v>
      </c>
      <c r="BL140" s="67">
        <f>MAX((CR140-Driver!$F$202)/(Driver!$G$202-Driver!$F$202)*$BI$1,1)</f>
        <v>5.8620689655172411</v>
      </c>
      <c r="BM140" s="67">
        <f>MAX((CH140-Driver!$F$204)/(Driver!$G$204-Driver!$F$204)*$BI$1,1)</f>
        <v>3.5042735042735043</v>
      </c>
      <c r="BN140" s="67">
        <f>(CI140-Driver!$F$205)/(Driver!$G$205-Driver!$F$205)*$BI$1</f>
        <v>4.9411764705882355</v>
      </c>
      <c r="BO140" s="67">
        <f>(CK140-Driver!$F$207)/(Driver!$G$207-Driver!$F$207)*$BI$1</f>
        <v>1.3236814891416753</v>
      </c>
      <c r="BP140" s="67">
        <f>(CM140-Driver!$F$208)/(Driver!$G$208-Driver!$F$208)*$BI$1</f>
        <v>2</v>
      </c>
      <c r="BQ140" s="67">
        <f>(CL140-Driver!$F$209)/(Driver!$G$209-Driver!$F$209)*$BI$1</f>
        <v>2.96875</v>
      </c>
      <c r="BR140" s="28" t="s">
        <v>155</v>
      </c>
      <c r="BS140" s="8" t="s">
        <v>218</v>
      </c>
      <c r="BT140" s="9" t="s">
        <v>254</v>
      </c>
      <c r="BU140" s="10">
        <v>165</v>
      </c>
      <c r="BV140" s="9" t="s">
        <v>158</v>
      </c>
      <c r="BW140" s="10">
        <v>165</v>
      </c>
      <c r="BX140" s="10">
        <v>164.5</v>
      </c>
      <c r="BY140" s="10">
        <v>123</v>
      </c>
      <c r="BZ140" s="10">
        <v>128</v>
      </c>
      <c r="CA140" s="10">
        <v>127</v>
      </c>
      <c r="CB140" s="10">
        <v>100</v>
      </c>
      <c r="CC140" s="10">
        <v>112</v>
      </c>
      <c r="CD140" s="10">
        <v>18.899999999999999</v>
      </c>
      <c r="CE140" s="10">
        <v>1732</v>
      </c>
      <c r="CF140" s="10">
        <v>1.03</v>
      </c>
      <c r="CG140" s="10">
        <v>1777</v>
      </c>
      <c r="CH140" s="10">
        <v>183</v>
      </c>
      <c r="CI140" s="10">
        <v>117</v>
      </c>
      <c r="CJ140" s="10">
        <v>39</v>
      </c>
      <c r="CK140" s="10">
        <v>238</v>
      </c>
      <c r="CL140" s="10">
        <v>19</v>
      </c>
      <c r="CM140" s="10">
        <v>180</v>
      </c>
      <c r="CN140" s="10">
        <v>0.48</v>
      </c>
      <c r="CO140" s="10">
        <v>186</v>
      </c>
      <c r="CP140" s="10">
        <v>183</v>
      </c>
      <c r="CQ140" s="10">
        <v>52</v>
      </c>
      <c r="CR140" s="10">
        <v>6</v>
      </c>
      <c r="CS140" s="10">
        <v>10.4</v>
      </c>
      <c r="CT140" s="9" t="s">
        <v>188</v>
      </c>
      <c r="CU140" s="10"/>
      <c r="CV140" s="10"/>
      <c r="CW140" s="10"/>
      <c r="CX140" t="str">
        <f>INDEX('Data_Price '!AG$2:AG$1266,MATCH(Data!$DN140,'Data_Price '!$AT$2:$AT$1266,0))</f>
        <v>DPS Pagoda Piste 100 C2 Pinot Skis 165cm 2022</v>
      </c>
      <c r="CY140" t="str">
        <f>INDEX('Data_Price '!AH$2:AH$1266,MATCH(Data!$DN140,'Data_Price '!$AT$2:$AT$1266,0))</f>
        <v>Powder7 Ski Shop</v>
      </c>
      <c r="CZ140">
        <f>INDEX('Data_Price '!AI$2:AI$1266,MATCH(Data!$DN140,'Data_Price '!$AT$2:$AT$1266,0))</f>
        <v>1039.2</v>
      </c>
      <c r="DA140" t="str">
        <f>INDEX('Data_Price '!AJ$2:AJ$1266,MATCH(Data!$DN140,'Data_Price '!$AT$2:$AT$1266,0))</f>
        <v>https://tinyurl.com/ya5da6ao</v>
      </c>
      <c r="DB140" t="str">
        <f>INDEX('Data_Price '!AK$2:AK$1266,MATCH(Data!$DN140,'Data_Price '!$AT$2:$AT$1266,0))</f>
        <v>2022 DPS Pagoda Piste 100 C2 Skis w/ Tyrolia Attack2 13 GW Bindings - Red - 165| Ski Essentials</v>
      </c>
      <c r="DC140" t="str">
        <f>INDEX('Data_Price '!AL$2:AL$1266,MATCH(Data!$DN140,'Data_Price '!$AT$2:$AT$1266,0))</f>
        <v>SkiEssentials.com</v>
      </c>
      <c r="DD140">
        <f>INDEX('Data_Price '!AM$2:AM$1266,MATCH(Data!$DN140,'Data_Price '!$AT$2:$AT$1266,0))</f>
        <v>1214</v>
      </c>
      <c r="DE140" t="str">
        <f>INDEX('Data_Price '!AN$2:AN$1266,MATCH(Data!$DN140,'Data_Price '!$AT$2:$AT$1266,0))</f>
        <v>https://tinyurl.com/yadw86re</v>
      </c>
      <c r="DF140" t="str">
        <f>INDEX('Data_Price '!AO$2:AO$1266,MATCH(Data!$DN140,'Data_Price '!$AT$2:$AT$1266,0))</f>
        <v>DPS Pagoda Piste 94 C2 Ski 2021 - 165</v>
      </c>
      <c r="DG140" t="str">
        <f>INDEX('Data_Price '!AP$2:AP$1266,MATCH(Data!$DN140,'Data_Price '!$AT$2:$AT$1266,0))</f>
        <v>Gear West Ski &amp; Bike</v>
      </c>
      <c r="DH140">
        <f>INDEX('Data_Price '!AQ$2:AQ$1266,MATCH(Data!$DN140,'Data_Price '!$AT$2:$AT$1266,0))</f>
        <v>1299</v>
      </c>
      <c r="DI140" t="str">
        <f>INDEX('Data_Price '!AR$2:AR$1266,MATCH(Data!$DN140,'Data_Price '!$AT$2:$AT$1266,0))</f>
        <v>https://tinyurl.com/y75cbluo</v>
      </c>
      <c r="DJ140" s="89" t="str">
        <f t="shared" si="106"/>
        <v>https://tinyurl.com/ya5da6ao</v>
      </c>
      <c r="DK140" s="89" t="str">
        <f t="shared" si="107"/>
        <v>https://tinyurl.com/yadw86re</v>
      </c>
      <c r="DL140" s="89" t="str">
        <f t="shared" si="108"/>
        <v>https://tinyurl.com/y75cbluo</v>
      </c>
      <c r="DM140" s="219" t="str">
        <f t="shared" si="109"/>
        <v>Pagoda Piste 100 C2</v>
      </c>
      <c r="DN140" s="89" t="str">
        <f t="shared" si="110"/>
        <v xml:space="preserve"> DPSPagoda Piste 100 C2165 Unisex</v>
      </c>
      <c r="DO140" s="221"/>
    </row>
    <row r="141" spans="2:119" ht="15.6" customHeight="1">
      <c r="B141" s="219" t="b">
        <f t="array" ref="B141">IF(OR(ISERROR(K141:P141)),FALSE,TRUE)</f>
        <v>1</v>
      </c>
      <c r="C141" s="43" t="b">
        <f>OR(BR141=Driver!$G$50,Data!BR72=Driver!$H$50)</f>
        <v>1</v>
      </c>
      <c r="D141" s="43" t="b">
        <f>OR(BV141=Driver!$G$51,BV141=Driver!$H$51)</f>
        <v>1</v>
      </c>
      <c r="E141" s="43" t="b">
        <f>AND(BX141&gt;Driver!$F$54,BX141&lt;Driver!$G$54)</f>
        <v>0</v>
      </c>
      <c r="F141" s="43" t="b">
        <f>CL141&gt;Driver!$F$56</f>
        <v>1</v>
      </c>
      <c r="G141" s="43" t="b">
        <f>AND(CB141&gt;Driver!$F$55,CB141&lt;Driver!$G$55)</f>
        <v>0</v>
      </c>
      <c r="H141" s="43" t="b">
        <f t="shared" si="74"/>
        <v>0</v>
      </c>
      <c r="I141" s="43">
        <f t="shared" si="75"/>
        <v>0</v>
      </c>
      <c r="J141" s="43" t="b">
        <f t="array" ref="J141">NOT(OR(($H$9:$H$1273=TRUE)*($I$9:$I$1273&gt;0)*($BT$9:$BT$1273=BT141)*($K$9:$K$1273&gt;K141)))</f>
        <v>1</v>
      </c>
      <c r="K141" s="72">
        <f t="shared" si="76"/>
        <v>0.82946675355982635</v>
      </c>
      <c r="L141" s="72">
        <f t="shared" si="77"/>
        <v>0.92991032862844214</v>
      </c>
      <c r="M141" s="72">
        <f t="shared" si="78"/>
        <v>0.72902317849121057</v>
      </c>
      <c r="N141" s="72">
        <f t="shared" si="79"/>
        <v>0.7498886111171148</v>
      </c>
      <c r="O141" s="72">
        <f t="shared" si="80"/>
        <v>0.64746314906074443</v>
      </c>
      <c r="P141" s="72">
        <f t="shared" si="81"/>
        <v>0.78971777529577236</v>
      </c>
      <c r="Q141" s="72"/>
      <c r="R141" s="72"/>
      <c r="S141" s="72">
        <f t="shared" si="82"/>
        <v>0.53283226462405264</v>
      </c>
      <c r="T141" s="72">
        <f t="shared" si="83"/>
        <v>0.58855360218066854</v>
      </c>
      <c r="U141" s="72">
        <f t="shared" si="84"/>
        <v>0.51</v>
      </c>
      <c r="V141" s="72">
        <f t="shared" si="85"/>
        <v>0.49959475578960688</v>
      </c>
      <c r="W141" s="72">
        <f t="shared" si="86"/>
        <v>0.76456791569086646</v>
      </c>
      <c r="X141" s="72">
        <f t="shared" si="87"/>
        <v>7.008967137155786E-2</v>
      </c>
      <c r="Y141" s="72">
        <f t="shared" si="88"/>
        <v>0.27097682150878943</v>
      </c>
      <c r="Z141" s="72">
        <f t="shared" si="89"/>
        <v>0.25011138888288514</v>
      </c>
      <c r="AA141" s="72">
        <f t="shared" si="90"/>
        <v>0.35253685093925557</v>
      </c>
      <c r="AB141" s="72">
        <f t="shared" si="91"/>
        <v>0.21028222470422764</v>
      </c>
      <c r="AC141" s="72"/>
      <c r="AD141" s="72"/>
      <c r="AE141" s="72">
        <f t="shared" si="92"/>
        <v>0.46716773537594741</v>
      </c>
      <c r="AF141" s="72">
        <f t="shared" si="93"/>
        <v>0.4114463978193314</v>
      </c>
      <c r="AG141" s="72">
        <f t="shared" si="94"/>
        <v>0.49</v>
      </c>
      <c r="AH141" s="72">
        <f t="shared" si="95"/>
        <v>0.50040524421039312</v>
      </c>
      <c r="AI141" s="72">
        <f t="shared" si="96"/>
        <v>0.23543208430913348</v>
      </c>
      <c r="AJ141" s="72">
        <f>(AV141-Driver!$K$179)/(Driver!$L$179-Driver!$K$179)</f>
        <v>0.32430908065425829</v>
      </c>
      <c r="AK141" s="72">
        <f>(AW141-Driver!$K$180)/(Driver!$L$180-Driver!$K$180)</f>
        <v>0.45911421428293603</v>
      </c>
      <c r="AL141" s="72">
        <f>(AX141-Driver!$K$181)/(Driver!$L$181-Driver!$K$181)</f>
        <v>0.35179915259596534</v>
      </c>
      <c r="AM141" s="72">
        <f>(AY141-Driver!$K$182)/(Driver!$L$182-Driver!$K$182)</f>
        <v>9.4848170157790804E-2</v>
      </c>
      <c r="AN141" s="72">
        <f>(AZ141-Driver!$K$183)/(Driver!$L$183-Driver!$K$183)</f>
        <v>0.46450163398692806</v>
      </c>
      <c r="AO141" s="72"/>
      <c r="AP141" s="72"/>
      <c r="AQ141" s="72">
        <f>(BC141-Driver!$K$188)/(Driver!$L$188-Driver!$K$188)</f>
        <v>0.15283226462405258</v>
      </c>
      <c r="AR141" s="72">
        <f>MIN((BD141-Driver!$K$189)/(Driver!$L$189-Driver!$K$189),100%)</f>
        <v>0.13855360218066864</v>
      </c>
      <c r="AS141" s="72">
        <f>(BE141-Driver!$K$190)/(Driver!$L$190-Driver!$K$190)</f>
        <v>1</v>
      </c>
      <c r="AT141" s="72">
        <f>(BF141-Driver!$K$191)/(Driver!$L$191-Driver!$K$191)</f>
        <v>9.5947557896068868E-3</v>
      </c>
      <c r="AU141" s="72">
        <f>(BG141-Driver!$K$192)/(Driver!$L$192-Driver!$K$192)</f>
        <v>1.4567915690866509E-2</v>
      </c>
      <c r="AV141" s="70">
        <f t="shared" si="97"/>
        <v>6.8257359924026586</v>
      </c>
      <c r="AW141" s="70">
        <f t="shared" si="98"/>
        <v>46.616640969116887</v>
      </c>
      <c r="AX141" s="70">
        <f t="shared" si="99"/>
        <v>4.1661923733636881</v>
      </c>
      <c r="AY141" s="70">
        <f>IFERROR(Driver!$K$19/Data!BH141/Data!BI141*Data!BK141*Data!BL141,"")</f>
        <v>0.11612246023570819</v>
      </c>
      <c r="AZ141" s="70">
        <f t="shared" si="100"/>
        <v>42.334326135517493</v>
      </c>
      <c r="BA141" s="70"/>
      <c r="BB141" s="70"/>
      <c r="BC141" s="70">
        <f t="shared" si="101"/>
        <v>79.275158133162634</v>
      </c>
      <c r="BD141" s="70">
        <f t="shared" si="102"/>
        <v>13.982571174630982</v>
      </c>
      <c r="BE141" s="70">
        <f t="shared" si="103"/>
        <v>1</v>
      </c>
      <c r="BF141" s="70">
        <f t="shared" si="104"/>
        <v>1.0836602594617071</v>
      </c>
      <c r="BG141" s="70">
        <f t="shared" si="105"/>
        <v>5.5163422131147541E-2</v>
      </c>
      <c r="BH141" s="67">
        <f>MAX((CE141-Driver!$F$200)/(Driver!$G$200-Driver!$F$200)*$BI$1,1)</f>
        <v>4.1661923733636881</v>
      </c>
      <c r="BI141" s="67">
        <f>MAX($BI$1*(BY141-Driver!$F$201)/(Driver!$G$201-Driver!$F$201),1)</f>
        <v>8.6708860759493671</v>
      </c>
      <c r="BJ141" s="67">
        <f>(CB141-Driver!$F$206)/(Driver!$G$206-Driver!$F$206)*$BI$1</f>
        <v>3.6507936507936507</v>
      </c>
      <c r="BK141" s="67">
        <f>(CD141-Driver!$F$203)/(Driver!$G$203-Driver!$F$203)*$BI$1</f>
        <v>3.5779816513761471</v>
      </c>
      <c r="BL141" s="67">
        <f>MAX((CR141-Driver!$F$202)/(Driver!$G$202-Driver!$F$202)*$BI$1,1)</f>
        <v>5.8620689655172411</v>
      </c>
      <c r="BM141" s="67">
        <f>MAX((CH141-Driver!$F$204)/(Driver!$G$204-Driver!$F$204)*$BI$1,1)</f>
        <v>7.4786324786324787</v>
      </c>
      <c r="BN141" s="67">
        <f>(CI141-Driver!$F$205)/(Driver!$G$205-Driver!$F$205)*$BI$1</f>
        <v>4.8823529411764701</v>
      </c>
      <c r="BO141" s="67">
        <f>(CK141-Driver!$F$207)/(Driver!$G$207-Driver!$F$207)*$BI$1</f>
        <v>0.81695966907962769</v>
      </c>
      <c r="BP141" s="67">
        <f>(CM141-Driver!$F$208)/(Driver!$G$208-Driver!$F$208)*$BI$1</f>
        <v>1.3</v>
      </c>
      <c r="BQ141" s="67">
        <f>(CL141-Driver!$F$209)/(Driver!$G$209-Driver!$F$209)*$BI$1</f>
        <v>1.71875</v>
      </c>
      <c r="BR141" s="28" t="s">
        <v>155</v>
      </c>
      <c r="BS141" s="8" t="s">
        <v>182</v>
      </c>
      <c r="BT141" s="9" t="s">
        <v>310</v>
      </c>
      <c r="BU141" s="10">
        <v>176</v>
      </c>
      <c r="BV141" s="9" t="s">
        <v>158</v>
      </c>
      <c r="BW141" s="10">
        <v>176</v>
      </c>
      <c r="BX141" s="10">
        <v>175.4</v>
      </c>
      <c r="BY141" s="10">
        <v>145</v>
      </c>
      <c r="BZ141" s="10">
        <v>154</v>
      </c>
      <c r="CA141" s="10">
        <v>131</v>
      </c>
      <c r="CB141" s="10">
        <v>87</v>
      </c>
      <c r="CC141" s="10">
        <v>111</v>
      </c>
      <c r="CD141" s="10">
        <v>17.2</v>
      </c>
      <c r="CE141" s="10">
        <v>1632</v>
      </c>
      <c r="CF141" s="10">
        <v>1.08</v>
      </c>
      <c r="CG141" s="10">
        <v>1766</v>
      </c>
      <c r="CH141" s="10">
        <v>276</v>
      </c>
      <c r="CI141" s="10">
        <v>116</v>
      </c>
      <c r="CJ141" s="10">
        <v>40</v>
      </c>
      <c r="CK141" s="10">
        <v>189</v>
      </c>
      <c r="CL141" s="10">
        <v>11</v>
      </c>
      <c r="CM141" s="10">
        <v>117</v>
      </c>
      <c r="CN141" s="10">
        <v>0.27200000000000002</v>
      </c>
      <c r="CO141" s="10">
        <v>138</v>
      </c>
      <c r="CP141" s="10">
        <v>80</v>
      </c>
      <c r="CQ141" s="10">
        <v>51</v>
      </c>
      <c r="CR141" s="10">
        <v>6</v>
      </c>
      <c r="CS141" s="10">
        <v>11.8</v>
      </c>
      <c r="CT141" s="9" t="s">
        <v>188</v>
      </c>
      <c r="CU141" s="9" t="s">
        <v>185</v>
      </c>
      <c r="CV141" s="10"/>
      <c r="CW141" s="10"/>
      <c r="CX141" t="str">
        <f>INDEX('Data_Price '!AG$2:AG$1266,MATCH(Data!$DN141,'Data_Price '!$AT$2:$AT$1266,0))</f>
        <v>Armada Declivity 88 C Skis 2022</v>
      </c>
      <c r="CY141" t="str">
        <f>INDEX('Data_Price '!AH$2:AH$1266,MATCH(Data!$DN141,'Data_Price '!$AT$2:$AT$1266,0))</f>
        <v>sunandski.com</v>
      </c>
      <c r="CZ141">
        <f>INDEX('Data_Price '!AI$2:AI$1266,MATCH(Data!$DN141,'Data_Price '!$AT$2:$AT$1266,0))</f>
        <v>479.93</v>
      </c>
      <c r="DA141" t="str">
        <f>INDEX('Data_Price '!AJ$2:AJ$1266,MATCH(Data!$DN141,'Data_Price '!$AT$2:$AT$1266,0))</f>
        <v>https://tinyurl.com/y929exft</v>
      </c>
      <c r="DB141" t="str">
        <f>INDEX('Data_Price '!AK$2:AK$1266,MATCH(Data!$DN141,'Data_Price '!$AT$2:$AT$1266,0))</f>
        <v>Armada Declivity 88 C Skis 2022</v>
      </c>
      <c r="DC141" t="str">
        <f>INDEX('Data_Price '!AL$2:AL$1266,MATCH(Data!$DN141,'Data_Price '!$AT$2:$AT$1266,0))</f>
        <v>Ski Pro  - Snow Ski &amp; Snowboard</v>
      </c>
      <c r="DD141">
        <f>INDEX('Data_Price '!AM$2:AM$1266,MATCH(Data!$DN141,'Data_Price '!$AT$2:$AT$1266,0))</f>
        <v>479.95</v>
      </c>
      <c r="DE141" t="str">
        <f>INDEX('Data_Price '!AN$2:AN$1266,MATCH(Data!$DN141,'Data_Price '!$AT$2:$AT$1266,0))</f>
        <v>https://tinyurl.com/ybl5hfct</v>
      </c>
      <c r="DF141" t="str">
        <f>INDEX('Data_Price '!AO$2:AO$1266,MATCH(Data!$DN141,'Data_Price '!$AT$2:$AT$1266,0))</f>
        <v>Armada Declivity 88 C Skis 2022</v>
      </c>
      <c r="DG141" t="str">
        <f>INDEX('Data_Price '!AP$2:AP$1266,MATCH(Data!$DN141,'Data_Price '!$AT$2:$AT$1266,0))</f>
        <v>Erik's Bike, Board and Ski</v>
      </c>
      <c r="DH141">
        <f>INDEX('Data_Price '!AQ$2:AQ$1266,MATCH(Data!$DN141,'Data_Price '!$AT$2:$AT$1266,0))</f>
        <v>560</v>
      </c>
      <c r="DI141" t="str">
        <f>INDEX('Data_Price '!AR$2:AR$1266,MATCH(Data!$DN141,'Data_Price '!$AT$2:$AT$1266,0))</f>
        <v>https://tinyurl.com/y9rj36ug</v>
      </c>
      <c r="DJ141" s="89" t="str">
        <f t="shared" si="106"/>
        <v>https://tinyurl.com/y929exft</v>
      </c>
      <c r="DK141" s="89" t="str">
        <f t="shared" si="107"/>
        <v>https://tinyurl.com/ybl5hfct</v>
      </c>
      <c r="DL141" s="89" t="str">
        <f t="shared" si="108"/>
        <v>https://tinyurl.com/y9rj36ug</v>
      </c>
      <c r="DM141" s="219" t="str">
        <f t="shared" si="109"/>
        <v>Declivity 88 Ca</v>
      </c>
      <c r="DN141" s="89" t="str">
        <f t="shared" si="110"/>
        <v xml:space="preserve"> ArmadaDeclivity 88 Ca176 Unisex</v>
      </c>
      <c r="DO141" s="221"/>
    </row>
    <row r="142" spans="2:119" ht="15.6" customHeight="1">
      <c r="B142" s="219" t="b">
        <f t="array" ref="B142">IF(OR(ISERROR(K142:P142)),FALSE,TRUE)</f>
        <v>1</v>
      </c>
      <c r="C142" s="43" t="b">
        <f>OR(BR142=Driver!$G$50,Data!BR929=Driver!$H$50)</f>
        <v>1</v>
      </c>
      <c r="D142" s="43" t="b">
        <f>OR(BV142=Driver!$G$51,BV142=Driver!$H$51)</f>
        <v>0</v>
      </c>
      <c r="E142" s="43" t="b">
        <f>AND(BX142&gt;Driver!$F$54,BX142&lt;Driver!$G$54)</f>
        <v>1</v>
      </c>
      <c r="F142" s="43" t="b">
        <f>CL142&gt;Driver!$F$56</f>
        <v>1</v>
      </c>
      <c r="G142" s="43" t="b">
        <f>AND(CB142&gt;Driver!$F$55,CB142&lt;Driver!$G$55)</f>
        <v>0</v>
      </c>
      <c r="H142" s="43" t="b">
        <f t="shared" si="74"/>
        <v>0</v>
      </c>
      <c r="I142" s="43">
        <f t="shared" si="75"/>
        <v>0</v>
      </c>
      <c r="J142" s="43" t="b">
        <f t="array" ref="J142">NOT(OR(($H$9:$H$1273=TRUE)*($I$9:$I$1273&gt;0)*($BT$9:$BT$1273=BT142)*($K$9:$K$1273&gt;K142)))</f>
        <v>1</v>
      </c>
      <c r="K142" s="72">
        <f t="shared" si="76"/>
        <v>0.85430685297646758</v>
      </c>
      <c r="L142" s="72">
        <f t="shared" si="77"/>
        <v>0.94600619703427646</v>
      </c>
      <c r="M142" s="72">
        <f t="shared" si="78"/>
        <v>0.76260750891865869</v>
      </c>
      <c r="N142" s="72">
        <f t="shared" si="79"/>
        <v>0.65439755945076428</v>
      </c>
      <c r="O142" s="72">
        <f t="shared" si="80"/>
        <v>0.64219575410094287</v>
      </c>
      <c r="P142" s="72">
        <f t="shared" si="81"/>
        <v>0.99122921320426904</v>
      </c>
      <c r="Q142" s="72"/>
      <c r="R142" s="72"/>
      <c r="S142" s="72">
        <f t="shared" si="82"/>
        <v>0.44115212696643813</v>
      </c>
      <c r="T142" s="72">
        <f t="shared" si="83"/>
        <v>0.49227038632450215</v>
      </c>
      <c r="U142" s="72">
        <f t="shared" si="84"/>
        <v>0.64216108518733916</v>
      </c>
      <c r="V142" s="72">
        <f t="shared" si="85"/>
        <v>0.54145945835555942</v>
      </c>
      <c r="W142" s="72">
        <f t="shared" si="86"/>
        <v>0.79870878726492589</v>
      </c>
      <c r="X142" s="72">
        <f t="shared" si="87"/>
        <v>5.3993802965723564E-2</v>
      </c>
      <c r="Y142" s="72">
        <f t="shared" si="88"/>
        <v>0.23739249108134128</v>
      </c>
      <c r="Z142" s="72">
        <f t="shared" si="89"/>
        <v>0.34560244054923567</v>
      </c>
      <c r="AA142" s="72">
        <f t="shared" si="90"/>
        <v>0.35780424589905718</v>
      </c>
      <c r="AB142" s="72">
        <f t="shared" si="91"/>
        <v>8.770786795730956E-3</v>
      </c>
      <c r="AC142" s="72"/>
      <c r="AD142" s="72"/>
      <c r="AE142" s="72">
        <f t="shared" si="92"/>
        <v>0.55884787303356187</v>
      </c>
      <c r="AF142" s="72">
        <f t="shared" si="93"/>
        <v>0.50772961367549785</v>
      </c>
      <c r="AG142" s="72">
        <f t="shared" si="94"/>
        <v>0.35783891481266078</v>
      </c>
      <c r="AH142" s="72">
        <f t="shared" si="95"/>
        <v>0.45854054164444058</v>
      </c>
      <c r="AI142" s="72">
        <f t="shared" si="96"/>
        <v>0.20129121273507411</v>
      </c>
      <c r="AJ142" s="72">
        <f>(AV142-Driver!$K$179)/(Driver!$L$179-Driver!$K$179)</f>
        <v>0.20022560631697686</v>
      </c>
      <c r="AK142" s="72">
        <f>(AW142-Driver!$K$180)/(Driver!$L$180-Driver!$K$180)</f>
        <v>0.27942168924811128</v>
      </c>
      <c r="AL142" s="72">
        <f>(AX142-Driver!$K$181)/(Driver!$L$181-Driver!$K$181)</f>
        <v>0.44729020426231586</v>
      </c>
      <c r="AM142" s="72">
        <f>(AY142-Driver!$K$182)/(Driver!$L$182-Driver!$K$182)</f>
        <v>8.9580775197989196E-2</v>
      </c>
      <c r="AN142" s="72">
        <f>(AZ142-Driver!$K$183)/(Driver!$L$183-Driver!$K$183)</f>
        <v>0.26299019607843138</v>
      </c>
      <c r="AO142" s="72"/>
      <c r="AP142" s="72"/>
      <c r="AQ142" s="72">
        <f>(BC142-Driver!$K$188)/(Driver!$L$188-Driver!$K$188)</f>
        <v>6.1152126966438125E-2</v>
      </c>
      <c r="AR142" s="72">
        <f>MIN((BD142-Driver!$K$189)/(Driver!$L$189-Driver!$K$189),100%)</f>
        <v>4.2270386324502196E-2</v>
      </c>
      <c r="AS142" s="72">
        <f>(BE142-Driver!$K$190)/(Driver!$L$190-Driver!$K$190)</f>
        <v>0.15216108518733923</v>
      </c>
      <c r="AT142" s="72">
        <f>(BF142-Driver!$K$191)/(Driver!$L$191-Driver!$K$191)</f>
        <v>5.1459458355559408E-2</v>
      </c>
      <c r="AU142" s="72">
        <f>(BG142-Driver!$K$192)/(Driver!$L$192-Driver!$K$192)</f>
        <v>4.8708787264925904E-2</v>
      </c>
      <c r="AV142" s="70">
        <f t="shared" si="97"/>
        <v>4.2141500474833808</v>
      </c>
      <c r="AW142" s="70">
        <f t="shared" si="98"/>
        <v>29.104012166725596</v>
      </c>
      <c r="AX142" s="70">
        <f t="shared" si="99"/>
        <v>5.0256118383608426</v>
      </c>
      <c r="AY142" s="70">
        <f>IFERROR(Driver!$K$19/Data!BH142/Data!BI142*Data!BK142*Data!BL142,"")</f>
        <v>0.10967359716594352</v>
      </c>
      <c r="AZ142" s="70">
        <f t="shared" si="100"/>
        <v>23.96872673119881</v>
      </c>
      <c r="BA142" s="70"/>
      <c r="BB142" s="70"/>
      <c r="BC142" s="70">
        <f t="shared" si="101"/>
        <v>31.720033380181114</v>
      </c>
      <c r="BD142" s="70">
        <f t="shared" si="102"/>
        <v>5.4616771751235929</v>
      </c>
      <c r="BE142" s="70">
        <f t="shared" si="103"/>
        <v>0.15231233010690834</v>
      </c>
      <c r="BF142" s="70">
        <f t="shared" si="104"/>
        <v>5.8119842981047025</v>
      </c>
      <c r="BG142" s="70">
        <f t="shared" si="105"/>
        <v>0.18444254143205779</v>
      </c>
      <c r="BH142" s="67">
        <f>MAX((CE142-Driver!$F$200)/(Driver!$G$200-Driver!$F$200)*$BI$1,1)</f>
        <v>5.0256118383608426</v>
      </c>
      <c r="BI142" s="67">
        <f>MAX($BI$1*(BY142-Driver!$F$201)/(Driver!$G$201-Driver!$F$201),1)</f>
        <v>7.0253164556962027</v>
      </c>
      <c r="BJ142" s="67">
        <f>(CB142-Driver!$F$206)/(Driver!$G$206-Driver!$F$206)*$BI$1</f>
        <v>5.5555555555555554</v>
      </c>
      <c r="BK142" s="67">
        <f>(CD142-Driver!$F$203)/(Driver!$G$203-Driver!$F$203)*$BI$1</f>
        <v>3.1192660550458715</v>
      </c>
      <c r="BL142" s="67">
        <f>MAX((CR142-Driver!$F$202)/(Driver!$G$202-Driver!$F$202)*$BI$1,1)</f>
        <v>6.2068965517241379</v>
      </c>
      <c r="BM142" s="67">
        <f>MAX((CH142-Driver!$F$204)/(Driver!$G$204-Driver!$F$204)*$BI$1,1)</f>
        <v>3.0341880341880341</v>
      </c>
      <c r="BN142" s="67">
        <f>(CI142-Driver!$F$205)/(Driver!$G$205-Driver!$F$205)*$BI$1</f>
        <v>3.4117647058823533</v>
      </c>
      <c r="BO142" s="67">
        <f>(CK142-Driver!$F$207)/(Driver!$G$207-Driver!$F$207)*$BI$1</f>
        <v>1.468459152016546</v>
      </c>
      <c r="BP142" s="67">
        <f>(CM142-Driver!$F$208)/(Driver!$G$208-Driver!$F$208)*$BI$1</f>
        <v>2.2222222222222223</v>
      </c>
      <c r="BQ142" s="67">
        <f>(CL142-Driver!$F$209)/(Driver!$G$209-Driver!$F$209)*$BI$1</f>
        <v>2.8125</v>
      </c>
      <c r="BR142" s="28" t="s">
        <v>155</v>
      </c>
      <c r="BS142" s="8" t="s">
        <v>332</v>
      </c>
      <c r="BT142" s="9" t="s">
        <v>369</v>
      </c>
      <c r="BU142" s="10">
        <v>165</v>
      </c>
      <c r="BV142" s="9" t="s">
        <v>163</v>
      </c>
      <c r="BW142" s="10">
        <v>165</v>
      </c>
      <c r="BX142" s="10">
        <v>164.4</v>
      </c>
      <c r="BY142" s="10">
        <v>119</v>
      </c>
      <c r="BZ142" s="10">
        <v>135</v>
      </c>
      <c r="CA142" s="10">
        <v>131</v>
      </c>
      <c r="CB142" s="10">
        <v>99</v>
      </c>
      <c r="CC142" s="10">
        <v>117</v>
      </c>
      <c r="CD142" s="10">
        <v>16.2</v>
      </c>
      <c r="CE142" s="10">
        <v>1783</v>
      </c>
      <c r="CF142" s="10">
        <v>1.01</v>
      </c>
      <c r="CG142" s="10">
        <v>1798</v>
      </c>
      <c r="CH142" s="10">
        <v>172</v>
      </c>
      <c r="CI142" s="10">
        <v>91</v>
      </c>
      <c r="CJ142" s="10">
        <v>51</v>
      </c>
      <c r="CK142" s="10">
        <v>252</v>
      </c>
      <c r="CL142" s="10">
        <v>18</v>
      </c>
      <c r="CM142" s="10">
        <v>200</v>
      </c>
      <c r="CN142" s="10">
        <v>0.35599999999999998</v>
      </c>
      <c r="CO142" s="10">
        <v>154</v>
      </c>
      <c r="CP142" s="10">
        <v>143</v>
      </c>
      <c r="CQ142" s="10">
        <v>98</v>
      </c>
      <c r="CR142" s="10">
        <v>7</v>
      </c>
      <c r="CS142" s="10">
        <v>8.5</v>
      </c>
      <c r="CT142" s="9" t="s">
        <v>188</v>
      </c>
      <c r="CU142" s="10"/>
      <c r="CV142" s="10"/>
      <c r="CW142" s="10"/>
      <c r="CX142" t="str">
        <f>INDEX('Data_Price '!AG$2:AG$1266,MATCH(Data!$DN142,'Data_Price '!$AT$2:$AT$1266,0))</f>
        <v>Nordica Santa Ana 98 21/22</v>
      </c>
      <c r="CY142" t="str">
        <f>INDEX('Data_Price '!AH$2:AH$1266,MATCH(Data!$DN142,'Data_Price '!$AT$2:$AT$1266,0))</f>
        <v>Snowcountry.eu</v>
      </c>
      <c r="CZ142">
        <f>INDEX('Data_Price '!AI$2:AI$1266,MATCH(Data!$DN142,'Data_Price '!$AT$2:$AT$1266,0))</f>
        <v>386.34</v>
      </c>
      <c r="DA142" t="str">
        <f>INDEX('Data_Price '!AJ$2:AJ$1266,MATCH(Data!$DN142,'Data_Price '!$AT$2:$AT$1266,0))</f>
        <v>https://tinyurl.com/ycqhmk49</v>
      </c>
      <c r="DB142" t="str">
        <f>INDEX('Data_Price '!AK$2:AK$1266,MATCH(Data!$DN142,'Data_Price '!$AT$2:$AT$1266,0))</f>
        <v>Nordica Santa Ana 98 2022 (Size: 165) | By Alpine Shop Vermont</v>
      </c>
      <c r="DC142" t="str">
        <f>INDEX('Data_Price '!AL$2:AL$1266,MATCH(Data!$DN142,'Data_Price '!$AT$2:$AT$1266,0))</f>
        <v>AlpineShopVT.com</v>
      </c>
      <c r="DD142">
        <f>INDEX('Data_Price '!AM$2:AM$1266,MATCH(Data!$DN142,'Data_Price '!$AT$2:$AT$1266,0))</f>
        <v>559.99</v>
      </c>
      <c r="DE142" t="str">
        <f>INDEX('Data_Price '!AN$2:AN$1266,MATCH(Data!$DN142,'Data_Price '!$AT$2:$AT$1266,0))</f>
        <v>https://tinyurl.com/y9w2l4nj</v>
      </c>
      <c r="DF142" t="str">
        <f>INDEX('Data_Price '!AO$2:AO$1266,MATCH(Data!$DN142,'Data_Price '!$AT$2:$AT$1266,0))</f>
        <v>Nordica Santa Ana 98 Flat Skis - Women's 2022 165cm</v>
      </c>
      <c r="DG142" t="str">
        <f>INDEX('Data_Price '!AP$2:AP$1266,MATCH(Data!$DN142,'Data_Price '!$AT$2:$AT$1266,0))</f>
        <v>Glacier Ski Shop</v>
      </c>
      <c r="DH142">
        <f>INDEX('Data_Price '!AQ$2:AQ$1266,MATCH(Data!$DN142,'Data_Price '!$AT$2:$AT$1266,0))</f>
        <v>629</v>
      </c>
      <c r="DI142" t="str">
        <f>INDEX('Data_Price '!AR$2:AR$1266,MATCH(Data!$DN142,'Data_Price '!$AT$2:$AT$1266,0))</f>
        <v>https://tinyurl.com/ybe5ovpw</v>
      </c>
      <c r="DJ142" s="89" t="str">
        <f t="shared" si="106"/>
        <v>https://tinyurl.com/ycqhmk49</v>
      </c>
      <c r="DK142" s="89" t="str">
        <f t="shared" si="107"/>
        <v>https://tinyurl.com/y9w2l4nj</v>
      </c>
      <c r="DL142" s="89" t="str">
        <f t="shared" si="108"/>
        <v>https://tinyurl.com/ybe5ovpw</v>
      </c>
      <c r="DM142" s="219" t="str">
        <f t="shared" si="109"/>
        <v>Santa Ana 98</v>
      </c>
      <c r="DN142" s="89" t="str">
        <f t="shared" si="110"/>
        <v xml:space="preserve"> NordicaSanta Ana 98165 Women's</v>
      </c>
      <c r="DO142" s="221" t="s">
        <v>370</v>
      </c>
    </row>
    <row r="143" spans="2:119" ht="15.6" customHeight="1">
      <c r="B143" s="219" t="b">
        <f t="array" ref="B143">IF(OR(ISERROR(K143:P143)),FALSE,TRUE)</f>
        <v>1</v>
      </c>
      <c r="C143" s="43" t="b">
        <f>OR(BR143=Driver!$G$50,Data!BR237=Driver!$H$50)</f>
        <v>1</v>
      </c>
      <c r="D143" s="43" t="b">
        <f>OR(BV143=Driver!$G$51,BV143=Driver!$H$51)</f>
        <v>1</v>
      </c>
      <c r="E143" s="43" t="b">
        <f>AND(BX143&gt;Driver!$F$54,BX143&lt;Driver!$G$54)</f>
        <v>0</v>
      </c>
      <c r="F143" s="43" t="b">
        <f>CL143&gt;Driver!$F$56</f>
        <v>1</v>
      </c>
      <c r="G143" s="43" t="b">
        <f>AND(CB143&gt;Driver!$F$55,CB143&lt;Driver!$G$55)</f>
        <v>0</v>
      </c>
      <c r="H143" s="43" t="b">
        <f t="shared" si="74"/>
        <v>0</v>
      </c>
      <c r="I143" s="43">
        <f t="shared" si="75"/>
        <v>0</v>
      </c>
      <c r="J143" s="43" t="b">
        <f t="array" ref="J143">NOT(OR(($H$9:$H$1273=TRUE)*($I$9:$I$1273&gt;0)*($BT$9:$BT$1273=BT143)*($K$9:$K$1273&gt;K143)))</f>
        <v>1</v>
      </c>
      <c r="K143" s="72">
        <f t="shared" si="76"/>
        <v>0.86416443865797543</v>
      </c>
      <c r="L143" s="72">
        <f t="shared" si="77"/>
        <v>0.91071492316432234</v>
      </c>
      <c r="M143" s="72">
        <f t="shared" si="78"/>
        <v>0.81761395415162863</v>
      </c>
      <c r="N143" s="72">
        <f t="shared" si="79"/>
        <v>0.76063925931796228</v>
      </c>
      <c r="O143" s="72">
        <f t="shared" si="80"/>
        <v>0.73602240954049791</v>
      </c>
      <c r="P143" s="72">
        <f t="shared" si="81"/>
        <v>0.95618019359642581</v>
      </c>
      <c r="Q143" s="72"/>
      <c r="R143" s="72"/>
      <c r="S143" s="72">
        <f t="shared" si="82"/>
        <v>0.52709315838937931</v>
      </c>
      <c r="T143" s="72">
        <f t="shared" si="83"/>
        <v>0.47672428352255569</v>
      </c>
      <c r="U143" s="72">
        <f t="shared" si="84"/>
        <v>0.55080516394009926</v>
      </c>
      <c r="V143" s="72">
        <f t="shared" si="85"/>
        <v>0.53967861366170577</v>
      </c>
      <c r="W143" s="72">
        <f t="shared" si="86"/>
        <v>0.80065372829417769</v>
      </c>
      <c r="X143" s="72">
        <f t="shared" si="87"/>
        <v>8.9285076835677657E-2</v>
      </c>
      <c r="Y143" s="72">
        <f t="shared" si="88"/>
        <v>0.18238604584837134</v>
      </c>
      <c r="Z143" s="72">
        <f t="shared" si="89"/>
        <v>0.23936074068203778</v>
      </c>
      <c r="AA143" s="72">
        <f t="shared" si="90"/>
        <v>0.26397759045950209</v>
      </c>
      <c r="AB143" s="72">
        <f t="shared" si="91"/>
        <v>4.3819806403574135E-2</v>
      </c>
      <c r="AC143" s="72"/>
      <c r="AD143" s="72"/>
      <c r="AE143" s="72">
        <f t="shared" si="92"/>
        <v>0.47290684161062069</v>
      </c>
      <c r="AF143" s="72">
        <f t="shared" si="93"/>
        <v>0.52327571647744431</v>
      </c>
      <c r="AG143" s="72">
        <f t="shared" si="94"/>
        <v>0.44919483605990079</v>
      </c>
      <c r="AH143" s="72">
        <f t="shared" si="95"/>
        <v>0.46032138633829423</v>
      </c>
      <c r="AI143" s="72">
        <f t="shared" si="96"/>
        <v>0.19934627170582228</v>
      </c>
      <c r="AJ143" s="72">
        <f>(AV143-Driver!$K$179)/(Driver!$L$179-Driver!$K$179)</f>
        <v>0.16493433244702277</v>
      </c>
      <c r="AK143" s="72">
        <f>(AW143-Driver!$K$180)/(Driver!$L$180-Driver!$K$180)</f>
        <v>0.30356559497830399</v>
      </c>
      <c r="AL143" s="72">
        <f>(AX143-Driver!$K$181)/(Driver!$L$181-Driver!$K$181)</f>
        <v>0.34104850439511797</v>
      </c>
      <c r="AM143" s="72">
        <f>(AY143-Driver!$K$182)/(Driver!$L$182-Driver!$K$182)</f>
        <v>0.18340743063754425</v>
      </c>
      <c r="AN143" s="72">
        <f>(AZ143-Driver!$K$183)/(Driver!$L$183-Driver!$K$183)</f>
        <v>0.29803921568627456</v>
      </c>
      <c r="AO143" s="72"/>
      <c r="AP143" s="72"/>
      <c r="AQ143" s="72">
        <f>(BC143-Driver!$K$188)/(Driver!$L$188-Driver!$K$188)</f>
        <v>0.14709315838937931</v>
      </c>
      <c r="AR143" s="72">
        <f>MIN((BD143-Driver!$K$189)/(Driver!$L$189-Driver!$K$189),100%)</f>
        <v>2.6724283522555778E-2</v>
      </c>
      <c r="AS143" s="72">
        <f>(BE143-Driver!$K$190)/(Driver!$L$190-Driver!$K$190)</f>
        <v>6.0805163940099202E-2</v>
      </c>
      <c r="AT143" s="72">
        <f>(BF143-Driver!$K$191)/(Driver!$L$191-Driver!$K$191)</f>
        <v>4.9678613661705798E-2</v>
      </c>
      <c r="AU143" s="72">
        <f>(BG143-Driver!$K$192)/(Driver!$L$192-Driver!$K$192)</f>
        <v>5.0653728294177726E-2</v>
      </c>
      <c r="AV143" s="70">
        <f t="shared" si="97"/>
        <v>3.4713743047076377</v>
      </c>
      <c r="AW143" s="70">
        <f t="shared" si="98"/>
        <v>31.457049716901089</v>
      </c>
      <c r="AX143" s="70">
        <f t="shared" si="99"/>
        <v>4.0694365395560617</v>
      </c>
      <c r="AY143" s="70">
        <f>IFERROR(Driver!$K$19/Data!BH143/Data!BI143*Data!BK143*Data!BL143,"")</f>
        <v>0.22454541859595645</v>
      </c>
      <c r="AZ143" s="70">
        <f t="shared" si="100"/>
        <v>27.163067758749072</v>
      </c>
      <c r="BA143" s="70"/>
      <c r="BB143" s="70"/>
      <c r="BC143" s="70">
        <f t="shared" si="101"/>
        <v>76.298243831618336</v>
      </c>
      <c r="BD143" s="70">
        <f t="shared" si="102"/>
        <v>4.0858746232155134</v>
      </c>
      <c r="BE143" s="70">
        <f t="shared" si="103"/>
        <v>6.0972705727764122E-2</v>
      </c>
      <c r="BF143" s="70">
        <f t="shared" si="104"/>
        <v>5.610850401075993</v>
      </c>
      <c r="BG143" s="70">
        <f t="shared" si="105"/>
        <v>0.19180732890704799</v>
      </c>
      <c r="BH143" s="67">
        <f>MAX((CE143-Driver!$F$200)/(Driver!$G$200-Driver!$F$200)*$BI$1,1)</f>
        <v>4.0694365395560617</v>
      </c>
      <c r="BI143" s="67">
        <f>MAX($BI$1*(BY143-Driver!$F$201)/(Driver!$G$201-Driver!$F$201),1)</f>
        <v>6.075949367088608</v>
      </c>
      <c r="BJ143" s="67">
        <f>(CB143-Driver!$F$206)/(Driver!$G$206-Driver!$F$206)*$BI$1</f>
        <v>3.6507936507936507</v>
      </c>
      <c r="BK143" s="67">
        <f>(CD143-Driver!$F$203)/(Driver!$G$203-Driver!$F$203)*$BI$1</f>
        <v>5.3669724770642215</v>
      </c>
      <c r="BL143" s="67">
        <f>MAX((CR143-Driver!$F$202)/(Driver!$G$202-Driver!$F$202)*$BI$1,1)</f>
        <v>5.1724137931034484</v>
      </c>
      <c r="BM143" s="67">
        <f>MAX((CH143-Driver!$F$204)/(Driver!$G$204-Driver!$F$204)*$BI$1,1)</f>
        <v>3.8034188034188032</v>
      </c>
      <c r="BN143" s="67">
        <f>(CI143-Driver!$F$205)/(Driver!$G$205-Driver!$F$205)*$BI$1</f>
        <v>4.4705882352941178</v>
      </c>
      <c r="BO143" s="67">
        <f>(CK143-Driver!$F$207)/(Driver!$G$207-Driver!$F$207)*$BI$1</f>
        <v>2.9576008273009307</v>
      </c>
      <c r="BP143" s="67">
        <f>(CM143-Driver!$F$208)/(Driver!$G$208-Driver!$F$208)*$BI$1</f>
        <v>2.7888888888888892</v>
      </c>
      <c r="BQ143" s="67">
        <f>(CL143-Driver!$F$209)/(Driver!$G$209-Driver!$F$209)*$BI$1</f>
        <v>2.96875</v>
      </c>
      <c r="BR143" s="28" t="s">
        <v>155</v>
      </c>
      <c r="BS143" s="8" t="s">
        <v>237</v>
      </c>
      <c r="BT143" s="9" t="s">
        <v>371</v>
      </c>
      <c r="BU143" s="10">
        <v>169.2</v>
      </c>
      <c r="BV143" s="9" t="s">
        <v>158</v>
      </c>
      <c r="BW143" s="10">
        <v>169.2</v>
      </c>
      <c r="BX143" s="10">
        <v>168.8</v>
      </c>
      <c r="BY143" s="10">
        <v>104</v>
      </c>
      <c r="BZ143" s="10">
        <v>151</v>
      </c>
      <c r="CA143" s="10">
        <v>122</v>
      </c>
      <c r="CB143" s="10">
        <v>87</v>
      </c>
      <c r="CC143" s="10">
        <v>106</v>
      </c>
      <c r="CD143" s="10">
        <v>21.1</v>
      </c>
      <c r="CE143" s="10">
        <v>1615</v>
      </c>
      <c r="CF143" s="10">
        <v>1.02</v>
      </c>
      <c r="CG143" s="10">
        <v>1640</v>
      </c>
      <c r="CH143" s="10">
        <v>190</v>
      </c>
      <c r="CI143" s="10">
        <v>109</v>
      </c>
      <c r="CJ143" s="10">
        <v>43</v>
      </c>
      <c r="CK143" s="10">
        <v>396</v>
      </c>
      <c r="CL143" s="10">
        <v>19</v>
      </c>
      <c r="CM143" s="10">
        <v>251</v>
      </c>
      <c r="CN143" s="10">
        <v>0.45</v>
      </c>
      <c r="CO143" s="10">
        <v>97</v>
      </c>
      <c r="CP143" s="10">
        <v>78</v>
      </c>
      <c r="CQ143" s="10">
        <v>299</v>
      </c>
      <c r="CR143" s="10">
        <v>4</v>
      </c>
      <c r="CS143" s="10">
        <v>9.9</v>
      </c>
      <c r="CT143" s="9" t="s">
        <v>188</v>
      </c>
      <c r="CU143" s="10"/>
      <c r="CV143" s="10"/>
      <c r="CW143" s="10"/>
      <c r="CX143" t="str">
        <f>INDEX('Data_Price '!AG$2:AG$1266,MATCH(Data!$DN143,'Data_Price '!$AT$2:$AT$1266,0))</f>
        <v>Black Crows Orb Skis</v>
      </c>
      <c r="CY143" t="str">
        <f>INDEX('Data_Price '!AH$2:AH$1266,MATCH(Data!$DN143,'Data_Price '!$AT$2:$AT$1266,0))</f>
        <v>evo.com</v>
      </c>
      <c r="CZ143">
        <f>INDEX('Data_Price '!AI$2:AI$1266,MATCH(Data!$DN143,'Data_Price '!$AT$2:$AT$1266,0))</f>
        <v>671.96</v>
      </c>
      <c r="DA143" t="str">
        <f>INDEX('Data_Price '!AJ$2:AJ$1266,MATCH(Data!$DN143,'Data_Price '!$AT$2:$AT$1266,0))</f>
        <v>https://tinyurl.com/y9o7zuvn</v>
      </c>
      <c r="DB143" t="str">
        <f>INDEX('Data_Price '!AK$2:AK$1266,MATCH(Data!$DN143,'Data_Price '!$AT$2:$AT$1266,0))</f>
        <v>Black Crows Orb Skis</v>
      </c>
      <c r="DC143" t="str">
        <f>INDEX('Data_Price '!AL$2:AL$1266,MATCH(Data!$DN143,'Data_Price '!$AT$2:$AT$1266,0))</f>
        <v>SkiEssentials.com</v>
      </c>
      <c r="DD143">
        <f>INDEX('Data_Price '!AM$2:AM$1266,MATCH(Data!$DN143,'Data_Price '!$AT$2:$AT$1266,0))</f>
        <v>671.96</v>
      </c>
      <c r="DE143" t="str">
        <f>INDEX('Data_Price '!AN$2:AN$1266,MATCH(Data!$DN143,'Data_Price '!$AT$2:$AT$1266,0))</f>
        <v>https://tinyurl.com/ycf8ejph</v>
      </c>
      <c r="DF143" t="str">
        <f>INDEX('Data_Price '!AO$2:AO$1266,MATCH(Data!$DN143,'Data_Price '!$AT$2:$AT$1266,0))</f>
        <v>Black Crows Orb Skis</v>
      </c>
      <c r="DG143" t="str">
        <f>INDEX('Data_Price '!AP$2:AP$1266,MATCH(Data!$DN143,'Data_Price '!$AT$2:$AT$1266,0))</f>
        <v>Powder7 Ski Shop</v>
      </c>
      <c r="DH143">
        <f>INDEX('Data_Price '!AQ$2:AQ$1266,MATCH(Data!$DN143,'Data_Price '!$AT$2:$AT$1266,0))</f>
        <v>671.96</v>
      </c>
      <c r="DI143" t="str">
        <f>INDEX('Data_Price '!AR$2:AR$1266,MATCH(Data!$DN143,'Data_Price '!$AT$2:$AT$1266,0))</f>
        <v>https://tinyurl.com/ybj3eolz</v>
      </c>
      <c r="DJ143" s="89" t="str">
        <f t="shared" si="106"/>
        <v>https://tinyurl.com/y9o7zuvn</v>
      </c>
      <c r="DK143" s="89" t="str">
        <f t="shared" si="107"/>
        <v>https://tinyurl.com/ycf8ejph</v>
      </c>
      <c r="DL143" s="89" t="str">
        <f t="shared" si="108"/>
        <v>https://tinyurl.com/ybj3eolz</v>
      </c>
      <c r="DM143" s="219" t="str">
        <f t="shared" si="109"/>
        <v>Orb</v>
      </c>
      <c r="DN143" s="89" t="str">
        <f t="shared" si="110"/>
        <v xml:space="preserve"> Black CrowsOrb169.2 Unisex</v>
      </c>
      <c r="DO143" s="221" t="s">
        <v>372</v>
      </c>
    </row>
    <row r="144" spans="2:119" ht="15.6" customHeight="1">
      <c r="B144" s="219" t="b">
        <f t="array" ref="B144">IF(OR(ISERROR(K144:P144)),FALSE,TRUE)</f>
        <v>1</v>
      </c>
      <c r="C144" s="43" t="b">
        <f>OR(BR144=Driver!$G$50,Data!BR112=Driver!$H$50)</f>
        <v>1</v>
      </c>
      <c r="D144" s="43" t="b">
        <f>OR(BV144=Driver!$G$51,BV144=Driver!$H$51)</f>
        <v>1</v>
      </c>
      <c r="E144" s="43" t="b">
        <f>AND(BX144&gt;Driver!$F$54,BX144&lt;Driver!$G$54)</f>
        <v>0</v>
      </c>
      <c r="F144" s="43" t="b">
        <f>CL144&gt;Driver!$F$56</f>
        <v>1</v>
      </c>
      <c r="G144" s="43" t="b">
        <f>AND(CB144&gt;Driver!$F$55,CB144&lt;Driver!$G$55)</f>
        <v>0</v>
      </c>
      <c r="H144" s="43" t="b">
        <f t="shared" si="74"/>
        <v>0</v>
      </c>
      <c r="I144" s="43">
        <f t="shared" si="75"/>
        <v>0</v>
      </c>
      <c r="J144" s="43" t="b">
        <f t="array" ref="J144">NOT(OR(($H$9:$H$1273=TRUE)*($I$9:$I$1273&gt;0)*($BT$9:$BT$1273=BT144)*($K$9:$K$1273&gt;K144)))</f>
        <v>1</v>
      </c>
      <c r="K144" s="72">
        <f t="shared" si="76"/>
        <v>0.8776417417214436</v>
      </c>
      <c r="L144" s="72">
        <f t="shared" si="77"/>
        <v>0.99098518158146764</v>
      </c>
      <c r="M144" s="72">
        <f t="shared" si="78"/>
        <v>0.76429830186141945</v>
      </c>
      <c r="N144" s="72">
        <f t="shared" si="79"/>
        <v>0.76949273430689535</v>
      </c>
      <c r="O144" s="72">
        <f t="shared" si="80"/>
        <v>0.6613396247397606</v>
      </c>
      <c r="P144" s="72">
        <f t="shared" si="81"/>
        <v>0.86206254653760239</v>
      </c>
      <c r="Q144" s="72"/>
      <c r="R144" s="72"/>
      <c r="S144" s="72">
        <f t="shared" si="82"/>
        <v>0.4973866997828521</v>
      </c>
      <c r="T144" s="72">
        <f t="shared" si="83"/>
        <v>0.48208018703114408</v>
      </c>
      <c r="U144" s="72">
        <f t="shared" si="84"/>
        <v>0.72467749259758762</v>
      </c>
      <c r="V144" s="72">
        <f t="shared" si="85"/>
        <v>0.52464660755520587</v>
      </c>
      <c r="W144" s="72">
        <f t="shared" si="86"/>
        <v>0.79644663467773313</v>
      </c>
      <c r="X144" s="72">
        <f t="shared" si="87"/>
        <v>9.0148184185322999E-3</v>
      </c>
      <c r="Y144" s="72">
        <f t="shared" si="88"/>
        <v>0.23570169813858058</v>
      </c>
      <c r="Z144" s="72">
        <f t="shared" si="89"/>
        <v>0.23050726569310465</v>
      </c>
      <c r="AA144" s="72">
        <f t="shared" si="90"/>
        <v>0.3386603752602394</v>
      </c>
      <c r="AB144" s="72">
        <f t="shared" si="91"/>
        <v>0.13793745346239766</v>
      </c>
      <c r="AC144" s="72"/>
      <c r="AD144" s="72"/>
      <c r="AE144" s="72">
        <f t="shared" si="92"/>
        <v>0.5026133002171479</v>
      </c>
      <c r="AF144" s="72">
        <f t="shared" si="93"/>
        <v>0.51791981296885592</v>
      </c>
      <c r="AG144" s="72">
        <f t="shared" si="94"/>
        <v>0.27532250740241238</v>
      </c>
      <c r="AH144" s="72">
        <f t="shared" si="95"/>
        <v>0.47535339244479419</v>
      </c>
      <c r="AI144" s="72">
        <f t="shared" si="96"/>
        <v>0.20355336532226689</v>
      </c>
      <c r="AJ144" s="72">
        <f>(AV144-Driver!$K$179)/(Driver!$L$179-Driver!$K$179)</f>
        <v>0.26323422770123273</v>
      </c>
      <c r="AK144" s="72">
        <f>(AW144-Driver!$K$180)/(Driver!$L$180-Driver!$K$180)</f>
        <v>0.38982450983469441</v>
      </c>
      <c r="AL144" s="72">
        <f>(AX144-Driver!$K$181)/(Driver!$L$181-Driver!$K$181)</f>
        <v>0.33219502940618484</v>
      </c>
      <c r="AM144" s="72">
        <f>(AY144-Driver!$K$182)/(Driver!$L$182-Driver!$K$182)</f>
        <v>0.10872464583680699</v>
      </c>
      <c r="AN144" s="72">
        <f>(AZ144-Driver!$K$183)/(Driver!$L$183-Driver!$K$183)</f>
        <v>0.39215686274509809</v>
      </c>
      <c r="AO144" s="72"/>
      <c r="AP144" s="72"/>
      <c r="AQ144" s="72">
        <f>(BC144-Driver!$K$188)/(Driver!$L$188-Driver!$K$188)</f>
        <v>0.1173866997828521</v>
      </c>
      <c r="AR144" s="72">
        <f>MIN((BD144-Driver!$K$189)/(Driver!$L$189-Driver!$K$189),100%)</f>
        <v>3.2080187031144097E-2</v>
      </c>
      <c r="AS144" s="72">
        <f>(BE144-Driver!$K$190)/(Driver!$L$190-Driver!$K$190)</f>
        <v>0.23467749259758763</v>
      </c>
      <c r="AT144" s="72">
        <f>(BF144-Driver!$K$191)/(Driver!$L$191-Driver!$K$191)</f>
        <v>3.4646607555205808E-2</v>
      </c>
      <c r="AU144" s="72">
        <f>(BG144-Driver!$K$192)/(Driver!$L$192-Driver!$K$192)</f>
        <v>4.6446634677733106E-2</v>
      </c>
      <c r="AV144" s="70">
        <f t="shared" si="97"/>
        <v>5.5402930402930401</v>
      </c>
      <c r="AW144" s="70">
        <f t="shared" si="98"/>
        <v>39.863745301396214</v>
      </c>
      <c r="AX144" s="70">
        <f t="shared" si="99"/>
        <v>3.9897552646556633</v>
      </c>
      <c r="AY144" s="70">
        <f>IFERROR(Driver!$K$19/Data!BH144/Data!BI144*Data!BK144*Data!BL144,"")</f>
        <v>0.13311140680755695</v>
      </c>
      <c r="AZ144" s="70">
        <f t="shared" si="100"/>
        <v>35.740878629932993</v>
      </c>
      <c r="BA144" s="70"/>
      <c r="BB144" s="70"/>
      <c r="BC144" s="70">
        <f t="shared" si="101"/>
        <v>60.889297236462873</v>
      </c>
      <c r="BD144" s="70">
        <f t="shared" si="102"/>
        <v>4.5598625936261215</v>
      </c>
      <c r="BE144" s="70">
        <f t="shared" si="103"/>
        <v>0.23481401751883646</v>
      </c>
      <c r="BF144" s="70">
        <f t="shared" si="104"/>
        <v>3.9130909171665906</v>
      </c>
      <c r="BG144" s="70">
        <f t="shared" si="105"/>
        <v>0.17587658863960576</v>
      </c>
      <c r="BH144" s="67">
        <f>MAX((CE144-Driver!$F$200)/(Driver!$G$200-Driver!$F$200)*$BI$1,1)</f>
        <v>3.9897552646556633</v>
      </c>
      <c r="BI144" s="67">
        <f>MAX($BI$1*(BY144-Driver!$F$201)/(Driver!$G$201-Driver!$F$201),1)</f>
        <v>8.1012658227848107</v>
      </c>
      <c r="BJ144" s="67">
        <f>(CB144-Driver!$F$206)/(Driver!$G$206-Driver!$F$206)*$BI$1</f>
        <v>5.2380952380952381</v>
      </c>
      <c r="BK144" s="67">
        <f>(CD144-Driver!$F$203)/(Driver!$G$203-Driver!$F$203)*$BI$1</f>
        <v>3.8990825688073394</v>
      </c>
      <c r="BL144" s="67">
        <f>MAX((CR144-Driver!$F$202)/(Driver!$G$202-Driver!$F$202)*$BI$1,1)</f>
        <v>5.5172413793103452</v>
      </c>
      <c r="BM144" s="67">
        <f>MAX((CH144-Driver!$F$204)/(Driver!$G$204-Driver!$F$204)*$BI$1,1)</f>
        <v>4.2307692307692308</v>
      </c>
      <c r="BN144" s="67">
        <f>(CI144-Driver!$F$205)/(Driver!$G$205-Driver!$F$205)*$BI$1</f>
        <v>4.4117647058823533</v>
      </c>
      <c r="BO144" s="67">
        <f>(CK144-Driver!$F$207)/(Driver!$G$207-Driver!$F$207)*$BI$1</f>
        <v>1.5511892450879008</v>
      </c>
      <c r="BP144" s="67">
        <f>(CM144-Driver!$F$208)/(Driver!$G$208-Driver!$F$208)*$BI$1</f>
        <v>1.8777777777777778</v>
      </c>
      <c r="BQ144" s="67">
        <f>(CL144-Driver!$F$209)/(Driver!$G$209-Driver!$F$209)*$BI$1</f>
        <v>2.96875</v>
      </c>
      <c r="BR144" s="28" t="s">
        <v>155</v>
      </c>
      <c r="BS144" s="8" t="s">
        <v>182</v>
      </c>
      <c r="BT144" s="9" t="s">
        <v>373</v>
      </c>
      <c r="BU144" s="10">
        <v>180</v>
      </c>
      <c r="BV144" s="9" t="s">
        <v>158</v>
      </c>
      <c r="BW144" s="10">
        <v>180</v>
      </c>
      <c r="BX144" s="10">
        <v>179.4</v>
      </c>
      <c r="BY144" s="10">
        <v>136</v>
      </c>
      <c r="BZ144" s="10">
        <v>151</v>
      </c>
      <c r="CA144" s="10">
        <v>131</v>
      </c>
      <c r="CB144" s="10">
        <v>97</v>
      </c>
      <c r="CC144" s="10">
        <v>122</v>
      </c>
      <c r="CD144" s="10">
        <v>17.899999999999999</v>
      </c>
      <c r="CE144" s="10">
        <v>1601</v>
      </c>
      <c r="CF144" s="10">
        <v>1.21</v>
      </c>
      <c r="CG144" s="10">
        <v>1945</v>
      </c>
      <c r="CH144" s="10">
        <v>200</v>
      </c>
      <c r="CI144" s="10">
        <v>108</v>
      </c>
      <c r="CJ144" s="10">
        <v>46</v>
      </c>
      <c r="CK144" s="10">
        <v>260</v>
      </c>
      <c r="CL144" s="10">
        <v>19</v>
      </c>
      <c r="CM144" s="10">
        <v>169</v>
      </c>
      <c r="CN144" s="10">
        <v>0.42299999999999999</v>
      </c>
      <c r="CO144" s="10">
        <v>174</v>
      </c>
      <c r="CP144" s="10">
        <v>109</v>
      </c>
      <c r="CQ144" s="10">
        <v>86</v>
      </c>
      <c r="CR144" s="10">
        <v>5</v>
      </c>
      <c r="CS144" s="10">
        <v>10.3</v>
      </c>
      <c r="CT144" s="9" t="s">
        <v>188</v>
      </c>
      <c r="CU144" s="9" t="s">
        <v>185</v>
      </c>
      <c r="CV144" s="10"/>
      <c r="CW144" s="10"/>
      <c r="CX144" t="str">
        <f>INDEX('Data_Price '!AG$2:AG$1266,MATCH(Data!$DN144,'Data_Price '!$AT$2:$AT$1266,0))</f>
        <v>Armada Tracer 98 Limited Dark Blue-Black-White 180 Ski Men</v>
      </c>
      <c r="CY144" t="str">
        <f>INDEX('Data_Price '!AH$2:AH$1266,MATCH(Data!$DN144,'Data_Price '!$AT$2:$AT$1266,0))</f>
        <v>! OutdoorXL.com</v>
      </c>
      <c r="CZ144">
        <f>INDEX('Data_Price '!AI$2:AI$1266,MATCH(Data!$DN144,'Data_Price '!$AT$2:$AT$1266,0))</f>
        <v>374.95</v>
      </c>
      <c r="DA144" t="str">
        <f>INDEX('Data_Price '!AJ$2:AJ$1266,MATCH(Data!$DN144,'Data_Price '!$AT$2:$AT$1266,0))</f>
        <v>https://tinyurl.com/ybzdf3pp</v>
      </c>
      <c r="DB144" t="str">
        <f>INDEX('Data_Price '!AK$2:AK$1266,MATCH(Data!$DN144,'Data_Price '!$AT$2:$AT$1266,0))</f>
        <v>Barely  Men's Armada tracer 98 2020 Skis 172 - Griffon bindings</v>
      </c>
      <c r="DC144" t="str">
        <f>INDEX('Data_Price '!AL$2:AL$1266,MATCH(Data!$DN144,'Data_Price '!$AT$2:$AT$1266,0))</f>
        <v>SidelineSwap</v>
      </c>
      <c r="DD144">
        <f>INDEX('Data_Price '!AM$2:AM$1266,MATCH(Data!$DN144,'Data_Price '!$AT$2:$AT$1266,0))</f>
        <v>435</v>
      </c>
      <c r="DE144" t="str">
        <f>INDEX('Data_Price '!AN$2:AN$1266,MATCH(Data!$DN144,'Data_Price '!$AT$2:$AT$1266,0))</f>
        <v>https://tinyurl.com/ycezevto</v>
      </c>
      <c r="DF144" t="str">
        <f>INDEX('Data_Price '!AO$2:AO$1266,MATCH(Data!$DN144,'Data_Price '!$AT$2:$AT$1266,0))</f>
        <v>Armada Tracer 98 Skis 2022</v>
      </c>
      <c r="DG144" t="str">
        <f>INDEX('Data_Price '!AP$2:AP$1266,MATCH(Data!$DN144,'Data_Price '!$AT$2:$AT$1266,0))</f>
        <v>evo.com</v>
      </c>
      <c r="DH144">
        <f>INDEX('Data_Price '!AQ$2:AQ$1266,MATCH(Data!$DN144,'Data_Price '!$AT$2:$AT$1266,0))</f>
        <v>559.96</v>
      </c>
      <c r="DI144" t="str">
        <f>INDEX('Data_Price '!AR$2:AR$1266,MATCH(Data!$DN144,'Data_Price '!$AT$2:$AT$1266,0))</f>
        <v>https://tinyurl.com/yaw3rrcv</v>
      </c>
      <c r="DJ144" s="89" t="str">
        <f t="shared" si="106"/>
        <v>https://tinyurl.com/ybzdf3pp</v>
      </c>
      <c r="DK144" s="89" t="str">
        <f t="shared" si="107"/>
        <v>https://tinyurl.com/ycezevto</v>
      </c>
      <c r="DL144" s="89" t="str">
        <f t="shared" si="108"/>
        <v>https://tinyurl.com/yaw3rrcv</v>
      </c>
      <c r="DM144" s="219" t="str">
        <f t="shared" si="109"/>
        <v>Tracer 98</v>
      </c>
      <c r="DN144" s="89" t="str">
        <f t="shared" si="110"/>
        <v xml:space="preserve"> ArmadaTracer 98180 Unisex</v>
      </c>
      <c r="DO144" s="221" t="s">
        <v>374</v>
      </c>
    </row>
    <row r="145" spans="2:119" ht="15.6" customHeight="1">
      <c r="B145" s="219" t="b">
        <f t="array" ref="B145">IF(OR(ISERROR(K145:P145)),FALSE,TRUE)</f>
        <v>1</v>
      </c>
      <c r="C145" s="43" t="b">
        <f>OR(BR145=Driver!$G$50,Data!BR916=Driver!$H$50)</f>
        <v>1</v>
      </c>
      <c r="D145" s="43" t="b">
        <f>OR(BV145=Driver!$G$51,BV145=Driver!$H$51)</f>
        <v>0</v>
      </c>
      <c r="E145" s="43" t="b">
        <f>AND(BX145&gt;Driver!$F$54,BX145&lt;Driver!$G$54)</f>
        <v>0</v>
      </c>
      <c r="F145" s="43" t="b">
        <f>CL145&gt;Driver!$F$56</f>
        <v>1</v>
      </c>
      <c r="G145" s="43" t="b">
        <f>AND(CB145&gt;Driver!$F$55,CB145&lt;Driver!$G$55)</f>
        <v>1</v>
      </c>
      <c r="H145" s="43" t="b">
        <f t="shared" si="74"/>
        <v>0</v>
      </c>
      <c r="I145" s="43">
        <f t="shared" si="75"/>
        <v>0</v>
      </c>
      <c r="J145" s="43" t="b">
        <f t="array" ref="J145">NOT(OR(($H$9:$H$1273=TRUE)*($I$9:$I$1273&gt;0)*($BT$9:$BT$1273=BT145)*($K$9:$K$1273&gt;K145)))</f>
        <v>1</v>
      </c>
      <c r="K145" s="72">
        <f t="shared" si="76"/>
        <v>0.82134475896970904</v>
      </c>
      <c r="L145" s="72">
        <f t="shared" si="77"/>
        <v>0.90614109166123558</v>
      </c>
      <c r="M145" s="72">
        <f t="shared" si="78"/>
        <v>0.73654842627818251</v>
      </c>
      <c r="N145" s="72">
        <f t="shared" si="79"/>
        <v>0.61898365949503176</v>
      </c>
      <c r="O145" s="72">
        <f t="shared" si="80"/>
        <v>0.6281088767234817</v>
      </c>
      <c r="P145" s="72">
        <f t="shared" si="81"/>
        <v>0.96255274261603385</v>
      </c>
      <c r="Q145" s="72"/>
      <c r="R145" s="72"/>
      <c r="S145" s="72">
        <f t="shared" si="82"/>
        <v>0.43541383516796084</v>
      </c>
      <c r="T145" s="72">
        <f t="shared" si="83"/>
        <v>0.49677397594427952</v>
      </c>
      <c r="U145" s="72">
        <f t="shared" si="84"/>
        <v>0.51807756870910682</v>
      </c>
      <c r="V145" s="72">
        <f t="shared" si="85"/>
        <v>0.62307986880759891</v>
      </c>
      <c r="W145" s="72">
        <f t="shared" si="86"/>
        <v>0.83468949680511184</v>
      </c>
      <c r="X145" s="72">
        <f t="shared" si="87"/>
        <v>9.3858908338764369E-2</v>
      </c>
      <c r="Y145" s="72">
        <f t="shared" si="88"/>
        <v>0.26345157372181754</v>
      </c>
      <c r="Z145" s="72">
        <f t="shared" si="89"/>
        <v>0.38101634050496824</v>
      </c>
      <c r="AA145" s="72">
        <f t="shared" si="90"/>
        <v>0.37189112327651824</v>
      </c>
      <c r="AB145" s="72">
        <f t="shared" si="91"/>
        <v>3.7447257383966204E-2</v>
      </c>
      <c r="AC145" s="72"/>
      <c r="AD145" s="72"/>
      <c r="AE145" s="72">
        <f t="shared" si="92"/>
        <v>0.56458616483203916</v>
      </c>
      <c r="AF145" s="72">
        <f t="shared" si="93"/>
        <v>0.50322602405572048</v>
      </c>
      <c r="AG145" s="72">
        <f t="shared" si="94"/>
        <v>0.48192243129089318</v>
      </c>
      <c r="AH145" s="72">
        <f t="shared" si="95"/>
        <v>0.37692013119240109</v>
      </c>
      <c r="AI145" s="72">
        <f t="shared" si="96"/>
        <v>0.16531050319488819</v>
      </c>
      <c r="AJ145" s="72">
        <f>(AV145-Driver!$K$179)/(Driver!$L$179-Driver!$K$179)</f>
        <v>0.34807831762146479</v>
      </c>
      <c r="AK145" s="72">
        <f>(AW145-Driver!$K$180)/(Driver!$L$180-Driver!$K$180)</f>
        <v>0.3093320563653289</v>
      </c>
      <c r="AL145" s="72">
        <f>(AX145-Driver!$K$181)/(Driver!$L$181-Driver!$K$181)</f>
        <v>0.48270410421804844</v>
      </c>
      <c r="AM145" s="72">
        <f>(AY145-Driver!$K$182)/(Driver!$L$182-Driver!$K$182)</f>
        <v>7.5493897820528122E-2</v>
      </c>
      <c r="AN145" s="72">
        <f>(AZ145-Driver!$K$183)/(Driver!$L$183-Driver!$K$183)</f>
        <v>0.29166666666666663</v>
      </c>
      <c r="AO145" s="72"/>
      <c r="AP145" s="72"/>
      <c r="AQ145" s="72">
        <f>(BC145-Driver!$K$188)/(Driver!$L$188-Driver!$K$188)</f>
        <v>5.5413835167960779E-2</v>
      </c>
      <c r="AR145" s="72">
        <f>MIN((BD145-Driver!$K$189)/(Driver!$L$189-Driver!$K$189),100%)</f>
        <v>4.6773975944279539E-2</v>
      </c>
      <c r="AS145" s="72">
        <f>(BE145-Driver!$K$190)/(Driver!$L$190-Driver!$K$190)</f>
        <v>2.8077568709106829E-2</v>
      </c>
      <c r="AT145" s="72">
        <f>(BF145-Driver!$K$191)/(Driver!$L$191-Driver!$K$191)</f>
        <v>0.13307986880759889</v>
      </c>
      <c r="AU145" s="72">
        <f>(BG145-Driver!$K$192)/(Driver!$L$192-Driver!$K$192)</f>
        <v>8.4689496805111814E-2</v>
      </c>
      <c r="AV145" s="70">
        <f t="shared" si="97"/>
        <v>7.3260073260073257</v>
      </c>
      <c r="AW145" s="70">
        <f t="shared" si="98"/>
        <v>32.019042475112478</v>
      </c>
      <c r="AX145" s="70">
        <f t="shared" si="99"/>
        <v>5.3443369379624359</v>
      </c>
      <c r="AY145" s="70">
        <f>IFERROR(Driver!$K$19/Data!BH145/Data!BI145*Data!BK145*Data!BL145,"")</f>
        <v>9.2427056137390468E-2</v>
      </c>
      <c r="AZ145" s="70">
        <f t="shared" si="100"/>
        <v>26.582278481012654</v>
      </c>
      <c r="BA145" s="70"/>
      <c r="BB145" s="70"/>
      <c r="BC145" s="70">
        <f t="shared" si="101"/>
        <v>28.743541532353522</v>
      </c>
      <c r="BD145" s="70">
        <f t="shared" si="102"/>
        <v>5.8602368765852759</v>
      </c>
      <c r="BE145" s="70">
        <f t="shared" si="103"/>
        <v>2.8250948731396185E-2</v>
      </c>
      <c r="BF145" s="70">
        <f t="shared" si="104"/>
        <v>15.030436242826061</v>
      </c>
      <c r="BG145" s="70">
        <f t="shared" si="105"/>
        <v>0.32068846096246006</v>
      </c>
      <c r="BH145" s="67">
        <f>MAX((CE145-Driver!$F$200)/(Driver!$G$200-Driver!$F$200)*$BI$1,1)</f>
        <v>5.3443369379624359</v>
      </c>
      <c r="BI145" s="67">
        <f>MAX($BI$1*(BY145-Driver!$F$201)/(Driver!$G$201-Driver!$F$201),1)</f>
        <v>6.4556962025316453</v>
      </c>
      <c r="BJ145" s="67">
        <f>(CB145-Driver!$F$206)/(Driver!$G$206-Driver!$F$206)*$BI$1</f>
        <v>7.1428571428571432</v>
      </c>
      <c r="BK145" s="67">
        <f>(CD145-Driver!$F$203)/(Driver!$G$203-Driver!$F$203)*$BI$1</f>
        <v>2.8899082568807337</v>
      </c>
      <c r="BL145" s="67">
        <f>MAX((CR145-Driver!$F$202)/(Driver!$G$202-Driver!$F$202)*$BI$1,1)</f>
        <v>5.5172413793103452</v>
      </c>
      <c r="BM145" s="67">
        <f>MAX((CH145-Driver!$F$204)/(Driver!$G$204-Driver!$F$204)*$BI$1,1)</f>
        <v>4.1025641025641022</v>
      </c>
      <c r="BN145" s="67">
        <f>(CI145-Driver!$F$205)/(Driver!$G$205-Driver!$F$205)*$BI$1</f>
        <v>4.117647058823529</v>
      </c>
      <c r="BO145" s="67">
        <f>(CK145-Driver!$F$207)/(Driver!$G$207-Driver!$F$207)*$BI$1</f>
        <v>2.0889348500517064</v>
      </c>
      <c r="BP145" s="67">
        <f>(CM145-Driver!$F$208)/(Driver!$G$208-Driver!$F$208)*$BI$1</f>
        <v>2.911111111111111</v>
      </c>
      <c r="BQ145" s="67">
        <f>(CL145-Driver!$F$209)/(Driver!$G$209-Driver!$F$209)*$BI$1</f>
        <v>7.03125</v>
      </c>
      <c r="BR145" s="28" t="s">
        <v>155</v>
      </c>
      <c r="BS145" s="8" t="s">
        <v>332</v>
      </c>
      <c r="BT145" s="9" t="s">
        <v>333</v>
      </c>
      <c r="BU145" s="10">
        <v>169</v>
      </c>
      <c r="BV145" s="9" t="s">
        <v>163</v>
      </c>
      <c r="BW145" s="10">
        <v>169</v>
      </c>
      <c r="BX145" s="10">
        <v>167.7</v>
      </c>
      <c r="BY145" s="10">
        <v>110</v>
      </c>
      <c r="BZ145" s="10">
        <v>136</v>
      </c>
      <c r="CA145" s="10">
        <v>140</v>
      </c>
      <c r="CB145" s="10">
        <v>109</v>
      </c>
      <c r="CC145" s="10">
        <v>130</v>
      </c>
      <c r="CD145" s="10">
        <v>15.7</v>
      </c>
      <c r="CE145" s="10">
        <v>1839</v>
      </c>
      <c r="CF145" s="10">
        <v>1.0900000000000001</v>
      </c>
      <c r="CG145" s="10">
        <v>1999</v>
      </c>
      <c r="CH145" s="10">
        <v>197</v>
      </c>
      <c r="CI145" s="10">
        <v>103</v>
      </c>
      <c r="CJ145" s="10">
        <v>64</v>
      </c>
      <c r="CK145" s="10">
        <v>312</v>
      </c>
      <c r="CL145" s="10">
        <v>45</v>
      </c>
      <c r="CM145" s="10">
        <v>262</v>
      </c>
      <c r="CN145" s="10">
        <v>0.71</v>
      </c>
      <c r="CO145" s="10">
        <v>156</v>
      </c>
      <c r="CP145" s="10">
        <v>162</v>
      </c>
      <c r="CQ145" s="10">
        <v>156</v>
      </c>
      <c r="CR145" s="10">
        <v>5</v>
      </c>
      <c r="CS145" s="10">
        <v>9.3000000000000007</v>
      </c>
      <c r="CT145" s="9" t="s">
        <v>169</v>
      </c>
      <c r="CU145" s="9" t="s">
        <v>185</v>
      </c>
      <c r="CV145" s="10"/>
      <c r="CW145" s="10"/>
      <c r="CX145" t="str">
        <f>INDEX('Data_Price '!AG$2:AG$1266,MATCH(Data!$DN145,'Data_Price '!$AT$2:$AT$1266,0))</f>
        <v>2022 Nordica Santa Ana 110 Free Women's Skis w/ Tyrolia Attack2 14 GW Bindings - 169| Ski Essentials</v>
      </c>
      <c r="CY145" t="str">
        <f>INDEX('Data_Price '!AH$2:AH$1266,MATCH(Data!$DN145,'Data_Price '!$AT$2:$AT$1266,0))</f>
        <v>SkiEssentials.com</v>
      </c>
      <c r="CZ145">
        <f>INDEX('Data_Price '!AI$2:AI$1266,MATCH(Data!$DN145,'Data_Price '!$AT$2:$AT$1266,0))</f>
        <v>814.99</v>
      </c>
      <c r="DA145" t="str">
        <f>INDEX('Data_Price '!AJ$2:AJ$1266,MATCH(Data!$DN145,'Data_Price '!$AT$2:$AT$1266,0))</f>
        <v>https://tinyurl.com/y82es5d8</v>
      </c>
      <c r="DB145" t="str">
        <f>INDEX('Data_Price '!AK$2:AK$1266,MATCH(Data!$DN145,'Data_Price '!$AT$2:$AT$1266,0))</f>
        <v>2022 Nordica Santa Ana 110 Free Women's Skis w/ Tyrolia Attack2 14 GW Bindings - 169| Ski Essentials</v>
      </c>
      <c r="DC145" t="str">
        <f>INDEX('Data_Price '!AL$2:AL$1266,MATCH(Data!$DN145,'Data_Price '!$AT$2:$AT$1266,0))</f>
        <v>eBay - david110549</v>
      </c>
      <c r="DD145">
        <f>INDEX('Data_Price '!AM$2:AM$1266,MATCH(Data!$DN145,'Data_Price '!$AT$2:$AT$1266,0))</f>
        <v>814.99</v>
      </c>
      <c r="DE145" t="str">
        <f>INDEX('Data_Price '!AN$2:AN$1266,MATCH(Data!$DN145,'Data_Price '!$AT$2:$AT$1266,0))</f>
        <v>https://tinyurl.com/ycrblhvn</v>
      </c>
      <c r="DF145" t="str">
        <f>INDEX('Data_Price '!AO$2:AO$1266,MATCH(Data!$DN145,'Data_Price '!$AT$2:$AT$1266,0))</f>
        <v>18/19 Nordica Santa Ana 93, 169,  Demo Skis, 188198</v>
      </c>
      <c r="DG145" t="str">
        <f>INDEX('Data_Price '!AP$2:AP$1266,MATCH(Data!$DN145,'Data_Price '!$AT$2:$AT$1266,0))</f>
        <v>eBay</v>
      </c>
      <c r="DH145">
        <f>INDEX('Data_Price '!AQ$2:AQ$1266,MATCH(Data!$DN145,'Data_Price '!$AT$2:$AT$1266,0))</f>
        <v>499</v>
      </c>
      <c r="DI145" t="str">
        <f>INDEX('Data_Price '!AR$2:AR$1266,MATCH(Data!$DN145,'Data_Price '!$AT$2:$AT$1266,0))</f>
        <v>https://tinyurl.com/yaxu6rw5</v>
      </c>
      <c r="DJ145" s="89" t="str">
        <f t="shared" si="106"/>
        <v>https://tinyurl.com/y82es5d8</v>
      </c>
      <c r="DK145" s="89" t="str">
        <f t="shared" si="107"/>
        <v>https://tinyurl.com/ycrblhvn</v>
      </c>
      <c r="DL145" s="89" t="str">
        <f t="shared" si="108"/>
        <v>https://tinyurl.com/yaxu6rw5</v>
      </c>
      <c r="DM145" s="219" t="str">
        <f t="shared" si="109"/>
        <v>Santa Ana 110 Free</v>
      </c>
      <c r="DN145" s="89" t="str">
        <f t="shared" si="110"/>
        <v xml:space="preserve"> NordicaSanta Ana 110 Free169 Women's</v>
      </c>
      <c r="DO145" s="221" t="s">
        <v>334</v>
      </c>
    </row>
    <row r="146" spans="2:119" ht="15.6" customHeight="1">
      <c r="B146" s="219" t="b">
        <f t="array" ref="B146">IF(OR(ISERROR(K146:P146)),FALSE,TRUE)</f>
        <v>1</v>
      </c>
      <c r="C146" s="43" t="b">
        <f>OR(BR146=Driver!$G$50,Data!BR1131=Driver!$H$50)</f>
        <v>1</v>
      </c>
      <c r="D146" s="43" t="b">
        <f>OR(BV146=Driver!$G$51,BV146=Driver!$H$51)</f>
        <v>1</v>
      </c>
      <c r="E146" s="43" t="b">
        <f>AND(BX146&gt;Driver!$F$54,BX146&lt;Driver!$G$54)</f>
        <v>1</v>
      </c>
      <c r="F146" s="43" t="b">
        <f>CL146&gt;Driver!$F$56</f>
        <v>1</v>
      </c>
      <c r="G146" s="43" t="b">
        <f>AND(CB146&gt;Driver!$F$55,CB146&lt;Driver!$G$55)</f>
        <v>0</v>
      </c>
      <c r="H146" s="43" t="b">
        <f t="shared" si="74"/>
        <v>0</v>
      </c>
      <c r="I146" s="43">
        <f t="shared" si="75"/>
        <v>0</v>
      </c>
      <c r="J146" s="43" t="b">
        <f t="array" ref="J146">NOT(OR(($H$9:$H$1273=TRUE)*($I$9:$I$1273&gt;0)*($BT$9:$BT$1273=BT146)*($K$9:$K$1273&gt;K146)))</f>
        <v>1</v>
      </c>
      <c r="K146" s="72">
        <f t="shared" si="76"/>
        <v>0.77764493612976082</v>
      </c>
      <c r="L146" s="72">
        <f t="shared" si="77"/>
        <v>0.77905752247138871</v>
      </c>
      <c r="M146" s="72">
        <f t="shared" si="78"/>
        <v>0.77623234978813282</v>
      </c>
      <c r="N146" s="72">
        <f t="shared" si="79"/>
        <v>0.78467012000220937</v>
      </c>
      <c r="O146" s="72">
        <f t="shared" si="80"/>
        <v>0.59348399066772406</v>
      </c>
      <c r="P146" s="72">
        <f t="shared" si="81"/>
        <v>0.95054293869446516</v>
      </c>
      <c r="Q146" s="72"/>
      <c r="R146" s="72"/>
      <c r="S146" s="72">
        <f t="shared" si="82"/>
        <v>0.442693570614203</v>
      </c>
      <c r="T146" s="72">
        <f t="shared" si="83"/>
        <v>0.92569553486492517</v>
      </c>
      <c r="U146" s="72">
        <f t="shared" si="84"/>
        <v>0.51</v>
      </c>
      <c r="V146" s="72">
        <f t="shared" si="85"/>
        <v>0.49213295025665937</v>
      </c>
      <c r="W146" s="72">
        <f t="shared" si="86"/>
        <v>0.77548381443557068</v>
      </c>
      <c r="X146" s="72">
        <f t="shared" si="87"/>
        <v>0.22094247752861132</v>
      </c>
      <c r="Y146" s="72">
        <f t="shared" si="88"/>
        <v>0.22376765021186718</v>
      </c>
      <c r="Z146" s="72">
        <f t="shared" si="89"/>
        <v>0.21532987999779063</v>
      </c>
      <c r="AA146" s="72">
        <f t="shared" si="90"/>
        <v>0.406516009332276</v>
      </c>
      <c r="AB146" s="72">
        <f t="shared" si="91"/>
        <v>4.9457061305534844E-2</v>
      </c>
      <c r="AC146" s="72"/>
      <c r="AD146" s="72"/>
      <c r="AE146" s="72">
        <f t="shared" si="92"/>
        <v>0.557306429385797</v>
      </c>
      <c r="AF146" s="72">
        <f t="shared" si="93"/>
        <v>7.4304465135074826E-2</v>
      </c>
      <c r="AG146" s="72">
        <f t="shared" si="94"/>
        <v>0.49</v>
      </c>
      <c r="AH146" s="72">
        <f t="shared" si="95"/>
        <v>0.50786704974334063</v>
      </c>
      <c r="AI146" s="72">
        <f t="shared" si="96"/>
        <v>0.22451618556442932</v>
      </c>
      <c r="AJ146" s="72">
        <f>(AV146-Driver!$K$179)/(Driver!$L$179-Driver!$K$179)</f>
        <v>3.3276931754089113E-2</v>
      </c>
      <c r="AK146" s="72">
        <f>(AW146-Driver!$K$180)/(Driver!$L$180-Driver!$K$180)</f>
        <v>0.30482754108510063</v>
      </c>
      <c r="AL146" s="72">
        <f>(AX146-Driver!$K$181)/(Driver!$L$181-Driver!$K$181)</f>
        <v>0.31701764371087082</v>
      </c>
      <c r="AM146" s="72">
        <f>(AY146-Driver!$K$182)/(Driver!$L$182-Driver!$K$182)</f>
        <v>4.0869011764770355E-2</v>
      </c>
      <c r="AN146" s="72">
        <f>(AZ146-Driver!$K$183)/(Driver!$L$183-Driver!$K$183)</f>
        <v>0.30367647058823527</v>
      </c>
      <c r="AO146" s="72"/>
      <c r="AP146" s="72"/>
      <c r="AQ146" s="72">
        <f>(BC146-Driver!$K$188)/(Driver!$L$188-Driver!$K$188)</f>
        <v>6.269357061420304E-2</v>
      </c>
      <c r="AR146" s="72">
        <f>MIN((BD146-Driver!$K$189)/(Driver!$L$189-Driver!$K$189),100%)</f>
        <v>0.47569553486492522</v>
      </c>
      <c r="AS146" s="72">
        <f>(BE146-Driver!$K$190)/(Driver!$L$190-Driver!$K$190)</f>
        <v>1</v>
      </c>
      <c r="AT146" s="72">
        <f>(BF146-Driver!$K$191)/(Driver!$L$191-Driver!$K$191)</f>
        <v>2.1329502566593845E-3</v>
      </c>
      <c r="AU146" s="72">
        <f>(BG146-Driver!$K$192)/(Driver!$L$192-Driver!$K$192)</f>
        <v>2.5483814435570691E-2</v>
      </c>
      <c r="AV146" s="70">
        <f t="shared" si="97"/>
        <v>0.70037986704653377</v>
      </c>
      <c r="AW146" s="70">
        <f t="shared" si="98"/>
        <v>31.580037546988454</v>
      </c>
      <c r="AX146" s="70">
        <f t="shared" si="99"/>
        <v>3.8531587933978373</v>
      </c>
      <c r="AY146" s="70">
        <f>IFERROR(Driver!$K$19/Data!BH146/Data!BI146*Data!BK146*Data!BL146,"")</f>
        <v>5.0035864536258697E-2</v>
      </c>
      <c r="AZ146" s="70">
        <f t="shared" si="100"/>
        <v>27.676842889054356</v>
      </c>
      <c r="BA146" s="70"/>
      <c r="BB146" s="70"/>
      <c r="BC146" s="70">
        <f t="shared" si="101"/>
        <v>32.519590916219165</v>
      </c>
      <c r="BD146" s="70">
        <f t="shared" si="102"/>
        <v>43.819034837031815</v>
      </c>
      <c r="BE146" s="70">
        <f t="shared" si="103"/>
        <v>1</v>
      </c>
      <c r="BF146" s="70">
        <f t="shared" si="104"/>
        <v>0.24090174666604255</v>
      </c>
      <c r="BG146" s="70">
        <f t="shared" si="105"/>
        <v>9.6497978369176091E-2</v>
      </c>
      <c r="BH146" s="67">
        <f>MAX((CE146-Driver!$F$200)/(Driver!$G$200-Driver!$F$200)*$BI$1,1)</f>
        <v>3.8531587933978373</v>
      </c>
      <c r="BI146" s="67">
        <f>MAX($BI$1*(BY146-Driver!$F$201)/(Driver!$G$201-Driver!$F$201),1)</f>
        <v>7.9746835443037973</v>
      </c>
      <c r="BJ146" s="67">
        <f>(CB146-Driver!$F$206)/(Driver!$G$206-Driver!$F$206)*$BI$1</f>
        <v>1.1111111111111112</v>
      </c>
      <c r="BK146" s="67">
        <f>(CD146-Driver!$F$203)/(Driver!$G$203-Driver!$F$203)*$BI$1</f>
        <v>1.238532110091743</v>
      </c>
      <c r="BL146" s="67">
        <f>MAX((CR146-Driver!$F$202)/(Driver!$G$202-Driver!$F$202)*$BI$1,1)</f>
        <v>6.2068965517241379</v>
      </c>
      <c r="BM146" s="67">
        <f>MAX((CH146-Driver!$F$204)/(Driver!$G$204-Driver!$F$204)*$BI$1,1)</f>
        <v>2.5213675213675213</v>
      </c>
      <c r="BN146" s="67">
        <f>(CI146-Driver!$F$205)/(Driver!$G$205-Driver!$F$205)*$BI$1</f>
        <v>3.4705882352941178</v>
      </c>
      <c r="BO146" s="67">
        <f>(CK146-Driver!$F$207)/(Driver!$G$207-Driver!$F$207)*$BI$1</f>
        <v>0.42399172699069287</v>
      </c>
      <c r="BP146" s="67">
        <f>(CM146-Driver!$F$208)/(Driver!$G$208-Driver!$F$208)*$BI$1</f>
        <v>0.63333333333333341</v>
      </c>
      <c r="BQ146" s="67">
        <f>(CL146-Driver!$F$209)/(Driver!$G$209-Driver!$F$209)*$BI$1</f>
        <v>0.9375</v>
      </c>
      <c r="BR146" s="28" t="s">
        <v>155</v>
      </c>
      <c r="BS146" s="8" t="s">
        <v>213</v>
      </c>
      <c r="BT146" s="9" t="s">
        <v>375</v>
      </c>
      <c r="BU146" s="10">
        <v>156</v>
      </c>
      <c r="BV146" s="9" t="s">
        <v>158</v>
      </c>
      <c r="BW146" s="10">
        <v>156</v>
      </c>
      <c r="BX146" s="10">
        <v>154.80000000000001</v>
      </c>
      <c r="BY146" s="10">
        <v>134</v>
      </c>
      <c r="BZ146" s="10">
        <v>142</v>
      </c>
      <c r="CA146" s="10">
        <v>122</v>
      </c>
      <c r="CB146" s="10">
        <v>71</v>
      </c>
      <c r="CC146" s="10">
        <v>103</v>
      </c>
      <c r="CD146" s="10">
        <v>12.1</v>
      </c>
      <c r="CE146" s="10">
        <v>1577</v>
      </c>
      <c r="CF146" s="10">
        <v>0.85</v>
      </c>
      <c r="CG146" s="10">
        <v>1343</v>
      </c>
      <c r="CH146" s="10">
        <v>160</v>
      </c>
      <c r="CI146" s="10">
        <v>92</v>
      </c>
      <c r="CJ146" s="10">
        <v>42</v>
      </c>
      <c r="CK146" s="10">
        <v>151</v>
      </c>
      <c r="CL146" s="10">
        <v>6</v>
      </c>
      <c r="CM146" s="10">
        <v>57</v>
      </c>
      <c r="CN146" s="10">
        <v>0.13500000000000001</v>
      </c>
      <c r="CO146" s="10">
        <v>75</v>
      </c>
      <c r="CP146" s="10">
        <v>55</v>
      </c>
      <c r="CQ146" s="10">
        <v>77</v>
      </c>
      <c r="CR146" s="10">
        <v>7</v>
      </c>
      <c r="CS146" s="10">
        <v>12.1</v>
      </c>
      <c r="CT146" s="9" t="s">
        <v>349</v>
      </c>
      <c r="CU146" s="10"/>
      <c r="CV146" s="10"/>
      <c r="CW146" s="10"/>
      <c r="CX146" t="e">
        <f>INDEX('Data_Price '!AG$2:AG$1266,MATCH(Data!$DN146,'Data_Price '!$AT$2:$AT$1266,0))</f>
        <v>#N/A</v>
      </c>
      <c r="CY146" t="e">
        <f>INDEX('Data_Price '!AH$2:AH$1266,MATCH(Data!$DN146,'Data_Price '!$AT$2:$AT$1266,0))</f>
        <v>#N/A</v>
      </c>
      <c r="CZ146" t="e">
        <f>INDEX('Data_Price '!AI$2:AI$1266,MATCH(Data!$DN146,'Data_Price '!$AT$2:$AT$1266,0))</f>
        <v>#N/A</v>
      </c>
      <c r="DA146" t="e">
        <f>INDEX('Data_Price '!AJ$2:AJ$1266,MATCH(Data!$DN146,'Data_Price '!$AT$2:$AT$1266,0))</f>
        <v>#N/A</v>
      </c>
      <c r="DB146" t="e">
        <f>INDEX('Data_Price '!AK$2:AK$1266,MATCH(Data!$DN146,'Data_Price '!$AT$2:$AT$1266,0))</f>
        <v>#N/A</v>
      </c>
      <c r="DC146" t="e">
        <f>INDEX('Data_Price '!AL$2:AL$1266,MATCH(Data!$DN146,'Data_Price '!$AT$2:$AT$1266,0))</f>
        <v>#N/A</v>
      </c>
      <c r="DD146" t="e">
        <f>INDEX('Data_Price '!AM$2:AM$1266,MATCH(Data!$DN146,'Data_Price '!$AT$2:$AT$1266,0))</f>
        <v>#N/A</v>
      </c>
      <c r="DE146" t="e">
        <f>INDEX('Data_Price '!AN$2:AN$1266,MATCH(Data!$DN146,'Data_Price '!$AT$2:$AT$1266,0))</f>
        <v>#N/A</v>
      </c>
      <c r="DF146" t="e">
        <f>INDEX('Data_Price '!AO$2:AO$1266,MATCH(Data!$DN146,'Data_Price '!$AT$2:$AT$1266,0))</f>
        <v>#N/A</v>
      </c>
      <c r="DG146" t="e">
        <f>INDEX('Data_Price '!AP$2:AP$1266,MATCH(Data!$DN146,'Data_Price '!$AT$2:$AT$1266,0))</f>
        <v>#N/A</v>
      </c>
      <c r="DH146" t="e">
        <f>INDEX('Data_Price '!AQ$2:AQ$1266,MATCH(Data!$DN146,'Data_Price '!$AT$2:$AT$1266,0))</f>
        <v>#N/A</v>
      </c>
      <c r="DI146" t="e">
        <f>INDEX('Data_Price '!AR$2:AR$1266,MATCH(Data!$DN146,'Data_Price '!$AT$2:$AT$1266,0))</f>
        <v>#N/A</v>
      </c>
      <c r="DJ146" s="89" t="e">
        <f t="shared" si="106"/>
        <v>#N/A</v>
      </c>
      <c r="DK146" s="89" t="e">
        <f t="shared" si="107"/>
        <v>#N/A</v>
      </c>
      <c r="DL146" s="89" t="e">
        <f t="shared" si="108"/>
        <v>#N/A</v>
      </c>
      <c r="DM146" s="219" t="str">
        <f t="shared" si="109"/>
        <v>Laser SC</v>
      </c>
      <c r="DN146" s="89" t="str">
        <f t="shared" si="110"/>
        <v xml:space="preserve"> StöckliLaser SC156 Unisex</v>
      </c>
      <c r="DO146" s="221"/>
    </row>
    <row r="147" spans="2:119" ht="15.6" customHeight="1">
      <c r="B147" s="219" t="b">
        <f t="array" ref="B147">IF(OR(ISERROR(K147:P147)),FALSE,TRUE)</f>
        <v>1</v>
      </c>
      <c r="C147" s="43" t="b">
        <f>OR(BR147=Driver!$G$50,Data!BR806=Driver!$H$50)</f>
        <v>1</v>
      </c>
      <c r="D147" s="43" t="b">
        <f>OR(BV147=Driver!$G$51,BV147=Driver!$H$51)</f>
        <v>0</v>
      </c>
      <c r="E147" s="43" t="b">
        <f>AND(BX147&gt;Driver!$F$54,BX147&lt;Driver!$G$54)</f>
        <v>0</v>
      </c>
      <c r="F147" s="43" t="b">
        <f>CL147&gt;Driver!$F$56</f>
        <v>1</v>
      </c>
      <c r="G147" s="43" t="b">
        <f>AND(CB147&gt;Driver!$F$55,CB147&lt;Driver!$G$55)</f>
        <v>1</v>
      </c>
      <c r="H147" s="43" t="b">
        <f t="shared" si="74"/>
        <v>0</v>
      </c>
      <c r="I147" s="43">
        <f t="shared" si="75"/>
        <v>0</v>
      </c>
      <c r="J147" s="43" t="b">
        <f t="array" ref="J147">NOT(OR(($H$9:$H$1273=TRUE)*($I$9:$I$1273&gt;0)*($BT$9:$BT$1273=BT147)*($K$9:$K$1273&gt;K147)))</f>
        <v>1</v>
      </c>
      <c r="K147" s="72">
        <f t="shared" si="76"/>
        <v>0.88775838296174436</v>
      </c>
      <c r="L147" s="72">
        <f t="shared" si="77"/>
        <v>0.95148520758942912</v>
      </c>
      <c r="M147" s="72">
        <f t="shared" si="78"/>
        <v>0.82403155833405961</v>
      </c>
      <c r="N147" s="72">
        <f t="shared" si="79"/>
        <v>0.8441148806421892</v>
      </c>
      <c r="O147" s="72">
        <f t="shared" si="80"/>
        <v>0.71136587030935672</v>
      </c>
      <c r="P147" s="72">
        <f t="shared" si="81"/>
        <v>0.91661392405063291</v>
      </c>
      <c r="Q147" s="72"/>
      <c r="R147" s="72"/>
      <c r="S147" s="72">
        <f t="shared" si="82"/>
        <v>0.39761288763664748</v>
      </c>
      <c r="T147" s="72">
        <f t="shared" si="83"/>
        <v>0.49902875439531569</v>
      </c>
      <c r="U147" s="72">
        <f t="shared" si="84"/>
        <v>0.53319785950788401</v>
      </c>
      <c r="V147" s="72">
        <f t="shared" si="85"/>
        <v>0.73824639903631184</v>
      </c>
      <c r="W147" s="72">
        <f t="shared" si="86"/>
        <v>0.89338876873741513</v>
      </c>
      <c r="X147" s="72">
        <f t="shared" si="87"/>
        <v>4.8514792410570828E-2</v>
      </c>
      <c r="Y147" s="72">
        <f t="shared" si="88"/>
        <v>0.17596844166594039</v>
      </c>
      <c r="Z147" s="72">
        <f t="shared" si="89"/>
        <v>0.15588511935781085</v>
      </c>
      <c r="AA147" s="72">
        <f t="shared" si="90"/>
        <v>0.28863412969064328</v>
      </c>
      <c r="AB147" s="72">
        <f t="shared" si="91"/>
        <v>8.3386075949367089E-2</v>
      </c>
      <c r="AC147" s="72"/>
      <c r="AD147" s="72"/>
      <c r="AE147" s="72">
        <f t="shared" si="92"/>
        <v>0.60238711236335252</v>
      </c>
      <c r="AF147" s="72">
        <f t="shared" si="93"/>
        <v>0.50097124560468431</v>
      </c>
      <c r="AG147" s="72">
        <f t="shared" si="94"/>
        <v>0.46680214049211599</v>
      </c>
      <c r="AH147" s="72">
        <f t="shared" si="95"/>
        <v>0.26175360096368816</v>
      </c>
      <c r="AI147" s="72">
        <f t="shared" si="96"/>
        <v>0.10661123126258487</v>
      </c>
      <c r="AJ147" s="72">
        <f>(AV147-Driver!$K$179)/(Driver!$L$179-Driver!$K$179)</f>
        <v>0.2057046168721296</v>
      </c>
      <c r="AK147" s="72">
        <f>(AW147-Driver!$K$180)/(Driver!$L$180-Driver!$K$180)</f>
        <v>0.17658981315748162</v>
      </c>
      <c r="AL147" s="72">
        <f>(AX147-Driver!$K$181)/(Driver!$L$181-Driver!$K$181)</f>
        <v>0.25757288307089105</v>
      </c>
      <c r="AM147" s="72">
        <f>(AY147-Driver!$K$182)/(Driver!$L$182-Driver!$K$182)</f>
        <v>0.15875089140640311</v>
      </c>
      <c r="AN147" s="72">
        <f>(AZ147-Driver!$K$183)/(Driver!$L$183-Driver!$K$183)</f>
        <v>0.17083333333333334</v>
      </c>
      <c r="AO147" s="72"/>
      <c r="AP147" s="72"/>
      <c r="AQ147" s="72">
        <f>(BC147-Driver!$K$188)/(Driver!$L$188-Driver!$K$188)</f>
        <v>1.7612887636647437E-2</v>
      </c>
      <c r="AR147" s="72">
        <f>MIN((BD147-Driver!$K$189)/(Driver!$L$189-Driver!$K$189),100%)</f>
        <v>4.9028754395315781E-2</v>
      </c>
      <c r="AS147" s="72">
        <f>(BE147-Driver!$K$190)/(Driver!$L$190-Driver!$K$190)</f>
        <v>4.3197859507883997E-2</v>
      </c>
      <c r="AT147" s="72">
        <f>(BF147-Driver!$K$191)/(Driver!$L$191-Driver!$K$191)</f>
        <v>0.24824639903631185</v>
      </c>
      <c r="AU147" s="72">
        <f>(BG147-Driver!$K$192)/(Driver!$L$192-Driver!$K$192)</f>
        <v>0.14338876873741513</v>
      </c>
      <c r="AV147" s="70">
        <f t="shared" si="97"/>
        <v>4.3294668294668304</v>
      </c>
      <c r="AW147" s="70">
        <f t="shared" si="98"/>
        <v>19.082134658578362</v>
      </c>
      <c r="AX147" s="70">
        <f t="shared" si="99"/>
        <v>3.3181559476380196</v>
      </c>
      <c r="AY147" s="70">
        <f>IFERROR(Driver!$K$19/Data!BH726/Data!BI726*Data!BK726*Data!BL726,"")</f>
        <v>0.19435845777578309</v>
      </c>
      <c r="AZ147" s="70">
        <f t="shared" si="100"/>
        <v>15.569620253164558</v>
      </c>
      <c r="BA147" s="70"/>
      <c r="BB147" s="70"/>
      <c r="BC147" s="70">
        <f t="shared" si="101"/>
        <v>9.1359272599374144</v>
      </c>
      <c r="BD147" s="70">
        <f t="shared" si="102"/>
        <v>6.0597807742709788</v>
      </c>
      <c r="BE147" s="70">
        <f t="shared" si="103"/>
        <v>4.3368542240480971E-2</v>
      </c>
      <c r="BF147" s="70">
        <f t="shared" si="104"/>
        <v>28.037686741492994</v>
      </c>
      <c r="BG147" s="70">
        <f t="shared" si="105"/>
        <v>0.5429613505854276</v>
      </c>
      <c r="BH147" s="67">
        <f>MAX((CE147-Driver!$F$200)/(Driver!$G$200-Driver!$F$200)*$BI$1,1)</f>
        <v>3.3181559476380196</v>
      </c>
      <c r="BI147" s="67">
        <f>MAX($BI$1*(BY147-Driver!$F$201)/(Driver!$G$201-Driver!$F$201),1)</f>
        <v>5.1898734177215191</v>
      </c>
      <c r="BJ147" s="67">
        <f>(CB147-Driver!$F$206)/(Driver!$G$206-Driver!$F$206)*$BI$1</f>
        <v>5.8730158730158735</v>
      </c>
      <c r="BK147" s="67">
        <f>(CD147-Driver!$F$203)/(Driver!$G$203-Driver!$F$203)*$BI$1</f>
        <v>1.4220183486238533</v>
      </c>
      <c r="BL147" s="67">
        <f>MAX((CR147-Driver!$F$202)/(Driver!$G$202-Driver!$F$202)*$BI$1,1)</f>
        <v>5.1724137931034484</v>
      </c>
      <c r="BM147" s="67">
        <f>MAX((CH147-Driver!$F$204)/(Driver!$G$204-Driver!$F$204)*$BI$1,1)</f>
        <v>2.9487179487179489</v>
      </c>
      <c r="BN147" s="67">
        <f>(CI147-Driver!$F$205)/(Driver!$G$205-Driver!$F$205)*$BI$1</f>
        <v>3</v>
      </c>
      <c r="BO147" s="67">
        <f>(CK147-Driver!$F$207)/(Driver!$G$207-Driver!$F$207)*$BI$1</f>
        <v>2.3681489141675285</v>
      </c>
      <c r="BP147" s="67">
        <f>(CM147-Driver!$F$208)/(Driver!$G$208-Driver!$F$208)*$BI$1</f>
        <v>2.8666666666666667</v>
      </c>
      <c r="BQ147" s="67">
        <f>(CL147-Driver!$F$209)/(Driver!$G$209-Driver!$F$209)*$BI$1</f>
        <v>5.3125</v>
      </c>
      <c r="BR147" s="28" t="s">
        <v>155</v>
      </c>
      <c r="BS147" s="8" t="s">
        <v>215</v>
      </c>
      <c r="BT147" s="9" t="s">
        <v>376</v>
      </c>
      <c r="BU147" s="10">
        <v>151</v>
      </c>
      <c r="BV147" s="9" t="s">
        <v>163</v>
      </c>
      <c r="BW147" s="10">
        <v>151</v>
      </c>
      <c r="BX147" s="10">
        <v>150.1</v>
      </c>
      <c r="BY147" s="10">
        <v>90</v>
      </c>
      <c r="BZ147" s="10">
        <v>123</v>
      </c>
      <c r="CA147" s="10">
        <v>134</v>
      </c>
      <c r="CB147" s="10">
        <v>101</v>
      </c>
      <c r="CC147" s="10">
        <v>121</v>
      </c>
      <c r="CD147" s="10">
        <v>12.5</v>
      </c>
      <c r="CE147" s="10">
        <v>1483</v>
      </c>
      <c r="CF147" s="10">
        <v>1.1299999999999999</v>
      </c>
      <c r="CG147" s="10">
        <v>1669</v>
      </c>
      <c r="CH147" s="10">
        <v>170</v>
      </c>
      <c r="CI147" s="10">
        <v>84</v>
      </c>
      <c r="CJ147" s="10">
        <v>44</v>
      </c>
      <c r="CK147" s="10">
        <v>339</v>
      </c>
      <c r="CL147" s="10">
        <v>34</v>
      </c>
      <c r="CM147" s="10">
        <v>258</v>
      </c>
      <c r="CN147" s="10">
        <v>0.75900000000000001</v>
      </c>
      <c r="CO147" s="10">
        <v>139</v>
      </c>
      <c r="CP147" s="10">
        <v>136</v>
      </c>
      <c r="CQ147" s="10">
        <v>201</v>
      </c>
      <c r="CR147" s="10">
        <v>4</v>
      </c>
      <c r="CS147" s="10">
        <v>6.5</v>
      </c>
      <c r="CT147" s="9" t="s">
        <v>188</v>
      </c>
      <c r="CU147" s="9" t="s">
        <v>169</v>
      </c>
      <c r="CV147" s="9" t="s">
        <v>185</v>
      </c>
      <c r="CW147" s="10"/>
      <c r="CX147" t="str">
        <f>INDEX('Data_Price '!AG$2:AG$1266,MATCH(Data!$DN147,'Data_Price '!$AT$2:$AT$1266,0))</f>
        <v>Faction candide ct 2.0 x (black) women's skis</v>
      </c>
      <c r="CY147" t="str">
        <f>INDEX('Data_Price '!AH$2:AH$1266,MATCH(Data!$DN147,'Data_Price '!$AT$2:$AT$1266,0))</f>
        <v>AlpinStore</v>
      </c>
      <c r="CZ147">
        <f>INDEX('Data_Price '!AI$2:AI$1266,MATCH(Data!$DN147,'Data_Price '!$AT$2:$AT$1266,0))</f>
        <v>475.13</v>
      </c>
      <c r="DA147" t="str">
        <f>INDEX('Data_Price '!AJ$2:AJ$1266,MATCH(Data!$DN147,'Data_Price '!$AT$2:$AT$1266,0))</f>
        <v>https://tinyurl.com/ybmtzf4b</v>
      </c>
      <c r="DB147" t="str">
        <f>INDEX('Data_Price '!AK$2:AK$1266,MATCH(Data!$DN147,'Data_Price '!$AT$2:$AT$1266,0))</f>
        <v>Faction Candide 2.0</v>
      </c>
      <c r="DC147" t="str">
        <f>INDEX('Data_Price '!AL$2:AL$1266,MATCH(Data!$DN147,'Data_Price '!$AT$2:$AT$1266,0))</f>
        <v>eBay</v>
      </c>
      <c r="DD147">
        <f>INDEX('Data_Price '!AM$2:AM$1266,MATCH(Data!$DN147,'Data_Price '!$AT$2:$AT$1266,0))</f>
        <v>499</v>
      </c>
      <c r="DE147" t="str">
        <f>INDEX('Data_Price '!AN$2:AN$1266,MATCH(Data!$DN147,'Data_Price '!$AT$2:$AT$1266,0))</f>
        <v>https://tinyurl.com/y8n9opqr</v>
      </c>
      <c r="DF147" t="str">
        <f>INDEX('Data_Price '!AO$2:AO$1266,MATCH(Data!$DN147,'Data_Price '!$AT$2:$AT$1266,0))</f>
        <v>Women's Faction Ct 2.0x Skis 2022 - 166</v>
      </c>
      <c r="DG147" t="str">
        <f>INDEX('Data_Price '!AP$2:AP$1266,MATCH(Data!$DN147,'Data_Price '!$AT$2:$AT$1266,0))</f>
        <v>Powder7 Ski Shop</v>
      </c>
      <c r="DH147">
        <f>INDEX('Data_Price '!AQ$2:AQ$1266,MATCH(Data!$DN147,'Data_Price '!$AT$2:$AT$1266,0))</f>
        <v>559</v>
      </c>
      <c r="DI147" t="str">
        <f>INDEX('Data_Price '!AR$2:AR$1266,MATCH(Data!$DN147,'Data_Price '!$AT$2:$AT$1266,0))</f>
        <v>https://tinyurl.com/yblnlkex</v>
      </c>
      <c r="DJ147" s="89" t="str">
        <f t="shared" si="106"/>
        <v>https://tinyurl.com/ybmtzf4b</v>
      </c>
      <c r="DK147" s="89" t="str">
        <f t="shared" si="107"/>
        <v>https://tinyurl.com/y8n9opqr</v>
      </c>
      <c r="DL147" s="89" t="str">
        <f t="shared" si="108"/>
        <v>https://tinyurl.com/yblnlkex</v>
      </c>
      <c r="DM147" s="219" t="str">
        <f t="shared" si="109"/>
        <v>Genesis 101</v>
      </c>
      <c r="DN147" s="89" t="str">
        <f t="shared" si="110"/>
        <v xml:space="preserve"> LibertyGenesis 101151 Women's</v>
      </c>
      <c r="DO147" s="221" t="s">
        <v>377</v>
      </c>
    </row>
    <row r="148" spans="2:119" ht="15.6" customHeight="1">
      <c r="B148" s="219" t="b">
        <f t="array" ref="B148">IF(OR(ISERROR(K148:P148)),FALSE,TRUE)</f>
        <v>1</v>
      </c>
      <c r="C148" s="43" t="b">
        <f>OR(BR148=Driver!$G$50,Data!BR212=Driver!$H$50)</f>
        <v>1</v>
      </c>
      <c r="D148" s="43" t="b">
        <f>OR(BV148=Driver!$G$51,BV148=Driver!$H$51)</f>
        <v>1</v>
      </c>
      <c r="E148" s="43" t="b">
        <f>AND(BX148&gt;Driver!$F$54,BX148&lt;Driver!$G$54)</f>
        <v>0</v>
      </c>
      <c r="F148" s="43" t="b">
        <f>CL148&gt;Driver!$F$56</f>
        <v>1</v>
      </c>
      <c r="G148" s="43" t="b">
        <f>AND(CB148&gt;Driver!$F$55,CB148&lt;Driver!$G$55)</f>
        <v>0</v>
      </c>
      <c r="H148" s="43" t="b">
        <f t="shared" si="74"/>
        <v>0</v>
      </c>
      <c r="I148" s="43">
        <f t="shared" si="75"/>
        <v>0</v>
      </c>
      <c r="J148" s="43" t="b">
        <f t="array" ref="J148">NOT(OR(($H$9:$H$1273=TRUE)*($I$9:$I$1273&gt;0)*($BT$9:$BT$1273=BT148)*($K$9:$K$1273&gt;K148)))</f>
        <v>1</v>
      </c>
      <c r="K148" s="72">
        <f t="shared" si="76"/>
        <v>0.88689065554864754</v>
      </c>
      <c r="L148" s="72">
        <f t="shared" si="77"/>
        <v>0.98695649734973778</v>
      </c>
      <c r="M148" s="72">
        <f t="shared" si="78"/>
        <v>0.78682481374755731</v>
      </c>
      <c r="N148" s="72">
        <f t="shared" si="79"/>
        <v>0.83020227708815142</v>
      </c>
      <c r="O148" s="72">
        <f t="shared" si="80"/>
        <v>0.6870821666365261</v>
      </c>
      <c r="P148" s="72">
        <f t="shared" si="81"/>
        <v>0.84318999751799462</v>
      </c>
      <c r="Q148" s="72"/>
      <c r="R148" s="72"/>
      <c r="S148" s="72">
        <f t="shared" si="82"/>
        <v>0.49499524833360165</v>
      </c>
      <c r="T148" s="72">
        <f t="shared" si="83"/>
        <v>0.49762356683790998</v>
      </c>
      <c r="U148" s="72">
        <f t="shared" si="84"/>
        <v>0.97933160360013638</v>
      </c>
      <c r="V148" s="72">
        <f t="shared" si="85"/>
        <v>0.51938892440873197</v>
      </c>
      <c r="W148" s="72">
        <f t="shared" si="86"/>
        <v>0.78144821194099023</v>
      </c>
      <c r="X148" s="72">
        <f t="shared" si="87"/>
        <v>1.3043502650262218E-2</v>
      </c>
      <c r="Y148" s="72">
        <f t="shared" si="88"/>
        <v>0.21317518625244267</v>
      </c>
      <c r="Z148" s="72">
        <f t="shared" si="89"/>
        <v>0.16979772291184864</v>
      </c>
      <c r="AA148" s="72">
        <f t="shared" si="90"/>
        <v>0.3129178333634739</v>
      </c>
      <c r="AB148" s="72">
        <f t="shared" si="91"/>
        <v>0.15681000248200544</v>
      </c>
      <c r="AC148" s="72"/>
      <c r="AD148" s="72"/>
      <c r="AE148" s="72">
        <f t="shared" si="92"/>
        <v>0.50500475166639835</v>
      </c>
      <c r="AF148" s="72">
        <f t="shared" si="93"/>
        <v>0.50237643316209002</v>
      </c>
      <c r="AG148" s="72">
        <f t="shared" si="94"/>
        <v>2.066839639986362E-2</v>
      </c>
      <c r="AH148" s="72">
        <f t="shared" si="95"/>
        <v>0.48061107559126798</v>
      </c>
      <c r="AI148" s="72">
        <f t="shared" si="96"/>
        <v>0.21855178805900982</v>
      </c>
      <c r="AJ148" s="72">
        <f>(AV148-Driver!$K$179)/(Driver!$L$179-Driver!$K$179)</f>
        <v>0.26726291193296264</v>
      </c>
      <c r="AK148" s="72">
        <f>(AW148-Driver!$K$180)/(Driver!$L$180-Driver!$K$180)</f>
        <v>0.40219034748149635</v>
      </c>
      <c r="AL148" s="72">
        <f>(AX148-Driver!$K$181)/(Driver!$L$181-Driver!$K$181)</f>
        <v>0.27148548662492883</v>
      </c>
      <c r="AM148" s="72">
        <f>(AY148-Driver!$K$182)/(Driver!$L$182-Driver!$K$182)</f>
        <v>0.1344671877335725</v>
      </c>
      <c r="AN148" s="72">
        <f>(AZ148-Driver!$K$183)/(Driver!$L$183-Driver!$K$183)</f>
        <v>0.41102941176470587</v>
      </c>
      <c r="AO148" s="72"/>
      <c r="AP148" s="72"/>
      <c r="AQ148" s="72">
        <f>(BC148-Driver!$K$188)/(Driver!$L$188-Driver!$K$188)</f>
        <v>0.11499524833360165</v>
      </c>
      <c r="AR148" s="72">
        <f>MIN((BD148-Driver!$K$189)/(Driver!$L$189-Driver!$K$189),100%)</f>
        <v>4.7623566837909984E-2</v>
      </c>
      <c r="AS148" s="72">
        <f>(BE148-Driver!$K$190)/(Driver!$L$190-Driver!$K$190)</f>
        <v>0.53066839639986363</v>
      </c>
      <c r="AT148" s="72">
        <f>(BF148-Driver!$K$191)/(Driver!$L$191-Driver!$K$191)</f>
        <v>2.9388924408732055E-2</v>
      </c>
      <c r="AU148" s="72">
        <f>(BG148-Driver!$K$192)/(Driver!$L$192-Driver!$K$192)</f>
        <v>3.1448211940990185E-2</v>
      </c>
      <c r="AV148" s="70">
        <f t="shared" si="97"/>
        <v>5.6250847917514575</v>
      </c>
      <c r="AW148" s="70">
        <f t="shared" si="98"/>
        <v>41.068905752545248</v>
      </c>
      <c r="AX148" s="70">
        <f t="shared" si="99"/>
        <v>3.4433693796243596</v>
      </c>
      <c r="AY148" s="70">
        <f>IFERROR(Driver!$K$19/Data!BH148/Data!BI148*Data!BK148*Data!BL148,"")</f>
        <v>0.16462795892237564</v>
      </c>
      <c r="AZ148" s="70">
        <f t="shared" si="100"/>
        <v>37.46090841399851</v>
      </c>
      <c r="BA148" s="70"/>
      <c r="BB148" s="70"/>
      <c r="BC148" s="70">
        <f t="shared" si="101"/>
        <v>59.648834744635913</v>
      </c>
      <c r="BD148" s="70">
        <f t="shared" si="102"/>
        <v>5.9354241652855855</v>
      </c>
      <c r="BE148" s="70">
        <f t="shared" si="103"/>
        <v>0.53075211987539372</v>
      </c>
      <c r="BF148" s="70">
        <f t="shared" si="104"/>
        <v>3.3192725430869903</v>
      </c>
      <c r="BG148" s="70">
        <f t="shared" si="105"/>
        <v>0.11908299219896501</v>
      </c>
      <c r="BH148" s="67">
        <f>MAX((CE148-Driver!$F$200)/(Driver!$G$200-Driver!$F$200)*$BI$1,1)</f>
        <v>3.4433693796243596</v>
      </c>
      <c r="BI148" s="67">
        <f>MAX($BI$1*(BY148-Driver!$F$201)/(Driver!$G$201-Driver!$F$201),1)</f>
        <v>8.1645569620253173</v>
      </c>
      <c r="BJ148" s="67">
        <f>(CB148-Driver!$F$206)/(Driver!$G$206-Driver!$F$206)*$BI$1</f>
        <v>4.92063492063492</v>
      </c>
      <c r="BK148" s="67">
        <f>(CD148-Driver!$F$203)/(Driver!$G$203-Driver!$F$203)*$BI$1</f>
        <v>3.5321100917431201</v>
      </c>
      <c r="BL148" s="67">
        <f>MAX((CR148-Driver!$F$202)/(Driver!$G$202-Driver!$F$202)*$BI$1,1)</f>
        <v>6.5517241379310338</v>
      </c>
      <c r="BM148" s="67">
        <f>MAX((CH148-Driver!$F$204)/(Driver!$G$204-Driver!$F$204)*$BI$1,1)</f>
        <v>4.5726495726495724</v>
      </c>
      <c r="BN148" s="67">
        <f>(CI148-Driver!$F$205)/(Driver!$G$205-Driver!$F$205)*$BI$1</f>
        <v>4.5882352941176467</v>
      </c>
      <c r="BO148" s="67">
        <f>(CK148-Driver!$F$207)/(Driver!$G$207-Driver!$F$207)*$BI$1</f>
        <v>1.4891416752843847</v>
      </c>
      <c r="BP148" s="67">
        <f>(CM148-Driver!$F$208)/(Driver!$G$208-Driver!$F$208)*$BI$1</f>
        <v>1.6</v>
      </c>
      <c r="BQ148" s="67">
        <f>(CL148-Driver!$F$209)/(Driver!$G$209-Driver!$F$209)*$BI$1</f>
        <v>1.875</v>
      </c>
      <c r="BR148" s="28" t="s">
        <v>155</v>
      </c>
      <c r="BS148" s="8" t="s">
        <v>237</v>
      </c>
      <c r="BT148" s="9" t="s">
        <v>361</v>
      </c>
      <c r="BU148" s="10">
        <v>178.2</v>
      </c>
      <c r="BV148" s="9" t="s">
        <v>158</v>
      </c>
      <c r="BW148" s="10">
        <v>178.2</v>
      </c>
      <c r="BX148" s="10">
        <v>177.2</v>
      </c>
      <c r="BY148" s="10">
        <v>137</v>
      </c>
      <c r="BZ148" s="10">
        <v>147</v>
      </c>
      <c r="CA148" s="10">
        <v>134</v>
      </c>
      <c r="CB148" s="10">
        <v>95</v>
      </c>
      <c r="CC148" s="10">
        <v>114</v>
      </c>
      <c r="CD148" s="10">
        <v>17.100000000000001</v>
      </c>
      <c r="CE148" s="10">
        <v>1505</v>
      </c>
      <c r="CF148" s="10">
        <v>1.26</v>
      </c>
      <c r="CG148" s="10">
        <v>1902</v>
      </c>
      <c r="CH148" s="10">
        <v>208</v>
      </c>
      <c r="CI148" s="10">
        <v>111</v>
      </c>
      <c r="CJ148" s="10">
        <v>44</v>
      </c>
      <c r="CK148" s="10">
        <v>254</v>
      </c>
      <c r="CL148" s="10">
        <v>12</v>
      </c>
      <c r="CM148" s="10">
        <v>144</v>
      </c>
      <c r="CN148" s="10">
        <v>0.27300000000000002</v>
      </c>
      <c r="CO148" s="10">
        <v>169</v>
      </c>
      <c r="CP148" s="10">
        <v>133</v>
      </c>
      <c r="CQ148" s="10">
        <v>85</v>
      </c>
      <c r="CR148" s="10">
        <v>8</v>
      </c>
      <c r="CS148" s="10">
        <v>9.1999999999999993</v>
      </c>
      <c r="CT148" s="9" t="s">
        <v>188</v>
      </c>
      <c r="CU148" s="9" t="s">
        <v>185</v>
      </c>
      <c r="CV148" s="9" t="s">
        <v>198</v>
      </c>
      <c r="CW148" s="10"/>
      <c r="CX148" t="str">
        <f>INDEX('Data_Price '!AG$2:AG$1266,MATCH(Data!$DN148,'Data_Price '!$AT$2:$AT$1266,0))</f>
        <v>Black Crows Camox Freebird Skis, 178cm</v>
      </c>
      <c r="CY148" t="str">
        <f>INDEX('Data_Price '!AH$2:AH$1266,MATCH(Data!$DN148,'Data_Price '!$AT$2:$AT$1266,0))</f>
        <v>Ascent Outdoors</v>
      </c>
      <c r="CZ148">
        <f>INDEX('Data_Price '!AI$2:AI$1266,MATCH(Data!$DN148,'Data_Price '!$AT$2:$AT$1266,0))</f>
        <v>514.99</v>
      </c>
      <c r="DA148" t="str">
        <f>INDEX('Data_Price '!AJ$2:AJ$1266,MATCH(Data!$DN148,'Data_Price '!$AT$2:$AT$1266,0))</f>
        <v>https://tinyurl.com/y7hujl2e</v>
      </c>
      <c r="DB148" t="str">
        <f>INDEX('Data_Price '!AK$2:AK$1266,MATCH(Data!$DN148,'Data_Price '!$AT$2:$AT$1266,0))</f>
        <v>Black Crows Camox Freebird Skis, 178cm</v>
      </c>
      <c r="DC148" t="str">
        <f>INDEX('Data_Price '!AL$2:AL$1266,MATCH(Data!$DN148,'Data_Price '!$AT$2:$AT$1266,0))</f>
        <v>SkiEssentials.com</v>
      </c>
      <c r="DD148">
        <f>INDEX('Data_Price '!AM$2:AM$1266,MATCH(Data!$DN148,'Data_Price '!$AT$2:$AT$1266,0))</f>
        <v>591.96</v>
      </c>
      <c r="DE148" t="str">
        <f>INDEX('Data_Price '!AN$2:AN$1266,MATCH(Data!$DN148,'Data_Price '!$AT$2:$AT$1266,0))</f>
        <v>https://tinyurl.com/yc363rfc</v>
      </c>
      <c r="DF148" t="str">
        <f>INDEX('Data_Price '!AO$2:AO$1266,MATCH(Data!$DN148,'Data_Price '!$AT$2:$AT$1266,0))</f>
        <v>Black Crows Camox Freebird Skis, 178cm</v>
      </c>
      <c r="DG148" t="str">
        <f>INDEX('Data_Price '!AP$2:AP$1266,MATCH(Data!$DN148,'Data_Price '!$AT$2:$AT$1266,0))</f>
        <v>evo.com</v>
      </c>
      <c r="DH148">
        <f>INDEX('Data_Price '!AQ$2:AQ$1266,MATCH(Data!$DN148,'Data_Price '!$AT$2:$AT$1266,0))</f>
        <v>591.96</v>
      </c>
      <c r="DI148" t="str">
        <f>INDEX('Data_Price '!AR$2:AR$1266,MATCH(Data!$DN148,'Data_Price '!$AT$2:$AT$1266,0))</f>
        <v>https://tinyurl.com/ybjthgjv</v>
      </c>
      <c r="DJ148" s="89" t="str">
        <f t="shared" si="106"/>
        <v>https://tinyurl.com/y7hujl2e</v>
      </c>
      <c r="DK148" s="89" t="str">
        <f t="shared" si="107"/>
        <v>https://tinyurl.com/yc363rfc</v>
      </c>
      <c r="DL148" s="89" t="str">
        <f t="shared" si="108"/>
        <v>https://tinyurl.com/ybjthgjv</v>
      </c>
      <c r="DM148" s="219" t="str">
        <f t="shared" si="109"/>
        <v>Camox Freebird</v>
      </c>
      <c r="DN148" s="89" t="str">
        <f t="shared" si="110"/>
        <v xml:space="preserve"> Black CrowsCamox Freebird178.2 Unisex</v>
      </c>
      <c r="DO148" s="221" t="s">
        <v>362</v>
      </c>
    </row>
    <row r="149" spans="2:119" ht="15.6" customHeight="1">
      <c r="B149" s="219" t="b">
        <f t="array" ref="B149">IF(OR(ISERROR(K149:P149)),FALSE,TRUE)</f>
        <v>1</v>
      </c>
      <c r="C149" s="43" t="b">
        <f>OR(BR149=Driver!$G$50,Data!BR551=Driver!$H$50)</f>
        <v>1</v>
      </c>
      <c r="D149" s="43" t="b">
        <f>OR(BV149=Driver!$G$51,BV149=Driver!$H$51)</f>
        <v>1</v>
      </c>
      <c r="E149" s="43" t="b">
        <f>AND(BX149&gt;Driver!$F$54,BX149&lt;Driver!$G$54)</f>
        <v>0</v>
      </c>
      <c r="F149" s="43" t="b">
        <f>CL149&gt;Driver!$F$56</f>
        <v>1</v>
      </c>
      <c r="G149" s="43" t="b">
        <f>AND(CB149&gt;Driver!$F$55,CB149&lt;Driver!$G$55)</f>
        <v>1</v>
      </c>
      <c r="H149" s="43" t="b">
        <f t="shared" si="74"/>
        <v>0</v>
      </c>
      <c r="I149" s="43">
        <f t="shared" si="75"/>
        <v>0</v>
      </c>
      <c r="J149" s="43" t="b">
        <f t="array" ref="J149">NOT(OR(($H$9:$H$1273=TRUE)*($I$9:$I$1273&gt;0)*($BT$9:$BT$1273=BT149)*($K$9:$K$1273&gt;K149)))</f>
        <v>1</v>
      </c>
      <c r="K149" s="72">
        <f t="shared" si="76"/>
        <v>0.87490553591983589</v>
      </c>
      <c r="L149" s="72">
        <f t="shared" si="77"/>
        <v>0.89284643369652694</v>
      </c>
      <c r="M149" s="72">
        <f t="shared" si="78"/>
        <v>0.85696463814314483</v>
      </c>
      <c r="N149" s="72">
        <f t="shared" si="79"/>
        <v>0.85676270205495075</v>
      </c>
      <c r="O149" s="72">
        <f t="shared" si="80"/>
        <v>0.71589964126502714</v>
      </c>
      <c r="P149" s="72">
        <f t="shared" si="81"/>
        <v>0.99823157110945648</v>
      </c>
      <c r="Q149" s="72"/>
      <c r="R149" s="72"/>
      <c r="S149" s="72">
        <f t="shared" si="82"/>
        <v>0.46995691659262739</v>
      </c>
      <c r="T149" s="72">
        <f t="shared" si="83"/>
        <v>0.45412786005946915</v>
      </c>
      <c r="U149" s="72">
        <f t="shared" si="84"/>
        <v>0.64860292673438336</v>
      </c>
      <c r="V149" s="72">
        <f t="shared" si="85"/>
        <v>0.5536358844361875</v>
      </c>
      <c r="W149" s="72">
        <f t="shared" si="86"/>
        <v>0.78668391381573866</v>
      </c>
      <c r="X149" s="72">
        <f t="shared" si="87"/>
        <v>0.10715356630347306</v>
      </c>
      <c r="Y149" s="72">
        <f t="shared" si="88"/>
        <v>0.1430353618568552</v>
      </c>
      <c r="Z149" s="72">
        <f t="shared" si="89"/>
        <v>0.14323729794504925</v>
      </c>
      <c r="AA149" s="72">
        <f t="shared" si="90"/>
        <v>0.28410035873497286</v>
      </c>
      <c r="AB149" s="72">
        <f t="shared" si="91"/>
        <v>1.7684288905435164E-3</v>
      </c>
      <c r="AC149" s="72"/>
      <c r="AD149" s="72"/>
      <c r="AE149" s="72">
        <f t="shared" si="92"/>
        <v>0.53004308340737261</v>
      </c>
      <c r="AF149" s="72">
        <f t="shared" si="93"/>
        <v>0.54587213994053085</v>
      </c>
      <c r="AG149" s="72">
        <f t="shared" si="94"/>
        <v>0.3513970732656167</v>
      </c>
      <c r="AH149" s="72">
        <f t="shared" si="95"/>
        <v>0.44636411556381256</v>
      </c>
      <c r="AI149" s="72">
        <f t="shared" si="96"/>
        <v>0.21331608618426132</v>
      </c>
      <c r="AJ149" s="72">
        <f>(AV149-Driver!$K$179)/(Driver!$L$179-Driver!$K$179)</f>
        <v>0.36137297558617348</v>
      </c>
      <c r="AK149" s="72">
        <f>(AW149-Driver!$K$180)/(Driver!$L$180-Driver!$K$180)</f>
        <v>0.25180401731232083</v>
      </c>
      <c r="AL149" s="72">
        <f>(AX149-Driver!$K$181)/(Driver!$L$181-Driver!$K$181)</f>
        <v>0.24492506165812941</v>
      </c>
      <c r="AM149" s="72">
        <f>(AY149-Driver!$K$182)/(Driver!$L$182-Driver!$K$182)</f>
        <v>0.16328466236207353</v>
      </c>
      <c r="AN149" s="72">
        <f>(AZ149-Driver!$K$183)/(Driver!$L$183-Driver!$K$183)</f>
        <v>0.25245098039215691</v>
      </c>
      <c r="AO149" s="72"/>
      <c r="AP149" s="72"/>
      <c r="AQ149" s="72">
        <f>(BC149-Driver!$K$188)/(Driver!$L$188-Driver!$K$188)</f>
        <v>8.9956916592627403E-2</v>
      </c>
      <c r="AR149" s="72">
        <f>MIN((BD149-Driver!$K$189)/(Driver!$L$189-Driver!$K$189),100%)</f>
        <v>4.1278600594691819E-3</v>
      </c>
      <c r="AS149" s="72">
        <f>(BE149-Driver!$K$190)/(Driver!$L$190-Driver!$K$190)</f>
        <v>0.15860292673438331</v>
      </c>
      <c r="AT149" s="72">
        <f>(BF149-Driver!$K$191)/(Driver!$L$191-Driver!$K$191)</f>
        <v>6.3635884436187465E-2</v>
      </c>
      <c r="AU149" s="72">
        <f>(BG149-Driver!$K$192)/(Driver!$L$192-Driver!$K$192)</f>
        <v>3.6683913815738677E-2</v>
      </c>
      <c r="AV149" s="70">
        <f t="shared" si="97"/>
        <v>7.6058201058201051</v>
      </c>
      <c r="AW149" s="70">
        <f t="shared" si="98"/>
        <v>26.412425319114742</v>
      </c>
      <c r="AX149" s="70">
        <f t="shared" si="99"/>
        <v>3.2043255549231646</v>
      </c>
      <c r="AY149" s="70">
        <f>IFERROR(Driver!$K$19/Data!BH149/Data!BI149*Data!BK149*Data!BL149,"")</f>
        <v>0.19990914617221497</v>
      </c>
      <c r="AZ149" s="70">
        <f t="shared" si="100"/>
        <v>23.008190618019363</v>
      </c>
      <c r="BA149" s="70"/>
      <c r="BB149" s="70"/>
      <c r="BC149" s="70">
        <f t="shared" si="101"/>
        <v>46.661278006934239</v>
      </c>
      <c r="BD149" s="70">
        <f t="shared" si="102"/>
        <v>2.0861311852255242</v>
      </c>
      <c r="BE149" s="70">
        <f t="shared" si="103"/>
        <v>0.15875302250192644</v>
      </c>
      <c r="BF149" s="70">
        <f t="shared" si="104"/>
        <v>7.1872260796769591</v>
      </c>
      <c r="BG149" s="70">
        <f t="shared" si="105"/>
        <v>0.13890869951347598</v>
      </c>
      <c r="BH149" s="67">
        <f>MAX((CE149-Driver!$F$200)/(Driver!$G$200-Driver!$F$200)*$BI$1,1)</f>
        <v>3.2043255549231646</v>
      </c>
      <c r="BI149" s="67">
        <f>MAX($BI$1*(BY149-Driver!$F$201)/(Driver!$G$201-Driver!$F$201),1)</f>
        <v>6.518987341772152</v>
      </c>
      <c r="BJ149" s="67">
        <f>(CB149-Driver!$F$206)/(Driver!$G$206-Driver!$F$206)*$BI$1</f>
        <v>6.1904761904761907</v>
      </c>
      <c r="BK149" s="67">
        <f>(CD149-Driver!$F$203)/(Driver!$G$203-Driver!$F$203)*$BI$1</f>
        <v>5.045871559633027</v>
      </c>
      <c r="BL149" s="67">
        <f>MAX((CR149-Driver!$F$202)/(Driver!$G$202-Driver!$F$202)*$BI$1,1)</f>
        <v>4.1379310344827589</v>
      </c>
      <c r="BM149" s="67">
        <f>MAX((CH149-Driver!$F$204)/(Driver!$G$204-Driver!$F$204)*$BI$1,1)</f>
        <v>4.9145299145299139</v>
      </c>
      <c r="BN149" s="67">
        <f>(CI149-Driver!$F$205)/(Driver!$G$205-Driver!$F$205)*$BI$1</f>
        <v>3.5294117647058827</v>
      </c>
      <c r="BO149" s="67">
        <f>(CK149-Driver!$F$207)/(Driver!$G$207-Driver!$F$207)*$BI$1</f>
        <v>3.1954498448810753</v>
      </c>
      <c r="BP149" s="67">
        <f>(CM149-Driver!$F$208)/(Driver!$G$208-Driver!$F$208)*$BI$1</f>
        <v>1.8333333333333333</v>
      </c>
      <c r="BQ149" s="67">
        <f>(CL149-Driver!$F$209)/(Driver!$G$209-Driver!$F$209)*$BI$1</f>
        <v>2.1875</v>
      </c>
      <c r="BR149" s="28" t="s">
        <v>155</v>
      </c>
      <c r="BS149" s="8" t="s">
        <v>245</v>
      </c>
      <c r="BT149" s="9" t="s">
        <v>275</v>
      </c>
      <c r="BU149" s="10">
        <v>171</v>
      </c>
      <c r="BV149" s="9" t="s">
        <v>158</v>
      </c>
      <c r="BW149" s="10">
        <v>171</v>
      </c>
      <c r="BX149" s="10">
        <v>169.8</v>
      </c>
      <c r="BY149" s="10">
        <v>111</v>
      </c>
      <c r="BZ149" s="10">
        <v>142</v>
      </c>
      <c r="CA149" s="10">
        <v>135</v>
      </c>
      <c r="CB149" s="10">
        <v>103</v>
      </c>
      <c r="CC149" s="10">
        <v>118</v>
      </c>
      <c r="CD149" s="10">
        <v>20.399999999999999</v>
      </c>
      <c r="CE149" s="10">
        <v>1463</v>
      </c>
      <c r="CF149" s="10">
        <v>1.3</v>
      </c>
      <c r="CG149" s="10">
        <v>1895</v>
      </c>
      <c r="CH149" s="10">
        <v>216</v>
      </c>
      <c r="CI149" s="10">
        <v>93</v>
      </c>
      <c r="CJ149" s="10">
        <v>65</v>
      </c>
      <c r="CK149" s="10">
        <v>419</v>
      </c>
      <c r="CL149" s="10">
        <v>14</v>
      </c>
      <c r="CM149" s="10">
        <v>165</v>
      </c>
      <c r="CN149" s="10">
        <v>0.216</v>
      </c>
      <c r="CO149" s="10">
        <v>163</v>
      </c>
      <c r="CP149" s="10">
        <v>119</v>
      </c>
      <c r="CQ149" s="10">
        <v>256</v>
      </c>
      <c r="CR149" s="10">
        <v>1</v>
      </c>
      <c r="CS149" s="10">
        <v>12.9</v>
      </c>
      <c r="CT149" s="9" t="s">
        <v>178</v>
      </c>
      <c r="CU149" s="9" t="s">
        <v>185</v>
      </c>
      <c r="CV149" s="9" t="s">
        <v>198</v>
      </c>
      <c r="CW149" s="10"/>
      <c r="CX149" t="str">
        <f>INDEX('Data_Price '!AG$2:AG$1266,MATCH(Data!$DN149,'Data_Price '!$AT$2:$AT$1266,0))</f>
        <v>Fischer Hannibal 106 Carbon</v>
      </c>
      <c r="CY149" t="str">
        <f>INDEX('Data_Price '!AH$2:AH$1266,MATCH(Data!$DN149,'Data_Price '!$AT$2:$AT$1266,0))</f>
        <v>Telemark Pyrenees</v>
      </c>
      <c r="CZ149">
        <f>INDEX('Data_Price '!AI$2:AI$1266,MATCH(Data!$DN149,'Data_Price '!$AT$2:$AT$1266,0))</f>
        <v>394.15</v>
      </c>
      <c r="DA149" t="str">
        <f>INDEX('Data_Price '!AJ$2:AJ$1266,MATCH(Data!$DN149,'Data_Price '!$AT$2:$AT$1266,0))</f>
        <v>https://tinyurl.com/ycwa7gna</v>
      </c>
      <c r="DB149" t="str">
        <f>INDEX('Data_Price '!AK$2:AK$1266,MATCH(Data!$DN149,'Data_Price '!$AT$2:$AT$1266,0))</f>
        <v>Fischer Hannibal 106 Carbon</v>
      </c>
      <c r="DC149" t="str">
        <f>INDEX('Data_Price '!AL$2:AL$1266,MATCH(Data!$DN149,'Data_Price '!$AT$2:$AT$1266,0))</f>
        <v>Snowcountry.eu</v>
      </c>
      <c r="DD149">
        <f>INDEX('Data_Price '!AM$2:AM$1266,MATCH(Data!$DN149,'Data_Price '!$AT$2:$AT$1266,0))</f>
        <v>451.78</v>
      </c>
      <c r="DE149" t="str">
        <f>INDEX('Data_Price '!AN$2:AN$1266,MATCH(Data!$DN149,'Data_Price '!$AT$2:$AT$1266,0))</f>
        <v>https://tinyurl.com/ydbabaqt</v>
      </c>
      <c r="DF149" t="str">
        <f>INDEX('Data_Price '!AO$2:AO$1266,MATCH(Data!$DN149,'Data_Price '!$AT$2:$AT$1266,0))</f>
        <v>Fischer Hannibal 106 Carbon</v>
      </c>
      <c r="DG149" t="str">
        <f>INDEX('Data_Price '!AP$2:AP$1266,MATCH(Data!$DN149,'Data_Price '!$AT$2:$AT$1266,0))</f>
        <v>Gorham Bike and Ski</v>
      </c>
      <c r="DH149">
        <f>INDEX('Data_Price '!AQ$2:AQ$1266,MATCH(Data!$DN149,'Data_Price '!$AT$2:$AT$1266,0))</f>
        <v>524.99</v>
      </c>
      <c r="DI149" t="str">
        <f>INDEX('Data_Price '!AR$2:AR$1266,MATCH(Data!$DN149,'Data_Price '!$AT$2:$AT$1266,0))</f>
        <v>https://tinyurl.com/ybn2on9z</v>
      </c>
      <c r="DJ149" s="89" t="str">
        <f t="shared" si="106"/>
        <v>https://tinyurl.com/ycwa7gna</v>
      </c>
      <c r="DK149" s="89" t="str">
        <f t="shared" si="107"/>
        <v>https://tinyurl.com/ydbabaqt</v>
      </c>
      <c r="DL149" s="89" t="str">
        <f t="shared" si="108"/>
        <v>https://tinyurl.com/ybn2on9z</v>
      </c>
      <c r="DM149" s="219" t="str">
        <f t="shared" si="109"/>
        <v>Hannibal 106</v>
      </c>
      <c r="DN149" s="89" t="str">
        <f t="shared" si="110"/>
        <v xml:space="preserve"> FischerHannibal 106171 Unisex</v>
      </c>
      <c r="DO149" s="221" t="s">
        <v>276</v>
      </c>
    </row>
    <row r="150" spans="2:119" ht="15.6" customHeight="1">
      <c r="B150" s="219" t="b">
        <f t="array" ref="B150">IF(OR(ISERROR(K150:P150)),FALSE,TRUE)</f>
        <v>1</v>
      </c>
      <c r="C150" s="43" t="b">
        <f>OR(BR150=Driver!$G$50,Data!BR234=Driver!$H$50)</f>
        <v>1</v>
      </c>
      <c r="D150" s="43" t="b">
        <f>OR(BV150=Driver!$G$51,BV150=Driver!$H$51)</f>
        <v>1</v>
      </c>
      <c r="E150" s="43" t="b">
        <f>AND(BX150&gt;Driver!$F$54,BX150&lt;Driver!$G$54)</f>
        <v>0</v>
      </c>
      <c r="F150" s="43" t="b">
        <f>CL150&gt;Driver!$F$56</f>
        <v>1</v>
      </c>
      <c r="G150" s="43" t="b">
        <f>AND(CB150&gt;Driver!$F$55,CB150&lt;Driver!$G$55)</f>
        <v>0</v>
      </c>
      <c r="H150" s="43" t="b">
        <f t="shared" si="74"/>
        <v>0</v>
      </c>
      <c r="I150" s="43">
        <f t="shared" si="75"/>
        <v>0</v>
      </c>
      <c r="J150" s="43" t="b">
        <f t="array" ref="J150">NOT(OR(($H$9:$H$1273=TRUE)*($I$9:$I$1273&gt;0)*($BT$9:$BT$1273=BT150)*($K$9:$K$1273&gt;K150)))</f>
        <v>1</v>
      </c>
      <c r="K150" s="72">
        <f t="shared" si="76"/>
        <v>0.81122758316814048</v>
      </c>
      <c r="L150" s="72">
        <f t="shared" si="77"/>
        <v>0.87713456519278021</v>
      </c>
      <c r="M150" s="72">
        <f t="shared" si="78"/>
        <v>0.74532060114350074</v>
      </c>
      <c r="N150" s="72">
        <f t="shared" si="79"/>
        <v>0.6765312469230973</v>
      </c>
      <c r="O150" s="72">
        <f t="shared" si="80"/>
        <v>0.66366702957764578</v>
      </c>
      <c r="P150" s="72">
        <f t="shared" si="81"/>
        <v>0.89576352692975925</v>
      </c>
      <c r="Q150" s="72"/>
      <c r="R150" s="72"/>
      <c r="S150" s="72">
        <f t="shared" si="82"/>
        <v>0.496025329912404</v>
      </c>
      <c r="T150" s="72">
        <f t="shared" si="83"/>
        <v>0.49698498631846322</v>
      </c>
      <c r="U150" s="72">
        <f t="shared" si="84"/>
        <v>0.61733295893714424</v>
      </c>
      <c r="V150" s="72">
        <f t="shared" si="85"/>
        <v>0.54899428270857897</v>
      </c>
      <c r="W150" s="72">
        <f t="shared" si="86"/>
        <v>0.77308372641509426</v>
      </c>
      <c r="X150" s="72">
        <f t="shared" si="87"/>
        <v>0.12286543480721973</v>
      </c>
      <c r="Y150" s="72">
        <f t="shared" si="88"/>
        <v>0.25467939885649926</v>
      </c>
      <c r="Z150" s="72">
        <f t="shared" si="89"/>
        <v>0.32346875307690276</v>
      </c>
      <c r="AA150" s="72">
        <f t="shared" si="90"/>
        <v>0.33633297042235422</v>
      </c>
      <c r="AB150" s="72">
        <f t="shared" si="91"/>
        <v>0.10423647307024081</v>
      </c>
      <c r="AC150" s="72"/>
      <c r="AD150" s="72"/>
      <c r="AE150" s="72">
        <f t="shared" si="92"/>
        <v>0.503974670087596</v>
      </c>
      <c r="AF150" s="72">
        <f t="shared" si="93"/>
        <v>0.50301501368153678</v>
      </c>
      <c r="AG150" s="72">
        <f t="shared" si="94"/>
        <v>0.38266704106285576</v>
      </c>
      <c r="AH150" s="72">
        <f t="shared" si="95"/>
        <v>0.45100571729142097</v>
      </c>
      <c r="AI150" s="72">
        <f t="shared" si="96"/>
        <v>0.22691627358490568</v>
      </c>
      <c r="AJ150" s="72">
        <f>(AV150-Driver!$K$179)/(Driver!$L$179-Driver!$K$179)</f>
        <v>0.37708484408992016</v>
      </c>
      <c r="AK150" s="72">
        <f>(AW150-Driver!$K$180)/(Driver!$L$180-Driver!$K$180)</f>
        <v>0.3669227550613493</v>
      </c>
      <c r="AL150" s="72">
        <f>(AX150-Driver!$K$181)/(Driver!$L$181-Driver!$K$181)</f>
        <v>0.42515651678998295</v>
      </c>
      <c r="AM150" s="72">
        <f>(AY150-Driver!$K$182)/(Driver!$L$182-Driver!$K$182)</f>
        <v>0.11105205067469215</v>
      </c>
      <c r="AN150" s="72">
        <f>(AZ150-Driver!$K$183)/(Driver!$L$183-Driver!$K$183)</f>
        <v>0.35845588235294124</v>
      </c>
      <c r="AO150" s="72"/>
      <c r="AP150" s="72"/>
      <c r="AQ150" s="72">
        <f>(BC150-Driver!$K$188)/(Driver!$L$188-Driver!$K$188)</f>
        <v>0.11602532991240395</v>
      </c>
      <c r="AR150" s="72">
        <f>MIN((BD150-Driver!$K$189)/(Driver!$L$189-Driver!$K$189),100%)</f>
        <v>4.6984986318463318E-2</v>
      </c>
      <c r="AS150" s="72">
        <f>(BE150-Driver!$K$190)/(Driver!$L$190-Driver!$K$190)</f>
        <v>0.12733295893714422</v>
      </c>
      <c r="AT150" s="72">
        <f>(BF150-Driver!$K$191)/(Driver!$L$191-Driver!$K$191)</f>
        <v>5.8994282708579052E-2</v>
      </c>
      <c r="AU150" s="72">
        <f>(BG150-Driver!$K$192)/(Driver!$L$192-Driver!$K$192)</f>
        <v>2.3083726415094333E-2</v>
      </c>
      <c r="AV150" s="70">
        <f t="shared" si="97"/>
        <v>7.936507936507935</v>
      </c>
      <c r="AW150" s="70">
        <f t="shared" si="98"/>
        <v>37.631766368542678</v>
      </c>
      <c r="AX150" s="70">
        <f t="shared" si="99"/>
        <v>4.8264086511098467</v>
      </c>
      <c r="AY150" s="70">
        <f>IFERROR(Driver!$K$19/Data!BH150/Data!BI150*Data!BK150*Data!BL150,"")</f>
        <v>0.13596084475970827</v>
      </c>
      <c r="AZ150" s="70">
        <f t="shared" si="100"/>
        <v>32.669396872673126</v>
      </c>
      <c r="BA150" s="70"/>
      <c r="BB150" s="70"/>
      <c r="BC150" s="70">
        <f t="shared" si="101"/>
        <v>60.183145220571625</v>
      </c>
      <c r="BD150" s="70">
        <f t="shared" si="102"/>
        <v>5.8789109208122818</v>
      </c>
      <c r="BE150" s="70">
        <f t="shared" si="103"/>
        <v>0.12748863291498388</v>
      </c>
      <c r="BF150" s="70">
        <f t="shared" si="104"/>
        <v>6.6629897736412715</v>
      </c>
      <c r="BG150" s="70">
        <f t="shared" si="105"/>
        <v>8.7409714033018851E-2</v>
      </c>
      <c r="BH150" s="67">
        <f>MAX((CE150-Driver!$F$200)/(Driver!$G$200-Driver!$F$200)*$BI$1,1)</f>
        <v>4.8264086511098467</v>
      </c>
      <c r="BI150" s="67">
        <f>MAX($BI$1*(BY150-Driver!$F$201)/(Driver!$G$201-Driver!$F$201),1)</f>
        <v>7.4050632911392409</v>
      </c>
      <c r="BJ150" s="67">
        <f>(CB150-Driver!$F$206)/(Driver!$G$206-Driver!$F$206)*$BI$1</f>
        <v>5.7142857142857135</v>
      </c>
      <c r="BK150" s="67">
        <f>(CD150-Driver!$F$203)/(Driver!$G$203-Driver!$F$203)*$BI$1</f>
        <v>4.4036697247706424</v>
      </c>
      <c r="BL150" s="67">
        <f>MAX((CR150-Driver!$F$202)/(Driver!$G$202-Driver!$F$202)*$BI$1,1)</f>
        <v>5.5172413793103452</v>
      </c>
      <c r="BM150" s="67">
        <f>MAX((CH150-Driver!$F$204)/(Driver!$G$204-Driver!$F$204)*$BI$1,1)</f>
        <v>5.5555555555555554</v>
      </c>
      <c r="BN150" s="67">
        <f>(CI150-Driver!$F$205)/(Driver!$G$205-Driver!$F$205)*$BI$1</f>
        <v>4.4117647058823533</v>
      </c>
      <c r="BO150" s="67">
        <f>(CK150-Driver!$F$207)/(Driver!$G$207-Driver!$F$207)*$BI$1</f>
        <v>2.3578076525336091</v>
      </c>
      <c r="BP150" s="67">
        <f>(CM150-Driver!$F$208)/(Driver!$G$208-Driver!$F$208)*$BI$1</f>
        <v>2.1777777777777776</v>
      </c>
      <c r="BQ150" s="67">
        <f>(CL150-Driver!$F$209)/(Driver!$G$209-Driver!$F$209)*$BI$1</f>
        <v>2.34375</v>
      </c>
      <c r="BR150" s="28" t="s">
        <v>155</v>
      </c>
      <c r="BS150" s="8" t="s">
        <v>237</v>
      </c>
      <c r="BT150" s="9" t="s">
        <v>238</v>
      </c>
      <c r="BU150" s="10">
        <v>179.1</v>
      </c>
      <c r="BV150" s="9" t="s">
        <v>158</v>
      </c>
      <c r="BW150" s="10">
        <v>179.1</v>
      </c>
      <c r="BX150" s="10">
        <v>178.4</v>
      </c>
      <c r="BY150" s="10">
        <v>125</v>
      </c>
      <c r="BZ150" s="10">
        <v>149</v>
      </c>
      <c r="CA150" s="10">
        <v>138</v>
      </c>
      <c r="CB150" s="10">
        <v>100</v>
      </c>
      <c r="CC150" s="10">
        <v>119</v>
      </c>
      <c r="CD150" s="10">
        <v>19</v>
      </c>
      <c r="CE150" s="10">
        <v>1748</v>
      </c>
      <c r="CF150" s="10">
        <v>1.1399999999999999</v>
      </c>
      <c r="CG150" s="10">
        <v>1996</v>
      </c>
      <c r="CH150" s="10">
        <v>231</v>
      </c>
      <c r="CI150" s="10">
        <v>108</v>
      </c>
      <c r="CJ150" s="10">
        <v>45</v>
      </c>
      <c r="CK150" s="10">
        <v>338</v>
      </c>
      <c r="CL150" s="10">
        <v>15</v>
      </c>
      <c r="CM150" s="10">
        <v>196</v>
      </c>
      <c r="CN150" s="10">
        <v>0.33300000000000002</v>
      </c>
      <c r="CO150" s="10">
        <v>166</v>
      </c>
      <c r="CP150" s="10">
        <v>130</v>
      </c>
      <c r="CQ150" s="10">
        <v>171</v>
      </c>
      <c r="CR150" s="10">
        <v>5</v>
      </c>
      <c r="CS150" s="10">
        <v>9.4</v>
      </c>
      <c r="CT150" s="9" t="s">
        <v>188</v>
      </c>
      <c r="CU150" s="9" t="s">
        <v>178</v>
      </c>
      <c r="CV150" s="9" t="s">
        <v>185</v>
      </c>
      <c r="CW150" s="10"/>
      <c r="CX150" t="str">
        <f>INDEX('Data_Price '!AG$2:AG$1266,MATCH(Data!$DN150,'Data_Price '!$AT$2:$AT$1266,0))</f>
        <v>2022 Black Crows Navis Freebird Skis w/ Marker Kingpin13 Bindings - 179| Ski Essentials</v>
      </c>
      <c r="CY150" t="str">
        <f>INDEX('Data_Price '!AH$2:AH$1266,MATCH(Data!$DN150,'Data_Price '!$AT$2:$AT$1266,0))</f>
        <v>SkiEssentials.com</v>
      </c>
      <c r="CZ150">
        <f>INDEX('Data_Price '!AI$2:AI$1266,MATCH(Data!$DN150,'Data_Price '!$AT$2:$AT$1266,0))</f>
        <v>1058.96</v>
      </c>
      <c r="DA150" t="str">
        <f>INDEX('Data_Price '!AJ$2:AJ$1266,MATCH(Data!$DN150,'Data_Price '!$AT$2:$AT$1266,0))</f>
        <v>https://tinyurl.com/y7dpzxno</v>
      </c>
      <c r="DB150" t="str">
        <f>INDEX('Data_Price '!AK$2:AK$1266,MATCH(Data!$DN150,'Data_Price '!$AT$2:$AT$1266,0))</f>
        <v>Skis Black Crows Navis Freebird</v>
      </c>
      <c r="DC150" t="str">
        <f>INDEX('Data_Price '!AL$2:AL$1266,MATCH(Data!$DN150,'Data_Price '!$AT$2:$AT$1266,0))</f>
        <v>! OutdoorXL.com</v>
      </c>
      <c r="DD150">
        <f>INDEX('Data_Price '!AM$2:AM$1266,MATCH(Data!$DN150,'Data_Price '!$AT$2:$AT$1266,0))</f>
        <v>584.95000000000005</v>
      </c>
      <c r="DE150" t="str">
        <f>INDEX('Data_Price '!AN$2:AN$1266,MATCH(Data!$DN150,'Data_Price '!$AT$2:$AT$1266,0))</f>
        <v>https://tinyurl.com/ybscqwfz</v>
      </c>
      <c r="DF150" t="str">
        <f>INDEX('Data_Price '!AO$2:AO$1266,MATCH(Data!$DN150,'Data_Price '!$AT$2:$AT$1266,0))</f>
        <v>Skis Black Crows Navis Freebird</v>
      </c>
      <c r="DG150" t="str">
        <f>INDEX('Data_Price '!AP$2:AP$1266,MATCH(Data!$DN150,'Data_Price '!$AT$2:$AT$1266,0))</f>
        <v>ColoradoSkiShop.com</v>
      </c>
      <c r="DH150">
        <f>INDEX('Data_Price '!AQ$2:AQ$1266,MATCH(Data!$DN150,'Data_Price '!$AT$2:$AT$1266,0))</f>
        <v>659.99</v>
      </c>
      <c r="DI150" t="str">
        <f>INDEX('Data_Price '!AR$2:AR$1266,MATCH(Data!$DN150,'Data_Price '!$AT$2:$AT$1266,0))</f>
        <v>https://tinyurl.com/y7spmqbn</v>
      </c>
      <c r="DJ150" s="89" t="str">
        <f t="shared" si="106"/>
        <v>https://tinyurl.com/y7dpzxno</v>
      </c>
      <c r="DK150" s="89" t="str">
        <f t="shared" si="107"/>
        <v>https://tinyurl.com/ybscqwfz</v>
      </c>
      <c r="DL150" s="89" t="str">
        <f t="shared" si="108"/>
        <v>https://tinyurl.com/y7spmqbn</v>
      </c>
      <c r="DM150" s="219" t="str">
        <f t="shared" si="109"/>
        <v>Navis Freebird</v>
      </c>
      <c r="DN150" s="89" t="str">
        <f t="shared" si="110"/>
        <v xml:space="preserve"> Black CrowsNavis Freebird179.1 Unisex</v>
      </c>
      <c r="DO150" s="221" t="s">
        <v>239</v>
      </c>
    </row>
    <row r="151" spans="2:119" ht="15.6" customHeight="1">
      <c r="B151" s="219" t="b">
        <f t="array" ref="B151">IF(OR(ISERROR(K151:P151)),FALSE,TRUE)</f>
        <v>1</v>
      </c>
      <c r="C151" s="43" t="b">
        <f>OR(BR151=Driver!$G$50,Data!BR407=Driver!$H$50)</f>
        <v>1</v>
      </c>
      <c r="D151" s="43" t="b">
        <f>OR(BV151=Driver!$G$51,BV151=Driver!$H$51)</f>
        <v>0</v>
      </c>
      <c r="E151" s="43" t="b">
        <f>AND(BX151&gt;Driver!$F$54,BX151&lt;Driver!$G$54)</f>
        <v>1</v>
      </c>
      <c r="F151" s="43" t="b">
        <f>CL151&gt;Driver!$F$56</f>
        <v>1</v>
      </c>
      <c r="G151" s="43" t="b">
        <f>AND(CB151&gt;Driver!$F$55,CB151&lt;Driver!$G$55)</f>
        <v>0</v>
      </c>
      <c r="H151" s="43" t="b">
        <f t="shared" si="74"/>
        <v>0</v>
      </c>
      <c r="I151" s="43">
        <f t="shared" si="75"/>
        <v>0</v>
      </c>
      <c r="J151" s="43" t="b">
        <f t="array" ref="J151">NOT(OR(($H$9:$H$1273=TRUE)*($I$9:$I$1273&gt;0)*($BT$9:$BT$1273=BT151)*($K$9:$K$1273&gt;K151)))</f>
        <v>1</v>
      </c>
      <c r="K151" s="72">
        <f t="shared" si="76"/>
        <v>0.82934587744768096</v>
      </c>
      <c r="L151" s="72">
        <f t="shared" si="77"/>
        <v>0.88454734417916336</v>
      </c>
      <c r="M151" s="72">
        <f t="shared" si="78"/>
        <v>0.77414441071619855</v>
      </c>
      <c r="N151" s="72">
        <f t="shared" si="79"/>
        <v>0.7005621076073445</v>
      </c>
      <c r="O151" s="72">
        <f t="shared" si="80"/>
        <v>0.63358308780757056</v>
      </c>
      <c r="P151" s="72">
        <f t="shared" si="81"/>
        <v>0.98828803673368082</v>
      </c>
      <c r="Q151" s="72"/>
      <c r="R151" s="72"/>
      <c r="S151" s="72">
        <f t="shared" si="82"/>
        <v>0.43797451127568143</v>
      </c>
      <c r="T151" s="72">
        <f t="shared" si="83"/>
        <v>0.56477942230911649</v>
      </c>
      <c r="U151" s="72">
        <f t="shared" si="84"/>
        <v>0.64342521908531836</v>
      </c>
      <c r="V151" s="72">
        <f t="shared" si="85"/>
        <v>0.55339438737246804</v>
      </c>
      <c r="W151" s="72">
        <f t="shared" si="86"/>
        <v>0.77122747747747744</v>
      </c>
      <c r="X151" s="72">
        <f t="shared" si="87"/>
        <v>0.11545265582083664</v>
      </c>
      <c r="Y151" s="72">
        <f t="shared" si="88"/>
        <v>0.22585558928380142</v>
      </c>
      <c r="Z151" s="72">
        <f t="shared" si="89"/>
        <v>0.29943789239265556</v>
      </c>
      <c r="AA151" s="72">
        <f t="shared" si="90"/>
        <v>0.3664169121924295</v>
      </c>
      <c r="AB151" s="72">
        <f t="shared" si="91"/>
        <v>1.1711963266319181E-2</v>
      </c>
      <c r="AC151" s="72"/>
      <c r="AD151" s="72"/>
      <c r="AE151" s="72">
        <f t="shared" si="92"/>
        <v>0.56202548872431857</v>
      </c>
      <c r="AF151" s="72">
        <f t="shared" si="93"/>
        <v>0.43522057769088357</v>
      </c>
      <c r="AG151" s="72">
        <f t="shared" si="94"/>
        <v>0.35657478091468164</v>
      </c>
      <c r="AH151" s="72">
        <f t="shared" si="95"/>
        <v>0.4466056126275319</v>
      </c>
      <c r="AI151" s="72">
        <f t="shared" si="96"/>
        <v>0.22877252252252253</v>
      </c>
      <c r="AJ151" s="72">
        <f>(AV151-Driver!$K$179)/(Driver!$L$179-Driver!$K$179)</f>
        <v>0.36967206510353706</v>
      </c>
      <c r="AK151" s="72">
        <f>(AW151-Driver!$K$180)/(Driver!$L$180-Driver!$K$180)</f>
        <v>0.27780081234129805</v>
      </c>
      <c r="AL151" s="72">
        <f>(AX151-Driver!$K$181)/(Driver!$L$181-Driver!$K$181)</f>
        <v>0.40112565610573575</v>
      </c>
      <c r="AM151" s="72">
        <f>(AY151-Driver!$K$182)/(Driver!$L$182-Driver!$K$182)</f>
        <v>8.0968108904616851E-2</v>
      </c>
      <c r="AN151" s="72">
        <f>(AZ151-Driver!$K$183)/(Driver!$L$183-Driver!$K$183)</f>
        <v>0.26593137254901961</v>
      </c>
      <c r="AO151" s="72"/>
      <c r="AP151" s="72"/>
      <c r="AQ151" s="72">
        <f>(BC151-Driver!$K$188)/(Driver!$L$188-Driver!$K$188)</f>
        <v>5.7974511275681428E-2</v>
      </c>
      <c r="AR151" s="72">
        <f>MIN((BD151-Driver!$K$189)/(Driver!$L$189-Driver!$K$189),100%)</f>
        <v>0.11477942230911649</v>
      </c>
      <c r="AS151" s="72">
        <f>(BE151-Driver!$K$190)/(Driver!$L$190-Driver!$K$190)</f>
        <v>0.15342521908531837</v>
      </c>
      <c r="AT151" s="72">
        <f>(BF151-Driver!$K$191)/(Driver!$L$191-Driver!$K$191)</f>
        <v>6.3394387372468108E-2</v>
      </c>
      <c r="AU151" s="72">
        <f>(BG151-Driver!$K$192)/(Driver!$L$192-Driver!$K$192)</f>
        <v>2.1227477477477476E-2</v>
      </c>
      <c r="AV151" s="70">
        <f t="shared" si="97"/>
        <v>7.7804911138244455</v>
      </c>
      <c r="AW151" s="70">
        <f t="shared" si="98"/>
        <v>28.946043349726185</v>
      </c>
      <c r="AX151" s="70">
        <f t="shared" si="99"/>
        <v>4.6101309049516219</v>
      </c>
      <c r="AY151" s="70">
        <f>IFERROR(Driver!$K$19/Data!BH151/Data!BI151*Data!BK151*Data!BL151,"")</f>
        <v>9.912912385125823E-2</v>
      </c>
      <c r="AZ151" s="70">
        <f t="shared" si="100"/>
        <v>24.236783320923305</v>
      </c>
      <c r="BA151" s="70"/>
      <c r="BB151" s="70"/>
      <c r="BC151" s="70">
        <f t="shared" si="101"/>
        <v>30.071782030959717</v>
      </c>
      <c r="BD151" s="70">
        <f t="shared" si="102"/>
        <v>11.87859838135266</v>
      </c>
      <c r="BE151" s="70">
        <f t="shared" si="103"/>
        <v>0.1535762384976285</v>
      </c>
      <c r="BF151" s="70">
        <f t="shared" si="104"/>
        <v>7.1599506829427524</v>
      </c>
      <c r="BG151" s="70">
        <f t="shared" si="105"/>
        <v>8.0380771396396392E-2</v>
      </c>
      <c r="BH151" s="67">
        <f>MAX((CE151-Driver!$F$200)/(Driver!$G$200-Driver!$F$200)*$BI$1,1)</f>
        <v>4.6101309049516219</v>
      </c>
      <c r="BI151" s="67">
        <f>MAX($BI$1*(BY151-Driver!$F$201)/(Driver!$G$201-Driver!$F$201),1)</f>
        <v>6.6455696202531644</v>
      </c>
      <c r="BJ151" s="67">
        <f>(CB151-Driver!$F$206)/(Driver!$G$206-Driver!$F$206)*$BI$1</f>
        <v>4.92063492063492</v>
      </c>
      <c r="BK151" s="67">
        <f>(CD151-Driver!$F$203)/(Driver!$G$203-Driver!$F$203)*$BI$1</f>
        <v>2.7522935779816518</v>
      </c>
      <c r="BL151" s="67">
        <f>MAX((CR151-Driver!$F$202)/(Driver!$G$202-Driver!$F$202)*$BI$1,1)</f>
        <v>5.5172413793103452</v>
      </c>
      <c r="BM151" s="67">
        <f>MAX((CH151-Driver!$F$204)/(Driver!$G$204-Driver!$F$204)*$BI$1,1)</f>
        <v>6.3247863247863245</v>
      </c>
      <c r="BN151" s="67">
        <f>(CI151-Driver!$F$205)/(Driver!$G$205-Driver!$F$205)*$BI$1</f>
        <v>3.6470588235294117</v>
      </c>
      <c r="BO151" s="67">
        <f>(CK151-Driver!$F$207)/(Driver!$G$207-Driver!$F$207)*$BI$1</f>
        <v>2.295760082730093</v>
      </c>
      <c r="BP151" s="67">
        <f>(CM151-Driver!$F$208)/(Driver!$G$208-Driver!$F$208)*$BI$1</f>
        <v>1.7444444444444445</v>
      </c>
      <c r="BQ151" s="67">
        <f>(CL151-Driver!$F$209)/(Driver!$G$209-Driver!$F$209)*$BI$1</f>
        <v>2.34375</v>
      </c>
      <c r="BR151" s="28" t="s">
        <v>155</v>
      </c>
      <c r="BS151" s="8" t="s">
        <v>202</v>
      </c>
      <c r="BT151" s="9" t="s">
        <v>211</v>
      </c>
      <c r="BU151" s="10">
        <v>162</v>
      </c>
      <c r="BV151" s="9" t="s">
        <v>163</v>
      </c>
      <c r="BW151" s="10">
        <v>162</v>
      </c>
      <c r="BX151" s="10">
        <v>161.4</v>
      </c>
      <c r="BY151" s="10">
        <v>113</v>
      </c>
      <c r="BZ151" s="10">
        <v>132</v>
      </c>
      <c r="CA151" s="10">
        <v>124</v>
      </c>
      <c r="CB151" s="10">
        <v>95</v>
      </c>
      <c r="CC151" s="10">
        <v>114</v>
      </c>
      <c r="CD151" s="10">
        <v>15.4</v>
      </c>
      <c r="CE151" s="10">
        <v>1710</v>
      </c>
      <c r="CF151" s="10">
        <v>0.99</v>
      </c>
      <c r="CG151" s="10">
        <v>1698</v>
      </c>
      <c r="CH151" s="10">
        <v>249</v>
      </c>
      <c r="CI151" s="10">
        <v>95</v>
      </c>
      <c r="CJ151" s="10">
        <v>59</v>
      </c>
      <c r="CK151" s="10">
        <v>332</v>
      </c>
      <c r="CL151" s="10">
        <v>15</v>
      </c>
      <c r="CM151" s="10">
        <v>157</v>
      </c>
      <c r="CN151" s="10">
        <v>0.254</v>
      </c>
      <c r="CO151" s="10">
        <v>192</v>
      </c>
      <c r="CP151" s="10">
        <v>105</v>
      </c>
      <c r="CQ151" s="10">
        <v>140</v>
      </c>
      <c r="CR151" s="10">
        <v>5</v>
      </c>
      <c r="CS151" s="10">
        <v>12</v>
      </c>
      <c r="CT151" s="9" t="s">
        <v>188</v>
      </c>
      <c r="CU151" s="10"/>
      <c r="CV151" s="10"/>
      <c r="CW151" s="10"/>
      <c r="CX151" t="str">
        <f>INDEX('Data_Price '!AG$2:AG$1266,MATCH(Data!$DN151,'Data_Price '!$AT$2:$AT$1266,0))</f>
        <v>Dynastar M-Pro 99 W Skis Women's 2022 - 162</v>
      </c>
      <c r="CY151" t="str">
        <f>INDEX('Data_Price '!AH$2:AH$1266,MATCH(Data!$DN151,'Data_Price '!$AT$2:$AT$1266,0))</f>
        <v>Snowcountry.eu</v>
      </c>
      <c r="CZ151">
        <f>INDEX('Data_Price '!AI$2:AI$1266,MATCH(Data!$DN151,'Data_Price '!$AT$2:$AT$1266,0))</f>
        <v>414</v>
      </c>
      <c r="DA151" t="str">
        <f>INDEX('Data_Price '!AJ$2:AJ$1266,MATCH(Data!$DN151,'Data_Price '!$AT$2:$AT$1266,0))</f>
        <v>https://tinyurl.com/yal6hnu3</v>
      </c>
      <c r="DB151" t="str">
        <f>INDEX('Data_Price '!AK$2:AK$1266,MATCH(Data!$DN151,'Data_Price '!$AT$2:$AT$1266,0))</f>
        <v>Dynastar M-Pro 99 W Skis Women's 2022 - 162</v>
      </c>
      <c r="DC151" t="str">
        <f>INDEX('Data_Price '!AL$2:AL$1266,MATCH(Data!$DN151,'Data_Price '!$AT$2:$AT$1266,0))</f>
        <v>Next Adventure</v>
      </c>
      <c r="DD151">
        <f>INDEX('Data_Price '!AM$2:AM$1266,MATCH(Data!$DN151,'Data_Price '!$AT$2:$AT$1266,0))</f>
        <v>489.97</v>
      </c>
      <c r="DE151" t="str">
        <f>INDEX('Data_Price '!AN$2:AN$1266,MATCH(Data!$DN151,'Data_Price '!$AT$2:$AT$1266,0))</f>
        <v>https://tinyurl.com/y7s8x7p3</v>
      </c>
      <c r="DF151" t="str">
        <f>INDEX('Data_Price '!AO$2:AO$1266,MATCH(Data!$DN151,'Data_Price '!$AT$2:$AT$1266,0))</f>
        <v>Dynastar M-Pro 99 W Skis Women's 2022 - 162</v>
      </c>
      <c r="DG151" t="str">
        <f>INDEX('Data_Price '!AP$2:AP$1266,MATCH(Data!$DN151,'Data_Price '!$AT$2:$AT$1266,0))</f>
        <v>evo.com</v>
      </c>
      <c r="DH151">
        <f>INDEX('Data_Price '!AQ$2:AQ$1266,MATCH(Data!$DN151,'Data_Price '!$AT$2:$AT$1266,0))</f>
        <v>559.96</v>
      </c>
      <c r="DI151" t="str">
        <f>INDEX('Data_Price '!AR$2:AR$1266,MATCH(Data!$DN151,'Data_Price '!$AT$2:$AT$1266,0))</f>
        <v>https://tinyurl.com/ydhqaen7</v>
      </c>
      <c r="DJ151" s="89" t="str">
        <f t="shared" si="106"/>
        <v>https://tinyurl.com/yal6hnu3</v>
      </c>
      <c r="DK151" s="89" t="str">
        <f t="shared" si="107"/>
        <v>https://tinyurl.com/y7s8x7p3</v>
      </c>
      <c r="DL151" s="89" t="str">
        <f t="shared" si="108"/>
        <v>https://tinyurl.com/ydhqaen7</v>
      </c>
      <c r="DM151" s="219" t="str">
        <f t="shared" si="109"/>
        <v>M-Pro 99 W</v>
      </c>
      <c r="DN151" s="89" t="str">
        <f t="shared" si="110"/>
        <v xml:space="preserve"> DynastarM-Pro 99 W162 Women's</v>
      </c>
      <c r="DO151" s="221" t="s">
        <v>212</v>
      </c>
    </row>
    <row r="152" spans="2:119" ht="15.6" customHeight="1">
      <c r="B152" s="219" t="b">
        <f t="array" ref="B152">IF(OR(ISERROR(K152:P152)),FALSE,TRUE)</f>
        <v>1</v>
      </c>
      <c r="C152" s="43" t="b">
        <f>OR(BR152=Driver!$G$50,Data!BR511=Driver!$H$50)</f>
        <v>1</v>
      </c>
      <c r="D152" s="43" t="b">
        <f>OR(BV152=Driver!$G$51,BV152=Driver!$H$51)</f>
        <v>1</v>
      </c>
      <c r="E152" s="43" t="b">
        <f>AND(BX152&gt;Driver!$F$54,BX152&lt;Driver!$G$54)</f>
        <v>1</v>
      </c>
      <c r="F152" s="43" t="b">
        <f>CL152&gt;Driver!$F$56</f>
        <v>1</v>
      </c>
      <c r="G152" s="43" t="b">
        <f>AND(CB152&gt;Driver!$F$55,CB152&lt;Driver!$G$55)</f>
        <v>0</v>
      </c>
      <c r="H152" s="43" t="b">
        <f t="shared" si="74"/>
        <v>0</v>
      </c>
      <c r="I152" s="43">
        <f t="shared" si="75"/>
        <v>0</v>
      </c>
      <c r="J152" s="43" t="b">
        <f t="array" ref="J152">NOT(OR(($H$9:$H$1273=TRUE)*($I$9:$I$1273&gt;0)*($BT$9:$BT$1273=BT152)*($K$9:$K$1273&gt;K152)))</f>
        <v>1</v>
      </c>
      <c r="K152" s="72">
        <f t="shared" si="76"/>
        <v>0.84755372733088463</v>
      </c>
      <c r="L152" s="72">
        <f t="shared" si="77"/>
        <v>0.95720593919848562</v>
      </c>
      <c r="M152" s="72">
        <f t="shared" si="78"/>
        <v>0.73790151546328375</v>
      </c>
      <c r="N152" s="72">
        <f t="shared" si="79"/>
        <v>0.70751840938436339</v>
      </c>
      <c r="O152" s="72">
        <f t="shared" si="80"/>
        <v>0.63284908066396406</v>
      </c>
      <c r="P152" s="72">
        <f t="shared" si="81"/>
        <v>0.87333705634152392</v>
      </c>
      <c r="Q152" s="72"/>
      <c r="R152" s="72"/>
      <c r="S152" s="72">
        <f t="shared" si="82"/>
        <v>0.46445097528118984</v>
      </c>
      <c r="T152" s="72">
        <f t="shared" si="83"/>
        <v>0.49932794035477235</v>
      </c>
      <c r="U152" s="72">
        <f t="shared" si="84"/>
        <v>0.62065642994015724</v>
      </c>
      <c r="V152" s="72">
        <f t="shared" si="85"/>
        <v>0.53780792431549318</v>
      </c>
      <c r="W152" s="72">
        <f t="shared" si="86"/>
        <v>0.81473411886809732</v>
      </c>
      <c r="X152" s="72">
        <f t="shared" si="87"/>
        <v>4.2794060801514405E-2</v>
      </c>
      <c r="Y152" s="72">
        <f t="shared" si="88"/>
        <v>0.26209848453671625</v>
      </c>
      <c r="Z152" s="72">
        <f t="shared" si="89"/>
        <v>0.29248159061563667</v>
      </c>
      <c r="AA152" s="72">
        <f t="shared" si="90"/>
        <v>0.36715091933603594</v>
      </c>
      <c r="AB152" s="72">
        <f t="shared" si="91"/>
        <v>0.12666294365847602</v>
      </c>
      <c r="AC152" s="72"/>
      <c r="AD152" s="72"/>
      <c r="AE152" s="72">
        <f t="shared" si="92"/>
        <v>0.53554902471881016</v>
      </c>
      <c r="AF152" s="72">
        <f t="shared" si="93"/>
        <v>0.50067205964522765</v>
      </c>
      <c r="AG152" s="72">
        <f t="shared" si="94"/>
        <v>0.37934357005984276</v>
      </c>
      <c r="AH152" s="72">
        <f t="shared" si="95"/>
        <v>0.46219207568450676</v>
      </c>
      <c r="AI152" s="72">
        <f t="shared" si="96"/>
        <v>0.18526588113190268</v>
      </c>
      <c r="AJ152" s="72">
        <f>(AV152-Driver!$K$179)/(Driver!$L$179-Driver!$K$179)</f>
        <v>0.21142534848118602</v>
      </c>
      <c r="AK152" s="72">
        <f>(AW152-Driver!$K$180)/(Driver!$L$180-Driver!$K$180)</f>
        <v>0.38464630173389375</v>
      </c>
      <c r="AL152" s="72">
        <f>(AX152-Driver!$K$181)/(Driver!$L$181-Driver!$K$181)</f>
        <v>0.39416935432871686</v>
      </c>
      <c r="AM152" s="72">
        <f>(AY152-Driver!$K$182)/(Driver!$L$182-Driver!$K$182)</f>
        <v>8.0234101761010396E-2</v>
      </c>
      <c r="AN152" s="72">
        <f>(AZ152-Driver!$K$183)/(Driver!$L$183-Driver!$K$183)</f>
        <v>0.38088235294117645</v>
      </c>
      <c r="AO152" s="72"/>
      <c r="AP152" s="72"/>
      <c r="AQ152" s="72">
        <f>(BC152-Driver!$K$188)/(Driver!$L$188-Driver!$K$188)</f>
        <v>8.4450975281189888E-2</v>
      </c>
      <c r="AR152" s="72">
        <f>MIN((BD152-Driver!$K$189)/(Driver!$L$189-Driver!$K$189),100%)</f>
        <v>4.9327940354772427E-2</v>
      </c>
      <c r="AS152" s="72">
        <f>(BE152-Driver!$K$190)/(Driver!$L$190-Driver!$K$190)</f>
        <v>0.13065642994015728</v>
      </c>
      <c r="AT152" s="72">
        <f>(BF152-Driver!$K$191)/(Driver!$L$191-Driver!$K$191)</f>
        <v>4.7807924315493258E-2</v>
      </c>
      <c r="AU152" s="72">
        <f>(BG152-Driver!$K$192)/(Driver!$L$192-Driver!$K$192)</f>
        <v>6.473411886809731E-2</v>
      </c>
      <c r="AV152" s="70">
        <f t="shared" si="97"/>
        <v>4.4498711165377829</v>
      </c>
      <c r="AW152" s="70">
        <f t="shared" si="98"/>
        <v>39.359083038381755</v>
      </c>
      <c r="AX152" s="70">
        <f t="shared" si="99"/>
        <v>4.5475241889584517</v>
      </c>
      <c r="AY152" s="70">
        <f>IFERROR(Driver!$K$19/Data!BH152/Data!BI152*Data!BK152*Data!BL152,"")</f>
        <v>9.8230480100889958E-2</v>
      </c>
      <c r="AZ152" s="70">
        <f t="shared" si="100"/>
        <v>34.713328369322412</v>
      </c>
      <c r="BA152" s="70"/>
      <c r="BB152" s="70"/>
      <c r="BC152" s="70">
        <f t="shared" si="101"/>
        <v>43.805307972008592</v>
      </c>
      <c r="BD152" s="70">
        <f t="shared" si="102"/>
        <v>6.086258201556741</v>
      </c>
      <c r="BE152" s="70">
        <f t="shared" si="103"/>
        <v>0.13081151104817726</v>
      </c>
      <c r="BF152" s="70">
        <f t="shared" si="104"/>
        <v>5.399569181757748</v>
      </c>
      <c r="BG152" s="70">
        <f t="shared" si="105"/>
        <v>0.24512466993803228</v>
      </c>
      <c r="BH152" s="67">
        <f>MAX((CE152-Driver!$F$200)/(Driver!$G$200-Driver!$F$200)*$BI$1,1)</f>
        <v>4.5475241889584517</v>
      </c>
      <c r="BI152" s="67">
        <f>MAX($BI$1*(BY152-Driver!$F$201)/(Driver!$G$201-Driver!$F$201),1)</f>
        <v>7.0253164556962027</v>
      </c>
      <c r="BJ152" s="67">
        <f>(CB152-Driver!$F$206)/(Driver!$G$206-Driver!$F$206)*$BI$1</f>
        <v>5.0793650793650791</v>
      </c>
      <c r="BK152" s="67">
        <f>(CD152-Driver!$F$203)/(Driver!$G$203-Driver!$F$203)*$BI$1</f>
        <v>2.8440366972477067</v>
      </c>
      <c r="BL152" s="67">
        <f>MAX((CR152-Driver!$F$202)/(Driver!$G$202-Driver!$F$202)*$BI$1,1)</f>
        <v>5.5172413793103452</v>
      </c>
      <c r="BM152" s="67">
        <f>MAX((CH152-Driver!$F$204)/(Driver!$G$204-Driver!$F$204)*$BI$1,1)</f>
        <v>3.5042735042735043</v>
      </c>
      <c r="BN152" s="67">
        <f>(CI152-Driver!$F$205)/(Driver!$G$205-Driver!$F$205)*$BI$1</f>
        <v>4.9411764705882355</v>
      </c>
      <c r="BO152" s="67">
        <f>(CK152-Driver!$F$207)/(Driver!$G$207-Driver!$F$207)*$BI$1</f>
        <v>1.4788004136504653</v>
      </c>
      <c r="BP152" s="67">
        <f>(CM152-Driver!$F$208)/(Driver!$G$208-Driver!$F$208)*$BI$1</f>
        <v>2.0444444444444447</v>
      </c>
      <c r="BQ152" s="67">
        <f>(CL152-Driver!$F$209)/(Driver!$G$209-Driver!$F$209)*$BI$1</f>
        <v>3.90625</v>
      </c>
      <c r="BR152" s="28" t="s">
        <v>155</v>
      </c>
      <c r="BS152" s="8" t="s">
        <v>205</v>
      </c>
      <c r="BT152" s="9" t="s">
        <v>378</v>
      </c>
      <c r="BU152" s="10">
        <v>163</v>
      </c>
      <c r="BV152" s="9" t="s">
        <v>158</v>
      </c>
      <c r="BW152" s="10">
        <v>163</v>
      </c>
      <c r="BX152" s="10">
        <v>163</v>
      </c>
      <c r="BY152" s="10">
        <v>119</v>
      </c>
      <c r="BZ152" s="10">
        <v>135</v>
      </c>
      <c r="CA152" s="10">
        <v>127</v>
      </c>
      <c r="CB152" s="10">
        <v>96</v>
      </c>
      <c r="CC152" s="10">
        <v>117</v>
      </c>
      <c r="CD152" s="10">
        <v>15.6</v>
      </c>
      <c r="CE152" s="10">
        <v>1699</v>
      </c>
      <c r="CF152" s="10">
        <v>1.02</v>
      </c>
      <c r="CG152" s="10">
        <v>1730</v>
      </c>
      <c r="CH152" s="10">
        <v>183</v>
      </c>
      <c r="CI152" s="10">
        <v>117</v>
      </c>
      <c r="CJ152" s="10">
        <v>56</v>
      </c>
      <c r="CK152" s="10">
        <v>253</v>
      </c>
      <c r="CL152" s="10">
        <v>25</v>
      </c>
      <c r="CM152" s="10">
        <v>184</v>
      </c>
      <c r="CN152" s="10">
        <v>0.45600000000000002</v>
      </c>
      <c r="CO152" s="10">
        <v>162</v>
      </c>
      <c r="CP152" s="10">
        <v>120</v>
      </c>
      <c r="CQ152" s="10">
        <v>91</v>
      </c>
      <c r="CR152" s="10">
        <v>5</v>
      </c>
      <c r="CS152" s="10">
        <v>9.9</v>
      </c>
      <c r="CT152" s="9" t="s">
        <v>188</v>
      </c>
      <c r="CU152" s="10"/>
      <c r="CV152" s="10"/>
      <c r="CW152" s="10"/>
      <c r="CX152" t="str">
        <f>INDEX('Data_Price '!AG$2:AG$1266,MATCH(Data!$DN152,'Data_Price '!$AT$2:$AT$1266,0))</f>
        <v>Faction Dictator 2.0 Skis- 2022</v>
      </c>
      <c r="CY152" t="str">
        <f>INDEX('Data_Price '!AH$2:AH$1266,MATCH(Data!$DN152,'Data_Price '!$AT$2:$AT$1266,0))</f>
        <v>Next Adventure</v>
      </c>
      <c r="CZ152">
        <f>INDEX('Data_Price '!AI$2:AI$1266,MATCH(Data!$DN152,'Data_Price '!$AT$2:$AT$1266,0))</f>
        <v>623.20000000000005</v>
      </c>
      <c r="DA152" t="str">
        <f>INDEX('Data_Price '!AJ$2:AJ$1266,MATCH(Data!$DN152,'Data_Price '!$AT$2:$AT$1266,0))</f>
        <v>https://tinyurl.com/y9x8epbb</v>
      </c>
      <c r="DB152" t="str">
        <f>INDEX('Data_Price '!AK$2:AK$1266,MATCH(Data!$DN152,'Data_Price '!$AT$2:$AT$1266,0))</f>
        <v>Faction Agent 2.0x Women's Skis</v>
      </c>
      <c r="DC152" t="str">
        <f>INDEX('Data_Price '!AL$2:AL$1266,MATCH(Data!$DN152,'Data_Price '!$AT$2:$AT$1266,0))</f>
        <v>Aspen Ski and Board</v>
      </c>
      <c r="DD152">
        <f>INDEX('Data_Price '!AM$2:AM$1266,MATCH(Data!$DN152,'Data_Price '!$AT$2:$AT$1266,0))</f>
        <v>559.20000000000005</v>
      </c>
      <c r="DE152" t="str">
        <f>INDEX('Data_Price '!AN$2:AN$1266,MATCH(Data!$DN152,'Data_Price '!$AT$2:$AT$1266,0))</f>
        <v>https://tinyurl.com/y8a3gr95</v>
      </c>
      <c r="DF152" t="str">
        <f>INDEX('Data_Price '!AO$2:AO$1266,MATCH(Data!$DN152,'Data_Price '!$AT$2:$AT$1266,0))</f>
        <v>Faction Agent 2.0x Women's Skis</v>
      </c>
      <c r="DG152" t="str">
        <f>INDEX('Data_Price '!AP$2:AP$1266,MATCH(Data!$DN152,'Data_Price '!$AT$2:$AT$1266,0))</f>
        <v>Saint Bernard</v>
      </c>
      <c r="DH152">
        <f>INDEX('Data_Price '!AQ$2:AQ$1266,MATCH(Data!$DN152,'Data_Price '!$AT$2:$AT$1266,0))</f>
        <v>559.9</v>
      </c>
      <c r="DI152" t="str">
        <f>INDEX('Data_Price '!AR$2:AR$1266,MATCH(Data!$DN152,'Data_Price '!$AT$2:$AT$1266,0))</f>
        <v>https://tinyurl.com/yd8slryc</v>
      </c>
      <c r="DJ152" s="89" t="str">
        <f t="shared" si="106"/>
        <v>https://tinyurl.com/y9x8epbb</v>
      </c>
      <c r="DK152" s="89" t="str">
        <f t="shared" si="107"/>
        <v>https://tinyurl.com/y8a3gr95</v>
      </c>
      <c r="DL152" s="89" t="str">
        <f t="shared" si="108"/>
        <v>https://tinyurl.com/yd8slryc</v>
      </c>
      <c r="DM152" s="219" t="str">
        <f t="shared" si="109"/>
        <v>Dictator 2.0</v>
      </c>
      <c r="DN152" s="89" t="str">
        <f t="shared" si="110"/>
        <v xml:space="preserve"> FactionDictator 2.0163 Unisex</v>
      </c>
      <c r="DO152" s="221" t="s">
        <v>379</v>
      </c>
    </row>
    <row r="153" spans="2:119" ht="15.6" customHeight="1">
      <c r="B153" s="219" t="b">
        <f t="array" ref="B153">IF(OR(ISERROR(K153:P153)),FALSE,TRUE)</f>
        <v>1</v>
      </c>
      <c r="C153" s="43" t="b">
        <f>OR(BR153=Driver!$G$50,Data!BR47=Driver!$H$50)</f>
        <v>1</v>
      </c>
      <c r="D153" s="43" t="b">
        <f>OR(BV153=Driver!$G$51,BV153=Driver!$H$51)</f>
        <v>0</v>
      </c>
      <c r="E153" s="43" t="b">
        <f>AND(BX153&gt;Driver!$F$54,BX153&lt;Driver!$G$54)</f>
        <v>0</v>
      </c>
      <c r="F153" s="43" t="b">
        <f>CL153&gt;Driver!$F$56</f>
        <v>1</v>
      </c>
      <c r="G153" s="43" t="b">
        <f>AND(CB153&gt;Driver!$F$55,CB153&lt;Driver!$G$55)</f>
        <v>1</v>
      </c>
      <c r="H153" s="43" t="b">
        <f t="shared" si="74"/>
        <v>0</v>
      </c>
      <c r="I153" s="43">
        <f t="shared" si="75"/>
        <v>0</v>
      </c>
      <c r="J153" s="43" t="b">
        <f t="array" ref="J153">NOT(OR(($H$9:$H$1273=TRUE)*($I$9:$I$1273&gt;0)*($BT$9:$BT$1273=BT153)*($K$9:$K$1273&gt;K153)))</f>
        <v>1</v>
      </c>
      <c r="K153" s="72">
        <f t="shared" si="76"/>
        <v>0.78425235980527219</v>
      </c>
      <c r="L153" s="72">
        <f t="shared" si="77"/>
        <v>0.83136871232032838</v>
      </c>
      <c r="M153" s="72">
        <f t="shared" si="78"/>
        <v>0.737136007290216</v>
      </c>
      <c r="N153" s="72">
        <f t="shared" si="79"/>
        <v>0.61013018450609868</v>
      </c>
      <c r="O153" s="72">
        <f t="shared" si="80"/>
        <v>0.67875777448707786</v>
      </c>
      <c r="P153" s="72">
        <f t="shared" si="81"/>
        <v>0.92252006287747168</v>
      </c>
      <c r="Q153" s="72"/>
      <c r="R153" s="72"/>
      <c r="S153" s="72">
        <f t="shared" si="82"/>
        <v>0.49318100880300642</v>
      </c>
      <c r="T153" s="72">
        <f t="shared" si="83"/>
        <v>0.4950976105236482</v>
      </c>
      <c r="U153" s="72">
        <f t="shared" si="84"/>
        <v>0.52541997469049573</v>
      </c>
      <c r="V153" s="72">
        <f t="shared" si="85"/>
        <v>0.55023178892066527</v>
      </c>
      <c r="W153" s="72">
        <f t="shared" si="86"/>
        <v>0.81536553974291714</v>
      </c>
      <c r="X153" s="72">
        <f t="shared" si="87"/>
        <v>0.16863128767967162</v>
      </c>
      <c r="Y153" s="72">
        <f t="shared" si="88"/>
        <v>0.26286399270978394</v>
      </c>
      <c r="Z153" s="72">
        <f t="shared" si="89"/>
        <v>0.38986981549390137</v>
      </c>
      <c r="AA153" s="72">
        <f t="shared" si="90"/>
        <v>0.32124222551292214</v>
      </c>
      <c r="AB153" s="72">
        <f t="shared" si="91"/>
        <v>7.7479937122528264E-2</v>
      </c>
      <c r="AC153" s="72"/>
      <c r="AD153" s="72"/>
      <c r="AE153" s="72">
        <f t="shared" si="92"/>
        <v>0.50681899119699358</v>
      </c>
      <c r="AF153" s="72">
        <f t="shared" si="93"/>
        <v>0.5049023894763518</v>
      </c>
      <c r="AG153" s="72">
        <f t="shared" si="94"/>
        <v>0.47458002530950427</v>
      </c>
      <c r="AH153" s="72">
        <f t="shared" si="95"/>
        <v>0.44976821107933473</v>
      </c>
      <c r="AI153" s="72">
        <f t="shared" si="96"/>
        <v>0.18463446025708291</v>
      </c>
      <c r="AJ153" s="72">
        <f>(AV153-Driver!$K$179)/(Driver!$L$179-Driver!$K$179)</f>
        <v>0.42285069696237204</v>
      </c>
      <c r="AK153" s="72">
        <f>(AW153-Driver!$K$180)/(Driver!$L$180-Driver!$K$180)</f>
        <v>0.34822270858191529</v>
      </c>
      <c r="AL153" s="72">
        <f>(AX153-Driver!$K$181)/(Driver!$L$181-Driver!$K$181)</f>
        <v>0.49155757920698157</v>
      </c>
      <c r="AM153" s="72">
        <f>(AY153-Driver!$K$182)/(Driver!$L$182-Driver!$K$182)</f>
        <v>0.12614279558412422</v>
      </c>
      <c r="AN153" s="72">
        <f>(AZ153-Driver!$K$183)/(Driver!$L$183-Driver!$K$183)</f>
        <v>0.33169934640522869</v>
      </c>
      <c r="AO153" s="72"/>
      <c r="AP153" s="72"/>
      <c r="AQ153" s="72">
        <f>(BC153-Driver!$K$188)/(Driver!$L$188-Driver!$K$188)</f>
        <v>0.11318100880300637</v>
      </c>
      <c r="AR153" s="72">
        <f>MIN((BD153-Driver!$K$189)/(Driver!$L$189-Driver!$K$189),100%)</f>
        <v>4.5097610523648204E-2</v>
      </c>
      <c r="AS153" s="72">
        <f>(BE153-Driver!$K$190)/(Driver!$L$190-Driver!$K$190)</f>
        <v>3.5419974690495765E-2</v>
      </c>
      <c r="AT153" s="72">
        <f>(BF153-Driver!$K$191)/(Driver!$L$191-Driver!$K$191)</f>
        <v>6.0231788920665275E-2</v>
      </c>
      <c r="AU153" s="72">
        <f>(BG153-Driver!$K$192)/(Driver!$L$192-Driver!$K$192)</f>
        <v>6.5365539742917103E-2</v>
      </c>
      <c r="AV153" s="70">
        <f t="shared" si="97"/>
        <v>8.8997422330755658</v>
      </c>
      <c r="AW153" s="70">
        <f t="shared" si="98"/>
        <v>35.809281139853702</v>
      </c>
      <c r="AX153" s="70">
        <f t="shared" si="99"/>
        <v>5.4240182128628343</v>
      </c>
      <c r="AY153" s="70">
        <f>IFERROR(Driver!$K$19/Data!BH153/Data!BI153*Data!BK153*Data!BL153,"")</f>
        <v>0.15443641917255635</v>
      </c>
      <c r="AZ153" s="70">
        <f t="shared" si="100"/>
        <v>30.230826507818314</v>
      </c>
      <c r="BA153" s="70"/>
      <c r="BB153" s="70"/>
      <c r="BC153" s="70">
        <f t="shared" si="101"/>
        <v>58.707776087727538</v>
      </c>
      <c r="BD153" s="70">
        <f t="shared" si="102"/>
        <v>5.7118815072031639</v>
      </c>
      <c r="BE153" s="70">
        <f t="shared" si="103"/>
        <v>3.5592044910200342E-2</v>
      </c>
      <c r="BF153" s="70">
        <f t="shared" si="104"/>
        <v>6.8027574063232263</v>
      </c>
      <c r="BG153" s="70">
        <f t="shared" si="105"/>
        <v>0.24751563217307188</v>
      </c>
      <c r="BH153" s="67">
        <f>MAX((CE153-Driver!$F$200)/(Driver!$G$200-Driver!$F$200)*$BI$1,1)</f>
        <v>5.4240182128628343</v>
      </c>
      <c r="BI153" s="67">
        <f>MAX($BI$1*(BY153-Driver!$F$201)/(Driver!$G$201-Driver!$F$201),1)</f>
        <v>7.3417721518987342</v>
      </c>
      <c r="BJ153" s="67">
        <f>(CB153-Driver!$F$206)/(Driver!$G$206-Driver!$F$206)*$BI$1</f>
        <v>6.5079365079365079</v>
      </c>
      <c r="BK153" s="67">
        <f>(CD153-Driver!$F$203)/(Driver!$G$203-Driver!$F$203)*$BI$1</f>
        <v>4.954128440366973</v>
      </c>
      <c r="BL153" s="67">
        <f>MAX((CR153-Driver!$F$202)/(Driver!$G$202-Driver!$F$202)*$BI$1,1)</f>
        <v>6.2068965517241379</v>
      </c>
      <c r="BM153" s="67">
        <f>MAX((CH153-Driver!$F$204)/(Driver!$G$204-Driver!$F$204)*$BI$1,1)</f>
        <v>5.4700854700854702</v>
      </c>
      <c r="BN153" s="67">
        <f>(CI153-Driver!$F$205)/(Driver!$G$205-Driver!$F$205)*$BI$1</f>
        <v>4.117647058823529</v>
      </c>
      <c r="BO153" s="67">
        <f>(CK153-Driver!$F$207)/(Driver!$G$207-Driver!$F$207)*$BI$1</f>
        <v>1.8717683557394003</v>
      </c>
      <c r="BP153" s="67">
        <f>(CM153-Driver!$F$208)/(Driver!$G$208-Driver!$F$208)*$BI$1</f>
        <v>2.7666666666666666</v>
      </c>
      <c r="BQ153" s="67">
        <f>(CL153-Driver!$F$209)/(Driver!$G$209-Driver!$F$209)*$BI$1</f>
        <v>7.34375</v>
      </c>
      <c r="BR153" s="28" t="s">
        <v>155</v>
      </c>
      <c r="BS153" s="8" t="s">
        <v>182</v>
      </c>
      <c r="BT153" s="9" t="s">
        <v>220</v>
      </c>
      <c r="BU153" s="10">
        <v>180</v>
      </c>
      <c r="BV153" s="9" t="s">
        <v>163</v>
      </c>
      <c r="BW153" s="10">
        <v>180</v>
      </c>
      <c r="BX153" s="10">
        <v>177.6</v>
      </c>
      <c r="BY153" s="10">
        <v>124</v>
      </c>
      <c r="BZ153" s="10">
        <v>142</v>
      </c>
      <c r="CA153" s="10">
        <v>134</v>
      </c>
      <c r="CB153" s="10">
        <v>105</v>
      </c>
      <c r="CC153" s="10">
        <v>124</v>
      </c>
      <c r="CD153" s="10">
        <v>20.2</v>
      </c>
      <c r="CE153" s="10">
        <v>1853</v>
      </c>
      <c r="CF153" s="10">
        <v>1.0900000000000001</v>
      </c>
      <c r="CG153" s="10">
        <v>2011</v>
      </c>
      <c r="CH153" s="10">
        <v>229</v>
      </c>
      <c r="CI153" s="10">
        <v>103</v>
      </c>
      <c r="CJ153" s="10">
        <v>57</v>
      </c>
      <c r="CK153" s="10">
        <v>291</v>
      </c>
      <c r="CL153" s="10">
        <v>47</v>
      </c>
      <c r="CM153" s="10">
        <v>249</v>
      </c>
      <c r="CN153" s="10">
        <v>0.83199999999999996</v>
      </c>
      <c r="CO153" s="10">
        <v>172</v>
      </c>
      <c r="CP153" s="10">
        <v>184</v>
      </c>
      <c r="CQ153" s="10">
        <v>119</v>
      </c>
      <c r="CR153" s="10">
        <v>7</v>
      </c>
      <c r="CS153" s="10">
        <v>2.6</v>
      </c>
      <c r="CT153" s="9" t="s">
        <v>188</v>
      </c>
      <c r="CU153" s="9" t="s">
        <v>184</v>
      </c>
      <c r="CV153" s="9" t="s">
        <v>169</v>
      </c>
      <c r="CW153" s="9" t="s">
        <v>185</v>
      </c>
      <c r="CX153" t="str">
        <f>INDEX('Data_Price '!AG$2:AG$1266,MATCH(Data!$DN153,'Data_Price '!$AT$2:$AT$1266,0))</f>
        <v>Armada ARW 106 UL Skis - Women's 2022</v>
      </c>
      <c r="CY153" t="str">
        <f>INDEX('Data_Price '!AH$2:AH$1266,MATCH(Data!$DN153,'Data_Price '!$AT$2:$AT$1266,0))</f>
        <v>REI</v>
      </c>
      <c r="CZ153">
        <f>INDEX('Data_Price '!AI$2:AI$1266,MATCH(Data!$DN153,'Data_Price '!$AT$2:$AT$1266,0))</f>
        <v>559.92999999999995</v>
      </c>
      <c r="DA153" t="str">
        <f>INDEX('Data_Price '!AJ$2:AJ$1266,MATCH(Data!$DN153,'Data_Price '!$AT$2:$AT$1266,0))</f>
        <v>https://tinyurl.com/y8q9zekf</v>
      </c>
      <c r="DB153" t="str">
        <f>INDEX('Data_Price '!AK$2:AK$1266,MATCH(Data!$DN153,'Data_Price '!$AT$2:$AT$1266,0))</f>
        <v>Armada ARW 106 UL Skis - Women's 2022</v>
      </c>
      <c r="DC153" t="str">
        <f>INDEX('Data_Price '!AL$2:AL$1266,MATCH(Data!$DN153,'Data_Price '!$AT$2:$AT$1266,0))</f>
        <v>Next Adventure</v>
      </c>
      <c r="DD153">
        <f>INDEX('Data_Price '!AM$2:AM$1266,MATCH(Data!$DN153,'Data_Price '!$AT$2:$AT$1266,0))</f>
        <v>559.96</v>
      </c>
      <c r="DE153" t="str">
        <f>INDEX('Data_Price '!AN$2:AN$1266,MATCH(Data!$DN153,'Data_Price '!$AT$2:$AT$1266,0))</f>
        <v>https://tinyurl.com/ycborz8a</v>
      </c>
      <c r="DF153" t="str">
        <f>INDEX('Data_Price '!AO$2:AO$1266,MATCH(Data!$DN153,'Data_Price '!$AT$2:$AT$1266,0))</f>
        <v>Armada ARW 106 UL Skis - Women's 2022</v>
      </c>
      <c r="DG153" t="str">
        <f>INDEX('Data_Price '!AP$2:AP$1266,MATCH(Data!$DN153,'Data_Price '!$AT$2:$AT$1266,0))</f>
        <v>evo.com</v>
      </c>
      <c r="DH153">
        <f>INDEX('Data_Price '!AQ$2:AQ$1266,MATCH(Data!$DN153,'Data_Price '!$AT$2:$AT$1266,0))</f>
        <v>559.96</v>
      </c>
      <c r="DI153" t="str">
        <f>INDEX('Data_Price '!AR$2:AR$1266,MATCH(Data!$DN153,'Data_Price '!$AT$2:$AT$1266,0))</f>
        <v>https://tinyurl.com/ydatsbtm</v>
      </c>
      <c r="DJ153" s="89" t="str">
        <f t="shared" si="106"/>
        <v>https://tinyurl.com/y8q9zekf</v>
      </c>
      <c r="DK153" s="89" t="str">
        <f t="shared" si="107"/>
        <v>https://tinyurl.com/ycborz8a</v>
      </c>
      <c r="DL153" s="89" t="str">
        <f t="shared" si="108"/>
        <v>https://tinyurl.com/ydatsbtm</v>
      </c>
      <c r="DM153" s="219" t="str">
        <f t="shared" si="109"/>
        <v>ARW 106 UL</v>
      </c>
      <c r="DN153" s="89" t="str">
        <f t="shared" si="110"/>
        <v xml:space="preserve"> ArmadaARW 106 UL180 Women's</v>
      </c>
      <c r="DO153" s="221" t="s">
        <v>221</v>
      </c>
    </row>
    <row r="154" spans="2:119" ht="15.6" customHeight="1">
      <c r="B154" s="219" t="b">
        <f t="array" ref="B154">IF(OR(ISERROR(K154:P154)),FALSE,TRUE)</f>
        <v>1</v>
      </c>
      <c r="C154" s="43" t="b">
        <f>OR(BR154=Driver!$G$50,Data!BR361=Driver!$H$50)</f>
        <v>1</v>
      </c>
      <c r="D154" s="43" t="b">
        <f>OR(BV154=Driver!$G$51,BV154=Driver!$H$51)</f>
        <v>1</v>
      </c>
      <c r="E154" s="43" t="b">
        <f>AND(BX154&gt;Driver!$F$54,BX154&lt;Driver!$G$54)</f>
        <v>0</v>
      </c>
      <c r="F154" s="43" t="b">
        <f>CL154&gt;Driver!$F$56</f>
        <v>1</v>
      </c>
      <c r="G154" s="43" t="b">
        <f>AND(CB154&gt;Driver!$F$55,CB154&lt;Driver!$G$55)</f>
        <v>0</v>
      </c>
      <c r="H154" s="43" t="b">
        <f t="shared" si="74"/>
        <v>0</v>
      </c>
      <c r="I154" s="43">
        <f t="shared" si="75"/>
        <v>1</v>
      </c>
      <c r="J154" s="43" t="b">
        <f t="array" ref="J154">NOT(OR(($H$9:$H$1273=TRUE)*($I$9:$I$1273&gt;0)*($BT$9:$BT$1273=BT154)*($K$9:$K$1273&gt;K154)))</f>
        <v>0</v>
      </c>
      <c r="K154" s="72">
        <f t="shared" si="76"/>
        <v>0.81884265042157711</v>
      </c>
      <c r="L154" s="72">
        <f t="shared" si="77"/>
        <v>0.8287903544120212</v>
      </c>
      <c r="M154" s="72">
        <f t="shared" si="78"/>
        <v>0.8088949464311328</v>
      </c>
      <c r="N154" s="72">
        <f t="shared" si="79"/>
        <v>0.78783207535539979</v>
      </c>
      <c r="O154" s="72">
        <f t="shared" si="80"/>
        <v>0.6551398906030107</v>
      </c>
      <c r="P154" s="72">
        <f t="shared" si="81"/>
        <v>0.98371287333498802</v>
      </c>
      <c r="Q154" s="72"/>
      <c r="R154" s="72"/>
      <c r="S154" s="72">
        <f t="shared" si="82"/>
        <v>0.42660218435332742</v>
      </c>
      <c r="T154" s="72">
        <f t="shared" si="83"/>
        <v>0.47811876138853737</v>
      </c>
      <c r="U154" s="72">
        <f t="shared" si="84"/>
        <v>0.50570559060805631</v>
      </c>
      <c r="V154" s="72">
        <f t="shared" si="85"/>
        <v>0.85654091865628512</v>
      </c>
      <c r="W154" s="72">
        <f t="shared" si="86"/>
        <v>0.83950689935064937</v>
      </c>
      <c r="X154" s="72">
        <f t="shared" si="87"/>
        <v>0.17120964558797874</v>
      </c>
      <c r="Y154" s="72">
        <f t="shared" si="88"/>
        <v>0.19110505356886717</v>
      </c>
      <c r="Z154" s="72">
        <f t="shared" si="89"/>
        <v>0.21216792464460021</v>
      </c>
      <c r="AA154" s="72">
        <f t="shared" si="90"/>
        <v>0.3448601093969893</v>
      </c>
      <c r="AB154" s="72">
        <f t="shared" si="91"/>
        <v>1.6287126665011975E-2</v>
      </c>
      <c r="AC154" s="72"/>
      <c r="AD154" s="72"/>
      <c r="AE154" s="72">
        <f t="shared" si="92"/>
        <v>0.57339781564667258</v>
      </c>
      <c r="AF154" s="72">
        <f t="shared" si="93"/>
        <v>0.52188123861146263</v>
      </c>
      <c r="AG154" s="72">
        <f t="shared" si="94"/>
        <v>0.49429440939194363</v>
      </c>
      <c r="AH154" s="72">
        <f t="shared" si="95"/>
        <v>0.14345908134371493</v>
      </c>
      <c r="AI154" s="72">
        <f t="shared" si="96"/>
        <v>0.16049310064935068</v>
      </c>
      <c r="AJ154" s="72">
        <f>(AV154-Driver!$K$179)/(Driver!$L$179-Driver!$K$179)</f>
        <v>0.42542905487067917</v>
      </c>
      <c r="AK154" s="72">
        <f>(AW154-Driver!$K$180)/(Driver!$L$180-Driver!$K$180)</f>
        <v>0.27429101517489635</v>
      </c>
      <c r="AL154" s="72">
        <f>(AX154-Driver!$K$181)/(Driver!$L$181-Driver!$K$181)</f>
        <v>0.31385568835768041</v>
      </c>
      <c r="AM154" s="72">
        <f>(AY154-Driver!$K$182)/(Driver!$L$182-Driver!$K$182)</f>
        <v>0.10252491170005705</v>
      </c>
      <c r="AN154" s="72">
        <f>(AZ154-Driver!$K$183)/(Driver!$L$183-Driver!$K$183)</f>
        <v>0.2705065359477124</v>
      </c>
      <c r="AO154" s="72"/>
      <c r="AP154" s="72"/>
      <c r="AQ154" s="72">
        <f>(BC154-Driver!$K$188)/(Driver!$L$188-Driver!$K$188)</f>
        <v>4.6602184353327469E-2</v>
      </c>
      <c r="AR154" s="72">
        <f>MIN((BD154-Driver!$K$189)/(Driver!$L$189-Driver!$K$189),100%)</f>
        <v>2.8118761388537385E-2</v>
      </c>
      <c r="AS154" s="72">
        <f>(BE154-Driver!$K$190)/(Driver!$L$190-Driver!$K$190)</f>
        <v>1.5705590608056354E-2</v>
      </c>
      <c r="AT154" s="72">
        <f>(BF154-Driver!$K$191)/(Driver!$L$191-Driver!$K$191)</f>
        <v>0.36654091865628508</v>
      </c>
      <c r="AU154" s="72">
        <f>(BG154-Driver!$K$192)/(Driver!$L$192-Driver!$K$192)</f>
        <v>8.950689935064933E-2</v>
      </c>
      <c r="AV154" s="70">
        <f t="shared" si="97"/>
        <v>8.9540089540089536</v>
      </c>
      <c r="AW154" s="70">
        <f t="shared" si="98"/>
        <v>28.603982515893691</v>
      </c>
      <c r="AX154" s="70">
        <f t="shared" si="99"/>
        <v>3.8247011952191237</v>
      </c>
      <c r="AY154" s="70">
        <f>IFERROR(Driver!$K$19/Data!BH154/Data!BI154*Data!BK154*Data!BL154,"")</f>
        <v>0.12552108240204629</v>
      </c>
      <c r="AZ154" s="70">
        <f t="shared" si="100"/>
        <v>24.653760238272522</v>
      </c>
      <c r="BA154" s="70"/>
      <c r="BB154" s="70"/>
      <c r="BC154" s="70">
        <f t="shared" si="101"/>
        <v>24.172876997200579</v>
      </c>
      <c r="BD154" s="70">
        <f t="shared" si="102"/>
        <v>4.2092834434863162</v>
      </c>
      <c r="BE154" s="70">
        <f t="shared" si="103"/>
        <v>1.5881177651986392E-2</v>
      </c>
      <c r="BF154" s="70">
        <f t="shared" si="104"/>
        <v>41.39822166653358</v>
      </c>
      <c r="BG154" s="70">
        <f t="shared" si="105"/>
        <v>0.33893022017045449</v>
      </c>
      <c r="BH154" s="67">
        <f>MAX((CE154-Driver!$F$200)/(Driver!$G$200-Driver!$F$200)*$BI$1,1)</f>
        <v>3.8247011952191237</v>
      </c>
      <c r="BI154" s="67">
        <f>MAX($BI$1*(BY154-Driver!$F$201)/(Driver!$G$201-Driver!$F$201),1)</f>
        <v>5.443037974683544</v>
      </c>
      <c r="BJ154" s="67">
        <f>(CB154-Driver!$F$206)/(Driver!$G$206-Driver!$F$206)*$BI$1</f>
        <v>7.6190476190476186</v>
      </c>
      <c r="BK154" s="67">
        <f>(CD154-Driver!$F$203)/(Driver!$G$203-Driver!$F$203)*$BI$1</f>
        <v>2.7064220183486243</v>
      </c>
      <c r="BL154" s="67">
        <f>MAX((CR154-Driver!$F$202)/(Driver!$G$202-Driver!$F$202)*$BI$1,1)</f>
        <v>4.8275862068965516</v>
      </c>
      <c r="BM154" s="67">
        <f>MAX((CH154-Driver!$F$204)/(Driver!$G$204-Driver!$F$204)*$BI$1,1)</f>
        <v>4.700854700854701</v>
      </c>
      <c r="BN154" s="67">
        <f>(CI154-Driver!$F$205)/(Driver!$G$205-Driver!$F$205)*$BI$1</f>
        <v>4.5294117647058822</v>
      </c>
      <c r="BO154" s="67">
        <f>(CK154-Driver!$F$207)/(Driver!$G$207-Driver!$F$207)*$BI$1</f>
        <v>3.4022750775594623</v>
      </c>
      <c r="BP154" s="67">
        <f>(CM154-Driver!$F$208)/(Driver!$G$208-Driver!$F$208)*$BI$1</f>
        <v>4.322222222222222</v>
      </c>
      <c r="BQ154" s="67">
        <f>(CL154-Driver!$F$209)/(Driver!$G$209-Driver!$F$209)*$BI$1</f>
        <v>6.09375</v>
      </c>
      <c r="BR154" s="28" t="s">
        <v>155</v>
      </c>
      <c r="BS154" s="8" t="s">
        <v>218</v>
      </c>
      <c r="BT154" s="9" t="s">
        <v>294</v>
      </c>
      <c r="BU154" s="10">
        <v>178</v>
      </c>
      <c r="BV154" s="9" t="s">
        <v>158</v>
      </c>
      <c r="BW154" s="10">
        <v>178</v>
      </c>
      <c r="BX154" s="10">
        <v>176.4</v>
      </c>
      <c r="BY154" s="10">
        <v>94</v>
      </c>
      <c r="BZ154" s="10">
        <v>123</v>
      </c>
      <c r="CA154" s="10">
        <v>139</v>
      </c>
      <c r="CB154" s="10">
        <v>112</v>
      </c>
      <c r="CC154" s="10">
        <v>126</v>
      </c>
      <c r="CD154" s="10">
        <v>15.3</v>
      </c>
      <c r="CE154" s="10">
        <v>1572</v>
      </c>
      <c r="CF154" s="10">
        <v>1.35</v>
      </c>
      <c r="CG154" s="10">
        <v>2127</v>
      </c>
      <c r="CH154" s="10">
        <v>211</v>
      </c>
      <c r="CI154" s="10">
        <v>110</v>
      </c>
      <c r="CJ154" s="10">
        <v>62</v>
      </c>
      <c r="CK154" s="10">
        <v>439</v>
      </c>
      <c r="CL154" s="10">
        <v>39</v>
      </c>
      <c r="CM154" s="10">
        <v>389</v>
      </c>
      <c r="CN154" s="10">
        <v>0.63100000000000001</v>
      </c>
      <c r="CO154" s="10">
        <v>290</v>
      </c>
      <c r="CP154" s="10">
        <v>248</v>
      </c>
      <c r="CQ154" s="10">
        <v>149</v>
      </c>
      <c r="CR154" s="10">
        <v>3</v>
      </c>
      <c r="CS154" s="10">
        <v>14.6</v>
      </c>
      <c r="CT154" s="9" t="s">
        <v>169</v>
      </c>
      <c r="CU154" s="9" t="s">
        <v>185</v>
      </c>
      <c r="CV154" s="9" t="s">
        <v>198</v>
      </c>
      <c r="CW154" s="10"/>
      <c r="CX154" t="str">
        <f>INDEX('Data_Price '!AG$2:AG$1266,MATCH(Data!$DN154,'Data_Price '!$AT$2:$AT$1266,0))</f>
        <v>DPS Pagoda Tour 112 RP Skis Â· 178 cm</v>
      </c>
      <c r="CY154" t="str">
        <f>INDEX('Data_Price '!AH$2:AH$1266,MATCH(Data!$DN154,'Data_Price '!$AT$2:$AT$1266,0))</f>
        <v>Skimo &amp; SkyRun</v>
      </c>
      <c r="CZ154">
        <f>INDEX('Data_Price '!AI$2:AI$1266,MATCH(Data!$DN154,'Data_Price '!$AT$2:$AT$1266,0))</f>
        <v>1029</v>
      </c>
      <c r="DA154" t="str">
        <f>INDEX('Data_Price '!AJ$2:AJ$1266,MATCH(Data!$DN154,'Data_Price '!$AT$2:$AT$1266,0))</f>
        <v>https://tinyurl.com/y9eyqhcv</v>
      </c>
      <c r="DB154" t="str">
        <f>INDEX('Data_Price '!AK$2:AK$1266,MATCH(Data!$DN154,'Data_Price '!$AT$2:$AT$1266,0))</f>
        <v>DPS Pagoda Tour 112 RP Skis Â· 178 cm</v>
      </c>
      <c r="DC154" t="str">
        <f>INDEX('Data_Price '!AL$2:AL$1266,MATCH(Data!$DN154,'Data_Price '!$AT$2:$AT$1266,0))</f>
        <v>REI</v>
      </c>
      <c r="DD154">
        <f>INDEX('Data_Price '!AM$2:AM$1266,MATCH(Data!$DN154,'Data_Price '!$AT$2:$AT$1266,0))</f>
        <v>1038.93</v>
      </c>
      <c r="DE154" t="str">
        <f>INDEX('Data_Price '!AN$2:AN$1266,MATCH(Data!$DN154,'Data_Price '!$AT$2:$AT$1266,0))</f>
        <v>https://tinyurl.com/y8fauzr2</v>
      </c>
      <c r="DF154" t="str">
        <f>INDEX('Data_Price '!AO$2:AO$1266,MATCH(Data!$DN154,'Data_Price '!$AT$2:$AT$1266,0))</f>
        <v>DPS Pagoda Tour 112 RP 178CM</v>
      </c>
      <c r="DG154" t="str">
        <f>INDEX('Data_Price '!AP$2:AP$1266,MATCH(Data!$DN154,'Data_Price '!$AT$2:$AT$1266,0))</f>
        <v>Neptune Mountaineering</v>
      </c>
      <c r="DH154">
        <f>INDEX('Data_Price '!AQ$2:AQ$1266,MATCH(Data!$DN154,'Data_Price '!$AT$2:$AT$1266,0))</f>
        <v>1039</v>
      </c>
      <c r="DI154" t="str">
        <f>INDEX('Data_Price '!AR$2:AR$1266,MATCH(Data!$DN154,'Data_Price '!$AT$2:$AT$1266,0))</f>
        <v>https://tinyurl.com/ybaqzqlu</v>
      </c>
      <c r="DJ154" s="89" t="str">
        <f t="shared" si="106"/>
        <v>https://tinyurl.com/y9eyqhcv</v>
      </c>
      <c r="DK154" s="89" t="str">
        <f t="shared" si="107"/>
        <v>https://tinyurl.com/y8fauzr2</v>
      </c>
      <c r="DL154" s="89" t="str">
        <f t="shared" si="108"/>
        <v>https://tinyurl.com/ybaqzqlu</v>
      </c>
      <c r="DM154" s="219" t="str">
        <f t="shared" si="109"/>
        <v>Pagoda Tour 112 RP</v>
      </c>
      <c r="DN154" s="89" t="str">
        <f t="shared" si="110"/>
        <v xml:space="preserve"> DPSPagoda Tour 112 RP178 Unisex</v>
      </c>
      <c r="DO154" s="221" t="s">
        <v>274</v>
      </c>
    </row>
    <row r="155" spans="2:119" ht="15.6" customHeight="1">
      <c r="B155" s="219" t="b">
        <f t="array" ref="B155">IF(OR(ISERROR(K155:P155)),FALSE,TRUE)</f>
        <v>1</v>
      </c>
      <c r="C155" s="43" t="b">
        <f>OR(BR155=Driver!$G$50,Data!BR403=Driver!$H$50)</f>
        <v>1</v>
      </c>
      <c r="D155" s="43" t="b">
        <f>OR(BV155=Driver!$G$51,BV155=Driver!$H$51)</f>
        <v>1</v>
      </c>
      <c r="E155" s="43" t="b">
        <f>AND(BX155&gt;Driver!$F$54,BX155&lt;Driver!$G$54)</f>
        <v>0</v>
      </c>
      <c r="F155" s="43" t="b">
        <f>CL155&gt;Driver!$F$56</f>
        <v>1</v>
      </c>
      <c r="G155" s="43" t="b">
        <f>AND(CB155&gt;Driver!$F$55,CB155&lt;Driver!$G$55)</f>
        <v>0</v>
      </c>
      <c r="H155" s="43" t="b">
        <f t="shared" si="74"/>
        <v>0</v>
      </c>
      <c r="I155" s="43">
        <f t="shared" si="75"/>
        <v>0</v>
      </c>
      <c r="J155" s="43" t="b">
        <f t="array" ref="J155">NOT(OR(($H$9:$H$1273=TRUE)*($I$9:$I$1273&gt;0)*($BT$9:$BT$1273=BT155)*($K$9:$K$1273&gt;K155)))</f>
        <v>1</v>
      </c>
      <c r="K155" s="72">
        <f t="shared" si="76"/>
        <v>0.80610465388269437</v>
      </c>
      <c r="L155" s="72">
        <f t="shared" si="77"/>
        <v>0.86230900722001413</v>
      </c>
      <c r="M155" s="72">
        <f t="shared" si="78"/>
        <v>0.74990030054537438</v>
      </c>
      <c r="N155" s="72">
        <f t="shared" si="79"/>
        <v>0.62467517913077453</v>
      </c>
      <c r="O155" s="72">
        <f t="shared" si="80"/>
        <v>0.64776709753637407</v>
      </c>
      <c r="P155" s="72">
        <f t="shared" si="81"/>
        <v>0.97725862496897498</v>
      </c>
      <c r="Q155" s="72"/>
      <c r="R155" s="72"/>
      <c r="S155" s="72">
        <f t="shared" si="82"/>
        <v>0.46121836851366982</v>
      </c>
      <c r="T155" s="72">
        <f t="shared" si="83"/>
        <v>0.54975863907734557</v>
      </c>
      <c r="U155" s="72">
        <f t="shared" si="84"/>
        <v>0.68511149806491844</v>
      </c>
      <c r="V155" s="72">
        <f t="shared" si="85"/>
        <v>0.5341264918533164</v>
      </c>
      <c r="W155" s="72">
        <f t="shared" si="86"/>
        <v>0.7644015280135823</v>
      </c>
      <c r="X155" s="72">
        <f t="shared" si="87"/>
        <v>0.13769099277998581</v>
      </c>
      <c r="Y155" s="72">
        <f t="shared" si="88"/>
        <v>0.25009969945462557</v>
      </c>
      <c r="Z155" s="72">
        <f t="shared" si="89"/>
        <v>0.37532482086922553</v>
      </c>
      <c r="AA155" s="72">
        <f t="shared" si="90"/>
        <v>0.35223290246362599</v>
      </c>
      <c r="AB155" s="72">
        <f t="shared" si="91"/>
        <v>2.274137503102508E-2</v>
      </c>
      <c r="AC155" s="72"/>
      <c r="AD155" s="72"/>
      <c r="AE155" s="72">
        <f t="shared" si="92"/>
        <v>0.53878163148633018</v>
      </c>
      <c r="AF155" s="72">
        <f t="shared" si="93"/>
        <v>0.45024136092265443</v>
      </c>
      <c r="AG155" s="72">
        <f t="shared" si="94"/>
        <v>0.31488850193508161</v>
      </c>
      <c r="AH155" s="72">
        <f t="shared" si="95"/>
        <v>0.4658735081466836</v>
      </c>
      <c r="AI155" s="72">
        <f t="shared" si="96"/>
        <v>0.23559847198641765</v>
      </c>
      <c r="AJ155" s="72">
        <f>(AV155-Driver!$K$179)/(Driver!$L$179-Driver!$K$179)</f>
        <v>0.39191040206268624</v>
      </c>
      <c r="AK155" s="72">
        <f>(AW155-Driver!$K$180)/(Driver!$L$180-Driver!$K$180)</f>
        <v>0.29530111977347223</v>
      </c>
      <c r="AL155" s="72">
        <f>(AX155-Driver!$K$181)/(Driver!$L$181-Driver!$K$181)</f>
        <v>0.47701258458230572</v>
      </c>
      <c r="AM155" s="72">
        <f>(AY155-Driver!$K$182)/(Driver!$L$182-Driver!$K$182)</f>
        <v>9.5152118633420366E-2</v>
      </c>
      <c r="AN155" s="72">
        <f>(AZ155-Driver!$K$183)/(Driver!$L$183-Driver!$K$183)</f>
        <v>0.27696078431372551</v>
      </c>
      <c r="AO155" s="72"/>
      <c r="AP155" s="72"/>
      <c r="AQ155" s="72">
        <f>(BC155-Driver!$K$188)/(Driver!$L$188-Driver!$K$188)</f>
        <v>8.12183685136698E-2</v>
      </c>
      <c r="AR155" s="72">
        <f>MIN((BD155-Driver!$K$189)/(Driver!$L$189-Driver!$K$189),100%)</f>
        <v>9.9758639077345626E-2</v>
      </c>
      <c r="AS155" s="72">
        <f>(BE155-Driver!$K$190)/(Driver!$L$190-Driver!$K$190)</f>
        <v>0.1951114980649184</v>
      </c>
      <c r="AT155" s="72">
        <f>(BF155-Driver!$K$191)/(Driver!$L$191-Driver!$K$191)</f>
        <v>4.4126491853316428E-2</v>
      </c>
      <c r="AU155" s="72">
        <f>(BG155-Driver!$K$192)/(Driver!$L$192-Driver!$K$192)</f>
        <v>1.4401528013582342E-2</v>
      </c>
      <c r="AV155" s="70">
        <f t="shared" si="97"/>
        <v>8.2485415818749139</v>
      </c>
      <c r="AW155" s="70">
        <f t="shared" si="98"/>
        <v>30.651603377490275</v>
      </c>
      <c r="AX155" s="70">
        <f t="shared" si="99"/>
        <v>5.2931132612407517</v>
      </c>
      <c r="AY155" s="70">
        <f>IFERROR(Driver!$K$19/Data!BH155/Data!BI155*Data!BK155*Data!BL155,"")</f>
        <v>0.11649458385935091</v>
      </c>
      <c r="AZ155" s="70">
        <f t="shared" si="100"/>
        <v>25.241995532390174</v>
      </c>
      <c r="BA155" s="70"/>
      <c r="BB155" s="70"/>
      <c r="BC155" s="70">
        <f t="shared" si="101"/>
        <v>42.128532368978256</v>
      </c>
      <c r="BD155" s="70">
        <f t="shared" si="102"/>
        <v>10.549285680593918</v>
      </c>
      <c r="BE155" s="70">
        <f t="shared" si="103"/>
        <v>0.19525508111425763</v>
      </c>
      <c r="BF155" s="70">
        <f t="shared" si="104"/>
        <v>4.9837772486816956</v>
      </c>
      <c r="BG155" s="70">
        <f t="shared" si="105"/>
        <v>5.4533372241086592E-2</v>
      </c>
      <c r="BH155" s="67">
        <f>MAX((CE155-Driver!$F$200)/(Driver!$G$200-Driver!$F$200)*$BI$1,1)</f>
        <v>5.2931132612407517</v>
      </c>
      <c r="BI155" s="67">
        <f>MAX($BI$1*(BY155-Driver!$F$201)/(Driver!$G$201-Driver!$F$201),1)</f>
        <v>7.1518987341772151</v>
      </c>
      <c r="BJ155" s="67">
        <f>(CB155-Driver!$F$206)/(Driver!$G$206-Driver!$F$206)*$BI$1</f>
        <v>5.0793650793650791</v>
      </c>
      <c r="BK155" s="67">
        <f>(CD155-Driver!$F$203)/(Driver!$G$203-Driver!$F$203)*$BI$1</f>
        <v>3.7614678899082579</v>
      </c>
      <c r="BL155" s="67">
        <f>MAX((CR155-Driver!$F$202)/(Driver!$G$202-Driver!$F$202)*$BI$1,1)</f>
        <v>5.8620689655172411</v>
      </c>
      <c r="BM155" s="67">
        <f>MAX((CH155-Driver!$F$204)/(Driver!$G$204-Driver!$F$204)*$BI$1,1)</f>
        <v>6.4957264957264957</v>
      </c>
      <c r="BN155" s="67">
        <f>(CI155-Driver!$F$205)/(Driver!$G$205-Driver!$F$205)*$BI$1</f>
        <v>3.5294117647058827</v>
      </c>
      <c r="BO155" s="67">
        <f>(CK155-Driver!$F$207)/(Driver!$G$207-Driver!$F$207)*$BI$1</f>
        <v>2.2750775594622543</v>
      </c>
      <c r="BP155" s="67">
        <f>(CM155-Driver!$F$208)/(Driver!$G$208-Driver!$F$208)*$BI$1</f>
        <v>1.6222222222222222</v>
      </c>
      <c r="BQ155" s="67">
        <f>(CL155-Driver!$F$209)/(Driver!$G$209-Driver!$F$209)*$BI$1</f>
        <v>1.875</v>
      </c>
      <c r="BR155" s="28" t="s">
        <v>155</v>
      </c>
      <c r="BS155" s="8" t="s">
        <v>202</v>
      </c>
      <c r="BT155" s="9" t="s">
        <v>380</v>
      </c>
      <c r="BU155" s="10">
        <v>170</v>
      </c>
      <c r="BV155" s="9" t="s">
        <v>158</v>
      </c>
      <c r="BW155" s="10">
        <v>170</v>
      </c>
      <c r="BX155" s="10">
        <v>169</v>
      </c>
      <c r="BY155" s="10">
        <v>121</v>
      </c>
      <c r="BZ155" s="10">
        <v>137</v>
      </c>
      <c r="CA155" s="10">
        <v>125</v>
      </c>
      <c r="CB155" s="10">
        <v>96</v>
      </c>
      <c r="CC155" s="10">
        <v>115</v>
      </c>
      <c r="CD155" s="10">
        <v>17.600000000000001</v>
      </c>
      <c r="CE155" s="10">
        <v>1830</v>
      </c>
      <c r="CF155" s="10">
        <v>0.98</v>
      </c>
      <c r="CG155" s="10">
        <v>1791</v>
      </c>
      <c r="CH155" s="10">
        <v>253</v>
      </c>
      <c r="CI155" s="10">
        <v>93</v>
      </c>
      <c r="CJ155" s="10">
        <v>60</v>
      </c>
      <c r="CK155" s="10">
        <v>330</v>
      </c>
      <c r="CL155" s="10">
        <v>12</v>
      </c>
      <c r="CM155" s="10">
        <v>146</v>
      </c>
      <c r="CN155" s="10">
        <v>0.19700000000000001</v>
      </c>
      <c r="CO155" s="10">
        <v>202</v>
      </c>
      <c r="CP155" s="10">
        <v>116</v>
      </c>
      <c r="CQ155" s="10">
        <v>127</v>
      </c>
      <c r="CR155" s="10">
        <v>6</v>
      </c>
      <c r="CS155" s="10">
        <v>12.1</v>
      </c>
      <c r="CT155" s="9" t="s">
        <v>188</v>
      </c>
      <c r="CU155" s="10"/>
      <c r="CV155" s="10"/>
      <c r="CW155" s="10"/>
      <c r="CX155" t="str">
        <f>INDEX('Data_Price '!AG$2:AG$1266,MATCH(Data!$DN155,'Data_Price '!$AT$2:$AT$1266,0))</f>
        <v>Dynastar M-Pro 99 W Skis Women's 2022 - 170</v>
      </c>
      <c r="CY155" t="str">
        <f>INDEX('Data_Price '!AH$2:AH$1266,MATCH(Data!$DN155,'Data_Price '!$AT$2:$AT$1266,0))</f>
        <v>Snowcountry.eu</v>
      </c>
      <c r="CZ155">
        <f>INDEX('Data_Price '!AI$2:AI$1266,MATCH(Data!$DN155,'Data_Price '!$AT$2:$AT$1266,0))</f>
        <v>414</v>
      </c>
      <c r="DA155" t="str">
        <f>INDEX('Data_Price '!AJ$2:AJ$1266,MATCH(Data!$DN155,'Data_Price '!$AT$2:$AT$1266,0))</f>
        <v>https://tinyurl.com/yce4hdzx</v>
      </c>
      <c r="DB155" t="str">
        <f>INDEX('Data_Price '!AK$2:AK$1266,MATCH(Data!$DN155,'Data_Price '!$AT$2:$AT$1266,0))</f>
        <v>Dynastar M-PRO 99 170cm</v>
      </c>
      <c r="DC155" t="str">
        <f>INDEX('Data_Price '!AL$2:AL$1266,MATCH(Data!$DN155,'Data_Price '!$AT$2:$AT$1266,0))</f>
        <v>Sundance Ski and Board Shop</v>
      </c>
      <c r="DD155">
        <f>INDEX('Data_Price '!AM$2:AM$1266,MATCH(Data!$DN155,'Data_Price '!$AT$2:$AT$1266,0))</f>
        <v>481.19</v>
      </c>
      <c r="DE155" t="str">
        <f>INDEX('Data_Price '!AN$2:AN$1266,MATCH(Data!$DN155,'Data_Price '!$AT$2:$AT$1266,0))</f>
        <v>https://tinyurl.com/yabw54zu</v>
      </c>
      <c r="DF155" t="str">
        <f>INDEX('Data_Price '!AO$2:AO$1266,MATCH(Data!$DN155,'Data_Price '!$AT$2:$AT$1266,0))</f>
        <v>Dynastar M-Pro 99 W Skis Women's 2022 - 170</v>
      </c>
      <c r="DG155" t="str">
        <f>INDEX('Data_Price '!AP$2:AP$1266,MATCH(Data!$DN155,'Data_Price '!$AT$2:$AT$1266,0))</f>
        <v>Next Adventure</v>
      </c>
      <c r="DH155">
        <f>INDEX('Data_Price '!AQ$2:AQ$1266,MATCH(Data!$DN155,'Data_Price '!$AT$2:$AT$1266,0))</f>
        <v>489.97</v>
      </c>
      <c r="DI155" t="str">
        <f>INDEX('Data_Price '!AR$2:AR$1266,MATCH(Data!$DN155,'Data_Price '!$AT$2:$AT$1266,0))</f>
        <v>https://tinyurl.com/y8k3a9df</v>
      </c>
      <c r="DJ155" s="89" t="str">
        <f t="shared" si="106"/>
        <v>https://tinyurl.com/yce4hdzx</v>
      </c>
      <c r="DK155" s="89" t="str">
        <f t="shared" si="107"/>
        <v>https://tinyurl.com/yabw54zu</v>
      </c>
      <c r="DL155" s="89" t="str">
        <f t="shared" si="108"/>
        <v>https://tinyurl.com/y8k3a9df</v>
      </c>
      <c r="DM155" s="219" t="str">
        <f t="shared" si="109"/>
        <v>M-Pro 99</v>
      </c>
      <c r="DN155" s="89" t="str">
        <f t="shared" si="110"/>
        <v xml:space="preserve"> DynastarM-Pro 99170 Unisex</v>
      </c>
      <c r="DO155" s="221" t="s">
        <v>381</v>
      </c>
    </row>
    <row r="156" spans="2:119" ht="15.6" customHeight="1">
      <c r="B156" s="219" t="b">
        <f t="array" ref="B156">IF(OR(ISERROR(K156:P156)),FALSE,TRUE)</f>
        <v>1</v>
      </c>
      <c r="C156" s="43" t="b">
        <f>OR(BR156=Driver!$G$50,Data!BR1161=Driver!$H$50)</f>
        <v>1</v>
      </c>
      <c r="D156" s="43" t="b">
        <f>OR(BV156=Driver!$G$51,BV156=Driver!$H$51)</f>
        <v>0</v>
      </c>
      <c r="E156" s="43" t="b">
        <f>AND(BX156&gt;Driver!$F$54,BX156&lt;Driver!$G$54)</f>
        <v>1</v>
      </c>
      <c r="F156" s="43" t="b">
        <f>CL156&gt;Driver!$F$56</f>
        <v>1</v>
      </c>
      <c r="G156" s="43" t="b">
        <f>AND(CB156&gt;Driver!$F$55,CB156&lt;Driver!$G$55)</f>
        <v>1</v>
      </c>
      <c r="H156" s="43" t="b">
        <f t="shared" si="74"/>
        <v>0</v>
      </c>
      <c r="I156" s="43">
        <f t="shared" si="75"/>
        <v>0</v>
      </c>
      <c r="J156" s="43" t="b">
        <f t="array" ref="J156">NOT(OR(($H$9:$H$1273=TRUE)*($I$9:$I$1273&gt;0)*($BT$9:$BT$1273=BT156)*($K$9:$K$1273&gt;K156)))</f>
        <v>1</v>
      </c>
      <c r="K156" s="72">
        <f t="shared" si="76"/>
        <v>0.8896854722963824</v>
      </c>
      <c r="L156" s="72">
        <f t="shared" si="77"/>
        <v>0.99354467096868948</v>
      </c>
      <c r="M156" s="72">
        <f t="shared" si="78"/>
        <v>0.7858262736240752</v>
      </c>
      <c r="N156" s="72">
        <f t="shared" si="79"/>
        <v>0.75368295754094339</v>
      </c>
      <c r="O156" s="72">
        <f t="shared" si="80"/>
        <v>0.63358716803881943</v>
      </c>
      <c r="P156" s="72">
        <f t="shared" si="81"/>
        <v>0.9702086952924629</v>
      </c>
      <c r="Q156" s="72"/>
      <c r="R156" s="72"/>
      <c r="S156" s="72">
        <f t="shared" si="82"/>
        <v>0.4197073092186282</v>
      </c>
      <c r="T156" s="72">
        <f t="shared" si="83"/>
        <v>0.46759640324237728</v>
      </c>
      <c r="U156" s="72">
        <f t="shared" si="84"/>
        <v>0.52007074653829855</v>
      </c>
      <c r="V156" s="72">
        <f t="shared" si="85"/>
        <v>0.74921531403258967</v>
      </c>
      <c r="W156" s="72">
        <f t="shared" si="86"/>
        <v>0.82166115702479336</v>
      </c>
      <c r="X156" s="72">
        <f t="shared" si="87"/>
        <v>6.4553290313105194E-3</v>
      </c>
      <c r="Y156" s="72">
        <f t="shared" si="88"/>
        <v>0.21417372637592477</v>
      </c>
      <c r="Z156" s="72">
        <f t="shared" si="89"/>
        <v>0.24631704245905661</v>
      </c>
      <c r="AA156" s="72">
        <f t="shared" si="90"/>
        <v>0.36641283196118057</v>
      </c>
      <c r="AB156" s="72">
        <f t="shared" si="91"/>
        <v>2.9791304707537047E-2</v>
      </c>
      <c r="AC156" s="72"/>
      <c r="AD156" s="72"/>
      <c r="AE156" s="72">
        <f t="shared" si="92"/>
        <v>0.5802926907813718</v>
      </c>
      <c r="AF156" s="72">
        <f t="shared" si="93"/>
        <v>0.53240359675762272</v>
      </c>
      <c r="AG156" s="72">
        <f t="shared" si="94"/>
        <v>0.47992925346170145</v>
      </c>
      <c r="AH156" s="72">
        <f t="shared" si="95"/>
        <v>0.25078468596741033</v>
      </c>
      <c r="AI156" s="72">
        <f t="shared" si="96"/>
        <v>0.17833884297520658</v>
      </c>
      <c r="AJ156" s="72">
        <f>(AV156-Driver!$K$179)/(Driver!$L$179-Driver!$K$179)</f>
        <v>0.24776408025138991</v>
      </c>
      <c r="AK156" s="72">
        <f>(AW156-Driver!$K$180)/(Driver!$L$180-Driver!$K$180)</f>
        <v>0.23408329978017617</v>
      </c>
      <c r="AL156" s="72">
        <f>(AX156-Driver!$K$181)/(Driver!$L$181-Driver!$K$181)</f>
        <v>0.3480048061721368</v>
      </c>
      <c r="AM156" s="72">
        <f>(AY156-Driver!$K$182)/(Driver!$L$182-Driver!$K$182)</f>
        <v>8.0972189135865819E-2</v>
      </c>
      <c r="AN156" s="72">
        <f>(AZ156-Driver!$K$183)/(Driver!$L$183-Driver!$K$183)</f>
        <v>0.22442810457516338</v>
      </c>
      <c r="AO156" s="72"/>
      <c r="AP156" s="72"/>
      <c r="AQ156" s="72">
        <f>(BC156-Driver!$K$188)/(Driver!$L$188-Driver!$K$188)</f>
        <v>3.970730921862816E-2</v>
      </c>
      <c r="AR156" s="72">
        <f>MIN((BD156-Driver!$K$189)/(Driver!$L$189-Driver!$K$189),100%)</f>
        <v>1.7596403242377372E-2</v>
      </c>
      <c r="AS156" s="72">
        <f>(BE156-Driver!$K$190)/(Driver!$L$190-Driver!$K$190)</f>
        <v>3.0070746538298561E-2</v>
      </c>
      <c r="AT156" s="72">
        <f>(BF156-Driver!$K$191)/(Driver!$L$191-Driver!$K$191)</f>
        <v>0.25921531403258968</v>
      </c>
      <c r="AU156" s="72">
        <f>(BG156-Driver!$K$192)/(Driver!$L$192-Driver!$K$192)</f>
        <v>7.1661157024793407E-2</v>
      </c>
      <c r="AV156" s="70">
        <f t="shared" si="97"/>
        <v>5.2146927146927151</v>
      </c>
      <c r="AW156" s="70">
        <f t="shared" si="98"/>
        <v>24.68538437407636</v>
      </c>
      <c r="AX156" s="70">
        <f t="shared" si="99"/>
        <v>4.132043255549231</v>
      </c>
      <c r="AY156" s="70">
        <f>IFERROR(Driver!$K$19/Data!BH156/Data!BI156*Data!BK156*Data!BL156,"")</f>
        <v>9.9134119271730478E-2</v>
      </c>
      <c r="AZ156" s="70">
        <f t="shared" si="100"/>
        <v>20.454206999255398</v>
      </c>
      <c r="BA156" s="70"/>
      <c r="BB156" s="70"/>
      <c r="BC156" s="70">
        <f t="shared" si="101"/>
        <v>20.596457332437744</v>
      </c>
      <c r="BD156" s="70">
        <f t="shared" si="102"/>
        <v>3.2780733920665361</v>
      </c>
      <c r="BE156" s="70">
        <f t="shared" si="103"/>
        <v>3.0243771000097362E-2</v>
      </c>
      <c r="BF156" s="70">
        <f t="shared" si="104"/>
        <v>29.27654862933338</v>
      </c>
      <c r="BG156" s="70">
        <f t="shared" si="105"/>
        <v>0.2713548553719009</v>
      </c>
      <c r="BH156" s="67">
        <f>MAX((CE156-Driver!$F$200)/(Driver!$G$200-Driver!$F$200)*$BI$1,1)</f>
        <v>4.132043255549231</v>
      </c>
      <c r="BI156" s="67">
        <f>MAX($BI$1*(BY156-Driver!$F$201)/(Driver!$G$201-Driver!$F$201),1)</f>
        <v>5.1898734177215191</v>
      </c>
      <c r="BJ156" s="67">
        <f>(CB156-Driver!$F$206)/(Driver!$G$206-Driver!$F$206)*$BI$1</f>
        <v>6.5079365079365079</v>
      </c>
      <c r="BK156" s="67">
        <f>(CD156-Driver!$F$203)/(Driver!$G$203-Driver!$F$203)*$BI$1</f>
        <v>2.5688073394495414</v>
      </c>
      <c r="BL156" s="67">
        <f>MAX((CR156-Driver!$F$202)/(Driver!$G$202-Driver!$F$202)*$BI$1,1)</f>
        <v>4.1379310344827589</v>
      </c>
      <c r="BM156" s="67">
        <f>MAX((CH156-Driver!$F$204)/(Driver!$G$204-Driver!$F$204)*$BI$1,1)</f>
        <v>3.2051282051282053</v>
      </c>
      <c r="BN156" s="67">
        <f>(CI156-Driver!$F$205)/(Driver!$G$205-Driver!$F$205)*$BI$1</f>
        <v>3.9411764705882351</v>
      </c>
      <c r="BO156" s="67">
        <f>(CK156-Driver!$F$207)/(Driver!$G$207-Driver!$F$207)*$BI$1</f>
        <v>3.5987590486039296</v>
      </c>
      <c r="BP156" s="67">
        <f>(CM156-Driver!$F$208)/(Driver!$G$208-Driver!$F$208)*$BI$1</f>
        <v>3.2111111111111112</v>
      </c>
      <c r="BQ156" s="67">
        <f>(CL156-Driver!$F$209)/(Driver!$G$209-Driver!$F$209)*$BI$1</f>
        <v>3.59375</v>
      </c>
      <c r="BR156" s="28" t="s">
        <v>155</v>
      </c>
      <c r="BS156" s="8" t="s">
        <v>229</v>
      </c>
      <c r="BT156" s="9" t="s">
        <v>382</v>
      </c>
      <c r="BU156" s="10">
        <v>165</v>
      </c>
      <c r="BV156" s="9" t="s">
        <v>163</v>
      </c>
      <c r="BW156" s="10">
        <v>165</v>
      </c>
      <c r="BX156" s="10">
        <v>164.2</v>
      </c>
      <c r="BY156" s="10">
        <v>90</v>
      </c>
      <c r="BZ156" s="10">
        <v>140</v>
      </c>
      <c r="CA156" s="10">
        <v>145</v>
      </c>
      <c r="CB156" s="10">
        <v>105</v>
      </c>
      <c r="CC156" s="10">
        <v>127</v>
      </c>
      <c r="CD156" s="10">
        <v>15</v>
      </c>
      <c r="CE156" s="10">
        <v>1626</v>
      </c>
      <c r="CF156" s="10">
        <v>1.19</v>
      </c>
      <c r="CG156" s="10">
        <v>1933</v>
      </c>
      <c r="CH156" s="10">
        <v>176</v>
      </c>
      <c r="CI156" s="10">
        <v>100</v>
      </c>
      <c r="CJ156" s="10">
        <v>53</v>
      </c>
      <c r="CK156" s="10">
        <v>458</v>
      </c>
      <c r="CL156" s="10">
        <v>23</v>
      </c>
      <c r="CM156" s="10">
        <v>289</v>
      </c>
      <c r="CN156" s="10">
        <v>0.438</v>
      </c>
      <c r="CO156" s="10">
        <v>137</v>
      </c>
      <c r="CP156" s="10">
        <v>107</v>
      </c>
      <c r="CQ156" s="10">
        <v>321</v>
      </c>
      <c r="CR156" s="10">
        <v>1</v>
      </c>
      <c r="CS156" s="10">
        <v>12.4</v>
      </c>
      <c r="CT156" s="9" t="s">
        <v>169</v>
      </c>
      <c r="CU156" s="9" t="s">
        <v>185</v>
      </c>
      <c r="CV156" s="10"/>
      <c r="CW156" s="10"/>
      <c r="CX156" t="e">
        <f>INDEX('Data_Price '!AG$2:AG$1266,MATCH(Data!$DN156,'Data_Price '!$AT$2:$AT$1266,0))</f>
        <v>#N/A</v>
      </c>
      <c r="CY156" t="e">
        <f>INDEX('Data_Price '!AH$2:AH$1266,MATCH(Data!$DN156,'Data_Price '!$AT$2:$AT$1266,0))</f>
        <v>#N/A</v>
      </c>
      <c r="CZ156" t="e">
        <f>INDEX('Data_Price '!AI$2:AI$1266,MATCH(Data!$DN156,'Data_Price '!$AT$2:$AT$1266,0))</f>
        <v>#N/A</v>
      </c>
      <c r="DA156" t="e">
        <f>INDEX('Data_Price '!AJ$2:AJ$1266,MATCH(Data!$DN156,'Data_Price '!$AT$2:$AT$1266,0))</f>
        <v>#N/A</v>
      </c>
      <c r="DB156" t="e">
        <f>INDEX('Data_Price '!AK$2:AK$1266,MATCH(Data!$DN156,'Data_Price '!$AT$2:$AT$1266,0))</f>
        <v>#N/A</v>
      </c>
      <c r="DC156" t="e">
        <f>INDEX('Data_Price '!AL$2:AL$1266,MATCH(Data!$DN156,'Data_Price '!$AT$2:$AT$1266,0))</f>
        <v>#N/A</v>
      </c>
      <c r="DD156" t="e">
        <f>INDEX('Data_Price '!AM$2:AM$1266,MATCH(Data!$DN156,'Data_Price '!$AT$2:$AT$1266,0))</f>
        <v>#N/A</v>
      </c>
      <c r="DE156" t="e">
        <f>INDEX('Data_Price '!AN$2:AN$1266,MATCH(Data!$DN156,'Data_Price '!$AT$2:$AT$1266,0))</f>
        <v>#N/A</v>
      </c>
      <c r="DF156" t="e">
        <f>INDEX('Data_Price '!AO$2:AO$1266,MATCH(Data!$DN156,'Data_Price '!$AT$2:$AT$1266,0))</f>
        <v>#N/A</v>
      </c>
      <c r="DG156" t="e">
        <f>INDEX('Data_Price '!AP$2:AP$1266,MATCH(Data!$DN156,'Data_Price '!$AT$2:$AT$1266,0))</f>
        <v>#N/A</v>
      </c>
      <c r="DH156" t="e">
        <f>INDEX('Data_Price '!AQ$2:AQ$1266,MATCH(Data!$DN156,'Data_Price '!$AT$2:$AT$1266,0))</f>
        <v>#N/A</v>
      </c>
      <c r="DI156" t="e">
        <f>INDEX('Data_Price '!AR$2:AR$1266,MATCH(Data!$DN156,'Data_Price '!$AT$2:$AT$1266,0))</f>
        <v>#N/A</v>
      </c>
      <c r="DJ156" s="89" t="e">
        <f t="shared" si="106"/>
        <v>#N/A</v>
      </c>
      <c r="DK156" s="89" t="e">
        <f t="shared" si="107"/>
        <v>#N/A</v>
      </c>
      <c r="DL156" s="89" t="e">
        <f t="shared" si="108"/>
        <v>#N/A</v>
      </c>
      <c r="DM156" s="219" t="str">
        <f t="shared" si="109"/>
        <v>Blaze 106 W</v>
      </c>
      <c r="DN156" s="89" t="str">
        <f t="shared" si="110"/>
        <v xml:space="preserve"> VölklBlaze 106 W165 Women's</v>
      </c>
      <c r="DO156" s="221" t="s">
        <v>383</v>
      </c>
    </row>
    <row r="157" spans="2:119" ht="15.6" customHeight="1">
      <c r="B157" s="219" t="b">
        <f t="array" ref="B157">IF(OR(ISERROR(K157:P157)),FALSE,TRUE)</f>
        <v>1</v>
      </c>
      <c r="C157" s="43" t="b">
        <f>OR(BR157=Driver!$G$50,Data!BR871=Driver!$H$50)</f>
        <v>1</v>
      </c>
      <c r="D157" s="43" t="b">
        <f>OR(BV157=Driver!$G$51,BV157=Driver!$H$51)</f>
        <v>0</v>
      </c>
      <c r="E157" s="43" t="b">
        <f>AND(BX157&gt;Driver!$F$54,BX157&lt;Driver!$G$54)</f>
        <v>0</v>
      </c>
      <c r="F157" s="43" t="b">
        <f>CL157&gt;Driver!$F$56</f>
        <v>1</v>
      </c>
      <c r="G157" s="43" t="b">
        <f>AND(CB157&gt;Driver!$F$55,CB157&lt;Driver!$G$55)</f>
        <v>1</v>
      </c>
      <c r="H157" s="43" t="b">
        <f t="shared" si="74"/>
        <v>0</v>
      </c>
      <c r="I157" s="43">
        <f t="shared" si="75"/>
        <v>0</v>
      </c>
      <c r="J157" s="43" t="b">
        <f t="array" ref="J157">NOT(OR(($H$9:$H$1273=TRUE)*($I$9:$I$1273&gt;0)*($BT$9:$BT$1273=BT157)*($K$9:$K$1273&gt;K157)))</f>
        <v>1</v>
      </c>
      <c r="K157" s="72">
        <f t="shared" si="76"/>
        <v>0.86987702647935039</v>
      </c>
      <c r="L157" s="72">
        <f t="shared" si="77"/>
        <v>0.99702820792906255</v>
      </c>
      <c r="M157" s="72">
        <f t="shared" si="78"/>
        <v>0.74272584502963834</v>
      </c>
      <c r="N157" s="72">
        <f t="shared" si="79"/>
        <v>0.71826905758521065</v>
      </c>
      <c r="O157" s="72">
        <f t="shared" si="80"/>
        <v>0.61412788678640462</v>
      </c>
      <c r="P157" s="72">
        <f t="shared" si="81"/>
        <v>0.89578059071729954</v>
      </c>
      <c r="Q157" s="72"/>
      <c r="R157" s="72"/>
      <c r="S157" s="72">
        <f t="shared" si="82"/>
        <v>0.39779292418079659</v>
      </c>
      <c r="T157" s="72">
        <f t="shared" si="83"/>
        <v>0.48871811774241247</v>
      </c>
      <c r="U157" s="72">
        <f t="shared" si="84"/>
        <v>0.50034297407467609</v>
      </c>
      <c r="V157" s="72">
        <f t="shared" si="85"/>
        <v>0.88843124583554256</v>
      </c>
      <c r="W157" s="72">
        <f t="shared" si="86"/>
        <v>0.89272614079956925</v>
      </c>
      <c r="X157" s="72">
        <f t="shared" si="87"/>
        <v>2.9717920709374512E-3</v>
      </c>
      <c r="Y157" s="72">
        <f t="shared" si="88"/>
        <v>0.25727415497036171</v>
      </c>
      <c r="Z157" s="72">
        <f t="shared" si="89"/>
        <v>0.2817309424147893</v>
      </c>
      <c r="AA157" s="72">
        <f t="shared" si="90"/>
        <v>0.38587211321359538</v>
      </c>
      <c r="AB157" s="72">
        <f t="shared" si="91"/>
        <v>0.10421940928270046</v>
      </c>
      <c r="AC157" s="72"/>
      <c r="AD157" s="72"/>
      <c r="AE157" s="72">
        <f t="shared" si="92"/>
        <v>0.60220707581920341</v>
      </c>
      <c r="AF157" s="72">
        <f t="shared" si="93"/>
        <v>0.51128188225758753</v>
      </c>
      <c r="AG157" s="72">
        <f t="shared" si="94"/>
        <v>0.49965702592532391</v>
      </c>
      <c r="AH157" s="72">
        <f t="shared" si="95"/>
        <v>0.11156875416445744</v>
      </c>
      <c r="AI157" s="72">
        <f t="shared" si="96"/>
        <v>0.10727385920043075</v>
      </c>
      <c r="AJ157" s="72">
        <f>(AV157-Driver!$K$179)/(Driver!$L$179-Driver!$K$179)</f>
        <v>0.25719120135363788</v>
      </c>
      <c r="AK157" s="72">
        <f>(AW157-Driver!$K$180)/(Driver!$L$180-Driver!$K$180)</f>
        <v>0.16750731346108128</v>
      </c>
      <c r="AL157" s="72">
        <f>(AX157-Driver!$K$181)/(Driver!$L$181-Driver!$K$181)</f>
        <v>0.38341870612786949</v>
      </c>
      <c r="AM157" s="72">
        <f>(AY157-Driver!$K$182)/(Driver!$L$182-Driver!$K$182)</f>
        <v>6.1512907883450964E-2</v>
      </c>
      <c r="AN157" s="72">
        <f>(AZ157-Driver!$K$183)/(Driver!$L$183-Driver!$K$183)</f>
        <v>0.14999999999999997</v>
      </c>
      <c r="AO157" s="72"/>
      <c r="AP157" s="72"/>
      <c r="AQ157" s="72">
        <f>(BC157-Driver!$K$188)/(Driver!$L$188-Driver!$K$188)</f>
        <v>1.7792924180796577E-2</v>
      </c>
      <c r="AR157" s="72">
        <f>MIN((BD157-Driver!$K$189)/(Driver!$L$189-Driver!$K$189),100%)</f>
        <v>3.8718117742412468E-2</v>
      </c>
      <c r="AS157" s="72">
        <f>(BE157-Driver!$K$190)/(Driver!$L$190-Driver!$K$190)</f>
        <v>1.0342974074676098E-2</v>
      </c>
      <c r="AT157" s="72">
        <f>(BF157-Driver!$K$191)/(Driver!$L$191-Driver!$K$191)</f>
        <v>0.39843124583554257</v>
      </c>
      <c r="AU157" s="72">
        <f>(BG157-Driver!$K$192)/(Driver!$L$192-Driver!$K$192)</f>
        <v>0.14272614079956925</v>
      </c>
      <c r="AV157" s="70">
        <f t="shared" si="97"/>
        <v>5.4131054131054128</v>
      </c>
      <c r="AW157" s="70">
        <f t="shared" si="98"/>
        <v>18.196964584029821</v>
      </c>
      <c r="AX157" s="70">
        <f t="shared" si="99"/>
        <v>4.4507683551508253</v>
      </c>
      <c r="AY157" s="70">
        <f>IFERROR(Driver!$K$19/Data!BH157/Data!BI157*Data!BK157*Data!BL157,"")</f>
        <v>7.5310152929630225E-2</v>
      </c>
      <c r="AZ157" s="70">
        <f t="shared" si="100"/>
        <v>13.670886075949365</v>
      </c>
      <c r="BA157" s="70"/>
      <c r="BB157" s="70"/>
      <c r="BC157" s="70">
        <f t="shared" si="101"/>
        <v>9.2293134669813242</v>
      </c>
      <c r="BD157" s="70">
        <f t="shared" si="102"/>
        <v>5.1473076998561291</v>
      </c>
      <c r="BE157" s="70">
        <f t="shared" si="103"/>
        <v>1.0519517749036875E-2</v>
      </c>
      <c r="BF157" s="70">
        <f t="shared" si="104"/>
        <v>45.000010079202376</v>
      </c>
      <c r="BG157" s="70">
        <f t="shared" si="105"/>
        <v>0.54045221850181724</v>
      </c>
      <c r="BH157" s="67">
        <f>MAX((CE157-Driver!$F$200)/(Driver!$G$200-Driver!$F$200)*$BI$1,1)</f>
        <v>4.4507683551508253</v>
      </c>
      <c r="BI157" s="67">
        <f>MAX($BI$1*(BY157-Driver!$F$201)/(Driver!$G$201-Driver!$F$201),1)</f>
        <v>4.3037974683544302</v>
      </c>
      <c r="BJ157" s="67">
        <f>(CB157-Driver!$F$206)/(Driver!$G$206-Driver!$F$206)*$BI$1</f>
        <v>6.6666666666666661</v>
      </c>
      <c r="BK157" s="67">
        <f>(CD157-Driver!$F$203)/(Driver!$G$203-Driver!$F$203)*$BI$1</f>
        <v>1.7431192660550456</v>
      </c>
      <c r="BL157" s="67">
        <f>MAX((CR157-Driver!$F$202)/(Driver!$G$202-Driver!$F$202)*$BI$1,1)</f>
        <v>4.1379310344827589</v>
      </c>
      <c r="BM157" s="67">
        <f>MAX((CH157-Driver!$F$204)/(Driver!$G$204-Driver!$F$204)*$BI$1,1)</f>
        <v>3.2478632478632479</v>
      </c>
      <c r="BN157" s="67">
        <f>(CI157-Driver!$F$205)/(Driver!$G$205-Driver!$F$205)*$BI$1</f>
        <v>3.1764705882352939</v>
      </c>
      <c r="BO157" s="67">
        <f>(CK157-Driver!$F$207)/(Driver!$G$207-Driver!$F$207)*$BI$1</f>
        <v>2.6473629782833505</v>
      </c>
      <c r="BP157" s="67">
        <f>(CM157-Driver!$F$208)/(Driver!$G$208-Driver!$F$208)*$BI$1</f>
        <v>4.4444444444444446</v>
      </c>
      <c r="BQ157" s="67">
        <f>(CL157-Driver!$F$209)/(Driver!$G$209-Driver!$F$209)*$BI$1</f>
        <v>7.8125</v>
      </c>
      <c r="BR157" s="28" t="s">
        <v>155</v>
      </c>
      <c r="BS157" s="8" t="s">
        <v>208</v>
      </c>
      <c r="BT157" s="9" t="s">
        <v>384</v>
      </c>
      <c r="BU157" s="10">
        <v>155</v>
      </c>
      <c r="BV157" s="9" t="s">
        <v>385</v>
      </c>
      <c r="BW157" s="10">
        <v>155</v>
      </c>
      <c r="BX157" s="10">
        <v>152.30000000000001</v>
      </c>
      <c r="BY157" s="10">
        <v>76</v>
      </c>
      <c r="BZ157" s="10">
        <v>119</v>
      </c>
      <c r="CA157" s="10">
        <v>132</v>
      </c>
      <c r="CB157" s="10">
        <v>106</v>
      </c>
      <c r="CC157" s="10">
        <v>129</v>
      </c>
      <c r="CD157" s="10">
        <v>13.2</v>
      </c>
      <c r="CE157" s="10">
        <v>1682</v>
      </c>
      <c r="CF157" s="10">
        <v>1.05</v>
      </c>
      <c r="CG157" s="10">
        <v>1761</v>
      </c>
      <c r="CH157" s="10">
        <v>177</v>
      </c>
      <c r="CI157" s="10">
        <v>87</v>
      </c>
      <c r="CJ157" s="10">
        <v>52</v>
      </c>
      <c r="CK157" s="10">
        <v>366</v>
      </c>
      <c r="CL157" s="10">
        <v>50</v>
      </c>
      <c r="CM157" s="10">
        <v>400</v>
      </c>
      <c r="CN157" s="10">
        <v>0.95699999999999996</v>
      </c>
      <c r="CO157" s="10">
        <v>179</v>
      </c>
      <c r="CP157" s="10">
        <v>158</v>
      </c>
      <c r="CQ157" s="10">
        <v>186</v>
      </c>
      <c r="CR157" s="10">
        <v>1</v>
      </c>
      <c r="CS157" s="10">
        <v>3.5</v>
      </c>
      <c r="CT157" s="9" t="s">
        <v>184</v>
      </c>
      <c r="CU157" s="9" t="s">
        <v>169</v>
      </c>
      <c r="CV157" s="10"/>
      <c r="CW157" s="10"/>
      <c r="CX157" t="str">
        <f>INDEX('Data_Price '!AG$2:AG$1266,MATCH(Data!$DN157,'Data_Price '!$AT$2:$AT$1266,0))</f>
        <v>Line Sir Francis Bacon Shorty Skis 2021</v>
      </c>
      <c r="CY157" t="str">
        <f>INDEX('Data_Price '!AH$2:AH$1266,MATCH(Data!$DN157,'Data_Price '!$AT$2:$AT$1266,0))</f>
        <v>LINE Skis</v>
      </c>
      <c r="CZ157">
        <f>INDEX('Data_Price '!AI$2:AI$1266,MATCH(Data!$DN157,'Data_Price '!$AT$2:$AT$1266,0))</f>
        <v>369.95</v>
      </c>
      <c r="DA157" t="str">
        <f>INDEX('Data_Price '!AJ$2:AJ$1266,MATCH(Data!$DN157,'Data_Price '!$AT$2:$AT$1266,0))</f>
        <v>https://tinyurl.com/yd46c7hj</v>
      </c>
      <c r="DB157" t="str">
        <f>INDEX('Data_Price '!AK$2:AK$1266,MATCH(Data!$DN157,'Data_Price '!$AT$2:$AT$1266,0))</f>
        <v>Line Sir Francis Bacon Shorty Skis</v>
      </c>
      <c r="DC157" t="str">
        <f>INDEX('Data_Price '!AL$2:AL$1266,MATCH(Data!$DN157,'Data_Price '!$AT$2:$AT$1266,0))</f>
        <v>Cole Sport</v>
      </c>
      <c r="DD157">
        <f>INDEX('Data_Price '!AM$2:AM$1266,MATCH(Data!$DN157,'Data_Price '!$AT$2:$AT$1266,0))</f>
        <v>369.95</v>
      </c>
      <c r="DE157" t="str">
        <f>INDEX('Data_Price '!AN$2:AN$1266,MATCH(Data!$DN157,'Data_Price '!$AT$2:$AT$1266,0))</f>
        <v>https://tinyurl.com/y9v5bq2q</v>
      </c>
      <c r="DF157">
        <f>INDEX('Data_Price '!AO$2:AO$1266,MATCH(Data!$DN157,'Data_Price '!$AT$2:$AT$1266,0))</f>
        <v>0</v>
      </c>
      <c r="DG157">
        <f>INDEX('Data_Price '!AP$2:AP$1266,MATCH(Data!$DN157,'Data_Price '!$AT$2:$AT$1266,0))</f>
        <v>0</v>
      </c>
      <c r="DH157">
        <f>INDEX('Data_Price '!AQ$2:AQ$1266,MATCH(Data!$DN157,'Data_Price '!$AT$2:$AT$1266,0))</f>
        <v>0</v>
      </c>
      <c r="DI157">
        <f>INDEX('Data_Price '!AR$2:AR$1266,MATCH(Data!$DN157,'Data_Price '!$AT$2:$AT$1266,0))</f>
        <v>0</v>
      </c>
      <c r="DJ157" s="89" t="str">
        <f t="shared" si="106"/>
        <v>https://tinyurl.com/yd46c7hj</v>
      </c>
      <c r="DK157" s="89" t="str">
        <f t="shared" si="107"/>
        <v>https://tinyurl.com/y9v5bq2q</v>
      </c>
      <c r="DL157" s="89">
        <f t="shared" si="108"/>
        <v>0</v>
      </c>
      <c r="DM157" s="219" t="str">
        <f t="shared" si="109"/>
        <v>Sir Francis Bacon Shorty</v>
      </c>
      <c r="DN157" s="89" t="str">
        <f t="shared" si="110"/>
        <v xml:space="preserve"> LineSir Francis Bacon Shorty155 Junior</v>
      </c>
      <c r="DO157" s="221" t="s">
        <v>386</v>
      </c>
    </row>
    <row r="158" spans="2:119" ht="15.6" customHeight="1">
      <c r="B158" s="219" t="b">
        <f t="array" ref="B158">IF(OR(ISERROR(K158:P158)),FALSE,TRUE)</f>
        <v>1</v>
      </c>
      <c r="C158" s="43" t="b">
        <f>OR(BR158=Driver!$G$50,Data!BR351=Driver!$H$50)</f>
        <v>1</v>
      </c>
      <c r="D158" s="43" t="b">
        <f>OR(BV158=Driver!$G$51,BV158=Driver!$H$51)</f>
        <v>1</v>
      </c>
      <c r="E158" s="43" t="b">
        <f>AND(BX158&gt;Driver!$F$54,BX158&lt;Driver!$G$54)</f>
        <v>0</v>
      </c>
      <c r="F158" s="43" t="b">
        <f>CL158&gt;Driver!$F$56</f>
        <v>1</v>
      </c>
      <c r="G158" s="43" t="b">
        <f>AND(CB158&gt;Driver!$F$55,CB158&lt;Driver!$G$55)</f>
        <v>0</v>
      </c>
      <c r="H158" s="43" t="b">
        <f t="shared" si="74"/>
        <v>0</v>
      </c>
      <c r="I158" s="43">
        <f t="shared" si="75"/>
        <v>0</v>
      </c>
      <c r="J158" s="43" t="b">
        <f t="array" ref="J158">NOT(OR(($H$9:$H$1273=TRUE)*($I$9:$I$1273&gt;0)*($BT$9:$BT$1273=BT158)*($K$9:$K$1273&gt;K158)))</f>
        <v>1</v>
      </c>
      <c r="K158" s="72">
        <f t="shared" si="76"/>
        <v>0.87250138314975056</v>
      </c>
      <c r="L158" s="72">
        <f t="shared" si="77"/>
        <v>0.98879082357524806</v>
      </c>
      <c r="M158" s="72">
        <f t="shared" si="78"/>
        <v>0.75621194272425296</v>
      </c>
      <c r="N158" s="72">
        <f t="shared" si="79"/>
        <v>0.74293230934009591</v>
      </c>
      <c r="O158" s="72">
        <f t="shared" si="80"/>
        <v>0.64583051477872067</v>
      </c>
      <c r="P158" s="72">
        <f t="shared" si="81"/>
        <v>0.8798730040539422</v>
      </c>
      <c r="Q158" s="72"/>
      <c r="R158" s="72"/>
      <c r="S158" s="72">
        <f t="shared" si="82"/>
        <v>0.46317104108085128</v>
      </c>
      <c r="T158" s="72">
        <f t="shared" si="83"/>
        <v>0.58465160684307316</v>
      </c>
      <c r="U158" s="72">
        <f t="shared" si="84"/>
        <v>0.98328414949236209</v>
      </c>
      <c r="V158" s="72">
        <f t="shared" si="85"/>
        <v>0.535764749684421</v>
      </c>
      <c r="W158" s="72">
        <f t="shared" si="86"/>
        <v>0.76377860026917899</v>
      </c>
      <c r="X158" s="72">
        <f t="shared" si="87"/>
        <v>1.1209176424751888E-2</v>
      </c>
      <c r="Y158" s="72">
        <f t="shared" si="88"/>
        <v>0.24378805727574707</v>
      </c>
      <c r="Z158" s="72">
        <f t="shared" si="89"/>
        <v>0.25706769065990409</v>
      </c>
      <c r="AA158" s="72">
        <f t="shared" si="90"/>
        <v>0.35416948522127939</v>
      </c>
      <c r="AB158" s="72">
        <f t="shared" si="91"/>
        <v>0.12012699594605775</v>
      </c>
      <c r="AC158" s="72"/>
      <c r="AD158" s="72"/>
      <c r="AE158" s="72">
        <f t="shared" si="92"/>
        <v>0.53682895891914872</v>
      </c>
      <c r="AF158" s="72">
        <f t="shared" si="93"/>
        <v>0.41534839315692684</v>
      </c>
      <c r="AG158" s="72">
        <f t="shared" si="94"/>
        <v>1.6715850507637908E-2</v>
      </c>
      <c r="AH158" s="72">
        <f t="shared" si="95"/>
        <v>0.464235250315579</v>
      </c>
      <c r="AI158" s="72">
        <f t="shared" si="96"/>
        <v>0.23622139973082099</v>
      </c>
      <c r="AJ158" s="72">
        <f>(AV158-Driver!$K$179)/(Driver!$L$179-Driver!$K$179)</f>
        <v>0.24301023285794854</v>
      </c>
      <c r="AK158" s="72">
        <f>(AW158-Driver!$K$180)/(Driver!$L$180-Driver!$K$180)</f>
        <v>0.37542689107028165</v>
      </c>
      <c r="AL158" s="72">
        <f>(AX158-Driver!$K$181)/(Driver!$L$181-Driver!$K$181)</f>
        <v>0.35875545437298428</v>
      </c>
      <c r="AM158" s="72">
        <f>(AY158-Driver!$K$182)/(Driver!$L$182-Driver!$K$182)</f>
        <v>9.3215535875766961E-2</v>
      </c>
      <c r="AN158" s="72">
        <f>(AZ158-Driver!$K$183)/(Driver!$L$183-Driver!$K$183)</f>
        <v>0.37434640522875817</v>
      </c>
      <c r="AO158" s="72"/>
      <c r="AP158" s="72"/>
      <c r="AQ158" s="72">
        <f>(BC158-Driver!$K$188)/(Driver!$L$188-Driver!$K$188)</f>
        <v>8.3171041080851243E-2</v>
      </c>
      <c r="AR158" s="72">
        <f>MIN((BD158-Driver!$K$189)/(Driver!$L$189-Driver!$K$189),100%)</f>
        <v>0.13465160684307317</v>
      </c>
      <c r="AS158" s="72">
        <f>(BE158-Driver!$K$190)/(Driver!$L$190-Driver!$K$190)</f>
        <v>0.4932841494923621</v>
      </c>
      <c r="AT158" s="72">
        <f>(BF158-Driver!$K$191)/(Driver!$L$191-Driver!$K$191)</f>
        <v>4.5764749684421041E-2</v>
      </c>
      <c r="AU158" s="72">
        <f>(BG158-Driver!$K$192)/(Driver!$L$192-Driver!$K$192)</f>
        <v>1.3778600269179002E-2</v>
      </c>
      <c r="AV158" s="70">
        <f t="shared" si="97"/>
        <v>5.1146384479717808</v>
      </c>
      <c r="AW158" s="70">
        <f t="shared" si="98"/>
        <v>38.460569776923847</v>
      </c>
      <c r="AX158" s="70">
        <f t="shared" si="99"/>
        <v>4.2287990893568583</v>
      </c>
      <c r="AY158" s="70">
        <f>IFERROR(Driver!$K$19/Data!BH158/Data!BI158*Data!BK158*Data!BL158,"")</f>
        <v>0.11412362874345726</v>
      </c>
      <c r="AZ158" s="70">
        <f t="shared" si="100"/>
        <v>34.117647058823529</v>
      </c>
      <c r="BA158" s="70"/>
      <c r="BB158" s="70"/>
      <c r="BC158" s="70">
        <f t="shared" si="101"/>
        <v>43.14139720433473</v>
      </c>
      <c r="BD158" s="70">
        <f t="shared" si="102"/>
        <v>13.637251501180403</v>
      </c>
      <c r="BE158" s="70">
        <f t="shared" si="103"/>
        <v>0.49337454189676283</v>
      </c>
      <c r="BF158" s="70">
        <f t="shared" si="104"/>
        <v>5.1688069612923107</v>
      </c>
      <c r="BG158" s="70">
        <f t="shared" si="105"/>
        <v>5.2174570415835148E-2</v>
      </c>
      <c r="BH158" s="67">
        <f>MAX((CE158-Driver!$F$200)/(Driver!$G$200-Driver!$F$200)*$BI$1,1)</f>
        <v>4.2287990893568583</v>
      </c>
      <c r="BI158" s="67">
        <f>MAX($BI$1*(BY158-Driver!$F$201)/(Driver!$G$201-Driver!$F$201),1)</f>
        <v>7.3417721518987342</v>
      </c>
      <c r="BJ158" s="67">
        <f>(CB158-Driver!$F$206)/(Driver!$G$206-Driver!$F$206)*$BI$1</f>
        <v>4.1269841269841265</v>
      </c>
      <c r="BK158" s="67">
        <f>(CD158-Driver!$F$203)/(Driver!$G$203-Driver!$F$203)*$BI$1</f>
        <v>2.5688073394495414</v>
      </c>
      <c r="BL158" s="67">
        <f>MAX((CR158-Driver!$F$202)/(Driver!$G$202-Driver!$F$202)*$BI$1,1)</f>
        <v>6.8965517241379315</v>
      </c>
      <c r="BM158" s="67">
        <f>MAX((CH158-Driver!$F$204)/(Driver!$G$204-Driver!$F$204)*$BI$1,1)</f>
        <v>4.9572649572649574</v>
      </c>
      <c r="BN158" s="67">
        <f>(CI158-Driver!$F$205)/(Driver!$G$205-Driver!$F$205)*$BI$1</f>
        <v>4.6470588235294121</v>
      </c>
      <c r="BO158" s="67">
        <f>(CK158-Driver!$F$207)/(Driver!$G$207-Driver!$F$207)*$BI$1</f>
        <v>2.0682523267838677</v>
      </c>
      <c r="BP158" s="67">
        <f>(CM158-Driver!$F$208)/(Driver!$G$208-Driver!$F$208)*$BI$1</f>
        <v>1.5555555555555556</v>
      </c>
      <c r="BQ158" s="67">
        <f>(CL158-Driver!$F$209)/(Driver!$G$209-Driver!$F$209)*$BI$1</f>
        <v>1.09375</v>
      </c>
      <c r="BR158" s="28" t="s">
        <v>155</v>
      </c>
      <c r="BS158" s="8" t="s">
        <v>218</v>
      </c>
      <c r="BT158" s="9" t="s">
        <v>387</v>
      </c>
      <c r="BU158" s="10">
        <v>171</v>
      </c>
      <c r="BV158" s="9" t="s">
        <v>158</v>
      </c>
      <c r="BW158" s="10">
        <v>171</v>
      </c>
      <c r="BX158" s="10">
        <v>169.2</v>
      </c>
      <c r="BY158" s="10">
        <v>124</v>
      </c>
      <c r="BZ158" s="10">
        <v>130</v>
      </c>
      <c r="CA158" s="10">
        <v>122</v>
      </c>
      <c r="CB158" s="10">
        <v>90</v>
      </c>
      <c r="CC158" s="10">
        <v>107</v>
      </c>
      <c r="CD158" s="10">
        <v>15</v>
      </c>
      <c r="CE158" s="10">
        <v>1643</v>
      </c>
      <c r="CF158" s="10">
        <v>1.04</v>
      </c>
      <c r="CG158" s="10">
        <v>1714</v>
      </c>
      <c r="CH158" s="10">
        <v>217</v>
      </c>
      <c r="CI158" s="10">
        <v>112</v>
      </c>
      <c r="CJ158" s="10">
        <v>49</v>
      </c>
      <c r="CK158" s="10">
        <v>310</v>
      </c>
      <c r="CL158" s="10">
        <v>7</v>
      </c>
      <c r="CM158" s="10">
        <v>140</v>
      </c>
      <c r="CN158" s="10">
        <v>0.14799999999999999</v>
      </c>
      <c r="CO158" s="10">
        <v>199</v>
      </c>
      <c r="CP158" s="10">
        <v>197</v>
      </c>
      <c r="CQ158" s="10">
        <v>111</v>
      </c>
      <c r="CR158" s="10">
        <v>9</v>
      </c>
      <c r="CS158" s="10">
        <v>11.8</v>
      </c>
      <c r="CT158" s="9" t="s">
        <v>188</v>
      </c>
      <c r="CU158" s="10"/>
      <c r="CV158" s="10"/>
      <c r="CW158" s="10"/>
      <c r="CX158" t="str">
        <f>INDEX('Data_Price '!AG$2:AG$1266,MATCH(Data!$DN158,'Data_Price '!$AT$2:$AT$1266,0))</f>
        <v>DPS Pagoda Piste 90 RP Skis Â· 171 cm Â· Yellow</v>
      </c>
      <c r="CY158" t="str">
        <f>INDEX('Data_Price '!AH$2:AH$1266,MATCH(Data!$DN158,'Data_Price '!$AT$2:$AT$1266,0))</f>
        <v>Powder7 Ski Shop</v>
      </c>
      <c r="CZ158">
        <f>INDEX('Data_Price '!AI$2:AI$1266,MATCH(Data!$DN158,'Data_Price '!$AT$2:$AT$1266,0))</f>
        <v>1039.2</v>
      </c>
      <c r="DA158" t="str">
        <f>INDEX('Data_Price '!AJ$2:AJ$1266,MATCH(Data!$DN158,'Data_Price '!$AT$2:$AT$1266,0))</f>
        <v>https://tinyurl.com/y9bejlkg</v>
      </c>
      <c r="DB158" t="str">
        <f>INDEX('Data_Price '!AK$2:AK$1266,MATCH(Data!$DN158,'Data_Price '!$AT$2:$AT$1266,0))</f>
        <v>DPS Pagoda Piste 90 RP Skis Â· 171 cm Â· Yellow</v>
      </c>
      <c r="DC158" t="str">
        <f>INDEX('Data_Price '!AL$2:AL$1266,MATCH(Data!$DN158,'Data_Price '!$AT$2:$AT$1266,0))</f>
        <v>Gear West Ski &amp; Bike</v>
      </c>
      <c r="DD158">
        <f>INDEX('Data_Price '!AM$2:AM$1266,MATCH(Data!$DN158,'Data_Price '!$AT$2:$AT$1266,0))</f>
        <v>1299</v>
      </c>
      <c r="DE158" t="str">
        <f>INDEX('Data_Price '!AN$2:AN$1266,MATCH(Data!$DN158,'Data_Price '!$AT$2:$AT$1266,0))</f>
        <v>https://tinyurl.com/ychc2cz5</v>
      </c>
      <c r="DF158" t="str">
        <f>INDEX('Data_Price '!AO$2:AO$1266,MATCH(Data!$DN158,'Data_Price '!$AT$2:$AT$1266,0))</f>
        <v>Pagoda Piste 90 RP Yellow - 171cm</v>
      </c>
      <c r="DG158" t="str">
        <f>INDEX('Data_Price '!AP$2:AP$1266,MATCH(Data!$DN158,'Data_Price '!$AT$2:$AT$1266,0))</f>
        <v>DPS Skis</v>
      </c>
      <c r="DH158">
        <f>INDEX('Data_Price '!AQ$2:AQ$1266,MATCH(Data!$DN158,'Data_Price '!$AT$2:$AT$1266,0))</f>
        <v>1448.99</v>
      </c>
      <c r="DI158" t="str">
        <f>INDEX('Data_Price '!AR$2:AR$1266,MATCH(Data!$DN158,'Data_Price '!$AT$2:$AT$1266,0))</f>
        <v>https://tinyurl.com/y9gym9un</v>
      </c>
      <c r="DJ158" s="89" t="str">
        <f t="shared" si="106"/>
        <v>https://tinyurl.com/y9bejlkg</v>
      </c>
      <c r="DK158" s="89" t="str">
        <f t="shared" si="107"/>
        <v>https://tinyurl.com/ychc2cz5</v>
      </c>
      <c r="DL158" s="89" t="str">
        <f t="shared" si="108"/>
        <v>https://tinyurl.com/y9gym9un</v>
      </c>
      <c r="DM158" s="219" t="str">
        <f t="shared" si="109"/>
        <v>Pagoda Piste 90 RP</v>
      </c>
      <c r="DN158" s="89" t="str">
        <f t="shared" si="110"/>
        <v xml:space="preserve"> DPSPagoda Piste 90 RP171 Unisex</v>
      </c>
      <c r="DO158" s="221"/>
    </row>
    <row r="159" spans="2:119" ht="15.6" customHeight="1">
      <c r="B159" s="219" t="b">
        <f t="array" ref="B159">IF(OR(ISERROR(K159:P159)),FALSE,TRUE)</f>
        <v>1</v>
      </c>
      <c r="C159" s="43" t="b">
        <f>OR(BR159=Driver!$G$50,Data!BR211=Driver!$H$50)</f>
        <v>1</v>
      </c>
      <c r="D159" s="43" t="b">
        <f>OR(BV159=Driver!$G$51,BV159=Driver!$H$51)</f>
        <v>1</v>
      </c>
      <c r="E159" s="43" t="b">
        <f>AND(BX159&gt;Driver!$F$54,BX159&lt;Driver!$G$54)</f>
        <v>0</v>
      </c>
      <c r="F159" s="43" t="b">
        <f>CL159&gt;Driver!$F$56</f>
        <v>1</v>
      </c>
      <c r="G159" s="43" t="b">
        <f>AND(CB159&gt;Driver!$F$55,CB159&lt;Driver!$G$55)</f>
        <v>0</v>
      </c>
      <c r="H159" s="43" t="b">
        <f t="shared" si="74"/>
        <v>0</v>
      </c>
      <c r="I159" s="43">
        <f t="shared" si="75"/>
        <v>0</v>
      </c>
      <c r="J159" s="43" t="b">
        <f t="array" ref="J159">NOT(OR(($H$9:$H$1273=TRUE)*($I$9:$I$1273&gt;0)*($BT$9:$BT$1273=BT159)*($K$9:$K$1273&gt;K159)))</f>
        <v>1</v>
      </c>
      <c r="K159" s="72">
        <f t="shared" si="76"/>
        <v>0.90036703801961748</v>
      </c>
      <c r="L159" s="72">
        <f t="shared" si="77"/>
        <v>0.97307895507150144</v>
      </c>
      <c r="M159" s="72">
        <f t="shared" si="78"/>
        <v>0.82765512096773353</v>
      </c>
      <c r="N159" s="72">
        <f t="shared" si="79"/>
        <v>0.85360074670176034</v>
      </c>
      <c r="O159" s="72">
        <f t="shared" si="80"/>
        <v>0.70945893240893576</v>
      </c>
      <c r="P159" s="72">
        <f t="shared" si="81"/>
        <v>0.91990568379250437</v>
      </c>
      <c r="Q159" s="72"/>
      <c r="R159" s="72"/>
      <c r="S159" s="72">
        <f t="shared" si="82"/>
        <v>0.47353221152476599</v>
      </c>
      <c r="T159" s="72">
        <f t="shared" si="83"/>
        <v>0.48692478079737467</v>
      </c>
      <c r="U159" s="72">
        <f t="shared" si="84"/>
        <v>0.87818455191352263</v>
      </c>
      <c r="V159" s="72">
        <f t="shared" si="85"/>
        <v>0.51757195869249006</v>
      </c>
      <c r="W159" s="72">
        <f t="shared" si="86"/>
        <v>0.78610412474849101</v>
      </c>
      <c r="X159" s="72">
        <f t="shared" si="87"/>
        <v>2.6921044928498561E-2</v>
      </c>
      <c r="Y159" s="72">
        <f t="shared" si="88"/>
        <v>0.1723448790322665</v>
      </c>
      <c r="Z159" s="72">
        <f t="shared" si="89"/>
        <v>0.14639925329823961</v>
      </c>
      <c r="AA159" s="72">
        <f t="shared" si="90"/>
        <v>0.29054106759106424</v>
      </c>
      <c r="AB159" s="72">
        <f t="shared" si="91"/>
        <v>8.0094316207495631E-2</v>
      </c>
      <c r="AC159" s="72"/>
      <c r="AD159" s="72"/>
      <c r="AE159" s="72">
        <f t="shared" si="92"/>
        <v>0.52646778847523401</v>
      </c>
      <c r="AF159" s="72">
        <f t="shared" si="93"/>
        <v>0.51307521920262533</v>
      </c>
      <c r="AG159" s="72">
        <f t="shared" si="94"/>
        <v>0.12181544808647737</v>
      </c>
      <c r="AH159" s="72">
        <f t="shared" si="95"/>
        <v>0.48242804130750999</v>
      </c>
      <c r="AI159" s="72">
        <f t="shared" si="96"/>
        <v>0.21389587525150905</v>
      </c>
      <c r="AJ159" s="72">
        <f>(AV159-Driver!$K$179)/(Driver!$L$179-Driver!$K$179)</f>
        <v>0.22729836435420187</v>
      </c>
      <c r="AK159" s="72">
        <f>(AW159-Driver!$K$180)/(Driver!$L$180-Driver!$K$180)</f>
        <v>0.32856954272087224</v>
      </c>
      <c r="AL159" s="72">
        <f>(AX159-Driver!$K$181)/(Driver!$L$181-Driver!$K$181)</f>
        <v>0.2480870170113198</v>
      </c>
      <c r="AM159" s="72">
        <f>(AY159-Driver!$K$182)/(Driver!$L$182-Driver!$K$182)</f>
        <v>0.15684395350598213</v>
      </c>
      <c r="AN159" s="72">
        <f>(AZ159-Driver!$K$183)/(Driver!$L$183-Driver!$K$183)</f>
        <v>0.33431372549019606</v>
      </c>
      <c r="AO159" s="72"/>
      <c r="AP159" s="72"/>
      <c r="AQ159" s="72">
        <f>(BC159-Driver!$K$188)/(Driver!$L$188-Driver!$K$188)</f>
        <v>9.353221152476604E-2</v>
      </c>
      <c r="AR159" s="72">
        <f>MIN((BD159-Driver!$K$189)/(Driver!$L$189-Driver!$K$189),100%)</f>
        <v>3.6924780797374733E-2</v>
      </c>
      <c r="AS159" s="72">
        <f>(BE159-Driver!$K$190)/(Driver!$L$190-Driver!$K$190)</f>
        <v>0.63181544808647738</v>
      </c>
      <c r="AT159" s="72">
        <f>(BF159-Driver!$K$191)/(Driver!$L$191-Driver!$K$191)</f>
        <v>2.7571958692490042E-2</v>
      </c>
      <c r="AU159" s="72">
        <f>(BG159-Driver!$K$192)/(Driver!$L$192-Driver!$K$192)</f>
        <v>3.6104124748490951E-2</v>
      </c>
      <c r="AV159" s="70">
        <f t="shared" si="97"/>
        <v>4.7839506172839501</v>
      </c>
      <c r="AW159" s="70">
        <f t="shared" si="98"/>
        <v>33.893905981930061</v>
      </c>
      <c r="AX159" s="70">
        <f t="shared" si="99"/>
        <v>3.2327831531018782</v>
      </c>
      <c r="AY159" s="70">
        <f>IFERROR(Driver!$K$19/Data!BH159/Data!BI159*Data!BK159*Data!BL159,"")</f>
        <v>0.19202379681031362</v>
      </c>
      <c r="AZ159" s="70">
        <f t="shared" si="100"/>
        <v>30.469099032017869</v>
      </c>
      <c r="BA159" s="70"/>
      <c r="BB159" s="70"/>
      <c r="BC159" s="70">
        <f t="shared" si="101"/>
        <v>48.515808343281684</v>
      </c>
      <c r="BD159" s="70">
        <f t="shared" si="102"/>
        <v>4.9886005578253272</v>
      </c>
      <c r="BE159" s="70">
        <f t="shared" si="103"/>
        <v>0.63188112806644514</v>
      </c>
      <c r="BF159" s="70">
        <f t="shared" si="104"/>
        <v>3.1140590303440545</v>
      </c>
      <c r="BG159" s="70">
        <f t="shared" si="105"/>
        <v>0.13671324823943665</v>
      </c>
      <c r="BH159" s="67">
        <f>MAX((CE159-Driver!$F$200)/(Driver!$G$200-Driver!$F$200)*$BI$1,1)</f>
        <v>3.2327831531018782</v>
      </c>
      <c r="BI159" s="67">
        <f>MAX($BI$1*(BY159-Driver!$F$201)/(Driver!$G$201-Driver!$F$201),1)</f>
        <v>7.8481012658227849</v>
      </c>
      <c r="BJ159" s="67">
        <f>(CB159-Driver!$F$206)/(Driver!$G$206-Driver!$F$206)*$BI$1</f>
        <v>4.92063492063492</v>
      </c>
      <c r="BK159" s="67">
        <f>(CD159-Driver!$F$203)/(Driver!$G$203-Driver!$F$203)*$BI$1</f>
        <v>3.5321100917431201</v>
      </c>
      <c r="BL159" s="67">
        <f>MAX((CR159-Driver!$F$202)/(Driver!$G$202-Driver!$F$202)*$BI$1,1)</f>
        <v>6.8965517241379315</v>
      </c>
      <c r="BM159" s="67">
        <f>MAX((CH159-Driver!$F$204)/(Driver!$G$204-Driver!$F$204)*$BI$1,1)</f>
        <v>3.8888888888888888</v>
      </c>
      <c r="BN159" s="67">
        <f>(CI159-Driver!$F$205)/(Driver!$G$205-Driver!$F$205)*$BI$1</f>
        <v>3.8823529411764706</v>
      </c>
      <c r="BO159" s="67">
        <f>(CK159-Driver!$F$207)/(Driver!$G$207-Driver!$F$207)*$BI$1</f>
        <v>1.468459152016546</v>
      </c>
      <c r="BP159" s="67">
        <f>(CM159-Driver!$F$208)/(Driver!$G$208-Driver!$F$208)*$BI$1</f>
        <v>1.5222222222222224</v>
      </c>
      <c r="BQ159" s="67">
        <f>(CL159-Driver!$F$209)/(Driver!$G$209-Driver!$F$209)*$BI$1</f>
        <v>1.71875</v>
      </c>
      <c r="BR159" s="28" t="s">
        <v>155</v>
      </c>
      <c r="BS159" s="8" t="s">
        <v>237</v>
      </c>
      <c r="BT159" s="9" t="s">
        <v>361</v>
      </c>
      <c r="BU159" s="10">
        <v>172.2</v>
      </c>
      <c r="BV159" s="9" t="s">
        <v>158</v>
      </c>
      <c r="BW159" s="10">
        <v>172.2</v>
      </c>
      <c r="BX159" s="10">
        <v>171.3</v>
      </c>
      <c r="BY159" s="10">
        <v>132</v>
      </c>
      <c r="BZ159" s="10">
        <v>144</v>
      </c>
      <c r="CA159" s="10">
        <v>132</v>
      </c>
      <c r="CB159" s="10">
        <v>95</v>
      </c>
      <c r="CC159" s="10">
        <v>114</v>
      </c>
      <c r="CD159" s="10">
        <v>17.100000000000001</v>
      </c>
      <c r="CE159" s="10">
        <v>1468</v>
      </c>
      <c r="CF159" s="10">
        <v>1.24</v>
      </c>
      <c r="CG159" s="10">
        <v>1822</v>
      </c>
      <c r="CH159" s="10">
        <v>192</v>
      </c>
      <c r="CI159" s="10">
        <v>99</v>
      </c>
      <c r="CJ159" s="10">
        <v>43</v>
      </c>
      <c r="CK159" s="10">
        <v>252</v>
      </c>
      <c r="CL159" s="10">
        <v>11</v>
      </c>
      <c r="CM159" s="10">
        <v>137</v>
      </c>
      <c r="CN159" s="10">
        <v>0.25900000000000001</v>
      </c>
      <c r="CO159" s="10">
        <v>164</v>
      </c>
      <c r="CP159" s="10">
        <v>110</v>
      </c>
      <c r="CQ159" s="10">
        <v>88</v>
      </c>
      <c r="CR159" s="10">
        <v>9</v>
      </c>
      <c r="CS159" s="10">
        <v>9.4</v>
      </c>
      <c r="CT159" s="9" t="s">
        <v>188</v>
      </c>
      <c r="CU159" s="9" t="s">
        <v>185</v>
      </c>
      <c r="CV159" s="10"/>
      <c r="CW159" s="10"/>
      <c r="CX159" t="str">
        <f>INDEX('Data_Price '!AG$2:AG$1266,MATCH(Data!$DN159,'Data_Price '!$AT$2:$AT$1266,0))</f>
        <v>Skis Black Crows Camox Freebird</v>
      </c>
      <c r="CY159" t="str">
        <f>INDEX('Data_Price '!AH$2:AH$1266,MATCH(Data!$DN159,'Data_Price '!$AT$2:$AT$1266,0))</f>
        <v>Ascent Outdoors</v>
      </c>
      <c r="CZ159">
        <f>INDEX('Data_Price '!AI$2:AI$1266,MATCH(Data!$DN159,'Data_Price '!$AT$2:$AT$1266,0))</f>
        <v>514.99</v>
      </c>
      <c r="DA159" t="str">
        <f>INDEX('Data_Price '!AJ$2:AJ$1266,MATCH(Data!$DN159,'Data_Price '!$AT$2:$AT$1266,0))</f>
        <v>https://tinyurl.com/ybgnn25u</v>
      </c>
      <c r="DB159" t="str">
        <f>INDEX('Data_Price '!AK$2:AK$1266,MATCH(Data!$DN159,'Data_Price '!$AT$2:$AT$1266,0))</f>
        <v>Skis Black Crows Camox Freebird</v>
      </c>
      <c r="DC159" t="str">
        <f>INDEX('Data_Price '!AL$2:AL$1266,MATCH(Data!$DN159,'Data_Price '!$AT$2:$AT$1266,0))</f>
        <v>evo.com</v>
      </c>
      <c r="DD159">
        <f>INDEX('Data_Price '!AM$2:AM$1266,MATCH(Data!$DN159,'Data_Price '!$AT$2:$AT$1266,0))</f>
        <v>591.96</v>
      </c>
      <c r="DE159" t="str">
        <f>INDEX('Data_Price '!AN$2:AN$1266,MATCH(Data!$DN159,'Data_Price '!$AT$2:$AT$1266,0))</f>
        <v>https://tinyurl.com/y7q3g93e</v>
      </c>
      <c r="DF159" t="str">
        <f>INDEX('Data_Price '!AO$2:AO$1266,MATCH(Data!$DN159,'Data_Price '!$AT$2:$AT$1266,0))</f>
        <v>Skis Black Crows Camox Freebird</v>
      </c>
      <c r="DG159" t="str">
        <f>INDEX('Data_Price '!AP$2:AP$1266,MATCH(Data!$DN159,'Data_Price '!$AT$2:$AT$1266,0))</f>
        <v>SkiEssentials.com</v>
      </c>
      <c r="DH159">
        <f>INDEX('Data_Price '!AQ$2:AQ$1266,MATCH(Data!$DN159,'Data_Price '!$AT$2:$AT$1266,0))</f>
        <v>591.96</v>
      </c>
      <c r="DI159" t="str">
        <f>INDEX('Data_Price '!AR$2:AR$1266,MATCH(Data!$DN159,'Data_Price '!$AT$2:$AT$1266,0))</f>
        <v>https://tinyurl.com/yb79fbh8</v>
      </c>
      <c r="DJ159" s="89" t="str">
        <f t="shared" si="106"/>
        <v>https://tinyurl.com/ybgnn25u</v>
      </c>
      <c r="DK159" s="89" t="str">
        <f t="shared" si="107"/>
        <v>https://tinyurl.com/y7q3g93e</v>
      </c>
      <c r="DL159" s="89" t="str">
        <f t="shared" si="108"/>
        <v>https://tinyurl.com/yb79fbh8</v>
      </c>
      <c r="DM159" s="219" t="str">
        <f t="shared" si="109"/>
        <v>Camox Freebird</v>
      </c>
      <c r="DN159" s="89" t="str">
        <f t="shared" si="110"/>
        <v xml:space="preserve"> Black CrowsCamox Freebird172.2 Unisex</v>
      </c>
      <c r="DO159" s="221" t="s">
        <v>362</v>
      </c>
    </row>
    <row r="160" spans="2:119" ht="15.6" customHeight="1">
      <c r="B160" s="219" t="b">
        <f t="array" ref="B160">IF(OR(ISERROR(K160:P160)),FALSE,TRUE)</f>
        <v>1</v>
      </c>
      <c r="C160" s="43" t="b">
        <f>OR(BR160=Driver!$G$50,Data!BR356=Driver!$H$50)</f>
        <v>1</v>
      </c>
      <c r="D160" s="43" t="b">
        <f>OR(BV160=Driver!$G$51,BV160=Driver!$H$51)</f>
        <v>1</v>
      </c>
      <c r="E160" s="43" t="b">
        <f>AND(BX160&gt;Driver!$F$54,BX160&lt;Driver!$G$54)</f>
        <v>0</v>
      </c>
      <c r="F160" s="43" t="b">
        <f>CL160&gt;Driver!$F$56</f>
        <v>1</v>
      </c>
      <c r="G160" s="43" t="b">
        <f>AND(CB160&gt;Driver!$F$55,CB160&lt;Driver!$G$55)</f>
        <v>0</v>
      </c>
      <c r="H160" s="43" t="b">
        <f t="shared" si="74"/>
        <v>0</v>
      </c>
      <c r="I160" s="43">
        <f t="shared" si="75"/>
        <v>0</v>
      </c>
      <c r="J160" s="43" t="b">
        <f t="array" ref="J160">NOT(OR(($H$9:$H$1273=TRUE)*($I$9:$I$1273&gt;0)*($BT$9:$BT$1273=BT160)*($K$9:$K$1273&gt;K160)))</f>
        <v>1</v>
      </c>
      <c r="K160" s="72">
        <f t="shared" si="76"/>
        <v>0.90207639201369383</v>
      </c>
      <c r="L160" s="72">
        <f t="shared" si="77"/>
        <v>0.95835283930445536</v>
      </c>
      <c r="M160" s="72">
        <f t="shared" si="78"/>
        <v>0.84579994472293218</v>
      </c>
      <c r="N160" s="72">
        <f t="shared" si="79"/>
        <v>0.87699921631536937</v>
      </c>
      <c r="O160" s="72">
        <f t="shared" si="80"/>
        <v>0.67280702556419081</v>
      </c>
      <c r="P160" s="72">
        <f t="shared" si="81"/>
        <v>0.98759359228923638</v>
      </c>
      <c r="Q160" s="72"/>
      <c r="R160" s="72"/>
      <c r="S160" s="72">
        <f t="shared" si="82"/>
        <v>0.43034265240615222</v>
      </c>
      <c r="T160" s="72">
        <f t="shared" si="83"/>
        <v>0.49000228356196462</v>
      </c>
      <c r="U160" s="72">
        <f t="shared" si="84"/>
        <v>0.71296128390803959</v>
      </c>
      <c r="V160" s="72">
        <f t="shared" si="85"/>
        <v>0.59550534984939218</v>
      </c>
      <c r="W160" s="72">
        <f t="shared" si="86"/>
        <v>0.78758723828514454</v>
      </c>
      <c r="X160" s="72">
        <f t="shared" si="87"/>
        <v>4.1647160695544638E-2</v>
      </c>
      <c r="Y160" s="72">
        <f t="shared" si="88"/>
        <v>0.15420005527706779</v>
      </c>
      <c r="Z160" s="72">
        <f t="shared" si="89"/>
        <v>0.12300078368463059</v>
      </c>
      <c r="AA160" s="72">
        <f t="shared" si="90"/>
        <v>0.32719297443580919</v>
      </c>
      <c r="AB160" s="72">
        <f t="shared" si="91"/>
        <v>1.2406407710763623E-2</v>
      </c>
      <c r="AC160" s="72"/>
      <c r="AD160" s="72"/>
      <c r="AE160" s="72">
        <f t="shared" si="92"/>
        <v>0.56965734759384778</v>
      </c>
      <c r="AF160" s="72">
        <f t="shared" si="93"/>
        <v>0.50999771643803538</v>
      </c>
      <c r="AG160" s="72">
        <f t="shared" si="94"/>
        <v>0.28703871609196041</v>
      </c>
      <c r="AH160" s="72">
        <f t="shared" si="95"/>
        <v>0.40449465015060782</v>
      </c>
      <c r="AI160" s="72">
        <f t="shared" si="96"/>
        <v>0.21241276171485546</v>
      </c>
      <c r="AJ160" s="72">
        <f>(AV160-Driver!$K$179)/(Driver!$L$179-Driver!$K$179)</f>
        <v>0.29586656997824506</v>
      </c>
      <c r="AK160" s="72">
        <f>(AW160-Driver!$K$180)/(Driver!$L$180-Driver!$K$180)</f>
        <v>0.26264958830310647</v>
      </c>
      <c r="AL160" s="72">
        <f>(AX160-Driver!$K$181)/(Driver!$L$181-Driver!$K$181)</f>
        <v>0.22468854739771077</v>
      </c>
      <c r="AM160" s="72">
        <f>(AY160-Driver!$K$182)/(Driver!$L$182-Driver!$K$182)</f>
        <v>0.12019204666123719</v>
      </c>
      <c r="AN160" s="72">
        <f>(AZ160-Driver!$K$183)/(Driver!$L$183-Driver!$K$183)</f>
        <v>0.26662581699346405</v>
      </c>
      <c r="AO160" s="72"/>
      <c r="AP160" s="72"/>
      <c r="AQ160" s="72">
        <f>(BC160-Driver!$K$188)/(Driver!$L$188-Driver!$K$188)</f>
        <v>5.0342652406152162E-2</v>
      </c>
      <c r="AR160" s="72">
        <f>MIN((BD160-Driver!$K$189)/(Driver!$L$189-Driver!$K$189),100%)</f>
        <v>4.0002283561964676E-2</v>
      </c>
      <c r="AS160" s="72">
        <f>(BE160-Driver!$K$190)/(Driver!$L$190-Driver!$K$190)</f>
        <v>0.22296128390803957</v>
      </c>
      <c r="AT160" s="72">
        <f>(BF160-Driver!$K$191)/(Driver!$L$191-Driver!$K$191)</f>
        <v>0.10550534984939219</v>
      </c>
      <c r="AU160" s="72">
        <f>(BG160-Driver!$K$192)/(Driver!$L$192-Driver!$K$192)</f>
        <v>3.7587238285144549E-2</v>
      </c>
      <c r="AV160" s="70">
        <f t="shared" si="97"/>
        <v>6.2271062271062272</v>
      </c>
      <c r="AW160" s="70">
        <f t="shared" si="98"/>
        <v>27.46942231370204</v>
      </c>
      <c r="AX160" s="70">
        <f t="shared" si="99"/>
        <v>3.0221969265793969</v>
      </c>
      <c r="AY160" s="70">
        <f>IFERROR(Driver!$K$19/Data!BH160/Data!BI160*Data!BK160*Data!BL160,"")</f>
        <v>0.14715092695883153</v>
      </c>
      <c r="AZ160" s="70">
        <f t="shared" si="100"/>
        <v>24.300074460163813</v>
      </c>
      <c r="BA160" s="70"/>
      <c r="BB160" s="70"/>
      <c r="BC160" s="70">
        <f t="shared" si="101"/>
        <v>26.113083779512785</v>
      </c>
      <c r="BD160" s="70">
        <f t="shared" si="102"/>
        <v>5.26095409947931</v>
      </c>
      <c r="BE160" s="70">
        <f t="shared" si="103"/>
        <v>0.22309989886904708</v>
      </c>
      <c r="BF160" s="70">
        <f t="shared" si="104"/>
        <v>11.916088048456196</v>
      </c>
      <c r="BG160" s="70">
        <f t="shared" si="105"/>
        <v>0.14232926221335987</v>
      </c>
      <c r="BH160" s="67">
        <f>MAX((CE160-Driver!$F$200)/(Driver!$G$200-Driver!$F$200)*$BI$1,1)</f>
        <v>3.0221969265793969</v>
      </c>
      <c r="BI160" s="67">
        <f>MAX($BI$1*(BY160-Driver!$F$201)/(Driver!$G$201-Driver!$F$201),1)</f>
        <v>6.7721518987341769</v>
      </c>
      <c r="BJ160" s="67">
        <f>(CB160-Driver!$F$206)/(Driver!$G$206-Driver!$F$206)*$BI$1</f>
        <v>5.7142857142857135</v>
      </c>
      <c r="BK160" s="67">
        <f>(CD160-Driver!$F$203)/(Driver!$G$203-Driver!$F$203)*$BI$1</f>
        <v>2.5688073394495414</v>
      </c>
      <c r="BL160" s="67">
        <f>MAX((CR160-Driver!$F$202)/(Driver!$G$202-Driver!$F$202)*$BI$1,1)</f>
        <v>5.8620689655172411</v>
      </c>
      <c r="BM160" s="67">
        <f>MAX((CH160-Driver!$F$204)/(Driver!$G$204-Driver!$F$204)*$BI$1,1)</f>
        <v>4.3589743589743595</v>
      </c>
      <c r="BN160" s="67">
        <f>(CI160-Driver!$F$205)/(Driver!$G$205-Driver!$F$205)*$BI$1</f>
        <v>3.5882352941176472</v>
      </c>
      <c r="BO160" s="67">
        <f>(CK160-Driver!$F$207)/(Driver!$G$207-Driver!$F$207)*$BI$1</f>
        <v>2.295760082730093</v>
      </c>
      <c r="BP160" s="67">
        <f>(CM160-Driver!$F$208)/(Driver!$G$208-Driver!$F$208)*$BI$1</f>
        <v>2.3333333333333335</v>
      </c>
      <c r="BQ160" s="67">
        <f>(CL160-Driver!$F$209)/(Driver!$G$209-Driver!$F$209)*$BI$1</f>
        <v>1.875</v>
      </c>
      <c r="BR160" s="28" t="s">
        <v>155</v>
      </c>
      <c r="BS160" s="8" t="s">
        <v>218</v>
      </c>
      <c r="BT160" s="9" t="s">
        <v>222</v>
      </c>
      <c r="BU160" s="10">
        <v>171</v>
      </c>
      <c r="BV160" s="9" t="s">
        <v>158</v>
      </c>
      <c r="BW160" s="10">
        <v>171</v>
      </c>
      <c r="BX160" s="10">
        <v>169.5</v>
      </c>
      <c r="BY160" s="10">
        <v>115</v>
      </c>
      <c r="BZ160" s="10">
        <v>125</v>
      </c>
      <c r="CA160" s="10">
        <v>129</v>
      </c>
      <c r="CB160" s="10">
        <v>100</v>
      </c>
      <c r="CC160" s="10">
        <v>115</v>
      </c>
      <c r="CD160" s="10">
        <v>15</v>
      </c>
      <c r="CE160" s="10">
        <v>1431</v>
      </c>
      <c r="CF160" s="10">
        <v>1.3</v>
      </c>
      <c r="CG160" s="10">
        <v>1861</v>
      </c>
      <c r="CH160" s="10">
        <v>203</v>
      </c>
      <c r="CI160" s="10">
        <v>94</v>
      </c>
      <c r="CJ160" s="10">
        <v>57</v>
      </c>
      <c r="CK160" s="10">
        <v>332</v>
      </c>
      <c r="CL160" s="10">
        <v>12</v>
      </c>
      <c r="CM160" s="10">
        <v>210</v>
      </c>
      <c r="CN160" s="10">
        <v>0.20899999999999999</v>
      </c>
      <c r="CO160" s="10">
        <v>230</v>
      </c>
      <c r="CP160" s="10">
        <v>213</v>
      </c>
      <c r="CQ160" s="10">
        <v>102</v>
      </c>
      <c r="CR160" s="10">
        <v>6</v>
      </c>
      <c r="CS160" s="10">
        <v>11.9</v>
      </c>
      <c r="CT160" s="9" t="s">
        <v>185</v>
      </c>
      <c r="CU160" s="9" t="s">
        <v>198</v>
      </c>
      <c r="CV160" s="10"/>
      <c r="CW160" s="10"/>
      <c r="CX160" t="str">
        <f>INDEX('Data_Price '!AG$2:AG$1266,MATCH(Data!$DN160,'Data_Price '!$AT$2:$AT$1266,0))</f>
        <v>DPS Pagoda Tour 100 RP Skis Â· 171 cm</v>
      </c>
      <c r="CY160" t="str">
        <f>INDEX('Data_Price '!AH$2:AH$1266,MATCH(Data!$DN160,'Data_Price '!$AT$2:$AT$1266,0))</f>
        <v>Skimo &amp; SkyRun</v>
      </c>
      <c r="CZ160">
        <f>INDEX('Data_Price '!AI$2:AI$1266,MATCH(Data!$DN160,'Data_Price '!$AT$2:$AT$1266,0))</f>
        <v>1029</v>
      </c>
      <c r="DA160" t="str">
        <f>INDEX('Data_Price '!AJ$2:AJ$1266,MATCH(Data!$DN160,'Data_Price '!$AT$2:$AT$1266,0))</f>
        <v>https://tinyurl.com/yb3qg92b</v>
      </c>
      <c r="DB160" t="str">
        <f>INDEX('Data_Price '!AK$2:AK$1266,MATCH(Data!$DN160,'Data_Price '!$AT$2:$AT$1266,0))</f>
        <v>DPS Pagoda Tour 100 RP Skis Â· 171 cm</v>
      </c>
      <c r="DC160" t="str">
        <f>INDEX('Data_Price '!AL$2:AL$1266,MATCH(Data!$DN160,'Data_Price '!$AT$2:$AT$1266,0))</f>
        <v>REI</v>
      </c>
      <c r="DD160">
        <f>INDEX('Data_Price '!AM$2:AM$1266,MATCH(Data!$DN160,'Data_Price '!$AT$2:$AT$1266,0))</f>
        <v>1038.93</v>
      </c>
      <c r="DE160" t="str">
        <f>INDEX('Data_Price '!AN$2:AN$1266,MATCH(Data!$DN160,'Data_Price '!$AT$2:$AT$1266,0))</f>
        <v>https://tinyurl.com/y7upfrkz</v>
      </c>
      <c r="DF160" t="str">
        <f>INDEX('Data_Price '!AO$2:AO$1266,MATCH(Data!$DN160,'Data_Price '!$AT$2:$AT$1266,0))</f>
        <v>DPS Pagoda Tour 100 RP Skis Â· 171 cm</v>
      </c>
      <c r="DG160" t="str">
        <f>INDEX('Data_Price '!AP$2:AP$1266,MATCH(Data!$DN160,'Data_Price '!$AT$2:$AT$1266,0))</f>
        <v>Backcountry.com</v>
      </c>
      <c r="DH160">
        <f>INDEX('Data_Price '!AQ$2:AQ$1266,MATCH(Data!$DN160,'Data_Price '!$AT$2:$AT$1266,0))</f>
        <v>1039.2</v>
      </c>
      <c r="DI160" t="str">
        <f>INDEX('Data_Price '!AR$2:AR$1266,MATCH(Data!$DN160,'Data_Price '!$AT$2:$AT$1266,0))</f>
        <v>https://tinyurl.com/yct3fwa9</v>
      </c>
      <c r="DJ160" s="89" t="str">
        <f t="shared" si="106"/>
        <v>https://tinyurl.com/yb3qg92b</v>
      </c>
      <c r="DK160" s="89" t="str">
        <f t="shared" si="107"/>
        <v>https://tinyurl.com/y7upfrkz</v>
      </c>
      <c r="DL160" s="89" t="str">
        <f t="shared" si="108"/>
        <v>https://tinyurl.com/yct3fwa9</v>
      </c>
      <c r="DM160" s="219" t="str">
        <f t="shared" si="109"/>
        <v>Pagoda Tour 100 RP</v>
      </c>
      <c r="DN160" s="89" t="str">
        <f t="shared" si="110"/>
        <v xml:space="preserve"> DPSPagoda Tour 100 RP171 Unisex</v>
      </c>
      <c r="DO160" s="221" t="s">
        <v>223</v>
      </c>
    </row>
    <row r="161" spans="2:119" ht="15.6" customHeight="1">
      <c r="B161" s="219" t="b">
        <f t="array" ref="B161">IF(OR(ISERROR(K161:P161)),FALSE,TRUE)</f>
        <v>1</v>
      </c>
      <c r="C161" s="43" t="b">
        <f>OR(BR161=Driver!$G$50,Data!BR985=Driver!$H$50)</f>
        <v>1</v>
      </c>
      <c r="D161" s="43" t="b">
        <f>OR(BV161=Driver!$G$51,BV161=Driver!$H$51)</f>
        <v>1</v>
      </c>
      <c r="E161" s="43" t="b">
        <f>AND(BX161&gt;Driver!$F$54,BX161&lt;Driver!$G$54)</f>
        <v>0</v>
      </c>
      <c r="F161" s="43" t="b">
        <f>CL161&gt;Driver!$F$56</f>
        <v>1</v>
      </c>
      <c r="G161" s="43" t="b">
        <f>AND(CB161&gt;Driver!$F$55,CB161&lt;Driver!$G$55)</f>
        <v>1</v>
      </c>
      <c r="H161" s="43" t="b">
        <f t="shared" si="74"/>
        <v>0</v>
      </c>
      <c r="I161" s="43">
        <f t="shared" si="75"/>
        <v>0</v>
      </c>
      <c r="J161" s="43" t="b">
        <f t="array" ref="J161">NOT(OR(($H$9:$H$1273=TRUE)*($I$9:$I$1273&gt;0)*($BT$9:$BT$1273=BT161)*($K$9:$K$1273&gt;K161)))</f>
        <v>1</v>
      </c>
      <c r="K161" s="72">
        <f t="shared" si="76"/>
        <v>0.83595822279842347</v>
      </c>
      <c r="L161" s="72">
        <f t="shared" si="77"/>
        <v>0.92330328648840498</v>
      </c>
      <c r="M161" s="72">
        <f t="shared" si="78"/>
        <v>0.74861315910844195</v>
      </c>
      <c r="N161" s="72">
        <f t="shared" si="79"/>
        <v>0.64807364874438356</v>
      </c>
      <c r="O161" s="72">
        <f t="shared" si="80"/>
        <v>0.62512321668386284</v>
      </c>
      <c r="P161" s="72">
        <f t="shared" si="81"/>
        <v>0.97264261189707946</v>
      </c>
      <c r="Q161" s="72"/>
      <c r="R161" s="72"/>
      <c r="S161" s="72">
        <f t="shared" si="82"/>
        <v>0.43618810315148371</v>
      </c>
      <c r="T161" s="72">
        <f t="shared" si="83"/>
        <v>0.52935307555248934</v>
      </c>
      <c r="U161" s="72">
        <f t="shared" si="84"/>
        <v>0.66620703670446468</v>
      </c>
      <c r="V161" s="72">
        <f t="shared" si="85"/>
        <v>0.57040115508275901</v>
      </c>
      <c r="W161" s="72">
        <f t="shared" si="86"/>
        <v>0.77053811930631633</v>
      </c>
      <c r="X161" s="72">
        <f t="shared" si="87"/>
        <v>7.6696713511594961E-2</v>
      </c>
      <c r="Y161" s="72">
        <f t="shared" si="88"/>
        <v>0.25138684089155805</v>
      </c>
      <c r="Z161" s="72">
        <f t="shared" si="89"/>
        <v>0.35192635125561644</v>
      </c>
      <c r="AA161" s="72">
        <f t="shared" si="90"/>
        <v>0.37487678331613716</v>
      </c>
      <c r="AB161" s="72">
        <f t="shared" si="91"/>
        <v>2.7357388102920488E-2</v>
      </c>
      <c r="AC161" s="72"/>
      <c r="AD161" s="72"/>
      <c r="AE161" s="72">
        <f t="shared" si="92"/>
        <v>0.56381189684851629</v>
      </c>
      <c r="AF161" s="72">
        <f t="shared" si="93"/>
        <v>0.47064692444751061</v>
      </c>
      <c r="AG161" s="72">
        <f t="shared" si="94"/>
        <v>0.33379296329553532</v>
      </c>
      <c r="AH161" s="72">
        <f t="shared" si="95"/>
        <v>0.42959884491724099</v>
      </c>
      <c r="AI161" s="72">
        <f t="shared" si="96"/>
        <v>0.22946188069368362</v>
      </c>
      <c r="AJ161" s="72">
        <f>(AV161-Driver!$K$179)/(Driver!$L$179-Driver!$K$179)</f>
        <v>0.33091612279429539</v>
      </c>
      <c r="AK161" s="72">
        <f>(AW161-Driver!$K$180)/(Driver!$L$180-Driver!$K$180)</f>
        <v>0.29717258462423052</v>
      </c>
      <c r="AL161" s="72">
        <f>(AX161-Driver!$K$181)/(Driver!$L$181-Driver!$K$181)</f>
        <v>0.45361411496869664</v>
      </c>
      <c r="AM161" s="72">
        <f>(AY161-Driver!$K$182)/(Driver!$L$182-Driver!$K$182)</f>
        <v>7.2508237780909188E-2</v>
      </c>
      <c r="AN161" s="72">
        <f>(AZ161-Driver!$K$183)/(Driver!$L$183-Driver!$K$183)</f>
        <v>0.28157679738562091</v>
      </c>
      <c r="AO161" s="72"/>
      <c r="AP161" s="72"/>
      <c r="AQ161" s="72">
        <f>(BC161-Driver!$K$188)/(Driver!$L$188-Driver!$K$188)</f>
        <v>5.6188103151483676E-2</v>
      </c>
      <c r="AR161" s="72">
        <f>MIN((BD161-Driver!$K$189)/(Driver!$L$189-Driver!$K$189),100%)</f>
        <v>7.9353075552489424E-2</v>
      </c>
      <c r="AS161" s="72">
        <f>(BE161-Driver!$K$190)/(Driver!$L$190-Driver!$K$190)</f>
        <v>0.17620703670446472</v>
      </c>
      <c r="AT161" s="72">
        <f>(BF161-Driver!$K$191)/(Driver!$L$191-Driver!$K$191)</f>
        <v>8.0401155082759038E-2</v>
      </c>
      <c r="AU161" s="72">
        <f>(BG161-Driver!$K$192)/(Driver!$L$192-Driver!$K$192)</f>
        <v>2.0538119306316393E-2</v>
      </c>
      <c r="AV161" s="70">
        <f t="shared" si="97"/>
        <v>6.9647944647944655</v>
      </c>
      <c r="AW161" s="70">
        <f t="shared" si="98"/>
        <v>30.833994210062201</v>
      </c>
      <c r="AX161" s="70">
        <f t="shared" si="99"/>
        <v>5.0825270347182698</v>
      </c>
      <c r="AY161" s="70">
        <f>IFERROR(Driver!$K$19/Data!BH161/Data!BI161*Data!BK161*Data!BL161,"")</f>
        <v>8.8771717413921009E-2</v>
      </c>
      <c r="AZ161" s="70">
        <f t="shared" si="100"/>
        <v>25.66269545793001</v>
      </c>
      <c r="BA161" s="70"/>
      <c r="BB161" s="70"/>
      <c r="BC161" s="70">
        <f t="shared" si="101"/>
        <v>29.145159718030545</v>
      </c>
      <c r="BD161" s="70">
        <f t="shared" si="102"/>
        <v>8.7434294651632172</v>
      </c>
      <c r="BE161" s="70">
        <f t="shared" si="103"/>
        <v>0.17635399209693187</v>
      </c>
      <c r="BF161" s="70">
        <f t="shared" si="104"/>
        <v>9.080745616514891</v>
      </c>
      <c r="BG161" s="70">
        <f t="shared" si="105"/>
        <v>7.7770421597409281E-2</v>
      </c>
      <c r="BH161" s="67">
        <f>MAX((CE161-Driver!$F$200)/(Driver!$G$200-Driver!$F$200)*$BI$1,1)</f>
        <v>5.0825270347182698</v>
      </c>
      <c r="BI161" s="67">
        <f>MAX($BI$1*(BY161-Driver!$F$201)/(Driver!$G$201-Driver!$F$201),1)</f>
        <v>7.1518987341772151</v>
      </c>
      <c r="BJ161" s="67">
        <f>(CB161-Driver!$F$206)/(Driver!$G$206-Driver!$F$206)*$BI$1</f>
        <v>5.8730158730158735</v>
      </c>
      <c r="BK161" s="67">
        <f>(CD161-Driver!$F$203)/(Driver!$G$203-Driver!$F$203)*$BI$1</f>
        <v>2.7522935779816518</v>
      </c>
      <c r="BL161" s="67">
        <f>MAX((CR161-Driver!$F$202)/(Driver!$G$202-Driver!$F$202)*$BI$1,1)</f>
        <v>5.8620689655172411</v>
      </c>
      <c r="BM161" s="67">
        <f>MAX((CH161-Driver!$F$204)/(Driver!$G$204-Driver!$F$204)*$BI$1,1)</f>
        <v>4.7435897435897436</v>
      </c>
      <c r="BN161" s="67">
        <f>(CI161-Driver!$F$205)/(Driver!$G$205-Driver!$F$205)*$BI$1</f>
        <v>3.5882352941176472</v>
      </c>
      <c r="BO161" s="67">
        <f>(CK161-Driver!$F$207)/(Driver!$G$207-Driver!$F$207)*$BI$1</f>
        <v>1.9441571871768357</v>
      </c>
      <c r="BP161" s="67">
        <f>(CM161-Driver!$F$208)/(Driver!$G$208-Driver!$F$208)*$BI$1</f>
        <v>2.1888888888888887</v>
      </c>
      <c r="BQ161" s="67">
        <f>(CL161-Driver!$F$209)/(Driver!$G$209-Driver!$F$209)*$BI$1</f>
        <v>1.875</v>
      </c>
      <c r="BR161" s="28" t="s">
        <v>155</v>
      </c>
      <c r="BS161" s="8" t="s">
        <v>172</v>
      </c>
      <c r="BT161" s="9" t="s">
        <v>388</v>
      </c>
      <c r="BU161" s="10">
        <v>172</v>
      </c>
      <c r="BV161" s="9" t="s">
        <v>158</v>
      </c>
      <c r="BW161" s="10">
        <v>172</v>
      </c>
      <c r="BX161" s="10">
        <v>170.6</v>
      </c>
      <c r="BY161" s="10">
        <v>121</v>
      </c>
      <c r="BZ161" s="10">
        <v>145</v>
      </c>
      <c r="CA161" s="10">
        <v>136</v>
      </c>
      <c r="CB161" s="10">
        <v>101</v>
      </c>
      <c r="CC161" s="10">
        <v>127</v>
      </c>
      <c r="CD161" s="10">
        <v>15.4</v>
      </c>
      <c r="CE161" s="10">
        <v>1793</v>
      </c>
      <c r="CF161" s="10">
        <v>1.08</v>
      </c>
      <c r="CG161" s="10">
        <v>1935</v>
      </c>
      <c r="CH161" s="10">
        <v>212</v>
      </c>
      <c r="CI161" s="10">
        <v>94</v>
      </c>
      <c r="CJ161" s="10">
        <v>48</v>
      </c>
      <c r="CK161" s="10">
        <v>298</v>
      </c>
      <c r="CL161" s="10">
        <v>12</v>
      </c>
      <c r="CM161" s="10">
        <v>197</v>
      </c>
      <c r="CN161" s="10">
        <v>0.251</v>
      </c>
      <c r="CO161" s="10">
        <v>146</v>
      </c>
      <c r="CP161" s="10">
        <v>109</v>
      </c>
      <c r="CQ161" s="10">
        <v>153</v>
      </c>
      <c r="CR161" s="10">
        <v>6</v>
      </c>
      <c r="CS161" s="10">
        <v>6.5</v>
      </c>
      <c r="CT161" s="9" t="s">
        <v>188</v>
      </c>
      <c r="CU161" s="9" t="s">
        <v>178</v>
      </c>
      <c r="CV161" s="9" t="s">
        <v>185</v>
      </c>
      <c r="CW161" s="10"/>
      <c r="CX161" t="str">
        <f>INDEX('Data_Price '!AG$2:AG$1266,MATCH(Data!$DN161,'Data_Price '!$AT$2:$AT$1266,0))</f>
        <v>Rossignol BlackOps Sender Skis - Unisex</v>
      </c>
      <c r="CY161" t="str">
        <f>INDEX('Data_Price '!AH$2:AH$1266,MATCH(Data!$DN161,'Data_Price '!$AT$2:$AT$1266,0))</f>
        <v>Level Nine Sports</v>
      </c>
      <c r="CZ161">
        <f>INDEX('Data_Price '!AI$2:AI$1266,MATCH(Data!$DN161,'Data_Price '!$AT$2:$AT$1266,0))</f>
        <v>559.96</v>
      </c>
      <c r="DA161" t="str">
        <f>INDEX('Data_Price '!AJ$2:AJ$1266,MATCH(Data!$DN161,'Data_Price '!$AT$2:$AT$1266,0))</f>
        <v>https://tinyurl.com/yb5dzsv4</v>
      </c>
      <c r="DB161" t="str">
        <f>INDEX('Data_Price '!AK$2:AK$1266,MATCH(Data!$DN161,'Data_Price '!$AT$2:$AT$1266,0))</f>
        <v>Rossignol Blackops Sender Skis Mens 2022</v>
      </c>
      <c r="DC161" t="str">
        <f>INDEX('Data_Price '!AL$2:AL$1266,MATCH(Data!$DN161,'Data_Price '!$AT$2:$AT$1266,0))</f>
        <v>BlueZone Sports</v>
      </c>
      <c r="DD161">
        <f>INDEX('Data_Price '!AM$2:AM$1266,MATCH(Data!$DN161,'Data_Price '!$AT$2:$AT$1266,0))</f>
        <v>559.99</v>
      </c>
      <c r="DE161" t="str">
        <f>INDEX('Data_Price '!AN$2:AN$1266,MATCH(Data!$DN161,'Data_Price '!$AT$2:$AT$1266,0))</f>
        <v>https://tinyurl.com/y882y5h5</v>
      </c>
      <c r="DF161" t="str">
        <f>INDEX('Data_Price '!AO$2:AO$1266,MATCH(Data!$DN161,'Data_Price '!$AT$2:$AT$1266,0))</f>
        <v>Rossignol Blackops Sender with Look SPX 12 GW Grey/Organic 172cm</v>
      </c>
      <c r="DG161" t="str">
        <f>INDEX('Data_Price '!AP$2:AP$1266,MATCH(Data!$DN161,'Data_Price '!$AT$2:$AT$1266,0))</f>
        <v>Sundance Ski and Board Shop</v>
      </c>
      <c r="DH161">
        <f>INDEX('Data_Price '!AQ$2:AQ$1266,MATCH(Data!$DN161,'Data_Price '!$AT$2:$AT$1266,0))</f>
        <v>641.59</v>
      </c>
      <c r="DI161" t="str">
        <f>INDEX('Data_Price '!AR$2:AR$1266,MATCH(Data!$DN161,'Data_Price '!$AT$2:$AT$1266,0))</f>
        <v>https://tinyurl.com/ydcr82b5</v>
      </c>
      <c r="DJ161" s="89" t="str">
        <f t="shared" si="106"/>
        <v>https://tinyurl.com/yb5dzsv4</v>
      </c>
      <c r="DK161" s="89" t="str">
        <f t="shared" si="107"/>
        <v>https://tinyurl.com/y882y5h5</v>
      </c>
      <c r="DL161" s="89" t="str">
        <f t="shared" si="108"/>
        <v>https://tinyurl.com/ydcr82b5</v>
      </c>
      <c r="DM161" s="219" t="str">
        <f t="shared" si="109"/>
        <v>Blackops Sender</v>
      </c>
      <c r="DN161" s="89" t="str">
        <f t="shared" si="110"/>
        <v xml:space="preserve"> RossignolBlackops Sender172 Unisex</v>
      </c>
      <c r="DO161" s="221"/>
    </row>
    <row r="162" spans="2:119" ht="15.6" customHeight="1">
      <c r="B162" s="219" t="b">
        <f t="array" ref="B162">IF(OR(ISERROR(K162:P162)),FALSE,TRUE)</f>
        <v>1</v>
      </c>
      <c r="C162" s="43" t="b">
        <f>OR(BR162=Driver!$G$50,Data!BR128=Driver!$H$50)</f>
        <v>1</v>
      </c>
      <c r="D162" s="43" t="b">
        <f>OR(BV162=Driver!$G$51,BV162=Driver!$H$51)</f>
        <v>1</v>
      </c>
      <c r="E162" s="43" t="b">
        <f>AND(BX162&gt;Driver!$F$54,BX162&lt;Driver!$G$54)</f>
        <v>0</v>
      </c>
      <c r="F162" s="43" t="b">
        <f>CL162&gt;Driver!$F$56</f>
        <v>1</v>
      </c>
      <c r="G162" s="43" t="b">
        <f>AND(CB162&gt;Driver!$F$55,CB162&lt;Driver!$G$55)</f>
        <v>0</v>
      </c>
      <c r="H162" s="43" t="b">
        <f t="shared" si="74"/>
        <v>0</v>
      </c>
      <c r="I162" s="43">
        <f t="shared" si="75"/>
        <v>0</v>
      </c>
      <c r="J162" s="43" t="b">
        <f t="array" ref="J162">NOT(OR(($H$9:$H$1273=TRUE)*($I$9:$I$1273&gt;0)*($BT$9:$BT$1273=BT162)*($K$9:$K$1273&gt;K162)))</f>
        <v>1</v>
      </c>
      <c r="K162" s="72">
        <f t="shared" si="76"/>
        <v>0.91963949868814832</v>
      </c>
      <c r="L162" s="72">
        <f t="shared" si="77"/>
        <v>0.99017944473512176</v>
      </c>
      <c r="M162" s="72">
        <f t="shared" si="78"/>
        <v>0.84909955264117487</v>
      </c>
      <c r="N162" s="72">
        <f t="shared" si="79"/>
        <v>0.88648508237494072</v>
      </c>
      <c r="O162" s="72">
        <f t="shared" si="80"/>
        <v>0.7150908982920271</v>
      </c>
      <c r="P162" s="72">
        <f t="shared" si="81"/>
        <v>0.94572267725655657</v>
      </c>
      <c r="Q162" s="72"/>
      <c r="R162" s="72"/>
      <c r="S162" s="72">
        <f t="shared" si="82"/>
        <v>0.48198383958789781</v>
      </c>
      <c r="T162" s="72">
        <f t="shared" si="83"/>
        <v>0.48111134742070116</v>
      </c>
      <c r="U162" s="72">
        <f t="shared" si="84"/>
        <v>0.78802452788753041</v>
      </c>
      <c r="V162" s="72">
        <f t="shared" si="85"/>
        <v>0.51468736217242128</v>
      </c>
      <c r="W162" s="72">
        <f t="shared" si="86"/>
        <v>0.77909549289977365</v>
      </c>
      <c r="X162" s="72">
        <f t="shared" si="87"/>
        <v>9.820555264878239E-3</v>
      </c>
      <c r="Y162" s="72">
        <f t="shared" si="88"/>
        <v>0.15090044735882518</v>
      </c>
      <c r="Z162" s="72">
        <f t="shared" si="89"/>
        <v>0.11351491762505929</v>
      </c>
      <c r="AA162" s="72">
        <f t="shared" si="90"/>
        <v>0.2849091017079729</v>
      </c>
      <c r="AB162" s="72">
        <f t="shared" si="91"/>
        <v>5.4277322743443379E-2</v>
      </c>
      <c r="AC162" s="72"/>
      <c r="AD162" s="72"/>
      <c r="AE162" s="72">
        <f t="shared" si="92"/>
        <v>0.51801616041210219</v>
      </c>
      <c r="AF162" s="72">
        <f t="shared" si="93"/>
        <v>0.51888865257929884</v>
      </c>
      <c r="AG162" s="72">
        <f t="shared" si="94"/>
        <v>0.21197547211246959</v>
      </c>
      <c r="AH162" s="72">
        <f t="shared" si="95"/>
        <v>0.48531263782757877</v>
      </c>
      <c r="AI162" s="72">
        <f t="shared" si="96"/>
        <v>0.22090450710022638</v>
      </c>
      <c r="AJ162" s="72">
        <f>(AV162-Driver!$K$179)/(Driver!$L$179-Driver!$K$179)</f>
        <v>0.26403996454757866</v>
      </c>
      <c r="AK162" s="72">
        <f>(AW162-Driver!$K$180)/(Driver!$L$180-Driver!$K$180)</f>
        <v>0.30146061730931151</v>
      </c>
      <c r="AL162" s="72">
        <f>(AX162-Driver!$K$181)/(Driver!$L$181-Driver!$K$181)</f>
        <v>0.21520268133813947</v>
      </c>
      <c r="AM162" s="72">
        <f>(AY162-Driver!$K$182)/(Driver!$L$182-Driver!$K$182)</f>
        <v>0.16247591938907344</v>
      </c>
      <c r="AN162" s="72">
        <f>(AZ162-Driver!$K$183)/(Driver!$L$183-Driver!$K$183)</f>
        <v>0.30849673202614381</v>
      </c>
      <c r="AO162" s="72"/>
      <c r="AP162" s="72"/>
      <c r="AQ162" s="72">
        <f>(BC162-Driver!$K$188)/(Driver!$L$188-Driver!$K$188)</f>
        <v>0.10198383958789778</v>
      </c>
      <c r="AR162" s="72">
        <f>MIN((BD162-Driver!$K$189)/(Driver!$L$189-Driver!$K$189),100%)</f>
        <v>3.1111347420701225E-2</v>
      </c>
      <c r="AS162" s="72">
        <f>(BE162-Driver!$K$190)/(Driver!$L$190-Driver!$K$190)</f>
        <v>0.7219754721124696</v>
      </c>
      <c r="AT162" s="72">
        <f>(BF162-Driver!$K$191)/(Driver!$L$191-Driver!$K$191)</f>
        <v>2.4687362172421245E-2</v>
      </c>
      <c r="AU162" s="72">
        <f>(BG162-Driver!$K$192)/(Driver!$L$192-Driver!$K$192)</f>
        <v>2.9095492899773621E-2</v>
      </c>
      <c r="AV162" s="70">
        <f t="shared" si="97"/>
        <v>5.5572513905847227</v>
      </c>
      <c r="AW162" s="70">
        <f t="shared" si="98"/>
        <v>31.251900991058189</v>
      </c>
      <c r="AX162" s="70">
        <f t="shared" si="99"/>
        <v>2.9368241320432551</v>
      </c>
      <c r="AY162" s="70">
        <f>IFERROR(Driver!$K$19/Data!BH162/Data!BI162*Data!BK162*Data!BL162,"")</f>
        <v>0.19891900346764962</v>
      </c>
      <c r="AZ162" s="70">
        <f t="shared" si="100"/>
        <v>28.116157855547286</v>
      </c>
      <c r="BA162" s="70"/>
      <c r="BB162" s="70"/>
      <c r="BC162" s="70">
        <f t="shared" si="101"/>
        <v>52.899726574393199</v>
      </c>
      <c r="BD162" s="70">
        <f t="shared" si="102"/>
        <v>4.4741220047841352</v>
      </c>
      <c r="BE162" s="70">
        <f t="shared" si="103"/>
        <v>0.72202506855894533</v>
      </c>
      <c r="BF162" s="70">
        <f t="shared" si="104"/>
        <v>2.7882641188397814</v>
      </c>
      <c r="BG162" s="70">
        <f t="shared" si="105"/>
        <v>0.11017409703642728</v>
      </c>
      <c r="BH162" s="67">
        <f>MAX((CE162-Driver!$F$200)/(Driver!$G$200-Driver!$F$200)*$BI$1,1)</f>
        <v>2.9368241320432551</v>
      </c>
      <c r="BI162" s="67">
        <f>MAX($BI$1*(BY162-Driver!$F$201)/(Driver!$G$201-Driver!$F$201),1)</f>
        <v>8.1012658227848107</v>
      </c>
      <c r="BJ162" s="67">
        <f>(CB162-Driver!$F$206)/(Driver!$G$206-Driver!$F$206)*$BI$1</f>
        <v>4.6031746031746028</v>
      </c>
      <c r="BK162" s="67">
        <f>(CD162-Driver!$F$203)/(Driver!$G$203-Driver!$F$203)*$BI$1</f>
        <v>4.0366972477064227</v>
      </c>
      <c r="BL162" s="67">
        <f>MAX((CR162-Driver!$F$202)/(Driver!$G$202-Driver!$F$202)*$BI$1,1)</f>
        <v>5.8620689655172411</v>
      </c>
      <c r="BM162" s="67">
        <f>MAX((CH162-Driver!$F$204)/(Driver!$G$204-Driver!$F$204)*$BI$1,1)</f>
        <v>4.8290598290598288</v>
      </c>
      <c r="BN162" s="67">
        <f>(CI162-Driver!$F$205)/(Driver!$G$205-Driver!$F$205)*$BI$1</f>
        <v>3.4705882352941178</v>
      </c>
      <c r="BO162" s="67">
        <f>(CK162-Driver!$F$207)/(Driver!$G$207-Driver!$F$207)*$BI$1</f>
        <v>1.3753877973112718</v>
      </c>
      <c r="BP162" s="67">
        <f>(CM162-Driver!$F$208)/(Driver!$G$208-Driver!$F$208)*$BI$1</f>
        <v>1.7777777777777779</v>
      </c>
      <c r="BQ162" s="67">
        <f>(CL162-Driver!$F$209)/(Driver!$G$209-Driver!$F$209)*$BI$1</f>
        <v>1.5625</v>
      </c>
      <c r="BR162" s="28" t="s">
        <v>155</v>
      </c>
      <c r="BS162" s="8" t="s">
        <v>156</v>
      </c>
      <c r="BT162" s="9" t="s">
        <v>389</v>
      </c>
      <c r="BU162" s="10">
        <v>177</v>
      </c>
      <c r="BV162" s="9" t="s">
        <v>158</v>
      </c>
      <c r="BW162" s="10">
        <v>177</v>
      </c>
      <c r="BX162" s="10">
        <v>176</v>
      </c>
      <c r="BY162" s="10">
        <v>136</v>
      </c>
      <c r="BZ162" s="10">
        <v>146</v>
      </c>
      <c r="CA162" s="10">
        <v>126</v>
      </c>
      <c r="CB162" s="10">
        <v>93</v>
      </c>
      <c r="CC162" s="10">
        <v>115</v>
      </c>
      <c r="CD162" s="10">
        <v>18.2</v>
      </c>
      <c r="CE162" s="10">
        <v>1416</v>
      </c>
      <c r="CF162" s="10">
        <v>1.29</v>
      </c>
      <c r="CG162" s="10">
        <v>1830</v>
      </c>
      <c r="CH162" s="10">
        <v>214</v>
      </c>
      <c r="CI162" s="10">
        <v>92</v>
      </c>
      <c r="CJ162" s="10">
        <v>50</v>
      </c>
      <c r="CK162" s="10">
        <v>243</v>
      </c>
      <c r="CL162" s="10">
        <v>10</v>
      </c>
      <c r="CM162" s="10">
        <v>160</v>
      </c>
      <c r="CN162" s="10">
        <v>0.20899999999999999</v>
      </c>
      <c r="CO162" s="10">
        <v>174</v>
      </c>
      <c r="CP162" s="10">
        <v>123</v>
      </c>
      <c r="CQ162" s="10">
        <v>69</v>
      </c>
      <c r="CR162" s="10">
        <v>6</v>
      </c>
      <c r="CS162" s="10">
        <v>11.1</v>
      </c>
      <c r="CT162" s="9" t="s">
        <v>185</v>
      </c>
      <c r="CU162" s="9" t="s">
        <v>198</v>
      </c>
      <c r="CV162" s="10"/>
      <c r="CW162" s="10"/>
      <c r="CX162" t="str">
        <f>INDEX('Data_Price '!AG$2:AG$1266,MATCH(Data!$DN162,'Data_Price '!$AT$2:$AT$1266,0))</f>
        <v>Atomic Backland 95</v>
      </c>
      <c r="CY162" t="str">
        <f>INDEX('Data_Price '!AH$2:AH$1266,MATCH(Data!$DN162,'Data_Price '!$AT$2:$AT$1266,0))</f>
        <v>eBay - fun-sport-vision-shop</v>
      </c>
      <c r="CZ162">
        <f>INDEX('Data_Price '!AI$2:AI$1266,MATCH(Data!$DN162,'Data_Price '!$AT$2:$AT$1266,0))</f>
        <v>534.13</v>
      </c>
      <c r="DA162" t="str">
        <f>INDEX('Data_Price '!AJ$2:AJ$1266,MATCH(Data!$DN162,'Data_Price '!$AT$2:$AT$1266,0))</f>
        <v>https://tinyurl.com/y96pxv7x</v>
      </c>
      <c r="DB162" t="str">
        <f>INDEX('Data_Price '!AK$2:AK$1266,MATCH(Data!$DN162,'Data_Price '!$AT$2:$AT$1266,0))</f>
        <v>Atomic Backland 95</v>
      </c>
      <c r="DC162" t="str">
        <f>INDEX('Data_Price '!AL$2:AL$1266,MATCH(Data!$DN162,'Data_Price '!$AT$2:$AT$1266,0))</f>
        <v>Stowesports.com</v>
      </c>
      <c r="DD162">
        <f>INDEX('Data_Price '!AM$2:AM$1266,MATCH(Data!$DN162,'Data_Price '!$AT$2:$AT$1266,0))</f>
        <v>698</v>
      </c>
      <c r="DE162" t="str">
        <f>INDEX('Data_Price '!AN$2:AN$1266,MATCH(Data!$DN162,'Data_Price '!$AT$2:$AT$1266,0))</f>
        <v>https://tinyurl.com/yc8unnwe</v>
      </c>
      <c r="DF162" t="str">
        <f>INDEX('Data_Price '!AO$2:AO$1266,MATCH(Data!$DN162,'Data_Price '!$AT$2:$AT$1266,0))</f>
        <v>Atomic Backland 95</v>
      </c>
      <c r="DG162" t="str">
        <f>INDEX('Data_Price '!AP$2:AP$1266,MATCH(Data!$DN162,'Data_Price '!$AT$2:$AT$1266,0))</f>
        <v>Alaska Mountaineering &amp; Hiking</v>
      </c>
      <c r="DH162">
        <f>INDEX('Data_Price '!AQ$2:AQ$1266,MATCH(Data!$DN162,'Data_Price '!$AT$2:$AT$1266,0))</f>
        <v>699.99</v>
      </c>
      <c r="DI162" t="str">
        <f>INDEX('Data_Price '!AR$2:AR$1266,MATCH(Data!$DN162,'Data_Price '!$AT$2:$AT$1266,0))</f>
        <v>https://tinyurl.com/yang2kv8</v>
      </c>
      <c r="DJ162" s="89" t="str">
        <f t="shared" si="106"/>
        <v>https://tinyurl.com/y96pxv7x</v>
      </c>
      <c r="DK162" s="89" t="str">
        <f t="shared" si="107"/>
        <v>https://tinyurl.com/yc8unnwe</v>
      </c>
      <c r="DL162" s="89" t="str">
        <f t="shared" si="108"/>
        <v>https://tinyurl.com/yang2kv8</v>
      </c>
      <c r="DM162" s="219" t="str">
        <f t="shared" si="109"/>
        <v>Backland 95</v>
      </c>
      <c r="DN162" s="89" t="str">
        <f t="shared" si="110"/>
        <v xml:space="preserve"> AtomicBackland 95177 Unisex</v>
      </c>
      <c r="DO162" s="221" t="s">
        <v>390</v>
      </c>
    </row>
    <row r="163" spans="2:119" ht="15.6" customHeight="1">
      <c r="B163" s="219" t="b">
        <f t="array" ref="B163">IF(OR(ISERROR(K163:P163)),FALSE,TRUE)</f>
        <v>1</v>
      </c>
      <c r="C163" s="43" t="b">
        <f>OR(BR163=Driver!$G$50,Data!BR358=Driver!$H$50)</f>
        <v>1</v>
      </c>
      <c r="D163" s="43" t="b">
        <f>OR(BV163=Driver!$G$51,BV163=Driver!$H$51)</f>
        <v>1</v>
      </c>
      <c r="E163" s="43" t="b">
        <f>AND(BX163&gt;Driver!$F$54,BX163&lt;Driver!$G$54)</f>
        <v>0</v>
      </c>
      <c r="F163" s="43" t="b">
        <f>CL163&gt;Driver!$F$56</f>
        <v>1</v>
      </c>
      <c r="G163" s="43" t="b">
        <f>AND(CB163&gt;Driver!$F$55,CB163&lt;Driver!$G$55)</f>
        <v>0</v>
      </c>
      <c r="H163" s="43" t="b">
        <f t="shared" si="74"/>
        <v>0</v>
      </c>
      <c r="I163" s="43">
        <f t="shared" si="75"/>
        <v>0</v>
      </c>
      <c r="J163" s="43" t="b">
        <f t="array" ref="J163">NOT(OR(($H$9:$H$1273=TRUE)*($I$9:$I$1273&gt;0)*($BT$9:$BT$1273=BT163)*($K$9:$K$1273&gt;K163)))</f>
        <v>1</v>
      </c>
      <c r="K163" s="72">
        <f t="shared" si="76"/>
        <v>0.78992943585612985</v>
      </c>
      <c r="L163" s="72">
        <f t="shared" si="77"/>
        <v>0.82274732806442641</v>
      </c>
      <c r="M163" s="72">
        <f t="shared" si="78"/>
        <v>0.75711154364783328</v>
      </c>
      <c r="N163" s="72">
        <f t="shared" si="79"/>
        <v>0.7859349021434856</v>
      </c>
      <c r="O163" s="72">
        <f t="shared" si="80"/>
        <v>0.6429450253996668</v>
      </c>
      <c r="P163" s="72">
        <f t="shared" si="81"/>
        <v>0.84245470340034756</v>
      </c>
      <c r="Q163" s="72"/>
      <c r="R163" s="72"/>
      <c r="S163" s="72">
        <f t="shared" si="82"/>
        <v>0.45884973555455433</v>
      </c>
      <c r="T163" s="72">
        <f t="shared" si="83"/>
        <v>0.54714625136080808</v>
      </c>
      <c r="U163" s="72">
        <f t="shared" si="84"/>
        <v>0.58560583378034758</v>
      </c>
      <c r="V163" s="72">
        <f t="shared" si="85"/>
        <v>0.6375737159054562</v>
      </c>
      <c r="W163" s="72">
        <f t="shared" si="86"/>
        <v>0.7762832244008715</v>
      </c>
      <c r="X163" s="72">
        <f t="shared" si="87"/>
        <v>0.17725267193557365</v>
      </c>
      <c r="Y163" s="72">
        <f t="shared" si="88"/>
        <v>0.24288845635216672</v>
      </c>
      <c r="Z163" s="72">
        <f t="shared" si="89"/>
        <v>0.21406509785651445</v>
      </c>
      <c r="AA163" s="72">
        <f t="shared" si="90"/>
        <v>0.3570549746003332</v>
      </c>
      <c r="AB163" s="72">
        <f t="shared" si="91"/>
        <v>0.1575452965996525</v>
      </c>
      <c r="AC163" s="72"/>
      <c r="AD163" s="72"/>
      <c r="AE163" s="72">
        <f t="shared" si="92"/>
        <v>0.54115026444544567</v>
      </c>
      <c r="AF163" s="72">
        <f t="shared" si="93"/>
        <v>0.45285374863919187</v>
      </c>
      <c r="AG163" s="72">
        <f t="shared" si="94"/>
        <v>0.41439416621965236</v>
      </c>
      <c r="AH163" s="72">
        <f t="shared" si="95"/>
        <v>0.36242628409454386</v>
      </c>
      <c r="AI163" s="72">
        <f t="shared" si="96"/>
        <v>0.22371677559912853</v>
      </c>
      <c r="AJ163" s="72">
        <f>(AV163-Driver!$K$179)/(Driver!$L$179-Driver!$K$179)</f>
        <v>0.43147208121827407</v>
      </c>
      <c r="AK163" s="72">
        <f>(AW163-Driver!$K$180)/(Driver!$L$180-Driver!$K$180)</f>
        <v>0.40641144639443638</v>
      </c>
      <c r="AL163" s="72">
        <f>(AX163-Driver!$K$181)/(Driver!$L$181-Driver!$K$181)</f>
        <v>0.31575286156959465</v>
      </c>
      <c r="AM163" s="72">
        <f>(AY163-Driver!$K$182)/(Driver!$L$182-Driver!$K$182)</f>
        <v>9.033004649671314E-2</v>
      </c>
      <c r="AN163" s="72">
        <f>(AZ163-Driver!$K$183)/(Driver!$L$183-Driver!$K$183)</f>
        <v>0.41176470588235292</v>
      </c>
      <c r="AO163" s="72"/>
      <c r="AP163" s="72"/>
      <c r="AQ163" s="72">
        <f>(BC163-Driver!$K$188)/(Driver!$L$188-Driver!$K$188)</f>
        <v>7.8849735554554282E-2</v>
      </c>
      <c r="AR163" s="72">
        <f>MIN((BD163-Driver!$K$189)/(Driver!$L$189-Driver!$K$189),100%)</f>
        <v>9.7146251360808178E-2</v>
      </c>
      <c r="AS163" s="72">
        <f>(BE163-Driver!$K$190)/(Driver!$L$190-Driver!$K$190)</f>
        <v>9.5605833780347649E-2</v>
      </c>
      <c r="AT163" s="72">
        <f>(BF163-Driver!$K$191)/(Driver!$L$191-Driver!$K$191)</f>
        <v>0.14757371590545615</v>
      </c>
      <c r="AU163" s="72">
        <f>(BG163-Driver!$K$192)/(Driver!$L$192-Driver!$K$192)</f>
        <v>2.6283224400871458E-2</v>
      </c>
      <c r="AV163" s="70">
        <f t="shared" si="97"/>
        <v>9.0811965811965809</v>
      </c>
      <c r="AW163" s="70">
        <f t="shared" si="98"/>
        <v>41.480289244352548</v>
      </c>
      <c r="AX163" s="70">
        <f t="shared" si="99"/>
        <v>3.8417757541263517</v>
      </c>
      <c r="AY163" s="70">
        <f>IFERROR(Driver!$K$19/Data!BH163/Data!BI163*Data!BK163*Data!BL163,"")</f>
        <v>0.11059092879655993</v>
      </c>
      <c r="AZ163" s="70">
        <f t="shared" si="100"/>
        <v>37.527922561429634</v>
      </c>
      <c r="BA163" s="70"/>
      <c r="BB163" s="70"/>
      <c r="BC163" s="70">
        <f t="shared" si="101"/>
        <v>40.899905986615856</v>
      </c>
      <c r="BD163" s="70">
        <f t="shared" si="102"/>
        <v>10.318093996557483</v>
      </c>
      <c r="BE163" s="70">
        <f t="shared" si="103"/>
        <v>9.5767167520211305E-2</v>
      </c>
      <c r="BF163" s="70">
        <f t="shared" si="104"/>
        <v>16.66741444749028</v>
      </c>
      <c r="BG163" s="70">
        <f t="shared" si="105"/>
        <v>9.9525054466230944E-2</v>
      </c>
      <c r="BH163" s="67">
        <f>MAX((CE163-Driver!$F$200)/(Driver!$G$200-Driver!$F$200)*$BI$1,1)</f>
        <v>3.8417757541263517</v>
      </c>
      <c r="BI163" s="67">
        <f>MAX($BI$1*(BY163-Driver!$F$201)/(Driver!$G$201-Driver!$F$201),1)</f>
        <v>7.0886075949367084</v>
      </c>
      <c r="BJ163" s="67">
        <f>(CB163-Driver!$F$206)/(Driver!$G$206-Driver!$F$206)*$BI$1</f>
        <v>5.5555555555555554</v>
      </c>
      <c r="BK163" s="67">
        <f>(CD163-Driver!$F$203)/(Driver!$G$203-Driver!$F$203)*$BI$1</f>
        <v>2.5688073394495414</v>
      </c>
      <c r="BL163" s="67">
        <f>MAX((CR163-Driver!$F$202)/(Driver!$G$202-Driver!$F$202)*$BI$1,1)</f>
        <v>5.8620689655172411</v>
      </c>
      <c r="BM163" s="67">
        <f>MAX((CH163-Driver!$F$204)/(Driver!$G$204-Driver!$F$204)*$BI$1,1)</f>
        <v>6.5384615384615383</v>
      </c>
      <c r="BN163" s="67">
        <f>(CI163-Driver!$F$205)/(Driver!$G$205-Driver!$F$205)*$BI$1</f>
        <v>5.2941176470588234</v>
      </c>
      <c r="BO163" s="67">
        <f>(CK163-Driver!$F$207)/(Driver!$G$207-Driver!$F$207)*$BI$1</f>
        <v>2.7094105480868662</v>
      </c>
      <c r="BP163" s="67">
        <f>(CM163-Driver!$F$208)/(Driver!$G$208-Driver!$F$208)*$BI$1</f>
        <v>2.8444444444444446</v>
      </c>
      <c r="BQ163" s="67">
        <f>(CL163-Driver!$F$209)/(Driver!$G$209-Driver!$F$209)*$BI$1</f>
        <v>2.5</v>
      </c>
      <c r="BR163" s="28" t="s">
        <v>155</v>
      </c>
      <c r="BS163" s="8" t="s">
        <v>218</v>
      </c>
      <c r="BT163" s="9" t="s">
        <v>222</v>
      </c>
      <c r="BU163" s="10">
        <v>184</v>
      </c>
      <c r="BV163" s="9" t="s">
        <v>158</v>
      </c>
      <c r="BW163" s="10">
        <v>184</v>
      </c>
      <c r="BX163" s="10">
        <v>182.4</v>
      </c>
      <c r="BY163" s="10">
        <v>120</v>
      </c>
      <c r="BZ163" s="10">
        <v>134</v>
      </c>
      <c r="CA163" s="10">
        <v>133</v>
      </c>
      <c r="CB163" s="10">
        <v>99</v>
      </c>
      <c r="CC163" s="10">
        <v>118</v>
      </c>
      <c r="CD163" s="10">
        <v>15</v>
      </c>
      <c r="CE163" s="10">
        <v>1575</v>
      </c>
      <c r="CF163" s="10">
        <v>1.29</v>
      </c>
      <c r="CG163" s="10">
        <v>2033</v>
      </c>
      <c r="CH163" s="10">
        <v>254</v>
      </c>
      <c r="CI163" s="10">
        <v>123</v>
      </c>
      <c r="CJ163" s="10">
        <v>68</v>
      </c>
      <c r="CK163" s="10">
        <v>372</v>
      </c>
      <c r="CL163" s="10">
        <v>16</v>
      </c>
      <c r="CM163" s="10">
        <v>256</v>
      </c>
      <c r="CN163" s="10">
        <v>0.23200000000000001</v>
      </c>
      <c r="CO163" s="10">
        <v>250</v>
      </c>
      <c r="CP163" s="10">
        <v>231</v>
      </c>
      <c r="CQ163" s="10">
        <v>122</v>
      </c>
      <c r="CR163" s="10">
        <v>6</v>
      </c>
      <c r="CS163" s="10">
        <v>12.8</v>
      </c>
      <c r="CT163" s="9" t="s">
        <v>185</v>
      </c>
      <c r="CU163" s="9" t="s">
        <v>198</v>
      </c>
      <c r="CV163" s="10"/>
      <c r="CW163" s="10"/>
      <c r="CX163" t="str">
        <f>INDEX('Data_Price '!AG$2:AG$1266,MATCH(Data!$DN163,'Data_Price '!$AT$2:$AT$1266,0))</f>
        <v>DPS Pagoda Tour 100 RP Skis 184cm 2022</v>
      </c>
      <c r="CY163" t="str">
        <f>INDEX('Data_Price '!AH$2:AH$1266,MATCH(Data!$DN163,'Data_Price '!$AT$2:$AT$1266,0))</f>
        <v>Powder7 Ski Shop</v>
      </c>
      <c r="CZ163">
        <f>INDEX('Data_Price '!AI$2:AI$1266,MATCH(Data!$DN163,'Data_Price '!$AT$2:$AT$1266,0))</f>
        <v>979.93</v>
      </c>
      <c r="DA163" t="str">
        <f>INDEX('Data_Price '!AJ$2:AJ$1266,MATCH(Data!$DN163,'Data_Price '!$AT$2:$AT$1266,0))</f>
        <v>https://tinyurl.com/ycqmymbg</v>
      </c>
      <c r="DB163" t="str">
        <f>INDEX('Data_Price '!AK$2:AK$1266,MATCH(Data!$DN163,'Data_Price '!$AT$2:$AT$1266,0))</f>
        <v>DPS Pagoda Tour 112 RP SE Ski 184 / Early Riser Orange</v>
      </c>
      <c r="DC163" t="str">
        <f>INDEX('Data_Price '!AL$2:AL$1266,MATCH(Data!$DN163,'Data_Price '!$AT$2:$AT$1266,0))</f>
        <v>Cripple Creek Backcountry</v>
      </c>
      <c r="DD163">
        <f>INDEX('Data_Price '!AM$2:AM$1266,MATCH(Data!$DN163,'Data_Price '!$AT$2:$AT$1266,0))</f>
        <v>1029</v>
      </c>
      <c r="DE163" t="str">
        <f>INDEX('Data_Price '!AN$2:AN$1266,MATCH(Data!$DN163,'Data_Price '!$AT$2:$AT$1266,0))</f>
        <v>https://tinyurl.com/y9ekwaru</v>
      </c>
      <c r="DF163" t="str">
        <f>INDEX('Data_Price '!AO$2:AO$1266,MATCH(Data!$DN163,'Data_Price '!$AT$2:$AT$1266,0))</f>
        <v>DPS Pagoda 112 RP Ski 2022, 184</v>
      </c>
      <c r="DG163" t="str">
        <f>INDEX('Data_Price '!AP$2:AP$1266,MATCH(Data!$DN163,'Data_Price '!$AT$2:$AT$1266,0))</f>
        <v>Gear West Ski &amp; Bike</v>
      </c>
      <c r="DH163">
        <f>INDEX('Data_Price '!AQ$2:AQ$1266,MATCH(Data!$DN163,'Data_Price '!$AT$2:$AT$1266,0))</f>
        <v>1299</v>
      </c>
      <c r="DI163" t="str">
        <f>INDEX('Data_Price '!AR$2:AR$1266,MATCH(Data!$DN163,'Data_Price '!$AT$2:$AT$1266,0))</f>
        <v>https://tinyurl.com/ycg5ergk</v>
      </c>
      <c r="DJ163" s="89" t="str">
        <f t="shared" si="106"/>
        <v>https://tinyurl.com/ycqmymbg</v>
      </c>
      <c r="DK163" s="89" t="str">
        <f t="shared" si="107"/>
        <v>https://tinyurl.com/y9ekwaru</v>
      </c>
      <c r="DL163" s="89" t="str">
        <f t="shared" si="108"/>
        <v>https://tinyurl.com/ycg5ergk</v>
      </c>
      <c r="DM163" s="219" t="str">
        <f t="shared" si="109"/>
        <v>Pagoda Tour 100 RP</v>
      </c>
      <c r="DN163" s="89" t="str">
        <f t="shared" si="110"/>
        <v xml:space="preserve"> DPSPagoda Tour 100 RP184 Unisex</v>
      </c>
      <c r="DO163" s="221" t="s">
        <v>223</v>
      </c>
    </row>
    <row r="164" spans="2:119" ht="15.6" customHeight="1">
      <c r="B164" s="219" t="b">
        <f t="array" ref="B164">IF(OR(ISERROR(K164:P164)),FALSE,TRUE)</f>
        <v>1</v>
      </c>
      <c r="C164" s="43" t="b">
        <f>OR(BR164=Driver!$G$50,Data!BR490=Driver!$H$50)</f>
        <v>1</v>
      </c>
      <c r="D164" s="43" t="b">
        <f>OR(BV164=Driver!$G$51,BV164=Driver!$H$51)</f>
        <v>1</v>
      </c>
      <c r="E164" s="43" t="b">
        <f>AND(BX164&gt;Driver!$F$54,BX164&lt;Driver!$G$54)</f>
        <v>0</v>
      </c>
      <c r="F164" s="43" t="b">
        <f>CL164&gt;Driver!$F$56</f>
        <v>1</v>
      </c>
      <c r="G164" s="43" t="b">
        <f>AND(CB164&gt;Driver!$F$55,CB164&lt;Driver!$G$55)</f>
        <v>0</v>
      </c>
      <c r="H164" s="43" t="b">
        <f t="shared" si="74"/>
        <v>0</v>
      </c>
      <c r="I164" s="43">
        <f t="shared" si="75"/>
        <v>0</v>
      </c>
      <c r="J164" s="43" t="b">
        <f t="array" ref="J164">NOT(OR(($H$9:$H$1273=TRUE)*($I$9:$I$1273&gt;0)*($BT$9:$BT$1273=BT164)*($K$9:$K$1273&gt;K164)))</f>
        <v>1</v>
      </c>
      <c r="K164" s="72">
        <f t="shared" si="76"/>
        <v>0.86241433263804423</v>
      </c>
      <c r="L164" s="72">
        <f t="shared" si="77"/>
        <v>0.96197865511301228</v>
      </c>
      <c r="M164" s="72">
        <f t="shared" si="78"/>
        <v>0.76285001016307608</v>
      </c>
      <c r="N164" s="72">
        <f t="shared" si="79"/>
        <v>0.75115339325839092</v>
      </c>
      <c r="O164" s="72">
        <f t="shared" si="80"/>
        <v>0.70523605147754864</v>
      </c>
      <c r="P164" s="72">
        <f t="shared" si="81"/>
        <v>0.83216058575328877</v>
      </c>
      <c r="Q164" s="72"/>
      <c r="R164" s="72"/>
      <c r="S164" s="72">
        <f t="shared" si="82"/>
        <v>0.53795249104335652</v>
      </c>
      <c r="T164" s="72">
        <f t="shared" si="83"/>
        <v>0.49670686942437758</v>
      </c>
      <c r="U164" s="72">
        <f t="shared" si="84"/>
        <v>0.68288943270809077</v>
      </c>
      <c r="V164" s="72">
        <f t="shared" si="85"/>
        <v>0.51794291713685159</v>
      </c>
      <c r="W164" s="72">
        <f t="shared" si="86"/>
        <v>0.79171232876712327</v>
      </c>
      <c r="X164" s="72">
        <f t="shared" si="87"/>
        <v>3.8021344886987718E-2</v>
      </c>
      <c r="Y164" s="72">
        <f t="shared" si="88"/>
        <v>0.2371499898369239</v>
      </c>
      <c r="Z164" s="72">
        <f t="shared" si="89"/>
        <v>0.24884660674160902</v>
      </c>
      <c r="AA164" s="72">
        <f t="shared" si="90"/>
        <v>0.29476394852245136</v>
      </c>
      <c r="AB164" s="72">
        <f t="shared" si="91"/>
        <v>0.16783941424671128</v>
      </c>
      <c r="AC164" s="72"/>
      <c r="AD164" s="72"/>
      <c r="AE164" s="72">
        <f t="shared" si="92"/>
        <v>0.46204750895664348</v>
      </c>
      <c r="AF164" s="72">
        <f t="shared" si="93"/>
        <v>0.50329313057562242</v>
      </c>
      <c r="AG164" s="72">
        <f t="shared" si="94"/>
        <v>0.31711056729190923</v>
      </c>
      <c r="AH164" s="72">
        <f t="shared" si="95"/>
        <v>0.48205708286314841</v>
      </c>
      <c r="AI164" s="72">
        <f t="shared" si="96"/>
        <v>0.20828767123287673</v>
      </c>
      <c r="AJ164" s="72">
        <f>(AV164-Driver!$K$179)/(Driver!$L$179-Driver!$K$179)</f>
        <v>0.29224075416968814</v>
      </c>
      <c r="AK164" s="72">
        <f>(AW164-Driver!$K$180)/(Driver!$L$180-Driver!$K$180)</f>
        <v>0.42003252131252133</v>
      </c>
      <c r="AL164" s="72">
        <f>(AX164-Driver!$K$181)/(Driver!$L$181-Driver!$K$181)</f>
        <v>0.35053437045468921</v>
      </c>
      <c r="AM164" s="72">
        <f>(AY164-Driver!$K$182)/(Driver!$L$182-Driver!$K$182)</f>
        <v>0.15262107257459503</v>
      </c>
      <c r="AN164" s="72">
        <f>(AZ164-Driver!$K$183)/(Driver!$L$183-Driver!$K$183)</f>
        <v>0.42205882352941171</v>
      </c>
      <c r="AO164" s="72"/>
      <c r="AP164" s="72"/>
      <c r="AQ164" s="72">
        <f>(BC164-Driver!$K$188)/(Driver!$L$188-Driver!$K$188)</f>
        <v>0.15795249104335654</v>
      </c>
      <c r="AR164" s="72">
        <f>MIN((BD164-Driver!$K$189)/(Driver!$L$189-Driver!$K$189),100%)</f>
        <v>4.670686942437758E-2</v>
      </c>
      <c r="AS164" s="72">
        <f>(BE164-Driver!$K$190)/(Driver!$L$190-Driver!$K$190)</f>
        <v>0.19288943270809081</v>
      </c>
      <c r="AT164" s="72">
        <f>(BF164-Driver!$K$191)/(Driver!$L$191-Driver!$K$191)</f>
        <v>2.7942917136851618E-2</v>
      </c>
      <c r="AU164" s="72">
        <f>(BG164-Driver!$K$192)/(Driver!$L$192-Driver!$K$192)</f>
        <v>4.1712328767123281E-2</v>
      </c>
      <c r="AV164" s="70">
        <f t="shared" si="97"/>
        <v>6.1507936507936503</v>
      </c>
      <c r="AW164" s="70">
        <f t="shared" si="98"/>
        <v>42.807783690121809</v>
      </c>
      <c r="AX164" s="70">
        <f t="shared" si="99"/>
        <v>4.154809334092203</v>
      </c>
      <c r="AY164" s="70">
        <f>IFERROR(Driver!$K$19/Data!BH164/Data!BI164*Data!BK164*Data!BL164,"")</f>
        <v>0.18685373056423488</v>
      </c>
      <c r="AZ164" s="70">
        <f t="shared" si="100"/>
        <v>38.466120625465372</v>
      </c>
      <c r="BA164" s="70"/>
      <c r="BB164" s="70"/>
      <c r="BC164" s="70">
        <f t="shared" si="101"/>
        <v>81.931055172092172</v>
      </c>
      <c r="BD164" s="70">
        <f t="shared" si="102"/>
        <v>5.8542980684796699</v>
      </c>
      <c r="BE164" s="70">
        <f t="shared" si="103"/>
        <v>0.19303341214887929</v>
      </c>
      <c r="BF164" s="70">
        <f t="shared" si="104"/>
        <v>3.1559561805041265</v>
      </c>
      <c r="BG164" s="70">
        <f t="shared" si="105"/>
        <v>0.15794948630136985</v>
      </c>
      <c r="BH164" s="67">
        <f>MAX((CE164-Driver!$F$200)/(Driver!$G$200-Driver!$F$200)*$BI$1,1)</f>
        <v>4.154809334092203</v>
      </c>
      <c r="BI164" s="67">
        <f>MAX($BI$1*(BY164-Driver!$F$201)/(Driver!$G$201-Driver!$F$201),1)</f>
        <v>7.9746835443037973</v>
      </c>
      <c r="BJ164" s="67">
        <f>(CB164-Driver!$F$206)/(Driver!$G$206-Driver!$F$206)*$BI$1</f>
        <v>4.92063492063492</v>
      </c>
      <c r="BK164" s="67">
        <f>(CD164-Driver!$F$203)/(Driver!$G$203-Driver!$F$203)*$BI$1</f>
        <v>4.7247706422018352</v>
      </c>
      <c r="BL164" s="67">
        <f>MAX((CR164-Driver!$F$202)/(Driver!$G$202-Driver!$F$202)*$BI$1,1)</f>
        <v>6.5517241379310338</v>
      </c>
      <c r="BM164" s="67">
        <f>MAX((CH164-Driver!$F$204)/(Driver!$G$204-Driver!$F$204)*$BI$1,1)</f>
        <v>5</v>
      </c>
      <c r="BN164" s="67">
        <f>(CI164-Driver!$F$205)/(Driver!$G$205-Driver!$F$205)*$BI$1</f>
        <v>4.8235294117647056</v>
      </c>
      <c r="BO164" s="67">
        <f>(CK164-Driver!$F$207)/(Driver!$G$207-Driver!$F$207)*$BI$1</f>
        <v>1.5408479834539814</v>
      </c>
      <c r="BP164" s="67">
        <f>(CM164-Driver!$F$208)/(Driver!$G$208-Driver!$F$208)*$BI$1</f>
        <v>1.9666666666666666</v>
      </c>
      <c r="BQ164" s="67">
        <f>(CL164-Driver!$F$209)/(Driver!$G$209-Driver!$F$209)*$BI$1</f>
        <v>3.28125</v>
      </c>
      <c r="BR164" s="28" t="s">
        <v>155</v>
      </c>
      <c r="BS164" s="8" t="s">
        <v>205</v>
      </c>
      <c r="BT164" s="9" t="s">
        <v>206</v>
      </c>
      <c r="BU164" s="10">
        <v>179</v>
      </c>
      <c r="BV164" s="9" t="s">
        <v>158</v>
      </c>
      <c r="BW164" s="10">
        <v>179</v>
      </c>
      <c r="BX164" s="10">
        <v>177.3</v>
      </c>
      <c r="BY164" s="10">
        <v>134</v>
      </c>
      <c r="BZ164" s="10">
        <v>149</v>
      </c>
      <c r="CA164" s="10">
        <v>127</v>
      </c>
      <c r="CB164" s="10">
        <v>95</v>
      </c>
      <c r="CC164" s="10">
        <v>117</v>
      </c>
      <c r="CD164" s="10">
        <v>19.7</v>
      </c>
      <c r="CE164" s="10">
        <v>1630</v>
      </c>
      <c r="CF164" s="10">
        <v>1.1599999999999999</v>
      </c>
      <c r="CG164" s="10">
        <v>1883</v>
      </c>
      <c r="CH164" s="10">
        <v>218</v>
      </c>
      <c r="CI164" s="10">
        <v>115</v>
      </c>
      <c r="CJ164" s="10">
        <v>52</v>
      </c>
      <c r="CK164" s="10">
        <v>259</v>
      </c>
      <c r="CL164" s="10">
        <v>21</v>
      </c>
      <c r="CM164" s="10">
        <v>177</v>
      </c>
      <c r="CN164" s="10">
        <v>0.39600000000000002</v>
      </c>
      <c r="CO164" s="10">
        <v>174</v>
      </c>
      <c r="CP164" s="10">
        <v>104</v>
      </c>
      <c r="CQ164" s="10">
        <v>85</v>
      </c>
      <c r="CR164" s="10">
        <v>8</v>
      </c>
      <c r="CS164" s="10">
        <v>11.3</v>
      </c>
      <c r="CT164" s="9" t="s">
        <v>188</v>
      </c>
      <c r="CU164" s="9" t="s">
        <v>185</v>
      </c>
      <c r="CV164" s="10"/>
      <c r="CW164" s="10"/>
      <c r="CX164" t="str">
        <f>INDEX('Data_Price '!AG$2:AG$1266,MATCH(Data!$DN164,'Data_Price '!$AT$2:$AT$1266,0))</f>
        <v>Faction Agent 2.0 Skis</v>
      </c>
      <c r="CY164" t="str">
        <f>INDEX('Data_Price '!AH$2:AH$1266,MATCH(Data!$DN164,'Data_Price '!$AT$2:$AT$1266,0))</f>
        <v>Gorham Bike and Ski</v>
      </c>
      <c r="CZ164">
        <f>INDEX('Data_Price '!AI$2:AI$1266,MATCH(Data!$DN164,'Data_Price '!$AT$2:$AT$1266,0))</f>
        <v>489.99</v>
      </c>
      <c r="DA164" t="str">
        <f>INDEX('Data_Price '!AJ$2:AJ$1266,MATCH(Data!$DN164,'Data_Price '!$AT$2:$AT$1266,0))</f>
        <v>https://tinyurl.com/ycum7qsh</v>
      </c>
      <c r="DB164" t="str">
        <f>INDEX('Data_Price '!AK$2:AK$1266,MATCH(Data!$DN164,'Data_Price '!$AT$2:$AT$1266,0))</f>
        <v>Faction Agent 2.0 21/22</v>
      </c>
      <c r="DC164" t="str">
        <f>INDEX('Data_Price '!AL$2:AL$1266,MATCH(Data!$DN164,'Data_Price '!$AT$2:$AT$1266,0))</f>
        <v>PRFO Sports</v>
      </c>
      <c r="DD164">
        <f>INDEX('Data_Price '!AM$2:AM$1266,MATCH(Data!$DN164,'Data_Price '!$AT$2:$AT$1266,0))</f>
        <v>544.54999999999995</v>
      </c>
      <c r="DE164" t="str">
        <f>INDEX('Data_Price '!AN$2:AN$1266,MATCH(Data!$DN164,'Data_Price '!$AT$2:$AT$1266,0))</f>
        <v>https://tinyurl.com/ybdv6449</v>
      </c>
      <c r="DF164" t="str">
        <f>INDEX('Data_Price '!AO$2:AO$1266,MATCH(Data!$DN164,'Data_Price '!$AT$2:$AT$1266,0))</f>
        <v>Faction Agent 2.0 Skis</v>
      </c>
      <c r="DG164" t="str">
        <f>INDEX('Data_Price '!AP$2:AP$1266,MATCH(Data!$DN164,'Data_Price '!$AT$2:$AT$1266,0))</f>
        <v>Powder7 Ski Shop</v>
      </c>
      <c r="DH164">
        <f>INDEX('Data_Price '!AQ$2:AQ$1266,MATCH(Data!$DN164,'Data_Price '!$AT$2:$AT$1266,0))</f>
        <v>559</v>
      </c>
      <c r="DI164" t="str">
        <f>INDEX('Data_Price '!AR$2:AR$1266,MATCH(Data!$DN164,'Data_Price '!$AT$2:$AT$1266,0))</f>
        <v>https://tinyurl.com/y93vkr9b</v>
      </c>
      <c r="DJ164" s="89" t="str">
        <f t="shared" si="106"/>
        <v>https://tinyurl.com/ycum7qsh</v>
      </c>
      <c r="DK164" s="89" t="str">
        <f t="shared" si="107"/>
        <v>https://tinyurl.com/ybdv6449</v>
      </c>
      <c r="DL164" s="89" t="str">
        <f t="shared" si="108"/>
        <v>https://tinyurl.com/y93vkr9b</v>
      </c>
      <c r="DM164" s="219" t="str">
        <f t="shared" si="109"/>
        <v>Agent 2.0</v>
      </c>
      <c r="DN164" s="89" t="str">
        <f t="shared" si="110"/>
        <v xml:space="preserve"> FactionAgent 2.0179 Unisex</v>
      </c>
      <c r="DO164" s="221" t="s">
        <v>207</v>
      </c>
    </row>
    <row r="165" spans="2:119" ht="15.6" customHeight="1">
      <c r="B165" s="219" t="b">
        <f t="array" ref="B165">IF(OR(ISERROR(K165:P165)),FALSE,TRUE)</f>
        <v>1</v>
      </c>
      <c r="C165" s="43" t="b">
        <f>OR(BR165=Driver!$G$50,Data!BR241=Driver!$H$50)</f>
        <v>1</v>
      </c>
      <c r="D165" s="43" t="b">
        <f>OR(BV165=Driver!$G$51,BV165=Driver!$H$51)</f>
        <v>1</v>
      </c>
      <c r="E165" s="43" t="b">
        <f>AND(BX165&gt;Driver!$F$54,BX165&lt;Driver!$G$54)</f>
        <v>0</v>
      </c>
      <c r="F165" s="43" t="b">
        <f>CL165&gt;Driver!$F$56</f>
        <v>1</v>
      </c>
      <c r="G165" s="43" t="b">
        <f>AND(CB165&gt;Driver!$F$55,CB165&lt;Driver!$G$55)</f>
        <v>0</v>
      </c>
      <c r="H165" s="43" t="b">
        <f t="shared" si="74"/>
        <v>0</v>
      </c>
      <c r="I165" s="43">
        <f t="shared" si="75"/>
        <v>0</v>
      </c>
      <c r="J165" s="43" t="b">
        <f t="array" ref="J165">NOT(OR(($H$9:$H$1273=TRUE)*($I$9:$I$1273&gt;0)*($BT$9:$BT$1273=BT165)*($K$9:$K$1273&gt;K165)))</f>
        <v>1</v>
      </c>
      <c r="K165" s="72">
        <f t="shared" si="76"/>
        <v>0.87782526052114296</v>
      </c>
      <c r="L165" s="72">
        <f t="shared" si="77"/>
        <v>0.91595221266557125</v>
      </c>
      <c r="M165" s="72">
        <f t="shared" si="78"/>
        <v>0.83969830837671466</v>
      </c>
      <c r="N165" s="72">
        <f t="shared" si="79"/>
        <v>0.86498378597324588</v>
      </c>
      <c r="O165" s="72">
        <f t="shared" si="80"/>
        <v>0.69956493248857687</v>
      </c>
      <c r="P165" s="72">
        <f t="shared" si="81"/>
        <v>0.95454620666832135</v>
      </c>
      <c r="Q165" s="72"/>
      <c r="R165" s="72"/>
      <c r="S165" s="72">
        <f t="shared" si="82"/>
        <v>0.48147364443604768</v>
      </c>
      <c r="T165" s="72">
        <f t="shared" si="83"/>
        <v>0.48817480264630431</v>
      </c>
      <c r="U165" s="72">
        <f t="shared" si="84"/>
        <v>0.85876229727651587</v>
      </c>
      <c r="V165" s="72">
        <f t="shared" si="85"/>
        <v>0.51121698443906038</v>
      </c>
      <c r="W165" s="72">
        <f t="shared" si="86"/>
        <v>0.78855681818181811</v>
      </c>
      <c r="X165" s="72">
        <f t="shared" si="87"/>
        <v>8.4047787334428775E-2</v>
      </c>
      <c r="Y165" s="72">
        <f t="shared" si="88"/>
        <v>0.16030169162328531</v>
      </c>
      <c r="Z165" s="72">
        <f t="shared" si="89"/>
        <v>0.13501621402675412</v>
      </c>
      <c r="AA165" s="72">
        <f t="shared" si="90"/>
        <v>0.30043506751142313</v>
      </c>
      <c r="AB165" s="72">
        <f t="shared" si="91"/>
        <v>4.5453793331678649E-2</v>
      </c>
      <c r="AC165" s="72"/>
      <c r="AD165" s="72"/>
      <c r="AE165" s="72">
        <f t="shared" si="92"/>
        <v>0.51852635556395232</v>
      </c>
      <c r="AF165" s="72">
        <f t="shared" si="93"/>
        <v>0.51182519735369569</v>
      </c>
      <c r="AG165" s="72">
        <f t="shared" si="94"/>
        <v>0.14123770272348413</v>
      </c>
      <c r="AH165" s="72">
        <f t="shared" si="95"/>
        <v>0.48878301556093962</v>
      </c>
      <c r="AI165" s="72">
        <f t="shared" si="96"/>
        <v>0.21144318181818184</v>
      </c>
      <c r="AJ165" s="72">
        <f>(AV165-Driver!$K$179)/(Driver!$L$179-Driver!$K$179)</f>
        <v>0.17017162194827165</v>
      </c>
      <c r="AK165" s="72">
        <f>(AW165-Driver!$K$180)/(Driver!$L$180-Driver!$K$180)</f>
        <v>0.2949997731092161</v>
      </c>
      <c r="AL165" s="72">
        <f>(AX165-Driver!$K$181)/(Driver!$L$181-Driver!$K$181)</f>
        <v>0.23670397773983431</v>
      </c>
      <c r="AM165" s="72">
        <f>(AY165-Driver!$K$182)/(Driver!$L$182-Driver!$K$182)</f>
        <v>0.14694995358562324</v>
      </c>
      <c r="AN165" s="72">
        <f>(AZ165-Driver!$K$183)/(Driver!$L$183-Driver!$K$183)</f>
        <v>0.29967320261437908</v>
      </c>
      <c r="AO165" s="72"/>
      <c r="AP165" s="72"/>
      <c r="AQ165" s="72">
        <f>(BC165-Driver!$K$188)/(Driver!$L$188-Driver!$K$188)</f>
        <v>0.10147364443604763</v>
      </c>
      <c r="AR165" s="72">
        <f>MIN((BD165-Driver!$K$189)/(Driver!$L$189-Driver!$K$189),100%)</f>
        <v>3.8174802646304337E-2</v>
      </c>
      <c r="AS165" s="72">
        <f>(BE165-Driver!$K$190)/(Driver!$L$190-Driver!$K$190)</f>
        <v>0.65123770272348414</v>
      </c>
      <c r="AT165" s="72">
        <f>(BF165-Driver!$K$191)/(Driver!$L$191-Driver!$K$191)</f>
        <v>2.1216984439060366E-2</v>
      </c>
      <c r="AU165" s="72">
        <f>(BG165-Driver!$K$192)/(Driver!$L$192-Driver!$K$192)</f>
        <v>3.8556818181818178E-2</v>
      </c>
      <c r="AV165" s="70">
        <f t="shared" si="97"/>
        <v>3.5816035816035812</v>
      </c>
      <c r="AW165" s="70">
        <f t="shared" si="98"/>
        <v>30.622234474855439</v>
      </c>
      <c r="AX165" s="70">
        <f t="shared" si="99"/>
        <v>3.1303357996585088</v>
      </c>
      <c r="AY165" s="70">
        <f>IFERROR(Driver!$K$19/Data!BH165/Data!BI165*Data!BK165*Data!BL165,"")</f>
        <v>0.1799105888231419</v>
      </c>
      <c r="AZ165" s="70">
        <f t="shared" si="100"/>
        <v>27.311988086373788</v>
      </c>
      <c r="BA165" s="70"/>
      <c r="BB165" s="70"/>
      <c r="BC165" s="70">
        <f t="shared" si="101"/>
        <v>52.635084802309372</v>
      </c>
      <c r="BD165" s="70">
        <f t="shared" si="102"/>
        <v>5.0992252765479442</v>
      </c>
      <c r="BE165" s="70">
        <f t="shared" si="103"/>
        <v>0.6512999179918314</v>
      </c>
      <c r="BF165" s="70">
        <f t="shared" si="104"/>
        <v>2.3963093346401032</v>
      </c>
      <c r="BG165" s="70">
        <f t="shared" si="105"/>
        <v>0.14600071022727273</v>
      </c>
      <c r="BH165" s="67">
        <f>MAX((CE165-Driver!$F$200)/(Driver!$G$200-Driver!$F$200)*$BI$1,1)</f>
        <v>3.1303357996585088</v>
      </c>
      <c r="BI165" s="67">
        <f>MAX($BI$1*(BY165-Driver!$F$201)/(Driver!$G$201-Driver!$F$201),1)</f>
        <v>8.2911392405063289</v>
      </c>
      <c r="BJ165" s="67">
        <f>(CB165-Driver!$F$206)/(Driver!$G$206-Driver!$F$206)*$BI$1</f>
        <v>3.8095238095238093</v>
      </c>
      <c r="BK165" s="67">
        <f>(CD165-Driver!$F$203)/(Driver!$G$203-Driver!$F$203)*$BI$1</f>
        <v>3.7614678899082579</v>
      </c>
      <c r="BL165" s="67">
        <f>MAX((CR165-Driver!$F$202)/(Driver!$G$202-Driver!$F$202)*$BI$1,1)</f>
        <v>6.2068965517241379</v>
      </c>
      <c r="BM165" s="67">
        <f>MAX((CH165-Driver!$F$204)/(Driver!$G$204-Driver!$F$204)*$BI$1,1)</f>
        <v>3.7606837606837606</v>
      </c>
      <c r="BN165" s="67">
        <f>(CI165-Driver!$F$205)/(Driver!$G$205-Driver!$F$205)*$BI$1</f>
        <v>3.2941176470588234</v>
      </c>
      <c r="BO165" s="67">
        <f>(CK165-Driver!$F$207)/(Driver!$G$207-Driver!$F$207)*$BI$1</f>
        <v>1.4891416752843847</v>
      </c>
      <c r="BP165" s="67">
        <f>(CM165-Driver!$F$208)/(Driver!$G$208-Driver!$F$208)*$BI$1</f>
        <v>1.5888888888888888</v>
      </c>
      <c r="BQ165" s="67">
        <f>(CL165-Driver!$F$209)/(Driver!$G$209-Driver!$F$209)*$BI$1</f>
        <v>1.71875</v>
      </c>
      <c r="BR165" s="28" t="s">
        <v>155</v>
      </c>
      <c r="BS165" s="8" t="s">
        <v>237</v>
      </c>
      <c r="BT165" s="9" t="s">
        <v>391</v>
      </c>
      <c r="BU165" s="10">
        <v>179.3</v>
      </c>
      <c r="BV165" s="9" t="s">
        <v>158</v>
      </c>
      <c r="BW165" s="10">
        <v>179.3</v>
      </c>
      <c r="BX165" s="10">
        <v>178.4</v>
      </c>
      <c r="BY165" s="10">
        <v>139</v>
      </c>
      <c r="BZ165" s="10">
        <v>150</v>
      </c>
      <c r="CA165" s="10">
        <v>127</v>
      </c>
      <c r="CB165" s="10">
        <v>88</v>
      </c>
      <c r="CC165" s="10">
        <v>111</v>
      </c>
      <c r="CD165" s="10">
        <v>17.600000000000001</v>
      </c>
      <c r="CE165" s="10">
        <v>1450</v>
      </c>
      <c r="CF165" s="10">
        <v>1.24</v>
      </c>
      <c r="CG165" s="10">
        <v>1793</v>
      </c>
      <c r="CH165" s="10">
        <v>189</v>
      </c>
      <c r="CI165" s="10">
        <v>89</v>
      </c>
      <c r="CJ165" s="10">
        <v>39</v>
      </c>
      <c r="CK165" s="10">
        <v>254</v>
      </c>
      <c r="CL165" s="10">
        <v>11</v>
      </c>
      <c r="CM165" s="10">
        <v>143</v>
      </c>
      <c r="CN165" s="10">
        <v>0.27</v>
      </c>
      <c r="CO165" s="10">
        <v>139</v>
      </c>
      <c r="CP165" s="10">
        <v>142</v>
      </c>
      <c r="CQ165" s="10">
        <v>115</v>
      </c>
      <c r="CR165" s="10">
        <v>7</v>
      </c>
      <c r="CS165" s="10">
        <v>10.4</v>
      </c>
      <c r="CT165" s="9" t="s">
        <v>188</v>
      </c>
      <c r="CU165" s="9" t="s">
        <v>185</v>
      </c>
      <c r="CV165" s="10"/>
      <c r="CW165" s="10"/>
      <c r="CX165" t="str">
        <f>INDEX('Data_Price '!AG$2:AG$1266,MATCH(Data!$DN165,'Data_Price '!$AT$2:$AT$1266,0))</f>
        <v>Black Crows Orb Freebird Skis</v>
      </c>
      <c r="CY165" t="str">
        <f>INDEX('Data_Price '!AH$2:AH$1266,MATCH(Data!$DN165,'Data_Price '!$AT$2:$AT$1266,0))</f>
        <v>! OutdoorXL.com</v>
      </c>
      <c r="CZ165">
        <f>INDEX('Data_Price '!AI$2:AI$1266,MATCH(Data!$DN165,'Data_Price '!$AT$2:$AT$1266,0))</f>
        <v>514.95000000000005</v>
      </c>
      <c r="DA165" t="str">
        <f>INDEX('Data_Price '!AJ$2:AJ$1266,MATCH(Data!$DN165,'Data_Price '!$AT$2:$AT$1266,0))</f>
        <v>https://tinyurl.com/yakfk2wb</v>
      </c>
      <c r="DB165" t="str">
        <f>INDEX('Data_Price '!AK$2:AK$1266,MATCH(Data!$DN165,'Data_Price '!$AT$2:$AT$1266,0))</f>
        <v>Black Crows Orb Freebird Skis</v>
      </c>
      <c r="DC165" t="str">
        <f>INDEX('Data_Price '!AL$2:AL$1266,MATCH(Data!$DN165,'Data_Price '!$AT$2:$AT$1266,0))</f>
        <v>Backcountry.com</v>
      </c>
      <c r="DD165">
        <f>INDEX('Data_Price '!AM$2:AM$1266,MATCH(Data!$DN165,'Data_Price '!$AT$2:$AT$1266,0))</f>
        <v>583.91999999999996</v>
      </c>
      <c r="DE165" t="str">
        <f>INDEX('Data_Price '!AN$2:AN$1266,MATCH(Data!$DN165,'Data_Price '!$AT$2:$AT$1266,0))</f>
        <v>https://tinyurl.com/yccpjq79</v>
      </c>
      <c r="DF165" t="str">
        <f>INDEX('Data_Price '!AO$2:AO$1266,MATCH(Data!$DN165,'Data_Price '!$AT$2:$AT$1266,0))</f>
        <v>Black Crows Orb Freebird Skis</v>
      </c>
      <c r="DG165" t="str">
        <f>INDEX('Data_Price '!AP$2:AP$1266,MATCH(Data!$DN165,'Data_Price '!$AT$2:$AT$1266,0))</f>
        <v>Powder7 Ski Shop</v>
      </c>
      <c r="DH165">
        <f>INDEX('Data_Price '!AQ$2:AQ$1266,MATCH(Data!$DN165,'Data_Price '!$AT$2:$AT$1266,0))</f>
        <v>583.96</v>
      </c>
      <c r="DI165" t="str">
        <f>INDEX('Data_Price '!AR$2:AR$1266,MATCH(Data!$DN165,'Data_Price '!$AT$2:$AT$1266,0))</f>
        <v>https://tinyurl.com/y7teoe5h</v>
      </c>
      <c r="DJ165" s="89" t="str">
        <f t="shared" si="106"/>
        <v>https://tinyurl.com/yakfk2wb</v>
      </c>
      <c r="DK165" s="89" t="str">
        <f t="shared" si="107"/>
        <v>https://tinyurl.com/yccpjq79</v>
      </c>
      <c r="DL165" s="89" t="str">
        <f t="shared" si="108"/>
        <v>https://tinyurl.com/y7teoe5h</v>
      </c>
      <c r="DM165" s="219" t="str">
        <f t="shared" si="109"/>
        <v>Orb Freebird</v>
      </c>
      <c r="DN165" s="89" t="str">
        <f t="shared" si="110"/>
        <v xml:space="preserve"> Black CrowsOrb Freebird179.3 Unisex</v>
      </c>
      <c r="DO165" s="221" t="s">
        <v>392</v>
      </c>
    </row>
    <row r="166" spans="2:119" ht="15.6" customHeight="1">
      <c r="B166" s="219" t="b">
        <f t="array" ref="B166">IF(OR(ISERROR(K166:P166)),FALSE,TRUE)</f>
        <v>1</v>
      </c>
      <c r="C166" s="43" t="b">
        <f>OR(BR166=Driver!$G$50,Data!BR636=Driver!$H$50)</f>
        <v>1</v>
      </c>
      <c r="D166" s="43" t="b">
        <f>OR(BV166=Driver!$G$51,BV166=Driver!$H$51)</f>
        <v>1</v>
      </c>
      <c r="E166" s="43" t="b">
        <f>AND(BX166&gt;Driver!$F$54,BX166&lt;Driver!$G$54)</f>
        <v>0</v>
      </c>
      <c r="F166" s="43" t="b">
        <f>CL166&gt;Driver!$F$56</f>
        <v>1</v>
      </c>
      <c r="G166" s="43" t="b">
        <f>AND(CB166&gt;Driver!$F$55,CB166&lt;Driver!$G$55)</f>
        <v>0</v>
      </c>
      <c r="H166" s="43" t="b">
        <f t="shared" si="74"/>
        <v>0</v>
      </c>
      <c r="I166" s="43">
        <f t="shared" si="75"/>
        <v>0</v>
      </c>
      <c r="J166" s="43" t="b">
        <f t="array" ref="J166">NOT(OR(($H$9:$H$1273=TRUE)*($I$9:$I$1273&gt;0)*($BT$9:$BT$1273=BT166)*($K$9:$K$1273&gt;K166)))</f>
        <v>1</v>
      </c>
      <c r="K166" s="72">
        <f t="shared" si="76"/>
        <v>0.85217728074534038</v>
      </c>
      <c r="L166" s="72">
        <f t="shared" si="77"/>
        <v>0.92626564429879987</v>
      </c>
      <c r="M166" s="72">
        <f t="shared" si="78"/>
        <v>0.77808891719188089</v>
      </c>
      <c r="N166" s="72">
        <f t="shared" si="79"/>
        <v>0.66072147015714511</v>
      </c>
      <c r="O166" s="72">
        <f t="shared" si="80"/>
        <v>0.70644116128943324</v>
      </c>
      <c r="P166" s="72">
        <f t="shared" si="81"/>
        <v>0.96710412012906433</v>
      </c>
      <c r="Q166" s="72"/>
      <c r="R166" s="72"/>
      <c r="S166" s="72">
        <f t="shared" si="82"/>
        <v>0.477306875921919</v>
      </c>
      <c r="T166" s="72">
        <f t="shared" si="83"/>
        <v>0.4898402406824327</v>
      </c>
      <c r="U166" s="72">
        <f t="shared" si="84"/>
        <v>0.62798466418180965</v>
      </c>
      <c r="V166" s="72">
        <f t="shared" si="85"/>
        <v>0.50534867052359189</v>
      </c>
      <c r="W166" s="72">
        <f t="shared" si="86"/>
        <v>0.83987757731958756</v>
      </c>
      <c r="X166" s="72">
        <f t="shared" si="87"/>
        <v>7.3734355701200127E-2</v>
      </c>
      <c r="Y166" s="72">
        <f t="shared" si="88"/>
        <v>0.22191108280811911</v>
      </c>
      <c r="Z166" s="72">
        <f t="shared" si="89"/>
        <v>0.33927852984285484</v>
      </c>
      <c r="AA166" s="72">
        <f t="shared" si="90"/>
        <v>0.29355883871056676</v>
      </c>
      <c r="AB166" s="72">
        <f t="shared" si="91"/>
        <v>3.2895879870935701E-2</v>
      </c>
      <c r="AC166" s="72"/>
      <c r="AD166" s="72"/>
      <c r="AE166" s="72">
        <f t="shared" si="92"/>
        <v>0.522693124078081</v>
      </c>
      <c r="AF166" s="72">
        <f t="shared" si="93"/>
        <v>0.5101597593175673</v>
      </c>
      <c r="AG166" s="72">
        <f t="shared" si="94"/>
        <v>0.3720153358181903</v>
      </c>
      <c r="AH166" s="72">
        <f t="shared" si="95"/>
        <v>0.49465132947640805</v>
      </c>
      <c r="AI166" s="72">
        <f t="shared" si="96"/>
        <v>0.16012242268041241</v>
      </c>
      <c r="AJ166" s="72">
        <f>(AV166-Driver!$K$179)/(Driver!$L$179-Driver!$K$179)</f>
        <v>0.1804850535815003</v>
      </c>
      <c r="AK166" s="72">
        <f>(AW166-Driver!$K$180)/(Driver!$L$180-Driver!$K$180)</f>
        <v>0.24067992714985087</v>
      </c>
      <c r="AL166" s="72">
        <f>(AX166-Driver!$K$181)/(Driver!$L$181-Driver!$K$181)</f>
        <v>0.44096629355593503</v>
      </c>
      <c r="AM166" s="72">
        <f>(AY166-Driver!$K$182)/(Driver!$L$182-Driver!$K$182)</f>
        <v>0.1538261823864796</v>
      </c>
      <c r="AN166" s="72">
        <f>(AZ166-Driver!$K$183)/(Driver!$L$183-Driver!$K$183)</f>
        <v>0.22132352941176472</v>
      </c>
      <c r="AO166" s="72"/>
      <c r="AP166" s="72"/>
      <c r="AQ166" s="72">
        <f>(BC166-Driver!$K$188)/(Driver!$L$188-Driver!$K$188)</f>
        <v>9.7306875921919056E-2</v>
      </c>
      <c r="AR166" s="72">
        <f>MIN((BD166-Driver!$K$189)/(Driver!$L$189-Driver!$K$189),100%)</f>
        <v>3.9840240682432748E-2</v>
      </c>
      <c r="AS166" s="72">
        <f>(BE166-Driver!$K$190)/(Driver!$L$190-Driver!$K$190)</f>
        <v>0.13798466418180971</v>
      </c>
      <c r="AT166" s="72">
        <f>(BF166-Driver!$K$191)/(Driver!$L$191-Driver!$K$191)</f>
        <v>1.5348670523591958E-2</v>
      </c>
      <c r="AU166" s="72">
        <f>(BG166-Driver!$K$192)/(Driver!$L$192-Driver!$K$192)</f>
        <v>8.9877577319587593E-2</v>
      </c>
      <c r="AV166" s="70">
        <f t="shared" si="97"/>
        <v>3.7986704653371324</v>
      </c>
      <c r="AW166" s="70">
        <f t="shared" si="98"/>
        <v>25.328284163315892</v>
      </c>
      <c r="AX166" s="70">
        <f t="shared" si="99"/>
        <v>4.9686966420034153</v>
      </c>
      <c r="AY166" s="70">
        <f>IFERROR(Driver!$K$19/Data!BH166/Data!BI166*Data!BK166*Data!BL166,"")</f>
        <v>0.18832914454404515</v>
      </c>
      <c r="AZ166" s="70">
        <f t="shared" si="100"/>
        <v>20.171258376768431</v>
      </c>
      <c r="BA166" s="70"/>
      <c r="BB166" s="70"/>
      <c r="BC166" s="70">
        <f t="shared" si="101"/>
        <v>50.473753007126113</v>
      </c>
      <c r="BD166" s="70">
        <f t="shared" si="102"/>
        <v>5.2466135917637269</v>
      </c>
      <c r="BE166" s="70">
        <f t="shared" si="103"/>
        <v>0.13813843801532377</v>
      </c>
      <c r="BF166" s="70">
        <f t="shared" si="104"/>
        <v>1.7335245051265018</v>
      </c>
      <c r="BG166" s="70">
        <f t="shared" si="105"/>
        <v>0.34033384342783496</v>
      </c>
      <c r="BH166" s="67">
        <f>MAX((CE166-Driver!$F$200)/(Driver!$G$200-Driver!$F$200)*$BI$1,1)</f>
        <v>4.9686966420034153</v>
      </c>
      <c r="BI166" s="67">
        <f>MAX($BI$1*(BY166-Driver!$F$201)/(Driver!$G$201-Driver!$F$201),1)</f>
        <v>8.1645569620253173</v>
      </c>
      <c r="BJ166" s="67">
        <f>(CB166-Driver!$F$206)/(Driver!$G$206-Driver!$F$206)*$BI$1</f>
        <v>4.4444444444444446</v>
      </c>
      <c r="BK166" s="67">
        <f>(CD166-Driver!$F$203)/(Driver!$G$203-Driver!$F$203)*$BI$1</f>
        <v>5.2752293577981648</v>
      </c>
      <c r="BL166" s="67">
        <f>MAX((CR166-Driver!$F$202)/(Driver!$G$202-Driver!$F$202)*$BI$1,1)</f>
        <v>7.2413793103448274</v>
      </c>
      <c r="BM166" s="67">
        <f>MAX((CH166-Driver!$F$204)/(Driver!$G$204-Driver!$F$204)*$BI$1,1)</f>
        <v>3.4188034188034191</v>
      </c>
      <c r="BN166" s="67">
        <f>(CI166-Driver!$F$205)/(Driver!$G$205-Driver!$F$205)*$BI$1</f>
        <v>2.4705882352941178</v>
      </c>
      <c r="BO166" s="67">
        <f>(CK166-Driver!$F$207)/(Driver!$G$207-Driver!$F$207)*$BI$1</f>
        <v>1.3133402275077559</v>
      </c>
      <c r="BP166" s="67">
        <f>(CM166-Driver!$F$208)/(Driver!$G$208-Driver!$F$208)*$BI$1</f>
        <v>1.5666666666666669</v>
      </c>
      <c r="BQ166" s="67">
        <f>(CL166-Driver!$F$209)/(Driver!$G$209-Driver!$F$209)*$BI$1</f>
        <v>5.78125</v>
      </c>
      <c r="BR166" s="28" t="s">
        <v>155</v>
      </c>
      <c r="BS166" s="8" t="s">
        <v>167</v>
      </c>
      <c r="BT166" s="9" t="s">
        <v>393</v>
      </c>
      <c r="BU166" s="10">
        <v>177</v>
      </c>
      <c r="BV166" s="9" t="s">
        <v>158</v>
      </c>
      <c r="BW166" s="10">
        <v>177</v>
      </c>
      <c r="BX166" s="10">
        <v>175.2</v>
      </c>
      <c r="BY166" s="10">
        <v>137</v>
      </c>
      <c r="BZ166" s="10">
        <v>156</v>
      </c>
      <c r="CA166" s="10">
        <v>126</v>
      </c>
      <c r="CB166" s="10">
        <v>92</v>
      </c>
      <c r="CC166" s="10">
        <v>116</v>
      </c>
      <c r="CD166" s="10">
        <v>20.9</v>
      </c>
      <c r="CE166" s="10">
        <v>1773</v>
      </c>
      <c r="CF166" s="10">
        <v>1.01</v>
      </c>
      <c r="CG166" s="10">
        <v>1793</v>
      </c>
      <c r="CH166" s="10">
        <v>181</v>
      </c>
      <c r="CI166" s="10">
        <v>75</v>
      </c>
      <c r="CJ166" s="10">
        <v>53</v>
      </c>
      <c r="CK166" s="10">
        <v>237</v>
      </c>
      <c r="CL166" s="10">
        <v>37</v>
      </c>
      <c r="CM166" s="10">
        <v>141</v>
      </c>
      <c r="CN166" s="10">
        <v>0.69099999999999995</v>
      </c>
      <c r="CO166" s="10">
        <v>98</v>
      </c>
      <c r="CP166" s="10">
        <v>92</v>
      </c>
      <c r="CQ166" s="10">
        <v>139</v>
      </c>
      <c r="CR166" s="10">
        <v>10</v>
      </c>
      <c r="CS166" s="10">
        <v>5.5</v>
      </c>
      <c r="CT166" s="9" t="s">
        <v>188</v>
      </c>
      <c r="CU166" s="10"/>
      <c r="CV166" s="10"/>
      <c r="CW166" s="10"/>
      <c r="CX166" t="str">
        <f>INDEX('Data_Price '!AG$2:AG$1266,MATCH(Data!$DN166,'Data_Price '!$AT$2:$AT$1266,0))</f>
        <v>Head Oblivion 94 Skis 2022 - 177</v>
      </c>
      <c r="CY166" t="str">
        <f>INDEX('Data_Price '!AH$2:AH$1266,MATCH(Data!$DN166,'Data_Price '!$AT$2:$AT$1266,0))</f>
        <v>Ridgeline Bike &amp; Ski</v>
      </c>
      <c r="CZ166">
        <f>INDEX('Data_Price '!AI$2:AI$1266,MATCH(Data!$DN166,'Data_Price '!$AT$2:$AT$1266,0))</f>
        <v>399</v>
      </c>
      <c r="DA166" t="str">
        <f>INDEX('Data_Price '!AJ$2:AJ$1266,MATCH(Data!$DN166,'Data_Price '!$AT$2:$AT$1266,0))</f>
        <v>https://tinyurl.com/ybok3y8b</v>
      </c>
      <c r="DB166" t="str">
        <f>INDEX('Data_Price '!AK$2:AK$1266,MATCH(Data!$DN166,'Data_Price '!$AT$2:$AT$1266,0))</f>
        <v>Head Oblivion 94 Gr/Bl / 177cm</v>
      </c>
      <c r="DC166" t="str">
        <f>INDEX('Data_Price '!AL$2:AL$1266,MATCH(Data!$DN166,'Data_Price '!$AT$2:$AT$1266,0))</f>
        <v>Sundance Ski and Board Shop</v>
      </c>
      <c r="DD166">
        <f>INDEX('Data_Price '!AM$2:AM$1266,MATCH(Data!$DN166,'Data_Price '!$AT$2:$AT$1266,0))</f>
        <v>441.09</v>
      </c>
      <c r="DE166" t="str">
        <f>INDEX('Data_Price '!AN$2:AN$1266,MATCH(Data!$DN166,'Data_Price '!$AT$2:$AT$1266,0))</f>
        <v>https://tinyurl.com/ycbas5nl</v>
      </c>
      <c r="DF166" t="str">
        <f>INDEX('Data_Price '!AO$2:AO$1266,MATCH(Data!$DN166,'Data_Price '!$AT$2:$AT$1266,0))</f>
        <v>Head Oblivion 94 Skis 2022 - 177</v>
      </c>
      <c r="DG166" t="str">
        <f>INDEX('Data_Price '!AP$2:AP$1266,MATCH(Data!$DN166,'Data_Price '!$AT$2:$AT$1266,0))</f>
        <v>evo.com</v>
      </c>
      <c r="DH166">
        <f>INDEX('Data_Price '!AQ$2:AQ$1266,MATCH(Data!$DN166,'Data_Price '!$AT$2:$AT$1266,0))</f>
        <v>499</v>
      </c>
      <c r="DI166" t="str">
        <f>INDEX('Data_Price '!AR$2:AR$1266,MATCH(Data!$DN166,'Data_Price '!$AT$2:$AT$1266,0))</f>
        <v>https://tinyurl.com/yats2esv</v>
      </c>
      <c r="DJ166" s="89" t="str">
        <f t="shared" si="106"/>
        <v>https://tinyurl.com/ybok3y8b</v>
      </c>
      <c r="DK166" s="89" t="str">
        <f t="shared" si="107"/>
        <v>https://tinyurl.com/ycbas5nl</v>
      </c>
      <c r="DL166" s="89" t="str">
        <f t="shared" si="108"/>
        <v>https://tinyurl.com/yats2esv</v>
      </c>
      <c r="DM166" s="219" t="str">
        <f t="shared" si="109"/>
        <v>Oblivion 94</v>
      </c>
      <c r="DN166" s="89" t="str">
        <f t="shared" si="110"/>
        <v xml:space="preserve"> HeadOblivion 94177 Unisex</v>
      </c>
      <c r="DO166" s="221" t="s">
        <v>394</v>
      </c>
    </row>
    <row r="167" spans="2:119" ht="15.6" customHeight="1">
      <c r="B167" s="219" t="b">
        <f t="array" ref="B167">IF(OR(ISERROR(K167:P167)),FALSE,TRUE)</f>
        <v>1</v>
      </c>
      <c r="C167" s="43" t="b">
        <f>OR(BR167=Driver!$G$50,Data!BR97=Driver!$H$50)</f>
        <v>1</v>
      </c>
      <c r="D167" s="43" t="b">
        <f>OR(BV167=Driver!$G$51,BV167=Driver!$H$51)</f>
        <v>0</v>
      </c>
      <c r="E167" s="43" t="b">
        <f>AND(BX167&gt;Driver!$F$54,BX167&lt;Driver!$G$54)</f>
        <v>0</v>
      </c>
      <c r="F167" s="43" t="b">
        <f>CL167&gt;Driver!$F$56</f>
        <v>1</v>
      </c>
      <c r="G167" s="43" t="b">
        <f>AND(CB167&gt;Driver!$F$55,CB167&lt;Driver!$G$55)</f>
        <v>1</v>
      </c>
      <c r="H167" s="43" t="b">
        <f t="shared" si="74"/>
        <v>0</v>
      </c>
      <c r="I167" s="43">
        <f t="shared" si="75"/>
        <v>0</v>
      </c>
      <c r="J167" s="43" t="b">
        <f t="array" ref="J167">NOT(OR(($H$9:$H$1273=TRUE)*($I$9:$I$1273&gt;0)*($BT$9:$BT$1273=BT167)*($K$9:$K$1273&gt;K167)))</f>
        <v>1</v>
      </c>
      <c r="K167" s="72">
        <f t="shared" si="76"/>
        <v>0.88640807257063725</v>
      </c>
      <c r="L167" s="72">
        <f t="shared" si="77"/>
        <v>0.9605900339531388</v>
      </c>
      <c r="M167" s="72">
        <f t="shared" si="78"/>
        <v>0.81222611118813581</v>
      </c>
      <c r="N167" s="72">
        <f t="shared" si="79"/>
        <v>0.77265468966008588</v>
      </c>
      <c r="O167" s="72">
        <f t="shared" si="80"/>
        <v>0.68186305815103287</v>
      </c>
      <c r="P167" s="72">
        <f t="shared" si="81"/>
        <v>0.98216058575328868</v>
      </c>
      <c r="Q167" s="72"/>
      <c r="R167" s="72"/>
      <c r="S167" s="72">
        <f t="shared" si="82"/>
        <v>0.45302052619305055</v>
      </c>
      <c r="T167" s="72">
        <f t="shared" si="83"/>
        <v>0.45457733364129504</v>
      </c>
      <c r="U167" s="72">
        <f t="shared" si="84"/>
        <v>0.57606267490951235</v>
      </c>
      <c r="V167" s="72">
        <f t="shared" si="85"/>
        <v>0.56119008269985649</v>
      </c>
      <c r="W167" s="72">
        <f t="shared" si="86"/>
        <v>0.86008064516129035</v>
      </c>
      <c r="X167" s="72">
        <f t="shared" si="87"/>
        <v>3.9409966046861228E-2</v>
      </c>
      <c r="Y167" s="72">
        <f t="shared" si="88"/>
        <v>0.18777388881186421</v>
      </c>
      <c r="Z167" s="72">
        <f t="shared" si="89"/>
        <v>0.22734531033991418</v>
      </c>
      <c r="AA167" s="72">
        <f t="shared" si="90"/>
        <v>0.31813694184896713</v>
      </c>
      <c r="AB167" s="72">
        <f t="shared" si="91"/>
        <v>1.7839414246711371E-2</v>
      </c>
      <c r="AC167" s="72"/>
      <c r="AD167" s="72"/>
      <c r="AE167" s="72">
        <f t="shared" si="92"/>
        <v>0.54697947380694945</v>
      </c>
      <c r="AF167" s="72">
        <f t="shared" si="93"/>
        <v>0.54542266635870496</v>
      </c>
      <c r="AG167" s="72">
        <f t="shared" si="94"/>
        <v>0.4239373250904877</v>
      </c>
      <c r="AH167" s="72">
        <f t="shared" si="95"/>
        <v>0.43880991730014351</v>
      </c>
      <c r="AI167" s="72">
        <f t="shared" si="96"/>
        <v>0.13991935483870971</v>
      </c>
      <c r="AJ167" s="72">
        <f>(AV167-Driver!$K$179)/(Driver!$L$179-Driver!$K$179)</f>
        <v>0.2148094432358392</v>
      </c>
      <c r="AK167" s="72">
        <f>(AW167-Driver!$K$180)/(Driver!$L$180-Driver!$K$180)</f>
        <v>0.27747992904203189</v>
      </c>
      <c r="AL167" s="72">
        <f>(AX167-Driver!$K$181)/(Driver!$L$181-Driver!$K$181)</f>
        <v>0.32903307405299437</v>
      </c>
      <c r="AM167" s="72">
        <f>(AY167-Driver!$K$182)/(Driver!$L$182-Driver!$K$182)</f>
        <v>0.12924807924807927</v>
      </c>
      <c r="AN167" s="72">
        <f>(AZ167-Driver!$K$183)/(Driver!$L$183-Driver!$K$183)</f>
        <v>0.2720588235294118</v>
      </c>
      <c r="AO167" s="72"/>
      <c r="AP167" s="72"/>
      <c r="AQ167" s="72">
        <f>(BC167-Driver!$K$188)/(Driver!$L$188-Driver!$K$188)</f>
        <v>7.3020526193050578E-2</v>
      </c>
      <c r="AR167" s="72">
        <f>MIN((BD167-Driver!$K$189)/(Driver!$L$189-Driver!$K$189),100%)</f>
        <v>4.577333641295098E-3</v>
      </c>
      <c r="AS167" s="72">
        <f>(BE167-Driver!$K$190)/(Driver!$L$190-Driver!$K$190)</f>
        <v>8.6062674909512291E-2</v>
      </c>
      <c r="AT167" s="72">
        <f>(BF167-Driver!$K$191)/(Driver!$L$191-Driver!$K$191)</f>
        <v>7.1190082699856508E-2</v>
      </c>
      <c r="AU167" s="72">
        <f>(BG167-Driver!$K$192)/(Driver!$L$192-Driver!$K$192)</f>
        <v>0.11008064516129031</v>
      </c>
      <c r="AV167" s="70">
        <f t="shared" si="97"/>
        <v>4.521096187762855</v>
      </c>
      <c r="AW167" s="70">
        <f t="shared" si="98"/>
        <v>28.914770428897416</v>
      </c>
      <c r="AX167" s="70">
        <f t="shared" si="99"/>
        <v>3.9612976664769493</v>
      </c>
      <c r="AY167" s="70">
        <f>IFERROR(Driver!$K$19/Data!BH167/Data!BI167*Data!BK167*Data!BL167,"")</f>
        <v>0.15823821290445783</v>
      </c>
      <c r="AZ167" s="70">
        <f t="shared" si="100"/>
        <v>24.79523454951601</v>
      </c>
      <c r="BA167" s="70"/>
      <c r="BB167" s="70"/>
      <c r="BC167" s="70">
        <f t="shared" si="101"/>
        <v>37.876254566797847</v>
      </c>
      <c r="BD167" s="70">
        <f t="shared" si="102"/>
        <v>2.1259088007970575</v>
      </c>
      <c r="BE167" s="70">
        <f t="shared" si="103"/>
        <v>8.622571104150567E-2</v>
      </c>
      <c r="BF167" s="70">
        <f t="shared" si="104"/>
        <v>8.0404197023119526</v>
      </c>
      <c r="BG167" s="70">
        <f t="shared" si="105"/>
        <v>0.41683554644048942</v>
      </c>
      <c r="BH167" s="67">
        <f>MAX((CE167-Driver!$F$200)/(Driver!$G$200-Driver!$F$200)*$BI$1,1)</f>
        <v>3.9612976664769493</v>
      </c>
      <c r="BI167" s="67">
        <f>MAX($BI$1*(BY167-Driver!$F$201)/(Driver!$G$201-Driver!$F$201),1)</f>
        <v>7.0253164556962027</v>
      </c>
      <c r="BJ167" s="67">
        <f>(CB167-Driver!$F$206)/(Driver!$G$206-Driver!$F$206)*$BI$1</f>
        <v>6.825396825396826</v>
      </c>
      <c r="BK167" s="67">
        <f>(CD167-Driver!$F$203)/(Driver!$G$203-Driver!$F$203)*$BI$1</f>
        <v>3.9908256880733957</v>
      </c>
      <c r="BL167" s="67">
        <f>MAX((CR167-Driver!$F$202)/(Driver!$G$202-Driver!$F$202)*$BI$1,1)</f>
        <v>5.5172413793103452</v>
      </c>
      <c r="BM167" s="67">
        <f>MAX((CH167-Driver!$F$204)/(Driver!$G$204-Driver!$F$204)*$BI$1,1)</f>
        <v>2.6495726495726495</v>
      </c>
      <c r="BN167" s="67">
        <f>(CI167-Driver!$F$205)/(Driver!$G$205-Driver!$F$205)*$BI$1</f>
        <v>3.5294117647058827</v>
      </c>
      <c r="BO167" s="67">
        <f>(CK167-Driver!$F$207)/(Driver!$G$207-Driver!$F$207)*$BI$1</f>
        <v>2.5336091003102377</v>
      </c>
      <c r="BP167" s="67">
        <f>(CM167-Driver!$F$208)/(Driver!$G$208-Driver!$F$208)*$BI$1</f>
        <v>1.8555555555555556</v>
      </c>
      <c r="BQ167" s="67">
        <f>(CL167-Driver!$F$209)/(Driver!$G$209-Driver!$F$209)*$BI$1</f>
        <v>4.375</v>
      </c>
      <c r="BR167" s="28" t="s">
        <v>155</v>
      </c>
      <c r="BS167" s="8" t="s">
        <v>182</v>
      </c>
      <c r="BT167" s="9" t="s">
        <v>395</v>
      </c>
      <c r="BU167" s="10">
        <v>172</v>
      </c>
      <c r="BV167" s="9" t="s">
        <v>163</v>
      </c>
      <c r="BW167" s="10">
        <v>172</v>
      </c>
      <c r="BX167" s="10">
        <v>171.3</v>
      </c>
      <c r="BY167" s="10">
        <v>119</v>
      </c>
      <c r="BZ167" s="10">
        <v>136</v>
      </c>
      <c r="CA167" s="10">
        <v>133</v>
      </c>
      <c r="CB167" s="10">
        <v>107</v>
      </c>
      <c r="CC167" s="10">
        <v>125</v>
      </c>
      <c r="CD167" s="10">
        <v>18.100000000000001</v>
      </c>
      <c r="CE167" s="10">
        <v>1596</v>
      </c>
      <c r="CF167" s="10">
        <v>1.25</v>
      </c>
      <c r="CG167" s="10">
        <v>1989</v>
      </c>
      <c r="CH167" s="10">
        <v>163</v>
      </c>
      <c r="CI167" s="10">
        <v>93</v>
      </c>
      <c r="CJ167" s="10">
        <v>45</v>
      </c>
      <c r="CK167" s="10">
        <v>355</v>
      </c>
      <c r="CL167" s="10">
        <v>28</v>
      </c>
      <c r="CM167" s="10">
        <v>167</v>
      </c>
      <c r="CN167" s="10">
        <v>0.622</v>
      </c>
      <c r="CO167" s="10">
        <v>208</v>
      </c>
      <c r="CP167" s="10">
        <v>143</v>
      </c>
      <c r="CQ167" s="10">
        <v>147</v>
      </c>
      <c r="CR167" s="10">
        <v>5</v>
      </c>
      <c r="CS167" s="10">
        <v>9.8000000000000007</v>
      </c>
      <c r="CT167" s="9" t="s">
        <v>169</v>
      </c>
      <c r="CU167" s="9" t="s">
        <v>185</v>
      </c>
      <c r="CV167" s="10"/>
      <c r="CW167" s="10"/>
      <c r="CX167" t="str">
        <f>INDEX('Data_Price '!AG$2:AG$1266,MATCH(Data!$DN167,'Data_Price '!$AT$2:$AT$1266,0))</f>
        <v>Armada Trace 108 Skis - Women's 2022</v>
      </c>
      <c r="CY167" t="str">
        <f>INDEX('Data_Price '!AH$2:AH$1266,MATCH(Data!$DN167,'Data_Price '!$AT$2:$AT$1266,0))</f>
        <v>Snowcountry.eu</v>
      </c>
      <c r="CZ167">
        <f>INDEX('Data_Price '!AI$2:AI$1266,MATCH(Data!$DN167,'Data_Price '!$AT$2:$AT$1266,0))</f>
        <v>423.23</v>
      </c>
      <c r="DA167" t="str">
        <f>INDEX('Data_Price '!AJ$2:AJ$1266,MATCH(Data!$DN167,'Data_Price '!$AT$2:$AT$1266,0))</f>
        <v>https://tinyurl.com/yddyp2qu</v>
      </c>
      <c r="DB167" t="str">
        <f>INDEX('Data_Price '!AK$2:AK$1266,MATCH(Data!$DN167,'Data_Price '!$AT$2:$AT$1266,0))</f>
        <v>Armada Trace 108 Skis - Women's 2022</v>
      </c>
      <c r="DC167" t="str">
        <f>INDEX('Data_Price '!AL$2:AL$1266,MATCH(Data!$DN167,'Data_Price '!$AT$2:$AT$1266,0))</f>
        <v>PRFO Sports</v>
      </c>
      <c r="DD167">
        <f>INDEX('Data_Price '!AM$2:AM$1266,MATCH(Data!$DN167,'Data_Price '!$AT$2:$AT$1266,0))</f>
        <v>544.54999999999995</v>
      </c>
      <c r="DE167" t="str">
        <f>INDEX('Data_Price '!AN$2:AN$1266,MATCH(Data!$DN167,'Data_Price '!$AT$2:$AT$1266,0))</f>
        <v>https://tinyurl.com/ybkhmvho</v>
      </c>
      <c r="DF167" t="str">
        <f>INDEX('Data_Price '!AO$2:AO$1266,MATCH(Data!$DN167,'Data_Price '!$AT$2:$AT$1266,0))</f>
        <v>Armada Trace 108 Skis - Women's 2022</v>
      </c>
      <c r="DG167" t="str">
        <f>INDEX('Data_Price '!AP$2:AP$1266,MATCH(Data!$DN167,'Data_Price '!$AT$2:$AT$1266,0))</f>
        <v>REI</v>
      </c>
      <c r="DH167">
        <f>INDEX('Data_Price '!AQ$2:AQ$1266,MATCH(Data!$DN167,'Data_Price '!$AT$2:$AT$1266,0))</f>
        <v>599.92999999999995</v>
      </c>
      <c r="DI167" t="str">
        <f>INDEX('Data_Price '!AR$2:AR$1266,MATCH(Data!$DN167,'Data_Price '!$AT$2:$AT$1266,0))</f>
        <v>https://tinyurl.com/ybor5f9j</v>
      </c>
      <c r="DJ167" s="89" t="str">
        <f t="shared" si="106"/>
        <v>https://tinyurl.com/yddyp2qu</v>
      </c>
      <c r="DK167" s="89" t="str">
        <f t="shared" si="107"/>
        <v>https://tinyurl.com/ybkhmvho</v>
      </c>
      <c r="DL167" s="89" t="str">
        <f t="shared" si="108"/>
        <v>https://tinyurl.com/ybor5f9j</v>
      </c>
      <c r="DM167" s="219" t="str">
        <f t="shared" si="109"/>
        <v>Trace 108</v>
      </c>
      <c r="DN167" s="89" t="str">
        <f t="shared" si="110"/>
        <v xml:space="preserve"> ArmadaTrace 108172 Women's</v>
      </c>
      <c r="DO167" s="221" t="s">
        <v>396</v>
      </c>
    </row>
    <row r="168" spans="2:119" ht="15.6" customHeight="1">
      <c r="B168" s="219" t="b">
        <f t="array" ref="B168">IF(OR(ISERROR(K168:P168)),FALSE,TRUE)</f>
        <v>1</v>
      </c>
      <c r="C168" s="43" t="b">
        <f>OR(BR168=Driver!$G$50,Data!BR10=Driver!$H$50)</f>
        <v>0</v>
      </c>
      <c r="D168" s="43" t="b">
        <f>OR(BV168=Driver!$G$51,BV168=Driver!$H$51)</f>
        <v>0</v>
      </c>
      <c r="E168" s="43" t="b">
        <f>AND(BX168&gt;Driver!$F$54,BX168&lt;Driver!$G$54)</f>
        <v>1</v>
      </c>
      <c r="F168" s="43" t="b">
        <f>CL168&gt;Driver!$F$56</f>
        <v>1</v>
      </c>
      <c r="G168" s="43" t="b">
        <f>AND(CB168&gt;Driver!$F$55,CB168&lt;Driver!$G$55)</f>
        <v>1</v>
      </c>
      <c r="H168" s="43" t="b">
        <f t="shared" si="74"/>
        <v>0</v>
      </c>
      <c r="I168" s="43">
        <f t="shared" si="75"/>
        <v>0</v>
      </c>
      <c r="J168" s="43" t="b">
        <f t="array" ref="J168">NOT(OR(($H$9:$H$1273=TRUE)*($I$9:$I$1273&gt;0)*($BT$9:$BT$1273=BT168)*($K$9:$K$1273&gt;K168)))</f>
        <v>1</v>
      </c>
      <c r="K168" s="72">
        <f t="shared" si="76"/>
        <v>0.89018735311155228</v>
      </c>
      <c r="L168" s="72">
        <f t="shared" si="77"/>
        <v>0.88535308102550925</v>
      </c>
      <c r="M168" s="72">
        <f t="shared" si="78"/>
        <v>0.89502162519759543</v>
      </c>
      <c r="N168" s="72">
        <f t="shared" si="79"/>
        <v>0.91936941804812089</v>
      </c>
      <c r="O168" s="72">
        <f t="shared" si="80"/>
        <v>0.78075709401359894</v>
      </c>
      <c r="P168" s="72">
        <f t="shared" si="81"/>
        <v>0.98493836353106645</v>
      </c>
      <c r="Q168" s="72"/>
      <c r="R168" s="72"/>
      <c r="S168" s="72">
        <f t="shared" si="82"/>
        <v>0.45985495383974062</v>
      </c>
      <c r="T168" s="72">
        <f t="shared" si="83"/>
        <v>0.45695312577812741</v>
      </c>
      <c r="U168" s="72">
        <f t="shared" si="84"/>
        <v>0.65583304791930241</v>
      </c>
      <c r="V168" s="72">
        <f t="shared" si="85"/>
        <v>0.54860207695095964</v>
      </c>
      <c r="W168" s="72">
        <f t="shared" si="86"/>
        <v>0.82379587155963296</v>
      </c>
      <c r="X168" s="72">
        <f t="shared" si="87"/>
        <v>0.11464691897449075</v>
      </c>
      <c r="Y168" s="72">
        <f t="shared" si="88"/>
        <v>0.10497837480240456</v>
      </c>
      <c r="Z168" s="72">
        <f t="shared" si="89"/>
        <v>8.0630581951879068E-2</v>
      </c>
      <c r="AA168" s="72">
        <f t="shared" si="90"/>
        <v>0.21924290598640103</v>
      </c>
      <c r="AB168" s="72">
        <f t="shared" si="91"/>
        <v>1.5061636468933548E-2</v>
      </c>
      <c r="AC168" s="72"/>
      <c r="AD168" s="72"/>
      <c r="AE168" s="72">
        <f t="shared" si="92"/>
        <v>0.54014504616025938</v>
      </c>
      <c r="AF168" s="72">
        <f t="shared" si="93"/>
        <v>0.54304687422187259</v>
      </c>
      <c r="AG168" s="72">
        <f t="shared" si="94"/>
        <v>0.34416695208069759</v>
      </c>
      <c r="AH168" s="72">
        <f t="shared" si="95"/>
        <v>0.45139792304904031</v>
      </c>
      <c r="AI168" s="72">
        <f t="shared" si="96"/>
        <v>0.17620412844036701</v>
      </c>
      <c r="AJ168" s="72">
        <f>(AV168-Driver!$K$179)/(Driver!$L$179-Driver!$K$179)</f>
        <v>0.36886632825719118</v>
      </c>
      <c r="AK168" s="72">
        <f>(AW168-Driver!$K$180)/(Driver!$L$180-Driver!$K$180)</f>
        <v>0.26257598606556282</v>
      </c>
      <c r="AL168" s="72">
        <f>(AX168-Driver!$K$181)/(Driver!$L$181-Driver!$K$181)</f>
        <v>0.18231834566495925</v>
      </c>
      <c r="AM168" s="72">
        <f>(AY168-Driver!$K$182)/(Driver!$L$182-Driver!$K$182)</f>
        <v>0.22814211511064533</v>
      </c>
      <c r="AN168" s="72">
        <f>(AZ168-Driver!$K$183)/(Driver!$L$183-Driver!$K$183)</f>
        <v>0.26928104575163397</v>
      </c>
      <c r="AO168" s="72"/>
      <c r="AP168" s="72"/>
      <c r="AQ168" s="72">
        <f>(BC168-Driver!$K$188)/(Driver!$L$188-Driver!$K$188)</f>
        <v>7.9854953839740644E-2</v>
      </c>
      <c r="AR168" s="72">
        <f>MIN((BD168-Driver!$K$189)/(Driver!$L$189-Driver!$K$189),100%)</f>
        <v>6.9531257781274445E-3</v>
      </c>
      <c r="AS168" s="72">
        <f>(BE168-Driver!$K$190)/(Driver!$L$190-Driver!$K$190)</f>
        <v>0.16583304791930242</v>
      </c>
      <c r="AT168" s="72">
        <f>(BF168-Driver!$K$191)/(Driver!$L$191-Driver!$K$191)</f>
        <v>5.8602076950959689E-2</v>
      </c>
      <c r="AU168" s="72">
        <f>(BG168-Driver!$K$192)/(Driver!$L$192-Driver!$K$192)</f>
        <v>7.3795871559632992E-2</v>
      </c>
      <c r="AV168" s="70">
        <f t="shared" si="97"/>
        <v>7.7635327635327638</v>
      </c>
      <c r="AW168" s="70">
        <f t="shared" si="98"/>
        <v>27.462249123471242</v>
      </c>
      <c r="AX168" s="70">
        <f t="shared" si="99"/>
        <v>2.6408651109846333</v>
      </c>
      <c r="AY168" s="70">
        <f>IFERROR(Driver!$K$19/Data!BH168/Data!BI168*Data!BK168*Data!BL168,"")</f>
        <v>0.27931401993262589</v>
      </c>
      <c r="AZ168" s="70">
        <f t="shared" si="100"/>
        <v>24.542069992553984</v>
      </c>
      <c r="BA168" s="70"/>
      <c r="BB168" s="70"/>
      <c r="BC168" s="70">
        <f t="shared" si="101"/>
        <v>41.421319699306167</v>
      </c>
      <c r="BD168" s="70">
        <f t="shared" si="102"/>
        <v>2.3361621952521521</v>
      </c>
      <c r="BE168" s="70">
        <f t="shared" si="103"/>
        <v>0.16598185391460463</v>
      </c>
      <c r="BF168" s="70">
        <f t="shared" si="104"/>
        <v>6.6186928887195569</v>
      </c>
      <c r="BG168" s="70">
        <f t="shared" si="105"/>
        <v>0.27943824640145515</v>
      </c>
      <c r="BH168" s="67">
        <f>MAX((CE168-Driver!$F$200)/(Driver!$G$200-Driver!$F$200)*$BI$1,1)</f>
        <v>2.6408651109846333</v>
      </c>
      <c r="BI168" s="67">
        <f>MAX($BI$1*(BY168-Driver!$F$201)/(Driver!$G$201-Driver!$F$201),1)</f>
        <v>6.518987341772152</v>
      </c>
      <c r="BJ168" s="67">
        <f>(CB168-Driver!$F$206)/(Driver!$G$206-Driver!$F$206)*$BI$1</f>
        <v>6.6666666666666661</v>
      </c>
      <c r="BK168" s="67">
        <f>(CD168-Driver!$F$203)/(Driver!$G$203-Driver!$F$203)*$BI$1</f>
        <v>4.3577981651376145</v>
      </c>
      <c r="BL168" s="67">
        <f>MAX((CR168-Driver!$F$202)/(Driver!$G$202-Driver!$F$202)*$BI$1,1)</f>
        <v>5.5172413793103452</v>
      </c>
      <c r="BM168" s="67">
        <f>MAX((CH168-Driver!$F$204)/(Driver!$G$204-Driver!$F$204)*$BI$1,1)</f>
        <v>4.6581196581196584</v>
      </c>
      <c r="BN168" s="67">
        <f>(CI168-Driver!$F$205)/(Driver!$G$205-Driver!$F$205)*$BI$1</f>
        <v>3.7647058823529411</v>
      </c>
      <c r="BO168" s="67">
        <f>(CK168-Driver!$F$207)/(Driver!$G$207-Driver!$F$207)*$BI$1</f>
        <v>1.6856256463288521</v>
      </c>
      <c r="BP168" s="67">
        <f>(CM168-Driver!$F$208)/(Driver!$G$208-Driver!$F$208)*$BI$1</f>
        <v>2.5666666666666664</v>
      </c>
      <c r="BQ168" s="67">
        <f>(CL168-Driver!$F$209)/(Driver!$G$209-Driver!$F$209)*$BI$1</f>
        <v>3.4375</v>
      </c>
      <c r="BR168" s="28" t="s">
        <v>217</v>
      </c>
      <c r="BS168" s="8" t="s">
        <v>218</v>
      </c>
      <c r="BT168" s="9" t="s">
        <v>397</v>
      </c>
      <c r="BU168" s="10">
        <v>163</v>
      </c>
      <c r="BV168" s="9" t="s">
        <v>163</v>
      </c>
      <c r="BW168" s="10">
        <v>163</v>
      </c>
      <c r="BX168" s="10">
        <v>161.69999999999999</v>
      </c>
      <c r="BY168" s="10">
        <v>111</v>
      </c>
      <c r="BZ168" s="10">
        <v>124</v>
      </c>
      <c r="CA168" s="10">
        <v>132</v>
      </c>
      <c r="CB168" s="10">
        <v>106</v>
      </c>
      <c r="CC168" s="10">
        <v>118</v>
      </c>
      <c r="CD168" s="10">
        <v>18.899999999999999</v>
      </c>
      <c r="CE168" s="10">
        <v>1364</v>
      </c>
      <c r="CF168" s="10">
        <v>1.35</v>
      </c>
      <c r="CG168" s="10">
        <v>1840</v>
      </c>
      <c r="CH168" s="10">
        <v>210</v>
      </c>
      <c r="CI168" s="10">
        <v>97</v>
      </c>
      <c r="CJ168" s="10">
        <v>43</v>
      </c>
      <c r="CK168" s="10">
        <v>273</v>
      </c>
      <c r="CL168" s="10">
        <v>22</v>
      </c>
      <c r="CM168" s="10">
        <v>231</v>
      </c>
      <c r="CN168" s="10">
        <v>0.52300000000000002</v>
      </c>
      <c r="CO168" s="10">
        <v>194</v>
      </c>
      <c r="CP168" s="10">
        <v>181</v>
      </c>
      <c r="CQ168" s="10">
        <v>79</v>
      </c>
      <c r="CR168" s="10">
        <v>5</v>
      </c>
      <c r="CS168" s="10">
        <v>10.7</v>
      </c>
      <c r="CT168" s="9" t="s">
        <v>169</v>
      </c>
      <c r="CU168" s="9" t="s">
        <v>185</v>
      </c>
      <c r="CV168" s="9" t="s">
        <v>198</v>
      </c>
      <c r="CW168" s="10"/>
      <c r="CX168" t="str">
        <f>INDEX('Data_Price '!AG$2:AG$1266,MATCH(Data!$DN168,'Data_Price '!$AT$2:$AT$1266,0))</f>
        <v>DPS Pagoda Tour 106 C2 Skis 163cm 2022</v>
      </c>
      <c r="CY168" t="str">
        <f>INDEX('Data_Price '!AH$2:AH$1266,MATCH(Data!$DN168,'Data_Price '!$AT$2:$AT$1266,0))</f>
        <v>REI</v>
      </c>
      <c r="CZ168">
        <f>INDEX('Data_Price '!AI$2:AI$1266,MATCH(Data!$DN168,'Data_Price '!$AT$2:$AT$1266,0))</f>
        <v>1038.93</v>
      </c>
      <c r="DA168" t="str">
        <f>INDEX('Data_Price '!AJ$2:AJ$1266,MATCH(Data!$DN168,'Data_Price '!$AT$2:$AT$1266,0))</f>
        <v>https://tinyurl.com/yboc4eb2</v>
      </c>
      <c r="DB168" t="str">
        <f>INDEX('Data_Price '!AK$2:AK$1266,MATCH(Data!$DN168,'Data_Price '!$AT$2:$AT$1266,0))</f>
        <v>DPS Pagoda Tour 106 C2 Skis 163cm 2022</v>
      </c>
      <c r="DC168" t="str">
        <f>INDEX('Data_Price '!AL$2:AL$1266,MATCH(Data!$DN168,'Data_Price '!$AT$2:$AT$1266,0))</f>
        <v>Bentgate Mountaineering</v>
      </c>
      <c r="DD168">
        <f>INDEX('Data_Price '!AM$2:AM$1266,MATCH(Data!$DN168,'Data_Price '!$AT$2:$AT$1266,0))</f>
        <v>1039.2</v>
      </c>
      <c r="DE168" t="str">
        <f>INDEX('Data_Price '!AN$2:AN$1266,MATCH(Data!$DN168,'Data_Price '!$AT$2:$AT$1266,0))</f>
        <v>https://tinyurl.com/y9gks3cm</v>
      </c>
      <c r="DF168" t="str">
        <f>INDEX('Data_Price '!AO$2:AO$1266,MATCH(Data!$DN168,'Data_Price '!$AT$2:$AT$1266,0))</f>
        <v>DPS Pagoda Tour 106 C2 Skis 163cm 2022</v>
      </c>
      <c r="DG168" t="str">
        <f>INDEX('Data_Price '!AP$2:AP$1266,MATCH(Data!$DN168,'Data_Price '!$AT$2:$AT$1266,0))</f>
        <v>Skimo &amp; SkyRun</v>
      </c>
      <c r="DH168">
        <f>INDEX('Data_Price '!AQ$2:AQ$1266,MATCH(Data!$DN168,'Data_Price '!$AT$2:$AT$1266,0))</f>
        <v>1098.95</v>
      </c>
      <c r="DI168" t="str">
        <f>INDEX('Data_Price '!AR$2:AR$1266,MATCH(Data!$DN168,'Data_Price '!$AT$2:$AT$1266,0))</f>
        <v>https://tinyurl.com/yd77tdub</v>
      </c>
      <c r="DJ168" s="89" t="str">
        <f t="shared" si="106"/>
        <v>https://tinyurl.com/yboc4eb2</v>
      </c>
      <c r="DK168" s="89" t="str">
        <f t="shared" si="107"/>
        <v>https://tinyurl.com/y9gks3cm</v>
      </c>
      <c r="DL168" s="89" t="str">
        <f t="shared" si="108"/>
        <v>https://tinyurl.com/yd77tdub</v>
      </c>
      <c r="DM168" s="219" t="str">
        <f t="shared" si="109"/>
        <v>Pagoda Tour 106 W</v>
      </c>
      <c r="DN168" s="89" t="str">
        <f t="shared" si="110"/>
        <v xml:space="preserve"> DPSPagoda Tour 106 W163 Women's</v>
      </c>
      <c r="DO168" s="221"/>
    </row>
    <row r="169" spans="2:119" ht="15.6" customHeight="1">
      <c r="B169" s="219" t="b">
        <f t="array" ref="B169">IF(OR(ISERROR(K169:P169)),FALSE,TRUE)</f>
        <v>1</v>
      </c>
      <c r="C169" s="43" t="b">
        <f>OR(BR169=Driver!$G$50,Data!BR803=Driver!$H$50)</f>
        <v>1</v>
      </c>
      <c r="D169" s="43" t="b">
        <f>OR(BV169=Driver!$G$51,BV169=Driver!$H$51)</f>
        <v>0</v>
      </c>
      <c r="E169" s="43" t="b">
        <f>AND(BX169&gt;Driver!$F$54,BX169&lt;Driver!$G$54)</f>
        <v>0</v>
      </c>
      <c r="F169" s="43" t="b">
        <f>CL169&gt;Driver!$F$56</f>
        <v>1</v>
      </c>
      <c r="G169" s="43" t="b">
        <f>AND(CB169&gt;Driver!$F$55,CB169&lt;Driver!$G$55)</f>
        <v>0</v>
      </c>
      <c r="H169" s="43" t="b">
        <f t="shared" si="74"/>
        <v>0</v>
      </c>
      <c r="I169" s="43">
        <f t="shared" si="75"/>
        <v>0</v>
      </c>
      <c r="J169" s="43" t="b">
        <f t="array" ref="J169">NOT(OR(($H$9:$H$1273=TRUE)*($I$9:$I$1273&gt;0)*($BT$9:$BT$1273=BT169)*($K$9:$K$1273&gt;K169)))</f>
        <v>1</v>
      </c>
      <c r="K169" s="72">
        <f t="shared" si="76"/>
        <v>0.87850207980782669</v>
      </c>
      <c r="L169" s="72">
        <f t="shared" si="77"/>
        <v>0.93714309172447052</v>
      </c>
      <c r="M169" s="72">
        <f t="shared" si="78"/>
        <v>0.81986106789118285</v>
      </c>
      <c r="N169" s="72">
        <f t="shared" si="79"/>
        <v>0.86055704847877923</v>
      </c>
      <c r="O169" s="72">
        <f t="shared" si="80"/>
        <v>0.61641622303625188</v>
      </c>
      <c r="P169" s="72">
        <f t="shared" si="81"/>
        <v>0.98260993215851733</v>
      </c>
      <c r="Q169" s="72"/>
      <c r="R169" s="72"/>
      <c r="S169" s="72">
        <f t="shared" si="82"/>
        <v>0.41296805207639209</v>
      </c>
      <c r="T169" s="72">
        <f t="shared" si="83"/>
        <v>0.5958530156367895</v>
      </c>
      <c r="U169" s="72">
        <f t="shared" si="84"/>
        <v>0.52855376658396502</v>
      </c>
      <c r="V169" s="72">
        <f t="shared" si="85"/>
        <v>0.52623042683349996</v>
      </c>
      <c r="W169" s="72">
        <f t="shared" si="86"/>
        <v>0.78206085231030897</v>
      </c>
      <c r="X169" s="72">
        <f t="shared" si="87"/>
        <v>6.2856908275529422E-2</v>
      </c>
      <c r="Y169" s="72">
        <f t="shared" si="88"/>
        <v>0.18013893210881715</v>
      </c>
      <c r="Z169" s="72">
        <f t="shared" si="89"/>
        <v>0.13944295152122071</v>
      </c>
      <c r="AA169" s="72">
        <f t="shared" si="90"/>
        <v>0.38358377696374812</v>
      </c>
      <c r="AB169" s="72">
        <f t="shared" si="91"/>
        <v>1.7390067841482615E-2</v>
      </c>
      <c r="AC169" s="72"/>
      <c r="AD169" s="72"/>
      <c r="AE169" s="72">
        <f t="shared" si="92"/>
        <v>0.58703194792360791</v>
      </c>
      <c r="AF169" s="72">
        <f t="shared" si="93"/>
        <v>0.4041469843632105</v>
      </c>
      <c r="AG169" s="72">
        <f t="shared" si="94"/>
        <v>0.47144623341603498</v>
      </c>
      <c r="AH169" s="72">
        <f t="shared" si="95"/>
        <v>0.47376957316650004</v>
      </c>
      <c r="AI169" s="72">
        <f t="shared" si="96"/>
        <v>0.21793914768969103</v>
      </c>
      <c r="AJ169" s="72">
        <f>(AV169-Driver!$K$179)/(Driver!$L$179-Driver!$K$179)</f>
        <v>0.191362501007171</v>
      </c>
      <c r="AK169" s="72">
        <f>(AW169-Driver!$K$180)/(Driver!$L$180-Driver!$K$180)</f>
        <v>0.26812007438480123</v>
      </c>
      <c r="AL169" s="72">
        <f>(AX169-Driver!$K$181)/(Driver!$L$181-Driver!$K$181)</f>
        <v>0.24113071523430088</v>
      </c>
      <c r="AM169" s="72">
        <f>(AY169-Driver!$K$182)/(Driver!$L$182-Driver!$K$182)</f>
        <v>6.3801244133298213E-2</v>
      </c>
      <c r="AN169" s="72">
        <f>(AZ169-Driver!$K$183)/(Driver!$L$183-Driver!$K$183)</f>
        <v>0.27160947712418304</v>
      </c>
      <c r="AO169" s="72"/>
      <c r="AP169" s="72"/>
      <c r="AQ169" s="72">
        <f>(BC169-Driver!$K$188)/(Driver!$L$188-Driver!$K$188)</f>
        <v>3.2968052076392043E-2</v>
      </c>
      <c r="AR169" s="72">
        <f>MIN((BD169-Driver!$K$189)/(Driver!$L$189-Driver!$K$189),100%)</f>
        <v>0.14585301563678951</v>
      </c>
      <c r="AS169" s="72">
        <f>(BE169-Driver!$K$190)/(Driver!$L$190-Driver!$K$190)</f>
        <v>0.98144623341603499</v>
      </c>
      <c r="AT169" s="72">
        <f>(BF169-Driver!$K$191)/(Driver!$L$191-Driver!$K$191)</f>
        <v>3.623042683349998E-2</v>
      </c>
      <c r="AU169" s="72">
        <f>(BG169-Driver!$K$192)/(Driver!$L$192-Driver!$K$192)</f>
        <v>3.2060852310308981E-2</v>
      </c>
      <c r="AV169" s="70">
        <f t="shared" si="97"/>
        <v>4.0276081942748601</v>
      </c>
      <c r="AW169" s="70">
        <f t="shared" si="98"/>
        <v>28.002569655801004</v>
      </c>
      <c r="AX169" s="70">
        <f t="shared" si="99"/>
        <v>3.170176437108708</v>
      </c>
      <c r="AY169" s="70">
        <f>IFERROR(Driver!$K$19/Data!BH169/Data!BI169*Data!BK169*Data!BL169,"")</f>
        <v>7.8111759273081546E-2</v>
      </c>
      <c r="AZ169" s="70">
        <f t="shared" si="100"/>
        <v>24.754281459419214</v>
      </c>
      <c r="BA169" s="70"/>
      <c r="BB169" s="70"/>
      <c r="BC169" s="70">
        <f t="shared" si="101"/>
        <v>17.100757802204303</v>
      </c>
      <c r="BD169" s="70">
        <f t="shared" si="102"/>
        <v>14.628556331702367</v>
      </c>
      <c r="BE169" s="70">
        <f t="shared" si="103"/>
        <v>0.981449543199162</v>
      </c>
      <c r="BF169" s="70">
        <f t="shared" si="104"/>
        <v>4.0919721776897449</v>
      </c>
      <c r="BG169" s="70">
        <f t="shared" si="105"/>
        <v>0.12140283945951053</v>
      </c>
      <c r="BH169" s="67">
        <f>MAX((CE169-Driver!$F$200)/(Driver!$G$200-Driver!$F$200)*$BI$1,1)</f>
        <v>3.170176437108708</v>
      </c>
      <c r="BI169" s="67">
        <f>MAX($BI$1*(BY169-Driver!$F$201)/(Driver!$G$201-Driver!$F$201),1)</f>
        <v>6.8987341772151902</v>
      </c>
      <c r="BJ169" s="67">
        <f>(CB169-Driver!$F$206)/(Driver!$G$206-Driver!$F$206)*$BI$1</f>
        <v>3.9682539682539679</v>
      </c>
      <c r="BK169" s="67">
        <f>(CD169-Driver!$F$203)/(Driver!$G$203-Driver!$F$203)*$BI$1</f>
        <v>1.3761467889908259</v>
      </c>
      <c r="BL169" s="67">
        <f>MAX((CR169-Driver!$F$202)/(Driver!$G$202-Driver!$F$202)*$BI$1,1)</f>
        <v>6.2068965517241379</v>
      </c>
      <c r="BM169" s="67">
        <f>MAX((CH169-Driver!$F$204)/(Driver!$G$204-Driver!$F$204)*$BI$1,1)</f>
        <v>4.0598290598290596</v>
      </c>
      <c r="BN169" s="67">
        <f>(CI169-Driver!$F$205)/(Driver!$G$205-Driver!$F$205)*$BI$1</f>
        <v>3.5882352941176472</v>
      </c>
      <c r="BO169" s="67">
        <f>(CK169-Driver!$F$207)/(Driver!$G$207-Driver!$F$207)*$BI$1</f>
        <v>0.98241985522233721</v>
      </c>
      <c r="BP169" s="67">
        <f>(CM169-Driver!$F$208)/(Driver!$G$208-Driver!$F$208)*$BI$1</f>
        <v>1.4444444444444442</v>
      </c>
      <c r="BQ169" s="67">
        <f>(CL169-Driver!$F$209)/(Driver!$G$209-Driver!$F$209)*$BI$1</f>
        <v>1.5625</v>
      </c>
      <c r="BR169" s="28" t="s">
        <v>155</v>
      </c>
      <c r="BS169" s="8" t="s">
        <v>215</v>
      </c>
      <c r="BT169" s="9" t="s">
        <v>302</v>
      </c>
      <c r="BU169" s="10">
        <v>151</v>
      </c>
      <c r="BV169" s="9" t="s">
        <v>163</v>
      </c>
      <c r="BW169" s="10">
        <v>151</v>
      </c>
      <c r="BX169" s="10">
        <v>150.4</v>
      </c>
      <c r="BY169" s="10">
        <v>117</v>
      </c>
      <c r="BZ169" s="10">
        <v>131</v>
      </c>
      <c r="CA169" s="10">
        <v>131</v>
      </c>
      <c r="CB169" s="10">
        <v>89</v>
      </c>
      <c r="CC169" s="10">
        <v>114</v>
      </c>
      <c r="CD169" s="10">
        <v>12.4</v>
      </c>
      <c r="CE169" s="10">
        <v>1457</v>
      </c>
      <c r="CF169" s="10">
        <v>1.06</v>
      </c>
      <c r="CG169" s="10">
        <v>1541</v>
      </c>
      <c r="CH169" s="10">
        <v>196</v>
      </c>
      <c r="CI169" s="10">
        <v>94</v>
      </c>
      <c r="CJ169" s="10">
        <v>37</v>
      </c>
      <c r="CK169" s="10">
        <v>205</v>
      </c>
      <c r="CL169" s="10">
        <v>10</v>
      </c>
      <c r="CM169" s="10">
        <v>130</v>
      </c>
      <c r="CN169" s="10">
        <v>0.27400000000000002</v>
      </c>
      <c r="CO169" s="10">
        <v>112</v>
      </c>
      <c r="CP169" s="10">
        <v>85</v>
      </c>
      <c r="CQ169" s="10">
        <v>93</v>
      </c>
      <c r="CR169" s="10">
        <v>7</v>
      </c>
      <c r="CS169" s="10">
        <v>9.6999999999999993</v>
      </c>
      <c r="CT169" s="9" t="s">
        <v>188</v>
      </c>
      <c r="CU169" s="9" t="s">
        <v>185</v>
      </c>
      <c r="CV169" s="10"/>
      <c r="CW169" s="10"/>
      <c r="CX169" t="str">
        <f>INDEX('Data_Price '!AG$2:AG$1266,MATCH(Data!$DN169,'Data_Price '!$AT$2:$AT$1266,0))</f>
        <v>Liberty Evolv 90W Women's Skis</v>
      </c>
      <c r="CY169" t="str">
        <f>INDEX('Data_Price '!AH$2:AH$1266,MATCH(Data!$DN169,'Data_Price '!$AT$2:$AT$1266,0))</f>
        <v>Backcountry Freeskier</v>
      </c>
      <c r="CZ169">
        <f>INDEX('Data_Price '!AI$2:AI$1266,MATCH(Data!$DN169,'Data_Price '!$AT$2:$AT$1266,0))</f>
        <v>389</v>
      </c>
      <c r="DA169" t="str">
        <f>INDEX('Data_Price '!AJ$2:AJ$1266,MATCH(Data!$DN169,'Data_Price '!$AT$2:$AT$1266,0))</f>
        <v>https://tinyurl.com/yam5aad8</v>
      </c>
      <c r="DB169" t="str">
        <f>INDEX('Data_Price '!AK$2:AK$1266,MATCH(Data!$DN169,'Data_Price '!$AT$2:$AT$1266,0))</f>
        <v>Liberty Evolv 90W Women's Skis</v>
      </c>
      <c r="DC169" t="str">
        <f>INDEX('Data_Price '!AL$2:AL$1266,MATCH(Data!$DN169,'Data_Price '!$AT$2:$AT$1266,0))</f>
        <v>eBay - david110549</v>
      </c>
      <c r="DD169">
        <f>INDEX('Data_Price '!AM$2:AM$1266,MATCH(Data!$DN169,'Data_Price '!$AT$2:$AT$1266,0))</f>
        <v>469.95</v>
      </c>
      <c r="DE169" t="str">
        <f>INDEX('Data_Price '!AN$2:AN$1266,MATCH(Data!$DN169,'Data_Price '!$AT$2:$AT$1266,0))</f>
        <v>https://tinyurl.com/y8m4m9qj</v>
      </c>
      <c r="DF169" t="str">
        <f>INDEX('Data_Price '!AO$2:AO$1266,MATCH(Data!$DN169,'Data_Price '!$AT$2:$AT$1266,0))</f>
        <v>Liberty Evolv 90W Women's Skis</v>
      </c>
      <c r="DG169" t="str">
        <f>INDEX('Data_Price '!AP$2:AP$1266,MATCH(Data!$DN169,'Data_Price '!$AT$2:$AT$1266,0))</f>
        <v>SkiEssentials.com</v>
      </c>
      <c r="DH169">
        <f>INDEX('Data_Price '!AQ$2:AQ$1266,MATCH(Data!$DN169,'Data_Price '!$AT$2:$AT$1266,0))</f>
        <v>469.95</v>
      </c>
      <c r="DI169" t="str">
        <f>INDEX('Data_Price '!AR$2:AR$1266,MATCH(Data!$DN169,'Data_Price '!$AT$2:$AT$1266,0))</f>
        <v>https://tinyurl.com/y7wsyytc</v>
      </c>
      <c r="DJ169" s="89" t="str">
        <f t="shared" si="106"/>
        <v>https://tinyurl.com/yam5aad8</v>
      </c>
      <c r="DK169" s="89" t="str">
        <f t="shared" si="107"/>
        <v>https://tinyurl.com/y8m4m9qj</v>
      </c>
      <c r="DL169" s="89" t="str">
        <f t="shared" si="108"/>
        <v>https://tinyurl.com/y7wsyytc</v>
      </c>
      <c r="DM169" s="219" t="str">
        <f t="shared" si="109"/>
        <v>Evolv 90W</v>
      </c>
      <c r="DN169" s="89" t="str">
        <f t="shared" si="110"/>
        <v xml:space="preserve"> LibertyEvolv 90W151 Women's</v>
      </c>
      <c r="DO169" s="221"/>
    </row>
    <row r="170" spans="2:119" ht="15.6" customHeight="1">
      <c r="B170" s="219" t="b">
        <f t="array" ref="B170">IF(OR(ISERROR(K170:P170)),FALSE,TRUE)</f>
        <v>1</v>
      </c>
      <c r="C170" s="43" t="b">
        <f>OR(BR170=Driver!$G$50,Data!BR794=Driver!$H$50)</f>
        <v>1</v>
      </c>
      <c r="D170" s="43" t="b">
        <f>OR(BV170=Driver!$G$51,BV170=Driver!$H$51)</f>
        <v>1</v>
      </c>
      <c r="E170" s="43" t="b">
        <f>AND(BX170&gt;Driver!$F$54,BX170&lt;Driver!$G$54)</f>
        <v>0</v>
      </c>
      <c r="F170" s="43" t="b">
        <f>CL170&gt;Driver!$F$56</f>
        <v>1</v>
      </c>
      <c r="G170" s="43" t="b">
        <f>AND(CB170&gt;Driver!$F$55,CB170&lt;Driver!$G$55)</f>
        <v>0</v>
      </c>
      <c r="H170" s="43" t="b">
        <f t="shared" si="74"/>
        <v>0</v>
      </c>
      <c r="I170" s="43">
        <f t="shared" si="75"/>
        <v>0</v>
      </c>
      <c r="J170" s="43" t="b">
        <f t="array" ref="J170">NOT(OR(($H$9:$H$1273=TRUE)*($I$9:$I$1273&gt;0)*($BT$9:$BT$1273=BT170)*($K$9:$K$1273&gt;K170)))</f>
        <v>1</v>
      </c>
      <c r="K170" s="72">
        <f t="shared" si="76"/>
        <v>0.92650793411971022</v>
      </c>
      <c r="L170" s="72">
        <f t="shared" si="77"/>
        <v>0.97446757623137503</v>
      </c>
      <c r="M170" s="72">
        <f t="shared" si="78"/>
        <v>0.87854829200804541</v>
      </c>
      <c r="N170" s="72">
        <f t="shared" si="79"/>
        <v>0.90355964128216892</v>
      </c>
      <c r="O170" s="72">
        <f t="shared" si="80"/>
        <v>0.78926288428279623</v>
      </c>
      <c r="P170" s="72">
        <f t="shared" si="81"/>
        <v>0.94282235045917107</v>
      </c>
      <c r="Q170" s="72"/>
      <c r="R170" s="72"/>
      <c r="S170" s="72">
        <f t="shared" si="82"/>
        <v>0.51803544120187239</v>
      </c>
      <c r="T170" s="72">
        <f t="shared" si="83"/>
        <v>0.46071326028162285</v>
      </c>
      <c r="U170" s="72">
        <f t="shared" si="84"/>
        <v>0.98784412970916513</v>
      </c>
      <c r="V170" s="72">
        <f t="shared" si="85"/>
        <v>0.52059255209043076</v>
      </c>
      <c r="W170" s="72">
        <f t="shared" si="86"/>
        <v>0.77787850569675721</v>
      </c>
      <c r="X170" s="72">
        <f t="shared" si="87"/>
        <v>2.5532423768624912E-2</v>
      </c>
      <c r="Y170" s="72">
        <f t="shared" si="88"/>
        <v>0.12145170799195459</v>
      </c>
      <c r="Z170" s="72">
        <f t="shared" si="89"/>
        <v>9.644035871783109E-2</v>
      </c>
      <c r="AA170" s="72">
        <f t="shared" si="90"/>
        <v>0.21073711571720372</v>
      </c>
      <c r="AB170" s="72">
        <f t="shared" si="91"/>
        <v>5.717764954082899E-2</v>
      </c>
      <c r="AC170" s="72"/>
      <c r="AD170" s="72"/>
      <c r="AE170" s="72">
        <f t="shared" si="92"/>
        <v>0.48196455879812755</v>
      </c>
      <c r="AF170" s="72">
        <f t="shared" si="93"/>
        <v>0.53928673971837715</v>
      </c>
      <c r="AG170" s="72">
        <f t="shared" si="94"/>
        <v>1.2155870290834925E-2</v>
      </c>
      <c r="AH170" s="72">
        <f t="shared" si="95"/>
        <v>0.47940744790956924</v>
      </c>
      <c r="AI170" s="72">
        <f t="shared" si="96"/>
        <v>0.22212149430324277</v>
      </c>
      <c r="AJ170" s="72">
        <f>(AV170-Driver!$K$179)/(Driver!$L$179-Driver!$K$179)</f>
        <v>0.27975183305132534</v>
      </c>
      <c r="AK170" s="72">
        <f>(AW170-Driver!$K$180)/(Driver!$L$180-Driver!$K$180)</f>
        <v>0.3035278607712476</v>
      </c>
      <c r="AL170" s="72">
        <f>(AX170-Driver!$K$181)/(Driver!$L$181-Driver!$K$181)</f>
        <v>0.19812812243091127</v>
      </c>
      <c r="AM170" s="72">
        <f>(AY170-Driver!$K$182)/(Driver!$L$182-Driver!$K$182)</f>
        <v>0.23664790537984265</v>
      </c>
      <c r="AN170" s="72">
        <f>(AZ170-Driver!$K$183)/(Driver!$L$183-Driver!$K$183)</f>
        <v>0.31139705882352942</v>
      </c>
      <c r="AO170" s="72"/>
      <c r="AP170" s="72"/>
      <c r="AQ170" s="72">
        <f>(BC170-Driver!$K$188)/(Driver!$L$188-Driver!$K$188)</f>
        <v>0.13803544120187244</v>
      </c>
      <c r="AR170" s="72">
        <f>MIN((BD170-Driver!$K$189)/(Driver!$L$189-Driver!$K$189),100%)</f>
        <v>1.0713260281622903E-2</v>
      </c>
      <c r="AS170" s="72">
        <f>(BE170-Driver!$K$190)/(Driver!$L$190-Driver!$K$190)</f>
        <v>0.49784412970916508</v>
      </c>
      <c r="AT170" s="72">
        <f>(BF170-Driver!$K$191)/(Driver!$L$191-Driver!$K$191)</f>
        <v>3.0592552090430759E-2</v>
      </c>
      <c r="AU170" s="72">
        <f>(BG170-Driver!$K$192)/(Driver!$L$192-Driver!$K$192)</f>
        <v>2.787850569675723E-2</v>
      </c>
      <c r="AV170" s="70">
        <f t="shared" si="97"/>
        <v>5.8879392212725534</v>
      </c>
      <c r="AW170" s="70">
        <f t="shared" si="98"/>
        <v>31.453372184064357</v>
      </c>
      <c r="AX170" s="70">
        <f t="shared" si="99"/>
        <v>2.7831531018782014</v>
      </c>
      <c r="AY170" s="70">
        <f>IFERROR(Driver!$K$19/Data!BH170/Data!BI170*Data!BK170*Data!BL170,"")</f>
        <v>0.2897276451049931</v>
      </c>
      <c r="AZ170" s="70">
        <f t="shared" si="100"/>
        <v>28.380491437081162</v>
      </c>
      <c r="BA170" s="70"/>
      <c r="BB170" s="70"/>
      <c r="BC170" s="70">
        <f t="shared" si="101"/>
        <v>71.599942958230216</v>
      </c>
      <c r="BD170" s="70">
        <f t="shared" si="102"/>
        <v>2.6689274362474045</v>
      </c>
      <c r="BE170" s="70">
        <f t="shared" si="103"/>
        <v>0.49793370866441988</v>
      </c>
      <c r="BF170" s="70">
        <f t="shared" si="104"/>
        <v>3.4552138337718206</v>
      </c>
      <c r="BG170" s="70">
        <f t="shared" si="105"/>
        <v>0.10556580713190185</v>
      </c>
      <c r="BH170" s="67">
        <f>MAX((CE170-Driver!$F$200)/(Driver!$G$200-Driver!$F$200)*$BI$1,1)</f>
        <v>2.7831531018782014</v>
      </c>
      <c r="BI170" s="67">
        <f>MAX($BI$1*(BY170-Driver!$F$201)/(Driver!$G$201-Driver!$F$201),1)</f>
        <v>7.6582278481012658</v>
      </c>
      <c r="BJ170" s="67">
        <f>(CB170-Driver!$F$206)/(Driver!$G$206-Driver!$F$206)*$BI$1</f>
        <v>4.92063492063492</v>
      </c>
      <c r="BK170" s="67">
        <f>(CD170-Driver!$F$203)/(Driver!$G$203-Driver!$F$203)*$BI$1</f>
        <v>5.5963302752293584</v>
      </c>
      <c r="BL170" s="67">
        <f>MAX((CR170-Driver!$F$202)/(Driver!$G$202-Driver!$F$202)*$BI$1,1)</f>
        <v>5.5172413793103452</v>
      </c>
      <c r="BM170" s="67">
        <f>MAX((CH170-Driver!$F$204)/(Driver!$G$204-Driver!$F$204)*$BI$1,1)</f>
        <v>4.7863247863247862</v>
      </c>
      <c r="BN170" s="67">
        <f>(CI170-Driver!$F$205)/(Driver!$G$205-Driver!$F$205)*$BI$1</f>
        <v>3.7058823529411766</v>
      </c>
      <c r="BO170" s="67">
        <f>(CK170-Driver!$F$207)/(Driver!$G$207-Driver!$F$207)*$BI$1</f>
        <v>1.9648397104446744</v>
      </c>
      <c r="BP170" s="67">
        <f>(CM170-Driver!$F$208)/(Driver!$G$208-Driver!$F$208)*$BI$1</f>
        <v>2</v>
      </c>
      <c r="BQ170" s="67">
        <f>(CL170-Driver!$F$209)/(Driver!$G$209-Driver!$F$209)*$BI$1</f>
        <v>1.40625</v>
      </c>
      <c r="BR170" s="28" t="s">
        <v>155</v>
      </c>
      <c r="BS170" s="8" t="s">
        <v>262</v>
      </c>
      <c r="BT170" s="9" t="s">
        <v>269</v>
      </c>
      <c r="BU170" s="10">
        <v>177</v>
      </c>
      <c r="BV170" s="9" t="s">
        <v>158</v>
      </c>
      <c r="BW170" s="10">
        <v>177</v>
      </c>
      <c r="BX170" s="10">
        <v>176.8</v>
      </c>
      <c r="BY170" s="10">
        <v>129</v>
      </c>
      <c r="BZ170" s="10">
        <v>149</v>
      </c>
      <c r="CA170" s="10">
        <v>127</v>
      </c>
      <c r="CB170" s="10">
        <v>95</v>
      </c>
      <c r="CC170" s="10">
        <v>113</v>
      </c>
      <c r="CD170" s="10">
        <v>21.6</v>
      </c>
      <c r="CE170" s="10">
        <v>1389</v>
      </c>
      <c r="CF170" s="10">
        <v>1.33</v>
      </c>
      <c r="CG170" s="10">
        <v>1844</v>
      </c>
      <c r="CH170" s="10">
        <v>213</v>
      </c>
      <c r="CI170" s="10">
        <v>96</v>
      </c>
      <c r="CJ170" s="10">
        <v>51</v>
      </c>
      <c r="CK170" s="10">
        <v>300</v>
      </c>
      <c r="CL170" s="10">
        <v>9</v>
      </c>
      <c r="CM170" s="10">
        <v>180</v>
      </c>
      <c r="CN170" s="10">
        <v>0.17199999999999999</v>
      </c>
      <c r="CO170" s="10">
        <v>164</v>
      </c>
      <c r="CP170" s="10">
        <v>114</v>
      </c>
      <c r="CQ170" s="10">
        <v>136</v>
      </c>
      <c r="CR170" s="10">
        <v>5</v>
      </c>
      <c r="CS170" s="10">
        <v>11.4</v>
      </c>
      <c r="CT170" s="9" t="s">
        <v>185</v>
      </c>
      <c r="CU170" s="9" t="s">
        <v>198</v>
      </c>
      <c r="CV170" s="10"/>
      <c r="CW170" s="10"/>
      <c r="CX170" t="e">
        <f>INDEX('Data_Price '!AG$2:AG$1266,MATCH(Data!$DN170,'Data_Price '!$AT$2:$AT$1266,0))</f>
        <v>#N/A</v>
      </c>
      <c r="CY170" t="e">
        <f>INDEX('Data_Price '!AH$2:AH$1266,MATCH(Data!$DN170,'Data_Price '!$AT$2:$AT$1266,0))</f>
        <v>#N/A</v>
      </c>
      <c r="CZ170" t="e">
        <f>INDEX('Data_Price '!AI$2:AI$1266,MATCH(Data!$DN170,'Data_Price '!$AT$2:$AT$1266,0))</f>
        <v>#N/A</v>
      </c>
      <c r="DA170" t="e">
        <f>INDEX('Data_Price '!AJ$2:AJ$1266,MATCH(Data!$DN170,'Data_Price '!$AT$2:$AT$1266,0))</f>
        <v>#N/A</v>
      </c>
      <c r="DB170" t="e">
        <f>INDEX('Data_Price '!AK$2:AK$1266,MATCH(Data!$DN170,'Data_Price '!$AT$2:$AT$1266,0))</f>
        <v>#N/A</v>
      </c>
      <c r="DC170" t="e">
        <f>INDEX('Data_Price '!AL$2:AL$1266,MATCH(Data!$DN170,'Data_Price '!$AT$2:$AT$1266,0))</f>
        <v>#N/A</v>
      </c>
      <c r="DD170" t="e">
        <f>INDEX('Data_Price '!AM$2:AM$1266,MATCH(Data!$DN170,'Data_Price '!$AT$2:$AT$1266,0))</f>
        <v>#N/A</v>
      </c>
      <c r="DE170" t="e">
        <f>INDEX('Data_Price '!AN$2:AN$1266,MATCH(Data!$DN170,'Data_Price '!$AT$2:$AT$1266,0))</f>
        <v>#N/A</v>
      </c>
      <c r="DF170" t="e">
        <f>INDEX('Data_Price '!AO$2:AO$1266,MATCH(Data!$DN170,'Data_Price '!$AT$2:$AT$1266,0))</f>
        <v>#N/A</v>
      </c>
      <c r="DG170" t="e">
        <f>INDEX('Data_Price '!AP$2:AP$1266,MATCH(Data!$DN170,'Data_Price '!$AT$2:$AT$1266,0))</f>
        <v>#N/A</v>
      </c>
      <c r="DH170" t="e">
        <f>INDEX('Data_Price '!AQ$2:AQ$1266,MATCH(Data!$DN170,'Data_Price '!$AT$2:$AT$1266,0))</f>
        <v>#N/A</v>
      </c>
      <c r="DI170" t="e">
        <f>INDEX('Data_Price '!AR$2:AR$1266,MATCH(Data!$DN170,'Data_Price '!$AT$2:$AT$1266,0))</f>
        <v>#N/A</v>
      </c>
      <c r="DJ170" s="89" t="e">
        <f t="shared" si="106"/>
        <v>#N/A</v>
      </c>
      <c r="DK170" s="89" t="e">
        <f t="shared" si="107"/>
        <v>#N/A</v>
      </c>
      <c r="DL170" s="89" t="e">
        <f t="shared" si="108"/>
        <v>#N/A</v>
      </c>
      <c r="DM170" s="219" t="str">
        <f t="shared" si="109"/>
        <v>Wayback 96</v>
      </c>
      <c r="DN170" s="89" t="str">
        <f t="shared" si="110"/>
        <v xml:space="preserve"> K2Wayback 96177 Unisex</v>
      </c>
      <c r="DO170" s="221" t="s">
        <v>270</v>
      </c>
    </row>
    <row r="171" spans="2:119" ht="15.6" customHeight="1">
      <c r="B171" s="219" t="b">
        <f t="array" ref="B171">IF(OR(ISERROR(K171:P171)),FALSE,TRUE)</f>
        <v>1</v>
      </c>
      <c r="C171" s="43" t="b">
        <f>OR(BR171=Driver!$G$50,Data!BR352=Driver!$H$50)</f>
        <v>1</v>
      </c>
      <c r="D171" s="43" t="b">
        <f>OR(BV171=Driver!$G$51,BV171=Driver!$H$51)</f>
        <v>1</v>
      </c>
      <c r="E171" s="43" t="b">
        <f>AND(BX171&gt;Driver!$F$54,BX171&lt;Driver!$G$54)</f>
        <v>0</v>
      </c>
      <c r="F171" s="43" t="b">
        <f>CL171&gt;Driver!$F$56</f>
        <v>1</v>
      </c>
      <c r="G171" s="43" t="b">
        <f>AND(CB171&gt;Driver!$F$55,CB171&lt;Driver!$G$55)</f>
        <v>0</v>
      </c>
      <c r="H171" s="43" t="b">
        <f t="shared" si="74"/>
        <v>0</v>
      </c>
      <c r="I171" s="43">
        <f t="shared" si="75"/>
        <v>0</v>
      </c>
      <c r="J171" s="43" t="b">
        <f t="array" ref="J171">NOT(OR(($H$9:$H$1273=TRUE)*($I$9:$I$1273&gt;0)*($BT$9:$BT$1273=BT171)*($K$9:$K$1273&gt;K171)))</f>
        <v>1</v>
      </c>
      <c r="K171" s="72">
        <f t="shared" si="76"/>
        <v>0.84488053472195834</v>
      </c>
      <c r="L171" s="72">
        <f t="shared" si="77"/>
        <v>0.97559560781625954</v>
      </c>
      <c r="M171" s="72">
        <f t="shared" si="78"/>
        <v>0.71416546162765715</v>
      </c>
      <c r="N171" s="72">
        <f t="shared" si="79"/>
        <v>0.62720474341332688</v>
      </c>
      <c r="O171" s="72">
        <f t="shared" si="80"/>
        <v>0.62908693806929727</v>
      </c>
      <c r="P171" s="72">
        <f t="shared" si="81"/>
        <v>0.88620470340034752</v>
      </c>
      <c r="Q171" s="72"/>
      <c r="R171" s="72"/>
      <c r="S171" s="72">
        <f t="shared" si="82"/>
        <v>0.46030420862761967</v>
      </c>
      <c r="T171" s="72">
        <f t="shared" si="83"/>
        <v>0.66596410721084254</v>
      </c>
      <c r="U171" s="72">
        <f t="shared" si="84"/>
        <v>0.65211956634392443</v>
      </c>
      <c r="V171" s="72">
        <f t="shared" si="85"/>
        <v>0.56296398855140928</v>
      </c>
      <c r="W171" s="72">
        <f t="shared" si="86"/>
        <v>0.76515248704915639</v>
      </c>
      <c r="X171" s="72">
        <f t="shared" si="87"/>
        <v>2.440439218374052E-2</v>
      </c>
      <c r="Y171" s="72">
        <f t="shared" si="88"/>
        <v>0.28583453837234279</v>
      </c>
      <c r="Z171" s="72">
        <f t="shared" si="89"/>
        <v>0.37279525658667312</v>
      </c>
      <c r="AA171" s="72">
        <f t="shared" si="90"/>
        <v>0.37091306193070273</v>
      </c>
      <c r="AB171" s="72">
        <f t="shared" si="91"/>
        <v>0.11379529659965254</v>
      </c>
      <c r="AC171" s="72"/>
      <c r="AD171" s="72"/>
      <c r="AE171" s="72">
        <f t="shared" si="92"/>
        <v>0.53969579137238033</v>
      </c>
      <c r="AF171" s="72">
        <f t="shared" si="93"/>
        <v>0.33403589278915746</v>
      </c>
      <c r="AG171" s="72">
        <f t="shared" si="94"/>
        <v>0.34788043365607557</v>
      </c>
      <c r="AH171" s="72">
        <f t="shared" si="95"/>
        <v>0.43703601144859072</v>
      </c>
      <c r="AI171" s="72">
        <f t="shared" si="96"/>
        <v>0.23484751295084363</v>
      </c>
      <c r="AJ171" s="72">
        <f>(AV171-Driver!$K$179)/(Driver!$L$179-Driver!$K$179)</f>
        <v>0.27862380146644095</v>
      </c>
      <c r="AK171" s="72">
        <f>(AW171-Driver!$K$180)/(Driver!$L$180-Driver!$K$180)</f>
        <v>0.37998248187028938</v>
      </c>
      <c r="AL171" s="72">
        <f>(AX171-Driver!$K$181)/(Driver!$L$181-Driver!$K$181)</f>
        <v>0.47448302029975331</v>
      </c>
      <c r="AM171" s="72">
        <f>(AY171-Driver!$K$182)/(Driver!$L$182-Driver!$K$182)</f>
        <v>7.6471959166343612E-2</v>
      </c>
      <c r="AN171" s="72">
        <f>(AZ171-Driver!$K$183)/(Driver!$L$183-Driver!$K$183)</f>
        <v>0.36801470588235297</v>
      </c>
      <c r="AO171" s="72"/>
      <c r="AP171" s="72"/>
      <c r="AQ171" s="72">
        <f>(BC171-Driver!$K$188)/(Driver!$L$188-Driver!$K$188)</f>
        <v>8.0304208627619708E-2</v>
      </c>
      <c r="AR171" s="72">
        <f>MIN((BD171-Driver!$K$189)/(Driver!$L$189-Driver!$K$189),100%)</f>
        <v>0.21596410721084255</v>
      </c>
      <c r="AS171" s="72">
        <f>(BE171-Driver!$K$190)/(Driver!$L$190-Driver!$K$190)</f>
        <v>0.16211956634392441</v>
      </c>
      <c r="AT171" s="72">
        <f>(BF171-Driver!$K$191)/(Driver!$L$191-Driver!$K$191)</f>
        <v>7.2963988551409301E-2</v>
      </c>
      <c r="AU171" s="72">
        <f>(BG171-Driver!$K$192)/(Driver!$L$192-Driver!$K$192)</f>
        <v>1.5152487049156371E-2</v>
      </c>
      <c r="AV171" s="70">
        <f t="shared" si="97"/>
        <v>5.864197530864196</v>
      </c>
      <c r="AW171" s="70">
        <f t="shared" si="98"/>
        <v>38.904552467025525</v>
      </c>
      <c r="AX171" s="70">
        <f t="shared" si="99"/>
        <v>5.2703471826977797</v>
      </c>
      <c r="AY171" s="70">
        <f>IFERROR(Driver!$K$19/Data!BH171/Data!BI171*Data!BK171*Data!BL171,"")</f>
        <v>9.3624495050008361E-2</v>
      </c>
      <c r="AZ171" s="70">
        <f t="shared" si="100"/>
        <v>33.54058078927774</v>
      </c>
      <c r="BA171" s="70"/>
      <c r="BB171" s="70"/>
      <c r="BC171" s="70">
        <f t="shared" si="101"/>
        <v>41.654351280947651</v>
      </c>
      <c r="BD171" s="70">
        <f t="shared" si="102"/>
        <v>20.833263706502841</v>
      </c>
      <c r="BE171" s="70">
        <f t="shared" si="103"/>
        <v>0.16226903478254265</v>
      </c>
      <c r="BF171" s="70">
        <f t="shared" si="104"/>
        <v>8.240769905850911</v>
      </c>
      <c r="BG171" s="70">
        <f t="shared" si="105"/>
        <v>5.7376982209844281E-2</v>
      </c>
      <c r="BH171" s="67">
        <f>MAX((CE171-Driver!$F$200)/(Driver!$G$200-Driver!$F$200)*$BI$1,1)</f>
        <v>5.2703471826977797</v>
      </c>
      <c r="BI171" s="67">
        <f>MAX($BI$1*(BY171-Driver!$F$201)/(Driver!$G$201-Driver!$F$201),1)</f>
        <v>7.4050632911392409</v>
      </c>
      <c r="BJ171" s="67">
        <f>(CB171-Driver!$F$206)/(Driver!$G$206-Driver!$F$206)*$BI$1</f>
        <v>4.1269841269841265</v>
      </c>
      <c r="BK171" s="67">
        <f>(CD171-Driver!$F$203)/(Driver!$G$203-Driver!$F$203)*$BI$1</f>
        <v>2.522935779816514</v>
      </c>
      <c r="BL171" s="67">
        <f>MAX((CR171-Driver!$F$202)/(Driver!$G$202-Driver!$F$202)*$BI$1,1)</f>
        <v>7.2413793103448274</v>
      </c>
      <c r="BM171" s="67">
        <f>MAX((CH171-Driver!$F$204)/(Driver!$G$204-Driver!$F$204)*$BI$1,1)</f>
        <v>5.6837606837606831</v>
      </c>
      <c r="BN171" s="67">
        <f>(CI171-Driver!$F$205)/(Driver!$G$205-Driver!$F$205)*$BI$1</f>
        <v>4.5294117647058822</v>
      </c>
      <c r="BO171" s="67">
        <f>(CK171-Driver!$F$207)/(Driver!$G$207-Driver!$F$207)*$BI$1</f>
        <v>2.3371251292657704</v>
      </c>
      <c r="BP171" s="67">
        <f>(CM171-Driver!$F$208)/(Driver!$G$208-Driver!$F$208)*$BI$1</f>
        <v>2.1555555555555554</v>
      </c>
      <c r="BQ171" s="67">
        <f>(CL171-Driver!$F$209)/(Driver!$G$209-Driver!$F$209)*$BI$1</f>
        <v>1.71875</v>
      </c>
      <c r="BR171" s="28" t="s">
        <v>155</v>
      </c>
      <c r="BS171" s="8" t="s">
        <v>218</v>
      </c>
      <c r="BT171" s="9" t="s">
        <v>387</v>
      </c>
      <c r="BU171" s="10">
        <v>179</v>
      </c>
      <c r="BV171" s="9" t="s">
        <v>158</v>
      </c>
      <c r="BW171" s="10">
        <v>179</v>
      </c>
      <c r="BX171" s="10">
        <v>178.4</v>
      </c>
      <c r="BY171" s="10">
        <v>125</v>
      </c>
      <c r="BZ171" s="10">
        <v>137</v>
      </c>
      <c r="CA171" s="10">
        <v>125</v>
      </c>
      <c r="CB171" s="10">
        <v>90</v>
      </c>
      <c r="CC171" s="10">
        <v>109</v>
      </c>
      <c r="CD171" s="10">
        <v>14.9</v>
      </c>
      <c r="CE171" s="10">
        <v>1826</v>
      </c>
      <c r="CF171" s="10">
        <v>1</v>
      </c>
      <c r="CG171" s="10">
        <v>1819</v>
      </c>
      <c r="CH171" s="10">
        <v>234</v>
      </c>
      <c r="CI171" s="10">
        <v>110</v>
      </c>
      <c r="CJ171" s="10">
        <v>56</v>
      </c>
      <c r="CK171" s="10">
        <v>336</v>
      </c>
      <c r="CL171" s="10">
        <v>11</v>
      </c>
      <c r="CM171" s="10">
        <v>194</v>
      </c>
      <c r="CN171" s="10">
        <v>0.19900000000000001</v>
      </c>
      <c r="CO171" s="10">
        <v>203</v>
      </c>
      <c r="CP171" s="10">
        <v>212</v>
      </c>
      <c r="CQ171" s="10">
        <v>133</v>
      </c>
      <c r="CR171" s="10">
        <v>10</v>
      </c>
      <c r="CS171" s="10">
        <v>11.7</v>
      </c>
      <c r="CT171" s="9" t="s">
        <v>188</v>
      </c>
      <c r="CU171" s="10"/>
      <c r="CV171" s="10"/>
      <c r="CW171" s="10"/>
      <c r="CX171" t="str">
        <f>INDEX('Data_Price '!AG$2:AG$1266,MATCH(Data!$DN171,'Data_Price '!$AT$2:$AT$1266,0))</f>
        <v>DPS Pagoda Piste 90 RP Skis - Yellow 179cm</v>
      </c>
      <c r="CY171" t="str">
        <f>INDEX('Data_Price '!AH$2:AH$1266,MATCH(Data!$DN171,'Data_Price '!$AT$2:$AT$1266,0))</f>
        <v>Powder7 Ski Shop</v>
      </c>
      <c r="CZ171">
        <f>INDEX('Data_Price '!AI$2:AI$1266,MATCH(Data!$DN171,'Data_Price '!$AT$2:$AT$1266,0))</f>
        <v>1039.2</v>
      </c>
      <c r="DA171" t="str">
        <f>INDEX('Data_Price '!AJ$2:AJ$1266,MATCH(Data!$DN171,'Data_Price '!$AT$2:$AT$1266,0))</f>
        <v>https://tinyurl.com/y796vk8t</v>
      </c>
      <c r="DB171" t="str">
        <f>INDEX('Data_Price '!AK$2:AK$1266,MATCH(Data!$DN171,'Data_Price '!$AT$2:$AT$1266,0))</f>
        <v>DPS Pagoda Piste 90 RP Skis - Yellow 179cm</v>
      </c>
      <c r="DC171" t="str">
        <f>INDEX('Data_Price '!AL$2:AL$1266,MATCH(Data!$DN171,'Data_Price '!$AT$2:$AT$1266,0))</f>
        <v>Gear West Ski &amp; Bike</v>
      </c>
      <c r="DD171">
        <f>INDEX('Data_Price '!AM$2:AM$1266,MATCH(Data!$DN171,'Data_Price '!$AT$2:$AT$1266,0))</f>
        <v>1299</v>
      </c>
      <c r="DE171" t="str">
        <f>INDEX('Data_Price '!AN$2:AN$1266,MATCH(Data!$DN171,'Data_Price '!$AT$2:$AT$1266,0))</f>
        <v>https://tinyurl.com/y9g2v82a</v>
      </c>
      <c r="DF171" t="str">
        <f>INDEX('Data_Price '!AO$2:AO$1266,MATCH(Data!$DN171,'Data_Price '!$AT$2:$AT$1266,0))</f>
        <v>Pagoda Piste 90 RP Orange - 179cm</v>
      </c>
      <c r="DG171" t="str">
        <f>INDEX('Data_Price '!AP$2:AP$1266,MATCH(Data!$DN171,'Data_Price '!$AT$2:$AT$1266,0))</f>
        <v>DPS Skis</v>
      </c>
      <c r="DH171">
        <f>INDEX('Data_Price '!AQ$2:AQ$1266,MATCH(Data!$DN171,'Data_Price '!$AT$2:$AT$1266,0))</f>
        <v>1299</v>
      </c>
      <c r="DI171" t="str">
        <f>INDEX('Data_Price '!AR$2:AR$1266,MATCH(Data!$DN171,'Data_Price '!$AT$2:$AT$1266,0))</f>
        <v>https://tinyurl.com/ycs4xjzt</v>
      </c>
      <c r="DJ171" s="89" t="str">
        <f t="shared" si="106"/>
        <v>https://tinyurl.com/y796vk8t</v>
      </c>
      <c r="DK171" s="89" t="str">
        <f t="shared" si="107"/>
        <v>https://tinyurl.com/y9g2v82a</v>
      </c>
      <c r="DL171" s="89" t="str">
        <f t="shared" si="108"/>
        <v>https://tinyurl.com/ycs4xjzt</v>
      </c>
      <c r="DM171" s="219" t="str">
        <f t="shared" si="109"/>
        <v>Pagoda Piste 90 RP</v>
      </c>
      <c r="DN171" s="89" t="str">
        <f t="shared" si="110"/>
        <v xml:space="preserve"> DPSPagoda Piste 90 RP179 Unisex</v>
      </c>
      <c r="DO171" s="221"/>
    </row>
    <row r="172" spans="2:119" ht="15.6" customHeight="1">
      <c r="B172" s="219" t="b">
        <f t="array" ref="B172">IF(OR(ISERROR(K172:P172)),FALSE,TRUE)</f>
        <v>1</v>
      </c>
      <c r="C172" s="43" t="b">
        <f>OR(BR172=Driver!$G$50,Data!BR497=Driver!$H$50)</f>
        <v>1</v>
      </c>
      <c r="D172" s="43" t="b">
        <f>OR(BV172=Driver!$G$51,BV172=Driver!$H$51)</f>
        <v>0</v>
      </c>
      <c r="E172" s="43" t="b">
        <f>AND(BX172&gt;Driver!$F$54,BX172&lt;Driver!$G$54)</f>
        <v>1</v>
      </c>
      <c r="F172" s="43" t="b">
        <f>CL172&gt;Driver!$F$56</f>
        <v>1</v>
      </c>
      <c r="G172" s="43" t="b">
        <f>AND(CB172&gt;Driver!$F$55,CB172&lt;Driver!$G$55)</f>
        <v>1</v>
      </c>
      <c r="H172" s="43" t="b">
        <f t="shared" si="74"/>
        <v>0</v>
      </c>
      <c r="I172" s="43">
        <f t="shared" si="75"/>
        <v>0</v>
      </c>
      <c r="J172" s="43" t="b">
        <f t="array" ref="J172">NOT(OR(($H$9:$H$1273=TRUE)*($I$9:$I$1273&gt;0)*($BT$9:$BT$1273=BT172)*($K$9:$K$1273&gt;K172)))</f>
        <v>1</v>
      </c>
      <c r="K172" s="72">
        <f t="shared" si="76"/>
        <v>0.89364804087888394</v>
      </c>
      <c r="L172" s="72">
        <f t="shared" si="77"/>
        <v>0.98010773415579688</v>
      </c>
      <c r="M172" s="72">
        <f t="shared" si="78"/>
        <v>0.807188347601971</v>
      </c>
      <c r="N172" s="72">
        <f t="shared" si="79"/>
        <v>0.76759556109498117</v>
      </c>
      <c r="O172" s="72">
        <f t="shared" si="80"/>
        <v>0.66329510014395898</v>
      </c>
      <c r="P172" s="72">
        <f t="shared" si="81"/>
        <v>0.99067438156697274</v>
      </c>
      <c r="Q172" s="72"/>
      <c r="R172" s="72"/>
      <c r="S172" s="72">
        <f t="shared" si="82"/>
        <v>0.4365694512837317</v>
      </c>
      <c r="T172" s="72">
        <f t="shared" si="83"/>
        <v>0.46876497318592414</v>
      </c>
      <c r="U172" s="72">
        <f t="shared" si="84"/>
        <v>0.65219987563101267</v>
      </c>
      <c r="V172" s="72">
        <f t="shared" si="85"/>
        <v>0.54901226511541967</v>
      </c>
      <c r="W172" s="72">
        <f t="shared" si="86"/>
        <v>0.80950126262626265</v>
      </c>
      <c r="X172" s="72">
        <f t="shared" si="87"/>
        <v>1.9892265844203116E-2</v>
      </c>
      <c r="Y172" s="72">
        <f t="shared" si="88"/>
        <v>0.192811652398029</v>
      </c>
      <c r="Z172" s="72">
        <f t="shared" si="89"/>
        <v>0.23240443890501883</v>
      </c>
      <c r="AA172" s="72">
        <f t="shared" si="90"/>
        <v>0.33670489985604102</v>
      </c>
      <c r="AB172" s="72">
        <f t="shared" si="91"/>
        <v>9.3256184330272052E-3</v>
      </c>
      <c r="AC172" s="72"/>
      <c r="AD172" s="72"/>
      <c r="AE172" s="72">
        <f t="shared" si="92"/>
        <v>0.5634305487162683</v>
      </c>
      <c r="AF172" s="72">
        <f t="shared" si="93"/>
        <v>0.53123502681407586</v>
      </c>
      <c r="AG172" s="72">
        <f t="shared" si="94"/>
        <v>0.34780012436898733</v>
      </c>
      <c r="AH172" s="72">
        <f t="shared" si="95"/>
        <v>0.45098773488458033</v>
      </c>
      <c r="AI172" s="72">
        <f t="shared" si="96"/>
        <v>0.19049873737373738</v>
      </c>
      <c r="AJ172" s="72">
        <f>(AV172-Driver!$K$179)/(Driver!$L$179-Driver!$K$179)</f>
        <v>0.27411167512690354</v>
      </c>
      <c r="AK172" s="72">
        <f>(AW172-Driver!$K$180)/(Driver!$L$180-Driver!$K$180)</f>
        <v>0.25231032427001182</v>
      </c>
      <c r="AL172" s="72">
        <f>(AX172-Driver!$K$181)/(Driver!$L$181-Driver!$K$181)</f>
        <v>0.33409220261809902</v>
      </c>
      <c r="AM172" s="72">
        <f>(AY172-Driver!$K$182)/(Driver!$L$182-Driver!$K$182)</f>
        <v>0.11068012124100532</v>
      </c>
      <c r="AN172" s="72">
        <f>(AZ172-Driver!$K$183)/(Driver!$L$183-Driver!$K$183)</f>
        <v>0.24489379084967322</v>
      </c>
      <c r="AO172" s="72"/>
      <c r="AP172" s="72"/>
      <c r="AQ172" s="72">
        <f>(BC172-Driver!$K$188)/(Driver!$L$188-Driver!$K$188)</f>
        <v>5.6569451283731732E-2</v>
      </c>
      <c r="AR172" s="72">
        <f>MIN((BD172-Driver!$K$189)/(Driver!$L$189-Driver!$K$189),100%)</f>
        <v>1.8764973185924207E-2</v>
      </c>
      <c r="AS172" s="72">
        <f>(BE172-Driver!$K$190)/(Driver!$L$190-Driver!$K$190)</f>
        <v>0.16219987563101271</v>
      </c>
      <c r="AT172" s="72">
        <f>(BF172-Driver!$K$191)/(Driver!$L$191-Driver!$K$191)</f>
        <v>5.901226511541971E-2</v>
      </c>
      <c r="AU172" s="72">
        <f>(BG172-Driver!$K$192)/(Driver!$L$192-Driver!$K$192)</f>
        <v>5.9501262626262617E-2</v>
      </c>
      <c r="AV172" s="70">
        <f t="shared" si="97"/>
        <v>5.7692307692307692</v>
      </c>
      <c r="AW172" s="70">
        <f t="shared" si="98"/>
        <v>26.461769418477765</v>
      </c>
      <c r="AX172" s="70">
        <f t="shared" si="99"/>
        <v>4.0068298235628914</v>
      </c>
      <c r="AY172" s="70">
        <f>IFERROR(Driver!$K$19/Data!BH172/Data!BI172*Data!BK172*Data!BL172,"")</f>
        <v>0.13550549215984325</v>
      </c>
      <c r="AZ172" s="70">
        <f t="shared" si="100"/>
        <v>22.319434102755029</v>
      </c>
      <c r="BA172" s="70"/>
      <c r="BB172" s="70"/>
      <c r="BC172" s="70">
        <f t="shared" si="101"/>
        <v>29.342967645316815</v>
      </c>
      <c r="BD172" s="70">
        <f t="shared" si="102"/>
        <v>3.3814897614870141</v>
      </c>
      <c r="BE172" s="70">
        <f t="shared" si="103"/>
        <v>0.16234932974335806</v>
      </c>
      <c r="BF172" s="70">
        <f t="shared" si="104"/>
        <v>6.6650207601603659</v>
      </c>
      <c r="BG172" s="70">
        <f t="shared" si="105"/>
        <v>0.2253097380050505</v>
      </c>
      <c r="BH172" s="67">
        <f>MAX((CE172-Driver!$F$200)/(Driver!$G$200-Driver!$F$200)*$BI$1,1)</f>
        <v>4.0068298235628914</v>
      </c>
      <c r="BI172" s="67">
        <f>MAX($BI$1*(BY172-Driver!$F$201)/(Driver!$G$201-Driver!$F$201),1)</f>
        <v>6.8987341772151902</v>
      </c>
      <c r="BJ172" s="67">
        <f>(CB172-Driver!$F$206)/(Driver!$G$206-Driver!$F$206)*$BI$1</f>
        <v>6.6666666666666661</v>
      </c>
      <c r="BK172" s="67">
        <f>(CD172-Driver!$F$203)/(Driver!$G$203-Driver!$F$203)*$BI$1</f>
        <v>3.3944954128440372</v>
      </c>
      <c r="BL172" s="67">
        <f>MAX((CR172-Driver!$F$202)/(Driver!$G$202-Driver!$F$202)*$BI$1,1)</f>
        <v>5.5172413793103452</v>
      </c>
      <c r="BM172" s="67">
        <f>MAX((CH172-Driver!$F$204)/(Driver!$G$204-Driver!$F$204)*$BI$1,1)</f>
        <v>3.4615384615384617</v>
      </c>
      <c r="BN172" s="67">
        <f>(CI172-Driver!$F$205)/(Driver!$G$205-Driver!$F$205)*$BI$1</f>
        <v>3.2352941176470589</v>
      </c>
      <c r="BO172" s="67">
        <f>(CK172-Driver!$F$207)/(Driver!$G$207-Driver!$F$207)*$BI$1</f>
        <v>1.7063081695966908</v>
      </c>
      <c r="BP172" s="67">
        <f>(CM172-Driver!$F$208)/(Driver!$G$208-Driver!$F$208)*$BI$1</f>
        <v>1.9888888888888889</v>
      </c>
      <c r="BQ172" s="67">
        <f>(CL172-Driver!$F$209)/(Driver!$G$209-Driver!$F$209)*$BI$1</f>
        <v>3.125</v>
      </c>
      <c r="BR172" s="28" t="s">
        <v>155</v>
      </c>
      <c r="BS172" s="8" t="s">
        <v>205</v>
      </c>
      <c r="BT172" s="9" t="s">
        <v>325</v>
      </c>
      <c r="BU172" s="10">
        <v>164</v>
      </c>
      <c r="BV172" s="9" t="s">
        <v>163</v>
      </c>
      <c r="BW172" s="10">
        <v>164</v>
      </c>
      <c r="BX172" s="10">
        <v>162.6</v>
      </c>
      <c r="BY172" s="10">
        <v>117</v>
      </c>
      <c r="BZ172" s="10">
        <v>134</v>
      </c>
      <c r="CA172" s="10">
        <v>133</v>
      </c>
      <c r="CB172" s="10">
        <v>106</v>
      </c>
      <c r="CC172" s="10">
        <v>124</v>
      </c>
      <c r="CD172" s="10">
        <v>16.8</v>
      </c>
      <c r="CE172" s="10">
        <v>1604</v>
      </c>
      <c r="CF172" s="10">
        <v>1.17</v>
      </c>
      <c r="CG172" s="10">
        <v>1872</v>
      </c>
      <c r="CH172" s="10">
        <v>182</v>
      </c>
      <c r="CI172" s="10">
        <v>88</v>
      </c>
      <c r="CJ172" s="10">
        <v>53</v>
      </c>
      <c r="CK172" s="10">
        <v>275</v>
      </c>
      <c r="CL172" s="10">
        <v>20</v>
      </c>
      <c r="CM172" s="10">
        <v>179</v>
      </c>
      <c r="CN172" s="10">
        <v>0.378</v>
      </c>
      <c r="CO172" s="10">
        <v>179</v>
      </c>
      <c r="CP172" s="10">
        <v>111</v>
      </c>
      <c r="CQ172" s="10">
        <v>96</v>
      </c>
      <c r="CR172" s="10">
        <v>5</v>
      </c>
      <c r="CS172" s="10">
        <v>10.6</v>
      </c>
      <c r="CT172" s="9" t="s">
        <v>169</v>
      </c>
      <c r="CU172" s="9" t="s">
        <v>178</v>
      </c>
      <c r="CV172" s="9" t="s">
        <v>185</v>
      </c>
      <c r="CW172" s="10"/>
      <c r="CX172" t="str">
        <f>INDEX('Data_Price '!AG$2:AG$1266,MATCH(Data!$DN172,'Data_Price '!$AT$2:$AT$1266,0))</f>
        <v>Faction Agent 3.0x 21/22</v>
      </c>
      <c r="CY172" t="str">
        <f>INDEX('Data_Price '!AH$2:AH$1266,MATCH(Data!$DN172,'Data_Price '!$AT$2:$AT$1266,0))</f>
        <v>Powder7 Ski Shop</v>
      </c>
      <c r="CZ172">
        <f>INDEX('Data_Price '!AI$2:AI$1266,MATCH(Data!$DN172,'Data_Price '!$AT$2:$AT$1266,0))</f>
        <v>599</v>
      </c>
      <c r="DA172" t="str">
        <f>INDEX('Data_Price '!AJ$2:AJ$1266,MATCH(Data!$DN172,'Data_Price '!$AT$2:$AT$1266,0))</f>
        <v>https://tinyurl.com/y9yddjwn</v>
      </c>
      <c r="DB172" t="str">
        <f>INDEX('Data_Price '!AK$2:AK$1266,MATCH(Data!$DN172,'Data_Price '!$AT$2:$AT$1266,0))</f>
        <v>Faction Dictator 3.0 Skis 21/22</v>
      </c>
      <c r="DC172" t="str">
        <f>INDEX('Data_Price '!AL$2:AL$1266,MATCH(Data!$DN172,'Data_Price '!$AT$2:$AT$1266,0))</f>
        <v>Next Adventure</v>
      </c>
      <c r="DD172">
        <f>INDEX('Data_Price '!AM$2:AM$1266,MATCH(Data!$DN172,'Data_Price '!$AT$2:$AT$1266,0))</f>
        <v>655.20000000000005</v>
      </c>
      <c r="DE172" t="str">
        <f>INDEX('Data_Price '!AN$2:AN$1266,MATCH(Data!$DN172,'Data_Price '!$AT$2:$AT$1266,0))</f>
        <v>https://tinyurl.com/yafzj69y</v>
      </c>
      <c r="DF172" t="str">
        <f>INDEX('Data_Price '!AO$2:AO$1266,MATCH(Data!$DN172,'Data_Price '!$AT$2:$AT$1266,0))</f>
        <v>Faction Prodigy 0.0 with M10 GW Binding Skis</v>
      </c>
      <c r="DG172" t="str">
        <f>INDEX('Data_Price '!AP$2:AP$1266,MATCH(Data!$DN172,'Data_Price '!$AT$2:$AT$1266,0))</f>
        <v>Backcountry.com</v>
      </c>
      <c r="DH172">
        <f>INDEX('Data_Price '!AQ$2:AQ$1266,MATCH(Data!$DN172,'Data_Price '!$AT$2:$AT$1266,0))</f>
        <v>314.27</v>
      </c>
      <c r="DI172" t="str">
        <f>INDEX('Data_Price '!AR$2:AR$1266,MATCH(Data!$DN172,'Data_Price '!$AT$2:$AT$1266,0))</f>
        <v>https://tinyurl.com/yd29wbbx</v>
      </c>
      <c r="DJ172" s="89" t="str">
        <f t="shared" si="106"/>
        <v>https://tinyurl.com/y9yddjwn</v>
      </c>
      <c r="DK172" s="89" t="str">
        <f t="shared" si="107"/>
        <v>https://tinyurl.com/yafzj69y</v>
      </c>
      <c r="DL172" s="89" t="str">
        <f t="shared" si="108"/>
        <v>https://tinyurl.com/yd29wbbx</v>
      </c>
      <c r="DM172" s="219" t="str">
        <f t="shared" si="109"/>
        <v>Agent 3.0 X</v>
      </c>
      <c r="DN172" s="89" t="str">
        <f t="shared" si="110"/>
        <v xml:space="preserve"> FactionAgent 3.0 X164 Women's</v>
      </c>
      <c r="DO172" s="221"/>
    </row>
    <row r="173" spans="2:119" ht="15.6" customHeight="1">
      <c r="B173" s="219" t="b">
        <f t="array" ref="B173">IF(OR(ISERROR(K173:P173)),FALSE,TRUE)</f>
        <v>1</v>
      </c>
      <c r="C173" s="43" t="b">
        <f>OR(BR173=Driver!$G$50,Data!BR333=Driver!$H$50)</f>
        <v>1</v>
      </c>
      <c r="D173" s="43" t="b">
        <f>OR(BV173=Driver!$G$51,BV173=Driver!$H$51)</f>
        <v>1</v>
      </c>
      <c r="E173" s="43" t="b">
        <f>AND(BX173&gt;Driver!$F$54,BX173&lt;Driver!$G$54)</f>
        <v>0</v>
      </c>
      <c r="F173" s="43" t="b">
        <f>CL173&gt;Driver!$F$56</f>
        <v>1</v>
      </c>
      <c r="G173" s="43" t="b">
        <f>AND(CB173&gt;Driver!$F$55,CB173&lt;Driver!$G$55)</f>
        <v>1</v>
      </c>
      <c r="H173" s="43" t="b">
        <f t="shared" si="74"/>
        <v>0</v>
      </c>
      <c r="I173" s="43">
        <f t="shared" si="75"/>
        <v>0</v>
      </c>
      <c r="J173" s="43" t="b">
        <f t="array" ref="J173">NOT(OR(($H$9:$H$1273=TRUE)*($I$9:$I$1273&gt;0)*($BT$9:$BT$1273=BT173)*($K$9:$K$1273&gt;K173)))</f>
        <v>1</v>
      </c>
      <c r="K173" s="72">
        <f t="shared" si="76"/>
        <v>0.83726913226713651</v>
      </c>
      <c r="L173" s="72">
        <f t="shared" si="77"/>
        <v>0.91170067590102288</v>
      </c>
      <c r="M173" s="72">
        <f t="shared" si="78"/>
        <v>0.76283758863325013</v>
      </c>
      <c r="N173" s="72">
        <f t="shared" si="79"/>
        <v>0.64111734696736455</v>
      </c>
      <c r="O173" s="72">
        <f t="shared" si="80"/>
        <v>0.66923810115295335</v>
      </c>
      <c r="P173" s="72">
        <f t="shared" si="81"/>
        <v>0.97815731777943249</v>
      </c>
      <c r="Q173" s="72"/>
      <c r="R173" s="72"/>
      <c r="S173" s="72">
        <f t="shared" si="82"/>
        <v>0.45959056629543227</v>
      </c>
      <c r="T173" s="72">
        <f t="shared" si="83"/>
        <v>0.49706570130675343</v>
      </c>
      <c r="U173" s="72">
        <f t="shared" si="84"/>
        <v>0.52817301057377208</v>
      </c>
      <c r="V173" s="72">
        <f t="shared" si="85"/>
        <v>0.57120414910296369</v>
      </c>
      <c r="W173" s="72">
        <f t="shared" si="86"/>
        <v>0.81370311358285297</v>
      </c>
      <c r="X173" s="72">
        <f t="shared" si="87"/>
        <v>8.8299324098977117E-2</v>
      </c>
      <c r="Y173" s="72">
        <f t="shared" si="88"/>
        <v>0.23716241136674987</v>
      </c>
      <c r="Z173" s="72">
        <f t="shared" si="89"/>
        <v>0.35888265303263539</v>
      </c>
      <c r="AA173" s="72">
        <f t="shared" si="90"/>
        <v>0.33076189884704665</v>
      </c>
      <c r="AB173" s="72">
        <f t="shared" si="91"/>
        <v>2.1842682220567566E-2</v>
      </c>
      <c r="AC173" s="72"/>
      <c r="AD173" s="72"/>
      <c r="AE173" s="72">
        <f t="shared" si="92"/>
        <v>0.54040943370456773</v>
      </c>
      <c r="AF173" s="72">
        <f t="shared" si="93"/>
        <v>0.50293429869324657</v>
      </c>
      <c r="AG173" s="72">
        <f t="shared" si="94"/>
        <v>0.47182698942622792</v>
      </c>
      <c r="AH173" s="72">
        <f t="shared" si="95"/>
        <v>0.42879585089703631</v>
      </c>
      <c r="AI173" s="72">
        <f t="shared" si="96"/>
        <v>0.18629688641714703</v>
      </c>
      <c r="AJ173" s="72">
        <f>(AV173-Driver!$K$179)/(Driver!$L$179-Driver!$K$179)</f>
        <v>0.34251873338167754</v>
      </c>
      <c r="AK173" s="72">
        <f>(AW173-Driver!$K$180)/(Driver!$L$180-Driver!$K$180)</f>
        <v>0.29321204573665349</v>
      </c>
      <c r="AL173" s="72">
        <f>(AX173-Driver!$K$181)/(Driver!$L$181-Driver!$K$181)</f>
        <v>0.46057041674571558</v>
      </c>
      <c r="AM173" s="72">
        <f>(AY173-Driver!$K$182)/(Driver!$L$182-Driver!$K$182)</f>
        <v>0.11662312224999971</v>
      </c>
      <c r="AN173" s="72">
        <f>(AZ173-Driver!$K$183)/(Driver!$L$183-Driver!$K$183)</f>
        <v>0.27606209150326799</v>
      </c>
      <c r="AO173" s="72"/>
      <c r="AP173" s="72"/>
      <c r="AQ173" s="72">
        <f>(BC173-Driver!$K$188)/(Driver!$L$188-Driver!$K$188)</f>
        <v>7.9590566295432277E-2</v>
      </c>
      <c r="AR173" s="72">
        <f>MIN((BD173-Driver!$K$189)/(Driver!$L$189-Driver!$K$189),100%)</f>
        <v>4.7065701306753506E-2</v>
      </c>
      <c r="AS173" s="72">
        <f>(BE173-Driver!$K$190)/(Driver!$L$190-Driver!$K$190)</f>
        <v>3.8173010573772072E-2</v>
      </c>
      <c r="AT173" s="72">
        <f>(BF173-Driver!$K$191)/(Driver!$L$191-Driver!$K$191)</f>
        <v>8.120414910296371E-2</v>
      </c>
      <c r="AU173" s="72">
        <f>(BG173-Driver!$K$192)/(Driver!$L$192-Driver!$K$192)</f>
        <v>6.3703113582852952E-2</v>
      </c>
      <c r="AV173" s="70">
        <f t="shared" si="97"/>
        <v>7.2089947089947097</v>
      </c>
      <c r="AW173" s="70">
        <f t="shared" si="98"/>
        <v>30.448004601523223</v>
      </c>
      <c r="AX173" s="70">
        <f t="shared" si="99"/>
        <v>5.1451337507114401</v>
      </c>
      <c r="AY173" s="70">
        <f>IFERROR(Driver!$K$19/Data!BH173/Data!BI173*Data!BK173*Data!BL173,"")</f>
        <v>0.14278149861520911</v>
      </c>
      <c r="AZ173" s="70">
        <f t="shared" si="100"/>
        <v>25.160089352196575</v>
      </c>
      <c r="BA173" s="70"/>
      <c r="BB173" s="70"/>
      <c r="BC173" s="70">
        <f t="shared" si="101"/>
        <v>41.284180042081026</v>
      </c>
      <c r="BD173" s="70">
        <f t="shared" si="102"/>
        <v>5.8860540542574666</v>
      </c>
      <c r="BE173" s="70">
        <f t="shared" si="103"/>
        <v>3.8344589682861807E-2</v>
      </c>
      <c r="BF173" s="70">
        <f t="shared" si="104"/>
        <v>9.1714381497447377</v>
      </c>
      <c r="BG173" s="70">
        <f t="shared" si="105"/>
        <v>0.24122062621782897</v>
      </c>
      <c r="BH173" s="67">
        <f>MAX((CE173-Driver!$F$200)/(Driver!$G$200-Driver!$F$200)*$BI$1,1)</f>
        <v>5.1451337507114401</v>
      </c>
      <c r="BI173" s="67">
        <f>MAX($BI$1*(BY173-Driver!$F$201)/(Driver!$G$201-Driver!$F$201),1)</f>
        <v>6.8987341772151902</v>
      </c>
      <c r="BJ173" s="67">
        <f>(CB173-Driver!$F$206)/(Driver!$G$206-Driver!$F$206)*$BI$1</f>
        <v>6.1904761904761907</v>
      </c>
      <c r="BK173" s="67">
        <f>(CD173-Driver!$F$203)/(Driver!$G$203-Driver!$F$203)*$BI$1</f>
        <v>4.0825688073394497</v>
      </c>
      <c r="BL173" s="67">
        <f>MAX((CR173-Driver!$F$202)/(Driver!$G$202-Driver!$F$202)*$BI$1,1)</f>
        <v>6.2068965517241379</v>
      </c>
      <c r="BM173" s="67">
        <f>MAX((CH173-Driver!$F$204)/(Driver!$G$204-Driver!$F$204)*$BI$1,1)</f>
        <v>4.6581196581196584</v>
      </c>
      <c r="BN173" s="67">
        <f>(CI173-Driver!$F$205)/(Driver!$G$205-Driver!$F$205)*$BI$1</f>
        <v>3.6470588235294117</v>
      </c>
      <c r="BO173" s="67">
        <f>(CK173-Driver!$F$207)/(Driver!$G$207-Driver!$F$207)*$BI$1</f>
        <v>1.9441571871768357</v>
      </c>
      <c r="BP173" s="67">
        <f>(CM173-Driver!$F$208)/(Driver!$G$208-Driver!$F$208)*$BI$1</f>
        <v>3.1111111111111112</v>
      </c>
      <c r="BQ173" s="67">
        <f>(CL173-Driver!$F$209)/(Driver!$G$209-Driver!$F$209)*$BI$1</f>
        <v>5.78125</v>
      </c>
      <c r="BR173" s="28" t="s">
        <v>155</v>
      </c>
      <c r="BS173" s="8" t="s">
        <v>218</v>
      </c>
      <c r="BT173" s="9" t="s">
        <v>398</v>
      </c>
      <c r="BU173" s="10">
        <v>176</v>
      </c>
      <c r="BV173" s="9" t="s">
        <v>158</v>
      </c>
      <c r="BW173" s="10">
        <v>176</v>
      </c>
      <c r="BX173" s="10">
        <v>175.1</v>
      </c>
      <c r="BY173" s="10">
        <v>117</v>
      </c>
      <c r="BZ173" s="10">
        <v>140</v>
      </c>
      <c r="CA173" s="10">
        <v>131</v>
      </c>
      <c r="CB173" s="10">
        <v>103</v>
      </c>
      <c r="CC173" s="10">
        <v>120</v>
      </c>
      <c r="CD173" s="10">
        <v>18.3</v>
      </c>
      <c r="CE173" s="10">
        <v>1804</v>
      </c>
      <c r="CF173" s="10">
        <v>1.0900000000000001</v>
      </c>
      <c r="CG173" s="10">
        <v>1972</v>
      </c>
      <c r="CH173" s="10">
        <v>210</v>
      </c>
      <c r="CI173" s="10">
        <v>95</v>
      </c>
      <c r="CJ173" s="10">
        <v>48</v>
      </c>
      <c r="CK173" s="10">
        <v>298</v>
      </c>
      <c r="CL173" s="10">
        <v>37</v>
      </c>
      <c r="CM173" s="10">
        <v>280</v>
      </c>
      <c r="CN173" s="10">
        <v>0.77700000000000002</v>
      </c>
      <c r="CO173" s="10">
        <v>184</v>
      </c>
      <c r="CP173" s="10">
        <v>167</v>
      </c>
      <c r="CQ173" s="10">
        <v>114</v>
      </c>
      <c r="CR173" s="10">
        <v>7</v>
      </c>
      <c r="CS173" s="10">
        <v>6.3</v>
      </c>
      <c r="CT173" s="9" t="s">
        <v>188</v>
      </c>
      <c r="CU173" s="9" t="s">
        <v>169</v>
      </c>
      <c r="CV173" s="9" t="s">
        <v>185</v>
      </c>
      <c r="CW173" s="10"/>
      <c r="CX173" t="str">
        <f>INDEX('Data_Price '!AG$2:AG$1266,MATCH(Data!$DN173,'Data_Price '!$AT$2:$AT$1266,0))</f>
        <v>DPS Koala 103 Foundation Skis 2022</v>
      </c>
      <c r="CY173" t="str">
        <f>INDEX('Data_Price '!AH$2:AH$1266,MATCH(Data!$DN173,'Data_Price '!$AT$2:$AT$1266,0))</f>
        <v>Gorham Bike and Ski</v>
      </c>
      <c r="CZ173">
        <f>INDEX('Data_Price '!AI$2:AI$1266,MATCH(Data!$DN173,'Data_Price '!$AT$2:$AT$1266,0))</f>
        <v>489.99</v>
      </c>
      <c r="DA173" t="str">
        <f>INDEX('Data_Price '!AJ$2:AJ$1266,MATCH(Data!$DN173,'Data_Price '!$AT$2:$AT$1266,0))</f>
        <v>https://tinyurl.com/ybdsa9pe</v>
      </c>
      <c r="DB173" t="str">
        <f>INDEX('Data_Price '!AK$2:AK$1266,MATCH(Data!$DN173,'Data_Price '!$AT$2:$AT$1266,0))</f>
        <v>DPS Koala 103 Foundation Skis 2022</v>
      </c>
      <c r="DC173" t="str">
        <f>INDEX('Data_Price '!AL$2:AL$1266,MATCH(Data!$DN173,'Data_Price '!$AT$2:$AT$1266,0))</f>
        <v>Telemark Pyrenees</v>
      </c>
      <c r="DD173">
        <f>INDEX('Data_Price '!AM$2:AM$1266,MATCH(Data!$DN173,'Data_Price '!$AT$2:$AT$1266,0))</f>
        <v>550</v>
      </c>
      <c r="DE173" t="str">
        <f>INDEX('Data_Price '!AN$2:AN$1266,MATCH(Data!$DN173,'Data_Price '!$AT$2:$AT$1266,0))</f>
        <v>https://tinyurl.com/y98frl7n</v>
      </c>
      <c r="DF173" t="str">
        <f>INDEX('Data_Price '!AO$2:AO$1266,MATCH(Data!$DN173,'Data_Price '!$AT$2:$AT$1266,0))</f>
        <v>DPS Koala 103 Foundation Skis 2022</v>
      </c>
      <c r="DG173" t="str">
        <f>INDEX('Data_Price '!AP$2:AP$1266,MATCH(Data!$DN173,'Data_Price '!$AT$2:$AT$1266,0))</f>
        <v>Teton Wasatch Ski Co.</v>
      </c>
      <c r="DH173">
        <f>INDEX('Data_Price '!AQ$2:AQ$1266,MATCH(Data!$DN173,'Data_Price '!$AT$2:$AT$1266,0))</f>
        <v>559</v>
      </c>
      <c r="DI173" t="str">
        <f>INDEX('Data_Price '!AR$2:AR$1266,MATCH(Data!$DN173,'Data_Price '!$AT$2:$AT$1266,0))</f>
        <v>https://tinyurl.com/y8lp2gpd</v>
      </c>
      <c r="DJ173" s="89" t="str">
        <f t="shared" si="106"/>
        <v>https://tinyurl.com/ybdsa9pe</v>
      </c>
      <c r="DK173" s="89" t="str">
        <f t="shared" si="107"/>
        <v>https://tinyurl.com/y98frl7n</v>
      </c>
      <c r="DL173" s="89" t="str">
        <f t="shared" si="108"/>
        <v>https://tinyurl.com/y8lp2gpd</v>
      </c>
      <c r="DM173" s="219" t="str">
        <f t="shared" si="109"/>
        <v>Foundation 103 Koala</v>
      </c>
      <c r="DN173" s="89" t="str">
        <f t="shared" si="110"/>
        <v xml:space="preserve"> DPSFoundation 103 Koala176 Unisex</v>
      </c>
      <c r="DO173" s="221"/>
    </row>
    <row r="174" spans="2:119" ht="15.6" customHeight="1">
      <c r="B174" s="219" t="b">
        <f t="array" ref="B174">IF(OR(ISERROR(K174:P174)),FALSE,TRUE)</f>
        <v>1</v>
      </c>
      <c r="C174" s="43" t="b">
        <f>OR(BR174=Driver!$G$50,Data!BR119=Driver!$H$50)</f>
        <v>1</v>
      </c>
      <c r="D174" s="43" t="b">
        <f>OR(BV174=Driver!$G$51,BV174=Driver!$H$51)</f>
        <v>1</v>
      </c>
      <c r="E174" s="43" t="b">
        <f>AND(BX174&gt;Driver!$F$54,BX174&lt;Driver!$G$54)</f>
        <v>0</v>
      </c>
      <c r="F174" s="43" t="b">
        <f>CL174&gt;Driver!$F$56</f>
        <v>1</v>
      </c>
      <c r="G174" s="43" t="b">
        <f>AND(CB174&gt;Driver!$F$55,CB174&lt;Driver!$G$55)</f>
        <v>0</v>
      </c>
      <c r="H174" s="43" t="b">
        <f t="shared" si="74"/>
        <v>0</v>
      </c>
      <c r="I174" s="43">
        <f t="shared" si="75"/>
        <v>0</v>
      </c>
      <c r="J174" s="43" t="b">
        <f t="array" ref="J174">NOT(OR(($H$9:$H$1273=TRUE)*($I$9:$I$1273&gt;0)*($BT$9:$BT$1273=BT174)*($K$9:$K$1273&gt;K174)))</f>
        <v>1</v>
      </c>
      <c r="K174" s="72">
        <f t="shared" si="76"/>
        <v>0.87163106616617458</v>
      </c>
      <c r="L174" s="72">
        <f t="shared" si="77"/>
        <v>0.91774370224861779</v>
      </c>
      <c r="M174" s="72">
        <f t="shared" si="78"/>
        <v>0.82551843008373149</v>
      </c>
      <c r="N174" s="72">
        <f t="shared" si="79"/>
        <v>0.87446965203281712</v>
      </c>
      <c r="O174" s="72">
        <f t="shared" si="80"/>
        <v>0.77384662109253965</v>
      </c>
      <c r="P174" s="72">
        <f t="shared" si="81"/>
        <v>0.82823901712583758</v>
      </c>
      <c r="Q174" s="72"/>
      <c r="R174" s="72"/>
      <c r="S174" s="72">
        <f t="shared" si="82"/>
        <v>0.55378842471452083</v>
      </c>
      <c r="T174" s="72">
        <f t="shared" si="83"/>
        <v>0.46393427928661879</v>
      </c>
      <c r="U174" s="72">
        <f t="shared" si="84"/>
        <v>0.83444759013042225</v>
      </c>
      <c r="V174" s="72">
        <f t="shared" si="85"/>
        <v>0.52318104368727814</v>
      </c>
      <c r="W174" s="72">
        <f t="shared" si="86"/>
        <v>0.78827102803738314</v>
      </c>
      <c r="X174" s="72">
        <f t="shared" si="87"/>
        <v>8.2256297751382212E-2</v>
      </c>
      <c r="Y174" s="72">
        <f t="shared" si="88"/>
        <v>0.17448156991626851</v>
      </c>
      <c r="Z174" s="72">
        <f t="shared" si="89"/>
        <v>0.12553034796718288</v>
      </c>
      <c r="AA174" s="72">
        <f t="shared" si="90"/>
        <v>0.22615337890746029</v>
      </c>
      <c r="AB174" s="72">
        <f t="shared" si="91"/>
        <v>0.17176098287416236</v>
      </c>
      <c r="AC174" s="72"/>
      <c r="AD174" s="72"/>
      <c r="AE174" s="72">
        <f t="shared" si="92"/>
        <v>0.44621157528547917</v>
      </c>
      <c r="AF174" s="72">
        <f t="shared" si="93"/>
        <v>0.53606572071338121</v>
      </c>
      <c r="AG174" s="72">
        <f t="shared" si="94"/>
        <v>0.16555240986957775</v>
      </c>
      <c r="AH174" s="72">
        <f t="shared" si="95"/>
        <v>0.47681895631272186</v>
      </c>
      <c r="AI174" s="72">
        <f t="shared" si="96"/>
        <v>0.21172897196261684</v>
      </c>
      <c r="AJ174" s="72">
        <f>(AV174-Driver!$K$179)/(Driver!$L$179-Driver!$K$179)</f>
        <v>0.33647570703408264</v>
      </c>
      <c r="AK174" s="72">
        <f>(AW174-Driver!$K$180)/(Driver!$L$180-Driver!$K$180)</f>
        <v>0.41317385573956927</v>
      </c>
      <c r="AL174" s="72">
        <f>(AX174-Driver!$K$181)/(Driver!$L$181-Driver!$K$181)</f>
        <v>0.22721811168026307</v>
      </c>
      <c r="AM174" s="72">
        <f>(AY174-Driver!$K$182)/(Driver!$L$182-Driver!$K$182)</f>
        <v>0.22123164218958608</v>
      </c>
      <c r="AN174" s="72">
        <f>(AZ174-Driver!$K$183)/(Driver!$L$183-Driver!$K$183)</f>
        <v>0.42598039215686279</v>
      </c>
      <c r="AO174" s="72"/>
      <c r="AP174" s="72"/>
      <c r="AQ174" s="72">
        <f>(BC174-Driver!$K$188)/(Driver!$L$188-Driver!$K$188)</f>
        <v>0.17378842471452086</v>
      </c>
      <c r="AR174" s="72">
        <f>MIN((BD174-Driver!$K$189)/(Driver!$L$189-Driver!$K$189),100%)</f>
        <v>1.3934279286618815E-2</v>
      </c>
      <c r="AS174" s="72">
        <f>(BE174-Driver!$K$190)/(Driver!$L$190-Driver!$K$190)</f>
        <v>0.34444759013042225</v>
      </c>
      <c r="AT174" s="72">
        <f>(BF174-Driver!$K$191)/(Driver!$L$191-Driver!$K$191)</f>
        <v>3.3181043687278138E-2</v>
      </c>
      <c r="AU174" s="72">
        <f>(BG174-Driver!$K$192)/(Driver!$L$192-Driver!$K$192)</f>
        <v>3.8271028037383172E-2</v>
      </c>
      <c r="AV174" s="70">
        <f t="shared" si="97"/>
        <v>7.0818070818070815</v>
      </c>
      <c r="AW174" s="70">
        <f t="shared" si="98"/>
        <v>42.139345956078216</v>
      </c>
      <c r="AX174" s="70">
        <f t="shared" si="99"/>
        <v>3.0449630051223675</v>
      </c>
      <c r="AY174" s="70">
        <f>IFERROR(Driver!$K$19/Data!BH174/Data!BI174*Data!BK174*Data!BL174,"")</f>
        <v>0.27085353919113497</v>
      </c>
      <c r="AZ174" s="70">
        <f t="shared" si="100"/>
        <v>38.82352941176471</v>
      </c>
      <c r="BA174" s="70"/>
      <c r="BB174" s="70"/>
      <c r="BC174" s="70">
        <f t="shared" si="101"/>
        <v>90.145264056949941</v>
      </c>
      <c r="BD174" s="70">
        <f t="shared" si="102"/>
        <v>2.953981910881585</v>
      </c>
      <c r="BE174" s="70">
        <f t="shared" si="103"/>
        <v>0.34456453330178632</v>
      </c>
      <c r="BF174" s="70">
        <f t="shared" si="104"/>
        <v>3.7475657744530544</v>
      </c>
      <c r="BG174" s="70">
        <f t="shared" si="105"/>
        <v>0.14491852642603931</v>
      </c>
      <c r="BH174" s="67">
        <f>MAX((CE174-Driver!$F$200)/(Driver!$G$200-Driver!$F$200)*$BI$1,1)</f>
        <v>3.0449630051223675</v>
      </c>
      <c r="BI174" s="67">
        <f>MAX($BI$1*(BY174-Driver!$F$201)/(Driver!$G$201-Driver!$F$201),1)</f>
        <v>8.3544303797468356</v>
      </c>
      <c r="BJ174" s="67">
        <f>(CB174-Driver!$F$206)/(Driver!$G$206-Driver!$F$206)*$BI$1</f>
        <v>5.7142857142857135</v>
      </c>
      <c r="BK174" s="67">
        <f>(CD174-Driver!$F$203)/(Driver!$G$203-Driver!$F$203)*$BI$1</f>
        <v>5.5504587155963305</v>
      </c>
      <c r="BL174" s="67">
        <f>MAX((CR174-Driver!$F$202)/(Driver!$G$202-Driver!$F$202)*$BI$1,1)</f>
        <v>6.2068965517241379</v>
      </c>
      <c r="BM174" s="67">
        <f>MAX((CH174-Driver!$F$204)/(Driver!$G$204-Driver!$F$204)*$BI$1,1)</f>
        <v>4.9572649572649574</v>
      </c>
      <c r="BN174" s="67">
        <f>(CI174-Driver!$F$205)/(Driver!$G$205-Driver!$F$205)*$BI$1</f>
        <v>4.6470588235294121</v>
      </c>
      <c r="BO174" s="67">
        <f>(CK174-Driver!$F$207)/(Driver!$G$207-Driver!$F$207)*$BI$1</f>
        <v>1.8200620475698035</v>
      </c>
      <c r="BP174" s="67">
        <f>(CM174-Driver!$F$208)/(Driver!$G$208-Driver!$F$208)*$BI$1</f>
        <v>2</v>
      </c>
      <c r="BQ174" s="67">
        <f>(CL174-Driver!$F$209)/(Driver!$G$209-Driver!$F$209)*$BI$1</f>
        <v>2.1875</v>
      </c>
      <c r="BR174" s="28" t="s">
        <v>155</v>
      </c>
      <c r="BS174" s="8" t="s">
        <v>156</v>
      </c>
      <c r="BT174" s="9" t="s">
        <v>399</v>
      </c>
      <c r="BU174" s="10">
        <v>188</v>
      </c>
      <c r="BV174" s="9" t="s">
        <v>158</v>
      </c>
      <c r="BW174" s="10">
        <v>188</v>
      </c>
      <c r="BX174" s="10">
        <v>186.7</v>
      </c>
      <c r="BY174" s="10">
        <v>140</v>
      </c>
      <c r="BZ174" s="10">
        <v>150</v>
      </c>
      <c r="CA174" s="10">
        <v>129</v>
      </c>
      <c r="CB174" s="10">
        <v>100</v>
      </c>
      <c r="CC174" s="10">
        <v>120</v>
      </c>
      <c r="CD174" s="10">
        <v>21.5</v>
      </c>
      <c r="CE174" s="10">
        <v>1435</v>
      </c>
      <c r="CF174" s="10">
        <v>1.4</v>
      </c>
      <c r="CG174" s="10">
        <v>2009</v>
      </c>
      <c r="CH174" s="10">
        <v>217</v>
      </c>
      <c r="CI174" s="10">
        <v>112</v>
      </c>
      <c r="CJ174" s="10">
        <v>54</v>
      </c>
      <c r="CK174" s="10">
        <v>286</v>
      </c>
      <c r="CL174" s="10">
        <v>14</v>
      </c>
      <c r="CM174" s="10">
        <v>180</v>
      </c>
      <c r="CN174" s="10">
        <v>0.251</v>
      </c>
      <c r="CO174" s="10">
        <v>195</v>
      </c>
      <c r="CP174" s="10">
        <v>169</v>
      </c>
      <c r="CQ174" s="10">
        <v>90</v>
      </c>
      <c r="CR174" s="10">
        <v>7</v>
      </c>
      <c r="CS174" s="10">
        <v>9</v>
      </c>
      <c r="CT174" s="9" t="s">
        <v>185</v>
      </c>
      <c r="CU174" s="9" t="s">
        <v>198</v>
      </c>
      <c r="CV174" s="10"/>
      <c r="CW174" s="10"/>
      <c r="CX174" t="str">
        <f>INDEX('Data_Price '!AG$2:AG$1266,MATCH(Data!$DN174,'Data_Price '!$AT$2:$AT$1266,0))</f>
        <v>Atomic Backland 100 Skis 2021 188</v>
      </c>
      <c r="CY174" t="str">
        <f>INDEX('Data_Price '!AH$2:AH$1266,MATCH(Data!$DN174,'Data_Price '!$AT$2:$AT$1266,0))</f>
        <v>The Startingate</v>
      </c>
      <c r="CZ174">
        <f>INDEX('Data_Price '!AI$2:AI$1266,MATCH(Data!$DN174,'Data_Price '!$AT$2:$AT$1266,0))</f>
        <v>450</v>
      </c>
      <c r="DA174" t="str">
        <f>INDEX('Data_Price '!AJ$2:AJ$1266,MATCH(Data!$DN174,'Data_Price '!$AT$2:$AT$1266,0))</f>
        <v>https://tinyurl.com/ycchdtj8</v>
      </c>
      <c r="DB174" t="str">
        <f>INDEX('Data_Price '!AK$2:AK$1266,MATCH(Data!$DN174,'Data_Price '!$AT$2:$AT$1266,0))</f>
        <v>Atomic Backland 100 Ski 2022</v>
      </c>
      <c r="DC174" t="str">
        <f>INDEX('Data_Price '!AL$2:AL$1266,MATCH(Data!$DN174,'Data_Price '!$AT$2:$AT$1266,0))</f>
        <v>JANS Mountain Outfitters</v>
      </c>
      <c r="DD174">
        <f>INDEX('Data_Price '!AM$2:AM$1266,MATCH(Data!$DN174,'Data_Price '!$AT$2:$AT$1266,0))</f>
        <v>468</v>
      </c>
      <c r="DE174" t="str">
        <f>INDEX('Data_Price '!AN$2:AN$1266,MATCH(Data!$DN174,'Data_Price '!$AT$2:$AT$1266,0))</f>
        <v>https://tinyurl.com/ybuh93v9</v>
      </c>
      <c r="DF174" t="str">
        <f>INDEX('Data_Price '!AO$2:AO$1266,MATCH(Data!$DN174,'Data_Price '!$AT$2:$AT$1266,0))</f>
        <v>'21 Atomic Backland 100 Skis 188cm</v>
      </c>
      <c r="DG174" t="str">
        <f>INDEX('Data_Price '!AP$2:AP$1266,MATCH(Data!$DN174,'Data_Price '!$AT$2:$AT$1266,0))</f>
        <v>Al's Ski Equipment Barn</v>
      </c>
      <c r="DH174">
        <f>INDEX('Data_Price '!AQ$2:AQ$1266,MATCH(Data!$DN174,'Data_Price '!$AT$2:$AT$1266,0))</f>
        <v>499.95</v>
      </c>
      <c r="DI174" t="str">
        <f>INDEX('Data_Price '!AR$2:AR$1266,MATCH(Data!$DN174,'Data_Price '!$AT$2:$AT$1266,0))</f>
        <v>https://tinyurl.com/yac2lxu3</v>
      </c>
      <c r="DJ174" s="89" t="str">
        <f t="shared" si="106"/>
        <v>https://tinyurl.com/ycchdtj8</v>
      </c>
      <c r="DK174" s="89" t="str">
        <f t="shared" si="107"/>
        <v>https://tinyurl.com/ybuh93v9</v>
      </c>
      <c r="DL174" s="89" t="str">
        <f t="shared" si="108"/>
        <v>https://tinyurl.com/yac2lxu3</v>
      </c>
      <c r="DM174" s="219" t="str">
        <f t="shared" si="109"/>
        <v>Backland 100</v>
      </c>
      <c r="DN174" s="89" t="str">
        <f t="shared" si="110"/>
        <v xml:space="preserve"> AtomicBackland 100188 Unisex</v>
      </c>
      <c r="DO174" s="221" t="s">
        <v>400</v>
      </c>
    </row>
    <row r="175" spans="2:119" ht="15.6" customHeight="1">
      <c r="B175" s="219" t="b">
        <f t="array" ref="B175">IF(OR(ISERROR(K175:P175)),FALSE,TRUE)</f>
        <v>1</v>
      </c>
      <c r="C175" s="43" t="b">
        <f>OR(BR175=Driver!$G$50,Data!BR1162=Driver!$H$50)</f>
        <v>1</v>
      </c>
      <c r="D175" s="43" t="b">
        <f>OR(BV175=Driver!$G$51,BV175=Driver!$H$51)</f>
        <v>0</v>
      </c>
      <c r="E175" s="43" t="b">
        <f>AND(BX175&gt;Driver!$F$54,BX175&lt;Driver!$G$54)</f>
        <v>0</v>
      </c>
      <c r="F175" s="43" t="b">
        <f>CL175&gt;Driver!$F$56</f>
        <v>1</v>
      </c>
      <c r="G175" s="43" t="b">
        <f>AND(CB175&gt;Driver!$F$55,CB175&lt;Driver!$G$55)</f>
        <v>1</v>
      </c>
      <c r="H175" s="43" t="b">
        <f t="shared" si="74"/>
        <v>0</v>
      </c>
      <c r="I175" s="43">
        <f t="shared" si="75"/>
        <v>0</v>
      </c>
      <c r="J175" s="43" t="b">
        <f t="array" ref="J175">NOT(OR(($H$9:$H$1273=TRUE)*($I$9:$I$1273&gt;0)*($BT$9:$BT$1273=BT175)*($K$9:$K$1273&gt;K175)))</f>
        <v>1</v>
      </c>
      <c r="K175" s="72">
        <f t="shared" si="76"/>
        <v>0.85541165468752478</v>
      </c>
      <c r="L175" s="72">
        <f t="shared" si="77"/>
        <v>0.93273040759065307</v>
      </c>
      <c r="M175" s="72">
        <f t="shared" si="78"/>
        <v>0.77809290178439627</v>
      </c>
      <c r="N175" s="72">
        <f t="shared" si="79"/>
        <v>0.71447471116138217</v>
      </c>
      <c r="O175" s="72">
        <f t="shared" si="80"/>
        <v>0.64301850151372286</v>
      </c>
      <c r="P175" s="72">
        <f t="shared" si="81"/>
        <v>0.9767854926780839</v>
      </c>
      <c r="Q175" s="72"/>
      <c r="R175" s="72"/>
      <c r="S175" s="72">
        <f t="shared" si="82"/>
        <v>0.43191898154922848</v>
      </c>
      <c r="T175" s="72">
        <f t="shared" si="83"/>
        <v>0.46922100709124814</v>
      </c>
      <c r="U175" s="72">
        <f t="shared" si="84"/>
        <v>0.51585756813737282</v>
      </c>
      <c r="V175" s="72">
        <f t="shared" si="85"/>
        <v>0.70578666203764573</v>
      </c>
      <c r="W175" s="72">
        <f t="shared" si="86"/>
        <v>0.8066557574138391</v>
      </c>
      <c r="X175" s="72">
        <f t="shared" si="87"/>
        <v>6.7269592409346879E-2</v>
      </c>
      <c r="Y175" s="72">
        <f t="shared" si="88"/>
        <v>0.2219070982156037</v>
      </c>
      <c r="Z175" s="72">
        <f t="shared" si="89"/>
        <v>0.28552528883861783</v>
      </c>
      <c r="AA175" s="72">
        <f t="shared" si="90"/>
        <v>0.35698149848627714</v>
      </c>
      <c r="AB175" s="72">
        <f t="shared" si="91"/>
        <v>2.3214507321916128E-2</v>
      </c>
      <c r="AC175" s="72"/>
      <c r="AD175" s="72"/>
      <c r="AE175" s="72">
        <f t="shared" si="92"/>
        <v>0.56808101845077152</v>
      </c>
      <c r="AF175" s="72">
        <f t="shared" si="93"/>
        <v>0.53077899290875186</v>
      </c>
      <c r="AG175" s="72">
        <f t="shared" si="94"/>
        <v>0.48414243186262718</v>
      </c>
      <c r="AH175" s="72">
        <f t="shared" si="95"/>
        <v>0.29421333796235427</v>
      </c>
      <c r="AI175" s="72">
        <f t="shared" si="96"/>
        <v>0.19334424258616084</v>
      </c>
      <c r="AJ175" s="72">
        <f>(AV175-Driver!$K$179)/(Driver!$L$179-Driver!$K$179)</f>
        <v>0.3214890016920473</v>
      </c>
      <c r="AK175" s="72">
        <f>(AW175-Driver!$K$180)/(Driver!$L$180-Driver!$K$180)</f>
        <v>0.24397286029219775</v>
      </c>
      <c r="AL175" s="72">
        <f>(AX175-Driver!$K$181)/(Driver!$L$181-Driver!$K$181)</f>
        <v>0.38721305255169802</v>
      </c>
      <c r="AM175" s="72">
        <f>(AY175-Driver!$K$182)/(Driver!$L$182-Driver!$K$182)</f>
        <v>9.0403522610769227E-2</v>
      </c>
      <c r="AN175" s="72">
        <f>(AZ175-Driver!$K$183)/(Driver!$L$183-Driver!$K$183)</f>
        <v>0.2310049019607843</v>
      </c>
      <c r="AO175" s="72"/>
      <c r="AP175" s="72"/>
      <c r="AQ175" s="72">
        <f>(BC175-Driver!$K$188)/(Driver!$L$188-Driver!$K$188)</f>
        <v>5.1918981549228423E-2</v>
      </c>
      <c r="AR175" s="72">
        <f>MIN((BD175-Driver!$K$189)/(Driver!$L$189-Driver!$K$189),100%)</f>
        <v>1.922100709124816E-2</v>
      </c>
      <c r="AS175" s="72">
        <f>(BE175-Driver!$K$190)/(Driver!$L$190-Driver!$K$190)</f>
        <v>2.5857568137372836E-2</v>
      </c>
      <c r="AT175" s="72">
        <f>(BF175-Driver!$K$191)/(Driver!$L$191-Driver!$K$191)</f>
        <v>0.21578666203764574</v>
      </c>
      <c r="AU175" s="72">
        <f>(BG175-Driver!$K$192)/(Driver!$L$192-Driver!$K$192)</f>
        <v>5.6655757413839151E-2</v>
      </c>
      <c r="AV175" s="70">
        <f t="shared" si="97"/>
        <v>6.7663817663817651</v>
      </c>
      <c r="AW175" s="70">
        <f t="shared" si="98"/>
        <v>25.649209676393504</v>
      </c>
      <c r="AX175" s="70">
        <f t="shared" si="99"/>
        <v>4.4849174729652823</v>
      </c>
      <c r="AY175" s="70">
        <f>IFERROR(Driver!$K$19/Data!BH175/Data!BI175*Data!BK175*Data!BL175,"")</f>
        <v>0.11068088548332108</v>
      </c>
      <c r="AZ175" s="70">
        <f t="shared" si="100"/>
        <v>21.053611317944899</v>
      </c>
      <c r="BA175" s="70"/>
      <c r="BB175" s="70"/>
      <c r="BC175" s="70">
        <f t="shared" si="101"/>
        <v>26.930736664488858</v>
      </c>
      <c r="BD175" s="70">
        <f t="shared" si="102"/>
        <v>3.4218479540639182</v>
      </c>
      <c r="BE175" s="70">
        <f t="shared" si="103"/>
        <v>2.6031344182777021E-2</v>
      </c>
      <c r="BF175" s="70">
        <f t="shared" si="104"/>
        <v>24.371587490052381</v>
      </c>
      <c r="BG175" s="70">
        <f t="shared" si="105"/>
        <v>0.21453484003473147</v>
      </c>
      <c r="BH175" s="67">
        <f>MAX((CE175-Driver!$F$200)/(Driver!$G$200-Driver!$F$200)*$BI$1,1)</f>
        <v>4.4849174729652823</v>
      </c>
      <c r="BI175" s="67">
        <f>MAX($BI$1*(BY175-Driver!$F$201)/(Driver!$G$201-Driver!$F$201),1)</f>
        <v>5.5063291139240507</v>
      </c>
      <c r="BJ175" s="67">
        <f>(CB175-Driver!$F$206)/(Driver!$G$206-Driver!$F$206)*$BI$1</f>
        <v>6.6666666666666661</v>
      </c>
      <c r="BK175" s="67">
        <f>(CD175-Driver!$F$203)/(Driver!$G$203-Driver!$F$203)*$BI$1</f>
        <v>3.3027522935779823</v>
      </c>
      <c r="BL175" s="67">
        <f>MAX((CR175-Driver!$F$202)/(Driver!$G$202-Driver!$F$202)*$BI$1,1)</f>
        <v>4.1379310344827589</v>
      </c>
      <c r="BM175" s="67">
        <f>MAX((CH175-Driver!$F$204)/(Driver!$G$204-Driver!$F$204)*$BI$1,1)</f>
        <v>4.0598290598290596</v>
      </c>
      <c r="BN175" s="67">
        <f>(CI175-Driver!$F$205)/(Driver!$G$205-Driver!$F$205)*$BI$1</f>
        <v>3.8235294117647056</v>
      </c>
      <c r="BO175" s="67">
        <f>(CK175-Driver!$F$207)/(Driver!$G$207-Driver!$F$207)*$BI$1</f>
        <v>3.6711478800413651</v>
      </c>
      <c r="BP175" s="67">
        <f>(CM175-Driver!$F$208)/(Driver!$G$208-Driver!$F$208)*$BI$1</f>
        <v>3.2888888888888888</v>
      </c>
      <c r="BQ175" s="67">
        <f>(CL175-Driver!$F$209)/(Driver!$G$209-Driver!$F$209)*$BI$1</f>
        <v>3.90625</v>
      </c>
      <c r="BR175" s="28" t="s">
        <v>155</v>
      </c>
      <c r="BS175" s="8" t="s">
        <v>229</v>
      </c>
      <c r="BT175" s="9" t="s">
        <v>382</v>
      </c>
      <c r="BU175" s="10">
        <v>172</v>
      </c>
      <c r="BV175" s="9" t="s">
        <v>163</v>
      </c>
      <c r="BW175" s="10">
        <v>172</v>
      </c>
      <c r="BX175" s="10">
        <v>171.5</v>
      </c>
      <c r="BY175" s="10">
        <v>95</v>
      </c>
      <c r="BZ175" s="10">
        <v>147</v>
      </c>
      <c r="CA175" s="10">
        <v>145</v>
      </c>
      <c r="CB175" s="10">
        <v>106</v>
      </c>
      <c r="CC175" s="10">
        <v>127</v>
      </c>
      <c r="CD175" s="10">
        <v>16.600000000000001</v>
      </c>
      <c r="CE175" s="10">
        <v>1688</v>
      </c>
      <c r="CF175" s="10">
        <v>1.2</v>
      </c>
      <c r="CG175" s="10">
        <v>2017</v>
      </c>
      <c r="CH175" s="10">
        <v>196</v>
      </c>
      <c r="CI175" s="10">
        <v>98</v>
      </c>
      <c r="CJ175" s="10">
        <v>54</v>
      </c>
      <c r="CK175" s="10">
        <v>465</v>
      </c>
      <c r="CL175" s="10">
        <v>25</v>
      </c>
      <c r="CM175" s="10">
        <v>296</v>
      </c>
      <c r="CN175" s="10">
        <v>0.46100000000000002</v>
      </c>
      <c r="CO175" s="10">
        <v>136</v>
      </c>
      <c r="CP175" s="10">
        <v>105</v>
      </c>
      <c r="CQ175" s="10">
        <v>329</v>
      </c>
      <c r="CR175" s="10">
        <v>1</v>
      </c>
      <c r="CS175" s="10">
        <v>12</v>
      </c>
      <c r="CT175" s="9" t="s">
        <v>169</v>
      </c>
      <c r="CU175" s="9" t="s">
        <v>185</v>
      </c>
      <c r="CV175" s="10"/>
      <c r="CW175" s="10"/>
      <c r="CX175" t="e">
        <f>INDEX('Data_Price '!AG$2:AG$1266,MATCH(Data!$DN175,'Data_Price '!$AT$2:$AT$1266,0))</f>
        <v>#N/A</v>
      </c>
      <c r="CY175" t="e">
        <f>INDEX('Data_Price '!AH$2:AH$1266,MATCH(Data!$DN175,'Data_Price '!$AT$2:$AT$1266,0))</f>
        <v>#N/A</v>
      </c>
      <c r="CZ175" t="e">
        <f>INDEX('Data_Price '!AI$2:AI$1266,MATCH(Data!$DN175,'Data_Price '!$AT$2:$AT$1266,0))</f>
        <v>#N/A</v>
      </c>
      <c r="DA175" t="e">
        <f>INDEX('Data_Price '!AJ$2:AJ$1266,MATCH(Data!$DN175,'Data_Price '!$AT$2:$AT$1266,0))</f>
        <v>#N/A</v>
      </c>
      <c r="DB175" t="e">
        <f>INDEX('Data_Price '!AK$2:AK$1266,MATCH(Data!$DN175,'Data_Price '!$AT$2:$AT$1266,0))</f>
        <v>#N/A</v>
      </c>
      <c r="DC175" t="e">
        <f>INDEX('Data_Price '!AL$2:AL$1266,MATCH(Data!$DN175,'Data_Price '!$AT$2:$AT$1266,0))</f>
        <v>#N/A</v>
      </c>
      <c r="DD175" t="e">
        <f>INDEX('Data_Price '!AM$2:AM$1266,MATCH(Data!$DN175,'Data_Price '!$AT$2:$AT$1266,0))</f>
        <v>#N/A</v>
      </c>
      <c r="DE175" t="e">
        <f>INDEX('Data_Price '!AN$2:AN$1266,MATCH(Data!$DN175,'Data_Price '!$AT$2:$AT$1266,0))</f>
        <v>#N/A</v>
      </c>
      <c r="DF175" t="e">
        <f>INDEX('Data_Price '!AO$2:AO$1266,MATCH(Data!$DN175,'Data_Price '!$AT$2:$AT$1266,0))</f>
        <v>#N/A</v>
      </c>
      <c r="DG175" t="e">
        <f>INDEX('Data_Price '!AP$2:AP$1266,MATCH(Data!$DN175,'Data_Price '!$AT$2:$AT$1266,0))</f>
        <v>#N/A</v>
      </c>
      <c r="DH175" t="e">
        <f>INDEX('Data_Price '!AQ$2:AQ$1266,MATCH(Data!$DN175,'Data_Price '!$AT$2:$AT$1266,0))</f>
        <v>#N/A</v>
      </c>
      <c r="DI175" t="e">
        <f>INDEX('Data_Price '!AR$2:AR$1266,MATCH(Data!$DN175,'Data_Price '!$AT$2:$AT$1266,0))</f>
        <v>#N/A</v>
      </c>
      <c r="DJ175" s="89" t="e">
        <f t="shared" si="106"/>
        <v>#N/A</v>
      </c>
      <c r="DK175" s="89" t="e">
        <f t="shared" si="107"/>
        <v>#N/A</v>
      </c>
      <c r="DL175" s="89" t="e">
        <f t="shared" si="108"/>
        <v>#N/A</v>
      </c>
      <c r="DM175" s="219" t="str">
        <f t="shared" si="109"/>
        <v>Blaze 106 W</v>
      </c>
      <c r="DN175" s="89" t="str">
        <f t="shared" si="110"/>
        <v xml:space="preserve"> VölklBlaze 106 W172 Women's</v>
      </c>
      <c r="DO175" s="221" t="s">
        <v>383</v>
      </c>
    </row>
    <row r="176" spans="2:119" ht="15.6" customHeight="1">
      <c r="B176" s="219" t="b">
        <f t="array" ref="B176">IF(OR(ISERROR(K176:P176)),FALSE,TRUE)</f>
        <v>1</v>
      </c>
      <c r="C176" s="43" t="b">
        <f>OR(BR176=Driver!$G$50,Data!BR1157=Driver!$H$50)</f>
        <v>1</v>
      </c>
      <c r="D176" s="43" t="b">
        <f>OR(BV176=Driver!$G$51,BV176=Driver!$H$51)</f>
        <v>1</v>
      </c>
      <c r="E176" s="43" t="b">
        <f>AND(BX176&gt;Driver!$F$54,BX176&lt;Driver!$G$54)</f>
        <v>0</v>
      </c>
      <c r="F176" s="43" t="b">
        <f>CL176&gt;Driver!$F$56</f>
        <v>1</v>
      </c>
      <c r="G176" s="43" t="b">
        <f>AND(CB176&gt;Driver!$F$55,CB176&lt;Driver!$G$55)</f>
        <v>1</v>
      </c>
      <c r="H176" s="43" t="b">
        <f t="shared" si="74"/>
        <v>0</v>
      </c>
      <c r="I176" s="43">
        <f t="shared" si="75"/>
        <v>1</v>
      </c>
      <c r="J176" s="43" t="b">
        <f t="array" ref="J176">NOT(OR(($H$9:$H$1273=TRUE)*($I$9:$I$1273&gt;0)*($BT$9:$BT$1273=BT176)*($K$9:$K$1273&gt;K176)))</f>
        <v>0</v>
      </c>
      <c r="K176" s="72">
        <f t="shared" si="76"/>
        <v>0.87075083217005345</v>
      </c>
      <c r="L176" s="72">
        <f t="shared" si="77"/>
        <v>0.95359899191101405</v>
      </c>
      <c r="M176" s="72">
        <f t="shared" si="78"/>
        <v>0.78790267242909273</v>
      </c>
      <c r="N176" s="72">
        <f t="shared" si="79"/>
        <v>0.74356470041073397</v>
      </c>
      <c r="O176" s="72">
        <f t="shared" si="80"/>
        <v>0.65148690916578067</v>
      </c>
      <c r="P176" s="72">
        <f t="shared" si="81"/>
        <v>0.96865640771076356</v>
      </c>
      <c r="Q176" s="72"/>
      <c r="R176" s="72"/>
      <c r="S176" s="72">
        <f t="shared" si="82"/>
        <v>0.43281160919789974</v>
      </c>
      <c r="T176" s="72">
        <f t="shared" si="83"/>
        <v>0.46485245338854719</v>
      </c>
      <c r="U176" s="72">
        <f t="shared" si="84"/>
        <v>0.52010019428758847</v>
      </c>
      <c r="V176" s="72">
        <f t="shared" si="85"/>
        <v>0.68457317506726045</v>
      </c>
      <c r="W176" s="72">
        <f t="shared" si="86"/>
        <v>0.81030034655371586</v>
      </c>
      <c r="X176" s="72">
        <f t="shared" si="87"/>
        <v>4.6401008088985951E-2</v>
      </c>
      <c r="Y176" s="72">
        <f t="shared" si="88"/>
        <v>0.21209732757090727</v>
      </c>
      <c r="Z176" s="72">
        <f t="shared" si="89"/>
        <v>0.25643529958926597</v>
      </c>
      <c r="AA176" s="72">
        <f t="shared" si="90"/>
        <v>0.34851309083421933</v>
      </c>
      <c r="AB176" s="72">
        <f t="shared" si="91"/>
        <v>3.1343592289236388E-2</v>
      </c>
      <c r="AC176" s="72"/>
      <c r="AD176" s="72"/>
      <c r="AE176" s="72">
        <f t="shared" si="92"/>
        <v>0.56718839080210026</v>
      </c>
      <c r="AF176" s="72">
        <f t="shared" si="93"/>
        <v>0.53514754661145281</v>
      </c>
      <c r="AG176" s="72">
        <f t="shared" si="94"/>
        <v>0.47989980571241148</v>
      </c>
      <c r="AH176" s="72">
        <f t="shared" si="95"/>
        <v>0.31542682493273955</v>
      </c>
      <c r="AI176" s="72">
        <f t="shared" si="96"/>
        <v>0.18969965344628417</v>
      </c>
      <c r="AJ176" s="72">
        <f>(AV176-Driver!$K$179)/(Driver!$L$179-Driver!$K$179)</f>
        <v>0.30062041737168638</v>
      </c>
      <c r="AK176" s="72">
        <f>(AW176-Driver!$K$180)/(Driver!$L$180-Driver!$K$180)</f>
        <v>0.23379091617440279</v>
      </c>
      <c r="AL176" s="72">
        <f>(AX176-Driver!$K$181)/(Driver!$L$181-Driver!$K$181)</f>
        <v>0.35812306330234617</v>
      </c>
      <c r="AM176" s="72">
        <f>(AY176-Driver!$K$182)/(Driver!$L$182-Driver!$K$182)</f>
        <v>9.8871930262827062E-2</v>
      </c>
      <c r="AN176" s="72">
        <f>(AZ176-Driver!$K$183)/(Driver!$L$183-Driver!$K$183)</f>
        <v>0.22287581699346404</v>
      </c>
      <c r="AO176" s="72"/>
      <c r="AP176" s="72"/>
      <c r="AQ176" s="72">
        <f>(BC176-Driver!$K$188)/(Driver!$L$188-Driver!$K$188)</f>
        <v>5.2811609197899775E-2</v>
      </c>
      <c r="AR176" s="72">
        <f>MIN((BD176-Driver!$K$189)/(Driver!$L$189-Driver!$K$189),100%)</f>
        <v>1.4852453388547222E-2</v>
      </c>
      <c r="AS176" s="72">
        <f>(BE176-Driver!$K$190)/(Driver!$L$190-Driver!$K$190)</f>
        <v>3.010019428758855E-2</v>
      </c>
      <c r="AT176" s="72">
        <f>(BF176-Driver!$K$191)/(Driver!$L$191-Driver!$K$191)</f>
        <v>0.19457317506726049</v>
      </c>
      <c r="AU176" s="72">
        <f>(BG176-Driver!$K$192)/(Driver!$L$192-Driver!$K$192)</f>
        <v>6.0300346553715828E-2</v>
      </c>
      <c r="AV176" s="70">
        <f t="shared" si="97"/>
        <v>6.3271604938271606</v>
      </c>
      <c r="AW176" s="70">
        <f t="shared" si="98"/>
        <v>24.656889000911441</v>
      </c>
      <c r="AX176" s="70">
        <f t="shared" si="99"/>
        <v>4.2231075697211153</v>
      </c>
      <c r="AY176" s="70">
        <f>IFERROR(Driver!$K$19/Data!BH176/Data!BI176*Data!BK176*Data!BL176,"")</f>
        <v>0.12104874317841315</v>
      </c>
      <c r="AZ176" s="70">
        <f t="shared" si="100"/>
        <v>20.312732688011913</v>
      </c>
      <c r="BA176" s="70"/>
      <c r="BB176" s="70"/>
      <c r="BC176" s="70">
        <f t="shared" si="101"/>
        <v>27.393748831301426</v>
      </c>
      <c r="BD176" s="70">
        <f t="shared" si="102"/>
        <v>3.0352386919940098</v>
      </c>
      <c r="BE176" s="70">
        <f t="shared" si="103"/>
        <v>3.0273213496240327E-2</v>
      </c>
      <c r="BF176" s="70">
        <f t="shared" si="104"/>
        <v>21.975673169928026</v>
      </c>
      <c r="BG176" s="70">
        <f t="shared" si="105"/>
        <v>0.22833557951482483</v>
      </c>
      <c r="BH176" s="67">
        <f>MAX((CE176-Driver!$F$200)/(Driver!$G$200-Driver!$F$200)*$BI$1,1)</f>
        <v>4.2231075697211153</v>
      </c>
      <c r="BI176" s="67">
        <f>MAX($BI$1*(BY176-Driver!$F$201)/(Driver!$G$201-Driver!$F$201),1)</f>
        <v>5.5696202531645573</v>
      </c>
      <c r="BJ176" s="67">
        <f>(CB176-Driver!$F$206)/(Driver!$G$206-Driver!$F$206)*$BI$1</f>
        <v>6.5079365079365079</v>
      </c>
      <c r="BK176" s="67">
        <f>(CD176-Driver!$F$203)/(Driver!$G$203-Driver!$F$203)*$BI$1</f>
        <v>3.4403669724770634</v>
      </c>
      <c r="BL176" s="67">
        <f>MAX((CR176-Driver!$F$202)/(Driver!$G$202-Driver!$F$202)*$BI$1,1)</f>
        <v>4.1379310344827589</v>
      </c>
      <c r="BM176" s="67">
        <f>MAX((CH176-Driver!$F$204)/(Driver!$G$204-Driver!$F$204)*$BI$1,1)</f>
        <v>3.8888888888888888</v>
      </c>
      <c r="BN176" s="67">
        <f>(CI176-Driver!$F$205)/(Driver!$G$205-Driver!$F$205)*$BI$1</f>
        <v>3.6470588235294117</v>
      </c>
      <c r="BO176" s="67">
        <f>(CK176-Driver!$F$207)/(Driver!$G$207-Driver!$F$207)*$BI$1</f>
        <v>3.7745604963805586</v>
      </c>
      <c r="BP176" s="67">
        <f>(CM176-Driver!$F$208)/(Driver!$G$208-Driver!$F$208)*$BI$1</f>
        <v>3.0777777777777775</v>
      </c>
      <c r="BQ176" s="67">
        <f>(CL176-Driver!$F$209)/(Driver!$G$209-Driver!$F$209)*$BI$1</f>
        <v>3.75</v>
      </c>
      <c r="BR176" s="28" t="s">
        <v>155</v>
      </c>
      <c r="BS176" s="8" t="s">
        <v>229</v>
      </c>
      <c r="BT176" s="9" t="s">
        <v>335</v>
      </c>
      <c r="BU176" s="10">
        <v>172</v>
      </c>
      <c r="BV176" s="9" t="s">
        <v>158</v>
      </c>
      <c r="BW176" s="10">
        <v>172</v>
      </c>
      <c r="BX176" s="10">
        <v>171.7</v>
      </c>
      <c r="BY176" s="10">
        <v>96</v>
      </c>
      <c r="BZ176" s="10">
        <v>148</v>
      </c>
      <c r="CA176" s="10">
        <v>144</v>
      </c>
      <c r="CB176" s="10">
        <v>105</v>
      </c>
      <c r="CC176" s="10">
        <v>127</v>
      </c>
      <c r="CD176" s="10">
        <v>16.899999999999999</v>
      </c>
      <c r="CE176" s="10">
        <v>1642</v>
      </c>
      <c r="CF176" s="10">
        <v>1.23</v>
      </c>
      <c r="CG176" s="10">
        <v>2013</v>
      </c>
      <c r="CH176" s="10">
        <v>192</v>
      </c>
      <c r="CI176" s="10">
        <v>95</v>
      </c>
      <c r="CJ176" s="10">
        <v>54</v>
      </c>
      <c r="CK176" s="10">
        <v>475</v>
      </c>
      <c r="CL176" s="10">
        <v>24</v>
      </c>
      <c r="CM176" s="10">
        <v>277</v>
      </c>
      <c r="CN176" s="10">
        <v>0.44</v>
      </c>
      <c r="CO176" s="10">
        <v>138</v>
      </c>
      <c r="CP176" s="10">
        <v>96</v>
      </c>
      <c r="CQ176" s="10">
        <v>337</v>
      </c>
      <c r="CR176" s="10">
        <v>1</v>
      </c>
      <c r="CS176" s="10">
        <v>11.6</v>
      </c>
      <c r="CT176" s="9" t="s">
        <v>169</v>
      </c>
      <c r="CU176" s="9" t="s">
        <v>185</v>
      </c>
      <c r="CV176" s="10"/>
      <c r="CW176" s="10"/>
      <c r="CX176" t="e">
        <f>INDEX('Data_Price '!AG$2:AG$1266,MATCH(Data!$DN176,'Data_Price '!$AT$2:$AT$1266,0))</f>
        <v>#N/A</v>
      </c>
      <c r="CY176" t="e">
        <f>INDEX('Data_Price '!AH$2:AH$1266,MATCH(Data!$DN176,'Data_Price '!$AT$2:$AT$1266,0))</f>
        <v>#N/A</v>
      </c>
      <c r="CZ176" t="e">
        <f>INDEX('Data_Price '!AI$2:AI$1266,MATCH(Data!$DN176,'Data_Price '!$AT$2:$AT$1266,0))</f>
        <v>#N/A</v>
      </c>
      <c r="DA176" t="e">
        <f>INDEX('Data_Price '!AJ$2:AJ$1266,MATCH(Data!$DN176,'Data_Price '!$AT$2:$AT$1266,0))</f>
        <v>#N/A</v>
      </c>
      <c r="DB176" t="e">
        <f>INDEX('Data_Price '!AK$2:AK$1266,MATCH(Data!$DN176,'Data_Price '!$AT$2:$AT$1266,0))</f>
        <v>#N/A</v>
      </c>
      <c r="DC176" t="e">
        <f>INDEX('Data_Price '!AL$2:AL$1266,MATCH(Data!$DN176,'Data_Price '!$AT$2:$AT$1266,0))</f>
        <v>#N/A</v>
      </c>
      <c r="DD176" t="e">
        <f>INDEX('Data_Price '!AM$2:AM$1266,MATCH(Data!$DN176,'Data_Price '!$AT$2:$AT$1266,0))</f>
        <v>#N/A</v>
      </c>
      <c r="DE176" t="e">
        <f>INDEX('Data_Price '!AN$2:AN$1266,MATCH(Data!$DN176,'Data_Price '!$AT$2:$AT$1266,0))</f>
        <v>#N/A</v>
      </c>
      <c r="DF176" t="e">
        <f>INDEX('Data_Price '!AO$2:AO$1266,MATCH(Data!$DN176,'Data_Price '!$AT$2:$AT$1266,0))</f>
        <v>#N/A</v>
      </c>
      <c r="DG176" t="e">
        <f>INDEX('Data_Price '!AP$2:AP$1266,MATCH(Data!$DN176,'Data_Price '!$AT$2:$AT$1266,0))</f>
        <v>#N/A</v>
      </c>
      <c r="DH176" t="e">
        <f>INDEX('Data_Price '!AQ$2:AQ$1266,MATCH(Data!$DN176,'Data_Price '!$AT$2:$AT$1266,0))</f>
        <v>#N/A</v>
      </c>
      <c r="DI176" t="e">
        <f>INDEX('Data_Price '!AR$2:AR$1266,MATCH(Data!$DN176,'Data_Price '!$AT$2:$AT$1266,0))</f>
        <v>#N/A</v>
      </c>
      <c r="DJ176" s="89" t="e">
        <f t="shared" si="106"/>
        <v>#N/A</v>
      </c>
      <c r="DK176" s="89" t="e">
        <f t="shared" si="107"/>
        <v>#N/A</v>
      </c>
      <c r="DL176" s="89" t="e">
        <f t="shared" si="108"/>
        <v>#N/A</v>
      </c>
      <c r="DM176" s="219" t="str">
        <f t="shared" si="109"/>
        <v>Blaze 106</v>
      </c>
      <c r="DN176" s="89" t="str">
        <f t="shared" si="110"/>
        <v xml:space="preserve"> VölklBlaze 106172 Unisex</v>
      </c>
      <c r="DO176" s="221" t="s">
        <v>336</v>
      </c>
    </row>
    <row r="177" spans="1:119" ht="15.6" customHeight="1">
      <c r="B177" s="219" t="b">
        <f t="array" ref="B177">IF(OR(ISERROR(K177:P177)),FALSE,TRUE)</f>
        <v>1</v>
      </c>
      <c r="C177" s="43" t="b">
        <f>OR(BR177=Driver!$G$50,Data!BR981=Driver!$H$50)</f>
        <v>1</v>
      </c>
      <c r="D177" s="43" t="b">
        <f>OR(BV177=Driver!$G$51,BV177=Driver!$H$51)</f>
        <v>0</v>
      </c>
      <c r="E177" s="43" t="b">
        <f>AND(BX177&gt;Driver!$F$54,BX177&lt;Driver!$G$54)</f>
        <v>0</v>
      </c>
      <c r="F177" s="43" t="b">
        <f>CL177&gt;Driver!$F$56</f>
        <v>1</v>
      </c>
      <c r="G177" s="43" t="b">
        <f>AND(CB177&gt;Driver!$F$55,CB177&lt;Driver!$G$55)</f>
        <v>1</v>
      </c>
      <c r="H177" s="43" t="b">
        <f t="shared" si="74"/>
        <v>0</v>
      </c>
      <c r="I177" s="43">
        <f t="shared" si="75"/>
        <v>0</v>
      </c>
      <c r="J177" s="43" t="b">
        <f t="array" ref="J177">NOT(OR(($H$9:$H$1273=TRUE)*($I$9:$I$1273&gt;0)*($BT$9:$BT$1273=BT177)*($K$9:$K$1273&gt;K177)))</f>
        <v>1</v>
      </c>
      <c r="K177" s="72">
        <f t="shared" si="76"/>
        <v>0.80237693818254296</v>
      </c>
      <c r="L177" s="72">
        <f t="shared" si="77"/>
        <v>0.86367875985880227</v>
      </c>
      <c r="M177" s="72">
        <f t="shared" si="78"/>
        <v>0.74107511650628366</v>
      </c>
      <c r="N177" s="72">
        <f t="shared" si="79"/>
        <v>0.62530757020141259</v>
      </c>
      <c r="O177" s="72">
        <f t="shared" si="80"/>
        <v>0.61530784715892117</v>
      </c>
      <c r="P177" s="72">
        <f t="shared" si="81"/>
        <v>0.98260993215851733</v>
      </c>
      <c r="Q177" s="72"/>
      <c r="R177" s="72"/>
      <c r="S177" s="72">
        <f t="shared" si="82"/>
        <v>0.43329582468542649</v>
      </c>
      <c r="T177" s="72">
        <f t="shared" si="83"/>
        <v>0.53939850492532559</v>
      </c>
      <c r="U177" s="72">
        <f t="shared" si="84"/>
        <v>0.60709898192575329</v>
      </c>
      <c r="V177" s="72">
        <f t="shared" si="85"/>
        <v>0.58773429248446529</v>
      </c>
      <c r="W177" s="72">
        <f t="shared" si="86"/>
        <v>0.76951618337044669</v>
      </c>
      <c r="X177" s="72">
        <f t="shared" si="87"/>
        <v>0.13632124014119767</v>
      </c>
      <c r="Y177" s="72">
        <f t="shared" si="88"/>
        <v>0.25892488349371628</v>
      </c>
      <c r="Z177" s="72">
        <f t="shared" si="89"/>
        <v>0.37469242979858741</v>
      </c>
      <c r="AA177" s="72">
        <f t="shared" si="90"/>
        <v>0.38469215284107883</v>
      </c>
      <c r="AB177" s="72">
        <f t="shared" si="91"/>
        <v>1.7390067841482615E-2</v>
      </c>
      <c r="AC177" s="72"/>
      <c r="AD177" s="72"/>
      <c r="AE177" s="72">
        <f t="shared" si="92"/>
        <v>0.56670417531457351</v>
      </c>
      <c r="AF177" s="72">
        <f t="shared" si="93"/>
        <v>0.46060149507467441</v>
      </c>
      <c r="AG177" s="72">
        <f t="shared" si="94"/>
        <v>0.39290101807424671</v>
      </c>
      <c r="AH177" s="72">
        <f t="shared" si="95"/>
        <v>0.41226570751553476</v>
      </c>
      <c r="AI177" s="72">
        <f t="shared" si="96"/>
        <v>0.23048381662955325</v>
      </c>
      <c r="AJ177" s="72">
        <f>(AV177-Driver!$K$179)/(Driver!$L$179-Driver!$K$179)</f>
        <v>0.3905406494238981</v>
      </c>
      <c r="AK177" s="72">
        <f>(AW177-Driver!$K$180)/(Driver!$L$180-Driver!$K$180)</f>
        <v>0.28983065361941335</v>
      </c>
      <c r="AL177" s="72">
        <f>(AX177-Driver!$K$181)/(Driver!$L$181-Driver!$K$181)</f>
        <v>0.4763801935116676</v>
      </c>
      <c r="AM177" s="72">
        <f>(AY177-Driver!$K$182)/(Driver!$L$182-Driver!$K$182)</f>
        <v>6.2692868255967565E-2</v>
      </c>
      <c r="AN177" s="72">
        <f>(AZ177-Driver!$K$183)/(Driver!$L$183-Driver!$K$183)</f>
        <v>0.27160947712418304</v>
      </c>
      <c r="AO177" s="72"/>
      <c r="AP177" s="72"/>
      <c r="AQ177" s="72">
        <f>(BC177-Driver!$K$188)/(Driver!$L$188-Driver!$K$188)</f>
        <v>5.3295824685426478E-2</v>
      </c>
      <c r="AR177" s="72">
        <f>MIN((BD177-Driver!$K$189)/(Driver!$L$189-Driver!$K$189),100%)</f>
        <v>8.9398504925325667E-2</v>
      </c>
      <c r="AS177" s="72">
        <f>(BE177-Driver!$K$190)/(Driver!$L$190-Driver!$K$190)</f>
        <v>0.1170989819257533</v>
      </c>
      <c r="AT177" s="72">
        <f>(BF177-Driver!$K$191)/(Driver!$L$191-Driver!$K$191)</f>
        <v>9.7734292484465232E-2</v>
      </c>
      <c r="AU177" s="72">
        <f>(BG177-Driver!$K$192)/(Driver!$L$192-Driver!$K$192)</f>
        <v>1.951618337044676E-2</v>
      </c>
      <c r="AV177" s="70">
        <f t="shared" si="97"/>
        <v>8.2197123863790527</v>
      </c>
      <c r="AW177" s="70">
        <f t="shared" si="98"/>
        <v>30.118457977516009</v>
      </c>
      <c r="AX177" s="70">
        <f t="shared" si="99"/>
        <v>5.2874217416050087</v>
      </c>
      <c r="AY177" s="70">
        <f>IFERROR(Driver!$K$19/Data!BH177/Data!BI177*Data!BK177*Data!BL177,"")</f>
        <v>7.6754776491785637E-2</v>
      </c>
      <c r="AZ177" s="70">
        <f t="shared" si="100"/>
        <v>24.754281459419214</v>
      </c>
      <c r="BA177" s="70"/>
      <c r="BB177" s="70"/>
      <c r="BC177" s="70">
        <f t="shared" si="101"/>
        <v>27.644914770892985</v>
      </c>
      <c r="BD177" s="70">
        <f t="shared" si="102"/>
        <v>9.6324321652116236</v>
      </c>
      <c r="BE177" s="70">
        <f t="shared" si="103"/>
        <v>0.11725648152990349</v>
      </c>
      <c r="BF177" s="70">
        <f t="shared" si="104"/>
        <v>11.038401713855533</v>
      </c>
      <c r="BG177" s="70">
        <f t="shared" si="105"/>
        <v>7.3900720219558097E-2</v>
      </c>
      <c r="BH177" s="67">
        <f>MAX((CE177-Driver!$F$200)/(Driver!$G$200-Driver!$F$200)*$BI$1,1)</f>
        <v>5.2874217416050087</v>
      </c>
      <c r="BI177" s="67">
        <f>MAX($BI$1*(BY177-Driver!$F$201)/(Driver!$G$201-Driver!$F$201),1)</f>
        <v>6.8987341772151902</v>
      </c>
      <c r="BJ177" s="67">
        <f>(CB177-Driver!$F$206)/(Driver!$G$206-Driver!$F$206)*$BI$1</f>
        <v>5.8730158730158735</v>
      </c>
      <c r="BK177" s="67">
        <f>(CD177-Driver!$F$203)/(Driver!$G$203-Driver!$F$203)*$BI$1</f>
        <v>2.7064220183486243</v>
      </c>
      <c r="BL177" s="67">
        <f>MAX((CR177-Driver!$F$202)/(Driver!$G$202-Driver!$F$202)*$BI$1,1)</f>
        <v>5.1724137931034484</v>
      </c>
      <c r="BM177" s="67">
        <f>MAX((CH177-Driver!$F$204)/(Driver!$G$204-Driver!$F$204)*$BI$1,1)</f>
        <v>5.5982905982905979</v>
      </c>
      <c r="BN177" s="67">
        <f>(CI177-Driver!$F$205)/(Driver!$G$205-Driver!$F$205)*$BI$1</f>
        <v>3.5882352941176472</v>
      </c>
      <c r="BO177" s="67">
        <f>(CK177-Driver!$F$207)/(Driver!$G$207-Driver!$F$207)*$BI$1</f>
        <v>1.9648397104446744</v>
      </c>
      <c r="BP177" s="67">
        <f>(CM177-Driver!$F$208)/(Driver!$G$208-Driver!$F$208)*$BI$1</f>
        <v>2.588888888888889</v>
      </c>
      <c r="BQ177" s="67">
        <f>(CL177-Driver!$F$209)/(Driver!$G$209-Driver!$F$209)*$BI$1</f>
        <v>2.1875</v>
      </c>
      <c r="BR177" s="28" t="s">
        <v>155</v>
      </c>
      <c r="BS177" s="8" t="s">
        <v>172</v>
      </c>
      <c r="BT177" s="9" t="s">
        <v>401</v>
      </c>
      <c r="BU177" s="10">
        <v>171</v>
      </c>
      <c r="BV177" s="9" t="s">
        <v>163</v>
      </c>
      <c r="BW177" s="10">
        <v>171</v>
      </c>
      <c r="BX177" s="10">
        <v>170.6</v>
      </c>
      <c r="BY177" s="10">
        <v>117</v>
      </c>
      <c r="BZ177" s="10">
        <v>146</v>
      </c>
      <c r="CA177" s="10">
        <v>137</v>
      </c>
      <c r="CB177" s="10">
        <v>101</v>
      </c>
      <c r="CC177" s="10">
        <v>127</v>
      </c>
      <c r="CD177" s="10">
        <v>15.3</v>
      </c>
      <c r="CE177" s="10">
        <v>1829</v>
      </c>
      <c r="CF177" s="10">
        <v>1.06</v>
      </c>
      <c r="CG177" s="10">
        <v>1938</v>
      </c>
      <c r="CH177" s="10">
        <v>232</v>
      </c>
      <c r="CI177" s="10">
        <v>94</v>
      </c>
      <c r="CJ177" s="10">
        <v>47</v>
      </c>
      <c r="CK177" s="10">
        <v>300</v>
      </c>
      <c r="CL177" s="10">
        <v>14</v>
      </c>
      <c r="CM177" s="10">
        <v>233</v>
      </c>
      <c r="CN177" s="10">
        <v>0.307</v>
      </c>
      <c r="CO177" s="10">
        <v>151</v>
      </c>
      <c r="CP177" s="10">
        <v>99</v>
      </c>
      <c r="CQ177" s="10">
        <v>149</v>
      </c>
      <c r="CR177" s="10">
        <v>4</v>
      </c>
      <c r="CS177" s="10">
        <v>6.9</v>
      </c>
      <c r="CT177" s="9" t="s">
        <v>188</v>
      </c>
      <c r="CU177" s="9" t="s">
        <v>178</v>
      </c>
      <c r="CV177" s="9" t="s">
        <v>185</v>
      </c>
      <c r="CW177" s="10"/>
      <c r="CX177" t="str">
        <f>INDEX('Data_Price '!AG$2:AG$1266,MATCH(Data!$DN177,'Data_Price '!$AT$2:$AT$1266,0))</f>
        <v>Rossignol Blackops W Rallybird Ti Skis</v>
      </c>
      <c r="CY177" t="str">
        <f>INDEX('Data_Price '!AH$2:AH$1266,MATCH(Data!$DN177,'Data_Price '!$AT$2:$AT$1266,0))</f>
        <v>Cole Sport</v>
      </c>
      <c r="CZ177">
        <f>INDEX('Data_Price '!AI$2:AI$1266,MATCH(Data!$DN177,'Data_Price '!$AT$2:$AT$1266,0))</f>
        <v>639.96</v>
      </c>
      <c r="DA177" t="str">
        <f>INDEX('Data_Price '!AJ$2:AJ$1266,MATCH(Data!$DN177,'Data_Price '!$AT$2:$AT$1266,0))</f>
        <v>https://tinyurl.com/y9gtyxxn</v>
      </c>
      <c r="DB177" t="str">
        <f>INDEX('Data_Price '!AK$2:AK$1266,MATCH(Data!$DN177,'Data_Price '!$AT$2:$AT$1266,0))</f>
        <v>Rossignol Women's Freeride Skis Blackops W Rallybird Ti</v>
      </c>
      <c r="DC177" t="str">
        <f>INDEX('Data_Price '!AL$2:AL$1266,MATCH(Data!$DN177,'Data_Price '!$AT$2:$AT$1266,0))</f>
        <v>Rossignol US</v>
      </c>
      <c r="DD177">
        <f>INDEX('Data_Price '!AM$2:AM$1266,MATCH(Data!$DN177,'Data_Price '!$AT$2:$AT$1266,0))</f>
        <v>799.95</v>
      </c>
      <c r="DE177" t="str">
        <f>INDEX('Data_Price '!AN$2:AN$1266,MATCH(Data!$DN177,'Data_Price '!$AT$2:$AT$1266,0))</f>
        <v>https://tinyurl.com/yaz9apzk</v>
      </c>
      <c r="DF177" t="str">
        <f>INDEX('Data_Price '!AO$2:AO$1266,MATCH(Data!$DN177,'Data_Price '!$AT$2:$AT$1266,0))</f>
        <v>Rossignol Blackops Rallybird Ti Skis - Women's - 2022</v>
      </c>
      <c r="DG177" t="str">
        <f>INDEX('Data_Price '!AP$2:AP$1266,MATCH(Data!$DN177,'Data_Price '!$AT$2:$AT$1266,0))</f>
        <v>Snowcountry.eu</v>
      </c>
      <c r="DH177">
        <f>INDEX('Data_Price '!AQ$2:AQ$1266,MATCH(Data!$DN177,'Data_Price '!$AT$2:$AT$1266,0))</f>
        <v>451.78</v>
      </c>
      <c r="DI177" t="str">
        <f>INDEX('Data_Price '!AR$2:AR$1266,MATCH(Data!$DN177,'Data_Price '!$AT$2:$AT$1266,0))</f>
        <v>https://tinyurl.com/yb9gkrrx</v>
      </c>
      <c r="DJ177" s="89" t="str">
        <f t="shared" si="106"/>
        <v>https://tinyurl.com/y9gtyxxn</v>
      </c>
      <c r="DK177" s="89" t="str">
        <f t="shared" si="107"/>
        <v>https://tinyurl.com/yaz9apzk</v>
      </c>
      <c r="DL177" s="89" t="str">
        <f t="shared" si="108"/>
        <v>https://tinyurl.com/yb9gkrrx</v>
      </c>
      <c r="DM177" s="219" t="str">
        <f t="shared" si="109"/>
        <v>Blackops Rallybird Ti W</v>
      </c>
      <c r="DN177" s="89" t="str">
        <f t="shared" si="110"/>
        <v xml:space="preserve"> RossignolBlackops Rallybird Ti W171 Women's</v>
      </c>
      <c r="DO177" s="221"/>
    </row>
    <row r="178" spans="1:119" ht="15.6" customHeight="1">
      <c r="B178" s="219" t="b">
        <f t="array" ref="B178">IF(OR(ISERROR(K178:P178)),FALSE,TRUE)</f>
        <v>1</v>
      </c>
      <c r="C178" s="43" t="b">
        <f>OR(BR178=Driver!$G$50,Data!BR245=Driver!$H$50)</f>
        <v>1</v>
      </c>
      <c r="D178" s="43" t="b">
        <f>OR(BV178=Driver!$G$51,BV178=Driver!$H$51)</f>
        <v>1</v>
      </c>
      <c r="E178" s="43" t="b">
        <f>AND(BX178&gt;Driver!$F$54,BX178&lt;Driver!$G$54)</f>
        <v>0</v>
      </c>
      <c r="F178" s="43" t="b">
        <f>CL178&gt;Driver!$F$56</f>
        <v>1</v>
      </c>
      <c r="G178" s="43" t="b">
        <f>AND(CB178&gt;Driver!$F$55,CB178&lt;Driver!$G$55)</f>
        <v>0</v>
      </c>
      <c r="H178" s="43" t="b">
        <f t="shared" si="74"/>
        <v>0</v>
      </c>
      <c r="I178" s="43">
        <f t="shared" si="75"/>
        <v>0</v>
      </c>
      <c r="J178" s="43" t="b">
        <f t="array" ref="J178">NOT(OR(($H$9:$H$1273=TRUE)*($I$9:$I$1273&gt;0)*($BT$9:$BT$1273=BT178)*($K$9:$K$1273&gt;K178)))</f>
        <v>1</v>
      </c>
      <c r="K178" s="72">
        <f t="shared" si="76"/>
        <v>0.84202480139042957</v>
      </c>
      <c r="L178" s="72">
        <f t="shared" si="77"/>
        <v>0.99533616055173602</v>
      </c>
      <c r="M178" s="72">
        <f t="shared" si="78"/>
        <v>0.68871344222912301</v>
      </c>
      <c r="N178" s="72">
        <f t="shared" si="79"/>
        <v>0.53993477566527148</v>
      </c>
      <c r="O178" s="72">
        <f t="shared" si="80"/>
        <v>0.63473123977861301</v>
      </c>
      <c r="P178" s="72">
        <f t="shared" si="81"/>
        <v>0.89147431124348475</v>
      </c>
      <c r="Q178" s="72"/>
      <c r="R178" s="72"/>
      <c r="S178" s="72">
        <f t="shared" si="82"/>
        <v>0.52687576011475179</v>
      </c>
      <c r="T178" s="72">
        <f t="shared" si="83"/>
        <v>0.5068530269571031</v>
      </c>
      <c r="U178" s="72">
        <f t="shared" si="84"/>
        <v>0.54497455769445091</v>
      </c>
      <c r="V178" s="72">
        <f t="shared" si="85"/>
        <v>0.56139707146772799</v>
      </c>
      <c r="W178" s="72">
        <f t="shared" si="86"/>
        <v>0.77009817084728627</v>
      </c>
      <c r="X178" s="72">
        <f t="shared" si="87"/>
        <v>4.6638394482639844E-3</v>
      </c>
      <c r="Y178" s="72">
        <f t="shared" si="88"/>
        <v>0.31128655777087694</v>
      </c>
      <c r="Z178" s="72">
        <f t="shared" si="89"/>
        <v>0.46006522433472852</v>
      </c>
      <c r="AA178" s="72">
        <f t="shared" si="90"/>
        <v>0.36526876022138699</v>
      </c>
      <c r="AB178" s="72">
        <f t="shared" si="91"/>
        <v>0.10852568875651525</v>
      </c>
      <c r="AC178" s="72"/>
      <c r="AD178" s="72"/>
      <c r="AE178" s="72">
        <f t="shared" si="92"/>
        <v>0.47312423988524815</v>
      </c>
      <c r="AF178" s="72">
        <f t="shared" si="93"/>
        <v>0.4931469730428969</v>
      </c>
      <c r="AG178" s="72">
        <f t="shared" si="94"/>
        <v>0.45502544230554914</v>
      </c>
      <c r="AH178" s="72">
        <f t="shared" si="95"/>
        <v>0.43860292853227201</v>
      </c>
      <c r="AI178" s="72">
        <f t="shared" si="96"/>
        <v>0.2299018291527137</v>
      </c>
      <c r="AJ178" s="72">
        <f>(AV178-Driver!$K$179)/(Driver!$L$179-Driver!$K$179)</f>
        <v>0.25888324873096441</v>
      </c>
      <c r="AK178" s="72">
        <f>(AW178-Driver!$K$180)/(Driver!$L$180-Driver!$K$180)</f>
        <v>0.38318457103535541</v>
      </c>
      <c r="AL178" s="72">
        <f>(AX178-Driver!$K$181)/(Driver!$L$181-Driver!$K$181)</f>
        <v>0.56175298804780871</v>
      </c>
      <c r="AM178" s="72">
        <f>(AY178-Driver!$K$182)/(Driver!$L$182-Driver!$K$182)</f>
        <v>8.2116260875659361E-2</v>
      </c>
      <c r="AN178" s="72">
        <f>(AZ178-Driver!$K$183)/(Driver!$L$183-Driver!$K$183)</f>
        <v>0.36274509803921567</v>
      </c>
      <c r="AO178" s="72"/>
      <c r="AP178" s="72"/>
      <c r="AQ178" s="72">
        <f>(BC178-Driver!$K$188)/(Driver!$L$188-Driver!$K$188)</f>
        <v>0.14687576011475184</v>
      </c>
      <c r="AR178" s="72">
        <f>MIN((BD178-Driver!$K$189)/(Driver!$L$189-Driver!$K$189),100%)</f>
        <v>5.6853026957103148E-2</v>
      </c>
      <c r="AS178" s="72">
        <f>(BE178-Driver!$K$190)/(Driver!$L$190-Driver!$K$190)</f>
        <v>5.4974557694450844E-2</v>
      </c>
      <c r="AT178" s="72">
        <f>(BF178-Driver!$K$191)/(Driver!$L$191-Driver!$K$191)</f>
        <v>7.1397071467727974E-2</v>
      </c>
      <c r="AU178" s="72">
        <f>(BG178-Driver!$K$192)/(Driver!$L$192-Driver!$K$192)</f>
        <v>2.0098170847286285E-2</v>
      </c>
      <c r="AV178" s="70">
        <f t="shared" si="97"/>
        <v>5.448717948717948</v>
      </c>
      <c r="AW178" s="70">
        <f t="shared" si="98"/>
        <v>39.216624429557591</v>
      </c>
      <c r="AX178" s="70">
        <f t="shared" si="99"/>
        <v>6.0557768924302788</v>
      </c>
      <c r="AY178" s="70">
        <f>IFERROR(Driver!$K$19/Data!BH178/Data!BI178*Data!BK178*Data!BL178,"")</f>
        <v>0.10053480443929837</v>
      </c>
      <c r="AZ178" s="70">
        <f t="shared" si="100"/>
        <v>33.060312732688011</v>
      </c>
      <c r="BA178" s="70"/>
      <c r="BB178" s="70"/>
      <c r="BC178" s="70">
        <f t="shared" si="101"/>
        <v>76.185477835240789</v>
      </c>
      <c r="BD178" s="70">
        <f t="shared" si="102"/>
        <v>6.7522150321985448</v>
      </c>
      <c r="BE178" s="70">
        <f t="shared" si="103"/>
        <v>5.5143139596643721E-2</v>
      </c>
      <c r="BF178" s="70">
        <f t="shared" si="104"/>
        <v>8.0637976294646396</v>
      </c>
      <c r="BG178" s="70">
        <f t="shared" si="105"/>
        <v>7.6104496074745703E-2</v>
      </c>
      <c r="BH178" s="67">
        <f>MAX((CE178-Driver!$F$200)/(Driver!$G$200-Driver!$F$200)*$BI$1,1)</f>
        <v>6.0557768924302788</v>
      </c>
      <c r="BI178" s="67">
        <f>MAX($BI$1*(BY178-Driver!$F$201)/(Driver!$G$201-Driver!$F$201),1)</f>
        <v>7.0253164556962027</v>
      </c>
      <c r="BJ178" s="67">
        <f>(CB178-Driver!$F$206)/(Driver!$G$206-Driver!$F$206)*$BI$1</f>
        <v>4.2857142857142856</v>
      </c>
      <c r="BK178" s="67">
        <f>(CD178-Driver!$F$203)/(Driver!$G$203-Driver!$F$203)*$BI$1</f>
        <v>4.7706422018348631</v>
      </c>
      <c r="BL178" s="67">
        <f>MAX((CR178-Driver!$F$202)/(Driver!$G$202-Driver!$F$202)*$BI$1,1)</f>
        <v>4.4827586206896548</v>
      </c>
      <c r="BM178" s="67">
        <f>MAX((CH178-Driver!$F$204)/(Driver!$G$204-Driver!$F$204)*$BI$1,1)</f>
        <v>5.0854700854700852</v>
      </c>
      <c r="BN178" s="67">
        <f>(CI178-Driver!$F$205)/(Driver!$G$205-Driver!$F$205)*$BI$1</f>
        <v>4.7058823529411766</v>
      </c>
      <c r="BO178" s="67">
        <f>(CK178-Driver!$F$207)/(Driver!$G$207-Driver!$F$207)*$BI$1</f>
        <v>2.6059979317476731</v>
      </c>
      <c r="BP178" s="67">
        <f>(CM178-Driver!$F$208)/(Driver!$G$208-Driver!$F$208)*$BI$1</f>
        <v>3.4444444444444446</v>
      </c>
      <c r="BQ178" s="67">
        <f>(CL178-Driver!$F$209)/(Driver!$G$209-Driver!$F$209)*$BI$1</f>
        <v>2.34375</v>
      </c>
      <c r="BR178" s="28" t="s">
        <v>155</v>
      </c>
      <c r="BS178" s="8" t="s">
        <v>237</v>
      </c>
      <c r="BT178" s="9" t="s">
        <v>363</v>
      </c>
      <c r="BU178" s="10">
        <v>186.3</v>
      </c>
      <c r="BV178" s="9" t="s">
        <v>158</v>
      </c>
      <c r="BW178" s="10">
        <v>186.3</v>
      </c>
      <c r="BX178" s="10">
        <v>185.8</v>
      </c>
      <c r="BY178" s="10">
        <v>119</v>
      </c>
      <c r="BZ178" s="10">
        <v>162</v>
      </c>
      <c r="CA178" s="10">
        <v>131</v>
      </c>
      <c r="CB178" s="10">
        <v>91</v>
      </c>
      <c r="CC178" s="10">
        <v>114</v>
      </c>
      <c r="CD178" s="10">
        <v>19.8</v>
      </c>
      <c r="CE178" s="10">
        <v>1964</v>
      </c>
      <c r="CF178" s="10">
        <v>0.98</v>
      </c>
      <c r="CG178" s="10">
        <v>1927</v>
      </c>
      <c r="CH178" s="10">
        <v>220</v>
      </c>
      <c r="CI178" s="10">
        <v>113</v>
      </c>
      <c r="CJ178" s="10">
        <v>51</v>
      </c>
      <c r="CK178" s="10">
        <v>362</v>
      </c>
      <c r="CL178" s="10">
        <v>15</v>
      </c>
      <c r="CM178" s="10">
        <v>310</v>
      </c>
      <c r="CN178" s="10">
        <v>0.29599999999999999</v>
      </c>
      <c r="CO178" s="10">
        <v>121</v>
      </c>
      <c r="CP178" s="10">
        <v>115</v>
      </c>
      <c r="CQ178" s="10">
        <v>241</v>
      </c>
      <c r="CR178" s="10">
        <v>2</v>
      </c>
      <c r="CS178" s="10">
        <v>8.1</v>
      </c>
      <c r="CT178" s="9" t="s">
        <v>188</v>
      </c>
      <c r="CU178" s="10"/>
      <c r="CV178" s="10"/>
      <c r="CW178" s="10"/>
      <c r="CX178" t="str">
        <f>INDEX('Data_Price '!AG$2:AG$1266,MATCH(Data!$DN178,'Data_Price '!$AT$2:$AT$1266,0))</f>
        <v>Black Crows Serpo Skis 2022</v>
      </c>
      <c r="CY178" t="str">
        <f>INDEX('Data_Price '!AH$2:AH$1266,MATCH(Data!$DN178,'Data_Price '!$AT$2:$AT$1266,0))</f>
        <v>eBay - asogear</v>
      </c>
      <c r="CZ178">
        <f>INDEX('Data_Price '!AI$2:AI$1266,MATCH(Data!$DN178,'Data_Price '!$AT$2:$AT$1266,0))</f>
        <v>593.99</v>
      </c>
      <c r="DA178" t="str">
        <f>INDEX('Data_Price '!AJ$2:AJ$1266,MATCH(Data!$DN178,'Data_Price '!$AT$2:$AT$1266,0))</f>
        <v>https://tinyurl.com/ycsu3bh9</v>
      </c>
      <c r="DB178" t="str">
        <f>INDEX('Data_Price '!AK$2:AK$1266,MATCH(Data!$DN178,'Data_Price '!$AT$2:$AT$1266,0))</f>
        <v>Black Crows Serpo Skis 2022</v>
      </c>
      <c r="DC178" t="str">
        <f>INDEX('Data_Price '!AL$2:AL$1266,MATCH(Data!$DN178,'Data_Price '!$AT$2:$AT$1266,0))</f>
        <v>Saint Bernard</v>
      </c>
      <c r="DD178">
        <f>INDEX('Data_Price '!AM$2:AM$1266,MATCH(Data!$DN178,'Data_Price '!$AT$2:$AT$1266,0))</f>
        <v>671.9</v>
      </c>
      <c r="DE178" t="str">
        <f>INDEX('Data_Price '!AN$2:AN$1266,MATCH(Data!$DN178,'Data_Price '!$AT$2:$AT$1266,0))</f>
        <v>https://tinyurl.com/y8yedsgu</v>
      </c>
      <c r="DF178" t="str">
        <f>INDEX('Data_Price '!AO$2:AO$1266,MATCH(Data!$DN178,'Data_Price '!$AT$2:$AT$1266,0))</f>
        <v>Black Crows Serpo Skis 2022</v>
      </c>
      <c r="DG178" t="str">
        <f>INDEX('Data_Price '!AP$2:AP$1266,MATCH(Data!$DN178,'Data_Price '!$AT$2:$AT$1266,0))</f>
        <v>Powder7 Ski Shop</v>
      </c>
      <c r="DH178">
        <f>INDEX('Data_Price '!AQ$2:AQ$1266,MATCH(Data!$DN178,'Data_Price '!$AT$2:$AT$1266,0))</f>
        <v>671.93</v>
      </c>
      <c r="DI178" t="str">
        <f>INDEX('Data_Price '!AR$2:AR$1266,MATCH(Data!$DN178,'Data_Price '!$AT$2:$AT$1266,0))</f>
        <v>https://tinyurl.com/y7c4pkjn</v>
      </c>
      <c r="DJ178" s="89" t="str">
        <f t="shared" si="106"/>
        <v>https://tinyurl.com/ycsu3bh9</v>
      </c>
      <c r="DK178" s="89" t="str">
        <f t="shared" si="107"/>
        <v>https://tinyurl.com/y8yedsgu</v>
      </c>
      <c r="DL178" s="89" t="str">
        <f t="shared" si="108"/>
        <v>https://tinyurl.com/y7c4pkjn</v>
      </c>
      <c r="DM178" s="219" t="str">
        <f t="shared" si="109"/>
        <v>Serpo</v>
      </c>
      <c r="DN178" s="89" t="str">
        <f t="shared" si="110"/>
        <v xml:space="preserve"> Black CrowsSerpo186.3 Unisex</v>
      </c>
      <c r="DO178" s="221" t="s">
        <v>364</v>
      </c>
    </row>
    <row r="179" spans="1:119" ht="15.6" customHeight="1">
      <c r="B179" s="219" t="b">
        <f t="array" ref="B179">IF(OR(ISERROR(K179:P179)),FALSE,TRUE)</f>
        <v>1</v>
      </c>
      <c r="C179" s="43" t="b">
        <f>OR(BR179=Driver!$G$50,Data!BR543=Driver!$H$50)</f>
        <v>1</v>
      </c>
      <c r="D179" s="43" t="b">
        <f>OR(BV179=Driver!$G$51,BV179=Driver!$H$51)</f>
        <v>1</v>
      </c>
      <c r="E179" s="43" t="b">
        <f>AND(BX179&gt;Driver!$F$54,BX179&lt;Driver!$G$54)</f>
        <v>1</v>
      </c>
      <c r="F179" s="43" t="b">
        <f>CL179&gt;Driver!$F$56</f>
        <v>1</v>
      </c>
      <c r="G179" s="43" t="b">
        <f>AND(CB179&gt;Driver!$F$55,CB179&lt;Driver!$G$55)</f>
        <v>0</v>
      </c>
      <c r="H179" s="43" t="b">
        <f t="shared" si="74"/>
        <v>0</v>
      </c>
      <c r="I179" s="43">
        <f t="shared" si="75"/>
        <v>0</v>
      </c>
      <c r="J179" s="43" t="b">
        <f t="array" ref="J179">NOT(OR(($H$9:$H$1273=TRUE)*($I$9:$I$1273&gt;0)*($BT$9:$BT$1273=BT179)*($K$9:$K$1273&gt;K179)))</f>
        <v>1</v>
      </c>
      <c r="K179" s="72">
        <f t="shared" si="76"/>
        <v>0.90400161111651256</v>
      </c>
      <c r="L179" s="72">
        <f t="shared" si="77"/>
        <v>0.99330294991478563</v>
      </c>
      <c r="M179" s="72">
        <f t="shared" si="78"/>
        <v>0.81470027231823949</v>
      </c>
      <c r="N179" s="72">
        <f t="shared" si="79"/>
        <v>0.79225881284986643</v>
      </c>
      <c r="O179" s="72">
        <f t="shared" si="80"/>
        <v>0.66129017155748715</v>
      </c>
      <c r="P179" s="72">
        <f t="shared" si="81"/>
        <v>0.9905518325473649</v>
      </c>
      <c r="Q179" s="72"/>
      <c r="R179" s="72"/>
      <c r="S179" s="72">
        <f t="shared" si="82"/>
        <v>0.42289222739506716</v>
      </c>
      <c r="T179" s="72">
        <f t="shared" si="83"/>
        <v>0.54714127075646601</v>
      </c>
      <c r="U179" s="72">
        <f t="shared" si="84"/>
        <v>0.61454493003704203</v>
      </c>
      <c r="V179" s="72">
        <f t="shared" si="85"/>
        <v>0.55805081774110454</v>
      </c>
      <c r="W179" s="72">
        <f t="shared" si="86"/>
        <v>0.82175046992481204</v>
      </c>
      <c r="X179" s="72">
        <f t="shared" si="87"/>
        <v>6.697050085214401E-3</v>
      </c>
      <c r="Y179" s="72">
        <f t="shared" si="88"/>
        <v>0.18529972768176053</v>
      </c>
      <c r="Z179" s="72">
        <f t="shared" si="89"/>
        <v>0.20774118715013362</v>
      </c>
      <c r="AA179" s="72">
        <f t="shared" si="90"/>
        <v>0.33870982844251285</v>
      </c>
      <c r="AB179" s="72">
        <f t="shared" si="91"/>
        <v>9.4481674526351034E-3</v>
      </c>
      <c r="AC179" s="72"/>
      <c r="AD179" s="72"/>
      <c r="AE179" s="72">
        <f t="shared" si="92"/>
        <v>0.57710777260493284</v>
      </c>
      <c r="AF179" s="72">
        <f t="shared" si="93"/>
        <v>0.45285872924353404</v>
      </c>
      <c r="AG179" s="72">
        <f t="shared" si="94"/>
        <v>0.38545506996295803</v>
      </c>
      <c r="AH179" s="72">
        <f t="shared" si="95"/>
        <v>0.44194918225889546</v>
      </c>
      <c r="AI179" s="72">
        <f t="shared" si="96"/>
        <v>0.17824953007518798</v>
      </c>
      <c r="AJ179" s="72">
        <f>(AV179-Driver!$K$179)/(Driver!$L$179-Driver!$K$179)</f>
        <v>0.24752235919748602</v>
      </c>
      <c r="AK179" s="72">
        <f>(AW179-Driver!$K$180)/(Driver!$L$180-Driver!$K$180)</f>
        <v>0.24989296663839572</v>
      </c>
      <c r="AL179" s="72">
        <f>(AX179-Driver!$K$181)/(Driver!$L$181-Driver!$K$181)</f>
        <v>0.30942895086321381</v>
      </c>
      <c r="AM179" s="72">
        <f>(AY179-Driver!$K$182)/(Driver!$L$182-Driver!$K$182)</f>
        <v>0.10867519265453351</v>
      </c>
      <c r="AN179" s="72">
        <f>(AZ179-Driver!$K$183)/(Driver!$L$183-Driver!$K$183)</f>
        <v>0.24477124183006532</v>
      </c>
      <c r="AO179" s="72"/>
      <c r="AP179" s="72"/>
      <c r="AQ179" s="72">
        <f>(BC179-Driver!$K$188)/(Driver!$L$188-Driver!$K$188)</f>
        <v>4.2892227395067185E-2</v>
      </c>
      <c r="AR179" s="72">
        <f>MIN((BD179-Driver!$K$189)/(Driver!$L$189-Driver!$K$189),100%)</f>
        <v>9.7141270756465989E-2</v>
      </c>
      <c r="AS179" s="72">
        <f>(BE179-Driver!$K$190)/(Driver!$L$190-Driver!$K$190)</f>
        <v>0.12454493003704199</v>
      </c>
      <c r="AT179" s="72">
        <f>(BF179-Driver!$K$191)/(Driver!$L$191-Driver!$K$191)</f>
        <v>6.8050817741104552E-2</v>
      </c>
      <c r="AU179" s="72">
        <f>(BG179-Driver!$K$192)/(Driver!$L$192-Driver!$K$192)</f>
        <v>7.1750469924812016E-2</v>
      </c>
      <c r="AV179" s="70">
        <f t="shared" si="97"/>
        <v>5.2096052096052086</v>
      </c>
      <c r="AW179" s="70">
        <f t="shared" si="98"/>
        <v>26.22617649730914</v>
      </c>
      <c r="AX179" s="70">
        <f t="shared" si="99"/>
        <v>3.7848605577689245</v>
      </c>
      <c r="AY179" s="70">
        <f>IFERROR(Driver!$K$19/Data!BH179/Data!BI179*Data!BK179*Data!BL179,"")</f>
        <v>0.13305086135704877</v>
      </c>
      <c r="AZ179" s="70">
        <f t="shared" si="100"/>
        <v>22.308265078183169</v>
      </c>
      <c r="BA179" s="70"/>
      <c r="BB179" s="70"/>
      <c r="BC179" s="70">
        <f t="shared" si="101"/>
        <v>22.248496531748621</v>
      </c>
      <c r="BD179" s="70">
        <f t="shared" si="102"/>
        <v>10.317653221898308</v>
      </c>
      <c r="BE179" s="70">
        <f t="shared" si="103"/>
        <v>0.12470110136785685</v>
      </c>
      <c r="BF179" s="70">
        <f t="shared" si="104"/>
        <v>7.6858617798054558</v>
      </c>
      <c r="BG179" s="70">
        <f t="shared" si="105"/>
        <v>0.2716930509868421</v>
      </c>
      <c r="BH179" s="67">
        <f>MAX((CE179-Driver!$F$200)/(Driver!$G$200-Driver!$F$200)*$BI$1,1)</f>
        <v>3.7848605577689245</v>
      </c>
      <c r="BI179" s="67">
        <f>MAX($BI$1*(BY179-Driver!$F$201)/(Driver!$G$201-Driver!$F$201),1)</f>
        <v>6.7721518987341769</v>
      </c>
      <c r="BJ179" s="67">
        <f>(CB179-Driver!$F$206)/(Driver!$G$206-Driver!$F$206)*$BI$1</f>
        <v>5.0793650793650791</v>
      </c>
      <c r="BK179" s="67">
        <f>(CD179-Driver!$F$203)/(Driver!$G$203-Driver!$F$203)*$BI$1</f>
        <v>2.2477064220183491</v>
      </c>
      <c r="BL179" s="67">
        <f>MAX((CR179-Driver!$F$202)/(Driver!$G$202-Driver!$F$202)*$BI$1,1)</f>
        <v>7.5862068965517242</v>
      </c>
      <c r="BM179" s="67">
        <f>MAX((CH179-Driver!$F$204)/(Driver!$G$204-Driver!$F$204)*$BI$1,1)</f>
        <v>4.1025641025641022</v>
      </c>
      <c r="BN179" s="67">
        <f>(CI179-Driver!$F$205)/(Driver!$G$205-Driver!$F$205)*$BI$1</f>
        <v>3.2941176470588234</v>
      </c>
      <c r="BO179" s="67">
        <f>(CK179-Driver!$F$207)/(Driver!$G$207-Driver!$F$207)*$BI$1</f>
        <v>1.6546018614270941</v>
      </c>
      <c r="BP179" s="67">
        <f>(CM179-Driver!$F$208)/(Driver!$G$208-Driver!$F$208)*$BI$1</f>
        <v>2.0555555555555554</v>
      </c>
      <c r="BQ179" s="67">
        <f>(CL179-Driver!$F$209)/(Driver!$G$209-Driver!$F$209)*$BI$1</f>
        <v>4.21875</v>
      </c>
      <c r="BR179" s="28" t="s">
        <v>155</v>
      </c>
      <c r="BS179" s="8" t="s">
        <v>321</v>
      </c>
      <c r="BT179" s="9" t="s">
        <v>322</v>
      </c>
      <c r="BU179" s="10">
        <v>162</v>
      </c>
      <c r="BV179" s="9" t="s">
        <v>158</v>
      </c>
      <c r="BW179" s="10">
        <v>162</v>
      </c>
      <c r="BX179" s="10">
        <v>160.5</v>
      </c>
      <c r="BY179" s="10">
        <v>115</v>
      </c>
      <c r="BZ179" s="10">
        <v>135</v>
      </c>
      <c r="CA179" s="10">
        <v>129</v>
      </c>
      <c r="CB179" s="10">
        <v>96</v>
      </c>
      <c r="CC179" s="10">
        <v>118</v>
      </c>
      <c r="CD179" s="10">
        <v>14.3</v>
      </c>
      <c r="CE179" s="10">
        <v>1565</v>
      </c>
      <c r="CF179" s="10">
        <v>1.1100000000000001</v>
      </c>
      <c r="CG179" s="10">
        <v>1734</v>
      </c>
      <c r="CH179" s="10">
        <v>197</v>
      </c>
      <c r="CI179" s="10">
        <v>89</v>
      </c>
      <c r="CJ179" s="10">
        <v>59</v>
      </c>
      <c r="CK179" s="10">
        <v>270</v>
      </c>
      <c r="CL179" s="10">
        <v>27</v>
      </c>
      <c r="CM179" s="10">
        <v>185</v>
      </c>
      <c r="CN179" s="10">
        <v>0.46400000000000002</v>
      </c>
      <c r="CO179" s="10">
        <v>132</v>
      </c>
      <c r="CP179" s="10">
        <v>119</v>
      </c>
      <c r="CQ179" s="10">
        <v>138</v>
      </c>
      <c r="CR179" s="10">
        <v>11</v>
      </c>
      <c r="CS179" s="10">
        <v>7.8</v>
      </c>
      <c r="CT179" s="9" t="s">
        <v>188</v>
      </c>
      <c r="CU179" s="9" t="s">
        <v>185</v>
      </c>
      <c r="CV179" s="10"/>
      <c r="CW179" s="10"/>
      <c r="CX179" t="str">
        <f>INDEX('Data_Price '!AG$2:AG$1266,MATCH(Data!$DN179,'Data_Price '!$AT$2:$AT$1266,0))</f>
        <v>2022 Fischer Hannibal 96 Carbon Skis Mounted W/ Kingpin 13 284mm 162cm</v>
      </c>
      <c r="CY179" t="str">
        <f>INDEX('Data_Price '!AH$2:AH$1266,MATCH(Data!$DN179,'Data_Price '!$AT$2:$AT$1266,0))</f>
        <v>eBay - david110549</v>
      </c>
      <c r="CZ179">
        <f>INDEX('Data_Price '!AI$2:AI$1266,MATCH(Data!$DN179,'Data_Price '!$AT$2:$AT$1266,0))</f>
        <v>1049.95</v>
      </c>
      <c r="DA179" t="str">
        <f>INDEX('Data_Price '!AJ$2:AJ$1266,MATCH(Data!$DN179,'Data_Price '!$AT$2:$AT$1266,0))</f>
        <v>https://tinyurl.com/y937wa89</v>
      </c>
      <c r="DB179" t="str">
        <f>INDEX('Data_Price '!AK$2:AK$1266,MATCH(Data!$DN179,'Data_Price '!$AT$2:$AT$1266,0))</f>
        <v>Fischer Hannibal 96 Carbon Ski</v>
      </c>
      <c r="DC179" t="str">
        <f>INDEX('Data_Price '!AL$2:AL$1266,MATCH(Data!$DN179,'Data_Price '!$AT$2:$AT$1266,0))</f>
        <v>SkiEssentials.com</v>
      </c>
      <c r="DD179">
        <f>INDEX('Data_Price '!AM$2:AM$1266,MATCH(Data!$DN179,'Data_Price '!$AT$2:$AT$1266,0))</f>
        <v>509.99</v>
      </c>
      <c r="DE179" t="str">
        <f>INDEX('Data_Price '!AN$2:AN$1266,MATCH(Data!$DN179,'Data_Price '!$AT$2:$AT$1266,0))</f>
        <v>https://tinyurl.com/y7uxhfbu</v>
      </c>
      <c r="DF179">
        <f>INDEX('Data_Price '!AO$2:AO$1266,MATCH(Data!$DN179,'Data_Price '!$AT$2:$AT$1266,0))</f>
        <v>0</v>
      </c>
      <c r="DG179">
        <f>INDEX('Data_Price '!AP$2:AP$1266,MATCH(Data!$DN179,'Data_Price '!$AT$2:$AT$1266,0))</f>
        <v>0</v>
      </c>
      <c r="DH179">
        <f>INDEX('Data_Price '!AQ$2:AQ$1266,MATCH(Data!$DN179,'Data_Price '!$AT$2:$AT$1266,0))</f>
        <v>0</v>
      </c>
      <c r="DI179">
        <f>INDEX('Data_Price '!AR$2:AR$1266,MATCH(Data!$DN179,'Data_Price '!$AT$2:$AT$1266,0))</f>
        <v>0</v>
      </c>
      <c r="DJ179" s="89" t="str">
        <f t="shared" si="106"/>
        <v>https://tinyurl.com/y937wa89</v>
      </c>
      <c r="DK179" s="89" t="str">
        <f t="shared" si="107"/>
        <v>https://tinyurl.com/y7uxhfbu</v>
      </c>
      <c r="DL179" s="89">
        <f t="shared" si="108"/>
        <v>0</v>
      </c>
      <c r="DM179" s="219" t="str">
        <f t="shared" si="109"/>
        <v>Explo 96</v>
      </c>
      <c r="DN179" s="89" t="str">
        <f t="shared" si="110"/>
        <v xml:space="preserve"> FerreolExplo 96162 Unisex</v>
      </c>
      <c r="DO179" s="221"/>
    </row>
    <row r="180" spans="1:119" ht="15.6" customHeight="1">
      <c r="B180" s="219" t="b">
        <f t="array" ref="B180">IF(OR(ISERROR(K180:P180)),FALSE,TRUE)</f>
        <v>1</v>
      </c>
      <c r="C180" s="43" t="b">
        <f>OR(BR180=Driver!$G$50,Data!BR722=Driver!$H$50)</f>
        <v>1</v>
      </c>
      <c r="D180" s="43" t="b">
        <f>OR(BV180=Driver!$G$51,BV180=Driver!$H$51)</f>
        <v>0</v>
      </c>
      <c r="E180" s="43" t="b">
        <f>AND(BX180&gt;Driver!$F$54,BX180&lt;Driver!$G$54)</f>
        <v>0</v>
      </c>
      <c r="F180" s="43" t="b">
        <f>CL180&gt;Driver!$F$56</f>
        <v>1</v>
      </c>
      <c r="G180" s="43" t="b">
        <f>AND(CB180&gt;Driver!$F$55,CB180&lt;Driver!$G$55)</f>
        <v>0</v>
      </c>
      <c r="H180" s="43" t="b">
        <f t="shared" si="74"/>
        <v>0</v>
      </c>
      <c r="I180" s="43">
        <f t="shared" si="75"/>
        <v>0</v>
      </c>
      <c r="J180" s="43" t="b">
        <f t="array" ref="J180">NOT(OR(($H$9:$H$1273=TRUE)*($I$9:$I$1273&gt;0)*($BT$9:$BT$1273=BT180)*($K$9:$K$1273&gt;K180)))</f>
        <v>1</v>
      </c>
      <c r="K180" s="72">
        <f t="shared" si="76"/>
        <v>0.89365337333989103</v>
      </c>
      <c r="L180" s="72">
        <f t="shared" si="77"/>
        <v>0.99235493422025589</v>
      </c>
      <c r="M180" s="72">
        <f t="shared" si="78"/>
        <v>0.79495181245952617</v>
      </c>
      <c r="N180" s="72">
        <f t="shared" si="79"/>
        <v>0.68475233084139231</v>
      </c>
      <c r="O180" s="72">
        <f t="shared" si="80"/>
        <v>0.72258231974145537</v>
      </c>
      <c r="P180" s="72">
        <f t="shared" si="81"/>
        <v>0.97752078679573096</v>
      </c>
      <c r="Q180" s="72"/>
      <c r="R180" s="72"/>
      <c r="S180" s="72">
        <f t="shared" si="82"/>
        <v>0.45624499248359673</v>
      </c>
      <c r="T180" s="72">
        <f t="shared" si="83"/>
        <v>0.45021280860290347</v>
      </c>
      <c r="U180" s="72">
        <f t="shared" si="84"/>
        <v>0.52596629836331443</v>
      </c>
      <c r="V180" s="72">
        <f t="shared" si="85"/>
        <v>0.62913402260244955</v>
      </c>
      <c r="W180" s="72">
        <f t="shared" si="86"/>
        <v>0.81564071856287423</v>
      </c>
      <c r="X180" s="72">
        <f t="shared" si="87"/>
        <v>7.6450657797441091E-3</v>
      </c>
      <c r="Y180" s="72">
        <f t="shared" si="88"/>
        <v>0.2050481875404738</v>
      </c>
      <c r="Z180" s="72">
        <f t="shared" si="89"/>
        <v>0.31524766915860764</v>
      </c>
      <c r="AA180" s="72">
        <f t="shared" si="90"/>
        <v>0.27741768025854469</v>
      </c>
      <c r="AB180" s="72">
        <f t="shared" si="91"/>
        <v>2.2479213204269044E-2</v>
      </c>
      <c r="AC180" s="72"/>
      <c r="AD180" s="72"/>
      <c r="AE180" s="72">
        <f t="shared" si="92"/>
        <v>0.54375500751640327</v>
      </c>
      <c r="AF180" s="72">
        <f t="shared" si="93"/>
        <v>0.54978719139709653</v>
      </c>
      <c r="AG180" s="72">
        <f t="shared" si="94"/>
        <v>0.47403370163668551</v>
      </c>
      <c r="AH180" s="72">
        <f t="shared" si="95"/>
        <v>0.37086597739755045</v>
      </c>
      <c r="AI180" s="72">
        <f t="shared" si="96"/>
        <v>0.18435928143712577</v>
      </c>
      <c r="AJ180" s="72">
        <f>(AV180-Driver!$K$179)/(Driver!$L$179-Driver!$K$179)</f>
        <v>0.26186447506244453</v>
      </c>
      <c r="AK180" s="72">
        <f>(AW180-Driver!$K$180)/(Driver!$L$180-Driver!$K$180)</f>
        <v>0.24840473461721008</v>
      </c>
      <c r="AL180" s="72">
        <f>(AX180-Driver!$K$181)/(Driver!$L$181-Driver!$K$181)</f>
        <v>0.41693543287168783</v>
      </c>
      <c r="AM180" s="72">
        <f>(AY180-Driver!$K$182)/(Driver!$L$182-Driver!$K$182)</f>
        <v>0.16996734083850168</v>
      </c>
      <c r="AN180" s="72">
        <f>(AZ180-Driver!$K$183)/(Driver!$L$183-Driver!$K$183)</f>
        <v>0.23174019607843138</v>
      </c>
      <c r="AO180" s="72"/>
      <c r="AP180" s="72"/>
      <c r="AQ180" s="72">
        <f>(BC180-Driver!$K$188)/(Driver!$L$188-Driver!$K$188)</f>
        <v>7.6244992483596785E-2</v>
      </c>
      <c r="AR180" s="72">
        <f>MIN((BD180-Driver!$K$189)/(Driver!$L$189-Driver!$K$189),100%)</f>
        <v>2.1280860290347496E-4</v>
      </c>
      <c r="AS180" s="72">
        <f>(BE180-Driver!$K$190)/(Driver!$L$190-Driver!$K$190)</f>
        <v>3.5966298363314483E-2</v>
      </c>
      <c r="AT180" s="72">
        <f>(BF180-Driver!$K$191)/(Driver!$L$191-Driver!$K$191)</f>
        <v>0.13913402260244956</v>
      </c>
      <c r="AU180" s="72">
        <f>(BG180-Driver!$K$192)/(Driver!$L$192-Driver!$K$192)</f>
        <v>6.5640718562874248E-2</v>
      </c>
      <c r="AV180" s="70">
        <f t="shared" si="97"/>
        <v>5.5114638447971771</v>
      </c>
      <c r="AW180" s="70">
        <f t="shared" si="98"/>
        <v>26.081135099767391</v>
      </c>
      <c r="AX180" s="70">
        <f t="shared" si="99"/>
        <v>4.7524188958451905</v>
      </c>
      <c r="AY180" s="70">
        <f>IFERROR(Driver!$K$19/Data!BH180/Data!BI180*Data!BK180*Data!BL180,"")</f>
        <v>0.20809073854617507</v>
      </c>
      <c r="AZ180" s="70">
        <f t="shared" si="100"/>
        <v>21.120625465376026</v>
      </c>
      <c r="BA180" s="70"/>
      <c r="BB180" s="70"/>
      <c r="BC180" s="70">
        <f t="shared" si="101"/>
        <v>39.548807647830145</v>
      </c>
      <c r="BD180" s="70">
        <f t="shared" si="102"/>
        <v>1.7396560683801527</v>
      </c>
      <c r="BE180" s="70">
        <f t="shared" si="103"/>
        <v>3.6138271125024962E-2</v>
      </c>
      <c r="BF180" s="70">
        <f t="shared" si="104"/>
        <v>15.714210381116846</v>
      </c>
      <c r="BG180" s="70">
        <f t="shared" si="105"/>
        <v>0.24855763473053893</v>
      </c>
      <c r="BH180" s="67">
        <f>MAX((CE180-Driver!$F$200)/(Driver!$G$200-Driver!$F$200)*$BI$1,1)</f>
        <v>4.7524188958451905</v>
      </c>
      <c r="BI180" s="67">
        <f>MAX($BI$1*(BY180-Driver!$F$201)/(Driver!$G$201-Driver!$F$201),1)</f>
        <v>5.8860759493670889</v>
      </c>
      <c r="BJ180" s="67">
        <f>(CB180-Driver!$F$206)/(Driver!$G$206-Driver!$F$206)*$BI$1</f>
        <v>7.9365079365079358</v>
      </c>
      <c r="BK180" s="67">
        <f>(CD180-Driver!$F$203)/(Driver!$G$203-Driver!$F$203)*$BI$1</f>
        <v>5.2752293577981648</v>
      </c>
      <c r="BL180" s="67">
        <f>MAX((CR180-Driver!$F$202)/(Driver!$G$202-Driver!$F$202)*$BI$1,1)</f>
        <v>5.5172413793103452</v>
      </c>
      <c r="BM180" s="67">
        <f>MAX((CH180-Driver!$F$204)/(Driver!$G$204-Driver!$F$204)*$BI$1,1)</f>
        <v>2.7777777777777777</v>
      </c>
      <c r="BN180" s="67">
        <f>(CI180-Driver!$F$205)/(Driver!$G$205-Driver!$F$205)*$BI$1</f>
        <v>3.5882352941176472</v>
      </c>
      <c r="BO180" s="67">
        <f>(CK180-Driver!$F$207)/(Driver!$G$207-Driver!$F$207)*$BI$1</f>
        <v>3.1127197518097209</v>
      </c>
      <c r="BP180" s="67">
        <f>(CM180-Driver!$F$208)/(Driver!$G$208-Driver!$F$208)*$BI$1</f>
        <v>3.3555555555555556</v>
      </c>
      <c r="BQ180" s="67">
        <f>(CL180-Driver!$F$209)/(Driver!$G$209-Driver!$F$209)*$BI$1</f>
        <v>3.28125</v>
      </c>
      <c r="BR180" s="28" t="s">
        <v>155</v>
      </c>
      <c r="BS180" s="8" t="s">
        <v>262</v>
      </c>
      <c r="BT180" s="9" t="s">
        <v>402</v>
      </c>
      <c r="BU180" s="10">
        <v>172</v>
      </c>
      <c r="BV180" s="9" t="s">
        <v>163</v>
      </c>
      <c r="BW180" s="10">
        <v>172</v>
      </c>
      <c r="BX180" s="10">
        <v>172.2</v>
      </c>
      <c r="BY180" s="10">
        <v>101</v>
      </c>
      <c r="BZ180" s="10">
        <v>131</v>
      </c>
      <c r="CA180" s="10">
        <v>139</v>
      </c>
      <c r="CB180" s="10">
        <v>114</v>
      </c>
      <c r="CC180" s="10">
        <v>128</v>
      </c>
      <c r="CD180" s="10">
        <v>20.9</v>
      </c>
      <c r="CE180" s="10">
        <v>1735</v>
      </c>
      <c r="CF180" s="10">
        <v>1.2</v>
      </c>
      <c r="CG180" s="10">
        <v>2078</v>
      </c>
      <c r="CH180" s="10">
        <v>166</v>
      </c>
      <c r="CI180" s="10">
        <v>94</v>
      </c>
      <c r="CJ180" s="10">
        <v>55</v>
      </c>
      <c r="CK180" s="10">
        <v>411</v>
      </c>
      <c r="CL180" s="10">
        <v>21</v>
      </c>
      <c r="CM180" s="10">
        <v>302</v>
      </c>
      <c r="CN180" s="10">
        <v>0.39</v>
      </c>
      <c r="CO180" s="10">
        <v>213</v>
      </c>
      <c r="CP180" s="10">
        <v>198</v>
      </c>
      <c r="CQ180" s="10">
        <v>199</v>
      </c>
      <c r="CR180" s="10">
        <v>5</v>
      </c>
      <c r="CS180" s="10">
        <v>10.5</v>
      </c>
      <c r="CT180" s="9" t="s">
        <v>169</v>
      </c>
      <c r="CU180" s="9" t="s">
        <v>178</v>
      </c>
      <c r="CV180" s="9" t="s">
        <v>185</v>
      </c>
      <c r="CW180" s="10"/>
      <c r="CX180" t="e">
        <f>INDEX('Data_Price '!AG$2:AG$1266,MATCH(Data!$DN180,'Data_Price '!$AT$2:$AT$1266,0))</f>
        <v>#N/A</v>
      </c>
      <c r="CY180" t="e">
        <f>INDEX('Data_Price '!AH$2:AH$1266,MATCH(Data!$DN180,'Data_Price '!$AT$2:$AT$1266,0))</f>
        <v>#N/A</v>
      </c>
      <c r="CZ180" t="e">
        <f>INDEX('Data_Price '!AI$2:AI$1266,MATCH(Data!$DN180,'Data_Price '!$AT$2:$AT$1266,0))</f>
        <v>#N/A</v>
      </c>
      <c r="DA180" t="e">
        <f>INDEX('Data_Price '!AJ$2:AJ$1266,MATCH(Data!$DN180,'Data_Price '!$AT$2:$AT$1266,0))</f>
        <v>#N/A</v>
      </c>
      <c r="DB180" t="e">
        <f>INDEX('Data_Price '!AK$2:AK$1266,MATCH(Data!$DN180,'Data_Price '!$AT$2:$AT$1266,0))</f>
        <v>#N/A</v>
      </c>
      <c r="DC180" t="e">
        <f>INDEX('Data_Price '!AL$2:AL$1266,MATCH(Data!$DN180,'Data_Price '!$AT$2:$AT$1266,0))</f>
        <v>#N/A</v>
      </c>
      <c r="DD180" t="e">
        <f>INDEX('Data_Price '!AM$2:AM$1266,MATCH(Data!$DN180,'Data_Price '!$AT$2:$AT$1266,0))</f>
        <v>#N/A</v>
      </c>
      <c r="DE180" t="e">
        <f>INDEX('Data_Price '!AN$2:AN$1266,MATCH(Data!$DN180,'Data_Price '!$AT$2:$AT$1266,0))</f>
        <v>#N/A</v>
      </c>
      <c r="DF180" t="e">
        <f>INDEX('Data_Price '!AO$2:AO$1266,MATCH(Data!$DN180,'Data_Price '!$AT$2:$AT$1266,0))</f>
        <v>#N/A</v>
      </c>
      <c r="DG180" t="e">
        <f>INDEX('Data_Price '!AP$2:AP$1266,MATCH(Data!$DN180,'Data_Price '!$AT$2:$AT$1266,0))</f>
        <v>#N/A</v>
      </c>
      <c r="DH180" t="e">
        <f>INDEX('Data_Price '!AQ$2:AQ$1266,MATCH(Data!$DN180,'Data_Price '!$AT$2:$AT$1266,0))</f>
        <v>#N/A</v>
      </c>
      <c r="DI180" t="e">
        <f>INDEX('Data_Price '!AR$2:AR$1266,MATCH(Data!$DN180,'Data_Price '!$AT$2:$AT$1266,0))</f>
        <v>#N/A</v>
      </c>
      <c r="DJ180" s="89" t="e">
        <f t="shared" si="106"/>
        <v>#N/A</v>
      </c>
      <c r="DK180" s="89" t="e">
        <f t="shared" si="107"/>
        <v>#N/A</v>
      </c>
      <c r="DL180" s="89" t="e">
        <f t="shared" si="108"/>
        <v>#N/A</v>
      </c>
      <c r="DM180" s="219" t="str">
        <f t="shared" si="109"/>
        <v>Mindbender 115 C Alliance</v>
      </c>
      <c r="DN180" s="89" t="str">
        <f t="shared" si="110"/>
        <v xml:space="preserve"> K2Mindbender 115 C Alliance172 Women's</v>
      </c>
      <c r="DO180" s="221" t="s">
        <v>403</v>
      </c>
    </row>
    <row r="181" spans="1:119" ht="15.6" customHeight="1">
      <c r="B181" s="219" t="b">
        <f t="array" ref="B181">IF(OR(ISERROR(K181:P181)),FALSE,TRUE)</f>
        <v>1</v>
      </c>
      <c r="C181" s="43" t="b">
        <f>OR(BR181=Driver!$G$50,Data!BR11=Driver!$H$50)</f>
        <v>0</v>
      </c>
      <c r="D181" s="43" t="b">
        <f>OR(BV181=Driver!$G$51,BV181=Driver!$H$51)</f>
        <v>0</v>
      </c>
      <c r="E181" s="43" t="b">
        <f>AND(BX181&gt;Driver!$F$54,BX181&lt;Driver!$G$54)</f>
        <v>0</v>
      </c>
      <c r="F181" s="43" t="b">
        <f>CL181&gt;Driver!$F$56</f>
        <v>1</v>
      </c>
      <c r="G181" s="43" t="b">
        <f>AND(CB181&gt;Driver!$F$55,CB181&lt;Driver!$G$55)</f>
        <v>0</v>
      </c>
      <c r="H181" s="43" t="b">
        <f t="shared" si="74"/>
        <v>0</v>
      </c>
      <c r="I181" s="43">
        <f t="shared" si="75"/>
        <v>0</v>
      </c>
      <c r="J181" s="43" t="b">
        <f t="array" ref="J181">NOT(OR(($H$9:$H$1273=TRUE)*($I$9:$I$1273&gt;0)*($BT$9:$BT$1273=BT181)*($K$9:$K$1273&gt;K181)))</f>
        <v>1</v>
      </c>
      <c r="K181" s="72">
        <f t="shared" si="76"/>
        <v>0.83727403500193343</v>
      </c>
      <c r="L181" s="72">
        <f t="shared" si="77"/>
        <v>0.82492281754956043</v>
      </c>
      <c r="M181" s="72">
        <f t="shared" si="78"/>
        <v>0.84962525245430631</v>
      </c>
      <c r="N181" s="72">
        <f t="shared" si="79"/>
        <v>0.88458790916302643</v>
      </c>
      <c r="O181" s="72">
        <f t="shared" si="80"/>
        <v>0.69082824283876088</v>
      </c>
      <c r="P181" s="72">
        <f t="shared" si="81"/>
        <v>0.97345960536113174</v>
      </c>
      <c r="Q181" s="72"/>
      <c r="R181" s="72"/>
      <c r="S181" s="72">
        <f t="shared" si="82"/>
        <v>0.42754878488629156</v>
      </c>
      <c r="T181" s="72">
        <f t="shared" si="83"/>
        <v>0.47095601460787295</v>
      </c>
      <c r="U181" s="72">
        <f t="shared" si="84"/>
        <v>0.52168294652429537</v>
      </c>
      <c r="V181" s="72">
        <f t="shared" si="85"/>
        <v>0.75377102231374615</v>
      </c>
      <c r="W181" s="72">
        <f t="shared" si="86"/>
        <v>0.85601468520543667</v>
      </c>
      <c r="X181" s="72">
        <f t="shared" si="87"/>
        <v>0.17507718245043952</v>
      </c>
      <c r="Y181" s="72">
        <f t="shared" si="88"/>
        <v>0.15037474754569366</v>
      </c>
      <c r="Z181" s="72">
        <f t="shared" si="89"/>
        <v>0.11541209083697361</v>
      </c>
      <c r="AA181" s="72">
        <f t="shared" si="90"/>
        <v>0.30917175716123912</v>
      </c>
      <c r="AB181" s="72">
        <f t="shared" si="91"/>
        <v>2.6540394638868203E-2</v>
      </c>
      <c r="AC181" s="72"/>
      <c r="AD181" s="72"/>
      <c r="AE181" s="72">
        <f t="shared" si="92"/>
        <v>0.57245121511370844</v>
      </c>
      <c r="AF181" s="72">
        <f t="shared" si="93"/>
        <v>0.52904398539212705</v>
      </c>
      <c r="AG181" s="72">
        <f t="shared" si="94"/>
        <v>0.47831705347570458</v>
      </c>
      <c r="AH181" s="72">
        <f t="shared" si="95"/>
        <v>0.2462289776862539</v>
      </c>
      <c r="AI181" s="72">
        <f t="shared" si="96"/>
        <v>0.14398531479456336</v>
      </c>
      <c r="AJ181" s="72">
        <f>(AV181-Driver!$K$179)/(Driver!$L$179-Driver!$K$179)</f>
        <v>0.42929659173313994</v>
      </c>
      <c r="AK181" s="72">
        <f>(AW181-Driver!$K$180)/(Driver!$L$180-Driver!$K$180)</f>
        <v>0.27539266711394605</v>
      </c>
      <c r="AL181" s="72">
        <f>(AX181-Driver!$K$181)/(Driver!$L$181-Driver!$K$181)</f>
        <v>0.21709985455005379</v>
      </c>
      <c r="AM181" s="72">
        <f>(AY181-Driver!$K$182)/(Driver!$L$182-Driver!$K$182)</f>
        <v>0.13821326393580721</v>
      </c>
      <c r="AN181" s="72">
        <f>(AZ181-Driver!$K$183)/(Driver!$L$183-Driver!$K$183)</f>
        <v>0.28075980392156863</v>
      </c>
      <c r="AO181" s="72"/>
      <c r="AP181" s="72"/>
      <c r="AQ181" s="72">
        <f>(BC181-Driver!$K$188)/(Driver!$L$188-Driver!$K$188)</f>
        <v>4.7548784886291558E-2</v>
      </c>
      <c r="AR181" s="72">
        <f>MIN((BD181-Driver!$K$189)/(Driver!$L$189-Driver!$K$189),100%)</f>
        <v>2.0956014607872952E-2</v>
      </c>
      <c r="AS181" s="72">
        <f>(BE181-Driver!$K$190)/(Driver!$L$190-Driver!$K$190)</f>
        <v>3.1682946524295423E-2</v>
      </c>
      <c r="AT181" s="72">
        <f>(BF181-Driver!$K$191)/(Driver!$L$191-Driver!$K$191)</f>
        <v>0.26377102231374611</v>
      </c>
      <c r="AU181" s="72">
        <f>(BG181-Driver!$K$192)/(Driver!$L$192-Driver!$K$192)</f>
        <v>0.10601468520543664</v>
      </c>
      <c r="AV181" s="70">
        <f t="shared" si="97"/>
        <v>9.0354090354090353</v>
      </c>
      <c r="AW181" s="70">
        <f t="shared" si="98"/>
        <v>28.711348258983303</v>
      </c>
      <c r="AX181" s="70">
        <f t="shared" si="99"/>
        <v>2.9538986909504841</v>
      </c>
      <c r="AY181" s="70">
        <f>IFERROR(Driver!$K$19/Data!BH181/Data!BI181*Data!BK181*Data!BL181,"")</f>
        <v>0.16921427391517155</v>
      </c>
      <c r="AZ181" s="70">
        <f t="shared" si="100"/>
        <v>25.588235294117649</v>
      </c>
      <c r="BA181" s="70"/>
      <c r="BB181" s="70"/>
      <c r="BC181" s="70">
        <f t="shared" si="101"/>
        <v>24.663885274309195</v>
      </c>
      <c r="BD181" s="70">
        <f t="shared" si="102"/>
        <v>3.5753930450338056</v>
      </c>
      <c r="BE181" s="70">
        <f t="shared" si="103"/>
        <v>3.1855683387762804E-2</v>
      </c>
      <c r="BF181" s="70">
        <f t="shared" si="104"/>
        <v>29.791083874027926</v>
      </c>
      <c r="BG181" s="70">
        <f t="shared" si="105"/>
        <v>0.40143922824558659</v>
      </c>
      <c r="BH181" s="67">
        <f>MAX((CE181-Driver!$F$200)/(Driver!$G$200-Driver!$F$200)*$BI$1,1)</f>
        <v>2.9538986909504841</v>
      </c>
      <c r="BI181" s="67">
        <f>MAX($BI$1*(BY181-Driver!$F$201)/(Driver!$G$201-Driver!$F$201),1)</f>
        <v>5.5063291139240507</v>
      </c>
      <c r="BJ181" s="67">
        <f>(CB181-Driver!$F$206)/(Driver!$G$206-Driver!$F$206)*$BI$1</f>
        <v>7.6190476190476186</v>
      </c>
      <c r="BK181" s="67">
        <f>(CD181-Driver!$F$203)/(Driver!$G$203-Driver!$F$203)*$BI$1</f>
        <v>2.6605504587155959</v>
      </c>
      <c r="BL181" s="67">
        <f>MAX((CR181-Driver!$F$202)/(Driver!$G$202-Driver!$F$202)*$BI$1,1)</f>
        <v>5.1724137931034484</v>
      </c>
      <c r="BM181" s="67">
        <f>MAX((CH181-Driver!$F$204)/(Driver!$G$204-Driver!$F$204)*$BI$1,1)</f>
        <v>4.7435897435897436</v>
      </c>
      <c r="BN181" s="67">
        <f>(CI181-Driver!$F$205)/(Driver!$G$205-Driver!$F$205)*$BI$1</f>
        <v>4.6470588235294121</v>
      </c>
      <c r="BO181" s="67">
        <f>(CK181-Driver!$F$207)/(Driver!$G$207-Driver!$F$207)*$BI$1</f>
        <v>3.0299896587383661</v>
      </c>
      <c r="BP181" s="67">
        <f>(CM181-Driver!$F$208)/(Driver!$G$208-Driver!$F$208)*$BI$1</f>
        <v>3.4333333333333331</v>
      </c>
      <c r="BQ181" s="67">
        <f>(CL181-Driver!$F$209)/(Driver!$G$209-Driver!$F$209)*$BI$1</f>
        <v>5.625</v>
      </c>
      <c r="BR181" s="28" t="s">
        <v>217</v>
      </c>
      <c r="BS181" s="8" t="s">
        <v>218</v>
      </c>
      <c r="BT181" s="9" t="s">
        <v>404</v>
      </c>
      <c r="BU181" s="10">
        <v>168</v>
      </c>
      <c r="BV181" s="9" t="s">
        <v>163</v>
      </c>
      <c r="BW181" s="10">
        <v>168</v>
      </c>
      <c r="BX181" s="10">
        <v>166.3</v>
      </c>
      <c r="BY181" s="10">
        <v>95</v>
      </c>
      <c r="BZ181" s="10">
        <v>111</v>
      </c>
      <c r="CA181" s="10">
        <v>136</v>
      </c>
      <c r="CB181" s="10">
        <v>112</v>
      </c>
      <c r="CC181" s="10">
        <v>124</v>
      </c>
      <c r="CD181" s="10">
        <v>15.2</v>
      </c>
      <c r="CE181" s="10">
        <v>1419</v>
      </c>
      <c r="CF181" s="10">
        <v>1.4</v>
      </c>
      <c r="CG181" s="10">
        <v>1992</v>
      </c>
      <c r="CH181" s="10">
        <v>212</v>
      </c>
      <c r="CI181" s="10">
        <v>112</v>
      </c>
      <c r="CJ181" s="10">
        <v>64</v>
      </c>
      <c r="CK181" s="10">
        <v>403</v>
      </c>
      <c r="CL181" s="10">
        <v>36</v>
      </c>
      <c r="CM181" s="10">
        <v>309</v>
      </c>
      <c r="CN181" s="10">
        <v>0.55600000000000005</v>
      </c>
      <c r="CO181" s="10">
        <v>298</v>
      </c>
      <c r="CP181" s="10">
        <v>253</v>
      </c>
      <c r="CQ181" s="10">
        <v>104</v>
      </c>
      <c r="CR181" s="10">
        <v>4</v>
      </c>
      <c r="CS181" s="10">
        <v>13.3</v>
      </c>
      <c r="CT181" s="9" t="s">
        <v>169</v>
      </c>
      <c r="CU181" s="9" t="s">
        <v>185</v>
      </c>
      <c r="CV181" s="9" t="s">
        <v>198</v>
      </c>
      <c r="CW181" s="10"/>
      <c r="CX181" t="str">
        <f>INDEX('Data_Price '!AG$2:AG$1266,MATCH(Data!$DN181,'Data_Price '!$AT$2:$AT$1266,0))</f>
        <v>DPS Pagoda Tour 112 RP SE Ski 168 / Early Riser Orange</v>
      </c>
      <c r="CY181" t="str">
        <f>INDEX('Data_Price '!AH$2:AH$1266,MATCH(Data!$DN181,'Data_Price '!$AT$2:$AT$1266,0))</f>
        <v>Cripple Creek Backcountry</v>
      </c>
      <c r="CZ181">
        <f>INDEX('Data_Price '!AI$2:AI$1266,MATCH(Data!$DN181,'Data_Price '!$AT$2:$AT$1266,0))</f>
        <v>1029</v>
      </c>
      <c r="DA181" t="str">
        <f>INDEX('Data_Price '!AJ$2:AJ$1266,MATCH(Data!$DN181,'Data_Price '!$AT$2:$AT$1266,0))</f>
        <v>https://tinyurl.com/yb9qbqgb</v>
      </c>
      <c r="DB181" t="str">
        <f>INDEX('Data_Price '!AK$2:AK$1266,MATCH(Data!$DN181,'Data_Price '!$AT$2:$AT$1266,0))</f>
        <v>DPS Pagoda Tour 112 RP Skis 168cm</v>
      </c>
      <c r="DC181" t="str">
        <f>INDEX('Data_Price '!AL$2:AL$1266,MATCH(Data!$DN181,'Data_Price '!$AT$2:$AT$1266,0))</f>
        <v>Skimo &amp; SkyRun</v>
      </c>
      <c r="DD181">
        <f>INDEX('Data_Price '!AM$2:AM$1266,MATCH(Data!$DN181,'Data_Price '!$AT$2:$AT$1266,0))</f>
        <v>1029</v>
      </c>
      <c r="DE181" t="str">
        <f>INDEX('Data_Price '!AN$2:AN$1266,MATCH(Data!$DN181,'Data_Price '!$AT$2:$AT$1266,0))</f>
        <v>https://tinyurl.com/ybrjf3kf</v>
      </c>
      <c r="DF181" t="str">
        <f>INDEX('Data_Price '!AO$2:AO$1266,MATCH(Data!$DN181,'Data_Price '!$AT$2:$AT$1266,0))</f>
        <v>DPS Pagoda Tour 112 RP Skis 168cm</v>
      </c>
      <c r="DG181" t="str">
        <f>INDEX('Data_Price '!AP$2:AP$1266,MATCH(Data!$DN181,'Data_Price '!$AT$2:$AT$1266,0))</f>
        <v>REI</v>
      </c>
      <c r="DH181">
        <f>INDEX('Data_Price '!AQ$2:AQ$1266,MATCH(Data!$DN181,'Data_Price '!$AT$2:$AT$1266,0))</f>
        <v>1038.93</v>
      </c>
      <c r="DI181" t="str">
        <f>INDEX('Data_Price '!AR$2:AR$1266,MATCH(Data!$DN181,'Data_Price '!$AT$2:$AT$1266,0))</f>
        <v>https://tinyurl.com/y7btrxme</v>
      </c>
      <c r="DJ181" s="89" t="str">
        <f t="shared" si="106"/>
        <v>https://tinyurl.com/yb9qbqgb</v>
      </c>
      <c r="DK181" s="89" t="str">
        <f t="shared" si="107"/>
        <v>https://tinyurl.com/ybrjf3kf</v>
      </c>
      <c r="DL181" s="89" t="str">
        <f t="shared" si="108"/>
        <v>https://tinyurl.com/y7btrxme</v>
      </c>
      <c r="DM181" s="219" t="str">
        <f t="shared" si="109"/>
        <v>Pagoda Tour 112 W</v>
      </c>
      <c r="DN181" s="89" t="str">
        <f t="shared" si="110"/>
        <v xml:space="preserve"> DPSPagoda Tour 112 W168 Women's</v>
      </c>
      <c r="DO181" s="221"/>
    </row>
    <row r="182" spans="1:119" ht="15.6" customHeight="1">
      <c r="B182" s="219" t="b">
        <f t="array" ref="B182">IF(OR(ISERROR(K182:P182)),FALSE,TRUE)</f>
        <v>1</v>
      </c>
      <c r="C182" s="43" t="b">
        <f>OR(BR182=Driver!$G$50,Data!BR717=Driver!$H$50)</f>
        <v>1</v>
      </c>
      <c r="D182" s="43" t="b">
        <f>OR(BV182=Driver!$G$51,BV182=Driver!$H$51)</f>
        <v>1</v>
      </c>
      <c r="E182" s="43" t="b">
        <f>AND(BX182&gt;Driver!$F$54,BX182&lt;Driver!$G$54)</f>
        <v>0</v>
      </c>
      <c r="F182" s="43" t="b">
        <f>CL182&gt;Driver!$F$56</f>
        <v>1</v>
      </c>
      <c r="G182" s="43" t="b">
        <f>AND(CB182&gt;Driver!$F$55,CB182&lt;Driver!$G$55)</f>
        <v>1</v>
      </c>
      <c r="H182" s="43" t="b">
        <f t="shared" si="74"/>
        <v>0</v>
      </c>
      <c r="I182" s="43">
        <f t="shared" si="75"/>
        <v>0</v>
      </c>
      <c r="J182" s="43" t="b">
        <f t="array" ref="J182">NOT(OR(($H$9:$H$1273=TRUE)*($I$9:$I$1273&gt;0)*($BT$9:$BT$1273=BT182)*($K$9:$K$1273&gt;K182)))</f>
        <v>1</v>
      </c>
      <c r="K182" s="72">
        <f t="shared" si="76"/>
        <v>0.84661048611305512</v>
      </c>
      <c r="L182" s="72">
        <f t="shared" si="77"/>
        <v>0.97358126570039438</v>
      </c>
      <c r="M182" s="72">
        <f t="shared" si="78"/>
        <v>0.71963970652571585</v>
      </c>
      <c r="N182" s="72">
        <f t="shared" si="79"/>
        <v>0.56586280956143287</v>
      </c>
      <c r="O182" s="72">
        <f t="shared" si="80"/>
        <v>0.66579768504673975</v>
      </c>
      <c r="P182" s="72">
        <f t="shared" si="81"/>
        <v>0.92725862496897493</v>
      </c>
      <c r="Q182" s="72"/>
      <c r="R182" s="72"/>
      <c r="S182" s="72">
        <f t="shared" si="82"/>
        <v>0.47986050338833397</v>
      </c>
      <c r="T182" s="72">
        <f t="shared" si="83"/>
        <v>0.46855891703806052</v>
      </c>
      <c r="U182" s="72">
        <f t="shared" si="84"/>
        <v>0.51404970924054338</v>
      </c>
      <c r="V182" s="72">
        <f t="shared" si="85"/>
        <v>0.630641796477732</v>
      </c>
      <c r="W182" s="72">
        <f t="shared" si="86"/>
        <v>0.8011838818290431</v>
      </c>
      <c r="X182" s="72">
        <f t="shared" si="87"/>
        <v>2.6418734299605562E-2</v>
      </c>
      <c r="Y182" s="72">
        <f t="shared" si="88"/>
        <v>0.28036029347428415</v>
      </c>
      <c r="Z182" s="72">
        <f t="shared" si="89"/>
        <v>0.43413719043856713</v>
      </c>
      <c r="AA182" s="72">
        <f t="shared" si="90"/>
        <v>0.33420231495326025</v>
      </c>
      <c r="AB182" s="72">
        <f t="shared" si="91"/>
        <v>7.2741375031025013E-2</v>
      </c>
      <c r="AC182" s="72"/>
      <c r="AD182" s="72"/>
      <c r="AE182" s="72">
        <f t="shared" si="92"/>
        <v>0.52013949661166603</v>
      </c>
      <c r="AF182" s="72">
        <f t="shared" si="93"/>
        <v>0.53144108296193948</v>
      </c>
      <c r="AG182" s="72">
        <f t="shared" si="94"/>
        <v>0.48595029075945667</v>
      </c>
      <c r="AH182" s="72">
        <f t="shared" si="95"/>
        <v>0.369358203522268</v>
      </c>
      <c r="AI182" s="72">
        <f t="shared" si="96"/>
        <v>0.1988161181709569</v>
      </c>
      <c r="AJ182" s="72">
        <f>(AV182-Driver!$K$179)/(Driver!$L$179-Driver!$K$179)</f>
        <v>0.28063814358230599</v>
      </c>
      <c r="AK182" s="72">
        <f>(AW182-Driver!$K$180)/(Driver!$L$180-Driver!$K$180)</f>
        <v>0.34771655048047756</v>
      </c>
      <c r="AL182" s="72">
        <f>(AX182-Driver!$K$181)/(Driver!$L$181-Driver!$K$181)</f>
        <v>0.53582495415164733</v>
      </c>
      <c r="AM182" s="72">
        <f>(AY182-Driver!$K$182)/(Driver!$L$182-Driver!$K$182)</f>
        <v>0.1131827061437861</v>
      </c>
      <c r="AN182" s="72">
        <f>(AZ182-Driver!$K$183)/(Driver!$L$183-Driver!$K$183)</f>
        <v>0.32696078431372544</v>
      </c>
      <c r="AO182" s="72"/>
      <c r="AP182" s="72"/>
      <c r="AQ182" s="72">
        <f>(BC182-Driver!$K$188)/(Driver!$L$188-Driver!$K$188)</f>
        <v>9.9860503388334007E-2</v>
      </c>
      <c r="AR182" s="72">
        <f>MIN((BD182-Driver!$K$189)/(Driver!$L$189-Driver!$K$189),100%)</f>
        <v>1.8558917038060559E-2</v>
      </c>
      <c r="AS182" s="72">
        <f>(BE182-Driver!$K$190)/(Driver!$L$190-Driver!$K$190)</f>
        <v>2.4049709240543341E-2</v>
      </c>
      <c r="AT182" s="72">
        <f>(BF182-Driver!$K$191)/(Driver!$L$191-Driver!$K$191)</f>
        <v>0.14064179647773198</v>
      </c>
      <c r="AU182" s="72">
        <f>(BG182-Driver!$K$192)/(Driver!$L$192-Driver!$K$192)</f>
        <v>5.1183881829043112E-2</v>
      </c>
      <c r="AV182" s="70">
        <f t="shared" si="97"/>
        <v>5.9065934065934069</v>
      </c>
      <c r="AW182" s="70">
        <f t="shared" si="98"/>
        <v>35.759951547851564</v>
      </c>
      <c r="AX182" s="70">
        <f t="shared" si="99"/>
        <v>5.8224245873648259</v>
      </c>
      <c r="AY182" s="70">
        <f>IFERROR(Driver!$K$19/Data!BH182/Data!BI182*Data!BK182*Data!BL182,"")</f>
        <v>0.1385694027801134</v>
      </c>
      <c r="AZ182" s="70">
        <f t="shared" si="100"/>
        <v>29.798957557706625</v>
      </c>
      <c r="BA182" s="70"/>
      <c r="BB182" s="70"/>
      <c r="BC182" s="70">
        <f t="shared" si="101"/>
        <v>51.798337326485687</v>
      </c>
      <c r="BD182" s="70">
        <f t="shared" si="102"/>
        <v>3.3632541575109705</v>
      </c>
      <c r="BE182" s="70">
        <f t="shared" si="103"/>
        <v>2.4223807787626402E-2</v>
      </c>
      <c r="BF182" s="70">
        <f t="shared" si="104"/>
        <v>15.884502847619014</v>
      </c>
      <c r="BG182" s="70">
        <f t="shared" si="105"/>
        <v>0.19381482839144129</v>
      </c>
      <c r="BH182" s="67">
        <f>MAX((CE182-Driver!$F$200)/(Driver!$G$200-Driver!$F$200)*$BI$1,1)</f>
        <v>5.8224245873648259</v>
      </c>
      <c r="BI182" s="67">
        <f>MAX($BI$1*(BY182-Driver!$F$201)/(Driver!$G$201-Driver!$F$201),1)</f>
        <v>5.8227848101265822</v>
      </c>
      <c r="BJ182" s="67">
        <f>(CB182-Driver!$F$206)/(Driver!$G$206-Driver!$F$206)*$BI$1</f>
        <v>6.825396825396826</v>
      </c>
      <c r="BK182" s="67">
        <f>(CD182-Driver!$F$203)/(Driver!$G$203-Driver!$F$203)*$BI$1</f>
        <v>4.5412844036697253</v>
      </c>
      <c r="BL182" s="67">
        <f>MAX((CR182-Driver!$F$202)/(Driver!$G$202-Driver!$F$202)*$BI$1,1)</f>
        <v>5.1724137931034484</v>
      </c>
      <c r="BM182" s="67">
        <f>MAX((CH182-Driver!$F$204)/(Driver!$G$204-Driver!$F$204)*$BI$1,1)</f>
        <v>3.4615384615384617</v>
      </c>
      <c r="BN182" s="67">
        <f>(CI182-Driver!$F$205)/(Driver!$G$205-Driver!$F$205)*$BI$1</f>
        <v>5.117647058823529</v>
      </c>
      <c r="BO182" s="67">
        <f>(CK182-Driver!$F$207)/(Driver!$G$207-Driver!$F$207)*$BI$1</f>
        <v>3.0196483971044468</v>
      </c>
      <c r="BP182" s="67">
        <f>(CM182-Driver!$F$208)/(Driver!$G$208-Driver!$F$208)*$BI$1</f>
        <v>3.5</v>
      </c>
      <c r="BQ182" s="67">
        <f>(CL182-Driver!$F$209)/(Driver!$G$209-Driver!$F$209)*$BI$1</f>
        <v>3.90625</v>
      </c>
      <c r="BR182" s="28" t="s">
        <v>155</v>
      </c>
      <c r="BS182" s="8" t="s">
        <v>262</v>
      </c>
      <c r="BT182" s="9" t="s">
        <v>405</v>
      </c>
      <c r="BU182" s="10">
        <v>172</v>
      </c>
      <c r="BV182" s="9" t="s">
        <v>158</v>
      </c>
      <c r="BW182" s="10">
        <v>172</v>
      </c>
      <c r="BX182" s="10">
        <v>172.2</v>
      </c>
      <c r="BY182" s="10">
        <v>100</v>
      </c>
      <c r="BZ182" s="10">
        <v>137</v>
      </c>
      <c r="CA182" s="10">
        <v>136</v>
      </c>
      <c r="CB182" s="10">
        <v>107</v>
      </c>
      <c r="CC182" s="10">
        <v>124</v>
      </c>
      <c r="CD182" s="10">
        <v>19.3</v>
      </c>
      <c r="CE182" s="10">
        <v>1923</v>
      </c>
      <c r="CF182" s="10">
        <v>1.04</v>
      </c>
      <c r="CG182" s="10">
        <v>1999</v>
      </c>
      <c r="CH182" s="10">
        <v>182</v>
      </c>
      <c r="CI182" s="10">
        <v>120</v>
      </c>
      <c r="CJ182" s="10">
        <v>48</v>
      </c>
      <c r="CK182" s="10">
        <v>402</v>
      </c>
      <c r="CL182" s="10">
        <v>25</v>
      </c>
      <c r="CM182" s="10">
        <v>315</v>
      </c>
      <c r="CN182" s="10">
        <v>0.52100000000000002</v>
      </c>
      <c r="CO182" s="10">
        <v>182</v>
      </c>
      <c r="CP182" s="10">
        <v>169</v>
      </c>
      <c r="CQ182" s="10">
        <v>220</v>
      </c>
      <c r="CR182" s="10">
        <v>4</v>
      </c>
      <c r="CS182" s="10">
        <v>9.3000000000000007</v>
      </c>
      <c r="CT182" s="9" t="s">
        <v>169</v>
      </c>
      <c r="CU182" s="10"/>
      <c r="CV182" s="10"/>
      <c r="CW182" s="10"/>
      <c r="CX182" t="e">
        <f>INDEX('Data_Price '!AG$2:AG$1266,MATCH(Data!$DN182,'Data_Price '!$AT$2:$AT$1266,0))</f>
        <v>#N/A</v>
      </c>
      <c r="CY182" t="e">
        <f>INDEX('Data_Price '!AH$2:AH$1266,MATCH(Data!$DN182,'Data_Price '!$AT$2:$AT$1266,0))</f>
        <v>#N/A</v>
      </c>
      <c r="CZ182" t="e">
        <f>INDEX('Data_Price '!AI$2:AI$1266,MATCH(Data!$DN182,'Data_Price '!$AT$2:$AT$1266,0))</f>
        <v>#N/A</v>
      </c>
      <c r="DA182" t="e">
        <f>INDEX('Data_Price '!AJ$2:AJ$1266,MATCH(Data!$DN182,'Data_Price '!$AT$2:$AT$1266,0))</f>
        <v>#N/A</v>
      </c>
      <c r="DB182" t="e">
        <f>INDEX('Data_Price '!AK$2:AK$1266,MATCH(Data!$DN182,'Data_Price '!$AT$2:$AT$1266,0))</f>
        <v>#N/A</v>
      </c>
      <c r="DC182" t="e">
        <f>INDEX('Data_Price '!AL$2:AL$1266,MATCH(Data!$DN182,'Data_Price '!$AT$2:$AT$1266,0))</f>
        <v>#N/A</v>
      </c>
      <c r="DD182" t="e">
        <f>INDEX('Data_Price '!AM$2:AM$1266,MATCH(Data!$DN182,'Data_Price '!$AT$2:$AT$1266,0))</f>
        <v>#N/A</v>
      </c>
      <c r="DE182" t="e">
        <f>INDEX('Data_Price '!AN$2:AN$1266,MATCH(Data!$DN182,'Data_Price '!$AT$2:$AT$1266,0))</f>
        <v>#N/A</v>
      </c>
      <c r="DF182" t="e">
        <f>INDEX('Data_Price '!AO$2:AO$1266,MATCH(Data!$DN182,'Data_Price '!$AT$2:$AT$1266,0))</f>
        <v>#N/A</v>
      </c>
      <c r="DG182" t="e">
        <f>INDEX('Data_Price '!AP$2:AP$1266,MATCH(Data!$DN182,'Data_Price '!$AT$2:$AT$1266,0))</f>
        <v>#N/A</v>
      </c>
      <c r="DH182" t="e">
        <f>INDEX('Data_Price '!AQ$2:AQ$1266,MATCH(Data!$DN182,'Data_Price '!$AT$2:$AT$1266,0))</f>
        <v>#N/A</v>
      </c>
      <c r="DI182" t="e">
        <f>INDEX('Data_Price '!AR$2:AR$1266,MATCH(Data!$DN182,'Data_Price '!$AT$2:$AT$1266,0))</f>
        <v>#N/A</v>
      </c>
      <c r="DJ182" s="89" t="e">
        <f t="shared" si="106"/>
        <v>#N/A</v>
      </c>
      <c r="DK182" s="89" t="e">
        <f t="shared" si="107"/>
        <v>#N/A</v>
      </c>
      <c r="DL182" s="89" t="e">
        <f t="shared" si="108"/>
        <v>#N/A</v>
      </c>
      <c r="DM182" s="219" t="str">
        <f t="shared" si="109"/>
        <v>Mindbender 108 Ti</v>
      </c>
      <c r="DN182" s="89" t="str">
        <f t="shared" si="110"/>
        <v xml:space="preserve"> K2Mindbender 108 Ti172 Unisex</v>
      </c>
      <c r="DO182" s="221" t="s">
        <v>406</v>
      </c>
    </row>
    <row r="183" spans="1:119" ht="15.6" customHeight="1">
      <c r="B183" s="219" t="b">
        <f t="array" ref="B183">IF(OR(ISERROR(K183:P183)),FALSE,TRUE)</f>
        <v>1</v>
      </c>
      <c r="C183" s="43" t="b">
        <f>OR(BR183=Driver!$G$50,Data!BR488=Driver!$H$50)</f>
        <v>1</v>
      </c>
      <c r="D183" s="43" t="b">
        <f>OR(BV183=Driver!$G$51,BV183=Driver!$H$51)</f>
        <v>0</v>
      </c>
      <c r="E183" s="43" t="b">
        <f>AND(BX183&gt;Driver!$F$54,BX183&lt;Driver!$G$54)</f>
        <v>0</v>
      </c>
      <c r="F183" s="43" t="b">
        <f>CL183&gt;Driver!$F$56</f>
        <v>1</v>
      </c>
      <c r="G183" s="43" t="b">
        <f>AND(CB183&gt;Driver!$F$55,CB183&lt;Driver!$G$55)</f>
        <v>0</v>
      </c>
      <c r="H183" s="43" t="b">
        <f t="shared" si="74"/>
        <v>0</v>
      </c>
      <c r="I183" s="43">
        <f t="shared" si="75"/>
        <v>0</v>
      </c>
      <c r="J183" s="43" t="b">
        <f t="array" ref="J183">NOT(OR(($H$9:$H$1273=TRUE)*($I$9:$I$1273&gt;0)*($BT$9:$BT$1273=BT183)*($K$9:$K$1273&gt;K183)))</f>
        <v>1</v>
      </c>
      <c r="K183" s="72">
        <f t="shared" si="76"/>
        <v>0.88189422117087246</v>
      </c>
      <c r="L183" s="72">
        <f t="shared" si="77"/>
        <v>0.92682966009124201</v>
      </c>
      <c r="M183" s="72">
        <f t="shared" si="78"/>
        <v>0.8369587822505028</v>
      </c>
      <c r="N183" s="72">
        <f t="shared" si="79"/>
        <v>0.86688095918516006</v>
      </c>
      <c r="O183" s="72">
        <f t="shared" si="80"/>
        <v>0.70374656651894196</v>
      </c>
      <c r="P183" s="72">
        <f t="shared" si="81"/>
        <v>0.94024882104740626</v>
      </c>
      <c r="Q183" s="72"/>
      <c r="R183" s="72"/>
      <c r="S183" s="72">
        <f t="shared" si="82"/>
        <v>0.48256711896782689</v>
      </c>
      <c r="T183" s="72">
        <f t="shared" si="83"/>
        <v>0.5236983528440351</v>
      </c>
      <c r="U183" s="72">
        <f t="shared" si="84"/>
        <v>0.84497226887534893</v>
      </c>
      <c r="V183" s="72">
        <f t="shared" si="85"/>
        <v>0.50850789272944419</v>
      </c>
      <c r="W183" s="72">
        <f t="shared" si="86"/>
        <v>0.81086982521485074</v>
      </c>
      <c r="X183" s="72">
        <f t="shared" si="87"/>
        <v>7.3170339908757986E-2</v>
      </c>
      <c r="Y183" s="72">
        <f t="shared" si="88"/>
        <v>0.1630412177494972</v>
      </c>
      <c r="Z183" s="72">
        <f t="shared" si="89"/>
        <v>0.13311904081483988</v>
      </c>
      <c r="AA183" s="72">
        <f t="shared" si="90"/>
        <v>0.29625343348105804</v>
      </c>
      <c r="AB183" s="72">
        <f t="shared" si="91"/>
        <v>5.9751178952593686E-2</v>
      </c>
      <c r="AC183" s="72"/>
      <c r="AD183" s="72"/>
      <c r="AE183" s="72">
        <f t="shared" si="92"/>
        <v>0.51743288103217311</v>
      </c>
      <c r="AF183" s="72">
        <f t="shared" si="93"/>
        <v>0.4763016471559649</v>
      </c>
      <c r="AG183" s="72">
        <f t="shared" si="94"/>
        <v>0.15502773112465112</v>
      </c>
      <c r="AH183" s="72">
        <f t="shared" si="95"/>
        <v>0.49149210727055587</v>
      </c>
      <c r="AI183" s="72">
        <f t="shared" si="96"/>
        <v>0.18913017478514926</v>
      </c>
      <c r="AJ183" s="72">
        <f>(AV183-Driver!$K$179)/(Driver!$L$179-Driver!$K$179)</f>
        <v>0.18104906937394244</v>
      </c>
      <c r="AK183" s="72">
        <f>(AW183-Driver!$K$180)/(Driver!$L$180-Driver!$K$180)</f>
        <v>0.30824739229540349</v>
      </c>
      <c r="AL183" s="72">
        <f>(AX183-Driver!$K$181)/(Driver!$L$181-Driver!$K$181)</f>
        <v>0.23480680452792008</v>
      </c>
      <c r="AM183" s="72">
        <f>(AY183-Driver!$K$182)/(Driver!$L$182-Driver!$K$182)</f>
        <v>0.15113158761598836</v>
      </c>
      <c r="AN183" s="72">
        <f>(AZ183-Driver!$K$183)/(Driver!$L$183-Driver!$K$183)</f>
        <v>0.31397058823529411</v>
      </c>
      <c r="AO183" s="72"/>
      <c r="AP183" s="72"/>
      <c r="AQ183" s="72">
        <f>(BC183-Driver!$K$188)/(Driver!$L$188-Driver!$K$188)</f>
        <v>0.1025671189678269</v>
      </c>
      <c r="AR183" s="72">
        <f>MIN((BD183-Driver!$K$189)/(Driver!$L$189-Driver!$K$189),100%)</f>
        <v>7.3698352844035128E-2</v>
      </c>
      <c r="AS183" s="72">
        <f>(BE183-Driver!$K$190)/(Driver!$L$190-Driver!$K$190)</f>
        <v>0.35497226887534888</v>
      </c>
      <c r="AT183" s="72">
        <f>(BF183-Driver!$K$191)/(Driver!$L$191-Driver!$K$191)</f>
        <v>1.8507892729444139E-2</v>
      </c>
      <c r="AU183" s="72">
        <f>(BG183-Driver!$K$192)/(Driver!$L$192-Driver!$K$192)</f>
        <v>6.0869825214850744E-2</v>
      </c>
      <c r="AV183" s="70">
        <f t="shared" si="97"/>
        <v>3.8105413105413102</v>
      </c>
      <c r="AW183" s="70">
        <f t="shared" si="98"/>
        <v>31.91333235039686</v>
      </c>
      <c r="AX183" s="70">
        <f t="shared" si="99"/>
        <v>3.1132612407512807</v>
      </c>
      <c r="AY183" s="70">
        <f>IFERROR(Driver!$K$19/Data!BH183/Data!BI183*Data!BK183*Data!BL183,"")</f>
        <v>0.18503015655548227</v>
      </c>
      <c r="AZ183" s="70">
        <f t="shared" si="100"/>
        <v>28.615040953090098</v>
      </c>
      <c r="BA183" s="70"/>
      <c r="BB183" s="70"/>
      <c r="BC183" s="70">
        <f t="shared" si="101"/>
        <v>53.202277643654895</v>
      </c>
      <c r="BD183" s="70">
        <f t="shared" si="102"/>
        <v>8.2429965250407609</v>
      </c>
      <c r="BE183" s="70">
        <f t="shared" si="103"/>
        <v>0.35508733456248515</v>
      </c>
      <c r="BF183" s="70">
        <f t="shared" si="104"/>
        <v>2.0903364584853716</v>
      </c>
      <c r="BG183" s="70">
        <f t="shared" si="105"/>
        <v>0.23049198901399304</v>
      </c>
      <c r="BH183" s="67">
        <f>MAX((CE183-Driver!$F$200)/(Driver!$G$200-Driver!$F$200)*$BI$1,1)</f>
        <v>3.1132612407512807</v>
      </c>
      <c r="BI183" s="67">
        <f>MAX($BI$1*(BY183-Driver!$F$201)/(Driver!$G$201-Driver!$F$201),1)</f>
        <v>7.7215189873417724</v>
      </c>
      <c r="BJ183" s="67">
        <f>(CB183-Driver!$F$206)/(Driver!$G$206-Driver!$F$206)*$BI$1</f>
        <v>3.333333333333333</v>
      </c>
      <c r="BK183" s="67">
        <f>(CD183-Driver!$F$203)/(Driver!$G$203-Driver!$F$203)*$BI$1</f>
        <v>3.3944954128440372</v>
      </c>
      <c r="BL183" s="67">
        <f>MAX((CR183-Driver!$F$202)/(Driver!$G$202-Driver!$F$202)*$BI$1,1)</f>
        <v>6.5517241379310338</v>
      </c>
      <c r="BM183" s="67">
        <f>MAX((CH183-Driver!$F$204)/(Driver!$G$204-Driver!$F$204)*$BI$1,1)</f>
        <v>4.5726495726495724</v>
      </c>
      <c r="BN183" s="67">
        <f>(CI183-Driver!$F$205)/(Driver!$G$205-Driver!$F$205)*$BI$1</f>
        <v>3.7058823529411766</v>
      </c>
      <c r="BO183" s="67">
        <f>(CK183-Driver!$F$207)/(Driver!$G$207-Driver!$F$207)*$BI$1</f>
        <v>1.2202688728024818</v>
      </c>
      <c r="BP183" s="67">
        <f>(CM183-Driver!$F$208)/(Driver!$G$208-Driver!$F$208)*$BI$1</f>
        <v>1.7444444444444445</v>
      </c>
      <c r="BQ183" s="67">
        <f>(CL183-Driver!$F$209)/(Driver!$G$209-Driver!$F$209)*$BI$1</f>
        <v>3.28125</v>
      </c>
      <c r="BR183" s="28" t="s">
        <v>155</v>
      </c>
      <c r="BS183" s="8" t="s">
        <v>205</v>
      </c>
      <c r="BT183" s="9" t="s">
        <v>407</v>
      </c>
      <c r="BU183" s="10">
        <v>170</v>
      </c>
      <c r="BV183" s="9" t="s">
        <v>163</v>
      </c>
      <c r="BW183" s="10">
        <v>170</v>
      </c>
      <c r="BX183" s="10">
        <v>168.4</v>
      </c>
      <c r="BY183" s="10">
        <v>130</v>
      </c>
      <c r="BZ183" s="10">
        <v>143</v>
      </c>
      <c r="CA183" s="10">
        <v>119</v>
      </c>
      <c r="CB183" s="10">
        <v>85</v>
      </c>
      <c r="CC183" s="10">
        <v>109</v>
      </c>
      <c r="CD183" s="10">
        <v>16.8</v>
      </c>
      <c r="CE183" s="10">
        <v>1447</v>
      </c>
      <c r="CF183" s="10">
        <v>1.1299999999999999</v>
      </c>
      <c r="CG183" s="10">
        <v>1629</v>
      </c>
      <c r="CH183" s="10">
        <v>208</v>
      </c>
      <c r="CI183" s="10">
        <v>96</v>
      </c>
      <c r="CJ183" s="10">
        <v>50</v>
      </c>
      <c r="CK183" s="10">
        <v>228</v>
      </c>
      <c r="CL183" s="10">
        <v>21</v>
      </c>
      <c r="CM183" s="10">
        <v>157</v>
      </c>
      <c r="CN183" s="10">
        <v>0.41199999999999998</v>
      </c>
      <c r="CO183" s="10">
        <v>148</v>
      </c>
      <c r="CP183" s="10">
        <v>103</v>
      </c>
      <c r="CQ183" s="10">
        <v>80</v>
      </c>
      <c r="CR183" s="10">
        <v>8</v>
      </c>
      <c r="CS183" s="10">
        <v>9.9</v>
      </c>
      <c r="CT183" s="9" t="s">
        <v>188</v>
      </c>
      <c r="CU183" s="9" t="s">
        <v>185</v>
      </c>
      <c r="CV183" s="10"/>
      <c r="CW183" s="10"/>
      <c r="CX183" t="str">
        <f>INDEX('Data_Price '!AG$2:AG$1266,MATCH(Data!$DN183,'Data_Price '!$AT$2:$AT$1266,0))</f>
        <v>Faction Agent 1.0 Skis 170 Cm At All Mtn Lightweight</v>
      </c>
      <c r="CY183" t="str">
        <f>INDEX('Data_Price '!AH$2:AH$1266,MATCH(Data!$DN183,'Data_Price '!$AT$2:$AT$1266,0))</f>
        <v>eBay</v>
      </c>
      <c r="CZ183">
        <f>INDEX('Data_Price '!AI$2:AI$1266,MATCH(Data!$DN183,'Data_Price '!$AT$2:$AT$1266,0))</f>
        <v>391</v>
      </c>
      <c r="DA183" t="str">
        <f>INDEX('Data_Price '!AJ$2:AJ$1266,MATCH(Data!$DN183,'Data_Price '!$AT$2:$AT$1266,0))</f>
        <v>https://tinyurl.com/y8mymr2s</v>
      </c>
      <c r="DB183" t="str">
        <f>INDEX('Data_Price '!AK$2:AK$1266,MATCH(Data!$DN183,'Data_Price '!$AT$2:$AT$1266,0))</f>
        <v>Faction Agent 1.0 Skis 2022 - 170</v>
      </c>
      <c r="DC183" t="str">
        <f>INDEX('Data_Price '!AL$2:AL$1266,MATCH(Data!$DN183,'Data_Price '!$AT$2:$AT$1266,0))</f>
        <v>Telemark Pyrenees</v>
      </c>
      <c r="DD183">
        <f>INDEX('Data_Price '!AM$2:AM$1266,MATCH(Data!$DN183,'Data_Price '!$AT$2:$AT$1266,0))</f>
        <v>439.98</v>
      </c>
      <c r="DE183" t="str">
        <f>INDEX('Data_Price '!AN$2:AN$1266,MATCH(Data!$DN183,'Data_Price '!$AT$2:$AT$1266,0))</f>
        <v>https://tinyurl.com/yc4v2r8q</v>
      </c>
      <c r="DF183" t="str">
        <f>INDEX('Data_Price '!AO$2:AO$1266,MATCH(Data!$DN183,'Data_Price '!$AT$2:$AT$1266,0))</f>
        <v>Faction Dictator 1.0 x Skis</v>
      </c>
      <c r="DG183" t="str">
        <f>INDEX('Data_Price '!AP$2:AP$1266,MATCH(Data!$DN183,'Data_Price '!$AT$2:$AT$1266,0))</f>
        <v>Next Adventure</v>
      </c>
      <c r="DH183">
        <f>INDEX('Data_Price '!AQ$2:AQ$1266,MATCH(Data!$DN183,'Data_Price '!$AT$2:$AT$1266,0))</f>
        <v>575.20000000000005</v>
      </c>
      <c r="DI183" t="str">
        <f>INDEX('Data_Price '!AR$2:AR$1266,MATCH(Data!$DN183,'Data_Price '!$AT$2:$AT$1266,0))</f>
        <v>https://tinyurl.com/yas2cooa</v>
      </c>
      <c r="DJ183" s="89" t="str">
        <f t="shared" si="106"/>
        <v>https://tinyurl.com/y8mymr2s</v>
      </c>
      <c r="DK183" s="89" t="str">
        <f t="shared" si="107"/>
        <v>https://tinyurl.com/yc4v2r8q</v>
      </c>
      <c r="DL183" s="89" t="str">
        <f t="shared" si="108"/>
        <v>https://tinyurl.com/yas2cooa</v>
      </c>
      <c r="DM183" s="219" t="str">
        <f t="shared" si="109"/>
        <v>Agent 1.0 X</v>
      </c>
      <c r="DN183" s="89" t="str">
        <f t="shared" si="110"/>
        <v xml:space="preserve"> FactionAgent 1.0 X170 Women's</v>
      </c>
      <c r="DO183" s="221"/>
    </row>
    <row r="184" spans="1:119" ht="15.6" customHeight="1">
      <c r="B184" s="219" t="b">
        <f t="array" ref="B184">IF(OR(ISERROR(K184:P184)),FALSE,TRUE)</f>
        <v>1</v>
      </c>
      <c r="C184" s="43" t="b">
        <f>OR(BR184=Driver!$G$50,Data!BR105=Driver!$H$50)</f>
        <v>1</v>
      </c>
      <c r="D184" s="43" t="b">
        <f>OR(BV184=Driver!$G$51,BV184=Driver!$H$51)</f>
        <v>1</v>
      </c>
      <c r="E184" s="43" t="b">
        <f>AND(BX184&gt;Driver!$F$54,BX184&lt;Driver!$G$54)</f>
        <v>0</v>
      </c>
      <c r="F184" s="43" t="b">
        <f>CL184&gt;Driver!$F$56</f>
        <v>1</v>
      </c>
      <c r="G184" s="43" t="b">
        <f>AND(CB184&gt;Driver!$F$55,CB184&lt;Driver!$G$55)</f>
        <v>1</v>
      </c>
      <c r="H184" s="43" t="b">
        <f t="shared" si="74"/>
        <v>0</v>
      </c>
      <c r="I184" s="43">
        <f t="shared" si="75"/>
        <v>1</v>
      </c>
      <c r="J184" s="43" t="b">
        <f t="array" ref="J184">NOT(OR(($H$9:$H$1273=TRUE)*($I$9:$I$1273&gt;0)*($BT$9:$BT$1273=BT184)*($K$9:$K$1273&gt;K184)))</f>
        <v>1</v>
      </c>
      <c r="K184" s="72">
        <f t="shared" si="76"/>
        <v>0.88807283512234281</v>
      </c>
      <c r="L184" s="72">
        <f t="shared" si="77"/>
        <v>0.97098403927100196</v>
      </c>
      <c r="M184" s="72">
        <f t="shared" si="78"/>
        <v>0.80516163097368365</v>
      </c>
      <c r="N184" s="72">
        <f t="shared" si="79"/>
        <v>0.75431534861158145</v>
      </c>
      <c r="O184" s="72">
        <f t="shared" si="80"/>
        <v>0.67206451411173651</v>
      </c>
      <c r="P184" s="72">
        <f t="shared" si="81"/>
        <v>0.9891050301977331</v>
      </c>
      <c r="Q184" s="72"/>
      <c r="R184" s="72"/>
      <c r="S184" s="72">
        <f t="shared" si="82"/>
        <v>0.4478850692837848</v>
      </c>
      <c r="T184" s="72">
        <f t="shared" si="83"/>
        <v>0.45805331857704368</v>
      </c>
      <c r="U184" s="72">
        <f t="shared" si="84"/>
        <v>0.56921458395305224</v>
      </c>
      <c r="V184" s="72">
        <f t="shared" si="85"/>
        <v>0.56711406977269485</v>
      </c>
      <c r="W184" s="72">
        <f t="shared" si="86"/>
        <v>0.8508</v>
      </c>
      <c r="X184" s="72">
        <f t="shared" si="87"/>
        <v>2.9015960728998064E-2</v>
      </c>
      <c r="Y184" s="72">
        <f t="shared" si="88"/>
        <v>0.19483836902631632</v>
      </c>
      <c r="Z184" s="72">
        <f t="shared" si="89"/>
        <v>0.24568465138841855</v>
      </c>
      <c r="AA184" s="72">
        <f t="shared" si="90"/>
        <v>0.32793548588826349</v>
      </c>
      <c r="AB184" s="72">
        <f t="shared" si="91"/>
        <v>1.0894969802266896E-2</v>
      </c>
      <c r="AC184" s="72"/>
      <c r="AD184" s="72"/>
      <c r="AE184" s="72">
        <f t="shared" si="92"/>
        <v>0.5521149307162152</v>
      </c>
      <c r="AF184" s="72">
        <f t="shared" si="93"/>
        <v>0.54194668142295632</v>
      </c>
      <c r="AG184" s="72">
        <f t="shared" si="94"/>
        <v>0.43078541604694776</v>
      </c>
      <c r="AH184" s="72">
        <f t="shared" si="95"/>
        <v>0.4328859302273052</v>
      </c>
      <c r="AI184" s="72">
        <f t="shared" si="96"/>
        <v>0.1492</v>
      </c>
      <c r="AJ184" s="72">
        <f>(AV184-Driver!$K$179)/(Driver!$L$179-Driver!$K$179)</f>
        <v>0.22520344855370236</v>
      </c>
      <c r="AK184" s="72">
        <f>(AW184-Driver!$K$180)/(Driver!$L$180-Driver!$K$180)</f>
        <v>0.27255627551234995</v>
      </c>
      <c r="AL184" s="72">
        <f>(AX184-Driver!$K$181)/(Driver!$L$181-Driver!$K$181)</f>
        <v>0.34737241510149874</v>
      </c>
      <c r="AM184" s="72">
        <f>(AY184-Driver!$K$182)/(Driver!$L$182-Driver!$K$182)</f>
        <v>0.11944953520878285</v>
      </c>
      <c r="AN184" s="72">
        <f>(AZ184-Driver!$K$183)/(Driver!$L$183-Driver!$K$183)</f>
        <v>0.26511437908496732</v>
      </c>
      <c r="AO184" s="72"/>
      <c r="AP184" s="72"/>
      <c r="AQ184" s="72">
        <f>(BC184-Driver!$K$188)/(Driver!$L$188-Driver!$K$188)</f>
        <v>6.7885069283784738E-2</v>
      </c>
      <c r="AR184" s="72">
        <f>MIN((BD184-Driver!$K$189)/(Driver!$L$189-Driver!$K$189),100%)</f>
        <v>8.0533185770437568E-3</v>
      </c>
      <c r="AS184" s="72">
        <f>(BE184-Driver!$K$190)/(Driver!$L$190-Driver!$K$190)</f>
        <v>7.9214583953052253E-2</v>
      </c>
      <c r="AT184" s="72">
        <f>(BF184-Driver!$K$191)/(Driver!$L$191-Driver!$K$191)</f>
        <v>7.711406977269479E-2</v>
      </c>
      <c r="AU184" s="72">
        <f>(BG184-Driver!$K$192)/(Driver!$L$192-Driver!$K$192)</f>
        <v>0.1008</v>
      </c>
      <c r="AV184" s="70">
        <f t="shared" si="97"/>
        <v>4.7398589065255736</v>
      </c>
      <c r="AW184" s="70">
        <f t="shared" si="98"/>
        <v>28.43491676442143</v>
      </c>
      <c r="AX184" s="70">
        <f t="shared" si="99"/>
        <v>4.1263517359134889</v>
      </c>
      <c r="AY184" s="70">
        <f>IFERROR(Driver!$K$19/Data!BH184/Data!BI184*Data!BK184*Data!BL184,"")</f>
        <v>0.14624187139699257</v>
      </c>
      <c r="AZ184" s="70">
        <f t="shared" si="100"/>
        <v>24.162323157110947</v>
      </c>
      <c r="BA184" s="70"/>
      <c r="BB184" s="70"/>
      <c r="BC184" s="70">
        <f t="shared" si="101"/>
        <v>35.212457366844419</v>
      </c>
      <c r="BD184" s="70">
        <f t="shared" si="102"/>
        <v>2.4335273085299596</v>
      </c>
      <c r="BE184" s="70">
        <f t="shared" si="103"/>
        <v>7.9378841707393719E-2</v>
      </c>
      <c r="BF184" s="70">
        <f t="shared" si="104"/>
        <v>8.7094924238244147</v>
      </c>
      <c r="BG184" s="70">
        <f t="shared" si="105"/>
        <v>0.38169310344827589</v>
      </c>
      <c r="BH184" s="67">
        <f>MAX((CE184-Driver!$F$200)/(Driver!$G$200-Driver!$F$200)*$BI$1,1)</f>
        <v>4.1263517359134889</v>
      </c>
      <c r="BI184" s="67">
        <f>MAX($BI$1*(BY184-Driver!$F$201)/(Driver!$G$201-Driver!$F$201),1)</f>
        <v>6.962025316455696</v>
      </c>
      <c r="BJ184" s="67">
        <f>(CB184-Driver!$F$206)/(Driver!$G$206-Driver!$F$206)*$BI$1</f>
        <v>6.825396825396826</v>
      </c>
      <c r="BK184" s="67">
        <f>(CD184-Driver!$F$203)/(Driver!$G$203-Driver!$F$203)*$BI$1</f>
        <v>3.8073394495412844</v>
      </c>
      <c r="BL184" s="67">
        <f>MAX((CR184-Driver!$F$202)/(Driver!$G$202-Driver!$F$202)*$BI$1,1)</f>
        <v>5.5172413793103452</v>
      </c>
      <c r="BM184" s="67">
        <f>MAX((CH184-Driver!$F$204)/(Driver!$G$204-Driver!$F$204)*$BI$1,1)</f>
        <v>2.7777777777777777</v>
      </c>
      <c r="BN184" s="67">
        <f>(CI184-Driver!$F$205)/(Driver!$G$205-Driver!$F$205)*$BI$1</f>
        <v>3.4705882352941178</v>
      </c>
      <c r="BO184" s="67">
        <f>(CK184-Driver!$F$207)/(Driver!$G$207-Driver!$F$207)*$BI$1</f>
        <v>2.6990692864529473</v>
      </c>
      <c r="BP184" s="67">
        <f>(CM184-Driver!$F$208)/(Driver!$G$208-Driver!$F$208)*$BI$1</f>
        <v>1.7999999999999998</v>
      </c>
      <c r="BQ184" s="67">
        <f>(CL184-Driver!$F$209)/(Driver!$G$209-Driver!$F$209)*$BI$1</f>
        <v>4.375</v>
      </c>
      <c r="BR184" s="28" t="s">
        <v>155</v>
      </c>
      <c r="BS184" s="8" t="s">
        <v>182</v>
      </c>
      <c r="BT184" s="9" t="s">
        <v>303</v>
      </c>
      <c r="BU184" s="10">
        <v>172</v>
      </c>
      <c r="BV184" s="9" t="s">
        <v>158</v>
      </c>
      <c r="BW184" s="10">
        <v>172</v>
      </c>
      <c r="BX184" s="10">
        <v>171.3</v>
      </c>
      <c r="BY184" s="10">
        <v>118</v>
      </c>
      <c r="BZ184" s="10">
        <v>135</v>
      </c>
      <c r="CA184" s="10">
        <v>133</v>
      </c>
      <c r="CB184" s="10">
        <v>107</v>
      </c>
      <c r="CC184" s="10">
        <v>125</v>
      </c>
      <c r="CD184" s="10">
        <v>17.7</v>
      </c>
      <c r="CE184" s="10">
        <v>1625</v>
      </c>
      <c r="CF184" s="10">
        <v>1.23</v>
      </c>
      <c r="CG184" s="10">
        <v>1991</v>
      </c>
      <c r="CH184" s="10">
        <v>166</v>
      </c>
      <c r="CI184" s="10">
        <v>92</v>
      </c>
      <c r="CJ184" s="10">
        <v>47</v>
      </c>
      <c r="CK184" s="10">
        <v>371</v>
      </c>
      <c r="CL184" s="10">
        <v>28</v>
      </c>
      <c r="CM184" s="10">
        <v>162</v>
      </c>
      <c r="CN184" s="10">
        <v>0.59099999999999997</v>
      </c>
      <c r="CO184" s="10">
        <v>212</v>
      </c>
      <c r="CP184" s="10">
        <v>150</v>
      </c>
      <c r="CQ184" s="10">
        <v>159</v>
      </c>
      <c r="CR184" s="10">
        <v>5</v>
      </c>
      <c r="CS184" s="10">
        <v>10.199999999999999</v>
      </c>
      <c r="CT184" s="9" t="s">
        <v>169</v>
      </c>
      <c r="CU184" s="9" t="s">
        <v>185</v>
      </c>
      <c r="CV184" s="10"/>
      <c r="CW184" s="10"/>
      <c r="CX184" t="str">
        <f>INDEX('Data_Price '!AG$2:AG$1266,MATCH(Data!$DN184,'Data_Price '!$AT$2:$AT$1266,0))</f>
        <v>Armada Tracer 108 Skis 2021 - 172</v>
      </c>
      <c r="CY184" t="str">
        <f>INDEX('Data_Price '!AH$2:AH$1266,MATCH(Data!$DN184,'Data_Price '!$AT$2:$AT$1266,0))</f>
        <v>Powder7 Ski Shop</v>
      </c>
      <c r="CZ184">
        <f>INDEX('Data_Price '!AI$2:AI$1266,MATCH(Data!$DN184,'Data_Price '!$AT$2:$AT$1266,0))</f>
        <v>489.99</v>
      </c>
      <c r="DA184" t="str">
        <f>INDEX('Data_Price '!AJ$2:AJ$1266,MATCH(Data!$DN184,'Data_Price '!$AT$2:$AT$1266,0))</f>
        <v>https://tinyurl.com/yb7r8zfo</v>
      </c>
      <c r="DB184" t="str">
        <f>INDEX('Data_Price '!AK$2:AK$1266,MATCH(Data!$DN184,'Data_Price '!$AT$2:$AT$1266,0))</f>
        <v>Armada Tracer 108 172cm</v>
      </c>
      <c r="DC184" t="str">
        <f>INDEX('Data_Price '!AL$2:AL$1266,MATCH(Data!$DN184,'Data_Price '!$AT$2:$AT$1266,0))</f>
        <v>Base Mountain Sports</v>
      </c>
      <c r="DD184">
        <f>INDEX('Data_Price '!AM$2:AM$1266,MATCH(Data!$DN184,'Data_Price '!$AT$2:$AT$1266,0))</f>
        <v>499</v>
      </c>
      <c r="DE184" t="str">
        <f>INDEX('Data_Price '!AN$2:AN$1266,MATCH(Data!$DN184,'Data_Price '!$AT$2:$AT$1266,0))</f>
        <v>https://tinyurl.com/ycxbx5vj</v>
      </c>
      <c r="DF184" t="str">
        <f>INDEX('Data_Price '!AO$2:AO$1266,MATCH(Data!$DN184,'Data_Price '!$AT$2:$AT$1266,0))</f>
        <v>Armada Men's Tracer 108 Ski</v>
      </c>
      <c r="DG184" t="str">
        <f>INDEX('Data_Price '!AP$2:AP$1266,MATCH(Data!$DN184,'Data_Price '!$AT$2:$AT$1266,0))</f>
        <v>PRFO Sports</v>
      </c>
      <c r="DH184">
        <f>INDEX('Data_Price '!AQ$2:AQ$1266,MATCH(Data!$DN184,'Data_Price '!$AT$2:$AT$1266,0))</f>
        <v>544.54999999999995</v>
      </c>
      <c r="DI184" t="str">
        <f>INDEX('Data_Price '!AR$2:AR$1266,MATCH(Data!$DN184,'Data_Price '!$AT$2:$AT$1266,0))</f>
        <v>https://tinyurl.com/ybkmm2o9</v>
      </c>
      <c r="DJ184" s="89" t="str">
        <f t="shared" si="106"/>
        <v>https://tinyurl.com/yb7r8zfo</v>
      </c>
      <c r="DK184" s="89" t="str">
        <f t="shared" si="107"/>
        <v>https://tinyurl.com/ycxbx5vj</v>
      </c>
      <c r="DL184" s="89" t="str">
        <f t="shared" si="108"/>
        <v>https://tinyurl.com/ybkmm2o9</v>
      </c>
      <c r="DM184" s="219" t="str">
        <f t="shared" si="109"/>
        <v>Tracer 108</v>
      </c>
      <c r="DN184" s="89" t="str">
        <f t="shared" si="110"/>
        <v xml:space="preserve"> ArmadaTracer 108172 Unisex</v>
      </c>
      <c r="DO184" s="221" t="s">
        <v>304</v>
      </c>
    </row>
    <row r="185" spans="1:119" ht="15.6" customHeight="1">
      <c r="B185" s="219" t="b">
        <f t="array" ref="B185">IF(OR(ISERROR(K185:P185)),FALSE,TRUE)</f>
        <v>1</v>
      </c>
      <c r="C185" s="43" t="b">
        <f>OR(BR185=Driver!$G$50,Data!BR465=Driver!$H$50)</f>
        <v>1</v>
      </c>
      <c r="D185" s="43" t="b">
        <f>OR(BV185=Driver!$G$51,BV185=Driver!$H$51)</f>
        <v>1</v>
      </c>
      <c r="E185" s="43" t="b">
        <f>AND(BX185&gt;Driver!$F$54,BX185&lt;Driver!$G$54)</f>
        <v>0</v>
      </c>
      <c r="F185" s="43" t="b">
        <f>CL185&gt;Driver!$F$56</f>
        <v>1</v>
      </c>
      <c r="G185" s="43" t="b">
        <f>AND(CB185&gt;Driver!$F$55,CB185&lt;Driver!$G$55)</f>
        <v>0</v>
      </c>
      <c r="H185" s="43" t="b">
        <f t="shared" si="74"/>
        <v>0</v>
      </c>
      <c r="I185" s="43">
        <f t="shared" si="75"/>
        <v>0</v>
      </c>
      <c r="J185" s="43" t="b">
        <f t="array" ref="J185">NOT(OR(($H$9:$H$1273=TRUE)*($I$9:$I$1273&gt;0)*($BT$9:$BT$1273=BT185)*($K$9:$K$1273&gt;K185)))</f>
        <v>1</v>
      </c>
      <c r="K185" s="72">
        <f t="shared" si="76"/>
        <v>0.79905725244212866</v>
      </c>
      <c r="L185" s="72">
        <f t="shared" si="77"/>
        <v>0.8674657230366285</v>
      </c>
      <c r="M185" s="72">
        <f t="shared" si="78"/>
        <v>0.73064878184762883</v>
      </c>
      <c r="N185" s="72">
        <f t="shared" si="79"/>
        <v>0.65945668801586899</v>
      </c>
      <c r="O185" s="72">
        <f t="shared" si="80"/>
        <v>0.65310684955150622</v>
      </c>
      <c r="P185" s="72">
        <f t="shared" si="81"/>
        <v>0.87938280797551083</v>
      </c>
      <c r="Q185" s="72"/>
      <c r="R185" s="72"/>
      <c r="S185" s="72">
        <f t="shared" si="82"/>
        <v>0.51152311525641125</v>
      </c>
      <c r="T185" s="72">
        <f t="shared" si="83"/>
        <v>0.53285631497634267</v>
      </c>
      <c r="U185" s="72">
        <f t="shared" si="84"/>
        <v>0.6116330455613791</v>
      </c>
      <c r="V185" s="72">
        <f t="shared" si="85"/>
        <v>0.53451224074568948</v>
      </c>
      <c r="W185" s="72">
        <f t="shared" si="86"/>
        <v>0.77181214285714284</v>
      </c>
      <c r="X185" s="72">
        <f t="shared" si="87"/>
        <v>0.13253427696337156</v>
      </c>
      <c r="Y185" s="72">
        <f t="shared" si="88"/>
        <v>0.26935121815237123</v>
      </c>
      <c r="Z185" s="72">
        <f t="shared" si="89"/>
        <v>0.34054331198413096</v>
      </c>
      <c r="AA185" s="72">
        <f t="shared" si="90"/>
        <v>0.34689315044849373</v>
      </c>
      <c r="AB185" s="72">
        <f t="shared" si="91"/>
        <v>0.12061719202448912</v>
      </c>
      <c r="AC185" s="72"/>
      <c r="AD185" s="72"/>
      <c r="AE185" s="72">
        <f t="shared" si="92"/>
        <v>0.48847688474358875</v>
      </c>
      <c r="AF185" s="72">
        <f t="shared" si="93"/>
        <v>0.46714368502365733</v>
      </c>
      <c r="AG185" s="72">
        <f t="shared" si="94"/>
        <v>0.3883669544386209</v>
      </c>
      <c r="AH185" s="72">
        <f t="shared" si="95"/>
        <v>0.46548775925431052</v>
      </c>
      <c r="AI185" s="72">
        <f t="shared" si="96"/>
        <v>0.22818785714285714</v>
      </c>
      <c r="AJ185" s="72">
        <f>(AV185-Driver!$K$179)/(Driver!$L$179-Driver!$K$179)</f>
        <v>0.38675368624607198</v>
      </c>
      <c r="AK185" s="72">
        <f>(AW185-Driver!$K$180)/(Driver!$L$180-Driver!$K$180)</f>
        <v>0.3836854022776961</v>
      </c>
      <c r="AL185" s="72">
        <f>(AX185-Driver!$K$181)/(Driver!$L$181-Driver!$K$181)</f>
        <v>0.44223107569721115</v>
      </c>
      <c r="AM185" s="72">
        <f>(AY185-Driver!$K$182)/(Driver!$L$182-Driver!$K$182)</f>
        <v>0.10049187064855264</v>
      </c>
      <c r="AN185" s="72">
        <f>(AZ185-Driver!$K$183)/(Driver!$L$183-Driver!$K$183)</f>
        <v>0.37483660130718954</v>
      </c>
      <c r="AO185" s="72"/>
      <c r="AP185" s="72"/>
      <c r="AQ185" s="72">
        <f>(BC185-Driver!$K$188)/(Driver!$L$188-Driver!$K$188)</f>
        <v>0.13152311525641122</v>
      </c>
      <c r="AR185" s="72">
        <f>MIN((BD185-Driver!$K$189)/(Driver!$L$189-Driver!$K$189),100%)</f>
        <v>8.2856314976342729E-2</v>
      </c>
      <c r="AS185" s="72">
        <f>(BE185-Driver!$K$190)/(Driver!$L$190-Driver!$K$190)</f>
        <v>0.12163304556137912</v>
      </c>
      <c r="AT185" s="72">
        <f>(BF185-Driver!$K$191)/(Driver!$L$191-Driver!$K$191)</f>
        <v>4.4512240745689505E-2</v>
      </c>
      <c r="AU185" s="72">
        <f>(BG185-Driver!$K$192)/(Driver!$L$192-Driver!$K$192)</f>
        <v>2.1812142857142853E-2</v>
      </c>
      <c r="AV185" s="70">
        <f t="shared" si="97"/>
        <v>8.1400081400081401</v>
      </c>
      <c r="AW185" s="70">
        <f t="shared" si="98"/>
        <v>39.265434871939952</v>
      </c>
      <c r="AX185" s="70">
        <f t="shared" si="99"/>
        <v>4.9800796812749004</v>
      </c>
      <c r="AY185" s="70">
        <f>IFERROR(Driver!$K$19/Data!BH185/Data!BI185*Data!BK185*Data!BL185,"")</f>
        <v>0.1230320335541019</v>
      </c>
      <c r="AZ185" s="70">
        <f t="shared" si="100"/>
        <v>34.162323157110947</v>
      </c>
      <c r="BA185" s="70"/>
      <c r="BB185" s="70"/>
      <c r="BC185" s="70">
        <f t="shared" si="101"/>
        <v>68.221954217364001</v>
      </c>
      <c r="BD185" s="70">
        <f t="shared" si="102"/>
        <v>9.0534599468012846</v>
      </c>
      <c r="BE185" s="70">
        <f t="shared" si="103"/>
        <v>0.12178973633960978</v>
      </c>
      <c r="BF185" s="70">
        <f t="shared" si="104"/>
        <v>5.0273448760358885</v>
      </c>
      <c r="BG185" s="70">
        <f t="shared" si="105"/>
        <v>8.2594687499999986E-2</v>
      </c>
      <c r="BH185" s="67">
        <f>MAX((CE185-Driver!$F$200)/(Driver!$G$200-Driver!$F$200)*$BI$1,1)</f>
        <v>4.9800796812749004</v>
      </c>
      <c r="BI185" s="67">
        <f>MAX($BI$1*(BY185-Driver!$F$201)/(Driver!$G$201-Driver!$F$201),1)</f>
        <v>7.8481012658227849</v>
      </c>
      <c r="BJ185" s="67">
        <f>(CB185-Driver!$F$206)/(Driver!$G$206-Driver!$F$206)*$BI$1</f>
        <v>4.7619047619047619</v>
      </c>
      <c r="BK185" s="67">
        <f>(CD185-Driver!$F$203)/(Driver!$G$203-Driver!$F$203)*$BI$1</f>
        <v>4.3577981651376145</v>
      </c>
      <c r="BL185" s="67">
        <f>MAX((CR185-Driver!$F$202)/(Driver!$G$202-Driver!$F$202)*$BI$1,1)</f>
        <v>5.5172413793103452</v>
      </c>
      <c r="BM185" s="67">
        <f>MAX((CH185-Driver!$F$204)/(Driver!$G$204-Driver!$F$204)*$BI$1,1)</f>
        <v>6.8376068376068382</v>
      </c>
      <c r="BN185" s="67">
        <f>(CI185-Driver!$F$205)/(Driver!$G$205-Driver!$F$205)*$BI$1</f>
        <v>4.3529411764705888</v>
      </c>
      <c r="BO185" s="67">
        <f>(CK185-Driver!$F$207)/(Driver!$G$207-Driver!$F$207)*$BI$1</f>
        <v>1.592554291623578</v>
      </c>
      <c r="BP185" s="67">
        <f>(CM185-Driver!$F$208)/(Driver!$G$208-Driver!$F$208)*$BI$1</f>
        <v>2.8888888888888884</v>
      </c>
      <c r="BQ185" s="67">
        <f>(CL185-Driver!$F$209)/(Driver!$G$209-Driver!$F$209)*$BI$1</f>
        <v>2.8125</v>
      </c>
      <c r="BR185" s="28" t="s">
        <v>155</v>
      </c>
      <c r="BS185" s="8" t="s">
        <v>164</v>
      </c>
      <c r="BT185" s="9" t="s">
        <v>408</v>
      </c>
      <c r="BU185" s="10">
        <v>188</v>
      </c>
      <c r="BV185" s="9" t="s">
        <v>158</v>
      </c>
      <c r="BW185" s="10">
        <v>188</v>
      </c>
      <c r="BX185" s="10">
        <v>184</v>
      </c>
      <c r="BY185" s="10">
        <v>132</v>
      </c>
      <c r="BZ185" s="10">
        <v>151</v>
      </c>
      <c r="CA185" s="10">
        <v>136</v>
      </c>
      <c r="CB185" s="10">
        <v>94</v>
      </c>
      <c r="CC185" s="10">
        <v>110</v>
      </c>
      <c r="CD185" s="10">
        <v>18.899999999999999</v>
      </c>
      <c r="CE185" s="10">
        <v>1775</v>
      </c>
      <c r="CF185" s="10">
        <v>1.1000000000000001</v>
      </c>
      <c r="CG185" s="10">
        <v>1957</v>
      </c>
      <c r="CH185" s="10">
        <v>261</v>
      </c>
      <c r="CI185" s="10">
        <v>107</v>
      </c>
      <c r="CJ185" s="10">
        <v>49</v>
      </c>
      <c r="CK185" s="10">
        <v>264</v>
      </c>
      <c r="CL185" s="10">
        <v>18</v>
      </c>
      <c r="CM185" s="10">
        <v>260</v>
      </c>
      <c r="CN185" s="10">
        <v>0.371</v>
      </c>
      <c r="CO185" s="10">
        <v>172</v>
      </c>
      <c r="CP185" s="10">
        <v>159</v>
      </c>
      <c r="CQ185" s="10">
        <v>93</v>
      </c>
      <c r="CR185" s="10">
        <v>5</v>
      </c>
      <c r="CS185" s="10">
        <v>8.1</v>
      </c>
      <c r="CT185" s="9" t="s">
        <v>188</v>
      </c>
      <c r="CU185" s="9" t="s">
        <v>185</v>
      </c>
      <c r="CV185" s="10"/>
      <c r="CW185" s="10"/>
      <c r="CX185" t="str">
        <f>INDEX('Data_Price '!AG$2:AG$1266,MATCH(Data!$DN185,'Data_Price '!$AT$2:$AT$1266,0))</f>
        <v>Elan Ripstick 96 Black Edition Skis 2022</v>
      </c>
      <c r="CY185" t="str">
        <f>INDEX('Data_Price '!AH$2:AH$1266,MATCH(Data!$DN185,'Data_Price '!$AT$2:$AT$1266,0))</f>
        <v>! OutdoorXL.com</v>
      </c>
      <c r="CZ185">
        <f>INDEX('Data_Price '!AI$2:AI$1266,MATCH(Data!$DN185,'Data_Price '!$AT$2:$AT$1266,0))</f>
        <v>564.95000000000005</v>
      </c>
      <c r="DA185" t="str">
        <f>INDEX('Data_Price '!AJ$2:AJ$1266,MATCH(Data!$DN185,'Data_Price '!$AT$2:$AT$1266,0))</f>
        <v>https://tinyurl.com/y7srvzo7</v>
      </c>
      <c r="DB185" t="str">
        <f>INDEX('Data_Price '!AK$2:AK$1266,MATCH(Data!$DN185,'Data_Price '!$AT$2:$AT$1266,0))</f>
        <v>Elan Ripstick 96 Black Edition Skis 2023 188</v>
      </c>
      <c r="DC185" t="str">
        <f>INDEX('Data_Price '!AL$2:AL$1266,MATCH(Data!$DN185,'Data_Price '!$AT$2:$AT$1266,0))</f>
        <v>Ski Depot RaceSkis.com</v>
      </c>
      <c r="DD185">
        <f>INDEX('Data_Price '!AM$2:AM$1266,MATCH(Data!$DN185,'Data_Price '!$AT$2:$AT$1266,0))</f>
        <v>799.99</v>
      </c>
      <c r="DE185" t="str">
        <f>INDEX('Data_Price '!AN$2:AN$1266,MATCH(Data!$DN185,'Data_Price '!$AT$2:$AT$1266,0))</f>
        <v>https://tinyurl.com/y9tnt9fs</v>
      </c>
      <c r="DF185" t="str">
        <f>INDEX('Data_Price '!AO$2:AO$1266,MATCH(Data!$DN185,'Data_Price '!$AT$2:$AT$1266,0))</f>
        <v>Elan Ripstick 96 Skis</v>
      </c>
      <c r="DG185" t="str">
        <f>INDEX('Data_Price '!AP$2:AP$1266,MATCH(Data!$DN185,'Data_Price '!$AT$2:$AT$1266,0))</f>
        <v>eBay - asogear</v>
      </c>
      <c r="DH185">
        <f>INDEX('Data_Price '!AQ$2:AQ$1266,MATCH(Data!$DN185,'Data_Price '!$AT$2:$AT$1266,0))</f>
        <v>419.99</v>
      </c>
      <c r="DI185" t="str">
        <f>INDEX('Data_Price '!AR$2:AR$1266,MATCH(Data!$DN185,'Data_Price '!$AT$2:$AT$1266,0))</f>
        <v>https://tinyurl.com/y7wn97dj</v>
      </c>
      <c r="DJ185" s="89" t="str">
        <f t="shared" si="106"/>
        <v>https://tinyurl.com/y7srvzo7</v>
      </c>
      <c r="DK185" s="89" t="str">
        <f t="shared" si="107"/>
        <v>https://tinyurl.com/y9tnt9fs</v>
      </c>
      <c r="DL185" s="89" t="str">
        <f t="shared" si="108"/>
        <v>https://tinyurl.com/y7wn97dj</v>
      </c>
      <c r="DM185" s="219" t="str">
        <f t="shared" si="109"/>
        <v>Ripstick 96 Black Edition</v>
      </c>
      <c r="DN185" s="89" t="str">
        <f t="shared" si="110"/>
        <v xml:space="preserve"> ElanRipstick 96 Black Edition188 Unisex</v>
      </c>
      <c r="DO185" s="221" t="s">
        <v>409</v>
      </c>
    </row>
    <row r="186" spans="1:119" ht="15.6" customHeight="1">
      <c r="B186" s="219" t="b">
        <f t="array" ref="B186">IF(OR(ISERROR(K186:P186)),FALSE,TRUE)</f>
        <v>1</v>
      </c>
      <c r="C186" s="43" t="b">
        <f>OR(BR186=Driver!$G$50,Data!BR71=Driver!$H$50)</f>
        <v>1</v>
      </c>
      <c r="D186" s="43" t="b">
        <f>OR(BV186=Driver!$G$51,BV186=Driver!$H$51)</f>
        <v>1</v>
      </c>
      <c r="E186" s="43" t="b">
        <f>AND(BX186&gt;Driver!$F$54,BX186&lt;Driver!$G$54)</f>
        <v>0</v>
      </c>
      <c r="F186" s="43" t="b">
        <f>CL186&gt;Driver!$F$56</f>
        <v>1</v>
      </c>
      <c r="G186" s="43" t="b">
        <f>AND(CB186&gt;Driver!$F$55,CB186&lt;Driver!$G$55)</f>
        <v>0</v>
      </c>
      <c r="H186" s="43" t="b">
        <f t="shared" si="74"/>
        <v>0</v>
      </c>
      <c r="I186" s="43">
        <f t="shared" si="75"/>
        <v>0</v>
      </c>
      <c r="J186" s="43" t="b">
        <f t="array" ref="J186">NOT(OR(($H$9:$H$1273=TRUE)*($I$9:$I$1273&gt;0)*($BT$9:$BT$1273=BT186)*($K$9:$K$1273&gt;K186)))</f>
        <v>1</v>
      </c>
      <c r="K186" s="72">
        <f t="shared" si="76"/>
        <v>0.88045982133169887</v>
      </c>
      <c r="L186" s="72">
        <f t="shared" si="77"/>
        <v>0.99596188150772735</v>
      </c>
      <c r="M186" s="72">
        <f t="shared" si="78"/>
        <v>0.76495776115567049</v>
      </c>
      <c r="N186" s="72">
        <f t="shared" si="79"/>
        <v>0.79415598606178062</v>
      </c>
      <c r="O186" s="72">
        <f t="shared" si="80"/>
        <v>0.65319723452775902</v>
      </c>
      <c r="P186" s="72">
        <f t="shared" si="81"/>
        <v>0.84752006287747172</v>
      </c>
      <c r="Q186" s="72"/>
      <c r="R186" s="72"/>
      <c r="S186" s="72">
        <f t="shared" si="82"/>
        <v>0.51038278889998756</v>
      </c>
      <c r="T186" s="72">
        <f t="shared" si="83"/>
        <v>0.53703016525680636</v>
      </c>
      <c r="U186" s="72">
        <f t="shared" si="84"/>
        <v>0.51</v>
      </c>
      <c r="V186" s="72">
        <f t="shared" si="85"/>
        <v>0.49805422537968336</v>
      </c>
      <c r="W186" s="72">
        <f t="shared" si="86"/>
        <v>0.76708459214501512</v>
      </c>
      <c r="X186" s="72">
        <f t="shared" si="87"/>
        <v>4.0381184922726465E-3</v>
      </c>
      <c r="Y186" s="72">
        <f t="shared" si="88"/>
        <v>0.23504223884432954</v>
      </c>
      <c r="Z186" s="72">
        <f t="shared" si="89"/>
        <v>0.20584401393821938</v>
      </c>
      <c r="AA186" s="72">
        <f t="shared" si="90"/>
        <v>0.34680276547224098</v>
      </c>
      <c r="AB186" s="72">
        <f t="shared" si="91"/>
        <v>0.15247993712252828</v>
      </c>
      <c r="AC186" s="72"/>
      <c r="AD186" s="72"/>
      <c r="AE186" s="72">
        <f t="shared" si="92"/>
        <v>0.48961721110001244</v>
      </c>
      <c r="AF186" s="72">
        <f t="shared" si="93"/>
        <v>0.46296983474319359</v>
      </c>
      <c r="AG186" s="72">
        <f t="shared" si="94"/>
        <v>0.49</v>
      </c>
      <c r="AH186" s="72">
        <f t="shared" si="95"/>
        <v>0.50194577462031664</v>
      </c>
      <c r="AI186" s="72">
        <f t="shared" si="96"/>
        <v>0.23291540785498488</v>
      </c>
      <c r="AJ186" s="72">
        <f>(AV186-Driver!$K$179)/(Driver!$L$179-Driver!$K$179)</f>
        <v>0.25018129079042778</v>
      </c>
      <c r="AK186" s="72">
        <f>(AW186-Driver!$K$180)/(Driver!$L$180-Driver!$K$180)</f>
        <v>0.40104414573930425</v>
      </c>
      <c r="AL186" s="72">
        <f>(AX186-Driver!$K$181)/(Driver!$L$181-Driver!$K$181)</f>
        <v>0.30753177765129958</v>
      </c>
      <c r="AM186" s="72">
        <f>(AY186-Driver!$K$182)/(Driver!$L$182-Driver!$K$182)</f>
        <v>0.10058225562480537</v>
      </c>
      <c r="AN186" s="72">
        <f>(AZ186-Driver!$K$183)/(Driver!$L$183-Driver!$K$183)</f>
        <v>0.4066993464052287</v>
      </c>
      <c r="AO186" s="72"/>
      <c r="AP186" s="72"/>
      <c r="AQ186" s="72">
        <f>(BC186-Driver!$K$188)/(Driver!$L$188-Driver!$K$188)</f>
        <v>0.13038278889998753</v>
      </c>
      <c r="AR186" s="72">
        <f>MIN((BD186-Driver!$K$189)/(Driver!$L$189-Driver!$K$189),100%)</f>
        <v>8.7030165256806444E-2</v>
      </c>
      <c r="AS186" s="72">
        <f>(BE186-Driver!$K$190)/(Driver!$L$190-Driver!$K$190)</f>
        <v>1</v>
      </c>
      <c r="AT186" s="72">
        <f>(BF186-Driver!$K$191)/(Driver!$L$191-Driver!$K$191)</f>
        <v>8.0542253796833298E-3</v>
      </c>
      <c r="AU186" s="72">
        <f>(BG186-Driver!$K$192)/(Driver!$L$192-Driver!$K$192)</f>
        <v>1.7084592145015107E-2</v>
      </c>
      <c r="AV186" s="70">
        <f t="shared" si="97"/>
        <v>5.2655677655677646</v>
      </c>
      <c r="AW186" s="70">
        <f t="shared" si="98"/>
        <v>40.957198236388002</v>
      </c>
      <c r="AX186" s="70">
        <f t="shared" si="99"/>
        <v>3.7677859988616964</v>
      </c>
      <c r="AY186" s="70">
        <f>IFERROR(Driver!$K$19/Data!BH186/Data!BI186*Data!BK186*Data!BL186,"")</f>
        <v>0.12314269173330927</v>
      </c>
      <c r="AZ186" s="70">
        <f t="shared" si="100"/>
        <v>37.066269545792998</v>
      </c>
      <c r="BA186" s="70"/>
      <c r="BB186" s="70"/>
      <c r="BC186" s="70">
        <f t="shared" si="101"/>
        <v>67.630459008866808</v>
      </c>
      <c r="BD186" s="70">
        <f t="shared" si="102"/>
        <v>9.422838300997249</v>
      </c>
      <c r="BE186" s="70">
        <f t="shared" si="103"/>
        <v>1</v>
      </c>
      <c r="BF186" s="70">
        <f t="shared" si="104"/>
        <v>0.90966817249950105</v>
      </c>
      <c r="BG186" s="70">
        <f t="shared" si="105"/>
        <v>6.4693164652567983E-2</v>
      </c>
      <c r="BH186" s="67">
        <f>MAX((CE186-Driver!$F$200)/(Driver!$G$200-Driver!$F$200)*$BI$1,1)</f>
        <v>3.7677859988616964</v>
      </c>
      <c r="BI186" s="67">
        <f>MAX($BI$1*(BY186-Driver!$F$201)/(Driver!$G$201-Driver!$F$201),1)</f>
        <v>8.2911392405063289</v>
      </c>
      <c r="BJ186" s="67">
        <f>(CB186-Driver!$F$206)/(Driver!$G$206-Driver!$F$206)*$BI$1</f>
        <v>3.6507936507936507</v>
      </c>
      <c r="BK186" s="67">
        <f>(CD186-Driver!$F$203)/(Driver!$G$203-Driver!$F$203)*$BI$1</f>
        <v>3.4862385321100922</v>
      </c>
      <c r="BL186" s="67">
        <f>MAX((CR186-Driver!$F$202)/(Driver!$G$202-Driver!$F$202)*$BI$1,1)</f>
        <v>5.5172413793103452</v>
      </c>
      <c r="BM186" s="67">
        <f>MAX((CH186-Driver!$F$204)/(Driver!$G$204-Driver!$F$204)*$BI$1,1)</f>
        <v>5.7692307692307683</v>
      </c>
      <c r="BN186" s="67">
        <f>(CI186-Driver!$F$205)/(Driver!$G$205-Driver!$F$205)*$BI$1</f>
        <v>4.4705882352941178</v>
      </c>
      <c r="BO186" s="67">
        <f>(CK186-Driver!$F$207)/(Driver!$G$207-Driver!$F$207)*$BI$1</f>
        <v>0.74457083764219234</v>
      </c>
      <c r="BP186" s="67">
        <f>(CM186-Driver!$F$208)/(Driver!$G$208-Driver!$F$208)*$BI$1</f>
        <v>1.1666666666666667</v>
      </c>
      <c r="BQ186" s="67">
        <f>(CL186-Driver!$F$209)/(Driver!$G$209-Driver!$F$209)*$BI$1</f>
        <v>1.40625</v>
      </c>
      <c r="BR186" s="28" t="s">
        <v>155</v>
      </c>
      <c r="BS186" s="8" t="s">
        <v>182</v>
      </c>
      <c r="BT186" s="9" t="s">
        <v>310</v>
      </c>
      <c r="BU186" s="10">
        <v>168</v>
      </c>
      <c r="BV186" s="9" t="s">
        <v>158</v>
      </c>
      <c r="BW186" s="10">
        <v>168</v>
      </c>
      <c r="BX186" s="10">
        <v>167.5</v>
      </c>
      <c r="BY186" s="10">
        <v>139</v>
      </c>
      <c r="BZ186" s="10">
        <v>148</v>
      </c>
      <c r="CA186" s="10">
        <v>129</v>
      </c>
      <c r="CB186" s="10">
        <v>87</v>
      </c>
      <c r="CC186" s="10">
        <v>110</v>
      </c>
      <c r="CD186" s="10">
        <v>17</v>
      </c>
      <c r="CE186" s="10">
        <v>1562</v>
      </c>
      <c r="CF186" s="10">
        <v>1.07</v>
      </c>
      <c r="CG186" s="10">
        <v>1666</v>
      </c>
      <c r="CH186" s="10">
        <v>236</v>
      </c>
      <c r="CI186" s="10">
        <v>109</v>
      </c>
      <c r="CJ186" s="10">
        <v>39</v>
      </c>
      <c r="CK186" s="10">
        <v>182</v>
      </c>
      <c r="CL186" s="10">
        <v>9</v>
      </c>
      <c r="CM186" s="10">
        <v>105</v>
      </c>
      <c r="CN186" s="10">
        <v>0.23899999999999999</v>
      </c>
      <c r="CO186" s="10">
        <v>118</v>
      </c>
      <c r="CP186" s="10">
        <v>74</v>
      </c>
      <c r="CQ186" s="10">
        <v>65</v>
      </c>
      <c r="CR186" s="10">
        <v>5</v>
      </c>
      <c r="CS186" s="10">
        <v>11.3</v>
      </c>
      <c r="CT186" s="9" t="s">
        <v>188</v>
      </c>
      <c r="CU186" s="9" t="s">
        <v>185</v>
      </c>
      <c r="CV186" s="10"/>
      <c r="CW186" s="10"/>
      <c r="CX186">
        <f>INDEX('Data_Price '!AG$2:AG$1266,MATCH(Data!$DN186,'Data_Price '!$AT$2:$AT$1266,0))</f>
        <v>0</v>
      </c>
      <c r="CY186">
        <f>INDEX('Data_Price '!AH$2:AH$1266,MATCH(Data!$DN186,'Data_Price '!$AT$2:$AT$1266,0))</f>
        <v>0</v>
      </c>
      <c r="CZ186">
        <f>INDEX('Data_Price '!AI$2:AI$1266,MATCH(Data!$DN186,'Data_Price '!$AT$2:$AT$1266,0))</f>
        <v>0</v>
      </c>
      <c r="DA186">
        <f>INDEX('Data_Price '!AJ$2:AJ$1266,MATCH(Data!$DN186,'Data_Price '!$AT$2:$AT$1266,0))</f>
        <v>0</v>
      </c>
      <c r="DB186">
        <f>INDEX('Data_Price '!AK$2:AK$1266,MATCH(Data!$DN186,'Data_Price '!$AT$2:$AT$1266,0))</f>
        <v>0</v>
      </c>
      <c r="DC186">
        <f>INDEX('Data_Price '!AL$2:AL$1266,MATCH(Data!$DN186,'Data_Price '!$AT$2:$AT$1266,0))</f>
        <v>0</v>
      </c>
      <c r="DD186">
        <f>INDEX('Data_Price '!AM$2:AM$1266,MATCH(Data!$DN186,'Data_Price '!$AT$2:$AT$1266,0))</f>
        <v>0</v>
      </c>
      <c r="DE186">
        <f>INDEX('Data_Price '!AN$2:AN$1266,MATCH(Data!$DN186,'Data_Price '!$AT$2:$AT$1266,0))</f>
        <v>0</v>
      </c>
      <c r="DF186">
        <f>INDEX('Data_Price '!AO$2:AO$1266,MATCH(Data!$DN186,'Data_Price '!$AT$2:$AT$1266,0))</f>
        <v>0</v>
      </c>
      <c r="DG186">
        <f>INDEX('Data_Price '!AP$2:AP$1266,MATCH(Data!$DN186,'Data_Price '!$AT$2:$AT$1266,0))</f>
        <v>0</v>
      </c>
      <c r="DH186">
        <f>INDEX('Data_Price '!AQ$2:AQ$1266,MATCH(Data!$DN186,'Data_Price '!$AT$2:$AT$1266,0))</f>
        <v>0</v>
      </c>
      <c r="DI186">
        <f>INDEX('Data_Price '!AR$2:AR$1266,MATCH(Data!$DN186,'Data_Price '!$AT$2:$AT$1266,0))</f>
        <v>0</v>
      </c>
      <c r="DJ186" s="89">
        <f t="shared" si="106"/>
        <v>0</v>
      </c>
      <c r="DK186" s="89">
        <f t="shared" si="107"/>
        <v>0</v>
      </c>
      <c r="DL186" s="89">
        <f t="shared" si="108"/>
        <v>0</v>
      </c>
      <c r="DM186" s="219" t="str">
        <f t="shared" si="109"/>
        <v>Declivity 88 Ca</v>
      </c>
      <c r="DN186" s="89" t="str">
        <f t="shared" si="110"/>
        <v xml:space="preserve"> ArmadaDeclivity 88 Ca168 Unisex</v>
      </c>
      <c r="DO186" s="221"/>
    </row>
    <row r="187" spans="1:119" ht="15.6" customHeight="1">
      <c r="B187" s="219" t="b">
        <f t="array" ref="B187">IF(OR(ISERROR(K187:P187)),FALSE,TRUE)</f>
        <v>1</v>
      </c>
      <c r="C187" s="43" t="b">
        <f>OR(BR187=Driver!$G$50,Data!BR495=Driver!$H$50)</f>
        <v>1</v>
      </c>
      <c r="D187" s="43" t="b">
        <f>OR(BV187=Driver!$G$51,BV187=Driver!$H$51)</f>
        <v>1</v>
      </c>
      <c r="E187" s="43" t="b">
        <f>AND(BX187&gt;Driver!$F$54,BX187&lt;Driver!$G$54)</f>
        <v>0</v>
      </c>
      <c r="F187" s="43" t="b">
        <f>CL187&gt;Driver!$F$56</f>
        <v>1</v>
      </c>
      <c r="G187" s="43" t="b">
        <f>AND(CB187&gt;Driver!$F$55,CB187&lt;Driver!$G$55)</f>
        <v>1</v>
      </c>
      <c r="H187" s="43" t="b">
        <f t="shared" si="74"/>
        <v>0</v>
      </c>
      <c r="I187" s="43">
        <f t="shared" si="75"/>
        <v>0</v>
      </c>
      <c r="J187" s="43" t="b">
        <f t="array" ref="J187">NOT(OR(($H$9:$H$1273=TRUE)*($I$9:$I$1273&gt;0)*($BT$9:$BT$1273=BT187)*($K$9:$K$1273&gt;K187)))</f>
        <v>1</v>
      </c>
      <c r="K187" s="72">
        <f t="shared" si="76"/>
        <v>0.79352712032815653</v>
      </c>
      <c r="L187" s="72">
        <f t="shared" si="77"/>
        <v>0.8413598492150185</v>
      </c>
      <c r="M187" s="72">
        <f t="shared" si="78"/>
        <v>0.74569439144129457</v>
      </c>
      <c r="N187" s="72">
        <f t="shared" si="79"/>
        <v>0.67400168264054505</v>
      </c>
      <c r="O187" s="72">
        <f t="shared" si="80"/>
        <v>0.67863332423070377</v>
      </c>
      <c r="P187" s="72">
        <f t="shared" si="81"/>
        <v>0.88444816745263499</v>
      </c>
      <c r="Q187" s="72"/>
      <c r="R187" s="72"/>
      <c r="S187" s="72">
        <f t="shared" si="82"/>
        <v>0.51389476381299593</v>
      </c>
      <c r="T187" s="72">
        <f t="shared" si="83"/>
        <v>0.47498658012142669</v>
      </c>
      <c r="U187" s="72">
        <f t="shared" si="84"/>
        <v>0.63065558539399824</v>
      </c>
      <c r="V187" s="72">
        <f t="shared" si="85"/>
        <v>0.53080042756679657</v>
      </c>
      <c r="W187" s="72">
        <f t="shared" si="86"/>
        <v>0.78264257677210802</v>
      </c>
      <c r="X187" s="72">
        <f t="shared" si="87"/>
        <v>0.15864015078498145</v>
      </c>
      <c r="Y187" s="72">
        <f t="shared" si="88"/>
        <v>0.25430560855870543</v>
      </c>
      <c r="Z187" s="72">
        <f t="shared" si="89"/>
        <v>0.325998317359455</v>
      </c>
      <c r="AA187" s="72">
        <f t="shared" si="90"/>
        <v>0.32136667576929623</v>
      </c>
      <c r="AB187" s="72">
        <f t="shared" si="91"/>
        <v>0.11555183254736495</v>
      </c>
      <c r="AC187" s="72"/>
      <c r="AD187" s="72"/>
      <c r="AE187" s="72">
        <f t="shared" si="92"/>
        <v>0.48610523618700407</v>
      </c>
      <c r="AF187" s="72">
        <f t="shared" si="93"/>
        <v>0.52501341987857331</v>
      </c>
      <c r="AG187" s="72">
        <f t="shared" si="94"/>
        <v>0.36934441460600176</v>
      </c>
      <c r="AH187" s="72">
        <f t="shared" si="95"/>
        <v>0.46919957243320337</v>
      </c>
      <c r="AI187" s="72">
        <f t="shared" si="96"/>
        <v>0.21735742322789195</v>
      </c>
      <c r="AJ187" s="72">
        <f>(AV187-Driver!$K$179)/(Driver!$L$179-Driver!$K$179)</f>
        <v>0.41285956006768187</v>
      </c>
      <c r="AK187" s="72">
        <f>(AW187-Driver!$K$180)/(Driver!$L$180-Driver!$K$180)</f>
        <v>0.37792598809313793</v>
      </c>
      <c r="AL187" s="72">
        <f>(AX187-Driver!$K$181)/(Driver!$L$181-Driver!$K$181)</f>
        <v>0.4276860810725352</v>
      </c>
      <c r="AM187" s="72">
        <f>(AY187-Driver!$K$182)/(Driver!$L$182-Driver!$K$182)</f>
        <v>0.12601834532775016</v>
      </c>
      <c r="AN187" s="72">
        <f>(AZ187-Driver!$K$183)/(Driver!$L$183-Driver!$K$183)</f>
        <v>0.36977124183006538</v>
      </c>
      <c r="AO187" s="72"/>
      <c r="AP187" s="72"/>
      <c r="AQ187" s="72">
        <f>(BC187-Driver!$K$188)/(Driver!$L$188-Driver!$K$188)</f>
        <v>0.13389476381299592</v>
      </c>
      <c r="AR187" s="72">
        <f>MIN((BD187-Driver!$K$189)/(Driver!$L$189-Driver!$K$189),100%)</f>
        <v>2.498658012142678E-2</v>
      </c>
      <c r="AS187" s="72">
        <f>(BE187-Driver!$K$190)/(Driver!$L$190-Driver!$K$190)</f>
        <v>0.14065558539399822</v>
      </c>
      <c r="AT187" s="72">
        <f>(BF187-Driver!$K$191)/(Driver!$L$191-Driver!$K$191)</f>
        <v>4.0800427566796638E-2</v>
      </c>
      <c r="AU187" s="72">
        <f>(BG187-Driver!$K$192)/(Driver!$L$192-Driver!$K$192)</f>
        <v>3.2642576772108058E-2</v>
      </c>
      <c r="AV187" s="70">
        <f t="shared" si="97"/>
        <v>8.6894586894586894</v>
      </c>
      <c r="AW187" s="70">
        <f t="shared" si="98"/>
        <v>38.704128926053514</v>
      </c>
      <c r="AX187" s="70">
        <f t="shared" si="99"/>
        <v>4.8491747296528169</v>
      </c>
      <c r="AY187" s="70">
        <f>IFERROR(Driver!$K$19/Data!BH187/Data!BI187*Data!BK187*Data!BL187,"")</f>
        <v>0.15428405492638186</v>
      </c>
      <c r="AZ187" s="70">
        <f t="shared" si="100"/>
        <v>33.700670141474312</v>
      </c>
      <c r="BA187" s="70"/>
      <c r="BB187" s="70"/>
      <c r="BC187" s="70">
        <f t="shared" si="101"/>
        <v>69.452144811097753</v>
      </c>
      <c r="BD187" s="70">
        <f t="shared" si="102"/>
        <v>3.9320909512438287</v>
      </c>
      <c r="BE187" s="70">
        <f t="shared" si="103"/>
        <v>0.14080888276523054</v>
      </c>
      <c r="BF187" s="70">
        <f t="shared" si="104"/>
        <v>4.6081216544433738</v>
      </c>
      <c r="BG187" s="70">
        <f t="shared" si="105"/>
        <v>0.12360561937196954</v>
      </c>
      <c r="BH187" s="67">
        <f>MAX((CE187-Driver!$F$200)/(Driver!$G$200-Driver!$F$200)*$BI$1,1)</f>
        <v>4.8491747296528169</v>
      </c>
      <c r="BI187" s="67">
        <f>MAX($BI$1*(BY187-Driver!$F$201)/(Driver!$G$201-Driver!$F$201),1)</f>
        <v>7.8481012658227849</v>
      </c>
      <c r="BJ187" s="67">
        <f>(CB187-Driver!$F$206)/(Driver!$G$206-Driver!$F$206)*$BI$1</f>
        <v>6.6666666666666661</v>
      </c>
      <c r="BK187" s="67">
        <f>(CD187-Driver!$F$203)/(Driver!$G$203-Driver!$F$203)*$BI$1</f>
        <v>5.3211009174311927</v>
      </c>
      <c r="BL187" s="67">
        <f>MAX((CR187-Driver!$F$202)/(Driver!$G$202-Driver!$F$202)*$BI$1,1)</f>
        <v>5.5172413793103452</v>
      </c>
      <c r="BM187" s="67">
        <f>MAX((CH187-Driver!$F$204)/(Driver!$G$204-Driver!$F$204)*$BI$1,1)</f>
        <v>5.2136752136752138</v>
      </c>
      <c r="BN187" s="67">
        <f>(CI187-Driver!$F$205)/(Driver!$G$205-Driver!$F$205)*$BI$1</f>
        <v>4.2941176470588234</v>
      </c>
      <c r="BO187" s="67">
        <f>(CK187-Driver!$F$207)/(Driver!$G$207-Driver!$F$207)*$BI$1</f>
        <v>1.7063081695966908</v>
      </c>
      <c r="BP187" s="67">
        <f>(CM187-Driver!$F$208)/(Driver!$G$208-Driver!$F$208)*$BI$1</f>
        <v>2.1555555555555554</v>
      </c>
      <c r="BQ187" s="67">
        <f>(CL187-Driver!$F$209)/(Driver!$G$209-Driver!$F$209)*$BI$1</f>
        <v>3.125</v>
      </c>
      <c r="BR187" s="28" t="s">
        <v>155</v>
      </c>
      <c r="BS187" s="8" t="s">
        <v>205</v>
      </c>
      <c r="BT187" s="9" t="s">
        <v>277</v>
      </c>
      <c r="BU187" s="10">
        <v>180</v>
      </c>
      <c r="BV187" s="9" t="s">
        <v>158</v>
      </c>
      <c r="BW187" s="10">
        <v>180</v>
      </c>
      <c r="BX187" s="10">
        <v>178.8</v>
      </c>
      <c r="BY187" s="10">
        <v>132</v>
      </c>
      <c r="BZ187" s="10">
        <v>147</v>
      </c>
      <c r="CA187" s="10">
        <v>134</v>
      </c>
      <c r="CB187" s="10">
        <v>106</v>
      </c>
      <c r="CC187" s="10">
        <v>124</v>
      </c>
      <c r="CD187" s="10">
        <v>21</v>
      </c>
      <c r="CE187" s="10">
        <v>1752</v>
      </c>
      <c r="CF187" s="10">
        <v>1.18</v>
      </c>
      <c r="CG187" s="10">
        <v>2059</v>
      </c>
      <c r="CH187" s="10">
        <v>223</v>
      </c>
      <c r="CI187" s="10">
        <v>106</v>
      </c>
      <c r="CJ187" s="10">
        <v>51</v>
      </c>
      <c r="CK187" s="10">
        <v>275</v>
      </c>
      <c r="CL187" s="10">
        <v>20</v>
      </c>
      <c r="CM187" s="10">
        <v>194</v>
      </c>
      <c r="CN187" s="10">
        <v>0.39100000000000001</v>
      </c>
      <c r="CO187" s="10">
        <v>198</v>
      </c>
      <c r="CP187" s="10">
        <v>116</v>
      </c>
      <c r="CQ187" s="10">
        <v>77</v>
      </c>
      <c r="CR187" s="10">
        <v>5</v>
      </c>
      <c r="CS187" s="10">
        <v>11.5</v>
      </c>
      <c r="CT187" s="9" t="s">
        <v>169</v>
      </c>
      <c r="CU187" s="9" t="s">
        <v>178</v>
      </c>
      <c r="CV187" s="9" t="s">
        <v>185</v>
      </c>
      <c r="CW187" s="10"/>
      <c r="CX187" t="str">
        <f>INDEX('Data_Price '!AG$2:AG$1266,MATCH(Data!$DN187,'Data_Price '!$AT$2:$AT$1266,0))</f>
        <v>Faction Agent 3.0x Womens Skis</v>
      </c>
      <c r="CY187" t="str">
        <f>INDEX('Data_Price '!AH$2:AH$1266,MATCH(Data!$DN187,'Data_Price '!$AT$2:$AT$1266,0))</f>
        <v>Snowcountry.eu</v>
      </c>
      <c r="CZ187">
        <f>INDEX('Data_Price '!AI$2:AI$1266,MATCH(Data!$DN187,'Data_Price '!$AT$2:$AT$1266,0))</f>
        <v>515.42999999999995</v>
      </c>
      <c r="DA187" t="str">
        <f>INDEX('Data_Price '!AJ$2:AJ$1266,MATCH(Data!$DN187,'Data_Price '!$AT$2:$AT$1266,0))</f>
        <v>https://tinyurl.com/yanclzqx</v>
      </c>
      <c r="DB187" t="str">
        <f>INDEX('Data_Price '!AK$2:AK$1266,MATCH(Data!$DN187,'Data_Price '!$AT$2:$AT$1266,0))</f>
        <v>Faction Dictator 3.0 Skis</v>
      </c>
      <c r="DC187" t="str">
        <f>INDEX('Data_Price '!AL$2:AL$1266,MATCH(Data!$DN187,'Data_Price '!$AT$2:$AT$1266,0))</f>
        <v>Next Adventure</v>
      </c>
      <c r="DD187">
        <f>INDEX('Data_Price '!AM$2:AM$1266,MATCH(Data!$DN187,'Data_Price '!$AT$2:$AT$1266,0))</f>
        <v>655.20000000000005</v>
      </c>
      <c r="DE187" t="str">
        <f>INDEX('Data_Price '!AN$2:AN$1266,MATCH(Data!$DN187,'Data_Price '!$AT$2:$AT$1266,0))</f>
        <v>https://tinyurl.com/y796rvux</v>
      </c>
      <c r="DF187">
        <f>INDEX('Data_Price '!AO$2:AO$1266,MATCH(Data!$DN187,'Data_Price '!$AT$2:$AT$1266,0))</f>
        <v>0</v>
      </c>
      <c r="DG187">
        <f>INDEX('Data_Price '!AP$2:AP$1266,MATCH(Data!$DN187,'Data_Price '!$AT$2:$AT$1266,0))</f>
        <v>0</v>
      </c>
      <c r="DH187">
        <f>INDEX('Data_Price '!AQ$2:AQ$1266,MATCH(Data!$DN187,'Data_Price '!$AT$2:$AT$1266,0))</f>
        <v>0</v>
      </c>
      <c r="DI187">
        <f>INDEX('Data_Price '!AR$2:AR$1266,MATCH(Data!$DN187,'Data_Price '!$AT$2:$AT$1266,0))</f>
        <v>0</v>
      </c>
      <c r="DJ187" s="89" t="str">
        <f t="shared" si="106"/>
        <v>https://tinyurl.com/yanclzqx</v>
      </c>
      <c r="DK187" s="89" t="str">
        <f t="shared" si="107"/>
        <v>https://tinyurl.com/y796rvux</v>
      </c>
      <c r="DL187" s="89">
        <f t="shared" si="108"/>
        <v>0</v>
      </c>
      <c r="DM187" s="219" t="str">
        <f t="shared" si="109"/>
        <v>Agent 3.0</v>
      </c>
      <c r="DN187" s="89" t="str">
        <f t="shared" si="110"/>
        <v xml:space="preserve"> FactionAgent 3.0180 Unisex</v>
      </c>
      <c r="DO187" s="221" t="s">
        <v>278</v>
      </c>
    </row>
    <row r="188" spans="1:119" ht="15.6" customHeight="1">
      <c r="A188" s="219">
        <f>ROW()</f>
        <v>188</v>
      </c>
      <c r="B188" s="219" t="b">
        <f t="array" ref="B188">IF(OR(ISERROR(K188:P188)),FALSE,TRUE)</f>
        <v>1</v>
      </c>
      <c r="C188" s="43" t="b">
        <f>OR(BR188=Driver!$G$50,Data!BR912=Driver!$H$50)</f>
        <v>1</v>
      </c>
      <c r="D188" s="43" t="b">
        <f>OR(BV188=Driver!$G$51,BV188=Driver!$H$51)</f>
        <v>0</v>
      </c>
      <c r="E188" s="43" t="b">
        <f>AND(BX188&gt;Driver!$F$54,BX188&lt;Driver!$G$54)</f>
        <v>1</v>
      </c>
      <c r="F188" s="43" t="b">
        <f>CL188&gt;Driver!$F$56</f>
        <v>1</v>
      </c>
      <c r="G188" s="43" t="b">
        <f>AND(CB188&gt;Driver!$F$55,CB188&lt;Driver!$G$55)</f>
        <v>1</v>
      </c>
      <c r="H188" s="43" t="b">
        <f t="shared" si="74"/>
        <v>0</v>
      </c>
      <c r="I188" s="43">
        <f t="shared" si="75"/>
        <v>0</v>
      </c>
      <c r="J188" s="43" t="b">
        <f t="array" ref="J188">NOT(OR(($H$9:$H$1273=TRUE)*($I$9:$I$1273&gt;0)*($BT$9:$BT$1273=BT188)*($K$9:$K$1273&gt;K188)))</f>
        <v>1</v>
      </c>
      <c r="K188" s="72">
        <f t="shared" si="76"/>
        <v>0.87070047447775112</v>
      </c>
      <c r="L188" s="72">
        <f t="shared" si="77"/>
        <v>0.97517387087200103</v>
      </c>
      <c r="M188" s="72">
        <f t="shared" si="78"/>
        <v>0.76622707808350121</v>
      </c>
      <c r="N188" s="72">
        <f t="shared" si="79"/>
        <v>0.69866493439543009</v>
      </c>
      <c r="O188" s="72">
        <f t="shared" si="80"/>
        <v>0.62731577449725107</v>
      </c>
      <c r="P188" s="72">
        <f t="shared" si="81"/>
        <v>0.97270052535782248</v>
      </c>
      <c r="Q188" s="72"/>
      <c r="R188" s="72"/>
      <c r="S188" s="72">
        <f t="shared" si="82"/>
        <v>0.42337000533782099</v>
      </c>
      <c r="T188" s="72">
        <f t="shared" si="83"/>
        <v>0.49434155901151944</v>
      </c>
      <c r="U188" s="72">
        <f t="shared" si="84"/>
        <v>0.56159876351866811</v>
      </c>
      <c r="V188" s="72">
        <f t="shared" si="85"/>
        <v>0.56797149835640148</v>
      </c>
      <c r="W188" s="72">
        <f t="shared" si="86"/>
        <v>0.84147247636859923</v>
      </c>
      <c r="X188" s="72">
        <f t="shared" si="87"/>
        <v>2.4826129127998947E-2</v>
      </c>
      <c r="Y188" s="72">
        <f t="shared" si="88"/>
        <v>0.23377292191649879</v>
      </c>
      <c r="Z188" s="72">
        <f t="shared" si="89"/>
        <v>0.30133506560456991</v>
      </c>
      <c r="AA188" s="72">
        <f t="shared" si="90"/>
        <v>0.37268422550274899</v>
      </c>
      <c r="AB188" s="72">
        <f t="shared" si="91"/>
        <v>2.7299474642177524E-2</v>
      </c>
      <c r="AC188" s="72"/>
      <c r="AD188" s="72"/>
      <c r="AE188" s="72">
        <f t="shared" si="92"/>
        <v>0.57662999466217901</v>
      </c>
      <c r="AF188" s="72">
        <f t="shared" si="93"/>
        <v>0.50565844098848056</v>
      </c>
      <c r="AG188" s="72">
        <f t="shared" si="94"/>
        <v>0.43840123648133189</v>
      </c>
      <c r="AH188" s="72">
        <f t="shared" si="95"/>
        <v>0.43202850164359852</v>
      </c>
      <c r="AI188" s="72">
        <f t="shared" si="96"/>
        <v>0.15852752363140071</v>
      </c>
      <c r="AJ188" s="72">
        <f>(AV188-Driver!$K$179)/(Driver!$L$179-Driver!$K$179)</f>
        <v>0.22939328015470148</v>
      </c>
      <c r="AK188" s="72">
        <f>(AW188-Driver!$K$180)/(Driver!$L$180-Driver!$K$180)</f>
        <v>0.24141549763709677</v>
      </c>
      <c r="AL188" s="72">
        <f>(AX188-Driver!$K$181)/(Driver!$L$181-Driver!$K$181)</f>
        <v>0.4030228293176501</v>
      </c>
      <c r="AM188" s="72">
        <f>(AY188-Driver!$K$182)/(Driver!$L$182-Driver!$K$182)</f>
        <v>7.4700795594297389E-2</v>
      </c>
      <c r="AN188" s="72">
        <f>(AZ188-Driver!$K$183)/(Driver!$L$183-Driver!$K$183)</f>
        <v>0.2269199346405229</v>
      </c>
      <c r="AO188" s="72"/>
      <c r="AP188" s="72"/>
      <c r="AQ188" s="72">
        <f>(BC188-Driver!$K$188)/(Driver!$L$188-Driver!$K$188)</f>
        <v>4.3370005337820941E-2</v>
      </c>
      <c r="AR188" s="72">
        <f>MIN((BD188-Driver!$K$189)/(Driver!$L$189-Driver!$K$189),100%)</f>
        <v>4.4341559011519496E-2</v>
      </c>
      <c r="AS188" s="72">
        <f>(BE188-Driver!$K$190)/(Driver!$L$190-Driver!$K$190)</f>
        <v>7.1598763518668104E-2</v>
      </c>
      <c r="AT188" s="72">
        <f>(BF188-Driver!$K$191)/(Driver!$L$191-Driver!$K$191)</f>
        <v>7.7971498356401478E-2</v>
      </c>
      <c r="AU188" s="72">
        <f>(BG188-Driver!$K$192)/(Driver!$L$192-Driver!$K$192)</f>
        <v>9.1472476368599287E-2</v>
      </c>
      <c r="AV188" s="70">
        <f t="shared" si="97"/>
        <v>4.8280423280423284</v>
      </c>
      <c r="AW188" s="70">
        <f t="shared" si="98"/>
        <v>25.39997202511557</v>
      </c>
      <c r="AX188" s="70">
        <f t="shared" si="99"/>
        <v>4.6272054638588509</v>
      </c>
      <c r="AY188" s="70">
        <f>IFERROR(Driver!$K$19/Data!BH387/Data!BI387*Data!BK387*Data!BL387,"")</f>
        <v>9.145606237361921E-2</v>
      </c>
      <c r="AZ188" s="70">
        <f t="shared" si="100"/>
        <v>20.6813104988831</v>
      </c>
      <c r="BA188" s="70"/>
      <c r="BB188" s="70"/>
      <c r="BC188" s="70">
        <f t="shared" si="101"/>
        <v>22.496323272113365</v>
      </c>
      <c r="BD188" s="70">
        <f t="shared" si="102"/>
        <v>5.6449722880237818</v>
      </c>
      <c r="BE188" s="70">
        <f t="shared" si="103"/>
        <v>7.1764379849655349E-2</v>
      </c>
      <c r="BF188" s="70">
        <f t="shared" si="104"/>
        <v>8.8063329585773626</v>
      </c>
      <c r="BG188" s="70">
        <f t="shared" si="105"/>
        <v>0.34637314866299346</v>
      </c>
      <c r="BH188" s="67">
        <f>MAX((CE188-Driver!$F$200)/(Driver!$G$200-Driver!$F$200)*$BI$1,1)</f>
        <v>4.6272054638588509</v>
      </c>
      <c r="BI188" s="67">
        <f>MAX($BI$1*(BY188-Driver!$F$201)/(Driver!$G$201-Driver!$F$201),1)</f>
        <v>6.3924050632911396</v>
      </c>
      <c r="BJ188" s="67">
        <f>(CB188-Driver!$F$206)/(Driver!$G$206-Driver!$F$206)*$BI$1</f>
        <v>6.1904761904761907</v>
      </c>
      <c r="BK188" s="67">
        <f>(CD188-Driver!$F$203)/(Driver!$G$203-Driver!$F$203)*$BI$1</f>
        <v>2.7064220183486243</v>
      </c>
      <c r="BL188" s="67">
        <f>MAX((CR188-Driver!$F$202)/(Driver!$G$202-Driver!$F$202)*$BI$1,1)</f>
        <v>6.5517241379310338</v>
      </c>
      <c r="BM188" s="67">
        <f>MAX((CH188-Driver!$F$204)/(Driver!$G$204-Driver!$F$204)*$BI$1,1)</f>
        <v>3.1196581196581197</v>
      </c>
      <c r="BN188" s="67">
        <f>(CI188-Driver!$F$205)/(Driver!$G$205-Driver!$F$205)*$BI$1</f>
        <v>3.2352941176470589</v>
      </c>
      <c r="BO188" s="67">
        <f>(CK188-Driver!$F$207)/(Driver!$G$207-Driver!$F$207)*$BI$1</f>
        <v>1.5822130299896586</v>
      </c>
      <c r="BP188" s="67">
        <f>(CM188-Driver!$F$208)/(Driver!$G$208-Driver!$F$208)*$BI$1</f>
        <v>2.4333333333333336</v>
      </c>
      <c r="BQ188" s="67">
        <f>(CL188-Driver!$F$209)/(Driver!$G$209-Driver!$F$209)*$BI$1</f>
        <v>5</v>
      </c>
      <c r="BR188" s="28" t="s">
        <v>155</v>
      </c>
      <c r="BS188" s="8" t="s">
        <v>332</v>
      </c>
      <c r="BT188" s="9" t="s">
        <v>410</v>
      </c>
      <c r="BU188" s="10">
        <v>158</v>
      </c>
      <c r="BV188" s="9" t="s">
        <v>163</v>
      </c>
      <c r="BW188" s="10">
        <v>158</v>
      </c>
      <c r="BX188" s="10">
        <v>157.30000000000001</v>
      </c>
      <c r="BY188" s="10">
        <v>109</v>
      </c>
      <c r="BZ188" s="10">
        <v>130</v>
      </c>
      <c r="CA188" s="10">
        <v>132</v>
      </c>
      <c r="CB188" s="10">
        <v>103</v>
      </c>
      <c r="CC188" s="10">
        <v>123</v>
      </c>
      <c r="CD188" s="10">
        <v>15.3</v>
      </c>
      <c r="CE188" s="10">
        <v>1713</v>
      </c>
      <c r="CF188" s="10">
        <v>1.03</v>
      </c>
      <c r="CG188" s="10">
        <v>1771</v>
      </c>
      <c r="CH188" s="10">
        <v>174</v>
      </c>
      <c r="CI188" s="10">
        <v>88</v>
      </c>
      <c r="CJ188" s="10">
        <v>44</v>
      </c>
      <c r="CK188" s="10">
        <v>263</v>
      </c>
      <c r="CL188" s="10">
        <v>32</v>
      </c>
      <c r="CM188" s="10">
        <v>219</v>
      </c>
      <c r="CN188" s="10">
        <v>0.71899999999999997</v>
      </c>
      <c r="CO188" s="10">
        <v>133</v>
      </c>
      <c r="CP188" s="10">
        <v>144</v>
      </c>
      <c r="CQ188" s="10">
        <v>131</v>
      </c>
      <c r="CR188" s="10">
        <v>8</v>
      </c>
      <c r="CS188" s="10">
        <v>8.5</v>
      </c>
      <c r="CT188" s="9" t="s">
        <v>188</v>
      </c>
      <c r="CU188" s="9" t="s">
        <v>169</v>
      </c>
      <c r="CV188" s="10"/>
      <c r="CW188" s="10"/>
      <c r="CX188" t="str">
        <f>INDEX('Data_Price '!AG$2:AG$1266,MATCH(Data!$DN188,'Data_Price '!$AT$2:$AT$1266,0))</f>
        <v>Rossignol Blackops Holyshred Skis 162cm</v>
      </c>
      <c r="CY188" t="str">
        <f>INDEX('Data_Price '!AH$2:AH$1266,MATCH(Data!$DN188,'Data_Price '!$AT$2:$AT$1266,0))</f>
        <v>Snowcountry.eu</v>
      </c>
      <c r="CZ188">
        <f>INDEX('Data_Price '!AI$2:AI$1266,MATCH(Data!$DN188,'Data_Price '!$AT$2:$AT$1266,0))</f>
        <v>387.23</v>
      </c>
      <c r="DA188" t="str">
        <f>INDEX('Data_Price '!AJ$2:AJ$1266,MATCH(Data!$DN188,'Data_Price '!$AT$2:$AT$1266,0))</f>
        <v>https://tinyurl.com/yatqsau9</v>
      </c>
      <c r="DB188" t="str">
        <f>INDEX('Data_Price '!AK$2:AK$1266,MATCH(Data!$DN188,'Data_Price '!$AT$2:$AT$1266,0))</f>
        <v>Rossignol Blackops Holyshred Skis w/ Salomon Warden 11 Bindings 162</v>
      </c>
      <c r="DC188" t="str">
        <f>INDEX('Data_Price '!AL$2:AL$1266,MATCH(Data!$DN188,'Data_Price '!$AT$2:$AT$1266,0))</f>
        <v>The Locals Sale</v>
      </c>
      <c r="DD188">
        <f>INDEX('Data_Price '!AM$2:AM$1266,MATCH(Data!$DN188,'Data_Price '!$AT$2:$AT$1266,0))</f>
        <v>499</v>
      </c>
      <c r="DE188" t="str">
        <f>INDEX('Data_Price '!AN$2:AN$1266,MATCH(Data!$DN188,'Data_Price '!$AT$2:$AT$1266,0))</f>
        <v>https://tinyurl.com/yayrpagl</v>
      </c>
      <c r="DF188" t="str">
        <f>INDEX('Data_Price '!AO$2:AO$1266,MATCH(Data!$DN188,'Data_Price '!$AT$2:$AT$1266,0))</f>
        <v>Rossignol Blackops Holyshred Skis 162cm</v>
      </c>
      <c r="DG188" t="str">
        <f>INDEX('Data_Price '!AP$2:AP$1266,MATCH(Data!$DN188,'Data_Price '!$AT$2:$AT$1266,0))</f>
        <v>Powder7 Ski Shop</v>
      </c>
      <c r="DH188">
        <f>INDEX('Data_Price '!AQ$2:AQ$1266,MATCH(Data!$DN188,'Data_Price '!$AT$2:$AT$1266,0))</f>
        <v>559.92999999999995</v>
      </c>
      <c r="DI188" t="str">
        <f>INDEX('Data_Price '!AR$2:AR$1266,MATCH(Data!$DN188,'Data_Price '!$AT$2:$AT$1266,0))</f>
        <v>https://tinyurl.com/yc8d4qon</v>
      </c>
      <c r="DJ188" s="89" t="str">
        <f t="shared" si="106"/>
        <v>https://tinyurl.com/yatqsau9</v>
      </c>
      <c r="DK188" s="89" t="str">
        <f t="shared" si="107"/>
        <v>https://tinyurl.com/yayrpagl</v>
      </c>
      <c r="DL188" s="89" t="str">
        <f t="shared" si="108"/>
        <v>https://tinyurl.com/yc8d4qon</v>
      </c>
      <c r="DM188" s="219" t="str">
        <f t="shared" si="109"/>
        <v>Santa Ana 104 Free</v>
      </c>
      <c r="DN188" s="89" t="str">
        <f t="shared" si="110"/>
        <v xml:space="preserve"> NordicaSanta Ana 104 Free158 Women's</v>
      </c>
      <c r="DO188" s="221"/>
    </row>
    <row r="189" spans="1:119" ht="15.6" customHeight="1">
      <c r="B189" s="219" t="b">
        <f t="array" ref="B189">IF(OR(ISERROR(K189:P189)),FALSE,TRUE)</f>
        <v>1</v>
      </c>
      <c r="C189" s="43" t="b">
        <f>OR(BR189=Driver!$G$50,Data!BR980=Driver!$H$50)</f>
        <v>1</v>
      </c>
      <c r="D189" s="43" t="b">
        <f>OR(BV189=Driver!$G$51,BV189=Driver!$H$51)</f>
        <v>0</v>
      </c>
      <c r="E189" s="43" t="b">
        <f>AND(BX189&gt;Driver!$F$54,BX189&lt;Driver!$G$54)</f>
        <v>1</v>
      </c>
      <c r="F189" s="43" t="b">
        <f>CL189&gt;Driver!$F$56</f>
        <v>1</v>
      </c>
      <c r="G189" s="43" t="b">
        <f>AND(CB189&gt;Driver!$F$55,CB189&lt;Driver!$G$55)</f>
        <v>0</v>
      </c>
      <c r="H189" s="43" t="b">
        <f t="shared" si="74"/>
        <v>0</v>
      </c>
      <c r="I189" s="43">
        <f t="shared" si="75"/>
        <v>0</v>
      </c>
      <c r="J189" s="43" t="b">
        <f t="array" ref="J189">NOT(OR(($H$9:$H$1273=TRUE)*($I$9:$I$1273&gt;0)*($BT$9:$BT$1273=BT189)*($K$9:$K$1273&gt;K189)))</f>
        <v>1</v>
      </c>
      <c r="K189" s="72">
        <f t="shared" si="76"/>
        <v>0.87597456584072575</v>
      </c>
      <c r="L189" s="72">
        <f t="shared" si="77"/>
        <v>0.99606132371344747</v>
      </c>
      <c r="M189" s="72">
        <f t="shared" si="78"/>
        <v>0.75588780796800414</v>
      </c>
      <c r="N189" s="72">
        <f t="shared" si="79"/>
        <v>0.68032559334692577</v>
      </c>
      <c r="O189" s="72">
        <f t="shared" si="80"/>
        <v>0.59598606833320955</v>
      </c>
      <c r="P189" s="72">
        <f t="shared" si="81"/>
        <v>0.991351762223877</v>
      </c>
      <c r="Q189" s="72"/>
      <c r="R189" s="72"/>
      <c r="S189" s="72">
        <f t="shared" si="82"/>
        <v>0.41190696572591112</v>
      </c>
      <c r="T189" s="72">
        <f t="shared" si="83"/>
        <v>0.53592164577209012</v>
      </c>
      <c r="U189" s="72">
        <f t="shared" si="84"/>
        <v>0.58331235901643452</v>
      </c>
      <c r="V189" s="72">
        <f t="shared" si="85"/>
        <v>0.66142067085639988</v>
      </c>
      <c r="W189" s="72">
        <f t="shared" si="86"/>
        <v>0.78622194347327123</v>
      </c>
      <c r="X189" s="72">
        <f t="shared" si="87"/>
        <v>3.9386762865525893E-3</v>
      </c>
      <c r="Y189" s="72">
        <f t="shared" si="88"/>
        <v>0.24411219203199588</v>
      </c>
      <c r="Z189" s="72">
        <f t="shared" si="89"/>
        <v>0.31967440665307423</v>
      </c>
      <c r="AA189" s="72">
        <f t="shared" si="90"/>
        <v>0.40401393166679045</v>
      </c>
      <c r="AB189" s="72">
        <f t="shared" si="91"/>
        <v>8.6482377761230578E-3</v>
      </c>
      <c r="AC189" s="72"/>
      <c r="AD189" s="72"/>
      <c r="AE189" s="72">
        <f t="shared" si="92"/>
        <v>0.58809303427408888</v>
      </c>
      <c r="AF189" s="72">
        <f t="shared" si="93"/>
        <v>0.46407835422790988</v>
      </c>
      <c r="AG189" s="72">
        <f t="shared" si="94"/>
        <v>0.41668764098356548</v>
      </c>
      <c r="AH189" s="72">
        <f t="shared" si="95"/>
        <v>0.33857932914360017</v>
      </c>
      <c r="AI189" s="72">
        <f t="shared" si="96"/>
        <v>0.21377805652672877</v>
      </c>
      <c r="AJ189" s="72">
        <f>(AV189-Driver!$K$179)/(Driver!$L$179-Driver!$K$179)</f>
        <v>0.25815808556925302</v>
      </c>
      <c r="AK189" s="72">
        <f>(AW189-Driver!$K$180)/(Driver!$L$180-Driver!$K$180)</f>
        <v>0.27633222390989925</v>
      </c>
      <c r="AL189" s="72">
        <f>(AX189-Driver!$K$181)/(Driver!$L$181-Driver!$K$181)</f>
        <v>0.42136217036615442</v>
      </c>
      <c r="AM189" s="72">
        <f>(AY189-Driver!$K$182)/(Driver!$L$182-Driver!$K$182)</f>
        <v>4.3371089430255909E-2</v>
      </c>
      <c r="AN189" s="72">
        <f>(AZ189-Driver!$K$183)/(Driver!$L$183-Driver!$K$183)</f>
        <v>0.26286764705882348</v>
      </c>
      <c r="AO189" s="72"/>
      <c r="AP189" s="72"/>
      <c r="AQ189" s="72">
        <f>(BC189-Driver!$K$188)/(Driver!$L$188-Driver!$K$188)</f>
        <v>3.1906965725911077E-2</v>
      </c>
      <c r="AR189" s="72">
        <f>MIN((BD189-Driver!$K$189)/(Driver!$L$189-Driver!$K$189),100%)</f>
        <v>8.5921645772090188E-2</v>
      </c>
      <c r="AS189" s="72">
        <f>(BE189-Driver!$K$190)/(Driver!$L$190-Driver!$K$190)</f>
        <v>9.3312359016434518E-2</v>
      </c>
      <c r="AT189" s="72">
        <f>(BF189-Driver!$K$191)/(Driver!$L$191-Driver!$K$191)</f>
        <v>0.17142067085639984</v>
      </c>
      <c r="AU189" s="72">
        <f>(BG189-Driver!$K$192)/(Driver!$L$192-Driver!$K$192)</f>
        <v>3.6221943473271234E-2</v>
      </c>
      <c r="AV189" s="70">
        <f t="shared" si="97"/>
        <v>5.4334554334554328</v>
      </c>
      <c r="AW189" s="70">
        <f t="shared" si="98"/>
        <v>28.802916394069072</v>
      </c>
      <c r="AX189" s="70">
        <f t="shared" si="99"/>
        <v>4.7922595332953897</v>
      </c>
      <c r="AY189" s="70">
        <f>IFERROR(Driver!$K$19/Data!BH189/Data!BI189*Data!BK189*Data!BL189,"")</f>
        <v>5.3099154146734481E-2</v>
      </c>
      <c r="AZ189" s="70">
        <f t="shared" si="100"/>
        <v>23.95755770662695</v>
      </c>
      <c r="BA189" s="70"/>
      <c r="BB189" s="70"/>
      <c r="BC189" s="70">
        <f t="shared" si="101"/>
        <v>16.550364935657189</v>
      </c>
      <c r="BD189" s="70">
        <f t="shared" si="102"/>
        <v>9.3247362907801605</v>
      </c>
      <c r="BE189" s="70">
        <f t="shared" si="103"/>
        <v>9.3474101886381888E-2</v>
      </c>
      <c r="BF189" s="70">
        <f t="shared" si="104"/>
        <v>19.36076047485906</v>
      </c>
      <c r="BG189" s="70">
        <f t="shared" si="105"/>
        <v>0.13715938509167577</v>
      </c>
      <c r="BH189" s="67">
        <f>MAX((CE189-Driver!$F$200)/(Driver!$G$200-Driver!$F$200)*$BI$1,1)</f>
        <v>4.7922595332953897</v>
      </c>
      <c r="BI189" s="67">
        <f>MAX($BI$1*(BY189-Driver!$F$201)/(Driver!$G$201-Driver!$F$201),1)</f>
        <v>6.2658227848101262</v>
      </c>
      <c r="BJ189" s="67">
        <f>(CB189-Driver!$F$206)/(Driver!$G$206-Driver!$F$206)*$BI$1</f>
        <v>5.7142857142857135</v>
      </c>
      <c r="BK189" s="67">
        <f>(CD189-Driver!$F$203)/(Driver!$G$203-Driver!$F$203)*$BI$1</f>
        <v>1.6513761467889909</v>
      </c>
      <c r="BL189" s="67">
        <f>MAX((CR189-Driver!$F$202)/(Driver!$G$202-Driver!$F$202)*$BI$1,1)</f>
        <v>4.8275862068965516</v>
      </c>
      <c r="BM189" s="67">
        <f>MAX((CH189-Driver!$F$204)/(Driver!$G$204-Driver!$F$204)*$BI$1,1)</f>
        <v>3.8034188034188032</v>
      </c>
      <c r="BN189" s="67">
        <f>(CI189-Driver!$F$205)/(Driver!$G$205-Driver!$F$205)*$BI$1</f>
        <v>3.8235294117647056</v>
      </c>
      <c r="BO189" s="67">
        <f>(CK189-Driver!$F$207)/(Driver!$G$207-Driver!$F$207)*$BI$1</f>
        <v>2.0062047569803516</v>
      </c>
      <c r="BP189" s="67">
        <f>(CM189-Driver!$F$208)/(Driver!$G$208-Driver!$F$208)*$BI$1</f>
        <v>2.7888888888888892</v>
      </c>
      <c r="BQ189" s="67">
        <f>(CL189-Driver!$F$209)/(Driver!$G$209-Driver!$F$209)*$BI$1</f>
        <v>2.5</v>
      </c>
      <c r="BR189" s="28" t="s">
        <v>155</v>
      </c>
      <c r="BS189" s="8" t="s">
        <v>172</v>
      </c>
      <c r="BT189" s="9" t="s">
        <v>401</v>
      </c>
      <c r="BU189" s="10">
        <v>163</v>
      </c>
      <c r="BV189" s="9" t="s">
        <v>163</v>
      </c>
      <c r="BW189" s="10">
        <v>163</v>
      </c>
      <c r="BX189" s="10">
        <v>162.69999999999999</v>
      </c>
      <c r="BY189" s="10">
        <v>107</v>
      </c>
      <c r="BZ189" s="10">
        <v>136</v>
      </c>
      <c r="CA189" s="10">
        <v>136</v>
      </c>
      <c r="CB189" s="10">
        <v>100</v>
      </c>
      <c r="CC189" s="10">
        <v>127</v>
      </c>
      <c r="CD189" s="10">
        <v>13</v>
      </c>
      <c r="CE189" s="10">
        <v>1742</v>
      </c>
      <c r="CF189" s="10">
        <v>1.06</v>
      </c>
      <c r="CG189" s="10">
        <v>1841</v>
      </c>
      <c r="CH189" s="10">
        <v>190</v>
      </c>
      <c r="CI189" s="10">
        <v>98</v>
      </c>
      <c r="CJ189" s="10">
        <v>50</v>
      </c>
      <c r="CK189" s="10">
        <v>304</v>
      </c>
      <c r="CL189" s="10">
        <v>16</v>
      </c>
      <c r="CM189" s="10">
        <v>251</v>
      </c>
      <c r="CN189" s="10">
        <v>0.32200000000000001</v>
      </c>
      <c r="CO189" s="10">
        <v>157</v>
      </c>
      <c r="CP189" s="10">
        <v>108</v>
      </c>
      <c r="CQ189" s="10">
        <v>147</v>
      </c>
      <c r="CR189" s="10">
        <v>3</v>
      </c>
      <c r="CS189" s="10">
        <v>6.3</v>
      </c>
      <c r="CT189" s="9" t="s">
        <v>188</v>
      </c>
      <c r="CU189" s="9" t="s">
        <v>178</v>
      </c>
      <c r="CV189" s="9" t="s">
        <v>185</v>
      </c>
      <c r="CW189" s="10"/>
      <c r="CX189" t="str">
        <f>INDEX('Data_Price '!AG$2:AG$1266,MATCH(Data!$DN189,'Data_Price '!$AT$2:$AT$1266,0))</f>
        <v>Rossignol Blackops W Rallybird Ti Skis</v>
      </c>
      <c r="CY189" t="str">
        <f>INDEX('Data_Price '!AH$2:AH$1266,MATCH(Data!$DN189,'Data_Price '!$AT$2:$AT$1266,0))</f>
        <v>Cole Sport</v>
      </c>
      <c r="CZ189">
        <f>INDEX('Data_Price '!AI$2:AI$1266,MATCH(Data!$DN189,'Data_Price '!$AT$2:$AT$1266,0))</f>
        <v>639.96</v>
      </c>
      <c r="DA189" t="str">
        <f>INDEX('Data_Price '!AJ$2:AJ$1266,MATCH(Data!$DN189,'Data_Price '!$AT$2:$AT$1266,0))</f>
        <v>https://tinyurl.com/y8jg8a2f</v>
      </c>
      <c r="DB189" t="str">
        <f>INDEX('Data_Price '!AK$2:AK$1266,MATCH(Data!$DN189,'Data_Price '!$AT$2:$AT$1266,0))</f>
        <v>Rossignol Blackops Rallybird Ti Skis - Women's - 2022</v>
      </c>
      <c r="DC189" t="str">
        <f>INDEX('Data_Price '!AL$2:AL$1266,MATCH(Data!$DN189,'Data_Price '!$AT$2:$AT$1266,0))</f>
        <v>Snowcountry.eu</v>
      </c>
      <c r="DD189">
        <f>INDEX('Data_Price '!AM$2:AM$1266,MATCH(Data!$DN189,'Data_Price '!$AT$2:$AT$1266,0))</f>
        <v>451.78</v>
      </c>
      <c r="DE189" t="str">
        <f>INDEX('Data_Price '!AN$2:AN$1266,MATCH(Data!$DN189,'Data_Price '!$AT$2:$AT$1266,0))</f>
        <v>https://tinyurl.com/ycyvgf5u</v>
      </c>
      <c r="DF189" t="str">
        <f>INDEX('Data_Price '!AO$2:AO$1266,MATCH(Data!$DN189,'Data_Price '!$AT$2:$AT$1266,0))</f>
        <v>Rossignol Blackops Rallybird Ti Skis - Women's - 2022</v>
      </c>
      <c r="DG189" t="str">
        <f>INDEX('Data_Price '!AP$2:AP$1266,MATCH(Data!$DN189,'Data_Price '!$AT$2:$AT$1266,0))</f>
        <v>Backcountry.com</v>
      </c>
      <c r="DH189">
        <f>INDEX('Data_Price '!AQ$2:AQ$1266,MATCH(Data!$DN189,'Data_Price '!$AT$2:$AT$1266,0))</f>
        <v>599.96</v>
      </c>
      <c r="DI189" t="str">
        <f>INDEX('Data_Price '!AR$2:AR$1266,MATCH(Data!$DN189,'Data_Price '!$AT$2:$AT$1266,0))</f>
        <v>https://tinyurl.com/y75p7zsk</v>
      </c>
      <c r="DJ189" s="89" t="str">
        <f t="shared" si="106"/>
        <v>https://tinyurl.com/y8jg8a2f</v>
      </c>
      <c r="DK189" s="89" t="str">
        <f t="shared" si="107"/>
        <v>https://tinyurl.com/ycyvgf5u</v>
      </c>
      <c r="DL189" s="89" t="str">
        <f t="shared" si="108"/>
        <v>https://tinyurl.com/y75p7zsk</v>
      </c>
      <c r="DM189" s="219" t="str">
        <f t="shared" si="109"/>
        <v>Blackops Rallybird Ti W</v>
      </c>
      <c r="DN189" s="89" t="str">
        <f t="shared" si="110"/>
        <v xml:space="preserve"> RossignolBlackops Rallybird Ti W163 Women's</v>
      </c>
      <c r="DO189" s="221"/>
    </row>
    <row r="190" spans="1:119" ht="15.6" customHeight="1">
      <c r="B190" s="219" t="b">
        <f t="array" ref="B190">IF(OR(ISERROR(K190:P190)),FALSE,TRUE)</f>
        <v>1</v>
      </c>
      <c r="C190" s="43" t="b">
        <f>OR(BR190=Driver!$G$50,Data!BR1214=Driver!$H$50)</f>
        <v>1</v>
      </c>
      <c r="D190" s="43" t="b">
        <f>OR(BV190=Driver!$G$51,BV190=Driver!$H$51)</f>
        <v>0</v>
      </c>
      <c r="E190" s="43" t="b">
        <f>AND(BX190&gt;Driver!$F$54,BX190&lt;Driver!$G$54)</f>
        <v>1</v>
      </c>
      <c r="F190" s="43" t="b">
        <f>CL190&gt;Driver!$F$56</f>
        <v>1</v>
      </c>
      <c r="G190" s="43" t="b">
        <f>AND(CB190&gt;Driver!$F$55,CB190&lt;Driver!$G$55)</f>
        <v>0</v>
      </c>
      <c r="H190" s="43" t="b">
        <f t="shared" si="74"/>
        <v>0</v>
      </c>
      <c r="I190" s="43">
        <f t="shared" si="75"/>
        <v>0</v>
      </c>
      <c r="J190" s="43" t="b">
        <f t="array" ref="J190">NOT(OR(($H$9:$H$1273=TRUE)*($I$9:$I$1273&gt;0)*($BT$9:$BT$1273=BT190)*($K$9:$K$1273&gt;K190)))</f>
        <v>1</v>
      </c>
      <c r="K190" s="72">
        <f t="shared" si="76"/>
        <v>0.82952585462490902</v>
      </c>
      <c r="L190" s="72">
        <f t="shared" si="77"/>
        <v>0.91998089689730111</v>
      </c>
      <c r="M190" s="72">
        <f t="shared" si="78"/>
        <v>0.73907081235251693</v>
      </c>
      <c r="N190" s="72">
        <f t="shared" si="79"/>
        <v>0.70245928081925868</v>
      </c>
      <c r="O190" s="72">
        <f t="shared" si="80"/>
        <v>0.62131806068108186</v>
      </c>
      <c r="P190" s="72">
        <f t="shared" si="81"/>
        <v>0.89343509555721023</v>
      </c>
      <c r="Q190" s="72"/>
      <c r="R190" s="72"/>
      <c r="S190" s="72">
        <f t="shared" si="82"/>
        <v>0.46065972113209774</v>
      </c>
      <c r="T190" s="72">
        <f t="shared" si="83"/>
        <v>0.54395254648753721</v>
      </c>
      <c r="U190" s="72">
        <f t="shared" si="84"/>
        <v>0.55835708595556577</v>
      </c>
      <c r="V190" s="72">
        <f t="shared" si="85"/>
        <v>0.58126208444543215</v>
      </c>
      <c r="W190" s="72">
        <f t="shared" si="86"/>
        <v>0.79025547733923907</v>
      </c>
      <c r="X190" s="72">
        <f t="shared" si="87"/>
        <v>8.0019103102698858E-2</v>
      </c>
      <c r="Y190" s="72">
        <f t="shared" si="88"/>
        <v>0.26092918764748307</v>
      </c>
      <c r="Z190" s="72">
        <f t="shared" si="89"/>
        <v>0.29754071918074132</v>
      </c>
      <c r="AA190" s="72">
        <f t="shared" si="90"/>
        <v>0.37868193931891814</v>
      </c>
      <c r="AB190" s="72">
        <f t="shared" si="91"/>
        <v>0.10656490444278977</v>
      </c>
      <c r="AC190" s="72"/>
      <c r="AD190" s="72"/>
      <c r="AE190" s="72">
        <f t="shared" si="92"/>
        <v>0.53934027886790226</v>
      </c>
      <c r="AF190" s="72">
        <f t="shared" si="93"/>
        <v>0.45604745351246284</v>
      </c>
      <c r="AG190" s="72">
        <f t="shared" si="94"/>
        <v>0.44164291404443423</v>
      </c>
      <c r="AH190" s="72">
        <f t="shared" si="95"/>
        <v>0.41873791555456791</v>
      </c>
      <c r="AI190" s="72">
        <f t="shared" si="96"/>
        <v>0.20974452266076091</v>
      </c>
      <c r="AJ190" s="72">
        <f>(AV190-Driver!$K$179)/(Driver!$L$179-Driver!$K$179)</f>
        <v>0.17420030618000157</v>
      </c>
      <c r="AK190" s="72">
        <f>(AW190-Driver!$K$180)/(Driver!$L$180-Driver!$K$180)</f>
        <v>0.36617383791654262</v>
      </c>
      <c r="AL190" s="72">
        <f>(AX190-Driver!$K$181)/(Driver!$L$181-Driver!$K$181)</f>
        <v>0.39922848289382151</v>
      </c>
      <c r="AM190" s="72">
        <f>(AY190-Driver!$K$182)/(Driver!$L$182-Driver!$K$182)</f>
        <v>6.8703081778128228E-2</v>
      </c>
      <c r="AN190" s="72">
        <f>(AZ190-Driver!$K$183)/(Driver!$L$183-Driver!$K$183)</f>
        <v>0.36078431372549019</v>
      </c>
      <c r="AO190" s="72"/>
      <c r="AP190" s="72"/>
      <c r="AQ190" s="72">
        <f>(BC190-Driver!$K$188)/(Driver!$L$188-Driver!$K$188)</f>
        <v>8.0659721132097739E-2</v>
      </c>
      <c r="AR190" s="72">
        <f>MIN((BD190-Driver!$K$189)/(Driver!$L$189-Driver!$K$189),100%)</f>
        <v>9.3952546487537189E-2</v>
      </c>
      <c r="AS190" s="72">
        <f>(BE190-Driver!$K$190)/(Driver!$L$190-Driver!$K$190)</f>
        <v>6.8357085955565777E-2</v>
      </c>
      <c r="AT190" s="72">
        <f>(BF190-Driver!$K$191)/(Driver!$L$191-Driver!$K$191)</f>
        <v>9.1262084445432101E-2</v>
      </c>
      <c r="AU190" s="72">
        <f>(BG190-Driver!$K$192)/(Driver!$L$192-Driver!$K$192)</f>
        <v>4.02554773392391E-2</v>
      </c>
      <c r="AV190" s="70">
        <f t="shared" si="97"/>
        <v>3.6663953330619994</v>
      </c>
      <c r="AW190" s="70">
        <f t="shared" si="98"/>
        <v>37.558777756700287</v>
      </c>
      <c r="AX190" s="70">
        <f t="shared" si="99"/>
        <v>4.5930563460443938</v>
      </c>
      <c r="AY190" s="70">
        <f>IFERROR(Driver!$K$19/Data!BH190/Data!BI190*Data!BK190*Data!BL190,"")</f>
        <v>8.4113071117545374E-2</v>
      </c>
      <c r="AZ190" s="70">
        <f t="shared" si="100"/>
        <v>32.881608339538346</v>
      </c>
      <c r="BA190" s="70"/>
      <c r="BB190" s="70"/>
      <c r="BC190" s="70">
        <f t="shared" si="101"/>
        <v>41.838758088503241</v>
      </c>
      <c r="BD190" s="70">
        <f t="shared" si="102"/>
        <v>10.03545677418318</v>
      </c>
      <c r="BE190" s="70">
        <f t="shared" si="103"/>
        <v>6.8523280565343653E-2</v>
      </c>
      <c r="BF190" s="70">
        <f t="shared" si="104"/>
        <v>10.307411285681628</v>
      </c>
      <c r="BG190" s="70">
        <f t="shared" si="105"/>
        <v>0.15243291742466186</v>
      </c>
      <c r="BH190" s="67">
        <f>MAX((CE190-Driver!$F$200)/(Driver!$G$200-Driver!$F$200)*$BI$1,1)</f>
        <v>4.5930563460443938</v>
      </c>
      <c r="BI190" s="67">
        <f>MAX($BI$1*(BY190-Driver!$F$201)/(Driver!$G$201-Driver!$F$201),1)</f>
        <v>6.075949367088608</v>
      </c>
      <c r="BJ190" s="67">
        <f>(CB190-Driver!$F$206)/(Driver!$G$206-Driver!$F$206)*$BI$1</f>
        <v>3.6507936507936507</v>
      </c>
      <c r="BK190" s="67">
        <f>(CD190-Driver!$F$203)/(Driver!$G$203-Driver!$F$203)*$BI$1</f>
        <v>2.4311926605504586</v>
      </c>
      <c r="BL190" s="67">
        <f>MAX((CR190-Driver!$F$202)/(Driver!$G$202-Driver!$F$202)*$BI$1,1)</f>
        <v>4.8275862068965516</v>
      </c>
      <c r="BM190" s="67">
        <f>MAX((CH190-Driver!$F$204)/(Driver!$G$204-Driver!$F$204)*$BI$1,1)</f>
        <v>4.017094017094017</v>
      </c>
      <c r="BN190" s="67">
        <f>(CI190-Driver!$F$205)/(Driver!$G$205-Driver!$F$205)*$BI$1</f>
        <v>5.4117647058823524</v>
      </c>
      <c r="BO190" s="67">
        <f>(CK190-Driver!$F$207)/(Driver!$G$207-Driver!$F$207)*$BI$1</f>
        <v>2.5956566701137538</v>
      </c>
      <c r="BP190" s="67">
        <f>(CM190-Driver!$F$208)/(Driver!$G$208-Driver!$F$208)*$BI$1</f>
        <v>2.6444444444444444</v>
      </c>
      <c r="BQ190" s="67">
        <f>(CL190-Driver!$F$209)/(Driver!$G$209-Driver!$F$209)*$BI$1</f>
        <v>2.8125</v>
      </c>
      <c r="BR190" s="28" t="s">
        <v>155</v>
      </c>
      <c r="BS190" s="8" t="s">
        <v>229</v>
      </c>
      <c r="BT190" s="9" t="s">
        <v>311</v>
      </c>
      <c r="BU190" s="10">
        <v>163</v>
      </c>
      <c r="BV190" s="9" t="s">
        <v>163</v>
      </c>
      <c r="BW190" s="10">
        <v>163</v>
      </c>
      <c r="BX190" s="10">
        <v>164</v>
      </c>
      <c r="BY190" s="10">
        <v>104</v>
      </c>
      <c r="BZ190" s="10">
        <v>140</v>
      </c>
      <c r="CA190" s="10">
        <v>128</v>
      </c>
      <c r="CB190" s="10">
        <v>87</v>
      </c>
      <c r="CC190" s="10">
        <v>110</v>
      </c>
      <c r="CD190" s="10">
        <v>14.7</v>
      </c>
      <c r="CE190" s="10">
        <v>1707</v>
      </c>
      <c r="CF190" s="10">
        <v>0.96</v>
      </c>
      <c r="CG190" s="10">
        <v>1644</v>
      </c>
      <c r="CH190" s="10">
        <v>195</v>
      </c>
      <c r="CI190" s="10">
        <v>125</v>
      </c>
      <c r="CJ190" s="10">
        <v>44</v>
      </c>
      <c r="CK190" s="10">
        <v>361</v>
      </c>
      <c r="CL190" s="10">
        <v>18</v>
      </c>
      <c r="CM190" s="10">
        <v>238</v>
      </c>
      <c r="CN190" s="10">
        <v>0.40100000000000002</v>
      </c>
      <c r="CO190" s="10">
        <v>133</v>
      </c>
      <c r="CP190" s="10">
        <v>105</v>
      </c>
      <c r="CQ190" s="10">
        <v>228</v>
      </c>
      <c r="CR190" s="10">
        <v>3</v>
      </c>
      <c r="CS190" s="10">
        <v>11</v>
      </c>
      <c r="CT190" s="9" t="s">
        <v>188</v>
      </c>
      <c r="CU190" s="10"/>
      <c r="CV190" s="10"/>
      <c r="CW190" s="10"/>
      <c r="CX190" t="e">
        <f>INDEX('Data_Price '!AG$2:AG$1266,MATCH(Data!$DN190,'Data_Price '!$AT$2:$AT$1266,0))</f>
        <v>#N/A</v>
      </c>
      <c r="CY190" t="e">
        <f>INDEX('Data_Price '!AH$2:AH$1266,MATCH(Data!$DN190,'Data_Price '!$AT$2:$AT$1266,0))</f>
        <v>#N/A</v>
      </c>
      <c r="CZ190" t="e">
        <f>INDEX('Data_Price '!AI$2:AI$1266,MATCH(Data!$DN190,'Data_Price '!$AT$2:$AT$1266,0))</f>
        <v>#N/A</v>
      </c>
      <c r="DA190" t="e">
        <f>INDEX('Data_Price '!AJ$2:AJ$1266,MATCH(Data!$DN190,'Data_Price '!$AT$2:$AT$1266,0))</f>
        <v>#N/A</v>
      </c>
      <c r="DB190" t="e">
        <f>INDEX('Data_Price '!AK$2:AK$1266,MATCH(Data!$DN190,'Data_Price '!$AT$2:$AT$1266,0))</f>
        <v>#N/A</v>
      </c>
      <c r="DC190" t="e">
        <f>INDEX('Data_Price '!AL$2:AL$1266,MATCH(Data!$DN190,'Data_Price '!$AT$2:$AT$1266,0))</f>
        <v>#N/A</v>
      </c>
      <c r="DD190" t="e">
        <f>INDEX('Data_Price '!AM$2:AM$1266,MATCH(Data!$DN190,'Data_Price '!$AT$2:$AT$1266,0))</f>
        <v>#N/A</v>
      </c>
      <c r="DE190" t="e">
        <f>INDEX('Data_Price '!AN$2:AN$1266,MATCH(Data!$DN190,'Data_Price '!$AT$2:$AT$1266,0))</f>
        <v>#N/A</v>
      </c>
      <c r="DF190" t="e">
        <f>INDEX('Data_Price '!AO$2:AO$1266,MATCH(Data!$DN190,'Data_Price '!$AT$2:$AT$1266,0))</f>
        <v>#N/A</v>
      </c>
      <c r="DG190" t="e">
        <f>INDEX('Data_Price '!AP$2:AP$1266,MATCH(Data!$DN190,'Data_Price '!$AT$2:$AT$1266,0))</f>
        <v>#N/A</v>
      </c>
      <c r="DH190" t="e">
        <f>INDEX('Data_Price '!AQ$2:AQ$1266,MATCH(Data!$DN190,'Data_Price '!$AT$2:$AT$1266,0))</f>
        <v>#N/A</v>
      </c>
      <c r="DI190" t="e">
        <f>INDEX('Data_Price '!AR$2:AR$1266,MATCH(Data!$DN190,'Data_Price '!$AT$2:$AT$1266,0))</f>
        <v>#N/A</v>
      </c>
      <c r="DJ190" s="89" t="e">
        <f t="shared" si="106"/>
        <v>#N/A</v>
      </c>
      <c r="DK190" s="89" t="e">
        <f t="shared" si="107"/>
        <v>#N/A</v>
      </c>
      <c r="DL190" s="89" t="e">
        <f t="shared" si="108"/>
        <v>#N/A</v>
      </c>
      <c r="DM190" s="219" t="str">
        <f t="shared" si="109"/>
        <v>Kenja 88</v>
      </c>
      <c r="DN190" s="89" t="str">
        <f t="shared" si="110"/>
        <v xml:space="preserve"> VölklKenja 88163 Women's</v>
      </c>
      <c r="DO190" s="221" t="s">
        <v>312</v>
      </c>
    </row>
    <row r="191" spans="1:119" ht="15.6" customHeight="1">
      <c r="B191" s="219" t="b">
        <f t="array" ref="B191">IF(OR(ISERROR(K191:P191)),FALSE,TRUE)</f>
        <v>1</v>
      </c>
      <c r="C191" s="43" t="b">
        <f>OR(BR191=Driver!$G$50,Data!BR166=Driver!$H$50)</f>
        <v>1</v>
      </c>
      <c r="D191" s="43" t="b">
        <f>OR(BV191=Driver!$G$51,BV191=Driver!$H$51)</f>
        <v>1</v>
      </c>
      <c r="E191" s="43" t="b">
        <f>AND(BX191&gt;Driver!$F$54,BX191&lt;Driver!$G$54)</f>
        <v>0</v>
      </c>
      <c r="F191" s="43" t="b">
        <f>CL191&gt;Driver!$F$56</f>
        <v>1</v>
      </c>
      <c r="G191" s="43" t="b">
        <f>AND(CB191&gt;Driver!$F$55,CB191&lt;Driver!$G$55)</f>
        <v>0</v>
      </c>
      <c r="H191" s="43" t="b">
        <f t="shared" si="74"/>
        <v>0</v>
      </c>
      <c r="I191" s="43">
        <f t="shared" si="75"/>
        <v>0</v>
      </c>
      <c r="J191" s="43" t="b">
        <f t="array" ref="J191">NOT(OR(($H$9:$H$1273=TRUE)*($I$9:$I$1273&gt;0)*($BT$9:$BT$1273=BT191)*($K$9:$K$1273&gt;K191)))</f>
        <v>1</v>
      </c>
      <c r="K191" s="72">
        <f t="shared" si="76"/>
        <v>0.83368385278658441</v>
      </c>
      <c r="L191" s="72">
        <f t="shared" si="77"/>
        <v>0.90177124416988197</v>
      </c>
      <c r="M191" s="72">
        <f t="shared" si="78"/>
        <v>0.76559646140328685</v>
      </c>
      <c r="N191" s="72">
        <f t="shared" si="79"/>
        <v>0.77581664501327618</v>
      </c>
      <c r="O191" s="72">
        <f t="shared" si="80"/>
        <v>0.67394287239754391</v>
      </c>
      <c r="P191" s="72">
        <f t="shared" si="81"/>
        <v>0.84702986679904035</v>
      </c>
      <c r="Q191" s="72"/>
      <c r="R191" s="72"/>
      <c r="S191" s="72">
        <f t="shared" si="82"/>
        <v>0.51523002187013756</v>
      </c>
      <c r="T191" s="72">
        <f t="shared" si="83"/>
        <v>0.50998318529975262</v>
      </c>
      <c r="U191" s="72">
        <f t="shared" si="84"/>
        <v>0.71582577638314204</v>
      </c>
      <c r="V191" s="72">
        <f t="shared" si="85"/>
        <v>0.52437485901570935</v>
      </c>
      <c r="W191" s="72">
        <f t="shared" si="86"/>
        <v>0.78626907643731081</v>
      </c>
      <c r="X191" s="72">
        <f t="shared" si="87"/>
        <v>9.8228755830118059E-2</v>
      </c>
      <c r="Y191" s="72">
        <f t="shared" si="88"/>
        <v>0.23440353859671315</v>
      </c>
      <c r="Z191" s="72">
        <f t="shared" si="89"/>
        <v>0.22418335498672376</v>
      </c>
      <c r="AA191" s="72">
        <f t="shared" si="90"/>
        <v>0.32605712760245609</v>
      </c>
      <c r="AB191" s="72">
        <f t="shared" si="91"/>
        <v>0.1529701332009597</v>
      </c>
      <c r="AC191" s="72"/>
      <c r="AD191" s="72"/>
      <c r="AE191" s="72">
        <f t="shared" si="92"/>
        <v>0.48476997812986239</v>
      </c>
      <c r="AF191" s="72">
        <f t="shared" si="93"/>
        <v>0.49001681470024738</v>
      </c>
      <c r="AG191" s="72">
        <f t="shared" si="94"/>
        <v>0.28417422361685796</v>
      </c>
      <c r="AH191" s="72">
        <f t="shared" si="95"/>
        <v>0.47562514098429071</v>
      </c>
      <c r="AI191" s="72">
        <f t="shared" si="96"/>
        <v>0.21373092356268913</v>
      </c>
      <c r="AJ191" s="72">
        <f>(AV191-Driver!$K$179)/(Driver!$L$179-Driver!$K$179)</f>
        <v>0.15599065345258237</v>
      </c>
      <c r="AK191" s="72">
        <f>(AW191-Driver!$K$180)/(Driver!$L$180-Driver!$K$180)</f>
        <v>0.40345674338514953</v>
      </c>
      <c r="AL191" s="72">
        <f>(AX191-Driver!$K$181)/(Driver!$L$181-Driver!$K$181)</f>
        <v>0.32587111869980395</v>
      </c>
      <c r="AM191" s="72">
        <f>(AY191-Driver!$K$182)/(Driver!$L$182-Driver!$K$182)</f>
        <v>0.12132789349459031</v>
      </c>
      <c r="AN191" s="72">
        <f>(AZ191-Driver!$K$183)/(Driver!$L$183-Driver!$K$183)</f>
        <v>0.40718954248366013</v>
      </c>
      <c r="AO191" s="72"/>
      <c r="AP191" s="72"/>
      <c r="AQ191" s="72">
        <f>(BC191-Driver!$K$188)/(Driver!$L$188-Driver!$K$188)</f>
        <v>0.13523002187013761</v>
      </c>
      <c r="AR191" s="72">
        <f>MIN((BD191-Driver!$K$189)/(Driver!$L$189-Driver!$K$189),100%)</f>
        <v>5.9983185299752662E-2</v>
      </c>
      <c r="AS191" s="72">
        <f>(BE191-Driver!$K$190)/(Driver!$L$190-Driver!$K$190)</f>
        <v>0.22582577638314208</v>
      </c>
      <c r="AT191" s="72">
        <f>(BF191-Driver!$K$191)/(Driver!$L$191-Driver!$K$191)</f>
        <v>3.4374859015709296E-2</v>
      </c>
      <c r="AU191" s="72">
        <f>(BG191-Driver!$K$192)/(Driver!$L$192-Driver!$K$192)</f>
        <v>3.6269076437310879E-2</v>
      </c>
      <c r="AV191" s="70">
        <f t="shared" si="97"/>
        <v>3.2831366164699496</v>
      </c>
      <c r="AW191" s="70">
        <f t="shared" si="98"/>
        <v>41.192327254765495</v>
      </c>
      <c r="AX191" s="70">
        <f t="shared" si="99"/>
        <v>3.9328400682982356</v>
      </c>
      <c r="AY191" s="70">
        <f>IFERROR(Driver!$K$19/Data!BH191/Data!BI191*Data!BK191*Data!BL191,"")</f>
        <v>0.14854154238684111</v>
      </c>
      <c r="AZ191" s="70">
        <f t="shared" si="100"/>
        <v>37.110945644080417</v>
      </c>
      <c r="BA191" s="70"/>
      <c r="BB191" s="70"/>
      <c r="BC191" s="70">
        <f t="shared" si="101"/>
        <v>70.144752447900572</v>
      </c>
      <c r="BD191" s="70">
        <f t="shared" si="102"/>
        <v>7.0292284992106362</v>
      </c>
      <c r="BE191" s="70">
        <f t="shared" si="103"/>
        <v>0.22596388035093326</v>
      </c>
      <c r="BF191" s="70">
        <f t="shared" si="104"/>
        <v>3.8823988287719993</v>
      </c>
      <c r="BG191" s="70">
        <f t="shared" si="105"/>
        <v>0.13733786056111039</v>
      </c>
      <c r="BH191" s="67">
        <f>MAX((CE191-Driver!$F$200)/(Driver!$G$200-Driver!$F$200)*$BI$1,1)</f>
        <v>3.9328400682982356</v>
      </c>
      <c r="BI191" s="67">
        <f>MAX($BI$1*(BY191-Driver!$F$201)/(Driver!$G$201-Driver!$F$201),1)</f>
        <v>7.0886075949367084</v>
      </c>
      <c r="BJ191" s="67">
        <f>(CB191-Driver!$F$206)/(Driver!$G$206-Driver!$F$206)*$BI$1</f>
        <v>3.4920634920634921</v>
      </c>
      <c r="BK191" s="67">
        <f>(CD191-Driver!$F$203)/(Driver!$G$203-Driver!$F$203)*$BI$1</f>
        <v>3.5321100917431201</v>
      </c>
      <c r="BL191" s="67">
        <f>MAX((CR191-Driver!$F$202)/(Driver!$G$202-Driver!$F$202)*$BI$1,1)</f>
        <v>5.8620689655172411</v>
      </c>
      <c r="BM191" s="67">
        <f>MAX((CH191-Driver!$F$204)/(Driver!$G$204-Driver!$F$204)*$BI$1,1)</f>
        <v>3.7606837606837606</v>
      </c>
      <c r="BN191" s="67">
        <f>(CI191-Driver!$F$205)/(Driver!$G$205-Driver!$F$205)*$BI$1</f>
        <v>5.2352941176470589</v>
      </c>
      <c r="BO191" s="67">
        <f>(CK191-Driver!$F$207)/(Driver!$G$207-Driver!$F$207)*$BI$1</f>
        <v>1.8407445708376422</v>
      </c>
      <c r="BP191" s="67">
        <f>(CM191-Driver!$F$208)/(Driver!$G$208-Driver!$F$208)*$BI$1</f>
        <v>2.1333333333333333</v>
      </c>
      <c r="BQ191" s="67">
        <f>(CL191-Driver!$F$209)/(Driver!$G$209-Driver!$F$209)*$BI$1</f>
        <v>2.03125</v>
      </c>
      <c r="BR191" s="28" t="s">
        <v>155</v>
      </c>
      <c r="BS191" s="8" t="s">
        <v>156</v>
      </c>
      <c r="BT191" s="9" t="s">
        <v>411</v>
      </c>
      <c r="BU191" s="10">
        <v>169</v>
      </c>
      <c r="BV191" s="9" t="s">
        <v>158</v>
      </c>
      <c r="BW191" s="10">
        <v>169</v>
      </c>
      <c r="BX191" s="10">
        <v>168</v>
      </c>
      <c r="BY191" s="10">
        <v>120</v>
      </c>
      <c r="BZ191" s="10">
        <v>144</v>
      </c>
      <c r="CA191" s="10">
        <v>122</v>
      </c>
      <c r="CB191" s="10">
        <v>86</v>
      </c>
      <c r="CC191" s="10">
        <v>106</v>
      </c>
      <c r="CD191" s="10">
        <v>17.100000000000001</v>
      </c>
      <c r="CE191" s="10">
        <v>1591</v>
      </c>
      <c r="CF191" s="10">
        <v>1.03</v>
      </c>
      <c r="CG191" s="10">
        <v>1637</v>
      </c>
      <c r="CH191" s="10">
        <v>189</v>
      </c>
      <c r="CI191" s="10">
        <v>122</v>
      </c>
      <c r="CJ191" s="10">
        <v>53</v>
      </c>
      <c r="CK191" s="10">
        <v>288</v>
      </c>
      <c r="CL191" s="10">
        <v>13</v>
      </c>
      <c r="CM191" s="10">
        <v>192</v>
      </c>
      <c r="CN191" s="10">
        <v>0.251</v>
      </c>
      <c r="CO191" s="10">
        <v>148</v>
      </c>
      <c r="CP191" s="10">
        <v>94</v>
      </c>
      <c r="CQ191" s="10">
        <v>139</v>
      </c>
      <c r="CR191" s="10">
        <v>6</v>
      </c>
      <c r="CS191" s="10">
        <v>8.8000000000000007</v>
      </c>
      <c r="CT191" s="9" t="s">
        <v>188</v>
      </c>
      <c r="CU191" s="10"/>
      <c r="CV191" s="10"/>
      <c r="CW191" s="10"/>
      <c r="CX191" t="str">
        <f>INDEX('Data_Price '!AG$2:AG$1266,MATCH(Data!$DN191,'Data_Price '!$AT$2:$AT$1266,0))</f>
        <v>Atomic Maverick 88 Ti Skis</v>
      </c>
      <c r="CY191" t="str">
        <f>INDEX('Data_Price '!AH$2:AH$1266,MATCH(Data!$DN191,'Data_Price '!$AT$2:$AT$1266,0))</f>
        <v>REI</v>
      </c>
      <c r="CZ191">
        <f>INDEX('Data_Price '!AI$2:AI$1266,MATCH(Data!$DN191,'Data_Price '!$AT$2:$AT$1266,0))</f>
        <v>519.92999999999995</v>
      </c>
      <c r="DA191" t="str">
        <f>INDEX('Data_Price '!AJ$2:AJ$1266,MATCH(Data!$DN191,'Data_Price '!$AT$2:$AT$1266,0))</f>
        <v>https://tinyurl.com/y9pesc5h</v>
      </c>
      <c r="DB191" t="str">
        <f>INDEX('Data_Price '!AK$2:AK$1266,MATCH(Data!$DN191,'Data_Price '!$AT$2:$AT$1266,0))</f>
        <v>Atomic Maverick 88 Ti Skis</v>
      </c>
      <c r="DC191" t="str">
        <f>INDEX('Data_Price '!AL$2:AL$1266,MATCH(Data!$DN191,'Data_Price '!$AT$2:$AT$1266,0))</f>
        <v>SkiEssentials.com</v>
      </c>
      <c r="DD191">
        <f>INDEX('Data_Price '!AM$2:AM$1266,MATCH(Data!$DN191,'Data_Price '!$AT$2:$AT$1266,0))</f>
        <v>519.99</v>
      </c>
      <c r="DE191" t="str">
        <f>INDEX('Data_Price '!AN$2:AN$1266,MATCH(Data!$DN191,'Data_Price '!$AT$2:$AT$1266,0))</f>
        <v>https://tinyurl.com/y9msw8nk</v>
      </c>
      <c r="DF191" t="str">
        <f>INDEX('Data_Price '!AO$2:AO$1266,MATCH(Data!$DN191,'Data_Price '!$AT$2:$AT$1266,0))</f>
        <v>Atomic Maverick 88 Ti Skis</v>
      </c>
      <c r="DG191" t="str">
        <f>INDEX('Data_Price '!AP$2:AP$1266,MATCH(Data!$DN191,'Data_Price '!$AT$2:$AT$1266,0))</f>
        <v>Outdoor Gear Exchange</v>
      </c>
      <c r="DH191">
        <f>INDEX('Data_Price '!AQ$2:AQ$1266,MATCH(Data!$DN191,'Data_Price '!$AT$2:$AT$1266,0))</f>
        <v>519.99</v>
      </c>
      <c r="DI191" t="str">
        <f>INDEX('Data_Price '!AR$2:AR$1266,MATCH(Data!$DN191,'Data_Price '!$AT$2:$AT$1266,0))</f>
        <v>https://tinyurl.com/yanojflu</v>
      </c>
      <c r="DJ191" s="89" t="str">
        <f t="shared" si="106"/>
        <v>https://tinyurl.com/y9pesc5h</v>
      </c>
      <c r="DK191" s="89" t="str">
        <f t="shared" si="107"/>
        <v>https://tinyurl.com/y9msw8nk</v>
      </c>
      <c r="DL191" s="89" t="str">
        <f t="shared" si="108"/>
        <v>https://tinyurl.com/yanojflu</v>
      </c>
      <c r="DM191" s="219" t="str">
        <f t="shared" si="109"/>
        <v>Maverick 88 Ti</v>
      </c>
      <c r="DN191" s="89" t="str">
        <f t="shared" si="110"/>
        <v xml:space="preserve"> AtomicMaverick 88 Ti169 Unisex</v>
      </c>
      <c r="DO191" s="221" t="s">
        <v>412</v>
      </c>
    </row>
    <row r="192" spans="1:119" ht="15.6" customHeight="1">
      <c r="B192" s="219" t="b">
        <f t="array" ref="B192">IF(OR(ISERROR(K192:P192)),FALSE,TRUE)</f>
        <v>1</v>
      </c>
      <c r="C192" s="43" t="b">
        <f>OR(BR192=Driver!$G$50,Data!BR109=Driver!$H$50)</f>
        <v>1</v>
      </c>
      <c r="D192" s="43" t="b">
        <f>OR(BV192=Driver!$G$51,BV192=Driver!$H$51)</f>
        <v>1</v>
      </c>
      <c r="E192" s="43" t="b">
        <f>AND(BX192&gt;Driver!$F$54,BX192&lt;Driver!$G$54)</f>
        <v>0</v>
      </c>
      <c r="F192" s="43" t="b">
        <f>CL192&gt;Driver!$F$56</f>
        <v>1</v>
      </c>
      <c r="G192" s="43" t="b">
        <f>AND(CB192&gt;Driver!$F$55,CB192&lt;Driver!$G$55)</f>
        <v>0</v>
      </c>
      <c r="H192" s="43" t="b">
        <f t="shared" si="74"/>
        <v>0</v>
      </c>
      <c r="I192" s="43">
        <f t="shared" si="75"/>
        <v>0</v>
      </c>
      <c r="J192" s="43" t="b">
        <f t="array" ref="J192">NOT(OR(($H$9:$H$1273=TRUE)*($I$9:$I$1273&gt;0)*($BT$9:$BT$1273=BT192)*($K$9:$K$1273&gt;K192)))</f>
        <v>1</v>
      </c>
      <c r="K192" s="72">
        <f t="shared" si="76"/>
        <v>0.92732248122004091</v>
      </c>
      <c r="L192" s="72">
        <f t="shared" si="77"/>
        <v>0.97742993404176981</v>
      </c>
      <c r="M192" s="72">
        <f t="shared" si="78"/>
        <v>0.87721502839831211</v>
      </c>
      <c r="N192" s="72">
        <f t="shared" si="79"/>
        <v>0.9415031055204538</v>
      </c>
      <c r="O192" s="72">
        <f t="shared" si="80"/>
        <v>0.79106962921531143</v>
      </c>
      <c r="P192" s="72">
        <f t="shared" si="81"/>
        <v>0.899072350459171</v>
      </c>
      <c r="Q192" s="72"/>
      <c r="R192" s="72"/>
      <c r="S192" s="72">
        <f t="shared" si="82"/>
        <v>0.56426656222070326</v>
      </c>
      <c r="T192" s="72">
        <f t="shared" si="83"/>
        <v>0.47003110715077345</v>
      </c>
      <c r="U192" s="72">
        <f t="shared" si="84"/>
        <v>0.51</v>
      </c>
      <c r="V192" s="72">
        <f t="shared" si="85"/>
        <v>0.49926199540048499</v>
      </c>
      <c r="W192" s="72">
        <f t="shared" si="86"/>
        <v>0.78479999999999994</v>
      </c>
      <c r="X192" s="72">
        <f t="shared" si="87"/>
        <v>2.2570065958230245E-2</v>
      </c>
      <c r="Y192" s="72">
        <f t="shared" si="88"/>
        <v>0.12278497160168793</v>
      </c>
      <c r="Z192" s="72">
        <f t="shared" si="89"/>
        <v>5.849689447954616E-2</v>
      </c>
      <c r="AA192" s="72">
        <f t="shared" si="90"/>
        <v>0.20893037078468862</v>
      </c>
      <c r="AB192" s="72">
        <f t="shared" si="91"/>
        <v>0.100927649540829</v>
      </c>
      <c r="AC192" s="72"/>
      <c r="AD192" s="72"/>
      <c r="AE192" s="72">
        <f t="shared" si="92"/>
        <v>0.43573343777929668</v>
      </c>
      <c r="AF192" s="72">
        <f t="shared" si="93"/>
        <v>0.52996889284922655</v>
      </c>
      <c r="AG192" s="72">
        <f t="shared" si="94"/>
        <v>0.49</v>
      </c>
      <c r="AH192" s="72">
        <f t="shared" si="95"/>
        <v>0.50073800459951501</v>
      </c>
      <c r="AI192" s="72">
        <f t="shared" si="96"/>
        <v>0.2152</v>
      </c>
      <c r="AJ192" s="72">
        <f>(AV192-Driver!$K$179)/(Driver!$L$179-Driver!$K$179)</f>
        <v>0.23164934332447018</v>
      </c>
      <c r="AK192" s="72">
        <f>(AW192-Driver!$K$180)/(Driver!$L$180-Driver!$K$180)</f>
        <v>0.34095968128653115</v>
      </c>
      <c r="AL192" s="72">
        <f>(AX192-Driver!$K$181)/(Driver!$L$181-Driver!$K$181)</f>
        <v>0.16018465819262634</v>
      </c>
      <c r="AM192" s="72">
        <f>(AY192-Driver!$K$182)/(Driver!$L$182-Driver!$K$182)</f>
        <v>0.23845465031235774</v>
      </c>
      <c r="AN192" s="72">
        <f>(AZ192-Driver!$K$183)/(Driver!$L$183-Driver!$K$183)</f>
        <v>0.35514705882352943</v>
      </c>
      <c r="AO192" s="72"/>
      <c r="AP192" s="72"/>
      <c r="AQ192" s="72">
        <f>(BC192-Driver!$K$188)/(Driver!$L$188-Driver!$K$188)</f>
        <v>0.18426656222070331</v>
      </c>
      <c r="AR192" s="72">
        <f>MIN((BD192-Driver!$K$189)/(Driver!$L$189-Driver!$K$189),100%)</f>
        <v>2.0031107150773483E-2</v>
      </c>
      <c r="AS192" s="72">
        <f>(BE192-Driver!$K$190)/(Driver!$L$190-Driver!$K$190)</f>
        <v>1</v>
      </c>
      <c r="AT192" s="72">
        <f>(BF192-Driver!$K$191)/(Driver!$L$191-Driver!$K$191)</f>
        <v>9.2619954004849857E-3</v>
      </c>
      <c r="AU192" s="72">
        <f>(BG192-Driver!$K$192)/(Driver!$L$192-Driver!$K$192)</f>
        <v>3.4799999999999998E-2</v>
      </c>
      <c r="AV192" s="70">
        <f t="shared" si="97"/>
        <v>4.8755257088590414</v>
      </c>
      <c r="AW192" s="70">
        <f t="shared" si="98"/>
        <v>35.101434772949752</v>
      </c>
      <c r="AX192" s="70">
        <f t="shared" si="99"/>
        <v>2.441661923733637</v>
      </c>
      <c r="AY192" s="70">
        <f>IFERROR(Driver!$K$19/Data!BH192/Data!BI192*Data!BK192*Data!BL192,"")</f>
        <v>0.29193963998304945</v>
      </c>
      <c r="AZ192" s="70">
        <f t="shared" si="100"/>
        <v>32.367833209233062</v>
      </c>
      <c r="BA192" s="70"/>
      <c r="BB192" s="70"/>
      <c r="BC192" s="70">
        <f t="shared" si="101"/>
        <v>95.580346824236955</v>
      </c>
      <c r="BD192" s="70">
        <f t="shared" si="102"/>
        <v>3.4935403739195414</v>
      </c>
      <c r="BE192" s="70">
        <f t="shared" si="103"/>
        <v>1</v>
      </c>
      <c r="BF192" s="70">
        <f t="shared" si="104"/>
        <v>1.0460773112844306</v>
      </c>
      <c r="BG192" s="70">
        <f t="shared" si="105"/>
        <v>0.131775</v>
      </c>
      <c r="BH192" s="67">
        <f>MAX((CE192-Driver!$F$200)/(Driver!$G$200-Driver!$F$200)*$BI$1,1)</f>
        <v>2.441661923733637</v>
      </c>
      <c r="BI192" s="67">
        <f>MAX($BI$1*(BY192-Driver!$F$201)/(Driver!$G$201-Driver!$F$201),1)</f>
        <v>8.7341772151898738</v>
      </c>
      <c r="BJ192" s="67">
        <f>(CB192-Driver!$F$206)/(Driver!$G$206-Driver!$F$206)*$BI$1</f>
        <v>3.6507936507936507</v>
      </c>
      <c r="BK192" s="67">
        <f>(CD192-Driver!$F$203)/(Driver!$G$203-Driver!$F$203)*$BI$1</f>
        <v>5.6422018348623855</v>
      </c>
      <c r="BL192" s="67">
        <f>MAX((CR192-Driver!$F$202)/(Driver!$G$202-Driver!$F$202)*$BI$1,1)</f>
        <v>5.5172413793103452</v>
      </c>
      <c r="BM192" s="67">
        <f>MAX((CH192-Driver!$F$204)/(Driver!$G$204-Driver!$F$204)*$BI$1,1)</f>
        <v>5.3418803418803416</v>
      </c>
      <c r="BN192" s="67">
        <f>(CI192-Driver!$F$205)/(Driver!$G$205-Driver!$F$205)*$BI$1</f>
        <v>3.7058823529411766</v>
      </c>
      <c r="BO192" s="67">
        <f>(CK192-Driver!$F$207)/(Driver!$G$207-Driver!$F$207)*$BI$1</f>
        <v>1.0858324715615306</v>
      </c>
      <c r="BP192" s="67">
        <f>(CM192-Driver!$F$208)/(Driver!$G$208-Driver!$F$208)*$BI$1</f>
        <v>1.4888888888888887</v>
      </c>
      <c r="BQ192" s="67">
        <f>(CL192-Driver!$F$209)/(Driver!$G$209-Driver!$F$209)*$BI$1</f>
        <v>1.71875</v>
      </c>
      <c r="BR192" s="28" t="s">
        <v>155</v>
      </c>
      <c r="BS192" s="8" t="s">
        <v>182</v>
      </c>
      <c r="BT192" s="9" t="s">
        <v>413</v>
      </c>
      <c r="BU192" s="10">
        <v>182</v>
      </c>
      <c r="BV192" s="9" t="s">
        <v>158</v>
      </c>
      <c r="BW192" s="10">
        <v>182</v>
      </c>
      <c r="BX192" s="10">
        <v>181.2</v>
      </c>
      <c r="BY192" s="10">
        <v>146</v>
      </c>
      <c r="BZ192" s="10">
        <v>151</v>
      </c>
      <c r="CA192" s="10">
        <v>116</v>
      </c>
      <c r="CB192" s="10">
        <v>87</v>
      </c>
      <c r="CC192" s="10">
        <v>108</v>
      </c>
      <c r="CD192" s="10">
        <v>21.7</v>
      </c>
      <c r="CE192" s="10">
        <v>1329</v>
      </c>
      <c r="CF192" s="10">
        <v>1.31</v>
      </c>
      <c r="CG192" s="10">
        <v>1745</v>
      </c>
      <c r="CH192" s="10">
        <v>226</v>
      </c>
      <c r="CI192" s="10">
        <v>96</v>
      </c>
      <c r="CJ192" s="10">
        <v>41</v>
      </c>
      <c r="CK192" s="10">
        <v>215</v>
      </c>
      <c r="CL192" s="10">
        <v>11</v>
      </c>
      <c r="CM192" s="10">
        <v>134</v>
      </c>
      <c r="CN192" s="10">
        <v>0.26700000000000002</v>
      </c>
      <c r="CO192" s="10">
        <v>186</v>
      </c>
      <c r="CP192" s="10">
        <v>115</v>
      </c>
      <c r="CQ192" s="10">
        <v>29</v>
      </c>
      <c r="CR192" s="10">
        <v>5</v>
      </c>
      <c r="CS192" s="10">
        <v>8.3000000000000007</v>
      </c>
      <c r="CT192" s="9" t="s">
        <v>185</v>
      </c>
      <c r="CU192" s="9" t="s">
        <v>198</v>
      </c>
      <c r="CV192" s="10"/>
      <c r="CW192" s="10"/>
      <c r="CX192" t="str">
        <f>INDEX('Data_Price '!AG$2:AG$1266,MATCH(Data!$DN192,'Data_Price '!$AT$2:$AT$1266,0))</f>
        <v>Armada - Tracer 88 - 182 Silver</v>
      </c>
      <c r="CY192" t="str">
        <f>INDEX('Data_Price '!AH$2:AH$1266,MATCH(Data!$DN192,'Data_Price '!$AT$2:$AT$1266,0))</f>
        <v>Snowcountry.eu</v>
      </c>
      <c r="CZ192">
        <f>INDEX('Data_Price '!AI$2:AI$1266,MATCH(Data!$DN192,'Data_Price '!$AT$2:$AT$1266,0))</f>
        <v>367.9</v>
      </c>
      <c r="DA192" t="str">
        <f>INDEX('Data_Price '!AJ$2:AJ$1266,MATCH(Data!$DN192,'Data_Price '!$AT$2:$AT$1266,0))</f>
        <v>https://tinyurl.com/yca45qg5</v>
      </c>
      <c r="DB192" t="str">
        <f>INDEX('Data_Price '!AK$2:AK$1266,MATCH(Data!$DN192,'Data_Price '!$AT$2:$AT$1266,0))</f>
        <v>2020 Armada Tracer 88 Skis 182</v>
      </c>
      <c r="DC192" t="str">
        <f>INDEX('Data_Price '!AL$2:AL$1266,MATCH(Data!$DN192,'Data_Price '!$AT$2:$AT$1266,0))</f>
        <v>SkiYard</v>
      </c>
      <c r="DD192">
        <f>INDEX('Data_Price '!AM$2:AM$1266,MATCH(Data!$DN192,'Data_Price '!$AT$2:$AT$1266,0))</f>
        <v>379.99</v>
      </c>
      <c r="DE192" t="str">
        <f>INDEX('Data_Price '!AN$2:AN$1266,MATCH(Data!$DN192,'Data_Price '!$AT$2:$AT$1266,0))</f>
        <v>https://tinyurl.com/y7fw3fy5</v>
      </c>
      <c r="DF192" t="str">
        <f>INDEX('Data_Price '!AO$2:AO$1266,MATCH(Data!$DN192,'Data_Price '!$AT$2:$AT$1266,0))</f>
        <v>Armada Tracer 88 White-Purple 182 Ski Men</v>
      </c>
      <c r="DG192" t="str">
        <f>INDEX('Data_Price '!AP$2:AP$1266,MATCH(Data!$DN192,'Data_Price '!$AT$2:$AT$1266,0))</f>
        <v>! OutdoorXL.com</v>
      </c>
      <c r="DH192">
        <f>INDEX('Data_Price '!AQ$2:AQ$1266,MATCH(Data!$DN192,'Data_Price '!$AT$2:$AT$1266,0))</f>
        <v>424.95</v>
      </c>
      <c r="DI192" t="str">
        <f>INDEX('Data_Price '!AR$2:AR$1266,MATCH(Data!$DN192,'Data_Price '!$AT$2:$AT$1266,0))</f>
        <v>https://tinyurl.com/y86wb38a</v>
      </c>
      <c r="DJ192" s="89" t="str">
        <f t="shared" si="106"/>
        <v>https://tinyurl.com/yca45qg5</v>
      </c>
      <c r="DK192" s="89" t="str">
        <f t="shared" si="107"/>
        <v>https://tinyurl.com/y7fw3fy5</v>
      </c>
      <c r="DL192" s="89" t="str">
        <f t="shared" si="108"/>
        <v>https://tinyurl.com/y86wb38a</v>
      </c>
      <c r="DM192" s="219" t="str">
        <f t="shared" si="109"/>
        <v>Tracer 88</v>
      </c>
      <c r="DN192" s="89" t="str">
        <f t="shared" si="110"/>
        <v xml:space="preserve"> ArmadaTracer 88182 Unisex</v>
      </c>
      <c r="DO192" s="221"/>
    </row>
    <row r="193" spans="1:119" ht="15.6" customHeight="1">
      <c r="B193" s="219" t="b">
        <f t="array" ref="B193">IF(OR(ISERROR(K193:P193)),FALSE,TRUE)</f>
        <v>1</v>
      </c>
      <c r="C193" s="43" t="b">
        <f>OR(BR193=Driver!$G$50,Data!BR879=Driver!$H$50)</f>
        <v>1</v>
      </c>
      <c r="D193" s="43" t="b">
        <f>OR(BV193=Driver!$G$51,BV193=Driver!$H$51)</f>
        <v>1</v>
      </c>
      <c r="E193" s="43" t="b">
        <f>AND(BX193&gt;Driver!$F$54,BX193&lt;Driver!$G$54)</f>
        <v>0</v>
      </c>
      <c r="F193" s="43" t="b">
        <f>CL193&gt;Driver!$F$56</f>
        <v>1</v>
      </c>
      <c r="G193" s="43" t="b">
        <f>AND(CB193&gt;Driver!$F$55,CB193&lt;Driver!$G$55)</f>
        <v>0</v>
      </c>
      <c r="H193" s="43" t="b">
        <f t="shared" si="74"/>
        <v>0</v>
      </c>
      <c r="I193" s="43">
        <f t="shared" si="75"/>
        <v>0</v>
      </c>
      <c r="J193" s="43" t="b">
        <f t="array" ref="J193">NOT(OR(($H$9:$H$1273=TRUE)*($I$9:$I$1273&gt;0)*($BT$9:$BT$1273=BT193)*($K$9:$K$1273&gt;K193)))</f>
        <v>1</v>
      </c>
      <c r="K193" s="72">
        <f t="shared" si="76"/>
        <v>0.77104076837683255</v>
      </c>
      <c r="L193" s="72">
        <f t="shared" si="77"/>
        <v>0.78874523314862577</v>
      </c>
      <c r="M193" s="72">
        <f t="shared" si="78"/>
        <v>0.75333630360503923</v>
      </c>
      <c r="N193" s="72">
        <f t="shared" si="79"/>
        <v>0.60949779343546062</v>
      </c>
      <c r="O193" s="72">
        <f t="shared" si="80"/>
        <v>0.66124268848911361</v>
      </c>
      <c r="P193" s="72">
        <f t="shared" si="81"/>
        <v>0.98926842889054356</v>
      </c>
      <c r="Q193" s="72"/>
      <c r="R193" s="72"/>
      <c r="S193" s="72">
        <f t="shared" si="82"/>
        <v>0.45141615231095855</v>
      </c>
      <c r="T193" s="72">
        <f t="shared" si="83"/>
        <v>0.46741331737892367</v>
      </c>
      <c r="U193" s="72">
        <f t="shared" si="84"/>
        <v>0.50353295553302146</v>
      </c>
      <c r="V193" s="72">
        <f t="shared" si="85"/>
        <v>0.72143535142550808</v>
      </c>
      <c r="W193" s="72">
        <f t="shared" si="86"/>
        <v>0.81036437597368871</v>
      </c>
      <c r="X193" s="72">
        <f t="shared" si="87"/>
        <v>0.21125476685137423</v>
      </c>
      <c r="Y193" s="72">
        <f t="shared" si="88"/>
        <v>0.24666369639496075</v>
      </c>
      <c r="Z193" s="72">
        <f t="shared" si="89"/>
        <v>0.39050220656453938</v>
      </c>
      <c r="AA193" s="72">
        <f t="shared" si="90"/>
        <v>0.33875731151088634</v>
      </c>
      <c r="AB193" s="72">
        <f t="shared" si="91"/>
        <v>1.0731571109456439E-2</v>
      </c>
      <c r="AC193" s="72"/>
      <c r="AD193" s="72"/>
      <c r="AE193" s="72">
        <f t="shared" si="92"/>
        <v>0.54858384768904145</v>
      </c>
      <c r="AF193" s="72">
        <f t="shared" si="93"/>
        <v>0.53258668262107633</v>
      </c>
      <c r="AG193" s="72">
        <f t="shared" si="94"/>
        <v>0.49646704446697854</v>
      </c>
      <c r="AH193" s="72">
        <f t="shared" si="95"/>
        <v>0.27856464857449198</v>
      </c>
      <c r="AI193" s="72">
        <f t="shared" si="96"/>
        <v>0.18963562402631123</v>
      </c>
      <c r="AJ193" s="72">
        <f>(AV193-Driver!$K$179)/(Driver!$L$179-Driver!$K$179)</f>
        <v>0.46547417613407466</v>
      </c>
      <c r="AK193" s="72">
        <f>(AW193-Driver!$K$180)/(Driver!$L$180-Driver!$K$180)</f>
        <v>0.28564094332546419</v>
      </c>
      <c r="AL193" s="72">
        <f>(AX193-Driver!$K$181)/(Driver!$L$181-Driver!$K$181)</f>
        <v>0.49218997027761957</v>
      </c>
      <c r="AM193" s="72">
        <f>(AY193-Driver!$K$182)/(Driver!$L$182-Driver!$K$182)</f>
        <v>0.10862770958616001</v>
      </c>
      <c r="AN193" s="72">
        <f>(AZ193-Driver!$K$183)/(Driver!$L$183-Driver!$K$183)</f>
        <v>0.26495098039215687</v>
      </c>
      <c r="AO193" s="72"/>
      <c r="AP193" s="72"/>
      <c r="AQ193" s="72">
        <f>(BC193-Driver!$K$188)/(Driver!$L$188-Driver!$K$188)</f>
        <v>7.1416152310958603E-2</v>
      </c>
      <c r="AR193" s="72">
        <f>MIN((BD193-Driver!$K$189)/(Driver!$L$189-Driver!$K$189),100%)</f>
        <v>1.7413317378923699E-2</v>
      </c>
      <c r="AS193" s="72">
        <f>(BE193-Driver!$K$190)/(Driver!$L$190-Driver!$K$190)</f>
        <v>1.3532955533021449E-2</v>
      </c>
      <c r="AT193" s="72">
        <f>(BF193-Driver!$K$191)/(Driver!$L$191-Driver!$K$191)</f>
        <v>0.23143535142550803</v>
      </c>
      <c r="AU193" s="72">
        <f>(BG193-Driver!$K$192)/(Driver!$L$192-Driver!$K$192)</f>
        <v>6.0364375973688759E-2</v>
      </c>
      <c r="AV193" s="70">
        <f t="shared" si="97"/>
        <v>9.7968389635056319</v>
      </c>
      <c r="AW193" s="70">
        <f t="shared" si="98"/>
        <v>29.710133584760829</v>
      </c>
      <c r="AX193" s="70">
        <f t="shared" si="99"/>
        <v>5.4297097324985764</v>
      </c>
      <c r="AY193" s="70">
        <f>IFERROR(Driver!$K$19/Data!BH193/Data!BI193*Data!BK193*Data!BL193,"")</f>
        <v>0.13299272791377939</v>
      </c>
      <c r="AZ193" s="70">
        <f t="shared" si="100"/>
        <v>24.147431124348472</v>
      </c>
      <c r="BA193" s="70"/>
      <c r="BB193" s="70"/>
      <c r="BC193" s="70">
        <f t="shared" si="101"/>
        <v>37.044054680730454</v>
      </c>
      <c r="BD193" s="70">
        <f t="shared" si="102"/>
        <v>3.2618706175598398</v>
      </c>
      <c r="BE193" s="70">
        <f t="shared" si="103"/>
        <v>1.3708930150594828E-2</v>
      </c>
      <c r="BF193" s="70">
        <f t="shared" si="104"/>
        <v>26.138997018146405</v>
      </c>
      <c r="BG193" s="70">
        <f t="shared" si="105"/>
        <v>0.22857803574519647</v>
      </c>
      <c r="BH193" s="67">
        <f>MAX((CE193-Driver!$F$200)/(Driver!$G$200-Driver!$F$200)*$BI$1,1)</f>
        <v>5.4297097324985764</v>
      </c>
      <c r="BI193" s="67">
        <f>MAX($BI$1*(BY193-Driver!$F$201)/(Driver!$G$201-Driver!$F$201),1)</f>
        <v>5.9493670886075947</v>
      </c>
      <c r="BJ193" s="67">
        <f>(CB193-Driver!$F$206)/(Driver!$G$206-Driver!$F$206)*$BI$1</f>
        <v>8.412698412698413</v>
      </c>
      <c r="BK193" s="67">
        <f>(CD193-Driver!$F$203)/(Driver!$G$203-Driver!$F$203)*$BI$1</f>
        <v>4.4495412844036704</v>
      </c>
      <c r="BL193" s="67">
        <f>MAX((CR193-Driver!$F$202)/(Driver!$G$202-Driver!$F$202)*$BI$1,1)</f>
        <v>4.8275862068965516</v>
      </c>
      <c r="BM193" s="67">
        <f>MAX((CH193-Driver!$F$204)/(Driver!$G$204-Driver!$F$204)*$BI$1,1)</f>
        <v>4.6581196581196584</v>
      </c>
      <c r="BN193" s="67">
        <f>(CI193-Driver!$F$205)/(Driver!$G$205-Driver!$F$205)*$BI$1</f>
        <v>4.0588235294117645</v>
      </c>
      <c r="BO193" s="67">
        <f>(CK193-Driver!$F$207)/(Driver!$G$207-Driver!$F$207)*$BI$1</f>
        <v>3.3092037228541882</v>
      </c>
      <c r="BP193" s="67">
        <f>(CM193-Driver!$F$208)/(Driver!$G$208-Driver!$F$208)*$BI$1</f>
        <v>4.177777777777778</v>
      </c>
      <c r="BQ193" s="67">
        <f>(CL193-Driver!$F$209)/(Driver!$G$209-Driver!$F$209)*$BI$1</f>
        <v>5.78125</v>
      </c>
      <c r="BR193" s="28" t="s">
        <v>155</v>
      </c>
      <c r="BS193" s="8" t="s">
        <v>208</v>
      </c>
      <c r="BT193" s="9" t="s">
        <v>414</v>
      </c>
      <c r="BU193" s="10">
        <v>183</v>
      </c>
      <c r="BV193" s="9" t="s">
        <v>158</v>
      </c>
      <c r="BW193" s="10">
        <v>183</v>
      </c>
      <c r="BX193" s="10">
        <v>182.6</v>
      </c>
      <c r="BY193" s="10">
        <v>102</v>
      </c>
      <c r="BZ193" s="10">
        <v>147</v>
      </c>
      <c r="CA193" s="10">
        <v>151</v>
      </c>
      <c r="CB193" s="10">
        <v>117</v>
      </c>
      <c r="CC193" s="10">
        <v>137</v>
      </c>
      <c r="CD193" s="10">
        <v>19.100000000000001</v>
      </c>
      <c r="CE193" s="10">
        <v>1854</v>
      </c>
      <c r="CF193" s="10">
        <v>1.25</v>
      </c>
      <c r="CG193" s="10">
        <v>2318</v>
      </c>
      <c r="CH193" s="10">
        <v>210</v>
      </c>
      <c r="CI193" s="10">
        <v>102</v>
      </c>
      <c r="CJ193" s="10">
        <v>56</v>
      </c>
      <c r="CK193" s="10">
        <v>430</v>
      </c>
      <c r="CL193" s="10">
        <v>37</v>
      </c>
      <c r="CM193" s="10">
        <v>376</v>
      </c>
      <c r="CN193" s="10">
        <v>0.65700000000000003</v>
      </c>
      <c r="CO193" s="10">
        <v>177</v>
      </c>
      <c r="CP193" s="10">
        <v>179</v>
      </c>
      <c r="CQ193" s="10">
        <v>252</v>
      </c>
      <c r="CR193" s="10">
        <v>3</v>
      </c>
      <c r="CS193" s="10">
        <v>6.1</v>
      </c>
      <c r="CT193" s="9" t="s">
        <v>169</v>
      </c>
      <c r="CU193" s="9" t="s">
        <v>185</v>
      </c>
      <c r="CV193" s="9" t="s">
        <v>198</v>
      </c>
      <c r="CW193" s="10"/>
      <c r="CX193" t="str">
        <f>INDEX('Data_Price '!AG$2:AG$1266,MATCH(Data!$DN193,'Data_Price '!$AT$2:$AT$1266,0))</f>
        <v>Line Vision 118 Skis 183cm 2022</v>
      </c>
      <c r="CY193" t="str">
        <f>INDEX('Data_Price '!AH$2:AH$1266,MATCH(Data!$DN193,'Data_Price '!$AT$2:$AT$1266,0))</f>
        <v>Snowcountry.eu</v>
      </c>
      <c r="CZ193">
        <f>INDEX('Data_Price '!AI$2:AI$1266,MATCH(Data!$DN193,'Data_Price '!$AT$2:$AT$1266,0))</f>
        <v>487.77</v>
      </c>
      <c r="DA193" t="str">
        <f>INDEX('Data_Price '!AJ$2:AJ$1266,MATCH(Data!$DN193,'Data_Price '!$AT$2:$AT$1266,0))</f>
        <v>https://tinyurl.com/ycz3ltl6</v>
      </c>
      <c r="DB193" t="str">
        <f>INDEX('Data_Price '!AK$2:AK$1266,MATCH(Data!$DN193,'Data_Price '!$AT$2:$AT$1266,0))</f>
        <v>Line Vision 118 Skis 183cm 2022</v>
      </c>
      <c r="DC193" t="str">
        <f>INDEX('Data_Price '!AL$2:AL$1266,MATCH(Data!$DN193,'Data_Price '!$AT$2:$AT$1266,0))</f>
        <v>PRFO Sports</v>
      </c>
      <c r="DD193">
        <f>INDEX('Data_Price '!AM$2:AM$1266,MATCH(Data!$DN193,'Data_Price '!$AT$2:$AT$1266,0))</f>
        <v>545.35</v>
      </c>
      <c r="DE193" t="str">
        <f>INDEX('Data_Price '!AN$2:AN$1266,MATCH(Data!$DN193,'Data_Price '!$AT$2:$AT$1266,0))</f>
        <v>https://tinyurl.com/ybxhagow</v>
      </c>
      <c r="DF193" t="str">
        <f>INDEX('Data_Price '!AO$2:AO$1266,MATCH(Data!$DN193,'Data_Price '!$AT$2:$AT$1266,0))</f>
        <v>Line Vision 118 Skis 183cm 2022</v>
      </c>
      <c r="DG193" t="str">
        <f>INDEX('Data_Price '!AP$2:AP$1266,MATCH(Data!$DN193,'Data_Price '!$AT$2:$AT$1266,0))</f>
        <v>Backcountry.com</v>
      </c>
      <c r="DH193">
        <f>INDEX('Data_Price '!AQ$2:AQ$1266,MATCH(Data!$DN193,'Data_Price '!$AT$2:$AT$1266,0))</f>
        <v>639.96</v>
      </c>
      <c r="DI193" t="str">
        <f>INDEX('Data_Price '!AR$2:AR$1266,MATCH(Data!$DN193,'Data_Price '!$AT$2:$AT$1266,0))</f>
        <v>https://tinyurl.com/ybtmabsv</v>
      </c>
      <c r="DJ193" s="89" t="str">
        <f t="shared" si="106"/>
        <v>https://tinyurl.com/ycz3ltl6</v>
      </c>
      <c r="DK193" s="89" t="str">
        <f t="shared" si="107"/>
        <v>https://tinyurl.com/ybxhagow</v>
      </c>
      <c r="DL193" s="89" t="str">
        <f t="shared" si="108"/>
        <v>https://tinyurl.com/ybtmabsv</v>
      </c>
      <c r="DM193" s="219" t="str">
        <f t="shared" si="109"/>
        <v>Vision 118</v>
      </c>
      <c r="DN193" s="89" t="str">
        <f t="shared" si="110"/>
        <v xml:space="preserve"> LineVision 118183 Unisex</v>
      </c>
      <c r="DO193" s="221" t="s">
        <v>415</v>
      </c>
    </row>
    <row r="194" spans="1:119" ht="15.6" customHeight="1">
      <c r="B194" s="219" t="b">
        <f t="array" ref="B194">IF(OR(ISERROR(K194:P194)),FALSE,TRUE)</f>
        <v>1</v>
      </c>
      <c r="C194" s="43" t="b">
        <f>OR(BR194=Driver!$G$50,Data!BR1072=Driver!$H$50)</f>
        <v>1</v>
      </c>
      <c r="D194" s="43" t="b">
        <f>OR(BV194=Driver!$G$51,BV194=Driver!$H$51)</f>
        <v>1</v>
      </c>
      <c r="E194" s="43" t="b">
        <f>AND(BX194&gt;Driver!$F$54,BX194&lt;Driver!$G$54)</f>
        <v>0</v>
      </c>
      <c r="F194" s="43" t="b">
        <f>CL194&gt;Driver!$F$56</f>
        <v>1</v>
      </c>
      <c r="G194" s="43" t="b">
        <f>AND(CB194&gt;Driver!$F$55,CB194&lt;Driver!$G$55)</f>
        <v>0</v>
      </c>
      <c r="H194" s="43" t="b">
        <f t="shared" si="74"/>
        <v>0</v>
      </c>
      <c r="I194" s="43">
        <f t="shared" si="75"/>
        <v>0</v>
      </c>
      <c r="J194" s="43" t="b">
        <f t="array" ref="J194">NOT(OR(($H$9:$H$1273=TRUE)*($I$9:$I$1273&gt;0)*($BT$9:$BT$1273=BT194)*($K$9:$K$1273&gt;K194)))</f>
        <v>1</v>
      </c>
      <c r="K194" s="72">
        <f t="shared" si="76"/>
        <v>0.8628836955532686</v>
      </c>
      <c r="L194" s="72">
        <f t="shared" si="77"/>
        <v>0.99751165003687015</v>
      </c>
      <c r="M194" s="72">
        <f t="shared" si="78"/>
        <v>0.72825574106966706</v>
      </c>
      <c r="N194" s="72">
        <f t="shared" si="79"/>
        <v>0.60570344701163203</v>
      </c>
      <c r="O194" s="72">
        <f t="shared" si="80"/>
        <v>0.64379861528068183</v>
      </c>
      <c r="P194" s="72">
        <f t="shared" si="81"/>
        <v>0.93526516091668732</v>
      </c>
      <c r="Q194" s="72"/>
      <c r="R194" s="72"/>
      <c r="S194" s="72">
        <f t="shared" si="82"/>
        <v>0.46816617007026895</v>
      </c>
      <c r="T194" s="72">
        <f t="shared" si="83"/>
        <v>0.59976708969172843</v>
      </c>
      <c r="U194" s="72">
        <f t="shared" si="84"/>
        <v>0.84419097427617662</v>
      </c>
      <c r="V194" s="72">
        <f t="shared" si="85"/>
        <v>0.51836769906494884</v>
      </c>
      <c r="W194" s="72">
        <f t="shared" si="86"/>
        <v>0.76647378177966097</v>
      </c>
      <c r="X194" s="72">
        <f t="shared" si="87"/>
        <v>2.4883499631298545E-3</v>
      </c>
      <c r="Y194" s="72">
        <f t="shared" si="88"/>
        <v>0.27174425893033294</v>
      </c>
      <c r="Z194" s="72">
        <f t="shared" si="89"/>
        <v>0.39429655298836797</v>
      </c>
      <c r="AA194" s="72">
        <f t="shared" si="90"/>
        <v>0.35620138471931823</v>
      </c>
      <c r="AB194" s="72">
        <f t="shared" si="91"/>
        <v>6.4734839083312679E-2</v>
      </c>
      <c r="AC194" s="72"/>
      <c r="AD194" s="72"/>
      <c r="AE194" s="72">
        <f t="shared" si="92"/>
        <v>0.53183382992973105</v>
      </c>
      <c r="AF194" s="72">
        <f t="shared" si="93"/>
        <v>0.40023291030827157</v>
      </c>
      <c r="AG194" s="72">
        <f t="shared" si="94"/>
        <v>0.15580902572382338</v>
      </c>
      <c r="AH194" s="72">
        <f t="shared" si="95"/>
        <v>0.48163230093505116</v>
      </c>
      <c r="AI194" s="72">
        <f t="shared" si="96"/>
        <v>0.23352621822033898</v>
      </c>
      <c r="AJ194" s="72">
        <f>(AV194-Driver!$K$179)/(Driver!$L$179-Driver!$K$179)</f>
        <v>0.25670775924583028</v>
      </c>
      <c r="AK194" s="72">
        <f>(AW194-Driver!$K$180)/(Driver!$L$180-Driver!$K$180)</f>
        <v>0.33627368364024562</v>
      </c>
      <c r="AL194" s="72">
        <f>(AX194-Driver!$K$181)/(Driver!$L$181-Driver!$K$181)</f>
        <v>0.49598431670144816</v>
      </c>
      <c r="AM194" s="72">
        <f>(AY194-Driver!$K$182)/(Driver!$L$182-Driver!$K$182)</f>
        <v>9.1183636377728153E-2</v>
      </c>
      <c r="AN194" s="72">
        <f>(AZ194-Driver!$K$183)/(Driver!$L$183-Driver!$K$183)</f>
        <v>0.3189542483660131</v>
      </c>
      <c r="AO194" s="72"/>
      <c r="AP194" s="72"/>
      <c r="AQ194" s="72">
        <f>(BC194-Driver!$K$188)/(Driver!$L$188-Driver!$K$188)</f>
        <v>8.8166170070268918E-2</v>
      </c>
      <c r="AR194" s="72">
        <f>MIN((BD194-Driver!$K$189)/(Driver!$L$189-Driver!$K$189),100%)</f>
        <v>0.1497670896917285</v>
      </c>
      <c r="AS194" s="72">
        <f>(BE194-Driver!$K$190)/(Driver!$L$190-Driver!$K$190)</f>
        <v>0.35419097427617663</v>
      </c>
      <c r="AT194" s="72">
        <f>(BF194-Driver!$K$191)/(Driver!$L$191-Driver!$K$191)</f>
        <v>2.8367699064948869E-2</v>
      </c>
      <c r="AU194" s="72">
        <f>(BG194-Driver!$K$192)/(Driver!$L$192-Driver!$K$192)</f>
        <v>1.6473781779661016E-2</v>
      </c>
      <c r="AV194" s="70">
        <f t="shared" si="97"/>
        <v>5.4029304029304024</v>
      </c>
      <c r="AW194" s="70">
        <f t="shared" si="98"/>
        <v>34.644742780156093</v>
      </c>
      <c r="AX194" s="70">
        <f t="shared" si="99"/>
        <v>5.4638588503130334</v>
      </c>
      <c r="AY194" s="70">
        <f>IFERROR(Driver!$K$19/Data!BH194/Data!BI194*Data!BK194*Data!BL194,"")</f>
        <v>0.11163597749756143</v>
      </c>
      <c r="AZ194" s="70">
        <f t="shared" si="100"/>
        <v>29.069247952345499</v>
      </c>
      <c r="BA194" s="70"/>
      <c r="BB194" s="70"/>
      <c r="BC194" s="70">
        <f t="shared" si="101"/>
        <v>45.73240533671904</v>
      </c>
      <c r="BD194" s="70">
        <f t="shared" si="102"/>
        <v>14.974944950235628</v>
      </c>
      <c r="BE194" s="70">
        <f t="shared" si="103"/>
        <v>0.35430617933747555</v>
      </c>
      <c r="BF194" s="70">
        <f t="shared" si="104"/>
        <v>3.2039323150207686</v>
      </c>
      <c r="BG194" s="70">
        <f t="shared" si="105"/>
        <v>6.2380246954449159E-2</v>
      </c>
      <c r="BH194" s="67">
        <f>MAX((CE194-Driver!$F$200)/(Driver!$G$200-Driver!$F$200)*$BI$1,1)</f>
        <v>5.4638588503130334</v>
      </c>
      <c r="BI194" s="67">
        <f>MAX($BI$1*(BY194-Driver!$F$201)/(Driver!$G$201-Driver!$F$201),1)</f>
        <v>8.1012658227848107</v>
      </c>
      <c r="BJ194" s="67">
        <f>(CB194-Driver!$F$206)/(Driver!$G$206-Driver!$F$206)*$BI$1</f>
        <v>4.2857142857142856</v>
      </c>
      <c r="BK194" s="67">
        <f>(CD194-Driver!$F$203)/(Driver!$G$203-Driver!$F$203)*$BI$1</f>
        <v>3.2568807339449544</v>
      </c>
      <c r="BL194" s="67">
        <f>MAX((CR194-Driver!$F$202)/(Driver!$G$202-Driver!$F$202)*$BI$1,1)</f>
        <v>7.5862068965517242</v>
      </c>
      <c r="BM194" s="67">
        <f>MAX((CH194-Driver!$F$204)/(Driver!$G$204-Driver!$F$204)*$BI$1,1)</f>
        <v>5.0427350427350426</v>
      </c>
      <c r="BN194" s="67">
        <f>(CI194-Driver!$F$205)/(Driver!$G$205-Driver!$F$205)*$BI$1</f>
        <v>3.5882352941176472</v>
      </c>
      <c r="BO194" s="67">
        <f>(CK194-Driver!$F$207)/(Driver!$G$207-Driver!$F$207)*$BI$1</f>
        <v>1.6856256463288521</v>
      </c>
      <c r="BP194" s="67">
        <f>(CM194-Driver!$F$208)/(Driver!$G$208-Driver!$F$208)*$BI$1</f>
        <v>1.4444444444444442</v>
      </c>
      <c r="BQ194" s="67">
        <f>(CL194-Driver!$F$209)/(Driver!$G$209-Driver!$F$209)*$BI$1</f>
        <v>1.71875</v>
      </c>
      <c r="BR194" s="28" t="s">
        <v>155</v>
      </c>
      <c r="BS194" s="8" t="s">
        <v>174</v>
      </c>
      <c r="BT194" s="9" t="s">
        <v>283</v>
      </c>
      <c r="BU194" s="10">
        <v>177</v>
      </c>
      <c r="BV194" s="9" t="s">
        <v>158</v>
      </c>
      <c r="BW194" s="10">
        <v>177</v>
      </c>
      <c r="BX194" s="10">
        <v>176.4</v>
      </c>
      <c r="BY194" s="10">
        <v>136</v>
      </c>
      <c r="BZ194" s="10">
        <v>148</v>
      </c>
      <c r="CA194" s="10">
        <v>131</v>
      </c>
      <c r="CB194" s="10">
        <v>91</v>
      </c>
      <c r="CC194" s="10">
        <v>114</v>
      </c>
      <c r="CD194" s="10">
        <v>16.5</v>
      </c>
      <c r="CE194" s="10">
        <v>1860</v>
      </c>
      <c r="CF194" s="10">
        <v>0.99</v>
      </c>
      <c r="CG194" s="10">
        <v>1843</v>
      </c>
      <c r="CH194" s="10">
        <v>219</v>
      </c>
      <c r="CI194" s="10">
        <v>94</v>
      </c>
      <c r="CJ194" s="10">
        <v>49</v>
      </c>
      <c r="CK194" s="10">
        <v>273</v>
      </c>
      <c r="CL194" s="10">
        <v>11</v>
      </c>
      <c r="CM194" s="10">
        <v>130</v>
      </c>
      <c r="CN194" s="10">
        <v>0.217</v>
      </c>
      <c r="CO194" s="10">
        <v>152</v>
      </c>
      <c r="CP194" s="10">
        <v>128</v>
      </c>
      <c r="CQ194" s="10">
        <v>121</v>
      </c>
      <c r="CR194" s="10">
        <v>11</v>
      </c>
      <c r="CS194" s="10">
        <v>10</v>
      </c>
      <c r="CT194" s="9" t="s">
        <v>188</v>
      </c>
      <c r="CU194" s="10"/>
      <c r="CV194" s="10"/>
      <c r="CW194" s="10"/>
      <c r="CX194" t="str">
        <f>INDEX('Data_Price '!AG$2:AG$1266,MATCH(Data!$DN194,'Data_Price '!$AT$2:$AT$1266,0))</f>
        <v>Salomon QST 92 Skis</v>
      </c>
      <c r="CY194" t="str">
        <f>INDEX('Data_Price '!AH$2:AH$1266,MATCH(Data!$DN194,'Data_Price '!$AT$2:$AT$1266,0))</f>
        <v>The-House.com</v>
      </c>
      <c r="CZ194">
        <f>INDEX('Data_Price '!AI$2:AI$1266,MATCH(Data!$DN194,'Data_Price '!$AT$2:$AT$1266,0))</f>
        <v>383.95</v>
      </c>
      <c r="DA194" t="str">
        <f>INDEX('Data_Price '!AJ$2:AJ$1266,MATCH(Data!$DN194,'Data_Price '!$AT$2:$AT$1266,0))</f>
        <v>https://tinyurl.com/y7gwn7fa</v>
      </c>
      <c r="DB194" t="str">
        <f>INDEX('Data_Price '!AK$2:AK$1266,MATCH(Data!$DN194,'Data_Price '!$AT$2:$AT$1266,0))</f>
        <v>Salomon QST 92 Skis</v>
      </c>
      <c r="DC194" t="str">
        <f>INDEX('Data_Price '!AL$2:AL$1266,MATCH(Data!$DN194,'Data_Price '!$AT$2:$AT$1266,0))</f>
        <v>Level Nine Sports</v>
      </c>
      <c r="DD194">
        <f>INDEX('Data_Price '!AM$2:AM$1266,MATCH(Data!$DN194,'Data_Price '!$AT$2:$AT$1266,0))</f>
        <v>399.99</v>
      </c>
      <c r="DE194" t="str">
        <f>INDEX('Data_Price '!AN$2:AN$1266,MATCH(Data!$DN194,'Data_Price '!$AT$2:$AT$1266,0))</f>
        <v>https://tinyurl.com/y8g4oy3m</v>
      </c>
      <c r="DF194" t="str">
        <f>INDEX('Data_Price '!AO$2:AO$1266,MATCH(Data!$DN194,'Data_Price '!$AT$2:$AT$1266,0))</f>
        <v>Salomon QST 92 Skis</v>
      </c>
      <c r="DG194" t="str">
        <f>INDEX('Data_Price '!AP$2:AP$1266,MATCH(Data!$DN194,'Data_Price '!$AT$2:$AT$1266,0))</f>
        <v>Curated</v>
      </c>
      <c r="DH194">
        <f>INDEX('Data_Price '!AQ$2:AQ$1266,MATCH(Data!$DN194,'Data_Price '!$AT$2:$AT$1266,0))</f>
        <v>399.99</v>
      </c>
      <c r="DI194" t="str">
        <f>INDEX('Data_Price '!AR$2:AR$1266,MATCH(Data!$DN194,'Data_Price '!$AT$2:$AT$1266,0))</f>
        <v>https://tinyurl.com/y9mj8ay9</v>
      </c>
      <c r="DJ194" s="89" t="str">
        <f t="shared" si="106"/>
        <v>https://tinyurl.com/y7gwn7fa</v>
      </c>
      <c r="DK194" s="89" t="str">
        <f t="shared" si="107"/>
        <v>https://tinyurl.com/y8g4oy3m</v>
      </c>
      <c r="DL194" s="89" t="str">
        <f t="shared" si="108"/>
        <v>https://tinyurl.com/y9mj8ay9</v>
      </c>
      <c r="DM194" s="219" t="str">
        <f t="shared" si="109"/>
        <v>QST 92</v>
      </c>
      <c r="DN194" s="89" t="str">
        <f t="shared" si="110"/>
        <v xml:space="preserve"> SalomonQST 92177 Unisex</v>
      </c>
      <c r="DO194" s="221" t="s">
        <v>284</v>
      </c>
    </row>
    <row r="195" spans="1:119" ht="15.6" customHeight="1">
      <c r="B195" s="219" t="b">
        <f t="array" ref="B195">IF(OR(ISERROR(K195:P195)),FALSE,TRUE)</f>
        <v>1</v>
      </c>
      <c r="C195" s="43" t="b">
        <f>OR(BR195=Driver!$G$50,Data!BR866=Driver!$H$50)</f>
        <v>1</v>
      </c>
      <c r="D195" s="43" t="b">
        <f>OR(BV195=Driver!$G$51,BV195=Driver!$H$51)</f>
        <v>1</v>
      </c>
      <c r="E195" s="43" t="b">
        <f>AND(BX195&gt;Driver!$F$54,BX195&lt;Driver!$G$54)</f>
        <v>0</v>
      </c>
      <c r="F195" s="43" t="b">
        <f>CL195&gt;Driver!$F$56</f>
        <v>1</v>
      </c>
      <c r="G195" s="43" t="b">
        <f>AND(CB195&gt;Driver!$F$55,CB195&lt;Driver!$G$55)</f>
        <v>0</v>
      </c>
      <c r="H195" s="43" t="b">
        <f t="shared" si="74"/>
        <v>0</v>
      </c>
      <c r="I195" s="43">
        <f t="shared" si="75"/>
        <v>0</v>
      </c>
      <c r="J195" s="43" t="b">
        <f t="array" ref="J195">NOT(OR(($H$9:$H$1273=TRUE)*($I$9:$I$1273&gt;0)*($BT$9:$BT$1273=BT195)*($K$9:$K$1273&gt;K195)))</f>
        <v>1</v>
      </c>
      <c r="K195" s="72">
        <f t="shared" si="76"/>
        <v>0.86141832294188636</v>
      </c>
      <c r="L195" s="72">
        <f t="shared" si="77"/>
        <v>0.96776109188561799</v>
      </c>
      <c r="M195" s="72">
        <f t="shared" si="78"/>
        <v>0.75507555399815485</v>
      </c>
      <c r="N195" s="72">
        <f t="shared" si="79"/>
        <v>0.66704538086352605</v>
      </c>
      <c r="O195" s="72">
        <f t="shared" si="80"/>
        <v>0.66258932282863015</v>
      </c>
      <c r="P195" s="72">
        <f t="shared" si="81"/>
        <v>0.93559195830230824</v>
      </c>
      <c r="Q195" s="72"/>
      <c r="R195" s="72"/>
      <c r="S195" s="72">
        <f t="shared" si="82"/>
        <v>0.48293895595923086</v>
      </c>
      <c r="T195" s="72">
        <f t="shared" si="83"/>
        <v>0.51612986866210842</v>
      </c>
      <c r="U195" s="72">
        <f t="shared" si="84"/>
        <v>0.77351141662370659</v>
      </c>
      <c r="V195" s="72">
        <f t="shared" si="85"/>
        <v>0.51603310183971485</v>
      </c>
      <c r="W195" s="72">
        <f t="shared" si="86"/>
        <v>0.78103921449045555</v>
      </c>
      <c r="X195" s="72">
        <f t="shared" si="87"/>
        <v>3.2238908114382042E-2</v>
      </c>
      <c r="Y195" s="72">
        <f t="shared" si="88"/>
        <v>0.24492444600184518</v>
      </c>
      <c r="Z195" s="72">
        <f t="shared" si="89"/>
        <v>0.33295461913647395</v>
      </c>
      <c r="AA195" s="72">
        <f t="shared" si="90"/>
        <v>0.33741067717136985</v>
      </c>
      <c r="AB195" s="72">
        <f t="shared" si="91"/>
        <v>6.4408041697691765E-2</v>
      </c>
      <c r="AC195" s="72"/>
      <c r="AD195" s="72"/>
      <c r="AE195" s="72">
        <f t="shared" si="92"/>
        <v>0.51706104404076914</v>
      </c>
      <c r="AF195" s="72">
        <f t="shared" si="93"/>
        <v>0.48387013133789158</v>
      </c>
      <c r="AG195" s="72">
        <f t="shared" si="94"/>
        <v>0.22648858337629341</v>
      </c>
      <c r="AH195" s="72">
        <f t="shared" si="95"/>
        <v>0.4839668981602851</v>
      </c>
      <c r="AI195" s="72">
        <f t="shared" si="96"/>
        <v>0.21896078550954443</v>
      </c>
      <c r="AJ195" s="72">
        <f>(AV195-Driver!$K$179)/(Driver!$L$179-Driver!$K$179)</f>
        <v>0.22198050116831838</v>
      </c>
      <c r="AK195" s="72">
        <f>(AW195-Driver!$K$180)/(Driver!$L$180-Driver!$K$180)</f>
        <v>0.33053940732736453</v>
      </c>
      <c r="AL195" s="72">
        <f>(AX195-Driver!$K$181)/(Driver!$L$181-Driver!$K$181)</f>
        <v>0.43464238284955414</v>
      </c>
      <c r="AM195" s="72">
        <f>(AY195-Driver!$K$182)/(Driver!$L$182-Driver!$K$182)</f>
        <v>0.10997434392567651</v>
      </c>
      <c r="AN195" s="72">
        <f>(AZ195-Driver!$K$183)/(Driver!$L$183-Driver!$K$183)</f>
        <v>0.31862745098039219</v>
      </c>
      <c r="AO195" s="72"/>
      <c r="AP195" s="72"/>
      <c r="AQ195" s="72">
        <f>(BC195-Driver!$K$188)/(Driver!$L$188-Driver!$K$188)</f>
        <v>0.10293895595923089</v>
      </c>
      <c r="AR195" s="72">
        <f>MIN((BD195-Driver!$K$189)/(Driver!$L$189-Driver!$K$189),100%)</f>
        <v>6.6129868662108474E-2</v>
      </c>
      <c r="AS195" s="72">
        <f>(BE195-Driver!$K$190)/(Driver!$L$190-Driver!$K$190)</f>
        <v>0.2835114166237066</v>
      </c>
      <c r="AT195" s="72">
        <f>(BF195-Driver!$K$191)/(Driver!$L$191-Driver!$K$191)</f>
        <v>2.6033101839714887E-2</v>
      </c>
      <c r="AU195" s="72">
        <f>(BG195-Driver!$K$192)/(Driver!$L$192-Driver!$K$192)</f>
        <v>3.1039214490455571E-2</v>
      </c>
      <c r="AV195" s="70">
        <f t="shared" si="97"/>
        <v>4.672025505358838</v>
      </c>
      <c r="AW195" s="70">
        <f t="shared" si="98"/>
        <v>34.085886742608793</v>
      </c>
      <c r="AX195" s="70">
        <f t="shared" si="99"/>
        <v>4.9117814456459872</v>
      </c>
      <c r="AY195" s="70">
        <f>IFERROR(Driver!$K$19/Data!BH195/Data!BI195*Data!BK195*Data!BL195,"")</f>
        <v>0.13464141014225461</v>
      </c>
      <c r="AZ195" s="70">
        <f t="shared" si="100"/>
        <v>29.039463886820553</v>
      </c>
      <c r="BA195" s="70"/>
      <c r="BB195" s="70"/>
      <c r="BC195" s="70">
        <f t="shared" si="101"/>
        <v>53.395152076064974</v>
      </c>
      <c r="BD195" s="70">
        <f t="shared" si="102"/>
        <v>7.5731990855006783</v>
      </c>
      <c r="BE195" s="70">
        <f t="shared" si="103"/>
        <v>0.28363923012255843</v>
      </c>
      <c r="BF195" s="70">
        <f t="shared" si="104"/>
        <v>2.9402559599043565</v>
      </c>
      <c r="BG195" s="70">
        <f t="shared" si="105"/>
        <v>0.11753426693907423</v>
      </c>
      <c r="BH195" s="67">
        <f>MAX((CE195-Driver!$F$200)/(Driver!$G$200-Driver!$F$200)*$BI$1,1)</f>
        <v>4.9117814456459872</v>
      </c>
      <c r="BI195" s="67">
        <f>MAX($BI$1*(BY195-Driver!$F$201)/(Driver!$G$201-Driver!$F$201),1)</f>
        <v>8.2278481012658222</v>
      </c>
      <c r="BJ195" s="67">
        <f>(CB195-Driver!$F$206)/(Driver!$G$206-Driver!$F$206)*$BI$1</f>
        <v>4.6031746031746028</v>
      </c>
      <c r="BK195" s="67">
        <f>(CD195-Driver!$F$203)/(Driver!$G$203-Driver!$F$203)*$BI$1</f>
        <v>3.9449541284403673</v>
      </c>
      <c r="BL195" s="67">
        <f>MAX((CR195-Driver!$F$202)/(Driver!$G$202-Driver!$F$202)*$BI$1,1)</f>
        <v>6.8965517241379315</v>
      </c>
      <c r="BM195" s="67">
        <f>MAX((CH195-Driver!$F$204)/(Driver!$G$204-Driver!$F$204)*$BI$1,1)</f>
        <v>4.0598290598290596</v>
      </c>
      <c r="BN195" s="67">
        <f>(CI195-Driver!$F$205)/(Driver!$G$205-Driver!$F$205)*$BI$1</f>
        <v>3.5294117647058827</v>
      </c>
      <c r="BO195" s="67">
        <f>(CK195-Driver!$F$207)/(Driver!$G$207-Driver!$F$207)*$BI$1</f>
        <v>1.7580144777662876</v>
      </c>
      <c r="BP195" s="67">
        <f>(CM195-Driver!$F$208)/(Driver!$G$208-Driver!$F$208)*$BI$1</f>
        <v>1.4333333333333333</v>
      </c>
      <c r="BQ195" s="67">
        <f>(CL195-Driver!$F$209)/(Driver!$G$209-Driver!$F$209)*$BI$1</f>
        <v>2.34375</v>
      </c>
      <c r="BR195" s="28" t="s">
        <v>155</v>
      </c>
      <c r="BS195" s="8" t="s">
        <v>208</v>
      </c>
      <c r="BT195" s="9" t="s">
        <v>416</v>
      </c>
      <c r="BU195" s="10">
        <v>179</v>
      </c>
      <c r="BV195" s="9" t="s">
        <v>158</v>
      </c>
      <c r="BW195" s="10">
        <v>179</v>
      </c>
      <c r="BX195" s="10">
        <v>178.8</v>
      </c>
      <c r="BY195" s="10">
        <v>138</v>
      </c>
      <c r="BZ195" s="10">
        <v>151</v>
      </c>
      <c r="CA195" s="10">
        <v>131</v>
      </c>
      <c r="CB195" s="10">
        <v>93</v>
      </c>
      <c r="CC195" s="10">
        <v>116</v>
      </c>
      <c r="CD195" s="10">
        <v>18</v>
      </c>
      <c r="CE195" s="10">
        <v>1763</v>
      </c>
      <c r="CF195" s="10">
        <v>1.07</v>
      </c>
      <c r="CG195" s="10">
        <v>1883</v>
      </c>
      <c r="CH195" s="10">
        <v>196</v>
      </c>
      <c r="CI195" s="10">
        <v>93</v>
      </c>
      <c r="CJ195" s="10">
        <v>42</v>
      </c>
      <c r="CK195" s="10">
        <v>280</v>
      </c>
      <c r="CL195" s="10">
        <v>15</v>
      </c>
      <c r="CM195" s="10">
        <v>129</v>
      </c>
      <c r="CN195" s="10">
        <v>0.35699999999999998</v>
      </c>
      <c r="CO195" s="10">
        <v>147</v>
      </c>
      <c r="CP195" s="10">
        <v>127</v>
      </c>
      <c r="CQ195" s="10">
        <v>133</v>
      </c>
      <c r="CR195" s="10">
        <v>9</v>
      </c>
      <c r="CS195" s="10">
        <v>9.6</v>
      </c>
      <c r="CT195" s="9" t="s">
        <v>188</v>
      </c>
      <c r="CU195" s="9" t="s">
        <v>185</v>
      </c>
      <c r="CV195" s="10"/>
      <c r="CW195" s="10"/>
      <c r="CX195" t="str">
        <f>INDEX('Data_Price '!AG$2:AG$1266,MATCH(Data!$DN195,'Data_Price '!$AT$2:$AT$1266,0))</f>
        <v>Line Sick Day 94 Skis 2022</v>
      </c>
      <c r="CY195" t="str">
        <f>INDEX('Data_Price '!AH$2:AH$1266,MATCH(Data!$DN195,'Data_Price '!$AT$2:$AT$1266,0))</f>
        <v>Telemark Pyrenees</v>
      </c>
      <c r="CZ195">
        <f>INDEX('Data_Price '!AI$2:AI$1266,MATCH(Data!$DN195,'Data_Price '!$AT$2:$AT$1266,0))</f>
        <v>348.3</v>
      </c>
      <c r="DA195" t="str">
        <f>INDEX('Data_Price '!AJ$2:AJ$1266,MATCH(Data!$DN195,'Data_Price '!$AT$2:$AT$1266,0))</f>
        <v>https://tinyurl.com/ybpv69sw</v>
      </c>
      <c r="DB195" t="str">
        <f>INDEX('Data_Price '!AK$2:AK$1266,MATCH(Data!$DN195,'Data_Price '!$AT$2:$AT$1266,0))</f>
        <v>Line Sick Day 94 Skis 2022</v>
      </c>
      <c r="DC195" t="str">
        <f>INDEX('Data_Price '!AL$2:AL$1266,MATCH(Data!$DN195,'Data_Price '!$AT$2:$AT$1266,0))</f>
        <v>Hillcrest Ski &amp; Sports</v>
      </c>
      <c r="DD195">
        <f>INDEX('Data_Price '!AM$2:AM$1266,MATCH(Data!$DN195,'Data_Price '!$AT$2:$AT$1266,0))</f>
        <v>399.96</v>
      </c>
      <c r="DE195" t="str">
        <f>INDEX('Data_Price '!AN$2:AN$1266,MATCH(Data!$DN195,'Data_Price '!$AT$2:$AT$1266,0))</f>
        <v>https://tinyurl.com/y9f3b9t2</v>
      </c>
      <c r="DF195" t="str">
        <f>INDEX('Data_Price '!AO$2:AO$1266,MATCH(Data!$DN195,'Data_Price '!$AT$2:$AT$1266,0))</f>
        <v>Line Sick Day 94 Skis</v>
      </c>
      <c r="DG195" t="str">
        <f>INDEX('Data_Price '!AP$2:AP$1266,MATCH(Data!$DN195,'Data_Price '!$AT$2:$AT$1266,0))</f>
        <v>! OutdoorXL.com</v>
      </c>
      <c r="DH195">
        <f>INDEX('Data_Price '!AQ$2:AQ$1266,MATCH(Data!$DN195,'Data_Price '!$AT$2:$AT$1266,0))</f>
        <v>469.95</v>
      </c>
      <c r="DI195" t="str">
        <f>INDEX('Data_Price '!AR$2:AR$1266,MATCH(Data!$DN195,'Data_Price '!$AT$2:$AT$1266,0))</f>
        <v>https://tinyurl.com/yamra4y4</v>
      </c>
      <c r="DJ195" s="89" t="str">
        <f t="shared" si="106"/>
        <v>https://tinyurl.com/ybpv69sw</v>
      </c>
      <c r="DK195" s="89" t="str">
        <f t="shared" si="107"/>
        <v>https://tinyurl.com/y9f3b9t2</v>
      </c>
      <c r="DL195" s="89" t="str">
        <f t="shared" si="108"/>
        <v>https://tinyurl.com/yamra4y4</v>
      </c>
      <c r="DM195" s="219" t="str">
        <f t="shared" si="109"/>
        <v>Sick Day 94</v>
      </c>
      <c r="DN195" s="89" t="str">
        <f t="shared" si="110"/>
        <v xml:space="preserve"> LineSick Day 94179 Unisex</v>
      </c>
      <c r="DO195" s="221" t="s">
        <v>417</v>
      </c>
    </row>
    <row r="196" spans="1:119" ht="15.6" customHeight="1">
      <c r="B196" s="219" t="b">
        <f t="array" ref="B196">IF(OR(ISERROR(K196:P196)),FALSE,TRUE)</f>
        <v>1</v>
      </c>
      <c r="C196" s="43" t="b">
        <f>OR(BR196=Driver!$G$50,Data!BR574=Driver!$H$50)</f>
        <v>1</v>
      </c>
      <c r="D196" s="43" t="b">
        <f>OR(BV196=Driver!$G$51,BV196=Driver!$H$51)</f>
        <v>1</v>
      </c>
      <c r="E196" s="43" t="b">
        <f>AND(BX196&gt;Driver!$F$54,BX196&lt;Driver!$G$54)</f>
        <v>0</v>
      </c>
      <c r="F196" s="43" t="b">
        <f>CL196&gt;Driver!$F$56</f>
        <v>1</v>
      </c>
      <c r="G196" s="43" t="b">
        <f>AND(CB196&gt;Driver!$F$55,CB196&lt;Driver!$G$55)</f>
        <v>0</v>
      </c>
      <c r="H196" s="43" t="b">
        <f t="shared" si="74"/>
        <v>0</v>
      </c>
      <c r="I196" s="43">
        <f t="shared" si="75"/>
        <v>0</v>
      </c>
      <c r="J196" s="43" t="b">
        <f t="array" ref="J196">NOT(OR(($H$9:$H$1273=TRUE)*($I$9:$I$1273&gt;0)*($BT$9:$BT$1273=BT196)*($K$9:$K$1273&gt;K196)))</f>
        <v>1</v>
      </c>
      <c r="K196" s="72">
        <f t="shared" si="76"/>
        <v>0.83348390145665097</v>
      </c>
      <c r="L196" s="72">
        <f t="shared" si="77"/>
        <v>0.91901401268168603</v>
      </c>
      <c r="M196" s="72">
        <f t="shared" si="78"/>
        <v>0.7479537902316159</v>
      </c>
      <c r="N196" s="72">
        <f t="shared" si="79"/>
        <v>0.74166752719881979</v>
      </c>
      <c r="O196" s="72">
        <f t="shared" si="80"/>
        <v>0.61754142767737974</v>
      </c>
      <c r="P196" s="72">
        <f t="shared" si="81"/>
        <v>0.88465241581864817</v>
      </c>
      <c r="Q196" s="72"/>
      <c r="R196" s="72"/>
      <c r="S196" s="72">
        <f t="shared" si="82"/>
        <v>0.45326834305720576</v>
      </c>
      <c r="T196" s="72">
        <f t="shared" si="83"/>
        <v>0.53266962677990126</v>
      </c>
      <c r="U196" s="72">
        <f t="shared" si="84"/>
        <v>0.61651884974168625</v>
      </c>
      <c r="V196" s="72">
        <f t="shared" si="85"/>
        <v>0.57030743673037021</v>
      </c>
      <c r="W196" s="72">
        <f t="shared" si="86"/>
        <v>0.79236616201030119</v>
      </c>
      <c r="X196" s="72">
        <f t="shared" si="87"/>
        <v>8.0985987318313996E-2</v>
      </c>
      <c r="Y196" s="72">
        <f t="shared" si="88"/>
        <v>0.2520462097683841</v>
      </c>
      <c r="Z196" s="72">
        <f t="shared" si="89"/>
        <v>0.25833247280118021</v>
      </c>
      <c r="AA196" s="72">
        <f t="shared" si="90"/>
        <v>0.38245857232262026</v>
      </c>
      <c r="AB196" s="72">
        <f t="shared" si="91"/>
        <v>0.11534758418135183</v>
      </c>
      <c r="AC196" s="72"/>
      <c r="AD196" s="72"/>
      <c r="AE196" s="72">
        <f t="shared" si="92"/>
        <v>0.54673165694279424</v>
      </c>
      <c r="AF196" s="72">
        <f t="shared" si="93"/>
        <v>0.46733037322009874</v>
      </c>
      <c r="AG196" s="72">
        <f t="shared" si="94"/>
        <v>0.3834811502583137</v>
      </c>
      <c r="AH196" s="72">
        <f t="shared" si="95"/>
        <v>0.42969256326962979</v>
      </c>
      <c r="AI196" s="72">
        <f t="shared" si="96"/>
        <v>0.20763383798969878</v>
      </c>
      <c r="AJ196" s="72">
        <f>(AV196-Driver!$K$179)/(Driver!$L$179-Driver!$K$179)</f>
        <v>0.17323342196438643</v>
      </c>
      <c r="AK196" s="72">
        <f>(AW196-Driver!$K$180)/(Driver!$L$180-Driver!$K$180)</f>
        <v>0.37071882042336535</v>
      </c>
      <c r="AL196" s="72">
        <f>(AX196-Driver!$K$181)/(Driver!$L$181-Driver!$K$181)</f>
        <v>0.36002023651426041</v>
      </c>
      <c r="AM196" s="72">
        <f>(AY196-Driver!$K$182)/(Driver!$L$182-Driver!$K$182)</f>
        <v>6.4926448774426118E-2</v>
      </c>
      <c r="AN196" s="72">
        <f>(AZ196-Driver!$K$183)/(Driver!$L$183-Driver!$K$183)</f>
        <v>0.36956699346405225</v>
      </c>
      <c r="AO196" s="72"/>
      <c r="AP196" s="72"/>
      <c r="AQ196" s="72">
        <f>(BC196-Driver!$K$188)/(Driver!$L$188-Driver!$K$188)</f>
        <v>7.3268343057205712E-2</v>
      </c>
      <c r="AR196" s="72">
        <f>MIN((BD196-Driver!$K$189)/(Driver!$L$189-Driver!$K$189),100%)</f>
        <v>8.266962677990132E-2</v>
      </c>
      <c r="AS196" s="72">
        <f>(BE196-Driver!$K$190)/(Driver!$L$190-Driver!$K$190)</f>
        <v>0.12651884974168631</v>
      </c>
      <c r="AT196" s="72">
        <f>(BF196-Driver!$K$191)/(Driver!$L$191-Driver!$K$191)</f>
        <v>8.0307436730370219E-2</v>
      </c>
      <c r="AU196" s="72">
        <f>(BG196-Driver!$K$192)/(Driver!$L$192-Driver!$K$192)</f>
        <v>4.2366162010301224E-2</v>
      </c>
      <c r="AV196" s="70">
        <f t="shared" si="97"/>
        <v>3.6460453127119794</v>
      </c>
      <c r="AW196" s="70">
        <f t="shared" si="98"/>
        <v>38.001726574632045</v>
      </c>
      <c r="AX196" s="70">
        <f t="shared" si="99"/>
        <v>4.2401821286283434</v>
      </c>
      <c r="AY196" s="70">
        <f>IFERROR(Driver!$K$19/Data!BH196/Data!BI196*Data!BK196*Data!BL196,"")</f>
        <v>7.9489345482483778E-2</v>
      </c>
      <c r="AZ196" s="70">
        <f t="shared" si="100"/>
        <v>33.682055100521218</v>
      </c>
      <c r="BA196" s="70"/>
      <c r="BB196" s="70"/>
      <c r="BC196" s="70">
        <f t="shared" si="101"/>
        <v>38.00479889703</v>
      </c>
      <c r="BD196" s="70">
        <f t="shared" si="102"/>
        <v>9.0369383722081302</v>
      </c>
      <c r="BE196" s="70">
        <f t="shared" si="103"/>
        <v>0.12667466894744325</v>
      </c>
      <c r="BF196" s="70">
        <f t="shared" si="104"/>
        <v>9.0701607870212619</v>
      </c>
      <c r="BG196" s="70">
        <f t="shared" si="105"/>
        <v>0.16042531606055874</v>
      </c>
      <c r="BH196" s="67">
        <f>MAX((CE196-Driver!$F$200)/(Driver!$G$200-Driver!$F$200)*$BI$1,1)</f>
        <v>4.2401821286283434</v>
      </c>
      <c r="BI196" s="67">
        <f>MAX($BI$1*(BY196-Driver!$F$201)/(Driver!$G$201-Driver!$F$201),1)</f>
        <v>6.8987341772151902</v>
      </c>
      <c r="BJ196" s="67">
        <f>(CB196-Driver!$F$206)/(Driver!$G$206-Driver!$F$206)*$BI$1</f>
        <v>3.9682539682539679</v>
      </c>
      <c r="BK196" s="67">
        <f>(CD196-Driver!$F$203)/(Driver!$G$203-Driver!$F$203)*$BI$1</f>
        <v>2.2477064220183491</v>
      </c>
      <c r="BL196" s="67">
        <f>MAX((CR196-Driver!$F$202)/(Driver!$G$202-Driver!$F$202)*$BI$1,1)</f>
        <v>5.1724137931034484</v>
      </c>
      <c r="BM196" s="67">
        <f>MAX((CH196-Driver!$F$204)/(Driver!$G$204-Driver!$F$204)*$BI$1,1)</f>
        <v>3.6752136752136755</v>
      </c>
      <c r="BN196" s="67">
        <f>(CI196-Driver!$F$205)/(Driver!$G$205-Driver!$F$205)*$BI$1</f>
        <v>4.8823529411764701</v>
      </c>
      <c r="BO196" s="67">
        <f>(CK196-Driver!$F$207)/(Driver!$G$207-Driver!$F$207)*$BI$1</f>
        <v>2.1406411582213032</v>
      </c>
      <c r="BP196" s="67">
        <f>(CM196-Driver!$F$208)/(Driver!$G$208-Driver!$F$208)*$BI$1</f>
        <v>2.4</v>
      </c>
      <c r="BQ196" s="67">
        <f>(CL196-Driver!$F$209)/(Driver!$G$209-Driver!$F$209)*$BI$1</f>
        <v>2.5</v>
      </c>
      <c r="BR196" s="28" t="s">
        <v>155</v>
      </c>
      <c r="BS196" s="8" t="s">
        <v>245</v>
      </c>
      <c r="BT196" s="9" t="s">
        <v>418</v>
      </c>
      <c r="BU196" s="10">
        <v>171</v>
      </c>
      <c r="BV196" s="9" t="s">
        <v>158</v>
      </c>
      <c r="BW196" s="10">
        <v>171</v>
      </c>
      <c r="BX196" s="10">
        <v>170.8</v>
      </c>
      <c r="BY196" s="10">
        <v>117</v>
      </c>
      <c r="BZ196" s="10">
        <v>144</v>
      </c>
      <c r="CA196" s="10">
        <v>124</v>
      </c>
      <c r="CB196" s="10">
        <v>89</v>
      </c>
      <c r="CC196" s="10">
        <v>115</v>
      </c>
      <c r="CD196" s="10">
        <v>14.3</v>
      </c>
      <c r="CE196" s="10">
        <v>1645</v>
      </c>
      <c r="CF196" s="10">
        <v>1.06</v>
      </c>
      <c r="CG196" s="10">
        <v>1751</v>
      </c>
      <c r="CH196" s="10">
        <v>187</v>
      </c>
      <c r="CI196" s="10">
        <v>116</v>
      </c>
      <c r="CJ196" s="10">
        <v>49</v>
      </c>
      <c r="CK196" s="10">
        <v>317</v>
      </c>
      <c r="CL196" s="10">
        <v>16</v>
      </c>
      <c r="CM196" s="10">
        <v>216</v>
      </c>
      <c r="CN196" s="10">
        <v>0.31900000000000001</v>
      </c>
      <c r="CO196" s="10">
        <v>132</v>
      </c>
      <c r="CP196" s="10">
        <v>138</v>
      </c>
      <c r="CQ196" s="10">
        <v>186</v>
      </c>
      <c r="CR196" s="10">
        <v>4</v>
      </c>
      <c r="CS196" s="10">
        <v>9.8000000000000007</v>
      </c>
      <c r="CT196" s="9" t="s">
        <v>188</v>
      </c>
      <c r="CU196" s="9" t="s">
        <v>185</v>
      </c>
      <c r="CV196" s="10"/>
      <c r="CW196" s="10"/>
      <c r="CX196" t="str">
        <f>INDEX('Data_Price '!AG$2:AG$1266,MATCH(Data!$DN196,'Data_Price '!$AT$2:$AT$1266,0))</f>
        <v>Fischer Ranger 92 Ti Skis 2022 - 171</v>
      </c>
      <c r="CY196" t="str">
        <f>INDEX('Data_Price '!AH$2:AH$1266,MATCH(Data!$DN196,'Data_Price '!$AT$2:$AT$1266,0))</f>
        <v>Telemark Pyrenees</v>
      </c>
      <c r="CZ196">
        <f>INDEX('Data_Price '!AI$2:AI$1266,MATCH(Data!$DN196,'Data_Price '!$AT$2:$AT$1266,0))</f>
        <v>348.3</v>
      </c>
      <c r="DA196" t="str">
        <f>INDEX('Data_Price '!AJ$2:AJ$1266,MATCH(Data!$DN196,'Data_Price '!$AT$2:$AT$1266,0))</f>
        <v>https://tinyurl.com/y9mb2dd8</v>
      </c>
      <c r="DB196" t="str">
        <f>INDEX('Data_Price '!AK$2:AK$1266,MATCH(Data!$DN196,'Data_Price '!$AT$2:$AT$1266,0))</f>
        <v>Fischer Ranger 92 Ti Skis 2022 - 171</v>
      </c>
      <c r="DC196" t="str">
        <f>INDEX('Data_Price '!AL$2:AL$1266,MATCH(Data!$DN196,'Data_Price '!$AT$2:$AT$1266,0))</f>
        <v>Snowcountry.eu</v>
      </c>
      <c r="DD196">
        <f>INDEX('Data_Price '!AM$2:AM$1266,MATCH(Data!$DN196,'Data_Price '!$AT$2:$AT$1266,0))</f>
        <v>387.23</v>
      </c>
      <c r="DE196" t="str">
        <f>INDEX('Data_Price '!AN$2:AN$1266,MATCH(Data!$DN196,'Data_Price '!$AT$2:$AT$1266,0))</f>
        <v>https://tinyurl.com/y9vpa4yu</v>
      </c>
      <c r="DF196" t="str">
        <f>INDEX('Data_Price '!AO$2:AO$1266,MATCH(Data!$DN196,'Data_Price '!$AT$2:$AT$1266,0))</f>
        <v>Fischer Ranger 92 Ti Skis 2022 - 171</v>
      </c>
      <c r="DG196" t="str">
        <f>INDEX('Data_Price '!AP$2:AP$1266,MATCH(Data!$DN196,'Data_Price '!$AT$2:$AT$1266,0))</f>
        <v>! OutdoorXL.com</v>
      </c>
      <c r="DH196">
        <f>INDEX('Data_Price '!AQ$2:AQ$1266,MATCH(Data!$DN196,'Data_Price '!$AT$2:$AT$1266,0))</f>
        <v>469.95</v>
      </c>
      <c r="DI196" t="str">
        <f>INDEX('Data_Price '!AR$2:AR$1266,MATCH(Data!$DN196,'Data_Price '!$AT$2:$AT$1266,0))</f>
        <v>https://tinyurl.com/yb8lx6jd</v>
      </c>
      <c r="DJ196" s="89" t="str">
        <f t="shared" si="106"/>
        <v>https://tinyurl.com/y9mb2dd8</v>
      </c>
      <c r="DK196" s="89" t="str">
        <f t="shared" si="107"/>
        <v>https://tinyurl.com/y9vpa4yu</v>
      </c>
      <c r="DL196" s="89" t="str">
        <f t="shared" si="108"/>
        <v>https://tinyurl.com/yb8lx6jd</v>
      </c>
      <c r="DM196" s="219" t="str">
        <f t="shared" si="109"/>
        <v>Ranger 92 Ti</v>
      </c>
      <c r="DN196" s="89" t="str">
        <f t="shared" si="110"/>
        <v xml:space="preserve"> FischerRanger 92 Ti171 Unisex</v>
      </c>
      <c r="DO196" s="221"/>
    </row>
    <row r="197" spans="1:119" ht="15.6" customHeight="1">
      <c r="B197" s="219" t="b">
        <f t="array" ref="B197">IF(OR(ISERROR(K197:P197)),FALSE,TRUE)</f>
        <v>1</v>
      </c>
      <c r="C197" s="43" t="b">
        <f>OR(BR197=Driver!$G$50,Data!BR548=Driver!$H$50)</f>
        <v>1</v>
      </c>
      <c r="D197" s="43" t="b">
        <f>OR(BV197=Driver!$G$51,BV197=Driver!$H$51)</f>
        <v>1</v>
      </c>
      <c r="E197" s="43" t="b">
        <f>AND(BX197&gt;Driver!$F$54,BX197&lt;Driver!$G$54)</f>
        <v>0</v>
      </c>
      <c r="F197" s="43" t="b">
        <f>CL197&gt;Driver!$F$56</f>
        <v>1</v>
      </c>
      <c r="G197" s="43" t="b">
        <f>AND(CB197&gt;Driver!$F$55,CB197&lt;Driver!$G$55)</f>
        <v>1</v>
      </c>
      <c r="H197" s="43" t="b">
        <f t="shared" si="74"/>
        <v>0</v>
      </c>
      <c r="I197" s="43">
        <f t="shared" si="75"/>
        <v>1</v>
      </c>
      <c r="J197" s="43" t="b">
        <f t="array" ref="J197">NOT(OR(($H$9:$H$1273=TRUE)*($I$9:$I$1273&gt;0)*($BT$9:$BT$1273=BT197)*($K$9:$K$1273&gt;K197)))</f>
        <v>0</v>
      </c>
      <c r="K197" s="72">
        <f t="shared" si="76"/>
        <v>0.8252061060002398</v>
      </c>
      <c r="L197" s="72">
        <f t="shared" si="77"/>
        <v>0.86770744409053224</v>
      </c>
      <c r="M197" s="72">
        <f t="shared" si="78"/>
        <v>0.78270476790994747</v>
      </c>
      <c r="N197" s="72">
        <f t="shared" si="79"/>
        <v>0.69423819690096344</v>
      </c>
      <c r="O197" s="72">
        <f t="shared" si="80"/>
        <v>0.6625243446050022</v>
      </c>
      <c r="P197" s="72">
        <f t="shared" si="81"/>
        <v>0.99135176222387689</v>
      </c>
      <c r="Q197" s="72"/>
      <c r="R197" s="72"/>
      <c r="S197" s="72">
        <f t="shared" si="82"/>
        <v>0.43960737434414388</v>
      </c>
      <c r="T197" s="72">
        <f t="shared" si="83"/>
        <v>0.53153925946827874</v>
      </c>
      <c r="U197" s="72">
        <f t="shared" si="84"/>
        <v>0.5616906299943224</v>
      </c>
      <c r="V197" s="72">
        <f t="shared" si="85"/>
        <v>0.58277953081736511</v>
      </c>
      <c r="W197" s="72">
        <f t="shared" si="86"/>
        <v>0.79373289708506833</v>
      </c>
      <c r="X197" s="72">
        <f t="shared" si="87"/>
        <v>0.13229255590946776</v>
      </c>
      <c r="Y197" s="72">
        <f t="shared" si="88"/>
        <v>0.2172952320900525</v>
      </c>
      <c r="Z197" s="72">
        <f t="shared" si="89"/>
        <v>0.3057618030990365</v>
      </c>
      <c r="AA197" s="72">
        <f t="shared" si="90"/>
        <v>0.3374756553949978</v>
      </c>
      <c r="AB197" s="72">
        <f t="shared" si="91"/>
        <v>8.6482377761231133E-3</v>
      </c>
      <c r="AC197" s="72"/>
      <c r="AD197" s="72"/>
      <c r="AE197" s="72">
        <f t="shared" si="92"/>
        <v>0.56039262565585612</v>
      </c>
      <c r="AF197" s="72">
        <f t="shared" si="93"/>
        <v>0.46846074053172126</v>
      </c>
      <c r="AG197" s="72">
        <f t="shared" si="94"/>
        <v>0.4383093700056776</v>
      </c>
      <c r="AH197" s="72">
        <f t="shared" si="95"/>
        <v>0.41722046918263489</v>
      </c>
      <c r="AI197" s="72">
        <f t="shared" si="96"/>
        <v>0.20626710291493161</v>
      </c>
      <c r="AJ197" s="72">
        <f>(AV197-Driver!$K$179)/(Driver!$L$179-Driver!$K$179)</f>
        <v>0.38651196519216818</v>
      </c>
      <c r="AK197" s="72">
        <f>(AW197-Driver!$K$180)/(Driver!$L$180-Driver!$K$180)</f>
        <v>0.27588330907219738</v>
      </c>
      <c r="AL197" s="72">
        <f>(AX197-Driver!$K$181)/(Driver!$L$181-Driver!$K$181)</f>
        <v>0.40744956681211669</v>
      </c>
      <c r="AM197" s="72">
        <f>(AY197-Driver!$K$182)/(Driver!$L$182-Driver!$K$182)</f>
        <v>0.10990936570204859</v>
      </c>
      <c r="AN197" s="72">
        <f>(AZ197-Driver!$K$183)/(Driver!$L$183-Driver!$K$183)</f>
        <v>0.26286764705882354</v>
      </c>
      <c r="AO197" s="72"/>
      <c r="AP197" s="72"/>
      <c r="AQ197" s="72">
        <f>(BC197-Driver!$K$188)/(Driver!$L$188-Driver!$K$188)</f>
        <v>5.9607374344143892E-2</v>
      </c>
      <c r="AR197" s="72">
        <f>MIN((BD197-Driver!$K$189)/(Driver!$L$189-Driver!$K$189),100%)</f>
        <v>8.153925946827878E-2</v>
      </c>
      <c r="AS197" s="72">
        <f>(BE197-Driver!$K$190)/(Driver!$L$190-Driver!$K$190)</f>
        <v>7.1690629994322394E-2</v>
      </c>
      <c r="AT197" s="72">
        <f>(BF197-Driver!$K$191)/(Driver!$L$191-Driver!$K$191)</f>
        <v>9.2779530817365133E-2</v>
      </c>
      <c r="AU197" s="72">
        <f>(BG197-Driver!$K$192)/(Driver!$L$192-Driver!$K$192)</f>
        <v>4.3732897085068403E-2</v>
      </c>
      <c r="AV197" s="70">
        <f t="shared" si="97"/>
        <v>8.1349206349206344</v>
      </c>
      <c r="AW197" s="70">
        <f t="shared" si="98"/>
        <v>28.759165665344909</v>
      </c>
      <c r="AX197" s="70">
        <f t="shared" si="99"/>
        <v>4.6670461013090501</v>
      </c>
      <c r="AY197" s="70">
        <f>IFERROR(Driver!$K$19/Data!BH197/Data!BI197*Data!BK197*Data!BL197,"")</f>
        <v>0.13456185740890333</v>
      </c>
      <c r="AZ197" s="70">
        <f t="shared" si="100"/>
        <v>23.957557706626957</v>
      </c>
      <c r="BA197" s="70"/>
      <c r="BB197" s="70"/>
      <c r="BC197" s="70">
        <f t="shared" si="101"/>
        <v>30.918759456051088</v>
      </c>
      <c r="BD197" s="70">
        <f t="shared" si="102"/>
        <v>8.9369028680218943</v>
      </c>
      <c r="BE197" s="70">
        <f t="shared" si="103"/>
        <v>7.1856229937364388E-2</v>
      </c>
      <c r="BF197" s="70">
        <f t="shared" si="104"/>
        <v>10.47879619272735</v>
      </c>
      <c r="BG197" s="70">
        <f t="shared" si="105"/>
        <v>0.16560064693634741</v>
      </c>
      <c r="BH197" s="67">
        <f>MAX((CE197-Driver!$F$200)/(Driver!$G$200-Driver!$F$200)*$BI$1,1)</f>
        <v>4.6670461013090501</v>
      </c>
      <c r="BI197" s="67">
        <f>MAX($BI$1*(BY197-Driver!$F$201)/(Driver!$G$201-Driver!$F$201),1)</f>
        <v>7.4050632911392409</v>
      </c>
      <c r="BJ197" s="67">
        <f>(CB197-Driver!$F$206)/(Driver!$G$206-Driver!$F$206)*$BI$1</f>
        <v>6.1904761904761907</v>
      </c>
      <c r="BK197" s="67">
        <f>(CD197-Driver!$F$203)/(Driver!$G$203-Driver!$F$203)*$BI$1</f>
        <v>3.2110091743119265</v>
      </c>
      <c r="BL197" s="67">
        <f>MAX((CR197-Driver!$F$202)/(Driver!$G$202-Driver!$F$202)*$BI$1,1)</f>
        <v>7.2413793103448274</v>
      </c>
      <c r="BM197" s="67">
        <f>MAX((CH197-Driver!$F$204)/(Driver!$G$204-Driver!$F$204)*$BI$1,1)</f>
        <v>5.2564102564102564</v>
      </c>
      <c r="BN197" s="67">
        <f>(CI197-Driver!$F$205)/(Driver!$G$205-Driver!$F$205)*$BI$1</f>
        <v>3.2352941176470589</v>
      </c>
      <c r="BO197" s="67">
        <f>(CK197-Driver!$F$207)/(Driver!$G$207-Driver!$F$207)*$BI$1</f>
        <v>2.2337125129265769</v>
      </c>
      <c r="BP197" s="67">
        <f>(CM197-Driver!$F$208)/(Driver!$G$208-Driver!$F$208)*$BI$1</f>
        <v>2.4333333333333336</v>
      </c>
      <c r="BQ197" s="67">
        <f>(CL197-Driver!$F$209)/(Driver!$G$209-Driver!$F$209)*$BI$1</f>
        <v>4.0625</v>
      </c>
      <c r="BR197" s="28" t="s">
        <v>155</v>
      </c>
      <c r="BS197" s="8" t="s">
        <v>321</v>
      </c>
      <c r="BT197" s="9" t="s">
        <v>365</v>
      </c>
      <c r="BU197" s="10">
        <v>180</v>
      </c>
      <c r="BV197" s="9" t="s">
        <v>158</v>
      </c>
      <c r="BW197" s="10">
        <v>180</v>
      </c>
      <c r="BX197" s="10">
        <v>179.2</v>
      </c>
      <c r="BY197" s="10">
        <v>125</v>
      </c>
      <c r="BZ197" s="10">
        <v>143</v>
      </c>
      <c r="CA197" s="10">
        <v>133</v>
      </c>
      <c r="CB197" s="10">
        <v>103</v>
      </c>
      <c r="CC197" s="10">
        <v>125</v>
      </c>
      <c r="CD197" s="10">
        <v>16.399999999999999</v>
      </c>
      <c r="CE197" s="10">
        <v>1720</v>
      </c>
      <c r="CF197" s="10">
        <v>1.19</v>
      </c>
      <c r="CG197" s="10">
        <v>2048</v>
      </c>
      <c r="CH197" s="10">
        <v>224</v>
      </c>
      <c r="CI197" s="10">
        <v>88</v>
      </c>
      <c r="CJ197" s="10">
        <v>44</v>
      </c>
      <c r="CK197" s="10">
        <v>326</v>
      </c>
      <c r="CL197" s="10">
        <v>26</v>
      </c>
      <c r="CM197" s="10">
        <v>219</v>
      </c>
      <c r="CN197" s="10">
        <v>0.59899999999999998</v>
      </c>
      <c r="CO197" s="10">
        <v>244</v>
      </c>
      <c r="CP197" s="10">
        <v>116</v>
      </c>
      <c r="CQ197" s="10">
        <v>82</v>
      </c>
      <c r="CR197" s="10">
        <v>10</v>
      </c>
      <c r="CS197" s="10">
        <v>9</v>
      </c>
      <c r="CT197" s="9" t="s">
        <v>188</v>
      </c>
      <c r="CU197" s="9" t="s">
        <v>169</v>
      </c>
      <c r="CV197" s="9" t="s">
        <v>185</v>
      </c>
      <c r="CW197" s="10"/>
      <c r="CX197">
        <f>INDEX('Data_Price '!AG$2:AG$1266,MATCH(Data!$DN197,'Data_Price '!$AT$2:$AT$1266,0))</f>
        <v>0</v>
      </c>
      <c r="CY197">
        <f>INDEX('Data_Price '!AH$2:AH$1266,MATCH(Data!$DN197,'Data_Price '!$AT$2:$AT$1266,0))</f>
        <v>0</v>
      </c>
      <c r="CZ197">
        <f>INDEX('Data_Price '!AI$2:AI$1266,MATCH(Data!$DN197,'Data_Price '!$AT$2:$AT$1266,0))</f>
        <v>0</v>
      </c>
      <c r="DA197">
        <f>INDEX('Data_Price '!AJ$2:AJ$1266,MATCH(Data!$DN197,'Data_Price '!$AT$2:$AT$1266,0))</f>
        <v>0</v>
      </c>
      <c r="DB197">
        <f>INDEX('Data_Price '!AK$2:AK$1266,MATCH(Data!$DN197,'Data_Price '!$AT$2:$AT$1266,0))</f>
        <v>0</v>
      </c>
      <c r="DC197">
        <f>INDEX('Data_Price '!AL$2:AL$1266,MATCH(Data!$DN197,'Data_Price '!$AT$2:$AT$1266,0))</f>
        <v>0</v>
      </c>
      <c r="DD197">
        <f>INDEX('Data_Price '!AM$2:AM$1266,MATCH(Data!$DN197,'Data_Price '!$AT$2:$AT$1266,0))</f>
        <v>0</v>
      </c>
      <c r="DE197">
        <f>INDEX('Data_Price '!AN$2:AN$1266,MATCH(Data!$DN197,'Data_Price '!$AT$2:$AT$1266,0))</f>
        <v>0</v>
      </c>
      <c r="DF197">
        <f>INDEX('Data_Price '!AO$2:AO$1266,MATCH(Data!$DN197,'Data_Price '!$AT$2:$AT$1266,0))</f>
        <v>0</v>
      </c>
      <c r="DG197">
        <f>INDEX('Data_Price '!AP$2:AP$1266,MATCH(Data!$DN197,'Data_Price '!$AT$2:$AT$1266,0))</f>
        <v>0</v>
      </c>
      <c r="DH197">
        <f>INDEX('Data_Price '!AQ$2:AQ$1266,MATCH(Data!$DN197,'Data_Price '!$AT$2:$AT$1266,0))</f>
        <v>0</v>
      </c>
      <c r="DI197">
        <f>INDEX('Data_Price '!AR$2:AR$1266,MATCH(Data!$DN197,'Data_Price '!$AT$2:$AT$1266,0))</f>
        <v>0</v>
      </c>
      <c r="DJ197" s="89">
        <f t="shared" si="106"/>
        <v>0</v>
      </c>
      <c r="DK197" s="89">
        <f t="shared" si="107"/>
        <v>0</v>
      </c>
      <c r="DL197" s="89">
        <f t="shared" si="108"/>
        <v>0</v>
      </c>
      <c r="DM197" s="219" t="str">
        <f t="shared" si="109"/>
        <v>Pionnier 104</v>
      </c>
      <c r="DN197" s="89" t="str">
        <f t="shared" si="110"/>
        <v xml:space="preserve"> FerreolPionnier 104180 Unisex</v>
      </c>
      <c r="DO197" s="221"/>
    </row>
    <row r="198" spans="1:119" ht="15.6" customHeight="1">
      <c r="B198" s="219" t="b">
        <f t="array" ref="B198">IF(OR(ISERROR(K198:P198)),FALSE,TRUE)</f>
        <v>1</v>
      </c>
      <c r="C198" s="43" t="b">
        <f>OR(BR198=Driver!$G$50,Data!BR423=Driver!$H$50)</f>
        <v>1</v>
      </c>
      <c r="D198" s="43" t="b">
        <f>OR(BV198=Driver!$G$51,BV198=Driver!$H$51)</f>
        <v>0</v>
      </c>
      <c r="E198" s="43" t="b">
        <f>AND(BX198&gt;Driver!$F$54,BX198&lt;Driver!$G$54)</f>
        <v>0</v>
      </c>
      <c r="F198" s="43" t="b">
        <f>CL198&gt;Driver!$F$56</f>
        <v>1</v>
      </c>
      <c r="G198" s="43" t="b">
        <f>AND(CB198&gt;Driver!$F$55,CB198&lt;Driver!$G$55)</f>
        <v>0</v>
      </c>
      <c r="H198" s="43" t="b">
        <f t="shared" si="74"/>
        <v>0</v>
      </c>
      <c r="I198" s="43">
        <f t="shared" si="75"/>
        <v>0</v>
      </c>
      <c r="J198" s="43" t="b">
        <f t="array" ref="J198">NOT(OR(($H$9:$H$1273=TRUE)*($I$9:$I$1273&gt;0)*($BT$9:$BT$1273=BT198)*($K$9:$K$1273&gt;K198)))</f>
        <v>1</v>
      </c>
      <c r="K198" s="72">
        <f t="shared" si="76"/>
        <v>0.77399358363675574</v>
      </c>
      <c r="L198" s="72">
        <f t="shared" si="77"/>
        <v>0.77502883823965873</v>
      </c>
      <c r="M198" s="72">
        <f t="shared" si="78"/>
        <v>0.77295832903385286</v>
      </c>
      <c r="N198" s="72">
        <f t="shared" si="79"/>
        <v>0.78972924856731397</v>
      </c>
      <c r="O198" s="72">
        <f t="shared" si="80"/>
        <v>0.60151946650644594</v>
      </c>
      <c r="P198" s="72">
        <f t="shared" si="81"/>
        <v>0.92762627202779857</v>
      </c>
      <c r="Q198" s="72"/>
      <c r="R198" s="72"/>
      <c r="S198" s="72">
        <f t="shared" si="82"/>
        <v>0.50588021754767265</v>
      </c>
      <c r="T198" s="72">
        <f t="shared" si="83"/>
        <v>0.55000000000000004</v>
      </c>
      <c r="U198" s="72">
        <f t="shared" si="84"/>
        <v>0.51</v>
      </c>
      <c r="V198" s="72">
        <f t="shared" si="85"/>
        <v>0.49021122192162037</v>
      </c>
      <c r="W198" s="72">
        <f t="shared" si="86"/>
        <v>0.75628729199866584</v>
      </c>
      <c r="X198" s="72">
        <f t="shared" si="87"/>
        <v>0.22497116176034124</v>
      </c>
      <c r="Y198" s="72">
        <f t="shared" si="88"/>
        <v>0.22704167096614714</v>
      </c>
      <c r="Z198" s="72">
        <f t="shared" si="89"/>
        <v>0.21027075143268598</v>
      </c>
      <c r="AA198" s="72">
        <f t="shared" si="90"/>
        <v>0.39848053349355406</v>
      </c>
      <c r="AB198" s="72">
        <f t="shared" si="91"/>
        <v>7.2373727972201485E-2</v>
      </c>
      <c r="AC198" s="72"/>
      <c r="AD198" s="72"/>
      <c r="AE198" s="72">
        <f t="shared" si="92"/>
        <v>0.49411978245232741</v>
      </c>
      <c r="AF198" s="72">
        <f t="shared" si="93"/>
        <v>0.44999999999999996</v>
      </c>
      <c r="AG198" s="72">
        <f t="shared" si="94"/>
        <v>0.49</v>
      </c>
      <c r="AH198" s="72">
        <f t="shared" si="95"/>
        <v>0.50978877807837963</v>
      </c>
      <c r="AI198" s="72">
        <f t="shared" si="96"/>
        <v>0.24371270800133418</v>
      </c>
      <c r="AJ198" s="72">
        <f>(AV198-Driver!$K$179)/(Driver!$L$179-Driver!$K$179)</f>
        <v>2.9248247522359192E-2</v>
      </c>
      <c r="AK198" s="72">
        <f>(AW198-Driver!$K$180)/(Driver!$L$180-Driver!$K$180)</f>
        <v>0.32589194958366474</v>
      </c>
      <c r="AL198" s="72">
        <f>(AX198-Driver!$K$181)/(Driver!$L$181-Driver!$K$181)</f>
        <v>0.31195851514576617</v>
      </c>
      <c r="AM198" s="72">
        <f>(AY198-Driver!$K$182)/(Driver!$L$182-Driver!$K$182)</f>
        <v>4.8904487603492287E-2</v>
      </c>
      <c r="AN198" s="72">
        <f>(AZ198-Driver!$K$183)/(Driver!$L$183-Driver!$K$183)</f>
        <v>0.32659313725490191</v>
      </c>
      <c r="AO198" s="72"/>
      <c r="AP198" s="72"/>
      <c r="AQ198" s="72">
        <f>(BC198-Driver!$K$188)/(Driver!$L$188-Driver!$K$188)</f>
        <v>0.12588021754767259</v>
      </c>
      <c r="AR198" s="72">
        <f>MIN((BD198-Driver!$K$189)/(Driver!$L$189-Driver!$K$189),100%)</f>
        <v>1</v>
      </c>
      <c r="AS198" s="72">
        <f>(BE198-Driver!$K$190)/(Driver!$L$190-Driver!$K$190)</f>
        <v>1</v>
      </c>
      <c r="AT198" s="72">
        <f>(BF198-Driver!$K$191)/(Driver!$L$191-Driver!$K$191)</f>
        <v>2.1122192162040482E-4</v>
      </c>
      <c r="AU198" s="72">
        <f>(BG198-Driver!$K$192)/(Driver!$L$192-Driver!$K$192)</f>
        <v>6.2872919986658249E-3</v>
      </c>
      <c r="AV198" s="70">
        <f t="shared" si="97"/>
        <v>0.61558811558811555</v>
      </c>
      <c r="AW198" s="70">
        <f t="shared" si="98"/>
        <v>33.632950804820396</v>
      </c>
      <c r="AX198" s="70">
        <f t="shared" si="99"/>
        <v>3.8076266363118956</v>
      </c>
      <c r="AY198" s="70">
        <f>IFERROR(Driver!$K$19/Data!BH198/Data!BI198*Data!BK198*Data!BL198,"")</f>
        <v>5.9873684517441933E-2</v>
      </c>
      <c r="AZ198" s="70">
        <f t="shared" si="100"/>
        <v>29.76545048399106</v>
      </c>
      <c r="BA198" s="70"/>
      <c r="BB198" s="70"/>
      <c r="BC198" s="70">
        <f t="shared" si="101"/>
        <v>65.294943947052829</v>
      </c>
      <c r="BD198" s="70">
        <f t="shared" si="102"/>
        <v>160.11670383012603</v>
      </c>
      <c r="BE198" s="70">
        <f t="shared" si="103"/>
        <v>1</v>
      </c>
      <c r="BF198" s="70">
        <f t="shared" si="104"/>
        <v>2.3856032129041436E-2</v>
      </c>
      <c r="BG198" s="70">
        <f t="shared" si="105"/>
        <v>2.380769836563762E-2</v>
      </c>
      <c r="BH198" s="67">
        <f>MAX((CE198-Driver!$F$200)/(Driver!$G$200-Driver!$F$200)*$BI$1,1)</f>
        <v>3.8076266363118956</v>
      </c>
      <c r="BI198" s="67">
        <f>MAX($BI$1*(BY198-Driver!$F$201)/(Driver!$G$201-Driver!$F$201),1)</f>
        <v>7.7848101265822782</v>
      </c>
      <c r="BJ198" s="67">
        <f>(CB198-Driver!$F$206)/(Driver!$G$206-Driver!$F$206)*$BI$1</f>
        <v>0.47619047619047616</v>
      </c>
      <c r="BK198" s="67">
        <f>(CD198-Driver!$F$203)/(Driver!$G$203-Driver!$F$203)*$BI$1</f>
        <v>1.5137614678899081</v>
      </c>
      <c r="BL198" s="67">
        <f>MAX((CR198-Driver!$F$202)/(Driver!$G$202-Driver!$F$202)*$BI$1,1)</f>
        <v>5.8620689655172411</v>
      </c>
      <c r="BM198" s="67">
        <f>MAX((CH198-Driver!$F$204)/(Driver!$G$204-Driver!$F$204)*$BI$1,1)</f>
        <v>5.1709401709401712</v>
      </c>
      <c r="BN198" s="67">
        <f>(CI198-Driver!$F$205)/(Driver!$G$205-Driver!$F$205)*$BI$1</f>
        <v>3.8235294117647056</v>
      </c>
      <c r="BO198" s="67">
        <f>(CK198-Driver!$F$207)/(Driver!$G$207-Driver!$F$207)*$BI$1</f>
        <v>0.15511892450879006</v>
      </c>
      <c r="BP198" s="67">
        <f>(CM198-Driver!$F$208)/(Driver!$G$208-Driver!$F$208)*$BI$1</f>
        <v>0.48888888888888893</v>
      </c>
      <c r="BQ198" s="67">
        <f>(CL198-Driver!$F$209)/(Driver!$G$209-Driver!$F$209)*$BI$1</f>
        <v>0.46875</v>
      </c>
      <c r="BR198" s="28" t="s">
        <v>155</v>
      </c>
      <c r="BS198" s="8" t="s">
        <v>164</v>
      </c>
      <c r="BT198" s="9" t="s">
        <v>419</v>
      </c>
      <c r="BU198" s="10">
        <v>149</v>
      </c>
      <c r="BV198" s="9" t="s">
        <v>163</v>
      </c>
      <c r="BW198" s="10">
        <v>149</v>
      </c>
      <c r="BX198" s="10">
        <v>147.69999999999999</v>
      </c>
      <c r="BY198" s="10">
        <v>131</v>
      </c>
      <c r="BZ198" s="10">
        <v>138</v>
      </c>
      <c r="CA198" s="10">
        <v>109</v>
      </c>
      <c r="CB198" s="10">
        <v>67</v>
      </c>
      <c r="CC198" s="10">
        <v>95</v>
      </c>
      <c r="CD198" s="10">
        <v>12.7</v>
      </c>
      <c r="CE198" s="10">
        <v>1569</v>
      </c>
      <c r="CF198" s="10">
        <v>0.76</v>
      </c>
      <c r="CG198" s="10">
        <v>1185</v>
      </c>
      <c r="CH198" s="10">
        <v>222</v>
      </c>
      <c r="CI198" s="10">
        <v>98</v>
      </c>
      <c r="CJ198" s="10">
        <v>34</v>
      </c>
      <c r="CK198" s="10">
        <v>125</v>
      </c>
      <c r="CL198" s="10">
        <v>3</v>
      </c>
      <c r="CM198" s="10">
        <v>44</v>
      </c>
      <c r="CN198" s="10">
        <v>7.9000000000000001E-2</v>
      </c>
      <c r="CO198" s="10">
        <v>57</v>
      </c>
      <c r="CP198" s="10">
        <v>40</v>
      </c>
      <c r="CQ198" s="10">
        <v>68</v>
      </c>
      <c r="CR198" s="10">
        <v>6</v>
      </c>
      <c r="CS198" s="10">
        <v>11</v>
      </c>
      <c r="CT198" s="9" t="s">
        <v>349</v>
      </c>
      <c r="CU198" s="10"/>
      <c r="CV198" s="10"/>
      <c r="CW198" s="10"/>
      <c r="CX198">
        <f>INDEX('Data_Price '!AG$2:AG$1266,MATCH(Data!$DN198,'Data_Price '!$AT$2:$AT$1266,0))</f>
        <v>0</v>
      </c>
      <c r="CY198">
        <f>INDEX('Data_Price '!AH$2:AH$1266,MATCH(Data!$DN198,'Data_Price '!$AT$2:$AT$1266,0))</f>
        <v>0</v>
      </c>
      <c r="CZ198">
        <f>INDEX('Data_Price '!AI$2:AI$1266,MATCH(Data!$DN198,'Data_Price '!$AT$2:$AT$1266,0))</f>
        <v>0</v>
      </c>
      <c r="DA198">
        <f>INDEX('Data_Price '!AJ$2:AJ$1266,MATCH(Data!$DN198,'Data_Price '!$AT$2:$AT$1266,0))</f>
        <v>0</v>
      </c>
      <c r="DB198">
        <f>INDEX('Data_Price '!AK$2:AK$1266,MATCH(Data!$DN198,'Data_Price '!$AT$2:$AT$1266,0))</f>
        <v>0</v>
      </c>
      <c r="DC198">
        <f>INDEX('Data_Price '!AL$2:AL$1266,MATCH(Data!$DN198,'Data_Price '!$AT$2:$AT$1266,0))</f>
        <v>0</v>
      </c>
      <c r="DD198">
        <f>INDEX('Data_Price '!AM$2:AM$1266,MATCH(Data!$DN198,'Data_Price '!$AT$2:$AT$1266,0))</f>
        <v>0</v>
      </c>
      <c r="DE198">
        <f>INDEX('Data_Price '!AN$2:AN$1266,MATCH(Data!$DN198,'Data_Price '!$AT$2:$AT$1266,0))</f>
        <v>0</v>
      </c>
      <c r="DF198">
        <f>INDEX('Data_Price '!AO$2:AO$1266,MATCH(Data!$DN198,'Data_Price '!$AT$2:$AT$1266,0))</f>
        <v>0</v>
      </c>
      <c r="DG198">
        <f>INDEX('Data_Price '!AP$2:AP$1266,MATCH(Data!$DN198,'Data_Price '!$AT$2:$AT$1266,0))</f>
        <v>0</v>
      </c>
      <c r="DH198">
        <f>INDEX('Data_Price '!AQ$2:AQ$1266,MATCH(Data!$DN198,'Data_Price '!$AT$2:$AT$1266,0))</f>
        <v>0</v>
      </c>
      <c r="DI198">
        <f>INDEX('Data_Price '!AR$2:AR$1266,MATCH(Data!$DN198,'Data_Price '!$AT$2:$AT$1266,0))</f>
        <v>0</v>
      </c>
      <c r="DJ198" s="89">
        <f t="shared" si="106"/>
        <v>0</v>
      </c>
      <c r="DK198" s="89">
        <f t="shared" si="107"/>
        <v>0</v>
      </c>
      <c r="DL198" s="89">
        <f t="shared" si="108"/>
        <v>0</v>
      </c>
      <c r="DM198" s="219" t="str">
        <f t="shared" si="109"/>
        <v>Ace Speed Magic</v>
      </c>
      <c r="DN198" s="89" t="str">
        <f t="shared" si="110"/>
        <v xml:space="preserve"> ElanAce Speed Magic149 Women's</v>
      </c>
      <c r="DO198" s="221"/>
    </row>
    <row r="199" spans="1:119" ht="15.6" customHeight="1">
      <c r="B199" s="219" t="b">
        <f t="array" ref="B199">IF(OR(ISERROR(K199:P199)),FALSE,TRUE)</f>
        <v>1</v>
      </c>
      <c r="C199" s="43" t="b">
        <f>OR(BR199=Driver!$G$50,Data!BR1103=Driver!$H$50)</f>
        <v>1</v>
      </c>
      <c r="D199" s="43" t="b">
        <f>OR(BV199=Driver!$G$51,BV199=Driver!$H$51)</f>
        <v>1</v>
      </c>
      <c r="E199" s="43" t="b">
        <f>AND(BX199&gt;Driver!$F$54,BX199&lt;Driver!$G$54)</f>
        <v>0</v>
      </c>
      <c r="F199" s="43" t="b">
        <f>CL199&gt;Driver!$F$56</f>
        <v>1</v>
      </c>
      <c r="G199" s="43" t="b">
        <f>AND(CB199&gt;Driver!$F$55,CB199&lt;Driver!$G$55)</f>
        <v>0</v>
      </c>
      <c r="H199" s="43" t="b">
        <f t="shared" si="74"/>
        <v>0</v>
      </c>
      <c r="I199" s="43">
        <f t="shared" si="75"/>
        <v>0</v>
      </c>
      <c r="J199" s="43" t="b">
        <f t="array" ref="J199">NOT(OR(($H$9:$H$1273=TRUE)*($I$9:$I$1273&gt;0)*($BT$9:$BT$1273=BT199)*($K$9:$K$1273&gt;K199)))</f>
        <v>1</v>
      </c>
      <c r="K199" s="72">
        <f t="shared" si="76"/>
        <v>0.8550518975785022</v>
      </c>
      <c r="L199" s="72">
        <f t="shared" si="77"/>
        <v>0.91337385475726407</v>
      </c>
      <c r="M199" s="72">
        <f t="shared" si="78"/>
        <v>0.79672994039974032</v>
      </c>
      <c r="N199" s="72">
        <f t="shared" si="79"/>
        <v>0.76000686824732411</v>
      </c>
      <c r="O199" s="72">
        <f t="shared" si="80"/>
        <v>0.65231158288488256</v>
      </c>
      <c r="P199" s="72">
        <f t="shared" si="81"/>
        <v>0.97787137006701419</v>
      </c>
      <c r="Q199" s="72"/>
      <c r="R199" s="72"/>
      <c r="S199" s="72">
        <f t="shared" si="82"/>
        <v>0.46500557707738199</v>
      </c>
      <c r="T199" s="72">
        <f t="shared" si="83"/>
        <v>0.55883465159749357</v>
      </c>
      <c r="U199" s="72">
        <f t="shared" si="84"/>
        <v>0.79660642961323036</v>
      </c>
      <c r="V199" s="72">
        <f t="shared" si="85"/>
        <v>0.51993138877550327</v>
      </c>
      <c r="W199" s="72">
        <f t="shared" si="86"/>
        <v>0.77733938547486037</v>
      </c>
      <c r="X199" s="72">
        <f t="shared" si="87"/>
        <v>8.6626145242735902E-2</v>
      </c>
      <c r="Y199" s="72">
        <f t="shared" si="88"/>
        <v>0.20327005960025971</v>
      </c>
      <c r="Z199" s="72">
        <f t="shared" si="89"/>
        <v>0.23999313175267589</v>
      </c>
      <c r="AA199" s="72">
        <f t="shared" si="90"/>
        <v>0.34768841711511744</v>
      </c>
      <c r="AB199" s="72">
        <f t="shared" si="91"/>
        <v>2.212862993298581E-2</v>
      </c>
      <c r="AC199" s="72"/>
      <c r="AD199" s="72"/>
      <c r="AE199" s="72">
        <f t="shared" si="92"/>
        <v>0.53499442292261801</v>
      </c>
      <c r="AF199" s="72">
        <f t="shared" si="93"/>
        <v>0.44116534840250649</v>
      </c>
      <c r="AG199" s="72">
        <f t="shared" si="94"/>
        <v>0.20339357038676964</v>
      </c>
      <c r="AH199" s="72">
        <f t="shared" si="95"/>
        <v>0.48006861122449673</v>
      </c>
      <c r="AI199" s="72">
        <f t="shared" si="96"/>
        <v>0.22266061452513966</v>
      </c>
      <c r="AJ199" s="72">
        <f>(AV199-Driver!$K$179)/(Driver!$L$179-Driver!$K$179)</f>
        <v>0.16759326403996452</v>
      </c>
      <c r="AK199" s="72">
        <f>(AW199-Driver!$K$180)/(Driver!$L$180-Driver!$K$180)</f>
        <v>0.28228776719405785</v>
      </c>
      <c r="AL199" s="72">
        <f>(AX199-Driver!$K$181)/(Driver!$L$181-Driver!$K$181)</f>
        <v>0.34168089546575608</v>
      </c>
      <c r="AM199" s="72">
        <f>(AY199-Driver!$K$182)/(Driver!$L$182-Driver!$K$182)</f>
        <v>9.9696603981928922E-2</v>
      </c>
      <c r="AN199" s="72">
        <f>(AZ199-Driver!$K$183)/(Driver!$L$183-Driver!$K$183)</f>
        <v>0.27634803921568624</v>
      </c>
      <c r="AO199" s="72"/>
      <c r="AP199" s="72"/>
      <c r="AQ199" s="72">
        <f>(BC199-Driver!$K$188)/(Driver!$L$188-Driver!$K$188)</f>
        <v>8.5005577077382016E-2</v>
      </c>
      <c r="AR199" s="72">
        <f>MIN((BD199-Driver!$K$189)/(Driver!$L$189-Driver!$K$189),100%)</f>
        <v>0.10883465159749357</v>
      </c>
      <c r="AS199" s="72">
        <f>(BE199-Driver!$K$190)/(Driver!$L$190-Driver!$K$190)</f>
        <v>0.30660642961323037</v>
      </c>
      <c r="AT199" s="72">
        <f>(BF199-Driver!$K$191)/(Driver!$L$191-Driver!$K$191)</f>
        <v>2.9931388775503248E-2</v>
      </c>
      <c r="AU199" s="72">
        <f>(BG199-Driver!$K$192)/(Driver!$L$192-Driver!$K$192)</f>
        <v>2.7339385474860329E-2</v>
      </c>
      <c r="AV199" s="70">
        <f t="shared" si="97"/>
        <v>3.5273368606701938</v>
      </c>
      <c r="AW199" s="70">
        <f t="shared" si="98"/>
        <v>29.383336858592187</v>
      </c>
      <c r="AX199" s="70">
        <f t="shared" si="99"/>
        <v>4.0751280591918047</v>
      </c>
      <c r="AY199" s="70">
        <f>IFERROR(Driver!$K$19/Data!BH199/Data!BI199*Data!BK199*Data!BL199,"")</f>
        <v>0.12205838986948295</v>
      </c>
      <c r="AZ199" s="70">
        <f t="shared" si="100"/>
        <v>25.186150409530899</v>
      </c>
      <c r="BA199" s="70"/>
      <c r="BB199" s="70"/>
      <c r="BC199" s="70">
        <f t="shared" si="101"/>
        <v>44.092983779222585</v>
      </c>
      <c r="BD199" s="70">
        <f t="shared" si="102"/>
        <v>11.352496706884432</v>
      </c>
      <c r="BE199" s="70">
        <f t="shared" si="103"/>
        <v>0.30673012322171034</v>
      </c>
      <c r="BF199" s="70">
        <f t="shared" si="104"/>
        <v>3.3805400822859308</v>
      </c>
      <c r="BG199" s="70">
        <f t="shared" si="105"/>
        <v>0.10352435405027932</v>
      </c>
      <c r="BH199" s="67">
        <f>MAX((CE199-Driver!$F$200)/(Driver!$G$200-Driver!$F$200)*$BI$1,1)</f>
        <v>4.0751280591918047</v>
      </c>
      <c r="BI199" s="67">
        <f>MAX($BI$1*(BY199-Driver!$F$201)/(Driver!$G$201-Driver!$F$201),1)</f>
        <v>7.7848101265822782</v>
      </c>
      <c r="BJ199" s="67">
        <f>(CB199-Driver!$F$206)/(Driver!$G$206-Driver!$F$206)*$BI$1</f>
        <v>3.1746031746031744</v>
      </c>
      <c r="BK199" s="67">
        <f>(CD199-Driver!$F$203)/(Driver!$G$203-Driver!$F$203)*$BI$1</f>
        <v>3.1192660550458715</v>
      </c>
      <c r="BL199" s="67">
        <f>MAX((CR199-Driver!$F$202)/(Driver!$G$202-Driver!$F$202)*$BI$1,1)</f>
        <v>6.2068965517241379</v>
      </c>
      <c r="BM199" s="67">
        <f>MAX((CH199-Driver!$F$204)/(Driver!$G$204-Driver!$F$204)*$BI$1,1)</f>
        <v>4.4444444444444446</v>
      </c>
      <c r="BN199" s="67">
        <f>(CI199-Driver!$F$205)/(Driver!$G$205-Driver!$F$205)*$BI$1</f>
        <v>3.2352941176470589</v>
      </c>
      <c r="BO199" s="67">
        <f>(CK199-Driver!$F$207)/(Driver!$G$207-Driver!$F$207)*$BI$1</f>
        <v>1.5098241985522234</v>
      </c>
      <c r="BP199" s="67">
        <f>(CM199-Driver!$F$208)/(Driver!$G$208-Driver!$F$208)*$BI$1</f>
        <v>2.2000000000000002</v>
      </c>
      <c r="BQ199" s="67">
        <f>(CL199-Driver!$F$209)/(Driver!$G$209-Driver!$F$209)*$BI$1</f>
        <v>1.875</v>
      </c>
      <c r="BR199" s="28" t="s">
        <v>155</v>
      </c>
      <c r="BS199" s="8" t="s">
        <v>174</v>
      </c>
      <c r="BT199" s="9" t="s">
        <v>343</v>
      </c>
      <c r="BU199" s="10">
        <v>177</v>
      </c>
      <c r="BV199" s="9" t="s">
        <v>158</v>
      </c>
      <c r="BW199" s="10">
        <v>177</v>
      </c>
      <c r="BX199" s="10">
        <v>175.9</v>
      </c>
      <c r="BY199" s="10">
        <v>131</v>
      </c>
      <c r="BZ199" s="10">
        <v>148</v>
      </c>
      <c r="CA199" s="10">
        <v>122</v>
      </c>
      <c r="CB199" s="10">
        <v>84</v>
      </c>
      <c r="CC199" s="10">
        <v>105</v>
      </c>
      <c r="CD199" s="10">
        <v>16.2</v>
      </c>
      <c r="CE199" s="10">
        <v>1616</v>
      </c>
      <c r="CF199" s="10">
        <v>1.06</v>
      </c>
      <c r="CG199" s="10">
        <v>1708</v>
      </c>
      <c r="CH199" s="10">
        <v>205</v>
      </c>
      <c r="CI199" s="10">
        <v>88</v>
      </c>
      <c r="CJ199" s="10">
        <v>49</v>
      </c>
      <c r="CK199" s="10">
        <v>256</v>
      </c>
      <c r="CL199" s="10">
        <v>12</v>
      </c>
      <c r="CM199" s="10">
        <v>198</v>
      </c>
      <c r="CN199" s="10">
        <v>0.23799999999999999</v>
      </c>
      <c r="CO199" s="10">
        <v>162</v>
      </c>
      <c r="CP199" s="10">
        <v>115</v>
      </c>
      <c r="CQ199" s="10">
        <v>93</v>
      </c>
      <c r="CR199" s="10">
        <v>7</v>
      </c>
      <c r="CS199" s="10">
        <v>9.9</v>
      </c>
      <c r="CT199" s="9" t="s">
        <v>231</v>
      </c>
      <c r="CU199" s="9" t="s">
        <v>188</v>
      </c>
      <c r="CV199" s="9" t="s">
        <v>185</v>
      </c>
      <c r="CW199" s="10"/>
      <c r="CX199" t="str">
        <f>INDEX('Data_Price '!AG$2:AG$1266,MATCH(Data!$DN199,'Data_Price '!$AT$2:$AT$1266,0))</f>
        <v>Salomon Stance 84 Skis + M12 GW Bindings 2022 - 177</v>
      </c>
      <c r="CY199" t="str">
        <f>INDEX('Data_Price '!AH$2:AH$1266,MATCH(Data!$DN199,'Data_Price '!$AT$2:$AT$1266,0))</f>
        <v>evo.com</v>
      </c>
      <c r="CZ199">
        <f>INDEX('Data_Price '!AI$2:AI$1266,MATCH(Data!$DN199,'Data_Price '!$AT$2:$AT$1266,0))</f>
        <v>599.99</v>
      </c>
      <c r="DA199" t="str">
        <f>INDEX('Data_Price '!AJ$2:AJ$1266,MATCH(Data!$DN199,'Data_Price '!$AT$2:$AT$1266,0))</f>
        <v>https://tinyurl.com/y77dramo</v>
      </c>
      <c r="DB199" t="str">
        <f>INDEX('Data_Price '!AK$2:AK$1266,MATCH(Data!$DN199,'Data_Price '!$AT$2:$AT$1266,0))</f>
        <v>Salomon STANCE 80 Skis with M11 GW Bindings 2022</v>
      </c>
      <c r="DC199" t="str">
        <f>INDEX('Data_Price '!AL$2:AL$1266,MATCH(Data!$DN199,'Data_Price '!$AT$2:$AT$1266,0))</f>
        <v>Level Nine Sports</v>
      </c>
      <c r="DD199">
        <f>INDEX('Data_Price '!AM$2:AM$1266,MATCH(Data!$DN199,'Data_Price '!$AT$2:$AT$1266,0))</f>
        <v>399.99</v>
      </c>
      <c r="DE199" t="str">
        <f>INDEX('Data_Price '!AN$2:AN$1266,MATCH(Data!$DN199,'Data_Price '!$AT$2:$AT$1266,0))</f>
        <v>https://tinyurl.com/y7q99px2</v>
      </c>
      <c r="DF199" t="str">
        <f>INDEX('Data_Price '!AO$2:AO$1266,MATCH(Data!$DN199,'Data_Price '!$AT$2:$AT$1266,0))</f>
        <v>Salomon Stance 80 + M11 GW Alpine Ski 2022 - - 177 cm</v>
      </c>
      <c r="DG199" t="str">
        <f>INDEX('Data_Price '!AP$2:AP$1266,MATCH(Data!$DN199,'Data_Price '!$AT$2:$AT$1266,0))</f>
        <v>Skirack</v>
      </c>
      <c r="DH199">
        <f>INDEX('Data_Price '!AQ$2:AQ$1266,MATCH(Data!$DN199,'Data_Price '!$AT$2:$AT$1266,0))</f>
        <v>399.99</v>
      </c>
      <c r="DI199" t="str">
        <f>INDEX('Data_Price '!AR$2:AR$1266,MATCH(Data!$DN199,'Data_Price '!$AT$2:$AT$1266,0))</f>
        <v>https://tinyurl.com/y8dxytfc</v>
      </c>
      <c r="DJ199" s="89" t="str">
        <f t="shared" si="106"/>
        <v>https://tinyurl.com/y77dramo</v>
      </c>
      <c r="DK199" s="89" t="str">
        <f t="shared" si="107"/>
        <v>https://tinyurl.com/y7q99px2</v>
      </c>
      <c r="DL199" s="89" t="str">
        <f t="shared" si="108"/>
        <v>https://tinyurl.com/y8dxytfc</v>
      </c>
      <c r="DM199" s="219" t="str">
        <f t="shared" si="109"/>
        <v>Stance 84</v>
      </c>
      <c r="DN199" s="89" t="str">
        <f t="shared" si="110"/>
        <v xml:space="preserve"> SalomonStance 84177 Unisex</v>
      </c>
      <c r="DO199" s="221" t="s">
        <v>344</v>
      </c>
    </row>
    <row r="200" spans="1:119" ht="15.6" customHeight="1">
      <c r="B200" s="219" t="b">
        <f t="array" ref="B200">IF(OR(ISERROR(K200:P200)),FALSE,TRUE)</f>
        <v>1</v>
      </c>
      <c r="C200" s="43" t="b">
        <f>OR(BR200=Driver!$G$50,Data!BR544=Driver!$H$50)</f>
        <v>1</v>
      </c>
      <c r="D200" s="43" t="b">
        <f>OR(BV200=Driver!$G$51,BV200=Driver!$H$51)</f>
        <v>1</v>
      </c>
      <c r="E200" s="43" t="b">
        <f>AND(BX200&gt;Driver!$F$54,BX200&lt;Driver!$G$54)</f>
        <v>0</v>
      </c>
      <c r="F200" s="43" t="b">
        <f>CL200&gt;Driver!$F$56</f>
        <v>1</v>
      </c>
      <c r="G200" s="43" t="b">
        <f>AND(CB200&gt;Driver!$F$55,CB200&lt;Driver!$G$55)</f>
        <v>0</v>
      </c>
      <c r="H200" s="43" t="b">
        <f t="shared" si="74"/>
        <v>0</v>
      </c>
      <c r="I200" s="43">
        <f t="shared" si="75"/>
        <v>0</v>
      </c>
      <c r="J200" s="43" t="b">
        <f t="array" ref="J200">NOT(OR(($H$9:$H$1273=TRUE)*($I$9:$I$1273&gt;0)*($BT$9:$BT$1273=BT200)*($K$9:$K$1273&gt;K200)))</f>
        <v>1</v>
      </c>
      <c r="K200" s="72">
        <f t="shared" si="76"/>
        <v>0.88685005436910291</v>
      </c>
      <c r="L200" s="72">
        <f t="shared" si="77"/>
        <v>0.95978429710679269</v>
      </c>
      <c r="M200" s="72">
        <f t="shared" si="78"/>
        <v>0.81391581163141302</v>
      </c>
      <c r="N200" s="72">
        <f t="shared" si="79"/>
        <v>0.78024338250774283</v>
      </c>
      <c r="O200" s="72">
        <f t="shared" si="80"/>
        <v>0.66204699108096121</v>
      </c>
      <c r="P200" s="72">
        <f t="shared" si="81"/>
        <v>0.99945706130553491</v>
      </c>
      <c r="Q200" s="72"/>
      <c r="R200" s="72"/>
      <c r="S200" s="72">
        <f t="shared" si="82"/>
        <v>0.43443190896502148</v>
      </c>
      <c r="T200" s="72">
        <f t="shared" si="83"/>
        <v>0.50752853218157279</v>
      </c>
      <c r="U200" s="72">
        <f t="shared" si="84"/>
        <v>0.60144781970491734</v>
      </c>
      <c r="V200" s="72">
        <f t="shared" si="85"/>
        <v>0.55040946958343584</v>
      </c>
      <c r="W200" s="72">
        <f t="shared" si="86"/>
        <v>0.83665979708306915</v>
      </c>
      <c r="X200" s="72">
        <f t="shared" si="87"/>
        <v>4.021570289320725E-2</v>
      </c>
      <c r="Y200" s="72">
        <f t="shared" si="88"/>
        <v>0.18608418836858701</v>
      </c>
      <c r="Z200" s="72">
        <f t="shared" si="89"/>
        <v>0.21975661749225717</v>
      </c>
      <c r="AA200" s="72">
        <f t="shared" si="90"/>
        <v>0.33795300891903879</v>
      </c>
      <c r="AB200" s="72">
        <f t="shared" si="91"/>
        <v>5.4293869446514487E-4</v>
      </c>
      <c r="AC200" s="72"/>
      <c r="AD200" s="72"/>
      <c r="AE200" s="72">
        <f t="shared" si="92"/>
        <v>0.56556809103497852</v>
      </c>
      <c r="AF200" s="72">
        <f t="shared" si="93"/>
        <v>0.49247146781842721</v>
      </c>
      <c r="AG200" s="72">
        <f t="shared" si="94"/>
        <v>0.39855218029508266</v>
      </c>
      <c r="AH200" s="72">
        <f t="shared" si="95"/>
        <v>0.44959053041656422</v>
      </c>
      <c r="AI200" s="72">
        <f t="shared" si="96"/>
        <v>0.16334020291693091</v>
      </c>
      <c r="AJ200" s="72">
        <f>(AV200-Driver!$K$179)/(Driver!$L$179-Driver!$K$179)</f>
        <v>0.21400370638949318</v>
      </c>
      <c r="AK200" s="72">
        <f>(AW200-Driver!$K$180)/(Driver!$L$180-Driver!$K$180)</f>
        <v>0.25933983707201524</v>
      </c>
      <c r="AL200" s="72">
        <f>(AX200-Driver!$K$181)/(Driver!$L$181-Driver!$K$181)</f>
        <v>0.32144438120533736</v>
      </c>
      <c r="AM200" s="72">
        <f>(AY200-Driver!$K$182)/(Driver!$L$182-Driver!$K$182)</f>
        <v>0.10943201217800759</v>
      </c>
      <c r="AN200" s="72">
        <f>(AZ200-Driver!$K$183)/(Driver!$L$183-Driver!$K$183)</f>
        <v>0.25367647058823528</v>
      </c>
      <c r="AO200" s="72"/>
      <c r="AP200" s="72"/>
      <c r="AQ200" s="72">
        <f>(BC200-Driver!$K$188)/(Driver!$L$188-Driver!$K$188)</f>
        <v>5.4431908965021501E-2</v>
      </c>
      <c r="AR200" s="72">
        <f>MIN((BD200-Driver!$K$189)/(Driver!$L$189-Driver!$K$189),100%)</f>
        <v>5.7528532181572826E-2</v>
      </c>
      <c r="AS200" s="72">
        <f>(BE200-Driver!$K$190)/(Driver!$L$190-Driver!$K$190)</f>
        <v>0.11144781970491738</v>
      </c>
      <c r="AT200" s="72">
        <f>(BF200-Driver!$K$191)/(Driver!$L$191-Driver!$K$191)</f>
        <v>6.0409469583435772E-2</v>
      </c>
      <c r="AU200" s="72">
        <f>(BG200-Driver!$K$192)/(Driver!$L$192-Driver!$K$192)</f>
        <v>8.6659797083069104E-2</v>
      </c>
      <c r="AV200" s="70">
        <f t="shared" si="97"/>
        <v>4.5041378374711707</v>
      </c>
      <c r="AW200" s="70">
        <f t="shared" si="98"/>
        <v>27.146857728852865</v>
      </c>
      <c r="AX200" s="70">
        <f t="shared" si="99"/>
        <v>3.8929994308480365</v>
      </c>
      <c r="AY200" s="70">
        <f>IFERROR(Driver!$K$19/Data!BH200/Data!BI200*Data!BK200*Data!BL200,"")</f>
        <v>0.13397743426693223</v>
      </c>
      <c r="AZ200" s="70">
        <f t="shared" si="100"/>
        <v>23.119880863737897</v>
      </c>
      <c r="BA200" s="70"/>
      <c r="BB200" s="70"/>
      <c r="BC200" s="70">
        <f t="shared" si="101"/>
        <v>28.234209584648703</v>
      </c>
      <c r="BD200" s="70">
        <f t="shared" si="102"/>
        <v>6.8119960476396795</v>
      </c>
      <c r="BE200" s="70">
        <f t="shared" si="103"/>
        <v>0.11160632741280123</v>
      </c>
      <c r="BF200" s="70">
        <f t="shared" si="104"/>
        <v>6.82282518890585</v>
      </c>
      <c r="BG200" s="70">
        <f t="shared" si="105"/>
        <v>0.32814927473050093</v>
      </c>
      <c r="BH200" s="67">
        <f>MAX((CE200-Driver!$F$200)/(Driver!$G$200-Driver!$F$200)*$BI$1,1)</f>
        <v>3.8929994308480365</v>
      </c>
      <c r="BI200" s="67">
        <f>MAX($BI$1*(BY200-Driver!$F$201)/(Driver!$G$201-Driver!$F$201),1)</f>
        <v>7.2784810126582276</v>
      </c>
      <c r="BJ200" s="67">
        <f>(CB200-Driver!$F$206)/(Driver!$G$206-Driver!$F$206)*$BI$1</f>
        <v>5.0793650793650791</v>
      </c>
      <c r="BK200" s="67">
        <f>(CD200-Driver!$F$203)/(Driver!$G$203-Driver!$F$203)*$BI$1</f>
        <v>2.7522935779816518</v>
      </c>
      <c r="BL200" s="67">
        <f>MAX((CR200-Driver!$F$202)/(Driver!$G$202-Driver!$F$202)*$BI$1,1)</f>
        <v>6.8965517241379315</v>
      </c>
      <c r="BM200" s="67">
        <f>MAX((CH200-Driver!$F$204)/(Driver!$G$204-Driver!$F$204)*$BI$1,1)</f>
        <v>3.5470085470085473</v>
      </c>
      <c r="BN200" s="67">
        <f>(CI200-Driver!$F$205)/(Driver!$G$205-Driver!$F$205)*$BI$1</f>
        <v>3.1764705882352939</v>
      </c>
      <c r="BO200" s="67">
        <f>(CK200-Driver!$F$207)/(Driver!$G$207-Driver!$F$207)*$BI$1</f>
        <v>1.7063081695966908</v>
      </c>
      <c r="BP200" s="67">
        <f>(CM200-Driver!$F$208)/(Driver!$G$208-Driver!$F$208)*$BI$1</f>
        <v>2.166666666666667</v>
      </c>
      <c r="BQ200" s="67">
        <f>(CL200-Driver!$F$209)/(Driver!$G$209-Driver!$F$209)*$BI$1</f>
        <v>4.53125</v>
      </c>
      <c r="BR200" s="28" t="s">
        <v>155</v>
      </c>
      <c r="BS200" s="8" t="s">
        <v>321</v>
      </c>
      <c r="BT200" s="9" t="s">
        <v>322</v>
      </c>
      <c r="BU200" s="10">
        <v>172</v>
      </c>
      <c r="BV200" s="9" t="s">
        <v>158</v>
      </c>
      <c r="BW200" s="10">
        <v>172</v>
      </c>
      <c r="BX200" s="10">
        <v>170.1</v>
      </c>
      <c r="BY200" s="10">
        <v>123</v>
      </c>
      <c r="BZ200" s="10">
        <v>145</v>
      </c>
      <c r="CA200" s="10">
        <v>129</v>
      </c>
      <c r="CB200" s="10">
        <v>96</v>
      </c>
      <c r="CC200" s="10">
        <v>119</v>
      </c>
      <c r="CD200" s="10">
        <v>15.4</v>
      </c>
      <c r="CE200" s="10">
        <v>1584</v>
      </c>
      <c r="CF200" s="10">
        <v>1.1599999999999999</v>
      </c>
      <c r="CG200" s="10">
        <v>1844</v>
      </c>
      <c r="CH200" s="10">
        <v>184</v>
      </c>
      <c r="CI200" s="10">
        <v>87</v>
      </c>
      <c r="CJ200" s="10">
        <v>60</v>
      </c>
      <c r="CK200" s="10">
        <v>275</v>
      </c>
      <c r="CL200" s="10">
        <v>29</v>
      </c>
      <c r="CM200" s="10">
        <v>195</v>
      </c>
      <c r="CN200" s="10">
        <v>0.48499999999999999</v>
      </c>
      <c r="CO200" s="10">
        <v>136</v>
      </c>
      <c r="CP200" s="10">
        <v>120</v>
      </c>
      <c r="CQ200" s="10">
        <v>139</v>
      </c>
      <c r="CR200" s="10">
        <v>9</v>
      </c>
      <c r="CS200" s="10">
        <v>8</v>
      </c>
      <c r="CT200" s="9" t="s">
        <v>188</v>
      </c>
      <c r="CU200" s="9" t="s">
        <v>185</v>
      </c>
      <c r="CV200" s="10"/>
      <c r="CW200" s="10"/>
      <c r="CX200">
        <f>INDEX('Data_Price '!AG$2:AG$1266,MATCH(Data!$DN200,'Data_Price '!$AT$2:$AT$1266,0))</f>
        <v>0</v>
      </c>
      <c r="CY200">
        <f>INDEX('Data_Price '!AH$2:AH$1266,MATCH(Data!$DN200,'Data_Price '!$AT$2:$AT$1266,0))</f>
        <v>0</v>
      </c>
      <c r="CZ200">
        <f>INDEX('Data_Price '!AI$2:AI$1266,MATCH(Data!$DN200,'Data_Price '!$AT$2:$AT$1266,0))</f>
        <v>0</v>
      </c>
      <c r="DA200">
        <f>INDEX('Data_Price '!AJ$2:AJ$1266,MATCH(Data!$DN200,'Data_Price '!$AT$2:$AT$1266,0))</f>
        <v>0</v>
      </c>
      <c r="DB200">
        <f>INDEX('Data_Price '!AK$2:AK$1266,MATCH(Data!$DN200,'Data_Price '!$AT$2:$AT$1266,0))</f>
        <v>0</v>
      </c>
      <c r="DC200">
        <f>INDEX('Data_Price '!AL$2:AL$1266,MATCH(Data!$DN200,'Data_Price '!$AT$2:$AT$1266,0))</f>
        <v>0</v>
      </c>
      <c r="DD200">
        <f>INDEX('Data_Price '!AM$2:AM$1266,MATCH(Data!$DN200,'Data_Price '!$AT$2:$AT$1266,0))</f>
        <v>0</v>
      </c>
      <c r="DE200">
        <f>INDEX('Data_Price '!AN$2:AN$1266,MATCH(Data!$DN200,'Data_Price '!$AT$2:$AT$1266,0))</f>
        <v>0</v>
      </c>
      <c r="DF200">
        <f>INDEX('Data_Price '!AO$2:AO$1266,MATCH(Data!$DN200,'Data_Price '!$AT$2:$AT$1266,0))</f>
        <v>0</v>
      </c>
      <c r="DG200">
        <f>INDEX('Data_Price '!AP$2:AP$1266,MATCH(Data!$DN200,'Data_Price '!$AT$2:$AT$1266,0))</f>
        <v>0</v>
      </c>
      <c r="DH200">
        <f>INDEX('Data_Price '!AQ$2:AQ$1266,MATCH(Data!$DN200,'Data_Price '!$AT$2:$AT$1266,0))</f>
        <v>0</v>
      </c>
      <c r="DI200">
        <f>INDEX('Data_Price '!AR$2:AR$1266,MATCH(Data!$DN200,'Data_Price '!$AT$2:$AT$1266,0))</f>
        <v>0</v>
      </c>
      <c r="DJ200" s="89">
        <f t="shared" si="106"/>
        <v>0</v>
      </c>
      <c r="DK200" s="89">
        <f t="shared" si="107"/>
        <v>0</v>
      </c>
      <c r="DL200" s="89">
        <f t="shared" si="108"/>
        <v>0</v>
      </c>
      <c r="DM200" s="219" t="str">
        <f t="shared" si="109"/>
        <v>Explo 96</v>
      </c>
      <c r="DN200" s="89" t="str">
        <f t="shared" si="110"/>
        <v xml:space="preserve"> FerreolExplo 96172 Unisex</v>
      </c>
      <c r="DO200" s="221"/>
    </row>
    <row r="201" spans="1:119" ht="15.6" customHeight="1">
      <c r="B201" s="219" t="b">
        <f t="array" ref="B201">IF(OR(ISERROR(K201:P201)),FALSE,TRUE)</f>
        <v>1</v>
      </c>
      <c r="C201" s="43" t="b">
        <f>OR(BR201=Driver!$G$50,Data!BR394=Driver!$H$50)</f>
        <v>1</v>
      </c>
      <c r="D201" s="43" t="b">
        <f>OR(BV201=Driver!$G$51,BV201=Driver!$H$51)</f>
        <v>1</v>
      </c>
      <c r="E201" s="43" t="b">
        <f>AND(BX201&gt;Driver!$F$54,BX201&lt;Driver!$G$54)</f>
        <v>0</v>
      </c>
      <c r="F201" s="43" t="b">
        <f>CL201&gt;Driver!$F$56</f>
        <v>1</v>
      </c>
      <c r="G201" s="43" t="b">
        <f>AND(CB201&gt;Driver!$F$55,CB201&lt;Driver!$G$55)</f>
        <v>0</v>
      </c>
      <c r="H201" s="43" t="b">
        <f t="shared" ref="H201:H264" si="111">AND(B201:G201)</f>
        <v>0</v>
      </c>
      <c r="I201" s="43">
        <f t="shared" ref="I201:I264" si="112">COUNTIFS($H$9:$H$1273,TRUE,$BT$9:$BT$1273,BT201)</f>
        <v>0</v>
      </c>
      <c r="J201" s="43" t="b">
        <f t="array" ref="J201">NOT(OR(($H$9:$H$1273=TRUE)*($I$9:$I$1273&gt;0)*($BT$9:$BT$1273=BT201)*($K$9:$K$1273&gt;K201)))</f>
        <v>1</v>
      </c>
      <c r="K201" s="72">
        <f t="shared" ref="K201:K264" si="113">IFERROR(1-AVERAGE(X201:Y201),"")</f>
        <v>0.82608304415093137</v>
      </c>
      <c r="L201" s="72">
        <f t="shared" ref="L201:L264" si="114">1-X201</f>
        <v>0.9227204021748775</v>
      </c>
      <c r="M201" s="72">
        <f t="shared" ref="M201:M264" si="115">1-Y201</f>
        <v>0.72944568612698535</v>
      </c>
      <c r="N201" s="72">
        <f t="shared" ref="N201:N264" si="116">1-Z201</f>
        <v>0.66894255407544034</v>
      </c>
      <c r="O201" s="72">
        <f t="shared" ref="O201:O264" si="117">1-AA201</f>
        <v>0.63723391855222689</v>
      </c>
      <c r="P201" s="72">
        <f t="shared" ref="P201:P264" si="118">1-AB201</f>
        <v>0.8821605857532886</v>
      </c>
      <c r="Q201" s="72"/>
      <c r="R201" s="72"/>
      <c r="S201" s="72">
        <f t="shared" ref="S201:S264" si="119">1-AE201</f>
        <v>0.5041853923053824</v>
      </c>
      <c r="T201" s="72">
        <f t="shared" ref="T201:T264" si="120">1-AF201</f>
        <v>0.64732299116284053</v>
      </c>
      <c r="U201" s="72">
        <f t="shared" ref="U201:U264" si="121">1-AG201</f>
        <v>0.51</v>
      </c>
      <c r="V201" s="72">
        <f t="shared" ref="V201:V264" si="122">1-AH201</f>
        <v>0.49809824847492634</v>
      </c>
      <c r="W201" s="72">
        <f t="shared" ref="W201:W264" si="123">1-AI201</f>
        <v>0.7580847312237895</v>
      </c>
      <c r="X201" s="72">
        <f t="shared" ref="X201:X264" si="124">ABS(AJ201-AJ$1)</f>
        <v>7.7279597825122504E-2</v>
      </c>
      <c r="Y201" s="72">
        <f t="shared" ref="Y201:Y264" si="125">AVERAGE(Z201:AB201)</f>
        <v>0.27055431387301471</v>
      </c>
      <c r="Z201" s="72">
        <f t="shared" ref="Z201:Z264" si="126">ABS(AL201-AL$1)</f>
        <v>0.33105744592455971</v>
      </c>
      <c r="AA201" s="72">
        <f t="shared" ref="AA201:AA264" si="127">ABS(AM201-AM$1)</f>
        <v>0.36276608144777306</v>
      </c>
      <c r="AB201" s="72">
        <f t="shared" ref="AB201:AB264" si="128">ABS(AN201-AN$1)</f>
        <v>0.11783941424671135</v>
      </c>
      <c r="AC201" s="72"/>
      <c r="AD201" s="72"/>
      <c r="AE201" s="72">
        <f t="shared" ref="AE201:AE264" si="129">ABS(AQ$1-AQ201)</f>
        <v>0.4958146076946176</v>
      </c>
      <c r="AF201" s="72">
        <f t="shared" ref="AF201:AF264" si="130">ABS(AR$1-AR201)</f>
        <v>0.35267700883715947</v>
      </c>
      <c r="AG201" s="72">
        <f t="shared" ref="AG201:AG264" si="131">ABS(AS$1-AS201)</f>
        <v>0.49</v>
      </c>
      <c r="AH201" s="72">
        <f t="shared" ref="AH201:AH264" si="132">ABS(AT$1-AT201)</f>
        <v>0.50190175152507366</v>
      </c>
      <c r="AI201" s="72">
        <f t="shared" ref="AI201:AI264" si="133">ABS(AU$1-AU201)</f>
        <v>0.24191526877621045</v>
      </c>
      <c r="AJ201" s="72">
        <f>(AV201-Driver!$K$179)/(Driver!$L$179-Driver!$K$179)</f>
        <v>0.17693981145757792</v>
      </c>
      <c r="AK201" s="72">
        <f>(AW201-Driver!$K$180)/(Driver!$L$180-Driver!$K$180)</f>
        <v>0.38001235960352681</v>
      </c>
      <c r="AL201" s="72">
        <f>(AX201-Driver!$K$181)/(Driver!$L$181-Driver!$K$181)</f>
        <v>0.4327452096376399</v>
      </c>
      <c r="AM201" s="72">
        <f>(AY201-Driver!$K$182)/(Driver!$L$182-Driver!$K$182)</f>
        <v>8.4618939649273306E-2</v>
      </c>
      <c r="AN201" s="72">
        <f>(AZ201-Driver!$K$183)/(Driver!$L$183-Driver!$K$183)</f>
        <v>0.37205882352941178</v>
      </c>
      <c r="AO201" s="72"/>
      <c r="AP201" s="72"/>
      <c r="AQ201" s="72">
        <f>(BC201-Driver!$K$188)/(Driver!$L$188-Driver!$K$188)</f>
        <v>0.12418539230538238</v>
      </c>
      <c r="AR201" s="72">
        <f>MIN((BD201-Driver!$K$189)/(Driver!$L$189-Driver!$K$189),100%)</f>
        <v>0.19732299116284055</v>
      </c>
      <c r="AS201" s="72">
        <f>(BE201-Driver!$K$190)/(Driver!$L$190-Driver!$K$190)</f>
        <v>1</v>
      </c>
      <c r="AT201" s="72">
        <f>(BF201-Driver!$K$191)/(Driver!$L$191-Driver!$K$191)</f>
        <v>8.0982484749263194E-3</v>
      </c>
      <c r="AU201" s="72">
        <f>(BG201-Driver!$K$192)/(Driver!$L$192-Driver!$K$192)</f>
        <v>8.0847312237895541E-3</v>
      </c>
      <c r="AV201" s="70">
        <f t="shared" ref="AV201:AV264" si="134">IFERROR(BM201*BJ201^1/4,"")</f>
        <v>3.7240537240537237</v>
      </c>
      <c r="AW201" s="70">
        <f t="shared" ref="AW201:AW264" si="135">IFERROR(SUM(AX201:AZ201),"")</f>
        <v>38.90746431687316</v>
      </c>
      <c r="AX201" s="70">
        <f t="shared" ref="AX201:AX264" si="136">IFERROR(BH201,"")</f>
        <v>4.8947068867387591</v>
      </c>
      <c r="AY201" s="70">
        <f>IFERROR(Driver!$K$19/Data!BH201/Data!BI201*Data!BK201*Data!BL201,"")</f>
        <v>0.10359882998547666</v>
      </c>
      <c r="AZ201" s="70">
        <f t="shared" ref="AZ201:AZ264" si="137">IFERROR(BI201*BN201,"")</f>
        <v>33.90915860014892</v>
      </c>
      <c r="BA201" s="70"/>
      <c r="BB201" s="70"/>
      <c r="BC201" s="70">
        <f t="shared" ref="BC201:BC264" si="138">IFERROR(BI201*BN201*BK201/BJ201^(1/2),"")</f>
        <v>64.415826311642959</v>
      </c>
      <c r="BD201" s="70">
        <f t="shared" ref="BD201:BD264" si="139">IFERROR(BH201*BM201*BL201/BJ201/BK201,"")</f>
        <v>19.183557966357807</v>
      </c>
      <c r="BE201" s="70">
        <f t="shared" ref="BE201:BE264" si="140">IFERROR(MIN(BI201/BQ201/BP201/BO201/BH201,$BE$1),"")</f>
        <v>1</v>
      </c>
      <c r="BF201" s="70">
        <f t="shared" ref="BF201:BF264" si="141">IFERROR(BJ201*BO201*BP201/BK201,"")</f>
        <v>0.91464027182744856</v>
      </c>
      <c r="BG201" s="70">
        <f t="shared" ref="BG201:BG264" si="142">IFERROR(1/BM201/BH201*BQ201,"")</f>
        <v>3.0613949914220361E-2</v>
      </c>
      <c r="BH201" s="67">
        <f>MAX((CE201-Driver!$F$200)/(Driver!$G$200-Driver!$F$200)*$BI$1,1)</f>
        <v>4.8947068867387591</v>
      </c>
      <c r="BI201" s="67">
        <f>MAX($BI$1*(BY201-Driver!$F$201)/(Driver!$G$201-Driver!$F$201),1)</f>
        <v>8.7341772151898738</v>
      </c>
      <c r="BJ201" s="67">
        <f>(CB201-Driver!$F$206)/(Driver!$G$206-Driver!$F$206)*$BI$1</f>
        <v>2.8571428571428568</v>
      </c>
      <c r="BK201" s="67">
        <f>(CD201-Driver!$F$203)/(Driver!$G$203-Driver!$F$203)*$BI$1</f>
        <v>3.2110091743119265</v>
      </c>
      <c r="BL201" s="67">
        <f>MAX((CR201-Driver!$F$202)/(Driver!$G$202-Driver!$F$202)*$BI$1,1)</f>
        <v>6.8965517241379315</v>
      </c>
      <c r="BM201" s="67">
        <f>MAX((CH201-Driver!$F$204)/(Driver!$G$204-Driver!$F$204)*$BI$1,1)</f>
        <v>5.2136752136752138</v>
      </c>
      <c r="BN201" s="67">
        <f>(CI201-Driver!$F$205)/(Driver!$G$205-Driver!$F$205)*$BI$1</f>
        <v>3.8823529411764706</v>
      </c>
      <c r="BO201" s="67">
        <f>(CK201-Driver!$F$207)/(Driver!$G$207-Driver!$F$207)*$BI$1</f>
        <v>1.468459152016546</v>
      </c>
      <c r="BP201" s="67">
        <f>(CM201-Driver!$F$208)/(Driver!$G$208-Driver!$F$208)*$BI$1</f>
        <v>0.70000000000000007</v>
      </c>
      <c r="BQ201" s="67">
        <f>(CL201-Driver!$F$209)/(Driver!$G$209-Driver!$F$209)*$BI$1</f>
        <v>0.78125</v>
      </c>
      <c r="BR201" s="28" t="s">
        <v>155</v>
      </c>
      <c r="BS201" s="8" t="s">
        <v>202</v>
      </c>
      <c r="BT201" s="9" t="s">
        <v>420</v>
      </c>
      <c r="BU201" s="10">
        <v>177</v>
      </c>
      <c r="BV201" s="9" t="s">
        <v>158</v>
      </c>
      <c r="BW201" s="10">
        <v>177</v>
      </c>
      <c r="BX201" s="10">
        <v>177</v>
      </c>
      <c r="BY201" s="10">
        <v>146</v>
      </c>
      <c r="BZ201" s="10">
        <v>143</v>
      </c>
      <c r="CA201" s="10">
        <v>120</v>
      </c>
      <c r="CB201" s="10">
        <v>82</v>
      </c>
      <c r="CC201" s="10">
        <v>105</v>
      </c>
      <c r="CD201" s="10">
        <v>16.399999999999999</v>
      </c>
      <c r="CE201" s="10">
        <v>1760</v>
      </c>
      <c r="CF201" s="10">
        <v>0.95</v>
      </c>
      <c r="CG201" s="10">
        <v>1670</v>
      </c>
      <c r="CH201" s="10">
        <v>223</v>
      </c>
      <c r="CI201" s="10">
        <v>99</v>
      </c>
      <c r="CJ201" s="10">
        <v>40</v>
      </c>
      <c r="CK201" s="10">
        <v>252</v>
      </c>
      <c r="CL201" s="10">
        <v>5</v>
      </c>
      <c r="CM201" s="10">
        <v>63</v>
      </c>
      <c r="CN201" s="10">
        <v>0.13700000000000001</v>
      </c>
      <c r="CO201" s="10">
        <v>167</v>
      </c>
      <c r="CP201" s="10">
        <v>175</v>
      </c>
      <c r="CQ201" s="10">
        <v>85</v>
      </c>
      <c r="CR201" s="10">
        <v>9</v>
      </c>
      <c r="CS201" s="10">
        <v>6.6</v>
      </c>
      <c r="CT201" s="9" t="s">
        <v>349</v>
      </c>
      <c r="CU201" s="9" t="s">
        <v>231</v>
      </c>
      <c r="CV201" s="9" t="s">
        <v>188</v>
      </c>
      <c r="CW201" s="10"/>
      <c r="CX201" t="str">
        <f>INDEX('Data_Price '!AG$2:AG$1266,MATCH(Data!$DN201,'Data_Price '!$AT$2:$AT$1266,0))</f>
        <v>Dynastar M-Pro 84 Skis Â· 177 cm</v>
      </c>
      <c r="CY201" t="str">
        <f>INDEX('Data_Price '!AH$2:AH$1266,MATCH(Data!$DN201,'Data_Price '!$AT$2:$AT$1266,0))</f>
        <v>evo.com</v>
      </c>
      <c r="CZ201">
        <f>INDEX('Data_Price '!AI$2:AI$1266,MATCH(Data!$DN201,'Data_Price '!$AT$2:$AT$1266,0))</f>
        <v>299.97000000000003</v>
      </c>
      <c r="DA201" t="str">
        <f>INDEX('Data_Price '!AJ$2:AJ$1266,MATCH(Data!$DN201,'Data_Price '!$AT$2:$AT$1266,0))</f>
        <v>https://tinyurl.com/y95jfyja</v>
      </c>
      <c r="DB201" t="str">
        <f>INDEX('Data_Price '!AK$2:AK$1266,MATCH(Data!$DN201,'Data_Price '!$AT$2:$AT$1266,0))</f>
        <v>Dynastar M-Pro 84 Skis Â· 177 cm</v>
      </c>
      <c r="DC201" t="str">
        <f>INDEX('Data_Price '!AL$2:AL$1266,MATCH(Data!$DN201,'Data_Price '!$AT$2:$AT$1266,0))</f>
        <v>eBay - david110549</v>
      </c>
      <c r="DD201">
        <f>INDEX('Data_Price '!AM$2:AM$1266,MATCH(Data!$DN201,'Data_Price '!$AT$2:$AT$1266,0))</f>
        <v>399.96</v>
      </c>
      <c r="DE201" t="str">
        <f>INDEX('Data_Price '!AN$2:AN$1266,MATCH(Data!$DN201,'Data_Price '!$AT$2:$AT$1266,0))</f>
        <v>https://tinyurl.com/yb7orazd</v>
      </c>
      <c r="DF201" t="str">
        <f>INDEX('Data_Price '!AO$2:AO$1266,MATCH(Data!$DN201,'Data_Price '!$AT$2:$AT$1266,0))</f>
        <v>Dynastar M-Pro 84 Skis Â· 177 cm</v>
      </c>
      <c r="DG201" t="str">
        <f>INDEX('Data_Price '!AP$2:AP$1266,MATCH(Data!$DN201,'Data_Price '!$AT$2:$AT$1266,0))</f>
        <v>SkiEssentials.com</v>
      </c>
      <c r="DH201">
        <f>INDEX('Data_Price '!AQ$2:AQ$1266,MATCH(Data!$DN201,'Data_Price '!$AT$2:$AT$1266,0))</f>
        <v>399.99</v>
      </c>
      <c r="DI201" t="str">
        <f>INDEX('Data_Price '!AR$2:AR$1266,MATCH(Data!$DN201,'Data_Price '!$AT$2:$AT$1266,0))</f>
        <v>https://tinyurl.com/ydfg3lgq</v>
      </c>
      <c r="DJ201" s="89" t="str">
        <f t="shared" ref="DJ201:DJ264" si="143">DA201</f>
        <v>https://tinyurl.com/y95jfyja</v>
      </c>
      <c r="DK201" s="89" t="str">
        <f t="shared" ref="DK201:DK264" si="144">DE201</f>
        <v>https://tinyurl.com/yb7orazd</v>
      </c>
      <c r="DL201" s="89" t="str">
        <f t="shared" ref="DL201:DL264" si="145">DI201</f>
        <v>https://tinyurl.com/ydfg3lgq</v>
      </c>
      <c r="DM201" s="219" t="str">
        <f t="shared" ref="DM201:DM264" si="146">IF(LEFT(BT201,1)=" ",RIGHT(BT201,LEN(BT201)-1),BT201)</f>
        <v>M-Pro 84</v>
      </c>
      <c r="DN201" s="89" t="str">
        <f t="shared" ref="DN201:DN264" si="147">_xlfn.CONCAT(BS201,DM201,BU201,BV201)</f>
        <v xml:space="preserve"> DynastarM-Pro 84177 Unisex</v>
      </c>
      <c r="DO201" s="221" t="s">
        <v>421</v>
      </c>
    </row>
    <row r="202" spans="1:119" ht="15.6" customHeight="1">
      <c r="B202" s="219" t="b">
        <f t="array" ref="B202">IF(OR(ISERROR(K202:P202)),FALSE,TRUE)</f>
        <v>1</v>
      </c>
      <c r="C202" s="43" t="b">
        <f>OR(BR202=Driver!$G$50,Data!BR621=Driver!$H$50)</f>
        <v>1</v>
      </c>
      <c r="D202" s="43" t="b">
        <f>OR(BV202=Driver!$G$51,BV202=Driver!$H$51)</f>
        <v>1</v>
      </c>
      <c r="E202" s="43" t="b">
        <f>AND(BX202&gt;Driver!$F$54,BX202&lt;Driver!$G$54)</f>
        <v>1</v>
      </c>
      <c r="F202" s="43" t="b">
        <f>CL202&gt;Driver!$F$56</f>
        <v>1</v>
      </c>
      <c r="G202" s="43" t="b">
        <f>AND(CB202&gt;Driver!$F$55,CB202&lt;Driver!$G$55)</f>
        <v>0</v>
      </c>
      <c r="H202" s="43" t="b">
        <f t="shared" si="111"/>
        <v>0</v>
      </c>
      <c r="I202" s="43">
        <f t="shared" si="112"/>
        <v>0</v>
      </c>
      <c r="J202" s="43" t="b">
        <f t="array" ref="J202">NOT(OR(($H$9:$H$1273=TRUE)*($I$9:$I$1273&gt;0)*($BT$9:$BT$1273=BT202)*($K$9:$K$1273&gt;K202)))</f>
        <v>1</v>
      </c>
      <c r="K202" s="72">
        <f t="shared" si="113"/>
        <v>0.88003912900766978</v>
      </c>
      <c r="L202" s="72">
        <f t="shared" si="114"/>
        <v>0.94882627599648739</v>
      </c>
      <c r="M202" s="72">
        <f t="shared" si="115"/>
        <v>0.81125198201885218</v>
      </c>
      <c r="N202" s="72">
        <f t="shared" si="116"/>
        <v>0.84980640027793197</v>
      </c>
      <c r="O202" s="72">
        <f t="shared" si="117"/>
        <v>0.62384778355474779</v>
      </c>
      <c r="P202" s="72">
        <f t="shared" si="118"/>
        <v>0.96010176222387689</v>
      </c>
      <c r="Q202" s="72"/>
      <c r="R202" s="72"/>
      <c r="S202" s="72">
        <f t="shared" si="119"/>
        <v>0.426152600469623</v>
      </c>
      <c r="T202" s="72">
        <f t="shared" si="120"/>
        <v>0.58538549654037741</v>
      </c>
      <c r="U202" s="72">
        <f t="shared" si="121"/>
        <v>0.6715865018681284</v>
      </c>
      <c r="V202" s="72">
        <f t="shared" si="122"/>
        <v>0.52121637662684717</v>
      </c>
      <c r="W202" s="72">
        <f t="shared" si="123"/>
        <v>0.78096316575410651</v>
      </c>
      <c r="X202" s="72">
        <f t="shared" si="124"/>
        <v>5.1173724003512638E-2</v>
      </c>
      <c r="Y202" s="72">
        <f t="shared" si="125"/>
        <v>0.18874801798114779</v>
      </c>
      <c r="Z202" s="72">
        <f t="shared" si="126"/>
        <v>0.15019359972206808</v>
      </c>
      <c r="AA202" s="72">
        <f t="shared" si="127"/>
        <v>0.37615221644525221</v>
      </c>
      <c r="AB202" s="72">
        <f t="shared" si="128"/>
        <v>3.9898237776123113E-2</v>
      </c>
      <c r="AC202" s="72"/>
      <c r="AD202" s="72"/>
      <c r="AE202" s="72">
        <f t="shared" si="129"/>
        <v>0.573847399530377</v>
      </c>
      <c r="AF202" s="72">
        <f t="shared" si="130"/>
        <v>0.41461450345962259</v>
      </c>
      <c r="AG202" s="72">
        <f t="shared" si="131"/>
        <v>0.3284134981318716</v>
      </c>
      <c r="AH202" s="72">
        <f t="shared" si="132"/>
        <v>0.47878362337315283</v>
      </c>
      <c r="AI202" s="72">
        <f t="shared" si="133"/>
        <v>0.21903683424589349</v>
      </c>
      <c r="AJ202" s="72">
        <f>(AV202-Driver!$K$179)/(Driver!$L$179-Driver!$K$179)</f>
        <v>0.20304568527918779</v>
      </c>
      <c r="AK202" s="72">
        <f>(AW202-Driver!$K$180)/(Driver!$L$180-Driver!$K$180)</f>
        <v>0.29025486822831653</v>
      </c>
      <c r="AL202" s="72">
        <f>(AX202-Driver!$K$181)/(Driver!$L$181-Driver!$K$181)</f>
        <v>0.25188136343514828</v>
      </c>
      <c r="AM202" s="72">
        <f>(AY202-Driver!$K$182)/(Driver!$L$182-Driver!$K$182)</f>
        <v>7.1232804651794185E-2</v>
      </c>
      <c r="AN202" s="72">
        <f>(AZ202-Driver!$K$183)/(Driver!$L$183-Driver!$K$183)</f>
        <v>0.29411764705882354</v>
      </c>
      <c r="AO202" s="72"/>
      <c r="AP202" s="72"/>
      <c r="AQ202" s="72">
        <f>(BC202-Driver!$K$188)/(Driver!$L$188-Driver!$K$188)</f>
        <v>4.6152600469622947E-2</v>
      </c>
      <c r="AR202" s="72">
        <f>MIN((BD202-Driver!$K$189)/(Driver!$L$189-Driver!$K$189),100%)</f>
        <v>0.13538549654037749</v>
      </c>
      <c r="AS202" s="72">
        <f>(BE202-Driver!$K$190)/(Driver!$L$190-Driver!$K$190)</f>
        <v>0.8384134981318716</v>
      </c>
      <c r="AT202" s="72">
        <f>(BF202-Driver!$K$191)/(Driver!$L$191-Driver!$K$191)</f>
        <v>3.1216376626847193E-2</v>
      </c>
      <c r="AU202" s="72">
        <f>(BG202-Driver!$K$192)/(Driver!$L$192-Driver!$K$192)</f>
        <v>3.0963165754106521E-2</v>
      </c>
      <c r="AV202" s="70">
        <f t="shared" si="134"/>
        <v>4.2735042735042734</v>
      </c>
      <c r="AW202" s="70">
        <f t="shared" si="135"/>
        <v>30.159801450077445</v>
      </c>
      <c r="AX202" s="70">
        <f t="shared" si="136"/>
        <v>3.2669322709163344</v>
      </c>
      <c r="AY202" s="70">
        <f>IFERROR(Driver!$K$19/Data!BH202/Data!BI202*Data!BK202*Data!BL202,"")</f>
        <v>8.7210206711367977E-2</v>
      </c>
      <c r="AZ202" s="70">
        <f t="shared" si="137"/>
        <v>26.805658972449741</v>
      </c>
      <c r="BA202" s="70"/>
      <c r="BB202" s="70"/>
      <c r="BC202" s="70">
        <f t="shared" si="138"/>
        <v>23.939674711266591</v>
      </c>
      <c r="BD202" s="70">
        <f t="shared" si="139"/>
        <v>13.702199439016239</v>
      </c>
      <c r="BE202" s="70">
        <f t="shared" si="140"/>
        <v>0.83844232334507129</v>
      </c>
      <c r="BF202" s="70">
        <f t="shared" si="141"/>
        <v>3.5256704325446497</v>
      </c>
      <c r="BG202" s="70">
        <f t="shared" si="142"/>
        <v>0.11724629790940767</v>
      </c>
      <c r="BH202" s="67">
        <f>MAX((CE202-Driver!$F$200)/(Driver!$G$200-Driver!$F$200)*$BI$1,1)</f>
        <v>3.2669322709163344</v>
      </c>
      <c r="BI202" s="67">
        <f>MAX($BI$1*(BY202-Driver!$F$201)/(Driver!$G$201-Driver!$F$201),1)</f>
        <v>7.5949367088607591</v>
      </c>
      <c r="BJ202" s="67">
        <f>(CB202-Driver!$F$206)/(Driver!$G$206-Driver!$F$206)*$BI$1</f>
        <v>3.8095238095238093</v>
      </c>
      <c r="BK202" s="67">
        <f>(CD202-Driver!$F$203)/(Driver!$G$203-Driver!$F$203)*$BI$1</f>
        <v>1.7431192660550456</v>
      </c>
      <c r="BL202" s="67">
        <f>MAX((CR202-Driver!$F$202)/(Driver!$G$202-Driver!$F$202)*$BI$1,1)</f>
        <v>6.2068965517241379</v>
      </c>
      <c r="BM202" s="67">
        <f>MAX((CH202-Driver!$F$204)/(Driver!$G$204-Driver!$F$204)*$BI$1,1)</f>
        <v>4.4871794871794872</v>
      </c>
      <c r="BN202" s="67">
        <f>(CI202-Driver!$F$205)/(Driver!$G$205-Driver!$F$205)*$BI$1</f>
        <v>3.5294117647058827</v>
      </c>
      <c r="BO202" s="67">
        <f>(CK202-Driver!$F$207)/(Driver!$G$207-Driver!$F$207)*$BI$1</f>
        <v>1.1168562564632885</v>
      </c>
      <c r="BP202" s="67">
        <f>(CM202-Driver!$F$208)/(Driver!$G$208-Driver!$F$208)*$BI$1</f>
        <v>1.4444444444444442</v>
      </c>
      <c r="BQ202" s="67">
        <f>(CL202-Driver!$F$209)/(Driver!$G$209-Driver!$F$209)*$BI$1</f>
        <v>1.71875</v>
      </c>
      <c r="BR202" s="28" t="s">
        <v>155</v>
      </c>
      <c r="BS202" s="8" t="s">
        <v>167</v>
      </c>
      <c r="BT202" s="9" t="s">
        <v>200</v>
      </c>
      <c r="BU202" s="10">
        <v>163</v>
      </c>
      <c r="BV202" s="9" t="s">
        <v>158</v>
      </c>
      <c r="BW202" s="10">
        <v>163</v>
      </c>
      <c r="BX202" s="10">
        <v>162.69999999999999</v>
      </c>
      <c r="BY202" s="10">
        <v>128</v>
      </c>
      <c r="BZ202" s="10">
        <v>132</v>
      </c>
      <c r="CA202" s="10">
        <v>127</v>
      </c>
      <c r="CB202" s="10">
        <v>88</v>
      </c>
      <c r="CC202" s="10">
        <v>109</v>
      </c>
      <c r="CD202" s="10">
        <v>13.2</v>
      </c>
      <c r="CE202" s="10">
        <v>1474</v>
      </c>
      <c r="CF202" s="10">
        <v>1.1100000000000001</v>
      </c>
      <c r="CG202" s="10">
        <v>1639</v>
      </c>
      <c r="CH202" s="10">
        <v>206</v>
      </c>
      <c r="CI202" s="10">
        <v>93</v>
      </c>
      <c r="CJ202" s="10">
        <v>49</v>
      </c>
      <c r="CK202" s="10">
        <v>218</v>
      </c>
      <c r="CL202" s="10">
        <v>11</v>
      </c>
      <c r="CM202" s="10">
        <v>130</v>
      </c>
      <c r="CN202" s="10">
        <v>0.218</v>
      </c>
      <c r="CO202" s="10">
        <v>152</v>
      </c>
      <c r="CP202" s="10">
        <v>159</v>
      </c>
      <c r="CQ202" s="10">
        <v>65</v>
      </c>
      <c r="CR202" s="10">
        <v>7</v>
      </c>
      <c r="CS202" s="10">
        <v>9.1999999999999993</v>
      </c>
      <c r="CT202" s="9" t="s">
        <v>188</v>
      </c>
      <c r="CU202" s="9" t="s">
        <v>185</v>
      </c>
      <c r="CV202" s="10"/>
      <c r="CW202" s="10"/>
      <c r="CX202" t="str">
        <f>INDEX('Data_Price '!AG$2:AG$1266,MATCH(Data!$DN202,'Data_Price '!$AT$2:$AT$1266,0))</f>
        <v>Head Kore 93 Skis</v>
      </c>
      <c r="CY202" t="str">
        <f>INDEX('Data_Price '!AH$2:AH$1266,MATCH(Data!$DN202,'Data_Price '!$AT$2:$AT$1266,0))</f>
        <v>Gorham Bike and Ski</v>
      </c>
      <c r="CZ202">
        <f>INDEX('Data_Price '!AI$2:AI$1266,MATCH(Data!$DN202,'Data_Price '!$AT$2:$AT$1266,0))</f>
        <v>454.99</v>
      </c>
      <c r="DA202" t="str">
        <f>INDEX('Data_Price '!AJ$2:AJ$1266,MATCH(Data!$DN202,'Data_Price '!$AT$2:$AT$1266,0))</f>
        <v>https://tinyurl.com/y82yexlw</v>
      </c>
      <c r="DB202" t="str">
        <f>INDEX('Data_Price '!AK$2:AK$1266,MATCH(Data!$DN202,'Data_Price '!$AT$2:$AT$1266,0))</f>
        <v>2022 Head Kore 93 Skis-163cm</v>
      </c>
      <c r="DC202" t="str">
        <f>INDEX('Data_Price '!AL$2:AL$1266,MATCH(Data!$DN202,'Data_Price '!$AT$2:$AT$1266,0))</f>
        <v>eBay - jeffmagnusson</v>
      </c>
      <c r="DD202">
        <f>INDEX('Data_Price '!AM$2:AM$1266,MATCH(Data!$DN202,'Data_Price '!$AT$2:$AT$1266,0))</f>
        <v>459.99</v>
      </c>
      <c r="DE202" t="str">
        <f>INDEX('Data_Price '!AN$2:AN$1266,MATCH(Data!$DN202,'Data_Price '!$AT$2:$AT$1266,0))</f>
        <v>https://tinyurl.com/y87kb2l9</v>
      </c>
      <c r="DF202" t="str">
        <f>INDEX('Data_Price '!AO$2:AO$1266,MATCH(Data!$DN202,'Data_Price '!$AT$2:$AT$1266,0))</f>
        <v>Head Kore 93 Skis</v>
      </c>
      <c r="DG202" t="str">
        <f>INDEX('Data_Price '!AP$2:AP$1266,MATCH(Data!$DN202,'Data_Price '!$AT$2:$AT$1266,0))</f>
        <v>SkiEssentials.com</v>
      </c>
      <c r="DH202">
        <f>INDEX('Data_Price '!AQ$2:AQ$1266,MATCH(Data!$DN202,'Data_Price '!$AT$2:$AT$1266,0))</f>
        <v>489</v>
      </c>
      <c r="DI202" t="str">
        <f>INDEX('Data_Price '!AR$2:AR$1266,MATCH(Data!$DN202,'Data_Price '!$AT$2:$AT$1266,0))</f>
        <v>https://www.google.com/url?q=https://www.skiessentials.com/2022-head-kore-93-skis.html&amp;sa=U&amp;ved=0ahUKEwih0vattu72AhUMKUQIHX9SBNkQsDwIWw&amp;usg=AOvVaw32tx9WIRaVSpikekxwAVDI</v>
      </c>
      <c r="DJ202" s="89" t="str">
        <f t="shared" si="143"/>
        <v>https://tinyurl.com/y82yexlw</v>
      </c>
      <c r="DK202" s="89" t="str">
        <f t="shared" si="144"/>
        <v>https://tinyurl.com/y87kb2l9</v>
      </c>
      <c r="DL202" s="89" t="str">
        <f t="shared" si="145"/>
        <v>https://www.google.com/url?q=https://www.skiessentials.com/2022-head-kore-93-skis.html&amp;sa=U&amp;ved=0ahUKEwih0vattu72AhUMKUQIHX9SBNkQsDwIWw&amp;usg=AOvVaw32tx9WIRaVSpikekxwAVDI</v>
      </c>
      <c r="DM202" s="219" t="str">
        <f t="shared" si="146"/>
        <v>Kore 93</v>
      </c>
      <c r="DN202" s="89" t="str">
        <f t="shared" si="147"/>
        <v xml:space="preserve"> HeadKore 93163 Unisex</v>
      </c>
      <c r="DO202" s="221" t="s">
        <v>201</v>
      </c>
    </row>
    <row r="203" spans="1:119" ht="15.6" customHeight="1">
      <c r="B203" s="219" t="b">
        <f t="array" ref="B203">IF(OR(ISERROR(K203:P203)),FALSE,TRUE)</f>
        <v>1</v>
      </c>
      <c r="C203" s="43" t="b">
        <f>OR(BR203=Driver!$G$50,Data!BR870=Driver!$H$50)</f>
        <v>1</v>
      </c>
      <c r="D203" s="43" t="b">
        <f>OR(BV203=Driver!$G$51,BV203=Driver!$H$51)</f>
        <v>1</v>
      </c>
      <c r="E203" s="43" t="b">
        <f>AND(BX203&gt;Driver!$F$54,BX203&lt;Driver!$G$54)</f>
        <v>0</v>
      </c>
      <c r="F203" s="43" t="b">
        <f>CL203&gt;Driver!$F$56</f>
        <v>1</v>
      </c>
      <c r="G203" s="43" t="b">
        <f>AND(CB203&gt;Driver!$F$55,CB203&lt;Driver!$G$55)</f>
        <v>1</v>
      </c>
      <c r="H203" s="43" t="b">
        <f t="shared" si="111"/>
        <v>0</v>
      </c>
      <c r="I203" s="43">
        <f t="shared" si="112"/>
        <v>0</v>
      </c>
      <c r="J203" s="43" t="b">
        <f t="array" ref="J203">NOT(OR(($H$9:$H$1273=TRUE)*($I$9:$I$1273&gt;0)*($BT$9:$BT$1273=BT203)*($K$9:$K$1273&gt;K203)))</f>
        <v>1</v>
      </c>
      <c r="K203" s="72">
        <f t="shared" si="113"/>
        <v>0.85503515051171708</v>
      </c>
      <c r="L203" s="72">
        <f t="shared" si="114"/>
        <v>0.99702820792906255</v>
      </c>
      <c r="M203" s="72">
        <f t="shared" si="115"/>
        <v>0.71304209309437172</v>
      </c>
      <c r="N203" s="72">
        <f t="shared" si="116"/>
        <v>0.57408389347972777</v>
      </c>
      <c r="O203" s="72">
        <f t="shared" si="117"/>
        <v>0.63247330331807228</v>
      </c>
      <c r="P203" s="72">
        <f t="shared" si="118"/>
        <v>0.93256908248531478</v>
      </c>
      <c r="Q203" s="72"/>
      <c r="R203" s="72"/>
      <c r="S203" s="72">
        <f t="shared" si="119"/>
        <v>0.46434041924640057</v>
      </c>
      <c r="T203" s="72">
        <f t="shared" si="120"/>
        <v>0.47869817482023103</v>
      </c>
      <c r="U203" s="72">
        <f t="shared" si="121"/>
        <v>0.52930412805835436</v>
      </c>
      <c r="V203" s="72">
        <f t="shared" si="122"/>
        <v>0.56892659137882462</v>
      </c>
      <c r="W203" s="72">
        <f t="shared" si="123"/>
        <v>0.84724596143824904</v>
      </c>
      <c r="X203" s="72">
        <f t="shared" si="124"/>
        <v>2.9717920709374512E-3</v>
      </c>
      <c r="Y203" s="72">
        <f t="shared" si="125"/>
        <v>0.28695790690562833</v>
      </c>
      <c r="Z203" s="72">
        <f t="shared" si="126"/>
        <v>0.42591610652027223</v>
      </c>
      <c r="AA203" s="72">
        <f t="shared" si="127"/>
        <v>0.36752669668192772</v>
      </c>
      <c r="AB203" s="72">
        <f t="shared" si="128"/>
        <v>6.7430917514685162E-2</v>
      </c>
      <c r="AC203" s="72"/>
      <c r="AD203" s="72"/>
      <c r="AE203" s="72">
        <f t="shared" si="129"/>
        <v>0.53565958075359943</v>
      </c>
      <c r="AF203" s="72">
        <f t="shared" si="130"/>
        <v>0.52130182517976897</v>
      </c>
      <c r="AG203" s="72">
        <f t="shared" si="131"/>
        <v>0.47069587194164558</v>
      </c>
      <c r="AH203" s="72">
        <f t="shared" si="132"/>
        <v>0.43107340862117544</v>
      </c>
      <c r="AI203" s="72">
        <f t="shared" si="133"/>
        <v>0.15275403856175093</v>
      </c>
      <c r="AJ203" s="72">
        <f>(AV203-Driver!$K$179)/(Driver!$L$179-Driver!$K$179)</f>
        <v>0.25719120135363788</v>
      </c>
      <c r="AK203" s="72">
        <f>(AW203-Driver!$K$180)/(Driver!$L$180-Driver!$K$180)</f>
        <v>0.34157262676970812</v>
      </c>
      <c r="AL203" s="72">
        <f>(AX203-Driver!$K$181)/(Driver!$L$181-Driver!$K$181)</f>
        <v>0.52760387023335242</v>
      </c>
      <c r="AM203" s="72">
        <f>(AY203-Driver!$K$182)/(Driver!$L$182-Driver!$K$182)</f>
        <v>7.9858324415118656E-2</v>
      </c>
      <c r="AN203" s="72">
        <f>(AZ203-Driver!$K$183)/(Driver!$L$183-Driver!$K$183)</f>
        <v>0.32165032679738559</v>
      </c>
      <c r="AO203" s="72"/>
      <c r="AP203" s="72"/>
      <c r="AQ203" s="72">
        <f>(BC203-Driver!$K$188)/(Driver!$L$188-Driver!$K$188)</f>
        <v>8.4340419246400608E-2</v>
      </c>
      <c r="AR203" s="72">
        <f>MIN((BD203-Driver!$K$189)/(Driver!$L$189-Driver!$K$189),100%)</f>
        <v>2.8698174820231112E-2</v>
      </c>
      <c r="AS203" s="72">
        <f>(BE203-Driver!$K$190)/(Driver!$L$190-Driver!$K$190)</f>
        <v>3.9304128058354433E-2</v>
      </c>
      <c r="AT203" s="72">
        <f>(BF203-Driver!$K$191)/(Driver!$L$191-Driver!$K$191)</f>
        <v>7.8926591378824573E-2</v>
      </c>
      <c r="AU203" s="72">
        <f>(BG203-Driver!$K$192)/(Driver!$L$192-Driver!$K$192)</f>
        <v>9.7245961438249068E-2</v>
      </c>
      <c r="AV203" s="70">
        <f t="shared" si="134"/>
        <v>5.4131054131054128</v>
      </c>
      <c r="AW203" s="70">
        <f t="shared" si="135"/>
        <v>35.161171741534837</v>
      </c>
      <c r="AX203" s="70">
        <f t="shared" si="136"/>
        <v>5.7484348321001715</v>
      </c>
      <c r="AY203" s="70">
        <f>IFERROR(Driver!$K$19/Data!BH203/Data!BI203*Data!BK203*Data!BL203,"")</f>
        <v>9.7770416508379948E-2</v>
      </c>
      <c r="AZ203" s="70">
        <f t="shared" si="137"/>
        <v>29.314966492926285</v>
      </c>
      <c r="BA203" s="70"/>
      <c r="BB203" s="70"/>
      <c r="BC203" s="70">
        <f t="shared" si="138"/>
        <v>43.747961788190302</v>
      </c>
      <c r="BD203" s="70">
        <f t="shared" si="139"/>
        <v>4.2605605055313607</v>
      </c>
      <c r="BE203" s="70">
        <f t="shared" si="140"/>
        <v>3.9475505388816189E-2</v>
      </c>
      <c r="BF203" s="70">
        <f t="shared" si="141"/>
        <v>8.914204005551813</v>
      </c>
      <c r="BG203" s="70">
        <f t="shared" si="142"/>
        <v>0.36823524622199055</v>
      </c>
      <c r="BH203" s="67">
        <f>MAX((CE203-Driver!$F$200)/(Driver!$G$200-Driver!$F$200)*$BI$1,1)</f>
        <v>5.7484348321001715</v>
      </c>
      <c r="BI203" s="67">
        <f>MAX($BI$1*(BY203-Driver!$F$201)/(Driver!$G$201-Driver!$F$201),1)</f>
        <v>8.037974683544304</v>
      </c>
      <c r="BJ203" s="67">
        <f>(CB203-Driver!$F$206)/(Driver!$G$206-Driver!$F$206)*$BI$1</f>
        <v>6.6666666666666661</v>
      </c>
      <c r="BK203" s="67">
        <f>(CD203-Driver!$F$203)/(Driver!$G$203-Driver!$F$203)*$BI$1</f>
        <v>3.8532110091743128</v>
      </c>
      <c r="BL203" s="67">
        <f>MAX((CR203-Driver!$F$202)/(Driver!$G$202-Driver!$F$202)*$BI$1,1)</f>
        <v>5.8620689655172411</v>
      </c>
      <c r="BM203" s="67">
        <f>MAX((CH203-Driver!$F$204)/(Driver!$G$204-Driver!$F$204)*$BI$1,1)</f>
        <v>3.2478632478632479</v>
      </c>
      <c r="BN203" s="67">
        <f>(CI203-Driver!$F$205)/(Driver!$G$205-Driver!$F$205)*$BI$1</f>
        <v>3.6470588235294117</v>
      </c>
      <c r="BO203" s="67">
        <f>(CK203-Driver!$F$207)/(Driver!$G$207-Driver!$F$207)*$BI$1</f>
        <v>2.4405377456049635</v>
      </c>
      <c r="BP203" s="67">
        <f>(CM203-Driver!$F$208)/(Driver!$G$208-Driver!$F$208)*$BI$1</f>
        <v>2.1111111111111112</v>
      </c>
      <c r="BQ203" s="67">
        <f>(CL203-Driver!$F$209)/(Driver!$G$209-Driver!$F$209)*$BI$1</f>
        <v>6.875</v>
      </c>
      <c r="BR203" s="28" t="s">
        <v>155</v>
      </c>
      <c r="BS203" s="8" t="s">
        <v>208</v>
      </c>
      <c r="BT203" s="9" t="s">
        <v>422</v>
      </c>
      <c r="BU203" s="10">
        <v>190</v>
      </c>
      <c r="BV203" s="9" t="s">
        <v>158</v>
      </c>
      <c r="BW203" s="10">
        <v>190</v>
      </c>
      <c r="BX203" s="10">
        <v>188.8</v>
      </c>
      <c r="BY203" s="10">
        <v>135</v>
      </c>
      <c r="BZ203" s="10">
        <v>157</v>
      </c>
      <c r="CA203" s="10">
        <v>142</v>
      </c>
      <c r="CB203" s="10">
        <v>106</v>
      </c>
      <c r="CC203" s="10">
        <v>138</v>
      </c>
      <c r="CD203" s="10">
        <v>17.8</v>
      </c>
      <c r="CE203" s="10">
        <v>1910</v>
      </c>
      <c r="CF203" s="10">
        <v>1.1499999999999999</v>
      </c>
      <c r="CG203" s="10">
        <v>2188</v>
      </c>
      <c r="CH203" s="10">
        <v>177</v>
      </c>
      <c r="CI203" s="10">
        <v>95</v>
      </c>
      <c r="CJ203" s="10">
        <v>44</v>
      </c>
      <c r="CK203" s="10">
        <v>346</v>
      </c>
      <c r="CL203" s="10">
        <v>44</v>
      </c>
      <c r="CM203" s="10">
        <v>190</v>
      </c>
      <c r="CN203" s="10">
        <v>1.004</v>
      </c>
      <c r="CO203" s="10">
        <v>157</v>
      </c>
      <c r="CP203" s="10">
        <v>163</v>
      </c>
      <c r="CQ203" s="10">
        <v>189</v>
      </c>
      <c r="CR203" s="10">
        <v>6</v>
      </c>
      <c r="CS203" s="10">
        <v>4.0999999999999996</v>
      </c>
      <c r="CT203" s="9" t="s">
        <v>184</v>
      </c>
      <c r="CU203" s="9" t="s">
        <v>169</v>
      </c>
      <c r="CV203" s="9" t="s">
        <v>185</v>
      </c>
      <c r="CW203" s="10"/>
      <c r="CX203" t="str">
        <f>INDEX('Data_Price '!AG$2:AG$1266,MATCH(Data!$DN203,'Data_Price '!$AT$2:$AT$1266,0))</f>
        <v>Line Sir Francis Bacon Skis</v>
      </c>
      <c r="CY203" t="str">
        <f>INDEX('Data_Price '!AH$2:AH$1266,MATCH(Data!$DN203,'Data_Price '!$AT$2:$AT$1266,0))</f>
        <v>Powder7 Ski Shop</v>
      </c>
      <c r="CZ203">
        <f>INDEX('Data_Price '!AI$2:AI$1266,MATCH(Data!$DN203,'Data_Price '!$AT$2:$AT$1266,0))</f>
        <v>549.99</v>
      </c>
      <c r="DA203" t="str">
        <f>INDEX('Data_Price '!AJ$2:AJ$1266,MATCH(Data!$DN203,'Data_Price '!$AT$2:$AT$1266,0))</f>
        <v>https://tinyurl.com/yck85s9s</v>
      </c>
      <c r="DB203" t="str">
        <f>INDEX('Data_Price '!AK$2:AK$1266,MATCH(Data!$DN203,'Data_Price '!$AT$2:$AT$1266,0))</f>
        <v>LINE Sir Francis Bacon Skis - 190</v>
      </c>
      <c r="DC203" t="str">
        <f>INDEX('Data_Price '!AL$2:AL$1266,MATCH(Data!$DN203,'Data_Price '!$AT$2:$AT$1266,0))</f>
        <v>LINE Skis</v>
      </c>
      <c r="DD203">
        <f>INDEX('Data_Price '!AM$2:AM$1266,MATCH(Data!$DN203,'Data_Price '!$AT$2:$AT$1266,0))</f>
        <v>699.95</v>
      </c>
      <c r="DE203" t="str">
        <f>INDEX('Data_Price '!AN$2:AN$1266,MATCH(Data!$DN203,'Data_Price '!$AT$2:$AT$1266,0))</f>
        <v>https://tinyurl.com/y9jq2frc</v>
      </c>
      <c r="DF203" t="str">
        <f>INDEX('Data_Price '!AO$2:AO$1266,MATCH(Data!$DN203,'Data_Price '!$AT$2:$AT$1266,0))</f>
        <v>2022 Line Sir Francis Bacon Skis w/Tyrolia Attack2 13 GW Bindings (190)</v>
      </c>
      <c r="DG203" t="str">
        <f>INDEX('Data_Price '!AP$2:AP$1266,MATCH(Data!$DN203,'Data_Price '!$AT$2:$AT$1266,0))</f>
        <v>SkiEssentials.com</v>
      </c>
      <c r="DH203">
        <f>INDEX('Data_Price '!AQ$2:AQ$1266,MATCH(Data!$DN203,'Data_Price '!$AT$2:$AT$1266,0))</f>
        <v>869.95</v>
      </c>
      <c r="DI203" t="str">
        <f>INDEX('Data_Price '!AR$2:AR$1266,MATCH(Data!$DN203,'Data_Price '!$AT$2:$AT$1266,0))</f>
        <v>https://tinyurl.com/y9cunskk</v>
      </c>
      <c r="DJ203" s="89" t="str">
        <f t="shared" si="143"/>
        <v>https://tinyurl.com/yck85s9s</v>
      </c>
      <c r="DK203" s="89" t="str">
        <f t="shared" si="144"/>
        <v>https://tinyurl.com/y9jq2frc</v>
      </c>
      <c r="DL203" s="89" t="str">
        <f t="shared" si="145"/>
        <v>https://tinyurl.com/y9cunskk</v>
      </c>
      <c r="DM203" s="219" t="str">
        <f t="shared" si="146"/>
        <v>Sir Francis Bacon</v>
      </c>
      <c r="DN203" s="89" t="str">
        <f t="shared" si="147"/>
        <v xml:space="preserve"> LineSir Francis Bacon190 Unisex</v>
      </c>
      <c r="DO203" s="221" t="s">
        <v>423</v>
      </c>
    </row>
    <row r="204" spans="1:119" ht="15.6" customHeight="1">
      <c r="B204" s="219" t="b">
        <f t="array" ref="B204">IF(OR(ISERROR(K204:P204)),FALSE,TRUE)</f>
        <v>1</v>
      </c>
      <c r="C204" s="43" t="b">
        <f>OR(BR204=Driver!$G$50,Data!BR1129=Driver!$H$50)</f>
        <v>1</v>
      </c>
      <c r="D204" s="43" t="b">
        <f>OR(BV204=Driver!$G$51,BV204=Driver!$H$51)</f>
        <v>1</v>
      </c>
      <c r="E204" s="43" t="b">
        <f>AND(BX204&gt;Driver!$F$54,BX204&lt;Driver!$G$54)</f>
        <v>0</v>
      </c>
      <c r="F204" s="43" t="b">
        <f>CL204&gt;Driver!$F$56</f>
        <v>1</v>
      </c>
      <c r="G204" s="43" t="b">
        <f>AND(CB204&gt;Driver!$F$55,CB204&lt;Driver!$G$55)</f>
        <v>0</v>
      </c>
      <c r="H204" s="43" t="b">
        <f t="shared" si="111"/>
        <v>0</v>
      </c>
      <c r="I204" s="43">
        <f t="shared" si="112"/>
        <v>0</v>
      </c>
      <c r="J204" s="43" t="b">
        <f t="array" ref="J204">NOT(OR(($H$9:$H$1273=TRUE)*($I$9:$I$1273&gt;0)*($BT$9:$BT$1273=BT204)*($K$9:$K$1273&gt;K204)))</f>
        <v>1</v>
      </c>
      <c r="K204" s="72">
        <f t="shared" si="113"/>
        <v>0.84390120644775202</v>
      </c>
      <c r="L204" s="72">
        <f t="shared" si="114"/>
        <v>0.88283642828075126</v>
      </c>
      <c r="M204" s="72">
        <f t="shared" si="115"/>
        <v>0.80496598461475266</v>
      </c>
      <c r="N204" s="72">
        <f t="shared" si="116"/>
        <v>0.80553902533326616</v>
      </c>
      <c r="O204" s="72">
        <f t="shared" si="117"/>
        <v>0.6494614146531279</v>
      </c>
      <c r="P204" s="72">
        <f t="shared" si="118"/>
        <v>0.95989751385786382</v>
      </c>
      <c r="Q204" s="72"/>
      <c r="R204" s="72"/>
      <c r="S204" s="72">
        <f t="shared" si="119"/>
        <v>0.45677372450947973</v>
      </c>
      <c r="T204" s="72">
        <f t="shared" si="120"/>
        <v>0.48018178149316082</v>
      </c>
      <c r="U204" s="72">
        <f t="shared" si="121"/>
        <v>0.51</v>
      </c>
      <c r="V204" s="72">
        <f t="shared" si="122"/>
        <v>0.49968231831009946</v>
      </c>
      <c r="W204" s="72">
        <f t="shared" si="123"/>
        <v>0.78763309671694759</v>
      </c>
      <c r="X204" s="72">
        <f t="shared" si="124"/>
        <v>0.11716357171924868</v>
      </c>
      <c r="Y204" s="72">
        <f t="shared" si="125"/>
        <v>0.19503401538524737</v>
      </c>
      <c r="Z204" s="72">
        <f t="shared" si="126"/>
        <v>0.1944609746667339</v>
      </c>
      <c r="AA204" s="72">
        <f t="shared" si="127"/>
        <v>0.35053858534687204</v>
      </c>
      <c r="AB204" s="72">
        <f t="shared" si="128"/>
        <v>4.0102486142136129E-2</v>
      </c>
      <c r="AC204" s="72"/>
      <c r="AD204" s="72"/>
      <c r="AE204" s="72">
        <f t="shared" si="129"/>
        <v>0.54322627549052027</v>
      </c>
      <c r="AF204" s="72">
        <f t="shared" si="130"/>
        <v>0.51981821850683918</v>
      </c>
      <c r="AG204" s="72">
        <f t="shared" si="131"/>
        <v>0.49</v>
      </c>
      <c r="AH204" s="72">
        <f t="shared" si="132"/>
        <v>0.50031768168990054</v>
      </c>
      <c r="AI204" s="72">
        <f t="shared" si="133"/>
        <v>0.21236690328305236</v>
      </c>
      <c r="AJ204" s="72">
        <f>(AV204-Driver!$K$179)/(Driver!$L$179-Driver!$K$179)</f>
        <v>0.13705583756345174</v>
      </c>
      <c r="AK204" s="72">
        <f>(AW204-Driver!$K$180)/(Driver!$L$180-Driver!$K$180)</f>
        <v>0.29485558014042279</v>
      </c>
      <c r="AL204" s="72">
        <f>(AX204-Driver!$K$181)/(Driver!$L$181-Driver!$K$181)</f>
        <v>0.29614873837981409</v>
      </c>
      <c r="AM204" s="72">
        <f>(AY204-Driver!$K$182)/(Driver!$L$182-Driver!$K$182)</f>
        <v>9.6846435750174306E-2</v>
      </c>
      <c r="AN204" s="72">
        <f>(AZ204-Driver!$K$183)/(Driver!$L$183-Driver!$K$183)</f>
        <v>0.29432189542483655</v>
      </c>
      <c r="AO204" s="72"/>
      <c r="AP204" s="72"/>
      <c r="AQ204" s="72">
        <f>(BC204-Driver!$K$188)/(Driver!$L$188-Driver!$K$188)</f>
        <v>7.6773724509479752E-2</v>
      </c>
      <c r="AR204" s="72">
        <f>MIN((BD204-Driver!$K$189)/(Driver!$L$189-Driver!$K$189),100%)</f>
        <v>3.0181781493160906E-2</v>
      </c>
      <c r="AS204" s="72">
        <f>(BE204-Driver!$K$190)/(Driver!$L$190-Driver!$K$190)</f>
        <v>1</v>
      </c>
      <c r="AT204" s="72">
        <f>(BF204-Driver!$K$191)/(Driver!$L$191-Driver!$K$191)</f>
        <v>9.682318310099523E-3</v>
      </c>
      <c r="AU204" s="72">
        <f>(BG204-Driver!$K$192)/(Driver!$L$192-Driver!$K$192)</f>
        <v>3.7633096716947645E-2</v>
      </c>
      <c r="AV204" s="70">
        <f t="shared" si="134"/>
        <v>2.8846153846153841</v>
      </c>
      <c r="AW204" s="70">
        <f t="shared" si="135"/>
        <v>30.608181592366847</v>
      </c>
      <c r="AX204" s="70">
        <f t="shared" si="136"/>
        <v>3.665338645418327</v>
      </c>
      <c r="AY204" s="70">
        <f>IFERROR(Driver!$K$19/Data!BH204/Data!BI204*Data!BK204*Data!BL204,"")</f>
        <v>0.11856893354569305</v>
      </c>
      <c r="AZ204" s="70">
        <f t="shared" si="137"/>
        <v>26.824274013402828</v>
      </c>
      <c r="BA204" s="70"/>
      <c r="BB204" s="70"/>
      <c r="BC204" s="70">
        <f t="shared" si="138"/>
        <v>39.823064625341054</v>
      </c>
      <c r="BD204" s="70">
        <f t="shared" si="139"/>
        <v>4.3918570672901769</v>
      </c>
      <c r="BE204" s="70">
        <f t="shared" si="140"/>
        <v>1</v>
      </c>
      <c r="BF204" s="70">
        <f t="shared" si="141"/>
        <v>1.0935498309898282</v>
      </c>
      <c r="BG204" s="70">
        <f t="shared" si="142"/>
        <v>0.14250291149068323</v>
      </c>
      <c r="BH204" s="67">
        <f>MAX((CE204-Driver!$F$200)/(Driver!$G$200-Driver!$F$200)*$BI$1,1)</f>
        <v>3.665338645418327</v>
      </c>
      <c r="BI204" s="67">
        <f>MAX($BI$1*(BY204-Driver!$F$201)/(Driver!$G$201-Driver!$F$201),1)</f>
        <v>8.2911392405063289</v>
      </c>
      <c r="BJ204" s="67">
        <f>(CB204-Driver!$F$206)/(Driver!$G$206-Driver!$F$206)*$BI$1</f>
        <v>4.2857142857142856</v>
      </c>
      <c r="BK204" s="67">
        <f>(CD204-Driver!$F$203)/(Driver!$G$203-Driver!$F$203)*$BI$1</f>
        <v>3.0733944954128449</v>
      </c>
      <c r="BL204" s="67">
        <f>MAX((CR204-Driver!$F$202)/(Driver!$G$202-Driver!$F$202)*$BI$1,1)</f>
        <v>5.8620689655172411</v>
      </c>
      <c r="BM204" s="67">
        <f>MAX((CH204-Driver!$F$204)/(Driver!$G$204-Driver!$F$204)*$BI$1,1)</f>
        <v>2.6923076923076921</v>
      </c>
      <c r="BN204" s="67">
        <f>(CI204-Driver!$F$205)/(Driver!$G$205-Driver!$F$205)*$BI$1</f>
        <v>3.2352941176470589</v>
      </c>
      <c r="BO204" s="67">
        <f>(CK204-Driver!$F$207)/(Driver!$G$207-Driver!$F$207)*$BI$1</f>
        <v>0.9410548086866598</v>
      </c>
      <c r="BP204" s="67">
        <f>(CM204-Driver!$F$208)/(Driver!$G$208-Driver!$F$208)*$BI$1</f>
        <v>0.83333333333333326</v>
      </c>
      <c r="BQ204" s="67">
        <f>(CL204-Driver!$F$209)/(Driver!$G$209-Driver!$F$209)*$BI$1</f>
        <v>1.40625</v>
      </c>
      <c r="BR204" s="28" t="s">
        <v>155</v>
      </c>
      <c r="BS204" s="8" t="s">
        <v>213</v>
      </c>
      <c r="BT204" s="9" t="s">
        <v>424</v>
      </c>
      <c r="BU204" s="10">
        <v>167</v>
      </c>
      <c r="BV204" s="9" t="s">
        <v>158</v>
      </c>
      <c r="BW204" s="10">
        <v>167</v>
      </c>
      <c r="BX204" s="10">
        <v>166.2</v>
      </c>
      <c r="BY204" s="10">
        <v>139</v>
      </c>
      <c r="BZ204" s="10">
        <v>144</v>
      </c>
      <c r="CA204" s="10">
        <v>127</v>
      </c>
      <c r="CB204" s="10">
        <v>91</v>
      </c>
      <c r="CC204" s="10">
        <v>117</v>
      </c>
      <c r="CD204" s="10">
        <v>16.100000000000001</v>
      </c>
      <c r="CE204" s="10">
        <v>1544</v>
      </c>
      <c r="CF204" s="10">
        <v>1.1100000000000001</v>
      </c>
      <c r="CG204" s="10">
        <v>1714</v>
      </c>
      <c r="CH204" s="10">
        <v>164</v>
      </c>
      <c r="CI204" s="10">
        <v>88</v>
      </c>
      <c r="CJ204" s="10">
        <v>44</v>
      </c>
      <c r="CK204" s="10">
        <v>201</v>
      </c>
      <c r="CL204" s="10">
        <v>9</v>
      </c>
      <c r="CM204" s="10">
        <v>75</v>
      </c>
      <c r="CN204" s="10">
        <v>0.19800000000000001</v>
      </c>
      <c r="CO204" s="10">
        <v>168</v>
      </c>
      <c r="CP204" s="10">
        <v>54</v>
      </c>
      <c r="CQ204" s="10">
        <v>33</v>
      </c>
      <c r="CR204" s="10">
        <v>6</v>
      </c>
      <c r="CS204" s="10">
        <v>13.3</v>
      </c>
      <c r="CT204" s="9" t="s">
        <v>188</v>
      </c>
      <c r="CU204" s="9" t="s">
        <v>185</v>
      </c>
      <c r="CV204" s="10"/>
      <c r="CW204" s="10"/>
      <c r="CX204" t="e">
        <f>INDEX('Data_Price '!AG$2:AG$1266,MATCH(Data!$DN204,'Data_Price '!$AT$2:$AT$1266,0))</f>
        <v>#N/A</v>
      </c>
      <c r="CY204" t="e">
        <f>INDEX('Data_Price '!AH$2:AH$1266,MATCH(Data!$DN204,'Data_Price '!$AT$2:$AT$1266,0))</f>
        <v>#N/A</v>
      </c>
      <c r="CZ204" t="e">
        <f>INDEX('Data_Price '!AI$2:AI$1266,MATCH(Data!$DN204,'Data_Price '!$AT$2:$AT$1266,0))</f>
        <v>#N/A</v>
      </c>
      <c r="DA204" t="e">
        <f>INDEX('Data_Price '!AJ$2:AJ$1266,MATCH(Data!$DN204,'Data_Price '!$AT$2:$AT$1266,0))</f>
        <v>#N/A</v>
      </c>
      <c r="DB204" t="e">
        <f>INDEX('Data_Price '!AK$2:AK$1266,MATCH(Data!$DN204,'Data_Price '!$AT$2:$AT$1266,0))</f>
        <v>#N/A</v>
      </c>
      <c r="DC204" t="e">
        <f>INDEX('Data_Price '!AL$2:AL$1266,MATCH(Data!$DN204,'Data_Price '!$AT$2:$AT$1266,0))</f>
        <v>#N/A</v>
      </c>
      <c r="DD204" t="e">
        <f>INDEX('Data_Price '!AM$2:AM$1266,MATCH(Data!$DN204,'Data_Price '!$AT$2:$AT$1266,0))</f>
        <v>#N/A</v>
      </c>
      <c r="DE204" t="e">
        <f>INDEX('Data_Price '!AN$2:AN$1266,MATCH(Data!$DN204,'Data_Price '!$AT$2:$AT$1266,0))</f>
        <v>#N/A</v>
      </c>
      <c r="DF204" t="e">
        <f>INDEX('Data_Price '!AO$2:AO$1266,MATCH(Data!$DN204,'Data_Price '!$AT$2:$AT$1266,0))</f>
        <v>#N/A</v>
      </c>
      <c r="DG204" t="e">
        <f>INDEX('Data_Price '!AP$2:AP$1266,MATCH(Data!$DN204,'Data_Price '!$AT$2:$AT$1266,0))</f>
        <v>#N/A</v>
      </c>
      <c r="DH204" t="e">
        <f>INDEX('Data_Price '!AQ$2:AQ$1266,MATCH(Data!$DN204,'Data_Price '!$AT$2:$AT$1266,0))</f>
        <v>#N/A</v>
      </c>
      <c r="DI204" t="e">
        <f>INDEX('Data_Price '!AR$2:AR$1266,MATCH(Data!$DN204,'Data_Price '!$AT$2:$AT$1266,0))</f>
        <v>#N/A</v>
      </c>
      <c r="DJ204" s="89" t="e">
        <f t="shared" si="143"/>
        <v>#N/A</v>
      </c>
      <c r="DK204" s="89" t="e">
        <f t="shared" si="144"/>
        <v>#N/A</v>
      </c>
      <c r="DL204" s="89" t="e">
        <f t="shared" si="145"/>
        <v>#N/A</v>
      </c>
      <c r="DM204" s="219" t="str">
        <f t="shared" si="146"/>
        <v>Edge FT</v>
      </c>
      <c r="DN204" s="89" t="str">
        <f t="shared" si="147"/>
        <v xml:space="preserve"> StöckliEdge FT167 Unisex</v>
      </c>
      <c r="DO204" s="221"/>
    </row>
    <row r="205" spans="1:119" ht="15.6" customHeight="1">
      <c r="B205" s="219" t="b">
        <f t="array" ref="B205">IF(OR(ISERROR(K205:P205)),FALSE,TRUE)</f>
        <v>1</v>
      </c>
      <c r="C205" s="43" t="b">
        <f>OR(BR205=Driver!$G$50,Data!BR365=Driver!$H$50)</f>
        <v>1</v>
      </c>
      <c r="D205" s="43" t="b">
        <f>OR(BV205=Driver!$G$51,BV205=Driver!$H$51)</f>
        <v>1</v>
      </c>
      <c r="E205" s="43" t="b">
        <f>AND(BX205&gt;Driver!$F$54,BX205&lt;Driver!$G$54)</f>
        <v>0</v>
      </c>
      <c r="F205" s="43" t="b">
        <f>CL205&gt;Driver!$F$56</f>
        <v>1</v>
      </c>
      <c r="G205" s="43" t="b">
        <f>AND(CB205&gt;Driver!$F$55,CB205&lt;Driver!$G$55)</f>
        <v>0</v>
      </c>
      <c r="H205" s="43" t="b">
        <f t="shared" si="111"/>
        <v>0</v>
      </c>
      <c r="I205" s="43">
        <f t="shared" si="112"/>
        <v>0</v>
      </c>
      <c r="J205" s="43" t="b">
        <f t="array" ref="J205">NOT(OR(($H$9:$H$1273=TRUE)*($I$9:$I$1273&gt;0)*($BT$9:$BT$1273=BT205)*($K$9:$K$1273&gt;K205)))</f>
        <v>1</v>
      </c>
      <c r="K205" s="72">
        <f t="shared" si="113"/>
        <v>0.90070256513974123</v>
      </c>
      <c r="L205" s="72">
        <f t="shared" si="114"/>
        <v>0.96751937083171424</v>
      </c>
      <c r="M205" s="72">
        <f t="shared" si="115"/>
        <v>0.83388575944776822</v>
      </c>
      <c r="N205" s="72">
        <f t="shared" si="116"/>
        <v>0.81755445567538976</v>
      </c>
      <c r="O205" s="72">
        <f t="shared" si="117"/>
        <v>0.68776740031331896</v>
      </c>
      <c r="P205" s="72">
        <f t="shared" si="118"/>
        <v>0.99633542235459593</v>
      </c>
      <c r="Q205" s="72"/>
      <c r="R205" s="72"/>
      <c r="S205" s="72">
        <f t="shared" si="119"/>
        <v>0.4630020872696089</v>
      </c>
      <c r="T205" s="72">
        <f t="shared" si="120"/>
        <v>0.46456404979791976</v>
      </c>
      <c r="U205" s="72">
        <f t="shared" si="121"/>
        <v>0.63696707276358233</v>
      </c>
      <c r="V205" s="72">
        <f t="shared" si="122"/>
        <v>0.55939844872486943</v>
      </c>
      <c r="W205" s="72">
        <f t="shared" si="123"/>
        <v>0.79103162790697668</v>
      </c>
      <c r="X205" s="72">
        <f t="shared" si="124"/>
        <v>3.2480629168285785E-2</v>
      </c>
      <c r="Y205" s="72">
        <f t="shared" si="125"/>
        <v>0.16611424055223181</v>
      </c>
      <c r="Z205" s="72">
        <f t="shared" si="126"/>
        <v>0.1824455443246103</v>
      </c>
      <c r="AA205" s="72">
        <f t="shared" si="127"/>
        <v>0.31223259968668104</v>
      </c>
      <c r="AB205" s="72">
        <f t="shared" si="128"/>
        <v>3.6645776454041212E-3</v>
      </c>
      <c r="AC205" s="72"/>
      <c r="AD205" s="72"/>
      <c r="AE205" s="72">
        <f t="shared" si="129"/>
        <v>0.5369979127303911</v>
      </c>
      <c r="AF205" s="72">
        <f t="shared" si="130"/>
        <v>0.53543595020208024</v>
      </c>
      <c r="AG205" s="72">
        <f t="shared" si="131"/>
        <v>0.36303292723641767</v>
      </c>
      <c r="AH205" s="72">
        <f t="shared" si="132"/>
        <v>0.44060155127513057</v>
      </c>
      <c r="AI205" s="72">
        <f t="shared" si="133"/>
        <v>0.20896837209302327</v>
      </c>
      <c r="AJ205" s="72">
        <f>(AV205-Driver!$K$179)/(Driver!$L$179-Driver!$K$179)</f>
        <v>0.22173878011441464</v>
      </c>
      <c r="AK205" s="72">
        <f>(AW205-Driver!$K$180)/(Driver!$L$180-Driver!$K$180)</f>
        <v>0.26015207353284109</v>
      </c>
      <c r="AL205" s="72">
        <f>(AX205-Driver!$K$181)/(Driver!$L$181-Driver!$K$181)</f>
        <v>0.28413330803769049</v>
      </c>
      <c r="AM205" s="72">
        <f>(AY205-Driver!$K$182)/(Driver!$L$182-Driver!$K$182)</f>
        <v>0.13515242141036529</v>
      </c>
      <c r="AN205" s="72">
        <f>(AZ205-Driver!$K$183)/(Driver!$L$183-Driver!$K$183)</f>
        <v>0.25788398692810455</v>
      </c>
      <c r="AO205" s="72"/>
      <c r="AP205" s="72"/>
      <c r="AQ205" s="72">
        <f>(BC205-Driver!$K$188)/(Driver!$L$188-Driver!$K$188)</f>
        <v>8.3002087269608879E-2</v>
      </c>
      <c r="AR205" s="72">
        <f>MIN((BD205-Driver!$K$189)/(Driver!$L$189-Driver!$K$189),100%)</f>
        <v>1.4564049797919774E-2</v>
      </c>
      <c r="AS205" s="72">
        <f>(BE205-Driver!$K$190)/(Driver!$L$190-Driver!$K$190)</f>
        <v>0.14696707276358234</v>
      </c>
      <c r="AT205" s="72">
        <f>(BF205-Driver!$K$191)/(Driver!$L$191-Driver!$K$191)</f>
        <v>6.9398448724869471E-2</v>
      </c>
      <c r="AU205" s="72">
        <f>(BG205-Driver!$K$192)/(Driver!$L$192-Driver!$K$192)</f>
        <v>4.1031627906976731E-2</v>
      </c>
      <c r="AV205" s="70">
        <f t="shared" si="134"/>
        <v>4.6669380002713341</v>
      </c>
      <c r="AW205" s="70">
        <f t="shared" si="135"/>
        <v>27.226017369107538</v>
      </c>
      <c r="AX205" s="70">
        <f t="shared" si="136"/>
        <v>3.5571997723392146</v>
      </c>
      <c r="AY205" s="70">
        <f>IFERROR(Driver!$K$19/Data!BH205/Data!BI205*Data!BK205*Data!BL205,"")</f>
        <v>0.16546688939676607</v>
      </c>
      <c r="AZ205" s="70">
        <f t="shared" si="137"/>
        <v>23.503350707371556</v>
      </c>
      <c r="BA205" s="70"/>
      <c r="BB205" s="70"/>
      <c r="BC205" s="70">
        <f t="shared" si="138"/>
        <v>43.053759687895472</v>
      </c>
      <c r="BD205" s="70">
        <f t="shared" si="139"/>
        <v>3.0097154852444046</v>
      </c>
      <c r="BE205" s="70">
        <f t="shared" si="140"/>
        <v>0.14711924423650674</v>
      </c>
      <c r="BF205" s="70">
        <f t="shared" si="141"/>
        <v>7.8380672317782123</v>
      </c>
      <c r="BG205" s="70">
        <f t="shared" si="142"/>
        <v>0.15537191860465113</v>
      </c>
      <c r="BH205" s="67">
        <f>MAX((CE205-Driver!$F$200)/(Driver!$G$200-Driver!$F$200)*$BI$1,1)</f>
        <v>3.5571997723392146</v>
      </c>
      <c r="BI205" s="67">
        <f>MAX($BI$1*(BY205-Driver!$F$201)/(Driver!$G$201-Driver!$F$201),1)</f>
        <v>6.7721518987341769</v>
      </c>
      <c r="BJ205" s="67">
        <f>(CB205-Driver!$F$206)/(Driver!$G$206-Driver!$F$206)*$BI$1</f>
        <v>5.0793650793650791</v>
      </c>
      <c r="BK205" s="67">
        <f>(CD205-Driver!$F$203)/(Driver!$G$203-Driver!$F$203)*$BI$1</f>
        <v>4.1284403669724767</v>
      </c>
      <c r="BL205" s="67">
        <f>MAX((CR205-Driver!$F$202)/(Driver!$G$202-Driver!$F$202)*$BI$1,1)</f>
        <v>4.8275862068965516</v>
      </c>
      <c r="BM205" s="67">
        <f>MAX((CH205-Driver!$F$204)/(Driver!$G$204-Driver!$F$204)*$BI$1,1)</f>
        <v>3.6752136752136755</v>
      </c>
      <c r="BN205" s="67">
        <f>(CI205-Driver!$F$205)/(Driver!$G$205-Driver!$F$205)*$BI$1</f>
        <v>3.4705882352941178</v>
      </c>
      <c r="BO205" s="67">
        <f>(CK205-Driver!$F$207)/(Driver!$G$207-Driver!$F$207)*$BI$1</f>
        <v>3.4332988624612204</v>
      </c>
      <c r="BP205" s="67">
        <f>(CM205-Driver!$F$208)/(Driver!$G$208-Driver!$F$208)*$BI$1</f>
        <v>1.8555555555555556</v>
      </c>
      <c r="BQ205" s="67">
        <f>(CL205-Driver!$F$209)/(Driver!$G$209-Driver!$F$209)*$BI$1</f>
        <v>2.03125</v>
      </c>
      <c r="BR205" s="28" t="s">
        <v>155</v>
      </c>
      <c r="BS205" s="8" t="s">
        <v>329</v>
      </c>
      <c r="BT205" s="9" t="s">
        <v>425</v>
      </c>
      <c r="BU205" s="10">
        <v>177</v>
      </c>
      <c r="BV205" s="9" t="s">
        <v>158</v>
      </c>
      <c r="BW205" s="10">
        <v>177</v>
      </c>
      <c r="BX205" s="10">
        <v>175.8</v>
      </c>
      <c r="BY205" s="10">
        <v>115</v>
      </c>
      <c r="BZ205" s="10">
        <v>142</v>
      </c>
      <c r="CA205" s="10">
        <v>125</v>
      </c>
      <c r="CB205" s="10">
        <v>96</v>
      </c>
      <c r="CC205" s="10">
        <v>115</v>
      </c>
      <c r="CD205" s="10">
        <v>18.399999999999999</v>
      </c>
      <c r="CE205" s="10">
        <v>1525</v>
      </c>
      <c r="CF205" s="10">
        <v>1.22</v>
      </c>
      <c r="CG205" s="10">
        <v>1867</v>
      </c>
      <c r="CH205" s="10">
        <v>187</v>
      </c>
      <c r="CI205" s="10">
        <v>92</v>
      </c>
      <c r="CJ205" s="10">
        <v>59</v>
      </c>
      <c r="CK205" s="10">
        <v>442</v>
      </c>
      <c r="CL205" s="10">
        <v>13</v>
      </c>
      <c r="CM205" s="10">
        <v>167</v>
      </c>
      <c r="CN205" s="10">
        <v>0.224</v>
      </c>
      <c r="CO205" s="10">
        <v>183</v>
      </c>
      <c r="CP205" s="10">
        <v>151</v>
      </c>
      <c r="CQ205" s="10">
        <v>259</v>
      </c>
      <c r="CR205" s="10">
        <v>3</v>
      </c>
      <c r="CS205" s="10">
        <v>8.5</v>
      </c>
      <c r="CT205" s="9" t="s">
        <v>188</v>
      </c>
      <c r="CU205" s="9" t="s">
        <v>185</v>
      </c>
      <c r="CV205" s="10"/>
      <c r="CW205" s="10"/>
      <c r="CX205" t="str">
        <f>INDEX('Data_Price '!AG$2:AG$1266,MATCH(Data!$DN205,'Data_Price '!$AT$2:$AT$1266,0))</f>
        <v>Dynafit Women's Beast 98 Ski</v>
      </c>
      <c r="CY205" t="str">
        <f>INDEX('Data_Price '!AH$2:AH$1266,MATCH(Data!$DN205,'Data_Price '!$AT$2:$AT$1266,0))</f>
        <v>Idaho Mountain Touring</v>
      </c>
      <c r="CZ205">
        <f>INDEX('Data_Price '!AI$2:AI$1266,MATCH(Data!$DN205,'Data_Price '!$AT$2:$AT$1266,0))</f>
        <v>475.72</v>
      </c>
      <c r="DA205" t="str">
        <f>INDEX('Data_Price '!AJ$2:AJ$1266,MATCH(Data!$DN205,'Data_Price '!$AT$2:$AT$1266,0))</f>
        <v>https://tinyurl.com/yaexdgk5</v>
      </c>
      <c r="DB205" t="str">
        <f>INDEX('Data_Price '!AK$2:AK$1266,MATCH(Data!$DN205,'Data_Price '!$AT$2:$AT$1266,0))</f>
        <v>Dynafit Beast 98 AT Setup Skis w Dynafit Rotation 10 Bindings  Demo</v>
      </c>
      <c r="DC205" t="str">
        <f>INDEX('Data_Price '!AL$2:AL$1266,MATCH(Data!$DN205,'Data_Price '!$AT$2:$AT$1266,0))</f>
        <v>Powder7 Ski Shop</v>
      </c>
      <c r="DD205">
        <f>INDEX('Data_Price '!AM$2:AM$1266,MATCH(Data!$DN205,'Data_Price '!$AT$2:$AT$1266,0))</f>
        <v>939.99</v>
      </c>
      <c r="DE205" t="str">
        <f>INDEX('Data_Price '!AN$2:AN$1266,MATCH(Data!$DN205,'Data_Price '!$AT$2:$AT$1266,0))</f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F205" t="str">
        <f>INDEX('Data_Price '!AO$2:AO$1266,MATCH(Data!$DN205,'Data_Price '!$AT$2:$AT$1266,0))</f>
        <v>Dynafit Free 97 Ski</v>
      </c>
      <c r="DG205" t="str">
        <f>INDEX('Data_Price '!AP$2:AP$1266,MATCH(Data!$DN205,'Data_Price '!$AT$2:$AT$1266,0))</f>
        <v>JANS Mountain Outfitters</v>
      </c>
      <c r="DH205">
        <f>INDEX('Data_Price '!AQ$2:AQ$1266,MATCH(Data!$DN205,'Data_Price '!$AT$2:$AT$1266,0))</f>
        <v>390</v>
      </c>
      <c r="DI205" t="str">
        <f>INDEX('Data_Price '!AR$2:AR$1266,MATCH(Data!$DN205,'Data_Price '!$AT$2:$AT$1266,0))</f>
        <v>https://tinyurl.com/ydxycebr</v>
      </c>
      <c r="DJ205" s="89" t="str">
        <f t="shared" si="143"/>
        <v>https://tinyurl.com/yaexdgk5</v>
      </c>
      <c r="DK205" s="89" t="str">
        <f t="shared" si="144"/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L205" s="89" t="str">
        <f t="shared" si="145"/>
        <v>https://tinyurl.com/ydxycebr</v>
      </c>
      <c r="DM205" s="219" t="str">
        <f t="shared" si="146"/>
        <v>Beast 98</v>
      </c>
      <c r="DN205" s="89" t="str">
        <f t="shared" si="147"/>
        <v xml:space="preserve"> DynafitBeast 98177 Unisex</v>
      </c>
      <c r="DO205" s="221"/>
    </row>
    <row r="206" spans="1:119" ht="15.6" customHeight="1">
      <c r="A206" s="219">
        <f>ROW()</f>
        <v>206</v>
      </c>
      <c r="B206" s="219" t="b">
        <f t="array" ref="B206">IF(OR(ISERROR(K206:P206)),FALSE,TRUE)</f>
        <v>1</v>
      </c>
      <c r="C206" s="43" t="b">
        <f>OR(BR206=Driver!$G$50,Data!BR45=Driver!$H$50)</f>
        <v>1</v>
      </c>
      <c r="D206" s="43" t="b">
        <f>OR(BV206=Driver!$G$51,BV206=Driver!$H$51)</f>
        <v>0</v>
      </c>
      <c r="E206" s="43" t="b">
        <f>AND(BX206&gt;Driver!$F$54,BX206&lt;Driver!$G$54)</f>
        <v>1</v>
      </c>
      <c r="F206" s="43" t="b">
        <f>CL206&gt;Driver!$F$56</f>
        <v>1</v>
      </c>
      <c r="G206" s="43" t="b">
        <f>AND(CB206&gt;Driver!$F$55,CB206&lt;Driver!$G$55)</f>
        <v>1</v>
      </c>
      <c r="H206" s="43" t="b">
        <f t="shared" si="111"/>
        <v>0</v>
      </c>
      <c r="I206" s="43">
        <f t="shared" si="112"/>
        <v>0</v>
      </c>
      <c r="J206" s="43" t="b">
        <f t="array" ref="J206">NOT(OR(($H$9:$H$1273=TRUE)*($I$9:$I$1273&gt;0)*($BT$9:$BT$1273=BT206)*($K$9:$K$1273&gt;K206)))</f>
        <v>1</v>
      </c>
      <c r="K206" s="72">
        <f t="shared" si="113"/>
        <v>0.88928386342584076</v>
      </c>
      <c r="L206" s="72">
        <f t="shared" si="114"/>
        <v>0.98693762882865244</v>
      </c>
      <c r="M206" s="72">
        <f t="shared" si="115"/>
        <v>0.79163009802302919</v>
      </c>
      <c r="N206" s="72">
        <f t="shared" si="116"/>
        <v>0.72712253257414394</v>
      </c>
      <c r="O206" s="72">
        <f t="shared" si="117"/>
        <v>0.6831963211044414</v>
      </c>
      <c r="P206" s="72">
        <f t="shared" si="118"/>
        <v>0.96457144039050224</v>
      </c>
      <c r="Q206" s="72"/>
      <c r="R206" s="72"/>
      <c r="S206" s="72">
        <f t="shared" si="119"/>
        <v>0.44221238538063445</v>
      </c>
      <c r="T206" s="72">
        <f t="shared" si="120"/>
        <v>0.46219660100422399</v>
      </c>
      <c r="U206" s="72">
        <f t="shared" si="121"/>
        <v>0.53923724751766922</v>
      </c>
      <c r="V206" s="72">
        <f t="shared" si="122"/>
        <v>0.55128142496802135</v>
      </c>
      <c r="W206" s="72">
        <f t="shared" si="123"/>
        <v>0.88314426369863008</v>
      </c>
      <c r="X206" s="72">
        <f t="shared" si="124"/>
        <v>1.306237117134762E-2</v>
      </c>
      <c r="Y206" s="72">
        <f t="shared" si="125"/>
        <v>0.20836990197697081</v>
      </c>
      <c r="Z206" s="72">
        <f t="shared" si="126"/>
        <v>0.27287746742585611</v>
      </c>
      <c r="AA206" s="72">
        <f t="shared" si="127"/>
        <v>0.31680367889555855</v>
      </c>
      <c r="AB206" s="72">
        <f t="shared" si="128"/>
        <v>3.5428559609497784E-2</v>
      </c>
      <c r="AC206" s="72"/>
      <c r="AD206" s="72"/>
      <c r="AE206" s="72">
        <f t="shared" si="129"/>
        <v>0.55778761461936555</v>
      </c>
      <c r="AF206" s="72">
        <f t="shared" si="130"/>
        <v>0.53780339899577601</v>
      </c>
      <c r="AG206" s="72">
        <f t="shared" si="131"/>
        <v>0.46076275248233078</v>
      </c>
      <c r="AH206" s="72">
        <f t="shared" si="132"/>
        <v>0.44871857503197865</v>
      </c>
      <c r="AI206" s="72">
        <f t="shared" si="133"/>
        <v>0.11685573630136989</v>
      </c>
      <c r="AJ206" s="72">
        <f>(AV206-Driver!$K$179)/(Driver!$L$179-Driver!$K$179)</f>
        <v>0.24115703811135281</v>
      </c>
      <c r="AK206" s="72">
        <f>(AW206-Driver!$K$180)/(Driver!$L$180-Driver!$K$180)</f>
        <v>0.23188755381793255</v>
      </c>
      <c r="AL206" s="72">
        <f>(AX206-Driver!$K$181)/(Driver!$L$181-Driver!$K$181)</f>
        <v>0.37456523113893631</v>
      </c>
      <c r="AM206" s="72">
        <f>(AY206-Driver!$K$182)/(Driver!$L$182-Driver!$K$182)</f>
        <v>0.13058134220148782</v>
      </c>
      <c r="AN206" s="72">
        <f>(AZ206-Driver!$K$183)/(Driver!$L$183-Driver!$K$183)</f>
        <v>0.21879084967320264</v>
      </c>
      <c r="AO206" s="72"/>
      <c r="AP206" s="72"/>
      <c r="AQ206" s="72">
        <f>(BC206-Driver!$K$188)/(Driver!$L$188-Driver!$K$188)</f>
        <v>6.2212385380634456E-2</v>
      </c>
      <c r="AR206" s="72">
        <f>MIN((BD206-Driver!$K$189)/(Driver!$L$189-Driver!$K$189),100%)</f>
        <v>1.2196601004223996E-2</v>
      </c>
      <c r="AS206" s="72">
        <f>(BE206-Driver!$K$190)/(Driver!$L$190-Driver!$K$190)</f>
        <v>4.9237247517669211E-2</v>
      </c>
      <c r="AT206" s="72">
        <f>(BF206-Driver!$K$191)/(Driver!$L$191-Driver!$K$191)</f>
        <v>6.1281424968021352E-2</v>
      </c>
      <c r="AU206" s="72">
        <f>(BG206-Driver!$K$192)/(Driver!$L$192-Driver!$K$192)</f>
        <v>0.13314426369863011</v>
      </c>
      <c r="AV206" s="70">
        <f t="shared" si="134"/>
        <v>5.0756342423009091</v>
      </c>
      <c r="AW206" s="70">
        <f t="shared" si="135"/>
        <v>24.471389473767239</v>
      </c>
      <c r="AX206" s="70">
        <f t="shared" si="136"/>
        <v>4.3710870802504269</v>
      </c>
      <c r="AY206" s="70">
        <f>IFERROR(Driver!$K$19/Data!BH206/Data!BI206*Data!BK206*Data!BL206,"")</f>
        <v>0.15987052456670037</v>
      </c>
      <c r="AZ206" s="70">
        <f t="shared" si="137"/>
        <v>19.940431868950114</v>
      </c>
      <c r="BA206" s="70"/>
      <c r="BB206" s="70"/>
      <c r="BC206" s="70">
        <f t="shared" si="138"/>
        <v>32.269996790421665</v>
      </c>
      <c r="BD206" s="70">
        <f t="shared" si="139"/>
        <v>2.8002004618733669</v>
      </c>
      <c r="BE206" s="70">
        <f t="shared" si="140"/>
        <v>4.9406852891421452E-2</v>
      </c>
      <c r="BF206" s="70">
        <f t="shared" si="141"/>
        <v>6.9213064237615169</v>
      </c>
      <c r="BG206" s="70">
        <f t="shared" si="142"/>
        <v>0.50416911922089036</v>
      </c>
      <c r="BH206" s="67">
        <f>MAX((CE206-Driver!$F$200)/(Driver!$G$200-Driver!$F$200)*$BI$1,1)</f>
        <v>4.3710870802504269</v>
      </c>
      <c r="BI206" s="67">
        <f>MAX($BI$1*(BY206-Driver!$F$201)/(Driver!$G$201-Driver!$F$201),1)</f>
        <v>6.518987341772152</v>
      </c>
      <c r="BJ206" s="67">
        <f>(CB206-Driver!$F$206)/(Driver!$G$206-Driver!$F$206)*$BI$1</f>
        <v>6.5079365079365079</v>
      </c>
      <c r="BK206" s="67">
        <f>(CD206-Driver!$F$203)/(Driver!$G$203-Driver!$F$203)*$BI$1</f>
        <v>4.1284403669724767</v>
      </c>
      <c r="BL206" s="67">
        <f>MAX((CR206-Driver!$F$202)/(Driver!$G$202-Driver!$F$202)*$BI$1,1)</f>
        <v>5.5172413793103452</v>
      </c>
      <c r="BM206" s="67">
        <f>MAX((CH206-Driver!$F$204)/(Driver!$G$204-Driver!$F$204)*$BI$1,1)</f>
        <v>3.1196581196581197</v>
      </c>
      <c r="BN206" s="67">
        <f>(CI206-Driver!$F$205)/(Driver!$G$205-Driver!$F$205)*$BI$1</f>
        <v>3.0588235294117649</v>
      </c>
      <c r="BO206" s="67">
        <f>(CK206-Driver!$F$207)/(Driver!$G$207-Driver!$F$207)*$BI$1</f>
        <v>1.6959669079627715</v>
      </c>
      <c r="BP206" s="67">
        <f>(CM206-Driver!$F$208)/(Driver!$G$208-Driver!$F$208)*$BI$1</f>
        <v>2.588888888888889</v>
      </c>
      <c r="BQ206" s="67">
        <f>(CL206-Driver!$F$209)/(Driver!$G$209-Driver!$F$209)*$BI$1</f>
        <v>6.875</v>
      </c>
      <c r="BR206" s="28" t="s">
        <v>155</v>
      </c>
      <c r="BS206" s="8" t="s">
        <v>182</v>
      </c>
      <c r="BT206" s="9" t="s">
        <v>220</v>
      </c>
      <c r="BU206" s="10">
        <v>164</v>
      </c>
      <c r="BV206" s="9" t="s">
        <v>163</v>
      </c>
      <c r="BW206" s="10">
        <v>164</v>
      </c>
      <c r="BX206" s="10">
        <v>161.80000000000001</v>
      </c>
      <c r="BY206" s="10">
        <v>111</v>
      </c>
      <c r="BZ206" s="10">
        <v>129</v>
      </c>
      <c r="CA206" s="10">
        <v>131</v>
      </c>
      <c r="CB206" s="10">
        <v>105</v>
      </c>
      <c r="CC206" s="10">
        <v>120</v>
      </c>
      <c r="CD206" s="10">
        <v>18.399999999999999</v>
      </c>
      <c r="CE206" s="10">
        <v>1668</v>
      </c>
      <c r="CF206" s="10">
        <v>1.0900000000000001</v>
      </c>
      <c r="CG206" s="10">
        <v>1816</v>
      </c>
      <c r="CH206" s="10">
        <v>174</v>
      </c>
      <c r="CI206" s="10">
        <v>85</v>
      </c>
      <c r="CJ206" s="10">
        <v>52</v>
      </c>
      <c r="CK206" s="10">
        <v>274</v>
      </c>
      <c r="CL206" s="10">
        <v>44</v>
      </c>
      <c r="CM206" s="10">
        <v>233</v>
      </c>
      <c r="CN206" s="10">
        <v>0.84499999999999997</v>
      </c>
      <c r="CO206" s="10">
        <v>144</v>
      </c>
      <c r="CP206" s="10">
        <v>188</v>
      </c>
      <c r="CQ206" s="10">
        <v>129</v>
      </c>
      <c r="CR206" s="10">
        <v>5</v>
      </c>
      <c r="CS206" s="10">
        <v>2.6</v>
      </c>
      <c r="CT206" s="9" t="s">
        <v>188</v>
      </c>
      <c r="CU206" s="9" t="s">
        <v>184</v>
      </c>
      <c r="CV206" s="9" t="s">
        <v>169</v>
      </c>
      <c r="CW206" s="9" t="s">
        <v>185</v>
      </c>
      <c r="CX206" t="str">
        <f>INDEX('Data_Price '!AG$2:AG$1266,MATCH(Data!$DN206,'Data_Price '!$AT$2:$AT$1266,0))</f>
        <v>Armada Powder7 ARW 106 UL Women's Skis 164cm 2022</v>
      </c>
      <c r="CY206" t="str">
        <f>INDEX('Data_Price '!AH$2:AH$1266,MATCH(Data!$DN206,'Data_Price '!$AT$2:$AT$1266,0))</f>
        <v>Powder7 Ski Shop</v>
      </c>
      <c r="CZ206">
        <f>INDEX('Data_Price '!AI$2:AI$1266,MATCH(Data!$DN206,'Data_Price '!$AT$2:$AT$1266,0))</f>
        <v>549.92999999999995</v>
      </c>
      <c r="DA206" t="str">
        <f>INDEX('Data_Price '!AJ$2:AJ$1266,MATCH(Data!$DN206,'Data_Price '!$AT$2:$AT$1266,0))</f>
        <v>https://tinyurl.com/ydg3tb6x</v>
      </c>
      <c r="DB206" t="str">
        <f>INDEX('Data_Price '!AK$2:AK$1266,MATCH(Data!$DN206,'Data_Price '!$AT$2:$AT$1266,0))</f>
        <v>Armada ARW 106 UL Skis - Women's 2022 164cm</v>
      </c>
      <c r="DC206" t="str">
        <f>INDEX('Data_Price '!AL$2:AL$1266,MATCH(Data!$DN206,'Data_Price '!$AT$2:$AT$1266,0))</f>
        <v>Glacier Ski Shop</v>
      </c>
      <c r="DD206">
        <f>INDEX('Data_Price '!AM$2:AM$1266,MATCH(Data!$DN206,'Data_Price '!$AT$2:$AT$1266,0))</f>
        <v>629</v>
      </c>
      <c r="DE206" t="str">
        <f>INDEX('Data_Price '!AN$2:AN$1266,MATCH(Data!$DN206,'Data_Price '!$AT$2:$AT$1266,0))</f>
        <v>https://tinyurl.com/yapvach5</v>
      </c>
      <c r="DF206" t="str">
        <f>INDEX('Data_Price '!AO$2:AO$1266,MATCH(Data!$DN206,'Data_Price '!$AT$2:$AT$1266,0))</f>
        <v>Armada ARW 84 Skis 2022</v>
      </c>
      <c r="DG206" t="str">
        <f>INDEX('Data_Price '!AP$2:AP$1266,MATCH(Data!$DN206,'Data_Price '!$AT$2:$AT$1266,0))</f>
        <v>Next Adventure</v>
      </c>
      <c r="DH206">
        <f>INDEX('Data_Price '!AQ$2:AQ$1266,MATCH(Data!$DN206,'Data_Price '!$AT$2:$AT$1266,0))</f>
        <v>279.95999999999998</v>
      </c>
      <c r="DI206" t="str">
        <f>INDEX('Data_Price '!AR$2:AR$1266,MATCH(Data!$DN206,'Data_Price '!$AT$2:$AT$1266,0))</f>
        <v>https://tinyurl.com/ydxmjnfz</v>
      </c>
      <c r="DJ206" s="89" t="str">
        <f t="shared" si="143"/>
        <v>https://tinyurl.com/ydg3tb6x</v>
      </c>
      <c r="DK206" s="89" t="str">
        <f t="shared" si="144"/>
        <v>https://tinyurl.com/yapvach5</v>
      </c>
      <c r="DL206" s="89" t="str">
        <f t="shared" si="145"/>
        <v>https://tinyurl.com/ydxmjnfz</v>
      </c>
      <c r="DM206" s="219" t="str">
        <f t="shared" si="146"/>
        <v>ARW 106 UL</v>
      </c>
      <c r="DN206" s="89" t="str">
        <f t="shared" si="147"/>
        <v xml:space="preserve"> ArmadaARW 106 UL164 Women's</v>
      </c>
      <c r="DO206" s="221" t="s">
        <v>221</v>
      </c>
    </row>
    <row r="207" spans="1:119" ht="15.6" customHeight="1">
      <c r="B207" s="219" t="b">
        <f t="array" ref="B207">IF(OR(ISERROR(K207:P207)),FALSE,TRUE)</f>
        <v>1</v>
      </c>
      <c r="C207" s="43" t="b">
        <f>OR(BR207=Driver!$G$50,Data!BR1258=Driver!$H$50)</f>
        <v>1</v>
      </c>
      <c r="D207" s="43" t="b">
        <f>OR(BV207=Driver!$G$51,BV207=Driver!$H$51)</f>
        <v>0</v>
      </c>
      <c r="E207" s="43" t="b">
        <f>AND(BX207&gt;Driver!$F$54,BX207&lt;Driver!$G$54)</f>
        <v>1</v>
      </c>
      <c r="F207" s="43" t="b">
        <f>CL207&gt;Driver!$F$56</f>
        <v>1</v>
      </c>
      <c r="G207" s="43" t="b">
        <f>AND(CB207&gt;Driver!$F$55,CB207&lt;Driver!$G$55)</f>
        <v>1</v>
      </c>
      <c r="H207" s="43" t="b">
        <f t="shared" si="111"/>
        <v>0</v>
      </c>
      <c r="I207" s="43">
        <f t="shared" si="112"/>
        <v>0</v>
      </c>
      <c r="J207" s="43" t="b">
        <f t="array" ref="J207">NOT(OR(($H$9:$H$1273=TRUE)*($I$9:$I$1273&gt;0)*($BT$9:$BT$1273=BT207)*($K$9:$K$1273&gt;K207)))</f>
        <v>1</v>
      </c>
      <c r="K207" s="72">
        <f t="shared" si="113"/>
        <v>0.81732294388345439</v>
      </c>
      <c r="L207" s="72">
        <f t="shared" si="114"/>
        <v>0.94417187080876597</v>
      </c>
      <c r="M207" s="72">
        <f t="shared" si="115"/>
        <v>0.6904740169581427</v>
      </c>
      <c r="N207" s="72">
        <f t="shared" si="116"/>
        <v>0.61455692200056511</v>
      </c>
      <c r="O207" s="72">
        <f t="shared" si="117"/>
        <v>0.60301336664998639</v>
      </c>
      <c r="P207" s="72">
        <f t="shared" si="118"/>
        <v>0.85385176222387682</v>
      </c>
      <c r="Q207" s="72"/>
      <c r="R207" s="72"/>
      <c r="S207" s="72">
        <f t="shared" si="119"/>
        <v>0.44258252611930338</v>
      </c>
      <c r="T207" s="72">
        <f t="shared" si="120"/>
        <v>0.53364842732703321</v>
      </c>
      <c r="U207" s="72">
        <f t="shared" si="121"/>
        <v>0.5994080664384388</v>
      </c>
      <c r="V207" s="72">
        <f t="shared" si="122"/>
        <v>0.5864430305951891</v>
      </c>
      <c r="W207" s="72">
        <f t="shared" si="123"/>
        <v>0.77931421775898513</v>
      </c>
      <c r="X207" s="72">
        <f t="shared" si="124"/>
        <v>5.5828129191234033E-2</v>
      </c>
      <c r="Y207" s="72">
        <f t="shared" si="125"/>
        <v>0.30952598304185724</v>
      </c>
      <c r="Z207" s="72">
        <f t="shared" si="126"/>
        <v>0.38544307799943484</v>
      </c>
      <c r="AA207" s="72">
        <f t="shared" si="127"/>
        <v>0.39698663335001361</v>
      </c>
      <c r="AB207" s="72">
        <f t="shared" si="128"/>
        <v>0.14614823777612312</v>
      </c>
      <c r="AC207" s="72"/>
      <c r="AD207" s="72"/>
      <c r="AE207" s="72">
        <f t="shared" si="129"/>
        <v>0.55741747388069662</v>
      </c>
      <c r="AF207" s="72">
        <f t="shared" si="130"/>
        <v>0.46635157267296679</v>
      </c>
      <c r="AG207" s="72">
        <f t="shared" si="131"/>
        <v>0.4005919335615612</v>
      </c>
      <c r="AH207" s="72">
        <f t="shared" si="132"/>
        <v>0.4135569694048109</v>
      </c>
      <c r="AI207" s="72">
        <f t="shared" si="133"/>
        <v>0.22068578224101482</v>
      </c>
      <c r="AJ207" s="72">
        <f>(AV207-Driver!$K$179)/(Driver!$L$179-Driver!$K$179)</f>
        <v>0.31004753847393446</v>
      </c>
      <c r="AK207" s="72">
        <f>(AW207-Driver!$K$180)/(Driver!$L$180-Driver!$K$180)</f>
        <v>0.41107797201489599</v>
      </c>
      <c r="AL207" s="72">
        <f>(AX207-Driver!$K$181)/(Driver!$L$181-Driver!$K$181)</f>
        <v>0.48713084171251503</v>
      </c>
      <c r="AM207" s="72">
        <f>(AY207-Driver!$K$182)/(Driver!$L$182-Driver!$K$182)</f>
        <v>5.0398387747032737E-2</v>
      </c>
      <c r="AN207" s="72">
        <f>(AZ207-Driver!$K$183)/(Driver!$L$183-Driver!$K$183)</f>
        <v>0.40036764705882355</v>
      </c>
      <c r="AO207" s="72"/>
      <c r="AP207" s="72"/>
      <c r="AQ207" s="72">
        <f>(BC207-Driver!$K$188)/(Driver!$L$188-Driver!$K$188)</f>
        <v>6.2582526119303386E-2</v>
      </c>
      <c r="AR207" s="72">
        <f>MIN((BD207-Driver!$K$189)/(Driver!$L$189-Driver!$K$189),100%)</f>
        <v>8.3648427327033231E-2</v>
      </c>
      <c r="AS207" s="72">
        <f>(BE207-Driver!$K$190)/(Driver!$L$190-Driver!$K$190)</f>
        <v>0.10940806643843883</v>
      </c>
      <c r="AT207" s="72">
        <f>(BF207-Driver!$K$191)/(Driver!$L$191-Driver!$K$191)</f>
        <v>9.6443030595189119E-2</v>
      </c>
      <c r="AU207" s="72">
        <f>(BG207-Driver!$K$192)/(Driver!$L$192-Driver!$K$192)</f>
        <v>2.9314217758985198E-2</v>
      </c>
      <c r="AV207" s="70">
        <f t="shared" si="134"/>
        <v>6.5255731922398601</v>
      </c>
      <c r="AW207" s="70">
        <f t="shared" si="135"/>
        <v>41.935083515689762</v>
      </c>
      <c r="AX207" s="70">
        <f t="shared" si="136"/>
        <v>5.3841775754126351</v>
      </c>
      <c r="AY207" s="70">
        <f>IFERROR(Driver!$K$19/Data!BH207/Data!BI207*Data!BK207*Data!BL207,"")</f>
        <v>6.1702664029917489E-2</v>
      </c>
      <c r="AZ207" s="70">
        <f t="shared" si="137"/>
        <v>36.48920327624721</v>
      </c>
      <c r="BA207" s="70"/>
      <c r="BB207" s="70"/>
      <c r="BC207" s="70">
        <f t="shared" si="138"/>
        <v>32.461991364745906</v>
      </c>
      <c r="BD207" s="70">
        <f t="shared" si="139"/>
        <v>9.1235604862973609</v>
      </c>
      <c r="BE207" s="70">
        <f t="shared" si="140"/>
        <v>0.10956693801534702</v>
      </c>
      <c r="BF207" s="70">
        <f t="shared" si="141"/>
        <v>10.892562755089987</v>
      </c>
      <c r="BG207" s="70">
        <f t="shared" si="142"/>
        <v>0.11100232888477801</v>
      </c>
      <c r="BH207" s="67">
        <f>MAX((CE207-Driver!$F$200)/(Driver!$G$200-Driver!$F$200)*$BI$1,1)</f>
        <v>5.3841775754126351</v>
      </c>
      <c r="BI207" s="67">
        <f>MAX($BI$1*(BY207-Driver!$F$201)/(Driver!$G$201-Driver!$F$201),1)</f>
        <v>6.2658227848101262</v>
      </c>
      <c r="BJ207" s="67">
        <f>(CB207-Driver!$F$206)/(Driver!$G$206-Driver!$F$206)*$BI$1</f>
        <v>5.8730158730158735</v>
      </c>
      <c r="BK207" s="67">
        <f>(CD207-Driver!$F$203)/(Driver!$G$203-Driver!$F$203)*$BI$1</f>
        <v>2.1559633027522933</v>
      </c>
      <c r="BL207" s="67">
        <f>MAX((CR207-Driver!$F$202)/(Driver!$G$202-Driver!$F$202)*$BI$1,1)</f>
        <v>4.8275862068965516</v>
      </c>
      <c r="BM207" s="67">
        <f>MAX((CH207-Driver!$F$204)/(Driver!$G$204-Driver!$F$204)*$BI$1,1)</f>
        <v>4.4444444444444446</v>
      </c>
      <c r="BN207" s="67">
        <f>(CI207-Driver!$F$205)/(Driver!$G$205-Driver!$F$205)*$BI$1</f>
        <v>5.8235294117647065</v>
      </c>
      <c r="BO207" s="67">
        <f>(CK207-Driver!$F$207)/(Driver!$G$207-Driver!$F$207)*$BI$1</f>
        <v>2.0682523267838677</v>
      </c>
      <c r="BP207" s="67">
        <f>(CM207-Driver!$F$208)/(Driver!$G$208-Driver!$F$208)*$BI$1</f>
        <v>1.9333333333333333</v>
      </c>
      <c r="BQ207" s="67">
        <f>(CL207-Driver!$F$209)/(Driver!$G$209-Driver!$F$209)*$BI$1</f>
        <v>2.65625</v>
      </c>
      <c r="BR207" s="28" t="s">
        <v>155</v>
      </c>
      <c r="BS207" s="8" t="s">
        <v>229</v>
      </c>
      <c r="BT207" s="9" t="s">
        <v>426</v>
      </c>
      <c r="BU207" s="10">
        <v>156</v>
      </c>
      <c r="BV207" s="9" t="s">
        <v>163</v>
      </c>
      <c r="BW207" s="10">
        <v>156</v>
      </c>
      <c r="BX207" s="10">
        <v>155.9</v>
      </c>
      <c r="BY207" s="10">
        <v>107</v>
      </c>
      <c r="BZ207" s="10">
        <v>133</v>
      </c>
      <c r="CA207" s="10">
        <v>139</v>
      </c>
      <c r="CB207" s="10">
        <v>101</v>
      </c>
      <c r="CC207" s="10">
        <v>123</v>
      </c>
      <c r="CD207" s="10">
        <v>14.1</v>
      </c>
      <c r="CE207" s="10">
        <v>1846</v>
      </c>
      <c r="CF207" s="10">
        <v>0.96</v>
      </c>
      <c r="CG207" s="10">
        <v>1763</v>
      </c>
      <c r="CH207" s="10">
        <v>205</v>
      </c>
      <c r="CI207" s="10">
        <v>132</v>
      </c>
      <c r="CJ207" s="10">
        <v>49</v>
      </c>
      <c r="CK207" s="10">
        <v>310</v>
      </c>
      <c r="CL207" s="10">
        <v>17</v>
      </c>
      <c r="CM207" s="10">
        <v>174</v>
      </c>
      <c r="CN207" s="10">
        <v>0.34</v>
      </c>
      <c r="CO207" s="10">
        <v>131</v>
      </c>
      <c r="CP207" s="10">
        <v>101</v>
      </c>
      <c r="CQ207" s="10">
        <v>178</v>
      </c>
      <c r="CR207" s="10">
        <v>3</v>
      </c>
      <c r="CS207" s="10">
        <v>11.4</v>
      </c>
      <c r="CT207" s="9" t="s">
        <v>188</v>
      </c>
      <c r="CU207" s="9" t="s">
        <v>178</v>
      </c>
      <c r="CV207" s="10"/>
      <c r="CW207" s="10"/>
      <c r="CX207" t="e">
        <f>INDEX('Data_Price '!AG$2:AG$1266,MATCH(Data!$DN207,'Data_Price '!$AT$2:$AT$1266,0))</f>
        <v>#N/A</v>
      </c>
      <c r="CY207" t="e">
        <f>INDEX('Data_Price '!AH$2:AH$1266,MATCH(Data!$DN207,'Data_Price '!$AT$2:$AT$1266,0))</f>
        <v>#N/A</v>
      </c>
      <c r="CZ207" t="e">
        <f>INDEX('Data_Price '!AI$2:AI$1266,MATCH(Data!$DN207,'Data_Price '!$AT$2:$AT$1266,0))</f>
        <v>#N/A</v>
      </c>
      <c r="DA207" t="e">
        <f>INDEX('Data_Price '!AJ$2:AJ$1266,MATCH(Data!$DN207,'Data_Price '!$AT$2:$AT$1266,0))</f>
        <v>#N/A</v>
      </c>
      <c r="DB207" t="e">
        <f>INDEX('Data_Price '!AK$2:AK$1266,MATCH(Data!$DN207,'Data_Price '!$AT$2:$AT$1266,0))</f>
        <v>#N/A</v>
      </c>
      <c r="DC207" t="e">
        <f>INDEX('Data_Price '!AL$2:AL$1266,MATCH(Data!$DN207,'Data_Price '!$AT$2:$AT$1266,0))</f>
        <v>#N/A</v>
      </c>
      <c r="DD207" t="e">
        <f>INDEX('Data_Price '!AM$2:AM$1266,MATCH(Data!$DN207,'Data_Price '!$AT$2:$AT$1266,0))</f>
        <v>#N/A</v>
      </c>
      <c r="DE207" t="e">
        <f>INDEX('Data_Price '!AN$2:AN$1266,MATCH(Data!$DN207,'Data_Price '!$AT$2:$AT$1266,0))</f>
        <v>#N/A</v>
      </c>
      <c r="DF207" t="e">
        <f>INDEX('Data_Price '!AO$2:AO$1266,MATCH(Data!$DN207,'Data_Price '!$AT$2:$AT$1266,0))</f>
        <v>#N/A</v>
      </c>
      <c r="DG207" t="e">
        <f>INDEX('Data_Price '!AP$2:AP$1266,MATCH(Data!$DN207,'Data_Price '!$AT$2:$AT$1266,0))</f>
        <v>#N/A</v>
      </c>
      <c r="DH207" t="e">
        <f>INDEX('Data_Price '!AQ$2:AQ$1266,MATCH(Data!$DN207,'Data_Price '!$AT$2:$AT$1266,0))</f>
        <v>#N/A</v>
      </c>
      <c r="DI207" t="e">
        <f>INDEX('Data_Price '!AR$2:AR$1266,MATCH(Data!$DN207,'Data_Price '!$AT$2:$AT$1266,0))</f>
        <v>#N/A</v>
      </c>
      <c r="DJ207" s="89" t="e">
        <f t="shared" si="143"/>
        <v>#N/A</v>
      </c>
      <c r="DK207" s="89" t="e">
        <f t="shared" si="144"/>
        <v>#N/A</v>
      </c>
      <c r="DL207" s="89" t="e">
        <f t="shared" si="145"/>
        <v>#N/A</v>
      </c>
      <c r="DM207" s="219" t="str">
        <f t="shared" si="146"/>
        <v>Secret 102</v>
      </c>
      <c r="DN207" s="89" t="str">
        <f t="shared" si="147"/>
        <v xml:space="preserve"> VölklSecret 102156 Women's</v>
      </c>
      <c r="DO207" s="221" t="s">
        <v>427</v>
      </c>
    </row>
    <row r="208" spans="1:119" ht="15.6" customHeight="1">
      <c r="B208" s="219" t="b">
        <f t="array" ref="B208">IF(OR(ISERROR(K208:P208)),FALSE,TRUE)</f>
        <v>1</v>
      </c>
      <c r="C208" s="43" t="b">
        <f>OR(BR208=Driver!$G$50,Data!BR58=Driver!$H$50)</f>
        <v>1</v>
      </c>
      <c r="D208" s="43" t="b">
        <f>OR(BV208=Driver!$G$51,BV208=Driver!$H$51)</f>
        <v>0</v>
      </c>
      <c r="E208" s="43" t="b">
        <f>AND(BX208&gt;Driver!$F$54,BX208&lt;Driver!$G$54)</f>
        <v>0</v>
      </c>
      <c r="F208" s="43" t="b">
        <f>CL208&gt;Driver!$F$56</f>
        <v>1</v>
      </c>
      <c r="G208" s="43" t="b">
        <f>AND(CB208&gt;Driver!$F$55,CB208&lt;Driver!$G$55)</f>
        <v>0</v>
      </c>
      <c r="H208" s="43" t="b">
        <f t="shared" si="111"/>
        <v>0</v>
      </c>
      <c r="I208" s="43">
        <f t="shared" si="112"/>
        <v>0</v>
      </c>
      <c r="J208" s="43" t="b">
        <f t="array" ref="J208">NOT(OR(($H$9:$H$1273=TRUE)*($I$9:$I$1273&gt;0)*($BT$9:$BT$1273=BT208)*($K$9:$K$1273&gt;K208)))</f>
        <v>1</v>
      </c>
      <c r="K208" s="72">
        <f t="shared" si="113"/>
        <v>0.85976240879860488</v>
      </c>
      <c r="L208" s="72">
        <f t="shared" si="114"/>
        <v>0.95059889705844847</v>
      </c>
      <c r="M208" s="72">
        <f t="shared" si="115"/>
        <v>0.7689259205387613</v>
      </c>
      <c r="N208" s="72">
        <f t="shared" si="116"/>
        <v>0.66325103443969757</v>
      </c>
      <c r="O208" s="72">
        <f t="shared" si="117"/>
        <v>0.68526320024682719</v>
      </c>
      <c r="P208" s="72">
        <f t="shared" si="118"/>
        <v>0.95826352692975925</v>
      </c>
      <c r="Q208" s="72"/>
      <c r="R208" s="72"/>
      <c r="S208" s="72">
        <f t="shared" si="119"/>
        <v>0.47462936356611229</v>
      </c>
      <c r="T208" s="72">
        <f t="shared" si="120"/>
        <v>0.50195317941510231</v>
      </c>
      <c r="U208" s="72">
        <f t="shared" si="121"/>
        <v>0.56342472344610062</v>
      </c>
      <c r="V208" s="72">
        <f t="shared" si="122"/>
        <v>0.52453262396073774</v>
      </c>
      <c r="W208" s="72">
        <f t="shared" si="123"/>
        <v>0.84523141261332058</v>
      </c>
      <c r="X208" s="72">
        <f t="shared" si="124"/>
        <v>4.9401102941551478E-2</v>
      </c>
      <c r="Y208" s="72">
        <f t="shared" si="125"/>
        <v>0.2310740794612387</v>
      </c>
      <c r="Z208" s="72">
        <f t="shared" si="126"/>
        <v>0.33674896556030248</v>
      </c>
      <c r="AA208" s="72">
        <f t="shared" si="127"/>
        <v>0.31473679975317281</v>
      </c>
      <c r="AB208" s="72">
        <f t="shared" si="128"/>
        <v>4.1736473070240754E-2</v>
      </c>
      <c r="AC208" s="72"/>
      <c r="AD208" s="72"/>
      <c r="AE208" s="72">
        <f t="shared" si="129"/>
        <v>0.52537063643388771</v>
      </c>
      <c r="AF208" s="72">
        <f t="shared" si="130"/>
        <v>0.49804682058489769</v>
      </c>
      <c r="AG208" s="72">
        <f t="shared" si="131"/>
        <v>0.43657527655389938</v>
      </c>
      <c r="AH208" s="72">
        <f t="shared" si="132"/>
        <v>0.4754673760392622</v>
      </c>
      <c r="AI208" s="72">
        <f t="shared" si="133"/>
        <v>0.15476858738667942</v>
      </c>
      <c r="AJ208" s="72">
        <f>(AV208-Driver!$K$179)/(Driver!$L$179-Driver!$K$179)</f>
        <v>0.20481830634114895</v>
      </c>
      <c r="AK208" s="72">
        <f>(AW208-Driver!$K$180)/(Driver!$L$180-Driver!$K$180)</f>
        <v>0.3099731825813733</v>
      </c>
      <c r="AL208" s="72">
        <f>(AX208-Driver!$K$181)/(Driver!$L$181-Driver!$K$181)</f>
        <v>0.43843672927338267</v>
      </c>
      <c r="AM208" s="72">
        <f>(AY208-Driver!$K$182)/(Driver!$L$182-Driver!$K$182)</f>
        <v>0.13264822134387352</v>
      </c>
      <c r="AN208" s="72">
        <f>(AZ208-Driver!$K$183)/(Driver!$L$183-Driver!$K$183)</f>
        <v>0.29595588235294118</v>
      </c>
      <c r="AO208" s="72"/>
      <c r="AP208" s="72"/>
      <c r="AQ208" s="72">
        <f>(BC208-Driver!$K$188)/(Driver!$L$188-Driver!$K$188)</f>
        <v>9.4629363566112276E-2</v>
      </c>
      <c r="AR208" s="72">
        <f>MIN((BD208-Driver!$K$189)/(Driver!$L$189-Driver!$K$189),100%)</f>
        <v>5.1953179415102385E-2</v>
      </c>
      <c r="AS208" s="72">
        <f>(BE208-Driver!$K$190)/(Driver!$L$190-Driver!$K$190)</f>
        <v>7.3424723446100626E-2</v>
      </c>
      <c r="AT208" s="72">
        <f>(BF208-Driver!$K$191)/(Driver!$L$191-Driver!$K$191)</f>
        <v>3.4532623960737786E-2</v>
      </c>
      <c r="AU208" s="72">
        <f>(BG208-Driver!$K$192)/(Driver!$L$192-Driver!$K$192)</f>
        <v>9.523141261332059E-2</v>
      </c>
      <c r="AV208" s="70">
        <f t="shared" si="134"/>
        <v>4.3108126441459769</v>
      </c>
      <c r="AW208" s="70">
        <f t="shared" si="135"/>
        <v>32.08152590582219</v>
      </c>
      <c r="AX208" s="70">
        <f t="shared" si="136"/>
        <v>4.9459305634604442</v>
      </c>
      <c r="AY208" s="70">
        <f>IFERROR(Driver!$K$19/Data!BH208/Data!BI208*Data!BK208*Data!BL208,"")</f>
        <v>0.16240100133419533</v>
      </c>
      <c r="AZ208" s="70">
        <f t="shared" si="137"/>
        <v>26.973194341027551</v>
      </c>
      <c r="BA208" s="70"/>
      <c r="BB208" s="70"/>
      <c r="BC208" s="70">
        <f t="shared" si="138"/>
        <v>49.084908734405225</v>
      </c>
      <c r="BD208" s="70">
        <f t="shared" si="139"/>
        <v>6.3185872067475799</v>
      </c>
      <c r="BE208" s="70">
        <f t="shared" si="140"/>
        <v>7.3590014046388874E-2</v>
      </c>
      <c r="BF208" s="70">
        <f t="shared" si="141"/>
        <v>3.9002172709514995</v>
      </c>
      <c r="BG208" s="70">
        <f t="shared" si="142"/>
        <v>0.36060687922759543</v>
      </c>
      <c r="BH208" s="67">
        <f>MAX((CE208-Driver!$F$200)/(Driver!$G$200-Driver!$F$200)*$BI$1,1)</f>
        <v>4.9459305634604442</v>
      </c>
      <c r="BI208" s="67">
        <f>MAX($BI$1*(BY208-Driver!$F$201)/(Driver!$G$201-Driver!$F$201),1)</f>
        <v>7.2784810126582276</v>
      </c>
      <c r="BJ208" s="67">
        <f>(CB208-Driver!$F$206)/(Driver!$G$206-Driver!$F$206)*$BI$1</f>
        <v>4.92063492063492</v>
      </c>
      <c r="BK208" s="67">
        <f>(CD208-Driver!$F$203)/(Driver!$G$203-Driver!$F$203)*$BI$1</f>
        <v>4.0366972477064227</v>
      </c>
      <c r="BL208" s="67">
        <f>MAX((CR208-Driver!$F$202)/(Driver!$G$202-Driver!$F$202)*$BI$1,1)</f>
        <v>7.2413793103448274</v>
      </c>
      <c r="BM208" s="67">
        <f>MAX((CH208-Driver!$F$204)/(Driver!$G$204-Driver!$F$204)*$BI$1,1)</f>
        <v>3.5042735042735043</v>
      </c>
      <c r="BN208" s="67">
        <f>(CI208-Driver!$F$205)/(Driver!$G$205-Driver!$F$205)*$BI$1</f>
        <v>3.7058823529411766</v>
      </c>
      <c r="BO208" s="67">
        <f>(CK208-Driver!$F$207)/(Driver!$G$207-Driver!$F$207)*$BI$1</f>
        <v>1.3029989658738366</v>
      </c>
      <c r="BP208" s="67">
        <f>(CM208-Driver!$F$208)/(Driver!$G$208-Driver!$F$208)*$BI$1</f>
        <v>2.4555555555555557</v>
      </c>
      <c r="BQ208" s="67">
        <f>(CL208-Driver!$F$209)/(Driver!$G$209-Driver!$F$209)*$BI$1</f>
        <v>6.25</v>
      </c>
      <c r="BR208" s="28" t="s">
        <v>155</v>
      </c>
      <c r="BS208" s="8" t="s">
        <v>182</v>
      </c>
      <c r="BT208" s="9" t="s">
        <v>428</v>
      </c>
      <c r="BU208" s="10">
        <v>170</v>
      </c>
      <c r="BV208" s="9" t="s">
        <v>163</v>
      </c>
      <c r="BW208" s="10">
        <v>170</v>
      </c>
      <c r="BX208" s="10">
        <v>168.4</v>
      </c>
      <c r="BY208" s="10">
        <v>123</v>
      </c>
      <c r="BZ208" s="10">
        <v>139</v>
      </c>
      <c r="CA208" s="10">
        <v>123</v>
      </c>
      <c r="CB208" s="10">
        <v>95</v>
      </c>
      <c r="CC208" s="10">
        <v>115</v>
      </c>
      <c r="CD208" s="10">
        <v>18.2</v>
      </c>
      <c r="CE208" s="10">
        <v>1769</v>
      </c>
      <c r="CF208" s="10">
        <v>0.99</v>
      </c>
      <c r="CG208" s="10">
        <v>1756</v>
      </c>
      <c r="CH208" s="10">
        <v>183</v>
      </c>
      <c r="CI208" s="10">
        <v>96</v>
      </c>
      <c r="CJ208" s="10">
        <v>47</v>
      </c>
      <c r="CK208" s="10">
        <v>236</v>
      </c>
      <c r="CL208" s="10">
        <v>40</v>
      </c>
      <c r="CM208" s="10">
        <v>221</v>
      </c>
      <c r="CN208" s="10">
        <v>0.86</v>
      </c>
      <c r="CO208" s="10">
        <v>141</v>
      </c>
      <c r="CP208" s="10">
        <v>152</v>
      </c>
      <c r="CQ208" s="10">
        <v>94</v>
      </c>
      <c r="CR208" s="10">
        <v>10</v>
      </c>
      <c r="CS208" s="10">
        <v>5</v>
      </c>
      <c r="CT208" s="9" t="s">
        <v>188</v>
      </c>
      <c r="CU208" s="9" t="s">
        <v>184</v>
      </c>
      <c r="CV208" s="10"/>
      <c r="CW208" s="10"/>
      <c r="CX208" t="str">
        <f>INDEX('Data_Price '!AG$2:AG$1266,MATCH(Data!$DN208,'Data_Price '!$AT$2:$AT$1266,0))</f>
        <v>Armada Women's ARW 86 Skis 170 cm</v>
      </c>
      <c r="CY208" t="str">
        <f>INDEX('Data_Price '!AH$2:AH$1266,MATCH(Data!$DN208,'Data_Price '!$AT$2:$AT$1266,0))</f>
        <v>! OutdoorXL.com</v>
      </c>
      <c r="CZ208">
        <f>INDEX('Data_Price '!AI$2:AI$1266,MATCH(Data!$DN208,'Data_Price '!$AT$2:$AT$1266,0))</f>
        <v>299.95</v>
      </c>
      <c r="DA208" t="str">
        <f>INDEX('Data_Price '!AJ$2:AJ$1266,MATCH(Data!$DN208,'Data_Price '!$AT$2:$AT$1266,0))</f>
        <v>https://tinyurl.com/yaamar2t</v>
      </c>
      <c r="DB208" t="str">
        <f>INDEX('Data_Price '!AK$2:AK$1266,MATCH(Data!$DN208,'Data_Price '!$AT$2:$AT$1266,0))</f>
        <v>Armada Women's ARW 86 Skis 170 cm</v>
      </c>
      <c r="DC208" t="str">
        <f>INDEX('Data_Price '!AL$2:AL$1266,MATCH(Data!$DN208,'Data_Price '!$AT$2:$AT$1266,0))</f>
        <v>evo.com</v>
      </c>
      <c r="DD208">
        <f>INDEX('Data_Price '!AM$2:AM$1266,MATCH(Data!$DN208,'Data_Price '!$AT$2:$AT$1266,0))</f>
        <v>319.95999999999998</v>
      </c>
      <c r="DE208" t="str">
        <f>INDEX('Data_Price '!AN$2:AN$1266,MATCH(Data!$DN208,'Data_Price '!$AT$2:$AT$1266,0))</f>
        <v>https://tinyurl.com/ycp8vp8y</v>
      </c>
      <c r="DF208" t="str">
        <f>INDEX('Data_Price '!AO$2:AO$1266,MATCH(Data!$DN208,'Data_Price '!$AT$2:$AT$1266,0))</f>
        <v>Armada Women's ARW 86 Skis 170 cm</v>
      </c>
      <c r="DG208" t="str">
        <f>INDEX('Data_Price '!AP$2:AP$1266,MATCH(Data!$DN208,'Data_Price '!$AT$2:$AT$1266,0))</f>
        <v>BlueZone Sports</v>
      </c>
      <c r="DH208">
        <f>INDEX('Data_Price '!AQ$2:AQ$1266,MATCH(Data!$DN208,'Data_Price '!$AT$2:$AT$1266,0))</f>
        <v>399.95</v>
      </c>
      <c r="DI208" t="str">
        <f>INDEX('Data_Price '!AR$2:AR$1266,MATCH(Data!$DN208,'Data_Price '!$AT$2:$AT$1266,0))</f>
        <v>https://tinyurl.com/yc2wahar</v>
      </c>
      <c r="DJ208" s="89" t="str">
        <f t="shared" si="143"/>
        <v>https://tinyurl.com/yaamar2t</v>
      </c>
      <c r="DK208" s="89" t="str">
        <f t="shared" si="144"/>
        <v>https://tinyurl.com/ycp8vp8y</v>
      </c>
      <c r="DL208" s="89" t="str">
        <f t="shared" si="145"/>
        <v>https://tinyurl.com/yc2wahar</v>
      </c>
      <c r="DM208" s="219" t="str">
        <f t="shared" si="146"/>
        <v>ARW 96</v>
      </c>
      <c r="DN208" s="89" t="str">
        <f t="shared" si="147"/>
        <v xml:space="preserve"> ArmadaARW 96170 Women's</v>
      </c>
      <c r="DO208" s="221" t="s">
        <v>429</v>
      </c>
    </row>
    <row r="209" spans="2:119" ht="15.6" customHeight="1">
      <c r="B209" s="219" t="b">
        <f t="array" ref="B209">IF(OR(ISERROR(K209:P209)),FALSE,TRUE)</f>
        <v>1</v>
      </c>
      <c r="C209" s="43" t="b">
        <f>OR(BR209=Driver!$G$50,Data!BR133=Driver!$H$50)</f>
        <v>1</v>
      </c>
      <c r="D209" s="43" t="b">
        <f>OR(BV209=Driver!$G$51,BV209=Driver!$H$51)</f>
        <v>1</v>
      </c>
      <c r="E209" s="43" t="b">
        <f>AND(BX209&gt;Driver!$F$54,BX209&lt;Driver!$G$54)</f>
        <v>0</v>
      </c>
      <c r="F209" s="43" t="b">
        <f>CL209&gt;Driver!$F$56</f>
        <v>1</v>
      </c>
      <c r="G209" s="43" t="b">
        <f>AND(CB209&gt;Driver!$F$55,CB209&lt;Driver!$G$55)</f>
        <v>0</v>
      </c>
      <c r="H209" s="43" t="b">
        <f t="shared" si="111"/>
        <v>0</v>
      </c>
      <c r="I209" s="43">
        <f t="shared" si="112"/>
        <v>0</v>
      </c>
      <c r="J209" s="43" t="b">
        <f t="array" ref="J209">NOT(OR(($H$9:$H$1273=TRUE)*($I$9:$I$1273&gt;0)*($BT$9:$BT$1273=BT209)*($K$9:$K$1273&gt;K209)))</f>
        <v>1</v>
      </c>
      <c r="K209" s="72">
        <f t="shared" si="113"/>
        <v>0.84496719413445609</v>
      </c>
      <c r="L209" s="72">
        <f t="shared" si="114"/>
        <v>0.95247096032612966</v>
      </c>
      <c r="M209" s="72">
        <f t="shared" si="115"/>
        <v>0.73746342794278252</v>
      </c>
      <c r="N209" s="72">
        <f t="shared" si="116"/>
        <v>0.66704538086352605</v>
      </c>
      <c r="O209" s="72">
        <f t="shared" si="117"/>
        <v>0.7061581734206831</v>
      </c>
      <c r="P209" s="72">
        <f t="shared" si="118"/>
        <v>0.83918672954413831</v>
      </c>
      <c r="Q209" s="72"/>
      <c r="R209" s="72"/>
      <c r="S209" s="72">
        <f t="shared" si="119"/>
        <v>0.52475899580126084</v>
      </c>
      <c r="T209" s="72">
        <f t="shared" si="120"/>
        <v>0.50798916841986719</v>
      </c>
      <c r="U209" s="72">
        <f t="shared" si="121"/>
        <v>0.6147999725682054</v>
      </c>
      <c r="V209" s="72">
        <f t="shared" si="122"/>
        <v>0.52389076440430926</v>
      </c>
      <c r="W209" s="72">
        <f t="shared" si="123"/>
        <v>0.79776751388873846</v>
      </c>
      <c r="X209" s="72">
        <f t="shared" si="124"/>
        <v>4.7529039673870288E-2</v>
      </c>
      <c r="Y209" s="72">
        <f t="shared" si="125"/>
        <v>0.26253657205721753</v>
      </c>
      <c r="Z209" s="72">
        <f t="shared" si="126"/>
        <v>0.33295461913647395</v>
      </c>
      <c r="AA209" s="72">
        <f t="shared" si="127"/>
        <v>0.2938418265793169</v>
      </c>
      <c r="AB209" s="72">
        <f t="shared" si="128"/>
        <v>0.16081327045586169</v>
      </c>
      <c r="AC209" s="72"/>
      <c r="AD209" s="72"/>
      <c r="AE209" s="72">
        <f t="shared" si="129"/>
        <v>0.47524100419873916</v>
      </c>
      <c r="AF209" s="72">
        <f t="shared" si="130"/>
        <v>0.49201083158013276</v>
      </c>
      <c r="AG209" s="72">
        <f t="shared" si="131"/>
        <v>0.3852000274317946</v>
      </c>
      <c r="AH209" s="72">
        <f t="shared" si="132"/>
        <v>0.47610923559569074</v>
      </c>
      <c r="AI209" s="72">
        <f t="shared" si="133"/>
        <v>0.20223248611126152</v>
      </c>
      <c r="AJ209" s="72">
        <f>(AV209-Driver!$K$179)/(Driver!$L$179-Driver!$K$179)</f>
        <v>0.30174844895657071</v>
      </c>
      <c r="AK209" s="72">
        <f>(AW209-Driver!$K$180)/(Driver!$L$180-Driver!$K$180)</f>
        <v>0.42124065830562285</v>
      </c>
      <c r="AL209" s="72">
        <f>(AX209-Driver!$K$181)/(Driver!$L$181-Driver!$K$181)</f>
        <v>0.43464238284955414</v>
      </c>
      <c r="AM209" s="72">
        <f>(AY209-Driver!$K$182)/(Driver!$L$182-Driver!$K$182)</f>
        <v>0.15354319451772946</v>
      </c>
      <c r="AN209" s="72">
        <f>(AZ209-Driver!$K$183)/(Driver!$L$183-Driver!$K$183)</f>
        <v>0.41503267973856212</v>
      </c>
      <c r="AO209" s="72"/>
      <c r="AP209" s="72"/>
      <c r="AQ209" s="72">
        <f>(BC209-Driver!$K$188)/(Driver!$L$188-Driver!$K$188)</f>
        <v>0.14475899580126084</v>
      </c>
      <c r="AR209" s="72">
        <f>MIN((BD209-Driver!$K$189)/(Driver!$L$189-Driver!$K$189),100%)</f>
        <v>5.798916841986728E-2</v>
      </c>
      <c r="AS209" s="72">
        <f>(BE209-Driver!$K$190)/(Driver!$L$190-Driver!$K$190)</f>
        <v>0.12479997256820544</v>
      </c>
      <c r="AT209" s="72">
        <f>(BF209-Driver!$K$191)/(Driver!$L$191-Driver!$K$191)</f>
        <v>3.3890764404309257E-2</v>
      </c>
      <c r="AU209" s="72">
        <f>(BG209-Driver!$K$192)/(Driver!$L$192-Driver!$K$192)</f>
        <v>4.7767513888738483E-2</v>
      </c>
      <c r="AV209" s="70">
        <f t="shared" si="134"/>
        <v>6.3509021842355171</v>
      </c>
      <c r="AW209" s="70">
        <f t="shared" si="135"/>
        <v>42.925527345282333</v>
      </c>
      <c r="AX209" s="70">
        <f t="shared" si="136"/>
        <v>4.9117814456459872</v>
      </c>
      <c r="AY209" s="70">
        <f>IFERROR(Driver!$K$19/Data!BH209/Data!BI209*Data!BK209*Data!BL209,"")</f>
        <v>0.18798268295726431</v>
      </c>
      <c r="AZ209" s="70">
        <f t="shared" si="137"/>
        <v>37.825763216679078</v>
      </c>
      <c r="BA209" s="70"/>
      <c r="BB209" s="70"/>
      <c r="BC209" s="70">
        <f t="shared" si="138"/>
        <v>75.087497470326241</v>
      </c>
      <c r="BD209" s="70">
        <f t="shared" si="139"/>
        <v>6.852761538529621</v>
      </c>
      <c r="BE209" s="70">
        <f t="shared" si="140"/>
        <v>0.12495609840230336</v>
      </c>
      <c r="BF209" s="70">
        <f t="shared" si="141"/>
        <v>3.8277237433714904</v>
      </c>
      <c r="BG209" s="70">
        <f t="shared" si="142"/>
        <v>0.18087827996231362</v>
      </c>
      <c r="BH209" s="67">
        <f>MAX((CE209-Driver!$F$200)/(Driver!$G$200-Driver!$F$200)*$BI$1,1)</f>
        <v>4.9117814456459872</v>
      </c>
      <c r="BI209" s="67">
        <f>MAX($BI$1*(BY209-Driver!$F$201)/(Driver!$G$201-Driver!$F$201),1)</f>
        <v>8.037974683544304</v>
      </c>
      <c r="BJ209" s="67">
        <f>(CB209-Driver!$F$206)/(Driver!$G$206-Driver!$F$206)*$BI$1</f>
        <v>5.5555555555555554</v>
      </c>
      <c r="BK209" s="67">
        <f>(CD209-Driver!$F$203)/(Driver!$G$203-Driver!$F$203)*$BI$1</f>
        <v>4.678899082568809</v>
      </c>
      <c r="BL209" s="67">
        <f>MAX((CR209-Driver!$F$202)/(Driver!$G$202-Driver!$F$202)*$BI$1,1)</f>
        <v>7.931034482758621</v>
      </c>
      <c r="BM209" s="67">
        <f>MAX((CH209-Driver!$F$204)/(Driver!$G$204-Driver!$F$204)*$BI$1,1)</f>
        <v>4.5726495726495724</v>
      </c>
      <c r="BN209" s="67">
        <f>(CI209-Driver!$F$205)/(Driver!$G$205-Driver!$F$205)*$BI$1</f>
        <v>4.7058823529411766</v>
      </c>
      <c r="BO209" s="67">
        <f>(CK209-Driver!$F$207)/(Driver!$G$207-Driver!$F$207)*$BI$1</f>
        <v>1.7269906928645296</v>
      </c>
      <c r="BP209" s="67">
        <f>(CM209-Driver!$F$208)/(Driver!$G$208-Driver!$F$208)*$BI$1</f>
        <v>1.8666666666666667</v>
      </c>
      <c r="BQ209" s="67">
        <f>(CL209-Driver!$F$209)/(Driver!$G$209-Driver!$F$209)*$BI$1</f>
        <v>4.0625</v>
      </c>
      <c r="BR209" s="28" t="s">
        <v>155</v>
      </c>
      <c r="BS209" s="8" t="s">
        <v>156</v>
      </c>
      <c r="BT209" s="9" t="s">
        <v>257</v>
      </c>
      <c r="BU209" s="10">
        <v>180</v>
      </c>
      <c r="BV209" s="9" t="s">
        <v>158</v>
      </c>
      <c r="BW209" s="10">
        <v>180</v>
      </c>
      <c r="BX209" s="10">
        <v>179.3</v>
      </c>
      <c r="BY209" s="10">
        <v>135</v>
      </c>
      <c r="BZ209" s="10">
        <v>146</v>
      </c>
      <c r="CA209" s="10">
        <v>129</v>
      </c>
      <c r="CB209" s="10">
        <v>99</v>
      </c>
      <c r="CC209" s="10">
        <v>119</v>
      </c>
      <c r="CD209" s="10">
        <v>19.600000000000001</v>
      </c>
      <c r="CE209" s="10">
        <v>1763</v>
      </c>
      <c r="CF209" s="10">
        <v>1.0900000000000001</v>
      </c>
      <c r="CG209" s="10">
        <v>1921</v>
      </c>
      <c r="CH209" s="10">
        <v>208</v>
      </c>
      <c r="CI209" s="10">
        <v>113</v>
      </c>
      <c r="CJ209" s="10">
        <v>45</v>
      </c>
      <c r="CK209" s="10">
        <v>277</v>
      </c>
      <c r="CL209" s="10">
        <v>26</v>
      </c>
      <c r="CM209" s="10">
        <v>168</v>
      </c>
      <c r="CN209" s="10">
        <v>0.58299999999999996</v>
      </c>
      <c r="CO209" s="10">
        <v>184</v>
      </c>
      <c r="CP209" s="10">
        <v>147</v>
      </c>
      <c r="CQ209" s="10">
        <v>94</v>
      </c>
      <c r="CR209" s="10">
        <v>12</v>
      </c>
      <c r="CS209" s="10">
        <v>8.1999999999999993</v>
      </c>
      <c r="CT209" s="9" t="s">
        <v>188</v>
      </c>
      <c r="CU209" s="9" t="s">
        <v>185</v>
      </c>
      <c r="CV209" s="10"/>
      <c r="CW209" s="10"/>
      <c r="CX209" t="str">
        <f>INDEX('Data_Price '!AG$2:AG$1266,MATCH(Data!$DN209,'Data_Price '!$AT$2:$AT$1266,0))</f>
        <v>Atomic Bent Chetler 100</v>
      </c>
      <c r="CY209" t="str">
        <f>INDEX('Data_Price '!AH$2:AH$1266,MATCH(Data!$DN209,'Data_Price '!$AT$2:$AT$1266,0))</f>
        <v>eBay - david110549</v>
      </c>
      <c r="CZ209">
        <f>INDEX('Data_Price '!AI$2:AI$1266,MATCH(Data!$DN209,'Data_Price '!$AT$2:$AT$1266,0))</f>
        <v>479.99</v>
      </c>
      <c r="DA209" t="str">
        <f>INDEX('Data_Price '!AJ$2:AJ$1266,MATCH(Data!$DN209,'Data_Price '!$AT$2:$AT$1266,0))</f>
        <v>https://tinyurl.com/y8kjntsf</v>
      </c>
      <c r="DB209" t="str">
        <f>INDEX('Data_Price '!AK$2:AK$1266,MATCH(Data!$DN209,'Data_Price '!$AT$2:$AT$1266,0))</f>
        <v>Atomic Bent Chetler 100</v>
      </c>
      <c r="DC209" t="str">
        <f>INDEX('Data_Price '!AL$2:AL$1266,MATCH(Data!$DN209,'Data_Price '!$AT$2:$AT$1266,0))</f>
        <v>Level Nine Sports</v>
      </c>
      <c r="DD209">
        <f>INDEX('Data_Price '!AM$2:AM$1266,MATCH(Data!$DN209,'Data_Price '!$AT$2:$AT$1266,0))</f>
        <v>479.99</v>
      </c>
      <c r="DE209" t="str">
        <f>INDEX('Data_Price '!AN$2:AN$1266,MATCH(Data!$DN209,'Data_Price '!$AT$2:$AT$1266,0))</f>
        <v>https://tinyurl.com/y7rstsbc</v>
      </c>
      <c r="DF209" t="str">
        <f>INDEX('Data_Price '!AO$2:AO$1266,MATCH(Data!$DN209,'Data_Price '!$AT$2:$AT$1266,0))</f>
        <v>Atomic Bent Chetler 100</v>
      </c>
      <c r="DG209" t="str">
        <f>INDEX('Data_Price '!AP$2:AP$1266,MATCH(Data!$DN209,'Data_Price '!$AT$2:$AT$1266,0))</f>
        <v>SkiEssentials.com</v>
      </c>
      <c r="DH209">
        <f>INDEX('Data_Price '!AQ$2:AQ$1266,MATCH(Data!$DN209,'Data_Price '!$AT$2:$AT$1266,0))</f>
        <v>479.99</v>
      </c>
      <c r="DI209" t="str">
        <f>INDEX('Data_Price '!AR$2:AR$1266,MATCH(Data!$DN209,'Data_Price '!$AT$2:$AT$1266,0))</f>
        <v>https://tinyurl.com/y8zt4gzh</v>
      </c>
      <c r="DJ209" s="89" t="str">
        <f t="shared" si="143"/>
        <v>https://tinyurl.com/y8kjntsf</v>
      </c>
      <c r="DK209" s="89" t="str">
        <f t="shared" si="144"/>
        <v>https://tinyurl.com/y7rstsbc</v>
      </c>
      <c r="DL209" s="89" t="str">
        <f t="shared" si="145"/>
        <v>https://tinyurl.com/y8zt4gzh</v>
      </c>
      <c r="DM209" s="219" t="str">
        <f t="shared" si="146"/>
        <v>Bent Chetler 100</v>
      </c>
      <c r="DN209" s="89" t="str">
        <f t="shared" si="147"/>
        <v xml:space="preserve"> AtomicBent Chetler 100180 Unisex</v>
      </c>
      <c r="DO209" s="221" t="s">
        <v>258</v>
      </c>
    </row>
    <row r="210" spans="2:119" ht="15.6" customHeight="1">
      <c r="B210" s="219" t="b">
        <f t="array" ref="B210">IF(OR(ISERROR(K210:P210)),FALSE,TRUE)</f>
        <v>1</v>
      </c>
      <c r="C210" s="43" t="b">
        <f>OR(BR210=Driver!$G$50,Data!BR615=Driver!$H$50)</f>
        <v>1</v>
      </c>
      <c r="D210" s="43" t="b">
        <f>OR(BV210=Driver!$G$51,BV210=Driver!$H$51)</f>
        <v>1</v>
      </c>
      <c r="E210" s="43" t="b">
        <f>AND(BX210&gt;Driver!$F$54,BX210&lt;Driver!$G$54)</f>
        <v>1</v>
      </c>
      <c r="F210" s="43" t="b">
        <f>CL210&gt;Driver!$F$56</f>
        <v>1</v>
      </c>
      <c r="G210" s="43" t="b">
        <f>AND(CB210&gt;Driver!$F$55,CB210&lt;Driver!$G$55)</f>
        <v>0</v>
      </c>
      <c r="H210" s="43" t="b">
        <f t="shared" si="111"/>
        <v>0</v>
      </c>
      <c r="I210" s="43">
        <f t="shared" si="112"/>
        <v>0</v>
      </c>
      <c r="J210" s="43" t="b">
        <f t="array" ref="J210">NOT(OR(($H$9:$H$1273=TRUE)*($I$9:$I$1273&gt;0)*($BT$9:$BT$1273=BT210)*($K$9:$K$1273&gt;K210)))</f>
        <v>1</v>
      </c>
      <c r="K210" s="72">
        <f t="shared" si="113"/>
        <v>0.84362144210444345</v>
      </c>
      <c r="L210" s="72">
        <f t="shared" si="114"/>
        <v>0.92102835479755096</v>
      </c>
      <c r="M210" s="72">
        <f t="shared" si="115"/>
        <v>0.76621452941133583</v>
      </c>
      <c r="N210" s="72">
        <f t="shared" si="116"/>
        <v>0.71763666651457259</v>
      </c>
      <c r="O210" s="72">
        <f t="shared" si="117"/>
        <v>0.60483417413939022</v>
      </c>
      <c r="P210" s="72">
        <f t="shared" si="118"/>
        <v>0.97617274758004469</v>
      </c>
      <c r="Q210" s="72"/>
      <c r="R210" s="72"/>
      <c r="S210" s="72">
        <f t="shared" si="119"/>
        <v>0.41542243405530832</v>
      </c>
      <c r="T210" s="72">
        <f t="shared" si="120"/>
        <v>0.59855431088747646</v>
      </c>
      <c r="U210" s="72">
        <f t="shared" si="121"/>
        <v>0.85421740591546547</v>
      </c>
      <c r="V210" s="72">
        <f t="shared" si="122"/>
        <v>0.52047432066536503</v>
      </c>
      <c r="W210" s="72">
        <f t="shared" si="123"/>
        <v>0.77739463601532566</v>
      </c>
      <c r="X210" s="72">
        <f t="shared" si="124"/>
        <v>7.8971645202449064E-2</v>
      </c>
      <c r="Y210" s="72">
        <f t="shared" si="125"/>
        <v>0.23378547058866417</v>
      </c>
      <c r="Z210" s="72">
        <f t="shared" si="126"/>
        <v>0.28236333348542741</v>
      </c>
      <c r="AA210" s="72">
        <f t="shared" si="127"/>
        <v>0.39516582586060978</v>
      </c>
      <c r="AB210" s="72">
        <f t="shared" si="128"/>
        <v>2.3827252419955341E-2</v>
      </c>
      <c r="AC210" s="72"/>
      <c r="AD210" s="72"/>
      <c r="AE210" s="72">
        <f t="shared" si="129"/>
        <v>0.58457756594469168</v>
      </c>
      <c r="AF210" s="72">
        <f t="shared" si="130"/>
        <v>0.40144568911252348</v>
      </c>
      <c r="AG210" s="72">
        <f t="shared" si="131"/>
        <v>0.14578259408453453</v>
      </c>
      <c r="AH210" s="72">
        <f t="shared" si="132"/>
        <v>0.47952567933463502</v>
      </c>
      <c r="AI210" s="72">
        <f t="shared" si="133"/>
        <v>0.22260536398467434</v>
      </c>
      <c r="AJ210" s="72">
        <f>(AV210-Driver!$K$179)/(Driver!$L$179-Driver!$K$179)</f>
        <v>0.17524776408025136</v>
      </c>
      <c r="AK210" s="72">
        <f>(AW210-Driver!$K$180)/(Driver!$L$180-Driver!$K$180)</f>
        <v>0.24262817259899333</v>
      </c>
      <c r="AL210" s="72">
        <f>(AX210-Driver!$K$181)/(Driver!$L$181-Driver!$K$181)</f>
        <v>0.38405109719850761</v>
      </c>
      <c r="AM210" s="72">
        <f>(AY210-Driver!$K$182)/(Driver!$L$182-Driver!$K$182)</f>
        <v>5.2219195236436595E-2</v>
      </c>
      <c r="AN210" s="72">
        <f>(AZ210-Driver!$K$183)/(Driver!$L$183-Driver!$K$183)</f>
        <v>0.23039215686274508</v>
      </c>
      <c r="AO210" s="72"/>
      <c r="AP210" s="72"/>
      <c r="AQ210" s="72">
        <f>(BC210-Driver!$K$188)/(Driver!$L$188-Driver!$K$188)</f>
        <v>3.5422434055308268E-2</v>
      </c>
      <c r="AR210" s="72">
        <f>MIN((BD210-Driver!$K$189)/(Driver!$L$189-Driver!$K$189),100%)</f>
        <v>0.14855431088747656</v>
      </c>
      <c r="AS210" s="72">
        <f>(BE210-Driver!$K$190)/(Driver!$L$190-Driver!$K$190)</f>
        <v>0.65578259408453454</v>
      </c>
      <c r="AT210" s="72">
        <f>(BF210-Driver!$K$191)/(Driver!$L$191-Driver!$K$191)</f>
        <v>3.0474320665364988E-2</v>
      </c>
      <c r="AU210" s="72">
        <f>(BG210-Driver!$K$192)/(Driver!$L$192-Driver!$K$192)</f>
        <v>2.7394636015325664E-2</v>
      </c>
      <c r="AV210" s="70">
        <f t="shared" si="134"/>
        <v>3.6884411884411881</v>
      </c>
      <c r="AW210" s="70">
        <f t="shared" si="135"/>
        <v>25.518157945545664</v>
      </c>
      <c r="AX210" s="70">
        <f t="shared" si="136"/>
        <v>4.4564598747865682</v>
      </c>
      <c r="AY210" s="70">
        <f>IFERROR(Driver!$K$19/Data!BH210/Data!BI210*Data!BK210*Data!BL210,"")</f>
        <v>6.3931875673467697E-2</v>
      </c>
      <c r="AZ210" s="70">
        <f t="shared" si="137"/>
        <v>20.997766195085628</v>
      </c>
      <c r="BA210" s="70"/>
      <c r="BB210" s="70"/>
      <c r="BC210" s="70">
        <f t="shared" si="138"/>
        <v>18.373862797254848</v>
      </c>
      <c r="BD210" s="70">
        <f t="shared" si="139"/>
        <v>14.867616174976213</v>
      </c>
      <c r="BE210" s="70">
        <f t="shared" si="140"/>
        <v>0.65584399859541798</v>
      </c>
      <c r="BF210" s="70">
        <f t="shared" si="141"/>
        <v>3.441860424933413</v>
      </c>
      <c r="BG210" s="70">
        <f t="shared" si="142"/>
        <v>0.10373356784251551</v>
      </c>
      <c r="BH210" s="67">
        <f>MAX((CE210-Driver!$F$200)/(Driver!$G$200-Driver!$F$200)*$BI$1,1)</f>
        <v>4.4564598747865682</v>
      </c>
      <c r="BI210" s="67">
        <f>MAX($BI$1*(BY210-Driver!$F$201)/(Driver!$G$201-Driver!$F$201),1)</f>
        <v>7.5949367088607591</v>
      </c>
      <c r="BJ210" s="67">
        <f>(CB210-Driver!$F$206)/(Driver!$G$206-Driver!$F$206)*$BI$1</f>
        <v>3.9682539682539679</v>
      </c>
      <c r="BK210" s="67">
        <f>(CD210-Driver!$F$203)/(Driver!$G$203-Driver!$F$203)*$BI$1</f>
        <v>1.7431192660550456</v>
      </c>
      <c r="BL210" s="67">
        <f>MAX((CR210-Driver!$F$202)/(Driver!$G$202-Driver!$F$202)*$BI$1,1)</f>
        <v>6.2068965517241379</v>
      </c>
      <c r="BM210" s="67">
        <f>MAX((CH210-Driver!$F$204)/(Driver!$G$204-Driver!$F$204)*$BI$1,1)</f>
        <v>3.7179487179487181</v>
      </c>
      <c r="BN210" s="67">
        <f>(CI210-Driver!$F$205)/(Driver!$G$205-Driver!$F$205)*$BI$1</f>
        <v>2.7647058823529411</v>
      </c>
      <c r="BO210" s="67">
        <f>(CK210-Driver!$F$207)/(Driver!$G$207-Driver!$F$207)*$BI$1</f>
        <v>1.0548086866597726</v>
      </c>
      <c r="BP210" s="67">
        <f>(CM210-Driver!$F$208)/(Driver!$G$208-Driver!$F$208)*$BI$1</f>
        <v>1.4333333333333333</v>
      </c>
      <c r="BQ210" s="67">
        <f>(CL210-Driver!$F$209)/(Driver!$G$209-Driver!$F$209)*$BI$1</f>
        <v>1.71875</v>
      </c>
      <c r="BR210" s="28" t="s">
        <v>155</v>
      </c>
      <c r="BS210" s="8" t="s">
        <v>167</v>
      </c>
      <c r="BT210" s="9" t="s">
        <v>430</v>
      </c>
      <c r="BU210" s="10">
        <v>163</v>
      </c>
      <c r="BV210" s="9" t="s">
        <v>158</v>
      </c>
      <c r="BW210" s="10">
        <v>163</v>
      </c>
      <c r="BX210" s="10">
        <v>162.4</v>
      </c>
      <c r="BY210" s="10">
        <v>128</v>
      </c>
      <c r="BZ210" s="10">
        <v>133</v>
      </c>
      <c r="CA210" s="10">
        <v>127</v>
      </c>
      <c r="CB210" s="10">
        <v>89</v>
      </c>
      <c r="CC210" s="10">
        <v>109</v>
      </c>
      <c r="CD210" s="10">
        <v>13.2</v>
      </c>
      <c r="CE210" s="10">
        <v>1683</v>
      </c>
      <c r="CF210" s="10">
        <v>0.98</v>
      </c>
      <c r="CG210" s="10">
        <v>1645</v>
      </c>
      <c r="CH210" s="10">
        <v>188</v>
      </c>
      <c r="CI210" s="10">
        <v>80</v>
      </c>
      <c r="CJ210" s="10">
        <v>46</v>
      </c>
      <c r="CK210" s="10">
        <v>212</v>
      </c>
      <c r="CL210" s="10">
        <v>11</v>
      </c>
      <c r="CM210" s="10">
        <v>129</v>
      </c>
      <c r="CN210" s="10">
        <v>0.23799999999999999</v>
      </c>
      <c r="CO210" s="10">
        <v>142</v>
      </c>
      <c r="CP210" s="10">
        <v>156</v>
      </c>
      <c r="CQ210" s="10">
        <v>70</v>
      </c>
      <c r="CR210" s="10">
        <v>7</v>
      </c>
      <c r="CS210" s="10">
        <v>11.5</v>
      </c>
      <c r="CT210" s="9" t="s">
        <v>188</v>
      </c>
      <c r="CU210" s="10"/>
      <c r="CV210" s="10"/>
      <c r="CW210" s="10"/>
      <c r="CX210" t="str">
        <f>INDEX('Data_Price '!AG$2:AG$1266,MATCH(Data!$DN210,'Data_Price '!$AT$2:$AT$1266,0))</f>
        <v>Head Kore 90 x Anthracite-Beige 163 Ski Men</v>
      </c>
      <c r="CY210" t="str">
        <f>INDEX('Data_Price '!AH$2:AH$1266,MATCH(Data!$DN210,'Data_Price '!$AT$2:$AT$1266,0))</f>
        <v>evo.com</v>
      </c>
      <c r="CZ210">
        <f>INDEX('Data_Price '!AI$2:AI$1266,MATCH(Data!$DN210,'Data_Price '!$AT$2:$AT$1266,0))</f>
        <v>409</v>
      </c>
      <c r="DA210" t="str">
        <f>INDEX('Data_Price '!AJ$2:AJ$1266,MATCH(Data!$DN210,'Data_Price '!$AT$2:$AT$1266,0))</f>
        <v>https://tinyurl.com/y788med6</v>
      </c>
      <c r="DB210" t="str">
        <f>INDEX('Data_Price '!AK$2:AK$1266,MATCH(Data!$DN210,'Data_Price '!$AT$2:$AT$1266,0))</f>
        <v>Head Kore 90 x Anthracite-Beige 163 Ski Men</v>
      </c>
      <c r="DC210" t="str">
        <f>INDEX('Data_Price '!AL$2:AL$1266,MATCH(Data!$DN210,'Data_Price '!$AT$2:$AT$1266,0))</f>
        <v>BobsSportsChalet.com</v>
      </c>
      <c r="DD210">
        <f>INDEX('Data_Price '!AM$2:AM$1266,MATCH(Data!$DN210,'Data_Price '!$AT$2:$AT$1266,0))</f>
        <v>549</v>
      </c>
      <c r="DE210" t="str">
        <f>INDEX('Data_Price '!AN$2:AN$1266,MATCH(Data!$DN210,'Data_Price '!$AT$2:$AT$1266,0))</f>
        <v>https://tinyurl.com/y7z42x4b</v>
      </c>
      <c r="DF210" t="str">
        <f>INDEX('Data_Price '!AO$2:AO$1266,MATCH(Data!$DN210,'Data_Price '!$AT$2:$AT$1266,0))</f>
        <v>Head Kore 90 x Anthracite-Beige 163 Ski Men</v>
      </c>
      <c r="DG210" t="str">
        <f>INDEX('Data_Price '!AP$2:AP$1266,MATCH(Data!$DN210,'Data_Price '!$AT$2:$AT$1266,0))</f>
        <v>BobWards.com</v>
      </c>
      <c r="DH210">
        <f>INDEX('Data_Price '!AQ$2:AQ$1266,MATCH(Data!$DN210,'Data_Price '!$AT$2:$AT$1266,0))</f>
        <v>549.99</v>
      </c>
      <c r="DI210" t="str">
        <f>INDEX('Data_Price '!AR$2:AR$1266,MATCH(Data!$DN210,'Data_Price '!$AT$2:$AT$1266,0))</f>
        <v>https://tinyurl.com/yceaatel</v>
      </c>
      <c r="DJ210" s="89" t="str">
        <f t="shared" si="143"/>
        <v>https://tinyurl.com/y788med6</v>
      </c>
      <c r="DK210" s="89" t="str">
        <f t="shared" si="144"/>
        <v>https://tinyurl.com/y7z42x4b</v>
      </c>
      <c r="DL210" s="89" t="str">
        <f t="shared" si="145"/>
        <v>https://tinyurl.com/yceaatel</v>
      </c>
      <c r="DM210" s="219" t="str">
        <f t="shared" si="146"/>
        <v>Kore 90 X</v>
      </c>
      <c r="DN210" s="89" t="str">
        <f t="shared" si="147"/>
        <v xml:space="preserve"> HeadKore 90 X163 Unisex</v>
      </c>
      <c r="DO210" s="221" t="s">
        <v>431</v>
      </c>
    </row>
    <row r="211" spans="2:119" ht="15.6" customHeight="1">
      <c r="B211" s="219" t="b">
        <f t="array" ref="B211">IF(OR(ISERROR(K211:P211)),FALSE,TRUE)</f>
        <v>1</v>
      </c>
      <c r="C211" s="43" t="b">
        <f>OR(BR211=Driver!$G$50,Data!BR348=Driver!$H$50)</f>
        <v>1</v>
      </c>
      <c r="D211" s="43" t="b">
        <f>OR(BV211=Driver!$G$51,BV211=Driver!$H$51)</f>
        <v>1</v>
      </c>
      <c r="E211" s="43" t="b">
        <f>AND(BX211&gt;Driver!$F$54,BX211&lt;Driver!$G$54)</f>
        <v>0</v>
      </c>
      <c r="F211" s="43" t="b">
        <f>CL211&gt;Driver!$F$56</f>
        <v>1</v>
      </c>
      <c r="G211" s="43" t="b">
        <f>AND(CB211&gt;Driver!$F$55,CB211&lt;Driver!$G$55)</f>
        <v>0</v>
      </c>
      <c r="H211" s="43" t="b">
        <f t="shared" si="111"/>
        <v>0</v>
      </c>
      <c r="I211" s="43">
        <f t="shared" si="112"/>
        <v>0</v>
      </c>
      <c r="J211" s="43" t="b">
        <f t="array" ref="J211">NOT(OR(($H$9:$H$1273=TRUE)*($I$9:$I$1273&gt;0)*($BT$9:$BT$1273=BT211)*($K$9:$K$1273&gt;K211)))</f>
        <v>1</v>
      </c>
      <c r="K211" s="72">
        <f t="shared" si="113"/>
        <v>0.87017966558660298</v>
      </c>
      <c r="L211" s="72">
        <f t="shared" si="114"/>
        <v>0.99759222372150469</v>
      </c>
      <c r="M211" s="72">
        <f t="shared" si="115"/>
        <v>0.74276710745170127</v>
      </c>
      <c r="N211" s="72">
        <f t="shared" si="116"/>
        <v>0.64807364874438356</v>
      </c>
      <c r="O211" s="72">
        <f t="shared" si="117"/>
        <v>0.68086937543913084</v>
      </c>
      <c r="P211" s="72">
        <f t="shared" si="118"/>
        <v>0.8993582981715893</v>
      </c>
      <c r="Q211" s="72"/>
      <c r="R211" s="72"/>
      <c r="S211" s="72">
        <f t="shared" si="119"/>
        <v>0.50134489313393082</v>
      </c>
      <c r="T211" s="72">
        <f t="shared" si="120"/>
        <v>0.48797423592844669</v>
      </c>
      <c r="U211" s="72">
        <f t="shared" si="121"/>
        <v>0.64027814794388227</v>
      </c>
      <c r="V211" s="72">
        <f t="shared" si="122"/>
        <v>0.52219303714723797</v>
      </c>
      <c r="W211" s="72">
        <f t="shared" si="123"/>
        <v>0.79384098544232917</v>
      </c>
      <c r="X211" s="72">
        <f t="shared" si="124"/>
        <v>2.407776278495255E-3</v>
      </c>
      <c r="Y211" s="72">
        <f t="shared" si="125"/>
        <v>0.25723289254829873</v>
      </c>
      <c r="Z211" s="72">
        <f t="shared" si="126"/>
        <v>0.35192635125561644</v>
      </c>
      <c r="AA211" s="72">
        <f t="shared" si="127"/>
        <v>0.3191306245608691</v>
      </c>
      <c r="AB211" s="72">
        <f t="shared" si="128"/>
        <v>0.10064170182841065</v>
      </c>
      <c r="AC211" s="72"/>
      <c r="AD211" s="72"/>
      <c r="AE211" s="72">
        <f t="shared" si="129"/>
        <v>0.49865510686606912</v>
      </c>
      <c r="AF211" s="72">
        <f t="shared" si="130"/>
        <v>0.51202576407155331</v>
      </c>
      <c r="AG211" s="72">
        <f t="shared" si="131"/>
        <v>0.35972185205611773</v>
      </c>
      <c r="AH211" s="72">
        <f t="shared" si="132"/>
        <v>0.47780696285276203</v>
      </c>
      <c r="AI211" s="72">
        <f t="shared" si="133"/>
        <v>0.20615901455767077</v>
      </c>
      <c r="AJ211" s="72">
        <f>(AV211-Driver!$K$179)/(Driver!$L$179-Driver!$K$179)</f>
        <v>0.25662718556119568</v>
      </c>
      <c r="AK211" s="72">
        <f>(AW211-Driver!$K$180)/(Driver!$L$180-Driver!$K$180)</f>
        <v>0.366405146578341</v>
      </c>
      <c r="AL211" s="72">
        <f>(AX211-Driver!$K$181)/(Driver!$L$181-Driver!$K$181)</f>
        <v>0.45361411496869664</v>
      </c>
      <c r="AM211" s="72">
        <f>(AY211-Driver!$K$182)/(Driver!$L$182-Driver!$K$182)</f>
        <v>0.12825439653617726</v>
      </c>
      <c r="AN211" s="72">
        <f>(AZ211-Driver!$K$183)/(Driver!$L$183-Driver!$K$183)</f>
        <v>0.35486111111111107</v>
      </c>
      <c r="AO211" s="72"/>
      <c r="AP211" s="72"/>
      <c r="AQ211" s="72">
        <f>(BC211-Driver!$K$188)/(Driver!$L$188-Driver!$K$188)</f>
        <v>0.12134489313393088</v>
      </c>
      <c r="AR211" s="72">
        <f>MIN((BD211-Driver!$K$189)/(Driver!$L$189-Driver!$K$189),100%)</f>
        <v>3.7974235928446731E-2</v>
      </c>
      <c r="AS211" s="72">
        <f>(BE211-Driver!$K$190)/(Driver!$L$190-Driver!$K$190)</f>
        <v>0.15027814794388225</v>
      </c>
      <c r="AT211" s="72">
        <f>(BF211-Driver!$K$191)/(Driver!$L$191-Driver!$K$191)</f>
        <v>3.2193037147237973E-2</v>
      </c>
      <c r="AU211" s="72">
        <f>(BG211-Driver!$K$192)/(Driver!$L$192-Driver!$K$192)</f>
        <v>4.3840985442329228E-2</v>
      </c>
      <c r="AV211" s="70">
        <f t="shared" si="134"/>
        <v>5.4012345679012341</v>
      </c>
      <c r="AW211" s="70">
        <f t="shared" si="135"/>
        <v>37.581320835395786</v>
      </c>
      <c r="AX211" s="70">
        <f t="shared" si="136"/>
        <v>5.0825270347182698</v>
      </c>
      <c r="AY211" s="70">
        <f>IFERROR(Driver!$K$19/Data!BH211/Data!BI211*Data!BK211*Data!BL211,"")</f>
        <v>0.15702164877878427</v>
      </c>
      <c r="AZ211" s="70">
        <f t="shared" si="137"/>
        <v>32.341772151898731</v>
      </c>
      <c r="BA211" s="70"/>
      <c r="BB211" s="70"/>
      <c r="BC211" s="70">
        <f t="shared" si="138"/>
        <v>62.942439644581185</v>
      </c>
      <c r="BD211" s="70">
        <f t="shared" si="139"/>
        <v>5.0814754774007405</v>
      </c>
      <c r="BE211" s="70">
        <f t="shared" si="140"/>
        <v>0.15042972875826222</v>
      </c>
      <c r="BF211" s="70">
        <f t="shared" si="141"/>
        <v>3.6359773768943029</v>
      </c>
      <c r="BG211" s="70">
        <f t="shared" si="142"/>
        <v>0.16600993840985445</v>
      </c>
      <c r="BH211" s="67">
        <f>MAX((CE211-Driver!$F$200)/(Driver!$G$200-Driver!$F$200)*$BI$1,1)</f>
        <v>5.0825270347182698</v>
      </c>
      <c r="BI211" s="67">
        <f>MAX($BI$1*(BY211-Driver!$F$201)/(Driver!$G$201-Driver!$F$201),1)</f>
        <v>7.5316455696202533</v>
      </c>
      <c r="BJ211" s="67">
        <f>(CB211-Driver!$F$206)/(Driver!$G$206-Driver!$F$206)*$BI$1</f>
        <v>5.5555555555555554</v>
      </c>
      <c r="BK211" s="67">
        <f>(CD211-Driver!$F$203)/(Driver!$G$203-Driver!$F$203)*$BI$1</f>
        <v>4.5871559633027523</v>
      </c>
      <c r="BL211" s="67">
        <f>MAX((CR211-Driver!$F$202)/(Driver!$G$202-Driver!$F$202)*$BI$1,1)</f>
        <v>6.5517241379310338</v>
      </c>
      <c r="BM211" s="67">
        <f>MAX((CH211-Driver!$F$204)/(Driver!$G$204-Driver!$F$204)*$BI$1,1)</f>
        <v>3.8888888888888888</v>
      </c>
      <c r="BN211" s="67">
        <f>(CI211-Driver!$F$205)/(Driver!$G$205-Driver!$F$205)*$BI$1</f>
        <v>4.2941176470588234</v>
      </c>
      <c r="BO211" s="67">
        <f>(CK211-Driver!$F$207)/(Driver!$G$207-Driver!$F$207)*$BI$1</f>
        <v>1.468459152016546</v>
      </c>
      <c r="BP211" s="67">
        <f>(CM211-Driver!$F$208)/(Driver!$G$208-Driver!$F$208)*$BI$1</f>
        <v>2.0444444444444447</v>
      </c>
      <c r="BQ211" s="67">
        <f>(CL211-Driver!$F$209)/(Driver!$G$209-Driver!$F$209)*$BI$1</f>
        <v>3.28125</v>
      </c>
      <c r="BR211" s="28" t="s">
        <v>155</v>
      </c>
      <c r="BS211" s="8" t="s">
        <v>218</v>
      </c>
      <c r="BT211" s="9" t="s">
        <v>254</v>
      </c>
      <c r="BU211" s="10">
        <v>171</v>
      </c>
      <c r="BV211" s="9" t="s">
        <v>158</v>
      </c>
      <c r="BW211" s="10">
        <v>171</v>
      </c>
      <c r="BX211" s="10">
        <v>170.9</v>
      </c>
      <c r="BY211" s="10">
        <v>127</v>
      </c>
      <c r="BZ211" s="10">
        <v>135</v>
      </c>
      <c r="CA211" s="10">
        <v>128</v>
      </c>
      <c r="CB211" s="10">
        <v>99</v>
      </c>
      <c r="CC211" s="10">
        <v>115</v>
      </c>
      <c r="CD211" s="10">
        <v>19.399999999999999</v>
      </c>
      <c r="CE211" s="10">
        <v>1793</v>
      </c>
      <c r="CF211" s="10">
        <v>1.03</v>
      </c>
      <c r="CG211" s="10">
        <v>1849</v>
      </c>
      <c r="CH211" s="10">
        <v>192</v>
      </c>
      <c r="CI211" s="10">
        <v>106</v>
      </c>
      <c r="CJ211" s="10">
        <v>43</v>
      </c>
      <c r="CK211" s="10">
        <v>252</v>
      </c>
      <c r="CL211" s="10">
        <v>21</v>
      </c>
      <c r="CM211" s="10">
        <v>184</v>
      </c>
      <c r="CN211" s="10">
        <v>0.48799999999999999</v>
      </c>
      <c r="CO211" s="10">
        <v>185</v>
      </c>
      <c r="CP211" s="10">
        <v>176</v>
      </c>
      <c r="CQ211" s="10">
        <v>67</v>
      </c>
      <c r="CR211" s="10">
        <v>8</v>
      </c>
      <c r="CS211" s="10">
        <v>10.4</v>
      </c>
      <c r="CT211" s="9" t="s">
        <v>188</v>
      </c>
      <c r="CU211" s="10"/>
      <c r="CV211" s="10"/>
      <c r="CW211" s="10"/>
      <c r="CX211" t="str">
        <f>INDEX('Data_Price '!AG$2:AG$1266,MATCH(Data!$DN211,'Data_Price '!$AT$2:$AT$1266,0))</f>
        <v>DPS Pagoda Piste 100 C2 Ski 171 / Pinot</v>
      </c>
      <c r="CY211" t="str">
        <f>INDEX('Data_Price '!AH$2:AH$1266,MATCH(Data!$DN211,'Data_Price '!$AT$2:$AT$1266,0))</f>
        <v>Cripple Creek Backcountry</v>
      </c>
      <c r="CZ211">
        <f>INDEX('Data_Price '!AI$2:AI$1266,MATCH(Data!$DN211,'Data_Price '!$AT$2:$AT$1266,0))</f>
        <v>1029</v>
      </c>
      <c r="DA211" t="str">
        <f>INDEX('Data_Price '!AJ$2:AJ$1266,MATCH(Data!$DN211,'Data_Price '!$AT$2:$AT$1266,0))</f>
        <v>https://tinyurl.com/y7k3gsqa</v>
      </c>
      <c r="DB211" t="str">
        <f>INDEX('Data_Price '!AK$2:AK$1266,MATCH(Data!$DN211,'Data_Price '!$AT$2:$AT$1266,0))</f>
        <v>DPS Skis Pagoda Piste 100 C2 Ski - 2022 Pinot, 171cm</v>
      </c>
      <c r="DC211" t="str">
        <f>INDEX('Data_Price '!AL$2:AL$1266,MATCH(Data!$DN211,'Data_Price '!$AT$2:$AT$1266,0))</f>
        <v>SkiEssentials.com</v>
      </c>
      <c r="DD211">
        <f>INDEX('Data_Price '!AM$2:AM$1266,MATCH(Data!$DN211,'Data_Price '!$AT$2:$AT$1266,0))</f>
        <v>1039</v>
      </c>
      <c r="DE211" t="str">
        <f>INDEX('Data_Price '!AN$2:AN$1266,MATCH(Data!$DN211,'Data_Price '!$AT$2:$AT$1266,0))</f>
        <v>https://tinyurl.com/ybgnk3cp</v>
      </c>
      <c r="DF211" t="str">
        <f>INDEX('Data_Price '!AO$2:AO$1266,MATCH(Data!$DN211,'Data_Price '!$AT$2:$AT$1266,0))</f>
        <v>DPS Skis Pagoda Piste 100 C2 Ski - 2022 Pinot, 171cm</v>
      </c>
      <c r="DG211" t="str">
        <f>INDEX('Data_Price '!AP$2:AP$1266,MATCH(Data!$DN211,'Data_Price '!$AT$2:$AT$1266,0))</f>
        <v>Backcountry.com</v>
      </c>
      <c r="DH211">
        <f>INDEX('Data_Price '!AQ$2:AQ$1266,MATCH(Data!$DN211,'Data_Price '!$AT$2:$AT$1266,0))</f>
        <v>1039.2</v>
      </c>
      <c r="DI211" t="str">
        <f>INDEX('Data_Price '!AR$2:AR$1266,MATCH(Data!$DN211,'Data_Price '!$AT$2:$AT$1266,0))</f>
        <v>https://tinyurl.com/yd85a3fo</v>
      </c>
      <c r="DJ211" s="89" t="str">
        <f t="shared" si="143"/>
        <v>https://tinyurl.com/y7k3gsqa</v>
      </c>
      <c r="DK211" s="89" t="str">
        <f t="shared" si="144"/>
        <v>https://tinyurl.com/ybgnk3cp</v>
      </c>
      <c r="DL211" s="89" t="str">
        <f t="shared" si="145"/>
        <v>https://tinyurl.com/yd85a3fo</v>
      </c>
      <c r="DM211" s="219" t="str">
        <f t="shared" si="146"/>
        <v>Pagoda Piste 100 C2</v>
      </c>
      <c r="DN211" s="89" t="str">
        <f t="shared" si="147"/>
        <v xml:space="preserve"> DPSPagoda Piste 100 C2171 Unisex</v>
      </c>
      <c r="DO211" s="221"/>
    </row>
    <row r="212" spans="2:119" ht="15.6" customHeight="1">
      <c r="B212" s="219" t="b">
        <f t="array" ref="B212">IF(OR(ISERROR(K212:P212)),FALSE,TRUE)</f>
        <v>1</v>
      </c>
      <c r="C212" s="43" t="b">
        <f>OR(BR212=Driver!$G$50,Data!BR321=Driver!$H$50)</f>
        <v>1</v>
      </c>
      <c r="D212" s="43" t="b">
        <f>OR(BV212=Driver!$G$51,BV212=Driver!$H$51)</f>
        <v>1</v>
      </c>
      <c r="E212" s="43" t="b">
        <f>AND(BX212&gt;Driver!$F$54,BX212&lt;Driver!$G$54)</f>
        <v>0</v>
      </c>
      <c r="F212" s="43" t="b">
        <f>CL212&gt;Driver!$F$56</f>
        <v>1</v>
      </c>
      <c r="G212" s="43" t="b">
        <f>AND(CB212&gt;Driver!$F$55,CB212&lt;Driver!$G$55)</f>
        <v>1</v>
      </c>
      <c r="H212" s="43" t="b">
        <f t="shared" si="111"/>
        <v>0</v>
      </c>
      <c r="I212" s="43">
        <f t="shared" si="112"/>
        <v>1</v>
      </c>
      <c r="J212" s="43" t="b">
        <f t="array" ref="J212">NOT(OR(($H$9:$H$1273=TRUE)*($I$9:$I$1273&gt;0)*($BT$9:$BT$1273=BT212)*($K$9:$K$1273&gt;K212)))</f>
        <v>0</v>
      </c>
      <c r="K212" s="72">
        <f t="shared" si="113"/>
        <v>0.77020412180579112</v>
      </c>
      <c r="L212" s="72">
        <f t="shared" si="114"/>
        <v>0.72565603807973544</v>
      </c>
      <c r="M212" s="72">
        <f t="shared" si="115"/>
        <v>0.81475220553184691</v>
      </c>
      <c r="N212" s="72">
        <f t="shared" si="116"/>
        <v>0.74166752719881979</v>
      </c>
      <c r="O212" s="72">
        <f t="shared" si="117"/>
        <v>0.74722588926434741</v>
      </c>
      <c r="P212" s="72">
        <f t="shared" si="118"/>
        <v>0.95536320013237364</v>
      </c>
      <c r="Q212" s="72"/>
      <c r="R212" s="72"/>
      <c r="S212" s="72">
        <f t="shared" si="119"/>
        <v>0.53199402983643163</v>
      </c>
      <c r="T212" s="72">
        <f t="shared" si="120"/>
        <v>0.4680621795199611</v>
      </c>
      <c r="U212" s="72">
        <f t="shared" si="121"/>
        <v>0.56529489496810825</v>
      </c>
      <c r="V212" s="72">
        <f t="shared" si="122"/>
        <v>0.54233609835705576</v>
      </c>
      <c r="W212" s="72">
        <f t="shared" si="123"/>
        <v>0.78054755279096422</v>
      </c>
      <c r="X212" s="72">
        <f t="shared" si="124"/>
        <v>0.27434396192026461</v>
      </c>
      <c r="Y212" s="72">
        <f t="shared" si="125"/>
        <v>0.18524779446815307</v>
      </c>
      <c r="Z212" s="72">
        <f t="shared" si="126"/>
        <v>0.25833247280118021</v>
      </c>
      <c r="AA212" s="72">
        <f t="shared" si="127"/>
        <v>0.25277411073565259</v>
      </c>
      <c r="AB212" s="72">
        <f t="shared" si="128"/>
        <v>4.4636799867626364E-2</v>
      </c>
      <c r="AC212" s="72"/>
      <c r="AD212" s="72"/>
      <c r="AE212" s="72">
        <f t="shared" si="129"/>
        <v>0.46800597016356837</v>
      </c>
      <c r="AF212" s="72">
        <f t="shared" si="130"/>
        <v>0.5319378204800389</v>
      </c>
      <c r="AG212" s="72">
        <f t="shared" si="131"/>
        <v>0.43470510503189169</v>
      </c>
      <c r="AH212" s="72">
        <f t="shared" si="132"/>
        <v>0.45766390164294418</v>
      </c>
      <c r="AI212" s="72">
        <f t="shared" si="133"/>
        <v>0.21945244720903584</v>
      </c>
      <c r="AJ212" s="72">
        <f>(AV212-Driver!$K$179)/(Driver!$L$179-Driver!$K$179)</f>
        <v>0.52856337120296504</v>
      </c>
      <c r="AK212" s="72">
        <f>(AW212-Driver!$K$180)/(Driver!$L$180-Driver!$K$180)</f>
        <v>0.30622232780349357</v>
      </c>
      <c r="AL212" s="72">
        <f>(AX212-Driver!$K$181)/(Driver!$L$181-Driver!$K$181)</f>
        <v>0.36002023651426041</v>
      </c>
      <c r="AM212" s="72">
        <f>(AY212-Driver!$K$182)/(Driver!$L$182-Driver!$K$182)</f>
        <v>0.19461091036139377</v>
      </c>
      <c r="AN212" s="72">
        <f>(AZ212-Driver!$K$183)/(Driver!$L$183-Driver!$K$183)</f>
        <v>0.29885620915032679</v>
      </c>
      <c r="AO212" s="72"/>
      <c r="AP212" s="72"/>
      <c r="AQ212" s="72">
        <f>(BC212-Driver!$K$188)/(Driver!$L$188-Driver!$K$188)</f>
        <v>0.15199402983643159</v>
      </c>
      <c r="AR212" s="72">
        <f>MIN((BD212-Driver!$K$189)/(Driver!$L$189-Driver!$K$189),100%)</f>
        <v>1.8062179519961134E-2</v>
      </c>
      <c r="AS212" s="72">
        <f>(BE212-Driver!$K$190)/(Driver!$L$190-Driver!$K$190)</f>
        <v>7.5294894968108317E-2</v>
      </c>
      <c r="AT212" s="72">
        <f>(BF212-Driver!$K$191)/(Driver!$L$191-Driver!$K$191)</f>
        <v>5.2336098357055848E-2</v>
      </c>
      <c r="AU212" s="72">
        <f>(BG212-Driver!$K$192)/(Driver!$L$192-Driver!$K$192)</f>
        <v>3.054755279096415E-2</v>
      </c>
      <c r="AV212" s="70">
        <f t="shared" si="134"/>
        <v>11.124677791344457</v>
      </c>
      <c r="AW212" s="70">
        <f t="shared" si="135"/>
        <v>31.715971871763436</v>
      </c>
      <c r="AX212" s="70">
        <f t="shared" si="136"/>
        <v>4.2401821286283434</v>
      </c>
      <c r="AY212" s="70">
        <f>IFERROR(Driver!$K$19/Data!BH212/Data!BI212*Data!BK212*Data!BL212,"")</f>
        <v>0.23826182057366416</v>
      </c>
      <c r="AZ212" s="70">
        <f t="shared" si="137"/>
        <v>27.23752792256143</v>
      </c>
      <c r="BA212" s="70"/>
      <c r="BB212" s="70"/>
      <c r="BC212" s="70">
        <f t="shared" si="138"/>
        <v>78.840359921509915</v>
      </c>
      <c r="BD212" s="70">
        <f t="shared" si="139"/>
        <v>3.3192937673259713</v>
      </c>
      <c r="BE212" s="70">
        <f t="shared" si="140"/>
        <v>7.5459851950846715E-2</v>
      </c>
      <c r="BF212" s="70">
        <f t="shared" si="141"/>
        <v>5.9109946275291545</v>
      </c>
      <c r="BG212" s="70">
        <f t="shared" si="142"/>
        <v>0.11567252209854315</v>
      </c>
      <c r="BH212" s="67">
        <f>MAX((CE212-Driver!$F$200)/(Driver!$G$200-Driver!$F$200)*$BI$1,1)</f>
        <v>4.2401821286283434</v>
      </c>
      <c r="BI212" s="67">
        <f>MAX($BI$1*(BY212-Driver!$F$201)/(Driver!$G$201-Driver!$F$201),1)</f>
        <v>7.4683544303797467</v>
      </c>
      <c r="BJ212" s="67">
        <f>(CB212-Driver!$F$206)/(Driver!$G$206-Driver!$F$206)*$BI$1</f>
        <v>6.3492063492063489</v>
      </c>
      <c r="BK212" s="67">
        <f>(CD212-Driver!$F$203)/(Driver!$G$203-Driver!$F$203)*$BI$1</f>
        <v>7.2935779816513771</v>
      </c>
      <c r="BL212" s="67">
        <f>MAX((CR212-Driver!$F$202)/(Driver!$G$202-Driver!$F$202)*$BI$1,1)</f>
        <v>5.1724137931034484</v>
      </c>
      <c r="BM212" s="67">
        <f>MAX((CH212-Driver!$F$204)/(Driver!$G$204-Driver!$F$204)*$BI$1,1)</f>
        <v>7.0085470085470085</v>
      </c>
      <c r="BN212" s="67">
        <f>(CI212-Driver!$F$205)/(Driver!$G$205-Driver!$F$205)*$BI$1</f>
        <v>3.6470588235294117</v>
      </c>
      <c r="BO212" s="67">
        <f>(CK212-Driver!$F$207)/(Driver!$G$207-Driver!$F$207)*$BI$1</f>
        <v>2.3061013443640124</v>
      </c>
      <c r="BP212" s="67">
        <f>(CM212-Driver!$F$208)/(Driver!$G$208-Driver!$F$208)*$BI$1</f>
        <v>2.9444444444444446</v>
      </c>
      <c r="BQ212" s="67">
        <f>(CL212-Driver!$F$209)/(Driver!$G$209-Driver!$F$209)*$BI$1</f>
        <v>3.4375</v>
      </c>
      <c r="BR212" s="28" t="s">
        <v>155</v>
      </c>
      <c r="BS212" s="8" t="s">
        <v>317</v>
      </c>
      <c r="BT212" s="9" t="s">
        <v>432</v>
      </c>
      <c r="BU212" s="10">
        <v>188</v>
      </c>
      <c r="BV212" s="9" t="s">
        <v>158</v>
      </c>
      <c r="BW212" s="10">
        <v>188</v>
      </c>
      <c r="BX212" s="10">
        <v>185.8</v>
      </c>
      <c r="BY212" s="10">
        <v>126</v>
      </c>
      <c r="BZ212" s="10">
        <v>155</v>
      </c>
      <c r="CA212" s="10">
        <v>133</v>
      </c>
      <c r="CB212" s="10">
        <v>104</v>
      </c>
      <c r="CC212" s="10">
        <v>119</v>
      </c>
      <c r="CD212" s="10">
        <v>25.3</v>
      </c>
      <c r="CE212" s="10">
        <v>1645</v>
      </c>
      <c r="CF212" s="10">
        <v>1.27</v>
      </c>
      <c r="CG212" s="10">
        <v>2096</v>
      </c>
      <c r="CH212" s="10">
        <v>265</v>
      </c>
      <c r="CI212" s="10">
        <v>95</v>
      </c>
      <c r="CJ212" s="10">
        <v>52</v>
      </c>
      <c r="CK212" s="10">
        <v>333</v>
      </c>
      <c r="CL212" s="10">
        <v>22</v>
      </c>
      <c r="CM212" s="10">
        <v>265</v>
      </c>
      <c r="CN212" s="10">
        <v>0.42499999999999999</v>
      </c>
      <c r="CO212" s="10">
        <v>160</v>
      </c>
      <c r="CP212" s="10">
        <v>145</v>
      </c>
      <c r="CQ212" s="10">
        <v>173</v>
      </c>
      <c r="CR212" s="10">
        <v>4</v>
      </c>
      <c r="CS212" s="10">
        <v>9.6</v>
      </c>
      <c r="CT212" s="9" t="s">
        <v>188</v>
      </c>
      <c r="CU212" s="9" t="s">
        <v>169</v>
      </c>
      <c r="CV212" s="9" t="s">
        <v>185</v>
      </c>
      <c r="CW212" s="9" t="s">
        <v>198</v>
      </c>
      <c r="CX212" t="str">
        <f>INDEX('Data_Price '!AG$2:AG$1266,MATCH(Data!$DN212,'Data_Price '!$AT$2:$AT$1266,0))</f>
        <v>Blizzard Zero G 105 20/21</v>
      </c>
      <c r="CY212" t="str">
        <f>INDEX('Data_Price '!AH$2:AH$1266,MATCH(Data!$DN212,'Data_Price '!$AT$2:$AT$1266,0))</f>
        <v>AlpinStore</v>
      </c>
      <c r="CZ212">
        <f>INDEX('Data_Price '!AI$2:AI$1266,MATCH(Data!$DN212,'Data_Price '!$AT$2:$AT$1266,0))</f>
        <v>555.33000000000004</v>
      </c>
      <c r="DA212" t="str">
        <f>INDEX('Data_Price '!AJ$2:AJ$1266,MATCH(Data!$DN212,'Data_Price '!$AT$2:$AT$1266,0))</f>
        <v>https://tinyurl.com/y8f64jo2</v>
      </c>
      <c r="DB212" t="str">
        <f>INDEX('Data_Price '!AK$2:AK$1266,MATCH(Data!$DN212,'Data_Price '!$AT$2:$AT$1266,0))</f>
        <v>Blizzard Zero G 105 Ski</v>
      </c>
      <c r="DC212" t="str">
        <f>INDEX('Data_Price '!AL$2:AL$1266,MATCH(Data!$DN212,'Data_Price '!$AT$2:$AT$1266,0))</f>
        <v>SkiEssentials.com</v>
      </c>
      <c r="DD212">
        <f>INDEX('Data_Price '!AM$2:AM$1266,MATCH(Data!$DN212,'Data_Price '!$AT$2:$AT$1266,0))</f>
        <v>639.95000000000005</v>
      </c>
      <c r="DE212" t="str">
        <f>INDEX('Data_Price '!AN$2:AN$1266,MATCH(Data!$DN212,'Data_Price '!$AT$2:$AT$1266,0))</f>
        <v>https://tinyurl.com/y9lklslm</v>
      </c>
      <c r="DF212" t="str">
        <f>INDEX('Data_Price '!AO$2:AO$1266,MATCH(Data!$DN212,'Data_Price '!$AT$2:$AT$1266,0))</f>
        <v>Blizzard Zero G 105 Ski</v>
      </c>
      <c r="DG212" t="str">
        <f>INDEX('Data_Price '!AP$2:AP$1266,MATCH(Data!$DN212,'Data_Price '!$AT$2:$AT$1266,0))</f>
        <v>AlpineShopVT.com</v>
      </c>
      <c r="DH212">
        <f>INDEX('Data_Price '!AQ$2:AQ$1266,MATCH(Data!$DN212,'Data_Price '!$AT$2:$AT$1266,0))</f>
        <v>639.95000000000005</v>
      </c>
      <c r="DI212" t="str">
        <f>INDEX('Data_Price '!AR$2:AR$1266,MATCH(Data!$DN212,'Data_Price '!$AT$2:$AT$1266,0))</f>
        <v>https://tinyurl.com/y8ayccr8</v>
      </c>
      <c r="DJ212" s="89" t="str">
        <f t="shared" si="143"/>
        <v>https://tinyurl.com/y8f64jo2</v>
      </c>
      <c r="DK212" s="89" t="str">
        <f t="shared" si="144"/>
        <v>https://tinyurl.com/y9lklslm</v>
      </c>
      <c r="DL212" s="89" t="str">
        <f t="shared" si="145"/>
        <v>https://tinyurl.com/y8ayccr8</v>
      </c>
      <c r="DM212" s="219" t="str">
        <f t="shared" si="146"/>
        <v>Zero G 105</v>
      </c>
      <c r="DN212" s="89" t="str">
        <f t="shared" si="147"/>
        <v xml:space="preserve"> BlizzardZero G 105188 Unisex</v>
      </c>
      <c r="DO212" s="221" t="s">
        <v>433</v>
      </c>
    </row>
    <row r="213" spans="2:119" ht="15.6" customHeight="1">
      <c r="B213" s="219" t="b">
        <f t="array" ref="B213">IF(OR(ISERROR(K213:P213)),FALSE,TRUE)</f>
        <v>1</v>
      </c>
      <c r="C213" s="43" t="b">
        <f>OR(BR213=Driver!$G$50,Data!BR623=Driver!$H$50)</f>
        <v>1</v>
      </c>
      <c r="D213" s="43" t="b">
        <f>OR(BV213=Driver!$G$51,BV213=Driver!$H$51)</f>
        <v>1</v>
      </c>
      <c r="E213" s="43" t="b">
        <f>AND(BX213&gt;Driver!$F$54,BX213&lt;Driver!$G$54)</f>
        <v>0</v>
      </c>
      <c r="F213" s="43" t="b">
        <f>CL213&gt;Driver!$F$56</f>
        <v>1</v>
      </c>
      <c r="G213" s="43" t="b">
        <f>AND(CB213&gt;Driver!$F$55,CB213&lt;Driver!$G$55)</f>
        <v>0</v>
      </c>
      <c r="H213" s="43" t="b">
        <f t="shared" si="111"/>
        <v>0</v>
      </c>
      <c r="I213" s="43">
        <f t="shared" si="112"/>
        <v>0</v>
      </c>
      <c r="J213" s="43" t="b">
        <f t="array" ref="J213">NOT(OR(($H$9:$H$1273=TRUE)*($I$9:$I$1273&gt;0)*($BT$9:$BT$1273=BT213)*($K$9:$K$1273&gt;K213)))</f>
        <v>1</v>
      </c>
      <c r="K213" s="72">
        <f t="shared" si="113"/>
        <v>0.81428343262570446</v>
      </c>
      <c r="L213" s="72">
        <f t="shared" si="114"/>
        <v>0.90227355479877491</v>
      </c>
      <c r="M213" s="72">
        <f t="shared" si="115"/>
        <v>0.72629331045263412</v>
      </c>
      <c r="N213" s="72">
        <f t="shared" si="116"/>
        <v>0.73218166113924854</v>
      </c>
      <c r="O213" s="72">
        <f t="shared" si="117"/>
        <v>0.64917820734118203</v>
      </c>
      <c r="P213" s="72">
        <f t="shared" si="118"/>
        <v>0.79752006287747168</v>
      </c>
      <c r="Q213" s="72"/>
      <c r="R213" s="72"/>
      <c r="S213" s="72">
        <f t="shared" si="119"/>
        <v>0.50222119681013988</v>
      </c>
      <c r="T213" s="72">
        <f t="shared" si="120"/>
        <v>0.58014873185279359</v>
      </c>
      <c r="U213" s="72">
        <f t="shared" si="121"/>
        <v>0.8875958167692104</v>
      </c>
      <c r="V213" s="72">
        <f t="shared" si="122"/>
        <v>0.51500867551985596</v>
      </c>
      <c r="W213" s="72">
        <f t="shared" si="123"/>
        <v>0.77146381578947365</v>
      </c>
      <c r="X213" s="72">
        <f t="shared" si="124"/>
        <v>9.7726445201225087E-2</v>
      </c>
      <c r="Y213" s="72">
        <f t="shared" si="125"/>
        <v>0.27370668954736588</v>
      </c>
      <c r="Z213" s="72">
        <f t="shared" si="126"/>
        <v>0.26781833886075146</v>
      </c>
      <c r="AA213" s="72">
        <f t="shared" si="127"/>
        <v>0.35082179265881797</v>
      </c>
      <c r="AB213" s="72">
        <f t="shared" si="128"/>
        <v>0.20247993712252826</v>
      </c>
      <c r="AC213" s="72"/>
      <c r="AD213" s="72"/>
      <c r="AE213" s="72">
        <f t="shared" si="129"/>
        <v>0.49777880318986012</v>
      </c>
      <c r="AF213" s="72">
        <f t="shared" si="130"/>
        <v>0.41985126814720641</v>
      </c>
      <c r="AG213" s="72">
        <f t="shared" si="131"/>
        <v>0.1124041832307896</v>
      </c>
      <c r="AH213" s="72">
        <f t="shared" si="132"/>
        <v>0.48499132448014409</v>
      </c>
      <c r="AI213" s="72">
        <f t="shared" si="133"/>
        <v>0.22853618421052632</v>
      </c>
      <c r="AJ213" s="72">
        <f>(AV213-Driver!$K$179)/(Driver!$L$179-Driver!$K$179)</f>
        <v>0.35194585448392551</v>
      </c>
      <c r="AK213" s="72">
        <f>(AW213-Driver!$K$180)/(Driver!$L$180-Driver!$K$180)</f>
        <v>0.4534745806317278</v>
      </c>
      <c r="AL213" s="72">
        <f>(AX213-Driver!$K$181)/(Driver!$L$181-Driver!$K$181)</f>
        <v>0.36950610257383165</v>
      </c>
      <c r="AM213" s="72">
        <f>(AY213-Driver!$K$182)/(Driver!$L$182-Driver!$K$182)</f>
        <v>9.6563228438228413E-2</v>
      </c>
      <c r="AN213" s="72">
        <f>(AZ213-Driver!$K$183)/(Driver!$L$183-Driver!$K$183)</f>
        <v>0.45669934640522869</v>
      </c>
      <c r="AO213" s="72"/>
      <c r="AP213" s="72"/>
      <c r="AQ213" s="72">
        <f>(BC213-Driver!$K$188)/(Driver!$L$188-Driver!$K$188)</f>
        <v>0.12222119681013985</v>
      </c>
      <c r="AR213" s="72">
        <f>MIN((BD213-Driver!$K$189)/(Driver!$L$189-Driver!$K$189),100%)</f>
        <v>0.13014873185279363</v>
      </c>
      <c r="AS213" s="72">
        <f>(BE213-Driver!$K$190)/(Driver!$L$190-Driver!$K$190)</f>
        <v>0.39759581676921041</v>
      </c>
      <c r="AT213" s="72">
        <f>(BF213-Driver!$K$191)/(Driver!$L$191-Driver!$K$191)</f>
        <v>2.500867551985593E-2</v>
      </c>
      <c r="AU213" s="72">
        <f>(BG213-Driver!$K$192)/(Driver!$L$192-Driver!$K$192)</f>
        <v>2.1463815789473688E-2</v>
      </c>
      <c r="AV213" s="70">
        <f t="shared" si="134"/>
        <v>7.4074074074074074</v>
      </c>
      <c r="AW213" s="70">
        <f t="shared" si="135"/>
        <v>46.067008697568902</v>
      </c>
      <c r="AX213" s="70">
        <f t="shared" si="136"/>
        <v>4.3255549231644848</v>
      </c>
      <c r="AY213" s="70">
        <f>IFERROR(Driver!$K$19/Data!BH213/Data!BI213*Data!BK213*Data!BL213,"")</f>
        <v>0.11822220329496508</v>
      </c>
      <c r="AZ213" s="70">
        <f t="shared" si="137"/>
        <v>41.62323157110945</v>
      </c>
      <c r="BA213" s="70"/>
      <c r="BB213" s="70"/>
      <c r="BC213" s="70">
        <f t="shared" si="138"/>
        <v>63.396984453395106</v>
      </c>
      <c r="BD213" s="70">
        <f t="shared" si="139"/>
        <v>13.238755043163025</v>
      </c>
      <c r="BE213" s="70">
        <f t="shared" si="140"/>
        <v>0.39770327889515089</v>
      </c>
      <c r="BF213" s="70">
        <f t="shared" si="141"/>
        <v>2.8245542040785061</v>
      </c>
      <c r="BG213" s="70">
        <f t="shared" si="142"/>
        <v>8.1275699013157912E-2</v>
      </c>
      <c r="BH213" s="67">
        <f>MAX((CE213-Driver!$F$200)/(Driver!$G$200-Driver!$F$200)*$BI$1,1)</f>
        <v>4.3255549231644848</v>
      </c>
      <c r="BI213" s="67">
        <f>MAX($BI$1*(BY213-Driver!$F$201)/(Driver!$G$201-Driver!$F$201),1)</f>
        <v>8.2278481012658222</v>
      </c>
      <c r="BJ213" s="67">
        <f>(CB213-Driver!$F$206)/(Driver!$G$206-Driver!$F$206)*$BI$1</f>
        <v>4.4444444444444446</v>
      </c>
      <c r="BK213" s="67">
        <f>(CD213-Driver!$F$203)/(Driver!$G$203-Driver!$F$203)*$BI$1</f>
        <v>3.2110091743119265</v>
      </c>
      <c r="BL213" s="67">
        <f>MAX((CR213-Driver!$F$202)/(Driver!$G$202-Driver!$F$202)*$BI$1,1)</f>
        <v>6.5517241379310338</v>
      </c>
      <c r="BM213" s="67">
        <f>MAX((CH213-Driver!$F$204)/(Driver!$G$204-Driver!$F$204)*$BI$1,1)</f>
        <v>6.6666666666666661</v>
      </c>
      <c r="BN213" s="67">
        <f>(CI213-Driver!$F$205)/(Driver!$G$205-Driver!$F$205)*$BI$1</f>
        <v>5.0588235294117645</v>
      </c>
      <c r="BO213" s="67">
        <f>(CK213-Driver!$F$207)/(Driver!$G$207-Driver!$F$207)*$BI$1</f>
        <v>1.1478800413650465</v>
      </c>
      <c r="BP213" s="67">
        <f>(CM213-Driver!$F$208)/(Driver!$G$208-Driver!$F$208)*$BI$1</f>
        <v>1.7777777777777779</v>
      </c>
      <c r="BQ213" s="67">
        <f>(CL213-Driver!$F$209)/(Driver!$G$209-Driver!$F$209)*$BI$1</f>
        <v>2.34375</v>
      </c>
      <c r="BR213" s="28" t="s">
        <v>155</v>
      </c>
      <c r="BS213" s="8" t="s">
        <v>167</v>
      </c>
      <c r="BT213" s="9" t="s">
        <v>200</v>
      </c>
      <c r="BU213" s="10">
        <v>177</v>
      </c>
      <c r="BV213" s="9" t="s">
        <v>158</v>
      </c>
      <c r="BW213" s="10">
        <v>177</v>
      </c>
      <c r="BX213" s="10">
        <v>176.3</v>
      </c>
      <c r="BY213" s="10">
        <v>138</v>
      </c>
      <c r="BZ213" s="10">
        <v>146</v>
      </c>
      <c r="CA213" s="10">
        <v>132</v>
      </c>
      <c r="CB213" s="10">
        <v>92</v>
      </c>
      <c r="CC213" s="10">
        <v>114</v>
      </c>
      <c r="CD213" s="10">
        <v>16.399999999999999</v>
      </c>
      <c r="CE213" s="10">
        <v>1660</v>
      </c>
      <c r="CF213" s="10">
        <v>1.1100000000000001</v>
      </c>
      <c r="CG213" s="10">
        <v>1844</v>
      </c>
      <c r="CH213" s="10">
        <v>257</v>
      </c>
      <c r="CI213" s="10">
        <v>119</v>
      </c>
      <c r="CJ213" s="10">
        <v>50</v>
      </c>
      <c r="CK213" s="10">
        <v>221</v>
      </c>
      <c r="CL213" s="10">
        <v>15</v>
      </c>
      <c r="CM213" s="10">
        <v>160</v>
      </c>
      <c r="CN213" s="10">
        <v>0.29899999999999999</v>
      </c>
      <c r="CO213" s="10">
        <v>147</v>
      </c>
      <c r="CP213" s="10">
        <v>151</v>
      </c>
      <c r="CQ213" s="10">
        <v>74</v>
      </c>
      <c r="CR213" s="10">
        <v>8</v>
      </c>
      <c r="CS213" s="10">
        <v>10.199999999999999</v>
      </c>
      <c r="CT213" s="9" t="s">
        <v>188</v>
      </c>
      <c r="CU213" s="9" t="s">
        <v>185</v>
      </c>
      <c r="CV213" s="10"/>
      <c r="CW213" s="10"/>
      <c r="CX213" t="str">
        <f>INDEX('Data_Price '!AG$2:AG$1266,MATCH(Data!$DN213,'Data_Price '!$AT$2:$AT$1266,0))</f>
        <v>Head Kore 93 Skis</v>
      </c>
      <c r="CY213" t="str">
        <f>INDEX('Data_Price '!AH$2:AH$1266,MATCH(Data!$DN213,'Data_Price '!$AT$2:$AT$1266,0))</f>
        <v>Gorham Bike and Ski</v>
      </c>
      <c r="CZ213">
        <f>INDEX('Data_Price '!AI$2:AI$1266,MATCH(Data!$DN213,'Data_Price '!$AT$2:$AT$1266,0))</f>
        <v>454.99</v>
      </c>
      <c r="DA213" t="str">
        <f>INDEX('Data_Price '!AJ$2:AJ$1266,MATCH(Data!$DN213,'Data_Price '!$AT$2:$AT$1266,0))</f>
        <v>https://tinyurl.com/ybxoku2n</v>
      </c>
      <c r="DB213" t="str">
        <f>INDEX('Data_Price '!AK$2:AK$1266,MATCH(Data!$DN213,'Data_Price '!$AT$2:$AT$1266,0))</f>
        <v>2022 Head Kore 93 Skis-177cm</v>
      </c>
      <c r="DC213" t="str">
        <f>INDEX('Data_Price '!AL$2:AL$1266,MATCH(Data!$DN213,'Data_Price '!$AT$2:$AT$1266,0))</f>
        <v>eBay - jeffmagnusson</v>
      </c>
      <c r="DD213">
        <f>INDEX('Data_Price '!AM$2:AM$1266,MATCH(Data!$DN213,'Data_Price '!$AT$2:$AT$1266,0))</f>
        <v>459.99</v>
      </c>
      <c r="DE213" t="str">
        <f>INDEX('Data_Price '!AN$2:AN$1266,MATCH(Data!$DN213,'Data_Price '!$AT$2:$AT$1266,0))</f>
        <v>https://tinyurl.com/ybzalq5j</v>
      </c>
      <c r="DF213" t="str">
        <f>INDEX('Data_Price '!AO$2:AO$1266,MATCH(Data!$DN213,'Data_Price '!$AT$2:$AT$1266,0))</f>
        <v>Demo Head Kore 93 Ski w/ Tyrolia Attack 14 Binding 2022</v>
      </c>
      <c r="DG213" t="str">
        <f>INDEX('Data_Price '!AP$2:AP$1266,MATCH(Data!$DN213,'Data_Price '!$AT$2:$AT$1266,0))</f>
        <v>High Mountain Sports</v>
      </c>
      <c r="DH213">
        <f>INDEX('Data_Price '!AQ$2:AQ$1266,MATCH(Data!$DN213,'Data_Price '!$AT$2:$AT$1266,0))</f>
        <v>464.99</v>
      </c>
      <c r="DI213" t="str">
        <f>INDEX('Data_Price '!AR$2:AR$1266,MATCH(Data!$DN213,'Data_Price '!$AT$2:$AT$1266,0))</f>
        <v>https://tinyurl.com/ydaklgdh</v>
      </c>
      <c r="DJ213" s="89" t="str">
        <f t="shared" si="143"/>
        <v>https://tinyurl.com/ybxoku2n</v>
      </c>
      <c r="DK213" s="89" t="str">
        <f t="shared" si="144"/>
        <v>https://tinyurl.com/ybzalq5j</v>
      </c>
      <c r="DL213" s="89" t="str">
        <f t="shared" si="145"/>
        <v>https://tinyurl.com/ydaklgdh</v>
      </c>
      <c r="DM213" s="219" t="str">
        <f t="shared" si="146"/>
        <v>Kore 93</v>
      </c>
      <c r="DN213" s="89" t="str">
        <f t="shared" si="147"/>
        <v xml:space="preserve"> HeadKore 93177 Unisex</v>
      </c>
      <c r="DO213" s="221" t="s">
        <v>201</v>
      </c>
    </row>
    <row r="214" spans="2:119" ht="15.6" customHeight="1">
      <c r="B214" s="219" t="b">
        <f t="array" ref="B214">IF(OR(ISERROR(K214:P214)),FALSE,TRUE)</f>
        <v>1</v>
      </c>
      <c r="C214" s="43" t="b">
        <f>OR(BR214=Driver!$G$50,Data!BR504=Driver!$H$50)</f>
        <v>1</v>
      </c>
      <c r="D214" s="43" t="b">
        <f>OR(BV214=Driver!$G$51,BV214=Driver!$H$51)</f>
        <v>1</v>
      </c>
      <c r="E214" s="43" t="b">
        <f>AND(BX214&gt;Driver!$F$54,BX214&lt;Driver!$G$54)</f>
        <v>0</v>
      </c>
      <c r="F214" s="43" t="b">
        <f>CL214&gt;Driver!$F$56</f>
        <v>1</v>
      </c>
      <c r="G214" s="43" t="b">
        <f>AND(CB214&gt;Driver!$F$55,CB214&lt;Driver!$G$55)</f>
        <v>1</v>
      </c>
      <c r="H214" s="43" t="b">
        <f t="shared" si="111"/>
        <v>0</v>
      </c>
      <c r="I214" s="43">
        <f t="shared" si="112"/>
        <v>1</v>
      </c>
      <c r="J214" s="43" t="b">
        <f t="array" ref="J214">NOT(OR(($H$9:$H$1273=TRUE)*($I$9:$I$1273&gt;0)*($BT$9:$BT$1273=BT214)*($K$9:$K$1273&gt;K214)))</f>
        <v>0</v>
      </c>
      <c r="K214" s="72">
        <f t="shared" si="113"/>
        <v>0.77671852243628059</v>
      </c>
      <c r="L214" s="72">
        <f t="shared" si="114"/>
        <v>0.82492281754956043</v>
      </c>
      <c r="M214" s="72">
        <f t="shared" si="115"/>
        <v>0.72851422732300075</v>
      </c>
      <c r="N214" s="72">
        <f t="shared" si="116"/>
        <v>0.57281911133845165</v>
      </c>
      <c r="O214" s="72">
        <f t="shared" si="117"/>
        <v>0.67419043585765426</v>
      </c>
      <c r="P214" s="72">
        <f t="shared" si="118"/>
        <v>0.93853313477289657</v>
      </c>
      <c r="Q214" s="72"/>
      <c r="R214" s="72"/>
      <c r="S214" s="72">
        <f t="shared" si="119"/>
        <v>0.49863979812969006</v>
      </c>
      <c r="T214" s="72">
        <f t="shared" si="120"/>
        <v>0.5076791179722957</v>
      </c>
      <c r="U214" s="72">
        <f t="shared" si="121"/>
        <v>0.51271814049120357</v>
      </c>
      <c r="V214" s="72">
        <f t="shared" si="122"/>
        <v>0.56044064163985974</v>
      </c>
      <c r="W214" s="72">
        <f t="shared" si="123"/>
        <v>0.80704360177865608</v>
      </c>
      <c r="X214" s="72">
        <f t="shared" si="124"/>
        <v>0.17507718245043957</v>
      </c>
      <c r="Y214" s="72">
        <f t="shared" si="125"/>
        <v>0.27148577267699919</v>
      </c>
      <c r="Z214" s="72">
        <f t="shared" si="126"/>
        <v>0.42718088866154835</v>
      </c>
      <c r="AA214" s="72">
        <f t="shared" si="127"/>
        <v>0.32580956414234574</v>
      </c>
      <c r="AB214" s="72">
        <f t="shared" si="128"/>
        <v>6.1466865227103429E-2</v>
      </c>
      <c r="AC214" s="72"/>
      <c r="AD214" s="72"/>
      <c r="AE214" s="72">
        <f t="shared" si="129"/>
        <v>0.50136020187030994</v>
      </c>
      <c r="AF214" s="72">
        <f t="shared" si="130"/>
        <v>0.4923208820277043</v>
      </c>
      <c r="AG214" s="72">
        <f t="shared" si="131"/>
        <v>0.48728185950879638</v>
      </c>
      <c r="AH214" s="72">
        <f t="shared" si="132"/>
        <v>0.43955935836014032</v>
      </c>
      <c r="AI214" s="72">
        <f t="shared" si="133"/>
        <v>0.19295639822134389</v>
      </c>
      <c r="AJ214" s="72">
        <f>(AV214-Driver!$K$179)/(Driver!$L$179-Driver!$K$179)</f>
        <v>0.42929659173314</v>
      </c>
      <c r="AK214" s="72">
        <f>(AW214-Driver!$K$180)/(Driver!$L$180-Driver!$K$180)</f>
        <v>0.33663616501867227</v>
      </c>
      <c r="AL214" s="72">
        <f>(AX214-Driver!$K$181)/(Driver!$L$181-Driver!$K$181)</f>
        <v>0.52886865237462855</v>
      </c>
      <c r="AM214" s="72">
        <f>(AY214-Driver!$K$182)/(Driver!$L$182-Driver!$K$182)</f>
        <v>0.12157545695470065</v>
      </c>
      <c r="AN214" s="72">
        <f>(AZ214-Driver!$K$183)/(Driver!$L$183-Driver!$K$183)</f>
        <v>0.31568627450980385</v>
      </c>
      <c r="AO214" s="72"/>
      <c r="AP214" s="72"/>
      <c r="AQ214" s="72">
        <f>(BC214-Driver!$K$188)/(Driver!$L$188-Driver!$K$188)</f>
        <v>0.11863979812969008</v>
      </c>
      <c r="AR214" s="72">
        <f>MIN((BD214-Driver!$K$189)/(Driver!$L$189-Driver!$K$189),100%)</f>
        <v>5.7679117972295774E-2</v>
      </c>
      <c r="AS214" s="72">
        <f>(BE214-Driver!$K$190)/(Driver!$L$190-Driver!$K$190)</f>
        <v>2.2718140491203638E-2</v>
      </c>
      <c r="AT214" s="72">
        <f>(BF214-Driver!$K$191)/(Driver!$L$191-Driver!$K$191)</f>
        <v>7.0440641639859691E-2</v>
      </c>
      <c r="AU214" s="72">
        <f>(BG214-Driver!$K$192)/(Driver!$L$192-Driver!$K$192)</f>
        <v>5.7043601778656111E-2</v>
      </c>
      <c r="AV214" s="70">
        <f t="shared" si="134"/>
        <v>9.0354090354090371</v>
      </c>
      <c r="AW214" s="70">
        <f t="shared" si="135"/>
        <v>34.680069802395529</v>
      </c>
      <c r="AX214" s="70">
        <f t="shared" si="136"/>
        <v>5.7598178713716566</v>
      </c>
      <c r="AY214" s="70">
        <f>IFERROR(Driver!$K$19/Data!BH214/Data!BI214*Data!BK214*Data!BL214,"")</f>
        <v>0.14884463392782343</v>
      </c>
      <c r="AZ214" s="70">
        <f t="shared" si="137"/>
        <v>28.771407297096051</v>
      </c>
      <c r="BA214" s="70"/>
      <c r="BB214" s="70"/>
      <c r="BC214" s="70">
        <f t="shared" si="138"/>
        <v>61.539288060366111</v>
      </c>
      <c r="BD214" s="70">
        <f t="shared" si="139"/>
        <v>6.8253226232964277</v>
      </c>
      <c r="BE214" s="70">
        <f t="shared" si="140"/>
        <v>2.2892476575164133E-2</v>
      </c>
      <c r="BF214" s="70">
        <f t="shared" si="141"/>
        <v>7.9557755997067439</v>
      </c>
      <c r="BG214" s="70">
        <f t="shared" si="142"/>
        <v>0.21600346621788533</v>
      </c>
      <c r="BH214" s="67">
        <f>MAX((CE214-Driver!$F$200)/(Driver!$G$200-Driver!$F$200)*$BI$1,1)</f>
        <v>5.7598178713716566</v>
      </c>
      <c r="BI214" s="67">
        <f>MAX($BI$1*(BY214-Driver!$F$201)/(Driver!$G$201-Driver!$F$201),1)</f>
        <v>7.0886075949367084</v>
      </c>
      <c r="BJ214" s="67">
        <f>(CB214-Driver!$F$206)/(Driver!$G$206-Driver!$F$206)*$BI$1</f>
        <v>5.8730158730158735</v>
      </c>
      <c r="BK214" s="67">
        <f>(CD214-Driver!$F$203)/(Driver!$G$203-Driver!$F$203)*$BI$1</f>
        <v>5.1834862385321099</v>
      </c>
      <c r="BL214" s="67">
        <f>MAX((CR214-Driver!$F$202)/(Driver!$G$202-Driver!$F$202)*$BI$1,1)</f>
        <v>5.8620689655172411</v>
      </c>
      <c r="BM214" s="67">
        <f>MAX((CH214-Driver!$F$204)/(Driver!$G$204-Driver!$F$204)*$BI$1,1)</f>
        <v>6.1538461538461542</v>
      </c>
      <c r="BN214" s="67">
        <f>(CI214-Driver!$F$205)/(Driver!$G$205-Driver!$F$205)*$BI$1</f>
        <v>4.0588235294117645</v>
      </c>
      <c r="BO214" s="67">
        <f>(CK214-Driver!$F$207)/(Driver!$G$207-Driver!$F$207)*$BI$1</f>
        <v>2.1716649431230612</v>
      </c>
      <c r="BP214" s="67">
        <f>(CM214-Driver!$F$208)/(Driver!$G$208-Driver!$F$208)*$BI$1</f>
        <v>3.2333333333333329</v>
      </c>
      <c r="BQ214" s="67">
        <f>(CL214-Driver!$F$209)/(Driver!$G$209-Driver!$F$209)*$BI$1</f>
        <v>7.65625</v>
      </c>
      <c r="BR214" s="28" t="s">
        <v>155</v>
      </c>
      <c r="BS214" s="8" t="s">
        <v>205</v>
      </c>
      <c r="BT214" s="9" t="s">
        <v>259</v>
      </c>
      <c r="BU214" s="10">
        <v>183</v>
      </c>
      <c r="BV214" s="9" t="s">
        <v>158</v>
      </c>
      <c r="BW214" s="10">
        <v>183</v>
      </c>
      <c r="BX214" s="10">
        <v>181.1</v>
      </c>
      <c r="BY214" s="10">
        <v>120</v>
      </c>
      <c r="BZ214" s="10">
        <v>154</v>
      </c>
      <c r="CA214" s="10">
        <v>131</v>
      </c>
      <c r="CB214" s="10">
        <v>101</v>
      </c>
      <c r="CC214" s="10">
        <v>127</v>
      </c>
      <c r="CD214" s="10">
        <v>20.7</v>
      </c>
      <c r="CE214" s="10">
        <v>1912</v>
      </c>
      <c r="CF214" s="10">
        <v>1.06</v>
      </c>
      <c r="CG214" s="10">
        <v>2023</v>
      </c>
      <c r="CH214" s="10">
        <v>245</v>
      </c>
      <c r="CI214" s="10">
        <v>102</v>
      </c>
      <c r="CJ214" s="10">
        <v>54</v>
      </c>
      <c r="CK214" s="10">
        <v>320</v>
      </c>
      <c r="CL214" s="10">
        <v>49</v>
      </c>
      <c r="CM214" s="10">
        <v>291</v>
      </c>
      <c r="CN214" s="10">
        <v>0.90900000000000003</v>
      </c>
      <c r="CO214" s="10">
        <v>143</v>
      </c>
      <c r="CP214" s="10">
        <v>130</v>
      </c>
      <c r="CQ214" s="10">
        <v>177</v>
      </c>
      <c r="CR214" s="10">
        <v>6</v>
      </c>
      <c r="CS214" s="10">
        <v>4.0999999999999996</v>
      </c>
      <c r="CT214" s="9" t="s">
        <v>184</v>
      </c>
      <c r="CU214" s="9" t="s">
        <v>169</v>
      </c>
      <c r="CV214" s="9" t="s">
        <v>185</v>
      </c>
      <c r="CW214" s="10"/>
      <c r="CX214" t="str">
        <f>INDEX('Data_Price '!AG$2:AG$1266,MATCH(Data!$DN214,'Data_Price '!$AT$2:$AT$1266,0))</f>
        <v>Faction Ct 2.0 Skis</v>
      </c>
      <c r="CY214" t="str">
        <f>INDEX('Data_Price '!AH$2:AH$1266,MATCH(Data!$DN214,'Data_Price '!$AT$2:$AT$1266,0))</f>
        <v>Powder7 Ski Shop</v>
      </c>
      <c r="CZ214">
        <f>INDEX('Data_Price '!AI$2:AI$1266,MATCH(Data!$DN214,'Data_Price '!$AT$2:$AT$1266,0))</f>
        <v>669</v>
      </c>
      <c r="DA214" t="str">
        <f>INDEX('Data_Price '!AJ$2:AJ$1266,MATCH(Data!$DN214,'Data_Price '!$AT$2:$AT$1266,0))</f>
        <v>https://tinyurl.com/y8aocxny</v>
      </c>
      <c r="DB214" t="str">
        <f>INDEX('Data_Price '!AK$2:AK$1266,MATCH(Data!$DN214,'Data_Price '!$AT$2:$AT$1266,0))</f>
        <v>Faction Ct 2.0 Skis</v>
      </c>
      <c r="DC214" t="str">
        <f>INDEX('Data_Price '!AL$2:AL$1266,MATCH(Data!$DN214,'Data_Price '!$AT$2:$AT$1266,0))</f>
        <v>The-House.com</v>
      </c>
      <c r="DD214">
        <f>INDEX('Data_Price '!AM$2:AM$1266,MATCH(Data!$DN214,'Data_Price '!$AT$2:$AT$1266,0))</f>
        <v>699</v>
      </c>
      <c r="DE214" t="str">
        <f>INDEX('Data_Price '!AN$2:AN$1266,MATCH(Data!$DN214,'Data_Price '!$AT$2:$AT$1266,0))</f>
        <v>https://tinyurl.com/ybppfaox</v>
      </c>
      <c r="DF214" t="str">
        <f>INDEX('Data_Price '!AO$2:AO$1266,MATCH(Data!$DN214,'Data_Price '!$AT$2:$AT$1266,0))</f>
        <v>Faction Prodigy 2.0 Skis</v>
      </c>
      <c r="DG214" t="str">
        <f>INDEX('Data_Price '!AP$2:AP$1266,MATCH(Data!$DN214,'Data_Price '!$AT$2:$AT$1266,0))</f>
        <v>Gear West Ski &amp; Bike</v>
      </c>
      <c r="DH214">
        <f>INDEX('Data_Price '!AQ$2:AQ$1266,MATCH(Data!$DN214,'Data_Price '!$AT$2:$AT$1266,0))</f>
        <v>699</v>
      </c>
      <c r="DI214" t="str">
        <f>INDEX('Data_Price '!AR$2:AR$1266,MATCH(Data!$DN214,'Data_Price '!$AT$2:$AT$1266,0))</f>
        <v>https://tinyurl.com/y867r2tv</v>
      </c>
      <c r="DJ214" s="89" t="str">
        <f t="shared" si="143"/>
        <v>https://tinyurl.com/y8aocxny</v>
      </c>
      <c r="DK214" s="89" t="str">
        <f t="shared" si="144"/>
        <v>https://tinyurl.com/ybppfaox</v>
      </c>
      <c r="DL214" s="89" t="str">
        <f t="shared" si="145"/>
        <v>https://tinyurl.com/y867r2tv</v>
      </c>
      <c r="DM214" s="219" t="str">
        <f t="shared" si="146"/>
        <v>CT 2.0</v>
      </c>
      <c r="DN214" s="89" t="str">
        <f t="shared" si="147"/>
        <v xml:space="preserve"> FactionCT 2.0183 Unisex</v>
      </c>
      <c r="DO214" s="221" t="s">
        <v>377</v>
      </c>
    </row>
    <row r="215" spans="2:119" ht="15.6" customHeight="1">
      <c r="B215" s="219" t="b">
        <f t="array" ref="B215">IF(OR(ISERROR(K215:P215)),FALSE,TRUE)</f>
        <v>1</v>
      </c>
      <c r="C215" s="43" t="b">
        <f>OR(BR215=Driver!$G$50,Data!BR251=Driver!$H$50)</f>
        <v>1</v>
      </c>
      <c r="D215" s="43" t="b">
        <f>OR(BV215=Driver!$G$51,BV215=Driver!$H$51)</f>
        <v>1</v>
      </c>
      <c r="E215" s="43" t="b">
        <f>AND(BX215&gt;Driver!$F$54,BX215&lt;Driver!$G$54)</f>
        <v>0</v>
      </c>
      <c r="F215" s="43" t="b">
        <f>CL215&gt;Driver!$F$56</f>
        <v>1</v>
      </c>
      <c r="G215" s="43" t="b">
        <f>AND(CB215&gt;Driver!$F$55,CB215&lt;Driver!$G$55)</f>
        <v>0</v>
      </c>
      <c r="H215" s="43" t="b">
        <f t="shared" si="111"/>
        <v>0</v>
      </c>
      <c r="I215" s="43">
        <f t="shared" si="112"/>
        <v>0</v>
      </c>
      <c r="J215" s="43" t="b">
        <f t="array" ref="J215">NOT(OR(($H$9:$H$1273=TRUE)*($I$9:$I$1273&gt;0)*($BT$9:$BT$1273=BT215)*($K$9:$K$1273&gt;K215)))</f>
        <v>1</v>
      </c>
      <c r="K215" s="72">
        <f t="shared" si="113"/>
        <v>0.85576145331650344</v>
      </c>
      <c r="L215" s="72">
        <f t="shared" si="114"/>
        <v>0.9590780024661667</v>
      </c>
      <c r="M215" s="72">
        <f t="shared" si="115"/>
        <v>0.75244490416684007</v>
      </c>
      <c r="N215" s="72">
        <f t="shared" si="116"/>
        <v>0.60823301129418428</v>
      </c>
      <c r="O215" s="72">
        <f t="shared" si="117"/>
        <v>0.64978425270794915</v>
      </c>
      <c r="P215" s="72">
        <f t="shared" si="118"/>
        <v>0.99931744849838666</v>
      </c>
      <c r="Q215" s="72"/>
      <c r="R215" s="72"/>
      <c r="S215" s="72">
        <f t="shared" si="119"/>
        <v>0.44642706187711978</v>
      </c>
      <c r="T215" s="72">
        <f t="shared" si="120"/>
        <v>0.54933201221547334</v>
      </c>
      <c r="U215" s="72">
        <f t="shared" si="121"/>
        <v>0.59717176791198012</v>
      </c>
      <c r="V215" s="72">
        <f t="shared" si="122"/>
        <v>0.54169028574595135</v>
      </c>
      <c r="W215" s="72">
        <f t="shared" si="123"/>
        <v>0.78517188736854004</v>
      </c>
      <c r="X215" s="72">
        <f t="shared" si="124"/>
        <v>4.0921997533833299E-2</v>
      </c>
      <c r="Y215" s="72">
        <f t="shared" si="125"/>
        <v>0.24755509583315996</v>
      </c>
      <c r="Z215" s="72">
        <f t="shared" si="126"/>
        <v>0.39176698870581572</v>
      </c>
      <c r="AA215" s="72">
        <f t="shared" si="127"/>
        <v>0.35021574729205085</v>
      </c>
      <c r="AB215" s="72">
        <f t="shared" si="128"/>
        <v>6.8255150161333766E-4</v>
      </c>
      <c r="AC215" s="72"/>
      <c r="AD215" s="72"/>
      <c r="AE215" s="72">
        <f t="shared" si="129"/>
        <v>0.55357293812288022</v>
      </c>
      <c r="AF215" s="72">
        <f t="shared" si="130"/>
        <v>0.45066798778452666</v>
      </c>
      <c r="AG215" s="72">
        <f t="shared" si="131"/>
        <v>0.40282823208801988</v>
      </c>
      <c r="AH215" s="72">
        <f t="shared" si="132"/>
        <v>0.45830971425404871</v>
      </c>
      <c r="AI215" s="72">
        <f t="shared" si="133"/>
        <v>0.2148281126314599</v>
      </c>
      <c r="AJ215" s="72">
        <f>(AV215-Driver!$K$179)/(Driver!$L$179-Driver!$K$179)</f>
        <v>0.29514140681653372</v>
      </c>
      <c r="AK215" s="72">
        <f>(AW215-Driver!$K$180)/(Driver!$L$180-Driver!$K$180)</f>
        <v>0.27621639730277714</v>
      </c>
      <c r="AL215" s="72">
        <f>(AX215-Driver!$K$181)/(Driver!$L$181-Driver!$K$181)</f>
        <v>0.49345475241889591</v>
      </c>
      <c r="AM215" s="72">
        <f>(AY215-Driver!$K$182)/(Driver!$L$182-Driver!$K$182)</f>
        <v>9.7169273804995529E-2</v>
      </c>
      <c r="AN215" s="72">
        <f>(AZ215-Driver!$K$183)/(Driver!$L$183-Driver!$K$183)</f>
        <v>0.25490196078431376</v>
      </c>
      <c r="AO215" s="72"/>
      <c r="AP215" s="72"/>
      <c r="AQ215" s="72">
        <f>(BC215-Driver!$K$188)/(Driver!$L$188-Driver!$K$188)</f>
        <v>6.6427061877119831E-2</v>
      </c>
      <c r="AR215" s="72">
        <f>MIN((BD215-Driver!$K$189)/(Driver!$L$189-Driver!$K$189),100%)</f>
        <v>9.9332012215473386E-2</v>
      </c>
      <c r="AS215" s="72">
        <f>(BE215-Driver!$K$190)/(Driver!$L$190-Driver!$K$190)</f>
        <v>0.1071717679119801</v>
      </c>
      <c r="AT215" s="72">
        <f>(BF215-Driver!$K$191)/(Driver!$L$191-Driver!$K$191)</f>
        <v>5.1690285745951303E-2</v>
      </c>
      <c r="AU215" s="72">
        <f>(BG215-Driver!$K$192)/(Driver!$L$192-Driver!$K$192)</f>
        <v>3.5171887368540086E-2</v>
      </c>
      <c r="AV215" s="70">
        <f t="shared" si="134"/>
        <v>6.211843711843712</v>
      </c>
      <c r="AW215" s="70">
        <f t="shared" si="135"/>
        <v>28.791628064876878</v>
      </c>
      <c r="AX215" s="70">
        <f t="shared" si="136"/>
        <v>5.4410927717700632</v>
      </c>
      <c r="AY215" s="70">
        <f>IFERROR(Driver!$K$19/Data!BH215/Data!BI215*Data!BK215*Data!BL215,"")</f>
        <v>0.1189641836503728</v>
      </c>
      <c r="AZ215" s="70">
        <f t="shared" si="137"/>
        <v>23.231571109456443</v>
      </c>
      <c r="BA215" s="70"/>
      <c r="BB215" s="70"/>
      <c r="BC215" s="70">
        <f t="shared" si="138"/>
        <v>34.456178789104285</v>
      </c>
      <c r="BD215" s="70">
        <f t="shared" si="139"/>
        <v>10.511529959256293</v>
      </c>
      <c r="BE215" s="70">
        <f t="shared" si="140"/>
        <v>0.1073310384193748</v>
      </c>
      <c r="BF215" s="70">
        <f t="shared" si="141"/>
        <v>5.8380546301952707</v>
      </c>
      <c r="BG215" s="70">
        <f t="shared" si="142"/>
        <v>0.13318320281578649</v>
      </c>
      <c r="BH215" s="67">
        <f>MAX((CE215-Driver!$F$200)/(Driver!$G$200-Driver!$F$200)*$BI$1,1)</f>
        <v>5.4410927717700632</v>
      </c>
      <c r="BI215" s="67">
        <f>MAX($BI$1*(BY215-Driver!$F$201)/(Driver!$G$201-Driver!$F$201),1)</f>
        <v>7.5949367088607591</v>
      </c>
      <c r="BJ215" s="67">
        <f>(CB215-Driver!$F$206)/(Driver!$G$206-Driver!$F$206)*$BI$1</f>
        <v>5.2380952380952381</v>
      </c>
      <c r="BK215" s="67">
        <f>(CD215-Driver!$F$203)/(Driver!$G$203-Driver!$F$203)*$BI$1</f>
        <v>3.3944954128440372</v>
      </c>
      <c r="BL215" s="67">
        <f>MAX((CR215-Driver!$F$202)/(Driver!$G$202-Driver!$F$202)*$BI$1,1)</f>
        <v>7.2413793103448274</v>
      </c>
      <c r="BM215" s="67">
        <f>MAX((CH215-Driver!$F$204)/(Driver!$G$204-Driver!$F$204)*$BI$1,1)</f>
        <v>4.7435897435897436</v>
      </c>
      <c r="BN215" s="67">
        <f>(CI215-Driver!$F$205)/(Driver!$G$205-Driver!$F$205)*$BI$1</f>
        <v>3.0588235294117649</v>
      </c>
      <c r="BO215" s="67">
        <f>(CK215-Driver!$F$207)/(Driver!$G$207-Driver!$F$207)*$BI$1</f>
        <v>1.6856256463288521</v>
      </c>
      <c r="BP215" s="67">
        <f>(CM215-Driver!$F$208)/(Driver!$G$208-Driver!$F$208)*$BI$1</f>
        <v>2.2444444444444445</v>
      </c>
      <c r="BQ215" s="67">
        <f>(CL215-Driver!$F$209)/(Driver!$G$209-Driver!$F$209)*$BI$1</f>
        <v>3.4375</v>
      </c>
      <c r="BR215" s="28" t="s">
        <v>155</v>
      </c>
      <c r="BS215" s="8" t="s">
        <v>354</v>
      </c>
      <c r="BT215" s="9" t="s">
        <v>355</v>
      </c>
      <c r="BU215" s="10">
        <v>175</v>
      </c>
      <c r="BV215" s="9" t="s">
        <v>158</v>
      </c>
      <c r="BW215" s="10">
        <v>175</v>
      </c>
      <c r="BX215" s="10">
        <v>175.7</v>
      </c>
      <c r="BY215" s="10">
        <v>128</v>
      </c>
      <c r="BZ215" s="10">
        <v>141</v>
      </c>
      <c r="CA215" s="10">
        <v>130</v>
      </c>
      <c r="CB215" s="10">
        <v>97</v>
      </c>
      <c r="CC215" s="10">
        <v>118</v>
      </c>
      <c r="CD215" s="10">
        <v>16.8</v>
      </c>
      <c r="CE215" s="10">
        <v>1856</v>
      </c>
      <c r="CF215" s="10">
        <v>1.02</v>
      </c>
      <c r="CG215" s="10">
        <v>1896</v>
      </c>
      <c r="CH215" s="10">
        <v>212</v>
      </c>
      <c r="CI215" s="10">
        <v>85</v>
      </c>
      <c r="CJ215" s="10">
        <v>40</v>
      </c>
      <c r="CK215" s="10">
        <v>273</v>
      </c>
      <c r="CL215" s="10">
        <v>22</v>
      </c>
      <c r="CM215" s="10">
        <v>202</v>
      </c>
      <c r="CN215" s="10">
        <v>0.56100000000000005</v>
      </c>
      <c r="CO215" s="10">
        <v>217</v>
      </c>
      <c r="CP215" s="10">
        <v>131</v>
      </c>
      <c r="CQ215" s="10">
        <v>57</v>
      </c>
      <c r="CR215" s="10">
        <v>10</v>
      </c>
      <c r="CS215" s="10">
        <v>8.5</v>
      </c>
      <c r="CT215" s="9" t="s">
        <v>188</v>
      </c>
      <c r="CU215" s="10"/>
      <c r="CV215" s="10"/>
      <c r="CW215" s="10"/>
      <c r="CX215" t="str">
        <f>INDEX('Data_Price '!AG$2:AG$1266,MATCH(Data!$DN215,'Data_Price '!$AT$2:$AT$1266,0))</f>
        <v>Black Diamond Impulse 98 Skis</v>
      </c>
      <c r="CY215" t="str">
        <f>INDEX('Data_Price '!AH$2:AH$1266,MATCH(Data!$DN215,'Data_Price '!$AT$2:$AT$1266,0))</f>
        <v>Black Diamond Equipment - US</v>
      </c>
      <c r="CZ215">
        <f>INDEX('Data_Price '!AI$2:AI$1266,MATCH(Data!$DN215,'Data_Price '!$AT$2:$AT$1266,0))</f>
        <v>559.96</v>
      </c>
      <c r="DA215" t="str">
        <f>INDEX('Data_Price '!AJ$2:AJ$1266,MATCH(Data!$DN215,'Data_Price '!$AT$2:$AT$1266,0))</f>
        <v>https://tinyurl.com/y9p3kyxk</v>
      </c>
      <c r="DB215" t="str">
        <f>INDEX('Data_Price '!AK$2:AK$1266,MATCH(Data!$DN215,'Data_Price '!$AT$2:$AT$1266,0))</f>
        <v>Black Diamond 175cm Voodoo skis/skins w/ Silvretta 300 Bindings</v>
      </c>
      <c r="DC215" t="str">
        <f>INDEX('Data_Price '!AL$2:AL$1266,MATCH(Data!$DN215,'Data_Price '!$AT$2:$AT$1266,0))</f>
        <v>Geartrade.com</v>
      </c>
      <c r="DD215">
        <f>INDEX('Data_Price '!AM$2:AM$1266,MATCH(Data!$DN215,'Data_Price '!$AT$2:$AT$1266,0))</f>
        <v>275</v>
      </c>
      <c r="DE215" t="str">
        <f>INDEX('Data_Price '!AN$2:AN$1266,MATCH(Data!$DN215,'Data_Price '!$AT$2:$AT$1266,0))</f>
        <v>https://tinyurl.com/y8c4b9ek</v>
      </c>
      <c r="DF215" t="str">
        <f>INDEX('Data_Price '!AO$2:AO$1266,MATCH(Data!$DN215,'Data_Price '!$AT$2:$AT$1266,0))</f>
        <v>Black Diamond Helio Recon 95 Ski 2022</v>
      </c>
      <c r="DG215" t="str">
        <f>INDEX('Data_Price '!AP$2:AP$1266,MATCH(Data!$DN215,'Data_Price '!$AT$2:$AT$1266,0))</f>
        <v>Telemark Pyrenees</v>
      </c>
      <c r="DH215">
        <f>INDEX('Data_Price '!AQ$2:AQ$1266,MATCH(Data!$DN215,'Data_Price '!$AT$2:$AT$1266,0))</f>
        <v>384.97</v>
      </c>
      <c r="DI215" t="str">
        <f>INDEX('Data_Price '!AR$2:AR$1266,MATCH(Data!$DN215,'Data_Price '!$AT$2:$AT$1266,0))</f>
        <v>https://tinyurl.com/y9ndxknm</v>
      </c>
      <c r="DJ215" s="89" t="str">
        <f t="shared" si="143"/>
        <v>https://tinyurl.com/y9p3kyxk</v>
      </c>
      <c r="DK215" s="89" t="str">
        <f t="shared" si="144"/>
        <v>https://tinyurl.com/y8c4b9ek</v>
      </c>
      <c r="DL215" s="89" t="str">
        <f t="shared" si="145"/>
        <v>https://tinyurl.com/y9ndxknm</v>
      </c>
      <c r="DM215" s="219" t="str">
        <f t="shared" si="146"/>
        <v>Impulse 98</v>
      </c>
      <c r="DN215" s="89" t="str">
        <f t="shared" si="147"/>
        <v xml:space="preserve"> Black DiamondImpulse 98175 Unisex</v>
      </c>
      <c r="DO215" s="221" t="s">
        <v>356</v>
      </c>
    </row>
    <row r="216" spans="2:119" ht="15.6" customHeight="1">
      <c r="B216" s="219" t="b">
        <f t="array" ref="B216">IF(OR(ISERROR(K216:P216)),FALSE,TRUE)</f>
        <v>1</v>
      </c>
      <c r="C216" s="43" t="b">
        <f>OR(BR216=Driver!$G$50,Data!BR914=Driver!$H$50)</f>
        <v>1</v>
      </c>
      <c r="D216" s="43" t="b">
        <f>OR(BV216=Driver!$G$51,BV216=Driver!$H$51)</f>
        <v>0</v>
      </c>
      <c r="E216" s="43" t="b">
        <f>AND(BX216&gt;Driver!$F$54,BX216&lt;Driver!$G$54)</f>
        <v>0</v>
      </c>
      <c r="F216" s="43" t="b">
        <f>CL216&gt;Driver!$F$56</f>
        <v>1</v>
      </c>
      <c r="G216" s="43" t="b">
        <f>AND(CB216&gt;Driver!$F$55,CB216&lt;Driver!$G$55)</f>
        <v>1</v>
      </c>
      <c r="H216" s="43" t="b">
        <f t="shared" si="111"/>
        <v>0</v>
      </c>
      <c r="I216" s="43">
        <f t="shared" si="112"/>
        <v>0</v>
      </c>
      <c r="J216" s="43" t="b">
        <f t="array" ref="J216">NOT(OR(($H$9:$H$1273=TRUE)*($I$9:$I$1273&gt;0)*($BT$9:$BT$1273=BT216)*($K$9:$K$1273&gt;K216)))</f>
        <v>1</v>
      </c>
      <c r="K216" s="72">
        <f t="shared" si="113"/>
        <v>0.87659818667253941</v>
      </c>
      <c r="L216" s="72">
        <f t="shared" si="114"/>
        <v>0.99968713952200428</v>
      </c>
      <c r="M216" s="72">
        <f t="shared" si="115"/>
        <v>0.75350923382307444</v>
      </c>
      <c r="N216" s="72">
        <f t="shared" si="116"/>
        <v>0.65186799516821203</v>
      </c>
      <c r="O216" s="72">
        <f t="shared" si="117"/>
        <v>0.64561676760654618</v>
      </c>
      <c r="P216" s="72">
        <f t="shared" si="118"/>
        <v>0.96304293869446511</v>
      </c>
      <c r="Q216" s="72"/>
      <c r="R216" s="72"/>
      <c r="S216" s="72">
        <f t="shared" si="119"/>
        <v>0.44508339247070483</v>
      </c>
      <c r="T216" s="72">
        <f t="shared" si="120"/>
        <v>0.49310773034739308</v>
      </c>
      <c r="U216" s="72">
        <f t="shared" si="121"/>
        <v>0.52659034429014195</v>
      </c>
      <c r="V216" s="72">
        <f t="shared" si="122"/>
        <v>0.58277111692549766</v>
      </c>
      <c r="W216" s="72">
        <f t="shared" si="123"/>
        <v>0.85389577852937493</v>
      </c>
      <c r="X216" s="72">
        <f t="shared" si="124"/>
        <v>3.1286047799572447E-4</v>
      </c>
      <c r="Y216" s="72">
        <f t="shared" si="125"/>
        <v>0.24649076617692556</v>
      </c>
      <c r="Z216" s="72">
        <f t="shared" si="126"/>
        <v>0.34813200483178797</v>
      </c>
      <c r="AA216" s="72">
        <f t="shared" si="127"/>
        <v>0.35438323239345382</v>
      </c>
      <c r="AB216" s="72">
        <f t="shared" si="128"/>
        <v>3.6957061305534888E-2</v>
      </c>
      <c r="AC216" s="72"/>
      <c r="AD216" s="72"/>
      <c r="AE216" s="72">
        <f t="shared" si="129"/>
        <v>0.55491660752929517</v>
      </c>
      <c r="AF216" s="72">
        <f t="shared" si="130"/>
        <v>0.50689226965260692</v>
      </c>
      <c r="AG216" s="72">
        <f t="shared" si="131"/>
        <v>0.47340965570985805</v>
      </c>
      <c r="AH216" s="72">
        <f t="shared" si="132"/>
        <v>0.41722888307450234</v>
      </c>
      <c r="AI216" s="72">
        <f t="shared" si="133"/>
        <v>0.1461042214706251</v>
      </c>
      <c r="AJ216" s="72">
        <f>(AV216-Driver!$K$179)/(Driver!$L$179-Driver!$K$179)</f>
        <v>0.25453226976069615</v>
      </c>
      <c r="AK216" s="72">
        <f>(AW216-Driver!$K$180)/(Driver!$L$180-Driver!$K$180)</f>
        <v>0.30605682583110766</v>
      </c>
      <c r="AL216" s="72">
        <f>(AX216-Driver!$K$181)/(Driver!$L$181-Driver!$K$181)</f>
        <v>0.44981976854486816</v>
      </c>
      <c r="AM216" s="72">
        <f>(AY216-Driver!$K$182)/(Driver!$L$182-Driver!$K$182)</f>
        <v>9.3001788703592533E-2</v>
      </c>
      <c r="AN216" s="72">
        <f>(AZ216-Driver!$K$183)/(Driver!$L$183-Driver!$K$183)</f>
        <v>0.29117647058823531</v>
      </c>
      <c r="AO216" s="72"/>
      <c r="AP216" s="72"/>
      <c r="AQ216" s="72">
        <f>(BC216-Driver!$K$188)/(Driver!$L$188-Driver!$K$188)</f>
        <v>6.5083392470704798E-2</v>
      </c>
      <c r="AR216" s="72">
        <f>MIN((BD216-Driver!$K$189)/(Driver!$L$189-Driver!$K$189),100%)</f>
        <v>4.3107730347393167E-2</v>
      </c>
      <c r="AS216" s="72">
        <f>(BE216-Driver!$K$190)/(Driver!$L$190-Driver!$K$190)</f>
        <v>3.6590344290141935E-2</v>
      </c>
      <c r="AT216" s="72">
        <f>(BF216-Driver!$K$191)/(Driver!$L$191-Driver!$K$191)</f>
        <v>9.2771116925497665E-2</v>
      </c>
      <c r="AU216" s="72">
        <f>(BG216-Driver!$K$192)/(Driver!$L$192-Driver!$K$192)</f>
        <v>0.1038957785293749</v>
      </c>
      <c r="AV216" s="70">
        <f t="shared" si="134"/>
        <v>5.3571428571428577</v>
      </c>
      <c r="AW216" s="70">
        <f t="shared" si="135"/>
        <v>31.699842238057773</v>
      </c>
      <c r="AX216" s="70">
        <f t="shared" si="136"/>
        <v>5.0483779169038137</v>
      </c>
      <c r="AY216" s="70">
        <f>IFERROR(Driver!$K$19/Data!BH216/Data!BI216*Data!BK216*Data!BL216,"")</f>
        <v>0.11386193842871499</v>
      </c>
      <c r="AZ216" s="70">
        <f t="shared" si="137"/>
        <v>26.537602382725243</v>
      </c>
      <c r="BA216" s="70"/>
      <c r="BB216" s="70"/>
      <c r="BC216" s="70">
        <f t="shared" si="138"/>
        <v>33.75920812695864</v>
      </c>
      <c r="BD216" s="70">
        <f t="shared" si="139"/>
        <v>5.5357806374636294</v>
      </c>
      <c r="BE216" s="70">
        <f t="shared" si="140"/>
        <v>3.6762205729083008E-2</v>
      </c>
      <c r="BF216" s="70">
        <f t="shared" si="141"/>
        <v>10.477845902751856</v>
      </c>
      <c r="BG216" s="70">
        <f t="shared" si="142"/>
        <v>0.39341569585368902</v>
      </c>
      <c r="BH216" s="67">
        <f>MAX((CE216-Driver!$F$200)/(Driver!$G$200-Driver!$F$200)*$BI$1,1)</f>
        <v>5.0483779169038137</v>
      </c>
      <c r="BI216" s="67">
        <f>MAX($BI$1*(BY216-Driver!$F$201)/(Driver!$G$201-Driver!$F$201),1)</f>
        <v>6.8354430379746836</v>
      </c>
      <c r="BJ216" s="67">
        <f>(CB216-Driver!$F$206)/(Driver!$G$206-Driver!$F$206)*$BI$1</f>
        <v>6.1904761904761907</v>
      </c>
      <c r="BK216" s="67">
        <f>(CD216-Driver!$F$203)/(Driver!$G$203-Driver!$F$203)*$BI$1</f>
        <v>3.1651376146788994</v>
      </c>
      <c r="BL216" s="67">
        <f>MAX((CR216-Driver!$F$202)/(Driver!$G$202-Driver!$F$202)*$BI$1,1)</f>
        <v>6.2068965517241379</v>
      </c>
      <c r="BM216" s="67">
        <f>MAX((CH216-Driver!$F$204)/(Driver!$G$204-Driver!$F$204)*$BI$1,1)</f>
        <v>3.4615384615384617</v>
      </c>
      <c r="BN216" s="67">
        <f>(CI216-Driver!$F$205)/(Driver!$G$205-Driver!$F$205)*$BI$1</f>
        <v>3.8823529411764706</v>
      </c>
      <c r="BO216" s="67">
        <f>(CK216-Driver!$F$207)/(Driver!$G$207-Driver!$F$207)*$BI$1</f>
        <v>1.9441571871768357</v>
      </c>
      <c r="BP216" s="67">
        <f>(CM216-Driver!$F$208)/(Driver!$G$208-Driver!$F$208)*$BI$1</f>
        <v>2.7555555555555555</v>
      </c>
      <c r="BQ216" s="67">
        <f>(CL216-Driver!$F$209)/(Driver!$G$209-Driver!$F$209)*$BI$1</f>
        <v>6.875</v>
      </c>
      <c r="BR216" s="28" t="s">
        <v>155</v>
      </c>
      <c r="BS216" s="8" t="s">
        <v>332</v>
      </c>
      <c r="BT216" s="9" t="s">
        <v>410</v>
      </c>
      <c r="BU216" s="10">
        <v>172</v>
      </c>
      <c r="BV216" s="9" t="s">
        <v>163</v>
      </c>
      <c r="BW216" s="10">
        <v>172</v>
      </c>
      <c r="BX216" s="10">
        <v>170.6</v>
      </c>
      <c r="BY216" s="10">
        <v>116</v>
      </c>
      <c r="BZ216" s="10">
        <v>142</v>
      </c>
      <c r="CA216" s="10">
        <v>135</v>
      </c>
      <c r="CB216" s="10">
        <v>103</v>
      </c>
      <c r="CC216" s="10">
        <v>125</v>
      </c>
      <c r="CD216" s="10">
        <v>16.3</v>
      </c>
      <c r="CE216" s="10">
        <v>1787</v>
      </c>
      <c r="CF216" s="10">
        <v>1.0900000000000001</v>
      </c>
      <c r="CG216" s="10">
        <v>1945</v>
      </c>
      <c r="CH216" s="10">
        <v>182</v>
      </c>
      <c r="CI216" s="10">
        <v>99</v>
      </c>
      <c r="CJ216" s="10">
        <v>62</v>
      </c>
      <c r="CK216" s="10">
        <v>298</v>
      </c>
      <c r="CL216" s="10">
        <v>44</v>
      </c>
      <c r="CM216" s="10">
        <v>248</v>
      </c>
      <c r="CN216" s="10">
        <v>0.71299999999999997</v>
      </c>
      <c r="CO216" s="10">
        <v>140</v>
      </c>
      <c r="CP216" s="10">
        <v>151</v>
      </c>
      <c r="CQ216" s="10">
        <v>159</v>
      </c>
      <c r="CR216" s="10">
        <v>7</v>
      </c>
      <c r="CS216" s="10">
        <v>8.8000000000000007</v>
      </c>
      <c r="CT216" s="9" t="s">
        <v>188</v>
      </c>
      <c r="CU216" s="9" t="s">
        <v>169</v>
      </c>
      <c r="CV216" s="9" t="s">
        <v>185</v>
      </c>
      <c r="CW216" s="10"/>
      <c r="CX216" t="str">
        <f>INDEX('Data_Price '!AG$2:AG$1266,MATCH(Data!$DN216,'Data_Price '!$AT$2:$AT$1266,0))</f>
        <v>Nordica Santa Ana Free 104 21/22</v>
      </c>
      <c r="CY216" t="str">
        <f>INDEX('Data_Price '!AH$2:AH$1266,MATCH(Data!$DN216,'Data_Price '!$AT$2:$AT$1266,0))</f>
        <v>Snowcountry.eu</v>
      </c>
      <c r="CZ216">
        <f>INDEX('Data_Price '!AI$2:AI$1266,MATCH(Data!$DN216,'Data_Price '!$AT$2:$AT$1266,0))</f>
        <v>414</v>
      </c>
      <c r="DA216" t="str">
        <f>INDEX('Data_Price '!AJ$2:AJ$1266,MATCH(Data!$DN216,'Data_Price '!$AT$2:$AT$1266,0))</f>
        <v>https://tinyurl.com/y8u4hxjw</v>
      </c>
      <c r="DB216" t="str">
        <f>INDEX('Data_Price '!AK$2:AK$1266,MATCH(Data!$DN216,'Data_Price '!$AT$2:$AT$1266,0))</f>
        <v>Nordica Santa Ana 104 Free Skis</v>
      </c>
      <c r="DC216" t="str">
        <f>INDEX('Data_Price '!AL$2:AL$1266,MATCH(Data!$DN216,'Data_Price '!$AT$2:$AT$1266,0))</f>
        <v>Cole Sport</v>
      </c>
      <c r="DD216">
        <f>INDEX('Data_Price '!AM$2:AM$1266,MATCH(Data!$DN216,'Data_Price '!$AT$2:$AT$1266,0))</f>
        <v>599.99</v>
      </c>
      <c r="DE216" t="str">
        <f>INDEX('Data_Price '!AN$2:AN$1266,MATCH(Data!$DN216,'Data_Price '!$AT$2:$AT$1266,0))</f>
        <v>https://tinyurl.com/y8xwh5gx</v>
      </c>
      <c r="DF216" t="str">
        <f>INDEX('Data_Price '!AO$2:AO$1266,MATCH(Data!$DN216,'Data_Price '!$AT$2:$AT$1266,0))</f>
        <v>Nordica 2022 Santa Ana 104 Women's Skis w/Tyrolia Attack2 13 GW Bindings (172)</v>
      </c>
      <c r="DG216" t="str">
        <f>INDEX('Data_Price '!AP$2:AP$1266,MATCH(Data!$DN216,'Data_Price '!$AT$2:$AT$1266,0))</f>
        <v>SkiEssentials.com</v>
      </c>
      <c r="DH216">
        <f>INDEX('Data_Price '!AQ$2:AQ$1266,MATCH(Data!$DN216,'Data_Price '!$AT$2:$AT$1266,0))</f>
        <v>774.99</v>
      </c>
      <c r="DI216" t="str">
        <f>INDEX('Data_Price '!AR$2:AR$1266,MATCH(Data!$DN216,'Data_Price '!$AT$2:$AT$1266,0))</f>
        <v>https://tinyurl.com/y828vnnf</v>
      </c>
      <c r="DJ216" s="89" t="str">
        <f t="shared" si="143"/>
        <v>https://tinyurl.com/y8u4hxjw</v>
      </c>
      <c r="DK216" s="89" t="str">
        <f t="shared" si="144"/>
        <v>https://tinyurl.com/y8xwh5gx</v>
      </c>
      <c r="DL216" s="89" t="str">
        <f t="shared" si="145"/>
        <v>https://tinyurl.com/y828vnnf</v>
      </c>
      <c r="DM216" s="219" t="str">
        <f t="shared" si="146"/>
        <v>Santa Ana 104 Free</v>
      </c>
      <c r="DN216" s="89" t="str">
        <f t="shared" si="147"/>
        <v xml:space="preserve"> NordicaSanta Ana 104 Free172 Women's</v>
      </c>
      <c r="DO216" s="221" t="s">
        <v>434</v>
      </c>
    </row>
    <row r="217" spans="2:119" ht="15.6" customHeight="1">
      <c r="B217" s="219" t="b">
        <f t="array" ref="B217">IF(OR(ISERROR(K217:P217)),FALSE,TRUE)</f>
        <v>1</v>
      </c>
      <c r="C217" s="43" t="b">
        <f>OR(BR217=Driver!$G$50,Data!BR863=Driver!$H$50)</f>
        <v>1</v>
      </c>
      <c r="D217" s="43" t="b">
        <f>OR(BV217=Driver!$G$51,BV217=Driver!$H$51)</f>
        <v>1</v>
      </c>
      <c r="E217" s="43" t="b">
        <f>AND(BX217&gt;Driver!$F$54,BX217&lt;Driver!$G$54)</f>
        <v>0</v>
      </c>
      <c r="F217" s="43" t="b">
        <f>CL217&gt;Driver!$F$56</f>
        <v>1</v>
      </c>
      <c r="G217" s="43" t="b">
        <f>AND(CB217&gt;Driver!$F$55,CB217&lt;Driver!$G$55)</f>
        <v>0</v>
      </c>
      <c r="H217" s="43" t="b">
        <f t="shared" si="111"/>
        <v>0</v>
      </c>
      <c r="I217" s="43">
        <f t="shared" si="112"/>
        <v>0</v>
      </c>
      <c r="J217" s="43" t="b">
        <f t="array" ref="J217">NOT(OR(($H$9:$H$1273=TRUE)*($I$9:$I$1273&gt;0)*($BT$9:$BT$1273=BT217)*($K$9:$K$1273&gt;K217)))</f>
        <v>1</v>
      </c>
      <c r="K217" s="72">
        <f t="shared" si="113"/>
        <v>0.84546826270567887</v>
      </c>
      <c r="L217" s="72">
        <f t="shared" si="114"/>
        <v>0.897742559938152</v>
      </c>
      <c r="M217" s="72">
        <f t="shared" si="115"/>
        <v>0.79319396547320586</v>
      </c>
      <c r="N217" s="72">
        <f t="shared" si="116"/>
        <v>0.77771381822519048</v>
      </c>
      <c r="O217" s="72">
        <f t="shared" si="117"/>
        <v>0.65389866891172665</v>
      </c>
      <c r="P217" s="72">
        <f t="shared" si="118"/>
        <v>0.94796940928270046</v>
      </c>
      <c r="Q217" s="72"/>
      <c r="R217" s="72"/>
      <c r="S217" s="72">
        <f t="shared" si="119"/>
        <v>0.46784523515317133</v>
      </c>
      <c r="T217" s="72">
        <f t="shared" si="120"/>
        <v>0.51037153332274632</v>
      </c>
      <c r="U217" s="72">
        <f t="shared" si="121"/>
        <v>0.73037438240427566</v>
      </c>
      <c r="V217" s="72">
        <f t="shared" si="122"/>
        <v>0.52314941687548466</v>
      </c>
      <c r="W217" s="72">
        <f t="shared" si="123"/>
        <v>0.7981140102098695</v>
      </c>
      <c r="X217" s="72">
        <f t="shared" si="124"/>
        <v>0.10225744006184798</v>
      </c>
      <c r="Y217" s="72">
        <f t="shared" si="125"/>
        <v>0.20680603452679414</v>
      </c>
      <c r="Z217" s="72">
        <f t="shared" si="126"/>
        <v>0.22228618177480952</v>
      </c>
      <c r="AA217" s="72">
        <f t="shared" si="127"/>
        <v>0.34610133108827335</v>
      </c>
      <c r="AB217" s="72">
        <f t="shared" si="128"/>
        <v>5.2030590717299596E-2</v>
      </c>
      <c r="AC217" s="72"/>
      <c r="AD217" s="72"/>
      <c r="AE217" s="72">
        <f t="shared" si="129"/>
        <v>0.53215476484682867</v>
      </c>
      <c r="AF217" s="72">
        <f t="shared" si="130"/>
        <v>0.48962846667725368</v>
      </c>
      <c r="AG217" s="72">
        <f t="shared" si="131"/>
        <v>0.2696256175957244</v>
      </c>
      <c r="AH217" s="72">
        <f t="shared" si="132"/>
        <v>0.47685058312451528</v>
      </c>
      <c r="AI217" s="72">
        <f t="shared" si="133"/>
        <v>0.20188598979013048</v>
      </c>
      <c r="AJ217" s="72">
        <f>(AV217-Driver!$K$179)/(Driver!$L$179-Driver!$K$179)</f>
        <v>0.15196196922085245</v>
      </c>
      <c r="AK217" s="72">
        <f>(AW217-Driver!$K$180)/(Driver!$L$180-Driver!$K$180)</f>
        <v>0.30863552550786544</v>
      </c>
      <c r="AL217" s="72">
        <f>(AX217-Driver!$K$181)/(Driver!$L$181-Driver!$K$181)</f>
        <v>0.32397394548788971</v>
      </c>
      <c r="AM217" s="72">
        <f>(AY217-Driver!$K$182)/(Driver!$L$182-Driver!$K$182)</f>
        <v>0.10128369000877303</v>
      </c>
      <c r="AN217" s="72">
        <f>(AZ217-Driver!$K$183)/(Driver!$L$183-Driver!$K$183)</f>
        <v>0.30625000000000002</v>
      </c>
      <c r="AO217" s="72"/>
      <c r="AP217" s="72"/>
      <c r="AQ217" s="72">
        <f>(BC217-Driver!$K$188)/(Driver!$L$188-Driver!$K$188)</f>
        <v>8.7845235153171372E-2</v>
      </c>
      <c r="AR217" s="72">
        <f>MIN((BD217-Driver!$K$189)/(Driver!$L$189-Driver!$K$189),100%)</f>
        <v>6.0371533322746355E-2</v>
      </c>
      <c r="AS217" s="72">
        <f>(BE217-Driver!$K$190)/(Driver!$L$190-Driver!$K$190)</f>
        <v>0.24037438240427561</v>
      </c>
      <c r="AT217" s="72">
        <f>(BF217-Driver!$K$191)/(Driver!$L$191-Driver!$K$191)</f>
        <v>3.3149416875484713E-2</v>
      </c>
      <c r="AU217" s="72">
        <f>(BG217-Driver!$K$192)/(Driver!$L$192-Driver!$K$192)</f>
        <v>4.811401020986953E-2</v>
      </c>
      <c r="AV217" s="70">
        <f t="shared" si="134"/>
        <v>3.1983448650115314</v>
      </c>
      <c r="AW217" s="70">
        <f t="shared" si="135"/>
        <v>31.951159371161406</v>
      </c>
      <c r="AX217" s="70">
        <f t="shared" si="136"/>
        <v>3.9157655093910075</v>
      </c>
      <c r="AY217" s="70">
        <f>IFERROR(Driver!$K$19/Data!BH217/Data!BI217*Data!BK217*Data!BL217,"")</f>
        <v>0.12400145670710623</v>
      </c>
      <c r="AZ217" s="70">
        <f t="shared" si="137"/>
        <v>27.911392405063292</v>
      </c>
      <c r="BA217" s="70"/>
      <c r="BB217" s="70"/>
      <c r="BC217" s="70">
        <f t="shared" si="138"/>
        <v>45.565934164117195</v>
      </c>
      <c r="BD217" s="70">
        <f t="shared" si="139"/>
        <v>7.0635966111335993</v>
      </c>
      <c r="BE217" s="70">
        <f t="shared" si="140"/>
        <v>0.24050989106450416</v>
      </c>
      <c r="BF217" s="70">
        <f t="shared" si="141"/>
        <v>3.7439937482519152</v>
      </c>
      <c r="BG217" s="70">
        <f t="shared" si="142"/>
        <v>0.18219033607487237</v>
      </c>
      <c r="BH217" s="67">
        <f>MAX((CE217-Driver!$F$200)/(Driver!$G$200-Driver!$F$200)*$BI$1,1)</f>
        <v>3.9157655093910075</v>
      </c>
      <c r="BI217" s="67">
        <f>MAX($BI$1*(BY217-Driver!$F$201)/(Driver!$G$201-Driver!$F$201),1)</f>
        <v>7.5316455696202533</v>
      </c>
      <c r="BJ217" s="67">
        <f>(CB217-Driver!$F$206)/(Driver!$G$206-Driver!$F$206)*$BI$1</f>
        <v>3.6507936507936507</v>
      </c>
      <c r="BK217" s="67">
        <f>(CD217-Driver!$F$203)/(Driver!$G$203-Driver!$F$203)*$BI$1</f>
        <v>3.1192660550458715</v>
      </c>
      <c r="BL217" s="67">
        <f>MAX((CR217-Driver!$F$202)/(Driver!$G$202-Driver!$F$202)*$BI$1,1)</f>
        <v>5.8620689655172411</v>
      </c>
      <c r="BM217" s="67">
        <f>MAX((CH217-Driver!$F$204)/(Driver!$G$204-Driver!$F$204)*$BI$1,1)</f>
        <v>3.5042735042735043</v>
      </c>
      <c r="BN217" s="67">
        <f>(CI217-Driver!$F$205)/(Driver!$G$205-Driver!$F$205)*$BI$1</f>
        <v>3.7058823529411766</v>
      </c>
      <c r="BO217" s="67">
        <f>(CK217-Driver!$F$207)/(Driver!$G$207-Driver!$F$207)*$BI$1</f>
        <v>1.7993795243019648</v>
      </c>
      <c r="BP217" s="67">
        <f>(CM217-Driver!$F$208)/(Driver!$G$208-Driver!$F$208)*$BI$1</f>
        <v>1.7777777777777779</v>
      </c>
      <c r="BQ217" s="67">
        <f>(CL217-Driver!$F$209)/(Driver!$G$209-Driver!$F$209)*$BI$1</f>
        <v>2.5</v>
      </c>
      <c r="BR217" s="28" t="s">
        <v>155</v>
      </c>
      <c r="BS217" s="8" t="s">
        <v>208</v>
      </c>
      <c r="BT217" s="9" t="s">
        <v>435</v>
      </c>
      <c r="BU217" s="10">
        <v>172</v>
      </c>
      <c r="BV217" s="9" t="s">
        <v>158</v>
      </c>
      <c r="BW217" s="10">
        <v>172</v>
      </c>
      <c r="BX217" s="10">
        <v>171.9</v>
      </c>
      <c r="BY217" s="10">
        <v>127</v>
      </c>
      <c r="BZ217" s="10">
        <v>146</v>
      </c>
      <c r="CA217" s="10">
        <v>126</v>
      </c>
      <c r="CB217" s="10">
        <v>87</v>
      </c>
      <c r="CC217" s="10">
        <v>112</v>
      </c>
      <c r="CD217" s="10">
        <v>16.2</v>
      </c>
      <c r="CE217" s="10">
        <v>1588</v>
      </c>
      <c r="CF217" s="10">
        <v>1.08</v>
      </c>
      <c r="CG217" s="10">
        <v>1709</v>
      </c>
      <c r="CH217" s="10">
        <v>183</v>
      </c>
      <c r="CI217" s="10">
        <v>96</v>
      </c>
      <c r="CJ217" s="10">
        <v>44</v>
      </c>
      <c r="CK217" s="10">
        <v>284</v>
      </c>
      <c r="CL217" s="10">
        <v>16</v>
      </c>
      <c r="CM217" s="10">
        <v>160</v>
      </c>
      <c r="CN217" s="10">
        <v>0.35899999999999999</v>
      </c>
      <c r="CO217" s="10">
        <v>147</v>
      </c>
      <c r="CP217" s="10">
        <v>108</v>
      </c>
      <c r="CQ217" s="10">
        <v>138</v>
      </c>
      <c r="CR217" s="10">
        <v>6</v>
      </c>
      <c r="CS217" s="10">
        <v>9.6999999999999993</v>
      </c>
      <c r="CT217" s="9" t="s">
        <v>188</v>
      </c>
      <c r="CU217" s="9" t="s">
        <v>185</v>
      </c>
      <c r="CV217" s="10"/>
      <c r="CW217" s="10"/>
      <c r="CX217" t="str">
        <f>INDEX('Data_Price '!AG$2:AG$1266,MATCH(Data!$DN217,'Data_Price '!$AT$2:$AT$1266,0))</f>
        <v>'22 Line Sick Day 88 Skis 172cm</v>
      </c>
      <c r="CY217" t="str">
        <f>INDEX('Data_Price '!AH$2:AH$1266,MATCH(Data!$DN217,'Data_Price '!$AT$2:$AT$1266,0))</f>
        <v>Al's Ski Equipment Barn</v>
      </c>
      <c r="CZ217">
        <f>INDEX('Data_Price '!AI$2:AI$1266,MATCH(Data!$DN217,'Data_Price '!$AT$2:$AT$1266,0))</f>
        <v>399.95</v>
      </c>
      <c r="DA217" t="str">
        <f>INDEX('Data_Price '!AJ$2:AJ$1266,MATCH(Data!$DN217,'Data_Price '!$AT$2:$AT$1266,0))</f>
        <v>https://tinyurl.com/yabjdzzl</v>
      </c>
      <c r="DB217" t="str">
        <f>INDEX('Data_Price '!AK$2:AK$1266,MATCH(Data!$DN217,'Data_Price '!$AT$2:$AT$1266,0))</f>
        <v>Line Sick Day 88 Skis</v>
      </c>
      <c r="DC217" t="str">
        <f>INDEX('Data_Price '!AL$2:AL$1266,MATCH(Data!$DN217,'Data_Price '!$AT$2:$AT$1266,0))</f>
        <v>LINE Skis</v>
      </c>
      <c r="DD217">
        <f>INDEX('Data_Price '!AM$2:AM$1266,MATCH(Data!$DN217,'Data_Price '!$AT$2:$AT$1266,0))</f>
        <v>399.95</v>
      </c>
      <c r="DE217" t="str">
        <f>INDEX('Data_Price '!AN$2:AN$1266,MATCH(Data!$DN217,'Data_Price '!$AT$2:$AT$1266,0))</f>
        <v>https://tinyurl.com/y9xx42o7</v>
      </c>
      <c r="DF217" t="str">
        <f>INDEX('Data_Price '!AO$2:AO$1266,MATCH(Data!$DN217,'Data_Price '!$AT$2:$AT$1266,0))</f>
        <v>Line Other | Line Sick Day All-Mountain Rocker Skis 172 Cm Wo Bindings | Color: Black/Yellow | Size: 172 Cm | Chrispy_Kicks's Closet</v>
      </c>
      <c r="DG217" t="str">
        <f>INDEX('Data_Price '!AP$2:AP$1266,MATCH(Data!$DN217,'Data_Price '!$AT$2:$AT$1266,0))</f>
        <v>Poshmark</v>
      </c>
      <c r="DH217">
        <f>INDEX('Data_Price '!AQ$2:AQ$1266,MATCH(Data!$DN217,'Data_Price '!$AT$2:$AT$1266,0))</f>
        <v>200</v>
      </c>
      <c r="DI217" t="str">
        <f>INDEX('Data_Price '!AR$2:AR$1266,MATCH(Data!$DN217,'Data_Price '!$AT$2:$AT$1266,0))</f>
        <v>https://tinyurl.com/yaclpmos</v>
      </c>
      <c r="DJ217" s="89" t="str">
        <f t="shared" si="143"/>
        <v>https://tinyurl.com/yabjdzzl</v>
      </c>
      <c r="DK217" s="89" t="str">
        <f t="shared" si="144"/>
        <v>https://tinyurl.com/y9xx42o7</v>
      </c>
      <c r="DL217" s="89" t="str">
        <f t="shared" si="145"/>
        <v>https://tinyurl.com/yaclpmos</v>
      </c>
      <c r="DM217" s="219" t="str">
        <f t="shared" si="146"/>
        <v>Sick Day 88</v>
      </c>
      <c r="DN217" s="89" t="str">
        <f t="shared" si="147"/>
        <v xml:space="preserve"> LineSick Day 88172 Unisex</v>
      </c>
      <c r="DO217" s="221"/>
    </row>
    <row r="218" spans="2:119" ht="15.6" customHeight="1">
      <c r="B218" s="219" t="b">
        <f t="array" ref="B218">IF(OR(ISERROR(K218:P218)),FALSE,TRUE)</f>
        <v>1</v>
      </c>
      <c r="C218" s="43" t="b">
        <f>OR(BR218=Driver!$G$50,Data!BR503=Driver!$H$50)</f>
        <v>1</v>
      </c>
      <c r="D218" s="43" t="b">
        <f>OR(BV218=Driver!$G$51,BV218=Driver!$H$51)</f>
        <v>1</v>
      </c>
      <c r="E218" s="43" t="b">
        <f>AND(BX218&gt;Driver!$F$54,BX218&lt;Driver!$G$54)</f>
        <v>0</v>
      </c>
      <c r="F218" s="43" t="b">
        <f>CL218&gt;Driver!$F$56</f>
        <v>1</v>
      </c>
      <c r="G218" s="43" t="b">
        <f>AND(CB218&gt;Driver!$F$55,CB218&lt;Driver!$G$55)</f>
        <v>1</v>
      </c>
      <c r="H218" s="43" t="b">
        <f t="shared" si="111"/>
        <v>0</v>
      </c>
      <c r="I218" s="43">
        <f t="shared" si="112"/>
        <v>1</v>
      </c>
      <c r="J218" s="43" t="b">
        <f t="array" ref="J218">NOT(OR(($H$9:$H$1273=TRUE)*($I$9:$I$1273&gt;0)*($BT$9:$BT$1273=BT218)*($K$9:$K$1273&gt;K218)))</f>
        <v>0</v>
      </c>
      <c r="K218" s="72">
        <f t="shared" si="113"/>
        <v>0.80248775482071666</v>
      </c>
      <c r="L218" s="72">
        <f t="shared" si="114"/>
        <v>0.86843260725224369</v>
      </c>
      <c r="M218" s="72">
        <f t="shared" si="115"/>
        <v>0.73654290238918974</v>
      </c>
      <c r="N218" s="72">
        <f t="shared" si="116"/>
        <v>0.5772458488329183</v>
      </c>
      <c r="O218" s="72">
        <f t="shared" si="117"/>
        <v>0.66835952748332306</v>
      </c>
      <c r="P218" s="72">
        <f t="shared" si="118"/>
        <v>0.96402333085132785</v>
      </c>
      <c r="Q218" s="72"/>
      <c r="R218" s="72"/>
      <c r="S218" s="72">
        <f t="shared" si="119"/>
        <v>0.47523505976144442</v>
      </c>
      <c r="T218" s="72">
        <f t="shared" si="120"/>
        <v>0.50862855369932247</v>
      </c>
      <c r="U218" s="72">
        <f t="shared" si="121"/>
        <v>0.5167578183985484</v>
      </c>
      <c r="V218" s="72">
        <f t="shared" si="122"/>
        <v>0.55934838130641129</v>
      </c>
      <c r="W218" s="72">
        <f t="shared" si="123"/>
        <v>0.81564676616915421</v>
      </c>
      <c r="X218" s="72">
        <f t="shared" si="124"/>
        <v>0.13156739274775636</v>
      </c>
      <c r="Y218" s="72">
        <f t="shared" si="125"/>
        <v>0.26345709761081026</v>
      </c>
      <c r="Z218" s="72">
        <f t="shared" si="126"/>
        <v>0.4227541511670817</v>
      </c>
      <c r="AA218" s="72">
        <f t="shared" si="127"/>
        <v>0.33164047251667694</v>
      </c>
      <c r="AB218" s="72">
        <f t="shared" si="128"/>
        <v>3.5976669148672147E-2</v>
      </c>
      <c r="AC218" s="72"/>
      <c r="AD218" s="72"/>
      <c r="AE218" s="72">
        <f t="shared" si="129"/>
        <v>0.52476494023855558</v>
      </c>
      <c r="AF218" s="72">
        <f t="shared" si="130"/>
        <v>0.49137144630067753</v>
      </c>
      <c r="AG218" s="72">
        <f t="shared" si="131"/>
        <v>0.4832421816014516</v>
      </c>
      <c r="AH218" s="72">
        <f t="shared" si="132"/>
        <v>0.44065161869358871</v>
      </c>
      <c r="AI218" s="72">
        <f t="shared" si="133"/>
        <v>0.18435323383084579</v>
      </c>
      <c r="AJ218" s="72">
        <f>(AV218-Driver!$K$179)/(Driver!$L$179-Driver!$K$179)</f>
        <v>0.38578680203045679</v>
      </c>
      <c r="AK218" s="72">
        <f>(AW218-Driver!$K$180)/(Driver!$L$180-Driver!$K$180)</f>
        <v>0.31231681121031085</v>
      </c>
      <c r="AL218" s="72">
        <f>(AX218-Driver!$K$181)/(Driver!$L$181-Driver!$K$181)</f>
        <v>0.5244419148801619</v>
      </c>
      <c r="AM218" s="72">
        <f>(AY218-Driver!$K$182)/(Driver!$L$182-Driver!$K$182)</f>
        <v>0.11574454858036942</v>
      </c>
      <c r="AN218" s="72">
        <f>(AZ218-Driver!$K$183)/(Driver!$L$183-Driver!$K$183)</f>
        <v>0.29019607843137257</v>
      </c>
      <c r="AO218" s="72"/>
      <c r="AP218" s="72"/>
      <c r="AQ218" s="72">
        <f>(BC218-Driver!$K$188)/(Driver!$L$188-Driver!$K$188)</f>
        <v>9.5235059761444418E-2</v>
      </c>
      <c r="AR218" s="72">
        <f>MIN((BD218-Driver!$K$189)/(Driver!$L$189-Driver!$K$189),100%)</f>
        <v>5.8628553699322523E-2</v>
      </c>
      <c r="AS218" s="72">
        <f>(BE218-Driver!$K$190)/(Driver!$L$190-Driver!$K$190)</f>
        <v>2.6757818398548426E-2</v>
      </c>
      <c r="AT218" s="72">
        <f>(BF218-Driver!$K$191)/(Driver!$L$191-Driver!$K$191)</f>
        <v>6.93483813064113E-2</v>
      </c>
      <c r="AU218" s="72">
        <f>(BG218-Driver!$K$192)/(Driver!$L$192-Driver!$K$192)</f>
        <v>6.5646766169154228E-2</v>
      </c>
      <c r="AV218" s="70">
        <f t="shared" si="134"/>
        <v>8.1196581196581192</v>
      </c>
      <c r="AW218" s="70">
        <f t="shared" si="135"/>
        <v>32.309933282374367</v>
      </c>
      <c r="AX218" s="70">
        <f t="shared" si="136"/>
        <v>5.7199772339214574</v>
      </c>
      <c r="AY218" s="70">
        <f>IFERROR(Driver!$K$19/Data!BH218/Data!BI218*Data!BK218*Data!BL218,"")</f>
        <v>0.14170586230249946</v>
      </c>
      <c r="AZ218" s="70">
        <f t="shared" si="137"/>
        <v>26.44825018615041</v>
      </c>
      <c r="BA218" s="70"/>
      <c r="BB218" s="70"/>
      <c r="BC218" s="70">
        <f t="shared" si="138"/>
        <v>49.399087561655641</v>
      </c>
      <c r="BD218" s="70">
        <f t="shared" si="139"/>
        <v>6.9093460028377338</v>
      </c>
      <c r="BE218" s="70">
        <f t="shared" si="140"/>
        <v>2.6931433849438764E-2</v>
      </c>
      <c r="BF218" s="70">
        <f t="shared" si="141"/>
        <v>7.8324124686068828</v>
      </c>
      <c r="BG218" s="70">
        <f t="shared" si="142"/>
        <v>0.24858053482587067</v>
      </c>
      <c r="BH218" s="67">
        <f>MAX((CE218-Driver!$F$200)/(Driver!$G$200-Driver!$F$200)*$BI$1,1)</f>
        <v>5.7199772339214574</v>
      </c>
      <c r="BI218" s="67">
        <f>MAX($BI$1*(BY218-Driver!$F$201)/(Driver!$G$201-Driver!$F$201),1)</f>
        <v>7.0253164556962027</v>
      </c>
      <c r="BJ218" s="67">
        <f>(CB218-Driver!$F$206)/(Driver!$G$206-Driver!$F$206)*$BI$1</f>
        <v>6.0317460317460316</v>
      </c>
      <c r="BK218" s="67">
        <f>(CD218-Driver!$F$203)/(Driver!$G$203-Driver!$F$203)*$BI$1</f>
        <v>4.5871559633027523</v>
      </c>
      <c r="BL218" s="67">
        <f>MAX((CR218-Driver!$F$202)/(Driver!$G$202-Driver!$F$202)*$BI$1,1)</f>
        <v>6.2068965517241379</v>
      </c>
      <c r="BM218" s="67">
        <f>MAX((CH218-Driver!$F$204)/(Driver!$G$204-Driver!$F$204)*$BI$1,1)</f>
        <v>5.3846153846153841</v>
      </c>
      <c r="BN218" s="67">
        <f>(CI218-Driver!$F$205)/(Driver!$G$205-Driver!$F$205)*$BI$1</f>
        <v>3.7647058823529411</v>
      </c>
      <c r="BO218" s="67">
        <f>(CK218-Driver!$F$207)/(Driver!$G$207-Driver!$F$207)*$BI$1</f>
        <v>1.9855222337125129</v>
      </c>
      <c r="BP218" s="67">
        <f>(CM218-Driver!$F$208)/(Driver!$G$208-Driver!$F$208)*$BI$1</f>
        <v>3</v>
      </c>
      <c r="BQ218" s="67">
        <f>(CL218-Driver!$F$209)/(Driver!$G$209-Driver!$F$209)*$BI$1</f>
        <v>7.65625</v>
      </c>
      <c r="BR218" s="28" t="s">
        <v>155</v>
      </c>
      <c r="BS218" s="8" t="s">
        <v>205</v>
      </c>
      <c r="BT218" s="9" t="s">
        <v>259</v>
      </c>
      <c r="BU218" s="10">
        <v>178</v>
      </c>
      <c r="BV218" s="9" t="s">
        <v>158</v>
      </c>
      <c r="BW218" s="10">
        <v>178</v>
      </c>
      <c r="BX218" s="10">
        <v>176.1</v>
      </c>
      <c r="BY218" s="10">
        <v>119</v>
      </c>
      <c r="BZ218" s="10">
        <v>147</v>
      </c>
      <c r="CA218" s="10">
        <v>131</v>
      </c>
      <c r="CB218" s="10">
        <v>102</v>
      </c>
      <c r="CC218" s="10">
        <v>127</v>
      </c>
      <c r="CD218" s="10">
        <v>19.399999999999999</v>
      </c>
      <c r="CE218" s="10">
        <v>1905</v>
      </c>
      <c r="CF218" s="10">
        <v>1.03</v>
      </c>
      <c r="CG218" s="10">
        <v>1969</v>
      </c>
      <c r="CH218" s="10">
        <v>227</v>
      </c>
      <c r="CI218" s="10">
        <v>97</v>
      </c>
      <c r="CJ218" s="10">
        <v>55</v>
      </c>
      <c r="CK218" s="10">
        <v>302</v>
      </c>
      <c r="CL218" s="10">
        <v>49</v>
      </c>
      <c r="CM218" s="10">
        <v>270</v>
      </c>
      <c r="CN218" s="10">
        <v>0.89100000000000001</v>
      </c>
      <c r="CO218" s="10">
        <v>149</v>
      </c>
      <c r="CP218" s="10">
        <v>141</v>
      </c>
      <c r="CQ218" s="10">
        <v>153</v>
      </c>
      <c r="CR218" s="10">
        <v>7</v>
      </c>
      <c r="CS218" s="10">
        <v>4.5999999999999996</v>
      </c>
      <c r="CT218" s="9" t="s">
        <v>184</v>
      </c>
      <c r="CU218" s="9" t="s">
        <v>169</v>
      </c>
      <c r="CV218" s="10"/>
      <c r="CW218" s="10"/>
      <c r="CX218" t="str">
        <f>INDEX('Data_Price '!AG$2:AG$1266,MATCH(Data!$DN218,'Data_Price '!$AT$2:$AT$1266,0))</f>
        <v>Faction Ct 2.0 Skis</v>
      </c>
      <c r="CY218" t="str">
        <f>INDEX('Data_Price '!AH$2:AH$1266,MATCH(Data!$DN218,'Data_Price '!$AT$2:$AT$1266,0))</f>
        <v>Blue Tomato</v>
      </c>
      <c r="CZ218">
        <f>INDEX('Data_Price '!AI$2:AI$1266,MATCH(Data!$DN218,'Data_Price '!$AT$2:$AT$1266,0))</f>
        <v>554.20000000000005</v>
      </c>
      <c r="DA218" t="str">
        <f>INDEX('Data_Price '!AJ$2:AJ$1266,MATCH(Data!$DN218,'Data_Price '!$AT$2:$AT$1266,0))</f>
        <v>https://tinyurl.com/y8uan8p6</v>
      </c>
      <c r="DB218" t="str">
        <f>INDEX('Data_Price '!AK$2:AK$1266,MATCH(Data!$DN218,'Data_Price '!$AT$2:$AT$1266,0))</f>
        <v>Faction Ct 2.0 Ski - 2022</v>
      </c>
      <c r="DC218" t="str">
        <f>INDEX('Data_Price '!AL$2:AL$1266,MATCH(Data!$DN218,'Data_Price '!$AT$2:$AT$1266,0))</f>
        <v>Next Adventure</v>
      </c>
      <c r="DD218">
        <f>INDEX('Data_Price '!AM$2:AM$1266,MATCH(Data!$DN218,'Data_Price '!$AT$2:$AT$1266,0))</f>
        <v>639.20000000000005</v>
      </c>
      <c r="DE218" t="str">
        <f>INDEX('Data_Price '!AN$2:AN$1266,MATCH(Data!$DN218,'Data_Price '!$AT$2:$AT$1266,0))</f>
        <v>https://tinyurl.com/yapknuhh</v>
      </c>
      <c r="DF218" t="str">
        <f>INDEX('Data_Price '!AO$2:AO$1266,MATCH(Data!$DN218,'Data_Price '!$AT$2:$AT$1266,0))</f>
        <v>Faction Ct 2.0 Skis</v>
      </c>
      <c r="DG218" t="str">
        <f>INDEX('Data_Price '!AP$2:AP$1266,MATCH(Data!$DN218,'Data_Price '!$AT$2:$AT$1266,0))</f>
        <v>The-House.com</v>
      </c>
      <c r="DH218">
        <f>INDEX('Data_Price '!AQ$2:AQ$1266,MATCH(Data!$DN218,'Data_Price '!$AT$2:$AT$1266,0))</f>
        <v>699</v>
      </c>
      <c r="DI218" t="str">
        <f>INDEX('Data_Price '!AR$2:AR$1266,MATCH(Data!$DN218,'Data_Price '!$AT$2:$AT$1266,0))</f>
        <v>https://tinyurl.com/y8qfck2r</v>
      </c>
      <c r="DJ218" s="89" t="str">
        <f t="shared" si="143"/>
        <v>https://tinyurl.com/y8uan8p6</v>
      </c>
      <c r="DK218" s="89" t="str">
        <f t="shared" si="144"/>
        <v>https://tinyurl.com/yapknuhh</v>
      </c>
      <c r="DL218" s="89" t="str">
        <f t="shared" si="145"/>
        <v>https://tinyurl.com/y8qfck2r</v>
      </c>
      <c r="DM218" s="219" t="str">
        <f t="shared" si="146"/>
        <v>CT 2.0</v>
      </c>
      <c r="DN218" s="89" t="str">
        <f t="shared" si="147"/>
        <v xml:space="preserve"> FactionCT 2.0178 Unisex</v>
      </c>
      <c r="DO218" s="221" t="s">
        <v>377</v>
      </c>
    </row>
    <row r="219" spans="2:119" ht="15.6" customHeight="1">
      <c r="B219" s="219" t="b">
        <f t="array" ref="B219">IF(OR(ISERROR(K219:P219)),FALSE,TRUE)</f>
        <v>1</v>
      </c>
      <c r="C219" s="43" t="b">
        <f>OR(BR219=Driver!$G$50,Data!BR510=Driver!$H$50)</f>
        <v>1</v>
      </c>
      <c r="D219" s="43" t="b">
        <f>OR(BV219=Driver!$G$51,BV219=Driver!$H$51)</f>
        <v>0</v>
      </c>
      <c r="E219" s="43" t="b">
        <f>AND(BX219&gt;Driver!$F$54,BX219&lt;Driver!$G$54)</f>
        <v>1</v>
      </c>
      <c r="F219" s="43" t="b">
        <f>CL219&gt;Driver!$F$56</f>
        <v>1</v>
      </c>
      <c r="G219" s="43" t="b">
        <f>AND(CB219&gt;Driver!$F$55,CB219&lt;Driver!$G$55)</f>
        <v>0</v>
      </c>
      <c r="H219" s="43" t="b">
        <f t="shared" si="111"/>
        <v>0</v>
      </c>
      <c r="I219" s="43">
        <f t="shared" si="112"/>
        <v>0</v>
      </c>
      <c r="J219" s="43" t="b">
        <f t="array" ref="J219">NOT(OR(($H$9:$H$1273=TRUE)*($I$9:$I$1273&gt;0)*($BT$9:$BT$1273=BT219)*($K$9:$K$1273&gt;K219)))</f>
        <v>1</v>
      </c>
      <c r="K219" s="72">
        <f t="shared" si="113"/>
        <v>0.83439844128145491</v>
      </c>
      <c r="L219" s="72">
        <f t="shared" si="114"/>
        <v>0.90354386523184305</v>
      </c>
      <c r="M219" s="72">
        <f t="shared" si="115"/>
        <v>0.76525301733106676</v>
      </c>
      <c r="N219" s="72">
        <f t="shared" si="116"/>
        <v>0.78656729321412366</v>
      </c>
      <c r="O219" s="72">
        <f t="shared" si="117"/>
        <v>0.64149195733951347</v>
      </c>
      <c r="P219" s="72">
        <f t="shared" si="118"/>
        <v>0.86769980143956316</v>
      </c>
      <c r="Q219" s="72"/>
      <c r="R219" s="72"/>
      <c r="S219" s="72">
        <f t="shared" si="119"/>
        <v>0.47335666619985717</v>
      </c>
      <c r="T219" s="72">
        <f t="shared" si="120"/>
        <v>0.53829230648546189</v>
      </c>
      <c r="U219" s="72">
        <f t="shared" si="121"/>
        <v>0.78088227725020931</v>
      </c>
      <c r="V219" s="72">
        <f t="shared" si="122"/>
        <v>0.51489401219097619</v>
      </c>
      <c r="W219" s="72">
        <f t="shared" si="123"/>
        <v>0.8065631980795519</v>
      </c>
      <c r="X219" s="72">
        <f t="shared" si="124"/>
        <v>9.6456134768156898E-2</v>
      </c>
      <c r="Y219" s="72">
        <f t="shared" si="125"/>
        <v>0.23474698266893324</v>
      </c>
      <c r="Z219" s="72">
        <f t="shared" si="126"/>
        <v>0.21343270678587634</v>
      </c>
      <c r="AA219" s="72">
        <f t="shared" si="127"/>
        <v>0.35850804266048653</v>
      </c>
      <c r="AB219" s="72">
        <f t="shared" si="128"/>
        <v>0.13230019856043679</v>
      </c>
      <c r="AC219" s="72"/>
      <c r="AD219" s="72"/>
      <c r="AE219" s="72">
        <f t="shared" si="129"/>
        <v>0.52664333380014283</v>
      </c>
      <c r="AF219" s="72">
        <f t="shared" si="130"/>
        <v>0.46170769351453816</v>
      </c>
      <c r="AG219" s="72">
        <f t="shared" si="131"/>
        <v>0.21911772274979069</v>
      </c>
      <c r="AH219" s="72">
        <f t="shared" si="132"/>
        <v>0.48510598780902375</v>
      </c>
      <c r="AI219" s="72">
        <f t="shared" si="133"/>
        <v>0.1934368019204481</v>
      </c>
      <c r="AJ219" s="72">
        <f>(AV219-Driver!$K$179)/(Driver!$L$179-Driver!$K$179)</f>
        <v>0.15776327451454353</v>
      </c>
      <c r="AK219" s="72">
        <f>(AW219-Driver!$K$180)/(Driver!$L$180-Driver!$K$180)</f>
        <v>0.38272668803642351</v>
      </c>
      <c r="AL219" s="72">
        <f>(AX219-Driver!$K$181)/(Driver!$L$181-Driver!$K$181)</f>
        <v>0.31512047049895653</v>
      </c>
      <c r="AM219" s="72">
        <f>(AY219-Driver!$K$182)/(Driver!$L$182-Driver!$K$182)</f>
        <v>8.8876978436559867E-2</v>
      </c>
      <c r="AN219" s="72">
        <f>(AZ219-Driver!$K$183)/(Driver!$L$183-Driver!$K$183)</f>
        <v>0.38651960784313721</v>
      </c>
      <c r="AO219" s="72"/>
      <c r="AP219" s="72"/>
      <c r="AQ219" s="72">
        <f>(BC219-Driver!$K$188)/(Driver!$L$188-Driver!$K$188)</f>
        <v>9.3356666199857136E-2</v>
      </c>
      <c r="AR219" s="72">
        <f>MIN((BD219-Driver!$K$189)/(Driver!$L$189-Driver!$K$189),100%)</f>
        <v>8.8292306485461894E-2</v>
      </c>
      <c r="AS219" s="72">
        <f>(BE219-Driver!$K$190)/(Driver!$L$190-Driver!$K$190)</f>
        <v>0.29088227725020932</v>
      </c>
      <c r="AT219" s="72">
        <f>(BF219-Driver!$K$191)/(Driver!$L$191-Driver!$K$191)</f>
        <v>2.489401219097628E-2</v>
      </c>
      <c r="AU219" s="72">
        <f>(BG219-Driver!$K$192)/(Driver!$L$192-Driver!$K$192)</f>
        <v>5.6563198079551902E-2</v>
      </c>
      <c r="AV219" s="70">
        <f t="shared" si="134"/>
        <v>3.3204449871116535</v>
      </c>
      <c r="AW219" s="70">
        <f t="shared" si="135"/>
        <v>39.17199967405557</v>
      </c>
      <c r="AX219" s="70">
        <f t="shared" si="136"/>
        <v>3.8360842344906088</v>
      </c>
      <c r="AY219" s="70">
        <f>IFERROR(Driver!$K$19/Data!BH219/Data!BI219*Data!BK219*Data!BL219,"")</f>
        <v>0.10881193993726809</v>
      </c>
      <c r="AZ219" s="70">
        <f t="shared" si="137"/>
        <v>35.227103499627695</v>
      </c>
      <c r="BA219" s="70"/>
      <c r="BB219" s="70"/>
      <c r="BC219" s="70">
        <f t="shared" si="138"/>
        <v>48.424751762880135</v>
      </c>
      <c r="BD219" s="70">
        <f t="shared" si="139"/>
        <v>9.5345355633513318</v>
      </c>
      <c r="BE219" s="70">
        <f t="shared" si="140"/>
        <v>0.29100877587048796</v>
      </c>
      <c r="BF219" s="70">
        <f t="shared" si="141"/>
        <v>2.811603786637026</v>
      </c>
      <c r="BG219" s="70">
        <f t="shared" si="142"/>
        <v>0.21418435134864805</v>
      </c>
      <c r="BH219" s="67">
        <f>MAX((CE219-Driver!$F$200)/(Driver!$G$200-Driver!$F$200)*$BI$1,1)</f>
        <v>3.8360842344906088</v>
      </c>
      <c r="BI219" s="67">
        <f>MAX($BI$1*(BY219-Driver!$F$201)/(Driver!$G$201-Driver!$F$201),1)</f>
        <v>7.2151898734177218</v>
      </c>
      <c r="BJ219" s="67">
        <f>(CB219-Driver!$F$206)/(Driver!$G$206-Driver!$F$206)*$BI$1</f>
        <v>3.4920634920634921</v>
      </c>
      <c r="BK219" s="67">
        <f>(CD219-Driver!$F$203)/(Driver!$G$203-Driver!$F$203)*$BI$1</f>
        <v>2.5688073394495414</v>
      </c>
      <c r="BL219" s="67">
        <f>MAX((CR219-Driver!$F$202)/(Driver!$G$202-Driver!$F$202)*$BI$1,1)</f>
        <v>5.8620689655172411</v>
      </c>
      <c r="BM219" s="67">
        <f>MAX((CH219-Driver!$F$204)/(Driver!$G$204-Driver!$F$204)*$BI$1,1)</f>
        <v>3.8034188034188032</v>
      </c>
      <c r="BN219" s="67">
        <f>(CI219-Driver!$F$205)/(Driver!$G$205-Driver!$F$205)*$BI$1</f>
        <v>4.8823529411764701</v>
      </c>
      <c r="BO219" s="67">
        <f>(CK219-Driver!$F$207)/(Driver!$G$207-Driver!$F$207)*$BI$1</f>
        <v>1.2409513960703205</v>
      </c>
      <c r="BP219" s="67">
        <f>(CM219-Driver!$F$208)/(Driver!$G$208-Driver!$F$208)*$BI$1</f>
        <v>1.6666666666666665</v>
      </c>
      <c r="BQ219" s="67">
        <f>(CL219-Driver!$F$209)/(Driver!$G$209-Driver!$F$209)*$BI$1</f>
        <v>3.125</v>
      </c>
      <c r="BR219" s="28" t="s">
        <v>155</v>
      </c>
      <c r="BS219" s="8" t="s">
        <v>205</v>
      </c>
      <c r="BT219" s="9" t="s">
        <v>436</v>
      </c>
      <c r="BU219" s="10">
        <v>162</v>
      </c>
      <c r="BV219" s="9" t="s">
        <v>163</v>
      </c>
      <c r="BW219" s="10">
        <v>162</v>
      </c>
      <c r="BX219" s="10">
        <v>160.30000000000001</v>
      </c>
      <c r="BY219" s="10">
        <v>122</v>
      </c>
      <c r="BZ219" s="10">
        <v>136</v>
      </c>
      <c r="CA219" s="10">
        <v>120</v>
      </c>
      <c r="CB219" s="10">
        <v>86</v>
      </c>
      <c r="CC219" s="10">
        <v>110</v>
      </c>
      <c r="CD219" s="10">
        <v>15</v>
      </c>
      <c r="CE219" s="10">
        <v>1574</v>
      </c>
      <c r="CF219" s="10">
        <v>0.99</v>
      </c>
      <c r="CG219" s="10">
        <v>1561</v>
      </c>
      <c r="CH219" s="10">
        <v>190</v>
      </c>
      <c r="CI219" s="10">
        <v>116</v>
      </c>
      <c r="CJ219" s="10">
        <v>50</v>
      </c>
      <c r="CK219" s="10">
        <v>230</v>
      </c>
      <c r="CL219" s="10">
        <v>20</v>
      </c>
      <c r="CM219" s="10">
        <v>150</v>
      </c>
      <c r="CN219" s="10">
        <v>0.40400000000000003</v>
      </c>
      <c r="CO219" s="10">
        <v>154</v>
      </c>
      <c r="CP219" s="10">
        <v>88</v>
      </c>
      <c r="CQ219" s="10">
        <v>76</v>
      </c>
      <c r="CR219" s="10">
        <v>6</v>
      </c>
      <c r="CS219" s="10">
        <v>9.4</v>
      </c>
      <c r="CT219" s="9" t="s">
        <v>188</v>
      </c>
      <c r="CU219" s="10"/>
      <c r="CV219" s="10"/>
      <c r="CW219" s="10"/>
      <c r="CX219" t="str">
        <f>INDEX('Data_Price '!AG$2:AG$1266,MATCH(Data!$DN219,'Data_Price '!$AT$2:$AT$1266,0))</f>
        <v>Faction Agent 1.0 Ski 2022</v>
      </c>
      <c r="CY219" t="str">
        <f>INDEX('Data_Price '!AH$2:AH$1266,MATCH(Data!$DN219,'Data_Price '!$AT$2:$AT$1266,0))</f>
        <v>Telemark Pyrenees</v>
      </c>
      <c r="CZ219">
        <f>INDEX('Data_Price '!AI$2:AI$1266,MATCH(Data!$DN219,'Data_Price '!$AT$2:$AT$1266,0))</f>
        <v>439.98</v>
      </c>
      <c r="DA219" t="str">
        <f>INDEX('Data_Price '!AJ$2:AJ$1266,MATCH(Data!$DN219,'Data_Price '!$AT$2:$AT$1266,0))</f>
        <v>https://tinyurl.com/y9kkv93z</v>
      </c>
      <c r="DB219" t="str">
        <f>INDEX('Data_Price '!AK$2:AK$1266,MATCH(Data!$DN219,'Data_Price '!$AT$2:$AT$1266,0))</f>
        <v>Faction Agent 1.0 Skis</v>
      </c>
      <c r="DC219" t="str">
        <f>INDEX('Data_Price '!AL$2:AL$1266,MATCH(Data!$DN219,'Data_Price '!$AT$2:$AT$1266,0))</f>
        <v>Backcountry Freeskier</v>
      </c>
      <c r="DD219">
        <f>INDEX('Data_Price '!AM$2:AM$1266,MATCH(Data!$DN219,'Data_Price '!$AT$2:$AT$1266,0))</f>
        <v>499</v>
      </c>
      <c r="DE219" t="str">
        <f>INDEX('Data_Price '!AN$2:AN$1266,MATCH(Data!$DN219,'Data_Price '!$AT$2:$AT$1266,0))</f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F219" t="str">
        <f>INDEX('Data_Price '!AO$2:AO$1266,MATCH(Data!$DN219,'Data_Price '!$AT$2:$AT$1266,0))</f>
        <v>Faction Dictator 1.0x Skis- Women's 2022</v>
      </c>
      <c r="DG219" t="str">
        <f>INDEX('Data_Price '!AP$2:AP$1266,MATCH(Data!$DN219,'Data_Price '!$AT$2:$AT$1266,0))</f>
        <v>Next Adventure</v>
      </c>
      <c r="DH219">
        <f>INDEX('Data_Price '!AQ$2:AQ$1266,MATCH(Data!$DN219,'Data_Price '!$AT$2:$AT$1266,0))</f>
        <v>575.20000000000005</v>
      </c>
      <c r="DI219" t="str">
        <f>INDEX('Data_Price '!AR$2:AR$1266,MATCH(Data!$DN219,'Data_Price '!$AT$2:$AT$1266,0))</f>
        <v>https://tinyurl.com/y7k65ded</v>
      </c>
      <c r="DJ219" s="89" t="str">
        <f t="shared" si="143"/>
        <v>https://tinyurl.com/y9kkv93z</v>
      </c>
      <c r="DK219" s="89" t="str">
        <f t="shared" si="144"/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L219" s="89" t="str">
        <f t="shared" si="145"/>
        <v>https://tinyurl.com/y7k65ded</v>
      </c>
      <c r="DM219" s="219" t="str">
        <f t="shared" si="146"/>
        <v>Dictator 1.0 X</v>
      </c>
      <c r="DN219" s="89" t="str">
        <f t="shared" si="147"/>
        <v xml:space="preserve"> FactionDictator 1.0 X162 Women's</v>
      </c>
      <c r="DO219" s="221"/>
    </row>
    <row r="220" spans="2:119" ht="15.6" customHeight="1">
      <c r="B220" s="219" t="b">
        <f t="array" ref="B220">IF(OR(ISERROR(K220:P220)),FALSE,TRUE)</f>
        <v>1</v>
      </c>
      <c r="C220" s="43" t="b">
        <f>OR(BR220=Driver!$G$50,Data!BR1208=Driver!$H$50)</f>
        <v>1</v>
      </c>
      <c r="D220" s="43" t="b">
        <f>OR(BV220=Driver!$G$51,BV220=Driver!$H$51)</f>
        <v>1</v>
      </c>
      <c r="E220" s="43" t="b">
        <f>AND(BX220&gt;Driver!$F$54,BX220&lt;Driver!$G$54)</f>
        <v>1</v>
      </c>
      <c r="F220" s="43" t="b">
        <f>CL220&gt;Driver!$F$56</f>
        <v>1</v>
      </c>
      <c r="G220" s="43" t="b">
        <f>AND(CB220&gt;Driver!$F$55,CB220&lt;Driver!$G$55)</f>
        <v>0</v>
      </c>
      <c r="H220" s="43" t="b">
        <f t="shared" si="111"/>
        <v>0</v>
      </c>
      <c r="I220" s="43">
        <f t="shared" si="112"/>
        <v>0</v>
      </c>
      <c r="J220" s="43" t="b">
        <f t="array" ref="J220">NOT(OR(($H$9:$H$1273=TRUE)*($I$9:$I$1273&gt;0)*($BT$9:$BT$1273=BT220)*($K$9:$K$1273&gt;K220)))</f>
        <v>1</v>
      </c>
      <c r="K220" s="72">
        <f t="shared" si="113"/>
        <v>0.83053055435522527</v>
      </c>
      <c r="L220" s="72">
        <f t="shared" si="114"/>
        <v>0.93295326012347157</v>
      </c>
      <c r="M220" s="72">
        <f t="shared" si="115"/>
        <v>0.72810784858697897</v>
      </c>
      <c r="N220" s="72">
        <f t="shared" si="116"/>
        <v>0.69297341475968732</v>
      </c>
      <c r="O220" s="72">
        <f t="shared" si="117"/>
        <v>0.61744117923488906</v>
      </c>
      <c r="P220" s="72">
        <f t="shared" si="118"/>
        <v>0.87390895176636063</v>
      </c>
      <c r="Q220" s="72"/>
      <c r="R220" s="72"/>
      <c r="S220" s="72">
        <f t="shared" si="119"/>
        <v>0.46342088843842111</v>
      </c>
      <c r="T220" s="72">
        <f t="shared" si="120"/>
        <v>0.55704840240419884</v>
      </c>
      <c r="U220" s="72">
        <f t="shared" si="121"/>
        <v>0.57090718037014976</v>
      </c>
      <c r="V220" s="72">
        <f t="shared" si="122"/>
        <v>0.5734285970800288</v>
      </c>
      <c r="W220" s="72">
        <f t="shared" si="123"/>
        <v>0.78473838259738382</v>
      </c>
      <c r="X220" s="72">
        <f t="shared" si="124"/>
        <v>6.7046739876528483E-2</v>
      </c>
      <c r="Y220" s="72">
        <f t="shared" si="125"/>
        <v>0.27189215141302098</v>
      </c>
      <c r="Z220" s="72">
        <f t="shared" si="126"/>
        <v>0.30702658524031262</v>
      </c>
      <c r="AA220" s="72">
        <f t="shared" si="127"/>
        <v>0.38255882076511094</v>
      </c>
      <c r="AB220" s="72">
        <f t="shared" si="128"/>
        <v>0.12609104823363937</v>
      </c>
      <c r="AC220" s="72"/>
      <c r="AD220" s="72"/>
      <c r="AE220" s="72">
        <f t="shared" si="129"/>
        <v>0.53657911156157889</v>
      </c>
      <c r="AF220" s="72">
        <f t="shared" si="130"/>
        <v>0.44295159759580111</v>
      </c>
      <c r="AG220" s="72">
        <f t="shared" si="131"/>
        <v>0.42909281962985019</v>
      </c>
      <c r="AH220" s="72">
        <f t="shared" si="132"/>
        <v>0.42657140291997125</v>
      </c>
      <c r="AI220" s="72">
        <f t="shared" si="133"/>
        <v>0.21526161740261618</v>
      </c>
      <c r="AJ220" s="72">
        <f>(AV220-Driver!$K$179)/(Driver!$L$179-Driver!$K$179)</f>
        <v>0.18717266940617194</v>
      </c>
      <c r="AK220" s="72">
        <f>(AW220-Driver!$K$180)/(Driver!$L$180-Driver!$K$180)</f>
        <v>0.38526111466907448</v>
      </c>
      <c r="AL220" s="72">
        <f>(AX220-Driver!$K$181)/(Driver!$L$181-Driver!$K$181)</f>
        <v>0.40871434895339281</v>
      </c>
      <c r="AM220" s="72">
        <f>(AY220-Driver!$K$182)/(Driver!$L$182-Driver!$K$182)</f>
        <v>6.4826200331935452E-2</v>
      </c>
      <c r="AN220" s="72">
        <f>(AZ220-Driver!$K$183)/(Driver!$L$183-Driver!$K$183)</f>
        <v>0.38031045751633979</v>
      </c>
      <c r="AO220" s="72"/>
      <c r="AP220" s="72"/>
      <c r="AQ220" s="72">
        <f>(BC220-Driver!$K$188)/(Driver!$L$188-Driver!$K$188)</f>
        <v>8.342088843842109E-2</v>
      </c>
      <c r="AR220" s="72">
        <f>MIN((BD220-Driver!$K$189)/(Driver!$L$189-Driver!$K$189),100%)</f>
        <v>0.10704840240419895</v>
      </c>
      <c r="AS220" s="72">
        <f>(BE220-Driver!$K$190)/(Driver!$L$190-Driver!$K$190)</f>
        <v>8.0907180370149823E-2</v>
      </c>
      <c r="AT220" s="72">
        <f>(BF220-Driver!$K$191)/(Driver!$L$191-Driver!$K$191)</f>
        <v>8.3428597080028741E-2</v>
      </c>
      <c r="AU220" s="72">
        <f>(BG220-Driver!$K$192)/(Driver!$L$192-Driver!$K$192)</f>
        <v>3.4738382597383814E-2</v>
      </c>
      <c r="AV220" s="70">
        <f t="shared" si="134"/>
        <v>3.9394247727581067</v>
      </c>
      <c r="AW220" s="70">
        <f t="shared" si="135"/>
        <v>39.419002006711921</v>
      </c>
      <c r="AX220" s="70">
        <f t="shared" si="136"/>
        <v>4.6784291405805352</v>
      </c>
      <c r="AY220" s="70">
        <f>IFERROR(Driver!$K$19/Data!BH220/Data!BI220*Data!BK220*Data!BL220,"")</f>
        <v>7.9366611477626886E-2</v>
      </c>
      <c r="AZ220" s="70">
        <f t="shared" si="137"/>
        <v>34.661206254653756</v>
      </c>
      <c r="BA220" s="70"/>
      <c r="BB220" s="70"/>
      <c r="BC220" s="70">
        <f t="shared" si="138"/>
        <v>43.270994765616862</v>
      </c>
      <c r="BD220" s="70">
        <f t="shared" si="139"/>
        <v>11.194416818324143</v>
      </c>
      <c r="BE220" s="70">
        <f t="shared" si="140"/>
        <v>8.1071136184341461E-2</v>
      </c>
      <c r="BF220" s="70">
        <f t="shared" si="141"/>
        <v>9.4226739211227315</v>
      </c>
      <c r="BG220" s="70">
        <f t="shared" si="142"/>
        <v>0.13154167720604173</v>
      </c>
      <c r="BH220" s="67">
        <f>MAX((CE220-Driver!$F$200)/(Driver!$G$200-Driver!$F$200)*$BI$1,1)</f>
        <v>4.6784291405805352</v>
      </c>
      <c r="BI220" s="67">
        <f>MAX($BI$1*(BY220-Driver!$F$201)/(Driver!$G$201-Driver!$F$201),1)</f>
        <v>6.2025316455696204</v>
      </c>
      <c r="BJ220" s="67">
        <f>(CB220-Driver!$F$206)/(Driver!$G$206-Driver!$F$206)*$BI$1</f>
        <v>3.6507936507936507</v>
      </c>
      <c r="BK220" s="67">
        <f>(CD220-Driver!$F$203)/(Driver!$G$203-Driver!$F$203)*$BI$1</f>
        <v>2.3853211009174311</v>
      </c>
      <c r="BL220" s="67">
        <f>MAX((CR220-Driver!$F$202)/(Driver!$G$202-Driver!$F$202)*$BI$1,1)</f>
        <v>4.8275862068965516</v>
      </c>
      <c r="BM220" s="67">
        <f>MAX((CH220-Driver!$F$204)/(Driver!$G$204-Driver!$F$204)*$BI$1,1)</f>
        <v>4.3162393162393169</v>
      </c>
      <c r="BN220" s="67">
        <f>(CI220-Driver!$F$205)/(Driver!$G$205-Driver!$F$205)*$BI$1</f>
        <v>5.5882352941176467</v>
      </c>
      <c r="BO220" s="67">
        <f>(CK220-Driver!$F$207)/(Driver!$G$207-Driver!$F$207)*$BI$1</f>
        <v>2.4301964839710442</v>
      </c>
      <c r="BP220" s="67">
        <f>(CM220-Driver!$F$208)/(Driver!$G$208-Driver!$F$208)*$BI$1</f>
        <v>2.5333333333333337</v>
      </c>
      <c r="BQ220" s="67">
        <f>(CL220-Driver!$F$209)/(Driver!$G$209-Driver!$F$209)*$BI$1</f>
        <v>2.65625</v>
      </c>
      <c r="BR220" s="28" t="s">
        <v>155</v>
      </c>
      <c r="BS220" s="8" t="s">
        <v>229</v>
      </c>
      <c r="BT220" s="9" t="s">
        <v>437</v>
      </c>
      <c r="BU220" s="10">
        <v>163</v>
      </c>
      <c r="BV220" s="9" t="s">
        <v>158</v>
      </c>
      <c r="BW220" s="10">
        <v>163</v>
      </c>
      <c r="BX220" s="10">
        <v>163.4</v>
      </c>
      <c r="BY220" s="10">
        <v>106</v>
      </c>
      <c r="BZ220" s="10">
        <v>140</v>
      </c>
      <c r="CA220" s="10">
        <v>128</v>
      </c>
      <c r="CB220" s="10">
        <v>87</v>
      </c>
      <c r="CC220" s="10">
        <v>110</v>
      </c>
      <c r="CD220" s="10">
        <v>14.6</v>
      </c>
      <c r="CE220" s="10">
        <v>1722</v>
      </c>
      <c r="CF220" s="10">
        <v>0.95</v>
      </c>
      <c r="CG220" s="10">
        <v>1637</v>
      </c>
      <c r="CH220" s="10">
        <v>202</v>
      </c>
      <c r="CI220" s="10">
        <v>128</v>
      </c>
      <c r="CJ220" s="10">
        <v>40</v>
      </c>
      <c r="CK220" s="10">
        <v>345</v>
      </c>
      <c r="CL220" s="10">
        <v>17</v>
      </c>
      <c r="CM220" s="10">
        <v>228</v>
      </c>
      <c r="CN220" s="10">
        <v>0.41599999999999998</v>
      </c>
      <c r="CO220" s="10">
        <v>130</v>
      </c>
      <c r="CP220" s="10">
        <v>106</v>
      </c>
      <c r="CQ220" s="10">
        <v>215</v>
      </c>
      <c r="CR220" s="10">
        <v>3</v>
      </c>
      <c r="CS220" s="10">
        <v>11.8</v>
      </c>
      <c r="CT220" s="9" t="s">
        <v>188</v>
      </c>
      <c r="CU220" s="10"/>
      <c r="CV220" s="10"/>
      <c r="CW220" s="10"/>
      <c r="CX220" t="e">
        <f>INDEX('Data_Price '!AG$2:AG$1266,MATCH(Data!$DN220,'Data_Price '!$AT$2:$AT$1266,0))</f>
        <v>#N/A</v>
      </c>
      <c r="CY220" t="e">
        <f>INDEX('Data_Price '!AH$2:AH$1266,MATCH(Data!$DN220,'Data_Price '!$AT$2:$AT$1266,0))</f>
        <v>#N/A</v>
      </c>
      <c r="CZ220" t="e">
        <f>INDEX('Data_Price '!AI$2:AI$1266,MATCH(Data!$DN220,'Data_Price '!$AT$2:$AT$1266,0))</f>
        <v>#N/A</v>
      </c>
      <c r="DA220" t="e">
        <f>INDEX('Data_Price '!AJ$2:AJ$1266,MATCH(Data!$DN220,'Data_Price '!$AT$2:$AT$1266,0))</f>
        <v>#N/A</v>
      </c>
      <c r="DB220" t="e">
        <f>INDEX('Data_Price '!AK$2:AK$1266,MATCH(Data!$DN220,'Data_Price '!$AT$2:$AT$1266,0))</f>
        <v>#N/A</v>
      </c>
      <c r="DC220" t="e">
        <f>INDEX('Data_Price '!AL$2:AL$1266,MATCH(Data!$DN220,'Data_Price '!$AT$2:$AT$1266,0))</f>
        <v>#N/A</v>
      </c>
      <c r="DD220" t="e">
        <f>INDEX('Data_Price '!AM$2:AM$1266,MATCH(Data!$DN220,'Data_Price '!$AT$2:$AT$1266,0))</f>
        <v>#N/A</v>
      </c>
      <c r="DE220" t="e">
        <f>INDEX('Data_Price '!AN$2:AN$1266,MATCH(Data!$DN220,'Data_Price '!$AT$2:$AT$1266,0))</f>
        <v>#N/A</v>
      </c>
      <c r="DF220" t="e">
        <f>INDEX('Data_Price '!AO$2:AO$1266,MATCH(Data!$DN220,'Data_Price '!$AT$2:$AT$1266,0))</f>
        <v>#N/A</v>
      </c>
      <c r="DG220" t="e">
        <f>INDEX('Data_Price '!AP$2:AP$1266,MATCH(Data!$DN220,'Data_Price '!$AT$2:$AT$1266,0))</f>
        <v>#N/A</v>
      </c>
      <c r="DH220" t="e">
        <f>INDEX('Data_Price '!AQ$2:AQ$1266,MATCH(Data!$DN220,'Data_Price '!$AT$2:$AT$1266,0))</f>
        <v>#N/A</v>
      </c>
      <c r="DI220" t="e">
        <f>INDEX('Data_Price '!AR$2:AR$1266,MATCH(Data!$DN220,'Data_Price '!$AT$2:$AT$1266,0))</f>
        <v>#N/A</v>
      </c>
      <c r="DJ220" s="89" t="e">
        <f t="shared" si="143"/>
        <v>#N/A</v>
      </c>
      <c r="DK220" s="89" t="e">
        <f t="shared" si="144"/>
        <v>#N/A</v>
      </c>
      <c r="DL220" s="89" t="e">
        <f t="shared" si="145"/>
        <v>#N/A</v>
      </c>
      <c r="DM220" s="219" t="str">
        <f t="shared" si="146"/>
        <v>Kendo 88</v>
      </c>
      <c r="DN220" s="89" t="str">
        <f t="shared" si="147"/>
        <v xml:space="preserve"> VölklKendo 88163 Unisex</v>
      </c>
      <c r="DO220" s="221"/>
    </row>
    <row r="221" spans="2:119" ht="15.6" customHeight="1">
      <c r="B221" s="219" t="b">
        <f t="array" ref="B221">IF(OR(ISERROR(K221:P221)),FALSE,TRUE)</f>
        <v>1</v>
      </c>
      <c r="C221" s="43" t="b">
        <f>OR(BR221=Driver!$G$50,Data!BR131=Driver!$H$50)</f>
        <v>1</v>
      </c>
      <c r="D221" s="43" t="b">
        <f>OR(BV221=Driver!$G$51,BV221=Driver!$H$51)</f>
        <v>1</v>
      </c>
      <c r="E221" s="43" t="b">
        <f>AND(BX221&gt;Driver!$F$54,BX221&lt;Driver!$G$54)</f>
        <v>1</v>
      </c>
      <c r="F221" s="43" t="b">
        <f>CL221&gt;Driver!$F$56</f>
        <v>1</v>
      </c>
      <c r="G221" s="43" t="b">
        <f>AND(CB221&gt;Driver!$F$55,CB221&lt;Driver!$G$55)</f>
        <v>0</v>
      </c>
      <c r="H221" s="43" t="b">
        <f t="shared" si="111"/>
        <v>0</v>
      </c>
      <c r="I221" s="43">
        <f t="shared" si="112"/>
        <v>0</v>
      </c>
      <c r="J221" s="43" t="b">
        <f t="array" ref="J221">NOT(OR(($H$9:$H$1273=TRUE)*($I$9:$I$1273&gt;0)*($BT$9:$BT$1273=BT221)*($K$9:$K$1273&gt;K221)))</f>
        <v>1</v>
      </c>
      <c r="K221" s="72">
        <f t="shared" si="113"/>
        <v>0.86984722895505506</v>
      </c>
      <c r="L221" s="72">
        <f t="shared" si="114"/>
        <v>0.92626564429879987</v>
      </c>
      <c r="M221" s="72">
        <f t="shared" si="115"/>
        <v>0.81342881361131025</v>
      </c>
      <c r="N221" s="72">
        <f t="shared" si="116"/>
        <v>0.79036163963795214</v>
      </c>
      <c r="O221" s="72">
        <f t="shared" si="117"/>
        <v>0.68418578407014075</v>
      </c>
      <c r="P221" s="72">
        <f t="shared" si="118"/>
        <v>0.96573901712583776</v>
      </c>
      <c r="Q221" s="72"/>
      <c r="R221" s="72"/>
      <c r="S221" s="72">
        <f t="shared" si="119"/>
        <v>0.44806572676011924</v>
      </c>
      <c r="T221" s="72">
        <f t="shared" si="120"/>
        <v>0.4743346790657027</v>
      </c>
      <c r="U221" s="72">
        <f t="shared" si="121"/>
        <v>0.58441130372466765</v>
      </c>
      <c r="V221" s="72">
        <f t="shared" si="122"/>
        <v>0.55244388362319752</v>
      </c>
      <c r="W221" s="72">
        <f t="shared" si="123"/>
        <v>0.86904706212574845</v>
      </c>
      <c r="X221" s="72">
        <f t="shared" si="124"/>
        <v>7.3734355701200155E-2</v>
      </c>
      <c r="Y221" s="72">
        <f t="shared" si="125"/>
        <v>0.18657118638868977</v>
      </c>
      <c r="Z221" s="72">
        <f t="shared" si="126"/>
        <v>0.20963836036204786</v>
      </c>
      <c r="AA221" s="72">
        <f t="shared" si="127"/>
        <v>0.31581421592985925</v>
      </c>
      <c r="AB221" s="72">
        <f t="shared" si="128"/>
        <v>3.4260982874162293E-2</v>
      </c>
      <c r="AC221" s="72"/>
      <c r="AD221" s="72"/>
      <c r="AE221" s="72">
        <f t="shared" si="129"/>
        <v>0.55193427323988076</v>
      </c>
      <c r="AF221" s="72">
        <f t="shared" si="130"/>
        <v>0.5256653209342973</v>
      </c>
      <c r="AG221" s="72">
        <f t="shared" si="131"/>
        <v>0.4155886962753324</v>
      </c>
      <c r="AH221" s="72">
        <f t="shared" si="132"/>
        <v>0.44755611637680248</v>
      </c>
      <c r="AI221" s="72">
        <f t="shared" si="133"/>
        <v>0.1309529378742515</v>
      </c>
      <c r="AJ221" s="72">
        <f>(AV221-Driver!$K$179)/(Driver!$L$179-Driver!$K$179)</f>
        <v>0.18048505358150027</v>
      </c>
      <c r="AK221" s="72">
        <f>(AW221-Driver!$K$180)/(Driver!$L$180-Driver!$K$180)</f>
        <v>0.2912306587344598</v>
      </c>
      <c r="AL221" s="72">
        <f>(AX221-Driver!$K$181)/(Driver!$L$181-Driver!$K$181)</f>
        <v>0.31132612407512805</v>
      </c>
      <c r="AM221" s="72">
        <f>(AY221-Driver!$K$182)/(Driver!$L$182-Driver!$K$182)</f>
        <v>0.13157080516718714</v>
      </c>
      <c r="AN221" s="72">
        <f>(AZ221-Driver!$K$183)/(Driver!$L$183-Driver!$K$183)</f>
        <v>0.28848039215686272</v>
      </c>
      <c r="AO221" s="72"/>
      <c r="AP221" s="72"/>
      <c r="AQ221" s="72">
        <f>(BC221-Driver!$K$188)/(Driver!$L$188-Driver!$K$188)</f>
        <v>6.8065726760119225E-2</v>
      </c>
      <c r="AR221" s="72">
        <f>MIN((BD221-Driver!$K$189)/(Driver!$L$189-Driver!$K$189),100%)</f>
        <v>2.4334679065702775E-2</v>
      </c>
      <c r="AS221" s="72">
        <f>(BE221-Driver!$K$190)/(Driver!$L$190-Driver!$K$190)</f>
        <v>9.4411303724667606E-2</v>
      </c>
      <c r="AT221" s="72">
        <f>(BF221-Driver!$K$191)/(Driver!$L$191-Driver!$K$191)</f>
        <v>6.244388362319752E-2</v>
      </c>
      <c r="AU221" s="72">
        <f>(BG221-Driver!$K$192)/(Driver!$L$192-Driver!$K$192)</f>
        <v>0.11904706212574849</v>
      </c>
      <c r="AV221" s="70">
        <f t="shared" si="134"/>
        <v>3.7986704653371319</v>
      </c>
      <c r="AW221" s="70">
        <f t="shared" si="135"/>
        <v>30.254900881284573</v>
      </c>
      <c r="AX221" s="70">
        <f t="shared" si="136"/>
        <v>3.8019351166761526</v>
      </c>
      <c r="AY221" s="70">
        <f>IFERROR(Driver!$K$19/Data!BH221/Data!BI221*Data!BK221*Data!BL221,"")</f>
        <v>0.16108192246397113</v>
      </c>
      <c r="AZ221" s="70">
        <f t="shared" si="137"/>
        <v>26.291883842144451</v>
      </c>
      <c r="BA221" s="70"/>
      <c r="BB221" s="70"/>
      <c r="BC221" s="70">
        <f t="shared" si="138"/>
        <v>35.306165655729522</v>
      </c>
      <c r="BD221" s="70">
        <f t="shared" si="139"/>
        <v>3.8743988629125741</v>
      </c>
      <c r="BE221" s="70">
        <f t="shared" si="140"/>
        <v>9.4572850555248181E-2</v>
      </c>
      <c r="BF221" s="70">
        <f t="shared" si="141"/>
        <v>7.0525979621294077</v>
      </c>
      <c r="BG221" s="70">
        <f t="shared" si="142"/>
        <v>0.45078812102357785</v>
      </c>
      <c r="BH221" s="67">
        <f>MAX((CE221-Driver!$F$200)/(Driver!$G$200-Driver!$F$200)*$BI$1,1)</f>
        <v>3.8019351166761526</v>
      </c>
      <c r="BI221" s="67">
        <f>MAX($BI$1*(BY221-Driver!$F$201)/(Driver!$G$201-Driver!$F$201),1)</f>
        <v>6.7721518987341769</v>
      </c>
      <c r="BJ221" s="67">
        <f>(CB221-Driver!$F$206)/(Driver!$G$206-Driver!$F$206)*$BI$1</f>
        <v>5.5555555555555554</v>
      </c>
      <c r="BK221" s="67">
        <f>(CD221-Driver!$F$203)/(Driver!$G$203-Driver!$F$203)*$BI$1</f>
        <v>3.1651376146788994</v>
      </c>
      <c r="BL221" s="67">
        <f>MAX((CR221-Driver!$F$202)/(Driver!$G$202-Driver!$F$202)*$BI$1,1)</f>
        <v>6.5517241379310338</v>
      </c>
      <c r="BM221" s="67">
        <f>MAX((CH221-Driver!$F$204)/(Driver!$G$204-Driver!$F$204)*$BI$1,1)</f>
        <v>2.7350427350427351</v>
      </c>
      <c r="BN221" s="67">
        <f>(CI221-Driver!$F$205)/(Driver!$G$205-Driver!$F$205)*$BI$1</f>
        <v>3.8823529411764706</v>
      </c>
      <c r="BO221" s="67">
        <f>(CK221-Driver!$F$207)/(Driver!$G$207-Driver!$F$207)*$BI$1</f>
        <v>1.9338159255429164</v>
      </c>
      <c r="BP221" s="67">
        <f>(CM221-Driver!$F$208)/(Driver!$G$208-Driver!$F$208)*$BI$1</f>
        <v>2.0777777777777779</v>
      </c>
      <c r="BQ221" s="67">
        <f>(CL221-Driver!$F$209)/(Driver!$G$209-Driver!$F$209)*$BI$1</f>
        <v>4.6875</v>
      </c>
      <c r="BR221" s="28" t="s">
        <v>155</v>
      </c>
      <c r="BS221" s="8" t="s">
        <v>156</v>
      </c>
      <c r="BT221" s="9" t="s">
        <v>257</v>
      </c>
      <c r="BU221" s="10">
        <v>164</v>
      </c>
      <c r="BV221" s="9" t="s">
        <v>158</v>
      </c>
      <c r="BW221" s="10">
        <v>164</v>
      </c>
      <c r="BX221" s="10">
        <v>163.4</v>
      </c>
      <c r="BY221" s="10">
        <v>115</v>
      </c>
      <c r="BZ221" s="10">
        <v>129</v>
      </c>
      <c r="CA221" s="10">
        <v>127</v>
      </c>
      <c r="CB221" s="10">
        <v>99</v>
      </c>
      <c r="CC221" s="10">
        <v>117</v>
      </c>
      <c r="CD221" s="10">
        <v>16.3</v>
      </c>
      <c r="CE221" s="10">
        <v>1568</v>
      </c>
      <c r="CF221" s="10">
        <v>1.1100000000000001</v>
      </c>
      <c r="CG221" s="10">
        <v>1733</v>
      </c>
      <c r="CH221" s="10">
        <v>165</v>
      </c>
      <c r="CI221" s="10">
        <v>99</v>
      </c>
      <c r="CJ221" s="10">
        <v>48</v>
      </c>
      <c r="CK221" s="10">
        <v>297</v>
      </c>
      <c r="CL221" s="10">
        <v>30</v>
      </c>
      <c r="CM221" s="10">
        <v>187</v>
      </c>
      <c r="CN221" s="10">
        <v>0.61899999999999999</v>
      </c>
      <c r="CO221" s="10">
        <v>187</v>
      </c>
      <c r="CP221" s="10">
        <v>160</v>
      </c>
      <c r="CQ221" s="10">
        <v>110</v>
      </c>
      <c r="CR221" s="10">
        <v>8</v>
      </c>
      <c r="CS221" s="10">
        <v>7.9</v>
      </c>
      <c r="CT221" s="9" t="s">
        <v>188</v>
      </c>
      <c r="CU221" s="9" t="s">
        <v>185</v>
      </c>
      <c r="CV221" s="10"/>
      <c r="CW221" s="10"/>
      <c r="CX221" t="str">
        <f>INDEX('Data_Price '!AG$2:AG$1266,MATCH(Data!$DN221,'Data_Price '!$AT$2:$AT$1266,0))</f>
        <v>Atomic Bent Chetler 100 Grey/Green / 164cm</v>
      </c>
      <c r="CY221" t="str">
        <f>INDEX('Data_Price '!AH$2:AH$1266,MATCH(Data!$DN221,'Data_Price '!$AT$2:$AT$1266,0))</f>
        <v>Sundance Ski and Board Shop</v>
      </c>
      <c r="CZ221">
        <f>INDEX('Data_Price '!AI$2:AI$1266,MATCH(Data!$DN221,'Data_Price '!$AT$2:$AT$1266,0))</f>
        <v>400.99</v>
      </c>
      <c r="DA221" t="str">
        <f>INDEX('Data_Price '!AJ$2:AJ$1266,MATCH(Data!$DN221,'Data_Price '!$AT$2:$AT$1266,0))</f>
        <v>https://tinyurl.com/ycqg7yrl</v>
      </c>
      <c r="DB221" t="str">
        <f>INDEX('Data_Price '!AK$2:AK$1266,MATCH(Data!$DN221,'Data_Price '!$AT$2:$AT$1266,0))</f>
        <v>Atomic Bent Chetler 100 Skis</v>
      </c>
      <c r="DC221" t="str">
        <f>INDEX('Data_Price '!AL$2:AL$1266,MATCH(Data!$DN221,'Data_Price '!$AT$2:$AT$1266,0))</f>
        <v>SkiEssentials.com</v>
      </c>
      <c r="DD221">
        <f>INDEX('Data_Price '!AM$2:AM$1266,MATCH(Data!$DN221,'Data_Price '!$AT$2:$AT$1266,0))</f>
        <v>479.99</v>
      </c>
      <c r="DE221" t="str">
        <f>INDEX('Data_Price '!AN$2:AN$1266,MATCH(Data!$DN221,'Data_Price '!$AT$2:$AT$1266,0))</f>
        <v>https://tinyurl.com/y7a5y5wz</v>
      </c>
      <c r="DF221" t="str">
        <f>INDEX('Data_Price '!AO$2:AO$1266,MATCH(Data!$DN221,'Data_Price '!$AT$2:$AT$1266,0))</f>
        <v>Atomic Bent Chetler 100 Skis</v>
      </c>
      <c r="DG221" t="str">
        <f>INDEX('Data_Price '!AP$2:AP$1266,MATCH(Data!$DN221,'Data_Price '!$AT$2:$AT$1266,0))</f>
        <v>Level Nine Sports</v>
      </c>
      <c r="DH221">
        <f>INDEX('Data_Price '!AQ$2:AQ$1266,MATCH(Data!$DN221,'Data_Price '!$AT$2:$AT$1266,0))</f>
        <v>479.99</v>
      </c>
      <c r="DI221" t="str">
        <f>INDEX('Data_Price '!AR$2:AR$1266,MATCH(Data!$DN221,'Data_Price '!$AT$2:$AT$1266,0))</f>
        <v>https://tinyurl.com/ycng63a8</v>
      </c>
      <c r="DJ221" s="89" t="str">
        <f t="shared" si="143"/>
        <v>https://tinyurl.com/ycqg7yrl</v>
      </c>
      <c r="DK221" s="89" t="str">
        <f t="shared" si="144"/>
        <v>https://tinyurl.com/y7a5y5wz</v>
      </c>
      <c r="DL221" s="89" t="str">
        <f t="shared" si="145"/>
        <v>https://tinyurl.com/ycng63a8</v>
      </c>
      <c r="DM221" s="219" t="str">
        <f t="shared" si="146"/>
        <v>Bent Chetler 100</v>
      </c>
      <c r="DN221" s="89" t="str">
        <f t="shared" si="147"/>
        <v xml:space="preserve"> AtomicBent Chetler 100164 Unisex</v>
      </c>
      <c r="DO221" s="221" t="s">
        <v>258</v>
      </c>
    </row>
    <row r="222" spans="2:119" ht="15.6" customHeight="1">
      <c r="B222" s="219" t="b">
        <f t="array" ref="B222">IF(OR(ISERROR(K222:P222)),FALSE,TRUE)</f>
        <v>1</v>
      </c>
      <c r="C222" s="43" t="b">
        <f>OR(BR222=Driver!$G$50,Data!BR577=Driver!$H$50)</f>
        <v>1</v>
      </c>
      <c r="D222" s="43" t="b">
        <f>OR(BV222=Driver!$G$51,BV222=Driver!$H$51)</f>
        <v>0</v>
      </c>
      <c r="E222" s="43" t="b">
        <f>AND(BX222&gt;Driver!$F$54,BX222&lt;Driver!$G$54)</f>
        <v>1</v>
      </c>
      <c r="F222" s="43" t="b">
        <f>CL222&gt;Driver!$F$56</f>
        <v>1</v>
      </c>
      <c r="G222" s="43" t="b">
        <f>AND(CB222&gt;Driver!$F$55,CB222&lt;Driver!$G$55)</f>
        <v>0</v>
      </c>
      <c r="H222" s="43" t="b">
        <f t="shared" si="111"/>
        <v>0</v>
      </c>
      <c r="I222" s="43">
        <f t="shared" si="112"/>
        <v>0</v>
      </c>
      <c r="J222" s="43" t="b">
        <f t="array" ref="J222">NOT(OR(($H$9:$H$1273=TRUE)*($I$9:$I$1273&gt;0)*($BT$9:$BT$1273=BT222)*($K$9:$K$1273&gt;K222)))</f>
        <v>1</v>
      </c>
      <c r="K222" s="72">
        <f t="shared" si="113"/>
        <v>0.83743793165766611</v>
      </c>
      <c r="L222" s="72">
        <f t="shared" si="114"/>
        <v>0.89032978095176896</v>
      </c>
      <c r="M222" s="72">
        <f t="shared" si="115"/>
        <v>0.78454608236356338</v>
      </c>
      <c r="N222" s="72">
        <f t="shared" si="116"/>
        <v>0.81439250032219923</v>
      </c>
      <c r="O222" s="72">
        <f t="shared" si="117"/>
        <v>0.60684006297598669</v>
      </c>
      <c r="P222" s="72">
        <f t="shared" si="118"/>
        <v>0.93240568379250433</v>
      </c>
      <c r="Q222" s="72"/>
      <c r="R222" s="72"/>
      <c r="S222" s="72">
        <f t="shared" si="119"/>
        <v>0.43022725995075939</v>
      </c>
      <c r="T222" s="72">
        <f t="shared" si="120"/>
        <v>0.52826231048180028</v>
      </c>
      <c r="U222" s="72">
        <f t="shared" si="121"/>
        <v>0.72230430712195792</v>
      </c>
      <c r="V222" s="72">
        <f t="shared" si="122"/>
        <v>0.55232378717938291</v>
      </c>
      <c r="W222" s="72">
        <f t="shared" si="123"/>
        <v>0.80178571428571432</v>
      </c>
      <c r="X222" s="72">
        <f t="shared" si="124"/>
        <v>0.10967021904823104</v>
      </c>
      <c r="Y222" s="72">
        <f t="shared" si="125"/>
        <v>0.21545391763643659</v>
      </c>
      <c r="Z222" s="72">
        <f t="shared" si="126"/>
        <v>0.18560749967780077</v>
      </c>
      <c r="AA222" s="72">
        <f t="shared" si="127"/>
        <v>0.39315993702401325</v>
      </c>
      <c r="AB222" s="72">
        <f t="shared" si="128"/>
        <v>6.7594316207495619E-2</v>
      </c>
      <c r="AC222" s="72"/>
      <c r="AD222" s="72"/>
      <c r="AE222" s="72">
        <f t="shared" si="129"/>
        <v>0.56977274004924061</v>
      </c>
      <c r="AF222" s="72">
        <f t="shared" si="130"/>
        <v>0.47173768951819972</v>
      </c>
      <c r="AG222" s="72">
        <f t="shared" si="131"/>
        <v>0.27769569287804208</v>
      </c>
      <c r="AH222" s="72">
        <f t="shared" si="132"/>
        <v>0.44767621282061715</v>
      </c>
      <c r="AI222" s="72">
        <f t="shared" si="133"/>
        <v>0.19821428571428573</v>
      </c>
      <c r="AJ222" s="72">
        <f>(AV222-Driver!$K$179)/(Driver!$L$179-Driver!$K$179)</f>
        <v>0.14454919023446938</v>
      </c>
      <c r="AK222" s="72">
        <f>(AW222-Driver!$K$180)/(Driver!$L$180-Driver!$K$180)</f>
        <v>0.31921172348125398</v>
      </c>
      <c r="AL222" s="72">
        <f>(AX222-Driver!$K$181)/(Driver!$L$181-Driver!$K$181)</f>
        <v>0.28729526339088096</v>
      </c>
      <c r="AM222" s="72">
        <f>(AY222-Driver!$K$182)/(Driver!$L$182-Driver!$K$182)</f>
        <v>5.4225084073033114E-2</v>
      </c>
      <c r="AN222" s="72">
        <f>(AZ222-Driver!$K$183)/(Driver!$L$183-Driver!$K$183)</f>
        <v>0.32181372549019605</v>
      </c>
      <c r="AO222" s="72"/>
      <c r="AP222" s="72"/>
      <c r="AQ222" s="72">
        <f>(BC222-Driver!$K$188)/(Driver!$L$188-Driver!$K$188)</f>
        <v>5.0227259950759336E-2</v>
      </c>
      <c r="AR222" s="72">
        <f>MIN((BD222-Driver!$K$189)/(Driver!$L$189-Driver!$K$189),100%)</f>
        <v>7.8262310481800323E-2</v>
      </c>
      <c r="AS222" s="72">
        <f>(BE222-Driver!$K$190)/(Driver!$L$190-Driver!$K$190)</f>
        <v>0.23230430712195793</v>
      </c>
      <c r="AT222" s="72">
        <f>(BF222-Driver!$K$191)/(Driver!$L$191-Driver!$K$191)</f>
        <v>6.2323787179382868E-2</v>
      </c>
      <c r="AU222" s="72">
        <f>(BG222-Driver!$K$192)/(Driver!$L$192-Driver!$K$192)</f>
        <v>5.1785714285714282E-2</v>
      </c>
      <c r="AV222" s="70">
        <f t="shared" si="134"/>
        <v>3.0423280423280419</v>
      </c>
      <c r="AW222" s="70">
        <f t="shared" si="135"/>
        <v>32.98190357831561</v>
      </c>
      <c r="AX222" s="70">
        <f t="shared" si="136"/>
        <v>3.5856573705179287</v>
      </c>
      <c r="AY222" s="70">
        <f>IFERROR(Driver!$K$19/Data!BH222/Data!BI222*Data!BK222*Data!BL222,"")</f>
        <v>6.638768210892583E-2</v>
      </c>
      <c r="AZ222" s="70">
        <f t="shared" si="137"/>
        <v>29.329858525688756</v>
      </c>
      <c r="BA222" s="70"/>
      <c r="BB222" s="70"/>
      <c r="BC222" s="70">
        <f t="shared" si="138"/>
        <v>26.05322891070519</v>
      </c>
      <c r="BD222" s="70">
        <f t="shared" si="139"/>
        <v>8.6468986891285713</v>
      </c>
      <c r="BE222" s="70">
        <f t="shared" si="140"/>
        <v>0.23244125539278429</v>
      </c>
      <c r="BF222" s="70">
        <f t="shared" si="141"/>
        <v>7.0390339125258121</v>
      </c>
      <c r="BG222" s="70">
        <f t="shared" si="142"/>
        <v>0.19609375000000001</v>
      </c>
      <c r="BH222" s="67">
        <f>MAX((CE222-Driver!$F$200)/(Driver!$G$200-Driver!$F$200)*$BI$1,1)</f>
        <v>3.5856573705179287</v>
      </c>
      <c r="BI222" s="67">
        <f>MAX($BI$1*(BY222-Driver!$F$201)/(Driver!$G$201-Driver!$F$201),1)</f>
        <v>6.3924050632911396</v>
      </c>
      <c r="BJ222" s="67">
        <f>(CB222-Driver!$F$206)/(Driver!$G$206-Driver!$F$206)*$BI$1</f>
        <v>3.6507936507936507</v>
      </c>
      <c r="BK222" s="67">
        <f>(CD222-Driver!$F$203)/(Driver!$G$203-Driver!$F$203)*$BI$1</f>
        <v>1.6972477064220182</v>
      </c>
      <c r="BL222" s="67">
        <f>MAX((CR222-Driver!$F$202)/(Driver!$G$202-Driver!$F$202)*$BI$1,1)</f>
        <v>4.4827586206896548</v>
      </c>
      <c r="BM222" s="67">
        <f>MAX((CH222-Driver!$F$204)/(Driver!$G$204-Driver!$F$204)*$BI$1,1)</f>
        <v>3.333333333333333</v>
      </c>
      <c r="BN222" s="67">
        <f>(CI222-Driver!$F$205)/(Driver!$G$205-Driver!$F$205)*$BI$1</f>
        <v>4.5882352941176467</v>
      </c>
      <c r="BO222" s="67">
        <f>(CK222-Driver!$F$207)/(Driver!$G$207-Driver!$F$207)*$BI$1</f>
        <v>1.8407445708376422</v>
      </c>
      <c r="BP222" s="67">
        <f>(CM222-Driver!$F$208)/(Driver!$G$208-Driver!$F$208)*$BI$1</f>
        <v>1.7777777777777779</v>
      </c>
      <c r="BQ222" s="67">
        <f>(CL222-Driver!$F$209)/(Driver!$G$209-Driver!$F$209)*$BI$1</f>
        <v>2.34375</v>
      </c>
      <c r="BR222" s="28" t="s">
        <v>155</v>
      </c>
      <c r="BS222" s="8" t="s">
        <v>245</v>
      </c>
      <c r="BT222" s="9" t="s">
        <v>291</v>
      </c>
      <c r="BU222" s="10">
        <v>155</v>
      </c>
      <c r="BV222" s="9" t="s">
        <v>163</v>
      </c>
      <c r="BW222" s="10">
        <v>155</v>
      </c>
      <c r="BX222" s="10">
        <v>154.1</v>
      </c>
      <c r="BY222" s="10">
        <v>109</v>
      </c>
      <c r="BZ222" s="10">
        <v>131</v>
      </c>
      <c r="CA222" s="10">
        <v>120</v>
      </c>
      <c r="CB222" s="10">
        <v>87</v>
      </c>
      <c r="CC222" s="10">
        <v>109</v>
      </c>
      <c r="CD222" s="10">
        <v>13.1</v>
      </c>
      <c r="CE222" s="10">
        <v>1530</v>
      </c>
      <c r="CF222" s="10">
        <v>1</v>
      </c>
      <c r="CG222" s="10">
        <v>1525</v>
      </c>
      <c r="CH222" s="10">
        <v>179</v>
      </c>
      <c r="CI222" s="10">
        <v>111</v>
      </c>
      <c r="CJ222" s="10">
        <v>48</v>
      </c>
      <c r="CK222" s="10">
        <v>288</v>
      </c>
      <c r="CL222" s="10">
        <v>15</v>
      </c>
      <c r="CM222" s="10">
        <v>160</v>
      </c>
      <c r="CN222" s="10">
        <v>0.308</v>
      </c>
      <c r="CO222" s="10">
        <v>114</v>
      </c>
      <c r="CP222" s="10">
        <v>119</v>
      </c>
      <c r="CQ222" s="10">
        <v>173</v>
      </c>
      <c r="CR222" s="10">
        <v>2</v>
      </c>
      <c r="CS222" s="10">
        <v>10.1</v>
      </c>
      <c r="CT222" s="9" t="s">
        <v>188</v>
      </c>
      <c r="CU222" s="10"/>
      <c r="CV222" s="10"/>
      <c r="CW222" s="10"/>
      <c r="CX222" t="str">
        <f>INDEX('Data_Price '!AG$2:AG$1266,MATCH(Data!$DN222,'Data_Price '!$AT$2:$AT$1266,0))</f>
        <v>Fischer Ranger 92 Ti Ski 155</v>
      </c>
      <c r="CY222" t="str">
        <f>INDEX('Data_Price '!AH$2:AH$1266,MATCH(Data!$DN222,'Data_Price '!$AT$2:$AT$1266,0))</f>
        <v>Ski The Whites</v>
      </c>
      <c r="CZ222">
        <f>INDEX('Data_Price '!AI$2:AI$1266,MATCH(Data!$DN222,'Data_Price '!$AT$2:$AT$1266,0))</f>
        <v>649.95000000000005</v>
      </c>
      <c r="DA222" t="str">
        <f>INDEX('Data_Price '!AJ$2:AJ$1266,MATCH(Data!$DN222,'Data_Price '!$AT$2:$AT$1266,0))</f>
        <v>https://tinyurl.com/y9pb4ygc</v>
      </c>
      <c r="DB222" t="str">
        <f>INDEX('Data_Price '!AK$2:AK$1266,MATCH(Data!$DN222,'Data_Price '!$AT$2:$AT$1266,0))</f>
        <v>Fischer Ranger 92 Ti, Alpine Skis Freeride, Size 155 (A16020-155)</v>
      </c>
      <c r="DC222" t="str">
        <f>INDEX('Data_Price '!AL$2:AL$1266,MATCH(Data!$DN222,'Data_Price '!$AT$2:$AT$1266,0))</f>
        <v>GritrOutdoors</v>
      </c>
      <c r="DD222">
        <f>INDEX('Data_Price '!AM$2:AM$1266,MATCH(Data!$DN222,'Data_Price '!$AT$2:$AT$1266,0))</f>
        <v>429.99</v>
      </c>
      <c r="DE222" t="str">
        <f>INDEX('Data_Price '!AN$2:AN$1266,MATCH(Data!$DN222,'Data_Price '!$AT$2:$AT$1266,0))</f>
        <v>https://tinyurl.com/y8m5fgtf</v>
      </c>
      <c r="DF222" t="str">
        <f>INDEX('Data_Price '!AO$2:AO$1266,MATCH(Data!$DN222,'Data_Price '!$AT$2:$AT$1266,0))</f>
        <v>Fischer Ranger 92 Ti, Alpine Skis Freeride, Size 155 (A16020-155)</v>
      </c>
      <c r="DG222" t="str">
        <f>INDEX('Data_Price '!AP$2:AP$1266,MATCH(Data!$DN222,'Data_Price '!$AT$2:$AT$1266,0))</f>
        <v>Walmart - WEBY Corporation</v>
      </c>
      <c r="DH222">
        <f>INDEX('Data_Price '!AQ$2:AQ$1266,MATCH(Data!$DN222,'Data_Price '!$AT$2:$AT$1266,0))</f>
        <v>479.99</v>
      </c>
      <c r="DI222" t="str">
        <f>INDEX('Data_Price '!AR$2:AR$1266,MATCH(Data!$DN222,'Data_Price '!$AT$2:$AT$1266,0))</f>
        <v>https://tinyurl.com/y7rtc4bk</v>
      </c>
      <c r="DJ222" s="89" t="str">
        <f t="shared" si="143"/>
        <v>https://tinyurl.com/y9pb4ygc</v>
      </c>
      <c r="DK222" s="89" t="str">
        <f t="shared" si="144"/>
        <v>https://tinyurl.com/y8m5fgtf</v>
      </c>
      <c r="DL222" s="89" t="str">
        <f t="shared" si="145"/>
        <v>https://tinyurl.com/y7rtc4bk</v>
      </c>
      <c r="DM222" s="219" t="str">
        <f t="shared" si="146"/>
        <v>Ranger 92 Ti W</v>
      </c>
      <c r="DN222" s="89" t="str">
        <f t="shared" si="147"/>
        <v xml:space="preserve"> FischerRanger 92 Ti W155 Women's</v>
      </c>
      <c r="DO222" s="221"/>
    </row>
    <row r="223" spans="2:119" ht="15.6" customHeight="1">
      <c r="B223" s="219" t="b">
        <f t="array" ref="B223">IF(OR(ISERROR(K223:P223)),FALSE,TRUE)</f>
        <v>1</v>
      </c>
      <c r="C223" s="43" t="b">
        <f>OR(BR223=Driver!$G$50,Data!BR1065=Driver!$H$50)</f>
        <v>1</v>
      </c>
      <c r="D223" s="43" t="b">
        <f>OR(BV223=Driver!$G$51,BV223=Driver!$H$51)</f>
        <v>1</v>
      </c>
      <c r="E223" s="43" t="b">
        <f>AND(BX223&gt;Driver!$F$54,BX223&lt;Driver!$G$54)</f>
        <v>0</v>
      </c>
      <c r="F223" s="43" t="b">
        <f>CL223&gt;Driver!$F$56</f>
        <v>1</v>
      </c>
      <c r="G223" s="43" t="b">
        <f>AND(CB223&gt;Driver!$F$55,CB223&lt;Driver!$G$55)</f>
        <v>1</v>
      </c>
      <c r="H223" s="43" t="b">
        <f t="shared" si="111"/>
        <v>0</v>
      </c>
      <c r="I223" s="43">
        <f t="shared" si="112"/>
        <v>0</v>
      </c>
      <c r="J223" s="43" t="b">
        <f t="array" ref="J223">NOT(OR(($H$9:$H$1273=TRUE)*($I$9:$I$1273&gt;0)*($BT$9:$BT$1273=BT223)*($K$9:$K$1273&gt;K223)))</f>
        <v>1</v>
      </c>
      <c r="K223" s="72">
        <f t="shared" si="113"/>
        <v>0.85726652932291492</v>
      </c>
      <c r="L223" s="72">
        <f t="shared" si="114"/>
        <v>0.98105574985032673</v>
      </c>
      <c r="M223" s="72">
        <f t="shared" si="115"/>
        <v>0.73347730879550332</v>
      </c>
      <c r="N223" s="72">
        <f t="shared" si="116"/>
        <v>0.59242323452823231</v>
      </c>
      <c r="O223" s="72">
        <f t="shared" si="117"/>
        <v>0.66410718610829811</v>
      </c>
      <c r="P223" s="72">
        <f t="shared" si="118"/>
        <v>0.94390150574997933</v>
      </c>
      <c r="Q223" s="72"/>
      <c r="R223" s="72"/>
      <c r="S223" s="72">
        <f t="shared" si="119"/>
        <v>0.4351336442650745</v>
      </c>
      <c r="T223" s="72">
        <f t="shared" si="120"/>
        <v>0.47608955613487747</v>
      </c>
      <c r="U223" s="72">
        <f t="shared" si="121"/>
        <v>0.5335550147727014</v>
      </c>
      <c r="V223" s="72">
        <f t="shared" si="122"/>
        <v>0.59304716369260291</v>
      </c>
      <c r="W223" s="72">
        <f t="shared" si="123"/>
        <v>0.80211763227346988</v>
      </c>
      <c r="X223" s="72">
        <f t="shared" si="124"/>
        <v>1.8944250149673297E-2</v>
      </c>
      <c r="Y223" s="72">
        <f t="shared" si="125"/>
        <v>0.26652269120449673</v>
      </c>
      <c r="Z223" s="72">
        <f t="shared" si="126"/>
        <v>0.40757676547176769</v>
      </c>
      <c r="AA223" s="72">
        <f t="shared" si="127"/>
        <v>0.33589281389170189</v>
      </c>
      <c r="AB223" s="72">
        <f t="shared" si="128"/>
        <v>5.609849425002067E-2</v>
      </c>
      <c r="AC223" s="72"/>
      <c r="AD223" s="72"/>
      <c r="AE223" s="72">
        <f t="shared" si="129"/>
        <v>0.5648663557349255</v>
      </c>
      <c r="AF223" s="72">
        <f t="shared" si="130"/>
        <v>0.52391044386512253</v>
      </c>
      <c r="AG223" s="72">
        <f t="shared" si="131"/>
        <v>0.4664449852272986</v>
      </c>
      <c r="AH223" s="72">
        <f t="shared" si="132"/>
        <v>0.40695283630739704</v>
      </c>
      <c r="AI223" s="72">
        <f t="shared" si="133"/>
        <v>0.19788236772653012</v>
      </c>
      <c r="AJ223" s="72">
        <f>(AV223-Driver!$K$179)/(Driver!$L$179-Driver!$K$179)</f>
        <v>0.23527515913302713</v>
      </c>
      <c r="AK223" s="72">
        <f>(AW223-Driver!$K$180)/(Driver!$L$180-Driver!$K$180)</f>
        <v>0.2247571682121951</v>
      </c>
      <c r="AL223" s="72">
        <f>(AX223-Driver!$K$181)/(Driver!$L$181-Driver!$K$181)</f>
        <v>0.50926452918484788</v>
      </c>
      <c r="AM223" s="72">
        <f>(AY223-Driver!$K$182)/(Driver!$L$182-Driver!$K$182)</f>
        <v>0.11149220720534447</v>
      </c>
      <c r="AN223" s="72">
        <f>(AZ223-Driver!$K$183)/(Driver!$L$183-Driver!$K$183)</f>
        <v>0.19812091503267976</v>
      </c>
      <c r="AO223" s="72"/>
      <c r="AP223" s="72"/>
      <c r="AQ223" s="72">
        <f>(BC223-Driver!$K$188)/(Driver!$L$188-Driver!$K$188)</f>
        <v>5.51336442650745E-2</v>
      </c>
      <c r="AR223" s="72">
        <f>MIN((BD223-Driver!$K$189)/(Driver!$L$189-Driver!$K$189),100%)</f>
        <v>2.608955613487746E-2</v>
      </c>
      <c r="AS223" s="72">
        <f>(BE223-Driver!$K$190)/(Driver!$L$190-Driver!$K$190)</f>
        <v>4.3555014772701413E-2</v>
      </c>
      <c r="AT223" s="72">
        <f>(BF223-Driver!$K$191)/(Driver!$L$191-Driver!$K$191)</f>
        <v>0.10304716369260296</v>
      </c>
      <c r="AU223" s="72">
        <f>(BG223-Driver!$K$192)/(Driver!$L$192-Driver!$K$192)</f>
        <v>5.2117632273469897E-2</v>
      </c>
      <c r="AV223" s="70">
        <f t="shared" si="134"/>
        <v>4.9518382851716183</v>
      </c>
      <c r="AW223" s="70">
        <f t="shared" si="135"/>
        <v>23.776470214844288</v>
      </c>
      <c r="AX223" s="70">
        <f t="shared" si="136"/>
        <v>5.5833807626636309</v>
      </c>
      <c r="AY223" s="70">
        <f>IFERROR(Driver!$K$19/Data!BH223/Data!BI223*Data!BK223*Data!BL223,"")</f>
        <v>0.13649972768325999</v>
      </c>
      <c r="AZ223" s="70">
        <f t="shared" si="137"/>
        <v>18.056589724497396</v>
      </c>
      <c r="BA223" s="70"/>
      <c r="BB223" s="70"/>
      <c r="BC223" s="70">
        <f t="shared" si="138"/>
        <v>28.598204563170853</v>
      </c>
      <c r="BD223" s="70">
        <f t="shared" si="139"/>
        <v>4.0297023740763631</v>
      </c>
      <c r="BE223" s="70">
        <f t="shared" si="140"/>
        <v>4.3725633792819102E-2</v>
      </c>
      <c r="BF223" s="70">
        <f t="shared" si="141"/>
        <v>11.638453191782002</v>
      </c>
      <c r="BG223" s="70">
        <f t="shared" si="142"/>
        <v>0.19735060324242806</v>
      </c>
      <c r="BH223" s="67">
        <f>MAX((CE223-Driver!$F$200)/(Driver!$G$200-Driver!$F$200)*$BI$1,1)</f>
        <v>5.5833807626636309</v>
      </c>
      <c r="BI223" s="67">
        <f>MAX($BI$1*(BY223-Driver!$F$201)/(Driver!$G$201-Driver!$F$201),1)</f>
        <v>6.1392405063291138</v>
      </c>
      <c r="BJ223" s="67">
        <f>(CB223-Driver!$F$206)/(Driver!$G$206-Driver!$F$206)*$BI$1</f>
        <v>6.3492063492063489</v>
      </c>
      <c r="BK223" s="67">
        <f>(CD223-Driver!$F$203)/(Driver!$G$203-Driver!$F$203)*$BI$1</f>
        <v>3.9908256880733957</v>
      </c>
      <c r="BL223" s="67">
        <f>MAX((CR223-Driver!$F$202)/(Driver!$G$202-Driver!$F$202)*$BI$1,1)</f>
        <v>5.8620689655172411</v>
      </c>
      <c r="BM223" s="67">
        <f>MAX((CH223-Driver!$F$204)/(Driver!$G$204-Driver!$F$204)*$BI$1,1)</f>
        <v>3.1196581196581197</v>
      </c>
      <c r="BN223" s="67">
        <f>(CI223-Driver!$F$205)/(Driver!$G$205-Driver!$F$205)*$BI$1</f>
        <v>2.9411764705882355</v>
      </c>
      <c r="BO223" s="67">
        <f>(CK223-Driver!$F$207)/(Driver!$G$207-Driver!$F$207)*$BI$1</f>
        <v>2.512926577042399</v>
      </c>
      <c r="BP223" s="67">
        <f>(CM223-Driver!$F$208)/(Driver!$G$208-Driver!$F$208)*$BI$1</f>
        <v>2.911111111111111</v>
      </c>
      <c r="BQ223" s="67">
        <f>(CL223-Driver!$F$209)/(Driver!$G$209-Driver!$F$209)*$BI$1</f>
        <v>3.4375</v>
      </c>
      <c r="BR223" s="28" t="s">
        <v>155</v>
      </c>
      <c r="BS223" s="8" t="s">
        <v>174</v>
      </c>
      <c r="BT223" s="9" t="s">
        <v>438</v>
      </c>
      <c r="BU223" s="10">
        <v>167</v>
      </c>
      <c r="BV223" s="9" t="s">
        <v>158</v>
      </c>
      <c r="BW223" s="10">
        <v>167</v>
      </c>
      <c r="BX223" s="10">
        <v>166.8</v>
      </c>
      <c r="BY223" s="10">
        <v>105</v>
      </c>
      <c r="BZ223" s="10">
        <v>135</v>
      </c>
      <c r="CA223" s="10">
        <v>136</v>
      </c>
      <c r="CB223" s="10">
        <v>104</v>
      </c>
      <c r="CC223" s="10">
        <v>122</v>
      </c>
      <c r="CD223" s="10">
        <v>18.100000000000001</v>
      </c>
      <c r="CE223" s="10">
        <v>1881</v>
      </c>
      <c r="CF223" s="10">
        <v>1.02</v>
      </c>
      <c r="CG223" s="10">
        <v>1912</v>
      </c>
      <c r="CH223" s="10">
        <v>174</v>
      </c>
      <c r="CI223" s="10">
        <v>83</v>
      </c>
      <c r="CJ223" s="10">
        <v>59</v>
      </c>
      <c r="CK223" s="10">
        <v>353</v>
      </c>
      <c r="CL223" s="10">
        <v>22</v>
      </c>
      <c r="CM223" s="10">
        <v>262</v>
      </c>
      <c r="CN223" s="10">
        <v>0.36799999999999999</v>
      </c>
      <c r="CO223" s="10">
        <v>189</v>
      </c>
      <c r="CP223" s="10">
        <v>124</v>
      </c>
      <c r="CQ223" s="10">
        <v>164</v>
      </c>
      <c r="CR223" s="10">
        <v>6</v>
      </c>
      <c r="CS223" s="10">
        <v>9.3000000000000007</v>
      </c>
      <c r="CT223" s="9" t="s">
        <v>188</v>
      </c>
      <c r="CU223" s="9" t="s">
        <v>169</v>
      </c>
      <c r="CV223" s="9" t="s">
        <v>178</v>
      </c>
      <c r="CW223" s="10"/>
      <c r="CX223" t="str">
        <f>INDEX('Data_Price '!AG$2:AG$1266,MATCH(Data!$DN223,'Data_Price '!$AT$2:$AT$1266,0))</f>
        <v>Salomon QST 106 Skis</v>
      </c>
      <c r="CY223" t="str">
        <f>INDEX('Data_Price '!AH$2:AH$1266,MATCH(Data!$DN223,'Data_Price '!$AT$2:$AT$1266,0))</f>
        <v>Varuste.net</v>
      </c>
      <c r="CZ223">
        <f>INDEX('Data_Price '!AI$2:AI$1266,MATCH(Data!$DN223,'Data_Price '!$AT$2:$AT$1266,0))</f>
        <v>398.15</v>
      </c>
      <c r="DA223" t="str">
        <f>INDEX('Data_Price '!AJ$2:AJ$1266,MATCH(Data!$DN223,'Data_Price '!$AT$2:$AT$1266,0))</f>
        <v>https://tinyurl.com/y8u8gazk</v>
      </c>
      <c r="DB223" t="str">
        <f>INDEX('Data_Price '!AK$2:AK$1266,MATCH(Data!$DN223,'Data_Price '!$AT$2:$AT$1266,0))</f>
        <v>Salomon QST Stella 106 Skis</v>
      </c>
      <c r="DC223" t="str">
        <f>INDEX('Data_Price '!AL$2:AL$1266,MATCH(Data!$DN223,'Data_Price '!$AT$2:$AT$1266,0))</f>
        <v>Erik's Bike, Board and Ski</v>
      </c>
      <c r="DD223">
        <f>INDEX('Data_Price '!AM$2:AM$1266,MATCH(Data!$DN223,'Data_Price '!$AT$2:$AT$1266,0))</f>
        <v>399.99</v>
      </c>
      <c r="DE223" t="str">
        <f>INDEX('Data_Price '!AN$2:AN$1266,MATCH(Data!$DN223,'Data_Price '!$AT$2:$AT$1266,0))</f>
        <v>https://tinyurl.com/y95reb2a</v>
      </c>
      <c r="DF223" t="str">
        <f>INDEX('Data_Price '!AO$2:AO$1266,MATCH(Data!$DN223,'Data_Price '!$AT$2:$AT$1266,0))</f>
        <v xml:space="preserve"> 2019 Salomon QST 106 Demo Ski with Bindings Size 167 (Option 211783)</v>
      </c>
      <c r="DG223" t="str">
        <f>INDEX('Data_Price '!AP$2:AP$1266,MATCH(Data!$DN223,'Data_Price '!$AT$2:$AT$1266,0))</f>
        <v>SidelineSwap</v>
      </c>
      <c r="DH223">
        <f>INDEX('Data_Price '!AQ$2:AQ$1266,MATCH(Data!$DN223,'Data_Price '!$AT$2:$AT$1266,0))</f>
        <v>459.99</v>
      </c>
      <c r="DI223" t="str">
        <f>INDEX('Data_Price '!AR$2:AR$1266,MATCH(Data!$DN223,'Data_Price '!$AT$2:$AT$1266,0))</f>
        <v>https://tinyurl.com/yapzgwav</v>
      </c>
      <c r="DJ223" s="89" t="str">
        <f t="shared" si="143"/>
        <v>https://tinyurl.com/y8u8gazk</v>
      </c>
      <c r="DK223" s="89" t="str">
        <f t="shared" si="144"/>
        <v>https://tinyurl.com/y95reb2a</v>
      </c>
      <c r="DL223" s="89" t="str">
        <f t="shared" si="145"/>
        <v>https://tinyurl.com/yapzgwav</v>
      </c>
      <c r="DM223" s="219" t="str">
        <f t="shared" si="146"/>
        <v>QST 106</v>
      </c>
      <c r="DN223" s="89" t="str">
        <f t="shared" si="147"/>
        <v xml:space="preserve"> SalomonQST 106167 Unisex</v>
      </c>
      <c r="DO223" s="221" t="s">
        <v>439</v>
      </c>
    </row>
    <row r="224" spans="2:119" ht="15.6" customHeight="1">
      <c r="B224" s="219" t="b">
        <f t="array" ref="B224">IF(OR(ISERROR(K224:P224)),FALSE,TRUE)</f>
        <v>1</v>
      </c>
      <c r="C224" s="43" t="b">
        <f>OR(BR224=Driver!$G$50,Data!BR567=Driver!$H$50)</f>
        <v>1</v>
      </c>
      <c r="D224" s="43" t="b">
        <f>OR(BV224=Driver!$G$51,BV224=Driver!$H$51)</f>
        <v>0</v>
      </c>
      <c r="E224" s="43" t="b">
        <f>AND(BX224&gt;Driver!$F$54,BX224&lt;Driver!$G$54)</f>
        <v>0</v>
      </c>
      <c r="F224" s="43" t="b">
        <f>CL224&gt;Driver!$F$56</f>
        <v>1</v>
      </c>
      <c r="G224" s="43" t="b">
        <f>AND(CB224&gt;Driver!$F$55,CB224&lt;Driver!$G$55)</f>
        <v>1</v>
      </c>
      <c r="H224" s="43" t="b">
        <f t="shared" si="111"/>
        <v>0</v>
      </c>
      <c r="I224" s="43">
        <f t="shared" si="112"/>
        <v>0</v>
      </c>
      <c r="J224" s="43" t="b">
        <f t="array" ref="J224">NOT(OR(($H$9:$H$1273=TRUE)*($I$9:$I$1273&gt;0)*($BT$9:$BT$1273=BT224)*($K$9:$K$1273&gt;K224)))</f>
        <v>1</v>
      </c>
      <c r="K224" s="72">
        <f t="shared" si="113"/>
        <v>0.77522770078010095</v>
      </c>
      <c r="L224" s="72">
        <f t="shared" si="114"/>
        <v>0.85924720720389947</v>
      </c>
      <c r="M224" s="72">
        <f t="shared" si="115"/>
        <v>0.69120819435630265</v>
      </c>
      <c r="N224" s="72">
        <f t="shared" si="116"/>
        <v>0.56143607206696633</v>
      </c>
      <c r="O224" s="72">
        <f t="shared" si="117"/>
        <v>0.61642498407218205</v>
      </c>
      <c r="P224" s="72">
        <f t="shared" si="118"/>
        <v>0.89576352692975925</v>
      </c>
      <c r="Q224" s="72"/>
      <c r="R224" s="72"/>
      <c r="S224" s="72">
        <f t="shared" si="119"/>
        <v>0.45881626197951464</v>
      </c>
      <c r="T224" s="72">
        <f t="shared" si="120"/>
        <v>0.53923922309940986</v>
      </c>
      <c r="U224" s="72">
        <f t="shared" si="121"/>
        <v>0.53397990614120872</v>
      </c>
      <c r="V224" s="72">
        <f t="shared" si="122"/>
        <v>0.60363592263431376</v>
      </c>
      <c r="W224" s="72">
        <f t="shared" si="123"/>
        <v>0.78575073379995486</v>
      </c>
      <c r="X224" s="72">
        <f t="shared" si="124"/>
        <v>0.14075279279610059</v>
      </c>
      <c r="Y224" s="72">
        <f t="shared" si="125"/>
        <v>0.3087918056436974</v>
      </c>
      <c r="Z224" s="72">
        <f t="shared" si="126"/>
        <v>0.43856392793303367</v>
      </c>
      <c r="AA224" s="72">
        <f t="shared" si="127"/>
        <v>0.3835750159278179</v>
      </c>
      <c r="AB224" s="72">
        <f t="shared" si="128"/>
        <v>0.10423647307024081</v>
      </c>
      <c r="AC224" s="72"/>
      <c r="AD224" s="72"/>
      <c r="AE224" s="72">
        <f t="shared" si="129"/>
        <v>0.54118373802048536</v>
      </c>
      <c r="AF224" s="72">
        <f t="shared" si="130"/>
        <v>0.4607607769005902</v>
      </c>
      <c r="AG224" s="72">
        <f t="shared" si="131"/>
        <v>0.46602009385879134</v>
      </c>
      <c r="AH224" s="72">
        <f t="shared" si="132"/>
        <v>0.3963640773656863</v>
      </c>
      <c r="AI224" s="72">
        <f t="shared" si="133"/>
        <v>0.21424926620004514</v>
      </c>
      <c r="AJ224" s="72">
        <f>(AV224-Driver!$K$179)/(Driver!$L$179-Driver!$K$179)</f>
        <v>0.39497220207880102</v>
      </c>
      <c r="AK224" s="72">
        <f>(AW224-Driver!$K$180)/(Driver!$L$180-Driver!$K$180)</f>
        <v>0.37695794534876698</v>
      </c>
      <c r="AL224" s="72">
        <f>(AX224-Driver!$K$181)/(Driver!$L$181-Driver!$K$181)</f>
        <v>0.54025169164611386</v>
      </c>
      <c r="AM224" s="72">
        <f>(AY224-Driver!$K$182)/(Driver!$L$182-Driver!$K$182)</f>
        <v>6.3810005169228468E-2</v>
      </c>
      <c r="AN224" s="72">
        <f>(AZ224-Driver!$K$183)/(Driver!$L$183-Driver!$K$183)</f>
        <v>0.35845588235294124</v>
      </c>
      <c r="AO224" s="72"/>
      <c r="AP224" s="72"/>
      <c r="AQ224" s="72">
        <f>(BC224-Driver!$K$188)/(Driver!$L$188-Driver!$K$188)</f>
        <v>7.881626197951469E-2</v>
      </c>
      <c r="AR224" s="72">
        <f>MIN((BD224-Driver!$K$189)/(Driver!$L$189-Driver!$K$189),100%)</f>
        <v>8.9239223099409848E-2</v>
      </c>
      <c r="AS224" s="72">
        <f>(BE224-Driver!$K$190)/(Driver!$L$190-Driver!$K$190)</f>
        <v>4.3979906141208662E-2</v>
      </c>
      <c r="AT224" s="72">
        <f>(BF224-Driver!$K$191)/(Driver!$L$191-Driver!$K$191)</f>
        <v>0.11363592263431373</v>
      </c>
      <c r="AU224" s="72">
        <f>(BG224-Driver!$K$192)/(Driver!$L$192-Driver!$K$192)</f>
        <v>3.5750733799954845E-2</v>
      </c>
      <c r="AV224" s="70">
        <f t="shared" si="134"/>
        <v>8.3129833129833131</v>
      </c>
      <c r="AW224" s="70">
        <f t="shared" si="135"/>
        <v>38.60978458288325</v>
      </c>
      <c r="AX224" s="70">
        <f t="shared" si="136"/>
        <v>5.8622652248150251</v>
      </c>
      <c r="AY224" s="70">
        <f>IFERROR(Driver!$K$19/Data!BH224/Data!BI224*Data!BK224*Data!BL224,"")</f>
        <v>7.8122485395100999E-2</v>
      </c>
      <c r="AZ224" s="70">
        <f t="shared" si="137"/>
        <v>32.669396872673126</v>
      </c>
      <c r="BA224" s="70"/>
      <c r="BB224" s="70"/>
      <c r="BC224" s="70">
        <f t="shared" si="138"/>
        <v>40.882543010538299</v>
      </c>
      <c r="BD224" s="70">
        <f t="shared" si="139"/>
        <v>9.6183360058487697</v>
      </c>
      <c r="BE224" s="70">
        <f t="shared" si="140"/>
        <v>4.4150449365488564E-2</v>
      </c>
      <c r="BF224" s="70">
        <f t="shared" si="141"/>
        <v>12.834379124006475</v>
      </c>
      <c r="BG224" s="70">
        <f t="shared" si="142"/>
        <v>0.13537508466922557</v>
      </c>
      <c r="BH224" s="67">
        <f>MAX((CE224-Driver!$F$200)/(Driver!$G$200-Driver!$F$200)*$BI$1,1)</f>
        <v>5.8622652248150251</v>
      </c>
      <c r="BI224" s="67">
        <f>MAX($BI$1*(BY224-Driver!$F$201)/(Driver!$G$201-Driver!$F$201),1)</f>
        <v>7.4050632911392409</v>
      </c>
      <c r="BJ224" s="67">
        <f>(CB224-Driver!$F$206)/(Driver!$G$206-Driver!$F$206)*$BI$1</f>
        <v>6.0317460317460316</v>
      </c>
      <c r="BK224" s="67">
        <f>(CD224-Driver!$F$203)/(Driver!$G$203-Driver!$F$203)*$BI$1</f>
        <v>3.0733944954128449</v>
      </c>
      <c r="BL224" s="67">
        <f>MAX((CR224-Driver!$F$202)/(Driver!$G$202-Driver!$F$202)*$BI$1,1)</f>
        <v>5.5172413793103452</v>
      </c>
      <c r="BM224" s="67">
        <f>MAX((CH224-Driver!$F$204)/(Driver!$G$204-Driver!$F$204)*$BI$1,1)</f>
        <v>5.5128205128205128</v>
      </c>
      <c r="BN224" s="67">
        <f>(CI224-Driver!$F$205)/(Driver!$G$205-Driver!$F$205)*$BI$1</f>
        <v>4.4117647058823533</v>
      </c>
      <c r="BO224" s="67">
        <f>(CK224-Driver!$F$207)/(Driver!$G$207-Driver!$F$207)*$BI$1</f>
        <v>2.9576008273009307</v>
      </c>
      <c r="BP224" s="67">
        <f>(CM224-Driver!$F$208)/(Driver!$G$208-Driver!$F$208)*$BI$1</f>
        <v>2.2111111111111112</v>
      </c>
      <c r="BQ224" s="67">
        <f>(CL224-Driver!$F$209)/(Driver!$G$209-Driver!$F$209)*$BI$1</f>
        <v>4.375</v>
      </c>
      <c r="BR224" s="28" t="s">
        <v>155</v>
      </c>
      <c r="BS224" s="8" t="s">
        <v>245</v>
      </c>
      <c r="BT224" s="9" t="s">
        <v>337</v>
      </c>
      <c r="BU224" s="10">
        <v>184</v>
      </c>
      <c r="BV224" s="9" t="s">
        <v>163</v>
      </c>
      <c r="BW224" s="10">
        <v>184</v>
      </c>
      <c r="BX224" s="10">
        <v>184.2</v>
      </c>
      <c r="BY224" s="10">
        <v>125</v>
      </c>
      <c r="BZ224" s="10">
        <v>152</v>
      </c>
      <c r="CA224" s="10">
        <v>137</v>
      </c>
      <c r="CB224" s="10">
        <v>102</v>
      </c>
      <c r="CC224" s="10">
        <v>127</v>
      </c>
      <c r="CD224" s="10">
        <v>16.100000000000001</v>
      </c>
      <c r="CE224" s="10">
        <v>1930</v>
      </c>
      <c r="CF224" s="10">
        <v>1.1000000000000001</v>
      </c>
      <c r="CG224" s="10">
        <v>2127</v>
      </c>
      <c r="CH224" s="10">
        <v>230</v>
      </c>
      <c r="CI224" s="10">
        <v>108</v>
      </c>
      <c r="CJ224" s="10">
        <v>51</v>
      </c>
      <c r="CK224" s="10">
        <v>396</v>
      </c>
      <c r="CL224" s="10">
        <v>28</v>
      </c>
      <c r="CM224" s="10">
        <v>199</v>
      </c>
      <c r="CN224" s="10">
        <v>0.55200000000000005</v>
      </c>
      <c r="CO224" s="10">
        <v>156</v>
      </c>
      <c r="CP224" s="10">
        <v>168</v>
      </c>
      <c r="CQ224" s="10">
        <v>240</v>
      </c>
      <c r="CR224" s="10">
        <v>5</v>
      </c>
      <c r="CS224" s="10">
        <v>10</v>
      </c>
      <c r="CT224" s="9" t="s">
        <v>188</v>
      </c>
      <c r="CU224" s="9" t="s">
        <v>169</v>
      </c>
      <c r="CV224" s="9" t="s">
        <v>185</v>
      </c>
      <c r="CW224" s="10"/>
      <c r="CX224" t="str">
        <f>INDEX('Data_Price '!AG$2:AG$1266,MATCH(Data!$DN224,'Data_Price '!$AT$2:$AT$1266,0))</f>
        <v>Fischer Ranger 102 FR 184cm</v>
      </c>
      <c r="CY224" t="str">
        <f>INDEX('Data_Price '!AH$2:AH$1266,MATCH(Data!$DN224,'Data_Price '!$AT$2:$AT$1266,0))</f>
        <v>Sundance Ski and Board Shop</v>
      </c>
      <c r="CZ224">
        <f>INDEX('Data_Price '!AI$2:AI$1266,MATCH(Data!$DN224,'Data_Price '!$AT$2:$AT$1266,0))</f>
        <v>521.29</v>
      </c>
      <c r="DA224" t="str">
        <f>INDEX('Data_Price '!AJ$2:AJ$1266,MATCH(Data!$DN224,'Data_Price '!$AT$2:$AT$1266,0))</f>
        <v>https://tinyurl.com/ybucwzfo</v>
      </c>
      <c r="DB224" t="str">
        <f>INDEX('Data_Price '!AK$2:AK$1266,MATCH(Data!$DN224,'Data_Price '!$AT$2:$AT$1266,0))</f>
        <v>Fischer Ranger 102 FR Skis (Pink)</v>
      </c>
      <c r="DC224" t="str">
        <f>INDEX('Data_Price '!AL$2:AL$1266,MATCH(Data!$DN224,'Data_Price '!$AT$2:$AT$1266,0))</f>
        <v>Powder7 Ski Shop</v>
      </c>
      <c r="DD224">
        <f>INDEX('Data_Price '!AM$2:AM$1266,MATCH(Data!$DN224,'Data_Price '!$AT$2:$AT$1266,0))</f>
        <v>659.93</v>
      </c>
      <c r="DE224" t="str">
        <f>INDEX('Data_Price '!AN$2:AN$1266,MATCH(Data!$DN224,'Data_Price '!$AT$2:$AT$1266,0))</f>
        <v>https://tinyurl.com/ycbhrkvo</v>
      </c>
      <c r="DF224" t="str">
        <f>INDEX('Data_Price '!AO$2:AO$1266,MATCH(Data!$DN224,'Data_Price '!$AT$2:$AT$1266,0))</f>
        <v>Fischer Ranger 102 FR Skis (Pink)</v>
      </c>
      <c r="DG224" t="str">
        <f>INDEX('Data_Price '!AP$2:AP$1266,MATCH(Data!$DN224,'Data_Price '!$AT$2:$AT$1266,0))</f>
        <v>ColoradoSkiShop.com</v>
      </c>
      <c r="DH224">
        <f>INDEX('Data_Price '!AQ$2:AQ$1266,MATCH(Data!$DN224,'Data_Price '!$AT$2:$AT$1266,0))</f>
        <v>699.99</v>
      </c>
      <c r="DI224" t="str">
        <f>INDEX('Data_Price '!AR$2:AR$1266,MATCH(Data!$DN224,'Data_Price '!$AT$2:$AT$1266,0))</f>
        <v>https://tinyurl.com/ybm86dyh</v>
      </c>
      <c r="DJ224" s="89" t="str">
        <f t="shared" si="143"/>
        <v>https://tinyurl.com/ybucwzfo</v>
      </c>
      <c r="DK224" s="89" t="str">
        <f t="shared" si="144"/>
        <v>https://tinyurl.com/ycbhrkvo</v>
      </c>
      <c r="DL224" s="89" t="str">
        <f t="shared" si="145"/>
        <v>https://tinyurl.com/ybm86dyh</v>
      </c>
      <c r="DM224" s="219" t="str">
        <f t="shared" si="146"/>
        <v>Ranger 102 FR W</v>
      </c>
      <c r="DN224" s="89" t="str">
        <f t="shared" si="147"/>
        <v xml:space="preserve"> FischerRanger 102 FR W184 Women's</v>
      </c>
      <c r="DO224" s="221"/>
    </row>
    <row r="225" spans="1:119" ht="15.6" customHeight="1">
      <c r="B225" s="219" t="b">
        <f t="array" ref="B225">IF(OR(ISERROR(K225:P225)),FALSE,TRUE)</f>
        <v>1</v>
      </c>
      <c r="C225" s="43" t="b">
        <f>OR(BR225=Driver!$G$50,Data!BR90=Driver!$H$50)</f>
        <v>1</v>
      </c>
      <c r="D225" s="43" t="b">
        <f>OR(BV225=Driver!$G$51,BV225=Driver!$H$51)</f>
        <v>0</v>
      </c>
      <c r="E225" s="43" t="b">
        <f>AND(BX225&gt;Driver!$F$54,BX225&lt;Driver!$G$54)</f>
        <v>1</v>
      </c>
      <c r="F225" s="43" t="b">
        <f>CL225&gt;Driver!$F$56</f>
        <v>1</v>
      </c>
      <c r="G225" s="43" t="b">
        <f>AND(CB225&gt;Driver!$F$55,CB225&lt;Driver!$G$55)</f>
        <v>0</v>
      </c>
      <c r="H225" s="43" t="b">
        <f t="shared" si="111"/>
        <v>0</v>
      </c>
      <c r="I225" s="43">
        <f t="shared" si="112"/>
        <v>0</v>
      </c>
      <c r="J225" s="43" t="b">
        <f t="array" ref="J225">NOT(OR(($H$9:$H$1273=TRUE)*($I$9:$I$1273&gt;0)*($BT$9:$BT$1273=BT225)*($K$9:$K$1273&gt;K225)))</f>
        <v>1</v>
      </c>
      <c r="K225" s="72">
        <f t="shared" si="113"/>
        <v>0.85734801647374437</v>
      </c>
      <c r="L225" s="72">
        <f t="shared" si="114"/>
        <v>0.96768051820098333</v>
      </c>
      <c r="M225" s="72">
        <f t="shared" si="115"/>
        <v>0.7470155147465054</v>
      </c>
      <c r="N225" s="72">
        <f t="shared" si="116"/>
        <v>0.7638012146711527</v>
      </c>
      <c r="O225" s="72">
        <f t="shared" si="117"/>
        <v>0.66648997257324449</v>
      </c>
      <c r="P225" s="72">
        <f t="shared" si="118"/>
        <v>0.8107553569951188</v>
      </c>
      <c r="Q225" s="72"/>
      <c r="R225" s="72"/>
      <c r="S225" s="72">
        <f t="shared" si="119"/>
        <v>0.50085696858368212</v>
      </c>
      <c r="T225" s="72">
        <f t="shared" si="120"/>
        <v>0.52531574602202713</v>
      </c>
      <c r="U225" s="72">
        <f t="shared" si="121"/>
        <v>0.83841246868431041</v>
      </c>
      <c r="V225" s="72">
        <f t="shared" si="122"/>
        <v>0.51359137642578301</v>
      </c>
      <c r="W225" s="72">
        <f t="shared" si="123"/>
        <v>0.78982394366197184</v>
      </c>
      <c r="X225" s="72">
        <f t="shared" si="124"/>
        <v>3.2319481799016614E-2</v>
      </c>
      <c r="Y225" s="72">
        <f t="shared" si="125"/>
        <v>0.25298448525349465</v>
      </c>
      <c r="Z225" s="72">
        <f t="shared" si="126"/>
        <v>0.2361987853288473</v>
      </c>
      <c r="AA225" s="72">
        <f t="shared" si="127"/>
        <v>0.33351002742675551</v>
      </c>
      <c r="AB225" s="72">
        <f t="shared" si="128"/>
        <v>0.1892446430048812</v>
      </c>
      <c r="AC225" s="72"/>
      <c r="AD225" s="72"/>
      <c r="AE225" s="72">
        <f t="shared" si="129"/>
        <v>0.49914303141631783</v>
      </c>
      <c r="AF225" s="72">
        <f t="shared" si="130"/>
        <v>0.47468425397797287</v>
      </c>
      <c r="AG225" s="72">
        <f t="shared" si="131"/>
        <v>0.16158753131568965</v>
      </c>
      <c r="AH225" s="72">
        <f t="shared" si="132"/>
        <v>0.48640862357421699</v>
      </c>
      <c r="AI225" s="72">
        <f t="shared" si="133"/>
        <v>0.21017605633802816</v>
      </c>
      <c r="AJ225" s="72">
        <f>(AV225-Driver!$K$179)/(Driver!$L$179-Driver!$K$179)</f>
        <v>0.22189992748368381</v>
      </c>
      <c r="AK225" s="72">
        <f>(AW225-Driver!$K$180)/(Driver!$L$180-Driver!$K$180)</f>
        <v>0.43839502956804471</v>
      </c>
      <c r="AL225" s="72">
        <f>(AX225-Driver!$K$181)/(Driver!$L$181-Driver!$K$181)</f>
        <v>0.3378865490419275</v>
      </c>
      <c r="AM225" s="72">
        <f>(AY225-Driver!$K$182)/(Driver!$L$182-Driver!$K$182)</f>
        <v>0.11387499367029083</v>
      </c>
      <c r="AN225" s="72">
        <f>(AZ225-Driver!$K$183)/(Driver!$L$183-Driver!$K$183)</f>
        <v>0.44346405228758162</v>
      </c>
      <c r="AO225" s="72"/>
      <c r="AP225" s="72"/>
      <c r="AQ225" s="72">
        <f>(BC225-Driver!$K$188)/(Driver!$L$188-Driver!$K$188)</f>
        <v>0.12085696858368218</v>
      </c>
      <c r="AR225" s="72">
        <f>MIN((BD225-Driver!$K$189)/(Driver!$L$189-Driver!$K$189),100%)</f>
        <v>7.5315746022027161E-2</v>
      </c>
      <c r="AS225" s="72">
        <f>(BE225-Driver!$K$190)/(Driver!$L$190-Driver!$K$190)</f>
        <v>0.34841246868431036</v>
      </c>
      <c r="AT225" s="72">
        <f>(BF225-Driver!$K$191)/(Driver!$L$191-Driver!$K$191)</f>
        <v>2.359137642578301E-2</v>
      </c>
      <c r="AU225" s="72">
        <f>(BG225-Driver!$K$192)/(Driver!$L$192-Driver!$K$192)</f>
        <v>3.9823943661971825E-2</v>
      </c>
      <c r="AV225" s="70">
        <f t="shared" si="134"/>
        <v>4.6703296703296706</v>
      </c>
      <c r="AW225" s="70">
        <f t="shared" si="135"/>
        <v>44.597372827997773</v>
      </c>
      <c r="AX225" s="70">
        <f t="shared" si="136"/>
        <v>4.0409789413773476</v>
      </c>
      <c r="AY225" s="70">
        <f>IFERROR(Driver!$K$19/Data!BH225/Data!BI225*Data!BK225*Data!BL225,"")</f>
        <v>0.13941696927121686</v>
      </c>
      <c r="AZ225" s="70">
        <f t="shared" si="137"/>
        <v>40.41697691734921</v>
      </c>
      <c r="BA225" s="70"/>
      <c r="BB225" s="70"/>
      <c r="BC225" s="70">
        <f t="shared" si="138"/>
        <v>62.689349788370748</v>
      </c>
      <c r="BD225" s="70">
        <f t="shared" si="139"/>
        <v>8.3861329554419264</v>
      </c>
      <c r="BE225" s="70">
        <f t="shared" si="140"/>
        <v>0.34852870456596702</v>
      </c>
      <c r="BF225" s="70">
        <f t="shared" si="141"/>
        <v>2.6644802284926374</v>
      </c>
      <c r="BG225" s="70">
        <f t="shared" si="142"/>
        <v>0.1507988556338028</v>
      </c>
      <c r="BH225" s="67">
        <f>MAX((CE225-Driver!$F$200)/(Driver!$G$200-Driver!$F$200)*$BI$1,1)</f>
        <v>4.0409789413773476</v>
      </c>
      <c r="BI225" s="67">
        <f>MAX($BI$1*(BY225-Driver!$F$201)/(Driver!$G$201-Driver!$F$201),1)</f>
        <v>7.4683544303797467</v>
      </c>
      <c r="BJ225" s="67">
        <f>(CB225-Driver!$F$206)/(Driver!$G$206-Driver!$F$206)*$BI$1</f>
        <v>4.2857142857142856</v>
      </c>
      <c r="BK225" s="67">
        <f>(CD225-Driver!$F$203)/(Driver!$G$203-Driver!$F$203)*$BI$1</f>
        <v>3.2110091743119265</v>
      </c>
      <c r="BL225" s="67">
        <f>MAX((CR225-Driver!$F$202)/(Driver!$G$202-Driver!$F$202)*$BI$1,1)</f>
        <v>6.5517241379310338</v>
      </c>
      <c r="BM225" s="67">
        <f>MAX((CH225-Driver!$F$204)/(Driver!$G$204-Driver!$F$204)*$BI$1,1)</f>
        <v>4.3589743589743595</v>
      </c>
      <c r="BN225" s="67">
        <f>(CI225-Driver!$F$205)/(Driver!$G$205-Driver!$F$205)*$BI$1</f>
        <v>5.4117647058823524</v>
      </c>
      <c r="BO225" s="67">
        <f>(CK225-Driver!$F$207)/(Driver!$G$207-Driver!$F$207)*$BI$1</f>
        <v>1.2306101344364011</v>
      </c>
      <c r="BP225" s="67">
        <f>(CM225-Driver!$F$208)/(Driver!$G$208-Driver!$F$208)*$BI$1</f>
        <v>1.6222222222222222</v>
      </c>
      <c r="BQ225" s="67">
        <f>(CL225-Driver!$F$209)/(Driver!$G$209-Driver!$F$209)*$BI$1</f>
        <v>2.65625</v>
      </c>
      <c r="BR225" s="28" t="s">
        <v>155</v>
      </c>
      <c r="BS225" s="8" t="s">
        <v>182</v>
      </c>
      <c r="BT225" s="9" t="s">
        <v>440</v>
      </c>
      <c r="BU225" s="10">
        <v>164</v>
      </c>
      <c r="BV225" s="9" t="s">
        <v>163</v>
      </c>
      <c r="BW225" s="10">
        <v>164</v>
      </c>
      <c r="BX225" s="10">
        <v>163.6</v>
      </c>
      <c r="BY225" s="10">
        <v>126</v>
      </c>
      <c r="BZ225" s="10">
        <v>143</v>
      </c>
      <c r="CA225" s="10">
        <v>129</v>
      </c>
      <c r="CB225" s="10">
        <v>91</v>
      </c>
      <c r="CC225" s="10">
        <v>114</v>
      </c>
      <c r="CD225" s="10">
        <v>16.399999999999999</v>
      </c>
      <c r="CE225" s="10">
        <v>1610</v>
      </c>
      <c r="CF225" s="10">
        <v>1.05</v>
      </c>
      <c r="CG225" s="10">
        <v>1687</v>
      </c>
      <c r="CH225" s="10">
        <v>203</v>
      </c>
      <c r="CI225" s="10">
        <v>125</v>
      </c>
      <c r="CJ225" s="10">
        <v>40</v>
      </c>
      <c r="CK225" s="10">
        <v>229</v>
      </c>
      <c r="CL225" s="10">
        <v>17</v>
      </c>
      <c r="CM225" s="10">
        <v>146</v>
      </c>
      <c r="CN225" s="10">
        <v>0.41699999999999998</v>
      </c>
      <c r="CO225" s="10">
        <v>130</v>
      </c>
      <c r="CP225" s="10">
        <v>78</v>
      </c>
      <c r="CQ225" s="10">
        <v>99</v>
      </c>
      <c r="CR225" s="10">
        <v>8</v>
      </c>
      <c r="CS225" s="10">
        <v>9.9</v>
      </c>
      <c r="CT225" s="9" t="s">
        <v>188</v>
      </c>
      <c r="CU225" s="10"/>
      <c r="CV225" s="10"/>
      <c r="CW225" s="10"/>
      <c r="CX225" t="str">
        <f>INDEX('Data_Price '!AG$2:AG$1266,MATCH(Data!$DN225,'Data_Price '!$AT$2:$AT$1266,0))</f>
        <v>Armada Reliance 92 Ti Skis</v>
      </c>
      <c r="CY225" t="str">
        <f>INDEX('Data_Price '!AH$2:AH$1266,MATCH(Data!$DN225,'Data_Price '!$AT$2:$AT$1266,0))</f>
        <v>! OutdoorXL.com</v>
      </c>
      <c r="CZ225">
        <f>INDEX('Data_Price '!AI$2:AI$1266,MATCH(Data!$DN225,'Data_Price '!$AT$2:$AT$1266,0))</f>
        <v>424.95</v>
      </c>
      <c r="DA225" t="str">
        <f>INDEX('Data_Price '!AJ$2:AJ$1266,MATCH(Data!$DN225,'Data_Price '!$AT$2:$AT$1266,0))</f>
        <v>https://tinyurl.com/y8bunert</v>
      </c>
      <c r="DB225" t="str">
        <f>INDEX('Data_Price '!AK$2:AK$1266,MATCH(Data!$DN225,'Data_Price '!$AT$2:$AT$1266,0))</f>
        <v>Armada Reliance 92 Ti Skis</v>
      </c>
      <c r="DC225" t="str">
        <f>INDEX('Data_Price '!AL$2:AL$1266,MATCH(Data!$DN225,'Data_Price '!$AT$2:$AT$1266,0))</f>
        <v>Surfdome US</v>
      </c>
      <c r="DD225">
        <f>INDEX('Data_Price '!AM$2:AM$1266,MATCH(Data!$DN225,'Data_Price '!$AT$2:$AT$1266,0))</f>
        <v>427.45</v>
      </c>
      <c r="DE225" t="str">
        <f>INDEX('Data_Price '!AN$2:AN$1266,MATCH(Data!$DN225,'Data_Price '!$AT$2:$AT$1266,0))</f>
        <v>https://tinyurl.com/ya4abmnu</v>
      </c>
      <c r="DF225" t="str">
        <f>INDEX('Data_Price '!AO$2:AO$1266,MATCH(Data!$DN225,'Data_Price '!$AT$2:$AT$1266,0))</f>
        <v>Armada Reliance 92 Ti Skis</v>
      </c>
      <c r="DG225" t="str">
        <f>INDEX('Data_Price '!AP$2:AP$1266,MATCH(Data!$DN225,'Data_Price '!$AT$2:$AT$1266,0))</f>
        <v>Powder7 Ski Shop</v>
      </c>
      <c r="DH225">
        <f>INDEX('Data_Price '!AQ$2:AQ$1266,MATCH(Data!$DN225,'Data_Price '!$AT$2:$AT$1266,0))</f>
        <v>519.95000000000005</v>
      </c>
      <c r="DI225" t="str">
        <f>INDEX('Data_Price '!AR$2:AR$1266,MATCH(Data!$DN225,'Data_Price '!$AT$2:$AT$1266,0))</f>
        <v>https://tinyurl.com/yb25uv4r</v>
      </c>
      <c r="DJ225" s="89" t="str">
        <f t="shared" si="143"/>
        <v>https://tinyurl.com/y8bunert</v>
      </c>
      <c r="DK225" s="89" t="str">
        <f t="shared" si="144"/>
        <v>https://tinyurl.com/ya4abmnu</v>
      </c>
      <c r="DL225" s="89" t="str">
        <f t="shared" si="145"/>
        <v>https://tinyurl.com/yb25uv4r</v>
      </c>
      <c r="DM225" s="219" t="str">
        <f t="shared" si="146"/>
        <v>Reliance 92 Ti</v>
      </c>
      <c r="DN225" s="89" t="str">
        <f t="shared" si="147"/>
        <v xml:space="preserve"> ArmadaReliance 92 Ti164 Women's</v>
      </c>
      <c r="DO225" s="221" t="s">
        <v>441</v>
      </c>
    </row>
    <row r="226" spans="1:119" ht="15.6" customHeight="1">
      <c r="B226" s="219" t="b">
        <f t="array" ref="B226">IF(OR(ISERROR(K226:P226)),FALSE,TRUE)</f>
        <v>1</v>
      </c>
      <c r="C226" s="43" t="b">
        <f>OR(BR226=Driver!$G$50,Data!BR983=Driver!$H$50)</f>
        <v>1</v>
      </c>
      <c r="D226" s="43" t="b">
        <f>OR(BV226=Driver!$G$51,BV226=Driver!$H$51)</f>
        <v>0</v>
      </c>
      <c r="E226" s="43" t="b">
        <f>AND(BX226&gt;Driver!$F$54,BX226&lt;Driver!$G$54)</f>
        <v>1</v>
      </c>
      <c r="F226" s="43" t="b">
        <f>CL226&gt;Driver!$F$56</f>
        <v>1</v>
      </c>
      <c r="G226" s="43" t="b">
        <f>AND(CB226&gt;Driver!$F$55,CB226&lt;Driver!$G$55)</f>
        <v>0</v>
      </c>
      <c r="H226" s="43" t="b">
        <f t="shared" si="111"/>
        <v>0</v>
      </c>
      <c r="I226" s="43">
        <f t="shared" si="112"/>
        <v>0</v>
      </c>
      <c r="J226" s="43" t="b">
        <f t="array" ref="J226">NOT(OR(($H$9:$H$1273=TRUE)*($I$9:$I$1273&gt;0)*($BT$9:$BT$1273=BT226)*($K$9:$K$1273&gt;K226)))</f>
        <v>1</v>
      </c>
      <c r="K226" s="72">
        <f t="shared" si="113"/>
        <v>0.86711760384887926</v>
      </c>
      <c r="L226" s="72">
        <f t="shared" si="114"/>
        <v>0.96705479724499199</v>
      </c>
      <c r="M226" s="72">
        <f t="shared" si="115"/>
        <v>0.76718041045276653</v>
      </c>
      <c r="N226" s="72">
        <f t="shared" si="116"/>
        <v>0.71320992902010605</v>
      </c>
      <c r="O226" s="72">
        <f t="shared" si="117"/>
        <v>0.60339293880712708</v>
      </c>
      <c r="P226" s="72">
        <f t="shared" si="118"/>
        <v>0.98493836353106645</v>
      </c>
      <c r="Q226" s="72"/>
      <c r="R226" s="72"/>
      <c r="S226" s="72">
        <f t="shared" si="119"/>
        <v>0.41268542627275928</v>
      </c>
      <c r="T226" s="72">
        <f t="shared" si="120"/>
        <v>0.55623179601503581</v>
      </c>
      <c r="U226" s="72">
        <f t="shared" si="121"/>
        <v>0.62817080751399235</v>
      </c>
      <c r="V226" s="72">
        <f t="shared" si="122"/>
        <v>0.63680275589154167</v>
      </c>
      <c r="W226" s="72">
        <f t="shared" si="123"/>
        <v>0.78036823935558108</v>
      </c>
      <c r="X226" s="72">
        <f t="shared" si="124"/>
        <v>3.2945202755008007E-2</v>
      </c>
      <c r="Y226" s="72">
        <f t="shared" si="125"/>
        <v>0.23281958954723345</v>
      </c>
      <c r="Z226" s="72">
        <f t="shared" si="126"/>
        <v>0.28679007097989395</v>
      </c>
      <c r="AA226" s="72">
        <f t="shared" si="127"/>
        <v>0.39660706119287287</v>
      </c>
      <c r="AB226" s="72">
        <f t="shared" si="128"/>
        <v>1.5061636468933548E-2</v>
      </c>
      <c r="AC226" s="72"/>
      <c r="AD226" s="72"/>
      <c r="AE226" s="72">
        <f t="shared" si="129"/>
        <v>0.58731457372724072</v>
      </c>
      <c r="AF226" s="72">
        <f t="shared" si="130"/>
        <v>0.44376820398496419</v>
      </c>
      <c r="AG226" s="72">
        <f t="shared" si="131"/>
        <v>0.37182919248600765</v>
      </c>
      <c r="AH226" s="72">
        <f t="shared" si="132"/>
        <v>0.36319724410845833</v>
      </c>
      <c r="AI226" s="72">
        <f t="shared" si="133"/>
        <v>0.21963176064441886</v>
      </c>
      <c r="AJ226" s="72">
        <f>(AV226-Driver!$K$179)/(Driver!$L$179-Driver!$K$179)</f>
        <v>0.28716461203770843</v>
      </c>
      <c r="AK226" s="72">
        <f>(AW226-Driver!$K$180)/(Driver!$L$180-Driver!$K$180)</f>
        <v>0.2793860404800152</v>
      </c>
      <c r="AL226" s="72">
        <f>(AX226-Driver!$K$181)/(Driver!$L$181-Driver!$K$181)</f>
        <v>0.38847783469297414</v>
      </c>
      <c r="AM226" s="72">
        <f>(AY226-Driver!$K$182)/(Driver!$L$182-Driver!$K$182)</f>
        <v>5.0777959904173484E-2</v>
      </c>
      <c r="AN226" s="72">
        <f>(AZ226-Driver!$K$183)/(Driver!$L$183-Driver!$K$183)</f>
        <v>0.26928104575163397</v>
      </c>
      <c r="AO226" s="72"/>
      <c r="AP226" s="72"/>
      <c r="AQ226" s="72">
        <f>(BC226-Driver!$K$188)/(Driver!$L$188-Driver!$K$188)</f>
        <v>3.2685426272759263E-2</v>
      </c>
      <c r="AR226" s="72">
        <f>MIN((BD226-Driver!$K$189)/(Driver!$L$189-Driver!$K$189),100%)</f>
        <v>0.10623179601503582</v>
      </c>
      <c r="AS226" s="72">
        <f>(BE226-Driver!$K$190)/(Driver!$L$190-Driver!$K$190)</f>
        <v>0.13817080751399236</v>
      </c>
      <c r="AT226" s="72">
        <f>(BF226-Driver!$K$191)/(Driver!$L$191-Driver!$K$191)</f>
        <v>0.14680275589154168</v>
      </c>
      <c r="AU226" s="72">
        <f>(BG226-Driver!$K$192)/(Driver!$L$192-Driver!$K$192)</f>
        <v>3.0368239355581125E-2</v>
      </c>
      <c r="AV226" s="70">
        <f t="shared" si="134"/>
        <v>6.0439560439560429</v>
      </c>
      <c r="AW226" s="70">
        <f t="shared" si="135"/>
        <v>29.100537878394409</v>
      </c>
      <c r="AX226" s="70">
        <f t="shared" si="136"/>
        <v>4.4963005122367674</v>
      </c>
      <c r="AY226" s="70">
        <f>IFERROR(Driver!$K$19/Data!BH226/Data!BI226*Data!BK226*Data!BL226,"")</f>
        <v>6.216737360365867E-2</v>
      </c>
      <c r="AZ226" s="70">
        <f t="shared" si="137"/>
        <v>24.542069992553984</v>
      </c>
      <c r="BA226" s="70"/>
      <c r="BB226" s="70"/>
      <c r="BC226" s="70">
        <f t="shared" si="138"/>
        <v>16.954157833077268</v>
      </c>
      <c r="BD226" s="70">
        <f t="shared" si="139"/>
        <v>11.122148599824108</v>
      </c>
      <c r="BE226" s="70">
        <f t="shared" si="140"/>
        <v>0.13832454814163109</v>
      </c>
      <c r="BF226" s="70">
        <f t="shared" si="141"/>
        <v>16.580339930219282</v>
      </c>
      <c r="BG226" s="70">
        <f t="shared" si="142"/>
        <v>0.11499352704257768</v>
      </c>
      <c r="BH226" s="67">
        <f>MAX((CE226-Driver!$F$200)/(Driver!$G$200-Driver!$F$200)*$BI$1,1)</f>
        <v>4.4963005122367674</v>
      </c>
      <c r="BI226" s="67">
        <f>MAX($BI$1*(BY226-Driver!$F$201)/(Driver!$G$201-Driver!$F$201),1)</f>
        <v>6.518987341772152</v>
      </c>
      <c r="BJ226" s="67">
        <f>(CB226-Driver!$F$206)/(Driver!$G$206-Driver!$F$206)*$BI$1</f>
        <v>5.7142857142857135</v>
      </c>
      <c r="BK226" s="67">
        <f>(CD226-Driver!$F$203)/(Driver!$G$203-Driver!$F$203)*$BI$1</f>
        <v>1.6513761467889909</v>
      </c>
      <c r="BL226" s="67">
        <f>MAX((CR226-Driver!$F$202)/(Driver!$G$202-Driver!$F$202)*$BI$1,1)</f>
        <v>5.5172413793103452</v>
      </c>
      <c r="BM226" s="67">
        <f>MAX((CH226-Driver!$F$204)/(Driver!$G$204-Driver!$F$204)*$BI$1,1)</f>
        <v>4.2307692307692308</v>
      </c>
      <c r="BN226" s="67">
        <f>(CI226-Driver!$F$205)/(Driver!$G$205-Driver!$F$205)*$BI$1</f>
        <v>3.7647058823529411</v>
      </c>
      <c r="BO226" s="67">
        <f>(CK226-Driver!$F$207)/(Driver!$G$207-Driver!$F$207)*$BI$1</f>
        <v>1.9338159255429164</v>
      </c>
      <c r="BP226" s="67">
        <f>(CM226-Driver!$F$208)/(Driver!$G$208-Driver!$F$208)*$BI$1</f>
        <v>2.4777777777777779</v>
      </c>
      <c r="BQ226" s="67">
        <f>(CL226-Driver!$F$209)/(Driver!$G$209-Driver!$F$209)*$BI$1</f>
        <v>2.1875</v>
      </c>
      <c r="BR226" s="28" t="s">
        <v>155</v>
      </c>
      <c r="BS226" s="8" t="s">
        <v>172</v>
      </c>
      <c r="BT226" s="9" t="s">
        <v>442</v>
      </c>
      <c r="BU226" s="10">
        <v>162</v>
      </c>
      <c r="BV226" s="9" t="s">
        <v>163</v>
      </c>
      <c r="BW226" s="10">
        <v>162</v>
      </c>
      <c r="BX226" s="10">
        <v>162.69999999999999</v>
      </c>
      <c r="BY226" s="10">
        <v>111</v>
      </c>
      <c r="BZ226" s="10">
        <v>136</v>
      </c>
      <c r="CA226" s="10">
        <v>136</v>
      </c>
      <c r="CB226" s="10">
        <v>100</v>
      </c>
      <c r="CC226" s="10">
        <v>127</v>
      </c>
      <c r="CD226" s="10">
        <v>13</v>
      </c>
      <c r="CE226" s="10">
        <v>1690</v>
      </c>
      <c r="CF226" s="10">
        <v>1.0900000000000001</v>
      </c>
      <c r="CG226" s="10">
        <v>1839</v>
      </c>
      <c r="CH226" s="10">
        <v>200</v>
      </c>
      <c r="CI226" s="10">
        <v>97</v>
      </c>
      <c r="CJ226" s="10">
        <v>48</v>
      </c>
      <c r="CK226" s="10">
        <v>297</v>
      </c>
      <c r="CL226" s="10">
        <v>14</v>
      </c>
      <c r="CM226" s="10">
        <v>223</v>
      </c>
      <c r="CN226" s="10">
        <v>0.28999999999999998</v>
      </c>
      <c r="CO226" s="10">
        <v>161</v>
      </c>
      <c r="CP226" s="10">
        <v>107</v>
      </c>
      <c r="CQ226" s="10">
        <v>136</v>
      </c>
      <c r="CR226" s="10">
        <v>5</v>
      </c>
      <c r="CS226" s="10">
        <v>6.3</v>
      </c>
      <c r="CT226" s="9" t="s">
        <v>188</v>
      </c>
      <c r="CU226" s="9" t="s">
        <v>178</v>
      </c>
      <c r="CV226" s="9" t="s">
        <v>185</v>
      </c>
      <c r="CW226" s="10"/>
      <c r="CX226" t="str">
        <f>INDEX('Data_Price '!AG$2:AG$1266,MATCH(Data!$DN226,'Data_Price '!$AT$2:$AT$1266,0))</f>
        <v>Rossignol Blackops W Rallybird Skis - Women's</v>
      </c>
      <c r="CY226" t="str">
        <f>INDEX('Data_Price '!AH$2:AH$1266,MATCH(Data!$DN226,'Data_Price '!$AT$2:$AT$1266,0))</f>
        <v>Snowcountry.eu</v>
      </c>
      <c r="CZ226">
        <f>INDEX('Data_Price '!AI$2:AI$1266,MATCH(Data!$DN226,'Data_Price '!$AT$2:$AT$1266,0))</f>
        <v>414</v>
      </c>
      <c r="DA226" t="str">
        <f>INDEX('Data_Price '!AJ$2:AJ$1266,MATCH(Data!$DN226,'Data_Price '!$AT$2:$AT$1266,0))</f>
        <v>https://tinyurl.com/yd3cfqer</v>
      </c>
      <c r="DB226" t="str">
        <f>INDEX('Data_Price '!AK$2:AK$1266,MATCH(Data!$DN226,'Data_Price '!$AT$2:$AT$1266,0))</f>
        <v>Rossignol Blackops W Rallybird 162cm</v>
      </c>
      <c r="DC226" t="str">
        <f>INDEX('Data_Price '!AL$2:AL$1266,MATCH(Data!$DN226,'Data_Price '!$AT$2:$AT$1266,0))</f>
        <v>Sundance Ski and Board Shop</v>
      </c>
      <c r="DD226">
        <f>INDEX('Data_Price '!AM$2:AM$1266,MATCH(Data!$DN226,'Data_Price '!$AT$2:$AT$1266,0))</f>
        <v>521.29</v>
      </c>
      <c r="DE226" t="str">
        <f>INDEX('Data_Price '!AN$2:AN$1266,MATCH(Data!$DN226,'Data_Price '!$AT$2:$AT$1266,0))</f>
        <v>https://tinyurl.com/ybh2zx8m</v>
      </c>
      <c r="DF226" t="str">
        <f>INDEX('Data_Price '!AO$2:AO$1266,MATCH(Data!$DN226,'Data_Price '!$AT$2:$AT$1266,0))</f>
        <v>Rossignol Blackops W Rallybird Skis - Women's</v>
      </c>
      <c r="DG226" t="str">
        <f>INDEX('Data_Price '!AP$2:AP$1266,MATCH(Data!$DN226,'Data_Price '!$AT$2:$AT$1266,0))</f>
        <v>Level Nine Sports</v>
      </c>
      <c r="DH226">
        <f>INDEX('Data_Price '!AQ$2:AQ$1266,MATCH(Data!$DN226,'Data_Price '!$AT$2:$AT$1266,0))</f>
        <v>559.96</v>
      </c>
      <c r="DI226" t="str">
        <f>INDEX('Data_Price '!AR$2:AR$1266,MATCH(Data!$DN226,'Data_Price '!$AT$2:$AT$1266,0))</f>
        <v>https://tinyurl.com/y7kmh6nf</v>
      </c>
      <c r="DJ226" s="89" t="str">
        <f t="shared" si="143"/>
        <v>https://tinyurl.com/yd3cfqer</v>
      </c>
      <c r="DK226" s="89" t="str">
        <f t="shared" si="144"/>
        <v>https://tinyurl.com/ybh2zx8m</v>
      </c>
      <c r="DL226" s="89" t="str">
        <f t="shared" si="145"/>
        <v>https://tinyurl.com/y7kmh6nf</v>
      </c>
      <c r="DM226" s="219" t="str">
        <f t="shared" si="146"/>
        <v>Blackops Rallybird W</v>
      </c>
      <c r="DN226" s="89" t="str">
        <f t="shared" si="147"/>
        <v xml:space="preserve"> RossignolBlackops Rallybird W162 Women's</v>
      </c>
      <c r="DO226" s="221"/>
    </row>
    <row r="227" spans="1:119" ht="15.6" customHeight="1">
      <c r="B227" s="219" t="b">
        <f t="array" ref="B227">IF(OR(ISERROR(K227:P227)),FALSE,TRUE)</f>
        <v>1</v>
      </c>
      <c r="C227" s="43" t="b">
        <f>OR(BR227=Driver!$G$50,Data!BR339=Driver!$H$50)</f>
        <v>1</v>
      </c>
      <c r="D227" s="43" t="b">
        <f>OR(BV227=Driver!$G$51,BV227=Driver!$H$51)</f>
        <v>1</v>
      </c>
      <c r="E227" s="43" t="b">
        <f>AND(BX227&gt;Driver!$F$54,BX227&lt;Driver!$G$54)</f>
        <v>0</v>
      </c>
      <c r="F227" s="43" t="b">
        <f>CL227&gt;Driver!$F$56</f>
        <v>1</v>
      </c>
      <c r="G227" s="43" t="b">
        <f>AND(CB227&gt;Driver!$F$55,CB227&lt;Driver!$G$55)</f>
        <v>1</v>
      </c>
      <c r="H227" s="43" t="b">
        <f t="shared" si="111"/>
        <v>0</v>
      </c>
      <c r="I227" s="43">
        <f t="shared" si="112"/>
        <v>2</v>
      </c>
      <c r="J227" s="43" t="b">
        <f t="array" ref="J227">NOT(OR(($H$9:$H$1273=TRUE)*($I$9:$I$1273&gt;0)*($BT$9:$BT$1273=BT227)*($K$9:$K$1273&gt;K227)))</f>
        <v>0</v>
      </c>
      <c r="K227" s="72">
        <f t="shared" si="113"/>
        <v>0.80443189306931018</v>
      </c>
      <c r="L227" s="72">
        <f t="shared" si="114"/>
        <v>0.88873717578016231</v>
      </c>
      <c r="M227" s="72">
        <f t="shared" si="115"/>
        <v>0.72012661035845804</v>
      </c>
      <c r="N227" s="72">
        <f t="shared" si="116"/>
        <v>0.6164540952124794</v>
      </c>
      <c r="O227" s="72">
        <f t="shared" si="117"/>
        <v>0.67961645729914821</v>
      </c>
      <c r="P227" s="72">
        <f t="shared" si="118"/>
        <v>0.86430927856374629</v>
      </c>
      <c r="Q227" s="72"/>
      <c r="R227" s="72"/>
      <c r="S227" s="72">
        <f t="shared" si="119"/>
        <v>0.49684448662243097</v>
      </c>
      <c r="T227" s="72">
        <f t="shared" si="120"/>
        <v>0.4963092228404351</v>
      </c>
      <c r="U227" s="72">
        <f t="shared" si="121"/>
        <v>0.60718560028142488</v>
      </c>
      <c r="V227" s="72">
        <f t="shared" si="122"/>
        <v>0.53721051973334566</v>
      </c>
      <c r="W227" s="72">
        <f t="shared" si="123"/>
        <v>0.78498144220572641</v>
      </c>
      <c r="X227" s="72">
        <f t="shared" si="124"/>
        <v>0.11126282421983763</v>
      </c>
      <c r="Y227" s="72">
        <f t="shared" si="125"/>
        <v>0.27987338964154201</v>
      </c>
      <c r="Z227" s="72">
        <f t="shared" si="126"/>
        <v>0.3835459047875206</v>
      </c>
      <c r="AA227" s="72">
        <f t="shared" si="127"/>
        <v>0.32038354270085179</v>
      </c>
      <c r="AB227" s="72">
        <f t="shared" si="128"/>
        <v>0.13569072143625377</v>
      </c>
      <c r="AC227" s="72"/>
      <c r="AD227" s="72"/>
      <c r="AE227" s="72">
        <f t="shared" si="129"/>
        <v>0.50315551337756903</v>
      </c>
      <c r="AF227" s="72">
        <f t="shared" si="130"/>
        <v>0.5036907771595649</v>
      </c>
      <c r="AG227" s="72">
        <f t="shared" si="131"/>
        <v>0.39281439971857512</v>
      </c>
      <c r="AH227" s="72">
        <f t="shared" si="132"/>
        <v>0.46278948026665429</v>
      </c>
      <c r="AI227" s="72">
        <f t="shared" si="133"/>
        <v>0.21501855779427359</v>
      </c>
      <c r="AJ227" s="72">
        <f>(AV227-Driver!$K$179)/(Driver!$L$179-Driver!$K$179)</f>
        <v>0.36548223350253806</v>
      </c>
      <c r="AK227" s="72">
        <f>(AW227-Driver!$K$180)/(Driver!$L$180-Driver!$K$180)</f>
        <v>0.40208566891911895</v>
      </c>
      <c r="AL227" s="72">
        <f>(AX227-Driver!$K$181)/(Driver!$L$181-Driver!$K$181)</f>
        <v>0.48523366850060079</v>
      </c>
      <c r="AM227" s="72">
        <f>(AY227-Driver!$K$182)/(Driver!$L$182-Driver!$K$182)</f>
        <v>0.12700147839619461</v>
      </c>
      <c r="AN227" s="72">
        <f>(AZ227-Driver!$K$183)/(Driver!$L$183-Driver!$K$183)</f>
        <v>0.3899101307189542</v>
      </c>
      <c r="AO227" s="72"/>
      <c r="AP227" s="72"/>
      <c r="AQ227" s="72">
        <f>(BC227-Driver!$K$188)/(Driver!$L$188-Driver!$K$188)</f>
        <v>0.11684448662243092</v>
      </c>
      <c r="AR227" s="72">
        <f>MIN((BD227-Driver!$K$189)/(Driver!$L$189-Driver!$K$189),100%)</f>
        <v>4.630922284043517E-2</v>
      </c>
      <c r="AS227" s="72">
        <f>(BE227-Driver!$K$190)/(Driver!$L$190-Driver!$K$190)</f>
        <v>0.11718560028142486</v>
      </c>
      <c r="AT227" s="72">
        <f>(BF227-Driver!$K$191)/(Driver!$L$191-Driver!$K$191)</f>
        <v>4.7210519733345703E-2</v>
      </c>
      <c r="AU227" s="72">
        <f>(BG227-Driver!$K$192)/(Driver!$L$192-Driver!$K$192)</f>
        <v>3.4981442205726396E-2</v>
      </c>
      <c r="AV227" s="70">
        <f t="shared" si="134"/>
        <v>7.6923076923076925</v>
      </c>
      <c r="AW227" s="70">
        <f t="shared" si="135"/>
        <v>41.05870389909515</v>
      </c>
      <c r="AX227" s="70">
        <f t="shared" si="136"/>
        <v>5.367103016505407</v>
      </c>
      <c r="AY227" s="70">
        <f>IFERROR(Driver!$K$19/Data!BH227/Data!BI227*Data!BK227*Data!BL227,"")</f>
        <v>0.15548770314075358</v>
      </c>
      <c r="AZ227" s="70">
        <f t="shared" si="137"/>
        <v>35.536113179448989</v>
      </c>
      <c r="BA227" s="70"/>
      <c r="BB227" s="70"/>
      <c r="BC227" s="70">
        <f t="shared" si="138"/>
        <v>60.608047500747674</v>
      </c>
      <c r="BD227" s="70">
        <f t="shared" si="139"/>
        <v>5.8191070503888209</v>
      </c>
      <c r="BE227" s="70">
        <f t="shared" si="140"/>
        <v>0.11734308443383533</v>
      </c>
      <c r="BF227" s="70">
        <f t="shared" si="141"/>
        <v>5.3320965312089053</v>
      </c>
      <c r="BG227" s="70">
        <f t="shared" si="142"/>
        <v>0.13246205593849414</v>
      </c>
      <c r="BH227" s="67">
        <f>MAX((CE227-Driver!$F$200)/(Driver!$G$200-Driver!$F$200)*$BI$1,1)</f>
        <v>5.367103016505407</v>
      </c>
      <c r="BI227" s="67">
        <f>MAX($BI$1*(BY227-Driver!$F$201)/(Driver!$G$201-Driver!$F$201),1)</f>
        <v>7.2784810126582276</v>
      </c>
      <c r="BJ227" s="67">
        <f>(CB227-Driver!$F$206)/(Driver!$G$206-Driver!$F$206)*$BI$1</f>
        <v>6.6666666666666661</v>
      </c>
      <c r="BK227" s="67">
        <f>(CD227-Driver!$F$203)/(Driver!$G$203-Driver!$F$203)*$BI$1</f>
        <v>4.4036697247706424</v>
      </c>
      <c r="BL227" s="67">
        <f>MAX((CR227-Driver!$F$202)/(Driver!$G$202-Driver!$F$202)*$BI$1,1)</f>
        <v>6.8965517241379315</v>
      </c>
      <c r="BM227" s="67">
        <f>MAX((CH227-Driver!$F$204)/(Driver!$G$204-Driver!$F$204)*$BI$1,1)</f>
        <v>4.6153846153846159</v>
      </c>
      <c r="BN227" s="67">
        <f>(CI227-Driver!$F$205)/(Driver!$G$205-Driver!$F$205)*$BI$1</f>
        <v>4.8823529411764701</v>
      </c>
      <c r="BO227" s="67">
        <f>(CK227-Driver!$F$207)/(Driver!$G$207-Driver!$F$207)*$BI$1</f>
        <v>1.5615305067218201</v>
      </c>
      <c r="BP227" s="67">
        <f>(CM227-Driver!$F$208)/(Driver!$G$208-Driver!$F$208)*$BI$1</f>
        <v>2.2555555555555555</v>
      </c>
      <c r="BQ227" s="67">
        <f>(CL227-Driver!$F$209)/(Driver!$G$209-Driver!$F$209)*$BI$1</f>
        <v>3.28125</v>
      </c>
      <c r="BR227" s="28" t="s">
        <v>155</v>
      </c>
      <c r="BS227" s="8" t="s">
        <v>218</v>
      </c>
      <c r="BT227" s="9" t="s">
        <v>250</v>
      </c>
      <c r="BU227" s="10">
        <v>171</v>
      </c>
      <c r="BV227" s="9" t="s">
        <v>158</v>
      </c>
      <c r="BW227" s="10">
        <v>171</v>
      </c>
      <c r="BX227" s="10">
        <v>169.4</v>
      </c>
      <c r="BY227" s="10">
        <v>123</v>
      </c>
      <c r="BZ227" s="10">
        <v>131</v>
      </c>
      <c r="CA227" s="10">
        <v>134</v>
      </c>
      <c r="CB227" s="10">
        <v>106</v>
      </c>
      <c r="CC227" s="10">
        <v>119</v>
      </c>
      <c r="CD227" s="10">
        <v>19</v>
      </c>
      <c r="CE227" s="10">
        <v>1843</v>
      </c>
      <c r="CF227" s="10">
        <v>1.05</v>
      </c>
      <c r="CG227" s="10">
        <v>1938</v>
      </c>
      <c r="CH227" s="10">
        <v>209</v>
      </c>
      <c r="CI227" s="10">
        <v>116</v>
      </c>
      <c r="CJ227" s="10">
        <v>34</v>
      </c>
      <c r="CK227" s="10">
        <v>261</v>
      </c>
      <c r="CL227" s="10">
        <v>21</v>
      </c>
      <c r="CM227" s="10">
        <v>203</v>
      </c>
      <c r="CN227" s="10">
        <v>0.60699999999999998</v>
      </c>
      <c r="CO227" s="10">
        <v>199</v>
      </c>
      <c r="CP227" s="10">
        <v>188</v>
      </c>
      <c r="CQ227" s="10">
        <v>62</v>
      </c>
      <c r="CR227" s="10">
        <v>9</v>
      </c>
      <c r="CS227" s="10">
        <v>10.6</v>
      </c>
      <c r="CT227" s="9" t="s">
        <v>169</v>
      </c>
      <c r="CU227" s="9" t="s">
        <v>185</v>
      </c>
      <c r="CV227" s="10"/>
      <c r="CW227" s="10"/>
      <c r="CX227" t="str">
        <f>INDEX('Data_Price '!AG$2:AG$1266,MATCH(Data!$DN227,'Data_Price '!$AT$2:$AT$1266,0))</f>
        <v>DPS Pagoda 106 C2 Ski 171 / Blue</v>
      </c>
      <c r="CY227" t="str">
        <f>INDEX('Data_Price '!AH$2:AH$1266,MATCH(Data!$DN227,'Data_Price '!$AT$2:$AT$1266,0))</f>
        <v>Cripple Creek Backcountry</v>
      </c>
      <c r="CZ227">
        <f>INDEX('Data_Price '!AI$2:AI$1266,MATCH(Data!$DN227,'Data_Price '!$AT$2:$AT$1266,0))</f>
        <v>1029</v>
      </c>
      <c r="DA227" t="str">
        <f>INDEX('Data_Price '!AJ$2:AJ$1266,MATCH(Data!$DN227,'Data_Price '!$AT$2:$AT$1266,0))</f>
        <v>https://tinyurl.com/y9tzjtpd</v>
      </c>
      <c r="DB227" t="str">
        <f>INDEX('Data_Price '!AK$2:AK$1266,MATCH(Data!$DN227,'Data_Price '!$AT$2:$AT$1266,0))</f>
        <v>DPS Pagoda 106 C2 171CM / BLUE</v>
      </c>
      <c r="DC227" t="str">
        <f>INDEX('Data_Price '!AL$2:AL$1266,MATCH(Data!$DN227,'Data_Price '!$AT$2:$AT$1266,0))</f>
        <v>Neptune Mountaineering</v>
      </c>
      <c r="DD227">
        <f>INDEX('Data_Price '!AM$2:AM$1266,MATCH(Data!$DN227,'Data_Price '!$AT$2:$AT$1266,0))</f>
        <v>1039.2</v>
      </c>
      <c r="DE227" t="str">
        <f>INDEX('Data_Price '!AN$2:AN$1266,MATCH(Data!$DN227,'Data_Price '!$AT$2:$AT$1266,0))</f>
        <v>https://tinyurl.com/y8hwaduw</v>
      </c>
      <c r="DF227" t="str">
        <f>INDEX('Data_Price '!AO$2:AO$1266,MATCH(Data!$DN227,'Data_Price '!$AT$2:$AT$1266,0))</f>
        <v>DPS Pagoda Tour 106 C2 Skis 171cm 2022</v>
      </c>
      <c r="DG227" t="str">
        <f>INDEX('Data_Price '!AP$2:AP$1266,MATCH(Data!$DN227,'Data_Price '!$AT$2:$AT$1266,0))</f>
        <v>Steep &amp; Cheap</v>
      </c>
      <c r="DH227">
        <f>INDEX('Data_Price '!AQ$2:AQ$1266,MATCH(Data!$DN227,'Data_Price '!$AT$2:$AT$1266,0))</f>
        <v>1039.2</v>
      </c>
      <c r="DI227" t="str">
        <f>INDEX('Data_Price '!AR$2:AR$1266,MATCH(Data!$DN227,'Data_Price '!$AT$2:$AT$1266,0))</f>
        <v>https://tinyurl.com/ybd9ljgl</v>
      </c>
      <c r="DJ227" s="89" t="str">
        <f t="shared" si="143"/>
        <v>https://tinyurl.com/y9tzjtpd</v>
      </c>
      <c r="DK227" s="89" t="str">
        <f t="shared" si="144"/>
        <v>https://tinyurl.com/y8hwaduw</v>
      </c>
      <c r="DL227" s="89" t="str">
        <f t="shared" si="145"/>
        <v>https://tinyurl.com/ybd9ljgl</v>
      </c>
      <c r="DM227" s="219" t="str">
        <f t="shared" si="146"/>
        <v>Pagoda 106 C2</v>
      </c>
      <c r="DN227" s="89" t="str">
        <f t="shared" si="147"/>
        <v xml:space="preserve"> DPSPagoda 106 C2171 Unisex</v>
      </c>
      <c r="DO227" s="221" t="s">
        <v>251</v>
      </c>
    </row>
    <row r="228" spans="1:119" ht="15.6" customHeight="1">
      <c r="B228" s="219" t="b">
        <f t="array" ref="B228">IF(OR(ISERROR(K228:P228)),FALSE,TRUE)</f>
        <v>1</v>
      </c>
      <c r="C228" s="43" t="b">
        <f>OR(BR228=Driver!$G$50,Data!BR819=Driver!$H$50)</f>
        <v>1</v>
      </c>
      <c r="D228" s="43" t="b">
        <f>OR(BV228=Driver!$G$51,BV228=Driver!$H$51)</f>
        <v>1</v>
      </c>
      <c r="E228" s="43" t="b">
        <f>AND(BX228&gt;Driver!$F$54,BX228&lt;Driver!$G$54)</f>
        <v>0</v>
      </c>
      <c r="F228" s="43" t="b">
        <f>CL228&gt;Driver!$F$56</f>
        <v>1</v>
      </c>
      <c r="G228" s="43" t="b">
        <f>AND(CB228&gt;Driver!$F$55,CB228&lt;Driver!$G$55)</f>
        <v>0</v>
      </c>
      <c r="H228" s="43" t="b">
        <f t="shared" si="111"/>
        <v>0</v>
      </c>
      <c r="I228" s="43">
        <f t="shared" si="112"/>
        <v>0</v>
      </c>
      <c r="J228" s="43" t="b">
        <f t="array" ref="J228">NOT(OR(($H$9:$H$1273=TRUE)*($I$9:$I$1273&gt;0)*($BT$9:$BT$1273=BT228)*($K$9:$K$1273&gt;K228)))</f>
        <v>1</v>
      </c>
      <c r="K228" s="72">
        <f t="shared" si="113"/>
        <v>0.86213678042733999</v>
      </c>
      <c r="L228" s="72">
        <f t="shared" si="114"/>
        <v>0.98607018681875713</v>
      </c>
      <c r="M228" s="72">
        <f t="shared" si="115"/>
        <v>0.73820337403592284</v>
      </c>
      <c r="N228" s="72">
        <f t="shared" si="116"/>
        <v>0.60570344701163203</v>
      </c>
      <c r="O228" s="72">
        <f t="shared" si="117"/>
        <v>0.65534086058467766</v>
      </c>
      <c r="P228" s="72">
        <f t="shared" si="118"/>
        <v>0.95356581451145861</v>
      </c>
      <c r="Q228" s="72"/>
      <c r="R228" s="72"/>
      <c r="S228" s="72">
        <f t="shared" si="119"/>
        <v>0.47999343276537287</v>
      </c>
      <c r="T228" s="72">
        <f t="shared" si="120"/>
        <v>0.50478835362619834</v>
      </c>
      <c r="U228" s="72">
        <f t="shared" si="121"/>
        <v>0.53567663422266565</v>
      </c>
      <c r="V228" s="72">
        <f t="shared" si="122"/>
        <v>0.55534524893897841</v>
      </c>
      <c r="W228" s="72">
        <f t="shared" si="123"/>
        <v>0.80097656250000004</v>
      </c>
      <c r="X228" s="72">
        <f t="shared" si="124"/>
        <v>1.3929813181242812E-2</v>
      </c>
      <c r="Y228" s="72">
        <f t="shared" si="125"/>
        <v>0.26179662596407721</v>
      </c>
      <c r="Z228" s="72">
        <f t="shared" si="126"/>
        <v>0.39429655298836797</v>
      </c>
      <c r="AA228" s="72">
        <f t="shared" si="127"/>
        <v>0.34465913941532234</v>
      </c>
      <c r="AB228" s="72">
        <f t="shared" si="128"/>
        <v>4.6434185488541391E-2</v>
      </c>
      <c r="AC228" s="72"/>
      <c r="AD228" s="72"/>
      <c r="AE228" s="72">
        <f t="shared" si="129"/>
        <v>0.52000656723462713</v>
      </c>
      <c r="AF228" s="72">
        <f t="shared" si="130"/>
        <v>0.49521164637380161</v>
      </c>
      <c r="AG228" s="72">
        <f t="shared" si="131"/>
        <v>0.46432336577733435</v>
      </c>
      <c r="AH228" s="72">
        <f t="shared" si="132"/>
        <v>0.44465475106102159</v>
      </c>
      <c r="AI228" s="72">
        <f t="shared" si="133"/>
        <v>0.19902343750000001</v>
      </c>
      <c r="AJ228" s="72">
        <f>(AV228-Driver!$K$179)/(Driver!$L$179-Driver!$K$179)</f>
        <v>0.26814922246394324</v>
      </c>
      <c r="AK228" s="72">
        <f>(AW228-Driver!$K$180)/(Driver!$L$180-Driver!$K$180)</f>
        <v>0.31930471332830829</v>
      </c>
      <c r="AL228" s="72">
        <f>(AX228-Driver!$K$181)/(Driver!$L$181-Driver!$K$181)</f>
        <v>0.49598431670144816</v>
      </c>
      <c r="AM228" s="72">
        <f>(AY228-Driver!$K$182)/(Driver!$L$182-Driver!$K$182)</f>
        <v>0.10272588168172403</v>
      </c>
      <c r="AN228" s="72">
        <f>(AZ228-Driver!$K$183)/(Driver!$L$183-Driver!$K$183)</f>
        <v>0.30065359477124182</v>
      </c>
      <c r="AO228" s="72"/>
      <c r="AP228" s="72"/>
      <c r="AQ228" s="72">
        <f>(BC228-Driver!$K$188)/(Driver!$L$188-Driver!$K$188)</f>
        <v>9.9993432765372828E-2</v>
      </c>
      <c r="AR228" s="72">
        <f>MIN((BD228-Driver!$K$189)/(Driver!$L$189-Driver!$K$189),100%)</f>
        <v>5.4788353626198445E-2</v>
      </c>
      <c r="AS228" s="72">
        <f>(BE228-Driver!$K$190)/(Driver!$L$190-Driver!$K$190)</f>
        <v>4.5676634222665685E-2</v>
      </c>
      <c r="AT228" s="72">
        <f>(BF228-Driver!$K$191)/(Driver!$L$191-Driver!$K$191)</f>
        <v>6.5345248938978404E-2</v>
      </c>
      <c r="AU228" s="72">
        <f>(BG228-Driver!$K$192)/(Driver!$L$192-Driver!$K$192)</f>
        <v>5.0976562499999996E-2</v>
      </c>
      <c r="AV228" s="70">
        <f t="shared" si="134"/>
        <v>5.6437389770723101</v>
      </c>
      <c r="AW228" s="70">
        <f t="shared" si="135"/>
        <v>32.990966262884918</v>
      </c>
      <c r="AX228" s="70">
        <f t="shared" si="136"/>
        <v>5.4638588503130334</v>
      </c>
      <c r="AY228" s="70">
        <f>IFERROR(Driver!$K$19/Data!BH228/Data!BI228*Data!BK228*Data!BL228,"")</f>
        <v>0.12576712962326175</v>
      </c>
      <c r="AZ228" s="70">
        <f t="shared" si="137"/>
        <v>27.40134028294862</v>
      </c>
      <c r="BA228" s="70"/>
      <c r="BB228" s="70"/>
      <c r="BC228" s="70">
        <f t="shared" si="138"/>
        <v>51.867288718465758</v>
      </c>
      <c r="BD228" s="70">
        <f t="shared" si="139"/>
        <v>6.569495100798143</v>
      </c>
      <c r="BE228" s="70">
        <f t="shared" si="140"/>
        <v>4.584687476975334E-2</v>
      </c>
      <c r="BF228" s="70">
        <f t="shared" si="141"/>
        <v>7.380286791301903</v>
      </c>
      <c r="BG228" s="70">
        <f t="shared" si="142"/>
        <v>0.19302978515624999</v>
      </c>
      <c r="BH228" s="67">
        <f>MAX((CE228-Driver!$F$200)/(Driver!$G$200-Driver!$F$200)*$BI$1,1)</f>
        <v>5.4638588503130334</v>
      </c>
      <c r="BI228" s="67">
        <f>MAX($BI$1*(BY228-Driver!$F$201)/(Driver!$G$201-Driver!$F$201),1)</f>
        <v>7.2784810126582276</v>
      </c>
      <c r="BJ228" s="67">
        <f>(CB228-Driver!$F$206)/(Driver!$G$206-Driver!$F$206)*$BI$1</f>
        <v>5.0793650793650791</v>
      </c>
      <c r="BK228" s="67">
        <f>(CD228-Driver!$F$203)/(Driver!$G$203-Driver!$F$203)*$BI$1</f>
        <v>4.2660550458715596</v>
      </c>
      <c r="BL228" s="67">
        <f>MAX((CR228-Driver!$F$202)/(Driver!$G$202-Driver!$F$202)*$BI$1,1)</f>
        <v>5.8620689655172411</v>
      </c>
      <c r="BM228" s="67">
        <f>MAX((CH228-Driver!$F$204)/(Driver!$G$204-Driver!$F$204)*$BI$1,1)</f>
        <v>4.4444444444444446</v>
      </c>
      <c r="BN228" s="67">
        <f>(CI228-Driver!$F$205)/(Driver!$G$205-Driver!$F$205)*$BI$1</f>
        <v>3.7647058823529411</v>
      </c>
      <c r="BO228" s="67">
        <f>(CK228-Driver!$F$207)/(Driver!$G$207-Driver!$F$207)*$BI$1</f>
        <v>2.295760082730093</v>
      </c>
      <c r="BP228" s="67">
        <f>(CM228-Driver!$F$208)/(Driver!$G$208-Driver!$F$208)*$BI$1</f>
        <v>2.7</v>
      </c>
      <c r="BQ228" s="67">
        <f>(CL228-Driver!$F$209)/(Driver!$G$209-Driver!$F$209)*$BI$1</f>
        <v>4.6875</v>
      </c>
      <c r="BR228" s="28" t="s">
        <v>155</v>
      </c>
      <c r="BS228" s="8" t="s">
        <v>215</v>
      </c>
      <c r="BT228" s="9" t="s">
        <v>281</v>
      </c>
      <c r="BU228" s="10">
        <v>182</v>
      </c>
      <c r="BV228" s="9" t="s">
        <v>158</v>
      </c>
      <c r="BW228" s="10">
        <v>182</v>
      </c>
      <c r="BX228" s="10">
        <v>180.8</v>
      </c>
      <c r="BY228" s="10">
        <v>123</v>
      </c>
      <c r="BZ228" s="10">
        <v>151</v>
      </c>
      <c r="CA228" s="10">
        <v>129</v>
      </c>
      <c r="CB228" s="10">
        <v>96</v>
      </c>
      <c r="CC228" s="10">
        <v>117</v>
      </c>
      <c r="CD228" s="10">
        <v>18.7</v>
      </c>
      <c r="CE228" s="10">
        <v>1860</v>
      </c>
      <c r="CF228" s="10">
        <v>1.03</v>
      </c>
      <c r="CG228" s="10">
        <v>1919</v>
      </c>
      <c r="CH228" s="10">
        <v>205</v>
      </c>
      <c r="CI228" s="10">
        <v>97</v>
      </c>
      <c r="CJ228" s="10">
        <v>47</v>
      </c>
      <c r="CK228" s="10">
        <v>332</v>
      </c>
      <c r="CL228" s="10">
        <v>30</v>
      </c>
      <c r="CM228" s="10">
        <v>243</v>
      </c>
      <c r="CN228" s="10">
        <v>0.64600000000000002</v>
      </c>
      <c r="CO228" s="10">
        <v>136</v>
      </c>
      <c r="CP228" s="10">
        <v>164</v>
      </c>
      <c r="CQ228" s="10">
        <v>195</v>
      </c>
      <c r="CR228" s="10">
        <v>6</v>
      </c>
      <c r="CS228" s="10">
        <v>8.6</v>
      </c>
      <c r="CT228" s="9" t="s">
        <v>188</v>
      </c>
      <c r="CU228" s="10"/>
      <c r="CV228" s="10"/>
      <c r="CW228" s="10"/>
      <c r="CX228" t="str">
        <f>INDEX('Data_Price '!AG$2:AG$1266,MATCH(Data!$DN228,'Data_Price '!$AT$2:$AT$1266,0))</f>
        <v>Liberty 22 Origin 96 182cm  Demo Skis w/ Bindings</v>
      </c>
      <c r="CY228" t="str">
        <f>INDEX('Data_Price '!AH$2:AH$1266,MATCH(Data!$DN228,'Data_Price '!$AT$2:$AT$1266,0))</f>
        <v>Play It Again Sports</v>
      </c>
      <c r="CZ228">
        <f>INDEX('Data_Price '!AI$2:AI$1266,MATCH(Data!$DN228,'Data_Price '!$AT$2:$AT$1266,0))</f>
        <v>549.91</v>
      </c>
      <c r="DA228" t="str">
        <f>INDEX('Data_Price '!AJ$2:AJ$1266,MATCH(Data!$DN228,'Data_Price '!$AT$2:$AT$1266,0))</f>
        <v>https://tinyurl.com/yaqme5zf</v>
      </c>
      <c r="DB228" t="str">
        <f>INDEX('Data_Price '!AK$2:AK$1266,MATCH(Data!$DN228,'Data_Price '!$AT$2:$AT$1266,0))</f>
        <v>Liberty Skis Men ' S Origin 96 All - Mountain Skis</v>
      </c>
      <c r="DC228" t="str">
        <f>INDEX('Data_Price '!AL$2:AL$1266,MATCH(Data!$DN228,'Data_Price '!$AT$2:$AT$1266,0))</f>
        <v>BobWards.com</v>
      </c>
      <c r="DD228">
        <f>INDEX('Data_Price '!AM$2:AM$1266,MATCH(Data!$DN228,'Data_Price '!$AT$2:$AT$1266,0))</f>
        <v>599.95000000000005</v>
      </c>
      <c r="DE228" t="str">
        <f>INDEX('Data_Price '!AN$2:AN$1266,MATCH(Data!$DN228,'Data_Price '!$AT$2:$AT$1266,0))</f>
        <v>https://tinyurl.com/yb5mhwmy</v>
      </c>
      <c r="DF228" t="str">
        <f>INDEX('Data_Price '!AO$2:AO$1266,MATCH(Data!$DN228,'Data_Price '!$AT$2:$AT$1266,0))</f>
        <v>'22 Liberty Origin 96 Skis 182cm</v>
      </c>
      <c r="DG228" t="str">
        <f>INDEX('Data_Price '!AP$2:AP$1266,MATCH(Data!$DN228,'Data_Price '!$AT$2:$AT$1266,0))</f>
        <v>Al's Ski Equipment Barn</v>
      </c>
      <c r="DH228">
        <f>INDEX('Data_Price '!AQ$2:AQ$1266,MATCH(Data!$DN228,'Data_Price '!$AT$2:$AT$1266,0))</f>
        <v>629</v>
      </c>
      <c r="DI228" t="str">
        <f>INDEX('Data_Price '!AR$2:AR$1266,MATCH(Data!$DN228,'Data_Price '!$AT$2:$AT$1266,0))</f>
        <v>https://tinyurl.com/y8zv4rk2</v>
      </c>
      <c r="DJ228" s="89" t="str">
        <f t="shared" si="143"/>
        <v>https://tinyurl.com/yaqme5zf</v>
      </c>
      <c r="DK228" s="89" t="str">
        <f t="shared" si="144"/>
        <v>https://tinyurl.com/yb5mhwmy</v>
      </c>
      <c r="DL228" s="89" t="str">
        <f t="shared" si="145"/>
        <v>https://tinyurl.com/y8zv4rk2</v>
      </c>
      <c r="DM228" s="219" t="str">
        <f t="shared" si="146"/>
        <v>Origin 96</v>
      </c>
      <c r="DN228" s="89" t="str">
        <f t="shared" si="147"/>
        <v xml:space="preserve"> LibertyOrigin 96182 Unisex</v>
      </c>
      <c r="DO228" s="221" t="s">
        <v>282</v>
      </c>
    </row>
    <row r="229" spans="1:119" ht="15.6" customHeight="1">
      <c r="B229" s="219" t="b">
        <f t="array" ref="B229">IF(OR(ISERROR(K229:P229)),FALSE,TRUE)</f>
        <v>1</v>
      </c>
      <c r="C229" s="43" t="b">
        <f>OR(BR229=Driver!$G$50,Data!BR1070=Driver!$H$50)</f>
        <v>1</v>
      </c>
      <c r="D229" s="43" t="b">
        <f>OR(BV229=Driver!$G$51,BV229=Driver!$H$51)</f>
        <v>1</v>
      </c>
      <c r="E229" s="43" t="b">
        <f>AND(BX229&gt;Driver!$F$54,BX229&lt;Driver!$G$54)</f>
        <v>0</v>
      </c>
      <c r="F229" s="43" t="b">
        <f>CL229&gt;Driver!$F$56</f>
        <v>1</v>
      </c>
      <c r="G229" s="43" t="b">
        <f>AND(CB229&gt;Driver!$F$55,CB229&lt;Driver!$G$55)</f>
        <v>0</v>
      </c>
      <c r="H229" s="43" t="b">
        <f t="shared" si="111"/>
        <v>0</v>
      </c>
      <c r="I229" s="43">
        <f t="shared" si="112"/>
        <v>0</v>
      </c>
      <c r="J229" s="43" t="b">
        <f t="array" ref="J229">NOT(OR(($H$9:$H$1273=TRUE)*($I$9:$I$1273&gt;0)*($BT$9:$BT$1273=BT229)*($K$9:$K$1273&gt;K229)))</f>
        <v>1</v>
      </c>
      <c r="K229" s="72">
        <f t="shared" si="113"/>
        <v>0.84269595704809008</v>
      </c>
      <c r="L229" s="72">
        <f t="shared" si="114"/>
        <v>0.90024034416182452</v>
      </c>
      <c r="M229" s="72">
        <f t="shared" si="115"/>
        <v>0.78515156993435553</v>
      </c>
      <c r="N229" s="72">
        <f t="shared" si="116"/>
        <v>0.78340533786093314</v>
      </c>
      <c r="O229" s="72">
        <f t="shared" si="117"/>
        <v>0.60960211455816737</v>
      </c>
      <c r="P229" s="72">
        <f t="shared" si="118"/>
        <v>0.96244725738396619</v>
      </c>
      <c r="Q229" s="72"/>
      <c r="R229" s="72"/>
      <c r="S229" s="72">
        <f t="shared" si="119"/>
        <v>0.40783692615688372</v>
      </c>
      <c r="T229" s="72">
        <f t="shared" si="120"/>
        <v>0.55027789848118669</v>
      </c>
      <c r="U229" s="72">
        <f t="shared" si="121"/>
        <v>0.76998076595746201</v>
      </c>
      <c r="V229" s="72">
        <f t="shared" si="122"/>
        <v>0.55097016777537355</v>
      </c>
      <c r="W229" s="72">
        <f t="shared" si="123"/>
        <v>0.80630483934535047</v>
      </c>
      <c r="X229" s="72">
        <f t="shared" si="124"/>
        <v>9.9759655838175448E-2</v>
      </c>
      <c r="Y229" s="72">
        <f t="shared" si="125"/>
        <v>0.21484843006564444</v>
      </c>
      <c r="Z229" s="72">
        <f t="shared" si="126"/>
        <v>0.21659466213906681</v>
      </c>
      <c r="AA229" s="72">
        <f t="shared" si="127"/>
        <v>0.39039788544183268</v>
      </c>
      <c r="AB229" s="72">
        <f t="shared" si="128"/>
        <v>3.7552742616033752E-2</v>
      </c>
      <c r="AC229" s="72"/>
      <c r="AD229" s="72"/>
      <c r="AE229" s="72">
        <f t="shared" si="129"/>
        <v>0.59216307384311628</v>
      </c>
      <c r="AF229" s="72">
        <f t="shared" si="130"/>
        <v>0.44972210151881337</v>
      </c>
      <c r="AG229" s="72">
        <f t="shared" si="131"/>
        <v>0.23001923404253805</v>
      </c>
      <c r="AH229" s="72">
        <f t="shared" si="132"/>
        <v>0.44902983222462645</v>
      </c>
      <c r="AI229" s="72">
        <f t="shared" si="133"/>
        <v>0.19369516065464953</v>
      </c>
      <c r="AJ229" s="72">
        <f>(AV229-Driver!$K$179)/(Driver!$L$179-Driver!$K$179)</f>
        <v>0.15445975344452498</v>
      </c>
      <c r="AK229" s="72">
        <f>(AW229-Driver!$K$180)/(Driver!$L$180-Driver!$K$180)</f>
        <v>0.22377907672935643</v>
      </c>
      <c r="AL229" s="72">
        <f>(AX229-Driver!$K$181)/(Driver!$L$181-Driver!$K$181)</f>
        <v>0.318282425852147</v>
      </c>
      <c r="AM229" s="72">
        <f>(AY229-Driver!$K$182)/(Driver!$L$182-Driver!$K$182)</f>
        <v>5.6987135655213676E-2</v>
      </c>
      <c r="AN229" s="72">
        <f>(AZ229-Driver!$K$183)/(Driver!$L$183-Driver!$K$183)</f>
        <v>0.21666666666666667</v>
      </c>
      <c r="AO229" s="72"/>
      <c r="AP229" s="72"/>
      <c r="AQ229" s="72">
        <f>(BC229-Driver!$K$188)/(Driver!$L$188-Driver!$K$188)</f>
        <v>2.7836926156883705E-2</v>
      </c>
      <c r="AR229" s="72">
        <f>MIN((BD229-Driver!$K$189)/(Driver!$L$189-Driver!$K$189),100%)</f>
        <v>0.10027789848118666</v>
      </c>
      <c r="AS229" s="72">
        <f>(BE229-Driver!$K$190)/(Driver!$L$190-Driver!$K$190)</f>
        <v>0.27998076595746196</v>
      </c>
      <c r="AT229" s="72">
        <f>(BF229-Driver!$K$191)/(Driver!$L$191-Driver!$K$191)</f>
        <v>6.0970167775373584E-2</v>
      </c>
      <c r="AU229" s="72">
        <f>(BG229-Driver!$K$192)/(Driver!$L$192-Driver!$K$192)</f>
        <v>5.6304839345350452E-2</v>
      </c>
      <c r="AV229" s="70">
        <f t="shared" si="134"/>
        <v>3.2509157509157505</v>
      </c>
      <c r="AW229" s="70">
        <f t="shared" si="135"/>
        <v>23.681146533069466</v>
      </c>
      <c r="AX229" s="70">
        <f t="shared" si="136"/>
        <v>3.8645418326693228</v>
      </c>
      <c r="AY229" s="70">
        <f>IFERROR(Driver!$K$19/Data!BH229/Data!BI229*Data!BK229*Data!BL229,"")</f>
        <v>6.9769257362166409E-2</v>
      </c>
      <c r="AZ229" s="70">
        <f t="shared" si="137"/>
        <v>19.746835443037977</v>
      </c>
      <c r="BA229" s="70"/>
      <c r="BB229" s="70"/>
      <c r="BC229" s="70">
        <f t="shared" si="138"/>
        <v>14.439207116746648</v>
      </c>
      <c r="BD229" s="70">
        <f t="shared" si="139"/>
        <v>10.59523921776063</v>
      </c>
      <c r="BE229" s="70">
        <f t="shared" si="140"/>
        <v>0.28010920928465349</v>
      </c>
      <c r="BF229" s="70">
        <f t="shared" si="141"/>
        <v>6.8861521105574885</v>
      </c>
      <c r="BG229" s="70">
        <f t="shared" si="142"/>
        <v>0.21320604036590679</v>
      </c>
      <c r="BH229" s="67">
        <f>MAX((CE229-Driver!$F$200)/(Driver!$G$200-Driver!$F$200)*$BI$1,1)</f>
        <v>3.8645418326693228</v>
      </c>
      <c r="BI229" s="67">
        <f>MAX($BI$1*(BY229-Driver!$F$201)/(Driver!$G$201-Driver!$F$201),1)</f>
        <v>6.5822784810126587</v>
      </c>
      <c r="BJ229" s="67">
        <f>(CB229-Driver!$F$206)/(Driver!$G$206-Driver!$F$206)*$BI$1</f>
        <v>4.2857142857142856</v>
      </c>
      <c r="BK229" s="67">
        <f>(CD229-Driver!$F$203)/(Driver!$G$203-Driver!$F$203)*$BI$1</f>
        <v>1.5137614678899081</v>
      </c>
      <c r="BL229" s="67">
        <f>MAX((CR229-Driver!$F$202)/(Driver!$G$202-Driver!$F$202)*$BI$1,1)</f>
        <v>5.8620689655172411</v>
      </c>
      <c r="BM229" s="67">
        <f>MAX((CH229-Driver!$F$204)/(Driver!$G$204-Driver!$F$204)*$BI$1,1)</f>
        <v>3.0341880341880341</v>
      </c>
      <c r="BN229" s="67">
        <f>(CI229-Driver!$F$205)/(Driver!$G$205-Driver!$F$205)*$BI$1</f>
        <v>3</v>
      </c>
      <c r="BO229" s="67">
        <f>(CK229-Driver!$F$207)/(Driver!$G$207-Driver!$F$207)*$BI$1</f>
        <v>1.4891416752843847</v>
      </c>
      <c r="BP229" s="67">
        <f>(CM229-Driver!$F$208)/(Driver!$G$208-Driver!$F$208)*$BI$1</f>
        <v>1.6333333333333333</v>
      </c>
      <c r="BQ229" s="67">
        <f>(CL229-Driver!$F$209)/(Driver!$G$209-Driver!$F$209)*$BI$1</f>
        <v>2.5</v>
      </c>
      <c r="BR229" s="28" t="s">
        <v>155</v>
      </c>
      <c r="BS229" s="8" t="s">
        <v>174</v>
      </c>
      <c r="BT229" s="9" t="s">
        <v>283</v>
      </c>
      <c r="BU229" s="10">
        <v>153</v>
      </c>
      <c r="BV229" s="9" t="s">
        <v>158</v>
      </c>
      <c r="BW229" s="10">
        <v>153</v>
      </c>
      <c r="BX229" s="10">
        <v>151.9</v>
      </c>
      <c r="BY229" s="10">
        <v>112</v>
      </c>
      <c r="BZ229" s="10">
        <v>127</v>
      </c>
      <c r="CA229" s="10">
        <v>128</v>
      </c>
      <c r="CB229" s="10">
        <v>91</v>
      </c>
      <c r="CC229" s="10">
        <v>111</v>
      </c>
      <c r="CD229" s="10">
        <v>12.7</v>
      </c>
      <c r="CE229" s="10">
        <v>1579</v>
      </c>
      <c r="CF229" s="10">
        <v>0.99</v>
      </c>
      <c r="CG229" s="10">
        <v>1571</v>
      </c>
      <c r="CH229" s="10">
        <v>172</v>
      </c>
      <c r="CI229" s="10">
        <v>84</v>
      </c>
      <c r="CJ229" s="10">
        <v>54</v>
      </c>
      <c r="CK229" s="10">
        <v>254</v>
      </c>
      <c r="CL229" s="10">
        <v>16</v>
      </c>
      <c r="CM229" s="10">
        <v>147</v>
      </c>
      <c r="CN229" s="10">
        <v>0.30099999999999999</v>
      </c>
      <c r="CO229" s="10">
        <v>131</v>
      </c>
      <c r="CP229" s="10">
        <v>118</v>
      </c>
      <c r="CQ229" s="10">
        <v>123</v>
      </c>
      <c r="CR229" s="10">
        <v>6</v>
      </c>
      <c r="CS229" s="10">
        <v>8.5</v>
      </c>
      <c r="CT229" s="9" t="s">
        <v>188</v>
      </c>
      <c r="CU229" s="10"/>
      <c r="CV229" s="10"/>
      <c r="CW229" s="10"/>
      <c r="CX229" t="str">
        <f>INDEX('Data_Price '!AG$2:AG$1266,MATCH(Data!$DN229,'Data_Price '!$AT$2:$AT$1266,0))</f>
        <v>Salomon QST 92 Skis - 2021</v>
      </c>
      <c r="CY229" t="str">
        <f>INDEX('Data_Price '!AH$2:AH$1266,MATCH(Data!$DN229,'Data_Price '!$AT$2:$AT$1266,0))</f>
        <v>Gravity Coalition</v>
      </c>
      <c r="CZ229">
        <f>INDEX('Data_Price '!AI$2:AI$1266,MATCH(Data!$DN229,'Data_Price '!$AT$2:$AT$1266,0))</f>
        <v>299.95</v>
      </c>
      <c r="DA229" t="str">
        <f>INDEX('Data_Price '!AJ$2:AJ$1266,MATCH(Data!$DN229,'Data_Price '!$AT$2:$AT$1266,0))</f>
        <v>https://tinyurl.com/y9cobxac</v>
      </c>
      <c r="DB229" t="str">
        <f>INDEX('Data_Price '!AK$2:AK$1266,MATCH(Data!$DN229,'Data_Price '!$AT$2:$AT$1266,0))</f>
        <v>Salomon QST Lux 92 Skis 153 W/ Bindings - Sports &amp; outdoors</v>
      </c>
      <c r="DC229" t="str">
        <f>INDEX('Data_Price '!AL$2:AL$1266,MATCH(Data!$DN229,'Data_Price '!$AT$2:$AT$1266,0))</f>
        <v>Mercari</v>
      </c>
      <c r="DD229">
        <f>INDEX('Data_Price '!AM$2:AM$1266,MATCH(Data!$DN229,'Data_Price '!$AT$2:$AT$1266,0))</f>
        <v>325</v>
      </c>
      <c r="DE229" t="str">
        <f>INDEX('Data_Price '!AN$2:AN$1266,MATCH(Data!$DN229,'Data_Price '!$AT$2:$AT$1266,0))</f>
        <v>https://tinyurl.com/yct75urw</v>
      </c>
      <c r="DF229" t="str">
        <f>INDEX('Data_Price '!AO$2:AO$1266,MATCH(Data!$DN229,'Data_Price '!$AT$2:$AT$1266,0))</f>
        <v>2020 Salomon Qst 92 153cm W/ Salomon Warden 11 Binding</v>
      </c>
      <c r="DG229" t="str">
        <f>INDEX('Data_Price '!AP$2:AP$1266,MATCH(Data!$DN229,'Data_Price '!$AT$2:$AT$1266,0))</f>
        <v>eBay - riverpirate999</v>
      </c>
      <c r="DH229">
        <f>INDEX('Data_Price '!AQ$2:AQ$1266,MATCH(Data!$DN229,'Data_Price '!$AT$2:$AT$1266,0))</f>
        <v>368</v>
      </c>
      <c r="DI229" t="str">
        <f>INDEX('Data_Price '!AR$2:AR$1266,MATCH(Data!$DN229,'Data_Price '!$AT$2:$AT$1266,0))</f>
        <v>https://tinyurl.com/ya4bxzt6</v>
      </c>
      <c r="DJ229" s="89" t="str">
        <f t="shared" si="143"/>
        <v>https://tinyurl.com/y9cobxac</v>
      </c>
      <c r="DK229" s="89" t="str">
        <f t="shared" si="144"/>
        <v>https://tinyurl.com/yct75urw</v>
      </c>
      <c r="DL229" s="89" t="str">
        <f t="shared" si="145"/>
        <v>https://tinyurl.com/ya4bxzt6</v>
      </c>
      <c r="DM229" s="219" t="str">
        <f t="shared" si="146"/>
        <v>QST 92</v>
      </c>
      <c r="DN229" s="89" t="str">
        <f t="shared" si="147"/>
        <v xml:space="preserve"> SalomonQST 92153 Unisex</v>
      </c>
      <c r="DO229" s="221" t="s">
        <v>284</v>
      </c>
    </row>
    <row r="230" spans="1:119" ht="15.6" customHeight="1">
      <c r="B230" s="219" t="b">
        <f t="array" ref="B230">IF(OR(ISERROR(K230:P230)),FALSE,TRUE)</f>
        <v>1</v>
      </c>
      <c r="C230" s="43" t="b">
        <f>OR(BR230=Driver!$G$50,Data!BR218=Driver!$H$50)</f>
        <v>1</v>
      </c>
      <c r="D230" s="43" t="b">
        <f>OR(BV230=Driver!$G$51,BV230=Driver!$H$51)</f>
        <v>1</v>
      </c>
      <c r="E230" s="43" t="b">
        <f>AND(BX230&gt;Driver!$F$54,BX230&lt;Driver!$G$54)</f>
        <v>0</v>
      </c>
      <c r="F230" s="43" t="b">
        <f>CL230&gt;Driver!$F$56</f>
        <v>1</v>
      </c>
      <c r="G230" s="43" t="b">
        <f>AND(CB230&gt;Driver!$F$55,CB230&lt;Driver!$G$55)</f>
        <v>1</v>
      </c>
      <c r="H230" s="43" t="b">
        <f t="shared" si="111"/>
        <v>0</v>
      </c>
      <c r="I230" s="43">
        <f t="shared" si="112"/>
        <v>0</v>
      </c>
      <c r="J230" s="43" t="b">
        <f t="array" ref="J230">NOT(OR(($H$9:$H$1273=TRUE)*($I$9:$I$1273&gt;0)*($BT$9:$BT$1273=BT230)*($K$9:$K$1273&gt;K230)))</f>
        <v>1</v>
      </c>
      <c r="K230" s="72">
        <f t="shared" si="113"/>
        <v>0.84444224478957453</v>
      </c>
      <c r="L230" s="72">
        <f t="shared" si="114"/>
        <v>0.95641907087322497</v>
      </c>
      <c r="M230" s="72">
        <f t="shared" si="115"/>
        <v>0.73246541870592408</v>
      </c>
      <c r="N230" s="72">
        <f t="shared" si="116"/>
        <v>0.63289626304906954</v>
      </c>
      <c r="O230" s="72">
        <f t="shared" si="117"/>
        <v>0.68773156417815895</v>
      </c>
      <c r="P230" s="72">
        <f t="shared" si="118"/>
        <v>0.87676842889054352</v>
      </c>
      <c r="Q230" s="72"/>
      <c r="R230" s="72"/>
      <c r="S230" s="72">
        <f t="shared" si="119"/>
        <v>0.51431913352169967</v>
      </c>
      <c r="T230" s="72">
        <f t="shared" si="120"/>
        <v>0.47442902990535341</v>
      </c>
      <c r="U230" s="72">
        <f t="shared" si="121"/>
        <v>0.51</v>
      </c>
      <c r="V230" s="72">
        <f t="shared" si="122"/>
        <v>0.50765444699971818</v>
      </c>
      <c r="W230" s="72">
        <f t="shared" si="123"/>
        <v>0.75840933875285022</v>
      </c>
      <c r="X230" s="72">
        <f t="shared" si="124"/>
        <v>4.358092912677497E-2</v>
      </c>
      <c r="Y230" s="72">
        <f t="shared" si="125"/>
        <v>0.26753458129407598</v>
      </c>
      <c r="Z230" s="72">
        <f t="shared" si="126"/>
        <v>0.3671037369509304</v>
      </c>
      <c r="AA230" s="72">
        <f t="shared" si="127"/>
        <v>0.31226843582184105</v>
      </c>
      <c r="AB230" s="72">
        <f t="shared" si="128"/>
        <v>0.12323157110945643</v>
      </c>
      <c r="AC230" s="72"/>
      <c r="AD230" s="72"/>
      <c r="AE230" s="72">
        <f t="shared" si="129"/>
        <v>0.48568086647830028</v>
      </c>
      <c r="AF230" s="72">
        <f t="shared" si="130"/>
        <v>0.52557097009464659</v>
      </c>
      <c r="AG230" s="72">
        <f t="shared" si="131"/>
        <v>0.49</v>
      </c>
      <c r="AH230" s="72">
        <f t="shared" si="132"/>
        <v>0.49234555300028188</v>
      </c>
      <c r="AI230" s="72">
        <f t="shared" si="133"/>
        <v>0.24159066124714978</v>
      </c>
      <c r="AJ230" s="72">
        <f>(AV230-Driver!$K$179)/(Driver!$L$179-Driver!$K$179)</f>
        <v>0.2978003384094754</v>
      </c>
      <c r="AK230" s="72">
        <f>(AW230-Driver!$K$180)/(Driver!$L$180-Driver!$K$180)</f>
        <v>0.38901798390049247</v>
      </c>
      <c r="AL230" s="72">
        <f>(AX230-Driver!$K$181)/(Driver!$L$181-Driver!$K$181)</f>
        <v>0.4687915006640106</v>
      </c>
      <c r="AM230" s="72">
        <f>(AY230-Driver!$K$182)/(Driver!$L$182-Driver!$K$182)</f>
        <v>0.13511658527520529</v>
      </c>
      <c r="AN230" s="72">
        <f>(AZ230-Driver!$K$183)/(Driver!$L$183-Driver!$K$183)</f>
        <v>0.37745098039215685</v>
      </c>
      <c r="AO230" s="72"/>
      <c r="AP230" s="72"/>
      <c r="AQ230" s="72">
        <f>(BC230-Driver!$K$188)/(Driver!$L$188-Driver!$K$188)</f>
        <v>0.13431913352169972</v>
      </c>
      <c r="AR230" s="72">
        <f>MIN((BD230-Driver!$K$189)/(Driver!$L$189-Driver!$K$189),100%)</f>
        <v>2.4429029905353412E-2</v>
      </c>
      <c r="AS230" s="72">
        <f>(BE230-Driver!$K$190)/(Driver!$L$190-Driver!$K$190)</f>
        <v>1</v>
      </c>
      <c r="AT230" s="72">
        <f>(BF230-Driver!$K$191)/(Driver!$L$191-Driver!$K$191)</f>
        <v>1.7654446999718111E-2</v>
      </c>
      <c r="AU230" s="72">
        <f>(BG230-Driver!$K$192)/(Driver!$L$192-Driver!$K$192)</f>
        <v>8.4093387528502029E-3</v>
      </c>
      <c r="AV230" s="70">
        <f t="shared" si="134"/>
        <v>6.2678062678062672</v>
      </c>
      <c r="AW230" s="70">
        <f t="shared" si="135"/>
        <v>39.785142202561453</v>
      </c>
      <c r="AX230" s="70">
        <f t="shared" si="136"/>
        <v>5.2191235059760954</v>
      </c>
      <c r="AY230" s="70">
        <f>IFERROR(Driver!$K$19/Data!BH230/Data!BI230*Data!BK230*Data!BL230,"")</f>
        <v>0.16542301527485948</v>
      </c>
      <c r="AZ230" s="70">
        <f t="shared" si="137"/>
        <v>34.400595681310499</v>
      </c>
      <c r="BA230" s="70"/>
      <c r="BB230" s="70"/>
      <c r="BC230" s="70">
        <f t="shared" si="138"/>
        <v>69.672268329172766</v>
      </c>
      <c r="BD230" s="70">
        <f t="shared" si="139"/>
        <v>3.8827487450418596</v>
      </c>
      <c r="BE230" s="70">
        <f t="shared" si="140"/>
        <v>1</v>
      </c>
      <c r="BF230" s="70">
        <f t="shared" si="141"/>
        <v>1.9939457591084067</v>
      </c>
      <c r="BG230" s="70">
        <f t="shared" si="142"/>
        <v>3.1843121096460793E-2</v>
      </c>
      <c r="BH230" s="67">
        <f>MAX((CE230-Driver!$F$200)/(Driver!$G$200-Driver!$F$200)*$BI$1,1)</f>
        <v>5.2191235059760954</v>
      </c>
      <c r="BI230" s="67">
        <f>MAX($BI$1*(BY230-Driver!$F$201)/(Driver!$G$201-Driver!$F$201),1)</f>
        <v>8.3544303797468356</v>
      </c>
      <c r="BJ230" s="67">
        <f>(CB230-Driver!$F$206)/(Driver!$G$206-Driver!$F$206)*$BI$1</f>
        <v>6.6666666666666661</v>
      </c>
      <c r="BK230" s="67">
        <f>(CD230-Driver!$F$203)/(Driver!$G$203-Driver!$F$203)*$BI$1</f>
        <v>5.2293577981651387</v>
      </c>
      <c r="BL230" s="67">
        <f>MAX((CR230-Driver!$F$202)/(Driver!$G$202-Driver!$F$202)*$BI$1,1)</f>
        <v>6.8965517241379315</v>
      </c>
      <c r="BM230" s="67">
        <f>MAX((CH230-Driver!$F$204)/(Driver!$G$204-Driver!$F$204)*$BI$1,1)</f>
        <v>3.7606837606837606</v>
      </c>
      <c r="BN230" s="67">
        <f>(CI230-Driver!$F$205)/(Driver!$G$205-Driver!$F$205)*$BI$1</f>
        <v>4.117647058823529</v>
      </c>
      <c r="BO230" s="67">
        <f>(CK230-Driver!$F$207)/(Driver!$G$207-Driver!$F$207)*$BI$1</f>
        <v>1.6959669079627715</v>
      </c>
      <c r="BP230" s="67">
        <f>(CM230-Driver!$F$208)/(Driver!$G$208-Driver!$F$208)*$BI$1</f>
        <v>0.92222222222222217</v>
      </c>
      <c r="BQ230" s="67">
        <f>(CL230-Driver!$F$209)/(Driver!$G$209-Driver!$F$209)*$BI$1</f>
        <v>0.625</v>
      </c>
      <c r="BR230" s="28" t="s">
        <v>155</v>
      </c>
      <c r="BS230" s="8" t="s">
        <v>237</v>
      </c>
      <c r="BT230" s="9" t="s">
        <v>443</v>
      </c>
      <c r="BU230" s="10">
        <v>176</v>
      </c>
      <c r="BV230" s="9" t="s">
        <v>158</v>
      </c>
      <c r="BW230" s="10">
        <v>176</v>
      </c>
      <c r="BX230" s="10">
        <v>175.6</v>
      </c>
      <c r="BY230" s="10">
        <v>140</v>
      </c>
      <c r="BZ230" s="10">
        <v>143</v>
      </c>
      <c r="CA230" s="10">
        <v>141</v>
      </c>
      <c r="CB230" s="10">
        <v>106</v>
      </c>
      <c r="CC230" s="10">
        <v>118</v>
      </c>
      <c r="CD230" s="10">
        <v>20.8</v>
      </c>
      <c r="CE230" s="10">
        <v>1817</v>
      </c>
      <c r="CF230" s="10">
        <v>1.1200000000000001</v>
      </c>
      <c r="CG230" s="10">
        <v>2035</v>
      </c>
      <c r="CH230" s="10">
        <v>189</v>
      </c>
      <c r="CI230" s="10">
        <v>103</v>
      </c>
      <c r="CJ230" s="10">
        <v>45</v>
      </c>
      <c r="CK230" s="10">
        <v>274</v>
      </c>
      <c r="CL230" s="10">
        <v>4</v>
      </c>
      <c r="CM230" s="10">
        <v>83</v>
      </c>
      <c r="CN230" s="10">
        <v>0.08</v>
      </c>
      <c r="CO230" s="10">
        <v>193</v>
      </c>
      <c r="CP230" s="10">
        <v>138</v>
      </c>
      <c r="CQ230" s="10">
        <v>81</v>
      </c>
      <c r="CR230" s="10">
        <v>9</v>
      </c>
      <c r="CS230" s="10">
        <v>10.3</v>
      </c>
      <c r="CT230" s="9" t="s">
        <v>178</v>
      </c>
      <c r="CU230" s="9" t="s">
        <v>185</v>
      </c>
      <c r="CV230" s="10"/>
      <c r="CW230" s="10"/>
      <c r="CX230" t="str">
        <f>INDEX('Data_Price '!AG$2:AG$1266,MATCH(Data!$DN230,'Data_Price '!$AT$2:$AT$1266,0))</f>
        <v>2022 Black Crows Corvus Freebird Skis w/ Marker Kingpin 13 Bindings - 176| Ski Essentials</v>
      </c>
      <c r="CY230" t="str">
        <f>INDEX('Data_Price '!AH$2:AH$1266,MATCH(Data!$DN230,'Data_Price '!$AT$2:$AT$1266,0))</f>
        <v>SkiEssentials.com</v>
      </c>
      <c r="CZ230">
        <f>INDEX('Data_Price '!AI$2:AI$1266,MATCH(Data!$DN230,'Data_Price '!$AT$2:$AT$1266,0))</f>
        <v>1114.96</v>
      </c>
      <c r="DA230" t="str">
        <f>INDEX('Data_Price '!AJ$2:AJ$1266,MATCH(Data!$DN230,'Data_Price '!$AT$2:$AT$1266,0))</f>
        <v>https://tinyurl.com/ybfn7kmc</v>
      </c>
      <c r="DB230" t="str">
        <f>INDEX('Data_Price '!AK$2:AK$1266,MATCH(Data!$DN230,'Data_Price '!$AT$2:$AT$1266,0))</f>
        <v>Black Crows Corvus Freebird Skis</v>
      </c>
      <c r="DC230" t="str">
        <f>INDEX('Data_Price '!AL$2:AL$1266,MATCH(Data!$DN230,'Data_Price '!$AT$2:$AT$1266,0))</f>
        <v>Cole Sport</v>
      </c>
      <c r="DD230">
        <f>INDEX('Data_Price '!AM$2:AM$1266,MATCH(Data!$DN230,'Data_Price '!$AT$2:$AT$1266,0))</f>
        <v>719.96</v>
      </c>
      <c r="DE230" t="str">
        <f>INDEX('Data_Price '!AN$2:AN$1266,MATCH(Data!$DN230,'Data_Price '!$AT$2:$AT$1266,0))</f>
        <v>https://tinyurl.com/ycrk4825</v>
      </c>
      <c r="DF230" t="str">
        <f>INDEX('Data_Price '!AO$2:AO$1266,MATCH(Data!$DN230,'Data_Price '!$AT$2:$AT$1266,0))</f>
        <v>Black Crows Corvus Freebird Skis Â· 2021 Â· 176 cm</v>
      </c>
      <c r="DG230" t="str">
        <f>INDEX('Data_Price '!AP$2:AP$1266,MATCH(Data!$DN230,'Data_Price '!$AT$2:$AT$1266,0))</f>
        <v>Powder7 Ski Shop</v>
      </c>
      <c r="DH230">
        <f>INDEX('Data_Price '!AQ$2:AQ$1266,MATCH(Data!$DN230,'Data_Price '!$AT$2:$AT$1266,0))</f>
        <v>720.93</v>
      </c>
      <c r="DI230" t="str">
        <f>INDEX('Data_Price '!AR$2:AR$1266,MATCH(Data!$DN230,'Data_Price '!$AT$2:$AT$1266,0))</f>
        <v>https://tinyurl.com/ybx8uwvu</v>
      </c>
      <c r="DJ230" s="89" t="str">
        <f t="shared" si="143"/>
        <v>https://tinyurl.com/ybfn7kmc</v>
      </c>
      <c r="DK230" s="89" t="str">
        <f t="shared" si="144"/>
        <v>https://tinyurl.com/ycrk4825</v>
      </c>
      <c r="DL230" s="89" t="str">
        <f t="shared" si="145"/>
        <v>https://tinyurl.com/ybx8uwvu</v>
      </c>
      <c r="DM230" s="219" t="str">
        <f t="shared" si="146"/>
        <v>Corvus Freebird</v>
      </c>
      <c r="DN230" s="89" t="str">
        <f t="shared" si="147"/>
        <v xml:space="preserve"> Black CrowsCorvus Freebird176 Unisex</v>
      </c>
      <c r="DO230" s="221" t="s">
        <v>444</v>
      </c>
    </row>
    <row r="231" spans="1:119" ht="15.6" customHeight="1">
      <c r="B231" s="219" t="b">
        <f t="array" ref="B231">IF(OR(ISERROR(K231:P231)),FALSE,TRUE)</f>
        <v>1</v>
      </c>
      <c r="C231" s="43" t="b">
        <f>OR(BR231=Driver!$G$50,Data!BR565=Driver!$H$50)</f>
        <v>1</v>
      </c>
      <c r="D231" s="43" t="b">
        <f>OR(BV231=Driver!$G$51,BV231=Driver!$H$51)</f>
        <v>0</v>
      </c>
      <c r="E231" s="43" t="b">
        <f>AND(BX231&gt;Driver!$F$54,BX231&lt;Driver!$G$54)</f>
        <v>0</v>
      </c>
      <c r="F231" s="43" t="b">
        <f>CL231&gt;Driver!$F$56</f>
        <v>1</v>
      </c>
      <c r="G231" s="43" t="b">
        <f>AND(CB231&gt;Driver!$F$55,CB231&lt;Driver!$G$55)</f>
        <v>0</v>
      </c>
      <c r="H231" s="43" t="b">
        <f t="shared" si="111"/>
        <v>0</v>
      </c>
      <c r="I231" s="43">
        <f t="shared" si="112"/>
        <v>0</v>
      </c>
      <c r="J231" s="43" t="b">
        <f t="array" ref="J231">NOT(OR(($H$9:$H$1273=TRUE)*($I$9:$I$1273&gt;0)*($BT$9:$BT$1273=BT231)*($K$9:$K$1273&gt;K231)))</f>
        <v>1</v>
      </c>
      <c r="K231" s="72">
        <f t="shared" si="113"/>
        <v>0.87908609113029001</v>
      </c>
      <c r="L231" s="72">
        <f t="shared" si="114"/>
        <v>0.99316067106660189</v>
      </c>
      <c r="M231" s="72">
        <f t="shared" si="115"/>
        <v>0.76501151119397826</v>
      </c>
      <c r="N231" s="72">
        <f t="shared" si="116"/>
        <v>0.70688601831372522</v>
      </c>
      <c r="O231" s="72">
        <f t="shared" si="117"/>
        <v>0.61503949317836071</v>
      </c>
      <c r="P231" s="72">
        <f t="shared" si="118"/>
        <v>0.97310902208984862</v>
      </c>
      <c r="Q231" s="72"/>
      <c r="R231" s="72"/>
      <c r="S231" s="72">
        <f t="shared" si="119"/>
        <v>0.41295854857714709</v>
      </c>
      <c r="T231" s="72">
        <f t="shared" si="120"/>
        <v>0.53347233031877828</v>
      </c>
      <c r="U231" s="72">
        <f t="shared" si="121"/>
        <v>0.54695413410115523</v>
      </c>
      <c r="V231" s="72">
        <f t="shared" si="122"/>
        <v>0.62981614055465651</v>
      </c>
      <c r="W231" s="72">
        <f t="shared" si="123"/>
        <v>0.82068750000000001</v>
      </c>
      <c r="X231" s="72">
        <f t="shared" si="124"/>
        <v>6.8393289333981144E-3</v>
      </c>
      <c r="Y231" s="72">
        <f t="shared" si="125"/>
        <v>0.23498848880602177</v>
      </c>
      <c r="Z231" s="72">
        <f t="shared" si="126"/>
        <v>0.29311398168627478</v>
      </c>
      <c r="AA231" s="72">
        <f t="shared" si="127"/>
        <v>0.38496050682163924</v>
      </c>
      <c r="AB231" s="72">
        <f t="shared" si="128"/>
        <v>2.6890977910151409E-2</v>
      </c>
      <c r="AC231" s="72"/>
      <c r="AD231" s="72"/>
      <c r="AE231" s="72">
        <f t="shared" si="129"/>
        <v>0.58704145142285291</v>
      </c>
      <c r="AF231" s="72">
        <f t="shared" si="130"/>
        <v>0.46652766968122172</v>
      </c>
      <c r="AG231" s="72">
        <f t="shared" si="131"/>
        <v>0.45304586589884471</v>
      </c>
      <c r="AH231" s="72">
        <f t="shared" si="132"/>
        <v>0.37018385944534349</v>
      </c>
      <c r="AI231" s="72">
        <f t="shared" si="133"/>
        <v>0.17931250000000001</v>
      </c>
      <c r="AJ231" s="72">
        <f>(AV231-Driver!$K$179)/(Driver!$L$179-Driver!$K$179)</f>
        <v>0.26105873821609854</v>
      </c>
      <c r="AK231" s="72">
        <f>(AW231-Driver!$K$180)/(Driver!$L$180-Driver!$K$180)</f>
        <v>0.24088409901307622</v>
      </c>
      <c r="AL231" s="72">
        <f>(AX231-Driver!$K$181)/(Driver!$L$181-Driver!$K$181)</f>
        <v>0.39480174539935498</v>
      </c>
      <c r="AM231" s="72">
        <f>(AY231-Driver!$K$182)/(Driver!$L$182-Driver!$K$182)</f>
        <v>6.2424514275407114E-2</v>
      </c>
      <c r="AN231" s="72">
        <f>(AZ231-Driver!$K$183)/(Driver!$L$183-Driver!$K$183)</f>
        <v>0.22732843137254902</v>
      </c>
      <c r="AO231" s="72"/>
      <c r="AP231" s="72"/>
      <c r="AQ231" s="72">
        <f>(BC231-Driver!$K$188)/(Driver!$L$188-Driver!$K$188)</f>
        <v>3.2958548577147077E-2</v>
      </c>
      <c r="AR231" s="72">
        <f>MIN((BD231-Driver!$K$189)/(Driver!$L$189-Driver!$K$189),100%)</f>
        <v>8.3472330318778321E-2</v>
      </c>
      <c r="AS231" s="72">
        <f>(BE231-Driver!$K$190)/(Driver!$L$190-Driver!$K$190)</f>
        <v>5.6954134101155317E-2</v>
      </c>
      <c r="AT231" s="72">
        <f>(BF231-Driver!$K$191)/(Driver!$L$191-Driver!$K$191)</f>
        <v>0.13981614055465649</v>
      </c>
      <c r="AU231" s="72">
        <f>(BG231-Driver!$K$192)/(Driver!$L$192-Driver!$K$192)</f>
        <v>7.0687499999999986E-2</v>
      </c>
      <c r="AV231" s="70">
        <f t="shared" si="134"/>
        <v>5.4945054945054936</v>
      </c>
      <c r="AW231" s="70">
        <f t="shared" si="135"/>
        <v>25.348182520533953</v>
      </c>
      <c r="AX231" s="70">
        <f t="shared" si="136"/>
        <v>4.5532157085941947</v>
      </c>
      <c r="AY231" s="70">
        <f>IFERROR(Driver!$K$19/Data!BH231/Data!BI231*Data!BK231*Data!BL231,"")</f>
        <v>7.6426231150479806E-2</v>
      </c>
      <c r="AZ231" s="70">
        <f t="shared" si="137"/>
        <v>20.718540580789277</v>
      </c>
      <c r="BA231" s="70"/>
      <c r="BB231" s="70"/>
      <c r="BC231" s="70">
        <f t="shared" si="138"/>
        <v>17.095828271078684</v>
      </c>
      <c r="BD231" s="70">
        <f t="shared" si="139"/>
        <v>9.1079762130922362</v>
      </c>
      <c r="BE231" s="70">
        <f t="shared" si="140"/>
        <v>5.712236286919832E-2</v>
      </c>
      <c r="BF231" s="70">
        <f t="shared" si="141"/>
        <v>15.791250811668789</v>
      </c>
      <c r="BG231" s="70">
        <f t="shared" si="142"/>
        <v>0.26766796874999998</v>
      </c>
      <c r="BH231" s="67">
        <f>MAX((CE231-Driver!$F$200)/(Driver!$G$200-Driver!$F$200)*$BI$1,1)</f>
        <v>4.5532157085941947</v>
      </c>
      <c r="BI231" s="67">
        <f>MAX($BI$1*(BY231-Driver!$F$201)/(Driver!$G$201-Driver!$F$201),1)</f>
        <v>6.6455696202531644</v>
      </c>
      <c r="BJ231" s="67">
        <f>(CB231-Driver!$F$206)/(Driver!$G$206-Driver!$F$206)*$BI$1</f>
        <v>5.7142857142857135</v>
      </c>
      <c r="BK231" s="67">
        <f>(CD231-Driver!$F$203)/(Driver!$G$203-Driver!$F$203)*$BI$1</f>
        <v>1.9724770642201834</v>
      </c>
      <c r="BL231" s="67">
        <f>MAX((CR231-Driver!$F$202)/(Driver!$G$202-Driver!$F$202)*$BI$1,1)</f>
        <v>5.8620689655172411</v>
      </c>
      <c r="BM231" s="67">
        <f>MAX((CH231-Driver!$F$204)/(Driver!$G$204-Driver!$F$204)*$BI$1,1)</f>
        <v>3.8461538461538463</v>
      </c>
      <c r="BN231" s="67">
        <f>(CI231-Driver!$F$205)/(Driver!$G$205-Driver!$F$205)*$BI$1</f>
        <v>3.1176470588235294</v>
      </c>
      <c r="BO231" s="67">
        <f>(CK231-Driver!$F$207)/(Driver!$G$207-Driver!$F$207)*$BI$1</f>
        <v>2.5956566701137538</v>
      </c>
      <c r="BP231" s="67">
        <f>(CM231-Driver!$F$208)/(Driver!$G$208-Driver!$F$208)*$BI$1</f>
        <v>2.1</v>
      </c>
      <c r="BQ231" s="67">
        <f>(CL231-Driver!$F$209)/(Driver!$G$209-Driver!$F$209)*$BI$1</f>
        <v>4.6875</v>
      </c>
      <c r="BR231" s="28" t="s">
        <v>155</v>
      </c>
      <c r="BS231" s="8" t="s">
        <v>245</v>
      </c>
      <c r="BT231" s="9" t="s">
        <v>337</v>
      </c>
      <c r="BU231" s="10">
        <v>170</v>
      </c>
      <c r="BV231" s="9" t="s">
        <v>163</v>
      </c>
      <c r="BW231" s="10">
        <v>170</v>
      </c>
      <c r="BX231" s="10">
        <v>168.3</v>
      </c>
      <c r="BY231" s="10">
        <v>113</v>
      </c>
      <c r="BZ231" s="10">
        <v>139</v>
      </c>
      <c r="CA231" s="10">
        <v>135</v>
      </c>
      <c r="CB231" s="10">
        <v>100</v>
      </c>
      <c r="CC231" s="10">
        <v>124</v>
      </c>
      <c r="CD231" s="10">
        <v>13.7</v>
      </c>
      <c r="CE231" s="10">
        <v>1700</v>
      </c>
      <c r="CF231" s="10">
        <v>1.1200000000000001</v>
      </c>
      <c r="CG231" s="10">
        <v>1900</v>
      </c>
      <c r="CH231" s="10">
        <v>191</v>
      </c>
      <c r="CI231" s="10">
        <v>86</v>
      </c>
      <c r="CJ231" s="10">
        <v>50</v>
      </c>
      <c r="CK231" s="10">
        <v>361</v>
      </c>
      <c r="CL231" s="10">
        <v>30</v>
      </c>
      <c r="CM231" s="10">
        <v>189</v>
      </c>
      <c r="CN231" s="10">
        <v>0.59399999999999997</v>
      </c>
      <c r="CO231" s="10">
        <v>153</v>
      </c>
      <c r="CP231" s="10">
        <v>139</v>
      </c>
      <c r="CQ231" s="10">
        <v>208</v>
      </c>
      <c r="CR231" s="10">
        <v>6</v>
      </c>
      <c r="CS231" s="10">
        <v>10.5</v>
      </c>
      <c r="CT231" s="9" t="s">
        <v>188</v>
      </c>
      <c r="CU231" s="9" t="s">
        <v>185</v>
      </c>
      <c r="CV231" s="10"/>
      <c r="CW231" s="10"/>
      <c r="CX231" t="str">
        <f>INDEX('Data_Price '!AG$2:AG$1266,MATCH(Data!$DN231,'Data_Price '!$AT$2:$AT$1266,0))</f>
        <v>Fischer Ranger 102 FR</v>
      </c>
      <c r="CY231" t="str">
        <f>INDEX('Data_Price '!AH$2:AH$1266,MATCH(Data!$DN231,'Data_Price '!$AT$2:$AT$1266,0))</f>
        <v>Gorham Bike and Ski</v>
      </c>
      <c r="CZ231">
        <f>INDEX('Data_Price '!AI$2:AI$1266,MATCH(Data!$DN231,'Data_Price '!$AT$2:$AT$1266,0))</f>
        <v>489.99</v>
      </c>
      <c r="DA231" t="str">
        <f>INDEX('Data_Price '!AJ$2:AJ$1266,MATCH(Data!$DN231,'Data_Price '!$AT$2:$AT$1266,0))</f>
        <v>https://tinyurl.com/y8lbnspq</v>
      </c>
      <c r="DB231" t="str">
        <f>INDEX('Data_Price '!AK$2:AK$1266,MATCH(Data!$DN231,'Data_Price '!$AT$2:$AT$1266,0))</f>
        <v>Fischer Ranger 102 FR</v>
      </c>
      <c r="DC231" t="str">
        <f>INDEX('Data_Price '!AL$2:AL$1266,MATCH(Data!$DN231,'Data_Price '!$AT$2:$AT$1266,0))</f>
        <v>Aistriu</v>
      </c>
      <c r="DD231">
        <f>INDEX('Data_Price '!AM$2:AM$1266,MATCH(Data!$DN231,'Data_Price '!$AT$2:$AT$1266,0))</f>
        <v>699.99</v>
      </c>
      <c r="DE231" t="str">
        <f>INDEX('Data_Price '!AN$2:AN$1266,MATCH(Data!$DN231,'Data_Price '!$AT$2:$AT$1266,0))</f>
        <v>https://tinyurl.com/ya3c6573</v>
      </c>
      <c r="DF231" t="str">
        <f>INDEX('Data_Price '!AO$2:AO$1266,MATCH(Data!$DN231,'Data_Price '!$AT$2:$AT$1266,0))</f>
        <v>Fischer Ranger 102 FR</v>
      </c>
      <c r="DG231" t="str">
        <f>INDEX('Data_Price '!AP$2:AP$1266,MATCH(Data!$DN231,'Data_Price '!$AT$2:$AT$1266,0))</f>
        <v>Curated</v>
      </c>
      <c r="DH231">
        <f>INDEX('Data_Price '!AQ$2:AQ$1266,MATCH(Data!$DN231,'Data_Price '!$AT$2:$AT$1266,0))</f>
        <v>799.99</v>
      </c>
      <c r="DI231" t="str">
        <f>INDEX('Data_Price '!AR$2:AR$1266,MATCH(Data!$DN231,'Data_Price '!$AT$2:$AT$1266,0))</f>
        <v>https://tinyurl.com/ycud2pza</v>
      </c>
      <c r="DJ231" s="89" t="str">
        <f t="shared" si="143"/>
        <v>https://tinyurl.com/y8lbnspq</v>
      </c>
      <c r="DK231" s="89" t="str">
        <f t="shared" si="144"/>
        <v>https://tinyurl.com/ya3c6573</v>
      </c>
      <c r="DL231" s="89" t="str">
        <f t="shared" si="145"/>
        <v>https://tinyurl.com/ycud2pza</v>
      </c>
      <c r="DM231" s="219" t="str">
        <f t="shared" si="146"/>
        <v>Ranger 102 FR W</v>
      </c>
      <c r="DN231" s="89" t="str">
        <f t="shared" si="147"/>
        <v xml:space="preserve"> FischerRanger 102 FR W170 Women's</v>
      </c>
      <c r="DO231" s="221"/>
    </row>
    <row r="232" spans="1:119" ht="15.6" customHeight="1">
      <c r="B232" s="219" t="b">
        <f t="array" ref="B232">IF(OR(ISERROR(K232:P232)),FALSE,TRUE)</f>
        <v>1</v>
      </c>
      <c r="C232" s="43" t="b">
        <f>OR(BR232=Driver!$G$50,Data!BR399=Driver!$H$50)</f>
        <v>1</v>
      </c>
      <c r="D232" s="43" t="b">
        <f>OR(BV232=Driver!$G$51,BV232=Driver!$H$51)</f>
        <v>1</v>
      </c>
      <c r="E232" s="43" t="b">
        <f>AND(BX232&gt;Driver!$F$54,BX232&lt;Driver!$G$54)</f>
        <v>0</v>
      </c>
      <c r="F232" s="43" t="b">
        <f>CL232&gt;Driver!$F$56</f>
        <v>1</v>
      </c>
      <c r="G232" s="43" t="b">
        <f>AND(CB232&gt;Driver!$F$55,CB232&lt;Driver!$G$55)</f>
        <v>0</v>
      </c>
      <c r="H232" s="43" t="b">
        <f t="shared" si="111"/>
        <v>0</v>
      </c>
      <c r="I232" s="43">
        <f t="shared" si="112"/>
        <v>0</v>
      </c>
      <c r="J232" s="43" t="b">
        <f t="array" ref="J232">NOT(OR(($H$9:$H$1273=TRUE)*($I$9:$I$1273&gt;0)*($BT$9:$BT$1273=BT232)*($K$9:$K$1273&gt;K232)))</f>
        <v>1</v>
      </c>
      <c r="K232" s="72">
        <f t="shared" si="113"/>
        <v>0.87990677089663261</v>
      </c>
      <c r="L232" s="72">
        <f t="shared" si="114"/>
        <v>0.9718703498019825</v>
      </c>
      <c r="M232" s="72">
        <f t="shared" si="115"/>
        <v>0.78794319199128282</v>
      </c>
      <c r="N232" s="72">
        <f t="shared" si="116"/>
        <v>0.71763666651457259</v>
      </c>
      <c r="O232" s="72">
        <f t="shared" si="117"/>
        <v>0.65047023220271916</v>
      </c>
      <c r="P232" s="72">
        <f t="shared" si="118"/>
        <v>0.99572267725655661</v>
      </c>
      <c r="Q232" s="72"/>
      <c r="R232" s="72"/>
      <c r="S232" s="72">
        <f t="shared" si="119"/>
        <v>0.45741883029976316</v>
      </c>
      <c r="T232" s="72">
        <f t="shared" si="120"/>
        <v>0.55999310142206915</v>
      </c>
      <c r="U232" s="72">
        <f t="shared" si="121"/>
        <v>0.66373259268329321</v>
      </c>
      <c r="V232" s="72">
        <f t="shared" si="122"/>
        <v>0.52908379038704556</v>
      </c>
      <c r="W232" s="72">
        <f t="shared" si="123"/>
        <v>0.77663934426229508</v>
      </c>
      <c r="X232" s="72">
        <f t="shared" si="124"/>
        <v>2.8129650198017497E-2</v>
      </c>
      <c r="Y232" s="72">
        <f t="shared" si="125"/>
        <v>0.21205680800871721</v>
      </c>
      <c r="Z232" s="72">
        <f t="shared" si="126"/>
        <v>0.28236333348542741</v>
      </c>
      <c r="AA232" s="72">
        <f t="shared" si="127"/>
        <v>0.34952976779728084</v>
      </c>
      <c r="AB232" s="72">
        <f t="shared" si="128"/>
        <v>4.2773227434433347E-3</v>
      </c>
      <c r="AC232" s="72"/>
      <c r="AD232" s="72"/>
      <c r="AE232" s="72">
        <f t="shared" si="129"/>
        <v>0.54258116970023684</v>
      </c>
      <c r="AF232" s="72">
        <f t="shared" si="130"/>
        <v>0.44000689857793085</v>
      </c>
      <c r="AG232" s="72">
        <f t="shared" si="131"/>
        <v>0.33626740731670679</v>
      </c>
      <c r="AH232" s="72">
        <f t="shared" si="132"/>
        <v>0.47091620961295449</v>
      </c>
      <c r="AI232" s="72">
        <f t="shared" si="133"/>
        <v>0.22336065573770492</v>
      </c>
      <c r="AJ232" s="72">
        <f>(AV232-Driver!$K$179)/(Driver!$L$179-Driver!$K$179)</f>
        <v>0.22608975908468293</v>
      </c>
      <c r="AK232" s="72">
        <f>(AW232-Driver!$K$180)/(Driver!$L$180-Driver!$K$180)</f>
        <v>0.26948362486359584</v>
      </c>
      <c r="AL232" s="72">
        <f>(AX232-Driver!$K$181)/(Driver!$L$181-Driver!$K$181)</f>
        <v>0.38405109719850761</v>
      </c>
      <c r="AM232" s="72">
        <f>(AY232-Driver!$K$182)/(Driver!$L$182-Driver!$K$182)</f>
        <v>9.7855253299765521E-2</v>
      </c>
      <c r="AN232" s="72">
        <f>(AZ232-Driver!$K$183)/(Driver!$L$183-Driver!$K$183)</f>
        <v>0.25849673202614376</v>
      </c>
      <c r="AO232" s="72"/>
      <c r="AP232" s="72"/>
      <c r="AQ232" s="72">
        <f>(BC232-Driver!$K$188)/(Driver!$L$188-Driver!$K$188)</f>
        <v>7.7418830299763167E-2</v>
      </c>
      <c r="AR232" s="72">
        <f>MIN((BD232-Driver!$K$189)/(Driver!$L$189-Driver!$K$189),100%)</f>
        <v>0.10999310142206919</v>
      </c>
      <c r="AS232" s="72">
        <f>(BE232-Driver!$K$190)/(Driver!$L$190-Driver!$K$190)</f>
        <v>0.17373259268329325</v>
      </c>
      <c r="AT232" s="72">
        <f>(BF232-Driver!$K$191)/(Driver!$L$191-Driver!$K$191)</f>
        <v>3.9083790387045493E-2</v>
      </c>
      <c r="AU232" s="72">
        <f>(BG232-Driver!$K$192)/(Driver!$L$192-Driver!$K$192)</f>
        <v>2.663934426229508E-2</v>
      </c>
      <c r="AV232" s="70">
        <f t="shared" si="134"/>
        <v>4.7585130918464253</v>
      </c>
      <c r="AW232" s="70">
        <f t="shared" si="135"/>
        <v>28.135459732245891</v>
      </c>
      <c r="AX232" s="70">
        <f t="shared" si="136"/>
        <v>4.4564598747865682</v>
      </c>
      <c r="AY232" s="70">
        <f>IFERROR(Driver!$K$19/Data!BH232/Data!BI232*Data!BK232*Data!BL232,"")</f>
        <v>0.11980402722849792</v>
      </c>
      <c r="AZ232" s="70">
        <f t="shared" si="137"/>
        <v>23.559195830230824</v>
      </c>
      <c r="BA232" s="70"/>
      <c r="BB232" s="70"/>
      <c r="BC232" s="70">
        <f t="shared" si="138"/>
        <v>40.157685483463752</v>
      </c>
      <c r="BD232" s="70">
        <f t="shared" si="139"/>
        <v>11.455017463707748</v>
      </c>
      <c r="BE232" s="70">
        <f t="shared" si="140"/>
        <v>0.17387998948872271</v>
      </c>
      <c r="BF232" s="70">
        <f t="shared" si="141"/>
        <v>4.414239545049222</v>
      </c>
      <c r="BG232" s="70">
        <f t="shared" si="142"/>
        <v>0.10087355144149238</v>
      </c>
      <c r="BH232" s="67">
        <f>MAX((CE232-Driver!$F$200)/(Driver!$G$200-Driver!$F$200)*$BI$1,1)</f>
        <v>4.4564598747865682</v>
      </c>
      <c r="BI232" s="67">
        <f>MAX($BI$1*(BY232-Driver!$F$201)/(Driver!$G$201-Driver!$F$201),1)</f>
        <v>7.1518987341772151</v>
      </c>
      <c r="BJ232" s="67">
        <f>(CB232-Driver!$F$206)/(Driver!$G$206-Driver!$F$206)*$BI$1</f>
        <v>3.6507936507936507</v>
      </c>
      <c r="BK232" s="67">
        <f>(CD232-Driver!$F$203)/(Driver!$G$203-Driver!$F$203)*$BI$1</f>
        <v>3.2568807339449544</v>
      </c>
      <c r="BL232" s="67">
        <f>MAX((CR232-Driver!$F$202)/(Driver!$G$202-Driver!$F$202)*$BI$1,1)</f>
        <v>5.8620689655172411</v>
      </c>
      <c r="BM232" s="67">
        <f>MAX((CH232-Driver!$F$204)/(Driver!$G$204-Driver!$F$204)*$BI$1,1)</f>
        <v>5.2136752136752138</v>
      </c>
      <c r="BN232" s="67">
        <f>(CI232-Driver!$F$205)/(Driver!$G$205-Driver!$F$205)*$BI$1</f>
        <v>3.2941176470588234</v>
      </c>
      <c r="BO232" s="67">
        <f>(CK232-Driver!$F$207)/(Driver!$G$207-Driver!$F$207)*$BI$1</f>
        <v>2.3164426059979317</v>
      </c>
      <c r="BP232" s="67">
        <f>(CM232-Driver!$F$208)/(Driver!$G$208-Driver!$F$208)*$BI$1</f>
        <v>1.7000000000000002</v>
      </c>
      <c r="BQ232" s="67">
        <f>(CL232-Driver!$F$209)/(Driver!$G$209-Driver!$F$209)*$BI$1</f>
        <v>2.34375</v>
      </c>
      <c r="BR232" s="28" t="s">
        <v>155</v>
      </c>
      <c r="BS232" s="8" t="s">
        <v>202</v>
      </c>
      <c r="BT232" s="9" t="s">
        <v>203</v>
      </c>
      <c r="BU232" s="10">
        <v>170</v>
      </c>
      <c r="BV232" s="9" t="s">
        <v>158</v>
      </c>
      <c r="BW232" s="10">
        <v>170</v>
      </c>
      <c r="BX232" s="10">
        <v>170</v>
      </c>
      <c r="BY232" s="10">
        <v>121</v>
      </c>
      <c r="BZ232" s="10">
        <v>140</v>
      </c>
      <c r="CA232" s="10">
        <v>118</v>
      </c>
      <c r="CB232" s="10">
        <v>87</v>
      </c>
      <c r="CC232" s="10">
        <v>108</v>
      </c>
      <c r="CD232" s="10">
        <v>16.5</v>
      </c>
      <c r="CE232" s="10">
        <v>1683</v>
      </c>
      <c r="CF232" s="10">
        <v>0.99</v>
      </c>
      <c r="CG232" s="10">
        <v>1668</v>
      </c>
      <c r="CH232" s="10">
        <v>223</v>
      </c>
      <c r="CI232" s="10">
        <v>89</v>
      </c>
      <c r="CJ232" s="10">
        <v>62</v>
      </c>
      <c r="CK232" s="10">
        <v>334</v>
      </c>
      <c r="CL232" s="10">
        <v>15</v>
      </c>
      <c r="CM232" s="10">
        <v>153</v>
      </c>
      <c r="CN232" s="10">
        <v>0.23400000000000001</v>
      </c>
      <c r="CO232" s="10">
        <v>187</v>
      </c>
      <c r="CP232" s="10">
        <v>117</v>
      </c>
      <c r="CQ232" s="10">
        <v>147</v>
      </c>
      <c r="CR232" s="10">
        <v>6</v>
      </c>
      <c r="CS232" s="10">
        <v>11.4</v>
      </c>
      <c r="CT232" s="9" t="s">
        <v>188</v>
      </c>
      <c r="CU232" s="10"/>
      <c r="CV232" s="10"/>
      <c r="CW232" s="10"/>
      <c r="CX232" t="str">
        <f>INDEX('Data_Price '!AG$2:AG$1266,MATCH(Data!$DN232,'Data_Price '!$AT$2:$AT$1266,0))</f>
        <v>Dynastar M-Pro 90 W Skis - Women's 2022</v>
      </c>
      <c r="CY232" t="str">
        <f>INDEX('Data_Price '!AH$2:AH$1266,MATCH(Data!$DN232,'Data_Price '!$AT$2:$AT$1266,0))</f>
        <v>Next Adventure</v>
      </c>
      <c r="CZ232">
        <f>INDEX('Data_Price '!AI$2:AI$1266,MATCH(Data!$DN232,'Data_Price '!$AT$2:$AT$1266,0))</f>
        <v>419.97</v>
      </c>
      <c r="DA232" t="str">
        <f>INDEX('Data_Price '!AJ$2:AJ$1266,MATCH(Data!$DN232,'Data_Price '!$AT$2:$AT$1266,0))</f>
        <v>https://tinyurl.com/ya9lwxv7</v>
      </c>
      <c r="DB232" t="str">
        <f>INDEX('Data_Price '!AK$2:AK$1266,MATCH(Data!$DN232,'Data_Price '!$AT$2:$AT$1266,0))</f>
        <v>Dynastar M-PRO 90 170cm</v>
      </c>
      <c r="DC232" t="str">
        <f>INDEX('Data_Price '!AL$2:AL$1266,MATCH(Data!$DN232,'Data_Price '!$AT$2:$AT$1266,0))</f>
        <v>Sundance Ski and Board Shop</v>
      </c>
      <c r="DD232">
        <f>INDEX('Data_Price '!AM$2:AM$1266,MATCH(Data!$DN232,'Data_Price '!$AT$2:$AT$1266,0))</f>
        <v>449.11</v>
      </c>
      <c r="DE232" t="str">
        <f>INDEX('Data_Price '!AN$2:AN$1266,MATCH(Data!$DN232,'Data_Price '!$AT$2:$AT$1266,0))</f>
        <v>https://tinyurl.com/ybbcsvyg</v>
      </c>
      <c r="DF232" t="str">
        <f>INDEX('Data_Price '!AO$2:AO$1266,MATCH(Data!$DN232,'Data_Price '!$AT$2:$AT$1266,0))</f>
        <v>Dynastar M-Pro 90 Skis</v>
      </c>
      <c r="DG232" t="str">
        <f>INDEX('Data_Price '!AP$2:AP$1266,MATCH(Data!$DN232,'Data_Price '!$AT$2:$AT$1266,0))</f>
        <v>Cole Sport</v>
      </c>
      <c r="DH232">
        <f>INDEX('Data_Price '!AQ$2:AQ$1266,MATCH(Data!$DN232,'Data_Price '!$AT$2:$AT$1266,0))</f>
        <v>479.96</v>
      </c>
      <c r="DI232" t="str">
        <f>INDEX('Data_Price '!AR$2:AR$1266,MATCH(Data!$DN232,'Data_Price '!$AT$2:$AT$1266,0))</f>
        <v>https://tinyurl.com/yal7uwwa</v>
      </c>
      <c r="DJ232" s="89" t="str">
        <f t="shared" si="143"/>
        <v>https://tinyurl.com/ya9lwxv7</v>
      </c>
      <c r="DK232" s="89" t="str">
        <f t="shared" si="144"/>
        <v>https://tinyurl.com/ybbcsvyg</v>
      </c>
      <c r="DL232" s="89" t="str">
        <f t="shared" si="145"/>
        <v>https://tinyurl.com/yal7uwwa</v>
      </c>
      <c r="DM232" s="219" t="str">
        <f t="shared" si="146"/>
        <v>M-Pro 90</v>
      </c>
      <c r="DN232" s="89" t="str">
        <f t="shared" si="147"/>
        <v xml:space="preserve"> DynastarM-Pro 90170 Unisex</v>
      </c>
      <c r="DO232" s="221" t="s">
        <v>204</v>
      </c>
    </row>
    <row r="233" spans="1:119" ht="15.6" customHeight="1">
      <c r="B233" s="219" t="b">
        <f t="array" ref="B233">IF(OR(ISERROR(K233:P233)),FALSE,TRUE)</f>
        <v>1</v>
      </c>
      <c r="C233" s="43" t="b">
        <f>OR(BR233=Driver!$G$50,Data!BR1155=Driver!$H$50)</f>
        <v>1</v>
      </c>
      <c r="D233" s="43" t="b">
        <f>OR(BV233=Driver!$G$51,BV233=Driver!$H$51)</f>
        <v>0</v>
      </c>
      <c r="E233" s="43" t="b">
        <f>AND(BX233&gt;Driver!$F$54,BX233&lt;Driver!$G$54)</f>
        <v>0</v>
      </c>
      <c r="F233" s="43" t="b">
        <f>CL233&gt;Driver!$F$56</f>
        <v>1</v>
      </c>
      <c r="G233" s="43" t="b">
        <f>AND(CB233&gt;Driver!$F$55,CB233&lt;Driver!$G$55)</f>
        <v>0</v>
      </c>
      <c r="H233" s="43" t="b">
        <f t="shared" si="111"/>
        <v>0</v>
      </c>
      <c r="I233" s="43">
        <f t="shared" si="112"/>
        <v>0</v>
      </c>
      <c r="J233" s="43" t="b">
        <f t="array" ref="J233">NOT(OR(($H$9:$H$1273=TRUE)*($I$9:$I$1273&gt;0)*($BT$9:$BT$1273=BT233)*($K$9:$K$1273&gt;K233)))</f>
        <v>1</v>
      </c>
      <c r="K233" s="72">
        <f t="shared" si="113"/>
        <v>0.84425723281222909</v>
      </c>
      <c r="L233" s="72">
        <f t="shared" si="114"/>
        <v>0.90144894943134357</v>
      </c>
      <c r="M233" s="72">
        <f t="shared" si="115"/>
        <v>0.78706551619311471</v>
      </c>
      <c r="N233" s="72">
        <f t="shared" si="116"/>
        <v>0.68601711298266843</v>
      </c>
      <c r="O233" s="72">
        <f t="shared" si="117"/>
        <v>0.68403192173881189</v>
      </c>
      <c r="P233" s="72">
        <f t="shared" si="118"/>
        <v>0.99114751385786382</v>
      </c>
      <c r="Q233" s="72"/>
      <c r="R233" s="72"/>
      <c r="S233" s="72">
        <f t="shared" si="119"/>
        <v>0.51587757452981942</v>
      </c>
      <c r="T233" s="72">
        <f t="shared" si="120"/>
        <v>0.49145226803172071</v>
      </c>
      <c r="U233" s="72">
        <f t="shared" si="121"/>
        <v>0.55279126200055184</v>
      </c>
      <c r="V233" s="72">
        <f t="shared" si="122"/>
        <v>0.51319433337260367</v>
      </c>
      <c r="W233" s="72">
        <f t="shared" si="123"/>
        <v>0.83190732814865076</v>
      </c>
      <c r="X233" s="72">
        <f t="shared" si="124"/>
        <v>9.8551050568656456E-2</v>
      </c>
      <c r="Y233" s="72">
        <f t="shared" si="125"/>
        <v>0.21293448380688526</v>
      </c>
      <c r="Z233" s="72">
        <f t="shared" si="126"/>
        <v>0.31398288701733151</v>
      </c>
      <c r="AA233" s="72">
        <f t="shared" si="127"/>
        <v>0.31596807826118811</v>
      </c>
      <c r="AB233" s="72">
        <f t="shared" si="128"/>
        <v>8.8524861421361845E-3</v>
      </c>
      <c r="AC233" s="72"/>
      <c r="AD233" s="72"/>
      <c r="AE233" s="72">
        <f t="shared" si="129"/>
        <v>0.48412242547018058</v>
      </c>
      <c r="AF233" s="72">
        <f t="shared" si="130"/>
        <v>0.50854773196827929</v>
      </c>
      <c r="AG233" s="72">
        <f t="shared" si="131"/>
        <v>0.44720873799944816</v>
      </c>
      <c r="AH233" s="72">
        <f t="shared" si="132"/>
        <v>0.48680566662739627</v>
      </c>
      <c r="AI233" s="72">
        <f t="shared" si="133"/>
        <v>0.16809267185134924</v>
      </c>
      <c r="AJ233" s="72">
        <f>(AV233-Driver!$K$179)/(Driver!$L$179-Driver!$K$179)</f>
        <v>0.15566835871404397</v>
      </c>
      <c r="AK233" s="72">
        <f>(AW233-Driver!$K$180)/(Driver!$L$180-Driver!$K$180)</f>
        <v>0.27710368541120978</v>
      </c>
      <c r="AL233" s="72">
        <f>(AX233-Driver!$K$181)/(Driver!$L$181-Driver!$K$181)</f>
        <v>0.41567065073041171</v>
      </c>
      <c r="AM233" s="72">
        <f>(AY233-Driver!$K$182)/(Driver!$L$182-Driver!$K$182)</f>
        <v>0.13141694283585822</v>
      </c>
      <c r="AN233" s="72">
        <f>(AZ233-Driver!$K$183)/(Driver!$L$183-Driver!$K$183)</f>
        <v>0.26307189542483661</v>
      </c>
      <c r="AO233" s="72"/>
      <c r="AP233" s="72"/>
      <c r="AQ233" s="72">
        <f>(BC233-Driver!$K$188)/(Driver!$L$188-Driver!$K$188)</f>
        <v>0.13587757452981941</v>
      </c>
      <c r="AR233" s="72">
        <f>MIN((BD233-Driver!$K$189)/(Driver!$L$189-Driver!$K$189),100%)</f>
        <v>4.1452268031720724E-2</v>
      </c>
      <c r="AS233" s="72">
        <f>(BE233-Driver!$K$190)/(Driver!$L$190-Driver!$K$190)</f>
        <v>6.2791262000551865E-2</v>
      </c>
      <c r="AT233" s="72">
        <f>(BF233-Driver!$K$191)/(Driver!$L$191-Driver!$K$191)</f>
        <v>2.3194333372603727E-2</v>
      </c>
      <c r="AU233" s="72">
        <f>(BG233-Driver!$K$192)/(Driver!$L$192-Driver!$K$192)</f>
        <v>8.1907328148650774E-2</v>
      </c>
      <c r="AV233" s="70">
        <f t="shared" si="134"/>
        <v>3.2763532763532761</v>
      </c>
      <c r="AW233" s="70">
        <f t="shared" si="135"/>
        <v>28.878102153216084</v>
      </c>
      <c r="AX233" s="70">
        <f t="shared" si="136"/>
        <v>4.7410358565737054</v>
      </c>
      <c r="AY233" s="70">
        <f>IFERROR(Driver!$K$19/Data!BH233/Data!BI233*Data!BK233*Data!BL233,"")</f>
        <v>0.16089354906233574</v>
      </c>
      <c r="AZ233" s="70">
        <f t="shared" si="137"/>
        <v>23.976172747580044</v>
      </c>
      <c r="BA233" s="70"/>
      <c r="BB233" s="70"/>
      <c r="BC233" s="70">
        <f t="shared" si="138"/>
        <v>70.480642514190578</v>
      </c>
      <c r="BD233" s="70">
        <f t="shared" si="139"/>
        <v>5.3892751558322685</v>
      </c>
      <c r="BE233" s="70">
        <f t="shared" si="140"/>
        <v>6.295844949067729E-2</v>
      </c>
      <c r="BF233" s="70">
        <f t="shared" si="141"/>
        <v>2.6196370050213544</v>
      </c>
      <c r="BG233" s="70">
        <f t="shared" si="142"/>
        <v>0.31015339559736943</v>
      </c>
      <c r="BH233" s="67">
        <f>MAX((CE233-Driver!$F$200)/(Driver!$G$200-Driver!$F$200)*$BI$1,1)</f>
        <v>4.7410358565737054</v>
      </c>
      <c r="BI233" s="67">
        <f>MAX($BI$1*(BY233-Driver!$F$201)/(Driver!$G$201-Driver!$F$201),1)</f>
        <v>7.2784810126582276</v>
      </c>
      <c r="BJ233" s="67">
        <f>(CB233-Driver!$F$206)/(Driver!$G$206-Driver!$F$206)*$BI$1</f>
        <v>3.333333333333333</v>
      </c>
      <c r="BK233" s="67">
        <f>(CD233-Driver!$F$203)/(Driver!$G$203-Driver!$F$203)*$BI$1</f>
        <v>5.3669724770642215</v>
      </c>
      <c r="BL233" s="67">
        <f>MAX((CR233-Driver!$F$202)/(Driver!$G$202-Driver!$F$202)*$BI$1,1)</f>
        <v>5.1724137931034484</v>
      </c>
      <c r="BM233" s="67">
        <f>MAX((CH233-Driver!$F$204)/(Driver!$G$204-Driver!$F$204)*$BI$1,1)</f>
        <v>3.9316239316239314</v>
      </c>
      <c r="BN233" s="67">
        <f>(CI233-Driver!$F$205)/(Driver!$G$205-Driver!$F$205)*$BI$1</f>
        <v>3.2941176470588234</v>
      </c>
      <c r="BO233" s="67">
        <f>(CK233-Driver!$F$207)/(Driver!$G$207-Driver!$F$207)*$BI$1</f>
        <v>1.6649431230610134</v>
      </c>
      <c r="BP233" s="67">
        <f>(CM233-Driver!$F$208)/(Driver!$G$208-Driver!$F$208)*$BI$1</f>
        <v>2.5333333333333337</v>
      </c>
      <c r="BQ233" s="67">
        <f>(CL233-Driver!$F$209)/(Driver!$G$209-Driver!$F$209)*$BI$1</f>
        <v>5.78125</v>
      </c>
      <c r="BR233" s="28" t="s">
        <v>155</v>
      </c>
      <c r="BS233" s="8" t="s">
        <v>229</v>
      </c>
      <c r="BT233" s="9" t="s">
        <v>445</v>
      </c>
      <c r="BU233" s="10">
        <v>172</v>
      </c>
      <c r="BV233" s="9" t="s">
        <v>163</v>
      </c>
      <c r="BW233" s="10">
        <v>172</v>
      </c>
      <c r="BX233" s="10">
        <v>172.6</v>
      </c>
      <c r="BY233" s="10">
        <v>123</v>
      </c>
      <c r="BZ233" s="10">
        <v>158</v>
      </c>
      <c r="CA233" s="10">
        <v>119</v>
      </c>
      <c r="CB233" s="10">
        <v>85</v>
      </c>
      <c r="CC233" s="10">
        <v>109</v>
      </c>
      <c r="CD233" s="10">
        <v>21.1</v>
      </c>
      <c r="CE233" s="10">
        <v>1733</v>
      </c>
      <c r="CF233" s="10">
        <v>0.95</v>
      </c>
      <c r="CG233" s="10">
        <v>1652</v>
      </c>
      <c r="CH233" s="10">
        <v>193</v>
      </c>
      <c r="CI233" s="10">
        <v>89</v>
      </c>
      <c r="CJ233" s="10">
        <v>42</v>
      </c>
      <c r="CK233" s="10">
        <v>271</v>
      </c>
      <c r="CL233" s="10">
        <v>37</v>
      </c>
      <c r="CM233" s="10">
        <v>228</v>
      </c>
      <c r="CN233" s="10">
        <v>0.88100000000000001</v>
      </c>
      <c r="CO233" s="10">
        <v>75</v>
      </c>
      <c r="CP233" s="10">
        <v>74</v>
      </c>
      <c r="CQ233" s="10">
        <v>196</v>
      </c>
      <c r="CR233" s="10">
        <v>4</v>
      </c>
      <c r="CS233" s="10">
        <v>1.7</v>
      </c>
      <c r="CT233" s="9" t="s">
        <v>184</v>
      </c>
      <c r="CU233" s="10"/>
      <c r="CV233" s="10"/>
      <c r="CW233" s="10"/>
      <c r="CX233" t="e">
        <f>INDEX('Data_Price '!AG$2:AG$1266,MATCH(Data!$DN233,'Data_Price '!$AT$2:$AT$1266,0))</f>
        <v>#N/A</v>
      </c>
      <c r="CY233" t="e">
        <f>INDEX('Data_Price '!AH$2:AH$1266,MATCH(Data!$DN233,'Data_Price '!$AT$2:$AT$1266,0))</f>
        <v>#N/A</v>
      </c>
      <c r="CZ233" t="e">
        <f>INDEX('Data_Price '!AI$2:AI$1266,MATCH(Data!$DN233,'Data_Price '!$AT$2:$AT$1266,0))</f>
        <v>#N/A</v>
      </c>
      <c r="DA233" t="e">
        <f>INDEX('Data_Price '!AJ$2:AJ$1266,MATCH(Data!$DN233,'Data_Price '!$AT$2:$AT$1266,0))</f>
        <v>#N/A</v>
      </c>
      <c r="DB233" t="e">
        <f>INDEX('Data_Price '!AK$2:AK$1266,MATCH(Data!$DN233,'Data_Price '!$AT$2:$AT$1266,0))</f>
        <v>#N/A</v>
      </c>
      <c r="DC233" t="e">
        <f>INDEX('Data_Price '!AL$2:AL$1266,MATCH(Data!$DN233,'Data_Price '!$AT$2:$AT$1266,0))</f>
        <v>#N/A</v>
      </c>
      <c r="DD233" t="e">
        <f>INDEX('Data_Price '!AM$2:AM$1266,MATCH(Data!$DN233,'Data_Price '!$AT$2:$AT$1266,0))</f>
        <v>#N/A</v>
      </c>
      <c r="DE233" t="e">
        <f>INDEX('Data_Price '!AN$2:AN$1266,MATCH(Data!$DN233,'Data_Price '!$AT$2:$AT$1266,0))</f>
        <v>#N/A</v>
      </c>
      <c r="DF233" t="e">
        <f>INDEX('Data_Price '!AO$2:AO$1266,MATCH(Data!$DN233,'Data_Price '!$AT$2:$AT$1266,0))</f>
        <v>#N/A</v>
      </c>
      <c r="DG233" t="e">
        <f>INDEX('Data_Price '!AP$2:AP$1266,MATCH(Data!$DN233,'Data_Price '!$AT$2:$AT$1266,0))</f>
        <v>#N/A</v>
      </c>
      <c r="DH233" t="e">
        <f>INDEX('Data_Price '!AQ$2:AQ$1266,MATCH(Data!$DN233,'Data_Price '!$AT$2:$AT$1266,0))</f>
        <v>#N/A</v>
      </c>
      <c r="DI233" t="e">
        <f>INDEX('Data_Price '!AR$2:AR$1266,MATCH(Data!$DN233,'Data_Price '!$AT$2:$AT$1266,0))</f>
        <v>#N/A</v>
      </c>
      <c r="DJ233" s="89" t="e">
        <f t="shared" si="143"/>
        <v>#N/A</v>
      </c>
      <c r="DK233" s="89" t="e">
        <f t="shared" si="144"/>
        <v>#N/A</v>
      </c>
      <c r="DL233" s="89" t="e">
        <f t="shared" si="145"/>
        <v>#N/A</v>
      </c>
      <c r="DM233" s="219" t="str">
        <f t="shared" si="146"/>
        <v>Bash 86 W</v>
      </c>
      <c r="DN233" s="89" t="str">
        <f t="shared" si="147"/>
        <v xml:space="preserve"> VölklBash 86 W172 Women's</v>
      </c>
      <c r="DO233" s="221" t="s">
        <v>446</v>
      </c>
    </row>
    <row r="234" spans="1:119" ht="15.6" customHeight="1">
      <c r="B234" s="219" t="b">
        <f t="array" ref="B234">IF(OR(ISERROR(K234:P234)),FALSE,TRUE)</f>
        <v>1</v>
      </c>
      <c r="C234" s="43" t="b">
        <f>OR(BR234=Driver!$G$50,Data!BR1120=Driver!$H$50)</f>
        <v>1</v>
      </c>
      <c r="D234" s="43" t="b">
        <f>OR(BV234=Driver!$G$51,BV234=Driver!$H$51)</f>
        <v>1</v>
      </c>
      <c r="E234" s="43" t="b">
        <f>AND(BX234&gt;Driver!$F$54,BX234&lt;Driver!$G$54)</f>
        <v>0</v>
      </c>
      <c r="F234" s="43" t="b">
        <f>CL234&gt;Driver!$F$56</f>
        <v>1</v>
      </c>
      <c r="G234" s="43" t="b">
        <f>AND(CB234&gt;Driver!$F$55,CB234&lt;Driver!$G$55)</f>
        <v>0</v>
      </c>
      <c r="H234" s="43" t="b">
        <f t="shared" si="111"/>
        <v>0</v>
      </c>
      <c r="I234" s="43">
        <f t="shared" si="112"/>
        <v>0</v>
      </c>
      <c r="J234" s="43" t="b">
        <f t="array" ref="J234">NOT(OR(($H$9:$H$1273=TRUE)*($I$9:$I$1273&gt;0)*($BT$9:$BT$1273=BT234)*($K$9:$K$1273&gt;K234)))</f>
        <v>1</v>
      </c>
      <c r="K234" s="72">
        <f t="shared" si="113"/>
        <v>0.90434278405969293</v>
      </c>
      <c r="L234" s="72">
        <f t="shared" si="114"/>
        <v>0.98607018681875713</v>
      </c>
      <c r="M234" s="72">
        <f t="shared" si="115"/>
        <v>0.82261538130062861</v>
      </c>
      <c r="N234" s="72">
        <f t="shared" si="116"/>
        <v>0.85107118241920809</v>
      </c>
      <c r="O234" s="72">
        <f t="shared" si="117"/>
        <v>0.64196731690585984</v>
      </c>
      <c r="P234" s="72">
        <f t="shared" si="118"/>
        <v>0.97480764457681812</v>
      </c>
      <c r="Q234" s="72"/>
      <c r="R234" s="72"/>
      <c r="S234" s="72">
        <f t="shared" si="119"/>
        <v>0.44318732754061363</v>
      </c>
      <c r="T234" s="72">
        <f t="shared" si="120"/>
        <v>0.52701054179571216</v>
      </c>
      <c r="U234" s="72">
        <f t="shared" si="121"/>
        <v>0.77491501779283933</v>
      </c>
      <c r="V234" s="72">
        <f t="shared" si="122"/>
        <v>0.52485828723331274</v>
      </c>
      <c r="W234" s="72">
        <f t="shared" si="123"/>
        <v>0.7986594460227272</v>
      </c>
      <c r="X234" s="72">
        <f t="shared" si="124"/>
        <v>1.3929813181242812E-2</v>
      </c>
      <c r="Y234" s="72">
        <f t="shared" si="125"/>
        <v>0.17738461869937136</v>
      </c>
      <c r="Z234" s="72">
        <f t="shared" si="126"/>
        <v>0.14892881758079196</v>
      </c>
      <c r="AA234" s="72">
        <f t="shared" si="127"/>
        <v>0.35803268309414016</v>
      </c>
      <c r="AB234" s="72">
        <f t="shared" si="128"/>
        <v>2.5192355423181878E-2</v>
      </c>
      <c r="AC234" s="72"/>
      <c r="AD234" s="72"/>
      <c r="AE234" s="72">
        <f t="shared" si="129"/>
        <v>0.55681267245938637</v>
      </c>
      <c r="AF234" s="72">
        <f t="shared" si="130"/>
        <v>0.47298945820428784</v>
      </c>
      <c r="AG234" s="72">
        <f t="shared" si="131"/>
        <v>0.22508498220716067</v>
      </c>
      <c r="AH234" s="72">
        <f t="shared" si="132"/>
        <v>0.47514171276668732</v>
      </c>
      <c r="AI234" s="72">
        <f t="shared" si="133"/>
        <v>0.20134055397727274</v>
      </c>
      <c r="AJ234" s="72">
        <f>(AV234-Driver!$K$179)/(Driver!$L$179-Driver!$K$179)</f>
        <v>0.26814922246394324</v>
      </c>
      <c r="AK234" s="72">
        <f>(AW234-Driver!$K$180)/(Driver!$L$180-Driver!$K$180)</f>
        <v>0.27661339673533197</v>
      </c>
      <c r="AL234" s="72">
        <f>(AX234-Driver!$K$181)/(Driver!$L$181-Driver!$K$181)</f>
        <v>0.25061658129387215</v>
      </c>
      <c r="AM234" s="72">
        <f>(AY234-Driver!$K$182)/(Driver!$L$182-Driver!$K$182)</f>
        <v>8.9352338002906179E-2</v>
      </c>
      <c r="AN234" s="72">
        <f>(AZ234-Driver!$K$183)/(Driver!$L$183-Driver!$K$183)</f>
        <v>0.2794117647058823</v>
      </c>
      <c r="AO234" s="72"/>
      <c r="AP234" s="72"/>
      <c r="AQ234" s="72">
        <f>(BC234-Driver!$K$188)/(Driver!$L$188-Driver!$K$188)</f>
        <v>6.3187327540613653E-2</v>
      </c>
      <c r="AR234" s="72">
        <f>MIN((BD234-Driver!$K$189)/(Driver!$L$189-Driver!$K$189),100%)</f>
        <v>7.701054179571222E-2</v>
      </c>
      <c r="AS234" s="72">
        <f>(BE234-Driver!$K$190)/(Driver!$L$190-Driver!$K$190)</f>
        <v>0.28491501779283934</v>
      </c>
      <c r="AT234" s="72">
        <f>(BF234-Driver!$K$191)/(Driver!$L$191-Driver!$K$191)</f>
        <v>3.485828723331269E-2</v>
      </c>
      <c r="AU234" s="72">
        <f>(BG234-Driver!$K$192)/(Driver!$L$192-Driver!$K$192)</f>
        <v>4.8659446022727267E-2</v>
      </c>
      <c r="AV234" s="70">
        <f t="shared" si="134"/>
        <v>5.6437389770723101</v>
      </c>
      <c r="AW234" s="70">
        <f t="shared" si="135"/>
        <v>28.830319177352177</v>
      </c>
      <c r="AX234" s="70">
        <f t="shared" si="136"/>
        <v>3.2555492316448493</v>
      </c>
      <c r="AY234" s="70">
        <f>IFERROR(Driver!$K$19/Data!BH234/Data!BI234*Data!BK234*Data!BL234,"")</f>
        <v>0.10939392188008135</v>
      </c>
      <c r="AZ234" s="70">
        <f t="shared" si="137"/>
        <v>25.465376023827247</v>
      </c>
      <c r="BA234" s="70"/>
      <c r="BB234" s="70"/>
      <c r="BC234" s="70">
        <f t="shared" si="138"/>
        <v>32.775706066490812</v>
      </c>
      <c r="BD234" s="70">
        <f t="shared" si="139"/>
        <v>8.5361193784126392</v>
      </c>
      <c r="BE234" s="70">
        <f t="shared" si="140"/>
        <v>0.28504258090504081</v>
      </c>
      <c r="BF234" s="70">
        <f t="shared" si="141"/>
        <v>3.9369986496748584</v>
      </c>
      <c r="BG234" s="70">
        <f t="shared" si="142"/>
        <v>0.18425570401278407</v>
      </c>
      <c r="BH234" s="67">
        <f>MAX((CE234-Driver!$F$200)/(Driver!$G$200-Driver!$F$200)*$BI$1,1)</f>
        <v>3.2555492316448493</v>
      </c>
      <c r="BI234" s="67">
        <f>MAX($BI$1*(BY234-Driver!$F$201)/(Driver!$G$201-Driver!$F$201),1)</f>
        <v>7.5949367088607591</v>
      </c>
      <c r="BJ234" s="67">
        <f>(CB234-Driver!$F$206)/(Driver!$G$206-Driver!$F$206)*$BI$1</f>
        <v>4.1269841269841265</v>
      </c>
      <c r="BK234" s="67">
        <f>(CD234-Driver!$F$203)/(Driver!$G$203-Driver!$F$203)*$BI$1</f>
        <v>2.6146788990825689</v>
      </c>
      <c r="BL234" s="67">
        <f>MAX((CR234-Driver!$F$202)/(Driver!$G$202-Driver!$F$202)*$BI$1,1)</f>
        <v>5.1724137931034484</v>
      </c>
      <c r="BM234" s="67">
        <f>MAX((CH234-Driver!$F$204)/(Driver!$G$204-Driver!$F$204)*$BI$1,1)</f>
        <v>5.4700854700854702</v>
      </c>
      <c r="BN234" s="67">
        <f>(CI234-Driver!$F$205)/(Driver!$G$205-Driver!$F$205)*$BI$1</f>
        <v>3.3529411764705879</v>
      </c>
      <c r="BO234" s="67">
        <f>(CK234-Driver!$F$207)/(Driver!$G$207-Driver!$F$207)*$BI$1</f>
        <v>1.6752843846949328</v>
      </c>
      <c r="BP234" s="67">
        <f>(CM234-Driver!$F$208)/(Driver!$G$208-Driver!$F$208)*$BI$1</f>
        <v>1.4888888888888887</v>
      </c>
      <c r="BQ234" s="67">
        <f>(CL234-Driver!$F$209)/(Driver!$G$209-Driver!$F$209)*$BI$1</f>
        <v>3.28125</v>
      </c>
      <c r="BR234" s="28" t="s">
        <v>155</v>
      </c>
      <c r="BS234" s="8" t="s">
        <v>180</v>
      </c>
      <c r="BT234" s="9" t="s">
        <v>196</v>
      </c>
      <c r="BU234" s="10">
        <v>170</v>
      </c>
      <c r="BV234" s="9" t="s">
        <v>158</v>
      </c>
      <c r="BW234" s="10">
        <v>170</v>
      </c>
      <c r="BX234" s="10">
        <v>168.5</v>
      </c>
      <c r="BY234" s="10">
        <v>128</v>
      </c>
      <c r="BZ234" s="10">
        <v>149</v>
      </c>
      <c r="CA234" s="10">
        <v>134</v>
      </c>
      <c r="CB234" s="10">
        <v>90</v>
      </c>
      <c r="CC234" s="10">
        <v>121</v>
      </c>
      <c r="CD234" s="10">
        <v>15.1</v>
      </c>
      <c r="CE234" s="10">
        <v>1472</v>
      </c>
      <c r="CF234" s="10">
        <v>1.19</v>
      </c>
      <c r="CG234" s="10">
        <v>1746</v>
      </c>
      <c r="CH234" s="10">
        <v>229</v>
      </c>
      <c r="CI234" s="10">
        <v>90</v>
      </c>
      <c r="CJ234" s="10">
        <v>57</v>
      </c>
      <c r="CK234" s="10">
        <v>272</v>
      </c>
      <c r="CL234" s="10">
        <v>21</v>
      </c>
      <c r="CM234" s="10">
        <v>134</v>
      </c>
      <c r="CN234" s="10">
        <v>0.36199999999999999</v>
      </c>
      <c r="CO234" s="10">
        <v>122</v>
      </c>
      <c r="CP234" s="10">
        <v>73</v>
      </c>
      <c r="CQ234" s="10">
        <v>150</v>
      </c>
      <c r="CR234" s="10">
        <v>4</v>
      </c>
      <c r="CS234" s="10">
        <v>12.2</v>
      </c>
      <c r="CT234" s="9" t="s">
        <v>188</v>
      </c>
      <c r="CU234" s="9" t="s">
        <v>185</v>
      </c>
      <c r="CV234" s="10"/>
      <c r="CW234" s="10"/>
      <c r="CX234" t="str">
        <f>INDEX('Data_Price '!AG$2:AG$1266,MATCH(Data!$DN234,'Data_Price '!$AT$2:$AT$1266,0))</f>
        <v>Scott Sports Ski Slight 93 Set M11 Mens Skis - Multicolour</v>
      </c>
      <c r="CY234" t="str">
        <f>INDEX('Data_Price '!AH$2:AH$1266,MATCH(Data!$DN234,'Data_Price '!$AT$2:$AT$1266,0))</f>
        <v>Bobleisure</v>
      </c>
      <c r="CZ234">
        <f>INDEX('Data_Price '!AI$2:AI$1266,MATCH(Data!$DN234,'Data_Price '!$AT$2:$AT$1266,0))</f>
        <v>557.96</v>
      </c>
      <c r="DA234" t="str">
        <f>INDEX('Data_Price '!AJ$2:AJ$1266,MATCH(Data!$DN234,'Data_Price '!$AT$2:$AT$1266,0))</f>
        <v>https://tinyurl.com/yaatl7dk</v>
      </c>
      <c r="DB234" t="str">
        <f>INDEX('Data_Price '!AK$2:AK$1266,MATCH(Data!$DN234,'Data_Price '!$AT$2:$AT$1266,0))</f>
        <v>Scott Slight 93 Skis Â· 170 cm</v>
      </c>
      <c r="DC234" t="str">
        <f>INDEX('Data_Price '!AL$2:AL$1266,MATCH(Data!$DN234,'Data_Price '!$AT$2:$AT$1266,0))</f>
        <v>Mountain Steals</v>
      </c>
      <c r="DD234">
        <f>INDEX('Data_Price '!AM$2:AM$1266,MATCH(Data!$DN234,'Data_Price '!$AT$2:$AT$1266,0))</f>
        <v>599.99</v>
      </c>
      <c r="DE234" t="str">
        <f>INDEX('Data_Price '!AN$2:AN$1266,MATCH(Data!$DN234,'Data_Price '!$AT$2:$AT$1266,0))</f>
        <v>https://tinyurl.com/ybmyps5z</v>
      </c>
      <c r="DF234" t="str">
        <f>INDEX('Data_Price '!AO$2:AO$1266,MATCH(Data!$DN234,'Data_Price '!$AT$2:$AT$1266,0))</f>
        <v>Scott Slight 93 Skis Â· 170 cm</v>
      </c>
      <c r="DG234" t="str">
        <f>INDEX('Data_Price '!AP$2:AP$1266,MATCH(Data!$DN234,'Data_Price '!$AT$2:$AT$1266,0))</f>
        <v>Moosejaw</v>
      </c>
      <c r="DH234">
        <f>INDEX('Data_Price '!AQ$2:AQ$1266,MATCH(Data!$DN234,'Data_Price '!$AT$2:$AT$1266,0))</f>
        <v>599.99</v>
      </c>
      <c r="DI234" t="str">
        <f>INDEX('Data_Price '!AR$2:AR$1266,MATCH(Data!$DN234,'Data_Price '!$AT$2:$AT$1266,0))</f>
        <v>https://tinyurl.com/y8ea6xdr</v>
      </c>
      <c r="DJ234" s="89" t="str">
        <f t="shared" si="143"/>
        <v>https://tinyurl.com/yaatl7dk</v>
      </c>
      <c r="DK234" s="89" t="str">
        <f t="shared" si="144"/>
        <v>https://tinyurl.com/ybmyps5z</v>
      </c>
      <c r="DL234" s="89" t="str">
        <f t="shared" si="145"/>
        <v>https://tinyurl.com/y8ea6xdr</v>
      </c>
      <c r="DM234" s="219" t="str">
        <f t="shared" si="146"/>
        <v>Slight 93</v>
      </c>
      <c r="DN234" s="89" t="str">
        <f t="shared" si="147"/>
        <v xml:space="preserve"> ScottSlight 93170 Unisex</v>
      </c>
      <c r="DO234" s="221"/>
    </row>
    <row r="235" spans="1:119" ht="15.6" customHeight="1">
      <c r="B235" s="219" t="b">
        <f t="array" ref="B235">IF(OR(ISERROR(K235:P235)),FALSE,TRUE)</f>
        <v>1</v>
      </c>
      <c r="C235" s="43" t="b">
        <f>OR(BR235=Driver!$G$50,Data!BR299=Driver!$H$50)</f>
        <v>1</v>
      </c>
      <c r="D235" s="43" t="b">
        <f>OR(BV235=Driver!$G$51,BV235=Driver!$H$51)</f>
        <v>0</v>
      </c>
      <c r="E235" s="43" t="b">
        <f>AND(BX235&gt;Driver!$F$54,BX235&lt;Driver!$G$54)</f>
        <v>0</v>
      </c>
      <c r="F235" s="43" t="b">
        <f>CL235&gt;Driver!$F$56</f>
        <v>1</v>
      </c>
      <c r="G235" s="43" t="b">
        <f>AND(CB235&gt;Driver!$F$55,CB235&lt;Driver!$G$55)</f>
        <v>1</v>
      </c>
      <c r="H235" s="43" t="b">
        <f t="shared" si="111"/>
        <v>0</v>
      </c>
      <c r="I235" s="43">
        <f t="shared" si="112"/>
        <v>0</v>
      </c>
      <c r="J235" s="43" t="b">
        <f t="array" ref="J235">NOT(OR(($H$9:$H$1273=TRUE)*($I$9:$I$1273&gt;0)*($BT$9:$BT$1273=BT235)*($K$9:$K$1273&gt;K235)))</f>
        <v>1</v>
      </c>
      <c r="K235" s="72">
        <f t="shared" si="113"/>
        <v>0.85833932267355917</v>
      </c>
      <c r="L235" s="72">
        <f t="shared" si="114"/>
        <v>0.98889026578096817</v>
      </c>
      <c r="M235" s="72">
        <f t="shared" si="115"/>
        <v>0.72778837956615017</v>
      </c>
      <c r="N235" s="72">
        <f t="shared" si="116"/>
        <v>0.56839237384398511</v>
      </c>
      <c r="O235" s="72">
        <f t="shared" si="117"/>
        <v>0.63509976080052299</v>
      </c>
      <c r="P235" s="72">
        <f t="shared" si="118"/>
        <v>0.97987300405394229</v>
      </c>
      <c r="Q235" s="72"/>
      <c r="R235" s="72"/>
      <c r="S235" s="72">
        <f t="shared" si="119"/>
        <v>0.45025645862694774</v>
      </c>
      <c r="T235" s="72">
        <f t="shared" si="120"/>
        <v>0.48856177979461624</v>
      </c>
      <c r="U235" s="72">
        <f t="shared" si="121"/>
        <v>0.50725685937078291</v>
      </c>
      <c r="V235" s="72">
        <f t="shared" si="122"/>
        <v>0.63666377003835417</v>
      </c>
      <c r="W235" s="72">
        <f t="shared" si="123"/>
        <v>0.81921359341059197</v>
      </c>
      <c r="X235" s="72">
        <f t="shared" si="124"/>
        <v>1.1109734219031886E-2</v>
      </c>
      <c r="Y235" s="72">
        <f t="shared" si="125"/>
        <v>0.27221162043384989</v>
      </c>
      <c r="Z235" s="72">
        <f t="shared" si="126"/>
        <v>0.43160762615601489</v>
      </c>
      <c r="AA235" s="72">
        <f t="shared" si="127"/>
        <v>0.36490023919947701</v>
      </c>
      <c r="AB235" s="72">
        <f t="shared" si="128"/>
        <v>2.0126995946057713E-2</v>
      </c>
      <c r="AC235" s="72"/>
      <c r="AD235" s="72"/>
      <c r="AE235" s="72">
        <f t="shared" si="129"/>
        <v>0.54974354137305226</v>
      </c>
      <c r="AF235" s="72">
        <f t="shared" si="130"/>
        <v>0.51143822020538376</v>
      </c>
      <c r="AG235" s="72">
        <f t="shared" si="131"/>
        <v>0.49274314062921709</v>
      </c>
      <c r="AH235" s="72">
        <f t="shared" si="132"/>
        <v>0.36333622996164583</v>
      </c>
      <c r="AI235" s="72">
        <f t="shared" si="133"/>
        <v>0.18078640658940801</v>
      </c>
      <c r="AJ235" s="72">
        <f>(AV235-Driver!$K$179)/(Driver!$L$179-Driver!$K$179)</f>
        <v>0.26532914350173231</v>
      </c>
      <c r="AK235" s="72">
        <f>(AW235-Driver!$K$180)/(Driver!$L$180-Driver!$K$180)</f>
        <v>0.29789466664351089</v>
      </c>
      <c r="AL235" s="72">
        <f>(AX235-Driver!$K$181)/(Driver!$L$181-Driver!$K$181)</f>
        <v>0.53329538986909508</v>
      </c>
      <c r="AM235" s="72">
        <f>(AY235-Driver!$K$182)/(Driver!$L$182-Driver!$K$182)</f>
        <v>8.2484781897569359E-2</v>
      </c>
      <c r="AN235" s="72">
        <f>(AZ235-Driver!$K$183)/(Driver!$L$183-Driver!$K$183)</f>
        <v>0.27434640522875814</v>
      </c>
      <c r="AO235" s="72"/>
      <c r="AP235" s="72"/>
      <c r="AQ235" s="72">
        <f>(BC235-Driver!$K$188)/(Driver!$L$188-Driver!$K$188)</f>
        <v>7.0256458626947751E-2</v>
      </c>
      <c r="AR235" s="72">
        <f>MIN((BD235-Driver!$K$189)/(Driver!$L$189-Driver!$K$189),100%)</f>
        <v>3.8561779794616224E-2</v>
      </c>
      <c r="AS235" s="72">
        <f>(BE235-Driver!$K$190)/(Driver!$L$190-Driver!$K$190)</f>
        <v>1.7256859370782907E-2</v>
      </c>
      <c r="AT235" s="72">
        <f>(BF235-Driver!$K$191)/(Driver!$L$191-Driver!$K$191)</f>
        <v>0.14666377003835421</v>
      </c>
      <c r="AU235" s="72">
        <f>(BG235-Driver!$K$192)/(Driver!$L$192-Driver!$K$192)</f>
        <v>6.9213593410591995E-2</v>
      </c>
      <c r="AV235" s="70">
        <f t="shared" si="134"/>
        <v>5.5843847510514175</v>
      </c>
      <c r="AW235" s="70">
        <f t="shared" si="135"/>
        <v>30.904367501138648</v>
      </c>
      <c r="AX235" s="70">
        <f t="shared" si="136"/>
        <v>5.7996585088218557</v>
      </c>
      <c r="AY235" s="70">
        <f>IFERROR(Driver!$K$19/Data!BH235/Data!BI235*Data!BK235*Data!BL235,"")</f>
        <v>0.10098598412617661</v>
      </c>
      <c r="AZ235" s="70">
        <f t="shared" si="137"/>
        <v>25.003723008190615</v>
      </c>
      <c r="BA235" s="70"/>
      <c r="BB235" s="70"/>
      <c r="BC235" s="70">
        <f t="shared" si="138"/>
        <v>36.442513504774332</v>
      </c>
      <c r="BD235" s="70">
        <f t="shared" si="139"/>
        <v>5.1334720684906134</v>
      </c>
      <c r="BE235" s="70">
        <f t="shared" si="140"/>
        <v>1.7432169685825949E-2</v>
      </c>
      <c r="BF235" s="70">
        <f t="shared" si="141"/>
        <v>16.564642454532638</v>
      </c>
      <c r="BG235" s="70">
        <f t="shared" si="142"/>
        <v>0.262086818151746</v>
      </c>
      <c r="BH235" s="67">
        <f>MAX((CE235-Driver!$F$200)/(Driver!$G$200-Driver!$F$200)*$BI$1,1)</f>
        <v>5.7996585088218557</v>
      </c>
      <c r="BI235" s="67">
        <f>MAX($BI$1*(BY235-Driver!$F$201)/(Driver!$G$201-Driver!$F$201),1)</f>
        <v>5.8227848101265822</v>
      </c>
      <c r="BJ235" s="67">
        <f>(CB235-Driver!$F$206)/(Driver!$G$206-Driver!$F$206)*$BI$1</f>
        <v>5.8730158730158735</v>
      </c>
      <c r="BK235" s="67">
        <f>(CD235-Driver!$F$203)/(Driver!$G$203-Driver!$F$203)*$BI$1</f>
        <v>3.5321100917431201</v>
      </c>
      <c r="BL235" s="67">
        <f>MAX((CR235-Driver!$F$202)/(Driver!$G$202-Driver!$F$202)*$BI$1,1)</f>
        <v>4.8275862068965516</v>
      </c>
      <c r="BM235" s="67">
        <f>MAX((CH235-Driver!$F$204)/(Driver!$G$204-Driver!$F$204)*$BI$1,1)</f>
        <v>3.8034188034188032</v>
      </c>
      <c r="BN235" s="67">
        <f>(CI235-Driver!$F$205)/(Driver!$G$205-Driver!$F$205)*$BI$1</f>
        <v>4.2941176470588234</v>
      </c>
      <c r="BO235" s="67">
        <f>(CK235-Driver!$F$207)/(Driver!$G$207-Driver!$F$207)*$BI$1</f>
        <v>2.8645294725956565</v>
      </c>
      <c r="BP235" s="67">
        <f>(CM235-Driver!$F$208)/(Driver!$G$208-Driver!$F$208)*$BI$1</f>
        <v>3.4777777777777779</v>
      </c>
      <c r="BQ235" s="67">
        <f>(CL235-Driver!$F$209)/(Driver!$G$209-Driver!$F$209)*$BI$1</f>
        <v>5.78125</v>
      </c>
      <c r="BR235" s="28" t="s">
        <v>155</v>
      </c>
      <c r="BS235" s="8" t="s">
        <v>317</v>
      </c>
      <c r="BT235" s="9" t="s">
        <v>447</v>
      </c>
      <c r="BU235" s="10">
        <v>172</v>
      </c>
      <c r="BV235" s="9" t="s">
        <v>163</v>
      </c>
      <c r="BW235" s="10">
        <v>172</v>
      </c>
      <c r="BX235" s="10">
        <v>170.1</v>
      </c>
      <c r="BY235" s="10">
        <v>100</v>
      </c>
      <c r="BZ235" s="10">
        <v>141</v>
      </c>
      <c r="CA235" s="10">
        <v>132</v>
      </c>
      <c r="CB235" s="10">
        <v>101</v>
      </c>
      <c r="CC235" s="10">
        <v>122</v>
      </c>
      <c r="CD235" s="10">
        <v>17.100000000000001</v>
      </c>
      <c r="CE235" s="10">
        <v>1919</v>
      </c>
      <c r="CF235" s="10">
        <v>0.99</v>
      </c>
      <c r="CG235" s="10">
        <v>1903</v>
      </c>
      <c r="CH235" s="10">
        <v>190</v>
      </c>
      <c r="CI235" s="10">
        <v>106</v>
      </c>
      <c r="CJ235" s="10">
        <v>72</v>
      </c>
      <c r="CK235" s="10">
        <v>387</v>
      </c>
      <c r="CL235" s="10">
        <v>37</v>
      </c>
      <c r="CM235" s="10">
        <v>313</v>
      </c>
      <c r="CN235" s="10">
        <v>0.51700000000000002</v>
      </c>
      <c r="CO235" s="10">
        <v>147</v>
      </c>
      <c r="CP235" s="10">
        <v>145</v>
      </c>
      <c r="CQ235" s="10">
        <v>240</v>
      </c>
      <c r="CR235" s="10">
        <v>3</v>
      </c>
      <c r="CS235" s="10">
        <v>7.5</v>
      </c>
      <c r="CT235" s="9" t="s">
        <v>188</v>
      </c>
      <c r="CU235" s="9" t="s">
        <v>169</v>
      </c>
      <c r="CV235" s="10"/>
      <c r="CW235" s="10"/>
      <c r="CX235" t="str">
        <f>INDEX('Data_Price '!AG$2:AG$1266,MATCH(Data!$DN235,'Data_Price '!$AT$2:$AT$1266,0))</f>
        <v>2023 Blizzard Sheeva 10 Women's Skis w/ Tyrolia Attack 11 GW Bindings - 172| Ski Essentials</v>
      </c>
      <c r="CY235" t="str">
        <f>INDEX('Data_Price '!AH$2:AH$1266,MATCH(Data!$DN235,'Data_Price '!$AT$2:$AT$1266,0))</f>
        <v>SkiEssentials.com</v>
      </c>
      <c r="CZ235">
        <f>INDEX('Data_Price '!AI$2:AI$1266,MATCH(Data!$DN235,'Data_Price '!$AT$2:$AT$1266,0))</f>
        <v>849.95</v>
      </c>
      <c r="DA235" t="str">
        <f>INDEX('Data_Price '!AJ$2:AJ$1266,MATCH(Data!$DN235,'Data_Price '!$AT$2:$AT$1266,0))</f>
        <v>https://tinyurl.com/ycyn3vcs</v>
      </c>
      <c r="DB235" t="str">
        <f>INDEX('Data_Price '!AK$2:AK$1266,MATCH(Data!$DN235,'Data_Price '!$AT$2:$AT$1266,0))</f>
        <v>Blizzard Sheeva 11 Woman 172</v>
      </c>
      <c r="DC235" t="str">
        <f>INDEX('Data_Price '!AL$2:AL$1266,MATCH(Data!$DN235,'Data_Price '!$AT$2:$AT$1266,0))</f>
        <v>Snowcountry.eu</v>
      </c>
      <c r="DD235">
        <f>INDEX('Data_Price '!AM$2:AM$1266,MATCH(Data!$DN235,'Data_Price '!$AT$2:$AT$1266,0))</f>
        <v>387.23</v>
      </c>
      <c r="DE235" t="str">
        <f>INDEX('Data_Price '!AN$2:AN$1266,MATCH(Data!$DN235,'Data_Price '!$AT$2:$AT$1266,0))</f>
        <v>https://tinyurl.com/y88besmj</v>
      </c>
      <c r="DF235" t="str">
        <f>INDEX('Data_Price '!AO$2:AO$1266,MATCH(Data!$DN235,'Data_Price '!$AT$2:$AT$1266,0))</f>
        <v xml:space="preserve"> 2018 Blizzard Rustler 10 Demo Ski with Bindings Size 172 (Option 211702)</v>
      </c>
      <c r="DG235" t="str">
        <f>INDEX('Data_Price '!AP$2:AP$1266,MATCH(Data!$DN235,'Data_Price '!$AT$2:$AT$1266,0))</f>
        <v>SidelineSwap</v>
      </c>
      <c r="DH235">
        <f>INDEX('Data_Price '!AQ$2:AQ$1266,MATCH(Data!$DN235,'Data_Price '!$AT$2:$AT$1266,0))</f>
        <v>399.99</v>
      </c>
      <c r="DI235" t="str">
        <f>INDEX('Data_Price '!AR$2:AR$1266,MATCH(Data!$DN235,'Data_Price '!$AT$2:$AT$1266,0))</f>
        <v>https://tinyurl.com/ybcnl8jg</v>
      </c>
      <c r="DJ235" s="89" t="str">
        <f t="shared" si="143"/>
        <v>https://tinyurl.com/ycyn3vcs</v>
      </c>
      <c r="DK235" s="89" t="str">
        <f t="shared" si="144"/>
        <v>https://tinyurl.com/y88besmj</v>
      </c>
      <c r="DL235" s="89" t="str">
        <f t="shared" si="145"/>
        <v>https://tinyurl.com/ybcnl8jg</v>
      </c>
      <c r="DM235" s="219" t="str">
        <f t="shared" si="146"/>
        <v>Sheeva 10</v>
      </c>
      <c r="DN235" s="89" t="str">
        <f t="shared" si="147"/>
        <v xml:space="preserve"> BlizzardSheeva 10172 Women's</v>
      </c>
      <c r="DO235" s="221" t="s">
        <v>448</v>
      </c>
    </row>
    <row r="236" spans="1:119" ht="15.6" customHeight="1">
      <c r="B236" s="219" t="b">
        <f t="array" ref="B236">IF(OR(ISERROR(K236:P236)),FALSE,TRUE)</f>
        <v>1</v>
      </c>
      <c r="C236" s="43" t="b">
        <f>OR(BR236=Driver!$G$50,Data!BR232=Driver!$H$50)</f>
        <v>1</v>
      </c>
      <c r="D236" s="43" t="b">
        <f>OR(BV236=Driver!$G$51,BV236=Driver!$H$51)</f>
        <v>1</v>
      </c>
      <c r="E236" s="43" t="b">
        <f>AND(BX236&gt;Driver!$F$54,BX236&lt;Driver!$G$54)</f>
        <v>0</v>
      </c>
      <c r="F236" s="43" t="b">
        <f>CL236&gt;Driver!$F$56</f>
        <v>1</v>
      </c>
      <c r="G236" s="43" t="b">
        <f>AND(CB236&gt;Driver!$F$55,CB236&lt;Driver!$G$55)</f>
        <v>0</v>
      </c>
      <c r="H236" s="43" t="b">
        <f t="shared" si="111"/>
        <v>0</v>
      </c>
      <c r="I236" s="43">
        <f t="shared" si="112"/>
        <v>0</v>
      </c>
      <c r="J236" s="43" t="b">
        <f t="array" ref="J236">NOT(OR(($H$9:$H$1273=TRUE)*($I$9:$I$1273&gt;0)*($BT$9:$BT$1273=BT236)*($K$9:$K$1273&gt;K236)))</f>
        <v>1</v>
      </c>
      <c r="K236" s="72">
        <f t="shared" si="113"/>
        <v>0.89938646411425704</v>
      </c>
      <c r="L236" s="72">
        <f t="shared" si="114"/>
        <v>0.98943541305232485</v>
      </c>
      <c r="M236" s="72">
        <f t="shared" si="115"/>
        <v>0.80933751517618924</v>
      </c>
      <c r="N236" s="72">
        <f t="shared" si="116"/>
        <v>0.78530251107284743</v>
      </c>
      <c r="O236" s="72">
        <f t="shared" si="117"/>
        <v>0.68475624112404165</v>
      </c>
      <c r="P236" s="72">
        <f t="shared" si="118"/>
        <v>0.95795379333167863</v>
      </c>
      <c r="Q236" s="72"/>
      <c r="R236" s="72"/>
      <c r="S236" s="72">
        <f t="shared" si="119"/>
        <v>0.44295338270859719</v>
      </c>
      <c r="T236" s="72">
        <f t="shared" si="120"/>
        <v>0.46555051969733074</v>
      </c>
      <c r="U236" s="72">
        <f t="shared" si="121"/>
        <v>0.62337647860653511</v>
      </c>
      <c r="V236" s="72">
        <f t="shared" si="122"/>
        <v>0.55161679488542514</v>
      </c>
      <c r="W236" s="72">
        <f t="shared" si="123"/>
        <v>0.80078983516483515</v>
      </c>
      <c r="X236" s="72">
        <f t="shared" si="124"/>
        <v>1.0564586947675092E-2</v>
      </c>
      <c r="Y236" s="72">
        <f t="shared" si="125"/>
        <v>0.19066248482381076</v>
      </c>
      <c r="Z236" s="72">
        <f t="shared" si="126"/>
        <v>0.21469748892715257</v>
      </c>
      <c r="AA236" s="72">
        <f t="shared" si="127"/>
        <v>0.31524375887595835</v>
      </c>
      <c r="AB236" s="72">
        <f t="shared" si="128"/>
        <v>4.2046206668321373E-2</v>
      </c>
      <c r="AC236" s="72"/>
      <c r="AD236" s="72"/>
      <c r="AE236" s="72">
        <f t="shared" si="129"/>
        <v>0.55704661729140281</v>
      </c>
      <c r="AF236" s="72">
        <f t="shared" si="130"/>
        <v>0.53444948030266926</v>
      </c>
      <c r="AG236" s="72">
        <f t="shared" si="131"/>
        <v>0.37662352139346489</v>
      </c>
      <c r="AH236" s="72">
        <f t="shared" si="132"/>
        <v>0.44838320511457491</v>
      </c>
      <c r="AI236" s="72">
        <f t="shared" si="133"/>
        <v>0.19921016483516485</v>
      </c>
      <c r="AJ236" s="72">
        <f>(AV236-Driver!$K$179)/(Driver!$L$179-Driver!$K$179)</f>
        <v>0.24365482233502533</v>
      </c>
      <c r="AK236" s="72">
        <f>(AW236-Driver!$K$180)/(Driver!$L$180-Driver!$K$180)</f>
        <v>0.22034589084931655</v>
      </c>
      <c r="AL236" s="72">
        <f>(AX236-Driver!$K$181)/(Driver!$L$181-Driver!$K$181)</f>
        <v>0.31638525264023276</v>
      </c>
      <c r="AM236" s="72">
        <f>(AY236-Driver!$K$182)/(Driver!$L$182-Driver!$K$182)</f>
        <v>0.13214126222108805</v>
      </c>
      <c r="AN236" s="72">
        <f>(AZ236-Driver!$K$183)/(Driver!$L$183-Driver!$K$183)</f>
        <v>0.21217320261437905</v>
      </c>
      <c r="AO236" s="72"/>
      <c r="AP236" s="72"/>
      <c r="AQ236" s="72">
        <f>(BC236-Driver!$K$188)/(Driver!$L$188-Driver!$K$188)</f>
        <v>6.2953382708597211E-2</v>
      </c>
      <c r="AR236" s="72">
        <f>MIN((BD236-Driver!$K$189)/(Driver!$L$189-Driver!$K$189),100%)</f>
        <v>1.5550519697330817E-2</v>
      </c>
      <c r="AS236" s="72">
        <f>(BE236-Driver!$K$190)/(Driver!$L$190-Driver!$K$190)</f>
        <v>0.13337647860653515</v>
      </c>
      <c r="AT236" s="72">
        <f>(BF236-Driver!$K$191)/(Driver!$L$191-Driver!$K$191)</f>
        <v>6.1616794885425118E-2</v>
      </c>
      <c r="AU236" s="72">
        <f>(BG236-Driver!$K$192)/(Driver!$L$192-Driver!$K$192)</f>
        <v>5.0789835164835158E-2</v>
      </c>
      <c r="AV236" s="70">
        <f t="shared" si="134"/>
        <v>5.1282051282051277</v>
      </c>
      <c r="AW236" s="70">
        <f t="shared" si="135"/>
        <v>23.346552147937988</v>
      </c>
      <c r="AX236" s="70">
        <f t="shared" si="136"/>
        <v>3.8474672737620947</v>
      </c>
      <c r="AY236" s="70">
        <f>IFERROR(Driver!$K$19/Data!BH236/Data!BI236*Data!BK236*Data!BL236,"")</f>
        <v>0.1617803321059029</v>
      </c>
      <c r="AZ236" s="70">
        <f t="shared" si="137"/>
        <v>19.33730454206999</v>
      </c>
      <c r="BA236" s="70"/>
      <c r="BB236" s="70"/>
      <c r="BC236" s="70">
        <f t="shared" si="138"/>
        <v>32.654357255765795</v>
      </c>
      <c r="BD236" s="70">
        <f t="shared" si="139"/>
        <v>3.0970163234210499</v>
      </c>
      <c r="BE236" s="70">
        <f t="shared" si="140"/>
        <v>0.1335310744884885</v>
      </c>
      <c r="BF236" s="70">
        <f t="shared" si="141"/>
        <v>6.9591840998252561</v>
      </c>
      <c r="BG236" s="70">
        <f t="shared" si="142"/>
        <v>0.19232271634615383</v>
      </c>
      <c r="BH236" s="67">
        <f>MAX((CE236-Driver!$F$200)/(Driver!$G$200-Driver!$F$200)*$BI$1,1)</f>
        <v>3.8474672737620947</v>
      </c>
      <c r="BI236" s="67">
        <f>MAX($BI$1*(BY236-Driver!$F$201)/(Driver!$G$201-Driver!$F$201),1)</f>
        <v>6.7088607594936711</v>
      </c>
      <c r="BJ236" s="67">
        <f>(CB236-Driver!$F$206)/(Driver!$G$206-Driver!$F$206)*$BI$1</f>
        <v>5.7142857142857135</v>
      </c>
      <c r="BK236" s="67">
        <f>(CD236-Driver!$F$203)/(Driver!$G$203-Driver!$F$203)*$BI$1</f>
        <v>4.0366972477064227</v>
      </c>
      <c r="BL236" s="67">
        <f>MAX((CR236-Driver!$F$202)/(Driver!$G$202-Driver!$F$202)*$BI$1,1)</f>
        <v>5.1724137931034484</v>
      </c>
      <c r="BM236" s="67">
        <f>MAX((CH236-Driver!$F$204)/(Driver!$G$204-Driver!$F$204)*$BI$1,1)</f>
        <v>3.5897435897435899</v>
      </c>
      <c r="BN236" s="67">
        <f>(CI236-Driver!$F$205)/(Driver!$G$205-Driver!$F$205)*$BI$1</f>
        <v>2.8823529411764701</v>
      </c>
      <c r="BO236" s="67">
        <f>(CK236-Driver!$F$207)/(Driver!$G$207-Driver!$F$207)*$BI$1</f>
        <v>2.0579110651499484</v>
      </c>
      <c r="BP236" s="67">
        <f>(CM236-Driver!$F$208)/(Driver!$G$208-Driver!$F$208)*$BI$1</f>
        <v>2.3888888888888888</v>
      </c>
      <c r="BQ236" s="67">
        <f>(CL236-Driver!$F$209)/(Driver!$G$209-Driver!$F$209)*$BI$1</f>
        <v>2.65625</v>
      </c>
      <c r="BR236" s="28" t="s">
        <v>155</v>
      </c>
      <c r="BS236" s="8" t="s">
        <v>237</v>
      </c>
      <c r="BT236" s="9" t="s">
        <v>238</v>
      </c>
      <c r="BU236" s="10">
        <v>167.1</v>
      </c>
      <c r="BV236" s="9" t="s">
        <v>158</v>
      </c>
      <c r="BW236" s="10">
        <v>167.1</v>
      </c>
      <c r="BX236" s="10">
        <v>166.5</v>
      </c>
      <c r="BY236" s="10">
        <v>114</v>
      </c>
      <c r="BZ236" s="10">
        <v>140</v>
      </c>
      <c r="CA236" s="10">
        <v>137</v>
      </c>
      <c r="CB236" s="10">
        <v>100</v>
      </c>
      <c r="CC236" s="10">
        <v>117</v>
      </c>
      <c r="CD236" s="10">
        <v>18.2</v>
      </c>
      <c r="CE236" s="10">
        <v>1576</v>
      </c>
      <c r="CF236" s="10">
        <v>1.17</v>
      </c>
      <c r="CG236" s="10">
        <v>1847</v>
      </c>
      <c r="CH236" s="10">
        <v>185</v>
      </c>
      <c r="CI236" s="10">
        <v>82</v>
      </c>
      <c r="CJ236" s="10">
        <v>46</v>
      </c>
      <c r="CK236" s="10">
        <v>309</v>
      </c>
      <c r="CL236" s="10">
        <v>17</v>
      </c>
      <c r="CM236" s="10">
        <v>215</v>
      </c>
      <c r="CN236" s="10">
        <v>0.36099999999999999</v>
      </c>
      <c r="CO236" s="10">
        <v>138</v>
      </c>
      <c r="CP236" s="10">
        <v>122</v>
      </c>
      <c r="CQ236" s="10">
        <v>171</v>
      </c>
      <c r="CR236" s="10">
        <v>4</v>
      </c>
      <c r="CS236" s="10">
        <v>9.3000000000000007</v>
      </c>
      <c r="CT236" s="9" t="s">
        <v>188</v>
      </c>
      <c r="CU236" s="9" t="s">
        <v>169</v>
      </c>
      <c r="CV236" s="9" t="s">
        <v>178</v>
      </c>
      <c r="CW236" s="9" t="s">
        <v>185</v>
      </c>
      <c r="CX236" t="str">
        <f>INDEX('Data_Price '!AG$2:AG$1266,MATCH(Data!$DN236,'Data_Price '!$AT$2:$AT$1266,0))</f>
        <v>2022 Black Crows Navis Freebird Skis w/ Marker Kingpin13 Bindings - 167| Ski Essentials</v>
      </c>
      <c r="CY236" t="str">
        <f>INDEX('Data_Price '!AH$2:AH$1266,MATCH(Data!$DN236,'Data_Price '!$AT$2:$AT$1266,0))</f>
        <v>SkiEssentials.com</v>
      </c>
      <c r="CZ236">
        <f>INDEX('Data_Price '!AI$2:AI$1266,MATCH(Data!$DN236,'Data_Price '!$AT$2:$AT$1266,0))</f>
        <v>1058.96</v>
      </c>
      <c r="DA236" t="str">
        <f>INDEX('Data_Price '!AJ$2:AJ$1266,MATCH(Data!$DN236,'Data_Price '!$AT$2:$AT$1266,0))</f>
        <v>https://tinyurl.com/ydezddx7</v>
      </c>
      <c r="DB236" t="str">
        <f>INDEX('Data_Price '!AK$2:AK$1266,MATCH(Data!$DN236,'Data_Price '!$AT$2:$AT$1266,0))</f>
        <v>Black Crows Pilus Navis Freebird Skins</v>
      </c>
      <c r="DC236" t="str">
        <f>INDEX('Data_Price '!AL$2:AL$1266,MATCH(Data!$DN236,'Data_Price '!$AT$2:$AT$1266,0))</f>
        <v>Teton Wasatch Ski Co.</v>
      </c>
      <c r="DD236">
        <f>INDEX('Data_Price '!AM$2:AM$1266,MATCH(Data!$DN236,'Data_Price '!$AT$2:$AT$1266,0))</f>
        <v>175</v>
      </c>
      <c r="DE236" t="str">
        <f>INDEX('Data_Price '!AN$2:AN$1266,MATCH(Data!$DN236,'Data_Price '!$AT$2:$AT$1266,0))</f>
        <v>https://tinyurl.com/yd8zbfve</v>
      </c>
      <c r="DF236" t="str">
        <f>INDEX('Data_Price '!AO$2:AO$1266,MATCH(Data!$DN236,'Data_Price '!$AT$2:$AT$1266,0))</f>
        <v>Black Crows Pilus Navis Freebird Skins</v>
      </c>
      <c r="DG236" t="str">
        <f>INDEX('Data_Price '!AP$2:AP$1266,MATCH(Data!$DN236,'Data_Price '!$AT$2:$AT$1266,0))</f>
        <v>Next Adventure</v>
      </c>
      <c r="DH236">
        <f>INDEX('Data_Price '!AQ$2:AQ$1266,MATCH(Data!$DN236,'Data_Price '!$AT$2:$AT$1266,0))</f>
        <v>175.96</v>
      </c>
      <c r="DI236" t="str">
        <f>INDEX('Data_Price '!AR$2:AR$1266,MATCH(Data!$DN236,'Data_Price '!$AT$2:$AT$1266,0))</f>
        <v>https://tinyurl.com/ya8383fv</v>
      </c>
      <c r="DJ236" s="89" t="str">
        <f t="shared" si="143"/>
        <v>https://tinyurl.com/ydezddx7</v>
      </c>
      <c r="DK236" s="89" t="str">
        <f t="shared" si="144"/>
        <v>https://tinyurl.com/yd8zbfve</v>
      </c>
      <c r="DL236" s="89" t="str">
        <f t="shared" si="145"/>
        <v>https://tinyurl.com/ya8383fv</v>
      </c>
      <c r="DM236" s="219" t="str">
        <f t="shared" si="146"/>
        <v>Navis Freebird</v>
      </c>
      <c r="DN236" s="89" t="str">
        <f t="shared" si="147"/>
        <v xml:space="preserve"> Black CrowsNavis Freebird167.1 Unisex</v>
      </c>
      <c r="DO236" s="221" t="s">
        <v>239</v>
      </c>
    </row>
    <row r="237" spans="1:119" ht="15.6" customHeight="1">
      <c r="B237" s="219" t="b">
        <f t="array" ref="B237">IF(OR(ISERROR(K237:P237)),FALSE,TRUE)</f>
        <v>1</v>
      </c>
      <c r="C237" s="43" t="b">
        <f>OR(BR237=Driver!$G$50,Data!BR331=Driver!$H$50)</f>
        <v>1</v>
      </c>
      <c r="D237" s="43" t="b">
        <f>OR(BV237=Driver!$G$51,BV237=Driver!$H$51)</f>
        <v>1</v>
      </c>
      <c r="E237" s="43" t="b">
        <f>AND(BX237&gt;Driver!$F$54,BX237&lt;Driver!$G$54)</f>
        <v>0</v>
      </c>
      <c r="F237" s="43" t="b">
        <f>CL237&gt;Driver!$F$56</f>
        <v>1</v>
      </c>
      <c r="G237" s="43" t="b">
        <f>AND(CB237&gt;Driver!$F$55,CB237&lt;Driver!$G$55)</f>
        <v>0</v>
      </c>
      <c r="H237" s="43" t="b">
        <f t="shared" si="111"/>
        <v>0</v>
      </c>
      <c r="I237" s="43">
        <f t="shared" si="112"/>
        <v>0</v>
      </c>
      <c r="J237" s="43" t="b">
        <f t="array" ref="J237">NOT(OR(($H$9:$H$1273=TRUE)*($I$9:$I$1273&gt;0)*($BT$9:$BT$1273=BT237)*($K$9:$K$1273&gt;K237)))</f>
        <v>1</v>
      </c>
      <c r="K237" s="72">
        <f t="shared" si="113"/>
        <v>0.85437676121991935</v>
      </c>
      <c r="L237" s="72">
        <f t="shared" si="114"/>
        <v>0.84764459661651725</v>
      </c>
      <c r="M237" s="72">
        <f t="shared" si="115"/>
        <v>0.86110892582332133</v>
      </c>
      <c r="N237" s="72">
        <f t="shared" si="116"/>
        <v>0.91304550734174017</v>
      </c>
      <c r="O237" s="72">
        <f t="shared" si="117"/>
        <v>0.80180532489781087</v>
      </c>
      <c r="P237" s="72">
        <f t="shared" si="118"/>
        <v>0.86847594523041283</v>
      </c>
      <c r="Q237" s="72"/>
      <c r="R237" s="72"/>
      <c r="S237" s="72">
        <f t="shared" si="119"/>
        <v>0.59156779058431808</v>
      </c>
      <c r="T237" s="72">
        <f t="shared" si="120"/>
        <v>0.46858690616217513</v>
      </c>
      <c r="U237" s="72">
        <f t="shared" si="121"/>
        <v>0.69654687848352936</v>
      </c>
      <c r="V237" s="72">
        <f t="shared" si="122"/>
        <v>0.50659881201910162</v>
      </c>
      <c r="W237" s="72">
        <f t="shared" si="123"/>
        <v>0.76851265822784809</v>
      </c>
      <c r="X237" s="72">
        <f t="shared" si="124"/>
        <v>0.15235540338348275</v>
      </c>
      <c r="Y237" s="72">
        <f t="shared" si="125"/>
        <v>0.1388910741766787</v>
      </c>
      <c r="Z237" s="72">
        <f t="shared" si="126"/>
        <v>8.6954492658259844E-2</v>
      </c>
      <c r="AA237" s="72">
        <f t="shared" si="127"/>
        <v>0.19819467510218911</v>
      </c>
      <c r="AB237" s="72">
        <f t="shared" si="128"/>
        <v>0.13152405476958717</v>
      </c>
      <c r="AC237" s="72"/>
      <c r="AD237" s="72"/>
      <c r="AE237" s="72">
        <f t="shared" si="129"/>
        <v>0.40843220941568192</v>
      </c>
      <c r="AF237" s="72">
        <f t="shared" si="130"/>
        <v>0.53141309383782487</v>
      </c>
      <c r="AG237" s="72">
        <f t="shared" si="131"/>
        <v>0.30345312151647064</v>
      </c>
      <c r="AH237" s="72">
        <f t="shared" si="132"/>
        <v>0.49340118798089844</v>
      </c>
      <c r="AI237" s="72">
        <f t="shared" si="133"/>
        <v>0.23148734177215191</v>
      </c>
      <c r="AJ237" s="72">
        <f>(AV237-Driver!$K$179)/(Driver!$L$179-Driver!$K$179)</f>
        <v>0.40657481266618317</v>
      </c>
      <c r="AK237" s="72">
        <f>(AW237-Driver!$K$180)/(Driver!$L$180-Driver!$K$180)</f>
        <v>0.37233492192486117</v>
      </c>
      <c r="AL237" s="72">
        <f>(AX237-Driver!$K$181)/(Driver!$L$181-Driver!$K$181)</f>
        <v>0.18864225637134002</v>
      </c>
      <c r="AM237" s="72">
        <f>(AY237-Driver!$K$182)/(Driver!$L$182-Driver!$K$182)</f>
        <v>0.24919034599485726</v>
      </c>
      <c r="AN237" s="72">
        <f>(AZ237-Driver!$K$183)/(Driver!$L$183-Driver!$K$183)</f>
        <v>0.3857434640522876</v>
      </c>
      <c r="AO237" s="72"/>
      <c r="AP237" s="72"/>
      <c r="AQ237" s="72">
        <f>(BC237-Driver!$K$188)/(Driver!$L$188-Driver!$K$188)</f>
        <v>0.21156779058431804</v>
      </c>
      <c r="AR237" s="72">
        <f>MIN((BD237-Driver!$K$189)/(Driver!$L$189-Driver!$K$189),100%)</f>
        <v>1.8586906162175124E-2</v>
      </c>
      <c r="AS237" s="72">
        <f>(BE237-Driver!$K$190)/(Driver!$L$190-Driver!$K$190)</f>
        <v>0.81345312151647065</v>
      </c>
      <c r="AT237" s="72">
        <f>(BF237-Driver!$K$191)/(Driver!$L$191-Driver!$K$191)</f>
        <v>1.6598812019101582E-2</v>
      </c>
      <c r="AU237" s="72">
        <f>(BG237-Driver!$K$192)/(Driver!$L$192-Driver!$K$192)</f>
        <v>1.8512658227848096E-2</v>
      </c>
      <c r="AV237" s="70">
        <f t="shared" si="134"/>
        <v>8.5571835571835564</v>
      </c>
      <c r="AW237" s="70">
        <f t="shared" si="135"/>
        <v>38.15922998606888</v>
      </c>
      <c r="AX237" s="70">
        <f t="shared" si="136"/>
        <v>2.6977803073420601</v>
      </c>
      <c r="AY237" s="70">
        <f>IFERROR(Driver!$K$19/Data!BH237/Data!BI237*Data!BK237*Data!BL237,"")</f>
        <v>0.30508333472085791</v>
      </c>
      <c r="AZ237" s="70">
        <f t="shared" si="137"/>
        <v>35.15636634400596</v>
      </c>
      <c r="BA237" s="70"/>
      <c r="BB237" s="70"/>
      <c r="BC237" s="70">
        <f t="shared" si="138"/>
        <v>109.74168377150434</v>
      </c>
      <c r="BD237" s="70">
        <f t="shared" si="139"/>
        <v>3.3657311454013161</v>
      </c>
      <c r="BE237" s="70">
        <f t="shared" si="140"/>
        <v>0.81348639937991751</v>
      </c>
      <c r="BF237" s="70">
        <f t="shared" si="141"/>
        <v>1.8747192043032395</v>
      </c>
      <c r="BG237" s="70">
        <f t="shared" si="142"/>
        <v>7.0100733849847219E-2</v>
      </c>
      <c r="BH237" s="67">
        <f>MAX((CE237-Driver!$F$200)/(Driver!$G$200-Driver!$F$200)*$BI$1,1)</f>
        <v>2.6977803073420601</v>
      </c>
      <c r="BI237" s="67">
        <f>MAX($BI$1*(BY237-Driver!$F$201)/(Driver!$G$201-Driver!$F$201),1)</f>
        <v>8.4177215189873422</v>
      </c>
      <c r="BJ237" s="67">
        <f>(CB237-Driver!$F$206)/(Driver!$G$206-Driver!$F$206)*$BI$1</f>
        <v>4.6031746031746028</v>
      </c>
      <c r="BK237" s="67">
        <f>(CD237-Driver!$F$203)/(Driver!$G$203-Driver!$F$203)*$BI$1</f>
        <v>6.6972477064220195</v>
      </c>
      <c r="BL237" s="67">
        <f>MAX((CR237-Driver!$F$202)/(Driver!$G$202-Driver!$F$202)*$BI$1,1)</f>
        <v>5.1724137931034484</v>
      </c>
      <c r="BM237" s="67">
        <f>MAX((CH237-Driver!$F$204)/(Driver!$G$204-Driver!$F$204)*$BI$1,1)</f>
        <v>7.4358974358974361</v>
      </c>
      <c r="BN237" s="67">
        <f>(CI237-Driver!$F$205)/(Driver!$G$205-Driver!$F$205)*$BI$1</f>
        <v>4.1764705882352944</v>
      </c>
      <c r="BO237" s="67">
        <f>(CK237-Driver!$F$207)/(Driver!$G$207-Driver!$F$207)*$BI$1</f>
        <v>1.7166494312306102</v>
      </c>
      <c r="BP237" s="67">
        <f>(CM237-Driver!$F$208)/(Driver!$G$208-Driver!$F$208)*$BI$1</f>
        <v>1.5888888888888888</v>
      </c>
      <c r="BQ237" s="67">
        <f>(CL237-Driver!$F$209)/(Driver!$G$209-Driver!$F$209)*$BI$1</f>
        <v>1.40625</v>
      </c>
      <c r="BR237" s="28" t="s">
        <v>155</v>
      </c>
      <c r="BS237" s="8" t="s">
        <v>317</v>
      </c>
      <c r="BT237" s="9" t="s">
        <v>449</v>
      </c>
      <c r="BU237" s="10">
        <v>185</v>
      </c>
      <c r="BV237" s="9" t="s">
        <v>158</v>
      </c>
      <c r="BW237" s="10">
        <v>185</v>
      </c>
      <c r="BX237" s="10">
        <v>182.7</v>
      </c>
      <c r="BY237" s="10">
        <v>141</v>
      </c>
      <c r="BZ237" s="10">
        <v>156</v>
      </c>
      <c r="CA237" s="10">
        <v>127</v>
      </c>
      <c r="CB237" s="10">
        <v>93</v>
      </c>
      <c r="CC237" s="10">
        <v>110</v>
      </c>
      <c r="CD237" s="10">
        <v>24</v>
      </c>
      <c r="CE237" s="10">
        <v>1374</v>
      </c>
      <c r="CF237" s="10">
        <v>1.36</v>
      </c>
      <c r="CG237" s="10">
        <v>1865</v>
      </c>
      <c r="CH237" s="10">
        <v>275</v>
      </c>
      <c r="CI237" s="10">
        <v>104</v>
      </c>
      <c r="CJ237" s="10">
        <v>56</v>
      </c>
      <c r="CK237" s="10">
        <v>276</v>
      </c>
      <c r="CL237" s="10">
        <v>9</v>
      </c>
      <c r="CM237" s="10">
        <v>143</v>
      </c>
      <c r="CN237" s="10">
        <v>0.16700000000000001</v>
      </c>
      <c r="CO237" s="10">
        <v>134</v>
      </c>
      <c r="CP237" s="10">
        <v>137</v>
      </c>
      <c r="CQ237" s="10">
        <v>142</v>
      </c>
      <c r="CR237" s="10">
        <v>4</v>
      </c>
      <c r="CS237" s="10">
        <v>10.8</v>
      </c>
      <c r="CT237" s="9" t="s">
        <v>185</v>
      </c>
      <c r="CU237" s="9" t="s">
        <v>198</v>
      </c>
      <c r="CV237" s="10"/>
      <c r="CW237" s="10"/>
      <c r="CX237" t="str">
        <f>INDEX('Data_Price '!AG$2:AG$1266,MATCH(Data!$DN237,'Data_Price '!$AT$2:$AT$1266,0))</f>
        <v>2022 Blizzard Zero G 95 Skis w/ Marker Kingpin 13 Binding - Green - 185| Ski Essentials</v>
      </c>
      <c r="CY237" t="str">
        <f>INDEX('Data_Price '!AH$2:AH$1266,MATCH(Data!$DN237,'Data_Price '!$AT$2:$AT$1266,0))</f>
        <v>SkiEssentials.com</v>
      </c>
      <c r="CZ237">
        <f>INDEX('Data_Price '!AI$2:AI$1266,MATCH(Data!$DN237,'Data_Price '!$AT$2:$AT$1266,0))</f>
        <v>1050</v>
      </c>
      <c r="DA237" t="str">
        <f>INDEX('Data_Price '!AJ$2:AJ$1266,MATCH(Data!$DN237,'Data_Price '!$AT$2:$AT$1266,0))</f>
        <v>https://tinyurl.com/ychdmvb4</v>
      </c>
      <c r="DB237" t="str">
        <f>INDEX('Data_Price '!AK$2:AK$1266,MATCH(Data!$DN237,'Data_Price '!$AT$2:$AT$1266,0))</f>
        <v>Blizzard Zero G 95 Skis (2021) GREEN / 185</v>
      </c>
      <c r="DC237" t="str">
        <f>INDEX('Data_Price '!AL$2:AL$1266,MATCH(Data!$DN237,'Data_Price '!$AT$2:$AT$1266,0))</f>
        <v>Neptune Mountaineering</v>
      </c>
      <c r="DD237">
        <f>INDEX('Data_Price '!AM$2:AM$1266,MATCH(Data!$DN237,'Data_Price '!$AT$2:$AT$1266,0))</f>
        <v>490</v>
      </c>
      <c r="DE237" t="str">
        <f>INDEX('Data_Price '!AN$2:AN$1266,MATCH(Data!$DN237,'Data_Price '!$AT$2:$AT$1266,0))</f>
        <v>https://tinyurl.com/y9nqv62d</v>
      </c>
      <c r="DF237" t="str">
        <f>INDEX('Data_Price '!AO$2:AO$1266,MATCH(Data!$DN237,'Data_Price '!$AT$2:$AT$1266,0))</f>
        <v>Blizzard Zero G 95 Flat Skis - Unisex</v>
      </c>
      <c r="DG237" t="str">
        <f>INDEX('Data_Price '!AP$2:AP$1266,MATCH(Data!$DN237,'Data_Price '!$AT$2:$AT$1266,0))</f>
        <v>Level Nine Sports</v>
      </c>
      <c r="DH237">
        <f>INDEX('Data_Price '!AQ$2:AQ$1266,MATCH(Data!$DN237,'Data_Price '!$AT$2:$AT$1266,0))</f>
        <v>559.95000000000005</v>
      </c>
      <c r="DI237" t="str">
        <f>INDEX('Data_Price '!AR$2:AR$1266,MATCH(Data!$DN237,'Data_Price '!$AT$2:$AT$1266,0))</f>
        <v>https://tinyurl.com/y9n5ntvm</v>
      </c>
      <c r="DJ237" s="89" t="str">
        <f t="shared" si="143"/>
        <v>https://tinyurl.com/ychdmvb4</v>
      </c>
      <c r="DK237" s="89" t="str">
        <f t="shared" si="144"/>
        <v>https://tinyurl.com/y9nqv62d</v>
      </c>
      <c r="DL237" s="89" t="str">
        <f t="shared" si="145"/>
        <v>https://tinyurl.com/y9n5ntvm</v>
      </c>
      <c r="DM237" s="219" t="str">
        <f t="shared" si="146"/>
        <v>Zero G 95</v>
      </c>
      <c r="DN237" s="89" t="str">
        <f t="shared" si="147"/>
        <v xml:space="preserve"> BlizzardZero G 95185 Unisex</v>
      </c>
      <c r="DO237" s="221" t="s">
        <v>450</v>
      </c>
    </row>
    <row r="238" spans="1:119" ht="15.6" customHeight="1">
      <c r="B238" s="219" t="b">
        <f t="array" ref="B238">IF(OR(ISERROR(K238:P238)),FALSE,TRUE)</f>
        <v>1</v>
      </c>
      <c r="C238" s="43" t="b">
        <f>OR(BR238=Driver!$G$50,Data!BR1124=Driver!$H$50)</f>
        <v>1</v>
      </c>
      <c r="D238" s="43" t="b">
        <f>OR(BV238=Driver!$G$51,BV238=Driver!$H$51)</f>
        <v>1</v>
      </c>
      <c r="E238" s="43" t="b">
        <f>AND(BX238&gt;Driver!$F$54,BX238&lt;Driver!$G$54)</f>
        <v>0</v>
      </c>
      <c r="F238" s="43" t="b">
        <f>CL238&gt;Driver!$F$56</f>
        <v>1</v>
      </c>
      <c r="G238" s="43" t="b">
        <f>AND(CB238&gt;Driver!$F$55,CB238&lt;Driver!$G$55)</f>
        <v>0</v>
      </c>
      <c r="H238" s="43" t="b">
        <f t="shared" si="111"/>
        <v>0</v>
      </c>
      <c r="I238" s="43">
        <f t="shared" si="112"/>
        <v>0</v>
      </c>
      <c r="J238" s="43" t="b">
        <f t="array" ref="J238">NOT(OR(($H$9:$H$1273=TRUE)*($I$9:$I$1273&gt;0)*($BT$9:$BT$1273=BT238)*($K$9:$K$1273&gt;K238)))</f>
        <v>1</v>
      </c>
      <c r="K238" s="72">
        <f t="shared" si="113"/>
        <v>0.83377632893115916</v>
      </c>
      <c r="L238" s="72">
        <f t="shared" si="114"/>
        <v>0.8674657230366285</v>
      </c>
      <c r="M238" s="72">
        <f t="shared" si="115"/>
        <v>0.80008693482568993</v>
      </c>
      <c r="N238" s="72">
        <f t="shared" si="116"/>
        <v>0.85233596456048422</v>
      </c>
      <c r="O238" s="72">
        <f t="shared" si="117"/>
        <v>0.70677732605872179</v>
      </c>
      <c r="P238" s="72">
        <f t="shared" si="118"/>
        <v>0.84114751385786368</v>
      </c>
      <c r="Q238" s="72"/>
      <c r="R238" s="72"/>
      <c r="S238" s="72">
        <f t="shared" si="119"/>
        <v>0.54716417910447768</v>
      </c>
      <c r="T238" s="72">
        <f t="shared" si="120"/>
        <v>0.53149553231631064</v>
      </c>
      <c r="U238" s="72">
        <f t="shared" si="121"/>
        <v>0.83304262206692159</v>
      </c>
      <c r="V238" s="72">
        <f t="shared" si="122"/>
        <v>0.50941344992264603</v>
      </c>
      <c r="W238" s="72">
        <f t="shared" si="123"/>
        <v>0.77678684210526316</v>
      </c>
      <c r="X238" s="72">
        <f t="shared" si="124"/>
        <v>0.13253427696337156</v>
      </c>
      <c r="Y238" s="72">
        <f t="shared" si="125"/>
        <v>0.1999130651743101</v>
      </c>
      <c r="Z238" s="72">
        <f t="shared" si="126"/>
        <v>0.14766403543951578</v>
      </c>
      <c r="AA238" s="72">
        <f t="shared" si="127"/>
        <v>0.29322267394127821</v>
      </c>
      <c r="AB238" s="72">
        <f t="shared" si="128"/>
        <v>0.15885248614213626</v>
      </c>
      <c r="AC238" s="72"/>
      <c r="AD238" s="72"/>
      <c r="AE238" s="72">
        <f t="shared" si="129"/>
        <v>0.45283582089552232</v>
      </c>
      <c r="AF238" s="72">
        <f t="shared" si="130"/>
        <v>0.46850446768368931</v>
      </c>
      <c r="AG238" s="72">
        <f t="shared" si="131"/>
        <v>0.16695737793307835</v>
      </c>
      <c r="AH238" s="72">
        <f t="shared" si="132"/>
        <v>0.49058655007735397</v>
      </c>
      <c r="AI238" s="72">
        <f t="shared" si="133"/>
        <v>0.22321315789473684</v>
      </c>
      <c r="AJ238" s="72">
        <f>(AV238-Driver!$K$179)/(Driver!$L$179-Driver!$K$179)</f>
        <v>0.38675368624607198</v>
      </c>
      <c r="AK238" s="72">
        <f>(AW238-Driver!$K$180)/(Driver!$L$180-Driver!$K$180)</f>
        <v>0.40230383099421935</v>
      </c>
      <c r="AL238" s="72">
        <f>(AX238-Driver!$K$181)/(Driver!$L$181-Driver!$K$181)</f>
        <v>0.24935179915259598</v>
      </c>
      <c r="AM238" s="72">
        <f>(AY238-Driver!$K$182)/(Driver!$L$182-Driver!$K$182)</f>
        <v>0.15416234715576815</v>
      </c>
      <c r="AN238" s="72">
        <f>(AZ238-Driver!$K$183)/(Driver!$L$183-Driver!$K$183)</f>
        <v>0.41307189542483669</v>
      </c>
      <c r="AO238" s="72"/>
      <c r="AP238" s="72"/>
      <c r="AQ238" s="72">
        <f>(BC238-Driver!$K$188)/(Driver!$L$188-Driver!$K$188)</f>
        <v>0.16716417910447767</v>
      </c>
      <c r="AR238" s="72">
        <f>MIN((BD238-Driver!$K$189)/(Driver!$L$189-Driver!$K$189),100%)</f>
        <v>8.1495532316310723E-2</v>
      </c>
      <c r="AS238" s="72">
        <f>(BE238-Driver!$K$190)/(Driver!$L$190-Driver!$K$190)</f>
        <v>0.34304262206692165</v>
      </c>
      <c r="AT238" s="72">
        <f>(BF238-Driver!$K$191)/(Driver!$L$191-Driver!$K$191)</f>
        <v>1.9413449922646018E-2</v>
      </c>
      <c r="AU238" s="72">
        <f>(BG238-Driver!$K$192)/(Driver!$L$192-Driver!$K$192)</f>
        <v>2.6786842105263161E-2</v>
      </c>
      <c r="AV238" s="70">
        <f t="shared" si="134"/>
        <v>8.1400081400081401</v>
      </c>
      <c r="AW238" s="70">
        <f t="shared" si="135"/>
        <v>41.079965726426323</v>
      </c>
      <c r="AX238" s="70">
        <f t="shared" si="136"/>
        <v>3.2441661923733638</v>
      </c>
      <c r="AY238" s="70">
        <f>IFERROR(Driver!$K$19/Data!BH238/Data!BI238*Data!BK238*Data!BL238,"")</f>
        <v>0.18874071052354074</v>
      </c>
      <c r="AZ238" s="70">
        <f t="shared" si="137"/>
        <v>37.64705882352942</v>
      </c>
      <c r="BA238" s="70"/>
      <c r="BB238" s="70"/>
      <c r="BC238" s="70">
        <f t="shared" si="138"/>
        <v>86.709221808012174</v>
      </c>
      <c r="BD238" s="70">
        <f t="shared" si="139"/>
        <v>8.93303309255265</v>
      </c>
      <c r="BE238" s="70">
        <f t="shared" si="140"/>
        <v>0.3431598158687747</v>
      </c>
      <c r="BF238" s="70">
        <f t="shared" si="141"/>
        <v>2.1926127815581835</v>
      </c>
      <c r="BG238" s="70">
        <f t="shared" si="142"/>
        <v>0.10143207236842107</v>
      </c>
      <c r="BH238" s="67">
        <f>MAX((CE238-Driver!$F$200)/(Driver!$G$200-Driver!$F$200)*$BI$1,1)</f>
        <v>3.2441661923733638</v>
      </c>
      <c r="BI238" s="67">
        <f>MAX($BI$1*(BY238-Driver!$F$201)/(Driver!$G$201-Driver!$F$201),1)</f>
        <v>8.1012658227848107</v>
      </c>
      <c r="BJ238" s="67">
        <f>(CB238-Driver!$F$206)/(Driver!$G$206-Driver!$F$206)*$BI$1</f>
        <v>3.8095238095238093</v>
      </c>
      <c r="BK238" s="67">
        <f>(CD238-Driver!$F$203)/(Driver!$G$203-Driver!$F$203)*$BI$1</f>
        <v>4.4954128440366974</v>
      </c>
      <c r="BL238" s="67">
        <f>MAX((CR238-Driver!$F$202)/(Driver!$G$202-Driver!$F$202)*$BI$1,1)</f>
        <v>5.5172413793103452</v>
      </c>
      <c r="BM238" s="67">
        <f>MAX((CH238-Driver!$F$204)/(Driver!$G$204-Driver!$F$204)*$BI$1,1)</f>
        <v>8.5470085470085468</v>
      </c>
      <c r="BN238" s="67">
        <f>(CI238-Driver!$F$205)/(Driver!$G$205-Driver!$F$205)*$BI$1</f>
        <v>4.6470588235294121</v>
      </c>
      <c r="BO238" s="67">
        <f>(CK238-Driver!$F$207)/(Driver!$G$207-Driver!$F$207)*$BI$1</f>
        <v>1.6752843846949328</v>
      </c>
      <c r="BP238" s="67">
        <f>(CM238-Driver!$F$208)/(Driver!$G$208-Driver!$F$208)*$BI$1</f>
        <v>1.5444444444444443</v>
      </c>
      <c r="BQ238" s="67">
        <f>(CL238-Driver!$F$209)/(Driver!$G$209-Driver!$F$209)*$BI$1</f>
        <v>2.8125</v>
      </c>
      <c r="BR238" s="28" t="s">
        <v>155</v>
      </c>
      <c r="BS238" s="8" t="s">
        <v>180</v>
      </c>
      <c r="BT238" s="9" t="s">
        <v>451</v>
      </c>
      <c r="BU238" s="10">
        <v>178</v>
      </c>
      <c r="BV238" s="9" t="s">
        <v>158</v>
      </c>
      <c r="BW238" s="10">
        <v>178</v>
      </c>
      <c r="BX238" s="10">
        <v>176.9</v>
      </c>
      <c r="BY238" s="10">
        <v>136</v>
      </c>
      <c r="BZ238" s="10">
        <v>157</v>
      </c>
      <c r="CA238" s="10">
        <v>125</v>
      </c>
      <c r="CB238" s="10">
        <v>88</v>
      </c>
      <c r="CC238" s="10">
        <v>110</v>
      </c>
      <c r="CD238" s="10">
        <v>19.2</v>
      </c>
      <c r="CE238" s="10">
        <v>1470</v>
      </c>
      <c r="CF238" s="10">
        <v>1.19</v>
      </c>
      <c r="CG238" s="10">
        <v>1753</v>
      </c>
      <c r="CH238" s="10">
        <v>301</v>
      </c>
      <c r="CI238" s="10">
        <v>112</v>
      </c>
      <c r="CJ238" s="10">
        <v>55</v>
      </c>
      <c r="CK238" s="10">
        <v>272</v>
      </c>
      <c r="CL238" s="10">
        <v>18</v>
      </c>
      <c r="CM238" s="10">
        <v>139</v>
      </c>
      <c r="CN238" s="10">
        <v>0.32200000000000001</v>
      </c>
      <c r="CO238" s="10">
        <v>112</v>
      </c>
      <c r="CP238" s="10">
        <v>87</v>
      </c>
      <c r="CQ238" s="10">
        <v>159</v>
      </c>
      <c r="CR238" s="10">
        <v>5</v>
      </c>
      <c r="CS238" s="10">
        <v>10.8</v>
      </c>
      <c r="CT238" s="9" t="s">
        <v>188</v>
      </c>
      <c r="CU238" s="9" t="s">
        <v>185</v>
      </c>
      <c r="CV238" s="10"/>
      <c r="CW238" s="10"/>
      <c r="CX238" t="str">
        <f>INDEX('Data_Price '!AG$2:AG$1266,MATCH(Data!$DN238,'Data_Price '!$AT$2:$AT$1266,0))</f>
        <v>Scott Superguide 88 Ski 178cm</v>
      </c>
      <c r="CY238" t="str">
        <f>INDEX('Data_Price '!AH$2:AH$1266,MATCH(Data!$DN238,'Data_Price '!$AT$2:$AT$1266,0))</f>
        <v>Sundance Ski and Board Shop</v>
      </c>
      <c r="CZ238">
        <f>INDEX('Data_Price '!AI$2:AI$1266,MATCH(Data!$DN238,'Data_Price '!$AT$2:$AT$1266,0))</f>
        <v>320.79000000000002</v>
      </c>
      <c r="DA238" t="str">
        <f>INDEX('Data_Price '!AJ$2:AJ$1266,MATCH(Data!$DN238,'Data_Price '!$AT$2:$AT$1266,0))</f>
        <v>https://tinyurl.com/y8drndxq</v>
      </c>
      <c r="DB238" t="str">
        <f>INDEX('Data_Price '!AK$2:AK$1266,MATCH(Data!$DN238,'Data_Price '!$AT$2:$AT$1266,0))</f>
        <v>Scott Superguide 88 Skis - Men</v>
      </c>
      <c r="DC238" t="str">
        <f>INDEX('Data_Price '!AL$2:AL$1266,MATCH(Data!$DN238,'Data_Price '!$AT$2:$AT$1266,0))</f>
        <v>Telemark Pyrenees</v>
      </c>
      <c r="DD238">
        <f>INDEX('Data_Price '!AM$2:AM$1266,MATCH(Data!$DN238,'Data_Price '!$AT$2:$AT$1266,0))</f>
        <v>352.89</v>
      </c>
      <c r="DE238" t="str">
        <f>INDEX('Data_Price '!AN$2:AN$1266,MATCH(Data!$DN238,'Data_Price '!$AT$2:$AT$1266,0))</f>
        <v>https://tinyurl.com/y93my6hk</v>
      </c>
      <c r="DF238" t="str">
        <f>INDEX('Data_Price '!AO$2:AO$1266,MATCH(Data!$DN238,'Data_Price '!$AT$2:$AT$1266,0))</f>
        <v>Scott Superguide 88 R Skis 2022 - Sample</v>
      </c>
      <c r="DG238" t="str">
        <f>INDEX('Data_Price '!AP$2:AP$1266,MATCH(Data!$DN238,'Data_Price '!$AT$2:$AT$1266,0))</f>
        <v>Next Adventure</v>
      </c>
      <c r="DH238">
        <f>INDEX('Data_Price '!AQ$2:AQ$1266,MATCH(Data!$DN238,'Data_Price '!$AT$2:$AT$1266,0))</f>
        <v>359.96</v>
      </c>
      <c r="DI238" t="str">
        <f>INDEX('Data_Price '!AR$2:AR$1266,MATCH(Data!$DN238,'Data_Price '!$AT$2:$AT$1266,0))</f>
        <v>https://tinyurl.com/ydgtaths</v>
      </c>
      <c r="DJ238" s="89" t="str">
        <f t="shared" si="143"/>
        <v>https://tinyurl.com/y8drndxq</v>
      </c>
      <c r="DK238" s="89" t="str">
        <f t="shared" si="144"/>
        <v>https://tinyurl.com/y93my6hk</v>
      </c>
      <c r="DL238" s="89" t="str">
        <f t="shared" si="145"/>
        <v>https://tinyurl.com/ydgtaths</v>
      </c>
      <c r="DM238" s="219" t="str">
        <f t="shared" si="146"/>
        <v>Superguide 88</v>
      </c>
      <c r="DN238" s="89" t="str">
        <f t="shared" si="147"/>
        <v xml:space="preserve"> ScottSuperguide 88178 Unisex</v>
      </c>
      <c r="DO238" s="221"/>
    </row>
    <row r="239" spans="1:119" ht="15.6" customHeight="1">
      <c r="B239" s="219" t="b">
        <f t="array" ref="B239">IF(OR(ISERROR(K239:P239)),FALSE,TRUE)</f>
        <v>1</v>
      </c>
      <c r="C239" s="43" t="b">
        <f>OR(BR239=Driver!$G$50,Data!BR859=Driver!$H$50)</f>
        <v>1</v>
      </c>
      <c r="D239" s="43" t="b">
        <f>OR(BV239=Driver!$G$51,BV239=Driver!$H$51)</f>
        <v>1</v>
      </c>
      <c r="E239" s="43" t="b">
        <f>AND(BX239&gt;Driver!$F$54,BX239&lt;Driver!$G$54)</f>
        <v>0</v>
      </c>
      <c r="F239" s="43" t="b">
        <f>CL239&gt;Driver!$F$56</f>
        <v>1</v>
      </c>
      <c r="G239" s="43" t="b">
        <f>AND(CB239&gt;Driver!$F$55,CB239&lt;Driver!$G$55)</f>
        <v>1</v>
      </c>
      <c r="H239" s="43" t="b">
        <f t="shared" si="111"/>
        <v>0</v>
      </c>
      <c r="I239" s="43">
        <f t="shared" si="112"/>
        <v>0</v>
      </c>
      <c r="J239" s="43" t="b">
        <f t="array" ref="J239">NOT(OR(($H$9:$H$1273=TRUE)*($I$9:$I$1273&gt;0)*($BT$9:$BT$1273=BT239)*($K$9:$K$1273&gt;K239)))</f>
        <v>1</v>
      </c>
      <c r="K239" s="72">
        <f t="shared" si="113"/>
        <v>0.85273419656583105</v>
      </c>
      <c r="L239" s="72">
        <f t="shared" si="114"/>
        <v>0.96171806553802308</v>
      </c>
      <c r="M239" s="72">
        <f t="shared" si="115"/>
        <v>0.74375032759363902</v>
      </c>
      <c r="N239" s="72">
        <f t="shared" si="116"/>
        <v>0.64301452017927885</v>
      </c>
      <c r="O239" s="72">
        <f t="shared" si="117"/>
        <v>0.6280530010313562</v>
      </c>
      <c r="P239" s="72">
        <f t="shared" si="118"/>
        <v>0.96018346157028212</v>
      </c>
      <c r="Q239" s="72"/>
      <c r="R239" s="72"/>
      <c r="S239" s="72">
        <f t="shared" si="119"/>
        <v>0.44395528867534173</v>
      </c>
      <c r="T239" s="72">
        <f t="shared" si="120"/>
        <v>0.47966376089470808</v>
      </c>
      <c r="U239" s="72">
        <f t="shared" si="121"/>
        <v>0.65926935026957623</v>
      </c>
      <c r="V239" s="72">
        <f t="shared" si="122"/>
        <v>0.56322359949507361</v>
      </c>
      <c r="W239" s="72">
        <f t="shared" si="123"/>
        <v>0.789344343763977</v>
      </c>
      <c r="X239" s="72">
        <f t="shared" si="124"/>
        <v>3.8281934461976919E-2</v>
      </c>
      <c r="Y239" s="72">
        <f t="shared" si="125"/>
        <v>0.25624967240636093</v>
      </c>
      <c r="Z239" s="72">
        <f t="shared" si="126"/>
        <v>0.35698547982072115</v>
      </c>
      <c r="AA239" s="72">
        <f t="shared" si="127"/>
        <v>0.3719469989686438</v>
      </c>
      <c r="AB239" s="72">
        <f t="shared" si="128"/>
        <v>3.9816538429717885E-2</v>
      </c>
      <c r="AC239" s="72"/>
      <c r="AD239" s="72"/>
      <c r="AE239" s="72">
        <f t="shared" si="129"/>
        <v>0.55604471132465827</v>
      </c>
      <c r="AF239" s="72">
        <f t="shared" si="130"/>
        <v>0.52033623910529192</v>
      </c>
      <c r="AG239" s="72">
        <f t="shared" si="131"/>
        <v>0.34073064973042377</v>
      </c>
      <c r="AH239" s="72">
        <f t="shared" si="132"/>
        <v>0.43677640050492639</v>
      </c>
      <c r="AI239" s="72">
        <f t="shared" si="133"/>
        <v>0.210655656236023</v>
      </c>
      <c r="AJ239" s="72">
        <f>(AV239-Driver!$K$179)/(Driver!$L$179-Driver!$K$179)</f>
        <v>0.21593747482072351</v>
      </c>
      <c r="AK239" s="72">
        <f>(AW239-Driver!$K$180)/(Driver!$L$180-Driver!$K$180)</f>
        <v>0.30932783222790905</v>
      </c>
      <c r="AL239" s="72">
        <f>(AX239-Driver!$K$181)/(Driver!$L$181-Driver!$K$181)</f>
        <v>0.45867324353380134</v>
      </c>
      <c r="AM239" s="72">
        <f>(AY239-Driver!$K$182)/(Driver!$L$182-Driver!$K$182)</f>
        <v>7.5438022128402546E-2</v>
      </c>
      <c r="AN239" s="72">
        <f>(AZ239-Driver!$K$183)/(Driver!$L$183-Driver!$K$183)</f>
        <v>0.29403594771241831</v>
      </c>
      <c r="AO239" s="72"/>
      <c r="AP239" s="72"/>
      <c r="AQ239" s="72">
        <f>(BC239-Driver!$K$188)/(Driver!$L$188-Driver!$K$188)</f>
        <v>6.3955288675341671E-2</v>
      </c>
      <c r="AR239" s="72">
        <f>MIN((BD239-Driver!$K$189)/(Driver!$L$189-Driver!$K$189),100%)</f>
        <v>2.9663760894708097E-2</v>
      </c>
      <c r="AS239" s="72">
        <f>(BE239-Driver!$K$190)/(Driver!$L$190-Driver!$K$190)</f>
        <v>0.16926935026957626</v>
      </c>
      <c r="AT239" s="72">
        <f>(BF239-Driver!$K$191)/(Driver!$L$191-Driver!$K$191)</f>
        <v>7.3223599495073649E-2</v>
      </c>
      <c r="AU239" s="72">
        <f>(BG239-Driver!$K$192)/(Driver!$L$192-Driver!$K$192)</f>
        <v>3.9344343763977004E-2</v>
      </c>
      <c r="AV239" s="70">
        <f t="shared" si="134"/>
        <v>4.5448378781712107</v>
      </c>
      <c r="AW239" s="70">
        <f t="shared" si="135"/>
        <v>32.018630795491248</v>
      </c>
      <c r="AX239" s="70">
        <f t="shared" si="136"/>
        <v>5.128059191804212</v>
      </c>
      <c r="AY239" s="70">
        <f>IFERROR(Driver!$K$19/Data!BH239/Data!BI239*Data!BK239*Data!BL239,"")</f>
        <v>9.2358647618531312E-2</v>
      </c>
      <c r="AZ239" s="70">
        <f t="shared" si="137"/>
        <v>26.798212956068504</v>
      </c>
      <c r="BA239" s="70"/>
      <c r="BB239" s="70"/>
      <c r="BC239" s="70">
        <f t="shared" si="138"/>
        <v>33.174052845853431</v>
      </c>
      <c r="BD239" s="70">
        <f t="shared" si="139"/>
        <v>4.3460131622052902</v>
      </c>
      <c r="BE239" s="70">
        <f t="shared" si="140"/>
        <v>0.16941754326721642</v>
      </c>
      <c r="BF239" s="70">
        <f t="shared" si="141"/>
        <v>8.2700911380676949</v>
      </c>
      <c r="BG239" s="70">
        <f t="shared" si="142"/>
        <v>0.14898278446833535</v>
      </c>
      <c r="BH239" s="67">
        <f>MAX((CE239-Driver!$F$200)/(Driver!$G$200-Driver!$F$200)*$BI$1,1)</f>
        <v>5.128059191804212</v>
      </c>
      <c r="BI239" s="67">
        <f>MAX($BI$1*(BY239-Driver!$F$201)/(Driver!$G$201-Driver!$F$201),1)</f>
        <v>7.7215189873417724</v>
      </c>
      <c r="BJ239" s="67">
        <f>(CB239-Driver!$F$206)/(Driver!$G$206-Driver!$F$206)*$BI$1</f>
        <v>6.3492063492063489</v>
      </c>
      <c r="BK239" s="67">
        <f>(CD239-Driver!$F$203)/(Driver!$G$203-Driver!$F$203)*$BI$1</f>
        <v>3.1192660550458715</v>
      </c>
      <c r="BL239" s="67">
        <f>MAX((CR239-Driver!$F$202)/(Driver!$G$202-Driver!$F$202)*$BI$1,1)</f>
        <v>5.8620689655172411</v>
      </c>
      <c r="BM239" s="67">
        <f>MAX((CH239-Driver!$F$204)/(Driver!$G$204-Driver!$F$204)*$BI$1,1)</f>
        <v>2.8632478632478628</v>
      </c>
      <c r="BN239" s="67">
        <f>(CI239-Driver!$F$205)/(Driver!$G$205-Driver!$F$205)*$BI$1</f>
        <v>3.4705882352941178</v>
      </c>
      <c r="BO239" s="67">
        <f>(CK239-Driver!$F$207)/(Driver!$G$207-Driver!$F$207)*$BI$1</f>
        <v>2.8128231644260597</v>
      </c>
      <c r="BP239" s="67">
        <f>(CM239-Driver!$F$208)/(Driver!$G$208-Driver!$F$208)*$BI$1</f>
        <v>1.4444444444444442</v>
      </c>
      <c r="BQ239" s="67">
        <f>(CL239-Driver!$F$209)/(Driver!$G$209-Driver!$F$209)*$BI$1</f>
        <v>2.1875</v>
      </c>
      <c r="BR239" s="28" t="s">
        <v>155</v>
      </c>
      <c r="BS239" s="8" t="s">
        <v>208</v>
      </c>
      <c r="BT239" s="9" t="s">
        <v>452</v>
      </c>
      <c r="BU239" s="10">
        <v>181</v>
      </c>
      <c r="BV239" s="9" t="s">
        <v>158</v>
      </c>
      <c r="BW239" s="10">
        <v>181</v>
      </c>
      <c r="BX239" s="10">
        <v>180.9</v>
      </c>
      <c r="BY239" s="10">
        <v>130</v>
      </c>
      <c r="BZ239" s="10">
        <v>160</v>
      </c>
      <c r="CA239" s="10">
        <v>149</v>
      </c>
      <c r="CB239" s="10">
        <v>104</v>
      </c>
      <c r="CC239" s="10">
        <v>136</v>
      </c>
      <c r="CD239" s="10">
        <v>16.2</v>
      </c>
      <c r="CE239" s="10">
        <v>1801</v>
      </c>
      <c r="CF239" s="10">
        <v>1.19</v>
      </c>
      <c r="CG239" s="10">
        <v>2142</v>
      </c>
      <c r="CH239" s="10">
        <v>168</v>
      </c>
      <c r="CI239" s="10">
        <v>92</v>
      </c>
      <c r="CJ239" s="10">
        <v>45</v>
      </c>
      <c r="CK239" s="10">
        <v>382</v>
      </c>
      <c r="CL239" s="10">
        <v>14</v>
      </c>
      <c r="CM239" s="10">
        <v>130</v>
      </c>
      <c r="CN239" s="10">
        <v>0.30099999999999999</v>
      </c>
      <c r="CO239" s="10">
        <v>164</v>
      </c>
      <c r="CP239" s="10">
        <v>40</v>
      </c>
      <c r="CQ239" s="10">
        <v>218</v>
      </c>
      <c r="CR239" s="10">
        <v>6</v>
      </c>
      <c r="CS239" s="10">
        <v>11.2</v>
      </c>
      <c r="CT239" s="9" t="s">
        <v>188</v>
      </c>
      <c r="CU239" s="9" t="s">
        <v>178</v>
      </c>
      <c r="CV239" s="9" t="s">
        <v>185</v>
      </c>
      <c r="CW239" s="10"/>
      <c r="CX239" t="str">
        <f>INDEX('Data_Price '!AG$2:AG$1266,MATCH(Data!$DN239,'Data_Price '!$AT$2:$AT$1266,0))</f>
        <v>'22 Line Sakana Skis 181cm</v>
      </c>
      <c r="CY239" t="str">
        <f>INDEX('Data_Price '!AH$2:AH$1266,MATCH(Data!$DN239,'Data_Price '!$AT$2:$AT$1266,0))</f>
        <v>Al's Ski Equipment Barn</v>
      </c>
      <c r="CZ239">
        <f>INDEX('Data_Price '!AI$2:AI$1266,MATCH(Data!$DN239,'Data_Price '!$AT$2:$AT$1266,0))</f>
        <v>649.95000000000005</v>
      </c>
      <c r="DA239" t="str">
        <f>INDEX('Data_Price '!AJ$2:AJ$1266,MATCH(Data!$DN239,'Data_Price '!$AT$2:$AT$1266,0))</f>
        <v>https://tinyurl.com/yc7dxaaq</v>
      </c>
      <c r="DB239" t="str">
        <f>INDEX('Data_Price '!AK$2:AK$1266,MATCH(Data!$DN239,'Data_Price '!$AT$2:$AT$1266,0))</f>
        <v>Line 2022 Sakana Skis</v>
      </c>
      <c r="DC239" t="str">
        <f>INDEX('Data_Price '!AL$2:AL$1266,MATCH(Data!$DN239,'Data_Price '!$AT$2:$AT$1266,0))</f>
        <v>sunandski.com</v>
      </c>
      <c r="DD239">
        <f>INDEX('Data_Price '!AM$2:AM$1266,MATCH(Data!$DN239,'Data_Price '!$AT$2:$AT$1266,0))</f>
        <v>749.95</v>
      </c>
      <c r="DE239" t="str">
        <f>INDEX('Data_Price '!AN$2:AN$1266,MATCH(Data!$DN239,'Data_Price '!$AT$2:$AT$1266,0))</f>
        <v>https://tinyurl.com/yd93u7e2</v>
      </c>
      <c r="DF239" t="str">
        <f>INDEX('Data_Price '!AO$2:AO$1266,MATCH(Data!$DN239,'Data_Price '!$AT$2:$AT$1266,0))</f>
        <v>Line 2022 Sakana Skis</v>
      </c>
      <c r="DG239" t="str">
        <f>INDEX('Data_Price '!AP$2:AP$1266,MATCH(Data!$DN239,'Data_Price '!$AT$2:$AT$1266,0))</f>
        <v>Powder7 Ski Shop</v>
      </c>
      <c r="DH239">
        <f>INDEX('Data_Price '!AQ$2:AQ$1266,MATCH(Data!$DN239,'Data_Price '!$AT$2:$AT$1266,0))</f>
        <v>749.95</v>
      </c>
      <c r="DI239" t="str">
        <f>INDEX('Data_Price '!AR$2:AR$1266,MATCH(Data!$DN239,'Data_Price '!$AT$2:$AT$1266,0))</f>
        <v>https://tinyurl.com/y9mqbdl8</v>
      </c>
      <c r="DJ239" s="89" t="str">
        <f t="shared" si="143"/>
        <v>https://tinyurl.com/yc7dxaaq</v>
      </c>
      <c r="DK239" s="89" t="str">
        <f t="shared" si="144"/>
        <v>https://tinyurl.com/yd93u7e2</v>
      </c>
      <c r="DL239" s="89" t="str">
        <f t="shared" si="145"/>
        <v>https://tinyurl.com/y9mqbdl8</v>
      </c>
      <c r="DM239" s="219" t="str">
        <f t="shared" si="146"/>
        <v>Sakana</v>
      </c>
      <c r="DN239" s="89" t="str">
        <f t="shared" si="147"/>
        <v xml:space="preserve"> LineSakana181 Unisex</v>
      </c>
      <c r="DO239" s="221" t="s">
        <v>453</v>
      </c>
    </row>
    <row r="240" spans="1:119" ht="15.6" customHeight="1">
      <c r="A240" s="219">
        <f>ROW()</f>
        <v>240</v>
      </c>
      <c r="B240" s="219" t="b">
        <f t="array" ref="B240">IF(OR(ISERROR(K240:P240)),FALSE,TRUE)</f>
        <v>1</v>
      </c>
      <c r="C240" s="43" t="b">
        <f>OR(BR240=Driver!$G$50,Data!BR933=Driver!$H$50)</f>
        <v>1</v>
      </c>
      <c r="D240" s="43" t="b">
        <f>OR(BV240=Driver!$G$51,BV240=Driver!$H$51)</f>
        <v>1</v>
      </c>
      <c r="E240" s="43" t="b">
        <f>AND(BX240&gt;Driver!$F$54,BX240&lt;Driver!$G$54)</f>
        <v>1</v>
      </c>
      <c r="F240" s="43" t="b">
        <f>CL240&gt;Driver!$F$56</f>
        <v>1</v>
      </c>
      <c r="G240" s="43" t="b">
        <f>AND(CB240&gt;Driver!$F$55,CB240&lt;Driver!$G$55)</f>
        <v>0</v>
      </c>
      <c r="H240" s="43" t="b">
        <f t="shared" si="111"/>
        <v>0</v>
      </c>
      <c r="I240" s="43">
        <f t="shared" si="112"/>
        <v>0</v>
      </c>
      <c r="J240" s="43" t="b">
        <f t="array" ref="J240">NOT(OR(($H$9:$H$1273=TRUE)*($I$9:$I$1273&gt;0)*($BT$9:$BT$1273=BT240)*($K$9:$K$1273&gt;K240)))</f>
        <v>1</v>
      </c>
      <c r="K240" s="72">
        <f t="shared" si="113"/>
        <v>0.82562803181080835</v>
      </c>
      <c r="L240" s="72">
        <f t="shared" si="114"/>
        <v>0.83610369119268424</v>
      </c>
      <c r="M240" s="72">
        <f t="shared" si="115"/>
        <v>0.81515237242893246</v>
      </c>
      <c r="N240" s="72">
        <f t="shared" si="116"/>
        <v>0.79225881284986643</v>
      </c>
      <c r="O240" s="72">
        <f t="shared" si="117"/>
        <v>0.66744294744181221</v>
      </c>
      <c r="P240" s="72">
        <f t="shared" si="118"/>
        <v>0.98575535699511874</v>
      </c>
      <c r="Q240" s="72"/>
      <c r="R240" s="72"/>
      <c r="S240" s="72">
        <f t="shared" si="119"/>
        <v>0.46223380656632407</v>
      </c>
      <c r="T240" s="72">
        <f t="shared" si="120"/>
        <v>0.51200376114131663</v>
      </c>
      <c r="U240" s="72">
        <f t="shared" si="121"/>
        <v>0.99355320629768518</v>
      </c>
      <c r="V240" s="72">
        <f t="shared" si="122"/>
        <v>0.49595901845541202</v>
      </c>
      <c r="W240" s="72">
        <f t="shared" si="123"/>
        <v>0.91863387281763731</v>
      </c>
      <c r="X240" s="72">
        <f t="shared" si="124"/>
        <v>0.1638963088073157</v>
      </c>
      <c r="Y240" s="72">
        <f t="shared" si="125"/>
        <v>0.18484762757106754</v>
      </c>
      <c r="Z240" s="72">
        <f t="shared" si="126"/>
        <v>0.20774118715013362</v>
      </c>
      <c r="AA240" s="72">
        <f t="shared" si="127"/>
        <v>0.33255705255818774</v>
      </c>
      <c r="AB240" s="72">
        <f t="shared" si="128"/>
        <v>1.4244643004881263E-2</v>
      </c>
      <c r="AC240" s="72"/>
      <c r="AD240" s="72"/>
      <c r="AE240" s="72">
        <f t="shared" si="129"/>
        <v>0.53776619343367593</v>
      </c>
      <c r="AF240" s="72">
        <f t="shared" si="130"/>
        <v>0.48799623885868343</v>
      </c>
      <c r="AG240" s="72">
        <f t="shared" si="131"/>
        <v>6.4467937023148236E-3</v>
      </c>
      <c r="AH240" s="72">
        <f t="shared" si="132"/>
        <v>0.50404098154458798</v>
      </c>
      <c r="AI240" s="72">
        <f t="shared" si="133"/>
        <v>8.1366127182362719E-2</v>
      </c>
      <c r="AJ240" s="72">
        <f>(AV240-Driver!$K$179)/(Driver!$L$179-Driver!$K$179)</f>
        <v>9.0323100475384721E-2</v>
      </c>
      <c r="AK240" s="72">
        <f>(AW240-Driver!$K$180)/(Driver!$L$180-Driver!$K$180)</f>
        <v>0.27212673341968552</v>
      </c>
      <c r="AL240" s="72">
        <f>(AX240-Driver!$K$181)/(Driver!$L$181-Driver!$K$181)</f>
        <v>0.30942895086321381</v>
      </c>
      <c r="AM240" s="72">
        <f>(AY240-Driver!$K$182)/(Driver!$L$182-Driver!$K$182)</f>
        <v>0.11482796853885863</v>
      </c>
      <c r="AN240" s="72">
        <f>(AZ240-Driver!$K$183)/(Driver!$L$183-Driver!$K$183)</f>
        <v>0.26846405228758169</v>
      </c>
      <c r="AO240" s="72"/>
      <c r="AP240" s="72"/>
      <c r="AQ240" s="72">
        <f>(BC240-Driver!$K$188)/(Driver!$L$188-Driver!$K$188)</f>
        <v>8.2233806566324036E-2</v>
      </c>
      <c r="AR240" s="72">
        <f>MIN((BD240-Driver!$K$189)/(Driver!$L$189-Driver!$K$189),100%)</f>
        <v>6.2003761141316636E-2</v>
      </c>
      <c r="AS240" s="72">
        <f>(BE240-Driver!$K$190)/(Driver!$L$190-Driver!$K$190)</f>
        <v>0.50355320629768519</v>
      </c>
      <c r="AT240" s="72">
        <f>(BF240-Driver!$K$191)/(Driver!$L$191-Driver!$K$191)</f>
        <v>5.9590184554120266E-3</v>
      </c>
      <c r="AU240" s="72">
        <f>(BG240-Driver!$K$192)/(Driver!$L$192-Driver!$K$192)</f>
        <v>0.16863387281763728</v>
      </c>
      <c r="AV240" s="70">
        <f t="shared" si="134"/>
        <v>1.9010310676977342</v>
      </c>
      <c r="AW240" s="70">
        <f t="shared" si="135"/>
        <v>28.39305408136115</v>
      </c>
      <c r="AX240" s="70">
        <f t="shared" si="136"/>
        <v>3.7848605577689245</v>
      </c>
      <c r="AY240" s="70">
        <f>IFERROR(Driver!$K$19/Data!BH240/Data!BI240*Data!BK240*Data!BL240,"")</f>
        <v>0.14058369485060121</v>
      </c>
      <c r="AZ240" s="70">
        <f t="shared" si="137"/>
        <v>24.467609828741622</v>
      </c>
      <c r="BA240" s="70"/>
      <c r="BB240" s="70"/>
      <c r="BC240" s="70">
        <f t="shared" si="138"/>
        <v>42.655247146100827</v>
      </c>
      <c r="BD240" s="70">
        <f t="shared" si="139"/>
        <v>7.208045880940511</v>
      </c>
      <c r="BE240" s="70">
        <f t="shared" si="140"/>
        <v>0.50364176681793504</v>
      </c>
      <c r="BF240" s="70">
        <f t="shared" si="141"/>
        <v>0.67302927006477509</v>
      </c>
      <c r="BG240" s="70">
        <f t="shared" si="142"/>
        <v>0.63855541926851023</v>
      </c>
      <c r="BH240" s="67">
        <f>MAX((CE240-Driver!$F$200)/(Driver!$G$200-Driver!$F$200)*$BI$1,1)</f>
        <v>3.7848605577689245</v>
      </c>
      <c r="BI240" s="67">
        <f>MAX($BI$1*(BY240-Driver!$F$201)/(Driver!$G$201-Driver!$F$201),1)</f>
        <v>7.8481012658227849</v>
      </c>
      <c r="BJ240" s="67">
        <f>(CB240-Driver!$F$206)/(Driver!$G$206-Driver!$F$206)*$BI$1</f>
        <v>3.0158730158730158</v>
      </c>
      <c r="BK240" s="67">
        <f>(CD240-Driver!$F$203)/(Driver!$G$203-Driver!$F$203)*$BI$1</f>
        <v>3.0275229357798166</v>
      </c>
      <c r="BL240" s="67">
        <f>MAX((CR240-Driver!$F$202)/(Driver!$G$202-Driver!$F$202)*$BI$1,1)</f>
        <v>6.8965517241379315</v>
      </c>
      <c r="BM240" s="67">
        <f>MAX((CH240-Driver!$F$204)/(Driver!$G$204-Driver!$F$204)*$BI$1,1)</f>
        <v>2.5213675213675213</v>
      </c>
      <c r="BN240" s="67">
        <f>(CI240-Driver!$F$205)/(Driver!$G$205-Driver!$F$205)*$BI$1</f>
        <v>3.1176470588235294</v>
      </c>
      <c r="BO240" s="67">
        <f>(CK240-Driver!$F$207)/(Driver!$G$207-Driver!$F$207)*$BI$1</f>
        <v>0.43433298862461223</v>
      </c>
      <c r="BP240" s="67">
        <f>(CM240-Driver!$F$208)/(Driver!$G$208-Driver!$F$208)*$BI$1</f>
        <v>1.5555555555555556</v>
      </c>
      <c r="BQ240" s="67">
        <f>(CL240-Driver!$F$209)/(Driver!$G$209-Driver!$F$209)*$BI$1</f>
        <v>6.09375</v>
      </c>
      <c r="BR240" s="28" t="s">
        <v>155</v>
      </c>
      <c r="BS240" s="8" t="s">
        <v>332</v>
      </c>
      <c r="BT240" s="9" t="s">
        <v>454</v>
      </c>
      <c r="BU240" s="10">
        <v>163</v>
      </c>
      <c r="BV240" s="9" t="s">
        <v>158</v>
      </c>
      <c r="BW240" s="10">
        <v>163</v>
      </c>
      <c r="BX240" s="10">
        <v>161.4</v>
      </c>
      <c r="BY240" s="10">
        <v>132</v>
      </c>
      <c r="BZ240" s="10">
        <v>145</v>
      </c>
      <c r="CA240" s="10">
        <v>120</v>
      </c>
      <c r="CB240" s="10">
        <v>83</v>
      </c>
      <c r="CC240" s="10">
        <v>109</v>
      </c>
      <c r="CD240" s="10">
        <v>16</v>
      </c>
      <c r="CE240" s="10">
        <v>1565</v>
      </c>
      <c r="CF240" s="10">
        <v>0.98</v>
      </c>
      <c r="CG240" s="10">
        <v>1527</v>
      </c>
      <c r="CH240" s="10">
        <v>160</v>
      </c>
      <c r="CI240" s="10">
        <v>86</v>
      </c>
      <c r="CJ240" s="10">
        <v>45</v>
      </c>
      <c r="CK240" s="10">
        <v>152</v>
      </c>
      <c r="CL240" s="10">
        <v>39</v>
      </c>
      <c r="CM240" s="10">
        <v>140</v>
      </c>
      <c r="CN240" s="10">
        <v>0.86599999999999999</v>
      </c>
      <c r="CO240" s="10">
        <v>90</v>
      </c>
      <c r="CP240" s="10">
        <v>76</v>
      </c>
      <c r="CQ240" s="10">
        <v>62</v>
      </c>
      <c r="CR240" s="10">
        <v>9</v>
      </c>
      <c r="CS240" s="10">
        <v>9.3000000000000007</v>
      </c>
      <c r="CT240" s="9" t="s">
        <v>184</v>
      </c>
      <c r="CU240" s="10"/>
      <c r="CV240" s="10"/>
      <c r="CW240" s="10"/>
      <c r="CX240" t="str">
        <f>INDEX('Data_Price '!AG$2:AG$1266,MATCH(Data!$DN240,'Data_Price '!$AT$2:$AT$1266,0))</f>
        <v>Nordica Men's Soul Rider 84 Ski 2021</v>
      </c>
      <c r="CY240" t="str">
        <f>INDEX('Data_Price '!AH$2:AH$1266,MATCH(Data!$DN240,'Data_Price '!$AT$2:$AT$1266,0))</f>
        <v>eBay - gloliquidation</v>
      </c>
      <c r="CZ240">
        <f>INDEX('Data_Price '!AI$2:AI$1266,MATCH(Data!$DN240,'Data_Price '!$AT$2:$AT$1266,0))</f>
        <v>284.95</v>
      </c>
      <c r="DA240" t="str">
        <f>INDEX('Data_Price '!AJ$2:AJ$1266,MATCH(Data!$DN240,'Data_Price '!$AT$2:$AT$1266,0))</f>
        <v>https://tinyurl.com/ybbt7oaz</v>
      </c>
      <c r="DB240" t="str">
        <f>INDEX('Data_Price '!AK$2:AK$1266,MATCH(Data!$DN240,'Data_Price '!$AT$2:$AT$1266,0))</f>
        <v>Nordica Men's Soul Rider 84 Ski 2021</v>
      </c>
      <c r="DC240" t="str">
        <f>INDEX('Data_Price '!AL$2:AL$1266,MATCH(Data!$DN240,'Data_Price '!$AT$2:$AT$1266,0))</f>
        <v>BobsSportsChalet.com</v>
      </c>
      <c r="DD240">
        <f>INDEX('Data_Price '!AM$2:AM$1266,MATCH(Data!$DN240,'Data_Price '!$AT$2:$AT$1266,0))</f>
        <v>349.99</v>
      </c>
      <c r="DE240" t="str">
        <f>INDEX('Data_Price '!AN$2:AN$1266,MATCH(Data!$DN240,'Data_Price '!$AT$2:$AT$1266,0))</f>
        <v>https://tinyurl.com/y7cn8d96</v>
      </c>
      <c r="DF240" t="str">
        <f>INDEX('Data_Price '!AO$2:AO$1266,MATCH(Data!$DN240,'Data_Price '!$AT$2:$AT$1266,0))</f>
        <v>SOULRIDER 84 '22</v>
      </c>
      <c r="DG240" t="str">
        <f>INDEX('Data_Price '!AP$2:AP$1266,MATCH(Data!$DN240,'Data_Price '!$AT$2:$AT$1266,0))</f>
        <v>Vertical Drop</v>
      </c>
      <c r="DH240">
        <f>INDEX('Data_Price '!AQ$2:AQ$1266,MATCH(Data!$DN240,'Data_Price '!$AT$2:$AT$1266,0))</f>
        <v>349.99</v>
      </c>
      <c r="DI240" t="str">
        <f>INDEX('Data_Price '!AR$2:AR$1266,MATCH(Data!$DN240,'Data_Price '!$AT$2:$AT$1266,0))</f>
        <v>https://tinyurl.com/y7z95f8g</v>
      </c>
      <c r="DJ240" s="89" t="str">
        <f t="shared" si="143"/>
        <v>https://tinyurl.com/ybbt7oaz</v>
      </c>
      <c r="DK240" s="89" t="str">
        <f t="shared" si="144"/>
        <v>https://tinyurl.com/y7cn8d96</v>
      </c>
      <c r="DL240" s="89" t="str">
        <f t="shared" si="145"/>
        <v>https://tinyurl.com/y7z95f8g</v>
      </c>
      <c r="DM240" s="219" t="str">
        <f t="shared" si="146"/>
        <v>Soul Rider 84</v>
      </c>
      <c r="DN240" s="89" t="str">
        <f t="shared" si="147"/>
        <v xml:space="preserve"> NordicaSoul Rider 84163 Unisex</v>
      </c>
      <c r="DO240" s="221"/>
    </row>
    <row r="241" spans="2:119" ht="15.6" customHeight="1">
      <c r="B241" s="219" t="b">
        <f t="array" ref="B241">IF(OR(ISERROR(K241:P241)),FALSE,TRUE)</f>
        <v>1</v>
      </c>
      <c r="C241" s="43" t="b">
        <f>OR(BR241=Driver!$G$50,Data!BR520=Driver!$H$50)</f>
        <v>1</v>
      </c>
      <c r="D241" s="43" t="b">
        <f>OR(BV241=Driver!$G$51,BV241=Driver!$H$51)</f>
        <v>1</v>
      </c>
      <c r="E241" s="43" t="b">
        <f>AND(BX241&gt;Driver!$F$54,BX241&lt;Driver!$G$54)</f>
        <v>0</v>
      </c>
      <c r="F241" s="43" t="b">
        <f>CL241&gt;Driver!$F$56</f>
        <v>1</v>
      </c>
      <c r="G241" s="43" t="b">
        <f>AND(CB241&gt;Driver!$F$55,CB241&lt;Driver!$G$55)</f>
        <v>0</v>
      </c>
      <c r="H241" s="43" t="b">
        <f t="shared" si="111"/>
        <v>0</v>
      </c>
      <c r="I241" s="43">
        <f t="shared" si="112"/>
        <v>0</v>
      </c>
      <c r="J241" s="43" t="b">
        <f t="array" ref="J241">NOT(OR(($H$9:$H$1273=TRUE)*($I$9:$I$1273&gt;0)*($BT$9:$BT$1273=BT241)*($K$9:$K$1273&gt;K241)))</f>
        <v>1</v>
      </c>
      <c r="K241" s="72">
        <f t="shared" si="113"/>
        <v>0.89115450962539233</v>
      </c>
      <c r="L241" s="72">
        <f t="shared" si="114"/>
        <v>0.9971704867772464</v>
      </c>
      <c r="M241" s="72">
        <f t="shared" si="115"/>
        <v>0.78513853247353815</v>
      </c>
      <c r="N241" s="72">
        <f t="shared" si="116"/>
        <v>0.69360580583032549</v>
      </c>
      <c r="O241" s="72">
        <f t="shared" si="117"/>
        <v>0.67009038230758855</v>
      </c>
      <c r="P241" s="72">
        <f t="shared" si="118"/>
        <v>0.99171940928270041</v>
      </c>
      <c r="Q241" s="72"/>
      <c r="R241" s="72"/>
      <c r="S241" s="72">
        <f t="shared" si="119"/>
        <v>0.4575632119155415</v>
      </c>
      <c r="T241" s="72">
        <f t="shared" si="120"/>
        <v>0.52316831603253688</v>
      </c>
      <c r="U241" s="72">
        <f t="shared" si="121"/>
        <v>0.66789425621445853</v>
      </c>
      <c r="V241" s="72">
        <f t="shared" si="122"/>
        <v>0.52169912988718226</v>
      </c>
      <c r="W241" s="72">
        <f t="shared" si="123"/>
        <v>0.79172503045066989</v>
      </c>
      <c r="X241" s="72">
        <f t="shared" si="124"/>
        <v>2.8295132227535991E-3</v>
      </c>
      <c r="Y241" s="72">
        <f t="shared" si="125"/>
        <v>0.21486146752646182</v>
      </c>
      <c r="Z241" s="72">
        <f t="shared" si="126"/>
        <v>0.30639419416967451</v>
      </c>
      <c r="AA241" s="72">
        <f t="shared" si="127"/>
        <v>0.32990961769241139</v>
      </c>
      <c r="AB241" s="72">
        <f t="shared" si="128"/>
        <v>8.2805907172995852E-3</v>
      </c>
      <c r="AC241" s="72"/>
      <c r="AD241" s="72"/>
      <c r="AE241" s="72">
        <f t="shared" si="129"/>
        <v>0.5424367880844585</v>
      </c>
      <c r="AF241" s="72">
        <f t="shared" si="130"/>
        <v>0.47683168396746317</v>
      </c>
      <c r="AG241" s="72">
        <f t="shared" si="131"/>
        <v>0.33210574378554142</v>
      </c>
      <c r="AH241" s="72">
        <f t="shared" si="132"/>
        <v>0.47830087011281774</v>
      </c>
      <c r="AI241" s="72">
        <f t="shared" si="133"/>
        <v>0.20827496954933009</v>
      </c>
      <c r="AJ241" s="72">
        <f>(AV241-Driver!$K$179)/(Driver!$L$179-Driver!$K$179)</f>
        <v>0.25138989605994683</v>
      </c>
      <c r="AK241" s="72">
        <f>(AW241-Driver!$K$180)/(Driver!$L$180-Driver!$K$180)</f>
        <v>0.27569294704382463</v>
      </c>
      <c r="AL241" s="72">
        <f>(AX241-Driver!$K$181)/(Driver!$L$181-Driver!$K$181)</f>
        <v>0.4080819578827547</v>
      </c>
      <c r="AM241" s="72">
        <f>(AY241-Driver!$K$182)/(Driver!$L$182-Driver!$K$182)</f>
        <v>0.11747540340463498</v>
      </c>
      <c r="AN241" s="72">
        <f>(AZ241-Driver!$K$183)/(Driver!$L$183-Driver!$K$183)</f>
        <v>0.26250000000000001</v>
      </c>
      <c r="AO241" s="72"/>
      <c r="AP241" s="72"/>
      <c r="AQ241" s="72">
        <f>(BC241-Driver!$K$188)/(Driver!$L$188-Driver!$K$188)</f>
        <v>7.7563211915541552E-2</v>
      </c>
      <c r="AR241" s="72">
        <f>MIN((BD241-Driver!$K$189)/(Driver!$L$189-Driver!$K$189),100%)</f>
        <v>7.3168316032536873E-2</v>
      </c>
      <c r="AS241" s="72">
        <f>(BE241-Driver!$K$190)/(Driver!$L$190-Driver!$K$190)</f>
        <v>0.17789425621445859</v>
      </c>
      <c r="AT241" s="72">
        <f>(BF241-Driver!$K$191)/(Driver!$L$191-Driver!$K$191)</f>
        <v>3.1699129887182251E-2</v>
      </c>
      <c r="AU241" s="72">
        <f>(BG241-Driver!$K$192)/(Driver!$L$192-Driver!$K$192)</f>
        <v>4.1725030450669907E-2</v>
      </c>
      <c r="AV241" s="70">
        <f t="shared" si="134"/>
        <v>5.2910052910052912</v>
      </c>
      <c r="AW241" s="70">
        <f t="shared" si="135"/>
        <v>28.740613198900821</v>
      </c>
      <c r="AX241" s="70">
        <f t="shared" si="136"/>
        <v>4.6727376209447922</v>
      </c>
      <c r="AY241" s="70">
        <f>IFERROR(Driver!$K$19/Data!BH241/Data!BI241*Data!BK241*Data!BL241,"")</f>
        <v>0.14382494504463555</v>
      </c>
      <c r="AZ241" s="70">
        <f t="shared" si="137"/>
        <v>23.924050632911392</v>
      </c>
      <c r="BA241" s="70"/>
      <c r="BB241" s="70"/>
      <c r="BC241" s="70">
        <f t="shared" si="138"/>
        <v>40.232577231292709</v>
      </c>
      <c r="BD241" s="70">
        <f t="shared" si="139"/>
        <v>8.1960892063928217</v>
      </c>
      <c r="BE241" s="70">
        <f t="shared" si="140"/>
        <v>0.17804091062595562</v>
      </c>
      <c r="BF241" s="70">
        <f t="shared" si="141"/>
        <v>3.5801940217658936</v>
      </c>
      <c r="BG241" s="70">
        <f t="shared" si="142"/>
        <v>0.15799758297807551</v>
      </c>
      <c r="BH241" s="67">
        <f>MAX((CE241-Driver!$F$200)/(Driver!$G$200-Driver!$F$200)*$BI$1,1)</f>
        <v>4.6727376209447922</v>
      </c>
      <c r="BI241" s="67">
        <f>MAX($BI$1*(BY241-Driver!$F$201)/(Driver!$G$201-Driver!$F$201),1)</f>
        <v>7.5316455696202533</v>
      </c>
      <c r="BJ241" s="67">
        <f>(CB241-Driver!$F$206)/(Driver!$G$206-Driver!$F$206)*$BI$1</f>
        <v>4.7619047619047619</v>
      </c>
      <c r="BK241" s="67">
        <f>(CD241-Driver!$F$203)/(Driver!$G$203-Driver!$F$203)*$BI$1</f>
        <v>3.6697247706422016</v>
      </c>
      <c r="BL241" s="67">
        <f>MAX((CR241-Driver!$F$202)/(Driver!$G$202-Driver!$F$202)*$BI$1,1)</f>
        <v>6.8965517241379315</v>
      </c>
      <c r="BM241" s="67">
        <f>MAX((CH241-Driver!$F$204)/(Driver!$G$204-Driver!$F$204)*$BI$1,1)</f>
        <v>4.4444444444444446</v>
      </c>
      <c r="BN241" s="67">
        <f>(CI241-Driver!$F$205)/(Driver!$G$205-Driver!$F$205)*$BI$1</f>
        <v>3.1764705882352939</v>
      </c>
      <c r="BO241" s="67">
        <f>(CK241-Driver!$F$207)/(Driver!$G$207-Driver!$F$207)*$BI$1</f>
        <v>1.4270941054808686</v>
      </c>
      <c r="BP241" s="67">
        <f>(CM241-Driver!$F$208)/(Driver!$G$208-Driver!$F$208)*$BI$1</f>
        <v>1.9333333333333333</v>
      </c>
      <c r="BQ241" s="67">
        <f>(CL241-Driver!$F$209)/(Driver!$G$209-Driver!$F$209)*$BI$1</f>
        <v>3.28125</v>
      </c>
      <c r="BR241" s="28" t="s">
        <v>155</v>
      </c>
      <c r="BS241" s="8" t="s">
        <v>205</v>
      </c>
      <c r="BT241" s="9" t="s">
        <v>279</v>
      </c>
      <c r="BU241" s="10">
        <v>171</v>
      </c>
      <c r="BV241" s="9" t="s">
        <v>158</v>
      </c>
      <c r="BW241" s="10">
        <v>171</v>
      </c>
      <c r="BX241" s="10">
        <v>169.4</v>
      </c>
      <c r="BY241" s="10">
        <v>127</v>
      </c>
      <c r="BZ241" s="10">
        <v>142</v>
      </c>
      <c r="CA241" s="10">
        <v>126</v>
      </c>
      <c r="CB241" s="10">
        <v>94</v>
      </c>
      <c r="CC241" s="10">
        <v>116</v>
      </c>
      <c r="CD241" s="10">
        <v>17.399999999999999</v>
      </c>
      <c r="CE241" s="10">
        <v>1721</v>
      </c>
      <c r="CF241" s="10">
        <v>1.04</v>
      </c>
      <c r="CG241" s="10">
        <v>1784</v>
      </c>
      <c r="CH241" s="10">
        <v>205</v>
      </c>
      <c r="CI241" s="10">
        <v>87</v>
      </c>
      <c r="CJ241" s="10">
        <v>49</v>
      </c>
      <c r="CK241" s="10">
        <v>248</v>
      </c>
      <c r="CL241" s="10">
        <v>21</v>
      </c>
      <c r="CM241" s="10">
        <v>174</v>
      </c>
      <c r="CN241" s="10">
        <v>0.42399999999999999</v>
      </c>
      <c r="CO241" s="10">
        <v>172</v>
      </c>
      <c r="CP241" s="10">
        <v>107</v>
      </c>
      <c r="CQ241" s="10">
        <v>76</v>
      </c>
      <c r="CR241" s="10">
        <v>9</v>
      </c>
      <c r="CS241" s="10">
        <v>10.9</v>
      </c>
      <c r="CT241" s="9" t="s">
        <v>188</v>
      </c>
      <c r="CU241" s="10"/>
      <c r="CV241" s="10"/>
      <c r="CW241" s="10"/>
      <c r="CX241" t="str">
        <f>INDEX('Data_Price '!AG$2:AG$1266,MATCH(Data!$DN241,'Data_Price '!$AT$2:$AT$1266,0))</f>
        <v>Faction Dictator 2.0 Skis 2022</v>
      </c>
      <c r="CY241" t="str">
        <f>INDEX('Data_Price '!AH$2:AH$1266,MATCH(Data!$DN241,'Data_Price '!$AT$2:$AT$1266,0))</f>
        <v>PRFO Sports</v>
      </c>
      <c r="CZ241">
        <f>INDEX('Data_Price '!AI$2:AI$1266,MATCH(Data!$DN241,'Data_Price '!$AT$2:$AT$1266,0))</f>
        <v>544.54999999999995</v>
      </c>
      <c r="DA241" t="str">
        <f>INDEX('Data_Price '!AJ$2:AJ$1266,MATCH(Data!$DN241,'Data_Price '!$AT$2:$AT$1266,0))</f>
        <v>https://tinyurl.com/y7xjjslg</v>
      </c>
      <c r="DB241" t="str">
        <f>INDEX('Data_Price '!AK$2:AK$1266,MATCH(Data!$DN241,'Data_Price '!$AT$2:$AT$1266,0))</f>
        <v>Faction Dictator 2.0 Skis</v>
      </c>
      <c r="DC241" t="str">
        <f>INDEX('Data_Price '!AL$2:AL$1266,MATCH(Data!$DN241,'Data_Price '!$AT$2:$AT$1266,0))</f>
        <v>ColoradoSkiShop.com</v>
      </c>
      <c r="DD241">
        <f>INDEX('Data_Price '!AM$2:AM$1266,MATCH(Data!$DN241,'Data_Price '!$AT$2:$AT$1266,0))</f>
        <v>699.99</v>
      </c>
      <c r="DE241" t="str">
        <f>INDEX('Data_Price '!AN$2:AN$1266,MATCH(Data!$DN241,'Data_Price '!$AT$2:$AT$1266,0))</f>
        <v>https://tinyurl.com/yabxkhc8</v>
      </c>
      <c r="DF241" t="str">
        <f>INDEX('Data_Price '!AO$2:AO$1266,MATCH(Data!$DN241,'Data_Price '!$AT$2:$AT$1266,0))</f>
        <v>Faction Agent 2.0 Skis</v>
      </c>
      <c r="DG241" t="str">
        <f>INDEX('Data_Price '!AP$2:AP$1266,MATCH(Data!$DN241,'Data_Price '!$AT$2:$AT$1266,0))</f>
        <v>Gorham Bike and Ski</v>
      </c>
      <c r="DH241">
        <f>INDEX('Data_Price '!AQ$2:AQ$1266,MATCH(Data!$DN241,'Data_Price '!$AT$2:$AT$1266,0))</f>
        <v>489.99</v>
      </c>
      <c r="DI241" t="str">
        <f>INDEX('Data_Price '!AR$2:AR$1266,MATCH(Data!$DN241,'Data_Price '!$AT$2:$AT$1266,0))</f>
        <v>https://tinyurl.com/y8o6x5jg</v>
      </c>
      <c r="DJ241" s="89" t="str">
        <f t="shared" si="143"/>
        <v>https://tinyurl.com/y7xjjslg</v>
      </c>
      <c r="DK241" s="89" t="str">
        <f t="shared" si="144"/>
        <v>https://tinyurl.com/yabxkhc8</v>
      </c>
      <c r="DL241" s="89" t="str">
        <f t="shared" si="145"/>
        <v>https://tinyurl.com/y8o6x5jg</v>
      </c>
      <c r="DM241" s="219" t="str">
        <f t="shared" si="146"/>
        <v>Dictator FG 2.0</v>
      </c>
      <c r="DN241" s="89" t="str">
        <f t="shared" si="147"/>
        <v xml:space="preserve"> FactionDictator FG 2.0171 Unisex</v>
      </c>
      <c r="DO241" s="221" t="s">
        <v>280</v>
      </c>
    </row>
    <row r="242" spans="2:119" ht="15.6" customHeight="1">
      <c r="B242" s="219" t="b">
        <f t="array" ref="B242">IF(OR(ISERROR(K242:P242)),FALSE,TRUE)</f>
        <v>1</v>
      </c>
      <c r="C242" s="43" t="b">
        <f>OR(BR242=Driver!$G$50,Data!BR826=Driver!$H$50)</f>
        <v>1</v>
      </c>
      <c r="D242" s="43" t="b">
        <f>OR(BV242=Driver!$G$51,BV242=Driver!$H$51)</f>
        <v>0</v>
      </c>
      <c r="E242" s="43" t="b">
        <f>AND(BX242&gt;Driver!$F$54,BX242&lt;Driver!$G$54)</f>
        <v>0</v>
      </c>
      <c r="F242" s="43" t="b">
        <f>CL242&gt;Driver!$F$56</f>
        <v>1</v>
      </c>
      <c r="G242" s="43" t="b">
        <f>AND(CB242&gt;Driver!$F$55,CB242&lt;Driver!$G$55)</f>
        <v>0</v>
      </c>
      <c r="H242" s="43" t="b">
        <f t="shared" si="111"/>
        <v>0</v>
      </c>
      <c r="I242" s="43">
        <f t="shared" si="112"/>
        <v>0</v>
      </c>
      <c r="J242" s="43" t="b">
        <f t="array" ref="J242">NOT(OR(($H$9:$H$1273=TRUE)*($I$9:$I$1273&gt;0)*($BT$9:$BT$1273=BT242)*($K$9:$K$1273&gt;K242)))</f>
        <v>1</v>
      </c>
      <c r="K242" s="72">
        <f t="shared" si="113"/>
        <v>0.80776346760882844</v>
      </c>
      <c r="L242" s="72">
        <f t="shared" si="114"/>
        <v>0.89870944415376719</v>
      </c>
      <c r="M242" s="72">
        <f t="shared" si="115"/>
        <v>0.71681749106388981</v>
      </c>
      <c r="N242" s="72">
        <f t="shared" si="116"/>
        <v>0.67400168264054505</v>
      </c>
      <c r="O242" s="72">
        <f t="shared" si="117"/>
        <v>0.64943726362136511</v>
      </c>
      <c r="P242" s="72">
        <f t="shared" si="118"/>
        <v>0.82701352692975927</v>
      </c>
      <c r="Q242" s="72"/>
      <c r="R242" s="72"/>
      <c r="S242" s="72">
        <f t="shared" si="119"/>
        <v>0.49694906619462886</v>
      </c>
      <c r="T242" s="72">
        <f t="shared" si="120"/>
        <v>0.52531770840358183</v>
      </c>
      <c r="U242" s="72">
        <f t="shared" si="121"/>
        <v>0.95836013655906571</v>
      </c>
      <c r="V242" s="72">
        <f t="shared" si="122"/>
        <v>0.50621133350415382</v>
      </c>
      <c r="W242" s="72">
        <f t="shared" si="123"/>
        <v>0.79364267798572252</v>
      </c>
      <c r="X242" s="72">
        <f t="shared" si="124"/>
        <v>0.10129055584623281</v>
      </c>
      <c r="Y242" s="72">
        <f t="shared" si="125"/>
        <v>0.28318250893611024</v>
      </c>
      <c r="Z242" s="72">
        <f t="shared" si="126"/>
        <v>0.325998317359455</v>
      </c>
      <c r="AA242" s="72">
        <f t="shared" si="127"/>
        <v>0.35056273637863489</v>
      </c>
      <c r="AB242" s="72">
        <f t="shared" si="128"/>
        <v>0.17298647307024073</v>
      </c>
      <c r="AC242" s="72"/>
      <c r="AD242" s="72"/>
      <c r="AE242" s="72">
        <f t="shared" si="129"/>
        <v>0.50305093380537114</v>
      </c>
      <c r="AF242" s="72">
        <f t="shared" si="130"/>
        <v>0.47468229159641817</v>
      </c>
      <c r="AG242" s="72">
        <f t="shared" si="131"/>
        <v>4.1639863440934233E-2</v>
      </c>
      <c r="AH242" s="72">
        <f t="shared" si="132"/>
        <v>0.49378866649584613</v>
      </c>
      <c r="AI242" s="72">
        <f t="shared" si="133"/>
        <v>0.20635732201427745</v>
      </c>
      <c r="AJ242" s="72">
        <f>(AV242-Driver!$K$179)/(Driver!$L$179-Driver!$K$179)</f>
        <v>0.15292885343646762</v>
      </c>
      <c r="AK242" s="72">
        <f>(AW242-Driver!$K$180)/(Driver!$L$180-Driver!$K$180)</f>
        <v>0.43126957100058411</v>
      </c>
      <c r="AL242" s="72">
        <f>(AX242-Driver!$K$181)/(Driver!$L$181-Driver!$K$181)</f>
        <v>0.4276860810725352</v>
      </c>
      <c r="AM242" s="72">
        <f>(AY242-Driver!$K$182)/(Driver!$L$182-Driver!$K$182)</f>
        <v>9.6822284718411478E-2</v>
      </c>
      <c r="AN242" s="72">
        <f>(AZ242-Driver!$K$183)/(Driver!$L$183-Driver!$K$183)</f>
        <v>0.42720588235294116</v>
      </c>
      <c r="AO242" s="72"/>
      <c r="AP242" s="72"/>
      <c r="AQ242" s="72">
        <f>(BC242-Driver!$K$188)/(Driver!$L$188-Driver!$K$188)</f>
        <v>0.11694906619462886</v>
      </c>
      <c r="AR242" s="72">
        <f>MIN((BD242-Driver!$K$189)/(Driver!$L$189-Driver!$K$189),100%)</f>
        <v>7.5317708403581901E-2</v>
      </c>
      <c r="AS242" s="72">
        <f>(BE242-Driver!$K$190)/(Driver!$L$190-Driver!$K$190)</f>
        <v>0.46836013655906578</v>
      </c>
      <c r="AT242" s="72">
        <f>(BF242-Driver!$K$191)/(Driver!$L$191-Driver!$K$191)</f>
        <v>1.6211333504153897E-2</v>
      </c>
      <c r="AU242" s="72">
        <f>(BG242-Driver!$K$192)/(Driver!$L$192-Driver!$K$192)</f>
        <v>4.364267798572255E-2</v>
      </c>
      <c r="AV242" s="70">
        <f t="shared" si="134"/>
        <v>3.2186948853615518</v>
      </c>
      <c r="AW242" s="70">
        <f t="shared" si="135"/>
        <v>43.902933752612903</v>
      </c>
      <c r="AX242" s="70">
        <f t="shared" si="136"/>
        <v>4.8491747296528169</v>
      </c>
      <c r="AY242" s="70">
        <f>IFERROR(Driver!$K$19/Data!BH242/Data!BI242*Data!BK242*Data!BL242,"")</f>
        <v>0.11853936547684296</v>
      </c>
      <c r="AZ242" s="70">
        <f t="shared" si="137"/>
        <v>38.935219657483245</v>
      </c>
      <c r="BA242" s="70"/>
      <c r="BB242" s="70"/>
      <c r="BC242" s="70">
        <f t="shared" si="138"/>
        <v>60.662293651872133</v>
      </c>
      <c r="BD242" s="70">
        <f t="shared" si="139"/>
        <v>8.3863066227323859</v>
      </c>
      <c r="BE242" s="70">
        <f t="shared" si="140"/>
        <v>0.46845497512684209</v>
      </c>
      <c r="BF242" s="70">
        <f t="shared" si="141"/>
        <v>1.8309562282305312</v>
      </c>
      <c r="BG242" s="70">
        <f t="shared" si="142"/>
        <v>0.16525901987266062</v>
      </c>
      <c r="BH242" s="67">
        <f>MAX((CE242-Driver!$F$200)/(Driver!$G$200-Driver!$F$200)*$BI$1,1)</f>
        <v>4.8491747296528169</v>
      </c>
      <c r="BI242" s="67">
        <f>MAX($BI$1*(BY242-Driver!$F$201)/(Driver!$G$201-Driver!$F$201),1)</f>
        <v>7.9746835443037973</v>
      </c>
      <c r="BJ242" s="67">
        <f>(CB242-Driver!$F$206)/(Driver!$G$206-Driver!$F$206)*$BI$1</f>
        <v>4.1269841269841265</v>
      </c>
      <c r="BK242" s="67">
        <f>(CD242-Driver!$F$203)/(Driver!$G$203-Driver!$F$203)*$BI$1</f>
        <v>3.1651376146788994</v>
      </c>
      <c r="BL242" s="67">
        <f>MAX((CR242-Driver!$F$202)/(Driver!$G$202-Driver!$F$202)*$BI$1,1)</f>
        <v>7.2413793103448274</v>
      </c>
      <c r="BM242" s="67">
        <f>MAX((CH242-Driver!$F$204)/(Driver!$G$204-Driver!$F$204)*$BI$1,1)</f>
        <v>3.1196581196581197</v>
      </c>
      <c r="BN242" s="67">
        <f>(CI242-Driver!$F$205)/(Driver!$G$205-Driver!$F$205)*$BI$1</f>
        <v>4.8823529411764701</v>
      </c>
      <c r="BO242" s="67">
        <f>(CK242-Driver!$F$207)/(Driver!$G$207-Driver!$F$207)*$BI$1</f>
        <v>1.0444674250258532</v>
      </c>
      <c r="BP242" s="67">
        <f>(CM242-Driver!$F$208)/(Driver!$G$208-Driver!$F$208)*$BI$1</f>
        <v>1.3444444444444446</v>
      </c>
      <c r="BQ242" s="67">
        <f>(CL242-Driver!$F$209)/(Driver!$G$209-Driver!$F$209)*$BI$1</f>
        <v>2.5</v>
      </c>
      <c r="BR242" s="28" t="s">
        <v>155</v>
      </c>
      <c r="BS242" s="8" t="s">
        <v>208</v>
      </c>
      <c r="BT242" s="9" t="s">
        <v>265</v>
      </c>
      <c r="BU242" s="10">
        <v>167</v>
      </c>
      <c r="BV242" s="9" t="s">
        <v>163</v>
      </c>
      <c r="BW242" s="10">
        <v>167</v>
      </c>
      <c r="BX242" s="10">
        <v>166.7</v>
      </c>
      <c r="BY242" s="10">
        <v>134</v>
      </c>
      <c r="BZ242" s="10">
        <v>152</v>
      </c>
      <c r="CA242" s="10">
        <v>139</v>
      </c>
      <c r="CB242" s="10">
        <v>90</v>
      </c>
      <c r="CC242" s="10">
        <v>113</v>
      </c>
      <c r="CD242" s="10">
        <v>16.3</v>
      </c>
      <c r="CE242" s="10">
        <v>1752</v>
      </c>
      <c r="CF242" s="10">
        <v>0.99</v>
      </c>
      <c r="CG242" s="10">
        <v>1743</v>
      </c>
      <c r="CH242" s="10">
        <v>174</v>
      </c>
      <c r="CI242" s="10">
        <v>116</v>
      </c>
      <c r="CJ242" s="10">
        <v>39</v>
      </c>
      <c r="CK242" s="10">
        <v>211</v>
      </c>
      <c r="CL242" s="10">
        <v>16</v>
      </c>
      <c r="CM242" s="10">
        <v>121</v>
      </c>
      <c r="CN242" s="10">
        <v>0.40100000000000002</v>
      </c>
      <c r="CO242" s="10">
        <v>128</v>
      </c>
      <c r="CP242" s="10">
        <v>23</v>
      </c>
      <c r="CQ242" s="10">
        <v>82</v>
      </c>
      <c r="CR242" s="10">
        <v>10</v>
      </c>
      <c r="CS242" s="10">
        <v>6.9</v>
      </c>
      <c r="CT242" s="9" t="s">
        <v>188</v>
      </c>
      <c r="CU242" s="10"/>
      <c r="CV242" s="10"/>
      <c r="CW242" s="10"/>
      <c r="CX242" t="str">
        <f>INDEX('Data_Price '!AG$2:AG$1266,MATCH(Data!$DN242,'Data_Price '!$AT$2:$AT$1266,0))</f>
        <v>Line Blade W Women's Skis 167cm 2022</v>
      </c>
      <c r="CY242" t="str">
        <f>INDEX('Data_Price '!AH$2:AH$1266,MATCH(Data!$DN242,'Data_Price '!$AT$2:$AT$1266,0))</f>
        <v>Snowcountry.eu</v>
      </c>
      <c r="CZ242">
        <f>INDEX('Data_Price '!AI$2:AI$1266,MATCH(Data!$DN242,'Data_Price '!$AT$2:$AT$1266,0))</f>
        <v>460.11</v>
      </c>
      <c r="DA242" t="str">
        <f>INDEX('Data_Price '!AJ$2:AJ$1266,MATCH(Data!$DN242,'Data_Price '!$AT$2:$AT$1266,0))</f>
        <v>https://tinyurl.com/ybpnfm86</v>
      </c>
      <c r="DB242" t="str">
        <f>INDEX('Data_Price '!AK$2:AK$1266,MATCH(Data!$DN242,'Data_Price '!$AT$2:$AT$1266,0))</f>
        <v>'21 Line Blade W Skis 167cm</v>
      </c>
      <c r="DC242" t="str">
        <f>INDEX('Data_Price '!AL$2:AL$1266,MATCH(Data!$DN242,'Data_Price '!$AT$2:$AT$1266,0))</f>
        <v>Al's Ski Equipment Barn</v>
      </c>
      <c r="DD242">
        <f>INDEX('Data_Price '!AM$2:AM$1266,MATCH(Data!$DN242,'Data_Price '!$AT$2:$AT$1266,0))</f>
        <v>479.95</v>
      </c>
      <c r="DE242" t="str">
        <f>INDEX('Data_Price '!AN$2:AN$1266,MATCH(Data!$DN242,'Data_Price '!$AT$2:$AT$1266,0))</f>
        <v>https://tinyurl.com/y777tyrx</v>
      </c>
      <c r="DF242" t="str">
        <f>INDEX('Data_Price '!AO$2:AO$1266,MATCH(Data!$DN242,'Data_Price '!$AT$2:$AT$1266,0))</f>
        <v>Line 2022 Blade W's Skis w Marker Griffon Bindings 167</v>
      </c>
      <c r="DG242" t="str">
        <f>INDEX('Data_Price '!AP$2:AP$1266,MATCH(Data!$DN242,'Data_Price '!$AT$2:$AT$1266,0))</f>
        <v>The Locals Sale</v>
      </c>
      <c r="DH242">
        <f>INDEX('Data_Price '!AQ$2:AQ$1266,MATCH(Data!$DN242,'Data_Price '!$AT$2:$AT$1266,0))</f>
        <v>511</v>
      </c>
      <c r="DI242" t="str">
        <f>INDEX('Data_Price '!AR$2:AR$1266,MATCH(Data!$DN242,'Data_Price '!$AT$2:$AT$1266,0))</f>
        <v>https://tinyurl.com/yd3xajs5</v>
      </c>
      <c r="DJ242" s="89" t="str">
        <f t="shared" si="143"/>
        <v>https://tinyurl.com/ybpnfm86</v>
      </c>
      <c r="DK242" s="89" t="str">
        <f t="shared" si="144"/>
        <v>https://tinyurl.com/y777tyrx</v>
      </c>
      <c r="DL242" s="89" t="str">
        <f t="shared" si="145"/>
        <v>https://tinyurl.com/yd3xajs5</v>
      </c>
      <c r="DM242" s="219" t="str">
        <f t="shared" si="146"/>
        <v>Blade W</v>
      </c>
      <c r="DN242" s="89" t="str">
        <f t="shared" si="147"/>
        <v xml:space="preserve"> LineBlade W167 Women's</v>
      </c>
      <c r="DO242" s="221" t="s">
        <v>266</v>
      </c>
    </row>
    <row r="243" spans="2:119" ht="15.6" customHeight="1">
      <c r="B243" s="219" t="b">
        <f t="array" ref="B243">IF(OR(ISERROR(K243:P243)),FALSE,TRUE)</f>
        <v>1</v>
      </c>
      <c r="C243" s="43" t="b">
        <f>OR(BR243=Driver!$G$50,Data!BR111=Driver!$H$50)</f>
        <v>1</v>
      </c>
      <c r="D243" s="43" t="b">
        <f>OR(BV243=Driver!$G$51,BV243=Driver!$H$51)</f>
        <v>1</v>
      </c>
      <c r="E243" s="43" t="b">
        <f>AND(BX243&gt;Driver!$F$54,BX243&lt;Driver!$G$54)</f>
        <v>0</v>
      </c>
      <c r="F243" s="43" t="b">
        <f>CL243&gt;Driver!$F$56</f>
        <v>1</v>
      </c>
      <c r="G243" s="43" t="b">
        <f>AND(CB243&gt;Driver!$F$55,CB243&lt;Driver!$G$55)</f>
        <v>0</v>
      </c>
      <c r="H243" s="43" t="b">
        <f t="shared" si="111"/>
        <v>0</v>
      </c>
      <c r="I243" s="43">
        <f t="shared" si="112"/>
        <v>0</v>
      </c>
      <c r="J243" s="43" t="b">
        <f t="array" ref="J243">NOT(OR(($H$9:$H$1273=TRUE)*($I$9:$I$1273&gt;0)*($BT$9:$BT$1273=BT243)*($K$9:$K$1273&gt;K243)))</f>
        <v>1</v>
      </c>
      <c r="K243" s="72">
        <f t="shared" si="113"/>
        <v>0.85910415426217646</v>
      </c>
      <c r="L243" s="72">
        <f t="shared" si="114"/>
        <v>0.9106343494796878</v>
      </c>
      <c r="M243" s="72">
        <f t="shared" si="115"/>
        <v>0.80757395904466511</v>
      </c>
      <c r="N243" s="72">
        <f t="shared" si="116"/>
        <v>0.83526140565325591</v>
      </c>
      <c r="O243" s="72">
        <f t="shared" si="117"/>
        <v>0.68275086611960756</v>
      </c>
      <c r="P243" s="72">
        <f t="shared" si="118"/>
        <v>0.90470960536113187</v>
      </c>
      <c r="Q243" s="72"/>
      <c r="R243" s="72"/>
      <c r="S243" s="72">
        <f t="shared" si="119"/>
        <v>0.47723589174512804</v>
      </c>
      <c r="T243" s="72">
        <f t="shared" si="120"/>
        <v>0.46197127515788916</v>
      </c>
      <c r="U243" s="72">
        <f t="shared" si="121"/>
        <v>0.91239401955983679</v>
      </c>
      <c r="V243" s="72">
        <f t="shared" si="122"/>
        <v>0.51985180702394707</v>
      </c>
      <c r="W243" s="72">
        <f t="shared" si="123"/>
        <v>0.81875101313016696</v>
      </c>
      <c r="X243" s="72">
        <f t="shared" si="124"/>
        <v>8.9365650520312256E-2</v>
      </c>
      <c r="Y243" s="72">
        <f t="shared" si="125"/>
        <v>0.19242604095533489</v>
      </c>
      <c r="Z243" s="72">
        <f t="shared" si="126"/>
        <v>0.16473859434674404</v>
      </c>
      <c r="AA243" s="72">
        <f t="shared" si="127"/>
        <v>0.31724913388039244</v>
      </c>
      <c r="AB243" s="72">
        <f t="shared" si="128"/>
        <v>9.5290394638868181E-2</v>
      </c>
      <c r="AC243" s="72"/>
      <c r="AD243" s="72"/>
      <c r="AE243" s="72">
        <f t="shared" si="129"/>
        <v>0.52276410825487196</v>
      </c>
      <c r="AF243" s="72">
        <f t="shared" si="130"/>
        <v>0.53802872484211084</v>
      </c>
      <c r="AG243" s="72">
        <f t="shared" si="131"/>
        <v>8.7605980440163267E-2</v>
      </c>
      <c r="AH243" s="72">
        <f t="shared" si="132"/>
        <v>0.48014819297605293</v>
      </c>
      <c r="AI243" s="72">
        <f t="shared" si="133"/>
        <v>0.18124898686983304</v>
      </c>
      <c r="AJ243" s="72">
        <f>(AV243-Driver!$K$179)/(Driver!$L$179-Driver!$K$179)</f>
        <v>0.16485375876238817</v>
      </c>
      <c r="AK243" s="72">
        <f>(AW243-Driver!$K$180)/(Driver!$L$180-Driver!$K$180)</f>
        <v>0.34413831153528973</v>
      </c>
      <c r="AL243" s="72">
        <f>(AX243-Driver!$K$181)/(Driver!$L$181-Driver!$K$181)</f>
        <v>0.26642635805982423</v>
      </c>
      <c r="AM243" s="72">
        <f>(AY243-Driver!$K$182)/(Driver!$L$182-Driver!$K$182)</f>
        <v>0.13013588721665395</v>
      </c>
      <c r="AN243" s="72">
        <f>(AZ243-Driver!$K$183)/(Driver!$L$183-Driver!$K$183)</f>
        <v>0.34950980392156861</v>
      </c>
      <c r="AO243" s="72"/>
      <c r="AP243" s="72"/>
      <c r="AQ243" s="72">
        <f>(BC243-Driver!$K$188)/(Driver!$L$188-Driver!$K$188)</f>
        <v>9.7235891745128089E-2</v>
      </c>
      <c r="AR243" s="72">
        <f>MIN((BD243-Driver!$K$189)/(Driver!$L$189-Driver!$K$189),100%)</f>
        <v>1.1971275157889183E-2</v>
      </c>
      <c r="AS243" s="72">
        <f>(BE243-Driver!$K$190)/(Driver!$L$190-Driver!$K$190)</f>
        <v>0.42239401955983674</v>
      </c>
      <c r="AT243" s="72">
        <f>(BF243-Driver!$K$191)/(Driver!$L$191-Driver!$K$191)</f>
        <v>2.9851807023947081E-2</v>
      </c>
      <c r="AU243" s="72">
        <f>(BG243-Driver!$K$192)/(Driver!$L$192-Driver!$K$192)</f>
        <v>6.875101313016696E-2</v>
      </c>
      <c r="AV243" s="70">
        <f t="shared" si="134"/>
        <v>3.4696784696784695</v>
      </c>
      <c r="AW243" s="70">
        <f t="shared" si="135"/>
        <v>35.411220456220512</v>
      </c>
      <c r="AX243" s="70">
        <f t="shared" si="136"/>
        <v>3.3978372225384179</v>
      </c>
      <c r="AY243" s="70">
        <f>IFERROR(Driver!$K$19/Data!BH243/Data!BI243*Data!BK243*Data!BL243,"")</f>
        <v>0.15932515475432429</v>
      </c>
      <c r="AZ243" s="70">
        <f t="shared" si="137"/>
        <v>31.854058078927771</v>
      </c>
      <c r="BA243" s="70"/>
      <c r="BB243" s="70"/>
      <c r="BC243" s="70">
        <f t="shared" si="138"/>
        <v>50.436933021150651</v>
      </c>
      <c r="BD243" s="70">
        <f t="shared" si="139"/>
        <v>2.7802595237265106</v>
      </c>
      <c r="BE243" s="70">
        <f t="shared" si="140"/>
        <v>0.42249705796551507</v>
      </c>
      <c r="BF243" s="70">
        <f t="shared" si="141"/>
        <v>3.3715518825411088</v>
      </c>
      <c r="BG243" s="70">
        <f t="shared" si="142"/>
        <v>0.26033519411574002</v>
      </c>
      <c r="BH243" s="67">
        <f>MAX((CE243-Driver!$F$200)/(Driver!$G$200-Driver!$F$200)*$BI$1,1)</f>
        <v>3.3978372225384179</v>
      </c>
      <c r="BI243" s="67">
        <f>MAX($BI$1*(BY243-Driver!$F$201)/(Driver!$G$201-Driver!$F$201),1)</f>
        <v>7.8481012658227849</v>
      </c>
      <c r="BJ243" s="67">
        <f>(CB243-Driver!$F$206)/(Driver!$G$206-Driver!$F$206)*$BI$1</f>
        <v>5.2380952380952381</v>
      </c>
      <c r="BK243" s="67">
        <f>(CD243-Driver!$F$203)/(Driver!$G$203-Driver!$F$203)*$BI$1</f>
        <v>3.623853211009175</v>
      </c>
      <c r="BL243" s="67">
        <f>MAX((CR243-Driver!$F$202)/(Driver!$G$202-Driver!$F$202)*$BI$1,1)</f>
        <v>5.8620689655172411</v>
      </c>
      <c r="BM243" s="67">
        <f>MAX((CH243-Driver!$F$204)/(Driver!$G$204-Driver!$F$204)*$BI$1,1)</f>
        <v>2.6495726495726495</v>
      </c>
      <c r="BN243" s="67">
        <f>(CI243-Driver!$F$205)/(Driver!$G$205-Driver!$F$205)*$BI$1</f>
        <v>4.0588235294117645</v>
      </c>
      <c r="BO243" s="67">
        <f>(CK243-Driver!$F$207)/(Driver!$G$207-Driver!$F$207)*$BI$1</f>
        <v>1.4477766287487073</v>
      </c>
      <c r="BP243" s="67">
        <f>(CM243-Driver!$F$208)/(Driver!$G$208-Driver!$F$208)*$BI$1</f>
        <v>1.6111111111111112</v>
      </c>
      <c r="BQ243" s="67">
        <f>(CL243-Driver!$F$209)/(Driver!$G$209-Driver!$F$209)*$BI$1</f>
        <v>2.34375</v>
      </c>
      <c r="BR243" s="28" t="s">
        <v>155</v>
      </c>
      <c r="BS243" s="8" t="s">
        <v>182</v>
      </c>
      <c r="BT243" s="9" t="s">
        <v>373</v>
      </c>
      <c r="BU243" s="10">
        <v>172</v>
      </c>
      <c r="BV243" s="9" t="s">
        <v>158</v>
      </c>
      <c r="BW243" s="10">
        <v>172</v>
      </c>
      <c r="BX243" s="10">
        <v>171.5</v>
      </c>
      <c r="BY243" s="10">
        <v>132</v>
      </c>
      <c r="BZ243" s="10">
        <v>143</v>
      </c>
      <c r="CA243" s="10">
        <v>129</v>
      </c>
      <c r="CB243" s="10">
        <v>97</v>
      </c>
      <c r="CC243" s="10">
        <v>120</v>
      </c>
      <c r="CD243" s="10">
        <v>17.3</v>
      </c>
      <c r="CE243" s="10">
        <v>1497</v>
      </c>
      <c r="CF243" s="10">
        <v>1.23</v>
      </c>
      <c r="CG243" s="10">
        <v>1844</v>
      </c>
      <c r="CH243" s="10">
        <v>163</v>
      </c>
      <c r="CI243" s="10">
        <v>102</v>
      </c>
      <c r="CJ243" s="10">
        <v>41</v>
      </c>
      <c r="CK243" s="10">
        <v>250</v>
      </c>
      <c r="CL243" s="10">
        <v>15</v>
      </c>
      <c r="CM243" s="10">
        <v>145</v>
      </c>
      <c r="CN243" s="10">
        <v>0.36899999999999999</v>
      </c>
      <c r="CO243" s="10">
        <v>171</v>
      </c>
      <c r="CP243" s="10">
        <v>112</v>
      </c>
      <c r="CQ243" s="10">
        <v>79</v>
      </c>
      <c r="CR243" s="10">
        <v>6</v>
      </c>
      <c r="CS243" s="10">
        <v>10</v>
      </c>
      <c r="CT243" s="9" t="s">
        <v>188</v>
      </c>
      <c r="CU243" s="9" t="s">
        <v>185</v>
      </c>
      <c r="CV243" s="10"/>
      <c r="CW243" s="10"/>
      <c r="CX243" t="str">
        <f>INDEX('Data_Price '!AG$2:AG$1266,MATCH(Data!$DN243,'Data_Price '!$AT$2:$AT$1266,0))</f>
        <v>Armada Men's Tracer 98 Ski</v>
      </c>
      <c r="CY243" t="str">
        <f>INDEX('Data_Price '!AH$2:AH$1266,MATCH(Data!$DN243,'Data_Price '!$AT$2:$AT$1266,0))</f>
        <v>PRFO Sports</v>
      </c>
      <c r="CZ243">
        <f>INDEX('Data_Price '!AI$2:AI$1266,MATCH(Data!$DN243,'Data_Price '!$AT$2:$AT$1266,0))</f>
        <v>512.47</v>
      </c>
      <c r="DA243" t="str">
        <f>INDEX('Data_Price '!AJ$2:AJ$1266,MATCH(Data!$DN243,'Data_Price '!$AT$2:$AT$1266,0))</f>
        <v>https://tinyurl.com/y9a8swxn</v>
      </c>
      <c r="DB243" t="str">
        <f>INDEX('Data_Price '!AK$2:AK$1266,MATCH(Data!$DN243,'Data_Price '!$AT$2:$AT$1266,0))</f>
        <v>Armada Tracer 98 Skis 2022 - 172</v>
      </c>
      <c r="DC243" t="str">
        <f>INDEX('Data_Price '!AL$2:AL$1266,MATCH(Data!$DN243,'Data_Price '!$AT$2:$AT$1266,0))</f>
        <v>Absolute-Snow.co.uk</v>
      </c>
      <c r="DD243">
        <f>INDEX('Data_Price '!AM$2:AM$1266,MATCH(Data!$DN243,'Data_Price '!$AT$2:$AT$1266,0))</f>
        <v>530.41999999999996</v>
      </c>
      <c r="DE243" t="str">
        <f>INDEX('Data_Price '!AN$2:AN$1266,MATCH(Data!$DN243,'Data_Price '!$AT$2:$AT$1266,0))</f>
        <v>https://tinyurl.com/y8j8laqz</v>
      </c>
      <c r="DF243" t="str">
        <f>INDEX('Data_Price '!AO$2:AO$1266,MATCH(Data!$DN243,'Data_Price '!$AT$2:$AT$1266,0))</f>
        <v>Armada Tracer 98 Skis 2022 - 172</v>
      </c>
      <c r="DG243" t="str">
        <f>INDEX('Data_Price '!AP$2:AP$1266,MATCH(Data!$DN243,'Data_Price '!$AT$2:$AT$1266,0))</f>
        <v>Pinewski's Ski and Board Shop</v>
      </c>
      <c r="DH243">
        <f>INDEX('Data_Price '!AQ$2:AQ$1266,MATCH(Data!$DN243,'Data_Price '!$AT$2:$AT$1266,0))</f>
        <v>559.95000000000005</v>
      </c>
      <c r="DI243" t="str">
        <f>INDEX('Data_Price '!AR$2:AR$1266,MATCH(Data!$DN243,'Data_Price '!$AT$2:$AT$1266,0))</f>
        <v>https://tinyurl.com/yasnh2yt</v>
      </c>
      <c r="DJ243" s="89" t="str">
        <f t="shared" si="143"/>
        <v>https://tinyurl.com/y9a8swxn</v>
      </c>
      <c r="DK243" s="89" t="str">
        <f t="shared" si="144"/>
        <v>https://tinyurl.com/y8j8laqz</v>
      </c>
      <c r="DL243" s="89" t="str">
        <f t="shared" si="145"/>
        <v>https://tinyurl.com/yasnh2yt</v>
      </c>
      <c r="DM243" s="219" t="str">
        <f t="shared" si="146"/>
        <v>Tracer 98</v>
      </c>
      <c r="DN243" s="89" t="str">
        <f t="shared" si="147"/>
        <v xml:space="preserve"> ArmadaTracer 98172 Unisex</v>
      </c>
      <c r="DO243" s="221" t="s">
        <v>374</v>
      </c>
    </row>
    <row r="244" spans="2:119" ht="15.6" customHeight="1">
      <c r="B244" s="219" t="b">
        <f t="array" ref="B244">IF(OR(ISERROR(K244:P244)),FALSE,TRUE)</f>
        <v>1</v>
      </c>
      <c r="C244" s="43" t="b">
        <f>OR(BR244=Driver!$G$50,Data!BR904=Driver!$H$50)</f>
        <v>1</v>
      </c>
      <c r="D244" s="43" t="b">
        <f>OR(BV244=Driver!$G$51,BV244=Driver!$H$51)</f>
        <v>1</v>
      </c>
      <c r="E244" s="43" t="b">
        <f>AND(BX244&gt;Driver!$F$54,BX244&lt;Driver!$G$54)</f>
        <v>1</v>
      </c>
      <c r="F244" s="43" t="b">
        <f>CL244&gt;Driver!$F$56</f>
        <v>1</v>
      </c>
      <c r="G244" s="43" t="b">
        <f>AND(CB244&gt;Driver!$F$55,CB244&lt;Driver!$G$55)</f>
        <v>0</v>
      </c>
      <c r="H244" s="43" t="b">
        <f t="shared" si="111"/>
        <v>0</v>
      </c>
      <c r="I244" s="43">
        <f t="shared" si="112"/>
        <v>0</v>
      </c>
      <c r="J244" s="43" t="b">
        <f t="array" ref="J244">NOT(OR(($H$9:$H$1273=TRUE)*($I$9:$I$1273&gt;0)*($BT$9:$BT$1273=BT244)*($K$9:$K$1273&gt;K244)))</f>
        <v>1</v>
      </c>
      <c r="K244" s="72">
        <f t="shared" si="113"/>
        <v>0.79502168643365301</v>
      </c>
      <c r="L244" s="72">
        <f t="shared" si="114"/>
        <v>0.88847658620517322</v>
      </c>
      <c r="M244" s="72">
        <f t="shared" si="115"/>
        <v>0.7015667866621329</v>
      </c>
      <c r="N244" s="72">
        <f t="shared" si="116"/>
        <v>0.63099908983715536</v>
      </c>
      <c r="O244" s="72">
        <f t="shared" si="117"/>
        <v>0.62928578243517019</v>
      </c>
      <c r="P244" s="72">
        <f t="shared" si="118"/>
        <v>0.84441548771407293</v>
      </c>
      <c r="Q244" s="72"/>
      <c r="R244" s="72"/>
      <c r="S244" s="72">
        <f t="shared" si="119"/>
        <v>0.4819908758490461</v>
      </c>
      <c r="T244" s="72">
        <f t="shared" si="120"/>
        <v>0.55965615065692909</v>
      </c>
      <c r="U244" s="72">
        <f t="shared" si="121"/>
        <v>0.77387213797927767</v>
      </c>
      <c r="V244" s="72">
        <f t="shared" si="122"/>
        <v>0.5237157920673764</v>
      </c>
      <c r="W244" s="72">
        <f t="shared" si="123"/>
        <v>0.77634316770186329</v>
      </c>
      <c r="X244" s="72">
        <f t="shared" si="124"/>
        <v>0.11152341379482678</v>
      </c>
      <c r="Y244" s="72">
        <f t="shared" si="125"/>
        <v>0.29843321333786715</v>
      </c>
      <c r="Z244" s="72">
        <f t="shared" si="126"/>
        <v>0.36900091016284464</v>
      </c>
      <c r="AA244" s="72">
        <f t="shared" si="127"/>
        <v>0.37071421756482981</v>
      </c>
      <c r="AB244" s="72">
        <f t="shared" si="128"/>
        <v>0.15558451228592707</v>
      </c>
      <c r="AC244" s="72"/>
      <c r="AD244" s="72"/>
      <c r="AE244" s="72">
        <f t="shared" si="129"/>
        <v>0.5180091241509539</v>
      </c>
      <c r="AF244" s="72">
        <f t="shared" si="130"/>
        <v>0.44034384934307086</v>
      </c>
      <c r="AG244" s="72">
        <f t="shared" si="131"/>
        <v>0.22612786202072233</v>
      </c>
      <c r="AH244" s="72">
        <f t="shared" si="132"/>
        <v>0.4762842079326236</v>
      </c>
      <c r="AI244" s="72">
        <f t="shared" si="133"/>
        <v>0.22365683229813665</v>
      </c>
      <c r="AJ244" s="72">
        <f>(AV244-Driver!$K$179)/(Driver!$L$179-Driver!$K$179)</f>
        <v>0.14269599548787365</v>
      </c>
      <c r="AK244" s="72">
        <f>(AW244-Driver!$K$180)/(Driver!$L$180-Driver!$K$180)</f>
        <v>0.41871402122041335</v>
      </c>
      <c r="AL244" s="72">
        <f>(AX244-Driver!$K$181)/(Driver!$L$181-Driver!$K$181)</f>
        <v>0.47068867387592483</v>
      </c>
      <c r="AM244" s="72">
        <f>(AY244-Driver!$K$182)/(Driver!$L$182-Driver!$K$182)</f>
        <v>7.6670803532216572E-2</v>
      </c>
      <c r="AN244" s="72">
        <f>(AZ244-Driver!$K$183)/(Driver!$L$183-Driver!$K$183)</f>
        <v>0.40980392156862749</v>
      </c>
      <c r="AO244" s="72"/>
      <c r="AP244" s="72"/>
      <c r="AQ244" s="72">
        <f>(BC244-Driver!$K$188)/(Driver!$L$188-Driver!$K$188)</f>
        <v>0.10199087584904612</v>
      </c>
      <c r="AR244" s="72">
        <f>MIN((BD244-Driver!$K$189)/(Driver!$L$189-Driver!$K$189),100%)</f>
        <v>0.10965615065692917</v>
      </c>
      <c r="AS244" s="72">
        <f>(BE244-Driver!$K$190)/(Driver!$L$190-Driver!$K$190)</f>
        <v>0.28387213797927768</v>
      </c>
      <c r="AT244" s="72">
        <f>(BF244-Driver!$K$191)/(Driver!$L$191-Driver!$K$191)</f>
        <v>3.3715792067376384E-2</v>
      </c>
      <c r="AU244" s="72">
        <f>(BG244-Driver!$K$192)/(Driver!$L$192-Driver!$K$192)</f>
        <v>2.6343167701863353E-2</v>
      </c>
      <c r="AV244" s="70">
        <f t="shared" si="134"/>
        <v>3.0033238366571697</v>
      </c>
      <c r="AW244" s="70">
        <f t="shared" si="135"/>
        <v>42.679284173046568</v>
      </c>
      <c r="AX244" s="70">
        <f t="shared" si="136"/>
        <v>5.2361980648833235</v>
      </c>
      <c r="AY244" s="70">
        <f>IFERROR(Driver!$K$19/Data!BH244/Data!BI244*Data!BK244*Data!BL244,"")</f>
        <v>9.38679398832694E-2</v>
      </c>
      <c r="AZ244" s="70">
        <f t="shared" si="137"/>
        <v>37.349218168279975</v>
      </c>
      <c r="BA244" s="70"/>
      <c r="BB244" s="70"/>
      <c r="BC244" s="70">
        <f t="shared" si="138"/>
        <v>52.903376331966136</v>
      </c>
      <c r="BD244" s="70">
        <f t="shared" si="139"/>
        <v>11.425197918034282</v>
      </c>
      <c r="BE244" s="70">
        <f t="shared" si="140"/>
        <v>0.28399988712949975</v>
      </c>
      <c r="BF244" s="70">
        <f t="shared" si="141"/>
        <v>3.80796184716516</v>
      </c>
      <c r="BG244" s="70">
        <f t="shared" si="142"/>
        <v>9.9752038043478264E-2</v>
      </c>
      <c r="BH244" s="67">
        <f>MAX((CE244-Driver!$F$200)/(Driver!$G$200-Driver!$F$200)*$BI$1,1)</f>
        <v>5.2361980648833235</v>
      </c>
      <c r="BI244" s="67">
        <f>MAX($BI$1*(BY244-Driver!$F$201)/(Driver!$G$201-Driver!$F$201),1)</f>
        <v>7.2151898734177218</v>
      </c>
      <c r="BJ244" s="67">
        <f>(CB244-Driver!$F$206)/(Driver!$G$206-Driver!$F$206)*$BI$1</f>
        <v>3.6507936507936507</v>
      </c>
      <c r="BK244" s="67">
        <f>(CD244-Driver!$F$203)/(Driver!$G$203-Driver!$F$203)*$BI$1</f>
        <v>2.7064220183486243</v>
      </c>
      <c r="BL244" s="67">
        <f>MAX((CR244-Driver!$F$202)/(Driver!$G$202-Driver!$F$202)*$BI$1,1)</f>
        <v>6.5517241379310338</v>
      </c>
      <c r="BM244" s="67">
        <f>MAX((CH244-Driver!$F$204)/(Driver!$G$204-Driver!$F$204)*$BI$1,1)</f>
        <v>3.2905982905982905</v>
      </c>
      <c r="BN244" s="67">
        <f>(CI244-Driver!$F$205)/(Driver!$G$205-Driver!$F$205)*$BI$1</f>
        <v>5.1764705882352944</v>
      </c>
      <c r="BO244" s="67">
        <f>(CK244-Driver!$F$207)/(Driver!$G$207-Driver!$F$207)*$BI$1</f>
        <v>1.5305067218200621</v>
      </c>
      <c r="BP244" s="67">
        <f>(CM244-Driver!$F$208)/(Driver!$G$208-Driver!$F$208)*$BI$1</f>
        <v>1.8444444444444443</v>
      </c>
      <c r="BQ244" s="67">
        <f>(CL244-Driver!$F$209)/(Driver!$G$209-Driver!$F$209)*$BI$1</f>
        <v>1.71875</v>
      </c>
      <c r="BR244" s="28" t="s">
        <v>155</v>
      </c>
      <c r="BS244" s="8" t="s">
        <v>332</v>
      </c>
      <c r="BT244" s="9" t="s">
        <v>455</v>
      </c>
      <c r="BU244" s="10">
        <v>165</v>
      </c>
      <c r="BV244" s="9" t="s">
        <v>158</v>
      </c>
      <c r="BW244" s="10">
        <v>165</v>
      </c>
      <c r="BX244" s="10">
        <v>164.5</v>
      </c>
      <c r="BY244" s="10">
        <v>122</v>
      </c>
      <c r="BZ244" s="10">
        <v>137</v>
      </c>
      <c r="CA244" s="10">
        <v>121</v>
      </c>
      <c r="CB244" s="10">
        <v>87</v>
      </c>
      <c r="CC244" s="10">
        <v>107</v>
      </c>
      <c r="CD244" s="10">
        <v>15.3</v>
      </c>
      <c r="CE244" s="10">
        <v>1820</v>
      </c>
      <c r="CF244" s="10">
        <v>0.89</v>
      </c>
      <c r="CG244" s="10">
        <v>1620</v>
      </c>
      <c r="CH244" s="10">
        <v>178</v>
      </c>
      <c r="CI244" s="10">
        <v>121</v>
      </c>
      <c r="CJ244" s="10">
        <v>52</v>
      </c>
      <c r="CK244" s="10">
        <v>258</v>
      </c>
      <c r="CL244" s="10">
        <v>11</v>
      </c>
      <c r="CM244" s="10">
        <v>166</v>
      </c>
      <c r="CN244" s="10">
        <v>0.215</v>
      </c>
      <c r="CO244" s="10">
        <v>128</v>
      </c>
      <c r="CP244" s="10">
        <v>148</v>
      </c>
      <c r="CQ244" s="10">
        <v>130</v>
      </c>
      <c r="CR244" s="10">
        <v>8</v>
      </c>
      <c r="CS244" s="10">
        <v>8.6999999999999993</v>
      </c>
      <c r="CT244" s="9" t="s">
        <v>188</v>
      </c>
      <c r="CU244" s="10"/>
      <c r="CV244" s="10"/>
      <c r="CW244" s="10"/>
      <c r="CX244" t="str">
        <f>INDEX('Data_Price '!AG$2:AG$1266,MATCH(Data!$DN244,'Data_Price '!$AT$2:$AT$1266,0))</f>
        <v>Nordica Enforcer 88 Skis 2022 - 165</v>
      </c>
      <c r="CY244" t="str">
        <f>INDEX('Data_Price '!AH$2:AH$1266,MATCH(Data!$DN244,'Data_Price '!$AT$2:$AT$1266,0))</f>
        <v>BlueZone Sports</v>
      </c>
      <c r="CZ244">
        <f>INDEX('Data_Price '!AI$2:AI$1266,MATCH(Data!$DN244,'Data_Price '!$AT$2:$AT$1266,0))</f>
        <v>487.49</v>
      </c>
      <c r="DA244" t="str">
        <f>INDEX('Data_Price '!AJ$2:AJ$1266,MATCH(Data!$DN244,'Data_Price '!$AT$2:$AT$1266,0))</f>
        <v>https://tinyurl.com/yd2vt65o</v>
      </c>
      <c r="DB244" t="str">
        <f>INDEX('Data_Price '!AK$2:AK$1266,MATCH(Data!$DN244,'Data_Price '!$AT$2:$AT$1266,0))</f>
        <v>Nordica Enforcer 88 Skis 2022 - 165</v>
      </c>
      <c r="DC244" t="str">
        <f>INDEX('Data_Price '!AL$2:AL$1266,MATCH(Data!$DN244,'Data_Price '!$AT$2:$AT$1266,0))</f>
        <v>eBay - webyshops</v>
      </c>
      <c r="DD244">
        <f>INDEX('Data_Price '!AM$2:AM$1266,MATCH(Data!$DN244,'Data_Price '!$AT$2:$AT$1266,0))</f>
        <v>519.99</v>
      </c>
      <c r="DE244" t="str">
        <f>INDEX('Data_Price '!AN$2:AN$1266,MATCH(Data!$DN244,'Data_Price '!$AT$2:$AT$1266,0))</f>
        <v>https://tinyurl.com/ybq363l8</v>
      </c>
      <c r="DF244" t="str">
        <f>INDEX('Data_Price '!AO$2:AO$1266,MATCH(Data!$DN244,'Data_Price '!$AT$2:$AT$1266,0))</f>
        <v>Nordica Enforcer 88 Skis 2022 - 165</v>
      </c>
      <c r="DG244" t="str">
        <f>INDEX('Data_Price '!AP$2:AP$1266,MATCH(Data!$DN244,'Data_Price '!$AT$2:$AT$1266,0))</f>
        <v>AlpineShopVT.com</v>
      </c>
      <c r="DH244">
        <f>INDEX('Data_Price '!AQ$2:AQ$1266,MATCH(Data!$DN244,'Data_Price '!$AT$2:$AT$1266,0))</f>
        <v>519.99</v>
      </c>
      <c r="DI244" t="str">
        <f>INDEX('Data_Price '!AR$2:AR$1266,MATCH(Data!$DN244,'Data_Price '!$AT$2:$AT$1266,0))</f>
        <v>https://tinyurl.com/yawh2bw6</v>
      </c>
      <c r="DJ244" s="89" t="str">
        <f t="shared" si="143"/>
        <v>https://tinyurl.com/yd2vt65o</v>
      </c>
      <c r="DK244" s="89" t="str">
        <f t="shared" si="144"/>
        <v>https://tinyurl.com/ybq363l8</v>
      </c>
      <c r="DL244" s="89" t="str">
        <f t="shared" si="145"/>
        <v>https://tinyurl.com/yawh2bw6</v>
      </c>
      <c r="DM244" s="219" t="str">
        <f t="shared" si="146"/>
        <v>Enforcer 88</v>
      </c>
      <c r="DN244" s="89" t="str">
        <f t="shared" si="147"/>
        <v xml:space="preserve"> NordicaEnforcer 88165 Unisex</v>
      </c>
      <c r="DO244" s="221"/>
    </row>
    <row r="245" spans="2:119" ht="15.6" customHeight="1">
      <c r="B245" s="219" t="b">
        <f t="array" ref="B245">IF(OR(ISERROR(K245:P245)),FALSE,TRUE)</f>
        <v>1</v>
      </c>
      <c r="C245" s="43" t="b">
        <f>OR(BR245=Driver!$G$50,Data!BR864=Driver!$H$50)</f>
        <v>1</v>
      </c>
      <c r="D245" s="43" t="b">
        <f>OR(BV245=Driver!$G$51,BV245=Driver!$H$51)</f>
        <v>1</v>
      </c>
      <c r="E245" s="43" t="b">
        <f>AND(BX245&gt;Driver!$F$54,BX245&lt;Driver!$G$54)</f>
        <v>0</v>
      </c>
      <c r="F245" s="43" t="b">
        <f>CL245&gt;Driver!$F$56</f>
        <v>1</v>
      </c>
      <c r="G245" s="43" t="b">
        <f>AND(CB245&gt;Driver!$F$55,CB245&lt;Driver!$G$55)</f>
        <v>0</v>
      </c>
      <c r="H245" s="43" t="b">
        <f t="shared" si="111"/>
        <v>0</v>
      </c>
      <c r="I245" s="43">
        <f t="shared" si="112"/>
        <v>0</v>
      </c>
      <c r="J245" s="43" t="b">
        <f t="array" ref="J245">NOT(OR(($H$9:$H$1273=TRUE)*($I$9:$I$1273&gt;0)*($BT$9:$BT$1273=BT245)*($K$9:$K$1273&gt;K245)))</f>
        <v>1</v>
      </c>
      <c r="K245" s="72">
        <f t="shared" si="113"/>
        <v>0.84334909257888557</v>
      </c>
      <c r="L245" s="72">
        <f t="shared" si="114"/>
        <v>0.91256811791091819</v>
      </c>
      <c r="M245" s="72">
        <f t="shared" si="115"/>
        <v>0.77413006724685296</v>
      </c>
      <c r="N245" s="72">
        <f t="shared" si="116"/>
        <v>0.74799143790520062</v>
      </c>
      <c r="O245" s="72">
        <f t="shared" si="117"/>
        <v>0.67295713233043575</v>
      </c>
      <c r="P245" s="72">
        <f t="shared" si="118"/>
        <v>0.90144163150492262</v>
      </c>
      <c r="Q245" s="72"/>
      <c r="R245" s="72"/>
      <c r="S245" s="72">
        <f t="shared" si="119"/>
        <v>0.50946538658228502</v>
      </c>
      <c r="T245" s="72">
        <f t="shared" si="120"/>
        <v>0.50800719140708983</v>
      </c>
      <c r="U245" s="72">
        <f t="shared" si="121"/>
        <v>0.72600446680180564</v>
      </c>
      <c r="V245" s="72">
        <f t="shared" si="122"/>
        <v>0.51481169691555551</v>
      </c>
      <c r="W245" s="72">
        <f t="shared" si="123"/>
        <v>0.79359863945578235</v>
      </c>
      <c r="X245" s="72">
        <f t="shared" si="124"/>
        <v>8.7431882089081869E-2</v>
      </c>
      <c r="Y245" s="72">
        <f t="shared" si="125"/>
        <v>0.22586993275314701</v>
      </c>
      <c r="Z245" s="72">
        <f t="shared" si="126"/>
        <v>0.25200856209479938</v>
      </c>
      <c r="AA245" s="72">
        <f t="shared" si="127"/>
        <v>0.32704286766956431</v>
      </c>
      <c r="AB245" s="72">
        <f t="shared" si="128"/>
        <v>9.8558368495077375E-2</v>
      </c>
      <c r="AC245" s="72"/>
      <c r="AD245" s="72"/>
      <c r="AE245" s="72">
        <f t="shared" si="129"/>
        <v>0.49053461341771498</v>
      </c>
      <c r="AF245" s="72">
        <f t="shared" si="130"/>
        <v>0.49199280859291011</v>
      </c>
      <c r="AG245" s="72">
        <f t="shared" si="131"/>
        <v>0.27399553319819436</v>
      </c>
      <c r="AH245" s="72">
        <f t="shared" si="132"/>
        <v>0.48518830308444449</v>
      </c>
      <c r="AI245" s="72">
        <f t="shared" si="133"/>
        <v>0.20640136054421768</v>
      </c>
      <c r="AJ245" s="72">
        <f>(AV245-Driver!$K$179)/(Driver!$L$179-Driver!$K$179)</f>
        <v>0.16678752719361856</v>
      </c>
      <c r="AK245" s="72">
        <f>(AW245-Driver!$K$180)/(Driver!$L$180-Driver!$K$180)</f>
        <v>0.35513043583006926</v>
      </c>
      <c r="AL245" s="72">
        <f>(AX245-Driver!$K$181)/(Driver!$L$181-Driver!$K$181)</f>
        <v>0.35369632580787957</v>
      </c>
      <c r="AM245" s="72">
        <f>(AY245-Driver!$K$182)/(Driver!$L$182-Driver!$K$182)</f>
        <v>0.12034215342748204</v>
      </c>
      <c r="AN245" s="72">
        <f>(AZ245-Driver!$K$183)/(Driver!$L$183-Driver!$K$183)</f>
        <v>0.3527777777777778</v>
      </c>
      <c r="AO245" s="72"/>
      <c r="AP245" s="72"/>
      <c r="AQ245" s="72">
        <f>(BC245-Driver!$K$188)/(Driver!$L$188-Driver!$K$188)</f>
        <v>0.12946538658228504</v>
      </c>
      <c r="AR245" s="72">
        <f>MIN((BD245-Driver!$K$189)/(Driver!$L$189-Driver!$K$189),100%)</f>
        <v>5.8007191407089945E-2</v>
      </c>
      <c r="AS245" s="72">
        <f>(BE245-Driver!$K$190)/(Driver!$L$190-Driver!$K$190)</f>
        <v>0.23600446680180565</v>
      </c>
      <c r="AT245" s="72">
        <f>(BF245-Driver!$K$191)/(Driver!$L$191-Driver!$K$191)</f>
        <v>2.4811696915555518E-2</v>
      </c>
      <c r="AU245" s="72">
        <f>(BG245-Driver!$K$192)/(Driver!$L$192-Driver!$K$192)</f>
        <v>4.3598639455782316E-2</v>
      </c>
      <c r="AV245" s="70">
        <f t="shared" si="134"/>
        <v>3.5103785103785103</v>
      </c>
      <c r="AW245" s="70">
        <f t="shared" si="135"/>
        <v>36.482500368876387</v>
      </c>
      <c r="AX245" s="70">
        <f t="shared" si="136"/>
        <v>4.1832669322709162</v>
      </c>
      <c r="AY245" s="70">
        <f>IFERROR(Driver!$K$19/Data!BH245/Data!BI245*Data!BK245*Data!BL245,"")</f>
        <v>0.14733470242825156</v>
      </c>
      <c r="AZ245" s="70">
        <f t="shared" si="137"/>
        <v>32.151898734177216</v>
      </c>
      <c r="BA245" s="70"/>
      <c r="BB245" s="70"/>
      <c r="BC245" s="70">
        <f t="shared" si="138"/>
        <v>67.154596048997078</v>
      </c>
      <c r="BD245" s="70">
        <f t="shared" si="139"/>
        <v>6.8543565409639831</v>
      </c>
      <c r="BE245" s="70">
        <f t="shared" si="140"/>
        <v>0.23614075500579218</v>
      </c>
      <c r="BF245" s="70">
        <f t="shared" si="141"/>
        <v>2.8023068545757903</v>
      </c>
      <c r="BG245" s="70">
        <f t="shared" si="142"/>
        <v>0.16509226190476192</v>
      </c>
      <c r="BH245" s="67">
        <f>MAX((CE245-Driver!$F$200)/(Driver!$G$200-Driver!$F$200)*$BI$1,1)</f>
        <v>4.1832669322709162</v>
      </c>
      <c r="BI245" s="67">
        <f>MAX($BI$1*(BY245-Driver!$F$201)/(Driver!$G$201-Driver!$F$201),1)</f>
        <v>8.037974683544304</v>
      </c>
      <c r="BJ245" s="67">
        <f>(CB245-Driver!$F$206)/(Driver!$G$206-Driver!$F$206)*$BI$1</f>
        <v>3.6507936507936507</v>
      </c>
      <c r="BK245" s="67">
        <f>(CD245-Driver!$F$203)/(Driver!$G$203-Driver!$F$203)*$BI$1</f>
        <v>3.9908256880733957</v>
      </c>
      <c r="BL245" s="67">
        <f>MAX((CR245-Driver!$F$202)/(Driver!$G$202-Driver!$F$202)*$BI$1,1)</f>
        <v>6.2068965517241379</v>
      </c>
      <c r="BM245" s="67">
        <f>MAX((CH245-Driver!$F$204)/(Driver!$G$204-Driver!$F$204)*$BI$1,1)</f>
        <v>3.8461538461538463</v>
      </c>
      <c r="BN245" s="67">
        <f>(CI245-Driver!$F$205)/(Driver!$G$205-Driver!$F$205)*$BI$1</f>
        <v>4</v>
      </c>
      <c r="BO245" s="67">
        <f>(CK245-Driver!$F$207)/(Driver!$G$207-Driver!$F$207)*$BI$1</f>
        <v>1.7786970010341261</v>
      </c>
      <c r="BP245" s="67">
        <f>(CM245-Driver!$F$208)/(Driver!$G$208-Driver!$F$208)*$BI$1</f>
        <v>1.7222222222222223</v>
      </c>
      <c r="BQ245" s="67">
        <f>(CL245-Driver!$F$209)/(Driver!$G$209-Driver!$F$209)*$BI$1</f>
        <v>2.65625</v>
      </c>
      <c r="BR245" s="28" t="s">
        <v>155</v>
      </c>
      <c r="BS245" s="8" t="s">
        <v>208</v>
      </c>
      <c r="BT245" s="9" t="s">
        <v>435</v>
      </c>
      <c r="BU245" s="10">
        <v>179</v>
      </c>
      <c r="BV245" s="9" t="s">
        <v>158</v>
      </c>
      <c r="BW245" s="10">
        <v>179</v>
      </c>
      <c r="BX245" s="10">
        <v>179</v>
      </c>
      <c r="BY245" s="10">
        <v>135</v>
      </c>
      <c r="BZ245" s="10">
        <v>154</v>
      </c>
      <c r="CA245" s="10">
        <v>126</v>
      </c>
      <c r="CB245" s="10">
        <v>87</v>
      </c>
      <c r="CC245" s="10">
        <v>113</v>
      </c>
      <c r="CD245" s="10">
        <v>18.100000000000001</v>
      </c>
      <c r="CE245" s="10">
        <v>1635</v>
      </c>
      <c r="CF245" s="10">
        <v>1.0900000000000001</v>
      </c>
      <c r="CG245" s="10">
        <v>1784</v>
      </c>
      <c r="CH245" s="10">
        <v>191</v>
      </c>
      <c r="CI245" s="10">
        <v>101</v>
      </c>
      <c r="CJ245" s="10">
        <v>44</v>
      </c>
      <c r="CK245" s="10">
        <v>282</v>
      </c>
      <c r="CL245" s="10">
        <v>17</v>
      </c>
      <c r="CM245" s="10">
        <v>155</v>
      </c>
      <c r="CN245" s="10">
        <v>0.376</v>
      </c>
      <c r="CO245" s="10">
        <v>146</v>
      </c>
      <c r="CP245" s="10">
        <v>102</v>
      </c>
      <c r="CQ245" s="10">
        <v>136</v>
      </c>
      <c r="CR245" s="10">
        <v>7</v>
      </c>
      <c r="CS245" s="10">
        <v>10.3</v>
      </c>
      <c r="CT245" s="9" t="s">
        <v>188</v>
      </c>
      <c r="CU245" s="9" t="s">
        <v>185</v>
      </c>
      <c r="CV245" s="10"/>
      <c r="CW245" s="10"/>
      <c r="CX245" t="str">
        <f>INDEX('Data_Price '!AG$2:AG$1266,MATCH(Data!$DN245,'Data_Price '!$AT$2:$AT$1266,0))</f>
        <v>Line Skis Sick Day 88</v>
      </c>
      <c r="CY245" t="str">
        <f>INDEX('Data_Price '!AH$2:AH$1266,MATCH(Data!$DN245,'Data_Price '!$AT$2:$AT$1266,0))</f>
        <v>Powder7 Ski Shop</v>
      </c>
      <c r="CZ245">
        <f>INDEX('Data_Price '!AI$2:AI$1266,MATCH(Data!$DN245,'Data_Price '!$AT$2:$AT$1266,0))</f>
        <v>399.95</v>
      </c>
      <c r="DA245" t="str">
        <f>INDEX('Data_Price '!AJ$2:AJ$1266,MATCH(Data!$DN245,'Data_Price '!$AT$2:$AT$1266,0))</f>
        <v>https://tinyurl.com/y757tkuc</v>
      </c>
      <c r="DB245" t="str">
        <f>INDEX('Data_Price '!AK$2:AK$1266,MATCH(Data!$DN245,'Data_Price '!$AT$2:$AT$1266,0))</f>
        <v>Line Skis Sick Day 88</v>
      </c>
      <c r="DC245" t="str">
        <f>INDEX('Data_Price '!AL$2:AL$1266,MATCH(Data!$DN245,'Data_Price '!$AT$2:$AT$1266,0))</f>
        <v>UtahSkis</v>
      </c>
      <c r="DD245">
        <f>INDEX('Data_Price '!AM$2:AM$1266,MATCH(Data!$DN245,'Data_Price '!$AT$2:$AT$1266,0))</f>
        <v>399.95</v>
      </c>
      <c r="DE245" t="str">
        <f>INDEX('Data_Price '!AN$2:AN$1266,MATCH(Data!$DN245,'Data_Price '!$AT$2:$AT$1266,0))</f>
        <v>https://tinyurl.com/ycnnqp4t</v>
      </c>
      <c r="DF245" t="str">
        <f>INDEX('Data_Price '!AO$2:AO$1266,MATCH(Data!$DN245,'Data_Price '!$AT$2:$AT$1266,0))</f>
        <v>'22 Line Sick Day 88 Skis 179cm</v>
      </c>
      <c r="DG245" t="str">
        <f>INDEX('Data_Price '!AP$2:AP$1266,MATCH(Data!$DN245,'Data_Price '!$AT$2:$AT$1266,0))</f>
        <v>Al's Ski Equipment Barn</v>
      </c>
      <c r="DH245">
        <f>INDEX('Data_Price '!AQ$2:AQ$1266,MATCH(Data!$DN245,'Data_Price '!$AT$2:$AT$1266,0))</f>
        <v>399.95</v>
      </c>
      <c r="DI245" t="str">
        <f>INDEX('Data_Price '!AR$2:AR$1266,MATCH(Data!$DN245,'Data_Price '!$AT$2:$AT$1266,0))</f>
        <v>https://tinyurl.com/ycv7clfc</v>
      </c>
      <c r="DJ245" s="89" t="str">
        <f t="shared" si="143"/>
        <v>https://tinyurl.com/y757tkuc</v>
      </c>
      <c r="DK245" s="89" t="str">
        <f t="shared" si="144"/>
        <v>https://tinyurl.com/ycnnqp4t</v>
      </c>
      <c r="DL245" s="89" t="str">
        <f t="shared" si="145"/>
        <v>https://tinyurl.com/ycv7clfc</v>
      </c>
      <c r="DM245" s="219" t="str">
        <f t="shared" si="146"/>
        <v>Sick Day 88</v>
      </c>
      <c r="DN245" s="89" t="str">
        <f t="shared" si="147"/>
        <v xml:space="preserve"> LineSick Day 88179 Unisex</v>
      </c>
      <c r="DO245" s="221"/>
    </row>
    <row r="246" spans="2:119" ht="15.6" customHeight="1">
      <c r="B246" s="219" t="b">
        <f t="array" ref="B246">IF(OR(ISERROR(K246:P246)),FALSE,TRUE)</f>
        <v>1</v>
      </c>
      <c r="C246" s="43" t="b">
        <f>OR(BR246=Driver!$G$50,Data!BR266=Driver!$H$50)</f>
        <v>1</v>
      </c>
      <c r="D246" s="43" t="b">
        <f>OR(BV246=Driver!$G$51,BV246=Driver!$H$51)</f>
        <v>0</v>
      </c>
      <c r="E246" s="43" t="b">
        <f>AND(BX246&gt;Driver!$F$54,BX246&lt;Driver!$G$54)</f>
        <v>1</v>
      </c>
      <c r="F246" s="43" t="b">
        <f>CL246&gt;Driver!$F$56</f>
        <v>1</v>
      </c>
      <c r="G246" s="43" t="b">
        <f>AND(CB246&gt;Driver!$F$55,CB246&lt;Driver!$G$55)</f>
        <v>0</v>
      </c>
      <c r="H246" s="43" t="b">
        <f t="shared" si="111"/>
        <v>0</v>
      </c>
      <c r="I246" s="43">
        <f t="shared" si="112"/>
        <v>0</v>
      </c>
      <c r="J246" s="43" t="b">
        <f t="array" ref="J246">NOT(OR(($H$9:$H$1273=TRUE)*($I$9:$I$1273&gt;0)*($BT$9:$BT$1273=BT246)*($K$9:$K$1273&gt;K246)))</f>
        <v>1</v>
      </c>
      <c r="K246" s="72">
        <f t="shared" si="113"/>
        <v>0.84385489857444951</v>
      </c>
      <c r="L246" s="72">
        <f t="shared" si="114"/>
        <v>0.97783280246494275</v>
      </c>
      <c r="M246" s="72">
        <f t="shared" si="115"/>
        <v>0.70987699468395626</v>
      </c>
      <c r="N246" s="72">
        <f t="shared" si="116"/>
        <v>0.57345150240908993</v>
      </c>
      <c r="O246" s="72">
        <f t="shared" si="117"/>
        <v>0.61094700046465367</v>
      </c>
      <c r="P246" s="72">
        <f t="shared" si="118"/>
        <v>0.94523248117812519</v>
      </c>
      <c r="Q246" s="72"/>
      <c r="R246" s="72"/>
      <c r="S246" s="72">
        <f t="shared" si="119"/>
        <v>0.44519499357293058</v>
      </c>
      <c r="T246" s="72">
        <f t="shared" si="120"/>
        <v>0.53719462400858065</v>
      </c>
      <c r="U246" s="72">
        <f t="shared" si="121"/>
        <v>0.88167557563553856</v>
      </c>
      <c r="V246" s="72">
        <f t="shared" si="122"/>
        <v>0.51523397890291767</v>
      </c>
      <c r="W246" s="72">
        <f t="shared" si="123"/>
        <v>0.76678041543026709</v>
      </c>
      <c r="X246" s="72">
        <f t="shared" si="124"/>
        <v>2.2167197535057248E-2</v>
      </c>
      <c r="Y246" s="72">
        <f t="shared" si="125"/>
        <v>0.29012300531604374</v>
      </c>
      <c r="Z246" s="72">
        <f t="shared" si="126"/>
        <v>0.42654849759091007</v>
      </c>
      <c r="AA246" s="72">
        <f t="shared" si="127"/>
        <v>0.38905299953534633</v>
      </c>
      <c r="AB246" s="72">
        <f t="shared" si="128"/>
        <v>5.476751882187475E-2</v>
      </c>
      <c r="AC246" s="72"/>
      <c r="AD246" s="72"/>
      <c r="AE246" s="72">
        <f t="shared" si="129"/>
        <v>0.55480500642706942</v>
      </c>
      <c r="AF246" s="72">
        <f t="shared" si="130"/>
        <v>0.46280537599141935</v>
      </c>
      <c r="AG246" s="72">
        <f t="shared" si="131"/>
        <v>0.11832442436446144</v>
      </c>
      <c r="AH246" s="72">
        <f t="shared" si="132"/>
        <v>0.48476602109708233</v>
      </c>
      <c r="AI246" s="72">
        <f t="shared" si="133"/>
        <v>0.23321958456973294</v>
      </c>
      <c r="AJ246" s="72">
        <f>(AV246-Driver!$K$179)/(Driver!$L$179-Driver!$K$179)</f>
        <v>0.23205221174764318</v>
      </c>
      <c r="AK246" s="72">
        <f>(AW246-Driver!$K$180)/(Driver!$L$180-Driver!$K$180)</f>
        <v>0.32951835457617423</v>
      </c>
      <c r="AL246" s="72">
        <f>(AX246-Driver!$K$181)/(Driver!$L$181-Driver!$K$181)</f>
        <v>0.52823626130399026</v>
      </c>
      <c r="AM246" s="72">
        <f>(AY246-Driver!$K$182)/(Driver!$L$182-Driver!$K$182)</f>
        <v>5.8332021561700018E-2</v>
      </c>
      <c r="AN246" s="72">
        <f>(AZ246-Driver!$K$183)/(Driver!$L$183-Driver!$K$183)</f>
        <v>0.30898692810457518</v>
      </c>
      <c r="AO246" s="72"/>
      <c r="AP246" s="72"/>
      <c r="AQ246" s="72">
        <f>(BC246-Driver!$K$188)/(Driver!$L$188-Driver!$K$188)</f>
        <v>6.5194993572930598E-2</v>
      </c>
      <c r="AR246" s="72">
        <f>MIN((BD246-Driver!$K$189)/(Driver!$L$189-Driver!$K$189),100%)</f>
        <v>8.7194624008580704E-2</v>
      </c>
      <c r="AS246" s="72">
        <f>(BE246-Driver!$K$190)/(Driver!$L$190-Driver!$K$190)</f>
        <v>0.62832442436446145</v>
      </c>
      <c r="AT246" s="72">
        <f>(BF246-Driver!$K$191)/(Driver!$L$191-Driver!$K$191)</f>
        <v>2.5233978902917686E-2</v>
      </c>
      <c r="AU246" s="72">
        <f>(BG246-Driver!$K$192)/(Driver!$L$192-Driver!$K$192)</f>
        <v>1.6780415430267061E-2</v>
      </c>
      <c r="AV246" s="70">
        <f t="shared" si="134"/>
        <v>4.8840048840048835</v>
      </c>
      <c r="AW246" s="70">
        <f t="shared" si="135"/>
        <v>33.986376104557543</v>
      </c>
      <c r="AX246" s="70">
        <f t="shared" si="136"/>
        <v>5.7541263517359127</v>
      </c>
      <c r="AY246" s="70">
        <f>IFERROR(Driver!$K$19/Data!BH246/Data!BI246*Data!BK246*Data!BL246,"")</f>
        <v>7.1415798986930651E-2</v>
      </c>
      <c r="AZ246" s="70">
        <f t="shared" si="137"/>
        <v>28.1608339538347</v>
      </c>
      <c r="BA246" s="70"/>
      <c r="BB246" s="70"/>
      <c r="BC246" s="70">
        <f t="shared" si="138"/>
        <v>33.817096394521435</v>
      </c>
      <c r="BD246" s="70">
        <f t="shared" si="139"/>
        <v>9.437392609125606</v>
      </c>
      <c r="BE246" s="70">
        <f t="shared" si="140"/>
        <v>0.62839072710376809</v>
      </c>
      <c r="BF246" s="70">
        <f t="shared" si="141"/>
        <v>2.8500006383494827</v>
      </c>
      <c r="BG246" s="70">
        <f t="shared" si="142"/>
        <v>6.3541357566765586E-2</v>
      </c>
      <c r="BH246" s="67">
        <f>MAX((CE246-Driver!$F$200)/(Driver!$G$200-Driver!$F$200)*$BI$1,1)</f>
        <v>5.7541263517359127</v>
      </c>
      <c r="BI246" s="67">
        <f>MAX($BI$1*(BY246-Driver!$F$201)/(Driver!$G$201-Driver!$F$201),1)</f>
        <v>7.7215189873417724</v>
      </c>
      <c r="BJ246" s="67">
        <f>(CB246-Driver!$F$206)/(Driver!$G$206-Driver!$F$206)*$BI$1</f>
        <v>5.0793650793650791</v>
      </c>
      <c r="BK246" s="67">
        <f>(CD246-Driver!$F$203)/(Driver!$G$203-Driver!$F$203)*$BI$1</f>
        <v>2.7064220183486243</v>
      </c>
      <c r="BL246" s="67">
        <f>MAX((CR246-Driver!$F$202)/(Driver!$G$202-Driver!$F$202)*$BI$1,1)</f>
        <v>5.8620689655172411</v>
      </c>
      <c r="BM246" s="67">
        <f>MAX((CH246-Driver!$F$204)/(Driver!$G$204-Driver!$F$204)*$BI$1,1)</f>
        <v>3.8461538461538463</v>
      </c>
      <c r="BN246" s="67">
        <f>(CI246-Driver!$F$205)/(Driver!$G$205-Driver!$F$205)*$BI$1</f>
        <v>3.6470588235294117</v>
      </c>
      <c r="BO246" s="67">
        <f>(CK246-Driver!$F$207)/(Driver!$G$207-Driver!$F$207)*$BI$1</f>
        <v>1.2202688728024818</v>
      </c>
      <c r="BP246" s="67">
        <f>(CM246-Driver!$F$208)/(Driver!$G$208-Driver!$F$208)*$BI$1</f>
        <v>1.2444444444444445</v>
      </c>
      <c r="BQ246" s="67">
        <f>(CL246-Driver!$F$209)/(Driver!$G$209-Driver!$F$209)*$BI$1</f>
        <v>1.40625</v>
      </c>
      <c r="BR246" s="28" t="s">
        <v>155</v>
      </c>
      <c r="BS246" s="8" t="s">
        <v>317</v>
      </c>
      <c r="BT246" s="9" t="s">
        <v>456</v>
      </c>
      <c r="BU246" s="10">
        <v>165</v>
      </c>
      <c r="BV246" s="9" t="s">
        <v>163</v>
      </c>
      <c r="BW246" s="10">
        <v>165</v>
      </c>
      <c r="BX246" s="10">
        <v>163.80000000000001</v>
      </c>
      <c r="BY246" s="10">
        <v>130</v>
      </c>
      <c r="BZ246" s="10">
        <v>140</v>
      </c>
      <c r="CA246" s="10">
        <v>136</v>
      </c>
      <c r="CB246" s="10">
        <v>96</v>
      </c>
      <c r="CC246" s="10">
        <v>118</v>
      </c>
      <c r="CD246" s="10">
        <v>15.3</v>
      </c>
      <c r="CE246" s="10">
        <v>1911</v>
      </c>
      <c r="CF246" s="10">
        <v>0.92</v>
      </c>
      <c r="CG246" s="10">
        <v>1766</v>
      </c>
      <c r="CH246" s="10">
        <v>191</v>
      </c>
      <c r="CI246" s="10">
        <v>95</v>
      </c>
      <c r="CJ246" s="10">
        <v>59</v>
      </c>
      <c r="CK246" s="10">
        <v>228</v>
      </c>
      <c r="CL246" s="10">
        <v>9</v>
      </c>
      <c r="CM246" s="10">
        <v>112</v>
      </c>
      <c r="CN246" s="10">
        <v>0.16</v>
      </c>
      <c r="CO246" s="10">
        <v>126</v>
      </c>
      <c r="CP246" s="10">
        <v>108</v>
      </c>
      <c r="CQ246" s="10">
        <v>102</v>
      </c>
      <c r="CR246" s="10">
        <v>6</v>
      </c>
      <c r="CS246" s="10">
        <v>11.4</v>
      </c>
      <c r="CT246" s="9" t="s">
        <v>188</v>
      </c>
      <c r="CU246" s="10"/>
      <c r="CV246" s="10"/>
      <c r="CW246" s="10"/>
      <c r="CX246" t="str">
        <f>INDEX('Data_Price '!AG$2:AG$1266,MATCH(Data!$DN246,'Data_Price '!$AT$2:$AT$1266,0))</f>
        <v>Blizzard Black Pearl 97 21/22</v>
      </c>
      <c r="CY246" t="str">
        <f>INDEX('Data_Price '!AH$2:AH$1266,MATCH(Data!$DN246,'Data_Price '!$AT$2:$AT$1266,0))</f>
        <v>Snowcountry.eu</v>
      </c>
      <c r="CZ246">
        <f>INDEX('Data_Price '!AI$2:AI$1266,MATCH(Data!$DN246,'Data_Price '!$AT$2:$AT$1266,0))</f>
        <v>387.23</v>
      </c>
      <c r="DA246" t="str">
        <f>INDEX('Data_Price '!AJ$2:AJ$1266,MATCH(Data!$DN246,'Data_Price '!$AT$2:$AT$1266,0))</f>
        <v>https://tinyurl.com/y95drnq7</v>
      </c>
      <c r="DB246" t="str">
        <f>INDEX('Data_Price '!AK$2:AK$1266,MATCH(Data!$DN246,'Data_Price '!$AT$2:$AT$1266,0))</f>
        <v>'22 Blizzard Black Pearl 97 Skis 165cm</v>
      </c>
      <c r="DC246" t="str">
        <f>INDEX('Data_Price '!AL$2:AL$1266,MATCH(Data!$DN246,'Data_Price '!$AT$2:$AT$1266,0))</f>
        <v>Al's Ski Equipment Barn</v>
      </c>
      <c r="DD246">
        <f>INDEX('Data_Price '!AM$2:AM$1266,MATCH(Data!$DN246,'Data_Price '!$AT$2:$AT$1266,0))</f>
        <v>599.95000000000005</v>
      </c>
      <c r="DE246" t="str">
        <f>INDEX('Data_Price '!AN$2:AN$1266,MATCH(Data!$DN246,'Data_Price '!$AT$2:$AT$1266,0))</f>
        <v>https://tinyurl.com/ybv59ptw</v>
      </c>
      <c r="DF246" t="str">
        <f>INDEX('Data_Price '!AO$2:AO$1266,MATCH(Data!$DN246,'Data_Price '!$AT$2:$AT$1266,0))</f>
        <v>2022 Blizzard Black Pearl 97 + Marker Demo Bindings -  - Ski Town All-Stars -  Skis</v>
      </c>
      <c r="DG246" t="str">
        <f>INDEX('Data_Price '!AP$2:AP$1266,MATCH(Data!$DN246,'Data_Price '!$AT$2:$AT$1266,0))</f>
        <v>Ski Town All-Stars</v>
      </c>
      <c r="DH246">
        <f>INDEX('Data_Price '!AQ$2:AQ$1266,MATCH(Data!$DN246,'Data_Price '!$AT$2:$AT$1266,0))</f>
        <v>599.99</v>
      </c>
      <c r="DI246" t="str">
        <f>INDEX('Data_Price '!AR$2:AR$1266,MATCH(Data!$DN246,'Data_Price '!$AT$2:$AT$1266,0))</f>
        <v>https://tinyurl.com/ydzah983</v>
      </c>
      <c r="DJ246" s="89" t="str">
        <f t="shared" si="143"/>
        <v>https://tinyurl.com/y95drnq7</v>
      </c>
      <c r="DK246" s="89" t="str">
        <f t="shared" si="144"/>
        <v>https://tinyurl.com/ybv59ptw</v>
      </c>
      <c r="DL246" s="89" t="str">
        <f t="shared" si="145"/>
        <v>https://tinyurl.com/ydzah983</v>
      </c>
      <c r="DM246" s="219" t="str">
        <f t="shared" si="146"/>
        <v>Black Pearl 97</v>
      </c>
      <c r="DN246" s="89" t="str">
        <f t="shared" si="147"/>
        <v xml:space="preserve"> BlizzardBlack Pearl 97165 Women's</v>
      </c>
      <c r="DO246" s="221" t="s">
        <v>457</v>
      </c>
    </row>
    <row r="247" spans="2:119" ht="15.6" customHeight="1">
      <c r="B247" s="219" t="b">
        <f t="array" ref="B247">IF(OR(ISERROR(K247:P247)),FALSE,TRUE)</f>
        <v>1</v>
      </c>
      <c r="C247" s="43" t="b">
        <f>OR(BR247=Driver!$G$50,Data!BR684=Driver!$H$50)</f>
        <v>1</v>
      </c>
      <c r="D247" s="43" t="b">
        <f>OR(BV247=Driver!$G$51,BV247=Driver!$H$51)</f>
        <v>1</v>
      </c>
      <c r="E247" s="43" t="b">
        <f>AND(BX247&gt;Driver!$F$54,BX247&lt;Driver!$G$54)</f>
        <v>0</v>
      </c>
      <c r="F247" s="43" t="b">
        <f>CL247&gt;Driver!$F$56</f>
        <v>1</v>
      </c>
      <c r="G247" s="43" t="b">
        <f>AND(CB247&gt;Driver!$F$55,CB247&lt;Driver!$G$55)</f>
        <v>1</v>
      </c>
      <c r="H247" s="43" t="b">
        <f t="shared" si="111"/>
        <v>0</v>
      </c>
      <c r="I247" s="43">
        <f t="shared" si="112"/>
        <v>0</v>
      </c>
      <c r="J247" s="43" t="b">
        <f t="array" ref="J247">NOT(OR(($H$9:$H$1273=TRUE)*($I$9:$I$1273&gt;0)*($BT$9:$BT$1273=BT247)*($K$9:$K$1273&gt;K247)))</f>
        <v>1</v>
      </c>
      <c r="K247" s="72">
        <f t="shared" si="113"/>
        <v>0.73166600755129996</v>
      </c>
      <c r="L247" s="72">
        <f t="shared" si="114"/>
        <v>0.71308654327673793</v>
      </c>
      <c r="M247" s="72">
        <f t="shared" si="115"/>
        <v>0.75024547182586199</v>
      </c>
      <c r="N247" s="72">
        <f t="shared" si="116"/>
        <v>0.65566234159204062</v>
      </c>
      <c r="O247" s="72">
        <f t="shared" si="117"/>
        <v>0.64722721362245283</v>
      </c>
      <c r="P247" s="72">
        <f t="shared" si="118"/>
        <v>0.94784686026309251</v>
      </c>
      <c r="Q247" s="72"/>
      <c r="R247" s="72"/>
      <c r="S247" s="72">
        <f t="shared" si="119"/>
        <v>0.45584835113683642</v>
      </c>
      <c r="T247" s="72">
        <f t="shared" si="120"/>
        <v>0.49194529749948157</v>
      </c>
      <c r="U247" s="72">
        <f t="shared" si="121"/>
        <v>0.5077081023827561</v>
      </c>
      <c r="V247" s="72">
        <f t="shared" si="122"/>
        <v>0.63472077788620418</v>
      </c>
      <c r="W247" s="72">
        <f t="shared" si="123"/>
        <v>0.81990382970783515</v>
      </c>
      <c r="X247" s="72">
        <f t="shared" si="124"/>
        <v>0.28691345672326202</v>
      </c>
      <c r="Y247" s="72">
        <f t="shared" si="125"/>
        <v>0.24975452817413801</v>
      </c>
      <c r="Z247" s="72">
        <f t="shared" si="126"/>
        <v>0.34433765840795943</v>
      </c>
      <c r="AA247" s="72">
        <f t="shared" si="127"/>
        <v>0.35277278637754717</v>
      </c>
      <c r="AB247" s="72">
        <f t="shared" si="128"/>
        <v>5.2153139736907439E-2</v>
      </c>
      <c r="AC247" s="72"/>
      <c r="AD247" s="72"/>
      <c r="AE247" s="72">
        <f t="shared" si="129"/>
        <v>0.54415164886316358</v>
      </c>
      <c r="AF247" s="72">
        <f t="shared" si="130"/>
        <v>0.50805470250051843</v>
      </c>
      <c r="AG247" s="72">
        <f t="shared" si="131"/>
        <v>0.49229189761724385</v>
      </c>
      <c r="AH247" s="72">
        <f t="shared" si="132"/>
        <v>0.36527922211379582</v>
      </c>
      <c r="AI247" s="72">
        <f t="shared" si="133"/>
        <v>0.1800961702921649</v>
      </c>
      <c r="AJ247" s="72">
        <f>(AV247-Driver!$K$179)/(Driver!$L$179-Driver!$K$179)</f>
        <v>0.54113286600596244</v>
      </c>
      <c r="AK247" s="72">
        <f>(AW247-Driver!$K$180)/(Driver!$L$180-Driver!$K$180)</f>
        <v>0.31993736560981673</v>
      </c>
      <c r="AL247" s="72">
        <f>(AX247-Driver!$K$181)/(Driver!$L$181-Driver!$K$181)</f>
        <v>0.44602542212103963</v>
      </c>
      <c r="AM247" s="72">
        <f>(AY247-Driver!$K$182)/(Driver!$L$182-Driver!$K$182)</f>
        <v>9.4612234719499172E-2</v>
      </c>
      <c r="AN247" s="72">
        <f>(AZ247-Driver!$K$183)/(Driver!$L$183-Driver!$K$183)</f>
        <v>0.30637254901960786</v>
      </c>
      <c r="AO247" s="72"/>
      <c r="AP247" s="72"/>
      <c r="AQ247" s="72">
        <f>(BC247-Driver!$K$188)/(Driver!$L$188-Driver!$K$188)</f>
        <v>7.5848351136836398E-2</v>
      </c>
      <c r="AR247" s="72">
        <f>MIN((BD247-Driver!$K$189)/(Driver!$L$189-Driver!$K$189),100%)</f>
        <v>4.1945297499481657E-2</v>
      </c>
      <c r="AS247" s="72">
        <f>(BE247-Driver!$K$190)/(Driver!$L$190-Driver!$K$190)</f>
        <v>1.7708102382756139E-2</v>
      </c>
      <c r="AT247" s="72">
        <f>(BF247-Driver!$K$191)/(Driver!$L$191-Driver!$K$191)</f>
        <v>0.14472077788620416</v>
      </c>
      <c r="AU247" s="72">
        <f>(BG247-Driver!$K$192)/(Driver!$L$192-Driver!$K$192)</f>
        <v>6.9903829707835111E-2</v>
      </c>
      <c r="AV247" s="70">
        <f t="shared" si="134"/>
        <v>11.389228055894723</v>
      </c>
      <c r="AW247" s="70">
        <f t="shared" si="135"/>
        <v>33.052623833587404</v>
      </c>
      <c r="AX247" s="70">
        <f t="shared" si="136"/>
        <v>5.0142287990893566</v>
      </c>
      <c r="AY247" s="70">
        <f>IFERROR(Driver!$K$19/Data!BH247/Data!BI247*Data!BK247*Data!BL247,"")</f>
        <v>0.11583360486289883</v>
      </c>
      <c r="AZ247" s="70">
        <f t="shared" si="137"/>
        <v>27.922561429635149</v>
      </c>
      <c r="BA247" s="70"/>
      <c r="BB247" s="70"/>
      <c r="BC247" s="70">
        <f t="shared" si="138"/>
        <v>39.343067023859625</v>
      </c>
      <c r="BD247" s="70">
        <f t="shared" si="139"/>
        <v>5.4329073901325877</v>
      </c>
      <c r="BE247" s="70">
        <f t="shared" si="140"/>
        <v>1.7883332201124803E-2</v>
      </c>
      <c r="BF247" s="70">
        <f t="shared" si="141"/>
        <v>16.34519514123971</v>
      </c>
      <c r="BG247" s="70">
        <f t="shared" si="142"/>
        <v>0.26470049309626359</v>
      </c>
      <c r="BH247" s="67">
        <f>MAX((CE247-Driver!$F$200)/(Driver!$G$200-Driver!$F$200)*$BI$1,1)</f>
        <v>5.0142287990893566</v>
      </c>
      <c r="BI247" s="67">
        <f>MAX($BI$1*(BY247-Driver!$F$201)/(Driver!$G$201-Driver!$F$201),1)</f>
        <v>6.3291139240506329</v>
      </c>
      <c r="BJ247" s="67">
        <f>(CB247-Driver!$F$206)/(Driver!$G$206-Driver!$F$206)*$BI$1</f>
        <v>7.3015873015873014</v>
      </c>
      <c r="BK247" s="67">
        <f>(CD247-Driver!$F$203)/(Driver!$G$203-Driver!$F$203)*$BI$1</f>
        <v>3.8073394495412844</v>
      </c>
      <c r="BL247" s="67">
        <f>MAX((CR247-Driver!$F$202)/(Driver!$G$202-Driver!$F$202)*$BI$1,1)</f>
        <v>4.8275862068965516</v>
      </c>
      <c r="BM247" s="67">
        <f>MAX((CH247-Driver!$F$204)/(Driver!$G$204-Driver!$F$204)*$BI$1,1)</f>
        <v>6.2393162393162394</v>
      </c>
      <c r="BN247" s="67">
        <f>(CI247-Driver!$F$205)/(Driver!$G$205-Driver!$F$205)*$BI$1</f>
        <v>4.4117647058823533</v>
      </c>
      <c r="BO247" s="67">
        <f>(CK247-Driver!$F$207)/(Driver!$G$207-Driver!$F$207)*$BI$1</f>
        <v>2.5232678386763183</v>
      </c>
      <c r="BP247" s="67">
        <f>(CM247-Driver!$F$208)/(Driver!$G$208-Driver!$F$208)*$BI$1</f>
        <v>3.3777777777777778</v>
      </c>
      <c r="BQ247" s="67">
        <f>(CL247-Driver!$F$209)/(Driver!$G$209-Driver!$F$209)*$BI$1</f>
        <v>8.28125</v>
      </c>
      <c r="BR247" s="28" t="s">
        <v>155</v>
      </c>
      <c r="BS247" s="8" t="s">
        <v>295</v>
      </c>
      <c r="BT247" s="9" t="s">
        <v>458</v>
      </c>
      <c r="BU247" s="10">
        <v>176</v>
      </c>
      <c r="BV247" s="9" t="s">
        <v>158</v>
      </c>
      <c r="BW247" s="10">
        <v>176</v>
      </c>
      <c r="BX247" s="10">
        <v>173.3</v>
      </c>
      <c r="BY247" s="10">
        <v>108</v>
      </c>
      <c r="BZ247" s="10">
        <v>147</v>
      </c>
      <c r="CA247" s="10">
        <v>145</v>
      </c>
      <c r="CB247" s="10">
        <v>110</v>
      </c>
      <c r="CC247" s="10">
        <v>135</v>
      </c>
      <c r="CD247" s="10">
        <v>17.7</v>
      </c>
      <c r="CE247" s="10">
        <v>1781</v>
      </c>
      <c r="CF247" s="10">
        <v>1.18</v>
      </c>
      <c r="CG247" s="10">
        <v>2096</v>
      </c>
      <c r="CH247" s="10">
        <v>247</v>
      </c>
      <c r="CI247" s="10">
        <v>108</v>
      </c>
      <c r="CJ247" s="10">
        <v>57</v>
      </c>
      <c r="CK247" s="10">
        <v>354</v>
      </c>
      <c r="CL247" s="10">
        <v>53</v>
      </c>
      <c r="CM247" s="10">
        <v>304</v>
      </c>
      <c r="CN247" s="10">
        <v>0.92400000000000004</v>
      </c>
      <c r="CO247" s="10">
        <v>128</v>
      </c>
      <c r="CP247" s="10">
        <v>137</v>
      </c>
      <c r="CQ247" s="10">
        <v>226</v>
      </c>
      <c r="CR247" s="10">
        <v>3</v>
      </c>
      <c r="CS247" s="10">
        <v>8.5</v>
      </c>
      <c r="CT247" s="9" t="s">
        <v>184</v>
      </c>
      <c r="CU247" s="9" t="s">
        <v>169</v>
      </c>
      <c r="CV247" s="9" t="s">
        <v>185</v>
      </c>
      <c r="CW247" s="10"/>
      <c r="CX247" t="str">
        <f>INDEX('Data_Price '!AG$2:AG$1266,MATCH(Data!$DN247,'Data_Price '!$AT$2:$AT$1266,0))</f>
        <v>Icelantic Nomad 105 Lite Skis 176cm 2022</v>
      </c>
      <c r="CY247" t="str">
        <f>INDEX('Data_Price '!AH$2:AH$1266,MATCH(Data!$DN247,'Data_Price '!$AT$2:$AT$1266,0))</f>
        <v>REI</v>
      </c>
      <c r="CZ247">
        <f>INDEX('Data_Price '!AI$2:AI$1266,MATCH(Data!$DN247,'Data_Price '!$AT$2:$AT$1266,0))</f>
        <v>598.92999999999995</v>
      </c>
      <c r="DA247" t="str">
        <f>INDEX('Data_Price '!AJ$2:AJ$1266,MATCH(Data!$DN247,'Data_Price '!$AT$2:$AT$1266,0))</f>
        <v>https://tinyurl.com/y8nvcgos</v>
      </c>
      <c r="DB247" t="str">
        <f>INDEX('Data_Price '!AK$2:AK$1266,MATCH(Data!$DN247,'Data_Price '!$AT$2:$AT$1266,0))</f>
        <v>Icelantic Nomad 105 Lite Skis 176cm 2022</v>
      </c>
      <c r="DC247" t="str">
        <f>INDEX('Data_Price '!AL$2:AL$1266,MATCH(Data!$DN247,'Data_Price '!$AT$2:$AT$1266,0))</f>
        <v>Mountain Steals</v>
      </c>
      <c r="DD247">
        <f>INDEX('Data_Price '!AM$2:AM$1266,MATCH(Data!$DN247,'Data_Price '!$AT$2:$AT$1266,0))</f>
        <v>598.99</v>
      </c>
      <c r="DE247" t="str">
        <f>INDEX('Data_Price '!AN$2:AN$1266,MATCH(Data!$DN247,'Data_Price '!$AT$2:$AT$1266,0))</f>
        <v>https://tinyurl.com/yazx9ck9</v>
      </c>
      <c r="DF247" t="str">
        <f>INDEX('Data_Price '!AO$2:AO$1266,MATCH(Data!$DN247,'Data_Price '!$AT$2:$AT$1266,0))</f>
        <v>Icelantic Nomad 105 Lite Skis 176cm 2022</v>
      </c>
      <c r="DG247" t="str">
        <f>INDEX('Data_Price '!AP$2:AP$1266,MATCH(Data!$DN247,'Data_Price '!$AT$2:$AT$1266,0))</f>
        <v>Moosejaw</v>
      </c>
      <c r="DH247">
        <f>INDEX('Data_Price '!AQ$2:AQ$1266,MATCH(Data!$DN247,'Data_Price '!$AT$2:$AT$1266,0))</f>
        <v>598.99</v>
      </c>
      <c r="DI247" t="str">
        <f>INDEX('Data_Price '!AR$2:AR$1266,MATCH(Data!$DN247,'Data_Price '!$AT$2:$AT$1266,0))</f>
        <v>https://tinyurl.com/y8pn9mcb</v>
      </c>
      <c r="DJ247" s="89" t="str">
        <f t="shared" si="143"/>
        <v>https://tinyurl.com/y8nvcgos</v>
      </c>
      <c r="DK247" s="89" t="str">
        <f t="shared" si="144"/>
        <v>https://tinyurl.com/yazx9ck9</v>
      </c>
      <c r="DL247" s="89" t="str">
        <f t="shared" si="145"/>
        <v>https://tinyurl.com/y8pn9mcb</v>
      </c>
      <c r="DM247" s="219" t="str">
        <f t="shared" si="146"/>
        <v>Nomad Lite 105</v>
      </c>
      <c r="DN247" s="89" t="str">
        <f t="shared" si="147"/>
        <v xml:space="preserve"> IcelanticNomad Lite 105176 Unisex</v>
      </c>
      <c r="DO247" s="221" t="s">
        <v>459</v>
      </c>
    </row>
    <row r="248" spans="2:119" ht="15.6" customHeight="1">
      <c r="B248" s="219" t="b">
        <f t="array" ref="B248">IF(OR(ISERROR(K248:P248)),FALSE,TRUE)</f>
        <v>1</v>
      </c>
      <c r="C248" s="43" t="b">
        <f>OR(BR248=Driver!$G$50,Data!BR120=Driver!$H$50)</f>
        <v>1</v>
      </c>
      <c r="D248" s="43" t="b">
        <f>OR(BV248=Driver!$G$51,BV248=Driver!$H$51)</f>
        <v>1</v>
      </c>
      <c r="E248" s="43" t="b">
        <f>AND(BX248&gt;Driver!$F$54,BX248&lt;Driver!$G$54)</f>
        <v>0</v>
      </c>
      <c r="F248" s="43" t="b">
        <f>CL248&gt;Driver!$F$56</f>
        <v>1</v>
      </c>
      <c r="G248" s="43" t="b">
        <f>AND(CB248&gt;Driver!$F$55,CB248&lt;Driver!$G$55)</f>
        <v>1</v>
      </c>
      <c r="H248" s="43" t="b">
        <f t="shared" si="111"/>
        <v>0</v>
      </c>
      <c r="I248" s="43">
        <f t="shared" si="112"/>
        <v>0</v>
      </c>
      <c r="J248" s="43" t="b">
        <f t="array" ref="J248">NOT(OR(($H$9:$H$1273=TRUE)*($I$9:$I$1273&gt;0)*($BT$9:$BT$1273=BT248)*($K$9:$K$1273&gt;K248)))</f>
        <v>1</v>
      </c>
      <c r="K248" s="72">
        <f t="shared" si="113"/>
        <v>0.91279247053910717</v>
      </c>
      <c r="L248" s="72">
        <f t="shared" si="114"/>
        <v>0.98743993945754527</v>
      </c>
      <c r="M248" s="72">
        <f t="shared" si="115"/>
        <v>0.83814500162066907</v>
      </c>
      <c r="N248" s="72">
        <f t="shared" si="116"/>
        <v>0.82830510387623713</v>
      </c>
      <c r="O248" s="72">
        <f t="shared" si="117"/>
        <v>0.69786565013775159</v>
      </c>
      <c r="P248" s="72">
        <f t="shared" si="118"/>
        <v>0.9882642508480185</v>
      </c>
      <c r="Q248" s="72"/>
      <c r="R248" s="72"/>
      <c r="S248" s="72">
        <f t="shared" si="119"/>
        <v>0.44508255908137362</v>
      </c>
      <c r="T248" s="72">
        <f t="shared" si="120"/>
        <v>0.45498816679856646</v>
      </c>
      <c r="U248" s="72">
        <f t="shared" si="121"/>
        <v>0.60206849988917144</v>
      </c>
      <c r="V248" s="72">
        <f t="shared" si="122"/>
        <v>0.59463715491638691</v>
      </c>
      <c r="W248" s="72">
        <f t="shared" si="123"/>
        <v>0.8079801777170198</v>
      </c>
      <c r="X248" s="72">
        <f t="shared" si="124"/>
        <v>1.2560060542454676E-2</v>
      </c>
      <c r="Y248" s="72">
        <f t="shared" si="125"/>
        <v>0.1618549983793309</v>
      </c>
      <c r="Z248" s="72">
        <f t="shared" si="126"/>
        <v>0.17169489612376287</v>
      </c>
      <c r="AA248" s="72">
        <f t="shared" si="127"/>
        <v>0.30213434986224835</v>
      </c>
      <c r="AB248" s="72">
        <f t="shared" si="128"/>
        <v>1.1735749151981473E-2</v>
      </c>
      <c r="AC248" s="72"/>
      <c r="AD248" s="72"/>
      <c r="AE248" s="72">
        <f t="shared" si="129"/>
        <v>0.55491744091862638</v>
      </c>
      <c r="AF248" s="72">
        <f t="shared" si="130"/>
        <v>0.54501183320143354</v>
      </c>
      <c r="AG248" s="72">
        <f t="shared" si="131"/>
        <v>0.39793150011082851</v>
      </c>
      <c r="AH248" s="72">
        <f t="shared" si="132"/>
        <v>0.40536284508361309</v>
      </c>
      <c r="AI248" s="72">
        <f t="shared" si="133"/>
        <v>0.1920198222829802</v>
      </c>
      <c r="AJ248" s="72">
        <f>(AV248-Driver!$K$179)/(Driver!$L$179-Driver!$K$179)</f>
        <v>0.2667794698251551</v>
      </c>
      <c r="AK248" s="72">
        <f>(AW248-Driver!$K$180)/(Driver!$L$180-Driver!$K$180)</f>
        <v>0.24488443509446572</v>
      </c>
      <c r="AL248" s="72">
        <f>(AX248-Driver!$K$181)/(Driver!$L$181-Driver!$K$181)</f>
        <v>0.27338265983684307</v>
      </c>
      <c r="AM248" s="72">
        <f>(AY248-Driver!$K$182)/(Driver!$L$182-Driver!$K$182)</f>
        <v>0.14525067123479801</v>
      </c>
      <c r="AN248" s="72">
        <f>(AZ248-Driver!$K$183)/(Driver!$L$183-Driver!$K$183)</f>
        <v>0.24248366013071895</v>
      </c>
      <c r="AO248" s="72"/>
      <c r="AP248" s="72"/>
      <c r="AQ248" s="72">
        <f>(BC248-Driver!$K$188)/(Driver!$L$188-Driver!$K$188)</f>
        <v>6.5082559081373614E-2</v>
      </c>
      <c r="AR248" s="72">
        <f>MIN((BD248-Driver!$K$189)/(Driver!$L$189-Driver!$K$189),100%)</f>
        <v>4.9881667985665562E-3</v>
      </c>
      <c r="AS248" s="72">
        <f>(BE248-Driver!$K$190)/(Driver!$L$190-Driver!$K$190)</f>
        <v>0.1120684998891715</v>
      </c>
      <c r="AT248" s="72">
        <f>(BF248-Driver!$K$191)/(Driver!$L$191-Driver!$K$191)</f>
        <v>0.10463715491638693</v>
      </c>
      <c r="AU248" s="72">
        <f>(BG248-Driver!$K$192)/(Driver!$L$192-Driver!$K$192)</f>
        <v>5.7980177717019812E-2</v>
      </c>
      <c r="AV248" s="70">
        <f t="shared" si="134"/>
        <v>5.6149097815764488</v>
      </c>
      <c r="AW248" s="70">
        <f t="shared" si="135"/>
        <v>25.738050718248964</v>
      </c>
      <c r="AX248" s="70">
        <f t="shared" si="136"/>
        <v>3.4604439385315877</v>
      </c>
      <c r="AY248" s="70">
        <f>IFERROR(Driver!$K$19/Data!BH248/Data!BI248*Data!BK248*Data!BL248,"")</f>
        <v>0.17783016020881362</v>
      </c>
      <c r="AZ248" s="70">
        <f t="shared" si="137"/>
        <v>22.099776619508564</v>
      </c>
      <c r="BA248" s="70"/>
      <c r="BB248" s="70"/>
      <c r="BC248" s="70">
        <f t="shared" si="138"/>
        <v>33.758775842118922</v>
      </c>
      <c r="BD248" s="70">
        <f t="shared" si="139"/>
        <v>2.1622668072623021</v>
      </c>
      <c r="BE248" s="70">
        <f t="shared" si="140"/>
        <v>0.11222689687469654</v>
      </c>
      <c r="BF248" s="70">
        <f t="shared" si="141"/>
        <v>11.818031530187859</v>
      </c>
      <c r="BG248" s="70">
        <f t="shared" si="142"/>
        <v>0.21954994019138754</v>
      </c>
      <c r="BH248" s="67">
        <f>MAX((CE248-Driver!$F$200)/(Driver!$G$200-Driver!$F$200)*$BI$1,1)</f>
        <v>3.4604439385315877</v>
      </c>
      <c r="BI248" s="67">
        <f>MAX($BI$1*(BY248-Driver!$F$201)/(Driver!$G$201-Driver!$F$201),1)</f>
        <v>6.7088607594936711</v>
      </c>
      <c r="BJ248" s="67">
        <f>(CB248-Driver!$F$206)/(Driver!$G$206-Driver!$F$206)*$BI$1</f>
        <v>6.825396825396826</v>
      </c>
      <c r="BK248" s="67">
        <f>(CD248-Driver!$F$203)/(Driver!$G$203-Driver!$F$203)*$BI$1</f>
        <v>3.9908256880733957</v>
      </c>
      <c r="BL248" s="67">
        <f>MAX((CR248-Driver!$F$202)/(Driver!$G$202-Driver!$F$202)*$BI$1,1)</f>
        <v>5.1724137931034484</v>
      </c>
      <c r="BM248" s="67">
        <f>MAX((CH248-Driver!$F$204)/(Driver!$G$204-Driver!$F$204)*$BI$1,1)</f>
        <v>3.2905982905982905</v>
      </c>
      <c r="BN248" s="67">
        <f>(CI248-Driver!$F$205)/(Driver!$G$205-Driver!$F$205)*$BI$1</f>
        <v>3.2941176470588234</v>
      </c>
      <c r="BO248" s="67">
        <f>(CK248-Driver!$F$207)/(Driver!$G$207-Driver!$F$207)*$BI$1</f>
        <v>2.6577042399172699</v>
      </c>
      <c r="BP248" s="67">
        <f>(CM248-Driver!$F$208)/(Driver!$G$208-Driver!$F$208)*$BI$1</f>
        <v>2.6</v>
      </c>
      <c r="BQ248" s="67">
        <f>(CL248-Driver!$F$209)/(Driver!$G$209-Driver!$F$209)*$BI$1</f>
        <v>2.5</v>
      </c>
      <c r="BR248" s="28" t="s">
        <v>155</v>
      </c>
      <c r="BS248" s="8" t="s">
        <v>156</v>
      </c>
      <c r="BT248" s="9" t="s">
        <v>197</v>
      </c>
      <c r="BU248" s="10">
        <v>175</v>
      </c>
      <c r="BV248" s="9" t="s">
        <v>158</v>
      </c>
      <c r="BW248" s="10">
        <v>175</v>
      </c>
      <c r="BX248" s="10">
        <v>174.5</v>
      </c>
      <c r="BY248" s="10">
        <v>114</v>
      </c>
      <c r="BZ248" s="10">
        <v>134</v>
      </c>
      <c r="CA248" s="10">
        <v>135</v>
      </c>
      <c r="CB248" s="10">
        <v>107</v>
      </c>
      <c r="CC248" s="10">
        <v>122</v>
      </c>
      <c r="CD248" s="10">
        <v>18.100000000000001</v>
      </c>
      <c r="CE248" s="10">
        <v>1508</v>
      </c>
      <c r="CF248" s="10">
        <v>1.33</v>
      </c>
      <c r="CG248" s="10">
        <v>2013</v>
      </c>
      <c r="CH248" s="10">
        <v>178</v>
      </c>
      <c r="CI248" s="10">
        <v>89</v>
      </c>
      <c r="CJ248" s="10">
        <v>51</v>
      </c>
      <c r="CK248" s="10">
        <v>367</v>
      </c>
      <c r="CL248" s="10">
        <v>16</v>
      </c>
      <c r="CM248" s="10">
        <v>234</v>
      </c>
      <c r="CN248" s="10">
        <v>0.32</v>
      </c>
      <c r="CO248" s="10">
        <v>225</v>
      </c>
      <c r="CP248" s="10">
        <v>185</v>
      </c>
      <c r="CQ248" s="10">
        <v>143</v>
      </c>
      <c r="CR248" s="10">
        <v>4</v>
      </c>
      <c r="CS248" s="10">
        <v>9.6999999999999993</v>
      </c>
      <c r="CT248" s="9" t="s">
        <v>178</v>
      </c>
      <c r="CU248" s="9" t="s">
        <v>185</v>
      </c>
      <c r="CV248" s="9" t="s">
        <v>198</v>
      </c>
      <c r="CW248" s="10"/>
      <c r="CX248" t="str">
        <f>INDEX('Data_Price '!AG$2:AG$1266,MATCH(Data!$DN248,'Data_Price '!$AT$2:$AT$1266,0))</f>
        <v>Atomic Backland 107 Ski - Women's</v>
      </c>
      <c r="CY248" t="str">
        <f>INDEX('Data_Price '!AH$2:AH$1266,MATCH(Data!$DN248,'Data_Price '!$AT$2:$AT$1266,0))</f>
        <v>Powder7 Ski Shop</v>
      </c>
      <c r="CZ248">
        <f>INDEX('Data_Price '!AI$2:AI$1266,MATCH(Data!$DN248,'Data_Price '!$AT$2:$AT$1266,0))</f>
        <v>429.93</v>
      </c>
      <c r="DA248" t="str">
        <f>INDEX('Data_Price '!AJ$2:AJ$1266,MATCH(Data!$DN248,'Data_Price '!$AT$2:$AT$1266,0))</f>
        <v>https://tinyurl.com/yd6mbcxe</v>
      </c>
      <c r="DB248" t="str">
        <f>INDEX('Data_Price '!AK$2:AK$1266,MATCH(Data!$DN248,'Data_Price '!$AT$2:$AT$1266,0))</f>
        <v>Atomic Backland 107 Ski - Women's</v>
      </c>
      <c r="DC248" t="str">
        <f>INDEX('Data_Price '!AL$2:AL$1266,MATCH(Data!$DN248,'Data_Price '!$AT$2:$AT$1266,0))</f>
        <v>Next Adventure</v>
      </c>
      <c r="DD248">
        <f>INDEX('Data_Price '!AM$2:AM$1266,MATCH(Data!$DN248,'Data_Price '!$AT$2:$AT$1266,0))</f>
        <v>489.99</v>
      </c>
      <c r="DE248" t="str">
        <f>INDEX('Data_Price '!AN$2:AN$1266,MATCH(Data!$DN248,'Data_Price '!$AT$2:$AT$1266,0))</f>
        <v>https://tinyurl.com/y9vgjm67</v>
      </c>
      <c r="DF248" t="str">
        <f>INDEX('Data_Price '!AO$2:AO$1266,MATCH(Data!$DN248,'Data_Price '!$AT$2:$AT$1266,0))</f>
        <v>Atomic Backland W 107 Anthracite Berry / 175cm</v>
      </c>
      <c r="DG248" t="str">
        <f>INDEX('Data_Price '!AP$2:AP$1266,MATCH(Data!$DN248,'Data_Price '!$AT$2:$AT$1266,0))</f>
        <v>Sundance Ski and Board Shop</v>
      </c>
      <c r="DH248">
        <f>INDEX('Data_Price '!AQ$2:AQ$1266,MATCH(Data!$DN248,'Data_Price '!$AT$2:$AT$1266,0))</f>
        <v>521.29</v>
      </c>
      <c r="DI248" t="str">
        <f>INDEX('Data_Price '!AR$2:AR$1266,MATCH(Data!$DN248,'Data_Price '!$AT$2:$AT$1266,0))</f>
        <v>https://tinyurl.com/y9j2bxx5</v>
      </c>
      <c r="DJ248" s="89" t="str">
        <f t="shared" si="143"/>
        <v>https://tinyurl.com/yd6mbcxe</v>
      </c>
      <c r="DK248" s="89" t="str">
        <f t="shared" si="144"/>
        <v>https://tinyurl.com/y9vgjm67</v>
      </c>
      <c r="DL248" s="89" t="str">
        <f t="shared" si="145"/>
        <v>https://tinyurl.com/y9j2bxx5</v>
      </c>
      <c r="DM248" s="219" t="str">
        <f t="shared" si="146"/>
        <v>Backland 107</v>
      </c>
      <c r="DN248" s="89" t="str">
        <f t="shared" si="147"/>
        <v xml:space="preserve"> AtomicBackland 107175 Unisex</v>
      </c>
      <c r="DO248" s="221" t="s">
        <v>199</v>
      </c>
    </row>
    <row r="249" spans="2:119" ht="15.6" customHeight="1">
      <c r="B249" s="219" t="b">
        <f t="array" ref="B249">IF(OR(ISERROR(K249:P249)),FALSE,TRUE)</f>
        <v>1</v>
      </c>
      <c r="C249" s="43" t="b">
        <f>OR(BR249=Driver!$G$50,Data!BR1043=Driver!$H$50)</f>
        <v>1</v>
      </c>
      <c r="D249" s="43" t="b">
        <f>OR(BV249=Driver!$G$51,BV249=Driver!$H$51)</f>
        <v>0</v>
      </c>
      <c r="E249" s="43" t="b">
        <f>AND(BX249&gt;Driver!$F$54,BX249&lt;Driver!$G$54)</f>
        <v>0</v>
      </c>
      <c r="F249" s="43" t="b">
        <f>CL249&gt;Driver!$F$56</f>
        <v>1</v>
      </c>
      <c r="G249" s="43" t="b">
        <f>AND(CB249&gt;Driver!$F$55,CB249&lt;Driver!$G$55)</f>
        <v>0</v>
      </c>
      <c r="H249" s="43" t="b">
        <f t="shared" si="111"/>
        <v>0</v>
      </c>
      <c r="I249" s="43">
        <f t="shared" si="112"/>
        <v>0</v>
      </c>
      <c r="J249" s="43" t="b">
        <f t="array" ref="J249">NOT(OR(($H$9:$H$1273=TRUE)*($I$9:$I$1273&gt;0)*($BT$9:$BT$1273=BT249)*($K$9:$K$1273&gt;K249)))</f>
        <v>1</v>
      </c>
      <c r="K249" s="72">
        <f t="shared" si="113"/>
        <v>0.78402196299804894</v>
      </c>
      <c r="L249" s="72">
        <f t="shared" si="114"/>
        <v>0.80306848049249901</v>
      </c>
      <c r="M249" s="72">
        <f t="shared" si="115"/>
        <v>0.76497544550359875</v>
      </c>
      <c r="N249" s="72">
        <f t="shared" si="116"/>
        <v>0.75115339325839092</v>
      </c>
      <c r="O249" s="72">
        <f t="shared" si="117"/>
        <v>0.57871130678347193</v>
      </c>
      <c r="P249" s="72">
        <f t="shared" si="118"/>
        <v>0.9650616364689335</v>
      </c>
      <c r="Q249" s="72"/>
      <c r="R249" s="72"/>
      <c r="S249" s="72">
        <f t="shared" si="119"/>
        <v>0.40661640901580276</v>
      </c>
      <c r="T249" s="72">
        <f t="shared" si="120"/>
        <v>0.73540968349559332</v>
      </c>
      <c r="U249" s="72">
        <f t="shared" si="121"/>
        <v>0.51</v>
      </c>
      <c r="V249" s="72">
        <f t="shared" si="122"/>
        <v>0.49501124009044406</v>
      </c>
      <c r="W249" s="72">
        <f t="shared" si="123"/>
        <v>0.7676504248309346</v>
      </c>
      <c r="X249" s="72">
        <f t="shared" si="124"/>
        <v>0.19693151950750101</v>
      </c>
      <c r="Y249" s="72">
        <f t="shared" si="125"/>
        <v>0.23502455449640122</v>
      </c>
      <c r="Z249" s="72">
        <f t="shared" si="126"/>
        <v>0.24884660674160902</v>
      </c>
      <c r="AA249" s="72">
        <f t="shared" si="127"/>
        <v>0.42128869321652807</v>
      </c>
      <c r="AB249" s="72">
        <f t="shared" si="128"/>
        <v>3.4938363531066441E-2</v>
      </c>
      <c r="AC249" s="72"/>
      <c r="AD249" s="72"/>
      <c r="AE249" s="72">
        <f t="shared" si="129"/>
        <v>0.59338359098419724</v>
      </c>
      <c r="AF249" s="72">
        <f t="shared" si="130"/>
        <v>0.26459031650440668</v>
      </c>
      <c r="AG249" s="72">
        <f t="shared" si="131"/>
        <v>0.49</v>
      </c>
      <c r="AH249" s="72">
        <f t="shared" si="132"/>
        <v>0.50498875990955594</v>
      </c>
      <c r="AI249" s="72">
        <f t="shared" si="133"/>
        <v>0.23234957516906538</v>
      </c>
      <c r="AJ249" s="72">
        <f>(AV249-Driver!$K$179)/(Driver!$L$179-Driver!$K$179)</f>
        <v>5.7287889775199413E-2</v>
      </c>
      <c r="AK249" s="72">
        <f>(AW249-Driver!$K$180)/(Driver!$L$180-Driver!$K$180)</f>
        <v>0.22881423161871212</v>
      </c>
      <c r="AL249" s="72">
        <f>(AX249-Driver!$K$181)/(Driver!$L$181-Driver!$K$181)</f>
        <v>0.35053437045468921</v>
      </c>
      <c r="AM249" s="72">
        <f>(AY249-Driver!$K$182)/(Driver!$L$182-Driver!$K$182)</f>
        <v>2.6096327880518293E-2</v>
      </c>
      <c r="AN249" s="72">
        <f>(AZ249-Driver!$K$183)/(Driver!$L$183-Driver!$K$183)</f>
        <v>0.21928104575163399</v>
      </c>
      <c r="AO249" s="72"/>
      <c r="AP249" s="72"/>
      <c r="AQ249" s="72">
        <f>(BC249-Driver!$K$188)/(Driver!$L$188-Driver!$K$188)</f>
        <v>2.6616409015802738E-2</v>
      </c>
      <c r="AR249" s="72">
        <f>MIN((BD249-Driver!$K$189)/(Driver!$L$189-Driver!$K$189),100%)</f>
        <v>0.81459031650440672</v>
      </c>
      <c r="AS249" s="72">
        <f>(BE249-Driver!$K$190)/(Driver!$L$190-Driver!$K$190)</f>
        <v>1</v>
      </c>
      <c r="AT249" s="72">
        <f>(BF249-Driver!$K$191)/(Driver!$L$191-Driver!$K$191)</f>
        <v>5.0112400904441055E-3</v>
      </c>
      <c r="AU249" s="72">
        <f>(BG249-Driver!$K$192)/(Driver!$L$192-Driver!$K$192)</f>
        <v>1.7650424830934625E-2</v>
      </c>
      <c r="AV249" s="70">
        <f t="shared" si="134"/>
        <v>1.2057387057387057</v>
      </c>
      <c r="AW249" s="70">
        <f t="shared" si="135"/>
        <v>24.171866993048212</v>
      </c>
      <c r="AX249" s="70">
        <f t="shared" si="136"/>
        <v>4.154809334092203</v>
      </c>
      <c r="AY249" s="70">
        <f>IFERROR(Driver!$K$19/Data!BH249/Data!BI249*Data!BK249*Data!BL249,"")</f>
        <v>3.194969171848145E-2</v>
      </c>
      <c r="AZ249" s="70">
        <f t="shared" si="137"/>
        <v>19.985107967237528</v>
      </c>
      <c r="BA249" s="70"/>
      <c r="BB249" s="70"/>
      <c r="BC249" s="70">
        <f t="shared" si="138"/>
        <v>13.806116390770439</v>
      </c>
      <c r="BD249" s="70">
        <f t="shared" si="139"/>
        <v>73.81062252610549</v>
      </c>
      <c r="BE249" s="70">
        <f t="shared" si="140"/>
        <v>1</v>
      </c>
      <c r="BF249" s="70">
        <f t="shared" si="141"/>
        <v>0.56598436226150817</v>
      </c>
      <c r="BG249" s="70">
        <f t="shared" si="142"/>
        <v>6.6835768163689954E-2</v>
      </c>
      <c r="BH249" s="67">
        <f>MAX((CE249-Driver!$F$200)/(Driver!$G$200-Driver!$F$200)*$BI$1,1)</f>
        <v>4.154809334092203</v>
      </c>
      <c r="BI249" s="67">
        <f>MAX($BI$1*(BY249-Driver!$F$201)/(Driver!$G$201-Driver!$F$201),1)</f>
        <v>7.7215189873417724</v>
      </c>
      <c r="BJ249" s="67">
        <f>(CB249-Driver!$F$206)/(Driver!$G$206-Driver!$F$206)*$BI$1</f>
        <v>1.4285714285714284</v>
      </c>
      <c r="BK249" s="67">
        <f>(CD249-Driver!$F$203)/(Driver!$G$203-Driver!$F$203)*$BI$1</f>
        <v>0.82568807339449501</v>
      </c>
      <c r="BL249" s="67">
        <f>MAX((CR249-Driver!$F$202)/(Driver!$G$202-Driver!$F$202)*$BI$1,1)</f>
        <v>6.2068965517241379</v>
      </c>
      <c r="BM249" s="67">
        <f>MAX((CH249-Driver!$F$204)/(Driver!$G$204-Driver!$F$204)*$BI$1,1)</f>
        <v>3.3760683760683765</v>
      </c>
      <c r="BN249" s="67">
        <f>(CI249-Driver!$F$205)/(Driver!$G$205-Driver!$F$205)*$BI$1</f>
        <v>2.5882352941176472</v>
      </c>
      <c r="BO249" s="67">
        <f>(CK249-Driver!$F$207)/(Driver!$G$207-Driver!$F$207)*$BI$1</f>
        <v>0.40330920372285417</v>
      </c>
      <c r="BP249" s="67">
        <f>(CM249-Driver!$F$208)/(Driver!$G$208-Driver!$F$208)*$BI$1</f>
        <v>0.81111111111111112</v>
      </c>
      <c r="BQ249" s="67">
        <f>(CL249-Driver!$F$209)/(Driver!$G$209-Driver!$F$209)*$BI$1</f>
        <v>0.9375</v>
      </c>
      <c r="BR249" s="28" t="s">
        <v>155</v>
      </c>
      <c r="BS249" s="8" t="s">
        <v>172</v>
      </c>
      <c r="BT249" s="9" t="s">
        <v>460</v>
      </c>
      <c r="BU249" s="10">
        <v>153</v>
      </c>
      <c r="BV249" s="9" t="s">
        <v>163</v>
      </c>
      <c r="BW249" s="10">
        <v>153</v>
      </c>
      <c r="BX249" s="10">
        <v>152.5</v>
      </c>
      <c r="BY249" s="10">
        <v>130</v>
      </c>
      <c r="BZ249" s="10">
        <v>139</v>
      </c>
      <c r="CA249" s="10">
        <v>122</v>
      </c>
      <c r="CB249" s="10">
        <v>73</v>
      </c>
      <c r="CC249" s="10">
        <v>108</v>
      </c>
      <c r="CD249" s="10">
        <v>11.2</v>
      </c>
      <c r="CE249" s="10">
        <v>1630</v>
      </c>
      <c r="CF249" s="10">
        <v>0.83</v>
      </c>
      <c r="CG249" s="10">
        <v>1359</v>
      </c>
      <c r="CH249" s="10">
        <v>180</v>
      </c>
      <c r="CI249" s="10">
        <v>77</v>
      </c>
      <c r="CJ249" s="10">
        <v>39</v>
      </c>
      <c r="CK249" s="10">
        <v>149</v>
      </c>
      <c r="CL249" s="10">
        <v>6</v>
      </c>
      <c r="CM249" s="10">
        <v>73</v>
      </c>
      <c r="CN249" s="10">
        <v>0.15</v>
      </c>
      <c r="CO249" s="10">
        <v>75</v>
      </c>
      <c r="CP249" s="10">
        <v>63</v>
      </c>
      <c r="CQ249" s="10">
        <v>74</v>
      </c>
      <c r="CR249" s="10">
        <v>7</v>
      </c>
      <c r="CS249" s="10">
        <v>9.6</v>
      </c>
      <c r="CT249" s="9" t="s">
        <v>349</v>
      </c>
      <c r="CU249" s="10"/>
      <c r="CV249" s="10"/>
      <c r="CW249" s="10"/>
      <c r="CX249" t="str">
        <f>INDEX('Data_Price '!AG$2:AG$1266,MATCH(Data!$DN249,'Data_Price '!$AT$2:$AT$1266,0))</f>
        <v>Rossignol Nova 10 Ti Skis w/ Look Xpress 11 GW Bindings</v>
      </c>
      <c r="CY249" t="str">
        <f>INDEX('Data_Price '!AH$2:AH$1266,MATCH(Data!$DN249,'Data_Price '!$AT$2:$AT$1266,0))</f>
        <v>eBay - asogear</v>
      </c>
      <c r="CZ249">
        <f>INDEX('Data_Price '!AI$2:AI$1266,MATCH(Data!$DN249,'Data_Price '!$AT$2:$AT$1266,0))</f>
        <v>449.99</v>
      </c>
      <c r="DA249" t="str">
        <f>INDEX('Data_Price '!AJ$2:AJ$1266,MATCH(Data!$DN249,'Data_Price '!$AT$2:$AT$1266,0))</f>
        <v>https://tinyurl.com/y76vyepq</v>
      </c>
      <c r="DB249" t="str">
        <f>INDEX('Data_Price '!AK$2:AK$1266,MATCH(Data!$DN249,'Data_Price '!$AT$2:$AT$1266,0))</f>
        <v>Rossignol Nova 10 Ti Skis w/ Look Xpress 11 GW Bindings</v>
      </c>
      <c r="DC249" t="str">
        <f>INDEX('Data_Price '!AL$2:AL$1266,MATCH(Data!$DN249,'Data_Price '!$AT$2:$AT$1266,0))</f>
        <v>The-House.com</v>
      </c>
      <c r="DD249">
        <f>INDEX('Data_Price '!AM$2:AM$1266,MATCH(Data!$DN249,'Data_Price '!$AT$2:$AT$1266,0))</f>
        <v>639.95000000000005</v>
      </c>
      <c r="DE249" t="str">
        <f>INDEX('Data_Price '!AN$2:AN$1266,MATCH(Data!$DN249,'Data_Price '!$AT$2:$AT$1266,0))</f>
        <v>https://tinyurl.com/y7zv58tc</v>
      </c>
      <c r="DF249" t="str">
        <f>INDEX('Data_Price '!AO$2:AO$1266,MATCH(Data!$DN249,'Data_Price '!$AT$2:$AT$1266,0))</f>
        <v>2023 Rossignol Escaper 87 Touring Skis w/ Elan ADK C-Raider 12 Binding - 153| Ski Essentials</v>
      </c>
      <c r="DG249" t="str">
        <f>INDEX('Data_Price '!AP$2:AP$1266,MATCH(Data!$DN249,'Data_Price '!$AT$2:$AT$1266,0))</f>
        <v>SkiEssentials.com</v>
      </c>
      <c r="DH249">
        <f>INDEX('Data_Price '!AQ$2:AQ$1266,MATCH(Data!$DN249,'Data_Price '!$AT$2:$AT$1266,0))</f>
        <v>1169.95</v>
      </c>
      <c r="DI249" t="str">
        <f>INDEX('Data_Price '!AR$2:AR$1266,MATCH(Data!$DN249,'Data_Price '!$AT$2:$AT$1266,0))</f>
        <v>https://tinyurl.com/ya5ffwu3</v>
      </c>
      <c r="DJ249" s="89" t="str">
        <f t="shared" si="143"/>
        <v>https://tinyurl.com/y76vyepq</v>
      </c>
      <c r="DK249" s="89" t="str">
        <f t="shared" si="144"/>
        <v>https://tinyurl.com/y7zv58tc</v>
      </c>
      <c r="DL249" s="89" t="str">
        <f t="shared" si="145"/>
        <v>https://tinyurl.com/ya5ffwu3</v>
      </c>
      <c r="DM249" s="219" t="str">
        <f t="shared" si="146"/>
        <v>Nova 10 Ti</v>
      </c>
      <c r="DN249" s="89" t="str">
        <f t="shared" si="147"/>
        <v xml:space="preserve"> RossignolNova 10 Ti153 Women's</v>
      </c>
      <c r="DO249" s="221"/>
    </row>
    <row r="250" spans="2:119" ht="15.6" customHeight="1">
      <c r="B250" s="219" t="b">
        <f t="array" ref="B250">IF(OR(ISERROR(K250:P250)),FALSE,TRUE)</f>
        <v>1</v>
      </c>
      <c r="C250" s="43" t="b">
        <f>OR(BR250=Driver!$G$50,Data!BR1254=Driver!$H$50)</f>
        <v>1</v>
      </c>
      <c r="D250" s="43" t="b">
        <f>OR(BV250=Driver!$G$51,BV250=Driver!$H$51)</f>
        <v>1</v>
      </c>
      <c r="E250" s="43" t="b">
        <f>AND(BX250&gt;Driver!$F$54,BX250&lt;Driver!$G$54)</f>
        <v>0</v>
      </c>
      <c r="F250" s="43" t="b">
        <f>CL250&gt;Driver!$F$56</f>
        <v>1</v>
      </c>
      <c r="G250" s="43" t="b">
        <f>AND(CB250&gt;Driver!$F$55,CB250&lt;Driver!$G$55)</f>
        <v>0</v>
      </c>
      <c r="H250" s="43" t="b">
        <f t="shared" si="111"/>
        <v>0</v>
      </c>
      <c r="I250" s="43">
        <f t="shared" si="112"/>
        <v>0</v>
      </c>
      <c r="J250" s="43" t="b">
        <f t="array" ref="J250">NOT(OR(($H$9:$H$1273=TRUE)*($I$9:$I$1273&gt;0)*($BT$9:$BT$1273=BT250)*($K$9:$K$1273&gt;K250)))</f>
        <v>1</v>
      </c>
      <c r="K250" s="72">
        <f t="shared" si="113"/>
        <v>0.92479745303342487</v>
      </c>
      <c r="L250" s="72">
        <f t="shared" si="114"/>
        <v>0.98041116037324993</v>
      </c>
      <c r="M250" s="72">
        <f t="shared" si="115"/>
        <v>0.8691837456935998</v>
      </c>
      <c r="N250" s="72">
        <f t="shared" si="116"/>
        <v>0.91810463590684477</v>
      </c>
      <c r="O250" s="72">
        <f t="shared" si="117"/>
        <v>0.7034461461396202</v>
      </c>
      <c r="P250" s="72">
        <f t="shared" si="118"/>
        <v>0.98600045503433442</v>
      </c>
      <c r="Q250" s="72"/>
      <c r="R250" s="72"/>
      <c r="S250" s="72">
        <f t="shared" si="119"/>
        <v>0.476879740581582</v>
      </c>
      <c r="T250" s="72">
        <f t="shared" si="120"/>
        <v>0.45275646953415094</v>
      </c>
      <c r="U250" s="72">
        <f t="shared" si="121"/>
        <v>0.51</v>
      </c>
      <c r="V250" s="72">
        <f t="shared" si="122"/>
        <v>0.50816257569196921</v>
      </c>
      <c r="W250" s="72">
        <f t="shared" si="123"/>
        <v>0.77000306560392395</v>
      </c>
      <c r="X250" s="72">
        <f t="shared" si="124"/>
        <v>1.9588839626750093E-2</v>
      </c>
      <c r="Y250" s="72">
        <f t="shared" si="125"/>
        <v>0.13081625430640018</v>
      </c>
      <c r="Z250" s="72">
        <f t="shared" si="126"/>
        <v>8.189536409315519E-2</v>
      </c>
      <c r="AA250" s="72">
        <f t="shared" si="127"/>
        <v>0.2965538538603798</v>
      </c>
      <c r="AB250" s="72">
        <f t="shared" si="128"/>
        <v>1.3999544965665578E-2</v>
      </c>
      <c r="AC250" s="72"/>
      <c r="AD250" s="72"/>
      <c r="AE250" s="72">
        <f t="shared" si="129"/>
        <v>0.523120259418418</v>
      </c>
      <c r="AF250" s="72">
        <f t="shared" si="130"/>
        <v>0.54724353046584906</v>
      </c>
      <c r="AG250" s="72">
        <f t="shared" si="131"/>
        <v>0.49</v>
      </c>
      <c r="AH250" s="72">
        <f t="shared" si="132"/>
        <v>0.49183742430803079</v>
      </c>
      <c r="AI250" s="72">
        <f t="shared" si="133"/>
        <v>0.22999693439607602</v>
      </c>
      <c r="AJ250" s="72">
        <f>(AV250-Driver!$K$179)/(Driver!$L$179-Driver!$K$179)</f>
        <v>0.23463056965595033</v>
      </c>
      <c r="AK250" s="72">
        <f>(AW250-Driver!$K$180)/(Driver!$L$180-Driver!$K$180)</f>
        <v>0.26072836708482211</v>
      </c>
      <c r="AL250" s="72">
        <f>(AX250-Driver!$K$181)/(Driver!$L$181-Driver!$K$181)</f>
        <v>0.18358312780623537</v>
      </c>
      <c r="AM250" s="72">
        <f>(AY250-Driver!$K$182)/(Driver!$L$182-Driver!$K$182)</f>
        <v>0.15083116723666654</v>
      </c>
      <c r="AN250" s="72">
        <f>(AZ250-Driver!$K$183)/(Driver!$L$183-Driver!$K$183)</f>
        <v>0.268218954248366</v>
      </c>
      <c r="AO250" s="72"/>
      <c r="AP250" s="72"/>
      <c r="AQ250" s="72">
        <f>(BC250-Driver!$K$188)/(Driver!$L$188-Driver!$K$188)</f>
        <v>9.6879740581581997E-2</v>
      </c>
      <c r="AR250" s="72">
        <f>MIN((BD250-Driver!$K$189)/(Driver!$L$189-Driver!$K$189),100%)</f>
        <v>2.7564695341509818E-3</v>
      </c>
      <c r="AS250" s="72">
        <f>(BE250-Driver!$K$190)/(Driver!$L$190-Driver!$K$190)</f>
        <v>1</v>
      </c>
      <c r="AT250" s="72">
        <f>(BF250-Driver!$K$191)/(Driver!$L$191-Driver!$K$191)</f>
        <v>1.8162575691969218E-2</v>
      </c>
      <c r="AU250" s="72">
        <f>(BG250-Driver!$K$192)/(Driver!$L$192-Driver!$K$192)</f>
        <v>2.0003065603923974E-2</v>
      </c>
      <c r="AV250" s="70">
        <f t="shared" si="134"/>
        <v>4.9382716049382713</v>
      </c>
      <c r="AW250" s="70">
        <f t="shared" si="135"/>
        <v>27.282182282228433</v>
      </c>
      <c r="AX250" s="70">
        <f t="shared" si="136"/>
        <v>2.6522481502561184</v>
      </c>
      <c r="AY250" s="70">
        <f>IFERROR(Driver!$K$19/Data!BH250/Data!BI250*Data!BK250*Data!BL250,"")</f>
        <v>0.18466235237440259</v>
      </c>
      <c r="AZ250" s="70">
        <f t="shared" si="137"/>
        <v>24.445271779597913</v>
      </c>
      <c r="BA250" s="70"/>
      <c r="BB250" s="70"/>
      <c r="BC250" s="70">
        <f t="shared" si="138"/>
        <v>50.252194936696569</v>
      </c>
      <c r="BD250" s="70">
        <f t="shared" si="139"/>
        <v>1.9647655536950861</v>
      </c>
      <c r="BE250" s="70">
        <f t="shared" si="140"/>
        <v>1</v>
      </c>
      <c r="BF250" s="70">
        <f t="shared" si="141"/>
        <v>2.0513353250920692</v>
      </c>
      <c r="BG250" s="70">
        <f t="shared" si="142"/>
        <v>7.5744366952789716E-2</v>
      </c>
      <c r="BH250" s="67">
        <f>MAX((CE250-Driver!$F$200)/(Driver!$G$200-Driver!$F$200)*$BI$1,1)</f>
        <v>2.6522481502561184</v>
      </c>
      <c r="BI250" s="67">
        <f>MAX($BI$1*(BY250-Driver!$F$201)/(Driver!$G$201-Driver!$F$201),1)</f>
        <v>8.4810126582278489</v>
      </c>
      <c r="BJ250" s="67">
        <f>(CB250-Driver!$F$206)/(Driver!$G$206-Driver!$F$206)*$BI$1</f>
        <v>5.0793650793650791</v>
      </c>
      <c r="BK250" s="67">
        <f>(CD250-Driver!$F$203)/(Driver!$G$203-Driver!$F$203)*$BI$1</f>
        <v>4.6330275229357802</v>
      </c>
      <c r="BL250" s="67">
        <f>MAX((CR250-Driver!$F$202)/(Driver!$G$202-Driver!$F$202)*$BI$1,1)</f>
        <v>4.4827586206896548</v>
      </c>
      <c r="BM250" s="67">
        <f>MAX((CH250-Driver!$F$204)/(Driver!$G$204-Driver!$F$204)*$BI$1,1)</f>
        <v>3.8888888888888888</v>
      </c>
      <c r="BN250" s="67">
        <f>(CI250-Driver!$F$205)/(Driver!$G$205-Driver!$F$205)*$BI$1</f>
        <v>2.8823529411764701</v>
      </c>
      <c r="BO250" s="67">
        <f>(CK250-Driver!$F$207)/(Driver!$G$207-Driver!$F$207)*$BI$1</f>
        <v>2.4405377456049635</v>
      </c>
      <c r="BP250" s="67">
        <f>(CM250-Driver!$F$208)/(Driver!$G$208-Driver!$F$208)*$BI$1</f>
        <v>0.76666666666666661</v>
      </c>
      <c r="BQ250" s="67">
        <f>(CL250-Driver!$F$209)/(Driver!$G$209-Driver!$F$209)*$BI$1</f>
        <v>0.78125</v>
      </c>
      <c r="BR250" s="28" t="s">
        <v>155</v>
      </c>
      <c r="BS250" s="8" t="s">
        <v>229</v>
      </c>
      <c r="BT250" s="9" t="s">
        <v>461</v>
      </c>
      <c r="BU250" s="10">
        <v>184</v>
      </c>
      <c r="BV250" s="9" t="s">
        <v>158</v>
      </c>
      <c r="BW250" s="10">
        <v>184</v>
      </c>
      <c r="BX250" s="10">
        <v>184</v>
      </c>
      <c r="BY250" s="10">
        <v>142</v>
      </c>
      <c r="BZ250" s="10">
        <v>162</v>
      </c>
      <c r="CA250" s="10">
        <v>138</v>
      </c>
      <c r="CB250" s="10">
        <v>96</v>
      </c>
      <c r="CC250" s="10">
        <v>119</v>
      </c>
      <c r="CD250" s="10">
        <v>19.5</v>
      </c>
      <c r="CE250" s="10">
        <v>1366</v>
      </c>
      <c r="CF250" s="10">
        <v>1.46</v>
      </c>
      <c r="CG250" s="10">
        <v>1997</v>
      </c>
      <c r="CH250" s="10">
        <v>192</v>
      </c>
      <c r="CI250" s="10">
        <v>82</v>
      </c>
      <c r="CJ250" s="10">
        <v>40</v>
      </c>
      <c r="CK250" s="10">
        <v>346</v>
      </c>
      <c r="CL250" s="10">
        <v>5</v>
      </c>
      <c r="CM250" s="10">
        <v>69</v>
      </c>
      <c r="CN250" s="10">
        <v>0.11899999999999999</v>
      </c>
      <c r="CO250" s="10">
        <v>127</v>
      </c>
      <c r="CP250" s="10">
        <v>88</v>
      </c>
      <c r="CQ250" s="10">
        <v>219</v>
      </c>
      <c r="CR250" s="10">
        <v>2</v>
      </c>
      <c r="CS250" s="10">
        <v>12.1</v>
      </c>
      <c r="CT250" s="9" t="s">
        <v>185</v>
      </c>
      <c r="CU250" s="9" t="s">
        <v>198</v>
      </c>
      <c r="CV250" s="10"/>
      <c r="CW250" s="10"/>
      <c r="CX250" t="e">
        <f>INDEX('Data_Price '!AG$2:AG$1266,MATCH(Data!$DN250,'Data_Price '!$AT$2:$AT$1266,0))</f>
        <v>#N/A</v>
      </c>
      <c r="CY250" t="e">
        <f>INDEX('Data_Price '!AH$2:AH$1266,MATCH(Data!$DN250,'Data_Price '!$AT$2:$AT$1266,0))</f>
        <v>#N/A</v>
      </c>
      <c r="CZ250" t="e">
        <f>INDEX('Data_Price '!AI$2:AI$1266,MATCH(Data!$DN250,'Data_Price '!$AT$2:$AT$1266,0))</f>
        <v>#N/A</v>
      </c>
      <c r="DA250" t="e">
        <f>INDEX('Data_Price '!AJ$2:AJ$1266,MATCH(Data!$DN250,'Data_Price '!$AT$2:$AT$1266,0))</f>
        <v>#N/A</v>
      </c>
      <c r="DB250" t="e">
        <f>INDEX('Data_Price '!AK$2:AK$1266,MATCH(Data!$DN250,'Data_Price '!$AT$2:$AT$1266,0))</f>
        <v>#N/A</v>
      </c>
      <c r="DC250" t="e">
        <f>INDEX('Data_Price '!AL$2:AL$1266,MATCH(Data!$DN250,'Data_Price '!$AT$2:$AT$1266,0))</f>
        <v>#N/A</v>
      </c>
      <c r="DD250" t="e">
        <f>INDEX('Data_Price '!AM$2:AM$1266,MATCH(Data!$DN250,'Data_Price '!$AT$2:$AT$1266,0))</f>
        <v>#N/A</v>
      </c>
      <c r="DE250" t="e">
        <f>INDEX('Data_Price '!AN$2:AN$1266,MATCH(Data!$DN250,'Data_Price '!$AT$2:$AT$1266,0))</f>
        <v>#N/A</v>
      </c>
      <c r="DF250" t="e">
        <f>INDEX('Data_Price '!AO$2:AO$1266,MATCH(Data!$DN250,'Data_Price '!$AT$2:$AT$1266,0))</f>
        <v>#N/A</v>
      </c>
      <c r="DG250" t="e">
        <f>INDEX('Data_Price '!AP$2:AP$1266,MATCH(Data!$DN250,'Data_Price '!$AT$2:$AT$1266,0))</f>
        <v>#N/A</v>
      </c>
      <c r="DH250" t="e">
        <f>INDEX('Data_Price '!AQ$2:AQ$1266,MATCH(Data!$DN250,'Data_Price '!$AT$2:$AT$1266,0))</f>
        <v>#N/A</v>
      </c>
      <c r="DI250" t="e">
        <f>INDEX('Data_Price '!AR$2:AR$1266,MATCH(Data!$DN250,'Data_Price '!$AT$2:$AT$1266,0))</f>
        <v>#N/A</v>
      </c>
      <c r="DJ250" s="89" t="e">
        <f t="shared" si="143"/>
        <v>#N/A</v>
      </c>
      <c r="DK250" s="89" t="e">
        <f t="shared" si="144"/>
        <v>#N/A</v>
      </c>
      <c r="DL250" s="89" t="e">
        <f t="shared" si="145"/>
        <v>#N/A</v>
      </c>
      <c r="DM250" s="219" t="str">
        <f t="shared" si="146"/>
        <v>Rise Beyond 96</v>
      </c>
      <c r="DN250" s="89" t="str">
        <f t="shared" si="147"/>
        <v xml:space="preserve"> VölklRise Beyond 96184 Unisex</v>
      </c>
      <c r="DO250" s="221"/>
    </row>
    <row r="251" spans="2:119" ht="15.6" customHeight="1">
      <c r="B251" s="219" t="b">
        <f t="array" ref="B251">IF(OR(ISERROR(K251:P251)),FALSE,TRUE)</f>
        <v>1</v>
      </c>
      <c r="C251" s="43" t="b">
        <f>OR(BR251=Driver!$G$50,Data!BR235=Driver!$H$50)</f>
        <v>1</v>
      </c>
      <c r="D251" s="43" t="b">
        <f>OR(BV251=Driver!$G$51,BV251=Driver!$H$51)</f>
        <v>1</v>
      </c>
      <c r="E251" s="43" t="b">
        <f>AND(BX251&gt;Driver!$F$54,BX251&lt;Driver!$G$54)</f>
        <v>0</v>
      </c>
      <c r="F251" s="43" t="b">
        <f>CL251&gt;Driver!$F$56</f>
        <v>1</v>
      </c>
      <c r="G251" s="43" t="b">
        <f>AND(CB251&gt;Driver!$F$55,CB251&lt;Driver!$G$55)</f>
        <v>0</v>
      </c>
      <c r="H251" s="43" t="b">
        <f t="shared" si="111"/>
        <v>0</v>
      </c>
      <c r="I251" s="43">
        <f t="shared" si="112"/>
        <v>0</v>
      </c>
      <c r="J251" s="43" t="b">
        <f t="array" ref="J251">NOT(OR(($H$9:$H$1273=TRUE)*($I$9:$I$1273&gt;0)*($BT$9:$BT$1273=BT251)*($K$9:$K$1273&gt;K251)))</f>
        <v>1</v>
      </c>
      <c r="K251" s="72">
        <f t="shared" si="113"/>
        <v>0.77627187781725249</v>
      </c>
      <c r="L251" s="72">
        <f t="shared" si="114"/>
        <v>0.8539293440180159</v>
      </c>
      <c r="M251" s="72">
        <f t="shared" si="115"/>
        <v>0.69861441161648918</v>
      </c>
      <c r="N251" s="72">
        <f t="shared" si="116"/>
        <v>0.64364691124991702</v>
      </c>
      <c r="O251" s="72">
        <f t="shared" si="117"/>
        <v>0.65569750255214398</v>
      </c>
      <c r="P251" s="72">
        <f t="shared" si="118"/>
        <v>0.79649882104740644</v>
      </c>
      <c r="Q251" s="72"/>
      <c r="R251" s="72"/>
      <c r="S251" s="72">
        <f t="shared" si="119"/>
        <v>0.52969870691101983</v>
      </c>
      <c r="T251" s="72">
        <f t="shared" si="120"/>
        <v>0.51388438921011304</v>
      </c>
      <c r="U251" s="72">
        <f t="shared" si="121"/>
        <v>0.78757209218319757</v>
      </c>
      <c r="V251" s="72">
        <f t="shared" si="122"/>
        <v>0.51718360804887098</v>
      </c>
      <c r="W251" s="72">
        <f t="shared" si="123"/>
        <v>0.77048913043478262</v>
      </c>
      <c r="X251" s="72">
        <f t="shared" si="124"/>
        <v>0.1460706559819841</v>
      </c>
      <c r="Y251" s="72">
        <f t="shared" si="125"/>
        <v>0.30138558838351087</v>
      </c>
      <c r="Z251" s="72">
        <f t="shared" si="126"/>
        <v>0.35635308875008304</v>
      </c>
      <c r="AA251" s="72">
        <f t="shared" si="127"/>
        <v>0.34430249744785602</v>
      </c>
      <c r="AB251" s="72">
        <f t="shared" si="128"/>
        <v>0.20350117895259356</v>
      </c>
      <c r="AC251" s="72"/>
      <c r="AD251" s="72"/>
      <c r="AE251" s="72">
        <f t="shared" si="129"/>
        <v>0.47030129308898017</v>
      </c>
      <c r="AF251" s="72">
        <f t="shared" si="130"/>
        <v>0.48611561078988691</v>
      </c>
      <c r="AG251" s="72">
        <f t="shared" si="131"/>
        <v>0.21242790781680243</v>
      </c>
      <c r="AH251" s="72">
        <f t="shared" si="132"/>
        <v>0.48281639195112902</v>
      </c>
      <c r="AI251" s="72">
        <f t="shared" si="133"/>
        <v>0.22951086956521738</v>
      </c>
      <c r="AJ251" s="72">
        <f>(AV251-Driver!$K$179)/(Driver!$L$179-Driver!$K$179)</f>
        <v>0.40029006526468452</v>
      </c>
      <c r="AK251" s="72">
        <f>(AW251-Driver!$K$180)/(Driver!$L$180-Driver!$K$180)</f>
        <v>0.46268738599363263</v>
      </c>
      <c r="AL251" s="72">
        <f>(AX251-Driver!$K$181)/(Driver!$L$181-Driver!$K$181)</f>
        <v>0.45804085246316323</v>
      </c>
      <c r="AM251" s="72">
        <f>(AY251-Driver!$K$182)/(Driver!$L$182-Driver!$K$182)</f>
        <v>0.10308252364919032</v>
      </c>
      <c r="AN251" s="72">
        <f>(AZ251-Driver!$K$183)/(Driver!$L$183-Driver!$K$183)</f>
        <v>0.45772058823529399</v>
      </c>
      <c r="AO251" s="72"/>
      <c r="AP251" s="72"/>
      <c r="AQ251" s="72">
        <f>(BC251-Driver!$K$188)/(Driver!$L$188-Driver!$K$188)</f>
        <v>0.14969870691101986</v>
      </c>
      <c r="AR251" s="72">
        <f>MIN((BD251-Driver!$K$189)/(Driver!$L$189-Driver!$K$189),100%)</f>
        <v>6.3884389210113135E-2</v>
      </c>
      <c r="AS251" s="72">
        <f>(BE251-Driver!$K$190)/(Driver!$L$190-Driver!$K$190)</f>
        <v>0.29757209218319758</v>
      </c>
      <c r="AT251" s="72">
        <f>(BF251-Driver!$K$191)/(Driver!$L$191-Driver!$K$191)</f>
        <v>2.7183608048870982E-2</v>
      </c>
      <c r="AU251" s="72">
        <f>(BG251-Driver!$K$192)/(Driver!$L$192-Driver!$K$192)</f>
        <v>2.0489130434782607E-2</v>
      </c>
      <c r="AV251" s="70">
        <f t="shared" si="134"/>
        <v>8.4249084249084252</v>
      </c>
      <c r="AW251" s="70">
        <f t="shared" si="135"/>
        <v>46.964878213846504</v>
      </c>
      <c r="AX251" s="70">
        <f t="shared" si="136"/>
        <v>5.122367672168469</v>
      </c>
      <c r="AY251" s="70">
        <f>IFERROR(Driver!$K$19/Data!BH251/Data!BI251*Data!BK251*Data!BL251,"")</f>
        <v>0.12620376580313314</v>
      </c>
      <c r="AZ251" s="70">
        <f t="shared" si="137"/>
        <v>41.716306775874898</v>
      </c>
      <c r="BA251" s="70"/>
      <c r="BB251" s="70"/>
      <c r="BC251" s="70">
        <f t="shared" si="138"/>
        <v>77.649759963272757</v>
      </c>
      <c r="BD251" s="70">
        <f t="shared" si="139"/>
        <v>7.3744781327532447</v>
      </c>
      <c r="BE251" s="70">
        <f t="shared" si="140"/>
        <v>0.29769739741578927</v>
      </c>
      <c r="BF251" s="70">
        <f t="shared" si="141"/>
        <v>3.0701975534649653</v>
      </c>
      <c r="BG251" s="70">
        <f t="shared" si="142"/>
        <v>7.7584918478260864E-2</v>
      </c>
      <c r="BH251" s="67">
        <f>MAX((CE251-Driver!$F$200)/(Driver!$G$200-Driver!$F$200)*$BI$1,1)</f>
        <v>5.122367672168469</v>
      </c>
      <c r="BI251" s="67">
        <f>MAX($BI$1*(BY251-Driver!$F$201)/(Driver!$G$201-Driver!$F$201),1)</f>
        <v>8.5443037974683538</v>
      </c>
      <c r="BJ251" s="67">
        <f>(CB251-Driver!$F$206)/(Driver!$G$206-Driver!$F$206)*$BI$1</f>
        <v>5.7142857142857135</v>
      </c>
      <c r="BK251" s="67">
        <f>(CD251-Driver!$F$203)/(Driver!$G$203-Driver!$F$203)*$BI$1</f>
        <v>4.4495412844036704</v>
      </c>
      <c r="BL251" s="67">
        <f>MAX((CR251-Driver!$F$202)/(Driver!$G$202-Driver!$F$202)*$BI$1,1)</f>
        <v>6.2068965517241379</v>
      </c>
      <c r="BM251" s="67">
        <f>MAX((CH251-Driver!$F$204)/(Driver!$G$204-Driver!$F$204)*$BI$1,1)</f>
        <v>5.8974358974358978</v>
      </c>
      <c r="BN251" s="67">
        <f>(CI251-Driver!$F$205)/(Driver!$G$205-Driver!$F$205)*$BI$1</f>
        <v>4.8823529411764701</v>
      </c>
      <c r="BO251" s="67">
        <f>(CK251-Driver!$F$207)/(Driver!$G$207-Driver!$F$207)*$BI$1</f>
        <v>1.0651499482936919</v>
      </c>
      <c r="BP251" s="67">
        <f>(CM251-Driver!$F$208)/(Driver!$G$208-Driver!$F$208)*$BI$1</f>
        <v>2.2444444444444445</v>
      </c>
      <c r="BQ251" s="67">
        <f>(CL251-Driver!$F$209)/(Driver!$G$209-Driver!$F$209)*$BI$1</f>
        <v>2.34375</v>
      </c>
      <c r="BR251" s="28" t="s">
        <v>155</v>
      </c>
      <c r="BS251" s="8" t="s">
        <v>237</v>
      </c>
      <c r="BT251" s="9" t="s">
        <v>238</v>
      </c>
      <c r="BU251" s="10">
        <v>185.8</v>
      </c>
      <c r="BV251" s="9" t="s">
        <v>158</v>
      </c>
      <c r="BW251" s="10">
        <v>185.8</v>
      </c>
      <c r="BX251" s="10">
        <v>184.5</v>
      </c>
      <c r="BY251" s="10">
        <v>143</v>
      </c>
      <c r="BZ251" s="10">
        <v>152</v>
      </c>
      <c r="CA251" s="10">
        <v>139</v>
      </c>
      <c r="CB251" s="10">
        <v>100</v>
      </c>
      <c r="CC251" s="10">
        <v>120</v>
      </c>
      <c r="CD251" s="10">
        <v>19.100000000000001</v>
      </c>
      <c r="CE251" s="10">
        <v>1800</v>
      </c>
      <c r="CF251" s="10">
        <v>1.1499999999999999</v>
      </c>
      <c r="CG251" s="10">
        <v>2071</v>
      </c>
      <c r="CH251" s="10">
        <v>239</v>
      </c>
      <c r="CI251" s="10">
        <v>116</v>
      </c>
      <c r="CJ251" s="10">
        <v>41</v>
      </c>
      <c r="CK251" s="10">
        <v>213</v>
      </c>
      <c r="CL251" s="10">
        <v>15</v>
      </c>
      <c r="CM251" s="10">
        <v>202</v>
      </c>
      <c r="CN251" s="10">
        <v>0.371</v>
      </c>
      <c r="CO251" s="10">
        <v>182</v>
      </c>
      <c r="CP251" s="10">
        <v>142</v>
      </c>
      <c r="CQ251" s="10">
        <v>31</v>
      </c>
      <c r="CR251" s="10">
        <v>7</v>
      </c>
      <c r="CS251" s="10">
        <v>9.5</v>
      </c>
      <c r="CT251" s="9" t="s">
        <v>188</v>
      </c>
      <c r="CU251" s="9" t="s">
        <v>169</v>
      </c>
      <c r="CV251" s="9" t="s">
        <v>178</v>
      </c>
      <c r="CW251" s="9" t="s">
        <v>185</v>
      </c>
      <c r="CX251" t="str">
        <f>INDEX('Data_Price '!AG$2:AG$1266,MATCH(Data!$DN251,'Data_Price '!$AT$2:$AT$1266,0))</f>
        <v>Black Crows Navis Freebird Touring Ski - 185.8 cm</v>
      </c>
      <c r="CY251" t="str">
        <f>INDEX('Data_Price '!AH$2:AH$1266,MATCH(Data!$DN251,'Data_Price '!$AT$2:$AT$1266,0))</f>
        <v>ColoradoSkiShop.com</v>
      </c>
      <c r="CZ251">
        <f>INDEX('Data_Price '!AI$2:AI$1266,MATCH(Data!$DN251,'Data_Price '!$AT$2:$AT$1266,0))</f>
        <v>659.99</v>
      </c>
      <c r="DA251" t="str">
        <f>INDEX('Data_Price '!AJ$2:AJ$1266,MATCH(Data!$DN251,'Data_Price '!$AT$2:$AT$1266,0))</f>
        <v>https://tinyurl.com/yd9uauf3</v>
      </c>
      <c r="DB251" t="str">
        <f>INDEX('Data_Price '!AK$2:AK$1266,MATCH(Data!$DN251,'Data_Price '!$AT$2:$AT$1266,0))</f>
        <v>Black Crows Navis Freebird Touring Ski - 185.8 cm</v>
      </c>
      <c r="DC251" t="str">
        <f>INDEX('Data_Price '!AL$2:AL$1266,MATCH(Data!$DN251,'Data_Price '!$AT$2:$AT$1266,0))</f>
        <v>Powder7 Ski Shop</v>
      </c>
      <c r="DD251">
        <f>INDEX('Data_Price '!AM$2:AM$1266,MATCH(Data!$DN251,'Data_Price '!$AT$2:$AT$1266,0))</f>
        <v>663.93</v>
      </c>
      <c r="DE251" t="str">
        <f>INDEX('Data_Price '!AN$2:AN$1266,MATCH(Data!$DN251,'Data_Price '!$AT$2:$AT$1266,0))</f>
        <v>https://tinyurl.com/yayaeczd</v>
      </c>
      <c r="DF251" t="str">
        <f>INDEX('Data_Price '!AO$2:AO$1266,MATCH(Data!$DN251,'Data_Price '!$AT$2:$AT$1266,0))</f>
        <v>Black Crows Navis Freebird Skis</v>
      </c>
      <c r="DG251" t="str">
        <f>INDEX('Data_Price '!AP$2:AP$1266,MATCH(Data!$DN251,'Data_Price '!$AT$2:$AT$1266,0))</f>
        <v>Cole Sport</v>
      </c>
      <c r="DH251">
        <f>INDEX('Data_Price '!AQ$2:AQ$1266,MATCH(Data!$DN251,'Data_Price '!$AT$2:$AT$1266,0))</f>
        <v>663.96</v>
      </c>
      <c r="DI251" t="str">
        <f>INDEX('Data_Price '!AR$2:AR$1266,MATCH(Data!$DN251,'Data_Price '!$AT$2:$AT$1266,0))</f>
        <v>https://tinyurl.com/ybuttjz6</v>
      </c>
      <c r="DJ251" s="89" t="str">
        <f t="shared" si="143"/>
        <v>https://tinyurl.com/yd9uauf3</v>
      </c>
      <c r="DK251" s="89" t="str">
        <f t="shared" si="144"/>
        <v>https://tinyurl.com/yayaeczd</v>
      </c>
      <c r="DL251" s="89" t="str">
        <f t="shared" si="145"/>
        <v>https://tinyurl.com/ybuttjz6</v>
      </c>
      <c r="DM251" s="219" t="str">
        <f t="shared" si="146"/>
        <v>Navis Freebird</v>
      </c>
      <c r="DN251" s="89" t="str">
        <f t="shared" si="147"/>
        <v xml:space="preserve"> Black CrowsNavis Freebird185.8 Unisex</v>
      </c>
      <c r="DO251" s="221" t="s">
        <v>239</v>
      </c>
    </row>
    <row r="252" spans="2:119" ht="15.6" customHeight="1">
      <c r="B252" s="219" t="b">
        <f t="array" ref="B252">IF(OR(ISERROR(K252:P252)),FALSE,TRUE)</f>
        <v>1</v>
      </c>
      <c r="C252" s="43" t="b">
        <f>OR(BR252=Driver!$G$50,Data!BR569=Driver!$H$50)</f>
        <v>1</v>
      </c>
      <c r="D252" s="43" t="b">
        <f>OR(BV252=Driver!$G$51,BV252=Driver!$H$51)</f>
        <v>1</v>
      </c>
      <c r="E252" s="43" t="b">
        <f>AND(BX252&gt;Driver!$F$54,BX252&lt;Driver!$G$54)</f>
        <v>0</v>
      </c>
      <c r="F252" s="43" t="b">
        <f>CL252&gt;Driver!$F$56</f>
        <v>1</v>
      </c>
      <c r="G252" s="43" t="b">
        <f>AND(CB252&gt;Driver!$F$55,CB252&lt;Driver!$G$55)</f>
        <v>1</v>
      </c>
      <c r="H252" s="43" t="b">
        <f t="shared" si="111"/>
        <v>0</v>
      </c>
      <c r="I252" s="43">
        <f t="shared" si="112"/>
        <v>0</v>
      </c>
      <c r="J252" s="43" t="b">
        <f t="array" ref="J252">NOT(OR(($H$9:$H$1273=TRUE)*($I$9:$I$1273&gt;0)*($BT$9:$BT$1273=BT252)*($K$9:$K$1273&gt;K252)))</f>
        <v>1</v>
      </c>
      <c r="K252" s="72">
        <f t="shared" si="113"/>
        <v>0.85236354355626331</v>
      </c>
      <c r="L252" s="72">
        <f t="shared" si="114"/>
        <v>0.94602506555536181</v>
      </c>
      <c r="M252" s="72">
        <f t="shared" si="115"/>
        <v>0.75870202155716482</v>
      </c>
      <c r="N252" s="72">
        <f t="shared" si="116"/>
        <v>0.62657235234268871</v>
      </c>
      <c r="O252" s="72">
        <f t="shared" si="117"/>
        <v>0.65356593703303356</v>
      </c>
      <c r="P252" s="72">
        <f t="shared" si="118"/>
        <v>0.9959677752957723</v>
      </c>
      <c r="Q252" s="72"/>
      <c r="R252" s="72"/>
      <c r="S252" s="72">
        <f t="shared" si="119"/>
        <v>0.44152633277447872</v>
      </c>
      <c r="T252" s="72">
        <f t="shared" si="120"/>
        <v>0.48248409913485679</v>
      </c>
      <c r="U252" s="72">
        <f t="shared" si="121"/>
        <v>0.54131893451826163</v>
      </c>
      <c r="V252" s="72">
        <f t="shared" si="122"/>
        <v>0.5845485468772349</v>
      </c>
      <c r="W252" s="72">
        <f t="shared" si="123"/>
        <v>0.81459166190748145</v>
      </c>
      <c r="X252" s="72">
        <f t="shared" si="124"/>
        <v>5.397493444463819E-2</v>
      </c>
      <c r="Y252" s="72">
        <f t="shared" si="125"/>
        <v>0.24129797844283515</v>
      </c>
      <c r="Z252" s="72">
        <f t="shared" si="126"/>
        <v>0.37342764765731123</v>
      </c>
      <c r="AA252" s="72">
        <f t="shared" si="127"/>
        <v>0.34643406296696649</v>
      </c>
      <c r="AB252" s="72">
        <f t="shared" si="128"/>
        <v>4.0322247042277048E-3</v>
      </c>
      <c r="AC252" s="72"/>
      <c r="AD252" s="72"/>
      <c r="AE252" s="72">
        <f t="shared" si="129"/>
        <v>0.55847366722552128</v>
      </c>
      <c r="AF252" s="72">
        <f t="shared" si="130"/>
        <v>0.51751590086514321</v>
      </c>
      <c r="AG252" s="72">
        <f t="shared" si="131"/>
        <v>0.45868106548173831</v>
      </c>
      <c r="AH252" s="72">
        <f t="shared" si="132"/>
        <v>0.41545145312276505</v>
      </c>
      <c r="AI252" s="72">
        <f t="shared" si="133"/>
        <v>0.18540833809251855</v>
      </c>
      <c r="AJ252" s="72">
        <f>(AV252-Driver!$K$179)/(Driver!$L$179-Driver!$K$179)</f>
        <v>0.30819434372733862</v>
      </c>
      <c r="AK252" s="72">
        <f>(AW252-Driver!$K$180)/(Driver!$L$180-Driver!$K$180)</f>
        <v>0.27770279382756607</v>
      </c>
      <c r="AL252" s="72">
        <f>(AX252-Driver!$K$181)/(Driver!$L$181-Driver!$K$181)</f>
        <v>0.47511541137039143</v>
      </c>
      <c r="AM252" s="72">
        <f>(AY252-Driver!$K$182)/(Driver!$L$182-Driver!$K$182)</f>
        <v>0.10095095813007986</v>
      </c>
      <c r="AN252" s="72">
        <f>(AZ252-Driver!$K$183)/(Driver!$L$183-Driver!$K$183)</f>
        <v>0.25825163398692813</v>
      </c>
      <c r="AO252" s="72"/>
      <c r="AP252" s="72"/>
      <c r="AQ252" s="72">
        <f>(BC252-Driver!$K$188)/(Driver!$L$188-Driver!$K$188)</f>
        <v>6.1526332774478706E-2</v>
      </c>
      <c r="AR252" s="72">
        <f>MIN((BD252-Driver!$K$189)/(Driver!$L$189-Driver!$K$189),100%)</f>
        <v>3.2484099134856878E-2</v>
      </c>
      <c r="AS252" s="72">
        <f>(BE252-Driver!$K$190)/(Driver!$L$190-Driver!$K$190)</f>
        <v>5.1318934518261673E-2</v>
      </c>
      <c r="AT252" s="72">
        <f>(BF252-Driver!$K$191)/(Driver!$L$191-Driver!$K$191)</f>
        <v>9.4548546877234976E-2</v>
      </c>
      <c r="AU252" s="72">
        <f>(BG252-Driver!$K$192)/(Driver!$L$192-Driver!$K$192)</f>
        <v>6.4591661907481446E-2</v>
      </c>
      <c r="AV252" s="70">
        <f t="shared" si="134"/>
        <v>6.4865689865689866</v>
      </c>
      <c r="AW252" s="70">
        <f t="shared" si="135"/>
        <v>28.936490577030618</v>
      </c>
      <c r="AX252" s="70">
        <f t="shared" si="136"/>
        <v>5.2760387023335227</v>
      </c>
      <c r="AY252" s="70">
        <f>IFERROR(Driver!$K$19/Data!BH252/Data!BI252*Data!BK252*Data!BL252,"")</f>
        <v>0.12359409360997507</v>
      </c>
      <c r="AZ252" s="70">
        <f t="shared" si="137"/>
        <v>23.536857781087122</v>
      </c>
      <c r="BA252" s="70"/>
      <c r="BB252" s="70"/>
      <c r="BC252" s="70">
        <f t="shared" si="138"/>
        <v>31.914136534248335</v>
      </c>
      <c r="BD252" s="70">
        <f t="shared" si="139"/>
        <v>4.5956080991148038</v>
      </c>
      <c r="BE252" s="70">
        <f t="shared" si="140"/>
        <v>5.1488168542483392E-2</v>
      </c>
      <c r="BF252" s="70">
        <f t="shared" si="141"/>
        <v>10.67859412864845</v>
      </c>
      <c r="BG252" s="70">
        <f t="shared" si="142"/>
        <v>0.24458523700742435</v>
      </c>
      <c r="BH252" s="67">
        <f>MAX((CE252-Driver!$F$200)/(Driver!$G$200-Driver!$F$200)*$BI$1,1)</f>
        <v>5.2760387023335227</v>
      </c>
      <c r="BI252" s="67">
        <f>MAX($BI$1*(BY252-Driver!$F$201)/(Driver!$G$201-Driver!$F$201),1)</f>
        <v>6.8987341772151902</v>
      </c>
      <c r="BJ252" s="67">
        <f>(CB252-Driver!$F$206)/(Driver!$G$206-Driver!$F$206)*$BI$1</f>
        <v>7.1428571428571432</v>
      </c>
      <c r="BK252" s="67">
        <f>(CD252-Driver!$F$203)/(Driver!$G$203-Driver!$F$203)*$BI$1</f>
        <v>3.623853211009175</v>
      </c>
      <c r="BL252" s="67">
        <f>MAX((CR252-Driver!$F$202)/(Driver!$G$202-Driver!$F$202)*$BI$1,1)</f>
        <v>6.2068965517241379</v>
      </c>
      <c r="BM252" s="67">
        <f>MAX((CH252-Driver!$F$204)/(Driver!$G$204-Driver!$F$204)*$BI$1,1)</f>
        <v>3.6324786324786325</v>
      </c>
      <c r="BN252" s="67">
        <f>(CI252-Driver!$F$205)/(Driver!$G$205-Driver!$F$205)*$BI$1</f>
        <v>3.4117647058823533</v>
      </c>
      <c r="BO252" s="67">
        <f>(CK252-Driver!$F$207)/(Driver!$G$207-Driver!$F$207)*$BI$1</f>
        <v>2.3784901758014478</v>
      </c>
      <c r="BP252" s="67">
        <f>(CM252-Driver!$F$208)/(Driver!$G$208-Driver!$F$208)*$BI$1</f>
        <v>2.2777777777777777</v>
      </c>
      <c r="BQ252" s="67">
        <f>(CL252-Driver!$F$209)/(Driver!$G$209-Driver!$F$209)*$BI$1</f>
        <v>4.6875</v>
      </c>
      <c r="BR252" s="28" t="s">
        <v>155</v>
      </c>
      <c r="BS252" s="8" t="s">
        <v>245</v>
      </c>
      <c r="BT252" s="9" t="s">
        <v>462</v>
      </c>
      <c r="BU252" s="10">
        <v>172</v>
      </c>
      <c r="BV252" s="9" t="s">
        <v>158</v>
      </c>
      <c r="BW252" s="10">
        <v>172</v>
      </c>
      <c r="BX252" s="10">
        <v>171.2</v>
      </c>
      <c r="BY252" s="10">
        <v>117</v>
      </c>
      <c r="BZ252" s="10">
        <v>140</v>
      </c>
      <c r="CA252" s="10">
        <v>138</v>
      </c>
      <c r="CB252" s="10">
        <v>109</v>
      </c>
      <c r="CC252" s="10">
        <v>128</v>
      </c>
      <c r="CD252" s="10">
        <v>17.3</v>
      </c>
      <c r="CE252" s="10">
        <v>1827</v>
      </c>
      <c r="CF252" s="10">
        <v>1.1100000000000001</v>
      </c>
      <c r="CG252" s="10">
        <v>2027</v>
      </c>
      <c r="CH252" s="10">
        <v>186</v>
      </c>
      <c r="CI252" s="10">
        <v>91</v>
      </c>
      <c r="CJ252" s="10">
        <v>51</v>
      </c>
      <c r="CK252" s="10">
        <v>340</v>
      </c>
      <c r="CL252" s="10">
        <v>30</v>
      </c>
      <c r="CM252" s="10">
        <v>205</v>
      </c>
      <c r="CN252" s="10">
        <v>0.58699999999999997</v>
      </c>
      <c r="CO252" s="10">
        <v>159</v>
      </c>
      <c r="CP252" s="10">
        <v>152</v>
      </c>
      <c r="CQ252" s="10">
        <v>180</v>
      </c>
      <c r="CR252" s="10">
        <v>7</v>
      </c>
      <c r="CS252" s="10">
        <v>9.6</v>
      </c>
      <c r="CT252" s="9" t="s">
        <v>169</v>
      </c>
      <c r="CU252" s="9" t="s">
        <v>185</v>
      </c>
      <c r="CV252" s="10"/>
      <c r="CW252" s="10"/>
      <c r="CX252" t="str">
        <f>INDEX('Data_Price '!AG$2:AG$1266,MATCH(Data!$DN252,'Data_Price '!$AT$2:$AT$1266,0))</f>
        <v>Fischer Ranger 90 FR Skis Â· 2022 Â· 172 cm</v>
      </c>
      <c r="CY252" t="str">
        <f>INDEX('Data_Price '!AH$2:AH$1266,MATCH(Data!$DN252,'Data_Price '!$AT$2:$AT$1266,0))</f>
        <v>! OutdoorXL.com</v>
      </c>
      <c r="CZ252">
        <f>INDEX('Data_Price '!AI$2:AI$1266,MATCH(Data!$DN252,'Data_Price '!$AT$2:$AT$1266,0))</f>
        <v>244.95</v>
      </c>
      <c r="DA252" t="str">
        <f>INDEX('Data_Price '!AJ$2:AJ$1266,MATCH(Data!$DN252,'Data_Price '!$AT$2:$AT$1266,0))</f>
        <v>https://tinyurl.com/y8z7jvut</v>
      </c>
      <c r="DB252" t="str">
        <f>INDEX('Data_Price '!AK$2:AK$1266,MATCH(Data!$DN252,'Data_Price '!$AT$2:$AT$1266,0))</f>
        <v>Fischer My Ranger 89 Skis - Women's 2018</v>
      </c>
      <c r="DC252" t="str">
        <f>INDEX('Data_Price '!AL$2:AL$1266,MATCH(Data!$DN252,'Data_Price '!$AT$2:$AT$1266,0))</f>
        <v>Level Nine Sports</v>
      </c>
      <c r="DD252">
        <f>INDEX('Data_Price '!AM$2:AM$1266,MATCH(Data!$DN252,'Data_Price '!$AT$2:$AT$1266,0))</f>
        <v>299</v>
      </c>
      <c r="DE252" t="str">
        <f>INDEX('Data_Price '!AN$2:AN$1266,MATCH(Data!$DN252,'Data_Price '!$AT$2:$AT$1266,0))</f>
        <v>https://tinyurl.com/y9733bpk</v>
      </c>
      <c r="DF252" t="str">
        <f>INDEX('Data_Price '!AO$2:AO$1266,MATCH(Data!$DN252,'Data_Price '!$AT$2:$AT$1266,0))</f>
        <v>Fischer My Ranger 89 Skis - Women's 2018</v>
      </c>
      <c r="DG252" t="str">
        <f>INDEX('Data_Price '!AP$2:AP$1266,MATCH(Data!$DN252,'Data_Price '!$AT$2:$AT$1266,0))</f>
        <v>eBay - bikewagon</v>
      </c>
      <c r="DH252">
        <f>INDEX('Data_Price '!AQ$2:AQ$1266,MATCH(Data!$DN252,'Data_Price '!$AT$2:$AT$1266,0))</f>
        <v>324.97000000000003</v>
      </c>
      <c r="DI252" t="str">
        <f>INDEX('Data_Price '!AR$2:AR$1266,MATCH(Data!$DN252,'Data_Price '!$AT$2:$AT$1266,0))</f>
        <v>https://tinyurl.com/ya6m9xgf</v>
      </c>
      <c r="DJ252" s="89" t="str">
        <f t="shared" si="143"/>
        <v>https://tinyurl.com/y8z7jvut</v>
      </c>
      <c r="DK252" s="89" t="str">
        <f t="shared" si="144"/>
        <v>https://tinyurl.com/y9733bpk</v>
      </c>
      <c r="DL252" s="89" t="str">
        <f t="shared" si="145"/>
        <v>https://tinyurl.com/ya6m9xgf</v>
      </c>
      <c r="DM252" s="219" t="str">
        <f t="shared" si="146"/>
        <v>Ranger 115 FR Big Stix</v>
      </c>
      <c r="DN252" s="89" t="str">
        <f t="shared" si="147"/>
        <v xml:space="preserve"> FischerRanger 115 FR Big Stix172 Unisex</v>
      </c>
      <c r="DO252" s="221"/>
    </row>
    <row r="253" spans="2:119" ht="15.6" customHeight="1">
      <c r="B253" s="219" t="b">
        <f t="array" ref="B253">IF(OR(ISERROR(K253:P253)),FALSE,TRUE)</f>
        <v>1</v>
      </c>
      <c r="C253" s="43" t="b">
        <f>OR(BR253=Driver!$G$50,Data!BR502=Driver!$H$50)</f>
        <v>1</v>
      </c>
      <c r="D253" s="43" t="b">
        <f>OR(BV253=Driver!$G$51,BV253=Driver!$H$51)</f>
        <v>1</v>
      </c>
      <c r="E253" s="43" t="b">
        <f>AND(BX253&gt;Driver!$F$54,BX253&lt;Driver!$G$54)</f>
        <v>0</v>
      </c>
      <c r="F253" s="43" t="b">
        <f>CL253&gt;Driver!$F$56</f>
        <v>1</v>
      </c>
      <c r="G253" s="43" t="b">
        <f>AND(CB253&gt;Driver!$F$55,CB253&lt;Driver!$G$55)</f>
        <v>1</v>
      </c>
      <c r="H253" s="43" t="b">
        <f t="shared" si="111"/>
        <v>0</v>
      </c>
      <c r="I253" s="43">
        <f t="shared" si="112"/>
        <v>1</v>
      </c>
      <c r="J253" s="43" t="b">
        <f t="array" ref="J253">NOT(OR(($H$9:$H$1273=TRUE)*($I$9:$I$1273&gt;0)*($BT$9:$BT$1273=BT253)*($K$9:$K$1273&gt;K253)))</f>
        <v>0</v>
      </c>
      <c r="K253" s="72">
        <f t="shared" si="113"/>
        <v>0.83949453477042713</v>
      </c>
      <c r="L253" s="72">
        <f t="shared" si="114"/>
        <v>0.91129780747784994</v>
      </c>
      <c r="M253" s="72">
        <f t="shared" si="115"/>
        <v>0.76769126206300431</v>
      </c>
      <c r="N253" s="72">
        <f t="shared" si="116"/>
        <v>0.65502995052140245</v>
      </c>
      <c r="O253" s="72">
        <f t="shared" si="117"/>
        <v>0.66147148520843957</v>
      </c>
      <c r="P253" s="72">
        <f t="shared" si="118"/>
        <v>0.98657235045917102</v>
      </c>
      <c r="Q253" s="72"/>
      <c r="R253" s="72"/>
      <c r="S253" s="72">
        <f t="shared" si="119"/>
        <v>0.45641648325655637</v>
      </c>
      <c r="T253" s="72">
        <f t="shared" si="120"/>
        <v>0.49278253193119281</v>
      </c>
      <c r="U253" s="72">
        <f t="shared" si="121"/>
        <v>0.51483215428860407</v>
      </c>
      <c r="V253" s="72">
        <f t="shared" si="122"/>
        <v>0.57805704334857833</v>
      </c>
      <c r="W253" s="72">
        <f t="shared" si="123"/>
        <v>0.83758655247813407</v>
      </c>
      <c r="X253" s="72">
        <f t="shared" si="124"/>
        <v>8.8702192522150058E-2</v>
      </c>
      <c r="Y253" s="72">
        <f t="shared" si="125"/>
        <v>0.23230873793699566</v>
      </c>
      <c r="Z253" s="72">
        <f t="shared" si="126"/>
        <v>0.34497004947859755</v>
      </c>
      <c r="AA253" s="72">
        <f t="shared" si="127"/>
        <v>0.33852851479156043</v>
      </c>
      <c r="AB253" s="72">
        <f t="shared" si="128"/>
        <v>1.3427649540828979E-2</v>
      </c>
      <c r="AC253" s="72"/>
      <c r="AD253" s="72"/>
      <c r="AE253" s="72">
        <f t="shared" si="129"/>
        <v>0.54358351674344363</v>
      </c>
      <c r="AF253" s="72">
        <f t="shared" si="130"/>
        <v>0.50721746806880719</v>
      </c>
      <c r="AG253" s="72">
        <f t="shared" si="131"/>
        <v>0.48516784571139598</v>
      </c>
      <c r="AH253" s="72">
        <f t="shared" si="132"/>
        <v>0.42194295665142167</v>
      </c>
      <c r="AI253" s="72">
        <f t="shared" si="133"/>
        <v>0.1624134475218659</v>
      </c>
      <c r="AJ253" s="72">
        <f>(AV253-Driver!$K$179)/(Driver!$L$179-Driver!$K$179)</f>
        <v>0.34292160180485048</v>
      </c>
      <c r="AK253" s="72">
        <f>(AW253-Driver!$K$180)/(Driver!$L$180-Driver!$K$180)</f>
        <v>0.28396032900033291</v>
      </c>
      <c r="AL253" s="72">
        <f>(AX253-Driver!$K$181)/(Driver!$L$181-Driver!$K$181)</f>
        <v>0.44665781319167774</v>
      </c>
      <c r="AM253" s="72">
        <f>(AY253-Driver!$K$182)/(Driver!$L$182-Driver!$K$182)</f>
        <v>0.10885650630548591</v>
      </c>
      <c r="AN253" s="72">
        <f>(AZ253-Driver!$K$183)/(Driver!$L$183-Driver!$K$183)</f>
        <v>0.2676470588235294</v>
      </c>
      <c r="AO253" s="72"/>
      <c r="AP253" s="72"/>
      <c r="AQ253" s="72">
        <f>(BC253-Driver!$K$188)/(Driver!$L$188-Driver!$K$188)</f>
        <v>7.6416483256556325E-2</v>
      </c>
      <c r="AR253" s="72">
        <f>MIN((BD253-Driver!$K$189)/(Driver!$L$189-Driver!$K$189),100%)</f>
        <v>4.2782531931192865E-2</v>
      </c>
      <c r="AS253" s="72">
        <f>(BE253-Driver!$K$190)/(Driver!$L$190-Driver!$K$190)</f>
        <v>2.4832154288604046E-2</v>
      </c>
      <c r="AT253" s="72">
        <f>(BF253-Driver!$K$191)/(Driver!$L$191-Driver!$K$191)</f>
        <v>8.8057043348578334E-2</v>
      </c>
      <c r="AU253" s="72">
        <f>(BG253-Driver!$K$192)/(Driver!$L$192-Driver!$K$192)</f>
        <v>8.75865524781341E-2</v>
      </c>
      <c r="AV253" s="70">
        <f t="shared" si="134"/>
        <v>7.2174738841405501</v>
      </c>
      <c r="AW253" s="70">
        <f t="shared" si="135"/>
        <v>29.54634282701895</v>
      </c>
      <c r="AX253" s="70">
        <f t="shared" si="136"/>
        <v>5.0199203187250996</v>
      </c>
      <c r="AY253" s="70">
        <f>IFERROR(Driver!$K$19/Data!BH253/Data!BI253*Data!BK253*Data!BL253,"")</f>
        <v>0.13327284336458653</v>
      </c>
      <c r="AZ253" s="70">
        <f t="shared" si="137"/>
        <v>24.393149664929265</v>
      </c>
      <c r="BA253" s="70"/>
      <c r="BB253" s="70"/>
      <c r="BC253" s="70">
        <f t="shared" si="138"/>
        <v>39.637761103948769</v>
      </c>
      <c r="BD253" s="70">
        <f t="shared" si="139"/>
        <v>5.5070011538473995</v>
      </c>
      <c r="BE253" s="70">
        <f t="shared" si="140"/>
        <v>2.5006113256297324E-2</v>
      </c>
      <c r="BF253" s="70">
        <f t="shared" si="141"/>
        <v>9.9454244104800562</v>
      </c>
      <c r="BG253" s="70">
        <f t="shared" si="142"/>
        <v>0.3316585618622449</v>
      </c>
      <c r="BH253" s="67">
        <f>MAX((CE253-Driver!$F$200)/(Driver!$G$200-Driver!$F$200)*$BI$1,1)</f>
        <v>5.0199203187250996</v>
      </c>
      <c r="BI253" s="67">
        <f>MAX($BI$1*(BY253-Driver!$F$201)/(Driver!$G$201-Driver!$F$201),1)</f>
        <v>6.5822784810126587</v>
      </c>
      <c r="BJ253" s="67">
        <f>(CB253-Driver!$F$206)/(Driver!$G$206-Driver!$F$206)*$BI$1</f>
        <v>6.0317460317460316</v>
      </c>
      <c r="BK253" s="67">
        <f>(CD253-Driver!$F$203)/(Driver!$G$203-Driver!$F$203)*$BI$1</f>
        <v>3.9908256880733957</v>
      </c>
      <c r="BL253" s="67">
        <f>MAX((CR253-Driver!$F$202)/(Driver!$G$202-Driver!$F$202)*$BI$1,1)</f>
        <v>5.5172413793103452</v>
      </c>
      <c r="BM253" s="67">
        <f>MAX((CH253-Driver!$F$204)/(Driver!$G$204-Driver!$F$204)*$BI$1,1)</f>
        <v>4.7863247863247862</v>
      </c>
      <c r="BN253" s="67">
        <f>(CI253-Driver!$F$205)/(Driver!$G$205-Driver!$F$205)*$BI$1</f>
        <v>3.7058823529411766</v>
      </c>
      <c r="BO253" s="67">
        <f>(CK253-Driver!$F$207)/(Driver!$G$207-Driver!$F$207)*$BI$1</f>
        <v>2.1302998965873838</v>
      </c>
      <c r="BP253" s="67">
        <f>(CM253-Driver!$F$208)/(Driver!$G$208-Driver!$F$208)*$BI$1</f>
        <v>3.0888888888888886</v>
      </c>
      <c r="BQ253" s="67">
        <f>(CL253-Driver!$F$209)/(Driver!$G$209-Driver!$F$209)*$BI$1</f>
        <v>7.96875</v>
      </c>
      <c r="BR253" s="28" t="s">
        <v>155</v>
      </c>
      <c r="BS253" s="8" t="s">
        <v>205</v>
      </c>
      <c r="BT253" s="9" t="s">
        <v>259</v>
      </c>
      <c r="BU253" s="10">
        <v>173</v>
      </c>
      <c r="BV253" s="9" t="s">
        <v>158</v>
      </c>
      <c r="BW253" s="10">
        <v>173</v>
      </c>
      <c r="BX253" s="10">
        <v>171.1</v>
      </c>
      <c r="BY253" s="10">
        <v>112</v>
      </c>
      <c r="BZ253" s="10">
        <v>145</v>
      </c>
      <c r="CA253" s="10">
        <v>131</v>
      </c>
      <c r="CB253" s="10">
        <v>102</v>
      </c>
      <c r="CC253" s="10">
        <v>127</v>
      </c>
      <c r="CD253" s="10">
        <v>18.100000000000001</v>
      </c>
      <c r="CE253" s="10">
        <v>1782</v>
      </c>
      <c r="CF253" s="10">
        <v>1.07</v>
      </c>
      <c r="CG253" s="10">
        <v>1913</v>
      </c>
      <c r="CH253" s="10">
        <v>213</v>
      </c>
      <c r="CI253" s="10">
        <v>96</v>
      </c>
      <c r="CJ253" s="10">
        <v>57</v>
      </c>
      <c r="CK253" s="10">
        <v>316</v>
      </c>
      <c r="CL253" s="10">
        <v>51</v>
      </c>
      <c r="CM253" s="10">
        <v>278</v>
      </c>
      <c r="CN253" s="10">
        <v>0.88700000000000001</v>
      </c>
      <c r="CO253" s="10">
        <v>136</v>
      </c>
      <c r="CP253" s="10">
        <v>123</v>
      </c>
      <c r="CQ253" s="10">
        <v>179</v>
      </c>
      <c r="CR253" s="10">
        <v>5</v>
      </c>
      <c r="CS253" s="10">
        <v>4</v>
      </c>
      <c r="CT253" s="9" t="s">
        <v>184</v>
      </c>
      <c r="CU253" s="9" t="s">
        <v>169</v>
      </c>
      <c r="CV253" s="9" t="s">
        <v>185</v>
      </c>
      <c r="CW253" s="10"/>
      <c r="CX253" t="str">
        <f>INDEX('Data_Price '!AG$2:AG$1266,MATCH(Data!$DN253,'Data_Price '!$AT$2:$AT$1266,0))</f>
        <v>Faction Ct Candide 2.0 x Skis</v>
      </c>
      <c r="CY253" t="str">
        <f>INDEX('Data_Price '!AH$2:AH$1266,MATCH(Data!$DN253,'Data_Price '!$AT$2:$AT$1266,0))</f>
        <v>REI</v>
      </c>
      <c r="CZ253">
        <f>INDEX('Data_Price '!AI$2:AI$1266,MATCH(Data!$DN253,'Data_Price '!$AT$2:$AT$1266,0))</f>
        <v>488.93</v>
      </c>
      <c r="DA253" t="str">
        <f>INDEX('Data_Price '!AJ$2:AJ$1266,MATCH(Data!$DN253,'Data_Price '!$AT$2:$AT$1266,0))</f>
        <v>https://tinyurl.com/ybe9n44d</v>
      </c>
      <c r="DB253" t="str">
        <f>INDEX('Data_Price '!AK$2:AK$1266,MATCH(Data!$DN253,'Data_Price '!$AT$2:$AT$1266,0))</f>
        <v>Faction Ct 2.0 Skis</v>
      </c>
      <c r="DC253" t="str">
        <f>INDEX('Data_Price '!AL$2:AL$1266,MATCH(Data!$DN253,'Data_Price '!$AT$2:$AT$1266,0))</f>
        <v>Backcountry.com</v>
      </c>
      <c r="DD253">
        <f>INDEX('Data_Price '!AM$2:AM$1266,MATCH(Data!$DN253,'Data_Price '!$AT$2:$AT$1266,0))</f>
        <v>489.27</v>
      </c>
      <c r="DE253" t="str">
        <f>INDEX('Data_Price '!AN$2:AN$1266,MATCH(Data!$DN253,'Data_Price '!$AT$2:$AT$1266,0))</f>
        <v>https://tinyurl.com/ycwob75j</v>
      </c>
      <c r="DF253" t="str">
        <f>INDEX('Data_Price '!AO$2:AO$1266,MATCH(Data!$DN253,'Data_Price '!$AT$2:$AT$1266,0))</f>
        <v>Faction Candide 2.0 Skis</v>
      </c>
      <c r="DG253" t="str">
        <f>INDEX('Data_Price '!AP$2:AP$1266,MATCH(Data!$DN253,'Data_Price '!$AT$2:$AT$1266,0))</f>
        <v>Powder7 Ski Shop</v>
      </c>
      <c r="DH253">
        <f>INDEX('Data_Price '!AQ$2:AQ$1266,MATCH(Data!$DN253,'Data_Price '!$AT$2:$AT$1266,0))</f>
        <v>619.92999999999995</v>
      </c>
      <c r="DI253" t="str">
        <f>INDEX('Data_Price '!AR$2:AR$1266,MATCH(Data!$DN253,'Data_Price '!$AT$2:$AT$1266,0))</f>
        <v>https://tinyurl.com/ycx55zeo</v>
      </c>
      <c r="DJ253" s="89" t="str">
        <f t="shared" si="143"/>
        <v>https://tinyurl.com/ybe9n44d</v>
      </c>
      <c r="DK253" s="89" t="str">
        <f t="shared" si="144"/>
        <v>https://tinyurl.com/ycwob75j</v>
      </c>
      <c r="DL253" s="89" t="str">
        <f t="shared" si="145"/>
        <v>https://tinyurl.com/ycx55zeo</v>
      </c>
      <c r="DM253" s="219" t="str">
        <f t="shared" si="146"/>
        <v>CT 2.0</v>
      </c>
      <c r="DN253" s="89" t="str">
        <f t="shared" si="147"/>
        <v xml:space="preserve"> FactionCT 2.0173 Unisex</v>
      </c>
      <c r="DO253" s="221" t="s">
        <v>377</v>
      </c>
    </row>
    <row r="254" spans="2:119" ht="15.6" customHeight="1">
      <c r="B254" s="219" t="b">
        <f t="array" ref="B254">IF(OR(ISERROR(K254:P254)),FALSE,TRUE)</f>
        <v>1</v>
      </c>
      <c r="C254" s="43" t="b">
        <f>OR(BR254=Driver!$G$50,Data!BR243=Driver!$H$50)</f>
        <v>1</v>
      </c>
      <c r="D254" s="43" t="b">
        <f>OR(BV254=Driver!$G$51,BV254=Driver!$H$51)</f>
        <v>1</v>
      </c>
      <c r="E254" s="43" t="b">
        <f>AND(BX254&gt;Driver!$F$54,BX254&lt;Driver!$G$54)</f>
        <v>0</v>
      </c>
      <c r="F254" s="43" t="b">
        <f>CL254&gt;Driver!$F$56</f>
        <v>1</v>
      </c>
      <c r="G254" s="43" t="b">
        <f>AND(CB254&gt;Driver!$F$55,CB254&lt;Driver!$G$55)</f>
        <v>0</v>
      </c>
      <c r="H254" s="43" t="b">
        <f t="shared" si="111"/>
        <v>0</v>
      </c>
      <c r="I254" s="43">
        <f t="shared" si="112"/>
        <v>0</v>
      </c>
      <c r="J254" s="43" t="b">
        <f t="array" ref="J254">NOT(OR(($H$9:$H$1273=TRUE)*($I$9:$I$1273&gt;0)*($BT$9:$BT$1273=BT254)*($K$9:$K$1273&gt;K254)))</f>
        <v>1</v>
      </c>
      <c r="K254" s="72">
        <f t="shared" si="113"/>
        <v>0.85000058631575826</v>
      </c>
      <c r="L254" s="72">
        <f t="shared" si="114"/>
        <v>0.9352898969778749</v>
      </c>
      <c r="M254" s="72">
        <f t="shared" si="115"/>
        <v>0.7647112756536415</v>
      </c>
      <c r="N254" s="72">
        <f t="shared" si="116"/>
        <v>0.67400168264054505</v>
      </c>
      <c r="O254" s="72">
        <f t="shared" si="117"/>
        <v>0.66507867778608654</v>
      </c>
      <c r="P254" s="72">
        <f t="shared" si="118"/>
        <v>0.95505346653429302</v>
      </c>
      <c r="Q254" s="72"/>
      <c r="R254" s="72"/>
      <c r="S254" s="72">
        <f t="shared" si="119"/>
        <v>0.46320786594795305</v>
      </c>
      <c r="T254" s="72">
        <f t="shared" si="120"/>
        <v>0.4753402655625063</v>
      </c>
      <c r="U254" s="72">
        <f t="shared" si="121"/>
        <v>0.60252043596758664</v>
      </c>
      <c r="V254" s="72">
        <f t="shared" si="122"/>
        <v>0.53760942113323917</v>
      </c>
      <c r="W254" s="72">
        <f t="shared" si="123"/>
        <v>0.78318661971830983</v>
      </c>
      <c r="X254" s="72">
        <f t="shared" si="124"/>
        <v>6.4710103022125126E-2</v>
      </c>
      <c r="Y254" s="72">
        <f t="shared" si="125"/>
        <v>0.2352887243463585</v>
      </c>
      <c r="Z254" s="72">
        <f t="shared" si="126"/>
        <v>0.325998317359455</v>
      </c>
      <c r="AA254" s="72">
        <f t="shared" si="127"/>
        <v>0.33492132221391346</v>
      </c>
      <c r="AB254" s="72">
        <f t="shared" si="128"/>
        <v>4.4946533465706956E-2</v>
      </c>
      <c r="AC254" s="72"/>
      <c r="AD254" s="72"/>
      <c r="AE254" s="72">
        <f t="shared" si="129"/>
        <v>0.53679213405204695</v>
      </c>
      <c r="AF254" s="72">
        <f t="shared" si="130"/>
        <v>0.5246597344374937</v>
      </c>
      <c r="AG254" s="72">
        <f t="shared" si="131"/>
        <v>0.3974795640324133</v>
      </c>
      <c r="AH254" s="72">
        <f t="shared" si="132"/>
        <v>0.46239057886676077</v>
      </c>
      <c r="AI254" s="72">
        <f t="shared" si="133"/>
        <v>0.21681338028169014</v>
      </c>
      <c r="AJ254" s="72">
        <f>(AV254-Driver!$K$179)/(Driver!$L$179-Driver!$K$179)</f>
        <v>0.1895093062605753</v>
      </c>
      <c r="AK254" s="72">
        <f>(AW254-Driver!$K$180)/(Driver!$L$180-Driver!$K$180)</f>
        <v>0.22766469859050847</v>
      </c>
      <c r="AL254" s="72">
        <f>(AX254-Driver!$K$181)/(Driver!$L$181-Driver!$K$181)</f>
        <v>0.4276860810725352</v>
      </c>
      <c r="AM254" s="72">
        <f>(AY254-Driver!$K$182)/(Driver!$L$182-Driver!$K$182)</f>
        <v>0.11246369888313291</v>
      </c>
      <c r="AN254" s="72">
        <f>(AZ254-Driver!$K$183)/(Driver!$L$183-Driver!$K$183)</f>
        <v>0.20927287581699347</v>
      </c>
      <c r="AO254" s="72"/>
      <c r="AP254" s="72"/>
      <c r="AQ254" s="72">
        <f>(BC254-Driver!$K$188)/(Driver!$L$188-Driver!$K$188)</f>
        <v>8.3207865947953041E-2</v>
      </c>
      <c r="AR254" s="72">
        <f>MIN((BD254-Driver!$K$189)/(Driver!$L$189-Driver!$K$189),100%)</f>
        <v>2.5340265562506362E-2</v>
      </c>
      <c r="AS254" s="72">
        <f>(BE254-Driver!$K$190)/(Driver!$L$190-Driver!$K$190)</f>
        <v>0.11252043596758672</v>
      </c>
      <c r="AT254" s="72">
        <f>(BF254-Driver!$K$191)/(Driver!$L$191-Driver!$K$191)</f>
        <v>4.7609421133239231E-2</v>
      </c>
      <c r="AU254" s="72">
        <f>(BG254-Driver!$K$192)/(Driver!$L$192-Driver!$K$192)</f>
        <v>3.3186619718309864E-2</v>
      </c>
      <c r="AV254" s="70">
        <f t="shared" si="134"/>
        <v>3.9886039886039888</v>
      </c>
      <c r="AW254" s="70">
        <f t="shared" si="135"/>
        <v>24.059834813550943</v>
      </c>
      <c r="AX254" s="70">
        <f t="shared" si="136"/>
        <v>4.8491747296528169</v>
      </c>
      <c r="AY254" s="70">
        <f>IFERROR(Driver!$K$19/Data!BH254/Data!BI254*Data!BK254*Data!BL254,"")</f>
        <v>0.13768912336201303</v>
      </c>
      <c r="AZ254" s="70">
        <f t="shared" si="137"/>
        <v>19.072970960536114</v>
      </c>
      <c r="BA254" s="70"/>
      <c r="BB254" s="70"/>
      <c r="BC254" s="70">
        <f t="shared" si="138"/>
        <v>43.160498518902756</v>
      </c>
      <c r="BD254" s="70">
        <f t="shared" si="139"/>
        <v>3.9633914860858535</v>
      </c>
      <c r="BE254" s="70">
        <f t="shared" si="140"/>
        <v>0.11267875233280213</v>
      </c>
      <c r="BF254" s="70">
        <f t="shared" si="141"/>
        <v>5.3771496418859384</v>
      </c>
      <c r="BG254" s="70">
        <f t="shared" si="142"/>
        <v>0.12566571302816903</v>
      </c>
      <c r="BH254" s="67">
        <f>MAX((CE254-Driver!$F$200)/(Driver!$G$200-Driver!$F$200)*$BI$1,1)</f>
        <v>4.8491747296528169</v>
      </c>
      <c r="BI254" s="67">
        <f>MAX($BI$1*(BY254-Driver!$F$201)/(Driver!$G$201-Driver!$F$201),1)</f>
        <v>6.8987341772151902</v>
      </c>
      <c r="BJ254" s="67">
        <f>(CB254-Driver!$F$206)/(Driver!$G$206-Driver!$F$206)*$BI$1</f>
        <v>4.4444444444444446</v>
      </c>
      <c r="BK254" s="67">
        <f>(CD254-Driver!$F$203)/(Driver!$G$203-Driver!$F$203)*$BI$1</f>
        <v>4.7706422018348631</v>
      </c>
      <c r="BL254" s="67">
        <f>MAX((CR254-Driver!$F$202)/(Driver!$G$202-Driver!$F$202)*$BI$1,1)</f>
        <v>4.8275862068965516</v>
      </c>
      <c r="BM254" s="67">
        <f>MAX((CH254-Driver!$F$204)/(Driver!$G$204-Driver!$F$204)*$BI$1,1)</f>
        <v>3.5897435897435899</v>
      </c>
      <c r="BN254" s="67">
        <f>(CI254-Driver!$F$205)/(Driver!$G$205-Driver!$F$205)*$BI$1</f>
        <v>2.7647058823529411</v>
      </c>
      <c r="BO254" s="67">
        <f>(CK254-Driver!$F$207)/(Driver!$G$207-Driver!$F$207)*$BI$1</f>
        <v>1.8821096173733196</v>
      </c>
      <c r="BP254" s="67">
        <f>(CM254-Driver!$F$208)/(Driver!$G$208-Driver!$F$208)*$BI$1</f>
        <v>3.0666666666666664</v>
      </c>
      <c r="BQ254" s="67">
        <f>(CL254-Driver!$F$209)/(Driver!$G$209-Driver!$F$209)*$BI$1</f>
        <v>2.1875</v>
      </c>
      <c r="BR254" s="28" t="s">
        <v>155</v>
      </c>
      <c r="BS254" s="8" t="s">
        <v>237</v>
      </c>
      <c r="BT254" s="9" t="s">
        <v>363</v>
      </c>
      <c r="BU254" s="10">
        <v>174.1</v>
      </c>
      <c r="BV254" s="9" t="s">
        <v>158</v>
      </c>
      <c r="BW254" s="10">
        <v>174.1</v>
      </c>
      <c r="BX254" s="10">
        <v>173.5</v>
      </c>
      <c r="BY254" s="10">
        <v>117</v>
      </c>
      <c r="BZ254" s="10">
        <v>153</v>
      </c>
      <c r="CA254" s="10">
        <v>129</v>
      </c>
      <c r="CB254" s="10">
        <v>92</v>
      </c>
      <c r="CC254" s="10">
        <v>112</v>
      </c>
      <c r="CD254" s="10">
        <v>19.8</v>
      </c>
      <c r="CE254" s="10">
        <v>1752</v>
      </c>
      <c r="CF254" s="10">
        <v>1.02</v>
      </c>
      <c r="CG254" s="10">
        <v>1784</v>
      </c>
      <c r="CH254" s="10">
        <v>185</v>
      </c>
      <c r="CI254" s="10">
        <v>80</v>
      </c>
      <c r="CJ254" s="10">
        <v>42</v>
      </c>
      <c r="CK254" s="10">
        <v>292</v>
      </c>
      <c r="CL254" s="10">
        <v>14</v>
      </c>
      <c r="CM254" s="10">
        <v>276</v>
      </c>
      <c r="CN254" s="10">
        <v>0.32400000000000001</v>
      </c>
      <c r="CO254" s="10">
        <v>107</v>
      </c>
      <c r="CP254" s="10">
        <v>95</v>
      </c>
      <c r="CQ254" s="10">
        <v>185</v>
      </c>
      <c r="CR254" s="10">
        <v>3</v>
      </c>
      <c r="CS254" s="10">
        <v>8.5</v>
      </c>
      <c r="CT254" s="9" t="s">
        <v>188</v>
      </c>
      <c r="CU254" s="10"/>
      <c r="CV254" s="10"/>
      <c r="CW254" s="10"/>
      <c r="CX254" t="str">
        <f>INDEX('Data_Price '!AG$2:AG$1266,MATCH(Data!$DN254,'Data_Price '!$AT$2:$AT$1266,0))</f>
        <v>Black Crows Serpo Skis 2022</v>
      </c>
      <c r="CY254" t="str">
        <f>INDEX('Data_Price '!AH$2:AH$1266,MATCH(Data!$DN254,'Data_Price '!$AT$2:$AT$1266,0))</f>
        <v>Basin Sports</v>
      </c>
      <c r="CZ254">
        <f>INDEX('Data_Price '!AI$2:AI$1266,MATCH(Data!$DN254,'Data_Price '!$AT$2:$AT$1266,0))</f>
        <v>669.95</v>
      </c>
      <c r="DA254" t="str">
        <f>INDEX('Data_Price '!AJ$2:AJ$1266,MATCH(Data!$DN254,'Data_Price '!$AT$2:$AT$1266,0))</f>
        <v>https://tinyurl.com/yb3jxs89</v>
      </c>
      <c r="DB254" t="str">
        <f>INDEX('Data_Price '!AK$2:AK$1266,MATCH(Data!$DN254,'Data_Price '!$AT$2:$AT$1266,0))</f>
        <v>Black Crows Serpo Skis 2022</v>
      </c>
      <c r="DC254" t="str">
        <f>INDEX('Data_Price '!AL$2:AL$1266,MATCH(Data!$DN254,'Data_Price '!$AT$2:$AT$1266,0))</f>
        <v>Teton Wasatch Ski Co.</v>
      </c>
      <c r="DD254">
        <f>INDEX('Data_Price '!AM$2:AM$1266,MATCH(Data!$DN254,'Data_Price '!$AT$2:$AT$1266,0))</f>
        <v>671</v>
      </c>
      <c r="DE254" t="str">
        <f>INDEX('Data_Price '!AN$2:AN$1266,MATCH(Data!$DN254,'Data_Price '!$AT$2:$AT$1266,0))</f>
        <v>https://tinyurl.com/yahnzduv</v>
      </c>
      <c r="DF254" t="str">
        <f>INDEX('Data_Price '!AO$2:AO$1266,MATCH(Data!$DN254,'Data_Price '!$AT$2:$AT$1266,0))</f>
        <v>Black Crows Serpo Skis 2022</v>
      </c>
      <c r="DG254" t="str">
        <f>INDEX('Data_Price '!AP$2:AP$1266,MATCH(Data!$DN254,'Data_Price '!$AT$2:$AT$1266,0))</f>
        <v>Saint Bernard</v>
      </c>
      <c r="DH254">
        <f>INDEX('Data_Price '!AQ$2:AQ$1266,MATCH(Data!$DN254,'Data_Price '!$AT$2:$AT$1266,0))</f>
        <v>671.9</v>
      </c>
      <c r="DI254" t="str">
        <f>INDEX('Data_Price '!AR$2:AR$1266,MATCH(Data!$DN254,'Data_Price '!$AT$2:$AT$1266,0))</f>
        <v>https://tinyurl.com/y8uzaujr</v>
      </c>
      <c r="DJ254" s="89" t="str">
        <f t="shared" si="143"/>
        <v>https://tinyurl.com/yb3jxs89</v>
      </c>
      <c r="DK254" s="89" t="str">
        <f t="shared" si="144"/>
        <v>https://tinyurl.com/yahnzduv</v>
      </c>
      <c r="DL254" s="89" t="str">
        <f t="shared" si="145"/>
        <v>https://tinyurl.com/y8uzaujr</v>
      </c>
      <c r="DM254" s="219" t="str">
        <f t="shared" si="146"/>
        <v>Serpo</v>
      </c>
      <c r="DN254" s="89" t="str">
        <f t="shared" si="147"/>
        <v xml:space="preserve"> Black CrowsSerpo174.1 Unisex</v>
      </c>
      <c r="DO254" s="221" t="s">
        <v>364</v>
      </c>
    </row>
    <row r="255" spans="2:119" ht="15.6" customHeight="1">
      <c r="B255" s="219" t="b">
        <f t="array" ref="B255">IF(OR(ISERROR(K255:P255)),FALSE,TRUE)</f>
        <v>1</v>
      </c>
      <c r="C255" s="43" t="b">
        <f>OR(BR255=Driver!$G$50,Data!BR1158=Driver!$H$50)</f>
        <v>1</v>
      </c>
      <c r="D255" s="43" t="b">
        <f>OR(BV255=Driver!$G$51,BV255=Driver!$H$51)</f>
        <v>1</v>
      </c>
      <c r="E255" s="43" t="b">
        <f>AND(BX255&gt;Driver!$F$54,BX255&lt;Driver!$G$54)</f>
        <v>0</v>
      </c>
      <c r="F255" s="43" t="b">
        <f>CL255&gt;Driver!$F$56</f>
        <v>1</v>
      </c>
      <c r="G255" s="43" t="b">
        <f>AND(CB255&gt;Driver!$F$55,CB255&lt;Driver!$G$55)</f>
        <v>1</v>
      </c>
      <c r="H255" s="43" t="b">
        <f t="shared" si="111"/>
        <v>0</v>
      </c>
      <c r="I255" s="43">
        <f t="shared" si="112"/>
        <v>1</v>
      </c>
      <c r="J255" s="43" t="b">
        <f t="array" ref="J255">NOT(OR(($H$9:$H$1273=TRUE)*($I$9:$I$1273&gt;0)*($BT$9:$BT$1273=BT255)*($K$9:$K$1273&gt;K255)))</f>
        <v>0</v>
      </c>
      <c r="K255" s="72">
        <f t="shared" si="113"/>
        <v>0.87015480710098903</v>
      </c>
      <c r="L255" s="72">
        <f t="shared" si="114"/>
        <v>0.97011659726110666</v>
      </c>
      <c r="M255" s="72">
        <f t="shared" si="115"/>
        <v>0.77019301694087139</v>
      </c>
      <c r="N255" s="72">
        <f t="shared" si="116"/>
        <v>0.66704538086352605</v>
      </c>
      <c r="O255" s="72">
        <f t="shared" si="117"/>
        <v>0.65018027374828313</v>
      </c>
      <c r="P255" s="72">
        <f t="shared" si="118"/>
        <v>0.99335339621080498</v>
      </c>
      <c r="Q255" s="72"/>
      <c r="R255" s="72"/>
      <c r="S255" s="72">
        <f t="shared" si="119"/>
        <v>0.45664884916767912</v>
      </c>
      <c r="T255" s="72">
        <f t="shared" si="120"/>
        <v>0.46349066175502429</v>
      </c>
      <c r="U255" s="72">
        <f t="shared" si="121"/>
        <v>0.53164775627019101</v>
      </c>
      <c r="V255" s="72">
        <f t="shared" si="122"/>
        <v>0.61470542252468707</v>
      </c>
      <c r="W255" s="72">
        <f t="shared" si="123"/>
        <v>0.80028833975585434</v>
      </c>
      <c r="X255" s="72">
        <f t="shared" si="124"/>
        <v>2.9883402738893339E-2</v>
      </c>
      <c r="Y255" s="72">
        <f t="shared" si="125"/>
        <v>0.22980698305912861</v>
      </c>
      <c r="Z255" s="72">
        <f t="shared" si="126"/>
        <v>0.33295461913647395</v>
      </c>
      <c r="AA255" s="72">
        <f t="shared" si="127"/>
        <v>0.34981972625171687</v>
      </c>
      <c r="AB255" s="72">
        <f t="shared" si="128"/>
        <v>6.6466037891950158E-3</v>
      </c>
      <c r="AC255" s="72"/>
      <c r="AD255" s="72"/>
      <c r="AE255" s="72">
        <f t="shared" si="129"/>
        <v>0.54335115083232088</v>
      </c>
      <c r="AF255" s="72">
        <f t="shared" si="130"/>
        <v>0.53650933824497571</v>
      </c>
      <c r="AG255" s="72">
        <f t="shared" si="131"/>
        <v>0.46835224372980899</v>
      </c>
      <c r="AH255" s="72">
        <f t="shared" si="132"/>
        <v>0.38529457747531298</v>
      </c>
      <c r="AI255" s="72">
        <f t="shared" si="133"/>
        <v>0.19971166024414563</v>
      </c>
      <c r="AJ255" s="72">
        <f>(AV255-Driver!$K$179)/(Driver!$L$179-Driver!$K$179)</f>
        <v>0.28410281202159376</v>
      </c>
      <c r="AK255" s="72">
        <f>(AW255-Driver!$K$180)/(Driver!$L$180-Driver!$K$180)</f>
        <v>0.27636756588287886</v>
      </c>
      <c r="AL255" s="72">
        <f>(AX255-Driver!$K$181)/(Driver!$L$181-Driver!$K$181)</f>
        <v>0.43464238284955414</v>
      </c>
      <c r="AM255" s="72">
        <f>(AY255-Driver!$K$182)/(Driver!$L$182-Driver!$K$182)</f>
        <v>9.7565294845329484E-2</v>
      </c>
      <c r="AN255" s="72">
        <f>(AZ255-Driver!$K$183)/(Driver!$L$183-Driver!$K$183)</f>
        <v>0.26086601307189544</v>
      </c>
      <c r="AO255" s="72"/>
      <c r="AP255" s="72"/>
      <c r="AQ255" s="72">
        <f>(BC255-Driver!$K$188)/(Driver!$L$188-Driver!$K$188)</f>
        <v>7.6648849167679112E-2</v>
      </c>
      <c r="AR255" s="72">
        <f>MIN((BD255-Driver!$K$189)/(Driver!$L$189-Driver!$K$189),100%)</f>
        <v>1.3490661755024299E-2</v>
      </c>
      <c r="AS255" s="72">
        <f>(BE255-Driver!$K$190)/(Driver!$L$190-Driver!$K$190)</f>
        <v>4.1647756270190996E-2</v>
      </c>
      <c r="AT255" s="72">
        <f>(BF255-Driver!$K$191)/(Driver!$L$191-Driver!$K$191)</f>
        <v>0.12470542252468703</v>
      </c>
      <c r="AU255" s="72">
        <f>(BG255-Driver!$K$192)/(Driver!$L$192-Driver!$K$192)</f>
        <v>5.0288339755854367E-2</v>
      </c>
      <c r="AV255" s="70">
        <f t="shared" si="134"/>
        <v>5.9795143128476465</v>
      </c>
      <c r="AW255" s="70">
        <f t="shared" si="135"/>
        <v>28.806360782497677</v>
      </c>
      <c r="AX255" s="70">
        <f t="shared" si="136"/>
        <v>4.9117814456459872</v>
      </c>
      <c r="AY255" s="70">
        <f>IFERROR(Driver!$K$19/Data!BH255/Data!BI255*Data!BK255*Data!BL255,"")</f>
        <v>0.11944903156501553</v>
      </c>
      <c r="AZ255" s="70">
        <f t="shared" si="137"/>
        <v>23.775130305286673</v>
      </c>
      <c r="BA255" s="70"/>
      <c r="BB255" s="70"/>
      <c r="BC255" s="70">
        <f t="shared" si="138"/>
        <v>39.758290917429768</v>
      </c>
      <c r="BD255" s="70">
        <f t="shared" si="139"/>
        <v>2.9147225453792238</v>
      </c>
      <c r="BE255" s="70">
        <f t="shared" si="140"/>
        <v>4.1818715523758425E-2</v>
      </c>
      <c r="BF255" s="70">
        <f t="shared" si="141"/>
        <v>14.084601368986066</v>
      </c>
      <c r="BG255" s="70">
        <f t="shared" si="142"/>
        <v>0.19042373480826752</v>
      </c>
      <c r="BH255" s="67">
        <f>MAX((CE255-Driver!$F$200)/(Driver!$G$200-Driver!$F$200)*$BI$1,1)</f>
        <v>4.9117814456459872</v>
      </c>
      <c r="BI255" s="67">
        <f>MAX($BI$1*(BY255-Driver!$F$201)/(Driver!$G$201-Driver!$F$201),1)</f>
        <v>6.518987341772152</v>
      </c>
      <c r="BJ255" s="67">
        <f>(CB255-Driver!$F$206)/(Driver!$G$206-Driver!$F$206)*$BI$1</f>
        <v>6.5079365079365079</v>
      </c>
      <c r="BK255" s="67">
        <f>(CD255-Driver!$F$203)/(Driver!$G$203-Driver!$F$203)*$BI$1</f>
        <v>4.2660550458715596</v>
      </c>
      <c r="BL255" s="67">
        <f>MAX((CR255-Driver!$F$202)/(Driver!$G$202-Driver!$F$202)*$BI$1,1)</f>
        <v>4.4827586206896548</v>
      </c>
      <c r="BM255" s="67">
        <f>MAX((CH255-Driver!$F$204)/(Driver!$G$204-Driver!$F$204)*$BI$1,1)</f>
        <v>3.6752136752136755</v>
      </c>
      <c r="BN255" s="67">
        <f>(CI255-Driver!$F$205)/(Driver!$G$205-Driver!$F$205)*$BI$1</f>
        <v>3.6470588235294117</v>
      </c>
      <c r="BO255" s="67">
        <f>(CK255-Driver!$F$207)/(Driver!$G$207-Driver!$F$207)*$BI$1</f>
        <v>3.3505687693898656</v>
      </c>
      <c r="BP255" s="67">
        <f>(CM255-Driver!$F$208)/(Driver!$G$208-Driver!$F$208)*$BI$1</f>
        <v>2.7555555555555555</v>
      </c>
      <c r="BQ255" s="67">
        <f>(CL255-Driver!$F$209)/(Driver!$G$209-Driver!$F$209)*$BI$1</f>
        <v>3.4375</v>
      </c>
      <c r="BR255" s="28" t="s">
        <v>155</v>
      </c>
      <c r="BS255" s="8" t="s">
        <v>229</v>
      </c>
      <c r="BT255" s="9" t="s">
        <v>335</v>
      </c>
      <c r="BU255" s="10">
        <v>179</v>
      </c>
      <c r="BV255" s="9" t="s">
        <v>158</v>
      </c>
      <c r="BW255" s="10">
        <v>179</v>
      </c>
      <c r="BX255" s="10">
        <v>179.4</v>
      </c>
      <c r="BY255" s="10">
        <v>111</v>
      </c>
      <c r="BZ255" s="10">
        <v>155</v>
      </c>
      <c r="CA255" s="10">
        <v>145</v>
      </c>
      <c r="CB255" s="10">
        <v>105</v>
      </c>
      <c r="CC255" s="10">
        <v>127</v>
      </c>
      <c r="CD255" s="10">
        <v>18.7</v>
      </c>
      <c r="CE255" s="10">
        <v>1763</v>
      </c>
      <c r="CF255" s="10">
        <v>1.19</v>
      </c>
      <c r="CG255" s="10">
        <v>2103</v>
      </c>
      <c r="CH255" s="10">
        <v>187</v>
      </c>
      <c r="CI255" s="10">
        <v>95</v>
      </c>
      <c r="CJ255" s="10">
        <v>52</v>
      </c>
      <c r="CK255" s="10">
        <v>434</v>
      </c>
      <c r="CL255" s="10">
        <v>22</v>
      </c>
      <c r="CM255" s="10">
        <v>248</v>
      </c>
      <c r="CN255" s="10">
        <v>0.42</v>
      </c>
      <c r="CO255" s="10">
        <v>145</v>
      </c>
      <c r="CP255" s="10">
        <v>97</v>
      </c>
      <c r="CQ255" s="10">
        <v>290</v>
      </c>
      <c r="CR255" s="10">
        <v>2</v>
      </c>
      <c r="CS255" s="10">
        <v>13</v>
      </c>
      <c r="CT255" s="9" t="s">
        <v>169</v>
      </c>
      <c r="CU255" s="9" t="s">
        <v>185</v>
      </c>
      <c r="CV255" s="10"/>
      <c r="CW255" s="10"/>
      <c r="CX255" t="e">
        <f>INDEX('Data_Price '!AG$2:AG$1266,MATCH(Data!$DN255,'Data_Price '!$AT$2:$AT$1266,0))</f>
        <v>#N/A</v>
      </c>
      <c r="CY255" t="e">
        <f>INDEX('Data_Price '!AH$2:AH$1266,MATCH(Data!$DN255,'Data_Price '!$AT$2:$AT$1266,0))</f>
        <v>#N/A</v>
      </c>
      <c r="CZ255" t="e">
        <f>INDEX('Data_Price '!AI$2:AI$1266,MATCH(Data!$DN255,'Data_Price '!$AT$2:$AT$1266,0))</f>
        <v>#N/A</v>
      </c>
      <c r="DA255" t="e">
        <f>INDEX('Data_Price '!AJ$2:AJ$1266,MATCH(Data!$DN255,'Data_Price '!$AT$2:$AT$1266,0))</f>
        <v>#N/A</v>
      </c>
      <c r="DB255" t="e">
        <f>INDEX('Data_Price '!AK$2:AK$1266,MATCH(Data!$DN255,'Data_Price '!$AT$2:$AT$1266,0))</f>
        <v>#N/A</v>
      </c>
      <c r="DC255" t="e">
        <f>INDEX('Data_Price '!AL$2:AL$1266,MATCH(Data!$DN255,'Data_Price '!$AT$2:$AT$1266,0))</f>
        <v>#N/A</v>
      </c>
      <c r="DD255" t="e">
        <f>INDEX('Data_Price '!AM$2:AM$1266,MATCH(Data!$DN255,'Data_Price '!$AT$2:$AT$1266,0))</f>
        <v>#N/A</v>
      </c>
      <c r="DE255" t="e">
        <f>INDEX('Data_Price '!AN$2:AN$1266,MATCH(Data!$DN255,'Data_Price '!$AT$2:$AT$1266,0))</f>
        <v>#N/A</v>
      </c>
      <c r="DF255" t="e">
        <f>INDEX('Data_Price '!AO$2:AO$1266,MATCH(Data!$DN255,'Data_Price '!$AT$2:$AT$1266,0))</f>
        <v>#N/A</v>
      </c>
      <c r="DG255" t="e">
        <f>INDEX('Data_Price '!AP$2:AP$1266,MATCH(Data!$DN255,'Data_Price '!$AT$2:$AT$1266,0))</f>
        <v>#N/A</v>
      </c>
      <c r="DH255" t="e">
        <f>INDEX('Data_Price '!AQ$2:AQ$1266,MATCH(Data!$DN255,'Data_Price '!$AT$2:$AT$1266,0))</f>
        <v>#N/A</v>
      </c>
      <c r="DI255" t="e">
        <f>INDEX('Data_Price '!AR$2:AR$1266,MATCH(Data!$DN255,'Data_Price '!$AT$2:$AT$1266,0))</f>
        <v>#N/A</v>
      </c>
      <c r="DJ255" s="89" t="e">
        <f t="shared" si="143"/>
        <v>#N/A</v>
      </c>
      <c r="DK255" s="89" t="e">
        <f t="shared" si="144"/>
        <v>#N/A</v>
      </c>
      <c r="DL255" s="89" t="e">
        <f t="shared" si="145"/>
        <v>#N/A</v>
      </c>
      <c r="DM255" s="219" t="str">
        <f t="shared" si="146"/>
        <v>Blaze 106</v>
      </c>
      <c r="DN255" s="89" t="str">
        <f t="shared" si="147"/>
        <v xml:space="preserve"> VölklBlaze 106179 Unisex</v>
      </c>
      <c r="DO255" s="221" t="s">
        <v>336</v>
      </c>
    </row>
    <row r="256" spans="2:119" ht="15.6" customHeight="1">
      <c r="B256" s="219" t="b">
        <f t="array" ref="B256">IF(OR(ISERROR(K256:P256)),FALSE,TRUE)</f>
        <v>1</v>
      </c>
      <c r="C256" s="43" t="b">
        <f>OR(BR256=Driver!$G$50,Data!BR860=Driver!$H$50)</f>
        <v>1</v>
      </c>
      <c r="D256" s="43" t="b">
        <f>OR(BV256=Driver!$G$51,BV256=Driver!$H$51)</f>
        <v>1</v>
      </c>
      <c r="E256" s="43" t="b">
        <f>AND(BX256&gt;Driver!$F$54,BX256&lt;Driver!$G$54)</f>
        <v>0</v>
      </c>
      <c r="F256" s="43" t="b">
        <f>CL256&gt;Driver!$F$56</f>
        <v>1</v>
      </c>
      <c r="G256" s="43" t="b">
        <f>AND(CB256&gt;Driver!$F$55,CB256&lt;Driver!$G$55)</f>
        <v>1</v>
      </c>
      <c r="H256" s="43" t="b">
        <f t="shared" si="111"/>
        <v>0</v>
      </c>
      <c r="I256" s="43">
        <f t="shared" si="112"/>
        <v>0</v>
      </c>
      <c r="J256" s="43" t="b">
        <f t="array" ref="J256">NOT(OR(($H$9:$H$1273=TRUE)*($I$9:$I$1273&gt;0)*($BT$9:$BT$1273=BT256)*($K$9:$K$1273&gt;K256)))</f>
        <v>1</v>
      </c>
      <c r="K256" s="72">
        <f t="shared" si="113"/>
        <v>0.86569968028003219</v>
      </c>
      <c r="L256" s="72">
        <f t="shared" si="114"/>
        <v>0.92489589166001163</v>
      </c>
      <c r="M256" s="72">
        <f t="shared" si="115"/>
        <v>0.80650346890005276</v>
      </c>
      <c r="N256" s="72">
        <f t="shared" si="116"/>
        <v>0.75431534861158145</v>
      </c>
      <c r="O256" s="72">
        <f t="shared" si="117"/>
        <v>0.66635074188108112</v>
      </c>
      <c r="P256" s="72">
        <f t="shared" si="118"/>
        <v>0.99884431620749559</v>
      </c>
      <c r="Q256" s="72"/>
      <c r="R256" s="72"/>
      <c r="S256" s="72">
        <f t="shared" si="119"/>
        <v>0.43820403056587853</v>
      </c>
      <c r="T256" s="72">
        <f t="shared" si="120"/>
        <v>0.46357822000003523</v>
      </c>
      <c r="U256" s="72">
        <f t="shared" si="121"/>
        <v>0.56978650691905286</v>
      </c>
      <c r="V256" s="72">
        <f t="shared" si="122"/>
        <v>0.59848179397025436</v>
      </c>
      <c r="W256" s="72">
        <f t="shared" si="123"/>
        <v>0.83210526315789468</v>
      </c>
      <c r="X256" s="72">
        <f t="shared" si="124"/>
        <v>7.5104108339988346E-2</v>
      </c>
      <c r="Y256" s="72">
        <f t="shared" si="125"/>
        <v>0.19349653109994724</v>
      </c>
      <c r="Z256" s="72">
        <f t="shared" si="126"/>
        <v>0.24568465138841855</v>
      </c>
      <c r="AA256" s="72">
        <f t="shared" si="127"/>
        <v>0.33364925811891888</v>
      </c>
      <c r="AB256" s="72">
        <f t="shared" si="128"/>
        <v>1.1556837925043584E-3</v>
      </c>
      <c r="AC256" s="72"/>
      <c r="AD256" s="72"/>
      <c r="AE256" s="72">
        <f t="shared" si="129"/>
        <v>0.56179596943412147</v>
      </c>
      <c r="AF256" s="72">
        <f t="shared" si="130"/>
        <v>0.53642177999996477</v>
      </c>
      <c r="AG256" s="72">
        <f t="shared" si="131"/>
        <v>0.43021349308094714</v>
      </c>
      <c r="AH256" s="72">
        <f t="shared" si="132"/>
        <v>0.40151820602974564</v>
      </c>
      <c r="AI256" s="72">
        <f t="shared" si="133"/>
        <v>0.16789473684210526</v>
      </c>
      <c r="AJ256" s="72">
        <f>(AV256-Driver!$K$179)/(Driver!$L$179-Driver!$K$179)</f>
        <v>0.17911530094271208</v>
      </c>
      <c r="AK256" s="72">
        <f>(AW256-Driver!$K$180)/(Driver!$L$180-Driver!$K$180)</f>
        <v>0.26121525666557832</v>
      </c>
      <c r="AL256" s="72">
        <f>(AX256-Driver!$K$181)/(Driver!$L$181-Driver!$K$181)</f>
        <v>0.34737241510149874</v>
      </c>
      <c r="AM256" s="72">
        <f>(AY256-Driver!$K$182)/(Driver!$L$182-Driver!$K$182)</f>
        <v>0.11373576297812749</v>
      </c>
      <c r="AN256" s="72">
        <f>(AZ256-Driver!$K$183)/(Driver!$L$183-Driver!$K$183)</f>
        <v>0.25306372549019607</v>
      </c>
      <c r="AO256" s="72"/>
      <c r="AP256" s="72"/>
      <c r="AQ256" s="72">
        <f>(BC256-Driver!$K$188)/(Driver!$L$188-Driver!$K$188)</f>
        <v>5.8204030565878501E-2</v>
      </c>
      <c r="AR256" s="72">
        <f>MIN((BD256-Driver!$K$189)/(Driver!$L$189-Driver!$K$189),100%)</f>
        <v>1.3578220000035284E-2</v>
      </c>
      <c r="AS256" s="72">
        <f>(BE256-Driver!$K$190)/(Driver!$L$190-Driver!$K$190)</f>
        <v>7.9786506919052855E-2</v>
      </c>
      <c r="AT256" s="72">
        <f>(BF256-Driver!$K$191)/(Driver!$L$191-Driver!$K$191)</f>
        <v>0.10848179397025437</v>
      </c>
      <c r="AU256" s="72">
        <f>(BG256-Driver!$K$192)/(Driver!$L$192-Driver!$K$192)</f>
        <v>8.2105263157894751E-2</v>
      </c>
      <c r="AV256" s="70">
        <f t="shared" si="134"/>
        <v>3.7698412698412698</v>
      </c>
      <c r="AW256" s="70">
        <f t="shared" si="135"/>
        <v>27.329633986153699</v>
      </c>
      <c r="AX256" s="70">
        <f t="shared" si="136"/>
        <v>4.1263517359134889</v>
      </c>
      <c r="AY256" s="70">
        <f>IFERROR(Driver!$K$19/Data!BH256/Data!BI256*Data!BK256*Data!BL256,"")</f>
        <v>0.1392465093615799</v>
      </c>
      <c r="AZ256" s="70">
        <f t="shared" si="137"/>
        <v>23.06403574087863</v>
      </c>
      <c r="BA256" s="70"/>
      <c r="BB256" s="70"/>
      <c r="BC256" s="70">
        <f t="shared" si="138"/>
        <v>30.190835282377158</v>
      </c>
      <c r="BD256" s="70">
        <f t="shared" si="139"/>
        <v>2.9224712949186662</v>
      </c>
      <c r="BE256" s="70">
        <f t="shared" si="140"/>
        <v>7.9950662648774456E-2</v>
      </c>
      <c r="BF256" s="70">
        <f t="shared" si="141"/>
        <v>12.252256501204167</v>
      </c>
      <c r="BG256" s="70">
        <f t="shared" si="142"/>
        <v>0.31090290381125235</v>
      </c>
      <c r="BH256" s="67">
        <f>MAX((CE256-Driver!$F$200)/(Driver!$G$200-Driver!$F$200)*$BI$1,1)</f>
        <v>4.1263517359134889</v>
      </c>
      <c r="BI256" s="67">
        <f>MAX($BI$1*(BY256-Driver!$F$201)/(Driver!$G$201-Driver!$F$201),1)</f>
        <v>6.6455696202531644</v>
      </c>
      <c r="BJ256" s="67">
        <f>(CB256-Driver!$F$206)/(Driver!$G$206-Driver!$F$206)*$BI$1</f>
        <v>6.1904761904761907</v>
      </c>
      <c r="BK256" s="67">
        <f>(CD256-Driver!$F$203)/(Driver!$G$203-Driver!$F$203)*$BI$1</f>
        <v>3.2568807339449544</v>
      </c>
      <c r="BL256" s="67">
        <f>MAX((CR256-Driver!$F$202)/(Driver!$G$202-Driver!$F$202)*$BI$1,1)</f>
        <v>5.8620689655172411</v>
      </c>
      <c r="BM256" s="67">
        <f>MAX((CH256-Driver!$F$204)/(Driver!$G$204-Driver!$F$204)*$BI$1,1)</f>
        <v>2.4358974358974357</v>
      </c>
      <c r="BN256" s="67">
        <f>(CI256-Driver!$F$205)/(Driver!$G$205-Driver!$F$205)*$BI$1</f>
        <v>3.4705882352941178</v>
      </c>
      <c r="BO256" s="67">
        <f>(CK256-Driver!$F$207)/(Driver!$G$207-Driver!$F$207)*$BI$1</f>
        <v>2.6370217166494312</v>
      </c>
      <c r="BP256" s="67">
        <f>(CM256-Driver!$F$208)/(Driver!$G$208-Driver!$F$208)*$BI$1</f>
        <v>2.4444444444444442</v>
      </c>
      <c r="BQ256" s="67">
        <f>(CL256-Driver!$F$209)/(Driver!$G$209-Driver!$F$209)*$BI$1</f>
        <v>3.125</v>
      </c>
      <c r="BR256" s="28" t="s">
        <v>155</v>
      </c>
      <c r="BS256" s="8" t="s">
        <v>208</v>
      </c>
      <c r="BT256" s="9" t="s">
        <v>352</v>
      </c>
      <c r="BU256" s="10">
        <v>172</v>
      </c>
      <c r="BV256" s="9" t="s">
        <v>158</v>
      </c>
      <c r="BW256" s="10">
        <v>172</v>
      </c>
      <c r="BX256" s="10">
        <v>171.8</v>
      </c>
      <c r="BY256" s="10">
        <v>113</v>
      </c>
      <c r="BZ256" s="10">
        <v>133</v>
      </c>
      <c r="CA256" s="10">
        <v>136</v>
      </c>
      <c r="CB256" s="10">
        <v>103</v>
      </c>
      <c r="CC256" s="10">
        <v>120</v>
      </c>
      <c r="CD256" s="10">
        <v>16.5</v>
      </c>
      <c r="CE256" s="10">
        <v>1625</v>
      </c>
      <c r="CF256" s="10">
        <v>1.2</v>
      </c>
      <c r="CG256" s="10">
        <v>1949</v>
      </c>
      <c r="CH256" s="10">
        <v>158</v>
      </c>
      <c r="CI256" s="10">
        <v>92</v>
      </c>
      <c r="CJ256" s="10">
        <v>50</v>
      </c>
      <c r="CK256" s="10">
        <v>365</v>
      </c>
      <c r="CL256" s="10">
        <v>20</v>
      </c>
      <c r="CM256" s="10">
        <v>220</v>
      </c>
      <c r="CN256" s="10">
        <v>0.40200000000000002</v>
      </c>
      <c r="CO256" s="10">
        <v>189</v>
      </c>
      <c r="CP256" s="10">
        <v>198</v>
      </c>
      <c r="CQ256" s="10">
        <v>176</v>
      </c>
      <c r="CR256" s="10">
        <v>6</v>
      </c>
      <c r="CS256" s="10">
        <v>10.199999999999999</v>
      </c>
      <c r="CT256" s="9" t="s">
        <v>188</v>
      </c>
      <c r="CU256" s="9" t="s">
        <v>169</v>
      </c>
      <c r="CV256" s="9" t="s">
        <v>185</v>
      </c>
      <c r="CW256" s="10"/>
      <c r="CX256" t="str">
        <f>INDEX('Data_Price '!AG$2:AG$1266,MATCH(Data!$DN256,'Data_Price '!$AT$2:$AT$1266,0))</f>
        <v>Line Sick Day 104 Skis 2022</v>
      </c>
      <c r="CY256" t="str">
        <f>INDEX('Data_Price '!AH$2:AH$1266,MATCH(Data!$DN256,'Data_Price '!$AT$2:$AT$1266,0))</f>
        <v>Teton Wasatch Ski Co.</v>
      </c>
      <c r="CZ256">
        <f>INDEX('Data_Price '!AI$2:AI$1266,MATCH(Data!$DN256,'Data_Price '!$AT$2:$AT$1266,0))</f>
        <v>479</v>
      </c>
      <c r="DA256" t="str">
        <f>INDEX('Data_Price '!AJ$2:AJ$1266,MATCH(Data!$DN256,'Data_Price '!$AT$2:$AT$1266,0))</f>
        <v>https://tinyurl.com/y9okbt3e</v>
      </c>
      <c r="DB256" t="str">
        <f>INDEX('Data_Price '!AK$2:AK$1266,MATCH(Data!$DN256,'Data_Price '!$AT$2:$AT$1266,0))</f>
        <v>'22 Line Sick Day 104 Skis 172cm</v>
      </c>
      <c r="DC256" t="str">
        <f>INDEX('Data_Price '!AL$2:AL$1266,MATCH(Data!$DN256,'Data_Price '!$AT$2:$AT$1266,0))</f>
        <v>Al's Ski Equipment Barn</v>
      </c>
      <c r="DD256">
        <f>INDEX('Data_Price '!AM$2:AM$1266,MATCH(Data!$DN256,'Data_Price '!$AT$2:$AT$1266,0))</f>
        <v>529.95000000000005</v>
      </c>
      <c r="DE256" t="str">
        <f>INDEX('Data_Price '!AN$2:AN$1266,MATCH(Data!$DN256,'Data_Price '!$AT$2:$AT$1266,0))</f>
        <v>https://tinyurl.com/y7axnuv9</v>
      </c>
      <c r="DF256" t="str">
        <f>INDEX('Data_Price '!AO$2:AO$1266,MATCH(Data!$DN256,'Data_Price '!$AT$2:$AT$1266,0))</f>
        <v>Line Skis Sick Day 104 Mens Skis 2022 172cm</v>
      </c>
      <c r="DG256" t="str">
        <f>INDEX('Data_Price '!AP$2:AP$1266,MATCH(Data!$DN256,'Data_Price '!$AT$2:$AT$1266,0))</f>
        <v>eBay</v>
      </c>
      <c r="DH256">
        <f>INDEX('Data_Price '!AQ$2:AQ$1266,MATCH(Data!$DN256,'Data_Price '!$AT$2:$AT$1266,0))</f>
        <v>539.95000000000005</v>
      </c>
      <c r="DI256" t="str">
        <f>INDEX('Data_Price '!AR$2:AR$1266,MATCH(Data!$DN256,'Data_Price '!$AT$2:$AT$1266,0))</f>
        <v>https://tinyurl.com/y8noom54</v>
      </c>
      <c r="DJ256" s="89" t="str">
        <f t="shared" si="143"/>
        <v>https://tinyurl.com/y9okbt3e</v>
      </c>
      <c r="DK256" s="89" t="str">
        <f t="shared" si="144"/>
        <v>https://tinyurl.com/y7axnuv9</v>
      </c>
      <c r="DL256" s="89" t="str">
        <f t="shared" si="145"/>
        <v>https://tinyurl.com/y8noom54</v>
      </c>
      <c r="DM256" s="219" t="str">
        <f t="shared" si="146"/>
        <v>Sick Day 104</v>
      </c>
      <c r="DN256" s="89" t="str">
        <f t="shared" si="147"/>
        <v xml:space="preserve"> LineSick Day 104172 Unisex</v>
      </c>
      <c r="DO256" s="221" t="s">
        <v>353</v>
      </c>
    </row>
    <row r="257" spans="2:119" ht="15.6" customHeight="1">
      <c r="B257" s="219" t="b">
        <f t="array" ref="B257">IF(OR(ISERROR(K257:P257)),FALSE,TRUE)</f>
        <v>1</v>
      </c>
      <c r="C257" s="43" t="b">
        <f>OR(BR257=Driver!$G$50,Data!BR295=Driver!$H$50)</f>
        <v>1</v>
      </c>
      <c r="D257" s="43" t="b">
        <f>OR(BV257=Driver!$G$51,BV257=Driver!$H$51)</f>
        <v>1</v>
      </c>
      <c r="E257" s="43" t="b">
        <f>AND(BX257&gt;Driver!$F$54,BX257&lt;Driver!$G$54)</f>
        <v>0</v>
      </c>
      <c r="F257" s="43" t="b">
        <f>CL257&gt;Driver!$F$56</f>
        <v>1</v>
      </c>
      <c r="G257" s="43" t="b">
        <f>AND(CB257&gt;Driver!$F$55,CB257&lt;Driver!$G$55)</f>
        <v>0</v>
      </c>
      <c r="H257" s="43" t="b">
        <f t="shared" si="111"/>
        <v>0</v>
      </c>
      <c r="I257" s="43">
        <f t="shared" si="112"/>
        <v>0</v>
      </c>
      <c r="J257" s="43" t="b">
        <f t="array" ref="J257">NOT(OR(($H$9:$H$1273=TRUE)*($I$9:$I$1273&gt;0)*($BT$9:$BT$1273=BT257)*($K$9:$K$1273&gt;K257)))</f>
        <v>1</v>
      </c>
      <c r="K257" s="72">
        <f t="shared" si="113"/>
        <v>0.80369593302107456</v>
      </c>
      <c r="L257" s="72">
        <f t="shared" si="114"/>
        <v>0.95279325506466805</v>
      </c>
      <c r="M257" s="72">
        <f t="shared" si="115"/>
        <v>0.65459861097748107</v>
      </c>
      <c r="N257" s="72">
        <f t="shared" si="116"/>
        <v>0.4710041489657204</v>
      </c>
      <c r="O257" s="72">
        <f t="shared" si="117"/>
        <v>0.61246933350755151</v>
      </c>
      <c r="P257" s="72">
        <f t="shared" si="118"/>
        <v>0.88032235045917107</v>
      </c>
      <c r="Q257" s="72"/>
      <c r="R257" s="72"/>
      <c r="S257" s="72">
        <f t="shared" si="119"/>
        <v>0.49096276214623191</v>
      </c>
      <c r="T257" s="72">
        <f t="shared" si="120"/>
        <v>0.55091122170925966</v>
      </c>
      <c r="U257" s="72">
        <f t="shared" si="121"/>
        <v>0.53041539696628759</v>
      </c>
      <c r="V257" s="72">
        <f t="shared" si="122"/>
        <v>0.56036497369930383</v>
      </c>
      <c r="W257" s="72">
        <f t="shared" si="123"/>
        <v>0.78027121869981564</v>
      </c>
      <c r="X257" s="72">
        <f t="shared" si="124"/>
        <v>4.720674493533189E-2</v>
      </c>
      <c r="Y257" s="72">
        <f t="shared" si="125"/>
        <v>0.34540138902251899</v>
      </c>
      <c r="Z257" s="72">
        <f t="shared" si="126"/>
        <v>0.5289958510342796</v>
      </c>
      <c r="AA257" s="72">
        <f t="shared" si="127"/>
        <v>0.38753066649244844</v>
      </c>
      <c r="AB257" s="72">
        <f t="shared" si="128"/>
        <v>0.11967764954082893</v>
      </c>
      <c r="AC257" s="72"/>
      <c r="AD257" s="72"/>
      <c r="AE257" s="72">
        <f t="shared" si="129"/>
        <v>0.50903723785376809</v>
      </c>
      <c r="AF257" s="72">
        <f t="shared" si="130"/>
        <v>0.44908877829074034</v>
      </c>
      <c r="AG257" s="72">
        <f t="shared" si="131"/>
        <v>0.46958460303371241</v>
      </c>
      <c r="AH257" s="72">
        <f t="shared" si="132"/>
        <v>0.43963502630069617</v>
      </c>
      <c r="AI257" s="72">
        <f t="shared" si="133"/>
        <v>0.21972878130018439</v>
      </c>
      <c r="AJ257" s="72">
        <f>(AV257-Driver!$K$179)/(Driver!$L$179-Driver!$K$179)</f>
        <v>0.30142615421803232</v>
      </c>
      <c r="AK257" s="72">
        <f>(AW257-Driver!$K$180)/(Driver!$L$180-Driver!$K$180)</f>
        <v>0.39969924857068401</v>
      </c>
      <c r="AL257" s="72">
        <f>(AX257-Driver!$K$181)/(Driver!$L$181-Driver!$K$181)</f>
        <v>0.63068361474735979</v>
      </c>
      <c r="AM257" s="72">
        <f>(AY257-Driver!$K$182)/(Driver!$L$182-Driver!$K$182)</f>
        <v>5.9854354604597912E-2</v>
      </c>
      <c r="AN257" s="72">
        <f>(AZ257-Driver!$K$183)/(Driver!$L$183-Driver!$K$183)</f>
        <v>0.37389705882352936</v>
      </c>
      <c r="AO257" s="72"/>
      <c r="AP257" s="72"/>
      <c r="AQ257" s="72">
        <f>(BC257-Driver!$K$188)/(Driver!$L$188-Driver!$K$188)</f>
        <v>0.11096276214623194</v>
      </c>
      <c r="AR257" s="72">
        <f>MIN((BD257-Driver!$K$189)/(Driver!$L$189-Driver!$K$189),100%)</f>
        <v>0.10091122170925972</v>
      </c>
      <c r="AS257" s="72">
        <f>(BE257-Driver!$K$190)/(Driver!$L$190-Driver!$K$190)</f>
        <v>4.0415396966287584E-2</v>
      </c>
      <c r="AT257" s="72">
        <f>(BF257-Driver!$K$191)/(Driver!$L$191-Driver!$K$191)</f>
        <v>7.0364973699303834E-2</v>
      </c>
      <c r="AU257" s="72">
        <f>(BG257-Driver!$K$192)/(Driver!$L$192-Driver!$K$192)</f>
        <v>3.0271218699815614E-2</v>
      </c>
      <c r="AV257" s="70">
        <f t="shared" si="134"/>
        <v>6.3441188441188432</v>
      </c>
      <c r="AW257" s="70">
        <f t="shared" si="135"/>
        <v>40.826126090304747</v>
      </c>
      <c r="AX257" s="70">
        <f t="shared" si="136"/>
        <v>6.6761525327262383</v>
      </c>
      <c r="AY257" s="70">
        <f>IFERROR(Driver!$K$19/Data!BH257/Data!BI257*Data!BK257*Data!BL257,"")</f>
        <v>7.3279588851778085E-2</v>
      </c>
      <c r="AZ257" s="70">
        <f t="shared" si="137"/>
        <v>34.07669396872673</v>
      </c>
      <c r="BA257" s="70"/>
      <c r="BB257" s="70"/>
      <c r="BC257" s="70">
        <f t="shared" si="138"/>
        <v>57.557156125858064</v>
      </c>
      <c r="BD257" s="70">
        <f t="shared" si="139"/>
        <v>10.651287201262738</v>
      </c>
      <c r="BE257" s="70">
        <f t="shared" si="140"/>
        <v>4.0586576058884029E-2</v>
      </c>
      <c r="BF257" s="70">
        <f t="shared" si="141"/>
        <v>7.9472294374183283</v>
      </c>
      <c r="BG257" s="70">
        <f t="shared" si="142"/>
        <v>0.11462614494736215</v>
      </c>
      <c r="BH257" s="67">
        <f>MAX((CE257-Driver!$F$200)/(Driver!$G$200-Driver!$F$200)*$BI$1,1)</f>
        <v>6.6761525327262383</v>
      </c>
      <c r="BI257" s="67">
        <f>MAX($BI$1*(BY257-Driver!$F$201)/(Driver!$G$201-Driver!$F$201),1)</f>
        <v>7.1518987341772151</v>
      </c>
      <c r="BJ257" s="67">
        <f>(CB257-Driver!$F$206)/(Driver!$G$206-Driver!$F$206)*$BI$1</f>
        <v>4.6031746031746028</v>
      </c>
      <c r="BK257" s="67">
        <f>(CD257-Driver!$F$203)/(Driver!$G$203-Driver!$F$203)*$BI$1</f>
        <v>3.623853211009175</v>
      </c>
      <c r="BL257" s="67">
        <f>MAX((CR257-Driver!$F$202)/(Driver!$G$202-Driver!$F$202)*$BI$1,1)</f>
        <v>4.8275862068965516</v>
      </c>
      <c r="BM257" s="67">
        <f>MAX((CH257-Driver!$F$204)/(Driver!$G$204-Driver!$F$204)*$BI$1,1)</f>
        <v>5.5128205128205128</v>
      </c>
      <c r="BN257" s="67">
        <f>(CI257-Driver!$F$205)/(Driver!$G$205-Driver!$F$205)*$BI$1</f>
        <v>4.7647058823529411</v>
      </c>
      <c r="BO257" s="67">
        <f>(CK257-Driver!$F$207)/(Driver!$G$207-Driver!$F$207)*$BI$1</f>
        <v>2.3267838676318511</v>
      </c>
      <c r="BP257" s="67">
        <f>(CM257-Driver!$F$208)/(Driver!$G$208-Driver!$F$208)*$BI$1</f>
        <v>2.6888888888888891</v>
      </c>
      <c r="BQ257" s="67">
        <f>(CL257-Driver!$F$209)/(Driver!$G$209-Driver!$F$209)*$BI$1</f>
        <v>4.21875</v>
      </c>
      <c r="BR257" s="28" t="s">
        <v>155</v>
      </c>
      <c r="BS257" s="8" t="s">
        <v>317</v>
      </c>
      <c r="BT257" s="9" t="s">
        <v>463</v>
      </c>
      <c r="BU257" s="10">
        <v>180</v>
      </c>
      <c r="BV257" s="9" t="s">
        <v>158</v>
      </c>
      <c r="BW257" s="10">
        <v>180</v>
      </c>
      <c r="BX257" s="10">
        <v>178.6</v>
      </c>
      <c r="BY257" s="10">
        <v>121</v>
      </c>
      <c r="BZ257" s="10">
        <v>150</v>
      </c>
      <c r="CA257" s="10">
        <v>127</v>
      </c>
      <c r="CB257" s="10">
        <v>93</v>
      </c>
      <c r="CC257" s="10">
        <v>117</v>
      </c>
      <c r="CD257" s="10">
        <v>17.3</v>
      </c>
      <c r="CE257" s="10">
        <v>2073</v>
      </c>
      <c r="CF257" s="10">
        <v>0.91</v>
      </c>
      <c r="CG257" s="10">
        <v>1880</v>
      </c>
      <c r="CH257" s="10">
        <v>230</v>
      </c>
      <c r="CI257" s="10">
        <v>114</v>
      </c>
      <c r="CJ257" s="10">
        <v>63</v>
      </c>
      <c r="CK257" s="10">
        <v>335</v>
      </c>
      <c r="CL257" s="10">
        <v>27</v>
      </c>
      <c r="CM257" s="10">
        <v>242</v>
      </c>
      <c r="CN257" s="10">
        <v>0.42699999999999999</v>
      </c>
      <c r="CO257" s="10">
        <v>148</v>
      </c>
      <c r="CP257" s="10">
        <v>140</v>
      </c>
      <c r="CQ257" s="10">
        <v>187</v>
      </c>
      <c r="CR257" s="10">
        <v>3</v>
      </c>
      <c r="CS257" s="10">
        <v>7.9</v>
      </c>
      <c r="CT257" s="9" t="s">
        <v>188</v>
      </c>
      <c r="CU257" s="10"/>
      <c r="CV257" s="10"/>
      <c r="CW257" s="10"/>
      <c r="CX257" t="str">
        <f>INDEX('Data_Price '!AG$2:AG$1266,MATCH(Data!$DN257,'Data_Price '!$AT$2:$AT$1266,0))</f>
        <v>Blizzard Rustler 9 2022 Rust (Size: 180) | By Alpine Shop Vermont</v>
      </c>
      <c r="CY257" t="str">
        <f>INDEX('Data_Price '!AH$2:AH$1266,MATCH(Data!$DN257,'Data_Price '!$AT$2:$AT$1266,0))</f>
        <v>AlpineShopVT.com</v>
      </c>
      <c r="CZ257">
        <f>INDEX('Data_Price '!AI$2:AI$1266,MATCH(Data!$DN257,'Data_Price '!$AT$2:$AT$1266,0))</f>
        <v>479.95</v>
      </c>
      <c r="DA257" t="str">
        <f>INDEX('Data_Price '!AJ$2:AJ$1266,MATCH(Data!$DN257,'Data_Price '!$AT$2:$AT$1266,0))</f>
        <v>https://tinyurl.com/ydx7ua5d</v>
      </c>
      <c r="DB257" t="str">
        <f>INDEX('Data_Price '!AK$2:AK$1266,MATCH(Data!$DN257,'Data_Price '!$AT$2:$AT$1266,0))</f>
        <v>Blizzard Rustler 9 Skis - Winter 2021/2022 180</v>
      </c>
      <c r="DC257" t="str">
        <f>INDEX('Data_Price '!AL$2:AL$1266,MATCH(Data!$DN257,'Data_Price '!$AT$2:$AT$1266,0))</f>
        <v>Equipe Sport</v>
      </c>
      <c r="DD257">
        <f>INDEX('Data_Price '!AM$2:AM$1266,MATCH(Data!$DN257,'Data_Price '!$AT$2:$AT$1266,0))</f>
        <v>479.95</v>
      </c>
      <c r="DE257" t="str">
        <f>INDEX('Data_Price '!AN$2:AN$1266,MATCH(Data!$DN257,'Data_Price '!$AT$2:$AT$1266,0))</f>
        <v>https://tinyurl.com/yc97mlv8</v>
      </c>
      <c r="DF257" t="str">
        <f>INDEX('Data_Price '!AO$2:AO$1266,MATCH(Data!$DN257,'Data_Price '!$AT$2:$AT$1266,0))</f>
        <v>Blizzard Rustler 9 Skis</v>
      </c>
      <c r="DG257" t="str">
        <f>INDEX('Data_Price '!AP$2:AP$1266,MATCH(Data!$DN257,'Data_Price '!$AT$2:$AT$1266,0))</f>
        <v>Ski Pro  - Snow Ski &amp; Snowboard</v>
      </c>
      <c r="DH257">
        <f>INDEX('Data_Price '!AQ$2:AQ$1266,MATCH(Data!$DN257,'Data_Price '!$AT$2:$AT$1266,0))</f>
        <v>479.95</v>
      </c>
      <c r="DI257" t="str">
        <f>INDEX('Data_Price '!AR$2:AR$1266,MATCH(Data!$DN257,'Data_Price '!$AT$2:$AT$1266,0))</f>
        <v>https://tinyurl.com/y99dqzjg</v>
      </c>
      <c r="DJ257" s="89" t="str">
        <f t="shared" si="143"/>
        <v>https://tinyurl.com/ydx7ua5d</v>
      </c>
      <c r="DK257" s="89" t="str">
        <f t="shared" si="144"/>
        <v>https://tinyurl.com/yc97mlv8</v>
      </c>
      <c r="DL257" s="89" t="str">
        <f t="shared" si="145"/>
        <v>https://tinyurl.com/y99dqzjg</v>
      </c>
      <c r="DM257" s="219" t="str">
        <f t="shared" si="146"/>
        <v>Rustler 9</v>
      </c>
      <c r="DN257" s="89" t="str">
        <f t="shared" si="147"/>
        <v xml:space="preserve"> BlizzardRustler 9180 Unisex</v>
      </c>
      <c r="DO257" s="221" t="s">
        <v>464</v>
      </c>
    </row>
    <row r="258" spans="2:119" ht="15.6" customHeight="1">
      <c r="B258" s="219" t="b">
        <f t="array" ref="B258">IF(OR(ISERROR(K258:P258)),FALSE,TRUE)</f>
        <v>1</v>
      </c>
      <c r="C258" s="43" t="b">
        <f>OR(BR258=Driver!$G$50,Data!BR939=Driver!$H$50)</f>
        <v>1</v>
      </c>
      <c r="D258" s="43" t="b">
        <f>OR(BV258=Driver!$G$51,BV258=Driver!$H$51)</f>
        <v>1</v>
      </c>
      <c r="E258" s="43" t="b">
        <f>AND(BX258&gt;Driver!$F$54,BX258&lt;Driver!$G$54)</f>
        <v>0</v>
      </c>
      <c r="F258" s="43" t="b">
        <f>CL258&gt;Driver!$F$56</f>
        <v>1</v>
      </c>
      <c r="G258" s="43" t="b">
        <f>AND(CB258&gt;Driver!$F$55,CB258&lt;Driver!$G$55)</f>
        <v>0</v>
      </c>
      <c r="H258" s="43" t="b">
        <f t="shared" si="111"/>
        <v>0</v>
      </c>
      <c r="I258" s="43">
        <f t="shared" si="112"/>
        <v>0</v>
      </c>
      <c r="J258" s="43" t="b">
        <f t="array" ref="J258">NOT(OR(($H$9:$H$1273=TRUE)*($I$9:$I$1273&gt;0)*($BT$9:$BT$1273=BT258)*($K$9:$K$1273&gt;K258)))</f>
        <v>1</v>
      </c>
      <c r="K258" s="72">
        <f t="shared" si="113"/>
        <v>0.82963026599370648</v>
      </c>
      <c r="L258" s="72">
        <f t="shared" si="114"/>
        <v>0.95978429710679269</v>
      </c>
      <c r="M258" s="72">
        <f t="shared" si="115"/>
        <v>0.69947623488062027</v>
      </c>
      <c r="N258" s="72">
        <f t="shared" si="116"/>
        <v>0.52222782568740511</v>
      </c>
      <c r="O258" s="72">
        <f t="shared" si="117"/>
        <v>0.63472656771097102</v>
      </c>
      <c r="P258" s="72">
        <f t="shared" si="118"/>
        <v>0.94147431124348469</v>
      </c>
      <c r="Q258" s="72"/>
      <c r="R258" s="72"/>
      <c r="S258" s="72">
        <f t="shared" si="119"/>
        <v>0.46388299014416357</v>
      </c>
      <c r="T258" s="72">
        <f t="shared" si="120"/>
        <v>0.53869594552812328</v>
      </c>
      <c r="U258" s="72">
        <f t="shared" si="121"/>
        <v>0.63497486718939089</v>
      </c>
      <c r="V258" s="72">
        <f t="shared" si="122"/>
        <v>0.50761121444266133</v>
      </c>
      <c r="W258" s="72">
        <f t="shared" si="123"/>
        <v>0.83235800344234079</v>
      </c>
      <c r="X258" s="72">
        <f t="shared" si="124"/>
        <v>4.021570289320725E-2</v>
      </c>
      <c r="Y258" s="72">
        <f t="shared" si="125"/>
        <v>0.30052376511937973</v>
      </c>
      <c r="Z258" s="72">
        <f t="shared" si="126"/>
        <v>0.47777217431259489</v>
      </c>
      <c r="AA258" s="72">
        <f t="shared" si="127"/>
        <v>0.36527343228902903</v>
      </c>
      <c r="AB258" s="72">
        <f t="shared" si="128"/>
        <v>5.8525688756515315E-2</v>
      </c>
      <c r="AC258" s="72"/>
      <c r="AD258" s="72"/>
      <c r="AE258" s="72">
        <f t="shared" si="129"/>
        <v>0.53611700985583643</v>
      </c>
      <c r="AF258" s="72">
        <f t="shared" si="130"/>
        <v>0.46130405447187672</v>
      </c>
      <c r="AG258" s="72">
        <f t="shared" si="131"/>
        <v>0.36502513281060911</v>
      </c>
      <c r="AH258" s="72">
        <f t="shared" si="132"/>
        <v>0.49238878555733867</v>
      </c>
      <c r="AI258" s="72">
        <f t="shared" si="133"/>
        <v>0.16764199655765921</v>
      </c>
      <c r="AJ258" s="72">
        <f>(AV258-Driver!$K$179)/(Driver!$L$179-Driver!$K$179)</f>
        <v>0.21400370638949318</v>
      </c>
      <c r="AK258" s="72">
        <f>(AW258-Driver!$K$180)/(Driver!$L$180-Driver!$K$180)</f>
        <v>0.33806188896369321</v>
      </c>
      <c r="AL258" s="72">
        <f>(AX258-Driver!$K$181)/(Driver!$L$181-Driver!$K$181)</f>
        <v>0.57945993802567508</v>
      </c>
      <c r="AM258" s="72">
        <f>(AY258-Driver!$K$182)/(Driver!$L$182-Driver!$K$182)</f>
        <v>8.2111588808017347E-2</v>
      </c>
      <c r="AN258" s="72">
        <f>(AZ258-Driver!$K$183)/(Driver!$L$183-Driver!$K$183)</f>
        <v>0.31274509803921574</v>
      </c>
      <c r="AO258" s="72"/>
      <c r="AP258" s="72"/>
      <c r="AQ258" s="72">
        <f>(BC258-Driver!$K$188)/(Driver!$L$188-Driver!$K$188)</f>
        <v>8.3882990144163561E-2</v>
      </c>
      <c r="AR258" s="72">
        <f>MIN((BD258-Driver!$K$189)/(Driver!$L$189-Driver!$K$189),100%)</f>
        <v>8.8695945528123293E-2</v>
      </c>
      <c r="AS258" s="72">
        <f>(BE258-Driver!$K$190)/(Driver!$L$190-Driver!$K$190)</f>
        <v>0.14497486718939087</v>
      </c>
      <c r="AT258" s="72">
        <f>(BF258-Driver!$K$191)/(Driver!$L$191-Driver!$K$191)</f>
        <v>1.761121444266131E-2</v>
      </c>
      <c r="AU258" s="72">
        <f>(BG258-Driver!$K$192)/(Driver!$L$192-Driver!$K$192)</f>
        <v>8.2358003442340788E-2</v>
      </c>
      <c r="AV258" s="70">
        <f t="shared" si="134"/>
        <v>4.5041378374711707</v>
      </c>
      <c r="AW258" s="70">
        <f t="shared" si="135"/>
        <v>34.819019234037128</v>
      </c>
      <c r="AX258" s="70">
        <f t="shared" si="136"/>
        <v>6.2151394422310755</v>
      </c>
      <c r="AY258" s="70">
        <f>IFERROR(Driver!$K$19/Data!BH258/Data!BI258*Data!BK258*Data!BL258,"")</f>
        <v>0.1005290844344941</v>
      </c>
      <c r="AZ258" s="70">
        <f t="shared" si="137"/>
        <v>28.50335070737156</v>
      </c>
      <c r="BA258" s="70"/>
      <c r="BB258" s="70"/>
      <c r="BC258" s="70">
        <f t="shared" si="138"/>
        <v>43.510690132864418</v>
      </c>
      <c r="BD258" s="70">
        <f t="shared" si="139"/>
        <v>9.5702569034208036</v>
      </c>
      <c r="BE258" s="70">
        <f t="shared" si="140"/>
        <v>0.14512739404936648</v>
      </c>
      <c r="BF258" s="70">
        <f t="shared" si="141"/>
        <v>1.9890629455147439</v>
      </c>
      <c r="BG258" s="70">
        <f t="shared" si="142"/>
        <v>0.31185993975903614</v>
      </c>
      <c r="BH258" s="67">
        <f>MAX((CE258-Driver!$F$200)/(Driver!$G$200-Driver!$F$200)*$BI$1,1)</f>
        <v>6.2151394422310755</v>
      </c>
      <c r="BI258" s="67">
        <f>MAX($BI$1*(BY258-Driver!$F$201)/(Driver!$G$201-Driver!$F$201),1)</f>
        <v>8.3544303797468356</v>
      </c>
      <c r="BJ258" s="67">
        <f>(CB258-Driver!$F$206)/(Driver!$G$206-Driver!$F$206)*$BI$1</f>
        <v>5.0793650793650791</v>
      </c>
      <c r="BK258" s="67">
        <f>(CD258-Driver!$F$203)/(Driver!$G$203-Driver!$F$203)*$BI$1</f>
        <v>3.4403669724770634</v>
      </c>
      <c r="BL258" s="67">
        <f>MAX((CR258-Driver!$F$202)/(Driver!$G$202-Driver!$F$202)*$BI$1,1)</f>
        <v>7.5862068965517242</v>
      </c>
      <c r="BM258" s="67">
        <f>MAX((CH258-Driver!$F$204)/(Driver!$G$204-Driver!$F$204)*$BI$1,1)</f>
        <v>3.5470085470085473</v>
      </c>
      <c r="BN258" s="67">
        <f>(CI258-Driver!$F$205)/(Driver!$G$205-Driver!$F$205)*$BI$1</f>
        <v>3.4117647058823533</v>
      </c>
      <c r="BO258" s="67">
        <f>(CK258-Driver!$F$207)/(Driver!$G$207-Driver!$F$207)*$BI$1</f>
        <v>0.69286452947259558</v>
      </c>
      <c r="BP258" s="67">
        <f>(CM258-Driver!$F$208)/(Driver!$G$208-Driver!$F$208)*$BI$1</f>
        <v>1.9444444444444444</v>
      </c>
      <c r="BQ258" s="67">
        <f>(CL258-Driver!$F$209)/(Driver!$G$209-Driver!$F$209)*$BI$1</f>
        <v>6.875</v>
      </c>
      <c r="BR258" s="28" t="s">
        <v>155</v>
      </c>
      <c r="BS258" s="8" t="s">
        <v>332</v>
      </c>
      <c r="BT258" s="9" t="s">
        <v>465</v>
      </c>
      <c r="BU258" s="10">
        <v>177</v>
      </c>
      <c r="BV258" s="9" t="s">
        <v>158</v>
      </c>
      <c r="BW258" s="10">
        <v>177</v>
      </c>
      <c r="BX258" s="10">
        <v>175.3</v>
      </c>
      <c r="BY258" s="10">
        <v>140</v>
      </c>
      <c r="BZ258" s="10">
        <v>152</v>
      </c>
      <c r="CA258" s="10">
        <v>133</v>
      </c>
      <c r="CB258" s="10">
        <v>96</v>
      </c>
      <c r="CC258" s="10">
        <v>123</v>
      </c>
      <c r="CD258" s="10">
        <v>16.899999999999999</v>
      </c>
      <c r="CE258" s="10">
        <v>1992</v>
      </c>
      <c r="CF258" s="10">
        <v>0.95</v>
      </c>
      <c r="CG258" s="10">
        <v>1896</v>
      </c>
      <c r="CH258" s="10">
        <v>184</v>
      </c>
      <c r="CI258" s="10">
        <v>91</v>
      </c>
      <c r="CJ258" s="10">
        <v>48</v>
      </c>
      <c r="CK258" s="10">
        <v>177</v>
      </c>
      <c r="CL258" s="10">
        <v>44</v>
      </c>
      <c r="CM258" s="10">
        <v>175</v>
      </c>
      <c r="CN258" s="10">
        <v>0.92200000000000004</v>
      </c>
      <c r="CO258" s="10">
        <v>103</v>
      </c>
      <c r="CP258" s="10">
        <v>128</v>
      </c>
      <c r="CQ258" s="10">
        <v>74</v>
      </c>
      <c r="CR258" s="10">
        <v>11</v>
      </c>
      <c r="CS258" s="10">
        <v>6</v>
      </c>
      <c r="CT258" s="9" t="s">
        <v>184</v>
      </c>
      <c r="CU258" s="10"/>
      <c r="CV258" s="10"/>
      <c r="CW258" s="10"/>
      <c r="CX258" t="str">
        <f>INDEX('Data_Price '!AG$2:AG$1266,MATCH(Data!$DN258,'Data_Price '!$AT$2:$AT$1266,0))</f>
        <v>Nordica Soul Rider 97 Skis 177cm 2022</v>
      </c>
      <c r="CY258" t="str">
        <f>INDEX('Data_Price '!AH$2:AH$1266,MATCH(Data!$DN258,'Data_Price '!$AT$2:$AT$1266,0))</f>
        <v>Ski Pro  - Snow Ski &amp; Snowboard</v>
      </c>
      <c r="CZ258">
        <f>INDEX('Data_Price '!AI$2:AI$1266,MATCH(Data!$DN258,'Data_Price '!$AT$2:$AT$1266,0))</f>
        <v>479.95</v>
      </c>
      <c r="DA258" t="str">
        <f>INDEX('Data_Price '!AJ$2:AJ$1266,MATCH(Data!$DN258,'Data_Price '!$AT$2:$AT$1266,0))</f>
        <v>https://tinyurl.com/yazyrelj</v>
      </c>
      <c r="DB258" t="str">
        <f>INDEX('Data_Price '!AK$2:AK$1266,MATCH(Data!$DN258,'Data_Price '!$AT$2:$AT$1266,0))</f>
        <v>Nordica Soul Rider 97 Skis 177cm 2022</v>
      </c>
      <c r="DC258" t="str">
        <f>INDEX('Data_Price '!AL$2:AL$1266,MATCH(Data!$DN258,'Data_Price '!$AT$2:$AT$1266,0))</f>
        <v>Alpine Options</v>
      </c>
      <c r="DD258">
        <f>INDEX('Data_Price '!AM$2:AM$1266,MATCH(Data!$DN258,'Data_Price '!$AT$2:$AT$1266,0))</f>
        <v>479.99</v>
      </c>
      <c r="DE258" t="str">
        <f>INDEX('Data_Price '!AN$2:AN$1266,MATCH(Data!$DN258,'Data_Price '!$AT$2:$AT$1266,0))</f>
        <v>https://tinyurl.com/y7mog92u</v>
      </c>
      <c r="DF258" t="str">
        <f>INDEX('Data_Price '!AO$2:AO$1266,MATCH(Data!$DN258,'Data_Price '!$AT$2:$AT$1266,0))</f>
        <v>Nordica Soul Rider 97 Skis 177cm 2022</v>
      </c>
      <c r="DG258" t="str">
        <f>INDEX('Data_Price '!AP$2:AP$1266,MATCH(Data!$DN258,'Data_Price '!$AT$2:$AT$1266,0))</f>
        <v>AlpineShopVT.com</v>
      </c>
      <c r="DH258">
        <f>INDEX('Data_Price '!AQ$2:AQ$1266,MATCH(Data!$DN258,'Data_Price '!$AT$2:$AT$1266,0))</f>
        <v>479.99</v>
      </c>
      <c r="DI258" t="str">
        <f>INDEX('Data_Price '!AR$2:AR$1266,MATCH(Data!$DN258,'Data_Price '!$AT$2:$AT$1266,0))</f>
        <v>https://tinyurl.com/y99odn4s</v>
      </c>
      <c r="DJ258" s="89" t="str">
        <f t="shared" si="143"/>
        <v>https://tinyurl.com/yazyrelj</v>
      </c>
      <c r="DK258" s="89" t="str">
        <f t="shared" si="144"/>
        <v>https://tinyurl.com/y7mog92u</v>
      </c>
      <c r="DL258" s="89" t="str">
        <f t="shared" si="145"/>
        <v>https://tinyurl.com/y99odn4s</v>
      </c>
      <c r="DM258" s="219" t="str">
        <f t="shared" si="146"/>
        <v>Soul Rider 97</v>
      </c>
      <c r="DN258" s="89" t="str">
        <f t="shared" si="147"/>
        <v xml:space="preserve"> NordicaSoul Rider 97177 Unisex</v>
      </c>
      <c r="DO258" s="221"/>
    </row>
    <row r="259" spans="2:119" ht="15.6" customHeight="1">
      <c r="B259" s="219" t="b">
        <f t="array" ref="B259">IF(OR(ISERROR(K259:P259)),FALSE,TRUE)</f>
        <v>1</v>
      </c>
      <c r="C259" s="43" t="b">
        <f>OR(BR259=Driver!$G$50,Data!BR582=Driver!$H$50)</f>
        <v>1</v>
      </c>
      <c r="D259" s="43" t="b">
        <f>OR(BV259=Driver!$G$51,BV259=Driver!$H$51)</f>
        <v>1</v>
      </c>
      <c r="E259" s="43" t="b">
        <f>AND(BX259&gt;Driver!$F$54,BX259&lt;Driver!$G$54)</f>
        <v>0</v>
      </c>
      <c r="F259" s="43" t="b">
        <f>CL259&gt;Driver!$F$56</f>
        <v>1</v>
      </c>
      <c r="G259" s="43" t="b">
        <f>AND(CB259&gt;Driver!$F$55,CB259&lt;Driver!$G$55)</f>
        <v>0</v>
      </c>
      <c r="H259" s="43" t="b">
        <f t="shared" si="111"/>
        <v>0</v>
      </c>
      <c r="I259" s="43">
        <f t="shared" si="112"/>
        <v>0</v>
      </c>
      <c r="J259" s="43" t="b">
        <f t="array" ref="J259">NOT(OR(($H$9:$H$1273=TRUE)*($I$9:$I$1273&gt;0)*($BT$9:$BT$1273=BT259)*($K$9:$K$1273&gt;K259)))</f>
        <v>1</v>
      </c>
      <c r="K259" s="72">
        <f t="shared" si="113"/>
        <v>0.85057790960287927</v>
      </c>
      <c r="L259" s="72">
        <f t="shared" si="114"/>
        <v>0.99316067106660189</v>
      </c>
      <c r="M259" s="72">
        <f t="shared" si="115"/>
        <v>0.70799514813915665</v>
      </c>
      <c r="N259" s="72">
        <f t="shared" si="116"/>
        <v>0.6012767095171655</v>
      </c>
      <c r="O259" s="72">
        <f t="shared" si="117"/>
        <v>0.61591579620583925</v>
      </c>
      <c r="P259" s="72">
        <f t="shared" si="118"/>
        <v>0.90679293869446509</v>
      </c>
      <c r="Q259" s="72"/>
      <c r="R259" s="72"/>
      <c r="S259" s="72">
        <f t="shared" si="119"/>
        <v>0.45574712732529232</v>
      </c>
      <c r="T259" s="72">
        <f t="shared" si="120"/>
        <v>0.590383246588708</v>
      </c>
      <c r="U259" s="72">
        <f t="shared" si="121"/>
        <v>0.51945816782063392</v>
      </c>
      <c r="V259" s="72">
        <f t="shared" si="122"/>
        <v>0.6033079253522502</v>
      </c>
      <c r="W259" s="72">
        <f t="shared" si="123"/>
        <v>0.79970785935884181</v>
      </c>
      <c r="X259" s="72">
        <f t="shared" si="124"/>
        <v>6.8393289333981144E-3</v>
      </c>
      <c r="Y259" s="72">
        <f t="shared" si="125"/>
        <v>0.29200485186084341</v>
      </c>
      <c r="Z259" s="72">
        <f t="shared" si="126"/>
        <v>0.3987232904828345</v>
      </c>
      <c r="AA259" s="72">
        <f t="shared" si="127"/>
        <v>0.38408420379416081</v>
      </c>
      <c r="AB259" s="72">
        <f t="shared" si="128"/>
        <v>9.3207061305534855E-2</v>
      </c>
      <c r="AC259" s="72"/>
      <c r="AD259" s="72"/>
      <c r="AE259" s="72">
        <f t="shared" si="129"/>
        <v>0.54425287267470768</v>
      </c>
      <c r="AF259" s="72">
        <f t="shared" si="130"/>
        <v>0.40961675341129195</v>
      </c>
      <c r="AG259" s="72">
        <f t="shared" si="131"/>
        <v>0.48054183217936608</v>
      </c>
      <c r="AH259" s="72">
        <f t="shared" si="132"/>
        <v>0.39669207464774975</v>
      </c>
      <c r="AI259" s="72">
        <f t="shared" si="133"/>
        <v>0.20029214064115822</v>
      </c>
      <c r="AJ259" s="72">
        <f>(AV259-Driver!$K$179)/(Driver!$L$179-Driver!$K$179)</f>
        <v>0.26105873821609854</v>
      </c>
      <c r="AK259" s="72">
        <f>(AW259-Driver!$K$180)/(Driver!$L$180-Driver!$K$180)</f>
        <v>0.36295817833143684</v>
      </c>
      <c r="AL259" s="72">
        <f>(AX259-Driver!$K$181)/(Driver!$L$181-Driver!$K$181)</f>
        <v>0.5004110541959147</v>
      </c>
      <c r="AM259" s="72">
        <f>(AY259-Driver!$K$182)/(Driver!$L$182-Driver!$K$182)</f>
        <v>6.3300817302885545E-2</v>
      </c>
      <c r="AN259" s="72">
        <f>(AZ259-Driver!$K$183)/(Driver!$L$183-Driver!$K$183)</f>
        <v>0.34742647058823528</v>
      </c>
      <c r="AO259" s="72"/>
      <c r="AP259" s="72"/>
      <c r="AQ259" s="72">
        <f>(BC259-Driver!$K$188)/(Driver!$L$188-Driver!$K$188)</f>
        <v>7.574712732529236E-2</v>
      </c>
      <c r="AR259" s="72">
        <f>MIN((BD259-Driver!$K$189)/(Driver!$L$189-Driver!$K$189),100%)</f>
        <v>0.1403832465887081</v>
      </c>
      <c r="AS259" s="72">
        <f>(BE259-Driver!$K$190)/(Driver!$L$190-Driver!$K$190)</f>
        <v>2.945816782063394E-2</v>
      </c>
      <c r="AT259" s="72">
        <f>(BF259-Driver!$K$191)/(Driver!$L$191-Driver!$K$191)</f>
        <v>0.11330792535225025</v>
      </c>
      <c r="AU259" s="72">
        <f>(BG259-Driver!$K$192)/(Driver!$L$192-Driver!$K$192)</f>
        <v>4.9707859358841783E-2</v>
      </c>
      <c r="AV259" s="70">
        <f t="shared" si="134"/>
        <v>5.4945054945054936</v>
      </c>
      <c r="AW259" s="70">
        <f t="shared" si="135"/>
        <v>37.245383236489189</v>
      </c>
      <c r="AX259" s="70">
        <f t="shared" si="136"/>
        <v>5.5036994877632326</v>
      </c>
      <c r="AY259" s="70">
        <f>IFERROR(Driver!$K$19/Data!BH259/Data!BI259*Data!BK259*Data!BL259,"")</f>
        <v>7.7499087519701346E-2</v>
      </c>
      <c r="AZ259" s="70">
        <f t="shared" si="137"/>
        <v>31.664184661206253</v>
      </c>
      <c r="BA259" s="70"/>
      <c r="BB259" s="70"/>
      <c r="BC259" s="70">
        <f t="shared" si="138"/>
        <v>39.290561529115209</v>
      </c>
      <c r="BD259" s="70">
        <f t="shared" si="139"/>
        <v>14.144491462804417</v>
      </c>
      <c r="BE259" s="70">
        <f t="shared" si="140"/>
        <v>2.9631301559581106E-2</v>
      </c>
      <c r="BF259" s="70">
        <f t="shared" si="141"/>
        <v>12.797334135308725</v>
      </c>
      <c r="BG259" s="70">
        <f t="shared" si="142"/>
        <v>0.18822566571871771</v>
      </c>
      <c r="BH259" s="67">
        <f>MAX((CE259-Driver!$F$200)/(Driver!$G$200-Driver!$F$200)*$BI$1,1)</f>
        <v>5.5036994877632326</v>
      </c>
      <c r="BI259" s="67">
        <f>MAX($BI$1*(BY259-Driver!$F$201)/(Driver!$G$201-Driver!$F$201),1)</f>
        <v>6.6455696202531644</v>
      </c>
      <c r="BJ259" s="67">
        <f>(CB259-Driver!$F$206)/(Driver!$G$206-Driver!$F$206)*$BI$1</f>
        <v>4.2857142857142856</v>
      </c>
      <c r="BK259" s="67">
        <f>(CD259-Driver!$F$203)/(Driver!$G$203-Driver!$F$203)*$BI$1</f>
        <v>2.5688073394495414</v>
      </c>
      <c r="BL259" s="67">
        <f>MAX((CR259-Driver!$F$202)/(Driver!$G$202-Driver!$F$202)*$BI$1,1)</f>
        <v>5.5172413793103452</v>
      </c>
      <c r="BM259" s="67">
        <f>MAX((CH259-Driver!$F$204)/(Driver!$G$204-Driver!$F$204)*$BI$1,1)</f>
        <v>5.1282051282051277</v>
      </c>
      <c r="BN259" s="67">
        <f>(CI259-Driver!$F$205)/(Driver!$G$205-Driver!$F$205)*$BI$1</f>
        <v>4.7647058823529411</v>
      </c>
      <c r="BO259" s="67">
        <f>(CK259-Driver!$F$207)/(Driver!$G$207-Driver!$F$207)*$BI$1</f>
        <v>2.8645294725956565</v>
      </c>
      <c r="BP259" s="67">
        <f>(CM259-Driver!$F$208)/(Driver!$G$208-Driver!$F$208)*$BI$1</f>
        <v>2.677777777777778</v>
      </c>
      <c r="BQ259" s="67">
        <f>(CL259-Driver!$F$209)/(Driver!$G$209-Driver!$F$209)*$BI$1</f>
        <v>5.3125</v>
      </c>
      <c r="BR259" s="28" t="s">
        <v>155</v>
      </c>
      <c r="BS259" s="8" t="s">
        <v>245</v>
      </c>
      <c r="BT259" s="9" t="s">
        <v>293</v>
      </c>
      <c r="BU259" s="10">
        <v>177</v>
      </c>
      <c r="BV259" s="9" t="s">
        <v>158</v>
      </c>
      <c r="BW259" s="10">
        <v>177</v>
      </c>
      <c r="BX259" s="10">
        <v>176</v>
      </c>
      <c r="BY259" s="10">
        <v>113</v>
      </c>
      <c r="BZ259" s="10">
        <v>148</v>
      </c>
      <c r="CA259" s="10">
        <v>125</v>
      </c>
      <c r="CB259" s="10">
        <v>91</v>
      </c>
      <c r="CC259" s="10">
        <v>116</v>
      </c>
      <c r="CD259" s="10">
        <v>15</v>
      </c>
      <c r="CE259" s="10">
        <v>1867</v>
      </c>
      <c r="CF259" s="10">
        <v>0.98</v>
      </c>
      <c r="CG259" s="10">
        <v>1837</v>
      </c>
      <c r="CH259" s="10">
        <v>221</v>
      </c>
      <c r="CI259" s="10">
        <v>114</v>
      </c>
      <c r="CJ259" s="10">
        <v>56</v>
      </c>
      <c r="CK259" s="10">
        <v>387</v>
      </c>
      <c r="CL259" s="10">
        <v>34</v>
      </c>
      <c r="CM259" s="10">
        <v>241</v>
      </c>
      <c r="CN259" s="10">
        <v>0.60699999999999998</v>
      </c>
      <c r="CO259" s="10">
        <v>146</v>
      </c>
      <c r="CP259" s="10">
        <v>139</v>
      </c>
      <c r="CQ259" s="10">
        <v>241</v>
      </c>
      <c r="CR259" s="10">
        <v>5</v>
      </c>
      <c r="CS259" s="10">
        <v>8.9</v>
      </c>
      <c r="CT259" s="9" t="s">
        <v>188</v>
      </c>
      <c r="CU259" s="10"/>
      <c r="CV259" s="10"/>
      <c r="CW259" s="10"/>
      <c r="CX259" t="str">
        <f>INDEX('Data_Price '!AG$2:AG$1266,MATCH(Data!$DN259,'Data_Price '!$AT$2:$AT$1266,0))</f>
        <v>Fischer Ranger 94 FR Women's Skis 2021 177cm</v>
      </c>
      <c r="CY259" t="str">
        <f>INDEX('Data_Price '!AH$2:AH$1266,MATCH(Data!$DN259,'Data_Price '!$AT$2:$AT$1266,0))</f>
        <v>Powder7 Ski Shop</v>
      </c>
      <c r="CZ259">
        <f>INDEX('Data_Price '!AI$2:AI$1266,MATCH(Data!$DN259,'Data_Price '!$AT$2:$AT$1266,0))</f>
        <v>419.99</v>
      </c>
      <c r="DA259" t="str">
        <f>INDEX('Data_Price '!AJ$2:AJ$1266,MATCH(Data!$DN259,'Data_Price '!$AT$2:$AT$1266,0))</f>
        <v>https://tinyurl.com/ybjpobos</v>
      </c>
      <c r="DB259" t="str">
        <f>INDEX('Data_Price '!AK$2:AK$1266,MATCH(Data!$DN259,'Data_Price '!$AT$2:$AT$1266,0))</f>
        <v>Fischer Ranger 102 FR 177cm</v>
      </c>
      <c r="DC259" t="str">
        <f>INDEX('Data_Price '!AL$2:AL$1266,MATCH(Data!$DN259,'Data_Price '!$AT$2:$AT$1266,0))</f>
        <v>Sundance Ski and Board Shop</v>
      </c>
      <c r="DD259">
        <f>INDEX('Data_Price '!AM$2:AM$1266,MATCH(Data!$DN259,'Data_Price '!$AT$2:$AT$1266,0))</f>
        <v>521.29</v>
      </c>
      <c r="DE259" t="str">
        <f>INDEX('Data_Price '!AN$2:AN$1266,MATCH(Data!$DN259,'Data_Price '!$AT$2:$AT$1266,0))</f>
        <v>https://tinyurl.com/y97owhyk</v>
      </c>
      <c r="DF259" t="str">
        <f>INDEX('Data_Price '!AO$2:AO$1266,MATCH(Data!$DN259,'Data_Price '!$AT$2:$AT$1266,0))</f>
        <v>Ranger 94 Fr 177</v>
      </c>
      <c r="DG259" t="str">
        <f>INDEX('Data_Price '!AP$2:AP$1266,MATCH(Data!$DN259,'Data_Price '!$AT$2:$AT$1266,0))</f>
        <v>Pro Ski and Mountain Service</v>
      </c>
      <c r="DH259">
        <f>INDEX('Data_Price '!AQ$2:AQ$1266,MATCH(Data!$DN259,'Data_Price '!$AT$2:$AT$1266,0))</f>
        <v>699.99</v>
      </c>
      <c r="DI259" t="str">
        <f>INDEX('Data_Price '!AR$2:AR$1266,MATCH(Data!$DN259,'Data_Price '!$AT$2:$AT$1266,0))</f>
        <v>https://tinyurl.com/y8xf5hwy</v>
      </c>
      <c r="DJ259" s="89" t="str">
        <f t="shared" si="143"/>
        <v>https://tinyurl.com/ybjpobos</v>
      </c>
      <c r="DK259" s="89" t="str">
        <f t="shared" si="144"/>
        <v>https://tinyurl.com/y97owhyk</v>
      </c>
      <c r="DL259" s="89" t="str">
        <f t="shared" si="145"/>
        <v>https://tinyurl.com/y8xf5hwy</v>
      </c>
      <c r="DM259" s="219" t="str">
        <f t="shared" si="146"/>
        <v>Ranger 94 FR</v>
      </c>
      <c r="DN259" s="89" t="str">
        <f t="shared" si="147"/>
        <v xml:space="preserve"> FischerRanger 94 FR177 Unisex</v>
      </c>
      <c r="DO259" s="221"/>
    </row>
    <row r="260" spans="2:119" ht="15.6" customHeight="1">
      <c r="B260" s="219" t="b">
        <f t="array" ref="B260">IF(OR(ISERROR(K260:P260)),FALSE,TRUE)</f>
        <v>1</v>
      </c>
      <c r="C260" s="43" t="b">
        <f>OR(BR260=Driver!$G$50,Data!BR1263=Driver!$H$50)</f>
        <v>1</v>
      </c>
      <c r="D260" s="43" t="b">
        <f>OR(BV260=Driver!$G$51,BV260=Driver!$H$51)</f>
        <v>0</v>
      </c>
      <c r="E260" s="43" t="b">
        <f>AND(BX260&gt;Driver!$F$54,BX260&lt;Driver!$G$54)</f>
        <v>1</v>
      </c>
      <c r="F260" s="43" t="b">
        <f>CL260&gt;Driver!$F$56</f>
        <v>1</v>
      </c>
      <c r="G260" s="43" t="b">
        <f>AND(CB260&gt;Driver!$F$55,CB260&lt;Driver!$G$55)</f>
        <v>0</v>
      </c>
      <c r="H260" s="43" t="b">
        <f t="shared" si="111"/>
        <v>0</v>
      </c>
      <c r="I260" s="43">
        <f t="shared" si="112"/>
        <v>0</v>
      </c>
      <c r="J260" s="43" t="b">
        <f t="array" ref="J260">NOT(OR(($H$9:$H$1273=TRUE)*($I$9:$I$1273&gt;0)*($BT$9:$BT$1273=BT260)*($K$9:$K$1273&gt;K260)))</f>
        <v>1</v>
      </c>
      <c r="K260" s="72">
        <f t="shared" si="113"/>
        <v>0.82780721022257531</v>
      </c>
      <c r="L260" s="72">
        <f t="shared" si="114"/>
        <v>0.92562105482172308</v>
      </c>
      <c r="M260" s="72">
        <f t="shared" si="115"/>
        <v>0.72999336562342765</v>
      </c>
      <c r="N260" s="72">
        <f t="shared" si="116"/>
        <v>0.70688601831372522</v>
      </c>
      <c r="O260" s="72">
        <f t="shared" si="117"/>
        <v>0.59848251241111217</v>
      </c>
      <c r="P260" s="72">
        <f t="shared" si="118"/>
        <v>0.88461156614544556</v>
      </c>
      <c r="Q260" s="72"/>
      <c r="R260" s="72"/>
      <c r="S260" s="72">
        <f t="shared" si="119"/>
        <v>0.43103181865040929</v>
      </c>
      <c r="T260" s="72">
        <f t="shared" si="120"/>
        <v>0.51965618198782215</v>
      </c>
      <c r="U260" s="72">
        <f t="shared" si="121"/>
        <v>0.68327387195675804</v>
      </c>
      <c r="V260" s="72">
        <f t="shared" si="122"/>
        <v>0.56472336777977228</v>
      </c>
      <c r="W260" s="72">
        <f t="shared" si="123"/>
        <v>0.79712499999999997</v>
      </c>
      <c r="X260" s="72">
        <f t="shared" si="124"/>
        <v>7.4378945178276951E-2</v>
      </c>
      <c r="Y260" s="72">
        <f t="shared" si="125"/>
        <v>0.27000663437657241</v>
      </c>
      <c r="Z260" s="72">
        <f t="shared" si="126"/>
        <v>0.29311398168627478</v>
      </c>
      <c r="AA260" s="72">
        <f t="shared" si="127"/>
        <v>0.40151748758888789</v>
      </c>
      <c r="AB260" s="72">
        <f t="shared" si="128"/>
        <v>0.11538843385455444</v>
      </c>
      <c r="AC260" s="72"/>
      <c r="AD260" s="72"/>
      <c r="AE260" s="72">
        <f t="shared" si="129"/>
        <v>0.56896818134959071</v>
      </c>
      <c r="AF260" s="72">
        <f t="shared" si="130"/>
        <v>0.48034381801217785</v>
      </c>
      <c r="AG260" s="72">
        <f t="shared" si="131"/>
        <v>0.31672612804324196</v>
      </c>
      <c r="AH260" s="72">
        <f t="shared" si="132"/>
        <v>0.43527663222022778</v>
      </c>
      <c r="AI260" s="72">
        <f t="shared" si="133"/>
        <v>0.20287500000000003</v>
      </c>
      <c r="AJ260" s="72">
        <f>(AV260-Driver!$K$179)/(Driver!$L$179-Driver!$K$179)</f>
        <v>0.17984046410442348</v>
      </c>
      <c r="AK260" s="72">
        <f>(AW260-Driver!$K$180)/(Driver!$L$180-Driver!$K$180)</f>
        <v>0.37372955527625817</v>
      </c>
      <c r="AL260" s="72">
        <f>(AX260-Driver!$K$181)/(Driver!$L$181-Driver!$K$181)</f>
        <v>0.39480174539935498</v>
      </c>
      <c r="AM260" s="72">
        <f>(AY260-Driver!$K$182)/(Driver!$L$182-Driver!$K$182)</f>
        <v>4.586753350815849E-2</v>
      </c>
      <c r="AN260" s="72">
        <f>(AZ260-Driver!$K$183)/(Driver!$L$183-Driver!$K$183)</f>
        <v>0.36960784313725487</v>
      </c>
      <c r="AO260" s="72"/>
      <c r="AP260" s="72"/>
      <c r="AQ260" s="72">
        <f>(BC260-Driver!$K$188)/(Driver!$L$188-Driver!$K$188)</f>
        <v>5.1031818650409337E-2</v>
      </c>
      <c r="AR260" s="72">
        <f>MIN((BD260-Driver!$K$189)/(Driver!$L$189-Driver!$K$189),100%)</f>
        <v>6.965618198782221E-2</v>
      </c>
      <c r="AS260" s="72">
        <f>(BE260-Driver!$K$190)/(Driver!$L$190-Driver!$K$190)</f>
        <v>0.19327387195675802</v>
      </c>
      <c r="AT260" s="72">
        <f>(BF260-Driver!$K$191)/(Driver!$L$191-Driver!$K$191)</f>
        <v>7.4723367779772232E-2</v>
      </c>
      <c r="AU260" s="72">
        <f>(BG260-Driver!$K$192)/(Driver!$L$192-Driver!$K$192)</f>
        <v>4.7124999999999986E-2</v>
      </c>
      <c r="AV260" s="70">
        <f t="shared" si="134"/>
        <v>3.785103785103785</v>
      </c>
      <c r="AW260" s="70">
        <f t="shared" si="135"/>
        <v>38.29514936387114</v>
      </c>
      <c r="AX260" s="70">
        <f t="shared" si="136"/>
        <v>4.5532157085941947</v>
      </c>
      <c r="AY260" s="70">
        <f>IFERROR(Driver!$K$19/Data!BH260/Data!BI260*Data!BK260*Data!BL260,"")</f>
        <v>5.6155546565108405E-2</v>
      </c>
      <c r="AZ260" s="70">
        <f t="shared" si="137"/>
        <v>33.685778108711837</v>
      </c>
      <c r="BA260" s="70"/>
      <c r="BB260" s="70"/>
      <c r="BC260" s="70">
        <f t="shared" si="138"/>
        <v>26.470559101414981</v>
      </c>
      <c r="BD260" s="70">
        <f t="shared" si="139"/>
        <v>7.8852715665688597</v>
      </c>
      <c r="BE260" s="70">
        <f t="shared" si="140"/>
        <v>0.19341778281791158</v>
      </c>
      <c r="BF260" s="70">
        <f t="shared" si="141"/>
        <v>8.4394794293558775</v>
      </c>
      <c r="BG260" s="70">
        <f t="shared" si="142"/>
        <v>0.17844531249999995</v>
      </c>
      <c r="BH260" s="67">
        <f>MAX((CE260-Driver!$F$200)/(Driver!$G$200-Driver!$F$200)*$BI$1,1)</f>
        <v>4.5532157085941947</v>
      </c>
      <c r="BI260" s="67">
        <f>MAX($BI$1*(BY260-Driver!$F$201)/(Driver!$G$201-Driver!$F$201),1)</f>
        <v>6.5822784810126587</v>
      </c>
      <c r="BJ260" s="67">
        <f>(CB260-Driver!$F$206)/(Driver!$G$206-Driver!$F$206)*$BI$1</f>
        <v>4.92063492063492</v>
      </c>
      <c r="BK260" s="67">
        <f>(CD260-Driver!$F$203)/(Driver!$G$203-Driver!$F$203)*$BI$1</f>
        <v>1.7431192660550456</v>
      </c>
      <c r="BL260" s="67">
        <f>MAX((CR260-Driver!$F$202)/(Driver!$G$202-Driver!$F$202)*$BI$1,1)</f>
        <v>4.8275862068965516</v>
      </c>
      <c r="BM260" s="67">
        <f>MAX((CH260-Driver!$F$204)/(Driver!$G$204-Driver!$F$204)*$BI$1,1)</f>
        <v>3.0769230769230771</v>
      </c>
      <c r="BN260" s="67">
        <f>(CI260-Driver!$F$205)/(Driver!$G$205-Driver!$F$205)*$BI$1</f>
        <v>5.117647058823529</v>
      </c>
      <c r="BO260" s="67">
        <f>(CK260-Driver!$F$207)/(Driver!$G$207-Driver!$F$207)*$BI$1</f>
        <v>1.5201654601861427</v>
      </c>
      <c r="BP260" s="67">
        <f>(CM260-Driver!$F$208)/(Driver!$G$208-Driver!$F$208)*$BI$1</f>
        <v>1.9666666666666666</v>
      </c>
      <c r="BQ260" s="67">
        <f>(CL260-Driver!$F$209)/(Driver!$G$209-Driver!$F$209)*$BI$1</f>
        <v>2.5</v>
      </c>
      <c r="BR260" s="28" t="s">
        <v>155</v>
      </c>
      <c r="BS260" s="8" t="s">
        <v>229</v>
      </c>
      <c r="BT260" s="9" t="s">
        <v>319</v>
      </c>
      <c r="BU260" s="10">
        <v>156</v>
      </c>
      <c r="BV260" s="9" t="s">
        <v>163</v>
      </c>
      <c r="BW260" s="10">
        <v>156</v>
      </c>
      <c r="BX260" s="10">
        <v>155.80000000000001</v>
      </c>
      <c r="BY260" s="10">
        <v>112</v>
      </c>
      <c r="BZ260" s="10">
        <v>133</v>
      </c>
      <c r="CA260" s="10">
        <v>135</v>
      </c>
      <c r="CB260" s="10">
        <v>95</v>
      </c>
      <c r="CC260" s="10">
        <v>118</v>
      </c>
      <c r="CD260" s="10">
        <v>13.2</v>
      </c>
      <c r="CE260" s="10">
        <v>1700</v>
      </c>
      <c r="CF260" s="10">
        <v>0.99</v>
      </c>
      <c r="CG260" s="10">
        <v>1679</v>
      </c>
      <c r="CH260" s="10">
        <v>173</v>
      </c>
      <c r="CI260" s="10">
        <v>120</v>
      </c>
      <c r="CJ260" s="10">
        <v>44</v>
      </c>
      <c r="CK260" s="10">
        <v>257</v>
      </c>
      <c r="CL260" s="10">
        <v>16</v>
      </c>
      <c r="CM260" s="10">
        <v>177</v>
      </c>
      <c r="CN260" s="10">
        <v>0.35699999999999998</v>
      </c>
      <c r="CO260" s="10">
        <v>125</v>
      </c>
      <c r="CP260" s="10">
        <v>101</v>
      </c>
      <c r="CQ260" s="10">
        <v>132</v>
      </c>
      <c r="CR260" s="10">
        <v>3</v>
      </c>
      <c r="CS260" s="10">
        <v>11.8</v>
      </c>
      <c r="CT260" s="9" t="s">
        <v>188</v>
      </c>
      <c r="CU260" s="10"/>
      <c r="CV260" s="10"/>
      <c r="CW260" s="10"/>
      <c r="CX260" t="e">
        <f>INDEX('Data_Price '!AG$2:AG$1266,MATCH(Data!$DN260,'Data_Price '!$AT$2:$AT$1266,0))</f>
        <v>#N/A</v>
      </c>
      <c r="CY260" t="e">
        <f>INDEX('Data_Price '!AH$2:AH$1266,MATCH(Data!$DN260,'Data_Price '!$AT$2:$AT$1266,0))</f>
        <v>#N/A</v>
      </c>
      <c r="CZ260" t="e">
        <f>INDEX('Data_Price '!AI$2:AI$1266,MATCH(Data!$DN260,'Data_Price '!$AT$2:$AT$1266,0))</f>
        <v>#N/A</v>
      </c>
      <c r="DA260" t="e">
        <f>INDEX('Data_Price '!AJ$2:AJ$1266,MATCH(Data!$DN260,'Data_Price '!$AT$2:$AT$1266,0))</f>
        <v>#N/A</v>
      </c>
      <c r="DB260" t="e">
        <f>INDEX('Data_Price '!AK$2:AK$1266,MATCH(Data!$DN260,'Data_Price '!$AT$2:$AT$1266,0))</f>
        <v>#N/A</v>
      </c>
      <c r="DC260" t="e">
        <f>INDEX('Data_Price '!AL$2:AL$1266,MATCH(Data!$DN260,'Data_Price '!$AT$2:$AT$1266,0))</f>
        <v>#N/A</v>
      </c>
      <c r="DD260" t="e">
        <f>INDEX('Data_Price '!AM$2:AM$1266,MATCH(Data!$DN260,'Data_Price '!$AT$2:$AT$1266,0))</f>
        <v>#N/A</v>
      </c>
      <c r="DE260" t="e">
        <f>INDEX('Data_Price '!AN$2:AN$1266,MATCH(Data!$DN260,'Data_Price '!$AT$2:$AT$1266,0))</f>
        <v>#N/A</v>
      </c>
      <c r="DF260" t="e">
        <f>INDEX('Data_Price '!AO$2:AO$1266,MATCH(Data!$DN260,'Data_Price '!$AT$2:$AT$1266,0))</f>
        <v>#N/A</v>
      </c>
      <c r="DG260" t="e">
        <f>INDEX('Data_Price '!AP$2:AP$1266,MATCH(Data!$DN260,'Data_Price '!$AT$2:$AT$1266,0))</f>
        <v>#N/A</v>
      </c>
      <c r="DH260" t="e">
        <f>INDEX('Data_Price '!AQ$2:AQ$1266,MATCH(Data!$DN260,'Data_Price '!$AT$2:$AT$1266,0))</f>
        <v>#N/A</v>
      </c>
      <c r="DI260" t="e">
        <f>INDEX('Data_Price '!AR$2:AR$1266,MATCH(Data!$DN260,'Data_Price '!$AT$2:$AT$1266,0))</f>
        <v>#N/A</v>
      </c>
      <c r="DJ260" s="89" t="e">
        <f t="shared" si="143"/>
        <v>#N/A</v>
      </c>
      <c r="DK260" s="89" t="e">
        <f t="shared" si="144"/>
        <v>#N/A</v>
      </c>
      <c r="DL260" s="89" t="e">
        <f t="shared" si="145"/>
        <v>#N/A</v>
      </c>
      <c r="DM260" s="219" t="str">
        <f t="shared" si="146"/>
        <v>Secret 96</v>
      </c>
      <c r="DN260" s="89" t="str">
        <f t="shared" si="147"/>
        <v xml:space="preserve"> VölklSecret 96156 Women's</v>
      </c>
      <c r="DO260" s="221" t="s">
        <v>320</v>
      </c>
    </row>
    <row r="261" spans="2:119" ht="15.6" customHeight="1">
      <c r="B261" s="219" t="b">
        <f t="array" ref="B261">IF(OR(ISERROR(K261:P261)),FALSE,TRUE)</f>
        <v>1</v>
      </c>
      <c r="C261" s="43" t="b">
        <f>OR(BR261=Driver!$G$50,Data!BR858=Driver!$H$50)</f>
        <v>1</v>
      </c>
      <c r="D261" s="43" t="b">
        <f>OR(BV261=Driver!$G$51,BV261=Driver!$H$51)</f>
        <v>1</v>
      </c>
      <c r="E261" s="43" t="b">
        <f>AND(BX261&gt;Driver!$F$54,BX261&lt;Driver!$G$54)</f>
        <v>0</v>
      </c>
      <c r="F261" s="43" t="b">
        <f>CL261&gt;Driver!$F$56</f>
        <v>0</v>
      </c>
      <c r="G261" s="43" t="b">
        <f>AND(CB261&gt;Driver!$F$55,CB261&lt;Driver!$G$55)</f>
        <v>1</v>
      </c>
      <c r="H261" s="43" t="b">
        <f t="shared" si="111"/>
        <v>0</v>
      </c>
      <c r="I261" s="43">
        <f t="shared" si="112"/>
        <v>0</v>
      </c>
      <c r="J261" s="43" t="b">
        <f t="array" ref="J261">NOT(OR(($H$9:$H$1273=TRUE)*($I$9:$I$1273&gt;0)*($BT$9:$BT$1273=BT261)*($K$9:$K$1273&gt;K261)))</f>
        <v>1</v>
      </c>
      <c r="K261" s="72">
        <f t="shared" si="113"/>
        <v>0.82545575608407207</v>
      </c>
      <c r="L261" s="72">
        <f t="shared" si="114"/>
        <v>0.88759027567419269</v>
      </c>
      <c r="M261" s="72">
        <f t="shared" si="115"/>
        <v>0.76332123649395134</v>
      </c>
      <c r="N261" s="72">
        <f t="shared" si="116"/>
        <v>0.69423819690096344</v>
      </c>
      <c r="O261" s="72">
        <f t="shared" si="117"/>
        <v>0.61025610329819036</v>
      </c>
      <c r="P261" s="72">
        <f t="shared" si="118"/>
        <v>0.98546940928270033</v>
      </c>
      <c r="Q261" s="72"/>
      <c r="R261" s="72"/>
      <c r="S261" s="72">
        <f t="shared" si="119"/>
        <v>0.42298189899513272</v>
      </c>
      <c r="T261" s="72">
        <f t="shared" si="120"/>
        <v>0.47047268977821444</v>
      </c>
      <c r="U261" s="72" t="e">
        <f t="shared" si="121"/>
        <v>#VALUE!</v>
      </c>
      <c r="V261" s="72">
        <f t="shared" si="122"/>
        <v>0.49</v>
      </c>
      <c r="W261" s="72">
        <f t="shared" si="123"/>
        <v>0.75</v>
      </c>
      <c r="X261" s="72">
        <f t="shared" si="124"/>
        <v>0.11240972432580737</v>
      </c>
      <c r="Y261" s="72">
        <f t="shared" si="125"/>
        <v>0.23667876350604863</v>
      </c>
      <c r="Z261" s="72">
        <f t="shared" si="126"/>
        <v>0.3057618030990365</v>
      </c>
      <c r="AA261" s="72">
        <f t="shared" si="127"/>
        <v>0.3897438967018097</v>
      </c>
      <c r="AB261" s="72">
        <f t="shared" si="128"/>
        <v>1.4530590717299618E-2</v>
      </c>
      <c r="AC261" s="72"/>
      <c r="AD261" s="72"/>
      <c r="AE261" s="72">
        <f t="shared" si="129"/>
        <v>0.57701810100486728</v>
      </c>
      <c r="AF261" s="72">
        <f t="shared" si="130"/>
        <v>0.52952731022178556</v>
      </c>
      <c r="AG261" s="72" t="e">
        <f t="shared" si="131"/>
        <v>#VALUE!</v>
      </c>
      <c r="AH261" s="72">
        <f t="shared" si="132"/>
        <v>0.51</v>
      </c>
      <c r="AI261" s="72">
        <f t="shared" si="133"/>
        <v>0.25</v>
      </c>
      <c r="AJ261" s="72">
        <f>(AV261-Driver!$K$179)/(Driver!$L$179-Driver!$K$179)</f>
        <v>0.14180968495689306</v>
      </c>
      <c r="AK261" s="72">
        <f>(AW261-Driver!$K$180)/(Driver!$L$180-Driver!$K$180)</f>
        <v>0.280727622379215</v>
      </c>
      <c r="AL261" s="72">
        <f>(AX261-Driver!$K$181)/(Driver!$L$181-Driver!$K$181)</f>
        <v>0.40744956681211669</v>
      </c>
      <c r="AM261" s="72">
        <f>(AY261-Driver!$K$182)/(Driver!$L$182-Driver!$K$182)</f>
        <v>5.7641124395236679E-2</v>
      </c>
      <c r="AN261" s="72">
        <f>(AZ261-Driver!$K$183)/(Driver!$L$183-Driver!$K$183)</f>
        <v>0.26875000000000004</v>
      </c>
      <c r="AO261" s="72"/>
      <c r="AP261" s="72"/>
      <c r="AQ261" s="72">
        <f>(BC261-Driver!$K$188)/(Driver!$L$188-Driver!$K$188)</f>
        <v>4.2981898995132738E-2</v>
      </c>
      <c r="AR261" s="72">
        <f>MIN((BD261-Driver!$K$189)/(Driver!$L$189-Driver!$K$189),100%)</f>
        <v>2.0472689778214495E-2</v>
      </c>
      <c r="AS261" s="72" t="e">
        <f>(BE261-Driver!$K$190)/(Driver!$L$190-Driver!$K$190)</f>
        <v>#VALUE!</v>
      </c>
      <c r="AT261" s="72">
        <f>(BF261-Driver!$K$191)/(Driver!$L$191-Driver!$K$191)</f>
        <v>0</v>
      </c>
      <c r="AU261" s="72">
        <f>(BG261-Driver!$K$192)/(Driver!$L$192-Driver!$K$192)</f>
        <v>0</v>
      </c>
      <c r="AV261" s="70">
        <f t="shared" si="134"/>
        <v>2.984669651336318</v>
      </c>
      <c r="AW261" s="70">
        <f t="shared" si="135"/>
        <v>29.231286922096366</v>
      </c>
      <c r="AX261" s="70">
        <f t="shared" si="136"/>
        <v>4.6670461013090501</v>
      </c>
      <c r="AY261" s="70">
        <f>IFERROR(Driver!$K$19/Data!BH261/Data!BI261*Data!BK261*Data!BL261,"")</f>
        <v>7.0569934711361262E-2</v>
      </c>
      <c r="AZ261" s="70">
        <f t="shared" si="137"/>
        <v>24.493670886075954</v>
      </c>
      <c r="BA261" s="70"/>
      <c r="BB261" s="70"/>
      <c r="BC261" s="70">
        <f t="shared" si="138"/>
        <v>22.295009814089472</v>
      </c>
      <c r="BD261" s="70">
        <f t="shared" si="139"/>
        <v>3.5326196540099546</v>
      </c>
      <c r="BE261" s="70" t="str">
        <f t="shared" si="140"/>
        <v/>
      </c>
      <c r="BF261" s="70">
        <f t="shared" si="141"/>
        <v>0</v>
      </c>
      <c r="BG261" s="70">
        <f t="shared" si="142"/>
        <v>0</v>
      </c>
      <c r="BH261" s="67">
        <f>MAX((CE261-Driver!$F$200)/(Driver!$G$200-Driver!$F$200)*$BI$1,1)</f>
        <v>4.6670461013090501</v>
      </c>
      <c r="BI261" s="67">
        <f>MAX($BI$1*(BY261-Driver!$F$201)/(Driver!$G$201-Driver!$F$201),1)</f>
        <v>8.1645569620253173</v>
      </c>
      <c r="BJ261" s="67">
        <f>(CB261-Driver!$F$206)/(Driver!$G$206-Driver!$F$206)*$BI$1</f>
        <v>6.3492063492063489</v>
      </c>
      <c r="BK261" s="67">
        <f>(CD261-Driver!$F$203)/(Driver!$G$203-Driver!$F$203)*$BI$1</f>
        <v>2.2935779816513766</v>
      </c>
      <c r="BL261" s="67">
        <f>MAX((CR261-Driver!$F$202)/(Driver!$G$202-Driver!$F$202)*$BI$1,1)</f>
        <v>5.8620689655172411</v>
      </c>
      <c r="BM261" s="67">
        <f>MAX((CH261-Driver!$F$204)/(Driver!$G$204-Driver!$F$204)*$BI$1,1)</f>
        <v>1.8803418803418803</v>
      </c>
      <c r="BN261" s="67">
        <f>(CI261-Driver!$F$205)/(Driver!$G$205-Driver!$F$205)*$BI$1</f>
        <v>3</v>
      </c>
      <c r="BO261" s="67">
        <f>(CK261-Driver!$F$207)/(Driver!$G$207-Driver!$F$207)*$BI$1</f>
        <v>2.6680455015511892</v>
      </c>
      <c r="BP261" s="67">
        <f>(CM261-Driver!$F$208)/(Driver!$G$208-Driver!$F$208)*$BI$1</f>
        <v>0</v>
      </c>
      <c r="BQ261" s="67">
        <f>(CL261-Driver!$F$209)/(Driver!$G$209-Driver!$F$209)*$BI$1</f>
        <v>0</v>
      </c>
      <c r="BR261" s="28" t="s">
        <v>155</v>
      </c>
      <c r="BS261" s="8" t="s">
        <v>208</v>
      </c>
      <c r="BT261" s="9" t="s">
        <v>452</v>
      </c>
      <c r="BU261" s="10">
        <v>174</v>
      </c>
      <c r="BV261" s="9" t="s">
        <v>158</v>
      </c>
      <c r="BW261" s="10">
        <v>174</v>
      </c>
      <c r="BX261" s="10">
        <v>174</v>
      </c>
      <c r="BY261" s="10">
        <v>137</v>
      </c>
      <c r="BZ261" s="10">
        <v>142</v>
      </c>
      <c r="CA261" s="10">
        <v>149</v>
      </c>
      <c r="CB261" s="10">
        <v>104</v>
      </c>
      <c r="CC261" s="10">
        <v>128</v>
      </c>
      <c r="CD261" s="10">
        <v>14.4</v>
      </c>
      <c r="CE261" s="10">
        <v>1720</v>
      </c>
      <c r="CF261" s="10">
        <v>1.17</v>
      </c>
      <c r="CG261" s="10">
        <v>2017</v>
      </c>
      <c r="CH261" s="10">
        <v>145</v>
      </c>
      <c r="CI261" s="10">
        <v>84</v>
      </c>
      <c r="CJ261" s="10">
        <v>48</v>
      </c>
      <c r="CK261" s="10">
        <v>368</v>
      </c>
      <c r="CL261" s="10">
        <v>0</v>
      </c>
      <c r="CM261" s="10">
        <v>0</v>
      </c>
      <c r="CN261" s="10">
        <v>1E-3</v>
      </c>
      <c r="CO261" s="10">
        <v>169</v>
      </c>
      <c r="CP261" s="10">
        <v>148</v>
      </c>
      <c r="CQ261" s="10">
        <v>200</v>
      </c>
      <c r="CR261" s="10">
        <v>6</v>
      </c>
      <c r="CS261" s="10">
        <v>10.7</v>
      </c>
      <c r="CT261" s="9" t="s">
        <v>188</v>
      </c>
      <c r="CU261" s="9" t="s">
        <v>178</v>
      </c>
      <c r="CV261" s="9" t="s">
        <v>185</v>
      </c>
      <c r="CW261" s="10"/>
      <c r="CX261" t="str">
        <f>INDEX('Data_Price '!AG$2:AG$1266,MATCH(Data!$DN261,'Data_Price '!$AT$2:$AT$1266,0))</f>
        <v>Line Skis Sakana</v>
      </c>
      <c r="CY261" t="str">
        <f>INDEX('Data_Price '!AH$2:AH$1266,MATCH(Data!$DN261,'Data_Price '!$AT$2:$AT$1266,0))</f>
        <v>H2Osport.se</v>
      </c>
      <c r="CZ261">
        <f>INDEX('Data_Price '!AI$2:AI$1266,MATCH(Data!$DN261,'Data_Price '!$AT$2:$AT$1266,0))</f>
        <v>412.86</v>
      </c>
      <c r="DA261" t="str">
        <f>INDEX('Data_Price '!AJ$2:AJ$1266,MATCH(Data!$DN261,'Data_Price '!$AT$2:$AT$1266,0))</f>
        <v>https://tinyurl.com/ydhbxwdo</v>
      </c>
      <c r="DB261" t="str">
        <f>INDEX('Data_Price '!AK$2:AK$1266,MATCH(Data!$DN261,'Data_Price '!$AT$2:$AT$1266,0))</f>
        <v>Line SAKANA Skis 2022</v>
      </c>
      <c r="DC261" t="str">
        <f>INDEX('Data_Price '!AL$2:AL$1266,MATCH(Data!$DN261,'Data_Price '!$AT$2:$AT$1266,0))</f>
        <v>PRFO Sports</v>
      </c>
      <c r="DD261">
        <f>INDEX('Data_Price '!AM$2:AM$1266,MATCH(Data!$DN261,'Data_Price '!$AT$2:$AT$1266,0))</f>
        <v>513.27</v>
      </c>
      <c r="DE261" t="str">
        <f>INDEX('Data_Price '!AN$2:AN$1266,MATCH(Data!$DN261,'Data_Price '!$AT$2:$AT$1266,0))</f>
        <v>https://tinyurl.com/yc35sd4d</v>
      </c>
      <c r="DF261" t="str">
        <f>INDEX('Data_Price '!AO$2:AO$1266,MATCH(Data!$DN261,'Data_Price '!$AT$2:$AT$1266,0))</f>
        <v>Line Skis Sakana</v>
      </c>
      <c r="DG261" t="str">
        <f>INDEX('Data_Price '!AP$2:AP$1266,MATCH(Data!$DN261,'Data_Price '!$AT$2:$AT$1266,0))</f>
        <v>LINE Skis</v>
      </c>
      <c r="DH261">
        <f>INDEX('Data_Price '!AQ$2:AQ$1266,MATCH(Data!$DN261,'Data_Price '!$AT$2:$AT$1266,0))</f>
        <v>749.95</v>
      </c>
      <c r="DI261" t="str">
        <f>INDEX('Data_Price '!AR$2:AR$1266,MATCH(Data!$DN261,'Data_Price '!$AT$2:$AT$1266,0))</f>
        <v>https://tinyurl.com/ycdfcqvy</v>
      </c>
      <c r="DJ261" s="89" t="str">
        <f t="shared" si="143"/>
        <v>https://tinyurl.com/ydhbxwdo</v>
      </c>
      <c r="DK261" s="89" t="str">
        <f t="shared" si="144"/>
        <v>https://tinyurl.com/yc35sd4d</v>
      </c>
      <c r="DL261" s="89" t="str">
        <f t="shared" si="145"/>
        <v>https://tinyurl.com/ycdfcqvy</v>
      </c>
      <c r="DM261" s="219" t="str">
        <f t="shared" si="146"/>
        <v>Sakana</v>
      </c>
      <c r="DN261" s="89" t="str">
        <f t="shared" si="147"/>
        <v xml:space="preserve"> LineSakana174 Unisex</v>
      </c>
      <c r="DO261" s="221" t="s">
        <v>453</v>
      </c>
    </row>
    <row r="262" spans="2:119" ht="15.6" customHeight="1">
      <c r="B262" s="219" t="b">
        <f t="array" ref="B262">IF(OR(ISERROR(K262:P262)),FALSE,TRUE)</f>
        <v>1</v>
      </c>
      <c r="C262" s="43" t="b">
        <f>OR(BR262=Driver!$G$50,Data!BR613=Driver!$H$50)</f>
        <v>1</v>
      </c>
      <c r="D262" s="43" t="b">
        <f>OR(BV262=Driver!$G$51,BV262=Driver!$H$51)</f>
        <v>0</v>
      </c>
      <c r="E262" s="43" t="b">
        <f>AND(BX262&gt;Driver!$F$54,BX262&lt;Driver!$G$54)</f>
        <v>1</v>
      </c>
      <c r="F262" s="43" t="b">
        <f>CL262&gt;Driver!$F$56</f>
        <v>1</v>
      </c>
      <c r="G262" s="43" t="b">
        <f>AND(CB262&gt;Driver!$F$55,CB262&lt;Driver!$G$55)</f>
        <v>0</v>
      </c>
      <c r="H262" s="43" t="b">
        <f t="shared" si="111"/>
        <v>0</v>
      </c>
      <c r="I262" s="43">
        <f t="shared" si="112"/>
        <v>0</v>
      </c>
      <c r="J262" s="43" t="b">
        <f t="array" ref="J262">NOT(OR(($H$9:$H$1273=TRUE)*($I$9:$I$1273&gt;0)*($BT$9:$BT$1273=BT262)*($K$9:$K$1273&gt;K262)))</f>
        <v>1</v>
      </c>
      <c r="K262" s="72">
        <f t="shared" si="113"/>
        <v>0.85906035897721389</v>
      </c>
      <c r="L262" s="72">
        <f t="shared" si="114"/>
        <v>0.90241583364695876</v>
      </c>
      <c r="M262" s="72">
        <f t="shared" si="115"/>
        <v>0.8157048843074689</v>
      </c>
      <c r="N262" s="72">
        <f t="shared" si="116"/>
        <v>0.86877813239707435</v>
      </c>
      <c r="O262" s="72">
        <f t="shared" si="117"/>
        <v>0.63294064065439659</v>
      </c>
      <c r="P262" s="72">
        <f t="shared" si="118"/>
        <v>0.94539587987093576</v>
      </c>
      <c r="Q262" s="72"/>
      <c r="R262" s="72"/>
      <c r="S262" s="72">
        <f t="shared" si="119"/>
        <v>0.4433198245351555</v>
      </c>
      <c r="T262" s="72">
        <f t="shared" si="120"/>
        <v>0.598515903392971</v>
      </c>
      <c r="U262" s="72">
        <f t="shared" si="121"/>
        <v>0.58994711213541495</v>
      </c>
      <c r="V262" s="72">
        <f t="shared" si="122"/>
        <v>0.50989415773401481</v>
      </c>
      <c r="W262" s="72">
        <f t="shared" si="123"/>
        <v>0.78176317401960782</v>
      </c>
      <c r="X262" s="72">
        <f t="shared" si="124"/>
        <v>9.7584166353041263E-2</v>
      </c>
      <c r="Y262" s="72">
        <f t="shared" si="125"/>
        <v>0.1842951156925311</v>
      </c>
      <c r="Z262" s="72">
        <f t="shared" si="126"/>
        <v>0.13122186760292565</v>
      </c>
      <c r="AA262" s="72">
        <f t="shared" si="127"/>
        <v>0.36705935934560341</v>
      </c>
      <c r="AB262" s="72">
        <f t="shared" si="128"/>
        <v>5.4604120129064238E-2</v>
      </c>
      <c r="AC262" s="72"/>
      <c r="AD262" s="72"/>
      <c r="AE262" s="72">
        <f t="shared" si="129"/>
        <v>0.5566801754648445</v>
      </c>
      <c r="AF262" s="72">
        <f t="shared" si="130"/>
        <v>0.40148409660702894</v>
      </c>
      <c r="AG262" s="72">
        <f t="shared" si="131"/>
        <v>0.41005288786458505</v>
      </c>
      <c r="AH262" s="72">
        <f t="shared" si="132"/>
        <v>0.49010584226598514</v>
      </c>
      <c r="AI262" s="72">
        <f t="shared" si="133"/>
        <v>0.21823682598039218</v>
      </c>
      <c r="AJ262" s="72">
        <f>(AV262-Driver!$K$179)/(Driver!$L$179-Driver!$K$179)</f>
        <v>0.15663524292965916</v>
      </c>
      <c r="AK262" s="72">
        <f>(AW262-Driver!$K$180)/(Driver!$L$180-Driver!$K$180)</f>
        <v>0.30236941295792613</v>
      </c>
      <c r="AL262" s="72">
        <f>(AX262-Driver!$K$181)/(Driver!$L$181-Driver!$K$181)</f>
        <v>0.23290963131600584</v>
      </c>
      <c r="AM262" s="72">
        <f>(AY262-Driver!$K$182)/(Driver!$L$182-Driver!$K$182)</f>
        <v>8.0325661751442984E-2</v>
      </c>
      <c r="AN262" s="72">
        <f>(AZ262-Driver!$K$183)/(Driver!$L$183-Driver!$K$183)</f>
        <v>0.30882352941176466</v>
      </c>
      <c r="AO262" s="72"/>
      <c r="AP262" s="72"/>
      <c r="AQ262" s="72">
        <f>(BC262-Driver!$K$188)/(Driver!$L$188-Driver!$K$188)</f>
        <v>6.3319824535155445E-2</v>
      </c>
      <c r="AR262" s="72">
        <f>MIN((BD262-Driver!$K$189)/(Driver!$L$189-Driver!$K$189),100%)</f>
        <v>0.1485159033929711</v>
      </c>
      <c r="AS262" s="72">
        <f>(BE262-Driver!$K$190)/(Driver!$L$190-Driver!$K$190)</f>
        <v>0.92005288786458506</v>
      </c>
      <c r="AT262" s="72">
        <f>(BF262-Driver!$K$191)/(Driver!$L$191-Driver!$K$191)</f>
        <v>1.9894157734014869E-2</v>
      </c>
      <c r="AU262" s="72">
        <f>(BG262-Driver!$K$192)/(Driver!$L$192-Driver!$K$192)</f>
        <v>3.1763174019607834E-2</v>
      </c>
      <c r="AV262" s="70">
        <f t="shared" si="134"/>
        <v>3.2967032967032965</v>
      </c>
      <c r="AW262" s="70">
        <f t="shared" si="135"/>
        <v>31.340471179764322</v>
      </c>
      <c r="AX262" s="70">
        <f t="shared" si="136"/>
        <v>3.0961866818440527</v>
      </c>
      <c r="AY262" s="70">
        <f>IFERROR(Driver!$K$19/Data!BH262/Data!BI262*Data!BK262*Data!BL262,"")</f>
        <v>9.8342576848043872E-2</v>
      </c>
      <c r="AZ262" s="70">
        <f t="shared" si="137"/>
        <v>28.145941921072225</v>
      </c>
      <c r="BA262" s="70"/>
      <c r="BB262" s="70"/>
      <c r="BC262" s="70">
        <f t="shared" si="138"/>
        <v>32.844433178663799</v>
      </c>
      <c r="BD262" s="70">
        <f t="shared" si="139"/>
        <v>14.864217179766534</v>
      </c>
      <c r="BE262" s="70">
        <f t="shared" si="140"/>
        <v>0.92006714952954693</v>
      </c>
      <c r="BF262" s="70">
        <f t="shared" si="141"/>
        <v>2.246905351688786</v>
      </c>
      <c r="BG262" s="70">
        <f t="shared" si="142"/>
        <v>0.12027563955269605</v>
      </c>
      <c r="BH262" s="67">
        <f>MAX((CE262-Driver!$F$200)/(Driver!$G$200-Driver!$F$200)*$BI$1,1)</f>
        <v>3.0961866818440527</v>
      </c>
      <c r="BI262" s="67">
        <f>MAX($BI$1*(BY262-Driver!$F$201)/(Driver!$G$201-Driver!$F$201),1)</f>
        <v>7.5949367088607591</v>
      </c>
      <c r="BJ262" s="67">
        <f>(CB262-Driver!$F$206)/(Driver!$G$206-Driver!$F$206)*$BI$1</f>
        <v>2.8571428571428568</v>
      </c>
      <c r="BK262" s="67">
        <f>(CD262-Driver!$F$203)/(Driver!$G$203-Driver!$F$203)*$BI$1</f>
        <v>1.9724770642201834</v>
      </c>
      <c r="BL262" s="67">
        <f>MAX((CR262-Driver!$F$202)/(Driver!$G$202-Driver!$F$202)*$BI$1,1)</f>
        <v>5.8620689655172411</v>
      </c>
      <c r="BM262" s="67">
        <f>MAX((CH262-Driver!$F$204)/(Driver!$G$204-Driver!$F$204)*$BI$1,1)</f>
        <v>4.6153846153846159</v>
      </c>
      <c r="BN262" s="67">
        <f>(CI262-Driver!$F$205)/(Driver!$G$205-Driver!$F$205)*$BI$1</f>
        <v>3.7058823529411766</v>
      </c>
      <c r="BO262" s="67">
        <f>(CK262-Driver!$F$207)/(Driver!$G$207-Driver!$F$207)*$BI$1</f>
        <v>1.0341261633919339</v>
      </c>
      <c r="BP262" s="67">
        <f>(CM262-Driver!$F$208)/(Driver!$G$208-Driver!$F$208)*$BI$1</f>
        <v>1.5</v>
      </c>
      <c r="BQ262" s="67">
        <f>(CL262-Driver!$F$209)/(Driver!$G$209-Driver!$F$209)*$BI$1</f>
        <v>1.71875</v>
      </c>
      <c r="BR262" s="28" t="s">
        <v>155</v>
      </c>
      <c r="BS262" s="8" t="s">
        <v>167</v>
      </c>
      <c r="BT262" s="9" t="s">
        <v>466</v>
      </c>
      <c r="BU262" s="10">
        <v>163</v>
      </c>
      <c r="BV262" s="9" t="s">
        <v>163</v>
      </c>
      <c r="BW262" s="10">
        <v>163</v>
      </c>
      <c r="BX262" s="10">
        <v>162.6</v>
      </c>
      <c r="BY262" s="10">
        <v>128</v>
      </c>
      <c r="BZ262" s="10">
        <v>135</v>
      </c>
      <c r="CA262" s="10">
        <v>123</v>
      </c>
      <c r="CB262" s="10">
        <v>82</v>
      </c>
      <c r="CC262" s="10">
        <v>104</v>
      </c>
      <c r="CD262" s="10">
        <v>13.7</v>
      </c>
      <c r="CE262" s="10">
        <v>1444</v>
      </c>
      <c r="CF262" s="10">
        <v>1.08</v>
      </c>
      <c r="CG262" s="10">
        <v>1555</v>
      </c>
      <c r="CH262" s="10">
        <v>209</v>
      </c>
      <c r="CI262" s="10">
        <v>96</v>
      </c>
      <c r="CJ262" s="10">
        <v>45</v>
      </c>
      <c r="CK262" s="10">
        <v>210</v>
      </c>
      <c r="CL262" s="10">
        <v>11</v>
      </c>
      <c r="CM262" s="10">
        <v>135</v>
      </c>
      <c r="CN262" s="10">
        <v>0.23799999999999999</v>
      </c>
      <c r="CO262" s="10">
        <v>140</v>
      </c>
      <c r="CP262" s="10">
        <v>132</v>
      </c>
      <c r="CQ262" s="10">
        <v>70</v>
      </c>
      <c r="CR262" s="10">
        <v>6</v>
      </c>
      <c r="CS262" s="10">
        <v>8.6999999999999993</v>
      </c>
      <c r="CT262" s="9" t="s">
        <v>231</v>
      </c>
      <c r="CU262" s="9" t="s">
        <v>188</v>
      </c>
      <c r="CV262" s="9" t="s">
        <v>185</v>
      </c>
      <c r="CW262" s="10"/>
      <c r="CX262" t="str">
        <f>INDEX('Data_Price '!AG$2:AG$1266,MATCH(Data!$DN262,'Data_Price '!$AT$2:$AT$1266,0))</f>
        <v>Head Kore 85 W Skis</v>
      </c>
      <c r="CY262" t="str">
        <f>INDEX('Data_Price '!AH$2:AH$1266,MATCH(Data!$DN262,'Data_Price '!$AT$2:$AT$1266,0))</f>
        <v>Cole Sport</v>
      </c>
      <c r="CZ262">
        <f>INDEX('Data_Price '!AI$2:AI$1266,MATCH(Data!$DN262,'Data_Price '!$AT$2:$AT$1266,0))</f>
        <v>489</v>
      </c>
      <c r="DA262" t="str">
        <f>INDEX('Data_Price '!AJ$2:AJ$1266,MATCH(Data!$DN262,'Data_Price '!$AT$2:$AT$1266,0))</f>
        <v>https://tinyurl.com/yc565p3m</v>
      </c>
      <c r="DB262" t="str">
        <f>INDEX('Data_Price '!AK$2:AK$1266,MATCH(Data!$DN262,'Data_Price '!$AT$2:$AT$1266,0))</f>
        <v>Head Kore 85 W Skis 2022 163cm</v>
      </c>
      <c r="DC262" t="str">
        <f>INDEX('Data_Price '!AL$2:AL$1266,MATCH(Data!$DN262,'Data_Price '!$AT$2:$AT$1266,0))</f>
        <v>The Startingate</v>
      </c>
      <c r="DD262">
        <f>INDEX('Data_Price '!AM$2:AM$1266,MATCH(Data!$DN262,'Data_Price '!$AT$2:$AT$1266,0))</f>
        <v>549</v>
      </c>
      <c r="DE262" t="str">
        <f>INDEX('Data_Price '!AN$2:AN$1266,MATCH(Data!$DN262,'Data_Price '!$AT$2:$AT$1266,0))</f>
        <v>https://tinyurl.com/y7lxxmtv</v>
      </c>
      <c r="DF262" t="str">
        <f>INDEX('Data_Price '!AO$2:AO$1266,MATCH(Data!$DN262,'Data_Price '!$AT$2:$AT$1266,0))</f>
        <v>Head Kore 85 W Incl Attack 11 GW Binding Anthracite-Berry 163 Ski Lady's Ladies / Women</v>
      </c>
      <c r="DG262" t="str">
        <f>INDEX('Data_Price '!AP$2:AP$1266,MATCH(Data!$DN262,'Data_Price '!$AT$2:$AT$1266,0))</f>
        <v>! OutdoorXL.com</v>
      </c>
      <c r="DH262">
        <f>INDEX('Data_Price '!AQ$2:AQ$1266,MATCH(Data!$DN262,'Data_Price '!$AT$2:$AT$1266,0))</f>
        <v>609.95000000000005</v>
      </c>
      <c r="DI262" t="str">
        <f>INDEX('Data_Price '!AR$2:AR$1266,MATCH(Data!$DN262,'Data_Price '!$AT$2:$AT$1266,0))</f>
        <v>https://tinyurl.com/y8kghqwn</v>
      </c>
      <c r="DJ262" s="89" t="str">
        <f t="shared" si="143"/>
        <v>https://tinyurl.com/yc565p3m</v>
      </c>
      <c r="DK262" s="89" t="str">
        <f t="shared" si="144"/>
        <v>https://tinyurl.com/y7lxxmtv</v>
      </c>
      <c r="DL262" s="89" t="str">
        <f t="shared" si="145"/>
        <v>https://tinyurl.com/y8kghqwn</v>
      </c>
      <c r="DM262" s="219" t="str">
        <f t="shared" si="146"/>
        <v>Kore 85 W</v>
      </c>
      <c r="DN262" s="89" t="str">
        <f t="shared" si="147"/>
        <v xml:space="preserve"> HeadKore 85 W163 Women's</v>
      </c>
      <c r="DO262" s="221"/>
    </row>
    <row r="263" spans="2:119" ht="15.6" customHeight="1">
      <c r="B263" s="219" t="b">
        <f t="array" ref="B263">IF(OR(ISERROR(K263:P263)),FALSE,TRUE)</f>
        <v>1</v>
      </c>
      <c r="C263" s="43" t="b">
        <f>OR(BR263=Driver!$G$50,Data!BR546=Driver!$H$50)</f>
        <v>1</v>
      </c>
      <c r="D263" s="43" t="b">
        <f>OR(BV263=Driver!$G$51,BV263=Driver!$H$51)</f>
        <v>1</v>
      </c>
      <c r="E263" s="43" t="b">
        <f>AND(BX263&gt;Driver!$F$54,BX263&lt;Driver!$G$54)</f>
        <v>1</v>
      </c>
      <c r="F263" s="43" t="b">
        <f>CL263&gt;Driver!$F$56</f>
        <v>1</v>
      </c>
      <c r="G263" s="43" t="b">
        <f>AND(CB263&gt;Driver!$F$55,CB263&lt;Driver!$G$55)</f>
        <v>1</v>
      </c>
      <c r="H263" s="43" t="b">
        <f t="shared" si="111"/>
        <v>1</v>
      </c>
      <c r="I263" s="43">
        <f t="shared" si="112"/>
        <v>1</v>
      </c>
      <c r="J263" s="43" t="b">
        <f t="array" ref="J263">NOT(OR(($H$9:$H$1273=TRUE)*($I$9:$I$1273&gt;0)*($BT$9:$BT$1273=BT263)*($K$9:$K$1273&gt;K263)))</f>
        <v>1</v>
      </c>
      <c r="K263" s="72">
        <f t="shared" si="113"/>
        <v>0.86603345606612026</v>
      </c>
      <c r="L263" s="72">
        <f t="shared" si="114"/>
        <v>0.96197865511301228</v>
      </c>
      <c r="M263" s="72">
        <f t="shared" si="115"/>
        <v>0.77008825701922823</v>
      </c>
      <c r="N263" s="72">
        <f t="shared" si="116"/>
        <v>0.74862382897583868</v>
      </c>
      <c r="O263" s="72">
        <f t="shared" si="117"/>
        <v>0.64919368469787997</v>
      </c>
      <c r="P263" s="72">
        <f t="shared" si="118"/>
        <v>0.91244725738396626</v>
      </c>
      <c r="Q263" s="72"/>
      <c r="R263" s="72"/>
      <c r="S263" s="72">
        <f t="shared" si="119"/>
        <v>0.40591521410047093</v>
      </c>
      <c r="T263" s="72">
        <f t="shared" si="120"/>
        <v>0.53022639770524749</v>
      </c>
      <c r="U263" s="72">
        <f t="shared" si="121"/>
        <v>0.55693582491035898</v>
      </c>
      <c r="V263" s="72">
        <f t="shared" si="122"/>
        <v>0.62588698300046719</v>
      </c>
      <c r="W263" s="72">
        <f t="shared" si="123"/>
        <v>0.81710248747472969</v>
      </c>
      <c r="X263" s="72">
        <f t="shared" si="124"/>
        <v>3.8021344886987718E-2</v>
      </c>
      <c r="Y263" s="72">
        <f t="shared" si="125"/>
        <v>0.22991174298077174</v>
      </c>
      <c r="Z263" s="72">
        <f t="shared" si="126"/>
        <v>0.25137617102416138</v>
      </c>
      <c r="AA263" s="72">
        <f t="shared" si="127"/>
        <v>0.35080631530212003</v>
      </c>
      <c r="AB263" s="72">
        <f t="shared" si="128"/>
        <v>8.7552742616033769E-2</v>
      </c>
      <c r="AC263" s="72"/>
      <c r="AD263" s="72"/>
      <c r="AE263" s="72">
        <f t="shared" si="129"/>
        <v>0.59408478589952907</v>
      </c>
      <c r="AF263" s="72">
        <f t="shared" si="130"/>
        <v>0.46977360229475251</v>
      </c>
      <c r="AG263" s="72">
        <f t="shared" si="131"/>
        <v>0.44306417508964102</v>
      </c>
      <c r="AH263" s="72">
        <f t="shared" si="132"/>
        <v>0.37411301699953281</v>
      </c>
      <c r="AI263" s="72">
        <f t="shared" si="133"/>
        <v>0.18289751252527028</v>
      </c>
      <c r="AJ263" s="72">
        <f>(AV263-Driver!$K$179)/(Driver!$L$179-Driver!$K$179)</f>
        <v>0.29224075416968814</v>
      </c>
      <c r="AK263" s="72">
        <f>(AW263-Driver!$K$180)/(Driver!$L$180-Driver!$K$180)</f>
        <v>0.18073058927823016</v>
      </c>
      <c r="AL263" s="72">
        <f>(AX263-Driver!$K$181)/(Driver!$L$181-Driver!$K$181)</f>
        <v>0.35306393473724157</v>
      </c>
      <c r="AM263" s="72">
        <f>(AY263-Driver!$K$182)/(Driver!$L$182-Driver!$K$182)</f>
        <v>9.6578705794926306E-2</v>
      </c>
      <c r="AN263" s="72">
        <f>(AZ263-Driver!$K$183)/(Driver!$L$183-Driver!$K$183)</f>
        <v>0.16666666666666666</v>
      </c>
      <c r="AO263" s="72"/>
      <c r="AP263" s="72"/>
      <c r="AQ263" s="72">
        <f>(BC263-Driver!$K$188)/(Driver!$L$188-Driver!$K$188)</f>
        <v>2.5915214100470946E-2</v>
      </c>
      <c r="AR263" s="72">
        <f>MIN((BD263-Driver!$K$189)/(Driver!$L$189-Driver!$K$189),100%)</f>
        <v>8.0226397705247532E-2</v>
      </c>
      <c r="AS263" s="72">
        <f>(BE263-Driver!$K$190)/(Driver!$L$190-Driver!$K$190)</f>
        <v>6.6935824910358988E-2</v>
      </c>
      <c r="AT263" s="72">
        <f>(BF263-Driver!$K$191)/(Driver!$L$191-Driver!$K$191)</f>
        <v>0.1358869830004672</v>
      </c>
      <c r="AU263" s="72">
        <f>(BG263-Driver!$K$192)/(Driver!$L$192-Driver!$K$192)</f>
        <v>6.7102487474729716E-2</v>
      </c>
      <c r="AV263" s="70">
        <f t="shared" si="134"/>
        <v>6.1507936507936503</v>
      </c>
      <c r="AW263" s="70">
        <f t="shared" si="135"/>
        <v>19.485689982554252</v>
      </c>
      <c r="AX263" s="70">
        <f t="shared" si="136"/>
        <v>4.1775754126351741</v>
      </c>
      <c r="AY263" s="70">
        <f>IFERROR(Driver!$K$19/Data!BH263/Data!BI263*Data!BK263*Data!BL263,"")</f>
        <v>0.11824115219756083</v>
      </c>
      <c r="AZ263" s="70">
        <f t="shared" si="137"/>
        <v>15.189873417721518</v>
      </c>
      <c r="BA263" s="70"/>
      <c r="BB263" s="70"/>
      <c r="BC263" s="70">
        <f t="shared" si="138"/>
        <v>13.442401713559871</v>
      </c>
      <c r="BD263" s="70">
        <f t="shared" si="139"/>
        <v>8.8207169282470215</v>
      </c>
      <c r="BE263" s="70">
        <f t="shared" si="140"/>
        <v>6.7102273057110348E-2</v>
      </c>
      <c r="BF263" s="70">
        <f t="shared" si="141"/>
        <v>15.347480069817196</v>
      </c>
      <c r="BG263" s="70">
        <f t="shared" si="142"/>
        <v>0.25409282433857783</v>
      </c>
      <c r="BH263" s="67">
        <f>MAX((CE263-Driver!$F$200)/(Driver!$G$200-Driver!$F$200)*$BI$1,1)</f>
        <v>4.1775754126351741</v>
      </c>
      <c r="BI263" s="67">
        <f>MAX($BI$1*(BY263-Driver!$F$201)/(Driver!$G$201-Driver!$F$201),1)</f>
        <v>6.4556962025316453</v>
      </c>
      <c r="BJ263" s="67">
        <f>(CB263-Driver!$F$206)/(Driver!$G$206-Driver!$F$206)*$BI$1</f>
        <v>6.1904761904761907</v>
      </c>
      <c r="BK263" s="67">
        <f>(CD263-Driver!$F$203)/(Driver!$G$203-Driver!$F$203)*$BI$1</f>
        <v>2.2018348623853208</v>
      </c>
      <c r="BL263" s="67">
        <f>MAX((CR263-Driver!$F$202)/(Driver!$G$202-Driver!$F$202)*$BI$1,1)</f>
        <v>7.2413793103448274</v>
      </c>
      <c r="BM263" s="67">
        <f>MAX((CH263-Driver!$F$204)/(Driver!$G$204-Driver!$F$204)*$BI$1,1)</f>
        <v>3.974358974358974</v>
      </c>
      <c r="BN263" s="67">
        <f>(CI263-Driver!$F$205)/(Driver!$G$205-Driver!$F$205)*$BI$1</f>
        <v>2.3529411764705883</v>
      </c>
      <c r="BO263" s="67">
        <f>(CK263-Driver!$F$207)/(Driver!$G$207-Driver!$F$207)*$BI$1</f>
        <v>2.2130299896587382</v>
      </c>
      <c r="BP263" s="67">
        <f>(CM263-Driver!$F$208)/(Driver!$G$208-Driver!$F$208)*$BI$1</f>
        <v>2.4666666666666668</v>
      </c>
      <c r="BQ263" s="67">
        <f>(CL263-Driver!$F$209)/(Driver!$G$209-Driver!$F$209)*$BI$1</f>
        <v>4.21875</v>
      </c>
      <c r="BR263" s="28" t="s">
        <v>155</v>
      </c>
      <c r="BS263" s="8" t="s">
        <v>321</v>
      </c>
      <c r="BT263" s="9" t="s">
        <v>365</v>
      </c>
      <c r="BU263" s="10">
        <v>164</v>
      </c>
      <c r="BV263" s="9" t="s">
        <v>158</v>
      </c>
      <c r="BW263" s="10">
        <v>164</v>
      </c>
      <c r="BX263" s="10">
        <v>164.8</v>
      </c>
      <c r="BY263" s="10">
        <v>110</v>
      </c>
      <c r="BZ263" s="10">
        <v>131</v>
      </c>
      <c r="CA263" s="10">
        <v>132</v>
      </c>
      <c r="CB263" s="10">
        <v>103</v>
      </c>
      <c r="CC263" s="10">
        <v>124</v>
      </c>
      <c r="CD263" s="10">
        <v>14.2</v>
      </c>
      <c r="CE263" s="10">
        <v>1634</v>
      </c>
      <c r="CF263" s="10">
        <v>1.1499999999999999</v>
      </c>
      <c r="CG263" s="10">
        <v>1876</v>
      </c>
      <c r="CH263" s="10">
        <v>194</v>
      </c>
      <c r="CI263" s="10">
        <v>73</v>
      </c>
      <c r="CJ263" s="10">
        <v>46</v>
      </c>
      <c r="CK263" s="10">
        <v>324</v>
      </c>
      <c r="CL263" s="10">
        <v>27</v>
      </c>
      <c r="CM263" s="10">
        <v>222</v>
      </c>
      <c r="CN263" s="10">
        <v>0.58499999999999996</v>
      </c>
      <c r="CO263" s="10">
        <v>227</v>
      </c>
      <c r="CP263" s="10">
        <v>107</v>
      </c>
      <c r="CQ263" s="10">
        <v>97</v>
      </c>
      <c r="CR263" s="10">
        <v>10</v>
      </c>
      <c r="CS263" s="10">
        <v>7.9</v>
      </c>
      <c r="CT263" s="9" t="s">
        <v>188</v>
      </c>
      <c r="CU263" s="9" t="s">
        <v>169</v>
      </c>
      <c r="CV263" s="9" t="s">
        <v>185</v>
      </c>
      <c r="CW263" s="10"/>
      <c r="CX263">
        <f>INDEX('Data_Price '!AG$2:AG$1266,MATCH(Data!$DN263,'Data_Price '!$AT$2:$AT$1266,0))</f>
        <v>0</v>
      </c>
      <c r="CY263">
        <f>INDEX('Data_Price '!AH$2:AH$1266,MATCH(Data!$DN263,'Data_Price '!$AT$2:$AT$1266,0))</f>
        <v>0</v>
      </c>
      <c r="CZ263">
        <f>INDEX('Data_Price '!AI$2:AI$1266,MATCH(Data!$DN263,'Data_Price '!$AT$2:$AT$1266,0))</f>
        <v>0</v>
      </c>
      <c r="DA263">
        <f>INDEX('Data_Price '!AJ$2:AJ$1266,MATCH(Data!$DN263,'Data_Price '!$AT$2:$AT$1266,0))</f>
        <v>0</v>
      </c>
      <c r="DB263">
        <f>INDEX('Data_Price '!AK$2:AK$1266,MATCH(Data!$DN263,'Data_Price '!$AT$2:$AT$1266,0))</f>
        <v>0</v>
      </c>
      <c r="DC263">
        <f>INDEX('Data_Price '!AL$2:AL$1266,MATCH(Data!$DN263,'Data_Price '!$AT$2:$AT$1266,0))</f>
        <v>0</v>
      </c>
      <c r="DD263">
        <f>INDEX('Data_Price '!AM$2:AM$1266,MATCH(Data!$DN263,'Data_Price '!$AT$2:$AT$1266,0))</f>
        <v>0</v>
      </c>
      <c r="DE263">
        <f>INDEX('Data_Price '!AN$2:AN$1266,MATCH(Data!$DN263,'Data_Price '!$AT$2:$AT$1266,0))</f>
        <v>0</v>
      </c>
      <c r="DF263">
        <f>INDEX('Data_Price '!AO$2:AO$1266,MATCH(Data!$DN263,'Data_Price '!$AT$2:$AT$1266,0))</f>
        <v>0</v>
      </c>
      <c r="DG263">
        <f>INDEX('Data_Price '!AP$2:AP$1266,MATCH(Data!$DN263,'Data_Price '!$AT$2:$AT$1266,0))</f>
        <v>0</v>
      </c>
      <c r="DH263">
        <f>INDEX('Data_Price '!AQ$2:AQ$1266,MATCH(Data!$DN263,'Data_Price '!$AT$2:$AT$1266,0))</f>
        <v>0</v>
      </c>
      <c r="DI263">
        <f>INDEX('Data_Price '!AR$2:AR$1266,MATCH(Data!$DN263,'Data_Price '!$AT$2:$AT$1266,0))</f>
        <v>0</v>
      </c>
      <c r="DJ263" s="89">
        <f t="shared" si="143"/>
        <v>0</v>
      </c>
      <c r="DK263" s="89">
        <f t="shared" si="144"/>
        <v>0</v>
      </c>
      <c r="DL263" s="89">
        <f t="shared" si="145"/>
        <v>0</v>
      </c>
      <c r="DM263" s="219" t="str">
        <f t="shared" si="146"/>
        <v>Pionnier 104</v>
      </c>
      <c r="DN263" s="89" t="str">
        <f t="shared" si="147"/>
        <v xml:space="preserve"> FerreolPionnier 104164 Unisex</v>
      </c>
      <c r="DO263" s="221"/>
    </row>
    <row r="264" spans="2:119" ht="15.6" customHeight="1">
      <c r="B264" s="219" t="b">
        <f t="array" ref="B264">IF(OR(ISERROR(K264:P264)),FALSE,TRUE)</f>
        <v>1</v>
      </c>
      <c r="C264" s="43" t="b">
        <f>OR(BR264=Driver!$G$50,Data!BR865=Driver!$H$50)</f>
        <v>1</v>
      </c>
      <c r="D264" s="43" t="b">
        <f>OR(BV264=Driver!$G$51,BV264=Driver!$H$51)</f>
        <v>1</v>
      </c>
      <c r="E264" s="43" t="b">
        <f>AND(BX264&gt;Driver!$F$54,BX264&lt;Driver!$G$54)</f>
        <v>0</v>
      </c>
      <c r="F264" s="43" t="b">
        <f>CL264&gt;Driver!$F$56</f>
        <v>1</v>
      </c>
      <c r="G264" s="43" t="b">
        <f>AND(CB264&gt;Driver!$F$55,CB264&lt;Driver!$G$55)</f>
        <v>0</v>
      </c>
      <c r="H264" s="43" t="b">
        <f t="shared" si="111"/>
        <v>0</v>
      </c>
      <c r="I264" s="43">
        <f t="shared" si="112"/>
        <v>0</v>
      </c>
      <c r="J264" s="43" t="b">
        <f t="array" ref="J264">NOT(OR(($H$9:$H$1273=TRUE)*($I$9:$I$1273&gt;0)*($BT$9:$BT$1273=BT264)*($K$9:$K$1273&gt;K264)))</f>
        <v>1</v>
      </c>
      <c r="K264" s="72">
        <f t="shared" si="113"/>
        <v>0.83775432508084313</v>
      </c>
      <c r="L264" s="72">
        <f t="shared" si="114"/>
        <v>0.85092924916545032</v>
      </c>
      <c r="M264" s="72">
        <f t="shared" si="115"/>
        <v>0.82457940099623583</v>
      </c>
      <c r="N264" s="72">
        <f t="shared" si="116"/>
        <v>0.83336423244134172</v>
      </c>
      <c r="O264" s="72">
        <f t="shared" si="117"/>
        <v>0.6771097196993473</v>
      </c>
      <c r="P264" s="72">
        <f t="shared" si="118"/>
        <v>0.96326425084801848</v>
      </c>
      <c r="Q264" s="72"/>
      <c r="R264" s="72"/>
      <c r="S264" s="72">
        <f t="shared" si="119"/>
        <v>0.43719035495957981</v>
      </c>
      <c r="T264" s="72">
        <f t="shared" si="120"/>
        <v>0.46171669299946561</v>
      </c>
      <c r="U264" s="72">
        <f t="shared" si="121"/>
        <v>0.74384482576189237</v>
      </c>
      <c r="V264" s="72">
        <f t="shared" si="122"/>
        <v>0.52775164376028116</v>
      </c>
      <c r="W264" s="72">
        <f t="shared" si="123"/>
        <v>0.8693833333333334</v>
      </c>
      <c r="X264" s="72">
        <f t="shared" si="124"/>
        <v>0.14907075083454963</v>
      </c>
      <c r="Y264" s="72">
        <f t="shared" si="125"/>
        <v>0.17542059900376417</v>
      </c>
      <c r="Z264" s="72">
        <f t="shared" si="126"/>
        <v>0.16663576755865828</v>
      </c>
      <c r="AA264" s="72">
        <f t="shared" si="127"/>
        <v>0.3228902803006527</v>
      </c>
      <c r="AB264" s="72">
        <f t="shared" si="128"/>
        <v>3.6735749151981495E-2</v>
      </c>
      <c r="AC264" s="72"/>
      <c r="AD264" s="72"/>
      <c r="AE264" s="72">
        <f t="shared" si="129"/>
        <v>0.56280964504042019</v>
      </c>
      <c r="AF264" s="72">
        <f t="shared" si="130"/>
        <v>0.53828330700053439</v>
      </c>
      <c r="AG264" s="72">
        <f t="shared" si="131"/>
        <v>0.25615517423810763</v>
      </c>
      <c r="AH264" s="72">
        <f t="shared" si="132"/>
        <v>0.47224835623971878</v>
      </c>
      <c r="AI264" s="72">
        <f t="shared" si="133"/>
        <v>0.13061666666666666</v>
      </c>
      <c r="AJ264" s="72">
        <f>(AV264-Driver!$K$179)/(Driver!$L$179-Driver!$K$179)</f>
        <v>0.10514865844815081</v>
      </c>
      <c r="AK264" s="72">
        <f>(AW264-Driver!$K$180)/(Driver!$L$180-Driver!$K$180)</f>
        <v>0.22077760068410357</v>
      </c>
      <c r="AL264" s="72">
        <f>(AX264-Driver!$K$181)/(Driver!$L$181-Driver!$K$181)</f>
        <v>0.26832353127173847</v>
      </c>
      <c r="AM264" s="72">
        <f>(AY264-Driver!$K$182)/(Driver!$L$182-Driver!$K$182)</f>
        <v>0.12449474079639367</v>
      </c>
      <c r="AN264" s="72">
        <f>(AZ264-Driver!$K$183)/(Driver!$L$183-Driver!$K$183)</f>
        <v>0.21748366013071893</v>
      </c>
      <c r="AO264" s="72"/>
      <c r="AP264" s="72"/>
      <c r="AQ264" s="72">
        <f>(BC264-Driver!$K$188)/(Driver!$L$188-Driver!$K$188)</f>
        <v>5.7190354959579845E-2</v>
      </c>
      <c r="AR264" s="72">
        <f>MIN((BD264-Driver!$K$189)/(Driver!$L$189-Driver!$K$189),100%)</f>
        <v>1.1716692999465666E-2</v>
      </c>
      <c r="AS264" s="72">
        <f>(BE264-Driver!$K$190)/(Driver!$L$190-Driver!$K$190)</f>
        <v>0.25384482576189238</v>
      </c>
      <c r="AT264" s="72">
        <f>(BF264-Driver!$K$191)/(Driver!$L$191-Driver!$K$191)</f>
        <v>3.7751643760281235E-2</v>
      </c>
      <c r="AU264" s="72">
        <f>(BG264-Driver!$K$192)/(Driver!$L$192-Driver!$K$192)</f>
        <v>0.11938333333333334</v>
      </c>
      <c r="AV264" s="70">
        <f t="shared" si="134"/>
        <v>2.2130647130647128</v>
      </c>
      <c r="AW264" s="70">
        <f t="shared" si="135"/>
        <v>23.388626096676266</v>
      </c>
      <c r="AX264" s="70">
        <f t="shared" si="136"/>
        <v>3.414911781445646</v>
      </c>
      <c r="AY264" s="70">
        <f>IFERROR(Driver!$K$19/Data!BH264/Data!BI264*Data!BK264*Data!BL264,"")</f>
        <v>0.15241870838028557</v>
      </c>
      <c r="AZ264" s="70">
        <f t="shared" si="137"/>
        <v>19.821295606850335</v>
      </c>
      <c r="BA264" s="70"/>
      <c r="BB264" s="70"/>
      <c r="BC264" s="70">
        <f t="shared" si="138"/>
        <v>29.665034698431558</v>
      </c>
      <c r="BD264" s="70">
        <f t="shared" si="139"/>
        <v>2.7577294537989214</v>
      </c>
      <c r="BE264" s="70">
        <f t="shared" si="140"/>
        <v>0.25397793144664227</v>
      </c>
      <c r="BF264" s="70">
        <f t="shared" si="141"/>
        <v>4.2637829424159266</v>
      </c>
      <c r="BG264" s="70">
        <f t="shared" si="142"/>
        <v>0.45206145833333339</v>
      </c>
      <c r="BH264" s="67">
        <f>MAX((CE264-Driver!$F$200)/(Driver!$G$200-Driver!$F$200)*$BI$1,1)</f>
        <v>3.414911781445646</v>
      </c>
      <c r="BI264" s="67">
        <f>MAX($BI$1*(BY264-Driver!$F$201)/(Driver!$G$201-Driver!$F$201),1)</f>
        <v>7.6582278481012658</v>
      </c>
      <c r="BJ264" s="67">
        <f>(CB264-Driver!$F$206)/(Driver!$G$206-Driver!$F$206)*$BI$1</f>
        <v>4.6031746031746028</v>
      </c>
      <c r="BK264" s="67">
        <f>(CD264-Driver!$F$203)/(Driver!$G$203-Driver!$F$203)*$BI$1</f>
        <v>3.2110091743119265</v>
      </c>
      <c r="BL264" s="67">
        <f>MAX((CR264-Driver!$F$202)/(Driver!$G$202-Driver!$F$202)*$BI$1,1)</f>
        <v>6.2068965517241379</v>
      </c>
      <c r="BM264" s="67">
        <f>MAX((CH264-Driver!$F$204)/(Driver!$G$204-Driver!$F$204)*$BI$1,1)</f>
        <v>1.9230769230769231</v>
      </c>
      <c r="BN264" s="67">
        <f>(CI264-Driver!$F$205)/(Driver!$G$205-Driver!$F$205)*$BI$1</f>
        <v>2.5882352941176472</v>
      </c>
      <c r="BO264" s="67">
        <f>(CK264-Driver!$F$207)/(Driver!$G$207-Driver!$F$207)*$BI$1</f>
        <v>1.7269906928645296</v>
      </c>
      <c r="BP264" s="67">
        <f>(CM264-Driver!$F$208)/(Driver!$G$208-Driver!$F$208)*$BI$1</f>
        <v>1.7222222222222223</v>
      </c>
      <c r="BQ264" s="67">
        <f>(CL264-Driver!$F$209)/(Driver!$G$209-Driver!$F$209)*$BI$1</f>
        <v>2.96875</v>
      </c>
      <c r="BR264" s="28" t="s">
        <v>155</v>
      </c>
      <c r="BS264" s="8" t="s">
        <v>208</v>
      </c>
      <c r="BT264" s="9" t="s">
        <v>416</v>
      </c>
      <c r="BU264" s="10">
        <v>172</v>
      </c>
      <c r="BV264" s="9" t="s">
        <v>158</v>
      </c>
      <c r="BW264" s="10">
        <v>172</v>
      </c>
      <c r="BX264" s="10">
        <v>172.2</v>
      </c>
      <c r="BY264" s="10">
        <v>129</v>
      </c>
      <c r="BZ264" s="10">
        <v>144</v>
      </c>
      <c r="CA264" s="10">
        <v>131</v>
      </c>
      <c r="CB264" s="10">
        <v>93</v>
      </c>
      <c r="CC264" s="10">
        <v>116</v>
      </c>
      <c r="CD264" s="10">
        <v>16.399999999999999</v>
      </c>
      <c r="CE264" s="10">
        <v>1500</v>
      </c>
      <c r="CF264" s="10">
        <v>1.21</v>
      </c>
      <c r="CG264" s="10">
        <v>1811</v>
      </c>
      <c r="CH264" s="10">
        <v>146</v>
      </c>
      <c r="CI264" s="10">
        <v>77</v>
      </c>
      <c r="CJ264" s="10">
        <v>48</v>
      </c>
      <c r="CK264" s="10">
        <v>277</v>
      </c>
      <c r="CL264" s="10">
        <v>19</v>
      </c>
      <c r="CM264" s="10">
        <v>155</v>
      </c>
      <c r="CN264" s="10">
        <v>0.39400000000000002</v>
      </c>
      <c r="CO264" s="10">
        <v>153</v>
      </c>
      <c r="CP264" s="10">
        <v>126</v>
      </c>
      <c r="CQ264" s="10">
        <v>124</v>
      </c>
      <c r="CR264" s="10">
        <v>7</v>
      </c>
      <c r="CS264" s="10">
        <v>9.1999999999999993</v>
      </c>
      <c r="CT264" s="9" t="s">
        <v>188</v>
      </c>
      <c r="CU264" s="9" t="s">
        <v>185</v>
      </c>
      <c r="CV264" s="10"/>
      <c r="CW264" s="10"/>
      <c r="CX264" t="str">
        <f>INDEX('Data_Price '!AG$2:AG$1266,MATCH(Data!$DN264,'Data_Price '!$AT$2:$AT$1266,0))</f>
        <v>Line Sick Day 94 Skis 2022</v>
      </c>
      <c r="CY264" t="str">
        <f>INDEX('Data_Price '!AH$2:AH$1266,MATCH(Data!$DN264,'Data_Price '!$AT$2:$AT$1266,0))</f>
        <v>Telemark Pyrenees</v>
      </c>
      <c r="CZ264">
        <f>INDEX('Data_Price '!AI$2:AI$1266,MATCH(Data!$DN264,'Data_Price '!$AT$2:$AT$1266,0))</f>
        <v>348.3</v>
      </c>
      <c r="DA264" t="str">
        <f>INDEX('Data_Price '!AJ$2:AJ$1266,MATCH(Data!$DN264,'Data_Price '!$AT$2:$AT$1266,0))</f>
        <v>https://tinyurl.com/yaxlwqnu</v>
      </c>
      <c r="DB264" t="str">
        <f>INDEX('Data_Price '!AK$2:AK$1266,MATCH(Data!$DN264,'Data_Price '!$AT$2:$AT$1266,0))</f>
        <v>Line Sick Day 94 Skis 2022</v>
      </c>
      <c r="DC264" t="str">
        <f>INDEX('Data_Price '!AL$2:AL$1266,MATCH(Data!$DN264,'Data_Price '!$AT$2:$AT$1266,0))</f>
        <v>Curated</v>
      </c>
      <c r="DD264">
        <f>INDEX('Data_Price '!AM$2:AM$1266,MATCH(Data!$DN264,'Data_Price '!$AT$2:$AT$1266,0))</f>
        <v>499.95</v>
      </c>
      <c r="DE264" t="str">
        <f>INDEX('Data_Price '!AN$2:AN$1266,MATCH(Data!$DN264,'Data_Price '!$AT$2:$AT$1266,0))</f>
        <v>https://tinyurl.com/ybj3ktp3</v>
      </c>
      <c r="DF264" t="str">
        <f>INDEX('Data_Price '!AO$2:AO$1266,MATCH(Data!$DN264,'Data_Price '!$AT$2:$AT$1266,0))</f>
        <v>Line Sick Day 94 Skis 2022</v>
      </c>
      <c r="DG264" t="str">
        <f>INDEX('Data_Price '!AP$2:AP$1266,MATCH(Data!$DN264,'Data_Price '!$AT$2:$AT$1266,0))</f>
        <v>sunandski.com</v>
      </c>
      <c r="DH264">
        <f>INDEX('Data_Price '!AQ$2:AQ$1266,MATCH(Data!$DN264,'Data_Price '!$AT$2:$AT$1266,0))</f>
        <v>499.95</v>
      </c>
      <c r="DI264" t="str">
        <f>INDEX('Data_Price '!AR$2:AR$1266,MATCH(Data!$DN264,'Data_Price '!$AT$2:$AT$1266,0))</f>
        <v>https://tinyurl.com/yb5nhqtv</v>
      </c>
      <c r="DJ264" s="89" t="str">
        <f t="shared" si="143"/>
        <v>https://tinyurl.com/yaxlwqnu</v>
      </c>
      <c r="DK264" s="89" t="str">
        <f t="shared" si="144"/>
        <v>https://tinyurl.com/ybj3ktp3</v>
      </c>
      <c r="DL264" s="89" t="str">
        <f t="shared" si="145"/>
        <v>https://tinyurl.com/yb5nhqtv</v>
      </c>
      <c r="DM264" s="219" t="str">
        <f t="shared" si="146"/>
        <v>Sick Day 94</v>
      </c>
      <c r="DN264" s="89" t="str">
        <f t="shared" si="147"/>
        <v xml:space="preserve"> LineSick Day 94172 Unisex</v>
      </c>
      <c r="DO264" s="221" t="s">
        <v>417</v>
      </c>
    </row>
    <row r="265" spans="2:119" ht="15.6" customHeight="1">
      <c r="B265" s="219" t="b">
        <f t="array" ref="B265">IF(OR(ISERROR(K265:P265)),FALSE,TRUE)</f>
        <v>1</v>
      </c>
      <c r="C265" s="43" t="b">
        <f>OR(BR265=Driver!$G$50,Data!BR982=Driver!$H$50)</f>
        <v>1</v>
      </c>
      <c r="D265" s="43" t="b">
        <f>OR(BV265=Driver!$G$51,BV265=Driver!$H$51)</f>
        <v>0</v>
      </c>
      <c r="E265" s="43" t="b">
        <f>AND(BX265&gt;Driver!$F$54,BX265&lt;Driver!$G$54)</f>
        <v>1</v>
      </c>
      <c r="F265" s="43" t="b">
        <f>CL265&gt;Driver!$F$56</f>
        <v>1</v>
      </c>
      <c r="G265" s="43" t="b">
        <f>AND(CB265&gt;Driver!$F$55,CB265&lt;Driver!$G$55)</f>
        <v>0</v>
      </c>
      <c r="H265" s="43" t="b">
        <f t="shared" ref="H265:H328" si="148">AND(B265:G265)</f>
        <v>0</v>
      </c>
      <c r="I265" s="43">
        <f t="shared" ref="I265:I328" si="149">COUNTIFS($H$9:$H$1273,TRUE,$BT$9:$BT$1273,BT265)</f>
        <v>0</v>
      </c>
      <c r="J265" s="43" t="b">
        <f t="array" ref="J265">NOT(OR(($H$9:$H$1273=TRUE)*($I$9:$I$1273&gt;0)*($BT$9:$BT$1273=BT265)*($K$9:$K$1273&gt;K265)))</f>
        <v>1</v>
      </c>
      <c r="K265" s="72">
        <f t="shared" ref="K265:K328" si="150">IFERROR(1-AVERAGE(X265:Y265),"")</f>
        <v>0.8571380039191081</v>
      </c>
      <c r="L265" s="72">
        <f t="shared" ref="L265:L328" si="151">1-X265</f>
        <v>0.96093119721276254</v>
      </c>
      <c r="M265" s="72">
        <f t="shared" ref="M265:M328" si="152">1-Y265</f>
        <v>0.75334481062545389</v>
      </c>
      <c r="N265" s="72">
        <f t="shared" ref="N265:N328" si="153">1-Z265</f>
        <v>0.75558013075285757</v>
      </c>
      <c r="O265" s="72">
        <f t="shared" ref="O265:O328" si="154">1-AA265</f>
        <v>0.57828155354345934</v>
      </c>
      <c r="P265" s="72">
        <f t="shared" ref="P265:P328" si="155">1-AB265</f>
        <v>0.92617274758004464</v>
      </c>
      <c r="Q265" s="72"/>
      <c r="R265" s="72"/>
      <c r="S265" s="72">
        <f t="shared" ref="S265:S328" si="156">1-AE265</f>
        <v>0.39048647843599682</v>
      </c>
      <c r="T265" s="72">
        <f t="shared" ref="T265:T328" si="157">1-AF265</f>
        <v>0.66083705351461253</v>
      </c>
      <c r="U265" s="72">
        <f t="shared" ref="U265:U328" si="158">1-AG265</f>
        <v>0.61228673277272194</v>
      </c>
      <c r="V265" s="72">
        <f t="shared" ref="V265:V328" si="159">1-AH265</f>
        <v>0.82323985581294523</v>
      </c>
      <c r="W265" s="72">
        <f t="shared" ref="W265:W328" si="160">1-AI265</f>
        <v>0.78158713692946058</v>
      </c>
      <c r="X265" s="72">
        <f t="shared" ref="X265:X328" si="161">ABS(AJ265-AJ$1)</f>
        <v>3.9068802787237511E-2</v>
      </c>
      <c r="Y265" s="72">
        <f t="shared" ref="Y265:Y328" si="162">AVERAGE(Z265:AB265)</f>
        <v>0.24665518937454614</v>
      </c>
      <c r="Z265" s="72">
        <f t="shared" ref="Z265:Z328" si="163">ABS(AL265-AL$1)</f>
        <v>0.24441986924714243</v>
      </c>
      <c r="AA265" s="72">
        <f t="shared" ref="AA265:AA328" si="164">ABS(AM265-AM$1)</f>
        <v>0.42171844645654066</v>
      </c>
      <c r="AB265" s="72">
        <f t="shared" ref="AB265:AB328" si="165">ABS(AN265-AN$1)</f>
        <v>7.382725241995533E-2</v>
      </c>
      <c r="AC265" s="72"/>
      <c r="AD265" s="72"/>
      <c r="AE265" s="72">
        <f t="shared" ref="AE265:AE328" si="166">ABS(AQ$1-AQ265)</f>
        <v>0.60951352156400318</v>
      </c>
      <c r="AF265" s="72">
        <f t="shared" ref="AF265:AF328" si="167">ABS(AR$1-AR265)</f>
        <v>0.33916294648538747</v>
      </c>
      <c r="AG265" s="72">
        <f t="shared" ref="AG265:AG328" si="168">ABS(AS$1-AS265)</f>
        <v>0.38771326722727806</v>
      </c>
      <c r="AH265" s="72">
        <f t="shared" ref="AH265:AH328" si="169">ABS(AT$1-AT265)</f>
        <v>0.17676014418705482</v>
      </c>
      <c r="AI265" s="72">
        <f t="shared" ref="AI265:AI328" si="170">ABS(AU$1-AU265)</f>
        <v>0.21841286307053942</v>
      </c>
      <c r="AJ265" s="72">
        <f>(AV265-Driver!$K$179)/(Driver!$L$179-Driver!$K$179)</f>
        <v>0.29328821206993794</v>
      </c>
      <c r="AK265" s="72">
        <f>(AW265-Driver!$K$180)/(Driver!$L$180-Driver!$K$180)</f>
        <v>0.19203285999220845</v>
      </c>
      <c r="AL265" s="72">
        <f>(AX265-Driver!$K$181)/(Driver!$L$181-Driver!$K$181)</f>
        <v>0.34610763296022262</v>
      </c>
      <c r="AM265" s="72">
        <f>(AY265-Driver!$K$182)/(Driver!$L$182-Driver!$K$182)</f>
        <v>2.5666574640505705E-2</v>
      </c>
      <c r="AN265" s="72">
        <f>(AZ265-Driver!$K$183)/(Driver!$L$183-Driver!$K$183)</f>
        <v>0.1803921568627451</v>
      </c>
      <c r="AO265" s="72"/>
      <c r="AP265" s="72"/>
      <c r="AQ265" s="72">
        <f>(BC265-Driver!$K$188)/(Driver!$L$188-Driver!$K$188)</f>
        <v>1.0486478435996842E-2</v>
      </c>
      <c r="AR265" s="72">
        <f>MIN((BD265-Driver!$K$189)/(Driver!$L$189-Driver!$K$189),100%)</f>
        <v>0.21083705351461257</v>
      </c>
      <c r="AS265" s="72">
        <f>(BE265-Driver!$K$190)/(Driver!$L$190-Driver!$K$190)</f>
        <v>0.12228673277272198</v>
      </c>
      <c r="AT265" s="72">
        <f>(BF265-Driver!$K$191)/(Driver!$L$191-Driver!$K$191)</f>
        <v>0.33323985581294518</v>
      </c>
      <c r="AU265" s="72">
        <f>(BG265-Driver!$K$192)/(Driver!$L$192-Driver!$K$192)</f>
        <v>3.1587136929460573E-2</v>
      </c>
      <c r="AV265" s="70">
        <f t="shared" ref="AV265:AV328" si="171">IFERROR(BM265*BJ265^1/4,"")</f>
        <v>6.1728395061728394</v>
      </c>
      <c r="AW265" s="70">
        <f t="shared" ref="AW265:AW328" si="172">IFERROR(SUM(AX265:AZ265),"")</f>
        <v>20.587196411937892</v>
      </c>
      <c r="AX265" s="70">
        <f t="shared" ref="AX265:AX328" si="173">IFERROR(BH265,"")</f>
        <v>4.1149686966420038</v>
      </c>
      <c r="AY265" s="70">
        <f>IFERROR(Driver!$K$19/Data!BH265/Data!BI265*Data!BK265*Data!BL265,"")</f>
        <v>3.1423545526715099E-2</v>
      </c>
      <c r="AZ265" s="70">
        <f t="shared" ref="AZ265:AZ328" si="174">IFERROR(BI265*BN265,"")</f>
        <v>16.440804169769173</v>
      </c>
      <c r="BA265" s="70"/>
      <c r="BB265" s="70"/>
      <c r="BC265" s="70">
        <f t="shared" ref="BC265:BC328" si="175">IFERROR(BI265*BN265*BK265/BJ265^(1/2),"")</f>
        <v>5.4394092655669368</v>
      </c>
      <c r="BD265" s="70">
        <f t="shared" ref="BD265:BD328" si="176">IFERROR(BH265*BM265*BL265/BJ265/BK265,"")</f>
        <v>20.379528538988072</v>
      </c>
      <c r="BE265" s="70">
        <f t="shared" ref="BE265:BE328" si="177">IFERROR(MIN(BI265/BQ265/BP265/BO265/BH265,$BE$1),"")</f>
        <v>0.1224433069405117</v>
      </c>
      <c r="BF265" s="70">
        <f t="shared" ref="BF265:BF328" si="178">IFERROR(BJ265*BO265*BP265/BK265,"")</f>
        <v>37.637100571585641</v>
      </c>
      <c r="BG265" s="70">
        <f t="shared" ref="BG265:BG328" si="179">IFERROR(1/BM265/BH265*BQ265,"")</f>
        <v>0.1196090508298755</v>
      </c>
      <c r="BH265" s="67">
        <f>MAX((CE265-Driver!$F$200)/(Driver!$G$200-Driver!$F$200)*$BI$1,1)</f>
        <v>4.1149686966420038</v>
      </c>
      <c r="BI265" s="67">
        <f>MAX($BI$1*(BY265-Driver!$F$201)/(Driver!$G$201-Driver!$F$201),1)</f>
        <v>5.8227848101265822</v>
      </c>
      <c r="BJ265" s="67">
        <f>(CB265-Driver!$F$206)/(Driver!$G$206-Driver!$F$206)*$BI$1</f>
        <v>5.5555555555555554</v>
      </c>
      <c r="BK265" s="67">
        <f>(CD265-Driver!$F$203)/(Driver!$G$203-Driver!$F$203)*$BI$1</f>
        <v>0.77981651376146766</v>
      </c>
      <c r="BL265" s="67">
        <f>MAX((CR265-Driver!$F$202)/(Driver!$G$202-Driver!$F$202)*$BI$1,1)</f>
        <v>4.8275862068965516</v>
      </c>
      <c r="BM265" s="67">
        <f>MAX((CH265-Driver!$F$204)/(Driver!$G$204-Driver!$F$204)*$BI$1,1)</f>
        <v>4.4444444444444446</v>
      </c>
      <c r="BN265" s="67">
        <f>(CI265-Driver!$F$205)/(Driver!$G$205-Driver!$F$205)*$BI$1</f>
        <v>2.8235294117647056</v>
      </c>
      <c r="BO265" s="67">
        <f>(CK265-Driver!$F$207)/(Driver!$G$207-Driver!$F$207)*$BI$1</f>
        <v>2.0062047569803516</v>
      </c>
      <c r="BP265" s="67">
        <f>(CM265-Driver!$F$208)/(Driver!$G$208-Driver!$F$208)*$BI$1</f>
        <v>2.6333333333333329</v>
      </c>
      <c r="BQ265" s="67">
        <f>(CL265-Driver!$F$209)/(Driver!$G$209-Driver!$F$209)*$BI$1</f>
        <v>2.1875</v>
      </c>
      <c r="BR265" s="28" t="s">
        <v>155</v>
      </c>
      <c r="BS265" s="8" t="s">
        <v>172</v>
      </c>
      <c r="BT265" s="9" t="s">
        <v>442</v>
      </c>
      <c r="BU265" s="10">
        <v>154</v>
      </c>
      <c r="BV265" s="9" t="s">
        <v>163</v>
      </c>
      <c r="BW265" s="10">
        <v>154</v>
      </c>
      <c r="BX265" s="10">
        <v>154.4</v>
      </c>
      <c r="BY265" s="10">
        <v>100</v>
      </c>
      <c r="BZ265" s="10">
        <v>129</v>
      </c>
      <c r="CA265" s="10">
        <v>136</v>
      </c>
      <c r="CB265" s="10">
        <v>99</v>
      </c>
      <c r="CC265" s="10">
        <v>127</v>
      </c>
      <c r="CD265" s="10">
        <v>11.1</v>
      </c>
      <c r="CE265" s="10">
        <v>1623</v>
      </c>
      <c r="CF265" s="10">
        <v>1.07</v>
      </c>
      <c r="CG265" s="10">
        <v>1736</v>
      </c>
      <c r="CH265" s="10">
        <v>205</v>
      </c>
      <c r="CI265" s="10">
        <v>81</v>
      </c>
      <c r="CJ265" s="10">
        <v>49</v>
      </c>
      <c r="CK265" s="10">
        <v>304</v>
      </c>
      <c r="CL265" s="10">
        <v>14</v>
      </c>
      <c r="CM265" s="10">
        <v>237</v>
      </c>
      <c r="CN265" s="10">
        <v>0.27500000000000002</v>
      </c>
      <c r="CO265" s="10">
        <v>147</v>
      </c>
      <c r="CP265" s="10">
        <v>106</v>
      </c>
      <c r="CQ265" s="10">
        <v>157</v>
      </c>
      <c r="CR265" s="10">
        <v>3</v>
      </c>
      <c r="CS265" s="10">
        <v>6</v>
      </c>
      <c r="CT265" s="9" t="s">
        <v>188</v>
      </c>
      <c r="CU265" s="9" t="s">
        <v>185</v>
      </c>
      <c r="CV265" s="10"/>
      <c r="CW265" s="10"/>
      <c r="CX265" t="str">
        <f>INDEX('Data_Price '!AG$2:AG$1266,MATCH(Data!$DN265,'Data_Price '!$AT$2:$AT$1266,0))</f>
        <v>Rossignol Blackops W Rallybird 154cm</v>
      </c>
      <c r="CY265" t="str">
        <f>INDEX('Data_Price '!AH$2:AH$1266,MATCH(Data!$DN265,'Data_Price '!$AT$2:$AT$1266,0))</f>
        <v>Sundance Ski and Board Shop</v>
      </c>
      <c r="CZ265">
        <f>INDEX('Data_Price '!AI$2:AI$1266,MATCH(Data!$DN265,'Data_Price '!$AT$2:$AT$1266,0))</f>
        <v>521.29</v>
      </c>
      <c r="DA265" t="str">
        <f>INDEX('Data_Price '!AJ$2:AJ$1266,MATCH(Data!$DN265,'Data_Price '!$AT$2:$AT$1266,0))</f>
        <v>https://tinyurl.com/ya9d7tgq</v>
      </c>
      <c r="DB265" t="str">
        <f>INDEX('Data_Price '!AK$2:AK$1266,MATCH(Data!$DN265,'Data_Price '!$AT$2:$AT$1266,0))</f>
        <v>Rossignol Blackops W Rallybird Skis - Women's</v>
      </c>
      <c r="DC265" t="str">
        <f>INDEX('Data_Price '!AL$2:AL$1266,MATCH(Data!$DN265,'Data_Price '!$AT$2:$AT$1266,0))</f>
        <v>REI</v>
      </c>
      <c r="DD265">
        <f>INDEX('Data_Price '!AM$2:AM$1266,MATCH(Data!$DN265,'Data_Price '!$AT$2:$AT$1266,0))</f>
        <v>559.92999999999995</v>
      </c>
      <c r="DE265" t="str">
        <f>INDEX('Data_Price '!AN$2:AN$1266,MATCH(Data!$DN265,'Data_Price '!$AT$2:$AT$1266,0))</f>
        <v>https://tinyurl.com/y9n3kk3w</v>
      </c>
      <c r="DF265" t="str">
        <f>INDEX('Data_Price '!AO$2:AO$1266,MATCH(Data!$DN265,'Data_Price '!$AT$2:$AT$1266,0))</f>
        <v>Rossignol Blackops W Rallybird Skis - Women's</v>
      </c>
      <c r="DG265" t="str">
        <f>INDEX('Data_Price '!AP$2:AP$1266,MATCH(Data!$DN265,'Data_Price '!$AT$2:$AT$1266,0))</f>
        <v>Level Nine Sports</v>
      </c>
      <c r="DH265">
        <f>INDEX('Data_Price '!AQ$2:AQ$1266,MATCH(Data!$DN265,'Data_Price '!$AT$2:$AT$1266,0))</f>
        <v>559.96</v>
      </c>
      <c r="DI265" t="str">
        <f>INDEX('Data_Price '!AR$2:AR$1266,MATCH(Data!$DN265,'Data_Price '!$AT$2:$AT$1266,0))</f>
        <v>https://tinyurl.com/ybh46nls</v>
      </c>
      <c r="DJ265" s="89" t="str">
        <f t="shared" ref="DJ265:DJ328" si="180">DA265</f>
        <v>https://tinyurl.com/ya9d7tgq</v>
      </c>
      <c r="DK265" s="89" t="str">
        <f t="shared" ref="DK265:DK328" si="181">DE265</f>
        <v>https://tinyurl.com/y9n3kk3w</v>
      </c>
      <c r="DL265" s="89" t="str">
        <f t="shared" ref="DL265:DL328" si="182">DI265</f>
        <v>https://tinyurl.com/ybh46nls</v>
      </c>
      <c r="DM265" s="219" t="str">
        <f t="shared" ref="DM265:DM328" si="183">IF(LEFT(BT265,1)=" ",RIGHT(BT265,LEN(BT265)-1),BT265)</f>
        <v>Blackops Rallybird W</v>
      </c>
      <c r="DN265" s="89" t="str">
        <f t="shared" ref="DN265:DN328" si="184">_xlfn.CONCAT(BS265,DM265,BU265,BV265)</f>
        <v xml:space="preserve"> RossignolBlackops Rallybird W154 Women's</v>
      </c>
      <c r="DO265" s="221"/>
    </row>
    <row r="266" spans="2:119" ht="15.6" customHeight="1">
      <c r="B266" s="219" t="b">
        <f t="array" ref="B266">IF(OR(ISERROR(K266:P266)),FALSE,TRUE)</f>
        <v>1</v>
      </c>
      <c r="C266" s="43" t="b">
        <f>OR(BR266=Driver!$G$50,Data!BR1140=Driver!$H$50)</f>
        <v>1</v>
      </c>
      <c r="D266" s="43" t="b">
        <f>OR(BV266=Driver!$G$51,BV266=Driver!$H$51)</f>
        <v>1</v>
      </c>
      <c r="E266" s="43" t="b">
        <f>AND(BX266&gt;Driver!$F$54,BX266&lt;Driver!$G$54)</f>
        <v>0</v>
      </c>
      <c r="F266" s="43" t="b">
        <f>CL266&gt;Driver!$F$56</f>
        <v>1</v>
      </c>
      <c r="G266" s="43" t="b">
        <f>AND(CB266&gt;Driver!$F$55,CB266&lt;Driver!$G$55)</f>
        <v>1</v>
      </c>
      <c r="H266" s="43" t="b">
        <f t="shared" si="148"/>
        <v>0</v>
      </c>
      <c r="I266" s="43">
        <f t="shared" si="149"/>
        <v>0</v>
      </c>
      <c r="J266" s="43" t="b">
        <f t="array" ref="J266">NOT(OR(($H$9:$H$1273=TRUE)*($I$9:$I$1273&gt;0)*($BT$9:$BT$1273=BT266)*($K$9:$K$1273&gt;K266)))</f>
        <v>1</v>
      </c>
      <c r="K266" s="72">
        <f t="shared" si="150"/>
        <v>0.84764015291732597</v>
      </c>
      <c r="L266" s="72">
        <f t="shared" si="151"/>
        <v>0.98171920784848887</v>
      </c>
      <c r="M266" s="72">
        <f t="shared" si="152"/>
        <v>0.71356109798616307</v>
      </c>
      <c r="N266" s="72">
        <f t="shared" si="153"/>
        <v>0.63289626304906954</v>
      </c>
      <c r="O266" s="72">
        <f t="shared" si="154"/>
        <v>0.62190912489469274</v>
      </c>
      <c r="P266" s="72">
        <f t="shared" si="155"/>
        <v>0.8858779060147266</v>
      </c>
      <c r="Q266" s="72"/>
      <c r="R266" s="72"/>
      <c r="S266" s="72">
        <f t="shared" si="156"/>
        <v>0.47066031818717735</v>
      </c>
      <c r="T266" s="72">
        <f t="shared" si="157"/>
        <v>0.48646439602516789</v>
      </c>
      <c r="U266" s="72">
        <f t="shared" si="158"/>
        <v>0.94549716015813845</v>
      </c>
      <c r="V266" s="72">
        <f t="shared" si="159"/>
        <v>0.51710080518440371</v>
      </c>
      <c r="W266" s="72">
        <f t="shared" si="160"/>
        <v>0.77078712950142747</v>
      </c>
      <c r="X266" s="72">
        <f t="shared" si="161"/>
        <v>1.8280792151511127E-2</v>
      </c>
      <c r="Y266" s="72">
        <f t="shared" si="162"/>
        <v>0.28643890201383698</v>
      </c>
      <c r="Z266" s="72">
        <f t="shared" si="163"/>
        <v>0.3671037369509304</v>
      </c>
      <c r="AA266" s="72">
        <f t="shared" si="164"/>
        <v>0.37809087510530726</v>
      </c>
      <c r="AB266" s="72">
        <f t="shared" si="165"/>
        <v>0.11412209398527345</v>
      </c>
      <c r="AC266" s="72"/>
      <c r="AD266" s="72"/>
      <c r="AE266" s="72">
        <f t="shared" si="166"/>
        <v>0.52933968181282265</v>
      </c>
      <c r="AF266" s="72">
        <f t="shared" si="167"/>
        <v>0.51353560397483211</v>
      </c>
      <c r="AG266" s="72">
        <f t="shared" si="168"/>
        <v>5.450283984186155E-2</v>
      </c>
      <c r="AH266" s="72">
        <f t="shared" si="169"/>
        <v>0.48289919481559634</v>
      </c>
      <c r="AI266" s="72">
        <f t="shared" si="170"/>
        <v>0.22921287049857253</v>
      </c>
      <c r="AJ266" s="72">
        <f>(AV266-Driver!$K$179)/(Driver!$L$179-Driver!$K$179)</f>
        <v>0.27250020143421155</v>
      </c>
      <c r="AK266" s="72">
        <f>(AW266-Driver!$K$180)/(Driver!$L$180-Driver!$K$180)</f>
        <v>0.37967232642730941</v>
      </c>
      <c r="AL266" s="72">
        <f>(AX266-Driver!$K$181)/(Driver!$L$181-Driver!$K$181)</f>
        <v>0.4687915006640106</v>
      </c>
      <c r="AM266" s="72">
        <f>(AY266-Driver!$K$182)/(Driver!$L$182-Driver!$K$182)</f>
        <v>6.9294145991739109E-2</v>
      </c>
      <c r="AN266" s="72">
        <f>(AZ266-Driver!$K$183)/(Driver!$L$183-Driver!$K$183)</f>
        <v>0.36834150326797388</v>
      </c>
      <c r="AO266" s="72"/>
      <c r="AP266" s="72"/>
      <c r="AQ266" s="72">
        <f>(BC266-Driver!$K$188)/(Driver!$L$188-Driver!$K$188)</f>
        <v>9.0660318187177374E-2</v>
      </c>
      <c r="AR266" s="72">
        <f>MIN((BD266-Driver!$K$189)/(Driver!$L$189-Driver!$K$189),100%)</f>
        <v>3.6464396025167919E-2</v>
      </c>
      <c r="AS266" s="72">
        <f>(BE266-Driver!$K$190)/(Driver!$L$190-Driver!$K$190)</f>
        <v>0.56450283984186156</v>
      </c>
      <c r="AT266" s="72">
        <f>(BF266-Driver!$K$191)/(Driver!$L$191-Driver!$K$191)</f>
        <v>2.7100805184403644E-2</v>
      </c>
      <c r="AU266" s="72">
        <f>(BG266-Driver!$K$192)/(Driver!$L$192-Driver!$K$192)</f>
        <v>2.0787129501427467E-2</v>
      </c>
      <c r="AV266" s="70">
        <f t="shared" si="171"/>
        <v>5.7353140686474013</v>
      </c>
      <c r="AW266" s="70">
        <f t="shared" si="172"/>
        <v>38.874325070850325</v>
      </c>
      <c r="AX266" s="70">
        <f t="shared" si="173"/>
        <v>5.2191235059760954</v>
      </c>
      <c r="AY266" s="70">
        <f>IFERROR(Driver!$K$19/Data!BH266/Data!BI266*Data!BK266*Data!BL266,"")</f>
        <v>8.4836710071545182E-2</v>
      </c>
      <c r="AZ266" s="70">
        <f t="shared" si="174"/>
        <v>33.570364854802683</v>
      </c>
      <c r="BA266" s="70"/>
      <c r="BB266" s="70"/>
      <c r="BC266" s="70">
        <f t="shared" si="175"/>
        <v>47.02613730399586</v>
      </c>
      <c r="BD266" s="70">
        <f t="shared" si="176"/>
        <v>4.9478573212385699</v>
      </c>
      <c r="BE266" s="70">
        <f t="shared" si="177"/>
        <v>0.56458052763350441</v>
      </c>
      <c r="BF266" s="70">
        <f t="shared" si="178"/>
        <v>3.0608455516464255</v>
      </c>
      <c r="BG266" s="70">
        <f t="shared" si="179"/>
        <v>7.8713333047431167E-2</v>
      </c>
      <c r="BH266" s="67">
        <f>MAX((CE266-Driver!$F$200)/(Driver!$G$200-Driver!$F$200)*$BI$1,1)</f>
        <v>5.2191235059760954</v>
      </c>
      <c r="BI266" s="67">
        <f>MAX($BI$1*(BY266-Driver!$F$201)/(Driver!$G$201-Driver!$F$201),1)</f>
        <v>8.037974683544304</v>
      </c>
      <c r="BJ266" s="67">
        <f>(CB266-Driver!$F$206)/(Driver!$G$206-Driver!$F$206)*$BI$1</f>
        <v>6.0317460317460316</v>
      </c>
      <c r="BK266" s="67">
        <f>(CD266-Driver!$F$203)/(Driver!$G$203-Driver!$F$203)*$BI$1</f>
        <v>3.4403669724770634</v>
      </c>
      <c r="BL266" s="67">
        <f>MAX((CR266-Driver!$F$202)/(Driver!$G$202-Driver!$F$202)*$BI$1,1)</f>
        <v>5.1724137931034484</v>
      </c>
      <c r="BM266" s="67">
        <f>MAX((CH266-Driver!$F$204)/(Driver!$G$204-Driver!$F$204)*$BI$1,1)</f>
        <v>3.8034188034188032</v>
      </c>
      <c r="BN266" s="67">
        <f>(CI266-Driver!$F$205)/(Driver!$G$205-Driver!$F$205)*$BI$1</f>
        <v>4.1764705882352944</v>
      </c>
      <c r="BO266" s="67">
        <f>(CK266-Driver!$F$207)/(Driver!$G$207-Driver!$F$207)*$BI$1</f>
        <v>1.468459152016546</v>
      </c>
      <c r="BP266" s="67">
        <f>(CM266-Driver!$F$208)/(Driver!$G$208-Driver!$F$208)*$BI$1</f>
        <v>1.1888888888888889</v>
      </c>
      <c r="BQ266" s="67">
        <f>(CL266-Driver!$F$209)/(Driver!$G$209-Driver!$F$209)*$BI$1</f>
        <v>1.5625</v>
      </c>
      <c r="BR266" s="28" t="s">
        <v>155</v>
      </c>
      <c r="BS266" s="8" t="s">
        <v>213</v>
      </c>
      <c r="BT266" s="9" t="s">
        <v>467</v>
      </c>
      <c r="BU266" s="10">
        <v>173</v>
      </c>
      <c r="BV266" s="9" t="s">
        <v>158</v>
      </c>
      <c r="BW266" s="10">
        <v>173</v>
      </c>
      <c r="BX266" s="10">
        <v>171.2</v>
      </c>
      <c r="BY266" s="10">
        <v>135</v>
      </c>
      <c r="BZ266" s="10">
        <v>143</v>
      </c>
      <c r="CA266" s="10">
        <v>135</v>
      </c>
      <c r="CB266" s="10">
        <v>102</v>
      </c>
      <c r="CC266" s="10">
        <v>124</v>
      </c>
      <c r="CD266" s="10">
        <v>16.899999999999999</v>
      </c>
      <c r="CE266" s="10">
        <v>1817</v>
      </c>
      <c r="CF266" s="10">
        <v>1.06</v>
      </c>
      <c r="CG266" s="10">
        <v>1933</v>
      </c>
      <c r="CH266" s="10">
        <v>190</v>
      </c>
      <c r="CI266" s="10">
        <v>104</v>
      </c>
      <c r="CJ266" s="10">
        <v>58</v>
      </c>
      <c r="CK266" s="10">
        <v>252</v>
      </c>
      <c r="CL266" s="10">
        <v>10</v>
      </c>
      <c r="CM266" s="10">
        <v>107</v>
      </c>
      <c r="CN266" s="10">
        <v>0.17799999999999999</v>
      </c>
      <c r="CO266" s="10">
        <v>193</v>
      </c>
      <c r="CP266" s="10">
        <v>87</v>
      </c>
      <c r="CQ266" s="10">
        <v>59</v>
      </c>
      <c r="CR266" s="10">
        <v>4</v>
      </c>
      <c r="CS266" s="10">
        <v>12.6</v>
      </c>
      <c r="CT266" s="9" t="s">
        <v>188</v>
      </c>
      <c r="CU266" s="9" t="s">
        <v>178</v>
      </c>
      <c r="CV266" s="9" t="s">
        <v>185</v>
      </c>
      <c r="CW266" s="10"/>
      <c r="CX266" t="e">
        <f>INDEX('Data_Price '!AG$2:AG$1266,MATCH(Data!$DN266,'Data_Price '!$AT$2:$AT$1266,0))</f>
        <v>#N/A</v>
      </c>
      <c r="CY266" t="e">
        <f>INDEX('Data_Price '!AH$2:AH$1266,MATCH(Data!$DN266,'Data_Price '!$AT$2:$AT$1266,0))</f>
        <v>#N/A</v>
      </c>
      <c r="CZ266" t="e">
        <f>INDEX('Data_Price '!AI$2:AI$1266,MATCH(Data!$DN266,'Data_Price '!$AT$2:$AT$1266,0))</f>
        <v>#N/A</v>
      </c>
      <c r="DA266" t="e">
        <f>INDEX('Data_Price '!AJ$2:AJ$1266,MATCH(Data!$DN266,'Data_Price '!$AT$2:$AT$1266,0))</f>
        <v>#N/A</v>
      </c>
      <c r="DB266" t="e">
        <f>INDEX('Data_Price '!AK$2:AK$1266,MATCH(Data!$DN266,'Data_Price '!$AT$2:$AT$1266,0))</f>
        <v>#N/A</v>
      </c>
      <c r="DC266" t="e">
        <f>INDEX('Data_Price '!AL$2:AL$1266,MATCH(Data!$DN266,'Data_Price '!$AT$2:$AT$1266,0))</f>
        <v>#N/A</v>
      </c>
      <c r="DD266" t="e">
        <f>INDEX('Data_Price '!AM$2:AM$1266,MATCH(Data!$DN266,'Data_Price '!$AT$2:$AT$1266,0))</f>
        <v>#N/A</v>
      </c>
      <c r="DE266" t="e">
        <f>INDEX('Data_Price '!AN$2:AN$1266,MATCH(Data!$DN266,'Data_Price '!$AT$2:$AT$1266,0))</f>
        <v>#N/A</v>
      </c>
      <c r="DF266" t="e">
        <f>INDEX('Data_Price '!AO$2:AO$1266,MATCH(Data!$DN266,'Data_Price '!$AT$2:$AT$1266,0))</f>
        <v>#N/A</v>
      </c>
      <c r="DG266" t="e">
        <f>INDEX('Data_Price '!AP$2:AP$1266,MATCH(Data!$DN266,'Data_Price '!$AT$2:$AT$1266,0))</f>
        <v>#N/A</v>
      </c>
      <c r="DH266" t="e">
        <f>INDEX('Data_Price '!AQ$2:AQ$1266,MATCH(Data!$DN266,'Data_Price '!$AT$2:$AT$1266,0))</f>
        <v>#N/A</v>
      </c>
      <c r="DI266" t="e">
        <f>INDEX('Data_Price '!AR$2:AR$1266,MATCH(Data!$DN266,'Data_Price '!$AT$2:$AT$1266,0))</f>
        <v>#N/A</v>
      </c>
      <c r="DJ266" s="89" t="e">
        <f t="shared" si="180"/>
        <v>#N/A</v>
      </c>
      <c r="DK266" s="89" t="e">
        <f t="shared" si="181"/>
        <v>#N/A</v>
      </c>
      <c r="DL266" s="89" t="e">
        <f t="shared" si="182"/>
        <v>#N/A</v>
      </c>
      <c r="DM266" s="219" t="str">
        <f t="shared" si="183"/>
        <v>Stormrider 102</v>
      </c>
      <c r="DN266" s="89" t="str">
        <f t="shared" si="184"/>
        <v xml:space="preserve"> StöckliStormrider 102173 Unisex</v>
      </c>
      <c r="DO266" s="221" t="s">
        <v>468</v>
      </c>
    </row>
    <row r="267" spans="2:119" ht="15.6" customHeight="1">
      <c r="B267" s="219" t="b">
        <f t="array" ref="B267">IF(OR(ISERROR(K267:P267)),FALSE,TRUE)</f>
        <v>1</v>
      </c>
      <c r="C267" s="43" t="b">
        <f>OR(BR267=Driver!$G$50,Data!BR393=Driver!$H$50)</f>
        <v>1</v>
      </c>
      <c r="D267" s="43" t="b">
        <f>OR(BV267=Driver!$G$51,BV267=Driver!$H$51)</f>
        <v>1</v>
      </c>
      <c r="E267" s="43" t="b">
        <f>AND(BX267&gt;Driver!$F$54,BX267&lt;Driver!$G$54)</f>
        <v>0</v>
      </c>
      <c r="F267" s="43" t="b">
        <f>CL267&gt;Driver!$F$56</f>
        <v>1</v>
      </c>
      <c r="G267" s="43" t="b">
        <f>AND(CB267&gt;Driver!$F$55,CB267&lt;Driver!$G$55)</f>
        <v>0</v>
      </c>
      <c r="H267" s="43" t="b">
        <f t="shared" si="148"/>
        <v>0</v>
      </c>
      <c r="I267" s="43">
        <f t="shared" si="149"/>
        <v>0</v>
      </c>
      <c r="J267" s="43" t="b">
        <f t="array" ref="J267">NOT(OR(($H$9:$H$1273=TRUE)*($I$9:$I$1273&gt;0)*($BT$9:$BT$1273=BT267)*($K$9:$K$1273&gt;K267)))</f>
        <v>1</v>
      </c>
      <c r="K267" s="72">
        <f t="shared" si="150"/>
        <v>0.83501509097628723</v>
      </c>
      <c r="L267" s="72">
        <f t="shared" si="151"/>
        <v>0.86905832820823503</v>
      </c>
      <c r="M267" s="72">
        <f t="shared" si="152"/>
        <v>0.80097185374433943</v>
      </c>
      <c r="N267" s="72">
        <f t="shared" si="153"/>
        <v>0.7638012146711527</v>
      </c>
      <c r="O267" s="72">
        <f t="shared" si="154"/>
        <v>0.65781160394583171</v>
      </c>
      <c r="P267" s="72">
        <f t="shared" si="155"/>
        <v>0.98130274261603379</v>
      </c>
      <c r="Q267" s="72"/>
      <c r="R267" s="72"/>
      <c r="S267" s="72">
        <f t="shared" si="156"/>
        <v>0.46068310680017577</v>
      </c>
      <c r="T267" s="72">
        <f t="shared" si="157"/>
        <v>0.58540578413316346</v>
      </c>
      <c r="U267" s="72">
        <f t="shared" si="158"/>
        <v>0.51</v>
      </c>
      <c r="V267" s="72">
        <f t="shared" si="159"/>
        <v>0.4990450677726157</v>
      </c>
      <c r="W267" s="72">
        <f t="shared" si="160"/>
        <v>0.76405550952775481</v>
      </c>
      <c r="X267" s="72">
        <f t="shared" si="161"/>
        <v>0.130941671791765</v>
      </c>
      <c r="Y267" s="72">
        <f t="shared" si="162"/>
        <v>0.19902814625566057</v>
      </c>
      <c r="Z267" s="72">
        <f t="shared" si="163"/>
        <v>0.2361987853288473</v>
      </c>
      <c r="AA267" s="72">
        <f t="shared" si="164"/>
        <v>0.34218839605416823</v>
      </c>
      <c r="AB267" s="72">
        <f t="shared" si="165"/>
        <v>1.8697257383966215E-2</v>
      </c>
      <c r="AC267" s="72"/>
      <c r="AD267" s="72"/>
      <c r="AE267" s="72">
        <f t="shared" si="166"/>
        <v>0.53931689319982423</v>
      </c>
      <c r="AF267" s="72">
        <f t="shared" si="167"/>
        <v>0.41459421586683654</v>
      </c>
      <c r="AG267" s="72">
        <f t="shared" si="168"/>
        <v>0.49</v>
      </c>
      <c r="AH267" s="72">
        <f t="shared" si="169"/>
        <v>0.5009549322273843</v>
      </c>
      <c r="AI267" s="72">
        <f t="shared" si="170"/>
        <v>0.23594449047224525</v>
      </c>
      <c r="AJ267" s="72">
        <f>(AV267-Driver!$K$179)/(Driver!$L$179-Driver!$K$179)</f>
        <v>0.12327773749093543</v>
      </c>
      <c r="AK267" s="72">
        <f>(AW267-Driver!$K$180)/(Driver!$L$180-Driver!$K$180)</f>
        <v>0.278797595691397</v>
      </c>
      <c r="AL267" s="72">
        <f>(AX267-Driver!$K$181)/(Driver!$L$181-Driver!$K$181)</f>
        <v>0.3378865490419275</v>
      </c>
      <c r="AM267" s="72">
        <f>(AY267-Driver!$K$182)/(Driver!$L$182-Driver!$K$182)</f>
        <v>0.10519662504287812</v>
      </c>
      <c r="AN267" s="72">
        <f>(AZ267-Driver!$K$183)/(Driver!$L$183-Driver!$K$183)</f>
        <v>0.27291666666666664</v>
      </c>
      <c r="AO267" s="72"/>
      <c r="AP267" s="72"/>
      <c r="AQ267" s="72">
        <f>(BC267-Driver!$K$188)/(Driver!$L$188-Driver!$K$188)</f>
        <v>8.0683106800175819E-2</v>
      </c>
      <c r="AR267" s="72">
        <f>MIN((BD267-Driver!$K$189)/(Driver!$L$189-Driver!$K$189),100%)</f>
        <v>0.13540578413316348</v>
      </c>
      <c r="AS267" s="72">
        <f>(BE267-Driver!$K$190)/(Driver!$L$190-Driver!$K$190)</f>
        <v>1</v>
      </c>
      <c r="AT267" s="72">
        <f>(BF267-Driver!$K$191)/(Driver!$L$191-Driver!$K$191)</f>
        <v>9.0450677726157218E-3</v>
      </c>
      <c r="AU267" s="72">
        <f>(BG267-Driver!$K$192)/(Driver!$L$192-Driver!$K$192)</f>
        <v>1.4055509527754761E-2</v>
      </c>
      <c r="AV267" s="70">
        <f t="shared" si="171"/>
        <v>2.5946275946275943</v>
      </c>
      <c r="AW267" s="70">
        <f t="shared" si="172"/>
        <v>29.043188719592315</v>
      </c>
      <c r="AX267" s="70">
        <f t="shared" si="173"/>
        <v>4.0409789413773476</v>
      </c>
      <c r="AY267" s="70">
        <f>IFERROR(Driver!$K$19/Data!BH267/Data!BI267*Data!BK267*Data!BL267,"")</f>
        <v>0.12879205669598176</v>
      </c>
      <c r="AZ267" s="70">
        <f t="shared" si="174"/>
        <v>24.873417721518987</v>
      </c>
      <c r="BA267" s="70"/>
      <c r="BB267" s="70"/>
      <c r="BC267" s="70">
        <f t="shared" si="175"/>
        <v>41.85088839710987</v>
      </c>
      <c r="BD267" s="70">
        <f t="shared" si="176"/>
        <v>13.703994855030311</v>
      </c>
      <c r="BE267" s="70">
        <f t="shared" si="177"/>
        <v>1</v>
      </c>
      <c r="BF267" s="70">
        <f t="shared" si="178"/>
        <v>1.0215768597194357</v>
      </c>
      <c r="BG267" s="70">
        <f t="shared" si="179"/>
        <v>5.3223125517812754E-2</v>
      </c>
      <c r="BH267" s="67">
        <f>MAX((CE267-Driver!$F$200)/(Driver!$G$200-Driver!$F$200)*$BI$1,1)</f>
        <v>4.0409789413773476</v>
      </c>
      <c r="BI267" s="67">
        <f>MAX($BI$1*(BY267-Driver!$F$201)/(Driver!$G$201-Driver!$F$201),1)</f>
        <v>8.2911392405063289</v>
      </c>
      <c r="BJ267" s="67">
        <f>(CB267-Driver!$F$206)/(Driver!$G$206-Driver!$F$206)*$BI$1</f>
        <v>2.8571428571428568</v>
      </c>
      <c r="BK267" s="67">
        <f>(CD267-Driver!$F$203)/(Driver!$G$203-Driver!$F$203)*$BI$1</f>
        <v>2.8440366972477067</v>
      </c>
      <c r="BL267" s="67">
        <f>MAX((CR267-Driver!$F$202)/(Driver!$G$202-Driver!$F$202)*$BI$1,1)</f>
        <v>7.5862068965517242</v>
      </c>
      <c r="BM267" s="67">
        <f>MAX((CH267-Driver!$F$204)/(Driver!$G$204-Driver!$F$204)*$BI$1,1)</f>
        <v>3.6324786324786325</v>
      </c>
      <c r="BN267" s="67">
        <f>(CI267-Driver!$F$205)/(Driver!$G$205-Driver!$F$205)*$BI$1</f>
        <v>3</v>
      </c>
      <c r="BO267" s="67">
        <f>(CK267-Driver!$F$207)/(Driver!$G$207-Driver!$F$207)*$BI$1</f>
        <v>1.5511892450879008</v>
      </c>
      <c r="BP267" s="67">
        <f>(CM267-Driver!$F$208)/(Driver!$G$208-Driver!$F$208)*$BI$1</f>
        <v>0.65555555555555567</v>
      </c>
      <c r="BQ267" s="67">
        <f>(CL267-Driver!$F$209)/(Driver!$G$209-Driver!$F$209)*$BI$1</f>
        <v>0.78125</v>
      </c>
      <c r="BR267" s="28" t="s">
        <v>155</v>
      </c>
      <c r="BS267" s="8" t="s">
        <v>202</v>
      </c>
      <c r="BT267" s="9" t="s">
        <v>420</v>
      </c>
      <c r="BU267" s="10">
        <v>170</v>
      </c>
      <c r="BV267" s="9" t="s">
        <v>158</v>
      </c>
      <c r="BW267" s="10">
        <v>170</v>
      </c>
      <c r="BX267" s="10">
        <v>171.1</v>
      </c>
      <c r="BY267" s="10">
        <v>139</v>
      </c>
      <c r="BZ267" s="10">
        <v>140</v>
      </c>
      <c r="CA267" s="10">
        <v>121</v>
      </c>
      <c r="CB267" s="10">
        <v>82</v>
      </c>
      <c r="CC267" s="10">
        <v>103</v>
      </c>
      <c r="CD267" s="10">
        <v>15.6</v>
      </c>
      <c r="CE267" s="10">
        <v>1610</v>
      </c>
      <c r="CF267" s="10">
        <v>1</v>
      </c>
      <c r="CG267" s="10">
        <v>1615</v>
      </c>
      <c r="CH267" s="10">
        <v>186</v>
      </c>
      <c r="CI267" s="10">
        <v>84</v>
      </c>
      <c r="CJ267" s="10">
        <v>41</v>
      </c>
      <c r="CK267" s="10">
        <v>260</v>
      </c>
      <c r="CL267" s="10">
        <v>5</v>
      </c>
      <c r="CM267" s="10">
        <v>59</v>
      </c>
      <c r="CN267" s="10">
        <v>0.115</v>
      </c>
      <c r="CO267" s="10">
        <v>164</v>
      </c>
      <c r="CP267" s="10">
        <v>148</v>
      </c>
      <c r="CQ267" s="10">
        <v>96</v>
      </c>
      <c r="CR267" s="10">
        <v>11</v>
      </c>
      <c r="CS267" s="10">
        <v>6.2</v>
      </c>
      <c r="CT267" s="9" t="s">
        <v>231</v>
      </c>
      <c r="CU267" s="9" t="s">
        <v>188</v>
      </c>
      <c r="CV267" s="10"/>
      <c r="CW267" s="10"/>
      <c r="CX267" t="str">
        <f>INDEX('Data_Price '!AG$2:AG$1266,MATCH(Data!$DN267,'Data_Price '!$AT$2:$AT$1266,0))</f>
        <v>Dynastar M-Pro 84 Skis - Women's 2022</v>
      </c>
      <c r="CY267" t="str">
        <f>INDEX('Data_Price '!AH$2:AH$1266,MATCH(Data!$DN267,'Data_Price '!$AT$2:$AT$1266,0))</f>
        <v>Next Adventure</v>
      </c>
      <c r="CZ267">
        <f>INDEX('Data_Price '!AI$2:AI$1266,MATCH(Data!$DN267,'Data_Price '!$AT$2:$AT$1266,0))</f>
        <v>349.97</v>
      </c>
      <c r="DA267" t="str">
        <f>INDEX('Data_Price '!AJ$2:AJ$1266,MATCH(Data!$DN267,'Data_Price '!$AT$2:$AT$1266,0))</f>
        <v>https://tinyurl.com/ycq2d4rq</v>
      </c>
      <c r="DB267" t="str">
        <f>INDEX('Data_Price '!AK$2:AK$1266,MATCH(Data!$DN267,'Data_Price '!$AT$2:$AT$1266,0))</f>
        <v>Dynastar M-Pro 84 Skis - Women's 2022</v>
      </c>
      <c r="DC267" t="str">
        <f>INDEX('Data_Price '!AL$2:AL$1266,MATCH(Data!$DN267,'Data_Price '!$AT$2:$AT$1266,0))</f>
        <v>Ski Pro  - Snow Ski &amp; Snowboard</v>
      </c>
      <c r="DD267">
        <f>INDEX('Data_Price '!AM$2:AM$1266,MATCH(Data!$DN267,'Data_Price '!$AT$2:$AT$1266,0))</f>
        <v>399.95</v>
      </c>
      <c r="DE267" t="str">
        <f>INDEX('Data_Price '!AN$2:AN$1266,MATCH(Data!$DN267,'Data_Price '!$AT$2:$AT$1266,0))</f>
        <v>https://tinyurl.com/y9ttp945</v>
      </c>
      <c r="DF267" t="str">
        <f>INDEX('Data_Price '!AO$2:AO$1266,MATCH(Data!$DN267,'Data_Price '!$AT$2:$AT$1266,0))</f>
        <v>Dynastar M-Pro 84 Skis - Women's 2022</v>
      </c>
      <c r="DG267" t="str">
        <f>INDEX('Data_Price '!AP$2:AP$1266,MATCH(Data!$DN267,'Data_Price '!$AT$2:$AT$1266,0))</f>
        <v>Powder7 Ski Shop</v>
      </c>
      <c r="DH267">
        <f>INDEX('Data_Price '!AQ$2:AQ$1266,MATCH(Data!$DN267,'Data_Price '!$AT$2:$AT$1266,0))</f>
        <v>399.95</v>
      </c>
      <c r="DI267" t="str">
        <f>INDEX('Data_Price '!AR$2:AR$1266,MATCH(Data!$DN267,'Data_Price '!$AT$2:$AT$1266,0))</f>
        <v>https://tinyurl.com/ycgl5e64</v>
      </c>
      <c r="DJ267" s="89" t="str">
        <f t="shared" si="180"/>
        <v>https://tinyurl.com/ycq2d4rq</v>
      </c>
      <c r="DK267" s="89" t="str">
        <f t="shared" si="181"/>
        <v>https://tinyurl.com/y9ttp945</v>
      </c>
      <c r="DL267" s="89" t="str">
        <f t="shared" si="182"/>
        <v>https://tinyurl.com/ycgl5e64</v>
      </c>
      <c r="DM267" s="219" t="str">
        <f t="shared" si="183"/>
        <v>M-Pro 84</v>
      </c>
      <c r="DN267" s="89" t="str">
        <f t="shared" si="184"/>
        <v xml:space="preserve"> DynastarM-Pro 84170 Unisex</v>
      </c>
      <c r="DO267" s="221" t="s">
        <v>421</v>
      </c>
    </row>
    <row r="268" spans="2:119" ht="15.6" customHeight="1">
      <c r="B268" s="219" t="b">
        <f t="array" ref="B268">IF(OR(ISERROR(K268:P268)),FALSE,TRUE)</f>
        <v>1</v>
      </c>
      <c r="C268" s="43" t="b">
        <f>OR(BR268=Driver!$G$50,Data!BR1011=Driver!$H$50)</f>
        <v>1</v>
      </c>
      <c r="D268" s="43" t="b">
        <f>OR(BV268=Driver!$G$51,BV268=Driver!$H$51)</f>
        <v>1</v>
      </c>
      <c r="E268" s="43" t="b">
        <f>AND(BX268&gt;Driver!$F$54,BX268&lt;Driver!$G$54)</f>
        <v>0</v>
      </c>
      <c r="F268" s="43" t="b">
        <f>CL268&gt;Driver!$F$56</f>
        <v>1</v>
      </c>
      <c r="G268" s="43" t="b">
        <f>AND(CB268&gt;Driver!$F$55,CB268&lt;Driver!$G$55)</f>
        <v>0</v>
      </c>
      <c r="H268" s="43" t="b">
        <f t="shared" si="148"/>
        <v>0</v>
      </c>
      <c r="I268" s="43">
        <f t="shared" si="149"/>
        <v>0</v>
      </c>
      <c r="J268" s="43" t="b">
        <f t="array" ref="J268">NOT(OR(($H$9:$H$1273=TRUE)*($I$9:$I$1273&gt;0)*($BT$9:$BT$1273=BT268)*($K$9:$K$1273&gt;K268)))</f>
        <v>1</v>
      </c>
      <c r="K268" s="72">
        <f t="shared" si="150"/>
        <v>0.83543572061854765</v>
      </c>
      <c r="L268" s="72">
        <f t="shared" si="151"/>
        <v>0.92626564429879987</v>
      </c>
      <c r="M268" s="72">
        <f t="shared" si="152"/>
        <v>0.74460579693829532</v>
      </c>
      <c r="N268" s="72">
        <f t="shared" si="153"/>
        <v>0.6404849558967266</v>
      </c>
      <c r="O268" s="72">
        <f t="shared" si="154"/>
        <v>0.62734831975310579</v>
      </c>
      <c r="P268" s="72">
        <f t="shared" si="155"/>
        <v>0.96598411516505345</v>
      </c>
      <c r="Q268" s="72"/>
      <c r="R268" s="72"/>
      <c r="S268" s="72">
        <f t="shared" si="156"/>
        <v>0.47621177357351652</v>
      </c>
      <c r="T268" s="72">
        <f t="shared" si="157"/>
        <v>0.71165606556439065</v>
      </c>
      <c r="U268" s="72">
        <f t="shared" si="158"/>
        <v>0.78453889021501455</v>
      </c>
      <c r="V268" s="72">
        <f t="shared" si="159"/>
        <v>0.50783993151334528</v>
      </c>
      <c r="W268" s="72">
        <f t="shared" si="160"/>
        <v>0.76874585635359116</v>
      </c>
      <c r="X268" s="72">
        <f t="shared" si="161"/>
        <v>7.3734355701200155E-2</v>
      </c>
      <c r="Y268" s="72">
        <f t="shared" si="162"/>
        <v>0.25539420306170468</v>
      </c>
      <c r="Z268" s="72">
        <f t="shared" si="163"/>
        <v>0.3595150441032734</v>
      </c>
      <c r="AA268" s="72">
        <f t="shared" si="164"/>
        <v>0.37265168024689416</v>
      </c>
      <c r="AB268" s="72">
        <f t="shared" si="165"/>
        <v>3.4015884834946608E-2</v>
      </c>
      <c r="AC268" s="72"/>
      <c r="AD268" s="72"/>
      <c r="AE268" s="72">
        <f t="shared" si="166"/>
        <v>0.52378822642648348</v>
      </c>
      <c r="AF268" s="72">
        <f t="shared" si="167"/>
        <v>0.28834393443560929</v>
      </c>
      <c r="AG268" s="72">
        <f t="shared" si="168"/>
        <v>0.21546110978498551</v>
      </c>
      <c r="AH268" s="72">
        <f t="shared" si="169"/>
        <v>0.49216006848665478</v>
      </c>
      <c r="AI268" s="72">
        <f t="shared" si="170"/>
        <v>0.23125414364640884</v>
      </c>
      <c r="AJ268" s="72">
        <f>(AV268-Driver!$K$179)/(Driver!$L$179-Driver!$K$179)</f>
        <v>0.18048505358150027</v>
      </c>
      <c r="AK268" s="72">
        <f>(AW268-Driver!$K$180)/(Driver!$L$180-Driver!$K$180)</f>
        <v>0.3041280605501071</v>
      </c>
      <c r="AL268" s="72">
        <f>(AX268-Driver!$K$181)/(Driver!$L$181-Driver!$K$181)</f>
        <v>0.46120280781635359</v>
      </c>
      <c r="AM268" s="72">
        <f>(AY268-Driver!$K$182)/(Driver!$L$182-Driver!$K$182)</f>
        <v>7.4733340850152208E-2</v>
      </c>
      <c r="AN268" s="72">
        <f>(AZ268-Driver!$K$183)/(Driver!$L$183-Driver!$K$183)</f>
        <v>0.28823529411764703</v>
      </c>
      <c r="AO268" s="72"/>
      <c r="AP268" s="72"/>
      <c r="AQ268" s="72">
        <f>(BC268-Driver!$K$188)/(Driver!$L$188-Driver!$K$188)</f>
        <v>9.6211773573516485E-2</v>
      </c>
      <c r="AR268" s="72">
        <f>MIN((BD268-Driver!$K$189)/(Driver!$L$189-Driver!$K$189),100%)</f>
        <v>0.26165606556439075</v>
      </c>
      <c r="AS268" s="72">
        <f>(BE268-Driver!$K$190)/(Driver!$L$190-Driver!$K$190)</f>
        <v>0.2945388902150145</v>
      </c>
      <c r="AT268" s="72">
        <f>(BF268-Driver!$K$191)/(Driver!$L$191-Driver!$K$191)</f>
        <v>1.783993151334522E-2</v>
      </c>
      <c r="AU268" s="72">
        <f>(BG268-Driver!$K$192)/(Driver!$L$192-Driver!$K$192)</f>
        <v>1.8745856353591158E-2</v>
      </c>
      <c r="AV268" s="70">
        <f t="shared" si="171"/>
        <v>3.7986704653371319</v>
      </c>
      <c r="AW268" s="70">
        <f t="shared" si="172"/>
        <v>31.511866970825277</v>
      </c>
      <c r="AX268" s="70">
        <f t="shared" si="173"/>
        <v>5.1508252703471822</v>
      </c>
      <c r="AY268" s="70">
        <f>IFERROR(Driver!$K$19/Data!BH268/Data!BI268*Data!BK268*Data!BL268,"")</f>
        <v>9.1495907477352631E-2</v>
      </c>
      <c r="AZ268" s="70">
        <f t="shared" si="174"/>
        <v>26.269545793000741</v>
      </c>
      <c r="BA268" s="70"/>
      <c r="BB268" s="70"/>
      <c r="BC268" s="70">
        <f t="shared" si="175"/>
        <v>49.905715805981686</v>
      </c>
      <c r="BD268" s="70">
        <f t="shared" si="176"/>
        <v>24.876921059432391</v>
      </c>
      <c r="BE268" s="70">
        <f t="shared" si="177"/>
        <v>0.29466473653669717</v>
      </c>
      <c r="BF268" s="70">
        <f t="shared" si="178"/>
        <v>2.0148949318201299</v>
      </c>
      <c r="BG268" s="70">
        <f t="shared" si="179"/>
        <v>7.0983770718232045E-2</v>
      </c>
      <c r="BH268" s="67">
        <f>MAX((CE268-Driver!$F$200)/(Driver!$G$200-Driver!$F$200)*$BI$1,1)</f>
        <v>5.1508252703471822</v>
      </c>
      <c r="BI268" s="67">
        <f>MAX($BI$1*(BY268-Driver!$F$201)/(Driver!$G$201-Driver!$F$201),1)</f>
        <v>7.9746835443037973</v>
      </c>
      <c r="BJ268" s="67">
        <f>(CB268-Driver!$F$206)/(Driver!$G$206-Driver!$F$206)*$BI$1</f>
        <v>2.5396825396825395</v>
      </c>
      <c r="BK268" s="67">
        <f>(CD268-Driver!$F$203)/(Driver!$G$203-Driver!$F$203)*$BI$1</f>
        <v>3.0275229357798166</v>
      </c>
      <c r="BL268" s="67">
        <f>MAX((CR268-Driver!$F$202)/(Driver!$G$202-Driver!$F$202)*$BI$1,1)</f>
        <v>6.2068965517241379</v>
      </c>
      <c r="BM268" s="67">
        <f>MAX((CH268-Driver!$F$204)/(Driver!$G$204-Driver!$F$204)*$BI$1,1)</f>
        <v>5.982905982905983</v>
      </c>
      <c r="BN268" s="67">
        <f>(CI268-Driver!$F$205)/(Driver!$G$205-Driver!$F$205)*$BI$1</f>
        <v>3.2941176470588234</v>
      </c>
      <c r="BO268" s="67">
        <f>(CK268-Driver!$F$207)/(Driver!$G$207-Driver!$F$207)*$BI$1</f>
        <v>1.6132368148914167</v>
      </c>
      <c r="BP268" s="67">
        <f>(CM268-Driver!$F$208)/(Driver!$G$208-Driver!$F$208)*$BI$1</f>
        <v>1.4888888888888887</v>
      </c>
      <c r="BQ268" s="67">
        <f>(CL268-Driver!$F$209)/(Driver!$G$209-Driver!$F$209)*$BI$1</f>
        <v>2.1875</v>
      </c>
      <c r="BR268" s="28" t="s">
        <v>155</v>
      </c>
      <c r="BS268" s="8" t="s">
        <v>172</v>
      </c>
      <c r="BT268" s="9" t="s">
        <v>469</v>
      </c>
      <c r="BU268" s="10">
        <v>176</v>
      </c>
      <c r="BV268" s="9" t="s">
        <v>158</v>
      </c>
      <c r="BW268" s="10">
        <v>176</v>
      </c>
      <c r="BX268" s="10">
        <v>174.4</v>
      </c>
      <c r="BY268" s="10">
        <v>134</v>
      </c>
      <c r="BZ268" s="10">
        <v>160</v>
      </c>
      <c r="CA268" s="10">
        <v>125</v>
      </c>
      <c r="CB268" s="10">
        <v>80</v>
      </c>
      <c r="CC268" s="10">
        <v>113</v>
      </c>
      <c r="CD268" s="10">
        <v>16</v>
      </c>
      <c r="CE268" s="10">
        <v>1805</v>
      </c>
      <c r="CF268" s="10">
        <v>0.91</v>
      </c>
      <c r="CG268" s="10">
        <v>1639</v>
      </c>
      <c r="CH268" s="10">
        <v>241</v>
      </c>
      <c r="CI268" s="10">
        <v>89</v>
      </c>
      <c r="CJ268" s="10">
        <v>48</v>
      </c>
      <c r="CK268" s="10">
        <v>266</v>
      </c>
      <c r="CL268" s="10">
        <v>14</v>
      </c>
      <c r="CM268" s="10">
        <v>134</v>
      </c>
      <c r="CN268" s="10">
        <v>0.28499999999999998</v>
      </c>
      <c r="CO268" s="10">
        <v>77</v>
      </c>
      <c r="CP268" s="10">
        <v>65</v>
      </c>
      <c r="CQ268" s="10">
        <v>189</v>
      </c>
      <c r="CR268" s="10">
        <v>7</v>
      </c>
      <c r="CS268" s="10">
        <v>6.1</v>
      </c>
      <c r="CT268" s="9" t="s">
        <v>160</v>
      </c>
      <c r="CU268" s="10"/>
      <c r="CV268" s="10"/>
      <c r="CW268" s="10"/>
      <c r="CX268" t="str">
        <f>INDEX('Data_Price '!AG$2:AG$1266,MATCH(Data!$DN268,'Data_Price '!$AT$2:$AT$1266,0))</f>
        <v>Rossignol Experience 82 Ti Konnect Black 176 Ski Men</v>
      </c>
      <c r="CY268" t="str">
        <f>INDEX('Data_Price '!AH$2:AH$1266,MATCH(Data!$DN268,'Data_Price '!$AT$2:$AT$1266,0))</f>
        <v>! OutdoorXL.com</v>
      </c>
      <c r="CZ268">
        <f>INDEX('Data_Price '!AI$2:AI$1266,MATCH(Data!$DN268,'Data_Price '!$AT$2:$AT$1266,0))</f>
        <v>469.95</v>
      </c>
      <c r="DA268" t="str">
        <f>INDEX('Data_Price '!AJ$2:AJ$1266,MATCH(Data!$DN268,'Data_Price '!$AT$2:$AT$1266,0))</f>
        <v>https://tinyurl.com/ydgg5sn9</v>
      </c>
      <c r="DB268" t="str">
        <f>INDEX('Data_Price '!AK$2:AK$1266,MATCH(Data!$DN268,'Data_Price '!$AT$2:$AT$1266,0))</f>
        <v>Rossignol Experience 86 Basalt Mens Skis</v>
      </c>
      <c r="DC268" t="str">
        <f>INDEX('Data_Price '!AL$2:AL$1266,MATCH(Data!$DN268,'Data_Price '!$AT$2:$AT$1266,0))</f>
        <v>UtahSkis</v>
      </c>
      <c r="DD268">
        <f>INDEX('Data_Price '!AM$2:AM$1266,MATCH(Data!$DN268,'Data_Price '!$AT$2:$AT$1266,0))</f>
        <v>479.96</v>
      </c>
      <c r="DE268" t="str">
        <f>INDEX('Data_Price '!AN$2:AN$1266,MATCH(Data!$DN268,'Data_Price '!$AT$2:$AT$1266,0))</f>
        <v>https://tinyurl.com/y7msfjyz</v>
      </c>
      <c r="DF268" t="str">
        <f>INDEX('Data_Price '!AO$2:AO$1266,MATCH(Data!$DN268,'Data_Price '!$AT$2:$AT$1266,0))</f>
        <v>Rossignol Men's All Mountain Skis Experience 82 Ti (Open)</v>
      </c>
      <c r="DG268" t="str">
        <f>INDEX('Data_Price '!AP$2:AP$1266,MATCH(Data!$DN268,'Data_Price '!$AT$2:$AT$1266,0))</f>
        <v>Aspen Ski and Board</v>
      </c>
      <c r="DH268">
        <f>INDEX('Data_Price '!AQ$2:AQ$1266,MATCH(Data!$DN268,'Data_Price '!$AT$2:$AT$1266,0))</f>
        <v>559.95000000000005</v>
      </c>
      <c r="DI268" t="str">
        <f>INDEX('Data_Price '!AR$2:AR$1266,MATCH(Data!$DN268,'Data_Price '!$AT$2:$AT$1266,0))</f>
        <v>https://tinyurl.com/y6ve32ou</v>
      </c>
      <c r="DJ268" s="89" t="str">
        <f t="shared" si="180"/>
        <v>https://tinyurl.com/ydgg5sn9</v>
      </c>
      <c r="DK268" s="89" t="str">
        <f t="shared" si="181"/>
        <v>https://tinyurl.com/y7msfjyz</v>
      </c>
      <c r="DL268" s="89" t="str">
        <f t="shared" si="182"/>
        <v>https://tinyurl.com/y6ve32ou</v>
      </c>
      <c r="DM268" s="219" t="str">
        <f t="shared" si="183"/>
        <v>Experience 82 Basalt</v>
      </c>
      <c r="DN268" s="89" t="str">
        <f t="shared" si="184"/>
        <v xml:space="preserve"> RossignolExperience 82 Basalt176 Unisex</v>
      </c>
      <c r="DO268" s="221"/>
    </row>
    <row r="269" spans="2:119" ht="15.6" customHeight="1">
      <c r="B269" s="219" t="b">
        <f t="array" ref="B269">IF(OR(ISERROR(K269:P269)),FALSE,TRUE)</f>
        <v>1</v>
      </c>
      <c r="C269" s="43" t="b">
        <f>OR(BR269=Driver!$G$50,Data!BR1150=Driver!$H$50)</f>
        <v>1</v>
      </c>
      <c r="D269" s="43" t="b">
        <f>OR(BV269=Driver!$G$51,BV269=Driver!$H$51)</f>
        <v>1</v>
      </c>
      <c r="E269" s="43" t="b">
        <f>AND(BX269&gt;Driver!$F$54,BX269&lt;Driver!$G$54)</f>
        <v>0</v>
      </c>
      <c r="F269" s="43" t="b">
        <f>CL269&gt;Driver!$F$56</f>
        <v>1</v>
      </c>
      <c r="G269" s="43" t="b">
        <f>AND(CB269&gt;Driver!$F$55,CB269&lt;Driver!$G$55)</f>
        <v>0</v>
      </c>
      <c r="H269" s="43" t="b">
        <f t="shared" si="148"/>
        <v>0</v>
      </c>
      <c r="I269" s="43">
        <f t="shared" si="149"/>
        <v>0</v>
      </c>
      <c r="J269" s="43" t="b">
        <f t="array" ref="J269">NOT(OR(($H$9:$H$1273=TRUE)*($I$9:$I$1273&gt;0)*($BT$9:$BT$1273=BT269)*($K$9:$K$1273&gt;K269)))</f>
        <v>1</v>
      </c>
      <c r="K269" s="72">
        <f t="shared" si="150"/>
        <v>0.83436077935783803</v>
      </c>
      <c r="L269" s="72">
        <f t="shared" si="151"/>
        <v>0.89298871254471068</v>
      </c>
      <c r="M269" s="72">
        <f t="shared" si="152"/>
        <v>0.77573284617096538</v>
      </c>
      <c r="N269" s="72">
        <f t="shared" si="153"/>
        <v>0.67273690049926871</v>
      </c>
      <c r="O269" s="72">
        <f t="shared" si="154"/>
        <v>0.69186804572439098</v>
      </c>
      <c r="P269" s="72">
        <f t="shared" si="155"/>
        <v>0.96259359228923635</v>
      </c>
      <c r="Q269" s="72"/>
      <c r="R269" s="72"/>
      <c r="S269" s="72">
        <f t="shared" si="156"/>
        <v>0.53191317691122386</v>
      </c>
      <c r="T269" s="72">
        <f t="shared" si="157"/>
        <v>0.4968992753182403</v>
      </c>
      <c r="U269" s="72">
        <f t="shared" si="158"/>
        <v>0.5899111502675195</v>
      </c>
      <c r="V269" s="72">
        <f t="shared" si="159"/>
        <v>0.50526167884521667</v>
      </c>
      <c r="W269" s="72">
        <f t="shared" si="160"/>
        <v>0.83220140515222485</v>
      </c>
      <c r="X269" s="72">
        <f t="shared" si="161"/>
        <v>0.10701128745528929</v>
      </c>
      <c r="Y269" s="72">
        <f t="shared" si="162"/>
        <v>0.22426715382903462</v>
      </c>
      <c r="Z269" s="72">
        <f t="shared" si="163"/>
        <v>0.32726309950073124</v>
      </c>
      <c r="AA269" s="72">
        <f t="shared" si="164"/>
        <v>0.30813195427560902</v>
      </c>
      <c r="AB269" s="72">
        <f t="shared" si="165"/>
        <v>3.7406407710763645E-2</v>
      </c>
      <c r="AC269" s="72"/>
      <c r="AD269" s="72"/>
      <c r="AE269" s="72">
        <f t="shared" si="166"/>
        <v>0.46808682308877614</v>
      </c>
      <c r="AF269" s="72">
        <f t="shared" si="167"/>
        <v>0.5031007246817597</v>
      </c>
      <c r="AG269" s="72">
        <f t="shared" si="168"/>
        <v>0.4100888497324805</v>
      </c>
      <c r="AH269" s="72">
        <f t="shared" si="169"/>
        <v>0.49473832115478328</v>
      </c>
      <c r="AI269" s="72">
        <f t="shared" si="170"/>
        <v>0.16779859484777521</v>
      </c>
      <c r="AJ269" s="72">
        <f>(AV269-Driver!$K$179)/(Driver!$L$179-Driver!$K$179)</f>
        <v>0.14720812182741114</v>
      </c>
      <c r="AK269" s="72">
        <f>(AW269-Driver!$K$180)/(Driver!$L$180-Driver!$K$180)</f>
        <v>0.30513087930780181</v>
      </c>
      <c r="AL269" s="72">
        <f>(AX269-Driver!$K$181)/(Driver!$L$181-Driver!$K$181)</f>
        <v>0.42895086321381143</v>
      </c>
      <c r="AM269" s="72">
        <f>(AY269-Driver!$K$182)/(Driver!$L$182-Driver!$K$182)</f>
        <v>0.13925306682143732</v>
      </c>
      <c r="AN269" s="72">
        <f>(AZ269-Driver!$K$183)/(Driver!$L$183-Driver!$K$183)</f>
        <v>0.29162581699346407</v>
      </c>
      <c r="AO269" s="72"/>
      <c r="AP269" s="72"/>
      <c r="AQ269" s="72">
        <f>(BC269-Driver!$K$188)/(Driver!$L$188-Driver!$K$188)</f>
        <v>0.15191317691122383</v>
      </c>
      <c r="AR269" s="72">
        <f>MIN((BD269-Driver!$K$189)/(Driver!$L$189-Driver!$K$189),100%)</f>
        <v>4.6899275318240313E-2</v>
      </c>
      <c r="AS269" s="72">
        <f>(BE269-Driver!$K$190)/(Driver!$L$190-Driver!$K$190)</f>
        <v>9.9911150267519538E-2</v>
      </c>
      <c r="AT269" s="72">
        <f>(BF269-Driver!$K$191)/(Driver!$L$191-Driver!$K$191)</f>
        <v>1.5261678845216705E-2</v>
      </c>
      <c r="AU269" s="72">
        <f>(BG269-Driver!$K$192)/(Driver!$L$192-Driver!$K$192)</f>
        <v>8.2201405152224807E-2</v>
      </c>
      <c r="AV269" s="70">
        <f t="shared" si="171"/>
        <v>3.0982905982905979</v>
      </c>
      <c r="AW269" s="70">
        <f t="shared" si="172"/>
        <v>31.609600544640767</v>
      </c>
      <c r="AX269" s="70">
        <f t="shared" si="173"/>
        <v>4.8605577689243029</v>
      </c>
      <c r="AY269" s="70">
        <f>IFERROR(Driver!$K$19/Data!BH269/Data!BI269*Data!BK269*Data!BL269,"")</f>
        <v>0.17048730289442002</v>
      </c>
      <c r="AZ269" s="70">
        <f t="shared" si="174"/>
        <v>26.578555472822043</v>
      </c>
      <c r="BA269" s="70"/>
      <c r="BB269" s="70"/>
      <c r="BC269" s="70">
        <f t="shared" si="175"/>
        <v>78.798420947124228</v>
      </c>
      <c r="BD269" s="70">
        <f t="shared" si="176"/>
        <v>5.8713256491634516</v>
      </c>
      <c r="BE269" s="70">
        <f t="shared" si="177"/>
        <v>0.10007171598738028</v>
      </c>
      <c r="BF269" s="70">
        <f t="shared" si="178"/>
        <v>1.7236994062051463</v>
      </c>
      <c r="BG269" s="70">
        <f t="shared" si="179"/>
        <v>0.31126695873374782</v>
      </c>
      <c r="BH269" s="67">
        <f>MAX((CE269-Driver!$F$200)/(Driver!$G$200-Driver!$F$200)*$BI$1,1)</f>
        <v>4.8605577689243029</v>
      </c>
      <c r="BI269" s="67">
        <f>MAX($BI$1*(BY269-Driver!$F$201)/(Driver!$G$201-Driver!$F$201),1)</f>
        <v>7.6582278481012658</v>
      </c>
      <c r="BJ269" s="67">
        <f>(CB269-Driver!$F$206)/(Driver!$G$206-Driver!$F$206)*$BI$1</f>
        <v>3.333333333333333</v>
      </c>
      <c r="BK269" s="67">
        <f>(CD269-Driver!$F$203)/(Driver!$G$203-Driver!$F$203)*$BI$1</f>
        <v>5.4128440366972477</v>
      </c>
      <c r="BL269" s="67">
        <f>MAX((CR269-Driver!$F$202)/(Driver!$G$202-Driver!$F$202)*$BI$1,1)</f>
        <v>5.8620689655172411</v>
      </c>
      <c r="BM269" s="67">
        <f>MAX((CH269-Driver!$F$204)/(Driver!$G$204-Driver!$F$204)*$BI$1,1)</f>
        <v>3.7179487179487181</v>
      </c>
      <c r="BN269" s="67">
        <f>(CI269-Driver!$F$205)/(Driver!$G$205-Driver!$F$205)*$BI$1</f>
        <v>3.4705882352941178</v>
      </c>
      <c r="BO269" s="67">
        <f>(CK269-Driver!$F$207)/(Driver!$G$207-Driver!$F$207)*$BI$1</f>
        <v>1.199586349534643</v>
      </c>
      <c r="BP269" s="67">
        <f>(CM269-Driver!$F$208)/(Driver!$G$208-Driver!$F$208)*$BI$1</f>
        <v>2.3333333333333335</v>
      </c>
      <c r="BQ269" s="67">
        <f>(CL269-Driver!$F$209)/(Driver!$G$209-Driver!$F$209)*$BI$1</f>
        <v>5.625</v>
      </c>
      <c r="BR269" s="28" t="s">
        <v>155</v>
      </c>
      <c r="BS269" s="8" t="s">
        <v>229</v>
      </c>
      <c r="BT269" s="9" t="s">
        <v>470</v>
      </c>
      <c r="BU269" s="10">
        <v>172</v>
      </c>
      <c r="BV269" s="9" t="s">
        <v>158</v>
      </c>
      <c r="BW269" s="10">
        <v>172</v>
      </c>
      <c r="BX269" s="10">
        <v>173</v>
      </c>
      <c r="BY269" s="10">
        <v>129</v>
      </c>
      <c r="BZ269" s="10">
        <v>159</v>
      </c>
      <c r="CA269" s="10">
        <v>119</v>
      </c>
      <c r="CB269" s="10">
        <v>85</v>
      </c>
      <c r="CC269" s="10">
        <v>109</v>
      </c>
      <c r="CD269" s="10">
        <v>21.2</v>
      </c>
      <c r="CE269" s="10">
        <v>1754</v>
      </c>
      <c r="CF269" s="10">
        <v>0.94</v>
      </c>
      <c r="CG269" s="10">
        <v>1655</v>
      </c>
      <c r="CH269" s="10">
        <v>188</v>
      </c>
      <c r="CI269" s="10">
        <v>92</v>
      </c>
      <c r="CJ269" s="10">
        <v>42</v>
      </c>
      <c r="CK269" s="10">
        <v>226</v>
      </c>
      <c r="CL269" s="10">
        <v>36</v>
      </c>
      <c r="CM269" s="10">
        <v>210</v>
      </c>
      <c r="CN269" s="10">
        <v>0.86099999999999999</v>
      </c>
      <c r="CO269" s="10">
        <v>81</v>
      </c>
      <c r="CP269" s="10">
        <v>62</v>
      </c>
      <c r="CQ269" s="10">
        <v>145</v>
      </c>
      <c r="CR269" s="10">
        <v>6</v>
      </c>
      <c r="CS269" s="10">
        <v>2</v>
      </c>
      <c r="CT269" s="9" t="s">
        <v>184</v>
      </c>
      <c r="CU269" s="10"/>
      <c r="CV269" s="10"/>
      <c r="CW269" s="10"/>
      <c r="CX269" t="e">
        <f>INDEX('Data_Price '!AG$2:AG$1266,MATCH(Data!$DN269,'Data_Price '!$AT$2:$AT$1266,0))</f>
        <v>#N/A</v>
      </c>
      <c r="CY269" t="e">
        <f>INDEX('Data_Price '!AH$2:AH$1266,MATCH(Data!$DN269,'Data_Price '!$AT$2:$AT$1266,0))</f>
        <v>#N/A</v>
      </c>
      <c r="CZ269" t="e">
        <f>INDEX('Data_Price '!AI$2:AI$1266,MATCH(Data!$DN269,'Data_Price '!$AT$2:$AT$1266,0))</f>
        <v>#N/A</v>
      </c>
      <c r="DA269" t="e">
        <f>INDEX('Data_Price '!AJ$2:AJ$1266,MATCH(Data!$DN269,'Data_Price '!$AT$2:$AT$1266,0))</f>
        <v>#N/A</v>
      </c>
      <c r="DB269" t="e">
        <f>INDEX('Data_Price '!AK$2:AK$1266,MATCH(Data!$DN269,'Data_Price '!$AT$2:$AT$1266,0))</f>
        <v>#N/A</v>
      </c>
      <c r="DC269" t="e">
        <f>INDEX('Data_Price '!AL$2:AL$1266,MATCH(Data!$DN269,'Data_Price '!$AT$2:$AT$1266,0))</f>
        <v>#N/A</v>
      </c>
      <c r="DD269" t="e">
        <f>INDEX('Data_Price '!AM$2:AM$1266,MATCH(Data!$DN269,'Data_Price '!$AT$2:$AT$1266,0))</f>
        <v>#N/A</v>
      </c>
      <c r="DE269" t="e">
        <f>INDEX('Data_Price '!AN$2:AN$1266,MATCH(Data!$DN269,'Data_Price '!$AT$2:$AT$1266,0))</f>
        <v>#N/A</v>
      </c>
      <c r="DF269" t="e">
        <f>INDEX('Data_Price '!AO$2:AO$1266,MATCH(Data!$DN269,'Data_Price '!$AT$2:$AT$1266,0))</f>
        <v>#N/A</v>
      </c>
      <c r="DG269" t="e">
        <f>INDEX('Data_Price '!AP$2:AP$1266,MATCH(Data!$DN269,'Data_Price '!$AT$2:$AT$1266,0))</f>
        <v>#N/A</v>
      </c>
      <c r="DH269" t="e">
        <f>INDEX('Data_Price '!AQ$2:AQ$1266,MATCH(Data!$DN269,'Data_Price '!$AT$2:$AT$1266,0))</f>
        <v>#N/A</v>
      </c>
      <c r="DI269" t="e">
        <f>INDEX('Data_Price '!AR$2:AR$1266,MATCH(Data!$DN269,'Data_Price '!$AT$2:$AT$1266,0))</f>
        <v>#N/A</v>
      </c>
      <c r="DJ269" s="89" t="e">
        <f t="shared" si="180"/>
        <v>#N/A</v>
      </c>
      <c r="DK269" s="89" t="e">
        <f t="shared" si="181"/>
        <v>#N/A</v>
      </c>
      <c r="DL269" s="89" t="e">
        <f t="shared" si="182"/>
        <v>#N/A</v>
      </c>
      <c r="DM269" s="219" t="str">
        <f t="shared" si="183"/>
        <v>Bash 86</v>
      </c>
      <c r="DN269" s="89" t="str">
        <f t="shared" si="184"/>
        <v xml:space="preserve"> VölklBash 86172 Unisex</v>
      </c>
      <c r="DO269" s="221" t="s">
        <v>471</v>
      </c>
    </row>
    <row r="270" spans="2:119" ht="15.6" customHeight="1">
      <c r="B270" s="219" t="b">
        <f t="array" ref="B270">IF(OR(ISERROR(K270:P270)),FALSE,TRUE)</f>
        <v>1</v>
      </c>
      <c r="C270" s="43" t="b">
        <f>OR(BR270=Driver!$G$50,Data!BR406=Driver!$H$50)</f>
        <v>1</v>
      </c>
      <c r="D270" s="43" t="b">
        <f>OR(BV270=Driver!$G$51,BV270=Driver!$H$51)</f>
        <v>0</v>
      </c>
      <c r="E270" s="43" t="b">
        <f>AND(BX270&gt;Driver!$F$54,BX270&lt;Driver!$G$54)</f>
        <v>1</v>
      </c>
      <c r="F270" s="43" t="b">
        <f>CL270&gt;Driver!$F$56</f>
        <v>1</v>
      </c>
      <c r="G270" s="43" t="b">
        <f>AND(CB270&gt;Driver!$F$55,CB270&lt;Driver!$G$55)</f>
        <v>0</v>
      </c>
      <c r="H270" s="43" t="b">
        <f t="shared" si="148"/>
        <v>0</v>
      </c>
      <c r="I270" s="43">
        <f t="shared" si="149"/>
        <v>0</v>
      </c>
      <c r="J270" s="43" t="b">
        <f t="array" ref="J270">NOT(OR(($H$9:$H$1273=TRUE)*($I$9:$I$1273&gt;0)*($BT$9:$BT$1273=BT270)*($K$9:$K$1273&gt;K270)))</f>
        <v>1</v>
      </c>
      <c r="K270" s="72">
        <f t="shared" si="150"/>
        <v>0.89669885017690298</v>
      </c>
      <c r="L270" s="72">
        <f t="shared" si="151"/>
        <v>0.99444985002075548</v>
      </c>
      <c r="M270" s="72">
        <f t="shared" si="152"/>
        <v>0.79894785033305049</v>
      </c>
      <c r="N270" s="72">
        <f t="shared" si="153"/>
        <v>0.79478837713241868</v>
      </c>
      <c r="O270" s="72">
        <f t="shared" si="154"/>
        <v>0.6264543217115246</v>
      </c>
      <c r="P270" s="72">
        <f t="shared" si="155"/>
        <v>0.97560085215520809</v>
      </c>
      <c r="Q270" s="72"/>
      <c r="R270" s="72"/>
      <c r="S270" s="72">
        <f t="shared" si="156"/>
        <v>0.41674153205127318</v>
      </c>
      <c r="T270" s="72">
        <f t="shared" si="157"/>
        <v>0.52895379798074593</v>
      </c>
      <c r="U270" s="72">
        <f t="shared" si="158"/>
        <v>0.68308251335248693</v>
      </c>
      <c r="V270" s="72">
        <f t="shared" si="159"/>
        <v>0.57333664907568693</v>
      </c>
      <c r="W270" s="72">
        <f t="shared" si="160"/>
        <v>0.78454992435703486</v>
      </c>
      <c r="X270" s="72">
        <f t="shared" si="161"/>
        <v>5.5501499792445785E-3</v>
      </c>
      <c r="Y270" s="72">
        <f t="shared" si="162"/>
        <v>0.20105214966694954</v>
      </c>
      <c r="Z270" s="72">
        <f t="shared" si="163"/>
        <v>0.20521162286758127</v>
      </c>
      <c r="AA270" s="72">
        <f t="shared" si="164"/>
        <v>0.3735456782884754</v>
      </c>
      <c r="AB270" s="72">
        <f t="shared" si="165"/>
        <v>2.4399147844791913E-2</v>
      </c>
      <c r="AC270" s="72"/>
      <c r="AD270" s="72"/>
      <c r="AE270" s="72">
        <f t="shared" si="166"/>
        <v>0.58325846794872682</v>
      </c>
      <c r="AF270" s="72">
        <f t="shared" si="167"/>
        <v>0.47104620201925401</v>
      </c>
      <c r="AG270" s="72">
        <f t="shared" si="168"/>
        <v>0.31691748664751301</v>
      </c>
      <c r="AH270" s="72">
        <f t="shared" si="169"/>
        <v>0.42666335092431307</v>
      </c>
      <c r="AI270" s="72">
        <f t="shared" si="170"/>
        <v>0.2154500756429652</v>
      </c>
      <c r="AJ270" s="72">
        <f>(AV270-Driver!$K$179)/(Driver!$L$179-Driver!$K$179)</f>
        <v>0.259769559261945</v>
      </c>
      <c r="AK270" s="72">
        <f>(AW270-Driver!$K$180)/(Driver!$L$180-Driver!$K$180)</f>
        <v>0.23524025535768725</v>
      </c>
      <c r="AL270" s="72">
        <f>(AX270-Driver!$K$181)/(Driver!$L$181-Driver!$K$181)</f>
        <v>0.30689938658066146</v>
      </c>
      <c r="AM270" s="72">
        <f>(AY270-Driver!$K$182)/(Driver!$L$182-Driver!$K$182)</f>
        <v>7.3839342808570949E-2</v>
      </c>
      <c r="AN270" s="72">
        <f>(AZ270-Driver!$K$183)/(Driver!$L$183-Driver!$K$183)</f>
        <v>0.22982026143790851</v>
      </c>
      <c r="AO270" s="72"/>
      <c r="AP270" s="72"/>
      <c r="AQ270" s="72">
        <f>(BC270-Driver!$K$188)/(Driver!$L$188-Driver!$K$188)</f>
        <v>3.6741532051273139E-2</v>
      </c>
      <c r="AR270" s="72">
        <f>MIN((BD270-Driver!$K$189)/(Driver!$L$189-Driver!$K$189),100%)</f>
        <v>7.8953797980746032E-2</v>
      </c>
      <c r="AS270" s="72">
        <f>(BE270-Driver!$K$190)/(Driver!$L$190-Driver!$K$190)</f>
        <v>0.193082513352487</v>
      </c>
      <c r="AT270" s="72">
        <f>(BF270-Driver!$K$191)/(Driver!$L$191-Driver!$K$191)</f>
        <v>8.3336649075686942E-2</v>
      </c>
      <c r="AU270" s="72">
        <f>(BG270-Driver!$K$192)/(Driver!$L$192-Driver!$K$192)</f>
        <v>3.4549924357034793E-2</v>
      </c>
      <c r="AV270" s="70">
        <f t="shared" si="171"/>
        <v>5.4673721340388006</v>
      </c>
      <c r="AW270" s="70">
        <f t="shared" si="172"/>
        <v>24.798139946774118</v>
      </c>
      <c r="AX270" s="70">
        <f t="shared" si="173"/>
        <v>3.762094479225953</v>
      </c>
      <c r="AY270" s="70">
        <f>IFERROR(Driver!$K$19/Data!BH270/Data!BI270*Data!BK270*Data!BL270,"")</f>
        <v>9.0401387131186589E-2</v>
      </c>
      <c r="AZ270" s="70">
        <f t="shared" si="174"/>
        <v>20.945644080416979</v>
      </c>
      <c r="BA270" s="70"/>
      <c r="BB270" s="70"/>
      <c r="BC270" s="70">
        <f t="shared" si="175"/>
        <v>19.058088097982321</v>
      </c>
      <c r="BD270" s="70">
        <f t="shared" si="176"/>
        <v>8.7080941075419194</v>
      </c>
      <c r="BE270" s="70">
        <f t="shared" si="177"/>
        <v>0.19322645834986171</v>
      </c>
      <c r="BF270" s="70">
        <f t="shared" si="178"/>
        <v>9.4122890400036159</v>
      </c>
      <c r="BG270" s="70">
        <f t="shared" si="179"/>
        <v>0.13082805408472012</v>
      </c>
      <c r="BH270" s="67">
        <f>MAX((CE270-Driver!$F$200)/(Driver!$G$200-Driver!$F$200)*$BI$1,1)</f>
        <v>3.762094479225953</v>
      </c>
      <c r="BI270" s="67">
        <f>MAX($BI$1*(BY270-Driver!$F$201)/(Driver!$G$201-Driver!$F$201),1)</f>
        <v>6.1392405063291138</v>
      </c>
      <c r="BJ270" s="67">
        <f>(CB270-Driver!$F$206)/(Driver!$G$206-Driver!$F$206)*$BI$1</f>
        <v>4.92063492063492</v>
      </c>
      <c r="BK270" s="67">
        <f>(CD270-Driver!$F$203)/(Driver!$G$203-Driver!$F$203)*$BI$1</f>
        <v>2.0183486238532113</v>
      </c>
      <c r="BL270" s="67">
        <f>MAX((CR270-Driver!$F$202)/(Driver!$G$202-Driver!$F$202)*$BI$1,1)</f>
        <v>5.1724137931034484</v>
      </c>
      <c r="BM270" s="67">
        <f>MAX((CH270-Driver!$F$204)/(Driver!$G$204-Driver!$F$204)*$BI$1,1)</f>
        <v>4.4444444444444446</v>
      </c>
      <c r="BN270" s="67">
        <f>(CI270-Driver!$F$205)/(Driver!$G$205-Driver!$F$205)*$BI$1</f>
        <v>3.4117647058823533</v>
      </c>
      <c r="BO270" s="67">
        <f>(CK270-Driver!$F$207)/(Driver!$G$207-Driver!$F$207)*$BI$1</f>
        <v>2.3164426059979317</v>
      </c>
      <c r="BP270" s="67">
        <f>(CM270-Driver!$F$208)/(Driver!$G$208-Driver!$F$208)*$BI$1</f>
        <v>1.6666666666666665</v>
      </c>
      <c r="BQ270" s="67">
        <f>(CL270-Driver!$F$209)/(Driver!$G$209-Driver!$F$209)*$BI$1</f>
        <v>2.1875</v>
      </c>
      <c r="BR270" s="28" t="s">
        <v>155</v>
      </c>
      <c r="BS270" s="8" t="s">
        <v>202</v>
      </c>
      <c r="BT270" s="9" t="s">
        <v>211</v>
      </c>
      <c r="BU270" s="10">
        <v>154</v>
      </c>
      <c r="BV270" s="9" t="s">
        <v>163</v>
      </c>
      <c r="BW270" s="10">
        <v>154</v>
      </c>
      <c r="BX270" s="10">
        <v>153.69999999999999</v>
      </c>
      <c r="BY270" s="10">
        <v>105</v>
      </c>
      <c r="BZ270" s="10">
        <v>124</v>
      </c>
      <c r="CA270" s="10">
        <v>124</v>
      </c>
      <c r="CB270" s="10">
        <v>95</v>
      </c>
      <c r="CC270" s="10">
        <v>114</v>
      </c>
      <c r="CD270" s="10">
        <v>13.8</v>
      </c>
      <c r="CE270" s="10">
        <v>1561</v>
      </c>
      <c r="CF270" s="10">
        <v>1.03</v>
      </c>
      <c r="CG270" s="10">
        <v>1614</v>
      </c>
      <c r="CH270" s="10">
        <v>205</v>
      </c>
      <c r="CI270" s="10">
        <v>91</v>
      </c>
      <c r="CJ270" s="10">
        <v>64</v>
      </c>
      <c r="CK270" s="10">
        <v>334</v>
      </c>
      <c r="CL270" s="10">
        <v>14</v>
      </c>
      <c r="CM270" s="10">
        <v>150</v>
      </c>
      <c r="CN270" s="10">
        <v>0.22500000000000001</v>
      </c>
      <c r="CO270" s="10">
        <v>194</v>
      </c>
      <c r="CP270" s="10">
        <v>99</v>
      </c>
      <c r="CQ270" s="10">
        <v>140</v>
      </c>
      <c r="CR270" s="10">
        <v>4</v>
      </c>
      <c r="CS270" s="10">
        <v>11.2</v>
      </c>
      <c r="CT270" s="9" t="s">
        <v>188</v>
      </c>
      <c r="CU270" s="10"/>
      <c r="CV270" s="10"/>
      <c r="CW270" s="10"/>
      <c r="CX270" t="str">
        <f>INDEX('Data_Price '!AG$2:AG$1266,MATCH(Data!$DN270,'Data_Price '!$AT$2:$AT$1266,0))</f>
        <v>Dynastar M-Pro 99 W Skis Women's 2022 - 154</v>
      </c>
      <c r="CY270" t="str">
        <f>INDEX('Data_Price '!AH$2:AH$1266,MATCH(Data!$DN270,'Data_Price '!$AT$2:$AT$1266,0))</f>
        <v>Snowcountry.eu</v>
      </c>
      <c r="CZ270">
        <f>INDEX('Data_Price '!AI$2:AI$1266,MATCH(Data!$DN270,'Data_Price '!$AT$2:$AT$1266,0))</f>
        <v>414</v>
      </c>
      <c r="DA270" t="str">
        <f>INDEX('Data_Price '!AJ$2:AJ$1266,MATCH(Data!$DN270,'Data_Price '!$AT$2:$AT$1266,0))</f>
        <v>https://tinyurl.com/ybh4la3c</v>
      </c>
      <c r="DB270" t="str">
        <f>INDEX('Data_Price '!AK$2:AK$1266,MATCH(Data!$DN270,'Data_Price '!$AT$2:$AT$1266,0))</f>
        <v>Dynastar M-Pro 99 W Skis Women's 2022 - 154</v>
      </c>
      <c r="DC270" t="str">
        <f>INDEX('Data_Price '!AL$2:AL$1266,MATCH(Data!$DN270,'Data_Price '!$AT$2:$AT$1266,0))</f>
        <v>Next Adventure</v>
      </c>
      <c r="DD270">
        <f>INDEX('Data_Price '!AM$2:AM$1266,MATCH(Data!$DN270,'Data_Price '!$AT$2:$AT$1266,0))</f>
        <v>489.97</v>
      </c>
      <c r="DE270" t="str">
        <f>INDEX('Data_Price '!AN$2:AN$1266,MATCH(Data!$DN270,'Data_Price '!$AT$2:$AT$1266,0))</f>
        <v>https://tinyurl.com/y7qvorl6</v>
      </c>
      <c r="DF270" t="str">
        <f>INDEX('Data_Price '!AO$2:AO$1266,MATCH(Data!$DN270,'Data_Price '!$AT$2:$AT$1266,0))</f>
        <v>Dynastar M-Pro 99 W Skis Women's 2022 - 154</v>
      </c>
      <c r="DG270" t="str">
        <f>INDEX('Data_Price '!AP$2:AP$1266,MATCH(Data!$DN270,'Data_Price '!$AT$2:$AT$1266,0))</f>
        <v>Level Nine Sports</v>
      </c>
      <c r="DH270">
        <f>INDEX('Data_Price '!AQ$2:AQ$1266,MATCH(Data!$DN270,'Data_Price '!$AT$2:$AT$1266,0))</f>
        <v>559.96</v>
      </c>
      <c r="DI270" t="str">
        <f>INDEX('Data_Price '!AR$2:AR$1266,MATCH(Data!$DN270,'Data_Price '!$AT$2:$AT$1266,0))</f>
        <v>https://tinyurl.com/y7k3d7ee</v>
      </c>
      <c r="DJ270" s="89" t="str">
        <f t="shared" si="180"/>
        <v>https://tinyurl.com/ybh4la3c</v>
      </c>
      <c r="DK270" s="89" t="str">
        <f t="shared" si="181"/>
        <v>https://tinyurl.com/y7qvorl6</v>
      </c>
      <c r="DL270" s="89" t="str">
        <f t="shared" si="182"/>
        <v>https://tinyurl.com/y7k3d7ee</v>
      </c>
      <c r="DM270" s="219" t="str">
        <f t="shared" si="183"/>
        <v>M-Pro 99 W</v>
      </c>
      <c r="DN270" s="89" t="str">
        <f t="shared" si="184"/>
        <v xml:space="preserve"> DynastarM-Pro 99 W154 Women's</v>
      </c>
      <c r="DO270" s="221" t="s">
        <v>212</v>
      </c>
    </row>
    <row r="271" spans="2:119" ht="15.6" customHeight="1">
      <c r="B271" s="219" t="b">
        <f t="array" ref="B271">IF(OR(ISERROR(K271:P271)),FALSE,TRUE)</f>
        <v>1</v>
      </c>
      <c r="C271" s="43" t="b">
        <f>OR(BR271=Driver!$G$50,Data!BR1108=Driver!$H$50)</f>
        <v>1</v>
      </c>
      <c r="D271" s="43" t="b">
        <f>OR(BV271=Driver!$G$51,BV271=Driver!$H$51)</f>
        <v>1</v>
      </c>
      <c r="E271" s="43" t="b">
        <f>AND(BX271&gt;Driver!$F$54,BX271&lt;Driver!$G$54)</f>
        <v>0</v>
      </c>
      <c r="F271" s="43" t="b">
        <f>CL271&gt;Driver!$F$56</f>
        <v>1</v>
      </c>
      <c r="G271" s="43" t="b">
        <f>AND(CB271&gt;Driver!$F$55,CB271&lt;Driver!$G$55)</f>
        <v>0</v>
      </c>
      <c r="H271" s="43" t="b">
        <f t="shared" si="148"/>
        <v>0</v>
      </c>
      <c r="I271" s="43">
        <f t="shared" si="149"/>
        <v>0</v>
      </c>
      <c r="J271" s="43" t="b">
        <f t="array" ref="J271">NOT(OR(($H$9:$H$1273=TRUE)*($I$9:$I$1273&gt;0)*($BT$9:$BT$1273=BT271)*($K$9:$K$1273&gt;K271)))</f>
        <v>1</v>
      </c>
      <c r="K271" s="72">
        <f t="shared" si="150"/>
        <v>0.83093186035469635</v>
      </c>
      <c r="L271" s="72">
        <f t="shared" si="151"/>
        <v>0.86760800188481224</v>
      </c>
      <c r="M271" s="72">
        <f t="shared" si="152"/>
        <v>0.79425571882458046</v>
      </c>
      <c r="N271" s="72">
        <f t="shared" si="153"/>
        <v>0.74293230934009591</v>
      </c>
      <c r="O271" s="72">
        <f t="shared" si="154"/>
        <v>0.6722984443868929</v>
      </c>
      <c r="P271" s="72">
        <f t="shared" si="155"/>
        <v>0.96753640274675268</v>
      </c>
      <c r="Q271" s="72"/>
      <c r="R271" s="72"/>
      <c r="S271" s="72">
        <f t="shared" si="156"/>
        <v>0.46878808939029981</v>
      </c>
      <c r="T271" s="72">
        <f t="shared" si="157"/>
        <v>0.49825139290164389</v>
      </c>
      <c r="U271" s="72">
        <f t="shared" si="158"/>
        <v>0.78457735863174682</v>
      </c>
      <c r="V271" s="72">
        <f t="shared" si="159"/>
        <v>0.5095788639880674</v>
      </c>
      <c r="W271" s="72">
        <f t="shared" si="160"/>
        <v>0.77899442414920206</v>
      </c>
      <c r="X271" s="72">
        <f t="shared" si="161"/>
        <v>0.13239199811518776</v>
      </c>
      <c r="Y271" s="72">
        <f t="shared" si="162"/>
        <v>0.20574428117541951</v>
      </c>
      <c r="Z271" s="72">
        <f t="shared" si="163"/>
        <v>0.25706769065990409</v>
      </c>
      <c r="AA271" s="72">
        <f t="shared" si="164"/>
        <v>0.3277015556131071</v>
      </c>
      <c r="AB271" s="72">
        <f t="shared" si="165"/>
        <v>3.2463597253247323E-2</v>
      </c>
      <c r="AC271" s="72"/>
      <c r="AD271" s="72"/>
      <c r="AE271" s="72">
        <f t="shared" si="166"/>
        <v>0.53121191060970019</v>
      </c>
      <c r="AF271" s="72">
        <f t="shared" si="167"/>
        <v>0.50174860709835611</v>
      </c>
      <c r="AG271" s="72">
        <f t="shared" si="168"/>
        <v>0.21542264136825318</v>
      </c>
      <c r="AH271" s="72">
        <f t="shared" si="169"/>
        <v>0.4904211360119326</v>
      </c>
      <c r="AI271" s="72">
        <f t="shared" si="170"/>
        <v>0.22100557585079791</v>
      </c>
      <c r="AJ271" s="72">
        <f>(AV271-Driver!$K$179)/(Driver!$L$179-Driver!$K$179)</f>
        <v>0.12182741116751267</v>
      </c>
      <c r="AK271" s="72">
        <f>(AW271-Driver!$K$180)/(Driver!$L$180-Driver!$K$180)</f>
        <v>0.29378043162717588</v>
      </c>
      <c r="AL271" s="72">
        <f>(AX271-Driver!$K$181)/(Driver!$L$181-Driver!$K$181)</f>
        <v>0.35875545437298428</v>
      </c>
      <c r="AM271" s="72">
        <f>(AY271-Driver!$K$182)/(Driver!$L$182-Driver!$K$182)</f>
        <v>0.11968346548393925</v>
      </c>
      <c r="AN271" s="72">
        <f>(AZ271-Driver!$K$183)/(Driver!$L$183-Driver!$K$183)</f>
        <v>0.28668300653594775</v>
      </c>
      <c r="AO271" s="72"/>
      <c r="AP271" s="72"/>
      <c r="AQ271" s="72">
        <f>(BC271-Driver!$K$188)/(Driver!$L$188-Driver!$K$188)</f>
        <v>8.8788089390299862E-2</v>
      </c>
      <c r="AR271" s="72">
        <f>MIN((BD271-Driver!$K$189)/(Driver!$L$189-Driver!$K$189),100%)</f>
        <v>4.8251392901643937E-2</v>
      </c>
      <c r="AS271" s="72">
        <f>(BE271-Driver!$K$190)/(Driver!$L$190-Driver!$K$190)</f>
        <v>0.72542264136825318</v>
      </c>
      <c r="AT271" s="72">
        <f>(BF271-Driver!$K$191)/(Driver!$L$191-Driver!$K$191)</f>
        <v>1.9578863988067394E-2</v>
      </c>
      <c r="AU271" s="72">
        <f>(BG271-Driver!$K$192)/(Driver!$L$192-Driver!$K$192)</f>
        <v>2.8994424149202076E-2</v>
      </c>
      <c r="AV271" s="70">
        <f t="shared" si="171"/>
        <v>2.5641025641025639</v>
      </c>
      <c r="AW271" s="70">
        <f t="shared" si="172"/>
        <v>30.503398842965964</v>
      </c>
      <c r="AX271" s="70">
        <f t="shared" si="173"/>
        <v>4.2287990893568583</v>
      </c>
      <c r="AY271" s="70">
        <f>IFERROR(Driver!$K$19/Data!BH271/Data!BI271*Data!BK271*Data!BL271,"")</f>
        <v>0.14652827185184147</v>
      </c>
      <c r="AZ271" s="70">
        <f t="shared" si="174"/>
        <v>26.128071481757264</v>
      </c>
      <c r="BA271" s="70"/>
      <c r="BB271" s="70"/>
      <c r="BC271" s="70">
        <f t="shared" si="175"/>
        <v>46.054999211532056</v>
      </c>
      <c r="BD271" s="70">
        <f t="shared" si="176"/>
        <v>5.9909856594840818</v>
      </c>
      <c r="BE271" s="70">
        <f t="shared" si="177"/>
        <v>0.72547162287853328</v>
      </c>
      <c r="BF271" s="70">
        <f t="shared" si="178"/>
        <v>2.211295138147948</v>
      </c>
      <c r="BG271" s="70">
        <f t="shared" si="179"/>
        <v>0.10979138627187079</v>
      </c>
      <c r="BH271" s="67">
        <f>MAX((CE271-Driver!$F$200)/(Driver!$G$200-Driver!$F$200)*$BI$1,1)</f>
        <v>4.2287990893568583</v>
      </c>
      <c r="BI271" s="67">
        <f>MAX($BI$1*(BY271-Driver!$F$201)/(Driver!$G$201-Driver!$F$201),1)</f>
        <v>7.6582278481012658</v>
      </c>
      <c r="BJ271" s="67">
        <f>(CB271-Driver!$F$206)/(Driver!$G$206-Driver!$F$206)*$BI$1</f>
        <v>3.8095238095238093</v>
      </c>
      <c r="BK271" s="67">
        <f>(CD271-Driver!$F$203)/(Driver!$G$203-Driver!$F$203)*$BI$1</f>
        <v>3.4403669724770634</v>
      </c>
      <c r="BL271" s="67">
        <f>MAX((CR271-Driver!$F$202)/(Driver!$G$202-Driver!$F$202)*$BI$1,1)</f>
        <v>6.8965517241379315</v>
      </c>
      <c r="BM271" s="67">
        <f>MAX((CH271-Driver!$F$204)/(Driver!$G$204-Driver!$F$204)*$BI$1,1)</f>
        <v>2.6923076923076921</v>
      </c>
      <c r="BN271" s="67">
        <f>(CI271-Driver!$F$205)/(Driver!$G$205-Driver!$F$205)*$BI$1</f>
        <v>3.4117647058823533</v>
      </c>
      <c r="BO271" s="67">
        <f>(CK271-Driver!$F$207)/(Driver!$G$207-Driver!$F$207)*$BI$1</f>
        <v>1.1375387797311272</v>
      </c>
      <c r="BP271" s="67">
        <f>(CM271-Driver!$F$208)/(Driver!$G$208-Driver!$F$208)*$BI$1</f>
        <v>1.7555555555555555</v>
      </c>
      <c r="BQ271" s="67">
        <f>(CL271-Driver!$F$209)/(Driver!$G$209-Driver!$F$209)*$BI$1</f>
        <v>1.25</v>
      </c>
      <c r="BR271" s="28" t="s">
        <v>155</v>
      </c>
      <c r="BS271" s="8" t="s">
        <v>174</v>
      </c>
      <c r="BT271" s="9" t="s">
        <v>472</v>
      </c>
      <c r="BU271" s="10">
        <v>168</v>
      </c>
      <c r="BV271" s="9" t="s">
        <v>158</v>
      </c>
      <c r="BW271" s="10">
        <v>168</v>
      </c>
      <c r="BX271" s="10">
        <v>167</v>
      </c>
      <c r="BY271" s="10">
        <v>129</v>
      </c>
      <c r="BZ271" s="10">
        <v>138</v>
      </c>
      <c r="CA271" s="10">
        <v>122</v>
      </c>
      <c r="CB271" s="10">
        <v>88</v>
      </c>
      <c r="CC271" s="10">
        <v>104</v>
      </c>
      <c r="CD271" s="10">
        <v>16.899999999999999</v>
      </c>
      <c r="CE271" s="10">
        <v>1643</v>
      </c>
      <c r="CF271" s="10">
        <v>1</v>
      </c>
      <c r="CG271" s="10">
        <v>1650</v>
      </c>
      <c r="CH271" s="10">
        <v>164</v>
      </c>
      <c r="CI271" s="10">
        <v>91</v>
      </c>
      <c r="CJ271" s="10">
        <v>47</v>
      </c>
      <c r="CK271" s="10">
        <v>220</v>
      </c>
      <c r="CL271" s="10">
        <v>8</v>
      </c>
      <c r="CM271" s="10">
        <v>158</v>
      </c>
      <c r="CN271" s="10">
        <v>0.161</v>
      </c>
      <c r="CO271" s="10">
        <v>168</v>
      </c>
      <c r="CP271" s="10">
        <v>124</v>
      </c>
      <c r="CQ271" s="10">
        <v>53</v>
      </c>
      <c r="CR271" s="10">
        <v>9</v>
      </c>
      <c r="CS271" s="10">
        <v>9.6999999999999993</v>
      </c>
      <c r="CT271" s="9" t="s">
        <v>188</v>
      </c>
      <c r="CU271" s="10"/>
      <c r="CV271" s="10"/>
      <c r="CW271" s="10"/>
      <c r="CX271" t="str">
        <f>INDEX('Data_Price '!AG$2:AG$1266,MATCH(Data!$DN271,'Data_Price '!$AT$2:$AT$1266,0))</f>
        <v>Salomon Stance 90 Skis</v>
      </c>
      <c r="CY271" t="str">
        <f>INDEX('Data_Price '!AH$2:AH$1266,MATCH(Data!$DN271,'Data_Price '!$AT$2:$AT$1266,0))</f>
        <v>eBay - asogear</v>
      </c>
      <c r="CZ271">
        <f>INDEX('Data_Price '!AI$2:AI$1266,MATCH(Data!$DN271,'Data_Price '!$AT$2:$AT$1266,0))</f>
        <v>419.99</v>
      </c>
      <c r="DA271" t="str">
        <f>INDEX('Data_Price '!AJ$2:AJ$1266,MATCH(Data!$DN271,'Data_Price '!$AT$2:$AT$1266,0))</f>
        <v>https://tinyurl.com/yc7gr4ok</v>
      </c>
      <c r="DB271" t="str">
        <f>INDEX('Data_Price '!AK$2:AK$1266,MATCH(Data!$DN271,'Data_Price '!$AT$2:$AT$1266,0))</f>
        <v>Salomon Stance 90 Skis</v>
      </c>
      <c r="DC271" t="str">
        <f>INDEX('Data_Price '!AL$2:AL$1266,MATCH(Data!$DN271,'Data_Price '!$AT$2:$AT$1266,0))</f>
        <v>The-House.com</v>
      </c>
      <c r="DD271">
        <f>INDEX('Data_Price '!AM$2:AM$1266,MATCH(Data!$DN271,'Data_Price '!$AT$2:$AT$1266,0))</f>
        <v>441.95</v>
      </c>
      <c r="DE271" t="str">
        <f>INDEX('Data_Price '!AN$2:AN$1266,MATCH(Data!$DN271,'Data_Price '!$AT$2:$AT$1266,0))</f>
        <v>https://tinyurl.com/y7sy9ec7</v>
      </c>
      <c r="DF271" t="str">
        <f>INDEX('Data_Price '!AO$2:AO$1266,MATCH(Data!$DN271,'Data_Price '!$AT$2:$AT$1266,0))</f>
        <v>Salomon Stance 90 Dark Green/Black/White / 168cm</v>
      </c>
      <c r="DG271" t="str">
        <f>INDEX('Data_Price '!AP$2:AP$1266,MATCH(Data!$DN271,'Data_Price '!$AT$2:$AT$1266,0))</f>
        <v>Sundance Ski and Board Shop</v>
      </c>
      <c r="DH271">
        <f>INDEX('Data_Price '!AQ$2:AQ$1266,MATCH(Data!$DN271,'Data_Price '!$AT$2:$AT$1266,0))</f>
        <v>449.11</v>
      </c>
      <c r="DI271" t="str">
        <f>INDEX('Data_Price '!AR$2:AR$1266,MATCH(Data!$DN271,'Data_Price '!$AT$2:$AT$1266,0))</f>
        <v>https://tinyurl.com/ydx7l68n</v>
      </c>
      <c r="DJ271" s="89" t="str">
        <f t="shared" si="180"/>
        <v>https://tinyurl.com/yc7gr4ok</v>
      </c>
      <c r="DK271" s="89" t="str">
        <f t="shared" si="181"/>
        <v>https://tinyurl.com/y7sy9ec7</v>
      </c>
      <c r="DL271" s="89" t="str">
        <f t="shared" si="182"/>
        <v>https://tinyurl.com/ydx7l68n</v>
      </c>
      <c r="DM271" s="219" t="str">
        <f t="shared" si="183"/>
        <v>Stance 90</v>
      </c>
      <c r="DN271" s="89" t="str">
        <f t="shared" si="184"/>
        <v xml:space="preserve"> SalomonStance 90168 Unisex</v>
      </c>
      <c r="DO271" s="221" t="s">
        <v>473</v>
      </c>
    </row>
    <row r="272" spans="2:119" ht="15.6" customHeight="1">
      <c r="B272" s="219" t="b">
        <f t="array" ref="B272">IF(OR(ISERROR(K272:P272)),FALSE,TRUE)</f>
        <v>1</v>
      </c>
      <c r="C272" s="43" t="b">
        <f>OR(BR272=Driver!$G$50,Data!BR1160=Driver!$H$50)</f>
        <v>1</v>
      </c>
      <c r="D272" s="43" t="b">
        <f>OR(BV272=Driver!$G$51,BV272=Driver!$H$51)</f>
        <v>0</v>
      </c>
      <c r="E272" s="43" t="b">
        <f>AND(BX272&gt;Driver!$F$54,BX272&lt;Driver!$G$54)</f>
        <v>1</v>
      </c>
      <c r="F272" s="43" t="b">
        <f>CL272&gt;Driver!$F$56</f>
        <v>1</v>
      </c>
      <c r="G272" s="43" t="b">
        <f>AND(CB272&gt;Driver!$F$55,CB272&lt;Driver!$G$55)</f>
        <v>1</v>
      </c>
      <c r="H272" s="43" t="b">
        <f t="shared" si="148"/>
        <v>0</v>
      </c>
      <c r="I272" s="43">
        <f t="shared" si="149"/>
        <v>0</v>
      </c>
      <c r="J272" s="43" t="b">
        <f t="array" ref="J272">NOT(OR(($H$9:$H$1273=TRUE)*($I$9:$I$1273&gt;0)*($BT$9:$BT$1273=BT272)*($K$9:$K$1273&gt;K272)))</f>
        <v>1</v>
      </c>
      <c r="K272" s="72">
        <f t="shared" si="150"/>
        <v>0.88305174498035699</v>
      </c>
      <c r="L272" s="72">
        <f t="shared" si="151"/>
        <v>0.96350955512106973</v>
      </c>
      <c r="M272" s="72">
        <f t="shared" si="152"/>
        <v>0.80259393483964436</v>
      </c>
      <c r="N272" s="72">
        <f t="shared" si="153"/>
        <v>0.8169220646047517</v>
      </c>
      <c r="O272" s="72">
        <f t="shared" si="154"/>
        <v>0.63119026030799308</v>
      </c>
      <c r="P272" s="72">
        <f t="shared" si="155"/>
        <v>0.95966947960618842</v>
      </c>
      <c r="Q272" s="72"/>
      <c r="R272" s="72"/>
      <c r="S272" s="72">
        <f t="shared" si="156"/>
        <v>0.40973350384518314</v>
      </c>
      <c r="T272" s="72">
        <f t="shared" si="157"/>
        <v>0.4782509120511147</v>
      </c>
      <c r="U272" s="72">
        <f t="shared" si="158"/>
        <v>0.52352276856087365</v>
      </c>
      <c r="V272" s="72">
        <f t="shared" si="159"/>
        <v>0.81248042855993274</v>
      </c>
      <c r="W272" s="72">
        <f t="shared" si="160"/>
        <v>0.82083121550972993</v>
      </c>
      <c r="X272" s="72">
        <f t="shared" si="161"/>
        <v>3.6490444878930328E-2</v>
      </c>
      <c r="Y272" s="72">
        <f t="shared" si="162"/>
        <v>0.19740606516035561</v>
      </c>
      <c r="Z272" s="72">
        <f t="shared" si="163"/>
        <v>0.18307793539524836</v>
      </c>
      <c r="AA272" s="72">
        <f t="shared" si="164"/>
        <v>0.36880973969200687</v>
      </c>
      <c r="AB272" s="72">
        <f t="shared" si="165"/>
        <v>4.033052039381152E-2</v>
      </c>
      <c r="AC272" s="72"/>
      <c r="AD272" s="72"/>
      <c r="AE272" s="72">
        <f t="shared" si="166"/>
        <v>0.59026649615481686</v>
      </c>
      <c r="AF272" s="72">
        <f t="shared" si="167"/>
        <v>0.5217490879488853</v>
      </c>
      <c r="AG272" s="72">
        <f t="shared" si="168"/>
        <v>0.4764772314391264</v>
      </c>
      <c r="AH272" s="72">
        <f t="shared" si="169"/>
        <v>0.18751957144006726</v>
      </c>
      <c r="AI272" s="72">
        <f t="shared" si="170"/>
        <v>0.1791687844902701</v>
      </c>
      <c r="AJ272" s="72">
        <f>(AV272-Driver!$K$179)/(Driver!$L$179-Driver!$K$179)</f>
        <v>0.29070985416163075</v>
      </c>
      <c r="AK272" s="72">
        <f>(AW272-Driver!$K$180)/(Driver!$L$180-Driver!$K$180)</f>
        <v>0.2183574582013896</v>
      </c>
      <c r="AL272" s="72">
        <f>(AX272-Driver!$K$181)/(Driver!$L$181-Driver!$K$181)</f>
        <v>0.28476569910832855</v>
      </c>
      <c r="AM272" s="72">
        <f>(AY272-Driver!$K$182)/(Driver!$L$182-Driver!$K$182)</f>
        <v>7.8575281405039513E-2</v>
      </c>
      <c r="AN272" s="72">
        <f>(AZ272-Driver!$K$183)/(Driver!$L$183-Driver!$K$183)</f>
        <v>0.21388888888888891</v>
      </c>
      <c r="AO272" s="72"/>
      <c r="AP272" s="72"/>
      <c r="AQ272" s="72">
        <f>(BC272-Driver!$K$188)/(Driver!$L$188-Driver!$K$188)</f>
        <v>2.9733503845183158E-2</v>
      </c>
      <c r="AR272" s="72">
        <f>MIN((BD272-Driver!$K$189)/(Driver!$L$189-Driver!$K$189),100%)</f>
        <v>2.8250912051114702E-2</v>
      </c>
      <c r="AS272" s="72">
        <f>(BE272-Driver!$K$190)/(Driver!$L$190-Driver!$K$190)</f>
        <v>3.3522768560873627E-2</v>
      </c>
      <c r="AT272" s="72">
        <f>(BF272-Driver!$K$191)/(Driver!$L$191-Driver!$K$191)</f>
        <v>0.32248042855993275</v>
      </c>
      <c r="AU272" s="72">
        <f>(BG272-Driver!$K$192)/(Driver!$L$192-Driver!$K$192)</f>
        <v>7.08312155097299E-2</v>
      </c>
      <c r="AV272" s="70">
        <f t="shared" si="171"/>
        <v>6.1185727852394516</v>
      </c>
      <c r="AW272" s="70">
        <f t="shared" si="172"/>
        <v>23.152761767091864</v>
      </c>
      <c r="AX272" s="70">
        <f t="shared" si="173"/>
        <v>3.5628912919749571</v>
      </c>
      <c r="AY272" s="70">
        <f>IFERROR(Driver!$K$19/Data!BH272/Data!BI272*Data!BK272*Data!BL272,"")</f>
        <v>9.6199589040957476E-2</v>
      </c>
      <c r="AZ272" s="70">
        <f t="shared" si="174"/>
        <v>19.49367088607595</v>
      </c>
      <c r="BA272" s="70"/>
      <c r="BB272" s="70"/>
      <c r="BC272" s="70">
        <f t="shared" si="175"/>
        <v>15.422975148461758</v>
      </c>
      <c r="BD272" s="70">
        <f t="shared" si="176"/>
        <v>4.2209785429672904</v>
      </c>
      <c r="BE272" s="70">
        <f t="shared" si="177"/>
        <v>3.3695177220797762E-2</v>
      </c>
      <c r="BF272" s="70">
        <f t="shared" si="178"/>
        <v>36.421898852612394</v>
      </c>
      <c r="BG272" s="70">
        <f t="shared" si="179"/>
        <v>0.26821216735042119</v>
      </c>
      <c r="BH272" s="67">
        <f>MAX((CE272-Driver!$F$200)/(Driver!$G$200-Driver!$F$200)*$BI$1,1)</f>
        <v>3.5628912919749571</v>
      </c>
      <c r="BI272" s="67">
        <f>MAX($BI$1*(BY272-Driver!$F$201)/(Driver!$G$201-Driver!$F$201),1)</f>
        <v>4.8734177215189876</v>
      </c>
      <c r="BJ272" s="67">
        <f>(CB272-Driver!$F$206)/(Driver!$G$206-Driver!$F$206)*$BI$1</f>
        <v>6.5079365079365079</v>
      </c>
      <c r="BK272" s="67">
        <f>(CD272-Driver!$F$203)/(Driver!$G$203-Driver!$F$203)*$BI$1</f>
        <v>2.0183486238532113</v>
      </c>
      <c r="BL272" s="67">
        <f>MAX((CR272-Driver!$F$202)/(Driver!$G$202-Driver!$F$202)*$BI$1,1)</f>
        <v>4.1379310344827589</v>
      </c>
      <c r="BM272" s="67">
        <f>MAX((CH272-Driver!$F$204)/(Driver!$G$204-Driver!$F$204)*$BI$1,1)</f>
        <v>3.7606837606837606</v>
      </c>
      <c r="BN272" s="67">
        <f>(CI272-Driver!$F$205)/(Driver!$G$205-Driver!$F$205)*$BI$1</f>
        <v>4</v>
      </c>
      <c r="BO272" s="67">
        <f>(CK272-Driver!$F$207)/(Driver!$G$207-Driver!$F$207)*$BI$1</f>
        <v>3.4229576008273011</v>
      </c>
      <c r="BP272" s="67">
        <f>(CM272-Driver!$F$208)/(Driver!$G$208-Driver!$F$208)*$BI$1</f>
        <v>3.3000000000000003</v>
      </c>
      <c r="BQ272" s="67">
        <f>(CL272-Driver!$F$209)/(Driver!$G$209-Driver!$F$209)*$BI$1</f>
        <v>3.59375</v>
      </c>
      <c r="BR272" s="28" t="s">
        <v>155</v>
      </c>
      <c r="BS272" s="8" t="s">
        <v>229</v>
      </c>
      <c r="BT272" s="9" t="s">
        <v>382</v>
      </c>
      <c r="BU272" s="10">
        <v>158</v>
      </c>
      <c r="BV272" s="9" t="s">
        <v>163</v>
      </c>
      <c r="BW272" s="10">
        <v>158</v>
      </c>
      <c r="BX272" s="10">
        <v>159.19999999999999</v>
      </c>
      <c r="BY272" s="10">
        <v>85</v>
      </c>
      <c r="BZ272" s="10">
        <v>135</v>
      </c>
      <c r="CA272" s="10">
        <v>145</v>
      </c>
      <c r="CB272" s="10">
        <v>105</v>
      </c>
      <c r="CC272" s="10">
        <v>127</v>
      </c>
      <c r="CD272" s="10">
        <v>13.8</v>
      </c>
      <c r="CE272" s="10">
        <v>1526</v>
      </c>
      <c r="CF272" s="10">
        <v>1.23</v>
      </c>
      <c r="CG272" s="10">
        <v>1873</v>
      </c>
      <c r="CH272" s="10">
        <v>189</v>
      </c>
      <c r="CI272" s="10">
        <v>101</v>
      </c>
      <c r="CJ272" s="10">
        <v>50</v>
      </c>
      <c r="CK272" s="10">
        <v>441</v>
      </c>
      <c r="CL272" s="10">
        <v>23</v>
      </c>
      <c r="CM272" s="10">
        <v>297</v>
      </c>
      <c r="CN272" s="10">
        <v>0.46600000000000003</v>
      </c>
      <c r="CO272" s="10">
        <v>139</v>
      </c>
      <c r="CP272" s="10">
        <v>101</v>
      </c>
      <c r="CQ272" s="10">
        <v>302</v>
      </c>
      <c r="CR272" s="10">
        <v>1</v>
      </c>
      <c r="CS272" s="10">
        <v>11.6</v>
      </c>
      <c r="CT272" s="9" t="s">
        <v>169</v>
      </c>
      <c r="CU272" s="9" t="s">
        <v>185</v>
      </c>
      <c r="CV272" s="10"/>
      <c r="CW272" s="10"/>
      <c r="CX272" t="e">
        <f>INDEX('Data_Price '!AG$2:AG$1266,MATCH(Data!$DN272,'Data_Price '!$AT$2:$AT$1266,0))</f>
        <v>#N/A</v>
      </c>
      <c r="CY272" t="e">
        <f>INDEX('Data_Price '!AH$2:AH$1266,MATCH(Data!$DN272,'Data_Price '!$AT$2:$AT$1266,0))</f>
        <v>#N/A</v>
      </c>
      <c r="CZ272" t="e">
        <f>INDEX('Data_Price '!AI$2:AI$1266,MATCH(Data!$DN272,'Data_Price '!$AT$2:$AT$1266,0))</f>
        <v>#N/A</v>
      </c>
      <c r="DA272" t="e">
        <f>INDEX('Data_Price '!AJ$2:AJ$1266,MATCH(Data!$DN272,'Data_Price '!$AT$2:$AT$1266,0))</f>
        <v>#N/A</v>
      </c>
      <c r="DB272" t="e">
        <f>INDEX('Data_Price '!AK$2:AK$1266,MATCH(Data!$DN272,'Data_Price '!$AT$2:$AT$1266,0))</f>
        <v>#N/A</v>
      </c>
      <c r="DC272" t="e">
        <f>INDEX('Data_Price '!AL$2:AL$1266,MATCH(Data!$DN272,'Data_Price '!$AT$2:$AT$1266,0))</f>
        <v>#N/A</v>
      </c>
      <c r="DD272" t="e">
        <f>INDEX('Data_Price '!AM$2:AM$1266,MATCH(Data!$DN272,'Data_Price '!$AT$2:$AT$1266,0))</f>
        <v>#N/A</v>
      </c>
      <c r="DE272" t="e">
        <f>INDEX('Data_Price '!AN$2:AN$1266,MATCH(Data!$DN272,'Data_Price '!$AT$2:$AT$1266,0))</f>
        <v>#N/A</v>
      </c>
      <c r="DF272" t="e">
        <f>INDEX('Data_Price '!AO$2:AO$1266,MATCH(Data!$DN272,'Data_Price '!$AT$2:$AT$1266,0))</f>
        <v>#N/A</v>
      </c>
      <c r="DG272" t="e">
        <f>INDEX('Data_Price '!AP$2:AP$1266,MATCH(Data!$DN272,'Data_Price '!$AT$2:$AT$1266,0))</f>
        <v>#N/A</v>
      </c>
      <c r="DH272" t="e">
        <f>INDEX('Data_Price '!AQ$2:AQ$1266,MATCH(Data!$DN272,'Data_Price '!$AT$2:$AT$1266,0))</f>
        <v>#N/A</v>
      </c>
      <c r="DI272" t="e">
        <f>INDEX('Data_Price '!AR$2:AR$1266,MATCH(Data!$DN272,'Data_Price '!$AT$2:$AT$1266,0))</f>
        <v>#N/A</v>
      </c>
      <c r="DJ272" s="89" t="e">
        <f t="shared" si="180"/>
        <v>#N/A</v>
      </c>
      <c r="DK272" s="89" t="e">
        <f t="shared" si="181"/>
        <v>#N/A</v>
      </c>
      <c r="DL272" s="89" t="e">
        <f t="shared" si="182"/>
        <v>#N/A</v>
      </c>
      <c r="DM272" s="219" t="str">
        <f t="shared" si="183"/>
        <v>Blaze 106 W</v>
      </c>
      <c r="DN272" s="89" t="str">
        <f t="shared" si="184"/>
        <v xml:space="preserve"> VölklBlaze 106 W158 Women's</v>
      </c>
      <c r="DO272" s="221" t="s">
        <v>383</v>
      </c>
    </row>
    <row r="273" spans="1:119" ht="15.6" customHeight="1">
      <c r="B273" s="219" t="b">
        <f t="array" ref="B273">IF(OR(ISERROR(K273:P273)),FALSE,TRUE)</f>
        <v>1</v>
      </c>
      <c r="C273" s="43" t="b">
        <f>OR(BR273=Driver!$G$50,Data!BR739=Driver!$H$50)</f>
        <v>1</v>
      </c>
      <c r="D273" s="43" t="b">
        <f>OR(BV273=Driver!$G$51,BV273=Driver!$H$51)</f>
        <v>1</v>
      </c>
      <c r="E273" s="43" t="b">
        <f>AND(BX273&gt;Driver!$F$54,BX273&lt;Driver!$G$54)</f>
        <v>1</v>
      </c>
      <c r="F273" s="43" t="b">
        <f>CL273&gt;Driver!$F$56</f>
        <v>1</v>
      </c>
      <c r="G273" s="43" t="b">
        <f>AND(CB273&gt;Driver!$F$55,CB273&lt;Driver!$G$55)</f>
        <v>0</v>
      </c>
      <c r="H273" s="43" t="b">
        <f t="shared" si="148"/>
        <v>0</v>
      </c>
      <c r="I273" s="43">
        <f t="shared" si="149"/>
        <v>0</v>
      </c>
      <c r="J273" s="43" t="b">
        <f t="array" ref="J273">NOT(OR(($H$9:$H$1273=TRUE)*($I$9:$I$1273&gt;0)*($BT$9:$BT$1273=BT273)*($K$9:$K$1273&gt;K273)))</f>
        <v>1</v>
      </c>
      <c r="K273" s="72">
        <f t="shared" si="150"/>
        <v>0.8066237142316347</v>
      </c>
      <c r="L273" s="72">
        <f t="shared" si="151"/>
        <v>0.85455506497400735</v>
      </c>
      <c r="M273" s="72">
        <f t="shared" si="152"/>
        <v>0.75869236348926206</v>
      </c>
      <c r="N273" s="72">
        <f t="shared" si="153"/>
        <v>0.72269579507967729</v>
      </c>
      <c r="O273" s="72">
        <f t="shared" si="154"/>
        <v>0.63445600375246736</v>
      </c>
      <c r="P273" s="72">
        <f t="shared" si="155"/>
        <v>0.91892529163564163</v>
      </c>
      <c r="Q273" s="72"/>
      <c r="R273" s="72"/>
      <c r="S273" s="72">
        <f t="shared" si="156"/>
        <v>0.45596981601649089</v>
      </c>
      <c r="T273" s="72">
        <f t="shared" si="157"/>
        <v>0.5005905503329513</v>
      </c>
      <c r="U273" s="72">
        <f t="shared" si="158"/>
        <v>0.70313246416738384</v>
      </c>
      <c r="V273" s="72">
        <f t="shared" si="159"/>
        <v>0.52356919825752857</v>
      </c>
      <c r="W273" s="72">
        <f t="shared" si="160"/>
        <v>0.83107526881720428</v>
      </c>
      <c r="X273" s="72">
        <f t="shared" si="161"/>
        <v>0.14544493502599268</v>
      </c>
      <c r="Y273" s="72">
        <f t="shared" si="162"/>
        <v>0.24130763651073792</v>
      </c>
      <c r="Z273" s="72">
        <f t="shared" si="163"/>
        <v>0.27730420492032271</v>
      </c>
      <c r="AA273" s="72">
        <f t="shared" si="164"/>
        <v>0.36554399624753259</v>
      </c>
      <c r="AB273" s="72">
        <f t="shared" si="165"/>
        <v>8.1074708364358428E-2</v>
      </c>
      <c r="AC273" s="72"/>
      <c r="AD273" s="72"/>
      <c r="AE273" s="72">
        <f t="shared" si="166"/>
        <v>0.54403018398350911</v>
      </c>
      <c r="AF273" s="72">
        <f t="shared" si="167"/>
        <v>0.4994094496670487</v>
      </c>
      <c r="AG273" s="72">
        <f t="shared" si="168"/>
        <v>0.29686753583261616</v>
      </c>
      <c r="AH273" s="72">
        <f t="shared" si="169"/>
        <v>0.47643080174247138</v>
      </c>
      <c r="AI273" s="72">
        <f t="shared" si="170"/>
        <v>0.16892473118279572</v>
      </c>
      <c r="AJ273" s="72">
        <f>(AV273-Driver!$K$179)/(Driver!$L$179-Driver!$K$179)</f>
        <v>0.10877447425670775</v>
      </c>
      <c r="AK273" s="72">
        <f>(AW273-Driver!$K$180)/(Driver!$L$180-Driver!$K$180)</f>
        <v>0.34063279471161156</v>
      </c>
      <c r="AL273" s="72">
        <f>(AX273-Driver!$K$181)/(Driver!$L$181-Driver!$K$181)</f>
        <v>0.3789919686334029</v>
      </c>
      <c r="AM273" s="72">
        <f>(AY273-Driver!$K$182)/(Driver!$L$182-Driver!$K$182)</f>
        <v>8.1841024849513791E-2</v>
      </c>
      <c r="AN273" s="72">
        <f>(AZ273-Driver!$K$183)/(Driver!$L$183-Driver!$K$183)</f>
        <v>0.33529411764705885</v>
      </c>
      <c r="AO273" s="72"/>
      <c r="AP273" s="72"/>
      <c r="AQ273" s="72">
        <f>(BC273-Driver!$K$188)/(Driver!$L$188-Driver!$K$188)</f>
        <v>7.5969816016490943E-2</v>
      </c>
      <c r="AR273" s="72">
        <f>MIN((BD273-Driver!$K$189)/(Driver!$L$189-Driver!$K$189),100%)</f>
        <v>5.0590550332951359E-2</v>
      </c>
      <c r="AS273" s="72">
        <f>(BE273-Driver!$K$190)/(Driver!$L$190-Driver!$K$190)</f>
        <v>0.21313246416738382</v>
      </c>
      <c r="AT273" s="72">
        <f>(BF273-Driver!$K$191)/(Driver!$L$191-Driver!$K$191)</f>
        <v>3.3569198257528611E-2</v>
      </c>
      <c r="AU273" s="72">
        <f>(BG273-Driver!$K$192)/(Driver!$L$192-Driver!$K$192)</f>
        <v>8.1075268817204282E-2</v>
      </c>
      <c r="AV273" s="70">
        <f t="shared" si="171"/>
        <v>2.2893772893772892</v>
      </c>
      <c r="AW273" s="70">
        <f t="shared" si="172"/>
        <v>35.069576779714126</v>
      </c>
      <c r="AX273" s="70">
        <f t="shared" si="173"/>
        <v>4.4109277177006261</v>
      </c>
      <c r="AY273" s="70">
        <f>IFERROR(Driver!$K$19/Data!BH273/Data!BI273*Data!BK273*Data!BL273,"")</f>
        <v>0.10019783342079214</v>
      </c>
      <c r="AZ273" s="70">
        <f t="shared" si="174"/>
        <v>30.558451228592705</v>
      </c>
      <c r="BA273" s="70"/>
      <c r="BB273" s="70"/>
      <c r="BC273" s="70">
        <f t="shared" si="175"/>
        <v>39.406071701346583</v>
      </c>
      <c r="BD273" s="70">
        <f t="shared" si="176"/>
        <v>6.1979969474130776</v>
      </c>
      <c r="BE273" s="70">
        <f t="shared" si="177"/>
        <v>0.21327283247920498</v>
      </c>
      <c r="BF273" s="70">
        <f t="shared" si="178"/>
        <v>3.7914051062226557</v>
      </c>
      <c r="BG273" s="70">
        <f t="shared" si="179"/>
        <v>0.30700268817204296</v>
      </c>
      <c r="BH273" s="67">
        <f>MAX((CE273-Driver!$F$200)/(Driver!$G$200-Driver!$F$200)*$BI$1,1)</f>
        <v>4.4109277177006261</v>
      </c>
      <c r="BI273" s="67">
        <f>MAX($BI$1*(BY273-Driver!$F$201)/(Driver!$G$201-Driver!$F$201),1)</f>
        <v>7.2151898734177218</v>
      </c>
      <c r="BJ273" s="67">
        <f>(CB273-Driver!$F$206)/(Driver!$G$206-Driver!$F$206)*$BI$1</f>
        <v>3.9682539682539679</v>
      </c>
      <c r="BK273" s="67">
        <f>(CD273-Driver!$F$203)/(Driver!$G$203-Driver!$F$203)*$BI$1</f>
        <v>2.5688073394495414</v>
      </c>
      <c r="BL273" s="67">
        <f>MAX((CR273-Driver!$F$202)/(Driver!$G$202-Driver!$F$202)*$BI$1,1)</f>
        <v>6.2068965517241379</v>
      </c>
      <c r="BM273" s="67">
        <f>MAX((CH273-Driver!$F$204)/(Driver!$G$204-Driver!$F$204)*$BI$1,1)</f>
        <v>2.3076923076923079</v>
      </c>
      <c r="BN273" s="67">
        <f>(CI273-Driver!$F$205)/(Driver!$G$205-Driver!$F$205)*$BI$1</f>
        <v>4.2352941176470589</v>
      </c>
      <c r="BO273" s="67">
        <f>(CK273-Driver!$F$207)/(Driver!$G$207-Driver!$F$207)*$BI$1</f>
        <v>1.2409513960703205</v>
      </c>
      <c r="BP273" s="67">
        <f>(CM273-Driver!$F$208)/(Driver!$G$208-Driver!$F$208)*$BI$1</f>
        <v>1.9777777777777779</v>
      </c>
      <c r="BQ273" s="67">
        <f>(CL273-Driver!$F$209)/(Driver!$G$209-Driver!$F$209)*$BI$1</f>
        <v>3.125</v>
      </c>
      <c r="BR273" s="28" t="s">
        <v>155</v>
      </c>
      <c r="BS273" s="8" t="s">
        <v>262</v>
      </c>
      <c r="BT273" s="9" t="s">
        <v>474</v>
      </c>
      <c r="BU273" s="10">
        <v>163</v>
      </c>
      <c r="BV273" s="9" t="s">
        <v>158</v>
      </c>
      <c r="BW273" s="10">
        <v>163</v>
      </c>
      <c r="BX273" s="10">
        <v>163</v>
      </c>
      <c r="BY273" s="10">
        <v>122</v>
      </c>
      <c r="BZ273" s="10">
        <v>139</v>
      </c>
      <c r="CA273" s="10">
        <v>126</v>
      </c>
      <c r="CB273" s="10">
        <v>89</v>
      </c>
      <c r="CC273" s="10">
        <v>112</v>
      </c>
      <c r="CD273" s="10">
        <v>15</v>
      </c>
      <c r="CE273" s="10">
        <v>1675</v>
      </c>
      <c r="CF273" s="10">
        <v>0.98</v>
      </c>
      <c r="CG273" s="10">
        <v>1650</v>
      </c>
      <c r="CH273" s="10">
        <v>155</v>
      </c>
      <c r="CI273" s="10">
        <v>105</v>
      </c>
      <c r="CJ273" s="10">
        <v>43</v>
      </c>
      <c r="CK273" s="10">
        <v>230</v>
      </c>
      <c r="CL273" s="10">
        <v>20</v>
      </c>
      <c r="CM273" s="10">
        <v>178</v>
      </c>
      <c r="CN273" s="10">
        <v>0.47899999999999998</v>
      </c>
      <c r="CO273" s="10">
        <v>140</v>
      </c>
      <c r="CP273" s="10">
        <v>99</v>
      </c>
      <c r="CQ273" s="10">
        <v>91</v>
      </c>
      <c r="CR273" s="10">
        <v>7</v>
      </c>
      <c r="CS273" s="10">
        <v>10.6</v>
      </c>
      <c r="CT273" s="9" t="s">
        <v>188</v>
      </c>
      <c r="CU273" s="10"/>
      <c r="CV273" s="10"/>
      <c r="CW273" s="10"/>
      <c r="CX273" t="e">
        <f>INDEX('Data_Price '!AG$2:AG$1266,MATCH(Data!$DN273,'Data_Price '!$AT$2:$AT$1266,0))</f>
        <v>#N/A</v>
      </c>
      <c r="CY273" t="e">
        <f>INDEX('Data_Price '!AH$2:AH$1266,MATCH(Data!$DN273,'Data_Price '!$AT$2:$AT$1266,0))</f>
        <v>#N/A</v>
      </c>
      <c r="CZ273" t="e">
        <f>INDEX('Data_Price '!AI$2:AI$1266,MATCH(Data!$DN273,'Data_Price '!$AT$2:$AT$1266,0))</f>
        <v>#N/A</v>
      </c>
      <c r="DA273" t="e">
        <f>INDEX('Data_Price '!AJ$2:AJ$1266,MATCH(Data!$DN273,'Data_Price '!$AT$2:$AT$1266,0))</f>
        <v>#N/A</v>
      </c>
      <c r="DB273" t="e">
        <f>INDEX('Data_Price '!AK$2:AK$1266,MATCH(Data!$DN273,'Data_Price '!$AT$2:$AT$1266,0))</f>
        <v>#N/A</v>
      </c>
      <c r="DC273" t="e">
        <f>INDEX('Data_Price '!AL$2:AL$1266,MATCH(Data!$DN273,'Data_Price '!$AT$2:$AT$1266,0))</f>
        <v>#N/A</v>
      </c>
      <c r="DD273" t="e">
        <f>INDEX('Data_Price '!AM$2:AM$1266,MATCH(Data!$DN273,'Data_Price '!$AT$2:$AT$1266,0))</f>
        <v>#N/A</v>
      </c>
      <c r="DE273" t="e">
        <f>INDEX('Data_Price '!AN$2:AN$1266,MATCH(Data!$DN273,'Data_Price '!$AT$2:$AT$1266,0))</f>
        <v>#N/A</v>
      </c>
      <c r="DF273" t="e">
        <f>INDEX('Data_Price '!AO$2:AO$1266,MATCH(Data!$DN273,'Data_Price '!$AT$2:$AT$1266,0))</f>
        <v>#N/A</v>
      </c>
      <c r="DG273" t="e">
        <f>INDEX('Data_Price '!AP$2:AP$1266,MATCH(Data!$DN273,'Data_Price '!$AT$2:$AT$1266,0))</f>
        <v>#N/A</v>
      </c>
      <c r="DH273" t="e">
        <f>INDEX('Data_Price '!AQ$2:AQ$1266,MATCH(Data!$DN273,'Data_Price '!$AT$2:$AT$1266,0))</f>
        <v>#N/A</v>
      </c>
      <c r="DI273" t="e">
        <f>INDEX('Data_Price '!AR$2:AR$1266,MATCH(Data!$DN273,'Data_Price '!$AT$2:$AT$1266,0))</f>
        <v>#N/A</v>
      </c>
      <c r="DJ273" s="89" t="e">
        <f t="shared" si="180"/>
        <v>#N/A</v>
      </c>
      <c r="DK273" s="89" t="e">
        <f t="shared" si="181"/>
        <v>#N/A</v>
      </c>
      <c r="DL273" s="89" t="e">
        <f t="shared" si="182"/>
        <v>#N/A</v>
      </c>
      <c r="DM273" s="219" t="str">
        <f t="shared" si="183"/>
        <v>Mindbender 90 Ti</v>
      </c>
      <c r="DN273" s="89" t="str">
        <f t="shared" si="184"/>
        <v xml:space="preserve"> K2Mindbender 90 Ti163 Unisex</v>
      </c>
      <c r="DO273" s="221"/>
    </row>
    <row r="274" spans="1:119" ht="15.6" customHeight="1">
      <c r="B274" s="219" t="b">
        <f t="array" ref="B274">IF(OR(ISERROR(K274:P274)),FALSE,TRUE)</f>
        <v>1</v>
      </c>
      <c r="C274" s="43" t="b">
        <f>OR(BR274=Driver!$G$50,Data!BR560=Driver!$H$50)</f>
        <v>1</v>
      </c>
      <c r="D274" s="43" t="b">
        <f>OR(BV274=Driver!$G$51,BV274=Driver!$H$51)</f>
        <v>1</v>
      </c>
      <c r="E274" s="43" t="b">
        <f>AND(BX274&gt;Driver!$F$54,BX274&lt;Driver!$G$54)</f>
        <v>0</v>
      </c>
      <c r="F274" s="43" t="b">
        <f>CL274&gt;Driver!$F$56</f>
        <v>1</v>
      </c>
      <c r="G274" s="43" t="b">
        <f>AND(CB274&gt;Driver!$F$55,CB274&lt;Driver!$G$55)</f>
        <v>0</v>
      </c>
      <c r="H274" s="43" t="b">
        <f t="shared" si="148"/>
        <v>0</v>
      </c>
      <c r="I274" s="43">
        <f t="shared" si="149"/>
        <v>0</v>
      </c>
      <c r="J274" s="43" t="b">
        <f t="array" ref="J274">NOT(OR(($H$9:$H$1273=TRUE)*($I$9:$I$1273&gt;0)*($BT$9:$BT$1273=BT274)*($K$9:$K$1273&gt;K274)))</f>
        <v>1</v>
      </c>
      <c r="K274" s="72">
        <f t="shared" si="150"/>
        <v>0.86678424777539087</v>
      </c>
      <c r="L274" s="72">
        <f t="shared" si="151"/>
        <v>0.95172692864333286</v>
      </c>
      <c r="M274" s="72">
        <f t="shared" si="152"/>
        <v>0.78184156690744888</v>
      </c>
      <c r="N274" s="72">
        <f t="shared" si="153"/>
        <v>0.72965209685669619</v>
      </c>
      <c r="O274" s="72">
        <f t="shared" si="154"/>
        <v>0.62303318961893916</v>
      </c>
      <c r="P274" s="72">
        <f t="shared" si="155"/>
        <v>0.99283941424671129</v>
      </c>
      <c r="Q274" s="72"/>
      <c r="R274" s="72"/>
      <c r="S274" s="72">
        <f t="shared" si="156"/>
        <v>0.41748510658708438</v>
      </c>
      <c r="T274" s="72">
        <f t="shared" si="157"/>
        <v>0.50900403806260441</v>
      </c>
      <c r="U274" s="72">
        <f t="shared" si="158"/>
        <v>0.56133937809827583</v>
      </c>
      <c r="V274" s="72">
        <f t="shared" si="159"/>
        <v>0.60891512557999961</v>
      </c>
      <c r="W274" s="72">
        <f t="shared" si="160"/>
        <v>0.84069851043433375</v>
      </c>
      <c r="X274" s="72">
        <f t="shared" si="161"/>
        <v>4.8273071356667141E-2</v>
      </c>
      <c r="Y274" s="72">
        <f t="shared" si="162"/>
        <v>0.21815843309255112</v>
      </c>
      <c r="Z274" s="72">
        <f t="shared" si="163"/>
        <v>0.27034790314330381</v>
      </c>
      <c r="AA274" s="72">
        <f t="shared" si="164"/>
        <v>0.37696681038106078</v>
      </c>
      <c r="AB274" s="72">
        <f t="shared" si="165"/>
        <v>7.1605857532886785E-3</v>
      </c>
      <c r="AC274" s="72"/>
      <c r="AD274" s="72"/>
      <c r="AE274" s="72">
        <f t="shared" si="166"/>
        <v>0.58251489341291562</v>
      </c>
      <c r="AF274" s="72">
        <f t="shared" si="167"/>
        <v>0.49099596193739559</v>
      </c>
      <c r="AG274" s="72">
        <f t="shared" si="168"/>
        <v>0.43866062190172422</v>
      </c>
      <c r="AH274" s="72">
        <f t="shared" si="169"/>
        <v>0.39108487442000039</v>
      </c>
      <c r="AI274" s="72">
        <f t="shared" si="170"/>
        <v>0.15930148956566625</v>
      </c>
      <c r="AJ274" s="72">
        <f>(AV274-Driver!$K$179)/(Driver!$L$179-Driver!$K$179)</f>
        <v>0.20594633792603328</v>
      </c>
      <c r="AK274" s="72">
        <f>(AW274-Driver!$K$180)/(Driver!$L$180-Driver!$K$180)</f>
        <v>0.25733314124368095</v>
      </c>
      <c r="AL274" s="72">
        <f>(AX274-Driver!$K$181)/(Driver!$L$181-Driver!$K$181)</f>
        <v>0.37203566685638401</v>
      </c>
      <c r="AM274" s="72">
        <f>(AY274-Driver!$K$182)/(Driver!$L$182-Driver!$K$182)</f>
        <v>7.0418210715985585E-2</v>
      </c>
      <c r="AN274" s="72">
        <f>(AZ274-Driver!$K$183)/(Driver!$L$183-Driver!$K$183)</f>
        <v>0.24705882352941175</v>
      </c>
      <c r="AO274" s="72"/>
      <c r="AP274" s="72"/>
      <c r="AQ274" s="72">
        <f>(BC274-Driver!$K$188)/(Driver!$L$188-Driver!$K$188)</f>
        <v>3.7485106587084351E-2</v>
      </c>
      <c r="AR274" s="72">
        <f>MIN((BD274-Driver!$K$189)/(Driver!$L$189-Driver!$K$189),100%)</f>
        <v>5.9004038062604437E-2</v>
      </c>
      <c r="AS274" s="72">
        <f>(BE274-Driver!$K$190)/(Driver!$L$190-Driver!$K$190)</f>
        <v>7.1339378098275799E-2</v>
      </c>
      <c r="AT274" s="72">
        <f>(BF274-Driver!$K$191)/(Driver!$L$191-Driver!$K$191)</f>
        <v>0.11891512557999959</v>
      </c>
      <c r="AU274" s="72">
        <f>(BG274-Driver!$K$192)/(Driver!$L$192-Driver!$K$192)</f>
        <v>9.0698510434333746E-2</v>
      </c>
      <c r="AV274" s="70">
        <f t="shared" si="171"/>
        <v>4.3345543345543334</v>
      </c>
      <c r="AW274" s="70">
        <f t="shared" si="172"/>
        <v>26.951287439247803</v>
      </c>
      <c r="AX274" s="70">
        <f t="shared" si="173"/>
        <v>4.3483210017074558</v>
      </c>
      <c r="AY274" s="70">
        <f>IFERROR(Driver!$K$19/Data!BH274/Data!BI274*Data!BK274*Data!BL274,"")</f>
        <v>8.6212900682566179E-2</v>
      </c>
      <c r="AZ274" s="70">
        <f t="shared" si="174"/>
        <v>22.516753536857781</v>
      </c>
      <c r="BA274" s="70"/>
      <c r="BB274" s="70"/>
      <c r="BC274" s="70">
        <f t="shared" si="175"/>
        <v>19.443785378953908</v>
      </c>
      <c r="BD274" s="70">
        <f t="shared" si="176"/>
        <v>6.9425757036692604</v>
      </c>
      <c r="BE274" s="70">
        <f t="shared" si="177"/>
        <v>7.1505040700702543E-2</v>
      </c>
      <c r="BF274" s="70">
        <f t="shared" si="178"/>
        <v>13.430628008221936</v>
      </c>
      <c r="BG274" s="70">
        <f t="shared" si="179"/>
        <v>0.343442419898975</v>
      </c>
      <c r="BH274" s="67">
        <f>MAX((CE274-Driver!$F$200)/(Driver!$G$200-Driver!$F$200)*$BI$1,1)</f>
        <v>4.3483210017074558</v>
      </c>
      <c r="BI274" s="67">
        <f>MAX($BI$1*(BY274-Driver!$F$201)/(Driver!$G$201-Driver!$F$201),1)</f>
        <v>6.8354430379746836</v>
      </c>
      <c r="BJ274" s="67">
        <f>(CB274-Driver!$F$206)/(Driver!$G$206-Driver!$F$206)*$BI$1</f>
        <v>5.7142857142857135</v>
      </c>
      <c r="BK274" s="67">
        <f>(CD274-Driver!$F$203)/(Driver!$G$203-Driver!$F$203)*$BI$1</f>
        <v>2.0642201834862388</v>
      </c>
      <c r="BL274" s="67">
        <f>MAX((CR274-Driver!$F$202)/(Driver!$G$202-Driver!$F$202)*$BI$1,1)</f>
        <v>6.2068965517241379</v>
      </c>
      <c r="BM274" s="67">
        <f>MAX((CH274-Driver!$F$204)/(Driver!$G$204-Driver!$F$204)*$BI$1,1)</f>
        <v>3.0341880341880341</v>
      </c>
      <c r="BN274" s="67">
        <f>(CI274-Driver!$F$205)/(Driver!$G$205-Driver!$F$205)*$BI$1</f>
        <v>3.2941176470588234</v>
      </c>
      <c r="BO274" s="67">
        <f>(CK274-Driver!$F$207)/(Driver!$G$207-Driver!$F$207)*$BI$1</f>
        <v>2.3991726990692861</v>
      </c>
      <c r="BP274" s="67">
        <f>(CM274-Driver!$F$208)/(Driver!$G$208-Driver!$F$208)*$BI$1</f>
        <v>2.0222222222222221</v>
      </c>
      <c r="BQ274" s="67">
        <f>(CL274-Driver!$F$209)/(Driver!$G$209-Driver!$F$209)*$BI$1</f>
        <v>4.53125</v>
      </c>
      <c r="BR274" s="28" t="s">
        <v>155</v>
      </c>
      <c r="BS274" s="8" t="s">
        <v>245</v>
      </c>
      <c r="BT274" s="9" t="s">
        <v>260</v>
      </c>
      <c r="BU274" s="10">
        <v>170</v>
      </c>
      <c r="BV274" s="9" t="s">
        <v>158</v>
      </c>
      <c r="BW274" s="10">
        <v>170</v>
      </c>
      <c r="BX274" s="10">
        <v>168.7</v>
      </c>
      <c r="BY274" s="10">
        <v>116</v>
      </c>
      <c r="BZ274" s="10">
        <v>139</v>
      </c>
      <c r="CA274" s="10">
        <v>134</v>
      </c>
      <c r="CB274" s="10">
        <v>100</v>
      </c>
      <c r="CC274" s="10">
        <v>124</v>
      </c>
      <c r="CD274" s="10">
        <v>13.9</v>
      </c>
      <c r="CE274" s="10">
        <v>1664</v>
      </c>
      <c r="CF274" s="10">
        <v>1.1399999999999999</v>
      </c>
      <c r="CG274" s="10">
        <v>1900</v>
      </c>
      <c r="CH274" s="10">
        <v>172</v>
      </c>
      <c r="CI274" s="10">
        <v>89</v>
      </c>
      <c r="CJ274" s="10">
        <v>48</v>
      </c>
      <c r="CK274" s="10">
        <v>342</v>
      </c>
      <c r="CL274" s="10">
        <v>29</v>
      </c>
      <c r="CM274" s="10">
        <v>182</v>
      </c>
      <c r="CN274" s="10">
        <v>0.60099999999999998</v>
      </c>
      <c r="CO274" s="10">
        <v>153</v>
      </c>
      <c r="CP274" s="10">
        <v>145</v>
      </c>
      <c r="CQ274" s="10">
        <v>189</v>
      </c>
      <c r="CR274" s="10">
        <v>7</v>
      </c>
      <c r="CS274" s="10">
        <v>9.5</v>
      </c>
      <c r="CT274" s="9" t="s">
        <v>188</v>
      </c>
      <c r="CU274" s="9" t="s">
        <v>185</v>
      </c>
      <c r="CV274" s="10"/>
      <c r="CW274" s="10"/>
      <c r="CX274" t="str">
        <f>INDEX('Data_Price '!AG$2:AG$1266,MATCH(Data!$DN274,'Data_Price '!$AT$2:$AT$1266,0))</f>
        <v>Fischer Ranger 102 FR Skis (Pink)</v>
      </c>
      <c r="CY274" t="str">
        <f>INDEX('Data_Price '!AH$2:AH$1266,MATCH(Data!$DN274,'Data_Price '!$AT$2:$AT$1266,0))</f>
        <v>ColoradoSkiShop.com</v>
      </c>
      <c r="CZ274">
        <f>INDEX('Data_Price '!AI$2:AI$1266,MATCH(Data!$DN274,'Data_Price '!$AT$2:$AT$1266,0))</f>
        <v>699.99</v>
      </c>
      <c r="DA274" t="str">
        <f>INDEX('Data_Price '!AJ$2:AJ$1266,MATCH(Data!$DN274,'Data_Price '!$AT$2:$AT$1266,0))</f>
        <v>https://tinyurl.com/y8z3zrqa</v>
      </c>
      <c r="DB274" t="str">
        <f>INDEX('Data_Price '!AK$2:AK$1266,MATCH(Data!$DN274,'Data_Price '!$AT$2:$AT$1266,0))</f>
        <v>Fischer Ranger 102 FR Skis (Pink)</v>
      </c>
      <c r="DC274" t="str">
        <f>INDEX('Data_Price '!AL$2:AL$1266,MATCH(Data!$DN274,'Data_Price '!$AT$2:$AT$1266,0))</f>
        <v>Buyr.com</v>
      </c>
      <c r="DD274">
        <f>INDEX('Data_Price '!AM$2:AM$1266,MATCH(Data!$DN274,'Data_Price '!$AT$2:$AT$1266,0))</f>
        <v>699.99</v>
      </c>
      <c r="DE274" t="str">
        <f>INDEX('Data_Price '!AN$2:AN$1266,MATCH(Data!$DN274,'Data_Price '!$AT$2:$AT$1266,0))</f>
        <v>https://tinyurl.com/yd4cmqkd</v>
      </c>
      <c r="DF274" t="str">
        <f>INDEX('Data_Price '!AO$2:AO$1266,MATCH(Data!$DN274,'Data_Price '!$AT$2:$AT$1266,0))</f>
        <v>Fischer Ranger 90 Grey Celest Skis 170cm 2023</v>
      </c>
      <c r="DG274" t="str">
        <f>INDEX('Data_Price '!AP$2:AP$1266,MATCH(Data!$DN274,'Data_Price '!$AT$2:$AT$1266,0))</f>
        <v>Powder7 Ski Shop</v>
      </c>
      <c r="DH274">
        <f>INDEX('Data_Price '!AQ$2:AQ$1266,MATCH(Data!$DN274,'Data_Price '!$AT$2:$AT$1266,0))</f>
        <v>699</v>
      </c>
      <c r="DI274" t="str">
        <f>INDEX('Data_Price '!AR$2:AR$1266,MATCH(Data!$DN274,'Data_Price '!$AT$2:$AT$1266,0))</f>
        <v>https://tinyurl.com/ydfaeghp</v>
      </c>
      <c r="DJ274" s="89" t="str">
        <f t="shared" si="180"/>
        <v>https://tinyurl.com/y8z3zrqa</v>
      </c>
      <c r="DK274" s="89" t="str">
        <f t="shared" si="181"/>
        <v>https://tinyurl.com/yd4cmqkd</v>
      </c>
      <c r="DL274" s="89" t="str">
        <f t="shared" si="182"/>
        <v>https://tinyurl.com/ydfaeghp</v>
      </c>
      <c r="DM274" s="219" t="str">
        <f t="shared" si="183"/>
        <v>Ranger 102 FR</v>
      </c>
      <c r="DN274" s="89" t="str">
        <f t="shared" si="184"/>
        <v xml:space="preserve"> FischerRanger 102 FR170 Unisex</v>
      </c>
      <c r="DO274" s="221" t="s">
        <v>261</v>
      </c>
    </row>
    <row r="275" spans="1:119" ht="15.6" customHeight="1">
      <c r="B275" s="219" t="b">
        <f t="array" ref="B275">IF(OR(ISERROR(K275:P275)),FALSE,TRUE)</f>
        <v>1</v>
      </c>
      <c r="C275" s="43" t="b">
        <f>OR(BR275=Driver!$G$50,Data!BR678=Driver!$H$50)</f>
        <v>1</v>
      </c>
      <c r="D275" s="43" t="b">
        <f>OR(BV275=Driver!$G$51,BV275=Driver!$H$51)</f>
        <v>1</v>
      </c>
      <c r="E275" s="43" t="b">
        <f>AND(BX275&gt;Driver!$F$54,BX275&lt;Driver!$G$54)</f>
        <v>0</v>
      </c>
      <c r="F275" s="43" t="b">
        <f>CL275&gt;Driver!$F$56</f>
        <v>1</v>
      </c>
      <c r="G275" s="43" t="b">
        <f>AND(CB275&gt;Driver!$F$55,CB275&lt;Driver!$G$55)</f>
        <v>1</v>
      </c>
      <c r="H275" s="43" t="b">
        <f t="shared" si="148"/>
        <v>0</v>
      </c>
      <c r="I275" s="43">
        <f t="shared" si="149"/>
        <v>0</v>
      </c>
      <c r="J275" s="43" t="b">
        <f t="array" ref="J275">NOT(OR(($H$9:$H$1273=TRUE)*($I$9:$I$1273&gt;0)*($BT$9:$BT$1273=BT275)*($K$9:$K$1273&gt;K275)))</f>
        <v>1</v>
      </c>
      <c r="K275" s="72">
        <f t="shared" si="150"/>
        <v>0.78154368583005884</v>
      </c>
      <c r="L275" s="72">
        <f t="shared" si="151"/>
        <v>0.81871864383269644</v>
      </c>
      <c r="M275" s="72">
        <f t="shared" si="152"/>
        <v>0.74436872782742114</v>
      </c>
      <c r="N275" s="72">
        <f t="shared" si="153"/>
        <v>0.61329213985928899</v>
      </c>
      <c r="O275" s="72">
        <f t="shared" si="154"/>
        <v>0.64463875198733278</v>
      </c>
      <c r="P275" s="72">
        <f t="shared" si="155"/>
        <v>0.97517529163564165</v>
      </c>
      <c r="Q275" s="72"/>
      <c r="R275" s="72"/>
      <c r="S275" s="72">
        <f t="shared" si="156"/>
        <v>0.45081406280316871</v>
      </c>
      <c r="T275" s="72">
        <f t="shared" si="157"/>
        <v>0.47970429212950638</v>
      </c>
      <c r="U275" s="72">
        <f t="shared" si="158"/>
        <v>0.5049161748495633</v>
      </c>
      <c r="V275" s="72">
        <f t="shared" si="159"/>
        <v>0.63466343804895919</v>
      </c>
      <c r="W275" s="72">
        <f t="shared" si="160"/>
        <v>0.83869977985690702</v>
      </c>
      <c r="X275" s="72">
        <f t="shared" si="161"/>
        <v>0.18128135616730356</v>
      </c>
      <c r="Y275" s="72">
        <f t="shared" si="162"/>
        <v>0.25563127217257881</v>
      </c>
      <c r="Z275" s="72">
        <f t="shared" si="163"/>
        <v>0.38670786014071096</v>
      </c>
      <c r="AA275" s="72">
        <f t="shared" si="164"/>
        <v>0.35536124801266722</v>
      </c>
      <c r="AB275" s="72">
        <f t="shared" si="165"/>
        <v>2.482470836435835E-2</v>
      </c>
      <c r="AC275" s="72"/>
      <c r="AD275" s="72"/>
      <c r="AE275" s="72">
        <f t="shared" si="166"/>
        <v>0.54918593719683129</v>
      </c>
      <c r="AF275" s="72">
        <f t="shared" si="167"/>
        <v>0.52029570787049362</v>
      </c>
      <c r="AG275" s="72">
        <f t="shared" si="168"/>
        <v>0.4950838251504367</v>
      </c>
      <c r="AH275" s="72">
        <f t="shared" si="169"/>
        <v>0.36533656195104081</v>
      </c>
      <c r="AI275" s="72">
        <f t="shared" si="170"/>
        <v>0.161300220143093</v>
      </c>
      <c r="AJ275" s="72">
        <f>(AV275-Driver!$K$179)/(Driver!$L$179-Driver!$K$179)</f>
        <v>0.43550076545000399</v>
      </c>
      <c r="AK275" s="72">
        <f>(AW275-Driver!$K$180)/(Driver!$L$180-Driver!$K$180)</f>
        <v>0.298261248181873</v>
      </c>
      <c r="AL275" s="72">
        <f>(AX275-Driver!$K$181)/(Driver!$L$181-Driver!$K$181)</f>
        <v>0.48839562385379115</v>
      </c>
      <c r="AM275" s="72">
        <f>(AY275-Driver!$K$182)/(Driver!$L$182-Driver!$K$182)</f>
        <v>9.2023773084379132E-2</v>
      </c>
      <c r="AN275" s="72">
        <f>(AZ275-Driver!$K$183)/(Driver!$L$183-Driver!$K$183)</f>
        <v>0.27904411764705878</v>
      </c>
      <c r="AO275" s="72"/>
      <c r="AP275" s="72"/>
      <c r="AQ275" s="72">
        <f>(BC275-Driver!$K$188)/(Driver!$L$188-Driver!$K$188)</f>
        <v>7.0814062803168654E-2</v>
      </c>
      <c r="AR275" s="72">
        <f>MIN((BD275-Driver!$K$189)/(Driver!$L$189-Driver!$K$189),100%)</f>
        <v>2.9704292129506375E-2</v>
      </c>
      <c r="AS275" s="72">
        <f>(BE275-Driver!$K$190)/(Driver!$L$190-Driver!$K$190)</f>
        <v>1.4916174849563304E-2</v>
      </c>
      <c r="AT275" s="72">
        <f>(BF275-Driver!$K$191)/(Driver!$L$191-Driver!$K$191)</f>
        <v>0.14466343804895918</v>
      </c>
      <c r="AU275" s="72">
        <f>(BG275-Driver!$K$192)/(Driver!$L$192-Driver!$K$192)</f>
        <v>8.8699779856906996E-2</v>
      </c>
      <c r="AV275" s="70">
        <f t="shared" si="171"/>
        <v>9.1659883326549991</v>
      </c>
      <c r="AW275" s="70">
        <f t="shared" si="172"/>
        <v>30.940094120294908</v>
      </c>
      <c r="AX275" s="70">
        <f t="shared" si="173"/>
        <v>5.3955606146841202</v>
      </c>
      <c r="AY275" s="70">
        <f>IFERROR(Driver!$K$19/Data!BH275/Data!BI275*Data!BK275*Data!BL275,"")</f>
        <v>0.11266455549910155</v>
      </c>
      <c r="AZ275" s="70">
        <f t="shared" si="174"/>
        <v>25.431868950111689</v>
      </c>
      <c r="BA275" s="70"/>
      <c r="BB275" s="70"/>
      <c r="BC275" s="70">
        <f t="shared" si="175"/>
        <v>36.731746667381458</v>
      </c>
      <c r="BD275" s="70">
        <f t="shared" si="176"/>
        <v>4.3496001046678394</v>
      </c>
      <c r="BE275" s="70">
        <f t="shared" si="177"/>
        <v>1.5091902716379408E-2</v>
      </c>
      <c r="BF275" s="70">
        <f t="shared" si="178"/>
        <v>16.338719009458046</v>
      </c>
      <c r="BG275" s="70">
        <f t="shared" si="179"/>
        <v>0.33587395088057242</v>
      </c>
      <c r="BH275" s="67">
        <f>MAX((CE275-Driver!$F$200)/(Driver!$G$200-Driver!$F$200)*$BI$1,1)</f>
        <v>5.3955606146841202</v>
      </c>
      <c r="BI275" s="67">
        <f>MAX($BI$1*(BY275-Driver!$F$201)/(Driver!$G$201-Driver!$F$201),1)</f>
        <v>6.2658227848101262</v>
      </c>
      <c r="BJ275" s="67">
        <f>(CB275-Driver!$F$206)/(Driver!$G$206-Driver!$F$206)*$BI$1</f>
        <v>7.4603174603174605</v>
      </c>
      <c r="BK275" s="67">
        <f>(CD275-Driver!$F$203)/(Driver!$G$203-Driver!$F$203)*$BI$1</f>
        <v>3.9449541284403673</v>
      </c>
      <c r="BL275" s="67">
        <f>MAX((CR275-Driver!$F$202)/(Driver!$G$202-Driver!$F$202)*$BI$1,1)</f>
        <v>4.8275862068965516</v>
      </c>
      <c r="BM275" s="67">
        <f>MAX((CH275-Driver!$F$204)/(Driver!$G$204-Driver!$F$204)*$BI$1,1)</f>
        <v>4.9145299145299139</v>
      </c>
      <c r="BN275" s="67">
        <f>(CI275-Driver!$F$205)/(Driver!$G$205-Driver!$F$205)*$BI$1</f>
        <v>4.0588235294117645</v>
      </c>
      <c r="BO275" s="67">
        <f>(CK275-Driver!$F$207)/(Driver!$G$207-Driver!$F$207)*$BI$1</f>
        <v>2.4922440537745603</v>
      </c>
      <c r="BP275" s="67">
        <f>(CM275-Driver!$F$208)/(Driver!$G$208-Driver!$F$208)*$BI$1</f>
        <v>3.4666666666666668</v>
      </c>
      <c r="BQ275" s="67">
        <f>(CL275-Driver!$F$209)/(Driver!$G$209-Driver!$F$209)*$BI$1</f>
        <v>8.90625</v>
      </c>
      <c r="BR275" s="28" t="s">
        <v>155</v>
      </c>
      <c r="BS275" s="8" t="s">
        <v>295</v>
      </c>
      <c r="BT275" s="9" t="s">
        <v>475</v>
      </c>
      <c r="BU275" s="10">
        <v>176</v>
      </c>
      <c r="BV275" s="9" t="s">
        <v>158</v>
      </c>
      <c r="BW275" s="10">
        <v>176</v>
      </c>
      <c r="BX275" s="10">
        <v>173.5</v>
      </c>
      <c r="BY275" s="10">
        <v>107</v>
      </c>
      <c r="BZ275" s="10">
        <v>147</v>
      </c>
      <c r="CA275" s="10">
        <v>145</v>
      </c>
      <c r="CB275" s="10">
        <v>111</v>
      </c>
      <c r="CC275" s="10">
        <v>135</v>
      </c>
      <c r="CD275" s="10">
        <v>18</v>
      </c>
      <c r="CE275" s="10">
        <v>1848</v>
      </c>
      <c r="CF275" s="10">
        <v>1.1399999999999999</v>
      </c>
      <c r="CG275" s="10">
        <v>2103</v>
      </c>
      <c r="CH275" s="10">
        <v>216</v>
      </c>
      <c r="CI275" s="10">
        <v>102</v>
      </c>
      <c r="CJ275" s="10">
        <v>58</v>
      </c>
      <c r="CK275" s="10">
        <v>351</v>
      </c>
      <c r="CL275" s="10">
        <v>57</v>
      </c>
      <c r="CM275" s="10">
        <v>312</v>
      </c>
      <c r="CN275" s="10">
        <v>0.97499999999999998</v>
      </c>
      <c r="CO275" s="10">
        <v>129</v>
      </c>
      <c r="CP275" s="10">
        <v>132</v>
      </c>
      <c r="CQ275" s="10">
        <v>222</v>
      </c>
      <c r="CR275" s="10">
        <v>3</v>
      </c>
      <c r="CS275" s="10">
        <v>8.3000000000000007</v>
      </c>
      <c r="CT275" s="9" t="s">
        <v>184</v>
      </c>
      <c r="CU275" s="9" t="s">
        <v>169</v>
      </c>
      <c r="CV275" s="9" t="s">
        <v>185</v>
      </c>
      <c r="CW275" s="10"/>
      <c r="CX275" t="str">
        <f>INDEX('Data_Price '!AG$2:AG$1266,MATCH(Data!$DN275,'Data_Price '!$AT$2:$AT$1266,0))</f>
        <v>Icelantic Nomad 105 Skis 2022 176cm</v>
      </c>
      <c r="CY275" t="str">
        <f>INDEX('Data_Price '!AH$2:AH$1266,MATCH(Data!$DN275,'Data_Price '!$AT$2:$AT$1266,0))</f>
        <v>Glacier Ski Shop</v>
      </c>
      <c r="CZ275">
        <f>INDEX('Data_Price '!AI$2:AI$1266,MATCH(Data!$DN275,'Data_Price '!$AT$2:$AT$1266,0))</f>
        <v>585</v>
      </c>
      <c r="DA275" t="str">
        <f>INDEX('Data_Price '!AJ$2:AJ$1266,MATCH(Data!$DN275,'Data_Price '!$AT$2:$AT$1266,0))</f>
        <v>https://tinyurl.com/y9sf645b</v>
      </c>
      <c r="DB275" t="str">
        <f>INDEX('Data_Price '!AK$2:AK$1266,MATCH(Data!$DN275,'Data_Price '!$AT$2:$AT$1266,0))</f>
        <v>Icelantic Nomad 105 Lite Skis 176cm 2022</v>
      </c>
      <c r="DC275" t="str">
        <f>INDEX('Data_Price '!AL$2:AL$1266,MATCH(Data!$DN275,'Data_Price '!$AT$2:$AT$1266,0))</f>
        <v>REI</v>
      </c>
      <c r="DD275">
        <f>INDEX('Data_Price '!AM$2:AM$1266,MATCH(Data!$DN275,'Data_Price '!$AT$2:$AT$1266,0))</f>
        <v>598.92999999999995</v>
      </c>
      <c r="DE275" t="str">
        <f>INDEX('Data_Price '!AN$2:AN$1266,MATCH(Data!$DN275,'Data_Price '!$AT$2:$AT$1266,0))</f>
        <v>https://tinyurl.com/y7x8cm3q</v>
      </c>
      <c r="DF275" t="str">
        <f>INDEX('Data_Price '!AO$2:AO$1266,MATCH(Data!$DN275,'Data_Price '!$AT$2:$AT$1266,0))</f>
        <v>Icelantic Nomad 105 Lite Skis 176cm 2022</v>
      </c>
      <c r="DG275" t="str">
        <f>INDEX('Data_Price '!AP$2:AP$1266,MATCH(Data!$DN275,'Data_Price '!$AT$2:$AT$1266,0))</f>
        <v>Mountain Steals</v>
      </c>
      <c r="DH275">
        <f>INDEX('Data_Price '!AQ$2:AQ$1266,MATCH(Data!$DN275,'Data_Price '!$AT$2:$AT$1266,0))</f>
        <v>598.99</v>
      </c>
      <c r="DI275" t="str">
        <f>INDEX('Data_Price '!AR$2:AR$1266,MATCH(Data!$DN275,'Data_Price '!$AT$2:$AT$1266,0))</f>
        <v>https://tinyurl.com/ycyuxtt9</v>
      </c>
      <c r="DJ275" s="89" t="str">
        <f t="shared" si="180"/>
        <v>https://tinyurl.com/y9sf645b</v>
      </c>
      <c r="DK275" s="89" t="str">
        <f t="shared" si="181"/>
        <v>https://tinyurl.com/y7x8cm3q</v>
      </c>
      <c r="DL275" s="89" t="str">
        <f t="shared" si="182"/>
        <v>https://tinyurl.com/ycyuxtt9</v>
      </c>
      <c r="DM275" s="219" t="str">
        <f t="shared" si="183"/>
        <v>Nomad 105</v>
      </c>
      <c r="DN275" s="89" t="str">
        <f t="shared" si="184"/>
        <v xml:space="preserve"> IcelanticNomad 105176 Unisex</v>
      </c>
      <c r="DO275" s="221" t="s">
        <v>476</v>
      </c>
    </row>
    <row r="276" spans="1:119" ht="15.6" customHeight="1">
      <c r="B276" s="219" t="b">
        <f t="array" ref="B276">IF(OR(ISERROR(K276:P276)),FALSE,TRUE)</f>
        <v>1</v>
      </c>
      <c r="C276" s="43" t="b">
        <f>OR(BR276=Driver!$G$50,Data!BR1188=Driver!$H$50)</f>
        <v>1</v>
      </c>
      <c r="D276" s="43" t="b">
        <f>OR(BV276=Driver!$G$51,BV276=Driver!$H$51)</f>
        <v>1</v>
      </c>
      <c r="E276" s="43" t="b">
        <f>AND(BX276&gt;Driver!$F$54,BX276&lt;Driver!$G$54)</f>
        <v>0</v>
      </c>
      <c r="F276" s="43" t="b">
        <f>CL276&gt;Driver!$F$56</f>
        <v>1</v>
      </c>
      <c r="G276" s="43" t="b">
        <f>AND(CB276&gt;Driver!$F$55,CB276&lt;Driver!$G$55)</f>
        <v>0</v>
      </c>
      <c r="H276" s="43" t="b">
        <f t="shared" si="148"/>
        <v>0</v>
      </c>
      <c r="I276" s="43">
        <f t="shared" si="149"/>
        <v>0</v>
      </c>
      <c r="J276" s="43" t="b">
        <f t="array" ref="J276">NOT(OR(($H$9:$H$1273=TRUE)*($I$9:$I$1273&gt;0)*($BT$9:$BT$1273=BT276)*($K$9:$K$1273&gt;K276)))</f>
        <v>1</v>
      </c>
      <c r="K276" s="72">
        <f t="shared" si="150"/>
        <v>0.7815484588480206</v>
      </c>
      <c r="L276" s="72">
        <f t="shared" si="151"/>
        <v>0.81225388054084324</v>
      </c>
      <c r="M276" s="72">
        <f t="shared" si="152"/>
        <v>0.75084303715519796</v>
      </c>
      <c r="N276" s="72">
        <f t="shared" si="153"/>
        <v>0.64238212910864068</v>
      </c>
      <c r="O276" s="72">
        <f t="shared" si="154"/>
        <v>0.61845135895991499</v>
      </c>
      <c r="P276" s="72">
        <f t="shared" si="155"/>
        <v>0.9916956233970381</v>
      </c>
      <c r="Q276" s="72"/>
      <c r="R276" s="72"/>
      <c r="S276" s="72">
        <f t="shared" si="156"/>
        <v>0.47149886099720095</v>
      </c>
      <c r="T276" s="72">
        <f t="shared" si="157"/>
        <v>0.67988597066860323</v>
      </c>
      <c r="U276" s="72">
        <f t="shared" si="158"/>
        <v>0.51</v>
      </c>
      <c r="V276" s="72">
        <f t="shared" si="159"/>
        <v>0.4912683703260583</v>
      </c>
      <c r="W276" s="72">
        <f t="shared" si="160"/>
        <v>0.76253880266075391</v>
      </c>
      <c r="X276" s="72">
        <f t="shared" si="161"/>
        <v>0.18774611945915681</v>
      </c>
      <c r="Y276" s="72">
        <f t="shared" si="162"/>
        <v>0.24915696284480207</v>
      </c>
      <c r="Z276" s="72">
        <f t="shared" si="163"/>
        <v>0.35761787089135927</v>
      </c>
      <c r="AA276" s="72">
        <f t="shared" si="164"/>
        <v>0.38154864104008507</v>
      </c>
      <c r="AB276" s="72">
        <f t="shared" si="165"/>
        <v>8.3043766029619048E-3</v>
      </c>
      <c r="AC276" s="72"/>
      <c r="AD276" s="72"/>
      <c r="AE276" s="72">
        <f t="shared" si="166"/>
        <v>0.52850113900279905</v>
      </c>
      <c r="AF276" s="72">
        <f t="shared" si="167"/>
        <v>0.32011402933139677</v>
      </c>
      <c r="AG276" s="72">
        <f t="shared" si="168"/>
        <v>0.49</v>
      </c>
      <c r="AH276" s="72">
        <f t="shared" si="169"/>
        <v>0.5087316296739417</v>
      </c>
      <c r="AI276" s="72">
        <f t="shared" si="170"/>
        <v>0.23746119733924612</v>
      </c>
      <c r="AJ276" s="72">
        <f>(AV276-Driver!$K$179)/(Driver!$L$179-Driver!$K$179)</f>
        <v>6.6473289823543627E-2</v>
      </c>
      <c r="AK276" s="72">
        <f>(AW276-Driver!$K$180)/(Driver!$L$180-Driver!$K$180)</f>
        <v>0.26426505021874758</v>
      </c>
      <c r="AL276" s="72">
        <f>(AX276-Driver!$K$181)/(Driver!$L$181-Driver!$K$181)</f>
        <v>0.45930563460443946</v>
      </c>
      <c r="AM276" s="72">
        <f>(AY276-Driver!$K$182)/(Driver!$L$182-Driver!$K$182)</f>
        <v>6.5836380056961297E-2</v>
      </c>
      <c r="AN276" s="72">
        <f>(AZ276-Driver!$K$183)/(Driver!$L$183-Driver!$K$183)</f>
        <v>0.24591503267973852</v>
      </c>
      <c r="AO276" s="72"/>
      <c r="AP276" s="72"/>
      <c r="AQ276" s="72">
        <f>(BC276-Driver!$K$188)/(Driver!$L$188-Driver!$K$188)</f>
        <v>9.1498860997200948E-2</v>
      </c>
      <c r="AR276" s="72">
        <f>MIN((BD276-Driver!$K$189)/(Driver!$L$189-Driver!$K$189),100%)</f>
        <v>0.22988597066860328</v>
      </c>
      <c r="AS276" s="72">
        <f>(BE276-Driver!$K$190)/(Driver!$L$190-Driver!$K$190)</f>
        <v>1</v>
      </c>
      <c r="AT276" s="72">
        <f>(BF276-Driver!$K$191)/(Driver!$L$191-Driver!$K$191)</f>
        <v>1.2683703260582668E-3</v>
      </c>
      <c r="AU276" s="72">
        <f>(BG276-Driver!$K$192)/(Driver!$L$192-Driver!$K$192)</f>
        <v>1.2538802660753879E-2</v>
      </c>
      <c r="AV276" s="70">
        <f t="shared" si="171"/>
        <v>1.3990638990638991</v>
      </c>
      <c r="AW276" s="70">
        <f t="shared" si="172"/>
        <v>27.626863391830025</v>
      </c>
      <c r="AX276" s="70">
        <f t="shared" si="173"/>
        <v>5.133750711439955</v>
      </c>
      <c r="AY276" s="70">
        <f>IFERROR(Driver!$K$19/Data!BH276/Data!BI276*Data!BK276*Data!BL276,"")</f>
        <v>8.0603372869597678E-2</v>
      </c>
      <c r="AZ276" s="70">
        <f t="shared" si="174"/>
        <v>22.412509307520473</v>
      </c>
      <c r="BA276" s="70"/>
      <c r="BB276" s="70"/>
      <c r="BC276" s="70">
        <f t="shared" si="175"/>
        <v>47.461095289010132</v>
      </c>
      <c r="BD276" s="70">
        <f t="shared" si="176"/>
        <v>22.065323954432305</v>
      </c>
      <c r="BE276" s="70">
        <f t="shared" si="177"/>
        <v>1</v>
      </c>
      <c r="BF276" s="70">
        <f t="shared" si="178"/>
        <v>0.14325351752242421</v>
      </c>
      <c r="BG276" s="70">
        <f t="shared" si="179"/>
        <v>4.7479905764966739E-2</v>
      </c>
      <c r="BH276" s="67">
        <f>MAX((CE276-Driver!$F$200)/(Driver!$G$200-Driver!$F$200)*$BI$1,1)</f>
        <v>5.133750711439955</v>
      </c>
      <c r="BI276" s="67">
        <f>MAX($BI$1*(BY276-Driver!$F$201)/(Driver!$G$201-Driver!$F$201),1)</f>
        <v>8.8607594936708853</v>
      </c>
      <c r="BJ276" s="67">
        <f>(CB276-Driver!$F$206)/(Driver!$G$206-Driver!$F$206)*$BI$1</f>
        <v>1.746031746031746</v>
      </c>
      <c r="BK276" s="67">
        <f>(CD276-Driver!$F$203)/(Driver!$G$203-Driver!$F$203)*$BI$1</f>
        <v>2.7981651376146792</v>
      </c>
      <c r="BL276" s="67">
        <f>MAX((CR276-Driver!$F$202)/(Driver!$G$202-Driver!$F$202)*$BI$1,1)</f>
        <v>6.5517241379310338</v>
      </c>
      <c r="BM276" s="67">
        <f>MAX((CH276-Driver!$F$204)/(Driver!$G$204-Driver!$F$204)*$BI$1,1)</f>
        <v>3.2051282051282053</v>
      </c>
      <c r="BN276" s="67">
        <f>(CI276-Driver!$F$205)/(Driver!$G$205-Driver!$F$205)*$BI$1</f>
        <v>2.5294117647058822</v>
      </c>
      <c r="BO276" s="67">
        <f>(CK276-Driver!$F$207)/(Driver!$G$207-Driver!$F$207)*$BI$1</f>
        <v>0.38262668045501552</v>
      </c>
      <c r="BP276" s="67">
        <f>(CM276-Driver!$F$208)/(Driver!$G$208-Driver!$F$208)*$BI$1</f>
        <v>0.6</v>
      </c>
      <c r="BQ276" s="67">
        <f>(CL276-Driver!$F$209)/(Driver!$G$209-Driver!$F$209)*$BI$1</f>
        <v>0.78125</v>
      </c>
      <c r="BR276" s="28" t="s">
        <v>155</v>
      </c>
      <c r="BS276" s="8" t="s">
        <v>229</v>
      </c>
      <c r="BT276" s="9" t="s">
        <v>477</v>
      </c>
      <c r="BU276" s="10">
        <v>168</v>
      </c>
      <c r="BV276" s="9" t="s">
        <v>158</v>
      </c>
      <c r="BW276" s="10">
        <v>168</v>
      </c>
      <c r="BX276" s="10">
        <v>168.1</v>
      </c>
      <c r="BY276" s="10">
        <v>148</v>
      </c>
      <c r="BZ276" s="10">
        <v>156</v>
      </c>
      <c r="CA276" s="10">
        <v>123</v>
      </c>
      <c r="CB276" s="10">
        <v>75</v>
      </c>
      <c r="CC276" s="10">
        <v>104</v>
      </c>
      <c r="CD276" s="10">
        <v>15.5</v>
      </c>
      <c r="CE276" s="10">
        <v>1802</v>
      </c>
      <c r="CF276" s="10">
        <v>0.83</v>
      </c>
      <c r="CG276" s="10">
        <v>1497</v>
      </c>
      <c r="CH276" s="10">
        <v>176</v>
      </c>
      <c r="CI276" s="10">
        <v>76</v>
      </c>
      <c r="CJ276" s="10">
        <v>36</v>
      </c>
      <c r="CK276" s="10">
        <v>147</v>
      </c>
      <c r="CL276" s="10">
        <v>5</v>
      </c>
      <c r="CM276" s="10">
        <v>54</v>
      </c>
      <c r="CN276" s="10">
        <v>0.127</v>
      </c>
      <c r="CO276" s="10">
        <v>75</v>
      </c>
      <c r="CP276" s="10">
        <v>51</v>
      </c>
      <c r="CQ276" s="10">
        <v>72</v>
      </c>
      <c r="CR276" s="10">
        <v>8</v>
      </c>
      <c r="CS276" s="10">
        <v>13.1</v>
      </c>
      <c r="CT276" s="9" t="s">
        <v>349</v>
      </c>
      <c r="CU276" s="10"/>
      <c r="CV276" s="10"/>
      <c r="CW276" s="10"/>
      <c r="CX276" t="e">
        <f>INDEX('Data_Price '!AG$2:AG$1266,MATCH(Data!$DN276,'Data_Price '!$AT$2:$AT$1266,0))</f>
        <v>#N/A</v>
      </c>
      <c r="CY276" t="e">
        <f>INDEX('Data_Price '!AH$2:AH$1266,MATCH(Data!$DN276,'Data_Price '!$AT$2:$AT$1266,0))</f>
        <v>#N/A</v>
      </c>
      <c r="CZ276" t="e">
        <f>INDEX('Data_Price '!AI$2:AI$1266,MATCH(Data!$DN276,'Data_Price '!$AT$2:$AT$1266,0))</f>
        <v>#N/A</v>
      </c>
      <c r="DA276" t="e">
        <f>INDEX('Data_Price '!AJ$2:AJ$1266,MATCH(Data!$DN276,'Data_Price '!$AT$2:$AT$1266,0))</f>
        <v>#N/A</v>
      </c>
      <c r="DB276" t="e">
        <f>INDEX('Data_Price '!AK$2:AK$1266,MATCH(Data!$DN276,'Data_Price '!$AT$2:$AT$1266,0))</f>
        <v>#N/A</v>
      </c>
      <c r="DC276" t="e">
        <f>INDEX('Data_Price '!AL$2:AL$1266,MATCH(Data!$DN276,'Data_Price '!$AT$2:$AT$1266,0))</f>
        <v>#N/A</v>
      </c>
      <c r="DD276" t="e">
        <f>INDEX('Data_Price '!AM$2:AM$1266,MATCH(Data!$DN276,'Data_Price '!$AT$2:$AT$1266,0))</f>
        <v>#N/A</v>
      </c>
      <c r="DE276" t="e">
        <f>INDEX('Data_Price '!AN$2:AN$1266,MATCH(Data!$DN276,'Data_Price '!$AT$2:$AT$1266,0))</f>
        <v>#N/A</v>
      </c>
      <c r="DF276" t="e">
        <f>INDEX('Data_Price '!AO$2:AO$1266,MATCH(Data!$DN276,'Data_Price '!$AT$2:$AT$1266,0))</f>
        <v>#N/A</v>
      </c>
      <c r="DG276" t="e">
        <f>INDEX('Data_Price '!AP$2:AP$1266,MATCH(Data!$DN276,'Data_Price '!$AT$2:$AT$1266,0))</f>
        <v>#N/A</v>
      </c>
      <c r="DH276" t="e">
        <f>INDEX('Data_Price '!AQ$2:AQ$1266,MATCH(Data!$DN276,'Data_Price '!$AT$2:$AT$1266,0))</f>
        <v>#N/A</v>
      </c>
      <c r="DI276" t="e">
        <f>INDEX('Data_Price '!AR$2:AR$1266,MATCH(Data!$DN276,'Data_Price '!$AT$2:$AT$1266,0))</f>
        <v>#N/A</v>
      </c>
      <c r="DJ276" s="89" t="e">
        <f t="shared" si="180"/>
        <v>#N/A</v>
      </c>
      <c r="DK276" s="89" t="e">
        <f t="shared" si="181"/>
        <v>#N/A</v>
      </c>
      <c r="DL276" s="89" t="e">
        <f t="shared" si="182"/>
        <v>#N/A</v>
      </c>
      <c r="DM276" s="219" t="str">
        <f t="shared" si="183"/>
        <v>Deacon XTD</v>
      </c>
      <c r="DN276" s="89" t="str">
        <f t="shared" si="184"/>
        <v xml:space="preserve"> VölklDeacon XTD168 Unisex</v>
      </c>
      <c r="DO276" s="221"/>
    </row>
    <row r="277" spans="1:119" ht="15.6" customHeight="1">
      <c r="A277" s="219">
        <f>ROW()</f>
        <v>277</v>
      </c>
      <c r="B277" s="219" t="b">
        <f t="array" ref="B277">IF(OR(ISERROR(K277:P277)),FALSE,TRUE)</f>
        <v>1</v>
      </c>
      <c r="C277" s="43" t="b">
        <f>OR(BR277=Driver!$G$50,Data!BR913=Driver!$H$50)</f>
        <v>1</v>
      </c>
      <c r="D277" s="43" t="b">
        <f>OR(BV277=Driver!$G$51,BV277=Driver!$H$51)</f>
        <v>0</v>
      </c>
      <c r="E277" s="43" t="b">
        <f>AND(BX277&gt;Driver!$F$54,BX277&lt;Driver!$G$54)</f>
        <v>1</v>
      </c>
      <c r="F277" s="43" t="b">
        <f>CL277&gt;Driver!$F$56</f>
        <v>1</v>
      </c>
      <c r="G277" s="43" t="b">
        <f>AND(CB277&gt;Driver!$F$55,CB277&lt;Driver!$G$55)</f>
        <v>1</v>
      </c>
      <c r="H277" s="43" t="b">
        <f t="shared" si="148"/>
        <v>0</v>
      </c>
      <c r="I277" s="43">
        <f t="shared" si="149"/>
        <v>0</v>
      </c>
      <c r="J277" s="43" t="b">
        <f t="array" ref="J277">NOT(OR(($H$9:$H$1273=TRUE)*($I$9:$I$1273&gt;0)*($BT$9:$BT$1273=BT277)*($K$9:$K$1273&gt;K277)))</f>
        <v>1</v>
      </c>
      <c r="K277" s="72">
        <f t="shared" si="150"/>
        <v>0.87684724180454321</v>
      </c>
      <c r="L277" s="72">
        <f t="shared" si="151"/>
        <v>0.97517387087200103</v>
      </c>
      <c r="M277" s="72">
        <f t="shared" si="152"/>
        <v>0.77852061273708539</v>
      </c>
      <c r="N277" s="72">
        <f t="shared" si="153"/>
        <v>0.69740015225415397</v>
      </c>
      <c r="O277" s="72">
        <f t="shared" si="154"/>
        <v>0.63821442857313593</v>
      </c>
      <c r="P277" s="72">
        <f t="shared" si="155"/>
        <v>0.99994725738396628</v>
      </c>
      <c r="Q277" s="72"/>
      <c r="R277" s="72"/>
      <c r="S277" s="72">
        <f t="shared" si="156"/>
        <v>0.43104757277499017</v>
      </c>
      <c r="T277" s="72">
        <f t="shared" si="157"/>
        <v>0.4817966865505029</v>
      </c>
      <c r="U277" s="72">
        <f t="shared" si="158"/>
        <v>0.53393395223002749</v>
      </c>
      <c r="V277" s="72">
        <f t="shared" si="159"/>
        <v>0.58979741809811959</v>
      </c>
      <c r="W277" s="72">
        <f t="shared" si="160"/>
        <v>0.86120850491637957</v>
      </c>
      <c r="X277" s="72">
        <f t="shared" si="161"/>
        <v>2.4826129127998947E-2</v>
      </c>
      <c r="Y277" s="72">
        <f t="shared" si="162"/>
        <v>0.22147938726291461</v>
      </c>
      <c r="Z277" s="72">
        <f t="shared" si="163"/>
        <v>0.30259984774584603</v>
      </c>
      <c r="AA277" s="72">
        <f t="shared" si="164"/>
        <v>0.36178557142686407</v>
      </c>
      <c r="AB277" s="72">
        <f t="shared" si="165"/>
        <v>5.2742616033774059E-5</v>
      </c>
      <c r="AC277" s="72"/>
      <c r="AD277" s="72"/>
      <c r="AE277" s="72">
        <f t="shared" si="166"/>
        <v>0.56895242722500983</v>
      </c>
      <c r="AF277" s="72">
        <f t="shared" si="167"/>
        <v>0.5182033134494971</v>
      </c>
      <c r="AG277" s="72">
        <f t="shared" si="168"/>
        <v>0.46606604776997257</v>
      </c>
      <c r="AH277" s="72">
        <f t="shared" si="169"/>
        <v>0.41020258190188047</v>
      </c>
      <c r="AI277" s="72">
        <f t="shared" si="170"/>
        <v>0.13879149508362049</v>
      </c>
      <c r="AJ277" s="72">
        <f>(AV277-Driver!$K$179)/(Driver!$L$179-Driver!$K$179)</f>
        <v>0.22939328015470148</v>
      </c>
      <c r="AK277" s="72">
        <f>(AW277-Driver!$K$180)/(Driver!$L$180-Driver!$K$180)</f>
        <v>0.26714915267523953</v>
      </c>
      <c r="AL277" s="72">
        <f>(AX277-Driver!$K$181)/(Driver!$L$181-Driver!$K$181)</f>
        <v>0.40428761145892622</v>
      </c>
      <c r="AM277" s="72">
        <f>(AY277-Driver!$K$182)/(Driver!$L$182-Driver!$K$182)</f>
        <v>8.5599449670182265E-2</v>
      </c>
      <c r="AN277" s="72">
        <f>(AZ277-Driver!$K$183)/(Driver!$L$183-Driver!$K$183)</f>
        <v>0.25416666666666665</v>
      </c>
      <c r="AO277" s="72"/>
      <c r="AP277" s="72"/>
      <c r="AQ277" s="72">
        <f>(BC277-Driver!$K$188)/(Driver!$L$188-Driver!$K$188)</f>
        <v>5.1047572774990169E-2</v>
      </c>
      <c r="AR277" s="72">
        <f>MIN((BD277-Driver!$K$189)/(Driver!$L$189-Driver!$K$189),100%)</f>
        <v>3.1796686550502905E-2</v>
      </c>
      <c r="AS277" s="72">
        <f>(BE277-Driver!$K$190)/(Driver!$L$190-Driver!$K$190)</f>
        <v>4.3933952230027461E-2</v>
      </c>
      <c r="AT277" s="72">
        <f>(BF277-Driver!$K$191)/(Driver!$L$191-Driver!$K$191)</f>
        <v>9.9797418098119525E-2</v>
      </c>
      <c r="AU277" s="72">
        <f>(BG277-Driver!$K$192)/(Driver!$L$192-Driver!$K$192)</f>
        <v>0.11120850491637953</v>
      </c>
      <c r="AV277" s="70">
        <f t="shared" si="171"/>
        <v>4.8280423280423284</v>
      </c>
      <c r="AW277" s="70">
        <f t="shared" si="172"/>
        <v>27.907944731962676</v>
      </c>
      <c r="AX277" s="70">
        <f t="shared" si="173"/>
        <v>4.638588503130336</v>
      </c>
      <c r="AY277" s="70">
        <f>IFERROR(Driver!$K$19/Data!BH277/Data!BI277*Data!BK277*Data!BL277,"")</f>
        <v>0.10479926680702309</v>
      </c>
      <c r="AZ277" s="70">
        <f t="shared" si="174"/>
        <v>23.164556962025316</v>
      </c>
      <c r="BA277" s="70"/>
      <c r="BB277" s="70"/>
      <c r="BC277" s="70">
        <f t="shared" si="175"/>
        <v>26.478730875355957</v>
      </c>
      <c r="BD277" s="70">
        <f t="shared" si="176"/>
        <v>4.5347733034225026</v>
      </c>
      <c r="BE277" s="70">
        <f t="shared" si="177"/>
        <v>4.4104503651967886E-2</v>
      </c>
      <c r="BF277" s="70">
        <f t="shared" si="178"/>
        <v>11.27141725764003</v>
      </c>
      <c r="BG277" s="70">
        <f t="shared" si="179"/>
        <v>0.42110634296999749</v>
      </c>
      <c r="BH277" s="67">
        <f>MAX((CE277-Driver!$F$200)/(Driver!$G$200-Driver!$F$200)*$BI$1,1)</f>
        <v>4.638588503130336</v>
      </c>
      <c r="BI277" s="67">
        <f>MAX($BI$1*(BY277-Driver!$F$201)/(Driver!$G$201-Driver!$F$201),1)</f>
        <v>6.4556962025316453</v>
      </c>
      <c r="BJ277" s="67">
        <f>(CB277-Driver!$F$206)/(Driver!$G$206-Driver!$F$206)*$BI$1</f>
        <v>6.1904761904761907</v>
      </c>
      <c r="BK277" s="67">
        <f>(CD277-Driver!$F$203)/(Driver!$G$203-Driver!$F$203)*$BI$1</f>
        <v>2.8440366972477067</v>
      </c>
      <c r="BL277" s="67">
        <f>MAX((CR277-Driver!$F$202)/(Driver!$G$202-Driver!$F$202)*$BI$1,1)</f>
        <v>5.5172413793103452</v>
      </c>
      <c r="BM277" s="67">
        <f>MAX((CH277-Driver!$F$204)/(Driver!$G$204-Driver!$F$204)*$BI$1,1)</f>
        <v>3.1196581196581197</v>
      </c>
      <c r="BN277" s="67">
        <f>(CI277-Driver!$F$205)/(Driver!$G$205-Driver!$F$205)*$BI$1</f>
        <v>3.5882352941176472</v>
      </c>
      <c r="BO277" s="67">
        <f>(CK277-Driver!$F$207)/(Driver!$G$207-Driver!$F$207)*$BI$1</f>
        <v>1.9338159255429164</v>
      </c>
      <c r="BP277" s="67">
        <f>(CM277-Driver!$F$208)/(Driver!$G$208-Driver!$F$208)*$BI$1</f>
        <v>2.677777777777778</v>
      </c>
      <c r="BQ277" s="67">
        <f>(CL277-Driver!$F$209)/(Driver!$G$209-Driver!$F$209)*$BI$1</f>
        <v>6.09375</v>
      </c>
      <c r="BR277" s="28" t="s">
        <v>155</v>
      </c>
      <c r="BS277" s="8" t="s">
        <v>332</v>
      </c>
      <c r="BT277" s="9" t="s">
        <v>410</v>
      </c>
      <c r="BU277" s="10">
        <v>165</v>
      </c>
      <c r="BV277" s="9" t="s">
        <v>163</v>
      </c>
      <c r="BW277" s="10">
        <v>165</v>
      </c>
      <c r="BX277" s="10">
        <v>164.1</v>
      </c>
      <c r="BY277" s="10">
        <v>110</v>
      </c>
      <c r="BZ277" s="10">
        <v>135</v>
      </c>
      <c r="CA277" s="10">
        <v>134</v>
      </c>
      <c r="CB277" s="10">
        <v>103</v>
      </c>
      <c r="CC277" s="10">
        <v>124</v>
      </c>
      <c r="CD277" s="10">
        <v>15.6</v>
      </c>
      <c r="CE277" s="10">
        <v>1715</v>
      </c>
      <c r="CF277" s="10">
        <v>1.08</v>
      </c>
      <c r="CG277" s="10">
        <v>1857</v>
      </c>
      <c r="CH277" s="10">
        <v>174</v>
      </c>
      <c r="CI277" s="10">
        <v>94</v>
      </c>
      <c r="CJ277" s="10">
        <v>57</v>
      </c>
      <c r="CK277" s="10">
        <v>297</v>
      </c>
      <c r="CL277" s="10">
        <v>39</v>
      </c>
      <c r="CM277" s="10">
        <v>241</v>
      </c>
      <c r="CN277" s="10">
        <v>0.68700000000000006</v>
      </c>
      <c r="CO277" s="10">
        <v>134</v>
      </c>
      <c r="CP277" s="10">
        <v>160</v>
      </c>
      <c r="CQ277" s="10">
        <v>163</v>
      </c>
      <c r="CR277" s="10">
        <v>5</v>
      </c>
      <c r="CS277" s="10">
        <v>8.4</v>
      </c>
      <c r="CT277" s="9" t="s">
        <v>188</v>
      </c>
      <c r="CU277" s="9" t="s">
        <v>169</v>
      </c>
      <c r="CV277" s="9" t="s">
        <v>185</v>
      </c>
      <c r="CW277" s="10"/>
      <c r="CX277" t="str">
        <f>INDEX('Data_Price '!AG$2:AG$1266,MATCH(Data!$DN277,'Data_Price '!$AT$2:$AT$1266,0))</f>
        <v>Nordica Santa Ana Free 104 21/22</v>
      </c>
      <c r="CY277" t="str">
        <f>INDEX('Data_Price '!AH$2:AH$1266,MATCH(Data!$DN277,'Data_Price '!$AT$2:$AT$1266,0))</f>
        <v>Snowcountry.eu</v>
      </c>
      <c r="CZ277">
        <f>INDEX('Data_Price '!AI$2:AI$1266,MATCH(Data!$DN277,'Data_Price '!$AT$2:$AT$1266,0))</f>
        <v>414</v>
      </c>
      <c r="DA277" t="str">
        <f>INDEX('Data_Price '!AJ$2:AJ$1266,MATCH(Data!$DN277,'Data_Price '!$AT$2:$AT$1266,0))</f>
        <v>https://tinyurl.com/yb253jeo</v>
      </c>
      <c r="DB277" t="str">
        <f>INDEX('Data_Price '!AK$2:AK$1266,MATCH(Data!$DN277,'Data_Price '!$AT$2:$AT$1266,0))</f>
        <v>Nordica Santa Ana 104 Free Skis Women's 2022</v>
      </c>
      <c r="DC277" t="str">
        <f>INDEX('Data_Price '!AL$2:AL$1266,MATCH(Data!$DN277,'Data_Price '!$AT$2:$AT$1266,0))</f>
        <v>Level Nine Sports</v>
      </c>
      <c r="DD277">
        <f>INDEX('Data_Price '!AM$2:AM$1266,MATCH(Data!$DN277,'Data_Price '!$AT$2:$AT$1266,0))</f>
        <v>599.99</v>
      </c>
      <c r="DE277" t="str">
        <f>INDEX('Data_Price '!AN$2:AN$1266,MATCH(Data!$DN277,'Data_Price '!$AT$2:$AT$1266,0))</f>
        <v>https://tinyurl.com/ycxxmrsl</v>
      </c>
      <c r="DF277" t="str">
        <f>INDEX('Data_Price '!AO$2:AO$1266,MATCH(Data!$DN277,'Data_Price '!$AT$2:$AT$1266,0))</f>
        <v>Nordica Santa Ana 104 Free Skis</v>
      </c>
      <c r="DG277" t="str">
        <f>INDEX('Data_Price '!AP$2:AP$1266,MATCH(Data!$DN277,'Data_Price '!$AT$2:$AT$1266,0))</f>
        <v>Cole Sport</v>
      </c>
      <c r="DH277">
        <f>INDEX('Data_Price '!AQ$2:AQ$1266,MATCH(Data!$DN277,'Data_Price '!$AT$2:$AT$1266,0))</f>
        <v>599.99</v>
      </c>
      <c r="DI277" t="str">
        <f>INDEX('Data_Price '!AR$2:AR$1266,MATCH(Data!$DN277,'Data_Price '!$AT$2:$AT$1266,0))</f>
        <v>https://tinyurl.com/y85wfno3</v>
      </c>
      <c r="DJ277" s="89" t="str">
        <f t="shared" si="180"/>
        <v>https://tinyurl.com/yb253jeo</v>
      </c>
      <c r="DK277" s="89" t="str">
        <f t="shared" si="181"/>
        <v>https://tinyurl.com/ycxxmrsl</v>
      </c>
      <c r="DL277" s="89" t="str">
        <f t="shared" si="182"/>
        <v>https://tinyurl.com/y85wfno3</v>
      </c>
      <c r="DM277" s="219" t="str">
        <f t="shared" si="183"/>
        <v>Santa Ana 104 Free</v>
      </c>
      <c r="DN277" s="89" t="str">
        <f t="shared" si="184"/>
        <v xml:space="preserve"> NordicaSanta Ana 104 Free165 Women's</v>
      </c>
      <c r="DO277" s="221" t="s">
        <v>434</v>
      </c>
    </row>
    <row r="278" spans="1:119" ht="15.6" customHeight="1">
      <c r="B278" s="219" t="b">
        <f t="array" ref="B278">IF(OR(ISERROR(K278:P278)),FALSE,TRUE)</f>
        <v>1</v>
      </c>
      <c r="C278" s="43" t="b">
        <f>OR(BR278=Driver!$G$50,Data!BR1006=Driver!$H$50)</f>
        <v>1</v>
      </c>
      <c r="D278" s="43" t="b">
        <f>OR(BV278=Driver!$G$51,BV278=Driver!$H$51)</f>
        <v>0</v>
      </c>
      <c r="E278" s="43" t="b">
        <f>AND(BX278&gt;Driver!$F$54,BX278&lt;Driver!$G$54)</f>
        <v>0</v>
      </c>
      <c r="F278" s="43" t="b">
        <f>CL278&gt;Driver!$F$56</f>
        <v>1</v>
      </c>
      <c r="G278" s="43" t="b">
        <f>AND(CB278&gt;Driver!$F$55,CB278&lt;Driver!$G$55)</f>
        <v>0</v>
      </c>
      <c r="H278" s="43" t="b">
        <f t="shared" si="148"/>
        <v>0</v>
      </c>
      <c r="I278" s="43">
        <f t="shared" si="149"/>
        <v>0</v>
      </c>
      <c r="J278" s="43" t="b">
        <f t="array" ref="J278">NOT(OR(($H$9:$H$1273=TRUE)*($I$9:$I$1273&gt;0)*($BT$9:$BT$1273=BT278)*($K$9:$K$1273&gt;K278)))</f>
        <v>1</v>
      </c>
      <c r="K278" s="72">
        <f t="shared" si="150"/>
        <v>0.79394080044133697</v>
      </c>
      <c r="L278" s="72">
        <f t="shared" si="151"/>
        <v>0.83086640169143533</v>
      </c>
      <c r="M278" s="72">
        <f t="shared" si="152"/>
        <v>0.7570151991912385</v>
      </c>
      <c r="N278" s="72">
        <f t="shared" si="153"/>
        <v>0.77138990751880965</v>
      </c>
      <c r="O278" s="72">
        <f t="shared" si="154"/>
        <v>0.58818882482780244</v>
      </c>
      <c r="P278" s="72">
        <f t="shared" si="155"/>
        <v>0.91146686522710352</v>
      </c>
      <c r="Q278" s="72"/>
      <c r="R278" s="72"/>
      <c r="S278" s="72">
        <f t="shared" si="156"/>
        <v>0.39508329288861255</v>
      </c>
      <c r="T278" s="72">
        <f t="shared" si="157"/>
        <v>0.84695815694067011</v>
      </c>
      <c r="U278" s="72">
        <f t="shared" si="158"/>
        <v>0.89680430755044727</v>
      </c>
      <c r="V278" s="72">
        <f t="shared" si="159"/>
        <v>0.54914213805371337</v>
      </c>
      <c r="W278" s="72">
        <f t="shared" si="160"/>
        <v>0.79419119562386031</v>
      </c>
      <c r="X278" s="72">
        <f t="shared" si="161"/>
        <v>0.16913359830856461</v>
      </c>
      <c r="Y278" s="72">
        <f t="shared" si="162"/>
        <v>0.2429848008087615</v>
      </c>
      <c r="Z278" s="72">
        <f t="shared" si="163"/>
        <v>0.22861009248119035</v>
      </c>
      <c r="AA278" s="72">
        <f t="shared" si="164"/>
        <v>0.41181117517219762</v>
      </c>
      <c r="AB278" s="72">
        <f t="shared" si="165"/>
        <v>8.853313477289651E-2</v>
      </c>
      <c r="AC278" s="72"/>
      <c r="AD278" s="72"/>
      <c r="AE278" s="72">
        <f t="shared" si="166"/>
        <v>0.60491670711138745</v>
      </c>
      <c r="AF278" s="72">
        <f t="shared" si="167"/>
        <v>0.15304184305932983</v>
      </c>
      <c r="AG278" s="72">
        <f t="shared" si="168"/>
        <v>0.10319569244955273</v>
      </c>
      <c r="AH278" s="72">
        <f t="shared" si="169"/>
        <v>0.45085786194628663</v>
      </c>
      <c r="AI278" s="72">
        <f t="shared" si="170"/>
        <v>0.20580880437613963</v>
      </c>
      <c r="AJ278" s="72">
        <f>(AV278-Driver!$K$179)/(Driver!$L$179-Driver!$K$179)</f>
        <v>8.5085810974135825E-2</v>
      </c>
      <c r="AK278" s="72">
        <f>(AW278-Driver!$K$180)/(Driver!$L$180-Driver!$K$180)</f>
        <v>0.17694504273455397</v>
      </c>
      <c r="AL278" s="72">
        <f>(AX278-Driver!$K$181)/(Driver!$L$181-Driver!$K$181)</f>
        <v>0.33029785619427054</v>
      </c>
      <c r="AM278" s="72">
        <f>(AY278-Driver!$K$182)/(Driver!$L$182-Driver!$K$182)</f>
        <v>3.5573845924848767E-2</v>
      </c>
      <c r="AN278" s="72">
        <f>(AZ278-Driver!$K$183)/(Driver!$L$183-Driver!$K$183)</f>
        <v>0.16568627450980392</v>
      </c>
      <c r="AO278" s="72"/>
      <c r="AP278" s="72"/>
      <c r="AQ278" s="72">
        <f>(BC278-Driver!$K$188)/(Driver!$L$188-Driver!$K$188)</f>
        <v>1.5083292888612503E-2</v>
      </c>
      <c r="AR278" s="72">
        <f>MIN((BD278-Driver!$K$189)/(Driver!$L$189-Driver!$K$189),100%)</f>
        <v>0.39695815694067021</v>
      </c>
      <c r="AS278" s="72">
        <f>(BE278-Driver!$K$190)/(Driver!$L$190-Driver!$K$190)</f>
        <v>0.40680430755044727</v>
      </c>
      <c r="AT278" s="72">
        <f>(BF278-Driver!$K$191)/(Driver!$L$191-Driver!$K$191)</f>
        <v>5.9142138053713385E-2</v>
      </c>
      <c r="AU278" s="72">
        <f>(BG278-Driver!$K$192)/(Driver!$L$192-Driver!$K$192)</f>
        <v>4.4191195623860376E-2</v>
      </c>
      <c r="AV278" s="70">
        <f t="shared" si="171"/>
        <v>1.7908017908017906</v>
      </c>
      <c r="AW278" s="70">
        <f t="shared" si="172"/>
        <v>19.116754928518318</v>
      </c>
      <c r="AX278" s="70">
        <f t="shared" si="173"/>
        <v>3.9726807057484348</v>
      </c>
      <c r="AY278" s="70">
        <f>IFERROR(Driver!$K$19/Data!BH278/Data!BI278*Data!BK278*Data!BL278,"")</f>
        <v>4.3553001623196287E-2</v>
      </c>
      <c r="AZ278" s="70">
        <f t="shared" si="174"/>
        <v>15.100521221146687</v>
      </c>
      <c r="BA278" s="70"/>
      <c r="BB278" s="70"/>
      <c r="BC278" s="70">
        <f t="shared" si="175"/>
        <v>7.8238088786743054</v>
      </c>
      <c r="BD278" s="70">
        <f t="shared" si="176"/>
        <v>36.850916405113431</v>
      </c>
      <c r="BE278" s="70">
        <f t="shared" si="177"/>
        <v>0.4069101269852784</v>
      </c>
      <c r="BF278" s="70">
        <f t="shared" si="178"/>
        <v>6.6796889961316062</v>
      </c>
      <c r="BG278" s="70">
        <f t="shared" si="179"/>
        <v>0.16733605756707476</v>
      </c>
      <c r="BH278" s="67">
        <f>MAX((CE278-Driver!$F$200)/(Driver!$G$200-Driver!$F$200)*$BI$1,1)</f>
        <v>3.9726807057484348</v>
      </c>
      <c r="BI278" s="67">
        <f>MAX($BI$1*(BY278-Driver!$F$201)/(Driver!$G$201-Driver!$F$201),1)</f>
        <v>6.5822784810126587</v>
      </c>
      <c r="BJ278" s="67">
        <f>(CB278-Driver!$F$206)/(Driver!$G$206-Driver!$F$206)*$BI$1</f>
        <v>2.5396825396825395</v>
      </c>
      <c r="BK278" s="67">
        <f>(CD278-Driver!$F$203)/(Driver!$G$203-Driver!$F$203)*$BI$1</f>
        <v>0.82568807339449501</v>
      </c>
      <c r="BL278" s="67">
        <f>MAX((CR278-Driver!$F$202)/(Driver!$G$202-Driver!$F$202)*$BI$1,1)</f>
        <v>6.8965517241379315</v>
      </c>
      <c r="BM278" s="67">
        <f>MAX((CH278-Driver!$F$204)/(Driver!$G$204-Driver!$F$204)*$BI$1,1)</f>
        <v>2.8205128205128203</v>
      </c>
      <c r="BN278" s="67">
        <f>(CI278-Driver!$F$205)/(Driver!$G$205-Driver!$F$205)*$BI$1</f>
        <v>2.2941176470588234</v>
      </c>
      <c r="BO278" s="67">
        <f>(CK278-Driver!$F$207)/(Driver!$G$207-Driver!$F$207)*$BI$1</f>
        <v>1.5511892450879008</v>
      </c>
      <c r="BP278" s="67">
        <f>(CM278-Driver!$F$208)/(Driver!$G$208-Driver!$F$208)*$BI$1</f>
        <v>1.4000000000000001</v>
      </c>
      <c r="BQ278" s="67">
        <f>(CL278-Driver!$F$209)/(Driver!$G$209-Driver!$F$209)*$BI$1</f>
        <v>1.875</v>
      </c>
      <c r="BR278" s="28" t="s">
        <v>155</v>
      </c>
      <c r="BS278" s="8" t="s">
        <v>172</v>
      </c>
      <c r="BT278" s="9" t="s">
        <v>478</v>
      </c>
      <c r="BU278" s="10">
        <v>150</v>
      </c>
      <c r="BV278" s="9" t="s">
        <v>163</v>
      </c>
      <c r="BW278" s="10">
        <v>150</v>
      </c>
      <c r="BX278" s="10">
        <v>150.30000000000001</v>
      </c>
      <c r="BY278" s="10">
        <v>112</v>
      </c>
      <c r="BZ278" s="10">
        <v>136</v>
      </c>
      <c r="CA278" s="10">
        <v>125</v>
      </c>
      <c r="CB278" s="10">
        <v>80</v>
      </c>
      <c r="CC278" s="10">
        <v>113</v>
      </c>
      <c r="CD278" s="10">
        <v>11.2</v>
      </c>
      <c r="CE278" s="10">
        <v>1598</v>
      </c>
      <c r="CF278" s="10">
        <v>0.89</v>
      </c>
      <c r="CG278" s="10">
        <v>1429</v>
      </c>
      <c r="CH278" s="10">
        <v>167</v>
      </c>
      <c r="CI278" s="10">
        <v>72</v>
      </c>
      <c r="CJ278" s="10">
        <v>47</v>
      </c>
      <c r="CK278" s="10">
        <v>260</v>
      </c>
      <c r="CL278" s="10">
        <v>12</v>
      </c>
      <c r="CM278" s="10">
        <v>126</v>
      </c>
      <c r="CN278" s="10">
        <v>0.26600000000000001</v>
      </c>
      <c r="CO278" s="10">
        <v>80</v>
      </c>
      <c r="CP278" s="10">
        <v>65</v>
      </c>
      <c r="CQ278" s="10">
        <v>181</v>
      </c>
      <c r="CR278" s="10">
        <v>9</v>
      </c>
      <c r="CS278" s="10">
        <v>6.6</v>
      </c>
      <c r="CT278" s="9" t="s">
        <v>188</v>
      </c>
      <c r="CU278" s="10"/>
      <c r="CV278" s="10"/>
      <c r="CW278" s="10"/>
      <c r="CX278" t="str">
        <f>INDEX('Data_Price '!AG$2:AG$1266,MATCH(Data!$DN278,'Data_Price '!$AT$2:$AT$1266,0))</f>
        <v>Rossignol Experience W 80 White-Peach 150 Ski Lady's Ladies / Women</v>
      </c>
      <c r="CY278" t="str">
        <f>INDEX('Data_Price '!AH$2:AH$1266,MATCH(Data!$DN278,'Data_Price '!$AT$2:$AT$1266,0))</f>
        <v>! OutdoorXL.com</v>
      </c>
      <c r="CZ278">
        <f>INDEX('Data_Price '!AI$2:AI$1266,MATCH(Data!$DN278,'Data_Price '!$AT$2:$AT$1266,0))</f>
        <v>374.95</v>
      </c>
      <c r="DA278" t="str">
        <f>INDEX('Data_Price '!AJ$2:AJ$1266,MATCH(Data!$DN278,'Data_Price '!$AT$2:$AT$1266,0))</f>
        <v>https://tinyurl.com/ybsrpyku</v>
      </c>
      <c r="DB278" t="str">
        <f>INDEX('Data_Price '!AK$2:AK$1266,MATCH(Data!$DN278,'Data_Price '!$AT$2:$AT$1266,0))</f>
        <v>Rossignol Experience 80 Carbon Skis w/ Look Xpress 11 GW Bindings</v>
      </c>
      <c r="DC278" t="str">
        <f>INDEX('Data_Price '!AL$2:AL$1266,MATCH(Data!$DN278,'Data_Price '!$AT$2:$AT$1266,0))</f>
        <v>The-House.com</v>
      </c>
      <c r="DD278">
        <f>INDEX('Data_Price '!AM$2:AM$1266,MATCH(Data!$DN278,'Data_Price '!$AT$2:$AT$1266,0))</f>
        <v>479.95</v>
      </c>
      <c r="DE278" t="str">
        <f>INDEX('Data_Price '!AN$2:AN$1266,MATCH(Data!$DN278,'Data_Price '!$AT$2:$AT$1266,0))</f>
        <v>https://tinyurl.com/ya42etwj</v>
      </c>
      <c r="DF278" t="str">
        <f>INDEX('Data_Price '!AO$2:AO$1266,MATCH(Data!$DN278,'Data_Price '!$AT$2:$AT$1266,0))</f>
        <v>Rossignol Experience 80 Carbon Skis w/ Look Xpress 11 GW Bindings</v>
      </c>
      <c r="DG278" t="str">
        <f>INDEX('Data_Price '!AP$2:AP$1266,MATCH(Data!$DN278,'Data_Price '!$AT$2:$AT$1266,0))</f>
        <v>eBay - asogear</v>
      </c>
      <c r="DH278">
        <f>INDEX('Data_Price '!AQ$2:AQ$1266,MATCH(Data!$DN278,'Data_Price '!$AT$2:$AT$1266,0))</f>
        <v>489.99</v>
      </c>
      <c r="DI278" t="str">
        <f>INDEX('Data_Price '!AR$2:AR$1266,MATCH(Data!$DN278,'Data_Price '!$AT$2:$AT$1266,0))</f>
        <v>https://tinyurl.com/y9f3dqko</v>
      </c>
      <c r="DJ278" s="89" t="str">
        <f t="shared" si="180"/>
        <v>https://tinyurl.com/ybsrpyku</v>
      </c>
      <c r="DK278" s="89" t="str">
        <f t="shared" si="181"/>
        <v>https://tinyurl.com/ya42etwj</v>
      </c>
      <c r="DL278" s="89" t="str">
        <f t="shared" si="182"/>
        <v>https://tinyurl.com/y9f3dqko</v>
      </c>
      <c r="DM278" s="219" t="str">
        <f t="shared" si="183"/>
        <v>Experience 80 Carbon W</v>
      </c>
      <c r="DN278" s="89" t="str">
        <f t="shared" si="184"/>
        <v xml:space="preserve"> RossignolExperience 80 Carbon W150 Women's</v>
      </c>
      <c r="DO278" s="221"/>
    </row>
    <row r="279" spans="1:119" ht="15.6" customHeight="1">
      <c r="B279" s="219" t="b">
        <f t="array" ref="B279">IF(OR(ISERROR(K279:P279)),FALSE,TRUE)</f>
        <v>1</v>
      </c>
      <c r="C279" s="43" t="b">
        <f>OR(BR279=Driver!$G$50,Data!BR480=Driver!$H$50)</f>
        <v>1</v>
      </c>
      <c r="D279" s="43" t="b">
        <f>OR(BV279=Driver!$G$51,BV279=Driver!$H$51)</f>
        <v>1</v>
      </c>
      <c r="E279" s="43" t="b">
        <f>AND(BX279&gt;Driver!$F$54,BX279&lt;Driver!$G$54)</f>
        <v>0</v>
      </c>
      <c r="F279" s="43" t="b">
        <f>CL279&gt;Driver!$F$56</f>
        <v>1</v>
      </c>
      <c r="G279" s="43" t="b">
        <f>AND(CB279&gt;Driver!$F$55,CB279&lt;Driver!$G$55)</f>
        <v>0</v>
      </c>
      <c r="H279" s="43" t="b">
        <f t="shared" si="148"/>
        <v>0</v>
      </c>
      <c r="I279" s="43">
        <f t="shared" si="149"/>
        <v>0</v>
      </c>
      <c r="J279" s="43" t="b">
        <f t="array" ref="J279">NOT(OR(($H$9:$H$1273=TRUE)*($I$9:$I$1273&gt;0)*($BT$9:$BT$1273=BT279)*($K$9:$K$1273&gt;K279)))</f>
        <v>1</v>
      </c>
      <c r="K279" s="72">
        <f t="shared" si="150"/>
        <v>0.80805417527732848</v>
      </c>
      <c r="L279" s="72">
        <f t="shared" si="151"/>
        <v>0.92384843375976189</v>
      </c>
      <c r="M279" s="72">
        <f t="shared" si="152"/>
        <v>0.69225991679489529</v>
      </c>
      <c r="N279" s="72">
        <f t="shared" si="153"/>
        <v>0.57408389347972777</v>
      </c>
      <c r="O279" s="72">
        <f t="shared" si="154"/>
        <v>0.60975095742617902</v>
      </c>
      <c r="P279" s="72">
        <f t="shared" si="155"/>
        <v>0.89294489947877886</v>
      </c>
      <c r="Q279" s="72"/>
      <c r="R279" s="72"/>
      <c r="S279" s="72">
        <f t="shared" si="156"/>
        <v>0.46685724649149818</v>
      </c>
      <c r="T279" s="72">
        <f t="shared" si="157"/>
        <v>0.88191132204858147</v>
      </c>
      <c r="U279" s="72">
        <f t="shared" si="158"/>
        <v>0.57448794310063744</v>
      </c>
      <c r="V279" s="72">
        <f t="shared" si="159"/>
        <v>0.49894029113144323</v>
      </c>
      <c r="W279" s="72">
        <f t="shared" si="160"/>
        <v>0.76550495049504952</v>
      </c>
      <c r="X279" s="72">
        <f t="shared" si="161"/>
        <v>7.6151566240238139E-2</v>
      </c>
      <c r="Y279" s="72">
        <f t="shared" si="162"/>
        <v>0.30774008320510476</v>
      </c>
      <c r="Z279" s="72">
        <f t="shared" si="163"/>
        <v>0.42591610652027223</v>
      </c>
      <c r="AA279" s="72">
        <f t="shared" si="164"/>
        <v>0.39024904257382093</v>
      </c>
      <c r="AB279" s="72">
        <f t="shared" si="165"/>
        <v>0.10705510052122114</v>
      </c>
      <c r="AC279" s="72"/>
      <c r="AD279" s="72"/>
      <c r="AE279" s="72">
        <f t="shared" si="166"/>
        <v>0.53314275350850182</v>
      </c>
      <c r="AF279" s="72">
        <f t="shared" si="167"/>
        <v>0.11808867795141859</v>
      </c>
      <c r="AG279" s="72">
        <f t="shared" si="168"/>
        <v>0.42551205689936256</v>
      </c>
      <c r="AH279" s="72">
        <f t="shared" si="169"/>
        <v>0.50105970886855677</v>
      </c>
      <c r="AI279" s="72">
        <f t="shared" si="170"/>
        <v>0.23449504950495051</v>
      </c>
      <c r="AJ279" s="72">
        <f>(AV279-Driver!$K$179)/(Driver!$L$179-Driver!$K$179)</f>
        <v>0.17806784304246229</v>
      </c>
      <c r="AK279" s="72">
        <f>(AW279-Driver!$K$180)/(Driver!$L$180-Driver!$K$180)</f>
        <v>0.3783419772493879</v>
      </c>
      <c r="AL279" s="72">
        <f>(AX279-Driver!$K$181)/(Driver!$L$181-Driver!$K$181)</f>
        <v>0.52760387023335242</v>
      </c>
      <c r="AM279" s="72">
        <f>(AY279-Driver!$K$182)/(Driver!$L$182-Driver!$K$182)</f>
        <v>5.7135978523225446E-2</v>
      </c>
      <c r="AN279" s="72">
        <f>(AZ279-Driver!$K$183)/(Driver!$L$183-Driver!$K$183)</f>
        <v>0.36127450980392156</v>
      </c>
      <c r="AO279" s="72"/>
      <c r="AP279" s="72"/>
      <c r="AQ279" s="72">
        <f>(BC279-Driver!$K$188)/(Driver!$L$188-Driver!$K$188)</f>
        <v>8.6857246491498161E-2</v>
      </c>
      <c r="AR279" s="72">
        <f>MIN((BD279-Driver!$K$189)/(Driver!$L$189-Driver!$K$189),100%)</f>
        <v>0.43191132204858146</v>
      </c>
      <c r="AS279" s="72">
        <f>(BE279-Driver!$K$190)/(Driver!$L$190-Driver!$K$190)</f>
        <v>0.93551205689936257</v>
      </c>
      <c r="AT279" s="72">
        <f>(BF279-Driver!$K$191)/(Driver!$L$191-Driver!$K$191)</f>
        <v>8.9402911314432534E-3</v>
      </c>
      <c r="AU279" s="72">
        <f>(BG279-Driver!$K$192)/(Driver!$L$192-Driver!$K$192)</f>
        <v>1.5504950495049501E-2</v>
      </c>
      <c r="AV279" s="70">
        <f t="shared" si="171"/>
        <v>3.7477954144620806</v>
      </c>
      <c r="AW279" s="70">
        <f t="shared" si="172"/>
        <v>38.744670755368972</v>
      </c>
      <c r="AX279" s="70">
        <f t="shared" si="173"/>
        <v>5.7484348321001715</v>
      </c>
      <c r="AY279" s="70">
        <f>IFERROR(Driver!$K$19/Data!BH279/Data!BI279*Data!BK279*Data!BL279,"")</f>
        <v>6.9951485443038308E-2</v>
      </c>
      <c r="AZ279" s="70">
        <f t="shared" si="174"/>
        <v>32.926284437825764</v>
      </c>
      <c r="BA279" s="70"/>
      <c r="BB279" s="70"/>
      <c r="BC279" s="70">
        <f t="shared" si="175"/>
        <v>45.053457576921552</v>
      </c>
      <c r="BD279" s="70">
        <f t="shared" si="176"/>
        <v>39.944209583819791</v>
      </c>
      <c r="BE279" s="70">
        <f t="shared" si="177"/>
        <v>0.93552356082256904</v>
      </c>
      <c r="BF279" s="70">
        <f t="shared" si="178"/>
        <v>1.0097430741965698</v>
      </c>
      <c r="BG279" s="70">
        <f t="shared" si="179"/>
        <v>5.8711633663366326E-2</v>
      </c>
      <c r="BH279" s="67">
        <f>MAX((CE279-Driver!$F$200)/(Driver!$G$200-Driver!$F$200)*$BI$1,1)</f>
        <v>5.7484348321001715</v>
      </c>
      <c r="BI279" s="67">
        <f>MAX($BI$1*(BY279-Driver!$F$201)/(Driver!$G$201-Driver!$F$201),1)</f>
        <v>8.4810126582278489</v>
      </c>
      <c r="BJ279" s="67">
        <f>(CB279-Driver!$F$206)/(Driver!$G$206-Driver!$F$206)*$BI$1</f>
        <v>2.6984126984126982</v>
      </c>
      <c r="BK279" s="67">
        <f>(CD279-Driver!$F$203)/(Driver!$G$203-Driver!$F$203)*$BI$1</f>
        <v>2.2477064220183491</v>
      </c>
      <c r="BL279" s="67">
        <f>MAX((CR279-Driver!$F$202)/(Driver!$G$202-Driver!$F$202)*$BI$1,1)</f>
        <v>7.5862068965517242</v>
      </c>
      <c r="BM279" s="67">
        <f>MAX((CH279-Driver!$F$204)/(Driver!$G$204-Driver!$F$204)*$BI$1,1)</f>
        <v>5.5555555555555554</v>
      </c>
      <c r="BN279" s="67">
        <f>(CI279-Driver!$F$205)/(Driver!$G$205-Driver!$F$205)*$BI$1</f>
        <v>3.8823529411764706</v>
      </c>
      <c r="BO279" s="67">
        <f>(CK279-Driver!$F$207)/(Driver!$G$207-Driver!$F$207)*$BI$1</f>
        <v>0.62047569803516023</v>
      </c>
      <c r="BP279" s="67">
        <f>(CM279-Driver!$F$208)/(Driver!$G$208-Driver!$F$208)*$BI$1</f>
        <v>1.3555555555555556</v>
      </c>
      <c r="BQ279" s="67">
        <f>(CL279-Driver!$F$209)/(Driver!$G$209-Driver!$F$209)*$BI$1</f>
        <v>1.875</v>
      </c>
      <c r="BR279" s="28" t="s">
        <v>155</v>
      </c>
      <c r="BS279" s="8" t="s">
        <v>164</v>
      </c>
      <c r="BT279" s="9" t="s">
        <v>479</v>
      </c>
      <c r="BU279" s="10">
        <v>172</v>
      </c>
      <c r="BV279" s="9" t="s">
        <v>158</v>
      </c>
      <c r="BW279" s="10">
        <v>172</v>
      </c>
      <c r="BX279" s="10">
        <v>171.3</v>
      </c>
      <c r="BY279" s="10">
        <v>142</v>
      </c>
      <c r="BZ279" s="10">
        <v>151</v>
      </c>
      <c r="CA279" s="10">
        <v>128</v>
      </c>
      <c r="CB279" s="10">
        <v>81</v>
      </c>
      <c r="CC279" s="10">
        <v>111</v>
      </c>
      <c r="CD279" s="10">
        <v>14.3</v>
      </c>
      <c r="CE279" s="10">
        <v>1910</v>
      </c>
      <c r="CF279" s="10">
        <v>0.86</v>
      </c>
      <c r="CG279" s="10">
        <v>1651</v>
      </c>
      <c r="CH279" s="10">
        <v>231</v>
      </c>
      <c r="CI279" s="10">
        <v>99</v>
      </c>
      <c r="CJ279" s="10">
        <v>37</v>
      </c>
      <c r="CK279" s="10">
        <v>170</v>
      </c>
      <c r="CL279" s="10">
        <v>12</v>
      </c>
      <c r="CM279" s="10">
        <v>122</v>
      </c>
      <c r="CN279" s="10">
        <v>0.313</v>
      </c>
      <c r="CO279" s="10">
        <v>105</v>
      </c>
      <c r="CP279" s="10">
        <v>95</v>
      </c>
      <c r="CQ279" s="10">
        <v>66</v>
      </c>
      <c r="CR279" s="10">
        <v>11</v>
      </c>
      <c r="CS279" s="10">
        <v>10</v>
      </c>
      <c r="CT279" s="9" t="s">
        <v>231</v>
      </c>
      <c r="CU279" s="9" t="s">
        <v>188</v>
      </c>
      <c r="CV279" s="10"/>
      <c r="CW279" s="10"/>
      <c r="CX279" t="str">
        <f>INDEX('Data_Price '!AG$2:AG$1266,MATCH(Data!$DN279,'Data_Price '!$AT$2:$AT$1266,0))</f>
        <v>Elan Wingman 82 Ti Skis Men's Â· 2022 Â· 172 cm</v>
      </c>
      <c r="CY279" t="str">
        <f>INDEX('Data_Price '!AH$2:AH$1266,MATCH(Data!$DN279,'Data_Price '!$AT$2:$AT$1266,0))</f>
        <v>BobWards.com</v>
      </c>
      <c r="CZ279">
        <f>INDEX('Data_Price '!AI$2:AI$1266,MATCH(Data!$DN279,'Data_Price '!$AT$2:$AT$1266,0))</f>
        <v>399.99</v>
      </c>
      <c r="DA279" t="str">
        <f>INDEX('Data_Price '!AJ$2:AJ$1266,MATCH(Data!$DN279,'Data_Price '!$AT$2:$AT$1266,0))</f>
        <v>https://tinyurl.com/y99aeak6</v>
      </c>
      <c r="DB279" t="str">
        <f>INDEX('Data_Price '!AK$2:AK$1266,MATCH(Data!$DN279,'Data_Price '!$AT$2:$AT$1266,0))</f>
        <v>Elan Wingman 82 Ti Skis 2023 172</v>
      </c>
      <c r="DC279" t="str">
        <f>INDEX('Data_Price '!AL$2:AL$1266,MATCH(Data!$DN279,'Data_Price '!$AT$2:$AT$1266,0))</f>
        <v>Ski Depot RaceSkis.com</v>
      </c>
      <c r="DD279">
        <f>INDEX('Data_Price '!AM$2:AM$1266,MATCH(Data!$DN279,'Data_Price '!$AT$2:$AT$1266,0))</f>
        <v>399.99</v>
      </c>
      <c r="DE279" t="str">
        <f>INDEX('Data_Price '!AN$2:AN$1266,MATCH(Data!$DN279,'Data_Price '!$AT$2:$AT$1266,0))</f>
        <v>https://tinyurl.com/ya76xjy3</v>
      </c>
      <c r="DF279" t="str">
        <f>INDEX('Data_Price '!AO$2:AO$1266,MATCH(Data!$DN279,'Data_Price '!$AT$2:$AT$1266,0))</f>
        <v>Elan Wingman 82 Ti Skis Men's Â· 2022 Â· 172 cm</v>
      </c>
      <c r="DG279" t="str">
        <f>INDEX('Data_Price '!AP$2:AP$1266,MATCH(Data!$DN279,'Data_Price '!$AT$2:$AT$1266,0))</f>
        <v>Suburban Ski and Bike</v>
      </c>
      <c r="DH279">
        <f>INDEX('Data_Price '!AQ$2:AQ$1266,MATCH(Data!$DN279,'Data_Price '!$AT$2:$AT$1266,0))</f>
        <v>399.99</v>
      </c>
      <c r="DI279" t="str">
        <f>INDEX('Data_Price '!AR$2:AR$1266,MATCH(Data!$DN279,'Data_Price '!$AT$2:$AT$1266,0))</f>
        <v>https://tinyurl.com/y9wfc8mc</v>
      </c>
      <c r="DJ279" s="89" t="str">
        <f t="shared" si="180"/>
        <v>https://tinyurl.com/y99aeak6</v>
      </c>
      <c r="DK279" s="89" t="str">
        <f t="shared" si="181"/>
        <v>https://tinyurl.com/ya76xjy3</v>
      </c>
      <c r="DL279" s="89" t="str">
        <f t="shared" si="182"/>
        <v>https://tinyurl.com/y9wfc8mc</v>
      </c>
      <c r="DM279" s="219" t="str">
        <f t="shared" si="183"/>
        <v>Wingman 82 Ti</v>
      </c>
      <c r="DN279" s="89" t="str">
        <f t="shared" si="184"/>
        <v xml:space="preserve"> ElanWingman 82 Ti172 Unisex</v>
      </c>
      <c r="DO279" s="221"/>
    </row>
    <row r="280" spans="1:119" ht="15.6" customHeight="1">
      <c r="B280" s="219" t="b">
        <f t="array" ref="B280">IF(OR(ISERROR(K280:P280)),FALSE,TRUE)</f>
        <v>1</v>
      </c>
      <c r="C280" s="43" t="b">
        <f>OR(BR280=Driver!$G$50,Data!BR1109=Driver!$H$50)</f>
        <v>1</v>
      </c>
      <c r="D280" s="43" t="b">
        <f>OR(BV280=Driver!$G$51,BV280=Driver!$H$51)</f>
        <v>0</v>
      </c>
      <c r="E280" s="43" t="b">
        <f>AND(BX280&gt;Driver!$F$54,BX280&lt;Driver!$G$54)</f>
        <v>0</v>
      </c>
      <c r="F280" s="43" t="b">
        <f>CL280&gt;Driver!$F$56</f>
        <v>1</v>
      </c>
      <c r="G280" s="43" t="b">
        <f>AND(CB280&gt;Driver!$F$55,CB280&lt;Driver!$G$55)</f>
        <v>0</v>
      </c>
      <c r="H280" s="43" t="b">
        <f t="shared" si="148"/>
        <v>0</v>
      </c>
      <c r="I280" s="43">
        <f t="shared" si="149"/>
        <v>0</v>
      </c>
      <c r="J280" s="43" t="b">
        <f t="array" ref="J280">NOT(OR(($H$9:$H$1273=TRUE)*($I$9:$I$1273&gt;0)*($BT$9:$BT$1273=BT280)*($K$9:$K$1273&gt;K280)))</f>
        <v>1</v>
      </c>
      <c r="K280" s="72">
        <f t="shared" si="150"/>
        <v>0.83716738049438333</v>
      </c>
      <c r="L280" s="72">
        <f t="shared" si="151"/>
        <v>0.91498532844995606</v>
      </c>
      <c r="M280" s="72">
        <f t="shared" si="152"/>
        <v>0.75934943253881071</v>
      </c>
      <c r="N280" s="72">
        <f t="shared" si="153"/>
        <v>0.70688601831372522</v>
      </c>
      <c r="O280" s="72">
        <f t="shared" si="154"/>
        <v>0.68969613799386265</v>
      </c>
      <c r="P280" s="72">
        <f t="shared" si="155"/>
        <v>0.88146614130884426</v>
      </c>
      <c r="Q280" s="72"/>
      <c r="R280" s="72"/>
      <c r="S280" s="72">
        <f t="shared" si="156"/>
        <v>0.50528507643628973</v>
      </c>
      <c r="T280" s="72">
        <f t="shared" si="157"/>
        <v>0.48662411842760622</v>
      </c>
      <c r="U280" s="72">
        <f t="shared" si="158"/>
        <v>0.51</v>
      </c>
      <c r="V280" s="72">
        <f t="shared" si="159"/>
        <v>0.50586253420169058</v>
      </c>
      <c r="W280" s="72">
        <f t="shared" si="160"/>
        <v>0.76817678571428571</v>
      </c>
      <c r="X280" s="72">
        <f t="shared" si="161"/>
        <v>8.5014671550043941E-2</v>
      </c>
      <c r="Y280" s="72">
        <f t="shared" si="162"/>
        <v>0.24065056746118926</v>
      </c>
      <c r="Z280" s="72">
        <f t="shared" si="163"/>
        <v>0.29311398168627478</v>
      </c>
      <c r="AA280" s="72">
        <f t="shared" si="164"/>
        <v>0.3103038620061373</v>
      </c>
      <c r="AB280" s="72">
        <f t="shared" si="165"/>
        <v>0.11853385869115574</v>
      </c>
      <c r="AC280" s="72"/>
      <c r="AD280" s="72"/>
      <c r="AE280" s="72">
        <f t="shared" si="166"/>
        <v>0.49471492356371027</v>
      </c>
      <c r="AF280" s="72">
        <f t="shared" si="167"/>
        <v>0.51337588157239378</v>
      </c>
      <c r="AG280" s="72">
        <f t="shared" si="168"/>
        <v>0.49</v>
      </c>
      <c r="AH280" s="72">
        <f t="shared" si="169"/>
        <v>0.49413746579830942</v>
      </c>
      <c r="AI280" s="72">
        <f t="shared" si="170"/>
        <v>0.23182321428571429</v>
      </c>
      <c r="AJ280" s="72">
        <f>(AV280-Driver!$K$179)/(Driver!$L$179-Driver!$K$179)</f>
        <v>0.16920473773265648</v>
      </c>
      <c r="AK280" s="72">
        <f>(AW280-Driver!$K$180)/(Driver!$L$180-Driver!$K$180)</f>
        <v>0.37781686268192338</v>
      </c>
      <c r="AL280" s="72">
        <f>(AX280-Driver!$K$181)/(Driver!$L$181-Driver!$K$181)</f>
        <v>0.39480174539935498</v>
      </c>
      <c r="AM280" s="72">
        <f>(AY280-Driver!$K$182)/(Driver!$L$182-Driver!$K$182)</f>
        <v>0.13708115909090907</v>
      </c>
      <c r="AN280" s="72">
        <f>(AZ280-Driver!$K$183)/(Driver!$L$183-Driver!$K$183)</f>
        <v>0.37275326797385616</v>
      </c>
      <c r="AO280" s="72"/>
      <c r="AP280" s="72"/>
      <c r="AQ280" s="72">
        <f>(BC280-Driver!$K$188)/(Driver!$L$188-Driver!$K$188)</f>
        <v>0.12528507643628972</v>
      </c>
      <c r="AR280" s="72">
        <f>MIN((BD280-Driver!$K$189)/(Driver!$L$189-Driver!$K$189),100%)</f>
        <v>3.6624118427606232E-2</v>
      </c>
      <c r="AS280" s="72">
        <f>(BE280-Driver!$K$190)/(Driver!$L$190-Driver!$K$190)</f>
        <v>1</v>
      </c>
      <c r="AT280" s="72">
        <f>(BF280-Driver!$K$191)/(Driver!$L$191-Driver!$K$191)</f>
        <v>1.586253420169062E-2</v>
      </c>
      <c r="AU280" s="72">
        <f>(BG280-Driver!$K$192)/(Driver!$L$192-Driver!$K$192)</f>
        <v>1.8176785714285715E-2</v>
      </c>
      <c r="AV280" s="70">
        <f t="shared" si="171"/>
        <v>3.5612535612535612</v>
      </c>
      <c r="AW280" s="70">
        <f t="shared" si="172"/>
        <v>38.69349368778115</v>
      </c>
      <c r="AX280" s="70">
        <f t="shared" si="173"/>
        <v>4.5532157085941947</v>
      </c>
      <c r="AY280" s="70">
        <f>IFERROR(Driver!$K$19/Data!BH280/Data!BI280*Data!BK280*Data!BL280,"")</f>
        <v>0.16782823979753245</v>
      </c>
      <c r="AZ280" s="70">
        <f t="shared" si="174"/>
        <v>33.972449739389425</v>
      </c>
      <c r="BA280" s="70"/>
      <c r="BB280" s="70"/>
      <c r="BC280" s="70">
        <f t="shared" si="175"/>
        <v>64.986240115224646</v>
      </c>
      <c r="BD280" s="70">
        <f t="shared" si="176"/>
        <v>4.9619924708430103</v>
      </c>
      <c r="BE280" s="70">
        <f t="shared" si="177"/>
        <v>1</v>
      </c>
      <c r="BF280" s="70">
        <f t="shared" si="178"/>
        <v>1.7915617974710896</v>
      </c>
      <c r="BG280" s="70">
        <f t="shared" si="179"/>
        <v>6.8828906250000002E-2</v>
      </c>
      <c r="BH280" s="67">
        <f>MAX((CE280-Driver!$F$200)/(Driver!$G$200-Driver!$F$200)*$BI$1,1)</f>
        <v>4.5532157085941947</v>
      </c>
      <c r="BI280" s="67">
        <f>MAX($BI$1*(BY280-Driver!$F$201)/(Driver!$G$201-Driver!$F$201),1)</f>
        <v>7.9113924050632916</v>
      </c>
      <c r="BJ280" s="67">
        <f>(CB280-Driver!$F$206)/(Driver!$G$206-Driver!$F$206)*$BI$1</f>
        <v>4.7619047619047619</v>
      </c>
      <c r="BK280" s="67">
        <f>(CD280-Driver!$F$203)/(Driver!$G$203-Driver!$F$203)*$BI$1</f>
        <v>4.1743119266055047</v>
      </c>
      <c r="BL280" s="67">
        <f>MAX((CR280-Driver!$F$202)/(Driver!$G$202-Driver!$F$202)*$BI$1,1)</f>
        <v>7.2413793103448274</v>
      </c>
      <c r="BM280" s="67">
        <f>MAX((CH280-Driver!$F$204)/(Driver!$G$204-Driver!$F$204)*$BI$1,1)</f>
        <v>2.9914529914529915</v>
      </c>
      <c r="BN280" s="67">
        <f>(CI280-Driver!$F$205)/(Driver!$G$205-Driver!$F$205)*$BI$1</f>
        <v>4.2941176470588234</v>
      </c>
      <c r="BO280" s="67">
        <f>(CK280-Driver!$F$207)/(Driver!$G$207-Driver!$F$207)*$BI$1</f>
        <v>1.0548086866597726</v>
      </c>
      <c r="BP280" s="67">
        <f>(CM280-Driver!$F$208)/(Driver!$G$208-Driver!$F$208)*$BI$1</f>
        <v>1.4888888888888887</v>
      </c>
      <c r="BQ280" s="67">
        <f>(CL280-Driver!$F$209)/(Driver!$G$209-Driver!$F$209)*$BI$1</f>
        <v>0.9375</v>
      </c>
      <c r="BR280" s="28" t="s">
        <v>155</v>
      </c>
      <c r="BS280" s="8" t="s">
        <v>174</v>
      </c>
      <c r="BT280" s="9" t="s">
        <v>480</v>
      </c>
      <c r="BU280" s="10">
        <v>168</v>
      </c>
      <c r="BV280" s="9" t="s">
        <v>163</v>
      </c>
      <c r="BW280" s="10">
        <v>168</v>
      </c>
      <c r="BX280" s="10">
        <v>167.1</v>
      </c>
      <c r="BY280" s="10">
        <v>133</v>
      </c>
      <c r="BZ280" s="10">
        <v>138</v>
      </c>
      <c r="CA280" s="10">
        <v>126</v>
      </c>
      <c r="CB280" s="10">
        <v>94</v>
      </c>
      <c r="CC280" s="10">
        <v>108</v>
      </c>
      <c r="CD280" s="10">
        <v>18.5</v>
      </c>
      <c r="CE280" s="10">
        <v>1700</v>
      </c>
      <c r="CF280" s="10">
        <v>1.02</v>
      </c>
      <c r="CG280" s="10">
        <v>1733</v>
      </c>
      <c r="CH280" s="10">
        <v>171</v>
      </c>
      <c r="CI280" s="10">
        <v>106</v>
      </c>
      <c r="CJ280" s="10">
        <v>49</v>
      </c>
      <c r="CK280" s="10">
        <v>212</v>
      </c>
      <c r="CL280" s="10">
        <v>6</v>
      </c>
      <c r="CM280" s="10">
        <v>134</v>
      </c>
      <c r="CN280" s="10">
        <v>0.114</v>
      </c>
      <c r="CO280" s="10">
        <v>160</v>
      </c>
      <c r="CP280" s="10">
        <v>130</v>
      </c>
      <c r="CQ280" s="10">
        <v>51</v>
      </c>
      <c r="CR280" s="10">
        <v>10</v>
      </c>
      <c r="CS280" s="10">
        <v>9.6</v>
      </c>
      <c r="CT280" s="9" t="s">
        <v>188</v>
      </c>
      <c r="CU280" s="10"/>
      <c r="CV280" s="10"/>
      <c r="CW280" s="10"/>
      <c r="CX280" t="str">
        <f>INDEX('Data_Price '!AG$2:AG$1266,MATCH(Data!$DN280,'Data_Price '!$AT$2:$AT$1266,0))</f>
        <v>Salomon STANCE W 94 168cm</v>
      </c>
      <c r="CY280" t="str">
        <f>INDEX('Data_Price '!AH$2:AH$1266,MATCH(Data!$DN280,'Data_Price '!$AT$2:$AT$1266,0))</f>
        <v>Sundance Ski and Board Shop</v>
      </c>
      <c r="CZ280">
        <f>INDEX('Data_Price '!AI$2:AI$1266,MATCH(Data!$DN280,'Data_Price '!$AT$2:$AT$1266,0))</f>
        <v>601.49</v>
      </c>
      <c r="DA280" t="str">
        <f>INDEX('Data_Price '!AJ$2:AJ$1266,MATCH(Data!$DN280,'Data_Price '!$AT$2:$AT$1266,0))</f>
        <v>https://tinyurl.com/y7lwtowt</v>
      </c>
      <c r="DB280" t="str">
        <f>INDEX('Data_Price '!AK$2:AK$1266,MATCH(Data!$DN280,'Data_Price '!$AT$2:$AT$1266,0))</f>
        <v>Salomon Stance W 94 Skis 2022</v>
      </c>
      <c r="DC280" t="str">
        <f>INDEX('Data_Price '!AL$2:AL$1266,MATCH(Data!$DN280,'Data_Price '!$AT$2:$AT$1266,0))</f>
        <v>Level Nine Sports</v>
      </c>
      <c r="DD280">
        <f>INDEX('Data_Price '!AM$2:AM$1266,MATCH(Data!$DN280,'Data_Price '!$AT$2:$AT$1266,0))</f>
        <v>649.99</v>
      </c>
      <c r="DE280" t="str">
        <f>INDEX('Data_Price '!AN$2:AN$1266,MATCH(Data!$DN280,'Data_Price '!$AT$2:$AT$1266,0))</f>
        <v>https://tinyurl.com/yatabom4</v>
      </c>
      <c r="DF280" t="str">
        <f>INDEX('Data_Price '!AO$2:AO$1266,MATCH(Data!$DN280,'Data_Price '!$AT$2:$AT$1266,0))</f>
        <v>Salomon Stance 94 Women's Skis 2022</v>
      </c>
      <c r="DG280" t="str">
        <f>INDEX('Data_Price '!AP$2:AP$1266,MATCH(Data!$DN280,'Data_Price '!$AT$2:$AT$1266,0))</f>
        <v>Hillcrest Ski &amp; Sports</v>
      </c>
      <c r="DH280">
        <f>INDEX('Data_Price '!AQ$2:AQ$1266,MATCH(Data!$DN280,'Data_Price '!$AT$2:$AT$1266,0))</f>
        <v>519.99</v>
      </c>
      <c r="DI280" t="str">
        <f>INDEX('Data_Price '!AR$2:AR$1266,MATCH(Data!$DN280,'Data_Price '!$AT$2:$AT$1266,0))</f>
        <v>https://tinyurl.com/yaqdsgls</v>
      </c>
      <c r="DJ280" s="89" t="str">
        <f t="shared" si="180"/>
        <v>https://tinyurl.com/y7lwtowt</v>
      </c>
      <c r="DK280" s="89" t="str">
        <f t="shared" si="181"/>
        <v>https://tinyurl.com/yatabom4</v>
      </c>
      <c r="DL280" s="89" t="str">
        <f t="shared" si="182"/>
        <v>https://tinyurl.com/yaqdsgls</v>
      </c>
      <c r="DM280" s="219" t="str">
        <f t="shared" si="183"/>
        <v>Stance 94 W</v>
      </c>
      <c r="DN280" s="89" t="str">
        <f t="shared" si="184"/>
        <v xml:space="preserve"> SalomonStance 94 W168 Women's</v>
      </c>
      <c r="DO280" s="221" t="s">
        <v>481</v>
      </c>
    </row>
    <row r="281" spans="1:119" ht="15.6" customHeight="1">
      <c r="B281" s="219" t="b">
        <f t="array" ref="B281">IF(OR(ISERROR(K281:P281)),FALSE,TRUE)</f>
        <v>1</v>
      </c>
      <c r="C281" s="43" t="b">
        <f>OR(BR281=Driver!$G$50,Data!BR294=Driver!$H$50)</f>
        <v>1</v>
      </c>
      <c r="D281" s="43" t="b">
        <f>OR(BV281=Driver!$G$51,BV281=Driver!$H$51)</f>
        <v>1</v>
      </c>
      <c r="E281" s="43" t="b">
        <f>AND(BX281&gt;Driver!$F$54,BX281&lt;Driver!$G$54)</f>
        <v>0</v>
      </c>
      <c r="F281" s="43" t="b">
        <f>CL281&gt;Driver!$F$56</f>
        <v>1</v>
      </c>
      <c r="G281" s="43" t="b">
        <f>AND(CB281&gt;Driver!$F$55,CB281&lt;Driver!$G$55)</f>
        <v>0</v>
      </c>
      <c r="H281" s="43" t="b">
        <f t="shared" si="148"/>
        <v>0</v>
      </c>
      <c r="I281" s="43">
        <f t="shared" si="149"/>
        <v>0</v>
      </c>
      <c r="J281" s="43" t="b">
        <f t="array" ref="J281">NOT(OR(($H$9:$H$1273=TRUE)*($I$9:$I$1273&gt;0)*($BT$9:$BT$1273=BT281)*($K$9:$K$1273&gt;K281)))</f>
        <v>1</v>
      </c>
      <c r="K281" s="72">
        <f t="shared" si="150"/>
        <v>0.83120520334579862</v>
      </c>
      <c r="L281" s="72">
        <f t="shared" si="151"/>
        <v>0.96115404974558094</v>
      </c>
      <c r="M281" s="72">
        <f t="shared" si="152"/>
        <v>0.7012563569460164</v>
      </c>
      <c r="N281" s="72">
        <f t="shared" si="153"/>
        <v>0.57155432919717553</v>
      </c>
      <c r="O281" s="72">
        <f t="shared" si="154"/>
        <v>0.61949860033202964</v>
      </c>
      <c r="P281" s="72">
        <f t="shared" si="155"/>
        <v>0.91271614130884426</v>
      </c>
      <c r="Q281" s="72"/>
      <c r="R281" s="72"/>
      <c r="S281" s="72">
        <f t="shared" si="156"/>
        <v>0.4664218295720246</v>
      </c>
      <c r="T281" s="72">
        <f t="shared" si="157"/>
        <v>0.54967752730360697</v>
      </c>
      <c r="U281" s="72">
        <f t="shared" si="158"/>
        <v>0.54680512244574297</v>
      </c>
      <c r="V281" s="72">
        <f t="shared" si="159"/>
        <v>0.55387350909801036</v>
      </c>
      <c r="W281" s="72">
        <f t="shared" si="160"/>
        <v>0.79562937062937067</v>
      </c>
      <c r="X281" s="72">
        <f t="shared" si="161"/>
        <v>3.8845950254419087E-2</v>
      </c>
      <c r="Y281" s="72">
        <f t="shared" si="162"/>
        <v>0.29874364305398354</v>
      </c>
      <c r="Z281" s="72">
        <f t="shared" si="163"/>
        <v>0.42844567080282447</v>
      </c>
      <c r="AA281" s="72">
        <f t="shared" si="164"/>
        <v>0.38050139966797036</v>
      </c>
      <c r="AB281" s="72">
        <f t="shared" si="165"/>
        <v>8.7283858691155791E-2</v>
      </c>
      <c r="AC281" s="72"/>
      <c r="AD281" s="72"/>
      <c r="AE281" s="72">
        <f t="shared" si="166"/>
        <v>0.5335781704279754</v>
      </c>
      <c r="AF281" s="72">
        <f t="shared" si="167"/>
        <v>0.45032247269639303</v>
      </c>
      <c r="AG281" s="72">
        <f t="shared" si="168"/>
        <v>0.45319487755425703</v>
      </c>
      <c r="AH281" s="72">
        <f t="shared" si="169"/>
        <v>0.44612649090198964</v>
      </c>
      <c r="AI281" s="72">
        <f t="shared" si="170"/>
        <v>0.20437062937062939</v>
      </c>
      <c r="AJ281" s="72">
        <f>(AV281-Driver!$K$179)/(Driver!$L$179-Driver!$K$179)</f>
        <v>0.21537345902828134</v>
      </c>
      <c r="AK281" s="72">
        <f>(AW281-Driver!$K$180)/(Driver!$L$180-Driver!$K$180)</f>
        <v>0.36020883013440891</v>
      </c>
      <c r="AL281" s="72">
        <f>(AX281-Driver!$K$181)/(Driver!$L$181-Driver!$K$181)</f>
        <v>0.53013343451590467</v>
      </c>
      <c r="AM281" s="72">
        <f>(AY281-Driver!$K$182)/(Driver!$L$182-Driver!$K$182)</f>
        <v>6.6883621429075987E-2</v>
      </c>
      <c r="AN281" s="72">
        <f>(AZ281-Driver!$K$183)/(Driver!$L$183-Driver!$K$183)</f>
        <v>0.34150326797385622</v>
      </c>
      <c r="AO281" s="72"/>
      <c r="AP281" s="72"/>
      <c r="AQ281" s="72">
        <f>(BC281-Driver!$K$188)/(Driver!$L$188-Driver!$K$188)</f>
        <v>8.6421829572024586E-2</v>
      </c>
      <c r="AR281" s="72">
        <f>MIN((BD281-Driver!$K$189)/(Driver!$L$189-Driver!$K$189),100%)</f>
        <v>9.9677527303606989E-2</v>
      </c>
      <c r="AS281" s="72">
        <f>(BE281-Driver!$K$190)/(Driver!$L$190-Driver!$K$190)</f>
        <v>5.6805122445742963E-2</v>
      </c>
      <c r="AT281" s="72">
        <f>(BF281-Driver!$K$191)/(Driver!$L$191-Driver!$K$191)</f>
        <v>6.3873509098010386E-2</v>
      </c>
      <c r="AU281" s="72">
        <f>(BG281-Driver!$K$192)/(Driver!$L$192-Driver!$K$192)</f>
        <v>4.5629370629370627E-2</v>
      </c>
      <c r="AV281" s="70">
        <f t="shared" si="171"/>
        <v>4.5329670329670328</v>
      </c>
      <c r="AW281" s="70">
        <f t="shared" si="172"/>
        <v>36.977434892985514</v>
      </c>
      <c r="AX281" s="70">
        <f t="shared" si="173"/>
        <v>5.7712009106431417</v>
      </c>
      <c r="AY281" s="70">
        <f>IFERROR(Driver!$K$19/Data!BH281/Data!BI281*Data!BK281*Data!BL281,"")</f>
        <v>8.1885508775733432E-2</v>
      </c>
      <c r="AZ281" s="70">
        <f t="shared" si="174"/>
        <v>31.124348473566641</v>
      </c>
      <c r="BA281" s="70"/>
      <c r="BB281" s="70"/>
      <c r="BC281" s="70">
        <f t="shared" si="175"/>
        <v>44.827603793821297</v>
      </c>
      <c r="BD281" s="70">
        <f t="shared" si="176"/>
        <v>10.542107432339607</v>
      </c>
      <c r="BE281" s="70">
        <f t="shared" si="177"/>
        <v>5.6973377795788094E-2</v>
      </c>
      <c r="BF281" s="70">
        <f t="shared" si="178"/>
        <v>7.2140641158221275</v>
      </c>
      <c r="BG281" s="70">
        <f t="shared" si="179"/>
        <v>0.17278190559440559</v>
      </c>
      <c r="BH281" s="67">
        <f>MAX((CE281-Driver!$F$200)/(Driver!$G$200-Driver!$F$200)*$BI$1,1)</f>
        <v>5.7712009106431417</v>
      </c>
      <c r="BI281" s="67">
        <f>MAX($BI$1*(BY281-Driver!$F$201)/(Driver!$G$201-Driver!$F$201),1)</f>
        <v>6.962025316455696</v>
      </c>
      <c r="BJ281" s="67">
        <f>(CB281-Driver!$F$206)/(Driver!$G$206-Driver!$F$206)*$BI$1</f>
        <v>4.2857142857142856</v>
      </c>
      <c r="BK281" s="67">
        <f>(CD281-Driver!$F$203)/(Driver!$G$203-Driver!$F$203)*$BI$1</f>
        <v>2.9816513761467895</v>
      </c>
      <c r="BL281" s="67">
        <f>MAX((CR281-Driver!$F$202)/(Driver!$G$202-Driver!$F$202)*$BI$1,1)</f>
        <v>5.5172413793103452</v>
      </c>
      <c r="BM281" s="67">
        <f>MAX((CH281-Driver!$F$204)/(Driver!$G$204-Driver!$F$204)*$BI$1,1)</f>
        <v>4.2307692307692308</v>
      </c>
      <c r="BN281" s="67">
        <f>(CI281-Driver!$F$205)/(Driver!$G$205-Driver!$F$205)*$BI$1</f>
        <v>4.4705882352941178</v>
      </c>
      <c r="BO281" s="67">
        <f>(CK281-Driver!$F$207)/(Driver!$G$207-Driver!$F$207)*$BI$1</f>
        <v>2.1716649431230612</v>
      </c>
      <c r="BP281" s="67">
        <f>(CM281-Driver!$F$208)/(Driver!$G$208-Driver!$F$208)*$BI$1</f>
        <v>2.3111111111111109</v>
      </c>
      <c r="BQ281" s="67">
        <f>(CL281-Driver!$F$209)/(Driver!$G$209-Driver!$F$209)*$BI$1</f>
        <v>4.21875</v>
      </c>
      <c r="BR281" s="28" t="s">
        <v>155</v>
      </c>
      <c r="BS281" s="8" t="s">
        <v>317</v>
      </c>
      <c r="BT281" s="9" t="s">
        <v>463</v>
      </c>
      <c r="BU281" s="10">
        <v>172</v>
      </c>
      <c r="BV281" s="9" t="s">
        <v>158</v>
      </c>
      <c r="BW281" s="10">
        <v>172</v>
      </c>
      <c r="BX281" s="10">
        <v>170.8</v>
      </c>
      <c r="BY281" s="10">
        <v>118</v>
      </c>
      <c r="BZ281" s="10">
        <v>142</v>
      </c>
      <c r="CA281" s="10">
        <v>124</v>
      </c>
      <c r="CB281" s="10">
        <v>91</v>
      </c>
      <c r="CC281" s="10">
        <v>113</v>
      </c>
      <c r="CD281" s="10">
        <v>15.9</v>
      </c>
      <c r="CE281" s="10">
        <v>1914</v>
      </c>
      <c r="CF281" s="10">
        <v>0.92</v>
      </c>
      <c r="CG281" s="10">
        <v>1751</v>
      </c>
      <c r="CH281" s="10">
        <v>200</v>
      </c>
      <c r="CI281" s="10">
        <v>109</v>
      </c>
      <c r="CJ281" s="10">
        <v>62</v>
      </c>
      <c r="CK281" s="10">
        <v>320</v>
      </c>
      <c r="CL281" s="10">
        <v>27</v>
      </c>
      <c r="CM281" s="10">
        <v>208</v>
      </c>
      <c r="CN281" s="10">
        <v>0.436</v>
      </c>
      <c r="CO281" s="10">
        <v>153</v>
      </c>
      <c r="CP281" s="10">
        <v>133</v>
      </c>
      <c r="CQ281" s="10">
        <v>167</v>
      </c>
      <c r="CR281" s="10">
        <v>5</v>
      </c>
      <c r="CS281" s="10">
        <v>7.2</v>
      </c>
      <c r="CT281" s="9" t="s">
        <v>188</v>
      </c>
      <c r="CU281" s="10"/>
      <c r="CV281" s="10"/>
      <c r="CW281" s="10"/>
      <c r="CX281" t="str">
        <f>INDEX('Data_Price '!AG$2:AG$1266,MATCH(Data!$DN281,'Data_Price '!$AT$2:$AT$1266,0))</f>
        <v>Blizzard Rustler 9 Skis</v>
      </c>
      <c r="CY281" t="str">
        <f>INDEX('Data_Price '!AH$2:AH$1266,MATCH(Data!$DN281,'Data_Price '!$AT$2:$AT$1266,0))</f>
        <v xml:space="preserve">Aspen East </v>
      </c>
      <c r="CZ281">
        <f>INDEX('Data_Price '!AI$2:AI$1266,MATCH(Data!$DN281,'Data_Price '!$AT$2:$AT$1266,0))</f>
        <v>529</v>
      </c>
      <c r="DA281" t="str">
        <f>INDEX('Data_Price '!AJ$2:AJ$1266,MATCH(Data!$DN281,'Data_Price '!$AT$2:$AT$1266,0))</f>
        <v>https://tinyurl.com/y937nsua</v>
      </c>
      <c r="DB281" t="str">
        <f>INDEX('Data_Price '!AK$2:AK$1266,MATCH(Data!$DN281,'Data_Price '!$AT$2:$AT$1266,0))</f>
        <v>Blizzard Rustler 9 Skis</v>
      </c>
      <c r="DC281" t="str">
        <f>INDEX('Data_Price '!AL$2:AL$1266,MATCH(Data!$DN281,'Data_Price '!$AT$2:$AT$1266,0))</f>
        <v>Powder7 Ski Shop</v>
      </c>
      <c r="DD281">
        <f>INDEX('Data_Price '!AM$2:AM$1266,MATCH(Data!$DN281,'Data_Price '!$AT$2:$AT$1266,0))</f>
        <v>529.92999999999995</v>
      </c>
      <c r="DE281" t="str">
        <f>INDEX('Data_Price '!AN$2:AN$1266,MATCH(Data!$DN281,'Data_Price '!$AT$2:$AT$1266,0))</f>
        <v>https://tinyurl.com/ybh64hvo</v>
      </c>
      <c r="DF281" t="str">
        <f>INDEX('Data_Price '!AO$2:AO$1266,MATCH(Data!$DN281,'Data_Price '!$AT$2:$AT$1266,0))</f>
        <v>Blizzard Rustler 9 Skis - Winter 2021/2022 172</v>
      </c>
      <c r="DG281" t="str">
        <f>INDEX('Data_Price '!AP$2:AP$1266,MATCH(Data!$DN281,'Data_Price '!$AT$2:$AT$1266,0))</f>
        <v>Equipe Sport</v>
      </c>
      <c r="DH281">
        <f>INDEX('Data_Price '!AQ$2:AQ$1266,MATCH(Data!$DN281,'Data_Price '!$AT$2:$AT$1266,0))</f>
        <v>599</v>
      </c>
      <c r="DI281" t="str">
        <f>INDEX('Data_Price '!AR$2:AR$1266,MATCH(Data!$DN281,'Data_Price '!$AT$2:$AT$1266,0))</f>
        <v>https://tinyurl.com/y8z7z4ov</v>
      </c>
      <c r="DJ281" s="89" t="str">
        <f t="shared" si="180"/>
        <v>https://tinyurl.com/y937nsua</v>
      </c>
      <c r="DK281" s="89" t="str">
        <f t="shared" si="181"/>
        <v>https://tinyurl.com/ybh64hvo</v>
      </c>
      <c r="DL281" s="89" t="str">
        <f t="shared" si="182"/>
        <v>https://tinyurl.com/y8z7z4ov</v>
      </c>
      <c r="DM281" s="219" t="str">
        <f t="shared" si="183"/>
        <v>Rustler 9</v>
      </c>
      <c r="DN281" s="89" t="str">
        <f t="shared" si="184"/>
        <v xml:space="preserve"> BlizzardRustler 9172 Unisex</v>
      </c>
      <c r="DO281" s="221" t="s">
        <v>464</v>
      </c>
    </row>
    <row r="282" spans="1:119" ht="15.6" customHeight="1">
      <c r="B282" s="219" t="b">
        <f t="array" ref="B282">IF(OR(ISERROR(K282:P282)),FALSE,TRUE)</f>
        <v>1</v>
      </c>
      <c r="C282" s="43" t="b">
        <f>OR(BR282=Driver!$G$50,Data!BR837=Driver!$H$50)</f>
        <v>1</v>
      </c>
      <c r="D282" s="43" t="b">
        <f>OR(BV282=Driver!$G$51,BV282=Driver!$H$51)</f>
        <v>1</v>
      </c>
      <c r="E282" s="43" t="b">
        <f>AND(BX282&gt;Driver!$F$54,BX282&lt;Driver!$G$54)</f>
        <v>0</v>
      </c>
      <c r="F282" s="43" t="b">
        <f>CL282&gt;Driver!$F$56</f>
        <v>1</v>
      </c>
      <c r="G282" s="43" t="b">
        <f>AND(CB282&gt;Driver!$F$55,CB282&lt;Driver!$G$55)</f>
        <v>0</v>
      </c>
      <c r="H282" s="43" t="b">
        <f t="shared" si="148"/>
        <v>0</v>
      </c>
      <c r="I282" s="43">
        <f t="shared" si="149"/>
        <v>0</v>
      </c>
      <c r="J282" s="43" t="b">
        <f t="array" ref="J282">NOT(OR(($H$9:$H$1273=TRUE)*($I$9:$I$1273&gt;0)*($BT$9:$BT$1273=BT282)*($K$9:$K$1273&gt;K282)))</f>
        <v>1</v>
      </c>
      <c r="K282" s="72">
        <f t="shared" si="150"/>
        <v>0.82877188062042961</v>
      </c>
      <c r="L282" s="72">
        <f t="shared" si="151"/>
        <v>0.88283642828075126</v>
      </c>
      <c r="M282" s="72">
        <f t="shared" si="152"/>
        <v>0.77470733296010785</v>
      </c>
      <c r="N282" s="72">
        <f t="shared" si="153"/>
        <v>0.70435645403117286</v>
      </c>
      <c r="O282" s="72">
        <f t="shared" si="154"/>
        <v>0.67529214367433477</v>
      </c>
      <c r="P282" s="72">
        <f t="shared" si="155"/>
        <v>0.94447340117481593</v>
      </c>
      <c r="Q282" s="72"/>
      <c r="R282" s="72"/>
      <c r="S282" s="72">
        <f t="shared" si="156"/>
        <v>0.46509226296322415</v>
      </c>
      <c r="T282" s="72">
        <f t="shared" si="157"/>
        <v>0.46607234214208049</v>
      </c>
      <c r="U282" s="72">
        <f t="shared" si="158"/>
        <v>0.61539685392616783</v>
      </c>
      <c r="V282" s="72">
        <f t="shared" si="159"/>
        <v>0.50542400077650818</v>
      </c>
      <c r="W282" s="72">
        <f t="shared" si="160"/>
        <v>0.89737029140014213</v>
      </c>
      <c r="X282" s="72">
        <f t="shared" si="161"/>
        <v>0.11716357171924868</v>
      </c>
      <c r="Y282" s="72">
        <f t="shared" si="162"/>
        <v>0.22529266703989215</v>
      </c>
      <c r="Z282" s="72">
        <f t="shared" si="163"/>
        <v>0.29564354596882714</v>
      </c>
      <c r="AA282" s="72">
        <f t="shared" si="164"/>
        <v>0.32470785632566523</v>
      </c>
      <c r="AB282" s="72">
        <f t="shared" si="165"/>
        <v>5.552659882518407E-2</v>
      </c>
      <c r="AC282" s="72"/>
      <c r="AD282" s="72"/>
      <c r="AE282" s="72">
        <f t="shared" si="166"/>
        <v>0.53490773703677585</v>
      </c>
      <c r="AF282" s="72">
        <f t="shared" si="167"/>
        <v>0.53392765785791951</v>
      </c>
      <c r="AG282" s="72">
        <f t="shared" si="168"/>
        <v>0.38460314607383217</v>
      </c>
      <c r="AH282" s="72">
        <f t="shared" si="169"/>
        <v>0.49457599922349182</v>
      </c>
      <c r="AI282" s="72">
        <f t="shared" si="170"/>
        <v>0.10262970859985787</v>
      </c>
      <c r="AJ282" s="72">
        <f>(AV282-Driver!$K$179)/(Driver!$L$179-Driver!$K$179)</f>
        <v>0.13705583756345174</v>
      </c>
      <c r="AK282" s="72">
        <f>(AW282-Driver!$K$180)/(Driver!$L$180-Driver!$K$180)</f>
        <v>0.21509582878324052</v>
      </c>
      <c r="AL282" s="72">
        <f>(AX282-Driver!$K$181)/(Driver!$L$181-Driver!$K$181)</f>
        <v>0.39733130968190733</v>
      </c>
      <c r="AM282" s="72">
        <f>(AY282-Driver!$K$182)/(Driver!$L$182-Driver!$K$182)</f>
        <v>0.12267716477138113</v>
      </c>
      <c r="AN282" s="72">
        <f>(AZ282-Driver!$K$183)/(Driver!$L$183-Driver!$K$183)</f>
        <v>0.19869281045751636</v>
      </c>
      <c r="AO282" s="72"/>
      <c r="AP282" s="72"/>
      <c r="AQ282" s="72">
        <f>(BC282-Driver!$K$188)/(Driver!$L$188-Driver!$K$188)</f>
        <v>8.5092262963224197E-2</v>
      </c>
      <c r="AR282" s="72">
        <f>MIN((BD282-Driver!$K$189)/(Driver!$L$189-Driver!$K$189),100%)</f>
        <v>1.6072342142080486E-2</v>
      </c>
      <c r="AS282" s="72">
        <f>(BE282-Driver!$K$190)/(Driver!$L$190-Driver!$K$190)</f>
        <v>0.12539685392616787</v>
      </c>
      <c r="AT282" s="72">
        <f>(BF282-Driver!$K$191)/(Driver!$L$191-Driver!$K$191)</f>
        <v>1.54240007765082E-2</v>
      </c>
      <c r="AU282" s="72">
        <f>(BG282-Driver!$K$192)/(Driver!$L$192-Driver!$K$192)</f>
        <v>0.14737029140014213</v>
      </c>
      <c r="AV282" s="70">
        <f t="shared" si="171"/>
        <v>2.8846153846153841</v>
      </c>
      <c r="AW282" s="70">
        <f t="shared" si="172"/>
        <v>22.834887079316541</v>
      </c>
      <c r="AX282" s="70">
        <f t="shared" si="173"/>
        <v>4.5759817871371657</v>
      </c>
      <c r="AY282" s="70">
        <f>IFERROR(Driver!$K$19/Data!BH282/Data!BI282*Data!BK282*Data!BL282,"")</f>
        <v>0.15019345301332626</v>
      </c>
      <c r="AZ282" s="70">
        <f t="shared" si="174"/>
        <v>18.108711839166048</v>
      </c>
      <c r="BA282" s="70"/>
      <c r="BB282" s="70"/>
      <c r="BC282" s="70">
        <f t="shared" si="175"/>
        <v>44.137948350839423</v>
      </c>
      <c r="BD282" s="70">
        <f t="shared" si="176"/>
        <v>3.1431966851667359</v>
      </c>
      <c r="BE282" s="70">
        <f t="shared" si="177"/>
        <v>0.12555287328334971</v>
      </c>
      <c r="BF282" s="70">
        <f t="shared" si="178"/>
        <v>1.7420325279684126</v>
      </c>
      <c r="BG282" s="70">
        <f t="shared" si="179"/>
        <v>0.55803793532338308</v>
      </c>
      <c r="BH282" s="67">
        <f>MAX((CE282-Driver!$F$200)/(Driver!$G$200-Driver!$F$200)*$BI$1,1)</f>
        <v>4.5759817871371657</v>
      </c>
      <c r="BI282" s="67">
        <f>MAX($BI$1*(BY282-Driver!$F$201)/(Driver!$G$201-Driver!$F$201),1)</f>
        <v>8.1012658227848107</v>
      </c>
      <c r="BJ282" s="67">
        <f>(CB282-Driver!$F$206)/(Driver!$G$206-Driver!$F$206)*$BI$1</f>
        <v>4.2857142857142856</v>
      </c>
      <c r="BK282" s="67">
        <f>(CD282-Driver!$F$203)/(Driver!$G$203-Driver!$F$203)*$BI$1</f>
        <v>5.045871559633027</v>
      </c>
      <c r="BL282" s="67">
        <f>MAX((CR282-Driver!$F$202)/(Driver!$G$202-Driver!$F$202)*$BI$1,1)</f>
        <v>5.5172413793103452</v>
      </c>
      <c r="BM282" s="67">
        <f>MAX((CH282-Driver!$F$204)/(Driver!$G$204-Driver!$F$204)*$BI$1,1)</f>
        <v>2.6923076923076921</v>
      </c>
      <c r="BN282" s="67">
        <f>(CI282-Driver!$F$205)/(Driver!$G$205-Driver!$F$205)*$BI$1</f>
        <v>2.2352941176470589</v>
      </c>
      <c r="BO282" s="67">
        <f>(CK282-Driver!$F$207)/(Driver!$G$207-Driver!$F$207)*$BI$1</f>
        <v>0.8790072388831438</v>
      </c>
      <c r="BP282" s="67">
        <f>(CM282-Driver!$F$208)/(Driver!$G$208-Driver!$F$208)*$BI$1</f>
        <v>2.3333333333333335</v>
      </c>
      <c r="BQ282" s="67">
        <f>(CL282-Driver!$F$209)/(Driver!$G$209-Driver!$F$209)*$BI$1</f>
        <v>6.875</v>
      </c>
      <c r="BR282" s="28" t="s">
        <v>155</v>
      </c>
      <c r="BS282" s="8" t="s">
        <v>208</v>
      </c>
      <c r="BT282" s="9" t="s">
        <v>482</v>
      </c>
      <c r="BU282" s="10">
        <v>177</v>
      </c>
      <c r="BV282" s="9" t="s">
        <v>158</v>
      </c>
      <c r="BW282" s="10">
        <v>177</v>
      </c>
      <c r="BX282" s="10">
        <v>176.2</v>
      </c>
      <c r="BY282" s="10">
        <v>136</v>
      </c>
      <c r="BZ282" s="10">
        <v>152</v>
      </c>
      <c r="CA282" s="10">
        <v>120</v>
      </c>
      <c r="CB282" s="10">
        <v>91</v>
      </c>
      <c r="CC282" s="10">
        <v>117</v>
      </c>
      <c r="CD282" s="10">
        <v>20.399999999999999</v>
      </c>
      <c r="CE282" s="10">
        <v>1704</v>
      </c>
      <c r="CF282" s="10">
        <v>1.05</v>
      </c>
      <c r="CG282" s="10">
        <v>1784</v>
      </c>
      <c r="CH282" s="10">
        <v>164</v>
      </c>
      <c r="CI282" s="10">
        <v>71</v>
      </c>
      <c r="CJ282" s="10">
        <v>44</v>
      </c>
      <c r="CK282" s="10">
        <v>195</v>
      </c>
      <c r="CL282" s="10">
        <v>44</v>
      </c>
      <c r="CM282" s="10">
        <v>210</v>
      </c>
      <c r="CN282" s="10">
        <v>0.98599999999999999</v>
      </c>
      <c r="CO282" s="10">
        <v>120</v>
      </c>
      <c r="CP282" s="10">
        <v>122</v>
      </c>
      <c r="CQ282" s="10">
        <v>75</v>
      </c>
      <c r="CR282" s="10">
        <v>5</v>
      </c>
      <c r="CS282" s="10">
        <v>3.3</v>
      </c>
      <c r="CT282" s="9" t="s">
        <v>184</v>
      </c>
      <c r="CU282" s="10"/>
      <c r="CV282" s="10"/>
      <c r="CW282" s="10"/>
      <c r="CX282" t="str">
        <f>INDEX('Data_Price '!AG$2:AG$1266,MATCH(Data!$DN282,'Data_Price '!$AT$2:$AT$1266,0))</f>
        <v>'22 Line Honey Badger Skis 177cm</v>
      </c>
      <c r="CY282" t="str">
        <f>INDEX('Data_Price '!AH$2:AH$1266,MATCH(Data!$DN282,'Data_Price '!$AT$2:$AT$1266,0))</f>
        <v>Al's Ski Equipment Barn</v>
      </c>
      <c r="CZ282">
        <f>INDEX('Data_Price '!AI$2:AI$1266,MATCH(Data!$DN282,'Data_Price '!$AT$2:$AT$1266,0))</f>
        <v>329.95</v>
      </c>
      <c r="DA282" t="str">
        <f>INDEX('Data_Price '!AJ$2:AJ$1266,MATCH(Data!$DN282,'Data_Price '!$AT$2:$AT$1266,0))</f>
        <v>https://tinyurl.com/ydgrd27w</v>
      </c>
      <c r="DB282" t="str">
        <f>INDEX('Data_Price '!AK$2:AK$1266,MATCH(Data!$DN282,'Data_Price '!$AT$2:$AT$1266,0))</f>
        <v>Line Honey Badger Skis 2022</v>
      </c>
      <c r="DC282" t="str">
        <f>INDEX('Data_Price '!AL$2:AL$1266,MATCH(Data!$DN282,'Data_Price '!$AT$2:$AT$1266,0))</f>
        <v>UtahSkis</v>
      </c>
      <c r="DD282">
        <f>INDEX('Data_Price '!AM$2:AM$1266,MATCH(Data!$DN282,'Data_Price '!$AT$2:$AT$1266,0))</f>
        <v>349.95</v>
      </c>
      <c r="DE282" t="str">
        <f>INDEX('Data_Price '!AN$2:AN$1266,MATCH(Data!$DN282,'Data_Price '!$AT$2:$AT$1266,0))</f>
        <v>https://tinyurl.com/y8dppznu</v>
      </c>
      <c r="DF282">
        <f>INDEX('Data_Price '!AO$2:AO$1266,MATCH(Data!$DN282,'Data_Price '!$AT$2:$AT$1266,0))</f>
        <v>0</v>
      </c>
      <c r="DG282">
        <f>INDEX('Data_Price '!AP$2:AP$1266,MATCH(Data!$DN282,'Data_Price '!$AT$2:$AT$1266,0))</f>
        <v>0</v>
      </c>
      <c r="DH282">
        <f>INDEX('Data_Price '!AQ$2:AQ$1266,MATCH(Data!$DN282,'Data_Price '!$AT$2:$AT$1266,0))</f>
        <v>0</v>
      </c>
      <c r="DI282">
        <f>INDEX('Data_Price '!AR$2:AR$1266,MATCH(Data!$DN282,'Data_Price '!$AT$2:$AT$1266,0))</f>
        <v>0</v>
      </c>
      <c r="DJ282" s="89" t="str">
        <f t="shared" si="180"/>
        <v>https://tinyurl.com/ydgrd27w</v>
      </c>
      <c r="DK282" s="89" t="str">
        <f t="shared" si="181"/>
        <v>https://tinyurl.com/y8dppznu</v>
      </c>
      <c r="DL282" s="89">
        <f t="shared" si="182"/>
        <v>0</v>
      </c>
      <c r="DM282" s="219" t="str">
        <f t="shared" si="183"/>
        <v>Honey Badger</v>
      </c>
      <c r="DN282" s="89" t="str">
        <f t="shared" si="184"/>
        <v xml:space="preserve"> LineHoney Badger177 Unisex</v>
      </c>
      <c r="DO282" s="221" t="s">
        <v>483</v>
      </c>
    </row>
    <row r="283" spans="1:119" ht="15.6" customHeight="1">
      <c r="B283" s="219" t="b">
        <f t="array" ref="B283">IF(OR(ISERROR(K283:P283)),FALSE,TRUE)</f>
        <v>1</v>
      </c>
      <c r="C283" s="43" t="b">
        <f>OR(BR283=Driver!$G$50,Data!BR475=Driver!$H$50)</f>
        <v>1</v>
      </c>
      <c r="D283" s="43" t="b">
        <f>OR(BV283=Driver!$G$51,BV283=Driver!$H$51)</f>
        <v>0</v>
      </c>
      <c r="E283" s="43" t="b">
        <f>AND(BX283&gt;Driver!$F$54,BX283&lt;Driver!$G$54)</f>
        <v>1</v>
      </c>
      <c r="F283" s="43" t="b">
        <f>CL283&gt;Driver!$F$56</f>
        <v>1</v>
      </c>
      <c r="G283" s="43" t="b">
        <f>AND(CB283&gt;Driver!$F$55,CB283&lt;Driver!$G$55)</f>
        <v>0</v>
      </c>
      <c r="H283" s="43" t="b">
        <f t="shared" si="148"/>
        <v>0</v>
      </c>
      <c r="I283" s="43">
        <f t="shared" si="149"/>
        <v>0</v>
      </c>
      <c r="J283" s="43" t="b">
        <f t="array" ref="J283">NOT(OR(($H$9:$H$1273=TRUE)*($I$9:$I$1273&gt;0)*($BT$9:$BT$1273=BT283)*($K$9:$K$1273&gt;K283)))</f>
        <v>1</v>
      </c>
      <c r="K283" s="72">
        <f t="shared" si="150"/>
        <v>0.81533300324198299</v>
      </c>
      <c r="L283" s="72">
        <f t="shared" si="151"/>
        <v>0.89806485467669039</v>
      </c>
      <c r="M283" s="72">
        <f t="shared" si="152"/>
        <v>0.73260115180727547</v>
      </c>
      <c r="N283" s="72">
        <f t="shared" si="153"/>
        <v>0.64997082195629785</v>
      </c>
      <c r="O283" s="72">
        <f t="shared" si="154"/>
        <v>0.59688119803903761</v>
      </c>
      <c r="P283" s="72">
        <f t="shared" si="155"/>
        <v>0.95095143542649119</v>
      </c>
      <c r="Q283" s="72"/>
      <c r="R283" s="72"/>
      <c r="S283" s="72">
        <f t="shared" si="156"/>
        <v>0.43350435573370483</v>
      </c>
      <c r="T283" s="72">
        <f t="shared" si="157"/>
        <v>0.77756012110884321</v>
      </c>
      <c r="U283" s="72">
        <f t="shared" si="158"/>
        <v>0.51</v>
      </c>
      <c r="V283" s="72">
        <f t="shared" si="159"/>
        <v>0.5039440720472973</v>
      </c>
      <c r="W283" s="72">
        <f t="shared" si="160"/>
        <v>0.76633868378812198</v>
      </c>
      <c r="X283" s="72">
        <f t="shared" si="161"/>
        <v>0.10193514532330958</v>
      </c>
      <c r="Y283" s="72">
        <f t="shared" si="162"/>
        <v>0.26739884819272447</v>
      </c>
      <c r="Z283" s="72">
        <f t="shared" si="163"/>
        <v>0.3500291780437022</v>
      </c>
      <c r="AA283" s="72">
        <f t="shared" si="164"/>
        <v>0.40311880196096245</v>
      </c>
      <c r="AB283" s="72">
        <f t="shared" si="165"/>
        <v>4.9048564573508757E-2</v>
      </c>
      <c r="AC283" s="72"/>
      <c r="AD283" s="72"/>
      <c r="AE283" s="72">
        <f t="shared" si="166"/>
        <v>0.56649564426629517</v>
      </c>
      <c r="AF283" s="72">
        <f t="shared" si="167"/>
        <v>0.22243987889115685</v>
      </c>
      <c r="AG283" s="72">
        <f t="shared" si="168"/>
        <v>0.49</v>
      </c>
      <c r="AH283" s="72">
        <f t="shared" si="169"/>
        <v>0.4960559279527027</v>
      </c>
      <c r="AI283" s="72">
        <f t="shared" si="170"/>
        <v>0.23366131621187802</v>
      </c>
      <c r="AJ283" s="72">
        <f>(AV283-Driver!$K$179)/(Driver!$L$179-Driver!$K$179)</f>
        <v>0.15228426395939085</v>
      </c>
      <c r="AK283" s="72">
        <f>(AW283-Driver!$K$180)/(Driver!$L$180-Driver!$K$180)</f>
        <v>0.31692723920440585</v>
      </c>
      <c r="AL283" s="72">
        <f>(AX283-Driver!$K$181)/(Driver!$L$181-Driver!$K$181)</f>
        <v>0.4517169417567824</v>
      </c>
      <c r="AM283" s="72">
        <f>(AY283-Driver!$K$182)/(Driver!$L$182-Driver!$K$182)</f>
        <v>4.4266219136083924E-2</v>
      </c>
      <c r="AN283" s="72">
        <f>(AZ283-Driver!$K$183)/(Driver!$L$183-Driver!$K$183)</f>
        <v>0.30326797385620918</v>
      </c>
      <c r="AO283" s="72"/>
      <c r="AP283" s="72"/>
      <c r="AQ283" s="72">
        <f>(BC283-Driver!$K$188)/(Driver!$L$188-Driver!$K$188)</f>
        <v>5.3504355733704871E-2</v>
      </c>
      <c r="AR283" s="72">
        <f>MIN((BD283-Driver!$K$189)/(Driver!$L$189-Driver!$K$189),100%)</f>
        <v>0.32756012110884319</v>
      </c>
      <c r="AS283" s="72">
        <f>(BE283-Driver!$K$190)/(Driver!$L$190-Driver!$K$190)</f>
        <v>1</v>
      </c>
      <c r="AT283" s="72">
        <f>(BF283-Driver!$K$191)/(Driver!$L$191-Driver!$K$191)</f>
        <v>1.3944072047297321E-2</v>
      </c>
      <c r="AU283" s="72">
        <f>(BG283-Driver!$K$192)/(Driver!$L$192-Driver!$K$192)</f>
        <v>1.6338683788121987E-2</v>
      </c>
      <c r="AV283" s="70">
        <f t="shared" si="171"/>
        <v>3.2051282051282048</v>
      </c>
      <c r="AW283" s="70">
        <f t="shared" si="172"/>
        <v>32.759260342946817</v>
      </c>
      <c r="AX283" s="70">
        <f t="shared" si="173"/>
        <v>5.0654524758110417</v>
      </c>
      <c r="AY283" s="70">
        <f>IFERROR(Driver!$K$19/Data!BH283/Data!BI283*Data!BK283*Data!BL283,"")</f>
        <v>5.4195059987594579E-2</v>
      </c>
      <c r="AZ283" s="70">
        <f t="shared" si="174"/>
        <v>27.639612807148179</v>
      </c>
      <c r="BA283" s="70"/>
      <c r="BB283" s="70"/>
      <c r="BC283" s="70">
        <f t="shared" si="175"/>
        <v>27.753081275319314</v>
      </c>
      <c r="BD283" s="70">
        <f t="shared" si="176"/>
        <v>30.709313200039951</v>
      </c>
      <c r="BE283" s="70">
        <f t="shared" si="177"/>
        <v>1</v>
      </c>
      <c r="BF283" s="70">
        <f t="shared" si="178"/>
        <v>1.5748849750918006</v>
      </c>
      <c r="BG283" s="70">
        <f t="shared" si="179"/>
        <v>6.1868679775280898E-2</v>
      </c>
      <c r="BH283" s="67">
        <f>MAX((CE283-Driver!$F$200)/(Driver!$G$200-Driver!$F$200)*$BI$1,1)</f>
        <v>5.0654524758110417</v>
      </c>
      <c r="BI283" s="67">
        <f>MAX($BI$1*(BY283-Driver!$F$201)/(Driver!$G$201-Driver!$F$201),1)</f>
        <v>8.1012658227848107</v>
      </c>
      <c r="BJ283" s="67">
        <f>(CB283-Driver!$F$206)/(Driver!$G$206-Driver!$F$206)*$BI$1</f>
        <v>2.8571428571428568</v>
      </c>
      <c r="BK283" s="67">
        <f>(CD283-Driver!$F$203)/(Driver!$G$203-Driver!$F$203)*$BI$1</f>
        <v>1.6972477064220182</v>
      </c>
      <c r="BL283" s="67">
        <f>MAX((CR283-Driver!$F$202)/(Driver!$G$202-Driver!$F$202)*$BI$1,1)</f>
        <v>6.5517241379310338</v>
      </c>
      <c r="BM283" s="67">
        <f>MAX((CH283-Driver!$F$204)/(Driver!$G$204-Driver!$F$204)*$BI$1,1)</f>
        <v>4.4871794871794872</v>
      </c>
      <c r="BN283" s="67">
        <f>(CI283-Driver!$F$205)/(Driver!$G$205-Driver!$F$205)*$BI$1</f>
        <v>3.4117647058823533</v>
      </c>
      <c r="BO283" s="67">
        <f>(CK283-Driver!$F$207)/(Driver!$G$207-Driver!$F$207)*$BI$1</f>
        <v>0.71354705274043428</v>
      </c>
      <c r="BP283" s="67">
        <f>(CM283-Driver!$F$208)/(Driver!$G$208-Driver!$F$208)*$BI$1</f>
        <v>1.3111111111111113</v>
      </c>
      <c r="BQ283" s="67">
        <f>(CL283-Driver!$F$209)/(Driver!$G$209-Driver!$F$209)*$BI$1</f>
        <v>1.40625</v>
      </c>
      <c r="BR283" s="28" t="s">
        <v>155</v>
      </c>
      <c r="BS283" s="8" t="s">
        <v>164</v>
      </c>
      <c r="BT283" s="9" t="s">
        <v>484</v>
      </c>
      <c r="BU283" s="10">
        <v>164</v>
      </c>
      <c r="BV283" s="9" t="s">
        <v>163</v>
      </c>
      <c r="BW283" s="10">
        <v>164</v>
      </c>
      <c r="BX283" s="10">
        <v>165.2</v>
      </c>
      <c r="BY283" s="10">
        <v>136</v>
      </c>
      <c r="BZ283" s="10">
        <v>145</v>
      </c>
      <c r="CA283" s="10">
        <v>128</v>
      </c>
      <c r="CB283" s="10">
        <v>82</v>
      </c>
      <c r="CC283" s="10">
        <v>112</v>
      </c>
      <c r="CD283" s="10">
        <v>13.1</v>
      </c>
      <c r="CE283" s="10">
        <v>1790</v>
      </c>
      <c r="CF283" s="10">
        <v>0.89</v>
      </c>
      <c r="CG283" s="10">
        <v>1600</v>
      </c>
      <c r="CH283" s="10">
        <v>206</v>
      </c>
      <c r="CI283" s="10">
        <v>91</v>
      </c>
      <c r="CJ283" s="10">
        <v>41</v>
      </c>
      <c r="CK283" s="10">
        <v>179</v>
      </c>
      <c r="CL283" s="10">
        <v>9</v>
      </c>
      <c r="CM283" s="10">
        <v>118</v>
      </c>
      <c r="CN283" s="10">
        <v>0.214</v>
      </c>
      <c r="CO283" s="10">
        <v>106</v>
      </c>
      <c r="CP283" s="10">
        <v>92</v>
      </c>
      <c r="CQ283" s="10">
        <v>72</v>
      </c>
      <c r="CR283" s="10">
        <v>8</v>
      </c>
      <c r="CS283" s="10">
        <v>8.4</v>
      </c>
      <c r="CT283" s="9" t="s">
        <v>231</v>
      </c>
      <c r="CU283" s="9" t="s">
        <v>188</v>
      </c>
      <c r="CV283" s="10"/>
      <c r="CW283" s="10"/>
      <c r="CX283" t="str">
        <f>INDEX('Data_Price '!AG$2:AG$1266,MATCH(Data!$DN283,'Data_Price '!$AT$2:$AT$1266,0))</f>
        <v>Elan Wildcat 82 CX + ELW 11 Shift 20/21</v>
      </c>
      <c r="CY283" t="str">
        <f>INDEX('Data_Price '!AH$2:AH$1266,MATCH(Data!$DN283,'Data_Price '!$AT$2:$AT$1266,0))</f>
        <v>Snowcountry.eu</v>
      </c>
      <c r="CZ283">
        <f>INDEX('Data_Price '!AI$2:AI$1266,MATCH(Data!$DN283,'Data_Price '!$AT$2:$AT$1266,0))</f>
        <v>414</v>
      </c>
      <c r="DA283" t="str">
        <f>INDEX('Data_Price '!AJ$2:AJ$1266,MATCH(Data!$DN283,'Data_Price '!$AT$2:$AT$1266,0))</f>
        <v>https://tinyurl.com/ycn89azu</v>
      </c>
      <c r="DB283" t="str">
        <f>INDEX('Data_Price '!AK$2:AK$1266,MATCH(Data!$DN283,'Data_Price '!$AT$2:$AT$1266,0))</f>
        <v>Elan Wildcat 82 CX Skis NA 164</v>
      </c>
      <c r="DC283" t="str">
        <f>INDEX('Data_Price '!AL$2:AL$1266,MATCH(Data!$DN283,'Data_Price '!$AT$2:$AT$1266,0))</f>
        <v>U.S. Outdoor</v>
      </c>
      <c r="DD283">
        <f>INDEX('Data_Price '!AM$2:AM$1266,MATCH(Data!$DN283,'Data_Price '!$AT$2:$AT$1266,0))</f>
        <v>499.99</v>
      </c>
      <c r="DE283" t="str">
        <f>INDEX('Data_Price '!AN$2:AN$1266,MATCH(Data!$DN283,'Data_Price '!$AT$2:$AT$1266,0))</f>
        <v>https://tinyurl.com/yapcczbm</v>
      </c>
      <c r="DF283" t="str">
        <f>INDEX('Data_Price '!AO$2:AO$1266,MATCH(Data!$DN283,'Data_Price '!$AT$2:$AT$1266,0))</f>
        <v>Elan Wildcat 82 CX Skis Na 164</v>
      </c>
      <c r="DG283" t="str">
        <f>INDEX('Data_Price '!AP$2:AP$1266,MATCH(Data!$DN283,'Data_Price '!$AT$2:$AT$1266,0))</f>
        <v>Discount Bandit - Home Run Deals</v>
      </c>
      <c r="DH283">
        <f>INDEX('Data_Price '!AQ$2:AQ$1266,MATCH(Data!$DN283,'Data_Price '!$AT$2:$AT$1266,0))</f>
        <v>505.04</v>
      </c>
      <c r="DI283" t="str">
        <f>INDEX('Data_Price '!AR$2:AR$1266,MATCH(Data!$DN283,'Data_Price '!$AT$2:$AT$1266,0))</f>
        <v>https://tinyurl.com/yagqehrw</v>
      </c>
      <c r="DJ283" s="89" t="str">
        <f t="shared" si="180"/>
        <v>https://tinyurl.com/ycn89azu</v>
      </c>
      <c r="DK283" s="89" t="str">
        <f t="shared" si="181"/>
        <v>https://tinyurl.com/yapcczbm</v>
      </c>
      <c r="DL283" s="89" t="str">
        <f t="shared" si="182"/>
        <v>https://tinyurl.com/yagqehrw</v>
      </c>
      <c r="DM283" s="219" t="str">
        <f t="shared" si="183"/>
        <v>Wildcat 82 CX</v>
      </c>
      <c r="DN283" s="89" t="str">
        <f t="shared" si="184"/>
        <v xml:space="preserve"> ElanWildcat 82 CX164 Women's</v>
      </c>
      <c r="DO283" s="221"/>
    </row>
    <row r="284" spans="1:119" ht="15.6" customHeight="1">
      <c r="B284" s="219" t="b">
        <f t="array" ref="B284">IF(OR(ISERROR(K284:P284)),FALSE,TRUE)</f>
        <v>1</v>
      </c>
      <c r="C284" s="43" t="b">
        <f>OR(BR284=Driver!$G$50,Data!BR735=Driver!$H$50)</f>
        <v>1</v>
      </c>
      <c r="D284" s="43" t="b">
        <f>OR(BV284=Driver!$G$51,BV284=Driver!$H$51)</f>
        <v>0</v>
      </c>
      <c r="E284" s="43" t="b">
        <f>AND(BX284&gt;Driver!$F$54,BX284&lt;Driver!$G$54)</f>
        <v>0</v>
      </c>
      <c r="F284" s="43" t="b">
        <f>CL284&gt;Driver!$F$56</f>
        <v>1</v>
      </c>
      <c r="G284" s="43" t="b">
        <f>AND(CB284&gt;Driver!$F$55,CB284&lt;Driver!$G$55)</f>
        <v>0</v>
      </c>
      <c r="H284" s="43" t="b">
        <f t="shared" si="148"/>
        <v>0</v>
      </c>
      <c r="I284" s="43">
        <f t="shared" si="149"/>
        <v>0</v>
      </c>
      <c r="J284" s="43" t="b">
        <f t="array" ref="J284">NOT(OR(($H$9:$H$1273=TRUE)*($I$9:$I$1273&gt;0)*($BT$9:$BT$1273=BT284)*($K$9:$K$1273&gt;K284)))</f>
        <v>1</v>
      </c>
      <c r="K284" s="72">
        <f t="shared" si="150"/>
        <v>0.83725544498444826</v>
      </c>
      <c r="L284" s="72">
        <f t="shared" si="151"/>
        <v>0.88477019671198165</v>
      </c>
      <c r="M284" s="72">
        <f t="shared" si="152"/>
        <v>0.78974069325691476</v>
      </c>
      <c r="N284" s="72">
        <f t="shared" si="153"/>
        <v>0.72712253257414394</v>
      </c>
      <c r="O284" s="72">
        <f t="shared" si="154"/>
        <v>0.66030660850213529</v>
      </c>
      <c r="P284" s="72">
        <f t="shared" si="155"/>
        <v>0.98179293869446516</v>
      </c>
      <c r="Q284" s="72"/>
      <c r="R284" s="72"/>
      <c r="S284" s="72">
        <f t="shared" si="156"/>
        <v>0.46159073629410885</v>
      </c>
      <c r="T284" s="72">
        <f t="shared" si="157"/>
        <v>0.51778546066498055</v>
      </c>
      <c r="U284" s="72">
        <f t="shared" si="158"/>
        <v>0.6207696729827924</v>
      </c>
      <c r="V284" s="72">
        <f t="shared" si="159"/>
        <v>0.52161188928363966</v>
      </c>
      <c r="W284" s="72">
        <f t="shared" si="160"/>
        <v>0.82657812499999994</v>
      </c>
      <c r="X284" s="72">
        <f t="shared" si="161"/>
        <v>0.1152298032880183</v>
      </c>
      <c r="Y284" s="72">
        <f t="shared" si="162"/>
        <v>0.21025930674308524</v>
      </c>
      <c r="Z284" s="72">
        <f t="shared" si="163"/>
        <v>0.27287746742585611</v>
      </c>
      <c r="AA284" s="72">
        <f t="shared" si="164"/>
        <v>0.33969339149786471</v>
      </c>
      <c r="AB284" s="72">
        <f t="shared" si="165"/>
        <v>1.8207061305534844E-2</v>
      </c>
      <c r="AC284" s="72"/>
      <c r="AD284" s="72"/>
      <c r="AE284" s="72">
        <f t="shared" si="166"/>
        <v>0.53840926370589115</v>
      </c>
      <c r="AF284" s="72">
        <f t="shared" si="167"/>
        <v>0.48221453933501951</v>
      </c>
      <c r="AG284" s="72">
        <f t="shared" si="168"/>
        <v>0.3792303270172076</v>
      </c>
      <c r="AH284" s="72">
        <f t="shared" si="169"/>
        <v>0.47838811071636028</v>
      </c>
      <c r="AI284" s="72">
        <f t="shared" si="170"/>
        <v>0.173421875</v>
      </c>
      <c r="AJ284" s="72">
        <f>(AV284-Driver!$K$179)/(Driver!$L$179-Driver!$K$179)</f>
        <v>0.13898960599468213</v>
      </c>
      <c r="AK284" s="72">
        <f>(AW284-Driver!$K$180)/(Driver!$L$180-Driver!$K$180)</f>
        <v>0.2817576823159671</v>
      </c>
      <c r="AL284" s="72">
        <f>(AX284-Driver!$K$181)/(Driver!$L$181-Driver!$K$181)</f>
        <v>0.37456523113893631</v>
      </c>
      <c r="AM284" s="72">
        <f>(AY284-Driver!$K$182)/(Driver!$L$182-Driver!$K$182)</f>
        <v>0.10769162959918166</v>
      </c>
      <c r="AN284" s="72">
        <f>(AZ284-Driver!$K$183)/(Driver!$L$183-Driver!$K$183)</f>
        <v>0.27242647058823527</v>
      </c>
      <c r="AO284" s="72"/>
      <c r="AP284" s="72"/>
      <c r="AQ284" s="72">
        <f>(BC284-Driver!$K$188)/(Driver!$L$188-Driver!$K$188)</f>
        <v>8.1590736294108804E-2</v>
      </c>
      <c r="AR284" s="72">
        <f>MIN((BD284-Driver!$K$189)/(Driver!$L$189-Driver!$K$189),100%)</f>
        <v>6.7785460664980521E-2</v>
      </c>
      <c r="AS284" s="72">
        <f>(BE284-Driver!$K$190)/(Driver!$L$190-Driver!$K$190)</f>
        <v>0.13076967298279241</v>
      </c>
      <c r="AT284" s="72">
        <f>(BF284-Driver!$K$191)/(Driver!$L$191-Driver!$K$191)</f>
        <v>3.1611889283639734E-2</v>
      </c>
      <c r="AU284" s="72">
        <f>(BG284-Driver!$K$192)/(Driver!$L$192-Driver!$K$192)</f>
        <v>7.6578124999999997E-2</v>
      </c>
      <c r="AV284" s="70">
        <f t="shared" si="171"/>
        <v>2.9253154253154254</v>
      </c>
      <c r="AW284" s="70">
        <f t="shared" si="172"/>
        <v>29.331675390192402</v>
      </c>
      <c r="AX284" s="70">
        <f t="shared" si="173"/>
        <v>4.3710870802504269</v>
      </c>
      <c r="AY284" s="70">
        <f>IFERROR(Driver!$K$19/Data!BH284/Data!BI284*Data!BK284*Data!BL284,"")</f>
        <v>0.13184668671040667</v>
      </c>
      <c r="AZ284" s="70">
        <f t="shared" si="174"/>
        <v>24.828741623231569</v>
      </c>
      <c r="BA284" s="70"/>
      <c r="BB284" s="70"/>
      <c r="BC284" s="70">
        <f t="shared" si="175"/>
        <v>42.321682125350783</v>
      </c>
      <c r="BD284" s="70">
        <f t="shared" si="176"/>
        <v>7.7197160442194113</v>
      </c>
      <c r="BE284" s="70">
        <f t="shared" si="177"/>
        <v>0.13092473388952819</v>
      </c>
      <c r="BF284" s="70">
        <f t="shared" si="178"/>
        <v>3.5703408084956938</v>
      </c>
      <c r="BG284" s="70">
        <f t="shared" si="179"/>
        <v>0.28997363281249999</v>
      </c>
      <c r="BH284" s="67">
        <f>MAX((CE284-Driver!$F$200)/(Driver!$G$200-Driver!$F$200)*$BI$1,1)</f>
        <v>4.3710870802504269</v>
      </c>
      <c r="BI284" s="67">
        <f>MAX($BI$1*(BY284-Driver!$F$201)/(Driver!$G$201-Driver!$F$201),1)</f>
        <v>7.4050632911392409</v>
      </c>
      <c r="BJ284" s="67">
        <f>(CB284-Driver!$F$206)/(Driver!$G$206-Driver!$F$206)*$BI$1</f>
        <v>3.6507936507936507</v>
      </c>
      <c r="BK284" s="67">
        <f>(CD284-Driver!$F$203)/(Driver!$G$203-Driver!$F$203)*$BI$1</f>
        <v>3.2568807339449544</v>
      </c>
      <c r="BL284" s="67">
        <f>MAX((CR284-Driver!$F$202)/(Driver!$G$202-Driver!$F$202)*$BI$1,1)</f>
        <v>6.5517241379310338</v>
      </c>
      <c r="BM284" s="67">
        <f>MAX((CH284-Driver!$F$204)/(Driver!$G$204-Driver!$F$204)*$BI$1,1)</f>
        <v>3.2051282051282053</v>
      </c>
      <c r="BN284" s="67">
        <f>(CI284-Driver!$F$205)/(Driver!$G$205-Driver!$F$205)*$BI$1</f>
        <v>3.3529411764705879</v>
      </c>
      <c r="BO284" s="67">
        <f>(CK284-Driver!$F$207)/(Driver!$G$207-Driver!$F$207)*$BI$1</f>
        <v>1.4477766287487073</v>
      </c>
      <c r="BP284" s="67">
        <f>(CM284-Driver!$F$208)/(Driver!$G$208-Driver!$F$208)*$BI$1</f>
        <v>2.2000000000000002</v>
      </c>
      <c r="BQ284" s="67">
        <f>(CL284-Driver!$F$209)/(Driver!$G$209-Driver!$F$209)*$BI$1</f>
        <v>4.0625</v>
      </c>
      <c r="BR284" s="28" t="s">
        <v>155</v>
      </c>
      <c r="BS284" s="8" t="s">
        <v>262</v>
      </c>
      <c r="BT284" s="9" t="s">
        <v>485</v>
      </c>
      <c r="BU284" s="10">
        <v>170</v>
      </c>
      <c r="BV284" s="9" t="s">
        <v>163</v>
      </c>
      <c r="BW284" s="10">
        <v>170</v>
      </c>
      <c r="BX284" s="10">
        <v>169.4</v>
      </c>
      <c r="BY284" s="10">
        <v>125</v>
      </c>
      <c r="BZ284" s="10">
        <v>146</v>
      </c>
      <c r="CA284" s="10">
        <v>125</v>
      </c>
      <c r="CB284" s="10">
        <v>87</v>
      </c>
      <c r="CC284" s="10">
        <v>111</v>
      </c>
      <c r="CD284" s="10">
        <v>16.5</v>
      </c>
      <c r="CE284" s="10">
        <v>1668</v>
      </c>
      <c r="CF284" s="10">
        <v>1.01</v>
      </c>
      <c r="CG284" s="10">
        <v>1685</v>
      </c>
      <c r="CH284" s="10">
        <v>176</v>
      </c>
      <c r="CI284" s="10">
        <v>90</v>
      </c>
      <c r="CJ284" s="10">
        <v>52</v>
      </c>
      <c r="CK284" s="10">
        <v>250</v>
      </c>
      <c r="CL284" s="10">
        <v>26</v>
      </c>
      <c r="CM284" s="10">
        <v>198</v>
      </c>
      <c r="CN284" s="10">
        <v>0.495</v>
      </c>
      <c r="CO284" s="10">
        <v>137</v>
      </c>
      <c r="CP284" s="10">
        <v>99</v>
      </c>
      <c r="CQ284" s="10">
        <v>112</v>
      </c>
      <c r="CR284" s="10">
        <v>8</v>
      </c>
      <c r="CS284" s="10">
        <v>11.2</v>
      </c>
      <c r="CT284" s="9" t="s">
        <v>188</v>
      </c>
      <c r="CU284" s="10"/>
      <c r="CV284" s="10"/>
      <c r="CW284" s="10"/>
      <c r="CX284" t="e">
        <f>INDEX('Data_Price '!AG$2:AG$1266,MATCH(Data!$DN284,'Data_Price '!$AT$2:$AT$1266,0))</f>
        <v>#N/A</v>
      </c>
      <c r="CY284" t="e">
        <f>INDEX('Data_Price '!AH$2:AH$1266,MATCH(Data!$DN284,'Data_Price '!$AT$2:$AT$1266,0))</f>
        <v>#N/A</v>
      </c>
      <c r="CZ284" t="e">
        <f>INDEX('Data_Price '!AI$2:AI$1266,MATCH(Data!$DN284,'Data_Price '!$AT$2:$AT$1266,0))</f>
        <v>#N/A</v>
      </c>
      <c r="DA284" t="e">
        <f>INDEX('Data_Price '!AJ$2:AJ$1266,MATCH(Data!$DN284,'Data_Price '!$AT$2:$AT$1266,0))</f>
        <v>#N/A</v>
      </c>
      <c r="DB284" t="e">
        <f>INDEX('Data_Price '!AK$2:AK$1266,MATCH(Data!$DN284,'Data_Price '!$AT$2:$AT$1266,0))</f>
        <v>#N/A</v>
      </c>
      <c r="DC284" t="e">
        <f>INDEX('Data_Price '!AL$2:AL$1266,MATCH(Data!$DN284,'Data_Price '!$AT$2:$AT$1266,0))</f>
        <v>#N/A</v>
      </c>
      <c r="DD284" t="e">
        <f>INDEX('Data_Price '!AM$2:AM$1266,MATCH(Data!$DN284,'Data_Price '!$AT$2:$AT$1266,0))</f>
        <v>#N/A</v>
      </c>
      <c r="DE284" t="e">
        <f>INDEX('Data_Price '!AN$2:AN$1266,MATCH(Data!$DN284,'Data_Price '!$AT$2:$AT$1266,0))</f>
        <v>#N/A</v>
      </c>
      <c r="DF284" t="e">
        <f>INDEX('Data_Price '!AO$2:AO$1266,MATCH(Data!$DN284,'Data_Price '!$AT$2:$AT$1266,0))</f>
        <v>#N/A</v>
      </c>
      <c r="DG284" t="e">
        <f>INDEX('Data_Price '!AP$2:AP$1266,MATCH(Data!$DN284,'Data_Price '!$AT$2:$AT$1266,0))</f>
        <v>#N/A</v>
      </c>
      <c r="DH284" t="e">
        <f>INDEX('Data_Price '!AQ$2:AQ$1266,MATCH(Data!$DN284,'Data_Price '!$AT$2:$AT$1266,0))</f>
        <v>#N/A</v>
      </c>
      <c r="DI284" t="e">
        <f>INDEX('Data_Price '!AR$2:AR$1266,MATCH(Data!$DN284,'Data_Price '!$AT$2:$AT$1266,0))</f>
        <v>#N/A</v>
      </c>
      <c r="DJ284" s="89" t="e">
        <f t="shared" si="180"/>
        <v>#N/A</v>
      </c>
      <c r="DK284" s="89" t="e">
        <f t="shared" si="181"/>
        <v>#N/A</v>
      </c>
      <c r="DL284" s="89" t="e">
        <f t="shared" si="182"/>
        <v>#N/A</v>
      </c>
      <c r="DM284" s="219" t="str">
        <f t="shared" si="183"/>
        <v>Mindbender 88 Ti Alliance</v>
      </c>
      <c r="DN284" s="89" t="str">
        <f t="shared" si="184"/>
        <v xml:space="preserve"> K2Mindbender 88 Ti Alliance170 Women's</v>
      </c>
      <c r="DO284" s="221"/>
    </row>
    <row r="285" spans="1:119" ht="15.6" customHeight="1">
      <c r="B285" s="219" t="b">
        <f t="array" ref="B285">IF(OR(ISERROR(K285:P285)),FALSE,TRUE)</f>
        <v>1</v>
      </c>
      <c r="C285" s="43" t="b">
        <f>OR(BR285=Driver!$G$50,Data!BR686=Driver!$H$50)</f>
        <v>1</v>
      </c>
      <c r="D285" s="43" t="b">
        <f>OR(BV285=Driver!$G$51,BV285=Driver!$H$51)</f>
        <v>1</v>
      </c>
      <c r="E285" s="43" t="b">
        <f>AND(BX285&gt;Driver!$F$54,BX285&lt;Driver!$G$54)</f>
        <v>1</v>
      </c>
      <c r="F285" s="43" t="b">
        <f>CL285&gt;Driver!$F$56</f>
        <v>1</v>
      </c>
      <c r="G285" s="43" t="b">
        <f>AND(CB285&gt;Driver!$F$55,CB285&lt;Driver!$G$55)</f>
        <v>0</v>
      </c>
      <c r="H285" s="43" t="b">
        <f t="shared" si="148"/>
        <v>0</v>
      </c>
      <c r="I285" s="43">
        <f t="shared" si="149"/>
        <v>0</v>
      </c>
      <c r="J285" s="43" t="b">
        <f t="array" ref="J285">NOT(OR(($H$9:$H$1273=TRUE)*($I$9:$I$1273&gt;0)*($BT$9:$BT$1273=BT285)*($K$9:$K$1273&gt;K285)))</f>
        <v>1</v>
      </c>
      <c r="K285" s="72">
        <f t="shared" si="150"/>
        <v>0.89126200121323484</v>
      </c>
      <c r="L285" s="72">
        <f t="shared" si="151"/>
        <v>0.99896197636029294</v>
      </c>
      <c r="M285" s="72">
        <f t="shared" si="152"/>
        <v>0.78356202606617675</v>
      </c>
      <c r="N285" s="72">
        <f t="shared" si="153"/>
        <v>0.7125775379494681</v>
      </c>
      <c r="O285" s="72">
        <f t="shared" si="154"/>
        <v>0.64303945776374727</v>
      </c>
      <c r="P285" s="72">
        <f t="shared" si="155"/>
        <v>0.99506908248531478</v>
      </c>
      <c r="Q285" s="72"/>
      <c r="R285" s="72"/>
      <c r="S285" s="72">
        <f t="shared" si="156"/>
        <v>0.43653322023327934</v>
      </c>
      <c r="T285" s="72">
        <f t="shared" si="157"/>
        <v>0.51932352998279974</v>
      </c>
      <c r="U285" s="72">
        <f t="shared" si="158"/>
        <v>0.59595422972277734</v>
      </c>
      <c r="V285" s="72">
        <f t="shared" si="159"/>
        <v>0.57336963872901903</v>
      </c>
      <c r="W285" s="72">
        <f t="shared" si="160"/>
        <v>0.78682910010343643</v>
      </c>
      <c r="X285" s="72">
        <f t="shared" si="161"/>
        <v>1.0380236397070641E-3</v>
      </c>
      <c r="Y285" s="72">
        <f t="shared" si="162"/>
        <v>0.21643797393382327</v>
      </c>
      <c r="Z285" s="72">
        <f t="shared" si="163"/>
        <v>0.28742246205053196</v>
      </c>
      <c r="AA285" s="72">
        <f t="shared" si="164"/>
        <v>0.35696054223625273</v>
      </c>
      <c r="AB285" s="72">
        <f t="shared" si="165"/>
        <v>4.930917514685218E-3</v>
      </c>
      <c r="AC285" s="72"/>
      <c r="AD285" s="72"/>
      <c r="AE285" s="72">
        <f t="shared" si="166"/>
        <v>0.56346677976672066</v>
      </c>
      <c r="AF285" s="72">
        <f t="shared" si="167"/>
        <v>0.48067647001720026</v>
      </c>
      <c r="AG285" s="72">
        <f t="shared" si="168"/>
        <v>0.40404577027722266</v>
      </c>
      <c r="AH285" s="72">
        <f t="shared" si="169"/>
        <v>0.42663036127098097</v>
      </c>
      <c r="AI285" s="72">
        <f t="shared" si="170"/>
        <v>0.21317089989656363</v>
      </c>
      <c r="AJ285" s="72">
        <f>(AV285-Driver!$K$179)/(Driver!$L$179-Driver!$K$179)</f>
        <v>0.25525743292240749</v>
      </c>
      <c r="AK285" s="72">
        <f>(AW285-Driver!$K$180)/(Driver!$L$180-Driver!$K$180)</f>
        <v>0.27046868463348733</v>
      </c>
      <c r="AL285" s="72">
        <f>(AX285-Driver!$K$181)/(Driver!$L$181-Driver!$K$181)</f>
        <v>0.38911022576361215</v>
      </c>
      <c r="AM285" s="72">
        <f>(AY285-Driver!$K$182)/(Driver!$L$182-Driver!$K$182)</f>
        <v>9.0424478860793647E-2</v>
      </c>
      <c r="AN285" s="72">
        <f>(AZ285-Driver!$K$183)/(Driver!$L$183-Driver!$K$183)</f>
        <v>0.25915032679738564</v>
      </c>
      <c r="AO285" s="72"/>
      <c r="AP285" s="72"/>
      <c r="AQ285" s="72">
        <f>(BC285-Driver!$K$188)/(Driver!$L$188-Driver!$K$188)</f>
        <v>5.6533220233279349E-2</v>
      </c>
      <c r="AR285" s="72">
        <f>MIN((BD285-Driver!$K$189)/(Driver!$L$189-Driver!$K$189),100%)</f>
        <v>6.9323529982799795E-2</v>
      </c>
      <c r="AS285" s="72">
        <f>(BE285-Driver!$K$190)/(Driver!$L$190-Driver!$K$190)</f>
        <v>0.10595422972277735</v>
      </c>
      <c r="AT285" s="72">
        <f>(BF285-Driver!$K$191)/(Driver!$L$191-Driver!$K$191)</f>
        <v>8.3369638729019063E-2</v>
      </c>
      <c r="AU285" s="72">
        <f>(BG285-Driver!$K$192)/(Driver!$L$192-Driver!$K$192)</f>
        <v>3.6829100103436388E-2</v>
      </c>
      <c r="AV285" s="70">
        <f t="shared" si="171"/>
        <v>5.372405372405372</v>
      </c>
      <c r="AW285" s="70">
        <f t="shared" si="172"/>
        <v>28.231462535339318</v>
      </c>
      <c r="AX285" s="70">
        <f t="shared" si="173"/>
        <v>4.5019920318725095</v>
      </c>
      <c r="AY285" s="70">
        <f>IFERROR(Driver!$K$19/Data!BH285/Data!BI285*Data!BK285*Data!BL285,"")</f>
        <v>0.11070654218609248</v>
      </c>
      <c r="AZ285" s="70">
        <f t="shared" si="174"/>
        <v>23.618763961280717</v>
      </c>
      <c r="BA285" s="70"/>
      <c r="BB285" s="70"/>
      <c r="BC285" s="70">
        <f t="shared" si="175"/>
        <v>29.324174347572988</v>
      </c>
      <c r="BD285" s="70">
        <f t="shared" si="176"/>
        <v>7.8558324535488504</v>
      </c>
      <c r="BE285" s="70">
        <f t="shared" si="177"/>
        <v>0.10611371742528103</v>
      </c>
      <c r="BF285" s="70">
        <f t="shared" si="178"/>
        <v>9.4160149895820471</v>
      </c>
      <c r="BG285" s="70">
        <f t="shared" si="179"/>
        <v>0.13945846741753823</v>
      </c>
      <c r="BH285" s="67">
        <f>MAX((CE285-Driver!$F$200)/(Driver!$G$200-Driver!$F$200)*$BI$1,1)</f>
        <v>4.5019920318725095</v>
      </c>
      <c r="BI285" s="67">
        <f>MAX($BI$1*(BY285-Driver!$F$201)/(Driver!$G$201-Driver!$F$201),1)</f>
        <v>6.5822784810126587</v>
      </c>
      <c r="BJ285" s="67">
        <f>(CB285-Driver!$F$206)/(Driver!$G$206-Driver!$F$206)*$BI$1</f>
        <v>5.0793650793650791</v>
      </c>
      <c r="BK285" s="67">
        <f>(CD285-Driver!$F$203)/(Driver!$G$203-Driver!$F$203)*$BI$1</f>
        <v>2.7981651376146792</v>
      </c>
      <c r="BL285" s="67">
        <f>MAX((CR285-Driver!$F$202)/(Driver!$G$202-Driver!$F$202)*$BI$1,1)</f>
        <v>5.8620689655172411</v>
      </c>
      <c r="BM285" s="67">
        <f>MAX((CH285-Driver!$F$204)/(Driver!$G$204-Driver!$F$204)*$BI$1,1)</f>
        <v>4.2307692307692308</v>
      </c>
      <c r="BN285" s="67">
        <f>(CI285-Driver!$F$205)/(Driver!$G$205-Driver!$F$205)*$BI$1</f>
        <v>3.5882352941176472</v>
      </c>
      <c r="BO285" s="67">
        <f>(CK285-Driver!$F$207)/(Driver!$G$207-Driver!$F$207)*$BI$1</f>
        <v>2.047569803516029</v>
      </c>
      <c r="BP285" s="67">
        <f>(CM285-Driver!$F$208)/(Driver!$G$208-Driver!$F$208)*$BI$1</f>
        <v>2.5333333333333337</v>
      </c>
      <c r="BQ285" s="67">
        <f>(CL285-Driver!$F$209)/(Driver!$G$209-Driver!$F$209)*$BI$1</f>
        <v>2.65625</v>
      </c>
      <c r="BR285" s="28" t="s">
        <v>155</v>
      </c>
      <c r="BS285" s="8" t="s">
        <v>295</v>
      </c>
      <c r="BT285" s="9" t="s">
        <v>296</v>
      </c>
      <c r="BU285" s="10">
        <v>166</v>
      </c>
      <c r="BV285" s="9" t="s">
        <v>158</v>
      </c>
      <c r="BW285" s="10">
        <v>166</v>
      </c>
      <c r="BX285" s="10">
        <v>165.1</v>
      </c>
      <c r="BY285" s="10">
        <v>112</v>
      </c>
      <c r="BZ285" s="10">
        <v>135</v>
      </c>
      <c r="CA285" s="10">
        <v>131</v>
      </c>
      <c r="CB285" s="10">
        <v>96</v>
      </c>
      <c r="CC285" s="10">
        <v>117</v>
      </c>
      <c r="CD285" s="10">
        <v>15.5</v>
      </c>
      <c r="CE285" s="10">
        <v>1691</v>
      </c>
      <c r="CF285" s="10">
        <v>1.04</v>
      </c>
      <c r="CG285" s="10">
        <v>1757</v>
      </c>
      <c r="CH285" s="10">
        <v>200</v>
      </c>
      <c r="CI285" s="10">
        <v>94</v>
      </c>
      <c r="CJ285" s="10">
        <v>53</v>
      </c>
      <c r="CK285" s="10">
        <v>308</v>
      </c>
      <c r="CL285" s="10">
        <v>17</v>
      </c>
      <c r="CM285" s="10">
        <v>228</v>
      </c>
      <c r="CN285" s="10">
        <v>0.32800000000000001</v>
      </c>
      <c r="CO285" s="10">
        <v>182</v>
      </c>
      <c r="CP285" s="10">
        <v>116</v>
      </c>
      <c r="CQ285" s="10">
        <v>126</v>
      </c>
      <c r="CR285" s="10">
        <v>6</v>
      </c>
      <c r="CS285" s="10">
        <v>8.8000000000000007</v>
      </c>
      <c r="CT285" s="9" t="s">
        <v>188</v>
      </c>
      <c r="CU285" s="10"/>
      <c r="CV285" s="10"/>
      <c r="CW285" s="10"/>
      <c r="CX285" t="str">
        <f>INDEX('Data_Price '!AG$2:AG$1266,MATCH(Data!$DN285,'Data_Price '!$AT$2:$AT$1266,0))</f>
        <v>Icelantic Pioneer 96 Skis</v>
      </c>
      <c r="CY285" t="str">
        <f>INDEX('Data_Price '!AH$2:AH$1266,MATCH(Data!$DN285,'Data_Price '!$AT$2:$AT$1266,0))</f>
        <v>Curated</v>
      </c>
      <c r="CZ285">
        <f>INDEX('Data_Price '!AI$2:AI$1266,MATCH(Data!$DN285,'Data_Price '!$AT$2:$AT$1266,0))</f>
        <v>509</v>
      </c>
      <c r="DA285" t="str">
        <f>INDEX('Data_Price '!AJ$2:AJ$1266,MATCH(Data!$DN285,'Data_Price '!$AT$2:$AT$1266,0))</f>
        <v>https://tinyurl.com/yat6joe8</v>
      </c>
      <c r="DB285" t="str">
        <f>INDEX('Data_Price '!AK$2:AK$1266,MATCH(Data!$DN285,'Data_Price '!$AT$2:$AT$1266,0))</f>
        <v>Icelantic Pioneer 96 Skis</v>
      </c>
      <c r="DC285" t="str">
        <f>INDEX('Data_Price '!AL$2:AL$1266,MATCH(Data!$DN285,'Data_Price '!$AT$2:$AT$1266,0))</f>
        <v>Teton Wasatch Ski Co.</v>
      </c>
      <c r="DD285">
        <f>INDEX('Data_Price '!AM$2:AM$1266,MATCH(Data!$DN285,'Data_Price '!$AT$2:$AT$1266,0))</f>
        <v>509</v>
      </c>
      <c r="DE285" t="str">
        <f>INDEX('Data_Price '!AN$2:AN$1266,MATCH(Data!$DN285,'Data_Price '!$AT$2:$AT$1266,0))</f>
        <v>https://tinyurl.com/y74a3sm4</v>
      </c>
      <c r="DF285" t="str">
        <f>INDEX('Data_Price '!AO$2:AO$1266,MATCH(Data!$DN285,'Data_Price '!$AT$2:$AT$1266,0))</f>
        <v>Icelantic Pioneer 96 Skis 2022 166cm</v>
      </c>
      <c r="DG285" t="str">
        <f>INDEX('Data_Price '!AP$2:AP$1266,MATCH(Data!$DN285,'Data_Price '!$AT$2:$AT$1266,0))</f>
        <v>Glacier Ski Shop</v>
      </c>
      <c r="DH285">
        <f>INDEX('Data_Price '!AQ$2:AQ$1266,MATCH(Data!$DN285,'Data_Price '!$AT$2:$AT$1266,0))</f>
        <v>509</v>
      </c>
      <c r="DI285" t="str">
        <f>INDEX('Data_Price '!AR$2:AR$1266,MATCH(Data!$DN285,'Data_Price '!$AT$2:$AT$1266,0))</f>
        <v>https://tinyurl.com/yccggj3x</v>
      </c>
      <c r="DJ285" s="89" t="str">
        <f t="shared" si="180"/>
        <v>https://tinyurl.com/yat6joe8</v>
      </c>
      <c r="DK285" s="89" t="str">
        <f t="shared" si="181"/>
        <v>https://tinyurl.com/y74a3sm4</v>
      </c>
      <c r="DL285" s="89" t="str">
        <f t="shared" si="182"/>
        <v>https://tinyurl.com/yccggj3x</v>
      </c>
      <c r="DM285" s="219" t="str">
        <f t="shared" si="183"/>
        <v>Pioneer 96</v>
      </c>
      <c r="DN285" s="89" t="str">
        <f t="shared" si="184"/>
        <v xml:space="preserve"> IcelanticPioneer 96166 Unisex</v>
      </c>
      <c r="DO285" s="221" t="s">
        <v>297</v>
      </c>
    </row>
    <row r="286" spans="1:119" ht="15.6" customHeight="1">
      <c r="B286" s="219" t="b">
        <f t="array" ref="B286">IF(OR(ISERROR(K286:P286)),FALSE,TRUE)</f>
        <v>1</v>
      </c>
      <c r="C286" s="43" t="b">
        <f>OR(BR286=Driver!$G$50,Data!BR589=Driver!$H$50)</f>
        <v>1</v>
      </c>
      <c r="D286" s="43" t="b">
        <f>OR(BV286=Driver!$G$51,BV286=Driver!$H$51)</f>
        <v>0</v>
      </c>
      <c r="E286" s="43" t="b">
        <f>AND(BX286&gt;Driver!$F$54,BX286&lt;Driver!$G$54)</f>
        <v>1</v>
      </c>
      <c r="F286" s="43" t="b">
        <f>CL286&gt;Driver!$F$56</f>
        <v>1</v>
      </c>
      <c r="G286" s="43" t="b">
        <f>AND(CB286&gt;Driver!$F$55,CB286&lt;Driver!$G$55)</f>
        <v>0</v>
      </c>
      <c r="H286" s="43" t="b">
        <f t="shared" si="148"/>
        <v>0</v>
      </c>
      <c r="I286" s="43">
        <f t="shared" si="149"/>
        <v>0</v>
      </c>
      <c r="J286" s="43" t="b">
        <f t="array" ref="J286">NOT(OR(($H$9:$H$1273=TRUE)*($I$9:$I$1273&gt;0)*($BT$9:$BT$1273=BT286)*($K$9:$K$1273&gt;K286)))</f>
        <v>1</v>
      </c>
      <c r="K286" s="72">
        <f t="shared" si="150"/>
        <v>0.84656259869597561</v>
      </c>
      <c r="L286" s="72">
        <f t="shared" si="151"/>
        <v>0.9584951181526391</v>
      </c>
      <c r="M286" s="72">
        <f t="shared" si="152"/>
        <v>0.73463007923931212</v>
      </c>
      <c r="N286" s="72">
        <f t="shared" si="153"/>
        <v>0.69234102368904926</v>
      </c>
      <c r="O286" s="72">
        <f t="shared" si="154"/>
        <v>0.6253853603017423</v>
      </c>
      <c r="P286" s="72">
        <f t="shared" si="155"/>
        <v>0.88616385372714479</v>
      </c>
      <c r="Q286" s="72"/>
      <c r="R286" s="72"/>
      <c r="S286" s="72">
        <f t="shared" si="156"/>
        <v>0.46020508057536325</v>
      </c>
      <c r="T286" s="72">
        <f t="shared" si="157"/>
        <v>0.5104425121342212</v>
      </c>
      <c r="U286" s="72">
        <f t="shared" si="158"/>
        <v>0.59401622246707331</v>
      </c>
      <c r="V286" s="72">
        <f t="shared" si="159"/>
        <v>0.56214481634736257</v>
      </c>
      <c r="W286" s="72">
        <f t="shared" si="160"/>
        <v>0.79450665525240249</v>
      </c>
      <c r="X286" s="72">
        <f t="shared" si="161"/>
        <v>4.1504881847360842E-2</v>
      </c>
      <c r="Y286" s="72">
        <f t="shared" si="162"/>
        <v>0.26536992076068788</v>
      </c>
      <c r="Z286" s="72">
        <f t="shared" si="163"/>
        <v>0.30765897631095074</v>
      </c>
      <c r="AA286" s="72">
        <f t="shared" si="164"/>
        <v>0.37461463969825765</v>
      </c>
      <c r="AB286" s="72">
        <f t="shared" si="165"/>
        <v>0.11383614627285515</v>
      </c>
      <c r="AC286" s="72"/>
      <c r="AD286" s="72"/>
      <c r="AE286" s="72">
        <f t="shared" si="166"/>
        <v>0.53979491942463675</v>
      </c>
      <c r="AF286" s="72">
        <f t="shared" si="167"/>
        <v>0.4895574878657788</v>
      </c>
      <c r="AG286" s="72">
        <f t="shared" si="168"/>
        <v>0.40598377753292669</v>
      </c>
      <c r="AH286" s="72">
        <f t="shared" si="169"/>
        <v>0.43785518365263737</v>
      </c>
      <c r="AI286" s="72">
        <f t="shared" si="170"/>
        <v>0.20549334474759751</v>
      </c>
      <c r="AJ286" s="72">
        <f>(AV286-Driver!$K$179)/(Driver!$L$179-Driver!$K$179)</f>
        <v>0.21271452743533958</v>
      </c>
      <c r="AK286" s="72">
        <f>(AW286-Driver!$K$180)/(Driver!$L$180-Driver!$K$180)</f>
        <v>0.37395906496911657</v>
      </c>
      <c r="AL286" s="72">
        <f>(AX286-Driver!$K$181)/(Driver!$L$181-Driver!$K$181)</f>
        <v>0.40934674002403093</v>
      </c>
      <c r="AM286" s="72">
        <f>(AY286-Driver!$K$182)/(Driver!$L$182-Driver!$K$182)</f>
        <v>7.2770381398788733E-2</v>
      </c>
      <c r="AN286" s="72">
        <f>(AZ286-Driver!$K$183)/(Driver!$L$183-Driver!$K$183)</f>
        <v>0.36805555555555558</v>
      </c>
      <c r="AO286" s="72"/>
      <c r="AP286" s="72"/>
      <c r="AQ286" s="72">
        <f>(BC286-Driver!$K$188)/(Driver!$L$188-Driver!$K$188)</f>
        <v>8.0205080575363255E-2</v>
      </c>
      <c r="AR286" s="72">
        <f>MIN((BD286-Driver!$K$189)/(Driver!$L$189-Driver!$K$189),100%)</f>
        <v>6.0442512134221277E-2</v>
      </c>
      <c r="AS286" s="72">
        <f>(BE286-Driver!$K$190)/(Driver!$L$190-Driver!$K$190)</f>
        <v>0.10401622246707334</v>
      </c>
      <c r="AT286" s="72">
        <f>(BF286-Driver!$K$191)/(Driver!$L$191-Driver!$K$191)</f>
        <v>7.2144816347362653E-2</v>
      </c>
      <c r="AU286" s="72">
        <f>(BG286-Driver!$K$192)/(Driver!$L$192-Driver!$K$192)</f>
        <v>4.4506655252402508E-2</v>
      </c>
      <c r="AV286" s="70">
        <f t="shared" si="171"/>
        <v>4.4770044770044768</v>
      </c>
      <c r="AW286" s="70">
        <f t="shared" si="172"/>
        <v>38.317517117102952</v>
      </c>
      <c r="AX286" s="70">
        <f t="shared" si="173"/>
        <v>4.6841206602162782</v>
      </c>
      <c r="AY286" s="70">
        <f>IFERROR(Driver!$K$19/Data!BH286/Data!BI286*Data!BK286*Data!BL286,"")</f>
        <v>8.9092659418312042E-2</v>
      </c>
      <c r="AZ286" s="70">
        <f t="shared" si="174"/>
        <v>33.544303797468359</v>
      </c>
      <c r="BA286" s="70"/>
      <c r="BB286" s="70"/>
      <c r="BC286" s="70">
        <f t="shared" si="175"/>
        <v>41.602932871115193</v>
      </c>
      <c r="BD286" s="70">
        <f t="shared" si="176"/>
        <v>7.0698781101821178</v>
      </c>
      <c r="BE286" s="70">
        <f t="shared" si="177"/>
        <v>0.10417605588825823</v>
      </c>
      <c r="BF286" s="70">
        <f t="shared" si="178"/>
        <v>8.1482501604142854</v>
      </c>
      <c r="BG286" s="70">
        <f t="shared" si="179"/>
        <v>0.16853058896222245</v>
      </c>
      <c r="BH286" s="67">
        <f>MAX((CE286-Driver!$F$200)/(Driver!$G$200-Driver!$F$200)*$BI$1,1)</f>
        <v>4.6841206602162782</v>
      </c>
      <c r="BI286" s="67">
        <f>MAX($BI$1*(BY286-Driver!$F$201)/(Driver!$G$201-Driver!$F$201),1)</f>
        <v>6.7088607594936711</v>
      </c>
      <c r="BJ286" s="67">
        <f>(CB286-Driver!$F$206)/(Driver!$G$206-Driver!$F$206)*$BI$1</f>
        <v>4.7619047619047619</v>
      </c>
      <c r="BK286" s="67">
        <f>(CD286-Driver!$F$203)/(Driver!$G$203-Driver!$F$203)*$BI$1</f>
        <v>2.7064220183486243</v>
      </c>
      <c r="BL286" s="67">
        <f>MAX((CR286-Driver!$F$202)/(Driver!$G$202-Driver!$F$202)*$BI$1,1)</f>
        <v>5.1724137931034484</v>
      </c>
      <c r="BM286" s="67">
        <f>MAX((CH286-Driver!$F$204)/(Driver!$G$204-Driver!$F$204)*$BI$1,1)</f>
        <v>3.7606837606837606</v>
      </c>
      <c r="BN286" s="67">
        <f>(CI286-Driver!$F$205)/(Driver!$G$205-Driver!$F$205)*$BI$1</f>
        <v>5</v>
      </c>
      <c r="BO286" s="67">
        <f>(CK286-Driver!$F$207)/(Driver!$G$207-Driver!$F$207)*$BI$1</f>
        <v>1.8200620475698035</v>
      </c>
      <c r="BP286" s="67">
        <f>(CM286-Driver!$F$208)/(Driver!$G$208-Driver!$F$208)*$BI$1</f>
        <v>2.5444444444444443</v>
      </c>
      <c r="BQ286" s="67">
        <f>(CL286-Driver!$F$209)/(Driver!$G$209-Driver!$F$209)*$BI$1</f>
        <v>2.96875</v>
      </c>
      <c r="BR286" s="28" t="s">
        <v>155</v>
      </c>
      <c r="BS286" s="8" t="s">
        <v>245</v>
      </c>
      <c r="BT286" s="9" t="s">
        <v>307</v>
      </c>
      <c r="BU286" s="10">
        <v>166</v>
      </c>
      <c r="BV286" s="9" t="s">
        <v>163</v>
      </c>
      <c r="BW286" s="10">
        <v>166</v>
      </c>
      <c r="BX286" s="10">
        <v>165.2</v>
      </c>
      <c r="BY286" s="10">
        <v>114</v>
      </c>
      <c r="BZ286" s="10">
        <v>140</v>
      </c>
      <c r="CA286" s="10">
        <v>126</v>
      </c>
      <c r="CB286" s="10">
        <v>94</v>
      </c>
      <c r="CC286" s="10">
        <v>117</v>
      </c>
      <c r="CD286" s="10">
        <v>15.3</v>
      </c>
      <c r="CE286" s="10">
        <v>1723</v>
      </c>
      <c r="CF286" s="10">
        <v>1.01</v>
      </c>
      <c r="CG286" s="10">
        <v>1740</v>
      </c>
      <c r="CH286" s="10">
        <v>189</v>
      </c>
      <c r="CI286" s="10">
        <v>118</v>
      </c>
      <c r="CJ286" s="10">
        <v>45</v>
      </c>
      <c r="CK286" s="10">
        <v>286</v>
      </c>
      <c r="CL286" s="10">
        <v>19</v>
      </c>
      <c r="CM286" s="10">
        <v>229</v>
      </c>
      <c r="CN286" s="10">
        <v>0.40899999999999997</v>
      </c>
      <c r="CO286" s="10">
        <v>134</v>
      </c>
      <c r="CP286" s="10">
        <v>120</v>
      </c>
      <c r="CQ286" s="10">
        <v>152</v>
      </c>
      <c r="CR286" s="10">
        <v>4</v>
      </c>
      <c r="CS286" s="10">
        <v>9.5</v>
      </c>
      <c r="CT286" s="9" t="s">
        <v>188</v>
      </c>
      <c r="CU286" s="10"/>
      <c r="CV286" s="10"/>
      <c r="CW286" s="10"/>
      <c r="CX286" t="str">
        <f>INDEX('Data_Price '!AG$2:AG$1266,MATCH(Data!$DN286,'Data_Price '!$AT$2:$AT$1266,0))</f>
        <v>Fischer RANGER 99 TI Women's Skis 2021</v>
      </c>
      <c r="CY286" t="str">
        <f>INDEX('Data_Price '!AH$2:AH$1266,MATCH(Data!$DN286,'Data_Price '!$AT$2:$AT$1266,0))</f>
        <v>Level Nine Sports</v>
      </c>
      <c r="CZ286">
        <f>INDEX('Data_Price '!AI$2:AI$1266,MATCH(Data!$DN286,'Data_Price '!$AT$2:$AT$1266,0))</f>
        <v>389.99</v>
      </c>
      <c r="DA286" t="str">
        <f>INDEX('Data_Price '!AJ$2:AJ$1266,MATCH(Data!$DN286,'Data_Price '!$AT$2:$AT$1266,0))</f>
        <v>https://tinyurl.com/yahkkpd5</v>
      </c>
      <c r="DB286" t="str">
        <f>INDEX('Data_Price '!AK$2:AK$1266,MATCH(Data!$DN286,'Data_Price '!$AT$2:$AT$1266,0))</f>
        <v>Fischer Ranger 99 Ti Skis with Tyrolia Attack 13 Demo Bindings 166cm (1101048)</v>
      </c>
      <c r="DC286" t="str">
        <f>INDEX('Data_Price '!AL$2:AL$1266,MATCH(Data!$DN286,'Data_Price '!$AT$2:$AT$1266,0))</f>
        <v>SidelineSwap</v>
      </c>
      <c r="DD286">
        <f>INDEX('Data_Price '!AM$2:AM$1266,MATCH(Data!$DN286,'Data_Price '!$AT$2:$AT$1266,0))</f>
        <v>499</v>
      </c>
      <c r="DE286" t="str">
        <f>INDEX('Data_Price '!AN$2:AN$1266,MATCH(Data!$DN286,'Data_Price '!$AT$2:$AT$1266,0))</f>
        <v>https://tinyurl.com/yajb75n3</v>
      </c>
      <c r="DF286" t="str">
        <f>INDEX('Data_Price '!AO$2:AO$1266,MATCH(Data!$DN286,'Data_Price '!$AT$2:$AT$1266,0))</f>
        <v>2019 Fischer My Ranger 85 Women's Light All Mountain Skis 166cm No</v>
      </c>
      <c r="DG286" t="str">
        <f>INDEX('Data_Price '!AP$2:AP$1266,MATCH(Data!$DN286,'Data_Price '!$AT$2:$AT$1266,0))</f>
        <v>eBay - matterhood</v>
      </c>
      <c r="DH286">
        <f>INDEX('Data_Price '!AQ$2:AQ$1266,MATCH(Data!$DN286,'Data_Price '!$AT$2:$AT$1266,0))</f>
        <v>318</v>
      </c>
      <c r="DI286" t="str">
        <f>INDEX('Data_Price '!AR$2:AR$1266,MATCH(Data!$DN286,'Data_Price '!$AT$2:$AT$1266,0))</f>
        <v>https://tinyurl.com/y87hhpy3</v>
      </c>
      <c r="DJ286" s="89" t="str">
        <f t="shared" si="180"/>
        <v>https://tinyurl.com/yahkkpd5</v>
      </c>
      <c r="DK286" s="89" t="str">
        <f t="shared" si="181"/>
        <v>https://tinyurl.com/yajb75n3</v>
      </c>
      <c r="DL286" s="89" t="str">
        <f t="shared" si="182"/>
        <v>https://tinyurl.com/y87hhpy3</v>
      </c>
      <c r="DM286" s="219" t="str">
        <f t="shared" si="183"/>
        <v>Ranger 99 Ti W</v>
      </c>
      <c r="DN286" s="89" t="str">
        <f t="shared" si="184"/>
        <v xml:space="preserve"> FischerRanger 99 Ti W166 Women's</v>
      </c>
      <c r="DO286" s="221"/>
    </row>
    <row r="287" spans="1:119" ht="15.6" customHeight="1">
      <c r="B287" s="219" t="b">
        <f t="array" ref="B287">IF(OR(ISERROR(K287:P287)),FALSE,TRUE)</f>
        <v>1</v>
      </c>
      <c r="C287" s="43" t="b">
        <f>OR(BR287=Driver!$G$50,Data!BR227=Driver!$H$50)</f>
        <v>1</v>
      </c>
      <c r="D287" s="43" t="b">
        <f>OR(BV287=Driver!$G$51,BV287=Driver!$H$51)</f>
        <v>1</v>
      </c>
      <c r="E287" s="43" t="b">
        <f>AND(BX287&gt;Driver!$F$54,BX287&lt;Driver!$G$54)</f>
        <v>0</v>
      </c>
      <c r="F287" s="43" t="b">
        <f>CL287&gt;Driver!$F$56</f>
        <v>1</v>
      </c>
      <c r="G287" s="43" t="b">
        <f>AND(CB287&gt;Driver!$F$55,CB287&lt;Driver!$G$55)</f>
        <v>1</v>
      </c>
      <c r="H287" s="43" t="b">
        <f t="shared" si="148"/>
        <v>0</v>
      </c>
      <c r="I287" s="43">
        <f t="shared" si="149"/>
        <v>0</v>
      </c>
      <c r="J287" s="43" t="b">
        <f t="array" ref="J287">NOT(OR(($H$9:$H$1273=TRUE)*($I$9:$I$1273&gt;0)*($BT$9:$BT$1273=BT287)*($K$9:$K$1273&gt;K287)))</f>
        <v>1</v>
      </c>
      <c r="K287" s="72">
        <f t="shared" si="150"/>
        <v>0.78197377461339035</v>
      </c>
      <c r="L287" s="72">
        <f t="shared" si="151"/>
        <v>0.85900548614999561</v>
      </c>
      <c r="M287" s="72">
        <f t="shared" si="152"/>
        <v>0.7049420630767852</v>
      </c>
      <c r="N287" s="72">
        <f t="shared" si="153"/>
        <v>0.53993477566527148</v>
      </c>
      <c r="O287" s="72">
        <f t="shared" si="154"/>
        <v>0.63962625264839679</v>
      </c>
      <c r="P287" s="72">
        <f t="shared" si="155"/>
        <v>0.93526516091668732</v>
      </c>
      <c r="Q287" s="72"/>
      <c r="R287" s="72"/>
      <c r="S287" s="72">
        <f t="shared" si="156"/>
        <v>0.49350141067313524</v>
      </c>
      <c r="T287" s="72">
        <f t="shared" si="157"/>
        <v>0.47035486452486686</v>
      </c>
      <c r="U287" s="72">
        <f t="shared" si="158"/>
        <v>0.56655036082231647</v>
      </c>
      <c r="V287" s="72">
        <f t="shared" si="159"/>
        <v>0.52343526668192486</v>
      </c>
      <c r="W287" s="72">
        <f t="shared" si="160"/>
        <v>0.80704930330413194</v>
      </c>
      <c r="X287" s="72">
        <f t="shared" si="161"/>
        <v>0.14099451385000444</v>
      </c>
      <c r="Y287" s="72">
        <f t="shared" si="162"/>
        <v>0.2950579369232148</v>
      </c>
      <c r="Z287" s="72">
        <f t="shared" si="163"/>
        <v>0.46006522433472852</v>
      </c>
      <c r="AA287" s="72">
        <f t="shared" si="164"/>
        <v>0.36037374735160321</v>
      </c>
      <c r="AB287" s="72">
        <f t="shared" si="165"/>
        <v>6.4734839083312679E-2</v>
      </c>
      <c r="AC287" s="72"/>
      <c r="AD287" s="72"/>
      <c r="AE287" s="72">
        <f t="shared" si="166"/>
        <v>0.50649858932686476</v>
      </c>
      <c r="AF287" s="72">
        <f t="shared" si="167"/>
        <v>0.52964513547513314</v>
      </c>
      <c r="AG287" s="72">
        <f t="shared" si="168"/>
        <v>0.43344963917768353</v>
      </c>
      <c r="AH287" s="72">
        <f t="shared" si="169"/>
        <v>0.47656473331807514</v>
      </c>
      <c r="AI287" s="72">
        <f t="shared" si="170"/>
        <v>0.19295069669586812</v>
      </c>
      <c r="AJ287" s="72">
        <f>(AV287-Driver!$K$179)/(Driver!$L$179-Driver!$K$179)</f>
        <v>0.39521392313270487</v>
      </c>
      <c r="AK287" s="72">
        <f>(AW287-Driver!$K$180)/(Driver!$L$180-Driver!$K$180)</f>
        <v>0.34229478649241335</v>
      </c>
      <c r="AL287" s="72">
        <f>(AX287-Driver!$K$181)/(Driver!$L$181-Driver!$K$181)</f>
        <v>0.56175298804780871</v>
      </c>
      <c r="AM287" s="72">
        <f>(AY287-Driver!$K$182)/(Driver!$L$182-Driver!$K$182)</f>
        <v>8.7011273745443124E-2</v>
      </c>
      <c r="AN287" s="72">
        <f>(AZ287-Driver!$K$183)/(Driver!$L$183-Driver!$K$183)</f>
        <v>0.3189542483660131</v>
      </c>
      <c r="AO287" s="72"/>
      <c r="AP287" s="72"/>
      <c r="AQ287" s="72">
        <f>(BC287-Driver!$K$188)/(Driver!$L$188-Driver!$K$188)</f>
        <v>0.1135014106731352</v>
      </c>
      <c r="AR287" s="72">
        <f>MIN((BD287-Driver!$K$189)/(Driver!$L$189-Driver!$K$189),100%)</f>
        <v>2.0354864524866945E-2</v>
      </c>
      <c r="AS287" s="72">
        <f>(BE287-Driver!$K$190)/(Driver!$L$190-Driver!$K$190)</f>
        <v>7.6550360822316504E-2</v>
      </c>
      <c r="AT287" s="72">
        <f>(BF287-Driver!$K$191)/(Driver!$L$191-Driver!$K$191)</f>
        <v>3.3435266681924883E-2</v>
      </c>
      <c r="AU287" s="72">
        <f>(BG287-Driver!$K$192)/(Driver!$L$192-Driver!$K$192)</f>
        <v>5.7049303304131882E-2</v>
      </c>
      <c r="AV287" s="70">
        <f t="shared" si="171"/>
        <v>8.3180708180708187</v>
      </c>
      <c r="AW287" s="70">
        <f t="shared" si="172"/>
        <v>35.231552605498564</v>
      </c>
      <c r="AX287" s="70">
        <f t="shared" si="173"/>
        <v>6.0557768924302788</v>
      </c>
      <c r="AY287" s="70">
        <f>IFERROR(Driver!$K$19/Data!BH287/Data!BI287*Data!BK287*Data!BL287,"")</f>
        <v>0.10652776072278926</v>
      </c>
      <c r="AZ287" s="70">
        <f t="shared" si="174"/>
        <v>29.069247952345499</v>
      </c>
      <c r="BA287" s="70"/>
      <c r="BB287" s="70"/>
      <c r="BC287" s="70">
        <f t="shared" si="175"/>
        <v>58.873970765161026</v>
      </c>
      <c r="BD287" s="70">
        <f t="shared" si="176"/>
        <v>3.5221923278626917</v>
      </c>
      <c r="BE287" s="70">
        <f t="shared" si="177"/>
        <v>7.6715093844077389E-2</v>
      </c>
      <c r="BF287" s="70">
        <f t="shared" si="178"/>
        <v>3.7762784756807859</v>
      </c>
      <c r="BG287" s="70">
        <f t="shared" si="179"/>
        <v>0.21602505583051665</v>
      </c>
      <c r="BH287" s="67">
        <f>MAX((CE287-Driver!$F$200)/(Driver!$G$200-Driver!$F$200)*$BI$1,1)</f>
        <v>6.0557768924302788</v>
      </c>
      <c r="BI287" s="67">
        <f>MAX($BI$1*(BY287-Driver!$F$201)/(Driver!$G$201-Driver!$F$201),1)</f>
        <v>8.1012658227848107</v>
      </c>
      <c r="BJ287" s="67">
        <f>(CB287-Driver!$F$206)/(Driver!$G$206-Driver!$F$206)*$BI$1</f>
        <v>7.1428571428571432</v>
      </c>
      <c r="BK287" s="67">
        <f>(CD287-Driver!$F$203)/(Driver!$G$203-Driver!$F$203)*$BI$1</f>
        <v>5.4128440366972477</v>
      </c>
      <c r="BL287" s="67">
        <f>MAX((CR287-Driver!$F$202)/(Driver!$G$202-Driver!$F$202)*$BI$1,1)</f>
        <v>4.8275862068965516</v>
      </c>
      <c r="BM287" s="67">
        <f>MAX((CH287-Driver!$F$204)/(Driver!$G$204-Driver!$F$204)*$BI$1,1)</f>
        <v>4.6581196581196584</v>
      </c>
      <c r="BN287" s="67">
        <f>(CI287-Driver!$F$205)/(Driver!$G$205-Driver!$F$205)*$BI$1</f>
        <v>3.5882352941176472</v>
      </c>
      <c r="BO287" s="67">
        <f>(CK287-Driver!$F$207)/(Driver!$G$207-Driver!$F$207)*$BI$1</f>
        <v>0.8790072388831438</v>
      </c>
      <c r="BP287" s="67">
        <f>(CM287-Driver!$F$208)/(Driver!$G$208-Driver!$F$208)*$BI$1</f>
        <v>3.2555555555555555</v>
      </c>
      <c r="BQ287" s="67">
        <f>(CL287-Driver!$F$209)/(Driver!$G$209-Driver!$F$209)*$BI$1</f>
        <v>6.09375</v>
      </c>
      <c r="BR287" s="28" t="s">
        <v>155</v>
      </c>
      <c r="BS287" s="8" t="s">
        <v>237</v>
      </c>
      <c r="BT287" s="9" t="s">
        <v>486</v>
      </c>
      <c r="BU287" s="10">
        <v>186.2</v>
      </c>
      <c r="BV287" s="9" t="s">
        <v>158</v>
      </c>
      <c r="BW287" s="10">
        <v>186.2</v>
      </c>
      <c r="BX287" s="10">
        <v>184.6</v>
      </c>
      <c r="BY287" s="10">
        <v>136</v>
      </c>
      <c r="BZ287" s="10">
        <v>145</v>
      </c>
      <c r="CA287" s="10">
        <v>138</v>
      </c>
      <c r="CB287" s="10">
        <v>109</v>
      </c>
      <c r="CC287" s="10">
        <v>127</v>
      </c>
      <c r="CD287" s="10">
        <v>21.2</v>
      </c>
      <c r="CE287" s="10">
        <v>1964</v>
      </c>
      <c r="CF287" s="10">
        <v>1.1100000000000001</v>
      </c>
      <c r="CG287" s="10">
        <v>2179</v>
      </c>
      <c r="CH287" s="10">
        <v>210</v>
      </c>
      <c r="CI287" s="10">
        <v>94</v>
      </c>
      <c r="CJ287" s="10">
        <v>42</v>
      </c>
      <c r="CK287" s="10">
        <v>195</v>
      </c>
      <c r="CL287" s="10">
        <v>39</v>
      </c>
      <c r="CM287" s="10">
        <v>293</v>
      </c>
      <c r="CN287" s="10">
        <v>0.92800000000000005</v>
      </c>
      <c r="CO287" s="10">
        <v>220</v>
      </c>
      <c r="CP287" s="10">
        <v>174</v>
      </c>
      <c r="CQ287" s="10">
        <v>-25</v>
      </c>
      <c r="CR287" s="10">
        <v>3</v>
      </c>
      <c r="CS287" s="10">
        <v>8.1999999999999993</v>
      </c>
      <c r="CT287" s="9" t="s">
        <v>184</v>
      </c>
      <c r="CU287" s="9" t="s">
        <v>169</v>
      </c>
      <c r="CV287" s="9" t="s">
        <v>185</v>
      </c>
      <c r="CW287" s="10"/>
      <c r="CX287" t="str">
        <f>INDEX('Data_Price '!AG$2:AG$1266,MATCH(Data!$DN287,'Data_Price '!$AT$2:$AT$1266,0))</f>
        <v>Black Crows Ferox Freebird 186</v>
      </c>
      <c r="CY287" t="str">
        <f>INDEX('Data_Price '!AH$2:AH$1266,MATCH(Data!$DN287,'Data_Price '!$AT$2:$AT$1266,0))</f>
        <v>Outbound Mountain Gear</v>
      </c>
      <c r="CZ287">
        <f>INDEX('Data_Price '!AI$2:AI$1266,MATCH(Data!$DN287,'Data_Price '!$AT$2:$AT$1266,0))</f>
        <v>1019.99</v>
      </c>
      <c r="DA287" t="str">
        <f>INDEX('Data_Price '!AJ$2:AJ$1266,MATCH(Data!$DN287,'Data_Price '!$AT$2:$AT$1266,0))</f>
        <v>https://tinyurl.com/y9gx8zrx</v>
      </c>
      <c r="DB287" t="str">
        <f>INDEX('Data_Price '!AK$2:AK$1266,MATCH(Data!$DN287,'Data_Price '!$AT$2:$AT$1266,0))</f>
        <v>Skis Black Crows Ferox Freebird</v>
      </c>
      <c r="DC287" t="str">
        <f>INDEX('Data_Price '!AL$2:AL$1266,MATCH(Data!$DN287,'Data_Price '!$AT$2:$AT$1266,0))</f>
        <v>SkatePro.com</v>
      </c>
      <c r="DD287">
        <f>INDEX('Data_Price '!AM$2:AM$1266,MATCH(Data!$DN287,'Data_Price '!$AT$2:$AT$1266,0))</f>
        <v>709.95</v>
      </c>
      <c r="DE287" t="str">
        <f>INDEX('Data_Price '!AN$2:AN$1266,MATCH(Data!$DN287,'Data_Price '!$AT$2:$AT$1266,0))</f>
        <v>https://tinyurl.com/yafje7hs</v>
      </c>
      <c r="DF287" t="str">
        <f>INDEX('Data_Price '!AO$2:AO$1266,MATCH(Data!$DN287,'Data_Price '!$AT$2:$AT$1266,0))</f>
        <v>Black Crows Ferox Freebird Skis (2022) 186</v>
      </c>
      <c r="DG287" t="str">
        <f>INDEX('Data_Price '!AP$2:AP$1266,MATCH(Data!$DN287,'Data_Price '!$AT$2:$AT$1266,0))</f>
        <v>Cripple Creek Backcountry</v>
      </c>
      <c r="DH287">
        <f>INDEX('Data_Price '!AQ$2:AQ$1266,MATCH(Data!$DN287,'Data_Price '!$AT$2:$AT$1266,0))</f>
        <v>799.95</v>
      </c>
      <c r="DI287" t="str">
        <f>INDEX('Data_Price '!AR$2:AR$1266,MATCH(Data!$DN287,'Data_Price '!$AT$2:$AT$1266,0))</f>
        <v>https://tinyurl.com/y7f4as2c</v>
      </c>
      <c r="DJ287" s="89" t="str">
        <f t="shared" si="180"/>
        <v>https://tinyurl.com/y9gx8zrx</v>
      </c>
      <c r="DK287" s="89" t="str">
        <f t="shared" si="181"/>
        <v>https://tinyurl.com/yafje7hs</v>
      </c>
      <c r="DL287" s="89" t="str">
        <f t="shared" si="182"/>
        <v>https://tinyurl.com/y7f4as2c</v>
      </c>
      <c r="DM287" s="219" t="str">
        <f t="shared" si="183"/>
        <v>Ferox Freebird</v>
      </c>
      <c r="DN287" s="89" t="str">
        <f t="shared" si="184"/>
        <v xml:space="preserve"> Black CrowsFerox Freebird186.2 Unisex</v>
      </c>
      <c r="DO287" s="221" t="s">
        <v>487</v>
      </c>
    </row>
    <row r="288" spans="1:119" ht="15.6" customHeight="1">
      <c r="B288" s="219" t="b">
        <f t="array" ref="B288">IF(OR(ISERROR(K288:P288)),FALSE,TRUE)</f>
        <v>1</v>
      </c>
      <c r="C288" s="43" t="b">
        <f>OR(BR288=Driver!$G$50,Data!BR749=Driver!$H$50)</f>
        <v>1</v>
      </c>
      <c r="D288" s="43" t="b">
        <f>OR(BV288=Driver!$G$51,BV288=Driver!$H$51)</f>
        <v>0</v>
      </c>
      <c r="E288" s="43" t="b">
        <f>AND(BX288&gt;Driver!$F$54,BX288&lt;Driver!$G$54)</f>
        <v>0</v>
      </c>
      <c r="F288" s="43" t="b">
        <f>CL288&gt;Driver!$F$56</f>
        <v>1</v>
      </c>
      <c r="G288" s="43" t="b">
        <f>AND(CB288&gt;Driver!$F$55,CB288&lt;Driver!$G$55)</f>
        <v>0</v>
      </c>
      <c r="H288" s="43" t="b">
        <f t="shared" si="148"/>
        <v>0</v>
      </c>
      <c r="I288" s="43">
        <f t="shared" si="149"/>
        <v>0</v>
      </c>
      <c r="J288" s="43" t="b">
        <f t="array" ref="J288">NOT(OR(($H$9:$H$1273=TRUE)*($I$9:$I$1273&gt;0)*($BT$9:$BT$1273=BT288)*($K$9:$K$1273&gt;K288)))</f>
        <v>1</v>
      </c>
      <c r="K288" s="72">
        <f t="shared" si="150"/>
        <v>0.83103798884728319</v>
      </c>
      <c r="L288" s="72">
        <f t="shared" si="151"/>
        <v>0.92658793903733827</v>
      </c>
      <c r="M288" s="72">
        <f t="shared" si="152"/>
        <v>0.73548803865722823</v>
      </c>
      <c r="N288" s="72">
        <f t="shared" si="153"/>
        <v>0.64174973803800273</v>
      </c>
      <c r="O288" s="72">
        <f t="shared" si="154"/>
        <v>0.64149987061176561</v>
      </c>
      <c r="P288" s="72">
        <f t="shared" si="155"/>
        <v>0.92321450732191612</v>
      </c>
      <c r="Q288" s="72"/>
      <c r="R288" s="72"/>
      <c r="S288" s="72">
        <f t="shared" si="156"/>
        <v>0.46043103621996462</v>
      </c>
      <c r="T288" s="72">
        <f t="shared" si="157"/>
        <v>0.49373577410611857</v>
      </c>
      <c r="U288" s="72">
        <f t="shared" si="158"/>
        <v>0.60039193101639143</v>
      </c>
      <c r="V288" s="72">
        <f t="shared" si="159"/>
        <v>0.55102905388685564</v>
      </c>
      <c r="W288" s="72">
        <f t="shared" si="160"/>
        <v>0.80249413718975959</v>
      </c>
      <c r="X288" s="72">
        <f t="shared" si="161"/>
        <v>7.3412060962661757E-2</v>
      </c>
      <c r="Y288" s="72">
        <f t="shared" si="162"/>
        <v>0.26451196134277183</v>
      </c>
      <c r="Z288" s="72">
        <f t="shared" si="163"/>
        <v>0.35825026196199727</v>
      </c>
      <c r="AA288" s="72">
        <f t="shared" si="164"/>
        <v>0.35850012938823439</v>
      </c>
      <c r="AB288" s="72">
        <f t="shared" si="165"/>
        <v>7.6785492678083878E-2</v>
      </c>
      <c r="AC288" s="72"/>
      <c r="AD288" s="72"/>
      <c r="AE288" s="72">
        <f t="shared" si="166"/>
        <v>0.53956896378003538</v>
      </c>
      <c r="AF288" s="72">
        <f t="shared" si="167"/>
        <v>0.50626422589388143</v>
      </c>
      <c r="AG288" s="72">
        <f t="shared" si="168"/>
        <v>0.39960806898360862</v>
      </c>
      <c r="AH288" s="72">
        <f t="shared" si="169"/>
        <v>0.44897094611314436</v>
      </c>
      <c r="AI288" s="72">
        <f t="shared" si="170"/>
        <v>0.19750586281024038</v>
      </c>
      <c r="AJ288" s="72">
        <f>(AV288-Driver!$K$179)/(Driver!$L$179-Driver!$K$179)</f>
        <v>0.18080734832003867</v>
      </c>
      <c r="AK288" s="72">
        <f>(AW288-Driver!$K$180)/(Driver!$L$180-Driver!$K$180)</f>
        <v>0.34418529311843404</v>
      </c>
      <c r="AL288" s="72">
        <f>(AX288-Driver!$K$181)/(Driver!$L$181-Driver!$K$181)</f>
        <v>0.45993802567507747</v>
      </c>
      <c r="AM288" s="72">
        <f>(AY288-Driver!$K$182)/(Driver!$L$182-Driver!$K$182)</f>
        <v>8.8884891708811961E-2</v>
      </c>
      <c r="AN288" s="72">
        <f>(AZ288-Driver!$K$183)/(Driver!$L$183-Driver!$K$183)</f>
        <v>0.3310049019607843</v>
      </c>
      <c r="AO288" s="72"/>
      <c r="AP288" s="72"/>
      <c r="AQ288" s="72">
        <f>(BC288-Driver!$K$188)/(Driver!$L$188-Driver!$K$188)</f>
        <v>8.0431036219964558E-2</v>
      </c>
      <c r="AR288" s="72">
        <f>MIN((BD288-Driver!$K$189)/(Driver!$L$189-Driver!$K$189),100%)</f>
        <v>4.3735774106118584E-2</v>
      </c>
      <c r="AS288" s="72">
        <f>(BE288-Driver!$K$190)/(Driver!$L$190-Driver!$K$190)</f>
        <v>0.11039193101639137</v>
      </c>
      <c r="AT288" s="72">
        <f>(BF288-Driver!$K$191)/(Driver!$L$191-Driver!$K$191)</f>
        <v>6.1029053886855623E-2</v>
      </c>
      <c r="AU288" s="72">
        <f>(BG288-Driver!$K$192)/(Driver!$L$192-Driver!$K$192)</f>
        <v>5.2494137189759621E-2</v>
      </c>
      <c r="AV288" s="70">
        <f t="shared" si="171"/>
        <v>3.8054538054538058</v>
      </c>
      <c r="AW288" s="70">
        <f t="shared" si="172"/>
        <v>35.415799227797102</v>
      </c>
      <c r="AX288" s="70">
        <f t="shared" si="173"/>
        <v>5.1394422310756971</v>
      </c>
      <c r="AY288" s="70">
        <f>IFERROR(Driver!$K$19/Data!BH288/Data!BI288*Data!BK288*Data!BL288,"")</f>
        <v>0.10882162814359722</v>
      </c>
      <c r="AZ288" s="70">
        <f t="shared" si="174"/>
        <v>30.167535368577809</v>
      </c>
      <c r="BA288" s="70"/>
      <c r="BB288" s="70"/>
      <c r="BC288" s="70">
        <f t="shared" si="175"/>
        <v>41.720137634788045</v>
      </c>
      <c r="BD288" s="70">
        <f t="shared" si="176"/>
        <v>5.591361397283138</v>
      </c>
      <c r="BE288" s="70">
        <f t="shared" si="177"/>
        <v>0.11055062708293273</v>
      </c>
      <c r="BF288" s="70">
        <f t="shared" si="178"/>
        <v>6.8928028831510382</v>
      </c>
      <c r="BG288" s="70">
        <f t="shared" si="179"/>
        <v>0.19877629103967168</v>
      </c>
      <c r="BH288" s="67">
        <f>MAX((CE288-Driver!$F$200)/(Driver!$G$200-Driver!$F$200)*$BI$1,1)</f>
        <v>5.1394422310756971</v>
      </c>
      <c r="BI288" s="67">
        <f>MAX($BI$1*(BY288-Driver!$F$201)/(Driver!$G$201-Driver!$F$201),1)</f>
        <v>7.0253164556962027</v>
      </c>
      <c r="BJ288" s="67">
        <f>(CB288-Driver!$F$206)/(Driver!$G$206-Driver!$F$206)*$BI$1</f>
        <v>5.2380952380952381</v>
      </c>
      <c r="BK288" s="67">
        <f>(CD288-Driver!$F$203)/(Driver!$G$203-Driver!$F$203)*$BI$1</f>
        <v>3.1651376146788994</v>
      </c>
      <c r="BL288" s="67">
        <f>MAX((CR288-Driver!$F$202)/(Driver!$G$202-Driver!$F$202)*$BI$1,1)</f>
        <v>6.2068965517241379</v>
      </c>
      <c r="BM288" s="67">
        <f>MAX((CH288-Driver!$F$204)/(Driver!$G$204-Driver!$F$204)*$BI$1,1)</f>
        <v>2.9059829059829063</v>
      </c>
      <c r="BN288" s="67">
        <f>(CI288-Driver!$F$205)/(Driver!$G$205-Driver!$F$205)*$BI$1</f>
        <v>4.2941176470588234</v>
      </c>
      <c r="BO288" s="67">
        <f>(CK288-Driver!$F$207)/(Driver!$G$207-Driver!$F$207)*$BI$1</f>
        <v>1.9027921406411583</v>
      </c>
      <c r="BP288" s="67">
        <f>(CM288-Driver!$F$208)/(Driver!$G$208-Driver!$F$208)*$BI$1</f>
        <v>2.1888888888888887</v>
      </c>
      <c r="BQ288" s="67">
        <f>(CL288-Driver!$F$209)/(Driver!$G$209-Driver!$F$209)*$BI$1</f>
        <v>2.96875</v>
      </c>
      <c r="BR288" s="28" t="s">
        <v>155</v>
      </c>
      <c r="BS288" s="8" t="s">
        <v>262</v>
      </c>
      <c r="BT288" s="9" t="s">
        <v>488</v>
      </c>
      <c r="BU288" s="10">
        <v>168</v>
      </c>
      <c r="BV288" s="9" t="s">
        <v>163</v>
      </c>
      <c r="BW288" s="10">
        <v>168</v>
      </c>
      <c r="BX288" s="10">
        <v>167.8</v>
      </c>
      <c r="BY288" s="10">
        <v>119</v>
      </c>
      <c r="BZ288" s="10">
        <v>139</v>
      </c>
      <c r="CA288" s="10">
        <v>132</v>
      </c>
      <c r="CB288" s="10">
        <v>97</v>
      </c>
      <c r="CC288" s="10">
        <v>118</v>
      </c>
      <c r="CD288" s="10">
        <v>16.3</v>
      </c>
      <c r="CE288" s="10">
        <v>1803</v>
      </c>
      <c r="CF288" s="10">
        <v>1.01</v>
      </c>
      <c r="CG288" s="10">
        <v>1823</v>
      </c>
      <c r="CH288" s="10">
        <v>169</v>
      </c>
      <c r="CI288" s="10">
        <v>106</v>
      </c>
      <c r="CJ288" s="10">
        <v>51</v>
      </c>
      <c r="CK288" s="10">
        <v>294</v>
      </c>
      <c r="CL288" s="10">
        <v>19</v>
      </c>
      <c r="CM288" s="10">
        <v>197</v>
      </c>
      <c r="CN288" s="10">
        <v>0.374</v>
      </c>
      <c r="CO288" s="10">
        <v>157</v>
      </c>
      <c r="CP288" s="10">
        <v>128</v>
      </c>
      <c r="CQ288" s="10">
        <v>137</v>
      </c>
      <c r="CR288" s="10">
        <v>7</v>
      </c>
      <c r="CS288" s="10">
        <v>10.3</v>
      </c>
      <c r="CT288" s="9" t="s">
        <v>188</v>
      </c>
      <c r="CU288" s="10"/>
      <c r="CV288" s="10"/>
      <c r="CW288" s="10"/>
      <c r="CX288" t="e">
        <f>INDEX('Data_Price '!AG$2:AG$1266,MATCH(Data!$DN288,'Data_Price '!$AT$2:$AT$1266,0))</f>
        <v>#N/A</v>
      </c>
      <c r="CY288" t="e">
        <f>INDEX('Data_Price '!AH$2:AH$1266,MATCH(Data!$DN288,'Data_Price '!$AT$2:$AT$1266,0))</f>
        <v>#N/A</v>
      </c>
      <c r="CZ288" t="e">
        <f>INDEX('Data_Price '!AI$2:AI$1266,MATCH(Data!$DN288,'Data_Price '!$AT$2:$AT$1266,0))</f>
        <v>#N/A</v>
      </c>
      <c r="DA288" t="e">
        <f>INDEX('Data_Price '!AJ$2:AJ$1266,MATCH(Data!$DN288,'Data_Price '!$AT$2:$AT$1266,0))</f>
        <v>#N/A</v>
      </c>
      <c r="DB288" t="e">
        <f>INDEX('Data_Price '!AK$2:AK$1266,MATCH(Data!$DN288,'Data_Price '!$AT$2:$AT$1266,0))</f>
        <v>#N/A</v>
      </c>
      <c r="DC288" t="e">
        <f>INDEX('Data_Price '!AL$2:AL$1266,MATCH(Data!$DN288,'Data_Price '!$AT$2:$AT$1266,0))</f>
        <v>#N/A</v>
      </c>
      <c r="DD288" t="e">
        <f>INDEX('Data_Price '!AM$2:AM$1266,MATCH(Data!$DN288,'Data_Price '!$AT$2:$AT$1266,0))</f>
        <v>#N/A</v>
      </c>
      <c r="DE288" t="e">
        <f>INDEX('Data_Price '!AN$2:AN$1266,MATCH(Data!$DN288,'Data_Price '!$AT$2:$AT$1266,0))</f>
        <v>#N/A</v>
      </c>
      <c r="DF288" t="e">
        <f>INDEX('Data_Price '!AO$2:AO$1266,MATCH(Data!$DN288,'Data_Price '!$AT$2:$AT$1266,0))</f>
        <v>#N/A</v>
      </c>
      <c r="DG288" t="e">
        <f>INDEX('Data_Price '!AP$2:AP$1266,MATCH(Data!$DN288,'Data_Price '!$AT$2:$AT$1266,0))</f>
        <v>#N/A</v>
      </c>
      <c r="DH288" t="e">
        <f>INDEX('Data_Price '!AQ$2:AQ$1266,MATCH(Data!$DN288,'Data_Price '!$AT$2:$AT$1266,0))</f>
        <v>#N/A</v>
      </c>
      <c r="DI288" t="e">
        <f>INDEX('Data_Price '!AR$2:AR$1266,MATCH(Data!$DN288,'Data_Price '!$AT$2:$AT$1266,0))</f>
        <v>#N/A</v>
      </c>
      <c r="DJ288" s="89" t="e">
        <f t="shared" si="180"/>
        <v>#N/A</v>
      </c>
      <c r="DK288" s="89" t="e">
        <f t="shared" si="181"/>
        <v>#N/A</v>
      </c>
      <c r="DL288" s="89" t="e">
        <f t="shared" si="182"/>
        <v>#N/A</v>
      </c>
      <c r="DM288" s="219" t="str">
        <f t="shared" si="183"/>
        <v>Mindbender 98 Ti Alliance</v>
      </c>
      <c r="DN288" s="89" t="str">
        <f t="shared" si="184"/>
        <v xml:space="preserve"> K2Mindbender 98 Ti Alliance168 Women's</v>
      </c>
      <c r="DO288" s="221"/>
    </row>
    <row r="289" spans="2:119" ht="15.6" customHeight="1">
      <c r="B289" s="219" t="b">
        <f t="array" ref="B289">IF(OR(ISERROR(K289:P289)),FALSE,TRUE)</f>
        <v>1</v>
      </c>
      <c r="C289" s="43" t="b">
        <f>OR(BR289=Driver!$G$50,Data!BR757=Driver!$H$50)</f>
        <v>1</v>
      </c>
      <c r="D289" s="43" t="b">
        <f>OR(BV289=Driver!$G$51,BV289=Driver!$H$51)</f>
        <v>1</v>
      </c>
      <c r="E289" s="43" t="b">
        <f>AND(BX289&gt;Driver!$F$54,BX289&lt;Driver!$G$54)</f>
        <v>0</v>
      </c>
      <c r="F289" s="43" t="b">
        <f>CL289&gt;Driver!$F$56</f>
        <v>1</v>
      </c>
      <c r="G289" s="43" t="b">
        <f>AND(CB289&gt;Driver!$F$55,CB289&lt;Driver!$G$55)</f>
        <v>0</v>
      </c>
      <c r="H289" s="43" t="b">
        <f t="shared" si="148"/>
        <v>0</v>
      </c>
      <c r="I289" s="43">
        <f t="shared" si="149"/>
        <v>0</v>
      </c>
      <c r="J289" s="43" t="b">
        <f t="array" ref="J289">NOT(OR(($H$9:$H$1273=TRUE)*($I$9:$I$1273&gt;0)*($BT$9:$BT$1273=BT289)*($K$9:$K$1273&gt;K289)))</f>
        <v>1</v>
      </c>
      <c r="K289" s="72">
        <f t="shared" si="150"/>
        <v>0.86265131010426443</v>
      </c>
      <c r="L289" s="72">
        <f t="shared" si="151"/>
        <v>0.99805679730822694</v>
      </c>
      <c r="M289" s="72">
        <f t="shared" si="152"/>
        <v>0.72724582290030193</v>
      </c>
      <c r="N289" s="72">
        <f t="shared" si="153"/>
        <v>0.5582741167137758</v>
      </c>
      <c r="O289" s="72">
        <f t="shared" si="154"/>
        <v>0.62737302767174985</v>
      </c>
      <c r="P289" s="72">
        <f t="shared" si="155"/>
        <v>0.99609032431538014</v>
      </c>
      <c r="Q289" s="72"/>
      <c r="R289" s="72"/>
      <c r="S289" s="72">
        <f t="shared" si="156"/>
        <v>0.43627356939339956</v>
      </c>
      <c r="T289" s="72">
        <f t="shared" si="157"/>
        <v>0.54759832957041965</v>
      </c>
      <c r="U289" s="72">
        <f t="shared" si="158"/>
        <v>0.50428073250733108</v>
      </c>
      <c r="V289" s="72">
        <f t="shared" si="159"/>
        <v>0.64954999886133302</v>
      </c>
      <c r="W289" s="72">
        <f t="shared" si="160"/>
        <v>0.81816185966422728</v>
      </c>
      <c r="X289" s="72">
        <f t="shared" si="161"/>
        <v>1.9432026917730605E-3</v>
      </c>
      <c r="Y289" s="72">
        <f t="shared" si="162"/>
        <v>0.27275417709969807</v>
      </c>
      <c r="Z289" s="72">
        <f t="shared" si="163"/>
        <v>0.4417258832862242</v>
      </c>
      <c r="AA289" s="72">
        <f t="shared" si="164"/>
        <v>0.37262697232825015</v>
      </c>
      <c r="AB289" s="72">
        <f t="shared" si="165"/>
        <v>3.9096756846198621E-3</v>
      </c>
      <c r="AC289" s="72"/>
      <c r="AD289" s="72"/>
      <c r="AE289" s="72">
        <f t="shared" si="166"/>
        <v>0.56372643060660044</v>
      </c>
      <c r="AF289" s="72">
        <f t="shared" si="167"/>
        <v>0.4524016704295804</v>
      </c>
      <c r="AG289" s="72">
        <f t="shared" si="168"/>
        <v>0.49571926749266898</v>
      </c>
      <c r="AH289" s="72">
        <f t="shared" si="169"/>
        <v>0.35045000113866698</v>
      </c>
      <c r="AI289" s="72">
        <f t="shared" si="170"/>
        <v>0.18183814033577272</v>
      </c>
      <c r="AJ289" s="72">
        <f>(AV289-Driver!$K$179)/(Driver!$L$179-Driver!$K$179)</f>
        <v>0.25227620659092737</v>
      </c>
      <c r="AK289" s="72">
        <f>(AW289-Driver!$K$180)/(Driver!$L$180-Driver!$K$180)</f>
        <v>0.28356626436821192</v>
      </c>
      <c r="AL289" s="72">
        <f>(AX289-Driver!$K$181)/(Driver!$L$181-Driver!$K$181)</f>
        <v>0.54341364699930439</v>
      </c>
      <c r="AM289" s="72">
        <f>(AY289-Driver!$K$182)/(Driver!$L$182-Driver!$K$182)</f>
        <v>7.4758048768796215E-2</v>
      </c>
      <c r="AN289" s="72">
        <f>(AZ289-Driver!$K$183)/(Driver!$L$183-Driver!$K$183)</f>
        <v>0.25812908496732029</v>
      </c>
      <c r="AO289" s="72"/>
      <c r="AP289" s="72"/>
      <c r="AQ289" s="72">
        <f>(BC289-Driver!$K$188)/(Driver!$L$188-Driver!$K$188)</f>
        <v>5.6273569393399531E-2</v>
      </c>
      <c r="AR289" s="72">
        <f>MIN((BD289-Driver!$K$189)/(Driver!$L$189-Driver!$K$189),100%)</f>
        <v>9.7598329570419654E-2</v>
      </c>
      <c r="AS289" s="72">
        <f>(BE289-Driver!$K$190)/(Driver!$L$190-Driver!$K$190)</f>
        <v>1.4280732507331037E-2</v>
      </c>
      <c r="AT289" s="72">
        <f>(BF289-Driver!$K$191)/(Driver!$L$191-Driver!$K$191)</f>
        <v>0.15954999886133306</v>
      </c>
      <c r="AU289" s="72">
        <f>(BG289-Driver!$K$192)/(Driver!$L$192-Driver!$K$192)</f>
        <v>6.8161859664227276E-2</v>
      </c>
      <c r="AV289" s="70">
        <f t="shared" si="171"/>
        <v>5.3096594763261429</v>
      </c>
      <c r="AW289" s="70">
        <f t="shared" si="172"/>
        <v>29.507937736850909</v>
      </c>
      <c r="AX289" s="70">
        <f t="shared" si="173"/>
        <v>5.8907228229937392</v>
      </c>
      <c r="AY289" s="70">
        <f>IFERROR(Driver!$K$19/Data!BH289/Data!BI289*Data!BK289*Data!BL289,"")</f>
        <v>9.152615734190428E-2</v>
      </c>
      <c r="AZ289" s="70">
        <f t="shared" si="174"/>
        <v>23.525688756515265</v>
      </c>
      <c r="BA289" s="70"/>
      <c r="BB289" s="70"/>
      <c r="BC289" s="70">
        <f t="shared" si="175"/>
        <v>29.189491651863971</v>
      </c>
      <c r="BD289" s="70">
        <f t="shared" si="176"/>
        <v>10.35810211707291</v>
      </c>
      <c r="BE289" s="70">
        <f t="shared" si="177"/>
        <v>1.4456573729908787E-2</v>
      </c>
      <c r="BF289" s="70">
        <f t="shared" si="178"/>
        <v>18.020051469206926</v>
      </c>
      <c r="BG289" s="70">
        <f t="shared" si="179"/>
        <v>0.25810428325441237</v>
      </c>
      <c r="BH289" s="67">
        <f>MAX((CE289-Driver!$F$200)/(Driver!$G$200-Driver!$F$200)*$BI$1,1)</f>
        <v>5.8907228229937392</v>
      </c>
      <c r="BI289" s="67">
        <f>MAX($BI$1*(BY289-Driver!$F$201)/(Driver!$G$201-Driver!$F$201),1)</f>
        <v>5.6329113924050631</v>
      </c>
      <c r="BJ289" s="67">
        <f>(CB289-Driver!$F$206)/(Driver!$G$206-Driver!$F$206)*$BI$1</f>
        <v>4.92063492063492</v>
      </c>
      <c r="BK289" s="67">
        <f>(CD289-Driver!$F$203)/(Driver!$G$203-Driver!$F$203)*$BI$1</f>
        <v>2.7522935779816518</v>
      </c>
      <c r="BL289" s="67">
        <f>MAX((CR289-Driver!$F$202)/(Driver!$G$202-Driver!$F$202)*$BI$1,1)</f>
        <v>5.5172413793103452</v>
      </c>
      <c r="BM289" s="67">
        <f>MAX((CH289-Driver!$F$204)/(Driver!$G$204-Driver!$F$204)*$BI$1,1)</f>
        <v>4.3162393162393169</v>
      </c>
      <c r="BN289" s="67">
        <f>(CI289-Driver!$F$205)/(Driver!$G$205-Driver!$F$205)*$BI$1</f>
        <v>4.1764705882352944</v>
      </c>
      <c r="BO289" s="67">
        <f>(CK289-Driver!$F$207)/(Driver!$G$207-Driver!$F$207)*$BI$1</f>
        <v>2.6680455015511892</v>
      </c>
      <c r="BP289" s="67">
        <f>(CM289-Driver!$F$208)/(Driver!$G$208-Driver!$F$208)*$BI$1</f>
        <v>3.7777777777777777</v>
      </c>
      <c r="BQ289" s="67">
        <f>(CL289-Driver!$F$209)/(Driver!$G$209-Driver!$F$209)*$BI$1</f>
        <v>6.5625</v>
      </c>
      <c r="BR289" s="28" t="s">
        <v>155</v>
      </c>
      <c r="BS289" s="8" t="s">
        <v>262</v>
      </c>
      <c r="BT289" s="9" t="s">
        <v>489</v>
      </c>
      <c r="BU289" s="10">
        <v>170</v>
      </c>
      <c r="BV289" s="9" t="s">
        <v>158</v>
      </c>
      <c r="BW289" s="10">
        <v>170</v>
      </c>
      <c r="BX289" s="10">
        <v>168.2</v>
      </c>
      <c r="BY289" s="10">
        <v>97</v>
      </c>
      <c r="BZ289" s="10">
        <v>131</v>
      </c>
      <c r="CA289" s="10">
        <v>123</v>
      </c>
      <c r="CB289" s="10">
        <v>95</v>
      </c>
      <c r="CC289" s="10">
        <v>117</v>
      </c>
      <c r="CD289" s="10">
        <v>15.4</v>
      </c>
      <c r="CE289" s="10">
        <v>1935</v>
      </c>
      <c r="CF289" s="10">
        <v>0.91</v>
      </c>
      <c r="CG289" s="10">
        <v>1769</v>
      </c>
      <c r="CH289" s="10">
        <v>202</v>
      </c>
      <c r="CI289" s="10">
        <v>104</v>
      </c>
      <c r="CJ289" s="10">
        <v>43</v>
      </c>
      <c r="CK289" s="10">
        <v>368</v>
      </c>
      <c r="CL289" s="10">
        <v>42</v>
      </c>
      <c r="CM289" s="10">
        <v>340</v>
      </c>
      <c r="CN289" s="10">
        <v>0.98399999999999999</v>
      </c>
      <c r="CO289" s="10">
        <v>188</v>
      </c>
      <c r="CP289" s="10">
        <v>185</v>
      </c>
      <c r="CQ289" s="10">
        <v>180</v>
      </c>
      <c r="CR289" s="10">
        <v>5</v>
      </c>
      <c r="CS289" s="10">
        <v>5.3</v>
      </c>
      <c r="CT289" s="9" t="s">
        <v>184</v>
      </c>
      <c r="CU289" s="10"/>
      <c r="CV289" s="10"/>
      <c r="CW289" s="10"/>
      <c r="CX289" t="e">
        <f>INDEX('Data_Price '!AG$2:AG$1266,MATCH(Data!$DN289,'Data_Price '!$AT$2:$AT$1266,0))</f>
        <v>#N/A</v>
      </c>
      <c r="CY289" t="e">
        <f>INDEX('Data_Price '!AH$2:AH$1266,MATCH(Data!$DN289,'Data_Price '!$AT$2:$AT$1266,0))</f>
        <v>#N/A</v>
      </c>
      <c r="CZ289" t="e">
        <f>INDEX('Data_Price '!AI$2:AI$1266,MATCH(Data!$DN289,'Data_Price '!$AT$2:$AT$1266,0))</f>
        <v>#N/A</v>
      </c>
      <c r="DA289" t="e">
        <f>INDEX('Data_Price '!AJ$2:AJ$1266,MATCH(Data!$DN289,'Data_Price '!$AT$2:$AT$1266,0))</f>
        <v>#N/A</v>
      </c>
      <c r="DB289" t="e">
        <f>INDEX('Data_Price '!AK$2:AK$1266,MATCH(Data!$DN289,'Data_Price '!$AT$2:$AT$1266,0))</f>
        <v>#N/A</v>
      </c>
      <c r="DC289" t="e">
        <f>INDEX('Data_Price '!AL$2:AL$1266,MATCH(Data!$DN289,'Data_Price '!$AT$2:$AT$1266,0))</f>
        <v>#N/A</v>
      </c>
      <c r="DD289" t="e">
        <f>INDEX('Data_Price '!AM$2:AM$1266,MATCH(Data!$DN289,'Data_Price '!$AT$2:$AT$1266,0))</f>
        <v>#N/A</v>
      </c>
      <c r="DE289" t="e">
        <f>INDEX('Data_Price '!AN$2:AN$1266,MATCH(Data!$DN289,'Data_Price '!$AT$2:$AT$1266,0))</f>
        <v>#N/A</v>
      </c>
      <c r="DF289" t="e">
        <f>INDEX('Data_Price '!AO$2:AO$1266,MATCH(Data!$DN289,'Data_Price '!$AT$2:$AT$1266,0))</f>
        <v>#N/A</v>
      </c>
      <c r="DG289" t="e">
        <f>INDEX('Data_Price '!AP$2:AP$1266,MATCH(Data!$DN289,'Data_Price '!$AT$2:$AT$1266,0))</f>
        <v>#N/A</v>
      </c>
      <c r="DH289" t="e">
        <f>INDEX('Data_Price '!AQ$2:AQ$1266,MATCH(Data!$DN289,'Data_Price '!$AT$2:$AT$1266,0))</f>
        <v>#N/A</v>
      </c>
      <c r="DI289" t="e">
        <f>INDEX('Data_Price '!AR$2:AR$1266,MATCH(Data!$DN289,'Data_Price '!$AT$2:$AT$1266,0))</f>
        <v>#N/A</v>
      </c>
      <c r="DJ289" s="89" t="e">
        <f t="shared" si="180"/>
        <v>#N/A</v>
      </c>
      <c r="DK289" s="89" t="e">
        <f t="shared" si="181"/>
        <v>#N/A</v>
      </c>
      <c r="DL289" s="89" t="e">
        <f t="shared" si="182"/>
        <v>#N/A</v>
      </c>
      <c r="DM289" s="219" t="str">
        <f t="shared" si="183"/>
        <v>Poacher</v>
      </c>
      <c r="DN289" s="89" t="str">
        <f t="shared" si="184"/>
        <v xml:space="preserve"> K2Poacher170 Unisex</v>
      </c>
      <c r="DO289" s="221" t="s">
        <v>490</v>
      </c>
    </row>
    <row r="290" spans="2:119" ht="15.6" customHeight="1">
      <c r="B290" s="219" t="b">
        <f t="array" ref="B290">IF(OR(ISERROR(K290:P290)),FALSE,TRUE)</f>
        <v>1</v>
      </c>
      <c r="C290" s="43" t="b">
        <f>OR(BR290=Driver!$G$50,Data!BR984=Driver!$H$50)</f>
        <v>1</v>
      </c>
      <c r="D290" s="43" t="b">
        <f>OR(BV290=Driver!$G$51,BV290=Driver!$H$51)</f>
        <v>1</v>
      </c>
      <c r="E290" s="43" t="b">
        <f>AND(BX290&gt;Driver!$F$54,BX290&lt;Driver!$G$54)</f>
        <v>1</v>
      </c>
      <c r="F290" s="43" t="b">
        <f>CL290&gt;Driver!$F$56</f>
        <v>1</v>
      </c>
      <c r="G290" s="43" t="b">
        <f>AND(CB290&gt;Driver!$F$55,CB290&lt;Driver!$G$55)</f>
        <v>0</v>
      </c>
      <c r="H290" s="43" t="b">
        <f t="shared" si="148"/>
        <v>0</v>
      </c>
      <c r="I290" s="43">
        <f t="shared" si="149"/>
        <v>0</v>
      </c>
      <c r="J290" s="43" t="b">
        <f t="array" ref="J290">NOT(OR(($H$9:$H$1273=TRUE)*($I$9:$I$1273&gt;0)*($BT$9:$BT$1273=BT290)*($K$9:$K$1273&gt;K290)))</f>
        <v>1</v>
      </c>
      <c r="K290" s="72">
        <f t="shared" si="150"/>
        <v>0.86622153044779004</v>
      </c>
      <c r="L290" s="72">
        <f t="shared" si="151"/>
        <v>0.96415414459814652</v>
      </c>
      <c r="M290" s="72">
        <f t="shared" si="152"/>
        <v>0.76828891629743368</v>
      </c>
      <c r="N290" s="72">
        <f t="shared" si="153"/>
        <v>0.70688601831372522</v>
      </c>
      <c r="O290" s="72">
        <f t="shared" si="154"/>
        <v>0.60342563005735483</v>
      </c>
      <c r="P290" s="72">
        <f t="shared" si="155"/>
        <v>0.9945551005212212</v>
      </c>
      <c r="Q290" s="72"/>
      <c r="R290" s="72"/>
      <c r="S290" s="72">
        <f t="shared" si="156"/>
        <v>0.40935754875454522</v>
      </c>
      <c r="T290" s="72">
        <f t="shared" si="157"/>
        <v>0.57104522012956882</v>
      </c>
      <c r="U290" s="72">
        <f t="shared" si="158"/>
        <v>0.65675686778409081</v>
      </c>
      <c r="V290" s="72">
        <f t="shared" si="159"/>
        <v>0.6256660297831721</v>
      </c>
      <c r="W290" s="72">
        <f t="shared" si="160"/>
        <v>0.77756812499999994</v>
      </c>
      <c r="X290" s="72">
        <f t="shared" si="161"/>
        <v>3.5845855401853532E-2</v>
      </c>
      <c r="Y290" s="72">
        <f t="shared" si="162"/>
        <v>0.2317110837025663</v>
      </c>
      <c r="Z290" s="72">
        <f t="shared" si="163"/>
        <v>0.29311398168627478</v>
      </c>
      <c r="AA290" s="72">
        <f t="shared" si="164"/>
        <v>0.39657436994264522</v>
      </c>
      <c r="AB290" s="72">
        <f t="shared" si="165"/>
        <v>5.4448994787788252E-3</v>
      </c>
      <c r="AC290" s="72"/>
      <c r="AD290" s="72"/>
      <c r="AE290" s="72">
        <f t="shared" si="166"/>
        <v>0.59064245124545478</v>
      </c>
      <c r="AF290" s="72">
        <f t="shared" si="167"/>
        <v>0.42895477987043124</v>
      </c>
      <c r="AG290" s="72">
        <f t="shared" si="168"/>
        <v>0.34324313221590919</v>
      </c>
      <c r="AH290" s="72">
        <f t="shared" si="169"/>
        <v>0.3743339702168279</v>
      </c>
      <c r="AI290" s="72">
        <f t="shared" si="170"/>
        <v>0.222431875</v>
      </c>
      <c r="AJ290" s="72">
        <f>(AV290-Driver!$K$179)/(Driver!$L$179-Driver!$K$179)</f>
        <v>0.29006526468455396</v>
      </c>
      <c r="AK290" s="72">
        <f>(AW290-Driver!$K$180)/(Driver!$L$180-Driver!$K$180)</f>
        <v>0.26079363261962046</v>
      </c>
      <c r="AL290" s="72">
        <f>(AX290-Driver!$K$181)/(Driver!$L$181-Driver!$K$181)</f>
        <v>0.39480174539935498</v>
      </c>
      <c r="AM290" s="72">
        <f>(AY290-Driver!$K$182)/(Driver!$L$182-Driver!$K$182)</f>
        <v>5.081065115440115E-2</v>
      </c>
      <c r="AN290" s="72">
        <f>(AZ290-Driver!$K$183)/(Driver!$L$183-Driver!$K$183)</f>
        <v>0.2487745098039216</v>
      </c>
      <c r="AO290" s="72"/>
      <c r="AP290" s="72"/>
      <c r="AQ290" s="72">
        <f>(BC290-Driver!$K$188)/(Driver!$L$188-Driver!$K$188)</f>
        <v>2.9357548754545229E-2</v>
      </c>
      <c r="AR290" s="72">
        <f>MIN((BD290-Driver!$K$189)/(Driver!$L$189-Driver!$K$189),100%)</f>
        <v>0.1210452201295688</v>
      </c>
      <c r="AS290" s="72">
        <f>(BE290-Driver!$K$190)/(Driver!$L$190-Driver!$K$190)</f>
        <v>0.16675686778409082</v>
      </c>
      <c r="AT290" s="72">
        <f>(BF290-Driver!$K$191)/(Driver!$L$191-Driver!$K$191)</f>
        <v>0.1356660297831721</v>
      </c>
      <c r="AU290" s="72">
        <f>(BG290-Driver!$K$192)/(Driver!$L$192-Driver!$K$192)</f>
        <v>2.7568124999999999E-2</v>
      </c>
      <c r="AV290" s="70">
        <f t="shared" si="171"/>
        <v>6.1050061050061037</v>
      </c>
      <c r="AW290" s="70">
        <f t="shared" si="172"/>
        <v>27.288542986906002</v>
      </c>
      <c r="AX290" s="70">
        <f t="shared" si="173"/>
        <v>4.5532157085941947</v>
      </c>
      <c r="AY290" s="70">
        <f>IFERROR(Driver!$K$19/Data!BH290/Data!BI290*Data!BK290*Data!BL290,"")</f>
        <v>6.2207397448064972E-2</v>
      </c>
      <c r="AZ290" s="70">
        <f t="shared" si="174"/>
        <v>22.673119880863741</v>
      </c>
      <c r="BA290" s="70"/>
      <c r="BB290" s="70"/>
      <c r="BC290" s="70">
        <f t="shared" si="175"/>
        <v>15.227964629350476</v>
      </c>
      <c r="BD290" s="70">
        <f t="shared" si="176"/>
        <v>12.433110386125911</v>
      </c>
      <c r="BE290" s="70">
        <f t="shared" si="177"/>
        <v>0.16690550898032719</v>
      </c>
      <c r="BF290" s="70">
        <f t="shared" si="178"/>
        <v>15.322524956207921</v>
      </c>
      <c r="BG290" s="70">
        <f t="shared" si="179"/>
        <v>0.10439050781250001</v>
      </c>
      <c r="BH290" s="67">
        <f>MAX((CE290-Driver!$F$200)/(Driver!$G$200-Driver!$F$200)*$BI$1,1)</f>
        <v>4.5532157085941947</v>
      </c>
      <c r="BI290" s="67">
        <f>MAX($BI$1*(BY290-Driver!$F$201)/(Driver!$G$201-Driver!$F$201),1)</f>
        <v>6.6455696202531644</v>
      </c>
      <c r="BJ290" s="67">
        <f>(CB290-Driver!$F$206)/(Driver!$G$206-Driver!$F$206)*$BI$1</f>
        <v>5.7142857142857135</v>
      </c>
      <c r="BK290" s="67">
        <f>(CD290-Driver!$F$203)/(Driver!$G$203-Driver!$F$203)*$BI$1</f>
        <v>1.6055045871559634</v>
      </c>
      <c r="BL290" s="67">
        <f>MAX((CR290-Driver!$F$202)/(Driver!$G$202-Driver!$F$202)*$BI$1,1)</f>
        <v>5.8620689655172411</v>
      </c>
      <c r="BM290" s="67">
        <f>MAX((CH290-Driver!$F$204)/(Driver!$G$204-Driver!$F$204)*$BI$1,1)</f>
        <v>4.2735042735042734</v>
      </c>
      <c r="BN290" s="67">
        <f>(CI290-Driver!$F$205)/(Driver!$G$205-Driver!$F$205)*$BI$1</f>
        <v>3.4117647058823533</v>
      </c>
      <c r="BO290" s="67">
        <f>(CK290-Driver!$F$207)/(Driver!$G$207-Driver!$F$207)*$BI$1</f>
        <v>1.8717683557394003</v>
      </c>
      <c r="BP290" s="67">
        <f>(CM290-Driver!$F$208)/(Driver!$G$208-Driver!$F$208)*$BI$1</f>
        <v>2.3000000000000003</v>
      </c>
      <c r="BQ290" s="67">
        <f>(CL290-Driver!$F$209)/(Driver!$G$209-Driver!$F$209)*$BI$1</f>
        <v>2.03125</v>
      </c>
      <c r="BR290" s="28" t="s">
        <v>155</v>
      </c>
      <c r="BS290" s="8" t="s">
        <v>172</v>
      </c>
      <c r="BT290" s="9" t="s">
        <v>388</v>
      </c>
      <c r="BU290" s="10">
        <v>164</v>
      </c>
      <c r="BV290" s="9" t="s">
        <v>158</v>
      </c>
      <c r="BW290" s="10">
        <v>164</v>
      </c>
      <c r="BX290" s="10">
        <v>162.6</v>
      </c>
      <c r="BY290" s="10">
        <v>113</v>
      </c>
      <c r="BZ290" s="10">
        <v>137</v>
      </c>
      <c r="CA290" s="10">
        <v>137</v>
      </c>
      <c r="CB290" s="10">
        <v>100</v>
      </c>
      <c r="CC290" s="10">
        <v>127</v>
      </c>
      <c r="CD290" s="10">
        <v>12.9</v>
      </c>
      <c r="CE290" s="10">
        <v>1700</v>
      </c>
      <c r="CF290" s="10">
        <v>1.08</v>
      </c>
      <c r="CG290" s="10">
        <v>1839</v>
      </c>
      <c r="CH290" s="10">
        <v>201</v>
      </c>
      <c r="CI290" s="10">
        <v>91</v>
      </c>
      <c r="CJ290" s="10">
        <v>48</v>
      </c>
      <c r="CK290" s="10">
        <v>291</v>
      </c>
      <c r="CL290" s="10">
        <v>13</v>
      </c>
      <c r="CM290" s="10">
        <v>207</v>
      </c>
      <c r="CN290" s="10">
        <v>0.28199999999999997</v>
      </c>
      <c r="CO290" s="10">
        <v>143</v>
      </c>
      <c r="CP290" s="10">
        <v>113</v>
      </c>
      <c r="CQ290" s="10">
        <v>148</v>
      </c>
      <c r="CR290" s="10">
        <v>6</v>
      </c>
      <c r="CS290" s="10">
        <v>5.9</v>
      </c>
      <c r="CT290" s="9" t="s">
        <v>188</v>
      </c>
      <c r="CU290" s="9" t="s">
        <v>178</v>
      </c>
      <c r="CV290" s="9" t="s">
        <v>185</v>
      </c>
      <c r="CW290" s="10"/>
      <c r="CX290" t="str">
        <f>INDEX('Data_Price '!AG$2:AG$1266,MATCH(Data!$DN290,'Data_Price '!$AT$2:$AT$1266,0))</f>
        <v>Rossignol Blackops Sender Skis</v>
      </c>
      <c r="CY290" t="str">
        <f>INDEX('Data_Price '!AH$2:AH$1266,MATCH(Data!$DN290,'Data_Price '!$AT$2:$AT$1266,0))</f>
        <v>Snowcountry.eu</v>
      </c>
      <c r="CZ290">
        <f>INDEX('Data_Price '!AI$2:AI$1266,MATCH(Data!$DN290,'Data_Price '!$AT$2:$AT$1266,0))</f>
        <v>367.9</v>
      </c>
      <c r="DA290" t="str">
        <f>INDEX('Data_Price '!AJ$2:AJ$1266,MATCH(Data!$DN290,'Data_Price '!$AT$2:$AT$1266,0))</f>
        <v>https://tinyurl.com/ybxpq6se</v>
      </c>
      <c r="DB290" t="str">
        <f>INDEX('Data_Price '!AK$2:AK$1266,MATCH(Data!$DN290,'Data_Price '!$AT$2:$AT$1266,0))</f>
        <v>Rossignol Blackops Sender Skis 2022</v>
      </c>
      <c r="DC290" t="str">
        <f>INDEX('Data_Price '!AL$2:AL$1266,MATCH(Data!$DN290,'Data_Price '!$AT$2:$AT$1266,0))</f>
        <v>Saint Bernard</v>
      </c>
      <c r="DD290">
        <f>INDEX('Data_Price '!AM$2:AM$1266,MATCH(Data!$DN290,'Data_Price '!$AT$2:$AT$1266,0))</f>
        <v>552.9</v>
      </c>
      <c r="DE290" t="str">
        <f>INDEX('Data_Price '!AN$2:AN$1266,MATCH(Data!$DN290,'Data_Price '!$AT$2:$AT$1266,0))</f>
        <v>https://tinyurl.com/yakucmjt</v>
      </c>
      <c r="DF290" t="str">
        <f>INDEX('Data_Price '!AO$2:AO$1266,MATCH(Data!$DN290,'Data_Price '!$AT$2:$AT$1266,0))</f>
        <v>Rossignol Blackops Sender Skis</v>
      </c>
      <c r="DG290" t="str">
        <f>INDEX('Data_Price '!AP$2:AP$1266,MATCH(Data!$DN290,'Data_Price '!$AT$2:$AT$1266,0))</f>
        <v>The-House.com</v>
      </c>
      <c r="DH290">
        <f>INDEX('Data_Price '!AQ$2:AQ$1266,MATCH(Data!$DN290,'Data_Price '!$AT$2:$AT$1266,0))</f>
        <v>559.95000000000005</v>
      </c>
      <c r="DI290" t="str">
        <f>INDEX('Data_Price '!AR$2:AR$1266,MATCH(Data!$DN290,'Data_Price '!$AT$2:$AT$1266,0))</f>
        <v>https://tinyurl.com/y98fqgkg</v>
      </c>
      <c r="DJ290" s="89" t="str">
        <f t="shared" si="180"/>
        <v>https://tinyurl.com/ybxpq6se</v>
      </c>
      <c r="DK290" s="89" t="str">
        <f t="shared" si="181"/>
        <v>https://tinyurl.com/yakucmjt</v>
      </c>
      <c r="DL290" s="89" t="str">
        <f t="shared" si="182"/>
        <v>https://tinyurl.com/y98fqgkg</v>
      </c>
      <c r="DM290" s="219" t="str">
        <f t="shared" si="183"/>
        <v>Blackops Sender</v>
      </c>
      <c r="DN290" s="89" t="str">
        <f t="shared" si="184"/>
        <v xml:space="preserve"> RossignolBlackops Sender164 Unisex</v>
      </c>
      <c r="DO290" s="221"/>
    </row>
    <row r="291" spans="2:119" ht="15.6" customHeight="1">
      <c r="B291" s="219" t="b">
        <f t="array" ref="B291">IF(OR(ISERROR(K291:P291)),FALSE,TRUE)</f>
        <v>1</v>
      </c>
      <c r="C291" s="43" t="b">
        <f>OR(BR291=Driver!$G$50,Data!BR39=Driver!$H$50)</f>
        <v>1</v>
      </c>
      <c r="D291" s="43" t="b">
        <f>OR(BV291=Driver!$G$51,BV291=Driver!$H$51)</f>
        <v>1</v>
      </c>
      <c r="E291" s="43" t="b">
        <f>AND(BX291&gt;Driver!$F$54,BX291&lt;Driver!$G$54)</f>
        <v>0</v>
      </c>
      <c r="F291" s="43" t="b">
        <f>CL291&gt;Driver!$F$56</f>
        <v>1</v>
      </c>
      <c r="G291" s="43" t="b">
        <f>AND(CB291&gt;Driver!$F$55,CB291&lt;Driver!$G$55)</f>
        <v>0</v>
      </c>
      <c r="H291" s="43" t="b">
        <f t="shared" si="148"/>
        <v>0</v>
      </c>
      <c r="I291" s="43">
        <f t="shared" si="149"/>
        <v>0</v>
      </c>
      <c r="J291" s="43" t="b">
        <f t="array" ref="J291">NOT(OR(($H$9:$H$1273=TRUE)*($I$9:$I$1273&gt;0)*($BT$9:$BT$1273=BT291)*($K$9:$K$1273&gt;K291)))</f>
        <v>1</v>
      </c>
      <c r="K291" s="72">
        <f t="shared" si="150"/>
        <v>0.82757188195391851</v>
      </c>
      <c r="L291" s="72">
        <f t="shared" si="151"/>
        <v>0.92006147058193577</v>
      </c>
      <c r="M291" s="72">
        <f t="shared" si="152"/>
        <v>0.73508229332590114</v>
      </c>
      <c r="N291" s="72">
        <f t="shared" si="153"/>
        <v>0.63163148090779342</v>
      </c>
      <c r="O291" s="72">
        <f t="shared" si="154"/>
        <v>0.664494029002896</v>
      </c>
      <c r="P291" s="72">
        <f t="shared" si="155"/>
        <v>0.90912137006701421</v>
      </c>
      <c r="Q291" s="72"/>
      <c r="R291" s="72"/>
      <c r="S291" s="72">
        <f t="shared" si="156"/>
        <v>0.51101723001008736</v>
      </c>
      <c r="T291" s="72">
        <f t="shared" si="157"/>
        <v>0.58063932781538519</v>
      </c>
      <c r="U291" s="72">
        <f t="shared" si="158"/>
        <v>0.68497262482292143</v>
      </c>
      <c r="V291" s="72">
        <f t="shared" si="159"/>
        <v>0.50031462957131545</v>
      </c>
      <c r="W291" s="72">
        <f t="shared" si="160"/>
        <v>0.8181058981374858</v>
      </c>
      <c r="X291" s="72">
        <f t="shared" si="161"/>
        <v>7.993852941806423E-2</v>
      </c>
      <c r="Y291" s="72">
        <f t="shared" si="162"/>
        <v>0.26491770667409881</v>
      </c>
      <c r="Z291" s="72">
        <f t="shared" si="163"/>
        <v>0.36836851909220653</v>
      </c>
      <c r="AA291" s="72">
        <f t="shared" si="164"/>
        <v>0.335505970997104</v>
      </c>
      <c r="AB291" s="72">
        <f t="shared" si="165"/>
        <v>9.0878629932985844E-2</v>
      </c>
      <c r="AC291" s="72"/>
      <c r="AD291" s="72"/>
      <c r="AE291" s="72">
        <f t="shared" si="166"/>
        <v>0.48898276998991264</v>
      </c>
      <c r="AF291" s="72">
        <f t="shared" si="167"/>
        <v>0.41936067218461481</v>
      </c>
      <c r="AG291" s="72">
        <f t="shared" si="168"/>
        <v>0.31502737517707857</v>
      </c>
      <c r="AH291" s="72">
        <f t="shared" si="169"/>
        <v>0.49968537042868449</v>
      </c>
      <c r="AI291" s="72">
        <f t="shared" si="170"/>
        <v>0.18189410186251415</v>
      </c>
      <c r="AJ291" s="72">
        <f>(AV291-Driver!$K$179)/(Driver!$L$179-Driver!$K$179)</f>
        <v>0.1742808798646362</v>
      </c>
      <c r="AK291" s="72">
        <f>(AW291-Driver!$K$180)/(Driver!$L$180-Driver!$K$180)</f>
        <v>0.35858781986272409</v>
      </c>
      <c r="AL291" s="72">
        <f>(AX291-Driver!$K$181)/(Driver!$L$181-Driver!$K$181)</f>
        <v>0.47005628280528672</v>
      </c>
      <c r="AM291" s="72">
        <f>(AY291-Driver!$K$182)/(Driver!$L$182-Driver!$K$182)</f>
        <v>0.1118790500999424</v>
      </c>
      <c r="AN291" s="72">
        <f>(AZ291-Driver!$K$183)/(Driver!$L$183-Driver!$K$183)</f>
        <v>0.34509803921568627</v>
      </c>
      <c r="AO291" s="72"/>
      <c r="AP291" s="72"/>
      <c r="AQ291" s="72">
        <f>(BC291-Driver!$K$188)/(Driver!$L$188-Driver!$K$188)</f>
        <v>0.13101723001008739</v>
      </c>
      <c r="AR291" s="72">
        <f>MIN((BD291-Driver!$K$189)/(Driver!$L$189-Driver!$K$189),100%)</f>
        <v>0.1306393278153852</v>
      </c>
      <c r="AS291" s="72">
        <f>(BE291-Driver!$K$190)/(Driver!$L$190-Driver!$K$190)</f>
        <v>0.19497262482292141</v>
      </c>
      <c r="AT291" s="72">
        <f>(BF291-Driver!$K$191)/(Driver!$L$191-Driver!$K$191)</f>
        <v>1.0314629571315497E-2</v>
      </c>
      <c r="AU291" s="72">
        <f>(BG291-Driver!$K$192)/(Driver!$L$192-Driver!$K$192)</f>
        <v>6.8105898137485868E-2</v>
      </c>
      <c r="AV291" s="70">
        <f t="shared" si="171"/>
        <v>3.6680911680911681</v>
      </c>
      <c r="AW291" s="70">
        <f t="shared" si="172"/>
        <v>36.819453078397636</v>
      </c>
      <c r="AX291" s="70">
        <f t="shared" si="173"/>
        <v>5.2305065452475805</v>
      </c>
      <c r="AY291" s="70">
        <f>IFERROR(Driver!$K$19/Data!BH291/Data!BI291*Data!BK291*Data!BL291,"")</f>
        <v>0.13697333880902743</v>
      </c>
      <c r="AZ291" s="70">
        <f t="shared" si="174"/>
        <v>31.451973194341029</v>
      </c>
      <c r="BA291" s="70"/>
      <c r="BB291" s="70"/>
      <c r="BC291" s="70">
        <f t="shared" si="175"/>
        <v>67.959548023238639</v>
      </c>
      <c r="BD291" s="70">
        <f t="shared" si="176"/>
        <v>13.282171916567773</v>
      </c>
      <c r="BE291" s="70">
        <f t="shared" si="177"/>
        <v>0.19511623264568392</v>
      </c>
      <c r="BF291" s="70">
        <f t="shared" si="178"/>
        <v>1.1649649457061493</v>
      </c>
      <c r="BG291" s="70">
        <f t="shared" si="179"/>
        <v>0.25789237721457475</v>
      </c>
      <c r="BH291" s="67">
        <f>MAX((CE291-Driver!$F$200)/(Driver!$G$200-Driver!$F$200)*$BI$1,1)</f>
        <v>5.2305065452475805</v>
      </c>
      <c r="BI291" s="67">
        <f>MAX($BI$1*(BY291-Driver!$F$201)/(Driver!$G$201-Driver!$F$201),1)</f>
        <v>8.3544303797468356</v>
      </c>
      <c r="BJ291" s="67">
        <f>(CB291-Driver!$F$206)/(Driver!$G$206-Driver!$F$206)*$BI$1</f>
        <v>3.333333333333333</v>
      </c>
      <c r="BK291" s="67">
        <f>(CD291-Driver!$F$203)/(Driver!$G$203-Driver!$F$203)*$BI$1</f>
        <v>3.9449541284403673</v>
      </c>
      <c r="BL291" s="67">
        <f>MAX((CR291-Driver!$F$202)/(Driver!$G$202-Driver!$F$202)*$BI$1,1)</f>
        <v>7.5862068965517242</v>
      </c>
      <c r="BM291" s="67">
        <f>MAX((CH291-Driver!$F$204)/(Driver!$G$204-Driver!$F$204)*$BI$1,1)</f>
        <v>4.4017094017094021</v>
      </c>
      <c r="BN291" s="67">
        <f>(CI291-Driver!$F$205)/(Driver!$G$205-Driver!$F$205)*$BI$1</f>
        <v>3.7647058823529411</v>
      </c>
      <c r="BO291" s="67">
        <f>(CK291-Driver!$F$207)/(Driver!$G$207-Driver!$F$207)*$BI$1</f>
        <v>0.73422957600827299</v>
      </c>
      <c r="BP291" s="67">
        <f>(CM291-Driver!$F$208)/(Driver!$G$208-Driver!$F$208)*$BI$1</f>
        <v>1.8777777777777778</v>
      </c>
      <c r="BQ291" s="67">
        <f>(CL291-Driver!$F$209)/(Driver!$G$209-Driver!$F$209)*$BI$1</f>
        <v>5.9375</v>
      </c>
      <c r="BR291" s="28" t="s">
        <v>155</v>
      </c>
      <c r="BS291" s="8" t="s">
        <v>182</v>
      </c>
      <c r="BT291" s="9" t="s">
        <v>491</v>
      </c>
      <c r="BU291" s="10">
        <v>177</v>
      </c>
      <c r="BV291" s="9" t="s">
        <v>158</v>
      </c>
      <c r="BW291" s="10">
        <v>177</v>
      </c>
      <c r="BX291" s="10">
        <v>174.9</v>
      </c>
      <c r="BY291" s="10">
        <v>140</v>
      </c>
      <c r="BZ291" s="10">
        <v>152</v>
      </c>
      <c r="CA291" s="10">
        <v>118</v>
      </c>
      <c r="CB291" s="10">
        <v>85</v>
      </c>
      <c r="CC291" s="10">
        <v>112</v>
      </c>
      <c r="CD291" s="10">
        <v>18</v>
      </c>
      <c r="CE291" s="10">
        <v>1819</v>
      </c>
      <c r="CF291" s="10">
        <v>0.93</v>
      </c>
      <c r="CG291" s="10">
        <v>1694</v>
      </c>
      <c r="CH291" s="10">
        <v>204</v>
      </c>
      <c r="CI291" s="10">
        <v>97</v>
      </c>
      <c r="CJ291" s="10">
        <v>44</v>
      </c>
      <c r="CK291" s="10">
        <v>181</v>
      </c>
      <c r="CL291" s="10">
        <v>38</v>
      </c>
      <c r="CM291" s="10">
        <v>169</v>
      </c>
      <c r="CN291" s="10">
        <v>0.85299999999999998</v>
      </c>
      <c r="CO291" s="10">
        <v>108</v>
      </c>
      <c r="CP291" s="10">
        <v>120</v>
      </c>
      <c r="CQ291" s="10">
        <v>73</v>
      </c>
      <c r="CR291" s="10">
        <v>11</v>
      </c>
      <c r="CS291" s="10">
        <v>4</v>
      </c>
      <c r="CT291" s="9" t="s">
        <v>188</v>
      </c>
      <c r="CU291" s="9" t="s">
        <v>184</v>
      </c>
      <c r="CV291" s="10"/>
      <c r="CW291" s="10"/>
      <c r="CX291" t="str">
        <f>INDEX('Data_Price '!AG$2:AG$1266,MATCH(Data!$DN291,'Data_Price '!$AT$2:$AT$1266,0))</f>
        <v>Armada ARV 86 Skis 2022</v>
      </c>
      <c r="CY291" t="str">
        <f>INDEX('Data_Price '!AH$2:AH$1266,MATCH(Data!$DN291,'Data_Price '!$AT$2:$AT$1266,0))</f>
        <v>Absolute-Snow.co.uk</v>
      </c>
      <c r="CZ291">
        <f>INDEX('Data_Price '!AI$2:AI$1266,MATCH(Data!$DN291,'Data_Price '!$AT$2:$AT$1266,0))</f>
        <v>291</v>
      </c>
      <c r="DA291" t="str">
        <f>INDEX('Data_Price '!AJ$2:AJ$1266,MATCH(Data!$DN291,'Data_Price '!$AT$2:$AT$1266,0))</f>
        <v>https://tinyurl.com/ybbpa8hs</v>
      </c>
      <c r="DB291" t="str">
        <f>INDEX('Data_Price '!AK$2:AK$1266,MATCH(Data!$DN291,'Data_Price '!$AT$2:$AT$1266,0))</f>
        <v>Armada ARV 86 Skis 2022</v>
      </c>
      <c r="DC291" t="str">
        <f>INDEX('Data_Price '!AL$2:AL$1266,MATCH(Data!$DN291,'Data_Price '!$AT$2:$AT$1266,0))</f>
        <v>! OutdoorXL.com</v>
      </c>
      <c r="DD291">
        <f>INDEX('Data_Price '!AM$2:AM$1266,MATCH(Data!$DN291,'Data_Price '!$AT$2:$AT$1266,0))</f>
        <v>339.95</v>
      </c>
      <c r="DE291" t="str">
        <f>INDEX('Data_Price '!AN$2:AN$1266,MATCH(Data!$DN291,'Data_Price '!$AT$2:$AT$1266,0))</f>
        <v>https://tinyurl.com/ybqpfy5r</v>
      </c>
      <c r="DF291" t="str">
        <f>INDEX('Data_Price '!AO$2:AO$1266,MATCH(Data!$DN291,'Data_Price '!$AT$2:$AT$1266,0))</f>
        <v>'22 Armada ARV 86 Skis 177cm</v>
      </c>
      <c r="DG291" t="str">
        <f>INDEX('Data_Price '!AP$2:AP$1266,MATCH(Data!$DN291,'Data_Price '!$AT$2:$AT$1266,0))</f>
        <v>Al's Ski Equipment Barn</v>
      </c>
      <c r="DH291">
        <f>INDEX('Data_Price '!AQ$2:AQ$1266,MATCH(Data!$DN291,'Data_Price '!$AT$2:$AT$1266,0))</f>
        <v>399.95</v>
      </c>
      <c r="DI291" t="str">
        <f>INDEX('Data_Price '!AR$2:AR$1266,MATCH(Data!$DN291,'Data_Price '!$AT$2:$AT$1266,0))</f>
        <v>https://tinyurl.com/y86jjh8y</v>
      </c>
      <c r="DJ291" s="89" t="str">
        <f t="shared" si="180"/>
        <v>https://tinyurl.com/ybbpa8hs</v>
      </c>
      <c r="DK291" s="89" t="str">
        <f t="shared" si="181"/>
        <v>https://tinyurl.com/ybqpfy5r</v>
      </c>
      <c r="DL291" s="89" t="str">
        <f t="shared" si="182"/>
        <v>https://tinyurl.com/y86jjh8y</v>
      </c>
      <c r="DM291" s="219" t="str">
        <f t="shared" si="183"/>
        <v>ARV 86</v>
      </c>
      <c r="DN291" s="89" t="str">
        <f t="shared" si="184"/>
        <v xml:space="preserve"> ArmadaARV 86177 Unisex</v>
      </c>
      <c r="DO291" s="221" t="s">
        <v>492</v>
      </c>
    </row>
    <row r="292" spans="2:119" ht="15.6" customHeight="1">
      <c r="B292" s="219" t="b">
        <f t="array" ref="B292">IF(OR(ISERROR(K292:P292)),FALSE,TRUE)</f>
        <v>1</v>
      </c>
      <c r="C292" s="43" t="b">
        <f>OR(BR292=Driver!$G$50,Data!BR381=Driver!$H$50)</f>
        <v>1</v>
      </c>
      <c r="D292" s="43" t="b">
        <f>OR(BV292=Driver!$G$51,BV292=Driver!$H$51)</f>
        <v>1</v>
      </c>
      <c r="E292" s="43" t="b">
        <f>AND(BX292&gt;Driver!$F$54,BX292&lt;Driver!$G$54)</f>
        <v>0</v>
      </c>
      <c r="F292" s="43" t="b">
        <f>CL292&gt;Driver!$F$56</f>
        <v>1</v>
      </c>
      <c r="G292" s="43" t="b">
        <f>AND(CB292&gt;Driver!$F$55,CB292&lt;Driver!$G$55)</f>
        <v>1</v>
      </c>
      <c r="H292" s="43" t="b">
        <f t="shared" si="148"/>
        <v>0</v>
      </c>
      <c r="I292" s="43">
        <f t="shared" si="149"/>
        <v>0</v>
      </c>
      <c r="J292" s="43" t="b">
        <f t="array" ref="J292">NOT(OR(($H$9:$H$1273=TRUE)*($I$9:$I$1273&gt;0)*($BT$9:$BT$1273=BT292)*($K$9:$K$1273&gt;K292)))</f>
        <v>1</v>
      </c>
      <c r="K292" s="72">
        <f t="shared" si="150"/>
        <v>0.81969805189957312</v>
      </c>
      <c r="L292" s="72">
        <f t="shared" si="151"/>
        <v>0.92161123911107845</v>
      </c>
      <c r="M292" s="72">
        <f t="shared" si="152"/>
        <v>0.71778486468806779</v>
      </c>
      <c r="N292" s="72">
        <f t="shared" si="153"/>
        <v>0.53487564710016688</v>
      </c>
      <c r="O292" s="72">
        <f t="shared" si="154"/>
        <v>0.62196306212908981</v>
      </c>
      <c r="P292" s="72">
        <f t="shared" si="155"/>
        <v>0.99651588483494669</v>
      </c>
      <c r="Q292" s="72"/>
      <c r="R292" s="72"/>
      <c r="S292" s="72">
        <f t="shared" si="156"/>
        <v>0.4240913317059436</v>
      </c>
      <c r="T292" s="72">
        <f t="shared" si="157"/>
        <v>0.5289274116061049</v>
      </c>
      <c r="U292" s="72">
        <f t="shared" si="158"/>
        <v>0.51110553075292575</v>
      </c>
      <c r="V292" s="72">
        <f t="shared" si="159"/>
        <v>0.6684639955305034</v>
      </c>
      <c r="W292" s="72">
        <f t="shared" si="160"/>
        <v>0.81593983208955223</v>
      </c>
      <c r="X292" s="72">
        <f t="shared" si="161"/>
        <v>7.8388760888921494E-2</v>
      </c>
      <c r="Y292" s="72">
        <f t="shared" si="162"/>
        <v>0.28221513531193221</v>
      </c>
      <c r="Z292" s="72">
        <f t="shared" si="163"/>
        <v>0.46512435289983312</v>
      </c>
      <c r="AA292" s="72">
        <f t="shared" si="164"/>
        <v>0.37803693787091019</v>
      </c>
      <c r="AB292" s="72">
        <f t="shared" si="165"/>
        <v>3.4841151650533697E-3</v>
      </c>
      <c r="AC292" s="72"/>
      <c r="AD292" s="72"/>
      <c r="AE292" s="72">
        <f t="shared" si="166"/>
        <v>0.5759086682940564</v>
      </c>
      <c r="AF292" s="72">
        <f t="shared" si="167"/>
        <v>0.4710725883938951</v>
      </c>
      <c r="AG292" s="72">
        <f t="shared" si="168"/>
        <v>0.48889446924707425</v>
      </c>
      <c r="AH292" s="72">
        <f t="shared" si="169"/>
        <v>0.3315360044694966</v>
      </c>
      <c r="AI292" s="72">
        <f t="shared" si="170"/>
        <v>0.18406016791044777</v>
      </c>
      <c r="AJ292" s="72">
        <f>(AV292-Driver!$K$179)/(Driver!$L$179-Driver!$K$179)</f>
        <v>0.33260817017162192</v>
      </c>
      <c r="AK292" s="72">
        <f>(AW292-Driver!$K$180)/(Driver!$L$180-Driver!$K$180)</f>
        <v>0.27874472568373154</v>
      </c>
      <c r="AL292" s="72">
        <f>(AX292-Driver!$K$181)/(Driver!$L$181-Driver!$K$181)</f>
        <v>0.56681211661291331</v>
      </c>
      <c r="AM292" s="72">
        <f>(AY292-Driver!$K$182)/(Driver!$L$182-Driver!$K$182)</f>
        <v>6.9348083226136142E-2</v>
      </c>
      <c r="AN292" s="72">
        <f>(AZ292-Driver!$K$183)/(Driver!$L$183-Driver!$K$183)</f>
        <v>0.25073529411764706</v>
      </c>
      <c r="AO292" s="72"/>
      <c r="AP292" s="72"/>
      <c r="AQ292" s="72">
        <f>(BC292-Driver!$K$188)/(Driver!$L$188-Driver!$K$188)</f>
        <v>4.4091331705943579E-2</v>
      </c>
      <c r="AR292" s="72">
        <f>MIN((BD292-Driver!$K$189)/(Driver!$L$189-Driver!$K$189),100%)</f>
        <v>7.8927411606104947E-2</v>
      </c>
      <c r="AS292" s="72">
        <f>(BE292-Driver!$K$190)/(Driver!$L$190-Driver!$K$190)</f>
        <v>2.1105530752925764E-2</v>
      </c>
      <c r="AT292" s="72">
        <f>(BF292-Driver!$K$191)/(Driver!$L$191-Driver!$K$191)</f>
        <v>0.17846399553050343</v>
      </c>
      <c r="AU292" s="72">
        <f>(BG292-Driver!$K$192)/(Driver!$L$192-Driver!$K$192)</f>
        <v>6.5939832089552244E-2</v>
      </c>
      <c r="AV292" s="70">
        <f t="shared" si="171"/>
        <v>7.0004070004070007</v>
      </c>
      <c r="AW292" s="70">
        <f t="shared" si="172"/>
        <v>29.038036068869388</v>
      </c>
      <c r="AX292" s="70">
        <f t="shared" si="173"/>
        <v>6.1013090495162201</v>
      </c>
      <c r="AY292" s="70">
        <f>IFERROR(Driver!$K$19/Data!BH292/Data!BI292*Data!BK292*Data!BL292,"")</f>
        <v>8.4902745339764635E-2</v>
      </c>
      <c r="AZ292" s="70">
        <f t="shared" si="174"/>
        <v>22.851824274013403</v>
      </c>
      <c r="BA292" s="70"/>
      <c r="BB292" s="70"/>
      <c r="BC292" s="70">
        <f t="shared" si="175"/>
        <v>22.870480273838137</v>
      </c>
      <c r="BD292" s="70">
        <f t="shared" si="176"/>
        <v>8.7057589601400736</v>
      </c>
      <c r="BE292" s="70">
        <f t="shared" si="177"/>
        <v>2.1280154508312873E-2</v>
      </c>
      <c r="BF292" s="70">
        <f t="shared" si="178"/>
        <v>20.156254514642729</v>
      </c>
      <c r="BG292" s="70">
        <f t="shared" si="179"/>
        <v>0.24969026935634334</v>
      </c>
      <c r="BH292" s="67">
        <f>MAX((CE292-Driver!$F$200)/(Driver!$G$200-Driver!$F$200)*$BI$1,1)</f>
        <v>6.1013090495162201</v>
      </c>
      <c r="BI292" s="67">
        <f>MAX($BI$1*(BY292-Driver!$F$201)/(Driver!$G$201-Driver!$F$201),1)</f>
        <v>6.2658227848101262</v>
      </c>
      <c r="BJ292" s="67">
        <f>(CB292-Driver!$F$206)/(Driver!$G$206-Driver!$F$206)*$BI$1</f>
        <v>6.825396825396826</v>
      </c>
      <c r="BK292" s="67">
        <f>(CD292-Driver!$F$203)/(Driver!$G$203-Driver!$F$203)*$BI$1</f>
        <v>2.6146788990825689</v>
      </c>
      <c r="BL292" s="67">
        <f>MAX((CR292-Driver!$F$202)/(Driver!$G$202-Driver!$F$202)*$BI$1,1)</f>
        <v>6.2068965517241379</v>
      </c>
      <c r="BM292" s="67">
        <f>MAX((CH292-Driver!$F$204)/(Driver!$G$204-Driver!$F$204)*$BI$1,1)</f>
        <v>4.1025641025641022</v>
      </c>
      <c r="BN292" s="67">
        <f>(CI292-Driver!$F$205)/(Driver!$G$205-Driver!$F$205)*$BI$1</f>
        <v>3.6470588235294117</v>
      </c>
      <c r="BO292" s="67">
        <f>(CK292-Driver!$F$207)/(Driver!$G$207-Driver!$F$207)*$BI$1</f>
        <v>2.3164426059979317</v>
      </c>
      <c r="BP292" s="67">
        <f>(CM292-Driver!$F$208)/(Driver!$G$208-Driver!$F$208)*$BI$1</f>
        <v>3.333333333333333</v>
      </c>
      <c r="BQ292" s="67">
        <f>(CL292-Driver!$F$209)/(Driver!$G$209-Driver!$F$209)*$BI$1</f>
        <v>6.25</v>
      </c>
      <c r="BR292" s="28" t="s">
        <v>155</v>
      </c>
      <c r="BS292" s="8" t="s">
        <v>202</v>
      </c>
      <c r="BT292" s="9" t="s">
        <v>493</v>
      </c>
      <c r="BU292" s="10">
        <v>172</v>
      </c>
      <c r="BV292" s="9" t="s">
        <v>158</v>
      </c>
      <c r="BW292" s="10">
        <v>172</v>
      </c>
      <c r="BX292" s="10">
        <v>170</v>
      </c>
      <c r="BY292" s="10">
        <v>107</v>
      </c>
      <c r="BZ292" s="10">
        <v>133</v>
      </c>
      <c r="CA292" s="10">
        <v>137</v>
      </c>
      <c r="CB292" s="10">
        <v>107</v>
      </c>
      <c r="CC292" s="10">
        <v>127</v>
      </c>
      <c r="CD292" s="10">
        <v>15.1</v>
      </c>
      <c r="CE292" s="10">
        <v>1972</v>
      </c>
      <c r="CF292" s="10">
        <v>1.01</v>
      </c>
      <c r="CG292" s="10">
        <v>1986</v>
      </c>
      <c r="CH292" s="10">
        <v>197</v>
      </c>
      <c r="CI292" s="10">
        <v>95</v>
      </c>
      <c r="CJ292" s="10">
        <v>57</v>
      </c>
      <c r="CK292" s="10">
        <v>334</v>
      </c>
      <c r="CL292" s="10">
        <v>40</v>
      </c>
      <c r="CM292" s="10">
        <v>300</v>
      </c>
      <c r="CN292" s="10">
        <v>0.69899999999999995</v>
      </c>
      <c r="CO292" s="10">
        <v>198</v>
      </c>
      <c r="CP292" s="10">
        <v>172</v>
      </c>
      <c r="CQ292" s="10">
        <v>135</v>
      </c>
      <c r="CR292" s="10">
        <v>7</v>
      </c>
      <c r="CS292" s="10">
        <v>7.4</v>
      </c>
      <c r="CT292" s="9" t="s">
        <v>169</v>
      </c>
      <c r="CU292" s="10"/>
      <c r="CV292" s="10"/>
      <c r="CW292" s="10"/>
      <c r="CX292" t="str">
        <f>INDEX('Data_Price '!AG$2:AG$1266,MATCH(Data!$DN292,'Data_Price '!$AT$2:$AT$1266,0))</f>
        <v>Dynastar M-Free 108 Skis</v>
      </c>
      <c r="CY292" t="str">
        <f>INDEX('Data_Price '!AH$2:AH$1266,MATCH(Data!$DN292,'Data_Price '!$AT$2:$AT$1266,0))</f>
        <v>Next Adventure</v>
      </c>
      <c r="CZ292">
        <f>INDEX('Data_Price '!AI$2:AI$1266,MATCH(Data!$DN292,'Data_Price '!$AT$2:$AT$1266,0))</f>
        <v>559.96</v>
      </c>
      <c r="DA292" t="str">
        <f>INDEX('Data_Price '!AJ$2:AJ$1266,MATCH(Data!$DN292,'Data_Price '!$AT$2:$AT$1266,0))</f>
        <v>https://tinyurl.com/y7qwj6b9</v>
      </c>
      <c r="DB292" t="str">
        <f>INDEX('Data_Price '!AK$2:AK$1266,MATCH(Data!$DN292,'Data_Price '!$AT$2:$AT$1266,0))</f>
        <v>Dynastar M-Free 108 Skis</v>
      </c>
      <c r="DC292" t="str">
        <f>INDEX('Data_Price '!AL$2:AL$1266,MATCH(Data!$DN292,'Data_Price '!$AT$2:$AT$1266,0))</f>
        <v>evo.com</v>
      </c>
      <c r="DD292">
        <f>INDEX('Data_Price '!AM$2:AM$1266,MATCH(Data!$DN292,'Data_Price '!$AT$2:$AT$1266,0))</f>
        <v>559.96</v>
      </c>
      <c r="DE292" t="str">
        <f>INDEX('Data_Price '!AN$2:AN$1266,MATCH(Data!$DN292,'Data_Price '!$AT$2:$AT$1266,0))</f>
        <v>https://tinyurl.com/y7occazr</v>
      </c>
      <c r="DF292" t="str">
        <f>INDEX('Data_Price '!AO$2:AO$1266,MATCH(Data!$DN292,'Data_Price '!$AT$2:$AT$1266,0))</f>
        <v>Dynastar M-Free 108 Skis</v>
      </c>
      <c r="DG292" t="str">
        <f>INDEX('Data_Price '!AP$2:AP$1266,MATCH(Data!$DN292,'Data_Price '!$AT$2:$AT$1266,0))</f>
        <v>Outdoor Gear Exchange</v>
      </c>
      <c r="DH292">
        <f>INDEX('Data_Price '!AQ$2:AQ$1266,MATCH(Data!$DN292,'Data_Price '!$AT$2:$AT$1266,0))</f>
        <v>559.99</v>
      </c>
      <c r="DI292" t="str">
        <f>INDEX('Data_Price '!AR$2:AR$1266,MATCH(Data!$DN292,'Data_Price '!$AT$2:$AT$1266,0))</f>
        <v>https://tinyurl.com/ydgovral</v>
      </c>
      <c r="DJ292" s="89" t="str">
        <f t="shared" si="180"/>
        <v>https://tinyurl.com/y7qwj6b9</v>
      </c>
      <c r="DK292" s="89" t="str">
        <f t="shared" si="181"/>
        <v>https://tinyurl.com/y7occazr</v>
      </c>
      <c r="DL292" s="89" t="str">
        <f t="shared" si="182"/>
        <v>https://tinyurl.com/ydgovral</v>
      </c>
      <c r="DM292" s="219" t="str">
        <f t="shared" si="183"/>
        <v>M-Free 108</v>
      </c>
      <c r="DN292" s="89" t="str">
        <f t="shared" si="184"/>
        <v xml:space="preserve"> DynastarM-Free 108172 Unisex</v>
      </c>
      <c r="DO292" s="221" t="s">
        <v>494</v>
      </c>
    </row>
    <row r="293" spans="2:119" ht="15.6" customHeight="1">
      <c r="B293" s="219" t="b">
        <f t="array" ref="B293">IF(OR(ISERROR(K293:P293)),FALSE,TRUE)</f>
        <v>1</v>
      </c>
      <c r="C293" s="43" t="b">
        <f>OR(BR293=Driver!$G$50,Data!BR1133=Driver!$H$50)</f>
        <v>1</v>
      </c>
      <c r="D293" s="43" t="b">
        <f>OR(BV293=Driver!$G$51,BV293=Driver!$H$51)</f>
        <v>1</v>
      </c>
      <c r="E293" s="43" t="b">
        <f>AND(BX293&gt;Driver!$F$54,BX293&lt;Driver!$G$54)</f>
        <v>1</v>
      </c>
      <c r="F293" s="43" t="b">
        <f>CL293&gt;Driver!$F$56</f>
        <v>1</v>
      </c>
      <c r="G293" s="43" t="b">
        <f>AND(CB293&gt;Driver!$F$55,CB293&lt;Driver!$G$55)</f>
        <v>0</v>
      </c>
      <c r="H293" s="43" t="b">
        <f t="shared" si="148"/>
        <v>0</v>
      </c>
      <c r="I293" s="43">
        <f t="shared" si="149"/>
        <v>0</v>
      </c>
      <c r="J293" s="43" t="b">
        <f t="array" ref="J293">NOT(OR(($H$9:$H$1273=TRUE)*($I$9:$I$1273&gt;0)*($BT$9:$BT$1273=BT293)*($K$9:$K$1273&gt;K293)))</f>
        <v>1</v>
      </c>
      <c r="K293" s="72">
        <f t="shared" si="150"/>
        <v>0.76011934054476815</v>
      </c>
      <c r="L293" s="72">
        <f t="shared" si="151"/>
        <v>0.79025726463559787</v>
      </c>
      <c r="M293" s="72">
        <f t="shared" si="152"/>
        <v>0.72998141645393844</v>
      </c>
      <c r="N293" s="72">
        <f t="shared" si="153"/>
        <v>0.72522535936222965</v>
      </c>
      <c r="O293" s="72">
        <f t="shared" si="154"/>
        <v>0.60710895784106822</v>
      </c>
      <c r="P293" s="72">
        <f t="shared" si="155"/>
        <v>0.85760993215851733</v>
      </c>
      <c r="Q293" s="72"/>
      <c r="R293" s="72"/>
      <c r="S293" s="72">
        <f t="shared" si="156"/>
        <v>0.49630518287599112</v>
      </c>
      <c r="T293" s="72">
        <f t="shared" si="157"/>
        <v>0.83166213251174126</v>
      </c>
      <c r="U293" s="72">
        <f t="shared" si="158"/>
        <v>0.51</v>
      </c>
      <c r="V293" s="72">
        <f t="shared" si="159"/>
        <v>0.49154140485241038</v>
      </c>
      <c r="W293" s="72">
        <f t="shared" si="160"/>
        <v>0.77232278802233123</v>
      </c>
      <c r="X293" s="72">
        <f t="shared" si="161"/>
        <v>0.20974273536440213</v>
      </c>
      <c r="Y293" s="72">
        <f t="shared" si="162"/>
        <v>0.27001858354606162</v>
      </c>
      <c r="Z293" s="72">
        <f t="shared" si="163"/>
        <v>0.27477464063777035</v>
      </c>
      <c r="AA293" s="72">
        <f t="shared" si="164"/>
        <v>0.39289104215893184</v>
      </c>
      <c r="AB293" s="72">
        <f t="shared" si="165"/>
        <v>0.14239006784148261</v>
      </c>
      <c r="AC293" s="72"/>
      <c r="AD293" s="72"/>
      <c r="AE293" s="72">
        <f t="shared" si="166"/>
        <v>0.50369481712400888</v>
      </c>
      <c r="AF293" s="72">
        <f t="shared" si="167"/>
        <v>0.16833786748825869</v>
      </c>
      <c r="AG293" s="72">
        <f t="shared" si="168"/>
        <v>0.49</v>
      </c>
      <c r="AH293" s="72">
        <f t="shared" si="169"/>
        <v>0.50845859514758962</v>
      </c>
      <c r="AI293" s="72">
        <f t="shared" si="170"/>
        <v>0.22767721197766877</v>
      </c>
      <c r="AJ293" s="72">
        <f>(AV293-Driver!$K$179)/(Driver!$L$179-Driver!$K$179)</f>
        <v>4.4476673918298279E-2</v>
      </c>
      <c r="AK293" s="72">
        <f>(AW293-Driver!$K$180)/(Driver!$L$180-Driver!$K$180)</f>
        <v>0.39739508621227471</v>
      </c>
      <c r="AL293" s="72">
        <f>(AX293-Driver!$K$181)/(Driver!$L$181-Driver!$K$181)</f>
        <v>0.37646240435085054</v>
      </c>
      <c r="AM293" s="72">
        <f>(AY293-Driver!$K$182)/(Driver!$L$182-Driver!$K$182)</f>
        <v>5.449397893811455E-2</v>
      </c>
      <c r="AN293" s="72">
        <f>(AZ293-Driver!$K$183)/(Driver!$L$183-Driver!$K$183)</f>
        <v>0.39660947712418304</v>
      </c>
      <c r="AO293" s="72"/>
      <c r="AP293" s="72"/>
      <c r="AQ293" s="72">
        <f>(BC293-Driver!$K$188)/(Driver!$L$188-Driver!$K$188)</f>
        <v>0.11630518287599112</v>
      </c>
      <c r="AR293" s="72">
        <f>MIN((BD293-Driver!$K$189)/(Driver!$L$189-Driver!$K$189),100%)</f>
        <v>0.38166213251174136</v>
      </c>
      <c r="AS293" s="72">
        <f>(BE293-Driver!$K$190)/(Driver!$L$190-Driver!$K$190)</f>
        <v>1</v>
      </c>
      <c r="AT293" s="72">
        <f>(BF293-Driver!$K$191)/(Driver!$L$191-Driver!$K$191)</f>
        <v>1.5414048524103685E-3</v>
      </c>
      <c r="AU293" s="72">
        <f>(BG293-Driver!$K$192)/(Driver!$L$192-Driver!$K$192)</f>
        <v>2.2322788022331244E-2</v>
      </c>
      <c r="AV293" s="70">
        <f t="shared" si="171"/>
        <v>0.93610093610093614</v>
      </c>
      <c r="AW293" s="70">
        <f t="shared" si="172"/>
        <v>40.601565051522279</v>
      </c>
      <c r="AX293" s="70">
        <f t="shared" si="173"/>
        <v>4.388161639157655</v>
      </c>
      <c r="AY293" s="70">
        <f>IFERROR(Driver!$K$19/Data!BH293/Data!BI293*Data!BK293*Data!BL293,"")</f>
        <v>6.6716889654269709E-2</v>
      </c>
      <c r="AZ293" s="70">
        <f t="shared" si="174"/>
        <v>36.146686522710354</v>
      </c>
      <c r="BA293" s="70"/>
      <c r="BB293" s="70"/>
      <c r="BC293" s="70">
        <f t="shared" si="175"/>
        <v>60.328306898290528</v>
      </c>
      <c r="BD293" s="70">
        <f t="shared" si="176"/>
        <v>35.497245346104748</v>
      </c>
      <c r="BE293" s="70">
        <f t="shared" si="177"/>
        <v>1</v>
      </c>
      <c r="BF293" s="70">
        <f t="shared" si="178"/>
        <v>0.17409084909778527</v>
      </c>
      <c r="BG293" s="70">
        <f t="shared" si="179"/>
        <v>8.4528315851801719E-2</v>
      </c>
      <c r="BH293" s="67">
        <f>MAX((CE293-Driver!$F$200)/(Driver!$G$200-Driver!$F$200)*$BI$1,1)</f>
        <v>4.388161639157655</v>
      </c>
      <c r="BI293" s="67">
        <f>MAX($BI$1*(BY293-Driver!$F$201)/(Driver!$G$201-Driver!$F$201),1)</f>
        <v>8.4177215189873422</v>
      </c>
      <c r="BJ293" s="67">
        <f>(CB293-Driver!$F$206)/(Driver!$G$206-Driver!$F$206)*$BI$1</f>
        <v>1.2698412698412698</v>
      </c>
      <c r="BK293" s="67">
        <f>(CD293-Driver!$F$203)/(Driver!$G$203-Driver!$F$203)*$BI$1</f>
        <v>1.8807339449541285</v>
      </c>
      <c r="BL293" s="67">
        <f>MAX((CR293-Driver!$F$202)/(Driver!$G$202-Driver!$F$202)*$BI$1,1)</f>
        <v>6.5517241379310338</v>
      </c>
      <c r="BM293" s="67">
        <f>MAX((CH293-Driver!$F$204)/(Driver!$G$204-Driver!$F$204)*$BI$1,1)</f>
        <v>2.9487179487179489</v>
      </c>
      <c r="BN293" s="67">
        <f>(CI293-Driver!$F$205)/(Driver!$G$205-Driver!$F$205)*$BI$1</f>
        <v>4.2941176470588234</v>
      </c>
      <c r="BO293" s="67">
        <f>(CK293-Driver!$F$207)/(Driver!$G$207-Driver!$F$207)*$BI$1</f>
        <v>0.35160289555325747</v>
      </c>
      <c r="BP293" s="67">
        <f>(CM293-Driver!$F$208)/(Driver!$G$208-Driver!$F$208)*$BI$1</f>
        <v>0.73333333333333339</v>
      </c>
      <c r="BQ293" s="67">
        <f>(CL293-Driver!$F$209)/(Driver!$G$209-Driver!$F$209)*$BI$1</f>
        <v>1.09375</v>
      </c>
      <c r="BR293" s="28" t="s">
        <v>155</v>
      </c>
      <c r="BS293" s="8" t="s">
        <v>213</v>
      </c>
      <c r="BT293" s="9" t="s">
        <v>495</v>
      </c>
      <c r="BU293" s="10">
        <v>163</v>
      </c>
      <c r="BV293" s="9" t="s">
        <v>158</v>
      </c>
      <c r="BW293" s="10">
        <v>163</v>
      </c>
      <c r="BX293" s="10">
        <v>162</v>
      </c>
      <c r="BY293" s="10">
        <v>141</v>
      </c>
      <c r="BZ293" s="10">
        <v>148</v>
      </c>
      <c r="CA293" s="10">
        <v>122</v>
      </c>
      <c r="CB293" s="10">
        <v>72</v>
      </c>
      <c r="CC293" s="10">
        <v>103</v>
      </c>
      <c r="CD293" s="10">
        <v>13.5</v>
      </c>
      <c r="CE293" s="10">
        <v>1671</v>
      </c>
      <c r="CF293" s="10">
        <v>0.84</v>
      </c>
      <c r="CG293" s="10">
        <v>1405</v>
      </c>
      <c r="CH293" s="10">
        <v>170</v>
      </c>
      <c r="CI293" s="10">
        <v>106</v>
      </c>
      <c r="CJ293" s="10">
        <v>40</v>
      </c>
      <c r="CK293" s="10">
        <v>144</v>
      </c>
      <c r="CL293" s="10">
        <v>7</v>
      </c>
      <c r="CM293" s="10">
        <v>66</v>
      </c>
      <c r="CN293" s="10">
        <v>0.17899999999999999</v>
      </c>
      <c r="CO293" s="10">
        <v>78</v>
      </c>
      <c r="CP293" s="10">
        <v>57</v>
      </c>
      <c r="CQ293" s="10">
        <v>66</v>
      </c>
      <c r="CR293" s="10">
        <v>8</v>
      </c>
      <c r="CS293" s="10">
        <v>12.1</v>
      </c>
      <c r="CT293" s="9" t="s">
        <v>349</v>
      </c>
      <c r="CU293" s="10"/>
      <c r="CV293" s="10"/>
      <c r="CW293" s="10"/>
      <c r="CX293" t="e">
        <f>INDEX('Data_Price '!AG$2:AG$1266,MATCH(Data!$DN293,'Data_Price '!$AT$2:$AT$1266,0))</f>
        <v>#N/A</v>
      </c>
      <c r="CY293" t="e">
        <f>INDEX('Data_Price '!AH$2:AH$1266,MATCH(Data!$DN293,'Data_Price '!$AT$2:$AT$1266,0))</f>
        <v>#N/A</v>
      </c>
      <c r="CZ293" t="e">
        <f>INDEX('Data_Price '!AI$2:AI$1266,MATCH(Data!$DN293,'Data_Price '!$AT$2:$AT$1266,0))</f>
        <v>#N/A</v>
      </c>
      <c r="DA293" t="e">
        <f>INDEX('Data_Price '!AJ$2:AJ$1266,MATCH(Data!$DN293,'Data_Price '!$AT$2:$AT$1266,0))</f>
        <v>#N/A</v>
      </c>
      <c r="DB293" t="e">
        <f>INDEX('Data_Price '!AK$2:AK$1266,MATCH(Data!$DN293,'Data_Price '!$AT$2:$AT$1266,0))</f>
        <v>#N/A</v>
      </c>
      <c r="DC293" t="e">
        <f>INDEX('Data_Price '!AL$2:AL$1266,MATCH(Data!$DN293,'Data_Price '!$AT$2:$AT$1266,0))</f>
        <v>#N/A</v>
      </c>
      <c r="DD293" t="e">
        <f>INDEX('Data_Price '!AM$2:AM$1266,MATCH(Data!$DN293,'Data_Price '!$AT$2:$AT$1266,0))</f>
        <v>#N/A</v>
      </c>
      <c r="DE293" t="e">
        <f>INDEX('Data_Price '!AN$2:AN$1266,MATCH(Data!$DN293,'Data_Price '!$AT$2:$AT$1266,0))</f>
        <v>#N/A</v>
      </c>
      <c r="DF293" t="e">
        <f>INDEX('Data_Price '!AO$2:AO$1266,MATCH(Data!$DN293,'Data_Price '!$AT$2:$AT$1266,0))</f>
        <v>#N/A</v>
      </c>
      <c r="DG293" t="e">
        <f>INDEX('Data_Price '!AP$2:AP$1266,MATCH(Data!$DN293,'Data_Price '!$AT$2:$AT$1266,0))</f>
        <v>#N/A</v>
      </c>
      <c r="DH293" t="e">
        <f>INDEX('Data_Price '!AQ$2:AQ$1266,MATCH(Data!$DN293,'Data_Price '!$AT$2:$AT$1266,0))</f>
        <v>#N/A</v>
      </c>
      <c r="DI293" t="e">
        <f>INDEX('Data_Price '!AR$2:AR$1266,MATCH(Data!$DN293,'Data_Price '!$AT$2:$AT$1266,0))</f>
        <v>#N/A</v>
      </c>
      <c r="DJ293" s="89" t="e">
        <f t="shared" si="180"/>
        <v>#N/A</v>
      </c>
      <c r="DK293" s="89" t="e">
        <f t="shared" si="181"/>
        <v>#N/A</v>
      </c>
      <c r="DL293" s="89" t="e">
        <f t="shared" si="182"/>
        <v>#N/A</v>
      </c>
      <c r="DM293" s="219" t="str">
        <f t="shared" si="183"/>
        <v>Laser SC Orea</v>
      </c>
      <c r="DN293" s="89" t="str">
        <f t="shared" si="184"/>
        <v xml:space="preserve"> StöckliLaser SC Orea163 Unisex</v>
      </c>
      <c r="DO293" s="221"/>
    </row>
    <row r="294" spans="2:119" ht="15.6" customHeight="1">
      <c r="B294" s="219" t="b">
        <f t="array" ref="B294">IF(OR(ISERROR(K294:P294)),FALSE,TRUE)</f>
        <v>1</v>
      </c>
      <c r="C294" s="43" t="b">
        <f>OR(BR294=Driver!$G$50,Data!BR330=Driver!$H$50)</f>
        <v>1</v>
      </c>
      <c r="D294" s="43" t="b">
        <f>OR(BV294=Driver!$G$51,BV294=Driver!$H$51)</f>
        <v>1</v>
      </c>
      <c r="E294" s="43" t="b">
        <f>AND(BX294&gt;Driver!$F$54,BX294&lt;Driver!$G$54)</f>
        <v>0</v>
      </c>
      <c r="F294" s="43" t="b">
        <f>CL294&gt;Driver!$F$56</f>
        <v>1</v>
      </c>
      <c r="G294" s="43" t="b">
        <f>AND(CB294&gt;Driver!$F$55,CB294&lt;Driver!$G$55)</f>
        <v>0</v>
      </c>
      <c r="H294" s="43" t="b">
        <f t="shared" si="148"/>
        <v>0</v>
      </c>
      <c r="I294" s="43">
        <f t="shared" si="149"/>
        <v>0</v>
      </c>
      <c r="J294" s="43" t="b">
        <f t="array" ref="J294">NOT(OR(($H$9:$H$1273=TRUE)*($I$9:$I$1273&gt;0)*($BT$9:$BT$1273=BT294)*($K$9:$K$1273&gt;K294)))</f>
        <v>1</v>
      </c>
      <c r="K294" s="72">
        <f t="shared" si="150"/>
        <v>0.92837418688065931</v>
      </c>
      <c r="L294" s="72">
        <f t="shared" si="151"/>
        <v>0.92475361281182789</v>
      </c>
      <c r="M294" s="72">
        <f t="shared" si="152"/>
        <v>0.93199476094949063</v>
      </c>
      <c r="N294" s="72">
        <f t="shared" si="153"/>
        <v>0.96996070369916754</v>
      </c>
      <c r="O294" s="72">
        <f t="shared" si="154"/>
        <v>0.83649298843200481</v>
      </c>
      <c r="P294" s="72">
        <f t="shared" si="155"/>
        <v>0.98953059071729954</v>
      </c>
      <c r="Q294" s="72"/>
      <c r="R294" s="72"/>
      <c r="S294" s="72">
        <f t="shared" si="156"/>
        <v>0.49629109611882649</v>
      </c>
      <c r="T294" s="72">
        <f t="shared" si="157"/>
        <v>0.45734409941461029</v>
      </c>
      <c r="U294" s="72">
        <f t="shared" si="158"/>
        <v>0.87591595836419556</v>
      </c>
      <c r="V294" s="72">
        <f t="shared" si="159"/>
        <v>0.52274937683958567</v>
      </c>
      <c r="W294" s="72">
        <f t="shared" si="160"/>
        <v>0.78759973404255312</v>
      </c>
      <c r="X294" s="72">
        <f t="shared" si="161"/>
        <v>7.5246387188172115E-2</v>
      </c>
      <c r="Y294" s="72">
        <f t="shared" si="162"/>
        <v>6.8005239050509342E-2</v>
      </c>
      <c r="Z294" s="72">
        <f t="shared" si="163"/>
        <v>3.0039296300832422E-2</v>
      </c>
      <c r="AA294" s="72">
        <f t="shared" si="164"/>
        <v>0.16350701156799519</v>
      </c>
      <c r="AB294" s="72">
        <f t="shared" si="165"/>
        <v>1.0469409282700431E-2</v>
      </c>
      <c r="AC294" s="72"/>
      <c r="AD294" s="72"/>
      <c r="AE294" s="72">
        <f t="shared" si="166"/>
        <v>0.50370890388117351</v>
      </c>
      <c r="AF294" s="72">
        <f t="shared" si="167"/>
        <v>0.54265590058538971</v>
      </c>
      <c r="AG294" s="72">
        <f t="shared" si="168"/>
        <v>0.1240840416358045</v>
      </c>
      <c r="AH294" s="72">
        <f t="shared" si="169"/>
        <v>0.47725062316041428</v>
      </c>
      <c r="AI294" s="72">
        <f t="shared" si="170"/>
        <v>0.21240026595744682</v>
      </c>
      <c r="AJ294" s="72">
        <f>(AV294-Driver!$K$179)/(Driver!$L$179-Driver!$K$179)</f>
        <v>0.32946579647087254</v>
      </c>
      <c r="AK294" s="72">
        <f>(AW294-Driver!$K$180)/(Driver!$L$180-Driver!$K$180)</f>
        <v>0.23472870465738679</v>
      </c>
      <c r="AL294" s="72">
        <f>(AX294-Driver!$K$181)/(Driver!$L$181-Driver!$K$181)</f>
        <v>0.1317270600139126</v>
      </c>
      <c r="AM294" s="72">
        <f>(AY294-Driver!$K$182)/(Driver!$L$182-Driver!$K$182)</f>
        <v>0.28387800952905118</v>
      </c>
      <c r="AN294" s="72">
        <f>(AZ294-Driver!$K$183)/(Driver!$L$183-Driver!$K$183)</f>
        <v>0.24374999999999999</v>
      </c>
      <c r="AO294" s="72"/>
      <c r="AP294" s="72"/>
      <c r="AQ294" s="72">
        <f>(BC294-Driver!$K$188)/(Driver!$L$188-Driver!$K$188)</f>
        <v>0.11629109611882647</v>
      </c>
      <c r="AR294" s="72">
        <f>MIN((BD294-Driver!$K$189)/(Driver!$L$189-Driver!$K$189),100%)</f>
        <v>7.344099414610338E-3</v>
      </c>
      <c r="AS294" s="72">
        <f>(BE294-Driver!$K$190)/(Driver!$L$190-Driver!$K$190)</f>
        <v>0.38591595836419551</v>
      </c>
      <c r="AT294" s="72">
        <f>(BF294-Driver!$K$191)/(Driver!$L$191-Driver!$K$191)</f>
        <v>3.2749376839585745E-2</v>
      </c>
      <c r="AU294" s="72">
        <f>(BG294-Driver!$K$192)/(Driver!$L$192-Driver!$K$192)</f>
        <v>3.7599734042553186E-2</v>
      </c>
      <c r="AV294" s="70">
        <f t="shared" si="171"/>
        <v>6.9342694342694333</v>
      </c>
      <c r="AW294" s="70">
        <f t="shared" si="172"/>
        <v>24.74828479822952</v>
      </c>
      <c r="AX294" s="70">
        <f t="shared" si="173"/>
        <v>2.1855435401252135</v>
      </c>
      <c r="AY294" s="70">
        <f>IFERROR(Driver!$K$19/Data!BH294/Data!BI294*Data!BK294*Data!BL294,"")</f>
        <v>0.34755138468658725</v>
      </c>
      <c r="AZ294" s="70">
        <f t="shared" si="174"/>
        <v>22.215189873417721</v>
      </c>
      <c r="BA294" s="70"/>
      <c r="BB294" s="70"/>
      <c r="BC294" s="70">
        <f t="shared" si="175"/>
        <v>60.320999999419676</v>
      </c>
      <c r="BD294" s="70">
        <f t="shared" si="176"/>
        <v>2.3707626693165973</v>
      </c>
      <c r="BE294" s="70">
        <f t="shared" si="177"/>
        <v>0.38602550404541303</v>
      </c>
      <c r="BF294" s="70">
        <f t="shared" si="178"/>
        <v>3.6988120366374391</v>
      </c>
      <c r="BG294" s="70">
        <f t="shared" si="179"/>
        <v>0.14237657912234042</v>
      </c>
      <c r="BH294" s="67">
        <f>MAX((CE294-Driver!$F$200)/(Driver!$G$200-Driver!$F$200)*$BI$1,1)</f>
        <v>2.1855435401252135</v>
      </c>
      <c r="BI294" s="67">
        <f>MAX($BI$1*(BY294-Driver!$F$201)/(Driver!$G$201-Driver!$F$201),1)</f>
        <v>7.4050632911392409</v>
      </c>
      <c r="BJ294" s="67">
        <f>(CB294-Driver!$F$206)/(Driver!$G$206-Driver!$F$206)*$BI$1</f>
        <v>4.6031746031746028</v>
      </c>
      <c r="BK294" s="67">
        <f>(CD294-Driver!$F$203)/(Driver!$G$203-Driver!$F$203)*$BI$1</f>
        <v>5.8256880733944971</v>
      </c>
      <c r="BL294" s="67">
        <f>MAX((CR294-Driver!$F$202)/(Driver!$G$202-Driver!$F$202)*$BI$1,1)</f>
        <v>4.8275862068965516</v>
      </c>
      <c r="BM294" s="67">
        <f>MAX((CH294-Driver!$F$204)/(Driver!$G$204-Driver!$F$204)*$BI$1,1)</f>
        <v>6.0256410256410255</v>
      </c>
      <c r="BN294" s="67">
        <f>(CI294-Driver!$F$205)/(Driver!$G$205-Driver!$F$205)*$BI$1</f>
        <v>3</v>
      </c>
      <c r="BO294" s="67">
        <f>(CK294-Driver!$F$207)/(Driver!$G$207-Driver!$F$207)*$BI$1</f>
        <v>2.0062047569803516</v>
      </c>
      <c r="BP294" s="67">
        <f>(CM294-Driver!$F$208)/(Driver!$G$208-Driver!$F$208)*$BI$1</f>
        <v>2.3333333333333335</v>
      </c>
      <c r="BQ294" s="67">
        <f>(CL294-Driver!$F$209)/(Driver!$G$209-Driver!$F$209)*$BI$1</f>
        <v>1.875</v>
      </c>
      <c r="BR294" s="28" t="s">
        <v>155</v>
      </c>
      <c r="BS294" s="8" t="s">
        <v>317</v>
      </c>
      <c r="BT294" s="9" t="s">
        <v>449</v>
      </c>
      <c r="BU294" s="10">
        <v>178</v>
      </c>
      <c r="BV294" s="9" t="s">
        <v>158</v>
      </c>
      <c r="BW294" s="10">
        <v>178</v>
      </c>
      <c r="BX294" s="10">
        <v>176</v>
      </c>
      <c r="BY294" s="10">
        <v>125</v>
      </c>
      <c r="BZ294" s="10">
        <v>149</v>
      </c>
      <c r="CA294" s="10">
        <v>126</v>
      </c>
      <c r="CB294" s="10">
        <v>93</v>
      </c>
      <c r="CC294" s="10">
        <v>110</v>
      </c>
      <c r="CD294" s="10">
        <v>22.1</v>
      </c>
      <c r="CE294" s="10">
        <v>1284</v>
      </c>
      <c r="CF294" s="10">
        <v>1.4</v>
      </c>
      <c r="CG294" s="10">
        <v>1794</v>
      </c>
      <c r="CH294" s="10">
        <v>242</v>
      </c>
      <c r="CI294" s="10">
        <v>84</v>
      </c>
      <c r="CJ294" s="10">
        <v>54</v>
      </c>
      <c r="CK294" s="10">
        <v>304</v>
      </c>
      <c r="CL294" s="10">
        <v>12</v>
      </c>
      <c r="CM294" s="10">
        <v>210</v>
      </c>
      <c r="CN294" s="10">
        <v>0.219</v>
      </c>
      <c r="CO294" s="10">
        <v>138</v>
      </c>
      <c r="CP294" s="10">
        <v>129</v>
      </c>
      <c r="CQ294" s="10">
        <v>166</v>
      </c>
      <c r="CR294" s="10">
        <v>3</v>
      </c>
      <c r="CS294" s="10">
        <v>10.5</v>
      </c>
      <c r="CT294" s="9" t="s">
        <v>185</v>
      </c>
      <c r="CU294" s="9" t="s">
        <v>198</v>
      </c>
      <c r="CV294" s="10"/>
      <c r="CW294" s="10"/>
      <c r="CX294" t="str">
        <f>INDEX('Data_Price '!AG$2:AG$1266,MATCH(Data!$DN294,'Data_Price '!$AT$2:$AT$1266,0))</f>
        <v>Blizzard Zero G 95</v>
      </c>
      <c r="CY294" t="str">
        <f>INDEX('Data_Price '!AH$2:AH$1266,MATCH(Data!$DN294,'Data_Price '!$AT$2:$AT$1266,0))</f>
        <v>eBay - webyshops</v>
      </c>
      <c r="CZ294">
        <f>INDEX('Data_Price '!AI$2:AI$1266,MATCH(Data!$DN294,'Data_Price '!$AT$2:$AT$1266,0))</f>
        <v>559.95000000000005</v>
      </c>
      <c r="DA294" t="str">
        <f>INDEX('Data_Price '!AJ$2:AJ$1266,MATCH(Data!$DN294,'Data_Price '!$AT$2:$AT$1266,0))</f>
        <v>https://tinyurl.com/ydd5fvej</v>
      </c>
      <c r="DB294" t="str">
        <f>INDEX('Data_Price '!AK$2:AK$1266,MATCH(Data!$DN294,'Data_Price '!$AT$2:$AT$1266,0))</f>
        <v>Blizzard Zero G 95</v>
      </c>
      <c r="DC294" t="str">
        <f>INDEX('Data_Price '!AL$2:AL$1266,MATCH(Data!$DN294,'Data_Price '!$AT$2:$AT$1266,0))</f>
        <v>GritrOutdoors</v>
      </c>
      <c r="DD294">
        <f>INDEX('Data_Price '!AM$2:AM$1266,MATCH(Data!$DN294,'Data_Price '!$AT$2:$AT$1266,0))</f>
        <v>559.95000000000005</v>
      </c>
      <c r="DE294" t="str">
        <f>INDEX('Data_Price '!AN$2:AN$1266,MATCH(Data!$DN294,'Data_Price '!$AT$2:$AT$1266,0))</f>
        <v>https://tinyurl.com/ya394sae</v>
      </c>
      <c r="DF294" t="str">
        <f>INDEX('Data_Price '!AO$2:AO$1266,MATCH(Data!$DN294,'Data_Price '!$AT$2:$AT$1266,0))</f>
        <v>Blizzard Zero G 95 Skis Men's 2022</v>
      </c>
      <c r="DG294" t="str">
        <f>INDEX('Data_Price '!AP$2:AP$1266,MATCH(Data!$DN294,'Data_Price '!$AT$2:$AT$1266,0))</f>
        <v>Level Nine Sports</v>
      </c>
      <c r="DH294">
        <f>INDEX('Data_Price '!AQ$2:AQ$1266,MATCH(Data!$DN294,'Data_Price '!$AT$2:$AT$1266,0))</f>
        <v>559.95000000000005</v>
      </c>
      <c r="DI294" t="str">
        <f>INDEX('Data_Price '!AR$2:AR$1266,MATCH(Data!$DN294,'Data_Price '!$AT$2:$AT$1266,0))</f>
        <v>https://tinyurl.com/y794nhf3</v>
      </c>
      <c r="DJ294" s="89" t="str">
        <f t="shared" si="180"/>
        <v>https://tinyurl.com/ydd5fvej</v>
      </c>
      <c r="DK294" s="89" t="str">
        <f t="shared" si="181"/>
        <v>https://tinyurl.com/ya394sae</v>
      </c>
      <c r="DL294" s="89" t="str">
        <f t="shared" si="182"/>
        <v>https://tinyurl.com/y794nhf3</v>
      </c>
      <c r="DM294" s="219" t="str">
        <f t="shared" si="183"/>
        <v>Zero G 95</v>
      </c>
      <c r="DN294" s="89" t="str">
        <f t="shared" si="184"/>
        <v xml:space="preserve"> BlizzardZero G 95178 Unisex</v>
      </c>
      <c r="DO294" s="221" t="s">
        <v>450</v>
      </c>
    </row>
    <row r="295" spans="2:119" ht="15.6" customHeight="1">
      <c r="B295" s="219" t="b">
        <f t="array" ref="B295">IF(OR(ISERROR(K295:P295)),FALSE,TRUE)</f>
        <v>1</v>
      </c>
      <c r="C295" s="43" t="b">
        <f>OR(BR295=Driver!$G$50,Data!BR779=Driver!$H$50)</f>
        <v>1</v>
      </c>
      <c r="D295" s="43" t="b">
        <f>OR(BV295=Driver!$G$51,BV295=Driver!$H$51)</f>
        <v>1</v>
      </c>
      <c r="E295" s="43" t="b">
        <f>AND(BX295&gt;Driver!$F$54,BX295&lt;Driver!$G$54)</f>
        <v>0</v>
      </c>
      <c r="F295" s="43" t="b">
        <f>CL295&gt;Driver!$F$56</f>
        <v>1</v>
      </c>
      <c r="G295" s="43" t="b">
        <f>AND(CB295&gt;Driver!$F$55,CB295&lt;Driver!$G$55)</f>
        <v>0</v>
      </c>
      <c r="H295" s="43" t="b">
        <f t="shared" si="148"/>
        <v>0</v>
      </c>
      <c r="I295" s="43">
        <f t="shared" si="149"/>
        <v>0</v>
      </c>
      <c r="J295" s="43" t="b">
        <f t="array" ref="J295">NOT(OR(($H$9:$H$1273=TRUE)*($I$9:$I$1273&gt;0)*($BT$9:$BT$1273=BT295)*($K$9:$K$1273&gt;K295)))</f>
        <v>1</v>
      </c>
      <c r="K295" s="72">
        <f t="shared" si="150"/>
        <v>0.81598605420149806</v>
      </c>
      <c r="L295" s="72">
        <f t="shared" si="151"/>
        <v>0.86623824924602411</v>
      </c>
      <c r="M295" s="72">
        <f t="shared" si="152"/>
        <v>0.76573385915697201</v>
      </c>
      <c r="N295" s="72">
        <f t="shared" si="153"/>
        <v>0.66135386122778328</v>
      </c>
      <c r="O295" s="72">
        <f t="shared" si="154"/>
        <v>0.64290281676435379</v>
      </c>
      <c r="P295" s="72">
        <f t="shared" si="155"/>
        <v>0.99294489947877884</v>
      </c>
      <c r="Q295" s="72"/>
      <c r="R295" s="72"/>
      <c r="S295" s="72">
        <f t="shared" si="156"/>
        <v>0.46265925841508426</v>
      </c>
      <c r="T295" s="72">
        <f t="shared" si="157"/>
        <v>0.50753744529786515</v>
      </c>
      <c r="U295" s="72">
        <f t="shared" si="158"/>
        <v>0.6036022577817961</v>
      </c>
      <c r="V295" s="72">
        <f t="shared" si="159"/>
        <v>0.50727325936806866</v>
      </c>
      <c r="W295" s="72">
        <f t="shared" si="160"/>
        <v>0.89366972477064222</v>
      </c>
      <c r="X295" s="72">
        <f t="shared" si="161"/>
        <v>0.13376175075397592</v>
      </c>
      <c r="Y295" s="72">
        <f t="shared" si="162"/>
        <v>0.23426614084302802</v>
      </c>
      <c r="Z295" s="72">
        <f t="shared" si="163"/>
        <v>0.33864613877221672</v>
      </c>
      <c r="AA295" s="72">
        <f t="shared" si="164"/>
        <v>0.35709718323564621</v>
      </c>
      <c r="AB295" s="72">
        <f t="shared" si="165"/>
        <v>7.0551005212211582E-3</v>
      </c>
      <c r="AC295" s="72"/>
      <c r="AD295" s="72"/>
      <c r="AE295" s="72">
        <f t="shared" si="166"/>
        <v>0.53734074158491574</v>
      </c>
      <c r="AF295" s="72">
        <f t="shared" si="167"/>
        <v>0.4924625547021349</v>
      </c>
      <c r="AG295" s="72">
        <f t="shared" si="168"/>
        <v>0.3963977422182039</v>
      </c>
      <c r="AH295" s="72">
        <f t="shared" si="169"/>
        <v>0.49272674063193134</v>
      </c>
      <c r="AI295" s="72">
        <f t="shared" si="170"/>
        <v>0.10633027522935781</v>
      </c>
      <c r="AJ295" s="72">
        <f>(AV295-Driver!$K$179)/(Driver!$L$179-Driver!$K$179)</f>
        <v>0.1204576585287245</v>
      </c>
      <c r="AK295" s="72">
        <f>(AW295-Driver!$K$180)/(Driver!$L$180-Driver!$K$180)</f>
        <v>0.27718374595270767</v>
      </c>
      <c r="AL295" s="72">
        <f>(AX295-Driver!$K$181)/(Driver!$L$181-Driver!$K$181)</f>
        <v>0.44033390248529691</v>
      </c>
      <c r="AM295" s="72">
        <f>(AY295-Driver!$K$182)/(Driver!$L$182-Driver!$K$182)</f>
        <v>9.0287837861400141E-2</v>
      </c>
      <c r="AN295" s="72">
        <f>(AZ295-Driver!$K$183)/(Driver!$L$183-Driver!$K$183)</f>
        <v>0.26127450980392158</v>
      </c>
      <c r="AO295" s="72"/>
      <c r="AP295" s="72"/>
      <c r="AQ295" s="72">
        <f>(BC295-Driver!$K$188)/(Driver!$L$188-Driver!$K$188)</f>
        <v>8.2659258415084286E-2</v>
      </c>
      <c r="AR295" s="72">
        <f>MIN((BD295-Driver!$K$189)/(Driver!$L$189-Driver!$K$189),100%)</f>
        <v>5.7537445297865163E-2</v>
      </c>
      <c r="AS295" s="72">
        <f>(BE295-Driver!$K$190)/(Driver!$L$190-Driver!$K$190)</f>
        <v>0.11360225778179611</v>
      </c>
      <c r="AT295" s="72">
        <f>(BF295-Driver!$K$191)/(Driver!$L$191-Driver!$K$191)</f>
        <v>1.7273259368068665E-2</v>
      </c>
      <c r="AU295" s="72">
        <f>(BG295-Driver!$K$192)/(Driver!$L$192-Driver!$K$192)</f>
        <v>0.14366972477064219</v>
      </c>
      <c r="AV295" s="70">
        <f t="shared" si="171"/>
        <v>2.5352733686067017</v>
      </c>
      <c r="AW295" s="70">
        <f t="shared" si="172"/>
        <v>28.885904762393622</v>
      </c>
      <c r="AX295" s="70">
        <f t="shared" si="173"/>
        <v>4.9630051223676723</v>
      </c>
      <c r="AY295" s="70">
        <f>IFERROR(Driver!$K$19/Data!BH295/Data!BI295*Data!BK295*Data!BL295,"")</f>
        <v>0.11053925283309556</v>
      </c>
      <c r="AZ295" s="70">
        <f t="shared" si="174"/>
        <v>23.812360387192854</v>
      </c>
      <c r="BA295" s="70"/>
      <c r="BB295" s="70"/>
      <c r="BC295" s="70">
        <f t="shared" si="175"/>
        <v>42.875931977746035</v>
      </c>
      <c r="BD295" s="70">
        <f t="shared" si="176"/>
        <v>6.8127848426384432</v>
      </c>
      <c r="BE295" s="70">
        <f t="shared" si="177"/>
        <v>0.11376038116217628</v>
      </c>
      <c r="BF295" s="70">
        <f t="shared" si="178"/>
        <v>1.9508932941082779</v>
      </c>
      <c r="BG295" s="70">
        <f t="shared" si="179"/>
        <v>0.54402522935779818</v>
      </c>
      <c r="BH295" s="67">
        <f>MAX((CE295-Driver!$F$200)/(Driver!$G$200-Driver!$F$200)*$BI$1,1)</f>
        <v>4.9630051223676723</v>
      </c>
      <c r="BI295" s="67">
        <f>MAX($BI$1*(BY295-Driver!$F$201)/(Driver!$G$201-Driver!$F$201),1)</f>
        <v>7.7848101265822782</v>
      </c>
      <c r="BJ295" s="67">
        <f>(CB295-Driver!$F$206)/(Driver!$G$206-Driver!$F$206)*$BI$1</f>
        <v>3.6507936507936507</v>
      </c>
      <c r="BK295" s="67">
        <f>(CD295-Driver!$F$203)/(Driver!$G$203-Driver!$F$203)*$BI$1</f>
        <v>3.4403669724770634</v>
      </c>
      <c r="BL295" s="67">
        <f>MAX((CR295-Driver!$F$202)/(Driver!$G$202-Driver!$F$202)*$BI$1,1)</f>
        <v>6.2068965517241379</v>
      </c>
      <c r="BM295" s="67">
        <f>MAX((CH295-Driver!$F$204)/(Driver!$G$204-Driver!$F$204)*$BI$1,1)</f>
        <v>2.7777777777777777</v>
      </c>
      <c r="BN295" s="67">
        <f>(CI295-Driver!$F$205)/(Driver!$G$205-Driver!$F$205)*$BI$1</f>
        <v>3.0588235294117649</v>
      </c>
      <c r="BO295" s="67">
        <f>(CK295-Driver!$F$207)/(Driver!$G$207-Driver!$F$207)*$BI$1</f>
        <v>0.82730093071354704</v>
      </c>
      <c r="BP295" s="67">
        <f>(CM295-Driver!$F$208)/(Driver!$G$208-Driver!$F$208)*$BI$1</f>
        <v>2.2222222222222223</v>
      </c>
      <c r="BQ295" s="67">
        <f>(CL295-Driver!$F$209)/(Driver!$G$209-Driver!$F$209)*$BI$1</f>
        <v>7.5</v>
      </c>
      <c r="BR295" s="28" t="s">
        <v>155</v>
      </c>
      <c r="BS295" s="8" t="s">
        <v>262</v>
      </c>
      <c r="BT295" s="9" t="s">
        <v>496</v>
      </c>
      <c r="BU295" s="10">
        <v>169</v>
      </c>
      <c r="BV295" s="9" t="s">
        <v>158</v>
      </c>
      <c r="BW295" s="10">
        <v>169</v>
      </c>
      <c r="BX295" s="10">
        <v>169.7</v>
      </c>
      <c r="BY295" s="10">
        <v>131</v>
      </c>
      <c r="BZ295" s="10">
        <v>137</v>
      </c>
      <c r="CA295" s="10">
        <v>116</v>
      </c>
      <c r="CB295" s="10">
        <v>87</v>
      </c>
      <c r="CC295" s="10">
        <v>110</v>
      </c>
      <c r="CD295" s="10">
        <v>16.899999999999999</v>
      </c>
      <c r="CE295" s="10">
        <v>1772</v>
      </c>
      <c r="CF295" s="10">
        <v>0.94</v>
      </c>
      <c r="CG295" s="10">
        <v>1663</v>
      </c>
      <c r="CH295" s="10">
        <v>166</v>
      </c>
      <c r="CI295" s="10">
        <v>85</v>
      </c>
      <c r="CJ295" s="10">
        <v>49</v>
      </c>
      <c r="CK295" s="10">
        <v>190</v>
      </c>
      <c r="CL295" s="10">
        <v>48</v>
      </c>
      <c r="CM295" s="10">
        <v>200</v>
      </c>
      <c r="CN295" s="10">
        <v>0.96299999999999997</v>
      </c>
      <c r="CO295" s="10">
        <v>163</v>
      </c>
      <c r="CP295" s="10">
        <v>167</v>
      </c>
      <c r="CQ295" s="10">
        <v>26</v>
      </c>
      <c r="CR295" s="10">
        <v>7</v>
      </c>
      <c r="CS295" s="10">
        <v>4</v>
      </c>
      <c r="CT295" s="9" t="s">
        <v>184</v>
      </c>
      <c r="CU295" s="10"/>
      <c r="CV295" s="10"/>
      <c r="CW295" s="10"/>
      <c r="CX295" t="e">
        <f>INDEX('Data_Price '!AG$2:AG$1266,MATCH(Data!$DN295,'Data_Price '!$AT$2:$AT$1266,0))</f>
        <v>#N/A</v>
      </c>
      <c r="CY295" t="e">
        <f>INDEX('Data_Price '!AH$2:AH$1266,MATCH(Data!$DN295,'Data_Price '!$AT$2:$AT$1266,0))</f>
        <v>#N/A</v>
      </c>
      <c r="CZ295" t="e">
        <f>INDEX('Data_Price '!AI$2:AI$1266,MATCH(Data!$DN295,'Data_Price '!$AT$2:$AT$1266,0))</f>
        <v>#N/A</v>
      </c>
      <c r="DA295" t="e">
        <f>INDEX('Data_Price '!AJ$2:AJ$1266,MATCH(Data!$DN295,'Data_Price '!$AT$2:$AT$1266,0))</f>
        <v>#N/A</v>
      </c>
      <c r="DB295" t="e">
        <f>INDEX('Data_Price '!AK$2:AK$1266,MATCH(Data!$DN295,'Data_Price '!$AT$2:$AT$1266,0))</f>
        <v>#N/A</v>
      </c>
      <c r="DC295" t="e">
        <f>INDEX('Data_Price '!AL$2:AL$1266,MATCH(Data!$DN295,'Data_Price '!$AT$2:$AT$1266,0))</f>
        <v>#N/A</v>
      </c>
      <c r="DD295" t="e">
        <f>INDEX('Data_Price '!AM$2:AM$1266,MATCH(Data!$DN295,'Data_Price '!$AT$2:$AT$1266,0))</f>
        <v>#N/A</v>
      </c>
      <c r="DE295" t="e">
        <f>INDEX('Data_Price '!AN$2:AN$1266,MATCH(Data!$DN295,'Data_Price '!$AT$2:$AT$1266,0))</f>
        <v>#N/A</v>
      </c>
      <c r="DF295" t="e">
        <f>INDEX('Data_Price '!AO$2:AO$1266,MATCH(Data!$DN295,'Data_Price '!$AT$2:$AT$1266,0))</f>
        <v>#N/A</v>
      </c>
      <c r="DG295" t="e">
        <f>INDEX('Data_Price '!AP$2:AP$1266,MATCH(Data!$DN295,'Data_Price '!$AT$2:$AT$1266,0))</f>
        <v>#N/A</v>
      </c>
      <c r="DH295" t="e">
        <f>INDEX('Data_Price '!AQ$2:AQ$1266,MATCH(Data!$DN295,'Data_Price '!$AT$2:$AT$1266,0))</f>
        <v>#N/A</v>
      </c>
      <c r="DI295" t="e">
        <f>INDEX('Data_Price '!AR$2:AR$1266,MATCH(Data!$DN295,'Data_Price '!$AT$2:$AT$1266,0))</f>
        <v>#N/A</v>
      </c>
      <c r="DJ295" s="89" t="e">
        <f t="shared" si="180"/>
        <v>#N/A</v>
      </c>
      <c r="DK295" s="89" t="e">
        <f t="shared" si="181"/>
        <v>#N/A</v>
      </c>
      <c r="DL295" s="89" t="e">
        <f t="shared" si="182"/>
        <v>#N/A</v>
      </c>
      <c r="DM295" s="219" t="str">
        <f t="shared" si="183"/>
        <v>Sight</v>
      </c>
      <c r="DN295" s="89" t="str">
        <f t="shared" si="184"/>
        <v xml:space="preserve"> K2Sight169 Unisex</v>
      </c>
      <c r="DO295" s="221" t="s">
        <v>497</v>
      </c>
    </row>
    <row r="296" spans="2:119" ht="15.6" customHeight="1">
      <c r="B296" s="219" t="b">
        <f t="array" ref="B296">IF(OR(ISERROR(K296:P296)),FALSE,TRUE)</f>
        <v>1</v>
      </c>
      <c r="C296" s="43" t="b">
        <f>OR(BR296=Driver!$G$50,Data!BR412=Driver!$H$50)</f>
        <v>1</v>
      </c>
      <c r="D296" s="43" t="b">
        <f>OR(BV296=Driver!$G$51,BV296=Driver!$H$51)</f>
        <v>1</v>
      </c>
      <c r="E296" s="43" t="b">
        <f>AND(BX296&gt;Driver!$F$54,BX296&lt;Driver!$G$54)</f>
        <v>0</v>
      </c>
      <c r="F296" s="43" t="b">
        <f>CL296&gt;Driver!$F$56</f>
        <v>1</v>
      </c>
      <c r="G296" s="43" t="b">
        <f>AND(CB296&gt;Driver!$F$55,CB296&lt;Driver!$G$55)</f>
        <v>0</v>
      </c>
      <c r="H296" s="43" t="b">
        <f t="shared" si="148"/>
        <v>0</v>
      </c>
      <c r="I296" s="43">
        <f t="shared" si="149"/>
        <v>0</v>
      </c>
      <c r="J296" s="43" t="b">
        <f t="array" ref="J296">NOT(OR(($H$9:$H$1273=TRUE)*($I$9:$I$1273&gt;0)*($BT$9:$BT$1273=BT296)*($K$9:$K$1273&gt;K296)))</f>
        <v>1</v>
      </c>
      <c r="K296" s="72">
        <f t="shared" si="150"/>
        <v>0.94731274441101543</v>
      </c>
      <c r="L296" s="72">
        <f t="shared" si="151"/>
        <v>0.9726760866483285</v>
      </c>
      <c r="M296" s="72">
        <f t="shared" si="152"/>
        <v>0.92194940217370236</v>
      </c>
      <c r="N296" s="72">
        <f t="shared" si="153"/>
        <v>0.9946239554540528</v>
      </c>
      <c r="O296" s="72">
        <f t="shared" si="154"/>
        <v>0.80465117668962405</v>
      </c>
      <c r="P296" s="72">
        <f t="shared" si="155"/>
        <v>0.96657307437743034</v>
      </c>
      <c r="Q296" s="72"/>
      <c r="R296" s="72"/>
      <c r="S296" s="72">
        <f t="shared" si="156"/>
        <v>0.44474709171333116</v>
      </c>
      <c r="T296" s="72">
        <f t="shared" si="157"/>
        <v>0.45615668393737607</v>
      </c>
      <c r="U296" s="72">
        <f t="shared" si="158"/>
        <v>0.96121797629831685</v>
      </c>
      <c r="V296" s="72">
        <f t="shared" si="159"/>
        <v>0.53298623692684532</v>
      </c>
      <c r="W296" s="72">
        <f t="shared" si="160"/>
        <v>0.82823122529644266</v>
      </c>
      <c r="X296" s="72">
        <f t="shared" si="161"/>
        <v>2.732391335167153E-2</v>
      </c>
      <c r="Y296" s="72">
        <f t="shared" si="162"/>
        <v>7.8050597826297641E-2</v>
      </c>
      <c r="Z296" s="72">
        <f t="shared" si="163"/>
        <v>5.3760445459472145E-3</v>
      </c>
      <c r="AA296" s="72">
        <f t="shared" si="164"/>
        <v>0.19534882331037601</v>
      </c>
      <c r="AB296" s="72">
        <f t="shared" si="165"/>
        <v>3.3426925622569714E-2</v>
      </c>
      <c r="AC296" s="72"/>
      <c r="AD296" s="72"/>
      <c r="AE296" s="72">
        <f t="shared" si="166"/>
        <v>0.55525290828666884</v>
      </c>
      <c r="AF296" s="72">
        <f t="shared" si="167"/>
        <v>0.54384331606262393</v>
      </c>
      <c r="AG296" s="72">
        <f t="shared" si="168"/>
        <v>3.8782023701683155E-2</v>
      </c>
      <c r="AH296" s="72">
        <f t="shared" si="169"/>
        <v>0.46701376307315468</v>
      </c>
      <c r="AI296" s="72">
        <f t="shared" si="170"/>
        <v>0.17176877470355734</v>
      </c>
      <c r="AJ296" s="72">
        <f>(AV296-Driver!$K$179)/(Driver!$L$179-Driver!$K$179)</f>
        <v>0.2268954959310289</v>
      </c>
      <c r="AK296" s="72">
        <f>(AW296-Driver!$K$180)/(Driver!$L$180-Driver!$K$180)</f>
        <v>0.21058227276388941</v>
      </c>
      <c r="AL296" s="72">
        <f>(AX296-Driver!$K$181)/(Driver!$L$181-Driver!$K$181)</f>
        <v>0.10706380825902739</v>
      </c>
      <c r="AM296" s="72">
        <f>(AY296-Driver!$K$182)/(Driver!$L$182-Driver!$K$182)</f>
        <v>0.25203619778667036</v>
      </c>
      <c r="AN296" s="72">
        <f>(AZ296-Driver!$K$183)/(Driver!$L$183-Driver!$K$183)</f>
        <v>0.22079248366013071</v>
      </c>
      <c r="AO296" s="72"/>
      <c r="AP296" s="72"/>
      <c r="AQ296" s="72">
        <f>(BC296-Driver!$K$188)/(Driver!$L$188-Driver!$K$188)</f>
        <v>6.4747091713331151E-2</v>
      </c>
      <c r="AR296" s="72">
        <f>MIN((BD296-Driver!$K$189)/(Driver!$L$189-Driver!$K$189),100%)</f>
        <v>6.1566839373761451E-3</v>
      </c>
      <c r="AS296" s="72">
        <f>(BE296-Driver!$K$190)/(Driver!$L$190-Driver!$K$190)</f>
        <v>0.47121797629831685</v>
      </c>
      <c r="AT296" s="72">
        <f>(BF296-Driver!$K$191)/(Driver!$L$191-Driver!$K$191)</f>
        <v>4.2986236926845306E-2</v>
      </c>
      <c r="AU296" s="72">
        <f>(BG296-Driver!$K$192)/(Driver!$L$192-Driver!$K$192)</f>
        <v>7.8231225296442677E-2</v>
      </c>
      <c r="AV296" s="70">
        <f t="shared" si="171"/>
        <v>4.7754714421381088</v>
      </c>
      <c r="AW296" s="70">
        <f t="shared" si="172"/>
        <v>22.3950010510559</v>
      </c>
      <c r="AX296" s="70">
        <f t="shared" si="173"/>
        <v>1.9635742743312465</v>
      </c>
      <c r="AY296" s="70">
        <f>IFERROR(Driver!$K$19/Data!BH296/Data!BI296*Data!BK296*Data!BL296,"")</f>
        <v>0.30856750643425801</v>
      </c>
      <c r="AZ296" s="70">
        <f t="shared" si="174"/>
        <v>20.122859270290395</v>
      </c>
      <c r="BA296" s="70"/>
      <c r="BB296" s="70"/>
      <c r="BC296" s="70">
        <f t="shared" si="175"/>
        <v>33.584766586183989</v>
      </c>
      <c r="BD296" s="70">
        <f t="shared" si="176"/>
        <v>2.2656785035570981</v>
      </c>
      <c r="BE296" s="70">
        <f t="shared" si="177"/>
        <v>0.47131230505965005</v>
      </c>
      <c r="BF296" s="70">
        <f t="shared" si="178"/>
        <v>4.8549934654810176</v>
      </c>
      <c r="BG296" s="70">
        <f t="shared" si="179"/>
        <v>0.29623332509881423</v>
      </c>
      <c r="BH296" s="67">
        <f>MAX((CE296-Driver!$F$200)/(Driver!$G$200-Driver!$F$200)*$BI$1,1)</f>
        <v>1.9635742743312465</v>
      </c>
      <c r="BI296" s="67">
        <f>MAX($BI$1*(BY296-Driver!$F$201)/(Driver!$G$201-Driver!$F$201),1)</f>
        <v>7.2784810126582276</v>
      </c>
      <c r="BJ296" s="67">
        <f>(CB296-Driver!$F$206)/(Driver!$G$206-Driver!$F$206)*$BI$1</f>
        <v>5.0793650793650791</v>
      </c>
      <c r="BK296" s="67">
        <f>(CD296-Driver!$F$203)/(Driver!$G$203-Driver!$F$203)*$BI$1</f>
        <v>3.7614678899082579</v>
      </c>
      <c r="BL296" s="67">
        <f>MAX((CR296-Driver!$F$202)/(Driver!$G$202-Driver!$F$202)*$BI$1,1)</f>
        <v>5.8620689655172411</v>
      </c>
      <c r="BM296" s="67">
        <f>MAX((CH296-Driver!$F$204)/(Driver!$G$204-Driver!$F$204)*$BI$1,1)</f>
        <v>3.7606837606837606</v>
      </c>
      <c r="BN296" s="67">
        <f>(CI296-Driver!$F$205)/(Driver!$G$205-Driver!$F$205)*$BI$1</f>
        <v>2.7647058823529411</v>
      </c>
      <c r="BO296" s="67">
        <f>(CK296-Driver!$F$207)/(Driver!$G$207-Driver!$F$207)*$BI$1</f>
        <v>2.1716649431230612</v>
      </c>
      <c r="BP296" s="67">
        <f>(CM296-Driver!$F$208)/(Driver!$G$208-Driver!$F$208)*$BI$1</f>
        <v>1.6555555555555557</v>
      </c>
      <c r="BQ296" s="67">
        <f>(CL296-Driver!$F$209)/(Driver!$G$209-Driver!$F$209)*$BI$1</f>
        <v>2.1875</v>
      </c>
      <c r="BR296" s="28" t="s">
        <v>155</v>
      </c>
      <c r="BS296" s="8" t="s">
        <v>202</v>
      </c>
      <c r="BT296" s="9" t="s">
        <v>498</v>
      </c>
      <c r="BU296" s="10">
        <v>170</v>
      </c>
      <c r="BV296" s="9" t="s">
        <v>158</v>
      </c>
      <c r="BW296" s="10">
        <v>170</v>
      </c>
      <c r="BX296" s="10">
        <v>169.6</v>
      </c>
      <c r="BY296" s="10">
        <v>123</v>
      </c>
      <c r="BZ296" s="10">
        <v>136</v>
      </c>
      <c r="CA296" s="10">
        <v>125</v>
      </c>
      <c r="CB296" s="10">
        <v>96</v>
      </c>
      <c r="CC296" s="10">
        <v>115</v>
      </c>
      <c r="CD296" s="10">
        <v>17.600000000000001</v>
      </c>
      <c r="CE296" s="10">
        <v>1245</v>
      </c>
      <c r="CF296" s="10">
        <v>1.44</v>
      </c>
      <c r="CG296" s="10">
        <v>1796</v>
      </c>
      <c r="CH296" s="10">
        <v>189</v>
      </c>
      <c r="CI296" s="10">
        <v>80</v>
      </c>
      <c r="CJ296" s="10">
        <v>55</v>
      </c>
      <c r="CK296" s="10">
        <v>320</v>
      </c>
      <c r="CL296" s="10">
        <v>14</v>
      </c>
      <c r="CM296" s="10">
        <v>149</v>
      </c>
      <c r="CN296" s="10">
        <v>0.255</v>
      </c>
      <c r="CO296" s="10">
        <v>201</v>
      </c>
      <c r="CP296" s="10">
        <v>132</v>
      </c>
      <c r="CQ296" s="10">
        <v>120</v>
      </c>
      <c r="CR296" s="10">
        <v>6</v>
      </c>
      <c r="CS296" s="10">
        <v>11.9</v>
      </c>
      <c r="CT296" s="9" t="s">
        <v>185</v>
      </c>
      <c r="CU296" s="9" t="s">
        <v>198</v>
      </c>
      <c r="CV296" s="10"/>
      <c r="CW296" s="10"/>
      <c r="CX296" t="str">
        <f>INDEX('Data_Price '!AG$2:AG$1266,MATCH(Data!$DN296,'Data_Price '!$AT$2:$AT$1266,0))</f>
        <v>Dynastar M-Tour 99 Ski 2022</v>
      </c>
      <c r="CY296" t="str">
        <f>INDEX('Data_Price '!AH$2:AH$1266,MATCH(Data!$DN296,'Data_Price '!$AT$2:$AT$1266,0))</f>
        <v>Telemark Pyrenees</v>
      </c>
      <c r="CZ296">
        <f>INDEX('Data_Price '!AI$2:AI$1266,MATCH(Data!$DN296,'Data_Price '!$AT$2:$AT$1266,0))</f>
        <v>546.34</v>
      </c>
      <c r="DA296" t="str">
        <f>INDEX('Data_Price '!AJ$2:AJ$1266,MATCH(Data!$DN296,'Data_Price '!$AT$2:$AT$1266,0))</f>
        <v>https://tinyurl.com/y9738rae</v>
      </c>
      <c r="DB296" t="str">
        <f>INDEX('Data_Price '!AK$2:AK$1266,MATCH(Data!$DN296,'Data_Price '!$AT$2:$AT$1266,0))</f>
        <v>Dynastar M-Tour 99 Ski 2022</v>
      </c>
      <c r="DC296" t="str">
        <f>INDEX('Data_Price '!AL$2:AL$1266,MATCH(Data!$DN296,'Data_Price '!$AT$2:$AT$1266,0))</f>
        <v>Powder7 Ski Shop</v>
      </c>
      <c r="DD296">
        <f>INDEX('Data_Price '!AM$2:AM$1266,MATCH(Data!$DN296,'Data_Price '!$AT$2:$AT$1266,0))</f>
        <v>639.95000000000005</v>
      </c>
      <c r="DE296" t="str">
        <f>INDEX('Data_Price '!AN$2:AN$1266,MATCH(Data!$DN296,'Data_Price '!$AT$2:$AT$1266,0))</f>
        <v>https://tinyurl.com/yctsxen4</v>
      </c>
      <c r="DF296" t="str">
        <f>INDEX('Data_Price '!AO$2:AO$1266,MATCH(Data!$DN296,'Data_Price '!$AT$2:$AT$1266,0))</f>
        <v>Dynastar M-Tour 99 Ski 2022</v>
      </c>
      <c r="DG296" t="str">
        <f>INDEX('Data_Price '!AP$2:AP$1266,MATCH(Data!$DN296,'Data_Price '!$AT$2:$AT$1266,0))</f>
        <v>evo.com</v>
      </c>
      <c r="DH296">
        <f>INDEX('Data_Price '!AQ$2:AQ$1266,MATCH(Data!$DN296,'Data_Price '!$AT$2:$AT$1266,0))</f>
        <v>639.96</v>
      </c>
      <c r="DI296" t="str">
        <f>INDEX('Data_Price '!AR$2:AR$1266,MATCH(Data!$DN296,'Data_Price '!$AT$2:$AT$1266,0))</f>
        <v>https://tinyurl.com/y82cavmp</v>
      </c>
      <c r="DJ296" s="89" t="str">
        <f t="shared" si="180"/>
        <v>https://tinyurl.com/y9738rae</v>
      </c>
      <c r="DK296" s="89" t="str">
        <f t="shared" si="181"/>
        <v>https://tinyurl.com/yctsxen4</v>
      </c>
      <c r="DL296" s="89" t="str">
        <f t="shared" si="182"/>
        <v>https://tinyurl.com/y82cavmp</v>
      </c>
      <c r="DM296" s="219" t="str">
        <f t="shared" si="183"/>
        <v>M-Tour 99</v>
      </c>
      <c r="DN296" s="89" t="str">
        <f t="shared" si="184"/>
        <v xml:space="preserve"> DynastarM-Tour 99170 Unisex</v>
      </c>
      <c r="DO296" s="221" t="s">
        <v>499</v>
      </c>
    </row>
    <row r="297" spans="2:119" ht="15.6" customHeight="1">
      <c r="B297" s="219" t="b">
        <f t="array" ref="B297">IF(OR(ISERROR(K297:P297)),FALSE,TRUE)</f>
        <v>1</v>
      </c>
      <c r="C297" s="43" t="b">
        <f>OR(BR297=Driver!$G$50,Data!BR246=Driver!$H$50)</f>
        <v>1</v>
      </c>
      <c r="D297" s="43" t="b">
        <f>OR(BV297=Driver!$G$51,BV297=Driver!$H$51)</f>
        <v>1</v>
      </c>
      <c r="E297" s="43" t="b">
        <f>AND(BX297&gt;Driver!$F$54,BX297&lt;Driver!$G$54)</f>
        <v>1</v>
      </c>
      <c r="F297" s="43" t="b">
        <f>CL297&gt;Driver!$F$56</f>
        <v>1</v>
      </c>
      <c r="G297" s="43" t="b">
        <f>AND(CB297&gt;Driver!$F$55,CB297&lt;Driver!$G$55)</f>
        <v>1</v>
      </c>
      <c r="H297" s="43" t="b">
        <f t="shared" si="148"/>
        <v>1</v>
      </c>
      <c r="I297" s="43">
        <f t="shared" si="149"/>
        <v>1</v>
      </c>
      <c r="J297" s="43" t="b">
        <f t="array" ref="J297">NOT(OR(($H$9:$H$1273=TRUE)*($I$9:$I$1273&gt;0)*($BT$9:$BT$1273=BT297)*($K$9:$K$1273&gt;K297)))</f>
        <v>1</v>
      </c>
      <c r="K297" s="72">
        <f t="shared" si="150"/>
        <v>0.86791856957416402</v>
      </c>
      <c r="L297" s="72">
        <f t="shared" si="151"/>
        <v>0.9902600184197563</v>
      </c>
      <c r="M297" s="72">
        <f t="shared" si="152"/>
        <v>0.74557712072857174</v>
      </c>
      <c r="N297" s="72">
        <f t="shared" si="153"/>
        <v>0.65629473266267857</v>
      </c>
      <c r="O297" s="72">
        <f t="shared" si="154"/>
        <v>0.642499176060639</v>
      </c>
      <c r="P297" s="72">
        <f t="shared" si="155"/>
        <v>0.93793745346239765</v>
      </c>
      <c r="Q297" s="72"/>
      <c r="R297" s="72"/>
      <c r="S297" s="72">
        <f t="shared" si="156"/>
        <v>0.42046076319117642</v>
      </c>
      <c r="T297" s="72">
        <f t="shared" si="157"/>
        <v>0.50266843095820202</v>
      </c>
      <c r="U297" s="72">
        <f t="shared" si="158"/>
        <v>0.62828533881280135</v>
      </c>
      <c r="V297" s="72">
        <f t="shared" si="159"/>
        <v>0.55330320990963533</v>
      </c>
      <c r="W297" s="72">
        <f t="shared" si="160"/>
        <v>0.79360592532467533</v>
      </c>
      <c r="X297" s="72">
        <f t="shared" si="161"/>
        <v>9.7399815802437506E-3</v>
      </c>
      <c r="Y297" s="72">
        <f t="shared" si="162"/>
        <v>0.25442287927142826</v>
      </c>
      <c r="Z297" s="72">
        <f t="shared" si="163"/>
        <v>0.34370526733732143</v>
      </c>
      <c r="AA297" s="72">
        <f t="shared" si="164"/>
        <v>0.357500823939361</v>
      </c>
      <c r="AB297" s="72">
        <f t="shared" si="165"/>
        <v>6.2062546537602403E-2</v>
      </c>
      <c r="AC297" s="72"/>
      <c r="AD297" s="72"/>
      <c r="AE297" s="72">
        <f t="shared" si="166"/>
        <v>0.57953923680882358</v>
      </c>
      <c r="AF297" s="72">
        <f t="shared" si="167"/>
        <v>0.49733156904179798</v>
      </c>
      <c r="AG297" s="72">
        <f t="shared" si="168"/>
        <v>0.37171466118719865</v>
      </c>
      <c r="AH297" s="72">
        <f t="shared" si="169"/>
        <v>0.44669679009036473</v>
      </c>
      <c r="AI297" s="72">
        <f t="shared" si="170"/>
        <v>0.20639407467532467</v>
      </c>
      <c r="AJ297" s="72">
        <f>(AV297-Driver!$K$179)/(Driver!$L$179-Driver!$K$179)</f>
        <v>0.26395939086294418</v>
      </c>
      <c r="AK297" s="72">
        <f>(AW297-Driver!$K$180)/(Driver!$L$180-Driver!$K$180)</f>
        <v>0.21301008518703307</v>
      </c>
      <c r="AL297" s="72">
        <f>(AX297-Driver!$K$181)/(Driver!$L$181-Driver!$K$181)</f>
        <v>0.44539303105040162</v>
      </c>
      <c r="AM297" s="72">
        <f>(AY297-Driver!$K$182)/(Driver!$L$182-Driver!$K$182)</f>
        <v>8.9884197157685378E-2</v>
      </c>
      <c r="AN297" s="72">
        <f>(AZ297-Driver!$K$183)/(Driver!$L$183-Driver!$K$183)</f>
        <v>0.19215686274509802</v>
      </c>
      <c r="AO297" s="72"/>
      <c r="AP297" s="72"/>
      <c r="AQ297" s="72">
        <f>(BC297-Driver!$K$188)/(Driver!$L$188-Driver!$K$188)</f>
        <v>4.046076319117646E-2</v>
      </c>
      <c r="AR297" s="72">
        <f>MIN((BD297-Driver!$K$189)/(Driver!$L$189-Driver!$K$189),100%)</f>
        <v>5.2668430958202089E-2</v>
      </c>
      <c r="AS297" s="72">
        <f>(BE297-Driver!$K$190)/(Driver!$L$190-Driver!$K$190)</f>
        <v>0.13828533881280133</v>
      </c>
      <c r="AT297" s="72">
        <f>(BF297-Driver!$K$191)/(Driver!$L$191-Driver!$K$191)</f>
        <v>6.3303209909635297E-2</v>
      </c>
      <c r="AU297" s="72">
        <f>(BG297-Driver!$K$192)/(Driver!$L$192-Driver!$K$192)</f>
        <v>4.3605925324675318E-2</v>
      </c>
      <c r="AV297" s="70">
        <f t="shared" si="171"/>
        <v>5.5555555555555562</v>
      </c>
      <c r="AW297" s="70">
        <f t="shared" si="172"/>
        <v>22.631612884297763</v>
      </c>
      <c r="AX297" s="70">
        <f t="shared" si="173"/>
        <v>5.0085372794536145</v>
      </c>
      <c r="AY297" s="70">
        <f>IFERROR(Driver!$K$19/Data!BH297/Data!BI297*Data!BK297*Data!BL297,"")</f>
        <v>0.11004507617698658</v>
      </c>
      <c r="AZ297" s="70">
        <f t="shared" si="174"/>
        <v>17.513030528667162</v>
      </c>
      <c r="BA297" s="70"/>
      <c r="BB297" s="70"/>
      <c r="BC297" s="70">
        <f t="shared" si="175"/>
        <v>20.987279145925587</v>
      </c>
      <c r="BD297" s="70">
        <f t="shared" si="176"/>
        <v>6.3818857009611625</v>
      </c>
      <c r="BE297" s="70">
        <f t="shared" si="177"/>
        <v>0.13843905900934547</v>
      </c>
      <c r="BF297" s="70">
        <f t="shared" si="178"/>
        <v>7.149652829073716</v>
      </c>
      <c r="BG297" s="70">
        <f t="shared" si="179"/>
        <v>0.16511985085227271</v>
      </c>
      <c r="BH297" s="67">
        <f>MAX((CE297-Driver!$F$200)/(Driver!$G$200-Driver!$F$200)*$BI$1,1)</f>
        <v>5.0085372794536145</v>
      </c>
      <c r="BI297" s="67">
        <f>MAX($BI$1*(BY297-Driver!$F$201)/(Driver!$G$201-Driver!$F$201),1)</f>
        <v>7.0886075949367084</v>
      </c>
      <c r="BJ297" s="67">
        <f>(CB297-Driver!$F$206)/(Driver!$G$206-Driver!$F$206)*$BI$1</f>
        <v>6.1904761904761907</v>
      </c>
      <c r="BK297" s="67">
        <f>(CD297-Driver!$F$203)/(Driver!$G$203-Driver!$F$203)*$BI$1</f>
        <v>2.9816513761467895</v>
      </c>
      <c r="BL297" s="67">
        <f>MAX((CR297-Driver!$F$202)/(Driver!$G$202-Driver!$F$202)*$BI$1,1)</f>
        <v>6.5517241379310338</v>
      </c>
      <c r="BM297" s="67">
        <f>MAX((CH297-Driver!$F$204)/(Driver!$G$204-Driver!$F$204)*$BI$1,1)</f>
        <v>3.5897435897435899</v>
      </c>
      <c r="BN297" s="67">
        <f>(CI297-Driver!$F$205)/(Driver!$G$205-Driver!$F$205)*$BI$1</f>
        <v>2.4705882352941178</v>
      </c>
      <c r="BO297" s="67">
        <f>(CK297-Driver!$F$207)/(Driver!$G$207-Driver!$F$207)*$BI$1</f>
        <v>1.6752843846949328</v>
      </c>
      <c r="BP297" s="67">
        <f>(CM297-Driver!$F$208)/(Driver!$G$208-Driver!$F$208)*$BI$1</f>
        <v>2.0555555555555554</v>
      </c>
      <c r="BQ297" s="67">
        <f>(CL297-Driver!$F$209)/(Driver!$G$209-Driver!$F$209)*$BI$1</f>
        <v>2.96875</v>
      </c>
      <c r="BR297" s="28" t="s">
        <v>155</v>
      </c>
      <c r="BS297" s="8" t="s">
        <v>354</v>
      </c>
      <c r="BT297" s="9" t="s">
        <v>500</v>
      </c>
      <c r="BU297" s="10">
        <v>165</v>
      </c>
      <c r="BV297" s="9" t="s">
        <v>158</v>
      </c>
      <c r="BW297" s="10">
        <v>165</v>
      </c>
      <c r="BX297" s="10">
        <v>165.7</v>
      </c>
      <c r="BY297" s="10">
        <v>120</v>
      </c>
      <c r="BZ297" s="10">
        <v>131</v>
      </c>
      <c r="CA297" s="10">
        <v>134</v>
      </c>
      <c r="CB297" s="10">
        <v>103</v>
      </c>
      <c r="CC297" s="10">
        <v>122</v>
      </c>
      <c r="CD297" s="10">
        <v>15.9</v>
      </c>
      <c r="CE297" s="10">
        <v>1780</v>
      </c>
      <c r="CF297" s="10">
        <v>1.05</v>
      </c>
      <c r="CG297" s="10">
        <v>1864</v>
      </c>
      <c r="CH297" s="10">
        <v>185</v>
      </c>
      <c r="CI297" s="10">
        <v>75</v>
      </c>
      <c r="CJ297" s="10">
        <v>39</v>
      </c>
      <c r="CK297" s="10">
        <v>272</v>
      </c>
      <c r="CL297" s="10">
        <v>19</v>
      </c>
      <c r="CM297" s="10">
        <v>185</v>
      </c>
      <c r="CN297" s="10">
        <v>0.49299999999999999</v>
      </c>
      <c r="CO297" s="10">
        <v>214</v>
      </c>
      <c r="CP297" s="10">
        <v>137</v>
      </c>
      <c r="CQ297" s="10">
        <v>58</v>
      </c>
      <c r="CR297" s="10">
        <v>8</v>
      </c>
      <c r="CS297" s="10">
        <v>8.4</v>
      </c>
      <c r="CT297" s="9" t="s">
        <v>188</v>
      </c>
      <c r="CU297" s="9" t="s">
        <v>169</v>
      </c>
      <c r="CV297" s="10"/>
      <c r="CW297" s="10"/>
      <c r="CX297" t="str">
        <f>INDEX('Data_Price '!AG$2:AG$1266,MATCH(Data!$DN297,'Data_Price '!$AT$2:$AT$1266,0))</f>
        <v>Black Diamond Impulse 104 Skis Â· 2022 Â· 165 cm</v>
      </c>
      <c r="CY297" t="str">
        <f>INDEX('Data_Price '!AH$2:AH$1266,MATCH(Data!$DN297,'Data_Price '!$AT$2:$AT$1266,0))</f>
        <v>Snowcountry.eu</v>
      </c>
      <c r="CZ297">
        <f>INDEX('Data_Price '!AI$2:AI$1266,MATCH(Data!$DN297,'Data_Price '!$AT$2:$AT$1266,0))</f>
        <v>479.47</v>
      </c>
      <c r="DA297" t="str">
        <f>INDEX('Data_Price '!AJ$2:AJ$1266,MATCH(Data!$DN297,'Data_Price '!$AT$2:$AT$1266,0))</f>
        <v>https://tinyurl.com/y7jzlrlt</v>
      </c>
      <c r="DB297" t="str">
        <f>INDEX('Data_Price '!AK$2:AK$1266,MATCH(Data!$DN297,'Data_Price '!$AT$2:$AT$1266,0))</f>
        <v>Black Diamond Impulse 104 Skis Â· 2022 Â· 165 cm</v>
      </c>
      <c r="DC297" t="str">
        <f>INDEX('Data_Price '!AL$2:AL$1266,MATCH(Data!$DN297,'Data_Price '!$AT$2:$AT$1266,0))</f>
        <v>Black Diamond Equipment - US</v>
      </c>
      <c r="DD297">
        <f>INDEX('Data_Price '!AM$2:AM$1266,MATCH(Data!$DN297,'Data_Price '!$AT$2:$AT$1266,0))</f>
        <v>583.96</v>
      </c>
      <c r="DE297" t="str">
        <f>INDEX('Data_Price '!AN$2:AN$1266,MATCH(Data!$DN297,'Data_Price '!$AT$2:$AT$1266,0))</f>
        <v>https://tinyurl.com/ydcw9n9c</v>
      </c>
      <c r="DF297" t="str">
        <f>INDEX('Data_Price '!AO$2:AO$1266,MATCH(Data!$DN297,'Data_Price '!$AT$2:$AT$1266,0))</f>
        <v>Black Diamond Impulse 104 Skis Â· 2022 Â· 165 cm</v>
      </c>
      <c r="DG297" t="str">
        <f>INDEX('Data_Price '!AP$2:AP$1266,MATCH(Data!$DN297,'Data_Price '!$AT$2:$AT$1266,0))</f>
        <v>CampSaver.com</v>
      </c>
      <c r="DH297">
        <f>INDEX('Data_Price '!AQ$2:AQ$1266,MATCH(Data!$DN297,'Data_Price '!$AT$2:$AT$1266,0))</f>
        <v>729.95</v>
      </c>
      <c r="DI297" t="str">
        <f>INDEX('Data_Price '!AR$2:AR$1266,MATCH(Data!$DN297,'Data_Price '!$AT$2:$AT$1266,0))</f>
        <v>https://tinyurl.com/y7yzg3gh</v>
      </c>
      <c r="DJ297" s="89" t="str">
        <f t="shared" si="180"/>
        <v>https://tinyurl.com/y7jzlrlt</v>
      </c>
      <c r="DK297" s="89" t="str">
        <f t="shared" si="181"/>
        <v>https://tinyurl.com/ydcw9n9c</v>
      </c>
      <c r="DL297" s="89" t="str">
        <f t="shared" si="182"/>
        <v>https://tinyurl.com/y7yzg3gh</v>
      </c>
      <c r="DM297" s="219" t="str">
        <f t="shared" si="183"/>
        <v>Impulse 104</v>
      </c>
      <c r="DN297" s="89" t="str">
        <f t="shared" si="184"/>
        <v xml:space="preserve"> Black DiamondImpulse 104165 Unisex</v>
      </c>
      <c r="DO297" s="221" t="s">
        <v>501</v>
      </c>
    </row>
    <row r="298" spans="2:119" ht="15.6" customHeight="1">
      <c r="B298" s="219" t="b">
        <f t="array" ref="B298">IF(OR(ISERROR(K298:P298)),FALSE,TRUE)</f>
        <v>1</v>
      </c>
      <c r="C298" s="43" t="b">
        <f>OR(BR298=Driver!$G$50,Data!BR414=Driver!$H$50)</f>
        <v>1</v>
      </c>
      <c r="D298" s="43" t="b">
        <f>OR(BV298=Driver!$G$51,BV298=Driver!$H$51)</f>
        <v>1</v>
      </c>
      <c r="E298" s="43" t="b">
        <f>AND(BX298&gt;Driver!$F$54,BX298&lt;Driver!$G$54)</f>
        <v>0</v>
      </c>
      <c r="F298" s="43" t="b">
        <f>CL298&gt;Driver!$F$56</f>
        <v>1</v>
      </c>
      <c r="G298" s="43" t="b">
        <f>AND(CB298&gt;Driver!$F$55,CB298&lt;Driver!$G$55)</f>
        <v>0</v>
      </c>
      <c r="H298" s="43" t="b">
        <f t="shared" si="148"/>
        <v>0</v>
      </c>
      <c r="I298" s="43">
        <f t="shared" si="149"/>
        <v>0</v>
      </c>
      <c r="J298" s="43" t="b">
        <f t="array" ref="J298">NOT(OR(($H$9:$H$1273=TRUE)*($I$9:$I$1273&gt;0)*($BT$9:$BT$1273=BT298)*($K$9:$K$1273&gt;K298)))</f>
        <v>1</v>
      </c>
      <c r="K298" s="72">
        <f t="shared" si="150"/>
        <v>0.82828596617158867</v>
      </c>
      <c r="L298" s="72">
        <f t="shared" si="151"/>
        <v>0.78358851733201151</v>
      </c>
      <c r="M298" s="72">
        <f t="shared" si="152"/>
        <v>0.87298341501116594</v>
      </c>
      <c r="N298" s="72">
        <f t="shared" si="153"/>
        <v>0.88332312702175031</v>
      </c>
      <c r="O298" s="72">
        <f t="shared" si="154"/>
        <v>0.79472470219309921</v>
      </c>
      <c r="P298" s="72">
        <f t="shared" si="155"/>
        <v>0.94090241581864809</v>
      </c>
      <c r="Q298" s="72"/>
      <c r="R298" s="72"/>
      <c r="S298" s="72">
        <f t="shared" si="156"/>
        <v>0.52012893430328233</v>
      </c>
      <c r="T298" s="72">
        <f t="shared" si="157"/>
        <v>0.48210694791537412</v>
      </c>
      <c r="U298" s="72">
        <f t="shared" si="158"/>
        <v>0.90495119719134509</v>
      </c>
      <c r="V298" s="72">
        <f t="shared" si="159"/>
        <v>0.51838440098688687</v>
      </c>
      <c r="W298" s="72">
        <f t="shared" si="160"/>
        <v>0.77207618985653403</v>
      </c>
      <c r="X298" s="72">
        <f t="shared" si="161"/>
        <v>0.21641148266798849</v>
      </c>
      <c r="Y298" s="72">
        <f t="shared" si="162"/>
        <v>0.12701658498883411</v>
      </c>
      <c r="Z298" s="72">
        <f t="shared" si="163"/>
        <v>0.11667687297824973</v>
      </c>
      <c r="AA298" s="72">
        <f t="shared" si="164"/>
        <v>0.20527529780690074</v>
      </c>
      <c r="AB298" s="72">
        <f t="shared" si="165"/>
        <v>5.9097584181351859E-2</v>
      </c>
      <c r="AC298" s="72"/>
      <c r="AD298" s="72"/>
      <c r="AE298" s="72">
        <f t="shared" si="166"/>
        <v>0.47987106569671767</v>
      </c>
      <c r="AF298" s="72">
        <f t="shared" si="167"/>
        <v>0.51789305208462588</v>
      </c>
      <c r="AG298" s="72">
        <f t="shared" si="168"/>
        <v>9.5048802808654909E-2</v>
      </c>
      <c r="AH298" s="72">
        <f t="shared" si="169"/>
        <v>0.48161559901311313</v>
      </c>
      <c r="AI298" s="72">
        <f t="shared" si="170"/>
        <v>0.22792381014346597</v>
      </c>
      <c r="AJ298" s="72">
        <f>(AV298-Driver!$K$179)/(Driver!$L$179-Driver!$K$179)</f>
        <v>0.47063089195068891</v>
      </c>
      <c r="AK298" s="72">
        <f>(AW298-Driver!$K$180)/(Driver!$L$180-Driver!$K$180)</f>
        <v>0.30726068613683688</v>
      </c>
      <c r="AL298" s="72">
        <f>(AX298-Driver!$K$181)/(Driver!$L$181-Driver!$K$181)</f>
        <v>0.21836463669132991</v>
      </c>
      <c r="AM298" s="72">
        <f>(AY298-Driver!$K$182)/(Driver!$L$182-Driver!$K$182)</f>
        <v>0.24210972329014563</v>
      </c>
      <c r="AN298" s="72">
        <f>(AZ298-Driver!$K$183)/(Driver!$L$183-Driver!$K$183)</f>
        <v>0.31331699346405228</v>
      </c>
      <c r="AO298" s="72"/>
      <c r="AP298" s="72"/>
      <c r="AQ298" s="72">
        <f>(BC298-Driver!$K$188)/(Driver!$L$188-Driver!$K$188)</f>
        <v>0.14012893430328235</v>
      </c>
      <c r="AR298" s="72">
        <f>MIN((BD298-Driver!$K$189)/(Driver!$L$189-Driver!$K$189),100%)</f>
        <v>3.2106947915374121E-2</v>
      </c>
      <c r="AS298" s="72">
        <f>(BE298-Driver!$K$190)/(Driver!$L$190-Driver!$K$190)</f>
        <v>0.4149511971913451</v>
      </c>
      <c r="AT298" s="72">
        <f>(BF298-Driver!$K$191)/(Driver!$L$191-Driver!$K$191)</f>
        <v>2.838440098688691E-2</v>
      </c>
      <c r="AU298" s="72">
        <f>(BG298-Driver!$K$192)/(Driver!$L$192-Driver!$K$192)</f>
        <v>2.2076189856534045E-2</v>
      </c>
      <c r="AV298" s="70">
        <f t="shared" si="171"/>
        <v>9.9053724053724057</v>
      </c>
      <c r="AW298" s="70">
        <f t="shared" si="172"/>
        <v>31.81716909213856</v>
      </c>
      <c r="AX298" s="70">
        <f t="shared" si="173"/>
        <v>2.9652817302219692</v>
      </c>
      <c r="AY298" s="70">
        <f>IFERROR(Driver!$K$19/Data!BH298/Data!BI298*Data!BK298*Data!BL298,"")</f>
        <v>0.29641453987638094</v>
      </c>
      <c r="AZ298" s="70">
        <f t="shared" si="174"/>
        <v>28.555472822040208</v>
      </c>
      <c r="BA298" s="70"/>
      <c r="BB298" s="70"/>
      <c r="BC298" s="70">
        <f t="shared" si="175"/>
        <v>72.685852383659466</v>
      </c>
      <c r="BD298" s="70">
        <f t="shared" si="176"/>
        <v>4.5622308844629975</v>
      </c>
      <c r="BE298" s="70">
        <f t="shared" si="177"/>
        <v>0.41505556331276139</v>
      </c>
      <c r="BF298" s="70">
        <f t="shared" si="178"/>
        <v>3.2058186797660277</v>
      </c>
      <c r="BG298" s="70">
        <f t="shared" si="179"/>
        <v>8.3594537883470516E-2</v>
      </c>
      <c r="BH298" s="67">
        <f>MAX((CE298-Driver!$F$200)/(Driver!$G$200-Driver!$F$200)*$BI$1,1)</f>
        <v>2.9652817302219692</v>
      </c>
      <c r="BI298" s="67">
        <f>MAX($BI$1*(BY298-Driver!$F$201)/(Driver!$G$201-Driver!$F$201),1)</f>
        <v>8.2278481012658222</v>
      </c>
      <c r="BJ298" s="67">
        <f>(CB298-Driver!$F$206)/(Driver!$G$206-Driver!$F$206)*$BI$1</f>
        <v>5.2380952380952381</v>
      </c>
      <c r="BK298" s="67">
        <f>(CD298-Driver!$F$203)/(Driver!$G$203-Driver!$F$203)*$BI$1</f>
        <v>5.8256880733944971</v>
      </c>
      <c r="BL298" s="67">
        <f>MAX((CR298-Driver!$F$202)/(Driver!$G$202-Driver!$F$202)*$BI$1,1)</f>
        <v>6.2068965517241379</v>
      </c>
      <c r="BM298" s="67">
        <f>MAX((CH298-Driver!$F$204)/(Driver!$G$204-Driver!$F$204)*$BI$1,1)</f>
        <v>7.5641025641025639</v>
      </c>
      <c r="BN298" s="67">
        <f>(CI298-Driver!$F$205)/(Driver!$G$205-Driver!$F$205)*$BI$1</f>
        <v>3.4705882352941178</v>
      </c>
      <c r="BO298" s="67">
        <f>(CK298-Driver!$F$207)/(Driver!$G$207-Driver!$F$207)*$BI$1</f>
        <v>2.2130299896587382</v>
      </c>
      <c r="BP298" s="67">
        <f>(CM298-Driver!$F$208)/(Driver!$G$208-Driver!$F$208)*$BI$1</f>
        <v>1.6111111111111112</v>
      </c>
      <c r="BQ298" s="67">
        <f>(CL298-Driver!$F$209)/(Driver!$G$209-Driver!$F$209)*$BI$1</f>
        <v>1.875</v>
      </c>
      <c r="BR298" s="28" t="s">
        <v>155</v>
      </c>
      <c r="BS298" s="8" t="s">
        <v>202</v>
      </c>
      <c r="BT298" s="9" t="s">
        <v>498</v>
      </c>
      <c r="BU298" s="10">
        <v>186</v>
      </c>
      <c r="BV298" s="9" t="s">
        <v>158</v>
      </c>
      <c r="BW298" s="10">
        <v>186</v>
      </c>
      <c r="BX298" s="10">
        <v>185.2</v>
      </c>
      <c r="BY298" s="10">
        <v>138</v>
      </c>
      <c r="BZ298" s="10">
        <v>153</v>
      </c>
      <c r="CA298" s="10">
        <v>126</v>
      </c>
      <c r="CB298" s="10">
        <v>97</v>
      </c>
      <c r="CC298" s="10">
        <v>116</v>
      </c>
      <c r="CD298" s="10">
        <v>22.1</v>
      </c>
      <c r="CE298" s="10">
        <v>1421</v>
      </c>
      <c r="CF298" s="10">
        <v>1.39</v>
      </c>
      <c r="CG298" s="10">
        <v>1975</v>
      </c>
      <c r="CH298" s="10">
        <v>278</v>
      </c>
      <c r="CI298" s="10">
        <v>92</v>
      </c>
      <c r="CJ298" s="10">
        <v>56</v>
      </c>
      <c r="CK298" s="10">
        <v>324</v>
      </c>
      <c r="CL298" s="10">
        <v>12</v>
      </c>
      <c r="CM298" s="10">
        <v>145</v>
      </c>
      <c r="CN298" s="10">
        <v>0.214</v>
      </c>
      <c r="CO298" s="10">
        <v>201</v>
      </c>
      <c r="CP298" s="10">
        <v>122</v>
      </c>
      <c r="CQ298" s="10">
        <v>123</v>
      </c>
      <c r="CR298" s="10">
        <v>7</v>
      </c>
      <c r="CS298" s="10">
        <v>12.4</v>
      </c>
      <c r="CT298" s="9" t="s">
        <v>185</v>
      </c>
      <c r="CU298" s="9" t="s">
        <v>198</v>
      </c>
      <c r="CV298" s="10"/>
      <c r="CW298" s="10"/>
      <c r="CX298" t="str">
        <f>INDEX('Data_Price '!AG$2:AG$1266,MATCH(Data!$DN298,'Data_Price '!$AT$2:$AT$1266,0))</f>
        <v>Dynastar M-Tour 99 Ski 2022</v>
      </c>
      <c r="CY298" t="str">
        <f>INDEX('Data_Price '!AH$2:AH$1266,MATCH(Data!$DN298,'Data_Price '!$AT$2:$AT$1266,0))</f>
        <v>Powder7 Ski Shop</v>
      </c>
      <c r="CZ298">
        <f>INDEX('Data_Price '!AI$2:AI$1266,MATCH(Data!$DN298,'Data_Price '!$AT$2:$AT$1266,0))</f>
        <v>639.95000000000005</v>
      </c>
      <c r="DA298" t="str">
        <f>INDEX('Data_Price '!AJ$2:AJ$1266,MATCH(Data!$DN298,'Data_Price '!$AT$2:$AT$1266,0))</f>
        <v>https://tinyurl.com/y8s4ubvu</v>
      </c>
      <c r="DB298" t="str">
        <f>INDEX('Data_Price '!AK$2:AK$1266,MATCH(Data!$DN298,'Data_Price '!$AT$2:$AT$1266,0))</f>
        <v>Dynastar M-Tour 99 Ski 2022</v>
      </c>
      <c r="DC298" t="str">
        <f>INDEX('Data_Price '!AL$2:AL$1266,MATCH(Data!$DN298,'Data_Price '!$AT$2:$AT$1266,0))</f>
        <v>evo.com</v>
      </c>
      <c r="DD298">
        <f>INDEX('Data_Price '!AM$2:AM$1266,MATCH(Data!$DN298,'Data_Price '!$AT$2:$AT$1266,0))</f>
        <v>639.96</v>
      </c>
      <c r="DE298" t="str">
        <f>INDEX('Data_Price '!AN$2:AN$1266,MATCH(Data!$DN298,'Data_Price '!$AT$2:$AT$1266,0))</f>
        <v>https://tinyurl.com/yatt4psh</v>
      </c>
      <c r="DF298" t="str">
        <f>INDEX('Data_Price '!AO$2:AO$1266,MATCH(Data!$DN298,'Data_Price '!$AT$2:$AT$1266,0))</f>
        <v>Dynastar M-Tour 99 Ski 2022</v>
      </c>
      <c r="DG298" t="str">
        <f>INDEX('Data_Price '!AP$2:AP$1266,MATCH(Data!$DN298,'Data_Price '!$AT$2:$AT$1266,0))</f>
        <v>Next Adventure</v>
      </c>
      <c r="DH298">
        <f>INDEX('Data_Price '!AQ$2:AQ$1266,MATCH(Data!$DN298,'Data_Price '!$AT$2:$AT$1266,0))</f>
        <v>639.96</v>
      </c>
      <c r="DI298" t="str">
        <f>INDEX('Data_Price '!AR$2:AR$1266,MATCH(Data!$DN298,'Data_Price '!$AT$2:$AT$1266,0))</f>
        <v>https://tinyurl.com/ya45aobe</v>
      </c>
      <c r="DJ298" s="89" t="str">
        <f t="shared" si="180"/>
        <v>https://tinyurl.com/y8s4ubvu</v>
      </c>
      <c r="DK298" s="89" t="str">
        <f t="shared" si="181"/>
        <v>https://tinyurl.com/yatt4psh</v>
      </c>
      <c r="DL298" s="89" t="str">
        <f t="shared" si="182"/>
        <v>https://tinyurl.com/ya45aobe</v>
      </c>
      <c r="DM298" s="219" t="str">
        <f t="shared" si="183"/>
        <v>M-Tour 99</v>
      </c>
      <c r="DN298" s="89" t="str">
        <f t="shared" si="184"/>
        <v xml:space="preserve"> DynastarM-Tour 99186 Unisex</v>
      </c>
      <c r="DO298" s="221" t="s">
        <v>499</v>
      </c>
    </row>
    <row r="299" spans="2:119" ht="15.6" customHeight="1">
      <c r="B299" s="219" t="b">
        <f t="array" ref="B299">IF(OR(ISERROR(K299:P299)),FALSE,TRUE)</f>
        <v>1</v>
      </c>
      <c r="C299" s="43" t="b">
        <f>OR(BR299=Driver!$G$50,Data!BR882=Driver!$H$50)</f>
        <v>1</v>
      </c>
      <c r="D299" s="43" t="b">
        <f>OR(BV299=Driver!$G$51,BV299=Driver!$H$51)</f>
        <v>1</v>
      </c>
      <c r="E299" s="43" t="b">
        <f>AND(BX299&gt;Driver!$F$54,BX299&lt;Driver!$G$54)</f>
        <v>0</v>
      </c>
      <c r="F299" s="43" t="b">
        <f>CL299&gt;Driver!$F$56</f>
        <v>1</v>
      </c>
      <c r="G299" s="43" t="b">
        <f>AND(CB299&gt;Driver!$F$55,CB299&lt;Driver!$G$55)</f>
        <v>0</v>
      </c>
      <c r="H299" s="43" t="b">
        <f t="shared" si="148"/>
        <v>0</v>
      </c>
      <c r="I299" s="43">
        <f t="shared" si="149"/>
        <v>0</v>
      </c>
      <c r="J299" s="43" t="b">
        <f t="array" ref="J299">NOT(OR(($H$9:$H$1273=TRUE)*($I$9:$I$1273&gt;0)*($BT$9:$BT$1273=BT299)*($K$9:$K$1273&gt;K299)))</f>
        <v>1</v>
      </c>
      <c r="K299" s="72">
        <f t="shared" si="150"/>
        <v>0.91676211645121364</v>
      </c>
      <c r="L299" s="72">
        <f t="shared" si="151"/>
        <v>0.98774336567499832</v>
      </c>
      <c r="M299" s="72">
        <f t="shared" si="152"/>
        <v>0.84578086722742885</v>
      </c>
      <c r="N299" s="72">
        <f t="shared" si="153"/>
        <v>0.86371900383196976</v>
      </c>
      <c r="O299" s="72">
        <f t="shared" si="154"/>
        <v>0.71857013131602387</v>
      </c>
      <c r="P299" s="72">
        <f t="shared" si="155"/>
        <v>0.95505346653429302</v>
      </c>
      <c r="Q299" s="72"/>
      <c r="R299" s="72"/>
      <c r="S299" s="72">
        <f t="shared" si="156"/>
        <v>0.44411687436264335</v>
      </c>
      <c r="T299" s="72">
        <f t="shared" si="157"/>
        <v>0.46699241003225755</v>
      </c>
      <c r="U299" s="72">
        <f t="shared" si="158"/>
        <v>0.55088727148588434</v>
      </c>
      <c r="V299" s="72">
        <f t="shared" si="159"/>
        <v>0.57359180383272901</v>
      </c>
      <c r="W299" s="72">
        <f t="shared" si="160"/>
        <v>0.8580745341614906</v>
      </c>
      <c r="X299" s="72">
        <f t="shared" si="161"/>
        <v>1.2256634325001625E-2</v>
      </c>
      <c r="Y299" s="72">
        <f t="shared" si="162"/>
        <v>0.15421913277257113</v>
      </c>
      <c r="Z299" s="72">
        <f t="shared" si="163"/>
        <v>0.1362809961680303</v>
      </c>
      <c r="AA299" s="72">
        <f t="shared" si="164"/>
        <v>0.28142986868397613</v>
      </c>
      <c r="AB299" s="72">
        <f t="shared" si="165"/>
        <v>4.4946533465706956E-2</v>
      </c>
      <c r="AC299" s="72"/>
      <c r="AD299" s="72"/>
      <c r="AE299" s="72">
        <f t="shared" si="166"/>
        <v>0.55588312563735665</v>
      </c>
      <c r="AF299" s="72">
        <f t="shared" si="167"/>
        <v>0.53300758996774245</v>
      </c>
      <c r="AG299" s="72">
        <f t="shared" si="168"/>
        <v>0.44911272851411566</v>
      </c>
      <c r="AH299" s="72">
        <f t="shared" si="169"/>
        <v>0.42640819616727099</v>
      </c>
      <c r="AI299" s="72">
        <f t="shared" si="170"/>
        <v>0.14192546583850935</v>
      </c>
      <c r="AJ299" s="72">
        <f>(AV299-Driver!$K$179)/(Driver!$L$179-Driver!$K$179)</f>
        <v>0.2419627749576988</v>
      </c>
      <c r="AK299" s="72">
        <f>(AW299-Driver!$K$180)/(Driver!$L$180-Driver!$K$180)</f>
        <v>0.21081690890667487</v>
      </c>
      <c r="AL299" s="72">
        <f>(AX299-Driver!$K$181)/(Driver!$L$181-Driver!$K$181)</f>
        <v>0.23796875988111049</v>
      </c>
      <c r="AM299" s="72">
        <f>(AY299-Driver!$K$182)/(Driver!$L$182-Driver!$K$182)</f>
        <v>0.16595515241307027</v>
      </c>
      <c r="AN299" s="72">
        <f>(AZ299-Driver!$K$183)/(Driver!$L$183-Driver!$K$183)</f>
        <v>0.20927287581699347</v>
      </c>
      <c r="AO299" s="72"/>
      <c r="AP299" s="72"/>
      <c r="AQ299" s="72">
        <f>(BC299-Driver!$K$188)/(Driver!$L$188-Driver!$K$188)</f>
        <v>6.411687436264335E-2</v>
      </c>
      <c r="AR299" s="72">
        <f>MIN((BD299-Driver!$K$189)/(Driver!$L$189-Driver!$K$189),100%)</f>
        <v>1.6992410032257613E-2</v>
      </c>
      <c r="AS299" s="72">
        <f>(BE299-Driver!$K$190)/(Driver!$L$190-Driver!$K$190)</f>
        <v>6.0887271485884374E-2</v>
      </c>
      <c r="AT299" s="72">
        <f>(BF299-Driver!$K$191)/(Driver!$L$191-Driver!$K$191)</f>
        <v>8.3591803832729045E-2</v>
      </c>
      <c r="AU299" s="72">
        <f>(BG299-Driver!$K$192)/(Driver!$L$192-Driver!$K$192)</f>
        <v>0.10807453416149067</v>
      </c>
      <c r="AV299" s="70">
        <f t="shared" si="171"/>
        <v>5.0925925925925926</v>
      </c>
      <c r="AW299" s="70">
        <f t="shared" si="172"/>
        <v>22.417868422258071</v>
      </c>
      <c r="AX299" s="70">
        <f t="shared" si="173"/>
        <v>3.1417188389299944</v>
      </c>
      <c r="AY299" s="70">
        <f>IFERROR(Driver!$K$19/Data!BH299/Data!BI299*Data!BK299*Data!BL299,"")</f>
        <v>0.20317862279196242</v>
      </c>
      <c r="AZ299" s="70">
        <f t="shared" si="174"/>
        <v>19.072970960536114</v>
      </c>
      <c r="BA299" s="70"/>
      <c r="BB299" s="70"/>
      <c r="BC299" s="70">
        <f t="shared" si="175"/>
        <v>33.257868465182284</v>
      </c>
      <c r="BD299" s="70">
        <f t="shared" si="176"/>
        <v>3.2246210631835779</v>
      </c>
      <c r="BE299" s="70">
        <f t="shared" si="177"/>
        <v>6.1054798626487286E-2</v>
      </c>
      <c r="BF299" s="70">
        <f t="shared" si="178"/>
        <v>9.4411069772479017</v>
      </c>
      <c r="BG299" s="70">
        <f t="shared" si="179"/>
        <v>0.40923913043478261</v>
      </c>
      <c r="BH299" s="67">
        <f>MAX((CE299-Driver!$F$200)/(Driver!$G$200-Driver!$F$200)*$BI$1,1)</f>
        <v>3.1417188389299944</v>
      </c>
      <c r="BI299" s="67">
        <f>MAX($BI$1*(BY299-Driver!$F$201)/(Driver!$G$201-Driver!$F$201),1)</f>
        <v>6.8987341772151902</v>
      </c>
      <c r="BJ299" s="67">
        <f>(CB299-Driver!$F$206)/(Driver!$G$206-Driver!$F$206)*$BI$1</f>
        <v>5.2380952380952381</v>
      </c>
      <c r="BK299" s="67">
        <f>(CD299-Driver!$F$203)/(Driver!$G$203-Driver!$F$203)*$BI$1</f>
        <v>3.9908256880733957</v>
      </c>
      <c r="BL299" s="67">
        <f>MAX((CR299-Driver!$F$202)/(Driver!$G$202-Driver!$F$202)*$BI$1,1)</f>
        <v>5.5172413793103452</v>
      </c>
      <c r="BM299" s="67">
        <f>MAX((CH299-Driver!$F$204)/(Driver!$G$204-Driver!$F$204)*$BI$1,1)</f>
        <v>3.8888888888888888</v>
      </c>
      <c r="BN299" s="67">
        <f>(CI299-Driver!$F$205)/(Driver!$G$205-Driver!$F$205)*$BI$1</f>
        <v>2.7647058823529411</v>
      </c>
      <c r="BO299" s="67">
        <f>(CK299-Driver!$F$207)/(Driver!$G$207-Driver!$F$207)*$BI$1</f>
        <v>2.3888314374353672</v>
      </c>
      <c r="BP299" s="67">
        <f>(CM299-Driver!$F$208)/(Driver!$G$208-Driver!$F$208)*$BI$1</f>
        <v>3.0111111111111111</v>
      </c>
      <c r="BQ299" s="67">
        <f>(CL299-Driver!$F$209)/(Driver!$G$209-Driver!$F$209)*$BI$1</f>
        <v>5</v>
      </c>
      <c r="BR299" s="28" t="s">
        <v>155</v>
      </c>
      <c r="BS299" s="8" t="s">
        <v>208</v>
      </c>
      <c r="BT299" s="9" t="s">
        <v>209</v>
      </c>
      <c r="BU299" s="10">
        <v>179</v>
      </c>
      <c r="BV299" s="9" t="s">
        <v>158</v>
      </c>
      <c r="BW299" s="10">
        <v>179</v>
      </c>
      <c r="BX299" s="10">
        <v>178.3</v>
      </c>
      <c r="BY299" s="10">
        <v>117</v>
      </c>
      <c r="BZ299" s="10">
        <v>145</v>
      </c>
      <c r="CA299" s="10">
        <v>130</v>
      </c>
      <c r="CB299" s="10">
        <v>97</v>
      </c>
      <c r="CC299" s="10">
        <v>117</v>
      </c>
      <c r="CD299" s="10">
        <v>18.100000000000001</v>
      </c>
      <c r="CE299" s="10">
        <v>1452</v>
      </c>
      <c r="CF299" s="10">
        <v>1.32</v>
      </c>
      <c r="CG299" s="10">
        <v>1910</v>
      </c>
      <c r="CH299" s="10">
        <v>192</v>
      </c>
      <c r="CI299" s="10">
        <v>80</v>
      </c>
      <c r="CJ299" s="10">
        <v>52</v>
      </c>
      <c r="CK299" s="10">
        <v>341</v>
      </c>
      <c r="CL299" s="10">
        <v>32</v>
      </c>
      <c r="CM299" s="10">
        <v>271</v>
      </c>
      <c r="CN299" s="10">
        <v>0.61899999999999999</v>
      </c>
      <c r="CO299" s="10">
        <v>165</v>
      </c>
      <c r="CP299" s="10">
        <v>171</v>
      </c>
      <c r="CQ299" s="10">
        <v>176</v>
      </c>
      <c r="CR299" s="10">
        <v>5</v>
      </c>
      <c r="CS299" s="10">
        <v>6.3</v>
      </c>
      <c r="CT299" s="9" t="s">
        <v>185</v>
      </c>
      <c r="CU299" s="9" t="s">
        <v>198</v>
      </c>
      <c r="CV299" s="10"/>
      <c r="CW299" s="10"/>
      <c r="CX299" t="str">
        <f>INDEX('Data_Price '!AG$2:AG$1266,MATCH(Data!$DN299,'Data_Price '!$AT$2:$AT$1266,0))</f>
        <v>Line Vision 98 Skis</v>
      </c>
      <c r="CY299" t="str">
        <f>INDEX('Data_Price '!AH$2:AH$1266,MATCH(Data!$DN299,'Data_Price '!$AT$2:$AT$1266,0))</f>
        <v>Powder7 Ski Shop</v>
      </c>
      <c r="CZ299">
        <f>INDEX('Data_Price '!AI$2:AI$1266,MATCH(Data!$DN299,'Data_Price '!$AT$2:$AT$1266,0))</f>
        <v>479.99</v>
      </c>
      <c r="DA299" t="str">
        <f>INDEX('Data_Price '!AJ$2:AJ$1266,MATCH(Data!$DN299,'Data_Price '!$AT$2:$AT$1266,0))</f>
        <v>https://tinyurl.com/yae4zvmb</v>
      </c>
      <c r="DB299" t="str">
        <f>INDEX('Data_Price '!AK$2:AK$1266,MATCH(Data!$DN299,'Data_Price '!$AT$2:$AT$1266,0))</f>
        <v>Line Vision 98 Skis 179</v>
      </c>
      <c r="DC299" t="str">
        <f>INDEX('Data_Price '!AL$2:AL$1266,MATCH(Data!$DN299,'Data_Price '!$AT$2:$AT$1266,0))</f>
        <v>PRFO Sports</v>
      </c>
      <c r="DD299">
        <f>INDEX('Data_Price '!AM$2:AM$1266,MATCH(Data!$DN299,'Data_Price '!$AT$2:$AT$1266,0))</f>
        <v>481.02</v>
      </c>
      <c r="DE299" t="str">
        <f>INDEX('Data_Price '!AN$2:AN$1266,MATCH(Data!$DN299,'Data_Price '!$AT$2:$AT$1266,0))</f>
        <v>https://tinyurl.com/yavum8qf</v>
      </c>
      <c r="DF299" t="str">
        <f>INDEX('Data_Price '!AO$2:AO$1266,MATCH(Data!$DN299,'Data_Price '!$AT$2:$AT$1266,0))</f>
        <v>'22 Line Vision 98 Skis 179cm</v>
      </c>
      <c r="DG299" t="str">
        <f>INDEX('Data_Price '!AP$2:AP$1266,MATCH(Data!$DN299,'Data_Price '!$AT$2:$AT$1266,0))</f>
        <v>Al's Ski Equipment Barn</v>
      </c>
      <c r="DH299">
        <f>INDEX('Data_Price '!AQ$2:AQ$1266,MATCH(Data!$DN299,'Data_Price '!$AT$2:$AT$1266,0))</f>
        <v>629.95000000000005</v>
      </c>
      <c r="DI299" t="str">
        <f>INDEX('Data_Price '!AR$2:AR$1266,MATCH(Data!$DN299,'Data_Price '!$AT$2:$AT$1266,0))</f>
        <v>https://tinyurl.com/ybmutuxk</v>
      </c>
      <c r="DJ299" s="89" t="str">
        <f t="shared" si="180"/>
        <v>https://tinyurl.com/yae4zvmb</v>
      </c>
      <c r="DK299" s="89" t="str">
        <f t="shared" si="181"/>
        <v>https://tinyurl.com/yavum8qf</v>
      </c>
      <c r="DL299" s="89" t="str">
        <f t="shared" si="182"/>
        <v>https://tinyurl.com/ybmutuxk</v>
      </c>
      <c r="DM299" s="219" t="str">
        <f t="shared" si="183"/>
        <v>Vision 98</v>
      </c>
      <c r="DN299" s="89" t="str">
        <f t="shared" si="184"/>
        <v xml:space="preserve"> LineVision 98179 Unisex</v>
      </c>
      <c r="DO299" s="221" t="s">
        <v>210</v>
      </c>
    </row>
    <row r="300" spans="2:119" ht="15.6" customHeight="1">
      <c r="B300" s="219" t="b">
        <f t="array" ref="B300">IF(OR(ISERROR(K300:P300)),FALSE,TRUE)</f>
        <v>1</v>
      </c>
      <c r="C300" s="43" t="b">
        <f>OR(BR300=Driver!$G$50,Data!BR261=Driver!$H$50)</f>
        <v>1</v>
      </c>
      <c r="D300" s="43" t="b">
        <f>OR(BV300=Driver!$G$51,BV300=Driver!$H$51)</f>
        <v>0</v>
      </c>
      <c r="E300" s="43" t="b">
        <f>AND(BX300&gt;Driver!$F$54,BX300&lt;Driver!$G$54)</f>
        <v>1</v>
      </c>
      <c r="F300" s="43" t="b">
        <f>CL300&gt;Driver!$F$56</f>
        <v>1</v>
      </c>
      <c r="G300" s="43" t="b">
        <f>AND(CB300&gt;Driver!$F$55,CB300&lt;Driver!$G$55)</f>
        <v>0</v>
      </c>
      <c r="H300" s="43" t="b">
        <f t="shared" si="148"/>
        <v>0</v>
      </c>
      <c r="I300" s="43">
        <f t="shared" si="149"/>
        <v>0</v>
      </c>
      <c r="J300" s="43" t="b">
        <f t="array" ref="J300">NOT(OR(($H$9:$H$1273=TRUE)*($I$9:$I$1273&gt;0)*($BT$9:$BT$1273=BT300)*($K$9:$K$1273&gt;K300)))</f>
        <v>1</v>
      </c>
      <c r="K300" s="72">
        <f t="shared" si="150"/>
        <v>0.81549804988348673</v>
      </c>
      <c r="L300" s="72">
        <f t="shared" si="151"/>
        <v>0.88049979142634793</v>
      </c>
      <c r="M300" s="72">
        <f t="shared" si="152"/>
        <v>0.75049630834062553</v>
      </c>
      <c r="N300" s="72">
        <f t="shared" si="153"/>
        <v>0.67083972728735453</v>
      </c>
      <c r="O300" s="72">
        <f t="shared" si="154"/>
        <v>0.622589919170776</v>
      </c>
      <c r="P300" s="72">
        <f t="shared" si="155"/>
        <v>0.95805927856374606</v>
      </c>
      <c r="Q300" s="72"/>
      <c r="R300" s="72"/>
      <c r="S300" s="72">
        <f t="shared" si="156"/>
        <v>0.45025464762658352</v>
      </c>
      <c r="T300" s="72">
        <f t="shared" si="157"/>
        <v>0.56367411547533419</v>
      </c>
      <c r="U300" s="72">
        <f t="shared" si="158"/>
        <v>0.51</v>
      </c>
      <c r="V300" s="72">
        <f t="shared" si="159"/>
        <v>0.50338302095386878</v>
      </c>
      <c r="W300" s="72">
        <f t="shared" si="160"/>
        <v>0.76823297303936622</v>
      </c>
      <c r="X300" s="72">
        <f t="shared" si="161"/>
        <v>0.11950020857365201</v>
      </c>
      <c r="Y300" s="72">
        <f t="shared" si="162"/>
        <v>0.24950369165937447</v>
      </c>
      <c r="Z300" s="72">
        <f t="shared" si="163"/>
        <v>0.32916027271264547</v>
      </c>
      <c r="AA300" s="72">
        <f t="shared" si="164"/>
        <v>0.37741008082922395</v>
      </c>
      <c r="AB300" s="72">
        <f t="shared" si="165"/>
        <v>4.194072143625388E-2</v>
      </c>
      <c r="AC300" s="72"/>
      <c r="AD300" s="72"/>
      <c r="AE300" s="72">
        <f t="shared" si="166"/>
        <v>0.54974535237341648</v>
      </c>
      <c r="AF300" s="72">
        <f t="shared" si="167"/>
        <v>0.43632588452466581</v>
      </c>
      <c r="AG300" s="72">
        <f t="shared" si="168"/>
        <v>0.49</v>
      </c>
      <c r="AH300" s="72">
        <f t="shared" si="169"/>
        <v>0.49661697904613117</v>
      </c>
      <c r="AI300" s="72">
        <f t="shared" si="170"/>
        <v>0.23176702696063378</v>
      </c>
      <c r="AJ300" s="72">
        <f>(AV300-Driver!$K$179)/(Driver!$L$179-Driver!$K$179)</f>
        <v>0.13471920070904841</v>
      </c>
      <c r="AK300" s="72">
        <f>(AW300-Driver!$K$180)/(Driver!$L$180-Driver!$K$180)</f>
        <v>0.30867608153334208</v>
      </c>
      <c r="AL300" s="72">
        <f>(AX300-Driver!$K$181)/(Driver!$L$181-Driver!$K$181)</f>
        <v>0.43084803642572567</v>
      </c>
      <c r="AM300" s="72">
        <f>(AY300-Driver!$K$182)/(Driver!$L$182-Driver!$K$182)</f>
        <v>6.9974940267822403E-2</v>
      </c>
      <c r="AN300" s="72">
        <f>(AZ300-Driver!$K$183)/(Driver!$L$183-Driver!$K$183)</f>
        <v>0.29616013071895431</v>
      </c>
      <c r="AO300" s="72"/>
      <c r="AP300" s="72"/>
      <c r="AQ300" s="72">
        <f>(BC300-Driver!$K$188)/(Driver!$L$188-Driver!$K$188)</f>
        <v>7.0254647626583497E-2</v>
      </c>
      <c r="AR300" s="72">
        <f>MIN((BD300-Driver!$K$189)/(Driver!$L$189-Driver!$K$189),100%)</f>
        <v>0.11367411547533424</v>
      </c>
      <c r="AS300" s="72">
        <f>(BE300-Driver!$K$190)/(Driver!$L$190-Driver!$K$190)</f>
        <v>1</v>
      </c>
      <c r="AT300" s="72">
        <f>(BF300-Driver!$K$191)/(Driver!$L$191-Driver!$K$191)</f>
        <v>1.3383020953868847E-2</v>
      </c>
      <c r="AU300" s="72">
        <f>(BG300-Driver!$K$192)/(Driver!$L$192-Driver!$K$192)</f>
        <v>1.8232973039366211E-2</v>
      </c>
      <c r="AV300" s="70">
        <f t="shared" si="171"/>
        <v>2.835436168769502</v>
      </c>
      <c r="AW300" s="70">
        <f t="shared" si="172"/>
        <v>31.955111915207052</v>
      </c>
      <c r="AX300" s="70">
        <f t="shared" si="173"/>
        <v>4.877632327831531</v>
      </c>
      <c r="AY300" s="70">
        <f>IFERROR(Driver!$K$19/Data!BH300/Data!BI300*Data!BK300*Data!BL300,"")</f>
        <v>8.5670205394877852E-2</v>
      </c>
      <c r="AZ300" s="70">
        <f t="shared" si="174"/>
        <v>26.991809381980644</v>
      </c>
      <c r="BA300" s="70"/>
      <c r="BB300" s="70"/>
      <c r="BC300" s="70">
        <f t="shared" si="175"/>
        <v>36.441574126295521</v>
      </c>
      <c r="BD300" s="70">
        <f t="shared" si="176"/>
        <v>11.78078068505075</v>
      </c>
      <c r="BE300" s="70">
        <f t="shared" si="177"/>
        <v>1</v>
      </c>
      <c r="BF300" s="70">
        <f t="shared" si="178"/>
        <v>1.5115181956960653</v>
      </c>
      <c r="BG300" s="70">
        <f t="shared" si="179"/>
        <v>6.9041667306393176E-2</v>
      </c>
      <c r="BH300" s="67">
        <f>MAX((CE300-Driver!$F$200)/(Driver!$G$200-Driver!$F$200)*$BI$1,1)</f>
        <v>4.877632327831531</v>
      </c>
      <c r="BI300" s="67">
        <f>MAX($BI$1*(BY300-Driver!$F$201)/(Driver!$G$201-Driver!$F$201),1)</f>
        <v>7.9113924050632916</v>
      </c>
      <c r="BJ300" s="67">
        <f>(CB300-Driver!$F$206)/(Driver!$G$206-Driver!$F$206)*$BI$1</f>
        <v>3.4920634920634921</v>
      </c>
      <c r="BK300" s="67">
        <f>(CD300-Driver!$F$203)/(Driver!$G$203-Driver!$F$203)*$BI$1</f>
        <v>2.522935779816514</v>
      </c>
      <c r="BL300" s="67">
        <f>MAX((CR300-Driver!$F$202)/(Driver!$G$202-Driver!$F$202)*$BI$1,1)</f>
        <v>6.5517241379310338</v>
      </c>
      <c r="BM300" s="67">
        <f>MAX((CH300-Driver!$F$204)/(Driver!$G$204-Driver!$F$204)*$BI$1,1)</f>
        <v>3.2478632478632479</v>
      </c>
      <c r="BN300" s="67">
        <f>(CI300-Driver!$F$205)/(Driver!$G$205-Driver!$F$205)*$BI$1</f>
        <v>3.4117647058823533</v>
      </c>
      <c r="BO300" s="67">
        <f>(CK300-Driver!$F$207)/(Driver!$G$207-Driver!$F$207)*$BI$1</f>
        <v>1.0237849017580145</v>
      </c>
      <c r="BP300" s="67">
        <f>(CM300-Driver!$F$208)/(Driver!$G$208-Driver!$F$208)*$BI$1</f>
        <v>1.0666666666666667</v>
      </c>
      <c r="BQ300" s="67">
        <f>(CL300-Driver!$F$209)/(Driver!$G$209-Driver!$F$209)*$BI$1</f>
        <v>1.09375</v>
      </c>
      <c r="BR300" s="28" t="s">
        <v>155</v>
      </c>
      <c r="BS300" s="8" t="s">
        <v>317</v>
      </c>
      <c r="BT300" s="9" t="s">
        <v>502</v>
      </c>
      <c r="BU300" s="10">
        <v>165</v>
      </c>
      <c r="BV300" s="9" t="s">
        <v>163</v>
      </c>
      <c r="BW300" s="10">
        <v>165</v>
      </c>
      <c r="BX300" s="10">
        <v>163.69999999999999</v>
      </c>
      <c r="BY300" s="10">
        <v>133</v>
      </c>
      <c r="BZ300" s="10">
        <v>141</v>
      </c>
      <c r="CA300" s="10">
        <v>128</v>
      </c>
      <c r="CB300" s="10">
        <v>86</v>
      </c>
      <c r="CC300" s="10">
        <v>109</v>
      </c>
      <c r="CD300" s="10">
        <v>14.9</v>
      </c>
      <c r="CE300" s="10">
        <v>1757</v>
      </c>
      <c r="CF300" s="10">
        <v>0.92</v>
      </c>
      <c r="CG300" s="10">
        <v>1613</v>
      </c>
      <c r="CH300" s="10">
        <v>177</v>
      </c>
      <c r="CI300" s="10">
        <v>91</v>
      </c>
      <c r="CJ300" s="10">
        <v>63</v>
      </c>
      <c r="CK300" s="10">
        <v>209</v>
      </c>
      <c r="CL300" s="10">
        <v>7</v>
      </c>
      <c r="CM300" s="10">
        <v>96</v>
      </c>
      <c r="CN300" s="10">
        <v>0.11799999999999999</v>
      </c>
      <c r="CO300" s="10">
        <v>123</v>
      </c>
      <c r="CP300" s="10">
        <v>106</v>
      </c>
      <c r="CQ300" s="10">
        <v>86</v>
      </c>
      <c r="CR300" s="10">
        <v>8</v>
      </c>
      <c r="CS300" s="10">
        <v>11.1</v>
      </c>
      <c r="CT300" s="9" t="s">
        <v>188</v>
      </c>
      <c r="CU300" s="10"/>
      <c r="CV300" s="10"/>
      <c r="CW300" s="10"/>
      <c r="CX300" t="str">
        <f>INDEX('Data_Price '!AG$2:AG$1266,MATCH(Data!$DN300,'Data_Price '!$AT$2:$AT$1266,0))</f>
        <v>Blizzard Black Pearl 88 21/22</v>
      </c>
      <c r="CY300" t="str">
        <f>INDEX('Data_Price '!AH$2:AH$1266,MATCH(Data!$DN300,'Data_Price '!$AT$2:$AT$1266,0))</f>
        <v>Snowcountry.eu</v>
      </c>
      <c r="CZ300">
        <f>INDEX('Data_Price '!AI$2:AI$1266,MATCH(Data!$DN300,'Data_Price '!$AT$2:$AT$1266,0))</f>
        <v>354.97</v>
      </c>
      <c r="DA300" t="str">
        <f>INDEX('Data_Price '!AJ$2:AJ$1266,MATCH(Data!$DN300,'Data_Price '!$AT$2:$AT$1266,0))</f>
        <v>https://tinyurl.com/yahpr6af</v>
      </c>
      <c r="DB300" t="str">
        <f>INDEX('Data_Price '!AK$2:AK$1266,MATCH(Data!$DN300,'Data_Price '!$AT$2:$AT$1266,0))</f>
        <v>Blizzard Black Pearl 88 21/22</v>
      </c>
      <c r="DC300" t="str">
        <f>INDEX('Data_Price '!AL$2:AL$1266,MATCH(Data!$DN300,'Data_Price '!$AT$2:$AT$1266,0))</f>
        <v>SportÃ¨que</v>
      </c>
      <c r="DD300">
        <f>INDEX('Data_Price '!AM$2:AM$1266,MATCH(Data!$DN300,'Data_Price '!$AT$2:$AT$1266,0))</f>
        <v>511.06</v>
      </c>
      <c r="DE300" t="str">
        <f>INDEX('Data_Price '!AN$2:AN$1266,MATCH(Data!$DN300,'Data_Price '!$AT$2:$AT$1266,0))</f>
        <v>https://tinyurl.com/y7sq52bv</v>
      </c>
      <c r="DF300" t="str">
        <f>INDEX('Data_Price '!AO$2:AO$1266,MATCH(Data!$DN300,'Data_Price '!$AT$2:$AT$1266,0))</f>
        <v>Blizzard Black Pearl 88 - Winter 2021/2022 165</v>
      </c>
      <c r="DG300" t="str">
        <f>INDEX('Data_Price '!AP$2:AP$1266,MATCH(Data!$DN300,'Data_Price '!$AT$2:$AT$1266,0))</f>
        <v>Equipe Sport</v>
      </c>
      <c r="DH300">
        <f>INDEX('Data_Price '!AQ$2:AQ$1266,MATCH(Data!$DN300,'Data_Price '!$AT$2:$AT$1266,0))</f>
        <v>519.95000000000005</v>
      </c>
      <c r="DI300" t="str">
        <f>INDEX('Data_Price '!AR$2:AR$1266,MATCH(Data!$DN300,'Data_Price '!$AT$2:$AT$1266,0))</f>
        <v>https://tinyurl.com/y89vx4rv</v>
      </c>
      <c r="DJ300" s="89" t="str">
        <f t="shared" si="180"/>
        <v>https://tinyurl.com/yahpr6af</v>
      </c>
      <c r="DK300" s="89" t="str">
        <f t="shared" si="181"/>
        <v>https://tinyurl.com/y7sq52bv</v>
      </c>
      <c r="DL300" s="89" t="str">
        <f t="shared" si="182"/>
        <v>https://tinyurl.com/y89vx4rv</v>
      </c>
      <c r="DM300" s="219" t="str">
        <f t="shared" si="183"/>
        <v>Black Pearl 88</v>
      </c>
      <c r="DN300" s="89" t="str">
        <f t="shared" si="184"/>
        <v xml:space="preserve"> BlizzardBlack Pearl 88165 Women's</v>
      </c>
      <c r="DO300" s="221" t="s">
        <v>503</v>
      </c>
    </row>
    <row r="301" spans="2:119" ht="15.6" customHeight="1">
      <c r="B301" s="219" t="b">
        <f t="array" ref="B301">IF(OR(ISERROR(K301:P301)),FALSE,TRUE)</f>
        <v>1</v>
      </c>
      <c r="C301" s="43" t="b">
        <f>OR(BR301=Driver!$G$50,Data!BR1142=Driver!$H$50)</f>
        <v>1</v>
      </c>
      <c r="D301" s="43" t="b">
        <f>OR(BV301=Driver!$G$51,BV301=Driver!$H$51)</f>
        <v>1</v>
      </c>
      <c r="E301" s="43" t="b">
        <f>AND(BX301&gt;Driver!$F$54,BX301&lt;Driver!$G$54)</f>
        <v>1</v>
      </c>
      <c r="F301" s="43" t="b">
        <f>CL301&gt;Driver!$F$56</f>
        <v>1</v>
      </c>
      <c r="G301" s="43" t="b">
        <f>AND(CB301&gt;Driver!$F$55,CB301&lt;Driver!$G$55)</f>
        <v>0</v>
      </c>
      <c r="H301" s="43" t="b">
        <f t="shared" si="148"/>
        <v>0</v>
      </c>
      <c r="I301" s="43">
        <f t="shared" si="149"/>
        <v>0</v>
      </c>
      <c r="J301" s="43" t="b">
        <f t="array" ref="J301">NOT(OR(($H$9:$H$1273=TRUE)*($I$9:$I$1273&gt;0)*($BT$9:$BT$1273=BT301)*($K$9:$K$1273&gt;K301)))</f>
        <v>1</v>
      </c>
      <c r="K301" s="72">
        <f t="shared" si="150"/>
        <v>0.82620415416581849</v>
      </c>
      <c r="L301" s="72">
        <f t="shared" si="151"/>
        <v>0.91498532844995606</v>
      </c>
      <c r="M301" s="72">
        <f t="shared" si="152"/>
        <v>0.73742297988168093</v>
      </c>
      <c r="N301" s="72">
        <f t="shared" si="153"/>
        <v>0.7125775379494681</v>
      </c>
      <c r="O301" s="72">
        <f t="shared" si="154"/>
        <v>0.61091316888346259</v>
      </c>
      <c r="P301" s="72">
        <f t="shared" si="155"/>
        <v>0.88877823281211221</v>
      </c>
      <c r="Q301" s="72"/>
      <c r="R301" s="72"/>
      <c r="S301" s="72">
        <f t="shared" si="156"/>
        <v>0.45288660649122214</v>
      </c>
      <c r="T301" s="72">
        <f t="shared" si="157"/>
        <v>0.49728628213669235</v>
      </c>
      <c r="U301" s="72">
        <f t="shared" si="158"/>
        <v>0.55701150447043157</v>
      </c>
      <c r="V301" s="72">
        <f t="shared" si="159"/>
        <v>0.51024796809755602</v>
      </c>
      <c r="W301" s="72">
        <f t="shared" si="160"/>
        <v>0.78063933538016972</v>
      </c>
      <c r="X301" s="72">
        <f t="shared" si="161"/>
        <v>8.5014671550043941E-2</v>
      </c>
      <c r="Y301" s="72">
        <f t="shared" si="162"/>
        <v>0.26257702011831902</v>
      </c>
      <c r="Z301" s="72">
        <f t="shared" si="163"/>
        <v>0.28742246205053196</v>
      </c>
      <c r="AA301" s="72">
        <f t="shared" si="164"/>
        <v>0.38908683111653741</v>
      </c>
      <c r="AB301" s="72">
        <f t="shared" si="165"/>
        <v>0.11122176718788779</v>
      </c>
      <c r="AC301" s="72"/>
      <c r="AD301" s="72"/>
      <c r="AE301" s="72">
        <f t="shared" si="166"/>
        <v>0.54711339350877786</v>
      </c>
      <c r="AF301" s="72">
        <f t="shared" si="167"/>
        <v>0.50271371786330765</v>
      </c>
      <c r="AG301" s="72">
        <f t="shared" si="168"/>
        <v>0.44298849552956843</v>
      </c>
      <c r="AH301" s="72">
        <f t="shared" si="169"/>
        <v>0.48975203190244398</v>
      </c>
      <c r="AI301" s="72">
        <f t="shared" si="170"/>
        <v>0.21936066461983023</v>
      </c>
      <c r="AJ301" s="72">
        <f>(AV301-Driver!$K$179)/(Driver!$L$179-Driver!$K$179)</f>
        <v>0.16920473773265648</v>
      </c>
      <c r="AK301" s="72">
        <f>(AW301-Driver!$K$180)/(Driver!$L$180-Driver!$K$180)</f>
        <v>0.36946363552460787</v>
      </c>
      <c r="AL301" s="72">
        <f>(AX301-Driver!$K$181)/(Driver!$L$181-Driver!$K$181)</f>
        <v>0.38911022576361215</v>
      </c>
      <c r="AM301" s="72">
        <f>(AY301-Driver!$K$182)/(Driver!$L$182-Driver!$K$182)</f>
        <v>5.8298189980508924E-2</v>
      </c>
      <c r="AN301" s="72">
        <f>(AZ301-Driver!$K$183)/(Driver!$L$183-Driver!$K$183)</f>
        <v>0.36544117647058821</v>
      </c>
      <c r="AO301" s="72"/>
      <c r="AP301" s="72"/>
      <c r="AQ301" s="72">
        <f>(BC301-Driver!$K$188)/(Driver!$L$188-Driver!$K$188)</f>
        <v>7.2886606491222139E-2</v>
      </c>
      <c r="AR301" s="72">
        <f>MIN((BD301-Driver!$K$189)/(Driver!$L$189-Driver!$K$189),100%)</f>
        <v>4.728628213669242E-2</v>
      </c>
      <c r="AS301" s="72">
        <f>(BE301-Driver!$K$190)/(Driver!$L$190-Driver!$K$190)</f>
        <v>0.95298849552956844</v>
      </c>
      <c r="AT301" s="72">
        <f>(BF301-Driver!$K$191)/(Driver!$L$191-Driver!$K$191)</f>
        <v>2.0247968097556024E-2</v>
      </c>
      <c r="AU301" s="72">
        <f>(BG301-Driver!$K$192)/(Driver!$L$192-Driver!$K$192)</f>
        <v>3.0639335380169767E-2</v>
      </c>
      <c r="AV301" s="70">
        <f t="shared" si="171"/>
        <v>3.5612535612535612</v>
      </c>
      <c r="AW301" s="70">
        <f t="shared" si="172"/>
        <v>37.879397684178493</v>
      </c>
      <c r="AX301" s="70">
        <f t="shared" si="173"/>
        <v>4.5019920318725095</v>
      </c>
      <c r="AY301" s="70">
        <f>IFERROR(Driver!$K$19/Data!BH301/Data!BI301*Data!BK301*Data!BL301,"")</f>
        <v>7.1374379037183203E-2</v>
      </c>
      <c r="AZ301" s="70">
        <f t="shared" si="174"/>
        <v>33.3060312732688</v>
      </c>
      <c r="BA301" s="70"/>
      <c r="BB301" s="70"/>
      <c r="BC301" s="70">
        <f t="shared" si="175"/>
        <v>37.806789486464773</v>
      </c>
      <c r="BD301" s="70">
        <f t="shared" si="176"/>
        <v>5.9055750668609575</v>
      </c>
      <c r="BE301" s="70">
        <f t="shared" si="177"/>
        <v>0.95299688185282894</v>
      </c>
      <c r="BF301" s="70">
        <f t="shared" si="178"/>
        <v>2.286865746592277</v>
      </c>
      <c r="BG301" s="70">
        <f t="shared" si="179"/>
        <v>0.11602006953223769</v>
      </c>
      <c r="BH301" s="67">
        <f>MAX((CE301-Driver!$F$200)/(Driver!$G$200-Driver!$F$200)*$BI$1,1)</f>
        <v>4.5019920318725095</v>
      </c>
      <c r="BI301" s="67">
        <f>MAX($BI$1*(BY301-Driver!$F$201)/(Driver!$G$201-Driver!$F$201),1)</f>
        <v>7.9746835443037973</v>
      </c>
      <c r="BJ301" s="67">
        <f>(CB301-Driver!$F$206)/(Driver!$G$206-Driver!$F$206)*$BI$1</f>
        <v>4.7619047619047619</v>
      </c>
      <c r="BK301" s="67">
        <f>(CD301-Driver!$F$203)/(Driver!$G$203-Driver!$F$203)*$BI$1</f>
        <v>2.4770642201834865</v>
      </c>
      <c r="BL301" s="67">
        <f>MAX((CR301-Driver!$F$202)/(Driver!$G$202-Driver!$F$202)*$BI$1,1)</f>
        <v>5.1724137931034484</v>
      </c>
      <c r="BM301" s="67">
        <f>MAX((CH301-Driver!$F$204)/(Driver!$G$204-Driver!$F$204)*$BI$1,1)</f>
        <v>2.9914529914529915</v>
      </c>
      <c r="BN301" s="67">
        <f>(CI301-Driver!$F$205)/(Driver!$G$205-Driver!$F$205)*$BI$1</f>
        <v>4.1764705882352944</v>
      </c>
      <c r="BO301" s="67">
        <f>(CK301-Driver!$F$207)/(Driver!$G$207-Driver!$F$207)*$BI$1</f>
        <v>1.2306101344364011</v>
      </c>
      <c r="BP301" s="67">
        <f>(CM301-Driver!$F$208)/(Driver!$G$208-Driver!$F$208)*$BI$1</f>
        <v>0.96666666666666667</v>
      </c>
      <c r="BQ301" s="67">
        <f>(CL301-Driver!$F$209)/(Driver!$G$209-Driver!$F$209)*$BI$1</f>
        <v>1.5625</v>
      </c>
      <c r="BR301" s="28" t="s">
        <v>155</v>
      </c>
      <c r="BS301" s="8" t="s">
        <v>213</v>
      </c>
      <c r="BT301" s="9" t="s">
        <v>504</v>
      </c>
      <c r="BU301" s="10">
        <v>166</v>
      </c>
      <c r="BV301" s="9" t="s">
        <v>158</v>
      </c>
      <c r="BW301" s="10">
        <v>166</v>
      </c>
      <c r="BX301" s="10">
        <v>165.3</v>
      </c>
      <c r="BY301" s="10">
        <v>134</v>
      </c>
      <c r="BZ301" s="10">
        <v>144</v>
      </c>
      <c r="CA301" s="10">
        <v>131</v>
      </c>
      <c r="CB301" s="10">
        <v>94</v>
      </c>
      <c r="CC301" s="10">
        <v>122</v>
      </c>
      <c r="CD301" s="10">
        <v>14.8</v>
      </c>
      <c r="CE301" s="10">
        <v>1691</v>
      </c>
      <c r="CF301" s="10">
        <v>1.04</v>
      </c>
      <c r="CG301" s="10">
        <v>1762</v>
      </c>
      <c r="CH301" s="10">
        <v>171</v>
      </c>
      <c r="CI301" s="10">
        <v>104</v>
      </c>
      <c r="CJ301" s="10">
        <v>48</v>
      </c>
      <c r="CK301" s="10">
        <v>229</v>
      </c>
      <c r="CL301" s="10">
        <v>10</v>
      </c>
      <c r="CM301" s="10">
        <v>87</v>
      </c>
      <c r="CN301" s="10">
        <v>0.20300000000000001</v>
      </c>
      <c r="CO301" s="10">
        <v>157</v>
      </c>
      <c r="CP301" s="10">
        <v>61</v>
      </c>
      <c r="CQ301" s="10">
        <v>72</v>
      </c>
      <c r="CR301" s="10">
        <v>4</v>
      </c>
      <c r="CS301" s="10">
        <v>13.3</v>
      </c>
      <c r="CT301" s="9" t="s">
        <v>188</v>
      </c>
      <c r="CU301" s="10"/>
      <c r="CV301" s="10"/>
      <c r="CW301" s="10"/>
      <c r="CX301" t="e">
        <f>INDEX('Data_Price '!AG$2:AG$1266,MATCH(Data!$DN301,'Data_Price '!$AT$2:$AT$1266,0))</f>
        <v>#N/A</v>
      </c>
      <c r="CY301" t="e">
        <f>INDEX('Data_Price '!AH$2:AH$1266,MATCH(Data!$DN301,'Data_Price '!$AT$2:$AT$1266,0))</f>
        <v>#N/A</v>
      </c>
      <c r="CZ301" t="e">
        <f>INDEX('Data_Price '!AI$2:AI$1266,MATCH(Data!$DN301,'Data_Price '!$AT$2:$AT$1266,0))</f>
        <v>#N/A</v>
      </c>
      <c r="DA301" t="e">
        <f>INDEX('Data_Price '!AJ$2:AJ$1266,MATCH(Data!$DN301,'Data_Price '!$AT$2:$AT$1266,0))</f>
        <v>#N/A</v>
      </c>
      <c r="DB301" t="e">
        <f>INDEX('Data_Price '!AK$2:AK$1266,MATCH(Data!$DN301,'Data_Price '!$AT$2:$AT$1266,0))</f>
        <v>#N/A</v>
      </c>
      <c r="DC301" t="e">
        <f>INDEX('Data_Price '!AL$2:AL$1266,MATCH(Data!$DN301,'Data_Price '!$AT$2:$AT$1266,0))</f>
        <v>#N/A</v>
      </c>
      <c r="DD301" t="e">
        <f>INDEX('Data_Price '!AM$2:AM$1266,MATCH(Data!$DN301,'Data_Price '!$AT$2:$AT$1266,0))</f>
        <v>#N/A</v>
      </c>
      <c r="DE301" t="e">
        <f>INDEX('Data_Price '!AN$2:AN$1266,MATCH(Data!$DN301,'Data_Price '!$AT$2:$AT$1266,0))</f>
        <v>#N/A</v>
      </c>
      <c r="DF301" t="e">
        <f>INDEX('Data_Price '!AO$2:AO$1266,MATCH(Data!$DN301,'Data_Price '!$AT$2:$AT$1266,0))</f>
        <v>#N/A</v>
      </c>
      <c r="DG301" t="e">
        <f>INDEX('Data_Price '!AP$2:AP$1266,MATCH(Data!$DN301,'Data_Price '!$AT$2:$AT$1266,0))</f>
        <v>#N/A</v>
      </c>
      <c r="DH301" t="e">
        <f>INDEX('Data_Price '!AQ$2:AQ$1266,MATCH(Data!$DN301,'Data_Price '!$AT$2:$AT$1266,0))</f>
        <v>#N/A</v>
      </c>
      <c r="DI301" t="e">
        <f>INDEX('Data_Price '!AR$2:AR$1266,MATCH(Data!$DN301,'Data_Price '!$AT$2:$AT$1266,0))</f>
        <v>#N/A</v>
      </c>
      <c r="DJ301" s="89" t="e">
        <f t="shared" si="180"/>
        <v>#N/A</v>
      </c>
      <c r="DK301" s="89" t="e">
        <f t="shared" si="181"/>
        <v>#N/A</v>
      </c>
      <c r="DL301" s="89" t="e">
        <f t="shared" si="182"/>
        <v>#N/A</v>
      </c>
      <c r="DM301" s="219" t="str">
        <f t="shared" si="183"/>
        <v>Stormrider 95</v>
      </c>
      <c r="DN301" s="89" t="str">
        <f t="shared" si="184"/>
        <v xml:space="preserve"> StöckliStormrider 95166 Unisex</v>
      </c>
      <c r="DO301" s="221"/>
    </row>
    <row r="302" spans="2:119" ht="15.6" customHeight="1">
      <c r="B302" s="219" t="b">
        <f t="array" ref="B302">IF(OR(ISERROR(K302:P302)),FALSE,TRUE)</f>
        <v>1</v>
      </c>
      <c r="C302" s="43" t="b">
        <f>OR(BR302=Driver!$G$50,Data!BR683=Driver!$H$50)</f>
        <v>1</v>
      </c>
      <c r="D302" s="43" t="b">
        <f>OR(BV302=Driver!$G$51,BV302=Driver!$H$51)</f>
        <v>1</v>
      </c>
      <c r="E302" s="43" t="b">
        <f>AND(BX302&gt;Driver!$F$54,BX302&lt;Driver!$G$54)</f>
        <v>0</v>
      </c>
      <c r="F302" s="43" t="b">
        <f>CL302&gt;Driver!$F$56</f>
        <v>1</v>
      </c>
      <c r="G302" s="43" t="b">
        <f>AND(CB302&gt;Driver!$F$55,CB302&lt;Driver!$G$55)</f>
        <v>1</v>
      </c>
      <c r="H302" s="43" t="b">
        <f t="shared" si="148"/>
        <v>0</v>
      </c>
      <c r="I302" s="43">
        <f t="shared" si="149"/>
        <v>0</v>
      </c>
      <c r="J302" s="43" t="b">
        <f t="array" ref="J302">NOT(OR(($H$9:$H$1273=TRUE)*($I$9:$I$1273&gt;0)*($BT$9:$BT$1273=BT302)*($K$9:$K$1273&gt;K302)))</f>
        <v>1</v>
      </c>
      <c r="K302" s="72">
        <f t="shared" si="150"/>
        <v>0.74240617075367954</v>
      </c>
      <c r="L302" s="72">
        <f t="shared" si="151"/>
        <v>0.73919241709834771</v>
      </c>
      <c r="M302" s="72">
        <f t="shared" si="152"/>
        <v>0.74561992440901115</v>
      </c>
      <c r="N302" s="72">
        <f t="shared" si="153"/>
        <v>0.6455440844618312</v>
      </c>
      <c r="O302" s="72">
        <f t="shared" si="154"/>
        <v>0.62892634484197907</v>
      </c>
      <c r="P302" s="72">
        <f t="shared" si="155"/>
        <v>0.96238934392322339</v>
      </c>
      <c r="Q302" s="72"/>
      <c r="R302" s="72"/>
      <c r="S302" s="72">
        <f t="shared" si="156"/>
        <v>0.43941926998659109</v>
      </c>
      <c r="T302" s="72">
        <f t="shared" si="157"/>
        <v>0.49420619268188004</v>
      </c>
      <c r="U302" s="72">
        <f t="shared" si="158"/>
        <v>0.505391107995524</v>
      </c>
      <c r="V302" s="72">
        <f t="shared" si="159"/>
        <v>0.67515856504650607</v>
      </c>
      <c r="W302" s="72">
        <f t="shared" si="160"/>
        <v>0.82509590792838872</v>
      </c>
      <c r="X302" s="72">
        <f t="shared" si="161"/>
        <v>0.26080758290165224</v>
      </c>
      <c r="Y302" s="72">
        <f t="shared" si="162"/>
        <v>0.2543800755909888</v>
      </c>
      <c r="Z302" s="72">
        <f t="shared" si="163"/>
        <v>0.3544559155381688</v>
      </c>
      <c r="AA302" s="72">
        <f t="shared" si="164"/>
        <v>0.37107365515802088</v>
      </c>
      <c r="AB302" s="72">
        <f t="shared" si="165"/>
        <v>3.7610656076776661E-2</v>
      </c>
      <c r="AC302" s="72"/>
      <c r="AD302" s="72"/>
      <c r="AE302" s="72">
        <f t="shared" si="166"/>
        <v>0.56058073001340891</v>
      </c>
      <c r="AF302" s="72">
        <f t="shared" si="167"/>
        <v>0.50579380731811996</v>
      </c>
      <c r="AG302" s="72">
        <f t="shared" si="168"/>
        <v>0.49460889200447605</v>
      </c>
      <c r="AH302" s="72">
        <f t="shared" si="169"/>
        <v>0.32484143495349393</v>
      </c>
      <c r="AI302" s="72">
        <f t="shared" si="170"/>
        <v>0.17490409207161128</v>
      </c>
      <c r="AJ302" s="72">
        <f>(AV302-Driver!$K$179)/(Driver!$L$179-Driver!$K$179)</f>
        <v>0.51502699218435266</v>
      </c>
      <c r="AK302" s="72">
        <f>(AW302-Driver!$K$180)/(Driver!$L$180-Driver!$K$180)</f>
        <v>0.30704236238585092</v>
      </c>
      <c r="AL302" s="72">
        <f>(AX302-Driver!$K$181)/(Driver!$L$181-Driver!$K$181)</f>
        <v>0.45614367925124899</v>
      </c>
      <c r="AM302" s="72">
        <f>(AY302-Driver!$K$182)/(Driver!$L$182-Driver!$K$182)</f>
        <v>7.6311365939025502E-2</v>
      </c>
      <c r="AN302" s="72">
        <f>(AZ302-Driver!$K$183)/(Driver!$L$183-Driver!$K$183)</f>
        <v>0.29183006535947709</v>
      </c>
      <c r="AO302" s="72"/>
      <c r="AP302" s="72"/>
      <c r="AQ302" s="72">
        <f>(BC302-Driver!$K$188)/(Driver!$L$188-Driver!$K$188)</f>
        <v>5.9419269986591132E-2</v>
      </c>
      <c r="AR302" s="72">
        <f>MIN((BD302-Driver!$K$189)/(Driver!$L$189-Driver!$K$189),100%)</f>
        <v>4.420619268188012E-2</v>
      </c>
      <c r="AS302" s="72">
        <f>(BE302-Driver!$K$190)/(Driver!$L$190-Driver!$K$190)</f>
        <v>1.5391107995523949E-2</v>
      </c>
      <c r="AT302" s="72">
        <f>(BF302-Driver!$K$191)/(Driver!$L$191-Driver!$K$191)</f>
        <v>0.18515856504650607</v>
      </c>
      <c r="AU302" s="72">
        <f>(BG302-Driver!$K$192)/(Driver!$L$192-Driver!$K$192)</f>
        <v>7.509590792838873E-2</v>
      </c>
      <c r="AV302" s="70">
        <f t="shared" si="171"/>
        <v>10.839777506444175</v>
      </c>
      <c r="AW302" s="70">
        <f t="shared" si="172"/>
        <v>31.795891508059746</v>
      </c>
      <c r="AX302" s="70">
        <f t="shared" si="173"/>
        <v>5.1052931132612409</v>
      </c>
      <c r="AY302" s="70">
        <f>IFERROR(Driver!$K$19/Data!BH302/Data!BI302*Data!BK302*Data!BL302,"")</f>
        <v>9.3427881023376666E-2</v>
      </c>
      <c r="AZ302" s="70">
        <f t="shared" si="174"/>
        <v>26.597170513775129</v>
      </c>
      <c r="BA302" s="70"/>
      <c r="BB302" s="70"/>
      <c r="BC302" s="70">
        <f t="shared" si="175"/>
        <v>30.821188418108193</v>
      </c>
      <c r="BD302" s="70">
        <f t="shared" si="176"/>
        <v>5.6329926077056403</v>
      </c>
      <c r="BE302" s="70">
        <f t="shared" si="177"/>
        <v>1.5566751139612414E-2</v>
      </c>
      <c r="BF302" s="70">
        <f t="shared" si="178"/>
        <v>20.91235910946255</v>
      </c>
      <c r="BG302" s="70">
        <f t="shared" si="179"/>
        <v>0.28436101342710995</v>
      </c>
      <c r="BH302" s="67">
        <f>MAX((CE302-Driver!$F$200)/(Driver!$G$200-Driver!$F$200)*$BI$1,1)</f>
        <v>5.1052931132612409</v>
      </c>
      <c r="BI302" s="67">
        <f>MAX($BI$1*(BY302-Driver!$F$201)/(Driver!$G$201-Driver!$F$201),1)</f>
        <v>5.9493670886075947</v>
      </c>
      <c r="BJ302" s="67">
        <f>(CB302-Driver!$F$206)/(Driver!$G$206-Driver!$F$206)*$BI$1</f>
        <v>7.4603174603174605</v>
      </c>
      <c r="BK302" s="67">
        <f>(CD302-Driver!$F$203)/(Driver!$G$203-Driver!$F$203)*$BI$1</f>
        <v>3.1651376146788994</v>
      </c>
      <c r="BL302" s="67">
        <f>MAX((CR302-Driver!$F$202)/(Driver!$G$202-Driver!$F$202)*$BI$1,1)</f>
        <v>4.4827586206896548</v>
      </c>
      <c r="BM302" s="67">
        <f>MAX((CH302-Driver!$F$204)/(Driver!$G$204-Driver!$F$204)*$BI$1,1)</f>
        <v>5.8119658119658126</v>
      </c>
      <c r="BN302" s="67">
        <f>(CI302-Driver!$F$205)/(Driver!$G$205-Driver!$F$205)*$BI$1</f>
        <v>4.4705882352941178</v>
      </c>
      <c r="BO302" s="67">
        <f>(CK302-Driver!$F$207)/(Driver!$G$207-Driver!$F$207)*$BI$1</f>
        <v>2.6266804550155118</v>
      </c>
      <c r="BP302" s="67">
        <f>(CM302-Driver!$F$208)/(Driver!$G$208-Driver!$F$208)*$BI$1</f>
        <v>3.3777777777777778</v>
      </c>
      <c r="BQ302" s="67">
        <f>(CL302-Driver!$F$209)/(Driver!$G$209-Driver!$F$209)*$BI$1</f>
        <v>8.4375</v>
      </c>
      <c r="BR302" s="28" t="s">
        <v>155</v>
      </c>
      <c r="BS302" s="8" t="s">
        <v>295</v>
      </c>
      <c r="BT302" s="9" t="s">
        <v>458</v>
      </c>
      <c r="BU302" s="10">
        <v>171</v>
      </c>
      <c r="BV302" s="9" t="s">
        <v>158</v>
      </c>
      <c r="BW302" s="10">
        <v>171</v>
      </c>
      <c r="BX302" s="10">
        <v>168.7</v>
      </c>
      <c r="BY302" s="10">
        <v>102</v>
      </c>
      <c r="BZ302" s="10">
        <v>142</v>
      </c>
      <c r="CA302" s="10">
        <v>145</v>
      </c>
      <c r="CB302" s="10">
        <v>111</v>
      </c>
      <c r="CC302" s="10">
        <v>136</v>
      </c>
      <c r="CD302" s="10">
        <v>16.3</v>
      </c>
      <c r="CE302" s="10">
        <v>1797</v>
      </c>
      <c r="CF302" s="10">
        <v>1.1399999999999999</v>
      </c>
      <c r="CG302" s="10">
        <v>2052</v>
      </c>
      <c r="CH302" s="10">
        <v>237</v>
      </c>
      <c r="CI302" s="10">
        <v>109</v>
      </c>
      <c r="CJ302" s="10">
        <v>60</v>
      </c>
      <c r="CK302" s="10">
        <v>364</v>
      </c>
      <c r="CL302" s="10">
        <v>54</v>
      </c>
      <c r="CM302" s="10">
        <v>304</v>
      </c>
      <c r="CN302" s="10">
        <v>0.91300000000000003</v>
      </c>
      <c r="CO302" s="10">
        <v>134</v>
      </c>
      <c r="CP302" s="10">
        <v>136</v>
      </c>
      <c r="CQ302" s="10">
        <v>230</v>
      </c>
      <c r="CR302" s="10">
        <v>2</v>
      </c>
      <c r="CS302" s="10">
        <v>8.6</v>
      </c>
      <c r="CT302" s="9" t="s">
        <v>184</v>
      </c>
      <c r="CU302" s="9" t="s">
        <v>169</v>
      </c>
      <c r="CV302" s="9" t="s">
        <v>185</v>
      </c>
      <c r="CW302" s="10"/>
      <c r="CX302" t="str">
        <f>INDEX('Data_Price '!AG$2:AG$1266,MATCH(Data!$DN302,'Data_Price '!$AT$2:$AT$1266,0))</f>
        <v>Icelantic Nomad 105 Lite Skis Â· 2022 Â· 171 cm</v>
      </c>
      <c r="CY302" t="str">
        <f>INDEX('Data_Price '!AH$2:AH$1266,MATCH(Data!$DN302,'Data_Price '!$AT$2:$AT$1266,0))</f>
        <v>REI</v>
      </c>
      <c r="CZ302">
        <f>INDEX('Data_Price '!AI$2:AI$1266,MATCH(Data!$DN302,'Data_Price '!$AT$2:$AT$1266,0))</f>
        <v>598.92999999999995</v>
      </c>
      <c r="DA302" t="str">
        <f>INDEX('Data_Price '!AJ$2:AJ$1266,MATCH(Data!$DN302,'Data_Price '!$AT$2:$AT$1266,0))</f>
        <v>https://tinyurl.com/ycz9cdom</v>
      </c>
      <c r="DB302" t="str">
        <f>INDEX('Data_Price '!AK$2:AK$1266,MATCH(Data!$DN302,'Data_Price '!$AT$2:$AT$1266,0))</f>
        <v>Icelantic Nomad 105 Lite Skis Â· 2022 Â· 171 cm</v>
      </c>
      <c r="DC302" t="str">
        <f>INDEX('Data_Price '!AL$2:AL$1266,MATCH(Data!$DN302,'Data_Price '!$AT$2:$AT$1266,0))</f>
        <v>Teton Wasatch Ski Co.</v>
      </c>
      <c r="DD302">
        <f>INDEX('Data_Price '!AM$2:AM$1266,MATCH(Data!$DN302,'Data_Price '!$AT$2:$AT$1266,0))</f>
        <v>599</v>
      </c>
      <c r="DE302" t="str">
        <f>INDEX('Data_Price '!AN$2:AN$1266,MATCH(Data!$DN302,'Data_Price '!$AT$2:$AT$1266,0))</f>
        <v>https://tinyurl.com/y9hd466n</v>
      </c>
      <c r="DF302" t="str">
        <f>INDEX('Data_Price '!AO$2:AO$1266,MATCH(Data!$DN302,'Data_Price '!$AT$2:$AT$1266,0))</f>
        <v>Icelantic Nomad 105 Lite Skis Â· 2022 Â· 171 cm</v>
      </c>
      <c r="DG302" t="str">
        <f>INDEX('Data_Price '!AP$2:AP$1266,MATCH(Data!$DN302,'Data_Price '!$AT$2:$AT$1266,0))</f>
        <v>Ski World</v>
      </c>
      <c r="DH302">
        <f>INDEX('Data_Price '!AQ$2:AQ$1266,MATCH(Data!$DN302,'Data_Price '!$AT$2:$AT$1266,0))</f>
        <v>799</v>
      </c>
      <c r="DI302" t="str">
        <f>INDEX('Data_Price '!AR$2:AR$1266,MATCH(Data!$DN302,'Data_Price '!$AT$2:$AT$1266,0))</f>
        <v>https://tinyurl.com/yccnfbpc</v>
      </c>
      <c r="DJ302" s="89" t="str">
        <f t="shared" si="180"/>
        <v>https://tinyurl.com/ycz9cdom</v>
      </c>
      <c r="DK302" s="89" t="str">
        <f t="shared" si="181"/>
        <v>https://tinyurl.com/y9hd466n</v>
      </c>
      <c r="DL302" s="89" t="str">
        <f t="shared" si="182"/>
        <v>https://tinyurl.com/yccnfbpc</v>
      </c>
      <c r="DM302" s="219" t="str">
        <f t="shared" si="183"/>
        <v>Nomad Lite 105</v>
      </c>
      <c r="DN302" s="89" t="str">
        <f t="shared" si="184"/>
        <v xml:space="preserve"> IcelanticNomad Lite 105171 Unisex</v>
      </c>
      <c r="DO302" s="221" t="s">
        <v>459</v>
      </c>
    </row>
    <row r="303" spans="2:119" ht="15.6" customHeight="1">
      <c r="B303" s="219" t="b">
        <f t="array" ref="B303">IF(OR(ISERROR(K303:P303)),FALSE,TRUE)</f>
        <v>1</v>
      </c>
      <c r="C303" s="43" t="b">
        <f>OR(BR303=Driver!$G$50,Data!BR42=Driver!$H$50)</f>
        <v>1</v>
      </c>
      <c r="D303" s="43" t="b">
        <f>OR(BV303=Driver!$G$51,BV303=Driver!$H$51)</f>
        <v>1</v>
      </c>
      <c r="E303" s="43" t="b">
        <f>AND(BX303&gt;Driver!$F$54,BX303&lt;Driver!$G$54)</f>
        <v>0</v>
      </c>
      <c r="F303" s="43" t="b">
        <f>CL303&gt;Driver!$F$56</f>
        <v>1</v>
      </c>
      <c r="G303" s="43" t="b">
        <f>AND(CB303&gt;Driver!$F$55,CB303&lt;Driver!$G$55)</f>
        <v>0</v>
      </c>
      <c r="H303" s="43" t="b">
        <f t="shared" si="148"/>
        <v>0</v>
      </c>
      <c r="I303" s="43">
        <f t="shared" si="149"/>
        <v>0</v>
      </c>
      <c r="J303" s="43" t="b">
        <f t="array" ref="J303">NOT(OR(($H$9:$H$1273=TRUE)*($I$9:$I$1273&gt;0)*($BT$9:$BT$1273=BT303)*($K$9:$K$1273&gt;K303)))</f>
        <v>1</v>
      </c>
      <c r="K303" s="72">
        <f t="shared" si="150"/>
        <v>0.83383354041630242</v>
      </c>
      <c r="L303" s="72">
        <f t="shared" si="151"/>
        <v>0.88066093879561724</v>
      </c>
      <c r="M303" s="72">
        <f t="shared" si="152"/>
        <v>0.78700614203698771</v>
      </c>
      <c r="N303" s="72">
        <f t="shared" si="153"/>
        <v>0.6885466772652209</v>
      </c>
      <c r="O303" s="72">
        <f t="shared" si="154"/>
        <v>0.70264776439964294</v>
      </c>
      <c r="P303" s="72">
        <f t="shared" si="155"/>
        <v>0.96982398444609919</v>
      </c>
      <c r="Q303" s="72"/>
      <c r="R303" s="72"/>
      <c r="S303" s="72">
        <f t="shared" si="156"/>
        <v>0.47609965416697475</v>
      </c>
      <c r="T303" s="72">
        <f t="shared" si="157"/>
        <v>0.47501873659537019</v>
      </c>
      <c r="U303" s="72">
        <f t="shared" si="158"/>
        <v>0.59004172162599722</v>
      </c>
      <c r="V303" s="72">
        <f t="shared" si="159"/>
        <v>0.51790476275629571</v>
      </c>
      <c r="W303" s="72">
        <f t="shared" si="160"/>
        <v>0.89021913952553278</v>
      </c>
      <c r="X303" s="72">
        <f t="shared" si="161"/>
        <v>0.11933906120438281</v>
      </c>
      <c r="Y303" s="72">
        <f t="shared" si="162"/>
        <v>0.21299385796301232</v>
      </c>
      <c r="Z303" s="72">
        <f t="shared" si="163"/>
        <v>0.31145332273477916</v>
      </c>
      <c r="AA303" s="72">
        <f t="shared" si="164"/>
        <v>0.29735223560035706</v>
      </c>
      <c r="AB303" s="72">
        <f t="shared" si="165"/>
        <v>3.017601555390087E-2</v>
      </c>
      <c r="AC303" s="72"/>
      <c r="AD303" s="72"/>
      <c r="AE303" s="72">
        <f t="shared" si="166"/>
        <v>0.52390034583302525</v>
      </c>
      <c r="AF303" s="72">
        <f t="shared" si="167"/>
        <v>0.52498126340462981</v>
      </c>
      <c r="AG303" s="72">
        <f t="shared" si="168"/>
        <v>0.40995827837400273</v>
      </c>
      <c r="AH303" s="72">
        <f t="shared" si="169"/>
        <v>0.48209523724370429</v>
      </c>
      <c r="AI303" s="72">
        <f t="shared" si="170"/>
        <v>0.10978086047446725</v>
      </c>
      <c r="AJ303" s="72">
        <f>(AV303-Driver!$K$179)/(Driver!$L$179-Driver!$K$179)</f>
        <v>0.13488034807831761</v>
      </c>
      <c r="AK303" s="72">
        <f>(AW303-Driver!$K$180)/(Driver!$L$180-Driver!$K$180)</f>
        <v>0.29704477157651943</v>
      </c>
      <c r="AL303" s="72">
        <f>(AX303-Driver!$K$181)/(Driver!$L$181-Driver!$K$181)</f>
        <v>0.41314108644785935</v>
      </c>
      <c r="AM303" s="72">
        <f>(AY303-Driver!$K$182)/(Driver!$L$182-Driver!$K$182)</f>
        <v>0.1500327854966893</v>
      </c>
      <c r="AN303" s="72">
        <f>(AZ303-Driver!$K$183)/(Driver!$L$183-Driver!$K$183)</f>
        <v>0.2843954248366013</v>
      </c>
      <c r="AO303" s="72"/>
      <c r="AP303" s="72"/>
      <c r="AQ303" s="72">
        <f>(BC303-Driver!$K$188)/(Driver!$L$188-Driver!$K$188)</f>
        <v>9.6099654166974788E-2</v>
      </c>
      <c r="AR303" s="72">
        <f>MIN((BD303-Driver!$K$189)/(Driver!$L$189-Driver!$K$189),100%)</f>
        <v>2.5018736595370291E-2</v>
      </c>
      <c r="AS303" s="72">
        <f>(BE303-Driver!$K$190)/(Driver!$L$190-Driver!$K$190)</f>
        <v>0.10004172162599728</v>
      </c>
      <c r="AT303" s="72">
        <f>(BF303-Driver!$K$191)/(Driver!$L$191-Driver!$K$191)</f>
        <v>2.7904762756295692E-2</v>
      </c>
      <c r="AU303" s="72">
        <f>(BG303-Driver!$K$192)/(Driver!$L$192-Driver!$K$192)</f>
        <v>0.14021913952553275</v>
      </c>
      <c r="AV303" s="70">
        <f t="shared" si="171"/>
        <v>2.838827838827839</v>
      </c>
      <c r="AW303" s="70">
        <f t="shared" si="172"/>
        <v>30.821537696023938</v>
      </c>
      <c r="AX303" s="70">
        <f t="shared" si="173"/>
        <v>4.7182697780307343</v>
      </c>
      <c r="AY303" s="70">
        <f>IFERROR(Driver!$K$19/Data!BH303/Data!BI303*Data!BK303*Data!BL303,"")</f>
        <v>0.18368489491055073</v>
      </c>
      <c r="AZ303" s="70">
        <f t="shared" si="174"/>
        <v>25.919583023082652</v>
      </c>
      <c r="BA303" s="70"/>
      <c r="BB303" s="70"/>
      <c r="BC303" s="70">
        <f t="shared" si="175"/>
        <v>49.847558690367038</v>
      </c>
      <c r="BD303" s="70">
        <f t="shared" si="176"/>
        <v>3.9349367422099286</v>
      </c>
      <c r="BE303" s="70">
        <f t="shared" si="177"/>
        <v>0.10020226405339731</v>
      </c>
      <c r="BF303" s="70">
        <f t="shared" si="178"/>
        <v>3.1516469112700287</v>
      </c>
      <c r="BG303" s="70">
        <f t="shared" si="179"/>
        <v>0.53095911238439886</v>
      </c>
      <c r="BH303" s="67">
        <f>MAX((CE303-Driver!$F$200)/(Driver!$G$200-Driver!$F$200)*$BI$1,1)</f>
        <v>4.7182697780307343</v>
      </c>
      <c r="BI303" s="67">
        <f>MAX($BI$1*(BY303-Driver!$F$201)/(Driver!$G$201-Driver!$F$201),1)</f>
        <v>7.4683544303797467</v>
      </c>
      <c r="BJ303" s="67">
        <f>(CB303-Driver!$F$206)/(Driver!$G$206-Driver!$F$206)*$BI$1</f>
        <v>4.92063492063492</v>
      </c>
      <c r="BK303" s="67">
        <f>(CD303-Driver!$F$203)/(Driver!$G$203-Driver!$F$203)*$BI$1</f>
        <v>4.2660550458715596</v>
      </c>
      <c r="BL303" s="67">
        <f>MAX((CR303-Driver!$F$202)/(Driver!$G$202-Driver!$F$202)*$BI$1,1)</f>
        <v>7.5862068965517242</v>
      </c>
      <c r="BM303" s="67">
        <f>MAX((CH303-Driver!$F$204)/(Driver!$G$204-Driver!$F$204)*$BI$1,1)</f>
        <v>2.3076923076923079</v>
      </c>
      <c r="BN303" s="67">
        <f>(CI303-Driver!$F$205)/(Driver!$G$205-Driver!$F$205)*$BI$1</f>
        <v>3.4705882352941178</v>
      </c>
      <c r="BO303" s="67">
        <f>(CK303-Driver!$F$207)/(Driver!$G$207-Driver!$F$207)*$BI$1</f>
        <v>1.199586349534643</v>
      </c>
      <c r="BP303" s="67">
        <f>(CM303-Driver!$F$208)/(Driver!$G$208-Driver!$F$208)*$BI$1</f>
        <v>2.2777777777777777</v>
      </c>
      <c r="BQ303" s="67">
        <f>(CL303-Driver!$F$209)/(Driver!$G$209-Driver!$F$209)*$BI$1</f>
        <v>5.78125</v>
      </c>
      <c r="BR303" s="28" t="s">
        <v>155</v>
      </c>
      <c r="BS303" s="8" t="s">
        <v>182</v>
      </c>
      <c r="BT303" s="9" t="s">
        <v>505</v>
      </c>
      <c r="BU303" s="10">
        <v>170</v>
      </c>
      <c r="BV303" s="9" t="s">
        <v>158</v>
      </c>
      <c r="BW303" s="10">
        <v>170</v>
      </c>
      <c r="BX303" s="10">
        <v>168.9</v>
      </c>
      <c r="BY303" s="10">
        <v>126</v>
      </c>
      <c r="BZ303" s="10">
        <v>141</v>
      </c>
      <c r="CA303" s="10">
        <v>123</v>
      </c>
      <c r="CB303" s="10">
        <v>95</v>
      </c>
      <c r="CC303" s="10">
        <v>115</v>
      </c>
      <c r="CD303" s="10">
        <v>18.7</v>
      </c>
      <c r="CE303" s="10">
        <v>1729</v>
      </c>
      <c r="CF303" s="10">
        <v>1.02</v>
      </c>
      <c r="CG303" s="10">
        <v>1755</v>
      </c>
      <c r="CH303" s="10">
        <v>155</v>
      </c>
      <c r="CI303" s="10">
        <v>92</v>
      </c>
      <c r="CJ303" s="10">
        <v>44</v>
      </c>
      <c r="CK303" s="10">
        <v>226</v>
      </c>
      <c r="CL303" s="10">
        <v>37</v>
      </c>
      <c r="CM303" s="10">
        <v>205</v>
      </c>
      <c r="CN303" s="10">
        <v>0.83599999999999997</v>
      </c>
      <c r="CO303" s="10">
        <v>135</v>
      </c>
      <c r="CP303" s="10">
        <v>141</v>
      </c>
      <c r="CQ303" s="10">
        <v>91</v>
      </c>
      <c r="CR303" s="10">
        <v>11</v>
      </c>
      <c r="CS303" s="10">
        <v>4.8</v>
      </c>
      <c r="CT303" s="9" t="s">
        <v>188</v>
      </c>
      <c r="CU303" s="9" t="s">
        <v>184</v>
      </c>
      <c r="CV303" s="10"/>
      <c r="CW303" s="10"/>
      <c r="CX303" t="str">
        <f>INDEX('Data_Price '!AG$2:AG$1266,MATCH(Data!$DN303,'Data_Price '!$AT$2:$AT$1266,0))</f>
        <v>Armada ARV 96 Limited Black-Grey-Purple-Orange 170 Ski Men</v>
      </c>
      <c r="CY303" t="str">
        <f>INDEX('Data_Price '!AH$2:AH$1266,MATCH(Data!$DN303,'Data_Price '!$AT$2:$AT$1266,0))</f>
        <v>! OutdoorXL.com</v>
      </c>
      <c r="CZ303">
        <f>INDEX('Data_Price '!AI$2:AI$1266,MATCH(Data!$DN303,'Data_Price '!$AT$2:$AT$1266,0))</f>
        <v>369.95</v>
      </c>
      <c r="DA303" t="str">
        <f>INDEX('Data_Price '!AJ$2:AJ$1266,MATCH(Data!$DN303,'Data_Price '!$AT$2:$AT$1266,0))</f>
        <v>https://tinyurl.com/ydbo29xj</v>
      </c>
      <c r="DB303" t="str">
        <f>INDEX('Data_Price '!AK$2:AK$1266,MATCH(Data!$DN303,'Data_Price '!$AT$2:$AT$1266,0))</f>
        <v>Armada ARV 96 Skis 2022</v>
      </c>
      <c r="DC303" t="str">
        <f>INDEX('Data_Price '!AL$2:AL$1266,MATCH(Data!$DN303,'Data_Price '!$AT$2:$AT$1266,0))</f>
        <v>The Mountain Air</v>
      </c>
      <c r="DD303">
        <f>INDEX('Data_Price '!AM$2:AM$1266,MATCH(Data!$DN303,'Data_Price '!$AT$2:$AT$1266,0))</f>
        <v>399.96</v>
      </c>
      <c r="DE303" t="str">
        <f>INDEX('Data_Price '!AN$2:AN$1266,MATCH(Data!$DN303,'Data_Price '!$AT$2:$AT$1266,0))</f>
        <v>https://tinyurl.com/ybtcwsxu</v>
      </c>
      <c r="DF303" t="str">
        <f>INDEX('Data_Price '!AO$2:AO$1266,MATCH(Data!$DN303,'Data_Price '!$AT$2:$AT$1266,0))</f>
        <v>Armada ARV 96 Skis 2022</v>
      </c>
      <c r="DG303" t="str">
        <f>INDEX('Data_Price '!AP$2:AP$1266,MATCH(Data!$DN303,'Data_Price '!$AT$2:$AT$1266,0))</f>
        <v>AlpineShopVT.com</v>
      </c>
      <c r="DH303">
        <f>INDEX('Data_Price '!AQ$2:AQ$1266,MATCH(Data!$DN303,'Data_Price '!$AT$2:$AT$1266,0))</f>
        <v>399.96</v>
      </c>
      <c r="DI303" t="str">
        <f>INDEX('Data_Price '!AR$2:AR$1266,MATCH(Data!$DN303,'Data_Price '!$AT$2:$AT$1266,0))</f>
        <v>https://tinyurl.com/ybrmdenw</v>
      </c>
      <c r="DJ303" s="89" t="str">
        <f t="shared" si="180"/>
        <v>https://tinyurl.com/ydbo29xj</v>
      </c>
      <c r="DK303" s="89" t="str">
        <f t="shared" si="181"/>
        <v>https://tinyurl.com/ybtcwsxu</v>
      </c>
      <c r="DL303" s="89" t="str">
        <f t="shared" si="182"/>
        <v>https://tinyurl.com/ybrmdenw</v>
      </c>
      <c r="DM303" s="219" t="str">
        <f t="shared" si="183"/>
        <v>ARV 96</v>
      </c>
      <c r="DN303" s="89" t="str">
        <f t="shared" si="184"/>
        <v xml:space="preserve"> ArmadaARV 96170 Unisex</v>
      </c>
      <c r="DO303" s="221" t="s">
        <v>506</v>
      </c>
    </row>
    <row r="304" spans="2:119" ht="15.6" customHeight="1">
      <c r="B304" s="219" t="b">
        <f t="array" ref="B304">IF(OR(ISERROR(K304:P304)),FALSE,TRUE)</f>
        <v>1</v>
      </c>
      <c r="C304" s="43" t="b">
        <f>OR(BR304=Driver!$G$50,Data!BR154=Driver!$H$50)</f>
        <v>1</v>
      </c>
      <c r="D304" s="43" t="b">
        <f>OR(BV304=Driver!$G$51,BV304=Driver!$H$51)</f>
        <v>0</v>
      </c>
      <c r="E304" s="43" t="b">
        <f>AND(BX304&gt;Driver!$F$54,BX304&lt;Driver!$G$54)</f>
        <v>1</v>
      </c>
      <c r="F304" s="43" t="b">
        <f>CL304&gt;Driver!$F$56</f>
        <v>1</v>
      </c>
      <c r="G304" s="43" t="b">
        <f>AND(CB304&gt;Driver!$F$55,CB304&lt;Driver!$G$55)</f>
        <v>0</v>
      </c>
      <c r="H304" s="43" t="b">
        <f t="shared" si="148"/>
        <v>0</v>
      </c>
      <c r="I304" s="43">
        <f t="shared" si="149"/>
        <v>0</v>
      </c>
      <c r="J304" s="43" t="b">
        <f t="array" ref="J304">NOT(OR(($H$9:$H$1273=TRUE)*($I$9:$I$1273&gt;0)*($BT$9:$BT$1273=BT304)*($K$9:$K$1273&gt;K304)))</f>
        <v>1</v>
      </c>
      <c r="K304" s="72">
        <f t="shared" si="150"/>
        <v>0.91106344682106166</v>
      </c>
      <c r="L304" s="72">
        <f t="shared" si="151"/>
        <v>0.9902600184197563</v>
      </c>
      <c r="M304" s="72">
        <f t="shared" si="152"/>
        <v>0.83186687522236713</v>
      </c>
      <c r="N304" s="72">
        <f t="shared" si="153"/>
        <v>0.84032053421836062</v>
      </c>
      <c r="O304" s="72">
        <f t="shared" si="154"/>
        <v>0.67788185367261766</v>
      </c>
      <c r="P304" s="72">
        <f t="shared" si="155"/>
        <v>0.97739823777612311</v>
      </c>
      <c r="Q304" s="72"/>
      <c r="R304" s="72"/>
      <c r="S304" s="72">
        <f t="shared" si="156"/>
        <v>0.44375617350596919</v>
      </c>
      <c r="T304" s="72">
        <f t="shared" si="157"/>
        <v>0.49729413734909622</v>
      </c>
      <c r="U304" s="72">
        <f t="shared" si="158"/>
        <v>0.71325504875574719</v>
      </c>
      <c r="V304" s="72">
        <f t="shared" si="159"/>
        <v>0.54205192664213508</v>
      </c>
      <c r="W304" s="72">
        <f t="shared" si="160"/>
        <v>0.7820033955857385</v>
      </c>
      <c r="X304" s="72">
        <f t="shared" si="161"/>
        <v>9.7399815802436951E-3</v>
      </c>
      <c r="Y304" s="72">
        <f t="shared" si="162"/>
        <v>0.1681331247776329</v>
      </c>
      <c r="Z304" s="72">
        <f t="shared" si="163"/>
        <v>0.15967946578163938</v>
      </c>
      <c r="AA304" s="72">
        <f t="shared" si="164"/>
        <v>0.32211814632738239</v>
      </c>
      <c r="AB304" s="72">
        <f t="shared" si="165"/>
        <v>2.2601762223876914E-2</v>
      </c>
      <c r="AC304" s="72"/>
      <c r="AD304" s="72"/>
      <c r="AE304" s="72">
        <f t="shared" si="166"/>
        <v>0.55624382649403081</v>
      </c>
      <c r="AF304" s="72">
        <f t="shared" si="167"/>
        <v>0.50270586265090378</v>
      </c>
      <c r="AG304" s="72">
        <f t="shared" si="168"/>
        <v>0.28674495124425281</v>
      </c>
      <c r="AH304" s="72">
        <f t="shared" si="169"/>
        <v>0.45794807335786497</v>
      </c>
      <c r="AI304" s="72">
        <f t="shared" si="170"/>
        <v>0.21799660441426147</v>
      </c>
      <c r="AJ304" s="72">
        <f>(AV304-Driver!$K$179)/(Driver!$L$179-Driver!$K$179)</f>
        <v>0.26395939086294412</v>
      </c>
      <c r="AK304" s="72">
        <f>(AW304-Driver!$K$180)/(Driver!$L$180-Driver!$K$180)</f>
        <v>0.23336239214362292</v>
      </c>
      <c r="AL304" s="72">
        <f>(AX304-Driver!$K$181)/(Driver!$L$181-Driver!$K$181)</f>
        <v>0.26136722949471958</v>
      </c>
      <c r="AM304" s="72">
        <f>(AY304-Driver!$K$182)/(Driver!$L$182-Driver!$K$182)</f>
        <v>0.12526687476966397</v>
      </c>
      <c r="AN304" s="72">
        <f>(AZ304-Driver!$K$183)/(Driver!$L$183-Driver!$K$183)</f>
        <v>0.23161764705882351</v>
      </c>
      <c r="AO304" s="72"/>
      <c r="AP304" s="72"/>
      <c r="AQ304" s="72">
        <f>(BC304-Driver!$K$188)/(Driver!$L$188-Driver!$K$188)</f>
        <v>6.375617350596921E-2</v>
      </c>
      <c r="AR304" s="72">
        <f>MIN((BD304-Driver!$K$189)/(Driver!$L$189-Driver!$K$189),100%)</f>
        <v>4.7294137349096238E-2</v>
      </c>
      <c r="AS304" s="72">
        <f>(BE304-Driver!$K$190)/(Driver!$L$190-Driver!$K$190)</f>
        <v>0.22325504875574717</v>
      </c>
      <c r="AT304" s="72">
        <f>(BF304-Driver!$K$191)/(Driver!$L$191-Driver!$K$191)</f>
        <v>5.2051926642135059E-2</v>
      </c>
      <c r="AU304" s="72">
        <f>(BG304-Driver!$K$192)/(Driver!$L$192-Driver!$K$192)</f>
        <v>3.2003395585738538E-2</v>
      </c>
      <c r="AV304" s="70">
        <f t="shared" si="171"/>
        <v>5.5555555555555554</v>
      </c>
      <c r="AW304" s="70">
        <f t="shared" si="172"/>
        <v>24.615125537002758</v>
      </c>
      <c r="AX304" s="70">
        <f t="shared" si="173"/>
        <v>3.3523050654524762</v>
      </c>
      <c r="AY304" s="70">
        <f>IFERROR(Driver!$K$19/Data!BH304/Data!BI304*Data!BK304*Data!BL304,"")</f>
        <v>0.15336403074611044</v>
      </c>
      <c r="AZ304" s="70">
        <f t="shared" si="174"/>
        <v>21.10945644080417</v>
      </c>
      <c r="BA304" s="70"/>
      <c r="BB304" s="70"/>
      <c r="BC304" s="70">
        <f t="shared" si="175"/>
        <v>33.070770423273736</v>
      </c>
      <c r="BD304" s="70">
        <f t="shared" si="176"/>
        <v>5.906270239240083</v>
      </c>
      <c r="BE304" s="70">
        <f t="shared" si="177"/>
        <v>0.22339361131241231</v>
      </c>
      <c r="BF304" s="70">
        <f t="shared" si="178"/>
        <v>5.878899428748138</v>
      </c>
      <c r="BG304" s="70">
        <f t="shared" si="179"/>
        <v>0.12118527164685908</v>
      </c>
      <c r="BH304" s="67">
        <f>MAX((CE304-Driver!$F$200)/(Driver!$G$200-Driver!$F$200)*$BI$1,1)</f>
        <v>3.3523050654524762</v>
      </c>
      <c r="BI304" s="67">
        <f>MAX($BI$1*(BY304-Driver!$F$201)/(Driver!$G$201-Driver!$F$201),1)</f>
        <v>6.6455696202531644</v>
      </c>
      <c r="BJ304" s="67">
        <f>(CB304-Driver!$F$206)/(Driver!$G$206-Driver!$F$206)*$BI$1</f>
        <v>4.4444444444444446</v>
      </c>
      <c r="BK304" s="67">
        <f>(CD304-Driver!$F$203)/(Driver!$G$203-Driver!$F$203)*$BI$1</f>
        <v>3.3027522935779823</v>
      </c>
      <c r="BL304" s="67">
        <f>MAX((CR304-Driver!$F$202)/(Driver!$G$202-Driver!$F$202)*$BI$1,1)</f>
        <v>5.1724137931034484</v>
      </c>
      <c r="BM304" s="67">
        <f>MAX((CH304-Driver!$F$204)/(Driver!$G$204-Driver!$F$204)*$BI$1,1)</f>
        <v>5</v>
      </c>
      <c r="BN304" s="67">
        <f>(CI304-Driver!$F$205)/(Driver!$G$205-Driver!$F$205)*$BI$1</f>
        <v>3.1764705882352939</v>
      </c>
      <c r="BO304" s="67">
        <f>(CK304-Driver!$F$207)/(Driver!$G$207-Driver!$F$207)*$BI$1</f>
        <v>1.9958634953464323</v>
      </c>
      <c r="BP304" s="67">
        <f>(CM304-Driver!$F$208)/(Driver!$G$208-Driver!$F$208)*$BI$1</f>
        <v>2.1888888888888887</v>
      </c>
      <c r="BQ304" s="67">
        <f>(CL304-Driver!$F$209)/(Driver!$G$209-Driver!$F$209)*$BI$1</f>
        <v>2.03125</v>
      </c>
      <c r="BR304" s="28" t="s">
        <v>155</v>
      </c>
      <c r="BS304" s="8" t="s">
        <v>156</v>
      </c>
      <c r="BT304" s="9" t="s">
        <v>247</v>
      </c>
      <c r="BU304" s="10">
        <v>164</v>
      </c>
      <c r="BV304" s="9" t="s">
        <v>163</v>
      </c>
      <c r="BW304" s="10">
        <v>164</v>
      </c>
      <c r="BX304" s="10">
        <v>163.4</v>
      </c>
      <c r="BY304" s="10">
        <v>113</v>
      </c>
      <c r="BZ304" s="10">
        <v>134</v>
      </c>
      <c r="CA304" s="10">
        <v>125</v>
      </c>
      <c r="CB304" s="10">
        <v>92</v>
      </c>
      <c r="CC304" s="10">
        <v>109</v>
      </c>
      <c r="CD304" s="10">
        <v>16.600000000000001</v>
      </c>
      <c r="CE304" s="10">
        <v>1489</v>
      </c>
      <c r="CF304" s="10">
        <v>1.1200000000000001</v>
      </c>
      <c r="CG304" s="10">
        <v>1669</v>
      </c>
      <c r="CH304" s="10">
        <v>218</v>
      </c>
      <c r="CI304" s="10">
        <v>87</v>
      </c>
      <c r="CJ304" s="10">
        <v>53</v>
      </c>
      <c r="CK304" s="10">
        <v>303</v>
      </c>
      <c r="CL304" s="10">
        <v>13</v>
      </c>
      <c r="CM304" s="10">
        <v>197</v>
      </c>
      <c r="CN304" s="10">
        <v>0.255</v>
      </c>
      <c r="CO304" s="10">
        <v>163</v>
      </c>
      <c r="CP304" s="10">
        <v>135</v>
      </c>
      <c r="CQ304" s="10">
        <v>140</v>
      </c>
      <c r="CR304" s="10">
        <v>4</v>
      </c>
      <c r="CS304" s="10">
        <v>9.5</v>
      </c>
      <c r="CT304" s="9" t="s">
        <v>188</v>
      </c>
      <c r="CU304" s="9" t="s">
        <v>185</v>
      </c>
      <c r="CV304" s="10"/>
      <c r="CW304" s="10"/>
      <c r="CX304" t="str">
        <f>INDEX('Data_Price '!AG$2:AG$1266,MATCH(Data!$DN304,'Data_Price '!$AT$2:$AT$1266,0))</f>
        <v>Atomic Maven 93 C</v>
      </c>
      <c r="CY304" t="str">
        <f>INDEX('Data_Price '!AH$2:AH$1266,MATCH(Data!$DN304,'Data_Price '!$AT$2:$AT$1266,0))</f>
        <v>Gorham Bike and Ski</v>
      </c>
      <c r="CZ304">
        <f>INDEX('Data_Price '!AI$2:AI$1266,MATCH(Data!$DN304,'Data_Price '!$AT$2:$AT$1266,0))</f>
        <v>454.99</v>
      </c>
      <c r="DA304" t="str">
        <f>INDEX('Data_Price '!AJ$2:AJ$1266,MATCH(Data!$DN304,'Data_Price '!$AT$2:$AT$1266,0))</f>
        <v>https://tinyurl.com/yblbod3r</v>
      </c>
      <c r="DB304" t="str">
        <f>INDEX('Data_Price '!AK$2:AK$1266,MATCH(Data!$DN304,'Data_Price '!$AT$2:$AT$1266,0))</f>
        <v>Atomic Maven 93 C</v>
      </c>
      <c r="DC304" t="str">
        <f>INDEX('Data_Price '!AL$2:AL$1266,MATCH(Data!$DN304,'Data_Price '!$AT$2:$AT$1266,0))</f>
        <v>SkiEssentials.com</v>
      </c>
      <c r="DD304">
        <f>INDEX('Data_Price '!AM$2:AM$1266,MATCH(Data!$DN304,'Data_Price '!$AT$2:$AT$1266,0))</f>
        <v>519.99</v>
      </c>
      <c r="DE304" t="str">
        <f>INDEX('Data_Price '!AN$2:AN$1266,MATCH(Data!$DN304,'Data_Price '!$AT$2:$AT$1266,0))</f>
        <v>https://tinyurl.com/yccbwyaw</v>
      </c>
      <c r="DF304" t="str">
        <f>INDEX('Data_Price '!AO$2:AO$1266,MATCH(Data!$DN304,'Data_Price '!$AT$2:$AT$1266,0))</f>
        <v>Atomic Maven 93 C</v>
      </c>
      <c r="DG304" t="str">
        <f>INDEX('Data_Price '!AP$2:AP$1266,MATCH(Data!$DN304,'Data_Price '!$AT$2:$AT$1266,0))</f>
        <v>Level Nine Sports</v>
      </c>
      <c r="DH304">
        <f>INDEX('Data_Price '!AQ$2:AQ$1266,MATCH(Data!$DN304,'Data_Price '!$AT$2:$AT$1266,0))</f>
        <v>519.99</v>
      </c>
      <c r="DI304" t="str">
        <f>INDEX('Data_Price '!AR$2:AR$1266,MATCH(Data!$DN304,'Data_Price '!$AT$2:$AT$1266,0))</f>
        <v>https://tinyurl.com/ycbgmb6x</v>
      </c>
      <c r="DJ304" s="89" t="str">
        <f t="shared" si="180"/>
        <v>https://tinyurl.com/yblbod3r</v>
      </c>
      <c r="DK304" s="89" t="str">
        <f t="shared" si="181"/>
        <v>https://tinyurl.com/yccbwyaw</v>
      </c>
      <c r="DL304" s="89" t="str">
        <f t="shared" si="182"/>
        <v>https://tinyurl.com/ycbgmb6x</v>
      </c>
      <c r="DM304" s="219" t="str">
        <f t="shared" si="183"/>
        <v>Maven 93 C</v>
      </c>
      <c r="DN304" s="89" t="str">
        <f t="shared" si="184"/>
        <v xml:space="preserve"> AtomicMaven 93 C164 Women's</v>
      </c>
      <c r="DO304" s="221" t="s">
        <v>248</v>
      </c>
    </row>
    <row r="305" spans="2:119" ht="15.6" customHeight="1">
      <c r="B305" s="219" t="b">
        <f t="array" ref="B305">IF(OR(ISERROR(K305:P305)),FALSE,TRUE)</f>
        <v>1</v>
      </c>
      <c r="C305" s="43" t="b">
        <f>OR(BR305=Driver!$G$50,Data!BR204=Driver!$H$50)</f>
        <v>1</v>
      </c>
      <c r="D305" s="43" t="b">
        <f>OR(BV305=Driver!$G$51,BV305=Driver!$H$51)</f>
        <v>1</v>
      </c>
      <c r="E305" s="43" t="b">
        <f>AND(BX305&gt;Driver!$F$54,BX305&lt;Driver!$G$54)</f>
        <v>0</v>
      </c>
      <c r="F305" s="43" t="b">
        <f>CL305&gt;Driver!$F$56</f>
        <v>1</v>
      </c>
      <c r="G305" s="43" t="b">
        <f>AND(CB305&gt;Driver!$F$55,CB305&lt;Driver!$G$55)</f>
        <v>0</v>
      </c>
      <c r="H305" s="43" t="b">
        <f t="shared" si="148"/>
        <v>0</v>
      </c>
      <c r="I305" s="43">
        <f t="shared" si="149"/>
        <v>0</v>
      </c>
      <c r="J305" s="43" t="b">
        <f t="array" ref="J305">NOT(OR(($H$9:$H$1273=TRUE)*($I$9:$I$1273&gt;0)*($BT$9:$BT$1273=BT305)*($K$9:$K$1273&gt;K305)))</f>
        <v>1</v>
      </c>
      <c r="K305" s="72">
        <f t="shared" si="150"/>
        <v>0.86232036927237643</v>
      </c>
      <c r="L305" s="72">
        <f t="shared" si="151"/>
        <v>0.94173579174864264</v>
      </c>
      <c r="M305" s="72">
        <f t="shared" si="152"/>
        <v>0.78290494679611011</v>
      </c>
      <c r="N305" s="72">
        <f t="shared" si="153"/>
        <v>0.64997082195629785</v>
      </c>
      <c r="O305" s="72">
        <f t="shared" si="154"/>
        <v>0.72025990326697908</v>
      </c>
      <c r="P305" s="72">
        <f t="shared" si="155"/>
        <v>0.9784841151650534</v>
      </c>
      <c r="Q305" s="72"/>
      <c r="R305" s="72"/>
      <c r="S305" s="72">
        <f t="shared" si="156"/>
        <v>0.48649721319243344</v>
      </c>
      <c r="T305" s="72">
        <f t="shared" si="157"/>
        <v>0.49678914403661434</v>
      </c>
      <c r="U305" s="72">
        <f t="shared" si="158"/>
        <v>0.70469640374894627</v>
      </c>
      <c r="V305" s="72">
        <f t="shared" si="159"/>
        <v>0.50572951396560839</v>
      </c>
      <c r="W305" s="72">
        <f t="shared" si="160"/>
        <v>0.82273580721466588</v>
      </c>
      <c r="X305" s="72">
        <f t="shared" si="161"/>
        <v>5.8264208251357308E-2</v>
      </c>
      <c r="Y305" s="72">
        <f t="shared" si="162"/>
        <v>0.21709505320388992</v>
      </c>
      <c r="Z305" s="72">
        <f t="shared" si="163"/>
        <v>0.3500291780437022</v>
      </c>
      <c r="AA305" s="72">
        <f t="shared" si="164"/>
        <v>0.27974009673302092</v>
      </c>
      <c r="AB305" s="72">
        <f t="shared" si="165"/>
        <v>2.1515884834946652E-2</v>
      </c>
      <c r="AC305" s="72"/>
      <c r="AD305" s="72"/>
      <c r="AE305" s="72">
        <f t="shared" si="166"/>
        <v>0.51350278680756656</v>
      </c>
      <c r="AF305" s="72">
        <f t="shared" si="167"/>
        <v>0.50321085596338566</v>
      </c>
      <c r="AG305" s="72">
        <f t="shared" si="168"/>
        <v>0.29530359625105379</v>
      </c>
      <c r="AH305" s="72">
        <f t="shared" si="169"/>
        <v>0.49427048603439161</v>
      </c>
      <c r="AI305" s="72">
        <f t="shared" si="170"/>
        <v>0.17726419278533412</v>
      </c>
      <c r="AJ305" s="72">
        <f>(AV305-Driver!$K$179)/(Driver!$L$179-Driver!$K$179)</f>
        <v>0.19595520103134312</v>
      </c>
      <c r="AK305" s="72">
        <f>(AW305-Driver!$K$180)/(Driver!$L$180-Driver!$K$180)</f>
        <v>0.2927297968085763</v>
      </c>
      <c r="AL305" s="72">
        <f>(AX305-Driver!$K$181)/(Driver!$L$181-Driver!$K$181)</f>
        <v>0.4517169417567824</v>
      </c>
      <c r="AM305" s="72">
        <f>(AY305-Driver!$K$182)/(Driver!$L$182-Driver!$K$182)</f>
        <v>0.16764492436402545</v>
      </c>
      <c r="AN305" s="72">
        <f>(AZ305-Driver!$K$183)/(Driver!$L$183-Driver!$K$183)</f>
        <v>0.27573529411764708</v>
      </c>
      <c r="AO305" s="72"/>
      <c r="AP305" s="72"/>
      <c r="AQ305" s="72">
        <f>(BC305-Driver!$K$188)/(Driver!$L$188-Driver!$K$188)</f>
        <v>0.10649721319243338</v>
      </c>
      <c r="AR305" s="72">
        <f>MIN((BD305-Driver!$K$189)/(Driver!$L$189-Driver!$K$189),100%)</f>
        <v>4.678914403661439E-2</v>
      </c>
      <c r="AS305" s="72">
        <f>(BE305-Driver!$K$190)/(Driver!$L$190-Driver!$K$190)</f>
        <v>0.21469640374894622</v>
      </c>
      <c r="AT305" s="72">
        <f>(BF305-Driver!$K$191)/(Driver!$L$191-Driver!$K$191)</f>
        <v>1.572951396560842E-2</v>
      </c>
      <c r="AU305" s="72">
        <f>(BG305-Driver!$K$192)/(Driver!$L$192-Driver!$K$192)</f>
        <v>7.2735807214665868E-2</v>
      </c>
      <c r="AV305" s="70">
        <f t="shared" si="171"/>
        <v>4.124270790937457</v>
      </c>
      <c r="AW305" s="70">
        <f t="shared" si="172"/>
        <v>30.401005170321895</v>
      </c>
      <c r="AX305" s="70">
        <f t="shared" si="173"/>
        <v>5.0654524758110417</v>
      </c>
      <c r="AY305" s="70">
        <f>IFERROR(Driver!$K$19/Data!BH305/Data!BI305*Data!BK305*Data!BL305,"")</f>
        <v>0.2052474078392203</v>
      </c>
      <c r="AZ305" s="70">
        <f t="shared" si="174"/>
        <v>25.130305286671632</v>
      </c>
      <c r="BA305" s="70"/>
      <c r="BB305" s="70"/>
      <c r="BC305" s="70">
        <f t="shared" si="175"/>
        <v>55.240844839530077</v>
      </c>
      <c r="BD305" s="70">
        <f t="shared" si="176"/>
        <v>5.8615792258806412</v>
      </c>
      <c r="BE305" s="70">
        <f t="shared" si="177"/>
        <v>0.21483649307154892</v>
      </c>
      <c r="BF305" s="70">
        <f t="shared" si="178"/>
        <v>1.7765380963256538</v>
      </c>
      <c r="BG305" s="70">
        <f t="shared" si="179"/>
        <v>0.27542416654346541</v>
      </c>
      <c r="BH305" s="67">
        <f>MAX((CE305-Driver!$F$200)/(Driver!$G$200-Driver!$F$200)*$BI$1,1)</f>
        <v>5.0654524758110417</v>
      </c>
      <c r="BI305" s="67">
        <f>MAX($BI$1*(BY305-Driver!$F$201)/(Driver!$G$201-Driver!$F$201),1)</f>
        <v>8.5443037974683538</v>
      </c>
      <c r="BJ305" s="67">
        <f>(CB305-Driver!$F$206)/(Driver!$G$206-Driver!$F$206)*$BI$1</f>
        <v>5.0793650793650791</v>
      </c>
      <c r="BK305" s="67">
        <f>(CD305-Driver!$F$203)/(Driver!$G$203-Driver!$F$203)*$BI$1</f>
        <v>4.954128440366973</v>
      </c>
      <c r="BL305" s="67">
        <f>MAX((CR305-Driver!$F$202)/(Driver!$G$202-Driver!$F$202)*$BI$1,1)</f>
        <v>8.9655172413793096</v>
      </c>
      <c r="BM305" s="67">
        <f>MAX((CH305-Driver!$F$204)/(Driver!$G$204-Driver!$F$204)*$BI$1,1)</f>
        <v>3.2478632478632479</v>
      </c>
      <c r="BN305" s="67">
        <f>(CI305-Driver!$F$205)/(Driver!$G$205-Driver!$F$205)*$BI$1</f>
        <v>2.9411764705882355</v>
      </c>
      <c r="BO305" s="67">
        <f>(CK305-Driver!$F$207)/(Driver!$G$207-Driver!$F$207)*$BI$1</f>
        <v>1.0754912099276113</v>
      </c>
      <c r="BP305" s="67">
        <f>(CM305-Driver!$F$208)/(Driver!$G$208-Driver!$F$208)*$BI$1</f>
        <v>1.6111111111111112</v>
      </c>
      <c r="BQ305" s="67">
        <f>(CL305-Driver!$F$209)/(Driver!$G$209-Driver!$F$209)*$BI$1</f>
        <v>4.53125</v>
      </c>
      <c r="BR305" s="28" t="s">
        <v>155</v>
      </c>
      <c r="BS305" s="8" t="s">
        <v>237</v>
      </c>
      <c r="BT305" s="9" t="s">
        <v>507</v>
      </c>
      <c r="BU305" s="10">
        <v>180.4</v>
      </c>
      <c r="BV305" s="9" t="s">
        <v>158</v>
      </c>
      <c r="BW305" s="10">
        <v>180.4</v>
      </c>
      <c r="BX305" s="10">
        <v>179.2</v>
      </c>
      <c r="BY305" s="10">
        <v>143</v>
      </c>
      <c r="BZ305" s="10">
        <v>157</v>
      </c>
      <c r="CA305" s="10">
        <v>129</v>
      </c>
      <c r="CB305" s="10">
        <v>96</v>
      </c>
      <c r="CC305" s="10">
        <v>118</v>
      </c>
      <c r="CD305" s="10">
        <v>20.2</v>
      </c>
      <c r="CE305" s="10">
        <v>1790</v>
      </c>
      <c r="CF305" s="10">
        <v>1.07</v>
      </c>
      <c r="CG305" s="10">
        <v>1910</v>
      </c>
      <c r="CH305" s="10">
        <v>177</v>
      </c>
      <c r="CI305" s="10">
        <v>83</v>
      </c>
      <c r="CJ305" s="10">
        <v>44</v>
      </c>
      <c r="CK305" s="10">
        <v>214</v>
      </c>
      <c r="CL305" s="10">
        <v>29</v>
      </c>
      <c r="CM305" s="10">
        <v>145</v>
      </c>
      <c r="CN305" s="10">
        <v>0.66700000000000004</v>
      </c>
      <c r="CO305" s="10">
        <v>137</v>
      </c>
      <c r="CP305" s="10">
        <v>86</v>
      </c>
      <c r="CQ305" s="10">
        <v>77</v>
      </c>
      <c r="CR305" s="10">
        <v>15</v>
      </c>
      <c r="CS305" s="10">
        <v>6.7</v>
      </c>
      <c r="CT305" s="9" t="s">
        <v>188</v>
      </c>
      <c r="CU305" s="9" t="s">
        <v>185</v>
      </c>
      <c r="CV305" s="10"/>
      <c r="CW305" s="10"/>
      <c r="CX305" t="str">
        <f>INDEX('Data_Price '!AG$2:AG$1266,MATCH(Data!$DN305,'Data_Price '!$AT$2:$AT$1266,0))</f>
        <v>Black Crows Camox Skis</v>
      </c>
      <c r="CY305" t="str">
        <f>INDEX('Data_Price '!AH$2:AH$1266,MATCH(Data!$DN305,'Data_Price '!$AT$2:$AT$1266,0))</f>
        <v>Teton Wasatch Ski Co.</v>
      </c>
      <c r="CZ305">
        <f>INDEX('Data_Price '!AI$2:AI$1266,MATCH(Data!$DN305,'Data_Price '!$AT$2:$AT$1266,0))</f>
        <v>575</v>
      </c>
      <c r="DA305" t="str">
        <f>INDEX('Data_Price '!AJ$2:AJ$1266,MATCH(Data!$DN305,'Data_Price '!$AT$2:$AT$1266,0))</f>
        <v>https://tinyurl.com/ybbbyp3g</v>
      </c>
      <c r="DB305" t="str">
        <f>INDEX('Data_Price '!AK$2:AK$1266,MATCH(Data!$DN305,'Data_Price '!$AT$2:$AT$1266,0))</f>
        <v>Black Crows Camox Skis</v>
      </c>
      <c r="DC305" t="str">
        <f>INDEX('Data_Price '!AL$2:AL$1266,MATCH(Data!$DN305,'Data_Price '!$AT$2:$AT$1266,0))</f>
        <v>Next Adventure</v>
      </c>
      <c r="DD305">
        <f>INDEX('Data_Price '!AM$2:AM$1266,MATCH(Data!$DN305,'Data_Price '!$AT$2:$AT$1266,0))</f>
        <v>575.96</v>
      </c>
      <c r="DE305" t="str">
        <f>INDEX('Data_Price '!AN$2:AN$1266,MATCH(Data!$DN305,'Data_Price '!$AT$2:$AT$1266,0))</f>
        <v>https://tinyurl.com/y9af4ybs</v>
      </c>
      <c r="DF305" t="str">
        <f>INDEX('Data_Price '!AO$2:AO$1266,MATCH(Data!$DN305,'Data_Price '!$AT$2:$AT$1266,0))</f>
        <v>Black Crows Camox Skis</v>
      </c>
      <c r="DG305" t="str">
        <f>INDEX('Data_Price '!AP$2:AP$1266,MATCH(Data!$DN305,'Data_Price '!$AT$2:$AT$1266,0))</f>
        <v>evo.com</v>
      </c>
      <c r="DH305">
        <f>INDEX('Data_Price '!AQ$2:AQ$1266,MATCH(Data!$DN305,'Data_Price '!$AT$2:$AT$1266,0))</f>
        <v>575.96</v>
      </c>
      <c r="DI305" t="str">
        <f>INDEX('Data_Price '!AR$2:AR$1266,MATCH(Data!$DN305,'Data_Price '!$AT$2:$AT$1266,0))</f>
        <v>https://tinyurl.com/ybr6g7te</v>
      </c>
      <c r="DJ305" s="89" t="str">
        <f t="shared" si="180"/>
        <v>https://tinyurl.com/ybbbyp3g</v>
      </c>
      <c r="DK305" s="89" t="str">
        <f t="shared" si="181"/>
        <v>https://tinyurl.com/y9af4ybs</v>
      </c>
      <c r="DL305" s="89" t="str">
        <f t="shared" si="182"/>
        <v>https://tinyurl.com/ybr6g7te</v>
      </c>
      <c r="DM305" s="219" t="str">
        <f t="shared" si="183"/>
        <v>Camox</v>
      </c>
      <c r="DN305" s="89" t="str">
        <f t="shared" si="184"/>
        <v xml:space="preserve"> Black CrowsCamox180.4 Unisex</v>
      </c>
      <c r="DO305" s="221" t="s">
        <v>508</v>
      </c>
    </row>
    <row r="306" spans="2:119" ht="15.6" customHeight="1">
      <c r="B306" s="219" t="b">
        <f t="array" ref="B306">IF(OR(ISERROR(K306:P306)),FALSE,TRUE)</f>
        <v>1</v>
      </c>
      <c r="C306" s="43" t="b">
        <f>OR(BR306=Driver!$G$50,Data!BR1060=Driver!$H$50)</f>
        <v>1</v>
      </c>
      <c r="D306" s="43" t="b">
        <f>OR(BV306=Driver!$G$51,BV306=Driver!$H$51)</f>
        <v>1</v>
      </c>
      <c r="E306" s="43" t="b">
        <f>AND(BX306&gt;Driver!$F$54,BX306&lt;Driver!$G$54)</f>
        <v>0</v>
      </c>
      <c r="F306" s="43" t="b">
        <f>CL306&gt;Driver!$F$56</f>
        <v>1</v>
      </c>
      <c r="G306" s="43" t="b">
        <f>AND(CB306&gt;Driver!$F$55,CB306&lt;Driver!$G$55)</f>
        <v>0</v>
      </c>
      <c r="H306" s="43" t="b">
        <f t="shared" si="148"/>
        <v>0</v>
      </c>
      <c r="I306" s="43">
        <f t="shared" si="149"/>
        <v>0</v>
      </c>
      <c r="J306" s="43" t="b">
        <f t="array" ref="J306">NOT(OR(($H$9:$H$1273=TRUE)*($I$9:$I$1273&gt;0)*($BT$9:$BT$1273=BT306)*($K$9:$K$1273&gt;K306)))</f>
        <v>1</v>
      </c>
      <c r="K306" s="72">
        <f t="shared" si="150"/>
        <v>0.87875556658639531</v>
      </c>
      <c r="L306" s="72">
        <f t="shared" si="151"/>
        <v>0.8850119177658855</v>
      </c>
      <c r="M306" s="72">
        <f t="shared" si="152"/>
        <v>0.87249921540690512</v>
      </c>
      <c r="N306" s="72">
        <f t="shared" si="153"/>
        <v>0.89850051271706421</v>
      </c>
      <c r="O306" s="72">
        <f t="shared" si="154"/>
        <v>0.74311033363602474</v>
      </c>
      <c r="P306" s="72">
        <f t="shared" si="155"/>
        <v>0.97588679986762639</v>
      </c>
      <c r="Q306" s="72"/>
      <c r="R306" s="72"/>
      <c r="S306" s="72">
        <f t="shared" si="156"/>
        <v>0.46646915737766859</v>
      </c>
      <c r="T306" s="72">
        <f t="shared" si="157"/>
        <v>0.4710750292532494</v>
      </c>
      <c r="U306" s="72">
        <f t="shared" si="158"/>
        <v>0.62600765081622223</v>
      </c>
      <c r="V306" s="72">
        <f t="shared" si="159"/>
        <v>0.50428881482961763</v>
      </c>
      <c r="W306" s="72">
        <f t="shared" si="160"/>
        <v>0.80689134808853114</v>
      </c>
      <c r="X306" s="72">
        <f t="shared" si="161"/>
        <v>0.11498808223411452</v>
      </c>
      <c r="Y306" s="72">
        <f t="shared" si="162"/>
        <v>0.12750078459309491</v>
      </c>
      <c r="Z306" s="72">
        <f t="shared" si="163"/>
        <v>0.10149948728293577</v>
      </c>
      <c r="AA306" s="72">
        <f t="shared" si="164"/>
        <v>0.25688966636397531</v>
      </c>
      <c r="AB306" s="72">
        <f t="shared" si="165"/>
        <v>2.4113200132373669E-2</v>
      </c>
      <c r="AC306" s="72"/>
      <c r="AD306" s="72"/>
      <c r="AE306" s="72">
        <f t="shared" si="166"/>
        <v>0.53353084262233141</v>
      </c>
      <c r="AF306" s="72">
        <f t="shared" si="167"/>
        <v>0.5289249707467506</v>
      </c>
      <c r="AG306" s="72">
        <f t="shared" si="168"/>
        <v>0.37399234918377777</v>
      </c>
      <c r="AH306" s="72">
        <f t="shared" si="169"/>
        <v>0.49571118517038232</v>
      </c>
      <c r="AI306" s="72">
        <f t="shared" si="170"/>
        <v>0.19310865191146884</v>
      </c>
      <c r="AJ306" s="72">
        <f>(AV306-Driver!$K$179)/(Driver!$L$179-Driver!$K$179)</f>
        <v>0.1392313270485859</v>
      </c>
      <c r="AK306" s="72">
        <f>(AW306-Driver!$K$180)/(Driver!$L$180-Driver!$K$180)</f>
        <v>0.22739564902362805</v>
      </c>
      <c r="AL306" s="72">
        <f>(AX306-Driver!$K$181)/(Driver!$L$181-Driver!$K$181)</f>
        <v>0.20318725099601595</v>
      </c>
      <c r="AM306" s="72">
        <f>(AY306-Driver!$K$182)/(Driver!$L$182-Driver!$K$182)</f>
        <v>0.19049535473307105</v>
      </c>
      <c r="AN306" s="72">
        <f>(AZ306-Driver!$K$183)/(Driver!$L$183-Driver!$K$183)</f>
        <v>0.23010620915032676</v>
      </c>
      <c r="AO306" s="72"/>
      <c r="AP306" s="72"/>
      <c r="AQ306" s="72">
        <f>(BC306-Driver!$K$188)/(Driver!$L$188-Driver!$K$188)</f>
        <v>8.6469157377668596E-2</v>
      </c>
      <c r="AR306" s="72">
        <f>MIN((BD306-Driver!$K$189)/(Driver!$L$189-Driver!$K$189),100%)</f>
        <v>2.1075029253249465E-2</v>
      </c>
      <c r="AS306" s="72">
        <f>(BE306-Driver!$K$190)/(Driver!$L$190-Driver!$K$190)</f>
        <v>0.88399234918377778</v>
      </c>
      <c r="AT306" s="72">
        <f>(BF306-Driver!$K$191)/(Driver!$L$191-Driver!$K$191)</f>
        <v>1.4288814829617713E-2</v>
      </c>
      <c r="AU306" s="72">
        <f>(BG306-Driver!$K$192)/(Driver!$L$192-Driver!$K$192)</f>
        <v>5.689134808853117E-2</v>
      </c>
      <c r="AV306" s="70">
        <f t="shared" si="171"/>
        <v>2.9304029304029302</v>
      </c>
      <c r="AW306" s="70">
        <f t="shared" si="172"/>
        <v>24.033613549236758</v>
      </c>
      <c r="AX306" s="70">
        <f t="shared" si="173"/>
        <v>2.8286852589641436</v>
      </c>
      <c r="AY306" s="70">
        <f>IFERROR(Driver!$K$19/Data!BH306/Data!BI306*Data!BK306*Data!BL306,"")</f>
        <v>0.2332231525213159</v>
      </c>
      <c r="AZ306" s="70">
        <f t="shared" si="174"/>
        <v>20.9717051377513</v>
      </c>
      <c r="BA306" s="70"/>
      <c r="BB306" s="70"/>
      <c r="BC306" s="70">
        <f t="shared" si="175"/>
        <v>44.85215305562641</v>
      </c>
      <c r="BD306" s="70">
        <f t="shared" si="176"/>
        <v>3.5859256302681541</v>
      </c>
      <c r="BE306" s="70">
        <f t="shared" si="177"/>
        <v>0.88401304364296163</v>
      </c>
      <c r="BF306" s="70">
        <f t="shared" si="178"/>
        <v>1.61382125039977</v>
      </c>
      <c r="BG306" s="70">
        <f t="shared" si="179"/>
        <v>0.21542693661971826</v>
      </c>
      <c r="BH306" s="67">
        <f>MAX((CE306-Driver!$F$200)/(Driver!$G$200-Driver!$F$200)*$BI$1,1)</f>
        <v>2.8286852589641436</v>
      </c>
      <c r="BI306" s="67">
        <f>MAX($BI$1*(BY306-Driver!$F$201)/(Driver!$G$201-Driver!$F$201),1)</f>
        <v>8.2911392405063289</v>
      </c>
      <c r="BJ306" s="67">
        <f>(CB306-Driver!$F$206)/(Driver!$G$206-Driver!$F$206)*$BI$1</f>
        <v>3.8095238095238093</v>
      </c>
      <c r="BK306" s="67">
        <f>(CD306-Driver!$F$203)/(Driver!$G$203-Driver!$F$203)*$BI$1</f>
        <v>4.1743119266055047</v>
      </c>
      <c r="BL306" s="67">
        <f>MAX((CR306-Driver!$F$202)/(Driver!$G$202-Driver!$F$202)*$BI$1,1)</f>
        <v>6.5517241379310338</v>
      </c>
      <c r="BM306" s="67">
        <f>MAX((CH306-Driver!$F$204)/(Driver!$G$204-Driver!$F$204)*$BI$1,1)</f>
        <v>3.0769230769230771</v>
      </c>
      <c r="BN306" s="67">
        <f>(CI306-Driver!$F$205)/(Driver!$G$205-Driver!$F$205)*$BI$1</f>
        <v>2.5294117647058822</v>
      </c>
      <c r="BO306" s="67">
        <f>(CK306-Driver!$F$207)/(Driver!$G$207-Driver!$F$207)*$BI$1</f>
        <v>0.98241985522233721</v>
      </c>
      <c r="BP306" s="67">
        <f>(CM306-Driver!$F$208)/(Driver!$G$208-Driver!$F$208)*$BI$1</f>
        <v>1.7999999999999998</v>
      </c>
      <c r="BQ306" s="67">
        <f>(CL306-Driver!$F$209)/(Driver!$G$209-Driver!$F$209)*$BI$1</f>
        <v>1.875</v>
      </c>
      <c r="BR306" s="28" t="s">
        <v>155</v>
      </c>
      <c r="BS306" s="8" t="s">
        <v>174</v>
      </c>
      <c r="BT306" s="9" t="s">
        <v>509</v>
      </c>
      <c r="BU306" s="10">
        <v>177</v>
      </c>
      <c r="BV306" s="9" t="s">
        <v>158</v>
      </c>
      <c r="BW306" s="10">
        <v>177</v>
      </c>
      <c r="BX306" s="10">
        <v>175.7</v>
      </c>
      <c r="BY306" s="10">
        <v>139</v>
      </c>
      <c r="BZ306" s="10">
        <v>153</v>
      </c>
      <c r="CA306" s="10">
        <v>125</v>
      </c>
      <c r="CB306" s="10">
        <v>88</v>
      </c>
      <c r="CC306" s="10">
        <v>111</v>
      </c>
      <c r="CD306" s="10">
        <v>18.5</v>
      </c>
      <c r="CE306" s="10">
        <v>1397</v>
      </c>
      <c r="CF306" s="10">
        <v>1.27</v>
      </c>
      <c r="CG306" s="10">
        <v>1768</v>
      </c>
      <c r="CH306" s="10">
        <v>173</v>
      </c>
      <c r="CI306" s="10">
        <v>76</v>
      </c>
      <c r="CJ306" s="10">
        <v>50</v>
      </c>
      <c r="CK306" s="10">
        <v>205</v>
      </c>
      <c r="CL306" s="10">
        <v>12</v>
      </c>
      <c r="CM306" s="10">
        <v>162</v>
      </c>
      <c r="CN306" s="10">
        <v>0.251</v>
      </c>
      <c r="CO306" s="10">
        <v>149</v>
      </c>
      <c r="CP306" s="10">
        <v>78</v>
      </c>
      <c r="CQ306" s="10">
        <v>56</v>
      </c>
      <c r="CR306" s="10">
        <v>8</v>
      </c>
      <c r="CS306" s="10">
        <v>11.6</v>
      </c>
      <c r="CT306" s="9" t="s">
        <v>188</v>
      </c>
      <c r="CU306" s="9" t="s">
        <v>185</v>
      </c>
      <c r="CV306" s="9" t="s">
        <v>198</v>
      </c>
      <c r="CW306" s="10"/>
      <c r="CX306" t="str">
        <f>INDEX('Data_Price '!AG$2:AG$1266,MATCH(Data!$DN306,'Data_Price '!$AT$2:$AT$1266,0))</f>
        <v>Salomon MTN Explore 88 177 cm</v>
      </c>
      <c r="CY306" t="str">
        <f>INDEX('Data_Price '!AH$2:AH$1266,MATCH(Data!$DN306,'Data_Price '!$AT$2:$AT$1266,0))</f>
        <v>Powder7 Ski Shop</v>
      </c>
      <c r="CZ306">
        <f>INDEX('Data_Price '!AI$2:AI$1266,MATCH(Data!$DN306,'Data_Price '!$AT$2:$AT$1266,0))</f>
        <v>519.99</v>
      </c>
      <c r="DA306" t="str">
        <f>INDEX('Data_Price '!AJ$2:AJ$1266,MATCH(Data!$DN306,'Data_Price '!$AT$2:$AT$1266,0))</f>
        <v>https://tinyurl.com/y9wjxkzc</v>
      </c>
      <c r="DB306" t="str">
        <f>INDEX('Data_Price '!AK$2:AK$1266,MATCH(Data!$DN306,'Data_Price '!$AT$2:$AT$1266,0))</f>
        <v>Salomon MTN Explore 88 177 cm</v>
      </c>
      <c r="DC306" t="str">
        <f>INDEX('Data_Price '!AL$2:AL$1266,MATCH(Data!$DN306,'Data_Price '!$AT$2:$AT$1266,0))</f>
        <v>evo.com</v>
      </c>
      <c r="DD306">
        <f>INDEX('Data_Price '!AM$2:AM$1266,MATCH(Data!$DN306,'Data_Price '!$AT$2:$AT$1266,0))</f>
        <v>519.99</v>
      </c>
      <c r="DE306" t="str">
        <f>INDEX('Data_Price '!AN$2:AN$1266,MATCH(Data!$DN306,'Data_Price '!$AT$2:$AT$1266,0))</f>
        <v>https://tinyurl.com/y9t4rqvg</v>
      </c>
      <c r="DF306" t="str">
        <f>INDEX('Data_Price '!AO$2:AO$1266,MATCH(Data!$DN306,'Data_Price '!$AT$2:$AT$1266,0))</f>
        <v>Salomon MTN Explore 88 RED/BLACK / 177</v>
      </c>
      <c r="DG306" t="str">
        <f>INDEX('Data_Price '!AP$2:AP$1266,MATCH(Data!$DN306,'Data_Price '!$AT$2:$AT$1266,0))</f>
        <v>Neptune Mountaineering</v>
      </c>
      <c r="DH306">
        <f>INDEX('Data_Price '!AQ$2:AQ$1266,MATCH(Data!$DN306,'Data_Price '!$AT$2:$AT$1266,0))</f>
        <v>560</v>
      </c>
      <c r="DI306" t="str">
        <f>INDEX('Data_Price '!AR$2:AR$1266,MATCH(Data!$DN306,'Data_Price '!$AT$2:$AT$1266,0))</f>
        <v>https://tinyurl.com/yc6fx8bq</v>
      </c>
      <c r="DJ306" s="89" t="str">
        <f t="shared" si="180"/>
        <v>https://tinyurl.com/y9wjxkzc</v>
      </c>
      <c r="DK306" s="89" t="str">
        <f t="shared" si="181"/>
        <v>https://tinyurl.com/y9t4rqvg</v>
      </c>
      <c r="DL306" s="89" t="str">
        <f t="shared" si="182"/>
        <v>https://tinyurl.com/yc6fx8bq</v>
      </c>
      <c r="DM306" s="219" t="str">
        <f t="shared" si="183"/>
        <v>MTN Explore 88</v>
      </c>
      <c r="DN306" s="89" t="str">
        <f t="shared" si="184"/>
        <v xml:space="preserve"> SalomonMTN Explore 88177 Unisex</v>
      </c>
      <c r="DO306" s="221" t="s">
        <v>510</v>
      </c>
    </row>
    <row r="307" spans="2:119" ht="15.6" customHeight="1">
      <c r="B307" s="219" t="b">
        <f t="array" ref="B307">IF(OR(ISERROR(K307:P307)),FALSE,TRUE)</f>
        <v>1</v>
      </c>
      <c r="C307" s="43" t="b">
        <f>OR(BR307=Driver!$G$50,Data!BR764=Driver!$H$50)</f>
        <v>1</v>
      </c>
      <c r="D307" s="43" t="b">
        <f>OR(BV307=Driver!$G$51,BV307=Driver!$H$51)</f>
        <v>1</v>
      </c>
      <c r="E307" s="43" t="b">
        <f>AND(BX307&gt;Driver!$F$54,BX307&lt;Driver!$G$54)</f>
        <v>0</v>
      </c>
      <c r="F307" s="43" t="b">
        <f>CL307&gt;Driver!$F$56</f>
        <v>1</v>
      </c>
      <c r="G307" s="43" t="b">
        <f>AND(CB307&gt;Driver!$F$55,CB307&lt;Driver!$G$55)</f>
        <v>1</v>
      </c>
      <c r="H307" s="43" t="b">
        <f t="shared" si="148"/>
        <v>0</v>
      </c>
      <c r="I307" s="43">
        <f t="shared" si="149"/>
        <v>1</v>
      </c>
      <c r="J307" s="43" t="b">
        <f t="array" ref="J307">NOT(OR(($H$9:$H$1273=TRUE)*($I$9:$I$1273&gt;0)*($BT$9:$BT$1273=BT307)*($K$9:$K$1273&gt;K307)))</f>
        <v>1</v>
      </c>
      <c r="K307" s="72">
        <f t="shared" si="150"/>
        <v>0.84072085504737037</v>
      </c>
      <c r="L307" s="72">
        <f t="shared" si="151"/>
        <v>0.92926573915136523</v>
      </c>
      <c r="M307" s="72">
        <f t="shared" si="152"/>
        <v>0.75217597094337552</v>
      </c>
      <c r="N307" s="72">
        <f t="shared" si="153"/>
        <v>0.59621758095206068</v>
      </c>
      <c r="O307" s="72">
        <f t="shared" si="154"/>
        <v>0.67449706142220422</v>
      </c>
      <c r="P307" s="72">
        <f t="shared" si="155"/>
        <v>0.98581327045586165</v>
      </c>
      <c r="Q307" s="72"/>
      <c r="R307" s="72"/>
      <c r="S307" s="72">
        <f t="shared" si="156"/>
        <v>0.4630232955855802</v>
      </c>
      <c r="T307" s="72">
        <f t="shared" si="157"/>
        <v>0.49526141137558832</v>
      </c>
      <c r="U307" s="72">
        <f t="shared" si="158"/>
        <v>0.51461489900803559</v>
      </c>
      <c r="V307" s="72">
        <f t="shared" si="159"/>
        <v>0.57434666774640508</v>
      </c>
      <c r="W307" s="72">
        <f t="shared" si="160"/>
        <v>0.81864220183486236</v>
      </c>
      <c r="X307" s="72">
        <f t="shared" si="161"/>
        <v>7.0734260848634711E-2</v>
      </c>
      <c r="Y307" s="72">
        <f t="shared" si="162"/>
        <v>0.24782402905662448</v>
      </c>
      <c r="Z307" s="72">
        <f t="shared" si="163"/>
        <v>0.40378241904793932</v>
      </c>
      <c r="AA307" s="72">
        <f t="shared" si="164"/>
        <v>0.32550293857779578</v>
      </c>
      <c r="AB307" s="72">
        <f t="shared" si="165"/>
        <v>1.4186729544138327E-2</v>
      </c>
      <c r="AC307" s="72"/>
      <c r="AD307" s="72"/>
      <c r="AE307" s="72">
        <f t="shared" si="166"/>
        <v>0.5369767044144198</v>
      </c>
      <c r="AF307" s="72">
        <f t="shared" si="167"/>
        <v>0.50473858862441168</v>
      </c>
      <c r="AG307" s="72">
        <f t="shared" si="168"/>
        <v>0.48538510099196441</v>
      </c>
      <c r="AH307" s="72">
        <f t="shared" si="169"/>
        <v>0.42565333225359492</v>
      </c>
      <c r="AI307" s="72">
        <f t="shared" si="170"/>
        <v>0.18135779816513764</v>
      </c>
      <c r="AJ307" s="72">
        <f>(AV307-Driver!$K$179)/(Driver!$L$179-Driver!$K$179)</f>
        <v>0.32495367013133514</v>
      </c>
      <c r="AK307" s="72">
        <f>(AW307-Driver!$K$180)/(Driver!$L$180-Driver!$K$180)</f>
        <v>0.26373133185469944</v>
      </c>
      <c r="AL307" s="72">
        <f>(AX307-Driver!$K$181)/(Driver!$L$181-Driver!$K$181)</f>
        <v>0.50547018276101952</v>
      </c>
      <c r="AM307" s="72">
        <f>(AY307-Driver!$K$182)/(Driver!$L$182-Driver!$K$182)</f>
        <v>0.12188208251925062</v>
      </c>
      <c r="AN307" s="72">
        <f>(AZ307-Driver!$K$183)/(Driver!$L$183-Driver!$K$183)</f>
        <v>0.2400326797385621</v>
      </c>
      <c r="AO307" s="72"/>
      <c r="AP307" s="72"/>
      <c r="AQ307" s="72">
        <f>(BC307-Driver!$K$188)/(Driver!$L$188-Driver!$K$188)</f>
        <v>8.3023295585580248E-2</v>
      </c>
      <c r="AR307" s="72">
        <f>MIN((BD307-Driver!$K$189)/(Driver!$L$189-Driver!$K$189),100%)</f>
        <v>4.526141137558834E-2</v>
      </c>
      <c r="AS307" s="72">
        <f>(BE307-Driver!$K$190)/(Driver!$L$190-Driver!$K$190)</f>
        <v>2.4614899008035603E-2</v>
      </c>
      <c r="AT307" s="72">
        <f>(BF307-Driver!$K$191)/(Driver!$L$191-Driver!$K$191)</f>
        <v>8.4346667746405118E-2</v>
      </c>
      <c r="AU307" s="72">
        <f>(BG307-Driver!$K$192)/(Driver!$L$192-Driver!$K$192)</f>
        <v>6.864220183486236E-2</v>
      </c>
      <c r="AV307" s="70">
        <f t="shared" si="171"/>
        <v>6.8393026726360073</v>
      </c>
      <c r="AW307" s="70">
        <f t="shared" si="172"/>
        <v>27.57484780802773</v>
      </c>
      <c r="AX307" s="70">
        <f t="shared" si="173"/>
        <v>5.5492316448491756</v>
      </c>
      <c r="AY307" s="70">
        <f>IFERROR(Driver!$K$19/Data!BH307/Data!BI307*Data!BK307*Data!BL307,"")</f>
        <v>0.14922003510707096</v>
      </c>
      <c r="AZ307" s="70">
        <f t="shared" si="174"/>
        <v>21.876396128071484</v>
      </c>
      <c r="BA307" s="70"/>
      <c r="BB307" s="70"/>
      <c r="BC307" s="70">
        <f t="shared" si="175"/>
        <v>43.064760588827646</v>
      </c>
      <c r="BD307" s="70">
        <f t="shared" si="176"/>
        <v>5.7263775923619304</v>
      </c>
      <c r="BE307" s="70">
        <f t="shared" si="177"/>
        <v>2.4788896731625622E-2</v>
      </c>
      <c r="BF307" s="70">
        <f t="shared" si="178"/>
        <v>9.5263635530784789</v>
      </c>
      <c r="BG307" s="70">
        <f t="shared" si="179"/>
        <v>0.2599231651376146</v>
      </c>
      <c r="BH307" s="67">
        <f>MAX((CE307-Driver!$F$200)/(Driver!$G$200-Driver!$F$200)*$BI$1,1)</f>
        <v>5.5492316448491756</v>
      </c>
      <c r="BI307" s="67">
        <f>MAX($BI$1*(BY307-Driver!$F$201)/(Driver!$G$201-Driver!$F$201),1)</f>
        <v>7.1518987341772151</v>
      </c>
      <c r="BJ307" s="67">
        <f>(CB307-Driver!$F$206)/(Driver!$G$206-Driver!$F$206)*$BI$1</f>
        <v>5.8730158730158735</v>
      </c>
      <c r="BK307" s="67">
        <f>(CD307-Driver!$F$203)/(Driver!$G$203-Driver!$F$203)*$BI$1</f>
        <v>4.7706422018348631</v>
      </c>
      <c r="BL307" s="67">
        <f>MAX((CR307-Driver!$F$202)/(Driver!$G$202-Driver!$F$202)*$BI$1,1)</f>
        <v>6.2068965517241379</v>
      </c>
      <c r="BM307" s="67">
        <f>MAX((CH307-Driver!$F$204)/(Driver!$G$204-Driver!$F$204)*$BI$1,1)</f>
        <v>4.6581196581196584</v>
      </c>
      <c r="BN307" s="67">
        <f>(CI307-Driver!$F$205)/(Driver!$G$205-Driver!$F$205)*$BI$1</f>
        <v>3.0588235294117649</v>
      </c>
      <c r="BO307" s="67">
        <f>(CK307-Driver!$F$207)/(Driver!$G$207-Driver!$F$207)*$BI$1</f>
        <v>2.3061013443640124</v>
      </c>
      <c r="BP307" s="67">
        <f>(CM307-Driver!$F$208)/(Driver!$G$208-Driver!$F$208)*$BI$1</f>
        <v>3.3555555555555556</v>
      </c>
      <c r="BQ307" s="67">
        <f>(CL307-Driver!$F$209)/(Driver!$G$209-Driver!$F$209)*$BI$1</f>
        <v>6.71875</v>
      </c>
      <c r="BR307" s="28" t="s">
        <v>155</v>
      </c>
      <c r="BS307" s="8" t="s">
        <v>262</v>
      </c>
      <c r="BT307" s="9" t="s">
        <v>511</v>
      </c>
      <c r="BU307" s="10">
        <v>184</v>
      </c>
      <c r="BV307" s="9" t="s">
        <v>158</v>
      </c>
      <c r="BW307" s="10">
        <v>184</v>
      </c>
      <c r="BX307" s="10">
        <v>184.2</v>
      </c>
      <c r="BY307" s="10">
        <v>121</v>
      </c>
      <c r="BZ307" s="10">
        <v>155</v>
      </c>
      <c r="CA307" s="10">
        <v>134</v>
      </c>
      <c r="CB307" s="10">
        <v>101</v>
      </c>
      <c r="CC307" s="10">
        <v>126</v>
      </c>
      <c r="CD307" s="10">
        <v>19.8</v>
      </c>
      <c r="CE307" s="10">
        <v>1875</v>
      </c>
      <c r="CF307" s="10">
        <v>1.1000000000000001</v>
      </c>
      <c r="CG307" s="10">
        <v>2065</v>
      </c>
      <c r="CH307" s="10">
        <v>210</v>
      </c>
      <c r="CI307" s="10">
        <v>85</v>
      </c>
      <c r="CJ307" s="10">
        <v>46</v>
      </c>
      <c r="CK307" s="10">
        <v>333</v>
      </c>
      <c r="CL307" s="10">
        <v>43</v>
      </c>
      <c r="CM307" s="10">
        <v>302</v>
      </c>
      <c r="CN307" s="10">
        <v>0.92700000000000005</v>
      </c>
      <c r="CO307" s="10">
        <v>147</v>
      </c>
      <c r="CP307" s="10">
        <v>147</v>
      </c>
      <c r="CQ307" s="10">
        <v>186</v>
      </c>
      <c r="CR307" s="10">
        <v>7</v>
      </c>
      <c r="CS307" s="10">
        <v>4.8</v>
      </c>
      <c r="CT307" s="9" t="s">
        <v>184</v>
      </c>
      <c r="CU307" s="9" t="s">
        <v>169</v>
      </c>
      <c r="CV307" s="9" t="s">
        <v>185</v>
      </c>
      <c r="CW307" s="10"/>
      <c r="CX307" t="e">
        <f>INDEX('Data_Price '!AG$2:AG$1266,MATCH(Data!$DN307,'Data_Price '!$AT$2:$AT$1266,0))</f>
        <v>#N/A</v>
      </c>
      <c r="CY307" t="e">
        <f>INDEX('Data_Price '!AH$2:AH$1266,MATCH(Data!$DN307,'Data_Price '!$AT$2:$AT$1266,0))</f>
        <v>#N/A</v>
      </c>
      <c r="CZ307" t="e">
        <f>INDEX('Data_Price '!AI$2:AI$1266,MATCH(Data!$DN307,'Data_Price '!$AT$2:$AT$1266,0))</f>
        <v>#N/A</v>
      </c>
      <c r="DA307" t="e">
        <f>INDEX('Data_Price '!AJ$2:AJ$1266,MATCH(Data!$DN307,'Data_Price '!$AT$2:$AT$1266,0))</f>
        <v>#N/A</v>
      </c>
      <c r="DB307" t="e">
        <f>INDEX('Data_Price '!AK$2:AK$1266,MATCH(Data!$DN307,'Data_Price '!$AT$2:$AT$1266,0))</f>
        <v>#N/A</v>
      </c>
      <c r="DC307" t="e">
        <f>INDEX('Data_Price '!AL$2:AL$1266,MATCH(Data!$DN307,'Data_Price '!$AT$2:$AT$1266,0))</f>
        <v>#N/A</v>
      </c>
      <c r="DD307" t="e">
        <f>INDEX('Data_Price '!AM$2:AM$1266,MATCH(Data!$DN307,'Data_Price '!$AT$2:$AT$1266,0))</f>
        <v>#N/A</v>
      </c>
      <c r="DE307" t="e">
        <f>INDEX('Data_Price '!AN$2:AN$1266,MATCH(Data!$DN307,'Data_Price '!$AT$2:$AT$1266,0))</f>
        <v>#N/A</v>
      </c>
      <c r="DF307" t="e">
        <f>INDEX('Data_Price '!AO$2:AO$1266,MATCH(Data!$DN307,'Data_Price '!$AT$2:$AT$1266,0))</f>
        <v>#N/A</v>
      </c>
      <c r="DG307" t="e">
        <f>INDEX('Data_Price '!AP$2:AP$1266,MATCH(Data!$DN307,'Data_Price '!$AT$2:$AT$1266,0))</f>
        <v>#N/A</v>
      </c>
      <c r="DH307" t="e">
        <f>INDEX('Data_Price '!AQ$2:AQ$1266,MATCH(Data!$DN307,'Data_Price '!$AT$2:$AT$1266,0))</f>
        <v>#N/A</v>
      </c>
      <c r="DI307" t="e">
        <f>INDEX('Data_Price '!AR$2:AR$1266,MATCH(Data!$DN307,'Data_Price '!$AT$2:$AT$1266,0))</f>
        <v>#N/A</v>
      </c>
      <c r="DJ307" s="89" t="e">
        <f t="shared" si="180"/>
        <v>#N/A</v>
      </c>
      <c r="DK307" s="89" t="e">
        <f t="shared" si="181"/>
        <v>#N/A</v>
      </c>
      <c r="DL307" s="89" t="e">
        <f t="shared" si="182"/>
        <v>#N/A</v>
      </c>
      <c r="DM307" s="219" t="str">
        <f t="shared" si="183"/>
        <v>Reckoner 102</v>
      </c>
      <c r="DN307" s="89" t="str">
        <f t="shared" si="184"/>
        <v xml:space="preserve"> K2Reckoner 102184 Unisex</v>
      </c>
      <c r="DO307" s="221" t="s">
        <v>512</v>
      </c>
    </row>
    <row r="308" spans="2:119" ht="15.6" customHeight="1">
      <c r="B308" s="219" t="b">
        <f t="array" ref="B308">IF(OR(ISERROR(K308:P308)),FALSE,TRUE)</f>
        <v>1</v>
      </c>
      <c r="C308" s="43" t="b">
        <f>OR(BR308=Driver!$G$50,Data!BR585=Driver!$H$50)</f>
        <v>1</v>
      </c>
      <c r="D308" s="43" t="b">
        <f>OR(BV308=Driver!$G$51,BV308=Driver!$H$51)</f>
        <v>1</v>
      </c>
      <c r="E308" s="43" t="b">
        <f>AND(BX308&gt;Driver!$F$54,BX308&lt;Driver!$G$54)</f>
        <v>0</v>
      </c>
      <c r="F308" s="43" t="b">
        <f>CL308&gt;Driver!$F$56</f>
        <v>1</v>
      </c>
      <c r="G308" s="43" t="b">
        <f>AND(CB308&gt;Driver!$F$55,CB308&lt;Driver!$G$55)</f>
        <v>0</v>
      </c>
      <c r="H308" s="43" t="b">
        <f t="shared" si="148"/>
        <v>0</v>
      </c>
      <c r="I308" s="43">
        <f t="shared" si="149"/>
        <v>0</v>
      </c>
      <c r="J308" s="43" t="b">
        <f t="array" ref="J308">NOT(OR(($H$9:$H$1273=TRUE)*($I$9:$I$1273&gt;0)*($BT$9:$BT$1273=BT308)*($K$9:$K$1273&gt;K308)))</f>
        <v>1</v>
      </c>
      <c r="K308" s="72">
        <f t="shared" si="150"/>
        <v>0.84848122027817829</v>
      </c>
      <c r="L308" s="72">
        <f t="shared" si="151"/>
        <v>0.98196092890239273</v>
      </c>
      <c r="M308" s="72">
        <f t="shared" si="152"/>
        <v>0.71500151165396386</v>
      </c>
      <c r="N308" s="72">
        <f t="shared" si="153"/>
        <v>0.65250038623885009</v>
      </c>
      <c r="O308" s="72">
        <f t="shared" si="154"/>
        <v>0.63759029499589659</v>
      </c>
      <c r="P308" s="72">
        <f t="shared" si="155"/>
        <v>0.8549138537271449</v>
      </c>
      <c r="Q308" s="72"/>
      <c r="R308" s="72"/>
      <c r="S308" s="72">
        <f t="shared" si="156"/>
        <v>0.48301013873042709</v>
      </c>
      <c r="T308" s="72">
        <f t="shared" si="157"/>
        <v>0.5276433725551497</v>
      </c>
      <c r="U308" s="72">
        <f t="shared" si="158"/>
        <v>0.60049925955944672</v>
      </c>
      <c r="V308" s="72">
        <f t="shared" si="159"/>
        <v>0.55203885333655545</v>
      </c>
      <c r="W308" s="72">
        <f t="shared" si="160"/>
        <v>0.78162031188518655</v>
      </c>
      <c r="X308" s="72">
        <f t="shared" si="161"/>
        <v>1.8039071097607329E-2</v>
      </c>
      <c r="Y308" s="72">
        <f t="shared" si="162"/>
        <v>0.28499848834603614</v>
      </c>
      <c r="Z308" s="72">
        <f t="shared" si="163"/>
        <v>0.34749961376114991</v>
      </c>
      <c r="AA308" s="72">
        <f t="shared" si="164"/>
        <v>0.36240970500410341</v>
      </c>
      <c r="AB308" s="72">
        <f t="shared" si="165"/>
        <v>0.1450861462728551</v>
      </c>
      <c r="AC308" s="72"/>
      <c r="AD308" s="72"/>
      <c r="AE308" s="72">
        <f t="shared" si="166"/>
        <v>0.51698986126957291</v>
      </c>
      <c r="AF308" s="72">
        <f t="shared" si="167"/>
        <v>0.4723566274448503</v>
      </c>
      <c r="AG308" s="72">
        <f t="shared" si="168"/>
        <v>0.39950074044055323</v>
      </c>
      <c r="AH308" s="72">
        <f t="shared" si="169"/>
        <v>0.44796114666344455</v>
      </c>
      <c r="AI308" s="72">
        <f t="shared" si="170"/>
        <v>0.21837968811481351</v>
      </c>
      <c r="AJ308" s="72">
        <f>(AV308-Driver!$K$179)/(Driver!$L$179-Driver!$K$179)</f>
        <v>0.27225848038030775</v>
      </c>
      <c r="AK308" s="72">
        <f>(AW308-Driver!$K$180)/(Driver!$L$180-Driver!$K$180)</f>
        <v>0.40701516120032954</v>
      </c>
      <c r="AL308" s="72">
        <f>(AX308-Driver!$K$181)/(Driver!$L$181-Driver!$K$181)</f>
        <v>0.4491873774742301</v>
      </c>
      <c r="AM308" s="72">
        <f>(AY308-Driver!$K$182)/(Driver!$L$182-Driver!$K$182)</f>
        <v>8.4975316092942926E-2</v>
      </c>
      <c r="AN308" s="72">
        <f>(AZ308-Driver!$K$183)/(Driver!$L$183-Driver!$K$183)</f>
        <v>0.39930555555555552</v>
      </c>
      <c r="AO308" s="72"/>
      <c r="AP308" s="72"/>
      <c r="AQ308" s="72">
        <f>(BC308-Driver!$K$188)/(Driver!$L$188-Driver!$K$188)</f>
        <v>0.10301013873042703</v>
      </c>
      <c r="AR308" s="72">
        <f>MIN((BD308-Driver!$K$189)/(Driver!$L$189-Driver!$K$189),100%)</f>
        <v>7.7643372555149762E-2</v>
      </c>
      <c r="AS308" s="72">
        <f>(BE308-Driver!$K$190)/(Driver!$L$190-Driver!$K$190)</f>
        <v>0.11049925955944677</v>
      </c>
      <c r="AT308" s="72">
        <f>(BF308-Driver!$K$191)/(Driver!$L$191-Driver!$K$191)</f>
        <v>6.2038853336555427E-2</v>
      </c>
      <c r="AU308" s="72">
        <f>(BG308-Driver!$K$192)/(Driver!$L$192-Driver!$K$192)</f>
        <v>3.1620311885186485E-2</v>
      </c>
      <c r="AV308" s="70">
        <f t="shared" si="171"/>
        <v>5.7302265635598966</v>
      </c>
      <c r="AW308" s="70">
        <f t="shared" si="172"/>
        <v>41.539126601644206</v>
      </c>
      <c r="AX308" s="70">
        <f t="shared" si="173"/>
        <v>5.0426863972680707</v>
      </c>
      <c r="AY308" s="70">
        <f>IFERROR(Driver!$K$19/Data!BH308/Data!BI308*Data!BK308*Data!BL308,"")</f>
        <v>0.10403514108499627</v>
      </c>
      <c r="AZ308" s="70">
        <f t="shared" si="174"/>
        <v>36.392405063291136</v>
      </c>
      <c r="BA308" s="70"/>
      <c r="BB308" s="70"/>
      <c r="BC308" s="70">
        <f t="shared" si="175"/>
        <v>53.432075074339004</v>
      </c>
      <c r="BD308" s="70">
        <f t="shared" si="176"/>
        <v>8.5921237793131073</v>
      </c>
      <c r="BE308" s="70">
        <f t="shared" si="177"/>
        <v>0.11065793647978407</v>
      </c>
      <c r="BF308" s="70">
        <f t="shared" si="178"/>
        <v>7.006852636751991</v>
      </c>
      <c r="BG308" s="70">
        <f t="shared" si="179"/>
        <v>0.11973467237558763</v>
      </c>
      <c r="BH308" s="67">
        <f>MAX((CE308-Driver!$F$200)/(Driver!$G$200-Driver!$F$200)*$BI$1,1)</f>
        <v>5.0426863972680707</v>
      </c>
      <c r="BI308" s="67">
        <f>MAX($BI$1*(BY308-Driver!$F$201)/(Driver!$G$201-Driver!$F$201),1)</f>
        <v>7.2784810126582276</v>
      </c>
      <c r="BJ308" s="67">
        <f>(CB308-Driver!$F$206)/(Driver!$G$206-Driver!$F$206)*$BI$1</f>
        <v>4.92063492063492</v>
      </c>
      <c r="BK308" s="67">
        <f>(CD308-Driver!$F$203)/(Driver!$G$203-Driver!$F$203)*$BI$1</f>
        <v>3.2568807339449544</v>
      </c>
      <c r="BL308" s="67">
        <f>MAX((CR308-Driver!$F$202)/(Driver!$G$202-Driver!$F$202)*$BI$1,1)</f>
        <v>5.8620689655172411</v>
      </c>
      <c r="BM308" s="67">
        <f>MAX((CH308-Driver!$F$204)/(Driver!$G$204-Driver!$F$204)*$BI$1,1)</f>
        <v>4.6581196581196584</v>
      </c>
      <c r="BN308" s="67">
        <f>(CI308-Driver!$F$205)/(Driver!$G$205-Driver!$F$205)*$BI$1</f>
        <v>5</v>
      </c>
      <c r="BO308" s="67">
        <f>(CK308-Driver!$F$207)/(Driver!$G$207-Driver!$F$207)*$BI$1</f>
        <v>1.923474663908997</v>
      </c>
      <c r="BP308" s="67">
        <f>(CM308-Driver!$F$208)/(Driver!$G$208-Driver!$F$208)*$BI$1</f>
        <v>2.411111111111111</v>
      </c>
      <c r="BQ308" s="67">
        <f>(CL308-Driver!$F$209)/(Driver!$G$209-Driver!$F$209)*$BI$1</f>
        <v>2.8125</v>
      </c>
      <c r="BR308" s="28" t="s">
        <v>155</v>
      </c>
      <c r="BS308" s="8" t="s">
        <v>245</v>
      </c>
      <c r="BT308" s="9" t="s">
        <v>513</v>
      </c>
      <c r="BU308" s="10">
        <v>174</v>
      </c>
      <c r="BV308" s="9" t="s">
        <v>158</v>
      </c>
      <c r="BW308" s="10">
        <v>174</v>
      </c>
      <c r="BX308" s="10">
        <v>174.2</v>
      </c>
      <c r="BY308" s="10">
        <v>123</v>
      </c>
      <c r="BZ308" s="10">
        <v>147</v>
      </c>
      <c r="CA308" s="10">
        <v>127</v>
      </c>
      <c r="CB308" s="10">
        <v>95</v>
      </c>
      <c r="CC308" s="10">
        <v>118</v>
      </c>
      <c r="CD308" s="10">
        <v>16.5</v>
      </c>
      <c r="CE308" s="10">
        <v>1786</v>
      </c>
      <c r="CF308" s="10">
        <v>1.04</v>
      </c>
      <c r="CG308" s="10">
        <v>1857</v>
      </c>
      <c r="CH308" s="10">
        <v>210</v>
      </c>
      <c r="CI308" s="10">
        <v>118</v>
      </c>
      <c r="CJ308" s="10">
        <v>49</v>
      </c>
      <c r="CK308" s="10">
        <v>296</v>
      </c>
      <c r="CL308" s="10">
        <v>18</v>
      </c>
      <c r="CM308" s="10">
        <v>217</v>
      </c>
      <c r="CN308" s="10">
        <v>0.373</v>
      </c>
      <c r="CO308" s="10">
        <v>144</v>
      </c>
      <c r="CP308" s="10">
        <v>126</v>
      </c>
      <c r="CQ308" s="10">
        <v>152</v>
      </c>
      <c r="CR308" s="10">
        <v>6</v>
      </c>
      <c r="CS308" s="10">
        <v>9.3000000000000007</v>
      </c>
      <c r="CT308" s="9" t="s">
        <v>188</v>
      </c>
      <c r="CU308" s="10"/>
      <c r="CV308" s="10"/>
      <c r="CW308" s="10"/>
      <c r="CX308" t="str">
        <f>INDEX('Data_Price '!AG$2:AG$1266,MATCH(Data!$DN308,'Data_Price '!$AT$2:$AT$1266,0))</f>
        <v>Fischer Ranger 99 Ti Ski - 2022</v>
      </c>
      <c r="CY308" t="str">
        <f>INDEX('Data_Price '!AH$2:AH$1266,MATCH(Data!$DN308,'Data_Price '!$AT$2:$AT$1266,0))</f>
        <v>Snowcountry.eu</v>
      </c>
      <c r="CZ308">
        <f>INDEX('Data_Price '!AI$2:AI$1266,MATCH(Data!$DN308,'Data_Price '!$AT$2:$AT$1266,0))</f>
        <v>387.23</v>
      </c>
      <c r="DA308" t="str">
        <f>INDEX('Data_Price '!AJ$2:AJ$1266,MATCH(Data!$DN308,'Data_Price '!$AT$2:$AT$1266,0))</f>
        <v>https://tinyurl.com/y9r825gb</v>
      </c>
      <c r="DB308" t="str">
        <f>INDEX('Data_Price '!AK$2:AK$1266,MATCH(Data!$DN308,'Data_Price '!$AT$2:$AT$1266,0))</f>
        <v>Fischer Ranger 99 Ti WS 20/21</v>
      </c>
      <c r="DC308" t="str">
        <f>INDEX('Data_Price '!AL$2:AL$1266,MATCH(Data!$DN308,'Data_Price '!$AT$2:$AT$1266,0))</f>
        <v>Level Nine Sports</v>
      </c>
      <c r="DD308">
        <f>INDEX('Data_Price '!AM$2:AM$1266,MATCH(Data!$DN308,'Data_Price '!$AT$2:$AT$1266,0))</f>
        <v>389.99</v>
      </c>
      <c r="DE308" t="str">
        <f>INDEX('Data_Price '!AN$2:AN$1266,MATCH(Data!$DN308,'Data_Price '!$AT$2:$AT$1266,0))</f>
        <v>https://tinyurl.com/y9jhds4k</v>
      </c>
      <c r="DF308" t="str">
        <f>INDEX('Data_Price '!AO$2:AO$1266,MATCH(Data!$DN308,'Data_Price '!$AT$2:$AT$1266,0))</f>
        <v>Fischer Ranger 99 Ti Dark Green 174 Ski Men</v>
      </c>
      <c r="DG308" t="str">
        <f>INDEX('Data_Price '!AP$2:AP$1266,MATCH(Data!$DN308,'Data_Price '!$AT$2:$AT$1266,0))</f>
        <v>! OutdoorXL.com</v>
      </c>
      <c r="DH308">
        <f>INDEX('Data_Price '!AQ$2:AQ$1266,MATCH(Data!$DN308,'Data_Price '!$AT$2:$AT$1266,0))</f>
        <v>469.95</v>
      </c>
      <c r="DI308" t="str">
        <f>INDEX('Data_Price '!AR$2:AR$1266,MATCH(Data!$DN308,'Data_Price '!$AT$2:$AT$1266,0))</f>
        <v>https://tinyurl.com/yb38fhss</v>
      </c>
      <c r="DJ308" s="89" t="str">
        <f t="shared" si="180"/>
        <v>https://tinyurl.com/y9r825gb</v>
      </c>
      <c r="DK308" s="89" t="str">
        <f t="shared" si="181"/>
        <v>https://tinyurl.com/y9jhds4k</v>
      </c>
      <c r="DL308" s="89" t="str">
        <f t="shared" si="182"/>
        <v>https://tinyurl.com/yb38fhss</v>
      </c>
      <c r="DM308" s="219" t="str">
        <f t="shared" si="183"/>
        <v>Ranger 99 Ti</v>
      </c>
      <c r="DN308" s="89" t="str">
        <f t="shared" si="184"/>
        <v xml:space="preserve"> FischerRanger 99 Ti174 Unisex</v>
      </c>
      <c r="DO308" s="221" t="s">
        <v>514</v>
      </c>
    </row>
    <row r="309" spans="2:119" ht="15.6" customHeight="1">
      <c r="B309" s="219" t="b">
        <f t="array" ref="B309">IF(OR(ISERROR(K309:P309)),FALSE,TRUE)</f>
        <v>1</v>
      </c>
      <c r="C309" s="43" t="b">
        <f>OR(BR309=Driver!$G$50,Data!BR332=Driver!$H$50)</f>
        <v>1</v>
      </c>
      <c r="D309" s="43" t="b">
        <f>OR(BV309=Driver!$G$51,BV309=Driver!$H$51)</f>
        <v>1</v>
      </c>
      <c r="E309" s="43" t="b">
        <f>AND(BX309&gt;Driver!$F$54,BX309&lt;Driver!$G$54)</f>
        <v>0</v>
      </c>
      <c r="F309" s="43" t="b">
        <f>CL309&gt;Driver!$F$56</f>
        <v>1</v>
      </c>
      <c r="G309" s="43" t="b">
        <f>AND(CB309&gt;Driver!$F$55,CB309&lt;Driver!$G$55)</f>
        <v>1</v>
      </c>
      <c r="H309" s="43" t="b">
        <f t="shared" si="148"/>
        <v>0</v>
      </c>
      <c r="I309" s="43">
        <f t="shared" si="149"/>
        <v>0</v>
      </c>
      <c r="J309" s="43" t="b">
        <f t="array" ref="J309">NOT(OR(($H$9:$H$1273=TRUE)*($I$9:$I$1273&gt;0)*($BT$9:$BT$1273=BT309)*($K$9:$K$1273&gt;K309)))</f>
        <v>1</v>
      </c>
      <c r="K309" s="72">
        <f t="shared" si="150"/>
        <v>0.88404933760703419</v>
      </c>
      <c r="L309" s="72">
        <f t="shared" si="151"/>
        <v>0.9720314971712517</v>
      </c>
      <c r="M309" s="72">
        <f t="shared" si="152"/>
        <v>0.79606717804281668</v>
      </c>
      <c r="N309" s="72">
        <f t="shared" si="153"/>
        <v>0.76063925931796228</v>
      </c>
      <c r="O309" s="72">
        <f t="shared" si="154"/>
        <v>0.6938731873611621</v>
      </c>
      <c r="P309" s="72">
        <f t="shared" si="155"/>
        <v>0.93368908744932577</v>
      </c>
      <c r="Q309" s="72"/>
      <c r="R309" s="72"/>
      <c r="S309" s="72">
        <f t="shared" si="156"/>
        <v>0.43356657816518918</v>
      </c>
      <c r="T309" s="72">
        <f t="shared" si="157"/>
        <v>0.46179363474930302</v>
      </c>
      <c r="U309" s="72">
        <f t="shared" si="158"/>
        <v>0.53634592754780841</v>
      </c>
      <c r="V309" s="72">
        <f t="shared" si="159"/>
        <v>0.5780461778530892</v>
      </c>
      <c r="W309" s="72">
        <f t="shared" si="160"/>
        <v>0.8587499999999999</v>
      </c>
      <c r="X309" s="72">
        <f t="shared" si="161"/>
        <v>2.7968502828748271E-2</v>
      </c>
      <c r="Y309" s="72">
        <f t="shared" si="162"/>
        <v>0.20393282195718329</v>
      </c>
      <c r="Z309" s="72">
        <f t="shared" si="163"/>
        <v>0.23936074068203778</v>
      </c>
      <c r="AA309" s="72">
        <f t="shared" si="164"/>
        <v>0.3061268126388379</v>
      </c>
      <c r="AB309" s="72">
        <f t="shared" si="165"/>
        <v>6.6310912550674284E-2</v>
      </c>
      <c r="AC309" s="72"/>
      <c r="AD309" s="72"/>
      <c r="AE309" s="72">
        <f t="shared" si="166"/>
        <v>0.56643342183481082</v>
      </c>
      <c r="AF309" s="72">
        <f t="shared" si="167"/>
        <v>0.53820636525069698</v>
      </c>
      <c r="AG309" s="72">
        <f t="shared" si="168"/>
        <v>0.46365407245219159</v>
      </c>
      <c r="AH309" s="72">
        <f t="shared" si="169"/>
        <v>0.4219538221469108</v>
      </c>
      <c r="AI309" s="72">
        <f t="shared" si="170"/>
        <v>0.14125000000000004</v>
      </c>
      <c r="AJ309" s="72">
        <f>(AV309-Driver!$K$179)/(Driver!$L$179-Driver!$K$179)</f>
        <v>0.22625090645395216</v>
      </c>
      <c r="AK309" s="72">
        <f>(AW309-Driver!$K$180)/(Driver!$L$180-Driver!$K$180)</f>
        <v>0.20004670287700813</v>
      </c>
      <c r="AL309" s="72">
        <f>(AX309-Driver!$K$181)/(Driver!$L$181-Driver!$K$181)</f>
        <v>0.34104850439511797</v>
      </c>
      <c r="AM309" s="72">
        <f>(AY309-Driver!$K$182)/(Driver!$L$182-Driver!$K$182)</f>
        <v>0.14125820845820844</v>
      </c>
      <c r="AN309" s="72">
        <f>(AZ309-Driver!$K$183)/(Driver!$L$183-Driver!$K$183)</f>
        <v>0.18790849673202614</v>
      </c>
      <c r="AO309" s="72"/>
      <c r="AP309" s="72"/>
      <c r="AQ309" s="72">
        <f>(BC309-Driver!$K$188)/(Driver!$L$188-Driver!$K$188)</f>
        <v>5.3566578165189137E-2</v>
      </c>
      <c r="AR309" s="72">
        <f>MIN((BD309-Driver!$K$189)/(Driver!$L$189-Driver!$K$189),100%)</f>
        <v>1.1793634749303089E-2</v>
      </c>
      <c r="AS309" s="72">
        <f>(BE309-Driver!$K$190)/(Driver!$L$190-Driver!$K$190)</f>
        <v>4.6345927547808433E-2</v>
      </c>
      <c r="AT309" s="72">
        <f>(BF309-Driver!$K$191)/(Driver!$L$191-Driver!$K$191)</f>
        <v>8.80461778530892E-2</v>
      </c>
      <c r="AU309" s="72">
        <f>(BG309-Driver!$K$192)/(Driver!$L$192-Driver!$K$192)</f>
        <v>0.10874999999999996</v>
      </c>
      <c r="AV309" s="70">
        <f t="shared" si="171"/>
        <v>4.7619047619047628</v>
      </c>
      <c r="AW309" s="70">
        <f t="shared" si="172"/>
        <v>21.3682164109333</v>
      </c>
      <c r="AX309" s="70">
        <f t="shared" si="173"/>
        <v>4.0694365395560617</v>
      </c>
      <c r="AY309" s="70">
        <f>IFERROR(Driver!$K$19/Data!BH309/Data!BI309*Data!BK309*Data!BL309,"")</f>
        <v>0.17294219453434895</v>
      </c>
      <c r="AZ309" s="70">
        <f t="shared" si="174"/>
        <v>17.125837676842888</v>
      </c>
      <c r="BA309" s="70"/>
      <c r="BB309" s="70"/>
      <c r="BC309" s="70">
        <f t="shared" si="175"/>
        <v>27.78535648309353</v>
      </c>
      <c r="BD309" s="70">
        <f t="shared" si="176"/>
        <v>2.76453866232682</v>
      </c>
      <c r="BE309" s="70">
        <f t="shared" si="177"/>
        <v>4.65160487005001E-2</v>
      </c>
      <c r="BF309" s="70">
        <f t="shared" si="178"/>
        <v>9.9441972290989842</v>
      </c>
      <c r="BG309" s="70">
        <f t="shared" si="179"/>
        <v>0.4117968749999999</v>
      </c>
      <c r="BH309" s="67">
        <f>MAX((CE309-Driver!$F$200)/(Driver!$G$200-Driver!$F$200)*$BI$1,1)</f>
        <v>4.0694365395560617</v>
      </c>
      <c r="BI309" s="67">
        <f>MAX($BI$1*(BY309-Driver!$F$201)/(Driver!$G$201-Driver!$F$201),1)</f>
        <v>6.3291139240506329</v>
      </c>
      <c r="BJ309" s="67">
        <f>(CB309-Driver!$F$206)/(Driver!$G$206-Driver!$F$206)*$BI$1</f>
        <v>6.1904761904761907</v>
      </c>
      <c r="BK309" s="67">
        <f>(CD309-Driver!$F$203)/(Driver!$G$203-Driver!$F$203)*$BI$1</f>
        <v>4.0366972477064227</v>
      </c>
      <c r="BL309" s="67">
        <f>MAX((CR309-Driver!$F$202)/(Driver!$G$202-Driver!$F$202)*$BI$1,1)</f>
        <v>5.5172413793103452</v>
      </c>
      <c r="BM309" s="67">
        <f>MAX((CH309-Driver!$F$204)/(Driver!$G$204-Driver!$F$204)*$BI$1,1)</f>
        <v>3.0769230769230771</v>
      </c>
      <c r="BN309" s="67">
        <f>(CI309-Driver!$F$205)/(Driver!$G$205-Driver!$F$205)*$BI$1</f>
        <v>2.7058823529411762</v>
      </c>
      <c r="BO309" s="67">
        <f>(CK309-Driver!$F$207)/(Driver!$G$207-Driver!$F$207)*$BI$1</f>
        <v>2.0992761116856258</v>
      </c>
      <c r="BP309" s="67">
        <f>(CM309-Driver!$F$208)/(Driver!$G$208-Driver!$F$208)*$BI$1</f>
        <v>3.0888888888888886</v>
      </c>
      <c r="BQ309" s="67">
        <f>(CL309-Driver!$F$209)/(Driver!$G$209-Driver!$F$209)*$BI$1</f>
        <v>5.15625</v>
      </c>
      <c r="BR309" s="28" t="s">
        <v>155</v>
      </c>
      <c r="BS309" s="8" t="s">
        <v>218</v>
      </c>
      <c r="BT309" s="9" t="s">
        <v>398</v>
      </c>
      <c r="BU309" s="10">
        <v>168</v>
      </c>
      <c r="BV309" s="9" t="s">
        <v>158</v>
      </c>
      <c r="BW309" s="10">
        <v>168</v>
      </c>
      <c r="BX309" s="10">
        <v>167.4</v>
      </c>
      <c r="BY309" s="10">
        <v>108</v>
      </c>
      <c r="BZ309" s="10">
        <v>133</v>
      </c>
      <c r="CA309" s="10">
        <v>128</v>
      </c>
      <c r="CB309" s="10">
        <v>103</v>
      </c>
      <c r="CC309" s="10">
        <v>117</v>
      </c>
      <c r="CD309" s="10">
        <v>18.2</v>
      </c>
      <c r="CE309" s="10">
        <v>1615</v>
      </c>
      <c r="CF309" s="10">
        <v>1.1499999999999999</v>
      </c>
      <c r="CG309" s="10">
        <v>1863</v>
      </c>
      <c r="CH309" s="10">
        <v>173</v>
      </c>
      <c r="CI309" s="10">
        <v>79</v>
      </c>
      <c r="CJ309" s="10">
        <v>50</v>
      </c>
      <c r="CK309" s="10">
        <v>313</v>
      </c>
      <c r="CL309" s="10">
        <v>33</v>
      </c>
      <c r="CM309" s="10">
        <v>278</v>
      </c>
      <c r="CN309" s="10">
        <v>0.66100000000000003</v>
      </c>
      <c r="CO309" s="10">
        <v>198</v>
      </c>
      <c r="CP309" s="10">
        <v>147</v>
      </c>
      <c r="CQ309" s="10">
        <v>115</v>
      </c>
      <c r="CR309" s="10">
        <v>5</v>
      </c>
      <c r="CS309" s="10">
        <v>6.5</v>
      </c>
      <c r="CT309" s="9" t="s">
        <v>188</v>
      </c>
      <c r="CU309" s="9" t="s">
        <v>169</v>
      </c>
      <c r="CV309" s="9" t="s">
        <v>185</v>
      </c>
      <c r="CW309" s="10"/>
      <c r="CX309" t="str">
        <f>INDEX('Data_Price '!AG$2:AG$1266,MATCH(Data!$DN309,'Data_Price '!$AT$2:$AT$1266,0))</f>
        <v>DPS Koala 103 Foundation Skis 2022</v>
      </c>
      <c r="CY309" t="str">
        <f>INDEX('Data_Price '!AH$2:AH$1266,MATCH(Data!$DN309,'Data_Price '!$AT$2:$AT$1266,0))</f>
        <v>eBay - david110549</v>
      </c>
      <c r="CZ309">
        <f>INDEX('Data_Price '!AI$2:AI$1266,MATCH(Data!$DN309,'Data_Price '!$AT$2:$AT$1266,0))</f>
        <v>559</v>
      </c>
      <c r="DA309" t="str">
        <f>INDEX('Data_Price '!AJ$2:AJ$1266,MATCH(Data!$DN309,'Data_Price '!$AT$2:$AT$1266,0))</f>
        <v>https://tinyurl.com/y9349qp2</v>
      </c>
      <c r="DB309" t="str">
        <f>INDEX('Data_Price '!AK$2:AK$1266,MATCH(Data!$DN309,'Data_Price '!$AT$2:$AT$1266,0))</f>
        <v>DPS Koala 103 Foundation Skis 2022</v>
      </c>
      <c r="DC309" t="str">
        <f>INDEX('Data_Price '!AL$2:AL$1266,MATCH(Data!$DN309,'Data_Price '!$AT$2:$AT$1266,0))</f>
        <v>Teton Wasatch Ski Co.</v>
      </c>
      <c r="DD309">
        <f>INDEX('Data_Price '!AM$2:AM$1266,MATCH(Data!$DN309,'Data_Price '!$AT$2:$AT$1266,0))</f>
        <v>559</v>
      </c>
      <c r="DE309" t="str">
        <f>INDEX('Data_Price '!AN$2:AN$1266,MATCH(Data!$DN309,'Data_Price '!$AT$2:$AT$1266,0))</f>
        <v>https://tinyurl.com/y9ddr7zn</v>
      </c>
      <c r="DF309" t="str">
        <f>INDEX('Data_Price '!AO$2:AO$1266,MATCH(Data!$DN309,'Data_Price '!$AT$2:$AT$1266,0))</f>
        <v>DPS Koala 103 Foundation Skis 2022</v>
      </c>
      <c r="DG309" t="str">
        <f>INDEX('Data_Price '!AP$2:AP$1266,MATCH(Data!$DN309,'Data_Price '!$AT$2:$AT$1266,0))</f>
        <v>SkiEssentials.com</v>
      </c>
      <c r="DH309">
        <f>INDEX('Data_Price '!AQ$2:AQ$1266,MATCH(Data!$DN309,'Data_Price '!$AT$2:$AT$1266,0))</f>
        <v>559</v>
      </c>
      <c r="DI309" t="str">
        <f>INDEX('Data_Price '!AR$2:AR$1266,MATCH(Data!$DN309,'Data_Price '!$AT$2:$AT$1266,0))</f>
        <v>https://tinyurl.com/y94h92gl</v>
      </c>
      <c r="DJ309" s="89" t="str">
        <f t="shared" si="180"/>
        <v>https://tinyurl.com/y9349qp2</v>
      </c>
      <c r="DK309" s="89" t="str">
        <f t="shared" si="181"/>
        <v>https://tinyurl.com/y9ddr7zn</v>
      </c>
      <c r="DL309" s="89" t="str">
        <f t="shared" si="182"/>
        <v>https://tinyurl.com/y94h92gl</v>
      </c>
      <c r="DM309" s="219" t="str">
        <f t="shared" si="183"/>
        <v>Foundation 103 Koala</v>
      </c>
      <c r="DN309" s="89" t="str">
        <f t="shared" si="184"/>
        <v xml:space="preserve"> DPSFoundation 103 Koala168 Unisex</v>
      </c>
      <c r="DO309" s="221"/>
    </row>
    <row r="310" spans="2:119" ht="15.6" customHeight="1">
      <c r="B310" s="219" t="b">
        <f t="array" ref="B310">IF(OR(ISERROR(K310:P310)),FALSE,TRUE)</f>
        <v>1</v>
      </c>
      <c r="C310" s="43" t="b">
        <f>OR(BR310=Driver!$G$50,Data!BR758=Driver!$H$50)</f>
        <v>1</v>
      </c>
      <c r="D310" s="43" t="b">
        <f>OR(BV310=Driver!$G$51,BV310=Driver!$H$51)</f>
        <v>1</v>
      </c>
      <c r="E310" s="43" t="b">
        <f>AND(BX310&gt;Driver!$F$54,BX310&lt;Driver!$G$54)</f>
        <v>0</v>
      </c>
      <c r="F310" s="43" t="b">
        <f>CL310&gt;Driver!$F$56</f>
        <v>1</v>
      </c>
      <c r="G310" s="43" t="b">
        <f>AND(CB310&gt;Driver!$F$55,CB310&lt;Driver!$G$55)</f>
        <v>0</v>
      </c>
      <c r="H310" s="43" t="b">
        <f t="shared" si="148"/>
        <v>0</v>
      </c>
      <c r="I310" s="43">
        <f t="shared" si="149"/>
        <v>0</v>
      </c>
      <c r="J310" s="43" t="b">
        <f t="array" ref="J310">NOT(OR(($H$9:$H$1273=TRUE)*($I$9:$I$1273&gt;0)*($BT$9:$BT$1273=BT310)*($K$9:$K$1273&gt;K310)))</f>
        <v>1</v>
      </c>
      <c r="K310" s="72">
        <f t="shared" si="150"/>
        <v>0.81005891088580506</v>
      </c>
      <c r="L310" s="72">
        <f t="shared" si="151"/>
        <v>0.92451189175792403</v>
      </c>
      <c r="M310" s="72">
        <f t="shared" si="152"/>
        <v>0.69560593001368609</v>
      </c>
      <c r="N310" s="72">
        <f t="shared" si="153"/>
        <v>0.49377022750869137</v>
      </c>
      <c r="O310" s="72">
        <f t="shared" si="154"/>
        <v>0.63907325128888204</v>
      </c>
      <c r="P310" s="72">
        <f t="shared" si="155"/>
        <v>0.95397431124348464</v>
      </c>
      <c r="Q310" s="72"/>
      <c r="R310" s="72"/>
      <c r="S310" s="72">
        <f t="shared" si="156"/>
        <v>0.46618253961142964</v>
      </c>
      <c r="T310" s="72">
        <f t="shared" si="157"/>
        <v>0.56615893541627704</v>
      </c>
      <c r="U310" s="72">
        <f t="shared" si="158"/>
        <v>0.50724225163094083</v>
      </c>
      <c r="V310" s="72">
        <f t="shared" si="159"/>
        <v>0.60142446542931582</v>
      </c>
      <c r="W310" s="72">
        <f t="shared" si="160"/>
        <v>0.79295394579035738</v>
      </c>
      <c r="X310" s="72">
        <f t="shared" si="161"/>
        <v>7.5488108242075913E-2</v>
      </c>
      <c r="Y310" s="72">
        <f t="shared" si="162"/>
        <v>0.30439406998631396</v>
      </c>
      <c r="Z310" s="72">
        <f t="shared" si="163"/>
        <v>0.50622977249130863</v>
      </c>
      <c r="AA310" s="72">
        <f t="shared" si="164"/>
        <v>0.36092674871111796</v>
      </c>
      <c r="AB310" s="72">
        <f t="shared" si="165"/>
        <v>4.6025688756515304E-2</v>
      </c>
      <c r="AC310" s="72"/>
      <c r="AD310" s="72"/>
      <c r="AE310" s="72">
        <f t="shared" si="166"/>
        <v>0.53381746038857036</v>
      </c>
      <c r="AF310" s="72">
        <f t="shared" si="167"/>
        <v>0.4338410645837229</v>
      </c>
      <c r="AG310" s="72">
        <f t="shared" si="168"/>
        <v>0.49275774836905917</v>
      </c>
      <c r="AH310" s="72">
        <f t="shared" si="169"/>
        <v>0.39857553457068418</v>
      </c>
      <c r="AI310" s="72">
        <f t="shared" si="170"/>
        <v>0.20704605420964262</v>
      </c>
      <c r="AJ310" s="72">
        <f>(AV310-Driver!$K$179)/(Driver!$L$179-Driver!$K$179)</f>
        <v>0.32970751752477634</v>
      </c>
      <c r="AK310" s="72">
        <f>(AW310-Driver!$K$180)/(Driver!$L$180-Driver!$K$180)</f>
        <v>0.32905500670612048</v>
      </c>
      <c r="AL310" s="72">
        <f>(AX310-Driver!$K$181)/(Driver!$L$181-Driver!$K$181)</f>
        <v>0.60791753620438882</v>
      </c>
      <c r="AM310" s="72">
        <f>(AY310-Driver!$K$182)/(Driver!$L$182-Driver!$K$182)</f>
        <v>8.6458272385928389E-2</v>
      </c>
      <c r="AN310" s="72">
        <f>(AZ310-Driver!$K$183)/(Driver!$L$183-Driver!$K$183)</f>
        <v>0.30024509803921573</v>
      </c>
      <c r="AO310" s="72"/>
      <c r="AP310" s="72"/>
      <c r="AQ310" s="72">
        <f>(BC310-Driver!$K$188)/(Driver!$L$188-Driver!$K$188)</f>
        <v>8.6182539611429673E-2</v>
      </c>
      <c r="AR310" s="72">
        <f>MIN((BD310-Driver!$K$189)/(Driver!$L$189-Driver!$K$189),100%)</f>
        <v>0.11615893541627713</v>
      </c>
      <c r="AS310" s="72">
        <f>(BE310-Driver!$K$190)/(Driver!$L$190-Driver!$K$190)</f>
        <v>1.7242251630940852E-2</v>
      </c>
      <c r="AT310" s="72">
        <f>(BF310-Driver!$K$191)/(Driver!$L$191-Driver!$K$191)</f>
        <v>0.11142446542931585</v>
      </c>
      <c r="AU310" s="72">
        <f>(BG310-Driver!$K$192)/(Driver!$L$192-Driver!$K$192)</f>
        <v>4.2953945790357391E-2</v>
      </c>
      <c r="AV310" s="70">
        <f t="shared" si="171"/>
        <v>6.9393569393569381</v>
      </c>
      <c r="AW310" s="70">
        <f t="shared" si="172"/>
        <v>33.941218748941012</v>
      </c>
      <c r="AX310" s="70">
        <f t="shared" si="173"/>
        <v>6.4712578258394995</v>
      </c>
      <c r="AY310" s="70">
        <f>IFERROR(Driver!$K$19/Data!BH310/Data!BI310*Data!BK310*Data!BL310,"")</f>
        <v>0.10585072205906267</v>
      </c>
      <c r="AZ310" s="70">
        <f t="shared" si="174"/>
        <v>27.364110201042447</v>
      </c>
      <c r="BA310" s="70"/>
      <c r="BB310" s="70"/>
      <c r="BC310" s="70">
        <f t="shared" si="175"/>
        <v>44.703482427743893</v>
      </c>
      <c r="BD310" s="70">
        <f t="shared" si="176"/>
        <v>12.000682846983791</v>
      </c>
      <c r="BE310" s="70">
        <f t="shared" si="177"/>
        <v>1.7417564551840264E-2</v>
      </c>
      <c r="BF310" s="70">
        <f t="shared" si="178"/>
        <v>12.584610569068126</v>
      </c>
      <c r="BG310" s="70">
        <f t="shared" si="179"/>
        <v>0.16265104041736625</v>
      </c>
      <c r="BH310" s="67">
        <f>MAX((CE310-Driver!$F$200)/(Driver!$G$200-Driver!$F$200)*$BI$1,1)</f>
        <v>6.4712578258394995</v>
      </c>
      <c r="BI310" s="67">
        <f>MAX($BI$1*(BY310-Driver!$F$201)/(Driver!$G$201-Driver!$F$201),1)</f>
        <v>6.2025316455696204</v>
      </c>
      <c r="BJ310" s="67">
        <f>(CB310-Driver!$F$206)/(Driver!$G$206-Driver!$F$206)*$BI$1</f>
        <v>4.92063492063492</v>
      </c>
      <c r="BK310" s="67">
        <f>(CD310-Driver!$F$203)/(Driver!$G$203-Driver!$F$203)*$BI$1</f>
        <v>3.623853211009175</v>
      </c>
      <c r="BL310" s="67">
        <f>MAX((CR310-Driver!$F$202)/(Driver!$G$202-Driver!$F$202)*$BI$1,1)</f>
        <v>5.8620689655172411</v>
      </c>
      <c r="BM310" s="67">
        <f>MAX((CH310-Driver!$F$204)/(Driver!$G$204-Driver!$F$204)*$BI$1,1)</f>
        <v>5.6410256410256405</v>
      </c>
      <c r="BN310" s="67">
        <f>(CI310-Driver!$F$205)/(Driver!$G$205-Driver!$F$205)*$BI$1</f>
        <v>4.4117647058823533</v>
      </c>
      <c r="BO310" s="67">
        <f>(CK310-Driver!$F$207)/(Driver!$G$207-Driver!$F$207)*$BI$1</f>
        <v>2.2543950361944156</v>
      </c>
      <c r="BP310" s="67">
        <f>(CM310-Driver!$F$208)/(Driver!$G$208-Driver!$F$208)*$BI$1</f>
        <v>4.1111111111111107</v>
      </c>
      <c r="BQ310" s="67">
        <f>(CL310-Driver!$F$209)/(Driver!$G$209-Driver!$F$209)*$BI$1</f>
        <v>5.9375</v>
      </c>
      <c r="BR310" s="28" t="s">
        <v>155</v>
      </c>
      <c r="BS310" s="8" t="s">
        <v>262</v>
      </c>
      <c r="BT310" s="9" t="s">
        <v>489</v>
      </c>
      <c r="BU310" s="10">
        <v>177</v>
      </c>
      <c r="BV310" s="9" t="s">
        <v>158</v>
      </c>
      <c r="BW310" s="10">
        <v>177</v>
      </c>
      <c r="BX310" s="10">
        <v>175.6</v>
      </c>
      <c r="BY310" s="10">
        <v>106</v>
      </c>
      <c r="BZ310" s="10">
        <v>138</v>
      </c>
      <c r="CA310" s="10">
        <v>123</v>
      </c>
      <c r="CB310" s="10">
        <v>95</v>
      </c>
      <c r="CC310" s="10">
        <v>117</v>
      </c>
      <c r="CD310" s="10">
        <v>17.3</v>
      </c>
      <c r="CE310" s="10">
        <v>2037</v>
      </c>
      <c r="CF310" s="10">
        <v>0.91</v>
      </c>
      <c r="CG310" s="10">
        <v>1847</v>
      </c>
      <c r="CH310" s="10">
        <v>233</v>
      </c>
      <c r="CI310" s="10">
        <v>108</v>
      </c>
      <c r="CJ310" s="10">
        <v>41</v>
      </c>
      <c r="CK310" s="10">
        <v>328</v>
      </c>
      <c r="CL310" s="10">
        <v>38</v>
      </c>
      <c r="CM310" s="10">
        <v>370</v>
      </c>
      <c r="CN310" s="10">
        <v>0.92900000000000005</v>
      </c>
      <c r="CO310" s="10">
        <v>190</v>
      </c>
      <c r="CP310" s="10">
        <v>184</v>
      </c>
      <c r="CQ310" s="10">
        <v>137</v>
      </c>
      <c r="CR310" s="10">
        <v>6</v>
      </c>
      <c r="CS310" s="10">
        <v>5.5</v>
      </c>
      <c r="CT310" s="9" t="s">
        <v>184</v>
      </c>
      <c r="CU310" s="10"/>
      <c r="CV310" s="10"/>
      <c r="CW310" s="10"/>
      <c r="CX310" t="e">
        <f>INDEX('Data_Price '!AG$2:AG$1266,MATCH(Data!$DN310,'Data_Price '!$AT$2:$AT$1266,0))</f>
        <v>#N/A</v>
      </c>
      <c r="CY310" t="e">
        <f>INDEX('Data_Price '!AH$2:AH$1266,MATCH(Data!$DN310,'Data_Price '!$AT$2:$AT$1266,0))</f>
        <v>#N/A</v>
      </c>
      <c r="CZ310" t="e">
        <f>INDEX('Data_Price '!AI$2:AI$1266,MATCH(Data!$DN310,'Data_Price '!$AT$2:$AT$1266,0))</f>
        <v>#N/A</v>
      </c>
      <c r="DA310" t="e">
        <f>INDEX('Data_Price '!AJ$2:AJ$1266,MATCH(Data!$DN310,'Data_Price '!$AT$2:$AT$1266,0))</f>
        <v>#N/A</v>
      </c>
      <c r="DB310" t="e">
        <f>INDEX('Data_Price '!AK$2:AK$1266,MATCH(Data!$DN310,'Data_Price '!$AT$2:$AT$1266,0))</f>
        <v>#N/A</v>
      </c>
      <c r="DC310" t="e">
        <f>INDEX('Data_Price '!AL$2:AL$1266,MATCH(Data!$DN310,'Data_Price '!$AT$2:$AT$1266,0))</f>
        <v>#N/A</v>
      </c>
      <c r="DD310" t="e">
        <f>INDEX('Data_Price '!AM$2:AM$1266,MATCH(Data!$DN310,'Data_Price '!$AT$2:$AT$1266,0))</f>
        <v>#N/A</v>
      </c>
      <c r="DE310" t="e">
        <f>INDEX('Data_Price '!AN$2:AN$1266,MATCH(Data!$DN310,'Data_Price '!$AT$2:$AT$1266,0))</f>
        <v>#N/A</v>
      </c>
      <c r="DF310" t="e">
        <f>INDEX('Data_Price '!AO$2:AO$1266,MATCH(Data!$DN310,'Data_Price '!$AT$2:$AT$1266,0))</f>
        <v>#N/A</v>
      </c>
      <c r="DG310" t="e">
        <f>INDEX('Data_Price '!AP$2:AP$1266,MATCH(Data!$DN310,'Data_Price '!$AT$2:$AT$1266,0))</f>
        <v>#N/A</v>
      </c>
      <c r="DH310" t="e">
        <f>INDEX('Data_Price '!AQ$2:AQ$1266,MATCH(Data!$DN310,'Data_Price '!$AT$2:$AT$1266,0))</f>
        <v>#N/A</v>
      </c>
      <c r="DI310" t="e">
        <f>INDEX('Data_Price '!AR$2:AR$1266,MATCH(Data!$DN310,'Data_Price '!$AT$2:$AT$1266,0))</f>
        <v>#N/A</v>
      </c>
      <c r="DJ310" s="89" t="e">
        <f t="shared" si="180"/>
        <v>#N/A</v>
      </c>
      <c r="DK310" s="89" t="e">
        <f t="shared" si="181"/>
        <v>#N/A</v>
      </c>
      <c r="DL310" s="89" t="e">
        <f t="shared" si="182"/>
        <v>#N/A</v>
      </c>
      <c r="DM310" s="219" t="str">
        <f t="shared" si="183"/>
        <v>Poacher</v>
      </c>
      <c r="DN310" s="89" t="str">
        <f t="shared" si="184"/>
        <v xml:space="preserve"> K2Poacher177 Unisex</v>
      </c>
      <c r="DO310" s="221" t="s">
        <v>490</v>
      </c>
    </row>
    <row r="311" spans="2:119" ht="15.6" customHeight="1">
      <c r="B311" s="219" t="b">
        <f t="array" ref="B311">IF(OR(ISERROR(K311:P311)),FALSE,TRUE)</f>
        <v>1</v>
      </c>
      <c r="C311" s="43" t="b">
        <f>OR(BR311=Driver!$G$50,Data!BR514=Driver!$H$50)</f>
        <v>1</v>
      </c>
      <c r="D311" s="43" t="b">
        <f>OR(BV311=Driver!$G$51,BV311=Driver!$H$51)</f>
        <v>0</v>
      </c>
      <c r="E311" s="43" t="b">
        <f>AND(BX311&gt;Driver!$F$54,BX311&lt;Driver!$G$54)</f>
        <v>1</v>
      </c>
      <c r="F311" s="43" t="b">
        <f>CL311&gt;Driver!$F$56</f>
        <v>1</v>
      </c>
      <c r="G311" s="43" t="b">
        <f>AND(CB311&gt;Driver!$F$55,CB311&lt;Driver!$G$55)</f>
        <v>0</v>
      </c>
      <c r="H311" s="43" t="b">
        <f t="shared" si="148"/>
        <v>0</v>
      </c>
      <c r="I311" s="43">
        <f t="shared" si="149"/>
        <v>0</v>
      </c>
      <c r="J311" s="43" t="b">
        <f t="array" ref="J311">NOT(OR(($H$9:$H$1273=TRUE)*($I$9:$I$1273&gt;0)*($BT$9:$BT$1273=BT311)*($K$9:$K$1273&gt;K311)))</f>
        <v>1</v>
      </c>
      <c r="K311" s="72">
        <f t="shared" si="150"/>
        <v>0.85488151047371408</v>
      </c>
      <c r="L311" s="72">
        <f t="shared" si="151"/>
        <v>0.99330294991478563</v>
      </c>
      <c r="M311" s="72">
        <f t="shared" si="152"/>
        <v>0.71646007103264253</v>
      </c>
      <c r="N311" s="72">
        <f t="shared" si="153"/>
        <v>0.67336929156990688</v>
      </c>
      <c r="O311" s="72">
        <f t="shared" si="154"/>
        <v>0.6253454338139478</v>
      </c>
      <c r="P311" s="72">
        <f t="shared" si="155"/>
        <v>0.85066548771407291</v>
      </c>
      <c r="Q311" s="72"/>
      <c r="R311" s="72"/>
      <c r="S311" s="72">
        <f t="shared" si="156"/>
        <v>0.4665914377883168</v>
      </c>
      <c r="T311" s="72">
        <f t="shared" si="157"/>
        <v>0.5193763273826324</v>
      </c>
      <c r="U311" s="72">
        <f t="shared" si="158"/>
        <v>0.65679517466556792</v>
      </c>
      <c r="V311" s="72">
        <f t="shared" si="159"/>
        <v>0.53532353055925841</v>
      </c>
      <c r="W311" s="72">
        <f t="shared" si="160"/>
        <v>0.79143464243845252</v>
      </c>
      <c r="X311" s="72">
        <f t="shared" si="161"/>
        <v>6.697050085214401E-3</v>
      </c>
      <c r="Y311" s="72">
        <f t="shared" si="162"/>
        <v>0.28353992896735747</v>
      </c>
      <c r="Z311" s="72">
        <f t="shared" si="163"/>
        <v>0.32663070843009312</v>
      </c>
      <c r="AA311" s="72">
        <f t="shared" si="164"/>
        <v>0.3746545661860522</v>
      </c>
      <c r="AB311" s="72">
        <f t="shared" si="165"/>
        <v>0.14933451228592703</v>
      </c>
      <c r="AC311" s="72"/>
      <c r="AD311" s="72"/>
      <c r="AE311" s="72">
        <f t="shared" si="166"/>
        <v>0.5334085622116832</v>
      </c>
      <c r="AF311" s="72">
        <f t="shared" si="167"/>
        <v>0.48062367261736755</v>
      </c>
      <c r="AG311" s="72">
        <f t="shared" si="168"/>
        <v>0.34320482533443208</v>
      </c>
      <c r="AH311" s="72">
        <f t="shared" si="169"/>
        <v>0.46467646944074159</v>
      </c>
      <c r="AI311" s="72">
        <f t="shared" si="170"/>
        <v>0.20856535756154748</v>
      </c>
      <c r="AJ311" s="72">
        <f>(AV311-Driver!$K$179)/(Driver!$L$179-Driver!$K$179)</f>
        <v>0.24752235919748602</v>
      </c>
      <c r="AK311" s="72">
        <f>(AW311-Driver!$K$180)/(Driver!$L$180-Driver!$K$180)</f>
        <v>0.40890705013211831</v>
      </c>
      <c r="AL311" s="72">
        <f>(AX311-Driver!$K$181)/(Driver!$L$181-Driver!$K$181)</f>
        <v>0.42831847214317331</v>
      </c>
      <c r="AM311" s="72">
        <f>(AY311-Driver!$K$182)/(Driver!$L$182-Driver!$K$182)</f>
        <v>7.2730454910994169E-2</v>
      </c>
      <c r="AN311" s="72">
        <f>(AZ311-Driver!$K$183)/(Driver!$L$183-Driver!$K$183)</f>
        <v>0.40355392156862746</v>
      </c>
      <c r="AO311" s="72"/>
      <c r="AP311" s="72"/>
      <c r="AQ311" s="72">
        <f>(BC311-Driver!$K$188)/(Driver!$L$188-Driver!$K$188)</f>
        <v>8.6591437788316836E-2</v>
      </c>
      <c r="AR311" s="72">
        <f>MIN((BD311-Driver!$K$189)/(Driver!$L$189-Driver!$K$189),100%)</f>
        <v>6.9376327382632511E-2</v>
      </c>
      <c r="AS311" s="72">
        <f>(BE311-Driver!$K$190)/(Driver!$L$190-Driver!$K$190)</f>
        <v>0.16679517466556795</v>
      </c>
      <c r="AT311" s="72">
        <f>(BF311-Driver!$K$191)/(Driver!$L$191-Driver!$K$191)</f>
        <v>4.5323530559258404E-2</v>
      </c>
      <c r="AU311" s="72">
        <f>(BG311-Driver!$K$192)/(Driver!$L$192-Driver!$K$192)</f>
        <v>4.1434642438452525E-2</v>
      </c>
      <c r="AV311" s="70">
        <f t="shared" si="171"/>
        <v>5.2096052096052086</v>
      </c>
      <c r="AW311" s="70">
        <f t="shared" si="172"/>
        <v>41.723507941888315</v>
      </c>
      <c r="AX311" s="70">
        <f t="shared" si="173"/>
        <v>4.8548662492885599</v>
      </c>
      <c r="AY311" s="70">
        <f>IFERROR(Driver!$K$19/Data!BH311/Data!BI311*Data!BK311*Data!BL311,"")</f>
        <v>8.9043777484337325E-2</v>
      </c>
      <c r="AZ311" s="70">
        <f t="shared" si="174"/>
        <v>36.779597915115417</v>
      </c>
      <c r="BA311" s="70"/>
      <c r="BB311" s="70"/>
      <c r="BC311" s="70">
        <f t="shared" si="175"/>
        <v>44.915580754709275</v>
      </c>
      <c r="BD311" s="70">
        <f t="shared" si="176"/>
        <v>7.8605049298825893</v>
      </c>
      <c r="BE311" s="70">
        <f t="shared" si="177"/>
        <v>0.16694380902828782</v>
      </c>
      <c r="BF311" s="70">
        <f t="shared" si="178"/>
        <v>5.1189743608449785</v>
      </c>
      <c r="BG311" s="70">
        <f t="shared" si="179"/>
        <v>0.15689798871629546</v>
      </c>
      <c r="BH311" s="67">
        <f>MAX((CE311-Driver!$F$200)/(Driver!$G$200-Driver!$F$200)*$BI$1,1)</f>
        <v>4.8548662492885599</v>
      </c>
      <c r="BI311" s="67">
        <f>MAX($BI$1*(BY311-Driver!$F$201)/(Driver!$G$201-Driver!$F$201),1)</f>
        <v>7.0253164556962027</v>
      </c>
      <c r="BJ311" s="67">
        <f>(CB311-Driver!$F$206)/(Driver!$G$206-Driver!$F$206)*$BI$1</f>
        <v>5.0793650793650791</v>
      </c>
      <c r="BK311" s="67">
        <f>(CD311-Driver!$F$203)/(Driver!$G$203-Driver!$F$203)*$BI$1</f>
        <v>2.7522935779816518</v>
      </c>
      <c r="BL311" s="67">
        <f>MAX((CR311-Driver!$F$202)/(Driver!$G$202-Driver!$F$202)*$BI$1,1)</f>
        <v>5.5172413793103452</v>
      </c>
      <c r="BM311" s="67">
        <f>MAX((CH311-Driver!$F$204)/(Driver!$G$204-Driver!$F$204)*$BI$1,1)</f>
        <v>4.1025641025641022</v>
      </c>
      <c r="BN311" s="67">
        <f>(CI311-Driver!$F$205)/(Driver!$G$205-Driver!$F$205)*$BI$1</f>
        <v>5.2352941176470589</v>
      </c>
      <c r="BO311" s="67">
        <f>(CK311-Driver!$F$207)/(Driver!$G$207-Driver!$F$207)*$BI$1</f>
        <v>1.468459152016546</v>
      </c>
      <c r="BP311" s="67">
        <f>(CM311-Driver!$F$208)/(Driver!$G$208-Driver!$F$208)*$BI$1</f>
        <v>1.8888888888888888</v>
      </c>
      <c r="BQ311" s="67">
        <f>(CL311-Driver!$F$209)/(Driver!$G$209-Driver!$F$209)*$BI$1</f>
        <v>3.125</v>
      </c>
      <c r="BR311" s="28" t="s">
        <v>155</v>
      </c>
      <c r="BS311" s="8" t="s">
        <v>205</v>
      </c>
      <c r="BT311" s="9" t="s">
        <v>515</v>
      </c>
      <c r="BU311" s="10">
        <v>163</v>
      </c>
      <c r="BV311" s="9" t="s">
        <v>163</v>
      </c>
      <c r="BW311" s="10">
        <v>163</v>
      </c>
      <c r="BX311" s="10">
        <v>161.6</v>
      </c>
      <c r="BY311" s="10">
        <v>119</v>
      </c>
      <c r="BZ311" s="10">
        <v>134</v>
      </c>
      <c r="CA311" s="10">
        <v>127</v>
      </c>
      <c r="CB311" s="10">
        <v>96</v>
      </c>
      <c r="CC311" s="10">
        <v>117</v>
      </c>
      <c r="CD311" s="10">
        <v>15.4</v>
      </c>
      <c r="CE311" s="10">
        <v>1753</v>
      </c>
      <c r="CF311" s="10">
        <v>0.98</v>
      </c>
      <c r="CG311" s="10">
        <v>1719</v>
      </c>
      <c r="CH311" s="10">
        <v>197</v>
      </c>
      <c r="CI311" s="10">
        <v>122</v>
      </c>
      <c r="CJ311" s="10">
        <v>54</v>
      </c>
      <c r="CK311" s="10">
        <v>252</v>
      </c>
      <c r="CL311" s="10">
        <v>20</v>
      </c>
      <c r="CM311" s="10">
        <v>170</v>
      </c>
      <c r="CN311" s="10">
        <v>0.377</v>
      </c>
      <c r="CO311" s="10">
        <v>168</v>
      </c>
      <c r="CP311" s="10">
        <v>108</v>
      </c>
      <c r="CQ311" s="10">
        <v>84</v>
      </c>
      <c r="CR311" s="10">
        <v>5</v>
      </c>
      <c r="CS311" s="10">
        <v>10.4</v>
      </c>
      <c r="CT311" s="9" t="s">
        <v>188</v>
      </c>
      <c r="CU311" s="10"/>
      <c r="CV311" s="10"/>
      <c r="CW311" s="10"/>
      <c r="CX311" t="str">
        <f>INDEX('Data_Price '!AG$2:AG$1266,MATCH(Data!$DN311,'Data_Price '!$AT$2:$AT$1266,0))</f>
        <v>Faction Dictator 2.0x Skis</v>
      </c>
      <c r="CY311" t="str">
        <f>INDEX('Data_Price '!AH$2:AH$1266,MATCH(Data!$DN311,'Data_Price '!$AT$2:$AT$1266,0))</f>
        <v>Backcountry Freeskier</v>
      </c>
      <c r="CZ311">
        <f>INDEX('Data_Price '!AI$2:AI$1266,MATCH(Data!$DN311,'Data_Price '!$AT$2:$AT$1266,0))</f>
        <v>529</v>
      </c>
      <c r="DA311" t="str">
        <f>INDEX('Data_Price '!AJ$2:AJ$1266,MATCH(Data!$DN311,'Data_Price '!$AT$2:$AT$1266,0))</f>
        <v>https://tinyurl.com/y7g7u378</v>
      </c>
      <c r="DB311" t="str">
        <f>INDEX('Data_Price '!AK$2:AK$1266,MATCH(Data!$DN311,'Data_Price '!$AT$2:$AT$1266,0))</f>
        <v>Faction Agent 2.0x Women's Skis</v>
      </c>
      <c r="DC311" t="str">
        <f>INDEX('Data_Price '!AL$2:AL$1266,MATCH(Data!$DN311,'Data_Price '!$AT$2:$AT$1266,0))</f>
        <v>Aspen Ski and Board</v>
      </c>
      <c r="DD311">
        <f>INDEX('Data_Price '!AM$2:AM$1266,MATCH(Data!$DN311,'Data_Price '!$AT$2:$AT$1266,0))</f>
        <v>559.20000000000005</v>
      </c>
      <c r="DE311" t="str">
        <f>INDEX('Data_Price '!AN$2:AN$1266,MATCH(Data!$DN311,'Data_Price '!$AT$2:$AT$1266,0))</f>
        <v>https://tinyurl.com/y7h36qc7</v>
      </c>
      <c r="DF311" t="str">
        <f>INDEX('Data_Price '!AO$2:AO$1266,MATCH(Data!$DN311,'Data_Price '!$AT$2:$AT$1266,0))</f>
        <v>Faction Agent 2.0x Women's Skis</v>
      </c>
      <c r="DG311" t="str">
        <f>INDEX('Data_Price '!AP$2:AP$1266,MATCH(Data!$DN311,'Data_Price '!$AT$2:$AT$1266,0))</f>
        <v>Saint Bernard</v>
      </c>
      <c r="DH311">
        <f>INDEX('Data_Price '!AQ$2:AQ$1266,MATCH(Data!$DN311,'Data_Price '!$AT$2:$AT$1266,0))</f>
        <v>559.9</v>
      </c>
      <c r="DI311" t="str">
        <f>INDEX('Data_Price '!AR$2:AR$1266,MATCH(Data!$DN311,'Data_Price '!$AT$2:$AT$1266,0))</f>
        <v>https://tinyurl.com/ycbzt9cj</v>
      </c>
      <c r="DJ311" s="89" t="str">
        <f t="shared" si="180"/>
        <v>https://tinyurl.com/y7g7u378</v>
      </c>
      <c r="DK311" s="89" t="str">
        <f t="shared" si="181"/>
        <v>https://tinyurl.com/y7h36qc7</v>
      </c>
      <c r="DL311" s="89" t="str">
        <f t="shared" si="182"/>
        <v>https://tinyurl.com/ycbzt9cj</v>
      </c>
      <c r="DM311" s="219" t="str">
        <f t="shared" si="183"/>
        <v>Dictator 2.0 X</v>
      </c>
      <c r="DN311" s="89" t="str">
        <f t="shared" si="184"/>
        <v xml:space="preserve"> FactionDictator 2.0 X163 Women's</v>
      </c>
      <c r="DO311" s="221"/>
    </row>
    <row r="312" spans="2:119" ht="15.6" customHeight="1">
      <c r="B312" s="219" t="b">
        <f t="array" ref="B312">IF(OR(ISERROR(K312:P312)),FALSE,TRUE)</f>
        <v>1</v>
      </c>
      <c r="C312" s="43" t="b">
        <f>OR(BR312=Driver!$G$50,Data!BR320=Driver!$H$50)</f>
        <v>1</v>
      </c>
      <c r="D312" s="43" t="b">
        <f>OR(BV312=Driver!$G$51,BV312=Driver!$H$51)</f>
        <v>1</v>
      </c>
      <c r="E312" s="43" t="b">
        <f>AND(BX312&gt;Driver!$F$54,BX312&lt;Driver!$G$54)</f>
        <v>0</v>
      </c>
      <c r="F312" s="43" t="b">
        <f>CL312&gt;Driver!$F$56</f>
        <v>1</v>
      </c>
      <c r="G312" s="43" t="b">
        <f>AND(CB312&gt;Driver!$F$55,CB312&lt;Driver!$G$55)</f>
        <v>1</v>
      </c>
      <c r="H312" s="43" t="b">
        <f t="shared" si="148"/>
        <v>0</v>
      </c>
      <c r="I312" s="43">
        <f t="shared" si="149"/>
        <v>1</v>
      </c>
      <c r="J312" s="43" t="b">
        <f t="array" ref="J312">NOT(OR(($H$9:$H$1273=TRUE)*($I$9:$I$1273&gt;0)*($BT$9:$BT$1273=BT312)*($K$9:$K$1273&gt;K312)))</f>
        <v>0</v>
      </c>
      <c r="K312" s="72">
        <f t="shared" si="150"/>
        <v>0.88231988221936231</v>
      </c>
      <c r="L312" s="72">
        <f t="shared" si="151"/>
        <v>0.90936403904661955</v>
      </c>
      <c r="M312" s="72">
        <f t="shared" si="152"/>
        <v>0.85527572539210517</v>
      </c>
      <c r="N312" s="72">
        <f t="shared" si="153"/>
        <v>0.84158531635963685</v>
      </c>
      <c r="O312" s="72">
        <f t="shared" si="154"/>
        <v>0.77257891615820262</v>
      </c>
      <c r="P312" s="72">
        <f t="shared" si="155"/>
        <v>0.95166294365847603</v>
      </c>
      <c r="Q312" s="72"/>
      <c r="R312" s="72"/>
      <c r="S312" s="72">
        <f t="shared" si="156"/>
        <v>0.47483065211949393</v>
      </c>
      <c r="T312" s="72">
        <f t="shared" si="157"/>
        <v>0.45042557781481862</v>
      </c>
      <c r="U312" s="72">
        <f t="shared" si="158"/>
        <v>0.57950147196354518</v>
      </c>
      <c r="V312" s="72">
        <f t="shared" si="159"/>
        <v>0.54370317357198794</v>
      </c>
      <c r="W312" s="72">
        <f t="shared" si="160"/>
        <v>0.81482510468244995</v>
      </c>
      <c r="X312" s="72">
        <f t="shared" si="161"/>
        <v>9.0635960953380446E-2</v>
      </c>
      <c r="Y312" s="72">
        <f t="shared" si="162"/>
        <v>0.14472427460789483</v>
      </c>
      <c r="Z312" s="72">
        <f t="shared" si="163"/>
        <v>0.15841468364036315</v>
      </c>
      <c r="AA312" s="72">
        <f t="shared" si="164"/>
        <v>0.22742108384179735</v>
      </c>
      <c r="AB312" s="72">
        <f t="shared" si="165"/>
        <v>4.8337056341523965E-2</v>
      </c>
      <c r="AC312" s="72"/>
      <c r="AD312" s="72"/>
      <c r="AE312" s="72">
        <f t="shared" si="166"/>
        <v>0.52516934788050607</v>
      </c>
      <c r="AF312" s="72">
        <f t="shared" si="167"/>
        <v>0.54957442218518138</v>
      </c>
      <c r="AG312" s="72">
        <f t="shared" si="168"/>
        <v>0.42049852803645477</v>
      </c>
      <c r="AH312" s="72">
        <f t="shared" si="169"/>
        <v>0.45629682642801211</v>
      </c>
      <c r="AI312" s="72">
        <f t="shared" si="170"/>
        <v>0.18517489531755002</v>
      </c>
      <c r="AJ312" s="72">
        <f>(AV312-Driver!$K$179)/(Driver!$L$179-Driver!$K$179)</f>
        <v>0.34485537023608087</v>
      </c>
      <c r="AK312" s="72">
        <f>(AW312-Driver!$K$180)/(Driver!$L$180-Driver!$K$180)</f>
        <v>0.21036868260017622</v>
      </c>
      <c r="AL312" s="72">
        <f>(AX312-Driver!$K$181)/(Driver!$L$181-Driver!$K$181)</f>
        <v>0.26010244735344334</v>
      </c>
      <c r="AM312" s="72">
        <f>(AY312-Driver!$K$182)/(Driver!$L$182-Driver!$K$182)</f>
        <v>0.21996393725524901</v>
      </c>
      <c r="AN312" s="72">
        <f>(AZ312-Driver!$K$183)/(Driver!$L$183-Driver!$K$183)</f>
        <v>0.20588235294117646</v>
      </c>
      <c r="AO312" s="72"/>
      <c r="AP312" s="72"/>
      <c r="AQ312" s="72">
        <f>(BC312-Driver!$K$188)/(Driver!$L$188-Driver!$K$188)</f>
        <v>9.4830652119493916E-2</v>
      </c>
      <c r="AR312" s="72">
        <f>MIN((BD312-Driver!$K$189)/(Driver!$L$189-Driver!$K$189),100%)</f>
        <v>4.2557781481868486E-4</v>
      </c>
      <c r="AS312" s="72">
        <f>(BE312-Driver!$K$190)/(Driver!$L$190-Driver!$K$190)</f>
        <v>8.9501471963545229E-2</v>
      </c>
      <c r="AT312" s="72">
        <f>(BF312-Driver!$K$191)/(Driver!$L$191-Driver!$K$191)</f>
        <v>5.3703173571987908E-2</v>
      </c>
      <c r="AU312" s="72">
        <f>(BG312-Driver!$K$192)/(Driver!$L$192-Driver!$K$192)</f>
        <v>6.482510468244998E-2</v>
      </c>
      <c r="AV312" s="70">
        <f t="shared" si="171"/>
        <v>7.258173924840591</v>
      </c>
      <c r="AW312" s="70">
        <f t="shared" si="172"/>
        <v>22.374184797000666</v>
      </c>
      <c r="AX312" s="70">
        <f t="shared" si="173"/>
        <v>3.3409220261809902</v>
      </c>
      <c r="AY312" s="70">
        <f>IFERROR(Driver!$K$19/Data!BH312/Data!BI312*Data!BK312*Data!BL312,"")</f>
        <v>0.26930149010486093</v>
      </c>
      <c r="AZ312" s="70">
        <f t="shared" si="174"/>
        <v>18.763961280714817</v>
      </c>
      <c r="BA312" s="70"/>
      <c r="BB312" s="70"/>
      <c r="BC312" s="70">
        <f t="shared" si="175"/>
        <v>49.1893185063796</v>
      </c>
      <c r="BD312" s="70">
        <f t="shared" si="176"/>
        <v>1.7584857666299138</v>
      </c>
      <c r="BE312" s="70">
        <f t="shared" si="177"/>
        <v>8.9663894652849477E-2</v>
      </c>
      <c r="BF312" s="70">
        <f t="shared" si="178"/>
        <v>6.0653961688087836</v>
      </c>
      <c r="BG312" s="70">
        <f t="shared" si="179"/>
        <v>0.24546920027384617</v>
      </c>
      <c r="BH312" s="67">
        <f>MAX((CE312-Driver!$F$200)/(Driver!$G$200-Driver!$F$200)*$BI$1,1)</f>
        <v>3.3409220261809902</v>
      </c>
      <c r="BI312" s="67">
        <f>MAX($BI$1*(BY312-Driver!$F$201)/(Driver!$G$201-Driver!$F$201),1)</f>
        <v>7.0886075949367084</v>
      </c>
      <c r="BJ312" s="67">
        <f>(CB312-Driver!$F$206)/(Driver!$G$206-Driver!$F$206)*$BI$1</f>
        <v>6.3492063492063489</v>
      </c>
      <c r="BK312" s="67">
        <f>(CD312-Driver!$F$203)/(Driver!$G$203-Driver!$F$203)*$BI$1</f>
        <v>6.6055045871559646</v>
      </c>
      <c r="BL312" s="67">
        <f>MAX((CR312-Driver!$F$202)/(Driver!$G$202-Driver!$F$202)*$BI$1,1)</f>
        <v>4.8275862068965516</v>
      </c>
      <c r="BM312" s="67">
        <f>MAX((CH312-Driver!$F$204)/(Driver!$G$204-Driver!$F$204)*$BI$1,1)</f>
        <v>4.5726495726495724</v>
      </c>
      <c r="BN312" s="67">
        <f>(CI312-Driver!$F$205)/(Driver!$G$205-Driver!$F$205)*$BI$1</f>
        <v>2.6470588235294117</v>
      </c>
      <c r="BO312" s="67">
        <f>(CK312-Driver!$F$207)/(Driver!$G$207-Driver!$F$207)*$BI$1</f>
        <v>2.3371251292657704</v>
      </c>
      <c r="BP312" s="67">
        <f>(CM312-Driver!$F$208)/(Driver!$G$208-Driver!$F$208)*$BI$1</f>
        <v>2.7</v>
      </c>
      <c r="BQ312" s="67">
        <f>(CL312-Driver!$F$209)/(Driver!$G$209-Driver!$F$209)*$BI$1</f>
        <v>3.75</v>
      </c>
      <c r="BR312" s="28" t="s">
        <v>155</v>
      </c>
      <c r="BS312" s="8" t="s">
        <v>317</v>
      </c>
      <c r="BT312" s="9" t="s">
        <v>432</v>
      </c>
      <c r="BU312" s="10">
        <v>180</v>
      </c>
      <c r="BV312" s="9" t="s">
        <v>158</v>
      </c>
      <c r="BW312" s="10">
        <v>180</v>
      </c>
      <c r="BX312" s="10">
        <v>177.9</v>
      </c>
      <c r="BY312" s="10">
        <v>120</v>
      </c>
      <c r="BZ312" s="10">
        <v>148</v>
      </c>
      <c r="CA312" s="10">
        <v>132</v>
      </c>
      <c r="CB312" s="10">
        <v>104</v>
      </c>
      <c r="CC312" s="10">
        <v>118</v>
      </c>
      <c r="CD312" s="10">
        <v>23.8</v>
      </c>
      <c r="CE312" s="10">
        <v>1487</v>
      </c>
      <c r="CF312" s="10">
        <v>1.34</v>
      </c>
      <c r="CG312" s="10">
        <v>1999</v>
      </c>
      <c r="CH312" s="10">
        <v>208</v>
      </c>
      <c r="CI312" s="10">
        <v>78</v>
      </c>
      <c r="CJ312" s="10">
        <v>58</v>
      </c>
      <c r="CK312" s="10">
        <v>336</v>
      </c>
      <c r="CL312" s="10">
        <v>24</v>
      </c>
      <c r="CM312" s="10">
        <v>243</v>
      </c>
      <c r="CN312" s="10">
        <v>0.41399999999999998</v>
      </c>
      <c r="CO312" s="10">
        <v>152</v>
      </c>
      <c r="CP312" s="10">
        <v>145</v>
      </c>
      <c r="CQ312" s="10">
        <v>184</v>
      </c>
      <c r="CR312" s="10">
        <v>3</v>
      </c>
      <c r="CS312" s="10">
        <v>9.1999999999999993</v>
      </c>
      <c r="CT312" s="9" t="s">
        <v>169</v>
      </c>
      <c r="CU312" s="9" t="s">
        <v>185</v>
      </c>
      <c r="CV312" s="9" t="s">
        <v>198</v>
      </c>
      <c r="CW312" s="10"/>
      <c r="CX312" t="str">
        <f>INDEX('Data_Price '!AG$2:AG$1266,MATCH(Data!$DN312,'Data_Price '!$AT$2:$AT$1266,0))</f>
        <v>Blizzard Zero G 105 AT Setup Skis w Marker Alpinist 12 Bindings  Demo</v>
      </c>
      <c r="CY312" t="str">
        <f>INDEX('Data_Price '!AH$2:AH$1266,MATCH(Data!$DN312,'Data_Price '!$AT$2:$AT$1266,0))</f>
        <v>Powder7 Ski Shop</v>
      </c>
      <c r="CZ312">
        <f>INDEX('Data_Price '!AI$2:AI$1266,MATCH(Data!$DN312,'Data_Price '!$AT$2:$AT$1266,0))</f>
        <v>1109.99</v>
      </c>
      <c r="DA312" t="str">
        <f>INDEX('Data_Price '!AJ$2:AJ$1266,MATCH(Data!$DN312,'Data_Price '!$AT$2:$AT$1266,0))</f>
        <v>https://tinyurl.com/y8a85mvq</v>
      </c>
      <c r="DB312" t="str">
        <f>INDEX('Data_Price '!AK$2:AK$1266,MATCH(Data!$DN312,'Data_Price '!$AT$2:$AT$1266,0))</f>
        <v>2022 Blizzard Zero G 105 Skis with Marker Kingpin 13 Bindings (180)</v>
      </c>
      <c r="DC312" t="str">
        <f>INDEX('Data_Price '!AL$2:AL$1266,MATCH(Data!$DN312,'Data_Price '!$AT$2:$AT$1266,0))</f>
        <v>SkiEssentials.com</v>
      </c>
      <c r="DD312">
        <f>INDEX('Data_Price '!AM$2:AM$1266,MATCH(Data!$DN312,'Data_Price '!$AT$2:$AT$1266,0))</f>
        <v>1125</v>
      </c>
      <c r="DE312" t="str">
        <f>INDEX('Data_Price '!AN$2:AN$1266,MATCH(Data!$DN312,'Data_Price '!$AT$2:$AT$1266,0))</f>
        <v>https://tinyurl.com/y8pmfam8</v>
      </c>
      <c r="DF312" t="str">
        <f>INDEX('Data_Price '!AO$2:AO$1266,MATCH(Data!$DN312,'Data_Price '!$AT$2:$AT$1266,0))</f>
        <v>Blizzard Zero G 105</v>
      </c>
      <c r="DG312" t="str">
        <f>INDEX('Data_Price '!AP$2:AP$1266,MATCH(Data!$DN312,'Data_Price '!$AT$2:$AT$1266,0))</f>
        <v>GritrOutdoors</v>
      </c>
      <c r="DH312">
        <f>INDEX('Data_Price '!AQ$2:AQ$1266,MATCH(Data!$DN312,'Data_Price '!$AT$2:$AT$1266,0))</f>
        <v>639.95000000000005</v>
      </c>
      <c r="DI312" t="str">
        <f>INDEX('Data_Price '!AR$2:AR$1266,MATCH(Data!$DN312,'Data_Price '!$AT$2:$AT$1266,0))</f>
        <v>https://tinyurl.com/yardmozs</v>
      </c>
      <c r="DJ312" s="89" t="str">
        <f t="shared" si="180"/>
        <v>https://tinyurl.com/y8a85mvq</v>
      </c>
      <c r="DK312" s="89" t="str">
        <f t="shared" si="181"/>
        <v>https://tinyurl.com/y8pmfam8</v>
      </c>
      <c r="DL312" s="89" t="str">
        <f t="shared" si="182"/>
        <v>https://tinyurl.com/yardmozs</v>
      </c>
      <c r="DM312" s="219" t="str">
        <f t="shared" si="183"/>
        <v>Zero G 105</v>
      </c>
      <c r="DN312" s="89" t="str">
        <f t="shared" si="184"/>
        <v xml:space="preserve"> BlizzardZero G 105180 Unisex</v>
      </c>
      <c r="DO312" s="221" t="s">
        <v>433</v>
      </c>
    </row>
    <row r="313" spans="2:119" ht="15.6" customHeight="1">
      <c r="B313" s="219" t="b">
        <f t="array" ref="B313">IF(OR(ISERROR(K313:P313)),FALSE,TRUE)</f>
        <v>1</v>
      </c>
      <c r="C313" s="43" t="b">
        <f>OR(BR313=Driver!$G$50,Data!BR1110=Driver!$H$50)</f>
        <v>1</v>
      </c>
      <c r="D313" s="43" t="b">
        <f>OR(BV313=Driver!$G$51,BV313=Driver!$H$51)</f>
        <v>1</v>
      </c>
      <c r="E313" s="43" t="b">
        <f>AND(BX313&gt;Driver!$F$54,BX313&lt;Driver!$G$54)</f>
        <v>0</v>
      </c>
      <c r="F313" s="43" t="b">
        <f>CL313&gt;Driver!$F$56</f>
        <v>1</v>
      </c>
      <c r="G313" s="43" t="b">
        <f>AND(CB313&gt;Driver!$F$55,CB313&lt;Driver!$G$55)</f>
        <v>0</v>
      </c>
      <c r="H313" s="43" t="b">
        <f t="shared" si="148"/>
        <v>0</v>
      </c>
      <c r="I313" s="43">
        <f t="shared" si="149"/>
        <v>0</v>
      </c>
      <c r="J313" s="43" t="b">
        <f t="array" ref="J313">NOT(OR(($H$9:$H$1273=TRUE)*($I$9:$I$1273&gt;0)*($BT$9:$BT$1273=BT313)*($K$9:$K$1273&gt;K313)))</f>
        <v>1</v>
      </c>
      <c r="K313" s="72">
        <f t="shared" si="150"/>
        <v>0.83426765069230668</v>
      </c>
      <c r="L313" s="72">
        <f t="shared" si="151"/>
        <v>0.93037490221516439</v>
      </c>
      <c r="M313" s="72">
        <f t="shared" si="152"/>
        <v>0.73816039916944898</v>
      </c>
      <c r="N313" s="72">
        <f t="shared" si="153"/>
        <v>0.66451581658097369</v>
      </c>
      <c r="O313" s="72">
        <f t="shared" si="154"/>
        <v>0.67809891282114365</v>
      </c>
      <c r="P313" s="72">
        <f t="shared" si="155"/>
        <v>0.87186646810622981</v>
      </c>
      <c r="Q313" s="72"/>
      <c r="R313" s="72"/>
      <c r="S313" s="72">
        <f t="shared" si="156"/>
        <v>0.51070853477613964</v>
      </c>
      <c r="T313" s="72">
        <f t="shared" si="157"/>
        <v>0.49811901856677931</v>
      </c>
      <c r="U313" s="72">
        <f t="shared" si="158"/>
        <v>0.98589555000774265</v>
      </c>
      <c r="V313" s="72">
        <f t="shared" si="159"/>
        <v>0.51154560313862207</v>
      </c>
      <c r="W313" s="72">
        <f t="shared" si="160"/>
        <v>0.77229205904252995</v>
      </c>
      <c r="X313" s="72">
        <f t="shared" si="161"/>
        <v>6.9625097784835638E-2</v>
      </c>
      <c r="Y313" s="72">
        <f t="shared" si="162"/>
        <v>0.26183960083055097</v>
      </c>
      <c r="Z313" s="72">
        <f t="shared" si="163"/>
        <v>0.33548418341902631</v>
      </c>
      <c r="AA313" s="72">
        <f t="shared" si="164"/>
        <v>0.32190108717885635</v>
      </c>
      <c r="AB313" s="72">
        <f t="shared" si="165"/>
        <v>0.12813353189377014</v>
      </c>
      <c r="AC313" s="72"/>
      <c r="AD313" s="72"/>
      <c r="AE313" s="72">
        <f t="shared" si="166"/>
        <v>0.48929146522386036</v>
      </c>
      <c r="AF313" s="72">
        <f t="shared" si="167"/>
        <v>0.50188098143322069</v>
      </c>
      <c r="AG313" s="72">
        <f t="shared" si="168"/>
        <v>1.4104449992257406E-2</v>
      </c>
      <c r="AH313" s="72">
        <f t="shared" si="169"/>
        <v>0.48845439686137798</v>
      </c>
      <c r="AI313" s="72">
        <f t="shared" si="170"/>
        <v>0.2277079409574701</v>
      </c>
      <c r="AJ313" s="72">
        <f>(AV313-Driver!$K$179)/(Driver!$L$179-Driver!$K$179)</f>
        <v>0.18459431149786479</v>
      </c>
      <c r="AK313" s="72">
        <f>(AW313-Driver!$K$180)/(Driver!$L$180-Driver!$K$180)</f>
        <v>0.39056111461564019</v>
      </c>
      <c r="AL313" s="72">
        <f>(AX313-Driver!$K$181)/(Driver!$L$181-Driver!$K$181)</f>
        <v>0.4371719471321065</v>
      </c>
      <c r="AM313" s="72">
        <f>(AY313-Driver!$K$182)/(Driver!$L$182-Driver!$K$182)</f>
        <v>0.12548393391818999</v>
      </c>
      <c r="AN313" s="72">
        <f>(AZ313-Driver!$K$183)/(Driver!$L$183-Driver!$K$183)</f>
        <v>0.38235294117647056</v>
      </c>
      <c r="AO313" s="72"/>
      <c r="AP313" s="72"/>
      <c r="AQ313" s="72">
        <f>(BC313-Driver!$K$188)/(Driver!$L$188-Driver!$K$188)</f>
        <v>0.13070853477613964</v>
      </c>
      <c r="AR313" s="72">
        <f>MIN((BD313-Driver!$K$189)/(Driver!$L$189-Driver!$K$189),100%)</f>
        <v>4.8119018566779401E-2</v>
      </c>
      <c r="AS313" s="72">
        <f>(BE313-Driver!$K$190)/(Driver!$L$190-Driver!$K$190)</f>
        <v>0.4958955500077426</v>
      </c>
      <c r="AT313" s="72">
        <f>(BF313-Driver!$K$191)/(Driver!$L$191-Driver!$K$191)</f>
        <v>2.1545603138622044E-2</v>
      </c>
      <c r="AU313" s="72">
        <f>(BG313-Driver!$K$192)/(Driver!$L$192-Driver!$K$192)</f>
        <v>2.2292059042529892E-2</v>
      </c>
      <c r="AV313" s="70">
        <f t="shared" si="171"/>
        <v>3.8851580518247189</v>
      </c>
      <c r="AW313" s="70">
        <f t="shared" si="172"/>
        <v>39.935533964281724</v>
      </c>
      <c r="AX313" s="70">
        <f t="shared" si="173"/>
        <v>4.9345475241889583</v>
      </c>
      <c r="AY313" s="70">
        <f>IFERROR(Driver!$K$19/Data!BH313/Data!BI313*Data!BK313*Data!BL313,"")</f>
        <v>0.15362977590810539</v>
      </c>
      <c r="AZ313" s="70">
        <f t="shared" si="174"/>
        <v>34.847356664184659</v>
      </c>
      <c r="BA313" s="70"/>
      <c r="BB313" s="70"/>
      <c r="BC313" s="70">
        <f t="shared" si="175"/>
        <v>67.799425659375501</v>
      </c>
      <c r="BD313" s="70">
        <f t="shared" si="176"/>
        <v>5.9792707654020125</v>
      </c>
      <c r="BE313" s="70">
        <f t="shared" si="177"/>
        <v>0.49598547656768394</v>
      </c>
      <c r="BF313" s="70">
        <f t="shared" si="178"/>
        <v>2.4334245080785681</v>
      </c>
      <c r="BG313" s="70">
        <f t="shared" si="179"/>
        <v>8.4411956331303925E-2</v>
      </c>
      <c r="BH313" s="67">
        <f>MAX((CE313-Driver!$F$200)/(Driver!$G$200-Driver!$F$200)*$BI$1,1)</f>
        <v>4.9345475241889583</v>
      </c>
      <c r="BI313" s="67">
        <f>MAX($BI$1*(BY313-Driver!$F$201)/(Driver!$G$201-Driver!$F$201),1)</f>
        <v>7.5949367088607591</v>
      </c>
      <c r="BJ313" s="67">
        <f>(CB313-Driver!$F$206)/(Driver!$G$206-Driver!$F$206)*$BI$1</f>
        <v>4.6031746031746028</v>
      </c>
      <c r="BK313" s="67">
        <f>(CD313-Driver!$F$203)/(Driver!$G$203-Driver!$F$203)*$BI$1</f>
        <v>4.1743119266055047</v>
      </c>
      <c r="BL313" s="67">
        <f>MAX((CR313-Driver!$F$202)/(Driver!$G$202-Driver!$F$202)*$BI$1,1)</f>
        <v>6.8965517241379315</v>
      </c>
      <c r="BM313" s="67">
        <f>MAX((CH313-Driver!$F$204)/(Driver!$G$204-Driver!$F$204)*$BI$1,1)</f>
        <v>3.3760683760683765</v>
      </c>
      <c r="BN313" s="67">
        <f>(CI313-Driver!$F$205)/(Driver!$G$205-Driver!$F$205)*$BI$1</f>
        <v>4.5882352941176467</v>
      </c>
      <c r="BO313" s="67">
        <f>(CK313-Driver!$F$207)/(Driver!$G$207-Driver!$F$207)*$BI$1</f>
        <v>1.1892450879007239</v>
      </c>
      <c r="BP313" s="67">
        <f>(CM313-Driver!$F$208)/(Driver!$G$208-Driver!$F$208)*$BI$1</f>
        <v>1.8555555555555556</v>
      </c>
      <c r="BQ313" s="67">
        <f>(CL313-Driver!$F$209)/(Driver!$G$209-Driver!$F$209)*$BI$1</f>
        <v>1.40625</v>
      </c>
      <c r="BR313" s="28" t="s">
        <v>155</v>
      </c>
      <c r="BS313" s="8" t="s">
        <v>174</v>
      </c>
      <c r="BT313" s="9" t="s">
        <v>516</v>
      </c>
      <c r="BU313" s="10">
        <v>168</v>
      </c>
      <c r="BV313" s="9" t="s">
        <v>158</v>
      </c>
      <c r="BW313" s="10">
        <v>168</v>
      </c>
      <c r="BX313" s="10">
        <v>167.4</v>
      </c>
      <c r="BY313" s="10">
        <v>128</v>
      </c>
      <c r="BZ313" s="10">
        <v>137</v>
      </c>
      <c r="CA313" s="10">
        <v>126</v>
      </c>
      <c r="CB313" s="10">
        <v>93</v>
      </c>
      <c r="CC313" s="10">
        <v>107</v>
      </c>
      <c r="CD313" s="10">
        <v>18.5</v>
      </c>
      <c r="CE313" s="10">
        <v>1767</v>
      </c>
      <c r="CF313" s="10">
        <v>0.98</v>
      </c>
      <c r="CG313" s="10">
        <v>1734</v>
      </c>
      <c r="CH313" s="10">
        <v>180</v>
      </c>
      <c r="CI313" s="10">
        <v>111</v>
      </c>
      <c r="CJ313" s="10">
        <v>48</v>
      </c>
      <c r="CK313" s="10">
        <v>225</v>
      </c>
      <c r="CL313" s="10">
        <v>9</v>
      </c>
      <c r="CM313" s="10">
        <v>167</v>
      </c>
      <c r="CN313" s="10">
        <v>0.189</v>
      </c>
      <c r="CO313" s="10">
        <v>166</v>
      </c>
      <c r="CP313" s="10">
        <v>138</v>
      </c>
      <c r="CQ313" s="10">
        <v>58</v>
      </c>
      <c r="CR313" s="10">
        <v>9</v>
      </c>
      <c r="CS313" s="10">
        <v>9.4</v>
      </c>
      <c r="CT313" s="9" t="s">
        <v>188</v>
      </c>
      <c r="CU313" s="10"/>
      <c r="CV313" s="10"/>
      <c r="CW313" s="10"/>
      <c r="CX313" t="str">
        <f>INDEX('Data_Price '!AG$2:AG$1266,MATCH(Data!$DN313,'Data_Price '!$AT$2:$AT$1266,0))</f>
        <v>168 Cm Salomon Stance 96 Demo Skis + Salomon Warden 13 Demo Bindings</v>
      </c>
      <c r="CY313" t="str">
        <f>INDEX('Data_Price '!AH$2:AH$1266,MATCH(Data!$DN313,'Data_Price '!$AT$2:$AT$1266,0))</f>
        <v>eBay - equinox_outfitters</v>
      </c>
      <c r="CZ313">
        <f>INDEX('Data_Price '!AI$2:AI$1266,MATCH(Data!$DN313,'Data_Price '!$AT$2:$AT$1266,0))</f>
        <v>279.99</v>
      </c>
      <c r="DA313" t="str">
        <f>INDEX('Data_Price '!AJ$2:AJ$1266,MATCH(Data!$DN313,'Data_Price '!$AT$2:$AT$1266,0))</f>
        <v>https://tinyurl.com/y9q8497f</v>
      </c>
      <c r="DB313" t="str">
        <f>INDEX('Data_Price '!AK$2:AK$1266,MATCH(Data!$DN313,'Data_Price '!$AT$2:$AT$1266,0))</f>
        <v xml:space="preserve"> 2021 Salomon Stance 96 Demo Ski with Bindings Size 168 (Option 210060)</v>
      </c>
      <c r="DC313" t="str">
        <f>INDEX('Data_Price '!AL$2:AL$1266,MATCH(Data!$DN313,'Data_Price '!$AT$2:$AT$1266,0))</f>
        <v>SidelineSwap</v>
      </c>
      <c r="DD313">
        <f>INDEX('Data_Price '!AM$2:AM$1266,MATCH(Data!$DN313,'Data_Price '!$AT$2:$AT$1266,0))</f>
        <v>415</v>
      </c>
      <c r="DE313" t="str">
        <f>INDEX('Data_Price '!AN$2:AN$1266,MATCH(Data!$DN313,'Data_Price '!$AT$2:$AT$1266,0))</f>
        <v>https://tinyurl.com/y8ovc76m</v>
      </c>
      <c r="DF313" t="str">
        <f>INDEX('Data_Price '!AO$2:AO$1266,MATCH(Data!$DN313,'Data_Price '!$AT$2:$AT$1266,0))</f>
        <v>Salomon N Stance 96 168cm</v>
      </c>
      <c r="DG313" t="str">
        <f>INDEX('Data_Price '!AP$2:AP$1266,MATCH(Data!$DN313,'Data_Price '!$AT$2:$AT$1266,0))</f>
        <v>Sundance Ski and Board Shop</v>
      </c>
      <c r="DH313">
        <f>INDEX('Data_Price '!AQ$2:AQ$1266,MATCH(Data!$DN313,'Data_Price '!$AT$2:$AT$1266,0))</f>
        <v>481.02</v>
      </c>
      <c r="DI313" t="str">
        <f>INDEX('Data_Price '!AR$2:AR$1266,MATCH(Data!$DN313,'Data_Price '!$AT$2:$AT$1266,0))</f>
        <v>https://tinyurl.com/yab8axcr</v>
      </c>
      <c r="DJ313" s="89" t="str">
        <f t="shared" si="180"/>
        <v>https://tinyurl.com/y9q8497f</v>
      </c>
      <c r="DK313" s="89" t="str">
        <f t="shared" si="181"/>
        <v>https://tinyurl.com/y8ovc76m</v>
      </c>
      <c r="DL313" s="89" t="str">
        <f t="shared" si="182"/>
        <v>https://tinyurl.com/yab8axcr</v>
      </c>
      <c r="DM313" s="219" t="str">
        <f t="shared" si="183"/>
        <v>Stance 96</v>
      </c>
      <c r="DN313" s="89" t="str">
        <f t="shared" si="184"/>
        <v xml:space="preserve"> SalomonStance 96168 Unisex</v>
      </c>
      <c r="DO313" s="221" t="s">
        <v>517</v>
      </c>
    </row>
    <row r="314" spans="2:119" ht="15.6" customHeight="1">
      <c r="B314" s="219" t="b">
        <f t="array" ref="B314">IF(OR(ISERROR(K314:P314)),FALSE,TRUE)</f>
        <v>1</v>
      </c>
      <c r="C314" s="43" t="b">
        <f>OR(BR314=Driver!$G$50,Data!BR353=Driver!$H$50)</f>
        <v>1</v>
      </c>
      <c r="D314" s="43" t="b">
        <f>OR(BV314=Driver!$G$51,BV314=Driver!$H$51)</f>
        <v>1</v>
      </c>
      <c r="E314" s="43" t="b">
        <f>AND(BX314&gt;Driver!$F$54,BX314&lt;Driver!$G$54)</f>
        <v>0</v>
      </c>
      <c r="F314" s="43" t="b">
        <f>CL314&gt;Driver!$F$56</f>
        <v>1</v>
      </c>
      <c r="G314" s="43" t="b">
        <f>AND(CB314&gt;Driver!$F$55,CB314&lt;Driver!$G$55)</f>
        <v>0</v>
      </c>
      <c r="H314" s="43" t="b">
        <f t="shared" si="148"/>
        <v>0</v>
      </c>
      <c r="I314" s="43">
        <f t="shared" si="149"/>
        <v>0</v>
      </c>
      <c r="J314" s="43" t="b">
        <f t="array" ref="J314">NOT(OR(($H$9:$H$1273=TRUE)*($I$9:$I$1273&gt;0)*($BT$9:$BT$1273=BT314)*($K$9:$K$1273&gt;K314)))</f>
        <v>1</v>
      </c>
      <c r="K314" s="72">
        <f t="shared" si="150"/>
        <v>0.81624198987778751</v>
      </c>
      <c r="L314" s="72">
        <f t="shared" si="151"/>
        <v>0.9525515340107642</v>
      </c>
      <c r="M314" s="72">
        <f t="shared" si="152"/>
        <v>0.67993244574481071</v>
      </c>
      <c r="N314" s="72">
        <f t="shared" si="153"/>
        <v>0.58989367024567996</v>
      </c>
      <c r="O314" s="72">
        <f t="shared" si="154"/>
        <v>0.61774308123546362</v>
      </c>
      <c r="P314" s="72">
        <f t="shared" si="155"/>
        <v>0.83216058575328866</v>
      </c>
      <c r="Q314" s="72"/>
      <c r="R314" s="72"/>
      <c r="S314" s="72">
        <f t="shared" si="156"/>
        <v>0.47209713437013723</v>
      </c>
      <c r="T314" s="72">
        <f t="shared" si="157"/>
        <v>0.68876318790259017</v>
      </c>
      <c r="U314" s="72">
        <f t="shared" si="158"/>
        <v>0.65672452549295401</v>
      </c>
      <c r="V314" s="72">
        <f t="shared" si="159"/>
        <v>0.56012158155282776</v>
      </c>
      <c r="W314" s="72">
        <f t="shared" si="160"/>
        <v>0.76315672588832484</v>
      </c>
      <c r="X314" s="72">
        <f t="shared" si="161"/>
        <v>4.7448465989235744E-2</v>
      </c>
      <c r="Y314" s="72">
        <f t="shared" si="162"/>
        <v>0.32006755425518929</v>
      </c>
      <c r="Z314" s="72">
        <f t="shared" si="163"/>
        <v>0.41010632975432004</v>
      </c>
      <c r="AA314" s="72">
        <f t="shared" si="164"/>
        <v>0.38225691876453644</v>
      </c>
      <c r="AB314" s="72">
        <f t="shared" si="165"/>
        <v>0.16783941424671134</v>
      </c>
      <c r="AC314" s="72"/>
      <c r="AD314" s="72"/>
      <c r="AE314" s="72">
        <f t="shared" si="166"/>
        <v>0.52790286562986277</v>
      </c>
      <c r="AF314" s="72">
        <f t="shared" si="167"/>
        <v>0.31123681209740989</v>
      </c>
      <c r="AG314" s="72">
        <f t="shared" si="168"/>
        <v>0.34327547450704599</v>
      </c>
      <c r="AH314" s="72">
        <f t="shared" si="169"/>
        <v>0.43987841844717218</v>
      </c>
      <c r="AI314" s="72">
        <f t="shared" si="170"/>
        <v>0.23684327411167513</v>
      </c>
      <c r="AJ314" s="72">
        <f>(AV314-Driver!$K$179)/(Driver!$L$179-Driver!$K$179)</f>
        <v>0.30166787527193617</v>
      </c>
      <c r="AK314" s="72">
        <f>(AW314-Driver!$K$180)/(Driver!$L$180-Driver!$K$180)</f>
        <v>0.43382521285152109</v>
      </c>
      <c r="AL314" s="72">
        <f>(AX314-Driver!$K$181)/(Driver!$L$181-Driver!$K$181)</f>
        <v>0.51179409346740024</v>
      </c>
      <c r="AM314" s="72">
        <f>(AY314-Driver!$K$182)/(Driver!$L$182-Driver!$K$182)</f>
        <v>6.5128102332509916E-2</v>
      </c>
      <c r="AN314" s="72">
        <f>(AZ314-Driver!$K$183)/(Driver!$L$183-Driver!$K$183)</f>
        <v>0.42205882352941176</v>
      </c>
      <c r="AO314" s="72"/>
      <c r="AP314" s="72"/>
      <c r="AQ314" s="72">
        <f>(BC314-Driver!$K$188)/(Driver!$L$188-Driver!$K$188)</f>
        <v>9.2097134370137279E-2</v>
      </c>
      <c r="AR314" s="72">
        <f>MIN((BD314-Driver!$K$189)/(Driver!$L$189-Driver!$K$189),100%)</f>
        <v>0.23876318790259016</v>
      </c>
      <c r="AS314" s="72">
        <f>(BE314-Driver!$K$190)/(Driver!$L$190-Driver!$K$190)</f>
        <v>0.16672452549295405</v>
      </c>
      <c r="AT314" s="72">
        <f>(BF314-Driver!$K$191)/(Driver!$L$191-Driver!$K$191)</f>
        <v>7.0121581552827827E-2</v>
      </c>
      <c r="AU314" s="72">
        <f>(BG314-Driver!$K$192)/(Driver!$L$192-Driver!$K$192)</f>
        <v>1.3156725888324871E-2</v>
      </c>
      <c r="AV314" s="70">
        <f t="shared" si="171"/>
        <v>6.3492063492063489</v>
      </c>
      <c r="AW314" s="70">
        <f t="shared" si="172"/>
        <v>44.152003696277177</v>
      </c>
      <c r="AX314" s="70">
        <f t="shared" si="173"/>
        <v>5.606146841206602</v>
      </c>
      <c r="AY314" s="70">
        <f>IFERROR(Driver!$K$19/Data!BH314/Data!BI314*Data!BK314*Data!BL314,"")</f>
        <v>7.9736229605192929E-2</v>
      </c>
      <c r="AZ314" s="70">
        <f t="shared" si="174"/>
        <v>38.466120625465379</v>
      </c>
      <c r="BA314" s="70"/>
      <c r="BB314" s="70"/>
      <c r="BC314" s="70">
        <f t="shared" si="175"/>
        <v>47.771423846681216</v>
      </c>
      <c r="BD314" s="70">
        <f t="shared" si="176"/>
        <v>22.850941950141969</v>
      </c>
      <c r="BE314" s="70">
        <f t="shared" si="177"/>
        <v>0.16687317245869113</v>
      </c>
      <c r="BF314" s="70">
        <f t="shared" si="178"/>
        <v>7.9197400044004667</v>
      </c>
      <c r="BG314" s="70">
        <f t="shared" si="179"/>
        <v>4.9819757296954315E-2</v>
      </c>
      <c r="BH314" s="67">
        <f>MAX((CE314-Driver!$F$200)/(Driver!$G$200-Driver!$F$200)*$BI$1,1)</f>
        <v>5.606146841206602</v>
      </c>
      <c r="BI314" s="67">
        <f>MAX($BI$1*(BY314-Driver!$F$201)/(Driver!$G$201-Driver!$F$201),1)</f>
        <v>7.7848101265822782</v>
      </c>
      <c r="BJ314" s="67">
        <f>(CB314-Driver!$F$206)/(Driver!$G$206-Driver!$F$206)*$BI$1</f>
        <v>4.1269841269841265</v>
      </c>
      <c r="BK314" s="67">
        <f>(CD314-Driver!$F$203)/(Driver!$G$203-Driver!$F$203)*$BI$1</f>
        <v>2.522935779816514</v>
      </c>
      <c r="BL314" s="67">
        <f>MAX((CR314-Driver!$F$202)/(Driver!$G$202-Driver!$F$202)*$BI$1,1)</f>
        <v>6.8965517241379315</v>
      </c>
      <c r="BM314" s="67">
        <f>MAX((CH314-Driver!$F$204)/(Driver!$G$204-Driver!$F$204)*$BI$1,1)</f>
        <v>6.1538461538461542</v>
      </c>
      <c r="BN314" s="67">
        <f>(CI314-Driver!$F$205)/(Driver!$G$205-Driver!$F$205)*$BI$1</f>
        <v>4.9411764705882355</v>
      </c>
      <c r="BO314" s="67">
        <f>(CK314-Driver!$F$207)/(Driver!$G$207-Driver!$F$207)*$BI$1</f>
        <v>2.3681489141675285</v>
      </c>
      <c r="BP314" s="67">
        <f>(CM314-Driver!$F$208)/(Driver!$G$208-Driver!$F$208)*$BI$1</f>
        <v>2.0444444444444447</v>
      </c>
      <c r="BQ314" s="67">
        <f>(CL314-Driver!$F$209)/(Driver!$G$209-Driver!$F$209)*$BI$1</f>
        <v>1.71875</v>
      </c>
      <c r="BR314" s="28" t="s">
        <v>155</v>
      </c>
      <c r="BS314" s="8" t="s">
        <v>218</v>
      </c>
      <c r="BT314" s="9" t="s">
        <v>387</v>
      </c>
      <c r="BU314" s="10">
        <v>184</v>
      </c>
      <c r="BV314" s="9" t="s">
        <v>158</v>
      </c>
      <c r="BW314" s="10">
        <v>184</v>
      </c>
      <c r="BX314" s="10">
        <v>183.3</v>
      </c>
      <c r="BY314" s="10">
        <v>131</v>
      </c>
      <c r="BZ314" s="10">
        <v>140</v>
      </c>
      <c r="CA314" s="10">
        <v>127</v>
      </c>
      <c r="CB314" s="10">
        <v>90</v>
      </c>
      <c r="CC314" s="10">
        <v>110</v>
      </c>
      <c r="CD314" s="10">
        <v>14.9</v>
      </c>
      <c r="CE314" s="10">
        <v>1885</v>
      </c>
      <c r="CF314" s="10">
        <v>1</v>
      </c>
      <c r="CG314" s="10">
        <v>1885</v>
      </c>
      <c r="CH314" s="10">
        <v>245</v>
      </c>
      <c r="CI314" s="10">
        <v>117</v>
      </c>
      <c r="CJ314" s="10">
        <v>58</v>
      </c>
      <c r="CK314" s="10">
        <v>339</v>
      </c>
      <c r="CL314" s="10">
        <v>11</v>
      </c>
      <c r="CM314" s="10">
        <v>184</v>
      </c>
      <c r="CN314" s="10">
        <v>0.184</v>
      </c>
      <c r="CO314" s="10">
        <v>203</v>
      </c>
      <c r="CP314" s="10">
        <v>227</v>
      </c>
      <c r="CQ314" s="10">
        <v>136</v>
      </c>
      <c r="CR314" s="10">
        <v>9</v>
      </c>
      <c r="CS314" s="10">
        <v>12</v>
      </c>
      <c r="CT314" s="9" t="s">
        <v>188</v>
      </c>
      <c r="CU314" s="10"/>
      <c r="CV314" s="10"/>
      <c r="CW314" s="10"/>
      <c r="CX314" t="str">
        <f>INDEX('Data_Price '!AG$2:AG$1266,MATCH(Data!$DN314,'Data_Price '!$AT$2:$AT$1266,0))</f>
        <v>DPS Pagoda Piste 90 RP Skis Â· 184 cm Â· Yellow</v>
      </c>
      <c r="CY314" t="str">
        <f>INDEX('Data_Price '!AH$2:AH$1266,MATCH(Data!$DN314,'Data_Price '!$AT$2:$AT$1266,0))</f>
        <v>Powder7 Ski Shop</v>
      </c>
      <c r="CZ314">
        <f>INDEX('Data_Price '!AI$2:AI$1266,MATCH(Data!$DN314,'Data_Price '!$AT$2:$AT$1266,0))</f>
        <v>1039.2</v>
      </c>
      <c r="DA314" t="str">
        <f>INDEX('Data_Price '!AJ$2:AJ$1266,MATCH(Data!$DN314,'Data_Price '!$AT$2:$AT$1266,0))</f>
        <v>https://tinyurl.com/yb3ubn4s</v>
      </c>
      <c r="DB314" t="str">
        <f>INDEX('Data_Price '!AK$2:AK$1266,MATCH(Data!$DN314,'Data_Price '!$AT$2:$AT$1266,0))</f>
        <v>DPS Pagoda Piste 90 RP Skis Â· 184 cm Â· Yellow</v>
      </c>
      <c r="DC314" t="str">
        <f>INDEX('Data_Price '!AL$2:AL$1266,MATCH(Data!$DN314,'Data_Price '!$AT$2:$AT$1266,0))</f>
        <v>Gear West Ski &amp; Bike</v>
      </c>
      <c r="DD314">
        <f>INDEX('Data_Price '!AM$2:AM$1266,MATCH(Data!$DN314,'Data_Price '!$AT$2:$AT$1266,0))</f>
        <v>1299</v>
      </c>
      <c r="DE314" t="str">
        <f>INDEX('Data_Price '!AN$2:AN$1266,MATCH(Data!$DN314,'Data_Price '!$AT$2:$AT$1266,0))</f>
        <v>https://tinyurl.com/y93tnmz6</v>
      </c>
      <c r="DF314" t="str">
        <f>INDEX('Data_Price '!AO$2:AO$1266,MATCH(Data!$DN314,'Data_Price '!$AT$2:$AT$1266,0))</f>
        <v>Pagoda Piste 90 RP Yellow - 184cm</v>
      </c>
      <c r="DG314" t="str">
        <f>INDEX('Data_Price '!AP$2:AP$1266,MATCH(Data!$DN314,'Data_Price '!$AT$2:$AT$1266,0))</f>
        <v>DPS Skis</v>
      </c>
      <c r="DH314">
        <f>INDEX('Data_Price '!AQ$2:AQ$1266,MATCH(Data!$DN314,'Data_Price '!$AT$2:$AT$1266,0))</f>
        <v>1299</v>
      </c>
      <c r="DI314" t="str">
        <f>INDEX('Data_Price '!AR$2:AR$1266,MATCH(Data!$DN314,'Data_Price '!$AT$2:$AT$1266,0))</f>
        <v>https://tinyurl.com/y87onre7</v>
      </c>
      <c r="DJ314" s="89" t="str">
        <f t="shared" si="180"/>
        <v>https://tinyurl.com/yb3ubn4s</v>
      </c>
      <c r="DK314" s="89" t="str">
        <f t="shared" si="181"/>
        <v>https://tinyurl.com/y93tnmz6</v>
      </c>
      <c r="DL314" s="89" t="str">
        <f t="shared" si="182"/>
        <v>https://tinyurl.com/y87onre7</v>
      </c>
      <c r="DM314" s="219" t="str">
        <f t="shared" si="183"/>
        <v>Pagoda Piste 90 RP</v>
      </c>
      <c r="DN314" s="89" t="str">
        <f t="shared" si="184"/>
        <v xml:space="preserve"> DPSPagoda Piste 90 RP184 Unisex</v>
      </c>
      <c r="DO314" s="221"/>
    </row>
    <row r="315" spans="2:119" ht="15.6" customHeight="1">
      <c r="B315" s="219" t="b">
        <f t="array" ref="B315">IF(OR(ISERROR(K315:P315)),FALSE,TRUE)</f>
        <v>1</v>
      </c>
      <c r="C315" s="43" t="b">
        <f>OR(BR315=Driver!$G$50,Data!BR617=Driver!$H$50)</f>
        <v>1</v>
      </c>
      <c r="D315" s="43" t="b">
        <f>OR(BV315=Driver!$G$51,BV315=Driver!$H$51)</f>
        <v>1</v>
      </c>
      <c r="E315" s="43" t="b">
        <f>AND(BX315&gt;Driver!$F$54,BX315&lt;Driver!$G$54)</f>
        <v>0</v>
      </c>
      <c r="F315" s="43" t="b">
        <f>CL315&gt;Driver!$F$56</f>
        <v>1</v>
      </c>
      <c r="G315" s="43" t="b">
        <f>AND(CB315&gt;Driver!$F$55,CB315&lt;Driver!$G$55)</f>
        <v>0</v>
      </c>
      <c r="H315" s="43" t="b">
        <f t="shared" si="148"/>
        <v>0</v>
      </c>
      <c r="I315" s="43">
        <f t="shared" si="149"/>
        <v>0</v>
      </c>
      <c r="J315" s="43" t="b">
        <f t="array" ref="J315">NOT(OR(($H$9:$H$1273=TRUE)*($I$9:$I$1273&gt;0)*($BT$9:$BT$1273=BT315)*($K$9:$K$1273&gt;K315)))</f>
        <v>1</v>
      </c>
      <c r="K315" s="72">
        <f t="shared" si="150"/>
        <v>0.84452847346486759</v>
      </c>
      <c r="L315" s="72">
        <f t="shared" si="151"/>
        <v>0.99477214475929387</v>
      </c>
      <c r="M315" s="72">
        <f t="shared" si="152"/>
        <v>0.69428480217044131</v>
      </c>
      <c r="N315" s="72">
        <f t="shared" si="153"/>
        <v>0.56143607206696633</v>
      </c>
      <c r="O315" s="72">
        <f t="shared" si="154"/>
        <v>0.6338655918283238</v>
      </c>
      <c r="P315" s="72">
        <f t="shared" si="155"/>
        <v>0.88755274261603379</v>
      </c>
      <c r="Q315" s="72"/>
      <c r="R315" s="72"/>
      <c r="S315" s="72">
        <f t="shared" si="156"/>
        <v>0.47812678556062749</v>
      </c>
      <c r="T315" s="72">
        <f t="shared" si="157"/>
        <v>0.60360804238492116</v>
      </c>
      <c r="U315" s="72">
        <f t="shared" si="158"/>
        <v>0.92525769851617357</v>
      </c>
      <c r="V315" s="72">
        <f t="shared" si="159"/>
        <v>0.5113953725140028</v>
      </c>
      <c r="W315" s="72">
        <f t="shared" si="160"/>
        <v>0.76718699873364293</v>
      </c>
      <c r="X315" s="72">
        <f t="shared" si="161"/>
        <v>5.2278552407061807E-3</v>
      </c>
      <c r="Y315" s="72">
        <f t="shared" si="162"/>
        <v>0.30571519782955869</v>
      </c>
      <c r="Z315" s="72">
        <f t="shared" si="163"/>
        <v>0.43856392793303367</v>
      </c>
      <c r="AA315" s="72">
        <f t="shared" si="164"/>
        <v>0.3661344081716762</v>
      </c>
      <c r="AB315" s="72">
        <f t="shared" si="165"/>
        <v>0.11244725738396621</v>
      </c>
      <c r="AC315" s="72"/>
      <c r="AD315" s="72"/>
      <c r="AE315" s="72">
        <f t="shared" si="166"/>
        <v>0.52187321443937251</v>
      </c>
      <c r="AF315" s="72">
        <f t="shared" si="167"/>
        <v>0.39639195761507884</v>
      </c>
      <c r="AG315" s="72">
        <f t="shared" si="168"/>
        <v>7.4742301483826434E-2</v>
      </c>
      <c r="AH315" s="72">
        <f t="shared" si="169"/>
        <v>0.48860462748599714</v>
      </c>
      <c r="AI315" s="72">
        <f t="shared" si="170"/>
        <v>0.23281300126635709</v>
      </c>
      <c r="AJ315" s="72">
        <f>(AV315-Driver!$K$179)/(Driver!$L$179-Driver!$K$179)</f>
        <v>0.25944726452340661</v>
      </c>
      <c r="AK315" s="72">
        <f>(AW315-Driver!$K$180)/(Driver!$L$180-Driver!$K$180)</f>
        <v>0.38485540225380394</v>
      </c>
      <c r="AL315" s="72">
        <f>(AX315-Driver!$K$181)/(Driver!$L$181-Driver!$K$181)</f>
        <v>0.54025169164611386</v>
      </c>
      <c r="AM315" s="72">
        <f>(AY315-Driver!$K$182)/(Driver!$L$182-Driver!$K$182)</f>
        <v>8.1250612925370169E-2</v>
      </c>
      <c r="AN315" s="72">
        <f>(AZ315-Driver!$K$183)/(Driver!$L$183-Driver!$K$183)</f>
        <v>0.36666666666666664</v>
      </c>
      <c r="AO315" s="72"/>
      <c r="AP315" s="72"/>
      <c r="AQ315" s="72">
        <f>(BC315-Driver!$K$188)/(Driver!$L$188-Driver!$K$188)</f>
        <v>9.8126785560627497E-2</v>
      </c>
      <c r="AR315" s="72">
        <f>MIN((BD315-Driver!$K$189)/(Driver!$L$189-Driver!$K$189),100%)</f>
        <v>0.15360804238492123</v>
      </c>
      <c r="AS315" s="72">
        <f>(BE315-Driver!$K$190)/(Driver!$L$190-Driver!$K$190)</f>
        <v>0.43525769851617357</v>
      </c>
      <c r="AT315" s="72">
        <f>(BF315-Driver!$K$191)/(Driver!$L$191-Driver!$K$191)</f>
        <v>2.1395372514002867E-2</v>
      </c>
      <c r="AU315" s="72">
        <f>(BG315-Driver!$K$192)/(Driver!$L$192-Driver!$K$192)</f>
        <v>1.7186998733642895E-2</v>
      </c>
      <c r="AV315" s="70">
        <f t="shared" si="171"/>
        <v>5.4605887939221267</v>
      </c>
      <c r="AW315" s="70">
        <f t="shared" si="172"/>
        <v>39.379461736866091</v>
      </c>
      <c r="AX315" s="70">
        <f t="shared" si="173"/>
        <v>5.8622652248150251</v>
      </c>
      <c r="AY315" s="70">
        <f>IFERROR(Driver!$K$19/Data!BH315/Data!BI315*Data!BK315*Data!BL315,"")</f>
        <v>9.9474993063724648E-2</v>
      </c>
      <c r="AZ315" s="70">
        <f t="shared" si="174"/>
        <v>33.417721518987342</v>
      </c>
      <c r="BA315" s="70"/>
      <c r="BB315" s="70"/>
      <c r="BC315" s="70">
        <f t="shared" si="175"/>
        <v>50.899045836643516</v>
      </c>
      <c r="BD315" s="70">
        <f t="shared" si="176"/>
        <v>15.31486245781773</v>
      </c>
      <c r="BE315" s="70">
        <f t="shared" si="177"/>
        <v>0.43535844218631292</v>
      </c>
      <c r="BF315" s="70">
        <f t="shared" si="178"/>
        <v>2.4164570144577033</v>
      </c>
      <c r="BG315" s="70">
        <f t="shared" si="179"/>
        <v>6.5080941325453806E-2</v>
      </c>
      <c r="BH315" s="67">
        <f>MAX((CE315-Driver!$F$200)/(Driver!$G$200-Driver!$F$200)*$BI$1,1)</f>
        <v>5.8622652248150251</v>
      </c>
      <c r="BI315" s="67">
        <f>MAX($BI$1*(BY315-Driver!$F$201)/(Driver!$G$201-Driver!$F$201),1)</f>
        <v>8.3544303797468356</v>
      </c>
      <c r="BJ315" s="67">
        <f>(CB315-Driver!$F$206)/(Driver!$G$206-Driver!$F$206)*$BI$1</f>
        <v>4.4444444444444446</v>
      </c>
      <c r="BK315" s="67">
        <f>(CD315-Driver!$F$203)/(Driver!$G$203-Driver!$F$203)*$BI$1</f>
        <v>3.2110091743119265</v>
      </c>
      <c r="BL315" s="67">
        <f>MAX((CR315-Driver!$F$202)/(Driver!$G$202-Driver!$F$202)*$BI$1,1)</f>
        <v>7.5862068965517242</v>
      </c>
      <c r="BM315" s="67">
        <f>MAX((CH315-Driver!$F$204)/(Driver!$G$204-Driver!$F$204)*$BI$1,1)</f>
        <v>4.9145299145299139</v>
      </c>
      <c r="BN315" s="67">
        <f>(CI315-Driver!$F$205)/(Driver!$G$205-Driver!$F$205)*$BI$1</f>
        <v>4</v>
      </c>
      <c r="BO315" s="67">
        <f>(CK315-Driver!$F$207)/(Driver!$G$207-Driver!$F$207)*$BI$1</f>
        <v>1.1065149948293691</v>
      </c>
      <c r="BP315" s="67">
        <f>(CM315-Driver!$F$208)/(Driver!$G$208-Driver!$F$208)*$BI$1</f>
        <v>1.5777777777777777</v>
      </c>
      <c r="BQ315" s="67">
        <f>(CL315-Driver!$F$209)/(Driver!$G$209-Driver!$F$209)*$BI$1</f>
        <v>1.875</v>
      </c>
      <c r="BR315" s="28" t="s">
        <v>155</v>
      </c>
      <c r="BS315" s="8" t="s">
        <v>167</v>
      </c>
      <c r="BT315" s="9" t="s">
        <v>430</v>
      </c>
      <c r="BU315" s="10">
        <v>177</v>
      </c>
      <c r="BV315" s="9" t="s">
        <v>158</v>
      </c>
      <c r="BW315" s="10">
        <v>177</v>
      </c>
      <c r="BX315" s="10">
        <v>176.3</v>
      </c>
      <c r="BY315" s="10">
        <v>140</v>
      </c>
      <c r="BZ315" s="10">
        <v>147</v>
      </c>
      <c r="CA315" s="10">
        <v>132</v>
      </c>
      <c r="CB315" s="10">
        <v>92</v>
      </c>
      <c r="CC315" s="10">
        <v>114</v>
      </c>
      <c r="CD315" s="10">
        <v>16.399999999999999</v>
      </c>
      <c r="CE315" s="10">
        <v>1930</v>
      </c>
      <c r="CF315" s="10">
        <v>0.96</v>
      </c>
      <c r="CG315" s="10">
        <v>1845</v>
      </c>
      <c r="CH315" s="10">
        <v>216</v>
      </c>
      <c r="CI315" s="10">
        <v>101</v>
      </c>
      <c r="CJ315" s="10">
        <v>51</v>
      </c>
      <c r="CK315" s="10">
        <v>217</v>
      </c>
      <c r="CL315" s="10">
        <v>12</v>
      </c>
      <c r="CM315" s="10">
        <v>142</v>
      </c>
      <c r="CN315" s="10">
        <v>0.24099999999999999</v>
      </c>
      <c r="CO315" s="10">
        <v>147</v>
      </c>
      <c r="CP315" s="10">
        <v>146</v>
      </c>
      <c r="CQ315" s="10">
        <v>69</v>
      </c>
      <c r="CR315" s="10">
        <v>11</v>
      </c>
      <c r="CS315" s="10">
        <v>10.5</v>
      </c>
      <c r="CT315" s="9" t="s">
        <v>188</v>
      </c>
      <c r="CU315" s="10"/>
      <c r="CV315" s="10"/>
      <c r="CW315" s="10"/>
      <c r="CX315" t="str">
        <f>INDEX('Data_Price '!AG$2:AG$1266,MATCH(Data!$DN315,'Data_Price '!$AT$2:$AT$1266,0))</f>
        <v>Head Kore 90 x Skis 2022 - 177</v>
      </c>
      <c r="CY315" t="str">
        <f>INDEX('Data_Price '!AH$2:AH$1266,MATCH(Data!$DN315,'Data_Price '!$AT$2:$AT$1266,0))</f>
        <v>! OutdoorXL.com</v>
      </c>
      <c r="CZ315">
        <f>INDEX('Data_Price '!AI$2:AI$1266,MATCH(Data!$DN315,'Data_Price '!$AT$2:$AT$1266,0))</f>
        <v>329.95</v>
      </c>
      <c r="DA315" t="str">
        <f>INDEX('Data_Price '!AJ$2:AJ$1266,MATCH(Data!$DN315,'Data_Price '!$AT$2:$AT$1266,0))</f>
        <v>https://tinyurl.com/ybg3lpdl</v>
      </c>
      <c r="DB315" t="str">
        <f>INDEX('Data_Price '!AK$2:AK$1266,MATCH(Data!$DN315,'Data_Price '!$AT$2:$AT$1266,0))</f>
        <v>Head Kore 90 x Skis 2022 - 177</v>
      </c>
      <c r="DC315" t="str">
        <f>INDEX('Data_Price '!AL$2:AL$1266,MATCH(Data!$DN315,'Data_Price '!$AT$2:$AT$1266,0))</f>
        <v>evo.com</v>
      </c>
      <c r="DD315">
        <f>INDEX('Data_Price '!AM$2:AM$1266,MATCH(Data!$DN315,'Data_Price '!$AT$2:$AT$1266,0))</f>
        <v>409</v>
      </c>
      <c r="DE315" t="str">
        <f>INDEX('Data_Price '!AN$2:AN$1266,MATCH(Data!$DN315,'Data_Price '!$AT$2:$AT$1266,0))</f>
        <v>https://tinyurl.com/ybh6xtjs</v>
      </c>
      <c r="DF315" t="str">
        <f>INDEX('Data_Price '!AO$2:AO$1266,MATCH(Data!$DN315,'Data_Price '!$AT$2:$AT$1266,0))</f>
        <v>Head Kore 90 x Skis 2022 - 177</v>
      </c>
      <c r="DG315" t="str">
        <f>INDEX('Data_Price '!AP$2:AP$1266,MATCH(Data!$DN315,'Data_Price '!$AT$2:$AT$1266,0))</f>
        <v>eBay</v>
      </c>
      <c r="DH315">
        <f>INDEX('Data_Price '!AQ$2:AQ$1266,MATCH(Data!$DN315,'Data_Price '!$AT$2:$AT$1266,0))</f>
        <v>525</v>
      </c>
      <c r="DI315" t="str">
        <f>INDEX('Data_Price '!AR$2:AR$1266,MATCH(Data!$DN315,'Data_Price '!$AT$2:$AT$1266,0))</f>
        <v>https://tinyurl.com/y7g2co7a</v>
      </c>
      <c r="DJ315" s="89" t="str">
        <f t="shared" si="180"/>
        <v>https://tinyurl.com/ybg3lpdl</v>
      </c>
      <c r="DK315" s="89" t="str">
        <f t="shared" si="181"/>
        <v>https://tinyurl.com/ybh6xtjs</v>
      </c>
      <c r="DL315" s="89" t="str">
        <f t="shared" si="182"/>
        <v>https://tinyurl.com/y7g2co7a</v>
      </c>
      <c r="DM315" s="219" t="str">
        <f t="shared" si="183"/>
        <v>Kore 90 X</v>
      </c>
      <c r="DN315" s="89" t="str">
        <f t="shared" si="184"/>
        <v xml:space="preserve"> HeadKore 90 X177 Unisex</v>
      </c>
      <c r="DO315" s="221" t="s">
        <v>431</v>
      </c>
    </row>
    <row r="316" spans="2:119" ht="15.6" customHeight="1">
      <c r="B316" s="219" t="b">
        <f t="array" ref="B316">IF(OR(ISERROR(K316:P316)),FALSE,TRUE)</f>
        <v>1</v>
      </c>
      <c r="C316" s="43" t="b">
        <f>OR(BR316=Driver!$G$50,Data!BR461=Driver!$H$50)</f>
        <v>1</v>
      </c>
      <c r="D316" s="43" t="b">
        <f>OR(BV316=Driver!$G$51,BV316=Driver!$H$51)</f>
        <v>0</v>
      </c>
      <c r="E316" s="43" t="b">
        <f>AND(BX316&gt;Driver!$F$54,BX316&lt;Driver!$G$54)</f>
        <v>0</v>
      </c>
      <c r="F316" s="43" t="b">
        <f>CL316&gt;Driver!$F$56</f>
        <v>1</v>
      </c>
      <c r="G316" s="43" t="b">
        <f>AND(CB316&gt;Driver!$F$55,CB316&lt;Driver!$G$55)</f>
        <v>0</v>
      </c>
      <c r="H316" s="43" t="b">
        <f t="shared" si="148"/>
        <v>0</v>
      </c>
      <c r="I316" s="43">
        <f t="shared" si="149"/>
        <v>0</v>
      </c>
      <c r="J316" s="43" t="b">
        <f t="array" ref="J316">NOT(OR(($H$9:$H$1273=TRUE)*($I$9:$I$1273&gt;0)*($BT$9:$BT$1273=BT316)*($K$9:$K$1273&gt;K316)))</f>
        <v>1</v>
      </c>
      <c r="K316" s="72">
        <f t="shared" si="150"/>
        <v>0.87050361093325057</v>
      </c>
      <c r="L316" s="72">
        <f t="shared" si="151"/>
        <v>0.96059003395313869</v>
      </c>
      <c r="M316" s="72">
        <f t="shared" si="152"/>
        <v>0.78041718791336245</v>
      </c>
      <c r="N316" s="72">
        <f t="shared" si="153"/>
        <v>0.76253643252987657</v>
      </c>
      <c r="O316" s="72">
        <f t="shared" si="154"/>
        <v>0.63195414833604868</v>
      </c>
      <c r="P316" s="72">
        <f t="shared" si="155"/>
        <v>0.94676098287416233</v>
      </c>
      <c r="Q316" s="72"/>
      <c r="R316" s="72"/>
      <c r="S316" s="72">
        <f t="shared" si="156"/>
        <v>0.42600557991554078</v>
      </c>
      <c r="T316" s="72">
        <f t="shared" si="157"/>
        <v>0.49176837551392427</v>
      </c>
      <c r="U316" s="72">
        <f t="shared" si="158"/>
        <v>0.76295187575018097</v>
      </c>
      <c r="V316" s="72">
        <f t="shared" si="159"/>
        <v>0.5313867562677238</v>
      </c>
      <c r="W316" s="72">
        <f t="shared" si="160"/>
        <v>0.79432976221583484</v>
      </c>
      <c r="X316" s="72">
        <f t="shared" si="161"/>
        <v>3.9409966046861283E-2</v>
      </c>
      <c r="Y316" s="72">
        <f t="shared" si="162"/>
        <v>0.21958281208663752</v>
      </c>
      <c r="Z316" s="72">
        <f t="shared" si="163"/>
        <v>0.23746356747012343</v>
      </c>
      <c r="AA316" s="72">
        <f t="shared" si="164"/>
        <v>0.36804585166395137</v>
      </c>
      <c r="AB316" s="72">
        <f t="shared" si="165"/>
        <v>5.3239017125837701E-2</v>
      </c>
      <c r="AC316" s="72"/>
      <c r="AD316" s="72"/>
      <c r="AE316" s="72">
        <f t="shared" si="166"/>
        <v>0.57399442008445922</v>
      </c>
      <c r="AF316" s="72">
        <f t="shared" si="167"/>
        <v>0.50823162448607573</v>
      </c>
      <c r="AG316" s="72">
        <f t="shared" si="168"/>
        <v>0.23704812424981908</v>
      </c>
      <c r="AH316" s="72">
        <f t="shared" si="169"/>
        <v>0.4686132437322762</v>
      </c>
      <c r="AI316" s="72">
        <f t="shared" si="170"/>
        <v>0.20567023778416516</v>
      </c>
      <c r="AJ316" s="72">
        <f>(AV316-Driver!$K$179)/(Driver!$L$179-Driver!$K$179)</f>
        <v>0.21480944323583914</v>
      </c>
      <c r="AK316" s="72">
        <f>(AW316-Driver!$K$180)/(Driver!$L$180-Driver!$K$180)</f>
        <v>0.2113179271998222</v>
      </c>
      <c r="AL316" s="72">
        <f>(AX316-Driver!$K$181)/(Driver!$L$181-Driver!$K$181)</f>
        <v>0.33915133118320362</v>
      </c>
      <c r="AM316" s="72">
        <f>(AY316-Driver!$K$182)/(Driver!$L$182-Driver!$K$182)</f>
        <v>7.9339169433094991E-2</v>
      </c>
      <c r="AN316" s="72">
        <f>(AZ316-Driver!$K$183)/(Driver!$L$183-Driver!$K$183)</f>
        <v>0.20098039215686272</v>
      </c>
      <c r="AO316" s="72"/>
      <c r="AP316" s="72"/>
      <c r="AQ316" s="72">
        <f>(BC316-Driver!$K$188)/(Driver!$L$188-Driver!$K$188)</f>
        <v>4.6005579915540731E-2</v>
      </c>
      <c r="AR316" s="72">
        <f>MIN((BD316-Driver!$K$189)/(Driver!$L$189-Driver!$K$189),100%)</f>
        <v>4.1768375513924337E-2</v>
      </c>
      <c r="AS316" s="72">
        <f>(BE316-Driver!$K$190)/(Driver!$L$190-Driver!$K$190)</f>
        <v>0.27295187575018093</v>
      </c>
      <c r="AT316" s="72">
        <f>(BF316-Driver!$K$191)/(Driver!$L$191-Driver!$K$191)</f>
        <v>4.1386756267723819E-2</v>
      </c>
      <c r="AU316" s="72">
        <f>(BG316-Driver!$K$192)/(Driver!$L$192-Driver!$K$192)</f>
        <v>4.4329762215834852E-2</v>
      </c>
      <c r="AV316" s="70">
        <f t="shared" si="171"/>
        <v>4.5210961877628542</v>
      </c>
      <c r="AW316" s="70">
        <f t="shared" si="172"/>
        <v>22.466697094398974</v>
      </c>
      <c r="AX316" s="70">
        <f t="shared" si="173"/>
        <v>4.0523619806488327</v>
      </c>
      <c r="AY316" s="70">
        <f>IFERROR(Driver!$K$19/Data!BH316/Data!BI316*Data!BK316*Data!BL316,"")</f>
        <v>9.7134815909486777E-2</v>
      </c>
      <c r="AZ316" s="70">
        <f t="shared" si="174"/>
        <v>18.317200297840653</v>
      </c>
      <c r="BA316" s="70"/>
      <c r="BB316" s="70"/>
      <c r="BC316" s="70">
        <f t="shared" si="175"/>
        <v>23.863414127793835</v>
      </c>
      <c r="BD316" s="70">
        <f t="shared" si="176"/>
        <v>5.4172501078979733</v>
      </c>
      <c r="BE316" s="70">
        <f t="shared" si="177"/>
        <v>0.27308157295227192</v>
      </c>
      <c r="BF316" s="70">
        <f t="shared" si="178"/>
        <v>4.6743433620208448</v>
      </c>
      <c r="BG316" s="70">
        <f t="shared" si="179"/>
        <v>0.1678607590802195</v>
      </c>
      <c r="BH316" s="67">
        <f>MAX((CE316-Driver!$F$200)/(Driver!$G$200-Driver!$F$200)*$BI$1,1)</f>
        <v>4.0523619806488327</v>
      </c>
      <c r="BI316" s="67">
        <f>MAX($BI$1*(BY316-Driver!$F$201)/(Driver!$G$201-Driver!$F$201),1)</f>
        <v>7.5949367088607591</v>
      </c>
      <c r="BJ316" s="67">
        <f>(CB316-Driver!$F$206)/(Driver!$G$206-Driver!$F$206)*$BI$1</f>
        <v>4.92063492063492</v>
      </c>
      <c r="BK316" s="67">
        <f>(CD316-Driver!$F$203)/(Driver!$G$203-Driver!$F$203)*$BI$1</f>
        <v>2.8899082568807337</v>
      </c>
      <c r="BL316" s="67">
        <f>MAX((CR316-Driver!$F$202)/(Driver!$G$202-Driver!$F$202)*$BI$1,1)</f>
        <v>5.1724137931034484</v>
      </c>
      <c r="BM316" s="67">
        <f>MAX((CH316-Driver!$F$204)/(Driver!$G$204-Driver!$F$204)*$BI$1,1)</f>
        <v>3.6752136752136755</v>
      </c>
      <c r="BN316" s="67">
        <f>(CI316-Driver!$F$205)/(Driver!$G$205-Driver!$F$205)*$BI$1</f>
        <v>2.4117647058823528</v>
      </c>
      <c r="BO316" s="67">
        <f>(CK316-Driver!$F$207)/(Driver!$G$207-Driver!$F$207)*$BI$1</f>
        <v>1.3650465356773525</v>
      </c>
      <c r="BP316" s="67">
        <f>(CM316-Driver!$F$208)/(Driver!$G$208-Driver!$F$208)*$BI$1</f>
        <v>2.0111111111111111</v>
      </c>
      <c r="BQ316" s="67">
        <f>(CL316-Driver!$F$209)/(Driver!$G$209-Driver!$F$209)*$BI$1</f>
        <v>2.5</v>
      </c>
      <c r="BR316" s="28" t="s">
        <v>155</v>
      </c>
      <c r="BS316" s="8" t="s">
        <v>164</v>
      </c>
      <c r="BT316" s="9" t="s">
        <v>518</v>
      </c>
      <c r="BU316" s="10">
        <v>170</v>
      </c>
      <c r="BV316" s="9" t="s">
        <v>163</v>
      </c>
      <c r="BW316" s="10">
        <v>170</v>
      </c>
      <c r="BX316" s="10">
        <v>170.4</v>
      </c>
      <c r="BY316" s="10">
        <v>128</v>
      </c>
      <c r="BZ316" s="10">
        <v>137</v>
      </c>
      <c r="CA316" s="10">
        <v>136</v>
      </c>
      <c r="CB316" s="10">
        <v>95</v>
      </c>
      <c r="CC316" s="10">
        <v>111</v>
      </c>
      <c r="CD316" s="10">
        <v>15.7</v>
      </c>
      <c r="CE316" s="10">
        <v>1612</v>
      </c>
      <c r="CF316" s="10">
        <v>1.1299999999999999</v>
      </c>
      <c r="CG316" s="10">
        <v>1827</v>
      </c>
      <c r="CH316" s="10">
        <v>187</v>
      </c>
      <c r="CI316" s="10">
        <v>74</v>
      </c>
      <c r="CJ316" s="10">
        <v>47</v>
      </c>
      <c r="CK316" s="10">
        <v>242</v>
      </c>
      <c r="CL316" s="10">
        <v>16</v>
      </c>
      <c r="CM316" s="10">
        <v>181</v>
      </c>
      <c r="CN316" s="10">
        <v>0.34699999999999998</v>
      </c>
      <c r="CO316" s="10">
        <v>176</v>
      </c>
      <c r="CP316" s="10">
        <v>163</v>
      </c>
      <c r="CQ316" s="10">
        <v>66</v>
      </c>
      <c r="CR316" s="10">
        <v>4</v>
      </c>
      <c r="CS316" s="10">
        <v>6.8</v>
      </c>
      <c r="CT316" s="9" t="s">
        <v>188</v>
      </c>
      <c r="CU316" s="9" t="s">
        <v>185</v>
      </c>
      <c r="CV316" s="10"/>
      <c r="CW316" s="10"/>
      <c r="CX316" t="str">
        <f>INDEX('Data_Price '!AG$2:AG$1266,MATCH(Data!$DN316,'Data_Price '!$AT$2:$AT$1266,0))</f>
        <v>Elan Ripstick 94 170</v>
      </c>
      <c r="CY316" t="str">
        <f>INDEX('Data_Price '!AH$2:AH$1266,MATCH(Data!$DN316,'Data_Price '!$AT$2:$AT$1266,0))</f>
        <v>! OutdoorXL.com</v>
      </c>
      <c r="CZ316">
        <f>INDEX('Data_Price '!AI$2:AI$1266,MATCH(Data!$DN316,'Data_Price '!$AT$2:$AT$1266,0))</f>
        <v>424.95</v>
      </c>
      <c r="DA316" t="str">
        <f>INDEX('Data_Price '!AJ$2:AJ$1266,MATCH(Data!$DN316,'Data_Price '!$AT$2:$AT$1266,0))</f>
        <v>https://tinyurl.com/yahgahbt</v>
      </c>
      <c r="DB316" t="str">
        <f>INDEX('Data_Price '!AK$2:AK$1266,MATCH(Data!$DN316,'Data_Price '!$AT$2:$AT$1266,0))</f>
        <v>Elan Ripstick 94 170</v>
      </c>
      <c r="DC316" t="str">
        <f>INDEX('Data_Price '!AL$2:AL$1266,MATCH(Data!$DN316,'Data_Price '!$AT$2:$AT$1266,0))</f>
        <v>Absolute-Snow.co.uk</v>
      </c>
      <c r="DD316">
        <f>INDEX('Data_Price '!AM$2:AM$1266,MATCH(Data!$DN316,'Data_Price '!$AT$2:$AT$1266,0))</f>
        <v>555.44000000000005</v>
      </c>
      <c r="DE316" t="str">
        <f>INDEX('Data_Price '!AN$2:AN$1266,MATCH(Data!$DN316,'Data_Price '!$AT$2:$AT$1266,0))</f>
        <v>https://tinyurl.com/yaa6r22l</v>
      </c>
      <c r="DF316" t="str">
        <f>INDEX('Data_Price '!AO$2:AO$1266,MATCH(Data!$DN316,'Data_Price '!$AT$2:$AT$1266,0))</f>
        <v>Elan Ripstick 94 Skis | Womens | 170 | Christy Sports</v>
      </c>
      <c r="DG316" t="str">
        <f>INDEX('Data_Price '!AP$2:AP$1266,MATCH(Data!$DN316,'Data_Price '!$AT$2:$AT$1266,0))</f>
        <v>Christy Sports</v>
      </c>
      <c r="DH316">
        <f>INDEX('Data_Price '!AQ$2:AQ$1266,MATCH(Data!$DN316,'Data_Price '!$AT$2:$AT$1266,0))</f>
        <v>599.99</v>
      </c>
      <c r="DI316" t="str">
        <f>INDEX('Data_Price '!AR$2:AR$1266,MATCH(Data!$DN316,'Data_Price '!$AT$2:$AT$1266,0))</f>
        <v>https://tinyurl.com/y8op5wyf</v>
      </c>
      <c r="DJ316" s="89" t="str">
        <f t="shared" si="180"/>
        <v>https://tinyurl.com/yahgahbt</v>
      </c>
      <c r="DK316" s="89" t="str">
        <f t="shared" si="181"/>
        <v>https://tinyurl.com/yaa6r22l</v>
      </c>
      <c r="DL316" s="89" t="str">
        <f t="shared" si="182"/>
        <v>https://tinyurl.com/y8op5wyf</v>
      </c>
      <c r="DM316" s="219" t="str">
        <f t="shared" si="183"/>
        <v>Ripstick 94 W</v>
      </c>
      <c r="DN316" s="89" t="str">
        <f t="shared" si="184"/>
        <v xml:space="preserve"> ElanRipstick 94 W170 Women's</v>
      </c>
      <c r="DO316" s="221" t="s">
        <v>519</v>
      </c>
    </row>
    <row r="317" spans="2:119" ht="15.6" customHeight="1">
      <c r="B317" s="219" t="b">
        <f t="array" ref="B317">IF(OR(ISERROR(K317:P317)),FALSE,TRUE)</f>
        <v>1</v>
      </c>
      <c r="C317" s="43" t="b">
        <f>OR(BR317=Driver!$G$50,Data!BR372=Driver!$H$50)</f>
        <v>1</v>
      </c>
      <c r="D317" s="43" t="b">
        <f>OR(BV317=Driver!$G$51,BV317=Driver!$H$51)</f>
        <v>1</v>
      </c>
      <c r="E317" s="43" t="b">
        <f>AND(BX317&gt;Driver!$F$54,BX317&lt;Driver!$G$54)</f>
        <v>0</v>
      </c>
      <c r="F317" s="43" t="b">
        <f>CL317&gt;Driver!$F$56</f>
        <v>1</v>
      </c>
      <c r="G317" s="43" t="b">
        <f>AND(CB317&gt;Driver!$F$55,CB317&lt;Driver!$G$55)</f>
        <v>0</v>
      </c>
      <c r="H317" s="43" t="b">
        <f t="shared" si="148"/>
        <v>0</v>
      </c>
      <c r="I317" s="43">
        <f t="shared" si="149"/>
        <v>0</v>
      </c>
      <c r="J317" s="43" t="b">
        <f t="array" ref="J317">NOT(OR(($H$9:$H$1273=TRUE)*($I$9:$I$1273&gt;0)*($BT$9:$BT$1273=BT317)*($K$9:$K$1273&gt;K317)))</f>
        <v>1</v>
      </c>
      <c r="K317" s="72">
        <f t="shared" si="150"/>
        <v>0.87202328243833083</v>
      </c>
      <c r="L317" s="72">
        <f t="shared" si="151"/>
        <v>0.84619427029309446</v>
      </c>
      <c r="M317" s="72">
        <f t="shared" si="152"/>
        <v>0.89785229458356708</v>
      </c>
      <c r="N317" s="72">
        <f t="shared" si="153"/>
        <v>0.98324091618256737</v>
      </c>
      <c r="O317" s="72">
        <f t="shared" si="154"/>
        <v>0.78493642756647919</v>
      </c>
      <c r="P317" s="72">
        <f t="shared" si="155"/>
        <v>0.92537954000165468</v>
      </c>
      <c r="Q317" s="72"/>
      <c r="R317" s="72"/>
      <c r="S317" s="72">
        <f t="shared" si="156"/>
        <v>0.52122425845456266</v>
      </c>
      <c r="T317" s="72">
        <f t="shared" si="157"/>
        <v>0.48247887317795901</v>
      </c>
      <c r="U317" s="72">
        <f t="shared" si="158"/>
        <v>0.95250308461887234</v>
      </c>
      <c r="V317" s="72">
        <f t="shared" si="159"/>
        <v>0.52446004412036284</v>
      </c>
      <c r="W317" s="72">
        <f t="shared" si="160"/>
        <v>0.7721495436919823</v>
      </c>
      <c r="X317" s="72">
        <f t="shared" si="161"/>
        <v>0.15380572970690548</v>
      </c>
      <c r="Y317" s="72">
        <f t="shared" si="162"/>
        <v>0.10214770541643291</v>
      </c>
      <c r="Z317" s="72">
        <f t="shared" si="163"/>
        <v>1.6759083817432657E-2</v>
      </c>
      <c r="AA317" s="72">
        <f t="shared" si="164"/>
        <v>0.21506357243352078</v>
      </c>
      <c r="AB317" s="72">
        <f t="shared" si="165"/>
        <v>7.4620459998345268E-2</v>
      </c>
      <c r="AC317" s="72"/>
      <c r="AD317" s="72"/>
      <c r="AE317" s="72">
        <f t="shared" si="166"/>
        <v>0.47877574154543734</v>
      </c>
      <c r="AF317" s="72">
        <f t="shared" si="167"/>
        <v>0.51752112682204099</v>
      </c>
      <c r="AG317" s="72">
        <f t="shared" si="168"/>
        <v>4.7496915381127658E-2</v>
      </c>
      <c r="AH317" s="72">
        <f t="shared" si="169"/>
        <v>0.47553995587963721</v>
      </c>
      <c r="AI317" s="72">
        <f t="shared" si="170"/>
        <v>0.2278504563080177</v>
      </c>
      <c r="AJ317" s="72">
        <f>(AV317-Driver!$K$179)/(Driver!$L$179-Driver!$K$179)</f>
        <v>0.40802513898960591</v>
      </c>
      <c r="AK317" s="72">
        <f>(AW317-Driver!$K$180)/(Driver!$L$180-Driver!$K$180)</f>
        <v>0.31242696077465149</v>
      </c>
      <c r="AL317" s="72">
        <f>(AX317-Driver!$K$181)/(Driver!$L$181-Driver!$K$181)</f>
        <v>0.11844684753051284</v>
      </c>
      <c r="AM317" s="72">
        <f>(AY317-Driver!$K$182)/(Driver!$L$182-Driver!$K$182)</f>
        <v>0.23232144866352558</v>
      </c>
      <c r="AN317" s="72">
        <f>(AZ317-Driver!$K$183)/(Driver!$L$183-Driver!$K$183)</f>
        <v>0.32883986928104569</v>
      </c>
      <c r="AO317" s="72"/>
      <c r="AP317" s="72"/>
      <c r="AQ317" s="72">
        <f>(BC317-Driver!$K$188)/(Driver!$L$188-Driver!$K$188)</f>
        <v>0.14122425845456263</v>
      </c>
      <c r="AR317" s="72">
        <f>MIN((BD317-Driver!$K$189)/(Driver!$L$189-Driver!$K$189),100%)</f>
        <v>3.2478873177959049E-2</v>
      </c>
      <c r="AS317" s="72">
        <f>(BE317-Driver!$K$190)/(Driver!$L$190-Driver!$K$190)</f>
        <v>0.46250308461887235</v>
      </c>
      <c r="AT317" s="72">
        <f>(BF317-Driver!$K$191)/(Driver!$L$191-Driver!$K$191)</f>
        <v>3.4460044120362812E-2</v>
      </c>
      <c r="AU317" s="72">
        <f>(BG317-Driver!$K$192)/(Driver!$L$192-Driver!$K$192)</f>
        <v>2.2149543691982299E-2</v>
      </c>
      <c r="AV317" s="70">
        <f t="shared" si="171"/>
        <v>8.5877085877085868</v>
      </c>
      <c r="AW317" s="70">
        <f t="shared" si="172"/>
        <v>32.320668333443791</v>
      </c>
      <c r="AX317" s="70">
        <f t="shared" si="173"/>
        <v>2.0660216277746155</v>
      </c>
      <c r="AY317" s="70">
        <f>IFERROR(Driver!$K$19/Data!BH317/Data!BI317*Data!BK317*Data!BL317,"")</f>
        <v>0.28443077119412857</v>
      </c>
      <c r="AZ317" s="70">
        <f t="shared" si="174"/>
        <v>29.97021593447505</v>
      </c>
      <c r="BA317" s="70"/>
      <c r="BB317" s="70"/>
      <c r="BC317" s="70">
        <f t="shared" si="175"/>
        <v>73.254004635498504</v>
      </c>
      <c r="BD317" s="70">
        <f t="shared" si="176"/>
        <v>4.595145611189194</v>
      </c>
      <c r="BE317" s="70">
        <f t="shared" si="177"/>
        <v>0.46259896801879086</v>
      </c>
      <c r="BF317" s="70">
        <f t="shared" si="178"/>
        <v>3.8920198878833832</v>
      </c>
      <c r="BG317" s="70">
        <f t="shared" si="179"/>
        <v>8.3872302299165744E-2</v>
      </c>
      <c r="BH317" s="67">
        <f>MAX((CE317-Driver!$F$200)/(Driver!$G$200-Driver!$F$200)*$BI$1,1)</f>
        <v>2.0660216277746155</v>
      </c>
      <c r="BI317" s="67">
        <f>MAX($BI$1*(BY317-Driver!$F$201)/(Driver!$G$201-Driver!$F$201),1)</f>
        <v>7.2784810126582276</v>
      </c>
      <c r="BJ317" s="67">
        <f>(CB317-Driver!$F$206)/(Driver!$G$206-Driver!$F$206)*$BI$1</f>
        <v>3.8095238095238093</v>
      </c>
      <c r="BK317" s="67">
        <f>(CD317-Driver!$F$203)/(Driver!$G$203-Driver!$F$203)*$BI$1</f>
        <v>4.7706422018348631</v>
      </c>
      <c r="BL317" s="67">
        <f>MAX((CR317-Driver!$F$202)/(Driver!$G$202-Driver!$F$202)*$BI$1,1)</f>
        <v>4.4827586206896548</v>
      </c>
      <c r="BM317" s="67">
        <f>MAX((CH317-Driver!$F$204)/(Driver!$G$204-Driver!$F$204)*$BI$1,1)</f>
        <v>9.017094017094017</v>
      </c>
      <c r="BN317" s="67">
        <f>(CI317-Driver!$F$205)/(Driver!$G$205-Driver!$F$205)*$BI$1</f>
        <v>4.117647058823529</v>
      </c>
      <c r="BO317" s="67">
        <f>(CK317-Driver!$F$207)/(Driver!$G$207-Driver!$F$207)*$BI$1</f>
        <v>2.6266804550155118</v>
      </c>
      <c r="BP317" s="67">
        <f>(CM317-Driver!$F$208)/(Driver!$G$208-Driver!$F$208)*$BI$1</f>
        <v>1.8555555555555556</v>
      </c>
      <c r="BQ317" s="67">
        <f>(CL317-Driver!$F$209)/(Driver!$G$209-Driver!$F$209)*$BI$1</f>
        <v>1.5625</v>
      </c>
      <c r="BR317" s="28" t="s">
        <v>155</v>
      </c>
      <c r="BS317" s="8" t="s">
        <v>329</v>
      </c>
      <c r="BT317" s="9" t="s">
        <v>520</v>
      </c>
      <c r="BU317" s="10">
        <v>178</v>
      </c>
      <c r="BV317" s="9" t="s">
        <v>158</v>
      </c>
      <c r="BW317" s="10">
        <v>178</v>
      </c>
      <c r="BX317" s="10">
        <v>175.9</v>
      </c>
      <c r="BY317" s="10">
        <v>123</v>
      </c>
      <c r="BZ317" s="10">
        <v>153</v>
      </c>
      <c r="CA317" s="10">
        <v>123</v>
      </c>
      <c r="CB317" s="10">
        <v>88</v>
      </c>
      <c r="CC317" s="10">
        <v>111</v>
      </c>
      <c r="CD317" s="10">
        <v>19.8</v>
      </c>
      <c r="CE317" s="10">
        <v>1263</v>
      </c>
      <c r="CF317" s="10">
        <v>1.37</v>
      </c>
      <c r="CG317" s="10">
        <v>1727</v>
      </c>
      <c r="CH317" s="10">
        <v>312</v>
      </c>
      <c r="CI317" s="10">
        <v>103</v>
      </c>
      <c r="CJ317" s="10">
        <v>54</v>
      </c>
      <c r="CK317" s="10">
        <v>364</v>
      </c>
      <c r="CL317" s="10">
        <v>10</v>
      </c>
      <c r="CM317" s="10">
        <v>167</v>
      </c>
      <c r="CN317" s="10">
        <v>0.18</v>
      </c>
      <c r="CO317" s="10">
        <v>138</v>
      </c>
      <c r="CP317" s="10">
        <v>96</v>
      </c>
      <c r="CQ317" s="10">
        <v>226</v>
      </c>
      <c r="CR317" s="10">
        <v>2</v>
      </c>
      <c r="CS317" s="10">
        <v>12.4</v>
      </c>
      <c r="CT317" s="9" t="s">
        <v>185</v>
      </c>
      <c r="CU317" s="9" t="s">
        <v>198</v>
      </c>
      <c r="CV317" s="10"/>
      <c r="CW317" s="10"/>
      <c r="CX317" t="str">
        <f>INDEX('Data_Price '!AG$2:AG$1266,MATCH(Data!$DN317,'Data_Price '!$AT$2:$AT$1266,0))</f>
        <v>Dynafit Blacklight 88 BLACK/ BLUE / 178</v>
      </c>
      <c r="CY317" t="str">
        <f>INDEX('Data_Price '!AH$2:AH$1266,MATCH(Data!$DN317,'Data_Price '!$AT$2:$AT$1266,0))</f>
        <v>Neptune Mountaineering</v>
      </c>
      <c r="CZ317">
        <f>INDEX('Data_Price '!AI$2:AI$1266,MATCH(Data!$DN317,'Data_Price '!$AT$2:$AT$1266,0))</f>
        <v>559.96</v>
      </c>
      <c r="DA317" t="str">
        <f>INDEX('Data_Price '!AJ$2:AJ$1266,MATCH(Data!$DN317,'Data_Price '!$AT$2:$AT$1266,0))</f>
        <v>https://tinyurl.com/ybwfxfy4</v>
      </c>
      <c r="DB317" t="str">
        <f>INDEX('Data_Price '!AK$2:AK$1266,MATCH(Data!$DN317,'Data_Price '!$AT$2:$AT$1266,0))</f>
        <v>Dynafit Blacklight 95 Combo 178</v>
      </c>
      <c r="DC317" t="str">
        <f>INDEX('Data_Price '!AL$2:AL$1266,MATCH(Data!$DN317,'Data_Price '!$AT$2:$AT$1266,0))</f>
        <v>Cripple Creek Backcountry</v>
      </c>
      <c r="DD317">
        <f>INDEX('Data_Price '!AM$2:AM$1266,MATCH(Data!$DN317,'Data_Price '!$AT$2:$AT$1266,0))</f>
        <v>1049.95</v>
      </c>
      <c r="DE317" t="str">
        <f>INDEX('Data_Price '!AN$2:AN$1266,MATCH(Data!$DN317,'Data_Price '!$AT$2:$AT$1266,0))</f>
        <v>https://tinyurl.com/y7gweq4b</v>
      </c>
      <c r="DF317" t="str">
        <f>INDEX('Data_Price '!AO$2:AO$1266,MATCH(Data!$DN317,'Data_Price '!$AT$2:$AT$1266,0))</f>
        <v>Dynafit Blacklight 88, Black Blue / 178cm</v>
      </c>
      <c r="DG317" t="str">
        <f>INDEX('Data_Price '!AP$2:AP$1266,MATCH(Data!$DN317,'Data_Price '!$AT$2:$AT$1266,0))</f>
        <v>Ascent Outdoors</v>
      </c>
      <c r="DH317">
        <f>INDEX('Data_Price '!AQ$2:AQ$1266,MATCH(Data!$DN317,'Data_Price '!$AT$2:$AT$1266,0))</f>
        <v>559.96</v>
      </c>
      <c r="DI317" t="str">
        <f>INDEX('Data_Price '!AR$2:AR$1266,MATCH(Data!$DN317,'Data_Price '!$AT$2:$AT$1266,0))</f>
        <v>https://tinyurl.com/ydhybrub</v>
      </c>
      <c r="DJ317" s="89" t="str">
        <f t="shared" si="180"/>
        <v>https://tinyurl.com/ybwfxfy4</v>
      </c>
      <c r="DK317" s="89" t="str">
        <f t="shared" si="181"/>
        <v>https://tinyurl.com/y7gweq4b</v>
      </c>
      <c r="DL317" s="89" t="str">
        <f t="shared" si="182"/>
        <v>https://tinyurl.com/ydhybrub</v>
      </c>
      <c r="DM317" s="219" t="str">
        <f t="shared" si="183"/>
        <v>Blacklight 88</v>
      </c>
      <c r="DN317" s="89" t="str">
        <f t="shared" si="184"/>
        <v xml:space="preserve"> DynafitBlacklight 88178 Unisex</v>
      </c>
      <c r="DO317" s="221" t="s">
        <v>521</v>
      </c>
    </row>
    <row r="318" spans="2:119" ht="15.6" customHeight="1">
      <c r="B318" s="219" t="b">
        <f t="array" ref="B318">IF(OR(ISERROR(K318:P318)),FALSE,TRUE)</f>
        <v>1</v>
      </c>
      <c r="C318" s="43" t="b">
        <f>OR(BR318=Driver!$G$50,Data!BR1213=Driver!$H$50)</f>
        <v>1</v>
      </c>
      <c r="D318" s="43" t="b">
        <f>OR(BV318=Driver!$G$51,BV318=Driver!$H$51)</f>
        <v>0</v>
      </c>
      <c r="E318" s="43" t="b">
        <f>AND(BX318&gt;Driver!$F$54,BX318&lt;Driver!$G$54)</f>
        <v>1</v>
      </c>
      <c r="F318" s="43" t="b">
        <f>CL318&gt;Driver!$F$56</f>
        <v>1</v>
      </c>
      <c r="G318" s="43" t="b">
        <f>AND(CB318&gt;Driver!$F$55,CB318&lt;Driver!$G$55)</f>
        <v>0</v>
      </c>
      <c r="H318" s="43" t="b">
        <f t="shared" si="148"/>
        <v>0</v>
      </c>
      <c r="I318" s="43">
        <f t="shared" si="149"/>
        <v>0</v>
      </c>
      <c r="J318" s="43" t="b">
        <f t="array" ref="J318">NOT(OR(($H$9:$H$1273=TRUE)*($I$9:$I$1273&gt;0)*($BT$9:$BT$1273=BT318)*($K$9:$K$1273&gt;K318)))</f>
        <v>1</v>
      </c>
      <c r="K318" s="72">
        <f t="shared" si="150"/>
        <v>0.82080918215816734</v>
      </c>
      <c r="L318" s="72">
        <f t="shared" si="151"/>
        <v>0.91812770215070538</v>
      </c>
      <c r="M318" s="72">
        <f t="shared" si="152"/>
        <v>0.72349066216562929</v>
      </c>
      <c r="N318" s="72">
        <f t="shared" si="153"/>
        <v>0.72269579507967729</v>
      </c>
      <c r="O318" s="72">
        <f t="shared" si="154"/>
        <v>0.59796854684039258</v>
      </c>
      <c r="P318" s="72">
        <f t="shared" si="155"/>
        <v>0.84980764457681801</v>
      </c>
      <c r="Q318" s="72"/>
      <c r="R318" s="72"/>
      <c r="S318" s="72">
        <f t="shared" si="156"/>
        <v>0.43970696902402895</v>
      </c>
      <c r="T318" s="72">
        <f t="shared" si="157"/>
        <v>0.59370775587546365</v>
      </c>
      <c r="U318" s="72">
        <f t="shared" si="158"/>
        <v>0.63278402028993619</v>
      </c>
      <c r="V318" s="72">
        <f t="shared" si="159"/>
        <v>0.57084348060846346</v>
      </c>
      <c r="W318" s="72">
        <f t="shared" si="160"/>
        <v>0.78766077003121748</v>
      </c>
      <c r="X318" s="72">
        <f t="shared" si="161"/>
        <v>8.1872297849294617E-2</v>
      </c>
      <c r="Y318" s="72">
        <f t="shared" si="162"/>
        <v>0.27650933783437071</v>
      </c>
      <c r="Z318" s="72">
        <f t="shared" si="163"/>
        <v>0.27730420492032271</v>
      </c>
      <c r="AA318" s="72">
        <f t="shared" si="164"/>
        <v>0.40203145315960748</v>
      </c>
      <c r="AB318" s="72">
        <f t="shared" si="165"/>
        <v>0.15019235542318199</v>
      </c>
      <c r="AC318" s="72"/>
      <c r="AD318" s="72"/>
      <c r="AE318" s="72">
        <f t="shared" si="166"/>
        <v>0.56029303097597105</v>
      </c>
      <c r="AF318" s="72">
        <f t="shared" si="167"/>
        <v>0.40629224412453635</v>
      </c>
      <c r="AG318" s="72">
        <f t="shared" si="168"/>
        <v>0.36721597971006381</v>
      </c>
      <c r="AH318" s="72">
        <f t="shared" si="169"/>
        <v>0.42915651939153654</v>
      </c>
      <c r="AI318" s="72">
        <f t="shared" si="170"/>
        <v>0.21233922996878252</v>
      </c>
      <c r="AJ318" s="72">
        <f>(AV318-Driver!$K$179)/(Driver!$L$179-Driver!$K$179)</f>
        <v>0.17234711143340581</v>
      </c>
      <c r="AK318" s="72">
        <f>(AW318-Driver!$K$180)/(Driver!$L$180-Driver!$K$180)</f>
        <v>0.4048102154880196</v>
      </c>
      <c r="AL318" s="72">
        <f>(AX318-Driver!$K$181)/(Driver!$L$181-Driver!$K$181)</f>
        <v>0.3789919686334029</v>
      </c>
      <c r="AM318" s="72">
        <f>(AY318-Driver!$K$182)/(Driver!$L$182-Driver!$K$182)</f>
        <v>4.5353567937438895E-2</v>
      </c>
      <c r="AN318" s="72">
        <f>(AZ318-Driver!$K$183)/(Driver!$L$183-Driver!$K$183)</f>
        <v>0.40441176470588241</v>
      </c>
      <c r="AO318" s="72"/>
      <c r="AP318" s="72"/>
      <c r="AQ318" s="72">
        <f>(BC318-Driver!$K$188)/(Driver!$L$188-Driver!$K$188)</f>
        <v>5.9706969024029E-2</v>
      </c>
      <c r="AR318" s="72">
        <f>MIN((BD318-Driver!$K$189)/(Driver!$L$189-Driver!$K$189),100%)</f>
        <v>0.14370775587546369</v>
      </c>
      <c r="AS318" s="72">
        <f>(BE318-Driver!$K$190)/(Driver!$L$190-Driver!$K$190)</f>
        <v>0.1427840202899362</v>
      </c>
      <c r="AT318" s="72">
        <f>(BF318-Driver!$K$191)/(Driver!$L$191-Driver!$K$191)</f>
        <v>8.0843480608463483E-2</v>
      </c>
      <c r="AU318" s="72">
        <f>(BG318-Driver!$K$192)/(Driver!$L$192-Driver!$K$192)</f>
        <v>3.7660770031217483E-2</v>
      </c>
      <c r="AV318" s="70">
        <f t="shared" si="171"/>
        <v>3.6273911273911268</v>
      </c>
      <c r="AW318" s="70">
        <f t="shared" si="172"/>
        <v>41.324235104173042</v>
      </c>
      <c r="AX318" s="70">
        <f t="shared" si="173"/>
        <v>4.4109277177006261</v>
      </c>
      <c r="AY318" s="70">
        <f>IFERROR(Driver!$K$19/Data!BH318/Data!BI318*Data!BK318*Data!BL318,"")</f>
        <v>5.5526299354022313E-2</v>
      </c>
      <c r="AZ318" s="70">
        <f t="shared" si="174"/>
        <v>36.857781087118397</v>
      </c>
      <c r="BA318" s="70"/>
      <c r="BB318" s="70"/>
      <c r="BC318" s="70">
        <f t="shared" si="175"/>
        <v>30.970419908878476</v>
      </c>
      <c r="BD318" s="70">
        <f t="shared" si="176"/>
        <v>14.438704644000401</v>
      </c>
      <c r="BE318" s="70">
        <f t="shared" si="177"/>
        <v>0.14293693797233964</v>
      </c>
      <c r="BF318" s="70">
        <f t="shared" si="178"/>
        <v>9.1307031771305169</v>
      </c>
      <c r="BG318" s="70">
        <f t="shared" si="179"/>
        <v>0.14260770031217485</v>
      </c>
      <c r="BH318" s="67">
        <f>MAX((CE318-Driver!$F$200)/(Driver!$G$200-Driver!$F$200)*$BI$1,1)</f>
        <v>4.4109277177006261</v>
      </c>
      <c r="BI318" s="67">
        <f>MAX($BI$1*(BY318-Driver!$F$201)/(Driver!$G$201-Driver!$F$201),1)</f>
        <v>6.3291139240506329</v>
      </c>
      <c r="BJ318" s="67">
        <f>(CB318-Driver!$F$206)/(Driver!$G$206-Driver!$F$206)*$BI$1</f>
        <v>3.6507936507936507</v>
      </c>
      <c r="BK318" s="67">
        <f>(CD318-Driver!$F$203)/(Driver!$G$203-Driver!$F$203)*$BI$1</f>
        <v>1.6055045871559634</v>
      </c>
      <c r="BL318" s="67">
        <f>MAX((CR318-Driver!$F$202)/(Driver!$G$202-Driver!$F$202)*$BI$1,1)</f>
        <v>4.8275862068965516</v>
      </c>
      <c r="BM318" s="67">
        <f>MAX((CH318-Driver!$F$204)/(Driver!$G$204-Driver!$F$204)*$BI$1,1)</f>
        <v>3.974358974358974</v>
      </c>
      <c r="BN318" s="67">
        <f>(CI318-Driver!$F$205)/(Driver!$G$205-Driver!$F$205)*$BI$1</f>
        <v>5.8235294117647065</v>
      </c>
      <c r="BO318" s="67">
        <f>(CK318-Driver!$F$207)/(Driver!$G$207-Driver!$F$207)*$BI$1</f>
        <v>1.7890382626680454</v>
      </c>
      <c r="BP318" s="67">
        <f>(CM318-Driver!$F$208)/(Driver!$G$208-Driver!$F$208)*$BI$1</f>
        <v>2.2444444444444445</v>
      </c>
      <c r="BQ318" s="67">
        <f>(CL318-Driver!$F$209)/(Driver!$G$209-Driver!$F$209)*$BI$1</f>
        <v>2.5</v>
      </c>
      <c r="BR318" s="28" t="s">
        <v>155</v>
      </c>
      <c r="BS318" s="8" t="s">
        <v>229</v>
      </c>
      <c r="BT318" s="9" t="s">
        <v>311</v>
      </c>
      <c r="BU318" s="10">
        <v>156</v>
      </c>
      <c r="BV318" s="9" t="s">
        <v>163</v>
      </c>
      <c r="BW318" s="10">
        <v>156</v>
      </c>
      <c r="BX318" s="10">
        <v>156.1</v>
      </c>
      <c r="BY318" s="10">
        <v>108</v>
      </c>
      <c r="BZ318" s="10">
        <v>132</v>
      </c>
      <c r="CA318" s="10">
        <v>128</v>
      </c>
      <c r="CB318" s="10">
        <v>87</v>
      </c>
      <c r="CC318" s="10">
        <v>110</v>
      </c>
      <c r="CD318" s="10">
        <v>12.9</v>
      </c>
      <c r="CE318" s="10">
        <v>1675</v>
      </c>
      <c r="CF318" s="10">
        <v>0.94</v>
      </c>
      <c r="CG318" s="10">
        <v>1567</v>
      </c>
      <c r="CH318" s="10">
        <v>194</v>
      </c>
      <c r="CI318" s="10">
        <v>132</v>
      </c>
      <c r="CJ318" s="10">
        <v>43</v>
      </c>
      <c r="CK318" s="10">
        <v>283</v>
      </c>
      <c r="CL318" s="10">
        <v>16</v>
      </c>
      <c r="CM318" s="10">
        <v>202</v>
      </c>
      <c r="CN318" s="10">
        <v>0.374</v>
      </c>
      <c r="CO318" s="10">
        <v>132</v>
      </c>
      <c r="CP318" s="10">
        <v>104</v>
      </c>
      <c r="CQ318" s="10">
        <v>151</v>
      </c>
      <c r="CR318" s="10">
        <v>3</v>
      </c>
      <c r="CS318" s="10">
        <v>11.6</v>
      </c>
      <c r="CT318" s="9" t="s">
        <v>188</v>
      </c>
      <c r="CU318" s="10"/>
      <c r="CV318" s="10"/>
      <c r="CW318" s="10"/>
      <c r="CX318" t="e">
        <f>INDEX('Data_Price '!AG$2:AG$1266,MATCH(Data!$DN318,'Data_Price '!$AT$2:$AT$1266,0))</f>
        <v>#N/A</v>
      </c>
      <c r="CY318" t="e">
        <f>INDEX('Data_Price '!AH$2:AH$1266,MATCH(Data!$DN318,'Data_Price '!$AT$2:$AT$1266,0))</f>
        <v>#N/A</v>
      </c>
      <c r="CZ318" t="e">
        <f>INDEX('Data_Price '!AI$2:AI$1266,MATCH(Data!$DN318,'Data_Price '!$AT$2:$AT$1266,0))</f>
        <v>#N/A</v>
      </c>
      <c r="DA318" t="e">
        <f>INDEX('Data_Price '!AJ$2:AJ$1266,MATCH(Data!$DN318,'Data_Price '!$AT$2:$AT$1266,0))</f>
        <v>#N/A</v>
      </c>
      <c r="DB318" t="e">
        <f>INDEX('Data_Price '!AK$2:AK$1266,MATCH(Data!$DN318,'Data_Price '!$AT$2:$AT$1266,0))</f>
        <v>#N/A</v>
      </c>
      <c r="DC318" t="e">
        <f>INDEX('Data_Price '!AL$2:AL$1266,MATCH(Data!$DN318,'Data_Price '!$AT$2:$AT$1266,0))</f>
        <v>#N/A</v>
      </c>
      <c r="DD318" t="e">
        <f>INDEX('Data_Price '!AM$2:AM$1266,MATCH(Data!$DN318,'Data_Price '!$AT$2:$AT$1266,0))</f>
        <v>#N/A</v>
      </c>
      <c r="DE318" t="e">
        <f>INDEX('Data_Price '!AN$2:AN$1266,MATCH(Data!$DN318,'Data_Price '!$AT$2:$AT$1266,0))</f>
        <v>#N/A</v>
      </c>
      <c r="DF318" t="e">
        <f>INDEX('Data_Price '!AO$2:AO$1266,MATCH(Data!$DN318,'Data_Price '!$AT$2:$AT$1266,0))</f>
        <v>#N/A</v>
      </c>
      <c r="DG318" t="e">
        <f>INDEX('Data_Price '!AP$2:AP$1266,MATCH(Data!$DN318,'Data_Price '!$AT$2:$AT$1266,0))</f>
        <v>#N/A</v>
      </c>
      <c r="DH318" t="e">
        <f>INDEX('Data_Price '!AQ$2:AQ$1266,MATCH(Data!$DN318,'Data_Price '!$AT$2:$AT$1266,0))</f>
        <v>#N/A</v>
      </c>
      <c r="DI318" t="e">
        <f>INDEX('Data_Price '!AR$2:AR$1266,MATCH(Data!$DN318,'Data_Price '!$AT$2:$AT$1266,0))</f>
        <v>#N/A</v>
      </c>
      <c r="DJ318" s="89" t="e">
        <f t="shared" si="180"/>
        <v>#N/A</v>
      </c>
      <c r="DK318" s="89" t="e">
        <f t="shared" si="181"/>
        <v>#N/A</v>
      </c>
      <c r="DL318" s="89" t="e">
        <f t="shared" si="182"/>
        <v>#N/A</v>
      </c>
      <c r="DM318" s="219" t="str">
        <f t="shared" si="183"/>
        <v>Kenja 88</v>
      </c>
      <c r="DN318" s="89" t="str">
        <f t="shared" si="184"/>
        <v xml:space="preserve"> VölklKenja 88156 Women's</v>
      </c>
      <c r="DO318" s="221" t="s">
        <v>312</v>
      </c>
    </row>
    <row r="319" spans="2:119" ht="15.6" customHeight="1">
      <c r="B319" s="219" t="b">
        <f t="array" ref="B319">IF(OR(ISERROR(K319:P319)),FALSE,TRUE)</f>
        <v>1</v>
      </c>
      <c r="C319" s="43" t="b">
        <f>OR(BR319=Driver!$G$50,Data!BR750=Driver!$H$50)</f>
        <v>1</v>
      </c>
      <c r="D319" s="43" t="b">
        <f>OR(BV319=Driver!$G$51,BV319=Driver!$H$51)</f>
        <v>1</v>
      </c>
      <c r="E319" s="43" t="b">
        <f>AND(BX319&gt;Driver!$F$54,BX319&lt;Driver!$G$54)</f>
        <v>0</v>
      </c>
      <c r="F319" s="43" t="b">
        <f>CL319&gt;Driver!$F$56</f>
        <v>1</v>
      </c>
      <c r="G319" s="43" t="b">
        <f>AND(CB319&gt;Driver!$F$55,CB319&lt;Driver!$G$55)</f>
        <v>0</v>
      </c>
      <c r="H319" s="43" t="b">
        <f t="shared" si="148"/>
        <v>0</v>
      </c>
      <c r="I319" s="43">
        <f t="shared" si="149"/>
        <v>0</v>
      </c>
      <c r="J319" s="43" t="b">
        <f t="array" ref="J319">NOT(OR(($H$9:$H$1273=TRUE)*($I$9:$I$1273&gt;0)*($BT$9:$BT$1273=BT319)*($K$9:$K$1273&gt;K319)))</f>
        <v>1</v>
      </c>
      <c r="K319" s="72">
        <f t="shared" si="150"/>
        <v>0.81433157327845795</v>
      </c>
      <c r="L319" s="72">
        <f t="shared" si="151"/>
        <v>0.91836942320460913</v>
      </c>
      <c r="M319" s="72">
        <f t="shared" si="152"/>
        <v>0.71029372335230678</v>
      </c>
      <c r="N319" s="72">
        <f t="shared" si="153"/>
        <v>0.57977541311547065</v>
      </c>
      <c r="O319" s="72">
        <f t="shared" si="154"/>
        <v>0.62637981171103674</v>
      </c>
      <c r="P319" s="72">
        <f t="shared" si="155"/>
        <v>0.92472594523041285</v>
      </c>
      <c r="Q319" s="72"/>
      <c r="R319" s="72"/>
      <c r="S319" s="72">
        <f t="shared" si="156"/>
        <v>0.45544811588210998</v>
      </c>
      <c r="T319" s="72">
        <f t="shared" si="157"/>
        <v>0.49273912564797862</v>
      </c>
      <c r="U319" s="72">
        <f t="shared" si="158"/>
        <v>0.58547956457251638</v>
      </c>
      <c r="V319" s="72">
        <f t="shared" si="159"/>
        <v>0.56993096228390339</v>
      </c>
      <c r="W319" s="72">
        <f t="shared" si="160"/>
        <v>0.79304267161410014</v>
      </c>
      <c r="X319" s="72">
        <f t="shared" si="161"/>
        <v>8.1630576795390819E-2</v>
      </c>
      <c r="Y319" s="72">
        <f t="shared" si="162"/>
        <v>0.28970627664769327</v>
      </c>
      <c r="Z319" s="72">
        <f t="shared" si="163"/>
        <v>0.42022458688452935</v>
      </c>
      <c r="AA319" s="72">
        <f t="shared" si="164"/>
        <v>0.37362018828896326</v>
      </c>
      <c r="AB319" s="72">
        <f t="shared" si="165"/>
        <v>7.5274054769587206E-2</v>
      </c>
      <c r="AC319" s="72"/>
      <c r="AD319" s="72"/>
      <c r="AE319" s="72">
        <f t="shared" si="166"/>
        <v>0.54455188411789002</v>
      </c>
      <c r="AF319" s="72">
        <f t="shared" si="167"/>
        <v>0.50726087435202138</v>
      </c>
      <c r="AG319" s="72">
        <f t="shared" si="168"/>
        <v>0.41452043542748368</v>
      </c>
      <c r="AH319" s="72">
        <f t="shared" si="169"/>
        <v>0.43006903771609661</v>
      </c>
      <c r="AI319" s="72">
        <f t="shared" si="170"/>
        <v>0.20695732838589981</v>
      </c>
      <c r="AJ319" s="72">
        <f>(AV319-Driver!$K$179)/(Driver!$L$179-Driver!$K$179)</f>
        <v>0.17258883248730961</v>
      </c>
      <c r="AK319" s="72">
        <f>(AW319-Driver!$K$180)/(Driver!$L$180-Driver!$K$180)</f>
        <v>0.34830504327816009</v>
      </c>
      <c r="AL319" s="72">
        <f>(AX319-Driver!$K$181)/(Driver!$L$181-Driver!$K$181)</f>
        <v>0.52191235059760954</v>
      </c>
      <c r="AM319" s="72">
        <f>(AY319-Driver!$K$182)/(Driver!$L$182-Driver!$K$182)</f>
        <v>7.3764832808083117E-2</v>
      </c>
      <c r="AN319" s="72">
        <f>(AZ319-Driver!$K$183)/(Driver!$L$183-Driver!$K$183)</f>
        <v>0.32949346405228763</v>
      </c>
      <c r="AO319" s="72"/>
      <c r="AP319" s="72"/>
      <c r="AQ319" s="72">
        <f>(BC319-Driver!$K$188)/(Driver!$L$188-Driver!$K$188)</f>
        <v>7.5448115882109992E-2</v>
      </c>
      <c r="AR319" s="72">
        <f>MIN((BD319-Driver!$K$189)/(Driver!$L$189-Driver!$K$189),100%)</f>
        <v>4.2739125647978667E-2</v>
      </c>
      <c r="AS319" s="72">
        <f>(BE319-Driver!$K$190)/(Driver!$L$190-Driver!$K$190)</f>
        <v>9.5479564572516315E-2</v>
      </c>
      <c r="AT319" s="72">
        <f>(BF319-Driver!$K$191)/(Driver!$L$191-Driver!$K$191)</f>
        <v>7.9930962283903423E-2</v>
      </c>
      <c r="AU319" s="72">
        <f>(BG319-Driver!$K$192)/(Driver!$L$192-Driver!$K$192)</f>
        <v>4.3042671614100178E-2</v>
      </c>
      <c r="AV319" s="70">
        <f t="shared" si="171"/>
        <v>3.632478632478632</v>
      </c>
      <c r="AW319" s="70">
        <f t="shared" si="172"/>
        <v>35.817305385562385</v>
      </c>
      <c r="AX319" s="70">
        <f t="shared" si="173"/>
        <v>5.6972111553784863</v>
      </c>
      <c r="AY319" s="70">
        <f>IFERROR(Driver!$K$19/Data!BH319/Data!BI319*Data!BK319*Data!BL319,"")</f>
        <v>9.0310164658951045E-2</v>
      </c>
      <c r="AZ319" s="70">
        <f t="shared" si="174"/>
        <v>30.02978406552495</v>
      </c>
      <c r="BA319" s="70"/>
      <c r="BB319" s="70"/>
      <c r="BC319" s="70">
        <f t="shared" si="175"/>
        <v>39.13546221484269</v>
      </c>
      <c r="BD319" s="70">
        <f t="shared" si="176"/>
        <v>5.5031597746943257</v>
      </c>
      <c r="BE319" s="70">
        <f t="shared" si="177"/>
        <v>9.5640920837385429E-2</v>
      </c>
      <c r="BF319" s="70">
        <f t="shared" si="178"/>
        <v>9.0276406431755145</v>
      </c>
      <c r="BG319" s="70">
        <f t="shared" si="179"/>
        <v>0.16298701298701299</v>
      </c>
      <c r="BH319" s="67">
        <f>MAX((CE319-Driver!$F$200)/(Driver!$G$200-Driver!$F$200)*$BI$1,1)</f>
        <v>5.6972111553784863</v>
      </c>
      <c r="BI319" s="67">
        <f>MAX($BI$1*(BY319-Driver!$F$201)/(Driver!$G$201-Driver!$F$201),1)</f>
        <v>6.8987341772151902</v>
      </c>
      <c r="BJ319" s="67">
        <f>(CB319-Driver!$F$206)/(Driver!$G$206-Driver!$F$206)*$BI$1</f>
        <v>5.3968253968253963</v>
      </c>
      <c r="BK319" s="67">
        <f>(CD319-Driver!$F$203)/(Driver!$G$203-Driver!$F$203)*$BI$1</f>
        <v>3.0275229357798166</v>
      </c>
      <c r="BL319" s="67">
        <f>MAX((CR319-Driver!$F$202)/(Driver!$G$202-Driver!$F$202)*$BI$1,1)</f>
        <v>5.8620689655172411</v>
      </c>
      <c r="BM319" s="67">
        <f>MAX((CH319-Driver!$F$204)/(Driver!$G$204-Driver!$F$204)*$BI$1,1)</f>
        <v>2.6923076923076921</v>
      </c>
      <c r="BN319" s="67">
        <f>(CI319-Driver!$F$205)/(Driver!$G$205-Driver!$F$205)*$BI$1</f>
        <v>4.3529411764705888</v>
      </c>
      <c r="BO319" s="67">
        <f>(CK319-Driver!$F$207)/(Driver!$G$207-Driver!$F$207)*$BI$1</f>
        <v>2.1199586349534645</v>
      </c>
      <c r="BP319" s="67">
        <f>(CM319-Driver!$F$208)/(Driver!$G$208-Driver!$F$208)*$BI$1</f>
        <v>2.3888888888888888</v>
      </c>
      <c r="BQ319" s="67">
        <f>(CL319-Driver!$F$209)/(Driver!$G$209-Driver!$F$209)*$BI$1</f>
        <v>2.5</v>
      </c>
      <c r="BR319" s="28" t="s">
        <v>155</v>
      </c>
      <c r="BS319" s="8" t="s">
        <v>262</v>
      </c>
      <c r="BT319" s="9" t="s">
        <v>522</v>
      </c>
      <c r="BU319" s="10">
        <v>170</v>
      </c>
      <c r="BV319" s="9" t="s">
        <v>158</v>
      </c>
      <c r="BW319" s="10">
        <v>170</v>
      </c>
      <c r="BX319" s="10">
        <v>169.9</v>
      </c>
      <c r="BY319" s="10">
        <v>117</v>
      </c>
      <c r="BZ319" s="10">
        <v>143</v>
      </c>
      <c r="CA319" s="10">
        <v>137</v>
      </c>
      <c r="CB319" s="10">
        <v>98</v>
      </c>
      <c r="CC319" s="10">
        <v>122</v>
      </c>
      <c r="CD319" s="10">
        <v>16</v>
      </c>
      <c r="CE319" s="10">
        <v>1901</v>
      </c>
      <c r="CF319" s="10">
        <v>0.99</v>
      </c>
      <c r="CG319" s="10">
        <v>1875</v>
      </c>
      <c r="CH319" s="10">
        <v>164</v>
      </c>
      <c r="CI319" s="10">
        <v>107</v>
      </c>
      <c r="CJ319" s="10">
        <v>50</v>
      </c>
      <c r="CK319" s="10">
        <v>315</v>
      </c>
      <c r="CL319" s="10">
        <v>16</v>
      </c>
      <c r="CM319" s="10">
        <v>215</v>
      </c>
      <c r="CN319" s="10">
        <v>0.316</v>
      </c>
      <c r="CO319" s="10">
        <v>154</v>
      </c>
      <c r="CP319" s="10">
        <v>117</v>
      </c>
      <c r="CQ319" s="10">
        <v>161</v>
      </c>
      <c r="CR319" s="10">
        <v>6</v>
      </c>
      <c r="CS319" s="10">
        <v>10.8</v>
      </c>
      <c r="CT319" s="9" t="s">
        <v>188</v>
      </c>
      <c r="CU319" s="10"/>
      <c r="CV319" s="10"/>
      <c r="CW319" s="10"/>
      <c r="CX319" t="e">
        <f>INDEX('Data_Price '!AG$2:AG$1266,MATCH(Data!$DN319,'Data_Price '!$AT$2:$AT$1266,0))</f>
        <v>#N/A</v>
      </c>
      <c r="CY319" t="e">
        <f>INDEX('Data_Price '!AH$2:AH$1266,MATCH(Data!$DN319,'Data_Price '!$AT$2:$AT$1266,0))</f>
        <v>#N/A</v>
      </c>
      <c r="CZ319" t="e">
        <f>INDEX('Data_Price '!AI$2:AI$1266,MATCH(Data!$DN319,'Data_Price '!$AT$2:$AT$1266,0))</f>
        <v>#N/A</v>
      </c>
      <c r="DA319" t="e">
        <f>INDEX('Data_Price '!AJ$2:AJ$1266,MATCH(Data!$DN319,'Data_Price '!$AT$2:$AT$1266,0))</f>
        <v>#N/A</v>
      </c>
      <c r="DB319" t="e">
        <f>INDEX('Data_Price '!AK$2:AK$1266,MATCH(Data!$DN319,'Data_Price '!$AT$2:$AT$1266,0))</f>
        <v>#N/A</v>
      </c>
      <c r="DC319" t="e">
        <f>INDEX('Data_Price '!AL$2:AL$1266,MATCH(Data!$DN319,'Data_Price '!$AT$2:$AT$1266,0))</f>
        <v>#N/A</v>
      </c>
      <c r="DD319" t="e">
        <f>INDEX('Data_Price '!AM$2:AM$1266,MATCH(Data!$DN319,'Data_Price '!$AT$2:$AT$1266,0))</f>
        <v>#N/A</v>
      </c>
      <c r="DE319" t="e">
        <f>INDEX('Data_Price '!AN$2:AN$1266,MATCH(Data!$DN319,'Data_Price '!$AT$2:$AT$1266,0))</f>
        <v>#N/A</v>
      </c>
      <c r="DF319" t="e">
        <f>INDEX('Data_Price '!AO$2:AO$1266,MATCH(Data!$DN319,'Data_Price '!$AT$2:$AT$1266,0))</f>
        <v>#N/A</v>
      </c>
      <c r="DG319" t="e">
        <f>INDEX('Data_Price '!AP$2:AP$1266,MATCH(Data!$DN319,'Data_Price '!$AT$2:$AT$1266,0))</f>
        <v>#N/A</v>
      </c>
      <c r="DH319" t="e">
        <f>INDEX('Data_Price '!AQ$2:AQ$1266,MATCH(Data!$DN319,'Data_Price '!$AT$2:$AT$1266,0))</f>
        <v>#N/A</v>
      </c>
      <c r="DI319" t="e">
        <f>INDEX('Data_Price '!AR$2:AR$1266,MATCH(Data!$DN319,'Data_Price '!$AT$2:$AT$1266,0))</f>
        <v>#N/A</v>
      </c>
      <c r="DJ319" s="89" t="e">
        <f t="shared" si="180"/>
        <v>#N/A</v>
      </c>
      <c r="DK319" s="89" t="e">
        <f t="shared" si="181"/>
        <v>#N/A</v>
      </c>
      <c r="DL319" s="89" t="e">
        <f t="shared" si="182"/>
        <v>#N/A</v>
      </c>
      <c r="DM319" s="219" t="str">
        <f t="shared" si="183"/>
        <v>Mindbender 99 Ti</v>
      </c>
      <c r="DN319" s="89" t="str">
        <f t="shared" si="184"/>
        <v xml:space="preserve"> K2Mindbender 99 Ti170 Unisex</v>
      </c>
      <c r="DO319" s="221"/>
    </row>
    <row r="320" spans="2:119" ht="15.6" customHeight="1">
      <c r="B320" s="219" t="b">
        <f t="array" ref="B320">IF(OR(ISERROR(K320:P320)),FALSE,TRUE)</f>
        <v>1</v>
      </c>
      <c r="C320" s="43" t="b">
        <f>OR(BR320=Driver!$G$50,Data!BR915=Driver!$H$50)</f>
        <v>1</v>
      </c>
      <c r="D320" s="43" t="b">
        <f>OR(BV320=Driver!$G$51,BV320=Driver!$H$51)</f>
        <v>0</v>
      </c>
      <c r="E320" s="43" t="b">
        <f>AND(BX320&gt;Driver!$F$54,BX320&lt;Driver!$G$54)</f>
        <v>0</v>
      </c>
      <c r="F320" s="43" t="b">
        <f>CL320&gt;Driver!$F$56</f>
        <v>1</v>
      </c>
      <c r="G320" s="43" t="b">
        <f>AND(CB320&gt;Driver!$F$55,CB320&lt;Driver!$G$55)</f>
        <v>1</v>
      </c>
      <c r="H320" s="43" t="b">
        <f t="shared" si="148"/>
        <v>0</v>
      </c>
      <c r="I320" s="43">
        <f t="shared" si="149"/>
        <v>0</v>
      </c>
      <c r="J320" s="43" t="b">
        <f t="array" ref="J320">NOT(OR(($H$9:$H$1273=TRUE)*($I$9:$I$1273&gt;0)*($BT$9:$BT$1273=BT320)*($K$9:$K$1273&gt;K320)))</f>
        <v>1</v>
      </c>
      <c r="K320" s="72">
        <f t="shared" si="150"/>
        <v>0.79448204251551335</v>
      </c>
      <c r="L320" s="72">
        <f t="shared" si="151"/>
        <v>0.88027693889352954</v>
      </c>
      <c r="M320" s="72">
        <f t="shared" si="152"/>
        <v>0.70868714613749717</v>
      </c>
      <c r="N320" s="72">
        <f t="shared" si="153"/>
        <v>0.58167258632738483</v>
      </c>
      <c r="O320" s="72">
        <f t="shared" si="154"/>
        <v>0.63943414868475923</v>
      </c>
      <c r="P320" s="72">
        <f t="shared" si="155"/>
        <v>0.90495470340034745</v>
      </c>
      <c r="Q320" s="72"/>
      <c r="R320" s="72"/>
      <c r="S320" s="72">
        <f t="shared" si="156"/>
        <v>0.47164410501062681</v>
      </c>
      <c r="T320" s="72">
        <f t="shared" si="157"/>
        <v>0.5137419369507874</v>
      </c>
      <c r="U320" s="72">
        <f t="shared" si="158"/>
        <v>0.5243080083072641</v>
      </c>
      <c r="V320" s="72">
        <f t="shared" si="159"/>
        <v>0.5728104670585954</v>
      </c>
      <c r="W320" s="72">
        <f t="shared" si="160"/>
        <v>0.80999646351526589</v>
      </c>
      <c r="X320" s="72">
        <f t="shared" si="161"/>
        <v>0.11972306110647046</v>
      </c>
      <c r="Y320" s="72">
        <f t="shared" si="162"/>
        <v>0.29131285386250283</v>
      </c>
      <c r="Z320" s="72">
        <f t="shared" si="163"/>
        <v>0.41832741367261517</v>
      </c>
      <c r="AA320" s="72">
        <f t="shared" si="164"/>
        <v>0.36056585131524077</v>
      </c>
      <c r="AB320" s="72">
        <f t="shared" si="165"/>
        <v>9.5045296599652551E-2</v>
      </c>
      <c r="AC320" s="72"/>
      <c r="AD320" s="72"/>
      <c r="AE320" s="72">
        <f t="shared" si="166"/>
        <v>0.52835589498937319</v>
      </c>
      <c r="AF320" s="72">
        <f t="shared" si="167"/>
        <v>0.4862580630492126</v>
      </c>
      <c r="AG320" s="72">
        <f t="shared" si="168"/>
        <v>0.4756919916927359</v>
      </c>
      <c r="AH320" s="72">
        <f t="shared" si="169"/>
        <v>0.42718953294140466</v>
      </c>
      <c r="AI320" s="72">
        <f t="shared" si="170"/>
        <v>0.19000353648473417</v>
      </c>
      <c r="AJ320" s="72">
        <f>(AV320-Driver!$K$179)/(Driver!$L$179-Driver!$K$179)</f>
        <v>0.37394247038917089</v>
      </c>
      <c r="AK320" s="72">
        <f>(AW320-Driver!$K$180)/(Driver!$L$180-Driver!$K$180)</f>
        <v>0.36678303278254981</v>
      </c>
      <c r="AL320" s="72">
        <f>(AX320-Driver!$K$181)/(Driver!$L$181-Driver!$K$181)</f>
        <v>0.52001517738569536</v>
      </c>
      <c r="AM320" s="72">
        <f>(AY320-Driver!$K$182)/(Driver!$L$182-Driver!$K$182)</f>
        <v>8.6819169781805566E-2</v>
      </c>
      <c r="AN320" s="72">
        <f>(AZ320-Driver!$K$183)/(Driver!$L$183-Driver!$K$183)</f>
        <v>0.34926470588235298</v>
      </c>
      <c r="AO320" s="72"/>
      <c r="AP320" s="72"/>
      <c r="AQ320" s="72">
        <f>(BC320-Driver!$K$188)/(Driver!$L$188-Driver!$K$188)</f>
        <v>9.1644105010626822E-2</v>
      </c>
      <c r="AR320" s="72">
        <f>MIN((BD320-Driver!$K$189)/(Driver!$L$189-Driver!$K$189),100%)</f>
        <v>6.374193695078742E-2</v>
      </c>
      <c r="AS320" s="72">
        <f>(BE320-Driver!$K$190)/(Driver!$L$190-Driver!$K$190)</f>
        <v>3.4308008307264118E-2</v>
      </c>
      <c r="AT320" s="72">
        <f>(BF320-Driver!$K$191)/(Driver!$L$191-Driver!$K$191)</f>
        <v>8.2810467058595336E-2</v>
      </c>
      <c r="AU320" s="72">
        <f>(BG320-Driver!$K$192)/(Driver!$L$192-Driver!$K$192)</f>
        <v>5.9996463515265823E-2</v>
      </c>
      <c r="AV320" s="70">
        <f t="shared" si="171"/>
        <v>7.8703703703703702</v>
      </c>
      <c r="AW320" s="70">
        <f t="shared" si="172"/>
        <v>37.618149194408332</v>
      </c>
      <c r="AX320" s="70">
        <f t="shared" si="173"/>
        <v>5.6801365964712582</v>
      </c>
      <c r="AY320" s="70">
        <f>IFERROR(Driver!$K$19/Data!BH320/Data!BI320*Data!BK320*Data!BL320,"")</f>
        <v>0.10629256815300626</v>
      </c>
      <c r="AZ320" s="70">
        <f t="shared" si="174"/>
        <v>31.831720029784069</v>
      </c>
      <c r="BA320" s="70"/>
      <c r="BB320" s="70"/>
      <c r="BC320" s="70">
        <f t="shared" si="175"/>
        <v>47.536434368494135</v>
      </c>
      <c r="BD320" s="70">
        <f t="shared" si="176"/>
        <v>7.3618713602133861</v>
      </c>
      <c r="BE320" s="70">
        <f t="shared" si="177"/>
        <v>3.448027688925575E-2</v>
      </c>
      <c r="BF320" s="70">
        <f t="shared" si="178"/>
        <v>9.3528604778110047</v>
      </c>
      <c r="BG320" s="70">
        <f t="shared" si="179"/>
        <v>0.22718488447483204</v>
      </c>
      <c r="BH320" s="67">
        <f>MAX((CE320-Driver!$F$200)/(Driver!$G$200-Driver!$F$200)*$BI$1,1)</f>
        <v>5.6801365964712582</v>
      </c>
      <c r="BI320" s="67">
        <f>MAX($BI$1*(BY320-Driver!$F$201)/(Driver!$G$201-Driver!$F$201),1)</f>
        <v>7.2151898734177218</v>
      </c>
      <c r="BJ320" s="67">
        <f>(CB320-Driver!$F$206)/(Driver!$G$206-Driver!$F$206)*$BI$1</f>
        <v>6.1904761904761907</v>
      </c>
      <c r="BK320" s="67">
        <f>(CD320-Driver!$F$203)/(Driver!$G$203-Driver!$F$203)*$BI$1</f>
        <v>3.71559633027523</v>
      </c>
      <c r="BL320" s="67">
        <f>MAX((CR320-Driver!$F$202)/(Driver!$G$202-Driver!$F$202)*$BI$1,1)</f>
        <v>5.8620689655172411</v>
      </c>
      <c r="BM320" s="67">
        <f>MAX((CH320-Driver!$F$204)/(Driver!$G$204-Driver!$F$204)*$BI$1,1)</f>
        <v>5.0854700854700852</v>
      </c>
      <c r="BN320" s="67">
        <f>(CI320-Driver!$F$205)/(Driver!$G$205-Driver!$F$205)*$BI$1</f>
        <v>4.4117647058823533</v>
      </c>
      <c r="BO320" s="67">
        <f>(CK320-Driver!$F$207)/(Driver!$G$207-Driver!$F$207)*$BI$1</f>
        <v>2.0372285418821097</v>
      </c>
      <c r="BP320" s="67">
        <f>(CM320-Driver!$F$208)/(Driver!$G$208-Driver!$F$208)*$BI$1</f>
        <v>2.7555555555555555</v>
      </c>
      <c r="BQ320" s="67">
        <f>(CL320-Driver!$F$209)/(Driver!$G$209-Driver!$F$209)*$BI$1</f>
        <v>6.5625</v>
      </c>
      <c r="BR320" s="28" t="s">
        <v>155</v>
      </c>
      <c r="BS320" s="8" t="s">
        <v>332</v>
      </c>
      <c r="BT320" s="9" t="s">
        <v>410</v>
      </c>
      <c r="BU320" s="10">
        <v>179</v>
      </c>
      <c r="BV320" s="9" t="s">
        <v>163</v>
      </c>
      <c r="BW320" s="10">
        <v>179</v>
      </c>
      <c r="BX320" s="10">
        <v>177.6</v>
      </c>
      <c r="BY320" s="10">
        <v>122</v>
      </c>
      <c r="BZ320" s="10">
        <v>147</v>
      </c>
      <c r="CA320" s="10">
        <v>135</v>
      </c>
      <c r="CB320" s="10">
        <v>103</v>
      </c>
      <c r="CC320" s="10">
        <v>126</v>
      </c>
      <c r="CD320" s="10">
        <v>17.5</v>
      </c>
      <c r="CE320" s="10">
        <v>1898</v>
      </c>
      <c r="CF320" s="10">
        <v>1.07</v>
      </c>
      <c r="CG320" s="10">
        <v>2026</v>
      </c>
      <c r="CH320" s="10">
        <v>220</v>
      </c>
      <c r="CI320" s="10">
        <v>108</v>
      </c>
      <c r="CJ320" s="10">
        <v>64</v>
      </c>
      <c r="CK320" s="10">
        <v>307</v>
      </c>
      <c r="CL320" s="10">
        <v>42</v>
      </c>
      <c r="CM320" s="10">
        <v>248</v>
      </c>
      <c r="CN320" s="10">
        <v>0.64500000000000002</v>
      </c>
      <c r="CO320" s="10">
        <v>155</v>
      </c>
      <c r="CP320" s="10">
        <v>154</v>
      </c>
      <c r="CQ320" s="10">
        <v>152</v>
      </c>
      <c r="CR320" s="10">
        <v>6</v>
      </c>
      <c r="CS320" s="10">
        <v>8.6999999999999993</v>
      </c>
      <c r="CT320" s="9" t="s">
        <v>188</v>
      </c>
      <c r="CU320" s="9" t="s">
        <v>169</v>
      </c>
      <c r="CV320" s="9" t="s">
        <v>185</v>
      </c>
      <c r="CW320" s="10"/>
      <c r="CX320" t="str">
        <f>INDEX('Data_Price '!AG$2:AG$1266,MATCH(Data!$DN320,'Data_Price '!$AT$2:$AT$1266,0))</f>
        <v>Nordica Santa Ana 104 Free with Tyrolia Bindings 179cm (1101165)</v>
      </c>
      <c r="CY320" t="str">
        <f>INDEX('Data_Price '!AH$2:AH$1266,MATCH(Data!$DN320,'Data_Price '!$AT$2:$AT$1266,0))</f>
        <v>SidelineSwap</v>
      </c>
      <c r="CZ320">
        <f>INDEX('Data_Price '!AI$2:AI$1266,MATCH(Data!$DN320,'Data_Price '!$AT$2:$AT$1266,0))</f>
        <v>499</v>
      </c>
      <c r="DA320" t="str">
        <f>INDEX('Data_Price '!AJ$2:AJ$1266,MATCH(Data!$DN320,'Data_Price '!$AT$2:$AT$1266,0))</f>
        <v>https://tinyurl.com/y7btxbz2</v>
      </c>
      <c r="DB320" t="str">
        <f>INDEX('Data_Price '!AK$2:AK$1266,MATCH(Data!$DN320,'Data_Price '!$AT$2:$AT$1266,0))</f>
        <v>Nordica Santa Ana 104 Free Skis - Women's 2022</v>
      </c>
      <c r="DC320" t="str">
        <f>INDEX('Data_Price '!AL$2:AL$1266,MATCH(Data!$DN320,'Data_Price '!$AT$2:$AT$1266,0))</f>
        <v>BlueZone Sports</v>
      </c>
      <c r="DD320">
        <f>INDEX('Data_Price '!AM$2:AM$1266,MATCH(Data!$DN320,'Data_Price '!$AT$2:$AT$1266,0))</f>
        <v>562.49</v>
      </c>
      <c r="DE320" t="str">
        <f>INDEX('Data_Price '!AN$2:AN$1266,MATCH(Data!$DN320,'Data_Price '!$AT$2:$AT$1266,0))</f>
        <v>https://tinyurl.com/y9ntp68a</v>
      </c>
      <c r="DF320" t="str">
        <f>INDEX('Data_Price '!AO$2:AO$1266,MATCH(Data!$DN320,'Data_Price '!$AT$2:$AT$1266,0))</f>
        <v>2021 Nordica Santa Ana 104 Free + Marker Griffon 13 Demo - 179cm -  - Ski Town All-Stars -  Skis</v>
      </c>
      <c r="DG320" t="str">
        <f>INDEX('Data_Price '!AP$2:AP$1266,MATCH(Data!$DN320,'Data_Price '!$AT$2:$AT$1266,0))</f>
        <v>Ski Town All-Stars</v>
      </c>
      <c r="DH320">
        <f>INDEX('Data_Price '!AQ$2:AQ$1266,MATCH(Data!$DN320,'Data_Price '!$AT$2:$AT$1266,0))</f>
        <v>574.99</v>
      </c>
      <c r="DI320" t="str">
        <f>INDEX('Data_Price '!AR$2:AR$1266,MATCH(Data!$DN320,'Data_Price '!$AT$2:$AT$1266,0))</f>
        <v>https://tinyurl.com/yc9bnq2r</v>
      </c>
      <c r="DJ320" s="89" t="str">
        <f t="shared" si="180"/>
        <v>https://tinyurl.com/y7btxbz2</v>
      </c>
      <c r="DK320" s="89" t="str">
        <f t="shared" si="181"/>
        <v>https://tinyurl.com/y9ntp68a</v>
      </c>
      <c r="DL320" s="89" t="str">
        <f t="shared" si="182"/>
        <v>https://tinyurl.com/yc9bnq2r</v>
      </c>
      <c r="DM320" s="219" t="str">
        <f t="shared" si="183"/>
        <v>Santa Ana 104 Free</v>
      </c>
      <c r="DN320" s="89" t="str">
        <f t="shared" si="184"/>
        <v xml:space="preserve"> NordicaSanta Ana 104 Free179 Women's</v>
      </c>
      <c r="DO320" s="221" t="s">
        <v>434</v>
      </c>
    </row>
    <row r="321" spans="2:119" ht="15.6" customHeight="1">
      <c r="B321" s="219" t="b">
        <f t="array" ref="B321">IF(OR(ISERROR(K321:P321)),FALSE,TRUE)</f>
        <v>1</v>
      </c>
      <c r="C321" s="43" t="b">
        <f>OR(BR321=Driver!$G$50,Data!BR856=Driver!$H$50)</f>
        <v>1</v>
      </c>
      <c r="D321" s="43" t="b">
        <f>OR(BV321=Driver!$G$51,BV321=Driver!$H$51)</f>
        <v>1</v>
      </c>
      <c r="E321" s="43" t="b">
        <f>AND(BX321&gt;Driver!$F$54,BX321&lt;Driver!$G$54)</f>
        <v>0</v>
      </c>
      <c r="F321" s="43" t="b">
        <f>CL321&gt;Driver!$F$56</f>
        <v>1</v>
      </c>
      <c r="G321" s="43" t="b">
        <f>AND(CB321&gt;Driver!$F$55,CB321&lt;Driver!$G$55)</f>
        <v>0</v>
      </c>
      <c r="H321" s="43" t="b">
        <f t="shared" si="148"/>
        <v>0</v>
      </c>
      <c r="I321" s="43">
        <f t="shared" si="149"/>
        <v>0</v>
      </c>
      <c r="J321" s="43" t="b">
        <f t="array" ref="J321">NOT(OR(($H$9:$H$1273=TRUE)*($I$9:$I$1273&gt;0)*($BT$9:$BT$1273=BT321)*($K$9:$K$1273&gt;K321)))</f>
        <v>1</v>
      </c>
      <c r="K321" s="72">
        <f t="shared" si="150"/>
        <v>0.87483240722257594</v>
      </c>
      <c r="L321" s="72">
        <f t="shared" si="151"/>
        <v>0.98832624998852592</v>
      </c>
      <c r="M321" s="72">
        <f t="shared" si="152"/>
        <v>0.76133856445662584</v>
      </c>
      <c r="N321" s="72">
        <f t="shared" si="153"/>
        <v>0.62593996127205065</v>
      </c>
      <c r="O321" s="72">
        <f t="shared" si="154"/>
        <v>0.66856220516806775</v>
      </c>
      <c r="P321" s="72">
        <f t="shared" si="155"/>
        <v>0.98951352692975925</v>
      </c>
      <c r="Q321" s="72"/>
      <c r="R321" s="72"/>
      <c r="S321" s="72">
        <f t="shared" si="156"/>
        <v>0.44221965437539468</v>
      </c>
      <c r="T321" s="72">
        <f t="shared" si="157"/>
        <v>0.45516030601517099</v>
      </c>
      <c r="U321" s="72">
        <f t="shared" si="158"/>
        <v>0.63459178025201313</v>
      </c>
      <c r="V321" s="72">
        <f t="shared" si="159"/>
        <v>0.57116554374800088</v>
      </c>
      <c r="W321" s="72">
        <f t="shared" si="160"/>
        <v>0.80318181818181822</v>
      </c>
      <c r="X321" s="72">
        <f t="shared" si="161"/>
        <v>1.1673750011474082E-2</v>
      </c>
      <c r="Y321" s="72">
        <f t="shared" si="162"/>
        <v>0.23866143554337413</v>
      </c>
      <c r="Z321" s="72">
        <f t="shared" si="163"/>
        <v>0.37406003872794941</v>
      </c>
      <c r="AA321" s="72">
        <f t="shared" si="164"/>
        <v>0.3314377948319322</v>
      </c>
      <c r="AB321" s="72">
        <f t="shared" si="165"/>
        <v>1.0486473070240698E-2</v>
      </c>
      <c r="AC321" s="72"/>
      <c r="AD321" s="72"/>
      <c r="AE321" s="72">
        <f t="shared" si="166"/>
        <v>0.55778034562460532</v>
      </c>
      <c r="AF321" s="72">
        <f t="shared" si="167"/>
        <v>0.54483969398482901</v>
      </c>
      <c r="AG321" s="72">
        <f t="shared" si="168"/>
        <v>0.36540821974798687</v>
      </c>
      <c r="AH321" s="72">
        <f t="shared" si="169"/>
        <v>0.42883445625199912</v>
      </c>
      <c r="AI321" s="72">
        <f t="shared" si="170"/>
        <v>0.19681818181818184</v>
      </c>
      <c r="AJ321" s="72">
        <f>(AV321-Driver!$K$179)/(Driver!$L$179-Driver!$K$179)</f>
        <v>0.26589315929417451</v>
      </c>
      <c r="AK321" s="72">
        <f>(AW321-Driver!$K$180)/(Driver!$L$180-Driver!$K$180)</f>
        <v>0.28398530846750886</v>
      </c>
      <c r="AL321" s="72">
        <f>(AX321-Driver!$K$181)/(Driver!$L$181-Driver!$K$181)</f>
        <v>0.4757478024410296</v>
      </c>
      <c r="AM321" s="72">
        <f>(AY321-Driver!$K$182)/(Driver!$L$182-Driver!$K$182)</f>
        <v>0.11594722626511415</v>
      </c>
      <c r="AN321" s="72">
        <f>(AZ321-Driver!$K$183)/(Driver!$L$183-Driver!$K$183)</f>
        <v>0.26470588235294112</v>
      </c>
      <c r="AO321" s="72"/>
      <c r="AP321" s="72"/>
      <c r="AQ321" s="72">
        <f>(BC321-Driver!$K$188)/(Driver!$L$188-Driver!$K$188)</f>
        <v>6.2219654375394673E-2</v>
      </c>
      <c r="AR321" s="72">
        <f>MIN((BD321-Driver!$K$189)/(Driver!$L$189-Driver!$K$189),100%)</f>
        <v>5.1603060151709807E-3</v>
      </c>
      <c r="AS321" s="72">
        <f>(BE321-Driver!$K$190)/(Driver!$L$190-Driver!$K$190)</f>
        <v>0.14459178025201311</v>
      </c>
      <c r="AT321" s="72">
        <f>(BF321-Driver!$K$191)/(Driver!$L$191-Driver!$K$191)</f>
        <v>8.116554374800089E-2</v>
      </c>
      <c r="AU321" s="72">
        <f>(BG321-Driver!$K$192)/(Driver!$L$192-Driver!$K$192)</f>
        <v>5.318181818181817E-2</v>
      </c>
      <c r="AV321" s="70">
        <f t="shared" si="171"/>
        <v>5.5962555962555962</v>
      </c>
      <c r="AW321" s="70">
        <f t="shared" si="172"/>
        <v>29.548777297435841</v>
      </c>
      <c r="AX321" s="70">
        <f t="shared" si="173"/>
        <v>5.2817302219692666</v>
      </c>
      <c r="AY321" s="70">
        <f>IFERROR(Driver!$K$19/Data!BH321/Data!BI321*Data!BK321*Data!BL321,"")</f>
        <v>0.14195400026181151</v>
      </c>
      <c r="AZ321" s="70">
        <f t="shared" si="174"/>
        <v>24.125093075204763</v>
      </c>
      <c r="BA321" s="70"/>
      <c r="BB321" s="70"/>
      <c r="BC321" s="70">
        <f t="shared" si="175"/>
        <v>32.273767268537021</v>
      </c>
      <c r="BD321" s="70">
        <f t="shared" si="176"/>
        <v>2.1775008229191504</v>
      </c>
      <c r="BE321" s="70">
        <f t="shared" si="177"/>
        <v>0.14474437545038651</v>
      </c>
      <c r="BF321" s="70">
        <f t="shared" si="178"/>
        <v>9.1670779461196563</v>
      </c>
      <c r="BG321" s="70">
        <f t="shared" si="179"/>
        <v>0.20138028996865201</v>
      </c>
      <c r="BH321" s="67">
        <f>MAX((CE321-Driver!$F$200)/(Driver!$G$200-Driver!$F$200)*$BI$1,1)</f>
        <v>5.2817302219692666</v>
      </c>
      <c r="BI321" s="67">
        <f>MAX($BI$1*(BY321-Driver!$F$201)/(Driver!$G$201-Driver!$F$201),1)</f>
        <v>7.5949367088607591</v>
      </c>
      <c r="BJ321" s="67">
        <f>(CB321-Driver!$F$206)/(Driver!$G$206-Driver!$F$206)*$BI$1</f>
        <v>9.5238095238095237</v>
      </c>
      <c r="BK321" s="67">
        <f>(CD321-Driver!$F$203)/(Driver!$G$203-Driver!$F$203)*$BI$1</f>
        <v>4.1284403669724767</v>
      </c>
      <c r="BL321" s="67">
        <f>MAX((CR321-Driver!$F$202)/(Driver!$G$202-Driver!$F$202)*$BI$1,1)</f>
        <v>6.8965517241379315</v>
      </c>
      <c r="BM321" s="67">
        <f>MAX((CH321-Driver!$F$204)/(Driver!$G$204-Driver!$F$204)*$BI$1,1)</f>
        <v>2.3504273504273505</v>
      </c>
      <c r="BN321" s="67">
        <f>(CI321-Driver!$F$205)/(Driver!$G$205-Driver!$F$205)*$BI$1</f>
        <v>3.1764705882352939</v>
      </c>
      <c r="BO321" s="67">
        <f>(CK321-Driver!$F$207)/(Driver!$G$207-Driver!$F$207)*$BI$1</f>
        <v>2.7300930713547049</v>
      </c>
      <c r="BP321" s="67">
        <f>(CM321-Driver!$F$208)/(Driver!$G$208-Driver!$F$208)*$BI$1</f>
        <v>1.4555555555555555</v>
      </c>
      <c r="BQ321" s="67">
        <f>(CL321-Driver!$F$209)/(Driver!$G$209-Driver!$F$209)*$BI$1</f>
        <v>2.5</v>
      </c>
      <c r="BR321" s="28" t="s">
        <v>155</v>
      </c>
      <c r="BS321" s="8" t="s">
        <v>208</v>
      </c>
      <c r="BT321" s="9" t="s">
        <v>523</v>
      </c>
      <c r="BU321" s="10">
        <v>180</v>
      </c>
      <c r="BV321" s="9" t="s">
        <v>158</v>
      </c>
      <c r="BW321" s="10">
        <v>180</v>
      </c>
      <c r="BX321" s="10">
        <v>178.7</v>
      </c>
      <c r="BY321" s="10">
        <v>128</v>
      </c>
      <c r="BZ321" s="10">
        <v>145</v>
      </c>
      <c r="CA321" s="10">
        <v>158</v>
      </c>
      <c r="CB321" s="10">
        <v>124</v>
      </c>
      <c r="CC321" s="10">
        <v>144</v>
      </c>
      <c r="CD321" s="10">
        <v>18.399999999999999</v>
      </c>
      <c r="CE321" s="10">
        <v>1828</v>
      </c>
      <c r="CF321" s="10">
        <v>1.3</v>
      </c>
      <c r="CG321" s="10">
        <v>2380</v>
      </c>
      <c r="CH321" s="10">
        <v>156</v>
      </c>
      <c r="CI321" s="10">
        <v>87</v>
      </c>
      <c r="CJ321" s="10">
        <v>61</v>
      </c>
      <c r="CK321" s="10">
        <v>374</v>
      </c>
      <c r="CL321" s="10">
        <v>16</v>
      </c>
      <c r="CM321" s="10">
        <v>131</v>
      </c>
      <c r="CN321" s="10">
        <v>0.26300000000000001</v>
      </c>
      <c r="CO321" s="10">
        <v>217</v>
      </c>
      <c r="CP321" s="10">
        <v>119</v>
      </c>
      <c r="CQ321" s="10">
        <v>157</v>
      </c>
      <c r="CR321" s="10">
        <v>9</v>
      </c>
      <c r="CS321" s="10">
        <v>10</v>
      </c>
      <c r="CT321" s="9" t="s">
        <v>178</v>
      </c>
      <c r="CU321" s="9" t="s">
        <v>185</v>
      </c>
      <c r="CV321" s="9" t="s">
        <v>198</v>
      </c>
      <c r="CW321" s="10"/>
      <c r="CX321" t="str">
        <f>INDEX('Data_Price '!AG$2:AG$1266,MATCH(Data!$DN321,'Data_Price '!$AT$2:$AT$1266,0))</f>
        <v>2022 Line Pescado Skis w/Tyrolia Attack2 13 GW Bindings (180)</v>
      </c>
      <c r="CY321" t="str">
        <f>INDEX('Data_Price '!AH$2:AH$1266,MATCH(Data!$DN321,'Data_Price '!$AT$2:$AT$1266,0))</f>
        <v>eBay - david110549</v>
      </c>
      <c r="CZ321">
        <f>INDEX('Data_Price '!AI$2:AI$1266,MATCH(Data!$DN321,'Data_Price '!$AT$2:$AT$1266,0))</f>
        <v>1019.95</v>
      </c>
      <c r="DA321" t="str">
        <f>INDEX('Data_Price '!AJ$2:AJ$1266,MATCH(Data!$DN321,'Data_Price '!$AT$2:$AT$1266,0))</f>
        <v>https://tinyurl.com/ycua54xh</v>
      </c>
      <c r="DB321" t="str">
        <f>INDEX('Data_Price '!AK$2:AK$1266,MATCH(Data!$DN321,'Data_Price '!$AT$2:$AT$1266,0))</f>
        <v>2022 Line Pescado Skis w/Tyrolia Attack2 13 GW Bindings (180)</v>
      </c>
      <c r="DC321" t="str">
        <f>INDEX('Data_Price '!AL$2:AL$1266,MATCH(Data!$DN321,'Data_Price '!$AT$2:$AT$1266,0))</f>
        <v>SkiEssentials.com</v>
      </c>
      <c r="DD321">
        <f>INDEX('Data_Price '!AM$2:AM$1266,MATCH(Data!$DN321,'Data_Price '!$AT$2:$AT$1266,0))</f>
        <v>1019.95</v>
      </c>
      <c r="DE321" t="str">
        <f>INDEX('Data_Price '!AN$2:AN$1266,MATCH(Data!$DN321,'Data_Price '!$AT$2:$AT$1266,0))</f>
        <v>https://tinyurl.com/y9s4fb83</v>
      </c>
      <c r="DF321" t="str">
        <f>INDEX('Data_Price '!AO$2:AO$1266,MATCH(Data!$DN321,'Data_Price '!$AT$2:$AT$1266,0))</f>
        <v>Line Pescado Skis 2022</v>
      </c>
      <c r="DG321" t="str">
        <f>INDEX('Data_Price '!AP$2:AP$1266,MATCH(Data!$DN321,'Data_Price '!$AT$2:$AT$1266,0))</f>
        <v>Snowcountry.eu</v>
      </c>
      <c r="DH321">
        <f>INDEX('Data_Price '!AQ$2:AQ$1266,MATCH(Data!$DN321,'Data_Price '!$AT$2:$AT$1266,0))</f>
        <v>552.30999999999995</v>
      </c>
      <c r="DI321" t="str">
        <f>INDEX('Data_Price '!AR$2:AR$1266,MATCH(Data!$DN321,'Data_Price '!$AT$2:$AT$1266,0))</f>
        <v>https://tinyurl.com/y88rhzyv</v>
      </c>
      <c r="DJ321" s="89" t="str">
        <f t="shared" si="180"/>
        <v>https://tinyurl.com/ycua54xh</v>
      </c>
      <c r="DK321" s="89" t="str">
        <f t="shared" si="181"/>
        <v>https://tinyurl.com/y9s4fb83</v>
      </c>
      <c r="DL321" s="89" t="str">
        <f t="shared" si="182"/>
        <v>https://tinyurl.com/y88rhzyv</v>
      </c>
      <c r="DM321" s="219" t="str">
        <f t="shared" si="183"/>
        <v>Pescado</v>
      </c>
      <c r="DN321" s="89" t="str">
        <f t="shared" si="184"/>
        <v xml:space="preserve"> LinePescado180 Unisex</v>
      </c>
      <c r="DO321" s="221" t="s">
        <v>524</v>
      </c>
    </row>
    <row r="322" spans="2:119" ht="15.6" customHeight="1">
      <c r="B322" s="219" t="b">
        <f t="array" ref="B322">IF(OR(ISERROR(K322:P322)),FALSE,TRUE)</f>
        <v>1</v>
      </c>
      <c r="C322" s="43" t="b">
        <f>OR(BR322=Driver!$G$50,Data!BR89=Driver!$H$50)</f>
        <v>1</v>
      </c>
      <c r="D322" s="43" t="b">
        <f>OR(BV322=Driver!$G$51,BV322=Driver!$H$51)</f>
        <v>0</v>
      </c>
      <c r="E322" s="43" t="b">
        <f>AND(BX322&gt;Driver!$F$54,BX322&lt;Driver!$G$54)</f>
        <v>1</v>
      </c>
      <c r="F322" s="43" t="b">
        <f>CL322&gt;Driver!$F$56</f>
        <v>1</v>
      </c>
      <c r="G322" s="43" t="b">
        <f>AND(CB322&gt;Driver!$F$55,CB322&lt;Driver!$G$55)</f>
        <v>0</v>
      </c>
      <c r="H322" s="43" t="b">
        <f t="shared" si="148"/>
        <v>0</v>
      </c>
      <c r="I322" s="43">
        <f t="shared" si="149"/>
        <v>0</v>
      </c>
      <c r="J322" s="43" t="b">
        <f t="array" ref="J322">NOT(OR(($H$9:$H$1273=TRUE)*($I$9:$I$1273&gt;0)*($BT$9:$BT$1273=BT322)*($K$9:$K$1273&gt;K322)))</f>
        <v>1</v>
      </c>
      <c r="K322" s="72">
        <f t="shared" si="150"/>
        <v>0.86050124510460479</v>
      </c>
      <c r="L322" s="72">
        <f t="shared" si="151"/>
        <v>0.89371387570642213</v>
      </c>
      <c r="M322" s="72">
        <f t="shared" si="152"/>
        <v>0.82728861450278746</v>
      </c>
      <c r="N322" s="72">
        <f t="shared" si="153"/>
        <v>0.83842336100644643</v>
      </c>
      <c r="O322" s="72">
        <f t="shared" si="154"/>
        <v>0.66581621047411765</v>
      </c>
      <c r="P322" s="72">
        <f t="shared" si="155"/>
        <v>0.97762627202779839</v>
      </c>
      <c r="Q322" s="72"/>
      <c r="R322" s="72"/>
      <c r="S322" s="72">
        <f t="shared" si="156"/>
        <v>0.44568806531093652</v>
      </c>
      <c r="T322" s="72">
        <f t="shared" si="157"/>
        <v>0.4846385356718278</v>
      </c>
      <c r="U322" s="72">
        <f t="shared" si="158"/>
        <v>0.89604735024456783</v>
      </c>
      <c r="V322" s="72">
        <f t="shared" si="159"/>
        <v>0.51620883155319408</v>
      </c>
      <c r="W322" s="72">
        <f t="shared" si="160"/>
        <v>0.82164273648648645</v>
      </c>
      <c r="X322" s="72">
        <f t="shared" si="161"/>
        <v>0.10628612429357787</v>
      </c>
      <c r="Y322" s="72">
        <f t="shared" si="162"/>
        <v>0.17271138549721252</v>
      </c>
      <c r="Z322" s="72">
        <f t="shared" si="163"/>
        <v>0.16157663899355357</v>
      </c>
      <c r="AA322" s="72">
        <f t="shared" si="164"/>
        <v>0.3341837895258824</v>
      </c>
      <c r="AB322" s="72">
        <f t="shared" si="165"/>
        <v>2.2373727972201551E-2</v>
      </c>
      <c r="AC322" s="72"/>
      <c r="AD322" s="72"/>
      <c r="AE322" s="72">
        <f t="shared" si="166"/>
        <v>0.55431193468906348</v>
      </c>
      <c r="AF322" s="72">
        <f t="shared" si="167"/>
        <v>0.5153614643281722</v>
      </c>
      <c r="AG322" s="72">
        <f t="shared" si="168"/>
        <v>0.10395264975543217</v>
      </c>
      <c r="AH322" s="72">
        <f t="shared" si="169"/>
        <v>0.48379116844680586</v>
      </c>
      <c r="AI322" s="72">
        <f t="shared" si="170"/>
        <v>0.17835726351351353</v>
      </c>
      <c r="AJ322" s="72">
        <f>(AV322-Driver!$K$179)/(Driver!$L$179-Driver!$K$179)</f>
        <v>0.14793328498912256</v>
      </c>
      <c r="AK322" s="72">
        <f>(AW322-Driver!$K$180)/(Driver!$L$180-Driver!$K$180)</f>
        <v>0.27544511906582003</v>
      </c>
      <c r="AL322" s="72">
        <f>(AX322-Driver!$K$181)/(Driver!$L$181-Driver!$K$181)</f>
        <v>0.26326440270663376</v>
      </c>
      <c r="AM322" s="72">
        <f>(AY322-Driver!$K$182)/(Driver!$L$182-Driver!$K$182)</f>
        <v>0.11320123157116396</v>
      </c>
      <c r="AN322" s="72">
        <f>(AZ322-Driver!$K$183)/(Driver!$L$183-Driver!$K$183)</f>
        <v>0.27659313725490198</v>
      </c>
      <c r="AO322" s="72"/>
      <c r="AP322" s="72"/>
      <c r="AQ322" s="72">
        <f>(BC322-Driver!$K$188)/(Driver!$L$188-Driver!$K$188)</f>
        <v>6.5688065310936489E-2</v>
      </c>
      <c r="AR322" s="72">
        <f>MIN((BD322-Driver!$K$189)/(Driver!$L$189-Driver!$K$189),100%)</f>
        <v>3.4638535671827869E-2</v>
      </c>
      <c r="AS322" s="72">
        <f>(BE322-Driver!$K$190)/(Driver!$L$190-Driver!$K$190)</f>
        <v>0.40604735024456784</v>
      </c>
      <c r="AT322" s="72">
        <f>(BF322-Driver!$K$191)/(Driver!$L$191-Driver!$K$191)</f>
        <v>2.6208831553194156E-2</v>
      </c>
      <c r="AU322" s="72">
        <f>(BG322-Driver!$K$192)/(Driver!$L$192-Driver!$K$192)</f>
        <v>7.1642736486486475E-2</v>
      </c>
      <c r="AV322" s="70">
        <f t="shared" si="171"/>
        <v>3.113553113553114</v>
      </c>
      <c r="AW322" s="70">
        <f t="shared" si="172"/>
        <v>28.716460166464994</v>
      </c>
      <c r="AX322" s="70">
        <f t="shared" si="173"/>
        <v>3.3693796243597038</v>
      </c>
      <c r="AY322" s="70">
        <f>IFERROR(Driver!$K$19/Data!BH322/Data!BI322*Data!BK322*Data!BL322,"")</f>
        <v>0.13859208343067794</v>
      </c>
      <c r="AZ322" s="70">
        <f t="shared" si="174"/>
        <v>25.208488458674612</v>
      </c>
      <c r="BA322" s="70"/>
      <c r="BB322" s="70"/>
      <c r="BC322" s="70">
        <f t="shared" si="175"/>
        <v>34.072856132804205</v>
      </c>
      <c r="BD322" s="70">
        <f t="shared" si="176"/>
        <v>4.7862719152010831</v>
      </c>
      <c r="BE322" s="70">
        <f t="shared" si="177"/>
        <v>0.4061533047120624</v>
      </c>
      <c r="BF322" s="70">
        <f t="shared" si="178"/>
        <v>2.9601033964707306</v>
      </c>
      <c r="BG322" s="70">
        <f t="shared" si="179"/>
        <v>0.2712851034628378</v>
      </c>
      <c r="BH322" s="67">
        <f>MAX((CE322-Driver!$F$200)/(Driver!$G$200-Driver!$F$200)*$BI$1,1)</f>
        <v>3.3693796243597038</v>
      </c>
      <c r="BI322" s="67">
        <f>MAX($BI$1*(BY322-Driver!$F$201)/(Driver!$G$201-Driver!$F$201),1)</f>
        <v>7.0253164556962027</v>
      </c>
      <c r="BJ322" s="67">
        <f>(CB322-Driver!$F$206)/(Driver!$G$206-Driver!$F$206)*$BI$1</f>
        <v>4.2857142857142856</v>
      </c>
      <c r="BK322" s="67">
        <f>(CD322-Driver!$F$203)/(Driver!$G$203-Driver!$F$203)*$BI$1</f>
        <v>2.7981651376146792</v>
      </c>
      <c r="BL322" s="67">
        <f>MAX((CR322-Driver!$F$202)/(Driver!$G$202-Driver!$F$202)*$BI$1,1)</f>
        <v>5.8620689655172411</v>
      </c>
      <c r="BM322" s="67">
        <f>MAX((CH322-Driver!$F$204)/(Driver!$G$204-Driver!$F$204)*$BI$1,1)</f>
        <v>2.9059829059829063</v>
      </c>
      <c r="BN322" s="67">
        <f>(CI322-Driver!$F$205)/(Driver!$G$205-Driver!$F$205)*$BI$1</f>
        <v>3.5882352941176472</v>
      </c>
      <c r="BO322" s="67">
        <f>(CK322-Driver!$F$207)/(Driver!$G$207-Driver!$F$207)*$BI$1</f>
        <v>1.199586349534643</v>
      </c>
      <c r="BP322" s="67">
        <f>(CM322-Driver!$F$208)/(Driver!$G$208-Driver!$F$208)*$BI$1</f>
        <v>1.6111111111111112</v>
      </c>
      <c r="BQ322" s="67">
        <f>(CL322-Driver!$F$209)/(Driver!$G$209-Driver!$F$209)*$BI$1</f>
        <v>2.65625</v>
      </c>
      <c r="BR322" s="28" t="s">
        <v>155</v>
      </c>
      <c r="BS322" s="8" t="s">
        <v>182</v>
      </c>
      <c r="BT322" s="9" t="s">
        <v>440</v>
      </c>
      <c r="BU322" s="10">
        <v>156</v>
      </c>
      <c r="BV322" s="9" t="s">
        <v>163</v>
      </c>
      <c r="BW322" s="10">
        <v>156</v>
      </c>
      <c r="BX322" s="10">
        <v>155.6</v>
      </c>
      <c r="BY322" s="10">
        <v>119</v>
      </c>
      <c r="BZ322" s="10">
        <v>136</v>
      </c>
      <c r="CA322" s="10">
        <v>128</v>
      </c>
      <c r="CB322" s="10">
        <v>91</v>
      </c>
      <c r="CC322" s="10">
        <v>114</v>
      </c>
      <c r="CD322" s="10">
        <v>15.5</v>
      </c>
      <c r="CE322" s="10">
        <v>1492</v>
      </c>
      <c r="CF322" s="10">
        <v>1.07</v>
      </c>
      <c r="CG322" s="10">
        <v>1595</v>
      </c>
      <c r="CH322" s="10">
        <v>169</v>
      </c>
      <c r="CI322" s="10">
        <v>94</v>
      </c>
      <c r="CJ322" s="10">
        <v>43</v>
      </c>
      <c r="CK322" s="10">
        <v>226</v>
      </c>
      <c r="CL322" s="10">
        <v>17</v>
      </c>
      <c r="CM322" s="10">
        <v>145</v>
      </c>
      <c r="CN322" s="10">
        <v>0.38600000000000001</v>
      </c>
      <c r="CO322" s="10">
        <v>128</v>
      </c>
      <c r="CP322" s="10">
        <v>70</v>
      </c>
      <c r="CQ322" s="10">
        <v>98</v>
      </c>
      <c r="CR322" s="10">
        <v>6</v>
      </c>
      <c r="CS322" s="10">
        <v>9.8000000000000007</v>
      </c>
      <c r="CT322" s="9" t="s">
        <v>188</v>
      </c>
      <c r="CU322" s="9" t="s">
        <v>185</v>
      </c>
      <c r="CV322" s="10"/>
      <c r="CW322" s="10"/>
      <c r="CX322" t="str">
        <f>INDEX('Data_Price '!AG$2:AG$1266,MATCH(Data!$DN322,'Data_Price '!$AT$2:$AT$1266,0))</f>
        <v>Armada Reliance 92 Ti Skis 2022</v>
      </c>
      <c r="CY322" t="str">
        <f>INDEX('Data_Price '!AH$2:AH$1266,MATCH(Data!$DN322,'Data_Price '!$AT$2:$AT$1266,0))</f>
        <v>Snowcountry.eu</v>
      </c>
      <c r="CZ322">
        <f>INDEX('Data_Price '!AI$2:AI$1266,MATCH(Data!$DN322,'Data_Price '!$AT$2:$AT$1266,0))</f>
        <v>441.67</v>
      </c>
      <c r="DA322" t="str">
        <f>INDEX('Data_Price '!AJ$2:AJ$1266,MATCH(Data!$DN322,'Data_Price '!$AT$2:$AT$1266,0))</f>
        <v>https://tinyurl.com/yczklefa</v>
      </c>
      <c r="DB322" t="str">
        <f>INDEX('Data_Price '!AK$2:AK$1266,MATCH(Data!$DN322,'Data_Price '!$AT$2:$AT$1266,0))</f>
        <v>Armada Reliance 92 Ti Skis 2022</v>
      </c>
      <c r="DC322" t="str">
        <f>INDEX('Data_Price '!AL$2:AL$1266,MATCH(Data!$DN322,'Data_Price '!$AT$2:$AT$1266,0))</f>
        <v>Curated</v>
      </c>
      <c r="DD322">
        <f>INDEX('Data_Price '!AM$2:AM$1266,MATCH(Data!$DN322,'Data_Price '!$AT$2:$AT$1266,0))</f>
        <v>519</v>
      </c>
      <c r="DE322" t="str">
        <f>INDEX('Data_Price '!AN$2:AN$1266,MATCH(Data!$DN322,'Data_Price '!$AT$2:$AT$1266,0))</f>
        <v>https://tinyurl.com/ybz662jg</v>
      </c>
      <c r="DF322" t="str">
        <f>INDEX('Data_Price '!AO$2:AO$1266,MATCH(Data!$DN322,'Data_Price '!$AT$2:$AT$1266,0))</f>
        <v>Armada Reliance 92 Ti Skis 2022</v>
      </c>
      <c r="DG322" t="str">
        <f>INDEX('Data_Price '!AP$2:AP$1266,MATCH(Data!$DN322,'Data_Price '!$AT$2:$AT$1266,0))</f>
        <v>Next Adventure</v>
      </c>
      <c r="DH322">
        <f>INDEX('Data_Price '!AQ$2:AQ$1266,MATCH(Data!$DN322,'Data_Price '!$AT$2:$AT$1266,0))</f>
        <v>519.96</v>
      </c>
      <c r="DI322" t="str">
        <f>INDEX('Data_Price '!AR$2:AR$1266,MATCH(Data!$DN322,'Data_Price '!$AT$2:$AT$1266,0))</f>
        <v>https://tinyurl.com/yd3kr5km</v>
      </c>
      <c r="DJ322" s="89" t="str">
        <f t="shared" si="180"/>
        <v>https://tinyurl.com/yczklefa</v>
      </c>
      <c r="DK322" s="89" t="str">
        <f t="shared" si="181"/>
        <v>https://tinyurl.com/ybz662jg</v>
      </c>
      <c r="DL322" s="89" t="str">
        <f t="shared" si="182"/>
        <v>https://tinyurl.com/yd3kr5km</v>
      </c>
      <c r="DM322" s="219" t="str">
        <f t="shared" si="183"/>
        <v>Reliance 92 Ti</v>
      </c>
      <c r="DN322" s="89" t="str">
        <f t="shared" si="184"/>
        <v xml:space="preserve"> ArmadaReliance 92 Ti156 Women's</v>
      </c>
      <c r="DO322" s="221" t="s">
        <v>441</v>
      </c>
    </row>
    <row r="323" spans="2:119" ht="15.6" customHeight="1">
      <c r="B323" s="219" t="b">
        <f t="array" ref="B323">IF(OR(ISERROR(K323:P323)),FALSE,TRUE)</f>
        <v>1</v>
      </c>
      <c r="C323" s="43" t="b">
        <f>OR(BR323=Driver!$G$50,Data!BR658=Driver!$H$50)</f>
        <v>1</v>
      </c>
      <c r="D323" s="43" t="b">
        <f>OR(BV323=Driver!$G$51,BV323=Driver!$H$51)</f>
        <v>1</v>
      </c>
      <c r="E323" s="43" t="b">
        <f>AND(BX323&gt;Driver!$F$54,BX323&lt;Driver!$G$54)</f>
        <v>0</v>
      </c>
      <c r="F323" s="43" t="b">
        <f>CL323&gt;Driver!$F$56</f>
        <v>1</v>
      </c>
      <c r="G323" s="43" t="b">
        <f>AND(CB323&gt;Driver!$F$55,CB323&lt;Driver!$G$55)</f>
        <v>0</v>
      </c>
      <c r="H323" s="43" t="b">
        <f t="shared" si="148"/>
        <v>0</v>
      </c>
      <c r="I323" s="43">
        <f t="shared" si="149"/>
        <v>0</v>
      </c>
      <c r="J323" s="43" t="b">
        <f t="array" ref="J323">NOT(OR(($H$9:$H$1273=TRUE)*($I$9:$I$1273&gt;0)*($BT$9:$BT$1273=BT323)*($K$9:$K$1273&gt;K323)))</f>
        <v>1</v>
      </c>
      <c r="K323" s="72">
        <f t="shared" si="150"/>
        <v>0.77119781576306934</v>
      </c>
      <c r="L323" s="72">
        <f t="shared" si="151"/>
        <v>0.8603563702676984</v>
      </c>
      <c r="M323" s="72">
        <f t="shared" si="152"/>
        <v>0.68203926125844028</v>
      </c>
      <c r="N323" s="72">
        <f t="shared" si="153"/>
        <v>0.5171686971223004</v>
      </c>
      <c r="O323" s="72">
        <f t="shared" si="154"/>
        <v>0.61116758586705222</v>
      </c>
      <c r="P323" s="72">
        <f t="shared" si="155"/>
        <v>0.91778150078596843</v>
      </c>
      <c r="Q323" s="72"/>
      <c r="R323" s="72"/>
      <c r="S323" s="72">
        <f t="shared" si="156"/>
        <v>0.46181557099313575</v>
      </c>
      <c r="T323" s="72">
        <f t="shared" si="157"/>
        <v>0.73858595024601215</v>
      </c>
      <c r="U323" s="72">
        <f t="shared" si="158"/>
        <v>0.51</v>
      </c>
      <c r="V323" s="72">
        <f t="shared" si="159"/>
        <v>0.49201779059242079</v>
      </c>
      <c r="W323" s="72">
        <f t="shared" si="160"/>
        <v>0.76366570771001152</v>
      </c>
      <c r="X323" s="72">
        <f t="shared" si="161"/>
        <v>0.1396436297323016</v>
      </c>
      <c r="Y323" s="72">
        <f t="shared" si="162"/>
        <v>0.31796073874155967</v>
      </c>
      <c r="Z323" s="72">
        <f t="shared" si="163"/>
        <v>0.4828313028776996</v>
      </c>
      <c r="AA323" s="72">
        <f t="shared" si="164"/>
        <v>0.38883241413294772</v>
      </c>
      <c r="AB323" s="72">
        <f t="shared" si="165"/>
        <v>8.2218499214031626E-2</v>
      </c>
      <c r="AC323" s="72"/>
      <c r="AD323" s="72"/>
      <c r="AE323" s="72">
        <f t="shared" si="166"/>
        <v>0.53818442900686425</v>
      </c>
      <c r="AF323" s="72">
        <f t="shared" si="167"/>
        <v>0.26141404975398785</v>
      </c>
      <c r="AG323" s="72">
        <f t="shared" si="168"/>
        <v>0.49</v>
      </c>
      <c r="AH323" s="72">
        <f t="shared" si="169"/>
        <v>0.50798220940757921</v>
      </c>
      <c r="AI323" s="72">
        <f t="shared" si="170"/>
        <v>0.23633429228998851</v>
      </c>
      <c r="AJ323" s="72">
        <f>(AV323-Driver!$K$179)/(Driver!$L$179-Driver!$K$179)</f>
        <v>0.11457577955039883</v>
      </c>
      <c r="AK323" s="72">
        <f>(AW323-Driver!$K$180)/(Driver!$L$180-Driver!$K$180)</f>
        <v>0.36038960410851822</v>
      </c>
      <c r="AL323" s="72">
        <f>(AX323-Driver!$K$181)/(Driver!$L$181-Driver!$K$181)</f>
        <v>0.58451906659077979</v>
      </c>
      <c r="AM323" s="72">
        <f>(AY323-Driver!$K$182)/(Driver!$L$182-Driver!$K$182)</f>
        <v>5.855260696409862E-2</v>
      </c>
      <c r="AN323" s="72">
        <f>(AZ323-Driver!$K$183)/(Driver!$L$183-Driver!$K$183)</f>
        <v>0.33643790849673205</v>
      </c>
      <c r="AO323" s="72"/>
      <c r="AP323" s="72"/>
      <c r="AQ323" s="72">
        <f>(BC323-Driver!$K$188)/(Driver!$L$188-Driver!$K$188)</f>
        <v>8.1815570993135703E-2</v>
      </c>
      <c r="AR323" s="72">
        <f>MIN((BD323-Driver!$K$189)/(Driver!$L$189-Driver!$K$189),100%)</f>
        <v>0.28858595024601219</v>
      </c>
      <c r="AS323" s="72">
        <f>(BE323-Driver!$K$190)/(Driver!$L$190-Driver!$K$190)</f>
        <v>1</v>
      </c>
      <c r="AT323" s="72">
        <f>(BF323-Driver!$K$191)/(Driver!$L$191-Driver!$K$191)</f>
        <v>2.0177905924208079E-3</v>
      </c>
      <c r="AU323" s="72">
        <f>(BG323-Driver!$K$192)/(Driver!$L$192-Driver!$K$192)</f>
        <v>1.3665707710011504E-2</v>
      </c>
      <c r="AV323" s="70">
        <f t="shared" si="171"/>
        <v>2.4114774114774113</v>
      </c>
      <c r="AW323" s="70">
        <f t="shared" si="172"/>
        <v>36.995052918582829</v>
      </c>
      <c r="AX323" s="70">
        <f t="shared" si="173"/>
        <v>6.2606715993170177</v>
      </c>
      <c r="AY323" s="70">
        <f>IFERROR(Driver!$K$19/Data!BH323/Data!BI323*Data!BK323*Data!BL323,"")</f>
        <v>7.1685861335798282E-2</v>
      </c>
      <c r="AZ323" s="70">
        <f t="shared" si="174"/>
        <v>30.66269545793001</v>
      </c>
      <c r="BA323" s="70"/>
      <c r="BB323" s="70"/>
      <c r="BC323" s="70">
        <f t="shared" si="175"/>
        <v>42.438305446761504</v>
      </c>
      <c r="BD323" s="70">
        <f t="shared" si="176"/>
        <v>27.26016813682379</v>
      </c>
      <c r="BE323" s="70">
        <f t="shared" si="177"/>
        <v>1</v>
      </c>
      <c r="BF323" s="70">
        <f t="shared" si="178"/>
        <v>0.22789527163272522</v>
      </c>
      <c r="BG323" s="70">
        <f t="shared" si="179"/>
        <v>5.1747087169159947E-2</v>
      </c>
      <c r="BH323" s="67">
        <f>MAX((CE323-Driver!$F$200)/(Driver!$G$200-Driver!$F$200)*$BI$1,1)</f>
        <v>6.2606715993170177</v>
      </c>
      <c r="BI323" s="67">
        <f>MAX($BI$1*(BY323-Driver!$F$201)/(Driver!$G$201-Driver!$F$201),1)</f>
        <v>8.9873417721518987</v>
      </c>
      <c r="BJ323" s="67">
        <f>(CB323-Driver!$F$206)/(Driver!$G$206-Driver!$F$206)*$BI$1</f>
        <v>2.8571428571428568</v>
      </c>
      <c r="BK323" s="67">
        <f>(CD323-Driver!$F$203)/(Driver!$G$203-Driver!$F$203)*$BI$1</f>
        <v>2.3394495412844036</v>
      </c>
      <c r="BL323" s="67">
        <f>MAX((CR323-Driver!$F$202)/(Driver!$G$202-Driver!$F$202)*$BI$1,1)</f>
        <v>8.6206896551724128</v>
      </c>
      <c r="BM323" s="67">
        <f>MAX((CH323-Driver!$F$204)/(Driver!$G$204-Driver!$F$204)*$BI$1,1)</f>
        <v>3.3760683760683765</v>
      </c>
      <c r="BN323" s="67">
        <f>(CI323-Driver!$F$205)/(Driver!$G$205-Driver!$F$205)*$BI$1</f>
        <v>3.4117647058823533</v>
      </c>
      <c r="BO323" s="67">
        <f>(CK323-Driver!$F$207)/(Driver!$G$207-Driver!$F$207)*$BI$1</f>
        <v>0.28955532574974147</v>
      </c>
      <c r="BP323" s="67">
        <f>(CM323-Driver!$F$208)/(Driver!$G$208-Driver!$F$208)*$BI$1</f>
        <v>0.64444444444444438</v>
      </c>
      <c r="BQ323" s="67">
        <f>(CL323-Driver!$F$209)/(Driver!$G$209-Driver!$F$209)*$BI$1</f>
        <v>1.09375</v>
      </c>
      <c r="BR323" s="28" t="s">
        <v>155</v>
      </c>
      <c r="BS323" s="8" t="s">
        <v>167</v>
      </c>
      <c r="BT323" s="9" t="s">
        <v>525</v>
      </c>
      <c r="BU323" s="10">
        <v>170</v>
      </c>
      <c r="BV323" s="9" t="s">
        <v>158</v>
      </c>
      <c r="BW323" s="10">
        <v>170</v>
      </c>
      <c r="BX323" s="10">
        <v>169.4</v>
      </c>
      <c r="BY323" s="10">
        <v>150</v>
      </c>
      <c r="BZ323" s="10">
        <v>156</v>
      </c>
      <c r="CA323" s="10">
        <v>133</v>
      </c>
      <c r="CB323" s="10">
        <v>82</v>
      </c>
      <c r="CC323" s="10">
        <v>114</v>
      </c>
      <c r="CD323" s="10">
        <v>14.5</v>
      </c>
      <c r="CE323" s="10">
        <v>2000</v>
      </c>
      <c r="CF323" s="10">
        <v>0.82</v>
      </c>
      <c r="CG323" s="10">
        <v>1647</v>
      </c>
      <c r="CH323" s="10">
        <v>180</v>
      </c>
      <c r="CI323" s="10">
        <v>91</v>
      </c>
      <c r="CJ323" s="10">
        <v>33</v>
      </c>
      <c r="CK323" s="10">
        <v>138</v>
      </c>
      <c r="CL323" s="10">
        <v>7</v>
      </c>
      <c r="CM323" s="10">
        <v>58</v>
      </c>
      <c r="CN323" s="10">
        <v>0.21</v>
      </c>
      <c r="CO323" s="10">
        <v>83</v>
      </c>
      <c r="CP323" s="10">
        <v>55</v>
      </c>
      <c r="CQ323" s="10">
        <v>55</v>
      </c>
      <c r="CR323" s="10">
        <v>14</v>
      </c>
      <c r="CS323" s="10">
        <v>13.4</v>
      </c>
      <c r="CT323" s="9" t="s">
        <v>349</v>
      </c>
      <c r="CU323" s="9" t="s">
        <v>188</v>
      </c>
      <c r="CV323" s="10"/>
      <c r="CW323" s="10"/>
      <c r="CX323" t="str">
        <f>INDEX('Data_Price '!AG$2:AG$1266,MATCH(Data!$DN323,'Data_Price '!$AT$2:$AT$1266,0))</f>
        <v>Head V-shape V4 Xl Skis With Size Adjustable Pr 10 Gw Bindings 2022</v>
      </c>
      <c r="CY323" t="str">
        <f>INDEX('Data_Price '!AH$2:AH$1266,MATCH(Data!$DN323,'Data_Price '!$AT$2:$AT$1266,0))</f>
        <v>eBay - wintersportdeals</v>
      </c>
      <c r="CZ323">
        <f>INDEX('Data_Price '!AI$2:AI$1266,MATCH(Data!$DN323,'Data_Price '!$AT$2:$AT$1266,0))</f>
        <v>419.99</v>
      </c>
      <c r="DA323" t="str">
        <f>INDEX('Data_Price '!AJ$2:AJ$1266,MATCH(Data!$DN323,'Data_Price '!$AT$2:$AT$1266,0))</f>
        <v>https://tinyurl.com/ybfvq9zw</v>
      </c>
      <c r="DB323" t="str">
        <f>INDEX('Data_Price '!AK$2:AK$1266,MATCH(Data!$DN323,'Data_Price '!$AT$2:$AT$1266,0))</f>
        <v>Head V-Shape V4 XL Black-Green 170 Ski Men</v>
      </c>
      <c r="DC323" t="str">
        <f>INDEX('Data_Price '!AL$2:AL$1266,MATCH(Data!$DN323,'Data_Price '!$AT$2:$AT$1266,0))</f>
        <v>GritrOutdoors</v>
      </c>
      <c r="DD323">
        <f>INDEX('Data_Price '!AM$2:AM$1266,MATCH(Data!$DN323,'Data_Price '!$AT$2:$AT$1266,0))</f>
        <v>489</v>
      </c>
      <c r="DE323" t="str">
        <f>INDEX('Data_Price '!AN$2:AN$1266,MATCH(Data!$DN323,'Data_Price '!$AT$2:$AT$1266,0))</f>
        <v>https://tinyurl.com/yb82rtv2</v>
      </c>
      <c r="DF323" t="str">
        <f>INDEX('Data_Price '!AO$2:AO$1266,MATCH(Data!$DN323,'Data_Price '!$AT$2:$AT$1266,0))</f>
        <v>Head V-Shape V4 XL Black-Green 170 Ski Men</v>
      </c>
      <c r="DG323" t="str">
        <f>INDEX('Data_Price '!AP$2:AP$1266,MATCH(Data!$DN323,'Data_Price '!$AT$2:$AT$1266,0))</f>
        <v>eBay</v>
      </c>
      <c r="DH323">
        <f>INDEX('Data_Price '!AQ$2:AQ$1266,MATCH(Data!$DN323,'Data_Price '!$AT$2:$AT$1266,0))</f>
        <v>499</v>
      </c>
      <c r="DI323" t="str">
        <f>INDEX('Data_Price '!AR$2:AR$1266,MATCH(Data!$DN323,'Data_Price '!$AT$2:$AT$1266,0))</f>
        <v>https://tinyurl.com/ycrcpn47</v>
      </c>
      <c r="DJ323" s="89" t="str">
        <f t="shared" si="180"/>
        <v>https://tinyurl.com/ybfvq9zw</v>
      </c>
      <c r="DK323" s="89" t="str">
        <f t="shared" si="181"/>
        <v>https://tinyurl.com/yb82rtv2</v>
      </c>
      <c r="DL323" s="89" t="str">
        <f t="shared" si="182"/>
        <v>https://tinyurl.com/ycrcpn47</v>
      </c>
      <c r="DM323" s="219" t="str">
        <f t="shared" si="183"/>
        <v>V-Shape V4 XL</v>
      </c>
      <c r="DN323" s="89" t="str">
        <f t="shared" si="184"/>
        <v xml:space="preserve"> HeadV-Shape V4 XL170 Unisex</v>
      </c>
      <c r="DO323" s="221"/>
    </row>
    <row r="324" spans="2:119" ht="15.6" customHeight="1">
      <c r="B324" s="219" t="b">
        <f t="array" ref="B324">IF(OR(ISERROR(K324:P324)),FALSE,TRUE)</f>
        <v>1</v>
      </c>
      <c r="C324" s="43" t="b">
        <f>OR(BR324=Driver!$G$50,Data!BR878=Driver!$H$50)</f>
        <v>1</v>
      </c>
      <c r="D324" s="43" t="b">
        <f>OR(BV324=Driver!$G$51,BV324=Driver!$H$51)</f>
        <v>1</v>
      </c>
      <c r="E324" s="43" t="b">
        <f>AND(BX324&gt;Driver!$F$54,BX324&lt;Driver!$G$54)</f>
        <v>0</v>
      </c>
      <c r="F324" s="43" t="b">
        <f>CL324&gt;Driver!$F$56</f>
        <v>1</v>
      </c>
      <c r="G324" s="43" t="b">
        <f>AND(CB324&gt;Driver!$F$55,CB324&lt;Driver!$G$55)</f>
        <v>0</v>
      </c>
      <c r="H324" s="43" t="b">
        <f t="shared" si="148"/>
        <v>0</v>
      </c>
      <c r="I324" s="43">
        <f t="shared" si="149"/>
        <v>0</v>
      </c>
      <c r="J324" s="43" t="b">
        <f t="array" ref="J324">NOT(OR(($H$9:$H$1273=TRUE)*($I$9:$I$1273&gt;0)*($BT$9:$BT$1273=BT324)*($K$9:$K$1273&gt;K324)))</f>
        <v>1</v>
      </c>
      <c r="K324" s="72">
        <f t="shared" si="150"/>
        <v>0.84789627423999225</v>
      </c>
      <c r="L324" s="72">
        <f t="shared" si="151"/>
        <v>0.93820941814580583</v>
      </c>
      <c r="M324" s="72">
        <f t="shared" si="152"/>
        <v>0.75758313033417868</v>
      </c>
      <c r="N324" s="72">
        <f t="shared" si="153"/>
        <v>0.67020733621671646</v>
      </c>
      <c r="O324" s="72">
        <f t="shared" si="154"/>
        <v>0.67118139870904281</v>
      </c>
      <c r="P324" s="72">
        <f t="shared" si="155"/>
        <v>0.93136065607677676</v>
      </c>
      <c r="Q324" s="72"/>
      <c r="R324" s="72"/>
      <c r="S324" s="72">
        <f t="shared" si="156"/>
        <v>0.42022398637509084</v>
      </c>
      <c r="T324" s="72">
        <f t="shared" si="157"/>
        <v>0.45854209575758853</v>
      </c>
      <c r="U324" s="72">
        <f t="shared" si="158"/>
        <v>0.50015545150403828</v>
      </c>
      <c r="V324" s="72">
        <f t="shared" si="159"/>
        <v>0.86850494459039562</v>
      </c>
      <c r="W324" s="72">
        <f t="shared" si="160"/>
        <v>0.84084766584766579</v>
      </c>
      <c r="X324" s="72">
        <f t="shared" si="161"/>
        <v>6.1790581854194226E-2</v>
      </c>
      <c r="Y324" s="72">
        <f t="shared" si="162"/>
        <v>0.24241686966582135</v>
      </c>
      <c r="Z324" s="72">
        <f t="shared" si="163"/>
        <v>0.32979266378328359</v>
      </c>
      <c r="AA324" s="72">
        <f t="shared" si="164"/>
        <v>0.32881860129095719</v>
      </c>
      <c r="AB324" s="72">
        <f t="shared" si="165"/>
        <v>6.8639343923223267E-2</v>
      </c>
      <c r="AC324" s="72"/>
      <c r="AD324" s="72"/>
      <c r="AE324" s="72">
        <f t="shared" si="166"/>
        <v>0.57977601362490916</v>
      </c>
      <c r="AF324" s="72">
        <f t="shared" si="167"/>
        <v>0.54145790424241147</v>
      </c>
      <c r="AG324" s="72">
        <f t="shared" si="168"/>
        <v>0.49984454849596177</v>
      </c>
      <c r="AH324" s="72">
        <f t="shared" si="169"/>
        <v>0.13149505540960438</v>
      </c>
      <c r="AI324" s="72">
        <f t="shared" si="170"/>
        <v>0.15915233415233415</v>
      </c>
      <c r="AJ324" s="72">
        <f>(AV324-Driver!$K$179)/(Driver!$L$179-Driver!$K$179)</f>
        <v>0.31600999113689465</v>
      </c>
      <c r="AK324" s="72">
        <f>(AW324-Driver!$K$180)/(Driver!$L$180-Driver!$K$180)</f>
        <v>0.20593528310308024</v>
      </c>
      <c r="AL324" s="72">
        <f>(AX324-Driver!$K$181)/(Driver!$L$181-Driver!$K$181)</f>
        <v>0.43148042749636378</v>
      </c>
      <c r="AM324" s="72">
        <f>(AY324-Driver!$K$182)/(Driver!$L$182-Driver!$K$182)</f>
        <v>0.11856641980608917</v>
      </c>
      <c r="AN324" s="72">
        <f>(AZ324-Driver!$K$183)/(Driver!$L$183-Driver!$K$183)</f>
        <v>0.18558006535947716</v>
      </c>
      <c r="AO324" s="72"/>
      <c r="AP324" s="72"/>
      <c r="AQ324" s="72">
        <f>(BC324-Driver!$K$188)/(Driver!$L$188-Driver!$K$188)</f>
        <v>4.0223986375090878E-2</v>
      </c>
      <c r="AR324" s="72">
        <f>MIN((BD324-Driver!$K$189)/(Driver!$L$189-Driver!$K$189),100%)</f>
        <v>8.5420957575885869E-3</v>
      </c>
      <c r="AS324" s="72">
        <f>(BE324-Driver!$K$190)/(Driver!$L$190-Driver!$K$190)</f>
        <v>1.0155451504038239E-2</v>
      </c>
      <c r="AT324" s="72">
        <f>(BF324-Driver!$K$191)/(Driver!$L$191-Driver!$K$191)</f>
        <v>0.37850494459039563</v>
      </c>
      <c r="AU324" s="72">
        <f>(BG324-Driver!$K$192)/(Driver!$L$192-Driver!$K$192)</f>
        <v>9.0847665847665834E-2</v>
      </c>
      <c r="AV324" s="70">
        <f t="shared" si="171"/>
        <v>6.6510649843983174</v>
      </c>
      <c r="AW324" s="70">
        <f t="shared" si="172"/>
        <v>21.942110732092829</v>
      </c>
      <c r="AX324" s="70">
        <f t="shared" si="173"/>
        <v>4.883323847467274</v>
      </c>
      <c r="AY324" s="70">
        <f>IFERROR(Driver!$K$19/Data!BH324/Data!BI324*Data!BK324*Data!BL324,"")</f>
        <v>0.14516067464789098</v>
      </c>
      <c r="AZ324" s="70">
        <f t="shared" si="174"/>
        <v>16.913626209977664</v>
      </c>
      <c r="BA324" s="70"/>
      <c r="BB324" s="70"/>
      <c r="BC324" s="70">
        <f t="shared" si="175"/>
        <v>20.864461365376275</v>
      </c>
      <c r="BD324" s="70">
        <f t="shared" si="176"/>
        <v>2.4767832229462607</v>
      </c>
      <c r="BE324" s="70">
        <f t="shared" si="177"/>
        <v>1.033202863031496E-2</v>
      </c>
      <c r="BF324" s="70">
        <f t="shared" si="178"/>
        <v>42.749474343752169</v>
      </c>
      <c r="BG324" s="70">
        <f t="shared" si="179"/>
        <v>0.34400721744471741</v>
      </c>
      <c r="BH324" s="67">
        <f>MAX((CE324-Driver!$F$200)/(Driver!$G$200-Driver!$F$200)*$BI$1,1)</f>
        <v>4.883323847467274</v>
      </c>
      <c r="BI324" s="67">
        <f>MAX($BI$1*(BY324-Driver!$F$201)/(Driver!$G$201-Driver!$F$201),1)</f>
        <v>4.8734177215189876</v>
      </c>
      <c r="BJ324" s="67">
        <f>(CB324-Driver!$F$206)/(Driver!$G$206-Driver!$F$206)*$BI$1</f>
        <v>8.412698412698413</v>
      </c>
      <c r="BK324" s="67">
        <f>(CD324-Driver!$F$203)/(Driver!$G$203-Driver!$F$203)*$BI$1</f>
        <v>3.5779816513761471</v>
      </c>
      <c r="BL324" s="67">
        <f>MAX((CR324-Driver!$F$202)/(Driver!$G$202-Driver!$F$202)*$BI$1,1)</f>
        <v>4.8275862068965516</v>
      </c>
      <c r="BM324" s="67">
        <f>MAX((CH324-Driver!$F$204)/(Driver!$G$204-Driver!$F$204)*$BI$1,1)</f>
        <v>3.1623931623931623</v>
      </c>
      <c r="BN324" s="67">
        <f>(CI324-Driver!$F$205)/(Driver!$G$205-Driver!$F$205)*$BI$1</f>
        <v>3.4705882352941178</v>
      </c>
      <c r="BO324" s="67">
        <f>(CK324-Driver!$F$207)/(Driver!$G$207-Driver!$F$207)*$BI$1</f>
        <v>3.9813857290589452</v>
      </c>
      <c r="BP324" s="67">
        <f>(CM324-Driver!$F$208)/(Driver!$G$208-Driver!$F$208)*$BI$1</f>
        <v>4.5666666666666664</v>
      </c>
      <c r="BQ324" s="67">
        <f>(CL324-Driver!$F$209)/(Driver!$G$209-Driver!$F$209)*$BI$1</f>
        <v>5.3125</v>
      </c>
      <c r="BR324" s="28" t="s">
        <v>155</v>
      </c>
      <c r="BS324" s="8" t="s">
        <v>208</v>
      </c>
      <c r="BT324" s="9" t="s">
        <v>414</v>
      </c>
      <c r="BU324" s="10">
        <v>175</v>
      </c>
      <c r="BV324" s="9" t="s">
        <v>158</v>
      </c>
      <c r="BW324" s="10">
        <v>175</v>
      </c>
      <c r="BX324" s="10">
        <v>175.3</v>
      </c>
      <c r="BY324" s="10">
        <v>85</v>
      </c>
      <c r="BZ324" s="10">
        <v>140</v>
      </c>
      <c r="CA324" s="10">
        <v>151</v>
      </c>
      <c r="CB324" s="10">
        <v>117</v>
      </c>
      <c r="CC324" s="10">
        <v>137</v>
      </c>
      <c r="CD324" s="10">
        <v>17.2</v>
      </c>
      <c r="CE324" s="10">
        <v>1758</v>
      </c>
      <c r="CF324" s="10">
        <v>1.26</v>
      </c>
      <c r="CG324" s="10">
        <v>2223</v>
      </c>
      <c r="CH324" s="10">
        <v>175</v>
      </c>
      <c r="CI324" s="10">
        <v>92</v>
      </c>
      <c r="CJ324" s="10">
        <v>52</v>
      </c>
      <c r="CK324" s="10">
        <v>495</v>
      </c>
      <c r="CL324" s="10">
        <v>34</v>
      </c>
      <c r="CM324" s="10">
        <v>411</v>
      </c>
      <c r="CN324" s="10">
        <v>0.63900000000000001</v>
      </c>
      <c r="CO324" s="10">
        <v>180</v>
      </c>
      <c r="CP324" s="10">
        <v>177</v>
      </c>
      <c r="CQ324" s="10">
        <v>315</v>
      </c>
      <c r="CR324" s="10">
        <v>3</v>
      </c>
      <c r="CS324" s="10">
        <v>6.7</v>
      </c>
      <c r="CT324" s="9" t="s">
        <v>169</v>
      </c>
      <c r="CU324" s="9" t="s">
        <v>185</v>
      </c>
      <c r="CV324" s="9" t="s">
        <v>198</v>
      </c>
      <c r="CW324" s="10"/>
      <c r="CX324" t="str">
        <f>INDEX('Data_Price '!AG$2:AG$1266,MATCH(Data!$DN324,'Data_Price '!$AT$2:$AT$1266,0))</f>
        <v>Line Vision 118 Skis 175cm 2022</v>
      </c>
      <c r="CY324" t="str">
        <f>INDEX('Data_Price '!AH$2:AH$1266,MATCH(Data!$DN324,'Data_Price '!$AT$2:$AT$1266,0))</f>
        <v>Snowcountry.eu</v>
      </c>
      <c r="CZ324">
        <f>INDEX('Data_Price '!AI$2:AI$1266,MATCH(Data!$DN324,'Data_Price '!$AT$2:$AT$1266,0))</f>
        <v>487.77</v>
      </c>
      <c r="DA324" t="str">
        <f>INDEX('Data_Price '!AJ$2:AJ$1266,MATCH(Data!$DN324,'Data_Price '!$AT$2:$AT$1266,0))</f>
        <v>https://tinyurl.com/yaca7z4h</v>
      </c>
      <c r="DB324" t="str">
        <f>INDEX('Data_Price '!AK$2:AK$1266,MATCH(Data!$DN324,'Data_Price '!$AT$2:$AT$1266,0))</f>
        <v>Line Vision 118 Skis 175cm 2022</v>
      </c>
      <c r="DC324" t="str">
        <f>INDEX('Data_Price '!AL$2:AL$1266,MATCH(Data!$DN324,'Data_Price '!$AT$2:$AT$1266,0))</f>
        <v>PRFO Sports</v>
      </c>
      <c r="DD324">
        <f>INDEX('Data_Price '!AM$2:AM$1266,MATCH(Data!$DN324,'Data_Price '!$AT$2:$AT$1266,0))</f>
        <v>545.16</v>
      </c>
      <c r="DE324" t="str">
        <f>INDEX('Data_Price '!AN$2:AN$1266,MATCH(Data!$DN324,'Data_Price '!$AT$2:$AT$1266,0))</f>
        <v>https://tinyurl.com/y9ro6myl</v>
      </c>
      <c r="DF324" t="str">
        <f>INDEX('Data_Price '!AO$2:AO$1266,MATCH(Data!$DN324,'Data_Price '!$AT$2:$AT$1266,0))</f>
        <v>Line Vision 118 Skis 175cm 2022</v>
      </c>
      <c r="DG324" t="str">
        <f>INDEX('Data_Price '!AP$2:AP$1266,MATCH(Data!$DN324,'Data_Price '!$AT$2:$AT$1266,0))</f>
        <v>Backcountry.com</v>
      </c>
      <c r="DH324">
        <f>INDEX('Data_Price '!AQ$2:AQ$1266,MATCH(Data!$DN324,'Data_Price '!$AT$2:$AT$1266,0))</f>
        <v>639.96</v>
      </c>
      <c r="DI324" t="str">
        <f>INDEX('Data_Price '!AR$2:AR$1266,MATCH(Data!$DN324,'Data_Price '!$AT$2:$AT$1266,0))</f>
        <v>https://tinyurl.com/ybm5ukmx</v>
      </c>
      <c r="DJ324" s="89" t="str">
        <f t="shared" si="180"/>
        <v>https://tinyurl.com/yaca7z4h</v>
      </c>
      <c r="DK324" s="89" t="str">
        <f t="shared" si="181"/>
        <v>https://tinyurl.com/y9ro6myl</v>
      </c>
      <c r="DL324" s="89" t="str">
        <f t="shared" si="182"/>
        <v>https://tinyurl.com/ybm5ukmx</v>
      </c>
      <c r="DM324" s="219" t="str">
        <f t="shared" si="183"/>
        <v>Vision 118</v>
      </c>
      <c r="DN324" s="89" t="str">
        <f t="shared" si="184"/>
        <v xml:space="preserve"> LineVision 118175 Unisex</v>
      </c>
      <c r="DO324" s="221" t="s">
        <v>415</v>
      </c>
    </row>
    <row r="325" spans="2:119" ht="15.6" customHeight="1">
      <c r="B325" s="219" t="b">
        <f t="array" ref="B325">IF(OR(ISERROR(K325:P325)),FALSE,TRUE)</f>
        <v>1</v>
      </c>
      <c r="C325" s="43" t="b">
        <f>OR(BR325=Driver!$G$50,Data!BR1087=Driver!$H$50)</f>
        <v>1</v>
      </c>
      <c r="D325" s="43" t="b">
        <f>OR(BV325=Driver!$G$51,BV325=Driver!$H$51)</f>
        <v>0</v>
      </c>
      <c r="E325" s="43" t="b">
        <f>AND(BX325&gt;Driver!$F$54,BX325&lt;Driver!$G$54)</f>
        <v>1</v>
      </c>
      <c r="F325" s="43" t="b">
        <f>CL325&gt;Driver!$F$56</f>
        <v>1</v>
      </c>
      <c r="G325" s="43" t="b">
        <f>AND(CB325&gt;Driver!$F$55,CB325&lt;Driver!$G$55)</f>
        <v>1</v>
      </c>
      <c r="H325" s="43" t="b">
        <f t="shared" si="148"/>
        <v>0</v>
      </c>
      <c r="I325" s="43">
        <f t="shared" si="149"/>
        <v>0</v>
      </c>
      <c r="J325" s="43" t="b">
        <f t="array" ref="J325">NOT(OR(($H$9:$H$1273=TRUE)*($I$9:$I$1273&gt;0)*($BT$9:$BT$1273=BT325)*($K$9:$K$1273&gt;K325)))</f>
        <v>1</v>
      </c>
      <c r="K325" s="72">
        <f t="shared" si="150"/>
        <v>0.8590591758022198</v>
      </c>
      <c r="L325" s="72">
        <f t="shared" si="151"/>
        <v>0.98750164462109458</v>
      </c>
      <c r="M325" s="72">
        <f t="shared" si="152"/>
        <v>0.73061670698334491</v>
      </c>
      <c r="N325" s="72">
        <f t="shared" si="153"/>
        <v>0.66198625229842145</v>
      </c>
      <c r="O325" s="72">
        <f t="shared" si="154"/>
        <v>0.6539770687839872</v>
      </c>
      <c r="P325" s="72">
        <f t="shared" si="155"/>
        <v>0.8758867998676263</v>
      </c>
      <c r="Q325" s="72"/>
      <c r="R325" s="72"/>
      <c r="S325" s="72">
        <f t="shared" si="156"/>
        <v>0.40913152266595176</v>
      </c>
      <c r="T325" s="72">
        <f t="shared" si="157"/>
        <v>0.47914207579389634</v>
      </c>
      <c r="U325" s="72">
        <f t="shared" si="158"/>
        <v>0.53243333713216312</v>
      </c>
      <c r="V325" s="72">
        <f t="shared" si="159"/>
        <v>0.6075198539148956</v>
      </c>
      <c r="W325" s="72">
        <f t="shared" si="160"/>
        <v>0.81752238805970145</v>
      </c>
      <c r="X325" s="72">
        <f t="shared" si="161"/>
        <v>1.2498355378905424E-2</v>
      </c>
      <c r="Y325" s="72">
        <f t="shared" si="162"/>
        <v>0.26938329301665503</v>
      </c>
      <c r="Z325" s="72">
        <f t="shared" si="163"/>
        <v>0.3380137477015786</v>
      </c>
      <c r="AA325" s="72">
        <f t="shared" si="164"/>
        <v>0.34602293121601274</v>
      </c>
      <c r="AB325" s="72">
        <f t="shared" si="165"/>
        <v>0.12411320013237365</v>
      </c>
      <c r="AC325" s="72"/>
      <c r="AD325" s="72"/>
      <c r="AE325" s="72">
        <f t="shared" si="166"/>
        <v>0.59086847733404824</v>
      </c>
      <c r="AF325" s="72">
        <f t="shared" si="167"/>
        <v>0.52085792420610366</v>
      </c>
      <c r="AG325" s="72">
        <f t="shared" si="168"/>
        <v>0.46756666286783688</v>
      </c>
      <c r="AH325" s="72">
        <f t="shared" si="169"/>
        <v>0.39248014608510434</v>
      </c>
      <c r="AI325" s="72">
        <f t="shared" si="170"/>
        <v>0.18247761194029852</v>
      </c>
      <c r="AJ325" s="72">
        <f>(AV325-Driver!$K$179)/(Driver!$L$179-Driver!$K$179)</f>
        <v>0.241721053903795</v>
      </c>
      <c r="AK325" s="72">
        <f>(AW325-Driver!$K$180)/(Driver!$L$180-Driver!$K$180)</f>
        <v>0.15460163776363067</v>
      </c>
      <c r="AL325" s="72">
        <f>(AX325-Driver!$K$181)/(Driver!$L$181-Driver!$K$181)</f>
        <v>0.4397015114146588</v>
      </c>
      <c r="AM325" s="72">
        <f>(AY325-Driver!$K$182)/(Driver!$L$182-Driver!$K$182)</f>
        <v>0.10136208988103361</v>
      </c>
      <c r="AN325" s="72">
        <f>(AZ325-Driver!$K$183)/(Driver!$L$183-Driver!$K$183)</f>
        <v>0.13010620915032678</v>
      </c>
      <c r="AO325" s="72"/>
      <c r="AP325" s="72"/>
      <c r="AQ325" s="72">
        <f>(BC325-Driver!$K$188)/(Driver!$L$188-Driver!$K$188)</f>
        <v>2.913152266595178E-2</v>
      </c>
      <c r="AR325" s="72">
        <f>MIN((BD325-Driver!$K$189)/(Driver!$L$189-Driver!$K$189),100%)</f>
        <v>2.9142075793896348E-2</v>
      </c>
      <c r="AS325" s="72">
        <f>(BE325-Driver!$K$190)/(Driver!$L$190-Driver!$K$190)</f>
        <v>4.2433337132163108E-2</v>
      </c>
      <c r="AT325" s="72">
        <f>(BF325-Driver!$K$191)/(Driver!$L$191-Driver!$K$191)</f>
        <v>0.11751985391489568</v>
      </c>
      <c r="AU325" s="72">
        <f>(BG325-Driver!$K$192)/(Driver!$L$192-Driver!$K$192)</f>
        <v>6.7522388059701482E-2</v>
      </c>
      <c r="AV325" s="70">
        <f t="shared" si="171"/>
        <v>5.0875050875050878</v>
      </c>
      <c r="AW325" s="70">
        <f t="shared" si="172"/>
        <v>16.939192131393337</v>
      </c>
      <c r="AX325" s="70">
        <f t="shared" si="173"/>
        <v>4.9573136027319293</v>
      </c>
      <c r="AY325" s="70">
        <f>IFERROR(Driver!$K$19/Data!BH325/Data!BI325*Data!BK325*Data!BL325,"")</f>
        <v>0.12409744154301733</v>
      </c>
      <c r="AZ325" s="70">
        <f t="shared" si="174"/>
        <v>11.85778108711839</v>
      </c>
      <c r="BA325" s="70"/>
      <c r="BB325" s="70"/>
      <c r="BC325" s="70">
        <f t="shared" si="175"/>
        <v>15.110723325889177</v>
      </c>
      <c r="BD325" s="70">
        <f t="shared" si="176"/>
        <v>4.2998449551547511</v>
      </c>
      <c r="BE325" s="70">
        <f t="shared" si="177"/>
        <v>4.2604156246946849E-2</v>
      </c>
      <c r="BF325" s="70">
        <f t="shared" si="178"/>
        <v>13.273041875986671</v>
      </c>
      <c r="BG325" s="70">
        <f t="shared" si="179"/>
        <v>0.25568283582089552</v>
      </c>
      <c r="BH325" s="67">
        <f>MAX((CE325-Driver!$F$200)/(Driver!$G$200-Driver!$F$200)*$BI$1,1)</f>
        <v>4.9573136027319293</v>
      </c>
      <c r="BI325" s="67">
        <f>MAX($BI$1*(BY325-Driver!$F$201)/(Driver!$G$201-Driver!$F$201),1)</f>
        <v>5.7594936708860756</v>
      </c>
      <c r="BJ325" s="67">
        <f>(CB325-Driver!$F$206)/(Driver!$G$206-Driver!$F$206)*$BI$1</f>
        <v>6.3492063492063489</v>
      </c>
      <c r="BK325" s="67">
        <f>(CD325-Driver!$F$203)/(Driver!$G$203-Driver!$F$203)*$BI$1</f>
        <v>3.2110091743119265</v>
      </c>
      <c r="BL325" s="67">
        <f>MAX((CR325-Driver!$F$202)/(Driver!$G$202-Driver!$F$202)*$BI$1,1)</f>
        <v>5.5172413793103452</v>
      </c>
      <c r="BM325" s="67">
        <f>MAX((CH325-Driver!$F$204)/(Driver!$G$204-Driver!$F$204)*$BI$1,1)</f>
        <v>3.2051282051282053</v>
      </c>
      <c r="BN325" s="67">
        <f>(CI325-Driver!$F$205)/(Driver!$G$205-Driver!$F$205)*$BI$1</f>
        <v>2.0588235294117645</v>
      </c>
      <c r="BO325" s="67">
        <f>(CK325-Driver!$F$207)/(Driver!$G$207-Driver!$F$207)*$BI$1</f>
        <v>2.3784901758014478</v>
      </c>
      <c r="BP325" s="67">
        <f>(CM325-Driver!$F$208)/(Driver!$G$208-Driver!$F$208)*$BI$1</f>
        <v>2.822222222222222</v>
      </c>
      <c r="BQ325" s="67">
        <f>(CL325-Driver!$F$209)/(Driver!$G$209-Driver!$F$209)*$BI$1</f>
        <v>4.0625</v>
      </c>
      <c r="BR325" s="28" t="s">
        <v>155</v>
      </c>
      <c r="BS325" s="8" t="s">
        <v>174</v>
      </c>
      <c r="BT325" s="9" t="s">
        <v>526</v>
      </c>
      <c r="BU325" s="10">
        <v>159</v>
      </c>
      <c r="BV325" s="9" t="s">
        <v>163</v>
      </c>
      <c r="BW325" s="10">
        <v>159</v>
      </c>
      <c r="BX325" s="10">
        <v>158.19999999999999</v>
      </c>
      <c r="BY325" s="10">
        <v>99</v>
      </c>
      <c r="BZ325" s="10">
        <v>129</v>
      </c>
      <c r="CA325" s="10">
        <v>136</v>
      </c>
      <c r="CB325" s="10">
        <v>104</v>
      </c>
      <c r="CC325" s="10">
        <v>122</v>
      </c>
      <c r="CD325" s="10">
        <v>16.399999999999999</v>
      </c>
      <c r="CE325" s="10">
        <v>1771</v>
      </c>
      <c r="CF325" s="10">
        <v>1.02</v>
      </c>
      <c r="CG325" s="10">
        <v>1814</v>
      </c>
      <c r="CH325" s="10">
        <v>176</v>
      </c>
      <c r="CI325" s="10">
        <v>68</v>
      </c>
      <c r="CJ325" s="10">
        <v>58</v>
      </c>
      <c r="CK325" s="10">
        <v>340</v>
      </c>
      <c r="CL325" s="10">
        <v>26</v>
      </c>
      <c r="CM325" s="10">
        <v>254</v>
      </c>
      <c r="CN325" s="10">
        <v>0.44500000000000001</v>
      </c>
      <c r="CO325" s="10">
        <v>176</v>
      </c>
      <c r="CP325" s="10">
        <v>113</v>
      </c>
      <c r="CQ325" s="10">
        <v>164</v>
      </c>
      <c r="CR325" s="10">
        <v>5</v>
      </c>
      <c r="CS325" s="10">
        <v>9.6</v>
      </c>
      <c r="CT325" s="9" t="s">
        <v>188</v>
      </c>
      <c r="CU325" s="9" t="s">
        <v>169</v>
      </c>
      <c r="CV325" s="10"/>
      <c r="CW325" s="10"/>
      <c r="CX325" t="str">
        <f>INDEX('Data_Price '!AG$2:AG$1266,MATCH(Data!$DN325,'Data_Price '!$AT$2:$AT$1266,0))</f>
        <v>Salomon QST Stella 106 Beige/Pink / 159cm</v>
      </c>
      <c r="CY325" t="str">
        <f>INDEX('Data_Price '!AH$2:AH$1266,MATCH(Data!$DN325,'Data_Price '!$AT$2:$AT$1266,0))</f>
        <v>Sundance Ski and Board Shop</v>
      </c>
      <c r="CZ325">
        <f>INDEX('Data_Price '!AI$2:AI$1266,MATCH(Data!$DN325,'Data_Price '!$AT$2:$AT$1266,0))</f>
        <v>481.02</v>
      </c>
      <c r="DA325" t="str">
        <f>INDEX('Data_Price '!AJ$2:AJ$1266,MATCH(Data!$DN325,'Data_Price '!$AT$2:$AT$1266,0))</f>
        <v>https://tinyurl.com/y8wavqzh</v>
      </c>
      <c r="DB325" t="str">
        <f>INDEX('Data_Price '!AK$2:AK$1266,MATCH(Data!$DN325,'Data_Price '!$AT$2:$AT$1266,0))</f>
        <v>Salomon QST Stella 106 Skis</v>
      </c>
      <c r="DC325" t="str">
        <f>INDEX('Data_Price '!AL$2:AL$1266,MATCH(Data!$DN325,'Data_Price '!$AT$2:$AT$1266,0))</f>
        <v>Ski Pro  - Snow Ski &amp; Snowboard</v>
      </c>
      <c r="DD325">
        <f>INDEX('Data_Price '!AM$2:AM$1266,MATCH(Data!$DN325,'Data_Price '!$AT$2:$AT$1266,0))</f>
        <v>549.95000000000005</v>
      </c>
      <c r="DE325" t="str">
        <f>INDEX('Data_Price '!AN$2:AN$1266,MATCH(Data!$DN325,'Data_Price '!$AT$2:$AT$1266,0))</f>
        <v>https://tinyurl.com/y8atk8q9</v>
      </c>
      <c r="DF325" t="str">
        <f>INDEX('Data_Price '!AO$2:AO$1266,MATCH(Data!$DN325,'Data_Price '!$AT$2:$AT$1266,0))</f>
        <v>Salomon QST Stella 106 Women's Skis 159cm 2022</v>
      </c>
      <c r="DG325" t="str">
        <f>INDEX('Data_Price '!AP$2:AP$1266,MATCH(Data!$DN325,'Data_Price '!$AT$2:$AT$1266,0))</f>
        <v>Powder7 Ski Shop</v>
      </c>
      <c r="DH325">
        <f>INDEX('Data_Price '!AQ$2:AQ$1266,MATCH(Data!$DN325,'Data_Price '!$AT$2:$AT$1266,0))</f>
        <v>559.92999999999995</v>
      </c>
      <c r="DI325" t="str">
        <f>INDEX('Data_Price '!AR$2:AR$1266,MATCH(Data!$DN325,'Data_Price '!$AT$2:$AT$1266,0))</f>
        <v>https://tinyurl.com/ydy2r8yq</v>
      </c>
      <c r="DJ325" s="89" t="str">
        <f t="shared" si="180"/>
        <v>https://tinyurl.com/y8wavqzh</v>
      </c>
      <c r="DK325" s="89" t="str">
        <f t="shared" si="181"/>
        <v>https://tinyurl.com/y8atk8q9</v>
      </c>
      <c r="DL325" s="89" t="str">
        <f t="shared" si="182"/>
        <v>https://tinyurl.com/ydy2r8yq</v>
      </c>
      <c r="DM325" s="219" t="str">
        <f t="shared" si="183"/>
        <v>QST Stella 106</v>
      </c>
      <c r="DN325" s="89" t="str">
        <f t="shared" si="184"/>
        <v xml:space="preserve"> SalomonQST Stella 106159 Women's</v>
      </c>
      <c r="DO325" s="221" t="s">
        <v>527</v>
      </c>
    </row>
    <row r="326" spans="2:119" ht="15.6" customHeight="1">
      <c r="B326" s="219" t="b">
        <f t="array" ref="B326">IF(OR(ISERROR(K326:P326)),FALSE,TRUE)</f>
        <v>1</v>
      </c>
      <c r="C326" s="43" t="b">
        <f>OR(BR326=Driver!$G$50,Data!BR118=Driver!$H$50)</f>
        <v>1</v>
      </c>
      <c r="D326" s="43" t="b">
        <f>OR(BV326=Driver!$G$51,BV326=Driver!$H$51)</f>
        <v>1</v>
      </c>
      <c r="E326" s="43" t="b">
        <f>AND(BX326&gt;Driver!$F$54,BX326&lt;Driver!$G$54)</f>
        <v>0</v>
      </c>
      <c r="F326" s="43" t="b">
        <f>CL326&gt;Driver!$F$56</f>
        <v>1</v>
      </c>
      <c r="G326" s="43" t="b">
        <f>AND(CB326&gt;Driver!$F$55,CB326&lt;Driver!$G$55)</f>
        <v>0</v>
      </c>
      <c r="H326" s="43" t="b">
        <f t="shared" si="148"/>
        <v>0</v>
      </c>
      <c r="I326" s="43">
        <f t="shared" si="149"/>
        <v>0</v>
      </c>
      <c r="J326" s="43" t="b">
        <f t="array" ref="J326">NOT(OR(($H$9:$H$1273=TRUE)*($I$9:$I$1273&gt;0)*($BT$9:$BT$1273=BT326)*($K$9:$K$1273&gt;K326)))</f>
        <v>1</v>
      </c>
      <c r="K326" s="72">
        <f t="shared" si="150"/>
        <v>0.94259636848954964</v>
      </c>
      <c r="L326" s="72">
        <f t="shared" si="151"/>
        <v>0.99676761835407335</v>
      </c>
      <c r="M326" s="72">
        <f t="shared" si="152"/>
        <v>0.88842511862502593</v>
      </c>
      <c r="N326" s="72">
        <f t="shared" si="153"/>
        <v>0.93201723946088266</v>
      </c>
      <c r="O326" s="72">
        <f t="shared" si="154"/>
        <v>0.75089328229489338</v>
      </c>
      <c r="P326" s="72">
        <f t="shared" si="155"/>
        <v>0.98236483411930176</v>
      </c>
      <c r="Q326" s="72"/>
      <c r="R326" s="72"/>
      <c r="S326" s="72">
        <f t="shared" si="156"/>
        <v>0.47203116854705274</v>
      </c>
      <c r="T326" s="72">
        <f t="shared" si="157"/>
        <v>0.45282106093417096</v>
      </c>
      <c r="U326" s="72">
        <f t="shared" si="158"/>
        <v>0.78137017016420862</v>
      </c>
      <c r="V326" s="72">
        <f t="shared" si="159"/>
        <v>0.53504360817424224</v>
      </c>
      <c r="W326" s="72">
        <f t="shared" si="160"/>
        <v>0.81869116307318557</v>
      </c>
      <c r="X326" s="72">
        <f t="shared" si="161"/>
        <v>3.2323816459266519E-3</v>
      </c>
      <c r="Y326" s="72">
        <f t="shared" si="162"/>
        <v>0.11157488137497407</v>
      </c>
      <c r="Z326" s="72">
        <f t="shared" si="163"/>
        <v>6.7982760539117351E-2</v>
      </c>
      <c r="AA326" s="72">
        <f t="shared" si="164"/>
        <v>0.24910671770510659</v>
      </c>
      <c r="AB326" s="72">
        <f t="shared" si="165"/>
        <v>1.7635165880698245E-2</v>
      </c>
      <c r="AC326" s="72"/>
      <c r="AD326" s="72"/>
      <c r="AE326" s="72">
        <f t="shared" si="166"/>
        <v>0.52796883145294726</v>
      </c>
      <c r="AF326" s="72">
        <f t="shared" si="167"/>
        <v>0.54717893906582904</v>
      </c>
      <c r="AG326" s="72">
        <f t="shared" si="168"/>
        <v>0.21862982983579143</v>
      </c>
      <c r="AH326" s="72">
        <f t="shared" si="169"/>
        <v>0.46495639182575776</v>
      </c>
      <c r="AI326" s="72">
        <f t="shared" si="170"/>
        <v>0.18130883692681443</v>
      </c>
      <c r="AJ326" s="72">
        <f>(AV326-Driver!$K$179)/(Driver!$L$179-Driver!$K$179)</f>
        <v>0.25098702763677377</v>
      </c>
      <c r="AK326" s="72">
        <f>(AW326-Driver!$K$180)/(Driver!$L$180-Driver!$K$180)</f>
        <v>0.26343949818206619</v>
      </c>
      <c r="AL326" s="72">
        <f>(AX326-Driver!$K$181)/(Driver!$L$181-Driver!$K$181)</f>
        <v>0.16967052425219753</v>
      </c>
      <c r="AM326" s="72">
        <f>(AY326-Driver!$K$182)/(Driver!$L$182-Driver!$K$182)</f>
        <v>0.19827830339193978</v>
      </c>
      <c r="AN326" s="72">
        <f>(AZ326-Driver!$K$183)/(Driver!$L$183-Driver!$K$183)</f>
        <v>0.27185457516339867</v>
      </c>
      <c r="AO326" s="72"/>
      <c r="AP326" s="72"/>
      <c r="AQ326" s="72">
        <f>(BC326-Driver!$K$188)/(Driver!$L$188-Driver!$K$188)</f>
        <v>9.2031168547052733E-2</v>
      </c>
      <c r="AR326" s="72">
        <f>MIN((BD326-Driver!$K$189)/(Driver!$L$189-Driver!$K$189),100%)</f>
        <v>2.8210609341709643E-3</v>
      </c>
      <c r="AS326" s="72">
        <f>(BE326-Driver!$K$190)/(Driver!$L$190-Driver!$K$190)</f>
        <v>0.29137017016420858</v>
      </c>
      <c r="AT326" s="72">
        <f>(BF326-Driver!$K$191)/(Driver!$L$191-Driver!$K$191)</f>
        <v>4.5043608174242265E-2</v>
      </c>
      <c r="AU326" s="72">
        <f>(BG326-Driver!$K$192)/(Driver!$L$192-Driver!$K$192)</f>
        <v>6.8691163073185554E-2</v>
      </c>
      <c r="AV326" s="70">
        <f t="shared" si="171"/>
        <v>5.282526115859449</v>
      </c>
      <c r="AW326" s="70">
        <f t="shared" si="172"/>
        <v>27.54640603072022</v>
      </c>
      <c r="AX326" s="70">
        <f t="shared" si="173"/>
        <v>2.5270347182697779</v>
      </c>
      <c r="AY326" s="70">
        <f>IFERROR(Driver!$K$19/Data!BH326/Data!BI326*Data!BK326*Data!BL326,"")</f>
        <v>0.24275180388752052</v>
      </c>
      <c r="AZ326" s="70">
        <f t="shared" si="174"/>
        <v>24.77661950856292</v>
      </c>
      <c r="BA326" s="70"/>
      <c r="BB326" s="70"/>
      <c r="BC326" s="70">
        <f t="shared" si="175"/>
        <v>47.737206915660302</v>
      </c>
      <c r="BD326" s="70">
        <f t="shared" si="176"/>
        <v>1.970481778147666</v>
      </c>
      <c r="BE326" s="70">
        <f t="shared" si="177"/>
        <v>0.2914965817498828</v>
      </c>
      <c r="BF326" s="70">
        <f t="shared" si="178"/>
        <v>5.0873590940234603</v>
      </c>
      <c r="BG326" s="70">
        <f t="shared" si="179"/>
        <v>0.26010856361979962</v>
      </c>
      <c r="BH326" s="67">
        <f>MAX((CE326-Driver!$F$200)/(Driver!$G$200-Driver!$F$200)*$BI$1,1)</f>
        <v>2.5270347182697779</v>
      </c>
      <c r="BI326" s="67">
        <f>MAX($BI$1*(BY326-Driver!$F$201)/(Driver!$G$201-Driver!$F$201),1)</f>
        <v>7.6582278481012658</v>
      </c>
      <c r="BJ326" s="67">
        <f>(CB326-Driver!$F$206)/(Driver!$G$206-Driver!$F$206)*$BI$1</f>
        <v>5.5555555555555554</v>
      </c>
      <c r="BK326" s="67">
        <f>(CD326-Driver!$F$203)/(Driver!$G$203-Driver!$F$203)*$BI$1</f>
        <v>4.5412844036697253</v>
      </c>
      <c r="BL326" s="67">
        <f>MAX((CR326-Driver!$F$202)/(Driver!$G$202-Driver!$F$202)*$BI$1,1)</f>
        <v>5.1724137931034484</v>
      </c>
      <c r="BM326" s="67">
        <f>MAX((CH326-Driver!$F$204)/(Driver!$G$204-Driver!$F$204)*$BI$1,1)</f>
        <v>3.8034188034188032</v>
      </c>
      <c r="BN326" s="67">
        <f>(CI326-Driver!$F$205)/(Driver!$G$205-Driver!$F$205)*$BI$1</f>
        <v>3.2352941176470589</v>
      </c>
      <c r="BO326" s="67">
        <f>(CK326-Driver!$F$207)/(Driver!$G$207-Driver!$F$207)*$BI$1</f>
        <v>1.7993795243019648</v>
      </c>
      <c r="BP326" s="67">
        <f>(CM326-Driver!$F$208)/(Driver!$G$208-Driver!$F$208)*$BI$1</f>
        <v>2.3111111111111109</v>
      </c>
      <c r="BQ326" s="67">
        <f>(CL326-Driver!$F$209)/(Driver!$G$209-Driver!$F$209)*$BI$1</f>
        <v>2.5</v>
      </c>
      <c r="BR326" s="28" t="s">
        <v>155</v>
      </c>
      <c r="BS326" s="8" t="s">
        <v>156</v>
      </c>
      <c r="BT326" s="9" t="s">
        <v>399</v>
      </c>
      <c r="BU326" s="10">
        <v>180</v>
      </c>
      <c r="BV326" s="9" t="s">
        <v>158</v>
      </c>
      <c r="BW326" s="10">
        <v>180</v>
      </c>
      <c r="BX326" s="10">
        <v>178.3</v>
      </c>
      <c r="BY326" s="10">
        <v>129</v>
      </c>
      <c r="BZ326" s="10">
        <v>144</v>
      </c>
      <c r="CA326" s="10">
        <v>129</v>
      </c>
      <c r="CB326" s="10">
        <v>99</v>
      </c>
      <c r="CC326" s="10">
        <v>119</v>
      </c>
      <c r="CD326" s="10">
        <v>19.3</v>
      </c>
      <c r="CE326" s="10">
        <v>1344</v>
      </c>
      <c r="CF326" s="10">
        <v>1.44</v>
      </c>
      <c r="CG326" s="10">
        <v>1931</v>
      </c>
      <c r="CH326" s="10">
        <v>190</v>
      </c>
      <c r="CI326" s="10">
        <v>88</v>
      </c>
      <c r="CJ326" s="10">
        <v>53</v>
      </c>
      <c r="CK326" s="10">
        <v>284</v>
      </c>
      <c r="CL326" s="10">
        <v>16</v>
      </c>
      <c r="CM326" s="10">
        <v>208</v>
      </c>
      <c r="CN326" s="10">
        <v>0.30599999999999999</v>
      </c>
      <c r="CO326" s="10">
        <v>177</v>
      </c>
      <c r="CP326" s="10">
        <v>167</v>
      </c>
      <c r="CQ326" s="10">
        <v>107</v>
      </c>
      <c r="CR326" s="10">
        <v>4</v>
      </c>
      <c r="CS326" s="10">
        <v>8.5</v>
      </c>
      <c r="CT326" s="9" t="s">
        <v>185</v>
      </c>
      <c r="CU326" s="9" t="s">
        <v>198</v>
      </c>
      <c r="CV326" s="10"/>
      <c r="CW326" s="10"/>
      <c r="CX326" t="str">
        <f>INDEX('Data_Price '!AG$2:AG$1266,MATCH(Data!$DN326,'Data_Price '!$AT$2:$AT$1266,0))</f>
        <v>Atomic Backland 100 Skis 2022</v>
      </c>
      <c r="CY326" t="str">
        <f>INDEX('Data_Price '!AH$2:AH$1266,MATCH(Data!$DN326,'Data_Price '!$AT$2:$AT$1266,0))</f>
        <v>Gorham Bike and Ski</v>
      </c>
      <c r="CZ326">
        <f>INDEX('Data_Price '!AI$2:AI$1266,MATCH(Data!$DN326,'Data_Price '!$AT$2:$AT$1266,0))</f>
        <v>489.99</v>
      </c>
      <c r="DA326" t="str">
        <f>INDEX('Data_Price '!AJ$2:AJ$1266,MATCH(Data!$DN326,'Data_Price '!$AT$2:$AT$1266,0))</f>
        <v>https://tinyurl.com/ydbjgr5j</v>
      </c>
      <c r="DB326" t="str">
        <f>INDEX('Data_Price '!AK$2:AK$1266,MATCH(Data!$DN326,'Data_Price '!$AT$2:$AT$1266,0))</f>
        <v>Atomic Backland 100 Skis 2022</v>
      </c>
      <c r="DC326" t="str">
        <f>INDEX('Data_Price '!AL$2:AL$1266,MATCH(Data!$DN326,'Data_Price '!$AT$2:$AT$1266,0))</f>
        <v>evo.com</v>
      </c>
      <c r="DD326">
        <f>INDEX('Data_Price '!AM$2:AM$1266,MATCH(Data!$DN326,'Data_Price '!$AT$2:$AT$1266,0))</f>
        <v>559.98</v>
      </c>
      <c r="DE326" t="str">
        <f>INDEX('Data_Price '!AN$2:AN$1266,MATCH(Data!$DN326,'Data_Price '!$AT$2:$AT$1266,0))</f>
        <v>https://tinyurl.com/y7k3fykc</v>
      </c>
      <c r="DF326" t="str">
        <f>INDEX('Data_Price '!AO$2:AO$1266,MATCH(Data!$DN326,'Data_Price '!$AT$2:$AT$1266,0))</f>
        <v>Atomic Backland 100 Skis 2022</v>
      </c>
      <c r="DG326" t="str">
        <f>INDEX('Data_Price '!AP$2:AP$1266,MATCH(Data!$DN326,'Data_Price '!$AT$2:$AT$1266,0))</f>
        <v>Level Nine Sports</v>
      </c>
      <c r="DH326">
        <f>INDEX('Data_Price '!AQ$2:AQ$1266,MATCH(Data!$DN326,'Data_Price '!$AT$2:$AT$1266,0))</f>
        <v>559.99</v>
      </c>
      <c r="DI326" t="str">
        <f>INDEX('Data_Price '!AR$2:AR$1266,MATCH(Data!$DN326,'Data_Price '!$AT$2:$AT$1266,0))</f>
        <v>https://tinyurl.com/y8h3ojta</v>
      </c>
      <c r="DJ326" s="89" t="str">
        <f t="shared" si="180"/>
        <v>https://tinyurl.com/ydbjgr5j</v>
      </c>
      <c r="DK326" s="89" t="str">
        <f t="shared" si="181"/>
        <v>https://tinyurl.com/y7k3fykc</v>
      </c>
      <c r="DL326" s="89" t="str">
        <f t="shared" si="182"/>
        <v>https://tinyurl.com/y8h3ojta</v>
      </c>
      <c r="DM326" s="219" t="str">
        <f t="shared" si="183"/>
        <v>Backland 100</v>
      </c>
      <c r="DN326" s="89" t="str">
        <f t="shared" si="184"/>
        <v xml:space="preserve"> AtomicBackland 100180 Unisex</v>
      </c>
      <c r="DO326" s="221" t="s">
        <v>400</v>
      </c>
    </row>
    <row r="327" spans="2:119" ht="15.6" customHeight="1">
      <c r="B327" s="219" t="b">
        <f t="array" ref="B327">IF(OR(ISERROR(K327:P327)),FALSE,TRUE)</f>
        <v>1</v>
      </c>
      <c r="C327" s="43" t="b">
        <f>OR(BR327=Driver!$G$50,Data!BR801=Driver!$H$50)</f>
        <v>1</v>
      </c>
      <c r="D327" s="43" t="b">
        <f>OR(BV327=Driver!$G$51,BV327=Driver!$H$51)</f>
        <v>1</v>
      </c>
      <c r="E327" s="43" t="b">
        <f>AND(BX327&gt;Driver!$F$54,BX327&lt;Driver!$G$54)</f>
        <v>0</v>
      </c>
      <c r="F327" s="43" t="b">
        <f>CL327&gt;Driver!$F$56</f>
        <v>1</v>
      </c>
      <c r="G327" s="43" t="b">
        <f>AND(CB327&gt;Driver!$F$55,CB327&lt;Driver!$G$55)</f>
        <v>0</v>
      </c>
      <c r="H327" s="43" t="b">
        <f t="shared" si="148"/>
        <v>0</v>
      </c>
      <c r="I327" s="43">
        <f t="shared" si="149"/>
        <v>0</v>
      </c>
      <c r="J327" s="43" t="b">
        <f t="array" ref="J327">NOT(OR(($H$9:$H$1273=TRUE)*($I$9:$I$1273&gt;0)*($BT$9:$BT$1273=BT327)*($K$9:$K$1273&gt;K327)))</f>
        <v>1</v>
      </c>
      <c r="K327" s="72">
        <f t="shared" si="150"/>
        <v>0.84266217257761078</v>
      </c>
      <c r="L327" s="72">
        <f t="shared" si="151"/>
        <v>0.96131519711485014</v>
      </c>
      <c r="M327" s="72">
        <f t="shared" si="152"/>
        <v>0.72400914804037142</v>
      </c>
      <c r="N327" s="72">
        <f t="shared" si="153"/>
        <v>0.65186799516821203</v>
      </c>
      <c r="O327" s="72">
        <f t="shared" si="154"/>
        <v>0.65768840568327391</v>
      </c>
      <c r="P327" s="72">
        <f t="shared" si="155"/>
        <v>0.86247104326962853</v>
      </c>
      <c r="Q327" s="72"/>
      <c r="R327" s="72"/>
      <c r="S327" s="72">
        <f t="shared" si="156"/>
        <v>0.5210666372272591</v>
      </c>
      <c r="T327" s="72">
        <f t="shared" si="157"/>
        <v>0.5415965053392775</v>
      </c>
      <c r="U327" s="72">
        <f t="shared" si="158"/>
        <v>0.73541144270455883</v>
      </c>
      <c r="V327" s="72">
        <f t="shared" si="159"/>
        <v>0.50221250342702239</v>
      </c>
      <c r="W327" s="72">
        <f t="shared" si="160"/>
        <v>0.76787501712166395</v>
      </c>
      <c r="X327" s="72">
        <f t="shared" si="161"/>
        <v>3.8684802885149888E-2</v>
      </c>
      <c r="Y327" s="72">
        <f t="shared" si="162"/>
        <v>0.27599085195962852</v>
      </c>
      <c r="Z327" s="72">
        <f t="shared" si="163"/>
        <v>0.34813200483178797</v>
      </c>
      <c r="AA327" s="72">
        <f t="shared" si="164"/>
        <v>0.34231159431672603</v>
      </c>
      <c r="AB327" s="72">
        <f t="shared" si="165"/>
        <v>0.13752895673037147</v>
      </c>
      <c r="AC327" s="72"/>
      <c r="AD327" s="72"/>
      <c r="AE327" s="72">
        <f t="shared" si="166"/>
        <v>0.4789333627727409</v>
      </c>
      <c r="AF327" s="72">
        <f t="shared" si="167"/>
        <v>0.45840349466072255</v>
      </c>
      <c r="AG327" s="72">
        <f t="shared" si="168"/>
        <v>0.26458855729544117</v>
      </c>
      <c r="AH327" s="72">
        <f t="shared" si="169"/>
        <v>0.49778749657297755</v>
      </c>
      <c r="AI327" s="72">
        <f t="shared" si="170"/>
        <v>0.23212498287833611</v>
      </c>
      <c r="AJ327" s="72">
        <f>(AV327-Driver!$K$179)/(Driver!$L$179-Driver!$K$179)</f>
        <v>0.21553460639755054</v>
      </c>
      <c r="AK327" s="72">
        <f>(AW327-Driver!$K$180)/(Driver!$L$180-Driver!$K$180)</f>
        <v>0.40025888572820062</v>
      </c>
      <c r="AL327" s="72">
        <f>(AX327-Driver!$K$181)/(Driver!$L$181-Driver!$K$181)</f>
        <v>0.44981976854486816</v>
      </c>
      <c r="AM327" s="72">
        <f>(AY327-Driver!$K$182)/(Driver!$L$182-Driver!$K$182)</f>
        <v>0.10507342678032035</v>
      </c>
      <c r="AN327" s="72">
        <f>(AZ327-Driver!$K$183)/(Driver!$L$183-Driver!$K$183)</f>
        <v>0.39174836601307189</v>
      </c>
      <c r="AO327" s="72"/>
      <c r="AP327" s="72"/>
      <c r="AQ327" s="72">
        <f>(BC327-Driver!$K$188)/(Driver!$L$188-Driver!$K$188)</f>
        <v>0.14106663722725907</v>
      </c>
      <c r="AR327" s="72">
        <f>MIN((BD327-Driver!$K$189)/(Driver!$L$189-Driver!$K$189),100%)</f>
        <v>9.1596505339277476E-2</v>
      </c>
      <c r="AS327" s="72">
        <f>(BE327-Driver!$K$190)/(Driver!$L$190-Driver!$K$190)</f>
        <v>0.77458855729544118</v>
      </c>
      <c r="AT327" s="72">
        <f>(BF327-Driver!$K$191)/(Driver!$L$191-Driver!$K$191)</f>
        <v>1.2212503427022467E-2</v>
      </c>
      <c r="AU327" s="72">
        <f>(BG327-Driver!$K$192)/(Driver!$L$192-Driver!$K$192)</f>
        <v>1.7875017121663908E-2</v>
      </c>
      <c r="AV327" s="70">
        <f t="shared" si="171"/>
        <v>4.5363587030253694</v>
      </c>
      <c r="AW327" s="70">
        <f t="shared" si="172"/>
        <v>40.880667690194414</v>
      </c>
      <c r="AX327" s="70">
        <f t="shared" si="173"/>
        <v>5.0483779169038137</v>
      </c>
      <c r="AY327" s="70">
        <f>IFERROR(Driver!$K$19/Data!BH327/Data!BI327*Data!BK327*Data!BL327,"")</f>
        <v>0.12864122526379732</v>
      </c>
      <c r="AZ327" s="70">
        <f t="shared" si="174"/>
        <v>35.703648548026806</v>
      </c>
      <c r="BA327" s="70"/>
      <c r="BB327" s="70"/>
      <c r="BC327" s="70">
        <f t="shared" si="175"/>
        <v>73.17224540913115</v>
      </c>
      <c r="BD327" s="70">
        <f t="shared" si="176"/>
        <v>9.8269513072200834</v>
      </c>
      <c r="BE327" s="70">
        <f t="shared" si="177"/>
        <v>0.77462876815970583</v>
      </c>
      <c r="BF327" s="70">
        <f t="shared" si="178"/>
        <v>1.3793164643898019</v>
      </c>
      <c r="BG327" s="70">
        <f t="shared" si="179"/>
        <v>6.7686217850783381E-2</v>
      </c>
      <c r="BH327" s="67">
        <f>MAX((CE327-Driver!$F$200)/(Driver!$G$200-Driver!$F$200)*$BI$1,1)</f>
        <v>5.0483779169038137</v>
      </c>
      <c r="BI327" s="67">
        <f>MAX($BI$1*(BY327-Driver!$F$201)/(Driver!$G$201-Driver!$F$201),1)</f>
        <v>8.6708860759493671</v>
      </c>
      <c r="BJ327" s="67">
        <f>(CB327-Driver!$F$206)/(Driver!$G$206-Driver!$F$206)*$BI$1</f>
        <v>3.9682539682539679</v>
      </c>
      <c r="BK327" s="67">
        <f>(CD327-Driver!$F$203)/(Driver!$G$203-Driver!$F$203)*$BI$1</f>
        <v>4.0825688073394497</v>
      </c>
      <c r="BL327" s="67">
        <f>MAX((CR327-Driver!$F$202)/(Driver!$G$202-Driver!$F$202)*$BI$1,1)</f>
        <v>6.8965517241379315</v>
      </c>
      <c r="BM327" s="67">
        <f>MAX((CH327-Driver!$F$204)/(Driver!$G$204-Driver!$F$204)*$BI$1,1)</f>
        <v>4.5726495726495724</v>
      </c>
      <c r="BN327" s="67">
        <f>(CI327-Driver!$F$205)/(Driver!$G$205-Driver!$F$205)*$BI$1</f>
        <v>4.117647058823529</v>
      </c>
      <c r="BO327" s="67">
        <f>(CK327-Driver!$F$207)/(Driver!$G$207-Driver!$F$207)*$BI$1</f>
        <v>0.98241985522233721</v>
      </c>
      <c r="BP327" s="67">
        <f>(CM327-Driver!$F$208)/(Driver!$G$208-Driver!$F$208)*$BI$1</f>
        <v>1.4444444444444442</v>
      </c>
      <c r="BQ327" s="67">
        <f>(CL327-Driver!$F$209)/(Driver!$G$209-Driver!$F$209)*$BI$1</f>
        <v>1.5625</v>
      </c>
      <c r="BR327" s="28" t="s">
        <v>155</v>
      </c>
      <c r="BS327" s="8" t="s">
        <v>215</v>
      </c>
      <c r="BT327" s="9" t="s">
        <v>306</v>
      </c>
      <c r="BU327" s="10">
        <v>179</v>
      </c>
      <c r="BV327" s="9" t="s">
        <v>158</v>
      </c>
      <c r="BW327" s="10">
        <v>179</v>
      </c>
      <c r="BX327" s="10">
        <v>178.6</v>
      </c>
      <c r="BY327" s="10">
        <v>145</v>
      </c>
      <c r="BZ327" s="10">
        <v>158</v>
      </c>
      <c r="CA327" s="10">
        <v>130</v>
      </c>
      <c r="CB327" s="10">
        <v>89</v>
      </c>
      <c r="CC327" s="10">
        <v>113</v>
      </c>
      <c r="CD327" s="10">
        <v>18.3</v>
      </c>
      <c r="CE327" s="10">
        <v>1787</v>
      </c>
      <c r="CF327" s="10">
        <v>1.02</v>
      </c>
      <c r="CG327" s="10">
        <v>1815</v>
      </c>
      <c r="CH327" s="10">
        <v>208</v>
      </c>
      <c r="CI327" s="10">
        <v>103</v>
      </c>
      <c r="CJ327" s="10">
        <v>39</v>
      </c>
      <c r="CK327" s="10">
        <v>205</v>
      </c>
      <c r="CL327" s="10">
        <v>10</v>
      </c>
      <c r="CM327" s="10">
        <v>130</v>
      </c>
      <c r="CN327" s="10">
        <v>0.25700000000000001</v>
      </c>
      <c r="CO327" s="10">
        <v>119</v>
      </c>
      <c r="CP327" s="10">
        <v>86</v>
      </c>
      <c r="CQ327" s="10">
        <v>86</v>
      </c>
      <c r="CR327" s="10">
        <v>9</v>
      </c>
      <c r="CS327" s="10">
        <v>10.5</v>
      </c>
      <c r="CT327" s="9" t="s">
        <v>188</v>
      </c>
      <c r="CU327" s="10"/>
      <c r="CV327" s="10"/>
      <c r="CW327" s="10"/>
      <c r="CX327" t="str">
        <f>INDEX('Data_Price '!AG$2:AG$1266,MATCH(Data!$DN327,'Data_Price '!$AT$2:$AT$1266,0))</f>
        <v>Liberty Skis Evolv 90 Ski</v>
      </c>
      <c r="CY327" t="str">
        <f>INDEX('Data_Price '!AH$2:AH$1266,MATCH(Data!$DN327,'Data_Price '!$AT$2:$AT$1266,0))</f>
        <v>REI</v>
      </c>
      <c r="CZ327">
        <f>INDEX('Data_Price '!AI$2:AI$1266,MATCH(Data!$DN327,'Data_Price '!$AT$2:$AT$1266,0))</f>
        <v>485.93</v>
      </c>
      <c r="DA327" t="str">
        <f>INDEX('Data_Price '!AJ$2:AJ$1266,MATCH(Data!$DN327,'Data_Price '!$AT$2:$AT$1266,0))</f>
        <v>https://tinyurl.com/ybn8cg44</v>
      </c>
      <c r="DB327" t="str">
        <f>INDEX('Data_Price '!AK$2:AK$1266,MATCH(Data!$DN327,'Data_Price '!$AT$2:$AT$1266,0))</f>
        <v>Liberty Skis Evolv 90 Ski</v>
      </c>
      <c r="DC327" t="str">
        <f>INDEX('Data_Price '!AL$2:AL$1266,MATCH(Data!$DN327,'Data_Price '!$AT$2:$AT$1266,0))</f>
        <v>Moosejaw</v>
      </c>
      <c r="DD327">
        <f>INDEX('Data_Price '!AM$2:AM$1266,MATCH(Data!$DN327,'Data_Price '!$AT$2:$AT$1266,0))</f>
        <v>519.99</v>
      </c>
      <c r="DE327" t="str">
        <f>INDEX('Data_Price '!AN$2:AN$1266,MATCH(Data!$DN327,'Data_Price '!$AT$2:$AT$1266,0))</f>
        <v>https://tinyurl.com/y9scgme9</v>
      </c>
      <c r="DF327" t="str">
        <f>INDEX('Data_Price '!AO$2:AO$1266,MATCH(Data!$DN327,'Data_Price '!$AT$2:$AT$1266,0))</f>
        <v>Evolv 90 - Proto 179</v>
      </c>
      <c r="DG327" t="str">
        <f>INDEX('Data_Price '!AP$2:AP$1266,MATCH(Data!$DN327,'Data_Price '!$AT$2:$AT$1266,0))</f>
        <v>Liberty Skis</v>
      </c>
      <c r="DH327">
        <f>INDEX('Data_Price '!AQ$2:AQ$1266,MATCH(Data!$DN327,'Data_Price '!$AT$2:$AT$1266,0))</f>
        <v>300</v>
      </c>
      <c r="DI327" t="str">
        <f>INDEX('Data_Price '!AR$2:AR$1266,MATCH(Data!$DN327,'Data_Price '!$AT$2:$AT$1266,0))</f>
        <v>https://tinyurl.com/ybttlm9l</v>
      </c>
      <c r="DJ327" s="89" t="str">
        <f t="shared" si="180"/>
        <v>https://tinyurl.com/ybn8cg44</v>
      </c>
      <c r="DK327" s="89" t="str">
        <f t="shared" si="181"/>
        <v>https://tinyurl.com/y9scgme9</v>
      </c>
      <c r="DL327" s="89" t="str">
        <f t="shared" si="182"/>
        <v>https://tinyurl.com/ybttlm9l</v>
      </c>
      <c r="DM327" s="219" t="str">
        <f t="shared" si="183"/>
        <v>Evolv 90</v>
      </c>
      <c r="DN327" s="89" t="str">
        <f t="shared" si="184"/>
        <v xml:space="preserve"> LibertyEvolv 90179 Unisex</v>
      </c>
      <c r="DO327" s="221"/>
    </row>
    <row r="328" spans="2:119" ht="15.6" customHeight="1">
      <c r="B328" s="219" t="b">
        <f t="array" ref="B328">IF(OR(ISERROR(K328:P328)),FALSE,TRUE)</f>
        <v>1</v>
      </c>
      <c r="C328" s="43" t="b">
        <f>OR(BR328=Driver!$G$50,Data!BR535=Driver!$H$50)</f>
        <v>1</v>
      </c>
      <c r="D328" s="43" t="b">
        <f>OR(BV328=Driver!$G$51,BV328=Driver!$H$51)</f>
        <v>1</v>
      </c>
      <c r="E328" s="43" t="b">
        <f>AND(BX328&gt;Driver!$F$54,BX328&lt;Driver!$G$54)</f>
        <v>0</v>
      </c>
      <c r="F328" s="43" t="b">
        <f>CL328&gt;Driver!$F$56</f>
        <v>1</v>
      </c>
      <c r="G328" s="43" t="b">
        <f>AND(CB328&gt;Driver!$F$55,CB328&lt;Driver!$G$55)</f>
        <v>0</v>
      </c>
      <c r="H328" s="43" t="b">
        <f t="shared" si="148"/>
        <v>0</v>
      </c>
      <c r="I328" s="43">
        <f t="shared" si="149"/>
        <v>0</v>
      </c>
      <c r="J328" s="43" t="b">
        <f t="array" ref="J328">NOT(OR(($H$9:$H$1273=TRUE)*($I$9:$I$1273&gt;0)*($BT$9:$BT$1273=BT328)*($K$9:$K$1273&gt;K328)))</f>
        <v>1</v>
      </c>
      <c r="K328" s="72">
        <f t="shared" si="150"/>
        <v>0.86354002226255377</v>
      </c>
      <c r="L328" s="72">
        <f t="shared" si="151"/>
        <v>0.99098518158146764</v>
      </c>
      <c r="M328" s="72">
        <f t="shared" si="152"/>
        <v>0.7360948629436399</v>
      </c>
      <c r="N328" s="72">
        <f t="shared" si="153"/>
        <v>0.57787823990355647</v>
      </c>
      <c r="O328" s="72">
        <f t="shared" si="154"/>
        <v>0.63781203271986764</v>
      </c>
      <c r="P328" s="72">
        <f t="shared" si="155"/>
        <v>0.99259431620749561</v>
      </c>
      <c r="Q328" s="72"/>
      <c r="R328" s="72"/>
      <c r="S328" s="72">
        <f t="shared" si="156"/>
        <v>0.44866517741047962</v>
      </c>
      <c r="T328" s="72">
        <f t="shared" si="157"/>
        <v>0.5099560535196892</v>
      </c>
      <c r="U328" s="72">
        <f t="shared" si="158"/>
        <v>0.52118353032185261</v>
      </c>
      <c r="V328" s="72">
        <f t="shared" si="159"/>
        <v>0.56132081973701642</v>
      </c>
      <c r="W328" s="72">
        <f t="shared" si="160"/>
        <v>0.82339279246649766</v>
      </c>
      <c r="X328" s="72">
        <f t="shared" si="161"/>
        <v>9.0148184185322999E-3</v>
      </c>
      <c r="Y328" s="72">
        <f t="shared" si="162"/>
        <v>0.2639051370563601</v>
      </c>
      <c r="Z328" s="72">
        <f t="shared" si="163"/>
        <v>0.42212176009644353</v>
      </c>
      <c r="AA328" s="72">
        <f t="shared" si="164"/>
        <v>0.36218796728013236</v>
      </c>
      <c r="AB328" s="72">
        <f t="shared" si="165"/>
        <v>7.4056837925043639E-3</v>
      </c>
      <c r="AC328" s="72"/>
      <c r="AD328" s="72"/>
      <c r="AE328" s="72">
        <f t="shared" si="166"/>
        <v>0.55133482258952038</v>
      </c>
      <c r="AF328" s="72">
        <f t="shared" si="167"/>
        <v>0.49004394648031085</v>
      </c>
      <c r="AG328" s="72">
        <f t="shared" si="168"/>
        <v>0.47881646967814734</v>
      </c>
      <c r="AH328" s="72">
        <f t="shared" si="169"/>
        <v>0.43867918026298358</v>
      </c>
      <c r="AI328" s="72">
        <f t="shared" si="170"/>
        <v>0.17660720753350234</v>
      </c>
      <c r="AJ328" s="72">
        <f>(AV328-Driver!$K$179)/(Driver!$L$179-Driver!$K$179)</f>
        <v>0.26323422770123273</v>
      </c>
      <c r="AK328" s="72">
        <f>(AW328-Driver!$K$180)/(Driver!$L$180-Driver!$K$180)</f>
        <v>0.27130539953170735</v>
      </c>
      <c r="AL328" s="72">
        <f>(AX328-Driver!$K$181)/(Driver!$L$181-Driver!$K$181)</f>
        <v>0.52380952380952372</v>
      </c>
      <c r="AM328" s="72">
        <f>(AY328-Driver!$K$182)/(Driver!$L$182-Driver!$K$182)</f>
        <v>8.519705381691399E-2</v>
      </c>
      <c r="AN328" s="72">
        <f>(AZ328-Driver!$K$183)/(Driver!$L$183-Driver!$K$183)</f>
        <v>0.24681372549019606</v>
      </c>
      <c r="AO328" s="72"/>
      <c r="AP328" s="72"/>
      <c r="AQ328" s="72">
        <f>(BC328-Driver!$K$188)/(Driver!$L$188-Driver!$K$188)</f>
        <v>6.8665177410479658E-2</v>
      </c>
      <c r="AR328" s="72">
        <f>MIN((BD328-Driver!$K$189)/(Driver!$L$189-Driver!$K$189),100%)</f>
        <v>5.9956053519689176E-2</v>
      </c>
      <c r="AS328" s="72">
        <f>(BE328-Driver!$K$190)/(Driver!$L$190-Driver!$K$190)</f>
        <v>3.1183530321852653E-2</v>
      </c>
      <c r="AT328" s="72">
        <f>(BF328-Driver!$K$191)/(Driver!$L$191-Driver!$K$191)</f>
        <v>7.1320819737016414E-2</v>
      </c>
      <c r="AU328" s="72">
        <f>(BG328-Driver!$K$192)/(Driver!$L$192-Driver!$K$192)</f>
        <v>7.3392792466497644E-2</v>
      </c>
      <c r="AV328" s="70">
        <f t="shared" si="171"/>
        <v>5.5402930402930401</v>
      </c>
      <c r="AW328" s="70">
        <f t="shared" si="172"/>
        <v>28.313007816219073</v>
      </c>
      <c r="AX328" s="70">
        <f t="shared" si="173"/>
        <v>5.7142857142857135</v>
      </c>
      <c r="AY328" s="70">
        <f>IFERROR(Driver!$K$19/Data!BH328/Data!BI328*Data!BK328*Data!BL328,"")</f>
        <v>0.10430661421928816</v>
      </c>
      <c r="AZ328" s="70">
        <f t="shared" si="174"/>
        <v>22.494415487714072</v>
      </c>
      <c r="BA328" s="70"/>
      <c r="BB328" s="70"/>
      <c r="BC328" s="70">
        <f t="shared" si="175"/>
        <v>35.61710487538479</v>
      </c>
      <c r="BD328" s="70">
        <f t="shared" si="176"/>
        <v>7.0268273847496872</v>
      </c>
      <c r="BE328" s="70">
        <f t="shared" si="177"/>
        <v>3.1356356275549384E-2</v>
      </c>
      <c r="BF328" s="70">
        <f t="shared" si="178"/>
        <v>8.055185532179495</v>
      </c>
      <c r="BG328" s="70">
        <f t="shared" si="179"/>
        <v>0.27791193181818186</v>
      </c>
      <c r="BH328" s="67">
        <f>MAX((CE328-Driver!$F$200)/(Driver!$G$200-Driver!$F$200)*$BI$1,1)</f>
        <v>5.7142857142857135</v>
      </c>
      <c r="BI328" s="67">
        <f>MAX($BI$1*(BY328-Driver!$F$201)/(Driver!$G$201-Driver!$F$201),1)</f>
        <v>6.7088607594936711</v>
      </c>
      <c r="BJ328" s="67">
        <f>(CB328-Driver!$F$206)/(Driver!$G$206-Driver!$F$206)*$BI$1</f>
        <v>5.2380952380952381</v>
      </c>
      <c r="BK328" s="67">
        <f>(CD328-Driver!$F$203)/(Driver!$G$203-Driver!$F$203)*$BI$1</f>
        <v>3.623853211009175</v>
      </c>
      <c r="BL328" s="67">
        <f>MAX((CR328-Driver!$F$202)/(Driver!$G$202-Driver!$F$202)*$BI$1,1)</f>
        <v>5.5172413793103452</v>
      </c>
      <c r="BM328" s="67">
        <f>MAX((CH328-Driver!$F$204)/(Driver!$G$204-Driver!$F$204)*$BI$1,1)</f>
        <v>4.2307692307692308</v>
      </c>
      <c r="BN328" s="67">
        <f>(CI328-Driver!$F$205)/(Driver!$G$205-Driver!$F$205)*$BI$1</f>
        <v>3.3529411764705879</v>
      </c>
      <c r="BO328" s="67">
        <f>(CK328-Driver!$F$207)/(Driver!$G$207-Driver!$F$207)*$BI$1</f>
        <v>2.0062047569803516</v>
      </c>
      <c r="BP328" s="67">
        <f>(CM328-Driver!$F$208)/(Driver!$G$208-Driver!$F$208)*$BI$1</f>
        <v>2.7777777777777777</v>
      </c>
      <c r="BQ328" s="67">
        <f>(CL328-Driver!$F$209)/(Driver!$G$209-Driver!$F$209)*$BI$1</f>
        <v>6.71875</v>
      </c>
      <c r="BR328" s="28" t="s">
        <v>155</v>
      </c>
      <c r="BS328" s="8" t="s">
        <v>205</v>
      </c>
      <c r="BT328" s="9" t="s">
        <v>308</v>
      </c>
      <c r="BU328" s="10">
        <v>171</v>
      </c>
      <c r="BV328" s="9" t="s">
        <v>158</v>
      </c>
      <c r="BW328" s="10">
        <v>171</v>
      </c>
      <c r="BX328" s="10">
        <v>169.3</v>
      </c>
      <c r="BY328" s="10">
        <v>114</v>
      </c>
      <c r="BZ328" s="10">
        <v>139</v>
      </c>
      <c r="CA328" s="10">
        <v>126</v>
      </c>
      <c r="CB328" s="10">
        <v>97</v>
      </c>
      <c r="CC328" s="10">
        <v>119</v>
      </c>
      <c r="CD328" s="10">
        <v>17.3</v>
      </c>
      <c r="CE328" s="10">
        <v>1904</v>
      </c>
      <c r="CF328" s="10">
        <v>0.96</v>
      </c>
      <c r="CG328" s="10">
        <v>1824</v>
      </c>
      <c r="CH328" s="10">
        <v>200</v>
      </c>
      <c r="CI328" s="10">
        <v>90</v>
      </c>
      <c r="CJ328" s="10">
        <v>52</v>
      </c>
      <c r="CK328" s="10">
        <v>304</v>
      </c>
      <c r="CL328" s="10">
        <v>43</v>
      </c>
      <c r="CM328" s="10">
        <v>250</v>
      </c>
      <c r="CN328" s="10">
        <v>0.83099999999999996</v>
      </c>
      <c r="CO328" s="10">
        <v>162</v>
      </c>
      <c r="CP328" s="10">
        <v>144</v>
      </c>
      <c r="CQ328" s="10">
        <v>142</v>
      </c>
      <c r="CR328" s="10">
        <v>5</v>
      </c>
      <c r="CS328" s="10">
        <v>8.1</v>
      </c>
      <c r="CT328" s="9" t="s">
        <v>188</v>
      </c>
      <c r="CU328" s="9" t="s">
        <v>184</v>
      </c>
      <c r="CV328" s="10"/>
      <c r="CW328" s="10"/>
      <c r="CX328" t="str">
        <f>INDEX('Data_Price '!AG$2:AG$1266,MATCH(Data!$DN328,'Data_Price '!$AT$2:$AT$1266,0))</f>
        <v>19-20 Faction Prodigy 2.0  Men's Demo Skis W/binding Size 171cm</v>
      </c>
      <c r="CY328" t="str">
        <f>INDEX('Data_Price '!AH$2:AH$1266,MATCH(Data!$DN328,'Data_Price '!$AT$2:$AT$1266,0))</f>
        <v>eBay - demo-skis</v>
      </c>
      <c r="CZ328">
        <f>INDEX('Data_Price '!AI$2:AI$1266,MATCH(Data!$DN328,'Data_Price '!$AT$2:$AT$1266,0))</f>
        <v>499</v>
      </c>
      <c r="DA328" t="str">
        <f>INDEX('Data_Price '!AJ$2:AJ$1266,MATCH(Data!$DN328,'Data_Price '!$AT$2:$AT$1266,0))</f>
        <v>https://tinyurl.com/y7v4r6ap</v>
      </c>
      <c r="DB328" t="str">
        <f>INDEX('Data_Price '!AK$2:AK$1266,MATCH(Data!$DN328,'Data_Price '!$AT$2:$AT$1266,0))</f>
        <v>Faction Dictator 2.0 Skis</v>
      </c>
      <c r="DC328" t="str">
        <f>INDEX('Data_Price '!AL$2:AL$1266,MATCH(Data!$DN328,'Data_Price '!$AT$2:$AT$1266,0))</f>
        <v>Gear West Ski &amp; Bike</v>
      </c>
      <c r="DD328">
        <f>INDEX('Data_Price '!AM$2:AM$1266,MATCH(Data!$DN328,'Data_Price '!$AT$2:$AT$1266,0))</f>
        <v>407.99</v>
      </c>
      <c r="DE328" t="str">
        <f>INDEX('Data_Price '!AN$2:AN$1266,MATCH(Data!$DN328,'Data_Price '!$AT$2:$AT$1266,0))</f>
        <v>https://tinyurl.com/y8n5ljw2</v>
      </c>
      <c r="DF328" t="str">
        <f>INDEX('Data_Price '!AO$2:AO$1266,MATCH(Data!$DN328,'Data_Price '!$AT$2:$AT$1266,0))</f>
        <v>Faction Agent 2.0 Skis</v>
      </c>
      <c r="DG328" t="str">
        <f>INDEX('Data_Price '!AP$2:AP$1266,MATCH(Data!$DN328,'Data_Price '!$AT$2:$AT$1266,0))</f>
        <v>Gorham Bike and Ski</v>
      </c>
      <c r="DH328">
        <f>INDEX('Data_Price '!AQ$2:AQ$1266,MATCH(Data!$DN328,'Data_Price '!$AT$2:$AT$1266,0))</f>
        <v>489.99</v>
      </c>
      <c r="DI328" t="str">
        <f>INDEX('Data_Price '!AR$2:AR$1266,MATCH(Data!$DN328,'Data_Price '!$AT$2:$AT$1266,0))</f>
        <v>https://tinyurl.com/ycu298c5</v>
      </c>
      <c r="DJ328" s="89" t="str">
        <f t="shared" si="180"/>
        <v>https://tinyurl.com/y7v4r6ap</v>
      </c>
      <c r="DK328" s="89" t="str">
        <f t="shared" si="181"/>
        <v>https://tinyurl.com/y8n5ljw2</v>
      </c>
      <c r="DL328" s="89" t="str">
        <f t="shared" si="182"/>
        <v>https://tinyurl.com/ycu298c5</v>
      </c>
      <c r="DM328" s="219" t="str">
        <f t="shared" si="183"/>
        <v>Prodigy 2.0</v>
      </c>
      <c r="DN328" s="89" t="str">
        <f t="shared" si="184"/>
        <v xml:space="preserve"> FactionProdigy 2.0171 Unisex</v>
      </c>
      <c r="DO328" s="221" t="s">
        <v>309</v>
      </c>
    </row>
    <row r="329" spans="2:119" ht="15.6" customHeight="1">
      <c r="B329" s="219" t="b">
        <f t="array" ref="B329">IF(OR(ISERROR(K329:P329)),FALSE,TRUE)</f>
        <v>1</v>
      </c>
      <c r="C329" s="43" t="b">
        <f>OR(BR329=Driver!$G$50,Data!BR927=Driver!$H$50)</f>
        <v>1</v>
      </c>
      <c r="D329" s="43" t="b">
        <f>OR(BV329=Driver!$G$51,BV329=Driver!$H$51)</f>
        <v>0</v>
      </c>
      <c r="E329" s="43" t="b">
        <f>AND(BX329&gt;Driver!$F$54,BX329&lt;Driver!$G$54)</f>
        <v>1</v>
      </c>
      <c r="F329" s="43" t="b">
        <f>CL329&gt;Driver!$F$56</f>
        <v>1</v>
      </c>
      <c r="G329" s="43" t="b">
        <f>AND(CB329&gt;Driver!$F$55,CB329&lt;Driver!$G$55)</f>
        <v>0</v>
      </c>
      <c r="H329" s="43" t="b">
        <f t="shared" ref="H329:H392" si="185">AND(B329:G329)</f>
        <v>0</v>
      </c>
      <c r="I329" s="43">
        <f t="shared" ref="I329:I392" si="186">COUNTIFS($H$9:$H$1273,TRUE,$BT$9:$BT$1273,BT329)</f>
        <v>0</v>
      </c>
      <c r="J329" s="43" t="b">
        <f t="array" ref="J329">NOT(OR(($H$9:$H$1273=TRUE)*($I$9:$I$1273&gt;0)*($BT$9:$BT$1273=BT329)*($K$9:$K$1273&gt;K329)))</f>
        <v>1</v>
      </c>
      <c r="K329" s="72">
        <f t="shared" ref="K329:K392" si="187">IFERROR(1-AVERAGE(X329:Y329),"")</f>
        <v>0.86922683428975822</v>
      </c>
      <c r="L329" s="72">
        <f t="shared" ref="L329:L392" si="188">1-X329</f>
        <v>0.98879082357524806</v>
      </c>
      <c r="M329" s="72">
        <f t="shared" ref="M329:M392" si="189">1-Y329</f>
        <v>0.74966284500426839</v>
      </c>
      <c r="N329" s="72">
        <f t="shared" ref="N329:N392" si="190">1-Z329</f>
        <v>0.62783713448396483</v>
      </c>
      <c r="O329" s="72">
        <f t="shared" ref="O329:O392" si="191">1-AA329</f>
        <v>0.62518362523306781</v>
      </c>
      <c r="P329" s="72">
        <f t="shared" ref="P329:P392" si="192">1-AB329</f>
        <v>0.9959677752957723</v>
      </c>
      <c r="Q329" s="72"/>
      <c r="R329" s="72"/>
      <c r="S329" s="72">
        <f t="shared" ref="S329:S392" si="193">1-AE329</f>
        <v>0.43820930944313574</v>
      </c>
      <c r="T329" s="72">
        <f t="shared" ref="T329:T392" si="194">1-AF329</f>
        <v>0.5528905292859847</v>
      </c>
      <c r="U329" s="72">
        <f t="shared" ref="U329:U392" si="195">1-AG329</f>
        <v>0.65186775821307275</v>
      </c>
      <c r="V329" s="72">
        <f t="shared" ref="V329:V392" si="196">1-AH329</f>
        <v>0.54475118633976116</v>
      </c>
      <c r="W329" s="72">
        <f t="shared" ref="W329:W392" si="197">1-AI329</f>
        <v>0.77468918918918916</v>
      </c>
      <c r="X329" s="72">
        <f t="shared" ref="X329:X392" si="198">ABS(AJ329-AJ$1)</f>
        <v>1.1209176424751888E-2</v>
      </c>
      <c r="Y329" s="72">
        <f t="shared" ref="Y329:Y392" si="199">AVERAGE(Z329:AB329)</f>
        <v>0.25033715499573167</v>
      </c>
      <c r="Z329" s="72">
        <f t="shared" ref="Z329:Z392" si="200">ABS(AL329-AL$1)</f>
        <v>0.37216286551603511</v>
      </c>
      <c r="AA329" s="72">
        <f t="shared" ref="AA329:AA392" si="201">ABS(AM329-AM$1)</f>
        <v>0.37481637476693219</v>
      </c>
      <c r="AB329" s="72">
        <f t="shared" ref="AB329:AB392" si="202">ABS(AN329-AN$1)</f>
        <v>4.0322247042277048E-3</v>
      </c>
      <c r="AC329" s="72"/>
      <c r="AD329" s="72"/>
      <c r="AE329" s="72">
        <f t="shared" ref="AE329:AE392" si="203">ABS(AQ$1-AQ329)</f>
        <v>0.56179069055686426</v>
      </c>
      <c r="AF329" s="72">
        <f t="shared" ref="AF329:AF392" si="204">ABS(AR$1-AR329)</f>
        <v>0.44710947071401536</v>
      </c>
      <c r="AG329" s="72">
        <f t="shared" ref="AG329:AG392" si="205">ABS(AS$1-AS329)</f>
        <v>0.34813224178692731</v>
      </c>
      <c r="AH329" s="72">
        <f t="shared" ref="AH329:AH392" si="206">ABS(AT$1-AT329)</f>
        <v>0.45524881366023884</v>
      </c>
      <c r="AI329" s="72">
        <f t="shared" ref="AI329:AI392" si="207">ABS(AU$1-AU329)</f>
        <v>0.22531081081081081</v>
      </c>
      <c r="AJ329" s="72">
        <f>(AV329-Driver!$K$179)/(Driver!$L$179-Driver!$K$179)</f>
        <v>0.24301023285794854</v>
      </c>
      <c r="AK329" s="72">
        <f>(AW329-Driver!$K$180)/(Driver!$L$180-Driver!$K$180)</f>
        <v>0.27722945095291657</v>
      </c>
      <c r="AL329" s="72">
        <f>(AX329-Driver!$K$181)/(Driver!$L$181-Driver!$K$181)</f>
        <v>0.47385062922911531</v>
      </c>
      <c r="AM329" s="72">
        <f>(AY329-Driver!$K$182)/(Driver!$L$182-Driver!$K$182)</f>
        <v>7.25686463301142E-2</v>
      </c>
      <c r="AN329" s="72">
        <f>(AZ329-Driver!$K$183)/(Driver!$L$183-Driver!$K$183)</f>
        <v>0.25825163398692813</v>
      </c>
      <c r="AO329" s="72"/>
      <c r="AP329" s="72"/>
      <c r="AQ329" s="72">
        <f>(BC329-Driver!$K$188)/(Driver!$L$188-Driver!$K$188)</f>
        <v>5.8209309443135751E-2</v>
      </c>
      <c r="AR329" s="72">
        <f>MIN((BD329-Driver!$K$189)/(Driver!$L$189-Driver!$K$189),100%)</f>
        <v>0.10289052928598467</v>
      </c>
      <c r="AS329" s="72">
        <f>(BE329-Driver!$K$190)/(Driver!$L$190-Driver!$K$190)</f>
        <v>0.1618677582130727</v>
      </c>
      <c r="AT329" s="72">
        <f>(BF329-Driver!$K$191)/(Driver!$L$191-Driver!$K$191)</f>
        <v>5.4751186339761143E-2</v>
      </c>
      <c r="AU329" s="72">
        <f>(BG329-Driver!$K$192)/(Driver!$L$192-Driver!$K$192)</f>
        <v>2.4689189189189182E-2</v>
      </c>
      <c r="AV329" s="70">
        <f t="shared" ref="AV329:AV392" si="208">IFERROR(BM329*BJ329^1/4,"")</f>
        <v>5.1146384479717808</v>
      </c>
      <c r="AW329" s="70">
        <f t="shared" ref="AW329:AW392" si="209">IFERROR(SUM(AX329:AZ329),"")</f>
        <v>28.890359119651478</v>
      </c>
      <c r="AX329" s="70">
        <f t="shared" ref="AX329:AX392" si="210">IFERROR(BH329,"")</f>
        <v>5.2646556630620376</v>
      </c>
      <c r="AY329" s="70">
        <f>IFERROR(Driver!$K$19/Data!BH329/Data!BI329*Data!BK329*Data!BL329,"")</f>
        <v>8.8845675502319407E-2</v>
      </c>
      <c r="AZ329" s="70">
        <f t="shared" ref="AZ329:AZ392" si="211">IFERROR(BI329*BN329,"")</f>
        <v>23.536857781087122</v>
      </c>
      <c r="BA329" s="70"/>
      <c r="BB329" s="70"/>
      <c r="BC329" s="70">
        <f t="shared" ref="BC329:BC392" si="212">IFERROR(BI329*BN329*BK329/BJ329^(1/2),"")</f>
        <v>30.193573472708653</v>
      </c>
      <c r="BD329" s="70">
        <f t="shared" ref="BD329:BD392" si="213">IFERROR(BH329*BM329*BL329/BJ329/BK329,"")</f>
        <v>10.826452414677398</v>
      </c>
      <c r="BE329" s="70">
        <f t="shared" ref="BE329:BE392" si="214">IFERROR(MIN(BI329/BQ329/BP329/BO329/BH329,$BE$1),"")</f>
        <v>0.16201727157142726</v>
      </c>
      <c r="BF329" s="70">
        <f t="shared" ref="BF329:BF392" si="215">IFERROR(BJ329*BO329*BP329/BK329,"")</f>
        <v>6.1837618482223764</v>
      </c>
      <c r="BG329" s="70">
        <f t="shared" ref="BG329:BG392" si="216">IFERROR(1/BM329/BH329*BQ329,"")</f>
        <v>9.3489020270270257E-2</v>
      </c>
      <c r="BH329" s="67">
        <f>MAX((CE329-Driver!$F$200)/(Driver!$G$200-Driver!$F$200)*$BI$1,1)</f>
        <v>5.2646556630620376</v>
      </c>
      <c r="BI329" s="67">
        <f>MAX($BI$1*(BY329-Driver!$F$201)/(Driver!$G$201-Driver!$F$201),1)</f>
        <v>6.8987341772151902</v>
      </c>
      <c r="BJ329" s="67">
        <f>(CB329-Driver!$F$206)/(Driver!$G$206-Driver!$F$206)*$BI$1</f>
        <v>4.6031746031746028</v>
      </c>
      <c r="BK329" s="67">
        <f>(CD329-Driver!$F$203)/(Driver!$G$203-Driver!$F$203)*$BI$1</f>
        <v>2.7522935779816518</v>
      </c>
      <c r="BL329" s="67">
        <f>MAX((CR329-Driver!$F$202)/(Driver!$G$202-Driver!$F$202)*$BI$1,1)</f>
        <v>5.8620689655172411</v>
      </c>
      <c r="BM329" s="67">
        <f>MAX((CH329-Driver!$F$204)/(Driver!$G$204-Driver!$F$204)*$BI$1,1)</f>
        <v>4.4444444444444446</v>
      </c>
      <c r="BN329" s="67">
        <f>(CI329-Driver!$F$205)/(Driver!$G$205-Driver!$F$205)*$BI$1</f>
        <v>3.4117647058823533</v>
      </c>
      <c r="BO329" s="67">
        <f>(CK329-Driver!$F$207)/(Driver!$G$207-Driver!$F$207)*$BI$1</f>
        <v>1.7890382626680454</v>
      </c>
      <c r="BP329" s="67">
        <f>(CM329-Driver!$F$208)/(Driver!$G$208-Driver!$F$208)*$BI$1</f>
        <v>2.0666666666666664</v>
      </c>
      <c r="BQ329" s="67">
        <f>(CL329-Driver!$F$209)/(Driver!$G$209-Driver!$F$209)*$BI$1</f>
        <v>2.1875</v>
      </c>
      <c r="BR329" s="28" t="s">
        <v>155</v>
      </c>
      <c r="BS329" s="8" t="s">
        <v>332</v>
      </c>
      <c r="BT329" s="9" t="s">
        <v>528</v>
      </c>
      <c r="BU329" s="10">
        <v>165</v>
      </c>
      <c r="BV329" s="9" t="s">
        <v>163</v>
      </c>
      <c r="BW329" s="10">
        <v>165</v>
      </c>
      <c r="BX329" s="10">
        <v>164.2</v>
      </c>
      <c r="BY329" s="10">
        <v>117</v>
      </c>
      <c r="BZ329" s="10">
        <v>137</v>
      </c>
      <c r="CA329" s="10">
        <v>126</v>
      </c>
      <c r="CB329" s="10">
        <v>93</v>
      </c>
      <c r="CC329" s="10">
        <v>112</v>
      </c>
      <c r="CD329" s="10">
        <v>15.4</v>
      </c>
      <c r="CE329" s="10">
        <v>1825</v>
      </c>
      <c r="CF329" s="10">
        <v>0.93</v>
      </c>
      <c r="CG329" s="10">
        <v>1699</v>
      </c>
      <c r="CH329" s="10">
        <v>205</v>
      </c>
      <c r="CI329" s="10">
        <v>91</v>
      </c>
      <c r="CJ329" s="10">
        <v>60</v>
      </c>
      <c r="CK329" s="10">
        <v>283</v>
      </c>
      <c r="CL329" s="10">
        <v>14</v>
      </c>
      <c r="CM329" s="10">
        <v>186</v>
      </c>
      <c r="CN329" s="10">
        <v>0.23</v>
      </c>
      <c r="CO329" s="10">
        <v>130</v>
      </c>
      <c r="CP329" s="10">
        <v>137</v>
      </c>
      <c r="CQ329" s="10">
        <v>153</v>
      </c>
      <c r="CR329" s="10">
        <v>6</v>
      </c>
      <c r="CS329" s="10">
        <v>8.5</v>
      </c>
      <c r="CT329" s="9" t="s">
        <v>188</v>
      </c>
      <c r="CU329" s="10"/>
      <c r="CV329" s="10"/>
      <c r="CW329" s="10"/>
      <c r="CX329" t="str">
        <f>INDEX('Data_Price '!AG$2:AG$1266,MATCH(Data!$DN329,'Data_Price '!$AT$2:$AT$1266,0))</f>
        <v>Nordica Santa Ana 93 21/22</v>
      </c>
      <c r="CY329" t="str">
        <f>INDEX('Data_Price '!AH$2:AH$1266,MATCH(Data!$DN329,'Data_Price '!$AT$2:$AT$1266,0))</f>
        <v>Snowcountry.eu</v>
      </c>
      <c r="CZ329">
        <f>INDEX('Data_Price '!AI$2:AI$1266,MATCH(Data!$DN329,'Data_Price '!$AT$2:$AT$1266,0))</f>
        <v>386.34</v>
      </c>
      <c r="DA329" t="str">
        <f>INDEX('Data_Price '!AJ$2:AJ$1266,MATCH(Data!$DN329,'Data_Price '!$AT$2:$AT$1266,0))</f>
        <v>https://tinyurl.com/ybt6myds</v>
      </c>
      <c r="DB329" t="str">
        <f>INDEX('Data_Price '!AK$2:AK$1266,MATCH(Data!$DN329,'Data_Price '!$AT$2:$AT$1266,0))</f>
        <v>Nordica Santa Ana 93 Skis</v>
      </c>
      <c r="DC329" t="str">
        <f>INDEX('Data_Price '!AL$2:AL$1266,MATCH(Data!$DN329,'Data_Price '!$AT$2:$AT$1266,0))</f>
        <v>Cole Sport</v>
      </c>
      <c r="DD329">
        <f>INDEX('Data_Price '!AM$2:AM$1266,MATCH(Data!$DN329,'Data_Price '!$AT$2:$AT$1266,0))</f>
        <v>519.99</v>
      </c>
      <c r="DE329" t="str">
        <f>INDEX('Data_Price '!AN$2:AN$1266,MATCH(Data!$DN329,'Data_Price '!$AT$2:$AT$1266,0))</f>
        <v>https://tinyurl.com/y9hcwkos</v>
      </c>
      <c r="DF329" t="str">
        <f>INDEX('Data_Price '!AO$2:AO$1266,MATCH(Data!$DN329,'Data_Price '!$AT$2:$AT$1266,0))</f>
        <v>Nordica Santa Ana 93 Alpine Skis 2022 - - 165 cm</v>
      </c>
      <c r="DG329" t="str">
        <f>INDEX('Data_Price '!AP$2:AP$1266,MATCH(Data!$DN329,'Data_Price '!$AT$2:$AT$1266,0))</f>
        <v>Skirack</v>
      </c>
      <c r="DH329">
        <f>INDEX('Data_Price '!AQ$2:AQ$1266,MATCH(Data!$DN329,'Data_Price '!$AT$2:$AT$1266,0))</f>
        <v>559.99</v>
      </c>
      <c r="DI329" t="str">
        <f>INDEX('Data_Price '!AR$2:AR$1266,MATCH(Data!$DN329,'Data_Price '!$AT$2:$AT$1266,0))</f>
        <v>https://tinyurl.com/y9dvqr4w</v>
      </c>
      <c r="DJ329" s="89" t="str">
        <f t="shared" ref="DJ329:DJ392" si="217">DA329</f>
        <v>https://tinyurl.com/ybt6myds</v>
      </c>
      <c r="DK329" s="89" t="str">
        <f t="shared" ref="DK329:DK392" si="218">DE329</f>
        <v>https://tinyurl.com/y9hcwkos</v>
      </c>
      <c r="DL329" s="89" t="str">
        <f t="shared" ref="DL329:DL392" si="219">DI329</f>
        <v>https://tinyurl.com/y9dvqr4w</v>
      </c>
      <c r="DM329" s="219" t="str">
        <f t="shared" ref="DM329:DM392" si="220">IF(LEFT(BT329,1)=" ",RIGHT(BT329,LEN(BT329)-1),BT329)</f>
        <v>Santa Ana 93</v>
      </c>
      <c r="DN329" s="89" t="str">
        <f t="shared" ref="DN329:DN392" si="221">_xlfn.CONCAT(BS329,DM329,BU329,BV329)</f>
        <v xml:space="preserve"> NordicaSanta Ana 93165 Women's</v>
      </c>
      <c r="DO329" s="221" t="s">
        <v>529</v>
      </c>
    </row>
    <row r="330" spans="2:119" ht="15.6" customHeight="1">
      <c r="B330" s="219" t="b">
        <f t="array" ref="B330">IF(OR(ISERROR(K330:P330)),FALSE,TRUE)</f>
        <v>1</v>
      </c>
      <c r="C330" s="43" t="b">
        <f>OR(BR330=Driver!$G$50,Data!BR875=Driver!$H$50)</f>
        <v>1</v>
      </c>
      <c r="D330" s="43" t="b">
        <f>OR(BV330=Driver!$G$51,BV330=Driver!$H$51)</f>
        <v>1</v>
      </c>
      <c r="E330" s="43" t="b">
        <f>AND(BX330&gt;Driver!$F$54,BX330&lt;Driver!$G$54)</f>
        <v>0</v>
      </c>
      <c r="F330" s="43" t="b">
        <f>CL330&gt;Driver!$F$56</f>
        <v>1</v>
      </c>
      <c r="G330" s="43" t="b">
        <f>AND(CB330&gt;Driver!$F$55,CB330&lt;Driver!$G$55)</f>
        <v>0</v>
      </c>
      <c r="H330" s="43" t="b">
        <f t="shared" si="185"/>
        <v>0</v>
      </c>
      <c r="I330" s="43">
        <f t="shared" si="186"/>
        <v>0</v>
      </c>
      <c r="J330" s="43" t="b">
        <f t="array" ref="J330">NOT(OR(($H$9:$H$1273=TRUE)*($I$9:$I$1273&gt;0)*($BT$9:$BT$1273=BT330)*($K$9:$K$1273&gt;K330)))</f>
        <v>1</v>
      </c>
      <c r="K330" s="72">
        <f t="shared" si="187"/>
        <v>0.86026221564520355</v>
      </c>
      <c r="L330" s="72">
        <f t="shared" si="188"/>
        <v>0.94520046018793047</v>
      </c>
      <c r="M330" s="72">
        <f t="shared" si="189"/>
        <v>0.77532397110247675</v>
      </c>
      <c r="N330" s="72">
        <f t="shared" si="190"/>
        <v>0.67400168264054505</v>
      </c>
      <c r="O330" s="72">
        <f t="shared" si="191"/>
        <v>0.68917239001163577</v>
      </c>
      <c r="P330" s="72">
        <f t="shared" si="192"/>
        <v>0.96279784065524943</v>
      </c>
      <c r="Q330" s="72"/>
      <c r="R330" s="72"/>
      <c r="S330" s="72">
        <f t="shared" si="193"/>
        <v>0.50380497703345362</v>
      </c>
      <c r="T330" s="72">
        <f t="shared" si="194"/>
        <v>0.51002029267360149</v>
      </c>
      <c r="U330" s="72">
        <f t="shared" si="195"/>
        <v>0.56114121122645888</v>
      </c>
      <c r="V330" s="72">
        <f t="shared" si="196"/>
        <v>0.51388819351659332</v>
      </c>
      <c r="W330" s="72">
        <f t="shared" si="197"/>
        <v>0.83849765258215969</v>
      </c>
      <c r="X330" s="72">
        <f t="shared" si="198"/>
        <v>5.4799539812069586E-2</v>
      </c>
      <c r="Y330" s="72">
        <f t="shared" si="199"/>
        <v>0.22467602889752325</v>
      </c>
      <c r="Z330" s="72">
        <f t="shared" si="200"/>
        <v>0.325998317359455</v>
      </c>
      <c r="AA330" s="72">
        <f t="shared" si="201"/>
        <v>0.31082760998836423</v>
      </c>
      <c r="AB330" s="72">
        <f t="shared" si="202"/>
        <v>3.7202159344750574E-2</v>
      </c>
      <c r="AC330" s="72"/>
      <c r="AD330" s="72"/>
      <c r="AE330" s="72">
        <f t="shared" si="203"/>
        <v>0.49619502296654644</v>
      </c>
      <c r="AF330" s="72">
        <f t="shared" si="204"/>
        <v>0.48997970732639845</v>
      </c>
      <c r="AG330" s="72">
        <f t="shared" si="205"/>
        <v>0.43885878877354118</v>
      </c>
      <c r="AH330" s="72">
        <f t="shared" si="206"/>
        <v>0.48611180648340663</v>
      </c>
      <c r="AI330" s="72">
        <f t="shared" si="207"/>
        <v>0.16150234741784036</v>
      </c>
      <c r="AJ330" s="72">
        <f>(AV330-Driver!$K$179)/(Driver!$L$179-Driver!$K$179)</f>
        <v>0.19941986947063084</v>
      </c>
      <c r="AK330" s="72">
        <f>(AW330-Driver!$K$180)/(Driver!$L$180-Driver!$K$180)</f>
        <v>0.3047892134313997</v>
      </c>
      <c r="AL330" s="72">
        <f>(AX330-Driver!$K$181)/(Driver!$L$181-Driver!$K$181)</f>
        <v>0.4276860810725352</v>
      </c>
      <c r="AM330" s="72">
        <f>(AY330-Driver!$K$182)/(Driver!$L$182-Driver!$K$182)</f>
        <v>0.13655741110868214</v>
      </c>
      <c r="AN330" s="72">
        <f>(AZ330-Driver!$K$183)/(Driver!$L$183-Driver!$K$183)</f>
        <v>0.291421568627451</v>
      </c>
      <c r="AO330" s="72"/>
      <c r="AP330" s="72"/>
      <c r="AQ330" s="72">
        <f>(BC330-Driver!$K$188)/(Driver!$L$188-Driver!$K$188)</f>
        <v>0.12380497703345357</v>
      </c>
      <c r="AR330" s="72">
        <f>MIN((BD330-Driver!$K$189)/(Driver!$L$189-Driver!$K$189),100%)</f>
        <v>6.0020292673601573E-2</v>
      </c>
      <c r="AS330" s="72">
        <f>(BE330-Driver!$K$190)/(Driver!$L$190-Driver!$K$190)</f>
        <v>7.114121122645882E-2</v>
      </c>
      <c r="AT330" s="72">
        <f>(BF330-Driver!$K$191)/(Driver!$L$191-Driver!$K$191)</f>
        <v>2.3888193516593402E-2</v>
      </c>
      <c r="AU330" s="72">
        <f>(BG330-Driver!$K$192)/(Driver!$L$192-Driver!$K$192)</f>
        <v>8.8497652582159622E-2</v>
      </c>
      <c r="AV330" s="70">
        <f t="shared" si="208"/>
        <v>4.1971916971916965</v>
      </c>
      <c r="AW330" s="70">
        <f t="shared" si="209"/>
        <v>31.576302177517739</v>
      </c>
      <c r="AX330" s="70">
        <f t="shared" si="210"/>
        <v>4.8491747296528169</v>
      </c>
      <c r="AY330" s="70">
        <f>IFERROR(Driver!$K$19/Data!BH330/Data!BI330*Data!BK330*Data!BL330,"")</f>
        <v>0.16718701599597149</v>
      </c>
      <c r="AZ330" s="70">
        <f t="shared" si="211"/>
        <v>26.559940431868952</v>
      </c>
      <c r="BA330" s="70"/>
      <c r="BB330" s="70"/>
      <c r="BC330" s="70">
        <f t="shared" si="212"/>
        <v>64.21850226548942</v>
      </c>
      <c r="BD330" s="70">
        <f t="shared" si="213"/>
        <v>7.0325124360458888</v>
      </c>
      <c r="BE330" s="70">
        <f t="shared" si="214"/>
        <v>7.1306909179625025E-2</v>
      </c>
      <c r="BF330" s="70">
        <f t="shared" si="215"/>
        <v>2.6980036336415911</v>
      </c>
      <c r="BG330" s="70">
        <f t="shared" si="216"/>
        <v>0.33510856807511741</v>
      </c>
      <c r="BH330" s="67">
        <f>MAX((CE330-Driver!$F$200)/(Driver!$G$200-Driver!$F$200)*$BI$1,1)</f>
        <v>4.8491747296528169</v>
      </c>
      <c r="BI330" s="67">
        <f>MAX($BI$1*(BY330-Driver!$F$201)/(Driver!$G$201-Driver!$F$201),1)</f>
        <v>7.7848101265822782</v>
      </c>
      <c r="BJ330" s="67">
        <f>(CB330-Driver!$F$206)/(Driver!$G$206-Driver!$F$206)*$BI$1</f>
        <v>3.9682539682539679</v>
      </c>
      <c r="BK330" s="67">
        <f>(CD330-Driver!$F$203)/(Driver!$G$203-Driver!$F$203)*$BI$1</f>
        <v>4.8165137614678901</v>
      </c>
      <c r="BL330" s="67">
        <f>MAX((CR330-Driver!$F$202)/(Driver!$G$202-Driver!$F$202)*$BI$1,1)</f>
        <v>6.5517241379310338</v>
      </c>
      <c r="BM330" s="67">
        <f>MAX((CH330-Driver!$F$204)/(Driver!$G$204-Driver!$F$204)*$BI$1,1)</f>
        <v>4.2307692307692308</v>
      </c>
      <c r="BN330" s="67">
        <f>(CI330-Driver!$F$205)/(Driver!$G$205-Driver!$F$205)*$BI$1</f>
        <v>3.4117647058823533</v>
      </c>
      <c r="BO330" s="67">
        <f>(CK330-Driver!$F$207)/(Driver!$G$207-Driver!$F$207)*$BI$1</f>
        <v>1.2926577042399172</v>
      </c>
      <c r="BP330" s="67">
        <f>(CM330-Driver!$F$208)/(Driver!$G$208-Driver!$F$208)*$BI$1</f>
        <v>2.5333333333333337</v>
      </c>
      <c r="BQ330" s="67">
        <f>(CL330-Driver!$F$209)/(Driver!$G$209-Driver!$F$209)*$BI$1</f>
        <v>6.875</v>
      </c>
      <c r="BR330" s="28" t="s">
        <v>155</v>
      </c>
      <c r="BS330" s="8" t="s">
        <v>208</v>
      </c>
      <c r="BT330" s="9" t="s">
        <v>530</v>
      </c>
      <c r="BU330" s="10">
        <v>178</v>
      </c>
      <c r="BV330" s="9" t="s">
        <v>158</v>
      </c>
      <c r="BW330" s="10">
        <v>178</v>
      </c>
      <c r="BX330" s="10">
        <v>177.7</v>
      </c>
      <c r="BY330" s="10">
        <v>131</v>
      </c>
      <c r="BZ330" s="10">
        <v>151</v>
      </c>
      <c r="CA330" s="10">
        <v>117</v>
      </c>
      <c r="CB330" s="10">
        <v>89</v>
      </c>
      <c r="CC330" s="10">
        <v>116</v>
      </c>
      <c r="CD330" s="10">
        <v>19.899999999999999</v>
      </c>
      <c r="CE330" s="10">
        <v>1752</v>
      </c>
      <c r="CF330" s="10">
        <v>1.01</v>
      </c>
      <c r="CG330" s="10">
        <v>1763</v>
      </c>
      <c r="CH330" s="10">
        <v>200</v>
      </c>
      <c r="CI330" s="10">
        <v>91</v>
      </c>
      <c r="CJ330" s="10">
        <v>42</v>
      </c>
      <c r="CK330" s="10">
        <v>235</v>
      </c>
      <c r="CL330" s="10">
        <v>44</v>
      </c>
      <c r="CM330" s="10">
        <v>228</v>
      </c>
      <c r="CN330" s="10">
        <v>1.0309999999999999</v>
      </c>
      <c r="CO330" s="10">
        <v>125</v>
      </c>
      <c r="CP330" s="10">
        <v>139</v>
      </c>
      <c r="CQ330" s="10">
        <v>110</v>
      </c>
      <c r="CR330" s="10">
        <v>8</v>
      </c>
      <c r="CS330" s="10">
        <v>2.4</v>
      </c>
      <c r="CT330" s="9" t="s">
        <v>184</v>
      </c>
      <c r="CU330" s="10"/>
      <c r="CV330" s="10"/>
      <c r="CW330" s="10"/>
      <c r="CX330" t="str">
        <f>INDEX('Data_Price '!AG$2:AG$1266,MATCH(Data!$DN330,'Data_Price '!$AT$2:$AT$1266,0))</f>
        <v>Line 2022 Tom Wallisch Pro Skis</v>
      </c>
      <c r="CY330" t="str">
        <f>INDEX('Data_Price '!AH$2:AH$1266,MATCH(Data!$DN330,'Data_Price '!$AT$2:$AT$1266,0))</f>
        <v>Suburban Ski and Bike</v>
      </c>
      <c r="CZ330">
        <f>INDEX('Data_Price '!AI$2:AI$1266,MATCH(Data!$DN330,'Data_Price '!$AT$2:$AT$1266,0))</f>
        <v>449.95</v>
      </c>
      <c r="DA330" t="str">
        <f>INDEX('Data_Price '!AJ$2:AJ$1266,MATCH(Data!$DN330,'Data_Price '!$AT$2:$AT$1266,0))</f>
        <v>https://tinyurl.com/y75fpgzo</v>
      </c>
      <c r="DB330" t="str">
        <f>INDEX('Data_Price '!AK$2:AK$1266,MATCH(Data!$DN330,'Data_Price '!$AT$2:$AT$1266,0))</f>
        <v>Line Skis Tom Wallisch Pro</v>
      </c>
      <c r="DC330" t="str">
        <f>INDEX('Data_Price '!AL$2:AL$1266,MATCH(Data!$DN330,'Data_Price '!$AT$2:$AT$1266,0))</f>
        <v>LINE Skis</v>
      </c>
      <c r="DD330">
        <f>INDEX('Data_Price '!AM$2:AM$1266,MATCH(Data!$DN330,'Data_Price '!$AT$2:$AT$1266,0))</f>
        <v>449.95</v>
      </c>
      <c r="DE330" t="str">
        <f>INDEX('Data_Price '!AN$2:AN$1266,MATCH(Data!$DN330,'Data_Price '!$AT$2:$AT$1266,0))</f>
        <v>https://tinyurl.com/y9wuqvwe</v>
      </c>
      <c r="DF330" t="str">
        <f>INDEX('Data_Price '!AO$2:AO$1266,MATCH(Data!$DN330,'Data_Price '!$AT$2:$AT$1266,0))</f>
        <v>Line Blend Skis 2022</v>
      </c>
      <c r="DG330" t="str">
        <f>INDEX('Data_Price '!AP$2:AP$1266,MATCH(Data!$DN330,'Data_Price '!$AT$2:$AT$1266,0))</f>
        <v>The-House.com</v>
      </c>
      <c r="DH330">
        <f>INDEX('Data_Price '!AQ$2:AQ$1266,MATCH(Data!$DN330,'Data_Price '!$AT$2:$AT$1266,0))</f>
        <v>479.95</v>
      </c>
      <c r="DI330" t="str">
        <f>INDEX('Data_Price '!AR$2:AR$1266,MATCH(Data!$DN330,'Data_Price '!$AT$2:$AT$1266,0))</f>
        <v>https://tinyurl.com/y9a9mdkr</v>
      </c>
      <c r="DJ330" s="89" t="str">
        <f t="shared" si="217"/>
        <v>https://tinyurl.com/y75fpgzo</v>
      </c>
      <c r="DK330" s="89" t="str">
        <f t="shared" si="218"/>
        <v>https://tinyurl.com/y9wuqvwe</v>
      </c>
      <c r="DL330" s="89" t="str">
        <f t="shared" si="219"/>
        <v>https://tinyurl.com/y9a9mdkr</v>
      </c>
      <c r="DM330" s="219" t="str">
        <f t="shared" si="220"/>
        <v>Tom Wallisch Pro</v>
      </c>
      <c r="DN330" s="89" t="str">
        <f t="shared" si="221"/>
        <v xml:space="preserve"> LineTom Wallisch Pro178 Unisex</v>
      </c>
      <c r="DO330" s="221"/>
    </row>
    <row r="331" spans="2:119" ht="15.6" customHeight="1">
      <c r="B331" s="219" t="b">
        <f t="array" ref="B331">IF(OR(ISERROR(K331:P331)),FALSE,TRUE)</f>
        <v>1</v>
      </c>
      <c r="C331" s="43" t="b">
        <f>OR(BR331=Driver!$G$50,Data!BR549=Driver!$H$50)</f>
        <v>1</v>
      </c>
      <c r="D331" s="43" t="b">
        <f>OR(BV331=Driver!$G$51,BV331=Driver!$H$51)</f>
        <v>1</v>
      </c>
      <c r="E331" s="43" t="b">
        <f>AND(BX331&gt;Driver!$F$54,BX331&lt;Driver!$G$54)</f>
        <v>0</v>
      </c>
      <c r="F331" s="43" t="b">
        <f>CL331&gt;Driver!$F$56</f>
        <v>1</v>
      </c>
      <c r="G331" s="43" t="b">
        <f>AND(CB331&gt;Driver!$F$55,CB331&lt;Driver!$G$55)</f>
        <v>1</v>
      </c>
      <c r="H331" s="43" t="b">
        <f t="shared" si="185"/>
        <v>0</v>
      </c>
      <c r="I331" s="43">
        <f t="shared" si="186"/>
        <v>1</v>
      </c>
      <c r="J331" s="43" t="b">
        <f t="array" ref="J331">NOT(OR(($H$9:$H$1273=TRUE)*($I$9:$I$1273&gt;0)*($BT$9:$BT$1273=BT331)*($K$9:$K$1273&gt;K331)))</f>
        <v>0</v>
      </c>
      <c r="K331" s="72">
        <f t="shared" si="187"/>
        <v>0.77558368655537613</v>
      </c>
      <c r="L331" s="72">
        <f t="shared" si="188"/>
        <v>0.81589856487048551</v>
      </c>
      <c r="M331" s="72">
        <f t="shared" si="189"/>
        <v>0.73526880824026675</v>
      </c>
      <c r="N331" s="72">
        <f t="shared" si="190"/>
        <v>0.58609932382185137</v>
      </c>
      <c r="O331" s="72">
        <f t="shared" si="191"/>
        <v>0.65372298573389542</v>
      </c>
      <c r="P331" s="72">
        <f t="shared" si="192"/>
        <v>0.96598411516505345</v>
      </c>
      <c r="Q331" s="72"/>
      <c r="R331" s="72"/>
      <c r="S331" s="72">
        <f t="shared" si="193"/>
        <v>0.45375717387071746</v>
      </c>
      <c r="T331" s="72">
        <f t="shared" si="194"/>
        <v>0.5511593965523196</v>
      </c>
      <c r="U331" s="72">
        <f t="shared" si="195"/>
        <v>0.55448170150985265</v>
      </c>
      <c r="V331" s="72">
        <f t="shared" si="196"/>
        <v>0.57246807893132667</v>
      </c>
      <c r="W331" s="72">
        <f t="shared" si="197"/>
        <v>0.78272763696800618</v>
      </c>
      <c r="X331" s="72">
        <f t="shared" si="198"/>
        <v>0.18410143512951455</v>
      </c>
      <c r="Y331" s="72">
        <f t="shared" si="199"/>
        <v>0.26473119175973325</v>
      </c>
      <c r="Z331" s="72">
        <f t="shared" si="200"/>
        <v>0.41390067617814863</v>
      </c>
      <c r="AA331" s="72">
        <f t="shared" si="201"/>
        <v>0.34627701426610458</v>
      </c>
      <c r="AB331" s="72">
        <f t="shared" si="202"/>
        <v>3.4015884834946608E-2</v>
      </c>
      <c r="AC331" s="72"/>
      <c r="AD331" s="72"/>
      <c r="AE331" s="72">
        <f t="shared" si="203"/>
        <v>0.54624282612928254</v>
      </c>
      <c r="AF331" s="72">
        <f t="shared" si="204"/>
        <v>0.4488406034476804</v>
      </c>
      <c r="AG331" s="72">
        <f t="shared" si="205"/>
        <v>0.44551829849014729</v>
      </c>
      <c r="AH331" s="72">
        <f t="shared" si="206"/>
        <v>0.42753192106867333</v>
      </c>
      <c r="AI331" s="72">
        <f t="shared" si="207"/>
        <v>0.21727236303199382</v>
      </c>
      <c r="AJ331" s="72">
        <f>(AV331-Driver!$K$179)/(Driver!$L$179-Driver!$K$179)</f>
        <v>0.43832084441221497</v>
      </c>
      <c r="AK331" s="72">
        <f>(AW331-Driver!$K$180)/(Driver!$L$180-Driver!$K$180)</f>
        <v>0.30948171587143292</v>
      </c>
      <c r="AL331" s="72">
        <f>(AX331-Driver!$K$181)/(Driver!$L$181-Driver!$K$181)</f>
        <v>0.51558843989122882</v>
      </c>
      <c r="AM331" s="72">
        <f>(AY331-Driver!$K$182)/(Driver!$L$182-Driver!$K$182)</f>
        <v>0.10110800683094177</v>
      </c>
      <c r="AN331" s="72">
        <f>(AZ331-Driver!$K$183)/(Driver!$L$183-Driver!$K$183)</f>
        <v>0.28823529411764703</v>
      </c>
      <c r="AO331" s="72"/>
      <c r="AP331" s="72"/>
      <c r="AQ331" s="72">
        <f>(BC331-Driver!$K$188)/(Driver!$L$188-Driver!$K$188)</f>
        <v>7.3757173870717466E-2</v>
      </c>
      <c r="AR331" s="72">
        <f>MIN((BD331-Driver!$K$189)/(Driver!$L$189-Driver!$K$189),100%)</f>
        <v>0.10115939655231963</v>
      </c>
      <c r="AS331" s="72">
        <f>(BE331-Driver!$K$190)/(Driver!$L$190-Driver!$K$190)</f>
        <v>6.4481701509852704E-2</v>
      </c>
      <c r="AT331" s="72">
        <f>(BF331-Driver!$K$191)/(Driver!$L$191-Driver!$K$191)</f>
        <v>8.246807893132671E-2</v>
      </c>
      <c r="AU331" s="72">
        <f>(BG331-Driver!$K$192)/(Driver!$L$192-Driver!$K$192)</f>
        <v>3.2727636968006166E-2</v>
      </c>
      <c r="AV331" s="70">
        <f t="shared" si="208"/>
        <v>9.2253425586758926</v>
      </c>
      <c r="AW331" s="70">
        <f t="shared" si="209"/>
        <v>32.033628120100438</v>
      </c>
      <c r="AX331" s="70">
        <f t="shared" si="210"/>
        <v>5.6402959590210591</v>
      </c>
      <c r="AY331" s="70">
        <f>IFERROR(Driver!$K$19/Data!BH331/Data!BI331*Data!BK331*Data!BL331,"")</f>
        <v>0.12378636807863977</v>
      </c>
      <c r="AZ331" s="70">
        <f t="shared" si="211"/>
        <v>26.269545793000741</v>
      </c>
      <c r="BA331" s="70"/>
      <c r="BB331" s="70"/>
      <c r="BC331" s="70">
        <f t="shared" si="212"/>
        <v>38.25835883829523</v>
      </c>
      <c r="BD331" s="70">
        <f t="shared" si="213"/>
        <v>10.673250235133739</v>
      </c>
      <c r="BE331" s="70">
        <f t="shared" si="214"/>
        <v>6.4648587444596381E-2</v>
      </c>
      <c r="BF331" s="70">
        <f t="shared" si="215"/>
        <v>9.3141901442487445</v>
      </c>
      <c r="BG331" s="70">
        <f t="shared" si="216"/>
        <v>0.12392771153617853</v>
      </c>
      <c r="BH331" s="67">
        <f>MAX((CE331-Driver!$F$200)/(Driver!$G$200-Driver!$F$200)*$BI$1,1)</f>
        <v>5.6402959590210591</v>
      </c>
      <c r="BI331" s="67">
        <f>MAX($BI$1*(BY331-Driver!$F$201)/(Driver!$G$201-Driver!$F$201),1)</f>
        <v>7.9746835443037973</v>
      </c>
      <c r="BJ331" s="67">
        <f>(CB331-Driver!$F$206)/(Driver!$G$206-Driver!$F$206)*$BI$1</f>
        <v>6.3492063492063489</v>
      </c>
      <c r="BK331" s="67">
        <f>(CD331-Driver!$F$203)/(Driver!$G$203-Driver!$F$203)*$BI$1</f>
        <v>3.6697247706422016</v>
      </c>
      <c r="BL331" s="67">
        <f>MAX((CR331-Driver!$F$202)/(Driver!$G$202-Driver!$F$202)*$BI$1,1)</f>
        <v>7.5862068965517242</v>
      </c>
      <c r="BM331" s="67">
        <f>MAX((CH331-Driver!$F$204)/(Driver!$G$204-Driver!$F$204)*$BI$1,1)</f>
        <v>5.8119658119658126</v>
      </c>
      <c r="BN331" s="67">
        <f>(CI331-Driver!$F$205)/(Driver!$G$205-Driver!$F$205)*$BI$1</f>
        <v>3.2941176470588234</v>
      </c>
      <c r="BO331" s="67">
        <f>(CK331-Driver!$F$207)/(Driver!$G$207-Driver!$F$207)*$BI$1</f>
        <v>2.1923474663908995</v>
      </c>
      <c r="BP331" s="67">
        <f>(CM331-Driver!$F$208)/(Driver!$G$208-Driver!$F$208)*$BI$1</f>
        <v>2.4555555555555557</v>
      </c>
      <c r="BQ331" s="67">
        <f>(CL331-Driver!$F$209)/(Driver!$G$209-Driver!$F$209)*$BI$1</f>
        <v>4.0625</v>
      </c>
      <c r="BR331" s="28" t="s">
        <v>155</v>
      </c>
      <c r="BS331" s="8" t="s">
        <v>321</v>
      </c>
      <c r="BT331" s="9" t="s">
        <v>365</v>
      </c>
      <c r="BU331" s="10">
        <v>188</v>
      </c>
      <c r="BV331" s="9" t="s">
        <v>158</v>
      </c>
      <c r="BW331" s="10">
        <v>188</v>
      </c>
      <c r="BX331" s="10">
        <v>188.6</v>
      </c>
      <c r="BY331" s="10">
        <v>134</v>
      </c>
      <c r="BZ331" s="10">
        <v>149</v>
      </c>
      <c r="CA331" s="10">
        <v>136</v>
      </c>
      <c r="CB331" s="10">
        <v>104</v>
      </c>
      <c r="CC331" s="10">
        <v>126</v>
      </c>
      <c r="CD331" s="10">
        <v>17.399999999999999</v>
      </c>
      <c r="CE331" s="10">
        <v>1891</v>
      </c>
      <c r="CF331" s="10">
        <v>1.1499999999999999</v>
      </c>
      <c r="CG331" s="10">
        <v>2168</v>
      </c>
      <c r="CH331" s="10">
        <v>237</v>
      </c>
      <c r="CI331" s="10">
        <v>89</v>
      </c>
      <c r="CJ331" s="10">
        <v>45</v>
      </c>
      <c r="CK331" s="10">
        <v>322</v>
      </c>
      <c r="CL331" s="10">
        <v>26</v>
      </c>
      <c r="CM331" s="10">
        <v>221</v>
      </c>
      <c r="CN331" s="10">
        <v>0.56799999999999995</v>
      </c>
      <c r="CO331" s="10">
        <v>271</v>
      </c>
      <c r="CP331" s="10">
        <v>124</v>
      </c>
      <c r="CQ331" s="10">
        <v>51</v>
      </c>
      <c r="CR331" s="10">
        <v>11</v>
      </c>
      <c r="CS331" s="10">
        <v>10.6</v>
      </c>
      <c r="CT331" s="9" t="s">
        <v>188</v>
      </c>
      <c r="CU331" s="9" t="s">
        <v>169</v>
      </c>
      <c r="CV331" s="9" t="s">
        <v>185</v>
      </c>
      <c r="CW331" s="10"/>
      <c r="CX331">
        <f>INDEX('Data_Price '!AG$2:AG$1266,MATCH(Data!$DN331,'Data_Price '!$AT$2:$AT$1266,0))</f>
        <v>0</v>
      </c>
      <c r="CY331">
        <f>INDEX('Data_Price '!AH$2:AH$1266,MATCH(Data!$DN331,'Data_Price '!$AT$2:$AT$1266,0))</f>
        <v>0</v>
      </c>
      <c r="CZ331">
        <f>INDEX('Data_Price '!AI$2:AI$1266,MATCH(Data!$DN331,'Data_Price '!$AT$2:$AT$1266,0))</f>
        <v>0</v>
      </c>
      <c r="DA331">
        <f>INDEX('Data_Price '!AJ$2:AJ$1266,MATCH(Data!$DN331,'Data_Price '!$AT$2:$AT$1266,0))</f>
        <v>0</v>
      </c>
      <c r="DB331">
        <f>INDEX('Data_Price '!AK$2:AK$1266,MATCH(Data!$DN331,'Data_Price '!$AT$2:$AT$1266,0))</f>
        <v>0</v>
      </c>
      <c r="DC331">
        <f>INDEX('Data_Price '!AL$2:AL$1266,MATCH(Data!$DN331,'Data_Price '!$AT$2:$AT$1266,0))</f>
        <v>0</v>
      </c>
      <c r="DD331">
        <f>INDEX('Data_Price '!AM$2:AM$1266,MATCH(Data!$DN331,'Data_Price '!$AT$2:$AT$1266,0))</f>
        <v>0</v>
      </c>
      <c r="DE331">
        <f>INDEX('Data_Price '!AN$2:AN$1266,MATCH(Data!$DN331,'Data_Price '!$AT$2:$AT$1266,0))</f>
        <v>0</v>
      </c>
      <c r="DF331">
        <f>INDEX('Data_Price '!AO$2:AO$1266,MATCH(Data!$DN331,'Data_Price '!$AT$2:$AT$1266,0))</f>
        <v>0</v>
      </c>
      <c r="DG331">
        <f>INDEX('Data_Price '!AP$2:AP$1266,MATCH(Data!$DN331,'Data_Price '!$AT$2:$AT$1266,0))</f>
        <v>0</v>
      </c>
      <c r="DH331">
        <f>INDEX('Data_Price '!AQ$2:AQ$1266,MATCH(Data!$DN331,'Data_Price '!$AT$2:$AT$1266,0))</f>
        <v>0</v>
      </c>
      <c r="DI331">
        <f>INDEX('Data_Price '!AR$2:AR$1266,MATCH(Data!$DN331,'Data_Price '!$AT$2:$AT$1266,0))</f>
        <v>0</v>
      </c>
      <c r="DJ331" s="89">
        <f t="shared" si="217"/>
        <v>0</v>
      </c>
      <c r="DK331" s="89">
        <f t="shared" si="218"/>
        <v>0</v>
      </c>
      <c r="DL331" s="89">
        <f t="shared" si="219"/>
        <v>0</v>
      </c>
      <c r="DM331" s="219" t="str">
        <f t="shared" si="220"/>
        <v>Pionnier 104</v>
      </c>
      <c r="DN331" s="89" t="str">
        <f t="shared" si="221"/>
        <v xml:space="preserve"> FerreolPionnier 104188 Unisex</v>
      </c>
      <c r="DO331" s="221"/>
    </row>
    <row r="332" spans="2:119" ht="15.6" customHeight="1">
      <c r="B332" s="219" t="b">
        <f t="array" ref="B332">IF(OR(ISERROR(K332:P332)),FALSE,TRUE)</f>
        <v>1</v>
      </c>
      <c r="C332" s="43" t="b">
        <f>OR(BR332=Driver!$G$50,Data!BR637=Driver!$H$50)</f>
        <v>1</v>
      </c>
      <c r="D332" s="43" t="b">
        <f>OR(BV332=Driver!$G$51,BV332=Driver!$H$51)</f>
        <v>1</v>
      </c>
      <c r="E332" s="43" t="b">
        <f>AND(BX332&gt;Driver!$F$54,BX332&lt;Driver!$G$54)</f>
        <v>0</v>
      </c>
      <c r="F332" s="43" t="b">
        <f>CL332&gt;Driver!$F$56</f>
        <v>1</v>
      </c>
      <c r="G332" s="43" t="b">
        <f>AND(CB332&gt;Driver!$F$55,CB332&lt;Driver!$G$55)</f>
        <v>0</v>
      </c>
      <c r="H332" s="43" t="b">
        <f t="shared" si="185"/>
        <v>0</v>
      </c>
      <c r="I332" s="43">
        <f t="shared" si="186"/>
        <v>0</v>
      </c>
      <c r="J332" s="43" t="b">
        <f t="array" ref="J332">NOT(OR(($H$9:$H$1273=TRUE)*($I$9:$I$1273&gt;0)*($BT$9:$BT$1273=BT332)*($K$9:$K$1273&gt;K332)))</f>
        <v>1</v>
      </c>
      <c r="K332" s="72">
        <f t="shared" si="187"/>
        <v>0.86066534162899577</v>
      </c>
      <c r="L332" s="72">
        <f t="shared" si="188"/>
        <v>0.95140463390479446</v>
      </c>
      <c r="M332" s="72">
        <f t="shared" si="189"/>
        <v>0.76992604935319697</v>
      </c>
      <c r="N332" s="72">
        <f t="shared" si="190"/>
        <v>0.62467517913077453</v>
      </c>
      <c r="O332" s="72">
        <f t="shared" si="191"/>
        <v>0.70457637010363228</v>
      </c>
      <c r="P332" s="72">
        <f t="shared" si="192"/>
        <v>0.98052659882518411</v>
      </c>
      <c r="Q332" s="72"/>
      <c r="R332" s="72"/>
      <c r="S332" s="72">
        <f t="shared" si="193"/>
        <v>0.51571737127361927</v>
      </c>
      <c r="T332" s="72">
        <f t="shared" si="194"/>
        <v>0.48620981669771235</v>
      </c>
      <c r="U332" s="72">
        <f t="shared" si="195"/>
        <v>0.60232063357525112</v>
      </c>
      <c r="V332" s="72">
        <f t="shared" si="196"/>
        <v>0.50614887600752367</v>
      </c>
      <c r="W332" s="72">
        <f t="shared" si="197"/>
        <v>0.82877199413489733</v>
      </c>
      <c r="X332" s="72">
        <f t="shared" si="198"/>
        <v>4.8595366095205511E-2</v>
      </c>
      <c r="Y332" s="72">
        <f t="shared" si="199"/>
        <v>0.23007395064680303</v>
      </c>
      <c r="Z332" s="72">
        <f t="shared" si="200"/>
        <v>0.37532482086922553</v>
      </c>
      <c r="AA332" s="72">
        <f t="shared" si="201"/>
        <v>0.29542362989636772</v>
      </c>
      <c r="AB332" s="72">
        <f t="shared" si="202"/>
        <v>1.9473401174815941E-2</v>
      </c>
      <c r="AC332" s="72"/>
      <c r="AD332" s="72"/>
      <c r="AE332" s="72">
        <f t="shared" si="203"/>
        <v>0.48428262872638073</v>
      </c>
      <c r="AF332" s="72">
        <f t="shared" si="204"/>
        <v>0.51379018330228765</v>
      </c>
      <c r="AG332" s="72">
        <f t="shared" si="205"/>
        <v>0.39767936642474888</v>
      </c>
      <c r="AH332" s="72">
        <f t="shared" si="206"/>
        <v>0.49385112399247633</v>
      </c>
      <c r="AI332" s="72">
        <f t="shared" si="207"/>
        <v>0.17122800586510264</v>
      </c>
      <c r="AJ332" s="72">
        <f>(AV332-Driver!$K$179)/(Driver!$L$179-Driver!$K$179)</f>
        <v>0.20562404318749491</v>
      </c>
      <c r="AK332" s="72">
        <f>(AW332-Driver!$K$180)/(Driver!$L$180-Driver!$K$180)</f>
        <v>0.29295870418124503</v>
      </c>
      <c r="AL332" s="72">
        <f>(AX332-Driver!$K$181)/(Driver!$L$181-Driver!$K$181)</f>
        <v>0.47701258458230572</v>
      </c>
      <c r="AM332" s="72">
        <f>(AY332-Driver!$K$182)/(Driver!$L$182-Driver!$K$182)</f>
        <v>0.15196139120067864</v>
      </c>
      <c r="AN332" s="72">
        <f>(AZ332-Driver!$K$183)/(Driver!$L$183-Driver!$K$183)</f>
        <v>0.27369281045751637</v>
      </c>
      <c r="AO332" s="72"/>
      <c r="AP332" s="72"/>
      <c r="AQ332" s="72">
        <f>(BC332-Driver!$K$188)/(Driver!$L$188-Driver!$K$188)</f>
        <v>0.13571737127361927</v>
      </c>
      <c r="AR332" s="72">
        <f>MIN((BD332-Driver!$K$189)/(Driver!$L$189-Driver!$K$189),100%)</f>
        <v>3.6209816697712408E-2</v>
      </c>
      <c r="AS332" s="72">
        <f>(BE332-Driver!$K$190)/(Driver!$L$190-Driver!$K$190)</f>
        <v>0.11232063357525114</v>
      </c>
      <c r="AT332" s="72">
        <f>(BF332-Driver!$K$191)/(Driver!$L$191-Driver!$K$191)</f>
        <v>1.6148876007523672E-2</v>
      </c>
      <c r="AU332" s="72">
        <f>(BG332-Driver!$K$192)/(Driver!$L$192-Driver!$K$192)</f>
        <v>7.8771994134897355E-2</v>
      </c>
      <c r="AV332" s="70">
        <f t="shared" si="208"/>
        <v>4.3277709944376603</v>
      </c>
      <c r="AW332" s="70">
        <f t="shared" si="209"/>
        <v>30.423314222114122</v>
      </c>
      <c r="AX332" s="70">
        <f t="shared" si="210"/>
        <v>5.2931132612407517</v>
      </c>
      <c r="AY332" s="70">
        <f>IFERROR(Driver!$K$19/Data!BH332/Data!BI332*Data!BK332*Data!BL332,"")</f>
        <v>0.18604608373263651</v>
      </c>
      <c r="AZ332" s="70">
        <f t="shared" si="211"/>
        <v>24.944154877140733</v>
      </c>
      <c r="BA332" s="70"/>
      <c r="BB332" s="70"/>
      <c r="BC332" s="70">
        <f t="shared" si="212"/>
        <v>70.397543971484595</v>
      </c>
      <c r="BD332" s="70">
        <f t="shared" si="213"/>
        <v>4.9253275018466329</v>
      </c>
      <c r="BE332" s="70">
        <f t="shared" si="214"/>
        <v>0.11247898558296447</v>
      </c>
      <c r="BF332" s="70">
        <f t="shared" si="215"/>
        <v>1.8239020927748946</v>
      </c>
      <c r="BG332" s="70">
        <f t="shared" si="216"/>
        <v>0.29828102089442815</v>
      </c>
      <c r="BH332" s="67">
        <f>MAX((CE332-Driver!$F$200)/(Driver!$G$200-Driver!$F$200)*$BI$1,1)</f>
        <v>5.2931132612407517</v>
      </c>
      <c r="BI332" s="67">
        <f>MAX($BI$1*(BY332-Driver!$F$201)/(Driver!$G$201-Driver!$F$201),1)</f>
        <v>8.4810126582278489</v>
      </c>
      <c r="BJ332" s="67">
        <f>(CB332-Driver!$F$206)/(Driver!$G$206-Driver!$F$206)*$BI$1</f>
        <v>4.6031746031746028</v>
      </c>
      <c r="BK332" s="67">
        <f>(CD332-Driver!$F$203)/(Driver!$G$203-Driver!$F$203)*$BI$1</f>
        <v>6.0550458715596349</v>
      </c>
      <c r="BL332" s="67">
        <f>MAX((CR332-Driver!$F$202)/(Driver!$G$202-Driver!$F$202)*$BI$1,1)</f>
        <v>6.8965517241379315</v>
      </c>
      <c r="BM332" s="67">
        <f>MAX((CH332-Driver!$F$204)/(Driver!$G$204-Driver!$F$204)*$BI$1,1)</f>
        <v>3.7606837606837606</v>
      </c>
      <c r="BN332" s="67">
        <f>(CI332-Driver!$F$205)/(Driver!$G$205-Driver!$F$205)*$BI$1</f>
        <v>2.9411764705882355</v>
      </c>
      <c r="BO332" s="67">
        <f>(CK332-Driver!$F$207)/(Driver!$G$207-Driver!$F$207)*$BI$1</f>
        <v>1.4891416752843847</v>
      </c>
      <c r="BP332" s="67">
        <f>(CM332-Driver!$F$208)/(Driver!$G$208-Driver!$F$208)*$BI$1</f>
        <v>1.6111111111111112</v>
      </c>
      <c r="BQ332" s="67">
        <f>(CL332-Driver!$F$209)/(Driver!$G$209-Driver!$F$209)*$BI$1</f>
        <v>5.9375</v>
      </c>
      <c r="BR332" s="28" t="s">
        <v>155</v>
      </c>
      <c r="BS332" s="8" t="s">
        <v>167</v>
      </c>
      <c r="BT332" s="9" t="s">
        <v>393</v>
      </c>
      <c r="BU332" s="10">
        <v>184</v>
      </c>
      <c r="BV332" s="9" t="s">
        <v>158</v>
      </c>
      <c r="BW332" s="10">
        <v>184</v>
      </c>
      <c r="BX332" s="10">
        <v>181.9</v>
      </c>
      <c r="BY332" s="10">
        <v>142</v>
      </c>
      <c r="BZ332" s="10">
        <v>164</v>
      </c>
      <c r="CA332" s="10">
        <v>127</v>
      </c>
      <c r="CB332" s="10">
        <v>93</v>
      </c>
      <c r="CC332" s="10">
        <v>117</v>
      </c>
      <c r="CD332" s="10">
        <v>22.6</v>
      </c>
      <c r="CE332" s="10">
        <v>1830</v>
      </c>
      <c r="CF332" s="10">
        <v>1.03</v>
      </c>
      <c r="CG332" s="10">
        <v>1878</v>
      </c>
      <c r="CH332" s="10">
        <v>189</v>
      </c>
      <c r="CI332" s="10">
        <v>83</v>
      </c>
      <c r="CJ332" s="10">
        <v>54</v>
      </c>
      <c r="CK332" s="10">
        <v>254</v>
      </c>
      <c r="CL332" s="10">
        <v>38</v>
      </c>
      <c r="CM332" s="10">
        <v>145</v>
      </c>
      <c r="CN332" s="10">
        <v>0.70399999999999996</v>
      </c>
      <c r="CO332" s="10">
        <v>95</v>
      </c>
      <c r="CP332" s="10">
        <v>87</v>
      </c>
      <c r="CQ332" s="10">
        <v>159</v>
      </c>
      <c r="CR332" s="10">
        <v>9</v>
      </c>
      <c r="CS332" s="10">
        <v>5.6</v>
      </c>
      <c r="CT332" s="9" t="s">
        <v>188</v>
      </c>
      <c r="CU332" s="10"/>
      <c r="CV332" s="10"/>
      <c r="CW332" s="10"/>
      <c r="CX332" t="str">
        <f>INDEX('Data_Price '!AG$2:AG$1266,MATCH(Data!$DN332,'Data_Price '!$AT$2:$AT$1266,0))</f>
        <v>Head Oblivion 94 Gr/Bl / 184cm</v>
      </c>
      <c r="CY332" t="str">
        <f>INDEX('Data_Price '!AH$2:AH$1266,MATCH(Data!$DN332,'Data_Price '!$AT$2:$AT$1266,0))</f>
        <v>Sundance Ski and Board Shop</v>
      </c>
      <c r="CZ332">
        <f>INDEX('Data_Price '!AI$2:AI$1266,MATCH(Data!$DN332,'Data_Price '!$AT$2:$AT$1266,0))</f>
        <v>440.94</v>
      </c>
      <c r="DA332" t="str">
        <f>INDEX('Data_Price '!AJ$2:AJ$1266,MATCH(Data!$DN332,'Data_Price '!$AT$2:$AT$1266,0))</f>
        <v>https://tinyurl.com/y82m89wt</v>
      </c>
      <c r="DB332" t="str">
        <f>INDEX('Data_Price '!AK$2:AK$1266,MATCH(Data!$DN332,'Data_Price '!$AT$2:$AT$1266,0))</f>
        <v>Head Oblivion 94 Skis Â· 2022 Â· 184 cm</v>
      </c>
      <c r="DC332" t="str">
        <f>INDEX('Data_Price '!AL$2:AL$1266,MATCH(Data!$DN332,'Data_Price '!$AT$2:$AT$1266,0))</f>
        <v>Christy Sports</v>
      </c>
      <c r="DD332">
        <f>INDEX('Data_Price '!AM$2:AM$1266,MATCH(Data!$DN332,'Data_Price '!$AT$2:$AT$1266,0))</f>
        <v>499</v>
      </c>
      <c r="DE332" t="str">
        <f>INDEX('Data_Price '!AN$2:AN$1266,MATCH(Data!$DN332,'Data_Price '!$AT$2:$AT$1266,0))</f>
        <v>https://tinyurl.com/y863e3jp</v>
      </c>
      <c r="DF332" t="str">
        <f>INDEX('Data_Price '!AO$2:AO$1266,MATCH(Data!$DN332,'Data_Price '!$AT$2:$AT$1266,0))</f>
        <v>2022 Head Oblivion 94 Twin Tip Snow Skis 184</v>
      </c>
      <c r="DG332" t="str">
        <f>INDEX('Data_Price '!AP$2:AP$1266,MATCH(Data!$DN332,'Data_Price '!$AT$2:$AT$1266,0))</f>
        <v>The Pro Shop</v>
      </c>
      <c r="DH332">
        <f>INDEX('Data_Price '!AQ$2:AQ$1266,MATCH(Data!$DN332,'Data_Price '!$AT$2:$AT$1266,0))</f>
        <v>499</v>
      </c>
      <c r="DI332" t="str">
        <f>INDEX('Data_Price '!AR$2:AR$1266,MATCH(Data!$DN332,'Data_Price '!$AT$2:$AT$1266,0))</f>
        <v>https://tinyurl.com/y8emc43f</v>
      </c>
      <c r="DJ332" s="89" t="str">
        <f t="shared" si="217"/>
        <v>https://tinyurl.com/y82m89wt</v>
      </c>
      <c r="DK332" s="89" t="str">
        <f t="shared" si="218"/>
        <v>https://tinyurl.com/y863e3jp</v>
      </c>
      <c r="DL332" s="89" t="str">
        <f t="shared" si="219"/>
        <v>https://tinyurl.com/y8emc43f</v>
      </c>
      <c r="DM332" s="219" t="str">
        <f t="shared" si="220"/>
        <v>Oblivion 94</v>
      </c>
      <c r="DN332" s="89" t="str">
        <f t="shared" si="221"/>
        <v xml:space="preserve"> HeadOblivion 94184 Unisex</v>
      </c>
      <c r="DO332" s="221" t="s">
        <v>394</v>
      </c>
    </row>
    <row r="333" spans="2:119" ht="15.6" customHeight="1">
      <c r="B333" s="219" t="b">
        <f t="array" ref="B333">IF(OR(ISERROR(K333:P333)),FALSE,TRUE)</f>
        <v>1</v>
      </c>
      <c r="C333" s="43" t="b">
        <f>OR(BR333=Driver!$G$50,Data!BR964=Driver!$H$50)</f>
        <v>1</v>
      </c>
      <c r="D333" s="43" t="b">
        <f>OR(BV333=Driver!$G$51,BV333=Driver!$H$51)</f>
        <v>1</v>
      </c>
      <c r="E333" s="43" t="b">
        <f>AND(BX333&gt;Driver!$F$54,BX333&lt;Driver!$G$54)</f>
        <v>0</v>
      </c>
      <c r="F333" s="43" t="b">
        <f>CL333&gt;Driver!$F$56</f>
        <v>1</v>
      </c>
      <c r="G333" s="43" t="b">
        <f>AND(CB333&gt;Driver!$F$55,CB333&lt;Driver!$G$55)</f>
        <v>0</v>
      </c>
      <c r="H333" s="43" t="b">
        <f t="shared" si="185"/>
        <v>0</v>
      </c>
      <c r="I333" s="43">
        <f t="shared" si="186"/>
        <v>0</v>
      </c>
      <c r="J333" s="43" t="b">
        <f t="array" ref="J333">NOT(OR(($H$9:$H$1273=TRUE)*($I$9:$I$1273&gt;0)*($BT$9:$BT$1273=BT333)*($K$9:$K$1273&gt;K333)))</f>
        <v>1</v>
      </c>
      <c r="K333" s="72">
        <f t="shared" si="187"/>
        <v>0.90888861092074591</v>
      </c>
      <c r="L333" s="72">
        <f t="shared" si="188"/>
        <v>0.90324043901439011</v>
      </c>
      <c r="M333" s="72">
        <f t="shared" si="189"/>
        <v>0.91453678282710182</v>
      </c>
      <c r="N333" s="72">
        <f t="shared" si="190"/>
        <v>0.94782701622683474</v>
      </c>
      <c r="O333" s="72">
        <f t="shared" si="191"/>
        <v>0.80071424976915584</v>
      </c>
      <c r="P333" s="72">
        <f t="shared" si="192"/>
        <v>0.99506908248531478</v>
      </c>
      <c r="Q333" s="72"/>
      <c r="R333" s="72"/>
      <c r="S333" s="72">
        <f t="shared" si="193"/>
        <v>0.47491290102442529</v>
      </c>
      <c r="T333" s="72">
        <f t="shared" si="194"/>
        <v>0.46621406158154932</v>
      </c>
      <c r="U333" s="72">
        <f t="shared" si="195"/>
        <v>0.92948499981640642</v>
      </c>
      <c r="V333" s="72">
        <f t="shared" si="196"/>
        <v>0.52525263407144318</v>
      </c>
      <c r="W333" s="72">
        <f t="shared" si="197"/>
        <v>0.78987578650466483</v>
      </c>
      <c r="X333" s="72">
        <f t="shared" si="198"/>
        <v>9.6759560985609894E-2</v>
      </c>
      <c r="Y333" s="72">
        <f t="shared" si="199"/>
        <v>8.5463217172898218E-2</v>
      </c>
      <c r="Z333" s="72">
        <f t="shared" si="200"/>
        <v>5.2172983773165302E-2</v>
      </c>
      <c r="AA333" s="72">
        <f t="shared" si="201"/>
        <v>0.19928575023084413</v>
      </c>
      <c r="AB333" s="72">
        <f t="shared" si="202"/>
        <v>4.930917514685218E-3</v>
      </c>
      <c r="AC333" s="72"/>
      <c r="AD333" s="72"/>
      <c r="AE333" s="72">
        <f t="shared" si="203"/>
        <v>0.52508709897557471</v>
      </c>
      <c r="AF333" s="72">
        <f t="shared" si="204"/>
        <v>0.53378593841845068</v>
      </c>
      <c r="AG333" s="72">
        <f t="shared" si="205"/>
        <v>7.0515000183593579E-2</v>
      </c>
      <c r="AH333" s="72">
        <f t="shared" si="206"/>
        <v>0.47474736592855676</v>
      </c>
      <c r="AI333" s="72">
        <f t="shared" si="207"/>
        <v>0.21012421349533522</v>
      </c>
      <c r="AJ333" s="72">
        <f>(AV333-Driver!$K$179)/(Driver!$L$179-Driver!$K$179)</f>
        <v>0.35097897026831032</v>
      </c>
      <c r="AK333" s="72">
        <f>(AW333-Driver!$K$180)/(Driver!$L$180-Driver!$K$180)</f>
        <v>0.25072492510595668</v>
      </c>
      <c r="AL333" s="72">
        <f>(AX333-Driver!$K$181)/(Driver!$L$181-Driver!$K$181)</f>
        <v>0.15386074748624548</v>
      </c>
      <c r="AM333" s="72">
        <f>(AY333-Driver!$K$182)/(Driver!$L$182-Driver!$K$182)</f>
        <v>0.24809927086620223</v>
      </c>
      <c r="AN333" s="72">
        <f>(AZ333-Driver!$K$183)/(Driver!$L$183-Driver!$K$183)</f>
        <v>0.25915032679738564</v>
      </c>
      <c r="AO333" s="72"/>
      <c r="AP333" s="72"/>
      <c r="AQ333" s="72">
        <f>(BC333-Driver!$K$188)/(Driver!$L$188-Driver!$K$188)</f>
        <v>9.4912901024425275E-2</v>
      </c>
      <c r="AR333" s="72">
        <f>MIN((BD333-Driver!$K$189)/(Driver!$L$189-Driver!$K$189),100%)</f>
        <v>1.6214061581549376E-2</v>
      </c>
      <c r="AS333" s="72">
        <f>(BE333-Driver!$K$190)/(Driver!$L$190-Driver!$K$190)</f>
        <v>0.43948499981640643</v>
      </c>
      <c r="AT333" s="72">
        <f>(BF333-Driver!$K$191)/(Driver!$L$191-Driver!$K$191)</f>
        <v>3.5252634071443224E-2</v>
      </c>
      <c r="AU333" s="72">
        <f>(BG333-Driver!$K$192)/(Driver!$L$192-Driver!$K$192)</f>
        <v>3.9875786504664779E-2</v>
      </c>
      <c r="AV333" s="70">
        <f t="shared" si="208"/>
        <v>7.3870573870573866</v>
      </c>
      <c r="AW333" s="70">
        <f t="shared" si="209"/>
        <v>26.30725822187491</v>
      </c>
      <c r="AX333" s="70">
        <f t="shared" si="210"/>
        <v>2.3847467273762093</v>
      </c>
      <c r="AY333" s="70">
        <f>IFERROR(Driver!$K$19/Data!BH333/Data!BI333*Data!BK333*Data!BL333,"")</f>
        <v>0.30374753321798614</v>
      </c>
      <c r="AZ333" s="70">
        <f t="shared" si="211"/>
        <v>23.618763961280717</v>
      </c>
      <c r="BA333" s="70"/>
      <c r="BB333" s="70"/>
      <c r="BC333" s="70">
        <f t="shared" si="212"/>
        <v>49.23198158515261</v>
      </c>
      <c r="BD333" s="70">
        <f t="shared" si="213"/>
        <v>3.1557386044477451</v>
      </c>
      <c r="BE333" s="70">
        <f t="shared" si="214"/>
        <v>0.43958498938357415</v>
      </c>
      <c r="BF333" s="70">
        <f t="shared" si="215"/>
        <v>3.9815373545983679</v>
      </c>
      <c r="BG333" s="70">
        <f t="shared" si="216"/>
        <v>0.15099516570839661</v>
      </c>
      <c r="BH333" s="67">
        <f>MAX((CE333-Driver!$F$200)/(Driver!$G$200-Driver!$F$200)*$BI$1,1)</f>
        <v>2.3847467273762093</v>
      </c>
      <c r="BI333" s="67">
        <f>MAX($BI$1*(BY333-Driver!$F$201)/(Driver!$G$201-Driver!$F$201),1)</f>
        <v>7.7215189873417724</v>
      </c>
      <c r="BJ333" s="67">
        <f>(CB333-Driver!$F$206)/(Driver!$G$206-Driver!$F$206)*$BI$1</f>
        <v>5.2380952380952381</v>
      </c>
      <c r="BK333" s="67">
        <f>(CD333-Driver!$F$203)/(Driver!$G$203-Driver!$F$203)*$BI$1</f>
        <v>4.7706422018348631</v>
      </c>
      <c r="BL333" s="67">
        <f>MAX((CR333-Driver!$F$202)/(Driver!$G$202-Driver!$F$202)*$BI$1,1)</f>
        <v>5.8620689655172411</v>
      </c>
      <c r="BM333" s="67">
        <f>MAX((CH333-Driver!$F$204)/(Driver!$G$204-Driver!$F$204)*$BI$1,1)</f>
        <v>5.6410256410256405</v>
      </c>
      <c r="BN333" s="67">
        <f>(CI333-Driver!$F$205)/(Driver!$G$205-Driver!$F$205)*$BI$1</f>
        <v>3.0588235294117649</v>
      </c>
      <c r="BO333" s="67">
        <f>(CK333-Driver!$F$207)/(Driver!$G$207-Driver!$F$207)*$BI$1</f>
        <v>2.1613236814891419</v>
      </c>
      <c r="BP333" s="67">
        <f>(CM333-Driver!$F$208)/(Driver!$G$208-Driver!$F$208)*$BI$1</f>
        <v>1.6777777777777778</v>
      </c>
      <c r="BQ333" s="67">
        <f>(CL333-Driver!$F$209)/(Driver!$G$209-Driver!$F$209)*$BI$1</f>
        <v>2.03125</v>
      </c>
      <c r="BR333" s="28" t="s">
        <v>155</v>
      </c>
      <c r="BS333" s="8" t="s">
        <v>172</v>
      </c>
      <c r="BT333" s="9" t="s">
        <v>531</v>
      </c>
      <c r="BU333" s="10">
        <v>177</v>
      </c>
      <c r="BV333" s="9" t="s">
        <v>158</v>
      </c>
      <c r="BW333" s="10">
        <v>177</v>
      </c>
      <c r="BX333" s="10">
        <v>177.3</v>
      </c>
      <c r="BY333" s="10">
        <v>130</v>
      </c>
      <c r="BZ333" s="10">
        <v>145</v>
      </c>
      <c r="CA333" s="10">
        <v>126</v>
      </c>
      <c r="CB333" s="10">
        <v>97</v>
      </c>
      <c r="CC333" s="10">
        <v>115</v>
      </c>
      <c r="CD333" s="10">
        <v>19.8</v>
      </c>
      <c r="CE333" s="10">
        <v>1319</v>
      </c>
      <c r="CF333" s="10">
        <v>1.43</v>
      </c>
      <c r="CG333" s="10">
        <v>1886</v>
      </c>
      <c r="CH333" s="10">
        <v>233</v>
      </c>
      <c r="CI333" s="10">
        <v>85</v>
      </c>
      <c r="CJ333" s="10">
        <v>56</v>
      </c>
      <c r="CK333" s="10">
        <v>319</v>
      </c>
      <c r="CL333" s="10">
        <v>13</v>
      </c>
      <c r="CM333" s="10">
        <v>151</v>
      </c>
      <c r="CN333" s="10">
        <v>0.23</v>
      </c>
      <c r="CO333" s="10">
        <v>204</v>
      </c>
      <c r="CP333" s="10">
        <v>122</v>
      </c>
      <c r="CQ333" s="10">
        <v>115</v>
      </c>
      <c r="CR333" s="10">
        <v>6</v>
      </c>
      <c r="CS333" s="10">
        <v>12.2</v>
      </c>
      <c r="CT333" s="9" t="s">
        <v>185</v>
      </c>
      <c r="CU333" s="9" t="s">
        <v>198</v>
      </c>
      <c r="CV333" s="10"/>
      <c r="CW333" s="10"/>
      <c r="CX333" t="str">
        <f>INDEX('Data_Price '!AG$2:AG$1266,MATCH(Data!$DN333,'Data_Price '!$AT$2:$AT$1266,0))</f>
        <v>Rossignol Blackops Alpineer 96 Skis - 2022</v>
      </c>
      <c r="CY333" t="str">
        <f>INDEX('Data_Price '!AH$2:AH$1266,MATCH(Data!$DN333,'Data_Price '!$AT$2:$AT$1266,0))</f>
        <v>Powder7 Ski Shop</v>
      </c>
      <c r="CZ333">
        <f>INDEX('Data_Price '!AI$2:AI$1266,MATCH(Data!$DN333,'Data_Price '!$AT$2:$AT$1266,0))</f>
        <v>559.95000000000005</v>
      </c>
      <c r="DA333" t="str">
        <f>INDEX('Data_Price '!AJ$2:AJ$1266,MATCH(Data!$DN333,'Data_Price '!$AT$2:$AT$1266,0))</f>
        <v>https://tinyurl.com/y76vd9vd</v>
      </c>
      <c r="DB333" t="str">
        <f>INDEX('Data_Price '!AK$2:AK$1266,MATCH(Data!$DN333,'Data_Price '!$AT$2:$AT$1266,0))</f>
        <v>Rossignol Blackops Alpineer 96 Skis - 2022</v>
      </c>
      <c r="DC333" t="str">
        <f>INDEX('Data_Price '!AL$2:AL$1266,MATCH(Data!$DN333,'Data_Price '!$AT$2:$AT$1266,0))</f>
        <v>evo.com</v>
      </c>
      <c r="DD333">
        <f>INDEX('Data_Price '!AM$2:AM$1266,MATCH(Data!$DN333,'Data_Price '!$AT$2:$AT$1266,0))</f>
        <v>559.96</v>
      </c>
      <c r="DE333" t="str">
        <f>INDEX('Data_Price '!AN$2:AN$1266,MATCH(Data!$DN333,'Data_Price '!$AT$2:$AT$1266,0))</f>
        <v>https://tinyurl.com/y7qm5edn</v>
      </c>
      <c r="DF333" t="str">
        <f>INDEX('Data_Price '!AO$2:AO$1266,MATCH(Data!$DN333,'Data_Price '!$AT$2:$AT$1266,0))</f>
        <v>Rossignol Blackops Alpineer 96 Skis - 2022</v>
      </c>
      <c r="DG333" t="str">
        <f>INDEX('Data_Price '!AP$2:AP$1266,MATCH(Data!$DN333,'Data_Price '!$AT$2:$AT$1266,0))</f>
        <v>Level Nine Sports</v>
      </c>
      <c r="DH333">
        <f>INDEX('Data_Price '!AQ$2:AQ$1266,MATCH(Data!$DN333,'Data_Price '!$AT$2:$AT$1266,0))</f>
        <v>559.96</v>
      </c>
      <c r="DI333" t="str">
        <f>INDEX('Data_Price '!AR$2:AR$1266,MATCH(Data!$DN333,'Data_Price '!$AT$2:$AT$1266,0))</f>
        <v>https://tinyurl.com/y833d52c</v>
      </c>
      <c r="DJ333" s="89" t="str">
        <f t="shared" si="217"/>
        <v>https://tinyurl.com/y76vd9vd</v>
      </c>
      <c r="DK333" s="89" t="str">
        <f t="shared" si="218"/>
        <v>https://tinyurl.com/y7qm5edn</v>
      </c>
      <c r="DL333" s="89" t="str">
        <f t="shared" si="219"/>
        <v>https://tinyurl.com/y833d52c</v>
      </c>
      <c r="DM333" s="219" t="str">
        <f t="shared" si="220"/>
        <v>Blackops Alpineer 96</v>
      </c>
      <c r="DN333" s="89" t="str">
        <f t="shared" si="221"/>
        <v xml:space="preserve"> RossignolBlackops Alpineer 96177 Unisex</v>
      </c>
      <c r="DO333" s="221"/>
    </row>
    <row r="334" spans="2:119" ht="15.6" customHeight="1">
      <c r="B334" s="219" t="b">
        <f t="array" ref="B334">IF(OR(ISERROR(K334:P334)),FALSE,TRUE)</f>
        <v>1</v>
      </c>
      <c r="C334" s="43" t="b">
        <f>OR(BR334=Driver!$G$50,Data!BR934=Driver!$H$50)</f>
        <v>1</v>
      </c>
      <c r="D334" s="43" t="b">
        <f>OR(BV334=Driver!$G$51,BV334=Driver!$H$51)</f>
        <v>1</v>
      </c>
      <c r="E334" s="43" t="b">
        <f>AND(BX334&gt;Driver!$F$54,BX334&lt;Driver!$G$54)</f>
        <v>0</v>
      </c>
      <c r="F334" s="43" t="b">
        <f>CL334&gt;Driver!$F$56</f>
        <v>1</v>
      </c>
      <c r="G334" s="43" t="b">
        <f>AND(CB334&gt;Driver!$F$55,CB334&lt;Driver!$G$55)</f>
        <v>0</v>
      </c>
      <c r="H334" s="43" t="b">
        <f t="shared" si="185"/>
        <v>0</v>
      </c>
      <c r="I334" s="43">
        <f t="shared" si="186"/>
        <v>0</v>
      </c>
      <c r="J334" s="43" t="b">
        <f t="array" ref="J334">NOT(OR(($H$9:$H$1273=TRUE)*($I$9:$I$1273&gt;0)*($BT$9:$BT$1273=BT334)*($K$9:$K$1273&gt;K334)))</f>
        <v>1</v>
      </c>
      <c r="K334" s="72">
        <f t="shared" si="187"/>
        <v>0.82874692479284828</v>
      </c>
      <c r="L334" s="72">
        <f t="shared" si="188"/>
        <v>0.89733969151497905</v>
      </c>
      <c r="M334" s="72">
        <f t="shared" si="189"/>
        <v>0.76015415807071751</v>
      </c>
      <c r="N334" s="72">
        <f t="shared" si="190"/>
        <v>0.71320992902010605</v>
      </c>
      <c r="O334" s="72">
        <f t="shared" si="191"/>
        <v>0.68476516205313676</v>
      </c>
      <c r="P334" s="72">
        <f t="shared" si="192"/>
        <v>0.88248738313890973</v>
      </c>
      <c r="Q334" s="72"/>
      <c r="R334" s="72"/>
      <c r="S334" s="72">
        <f t="shared" si="193"/>
        <v>0.52837090553773858</v>
      </c>
      <c r="T334" s="72">
        <f t="shared" si="194"/>
        <v>0.56761498067327287</v>
      </c>
      <c r="U334" s="72">
        <f t="shared" si="195"/>
        <v>0.84466879276700357</v>
      </c>
      <c r="V334" s="72">
        <f t="shared" si="196"/>
        <v>0.49544973025021111</v>
      </c>
      <c r="W334" s="72">
        <f t="shared" si="197"/>
        <v>0.83893555811277332</v>
      </c>
      <c r="X334" s="72">
        <f t="shared" si="198"/>
        <v>0.10266030848502095</v>
      </c>
      <c r="Y334" s="72">
        <f t="shared" si="199"/>
        <v>0.23984584192928252</v>
      </c>
      <c r="Z334" s="72">
        <f t="shared" si="200"/>
        <v>0.28679007097989395</v>
      </c>
      <c r="AA334" s="72">
        <f t="shared" si="201"/>
        <v>0.31523483794686324</v>
      </c>
      <c r="AB334" s="72">
        <f t="shared" si="202"/>
        <v>0.11751261686109032</v>
      </c>
      <c r="AC334" s="72"/>
      <c r="AD334" s="72"/>
      <c r="AE334" s="72">
        <f t="shared" si="203"/>
        <v>0.47162909446226142</v>
      </c>
      <c r="AF334" s="72">
        <f t="shared" si="204"/>
        <v>0.43238501932672707</v>
      </c>
      <c r="AG334" s="72">
        <f t="shared" si="205"/>
        <v>0.15533120723299637</v>
      </c>
      <c r="AH334" s="72">
        <f t="shared" si="206"/>
        <v>0.50455026974978889</v>
      </c>
      <c r="AI334" s="72">
        <f t="shared" si="207"/>
        <v>0.16106444188722671</v>
      </c>
      <c r="AJ334" s="72">
        <f>(AV334-Driver!$K$179)/(Driver!$L$179-Driver!$K$179)</f>
        <v>0.15155910079767948</v>
      </c>
      <c r="AK334" s="72">
        <f>(AW334-Driver!$K$180)/(Driver!$L$180-Driver!$K$180)</f>
        <v>0.37621590628357809</v>
      </c>
      <c r="AL334" s="72">
        <f>(AX334-Driver!$K$181)/(Driver!$L$181-Driver!$K$181)</f>
        <v>0.38847783469297414</v>
      </c>
      <c r="AM334" s="72">
        <f>(AY334-Driver!$K$182)/(Driver!$L$182-Driver!$K$182)</f>
        <v>0.13215018315018315</v>
      </c>
      <c r="AN334" s="72">
        <f>(AZ334-Driver!$K$183)/(Driver!$L$183-Driver!$K$183)</f>
        <v>0.37173202614379075</v>
      </c>
      <c r="AO334" s="72"/>
      <c r="AP334" s="72"/>
      <c r="AQ334" s="72">
        <f>(BC334-Driver!$K$188)/(Driver!$L$188-Driver!$K$188)</f>
        <v>0.14837090553773857</v>
      </c>
      <c r="AR334" s="72">
        <f>MIN((BD334-Driver!$K$189)/(Driver!$L$189-Driver!$K$189),100%)</f>
        <v>0.11761498067327299</v>
      </c>
      <c r="AS334" s="72">
        <f>(BE334-Driver!$K$190)/(Driver!$L$190-Driver!$K$190)</f>
        <v>0.35466879276700364</v>
      </c>
      <c r="AT334" s="72">
        <f>(BF334-Driver!$K$191)/(Driver!$L$191-Driver!$K$191)</f>
        <v>5.4497302502111147E-3</v>
      </c>
      <c r="AU334" s="72">
        <f>(BG334-Driver!$K$192)/(Driver!$L$192-Driver!$K$192)</f>
        <v>8.8935558112773289E-2</v>
      </c>
      <c r="AV334" s="70">
        <f t="shared" si="208"/>
        <v>3.1898656898656901</v>
      </c>
      <c r="AW334" s="70">
        <f t="shared" si="209"/>
        <v>38.537466300845601</v>
      </c>
      <c r="AX334" s="70">
        <f t="shared" si="210"/>
        <v>4.4963005122367674</v>
      </c>
      <c r="AY334" s="70">
        <f>IFERROR(Driver!$K$19/Data!BH334/Data!BI334*Data!BK334*Data!BL334,"")</f>
        <v>0.16179125398486363</v>
      </c>
      <c r="AZ334" s="70">
        <f t="shared" si="211"/>
        <v>33.87937453462397</v>
      </c>
      <c r="BA334" s="70"/>
      <c r="BB334" s="70"/>
      <c r="BC334" s="70">
        <f t="shared" si="212"/>
        <v>76.961020160226354</v>
      </c>
      <c r="BD334" s="70">
        <f t="shared" si="213"/>
        <v>12.129540272268393</v>
      </c>
      <c r="BE334" s="70">
        <f t="shared" si="214"/>
        <v>0.35478391259086189</v>
      </c>
      <c r="BF334" s="70">
        <f t="shared" si="215"/>
        <v>0.61550874523947152</v>
      </c>
      <c r="BG334" s="70">
        <f t="shared" si="216"/>
        <v>0.33676675776754889</v>
      </c>
      <c r="BH334" s="67">
        <f>MAX((CE334-Driver!$F$200)/(Driver!$G$200-Driver!$F$200)*$BI$1,1)</f>
        <v>4.4963005122367674</v>
      </c>
      <c r="BI334" s="67">
        <f>MAX($BI$1*(BY334-Driver!$F$201)/(Driver!$G$201-Driver!$F$201),1)</f>
        <v>8.2278481012658222</v>
      </c>
      <c r="BJ334" s="67">
        <f>(CB334-Driver!$F$206)/(Driver!$G$206-Driver!$F$206)*$BI$1</f>
        <v>3.0158730158730158</v>
      </c>
      <c r="BK334" s="67">
        <f>(CD334-Driver!$F$203)/(Driver!$G$203-Driver!$F$203)*$BI$1</f>
        <v>3.9449541284403673</v>
      </c>
      <c r="BL334" s="67">
        <f>MAX((CR334-Driver!$F$202)/(Driver!$G$202-Driver!$F$202)*$BI$1,1)</f>
        <v>7.5862068965517242</v>
      </c>
      <c r="BM334" s="67">
        <f>MAX((CH334-Driver!$F$204)/(Driver!$G$204-Driver!$F$204)*$BI$1,1)</f>
        <v>4.2307692307692308</v>
      </c>
      <c r="BN334" s="67">
        <f>(CI334-Driver!$F$205)/(Driver!$G$205-Driver!$F$205)*$BI$1</f>
        <v>4.117647058823529</v>
      </c>
      <c r="BO334" s="67">
        <f>(CK334-Driver!$F$207)/(Driver!$G$207-Driver!$F$207)*$BI$1</f>
        <v>0.50672182006204758</v>
      </c>
      <c r="BP334" s="67">
        <f>(CM334-Driver!$F$208)/(Driver!$G$208-Driver!$F$208)*$BI$1</f>
        <v>1.5888888888888888</v>
      </c>
      <c r="BQ334" s="67">
        <f>(CL334-Driver!$F$209)/(Driver!$G$209-Driver!$F$209)*$BI$1</f>
        <v>6.40625</v>
      </c>
      <c r="BR334" s="28" t="s">
        <v>155</v>
      </c>
      <c r="BS334" s="8" t="s">
        <v>332</v>
      </c>
      <c r="BT334" s="9" t="s">
        <v>454</v>
      </c>
      <c r="BU334" s="10">
        <v>170</v>
      </c>
      <c r="BV334" s="9" t="s">
        <v>158</v>
      </c>
      <c r="BW334" s="10">
        <v>170</v>
      </c>
      <c r="BX334" s="10">
        <v>168.6</v>
      </c>
      <c r="BY334" s="10">
        <v>138</v>
      </c>
      <c r="BZ334" s="10">
        <v>151</v>
      </c>
      <c r="CA334" s="10">
        <v>120</v>
      </c>
      <c r="CB334" s="10">
        <v>83</v>
      </c>
      <c r="CC334" s="10">
        <v>109</v>
      </c>
      <c r="CD334" s="10">
        <v>18</v>
      </c>
      <c r="CE334" s="10">
        <v>1690</v>
      </c>
      <c r="CF334" s="10">
        <v>0.94</v>
      </c>
      <c r="CG334" s="10">
        <v>1593</v>
      </c>
      <c r="CH334" s="10">
        <v>200</v>
      </c>
      <c r="CI334" s="10">
        <v>103</v>
      </c>
      <c r="CJ334" s="10">
        <v>48</v>
      </c>
      <c r="CK334" s="10">
        <v>159</v>
      </c>
      <c r="CL334" s="10">
        <v>41</v>
      </c>
      <c r="CM334" s="10">
        <v>143</v>
      </c>
      <c r="CN334" s="10">
        <v>0.85299999999999998</v>
      </c>
      <c r="CO334" s="10">
        <v>94</v>
      </c>
      <c r="CP334" s="10">
        <v>78</v>
      </c>
      <c r="CQ334" s="10">
        <v>65</v>
      </c>
      <c r="CR334" s="10">
        <v>11</v>
      </c>
      <c r="CS334" s="10">
        <v>9.6999999999999993</v>
      </c>
      <c r="CT334" s="9" t="s">
        <v>188</v>
      </c>
      <c r="CU334" s="9" t="s">
        <v>184</v>
      </c>
      <c r="CV334" s="10"/>
      <c r="CW334" s="10"/>
      <c r="CX334" t="str">
        <f>INDEX('Data_Price '!AG$2:AG$1266,MATCH(Data!$DN334,'Data_Price '!$AT$2:$AT$1266,0))</f>
        <v>Nordica Men's Soul Rider 84 Ski 2021</v>
      </c>
      <c r="CY334" t="str">
        <f>INDEX('Data_Price '!AH$2:AH$1266,MATCH(Data!$DN334,'Data_Price '!$AT$2:$AT$1266,0))</f>
        <v>BobsSportsChalet.com</v>
      </c>
      <c r="CZ334">
        <f>INDEX('Data_Price '!AI$2:AI$1266,MATCH(Data!$DN334,'Data_Price '!$AT$2:$AT$1266,0))</f>
        <v>349.99</v>
      </c>
      <c r="DA334" t="str">
        <f>INDEX('Data_Price '!AJ$2:AJ$1266,MATCH(Data!$DN334,'Data_Price '!$AT$2:$AT$1266,0))</f>
        <v>https://tinyurl.com/ybdtqa3z</v>
      </c>
      <c r="DB334" t="str">
        <f>INDEX('Data_Price '!AK$2:AK$1266,MATCH(Data!$DN334,'Data_Price '!$AT$2:$AT$1266,0))</f>
        <v>Nordica Men's Soul Rider 84 Ski 2021</v>
      </c>
      <c r="DC334" t="str">
        <f>INDEX('Data_Price '!AL$2:AL$1266,MATCH(Data!$DN334,'Data_Price '!$AT$2:$AT$1266,0))</f>
        <v>Buyr.com</v>
      </c>
      <c r="DD334">
        <f>INDEX('Data_Price '!AM$2:AM$1266,MATCH(Data!$DN334,'Data_Price '!$AT$2:$AT$1266,0))</f>
        <v>349.99</v>
      </c>
      <c r="DE334" t="str">
        <f>INDEX('Data_Price '!AN$2:AN$1266,MATCH(Data!$DN334,'Data_Price '!$AT$2:$AT$1266,0))</f>
        <v>https://tinyurl.com/y88v4wrw</v>
      </c>
      <c r="DF334" t="str">
        <f>INDEX('Data_Price '!AO$2:AO$1266,MATCH(Data!$DN334,'Data_Price '!$AT$2:$AT$1266,0))</f>
        <v>SOULRIDER 84 '22</v>
      </c>
      <c r="DG334" t="str">
        <f>INDEX('Data_Price '!AP$2:AP$1266,MATCH(Data!$DN334,'Data_Price '!$AT$2:$AT$1266,0))</f>
        <v>Vertical Drop</v>
      </c>
      <c r="DH334">
        <f>INDEX('Data_Price '!AQ$2:AQ$1266,MATCH(Data!$DN334,'Data_Price '!$AT$2:$AT$1266,0))</f>
        <v>349.99</v>
      </c>
      <c r="DI334" t="str">
        <f>INDEX('Data_Price '!AR$2:AR$1266,MATCH(Data!$DN334,'Data_Price '!$AT$2:$AT$1266,0))</f>
        <v>https://tinyurl.com/yagmeaqc</v>
      </c>
      <c r="DJ334" s="89" t="str">
        <f t="shared" si="217"/>
        <v>https://tinyurl.com/ybdtqa3z</v>
      </c>
      <c r="DK334" s="89" t="str">
        <f t="shared" si="218"/>
        <v>https://tinyurl.com/y88v4wrw</v>
      </c>
      <c r="DL334" s="89" t="str">
        <f t="shared" si="219"/>
        <v>https://tinyurl.com/yagmeaqc</v>
      </c>
      <c r="DM334" s="219" t="str">
        <f t="shared" si="220"/>
        <v>Soul Rider 84</v>
      </c>
      <c r="DN334" s="89" t="str">
        <f t="shared" si="221"/>
        <v xml:space="preserve"> NordicaSoul Rider 84170 Unisex</v>
      </c>
      <c r="DO334" s="221"/>
    </row>
    <row r="335" spans="2:119" ht="15.6" customHeight="1">
      <c r="B335" s="219" t="b">
        <f t="array" ref="B335">IF(OR(ISERROR(K335:P335)),FALSE,TRUE)</f>
        <v>1</v>
      </c>
      <c r="C335" s="43" t="b">
        <f>OR(BR335=Driver!$G$50,Data!BR38=Driver!$H$50)</f>
        <v>1</v>
      </c>
      <c r="D335" s="43" t="b">
        <f>OR(BV335=Driver!$G$51,BV335=Driver!$H$51)</f>
        <v>1</v>
      </c>
      <c r="E335" s="43" t="b">
        <f>AND(BX335&gt;Driver!$F$54,BX335&lt;Driver!$G$54)</f>
        <v>0</v>
      </c>
      <c r="F335" s="43" t="b">
        <f>CL335&gt;Driver!$F$56</f>
        <v>1</v>
      </c>
      <c r="G335" s="43" t="b">
        <f>AND(CB335&gt;Driver!$F$55,CB335&lt;Driver!$G$55)</f>
        <v>0</v>
      </c>
      <c r="H335" s="43" t="b">
        <f t="shared" si="185"/>
        <v>0</v>
      </c>
      <c r="I335" s="43">
        <f t="shared" si="186"/>
        <v>0</v>
      </c>
      <c r="J335" s="43" t="b">
        <f t="array" ref="J335">NOT(OR(($H$9:$H$1273=TRUE)*($I$9:$I$1273&gt;0)*($BT$9:$BT$1273=BT335)*($K$9:$K$1273&gt;K335)))</f>
        <v>1</v>
      </c>
      <c r="K335" s="72">
        <f t="shared" si="187"/>
        <v>0.81473645724391575</v>
      </c>
      <c r="L335" s="72">
        <f t="shared" si="188"/>
        <v>0.87099209663946531</v>
      </c>
      <c r="M335" s="72">
        <f t="shared" si="189"/>
        <v>0.75848081784836607</v>
      </c>
      <c r="N335" s="72">
        <f t="shared" si="190"/>
        <v>0.7005621076073445</v>
      </c>
      <c r="O335" s="72">
        <f t="shared" si="191"/>
        <v>0.6809550543021119</v>
      </c>
      <c r="P335" s="72">
        <f t="shared" si="192"/>
        <v>0.89392529163564172</v>
      </c>
      <c r="Q335" s="72"/>
      <c r="R335" s="72"/>
      <c r="S335" s="72">
        <f t="shared" si="193"/>
        <v>0.51201483411676429</v>
      </c>
      <c r="T335" s="72">
        <f t="shared" si="194"/>
        <v>0.52902867298976752</v>
      </c>
      <c r="U335" s="72">
        <f t="shared" si="195"/>
        <v>0.72282420190373631</v>
      </c>
      <c r="V335" s="72">
        <f t="shared" si="196"/>
        <v>0.49995618703560851</v>
      </c>
      <c r="W335" s="72">
        <f t="shared" si="197"/>
        <v>0.85472222222222216</v>
      </c>
      <c r="X335" s="72">
        <f t="shared" si="198"/>
        <v>0.12900790336053464</v>
      </c>
      <c r="Y335" s="72">
        <f t="shared" si="199"/>
        <v>0.24151918215163395</v>
      </c>
      <c r="Z335" s="72">
        <f t="shared" si="200"/>
        <v>0.29943789239265556</v>
      </c>
      <c r="AA335" s="72">
        <f t="shared" si="201"/>
        <v>0.3190449456978881</v>
      </c>
      <c r="AB335" s="72">
        <f t="shared" si="202"/>
        <v>0.10607470836435834</v>
      </c>
      <c r="AC335" s="72"/>
      <c r="AD335" s="72"/>
      <c r="AE335" s="72">
        <f t="shared" si="203"/>
        <v>0.48798516588323565</v>
      </c>
      <c r="AF335" s="72">
        <f t="shared" si="204"/>
        <v>0.47097132701023253</v>
      </c>
      <c r="AG335" s="72">
        <f t="shared" si="205"/>
        <v>0.27717579809626369</v>
      </c>
      <c r="AH335" s="72">
        <f t="shared" si="206"/>
        <v>0.50004381296439149</v>
      </c>
      <c r="AI335" s="72">
        <f t="shared" si="207"/>
        <v>0.14527777777777778</v>
      </c>
      <c r="AJ335" s="72">
        <f>(AV335-Driver!$K$179)/(Driver!$L$179-Driver!$K$179)</f>
        <v>0.12521150592216579</v>
      </c>
      <c r="AK335" s="72">
        <f>(AW335-Driver!$K$180)/(Driver!$L$180-Driver!$K$180)</f>
        <v>0.36663979795705021</v>
      </c>
      <c r="AL335" s="72">
        <f>(AX335-Driver!$K$181)/(Driver!$L$181-Driver!$K$181)</f>
        <v>0.40112565610573575</v>
      </c>
      <c r="AM335" s="72">
        <f>(AY335-Driver!$K$182)/(Driver!$L$182-Driver!$K$182)</f>
        <v>0.12834007539915829</v>
      </c>
      <c r="AN335" s="72">
        <f>(AZ335-Driver!$K$183)/(Driver!$L$183-Driver!$K$183)</f>
        <v>0.36029411764705876</v>
      </c>
      <c r="AO335" s="72"/>
      <c r="AP335" s="72"/>
      <c r="AQ335" s="72">
        <f>(BC335-Driver!$K$188)/(Driver!$L$188-Driver!$K$188)</f>
        <v>0.13201483411676435</v>
      </c>
      <c r="AR335" s="72">
        <f>MIN((BD335-Driver!$K$189)/(Driver!$L$189-Driver!$K$189),100%)</f>
        <v>7.9028672989767526E-2</v>
      </c>
      <c r="AS335" s="72">
        <f>(BE335-Driver!$K$190)/(Driver!$L$190-Driver!$K$190)</f>
        <v>0.23282420190373632</v>
      </c>
      <c r="AT335" s="72">
        <f>(BF335-Driver!$K$191)/(Driver!$L$191-Driver!$K$191)</f>
        <v>9.9561870356085474E-3</v>
      </c>
      <c r="AU335" s="72">
        <f>(BG335-Driver!$K$192)/(Driver!$L$192-Driver!$K$192)</f>
        <v>0.1047222222222222</v>
      </c>
      <c r="AV335" s="70">
        <f t="shared" si="208"/>
        <v>2.6353276353276351</v>
      </c>
      <c r="AW335" s="70">
        <f t="shared" si="209"/>
        <v>37.604189691473728</v>
      </c>
      <c r="AX335" s="70">
        <f t="shared" si="210"/>
        <v>4.6101309049516219</v>
      </c>
      <c r="AY335" s="70">
        <f>IFERROR(Driver!$K$19/Data!BH335/Data!BI335*Data!BK335*Data!BL335,"")</f>
        <v>0.15712654527117839</v>
      </c>
      <c r="AZ335" s="70">
        <f t="shared" si="211"/>
        <v>32.836932241250928</v>
      </c>
      <c r="BA335" s="70"/>
      <c r="BB335" s="70"/>
      <c r="BC335" s="70">
        <f t="shared" si="212"/>
        <v>68.477012208603213</v>
      </c>
      <c r="BD335" s="70">
        <f t="shared" si="213"/>
        <v>8.7147204131696565</v>
      </c>
      <c r="BE335" s="70">
        <f t="shared" si="214"/>
        <v>0.23296105743118525</v>
      </c>
      <c r="BF335" s="70">
        <f t="shared" si="215"/>
        <v>1.1244813794993829</v>
      </c>
      <c r="BG335" s="70">
        <f t="shared" si="216"/>
        <v>0.39654513888888887</v>
      </c>
      <c r="BH335" s="67">
        <f>MAX((CE335-Driver!$F$200)/(Driver!$G$200-Driver!$F$200)*$BI$1,1)</f>
        <v>4.6101309049516219</v>
      </c>
      <c r="BI335" s="67">
        <f>MAX($BI$1*(BY335-Driver!$F$201)/(Driver!$G$201-Driver!$F$201),1)</f>
        <v>7.9746835443037973</v>
      </c>
      <c r="BJ335" s="67">
        <f>(CB335-Driver!$F$206)/(Driver!$G$206-Driver!$F$206)*$BI$1</f>
        <v>3.333333333333333</v>
      </c>
      <c r="BK335" s="67">
        <f>(CD335-Driver!$F$203)/(Driver!$G$203-Driver!$F$203)*$BI$1</f>
        <v>3.8073394495412844</v>
      </c>
      <c r="BL335" s="67">
        <f>MAX((CR335-Driver!$F$202)/(Driver!$G$202-Driver!$F$202)*$BI$1,1)</f>
        <v>7.5862068965517242</v>
      </c>
      <c r="BM335" s="67">
        <f>MAX((CH335-Driver!$F$204)/(Driver!$G$204-Driver!$F$204)*$BI$1,1)</f>
        <v>3.1623931623931623</v>
      </c>
      <c r="BN335" s="67">
        <f>(CI335-Driver!$F$205)/(Driver!$G$205-Driver!$F$205)*$BI$1</f>
        <v>4.117647058823529</v>
      </c>
      <c r="BO335" s="67">
        <f>(CK335-Driver!$F$207)/(Driver!$G$207-Driver!$F$207)*$BI$1</f>
        <v>0.71354705274043428</v>
      </c>
      <c r="BP335" s="67">
        <f>(CM335-Driver!$F$208)/(Driver!$G$208-Driver!$F$208)*$BI$1</f>
        <v>1.7999999999999998</v>
      </c>
      <c r="BQ335" s="67">
        <f>(CL335-Driver!$F$209)/(Driver!$G$209-Driver!$F$209)*$BI$1</f>
        <v>5.78125</v>
      </c>
      <c r="BR335" s="28" t="s">
        <v>155</v>
      </c>
      <c r="BS335" s="8" t="s">
        <v>182</v>
      </c>
      <c r="BT335" s="9" t="s">
        <v>491</v>
      </c>
      <c r="BU335" s="10">
        <v>170</v>
      </c>
      <c r="BV335" s="9" t="s">
        <v>158</v>
      </c>
      <c r="BW335" s="10">
        <v>170</v>
      </c>
      <c r="BX335" s="10">
        <v>167.9</v>
      </c>
      <c r="BY335" s="10">
        <v>134</v>
      </c>
      <c r="BZ335" s="10">
        <v>142</v>
      </c>
      <c r="CA335" s="10">
        <v>114</v>
      </c>
      <c r="CB335" s="10">
        <v>85</v>
      </c>
      <c r="CC335" s="10">
        <v>108</v>
      </c>
      <c r="CD335" s="10">
        <v>17.7</v>
      </c>
      <c r="CE335" s="10">
        <v>1710</v>
      </c>
      <c r="CF335" s="10">
        <v>0.94</v>
      </c>
      <c r="CG335" s="10">
        <v>1606</v>
      </c>
      <c r="CH335" s="10">
        <v>175</v>
      </c>
      <c r="CI335" s="10">
        <v>103</v>
      </c>
      <c r="CJ335" s="10">
        <v>43</v>
      </c>
      <c r="CK335" s="10">
        <v>179</v>
      </c>
      <c r="CL335" s="10">
        <v>37</v>
      </c>
      <c r="CM335" s="10">
        <v>162</v>
      </c>
      <c r="CN335" s="10">
        <v>0.86899999999999999</v>
      </c>
      <c r="CO335" s="10">
        <v>125</v>
      </c>
      <c r="CP335" s="10">
        <v>130</v>
      </c>
      <c r="CQ335" s="10">
        <v>54</v>
      </c>
      <c r="CR335" s="10">
        <v>11</v>
      </c>
      <c r="CS335" s="10">
        <v>3.6</v>
      </c>
      <c r="CT335" s="9" t="s">
        <v>184</v>
      </c>
      <c r="CU335" s="10"/>
      <c r="CV335" s="10"/>
      <c r="CW335" s="10"/>
      <c r="CX335" t="str">
        <f>INDEX('Data_Price '!AG$2:AG$1266,MATCH(Data!$DN335,'Data_Price '!$AT$2:$AT$1266,0))</f>
        <v>Armada ARV 86 Skis 2022</v>
      </c>
      <c r="CY335" t="str">
        <f>INDEX('Data_Price '!AH$2:AH$1266,MATCH(Data!$DN335,'Data_Price '!$AT$2:$AT$1266,0))</f>
        <v>Aspen East</v>
      </c>
      <c r="CZ335">
        <f>INDEX('Data_Price '!AI$2:AI$1266,MATCH(Data!$DN335,'Data_Price '!$AT$2:$AT$1266,0))</f>
        <v>399</v>
      </c>
      <c r="DA335" t="str">
        <f>INDEX('Data_Price '!AJ$2:AJ$1266,MATCH(Data!$DN335,'Data_Price '!$AT$2:$AT$1266,0))</f>
        <v>https://tinyurl.com/y882s9nx</v>
      </c>
      <c r="DB335" t="str">
        <f>INDEX('Data_Price '!AK$2:AK$1266,MATCH(Data!$DN335,'Data_Price '!$AT$2:$AT$1266,0))</f>
        <v>Armada Women's ARW 86 Skis 170 cm</v>
      </c>
      <c r="DC335" t="str">
        <f>INDEX('Data_Price '!AL$2:AL$1266,MATCH(Data!$DN335,'Data_Price '!$AT$2:$AT$1266,0))</f>
        <v>! OutdoorXL.com</v>
      </c>
      <c r="DD335">
        <f>INDEX('Data_Price '!AM$2:AM$1266,MATCH(Data!$DN335,'Data_Price '!$AT$2:$AT$1266,0))</f>
        <v>299.95</v>
      </c>
      <c r="DE335" t="str">
        <f>INDEX('Data_Price '!AN$2:AN$1266,MATCH(Data!$DN335,'Data_Price '!$AT$2:$AT$1266,0))</f>
        <v>https://tinyurl.com/yc9dzt3q</v>
      </c>
      <c r="DF335" t="str">
        <f>INDEX('Data_Price '!AO$2:AO$1266,MATCH(Data!$DN335,'Data_Price '!$AT$2:$AT$1266,0))</f>
        <v>Armada Women's ARW 86 Skis 170 cm</v>
      </c>
      <c r="DG335" t="str">
        <f>INDEX('Data_Price '!AP$2:AP$1266,MATCH(Data!$DN335,'Data_Price '!$AT$2:$AT$1266,0))</f>
        <v>evo.com</v>
      </c>
      <c r="DH335">
        <f>INDEX('Data_Price '!AQ$2:AQ$1266,MATCH(Data!$DN335,'Data_Price '!$AT$2:$AT$1266,0))</f>
        <v>319.95999999999998</v>
      </c>
      <c r="DI335" t="str">
        <f>INDEX('Data_Price '!AR$2:AR$1266,MATCH(Data!$DN335,'Data_Price '!$AT$2:$AT$1266,0))</f>
        <v>https://tinyurl.com/ydb4fq72</v>
      </c>
      <c r="DJ335" s="89" t="str">
        <f t="shared" si="217"/>
        <v>https://tinyurl.com/y882s9nx</v>
      </c>
      <c r="DK335" s="89" t="str">
        <f t="shared" si="218"/>
        <v>https://tinyurl.com/yc9dzt3q</v>
      </c>
      <c r="DL335" s="89" t="str">
        <f t="shared" si="219"/>
        <v>https://tinyurl.com/ydb4fq72</v>
      </c>
      <c r="DM335" s="219" t="str">
        <f t="shared" si="220"/>
        <v>ARV 86</v>
      </c>
      <c r="DN335" s="89" t="str">
        <f t="shared" si="221"/>
        <v xml:space="preserve"> ArmadaARV 86170 Unisex</v>
      </c>
      <c r="DO335" s="221" t="s">
        <v>492</v>
      </c>
    </row>
    <row r="336" spans="2:119" ht="15.6" customHeight="1">
      <c r="B336" s="219" t="b">
        <f t="array" ref="B336">IF(OR(ISERROR(K336:P336)),FALSE,TRUE)</f>
        <v>1</v>
      </c>
      <c r="C336" s="43" t="b">
        <f>OR(BR336=Driver!$G$50,Data!BR175=Driver!$H$50)</f>
        <v>1</v>
      </c>
      <c r="D336" s="43" t="b">
        <f>OR(BV336=Driver!$G$51,BV336=Driver!$H$51)</f>
        <v>1</v>
      </c>
      <c r="E336" s="43" t="b">
        <f>AND(BX336&gt;Driver!$F$54,BX336&lt;Driver!$G$54)</f>
        <v>1</v>
      </c>
      <c r="F336" s="43" t="b">
        <f>CL336&gt;Driver!$F$56</f>
        <v>1</v>
      </c>
      <c r="G336" s="43" t="b">
        <f>AND(CB336&gt;Driver!$F$55,CB336&lt;Driver!$G$55)</f>
        <v>0</v>
      </c>
      <c r="H336" s="43" t="b">
        <f t="shared" si="185"/>
        <v>0</v>
      </c>
      <c r="I336" s="43">
        <f t="shared" si="186"/>
        <v>0</v>
      </c>
      <c r="J336" s="43" t="b">
        <f t="array" ref="J336">NOT(OR(($H$9:$H$1273=TRUE)*($I$9:$I$1273&gt;0)*($BT$9:$BT$1273=BT336)*($K$9:$K$1273&gt;K336)))</f>
        <v>1</v>
      </c>
      <c r="K336" s="72">
        <f t="shared" si="187"/>
        <v>0.76542577795641487</v>
      </c>
      <c r="L336" s="72">
        <f t="shared" si="188"/>
        <v>0.78485882776507976</v>
      </c>
      <c r="M336" s="72">
        <f t="shared" si="189"/>
        <v>0.74599272814774986</v>
      </c>
      <c r="N336" s="72">
        <f t="shared" si="190"/>
        <v>0.71826905758521065</v>
      </c>
      <c r="O336" s="72">
        <f t="shared" si="191"/>
        <v>0.61332468489560021</v>
      </c>
      <c r="P336" s="72">
        <f t="shared" si="192"/>
        <v>0.90638444196243895</v>
      </c>
      <c r="Q336" s="72"/>
      <c r="R336" s="72"/>
      <c r="S336" s="72">
        <f t="shared" si="193"/>
        <v>0.5404927913112878</v>
      </c>
      <c r="T336" s="72">
        <f t="shared" si="194"/>
        <v>0.9112353174013017</v>
      </c>
      <c r="U336" s="72">
        <f t="shared" si="195"/>
        <v>0.51</v>
      </c>
      <c r="V336" s="72">
        <f t="shared" si="196"/>
        <v>0.49081727697777311</v>
      </c>
      <c r="W336" s="72">
        <f t="shared" si="197"/>
        <v>0.76118266670182189</v>
      </c>
      <c r="X336" s="72">
        <f t="shared" si="198"/>
        <v>0.21514117223492024</v>
      </c>
      <c r="Y336" s="72">
        <f t="shared" si="199"/>
        <v>0.25400727185225008</v>
      </c>
      <c r="Z336" s="72">
        <f t="shared" si="200"/>
        <v>0.2817309424147893</v>
      </c>
      <c r="AA336" s="72">
        <f t="shared" si="201"/>
        <v>0.38667531510439979</v>
      </c>
      <c r="AB336" s="72">
        <f t="shared" si="202"/>
        <v>9.3615558037560997E-2</v>
      </c>
      <c r="AC336" s="72"/>
      <c r="AD336" s="72"/>
      <c r="AE336" s="72">
        <f t="shared" si="203"/>
        <v>0.4595072086887122</v>
      </c>
      <c r="AF336" s="72">
        <f t="shared" si="204"/>
        <v>8.8764682598698297E-2</v>
      </c>
      <c r="AG336" s="72">
        <f t="shared" si="205"/>
        <v>0.49</v>
      </c>
      <c r="AH336" s="72">
        <f t="shared" si="206"/>
        <v>0.50918272302222689</v>
      </c>
      <c r="AI336" s="72">
        <f t="shared" si="207"/>
        <v>0.23881733329817809</v>
      </c>
      <c r="AJ336" s="72">
        <f>(AV336-Driver!$K$179)/(Driver!$L$179-Driver!$K$179)</f>
        <v>3.9078237047780198E-2</v>
      </c>
      <c r="AK336" s="72">
        <f>(AW336-Driver!$K$180)/(Driver!$L$180-Driver!$K$180)</f>
        <v>0.35250378419385597</v>
      </c>
      <c r="AL336" s="72">
        <f>(AX336-Driver!$K$181)/(Driver!$L$181-Driver!$K$181)</f>
        <v>0.38341870612786949</v>
      </c>
      <c r="AM336" s="72">
        <f>(AY336-Driver!$K$182)/(Driver!$L$182-Driver!$K$182)</f>
        <v>6.0709705992646565E-2</v>
      </c>
      <c r="AN336" s="72">
        <f>(AZ336-Driver!$K$183)/(Driver!$L$183-Driver!$K$183)</f>
        <v>0.34783496732026142</v>
      </c>
      <c r="AO336" s="72"/>
      <c r="AP336" s="72"/>
      <c r="AQ336" s="72">
        <f>(BC336-Driver!$K$188)/(Driver!$L$188-Driver!$K$188)</f>
        <v>0.1604927913112878</v>
      </c>
      <c r="AR336" s="72">
        <f>MIN((BD336-Driver!$K$189)/(Driver!$L$189-Driver!$K$189),100%)</f>
        <v>0.63876468259869834</v>
      </c>
      <c r="AS336" s="72">
        <f>(BE336-Driver!$K$190)/(Driver!$L$190-Driver!$K$190)</f>
        <v>1</v>
      </c>
      <c r="AT336" s="72">
        <f>(BF336-Driver!$K$191)/(Driver!$L$191-Driver!$K$191)</f>
        <v>8.1727697777306968E-4</v>
      </c>
      <c r="AU336" s="72">
        <f>(BG336-Driver!$K$192)/(Driver!$L$192-Driver!$K$192)</f>
        <v>1.1182666701821917E-2</v>
      </c>
      <c r="AV336" s="70">
        <f t="shared" si="208"/>
        <v>0.82247998914665588</v>
      </c>
      <c r="AW336" s="70">
        <f t="shared" si="209"/>
        <v>36.226509892426229</v>
      </c>
      <c r="AX336" s="70">
        <f t="shared" si="210"/>
        <v>4.4507683551508253</v>
      </c>
      <c r="AY336" s="70">
        <f>IFERROR(Driver!$K$19/Data!BH336/Data!BI336*Data!BK336*Data!BL336,"")</f>
        <v>7.4326794162971735E-2</v>
      </c>
      <c r="AZ336" s="70">
        <f t="shared" si="211"/>
        <v>31.701414743112434</v>
      </c>
      <c r="BA336" s="70"/>
      <c r="BB336" s="70"/>
      <c r="BC336" s="70">
        <f t="shared" si="212"/>
        <v>83.248726580949082</v>
      </c>
      <c r="BD336" s="70">
        <f t="shared" si="213"/>
        <v>58.250365470038517</v>
      </c>
      <c r="BE336" s="70">
        <f t="shared" si="214"/>
        <v>1</v>
      </c>
      <c r="BF336" s="70">
        <f t="shared" si="215"/>
        <v>9.2305692943742038E-2</v>
      </c>
      <c r="BG336" s="70">
        <f t="shared" si="216"/>
        <v>4.2344709903235155E-2</v>
      </c>
      <c r="BH336" s="67">
        <f>MAX((CE336-Driver!$F$200)/(Driver!$G$200-Driver!$F$200)*$BI$1,1)</f>
        <v>4.4507683551508253</v>
      </c>
      <c r="BI336" s="67">
        <f>MAX($BI$1*(BY336-Driver!$F$201)/(Driver!$G$201-Driver!$F$201),1)</f>
        <v>8.2911392405063289</v>
      </c>
      <c r="BJ336" s="67">
        <f>(CB336-Driver!$F$206)/(Driver!$G$206-Driver!$F$206)*$BI$1</f>
        <v>0.79365079365079361</v>
      </c>
      <c r="BK336" s="67">
        <f>(CD336-Driver!$F$203)/(Driver!$G$203-Driver!$F$203)*$BI$1</f>
        <v>2.3394495412844036</v>
      </c>
      <c r="BL336" s="67">
        <f>MAX((CR336-Driver!$F$202)/(Driver!$G$202-Driver!$F$202)*$BI$1,1)</f>
        <v>5.8620689655172411</v>
      </c>
      <c r="BM336" s="67">
        <f>MAX((CH336-Driver!$F$204)/(Driver!$G$204-Driver!$F$204)*$BI$1,1)</f>
        <v>4.1452991452991457</v>
      </c>
      <c r="BN336" s="67">
        <f>(CI336-Driver!$F$205)/(Driver!$G$205-Driver!$F$205)*$BI$1</f>
        <v>3.8235294117647056</v>
      </c>
      <c r="BO336" s="67">
        <f>(CK336-Driver!$F$207)/(Driver!$G$207-Driver!$F$207)*$BI$1</f>
        <v>0.38262668045501552</v>
      </c>
      <c r="BP336" s="67">
        <f>(CM336-Driver!$F$208)/(Driver!$G$208-Driver!$F$208)*$BI$1</f>
        <v>0.71111111111111114</v>
      </c>
      <c r="BQ336" s="67">
        <f>(CL336-Driver!$F$209)/(Driver!$G$209-Driver!$F$209)*$BI$1</f>
        <v>0.78125</v>
      </c>
      <c r="BR336" s="28" t="s">
        <v>155</v>
      </c>
      <c r="BS336" s="8" t="s">
        <v>156</v>
      </c>
      <c r="BT336" s="9" t="s">
        <v>532</v>
      </c>
      <c r="BU336" s="10">
        <v>163</v>
      </c>
      <c r="BV336" s="9" t="s">
        <v>158</v>
      </c>
      <c r="BW336" s="10">
        <v>163</v>
      </c>
      <c r="BX336" s="10">
        <v>160.4</v>
      </c>
      <c r="BY336" s="10">
        <v>139</v>
      </c>
      <c r="BZ336" s="10">
        <v>146</v>
      </c>
      <c r="CA336" s="10">
        <v>111</v>
      </c>
      <c r="CB336" s="10">
        <v>69</v>
      </c>
      <c r="CC336" s="10">
        <v>99</v>
      </c>
      <c r="CD336" s="10">
        <v>14.5</v>
      </c>
      <c r="CE336" s="10">
        <v>1682</v>
      </c>
      <c r="CF336" s="10">
        <v>0.79</v>
      </c>
      <c r="CG336" s="10">
        <v>1331</v>
      </c>
      <c r="CH336" s="10">
        <v>198</v>
      </c>
      <c r="CI336" s="10">
        <v>98</v>
      </c>
      <c r="CJ336" s="10">
        <v>40</v>
      </c>
      <c r="CK336" s="10">
        <v>147</v>
      </c>
      <c r="CL336" s="10">
        <v>5</v>
      </c>
      <c r="CM336" s="10">
        <v>64</v>
      </c>
      <c r="CN336" s="10">
        <v>0.13800000000000001</v>
      </c>
      <c r="CO336" s="10">
        <v>83</v>
      </c>
      <c r="CP336" s="10">
        <v>57</v>
      </c>
      <c r="CQ336" s="10">
        <v>65</v>
      </c>
      <c r="CR336" s="10">
        <v>6</v>
      </c>
      <c r="CS336" s="10">
        <v>12.5</v>
      </c>
      <c r="CT336" s="9" t="s">
        <v>349</v>
      </c>
      <c r="CU336" s="10"/>
      <c r="CV336" s="10"/>
      <c r="CW336" s="10"/>
      <c r="CX336" t="str">
        <f>INDEX('Data_Price '!AG$2:AG$1266,MATCH(Data!$DN336,'Data_Price '!$AT$2:$AT$1266,0))</f>
        <v>Atomic Redster S7 + ft 12 GW 18/19</v>
      </c>
      <c r="CY336" t="str">
        <f>INDEX('Data_Price '!AH$2:AH$1266,MATCH(Data!$DN336,'Data_Price '!$AT$2:$AT$1266,0))</f>
        <v>eBay - asogear</v>
      </c>
      <c r="CZ336">
        <f>INDEX('Data_Price '!AI$2:AI$1266,MATCH(Data!$DN336,'Data_Price '!$AT$2:$AT$1266,0))</f>
        <v>400</v>
      </c>
      <c r="DA336" t="str">
        <f>INDEX('Data_Price '!AJ$2:AJ$1266,MATCH(Data!$DN336,'Data_Price '!$AT$2:$AT$1266,0))</f>
        <v>https://tinyurl.com/yc9xoqbs</v>
      </c>
      <c r="DB336" t="str">
        <f>INDEX('Data_Price '!AK$2:AK$1266,MATCH(Data!$DN336,'Data_Price '!$AT$2:$AT$1266,0))</f>
        <v>Atomic Mens Redster XT Skis + XT 10 Bindings 2017 - 163</v>
      </c>
      <c r="DC336" t="str">
        <f>INDEX('Data_Price '!AL$2:AL$1266,MATCH(Data!$DN336,'Data_Price '!$AT$2:$AT$1266,0))</f>
        <v>Sun 'N Fun Specialty Sports</v>
      </c>
      <c r="DD336">
        <f>INDEX('Data_Price '!AM$2:AM$1266,MATCH(Data!$DN336,'Data_Price '!$AT$2:$AT$1266,0))</f>
        <v>499.95</v>
      </c>
      <c r="DE336" t="str">
        <f>INDEX('Data_Price '!AN$2:AN$1266,MATCH(Data!$DN336,'Data_Price '!$AT$2:$AT$1266,0))</f>
        <v>https://tinyurl.com/ybxxbdwb</v>
      </c>
      <c r="DF336" t="str">
        <f>INDEX('Data_Price '!AO$2:AO$1266,MATCH(Data!$DN336,'Data_Price '!$AT$2:$AT$1266,0))</f>
        <v>Atomic Redster RX EZY2 156 cm Ski + Elan ESR10 Bindings Winter Fun Snow Outdoor</v>
      </c>
      <c r="DG336" t="str">
        <f>INDEX('Data_Price '!AP$2:AP$1266,MATCH(Data!$DN336,'Data_Price '!$AT$2:$AT$1266,0))</f>
        <v>eBay - traventuria</v>
      </c>
      <c r="DH336">
        <f>INDEX('Data_Price '!AQ$2:AQ$1266,MATCH(Data!$DN336,'Data_Price '!$AT$2:$AT$1266,0))</f>
        <v>91.99</v>
      </c>
      <c r="DI336" t="str">
        <f>INDEX('Data_Price '!AR$2:AR$1266,MATCH(Data!$DN336,'Data_Price '!$AT$2:$AT$1266,0))</f>
        <v>https://tinyurl.com/yae4swmx</v>
      </c>
      <c r="DJ336" s="89" t="str">
        <f t="shared" si="217"/>
        <v>https://tinyurl.com/yc9xoqbs</v>
      </c>
      <c r="DK336" s="89" t="str">
        <f t="shared" si="218"/>
        <v>https://tinyurl.com/ybxxbdwb</v>
      </c>
      <c r="DL336" s="89" t="str">
        <f t="shared" si="219"/>
        <v>https://tinyurl.com/yae4swmx</v>
      </c>
      <c r="DM336" s="219" t="str">
        <f t="shared" si="220"/>
        <v>Redster S7</v>
      </c>
      <c r="DN336" s="89" t="str">
        <f t="shared" si="221"/>
        <v xml:space="preserve"> AtomicRedster S7163 Unisex</v>
      </c>
      <c r="DO336" s="221"/>
    </row>
    <row r="337" spans="2:119" ht="15.6" customHeight="1">
      <c r="B337" s="219" t="b">
        <f t="array" ref="B337">IF(OR(ISERROR(K337:P337)),FALSE,TRUE)</f>
        <v>1</v>
      </c>
      <c r="C337" s="43" t="b">
        <f>OR(BR337=Driver!$G$50,Data!BR867=Driver!$H$50)</f>
        <v>1</v>
      </c>
      <c r="D337" s="43" t="b">
        <f>OR(BV337=Driver!$G$51,BV337=Driver!$H$51)</f>
        <v>1</v>
      </c>
      <c r="E337" s="43" t="b">
        <f>AND(BX337&gt;Driver!$F$54,BX337&lt;Driver!$G$54)</f>
        <v>0</v>
      </c>
      <c r="F337" s="43" t="b">
        <f>CL337&gt;Driver!$F$56</f>
        <v>1</v>
      </c>
      <c r="G337" s="43" t="b">
        <f>AND(CB337&gt;Driver!$F$55,CB337&lt;Driver!$G$55)</f>
        <v>0</v>
      </c>
      <c r="H337" s="43" t="b">
        <f t="shared" si="185"/>
        <v>0</v>
      </c>
      <c r="I337" s="43">
        <f t="shared" si="186"/>
        <v>0</v>
      </c>
      <c r="J337" s="43" t="b">
        <f t="array" ref="J337">NOT(OR(($H$9:$H$1273=TRUE)*($I$9:$I$1273&gt;0)*($BT$9:$BT$1273=BT337)*($K$9:$K$1273&gt;K337)))</f>
        <v>1</v>
      </c>
      <c r="K337" s="72">
        <f t="shared" si="187"/>
        <v>0.84993740196023415</v>
      </c>
      <c r="L337" s="72">
        <f t="shared" si="188"/>
        <v>0.95607790761360123</v>
      </c>
      <c r="M337" s="72">
        <f t="shared" si="189"/>
        <v>0.74379689630686707</v>
      </c>
      <c r="N337" s="72">
        <f t="shared" si="190"/>
        <v>0.68411993977075425</v>
      </c>
      <c r="O337" s="72">
        <f t="shared" si="191"/>
        <v>0.68484055555342105</v>
      </c>
      <c r="P337" s="72">
        <f t="shared" si="192"/>
        <v>0.86243019359642592</v>
      </c>
      <c r="Q337" s="72"/>
      <c r="R337" s="72"/>
      <c r="S337" s="72">
        <f t="shared" si="193"/>
        <v>0.53012422139789561</v>
      </c>
      <c r="T337" s="72">
        <f t="shared" si="194"/>
        <v>0.50008120726399075</v>
      </c>
      <c r="U337" s="72">
        <f t="shared" si="195"/>
        <v>0.81064105775291706</v>
      </c>
      <c r="V337" s="72">
        <f t="shared" si="196"/>
        <v>0.50890277436927545</v>
      </c>
      <c r="W337" s="72">
        <f t="shared" si="197"/>
        <v>0.78833133971291869</v>
      </c>
      <c r="X337" s="72">
        <f t="shared" si="198"/>
        <v>4.3922092386398798E-2</v>
      </c>
      <c r="Y337" s="72">
        <f t="shared" si="199"/>
        <v>0.25620310369313293</v>
      </c>
      <c r="Z337" s="72">
        <f t="shared" si="200"/>
        <v>0.31588006022924575</v>
      </c>
      <c r="AA337" s="72">
        <f t="shared" si="201"/>
        <v>0.31515944444657895</v>
      </c>
      <c r="AB337" s="72">
        <f t="shared" si="202"/>
        <v>0.13756980640357408</v>
      </c>
      <c r="AC337" s="72"/>
      <c r="AD337" s="72"/>
      <c r="AE337" s="72">
        <f t="shared" si="203"/>
        <v>0.46987577860210444</v>
      </c>
      <c r="AF337" s="72">
        <f t="shared" si="204"/>
        <v>0.49991879273600925</v>
      </c>
      <c r="AG337" s="72">
        <f t="shared" si="205"/>
        <v>0.189358942247083</v>
      </c>
      <c r="AH337" s="72">
        <f t="shared" si="206"/>
        <v>0.49109722563072455</v>
      </c>
      <c r="AI337" s="72">
        <f t="shared" si="207"/>
        <v>0.21166866028708134</v>
      </c>
      <c r="AJ337" s="72">
        <f>(AV337-Driver!$K$179)/(Driver!$L$179-Driver!$K$179)</f>
        <v>0.21029731689630163</v>
      </c>
      <c r="AK337" s="72">
        <f>(AW337-Driver!$K$180)/(Driver!$L$180-Driver!$K$180)</f>
        <v>0.3976598182034134</v>
      </c>
      <c r="AL337" s="72">
        <f>(AX337-Driver!$K$181)/(Driver!$L$181-Driver!$K$181)</f>
        <v>0.41756782394232594</v>
      </c>
      <c r="AM337" s="72">
        <f>(AY337-Driver!$K$182)/(Driver!$L$182-Driver!$K$182)</f>
        <v>0.13222557665046739</v>
      </c>
      <c r="AN337" s="72">
        <f>(AZ337-Driver!$K$183)/(Driver!$L$183-Driver!$K$183)</f>
        <v>0.39178921568627451</v>
      </c>
      <c r="AO337" s="72"/>
      <c r="AP337" s="72"/>
      <c r="AQ337" s="72">
        <f>(BC337-Driver!$K$188)/(Driver!$L$188-Driver!$K$188)</f>
        <v>0.15012422139789555</v>
      </c>
      <c r="AR337" s="72">
        <f>MIN((BD337-Driver!$K$189)/(Driver!$L$189-Driver!$K$189),100%)</f>
        <v>5.008120726399079E-2</v>
      </c>
      <c r="AS337" s="72">
        <f>(BE337-Driver!$K$190)/(Driver!$L$190-Driver!$K$190)</f>
        <v>0.32064105775291701</v>
      </c>
      <c r="AT337" s="72">
        <f>(BF337-Driver!$K$191)/(Driver!$L$191-Driver!$K$191)</f>
        <v>1.8902774369275479E-2</v>
      </c>
      <c r="AU337" s="72">
        <f>(BG337-Driver!$K$192)/(Driver!$L$192-Driver!$K$192)</f>
        <v>3.8331339712918654E-2</v>
      </c>
      <c r="AV337" s="70">
        <f t="shared" si="208"/>
        <v>4.4261294261294255</v>
      </c>
      <c r="AW337" s="70">
        <f t="shared" si="209"/>
        <v>40.627365529822818</v>
      </c>
      <c r="AX337" s="70">
        <f t="shared" si="210"/>
        <v>4.7581104154809335</v>
      </c>
      <c r="AY337" s="70">
        <f>IFERROR(Driver!$K$19/Data!BH337/Data!BI337*Data!BK337*Data!BL337,"")</f>
        <v>0.16188355812446087</v>
      </c>
      <c r="AZ337" s="70">
        <f t="shared" si="211"/>
        <v>35.707371556217424</v>
      </c>
      <c r="BA337" s="70"/>
      <c r="BB337" s="70"/>
      <c r="BC337" s="70">
        <f t="shared" si="212"/>
        <v>77.870477285743888</v>
      </c>
      <c r="BD337" s="70">
        <f t="shared" si="213"/>
        <v>6.1529209883125819</v>
      </c>
      <c r="BE337" s="70">
        <f t="shared" si="214"/>
        <v>0.32076224774170331</v>
      </c>
      <c r="BF337" s="70">
        <f t="shared" si="215"/>
        <v>2.1349355655037932</v>
      </c>
      <c r="BG337" s="70">
        <f t="shared" si="216"/>
        <v>0.14514690490430621</v>
      </c>
      <c r="BH337" s="67">
        <f>MAX((CE337-Driver!$F$200)/(Driver!$G$200-Driver!$F$200)*$BI$1,1)</f>
        <v>4.7581104154809335</v>
      </c>
      <c r="BI337" s="67">
        <f>MAX($BI$1*(BY337-Driver!$F$201)/(Driver!$G$201-Driver!$F$201),1)</f>
        <v>8.7974683544303804</v>
      </c>
      <c r="BJ337" s="67">
        <f>(CB337-Driver!$F$206)/(Driver!$G$206-Driver!$F$206)*$BI$1</f>
        <v>4.6031746031746028</v>
      </c>
      <c r="BK337" s="67">
        <f>(CD337-Driver!$F$203)/(Driver!$G$203-Driver!$F$203)*$BI$1</f>
        <v>4.678899082568809</v>
      </c>
      <c r="BL337" s="67">
        <f>MAX((CR337-Driver!$F$202)/(Driver!$G$202-Driver!$F$202)*$BI$1,1)</f>
        <v>7.2413793103448274</v>
      </c>
      <c r="BM337" s="67">
        <f>MAX((CH337-Driver!$F$204)/(Driver!$G$204-Driver!$F$204)*$BI$1,1)</f>
        <v>3.8461538461538463</v>
      </c>
      <c r="BN337" s="67">
        <f>(CI337-Driver!$F$205)/(Driver!$G$205-Driver!$F$205)*$BI$1</f>
        <v>4.0588235294117645</v>
      </c>
      <c r="BO337" s="67">
        <f>(CK337-Driver!$F$207)/(Driver!$G$207-Driver!$F$207)*$BI$1</f>
        <v>1.468459152016546</v>
      </c>
      <c r="BP337" s="67">
        <f>(CM337-Driver!$F$208)/(Driver!$G$208-Driver!$F$208)*$BI$1</f>
        <v>1.4777777777777779</v>
      </c>
      <c r="BQ337" s="67">
        <f>(CL337-Driver!$F$209)/(Driver!$G$209-Driver!$F$209)*$BI$1</f>
        <v>2.65625</v>
      </c>
      <c r="BR337" s="28" t="s">
        <v>155</v>
      </c>
      <c r="BS337" s="8" t="s">
        <v>208</v>
      </c>
      <c r="BT337" s="9" t="s">
        <v>416</v>
      </c>
      <c r="BU337" s="10">
        <v>186</v>
      </c>
      <c r="BV337" s="9" t="s">
        <v>158</v>
      </c>
      <c r="BW337" s="10">
        <v>186</v>
      </c>
      <c r="BX337" s="10">
        <v>185.7</v>
      </c>
      <c r="BY337" s="10">
        <v>147</v>
      </c>
      <c r="BZ337" s="10">
        <v>161</v>
      </c>
      <c r="CA337" s="10">
        <v>131</v>
      </c>
      <c r="CB337" s="10">
        <v>93</v>
      </c>
      <c r="CC337" s="10">
        <v>116</v>
      </c>
      <c r="CD337" s="10">
        <v>19.600000000000001</v>
      </c>
      <c r="CE337" s="10">
        <v>1736</v>
      </c>
      <c r="CF337" s="10">
        <v>1.1200000000000001</v>
      </c>
      <c r="CG337" s="10">
        <v>1952</v>
      </c>
      <c r="CH337" s="10">
        <v>191</v>
      </c>
      <c r="CI337" s="10">
        <v>102</v>
      </c>
      <c r="CJ337" s="10">
        <v>45</v>
      </c>
      <c r="CK337" s="10">
        <v>252</v>
      </c>
      <c r="CL337" s="10">
        <v>17</v>
      </c>
      <c r="CM337" s="10">
        <v>133</v>
      </c>
      <c r="CN337" s="10">
        <v>0.372</v>
      </c>
      <c r="CO337" s="10">
        <v>135</v>
      </c>
      <c r="CP337" s="10">
        <v>113</v>
      </c>
      <c r="CQ337" s="10">
        <v>117</v>
      </c>
      <c r="CR337" s="10">
        <v>10</v>
      </c>
      <c r="CS337" s="10">
        <v>9.9</v>
      </c>
      <c r="CT337" s="9" t="s">
        <v>188</v>
      </c>
      <c r="CU337" s="9" t="s">
        <v>185</v>
      </c>
      <c r="CV337" s="10"/>
      <c r="CW337" s="10"/>
      <c r="CX337" t="str">
        <f>INDEX('Data_Price '!AG$2:AG$1266,MATCH(Data!$DN337,'Data_Price '!$AT$2:$AT$1266,0))</f>
        <v>Line Sick Day 94 Skis 2022</v>
      </c>
      <c r="CY337" t="str">
        <f>INDEX('Data_Price '!AH$2:AH$1266,MATCH(Data!$DN337,'Data_Price '!$AT$2:$AT$1266,0))</f>
        <v>Telemark Pyrenees</v>
      </c>
      <c r="CZ337">
        <f>INDEX('Data_Price '!AI$2:AI$1266,MATCH(Data!$DN337,'Data_Price '!$AT$2:$AT$1266,0))</f>
        <v>348.3</v>
      </c>
      <c r="DA337" t="str">
        <f>INDEX('Data_Price '!AJ$2:AJ$1266,MATCH(Data!$DN337,'Data_Price '!$AT$2:$AT$1266,0))</f>
        <v>https://tinyurl.com/ybf4xu4e</v>
      </c>
      <c r="DB337" t="str">
        <f>INDEX('Data_Price '!AK$2:AK$1266,MATCH(Data!$DN337,'Data_Price '!$AT$2:$AT$1266,0))</f>
        <v>Line Sick Day 94 Skis 2022</v>
      </c>
      <c r="DC337" t="str">
        <f>INDEX('Data_Price '!AL$2:AL$1266,MATCH(Data!$DN337,'Data_Price '!$AT$2:$AT$1266,0))</f>
        <v>Surfdome US</v>
      </c>
      <c r="DD337">
        <f>INDEX('Data_Price '!AM$2:AM$1266,MATCH(Data!$DN337,'Data_Price '!$AT$2:$AT$1266,0))</f>
        <v>352.45</v>
      </c>
      <c r="DE337" t="str">
        <f>INDEX('Data_Price '!AN$2:AN$1266,MATCH(Data!$DN337,'Data_Price '!$AT$2:$AT$1266,0))</f>
        <v>https://tinyurl.com/y6w7ad55</v>
      </c>
      <c r="DF337" t="str">
        <f>INDEX('Data_Price '!AO$2:AO$1266,MATCH(Data!$DN337,'Data_Price '!$AT$2:$AT$1266,0))</f>
        <v>Line Sick Day 94 Ski 2022</v>
      </c>
      <c r="DG337" t="str">
        <f>INDEX('Data_Price '!AP$2:AP$1266,MATCH(Data!$DN337,'Data_Price '!$AT$2:$AT$1266,0))</f>
        <v>PRFO Sports</v>
      </c>
      <c r="DH337">
        <f>INDEX('Data_Price '!AQ$2:AQ$1266,MATCH(Data!$DN337,'Data_Price '!$AT$2:$AT$1266,0))</f>
        <v>352.75</v>
      </c>
      <c r="DI337" t="str">
        <f>INDEX('Data_Price '!AR$2:AR$1266,MATCH(Data!$DN337,'Data_Price '!$AT$2:$AT$1266,0))</f>
        <v>https://tinyurl.com/yavd9o6h</v>
      </c>
      <c r="DJ337" s="89" t="str">
        <f t="shared" si="217"/>
        <v>https://tinyurl.com/ybf4xu4e</v>
      </c>
      <c r="DK337" s="89" t="str">
        <f t="shared" si="218"/>
        <v>https://tinyurl.com/y6w7ad55</v>
      </c>
      <c r="DL337" s="89" t="str">
        <f t="shared" si="219"/>
        <v>https://tinyurl.com/yavd9o6h</v>
      </c>
      <c r="DM337" s="219" t="str">
        <f t="shared" si="220"/>
        <v>Sick Day 94</v>
      </c>
      <c r="DN337" s="89" t="str">
        <f t="shared" si="221"/>
        <v xml:space="preserve"> LineSick Day 94186 Unisex</v>
      </c>
      <c r="DO337" s="221" t="s">
        <v>417</v>
      </c>
    </row>
    <row r="338" spans="2:119" ht="15.6" customHeight="1">
      <c r="B338" s="219" t="b">
        <f t="array" ref="B338">IF(OR(ISERROR(K338:P338)),FALSE,TRUE)</f>
        <v>1</v>
      </c>
      <c r="C338" s="43" t="b">
        <f>OR(BR338=Driver!$G$50,Data!BR1134=Driver!$H$50)</f>
        <v>1</v>
      </c>
      <c r="D338" s="43" t="b">
        <f>OR(BV338=Driver!$G$51,BV338=Driver!$H$51)</f>
        <v>1</v>
      </c>
      <c r="E338" s="43" t="b">
        <f>AND(BX338&gt;Driver!$F$54,BX338&lt;Driver!$G$54)</f>
        <v>0</v>
      </c>
      <c r="F338" s="43" t="b">
        <f>CL338&gt;Driver!$F$56</f>
        <v>1</v>
      </c>
      <c r="G338" s="43" t="b">
        <f>AND(CB338&gt;Driver!$F$55,CB338&lt;Driver!$G$55)</f>
        <v>0</v>
      </c>
      <c r="H338" s="43" t="b">
        <f t="shared" si="185"/>
        <v>0</v>
      </c>
      <c r="I338" s="43">
        <f t="shared" si="186"/>
        <v>0</v>
      </c>
      <c r="J338" s="43" t="b">
        <f t="array" ref="J338">NOT(OR(($H$9:$H$1273=TRUE)*($I$9:$I$1273&gt;0)*($BT$9:$BT$1273=BT338)*($K$9:$K$1273&gt;K338)))</f>
        <v>1</v>
      </c>
      <c r="K338" s="72">
        <f t="shared" si="187"/>
        <v>0.75575681292978392</v>
      </c>
      <c r="L338" s="72">
        <f t="shared" si="188"/>
        <v>0.80959494894790152</v>
      </c>
      <c r="M338" s="72">
        <f t="shared" si="189"/>
        <v>0.70191867691166632</v>
      </c>
      <c r="N338" s="72">
        <f t="shared" si="190"/>
        <v>0.674634073711183</v>
      </c>
      <c r="O338" s="72">
        <f t="shared" si="191"/>
        <v>0.62040744970189987</v>
      </c>
      <c r="P338" s="72">
        <f t="shared" si="192"/>
        <v>0.81071450732191619</v>
      </c>
      <c r="Q338" s="72"/>
      <c r="R338" s="72"/>
      <c r="S338" s="72">
        <f t="shared" si="193"/>
        <v>0.55129485090818509</v>
      </c>
      <c r="T338" s="72">
        <f t="shared" si="194"/>
        <v>0.96361658350498136</v>
      </c>
      <c r="U338" s="72">
        <f t="shared" si="195"/>
        <v>0.51</v>
      </c>
      <c r="V338" s="72">
        <f t="shared" si="196"/>
        <v>0.49095441016435881</v>
      </c>
      <c r="W338" s="72">
        <f t="shared" si="197"/>
        <v>0.7620820425168251</v>
      </c>
      <c r="X338" s="72">
        <f t="shared" si="198"/>
        <v>0.19040505105209854</v>
      </c>
      <c r="Y338" s="72">
        <f t="shared" si="199"/>
        <v>0.29808132308833363</v>
      </c>
      <c r="Z338" s="72">
        <f t="shared" si="200"/>
        <v>0.325365926288817</v>
      </c>
      <c r="AA338" s="72">
        <f t="shared" si="201"/>
        <v>0.37959255029810007</v>
      </c>
      <c r="AB338" s="72">
        <f t="shared" si="202"/>
        <v>0.18928549267808387</v>
      </c>
      <c r="AC338" s="72"/>
      <c r="AD338" s="72"/>
      <c r="AE338" s="72">
        <f t="shared" si="203"/>
        <v>0.44870514909181491</v>
      </c>
      <c r="AF338" s="72">
        <f t="shared" si="204"/>
        <v>3.6383416495018639E-2</v>
      </c>
      <c r="AG338" s="72">
        <f t="shared" si="205"/>
        <v>0.49</v>
      </c>
      <c r="AH338" s="72">
        <f t="shared" si="206"/>
        <v>0.50904558983564119</v>
      </c>
      <c r="AI338" s="72">
        <f t="shared" si="207"/>
        <v>0.23791795748317487</v>
      </c>
      <c r="AJ338" s="72">
        <f>(AV338-Driver!$K$179)/(Driver!$L$179-Driver!$K$179)</f>
        <v>6.3814358230601873E-2</v>
      </c>
      <c r="AK338" s="72">
        <f>(AW338-Driver!$K$180)/(Driver!$L$180-Driver!$K$180)</f>
        <v>0.44608861958339097</v>
      </c>
      <c r="AL338" s="72">
        <f>(AX338-Driver!$K$181)/(Driver!$L$181-Driver!$K$181)</f>
        <v>0.42705369000189719</v>
      </c>
      <c r="AM338" s="72">
        <f>(AY338-Driver!$K$182)/(Driver!$L$182-Driver!$K$182)</f>
        <v>6.7792470798946278E-2</v>
      </c>
      <c r="AN338" s="72">
        <f>(AZ338-Driver!$K$183)/(Driver!$L$183-Driver!$K$183)</f>
        <v>0.44350490196078429</v>
      </c>
      <c r="AO338" s="72"/>
      <c r="AP338" s="72"/>
      <c r="AQ338" s="72">
        <f>(BC338-Driver!$K$188)/(Driver!$L$188-Driver!$K$188)</f>
        <v>0.17129485090818505</v>
      </c>
      <c r="AR338" s="72">
        <f>MIN((BD338-Driver!$K$189)/(Driver!$L$189-Driver!$K$189),100%)</f>
        <v>0.51361658350498141</v>
      </c>
      <c r="AS338" s="72">
        <f>(BE338-Driver!$K$190)/(Driver!$L$190-Driver!$K$190)</f>
        <v>1</v>
      </c>
      <c r="AT338" s="72">
        <f>(BF338-Driver!$K$191)/(Driver!$L$191-Driver!$K$191)</f>
        <v>9.5441016435886597E-4</v>
      </c>
      <c r="AU338" s="72">
        <f>(BG338-Driver!$K$192)/(Driver!$L$192-Driver!$K$192)</f>
        <v>1.2082042516825124E-2</v>
      </c>
      <c r="AV338" s="70">
        <f t="shared" si="208"/>
        <v>1.343101343101343</v>
      </c>
      <c r="AW338" s="70">
        <f t="shared" si="209"/>
        <v>45.347181347135844</v>
      </c>
      <c r="AX338" s="70">
        <f t="shared" si="210"/>
        <v>4.8434832100170748</v>
      </c>
      <c r="AY338" s="70">
        <f>IFERROR(Driver!$K$19/Data!BH338/Data!BI338*Data!BK338*Data!BL338,"")</f>
        <v>8.2998211578933917E-2</v>
      </c>
      <c r="AZ338" s="70">
        <f t="shared" si="211"/>
        <v>40.420699925539836</v>
      </c>
      <c r="BA338" s="70"/>
      <c r="BB338" s="70"/>
      <c r="BC338" s="70">
        <f t="shared" si="212"/>
        <v>88.8518299885597</v>
      </c>
      <c r="BD338" s="70">
        <f t="shared" si="213"/>
        <v>47.174980449554567</v>
      </c>
      <c r="BE338" s="70">
        <f t="shared" si="214"/>
        <v>1</v>
      </c>
      <c r="BF338" s="70">
        <f t="shared" si="215"/>
        <v>0.10779392295344646</v>
      </c>
      <c r="BG338" s="70">
        <f t="shared" si="216"/>
        <v>4.5750320478581345E-2</v>
      </c>
      <c r="BH338" s="67">
        <f>MAX((CE338-Driver!$F$200)/(Driver!$G$200-Driver!$F$200)*$BI$1,1)</f>
        <v>4.8434832100170748</v>
      </c>
      <c r="BI338" s="67">
        <f>MAX($BI$1*(BY338-Driver!$F$201)/(Driver!$G$201-Driver!$F$201),1)</f>
        <v>8.924050632911392</v>
      </c>
      <c r="BJ338" s="67">
        <f>(CB338-Driver!$F$206)/(Driver!$G$206-Driver!$F$206)*$BI$1</f>
        <v>1.2698412698412698</v>
      </c>
      <c r="BK338" s="67">
        <f>(CD338-Driver!$F$203)/(Driver!$G$203-Driver!$F$203)*$BI$1</f>
        <v>2.4770642201834865</v>
      </c>
      <c r="BL338" s="67">
        <f>MAX((CR338-Driver!$F$202)/(Driver!$G$202-Driver!$F$202)*$BI$1,1)</f>
        <v>7.2413793103448274</v>
      </c>
      <c r="BM338" s="67">
        <f>MAX((CH338-Driver!$F$204)/(Driver!$G$204-Driver!$F$204)*$BI$1,1)</f>
        <v>4.2307692307692308</v>
      </c>
      <c r="BN338" s="67">
        <f>(CI338-Driver!$F$205)/(Driver!$G$205-Driver!$F$205)*$BI$1</f>
        <v>4.5294117647058822</v>
      </c>
      <c r="BO338" s="67">
        <f>(CK338-Driver!$F$207)/(Driver!$G$207-Driver!$F$207)*$BI$1</f>
        <v>0.31023784901758011</v>
      </c>
      <c r="BP338" s="67">
        <f>(CM338-Driver!$F$208)/(Driver!$G$208-Driver!$F$208)*$BI$1</f>
        <v>0.67777777777777781</v>
      </c>
      <c r="BQ338" s="67">
        <f>(CL338-Driver!$F$209)/(Driver!$G$209-Driver!$F$209)*$BI$1</f>
        <v>0.9375</v>
      </c>
      <c r="BR338" s="28" t="s">
        <v>155</v>
      </c>
      <c r="BS338" s="8" t="s">
        <v>213</v>
      </c>
      <c r="BT338" s="9" t="s">
        <v>495</v>
      </c>
      <c r="BU338" s="10">
        <v>170</v>
      </c>
      <c r="BV338" s="9" t="s">
        <v>158</v>
      </c>
      <c r="BW338" s="10">
        <v>170</v>
      </c>
      <c r="BX338" s="10">
        <v>169.2</v>
      </c>
      <c r="BY338" s="10">
        <v>149</v>
      </c>
      <c r="BZ338" s="10">
        <v>156</v>
      </c>
      <c r="CA338" s="10">
        <v>122</v>
      </c>
      <c r="CB338" s="10">
        <v>72</v>
      </c>
      <c r="CC338" s="10">
        <v>103</v>
      </c>
      <c r="CD338" s="10">
        <v>14.8</v>
      </c>
      <c r="CE338" s="10">
        <v>1751</v>
      </c>
      <c r="CF338" s="10">
        <v>0.84</v>
      </c>
      <c r="CG338" s="10">
        <v>1467</v>
      </c>
      <c r="CH338" s="10">
        <v>200</v>
      </c>
      <c r="CI338" s="10">
        <v>110</v>
      </c>
      <c r="CJ338" s="10">
        <v>39</v>
      </c>
      <c r="CK338" s="10">
        <v>140</v>
      </c>
      <c r="CL338" s="10">
        <v>6</v>
      </c>
      <c r="CM338" s="10">
        <v>61</v>
      </c>
      <c r="CN338" s="10">
        <v>0.157</v>
      </c>
      <c r="CO338" s="10">
        <v>73</v>
      </c>
      <c r="CP338" s="10">
        <v>59</v>
      </c>
      <c r="CQ338" s="10">
        <v>68</v>
      </c>
      <c r="CR338" s="10">
        <v>10</v>
      </c>
      <c r="CS338" s="10">
        <v>13.9</v>
      </c>
      <c r="CT338" s="9" t="s">
        <v>349</v>
      </c>
      <c r="CU338" s="10"/>
      <c r="CV338" s="10"/>
      <c r="CW338" s="10"/>
      <c r="CX338" t="e">
        <f>INDEX('Data_Price '!AG$2:AG$1266,MATCH(Data!$DN338,'Data_Price '!$AT$2:$AT$1266,0))</f>
        <v>#N/A</v>
      </c>
      <c r="CY338" t="e">
        <f>INDEX('Data_Price '!AH$2:AH$1266,MATCH(Data!$DN338,'Data_Price '!$AT$2:$AT$1266,0))</f>
        <v>#N/A</v>
      </c>
      <c r="CZ338" t="e">
        <f>INDEX('Data_Price '!AI$2:AI$1266,MATCH(Data!$DN338,'Data_Price '!$AT$2:$AT$1266,0))</f>
        <v>#N/A</v>
      </c>
      <c r="DA338" t="e">
        <f>INDEX('Data_Price '!AJ$2:AJ$1266,MATCH(Data!$DN338,'Data_Price '!$AT$2:$AT$1266,0))</f>
        <v>#N/A</v>
      </c>
      <c r="DB338" t="e">
        <f>INDEX('Data_Price '!AK$2:AK$1266,MATCH(Data!$DN338,'Data_Price '!$AT$2:$AT$1266,0))</f>
        <v>#N/A</v>
      </c>
      <c r="DC338" t="e">
        <f>INDEX('Data_Price '!AL$2:AL$1266,MATCH(Data!$DN338,'Data_Price '!$AT$2:$AT$1266,0))</f>
        <v>#N/A</v>
      </c>
      <c r="DD338" t="e">
        <f>INDEX('Data_Price '!AM$2:AM$1266,MATCH(Data!$DN338,'Data_Price '!$AT$2:$AT$1266,0))</f>
        <v>#N/A</v>
      </c>
      <c r="DE338" t="e">
        <f>INDEX('Data_Price '!AN$2:AN$1266,MATCH(Data!$DN338,'Data_Price '!$AT$2:$AT$1266,0))</f>
        <v>#N/A</v>
      </c>
      <c r="DF338" t="e">
        <f>INDEX('Data_Price '!AO$2:AO$1266,MATCH(Data!$DN338,'Data_Price '!$AT$2:$AT$1266,0))</f>
        <v>#N/A</v>
      </c>
      <c r="DG338" t="e">
        <f>INDEX('Data_Price '!AP$2:AP$1266,MATCH(Data!$DN338,'Data_Price '!$AT$2:$AT$1266,0))</f>
        <v>#N/A</v>
      </c>
      <c r="DH338" t="e">
        <f>INDEX('Data_Price '!AQ$2:AQ$1266,MATCH(Data!$DN338,'Data_Price '!$AT$2:$AT$1266,0))</f>
        <v>#N/A</v>
      </c>
      <c r="DI338" t="e">
        <f>INDEX('Data_Price '!AR$2:AR$1266,MATCH(Data!$DN338,'Data_Price '!$AT$2:$AT$1266,0))</f>
        <v>#N/A</v>
      </c>
      <c r="DJ338" s="89" t="e">
        <f t="shared" si="217"/>
        <v>#N/A</v>
      </c>
      <c r="DK338" s="89" t="e">
        <f t="shared" si="218"/>
        <v>#N/A</v>
      </c>
      <c r="DL338" s="89" t="e">
        <f t="shared" si="219"/>
        <v>#N/A</v>
      </c>
      <c r="DM338" s="219" t="str">
        <f t="shared" si="220"/>
        <v>Laser SC Orea</v>
      </c>
      <c r="DN338" s="89" t="str">
        <f t="shared" si="221"/>
        <v xml:space="preserve"> StöckliLaser SC Orea170 Unisex</v>
      </c>
      <c r="DO338" s="221"/>
    </row>
    <row r="339" spans="2:119" ht="15.6" customHeight="1">
      <c r="B339" s="219" t="b">
        <f t="array" ref="B339">IF(OR(ISERROR(K339:P339)),FALSE,TRUE)</f>
        <v>1</v>
      </c>
      <c r="C339" s="43" t="b">
        <f>OR(BR339=Driver!$G$50,Data!BR986=Driver!$H$50)</f>
        <v>1</v>
      </c>
      <c r="D339" s="43" t="b">
        <f>OR(BV339=Driver!$G$51,BV339=Driver!$H$51)</f>
        <v>1</v>
      </c>
      <c r="E339" s="43" t="b">
        <f>AND(BX339&gt;Driver!$F$54,BX339&lt;Driver!$G$54)</f>
        <v>0</v>
      </c>
      <c r="F339" s="43" t="b">
        <f>CL339&gt;Driver!$F$56</f>
        <v>1</v>
      </c>
      <c r="G339" s="43" t="b">
        <f>AND(CB339&gt;Driver!$F$55,CB339&lt;Driver!$G$55)</f>
        <v>1</v>
      </c>
      <c r="H339" s="43" t="b">
        <f t="shared" si="185"/>
        <v>0</v>
      </c>
      <c r="I339" s="43">
        <f t="shared" si="186"/>
        <v>0</v>
      </c>
      <c r="J339" s="43" t="b">
        <f t="array" ref="J339">NOT(OR(($H$9:$H$1273=TRUE)*($I$9:$I$1273&gt;0)*($BT$9:$BT$1273=BT339)*($K$9:$K$1273&gt;K339)))</f>
        <v>1</v>
      </c>
      <c r="K339" s="72">
        <f t="shared" si="187"/>
        <v>0.74367199549244978</v>
      </c>
      <c r="L339" s="72">
        <f t="shared" si="188"/>
        <v>0.79857522267404679</v>
      </c>
      <c r="M339" s="72">
        <f t="shared" si="189"/>
        <v>0.68876876831085276</v>
      </c>
      <c r="N339" s="72">
        <f t="shared" si="190"/>
        <v>0.54878825065420456</v>
      </c>
      <c r="O339" s="72">
        <f t="shared" si="191"/>
        <v>0.63584766460349651</v>
      </c>
      <c r="P339" s="72">
        <f t="shared" si="192"/>
        <v>0.88167038967485722</v>
      </c>
      <c r="Q339" s="72"/>
      <c r="R339" s="72"/>
      <c r="S339" s="72">
        <f t="shared" si="193"/>
        <v>0.48378789176512138</v>
      </c>
      <c r="T339" s="72">
        <f t="shared" si="194"/>
        <v>0.53099836286677182</v>
      </c>
      <c r="U339" s="72">
        <f t="shared" si="195"/>
        <v>0.63963614707842253</v>
      </c>
      <c r="V339" s="72">
        <f t="shared" si="196"/>
        <v>0.5528711873978559</v>
      </c>
      <c r="W339" s="72">
        <f t="shared" si="197"/>
        <v>0.76337142857142859</v>
      </c>
      <c r="X339" s="72">
        <f t="shared" si="198"/>
        <v>0.20142477732595315</v>
      </c>
      <c r="Y339" s="72">
        <f t="shared" si="199"/>
        <v>0.31123123168914724</v>
      </c>
      <c r="Z339" s="72">
        <f t="shared" si="200"/>
        <v>0.45121174934579544</v>
      </c>
      <c r="AA339" s="72">
        <f t="shared" si="201"/>
        <v>0.36415233539650355</v>
      </c>
      <c r="AB339" s="72">
        <f t="shared" si="202"/>
        <v>0.11832961032514272</v>
      </c>
      <c r="AC339" s="72"/>
      <c r="AD339" s="72"/>
      <c r="AE339" s="72">
        <f t="shared" si="203"/>
        <v>0.51621210823487862</v>
      </c>
      <c r="AF339" s="72">
        <f t="shared" si="204"/>
        <v>0.46900163713322823</v>
      </c>
      <c r="AG339" s="72">
        <f t="shared" si="205"/>
        <v>0.36036385292157747</v>
      </c>
      <c r="AH339" s="72">
        <f t="shared" si="206"/>
        <v>0.4471288126021441</v>
      </c>
      <c r="AI339" s="72">
        <f t="shared" si="207"/>
        <v>0.23662857142857144</v>
      </c>
      <c r="AJ339" s="72">
        <f>(AV339-Driver!$K$179)/(Driver!$L$179-Driver!$K$179)</f>
        <v>0.45564418660865358</v>
      </c>
      <c r="AK339" s="72">
        <f>(AW339-Driver!$K$180)/(Driver!$L$180-Driver!$K$180)</f>
        <v>0.39154920325455722</v>
      </c>
      <c r="AL339" s="72">
        <f>(AX339-Driver!$K$181)/(Driver!$L$181-Driver!$K$181)</f>
        <v>0.55289951305887564</v>
      </c>
      <c r="AM339" s="72">
        <f>(AY339-Driver!$K$182)/(Driver!$L$182-Driver!$K$182)</f>
        <v>8.3232685700542819E-2</v>
      </c>
      <c r="AN339" s="72">
        <f>(AZ339-Driver!$K$183)/(Driver!$L$183-Driver!$K$183)</f>
        <v>0.37254901960784315</v>
      </c>
      <c r="AO339" s="72"/>
      <c r="AP339" s="72"/>
      <c r="AQ339" s="72">
        <f>(BC339-Driver!$K$188)/(Driver!$L$188-Driver!$K$188)</f>
        <v>0.1037878917651214</v>
      </c>
      <c r="AR339" s="72">
        <f>MIN((BD339-Driver!$K$189)/(Driver!$L$189-Driver!$K$189),100%)</f>
        <v>8.0998362866771825E-2</v>
      </c>
      <c r="AS339" s="72">
        <f>(BE339-Driver!$K$190)/(Driver!$L$190-Driver!$K$190)</f>
        <v>0.14963614707842252</v>
      </c>
      <c r="AT339" s="72">
        <f>(BF339-Driver!$K$191)/(Driver!$L$191-Driver!$K$191)</f>
        <v>6.287118739785591E-2</v>
      </c>
      <c r="AU339" s="72">
        <f>(BG339-Driver!$K$192)/(Driver!$L$192-Driver!$K$192)</f>
        <v>1.3371428571428569E-2</v>
      </c>
      <c r="AV339" s="70">
        <f t="shared" si="208"/>
        <v>9.5899470899470902</v>
      </c>
      <c r="AW339" s="70">
        <f t="shared" si="209"/>
        <v>40.031831957500195</v>
      </c>
      <c r="AX339" s="70">
        <f t="shared" si="210"/>
        <v>5.9760956175298805</v>
      </c>
      <c r="AY339" s="70">
        <f>IFERROR(Driver!$K$19/Data!BH339/Data!BI339*Data!BK339*Data!BL339,"")</f>
        <v>0.10190164153397308</v>
      </c>
      <c r="AZ339" s="70">
        <f t="shared" si="211"/>
        <v>33.953834698436339</v>
      </c>
      <c r="BA339" s="70"/>
      <c r="BB339" s="70"/>
      <c r="BC339" s="70">
        <f t="shared" si="212"/>
        <v>53.835500980286355</v>
      </c>
      <c r="BD339" s="70">
        <f t="shared" si="213"/>
        <v>8.8890344772005943</v>
      </c>
      <c r="BE339" s="70">
        <f t="shared" si="214"/>
        <v>0.14978784241853085</v>
      </c>
      <c r="BF339" s="70">
        <f t="shared" si="215"/>
        <v>7.1008589214981557</v>
      </c>
      <c r="BG339" s="70">
        <f t="shared" si="216"/>
        <v>5.0632758620689652E-2</v>
      </c>
      <c r="BH339" s="67">
        <f>MAX((CE339-Driver!$F$200)/(Driver!$G$200-Driver!$F$200)*$BI$1,1)</f>
        <v>5.9760956175298805</v>
      </c>
      <c r="BI339" s="67">
        <f>MAX($BI$1*(BY339-Driver!$F$201)/(Driver!$G$201-Driver!$F$201),1)</f>
        <v>7.5949367088607591</v>
      </c>
      <c r="BJ339" s="67">
        <f>(CB339-Driver!$F$206)/(Driver!$G$206-Driver!$F$206)*$BI$1</f>
        <v>6.1904761904761907</v>
      </c>
      <c r="BK339" s="67">
        <f>(CD339-Driver!$F$203)/(Driver!$G$203-Driver!$F$203)*$BI$1</f>
        <v>3.9449541284403673</v>
      </c>
      <c r="BL339" s="67">
        <f>MAX((CR339-Driver!$F$202)/(Driver!$G$202-Driver!$F$202)*$BI$1,1)</f>
        <v>5.8620689655172411</v>
      </c>
      <c r="BM339" s="67">
        <f>MAX((CH339-Driver!$F$204)/(Driver!$G$204-Driver!$F$204)*$BI$1,1)</f>
        <v>6.1965811965811968</v>
      </c>
      <c r="BN339" s="67">
        <f>(CI339-Driver!$F$205)/(Driver!$G$205-Driver!$F$205)*$BI$1</f>
        <v>4.4705882352941178</v>
      </c>
      <c r="BO339" s="67">
        <f>(CK339-Driver!$F$207)/(Driver!$G$207-Driver!$F$207)*$BI$1</f>
        <v>2.0062047569803516</v>
      </c>
      <c r="BP339" s="67">
        <f>(CM339-Driver!$F$208)/(Driver!$G$208-Driver!$F$208)*$BI$1</f>
        <v>2.2555555555555555</v>
      </c>
      <c r="BQ339" s="67">
        <f>(CL339-Driver!$F$209)/(Driver!$G$209-Driver!$F$209)*$BI$1</f>
        <v>1.875</v>
      </c>
      <c r="BR339" s="28" t="s">
        <v>155</v>
      </c>
      <c r="BS339" s="8" t="s">
        <v>172</v>
      </c>
      <c r="BT339" s="9" t="s">
        <v>388</v>
      </c>
      <c r="BU339" s="10">
        <v>178</v>
      </c>
      <c r="BV339" s="9" t="s">
        <v>158</v>
      </c>
      <c r="BW339" s="10">
        <v>178</v>
      </c>
      <c r="BX339" s="10">
        <v>178.3</v>
      </c>
      <c r="BY339" s="10">
        <v>128</v>
      </c>
      <c r="BZ339" s="10">
        <v>152</v>
      </c>
      <c r="CA339" s="10">
        <v>137</v>
      </c>
      <c r="CB339" s="10">
        <v>103</v>
      </c>
      <c r="CC339" s="10">
        <v>127</v>
      </c>
      <c r="CD339" s="10">
        <v>18</v>
      </c>
      <c r="CE339" s="10">
        <v>1950</v>
      </c>
      <c r="CF339" s="10">
        <v>1.05</v>
      </c>
      <c r="CG339" s="10">
        <v>2041</v>
      </c>
      <c r="CH339" s="10">
        <v>246</v>
      </c>
      <c r="CI339" s="10">
        <v>109</v>
      </c>
      <c r="CJ339" s="10">
        <v>51</v>
      </c>
      <c r="CK339" s="10">
        <v>304</v>
      </c>
      <c r="CL339" s="10">
        <v>12</v>
      </c>
      <c r="CM339" s="10">
        <v>203</v>
      </c>
      <c r="CN339" s="10">
        <v>0.23599999999999999</v>
      </c>
      <c r="CO339" s="10">
        <v>153</v>
      </c>
      <c r="CP339" s="10">
        <v>112</v>
      </c>
      <c r="CQ339" s="10">
        <v>152</v>
      </c>
      <c r="CR339" s="10">
        <v>6</v>
      </c>
      <c r="CS339" s="10">
        <v>7.2</v>
      </c>
      <c r="CT339" s="9" t="s">
        <v>188</v>
      </c>
      <c r="CU339" s="9" t="s">
        <v>178</v>
      </c>
      <c r="CV339" s="10"/>
      <c r="CW339" s="10"/>
      <c r="CX339" t="str">
        <f>INDEX('Data_Price '!AG$2:AG$1266,MATCH(Data!$DN339,'Data_Price '!$AT$2:$AT$1266,0))</f>
        <v>Skis Rossignol Blackops Sender</v>
      </c>
      <c r="CY339" t="str">
        <f>INDEX('Data_Price '!AH$2:AH$1266,MATCH(Data!$DN339,'Data_Price '!$AT$2:$AT$1266,0))</f>
        <v>Gorham Bike and Ski</v>
      </c>
      <c r="CZ339">
        <f>INDEX('Data_Price '!AI$2:AI$1266,MATCH(Data!$DN339,'Data_Price '!$AT$2:$AT$1266,0))</f>
        <v>489.99</v>
      </c>
      <c r="DA339" t="str">
        <f>INDEX('Data_Price '!AJ$2:AJ$1266,MATCH(Data!$DN339,'Data_Price '!$AT$2:$AT$1266,0))</f>
        <v>https://tinyurl.com/ybo9drwq</v>
      </c>
      <c r="DB339" t="str">
        <f>INDEX('Data_Price '!AK$2:AK$1266,MATCH(Data!$DN339,'Data_Price '!$AT$2:$AT$1266,0))</f>
        <v>Skis Rossignol Blackops Sender</v>
      </c>
      <c r="DC339" t="str">
        <f>INDEX('Data_Price '!AL$2:AL$1266,MATCH(Data!$DN339,'Data_Price '!$AT$2:$AT$1266,0))</f>
        <v>Level Nine Sports</v>
      </c>
      <c r="DD339">
        <f>INDEX('Data_Price '!AM$2:AM$1266,MATCH(Data!$DN339,'Data_Price '!$AT$2:$AT$1266,0))</f>
        <v>559.96</v>
      </c>
      <c r="DE339" t="str">
        <f>INDEX('Data_Price '!AN$2:AN$1266,MATCH(Data!$DN339,'Data_Price '!$AT$2:$AT$1266,0))</f>
        <v>https://tinyurl.com/yd755rj2</v>
      </c>
      <c r="DF339" t="str">
        <f>INDEX('Data_Price '!AO$2:AO$1266,MATCH(Data!$DN339,'Data_Price '!$AT$2:$AT$1266,0))</f>
        <v>Skis Rossignol Blackops Sender</v>
      </c>
      <c r="DG339" t="str">
        <f>INDEX('Data_Price '!AP$2:AP$1266,MATCH(Data!$DN339,'Data_Price '!$AT$2:$AT$1266,0))</f>
        <v>evo.com</v>
      </c>
      <c r="DH339">
        <f>INDEX('Data_Price '!AQ$2:AQ$1266,MATCH(Data!$DN339,'Data_Price '!$AT$2:$AT$1266,0))</f>
        <v>559.96</v>
      </c>
      <c r="DI339" t="str">
        <f>INDEX('Data_Price '!AR$2:AR$1266,MATCH(Data!$DN339,'Data_Price '!$AT$2:$AT$1266,0))</f>
        <v>https://tinyurl.com/y7nqwvnw</v>
      </c>
      <c r="DJ339" s="89" t="str">
        <f t="shared" si="217"/>
        <v>https://tinyurl.com/ybo9drwq</v>
      </c>
      <c r="DK339" s="89" t="str">
        <f t="shared" si="218"/>
        <v>https://tinyurl.com/yd755rj2</v>
      </c>
      <c r="DL339" s="89" t="str">
        <f t="shared" si="219"/>
        <v>https://tinyurl.com/y7nqwvnw</v>
      </c>
      <c r="DM339" s="219" t="str">
        <f t="shared" si="220"/>
        <v>Blackops Sender</v>
      </c>
      <c r="DN339" s="89" t="str">
        <f t="shared" si="221"/>
        <v xml:space="preserve"> RossignolBlackops Sender178 Unisex</v>
      </c>
      <c r="DO339" s="221"/>
    </row>
    <row r="340" spans="2:119" ht="15.6" customHeight="1">
      <c r="B340" s="219" t="b">
        <f t="array" ref="B340">IF(OR(ISERROR(K340:P340)),FALSE,TRUE)</f>
        <v>1</v>
      </c>
      <c r="C340" s="43" t="b">
        <f>OR(BR340=Driver!$G$50,Data!BR1004=Driver!$H$50)</f>
        <v>1</v>
      </c>
      <c r="D340" s="43" t="b">
        <f>OR(BV340=Driver!$G$51,BV340=Driver!$H$51)</f>
        <v>1</v>
      </c>
      <c r="E340" s="43" t="b">
        <f>AND(BX340&gt;Driver!$F$54,BX340&lt;Driver!$G$54)</f>
        <v>0</v>
      </c>
      <c r="F340" s="43" t="b">
        <f>CL340&gt;Driver!$F$56</f>
        <v>1</v>
      </c>
      <c r="G340" s="43" t="b">
        <f>AND(CB340&gt;Driver!$F$55,CB340&lt;Driver!$G$55)</f>
        <v>0</v>
      </c>
      <c r="H340" s="43" t="b">
        <f t="shared" si="185"/>
        <v>0</v>
      </c>
      <c r="I340" s="43">
        <f t="shared" si="186"/>
        <v>0</v>
      </c>
      <c r="J340" s="43" t="b">
        <f t="array" ref="J340">NOT(OR(($H$9:$H$1273=TRUE)*($I$9:$I$1273&gt;0)*($BT$9:$BT$1273=BT340)*($K$9:$K$1273&gt;K340)))</f>
        <v>1</v>
      </c>
      <c r="K340" s="72">
        <f t="shared" si="187"/>
        <v>0.82690091166216884</v>
      </c>
      <c r="L340" s="72">
        <f t="shared" si="188"/>
        <v>0.89274699149080694</v>
      </c>
      <c r="M340" s="72">
        <f t="shared" si="189"/>
        <v>0.76105483183353073</v>
      </c>
      <c r="N340" s="72">
        <f t="shared" si="190"/>
        <v>0.68538472191203037</v>
      </c>
      <c r="O340" s="72">
        <f t="shared" si="191"/>
        <v>0.6278740897960573</v>
      </c>
      <c r="P340" s="72">
        <f t="shared" si="192"/>
        <v>0.96990568379250441</v>
      </c>
      <c r="Q340" s="72"/>
      <c r="R340" s="72"/>
      <c r="S340" s="72">
        <f t="shared" si="193"/>
        <v>0.45189603776623322</v>
      </c>
      <c r="T340" s="72">
        <f t="shared" si="194"/>
        <v>0.75540093808151298</v>
      </c>
      <c r="U340" s="72">
        <f t="shared" si="195"/>
        <v>0.87716340342230903</v>
      </c>
      <c r="V340" s="72">
        <f t="shared" si="196"/>
        <v>0.51160321488487726</v>
      </c>
      <c r="W340" s="72">
        <f t="shared" si="197"/>
        <v>0.77141234380916313</v>
      </c>
      <c r="X340" s="72">
        <f t="shared" si="198"/>
        <v>0.10725300850919309</v>
      </c>
      <c r="Y340" s="72">
        <f t="shared" si="199"/>
        <v>0.2389451681664693</v>
      </c>
      <c r="Z340" s="72">
        <f t="shared" si="200"/>
        <v>0.31461527808796963</v>
      </c>
      <c r="AA340" s="72">
        <f t="shared" si="201"/>
        <v>0.3721259102039427</v>
      </c>
      <c r="AB340" s="72">
        <f t="shared" si="202"/>
        <v>3.0094316207495642E-2</v>
      </c>
      <c r="AC340" s="72"/>
      <c r="AD340" s="72"/>
      <c r="AE340" s="72">
        <f t="shared" si="203"/>
        <v>0.54810396223376678</v>
      </c>
      <c r="AF340" s="72">
        <f t="shared" si="204"/>
        <v>0.24459906191848696</v>
      </c>
      <c r="AG340" s="72">
        <f t="shared" si="205"/>
        <v>0.12283659657769092</v>
      </c>
      <c r="AH340" s="72">
        <f t="shared" si="206"/>
        <v>0.48839678511512269</v>
      </c>
      <c r="AI340" s="72">
        <f t="shared" si="207"/>
        <v>0.22858765619083682</v>
      </c>
      <c r="AJ340" s="72">
        <f>(AV340-Driver!$K$179)/(Driver!$L$179-Driver!$K$179)</f>
        <v>0.14696640077350734</v>
      </c>
      <c r="AK340" s="72">
        <f>(AW340-Driver!$K$180)/(Driver!$L$180-Driver!$K$180)</f>
        <v>0.29632104357912503</v>
      </c>
      <c r="AL340" s="72">
        <f>(AX340-Driver!$K$181)/(Driver!$L$181-Driver!$K$181)</f>
        <v>0.41630304180104982</v>
      </c>
      <c r="AM340" s="72">
        <f>(AY340-Driver!$K$182)/(Driver!$L$182-Driver!$K$182)</f>
        <v>7.5259110893103678E-2</v>
      </c>
      <c r="AN340" s="72">
        <f>(AZ340-Driver!$K$183)/(Driver!$L$183-Driver!$K$183)</f>
        <v>0.28431372549019607</v>
      </c>
      <c r="AO340" s="72"/>
      <c r="AP340" s="72"/>
      <c r="AQ340" s="72">
        <f>(BC340-Driver!$K$188)/(Driver!$L$188-Driver!$K$188)</f>
        <v>7.1896037766233212E-2</v>
      </c>
      <c r="AR340" s="72">
        <f>MIN((BD340-Driver!$K$189)/(Driver!$L$189-Driver!$K$189),100%)</f>
        <v>0.30540093808151308</v>
      </c>
      <c r="AS340" s="72">
        <f>(BE340-Driver!$K$190)/(Driver!$L$190-Driver!$K$190)</f>
        <v>0.38716340342230909</v>
      </c>
      <c r="AT340" s="72">
        <f>(BF340-Driver!$K$191)/(Driver!$L$191-Driver!$K$191)</f>
        <v>2.1603214884877344E-2</v>
      </c>
      <c r="AU340" s="72">
        <f>(BG340-Driver!$K$192)/(Driver!$L$192-Driver!$K$192)</f>
        <v>2.1412343809163192E-2</v>
      </c>
      <c r="AV340" s="70">
        <f t="shared" si="208"/>
        <v>3.0932030932030927</v>
      </c>
      <c r="AW340" s="70">
        <f t="shared" si="209"/>
        <v>30.751003989795429</v>
      </c>
      <c r="AX340" s="70">
        <f t="shared" si="210"/>
        <v>4.7467273762094484</v>
      </c>
      <c r="AY340" s="70">
        <f>IFERROR(Driver!$K$19/Data!BH340/Data!BI340*Data!BK340*Data!BL340,"")</f>
        <v>9.2139606884565114E-2</v>
      </c>
      <c r="AZ340" s="70">
        <f t="shared" si="211"/>
        <v>25.912137006701414</v>
      </c>
      <c r="BA340" s="70"/>
      <c r="BB340" s="70"/>
      <c r="BC340" s="70">
        <f t="shared" si="212"/>
        <v>37.292974602490958</v>
      </c>
      <c r="BD340" s="70">
        <f t="shared" si="213"/>
        <v>28.7482647658702</v>
      </c>
      <c r="BE340" s="70">
        <f t="shared" si="214"/>
        <v>0.38727272657336886</v>
      </c>
      <c r="BF340" s="70">
        <f t="shared" si="215"/>
        <v>2.4399313500726798</v>
      </c>
      <c r="BG340" s="70">
        <f t="shared" si="216"/>
        <v>8.1080793260128736E-2</v>
      </c>
      <c r="BH340" s="67">
        <f>MAX((CE340-Driver!$F$200)/(Driver!$G$200-Driver!$F$200)*$BI$1,1)</f>
        <v>4.7467273762094484</v>
      </c>
      <c r="BI340" s="67">
        <f>MAX($BI$1*(BY340-Driver!$F$201)/(Driver!$G$201-Driver!$F$201),1)</f>
        <v>7.5949367088607591</v>
      </c>
      <c r="BJ340" s="67">
        <f>(CB340-Driver!$F$206)/(Driver!$G$206-Driver!$F$206)*$BI$1</f>
        <v>2.5396825396825395</v>
      </c>
      <c r="BK340" s="67">
        <f>(CD340-Driver!$F$203)/(Driver!$G$203-Driver!$F$203)*$BI$1</f>
        <v>2.2935779816513766</v>
      </c>
      <c r="BL340" s="67">
        <f>MAX((CR340-Driver!$F$202)/(Driver!$G$202-Driver!$F$202)*$BI$1,1)</f>
        <v>7.2413793103448274</v>
      </c>
      <c r="BM340" s="67">
        <f>MAX((CH340-Driver!$F$204)/(Driver!$G$204-Driver!$F$204)*$BI$1,1)</f>
        <v>4.8717948717948714</v>
      </c>
      <c r="BN340" s="67">
        <f>(CI340-Driver!$F$205)/(Driver!$G$205-Driver!$F$205)*$BI$1</f>
        <v>3.4117647058823533</v>
      </c>
      <c r="BO340" s="67">
        <f>(CK340-Driver!$F$207)/(Driver!$G$207-Driver!$F$207)*$BI$1</f>
        <v>1.5615305067218201</v>
      </c>
      <c r="BP340" s="67">
        <f>(CM340-Driver!$F$208)/(Driver!$G$208-Driver!$F$208)*$BI$1</f>
        <v>1.411111111111111</v>
      </c>
      <c r="BQ340" s="67">
        <f>(CL340-Driver!$F$209)/(Driver!$G$209-Driver!$F$209)*$BI$1</f>
        <v>1.875</v>
      </c>
      <c r="BR340" s="28" t="s">
        <v>155</v>
      </c>
      <c r="BS340" s="8" t="s">
        <v>172</v>
      </c>
      <c r="BT340" s="9" t="s">
        <v>533</v>
      </c>
      <c r="BU340" s="10">
        <v>166</v>
      </c>
      <c r="BV340" s="9" t="s">
        <v>158</v>
      </c>
      <c r="BW340" s="10">
        <v>166</v>
      </c>
      <c r="BX340" s="10">
        <v>166.6</v>
      </c>
      <c r="BY340" s="10">
        <v>128</v>
      </c>
      <c r="BZ340" s="10">
        <v>152</v>
      </c>
      <c r="CA340" s="10">
        <v>125</v>
      </c>
      <c r="CB340" s="10">
        <v>80</v>
      </c>
      <c r="CC340" s="10">
        <v>113</v>
      </c>
      <c r="CD340" s="10">
        <v>14.4</v>
      </c>
      <c r="CE340" s="10">
        <v>1734</v>
      </c>
      <c r="CF340" s="10">
        <v>0.91</v>
      </c>
      <c r="CG340" s="10">
        <v>1575</v>
      </c>
      <c r="CH340" s="10">
        <v>215</v>
      </c>
      <c r="CI340" s="10">
        <v>91</v>
      </c>
      <c r="CJ340" s="10">
        <v>47</v>
      </c>
      <c r="CK340" s="10">
        <v>261</v>
      </c>
      <c r="CL340" s="10">
        <v>12</v>
      </c>
      <c r="CM340" s="10">
        <v>127</v>
      </c>
      <c r="CN340" s="10">
        <v>0.26100000000000001</v>
      </c>
      <c r="CO340" s="10">
        <v>80</v>
      </c>
      <c r="CP340" s="10">
        <v>66</v>
      </c>
      <c r="CQ340" s="10">
        <v>181</v>
      </c>
      <c r="CR340" s="10">
        <v>10</v>
      </c>
      <c r="CS340" s="10">
        <v>7</v>
      </c>
      <c r="CT340" s="9" t="s">
        <v>188</v>
      </c>
      <c r="CU340" s="10"/>
      <c r="CV340" s="10"/>
      <c r="CW340" s="10"/>
      <c r="CX340" t="str">
        <f>INDEX('Data_Price '!AG$2:AG$1266,MATCH(Data!$DN340,'Data_Price '!$AT$2:$AT$1266,0))</f>
        <v>Rossignol Experience 80 Carbon Skis w/ Look Xpress 10 GW Bindings</v>
      </c>
      <c r="CY340" t="str">
        <f>INDEX('Data_Price '!AH$2:AH$1266,MATCH(Data!$DN340,'Data_Price '!$AT$2:$AT$1266,0))</f>
        <v>The-House.com</v>
      </c>
      <c r="CZ340">
        <f>INDEX('Data_Price '!AI$2:AI$1266,MATCH(Data!$DN340,'Data_Price '!$AT$2:$AT$1266,0))</f>
        <v>479.95</v>
      </c>
      <c r="DA340" t="str">
        <f>INDEX('Data_Price '!AJ$2:AJ$1266,MATCH(Data!$DN340,'Data_Price '!$AT$2:$AT$1266,0))</f>
        <v>https://tinyurl.com/y73s97bd</v>
      </c>
      <c r="DB340" t="str">
        <f>INDEX('Data_Price '!AK$2:AK$1266,MATCH(Data!$DN340,'Data_Price '!$AT$2:$AT$1266,0))</f>
        <v>Rossignol Men's All Mountain Skis Experience 80 Carbon (xpress)</v>
      </c>
      <c r="DC340" t="str">
        <f>INDEX('Data_Price '!AL$2:AL$1266,MATCH(Data!$DN340,'Data_Price '!$AT$2:$AT$1266,0))</f>
        <v>Rossignol US</v>
      </c>
      <c r="DD340">
        <f>INDEX('Data_Price '!AM$2:AM$1266,MATCH(Data!$DN340,'Data_Price '!$AT$2:$AT$1266,0))</f>
        <v>599.95000000000005</v>
      </c>
      <c r="DE340" t="str">
        <f>INDEX('Data_Price '!AN$2:AN$1266,MATCH(Data!$DN340,'Data_Price '!$AT$2:$AT$1266,0))</f>
        <v>https://tinyurl.com/y93xkhq3</v>
      </c>
      <c r="DF340" t="str">
        <f>INDEX('Data_Price '!AO$2:AO$1266,MATCH(Data!$DN340,'Data_Price '!$AT$2:$AT$1266,0))</f>
        <v>Rossignol Experience 80 Carbon Skis w/ Look Xpress 11 GW Bindings</v>
      </c>
      <c r="DG340" t="str">
        <f>INDEX('Data_Price '!AP$2:AP$1266,MATCH(Data!$DN340,'Data_Price '!$AT$2:$AT$1266,0))</f>
        <v>Next Adventure</v>
      </c>
      <c r="DH340">
        <f>INDEX('Data_Price '!AQ$2:AQ$1266,MATCH(Data!$DN340,'Data_Price '!$AT$2:$AT$1266,0))</f>
        <v>599.95000000000005</v>
      </c>
      <c r="DI340" t="str">
        <f>INDEX('Data_Price '!AR$2:AR$1266,MATCH(Data!$DN340,'Data_Price '!$AT$2:$AT$1266,0))</f>
        <v>https://tinyurl.com/y8buobus</v>
      </c>
      <c r="DJ340" s="89" t="str">
        <f t="shared" si="217"/>
        <v>https://tinyurl.com/y73s97bd</v>
      </c>
      <c r="DK340" s="89" t="str">
        <f t="shared" si="218"/>
        <v>https://tinyurl.com/y93xkhq3</v>
      </c>
      <c r="DL340" s="89" t="str">
        <f t="shared" si="219"/>
        <v>https://tinyurl.com/y8buobus</v>
      </c>
      <c r="DM340" s="219" t="str">
        <f t="shared" si="220"/>
        <v>Experience 80 Carbon</v>
      </c>
      <c r="DN340" s="89" t="str">
        <f t="shared" si="221"/>
        <v xml:space="preserve"> RossignolExperience 80 Carbon166 Unisex</v>
      </c>
      <c r="DO340" s="221"/>
    </row>
    <row r="341" spans="2:119" ht="15.6" customHeight="1">
      <c r="B341" s="219" t="b">
        <f t="array" ref="B341">IF(OR(ISERROR(K341:P341)),FALSE,TRUE)</f>
        <v>1</v>
      </c>
      <c r="C341" s="43" t="b">
        <f>OR(BR341=Driver!$G$50,Data!BR1229=Driver!$H$50)</f>
        <v>1</v>
      </c>
      <c r="D341" s="43" t="b">
        <f>OR(BV341=Driver!$G$51,BV341=Driver!$H$51)</f>
        <v>1</v>
      </c>
      <c r="E341" s="43" t="b">
        <f>AND(BX341&gt;Driver!$F$54,BX341&lt;Driver!$G$54)</f>
        <v>0</v>
      </c>
      <c r="F341" s="43" t="b">
        <f>CL341&gt;Driver!$F$56</f>
        <v>1</v>
      </c>
      <c r="G341" s="43" t="b">
        <f>AND(CB341&gt;Driver!$F$55,CB341&lt;Driver!$G$55)</f>
        <v>0</v>
      </c>
      <c r="H341" s="43" t="b">
        <f t="shared" si="185"/>
        <v>0</v>
      </c>
      <c r="I341" s="43">
        <f t="shared" si="186"/>
        <v>0</v>
      </c>
      <c r="J341" s="43" t="b">
        <f t="array" ref="J341">NOT(OR(($H$9:$H$1273=TRUE)*($I$9:$I$1273&gt;0)*($BT$9:$BT$1273=BT341)*($K$9:$K$1273&gt;K341)))</f>
        <v>1</v>
      </c>
      <c r="K341" s="72">
        <f t="shared" si="187"/>
        <v>0.84217697535704972</v>
      </c>
      <c r="L341" s="72">
        <f t="shared" si="188"/>
        <v>0.94576447598037261</v>
      </c>
      <c r="M341" s="72">
        <f t="shared" si="189"/>
        <v>0.73858947473372694</v>
      </c>
      <c r="N341" s="72">
        <f t="shared" si="190"/>
        <v>0.78087577357838089</v>
      </c>
      <c r="O341" s="72">
        <f t="shared" si="191"/>
        <v>0.66964382957539348</v>
      </c>
      <c r="P341" s="72">
        <f t="shared" si="192"/>
        <v>0.76524882104740632</v>
      </c>
      <c r="Q341" s="72"/>
      <c r="R341" s="72"/>
      <c r="S341" s="72">
        <f t="shared" si="193"/>
        <v>0.53268026516052613</v>
      </c>
      <c r="T341" s="72">
        <f t="shared" si="194"/>
        <v>0.45812563819024177</v>
      </c>
      <c r="U341" s="72">
        <f t="shared" si="195"/>
        <v>0.59953581080670837</v>
      </c>
      <c r="V341" s="72">
        <f t="shared" si="196"/>
        <v>0.55790816072232552</v>
      </c>
      <c r="W341" s="72">
        <f t="shared" si="197"/>
        <v>0.8078441204195832</v>
      </c>
      <c r="X341" s="72">
        <f t="shared" si="198"/>
        <v>5.423552401962739E-2</v>
      </c>
      <c r="Y341" s="72">
        <f t="shared" si="199"/>
        <v>0.26141052526627312</v>
      </c>
      <c r="Z341" s="72">
        <f t="shared" si="200"/>
        <v>0.21912422642161911</v>
      </c>
      <c r="AA341" s="72">
        <f t="shared" si="201"/>
        <v>0.33035617042460652</v>
      </c>
      <c r="AB341" s="72">
        <f t="shared" si="202"/>
        <v>0.23475117895259368</v>
      </c>
      <c r="AC341" s="72"/>
      <c r="AD341" s="72"/>
      <c r="AE341" s="72">
        <f t="shared" si="203"/>
        <v>0.46731973483947387</v>
      </c>
      <c r="AF341" s="72">
        <f t="shared" si="204"/>
        <v>0.54187436180975823</v>
      </c>
      <c r="AG341" s="72">
        <f t="shared" si="205"/>
        <v>0.40046418919329163</v>
      </c>
      <c r="AH341" s="72">
        <f t="shared" si="206"/>
        <v>0.44209183927767448</v>
      </c>
      <c r="AI341" s="72">
        <f t="shared" si="207"/>
        <v>0.19215587958041677</v>
      </c>
      <c r="AJ341" s="72">
        <f>(AV341-Driver!$K$179)/(Driver!$L$179-Driver!$K$179)</f>
        <v>0.19998388526307304</v>
      </c>
      <c r="AK341" s="72">
        <f>(AW341-Driver!$K$180)/(Driver!$L$180-Driver!$K$180)</f>
        <v>0.4794135815929691</v>
      </c>
      <c r="AL341" s="72">
        <f>(AX341-Driver!$K$181)/(Driver!$L$181-Driver!$K$181)</f>
        <v>0.3208119901346993</v>
      </c>
      <c r="AM341" s="72">
        <f>(AY341-Driver!$K$182)/(Driver!$L$182-Driver!$K$182)</f>
        <v>0.11702885067243982</v>
      </c>
      <c r="AN341" s="72">
        <f>(AZ341-Driver!$K$183)/(Driver!$L$183-Driver!$K$183)</f>
        <v>0.4889705882352941</v>
      </c>
      <c r="AO341" s="72"/>
      <c r="AP341" s="72"/>
      <c r="AQ341" s="72">
        <f>(BC341-Driver!$K$188)/(Driver!$L$188-Driver!$K$188)</f>
        <v>0.15268026516052616</v>
      </c>
      <c r="AR341" s="72">
        <f>MIN((BD341-Driver!$K$189)/(Driver!$L$189-Driver!$K$189),100%)</f>
        <v>8.1256381902417799E-3</v>
      </c>
      <c r="AS341" s="72">
        <f>(BE341-Driver!$K$190)/(Driver!$L$190-Driver!$K$190)</f>
        <v>0.10953581080670838</v>
      </c>
      <c r="AT341" s="72">
        <f>(BF341-Driver!$K$191)/(Driver!$L$191-Driver!$K$191)</f>
        <v>6.7908160722325528E-2</v>
      </c>
      <c r="AU341" s="72">
        <f>(BG341-Driver!$K$192)/(Driver!$L$192-Driver!$K$192)</f>
        <v>5.7844120419583221E-2</v>
      </c>
      <c r="AV341" s="70">
        <f t="shared" si="208"/>
        <v>4.2090625423958752</v>
      </c>
      <c r="AW341" s="70">
        <f t="shared" si="209"/>
        <v>48.594994184171938</v>
      </c>
      <c r="AX341" s="70">
        <f t="shared" si="210"/>
        <v>3.8873079112122939</v>
      </c>
      <c r="AY341" s="70">
        <f>IFERROR(Driver!$K$19/Data!BH341/Data!BI341*Data!BK341*Data!BL341,"")</f>
        <v>0.14327823126195305</v>
      </c>
      <c r="AZ341" s="70">
        <f t="shared" si="211"/>
        <v>44.564408041697689</v>
      </c>
      <c r="BA341" s="70"/>
      <c r="BB341" s="70"/>
      <c r="BC341" s="70">
        <f t="shared" si="212"/>
        <v>79.196314954748345</v>
      </c>
      <c r="BD341" s="70">
        <f t="shared" si="213"/>
        <v>2.4399274661552126</v>
      </c>
      <c r="BE341" s="70">
        <f t="shared" si="214"/>
        <v>0.1096946595954591</v>
      </c>
      <c r="BF341" s="70">
        <f t="shared" si="215"/>
        <v>7.6697496717566445</v>
      </c>
      <c r="BG341" s="70">
        <f t="shared" si="216"/>
        <v>0.2190347404681201</v>
      </c>
      <c r="BH341" s="67">
        <f>MAX((CE341-Driver!$F$200)/(Driver!$G$200-Driver!$F$200)*$BI$1,1)</f>
        <v>3.8873079112122939</v>
      </c>
      <c r="BI341" s="67">
        <f>MAX($BI$1*(BY341-Driver!$F$201)/(Driver!$G$201-Driver!$F$201),1)</f>
        <v>6.6455696202531644</v>
      </c>
      <c r="BJ341" s="67">
        <f>(CB341-Driver!$F$206)/(Driver!$G$206-Driver!$F$206)*$BI$1</f>
        <v>5.3968253968253963</v>
      </c>
      <c r="BK341" s="67">
        <f>(CD341-Driver!$F$203)/(Driver!$G$203-Driver!$F$203)*$BI$1</f>
        <v>4.1284403669724767</v>
      </c>
      <c r="BL341" s="67">
        <f>MAX((CR341-Driver!$F$202)/(Driver!$G$202-Driver!$F$202)*$BI$1,1)</f>
        <v>4.4827586206896548</v>
      </c>
      <c r="BM341" s="67">
        <f>MAX((CH341-Driver!$F$204)/(Driver!$G$204-Driver!$F$204)*$BI$1,1)</f>
        <v>3.1196581196581197</v>
      </c>
      <c r="BN341" s="67">
        <f>(CI341-Driver!$F$205)/(Driver!$G$205-Driver!$F$205)*$BI$1</f>
        <v>6.7058823529411757</v>
      </c>
      <c r="BO341" s="67">
        <f>(CK341-Driver!$F$207)/(Driver!$G$207-Driver!$F$207)*$BI$1</f>
        <v>2.1820062047569806</v>
      </c>
      <c r="BP341" s="67">
        <f>(CM341-Driver!$F$208)/(Driver!$G$208-Driver!$F$208)*$BI$1</f>
        <v>2.6888888888888891</v>
      </c>
      <c r="BQ341" s="67">
        <f>(CL341-Driver!$F$209)/(Driver!$G$209-Driver!$F$209)*$BI$1</f>
        <v>2.65625</v>
      </c>
      <c r="BR341" s="28" t="s">
        <v>155</v>
      </c>
      <c r="BS341" s="8" t="s">
        <v>229</v>
      </c>
      <c r="BT341" s="9" t="s">
        <v>534</v>
      </c>
      <c r="BU341" s="10">
        <v>170</v>
      </c>
      <c r="BV341" s="9" t="s">
        <v>158</v>
      </c>
      <c r="BW341" s="10">
        <v>170</v>
      </c>
      <c r="BX341" s="10">
        <v>169.7</v>
      </c>
      <c r="BY341" s="10">
        <v>113</v>
      </c>
      <c r="BZ341" s="10">
        <v>142</v>
      </c>
      <c r="CA341" s="10">
        <v>134</v>
      </c>
      <c r="CB341" s="10">
        <v>98</v>
      </c>
      <c r="CC341" s="10">
        <v>116</v>
      </c>
      <c r="CD341" s="10">
        <v>18.399999999999999</v>
      </c>
      <c r="CE341" s="10">
        <v>1583</v>
      </c>
      <c r="CF341" s="10">
        <v>1.17</v>
      </c>
      <c r="CG341" s="10">
        <v>1849</v>
      </c>
      <c r="CH341" s="10">
        <v>174</v>
      </c>
      <c r="CI341" s="10">
        <v>147</v>
      </c>
      <c r="CJ341" s="10">
        <v>47</v>
      </c>
      <c r="CK341" s="10">
        <v>321</v>
      </c>
      <c r="CL341" s="10">
        <v>17</v>
      </c>
      <c r="CM341" s="10">
        <v>242</v>
      </c>
      <c r="CN341" s="10">
        <v>0.36299999999999999</v>
      </c>
      <c r="CO341" s="10">
        <v>155</v>
      </c>
      <c r="CP341" s="10">
        <v>121</v>
      </c>
      <c r="CQ341" s="10">
        <v>166</v>
      </c>
      <c r="CR341" s="10">
        <v>2</v>
      </c>
      <c r="CS341" s="10">
        <v>10.6</v>
      </c>
      <c r="CT341" s="9" t="s">
        <v>188</v>
      </c>
      <c r="CU341" s="9" t="s">
        <v>185</v>
      </c>
      <c r="CV341" s="10"/>
      <c r="CW341" s="10"/>
      <c r="CX341" t="e">
        <f>INDEX('Data_Price '!AG$2:AG$1266,MATCH(Data!$DN341,'Data_Price '!$AT$2:$AT$1266,0))</f>
        <v>#N/A</v>
      </c>
      <c r="CY341" t="e">
        <f>INDEX('Data_Price '!AH$2:AH$1266,MATCH(Data!$DN341,'Data_Price '!$AT$2:$AT$1266,0))</f>
        <v>#N/A</v>
      </c>
      <c r="CZ341" t="e">
        <f>INDEX('Data_Price '!AI$2:AI$1266,MATCH(Data!$DN341,'Data_Price '!$AT$2:$AT$1266,0))</f>
        <v>#N/A</v>
      </c>
      <c r="DA341" t="e">
        <f>INDEX('Data_Price '!AJ$2:AJ$1266,MATCH(Data!$DN341,'Data_Price '!$AT$2:$AT$1266,0))</f>
        <v>#N/A</v>
      </c>
      <c r="DB341" t="e">
        <f>INDEX('Data_Price '!AK$2:AK$1266,MATCH(Data!$DN341,'Data_Price '!$AT$2:$AT$1266,0))</f>
        <v>#N/A</v>
      </c>
      <c r="DC341" t="e">
        <f>INDEX('Data_Price '!AL$2:AL$1266,MATCH(Data!$DN341,'Data_Price '!$AT$2:$AT$1266,0))</f>
        <v>#N/A</v>
      </c>
      <c r="DD341" t="e">
        <f>INDEX('Data_Price '!AM$2:AM$1266,MATCH(Data!$DN341,'Data_Price '!$AT$2:$AT$1266,0))</f>
        <v>#N/A</v>
      </c>
      <c r="DE341" t="e">
        <f>INDEX('Data_Price '!AN$2:AN$1266,MATCH(Data!$DN341,'Data_Price '!$AT$2:$AT$1266,0))</f>
        <v>#N/A</v>
      </c>
      <c r="DF341" t="e">
        <f>INDEX('Data_Price '!AO$2:AO$1266,MATCH(Data!$DN341,'Data_Price '!$AT$2:$AT$1266,0))</f>
        <v>#N/A</v>
      </c>
      <c r="DG341" t="e">
        <f>INDEX('Data_Price '!AP$2:AP$1266,MATCH(Data!$DN341,'Data_Price '!$AT$2:$AT$1266,0))</f>
        <v>#N/A</v>
      </c>
      <c r="DH341" t="e">
        <f>INDEX('Data_Price '!AQ$2:AQ$1266,MATCH(Data!$DN341,'Data_Price '!$AT$2:$AT$1266,0))</f>
        <v>#N/A</v>
      </c>
      <c r="DI341" t="e">
        <f>INDEX('Data_Price '!AR$2:AR$1266,MATCH(Data!$DN341,'Data_Price '!$AT$2:$AT$1266,0))</f>
        <v>#N/A</v>
      </c>
      <c r="DJ341" s="89" t="e">
        <f t="shared" si="217"/>
        <v>#N/A</v>
      </c>
      <c r="DK341" s="89" t="e">
        <f t="shared" si="218"/>
        <v>#N/A</v>
      </c>
      <c r="DL341" s="89" t="e">
        <f t="shared" si="219"/>
        <v>#N/A</v>
      </c>
      <c r="DM341" s="219" t="str">
        <f t="shared" si="220"/>
        <v>Mantra V.Werks</v>
      </c>
      <c r="DN341" s="89" t="str">
        <f t="shared" si="221"/>
        <v xml:space="preserve"> VölklMantra V.Werks170 Unisex</v>
      </c>
      <c r="DO341" s="221"/>
    </row>
    <row r="342" spans="2:119" ht="15.6" customHeight="1">
      <c r="B342" s="219" t="b">
        <f t="array" ref="B342">IF(OR(ISERROR(K342:P342)),FALSE,TRUE)</f>
        <v>1</v>
      </c>
      <c r="C342" s="43" t="b">
        <f>OR(BR342=Driver!$G$50,Data!BR756=Driver!$H$50)</f>
        <v>1</v>
      </c>
      <c r="D342" s="43" t="b">
        <f>OR(BV342=Driver!$G$51,BV342=Driver!$H$51)</f>
        <v>1</v>
      </c>
      <c r="E342" s="43" t="b">
        <f>AND(BX342&gt;Driver!$F$54,BX342&lt;Driver!$G$54)</f>
        <v>1</v>
      </c>
      <c r="F342" s="43" t="b">
        <f>CL342&gt;Driver!$F$56</f>
        <v>1</v>
      </c>
      <c r="G342" s="43" t="b">
        <f>AND(CB342&gt;Driver!$F$55,CB342&lt;Driver!$G$55)</f>
        <v>0</v>
      </c>
      <c r="H342" s="43" t="b">
        <f t="shared" si="185"/>
        <v>0</v>
      </c>
      <c r="I342" s="43">
        <f t="shared" si="186"/>
        <v>0</v>
      </c>
      <c r="J342" s="43" t="b">
        <f t="array" ref="J342">NOT(OR(($H$9:$H$1273=TRUE)*($I$9:$I$1273&gt;0)*($BT$9:$BT$1273=BT342)*($K$9:$K$1273&gt;K342)))</f>
        <v>1</v>
      </c>
      <c r="K342" s="72">
        <f t="shared" si="187"/>
        <v>0.85708965468618614</v>
      </c>
      <c r="L342" s="72">
        <f t="shared" si="188"/>
        <v>0.98945428157341042</v>
      </c>
      <c r="M342" s="72">
        <f t="shared" si="189"/>
        <v>0.72472502779896186</v>
      </c>
      <c r="N342" s="72">
        <f t="shared" si="190"/>
        <v>0.59115845238695619</v>
      </c>
      <c r="O342" s="72">
        <f t="shared" si="191"/>
        <v>0.61188545702134634</v>
      </c>
      <c r="P342" s="72">
        <f t="shared" si="192"/>
        <v>0.97113117398858284</v>
      </c>
      <c r="Q342" s="72"/>
      <c r="R342" s="72"/>
      <c r="S342" s="72">
        <f t="shared" si="193"/>
        <v>0.42422894166676983</v>
      </c>
      <c r="T342" s="72">
        <f t="shared" si="194"/>
        <v>0.60351899979062351</v>
      </c>
      <c r="U342" s="72">
        <f t="shared" si="195"/>
        <v>0.51264363606934016</v>
      </c>
      <c r="V342" s="72">
        <f t="shared" si="196"/>
        <v>0.64768715250298015</v>
      </c>
      <c r="W342" s="72">
        <f t="shared" si="197"/>
        <v>0.81512601009616303</v>
      </c>
      <c r="X342" s="72">
        <f t="shared" si="198"/>
        <v>1.0545718426589634E-2</v>
      </c>
      <c r="Y342" s="72">
        <f t="shared" si="199"/>
        <v>0.27527497220103819</v>
      </c>
      <c r="Z342" s="72">
        <f t="shared" si="200"/>
        <v>0.40884154761304381</v>
      </c>
      <c r="AA342" s="72">
        <f t="shared" si="201"/>
        <v>0.38811454297865372</v>
      </c>
      <c r="AB342" s="72">
        <f t="shared" si="202"/>
        <v>2.8868826011417215E-2</v>
      </c>
      <c r="AC342" s="72"/>
      <c r="AD342" s="72"/>
      <c r="AE342" s="72">
        <f t="shared" si="203"/>
        <v>0.57577105833323017</v>
      </c>
      <c r="AF342" s="72">
        <f t="shared" si="204"/>
        <v>0.39648100020937649</v>
      </c>
      <c r="AG342" s="72">
        <f t="shared" si="205"/>
        <v>0.48735636393065984</v>
      </c>
      <c r="AH342" s="72">
        <f t="shared" si="206"/>
        <v>0.35231284749701985</v>
      </c>
      <c r="AI342" s="72">
        <f t="shared" si="207"/>
        <v>0.18487398990383691</v>
      </c>
      <c r="AJ342" s="72">
        <f>(AV342-Driver!$K$179)/(Driver!$L$179-Driver!$K$179)</f>
        <v>0.26476512770929006</v>
      </c>
      <c r="AK342" s="72">
        <f>(AW342-Driver!$K$180)/(Driver!$L$180-Driver!$K$180)</f>
        <v>0.30367564752497272</v>
      </c>
      <c r="AL342" s="72">
        <f>(AX342-Driver!$K$181)/(Driver!$L$181-Driver!$K$181)</f>
        <v>0.510529311326124</v>
      </c>
      <c r="AM342" s="72">
        <f>(AY342-Driver!$K$182)/(Driver!$L$182-Driver!$K$182)</f>
        <v>5.9270478118392651E-2</v>
      </c>
      <c r="AN342" s="72">
        <f>(AZ342-Driver!$K$183)/(Driver!$L$183-Driver!$K$183)</f>
        <v>0.28308823529411764</v>
      </c>
      <c r="AO342" s="72"/>
      <c r="AP342" s="72"/>
      <c r="AQ342" s="72">
        <f>(BC342-Driver!$K$188)/(Driver!$L$188-Driver!$K$188)</f>
        <v>4.4228941666769855E-2</v>
      </c>
      <c r="AR342" s="72">
        <f>MIN((BD342-Driver!$K$189)/(Driver!$L$189-Driver!$K$189),100%)</f>
        <v>0.15351899979062358</v>
      </c>
      <c r="AS342" s="72">
        <f>(BE342-Driver!$K$190)/(Driver!$L$190-Driver!$K$190)</f>
        <v>2.264363606934014E-2</v>
      </c>
      <c r="AT342" s="72">
        <f>(BF342-Driver!$K$191)/(Driver!$L$191-Driver!$K$191)</f>
        <v>0.15768715250298013</v>
      </c>
      <c r="AU342" s="72">
        <f>(BG342-Driver!$K$192)/(Driver!$L$192-Driver!$K$192)</f>
        <v>6.5126010096163076E-2</v>
      </c>
      <c r="AV342" s="70">
        <f t="shared" si="208"/>
        <v>5.5725139058472379</v>
      </c>
      <c r="AW342" s="70">
        <f t="shared" si="209"/>
        <v>31.467775312738723</v>
      </c>
      <c r="AX342" s="70">
        <f t="shared" si="210"/>
        <v>5.594763801935116</v>
      </c>
      <c r="AY342" s="70">
        <f>IFERROR(Driver!$K$19/Data!BH342/Data!BI342*Data!BK342*Data!BL342,"")</f>
        <v>7.2564749820733632E-2</v>
      </c>
      <c r="AZ342" s="70">
        <f t="shared" si="211"/>
        <v>25.800446760982876</v>
      </c>
      <c r="BA342" s="70"/>
      <c r="BB342" s="70"/>
      <c r="BC342" s="70">
        <f t="shared" si="212"/>
        <v>22.941859517167654</v>
      </c>
      <c r="BD342" s="70">
        <f t="shared" si="213"/>
        <v>15.306982345996531</v>
      </c>
      <c r="BE342" s="70">
        <f t="shared" si="214"/>
        <v>2.2817985444050913E-2</v>
      </c>
      <c r="BF342" s="70">
        <f t="shared" si="215"/>
        <v>17.809656060267315</v>
      </c>
      <c r="BG342" s="70">
        <f t="shared" si="216"/>
        <v>0.24660862012706583</v>
      </c>
      <c r="BH342" s="67">
        <f>MAX((CE342-Driver!$F$200)/(Driver!$G$200-Driver!$F$200)*$BI$1,1)</f>
        <v>5.594763801935116</v>
      </c>
      <c r="BI342" s="67">
        <f>MAX($BI$1*(BY342-Driver!$F$201)/(Driver!$G$201-Driver!$F$201),1)</f>
        <v>5.6962025316455698</v>
      </c>
      <c r="BJ342" s="67">
        <f>(CB342-Driver!$F$206)/(Driver!$G$206-Driver!$F$206)*$BI$1</f>
        <v>4.92063492063492</v>
      </c>
      <c r="BK342" s="67">
        <f>(CD342-Driver!$F$203)/(Driver!$G$203-Driver!$F$203)*$BI$1</f>
        <v>1.9724770642201834</v>
      </c>
      <c r="BL342" s="67">
        <f>MAX((CR342-Driver!$F$202)/(Driver!$G$202-Driver!$F$202)*$BI$1,1)</f>
        <v>5.8620689655172411</v>
      </c>
      <c r="BM342" s="67">
        <f>MAX((CH342-Driver!$F$204)/(Driver!$G$204-Driver!$F$204)*$BI$1,1)</f>
        <v>4.5299145299145298</v>
      </c>
      <c r="BN342" s="67">
        <f>(CI342-Driver!$F$205)/(Driver!$G$205-Driver!$F$205)*$BI$1</f>
        <v>4.5294117647058822</v>
      </c>
      <c r="BO342" s="67">
        <f>(CK342-Driver!$F$207)/(Driver!$G$207-Driver!$F$207)*$BI$1</f>
        <v>2.0268872802481903</v>
      </c>
      <c r="BP342" s="67">
        <f>(CM342-Driver!$F$208)/(Driver!$G$208-Driver!$F$208)*$BI$1</f>
        <v>3.5222222222222221</v>
      </c>
      <c r="BQ342" s="67">
        <f>(CL342-Driver!$F$209)/(Driver!$G$209-Driver!$F$209)*$BI$1</f>
        <v>6.25</v>
      </c>
      <c r="BR342" s="28" t="s">
        <v>155</v>
      </c>
      <c r="BS342" s="8" t="s">
        <v>262</v>
      </c>
      <c r="BT342" s="9" t="s">
        <v>489</v>
      </c>
      <c r="BU342" s="10">
        <v>163</v>
      </c>
      <c r="BV342" s="9" t="s">
        <v>158</v>
      </c>
      <c r="BW342" s="10">
        <v>163</v>
      </c>
      <c r="BX342" s="10">
        <v>160.6</v>
      </c>
      <c r="BY342" s="10">
        <v>98</v>
      </c>
      <c r="BZ342" s="10">
        <v>123</v>
      </c>
      <c r="CA342" s="10">
        <v>123</v>
      </c>
      <c r="CB342" s="10">
        <v>95</v>
      </c>
      <c r="CC342" s="10">
        <v>117</v>
      </c>
      <c r="CD342" s="10">
        <v>13.7</v>
      </c>
      <c r="CE342" s="10">
        <v>1883</v>
      </c>
      <c r="CF342" s="10">
        <v>0.9</v>
      </c>
      <c r="CG342" s="10">
        <v>1685</v>
      </c>
      <c r="CH342" s="10">
        <v>207</v>
      </c>
      <c r="CI342" s="10">
        <v>110</v>
      </c>
      <c r="CJ342" s="10">
        <v>40</v>
      </c>
      <c r="CK342" s="10">
        <v>306</v>
      </c>
      <c r="CL342" s="10">
        <v>40</v>
      </c>
      <c r="CM342" s="10">
        <v>317</v>
      </c>
      <c r="CN342" s="10">
        <v>1.004</v>
      </c>
      <c r="CO342" s="10">
        <v>182</v>
      </c>
      <c r="CP342" s="10">
        <v>192</v>
      </c>
      <c r="CQ342" s="10">
        <v>125</v>
      </c>
      <c r="CR342" s="10">
        <v>6</v>
      </c>
      <c r="CS342" s="10">
        <v>5</v>
      </c>
      <c r="CT342" s="9" t="s">
        <v>184</v>
      </c>
      <c r="CU342" s="10"/>
      <c r="CV342" s="10"/>
      <c r="CW342" s="10"/>
      <c r="CX342" t="e">
        <f>INDEX('Data_Price '!AG$2:AG$1266,MATCH(Data!$DN342,'Data_Price '!$AT$2:$AT$1266,0))</f>
        <v>#N/A</v>
      </c>
      <c r="CY342" t="e">
        <f>INDEX('Data_Price '!AH$2:AH$1266,MATCH(Data!$DN342,'Data_Price '!$AT$2:$AT$1266,0))</f>
        <v>#N/A</v>
      </c>
      <c r="CZ342" t="e">
        <f>INDEX('Data_Price '!AI$2:AI$1266,MATCH(Data!$DN342,'Data_Price '!$AT$2:$AT$1266,0))</f>
        <v>#N/A</v>
      </c>
      <c r="DA342" t="e">
        <f>INDEX('Data_Price '!AJ$2:AJ$1266,MATCH(Data!$DN342,'Data_Price '!$AT$2:$AT$1266,0))</f>
        <v>#N/A</v>
      </c>
      <c r="DB342" t="e">
        <f>INDEX('Data_Price '!AK$2:AK$1266,MATCH(Data!$DN342,'Data_Price '!$AT$2:$AT$1266,0))</f>
        <v>#N/A</v>
      </c>
      <c r="DC342" t="e">
        <f>INDEX('Data_Price '!AL$2:AL$1266,MATCH(Data!$DN342,'Data_Price '!$AT$2:$AT$1266,0))</f>
        <v>#N/A</v>
      </c>
      <c r="DD342" t="e">
        <f>INDEX('Data_Price '!AM$2:AM$1266,MATCH(Data!$DN342,'Data_Price '!$AT$2:$AT$1266,0))</f>
        <v>#N/A</v>
      </c>
      <c r="DE342" t="e">
        <f>INDEX('Data_Price '!AN$2:AN$1266,MATCH(Data!$DN342,'Data_Price '!$AT$2:$AT$1266,0))</f>
        <v>#N/A</v>
      </c>
      <c r="DF342" t="e">
        <f>INDEX('Data_Price '!AO$2:AO$1266,MATCH(Data!$DN342,'Data_Price '!$AT$2:$AT$1266,0))</f>
        <v>#N/A</v>
      </c>
      <c r="DG342" t="e">
        <f>INDEX('Data_Price '!AP$2:AP$1266,MATCH(Data!$DN342,'Data_Price '!$AT$2:$AT$1266,0))</f>
        <v>#N/A</v>
      </c>
      <c r="DH342" t="e">
        <f>INDEX('Data_Price '!AQ$2:AQ$1266,MATCH(Data!$DN342,'Data_Price '!$AT$2:$AT$1266,0))</f>
        <v>#N/A</v>
      </c>
      <c r="DI342" t="e">
        <f>INDEX('Data_Price '!AR$2:AR$1266,MATCH(Data!$DN342,'Data_Price '!$AT$2:$AT$1266,0))</f>
        <v>#N/A</v>
      </c>
      <c r="DJ342" s="89" t="e">
        <f t="shared" si="217"/>
        <v>#N/A</v>
      </c>
      <c r="DK342" s="89" t="e">
        <f t="shared" si="218"/>
        <v>#N/A</v>
      </c>
      <c r="DL342" s="89" t="e">
        <f t="shared" si="219"/>
        <v>#N/A</v>
      </c>
      <c r="DM342" s="219" t="str">
        <f t="shared" si="220"/>
        <v>Poacher</v>
      </c>
      <c r="DN342" s="89" t="str">
        <f t="shared" si="221"/>
        <v xml:space="preserve"> K2Poacher163 Unisex</v>
      </c>
      <c r="DO342" s="221" t="s">
        <v>490</v>
      </c>
    </row>
    <row r="343" spans="2:119" ht="15.6" customHeight="1">
      <c r="B343" s="219" t="b">
        <f t="array" ref="B343">IF(OR(ISERROR(K343:P343)),FALSE,TRUE)</f>
        <v>1</v>
      </c>
      <c r="C343" s="43" t="b">
        <f>OR(BR343=Driver!$G$50,Data!BR530=Driver!$H$50)</f>
        <v>1</v>
      </c>
      <c r="D343" s="43" t="b">
        <f>OR(BV343=Driver!$G$51,BV343=Driver!$H$51)</f>
        <v>1</v>
      </c>
      <c r="E343" s="43" t="b">
        <f>AND(BX343&gt;Driver!$F$54,BX343&lt;Driver!$G$54)</f>
        <v>0</v>
      </c>
      <c r="F343" s="43" t="b">
        <f>CL343&gt;Driver!$F$56</f>
        <v>1</v>
      </c>
      <c r="G343" s="43" t="b">
        <f>AND(CB343&gt;Driver!$F$55,CB343&lt;Driver!$G$55)</f>
        <v>0</v>
      </c>
      <c r="H343" s="43" t="b">
        <f t="shared" si="185"/>
        <v>0</v>
      </c>
      <c r="I343" s="43">
        <f t="shared" si="186"/>
        <v>0</v>
      </c>
      <c r="J343" s="43" t="b">
        <f t="array" ref="J343">NOT(OR(($H$9:$H$1273=TRUE)*($I$9:$I$1273&gt;0)*($BT$9:$BT$1273=BT343)*($K$9:$K$1273&gt;K343)))</f>
        <v>1</v>
      </c>
      <c r="K343" s="72">
        <f t="shared" si="187"/>
        <v>0.84065392185875343</v>
      </c>
      <c r="L343" s="72">
        <f t="shared" si="188"/>
        <v>0.93915743384033556</v>
      </c>
      <c r="M343" s="72">
        <f t="shared" si="189"/>
        <v>0.74215040987717118</v>
      </c>
      <c r="N343" s="72">
        <f t="shared" si="190"/>
        <v>0.58420215060993719</v>
      </c>
      <c r="O343" s="72">
        <f t="shared" si="191"/>
        <v>0.67336463705913752</v>
      </c>
      <c r="P343" s="72">
        <f t="shared" si="192"/>
        <v>0.96888444196243895</v>
      </c>
      <c r="Q343" s="72"/>
      <c r="R343" s="72"/>
      <c r="S343" s="72">
        <f t="shared" si="193"/>
        <v>0.48015333594234977</v>
      </c>
      <c r="T343" s="72">
        <f t="shared" si="194"/>
        <v>0.58910777783752244</v>
      </c>
      <c r="U343" s="72">
        <f t="shared" si="195"/>
        <v>0.59387009723457984</v>
      </c>
      <c r="V343" s="72">
        <f t="shared" si="196"/>
        <v>0.51100390788593297</v>
      </c>
      <c r="W343" s="72">
        <f t="shared" si="197"/>
        <v>0.81144265593561371</v>
      </c>
      <c r="X343" s="72">
        <f t="shared" si="198"/>
        <v>6.0842566159664435E-2</v>
      </c>
      <c r="Y343" s="72">
        <f t="shared" si="199"/>
        <v>0.25784959012282876</v>
      </c>
      <c r="Z343" s="72">
        <f t="shared" si="200"/>
        <v>0.41579784939006281</v>
      </c>
      <c r="AA343" s="72">
        <f t="shared" si="201"/>
        <v>0.32663536294086248</v>
      </c>
      <c r="AB343" s="72">
        <f t="shared" si="202"/>
        <v>3.1115558037560997E-2</v>
      </c>
      <c r="AC343" s="72"/>
      <c r="AD343" s="72"/>
      <c r="AE343" s="72">
        <f t="shared" si="203"/>
        <v>0.51984666405765023</v>
      </c>
      <c r="AF343" s="72">
        <f t="shared" si="204"/>
        <v>0.41089222216247762</v>
      </c>
      <c r="AG343" s="72">
        <f t="shared" si="205"/>
        <v>0.40612990276542021</v>
      </c>
      <c r="AH343" s="72">
        <f t="shared" si="206"/>
        <v>0.48899609211406697</v>
      </c>
      <c r="AI343" s="72">
        <f t="shared" si="207"/>
        <v>0.18855734406438632</v>
      </c>
      <c r="AJ343" s="72">
        <f>(AV343-Driver!$K$179)/(Driver!$L$179-Driver!$K$179)</f>
        <v>0.19337684312303599</v>
      </c>
      <c r="AK343" s="72">
        <f>(AW343-Driver!$K$180)/(Driver!$L$180-Driver!$K$180)</f>
        <v>0.30719139789688527</v>
      </c>
      <c r="AL343" s="72">
        <f>(AX343-Driver!$K$181)/(Driver!$L$181-Driver!$K$181)</f>
        <v>0.51748561310314301</v>
      </c>
      <c r="AM343" s="72">
        <f>(AY343-Driver!$K$182)/(Driver!$L$182-Driver!$K$182)</f>
        <v>0.12074965815618387</v>
      </c>
      <c r="AN343" s="72">
        <f>(AZ343-Driver!$K$183)/(Driver!$L$183-Driver!$K$183)</f>
        <v>0.28533496732026142</v>
      </c>
      <c r="AO343" s="72"/>
      <c r="AP343" s="72"/>
      <c r="AQ343" s="72">
        <f>(BC343-Driver!$K$188)/(Driver!$L$188-Driver!$K$188)</f>
        <v>0.10015333594234972</v>
      </c>
      <c r="AR343" s="72">
        <f>MIN((BD343-Driver!$K$189)/(Driver!$L$189-Driver!$K$189),100%)</f>
        <v>0.13910777783752243</v>
      </c>
      <c r="AS343" s="72">
        <f>(BE343-Driver!$K$190)/(Driver!$L$190-Driver!$K$190)</f>
        <v>0.10387009723457981</v>
      </c>
      <c r="AT343" s="72">
        <f>(BF343-Driver!$K$191)/(Driver!$L$191-Driver!$K$191)</f>
        <v>2.1003907885933051E-2</v>
      </c>
      <c r="AU343" s="72">
        <f>(BG343-Driver!$K$192)/(Driver!$L$192-Driver!$K$192)</f>
        <v>6.1442655935613683E-2</v>
      </c>
      <c r="AV343" s="70">
        <f t="shared" si="208"/>
        <v>4.0700040700040701</v>
      </c>
      <c r="AW343" s="70">
        <f t="shared" si="209"/>
        <v>31.810416339199012</v>
      </c>
      <c r="AX343" s="70">
        <f t="shared" si="210"/>
        <v>5.6573705179282872</v>
      </c>
      <c r="AY343" s="70">
        <f>IFERROR(Driver!$K$19/Data!BH343/Data!BI343*Data!BK343*Data!BL343,"")</f>
        <v>0.14783360980385846</v>
      </c>
      <c r="AZ343" s="70">
        <f t="shared" si="211"/>
        <v>26.005212211466866</v>
      </c>
      <c r="BA343" s="70"/>
      <c r="BB343" s="70"/>
      <c r="BC343" s="70">
        <f t="shared" si="212"/>
        <v>51.950231607992528</v>
      </c>
      <c r="BD343" s="70">
        <f t="shared" si="213"/>
        <v>14.031614738321382</v>
      </c>
      <c r="BE343" s="70">
        <f t="shared" si="214"/>
        <v>0.10402995672286147</v>
      </c>
      <c r="BF343" s="70">
        <f t="shared" si="215"/>
        <v>2.3722438349118802</v>
      </c>
      <c r="BG343" s="70">
        <f t="shared" si="216"/>
        <v>0.23266109154929579</v>
      </c>
      <c r="BH343" s="67">
        <f>MAX((CE343-Driver!$F$200)/(Driver!$G$200-Driver!$F$200)*$BI$1,1)</f>
        <v>5.6573705179282872</v>
      </c>
      <c r="BI343" s="67">
        <f>MAX($BI$1*(BY343-Driver!$F$201)/(Driver!$G$201-Driver!$F$201),1)</f>
        <v>8.037974683544304</v>
      </c>
      <c r="BJ343" s="67">
        <f>(CB343-Driver!$F$206)/(Driver!$G$206-Driver!$F$206)*$BI$1</f>
        <v>3.8095238095238093</v>
      </c>
      <c r="BK343" s="67">
        <f>(CD343-Driver!$F$203)/(Driver!$G$203-Driver!$F$203)*$BI$1</f>
        <v>3.8990825688073394</v>
      </c>
      <c r="BL343" s="67">
        <f>MAX((CR343-Driver!$F$202)/(Driver!$G$202-Driver!$F$202)*$BI$1,1)</f>
        <v>8.6206896551724128</v>
      </c>
      <c r="BM343" s="67">
        <f>MAX((CH343-Driver!$F$204)/(Driver!$G$204-Driver!$F$204)*$BI$1,1)</f>
        <v>4.2735042735042734</v>
      </c>
      <c r="BN343" s="67">
        <f>(CI343-Driver!$F$205)/(Driver!$G$205-Driver!$F$205)*$BI$1</f>
        <v>3.2352941176470589</v>
      </c>
      <c r="BO343" s="67">
        <f>(CK343-Driver!$F$207)/(Driver!$G$207-Driver!$F$207)*$BI$1</f>
        <v>1.1685625646328852</v>
      </c>
      <c r="BP343" s="67">
        <f>(CM343-Driver!$F$208)/(Driver!$G$208-Driver!$F$208)*$BI$1</f>
        <v>2.0777777777777779</v>
      </c>
      <c r="BQ343" s="67">
        <f>(CL343-Driver!$F$209)/(Driver!$G$209-Driver!$F$209)*$BI$1</f>
        <v>5.625</v>
      </c>
      <c r="BR343" s="28" t="s">
        <v>155</v>
      </c>
      <c r="BS343" s="8" t="s">
        <v>205</v>
      </c>
      <c r="BT343" s="9" t="s">
        <v>535</v>
      </c>
      <c r="BU343" s="10">
        <v>178</v>
      </c>
      <c r="BV343" s="9" t="s">
        <v>158</v>
      </c>
      <c r="BW343" s="10">
        <v>178</v>
      </c>
      <c r="BX343" s="10">
        <v>176.4</v>
      </c>
      <c r="BY343" s="10">
        <v>135</v>
      </c>
      <c r="BZ343" s="10">
        <v>149</v>
      </c>
      <c r="CA343" s="10">
        <v>120</v>
      </c>
      <c r="CB343" s="10">
        <v>88</v>
      </c>
      <c r="CC343" s="10">
        <v>112</v>
      </c>
      <c r="CD343" s="10">
        <v>17.899999999999999</v>
      </c>
      <c r="CE343" s="10">
        <v>1894</v>
      </c>
      <c r="CF343" s="10">
        <v>0.92</v>
      </c>
      <c r="CG343" s="10">
        <v>1751</v>
      </c>
      <c r="CH343" s="10">
        <v>201</v>
      </c>
      <c r="CI343" s="10">
        <v>88</v>
      </c>
      <c r="CJ343" s="10">
        <v>43</v>
      </c>
      <c r="CK343" s="10">
        <v>223</v>
      </c>
      <c r="CL343" s="10">
        <v>36</v>
      </c>
      <c r="CM343" s="10">
        <v>187</v>
      </c>
      <c r="CN343" s="10">
        <v>0.83599999999999997</v>
      </c>
      <c r="CO343" s="10">
        <v>145</v>
      </c>
      <c r="CP343" s="10">
        <v>124</v>
      </c>
      <c r="CQ343" s="10">
        <v>78</v>
      </c>
      <c r="CR343" s="10">
        <v>14</v>
      </c>
      <c r="CS343" s="10">
        <v>7.7</v>
      </c>
      <c r="CT343" s="9" t="s">
        <v>188</v>
      </c>
      <c r="CU343" s="9" t="s">
        <v>184</v>
      </c>
      <c r="CV343" s="10"/>
      <c r="CW343" s="10"/>
      <c r="CX343" t="str">
        <f>INDEX('Data_Price '!AG$2:AG$1266,MATCH(Data!$DN343,'Data_Price '!$AT$2:$AT$1266,0))</f>
        <v>Faction Prodigy 1.0 Skis 2022 - 178</v>
      </c>
      <c r="CY343" t="str">
        <f>INDEX('Data_Price '!AH$2:AH$1266,MATCH(Data!$DN343,'Data_Price '!$AT$2:$AT$1266,0))</f>
        <v>Gear West Ski &amp; Bike</v>
      </c>
      <c r="CZ343">
        <f>INDEX('Data_Price '!AI$2:AI$1266,MATCH(Data!$DN343,'Data_Price '!$AT$2:$AT$1266,0))</f>
        <v>449</v>
      </c>
      <c r="DA343" t="str">
        <f>INDEX('Data_Price '!AJ$2:AJ$1266,MATCH(Data!$DN343,'Data_Price '!$AT$2:$AT$1266,0))</f>
        <v>https://tinyurl.com/y8sal3jl</v>
      </c>
      <c r="DB343" t="str">
        <f>INDEX('Data_Price '!AK$2:AK$1266,MATCH(Data!$DN343,'Data_Price '!$AT$2:$AT$1266,0))</f>
        <v xml:space="preserve"> Faction Candide 1.0 178 cm Mens Downhill Ski Combo</v>
      </c>
      <c r="DC343" t="str">
        <f>INDEX('Data_Price '!AL$2:AL$1266,MATCH(Data!$DN343,'Data_Price '!$AT$2:$AT$1266,0))</f>
        <v>Play It Again Sports</v>
      </c>
      <c r="DD343">
        <f>INDEX('Data_Price '!AM$2:AM$1266,MATCH(Data!$DN343,'Data_Price '!$AT$2:$AT$1266,0))</f>
        <v>429.99</v>
      </c>
      <c r="DE343" t="str">
        <f>INDEX('Data_Price '!AN$2:AN$1266,MATCH(Data!$DN343,'Data_Price '!$AT$2:$AT$1266,0))</f>
        <v>https://tinyurl.com/y9sw5tgn</v>
      </c>
      <c r="DF343" t="str">
        <f>INDEX('Data_Price '!AO$2:AO$1266,MATCH(Data!$DN343,'Data_Price '!$AT$2:$AT$1266,0))</f>
        <v>Faction Ct 1.0 21/22</v>
      </c>
      <c r="DG343" t="str">
        <f>INDEX('Data_Price '!AP$2:AP$1266,MATCH(Data!$DN343,'Data_Price '!$AT$2:$AT$1266,0))</f>
        <v>Powder7 Ski Shop</v>
      </c>
      <c r="DH343">
        <f>INDEX('Data_Price '!AQ$2:AQ$1266,MATCH(Data!$DN343,'Data_Price '!$AT$2:$AT$1266,0))</f>
        <v>439</v>
      </c>
      <c r="DI343" t="str">
        <f>INDEX('Data_Price '!AR$2:AR$1266,MATCH(Data!$DN343,'Data_Price '!$AT$2:$AT$1266,0))</f>
        <v>https://tinyurl.com/yc9genfl</v>
      </c>
      <c r="DJ343" s="89" t="str">
        <f t="shared" si="217"/>
        <v>https://tinyurl.com/y8sal3jl</v>
      </c>
      <c r="DK343" s="89" t="str">
        <f t="shared" si="218"/>
        <v>https://tinyurl.com/y9sw5tgn</v>
      </c>
      <c r="DL343" s="89" t="str">
        <f t="shared" si="219"/>
        <v>https://tinyurl.com/yc9genfl</v>
      </c>
      <c r="DM343" s="219" t="str">
        <f t="shared" si="220"/>
        <v>Prodigy 1.0</v>
      </c>
      <c r="DN343" s="89" t="str">
        <f t="shared" si="221"/>
        <v xml:space="preserve"> FactionProdigy 1.0178 Unisex</v>
      </c>
      <c r="DO343" s="221"/>
    </row>
    <row r="344" spans="2:119" ht="15.6" customHeight="1">
      <c r="B344" s="219" t="b">
        <f t="array" ref="B344">IF(OR(ISERROR(K344:P344)),FALSE,TRUE)</f>
        <v>1</v>
      </c>
      <c r="C344" s="43" t="b">
        <f>OR(BR344=Driver!$G$50,Data!BR126=Driver!$H$50)</f>
        <v>1</v>
      </c>
      <c r="D344" s="43" t="b">
        <f>OR(BV344=Driver!$G$51,BV344=Driver!$H$51)</f>
        <v>1</v>
      </c>
      <c r="E344" s="43" t="b">
        <f>AND(BX344&gt;Driver!$F$54,BX344&lt;Driver!$G$54)</f>
        <v>0</v>
      </c>
      <c r="F344" s="43" t="b">
        <f>CL344&gt;Driver!$F$56</f>
        <v>1</v>
      </c>
      <c r="G344" s="43" t="b">
        <f>AND(CB344&gt;Driver!$F$55,CB344&lt;Driver!$G$55)</f>
        <v>0</v>
      </c>
      <c r="H344" s="43" t="b">
        <f t="shared" si="185"/>
        <v>0</v>
      </c>
      <c r="I344" s="43">
        <f t="shared" si="186"/>
        <v>0</v>
      </c>
      <c r="J344" s="43" t="b">
        <f t="array" ref="J344">NOT(OR(($H$9:$H$1273=TRUE)*($I$9:$I$1273&gt;0)*($BT$9:$BT$1273=BT344)*($K$9:$K$1273&gt;K344)))</f>
        <v>1</v>
      </c>
      <c r="K344" s="72">
        <f t="shared" si="187"/>
        <v>0.92736722295702956</v>
      </c>
      <c r="L344" s="72">
        <f t="shared" si="188"/>
        <v>0.9478593917808722</v>
      </c>
      <c r="M344" s="72">
        <f t="shared" si="189"/>
        <v>0.90687505413318692</v>
      </c>
      <c r="N344" s="72">
        <f t="shared" si="190"/>
        <v>0.95921005549832017</v>
      </c>
      <c r="O344" s="72">
        <f t="shared" si="191"/>
        <v>0.78011236428520692</v>
      </c>
      <c r="P344" s="72">
        <f t="shared" si="192"/>
        <v>0.98130274261603379</v>
      </c>
      <c r="Q344" s="72"/>
      <c r="R344" s="72"/>
      <c r="S344" s="72">
        <f t="shared" si="193"/>
        <v>0.49535645762441127</v>
      </c>
      <c r="T344" s="72">
        <f t="shared" si="194"/>
        <v>0.47747185276686532</v>
      </c>
      <c r="U344" s="72">
        <f t="shared" si="195"/>
        <v>0.69681853491952983</v>
      </c>
      <c r="V344" s="72">
        <f t="shared" si="196"/>
        <v>0.50512607597889803</v>
      </c>
      <c r="W344" s="72">
        <f t="shared" si="197"/>
        <v>0.79824452027825177</v>
      </c>
      <c r="X344" s="72">
        <f t="shared" si="198"/>
        <v>5.2140608219127832E-2</v>
      </c>
      <c r="Y344" s="72">
        <f t="shared" si="199"/>
        <v>9.3124945866813039E-2</v>
      </c>
      <c r="Z344" s="72">
        <f t="shared" si="200"/>
        <v>4.0789944501679845E-2</v>
      </c>
      <c r="AA344" s="72">
        <f t="shared" si="201"/>
        <v>0.21988763571479308</v>
      </c>
      <c r="AB344" s="72">
        <f t="shared" si="202"/>
        <v>1.8697257383966215E-2</v>
      </c>
      <c r="AC344" s="72"/>
      <c r="AD344" s="72"/>
      <c r="AE344" s="72">
        <f t="shared" si="203"/>
        <v>0.50464354237558873</v>
      </c>
      <c r="AF344" s="72">
        <f t="shared" si="204"/>
        <v>0.52252814723313468</v>
      </c>
      <c r="AG344" s="72">
        <f t="shared" si="205"/>
        <v>0.30318146508047017</v>
      </c>
      <c r="AH344" s="72">
        <f t="shared" si="206"/>
        <v>0.49487392402110203</v>
      </c>
      <c r="AI344" s="72">
        <f t="shared" si="207"/>
        <v>0.20175547972174826</v>
      </c>
      <c r="AJ344" s="72">
        <f>(AV344-Driver!$K$179)/(Driver!$L$179-Driver!$K$179)</f>
        <v>0.20207880106357259</v>
      </c>
      <c r="AK344" s="72">
        <f>(AW344-Driver!$K$180)/(Driver!$L$180-Driver!$K$180)</f>
        <v>0.26228860994209818</v>
      </c>
      <c r="AL344" s="72">
        <f>(AX344-Driver!$K$181)/(Driver!$L$181-Driver!$K$181)</f>
        <v>0.14247770821476002</v>
      </c>
      <c r="AM344" s="72">
        <f>(AY344-Driver!$K$182)/(Driver!$L$182-Driver!$K$182)</f>
        <v>0.22749738538225328</v>
      </c>
      <c r="AN344" s="72">
        <f>(AZ344-Driver!$K$183)/(Driver!$L$183-Driver!$K$183)</f>
        <v>0.27291666666666664</v>
      </c>
      <c r="AO344" s="72"/>
      <c r="AP344" s="72"/>
      <c r="AQ344" s="72">
        <f>(BC344-Driver!$K$188)/(Driver!$L$188-Driver!$K$188)</f>
        <v>0.11535645762441131</v>
      </c>
      <c r="AR344" s="72">
        <f>MIN((BD344-Driver!$K$189)/(Driver!$L$189-Driver!$K$189),100%)</f>
        <v>2.7471852766865403E-2</v>
      </c>
      <c r="AS344" s="72">
        <f>(BE344-Driver!$K$190)/(Driver!$L$190-Driver!$K$190)</f>
        <v>0.81318146508047018</v>
      </c>
      <c r="AT344" s="72">
        <f>(BF344-Driver!$K$191)/(Driver!$L$191-Driver!$K$191)</f>
        <v>1.5126075978897969E-2</v>
      </c>
      <c r="AU344" s="72">
        <f>(BG344-Driver!$K$192)/(Driver!$L$192-Driver!$K$192)</f>
        <v>4.8244520278251733E-2</v>
      </c>
      <c r="AV344" s="70">
        <f t="shared" si="208"/>
        <v>4.2531542531542526</v>
      </c>
      <c r="AW344" s="70">
        <f t="shared" si="209"/>
        <v>27.434241773828116</v>
      </c>
      <c r="AX344" s="70">
        <f t="shared" si="210"/>
        <v>2.2822993739328403</v>
      </c>
      <c r="AY344" s="70">
        <f>IFERROR(Driver!$K$19/Data!BH344/Data!BI344*Data!BK344*Data!BL344,"")</f>
        <v>0.27852467837628975</v>
      </c>
      <c r="AZ344" s="70">
        <f t="shared" si="211"/>
        <v>24.873417721518987</v>
      </c>
      <c r="BA344" s="70"/>
      <c r="BB344" s="70"/>
      <c r="BC344" s="70">
        <f t="shared" si="212"/>
        <v>59.836196514865129</v>
      </c>
      <c r="BD344" s="70">
        <f t="shared" si="213"/>
        <v>4.152033176722596</v>
      </c>
      <c r="BE344" s="70">
        <f t="shared" si="214"/>
        <v>0.8132147914043677</v>
      </c>
      <c r="BF344" s="70">
        <f t="shared" si="215"/>
        <v>1.7083840151184979</v>
      </c>
      <c r="BG344" s="70">
        <f t="shared" si="216"/>
        <v>0.18268453045019031</v>
      </c>
      <c r="BH344" s="67">
        <f>MAX((CE344-Driver!$F$200)/(Driver!$G$200-Driver!$F$200)*$BI$1,1)</f>
        <v>2.2822993739328403</v>
      </c>
      <c r="BI344" s="67">
        <f>MAX($BI$1*(BY344-Driver!$F$201)/(Driver!$G$201-Driver!$F$201),1)</f>
        <v>8.2911392405063289</v>
      </c>
      <c r="BJ344" s="67">
        <f>(CB344-Driver!$F$206)/(Driver!$G$206-Driver!$F$206)*$BI$1</f>
        <v>3.4920634920634921</v>
      </c>
      <c r="BK344" s="67">
        <f>(CD344-Driver!$F$203)/(Driver!$G$203-Driver!$F$203)*$BI$1</f>
        <v>4.4954128440366974</v>
      </c>
      <c r="BL344" s="67">
        <f>MAX((CR344-Driver!$F$202)/(Driver!$G$202-Driver!$F$202)*$BI$1,1)</f>
        <v>5.8620689655172411</v>
      </c>
      <c r="BM344" s="67">
        <f>MAX((CH344-Driver!$F$204)/(Driver!$G$204-Driver!$F$204)*$BI$1,1)</f>
        <v>4.8717948717948714</v>
      </c>
      <c r="BN344" s="67">
        <f>(CI344-Driver!$F$205)/(Driver!$G$205-Driver!$F$205)*$BI$1</f>
        <v>3</v>
      </c>
      <c r="BO344" s="67">
        <f>(CK344-Driver!$F$207)/(Driver!$G$207-Driver!$F$207)*$BI$1</f>
        <v>1.3650465356773525</v>
      </c>
      <c r="BP344" s="67">
        <f>(CM344-Driver!$F$208)/(Driver!$G$208-Driver!$F$208)*$BI$1</f>
        <v>1.6111111111111112</v>
      </c>
      <c r="BQ344" s="67">
        <f>(CL344-Driver!$F$209)/(Driver!$G$209-Driver!$F$209)*$BI$1</f>
        <v>2.03125</v>
      </c>
      <c r="BR344" s="28" t="s">
        <v>155</v>
      </c>
      <c r="BS344" s="8" t="s">
        <v>156</v>
      </c>
      <c r="BT344" s="9" t="s">
        <v>536</v>
      </c>
      <c r="BU344" s="10">
        <v>179</v>
      </c>
      <c r="BV344" s="9" t="s">
        <v>158</v>
      </c>
      <c r="BW344" s="10">
        <v>179</v>
      </c>
      <c r="BX344" s="10">
        <v>177.9</v>
      </c>
      <c r="BY344" s="10">
        <v>139</v>
      </c>
      <c r="BZ344" s="10">
        <v>149</v>
      </c>
      <c r="CA344" s="10">
        <v>118</v>
      </c>
      <c r="CB344" s="10">
        <v>86</v>
      </c>
      <c r="CC344" s="10">
        <v>106</v>
      </c>
      <c r="CD344" s="10">
        <v>19.2</v>
      </c>
      <c r="CE344" s="10">
        <v>1301</v>
      </c>
      <c r="CF344" s="10">
        <v>1.31</v>
      </c>
      <c r="CG344" s="10">
        <v>1700</v>
      </c>
      <c r="CH344" s="10">
        <v>215</v>
      </c>
      <c r="CI344" s="10">
        <v>84</v>
      </c>
      <c r="CJ344" s="10">
        <v>50</v>
      </c>
      <c r="CK344" s="10">
        <v>242</v>
      </c>
      <c r="CL344" s="10">
        <v>13</v>
      </c>
      <c r="CM344" s="10">
        <v>145</v>
      </c>
      <c r="CN344" s="10">
        <v>0.255</v>
      </c>
      <c r="CO344" s="10">
        <v>175</v>
      </c>
      <c r="CP344" s="10">
        <v>113</v>
      </c>
      <c r="CQ344" s="10">
        <v>67</v>
      </c>
      <c r="CR344" s="10">
        <v>6</v>
      </c>
      <c r="CS344" s="10">
        <v>12.1</v>
      </c>
      <c r="CT344" s="9" t="s">
        <v>185</v>
      </c>
      <c r="CU344" s="9" t="s">
        <v>198</v>
      </c>
      <c r="CV344" s="10"/>
      <c r="CW344" s="10"/>
      <c r="CX344" t="str">
        <f>INDEX('Data_Price '!AG$2:AG$1266,MATCH(Data!$DN344,'Data_Price '!$AT$2:$AT$1266,0))</f>
        <v>Atomic Backland 85 Alpine Touring Ski (2022) 179</v>
      </c>
      <c r="CY344" t="str">
        <f>INDEX('Data_Price '!AH$2:AH$1266,MATCH(Data!$DN344,'Data_Price '!$AT$2:$AT$1266,0))</f>
        <v>Cripple Creek Backcountry</v>
      </c>
      <c r="CZ344">
        <f>INDEX('Data_Price '!AI$2:AI$1266,MATCH(Data!$DN344,'Data_Price '!$AT$2:$AT$1266,0))</f>
        <v>499</v>
      </c>
      <c r="DA344" t="str">
        <f>INDEX('Data_Price '!AJ$2:AJ$1266,MATCH(Data!$DN344,'Data_Price '!$AT$2:$AT$1266,0))</f>
        <v>https://tinyurl.com/yd7tnhg5</v>
      </c>
      <c r="DB344" t="str">
        <f>INDEX('Data_Price '!AK$2:AK$1266,MATCH(Data!$DN344,'Data_Price '!$AT$2:$AT$1266,0))</f>
        <v>Atomic Backland 85 + HYB Skin 85/86 Alpine Set</v>
      </c>
      <c r="DC344" t="str">
        <f>INDEX('Data_Price '!AL$2:AL$1266,MATCH(Data!$DN344,'Data_Price '!$AT$2:$AT$1266,0))</f>
        <v>Moosejaw</v>
      </c>
      <c r="DD344">
        <f>INDEX('Data_Price '!AM$2:AM$1266,MATCH(Data!$DN344,'Data_Price '!$AT$2:$AT$1266,0))</f>
        <v>559.99</v>
      </c>
      <c r="DE344" t="str">
        <f>INDEX('Data_Price '!AN$2:AN$1266,MATCH(Data!$DN344,'Data_Price '!$AT$2:$AT$1266,0))</f>
        <v>https://tinyurl.com/ybpxvhtt</v>
      </c>
      <c r="DF344" t="str">
        <f>INDEX('Data_Price '!AO$2:AO$1266,MATCH(Data!$DN344,'Data_Price '!$AT$2:$AT$1266,0))</f>
        <v>Atomic Backland 85 + HYB Skin 85/86 Alpine Set</v>
      </c>
      <c r="DG344" t="str">
        <f>INDEX('Data_Price '!AP$2:AP$1266,MATCH(Data!$DN344,'Data_Price '!$AT$2:$AT$1266,0))</f>
        <v>Mountain Steals</v>
      </c>
      <c r="DH344">
        <f>INDEX('Data_Price '!AQ$2:AQ$1266,MATCH(Data!$DN344,'Data_Price '!$AT$2:$AT$1266,0))</f>
        <v>559.99</v>
      </c>
      <c r="DI344" t="str">
        <f>INDEX('Data_Price '!AR$2:AR$1266,MATCH(Data!$DN344,'Data_Price '!$AT$2:$AT$1266,0))</f>
        <v>https://tinyurl.com/y9vsm4gw</v>
      </c>
      <c r="DJ344" s="89" t="str">
        <f t="shared" si="217"/>
        <v>https://tinyurl.com/yd7tnhg5</v>
      </c>
      <c r="DK344" s="89" t="str">
        <f t="shared" si="218"/>
        <v>https://tinyurl.com/ybpxvhtt</v>
      </c>
      <c r="DL344" s="89" t="str">
        <f t="shared" si="219"/>
        <v>https://tinyurl.com/y9vsm4gw</v>
      </c>
      <c r="DM344" s="219" t="str">
        <f t="shared" si="220"/>
        <v>Backland 86 SL</v>
      </c>
      <c r="DN344" s="89" t="str">
        <f t="shared" si="221"/>
        <v xml:space="preserve"> AtomicBackland 86 SL179 Unisex</v>
      </c>
      <c r="DO344" s="221"/>
    </row>
    <row r="345" spans="2:119" ht="15.6" customHeight="1">
      <c r="B345" s="219" t="b">
        <f t="array" ref="B345">IF(OR(ISERROR(K345:P345)),FALSE,TRUE)</f>
        <v>1</v>
      </c>
      <c r="C345" s="43" t="b">
        <f>OR(BR345=Driver!$G$50,Data!BR78=Driver!$H$50)</f>
        <v>1</v>
      </c>
      <c r="D345" s="43" t="b">
        <f>OR(BV345=Driver!$G$51,BV345=Driver!$H$51)</f>
        <v>1</v>
      </c>
      <c r="E345" s="43" t="b">
        <f>AND(BX345&gt;Driver!$F$54,BX345&lt;Driver!$G$54)</f>
        <v>0</v>
      </c>
      <c r="F345" s="43" t="b">
        <f>CL345&gt;Driver!$F$56</f>
        <v>1</v>
      </c>
      <c r="G345" s="43" t="b">
        <f>AND(CB345&gt;Driver!$F$55,CB345&lt;Driver!$G$55)</f>
        <v>0</v>
      </c>
      <c r="H345" s="43" t="b">
        <f t="shared" si="185"/>
        <v>0</v>
      </c>
      <c r="I345" s="43">
        <f t="shared" si="186"/>
        <v>0</v>
      </c>
      <c r="J345" s="43" t="b">
        <f t="array" ref="J345">NOT(OR(($H$9:$H$1273=TRUE)*($I$9:$I$1273&gt;0)*($BT$9:$BT$1273=BT345)*($K$9:$K$1273&gt;K345)))</f>
        <v>1</v>
      </c>
      <c r="K345" s="72">
        <f t="shared" si="187"/>
        <v>0.85463880277343685</v>
      </c>
      <c r="L345" s="72">
        <f t="shared" si="188"/>
        <v>0.9963030447673511</v>
      </c>
      <c r="M345" s="72">
        <f t="shared" si="189"/>
        <v>0.71297456077952259</v>
      </c>
      <c r="N345" s="72">
        <f t="shared" si="190"/>
        <v>0.50388848463890068</v>
      </c>
      <c r="O345" s="72">
        <f t="shared" si="191"/>
        <v>0.65875696488755464</v>
      </c>
      <c r="P345" s="72">
        <f t="shared" si="192"/>
        <v>0.97627823281211223</v>
      </c>
      <c r="Q345" s="72"/>
      <c r="R345" s="72"/>
      <c r="S345" s="72">
        <f t="shared" si="193"/>
        <v>0.48766777155083063</v>
      </c>
      <c r="T345" s="72">
        <f t="shared" si="194"/>
        <v>0.50463531841962861</v>
      </c>
      <c r="U345" s="72">
        <f t="shared" si="195"/>
        <v>0.54388602604594538</v>
      </c>
      <c r="V345" s="72">
        <f t="shared" si="196"/>
        <v>0.51833753300459351</v>
      </c>
      <c r="W345" s="72">
        <f t="shared" si="197"/>
        <v>0.82488895224256686</v>
      </c>
      <c r="X345" s="72">
        <f t="shared" si="198"/>
        <v>3.6969552326488464E-3</v>
      </c>
      <c r="Y345" s="72">
        <f t="shared" si="199"/>
        <v>0.28702543922047746</v>
      </c>
      <c r="Z345" s="72">
        <f t="shared" si="200"/>
        <v>0.49611151536109932</v>
      </c>
      <c r="AA345" s="72">
        <f t="shared" si="201"/>
        <v>0.34124303511244541</v>
      </c>
      <c r="AB345" s="72">
        <f t="shared" si="202"/>
        <v>2.3721767187887821E-2</v>
      </c>
      <c r="AC345" s="72"/>
      <c r="AD345" s="72"/>
      <c r="AE345" s="72">
        <f t="shared" si="203"/>
        <v>0.51233222844916937</v>
      </c>
      <c r="AF345" s="72">
        <f t="shared" si="204"/>
        <v>0.49536468158037134</v>
      </c>
      <c r="AG345" s="72">
        <f t="shared" si="205"/>
        <v>0.45611397395405462</v>
      </c>
      <c r="AH345" s="72">
        <f t="shared" si="206"/>
        <v>0.48166246699540649</v>
      </c>
      <c r="AI345" s="72">
        <f t="shared" si="207"/>
        <v>0.17511104775743308</v>
      </c>
      <c r="AJ345" s="72">
        <f>(AV345-Driver!$K$179)/(Driver!$L$179-Driver!$K$179)</f>
        <v>0.25791636451534927</v>
      </c>
      <c r="AK345" s="72">
        <f>(AW345-Driver!$K$180)/(Driver!$L$180-Driver!$K$180)</f>
        <v>0.30751024383560571</v>
      </c>
      <c r="AL345" s="72">
        <f>(AX345-Driver!$K$181)/(Driver!$L$181-Driver!$K$181)</f>
        <v>0.59779927907417951</v>
      </c>
      <c r="AM345" s="72">
        <f>(AY345-Driver!$K$182)/(Driver!$L$182-Driver!$K$182)</f>
        <v>0.10614198598460095</v>
      </c>
      <c r="AN345" s="72">
        <f>(AZ345-Driver!$K$183)/(Driver!$L$183-Driver!$K$183)</f>
        <v>0.27794117647058825</v>
      </c>
      <c r="AO345" s="72"/>
      <c r="AP345" s="72"/>
      <c r="AQ345" s="72">
        <f>(BC345-Driver!$K$188)/(Driver!$L$188-Driver!$K$188)</f>
        <v>0.10766777155083064</v>
      </c>
      <c r="AR345" s="72">
        <f>MIN((BD345-Driver!$K$189)/(Driver!$L$189-Driver!$K$189),100%)</f>
        <v>5.4635318419628688E-2</v>
      </c>
      <c r="AS345" s="72">
        <f>(BE345-Driver!$K$190)/(Driver!$L$190-Driver!$K$190)</f>
        <v>5.3886026045945411E-2</v>
      </c>
      <c r="AT345" s="72">
        <f>(BF345-Driver!$K$191)/(Driver!$L$191-Driver!$K$191)</f>
        <v>2.8337533004593515E-2</v>
      </c>
      <c r="AU345" s="72">
        <f>(BG345-Driver!$K$192)/(Driver!$L$192-Driver!$K$192)</f>
        <v>7.4888952242566906E-2</v>
      </c>
      <c r="AV345" s="70">
        <f t="shared" si="208"/>
        <v>5.4283679283679289</v>
      </c>
      <c r="AW345" s="70">
        <f t="shared" si="209"/>
        <v>31.841490701189748</v>
      </c>
      <c r="AX345" s="70">
        <f t="shared" si="210"/>
        <v>6.3801935116676152</v>
      </c>
      <c r="AY345" s="70">
        <f>IFERROR(Driver!$K$19/Data!BH345/Data!BI345*Data!BK345*Data!BL345,"")</f>
        <v>0.12994946055713136</v>
      </c>
      <c r="AZ345" s="70">
        <f t="shared" si="211"/>
        <v>25.331347728965003</v>
      </c>
      <c r="BA345" s="70"/>
      <c r="BB345" s="70"/>
      <c r="BC345" s="70">
        <f t="shared" si="212"/>
        <v>55.848021597620416</v>
      </c>
      <c r="BD345" s="70">
        <f t="shared" si="213"/>
        <v>6.5559517561790601</v>
      </c>
      <c r="BE345" s="70">
        <f t="shared" si="214"/>
        <v>5.4054802129932439E-2</v>
      </c>
      <c r="BF345" s="70">
        <f t="shared" si="215"/>
        <v>3.2005252704321996</v>
      </c>
      <c r="BG345" s="70">
        <f t="shared" si="216"/>
        <v>0.28357734717713379</v>
      </c>
      <c r="BH345" s="67">
        <f>MAX((CE345-Driver!$F$200)/(Driver!$G$200-Driver!$F$200)*$BI$1,1)</f>
        <v>6.3801935116676152</v>
      </c>
      <c r="BI345" s="67">
        <f>MAX($BI$1*(BY345-Driver!$F$201)/(Driver!$G$201-Driver!$F$201),1)</f>
        <v>7.9746835443037973</v>
      </c>
      <c r="BJ345" s="67">
        <f>(CB345-Driver!$F$206)/(Driver!$G$206-Driver!$F$206)*$BI$1</f>
        <v>5.2380952380952381</v>
      </c>
      <c r="BK345" s="67">
        <f>(CD345-Driver!$F$203)/(Driver!$G$203-Driver!$F$203)*$BI$1</f>
        <v>5.045871559633027</v>
      </c>
      <c r="BL345" s="67">
        <f>MAX((CR345-Driver!$F$202)/(Driver!$G$202-Driver!$F$202)*$BI$1,1)</f>
        <v>6.5517241379310338</v>
      </c>
      <c r="BM345" s="67">
        <f>MAX((CH345-Driver!$F$204)/(Driver!$G$204-Driver!$F$204)*$BI$1,1)</f>
        <v>4.1452991452991457</v>
      </c>
      <c r="BN345" s="67">
        <f>(CI345-Driver!$F$205)/(Driver!$G$205-Driver!$F$205)*$BI$1</f>
        <v>3.1764705882352939</v>
      </c>
      <c r="BO345" s="67">
        <f>(CK345-Driver!$F$207)/(Driver!$G$207-Driver!$F$207)*$BI$1</f>
        <v>1.6132368148914167</v>
      </c>
      <c r="BP345" s="67">
        <f>(CM345-Driver!$F$208)/(Driver!$G$208-Driver!$F$208)*$BI$1</f>
        <v>1.9111111111111112</v>
      </c>
      <c r="BQ345" s="67">
        <f>(CL345-Driver!$F$209)/(Driver!$G$209-Driver!$F$209)*$BI$1</f>
        <v>7.5</v>
      </c>
      <c r="BR345" s="28" t="s">
        <v>155</v>
      </c>
      <c r="BS345" s="8" t="s">
        <v>182</v>
      </c>
      <c r="BT345" s="9" t="s">
        <v>537</v>
      </c>
      <c r="BU345" s="10">
        <v>180</v>
      </c>
      <c r="BV345" s="9" t="s">
        <v>158</v>
      </c>
      <c r="BW345" s="10">
        <v>180</v>
      </c>
      <c r="BX345" s="10">
        <v>178</v>
      </c>
      <c r="BY345" s="10">
        <v>134</v>
      </c>
      <c r="BZ345" s="10">
        <v>159</v>
      </c>
      <c r="CA345" s="10">
        <v>132</v>
      </c>
      <c r="CB345" s="10">
        <v>97</v>
      </c>
      <c r="CC345" s="10">
        <v>122</v>
      </c>
      <c r="CD345" s="10">
        <v>20.399999999999999</v>
      </c>
      <c r="CE345" s="10">
        <v>2021</v>
      </c>
      <c r="CF345" s="10">
        <v>0.95</v>
      </c>
      <c r="CG345" s="10">
        <v>1913</v>
      </c>
      <c r="CH345" s="10">
        <v>198</v>
      </c>
      <c r="CI345" s="10">
        <v>87</v>
      </c>
      <c r="CJ345" s="10">
        <v>50</v>
      </c>
      <c r="CK345" s="10">
        <v>266</v>
      </c>
      <c r="CL345" s="10">
        <v>48</v>
      </c>
      <c r="CM345" s="10">
        <v>172</v>
      </c>
      <c r="CN345" s="10">
        <v>0.95699999999999996</v>
      </c>
      <c r="CO345" s="10">
        <v>87</v>
      </c>
      <c r="CP345" s="10">
        <v>98</v>
      </c>
      <c r="CQ345" s="10">
        <v>179</v>
      </c>
      <c r="CR345" s="10">
        <v>8</v>
      </c>
      <c r="CS345" s="10">
        <v>3.2</v>
      </c>
      <c r="CT345" s="9" t="s">
        <v>184</v>
      </c>
      <c r="CU345" s="10"/>
      <c r="CV345" s="10"/>
      <c r="CW345" s="10"/>
      <c r="CX345" t="str">
        <f>INDEX('Data_Price '!AG$2:AG$1266,MATCH(Data!$DN345,'Data_Price '!$AT$2:$AT$1266,0))</f>
        <v>Armada Edollo Skis Â· 2022</v>
      </c>
      <c r="CY345" t="str">
        <f>INDEX('Data_Price '!AH$2:AH$1266,MATCH(Data!$DN345,'Data_Price '!$AT$2:$AT$1266,0))</f>
        <v>Ski Pro  - Snow Ski &amp; Snowboard</v>
      </c>
      <c r="CZ345">
        <f>INDEX('Data_Price '!AI$2:AI$1266,MATCH(Data!$DN345,'Data_Price '!$AT$2:$AT$1266,0))</f>
        <v>479.95</v>
      </c>
      <c r="DA345" t="str">
        <f>INDEX('Data_Price '!AJ$2:AJ$1266,MATCH(Data!$DN345,'Data_Price '!$AT$2:$AT$1266,0))</f>
        <v>https://tinyurl.com/yanh4yrs</v>
      </c>
      <c r="DB345" t="str">
        <f>INDEX('Data_Price '!AK$2:AK$1266,MATCH(Data!$DN345,'Data_Price '!$AT$2:$AT$1266,0))</f>
        <v>Armada Edollo Skis Â· 2022</v>
      </c>
      <c r="DC345" t="str">
        <f>INDEX('Data_Price '!AL$2:AL$1266,MATCH(Data!$DN345,'Data_Price '!$AT$2:$AT$1266,0))</f>
        <v>Suburban Ski and Bike</v>
      </c>
      <c r="DD345">
        <f>INDEX('Data_Price '!AM$2:AM$1266,MATCH(Data!$DN345,'Data_Price '!$AT$2:$AT$1266,0))</f>
        <v>479.96</v>
      </c>
      <c r="DE345" t="str">
        <f>INDEX('Data_Price '!AN$2:AN$1266,MATCH(Data!$DN345,'Data_Price '!$AT$2:$AT$1266,0))</f>
        <v>https://tinyurl.com/ydxr9g85</v>
      </c>
      <c r="DF345" t="str">
        <f>INDEX('Data_Price '!AO$2:AO$1266,MATCH(Data!$DN345,'Data_Price '!$AT$2:$AT$1266,0))</f>
        <v>Armada Edollo Skis Â· 2022</v>
      </c>
      <c r="DG345" t="str">
        <f>INDEX('Data_Price '!AP$2:AP$1266,MATCH(Data!$DN345,'Data_Price '!$AT$2:$AT$1266,0))</f>
        <v>Powder7 Ski Shop</v>
      </c>
      <c r="DH345">
        <f>INDEX('Data_Price '!AQ$2:AQ$1266,MATCH(Data!$DN345,'Data_Price '!$AT$2:$AT$1266,0))</f>
        <v>499.95</v>
      </c>
      <c r="DI345" t="str">
        <f>INDEX('Data_Price '!AR$2:AR$1266,MATCH(Data!$DN345,'Data_Price '!$AT$2:$AT$1266,0))</f>
        <v>https://tinyurl.com/ycsmh9bb</v>
      </c>
      <c r="DJ345" s="89" t="str">
        <f t="shared" si="217"/>
        <v>https://tinyurl.com/yanh4yrs</v>
      </c>
      <c r="DK345" s="89" t="str">
        <f t="shared" si="218"/>
        <v>https://tinyurl.com/ydxr9g85</v>
      </c>
      <c r="DL345" s="89" t="str">
        <f t="shared" si="219"/>
        <v>https://tinyurl.com/ycsmh9bb</v>
      </c>
      <c r="DM345" s="219" t="str">
        <f t="shared" si="220"/>
        <v>Edollo</v>
      </c>
      <c r="DN345" s="89" t="str">
        <f t="shared" si="221"/>
        <v xml:space="preserve"> ArmadaEdollo180 Unisex</v>
      </c>
      <c r="DO345" s="221" t="s">
        <v>538</v>
      </c>
    </row>
    <row r="346" spans="2:119" ht="15.6" customHeight="1">
      <c r="B346" s="219" t="b">
        <f t="array" ref="B346">IF(OR(ISERROR(K346:P346)),FALSE,TRUE)</f>
        <v>1</v>
      </c>
      <c r="C346" s="43" t="b">
        <f>OR(BR346=Driver!$G$50,Data!BR727=Driver!$H$50)</f>
        <v>1</v>
      </c>
      <c r="D346" s="43" t="b">
        <f>OR(BV346=Driver!$G$51,BV346=Driver!$H$51)</f>
        <v>1</v>
      </c>
      <c r="E346" s="43" t="b">
        <f>AND(BX346&gt;Driver!$F$54,BX346&lt;Driver!$G$54)</f>
        <v>0</v>
      </c>
      <c r="F346" s="43" t="b">
        <f>CL346&gt;Driver!$F$56</f>
        <v>1</v>
      </c>
      <c r="G346" s="43" t="b">
        <f>AND(CB346&gt;Driver!$F$55,CB346&lt;Driver!$G$55)</f>
        <v>0</v>
      </c>
      <c r="H346" s="43" t="b">
        <f t="shared" si="185"/>
        <v>0</v>
      </c>
      <c r="I346" s="43">
        <f t="shared" si="186"/>
        <v>0</v>
      </c>
      <c r="J346" s="43" t="b">
        <f t="array" ref="J346">NOT(OR(($H$9:$H$1273=TRUE)*($I$9:$I$1273&gt;0)*($BT$9:$BT$1273=BT346)*($K$9:$K$1273&gt;K346)))</f>
        <v>1</v>
      </c>
      <c r="K346" s="72">
        <f t="shared" si="187"/>
        <v>0.81410588281526597</v>
      </c>
      <c r="L346" s="72">
        <f t="shared" si="188"/>
        <v>0.87469848613265688</v>
      </c>
      <c r="M346" s="72">
        <f t="shared" si="189"/>
        <v>0.75351327949787505</v>
      </c>
      <c r="N346" s="72">
        <f t="shared" si="190"/>
        <v>0.70562123617244898</v>
      </c>
      <c r="O346" s="72">
        <f t="shared" si="191"/>
        <v>0.60396716689468499</v>
      </c>
      <c r="P346" s="72">
        <f t="shared" si="192"/>
        <v>0.9509514354264913</v>
      </c>
      <c r="Q346" s="72"/>
      <c r="R346" s="72"/>
      <c r="S346" s="72">
        <f t="shared" si="193"/>
        <v>0.4307586886575191</v>
      </c>
      <c r="T346" s="72">
        <f t="shared" si="194"/>
        <v>0.63368899011041757</v>
      </c>
      <c r="U346" s="72">
        <f t="shared" si="195"/>
        <v>0.67942239687157768</v>
      </c>
      <c r="V346" s="72">
        <f t="shared" si="196"/>
        <v>0.54995277353668892</v>
      </c>
      <c r="W346" s="72">
        <f t="shared" si="197"/>
        <v>0.78966256234413967</v>
      </c>
      <c r="X346" s="72">
        <f t="shared" si="198"/>
        <v>0.12530151386734309</v>
      </c>
      <c r="Y346" s="72">
        <f t="shared" si="199"/>
        <v>0.24648672050212492</v>
      </c>
      <c r="Z346" s="72">
        <f t="shared" si="200"/>
        <v>0.29437876382755102</v>
      </c>
      <c r="AA346" s="72">
        <f t="shared" si="201"/>
        <v>0.39603283310531501</v>
      </c>
      <c r="AB346" s="72">
        <f t="shared" si="202"/>
        <v>4.9048564573508702E-2</v>
      </c>
      <c r="AC346" s="72"/>
      <c r="AD346" s="72"/>
      <c r="AE346" s="72">
        <f t="shared" si="203"/>
        <v>0.5692413113424809</v>
      </c>
      <c r="AF346" s="72">
        <f t="shared" si="204"/>
        <v>0.36631100988958243</v>
      </c>
      <c r="AG346" s="72">
        <f t="shared" si="205"/>
        <v>0.32057760312842232</v>
      </c>
      <c r="AH346" s="72">
        <f t="shared" si="206"/>
        <v>0.45004722646331102</v>
      </c>
      <c r="AI346" s="72">
        <f t="shared" si="207"/>
        <v>0.21033743765586035</v>
      </c>
      <c r="AJ346" s="72">
        <f>(AV346-Driver!$K$179)/(Driver!$L$179-Driver!$K$179)</f>
        <v>0.12891789541535734</v>
      </c>
      <c r="AK346" s="72">
        <f>(AW346-Driver!$K$180)/(Driver!$L$180-Driver!$K$180)</f>
        <v>0.31187712489704777</v>
      </c>
      <c r="AL346" s="72">
        <f>(AX346-Driver!$K$181)/(Driver!$L$181-Driver!$K$181)</f>
        <v>0.39606652754063121</v>
      </c>
      <c r="AM346" s="72">
        <f>(AY346-Driver!$K$182)/(Driver!$L$182-Driver!$K$182)</f>
        <v>5.1352187991731343E-2</v>
      </c>
      <c r="AN346" s="72">
        <f>(AZ346-Driver!$K$183)/(Driver!$L$183-Driver!$K$183)</f>
        <v>0.30326797385620913</v>
      </c>
      <c r="AO346" s="72"/>
      <c r="AP346" s="72"/>
      <c r="AQ346" s="72">
        <f>(BC346-Driver!$K$188)/(Driver!$L$188-Driver!$K$188)</f>
        <v>5.0758688657519049E-2</v>
      </c>
      <c r="AR346" s="72">
        <f>MIN((BD346-Driver!$K$189)/(Driver!$L$189-Driver!$K$189),100%)</f>
        <v>0.18368899011041762</v>
      </c>
      <c r="AS346" s="72">
        <f>(BE346-Driver!$K$190)/(Driver!$L$190-Driver!$K$190)</f>
        <v>0.18942239687157766</v>
      </c>
      <c r="AT346" s="72">
        <f>(BF346-Driver!$K$191)/(Driver!$L$191-Driver!$K$191)</f>
        <v>5.9952773536688965E-2</v>
      </c>
      <c r="AU346" s="72">
        <f>(BG346-Driver!$K$192)/(Driver!$L$192-Driver!$K$192)</f>
        <v>3.9662562344139639E-2</v>
      </c>
      <c r="AV346" s="70">
        <f t="shared" si="208"/>
        <v>2.7133360466693799</v>
      </c>
      <c r="AW346" s="70">
        <f t="shared" si="209"/>
        <v>32.267081955129811</v>
      </c>
      <c r="AX346" s="70">
        <f t="shared" si="210"/>
        <v>4.5645987478656807</v>
      </c>
      <c r="AY346" s="70">
        <f>IFERROR(Driver!$K$19/Data!BH346/Data!BI346*Data!BK346*Data!BL346,"")</f>
        <v>6.2870400115954406E-2</v>
      </c>
      <c r="AZ346" s="70">
        <f t="shared" si="211"/>
        <v>27.639612807148175</v>
      </c>
      <c r="BA346" s="70"/>
      <c r="BB346" s="70"/>
      <c r="BC346" s="70">
        <f t="shared" si="212"/>
        <v>26.328884675333885</v>
      </c>
      <c r="BD346" s="70">
        <f t="shared" si="213"/>
        <v>17.976973031238735</v>
      </c>
      <c r="BE346" s="70">
        <f t="shared" si="214"/>
        <v>0.18956699479253622</v>
      </c>
      <c r="BF346" s="70">
        <f t="shared" si="215"/>
        <v>6.7712445788971136</v>
      </c>
      <c r="BG346" s="70">
        <f t="shared" si="216"/>
        <v>0.15018776301433912</v>
      </c>
      <c r="BH346" s="67">
        <f>MAX((CE346-Driver!$F$200)/(Driver!$G$200-Driver!$F$200)*$BI$1,1)</f>
        <v>4.5645987478656807</v>
      </c>
      <c r="BI346" s="67">
        <f>MAX($BI$1*(BY346-Driver!$F$201)/(Driver!$G$201-Driver!$F$201),1)</f>
        <v>7.3417721518987342</v>
      </c>
      <c r="BJ346" s="67">
        <f>(CB346-Driver!$F$206)/(Driver!$G$206-Driver!$F$206)*$BI$1</f>
        <v>3.1746031746031744</v>
      </c>
      <c r="BK346" s="67">
        <f>(CD346-Driver!$F$203)/(Driver!$G$203-Driver!$F$203)*$BI$1</f>
        <v>1.6972477064220182</v>
      </c>
      <c r="BL346" s="67">
        <f>MAX((CR346-Driver!$F$202)/(Driver!$G$202-Driver!$F$202)*$BI$1,1)</f>
        <v>6.2068965517241379</v>
      </c>
      <c r="BM346" s="67">
        <f>MAX((CH346-Driver!$F$204)/(Driver!$G$204-Driver!$F$204)*$BI$1,1)</f>
        <v>3.4188034188034191</v>
      </c>
      <c r="BN346" s="67">
        <f>(CI346-Driver!$F$205)/(Driver!$G$205-Driver!$F$205)*$BI$1</f>
        <v>3.7647058823529411</v>
      </c>
      <c r="BO346" s="67">
        <f>(CK346-Driver!$F$207)/(Driver!$G$207-Driver!$F$207)*$BI$1</f>
        <v>1.8407445708376422</v>
      </c>
      <c r="BP346" s="67">
        <f>(CM346-Driver!$F$208)/(Driver!$G$208-Driver!$F$208)*$BI$1</f>
        <v>1.9666666666666666</v>
      </c>
      <c r="BQ346" s="67">
        <f>(CL346-Driver!$F$209)/(Driver!$G$209-Driver!$F$209)*$BI$1</f>
        <v>2.34375</v>
      </c>
      <c r="BR346" s="28" t="s">
        <v>155</v>
      </c>
      <c r="BS346" s="8" t="s">
        <v>262</v>
      </c>
      <c r="BT346" s="9" t="s">
        <v>539</v>
      </c>
      <c r="BU346" s="10">
        <v>170</v>
      </c>
      <c r="BV346" s="9" t="s">
        <v>158</v>
      </c>
      <c r="BW346" s="10">
        <v>170</v>
      </c>
      <c r="BX346" s="10">
        <v>170.7</v>
      </c>
      <c r="BY346" s="10">
        <v>124</v>
      </c>
      <c r="BZ346" s="10">
        <v>141</v>
      </c>
      <c r="CA346" s="10">
        <v>129</v>
      </c>
      <c r="CB346" s="10">
        <v>84</v>
      </c>
      <c r="CC346" s="10">
        <v>112</v>
      </c>
      <c r="CD346" s="10">
        <v>13.1</v>
      </c>
      <c r="CE346" s="10">
        <v>1702</v>
      </c>
      <c r="CF346" s="10">
        <v>1</v>
      </c>
      <c r="CG346" s="10">
        <v>1694</v>
      </c>
      <c r="CH346" s="10">
        <v>181</v>
      </c>
      <c r="CI346" s="10">
        <v>97</v>
      </c>
      <c r="CJ346" s="10">
        <v>45</v>
      </c>
      <c r="CK346" s="10">
        <v>288</v>
      </c>
      <c r="CL346" s="10">
        <v>15</v>
      </c>
      <c r="CM346" s="10">
        <v>177</v>
      </c>
      <c r="CN346" s="10">
        <v>0.33700000000000002</v>
      </c>
      <c r="CO346" s="10">
        <v>182</v>
      </c>
      <c r="CP346" s="10">
        <v>112</v>
      </c>
      <c r="CQ346" s="10">
        <v>107</v>
      </c>
      <c r="CR346" s="10">
        <v>7</v>
      </c>
      <c r="CS346" s="10">
        <v>10.8</v>
      </c>
      <c r="CT346" s="9" t="s">
        <v>231</v>
      </c>
      <c r="CU346" s="9" t="s">
        <v>188</v>
      </c>
      <c r="CV346" s="10"/>
      <c r="CW346" s="10"/>
      <c r="CX346" t="e">
        <f>INDEX('Data_Price '!AG$2:AG$1266,MATCH(Data!$DN346,'Data_Price '!$AT$2:$AT$1266,0))</f>
        <v>#N/A</v>
      </c>
      <c r="CY346" t="e">
        <f>INDEX('Data_Price '!AH$2:AH$1266,MATCH(Data!$DN346,'Data_Price '!$AT$2:$AT$1266,0))</f>
        <v>#N/A</v>
      </c>
      <c r="CZ346" t="e">
        <f>INDEX('Data_Price '!AI$2:AI$1266,MATCH(Data!$DN346,'Data_Price '!$AT$2:$AT$1266,0))</f>
        <v>#N/A</v>
      </c>
      <c r="DA346" t="e">
        <f>INDEX('Data_Price '!AJ$2:AJ$1266,MATCH(Data!$DN346,'Data_Price '!$AT$2:$AT$1266,0))</f>
        <v>#N/A</v>
      </c>
      <c r="DB346" t="e">
        <f>INDEX('Data_Price '!AK$2:AK$1266,MATCH(Data!$DN346,'Data_Price '!$AT$2:$AT$1266,0))</f>
        <v>#N/A</v>
      </c>
      <c r="DC346" t="e">
        <f>INDEX('Data_Price '!AL$2:AL$1266,MATCH(Data!$DN346,'Data_Price '!$AT$2:$AT$1266,0))</f>
        <v>#N/A</v>
      </c>
      <c r="DD346" t="e">
        <f>INDEX('Data_Price '!AM$2:AM$1266,MATCH(Data!$DN346,'Data_Price '!$AT$2:$AT$1266,0))</f>
        <v>#N/A</v>
      </c>
      <c r="DE346" t="e">
        <f>INDEX('Data_Price '!AN$2:AN$1266,MATCH(Data!$DN346,'Data_Price '!$AT$2:$AT$1266,0))</f>
        <v>#N/A</v>
      </c>
      <c r="DF346" t="e">
        <f>INDEX('Data_Price '!AO$2:AO$1266,MATCH(Data!$DN346,'Data_Price '!$AT$2:$AT$1266,0))</f>
        <v>#N/A</v>
      </c>
      <c r="DG346" t="e">
        <f>INDEX('Data_Price '!AP$2:AP$1266,MATCH(Data!$DN346,'Data_Price '!$AT$2:$AT$1266,0))</f>
        <v>#N/A</v>
      </c>
      <c r="DH346" t="e">
        <f>INDEX('Data_Price '!AQ$2:AQ$1266,MATCH(Data!$DN346,'Data_Price '!$AT$2:$AT$1266,0))</f>
        <v>#N/A</v>
      </c>
      <c r="DI346" t="e">
        <f>INDEX('Data_Price '!AR$2:AR$1266,MATCH(Data!$DN346,'Data_Price '!$AT$2:$AT$1266,0))</f>
        <v>#N/A</v>
      </c>
      <c r="DJ346" s="89" t="e">
        <f t="shared" si="217"/>
        <v>#N/A</v>
      </c>
      <c r="DK346" s="89" t="e">
        <f t="shared" si="218"/>
        <v>#N/A</v>
      </c>
      <c r="DL346" s="89" t="e">
        <f t="shared" si="219"/>
        <v>#N/A</v>
      </c>
      <c r="DM346" s="219" t="str">
        <f t="shared" si="220"/>
        <v>Mindbender 85</v>
      </c>
      <c r="DN346" s="89" t="str">
        <f t="shared" si="221"/>
        <v xml:space="preserve"> K2Mindbender 85170 Unisex</v>
      </c>
      <c r="DO346" s="221" t="s">
        <v>540</v>
      </c>
    </row>
    <row r="347" spans="2:119" ht="15.6" customHeight="1">
      <c r="B347" s="219" t="b">
        <f t="array" ref="B347">IF(OR(ISERROR(K347:P347)),FALSE,TRUE)</f>
        <v>1</v>
      </c>
      <c r="C347" s="43" t="b">
        <f>OR(BR347=Driver!$G$50,Data!BR198=Driver!$H$50)</f>
        <v>1</v>
      </c>
      <c r="D347" s="43" t="b">
        <f>OR(BV347=Driver!$G$51,BV347=Driver!$H$51)</f>
        <v>1</v>
      </c>
      <c r="E347" s="43" t="b">
        <f>AND(BX347&gt;Driver!$F$54,BX347&lt;Driver!$G$54)</f>
        <v>0</v>
      </c>
      <c r="F347" s="43" t="b">
        <f>CL347&gt;Driver!$F$56</f>
        <v>1</v>
      </c>
      <c r="G347" s="43" t="b">
        <f>AND(CB347&gt;Driver!$F$55,CB347&lt;Driver!$G$55)</f>
        <v>1</v>
      </c>
      <c r="H347" s="43" t="b">
        <f t="shared" si="185"/>
        <v>0</v>
      </c>
      <c r="I347" s="43">
        <f t="shared" si="186"/>
        <v>0</v>
      </c>
      <c r="J347" s="43" t="b">
        <f t="array" ref="J347">NOT(OR(($H$9:$H$1273=TRUE)*($I$9:$I$1273&gt;0)*($BT$9:$BT$1273=BT347)*($K$9:$K$1273&gt;K347)))</f>
        <v>1</v>
      </c>
      <c r="K347" s="72">
        <f t="shared" si="187"/>
        <v>0.71776395078273925</v>
      </c>
      <c r="L347" s="72">
        <f t="shared" si="188"/>
        <v>0.74837781714669194</v>
      </c>
      <c r="M347" s="72">
        <f t="shared" si="189"/>
        <v>0.68715008441878656</v>
      </c>
      <c r="N347" s="72">
        <f t="shared" si="190"/>
        <v>0.47543088646018694</v>
      </c>
      <c r="O347" s="72">
        <f t="shared" si="191"/>
        <v>0.6364568202585702</v>
      </c>
      <c r="P347" s="72">
        <f t="shared" si="192"/>
        <v>0.94956254653760241</v>
      </c>
      <c r="Q347" s="72"/>
      <c r="R347" s="72"/>
      <c r="S347" s="72">
        <f t="shared" si="193"/>
        <v>0.48338714452082221</v>
      </c>
      <c r="T347" s="72">
        <f t="shared" si="194"/>
        <v>0.49613886918382555</v>
      </c>
      <c r="U347" s="72">
        <f t="shared" si="195"/>
        <v>0.51915499073454008</v>
      </c>
      <c r="V347" s="72">
        <f t="shared" si="196"/>
        <v>0.57801809493851009</v>
      </c>
      <c r="W347" s="72">
        <f t="shared" si="197"/>
        <v>0.7818898470358796</v>
      </c>
      <c r="X347" s="72">
        <f t="shared" si="198"/>
        <v>0.25162218285330801</v>
      </c>
      <c r="Y347" s="72">
        <f t="shared" si="199"/>
        <v>0.3128499155812135</v>
      </c>
      <c r="Z347" s="72">
        <f t="shared" si="200"/>
        <v>0.52456911353981306</v>
      </c>
      <c r="AA347" s="72">
        <f t="shared" si="201"/>
        <v>0.3635431797414298</v>
      </c>
      <c r="AB347" s="72">
        <f t="shared" si="202"/>
        <v>5.0437453462397586E-2</v>
      </c>
      <c r="AC347" s="72"/>
      <c r="AD347" s="72"/>
      <c r="AE347" s="72">
        <f t="shared" si="203"/>
        <v>0.51661285547917779</v>
      </c>
      <c r="AF347" s="72">
        <f t="shared" si="204"/>
        <v>0.50386113081617445</v>
      </c>
      <c r="AG347" s="72">
        <f t="shared" si="205"/>
        <v>0.48084500926545998</v>
      </c>
      <c r="AH347" s="72">
        <f t="shared" si="206"/>
        <v>0.42198190506148986</v>
      </c>
      <c r="AI347" s="72">
        <f t="shared" si="207"/>
        <v>0.2181101529641204</v>
      </c>
      <c r="AJ347" s="72">
        <f>(AV347-Driver!$K$179)/(Driver!$L$179-Driver!$K$179)</f>
        <v>0.50584159213600843</v>
      </c>
      <c r="AK347" s="72">
        <f>(AW347-Driver!$K$180)/(Driver!$L$180-Driver!$K$180)</f>
        <v>0.33484140372080567</v>
      </c>
      <c r="AL347" s="72">
        <f>(AX347-Driver!$K$181)/(Driver!$L$181-Driver!$K$181)</f>
        <v>0.62625687725289325</v>
      </c>
      <c r="AM347" s="72">
        <f>(AY347-Driver!$K$182)/(Driver!$L$182-Driver!$K$182)</f>
        <v>8.3841841355616564E-2</v>
      </c>
      <c r="AN347" s="72">
        <f>(AZ347-Driver!$K$183)/(Driver!$L$183-Driver!$K$183)</f>
        <v>0.30465686274509801</v>
      </c>
      <c r="AO347" s="72"/>
      <c r="AP347" s="72"/>
      <c r="AQ347" s="72">
        <f>(BC347-Driver!$K$188)/(Driver!$L$188-Driver!$K$188)</f>
        <v>0.10338714452082222</v>
      </c>
      <c r="AR347" s="72">
        <f>MIN((BD347-Driver!$K$189)/(Driver!$L$189-Driver!$K$189),100%)</f>
        <v>4.6138869183825634E-2</v>
      </c>
      <c r="AS347" s="72">
        <f>(BE347-Driver!$K$190)/(Driver!$L$190-Driver!$K$190)</f>
        <v>2.9154990734540035E-2</v>
      </c>
      <c r="AT347" s="72">
        <f>(BF347-Driver!$K$191)/(Driver!$L$191-Driver!$K$191)</f>
        <v>8.801809493851015E-2</v>
      </c>
      <c r="AU347" s="72">
        <f>(BG347-Driver!$K$192)/(Driver!$L$192-Driver!$K$192)</f>
        <v>3.1889847035879597E-2</v>
      </c>
      <c r="AV347" s="70">
        <f t="shared" si="208"/>
        <v>10.646452313118981</v>
      </c>
      <c r="AW347" s="70">
        <f t="shared" si="209"/>
        <v>34.505154410715519</v>
      </c>
      <c r="AX347" s="70">
        <f t="shared" si="210"/>
        <v>6.6363118952760392</v>
      </c>
      <c r="AY347" s="70">
        <f>IFERROR(Driver!$K$19/Data!BH347/Data!BI347*Data!BK347*Data!BL347,"")</f>
        <v>0.10264742981028857</v>
      </c>
      <c r="AZ347" s="70">
        <f t="shared" si="211"/>
        <v>27.766195085629189</v>
      </c>
      <c r="BA347" s="70"/>
      <c r="BB347" s="70"/>
      <c r="BC347" s="70">
        <f t="shared" si="212"/>
        <v>53.627630598718724</v>
      </c>
      <c r="BD347" s="70">
        <f t="shared" si="213"/>
        <v>5.8040310536276953</v>
      </c>
      <c r="BE347" s="70">
        <f t="shared" si="214"/>
        <v>2.9328178556866955E-2</v>
      </c>
      <c r="BF347" s="70">
        <f t="shared" si="215"/>
        <v>9.9410254611909217</v>
      </c>
      <c r="BG347" s="70">
        <f t="shared" si="216"/>
        <v>0.12075530440094927</v>
      </c>
      <c r="BH347" s="67">
        <f>MAX((CE347-Driver!$F$200)/(Driver!$G$200-Driver!$F$200)*$BI$1,1)</f>
        <v>6.6363118952760392</v>
      </c>
      <c r="BI347" s="67">
        <f>MAX($BI$1*(BY347-Driver!$F$201)/(Driver!$G$201-Driver!$F$201),1)</f>
        <v>7.1518987341772151</v>
      </c>
      <c r="BJ347" s="67">
        <f>(CB347-Driver!$F$206)/(Driver!$G$206-Driver!$F$206)*$BI$1</f>
        <v>6.825396825396826</v>
      </c>
      <c r="BK347" s="67">
        <f>(CD347-Driver!$F$203)/(Driver!$G$203-Driver!$F$203)*$BI$1</f>
        <v>5.045871559633027</v>
      </c>
      <c r="BL347" s="67">
        <f>MAX((CR347-Driver!$F$202)/(Driver!$G$202-Driver!$F$202)*$BI$1,1)</f>
        <v>4.8275862068965516</v>
      </c>
      <c r="BM347" s="67">
        <f>MAX((CH347-Driver!$F$204)/(Driver!$G$204-Driver!$F$204)*$BI$1,1)</f>
        <v>6.2393162393162394</v>
      </c>
      <c r="BN347" s="67">
        <f>(CI347-Driver!$F$205)/(Driver!$G$205-Driver!$F$205)*$BI$1</f>
        <v>3.8823529411764706</v>
      </c>
      <c r="BO347" s="67">
        <f>(CK347-Driver!$F$207)/(Driver!$G$207-Driver!$F$207)*$BI$1</f>
        <v>2.543950361944157</v>
      </c>
      <c r="BP347" s="67">
        <f>(CM347-Driver!$F$208)/(Driver!$G$208-Driver!$F$208)*$BI$1</f>
        <v>2.8888888888888884</v>
      </c>
      <c r="BQ347" s="67">
        <f>(CL347-Driver!$F$209)/(Driver!$G$209-Driver!$F$209)*$BI$1</f>
        <v>5</v>
      </c>
      <c r="BR347" s="28" t="s">
        <v>155</v>
      </c>
      <c r="BS347" s="8" t="s">
        <v>237</v>
      </c>
      <c r="BT347" s="9" t="s">
        <v>541</v>
      </c>
      <c r="BU347" s="10">
        <v>184.2</v>
      </c>
      <c r="BV347" s="9" t="s">
        <v>158</v>
      </c>
      <c r="BW347" s="10">
        <v>184.2</v>
      </c>
      <c r="BX347" s="10">
        <v>182.7</v>
      </c>
      <c r="BY347" s="10">
        <v>121</v>
      </c>
      <c r="BZ347" s="10">
        <v>148</v>
      </c>
      <c r="CA347" s="10">
        <v>138</v>
      </c>
      <c r="CB347" s="10">
        <v>107</v>
      </c>
      <c r="CC347" s="10">
        <v>125</v>
      </c>
      <c r="CD347" s="10">
        <v>20.399999999999999</v>
      </c>
      <c r="CE347" s="10">
        <v>2066</v>
      </c>
      <c r="CF347" s="10">
        <v>1.04</v>
      </c>
      <c r="CG347" s="10">
        <v>2146</v>
      </c>
      <c r="CH347" s="10">
        <v>247</v>
      </c>
      <c r="CI347" s="10">
        <v>99</v>
      </c>
      <c r="CJ347" s="10">
        <v>57</v>
      </c>
      <c r="CK347" s="10">
        <v>356</v>
      </c>
      <c r="CL347" s="10">
        <v>32</v>
      </c>
      <c r="CM347" s="10">
        <v>260</v>
      </c>
      <c r="CN347" s="10">
        <v>0.56000000000000005</v>
      </c>
      <c r="CO347" s="10">
        <v>227</v>
      </c>
      <c r="CP347" s="10">
        <v>121</v>
      </c>
      <c r="CQ347" s="10">
        <v>128</v>
      </c>
      <c r="CR347" s="10">
        <v>3</v>
      </c>
      <c r="CS347" s="10">
        <v>7.9</v>
      </c>
      <c r="CT347" s="9" t="s">
        <v>169</v>
      </c>
      <c r="CU347" s="10"/>
      <c r="CV347" s="10"/>
      <c r="CW347" s="10"/>
      <c r="CX347" t="str">
        <f>INDEX('Data_Price '!AG$2:AG$1266,MATCH(Data!$DN347,'Data_Price '!$AT$2:$AT$1266,0))</f>
        <v>Black Crows Atris Skis 184cm 2020</v>
      </c>
      <c r="CY347" t="str">
        <f>INDEX('Data_Price '!AH$2:AH$1266,MATCH(Data!$DN347,'Data_Price '!$AT$2:$AT$1266,0))</f>
        <v>Powder7 Ski Shop</v>
      </c>
      <c r="CZ347">
        <f>INDEX('Data_Price '!AI$2:AI$1266,MATCH(Data!$DN347,'Data_Price '!$AT$2:$AT$1266,0))</f>
        <v>619.91</v>
      </c>
      <c r="DA347" t="str">
        <f>INDEX('Data_Price '!AJ$2:AJ$1266,MATCH(Data!$DN347,'Data_Price '!$AT$2:$AT$1266,0))</f>
        <v>https://tinyurl.com/y9anjvwz</v>
      </c>
      <c r="DB347" t="str">
        <f>INDEX('Data_Price '!AK$2:AK$1266,MATCH(Data!$DN347,'Data_Price '!$AT$2:$AT$1266,0))</f>
        <v>Black Crows Atris Skis</v>
      </c>
      <c r="DC347" t="str">
        <f>INDEX('Data_Price '!AL$2:AL$1266,MATCH(Data!$DN347,'Data_Price '!$AT$2:$AT$1266,0))</f>
        <v>Curated</v>
      </c>
      <c r="DD347">
        <f>INDEX('Data_Price '!AM$2:AM$1266,MATCH(Data!$DN347,'Data_Price '!$AT$2:$AT$1266,0))</f>
        <v>671</v>
      </c>
      <c r="DE347" t="str">
        <f>INDEX('Data_Price '!AN$2:AN$1266,MATCH(Data!$DN347,'Data_Price '!$AT$2:$AT$1266,0))</f>
        <v>https://tinyurl.com/y984nshl</v>
      </c>
      <c r="DF347" t="str">
        <f>INDEX('Data_Price '!AO$2:AO$1266,MATCH(Data!$DN347,'Data_Price '!$AT$2:$AT$1266,0))</f>
        <v>Black Crows Atris Skis</v>
      </c>
      <c r="DG347" t="str">
        <f>INDEX('Data_Price '!AP$2:AP$1266,MATCH(Data!$DN347,'Data_Price '!$AT$2:$AT$1266,0))</f>
        <v>Next Adventure</v>
      </c>
      <c r="DH347">
        <f>INDEX('Data_Price '!AQ$2:AQ$1266,MATCH(Data!$DN347,'Data_Price '!$AT$2:$AT$1266,0))</f>
        <v>671.96</v>
      </c>
      <c r="DI347" t="str">
        <f>INDEX('Data_Price '!AR$2:AR$1266,MATCH(Data!$DN347,'Data_Price '!$AT$2:$AT$1266,0))</f>
        <v>https://tinyurl.com/ycrf9maf</v>
      </c>
      <c r="DJ347" s="89" t="str">
        <f t="shared" si="217"/>
        <v>https://tinyurl.com/y9anjvwz</v>
      </c>
      <c r="DK347" s="89" t="str">
        <f t="shared" si="218"/>
        <v>https://tinyurl.com/y984nshl</v>
      </c>
      <c r="DL347" s="89" t="str">
        <f t="shared" si="219"/>
        <v>https://tinyurl.com/ycrf9maf</v>
      </c>
      <c r="DM347" s="219" t="str">
        <f t="shared" si="220"/>
        <v>Atris</v>
      </c>
      <c r="DN347" s="89" t="str">
        <f t="shared" si="221"/>
        <v xml:space="preserve"> Black CrowsAtris184.2 Unisex</v>
      </c>
      <c r="DO347" s="221" t="s">
        <v>542</v>
      </c>
    </row>
    <row r="348" spans="2:119" ht="15.6" customHeight="1">
      <c r="B348" s="219" t="b">
        <f t="array" ref="B348">IF(OR(ISERROR(K348:P348)),FALSE,TRUE)</f>
        <v>1</v>
      </c>
      <c r="C348" s="43" t="b">
        <f>OR(BR348=Driver!$G$50,Data!BR1044=Driver!$H$50)</f>
        <v>1</v>
      </c>
      <c r="D348" s="43" t="b">
        <f>OR(BV348=Driver!$G$51,BV348=Driver!$H$51)</f>
        <v>0</v>
      </c>
      <c r="E348" s="43" t="b">
        <f>AND(BX348&gt;Driver!$F$54,BX348&lt;Driver!$G$54)</f>
        <v>1</v>
      </c>
      <c r="F348" s="43" t="b">
        <f>CL348&gt;Driver!$F$56</f>
        <v>1</v>
      </c>
      <c r="G348" s="43" t="b">
        <f>AND(CB348&gt;Driver!$F$55,CB348&lt;Driver!$G$55)</f>
        <v>0</v>
      </c>
      <c r="H348" s="43" t="b">
        <f t="shared" si="185"/>
        <v>0</v>
      </c>
      <c r="I348" s="43">
        <f t="shared" si="186"/>
        <v>0</v>
      </c>
      <c r="J348" s="43" t="b">
        <f t="array" ref="J348">NOT(OR(($H$9:$H$1273=TRUE)*($I$9:$I$1273&gt;0)*($BT$9:$BT$1273=BT348)*($K$9:$K$1273&gt;K348)))</f>
        <v>1</v>
      </c>
      <c r="K348" s="72">
        <f t="shared" si="187"/>
        <v>0.77760611822324022</v>
      </c>
      <c r="L348" s="72">
        <f t="shared" si="188"/>
        <v>0.79654201203709651</v>
      </c>
      <c r="M348" s="72">
        <f t="shared" si="189"/>
        <v>0.75867022440938392</v>
      </c>
      <c r="N348" s="72">
        <f t="shared" si="190"/>
        <v>0.73218166113924854</v>
      </c>
      <c r="O348" s="72">
        <f t="shared" si="191"/>
        <v>0.59571998999905462</v>
      </c>
      <c r="P348" s="72">
        <f t="shared" si="192"/>
        <v>0.9481090220898486</v>
      </c>
      <c r="Q348" s="72"/>
      <c r="R348" s="72"/>
      <c r="S348" s="72">
        <f t="shared" si="193"/>
        <v>0.41956678611735032</v>
      </c>
      <c r="T348" s="72">
        <f t="shared" si="194"/>
        <v>0.96116838874969435</v>
      </c>
      <c r="U348" s="72">
        <f t="shared" si="195"/>
        <v>0.51</v>
      </c>
      <c r="V348" s="72">
        <f t="shared" si="196"/>
        <v>0.49431875994568342</v>
      </c>
      <c r="W348" s="72">
        <f t="shared" si="197"/>
        <v>0.76594454887218044</v>
      </c>
      <c r="X348" s="72">
        <f t="shared" si="198"/>
        <v>0.20345798796290349</v>
      </c>
      <c r="Y348" s="72">
        <f t="shared" si="199"/>
        <v>0.24132977559061605</v>
      </c>
      <c r="Z348" s="72">
        <f t="shared" si="200"/>
        <v>0.26781833886075146</v>
      </c>
      <c r="AA348" s="72">
        <f t="shared" si="201"/>
        <v>0.40428001000094532</v>
      </c>
      <c r="AB348" s="72">
        <f t="shared" si="202"/>
        <v>5.1890977910151431E-2</v>
      </c>
      <c r="AC348" s="72"/>
      <c r="AD348" s="72"/>
      <c r="AE348" s="72">
        <f t="shared" si="203"/>
        <v>0.58043321388264968</v>
      </c>
      <c r="AF348" s="72">
        <f t="shared" si="204"/>
        <v>3.8831611250305653E-2</v>
      </c>
      <c r="AG348" s="72">
        <f t="shared" si="205"/>
        <v>0.49</v>
      </c>
      <c r="AH348" s="72">
        <f t="shared" si="206"/>
        <v>0.50568124005431658</v>
      </c>
      <c r="AI348" s="72">
        <f t="shared" si="207"/>
        <v>0.23405545112781956</v>
      </c>
      <c r="AJ348" s="72">
        <f>(AV348-Driver!$K$179)/(Driver!$L$179-Driver!$K$179)</f>
        <v>5.0761421319796947E-2</v>
      </c>
      <c r="AK348" s="72">
        <f>(AW348-Driver!$K$180)/(Driver!$L$180-Driver!$K$180)</f>
        <v>0.21492653485765192</v>
      </c>
      <c r="AL348" s="72">
        <f>(AX348-Driver!$K$181)/(Driver!$L$181-Driver!$K$181)</f>
        <v>0.36950610257383165</v>
      </c>
      <c r="AM348" s="72">
        <f>(AY348-Driver!$K$182)/(Driver!$L$182-Driver!$K$182)</f>
        <v>4.3105011096101029E-2</v>
      </c>
      <c r="AN348" s="72">
        <f>(AZ348-Driver!$K$183)/(Driver!$L$183-Driver!$K$183)</f>
        <v>0.20232843137254899</v>
      </c>
      <c r="AO348" s="72"/>
      <c r="AP348" s="72"/>
      <c r="AQ348" s="72">
        <f>(BC348-Driver!$K$188)/(Driver!$L$188-Driver!$K$188)</f>
        <v>3.9566786117350337E-2</v>
      </c>
      <c r="AR348" s="72">
        <f>MIN((BD348-Driver!$K$189)/(Driver!$L$189-Driver!$K$189),100%)</f>
        <v>0.51116838874969439</v>
      </c>
      <c r="AS348" s="72">
        <f>(BE348-Driver!$K$190)/(Driver!$L$190-Driver!$K$190)</f>
        <v>1</v>
      </c>
      <c r="AT348" s="72">
        <f>(BF348-Driver!$K$191)/(Driver!$L$191-Driver!$K$191)</f>
        <v>4.3187599456834128E-3</v>
      </c>
      <c r="AU348" s="72">
        <f>(BG348-Driver!$K$192)/(Driver!$L$192-Driver!$K$192)</f>
        <v>1.5944548872180449E-2</v>
      </c>
      <c r="AV348" s="70">
        <f t="shared" si="208"/>
        <v>1.0683760683760684</v>
      </c>
      <c r="AW348" s="70">
        <f t="shared" si="209"/>
        <v>22.818387886171148</v>
      </c>
      <c r="AX348" s="70">
        <f t="shared" si="210"/>
        <v>4.3255549231644848</v>
      </c>
      <c r="AY348" s="70">
        <f>IFERROR(Driver!$K$19/Data!BH348/Data!BI348*Data!BK348*Data!BL348,"")</f>
        <v>5.2773394875616421E-2</v>
      </c>
      <c r="AZ348" s="70">
        <f t="shared" si="211"/>
        <v>18.440059568131048</v>
      </c>
      <c r="BA348" s="70"/>
      <c r="BB348" s="70"/>
      <c r="BC348" s="70">
        <f t="shared" si="212"/>
        <v>20.523567022904189</v>
      </c>
      <c r="BD348" s="70">
        <f t="shared" si="213"/>
        <v>46.958319551656082</v>
      </c>
      <c r="BE348" s="70">
        <f t="shared" si="214"/>
        <v>1</v>
      </c>
      <c r="BF348" s="70">
        <f t="shared" si="215"/>
        <v>0.48777359485914179</v>
      </c>
      <c r="BG348" s="70">
        <f t="shared" si="216"/>
        <v>6.0376233552631581E-2</v>
      </c>
      <c r="BH348" s="67">
        <f>MAX((CE348-Driver!$F$200)/(Driver!$G$200-Driver!$F$200)*$BI$1,1)</f>
        <v>4.3255549231644848</v>
      </c>
      <c r="BI348" s="67">
        <f>MAX($BI$1*(BY348-Driver!$F$201)/(Driver!$G$201-Driver!$F$201),1)</f>
        <v>8.037974683544304</v>
      </c>
      <c r="BJ348" s="67">
        <f>(CB348-Driver!$F$206)/(Driver!$G$206-Driver!$F$206)*$BI$1</f>
        <v>1.4285714285714284</v>
      </c>
      <c r="BK348" s="67">
        <f>(CD348-Driver!$F$203)/(Driver!$G$203-Driver!$F$203)*$BI$1</f>
        <v>1.3302752293577984</v>
      </c>
      <c r="BL348" s="67">
        <f>MAX((CR348-Driver!$F$202)/(Driver!$G$202-Driver!$F$202)*$BI$1,1)</f>
        <v>6.8965517241379315</v>
      </c>
      <c r="BM348" s="67">
        <f>MAX((CH348-Driver!$F$204)/(Driver!$G$204-Driver!$F$204)*$BI$1,1)</f>
        <v>2.9914529914529915</v>
      </c>
      <c r="BN348" s="67">
        <f>(CI348-Driver!$F$205)/(Driver!$G$205-Driver!$F$205)*$BI$1</f>
        <v>2.2941176470588234</v>
      </c>
      <c r="BO348" s="67">
        <f>(CK348-Driver!$F$207)/(Driver!$G$207-Driver!$F$207)*$BI$1</f>
        <v>0.61013443640124088</v>
      </c>
      <c r="BP348" s="67">
        <f>(CM348-Driver!$F$208)/(Driver!$G$208-Driver!$F$208)*$BI$1</f>
        <v>0.74444444444444435</v>
      </c>
      <c r="BQ348" s="67">
        <f>(CL348-Driver!$F$209)/(Driver!$G$209-Driver!$F$209)*$BI$1</f>
        <v>0.78125</v>
      </c>
      <c r="BR348" s="28" t="s">
        <v>155</v>
      </c>
      <c r="BS348" s="8" t="s">
        <v>172</v>
      </c>
      <c r="BT348" s="9" t="s">
        <v>460</v>
      </c>
      <c r="BU348" s="10">
        <v>160</v>
      </c>
      <c r="BV348" s="9" t="s">
        <v>163</v>
      </c>
      <c r="BW348" s="10">
        <v>160</v>
      </c>
      <c r="BX348" s="10">
        <v>158.69999999999999</v>
      </c>
      <c r="BY348" s="10">
        <v>135</v>
      </c>
      <c r="BZ348" s="10">
        <v>145</v>
      </c>
      <c r="CA348" s="10">
        <v>122</v>
      </c>
      <c r="CB348" s="10">
        <v>73</v>
      </c>
      <c r="CC348" s="10">
        <v>108</v>
      </c>
      <c r="CD348" s="10">
        <v>12.3</v>
      </c>
      <c r="CE348" s="10">
        <v>1660</v>
      </c>
      <c r="CF348" s="10">
        <v>0.85</v>
      </c>
      <c r="CG348" s="10">
        <v>1414</v>
      </c>
      <c r="CH348" s="10">
        <v>171</v>
      </c>
      <c r="CI348" s="10">
        <v>72</v>
      </c>
      <c r="CJ348" s="10">
        <v>39</v>
      </c>
      <c r="CK348" s="10">
        <v>169</v>
      </c>
      <c r="CL348" s="10">
        <v>5</v>
      </c>
      <c r="CM348" s="10">
        <v>67</v>
      </c>
      <c r="CN348" s="10">
        <v>0.11899999999999999</v>
      </c>
      <c r="CO348" s="10">
        <v>80</v>
      </c>
      <c r="CP348" s="10">
        <v>61</v>
      </c>
      <c r="CQ348" s="10">
        <v>90</v>
      </c>
      <c r="CR348" s="10">
        <v>9</v>
      </c>
      <c r="CS348" s="10">
        <v>9.4</v>
      </c>
      <c r="CT348" s="9" t="s">
        <v>349</v>
      </c>
      <c r="CU348" s="10"/>
      <c r="CV348" s="10"/>
      <c r="CW348" s="10"/>
      <c r="CX348" t="str">
        <f>INDEX('Data_Price '!AG$2:AG$1266,MATCH(Data!$DN348,'Data_Price '!$AT$2:$AT$1266,0))</f>
        <v>Rossignol Nova 10 Ti Xpress W 11 GW Women's Skis, 160cm Black Sparkle 2020</v>
      </c>
      <c r="CY348" t="str">
        <f>INDEX('Data_Price '!AH$2:AH$1266,MATCH(Data!$DN348,'Data_Price '!$AT$2:$AT$1266,0))</f>
        <v>Absolute-Snow.co.uk</v>
      </c>
      <c r="CZ348">
        <f>INDEX('Data_Price '!AI$2:AI$1266,MATCH(Data!$DN348,'Data_Price '!$AT$2:$AT$1266,0))</f>
        <v>520.66999999999996</v>
      </c>
      <c r="DA348" t="str">
        <f>INDEX('Data_Price '!AJ$2:AJ$1266,MATCH(Data!$DN348,'Data_Price '!$AT$2:$AT$1266,0))</f>
        <v>https://tinyurl.com/ybydhwem</v>
      </c>
      <c r="DB348" t="str">
        <f>INDEX('Data_Price '!AK$2:AK$1266,MATCH(Data!$DN348,'Data_Price '!$AT$2:$AT$1266,0))</f>
        <v>Rossignol Experience 76 Skis w/ Look Xpress 10 GW Bindings</v>
      </c>
      <c r="DC348" t="str">
        <f>INDEX('Data_Price '!AL$2:AL$1266,MATCH(Data!$DN348,'Data_Price '!$AT$2:$AT$1266,0))</f>
        <v>The-House.com</v>
      </c>
      <c r="DD348">
        <f>INDEX('Data_Price '!AM$2:AM$1266,MATCH(Data!$DN348,'Data_Price '!$AT$2:$AT$1266,0))</f>
        <v>319.95</v>
      </c>
      <c r="DE348" t="str">
        <f>INDEX('Data_Price '!AN$2:AN$1266,MATCH(Data!$DN348,'Data_Price '!$AT$2:$AT$1266,0))</f>
        <v>https://tinyurl.com/y8yebqqo</v>
      </c>
      <c r="DF348" t="str">
        <f>INDEX('Data_Price '!AO$2:AO$1266,MATCH(Data!$DN348,'Data_Price '!$AT$2:$AT$1266,0))</f>
        <v>Rossignol Blackops Smasher Skis w/ Look Xpress 10 GW Bindings</v>
      </c>
      <c r="DG348" t="str">
        <f>INDEX('Data_Price '!AP$2:AP$1266,MATCH(Data!$DN348,'Data_Price '!$AT$2:$AT$1266,0))</f>
        <v>sunandski.com</v>
      </c>
      <c r="DH348">
        <f>INDEX('Data_Price '!AQ$2:AQ$1266,MATCH(Data!$DN348,'Data_Price '!$AT$2:$AT$1266,0))</f>
        <v>359.93</v>
      </c>
      <c r="DI348" t="str">
        <f>INDEX('Data_Price '!AR$2:AR$1266,MATCH(Data!$DN348,'Data_Price '!$AT$2:$AT$1266,0))</f>
        <v>https://tinyurl.com/ydg9xnd4</v>
      </c>
      <c r="DJ348" s="89" t="str">
        <f t="shared" si="217"/>
        <v>https://tinyurl.com/ybydhwem</v>
      </c>
      <c r="DK348" s="89" t="str">
        <f t="shared" si="218"/>
        <v>https://tinyurl.com/y8yebqqo</v>
      </c>
      <c r="DL348" s="89" t="str">
        <f t="shared" si="219"/>
        <v>https://tinyurl.com/ydg9xnd4</v>
      </c>
      <c r="DM348" s="219" t="str">
        <f t="shared" si="220"/>
        <v>Nova 10 Ti</v>
      </c>
      <c r="DN348" s="89" t="str">
        <f t="shared" si="221"/>
        <v xml:space="preserve"> RossignolNova 10 Ti160 Women's</v>
      </c>
      <c r="DO348" s="221"/>
    </row>
    <row r="349" spans="2:119" ht="15.6" customHeight="1">
      <c r="B349" s="219" t="b">
        <f t="array" ref="B349">IF(OR(ISERROR(K349:P349)),FALSE,TRUE)</f>
        <v>1</v>
      </c>
      <c r="C349" s="43" t="b">
        <f>OR(BR349=Driver!$G$50,Data!BR446=Driver!$H$50)</f>
        <v>1</v>
      </c>
      <c r="D349" s="43" t="b">
        <f>OR(BV349=Driver!$G$51,BV349=Driver!$H$51)</f>
        <v>1</v>
      </c>
      <c r="E349" s="43" t="b">
        <f>AND(BX349&gt;Driver!$F$54,BX349&lt;Driver!$G$54)</f>
        <v>0</v>
      </c>
      <c r="F349" s="43" t="b">
        <f>CL349&gt;Driver!$F$56</f>
        <v>1</v>
      </c>
      <c r="G349" s="43" t="b">
        <f>AND(CB349&gt;Driver!$F$55,CB349&lt;Driver!$G$55)</f>
        <v>1</v>
      </c>
      <c r="H349" s="43" t="b">
        <f t="shared" si="185"/>
        <v>0</v>
      </c>
      <c r="I349" s="43">
        <f t="shared" si="186"/>
        <v>0</v>
      </c>
      <c r="J349" s="43" t="b">
        <f t="array" ref="J349">NOT(OR(($H$9:$H$1273=TRUE)*($I$9:$I$1273&gt;0)*($BT$9:$BT$1273=BT349)*($K$9:$K$1273&gt;K349)))</f>
        <v>1</v>
      </c>
      <c r="K349" s="72">
        <f t="shared" si="187"/>
        <v>0.76304569781997511</v>
      </c>
      <c r="L349" s="72">
        <f t="shared" si="188"/>
        <v>0.79978382794356584</v>
      </c>
      <c r="M349" s="72">
        <f t="shared" si="189"/>
        <v>0.72630756769638449</v>
      </c>
      <c r="N349" s="72">
        <f t="shared" si="190"/>
        <v>0.64427930232055508</v>
      </c>
      <c r="O349" s="72">
        <f t="shared" si="191"/>
        <v>0.64365928560354502</v>
      </c>
      <c r="P349" s="72">
        <f t="shared" si="192"/>
        <v>0.89098411516505338</v>
      </c>
      <c r="Q349" s="72"/>
      <c r="R349" s="72"/>
      <c r="S349" s="72">
        <f t="shared" si="193"/>
        <v>0.48340586436224375</v>
      </c>
      <c r="T349" s="72">
        <f t="shared" si="194"/>
        <v>0.50007322783115637</v>
      </c>
      <c r="U349" s="72">
        <f t="shared" si="195"/>
        <v>0.60115069571848945</v>
      </c>
      <c r="V349" s="72">
        <f t="shared" si="196"/>
        <v>0.55740115251707301</v>
      </c>
      <c r="W349" s="72">
        <f t="shared" si="197"/>
        <v>0.77275223061084419</v>
      </c>
      <c r="X349" s="72">
        <f t="shared" si="198"/>
        <v>0.20021617205643416</v>
      </c>
      <c r="Y349" s="72">
        <f t="shared" si="199"/>
        <v>0.27369243230361551</v>
      </c>
      <c r="Z349" s="72">
        <f t="shared" si="200"/>
        <v>0.35572069767944492</v>
      </c>
      <c r="AA349" s="72">
        <f t="shared" si="201"/>
        <v>0.35634071439645493</v>
      </c>
      <c r="AB349" s="72">
        <f t="shared" si="202"/>
        <v>0.10901588483494662</v>
      </c>
      <c r="AC349" s="72"/>
      <c r="AD349" s="72"/>
      <c r="AE349" s="72">
        <f t="shared" si="203"/>
        <v>0.51659413563775625</v>
      </c>
      <c r="AF349" s="72">
        <f t="shared" si="204"/>
        <v>0.49992677216884363</v>
      </c>
      <c r="AG349" s="72">
        <f t="shared" si="205"/>
        <v>0.39884930428151055</v>
      </c>
      <c r="AH349" s="72">
        <f t="shared" si="206"/>
        <v>0.44259884748292699</v>
      </c>
      <c r="AI349" s="72">
        <f t="shared" si="207"/>
        <v>0.22724776938915581</v>
      </c>
      <c r="AJ349" s="72">
        <f>(AV349-Driver!$K$179)/(Driver!$L$179-Driver!$K$179)</f>
        <v>0.45443558133913459</v>
      </c>
      <c r="AK349" s="72">
        <f>(AW349-Driver!$K$180)/(Driver!$L$180-Driver!$K$180)</f>
        <v>0.37411926859412897</v>
      </c>
      <c r="AL349" s="72">
        <f>(AX349-Driver!$K$181)/(Driver!$L$181-Driver!$K$181)</f>
        <v>0.45740846139252511</v>
      </c>
      <c r="AM349" s="72">
        <f>(AY349-Driver!$K$182)/(Driver!$L$182-Driver!$K$182)</f>
        <v>9.1044306700591451E-2</v>
      </c>
      <c r="AN349" s="72">
        <f>(AZ349-Driver!$K$183)/(Driver!$L$183-Driver!$K$183)</f>
        <v>0.36323529411764705</v>
      </c>
      <c r="AO349" s="72"/>
      <c r="AP349" s="72"/>
      <c r="AQ349" s="72">
        <f>(BC349-Driver!$K$188)/(Driver!$L$188-Driver!$K$188)</f>
        <v>0.10340586436224379</v>
      </c>
      <c r="AR349" s="72">
        <f>MIN((BD349-Driver!$K$189)/(Driver!$L$189-Driver!$K$189),100%)</f>
        <v>5.007322783115644E-2</v>
      </c>
      <c r="AS349" s="72">
        <f>(BE349-Driver!$K$190)/(Driver!$L$190-Driver!$K$190)</f>
        <v>0.11115069571848946</v>
      </c>
      <c r="AT349" s="72">
        <f>(BF349-Driver!$K$191)/(Driver!$L$191-Driver!$K$191)</f>
        <v>6.7401152517072987E-2</v>
      </c>
      <c r="AU349" s="72">
        <f>(BG349-Driver!$K$192)/(Driver!$L$192-Driver!$K$192)</f>
        <v>2.27522306108442E-2</v>
      </c>
      <c r="AV349" s="70">
        <f t="shared" si="208"/>
        <v>9.5645095645095637</v>
      </c>
      <c r="AW349" s="70">
        <f t="shared" si="209"/>
        <v>38.333130379908937</v>
      </c>
      <c r="AX349" s="70">
        <f t="shared" si="210"/>
        <v>5.116676152532726</v>
      </c>
      <c r="AY349" s="70">
        <f>IFERROR(Driver!$K$19/Data!BH349/Data!BI349*Data!BK349*Data!BL349,"")</f>
        <v>0.11146539640078282</v>
      </c>
      <c r="AZ349" s="70">
        <f t="shared" si="211"/>
        <v>33.104988830975429</v>
      </c>
      <c r="BA349" s="70"/>
      <c r="BB349" s="70"/>
      <c r="BC349" s="70">
        <f t="shared" si="212"/>
        <v>53.637340710602324</v>
      </c>
      <c r="BD349" s="70">
        <f t="shared" si="213"/>
        <v>6.15221482264546</v>
      </c>
      <c r="BE349" s="70">
        <f t="shared" si="214"/>
        <v>0.11130925642994821</v>
      </c>
      <c r="BF349" s="70">
        <f t="shared" si="215"/>
        <v>7.6124866569076035</v>
      </c>
      <c r="BG349" s="70">
        <f t="shared" si="216"/>
        <v>8.6154459446666512E-2</v>
      </c>
      <c r="BH349" s="67">
        <f>MAX((CE349-Driver!$F$200)/(Driver!$G$200-Driver!$F$200)*$BI$1,1)</f>
        <v>5.116676152532726</v>
      </c>
      <c r="BI349" s="67">
        <f>MAX($BI$1*(BY349-Driver!$F$201)/(Driver!$G$201-Driver!$F$201),1)</f>
        <v>7.4050632911392409</v>
      </c>
      <c r="BJ349" s="67">
        <f>(CB349-Driver!$F$206)/(Driver!$G$206-Driver!$F$206)*$BI$1</f>
        <v>6.3492063492063489</v>
      </c>
      <c r="BK349" s="67">
        <f>(CD349-Driver!$F$203)/(Driver!$G$203-Driver!$F$203)*$BI$1</f>
        <v>4.0825688073394497</v>
      </c>
      <c r="BL349" s="67">
        <f>MAX((CR349-Driver!$F$202)/(Driver!$G$202-Driver!$F$202)*$BI$1,1)</f>
        <v>5.1724137931034484</v>
      </c>
      <c r="BM349" s="67">
        <f>MAX((CH349-Driver!$F$204)/(Driver!$G$204-Driver!$F$204)*$BI$1,1)</f>
        <v>6.0256410256410255</v>
      </c>
      <c r="BN349" s="67">
        <f>(CI349-Driver!$F$205)/(Driver!$G$205-Driver!$F$205)*$BI$1</f>
        <v>4.4705882352941178</v>
      </c>
      <c r="BO349" s="67">
        <f>(CK349-Driver!$F$207)/(Driver!$G$207-Driver!$F$207)*$BI$1</f>
        <v>2.0682523267838677</v>
      </c>
      <c r="BP349" s="67">
        <f>(CM349-Driver!$F$208)/(Driver!$G$208-Driver!$F$208)*$BI$1</f>
        <v>2.3666666666666667</v>
      </c>
      <c r="BQ349" s="67">
        <f>(CL349-Driver!$F$209)/(Driver!$G$209-Driver!$F$209)*$BI$1</f>
        <v>2.65625</v>
      </c>
      <c r="BR349" s="28" t="s">
        <v>155</v>
      </c>
      <c r="BS349" s="8" t="s">
        <v>164</v>
      </c>
      <c r="BT349" s="9" t="s">
        <v>313</v>
      </c>
      <c r="BU349" s="10">
        <v>180</v>
      </c>
      <c r="BV349" s="9" t="s">
        <v>158</v>
      </c>
      <c r="BW349" s="10">
        <v>180</v>
      </c>
      <c r="BX349" s="10">
        <v>177.3</v>
      </c>
      <c r="BY349" s="10">
        <v>125</v>
      </c>
      <c r="BZ349" s="10">
        <v>142</v>
      </c>
      <c r="CA349" s="10">
        <v>143</v>
      </c>
      <c r="CB349" s="10">
        <v>104</v>
      </c>
      <c r="CC349" s="10">
        <v>119</v>
      </c>
      <c r="CD349" s="10">
        <v>18.3</v>
      </c>
      <c r="CE349" s="10">
        <v>1799</v>
      </c>
      <c r="CF349" s="10">
        <v>1.1399999999999999</v>
      </c>
      <c r="CG349" s="10">
        <v>2050</v>
      </c>
      <c r="CH349" s="10">
        <v>242</v>
      </c>
      <c r="CI349" s="10">
        <v>109</v>
      </c>
      <c r="CJ349" s="10">
        <v>52</v>
      </c>
      <c r="CK349" s="10">
        <v>310</v>
      </c>
      <c r="CL349" s="10">
        <v>17</v>
      </c>
      <c r="CM349" s="10">
        <v>213</v>
      </c>
      <c r="CN349" s="10">
        <v>0.32400000000000001</v>
      </c>
      <c r="CO349" s="10">
        <v>176</v>
      </c>
      <c r="CP349" s="10">
        <v>180</v>
      </c>
      <c r="CQ349" s="10">
        <v>134</v>
      </c>
      <c r="CR349" s="10">
        <v>4</v>
      </c>
      <c r="CS349" s="10">
        <v>10</v>
      </c>
      <c r="CT349" s="9" t="s">
        <v>188</v>
      </c>
      <c r="CU349" s="9" t="s">
        <v>178</v>
      </c>
      <c r="CV349" s="9" t="s">
        <v>185</v>
      </c>
      <c r="CW349" s="10"/>
      <c r="CX349" t="str">
        <f>INDEX('Data_Price '!AG$2:AG$1266,MATCH(Data!$DN349,'Data_Price '!$AT$2:$AT$1266,0))</f>
        <v>Elan Ripstick 106 Skis</v>
      </c>
      <c r="CY349" t="str">
        <f>INDEX('Data_Price '!AH$2:AH$1266,MATCH(Data!$DN349,'Data_Price '!$AT$2:$AT$1266,0))</f>
        <v>Gorham Bike and Ski</v>
      </c>
      <c r="CZ349">
        <f>INDEX('Data_Price '!AI$2:AI$1266,MATCH(Data!$DN349,'Data_Price '!$AT$2:$AT$1266,0))</f>
        <v>489.99</v>
      </c>
      <c r="DA349" t="str">
        <f>INDEX('Data_Price '!AJ$2:AJ$1266,MATCH(Data!$DN349,'Data_Price '!$AT$2:$AT$1266,0))</f>
        <v>https://tinyurl.com/y7lehd5y</v>
      </c>
      <c r="DB349" t="str">
        <f>INDEX('Data_Price '!AK$2:AK$1266,MATCH(Data!$DN349,'Data_Price '!$AT$2:$AT$1266,0))</f>
        <v>Elan Ripstick 106 Flat Ski 2020-2021 | BLUE YEL / 180</v>
      </c>
      <c r="DC349" t="str">
        <f>INDEX('Data_Price '!AL$2:AL$1266,MATCH(Data!$DN349,'Data_Price '!$AT$2:$AT$1266,0))</f>
        <v>Ski Pro  - Snow Ski &amp; Snowboard</v>
      </c>
      <c r="DD349">
        <f>INDEX('Data_Price '!AM$2:AM$1266,MATCH(Data!$DN349,'Data_Price '!$AT$2:$AT$1266,0))</f>
        <v>499.95</v>
      </c>
      <c r="DE349" t="str">
        <f>INDEX('Data_Price '!AN$2:AN$1266,MATCH(Data!$DN349,'Data_Price '!$AT$2:$AT$1266,0))</f>
        <v>https://tinyurl.com/ybr8pubu</v>
      </c>
      <c r="DF349" t="str">
        <f>INDEX('Data_Price '!AO$2:AO$1266,MATCH(Data!$DN349,'Data_Price '!$AT$2:$AT$1266,0))</f>
        <v>Elan Ripstick 106 - Ski - 2022 180</v>
      </c>
      <c r="DG349" t="str">
        <f>INDEX('Data_Price '!AP$2:AP$1266,MATCH(Data!$DN349,'Data_Price '!$AT$2:$AT$1266,0))</f>
        <v>AJ Motion Sports</v>
      </c>
      <c r="DH349">
        <f>INDEX('Data_Price '!AQ$2:AQ$1266,MATCH(Data!$DN349,'Data_Price '!$AT$2:$AT$1266,0))</f>
        <v>524.99</v>
      </c>
      <c r="DI349" t="str">
        <f>INDEX('Data_Price '!AR$2:AR$1266,MATCH(Data!$DN349,'Data_Price '!$AT$2:$AT$1266,0))</f>
        <v>https://tinyurl.com/y7zlzslt</v>
      </c>
      <c r="DJ349" s="89" t="str">
        <f t="shared" si="217"/>
        <v>https://tinyurl.com/y7lehd5y</v>
      </c>
      <c r="DK349" s="89" t="str">
        <f t="shared" si="218"/>
        <v>https://tinyurl.com/ybr8pubu</v>
      </c>
      <c r="DL349" s="89" t="str">
        <f t="shared" si="219"/>
        <v>https://tinyurl.com/y7zlzslt</v>
      </c>
      <c r="DM349" s="219" t="str">
        <f t="shared" si="220"/>
        <v>Ripstick 106</v>
      </c>
      <c r="DN349" s="89" t="str">
        <f t="shared" si="221"/>
        <v xml:space="preserve"> ElanRipstick 106180 Unisex</v>
      </c>
      <c r="DO349" s="221" t="s">
        <v>314</v>
      </c>
    </row>
    <row r="350" spans="2:119" ht="15.6" customHeight="1">
      <c r="B350" s="219" t="b">
        <f t="array" ref="B350">IF(OR(ISERROR(K350:P350)),FALSE,TRUE)</f>
        <v>1</v>
      </c>
      <c r="C350" s="43" t="b">
        <f>OR(BR350=Driver!$G$50,Data!BR247=Driver!$H$50)</f>
        <v>1</v>
      </c>
      <c r="D350" s="43" t="b">
        <f>OR(BV350=Driver!$G$51,BV350=Driver!$H$51)</f>
        <v>1</v>
      </c>
      <c r="E350" s="43" t="b">
        <f>AND(BX350&gt;Driver!$F$54,BX350&lt;Driver!$G$54)</f>
        <v>0</v>
      </c>
      <c r="F350" s="43" t="b">
        <f>CL350&gt;Driver!$F$56</f>
        <v>1</v>
      </c>
      <c r="G350" s="43" t="b">
        <f>AND(CB350&gt;Driver!$F$55,CB350&lt;Driver!$G$55)</f>
        <v>1</v>
      </c>
      <c r="H350" s="43" t="b">
        <f t="shared" si="185"/>
        <v>0</v>
      </c>
      <c r="I350" s="43">
        <f t="shared" si="186"/>
        <v>1</v>
      </c>
      <c r="J350" s="43" t="b">
        <f t="array" ref="J350">NOT(OR(($H$9:$H$1273=TRUE)*($I$9:$I$1273&gt;0)*($BT$9:$BT$1273=BT350)*($K$9:$K$1273&gt;K350)))</f>
        <v>1</v>
      </c>
      <c r="K350" s="72">
        <f t="shared" si="187"/>
        <v>0.86890401421388452</v>
      </c>
      <c r="L350" s="72">
        <f t="shared" si="188"/>
        <v>0.98711764471900687</v>
      </c>
      <c r="M350" s="72">
        <f t="shared" si="189"/>
        <v>0.75069038370876207</v>
      </c>
      <c r="N350" s="72">
        <f t="shared" si="190"/>
        <v>0.62973430769587913</v>
      </c>
      <c r="O350" s="72">
        <f t="shared" si="191"/>
        <v>0.64436671022944747</v>
      </c>
      <c r="P350" s="72">
        <f t="shared" si="192"/>
        <v>0.9779701332009596</v>
      </c>
      <c r="Q350" s="72"/>
      <c r="R350" s="72"/>
      <c r="S350" s="72">
        <f t="shared" si="193"/>
        <v>0.43716379620086721</v>
      </c>
      <c r="T350" s="72">
        <f t="shared" si="194"/>
        <v>0.49250238764304488</v>
      </c>
      <c r="U350" s="72">
        <f t="shared" si="195"/>
        <v>0.59029777708227071</v>
      </c>
      <c r="V350" s="72">
        <f t="shared" si="196"/>
        <v>0.55369730554760599</v>
      </c>
      <c r="W350" s="72">
        <f t="shared" si="197"/>
        <v>0.79762409085109098</v>
      </c>
      <c r="X350" s="72">
        <f t="shared" si="198"/>
        <v>1.2882355280993074E-2</v>
      </c>
      <c r="Y350" s="72">
        <f t="shared" si="199"/>
        <v>0.24930961629123791</v>
      </c>
      <c r="Z350" s="72">
        <f t="shared" si="200"/>
        <v>0.37026569230412087</v>
      </c>
      <c r="AA350" s="72">
        <f t="shared" si="201"/>
        <v>0.35563328977055253</v>
      </c>
      <c r="AB350" s="72">
        <f t="shared" si="202"/>
        <v>2.2029866799040343E-2</v>
      </c>
      <c r="AC350" s="72"/>
      <c r="AD350" s="72"/>
      <c r="AE350" s="72">
        <f t="shared" si="203"/>
        <v>0.56283620379913279</v>
      </c>
      <c r="AF350" s="72">
        <f t="shared" si="204"/>
        <v>0.50749761235695512</v>
      </c>
      <c r="AG350" s="72">
        <f t="shared" si="205"/>
        <v>0.40970222291772929</v>
      </c>
      <c r="AH350" s="72">
        <f t="shared" si="206"/>
        <v>0.44630269445239401</v>
      </c>
      <c r="AI350" s="72">
        <f t="shared" si="207"/>
        <v>0.20237590914890902</v>
      </c>
      <c r="AJ350" s="72">
        <f>(AV350-Driver!$K$179)/(Driver!$L$179-Driver!$K$179)</f>
        <v>0.2671017645636935</v>
      </c>
      <c r="AK350" s="72">
        <f>(AW350-Driver!$K$180)/(Driver!$L$180-Driver!$K$180)</f>
        <v>0.25292311345937352</v>
      </c>
      <c r="AL350" s="72">
        <f>(AX350-Driver!$K$181)/(Driver!$L$181-Driver!$K$181)</f>
        <v>0.47195345601720107</v>
      </c>
      <c r="AM350" s="72">
        <f>(AY350-Driver!$K$182)/(Driver!$L$182-Driver!$K$182)</f>
        <v>9.1751731326493807E-2</v>
      </c>
      <c r="AN350" s="72">
        <f>(AZ350-Driver!$K$183)/(Driver!$L$183-Driver!$K$183)</f>
        <v>0.23218954248366008</v>
      </c>
      <c r="AO350" s="72"/>
      <c r="AP350" s="72"/>
      <c r="AQ350" s="72">
        <f>(BC350-Driver!$K$188)/(Driver!$L$188-Driver!$K$188)</f>
        <v>5.7163796200867235E-2</v>
      </c>
      <c r="AR350" s="72">
        <f>MIN((BD350-Driver!$K$189)/(Driver!$L$189-Driver!$K$189),100%)</f>
        <v>4.2502387643044925E-2</v>
      </c>
      <c r="AS350" s="72">
        <f>(BE350-Driver!$K$190)/(Driver!$L$190-Driver!$K$190)</f>
        <v>0.10029777708227075</v>
      </c>
      <c r="AT350" s="72">
        <f>(BF350-Driver!$K$191)/(Driver!$L$191-Driver!$K$191)</f>
        <v>6.3697305547606026E-2</v>
      </c>
      <c r="AU350" s="72">
        <f>(BG350-Driver!$K$192)/(Driver!$L$192-Driver!$K$192)</f>
        <v>4.7624090851090969E-2</v>
      </c>
      <c r="AV350" s="70">
        <f t="shared" si="208"/>
        <v>5.6216931216931219</v>
      </c>
      <c r="AW350" s="70">
        <f t="shared" si="209"/>
        <v>26.521491154845652</v>
      </c>
      <c r="AX350" s="70">
        <f t="shared" si="210"/>
        <v>5.2475811041548095</v>
      </c>
      <c r="AY350" s="70">
        <f>IFERROR(Driver!$K$19/Data!BH350/Data!BI350*Data!BK350*Data!BL350,"")</f>
        <v>0.11233149521802352</v>
      </c>
      <c r="AZ350" s="70">
        <f t="shared" si="211"/>
        <v>21.161578555472818</v>
      </c>
      <c r="BA350" s="70"/>
      <c r="BB350" s="70"/>
      <c r="BC350" s="70">
        <f t="shared" si="212"/>
        <v>29.651258485653834</v>
      </c>
      <c r="BD350" s="70">
        <f t="shared" si="213"/>
        <v>5.482208880732613</v>
      </c>
      <c r="BE350" s="70">
        <f t="shared" si="214"/>
        <v>0.10045827383225941</v>
      </c>
      <c r="BF350" s="70">
        <f t="shared" si="215"/>
        <v>7.1941631627039557</v>
      </c>
      <c r="BG350" s="70">
        <f t="shared" si="216"/>
        <v>0.18033518884777336</v>
      </c>
      <c r="BH350" s="67">
        <f>MAX((CE350-Driver!$F$200)/(Driver!$G$200-Driver!$F$200)*$BI$1,1)</f>
        <v>5.2475811041548095</v>
      </c>
      <c r="BI350" s="67">
        <f>MAX($BI$1*(BY350-Driver!$F$201)/(Driver!$G$201-Driver!$F$201),1)</f>
        <v>7.3417721518987342</v>
      </c>
      <c r="BJ350" s="67">
        <f>(CB350-Driver!$F$206)/(Driver!$G$206-Driver!$F$206)*$BI$1</f>
        <v>6.1904761904761907</v>
      </c>
      <c r="BK350" s="67">
        <f>(CD350-Driver!$F$203)/(Driver!$G$203-Driver!$F$203)*$BI$1</f>
        <v>3.4862385321100922</v>
      </c>
      <c r="BL350" s="67">
        <f>MAX((CR350-Driver!$F$202)/(Driver!$G$202-Driver!$F$202)*$BI$1,1)</f>
        <v>6.2068965517241379</v>
      </c>
      <c r="BM350" s="67">
        <f>MAX((CH350-Driver!$F$204)/(Driver!$G$204-Driver!$F$204)*$BI$1,1)</f>
        <v>3.6324786324786325</v>
      </c>
      <c r="BN350" s="67">
        <f>(CI350-Driver!$F$205)/(Driver!$G$205-Driver!$F$205)*$BI$1</f>
        <v>2.8823529411764701</v>
      </c>
      <c r="BO350" s="67">
        <f>(CK350-Driver!$F$207)/(Driver!$G$207-Driver!$F$207)*$BI$1</f>
        <v>1.7786970010341261</v>
      </c>
      <c r="BP350" s="67">
        <f>(CM350-Driver!$F$208)/(Driver!$G$208-Driver!$F$208)*$BI$1</f>
        <v>2.2777777777777777</v>
      </c>
      <c r="BQ350" s="67">
        <f>(CL350-Driver!$F$209)/(Driver!$G$209-Driver!$F$209)*$BI$1</f>
        <v>3.4375</v>
      </c>
      <c r="BR350" s="28" t="s">
        <v>155</v>
      </c>
      <c r="BS350" s="8" t="s">
        <v>354</v>
      </c>
      <c r="BT350" s="9" t="s">
        <v>500</v>
      </c>
      <c r="BU350" s="10">
        <v>172</v>
      </c>
      <c r="BV350" s="9" t="s">
        <v>158</v>
      </c>
      <c r="BW350" s="10">
        <v>172</v>
      </c>
      <c r="BX350" s="10">
        <v>172.7</v>
      </c>
      <c r="BY350" s="10">
        <v>124</v>
      </c>
      <c r="BZ350" s="10">
        <v>135</v>
      </c>
      <c r="CA350" s="10">
        <v>134</v>
      </c>
      <c r="CB350" s="10">
        <v>103</v>
      </c>
      <c r="CC350" s="10">
        <v>122</v>
      </c>
      <c r="CD350" s="10">
        <v>17</v>
      </c>
      <c r="CE350" s="10">
        <v>1822</v>
      </c>
      <c r="CF350" s="10">
        <v>1.07</v>
      </c>
      <c r="CG350" s="10">
        <v>1948</v>
      </c>
      <c r="CH350" s="10">
        <v>186</v>
      </c>
      <c r="CI350" s="10">
        <v>82</v>
      </c>
      <c r="CJ350" s="10">
        <v>40</v>
      </c>
      <c r="CK350" s="10">
        <v>282</v>
      </c>
      <c r="CL350" s="10">
        <v>22</v>
      </c>
      <c r="CM350" s="10">
        <v>205</v>
      </c>
      <c r="CN350" s="10">
        <v>0.55400000000000005</v>
      </c>
      <c r="CO350" s="10">
        <v>232</v>
      </c>
      <c r="CP350" s="10">
        <v>147</v>
      </c>
      <c r="CQ350" s="10">
        <v>50</v>
      </c>
      <c r="CR350" s="10">
        <v>7</v>
      </c>
      <c r="CS350" s="10">
        <v>8.9</v>
      </c>
      <c r="CT350" s="9" t="s">
        <v>188</v>
      </c>
      <c r="CU350" s="9" t="s">
        <v>169</v>
      </c>
      <c r="CV350" s="9" t="s">
        <v>185</v>
      </c>
      <c r="CW350" s="10"/>
      <c r="CX350" t="str">
        <f>INDEX('Data_Price '!AG$2:AG$1266,MATCH(Data!$DN350,'Data_Price '!$AT$2:$AT$1266,0))</f>
        <v>Black Diamond Impulse 104 Skis</v>
      </c>
      <c r="CY350" t="str">
        <f>INDEX('Data_Price '!AH$2:AH$1266,MATCH(Data!$DN350,'Data_Price '!$AT$2:$AT$1266,0))</f>
        <v>Telemark Pyrenees</v>
      </c>
      <c r="CZ350">
        <f>INDEX('Data_Price '!AI$2:AI$1266,MATCH(Data!$DN350,'Data_Price '!$AT$2:$AT$1266,0))</f>
        <v>439.98</v>
      </c>
      <c r="DA350" t="str">
        <f>INDEX('Data_Price '!AJ$2:AJ$1266,MATCH(Data!$DN350,'Data_Price '!$AT$2:$AT$1266,0))</f>
        <v>https://tinyurl.com/y8xb3gog</v>
      </c>
      <c r="DB350" t="str">
        <f>INDEX('Data_Price '!AK$2:AK$1266,MATCH(Data!$DN350,'Data_Price '!$AT$2:$AT$1266,0))</f>
        <v>Black Diamond Impulse 104 Skis</v>
      </c>
      <c r="DC350" t="str">
        <f>INDEX('Data_Price '!AL$2:AL$1266,MATCH(Data!$DN350,'Data_Price '!$AT$2:$AT$1266,0))</f>
        <v>Snowcountry.eu</v>
      </c>
      <c r="DD350">
        <f>INDEX('Data_Price '!AM$2:AM$1266,MATCH(Data!$DN350,'Data_Price '!$AT$2:$AT$1266,0))</f>
        <v>479.47</v>
      </c>
      <c r="DE350" t="str">
        <f>INDEX('Data_Price '!AN$2:AN$1266,MATCH(Data!$DN350,'Data_Price '!$AT$2:$AT$1266,0))</f>
        <v>https://tinyurl.com/y952ycc5</v>
      </c>
      <c r="DF350" t="str">
        <f>INDEX('Data_Price '!AO$2:AO$1266,MATCH(Data!$DN350,'Data_Price '!$AT$2:$AT$1266,0))</f>
        <v>Black Diamond Impulse 104 Skis</v>
      </c>
      <c r="DG350" t="str">
        <f>INDEX('Data_Price '!AP$2:AP$1266,MATCH(Data!$DN350,'Data_Price '!$AT$2:$AT$1266,0))</f>
        <v>Bobleisure</v>
      </c>
      <c r="DH350">
        <f>INDEX('Data_Price '!AQ$2:AQ$1266,MATCH(Data!$DN350,'Data_Price '!$AT$2:$AT$1266,0))</f>
        <v>574.24</v>
      </c>
      <c r="DI350" t="str">
        <f>INDEX('Data_Price '!AR$2:AR$1266,MATCH(Data!$DN350,'Data_Price '!$AT$2:$AT$1266,0))</f>
        <v>https://tinyurl.com/yb3c2wlt</v>
      </c>
      <c r="DJ350" s="89" t="str">
        <f t="shared" si="217"/>
        <v>https://tinyurl.com/y8xb3gog</v>
      </c>
      <c r="DK350" s="89" t="str">
        <f t="shared" si="218"/>
        <v>https://tinyurl.com/y952ycc5</v>
      </c>
      <c r="DL350" s="89" t="str">
        <f t="shared" si="219"/>
        <v>https://tinyurl.com/yb3c2wlt</v>
      </c>
      <c r="DM350" s="219" t="str">
        <f t="shared" si="220"/>
        <v>Impulse 104</v>
      </c>
      <c r="DN350" s="89" t="str">
        <f t="shared" si="221"/>
        <v xml:space="preserve"> Black DiamondImpulse 104172 Unisex</v>
      </c>
      <c r="DO350" s="221" t="s">
        <v>501</v>
      </c>
    </row>
    <row r="351" spans="2:119" ht="15.6" customHeight="1">
      <c r="B351" s="219" t="b">
        <f t="array" ref="B351">IF(OR(ISERROR(K351:P351)),FALSE,TRUE)</f>
        <v>1</v>
      </c>
      <c r="C351" s="43" t="b">
        <f>OR(BR351=Driver!$G$50,Data!BR388=Driver!$H$50)</f>
        <v>1</v>
      </c>
      <c r="D351" s="43" t="b">
        <f>OR(BV351=Driver!$G$51,BV351=Driver!$H$51)</f>
        <v>1</v>
      </c>
      <c r="E351" s="43" t="b">
        <f>AND(BX351&gt;Driver!$F$54,BX351&lt;Driver!$G$54)</f>
        <v>0</v>
      </c>
      <c r="F351" s="43" t="b">
        <f>CL351&gt;Driver!$F$56</f>
        <v>1</v>
      </c>
      <c r="G351" s="43" t="b">
        <f>AND(CB351&gt;Driver!$F$55,CB351&lt;Driver!$G$55)</f>
        <v>0</v>
      </c>
      <c r="H351" s="43" t="b">
        <f t="shared" si="185"/>
        <v>0</v>
      </c>
      <c r="I351" s="43">
        <f t="shared" si="186"/>
        <v>0</v>
      </c>
      <c r="J351" s="43" t="b">
        <f t="array" ref="J351">NOT(OR(($H$9:$H$1273=TRUE)*($I$9:$I$1273&gt;0)*($BT$9:$BT$1273=BT351)*($K$9:$K$1273&gt;K351)))</f>
        <v>1</v>
      </c>
      <c r="K351" s="72">
        <f t="shared" si="187"/>
        <v>0.79142569175363242</v>
      </c>
      <c r="L351" s="72">
        <f t="shared" si="188"/>
        <v>0.8906709442113927</v>
      </c>
      <c r="M351" s="72">
        <f t="shared" si="189"/>
        <v>0.69218043929587214</v>
      </c>
      <c r="N351" s="72">
        <f t="shared" si="190"/>
        <v>0.51780108819293857</v>
      </c>
      <c r="O351" s="72">
        <f t="shared" si="191"/>
        <v>0.64863846747080067</v>
      </c>
      <c r="P351" s="72">
        <f t="shared" si="192"/>
        <v>0.91010176222387695</v>
      </c>
      <c r="Q351" s="72"/>
      <c r="R351" s="72"/>
      <c r="S351" s="72">
        <f t="shared" si="193"/>
        <v>0.48460392940234565</v>
      </c>
      <c r="T351" s="72">
        <f t="shared" si="194"/>
        <v>0.56402946294310241</v>
      </c>
      <c r="U351" s="72">
        <f t="shared" si="195"/>
        <v>0.50089419356901277</v>
      </c>
      <c r="V351" s="72">
        <f t="shared" si="196"/>
        <v>0.60694835957727222</v>
      </c>
      <c r="W351" s="72">
        <f t="shared" si="197"/>
        <v>0.81568834336824581</v>
      </c>
      <c r="X351" s="72">
        <f t="shared" si="198"/>
        <v>0.10932905578860724</v>
      </c>
      <c r="Y351" s="72">
        <f t="shared" si="199"/>
        <v>0.30781956070412791</v>
      </c>
      <c r="Z351" s="72">
        <f t="shared" si="200"/>
        <v>0.48219891180706143</v>
      </c>
      <c r="AA351" s="72">
        <f t="shared" si="201"/>
        <v>0.35136153252919933</v>
      </c>
      <c r="AB351" s="72">
        <f t="shared" si="202"/>
        <v>8.9898237776123102E-2</v>
      </c>
      <c r="AC351" s="72"/>
      <c r="AD351" s="72"/>
      <c r="AE351" s="72">
        <f t="shared" si="203"/>
        <v>0.51539607059765435</v>
      </c>
      <c r="AF351" s="72">
        <f t="shared" si="204"/>
        <v>0.43597053705689753</v>
      </c>
      <c r="AG351" s="72">
        <f t="shared" si="205"/>
        <v>0.49910580643098729</v>
      </c>
      <c r="AH351" s="72">
        <f t="shared" si="206"/>
        <v>0.39305164042272778</v>
      </c>
      <c r="AI351" s="72">
        <f t="shared" si="207"/>
        <v>0.18431165663175419</v>
      </c>
      <c r="AJ351" s="72">
        <f>(AV351-Driver!$K$179)/(Driver!$L$179-Driver!$K$179)</f>
        <v>0.36354846507130767</v>
      </c>
      <c r="AK351" s="72">
        <f>(AW351-Driver!$K$180)/(Driver!$L$180-Driver!$K$180)</f>
        <v>0.36798367562413092</v>
      </c>
      <c r="AL351" s="72">
        <f>(AX351-Driver!$K$181)/(Driver!$L$181-Driver!$K$181)</f>
        <v>0.58388667552014162</v>
      </c>
      <c r="AM351" s="72">
        <f>(AY351-Driver!$K$182)/(Driver!$L$182-Driver!$K$182)</f>
        <v>9.6023488567847065E-2</v>
      </c>
      <c r="AN351" s="72">
        <f>(AZ351-Driver!$K$183)/(Driver!$L$183-Driver!$K$183)</f>
        <v>0.34411764705882353</v>
      </c>
      <c r="AO351" s="72"/>
      <c r="AP351" s="72"/>
      <c r="AQ351" s="72">
        <f>(BC351-Driver!$K$188)/(Driver!$L$188-Driver!$K$188)</f>
        <v>0.10460392940234567</v>
      </c>
      <c r="AR351" s="72">
        <f>MIN((BD351-Driver!$K$189)/(Driver!$L$189-Driver!$K$189),100%)</f>
        <v>0.11402946294310252</v>
      </c>
      <c r="AS351" s="72">
        <f>(BE351-Driver!$K$190)/(Driver!$L$190-Driver!$K$190)</f>
        <v>1.0894193569012741E-2</v>
      </c>
      <c r="AT351" s="72">
        <f>(BF351-Driver!$K$191)/(Driver!$L$191-Driver!$K$191)</f>
        <v>0.11694835957727222</v>
      </c>
      <c r="AU351" s="72">
        <f>(BG351-Driver!$K$192)/(Driver!$L$192-Driver!$K$192)</f>
        <v>6.5688343368245791E-2</v>
      </c>
      <c r="AV351" s="70">
        <f t="shared" si="208"/>
        <v>7.6516076516076508</v>
      </c>
      <c r="AW351" s="70">
        <f t="shared" si="209"/>
        <v>37.735162478098253</v>
      </c>
      <c r="AX351" s="70">
        <f t="shared" si="210"/>
        <v>6.2549800796812747</v>
      </c>
      <c r="AY351" s="70">
        <f>IFERROR(Driver!$K$19/Data!BH351/Data!BI351*Data!BK351*Data!BL351,"")</f>
        <v>0.11756140065078421</v>
      </c>
      <c r="AZ351" s="70">
        <f t="shared" si="211"/>
        <v>31.362620997766196</v>
      </c>
      <c r="BA351" s="70"/>
      <c r="BB351" s="70"/>
      <c r="BC351" s="70">
        <f t="shared" si="212"/>
        <v>54.258785375716201</v>
      </c>
      <c r="BD351" s="70">
        <f t="shared" si="213"/>
        <v>11.812228306309789</v>
      </c>
      <c r="BE351" s="70">
        <f t="shared" si="214"/>
        <v>1.1070638912019967E-2</v>
      </c>
      <c r="BF351" s="70">
        <f t="shared" si="215"/>
        <v>13.208495605527053</v>
      </c>
      <c r="BG351" s="70">
        <f t="shared" si="216"/>
        <v>0.24873797262501693</v>
      </c>
      <c r="BH351" s="67">
        <f>MAX((CE351-Driver!$F$200)/(Driver!$G$200-Driver!$F$200)*$BI$1,1)</f>
        <v>6.2549800796812747</v>
      </c>
      <c r="BI351" s="67">
        <f>MAX($BI$1*(BY351-Driver!$F$201)/(Driver!$G$201-Driver!$F$201),1)</f>
        <v>6.5822784810126587</v>
      </c>
      <c r="BJ351" s="67">
        <f>(CB351-Driver!$F$206)/(Driver!$G$206-Driver!$F$206)*$BI$1</f>
        <v>5.0793650793650791</v>
      </c>
      <c r="BK351" s="67">
        <f>(CD351-Driver!$F$203)/(Driver!$G$203-Driver!$F$203)*$BI$1</f>
        <v>3.8990825688073394</v>
      </c>
      <c r="BL351" s="67">
        <f>MAX((CR351-Driver!$F$202)/(Driver!$G$202-Driver!$F$202)*$BI$1,1)</f>
        <v>6.2068965517241379</v>
      </c>
      <c r="BM351" s="67">
        <f>MAX((CH351-Driver!$F$204)/(Driver!$G$204-Driver!$F$204)*$BI$1,1)</f>
        <v>6.0256410256410255</v>
      </c>
      <c r="BN351" s="67">
        <f>(CI351-Driver!$F$205)/(Driver!$G$205-Driver!$F$205)*$BI$1</f>
        <v>4.7647058823529411</v>
      </c>
      <c r="BO351" s="67">
        <f>(CK351-Driver!$F$207)/(Driver!$G$207-Driver!$F$207)*$BI$1</f>
        <v>2.3888314374353672</v>
      </c>
      <c r="BP351" s="67">
        <f>(CM351-Driver!$F$208)/(Driver!$G$208-Driver!$F$208)*$BI$1</f>
        <v>4.2444444444444445</v>
      </c>
      <c r="BQ351" s="67">
        <f>(CL351-Driver!$F$209)/(Driver!$G$209-Driver!$F$209)*$BI$1</f>
        <v>9.375</v>
      </c>
      <c r="BR351" s="28" t="s">
        <v>155</v>
      </c>
      <c r="BS351" s="8" t="s">
        <v>202</v>
      </c>
      <c r="BT351" s="9" t="s">
        <v>340</v>
      </c>
      <c r="BU351" s="10">
        <v>185</v>
      </c>
      <c r="BV351" s="9" t="s">
        <v>158</v>
      </c>
      <c r="BW351" s="10">
        <v>185</v>
      </c>
      <c r="BX351" s="10">
        <v>184.2</v>
      </c>
      <c r="BY351" s="10">
        <v>112</v>
      </c>
      <c r="BZ351" s="10">
        <v>149</v>
      </c>
      <c r="CA351" s="10">
        <v>127</v>
      </c>
      <c r="CB351" s="10">
        <v>96</v>
      </c>
      <c r="CC351" s="10">
        <v>119</v>
      </c>
      <c r="CD351" s="10">
        <v>17.899999999999999</v>
      </c>
      <c r="CE351" s="10">
        <v>1999</v>
      </c>
      <c r="CF351" s="10">
        <v>0.98</v>
      </c>
      <c r="CG351" s="10">
        <v>1968</v>
      </c>
      <c r="CH351" s="10">
        <v>242</v>
      </c>
      <c r="CI351" s="10">
        <v>114</v>
      </c>
      <c r="CJ351" s="10">
        <v>59</v>
      </c>
      <c r="CK351" s="10">
        <v>341</v>
      </c>
      <c r="CL351" s="10">
        <v>60</v>
      </c>
      <c r="CM351" s="10">
        <v>382</v>
      </c>
      <c r="CN351" s="10">
        <v>1.028</v>
      </c>
      <c r="CO351" s="10">
        <v>184</v>
      </c>
      <c r="CP351" s="10">
        <v>170</v>
      </c>
      <c r="CQ351" s="10">
        <v>157</v>
      </c>
      <c r="CR351" s="10">
        <v>7</v>
      </c>
      <c r="CS351" s="10">
        <v>6.5</v>
      </c>
      <c r="CT351" s="9" t="s">
        <v>184</v>
      </c>
      <c r="CU351" s="10"/>
      <c r="CV351" s="10"/>
      <c r="CW351" s="10"/>
      <c r="CX351" t="str">
        <f>INDEX('Data_Price '!AG$2:AG$1266,MATCH(Data!$DN351,'Data_Price '!$AT$2:$AT$1266,0))</f>
        <v>Dynastar M-Free 99 Skis 2022</v>
      </c>
      <c r="CY351" t="str">
        <f>INDEX('Data_Price '!AH$2:AH$1266,MATCH(Data!$DN351,'Data_Price '!$AT$2:$AT$1266,0))</f>
        <v>Snowcountry.eu</v>
      </c>
      <c r="CZ351">
        <f>INDEX('Data_Price '!AI$2:AI$1266,MATCH(Data!$DN351,'Data_Price '!$AT$2:$AT$1266,0))</f>
        <v>367.9</v>
      </c>
      <c r="DA351" t="str">
        <f>INDEX('Data_Price '!AJ$2:AJ$1266,MATCH(Data!$DN351,'Data_Price '!$AT$2:$AT$1266,0))</f>
        <v>https://tinyurl.com/ybxhc3dm</v>
      </c>
      <c r="DB351" t="str">
        <f>INDEX('Data_Price '!AK$2:AK$1266,MATCH(Data!$DN351,'Data_Price '!$AT$2:$AT$1266,0))</f>
        <v>Dynastar M-Free 99 Skis 2022</v>
      </c>
      <c r="DC351" t="str">
        <f>INDEX('Data_Price '!AL$2:AL$1266,MATCH(Data!$DN351,'Data_Price '!$AT$2:$AT$1266,0))</f>
        <v>Next Adventure</v>
      </c>
      <c r="DD351">
        <f>INDEX('Data_Price '!AM$2:AM$1266,MATCH(Data!$DN351,'Data_Price '!$AT$2:$AT$1266,0))</f>
        <v>419.97</v>
      </c>
      <c r="DE351" t="str">
        <f>INDEX('Data_Price '!AN$2:AN$1266,MATCH(Data!$DN351,'Data_Price '!$AT$2:$AT$1266,0))</f>
        <v>https://tinyurl.com/yc4dx8tc</v>
      </c>
      <c r="DF351" t="str">
        <f>INDEX('Data_Price '!AO$2:AO$1266,MATCH(Data!$DN351,'Data_Price '!$AT$2:$AT$1266,0))</f>
        <v>Dynastar M-Free 99 Skis 2022</v>
      </c>
      <c r="DG351" t="str">
        <f>INDEX('Data_Price '!AP$2:AP$1266,MATCH(Data!$DN351,'Data_Price '!$AT$2:$AT$1266,0))</f>
        <v>Level Nine Sports</v>
      </c>
      <c r="DH351">
        <f>INDEX('Data_Price '!AQ$2:AQ$1266,MATCH(Data!$DN351,'Data_Price '!$AT$2:$AT$1266,0))</f>
        <v>479.96</v>
      </c>
      <c r="DI351" t="str">
        <f>INDEX('Data_Price '!AR$2:AR$1266,MATCH(Data!$DN351,'Data_Price '!$AT$2:$AT$1266,0))</f>
        <v>https://tinyurl.com/y89ggejs</v>
      </c>
      <c r="DJ351" s="89" t="str">
        <f t="shared" si="217"/>
        <v>https://tinyurl.com/ybxhc3dm</v>
      </c>
      <c r="DK351" s="89" t="str">
        <f t="shared" si="218"/>
        <v>https://tinyurl.com/yc4dx8tc</v>
      </c>
      <c r="DL351" s="89" t="str">
        <f t="shared" si="219"/>
        <v>https://tinyurl.com/y89ggejs</v>
      </c>
      <c r="DM351" s="219" t="str">
        <f t="shared" si="220"/>
        <v>M-Free 99</v>
      </c>
      <c r="DN351" s="89" t="str">
        <f t="shared" si="221"/>
        <v xml:space="preserve"> DynastarM-Free 99185 Unisex</v>
      </c>
      <c r="DO351" s="221" t="s">
        <v>341</v>
      </c>
    </row>
    <row r="352" spans="2:119" ht="15.6" customHeight="1">
      <c r="B352" s="219" t="b">
        <f t="array" ref="B352">IF(OR(ISERROR(K352:P352)),FALSE,TRUE)</f>
        <v>1</v>
      </c>
      <c r="C352" s="43" t="b">
        <f>OR(BR352=Driver!$G$50,Data!BR966=Driver!$H$50)</f>
        <v>1</v>
      </c>
      <c r="D352" s="43" t="b">
        <f>OR(BV352=Driver!$G$51,BV352=Driver!$H$51)</f>
        <v>0</v>
      </c>
      <c r="E352" s="43" t="b">
        <f>AND(BX352&gt;Driver!$F$54,BX352&lt;Driver!$G$54)</f>
        <v>0</v>
      </c>
      <c r="F352" s="43" t="b">
        <f>CL352&gt;Driver!$F$56</f>
        <v>1</v>
      </c>
      <c r="G352" s="43" t="b">
        <f>AND(CB352&gt;Driver!$F$55,CB352&lt;Driver!$G$55)</f>
        <v>0</v>
      </c>
      <c r="H352" s="43" t="b">
        <f t="shared" si="185"/>
        <v>0</v>
      </c>
      <c r="I352" s="43">
        <f t="shared" si="186"/>
        <v>0</v>
      </c>
      <c r="J352" s="43" t="b">
        <f t="array" ref="J352">NOT(OR(($H$9:$H$1273=TRUE)*($I$9:$I$1273&gt;0)*($BT$9:$BT$1273=BT352)*($K$9:$K$1273&gt;K352)))</f>
        <v>1</v>
      </c>
      <c r="K352" s="72">
        <f t="shared" si="187"/>
        <v>0.83507107348254594</v>
      </c>
      <c r="L352" s="72">
        <f t="shared" si="188"/>
        <v>0.9776905236167589</v>
      </c>
      <c r="M352" s="72">
        <f t="shared" si="189"/>
        <v>0.6924516233483331</v>
      </c>
      <c r="N352" s="72">
        <f t="shared" si="190"/>
        <v>0.56775998277334705</v>
      </c>
      <c r="O352" s="72">
        <f t="shared" si="191"/>
        <v>0.63053887668176212</v>
      </c>
      <c r="P352" s="72">
        <f t="shared" si="192"/>
        <v>0.87905601058989014</v>
      </c>
      <c r="Q352" s="72"/>
      <c r="R352" s="72"/>
      <c r="S352" s="72">
        <f t="shared" si="193"/>
        <v>0.47644583322158951</v>
      </c>
      <c r="T352" s="72">
        <f t="shared" si="194"/>
        <v>0.52799196557767192</v>
      </c>
      <c r="U352" s="72">
        <f t="shared" si="195"/>
        <v>0.54316832194536335</v>
      </c>
      <c r="V352" s="72">
        <f t="shared" si="196"/>
        <v>0.54636731856283705</v>
      </c>
      <c r="W352" s="72">
        <f t="shared" si="197"/>
        <v>0.80757352941176475</v>
      </c>
      <c r="X352" s="72">
        <f t="shared" si="198"/>
        <v>2.23094763832411E-2</v>
      </c>
      <c r="Y352" s="72">
        <f t="shared" si="199"/>
        <v>0.3075483766516669</v>
      </c>
      <c r="Z352" s="72">
        <f t="shared" si="200"/>
        <v>0.43224001722665295</v>
      </c>
      <c r="AA352" s="72">
        <f t="shared" si="201"/>
        <v>0.36946112331823788</v>
      </c>
      <c r="AB352" s="72">
        <f t="shared" si="202"/>
        <v>0.12094398941010992</v>
      </c>
      <c r="AC352" s="72"/>
      <c r="AD352" s="72"/>
      <c r="AE352" s="72">
        <f t="shared" si="203"/>
        <v>0.52355416677841049</v>
      </c>
      <c r="AF352" s="72">
        <f t="shared" si="204"/>
        <v>0.47200803442232803</v>
      </c>
      <c r="AG352" s="72">
        <f t="shared" si="205"/>
        <v>0.45683167805463659</v>
      </c>
      <c r="AH352" s="72">
        <f t="shared" si="206"/>
        <v>0.45363268143716295</v>
      </c>
      <c r="AI352" s="72">
        <f t="shared" si="207"/>
        <v>0.19242647058823531</v>
      </c>
      <c r="AJ352" s="72">
        <f>(AV352-Driver!$K$179)/(Driver!$L$179-Driver!$K$179)</f>
        <v>0.27652888566594153</v>
      </c>
      <c r="AK352" s="72">
        <f>(AW352-Driver!$K$180)/(Driver!$L$180-Driver!$K$180)</f>
        <v>0.39217538946438124</v>
      </c>
      <c r="AL352" s="72">
        <f>(AX352-Driver!$K$181)/(Driver!$L$181-Driver!$K$181)</f>
        <v>0.53392778093973314</v>
      </c>
      <c r="AM352" s="72">
        <f>(AY352-Driver!$K$182)/(Driver!$L$182-Driver!$K$182)</f>
        <v>7.7923897778808468E-2</v>
      </c>
      <c r="AN352" s="72">
        <f>(AZ352-Driver!$K$183)/(Driver!$L$183-Driver!$K$183)</f>
        <v>0.37516339869281035</v>
      </c>
      <c r="AO352" s="72"/>
      <c r="AP352" s="72"/>
      <c r="AQ352" s="72">
        <f>(BC352-Driver!$K$188)/(Driver!$L$188-Driver!$K$188)</f>
        <v>9.6445833221589547E-2</v>
      </c>
      <c r="AR352" s="72">
        <f>MIN((BD352-Driver!$K$189)/(Driver!$L$189-Driver!$K$189),100%)</f>
        <v>7.7991965577672032E-2</v>
      </c>
      <c r="AS352" s="72">
        <f>(BE352-Driver!$K$190)/(Driver!$L$190-Driver!$K$190)</f>
        <v>5.3168321945363424E-2</v>
      </c>
      <c r="AT352" s="72">
        <f>(BF352-Driver!$K$191)/(Driver!$L$191-Driver!$K$191)</f>
        <v>5.6367318562837061E-2</v>
      </c>
      <c r="AU352" s="72">
        <f>(BG352-Driver!$K$192)/(Driver!$L$192-Driver!$K$192)</f>
        <v>5.7573529411764697E-2</v>
      </c>
      <c r="AV352" s="70">
        <f t="shared" si="208"/>
        <v>5.8201058201058204</v>
      </c>
      <c r="AW352" s="70">
        <f t="shared" si="209"/>
        <v>40.092859352221815</v>
      </c>
      <c r="AX352" s="70">
        <f t="shared" si="210"/>
        <v>5.8053500284575987</v>
      </c>
      <c r="AY352" s="70">
        <f>IFERROR(Driver!$K$19/Data!BH352/Data!BI352*Data!BK352*Data!BL352,"")</f>
        <v>9.5402101128334915E-2</v>
      </c>
      <c r="AZ352" s="70">
        <f t="shared" si="211"/>
        <v>34.192107222635883</v>
      </c>
      <c r="BA352" s="70"/>
      <c r="BB352" s="70"/>
      <c r="BC352" s="70">
        <f t="shared" si="212"/>
        <v>50.02712417259346</v>
      </c>
      <c r="BD352" s="70">
        <f t="shared" si="213"/>
        <v>8.6229736441360423</v>
      </c>
      <c r="BE352" s="70">
        <f t="shared" si="214"/>
        <v>5.3337226059683891E-2</v>
      </c>
      <c r="BF352" s="70">
        <f t="shared" si="215"/>
        <v>6.3662926288473445</v>
      </c>
      <c r="BG352" s="70">
        <f t="shared" si="216"/>
        <v>0.21801011029411763</v>
      </c>
      <c r="BH352" s="67">
        <f>MAX((CE352-Driver!$F$200)/(Driver!$G$200-Driver!$F$200)*$BI$1,1)</f>
        <v>5.8053500284575987</v>
      </c>
      <c r="BI352" s="67">
        <f>MAX($BI$1*(BY352-Driver!$F$201)/(Driver!$G$201-Driver!$F$201),1)</f>
        <v>7.0886075949367084</v>
      </c>
      <c r="BJ352" s="67">
        <f>(CB352-Driver!$F$206)/(Driver!$G$206-Driver!$F$206)*$BI$1</f>
        <v>5.2380952380952381</v>
      </c>
      <c r="BK352" s="67">
        <f>(CD352-Driver!$F$203)/(Driver!$G$203-Driver!$F$203)*$BI$1</f>
        <v>3.3486238532110093</v>
      </c>
      <c r="BL352" s="67">
        <f>MAX((CR352-Driver!$F$202)/(Driver!$G$202-Driver!$F$202)*$BI$1,1)</f>
        <v>5.8620689655172411</v>
      </c>
      <c r="BM352" s="67">
        <f>MAX((CH352-Driver!$F$204)/(Driver!$G$204-Driver!$F$204)*$BI$1,1)</f>
        <v>4.4444444444444446</v>
      </c>
      <c r="BN352" s="67">
        <f>(CI352-Driver!$F$205)/(Driver!$G$205-Driver!$F$205)*$BI$1</f>
        <v>4.8235294117647056</v>
      </c>
      <c r="BO352" s="67">
        <f>(CK352-Driver!$F$207)/(Driver!$G$207-Driver!$F$207)*$BI$1</f>
        <v>1.592554291623578</v>
      </c>
      <c r="BP352" s="67">
        <f>(CM352-Driver!$F$208)/(Driver!$G$208-Driver!$F$208)*$BI$1</f>
        <v>2.5555555555555554</v>
      </c>
      <c r="BQ352" s="67">
        <f>(CL352-Driver!$F$209)/(Driver!$G$209-Driver!$F$209)*$BI$1</f>
        <v>5.625</v>
      </c>
      <c r="BR352" s="28" t="s">
        <v>155</v>
      </c>
      <c r="BS352" s="8" t="s">
        <v>172</v>
      </c>
      <c r="BT352" s="9" t="s">
        <v>543</v>
      </c>
      <c r="BU352" s="10">
        <v>170</v>
      </c>
      <c r="BV352" s="9" t="s">
        <v>163</v>
      </c>
      <c r="BW352" s="10">
        <v>170</v>
      </c>
      <c r="BX352" s="10">
        <v>169</v>
      </c>
      <c r="BY352" s="10">
        <v>120</v>
      </c>
      <c r="BZ352" s="10">
        <v>146</v>
      </c>
      <c r="CA352" s="10">
        <v>130</v>
      </c>
      <c r="CB352" s="10">
        <v>97</v>
      </c>
      <c r="CC352" s="10">
        <v>120</v>
      </c>
      <c r="CD352" s="10">
        <v>16.7</v>
      </c>
      <c r="CE352" s="10">
        <v>1920</v>
      </c>
      <c r="CF352" s="10">
        <v>0.95</v>
      </c>
      <c r="CG352" s="10">
        <v>1827</v>
      </c>
      <c r="CH352" s="10">
        <v>205</v>
      </c>
      <c r="CI352" s="10">
        <v>115</v>
      </c>
      <c r="CJ352" s="10">
        <v>56</v>
      </c>
      <c r="CK352" s="10">
        <v>264</v>
      </c>
      <c r="CL352" s="10">
        <v>36</v>
      </c>
      <c r="CM352" s="10">
        <v>230</v>
      </c>
      <c r="CN352" s="10">
        <v>0.63700000000000001</v>
      </c>
      <c r="CO352" s="10">
        <v>134</v>
      </c>
      <c r="CP352" s="10">
        <v>100</v>
      </c>
      <c r="CQ352" s="10">
        <v>130</v>
      </c>
      <c r="CR352" s="10">
        <v>6</v>
      </c>
      <c r="CS352" s="10">
        <v>4.9000000000000004</v>
      </c>
      <c r="CT352" s="9" t="s">
        <v>188</v>
      </c>
      <c r="CU352" s="10"/>
      <c r="CV352" s="10"/>
      <c r="CW352" s="10"/>
      <c r="CX352" t="str">
        <f>INDEX('Data_Price '!AG$2:AG$1266,MATCH(Data!$DN352,'Data_Price '!$AT$2:$AT$1266,0))</f>
        <v>Rossignol Blackops W Blazer Skis - Women's 2021</v>
      </c>
      <c r="CY352" t="str">
        <f>INDEX('Data_Price '!AH$2:AH$1266,MATCH(Data!$DN352,'Data_Price '!$AT$2:$AT$1266,0))</f>
        <v>Snowcountry.eu</v>
      </c>
      <c r="CZ352">
        <f>INDEX('Data_Price '!AI$2:AI$1266,MATCH(Data!$DN352,'Data_Price '!$AT$2:$AT$1266,0))</f>
        <v>387.23</v>
      </c>
      <c r="DA352" t="str">
        <f>INDEX('Data_Price '!AJ$2:AJ$1266,MATCH(Data!$DN352,'Data_Price '!$AT$2:$AT$1266,0))</f>
        <v>https://tinyurl.com/ya3v7d77</v>
      </c>
      <c r="DB352" t="str">
        <f>INDEX('Data_Price '!AK$2:AK$1266,MATCH(Data!$DN352,'Data_Price '!$AT$2:$AT$1266,0))</f>
        <v>Rossignol Blackops W Blazer Skis - Women's 2021</v>
      </c>
      <c r="DC352" t="str">
        <f>INDEX('Data_Price '!AL$2:AL$1266,MATCH(Data!$DN352,'Data_Price '!$AT$2:$AT$1266,0))</f>
        <v>SkatePro.com</v>
      </c>
      <c r="DD352">
        <f>INDEX('Data_Price '!AM$2:AM$1266,MATCH(Data!$DN352,'Data_Price '!$AT$2:$AT$1266,0))</f>
        <v>549.95000000000005</v>
      </c>
      <c r="DE352" t="str">
        <f>INDEX('Data_Price '!AN$2:AN$1266,MATCH(Data!$DN352,'Data_Price '!$AT$2:$AT$1266,0))</f>
        <v>https://tinyurl.com/y939mka5</v>
      </c>
      <c r="DF352" t="str">
        <f>INDEX('Data_Price '!AO$2:AO$1266,MATCH(Data!$DN352,'Data_Price '!$AT$2:$AT$1266,0))</f>
        <v>Rossignol Blackops W Blazer Skis - Women's 2021</v>
      </c>
      <c r="DG352" t="str">
        <f>INDEX('Data_Price '!AP$2:AP$1266,MATCH(Data!$DN352,'Data_Price '!$AT$2:$AT$1266,0))</f>
        <v>Powder7 Ski Shop</v>
      </c>
      <c r="DH352">
        <f>INDEX('Data_Price '!AQ$2:AQ$1266,MATCH(Data!$DN352,'Data_Price '!$AT$2:$AT$1266,0))</f>
        <v>559.95000000000005</v>
      </c>
      <c r="DI352" t="str">
        <f>INDEX('Data_Price '!AR$2:AR$1266,MATCH(Data!$DN352,'Data_Price '!$AT$2:$AT$1266,0))</f>
        <v>https://tinyurl.com/yc9vuasm</v>
      </c>
      <c r="DJ352" s="89" t="str">
        <f t="shared" si="217"/>
        <v>https://tinyurl.com/ya3v7d77</v>
      </c>
      <c r="DK352" s="89" t="str">
        <f t="shared" si="218"/>
        <v>https://tinyurl.com/y939mka5</v>
      </c>
      <c r="DL352" s="89" t="str">
        <f t="shared" si="219"/>
        <v>https://tinyurl.com/yc9vuasm</v>
      </c>
      <c r="DM352" s="219" t="str">
        <f t="shared" si="220"/>
        <v>Blackops Blazer W</v>
      </c>
      <c r="DN352" s="89" t="str">
        <f t="shared" si="221"/>
        <v xml:space="preserve"> RossignolBlackops Blazer W170 Women's</v>
      </c>
      <c r="DO352" s="221"/>
    </row>
    <row r="353" spans="2:119" ht="15.6" customHeight="1">
      <c r="B353" s="219" t="b">
        <f t="array" ref="B353">IF(OR(ISERROR(K353:P353)),FALSE,TRUE)</f>
        <v>1</v>
      </c>
      <c r="C353" s="43" t="b">
        <f>OR(BR353=Driver!$G$50,Data!BR957=Driver!$H$50)</f>
        <v>1</v>
      </c>
      <c r="D353" s="43" t="b">
        <f>OR(BV353=Driver!$G$51,BV353=Driver!$H$51)</f>
        <v>1</v>
      </c>
      <c r="E353" s="43" t="b">
        <f>AND(BX353&gt;Driver!$F$54,BX353&lt;Driver!$G$54)</f>
        <v>0</v>
      </c>
      <c r="F353" s="43" t="b">
        <f>CL353&gt;Driver!$F$56</f>
        <v>1</v>
      </c>
      <c r="G353" s="43" t="b">
        <f>AND(CB353&gt;Driver!$F$55,CB353&lt;Driver!$G$55)</f>
        <v>0</v>
      </c>
      <c r="H353" s="43" t="b">
        <f t="shared" si="185"/>
        <v>0</v>
      </c>
      <c r="I353" s="43">
        <f t="shared" si="186"/>
        <v>0</v>
      </c>
      <c r="J353" s="43" t="b">
        <f t="array" ref="J353">NOT(OR(($H$9:$H$1273=TRUE)*($I$9:$I$1273&gt;0)*($BT$9:$BT$1273=BT353)*($K$9:$K$1273&gt;K353)))</f>
        <v>1</v>
      </c>
      <c r="K353" s="72">
        <f t="shared" si="187"/>
        <v>0.87659280283867891</v>
      </c>
      <c r="L353" s="72">
        <f t="shared" si="188"/>
        <v>0.95124348653552526</v>
      </c>
      <c r="M353" s="72">
        <f t="shared" si="189"/>
        <v>0.80194211914183244</v>
      </c>
      <c r="N353" s="72">
        <f t="shared" si="190"/>
        <v>0.77961099143710477</v>
      </c>
      <c r="O353" s="72">
        <f t="shared" si="191"/>
        <v>0.68631712821226953</v>
      </c>
      <c r="P353" s="72">
        <f t="shared" si="192"/>
        <v>0.93989823777612302</v>
      </c>
      <c r="Q353" s="72"/>
      <c r="R353" s="72"/>
      <c r="S353" s="72">
        <f t="shared" si="193"/>
        <v>0.43320467184942246</v>
      </c>
      <c r="T353" s="72">
        <f t="shared" si="194"/>
        <v>0.47038825164085996</v>
      </c>
      <c r="U353" s="72">
        <f t="shared" si="195"/>
        <v>0.53921911969930181</v>
      </c>
      <c r="V353" s="72">
        <f t="shared" si="196"/>
        <v>0.59170825703477725</v>
      </c>
      <c r="W353" s="72">
        <f t="shared" si="197"/>
        <v>0.8391591240875913</v>
      </c>
      <c r="X353" s="72">
        <f t="shared" si="198"/>
        <v>4.875651346447471E-2</v>
      </c>
      <c r="Y353" s="72">
        <f t="shared" si="199"/>
        <v>0.19805788085816756</v>
      </c>
      <c r="Z353" s="72">
        <f t="shared" si="200"/>
        <v>0.22038900856289523</v>
      </c>
      <c r="AA353" s="72">
        <f t="shared" si="201"/>
        <v>0.31368287178773047</v>
      </c>
      <c r="AB353" s="72">
        <f t="shared" si="202"/>
        <v>6.0101762223876948E-2</v>
      </c>
      <c r="AC353" s="72"/>
      <c r="AD353" s="72"/>
      <c r="AE353" s="72">
        <f t="shared" si="203"/>
        <v>0.56679532815057754</v>
      </c>
      <c r="AF353" s="72">
        <f t="shared" si="204"/>
        <v>0.52961174835914004</v>
      </c>
      <c r="AG353" s="72">
        <f t="shared" si="205"/>
        <v>0.46078088030069819</v>
      </c>
      <c r="AH353" s="72">
        <f t="shared" si="206"/>
        <v>0.40829174296522275</v>
      </c>
      <c r="AI353" s="72">
        <f t="shared" si="207"/>
        <v>0.16084087591240875</v>
      </c>
      <c r="AJ353" s="72">
        <f>(AV353-Driver!$K$179)/(Driver!$L$179-Driver!$K$179)</f>
        <v>0.20546289581822572</v>
      </c>
      <c r="AK353" s="72">
        <f>(AW353-Driver!$K$180)/(Driver!$L$180-Driver!$K$180)</f>
        <v>0.20400633036930307</v>
      </c>
      <c r="AL353" s="72">
        <f>(AX353-Driver!$K$181)/(Driver!$L$181-Driver!$K$181)</f>
        <v>0.32207677227597542</v>
      </c>
      <c r="AM353" s="72">
        <f>(AY353-Driver!$K$182)/(Driver!$L$182-Driver!$K$182)</f>
        <v>0.13370214930931587</v>
      </c>
      <c r="AN353" s="72">
        <f>(AZ353-Driver!$K$183)/(Driver!$L$183-Driver!$K$183)</f>
        <v>0.19411764705882348</v>
      </c>
      <c r="AO353" s="72"/>
      <c r="AP353" s="72"/>
      <c r="AQ353" s="72">
        <f>(BC353-Driver!$K$188)/(Driver!$L$188-Driver!$K$188)</f>
        <v>5.3204671849422458E-2</v>
      </c>
      <c r="AR353" s="72">
        <f>MIN((BD353-Driver!$K$189)/(Driver!$L$189-Driver!$K$189),100%)</f>
        <v>2.0388251640859965E-2</v>
      </c>
      <c r="AS353" s="72">
        <f>(BE353-Driver!$K$190)/(Driver!$L$190-Driver!$K$190)</f>
        <v>4.921911969930181E-2</v>
      </c>
      <c r="AT353" s="72">
        <f>(BF353-Driver!$K$191)/(Driver!$L$191-Driver!$K$191)</f>
        <v>0.10170825703477723</v>
      </c>
      <c r="AU353" s="72">
        <f>(BG353-Driver!$K$192)/(Driver!$L$192-Driver!$K$192)</f>
        <v>8.9159124087591232E-2</v>
      </c>
      <c r="AV353" s="70">
        <f t="shared" si="208"/>
        <v>4.3243793243793238</v>
      </c>
      <c r="AW353" s="70">
        <f t="shared" si="209"/>
        <v>21.754117195926256</v>
      </c>
      <c r="AX353" s="70">
        <f t="shared" si="210"/>
        <v>3.898690950483779</v>
      </c>
      <c r="AY353" s="70">
        <f>IFERROR(Driver!$K$19/Data!BH353/Data!BI353*Data!BK353*Data!BL353,"")</f>
        <v>0.16369132362565103</v>
      </c>
      <c r="AZ353" s="70">
        <f t="shared" si="211"/>
        <v>17.691734921816824</v>
      </c>
      <c r="BA353" s="70"/>
      <c r="BB353" s="70"/>
      <c r="BC353" s="70">
        <f t="shared" si="212"/>
        <v>27.597633161173462</v>
      </c>
      <c r="BD353" s="70">
        <f t="shared" si="213"/>
        <v>3.5251470284696049</v>
      </c>
      <c r="BE353" s="70">
        <f t="shared" si="214"/>
        <v>4.9388728306852807E-2</v>
      </c>
      <c r="BF353" s="70">
        <f t="shared" si="215"/>
        <v>11.48723309113222</v>
      </c>
      <c r="BG353" s="70">
        <f t="shared" si="216"/>
        <v>0.33761332116788323</v>
      </c>
      <c r="BH353" s="67">
        <f>MAX((CE353-Driver!$F$200)/(Driver!$G$200-Driver!$F$200)*$BI$1,1)</f>
        <v>3.898690950483779</v>
      </c>
      <c r="BI353" s="67">
        <f>MAX($BI$1*(BY353-Driver!$F$201)/(Driver!$G$201-Driver!$F$201),1)</f>
        <v>6.2658227848101262</v>
      </c>
      <c r="BJ353" s="67">
        <f>(CB353-Driver!$F$206)/(Driver!$G$206-Driver!$F$206)*$BI$1</f>
        <v>5.3968253968253963</v>
      </c>
      <c r="BK353" s="67">
        <f>(CD353-Driver!$F$203)/(Driver!$G$203-Driver!$F$203)*$BI$1</f>
        <v>3.623853211009175</v>
      </c>
      <c r="BL353" s="67">
        <f>MAX((CR353-Driver!$F$202)/(Driver!$G$202-Driver!$F$202)*$BI$1,1)</f>
        <v>5.5172413793103452</v>
      </c>
      <c r="BM353" s="67">
        <f>MAX((CH353-Driver!$F$204)/(Driver!$G$204-Driver!$F$204)*$BI$1,1)</f>
        <v>3.2051282051282053</v>
      </c>
      <c r="BN353" s="67">
        <f>(CI353-Driver!$F$205)/(Driver!$G$205-Driver!$F$205)*$BI$1</f>
        <v>2.8235294117647056</v>
      </c>
      <c r="BO353" s="67">
        <f>(CK353-Driver!$F$207)/(Driver!$G$207-Driver!$F$207)*$BI$1</f>
        <v>2.8335056876938984</v>
      </c>
      <c r="BP353" s="67">
        <f>(CM353-Driver!$F$208)/(Driver!$G$208-Driver!$F$208)*$BI$1</f>
        <v>2.7222222222222219</v>
      </c>
      <c r="BQ353" s="67">
        <f>(CL353-Driver!$F$209)/(Driver!$G$209-Driver!$F$209)*$BI$1</f>
        <v>4.21875</v>
      </c>
      <c r="BR353" s="28" t="s">
        <v>155</v>
      </c>
      <c r="BS353" s="8" t="s">
        <v>227</v>
      </c>
      <c r="BT353" s="9" t="s">
        <v>228</v>
      </c>
      <c r="BU353" s="10">
        <v>172</v>
      </c>
      <c r="BV353" s="9" t="s">
        <v>158</v>
      </c>
      <c r="BW353" s="10">
        <v>172</v>
      </c>
      <c r="BX353" s="10">
        <v>170.4</v>
      </c>
      <c r="BY353" s="10">
        <v>107</v>
      </c>
      <c r="BZ353" s="10">
        <v>142</v>
      </c>
      <c r="CA353" s="10">
        <v>129</v>
      </c>
      <c r="CB353" s="10">
        <v>98</v>
      </c>
      <c r="CC353" s="10">
        <v>120</v>
      </c>
      <c r="CD353" s="10">
        <v>17.3</v>
      </c>
      <c r="CE353" s="10">
        <v>1585</v>
      </c>
      <c r="CF353" s="10">
        <v>1.18</v>
      </c>
      <c r="CG353" s="10">
        <v>1866</v>
      </c>
      <c r="CH353" s="10">
        <v>176</v>
      </c>
      <c r="CI353" s="10">
        <v>81</v>
      </c>
      <c r="CJ353" s="10">
        <v>66</v>
      </c>
      <c r="CK353" s="10">
        <v>384</v>
      </c>
      <c r="CL353" s="10">
        <v>27</v>
      </c>
      <c r="CM353" s="10">
        <v>245</v>
      </c>
      <c r="CN353" s="10">
        <v>0.40899999999999997</v>
      </c>
      <c r="CO353" s="10">
        <v>164</v>
      </c>
      <c r="CP353" s="10">
        <v>124</v>
      </c>
      <c r="CQ353" s="10">
        <v>220</v>
      </c>
      <c r="CR353" s="10">
        <v>5</v>
      </c>
      <c r="CS353" s="10">
        <v>10.8</v>
      </c>
      <c r="CT353" s="9" t="s">
        <v>188</v>
      </c>
      <c r="CU353" s="9" t="s">
        <v>185</v>
      </c>
      <c r="CV353" s="10"/>
      <c r="CW353" s="10"/>
      <c r="CX353">
        <f>INDEX('Data_Price '!AG$2:AG$1266,MATCH(Data!$DN353,'Data_Price '!$AT$2:$AT$1266,0))</f>
        <v>0</v>
      </c>
      <c r="CY353">
        <f>INDEX('Data_Price '!AH$2:AH$1266,MATCH(Data!$DN353,'Data_Price '!$AT$2:$AT$1266,0))</f>
        <v>0</v>
      </c>
      <c r="CZ353">
        <f>INDEX('Data_Price '!AI$2:AI$1266,MATCH(Data!$DN353,'Data_Price '!$AT$2:$AT$1266,0))</f>
        <v>0</v>
      </c>
      <c r="DA353">
        <f>INDEX('Data_Price '!AJ$2:AJ$1266,MATCH(Data!$DN353,'Data_Price '!$AT$2:$AT$1266,0))</f>
        <v>0</v>
      </c>
      <c r="DB353">
        <f>INDEX('Data_Price '!AK$2:AK$1266,MATCH(Data!$DN353,'Data_Price '!$AT$2:$AT$1266,0))</f>
        <v>0</v>
      </c>
      <c r="DC353">
        <f>INDEX('Data_Price '!AL$2:AL$1266,MATCH(Data!$DN353,'Data_Price '!$AT$2:$AT$1266,0))</f>
        <v>0</v>
      </c>
      <c r="DD353">
        <f>INDEX('Data_Price '!AM$2:AM$1266,MATCH(Data!$DN353,'Data_Price '!$AT$2:$AT$1266,0))</f>
        <v>0</v>
      </c>
      <c r="DE353">
        <f>INDEX('Data_Price '!AN$2:AN$1266,MATCH(Data!$DN353,'Data_Price '!$AT$2:$AT$1266,0))</f>
        <v>0</v>
      </c>
      <c r="DF353">
        <f>INDEX('Data_Price '!AO$2:AO$1266,MATCH(Data!$DN353,'Data_Price '!$AT$2:$AT$1266,0))</f>
        <v>0</v>
      </c>
      <c r="DG353">
        <f>INDEX('Data_Price '!AP$2:AP$1266,MATCH(Data!$DN353,'Data_Price '!$AT$2:$AT$1266,0))</f>
        <v>0</v>
      </c>
      <c r="DH353">
        <f>INDEX('Data_Price '!AQ$2:AQ$1266,MATCH(Data!$DN353,'Data_Price '!$AT$2:$AT$1266,0))</f>
        <v>0</v>
      </c>
      <c r="DI353">
        <f>INDEX('Data_Price '!AR$2:AR$1266,MATCH(Data!$DN353,'Data_Price '!$AT$2:$AT$1266,0))</f>
        <v>0</v>
      </c>
      <c r="DJ353" s="89">
        <f t="shared" si="217"/>
        <v>0</v>
      </c>
      <c r="DK353" s="89">
        <f t="shared" si="218"/>
        <v>0</v>
      </c>
      <c r="DL353" s="89">
        <f t="shared" si="219"/>
        <v>0</v>
      </c>
      <c r="DM353" s="219" t="str">
        <f t="shared" si="220"/>
        <v>Le Grizzly</v>
      </c>
      <c r="DN353" s="89" t="str">
        <f t="shared" si="221"/>
        <v xml:space="preserve"> RaccoonLe Grizzly172 Unisex</v>
      </c>
      <c r="DO353" s="221"/>
    </row>
    <row r="354" spans="2:119" ht="15.6" customHeight="1">
      <c r="B354" s="219" t="b">
        <f t="array" ref="B354">IF(OR(ISERROR(K354:P354)),FALSE,TRUE)</f>
        <v>1</v>
      </c>
      <c r="C354" s="43" t="b">
        <f>OR(BR354=Driver!$G$50,Data!BR1077=Driver!$H$50)</f>
        <v>1</v>
      </c>
      <c r="D354" s="43" t="b">
        <f>OR(BV354=Driver!$G$51,BV354=Driver!$H$51)</f>
        <v>1</v>
      </c>
      <c r="E354" s="43" t="b">
        <f>AND(BX354&gt;Driver!$F$54,BX354&lt;Driver!$G$54)</f>
        <v>0</v>
      </c>
      <c r="F354" s="43" t="b">
        <f>CL354&gt;Driver!$F$56</f>
        <v>1</v>
      </c>
      <c r="G354" s="43" t="b">
        <f>AND(CB354&gt;Driver!$F$55,CB354&lt;Driver!$G$55)</f>
        <v>0</v>
      </c>
      <c r="H354" s="43" t="b">
        <f t="shared" si="185"/>
        <v>0</v>
      </c>
      <c r="I354" s="43">
        <f t="shared" si="186"/>
        <v>0</v>
      </c>
      <c r="J354" s="43" t="b">
        <f t="array" ref="J354">NOT(OR(($H$9:$H$1273=TRUE)*($I$9:$I$1273&gt;0)*($BT$9:$BT$1273=BT354)*($K$9:$K$1273&gt;K354)))</f>
        <v>1</v>
      </c>
      <c r="K354" s="72">
        <f t="shared" si="187"/>
        <v>0.86173140149512351</v>
      </c>
      <c r="L354" s="72">
        <f t="shared" si="188"/>
        <v>0.99233606569917043</v>
      </c>
      <c r="M354" s="72">
        <f t="shared" si="189"/>
        <v>0.73112673729107658</v>
      </c>
      <c r="N354" s="72">
        <f t="shared" si="190"/>
        <v>0.59179084345759414</v>
      </c>
      <c r="O354" s="72">
        <f t="shared" si="191"/>
        <v>0.62147126632247762</v>
      </c>
      <c r="P354" s="72">
        <f t="shared" si="192"/>
        <v>0.98011810209315797</v>
      </c>
      <c r="Q354" s="72"/>
      <c r="R354" s="72"/>
      <c r="S354" s="72">
        <f t="shared" si="193"/>
        <v>0.42374481634126804</v>
      </c>
      <c r="T354" s="72">
        <f t="shared" si="194"/>
        <v>0.61443512042973314</v>
      </c>
      <c r="U354" s="72">
        <f t="shared" si="195"/>
        <v>0.77516631431700522</v>
      </c>
      <c r="V354" s="72">
        <f t="shared" si="196"/>
        <v>0.52693812231050396</v>
      </c>
      <c r="W354" s="72">
        <f t="shared" si="197"/>
        <v>0.78647148676171086</v>
      </c>
      <c r="X354" s="72">
        <f t="shared" si="198"/>
        <v>7.6639343008295668E-3</v>
      </c>
      <c r="Y354" s="72">
        <f t="shared" si="199"/>
        <v>0.26887326270892342</v>
      </c>
      <c r="Z354" s="72">
        <f t="shared" si="200"/>
        <v>0.40820915654240586</v>
      </c>
      <c r="AA354" s="72">
        <f t="shared" si="201"/>
        <v>0.37852873367752238</v>
      </c>
      <c r="AB354" s="72">
        <f t="shared" si="202"/>
        <v>1.9881897906842028E-2</v>
      </c>
      <c r="AC354" s="72"/>
      <c r="AD354" s="72"/>
      <c r="AE354" s="72">
        <f t="shared" si="203"/>
        <v>0.57625518365873196</v>
      </c>
      <c r="AF354" s="72">
        <f t="shared" si="204"/>
        <v>0.38556487957026686</v>
      </c>
      <c r="AG354" s="72">
        <f t="shared" si="205"/>
        <v>0.22483368568299478</v>
      </c>
      <c r="AH354" s="72">
        <f t="shared" si="206"/>
        <v>0.47306187768949604</v>
      </c>
      <c r="AI354" s="72">
        <f t="shared" si="207"/>
        <v>0.2135285132382892</v>
      </c>
      <c r="AJ354" s="72">
        <f>(AV354-Driver!$K$179)/(Driver!$L$179-Driver!$K$179)</f>
        <v>0.24655547498187086</v>
      </c>
      <c r="AK354" s="72">
        <f>(AW354-Driver!$K$180)/(Driver!$L$180-Driver!$K$180)</f>
        <v>0.29533348732180592</v>
      </c>
      <c r="AL354" s="72">
        <f>(AX354-Driver!$K$181)/(Driver!$L$181-Driver!$K$181)</f>
        <v>0.50989692025548605</v>
      </c>
      <c r="AM354" s="72">
        <f>(AY354-Driver!$K$182)/(Driver!$L$182-Driver!$K$182)</f>
        <v>6.8856287419524015E-2</v>
      </c>
      <c r="AN354" s="72">
        <f>(AZ354-Driver!$K$183)/(Driver!$L$183-Driver!$K$183)</f>
        <v>0.27410130718954245</v>
      </c>
      <c r="AO354" s="72"/>
      <c r="AP354" s="72"/>
      <c r="AQ354" s="72">
        <f>(BC354-Driver!$K$188)/(Driver!$L$188-Driver!$K$188)</f>
        <v>4.3744816341268006E-2</v>
      </c>
      <c r="AR354" s="72">
        <f>MIN((BD354-Driver!$K$189)/(Driver!$L$189-Driver!$K$189),100%)</f>
        <v>0.16443512042973321</v>
      </c>
      <c r="AS354" s="72">
        <f>(BE354-Driver!$K$190)/(Driver!$L$190-Driver!$K$190)</f>
        <v>0.28516631431700523</v>
      </c>
      <c r="AT354" s="72">
        <f>(BF354-Driver!$K$191)/(Driver!$L$191-Driver!$K$191)</f>
        <v>3.6938122310503994E-2</v>
      </c>
      <c r="AU354" s="72">
        <f>(BG354-Driver!$K$192)/(Driver!$L$192-Driver!$K$192)</f>
        <v>3.6471486761710789E-2</v>
      </c>
      <c r="AV354" s="70">
        <f t="shared" si="208"/>
        <v>5.1892551892551886</v>
      </c>
      <c r="AW354" s="70">
        <f t="shared" si="209"/>
        <v>30.65475788188105</v>
      </c>
      <c r="AX354" s="70">
        <f t="shared" si="210"/>
        <v>5.5890722822993748</v>
      </c>
      <c r="AY354" s="70">
        <f>IFERROR(Driver!$K$19/Data!BH354/Data!BI354*Data!BK354*Data!BL354,"")</f>
        <v>8.4300640534765256E-2</v>
      </c>
      <c r="AZ354" s="70">
        <f t="shared" si="211"/>
        <v>24.98138495904691</v>
      </c>
      <c r="BA354" s="70"/>
      <c r="BB354" s="70"/>
      <c r="BC354" s="70">
        <f t="shared" si="212"/>
        <v>22.690740345245182</v>
      </c>
      <c r="BD354" s="70">
        <f t="shared" si="213"/>
        <v>16.273039680336499</v>
      </c>
      <c r="BE354" s="70">
        <f t="shared" si="214"/>
        <v>0.28529383260073526</v>
      </c>
      <c r="BF354" s="70">
        <f t="shared" si="215"/>
        <v>4.1719014099752361</v>
      </c>
      <c r="BG354" s="70">
        <f t="shared" si="216"/>
        <v>0.13810431517311608</v>
      </c>
      <c r="BH354" s="67">
        <f>MAX((CE354-Driver!$F$200)/(Driver!$G$200-Driver!$F$200)*$BI$1,1)</f>
        <v>5.5890722822993748</v>
      </c>
      <c r="BI354" s="67">
        <f>MAX($BI$1*(BY354-Driver!$F$201)/(Driver!$G$201-Driver!$F$201),1)</f>
        <v>7.7215189873417724</v>
      </c>
      <c r="BJ354" s="67">
        <f>(CB354-Driver!$F$206)/(Driver!$G$206-Driver!$F$206)*$BI$1</f>
        <v>5.3968253968253963</v>
      </c>
      <c r="BK354" s="67">
        <f>(CD354-Driver!$F$203)/(Driver!$G$203-Driver!$F$203)*$BI$1</f>
        <v>2.1100917431192663</v>
      </c>
      <c r="BL354" s="67">
        <f>MAX((CR354-Driver!$F$202)/(Driver!$G$202-Driver!$F$202)*$BI$1,1)</f>
        <v>8.6206896551724128</v>
      </c>
      <c r="BM354" s="67">
        <f>MAX((CH354-Driver!$F$204)/(Driver!$G$204-Driver!$F$204)*$BI$1,1)</f>
        <v>3.8461538461538463</v>
      </c>
      <c r="BN354" s="67">
        <f>(CI354-Driver!$F$205)/(Driver!$G$205-Driver!$F$205)*$BI$1</f>
        <v>3.2352941176470589</v>
      </c>
      <c r="BO354" s="67">
        <f>(CK354-Driver!$F$207)/(Driver!$G$207-Driver!$F$207)*$BI$1</f>
        <v>0.86866597724922445</v>
      </c>
      <c r="BP354" s="67">
        <f>(CM354-Driver!$F$208)/(Driver!$G$208-Driver!$F$208)*$BI$1</f>
        <v>1.8777777777777778</v>
      </c>
      <c r="BQ354" s="67">
        <f>(CL354-Driver!$F$209)/(Driver!$G$209-Driver!$F$209)*$BI$1</f>
        <v>2.96875</v>
      </c>
      <c r="BR354" s="28" t="s">
        <v>155</v>
      </c>
      <c r="BS354" s="8" t="s">
        <v>174</v>
      </c>
      <c r="BT354" s="9" t="s">
        <v>544</v>
      </c>
      <c r="BU354" s="10">
        <v>167</v>
      </c>
      <c r="BV354" s="9" t="s">
        <v>158</v>
      </c>
      <c r="BW354" s="10">
        <v>167</v>
      </c>
      <c r="BX354" s="10">
        <v>166</v>
      </c>
      <c r="BY354" s="10">
        <v>130</v>
      </c>
      <c r="BZ354" s="10">
        <v>130</v>
      </c>
      <c r="CA354" s="10">
        <v>133</v>
      </c>
      <c r="CB354" s="10">
        <v>98</v>
      </c>
      <c r="CC354" s="10">
        <v>116</v>
      </c>
      <c r="CD354" s="10">
        <v>14</v>
      </c>
      <c r="CE354" s="10">
        <v>1882</v>
      </c>
      <c r="CF354" s="10">
        <v>0.97</v>
      </c>
      <c r="CG354" s="10">
        <v>1828</v>
      </c>
      <c r="CH354" s="10">
        <v>191</v>
      </c>
      <c r="CI354" s="10">
        <v>88</v>
      </c>
      <c r="CJ354" s="10">
        <v>51</v>
      </c>
      <c r="CK354" s="10">
        <v>194</v>
      </c>
      <c r="CL354" s="10">
        <v>19</v>
      </c>
      <c r="CM354" s="10">
        <v>169</v>
      </c>
      <c r="CN354" s="10">
        <v>0.375</v>
      </c>
      <c r="CO354" s="10">
        <v>212</v>
      </c>
      <c r="CP354" s="10">
        <v>153</v>
      </c>
      <c r="CQ354" s="10">
        <v>-18</v>
      </c>
      <c r="CR354" s="10">
        <v>14</v>
      </c>
      <c r="CS354" s="10">
        <v>8.6</v>
      </c>
      <c r="CT354" s="9" t="s">
        <v>188</v>
      </c>
      <c r="CU354" s="10"/>
      <c r="CV354" s="10"/>
      <c r="CW354" s="10"/>
      <c r="CX354" t="str">
        <f>INDEX('Data_Price '!AG$2:AG$1266,MATCH(Data!$DN354,'Data_Price '!$AT$2:$AT$1266,0))</f>
        <v>2019 Salomon Qst 99 167cm W/ Marker Fdt 10 Binding</v>
      </c>
      <c r="CY354" t="str">
        <f>INDEX('Data_Price '!AH$2:AH$1266,MATCH(Data!$DN354,'Data_Price '!$AT$2:$AT$1266,0))</f>
        <v>eBay - riverpirate999</v>
      </c>
      <c r="CZ354">
        <f>INDEX('Data_Price '!AI$2:AI$1266,MATCH(Data!$DN354,'Data_Price '!$AT$2:$AT$1266,0))</f>
        <v>279</v>
      </c>
      <c r="DA354" t="str">
        <f>INDEX('Data_Price '!AJ$2:AJ$1266,MATCH(Data!$DN354,'Data_Price '!$AT$2:$AT$1266,0))</f>
        <v>https://tinyurl.com/ybtj5635</v>
      </c>
      <c r="DB354" t="str">
        <f>INDEX('Data_Price '!AK$2:AK$1266,MATCH(Data!$DN354,'Data_Price '!$AT$2:$AT$1266,0))</f>
        <v xml:space="preserve"> 2017 Salomon QST 99 Demo Ski with Bindings Size 167 (Option 210696)</v>
      </c>
      <c r="DC354" t="str">
        <f>INDEX('Data_Price '!AL$2:AL$1266,MATCH(Data!$DN354,'Data_Price '!$AT$2:$AT$1266,0))</f>
        <v>SidelineSwap</v>
      </c>
      <c r="DD354">
        <f>INDEX('Data_Price '!AM$2:AM$1266,MATCH(Data!$DN354,'Data_Price '!$AT$2:$AT$1266,0))</f>
        <v>323</v>
      </c>
      <c r="DE354" t="str">
        <f>INDEX('Data_Price '!AN$2:AN$1266,MATCH(Data!$DN354,'Data_Price '!$AT$2:$AT$1266,0))</f>
        <v>https://tinyurl.com/ycg9jcfr</v>
      </c>
      <c r="DF354" t="str">
        <f>INDEX('Data_Price '!AO$2:AO$1266,MATCH(Data!$DN354,'Data_Price '!$AT$2:$AT$1266,0))</f>
        <v>Salomon QST 99 Skis</v>
      </c>
      <c r="DG354" t="str">
        <f>INDEX('Data_Price '!AP$2:AP$1266,MATCH(Data!$DN354,'Data_Price '!$AT$2:$AT$1266,0))</f>
        <v>Absolute-Snow.co.uk</v>
      </c>
      <c r="DH354">
        <f>INDEX('Data_Price '!AQ$2:AQ$1266,MATCH(Data!$DN354,'Data_Price '!$AT$2:$AT$1266,0))</f>
        <v>358.94</v>
      </c>
      <c r="DI354" t="str">
        <f>INDEX('Data_Price '!AR$2:AR$1266,MATCH(Data!$DN354,'Data_Price '!$AT$2:$AT$1266,0))</f>
        <v>https://tinyurl.com/yaq4auka</v>
      </c>
      <c r="DJ354" s="89" t="str">
        <f t="shared" si="217"/>
        <v>https://tinyurl.com/ybtj5635</v>
      </c>
      <c r="DK354" s="89" t="str">
        <f t="shared" si="218"/>
        <v>https://tinyurl.com/ycg9jcfr</v>
      </c>
      <c r="DL354" s="89" t="str">
        <f t="shared" si="219"/>
        <v>https://tinyurl.com/yaq4auka</v>
      </c>
      <c r="DM354" s="219" t="str">
        <f t="shared" si="220"/>
        <v>QST 99</v>
      </c>
      <c r="DN354" s="89" t="str">
        <f t="shared" si="221"/>
        <v xml:space="preserve"> SalomonQST 99167 Unisex</v>
      </c>
      <c r="DO354" s="221" t="s">
        <v>176</v>
      </c>
    </row>
    <row r="355" spans="2:119" ht="15.6" customHeight="1">
      <c r="B355" s="219" t="b">
        <f t="array" ref="B355">IF(OR(ISERROR(K355:P355)),FALSE,TRUE)</f>
        <v>1</v>
      </c>
      <c r="C355" s="43" t="b">
        <f>OR(BR355=Driver!$G$50,Data!BR1062=Driver!$H$50)</f>
        <v>1</v>
      </c>
      <c r="D355" s="43" t="b">
        <f>OR(BV355=Driver!$G$51,BV355=Driver!$H$51)</f>
        <v>1</v>
      </c>
      <c r="E355" s="43" t="b">
        <f>AND(BX355&gt;Driver!$F$54,BX355&lt;Driver!$G$54)</f>
        <v>0</v>
      </c>
      <c r="F355" s="43" t="b">
        <f>CL355&gt;Driver!$F$56</f>
        <v>1</v>
      </c>
      <c r="G355" s="43" t="b">
        <f>AND(CB355&gt;Driver!$F$55,CB355&lt;Driver!$G$55)</f>
        <v>0</v>
      </c>
      <c r="H355" s="43" t="b">
        <f t="shared" si="185"/>
        <v>0</v>
      </c>
      <c r="I355" s="43">
        <f t="shared" si="186"/>
        <v>0</v>
      </c>
      <c r="J355" s="43" t="b">
        <f t="array" ref="J355">NOT(OR(($H$9:$H$1273=TRUE)*($I$9:$I$1273&gt;0)*($BT$9:$BT$1273=BT355)*($K$9:$K$1273&gt;K355)))</f>
        <v>1</v>
      </c>
      <c r="K355" s="72">
        <f t="shared" si="187"/>
        <v>0.862787099380246</v>
      </c>
      <c r="L355" s="72">
        <f t="shared" si="188"/>
        <v>0.9101509073718802</v>
      </c>
      <c r="M355" s="72">
        <f t="shared" si="189"/>
        <v>0.81542329138861191</v>
      </c>
      <c r="N355" s="72">
        <f t="shared" si="190"/>
        <v>0.86498378597324588</v>
      </c>
      <c r="O355" s="72">
        <f t="shared" si="191"/>
        <v>0.67300549747529037</v>
      </c>
      <c r="P355" s="72">
        <f t="shared" si="192"/>
        <v>0.90828059071729961</v>
      </c>
      <c r="Q355" s="72"/>
      <c r="R355" s="72"/>
      <c r="S355" s="72">
        <f t="shared" si="193"/>
        <v>0.42321378949580168</v>
      </c>
      <c r="T355" s="72">
        <f t="shared" si="194"/>
        <v>0.46436067512061507</v>
      </c>
      <c r="U355" s="72">
        <f t="shared" si="195"/>
        <v>0.73431379946242581</v>
      </c>
      <c r="V355" s="72">
        <f t="shared" si="196"/>
        <v>0.52559236061193837</v>
      </c>
      <c r="W355" s="72">
        <f t="shared" si="197"/>
        <v>0.78175267379679148</v>
      </c>
      <c r="X355" s="72">
        <f t="shared" si="198"/>
        <v>8.9849092628119798E-2</v>
      </c>
      <c r="Y355" s="72">
        <f t="shared" si="199"/>
        <v>0.18457670861138806</v>
      </c>
      <c r="Z355" s="72">
        <f t="shared" si="200"/>
        <v>0.13501621402675412</v>
      </c>
      <c r="AA355" s="72">
        <f t="shared" si="201"/>
        <v>0.32699450252470963</v>
      </c>
      <c r="AB355" s="72">
        <f t="shared" si="202"/>
        <v>9.171940928270042E-2</v>
      </c>
      <c r="AC355" s="72"/>
      <c r="AD355" s="72"/>
      <c r="AE355" s="72">
        <f t="shared" si="203"/>
        <v>0.57678621050419832</v>
      </c>
      <c r="AF355" s="72">
        <f t="shared" si="204"/>
        <v>0.53563932487938493</v>
      </c>
      <c r="AG355" s="72">
        <f t="shared" si="205"/>
        <v>0.26568620053757419</v>
      </c>
      <c r="AH355" s="72">
        <f t="shared" si="206"/>
        <v>0.47440763938806169</v>
      </c>
      <c r="AI355" s="72">
        <f t="shared" si="207"/>
        <v>0.21824732620320858</v>
      </c>
      <c r="AJ355" s="72">
        <f>(AV355-Driver!$K$179)/(Driver!$L$179-Driver!$K$179)</f>
        <v>0.16437031665458063</v>
      </c>
      <c r="AK355" s="72">
        <f>(AW355-Driver!$K$180)/(Driver!$L$180-Driver!$K$180)</f>
        <v>0.16638778173982618</v>
      </c>
      <c r="AL355" s="72">
        <f>(AX355-Driver!$K$181)/(Driver!$L$181-Driver!$K$181)</f>
        <v>0.23670397773983431</v>
      </c>
      <c r="AM355" s="72">
        <f>(AY355-Driver!$K$182)/(Driver!$L$182-Driver!$K$182)</f>
        <v>0.12039051857233675</v>
      </c>
      <c r="AN355" s="72">
        <f>(AZ355-Driver!$K$183)/(Driver!$L$183-Driver!$K$183)</f>
        <v>0.16250000000000001</v>
      </c>
      <c r="AO355" s="72"/>
      <c r="AP355" s="72"/>
      <c r="AQ355" s="72">
        <f>(BC355-Driver!$K$188)/(Driver!$L$188-Driver!$K$188)</f>
        <v>4.3213789495801729E-2</v>
      </c>
      <c r="AR355" s="72">
        <f>MIN((BD355-Driver!$K$189)/(Driver!$L$189-Driver!$K$189),100%)</f>
        <v>1.4360675120615113E-2</v>
      </c>
      <c r="AS355" s="72">
        <f>(BE355-Driver!$K$190)/(Driver!$L$190-Driver!$K$190)</f>
        <v>0.7756862005375742</v>
      </c>
      <c r="AT355" s="72">
        <f>(BF355-Driver!$K$191)/(Driver!$L$191-Driver!$K$191)</f>
        <v>3.5592360611938344E-2</v>
      </c>
      <c r="AU355" s="72">
        <f>(BG355-Driver!$K$192)/(Driver!$L$192-Driver!$K$192)</f>
        <v>3.1752673796791434E-2</v>
      </c>
      <c r="AV355" s="70">
        <f t="shared" si="208"/>
        <v>3.4595034595034599</v>
      </c>
      <c r="AW355" s="70">
        <f t="shared" si="209"/>
        <v>18.08785629773331</v>
      </c>
      <c r="AX355" s="70">
        <f t="shared" si="210"/>
        <v>3.1303357996585088</v>
      </c>
      <c r="AY355" s="70">
        <f>IFERROR(Driver!$K$19/Data!BH355/Data!BI355*Data!BK355*Data!BL355,"")</f>
        <v>0.14739391579632014</v>
      </c>
      <c r="AZ355" s="70">
        <f t="shared" si="211"/>
        <v>14.810126582278482</v>
      </c>
      <c r="BA355" s="70"/>
      <c r="BB355" s="70"/>
      <c r="BC355" s="70">
        <f t="shared" si="212"/>
        <v>22.415293028863086</v>
      </c>
      <c r="BD355" s="70">
        <f t="shared" si="213"/>
        <v>2.9917171866615466</v>
      </c>
      <c r="BE355" s="70">
        <f t="shared" si="214"/>
        <v>0.77572621559463895</v>
      </c>
      <c r="BF355" s="70">
        <f t="shared" si="215"/>
        <v>4.0199070806332662</v>
      </c>
      <c r="BG355" s="70">
        <f t="shared" si="216"/>
        <v>0.12023587901069517</v>
      </c>
      <c r="BH355" s="67">
        <f>MAX((CE355-Driver!$F$200)/(Driver!$G$200-Driver!$F$200)*$BI$1,1)</f>
        <v>3.1303357996585088</v>
      </c>
      <c r="BI355" s="67">
        <f>MAX($BI$1*(BY355-Driver!$F$201)/(Driver!$G$201-Driver!$F$201),1)</f>
        <v>7.4050632911392409</v>
      </c>
      <c r="BJ355" s="67">
        <f>(CB355-Driver!$F$206)/(Driver!$G$206-Driver!$F$206)*$BI$1</f>
        <v>4.7619047619047619</v>
      </c>
      <c r="BK355" s="67">
        <f>(CD355-Driver!$F$203)/(Driver!$G$203-Driver!$F$203)*$BI$1</f>
        <v>3.3027522935779823</v>
      </c>
      <c r="BL355" s="67">
        <f>MAX((CR355-Driver!$F$202)/(Driver!$G$202-Driver!$F$202)*$BI$1,1)</f>
        <v>5.1724137931034484</v>
      </c>
      <c r="BM355" s="67">
        <f>MAX((CH355-Driver!$F$204)/(Driver!$G$204-Driver!$F$204)*$BI$1,1)</f>
        <v>2.9059829059829063</v>
      </c>
      <c r="BN355" s="67">
        <f>(CI355-Driver!$F$205)/(Driver!$G$205-Driver!$F$205)*$BI$1</f>
        <v>2</v>
      </c>
      <c r="BO355" s="67">
        <f>(CK355-Driver!$F$207)/(Driver!$G$207-Driver!$F$207)*$BI$1</f>
        <v>2.1820062047569806</v>
      </c>
      <c r="BP355" s="67">
        <f>(CM355-Driver!$F$208)/(Driver!$G$208-Driver!$F$208)*$BI$1</f>
        <v>1.2777777777777777</v>
      </c>
      <c r="BQ355" s="67">
        <f>(CL355-Driver!$F$209)/(Driver!$G$209-Driver!$F$209)*$BI$1</f>
        <v>1.09375</v>
      </c>
      <c r="BR355" s="28" t="s">
        <v>155</v>
      </c>
      <c r="BS355" s="8" t="s">
        <v>174</v>
      </c>
      <c r="BT355" s="9" t="s">
        <v>252</v>
      </c>
      <c r="BU355" s="10">
        <v>169</v>
      </c>
      <c r="BV355" s="9" t="s">
        <v>158</v>
      </c>
      <c r="BW355" s="10">
        <v>169</v>
      </c>
      <c r="BX355" s="10">
        <v>168.7</v>
      </c>
      <c r="BY355" s="10">
        <v>125</v>
      </c>
      <c r="BZ355" s="10">
        <v>140</v>
      </c>
      <c r="CA355" s="10">
        <v>128</v>
      </c>
      <c r="CB355" s="10">
        <v>94</v>
      </c>
      <c r="CC355" s="10">
        <v>115</v>
      </c>
      <c r="CD355" s="10">
        <v>16.600000000000001</v>
      </c>
      <c r="CE355" s="10">
        <v>1450</v>
      </c>
      <c r="CF355" s="10">
        <v>1.23</v>
      </c>
      <c r="CG355" s="10">
        <v>1780</v>
      </c>
      <c r="CH355" s="10">
        <v>169</v>
      </c>
      <c r="CI355" s="10">
        <v>67</v>
      </c>
      <c r="CJ355" s="10">
        <v>55</v>
      </c>
      <c r="CK355" s="10">
        <v>321</v>
      </c>
      <c r="CL355" s="10">
        <v>7</v>
      </c>
      <c r="CM355" s="10">
        <v>115</v>
      </c>
      <c r="CN355" s="10">
        <v>0.11899999999999999</v>
      </c>
      <c r="CO355" s="10">
        <v>181</v>
      </c>
      <c r="CP355" s="10">
        <v>111</v>
      </c>
      <c r="CQ355" s="10">
        <v>140</v>
      </c>
      <c r="CR355" s="10">
        <v>4</v>
      </c>
      <c r="CS355" s="10">
        <v>10.6</v>
      </c>
      <c r="CT355" s="9" t="s">
        <v>188</v>
      </c>
      <c r="CU355" s="9" t="s">
        <v>185</v>
      </c>
      <c r="CV355" s="10"/>
      <c r="CW355" s="10"/>
      <c r="CX355" t="str">
        <f>INDEX('Data_Price '!AG$2:AG$1266,MATCH(Data!$DN355,'Data_Price '!$AT$2:$AT$1266,0))</f>
        <v>Salomon MTN Explore 95</v>
      </c>
      <c r="CY355" t="str">
        <f>INDEX('Data_Price '!AH$2:AH$1266,MATCH(Data!$DN355,'Data_Price '!$AT$2:$AT$1266,0))</f>
        <v>Level Nine Sports</v>
      </c>
      <c r="CZ355">
        <f>INDEX('Data_Price '!AI$2:AI$1266,MATCH(Data!$DN355,'Data_Price '!$AT$2:$AT$1266,0))</f>
        <v>559.99</v>
      </c>
      <c r="DA355" t="str">
        <f>INDEX('Data_Price '!AJ$2:AJ$1266,MATCH(Data!$DN355,'Data_Price '!$AT$2:$AT$1266,0))</f>
        <v>https://tinyurl.com/y9w7uwfh</v>
      </c>
      <c r="DB355" t="str">
        <f>INDEX('Data_Price '!AK$2:AK$1266,MATCH(Data!$DN355,'Data_Price '!$AT$2:$AT$1266,0))</f>
        <v>Salomon MTN Explore 95</v>
      </c>
      <c r="DC355" t="str">
        <f>INDEX('Data_Price '!AL$2:AL$1266,MATCH(Data!$DN355,'Data_Price '!$AT$2:$AT$1266,0))</f>
        <v>Next Adventure</v>
      </c>
      <c r="DD355">
        <f>INDEX('Data_Price '!AM$2:AM$1266,MATCH(Data!$DN355,'Data_Price '!$AT$2:$AT$1266,0))</f>
        <v>559.99</v>
      </c>
      <c r="DE355" t="str">
        <f>INDEX('Data_Price '!AN$2:AN$1266,MATCH(Data!$DN355,'Data_Price '!$AT$2:$AT$1266,0))</f>
        <v>https://tinyurl.com/y9e7p8a5</v>
      </c>
      <c r="DF355" t="str">
        <f>INDEX('Data_Price '!AO$2:AO$1266,MATCH(Data!$DN355,'Data_Price '!$AT$2:$AT$1266,0))</f>
        <v>Salomon MTN Explore 95</v>
      </c>
      <c r="DG355" t="str">
        <f>INDEX('Data_Price '!AP$2:AP$1266,MATCH(Data!$DN355,'Data_Price '!$AT$2:$AT$1266,0))</f>
        <v>Alpine Options</v>
      </c>
      <c r="DH355">
        <f>INDEX('Data_Price '!AQ$2:AQ$1266,MATCH(Data!$DN355,'Data_Price '!$AT$2:$AT$1266,0))</f>
        <v>559.99</v>
      </c>
      <c r="DI355" t="str">
        <f>INDEX('Data_Price '!AR$2:AR$1266,MATCH(Data!$DN355,'Data_Price '!$AT$2:$AT$1266,0))</f>
        <v>https://tinyurl.com/y7sq458w</v>
      </c>
      <c r="DJ355" s="89" t="str">
        <f t="shared" si="217"/>
        <v>https://tinyurl.com/y9w7uwfh</v>
      </c>
      <c r="DK355" s="89" t="str">
        <f t="shared" si="218"/>
        <v>https://tinyurl.com/y9e7p8a5</v>
      </c>
      <c r="DL355" s="89" t="str">
        <f t="shared" si="219"/>
        <v>https://tinyurl.com/y7sq458w</v>
      </c>
      <c r="DM355" s="219" t="str">
        <f t="shared" si="220"/>
        <v>MTN Explore 95</v>
      </c>
      <c r="DN355" s="89" t="str">
        <f t="shared" si="221"/>
        <v xml:space="preserve"> SalomonMTN Explore 95169 Unisex</v>
      </c>
      <c r="DO355" s="221" t="s">
        <v>253</v>
      </c>
    </row>
    <row r="356" spans="2:119" ht="15.6" customHeight="1">
      <c r="B356" s="219" t="b">
        <f t="array" ref="B356">IF(OR(ISERROR(K356:P356)),FALSE,TRUE)</f>
        <v>1</v>
      </c>
      <c r="C356" s="43" t="b">
        <f>OR(BR356=Driver!$G$50,Data!BR926=Driver!$H$50)</f>
        <v>1</v>
      </c>
      <c r="D356" s="43" t="b">
        <f>OR(BV356=Driver!$G$51,BV356=Driver!$H$51)</f>
        <v>0</v>
      </c>
      <c r="E356" s="43" t="b">
        <f>AND(BX356&gt;Driver!$F$54,BX356&lt;Driver!$G$54)</f>
        <v>1</v>
      </c>
      <c r="F356" s="43" t="b">
        <f>CL356&gt;Driver!$F$56</f>
        <v>1</v>
      </c>
      <c r="G356" s="43" t="b">
        <f>AND(CB356&gt;Driver!$F$55,CB356&lt;Driver!$G$55)</f>
        <v>0</v>
      </c>
      <c r="H356" s="43" t="b">
        <f t="shared" si="185"/>
        <v>0</v>
      </c>
      <c r="I356" s="43">
        <f t="shared" si="186"/>
        <v>0</v>
      </c>
      <c r="J356" s="43" t="b">
        <f t="array" ref="J356">NOT(OR(($H$9:$H$1273=TRUE)*($I$9:$I$1273&gt;0)*($BT$9:$BT$1273=BT356)*($K$9:$K$1273&gt;K356)))</f>
        <v>1</v>
      </c>
      <c r="K356" s="72">
        <f t="shared" si="187"/>
        <v>0.83659409560085085</v>
      </c>
      <c r="L356" s="72">
        <f t="shared" si="188"/>
        <v>0.91401844423434087</v>
      </c>
      <c r="M356" s="72">
        <f t="shared" si="189"/>
        <v>0.75916974696736095</v>
      </c>
      <c r="N356" s="72">
        <f t="shared" si="190"/>
        <v>0.67210450942863065</v>
      </c>
      <c r="O356" s="72">
        <f t="shared" si="191"/>
        <v>0.62046636794238563</v>
      </c>
      <c r="P356" s="72">
        <f t="shared" si="192"/>
        <v>0.98493836353106645</v>
      </c>
      <c r="Q356" s="72"/>
      <c r="R356" s="72"/>
      <c r="S356" s="72">
        <f t="shared" si="193"/>
        <v>0.4295678388289792</v>
      </c>
      <c r="T356" s="72">
        <f t="shared" si="194"/>
        <v>0.52641371293419126</v>
      </c>
      <c r="U356" s="72">
        <f t="shared" si="195"/>
        <v>0.62408645861862921</v>
      </c>
      <c r="V356" s="72">
        <f t="shared" si="196"/>
        <v>0.55433790994881116</v>
      </c>
      <c r="W356" s="72">
        <f t="shared" si="197"/>
        <v>0.79960526315789471</v>
      </c>
      <c r="X356" s="72">
        <f t="shared" si="198"/>
        <v>8.5981555765659107E-2</v>
      </c>
      <c r="Y356" s="72">
        <f t="shared" si="199"/>
        <v>0.24083025303263908</v>
      </c>
      <c r="Z356" s="72">
        <f t="shared" si="200"/>
        <v>0.32789549057136935</v>
      </c>
      <c r="AA356" s="72">
        <f t="shared" si="201"/>
        <v>0.37953363205761442</v>
      </c>
      <c r="AB356" s="72">
        <f t="shared" si="202"/>
        <v>1.5061636468933548E-2</v>
      </c>
      <c r="AC356" s="72"/>
      <c r="AD356" s="72"/>
      <c r="AE356" s="72">
        <f t="shared" si="203"/>
        <v>0.5704321611710208</v>
      </c>
      <c r="AF356" s="72">
        <f t="shared" si="204"/>
        <v>0.47358628706580874</v>
      </c>
      <c r="AG356" s="72">
        <f t="shared" si="205"/>
        <v>0.37591354138137079</v>
      </c>
      <c r="AH356" s="72">
        <f t="shared" si="206"/>
        <v>0.44566209005118884</v>
      </c>
      <c r="AI356" s="72">
        <f t="shared" si="207"/>
        <v>0.20039473684210529</v>
      </c>
      <c r="AJ356" s="72">
        <f>(AV356-Driver!$K$179)/(Driver!$L$179-Driver!$K$179)</f>
        <v>0.16823785351704132</v>
      </c>
      <c r="AK356" s="72">
        <f>(AW356-Driver!$K$180)/(Driver!$L$180-Driver!$K$180)</f>
        <v>0.28339646851282196</v>
      </c>
      <c r="AL356" s="72">
        <f>(AX356-Driver!$K$181)/(Driver!$L$181-Driver!$K$181)</f>
        <v>0.42958325428444954</v>
      </c>
      <c r="AM356" s="72">
        <f>(AY356-Driver!$K$182)/(Driver!$L$182-Driver!$K$182)</f>
        <v>6.7851389039431956E-2</v>
      </c>
      <c r="AN356" s="72">
        <f>(AZ356-Driver!$K$183)/(Driver!$L$183-Driver!$K$183)</f>
        <v>0.26928104575163397</v>
      </c>
      <c r="AO356" s="72"/>
      <c r="AP356" s="72"/>
      <c r="AQ356" s="72">
        <f>(BC356-Driver!$K$188)/(Driver!$L$188-Driver!$K$188)</f>
        <v>4.9567838828979208E-2</v>
      </c>
      <c r="AR356" s="72">
        <f>MIN((BD356-Driver!$K$189)/(Driver!$L$189-Driver!$K$189),100%)</f>
        <v>7.6413712934191316E-2</v>
      </c>
      <c r="AS356" s="72">
        <f>(BE356-Driver!$K$190)/(Driver!$L$190-Driver!$K$190)</f>
        <v>0.13408645861862925</v>
      </c>
      <c r="AT356" s="72">
        <f>(BF356-Driver!$K$191)/(Driver!$L$191-Driver!$K$191)</f>
        <v>6.4337909948811181E-2</v>
      </c>
      <c r="AU356" s="72">
        <f>(BG356-Driver!$K$192)/(Driver!$L$192-Driver!$K$192)</f>
        <v>4.9605263157894722E-2</v>
      </c>
      <c r="AV356" s="70">
        <f t="shared" si="208"/>
        <v>3.5409035409035408</v>
      </c>
      <c r="AW356" s="70">
        <f t="shared" si="209"/>
        <v>29.491389626198824</v>
      </c>
      <c r="AX356" s="70">
        <f t="shared" si="210"/>
        <v>4.8662492885600459</v>
      </c>
      <c r="AY356" s="70">
        <f>IFERROR(Driver!$K$19/Data!BH356/Data!BI356*Data!BK356*Data!BL356,"")</f>
        <v>8.3070345084794647E-2</v>
      </c>
      <c r="AZ356" s="70">
        <f t="shared" si="211"/>
        <v>24.542069992553984</v>
      </c>
      <c r="BA356" s="70"/>
      <c r="BB356" s="70"/>
      <c r="BC356" s="70">
        <f t="shared" si="212"/>
        <v>25.71118259061657</v>
      </c>
      <c r="BD356" s="70">
        <f t="shared" si="213"/>
        <v>8.4833010816862053</v>
      </c>
      <c r="BE356" s="70">
        <f t="shared" si="214"/>
        <v>0.13424092784813962</v>
      </c>
      <c r="BF356" s="70">
        <f t="shared" si="215"/>
        <v>7.2665149293194498</v>
      </c>
      <c r="BG356" s="70">
        <f t="shared" si="216"/>
        <v>0.18783717105263154</v>
      </c>
      <c r="BH356" s="67">
        <f>MAX((CE356-Driver!$F$200)/(Driver!$G$200-Driver!$F$200)*$BI$1,1)</f>
        <v>4.8662492885600459</v>
      </c>
      <c r="BI356" s="67">
        <f>MAX($BI$1*(BY356-Driver!$F$201)/(Driver!$G$201-Driver!$F$201),1)</f>
        <v>6.518987341772152</v>
      </c>
      <c r="BJ356" s="67">
        <f>(CB356-Driver!$F$206)/(Driver!$G$206-Driver!$F$206)*$BI$1</f>
        <v>4.6031746031746028</v>
      </c>
      <c r="BK356" s="67">
        <f>(CD356-Driver!$F$203)/(Driver!$G$203-Driver!$F$203)*$BI$1</f>
        <v>2.2477064220183491</v>
      </c>
      <c r="BL356" s="67">
        <f>MAX((CR356-Driver!$F$202)/(Driver!$G$202-Driver!$F$202)*$BI$1,1)</f>
        <v>5.8620689655172411</v>
      </c>
      <c r="BM356" s="67">
        <f>MAX((CH356-Driver!$F$204)/(Driver!$G$204-Driver!$F$204)*$BI$1,1)</f>
        <v>3.0769230769230771</v>
      </c>
      <c r="BN356" s="67">
        <f>(CI356-Driver!$F$205)/(Driver!$G$205-Driver!$F$205)*$BI$1</f>
        <v>3.7647058823529411</v>
      </c>
      <c r="BO356" s="67">
        <f>(CK356-Driver!$F$207)/(Driver!$G$207-Driver!$F$207)*$BI$1</f>
        <v>1.6546018614270941</v>
      </c>
      <c r="BP356" s="67">
        <f>(CM356-Driver!$F$208)/(Driver!$G$208-Driver!$F$208)*$BI$1</f>
        <v>2.1444444444444444</v>
      </c>
      <c r="BQ356" s="67">
        <f>(CL356-Driver!$F$209)/(Driver!$G$209-Driver!$F$209)*$BI$1</f>
        <v>2.8125</v>
      </c>
      <c r="BR356" s="28" t="s">
        <v>155</v>
      </c>
      <c r="BS356" s="8" t="s">
        <v>332</v>
      </c>
      <c r="BT356" s="9" t="s">
        <v>528</v>
      </c>
      <c r="BU356" s="10">
        <v>158</v>
      </c>
      <c r="BV356" s="9" t="s">
        <v>163</v>
      </c>
      <c r="BW356" s="10">
        <v>158</v>
      </c>
      <c r="BX356" s="10">
        <v>157.19999999999999</v>
      </c>
      <c r="BY356" s="10">
        <v>111</v>
      </c>
      <c r="BZ356" s="10">
        <v>128</v>
      </c>
      <c r="CA356" s="10">
        <v>126</v>
      </c>
      <c r="CB356" s="10">
        <v>93</v>
      </c>
      <c r="CC356" s="10">
        <v>112</v>
      </c>
      <c r="CD356" s="10">
        <v>14.3</v>
      </c>
      <c r="CE356" s="10">
        <v>1755</v>
      </c>
      <c r="CF356" s="10">
        <v>0.93</v>
      </c>
      <c r="CG356" s="10">
        <v>1634</v>
      </c>
      <c r="CH356" s="10">
        <v>173</v>
      </c>
      <c r="CI356" s="10">
        <v>97</v>
      </c>
      <c r="CJ356" s="10">
        <v>60</v>
      </c>
      <c r="CK356" s="10">
        <v>270</v>
      </c>
      <c r="CL356" s="10">
        <v>18</v>
      </c>
      <c r="CM356" s="10">
        <v>193</v>
      </c>
      <c r="CN356" s="10">
        <v>0.30299999999999999</v>
      </c>
      <c r="CO356" s="10">
        <v>150</v>
      </c>
      <c r="CP356" s="10">
        <v>143</v>
      </c>
      <c r="CQ356" s="10">
        <v>120</v>
      </c>
      <c r="CR356" s="10">
        <v>6</v>
      </c>
      <c r="CS356" s="10">
        <v>8.6999999999999993</v>
      </c>
      <c r="CT356" s="9" t="s">
        <v>188</v>
      </c>
      <c r="CU356" s="10"/>
      <c r="CV356" s="10"/>
      <c r="CW356" s="10"/>
      <c r="CX356" t="str">
        <f>INDEX('Data_Price '!AG$2:AG$1266,MATCH(Data!$DN356,'Data_Price '!$AT$2:$AT$1266,0))</f>
        <v>Nordica Enforcer 88 / Santa Ana 93 Ski Skins - 2022 158 cm</v>
      </c>
      <c r="CY356" t="str">
        <f>INDEX('Data_Price '!AH$2:AH$1266,MATCH(Data!$DN356,'Data_Price '!$AT$2:$AT$1266,0))</f>
        <v>Arlberg Ski &amp; Surf Shops</v>
      </c>
      <c r="CZ356">
        <f>INDEX('Data_Price '!AI$2:AI$1266,MATCH(Data!$DN356,'Data_Price '!$AT$2:$AT$1266,0))</f>
        <v>209.95</v>
      </c>
      <c r="DA356" t="str">
        <f>INDEX('Data_Price '!AJ$2:AJ$1266,MATCH(Data!$DN356,'Data_Price '!$AT$2:$AT$1266,0))</f>
        <v>https://tinyurl.com/ya6c4cfj</v>
      </c>
      <c r="DB356" t="str">
        <f>INDEX('Data_Price '!AK$2:AK$1266,MATCH(Data!$DN356,'Data_Price '!$AT$2:$AT$1266,0))</f>
        <v>Nordica Santa Ana 93 Alpine Skis 2022 - - 158 cm</v>
      </c>
      <c r="DC356" t="str">
        <f>INDEX('Data_Price '!AL$2:AL$1266,MATCH(Data!$DN356,'Data_Price '!$AT$2:$AT$1266,0))</f>
        <v>Skirack</v>
      </c>
      <c r="DD356">
        <f>INDEX('Data_Price '!AM$2:AM$1266,MATCH(Data!$DN356,'Data_Price '!$AT$2:$AT$1266,0))</f>
        <v>559.99</v>
      </c>
      <c r="DE356" t="str">
        <f>INDEX('Data_Price '!AN$2:AN$1266,MATCH(Data!$DN356,'Data_Price '!$AT$2:$AT$1266,0))</f>
        <v>https://tinyurl.com/ya7xblja</v>
      </c>
      <c r="DF356" t="str">
        <f>INDEX('Data_Price '!AO$2:AO$1266,MATCH(Data!$DN356,'Data_Price '!$AT$2:$AT$1266,0))</f>
        <v>Nordica Santa Ana 93 Skis 2022 - 158cm</v>
      </c>
      <c r="DG356" t="str">
        <f>INDEX('Data_Price '!AP$2:AP$1266,MATCH(Data!$DN356,'Data_Price '!$AT$2:$AT$1266,0))</f>
        <v>ColoradoSkiShop.com</v>
      </c>
      <c r="DH356">
        <f>INDEX('Data_Price '!AQ$2:AQ$1266,MATCH(Data!$DN356,'Data_Price '!$AT$2:$AT$1266,0))</f>
        <v>559.99</v>
      </c>
      <c r="DI356" t="str">
        <f>INDEX('Data_Price '!AR$2:AR$1266,MATCH(Data!$DN356,'Data_Price '!$AT$2:$AT$1266,0))</f>
        <v>https://tinyurl.com/y7bxxs4s</v>
      </c>
      <c r="DJ356" s="89" t="str">
        <f t="shared" si="217"/>
        <v>https://tinyurl.com/ya6c4cfj</v>
      </c>
      <c r="DK356" s="89" t="str">
        <f t="shared" si="218"/>
        <v>https://tinyurl.com/ya7xblja</v>
      </c>
      <c r="DL356" s="89" t="str">
        <f t="shared" si="219"/>
        <v>https://tinyurl.com/y7bxxs4s</v>
      </c>
      <c r="DM356" s="219" t="str">
        <f t="shared" si="220"/>
        <v>Santa Ana 93</v>
      </c>
      <c r="DN356" s="89" t="str">
        <f t="shared" si="221"/>
        <v xml:space="preserve"> NordicaSanta Ana 93158 Women's</v>
      </c>
      <c r="DO356" s="221" t="s">
        <v>529</v>
      </c>
    </row>
    <row r="357" spans="2:119" ht="15.6" customHeight="1">
      <c r="B357" s="219" t="b">
        <f t="array" ref="B357">IF(OR(ISERROR(K357:P357)),FALSE,TRUE)</f>
        <v>1</v>
      </c>
      <c r="C357" s="43" t="b">
        <f>OR(BR357=Driver!$G$50,Data!BR1063=Driver!$H$50)</f>
        <v>1</v>
      </c>
      <c r="D357" s="43" t="b">
        <f>OR(BV357=Driver!$G$51,BV357=Driver!$H$51)</f>
        <v>1</v>
      </c>
      <c r="E357" s="43" t="b">
        <f>AND(BX357&gt;Driver!$F$54,BX357&lt;Driver!$G$54)</f>
        <v>0</v>
      </c>
      <c r="F357" s="43" t="b">
        <f>CL357&gt;Driver!$F$56</f>
        <v>1</v>
      </c>
      <c r="G357" s="43" t="b">
        <f>AND(CB357&gt;Driver!$F$55,CB357&lt;Driver!$G$55)</f>
        <v>0</v>
      </c>
      <c r="H357" s="43" t="b">
        <f t="shared" si="185"/>
        <v>0</v>
      </c>
      <c r="I357" s="43">
        <f t="shared" si="186"/>
        <v>0</v>
      </c>
      <c r="J357" s="43" t="b">
        <f t="array" ref="J357">NOT(OR(($H$9:$H$1273=TRUE)*($I$9:$I$1273&gt;0)*($BT$9:$BT$1273=BT357)*($K$9:$K$1273&gt;K357)))</f>
        <v>1</v>
      </c>
      <c r="K357" s="72">
        <f t="shared" si="187"/>
        <v>0.8907375557949273</v>
      </c>
      <c r="L357" s="72">
        <f t="shared" si="188"/>
        <v>0.95809224972946616</v>
      </c>
      <c r="M357" s="72">
        <f t="shared" si="189"/>
        <v>0.82338286186038834</v>
      </c>
      <c r="N357" s="72">
        <f t="shared" si="190"/>
        <v>0.80174467890943757</v>
      </c>
      <c r="O357" s="72">
        <f t="shared" si="191"/>
        <v>0.67997625713089849</v>
      </c>
      <c r="P357" s="72">
        <f t="shared" si="192"/>
        <v>0.98842764954082896</v>
      </c>
      <c r="Q357" s="72"/>
      <c r="R357" s="72"/>
      <c r="S357" s="72">
        <f t="shared" si="193"/>
        <v>0.45229448272442119</v>
      </c>
      <c r="T357" s="72">
        <f t="shared" si="194"/>
        <v>0.48430636346572431</v>
      </c>
      <c r="U357" s="72">
        <f t="shared" si="195"/>
        <v>0.51</v>
      </c>
      <c r="V357" s="72">
        <f t="shared" si="196"/>
        <v>0.50477265512796365</v>
      </c>
      <c r="W357" s="72">
        <f t="shared" si="197"/>
        <v>0.76842352941176473</v>
      </c>
      <c r="X357" s="72">
        <f t="shared" si="198"/>
        <v>4.1907750270533839E-2</v>
      </c>
      <c r="Y357" s="72">
        <f t="shared" si="199"/>
        <v>0.17661713813961166</v>
      </c>
      <c r="Z357" s="72">
        <f t="shared" si="200"/>
        <v>0.19825532109056238</v>
      </c>
      <c r="AA357" s="72">
        <f t="shared" si="201"/>
        <v>0.32002374286910151</v>
      </c>
      <c r="AB357" s="72">
        <f t="shared" si="202"/>
        <v>1.1572350459171016E-2</v>
      </c>
      <c r="AC357" s="72"/>
      <c r="AD357" s="72"/>
      <c r="AE357" s="72">
        <f t="shared" si="203"/>
        <v>0.54770551727557881</v>
      </c>
      <c r="AF357" s="72">
        <f t="shared" si="204"/>
        <v>0.51569363653427569</v>
      </c>
      <c r="AG357" s="72">
        <f t="shared" si="205"/>
        <v>0.49</v>
      </c>
      <c r="AH357" s="72">
        <f t="shared" si="206"/>
        <v>0.49522734487203635</v>
      </c>
      <c r="AI357" s="72">
        <f t="shared" si="207"/>
        <v>0.2315764705882353</v>
      </c>
      <c r="AJ357" s="72">
        <f>(AV357-Driver!$K$179)/(Driver!$L$179-Driver!$K$179)</f>
        <v>0.21231165901216659</v>
      </c>
      <c r="AK357" s="72">
        <f>(AW357-Driver!$K$180)/(Driver!$L$180-Driver!$K$180)</f>
        <v>0.24726527456455061</v>
      </c>
      <c r="AL357" s="72">
        <f>(AX357-Driver!$K$181)/(Driver!$L$181-Driver!$K$181)</f>
        <v>0.29994308480364257</v>
      </c>
      <c r="AM357" s="72">
        <f>(AY357-Driver!$K$182)/(Driver!$L$182-Driver!$K$182)</f>
        <v>0.12736127822794488</v>
      </c>
      <c r="AN357" s="72">
        <f>(AZ357-Driver!$K$183)/(Driver!$L$183-Driver!$K$183)</f>
        <v>0.24264705882352941</v>
      </c>
      <c r="AO357" s="72"/>
      <c r="AP357" s="72"/>
      <c r="AQ357" s="72">
        <f>(BC357-Driver!$K$188)/(Driver!$L$188-Driver!$K$188)</f>
        <v>7.2294482724421183E-2</v>
      </c>
      <c r="AR357" s="72">
        <f>MIN((BD357-Driver!$K$189)/(Driver!$L$189-Driver!$K$189),100%)</f>
        <v>3.4306363465724306E-2</v>
      </c>
      <c r="AS357" s="72">
        <f>(BE357-Driver!$K$190)/(Driver!$L$190-Driver!$K$190)</f>
        <v>1</v>
      </c>
      <c r="AT357" s="72">
        <f>(BF357-Driver!$K$191)/(Driver!$L$191-Driver!$K$191)</f>
        <v>1.4772655127963673E-2</v>
      </c>
      <c r="AU357" s="72">
        <f>(BG357-Driver!$K$192)/(Driver!$L$192-Driver!$K$192)</f>
        <v>1.8423529411764703E-2</v>
      </c>
      <c r="AV357" s="70">
        <f t="shared" si="208"/>
        <v>4.4685253018586346</v>
      </c>
      <c r="AW357" s="70">
        <f t="shared" si="209"/>
        <v>25.970084620992544</v>
      </c>
      <c r="AX357" s="70">
        <f t="shared" si="210"/>
        <v>3.6994877632327832</v>
      </c>
      <c r="AY357" s="70">
        <f>IFERROR(Driver!$K$19/Data!BH357/Data!BI357*Data!BK357*Data!BL357,"")</f>
        <v>0.15592820548872435</v>
      </c>
      <c r="AZ357" s="70">
        <f t="shared" si="211"/>
        <v>22.114668652271035</v>
      </c>
      <c r="BA357" s="70"/>
      <c r="BB357" s="70"/>
      <c r="BC357" s="70">
        <f t="shared" si="212"/>
        <v>37.49965077224747</v>
      </c>
      <c r="BD357" s="70">
        <f t="shared" si="213"/>
        <v>4.7568752635352389</v>
      </c>
      <c r="BE357" s="70">
        <f t="shared" si="214"/>
        <v>1</v>
      </c>
      <c r="BF357" s="70">
        <f t="shared" si="215"/>
        <v>1.6684676129274707</v>
      </c>
      <c r="BG357" s="70">
        <f t="shared" si="216"/>
        <v>6.976323529411764E-2</v>
      </c>
      <c r="BH357" s="67">
        <f>MAX((CE357-Driver!$F$200)/(Driver!$G$200-Driver!$F$200)*$BI$1,1)</f>
        <v>3.6994877632327832</v>
      </c>
      <c r="BI357" s="67">
        <f>MAX($BI$1*(BY357-Driver!$F$201)/(Driver!$G$201-Driver!$F$201),1)</f>
        <v>8.5443037974683538</v>
      </c>
      <c r="BJ357" s="67">
        <f>(CB357-Driver!$F$206)/(Driver!$G$206-Driver!$F$206)*$BI$1</f>
        <v>4.92063492063492</v>
      </c>
      <c r="BK357" s="67">
        <f>(CD357-Driver!$F$203)/(Driver!$G$203-Driver!$F$203)*$BI$1</f>
        <v>3.7614678899082579</v>
      </c>
      <c r="BL357" s="67">
        <f>MAX((CR357-Driver!$F$202)/(Driver!$G$202-Driver!$F$202)*$BI$1,1)</f>
        <v>6.5517241379310338</v>
      </c>
      <c r="BM357" s="67">
        <f>MAX((CH357-Driver!$F$204)/(Driver!$G$204-Driver!$F$204)*$BI$1,1)</f>
        <v>3.6324786324786325</v>
      </c>
      <c r="BN357" s="67">
        <f>(CI357-Driver!$F$205)/(Driver!$G$205-Driver!$F$205)*$BI$1</f>
        <v>2.5882352941176472</v>
      </c>
      <c r="BO357" s="67">
        <f>(CK357-Driver!$F$207)/(Driver!$G$207-Driver!$F$207)*$BI$1</f>
        <v>1.5305067218200621</v>
      </c>
      <c r="BP357" s="67">
        <f>(CM357-Driver!$F$208)/(Driver!$G$208-Driver!$F$208)*$BI$1</f>
        <v>0.83333333333333326</v>
      </c>
      <c r="BQ357" s="67">
        <f>(CL357-Driver!$F$209)/(Driver!$G$209-Driver!$F$209)*$BI$1</f>
        <v>0.9375</v>
      </c>
      <c r="BR357" s="28" t="s">
        <v>155</v>
      </c>
      <c r="BS357" s="8" t="s">
        <v>174</v>
      </c>
      <c r="BT357" s="9" t="s">
        <v>252</v>
      </c>
      <c r="BU357" s="10">
        <v>177</v>
      </c>
      <c r="BV357" s="9" t="s">
        <v>158</v>
      </c>
      <c r="BW357" s="10">
        <v>177</v>
      </c>
      <c r="BX357" s="10">
        <v>176.3</v>
      </c>
      <c r="BY357" s="10">
        <v>143</v>
      </c>
      <c r="BZ357" s="10">
        <v>146</v>
      </c>
      <c r="CA357" s="10">
        <v>130</v>
      </c>
      <c r="CB357" s="10">
        <v>95</v>
      </c>
      <c r="CC357" s="10">
        <v>116</v>
      </c>
      <c r="CD357" s="10">
        <v>17.600000000000001</v>
      </c>
      <c r="CE357" s="10">
        <v>1550</v>
      </c>
      <c r="CF357" s="10">
        <v>1.21</v>
      </c>
      <c r="CG357" s="10">
        <v>1874</v>
      </c>
      <c r="CH357" s="10">
        <v>186</v>
      </c>
      <c r="CI357" s="10">
        <v>77</v>
      </c>
      <c r="CJ357" s="10">
        <v>52</v>
      </c>
      <c r="CK357" s="10">
        <v>258</v>
      </c>
      <c r="CL357" s="10">
        <v>6</v>
      </c>
      <c r="CM357" s="10">
        <v>75</v>
      </c>
      <c r="CN357" s="10">
        <v>0.107</v>
      </c>
      <c r="CO357" s="10">
        <v>200</v>
      </c>
      <c r="CP357" s="10">
        <v>107</v>
      </c>
      <c r="CQ357" s="10">
        <v>58</v>
      </c>
      <c r="CR357" s="10">
        <v>8</v>
      </c>
      <c r="CS357" s="10">
        <v>10.9</v>
      </c>
      <c r="CT357" s="9" t="s">
        <v>188</v>
      </c>
      <c r="CU357" s="9" t="s">
        <v>185</v>
      </c>
      <c r="CV357" s="10"/>
      <c r="CW357" s="10"/>
      <c r="CX357" t="str">
        <f>INDEX('Data_Price '!AG$2:AG$1266,MATCH(Data!$DN357,'Data_Price '!$AT$2:$AT$1266,0))</f>
        <v>Salomon MTN Explore 95 Skis 2022</v>
      </c>
      <c r="CY357" t="str">
        <f>INDEX('Data_Price '!AH$2:AH$1266,MATCH(Data!$DN357,'Data_Price '!$AT$2:$AT$1266,0))</f>
        <v>The-House.com</v>
      </c>
      <c r="CZ357">
        <f>INDEX('Data_Price '!AI$2:AI$1266,MATCH(Data!$DN357,'Data_Price '!$AT$2:$AT$1266,0))</f>
        <v>559.95000000000005</v>
      </c>
      <c r="DA357" t="str">
        <f>INDEX('Data_Price '!AJ$2:AJ$1266,MATCH(Data!$DN357,'Data_Price '!$AT$2:$AT$1266,0))</f>
        <v>https://tinyurl.com/y9k55kns</v>
      </c>
      <c r="DB357" t="str">
        <f>INDEX('Data_Price '!AK$2:AK$1266,MATCH(Data!$DN357,'Data_Price '!$AT$2:$AT$1266,0))</f>
        <v>Salomon MTN Explore 95 Skis 2022</v>
      </c>
      <c r="DC357" t="str">
        <f>INDEX('Data_Price '!AL$2:AL$1266,MATCH(Data!$DN357,'Data_Price '!$AT$2:$AT$1266,0))</f>
        <v>Level Nine Sports</v>
      </c>
      <c r="DD357">
        <f>INDEX('Data_Price '!AM$2:AM$1266,MATCH(Data!$DN357,'Data_Price '!$AT$2:$AT$1266,0))</f>
        <v>559.99</v>
      </c>
      <c r="DE357" t="str">
        <f>INDEX('Data_Price '!AN$2:AN$1266,MATCH(Data!$DN357,'Data_Price '!$AT$2:$AT$1266,0))</f>
        <v>https://tinyurl.com/yahv3bgm</v>
      </c>
      <c r="DF357" t="str">
        <f>INDEX('Data_Price '!AO$2:AO$1266,MATCH(Data!$DN357,'Data_Price '!$AT$2:$AT$1266,0))</f>
        <v>Salomon MTN Explore 95 Skis 2022</v>
      </c>
      <c r="DG357" t="str">
        <f>INDEX('Data_Price '!AP$2:AP$1266,MATCH(Data!$DN357,'Data_Price '!$AT$2:$AT$1266,0))</f>
        <v>Curated</v>
      </c>
      <c r="DH357">
        <f>INDEX('Data_Price '!AQ$2:AQ$1266,MATCH(Data!$DN357,'Data_Price '!$AT$2:$AT$1266,0))</f>
        <v>559.99</v>
      </c>
      <c r="DI357" t="str">
        <f>INDEX('Data_Price '!AR$2:AR$1266,MATCH(Data!$DN357,'Data_Price '!$AT$2:$AT$1266,0))</f>
        <v>https://tinyurl.com/y7aklbre</v>
      </c>
      <c r="DJ357" s="89" t="str">
        <f t="shared" si="217"/>
        <v>https://tinyurl.com/y9k55kns</v>
      </c>
      <c r="DK357" s="89" t="str">
        <f t="shared" si="218"/>
        <v>https://tinyurl.com/yahv3bgm</v>
      </c>
      <c r="DL357" s="89" t="str">
        <f t="shared" si="219"/>
        <v>https://tinyurl.com/y7aklbre</v>
      </c>
      <c r="DM357" s="219" t="str">
        <f t="shared" si="220"/>
        <v>MTN Explore 95</v>
      </c>
      <c r="DN357" s="89" t="str">
        <f t="shared" si="221"/>
        <v xml:space="preserve"> SalomonMTN Explore 95177 Unisex</v>
      </c>
      <c r="DO357" s="221" t="s">
        <v>253</v>
      </c>
    </row>
    <row r="358" spans="2:119" ht="15.6" customHeight="1">
      <c r="B358" s="219" t="b">
        <f t="array" ref="B358">IF(OR(ISERROR(K358:P358)),FALSE,TRUE)</f>
        <v>1</v>
      </c>
      <c r="C358" s="43" t="b">
        <f>OR(BR358=Driver!$G$50,Data!BR1107=Driver!$H$50)</f>
        <v>1</v>
      </c>
      <c r="D358" s="43" t="b">
        <f>OR(BV358=Driver!$G$51,BV358=Driver!$H$51)</f>
        <v>0</v>
      </c>
      <c r="E358" s="43" t="b">
        <f>AND(BX358&gt;Driver!$F$54,BX358&lt;Driver!$G$54)</f>
        <v>0</v>
      </c>
      <c r="F358" s="43" t="b">
        <f>CL358&gt;Driver!$F$56</f>
        <v>1</v>
      </c>
      <c r="G358" s="43" t="b">
        <f>AND(CB358&gt;Driver!$F$55,CB358&lt;Driver!$G$55)</f>
        <v>0</v>
      </c>
      <c r="H358" s="43" t="b">
        <f t="shared" si="185"/>
        <v>0</v>
      </c>
      <c r="I358" s="43">
        <f t="shared" si="186"/>
        <v>0</v>
      </c>
      <c r="J358" s="43" t="b">
        <f t="array" ref="J358">NOT(OR(($H$9:$H$1273=TRUE)*($I$9:$I$1273&gt;0)*($BT$9:$BT$1273=BT358)*($K$9:$K$1273&gt;K358)))</f>
        <v>1</v>
      </c>
      <c r="K358" s="72">
        <f t="shared" si="187"/>
        <v>0.81477425813702187</v>
      </c>
      <c r="L358" s="72">
        <f t="shared" si="188"/>
        <v>0.84585310703347072</v>
      </c>
      <c r="M358" s="72">
        <f t="shared" si="189"/>
        <v>0.7836954092405729</v>
      </c>
      <c r="N358" s="72">
        <f t="shared" si="190"/>
        <v>0.73850557184562937</v>
      </c>
      <c r="O358" s="72">
        <f t="shared" si="191"/>
        <v>0.66203771718162407</v>
      </c>
      <c r="P358" s="72">
        <f t="shared" si="192"/>
        <v>0.95054293869446516</v>
      </c>
      <c r="Q358" s="72"/>
      <c r="R358" s="72"/>
      <c r="S358" s="72">
        <f t="shared" si="193"/>
        <v>0.47607394106593748</v>
      </c>
      <c r="T358" s="72">
        <f t="shared" si="194"/>
        <v>0.48556194486212478</v>
      </c>
      <c r="U358" s="72">
        <f t="shared" si="195"/>
        <v>0.98888945167249431</v>
      </c>
      <c r="V358" s="72">
        <f t="shared" si="196"/>
        <v>0.51342685801794308</v>
      </c>
      <c r="W358" s="72">
        <f t="shared" si="197"/>
        <v>0.78769999999999996</v>
      </c>
      <c r="X358" s="72">
        <f t="shared" si="198"/>
        <v>0.15414689296652928</v>
      </c>
      <c r="Y358" s="72">
        <f t="shared" si="199"/>
        <v>0.21630459075942712</v>
      </c>
      <c r="Z358" s="72">
        <f t="shared" si="200"/>
        <v>0.26149442815437063</v>
      </c>
      <c r="AA358" s="72">
        <f t="shared" si="201"/>
        <v>0.33796228281837593</v>
      </c>
      <c r="AB358" s="72">
        <f t="shared" si="202"/>
        <v>4.9457061305534844E-2</v>
      </c>
      <c r="AC358" s="72"/>
      <c r="AD358" s="72"/>
      <c r="AE358" s="72">
        <f t="shared" si="203"/>
        <v>0.52392605893406252</v>
      </c>
      <c r="AF358" s="72">
        <f t="shared" si="204"/>
        <v>0.51443805513787522</v>
      </c>
      <c r="AG358" s="72">
        <f t="shared" si="205"/>
        <v>1.1110548327505687E-2</v>
      </c>
      <c r="AH358" s="72">
        <f t="shared" si="206"/>
        <v>0.48657314198205687</v>
      </c>
      <c r="AI358" s="72">
        <f t="shared" si="207"/>
        <v>0.21230000000000002</v>
      </c>
      <c r="AJ358" s="72">
        <f>(AV358-Driver!$K$179)/(Driver!$L$179-Driver!$K$179)</f>
        <v>0.10007251631617113</v>
      </c>
      <c r="AK358" s="72">
        <f>(AW358-Driver!$K$180)/(Driver!$L$180-Driver!$K$180)</f>
        <v>0.30995186887326626</v>
      </c>
      <c r="AL358" s="72">
        <f>(AX358-Driver!$K$181)/(Driver!$L$181-Driver!$K$181)</f>
        <v>0.36318219186745082</v>
      </c>
      <c r="AM358" s="72">
        <f>(AY358-Driver!$K$182)/(Driver!$L$182-Driver!$K$182)</f>
        <v>0.10942273827867044</v>
      </c>
      <c r="AN358" s="72">
        <f>(AZ358-Driver!$K$183)/(Driver!$L$183-Driver!$K$183)</f>
        <v>0.30367647058823527</v>
      </c>
      <c r="AO358" s="72"/>
      <c r="AP358" s="72"/>
      <c r="AQ358" s="72">
        <f>(BC358-Driver!$K$188)/(Driver!$L$188-Driver!$K$188)</f>
        <v>9.6073941065937515E-2</v>
      </c>
      <c r="AR358" s="72">
        <f>MIN((BD358-Driver!$K$189)/(Driver!$L$189-Driver!$K$189),100%)</f>
        <v>3.5561944862124849E-2</v>
      </c>
      <c r="AS358" s="72">
        <f>(BE358-Driver!$K$190)/(Driver!$L$190-Driver!$K$190)</f>
        <v>0.49888945167249432</v>
      </c>
      <c r="AT358" s="72">
        <f>(BF358-Driver!$K$191)/(Driver!$L$191-Driver!$K$191)</f>
        <v>2.3426858017943121E-2</v>
      </c>
      <c r="AU358" s="72">
        <f>(BG358-Driver!$K$192)/(Driver!$L$192-Driver!$K$192)</f>
        <v>3.769999999999999E-2</v>
      </c>
      <c r="AV358" s="70">
        <f t="shared" si="208"/>
        <v>2.1062271062271063</v>
      </c>
      <c r="AW358" s="70">
        <f t="shared" si="209"/>
        <v>32.079448696108493</v>
      </c>
      <c r="AX358" s="70">
        <f t="shared" si="210"/>
        <v>4.2686397268070575</v>
      </c>
      <c r="AY358" s="70">
        <f>IFERROR(Driver!$K$19/Data!BH358/Data!BI358*Data!BK358*Data!BL358,"")</f>
        <v>0.13396608024707907</v>
      </c>
      <c r="AZ358" s="70">
        <f t="shared" si="211"/>
        <v>27.676842889054356</v>
      </c>
      <c r="BA358" s="70"/>
      <c r="BB358" s="70"/>
      <c r="BC358" s="70">
        <f t="shared" si="212"/>
        <v>49.834221126104431</v>
      </c>
      <c r="BD358" s="70">
        <f t="shared" si="213"/>
        <v>4.8679919923580988</v>
      </c>
      <c r="BE358" s="70">
        <f t="shared" si="214"/>
        <v>0.49897884415407651</v>
      </c>
      <c r="BF358" s="70">
        <f t="shared" si="215"/>
        <v>2.6458990301343515</v>
      </c>
      <c r="BG358" s="70">
        <f t="shared" si="216"/>
        <v>0.14275624999999997</v>
      </c>
      <c r="BH358" s="67">
        <f>MAX((CE358-Driver!$F$200)/(Driver!$G$200-Driver!$F$200)*$BI$1,1)</f>
        <v>4.2686397268070575</v>
      </c>
      <c r="BI358" s="67">
        <f>MAX($BI$1*(BY358-Driver!$F$201)/(Driver!$G$201-Driver!$F$201),1)</f>
        <v>7.4683544303797467</v>
      </c>
      <c r="BJ358" s="67">
        <f>(CB358-Driver!$F$206)/(Driver!$G$206-Driver!$F$206)*$BI$1</f>
        <v>3.6507936507936507</v>
      </c>
      <c r="BK358" s="67">
        <f>(CD358-Driver!$F$203)/(Driver!$G$203-Driver!$F$203)*$BI$1</f>
        <v>3.4403669724770634</v>
      </c>
      <c r="BL358" s="67">
        <f>MAX((CR358-Driver!$F$202)/(Driver!$G$202-Driver!$F$202)*$BI$1,1)</f>
        <v>6.2068965517241379</v>
      </c>
      <c r="BM358" s="67">
        <f>MAX((CH358-Driver!$F$204)/(Driver!$G$204-Driver!$F$204)*$BI$1,1)</f>
        <v>2.3076923076923079</v>
      </c>
      <c r="BN358" s="67">
        <f>(CI358-Driver!$F$205)/(Driver!$G$205-Driver!$F$205)*$BI$1</f>
        <v>3.7058823529411766</v>
      </c>
      <c r="BO358" s="67">
        <f>(CK358-Driver!$F$207)/(Driver!$G$207-Driver!$F$207)*$BI$1</f>
        <v>1.2823164426059979</v>
      </c>
      <c r="BP358" s="67">
        <f>(CM358-Driver!$F$208)/(Driver!$G$208-Driver!$F$208)*$BI$1</f>
        <v>1.9444444444444444</v>
      </c>
      <c r="BQ358" s="67">
        <f>(CL358-Driver!$F$209)/(Driver!$G$209-Driver!$F$209)*$BI$1</f>
        <v>1.40625</v>
      </c>
      <c r="BR358" s="28" t="s">
        <v>155</v>
      </c>
      <c r="BS358" s="8" t="s">
        <v>174</v>
      </c>
      <c r="BT358" s="9" t="s">
        <v>545</v>
      </c>
      <c r="BU358" s="10">
        <v>168</v>
      </c>
      <c r="BV358" s="9" t="s">
        <v>163</v>
      </c>
      <c r="BW358" s="10">
        <v>168</v>
      </c>
      <c r="BX358" s="10">
        <v>166.9</v>
      </c>
      <c r="BY358" s="10">
        <v>126</v>
      </c>
      <c r="BZ358" s="10">
        <v>140</v>
      </c>
      <c r="CA358" s="10">
        <v>122</v>
      </c>
      <c r="CB358" s="10">
        <v>87</v>
      </c>
      <c r="CC358" s="10">
        <v>103</v>
      </c>
      <c r="CD358" s="10">
        <v>16.899999999999999</v>
      </c>
      <c r="CE358" s="10">
        <v>1650</v>
      </c>
      <c r="CF358" s="10">
        <v>1</v>
      </c>
      <c r="CG358" s="10">
        <v>1649</v>
      </c>
      <c r="CH358" s="10">
        <v>155</v>
      </c>
      <c r="CI358" s="10">
        <v>96</v>
      </c>
      <c r="CJ358" s="10">
        <v>52</v>
      </c>
      <c r="CK358" s="10">
        <v>234</v>
      </c>
      <c r="CL358" s="10">
        <v>9</v>
      </c>
      <c r="CM358" s="10">
        <v>175</v>
      </c>
      <c r="CN358" s="10">
        <v>0.17</v>
      </c>
      <c r="CO358" s="10">
        <v>157</v>
      </c>
      <c r="CP358" s="10">
        <v>112</v>
      </c>
      <c r="CQ358" s="10">
        <v>76</v>
      </c>
      <c r="CR358" s="10">
        <v>7</v>
      </c>
      <c r="CS358" s="10">
        <v>9.1999999999999993</v>
      </c>
      <c r="CT358" s="9" t="s">
        <v>188</v>
      </c>
      <c r="CU358" s="10"/>
      <c r="CV358" s="10"/>
      <c r="CW358" s="10"/>
      <c r="CX358" t="str">
        <f>INDEX('Data_Price '!AG$2:AG$1266,MATCH(Data!$DN358,'Data_Price '!$AT$2:$AT$1266,0))</f>
        <v>Salomon STANCE W 88 168cm</v>
      </c>
      <c r="CY358" t="str">
        <f>INDEX('Data_Price '!AH$2:AH$1266,MATCH(Data!$DN358,'Data_Price '!$AT$2:$AT$1266,0))</f>
        <v>Sundance Ski and Board Shop</v>
      </c>
      <c r="CZ358">
        <f>INDEX('Data_Price '!AI$2:AI$1266,MATCH(Data!$DN358,'Data_Price '!$AT$2:$AT$1266,0))</f>
        <v>561.20000000000005</v>
      </c>
      <c r="DA358" t="str">
        <f>INDEX('Data_Price '!AJ$2:AJ$1266,MATCH(Data!$DN358,'Data_Price '!$AT$2:$AT$1266,0))</f>
        <v>https://tinyurl.com/y8f75byv</v>
      </c>
      <c r="DB358" t="str">
        <f>INDEX('Data_Price '!AK$2:AK$1266,MATCH(Data!$DN358,'Data_Price '!$AT$2:$AT$1266,0))</f>
        <v>Salomon Stance W 88 Skis</v>
      </c>
      <c r="DC358" t="str">
        <f>INDEX('Data_Price '!AL$2:AL$1266,MATCH(Data!$DN358,'Data_Price '!$AT$2:$AT$1266,0))</f>
        <v>Cole Sport</v>
      </c>
      <c r="DD358">
        <f>INDEX('Data_Price '!AM$2:AM$1266,MATCH(Data!$DN358,'Data_Price '!$AT$2:$AT$1266,0))</f>
        <v>599.99</v>
      </c>
      <c r="DE358" t="str">
        <f>INDEX('Data_Price '!AN$2:AN$1266,MATCH(Data!$DN358,'Data_Price '!$AT$2:$AT$1266,0))</f>
        <v>https://tinyurl.com/y8wcyc2b</v>
      </c>
      <c r="DF358" t="str">
        <f>INDEX('Data_Price '!AO$2:AO$1266,MATCH(Data!$DN358,'Data_Price '!$AT$2:$AT$1266,0))</f>
        <v>Salomon Stance 88 Skis 2022 - Women's</v>
      </c>
      <c r="DG358" t="str">
        <f>INDEX('Data_Price '!AP$2:AP$1266,MATCH(Data!$DN358,'Data_Price '!$AT$2:$AT$1266,0))</f>
        <v>Erik's Bike, Board and Ski</v>
      </c>
      <c r="DH358">
        <f>INDEX('Data_Price '!AQ$2:AQ$1266,MATCH(Data!$DN358,'Data_Price '!$AT$2:$AT$1266,0))</f>
        <v>419.99</v>
      </c>
      <c r="DI358" t="str">
        <f>INDEX('Data_Price '!AR$2:AR$1266,MATCH(Data!$DN358,'Data_Price '!$AT$2:$AT$1266,0))</f>
        <v>https://tinyurl.com/yawqr7og</v>
      </c>
      <c r="DJ358" s="89" t="str">
        <f t="shared" si="217"/>
        <v>https://tinyurl.com/y8f75byv</v>
      </c>
      <c r="DK358" s="89" t="str">
        <f t="shared" si="218"/>
        <v>https://tinyurl.com/y8wcyc2b</v>
      </c>
      <c r="DL358" s="89" t="str">
        <f t="shared" si="219"/>
        <v>https://tinyurl.com/yawqr7og</v>
      </c>
      <c r="DM358" s="219" t="str">
        <f t="shared" si="220"/>
        <v>Stance 88 W</v>
      </c>
      <c r="DN358" s="89" t="str">
        <f t="shared" si="221"/>
        <v xml:space="preserve"> SalomonStance 88 W168 Women's</v>
      </c>
      <c r="DO358" s="221" t="s">
        <v>546</v>
      </c>
    </row>
    <row r="359" spans="2:119" ht="15.6" customHeight="1">
      <c r="B359" s="219" t="b">
        <f t="array" ref="B359">IF(OR(ISERROR(K359:P359)),FALSE,TRUE)</f>
        <v>1</v>
      </c>
      <c r="C359" s="43" t="b">
        <f>OR(BR359=Driver!$G$50,Data!BR1016=Driver!$H$50)</f>
        <v>1</v>
      </c>
      <c r="D359" s="43" t="b">
        <f>OR(BV359=Driver!$G$51,BV359=Driver!$H$51)</f>
        <v>0</v>
      </c>
      <c r="E359" s="43" t="b">
        <f>AND(BX359&gt;Driver!$F$54,BX359&lt;Driver!$G$54)</f>
        <v>1</v>
      </c>
      <c r="F359" s="43" t="b">
        <f>CL359&gt;Driver!$F$56</f>
        <v>1</v>
      </c>
      <c r="G359" s="43" t="b">
        <f>AND(CB359&gt;Driver!$F$55,CB359&lt;Driver!$G$55)</f>
        <v>0</v>
      </c>
      <c r="H359" s="43" t="b">
        <f t="shared" si="185"/>
        <v>0</v>
      </c>
      <c r="I359" s="43">
        <f t="shared" si="186"/>
        <v>0</v>
      </c>
      <c r="J359" s="43" t="b">
        <f t="array" ref="J359">NOT(OR(($H$9:$H$1273=TRUE)*($I$9:$I$1273&gt;0)*($BT$9:$BT$1273=BT359)*($K$9:$K$1273&gt;K359)))</f>
        <v>1</v>
      </c>
      <c r="K359" s="72">
        <f t="shared" si="187"/>
        <v>0.79980159764112591</v>
      </c>
      <c r="L359" s="72">
        <f t="shared" si="188"/>
        <v>0.8476257280954318</v>
      </c>
      <c r="M359" s="72">
        <f t="shared" si="189"/>
        <v>0.7519774671868199</v>
      </c>
      <c r="N359" s="72">
        <f t="shared" si="190"/>
        <v>0.67779602906437342</v>
      </c>
      <c r="O359" s="72">
        <f t="shared" si="191"/>
        <v>0.60051010046828801</v>
      </c>
      <c r="P359" s="72">
        <f t="shared" si="192"/>
        <v>0.97762627202779839</v>
      </c>
      <c r="Q359" s="72"/>
      <c r="R359" s="72"/>
      <c r="S359" s="72">
        <f t="shared" si="193"/>
        <v>0.42616283438678293</v>
      </c>
      <c r="T359" s="72">
        <f t="shared" si="194"/>
        <v>0.74359106671118869</v>
      </c>
      <c r="U359" s="72">
        <f t="shared" si="195"/>
        <v>0.75564408859713605</v>
      </c>
      <c r="V359" s="72">
        <f t="shared" si="196"/>
        <v>0.52479401108874302</v>
      </c>
      <c r="W359" s="72">
        <f t="shared" si="197"/>
        <v>0.78807568004309181</v>
      </c>
      <c r="X359" s="72">
        <f t="shared" si="198"/>
        <v>0.15237427190456815</v>
      </c>
      <c r="Y359" s="72">
        <f t="shared" si="199"/>
        <v>0.24802253281318007</v>
      </c>
      <c r="Z359" s="72">
        <f t="shared" si="200"/>
        <v>0.32220397093562658</v>
      </c>
      <c r="AA359" s="72">
        <f t="shared" si="201"/>
        <v>0.39948989953171204</v>
      </c>
      <c r="AB359" s="72">
        <f t="shared" si="202"/>
        <v>2.2373727972201551E-2</v>
      </c>
      <c r="AC359" s="72"/>
      <c r="AD359" s="72"/>
      <c r="AE359" s="72">
        <f t="shared" si="203"/>
        <v>0.57383716561321707</v>
      </c>
      <c r="AF359" s="72">
        <f t="shared" si="204"/>
        <v>0.25640893328881137</v>
      </c>
      <c r="AG359" s="72">
        <f t="shared" si="205"/>
        <v>0.24435591140286395</v>
      </c>
      <c r="AH359" s="72">
        <f t="shared" si="206"/>
        <v>0.47520598891125698</v>
      </c>
      <c r="AI359" s="72">
        <f t="shared" si="207"/>
        <v>0.21192431995690816</v>
      </c>
      <c r="AJ359" s="72">
        <f>(AV359-Driver!$K$179)/(Driver!$L$179-Driver!$K$179)</f>
        <v>0.10184513737813229</v>
      </c>
      <c r="AK359" s="72">
        <f>(AW359-Driver!$K$180)/(Driver!$L$180-Driver!$K$180)</f>
        <v>0.2894581273314365</v>
      </c>
      <c r="AL359" s="72">
        <f>(AX359-Driver!$K$181)/(Driver!$L$181-Driver!$K$181)</f>
        <v>0.42389173464870677</v>
      </c>
      <c r="AM359" s="72">
        <f>(AY359-Driver!$K$182)/(Driver!$L$182-Driver!$K$182)</f>
        <v>4.7895121565334313E-2</v>
      </c>
      <c r="AN359" s="72">
        <f>(AZ359-Driver!$K$183)/(Driver!$L$183-Driver!$K$183)</f>
        <v>0.27659313725490198</v>
      </c>
      <c r="AO359" s="72"/>
      <c r="AP359" s="72"/>
      <c r="AQ359" s="72">
        <f>(BC359-Driver!$K$188)/(Driver!$L$188-Driver!$K$188)</f>
        <v>4.6162834386782883E-2</v>
      </c>
      <c r="AR359" s="72">
        <f>MIN((BD359-Driver!$K$189)/(Driver!$L$189-Driver!$K$189),100%)</f>
        <v>0.29359106671118868</v>
      </c>
      <c r="AS359" s="72">
        <f>(BE359-Driver!$K$190)/(Driver!$L$190-Driver!$K$190)</f>
        <v>0.26564408859713606</v>
      </c>
      <c r="AT359" s="72">
        <f>(BF359-Driver!$K$191)/(Driver!$L$191-Driver!$K$191)</f>
        <v>3.4794011088743054E-2</v>
      </c>
      <c r="AU359" s="72">
        <f>(BG359-Driver!$K$192)/(Driver!$L$192-Driver!$K$192)</f>
        <v>3.8075680043091829E-2</v>
      </c>
      <c r="AV359" s="70">
        <f t="shared" si="208"/>
        <v>2.1435354768688102</v>
      </c>
      <c r="AW359" s="70">
        <f t="shared" si="209"/>
        <v>30.082151989833953</v>
      </c>
      <c r="AX359" s="70">
        <f t="shared" si="210"/>
        <v>4.8150256118383608</v>
      </c>
      <c r="AY359" s="70">
        <f>IFERROR(Driver!$K$19/Data!BH359/Data!BI359*Data!BK359*Data!BL359,"")</f>
        <v>5.8637919320978137E-2</v>
      </c>
      <c r="AZ359" s="70">
        <f t="shared" si="211"/>
        <v>25.208488458674612</v>
      </c>
      <c r="BA359" s="70"/>
      <c r="BB359" s="70"/>
      <c r="BC359" s="70">
        <f t="shared" si="212"/>
        <v>23.944983115242486</v>
      </c>
      <c r="BD359" s="70">
        <f t="shared" si="213"/>
        <v>27.703112075450314</v>
      </c>
      <c r="BE359" s="70">
        <f t="shared" si="214"/>
        <v>0.26577508942620248</v>
      </c>
      <c r="BF359" s="70">
        <f t="shared" si="215"/>
        <v>3.9297391107111901</v>
      </c>
      <c r="BG359" s="70">
        <f t="shared" si="216"/>
        <v>0.14417881430110421</v>
      </c>
      <c r="BH359" s="67">
        <f>MAX((CE359-Driver!$F$200)/(Driver!$G$200-Driver!$F$200)*$BI$1,1)</f>
        <v>4.8150256118383608</v>
      </c>
      <c r="BI359" s="67">
        <f>MAX($BI$1*(BY359-Driver!$F$201)/(Driver!$G$201-Driver!$F$201),1)</f>
        <v>7.0253164556962027</v>
      </c>
      <c r="BJ359" s="67">
        <f>(CB359-Driver!$F$206)/(Driver!$G$206-Driver!$F$206)*$BI$1</f>
        <v>2.5396825396825395</v>
      </c>
      <c r="BK359" s="67">
        <f>(CD359-Driver!$F$203)/(Driver!$G$203-Driver!$F$203)*$BI$1</f>
        <v>1.5137614678899081</v>
      </c>
      <c r="BL359" s="67">
        <f>MAX((CR359-Driver!$F$202)/(Driver!$G$202-Driver!$F$202)*$BI$1,1)</f>
        <v>6.5517241379310338</v>
      </c>
      <c r="BM359" s="67">
        <f>MAX((CH359-Driver!$F$204)/(Driver!$G$204-Driver!$F$204)*$BI$1,1)</f>
        <v>3.3760683760683765</v>
      </c>
      <c r="BN359" s="67">
        <f>(CI359-Driver!$F$205)/(Driver!$G$205-Driver!$F$205)*$BI$1</f>
        <v>3.5882352941176472</v>
      </c>
      <c r="BO359" s="67">
        <f>(CK359-Driver!$F$207)/(Driver!$G$207-Driver!$F$207)*$BI$1</f>
        <v>1.5615305067218201</v>
      </c>
      <c r="BP359" s="67">
        <f>(CM359-Driver!$F$208)/(Driver!$G$208-Driver!$F$208)*$BI$1</f>
        <v>1.5</v>
      </c>
      <c r="BQ359" s="67">
        <f>(CL359-Driver!$F$209)/(Driver!$G$209-Driver!$F$209)*$BI$1</f>
        <v>2.34375</v>
      </c>
      <c r="BR359" s="28" t="s">
        <v>155</v>
      </c>
      <c r="BS359" s="8" t="s">
        <v>172</v>
      </c>
      <c r="BT359" s="9" t="s">
        <v>547</v>
      </c>
      <c r="BU359" s="10">
        <v>159</v>
      </c>
      <c r="BV359" s="9" t="s">
        <v>163</v>
      </c>
      <c r="BW359" s="10">
        <v>159</v>
      </c>
      <c r="BX359" s="10">
        <v>158.19999999999999</v>
      </c>
      <c r="BY359" s="10">
        <v>119</v>
      </c>
      <c r="BZ359" s="10">
        <v>144</v>
      </c>
      <c r="CA359" s="10">
        <v>125</v>
      </c>
      <c r="CB359" s="10">
        <v>80</v>
      </c>
      <c r="CC359" s="10">
        <v>114</v>
      </c>
      <c r="CD359" s="10">
        <v>12.7</v>
      </c>
      <c r="CE359" s="10">
        <v>1746</v>
      </c>
      <c r="CF359" s="10">
        <v>0.86</v>
      </c>
      <c r="CG359" s="10">
        <v>1498</v>
      </c>
      <c r="CH359" s="10">
        <v>180</v>
      </c>
      <c r="CI359" s="10">
        <v>94</v>
      </c>
      <c r="CJ359" s="10">
        <v>49</v>
      </c>
      <c r="CK359" s="10">
        <v>261</v>
      </c>
      <c r="CL359" s="10">
        <v>15</v>
      </c>
      <c r="CM359" s="10">
        <v>135</v>
      </c>
      <c r="CN359" s="10">
        <v>0.30399999999999999</v>
      </c>
      <c r="CO359" s="10">
        <v>80</v>
      </c>
      <c r="CP359" s="10">
        <v>62</v>
      </c>
      <c r="CQ359" s="10">
        <v>181</v>
      </c>
      <c r="CR359" s="10">
        <v>8</v>
      </c>
      <c r="CS359" s="10">
        <v>6.9</v>
      </c>
      <c r="CT359" s="9" t="s">
        <v>160</v>
      </c>
      <c r="CU359" s="10"/>
      <c r="CV359" s="10"/>
      <c r="CW359" s="10"/>
      <c r="CX359" t="str">
        <f>INDEX('Data_Price '!AG$2:AG$1266,MATCH(Data!$DN359,'Data_Price '!$AT$2:$AT$1266,0))</f>
        <v>Rossignol Experience W 82 Ti Skis Womens 2022</v>
      </c>
      <c r="CY359" t="str">
        <f>INDEX('Data_Price '!AH$2:AH$1266,MATCH(Data!$DN359,'Data_Price '!$AT$2:$AT$1266,0))</f>
        <v>BlueZone Sports</v>
      </c>
      <c r="CZ359">
        <f>INDEX('Data_Price '!AI$2:AI$1266,MATCH(Data!$DN359,'Data_Price '!$AT$2:$AT$1266,0))</f>
        <v>559.96</v>
      </c>
      <c r="DA359" t="str">
        <f>INDEX('Data_Price '!AJ$2:AJ$1266,MATCH(Data!$DN359,'Data_Price '!$AT$2:$AT$1266,0))</f>
        <v>https://tinyurl.com/yc7qkrms</v>
      </c>
      <c r="DB359" t="str">
        <f>INDEX('Data_Price '!AK$2:AK$1266,MATCH(Data!$DN359,'Data_Price '!$AT$2:$AT$1266,0))</f>
        <v>Rossignol Experience W 82 Ti Women's Skis W SPX 12 Konect GW Bindings</v>
      </c>
      <c r="DC359" t="str">
        <f>INDEX('Data_Price '!AL$2:AL$1266,MATCH(Data!$DN359,'Data_Price '!$AT$2:$AT$1266,0))</f>
        <v>Powder7 Ski Shop</v>
      </c>
      <c r="DD359">
        <f>INDEX('Data_Price '!AM$2:AM$1266,MATCH(Data!$DN359,'Data_Price '!$AT$2:$AT$1266,0))</f>
        <v>649.99</v>
      </c>
      <c r="DE359" t="str">
        <f>INDEX('Data_Price '!AN$2:AN$1266,MATCH(Data!$DN359,'Data_Price '!$AT$2:$AT$1266,0))</f>
        <v>https://tinyurl.com/y8qfh5hm</v>
      </c>
      <c r="DF359" t="str">
        <f>INDEX('Data_Price '!AO$2:AO$1266,MATCH(Data!$DN359,'Data_Price '!$AT$2:$AT$1266,0))</f>
        <v>Rossignol Women's Experience 82 Ti W Skis with Bindings 159 cm</v>
      </c>
      <c r="DG359" t="str">
        <f>INDEX('Data_Price '!AP$2:AP$1266,MATCH(Data!$DN359,'Data_Price '!$AT$2:$AT$1266,0))</f>
        <v>Basin Sports</v>
      </c>
      <c r="DH359">
        <f>INDEX('Data_Price '!AQ$2:AQ$1266,MATCH(Data!$DN359,'Data_Price '!$AT$2:$AT$1266,0))</f>
        <v>899.95</v>
      </c>
      <c r="DI359" t="str">
        <f>INDEX('Data_Price '!AR$2:AR$1266,MATCH(Data!$DN359,'Data_Price '!$AT$2:$AT$1266,0))</f>
        <v>https://tinyurl.com/y85y5kpe</v>
      </c>
      <c r="DJ359" s="89" t="str">
        <f t="shared" si="217"/>
        <v>https://tinyurl.com/yc7qkrms</v>
      </c>
      <c r="DK359" s="89" t="str">
        <f t="shared" si="218"/>
        <v>https://tinyurl.com/y8qfh5hm</v>
      </c>
      <c r="DL359" s="89" t="str">
        <f t="shared" si="219"/>
        <v>https://tinyurl.com/y85y5kpe</v>
      </c>
      <c r="DM359" s="219" t="str">
        <f t="shared" si="220"/>
        <v>Experience 82 Ti W</v>
      </c>
      <c r="DN359" s="89" t="str">
        <f t="shared" si="221"/>
        <v xml:space="preserve"> RossignolExperience 82 Ti W159 Women's</v>
      </c>
      <c r="DO359" s="221"/>
    </row>
    <row r="360" spans="2:119" ht="15.6" customHeight="1">
      <c r="B360" s="219" t="b">
        <f t="array" ref="B360">IF(OR(ISERROR(K360:P360)),FALSE,TRUE)</f>
        <v>1</v>
      </c>
      <c r="C360" s="43" t="b">
        <f>OR(BR360=Driver!$G$50,Data!BR375=Driver!$H$50)</f>
        <v>1</v>
      </c>
      <c r="D360" s="43" t="b">
        <f>OR(BV360=Driver!$G$51,BV360=Driver!$H$51)</f>
        <v>1</v>
      </c>
      <c r="E360" s="43" t="b">
        <f>AND(BX360&gt;Driver!$F$54,BX360&lt;Driver!$G$54)</f>
        <v>0</v>
      </c>
      <c r="F360" s="43" t="b">
        <f>CL360&gt;Driver!$F$56</f>
        <v>1</v>
      </c>
      <c r="G360" s="43" t="b">
        <f>AND(CB360&gt;Driver!$F$55,CB360&lt;Driver!$G$55)</f>
        <v>0</v>
      </c>
      <c r="H360" s="43" t="b">
        <f t="shared" si="185"/>
        <v>0</v>
      </c>
      <c r="I360" s="43">
        <f t="shared" si="186"/>
        <v>0</v>
      </c>
      <c r="J360" s="43" t="b">
        <f t="array" ref="J360">NOT(OR(($H$9:$H$1273=TRUE)*($I$9:$I$1273&gt;0)*($BT$9:$BT$1273=BT360)*($K$9:$K$1273&gt;K360)))</f>
        <v>1</v>
      </c>
      <c r="K360" s="72">
        <f t="shared" si="187"/>
        <v>0.93198904131205385</v>
      </c>
      <c r="L360" s="72">
        <f t="shared" si="188"/>
        <v>0.93031319705161519</v>
      </c>
      <c r="M360" s="72">
        <f t="shared" si="189"/>
        <v>0.93366488557249261</v>
      </c>
      <c r="N360" s="72">
        <f t="shared" si="190"/>
        <v>0.97818322850850969</v>
      </c>
      <c r="O360" s="72">
        <f t="shared" si="191"/>
        <v>0.86998090781515658</v>
      </c>
      <c r="P360" s="72">
        <f t="shared" si="192"/>
        <v>0.95283052039381155</v>
      </c>
      <c r="Q360" s="72"/>
      <c r="R360" s="72"/>
      <c r="S360" s="72">
        <f t="shared" si="193"/>
        <v>0.49799662701595815</v>
      </c>
      <c r="T360" s="72">
        <f t="shared" si="194"/>
        <v>0.45540106979806982</v>
      </c>
      <c r="U360" s="72">
        <f t="shared" si="195"/>
        <v>0.6268255306112025</v>
      </c>
      <c r="V360" s="72">
        <f t="shared" si="196"/>
        <v>0.51502979771201796</v>
      </c>
      <c r="W360" s="72">
        <f t="shared" si="197"/>
        <v>0.79611421369971336</v>
      </c>
      <c r="X360" s="72">
        <f t="shared" si="198"/>
        <v>6.9686802948384863E-2</v>
      </c>
      <c r="Y360" s="72">
        <f t="shared" si="199"/>
        <v>6.6335114427507391E-2</v>
      </c>
      <c r="Z360" s="72">
        <f t="shared" si="200"/>
        <v>2.1816771491490347E-2</v>
      </c>
      <c r="AA360" s="72">
        <f t="shared" si="201"/>
        <v>0.13001909218484337</v>
      </c>
      <c r="AB360" s="72">
        <f t="shared" si="202"/>
        <v>4.7169479606188447E-2</v>
      </c>
      <c r="AC360" s="72"/>
      <c r="AD360" s="72"/>
      <c r="AE360" s="72">
        <f t="shared" si="203"/>
        <v>0.50200337298404185</v>
      </c>
      <c r="AF360" s="72">
        <f t="shared" si="204"/>
        <v>0.54459893020193018</v>
      </c>
      <c r="AG360" s="72">
        <f t="shared" si="205"/>
        <v>0.3731744693887975</v>
      </c>
      <c r="AH360" s="72">
        <f t="shared" si="206"/>
        <v>0.48497020228798204</v>
      </c>
      <c r="AI360" s="72">
        <f t="shared" si="207"/>
        <v>0.20388578630028664</v>
      </c>
      <c r="AJ360" s="72">
        <f>(AV360-Driver!$K$179)/(Driver!$L$179-Driver!$K$179)</f>
        <v>0.32390621223108529</v>
      </c>
      <c r="AK360" s="72">
        <f>(AW360-Driver!$K$180)/(Driver!$L$180-Driver!$K$180)</f>
        <v>0.28426200627139381</v>
      </c>
      <c r="AL360" s="72">
        <f>(AX360-Driver!$K$181)/(Driver!$L$181-Driver!$K$181)</f>
        <v>7.9870992221589832E-2</v>
      </c>
      <c r="AM360" s="72">
        <f>(AY360-Driver!$K$182)/(Driver!$L$182-Driver!$K$182)</f>
        <v>0.317365928912203</v>
      </c>
      <c r="AN360" s="72">
        <f>(AZ360-Driver!$K$183)/(Driver!$L$183-Driver!$K$183)</f>
        <v>0.30138888888888887</v>
      </c>
      <c r="AO360" s="72"/>
      <c r="AP360" s="72"/>
      <c r="AQ360" s="72">
        <f>(BC360-Driver!$K$188)/(Driver!$L$188-Driver!$K$188)</f>
        <v>0.11799662701595813</v>
      </c>
      <c r="AR360" s="72">
        <f>MIN((BD360-Driver!$K$189)/(Driver!$L$189-Driver!$K$189),100%)</f>
        <v>5.401069798069826E-3</v>
      </c>
      <c r="AS360" s="72">
        <f>(BE360-Driver!$K$190)/(Driver!$L$190-Driver!$K$190)</f>
        <v>0.88317446938879751</v>
      </c>
      <c r="AT360" s="72">
        <f>(BF360-Driver!$K$191)/(Driver!$L$191-Driver!$K$191)</f>
        <v>2.5029797712017965E-2</v>
      </c>
      <c r="AU360" s="72">
        <f>(BG360-Driver!$K$192)/(Driver!$L$192-Driver!$K$192)</f>
        <v>4.6114213699713358E-2</v>
      </c>
      <c r="AV360" s="70">
        <f t="shared" si="208"/>
        <v>6.8172568172568164</v>
      </c>
      <c r="AW360" s="70">
        <f t="shared" si="209"/>
        <v>29.575743950216392</v>
      </c>
      <c r="AX360" s="70">
        <f t="shared" si="210"/>
        <v>1.7188389299943085</v>
      </c>
      <c r="AY360" s="70">
        <f>IFERROR(Driver!$K$19/Data!BH360/Data!BI360*Data!BK360*Data!BL360,"")</f>
        <v>0.3885505898423362</v>
      </c>
      <c r="AZ360" s="70">
        <f t="shared" si="211"/>
        <v>27.468354430379748</v>
      </c>
      <c r="BA360" s="70"/>
      <c r="BB360" s="70"/>
      <c r="BC360" s="70">
        <f t="shared" si="212"/>
        <v>61.205670732420309</v>
      </c>
      <c r="BD360" s="70">
        <f t="shared" si="213"/>
        <v>2.1988079910975187</v>
      </c>
      <c r="BE360" s="70">
        <f t="shared" si="214"/>
        <v>0.88319530974853122</v>
      </c>
      <c r="BF360" s="70">
        <f t="shared" si="215"/>
        <v>2.8269398072914096</v>
      </c>
      <c r="BG360" s="70">
        <f t="shared" si="216"/>
        <v>0.1746178307551646</v>
      </c>
      <c r="BH360" s="67">
        <f>MAX((CE360-Driver!$F$200)/(Driver!$G$200-Driver!$F$200)*$BI$1,1)</f>
        <v>1.7188389299943085</v>
      </c>
      <c r="BI360" s="67">
        <f>MAX($BI$1*(BY360-Driver!$F$201)/(Driver!$G$201-Driver!$F$201),1)</f>
        <v>7.5316455696202533</v>
      </c>
      <c r="BJ360" s="67">
        <f>(CB360-Driver!$F$206)/(Driver!$G$206-Driver!$F$206)*$BI$1</f>
        <v>4.7619047619047619</v>
      </c>
      <c r="BK360" s="67">
        <f>(CD360-Driver!$F$203)/(Driver!$G$203-Driver!$F$203)*$BI$1</f>
        <v>4.862385321100918</v>
      </c>
      <c r="BL360" s="67">
        <f>MAX((CR360-Driver!$F$202)/(Driver!$G$202-Driver!$F$202)*$BI$1,1)</f>
        <v>5.1724137931034484</v>
      </c>
      <c r="BM360" s="67">
        <f>MAX((CH360-Driver!$F$204)/(Driver!$G$204-Driver!$F$204)*$BI$1,1)</f>
        <v>5.7264957264957257</v>
      </c>
      <c r="BN360" s="67">
        <f>(CI360-Driver!$F$205)/(Driver!$G$205-Driver!$F$205)*$BI$1</f>
        <v>3.6470588235294117</v>
      </c>
      <c r="BO360" s="67">
        <f>(CK360-Driver!$F$207)/(Driver!$G$207-Driver!$F$207)*$BI$1</f>
        <v>1.6339193381592554</v>
      </c>
      <c r="BP360" s="67">
        <f>(CM360-Driver!$F$208)/(Driver!$G$208-Driver!$F$208)*$BI$1</f>
        <v>1.7666666666666666</v>
      </c>
      <c r="BQ360" s="67">
        <f>(CL360-Driver!$F$209)/(Driver!$G$209-Driver!$F$209)*$BI$1</f>
        <v>1.71875</v>
      </c>
      <c r="BR360" s="28" t="s">
        <v>155</v>
      </c>
      <c r="BS360" s="8" t="s">
        <v>329</v>
      </c>
      <c r="BT360" s="9" t="s">
        <v>548</v>
      </c>
      <c r="BU360" s="10">
        <v>172</v>
      </c>
      <c r="BV360" s="9" t="s">
        <v>158</v>
      </c>
      <c r="BW360" s="10">
        <v>172</v>
      </c>
      <c r="BX360" s="10">
        <v>170.2</v>
      </c>
      <c r="BY360" s="10">
        <v>127</v>
      </c>
      <c r="BZ360" s="10">
        <v>146</v>
      </c>
      <c r="CA360" s="10">
        <v>126</v>
      </c>
      <c r="CB360" s="10">
        <v>94</v>
      </c>
      <c r="CC360" s="10">
        <v>113</v>
      </c>
      <c r="CD360" s="10">
        <v>20</v>
      </c>
      <c r="CE360" s="10">
        <v>1202</v>
      </c>
      <c r="CF360" s="10">
        <v>1.45</v>
      </c>
      <c r="CG360" s="10">
        <v>1748</v>
      </c>
      <c r="CH360" s="10">
        <v>235</v>
      </c>
      <c r="CI360" s="10">
        <v>95</v>
      </c>
      <c r="CJ360" s="10">
        <v>48</v>
      </c>
      <c r="CK360" s="10">
        <v>268</v>
      </c>
      <c r="CL360" s="10">
        <v>11</v>
      </c>
      <c r="CM360" s="10">
        <v>159</v>
      </c>
      <c r="CN360" s="10">
        <v>0.23400000000000001</v>
      </c>
      <c r="CO360" s="10">
        <v>137</v>
      </c>
      <c r="CP360" s="10">
        <v>100</v>
      </c>
      <c r="CQ360" s="10">
        <v>131</v>
      </c>
      <c r="CR360" s="10">
        <v>4</v>
      </c>
      <c r="CS360" s="10">
        <v>12.6</v>
      </c>
      <c r="CT360" s="9" t="s">
        <v>185</v>
      </c>
      <c r="CU360" s="9" t="s">
        <v>198</v>
      </c>
      <c r="CV360" s="10"/>
      <c r="CW360" s="10"/>
      <c r="CX360" t="str">
        <f>INDEX('Data_Price '!AG$2:AG$1266,MATCH(Data!$DN360,'Data_Price '!$AT$2:$AT$1266,0))</f>
        <v>Dynafit Blacklight 95 Ski Set - Black Magnet - 172cm</v>
      </c>
      <c r="CY360" t="str">
        <f>INDEX('Data_Price '!AH$2:AH$1266,MATCH(Data!$DN360,'Data_Price '!$AT$2:$AT$1266,0))</f>
        <v>Backcountry.com</v>
      </c>
      <c r="CZ360">
        <f>INDEX('Data_Price '!AI$2:AI$1266,MATCH(Data!$DN360,'Data_Price '!$AT$2:$AT$1266,0))</f>
        <v>1199.95</v>
      </c>
      <c r="DA360" t="str">
        <f>INDEX('Data_Price '!AJ$2:AJ$1266,MATCH(Data!$DN360,'Data_Price '!$AT$2:$AT$1266,0))</f>
        <v>https://tinyurl.com/y729lv8x</v>
      </c>
      <c r="DB360" t="str">
        <f>INDEX('Data_Price '!AK$2:AK$1266,MATCH(Data!$DN360,'Data_Price '!$AT$2:$AT$1266,0))</f>
        <v>Dynafit Blacklight 95 Ski Set - Black Magnet - 172cm</v>
      </c>
      <c r="DC360" t="str">
        <f>INDEX('Data_Price '!AL$2:AL$1266,MATCH(Data!$DN360,'Data_Price '!$AT$2:$AT$1266,0))</f>
        <v>REI</v>
      </c>
      <c r="DD360">
        <f>INDEX('Data_Price '!AM$2:AM$1266,MATCH(Data!$DN360,'Data_Price '!$AT$2:$AT$1266,0))</f>
        <v>1199.95</v>
      </c>
      <c r="DE360" t="str">
        <f>INDEX('Data_Price '!AN$2:AN$1266,MATCH(Data!$DN360,'Data_Price '!$AT$2:$AT$1266,0))</f>
        <v>https://tinyurl.com/ybesoc4h</v>
      </c>
      <c r="DF360" t="str">
        <f>INDEX('Data_Price '!AO$2:AO$1266,MATCH(Data!$DN360,'Data_Price '!$AT$2:$AT$1266,0))</f>
        <v>Dynafit Blacklight 95 Alpine Touring Ski 172</v>
      </c>
      <c r="DG360" t="str">
        <f>INDEX('Data_Price '!AP$2:AP$1266,MATCH(Data!$DN360,'Data_Price '!$AT$2:$AT$1266,0))</f>
        <v>Cripple Creek Backcountry</v>
      </c>
      <c r="DH360">
        <f>INDEX('Data_Price '!AQ$2:AQ$1266,MATCH(Data!$DN360,'Data_Price '!$AT$2:$AT$1266,0))</f>
        <v>649.95000000000005</v>
      </c>
      <c r="DI360" t="str">
        <f>INDEX('Data_Price '!AR$2:AR$1266,MATCH(Data!$DN360,'Data_Price '!$AT$2:$AT$1266,0))</f>
        <v>https://tinyurl.com/y6vx6eg5</v>
      </c>
      <c r="DJ360" s="89" t="str">
        <f t="shared" si="217"/>
        <v>https://tinyurl.com/y729lv8x</v>
      </c>
      <c r="DK360" s="89" t="str">
        <f t="shared" si="218"/>
        <v>https://tinyurl.com/ybesoc4h</v>
      </c>
      <c r="DL360" s="89" t="str">
        <f t="shared" si="219"/>
        <v>https://tinyurl.com/y6vx6eg5</v>
      </c>
      <c r="DM360" s="219" t="str">
        <f t="shared" si="220"/>
        <v>Blacklight 95</v>
      </c>
      <c r="DN360" s="89" t="str">
        <f t="shared" si="221"/>
        <v xml:space="preserve"> DynafitBlacklight 95172 Unisex</v>
      </c>
      <c r="DO360" s="221" t="s">
        <v>549</v>
      </c>
    </row>
    <row r="361" spans="2:119" ht="15.6" customHeight="1">
      <c r="B361" s="219" t="b">
        <f t="array" ref="B361">IF(OR(ISERROR(K361:P361)),FALSE,TRUE)</f>
        <v>1</v>
      </c>
      <c r="C361" s="43" t="b">
        <f>OR(BR361=Driver!$G$50,Data!BR12=Driver!$H$50)</f>
        <v>0</v>
      </c>
      <c r="D361" s="43" t="b">
        <f>OR(BV361=Driver!$G$51,BV361=Driver!$H$51)</f>
        <v>1</v>
      </c>
      <c r="E361" s="43" t="b">
        <f>AND(BX361&gt;Driver!$F$54,BX361&lt;Driver!$G$54)</f>
        <v>0</v>
      </c>
      <c r="F361" s="43" t="b">
        <f>CL361&gt;Driver!$F$56</f>
        <v>1</v>
      </c>
      <c r="G361" s="43" t="b">
        <f>AND(CB361&gt;Driver!$F$55,CB361&lt;Driver!$G$55)</f>
        <v>0</v>
      </c>
      <c r="H361" s="43" t="b">
        <f t="shared" si="185"/>
        <v>0</v>
      </c>
      <c r="I361" s="43">
        <f t="shared" si="186"/>
        <v>0</v>
      </c>
      <c r="J361" s="43" t="b">
        <f t="array" ref="J361">NOT(OR(($H$9:$H$1273=TRUE)*($I$9:$I$1273&gt;0)*($BT$9:$BT$1273=BT361)*($K$9:$K$1273&gt;K361)))</f>
        <v>1</v>
      </c>
      <c r="K361" s="72">
        <f t="shared" si="187"/>
        <v>0.92016006011821583</v>
      </c>
      <c r="L361" s="72">
        <f t="shared" si="188"/>
        <v>0.95527217076725524</v>
      </c>
      <c r="M361" s="72">
        <f t="shared" si="189"/>
        <v>0.88504794946917653</v>
      </c>
      <c r="N361" s="72">
        <f t="shared" si="190"/>
        <v>0.94782701622683474</v>
      </c>
      <c r="O361" s="72">
        <f t="shared" si="191"/>
        <v>0.71821180198296175</v>
      </c>
      <c r="P361" s="72">
        <f t="shared" si="192"/>
        <v>0.9891050301977331</v>
      </c>
      <c r="Q361" s="72"/>
      <c r="R361" s="72"/>
      <c r="S361" s="72">
        <f t="shared" si="193"/>
        <v>0.43890223228008785</v>
      </c>
      <c r="T361" s="72">
        <f t="shared" si="194"/>
        <v>0.50172301205255354</v>
      </c>
      <c r="U361" s="72">
        <f t="shared" si="195"/>
        <v>0.70212388989431362</v>
      </c>
      <c r="V361" s="72">
        <f t="shared" si="196"/>
        <v>0.58631518462155574</v>
      </c>
      <c r="W361" s="72">
        <f t="shared" si="197"/>
        <v>0.80263603818615747</v>
      </c>
      <c r="X361" s="72">
        <f t="shared" si="198"/>
        <v>4.4727829232744792E-2</v>
      </c>
      <c r="Y361" s="72">
        <f t="shared" si="199"/>
        <v>0.11495205053082348</v>
      </c>
      <c r="Z361" s="72">
        <f t="shared" si="200"/>
        <v>5.2172983773165302E-2</v>
      </c>
      <c r="AA361" s="72">
        <f t="shared" si="201"/>
        <v>0.28178819801703825</v>
      </c>
      <c r="AB361" s="72">
        <f t="shared" si="202"/>
        <v>1.0894969802266896E-2</v>
      </c>
      <c r="AC361" s="72"/>
      <c r="AD361" s="72"/>
      <c r="AE361" s="72">
        <f t="shared" si="203"/>
        <v>0.56109776771991215</v>
      </c>
      <c r="AF361" s="72">
        <f t="shared" si="204"/>
        <v>0.4982769879474464</v>
      </c>
      <c r="AG361" s="72">
        <f t="shared" si="205"/>
        <v>0.29787611010568638</v>
      </c>
      <c r="AH361" s="72">
        <f t="shared" si="206"/>
        <v>0.4136848153784442</v>
      </c>
      <c r="AI361" s="72">
        <f t="shared" si="207"/>
        <v>0.19736396181384247</v>
      </c>
      <c r="AJ361" s="72">
        <f>(AV361-Driver!$K$179)/(Driver!$L$179-Driver!$K$179)</f>
        <v>0.20949158004995563</v>
      </c>
      <c r="AK361" s="72">
        <f>(AW361-Driver!$K$180)/(Driver!$L$180-Driver!$K$180)</f>
        <v>0.25526583169251221</v>
      </c>
      <c r="AL361" s="72">
        <f>(AX361-Driver!$K$181)/(Driver!$L$181-Driver!$K$181)</f>
        <v>0.15386074748624548</v>
      </c>
      <c r="AM361" s="72">
        <f>(AY361-Driver!$K$182)/(Driver!$L$182-Driver!$K$182)</f>
        <v>0.16559682308000812</v>
      </c>
      <c r="AN361" s="72">
        <f>(AZ361-Driver!$K$183)/(Driver!$L$183-Driver!$K$183)</f>
        <v>0.26511437908496732</v>
      </c>
      <c r="AO361" s="72"/>
      <c r="AP361" s="72"/>
      <c r="AQ361" s="72">
        <f>(BC361-Driver!$K$188)/(Driver!$L$188-Driver!$K$188)</f>
        <v>5.8902232280087799E-2</v>
      </c>
      <c r="AR361" s="72">
        <f>MIN((BD361-Driver!$K$189)/(Driver!$L$189-Driver!$K$189),100%)</f>
        <v>5.1723012052553662E-2</v>
      </c>
      <c r="AS361" s="72">
        <f>(BE361-Driver!$K$190)/(Driver!$L$190-Driver!$K$190)</f>
        <v>0.21212388989431361</v>
      </c>
      <c r="AT361" s="72">
        <f>(BF361-Driver!$K$191)/(Driver!$L$191-Driver!$K$191)</f>
        <v>9.6315184621555805E-2</v>
      </c>
      <c r="AU361" s="72">
        <f>(BG361-Driver!$K$192)/(Driver!$L$192-Driver!$K$192)</f>
        <v>5.2636038186157523E-2</v>
      </c>
      <c r="AV361" s="70">
        <f t="shared" si="208"/>
        <v>4.409171075837742</v>
      </c>
      <c r="AW361" s="70">
        <f t="shared" si="209"/>
        <v>26.749809805260298</v>
      </c>
      <c r="AX361" s="70">
        <f t="shared" si="210"/>
        <v>2.3847467273762093</v>
      </c>
      <c r="AY361" s="70">
        <f>IFERROR(Driver!$K$19/Data!BH361/Data!BI361*Data!BK361*Data!BL361,"")</f>
        <v>0.20273992077314038</v>
      </c>
      <c r="AZ361" s="70">
        <f t="shared" si="211"/>
        <v>24.162323157110947</v>
      </c>
      <c r="BA361" s="70"/>
      <c r="BB361" s="70"/>
      <c r="BC361" s="70">
        <f t="shared" si="212"/>
        <v>30.552997365357093</v>
      </c>
      <c r="BD361" s="70">
        <f t="shared" si="213"/>
        <v>6.2982178029944516</v>
      </c>
      <c r="BE361" s="70">
        <f t="shared" si="214"/>
        <v>0.2122644381244331</v>
      </c>
      <c r="BF361" s="70">
        <f t="shared" si="215"/>
        <v>10.878123450536901</v>
      </c>
      <c r="BG361" s="70">
        <f t="shared" si="216"/>
        <v>0.19931361873508358</v>
      </c>
      <c r="BH361" s="67">
        <f>MAX((CE361-Driver!$F$200)/(Driver!$G$200-Driver!$F$200)*$BI$1,1)</f>
        <v>2.3847467273762093</v>
      </c>
      <c r="BI361" s="67">
        <f>MAX($BI$1*(BY361-Driver!$F$201)/(Driver!$G$201-Driver!$F$201),1)</f>
        <v>6.962025316455696</v>
      </c>
      <c r="BJ361" s="67">
        <f>(CB361-Driver!$F$206)/(Driver!$G$206-Driver!$F$206)*$BI$1</f>
        <v>4.1269841269841265</v>
      </c>
      <c r="BK361" s="67">
        <f>(CD361-Driver!$F$203)/(Driver!$G$203-Driver!$F$203)*$BI$1</f>
        <v>2.5688073394495414</v>
      </c>
      <c r="BL361" s="67">
        <f>MAX((CR361-Driver!$F$202)/(Driver!$G$202-Driver!$F$202)*$BI$1,1)</f>
        <v>6.5517241379310338</v>
      </c>
      <c r="BM361" s="67">
        <f>MAX((CH361-Driver!$F$204)/(Driver!$G$204-Driver!$F$204)*$BI$1,1)</f>
        <v>4.2735042735042734</v>
      </c>
      <c r="BN361" s="67">
        <f>(CI361-Driver!$F$205)/(Driver!$G$205-Driver!$F$205)*$BI$1</f>
        <v>3.4705882352941178</v>
      </c>
      <c r="BO361" s="67">
        <f>(CK361-Driver!$F$207)/(Driver!$G$207-Driver!$F$207)*$BI$1</f>
        <v>2.3991726990692861</v>
      </c>
      <c r="BP361" s="67">
        <f>(CM361-Driver!$F$208)/(Driver!$G$208-Driver!$F$208)*$BI$1</f>
        <v>2.822222222222222</v>
      </c>
      <c r="BQ361" s="67">
        <f>(CL361-Driver!$F$209)/(Driver!$G$209-Driver!$F$209)*$BI$1</f>
        <v>2.03125</v>
      </c>
      <c r="BR361" s="28" t="s">
        <v>217</v>
      </c>
      <c r="BS361" s="8" t="s">
        <v>218</v>
      </c>
      <c r="BT361" s="9" t="s">
        <v>550</v>
      </c>
      <c r="BU361" s="10">
        <v>178</v>
      </c>
      <c r="BV361" s="9" t="s">
        <v>158</v>
      </c>
      <c r="BW361" s="10">
        <v>178</v>
      </c>
      <c r="BX361" s="10">
        <v>177.6</v>
      </c>
      <c r="BY361" s="10">
        <v>118</v>
      </c>
      <c r="BZ361" s="10">
        <v>135</v>
      </c>
      <c r="CA361" s="10">
        <v>125</v>
      </c>
      <c r="CB361" s="10">
        <v>90</v>
      </c>
      <c r="CC361" s="10">
        <v>109</v>
      </c>
      <c r="CD361" s="10">
        <v>15</v>
      </c>
      <c r="CE361" s="10">
        <v>1319</v>
      </c>
      <c r="CF361" s="10">
        <v>1.38</v>
      </c>
      <c r="CG361" s="10">
        <v>1819</v>
      </c>
      <c r="CH361" s="10">
        <v>201</v>
      </c>
      <c r="CI361" s="10">
        <v>92</v>
      </c>
      <c r="CJ361" s="10">
        <v>60</v>
      </c>
      <c r="CK361" s="10">
        <v>342</v>
      </c>
      <c r="CL361" s="10">
        <v>13</v>
      </c>
      <c r="CM361" s="10">
        <v>254</v>
      </c>
      <c r="CN361" s="10">
        <v>0.215</v>
      </c>
      <c r="CO361" s="10">
        <v>197</v>
      </c>
      <c r="CP361" s="10">
        <v>230</v>
      </c>
      <c r="CQ361" s="10">
        <v>144</v>
      </c>
      <c r="CR361" s="10">
        <v>8</v>
      </c>
      <c r="CS361" s="10">
        <v>13</v>
      </c>
      <c r="CT361" s="9" t="s">
        <v>185</v>
      </c>
      <c r="CU361" s="9" t="s">
        <v>198</v>
      </c>
      <c r="CV361" s="10"/>
      <c r="CW361" s="10"/>
      <c r="CX361" t="str">
        <f>INDEX('Data_Price '!AG$2:AG$1266,MATCH(Data!$DN361,'Data_Price '!$AT$2:$AT$1266,0))</f>
        <v>DPS Pagoda Tour 87 C2 Ski (2022) 178</v>
      </c>
      <c r="CY361" t="str">
        <f>INDEX('Data_Price '!AH$2:AH$1266,MATCH(Data!$DN361,'Data_Price '!$AT$2:$AT$1266,0))</f>
        <v>Cripple Creek Backcountry</v>
      </c>
      <c r="CZ361">
        <f>INDEX('Data_Price '!AI$2:AI$1266,MATCH(Data!$DN361,'Data_Price '!$AT$2:$AT$1266,0))</f>
        <v>1029</v>
      </c>
      <c r="DA361" t="str">
        <f>INDEX('Data_Price '!AJ$2:AJ$1266,MATCH(Data!$DN361,'Data_Price '!$AT$2:$AT$1266,0))</f>
        <v>https://tinyurl.com/yc8whmd6</v>
      </c>
      <c r="DB361" t="str">
        <f>INDEX('Data_Price '!AK$2:AK$1266,MATCH(Data!$DN361,'Data_Price '!$AT$2:$AT$1266,0))</f>
        <v>DPS Pagoda Tour 112 RP 178CM</v>
      </c>
      <c r="DC361" t="str">
        <f>INDEX('Data_Price '!AL$2:AL$1266,MATCH(Data!$DN361,'Data_Price '!$AT$2:$AT$1266,0))</f>
        <v>Neptune Mountaineering</v>
      </c>
      <c r="DD361">
        <f>INDEX('Data_Price '!AM$2:AM$1266,MATCH(Data!$DN361,'Data_Price '!$AT$2:$AT$1266,0))</f>
        <v>1039</v>
      </c>
      <c r="DE361" t="str">
        <f>INDEX('Data_Price '!AN$2:AN$1266,MATCH(Data!$DN361,'Data_Price '!$AT$2:$AT$1266,0))</f>
        <v>https://tinyurl.com/yd2zle28</v>
      </c>
      <c r="DF361" t="str">
        <f>INDEX('Data_Price '!AO$2:AO$1266,MATCH(Data!$DN361,'Data_Price '!$AT$2:$AT$1266,0))</f>
        <v>DPS Pagoda Tour 112 RP Skis Â· 178 cm Â· Orange</v>
      </c>
      <c r="DG361" t="str">
        <f>INDEX('Data_Price '!AP$2:AP$1266,MATCH(Data!$DN361,'Data_Price '!$AT$2:$AT$1266,0))</f>
        <v>Curated</v>
      </c>
      <c r="DH361">
        <f>INDEX('Data_Price '!AQ$2:AQ$1266,MATCH(Data!$DN361,'Data_Price '!$AT$2:$AT$1266,0))</f>
        <v>1039.2</v>
      </c>
      <c r="DI361" t="str">
        <f>INDEX('Data_Price '!AR$2:AR$1266,MATCH(Data!$DN361,'Data_Price '!$AT$2:$AT$1266,0))</f>
        <v>https://tinyurl.com/y7qgwxgd</v>
      </c>
      <c r="DJ361" s="89" t="str">
        <f t="shared" si="217"/>
        <v>https://tinyurl.com/yc8whmd6</v>
      </c>
      <c r="DK361" s="89" t="str">
        <f t="shared" si="218"/>
        <v>https://tinyurl.com/yd2zle28</v>
      </c>
      <c r="DL361" s="89" t="str">
        <f t="shared" si="219"/>
        <v>https://tinyurl.com/y7qgwxgd</v>
      </c>
      <c r="DM361" s="219" t="str">
        <f t="shared" si="220"/>
        <v>Pagoda Tour 90</v>
      </c>
      <c r="DN361" s="89" t="str">
        <f t="shared" si="221"/>
        <v xml:space="preserve"> DPSPagoda Tour 90178 Unisex</v>
      </c>
      <c r="DO361" s="221"/>
    </row>
    <row r="362" spans="2:119" ht="15.6" customHeight="1">
      <c r="B362" s="219" t="b">
        <f t="array" ref="B362">IF(OR(ISERROR(K362:P362)),FALSE,TRUE)</f>
        <v>1</v>
      </c>
      <c r="C362" s="43" t="b">
        <f>OR(BR362=Driver!$G$50,Data!BR205=Driver!$H$50)</f>
        <v>1</v>
      </c>
      <c r="D362" s="43" t="b">
        <f>OR(BV362=Driver!$G$51,BV362=Driver!$H$51)</f>
        <v>1</v>
      </c>
      <c r="E362" s="43" t="b">
        <f>AND(BX362&gt;Driver!$F$54,BX362&lt;Driver!$G$54)</f>
        <v>0</v>
      </c>
      <c r="F362" s="43" t="b">
        <f>CL362&gt;Driver!$F$56</f>
        <v>1</v>
      </c>
      <c r="G362" s="43" t="b">
        <f>AND(CB362&gt;Driver!$F$55,CB362&lt;Driver!$G$55)</f>
        <v>0</v>
      </c>
      <c r="H362" s="43" t="b">
        <f t="shared" si="185"/>
        <v>0</v>
      </c>
      <c r="I362" s="43">
        <f t="shared" si="186"/>
        <v>0</v>
      </c>
      <c r="J362" s="43" t="b">
        <f t="array" ref="J362">NOT(OR(($H$9:$H$1273=TRUE)*($I$9:$I$1273&gt;0)*($BT$9:$BT$1273=BT362)*($K$9:$K$1273&gt;K362)))</f>
        <v>1</v>
      </c>
      <c r="K362" s="72">
        <f t="shared" si="187"/>
        <v>0.85428631687347978</v>
      </c>
      <c r="L362" s="72">
        <f t="shared" si="188"/>
        <v>0.99588130782309281</v>
      </c>
      <c r="M362" s="72">
        <f t="shared" si="189"/>
        <v>0.71269132592386675</v>
      </c>
      <c r="N362" s="72">
        <f t="shared" si="190"/>
        <v>0.54372912208909996</v>
      </c>
      <c r="O362" s="72">
        <f t="shared" si="191"/>
        <v>0.70041956404685823</v>
      </c>
      <c r="P362" s="72">
        <f t="shared" si="192"/>
        <v>0.89392529163564172</v>
      </c>
      <c r="Q362" s="72"/>
      <c r="R362" s="72"/>
      <c r="S362" s="72">
        <f t="shared" si="193"/>
        <v>0.52044484337303376</v>
      </c>
      <c r="T362" s="72">
        <f t="shared" si="194"/>
        <v>0.53778516132923115</v>
      </c>
      <c r="U362" s="72">
        <f t="shared" si="195"/>
        <v>0.65155658556640494</v>
      </c>
      <c r="V362" s="72">
        <f t="shared" si="196"/>
        <v>0.50746101218728679</v>
      </c>
      <c r="W362" s="72">
        <f t="shared" si="197"/>
        <v>0.79959269580807979</v>
      </c>
      <c r="X362" s="72">
        <f t="shared" si="198"/>
        <v>4.1186921769071905E-3</v>
      </c>
      <c r="Y362" s="72">
        <f t="shared" si="199"/>
        <v>0.28730867407613331</v>
      </c>
      <c r="Z362" s="72">
        <f t="shared" si="200"/>
        <v>0.45627087791090004</v>
      </c>
      <c r="AA362" s="72">
        <f t="shared" si="201"/>
        <v>0.29958043595314171</v>
      </c>
      <c r="AB362" s="72">
        <f t="shared" si="202"/>
        <v>0.10607470836435834</v>
      </c>
      <c r="AC362" s="72"/>
      <c r="AD362" s="72"/>
      <c r="AE362" s="72">
        <f t="shared" si="203"/>
        <v>0.47955515662696624</v>
      </c>
      <c r="AF362" s="72">
        <f t="shared" si="204"/>
        <v>0.46221483867076885</v>
      </c>
      <c r="AG362" s="72">
        <f t="shared" si="205"/>
        <v>0.34844341443359506</v>
      </c>
      <c r="AH362" s="72">
        <f t="shared" si="206"/>
        <v>0.49253898781271321</v>
      </c>
      <c r="AI362" s="72">
        <f t="shared" si="207"/>
        <v>0.20040730419192018</v>
      </c>
      <c r="AJ362" s="72">
        <f>(AV362-Driver!$K$179)/(Driver!$L$179-Driver!$K$179)</f>
        <v>0.25010071710579324</v>
      </c>
      <c r="AK362" s="72">
        <f>(AW362-Driver!$K$180)/(Driver!$L$180-Driver!$K$180)</f>
        <v>0.38136731707604543</v>
      </c>
      <c r="AL362" s="72">
        <f>(AX362-Driver!$K$181)/(Driver!$L$181-Driver!$K$181)</f>
        <v>0.55795864162398023</v>
      </c>
      <c r="AM362" s="72">
        <f>(AY362-Driver!$K$182)/(Driver!$L$182-Driver!$K$182)</f>
        <v>0.14780458514390465</v>
      </c>
      <c r="AN362" s="72">
        <f>(AZ362-Driver!$K$183)/(Driver!$L$183-Driver!$K$183)</f>
        <v>0.36029411764705876</v>
      </c>
      <c r="AO362" s="72"/>
      <c r="AP362" s="72"/>
      <c r="AQ362" s="72">
        <f>(BC362-Driver!$K$188)/(Driver!$L$188-Driver!$K$188)</f>
        <v>0.14044484337303376</v>
      </c>
      <c r="AR362" s="72">
        <f>MIN((BD362-Driver!$K$189)/(Driver!$L$189-Driver!$K$189),100%)</f>
        <v>8.7785161329231171E-2</v>
      </c>
      <c r="AS362" s="72">
        <f>(BE362-Driver!$K$190)/(Driver!$L$190-Driver!$K$190)</f>
        <v>0.16155658556640495</v>
      </c>
      <c r="AT362" s="72">
        <f>(BF362-Driver!$K$191)/(Driver!$L$191-Driver!$K$191)</f>
        <v>1.7461012187286792E-2</v>
      </c>
      <c r="AU362" s="72">
        <f>(BG362-Driver!$K$192)/(Driver!$L$192-Driver!$K$192)</f>
        <v>4.9592695808079817E-2</v>
      </c>
      <c r="AV362" s="70">
        <f t="shared" si="208"/>
        <v>5.2638719305385973</v>
      </c>
      <c r="AW362" s="70">
        <f t="shared" si="209"/>
        <v>39.039516928714676</v>
      </c>
      <c r="AX362" s="70">
        <f t="shared" si="210"/>
        <v>6.0216277746158218</v>
      </c>
      <c r="AY362" s="70">
        <f>IFERROR(Driver!$K$19/Data!BH362/Data!BI362*Data!BK362*Data!BL362,"")</f>
        <v>0.18095691284792395</v>
      </c>
      <c r="AZ362" s="70">
        <f t="shared" si="211"/>
        <v>32.836932241250928</v>
      </c>
      <c r="BA362" s="70"/>
      <c r="BB362" s="70"/>
      <c r="BC362" s="70">
        <f t="shared" si="212"/>
        <v>72.84971661430373</v>
      </c>
      <c r="BD362" s="70">
        <f t="shared" si="213"/>
        <v>9.4896541156329572</v>
      </c>
      <c r="BE362" s="70">
        <f t="shared" si="214"/>
        <v>0.16170615443445729</v>
      </c>
      <c r="BF362" s="70">
        <f t="shared" si="215"/>
        <v>1.9720986560007581</v>
      </c>
      <c r="BG362" s="70">
        <f t="shared" si="216"/>
        <v>0.18778958304912985</v>
      </c>
      <c r="BH362" s="67">
        <f>MAX((CE362-Driver!$F$200)/(Driver!$G$200-Driver!$F$200)*$BI$1,1)</f>
        <v>6.0216277746158218</v>
      </c>
      <c r="BI362" s="67">
        <f>MAX($BI$1*(BY362-Driver!$F$201)/(Driver!$G$201-Driver!$F$201),1)</f>
        <v>8.8607594936708853</v>
      </c>
      <c r="BJ362" s="67">
        <f>(CB362-Driver!$F$206)/(Driver!$G$206-Driver!$F$206)*$BI$1</f>
        <v>5.0793650793650791</v>
      </c>
      <c r="BK362" s="67">
        <f>(CD362-Driver!$F$203)/(Driver!$G$203-Driver!$F$203)*$BI$1</f>
        <v>5.0000000000000009</v>
      </c>
      <c r="BL362" s="67">
        <f>MAX((CR362-Driver!$F$202)/(Driver!$G$202-Driver!$F$202)*$BI$1,1)</f>
        <v>9.6551724137931032</v>
      </c>
      <c r="BM362" s="67">
        <f>MAX((CH362-Driver!$F$204)/(Driver!$G$204-Driver!$F$204)*$BI$1,1)</f>
        <v>4.1452991452991457</v>
      </c>
      <c r="BN362" s="67">
        <f>(CI362-Driver!$F$205)/(Driver!$G$205-Driver!$F$205)*$BI$1</f>
        <v>3.7058823529411766</v>
      </c>
      <c r="BO362" s="67">
        <f>(CK362-Driver!$F$207)/(Driver!$G$207-Driver!$F$207)*$BI$1</f>
        <v>1.1271975180972078</v>
      </c>
      <c r="BP362" s="67">
        <f>(CM362-Driver!$F$208)/(Driver!$G$208-Driver!$F$208)*$BI$1</f>
        <v>1.7222222222222223</v>
      </c>
      <c r="BQ362" s="67">
        <f>(CL362-Driver!$F$209)/(Driver!$G$209-Driver!$F$209)*$BI$1</f>
        <v>4.6875</v>
      </c>
      <c r="BR362" s="28" t="s">
        <v>155</v>
      </c>
      <c r="BS362" s="8" t="s">
        <v>237</v>
      </c>
      <c r="BT362" s="9" t="s">
        <v>507</v>
      </c>
      <c r="BU362" s="10">
        <v>186.5</v>
      </c>
      <c r="BV362" s="9" t="s">
        <v>158</v>
      </c>
      <c r="BW362" s="10">
        <v>186.5</v>
      </c>
      <c r="BX362" s="10">
        <v>185.4</v>
      </c>
      <c r="BY362" s="10">
        <v>148</v>
      </c>
      <c r="BZ362" s="10">
        <v>159</v>
      </c>
      <c r="CA362" s="10">
        <v>131</v>
      </c>
      <c r="CB362" s="10">
        <v>96</v>
      </c>
      <c r="CC362" s="10">
        <v>119</v>
      </c>
      <c r="CD362" s="10">
        <v>20.3</v>
      </c>
      <c r="CE362" s="10">
        <v>1958</v>
      </c>
      <c r="CF362" s="10">
        <v>1.02</v>
      </c>
      <c r="CG362" s="10">
        <v>1990</v>
      </c>
      <c r="CH362" s="10">
        <v>198</v>
      </c>
      <c r="CI362" s="10">
        <v>96</v>
      </c>
      <c r="CJ362" s="10">
        <v>43</v>
      </c>
      <c r="CK362" s="10">
        <v>219</v>
      </c>
      <c r="CL362" s="10">
        <v>30</v>
      </c>
      <c r="CM362" s="10">
        <v>155</v>
      </c>
      <c r="CN362" s="10">
        <v>0.70899999999999996</v>
      </c>
      <c r="CO362" s="10">
        <v>139</v>
      </c>
      <c r="CP362" s="10">
        <v>127</v>
      </c>
      <c r="CQ362" s="10">
        <v>80</v>
      </c>
      <c r="CR362" s="10">
        <v>17</v>
      </c>
      <c r="CS362" s="10">
        <v>6</v>
      </c>
      <c r="CT362" s="9" t="s">
        <v>188</v>
      </c>
      <c r="CU362" s="10"/>
      <c r="CV362" s="10"/>
      <c r="CW362" s="10"/>
      <c r="CX362" t="str">
        <f>INDEX('Data_Price '!AG$2:AG$1266,MATCH(Data!$DN362,'Data_Price '!$AT$2:$AT$1266,0))</f>
        <v>Skis Black Crows Camox</v>
      </c>
      <c r="CY362" t="str">
        <f>INDEX('Data_Price '!AH$2:AH$1266,MATCH(Data!$DN362,'Data_Price '!$AT$2:$AT$1266,0))</f>
        <v>Basin Sports</v>
      </c>
      <c r="CZ362">
        <f>INDEX('Data_Price '!AI$2:AI$1266,MATCH(Data!$DN362,'Data_Price '!$AT$2:$AT$1266,0))</f>
        <v>569.95000000000005</v>
      </c>
      <c r="DA362" t="str">
        <f>INDEX('Data_Price '!AJ$2:AJ$1266,MATCH(Data!$DN362,'Data_Price '!$AT$2:$AT$1266,0))</f>
        <v>https://tinyurl.com/ycpvmymt</v>
      </c>
      <c r="DB362" t="str">
        <f>INDEX('Data_Price '!AK$2:AK$1266,MATCH(Data!$DN362,'Data_Price '!$AT$2:$AT$1266,0))</f>
        <v>Skis Black Crows Camox</v>
      </c>
      <c r="DC362" t="str">
        <f>INDEX('Data_Price '!AL$2:AL$1266,MATCH(Data!$DN362,'Data_Price '!$AT$2:$AT$1266,0))</f>
        <v>Curated</v>
      </c>
      <c r="DD362">
        <f>INDEX('Data_Price '!AM$2:AM$1266,MATCH(Data!$DN362,'Data_Price '!$AT$2:$AT$1266,0))</f>
        <v>575</v>
      </c>
      <c r="DE362" t="str">
        <f>INDEX('Data_Price '!AN$2:AN$1266,MATCH(Data!$DN362,'Data_Price '!$AT$2:$AT$1266,0))</f>
        <v>https://tinyurl.com/ycvvnvom</v>
      </c>
      <c r="DF362" t="str">
        <f>INDEX('Data_Price '!AO$2:AO$1266,MATCH(Data!$DN362,'Data_Price '!$AT$2:$AT$1266,0))</f>
        <v>Skis Black Crows Camox</v>
      </c>
      <c r="DG362" t="str">
        <f>INDEX('Data_Price '!AP$2:AP$1266,MATCH(Data!$DN362,'Data_Price '!$AT$2:$AT$1266,0))</f>
        <v>evo.com</v>
      </c>
      <c r="DH362">
        <f>INDEX('Data_Price '!AQ$2:AQ$1266,MATCH(Data!$DN362,'Data_Price '!$AT$2:$AT$1266,0))</f>
        <v>575.96</v>
      </c>
      <c r="DI362" t="str">
        <f>INDEX('Data_Price '!AR$2:AR$1266,MATCH(Data!$DN362,'Data_Price '!$AT$2:$AT$1266,0))</f>
        <v>https://tinyurl.com/yaoehyrh</v>
      </c>
      <c r="DJ362" s="89" t="str">
        <f t="shared" si="217"/>
        <v>https://tinyurl.com/ycpvmymt</v>
      </c>
      <c r="DK362" s="89" t="str">
        <f t="shared" si="218"/>
        <v>https://tinyurl.com/ycvvnvom</v>
      </c>
      <c r="DL362" s="89" t="str">
        <f t="shared" si="219"/>
        <v>https://tinyurl.com/yaoehyrh</v>
      </c>
      <c r="DM362" s="219" t="str">
        <f t="shared" si="220"/>
        <v>Camox</v>
      </c>
      <c r="DN362" s="89" t="str">
        <f t="shared" si="221"/>
        <v xml:space="preserve"> Black CrowsCamox186.5 Unisex</v>
      </c>
      <c r="DO362" s="221" t="s">
        <v>508</v>
      </c>
    </row>
    <row r="363" spans="2:119" ht="15.6" customHeight="1">
      <c r="B363" s="219" t="b">
        <f t="array" ref="B363">IF(OR(ISERROR(K363:P363)),FALSE,TRUE)</f>
        <v>1</v>
      </c>
      <c r="C363" s="43" t="b">
        <f>OR(BR363=Driver!$G$50,Data!BR288=Driver!$H$50)</f>
        <v>1</v>
      </c>
      <c r="D363" s="43" t="b">
        <f>OR(BV363=Driver!$G$51,BV363=Driver!$H$51)</f>
        <v>1</v>
      </c>
      <c r="E363" s="43" t="b">
        <f>AND(BX363&gt;Driver!$F$54,BX363&lt;Driver!$G$54)</f>
        <v>0</v>
      </c>
      <c r="F363" s="43" t="b">
        <f>CL363&gt;Driver!$F$56</f>
        <v>1</v>
      </c>
      <c r="G363" s="43" t="b">
        <f>AND(CB363&gt;Driver!$F$55,CB363&lt;Driver!$G$55)</f>
        <v>1</v>
      </c>
      <c r="H363" s="43" t="b">
        <f t="shared" si="185"/>
        <v>0</v>
      </c>
      <c r="I363" s="43">
        <f t="shared" si="186"/>
        <v>1</v>
      </c>
      <c r="J363" s="43" t="b">
        <f t="array" ref="J363">NOT(OR(($H$9:$H$1273=TRUE)*($I$9:$I$1273&gt;0)*($BT$9:$BT$1273=BT363)*($K$9:$K$1273&gt;K363)))</f>
        <v>1</v>
      </c>
      <c r="K363" s="72">
        <f t="shared" si="187"/>
        <v>0.82197308456596807</v>
      </c>
      <c r="L363" s="72">
        <f t="shared" si="188"/>
        <v>0.93224696548284547</v>
      </c>
      <c r="M363" s="72">
        <f t="shared" si="189"/>
        <v>0.71169920364909056</v>
      </c>
      <c r="N363" s="72">
        <f t="shared" si="190"/>
        <v>0.5121095685571958</v>
      </c>
      <c r="O363" s="72">
        <f t="shared" si="191"/>
        <v>0.64107255467600277</v>
      </c>
      <c r="P363" s="72">
        <f t="shared" si="192"/>
        <v>0.981915487714073</v>
      </c>
      <c r="Q363" s="72"/>
      <c r="R363" s="72"/>
      <c r="S363" s="72">
        <f t="shared" si="193"/>
        <v>0.46331783547540184</v>
      </c>
      <c r="T363" s="72">
        <f t="shared" si="194"/>
        <v>0.49918972112372328</v>
      </c>
      <c r="U363" s="72">
        <f t="shared" si="195"/>
        <v>0.50803772753750942</v>
      </c>
      <c r="V363" s="72">
        <f t="shared" si="196"/>
        <v>0.61191729315929766</v>
      </c>
      <c r="W363" s="72">
        <f t="shared" si="197"/>
        <v>0.80103790613718417</v>
      </c>
      <c r="X363" s="72">
        <f t="shared" si="198"/>
        <v>6.7753034517154531E-2</v>
      </c>
      <c r="Y363" s="72">
        <f t="shared" si="199"/>
        <v>0.28830079635090944</v>
      </c>
      <c r="Z363" s="72">
        <f t="shared" si="200"/>
        <v>0.4878904314428042</v>
      </c>
      <c r="AA363" s="72">
        <f t="shared" si="201"/>
        <v>0.35892744532399717</v>
      </c>
      <c r="AB363" s="72">
        <f t="shared" si="202"/>
        <v>1.8084512285927057E-2</v>
      </c>
      <c r="AC363" s="72"/>
      <c r="AD363" s="72"/>
      <c r="AE363" s="72">
        <f t="shared" si="203"/>
        <v>0.53668216452459816</v>
      </c>
      <c r="AF363" s="72">
        <f t="shared" si="204"/>
        <v>0.50081027887627672</v>
      </c>
      <c r="AG363" s="72">
        <f t="shared" si="205"/>
        <v>0.49196227246249058</v>
      </c>
      <c r="AH363" s="72">
        <f t="shared" si="206"/>
        <v>0.38808270684070234</v>
      </c>
      <c r="AI363" s="72">
        <f t="shared" si="207"/>
        <v>0.19896209386281588</v>
      </c>
      <c r="AJ363" s="72">
        <f>(AV363-Driver!$K$179)/(Driver!$L$179-Driver!$K$179)</f>
        <v>0.32197244379985496</v>
      </c>
      <c r="AK363" s="72">
        <f>(AW363-Driver!$K$180)/(Driver!$L$180-Driver!$K$180)</f>
        <v>0.30125718613976282</v>
      </c>
      <c r="AL363" s="72">
        <f>(AX363-Driver!$K$181)/(Driver!$L$181-Driver!$K$181)</f>
        <v>0.58957819515588439</v>
      </c>
      <c r="AM363" s="72">
        <f>(AY363-Driver!$K$182)/(Driver!$L$182-Driver!$K$182)</f>
        <v>8.8457575773049191E-2</v>
      </c>
      <c r="AN363" s="72">
        <f>(AZ363-Driver!$K$183)/(Driver!$L$183-Driver!$K$183)</f>
        <v>0.27230392156862748</v>
      </c>
      <c r="AO363" s="72"/>
      <c r="AP363" s="72"/>
      <c r="AQ363" s="72">
        <f>(BC363-Driver!$K$188)/(Driver!$L$188-Driver!$K$188)</f>
        <v>8.3317835475401836E-2</v>
      </c>
      <c r="AR363" s="72">
        <f>MIN((BD363-Driver!$K$189)/(Driver!$L$189-Driver!$K$189),100%)</f>
        <v>4.9189721123723378E-2</v>
      </c>
      <c r="AS363" s="72">
        <f>(BE363-Driver!$K$190)/(Driver!$L$190-Driver!$K$190)</f>
        <v>1.8037727537509454E-2</v>
      </c>
      <c r="AT363" s="72">
        <f>(BF363-Driver!$K$191)/(Driver!$L$191-Driver!$K$191)</f>
        <v>0.12191729315929765</v>
      </c>
      <c r="AU363" s="72">
        <f>(BG363-Driver!$K$192)/(Driver!$L$192-Driver!$K$192)</f>
        <v>5.1037906137184112E-2</v>
      </c>
      <c r="AV363" s="70">
        <f t="shared" si="208"/>
        <v>6.7765567765567774</v>
      </c>
      <c r="AW363" s="70">
        <f t="shared" si="209"/>
        <v>31.232074821002133</v>
      </c>
      <c r="AX363" s="70">
        <f t="shared" si="210"/>
        <v>6.3062037564029598</v>
      </c>
      <c r="AY363" s="70">
        <f>IFERROR(Driver!$K$19/Data!BH363/Data!BI363*Data!BK363*Data!BL363,"")</f>
        <v>0.10829846593945404</v>
      </c>
      <c r="AZ363" s="70">
        <f t="shared" si="211"/>
        <v>24.817572598659719</v>
      </c>
      <c r="BA363" s="70"/>
      <c r="BB363" s="70"/>
      <c r="BC363" s="70">
        <f t="shared" si="212"/>
        <v>43.2175404772862</v>
      </c>
      <c r="BD363" s="70">
        <f t="shared" si="213"/>
        <v>6.0740260445188854</v>
      </c>
      <c r="BE363" s="70">
        <f t="shared" si="214"/>
        <v>1.8212898554460597E-2</v>
      </c>
      <c r="BF363" s="70">
        <f t="shared" si="215"/>
        <v>13.769701744882717</v>
      </c>
      <c r="BG363" s="70">
        <f t="shared" si="216"/>
        <v>0.19326207129963899</v>
      </c>
      <c r="BH363" s="67">
        <f>MAX((CE363-Driver!$F$200)/(Driver!$G$200-Driver!$F$200)*$BI$1,1)</f>
        <v>6.3062037564029598</v>
      </c>
      <c r="BI363" s="67">
        <f>MAX($BI$1*(BY363-Driver!$F$201)/(Driver!$G$201-Driver!$F$201),1)</f>
        <v>6.3924050632911396</v>
      </c>
      <c r="BJ363" s="67">
        <f>(CB363-Driver!$F$206)/(Driver!$G$206-Driver!$F$206)*$BI$1</f>
        <v>5.8730158730158735</v>
      </c>
      <c r="BK363" s="67">
        <f>(CD363-Driver!$F$203)/(Driver!$G$203-Driver!$F$203)*$BI$1</f>
        <v>4.2201834862385326</v>
      </c>
      <c r="BL363" s="67">
        <f>MAX((CR363-Driver!$F$202)/(Driver!$G$202-Driver!$F$202)*$BI$1,1)</f>
        <v>5.1724137931034484</v>
      </c>
      <c r="BM363" s="67">
        <f>MAX((CH363-Driver!$F$204)/(Driver!$G$204-Driver!$F$204)*$BI$1,1)</f>
        <v>4.6153846153846159</v>
      </c>
      <c r="BN363" s="67">
        <f>(CI363-Driver!$F$205)/(Driver!$G$205-Driver!$F$205)*$BI$1</f>
        <v>3.8823529411764706</v>
      </c>
      <c r="BO363" s="67">
        <f>(CK363-Driver!$F$207)/(Driver!$G$207-Driver!$F$207)*$BI$1</f>
        <v>2.8541882109617371</v>
      </c>
      <c r="BP363" s="67">
        <f>(CM363-Driver!$F$208)/(Driver!$G$208-Driver!$F$208)*$BI$1</f>
        <v>3.4666666666666668</v>
      </c>
      <c r="BQ363" s="67">
        <f>(CL363-Driver!$F$209)/(Driver!$G$209-Driver!$F$209)*$BI$1</f>
        <v>5.625</v>
      </c>
      <c r="BR363" s="28" t="s">
        <v>155</v>
      </c>
      <c r="BS363" s="8" t="s">
        <v>317</v>
      </c>
      <c r="BT363" s="9" t="s">
        <v>551</v>
      </c>
      <c r="BU363" s="10">
        <v>180</v>
      </c>
      <c r="BV363" s="9" t="s">
        <v>158</v>
      </c>
      <c r="BW363" s="10">
        <v>180</v>
      </c>
      <c r="BX363" s="10">
        <v>178.3</v>
      </c>
      <c r="BY363" s="10">
        <v>109</v>
      </c>
      <c r="BZ363" s="10">
        <v>150</v>
      </c>
      <c r="CA363" s="10">
        <v>132</v>
      </c>
      <c r="CB363" s="10">
        <v>101</v>
      </c>
      <c r="CC363" s="10">
        <v>122</v>
      </c>
      <c r="CD363" s="10">
        <v>18.600000000000001</v>
      </c>
      <c r="CE363" s="10">
        <v>2008</v>
      </c>
      <c r="CF363" s="10">
        <v>0.99</v>
      </c>
      <c r="CG363" s="10">
        <v>1996</v>
      </c>
      <c r="CH363" s="10">
        <v>209</v>
      </c>
      <c r="CI363" s="10">
        <v>99</v>
      </c>
      <c r="CJ363" s="10">
        <v>63</v>
      </c>
      <c r="CK363" s="10">
        <v>386</v>
      </c>
      <c r="CL363" s="10">
        <v>36</v>
      </c>
      <c r="CM363" s="10">
        <v>312</v>
      </c>
      <c r="CN363" s="10">
        <v>0.56599999999999995</v>
      </c>
      <c r="CO363" s="10">
        <v>145</v>
      </c>
      <c r="CP363" s="10">
        <v>142</v>
      </c>
      <c r="CQ363" s="10">
        <v>241</v>
      </c>
      <c r="CR363" s="10">
        <v>4</v>
      </c>
      <c r="CS363" s="10">
        <v>7.6</v>
      </c>
      <c r="CT363" s="9" t="s">
        <v>188</v>
      </c>
      <c r="CU363" s="9" t="s">
        <v>169</v>
      </c>
      <c r="CV363" s="10"/>
      <c r="CW363" s="10"/>
      <c r="CX363" t="str">
        <f>INDEX('Data_Price '!AG$2:AG$1266,MATCH(Data!$DN363,'Data_Price '!$AT$2:$AT$1266,0))</f>
        <v>2020 Blizzard Rustler 10 Skis</v>
      </c>
      <c r="CY363" t="str">
        <f>INDEX('Data_Price '!AH$2:AH$1266,MATCH(Data!$DN363,'Data_Price '!$AT$2:$AT$1266,0))</f>
        <v>SidelineSwap</v>
      </c>
      <c r="CZ363">
        <f>INDEX('Data_Price '!AI$2:AI$1266,MATCH(Data!$DN363,'Data_Price '!$AT$2:$AT$1266,0))</f>
        <v>230</v>
      </c>
      <c r="DA363" t="str">
        <f>INDEX('Data_Price '!AJ$2:AJ$1266,MATCH(Data!$DN363,'Data_Price '!$AT$2:$AT$1266,0))</f>
        <v>https://tinyurl.com/ybbuy5um</v>
      </c>
      <c r="DB363" t="str">
        <f>INDEX('Data_Price '!AK$2:AK$1266,MATCH(Data!$DN363,'Data_Price '!$AT$2:$AT$1266,0))</f>
        <v>Blizzard Rustler 10 2022</v>
      </c>
      <c r="DC363" t="str">
        <f>INDEX('Data_Price '!AL$2:AL$1266,MATCH(Data!$DN363,'Data_Price '!$AT$2:$AT$1266,0))</f>
        <v>Stowesports.com</v>
      </c>
      <c r="DD363">
        <f>INDEX('Data_Price '!AM$2:AM$1266,MATCH(Data!$DN363,'Data_Price '!$AT$2:$AT$1266,0))</f>
        <v>559.95000000000005</v>
      </c>
      <c r="DE363" t="str">
        <f>INDEX('Data_Price '!AN$2:AN$1266,MATCH(Data!$DN363,'Data_Price '!$AT$2:$AT$1266,0))</f>
        <v>https://tinyurl.com/ycy6mdrt</v>
      </c>
      <c r="DF363" t="str">
        <f>INDEX('Data_Price '!AO$2:AO$1266,MATCH(Data!$DN363,'Data_Price '!$AT$2:$AT$1266,0))</f>
        <v>Blizzard Rustler 10 2022</v>
      </c>
      <c r="DG363" t="str">
        <f>INDEX('Data_Price '!AP$2:AP$1266,MATCH(Data!$DN363,'Data_Price '!$AT$2:$AT$1266,0))</f>
        <v>AlpineShopVT.com</v>
      </c>
      <c r="DH363">
        <f>INDEX('Data_Price '!AQ$2:AQ$1266,MATCH(Data!$DN363,'Data_Price '!$AT$2:$AT$1266,0))</f>
        <v>559.95000000000005</v>
      </c>
      <c r="DI363" t="str">
        <f>INDEX('Data_Price '!AR$2:AR$1266,MATCH(Data!$DN363,'Data_Price '!$AT$2:$AT$1266,0))</f>
        <v>https://tinyurl.com/yakygrzz</v>
      </c>
      <c r="DJ363" s="89" t="str">
        <f t="shared" si="217"/>
        <v>https://tinyurl.com/ybbuy5um</v>
      </c>
      <c r="DK363" s="89" t="str">
        <f t="shared" si="218"/>
        <v>https://tinyurl.com/ycy6mdrt</v>
      </c>
      <c r="DL363" s="89" t="str">
        <f t="shared" si="219"/>
        <v>https://tinyurl.com/yakygrzz</v>
      </c>
      <c r="DM363" s="219" t="str">
        <f t="shared" si="220"/>
        <v>Rustler 10</v>
      </c>
      <c r="DN363" s="89" t="str">
        <f t="shared" si="221"/>
        <v xml:space="preserve"> BlizzardRustler 10180 Unisex</v>
      </c>
      <c r="DO363" s="221" t="s">
        <v>552</v>
      </c>
    </row>
    <row r="364" spans="2:119" ht="15.6" customHeight="1">
      <c r="B364" s="219" t="b">
        <f t="array" ref="B364">IF(OR(ISERROR(K364:P364)),FALSE,TRUE)</f>
        <v>1</v>
      </c>
      <c r="C364" s="43" t="b">
        <f>OR(BR364=Driver!$G$50,Data!BR499=Driver!$H$50)</f>
        <v>1</v>
      </c>
      <c r="D364" s="43" t="b">
        <f>OR(BV364=Driver!$G$51,BV364=Driver!$H$51)</f>
        <v>1</v>
      </c>
      <c r="E364" s="43" t="b">
        <f>AND(BX364&gt;Driver!$F$54,BX364&lt;Driver!$G$54)</f>
        <v>0</v>
      </c>
      <c r="F364" s="43" t="b">
        <f>CL364&gt;Driver!$F$56</f>
        <v>1</v>
      </c>
      <c r="G364" s="43" t="b">
        <f>AND(CB364&gt;Driver!$F$55,CB364&lt;Driver!$G$55)</f>
        <v>0</v>
      </c>
      <c r="H364" s="43" t="b">
        <f t="shared" si="185"/>
        <v>0</v>
      </c>
      <c r="I364" s="43">
        <f t="shared" si="186"/>
        <v>0</v>
      </c>
      <c r="J364" s="43" t="b">
        <f t="array" ref="J364">NOT(OR(($H$9:$H$1273=TRUE)*($I$9:$I$1273&gt;0)*($BT$9:$BT$1273=BT364)*($K$9:$K$1273&gt;K364)))</f>
        <v>1</v>
      </c>
      <c r="K364" s="72">
        <f t="shared" si="187"/>
        <v>0.80587349952358678</v>
      </c>
      <c r="L364" s="72">
        <f t="shared" si="188"/>
        <v>0.81863807014806189</v>
      </c>
      <c r="M364" s="72">
        <f t="shared" si="189"/>
        <v>0.79310892889911166</v>
      </c>
      <c r="N364" s="72">
        <f t="shared" si="190"/>
        <v>0.69613537011287785</v>
      </c>
      <c r="O364" s="72">
        <f t="shared" si="191"/>
        <v>0.70178991083447784</v>
      </c>
      <c r="P364" s="72">
        <f t="shared" si="192"/>
        <v>0.98140150574997931</v>
      </c>
      <c r="Q364" s="72"/>
      <c r="R364" s="72"/>
      <c r="S364" s="72">
        <f t="shared" si="193"/>
        <v>0.46343261982655592</v>
      </c>
      <c r="T364" s="72">
        <f t="shared" si="194"/>
        <v>0.45530969656366616</v>
      </c>
      <c r="U364" s="72">
        <f t="shared" si="195"/>
        <v>0.54165665395597262</v>
      </c>
      <c r="V364" s="72">
        <f t="shared" si="196"/>
        <v>0.59820577987292478</v>
      </c>
      <c r="W364" s="72">
        <f t="shared" si="197"/>
        <v>0.78917923373594145</v>
      </c>
      <c r="X364" s="72">
        <f t="shared" si="198"/>
        <v>0.18136192985193811</v>
      </c>
      <c r="Y364" s="72">
        <f t="shared" si="199"/>
        <v>0.20689107110088834</v>
      </c>
      <c r="Z364" s="72">
        <f t="shared" si="200"/>
        <v>0.30386462988712215</v>
      </c>
      <c r="AA364" s="72">
        <f t="shared" si="201"/>
        <v>0.29821008916552216</v>
      </c>
      <c r="AB364" s="72">
        <f t="shared" si="202"/>
        <v>1.8598494250020692E-2</v>
      </c>
      <c r="AC364" s="72"/>
      <c r="AD364" s="72"/>
      <c r="AE364" s="72">
        <f t="shared" si="203"/>
        <v>0.53656738017344408</v>
      </c>
      <c r="AF364" s="72">
        <f t="shared" si="204"/>
        <v>0.54469030343633384</v>
      </c>
      <c r="AG364" s="72">
        <f t="shared" si="205"/>
        <v>0.45834334604402738</v>
      </c>
      <c r="AH364" s="72">
        <f t="shared" si="206"/>
        <v>0.40179422012707522</v>
      </c>
      <c r="AI364" s="72">
        <f t="shared" si="207"/>
        <v>0.21082076626405857</v>
      </c>
      <c r="AJ364" s="72">
        <f>(AV364-Driver!$K$179)/(Driver!$L$179-Driver!$K$179)</f>
        <v>0.43558133913463853</v>
      </c>
      <c r="AK364" s="72">
        <f>(AW364-Driver!$K$180)/(Driver!$L$180-Driver!$K$180)</f>
        <v>0.250721428145319</v>
      </c>
      <c r="AL364" s="72">
        <f>(AX364-Driver!$K$181)/(Driver!$L$181-Driver!$K$181)</f>
        <v>0.40555239360020234</v>
      </c>
      <c r="AM364" s="72">
        <f>(AY364-Driver!$K$182)/(Driver!$L$182-Driver!$K$182)</f>
        <v>0.1491749319315242</v>
      </c>
      <c r="AN364" s="72">
        <f>(AZ364-Driver!$K$183)/(Driver!$L$183-Driver!$K$183)</f>
        <v>0.23562091503267973</v>
      </c>
      <c r="AO364" s="72"/>
      <c r="AP364" s="72"/>
      <c r="AQ364" s="72">
        <f>(BC364-Driver!$K$188)/(Driver!$L$188-Driver!$K$188)</f>
        <v>8.3432619826555879E-2</v>
      </c>
      <c r="AR364" s="72">
        <f>MIN((BD364-Driver!$K$189)/(Driver!$L$189-Driver!$K$189),100%)</f>
        <v>5.3096965636662058E-3</v>
      </c>
      <c r="AS364" s="72">
        <f>(BE364-Driver!$K$190)/(Driver!$L$190-Driver!$K$190)</f>
        <v>5.1656653955972617E-2</v>
      </c>
      <c r="AT364" s="72">
        <f>(BF364-Driver!$K$191)/(Driver!$L$191-Driver!$K$191)</f>
        <v>0.10820577987292476</v>
      </c>
      <c r="AU364" s="72">
        <f>(BG364-Driver!$K$192)/(Driver!$L$192-Driver!$K$192)</f>
        <v>3.9179233735941427E-2</v>
      </c>
      <c r="AV364" s="70">
        <f t="shared" si="208"/>
        <v>9.1676841676841665</v>
      </c>
      <c r="AW364" s="70">
        <f t="shared" si="209"/>
        <v>26.306917412074544</v>
      </c>
      <c r="AX364" s="70">
        <f t="shared" si="210"/>
        <v>4.6499715424018211</v>
      </c>
      <c r="AY364" s="70">
        <f>IFERROR(Driver!$K$19/Data!BH364/Data!BI364*Data!BK364*Data!BL364,"")</f>
        <v>0.18263462618798898</v>
      </c>
      <c r="AZ364" s="70">
        <f t="shared" si="211"/>
        <v>21.474311243484735</v>
      </c>
      <c r="BA364" s="70"/>
      <c r="BB364" s="70"/>
      <c r="BC364" s="70">
        <f t="shared" si="212"/>
        <v>43.277079918197664</v>
      </c>
      <c r="BD364" s="70">
        <f t="shared" si="213"/>
        <v>2.1907216217565892</v>
      </c>
      <c r="BE364" s="70">
        <f t="shared" si="214"/>
        <v>5.182582773484784E-2</v>
      </c>
      <c r="BF364" s="70">
        <f t="shared" si="215"/>
        <v>12.221082648019568</v>
      </c>
      <c r="BG364" s="70">
        <f t="shared" si="216"/>
        <v>0.14835757257338167</v>
      </c>
      <c r="BH364" s="67">
        <f>MAX((CE364-Driver!$F$200)/(Driver!$G$200-Driver!$F$200)*$BI$1,1)</f>
        <v>4.6499715424018211</v>
      </c>
      <c r="BI364" s="67">
        <f>MAX($BI$1*(BY364-Driver!$F$201)/(Driver!$G$201-Driver!$F$201),1)</f>
        <v>6.518987341772152</v>
      </c>
      <c r="BJ364" s="67">
        <f>(CB364-Driver!$F$206)/(Driver!$G$206-Driver!$F$206)*$BI$1</f>
        <v>8.0952380952380949</v>
      </c>
      <c r="BK364" s="67">
        <f>(CD364-Driver!$F$203)/(Driver!$G$203-Driver!$F$203)*$BI$1</f>
        <v>5.7339449541284404</v>
      </c>
      <c r="BL364" s="67">
        <f>MAX((CR364-Driver!$F$202)/(Driver!$G$202-Driver!$F$202)*$BI$1,1)</f>
        <v>4.8275862068965516</v>
      </c>
      <c r="BM364" s="67">
        <f>MAX((CH364-Driver!$F$204)/(Driver!$G$204-Driver!$F$204)*$BI$1,1)</f>
        <v>4.5299145299145298</v>
      </c>
      <c r="BN364" s="67">
        <f>(CI364-Driver!$F$205)/(Driver!$G$205-Driver!$F$205)*$BI$1</f>
        <v>3.2941176470588234</v>
      </c>
      <c r="BO364" s="67">
        <f>(CK364-Driver!$F$207)/(Driver!$G$207-Driver!$F$207)*$BI$1</f>
        <v>2.6680455015511892</v>
      </c>
      <c r="BP364" s="67">
        <f>(CM364-Driver!$F$208)/(Driver!$G$208-Driver!$F$208)*$BI$1</f>
        <v>3.2444444444444445</v>
      </c>
      <c r="BQ364" s="67">
        <f>(CL364-Driver!$F$209)/(Driver!$G$209-Driver!$F$209)*$BI$1</f>
        <v>3.125</v>
      </c>
      <c r="BR364" s="28" t="s">
        <v>155</v>
      </c>
      <c r="BS364" s="8" t="s">
        <v>205</v>
      </c>
      <c r="BT364" s="9" t="s">
        <v>553</v>
      </c>
      <c r="BU364" s="10">
        <v>179</v>
      </c>
      <c r="BV364" s="9" t="s">
        <v>158</v>
      </c>
      <c r="BW364" s="10">
        <v>179</v>
      </c>
      <c r="BX364" s="10">
        <v>177.4</v>
      </c>
      <c r="BY364" s="10">
        <v>111</v>
      </c>
      <c r="BZ364" s="10">
        <v>143</v>
      </c>
      <c r="CA364" s="10">
        <v>140</v>
      </c>
      <c r="CB364" s="10">
        <v>115</v>
      </c>
      <c r="CC364" s="10">
        <v>131</v>
      </c>
      <c r="CD364" s="10">
        <v>21.9</v>
      </c>
      <c r="CE364" s="10">
        <v>1717</v>
      </c>
      <c r="CF364" s="10">
        <v>1.28</v>
      </c>
      <c r="CG364" s="10">
        <v>2191</v>
      </c>
      <c r="CH364" s="10">
        <v>207</v>
      </c>
      <c r="CI364" s="10">
        <v>89</v>
      </c>
      <c r="CJ364" s="10">
        <v>64</v>
      </c>
      <c r="CK364" s="10">
        <v>368</v>
      </c>
      <c r="CL364" s="10">
        <v>20</v>
      </c>
      <c r="CM364" s="10">
        <v>292</v>
      </c>
      <c r="CN364" s="10">
        <v>0.315</v>
      </c>
      <c r="CO364" s="10">
        <v>212</v>
      </c>
      <c r="CP364" s="10">
        <v>135</v>
      </c>
      <c r="CQ364" s="10">
        <v>156</v>
      </c>
      <c r="CR364" s="10">
        <v>3</v>
      </c>
      <c r="CS364" s="10">
        <v>12.2</v>
      </c>
      <c r="CT364" s="9" t="s">
        <v>178</v>
      </c>
      <c r="CU364" s="9" t="s">
        <v>185</v>
      </c>
      <c r="CV364" s="9" t="s">
        <v>198</v>
      </c>
      <c r="CW364" s="10"/>
      <c r="CX364" t="str">
        <f>INDEX('Data_Price '!AG$2:AG$1266,MATCH(Data!$DN364,'Data_Price '!$AT$2:$AT$1266,0))</f>
        <v>Faction Agent 4.0 Pow Collab Skis 179cm 2022</v>
      </c>
      <c r="CY364" t="str">
        <f>INDEX('Data_Price '!AH$2:AH$1266,MATCH(Data!$DN364,'Data_Price '!$AT$2:$AT$1266,0))</f>
        <v>Powder7 Ski Shop</v>
      </c>
      <c r="CZ364">
        <f>INDEX('Data_Price '!AI$2:AI$1266,MATCH(Data!$DN364,'Data_Price '!$AT$2:$AT$1266,0))</f>
        <v>679</v>
      </c>
      <c r="DA364" t="str">
        <f>INDEX('Data_Price '!AJ$2:AJ$1266,MATCH(Data!$DN364,'Data_Price '!$AT$2:$AT$1266,0))</f>
        <v>https://tinyurl.com/ydyzg82k</v>
      </c>
      <c r="DB364" t="str">
        <f>INDEX('Data_Price '!AK$2:AK$1266,MATCH(Data!$DN364,'Data_Price '!$AT$2:$AT$1266,0))</f>
        <v>Faction Prodigy 4.0 Skis</v>
      </c>
      <c r="DC364" t="str">
        <f>INDEX('Data_Price '!AL$2:AL$1266,MATCH(Data!$DN364,'Data_Price '!$AT$2:$AT$1266,0))</f>
        <v>The Locals Sale</v>
      </c>
      <c r="DD364">
        <f>INDEX('Data_Price '!AM$2:AM$1266,MATCH(Data!$DN364,'Data_Price '!$AT$2:$AT$1266,0))</f>
        <v>360</v>
      </c>
      <c r="DE364" t="str">
        <f>INDEX('Data_Price '!AN$2:AN$1266,MATCH(Data!$DN364,'Data_Price '!$AT$2:$AT$1266,0))</f>
        <v>https://tinyurl.com/y7p2lwe9</v>
      </c>
      <c r="DF364" t="str">
        <f>INDEX('Data_Price '!AO$2:AO$1266,MATCH(Data!$DN364,'Data_Price '!$AT$2:$AT$1266,0))</f>
        <v>Faction Agent 2.0 21/22</v>
      </c>
      <c r="DG364" t="str">
        <f>INDEX('Data_Price '!AP$2:AP$1266,MATCH(Data!$DN364,'Data_Price '!$AT$2:$AT$1266,0))</f>
        <v>PRFO Sports</v>
      </c>
      <c r="DH364">
        <f>INDEX('Data_Price '!AQ$2:AQ$1266,MATCH(Data!$DN364,'Data_Price '!$AT$2:$AT$1266,0))</f>
        <v>544.36</v>
      </c>
      <c r="DI364" t="str">
        <f>INDEX('Data_Price '!AR$2:AR$1266,MATCH(Data!$DN364,'Data_Price '!$AT$2:$AT$1266,0))</f>
        <v>https://tinyurl.com/yb8d6rmn</v>
      </c>
      <c r="DJ364" s="89" t="str">
        <f t="shared" si="217"/>
        <v>https://tinyurl.com/ydyzg82k</v>
      </c>
      <c r="DK364" s="89" t="str">
        <f t="shared" si="218"/>
        <v>https://tinyurl.com/y7p2lwe9</v>
      </c>
      <c r="DL364" s="89" t="str">
        <f t="shared" si="219"/>
        <v>https://tinyurl.com/yb8d6rmn</v>
      </c>
      <c r="DM364" s="219" t="str">
        <f t="shared" si="220"/>
        <v>Agent 4.0</v>
      </c>
      <c r="DN364" s="89" t="str">
        <f t="shared" si="221"/>
        <v xml:space="preserve"> FactionAgent 4.0179 Unisex</v>
      </c>
      <c r="DO364" s="221" t="s">
        <v>554</v>
      </c>
    </row>
    <row r="365" spans="2:119" ht="15.6" customHeight="1">
      <c r="B365" s="219" t="b">
        <f t="array" ref="B365">IF(OR(ISERROR(K365:P365)),FALSE,TRUE)</f>
        <v>1</v>
      </c>
      <c r="C365" s="43" t="b">
        <f>OR(BR365=Driver!$G$50,Data!BR262=Driver!$H$50)</f>
        <v>1</v>
      </c>
      <c r="D365" s="43" t="b">
        <f>OR(BV365=Driver!$G$51,BV365=Driver!$H$51)</f>
        <v>0</v>
      </c>
      <c r="E365" s="43" t="b">
        <f>AND(BX365&gt;Driver!$F$54,BX365&lt;Driver!$G$54)</f>
        <v>0</v>
      </c>
      <c r="F365" s="43" t="b">
        <f>CL365&gt;Driver!$F$56</f>
        <v>1</v>
      </c>
      <c r="G365" s="43" t="b">
        <f>AND(CB365&gt;Driver!$F$55,CB365&lt;Driver!$G$55)</f>
        <v>0</v>
      </c>
      <c r="H365" s="43" t="b">
        <f t="shared" si="185"/>
        <v>0</v>
      </c>
      <c r="I365" s="43">
        <f t="shared" si="186"/>
        <v>0</v>
      </c>
      <c r="J365" s="43" t="b">
        <f t="array" ref="J365">NOT(OR(($H$9:$H$1273=TRUE)*($I$9:$I$1273&gt;0)*($BT$9:$BT$1273=BT365)*($K$9:$K$1273&gt;K365)))</f>
        <v>1</v>
      </c>
      <c r="K365" s="72">
        <f t="shared" si="187"/>
        <v>0.82951098197944917</v>
      </c>
      <c r="L365" s="72">
        <f t="shared" si="188"/>
        <v>0.96381298133852267</v>
      </c>
      <c r="M365" s="72">
        <f t="shared" si="189"/>
        <v>0.69520898262037578</v>
      </c>
      <c r="N365" s="72">
        <f t="shared" si="190"/>
        <v>0.58483454168057525</v>
      </c>
      <c r="O365" s="72">
        <f t="shared" si="191"/>
        <v>0.61544554591745937</v>
      </c>
      <c r="P365" s="72">
        <f t="shared" si="192"/>
        <v>0.88534686026309262</v>
      </c>
      <c r="Q365" s="72"/>
      <c r="R365" s="72"/>
      <c r="S365" s="72">
        <f t="shared" si="193"/>
        <v>0.48500404988712531</v>
      </c>
      <c r="T365" s="72">
        <f t="shared" si="194"/>
        <v>0.61668405790971781</v>
      </c>
      <c r="U365" s="72">
        <f t="shared" si="195"/>
        <v>0.93752304348272841</v>
      </c>
      <c r="V365" s="72">
        <f t="shared" si="196"/>
        <v>0.50757835769929804</v>
      </c>
      <c r="W365" s="72">
        <f t="shared" si="197"/>
        <v>0.76666789477562447</v>
      </c>
      <c r="X365" s="72">
        <f t="shared" si="198"/>
        <v>3.6187018661477333E-2</v>
      </c>
      <c r="Y365" s="72">
        <f t="shared" si="199"/>
        <v>0.30479101737962427</v>
      </c>
      <c r="Z365" s="72">
        <f t="shared" si="200"/>
        <v>0.41516545831942475</v>
      </c>
      <c r="AA365" s="72">
        <f t="shared" si="201"/>
        <v>0.38455445408254063</v>
      </c>
      <c r="AB365" s="72">
        <f t="shared" si="202"/>
        <v>0.11465313973690738</v>
      </c>
      <c r="AC365" s="72"/>
      <c r="AD365" s="72"/>
      <c r="AE365" s="72">
        <f t="shared" si="203"/>
        <v>0.51499595011287469</v>
      </c>
      <c r="AF365" s="72">
        <f t="shared" si="204"/>
        <v>0.38331594209028219</v>
      </c>
      <c r="AG365" s="72">
        <f t="shared" si="205"/>
        <v>6.2476956517271587E-2</v>
      </c>
      <c r="AH365" s="72">
        <f t="shared" si="206"/>
        <v>0.4924216423007019</v>
      </c>
      <c r="AI365" s="72">
        <f t="shared" si="207"/>
        <v>0.2333321052243755</v>
      </c>
      <c r="AJ365" s="72">
        <f>(AV365-Driver!$K$179)/(Driver!$L$179-Driver!$K$179)</f>
        <v>0.21803239062122309</v>
      </c>
      <c r="AK365" s="72">
        <f>(AW365-Driver!$K$180)/(Driver!$L$180-Driver!$K$180)</f>
        <v>0.38452607954124191</v>
      </c>
      <c r="AL365" s="72">
        <f>(AX365-Driver!$K$181)/(Driver!$L$181-Driver!$K$181)</f>
        <v>0.51685322203250494</v>
      </c>
      <c r="AM365" s="72">
        <f>(AY365-Driver!$K$182)/(Driver!$L$182-Driver!$K$182)</f>
        <v>6.283056701450572E-2</v>
      </c>
      <c r="AN365" s="72">
        <f>(AZ365-Driver!$K$183)/(Driver!$L$183-Driver!$K$183)</f>
        <v>0.36887254901960781</v>
      </c>
      <c r="AO365" s="72"/>
      <c r="AP365" s="72"/>
      <c r="AQ365" s="72">
        <f>(BC365-Driver!$K$188)/(Driver!$L$188-Driver!$K$188)</f>
        <v>0.10500404988712531</v>
      </c>
      <c r="AR365" s="72">
        <f>MIN((BD365-Driver!$K$189)/(Driver!$L$189-Driver!$K$189),100%)</f>
        <v>0.16668405790971785</v>
      </c>
      <c r="AS365" s="72">
        <f>(BE365-Driver!$K$190)/(Driver!$L$190-Driver!$K$190)</f>
        <v>0.44752304348272842</v>
      </c>
      <c r="AT365" s="72">
        <f>(BF365-Driver!$K$191)/(Driver!$L$191-Driver!$K$191)</f>
        <v>1.7578357699298133E-2</v>
      </c>
      <c r="AU365" s="72">
        <f>(BG365-Driver!$K$192)/(Driver!$L$192-Driver!$K$192)</f>
        <v>1.6667894775624491E-2</v>
      </c>
      <c r="AV365" s="70">
        <f t="shared" si="208"/>
        <v>4.5889295889295889</v>
      </c>
      <c r="AW365" s="70">
        <f t="shared" si="209"/>
        <v>39.347366320430837</v>
      </c>
      <c r="AX365" s="70">
        <f t="shared" si="210"/>
        <v>5.6516789982925442</v>
      </c>
      <c r="AY365" s="70">
        <f>IFERROR(Driver!$K$19/Data!BH365/Data!BI365*Data!BK365*Data!BL365,"")</f>
        <v>7.6923360857580489E-2</v>
      </c>
      <c r="AZ365" s="70">
        <f t="shared" si="211"/>
        <v>33.618763961280713</v>
      </c>
      <c r="BA365" s="70"/>
      <c r="BB365" s="70"/>
      <c r="BC365" s="70">
        <f t="shared" si="212"/>
        <v>54.46633065276388</v>
      </c>
      <c r="BD365" s="70">
        <f t="shared" si="213"/>
        <v>16.472066662433722</v>
      </c>
      <c r="BE365" s="70">
        <f t="shared" si="214"/>
        <v>0.44762159915337807</v>
      </c>
      <c r="BF365" s="70">
        <f t="shared" si="215"/>
        <v>1.9853520071835593</v>
      </c>
      <c r="BG365" s="70">
        <f t="shared" si="216"/>
        <v>6.3115282587871191E-2</v>
      </c>
      <c r="BH365" s="67">
        <f>MAX((CE365-Driver!$F$200)/(Driver!$G$200-Driver!$F$200)*$BI$1,1)</f>
        <v>5.6516789982925442</v>
      </c>
      <c r="BI365" s="67">
        <f>MAX($BI$1*(BY365-Driver!$F$201)/(Driver!$G$201-Driver!$F$201),1)</f>
        <v>8.1645569620253173</v>
      </c>
      <c r="BJ365" s="67">
        <f>(CB365-Driver!$F$206)/(Driver!$G$206-Driver!$F$206)*$BI$1</f>
        <v>3.4920634920634921</v>
      </c>
      <c r="BK365" s="67">
        <f>(CD365-Driver!$F$203)/(Driver!$G$203-Driver!$F$203)*$BI$1</f>
        <v>3.0275229357798166</v>
      </c>
      <c r="BL365" s="67">
        <f>MAX((CR365-Driver!$F$202)/(Driver!$G$202-Driver!$F$202)*$BI$1,1)</f>
        <v>5.8620689655172411</v>
      </c>
      <c r="BM365" s="67">
        <f>MAX((CH365-Driver!$F$204)/(Driver!$G$204-Driver!$F$204)*$BI$1,1)</f>
        <v>5.2564102564102564</v>
      </c>
      <c r="BN365" s="67">
        <f>(CI365-Driver!$F$205)/(Driver!$G$205-Driver!$F$205)*$BI$1</f>
        <v>4.117647058823529</v>
      </c>
      <c r="BO365" s="67">
        <f>(CK365-Driver!$F$207)/(Driver!$G$207-Driver!$F$207)*$BI$1</f>
        <v>1.1065149948293691</v>
      </c>
      <c r="BP365" s="67">
        <f>(CM365-Driver!$F$208)/(Driver!$G$208-Driver!$F$208)*$BI$1</f>
        <v>1.5555555555555556</v>
      </c>
      <c r="BQ365" s="67">
        <f>(CL365-Driver!$F$209)/(Driver!$G$209-Driver!$F$209)*$BI$1</f>
        <v>1.875</v>
      </c>
      <c r="BR365" s="28" t="s">
        <v>155</v>
      </c>
      <c r="BS365" s="8" t="s">
        <v>317</v>
      </c>
      <c r="BT365" s="9" t="s">
        <v>502</v>
      </c>
      <c r="BU365" s="10">
        <v>171</v>
      </c>
      <c r="BV365" s="9" t="s">
        <v>163</v>
      </c>
      <c r="BW365" s="10">
        <v>171</v>
      </c>
      <c r="BX365" s="10">
        <v>172.4</v>
      </c>
      <c r="BY365" s="10">
        <v>137</v>
      </c>
      <c r="BZ365" s="10">
        <v>147</v>
      </c>
      <c r="CA365" s="10">
        <v>127</v>
      </c>
      <c r="CB365" s="10">
        <v>86</v>
      </c>
      <c r="CC365" s="10">
        <v>109</v>
      </c>
      <c r="CD365" s="10">
        <v>16</v>
      </c>
      <c r="CE365" s="10">
        <v>1893</v>
      </c>
      <c r="CF365" s="10">
        <v>0.89</v>
      </c>
      <c r="CG365" s="10">
        <v>1689</v>
      </c>
      <c r="CH365" s="10">
        <v>224</v>
      </c>
      <c r="CI365" s="10">
        <v>103</v>
      </c>
      <c r="CJ365" s="10">
        <v>58</v>
      </c>
      <c r="CK365" s="10">
        <v>217</v>
      </c>
      <c r="CL365" s="10">
        <v>12</v>
      </c>
      <c r="CM365" s="10">
        <v>140</v>
      </c>
      <c r="CN365" s="10">
        <v>0.215</v>
      </c>
      <c r="CO365" s="10">
        <v>118</v>
      </c>
      <c r="CP365" s="10">
        <v>134</v>
      </c>
      <c r="CQ365" s="10">
        <v>99</v>
      </c>
      <c r="CR365" s="10">
        <v>6</v>
      </c>
      <c r="CS365" s="10">
        <v>9.6999999999999993</v>
      </c>
      <c r="CT365" s="9" t="s">
        <v>188</v>
      </c>
      <c r="CU365" s="10"/>
      <c r="CV365" s="10"/>
      <c r="CW365" s="10"/>
      <c r="CX365" t="str">
        <f>INDEX('Data_Price '!AG$2:AG$1266,MATCH(Data!$DN365,'Data_Price '!$AT$2:$AT$1266,0))</f>
        <v>Blizzard Black Pearl 88 21/22</v>
      </c>
      <c r="CY365" t="str">
        <f>INDEX('Data_Price '!AH$2:AH$1266,MATCH(Data!$DN365,'Data_Price '!$AT$2:$AT$1266,0))</f>
        <v>Snowcountry.eu</v>
      </c>
      <c r="CZ365">
        <f>INDEX('Data_Price '!AI$2:AI$1266,MATCH(Data!$DN365,'Data_Price '!$AT$2:$AT$1266,0))</f>
        <v>354.97</v>
      </c>
      <c r="DA365" t="str">
        <f>INDEX('Data_Price '!AJ$2:AJ$1266,MATCH(Data!$DN365,'Data_Price '!$AT$2:$AT$1266,0))</f>
        <v>https://tinyurl.com/yatr7slk</v>
      </c>
      <c r="DB365" t="str">
        <f>INDEX('Data_Price '!AK$2:AK$1266,MATCH(Data!$DN365,'Data_Price '!$AT$2:$AT$1266,0))</f>
        <v>Blizzard Black Pearl 88 - Winter 2021/2022 171</v>
      </c>
      <c r="DC365" t="str">
        <f>INDEX('Data_Price '!AL$2:AL$1266,MATCH(Data!$DN365,'Data_Price '!$AT$2:$AT$1266,0))</f>
        <v>Equipe Sport</v>
      </c>
      <c r="DD365">
        <f>INDEX('Data_Price '!AM$2:AM$1266,MATCH(Data!$DN365,'Data_Price '!$AT$2:$AT$1266,0))</f>
        <v>519.95000000000005</v>
      </c>
      <c r="DE365" t="str">
        <f>INDEX('Data_Price '!AN$2:AN$1266,MATCH(Data!$DN365,'Data_Price '!$AT$2:$AT$1266,0))</f>
        <v>https://tinyurl.com/y9ghbwh8</v>
      </c>
      <c r="DF365" t="str">
        <f>INDEX('Data_Price '!AO$2:AO$1266,MATCH(Data!$DN365,'Data_Price '!$AT$2:$AT$1266,0))</f>
        <v>'22 Blizzard Black Pearl 88 Skis 171cm</v>
      </c>
      <c r="DG365" t="str">
        <f>INDEX('Data_Price '!AP$2:AP$1266,MATCH(Data!$DN365,'Data_Price '!$AT$2:$AT$1266,0))</f>
        <v>Al's Ski Equipment Barn</v>
      </c>
      <c r="DH365">
        <f>INDEX('Data_Price '!AQ$2:AQ$1266,MATCH(Data!$DN365,'Data_Price '!$AT$2:$AT$1266,0))</f>
        <v>649</v>
      </c>
      <c r="DI365" t="str">
        <f>INDEX('Data_Price '!AR$2:AR$1266,MATCH(Data!$DN365,'Data_Price '!$AT$2:$AT$1266,0))</f>
        <v>https://tinyurl.com/yd9n9dgr</v>
      </c>
      <c r="DJ365" s="89" t="str">
        <f t="shared" si="217"/>
        <v>https://tinyurl.com/yatr7slk</v>
      </c>
      <c r="DK365" s="89" t="str">
        <f t="shared" si="218"/>
        <v>https://tinyurl.com/y9ghbwh8</v>
      </c>
      <c r="DL365" s="89" t="str">
        <f t="shared" si="219"/>
        <v>https://tinyurl.com/yd9n9dgr</v>
      </c>
      <c r="DM365" s="219" t="str">
        <f t="shared" si="220"/>
        <v>Black Pearl 88</v>
      </c>
      <c r="DN365" s="89" t="str">
        <f t="shared" si="221"/>
        <v xml:space="preserve"> BlizzardBlack Pearl 88171 Women's</v>
      </c>
      <c r="DO365" s="221" t="s">
        <v>503</v>
      </c>
    </row>
    <row r="366" spans="2:119" ht="15.6" customHeight="1">
      <c r="B366" s="219" t="b">
        <f t="array" ref="B366">IF(OR(ISERROR(K366:P366)),FALSE,TRUE)</f>
        <v>1</v>
      </c>
      <c r="C366" s="43" t="b">
        <f>OR(BR366=Driver!$G$50,Data!BR677=Driver!$H$50)</f>
        <v>1</v>
      </c>
      <c r="D366" s="43" t="b">
        <f>OR(BV366=Driver!$G$51,BV366=Driver!$H$51)</f>
        <v>1</v>
      </c>
      <c r="E366" s="43" t="b">
        <f>AND(BX366&gt;Driver!$F$54,BX366&lt;Driver!$G$54)</f>
        <v>0</v>
      </c>
      <c r="F366" s="43" t="b">
        <f>CL366&gt;Driver!$F$56</f>
        <v>1</v>
      </c>
      <c r="G366" s="43" t="b">
        <f>AND(CB366&gt;Driver!$F$55,CB366&lt;Driver!$G$55)</f>
        <v>1</v>
      </c>
      <c r="H366" s="43" t="b">
        <f t="shared" si="185"/>
        <v>0</v>
      </c>
      <c r="I366" s="43">
        <f t="shared" si="186"/>
        <v>0</v>
      </c>
      <c r="J366" s="43" t="b">
        <f t="array" ref="J366">NOT(OR(($H$9:$H$1273=TRUE)*($I$9:$I$1273&gt;0)*($BT$9:$BT$1273=BT366)*($K$9:$K$1273&gt;K366)))</f>
        <v>1</v>
      </c>
      <c r="K366" s="72">
        <f t="shared" si="187"/>
        <v>0.77518844512146623</v>
      </c>
      <c r="L366" s="72">
        <f t="shared" si="188"/>
        <v>0.83007953336617479</v>
      </c>
      <c r="M366" s="72">
        <f t="shared" si="189"/>
        <v>0.72029735687675767</v>
      </c>
      <c r="N366" s="72">
        <f t="shared" si="190"/>
        <v>0.54942064172484273</v>
      </c>
      <c r="O366" s="72">
        <f t="shared" si="191"/>
        <v>0.62114090851161863</v>
      </c>
      <c r="P366" s="72">
        <f t="shared" si="192"/>
        <v>0.99033052039381153</v>
      </c>
      <c r="Q366" s="72"/>
      <c r="R366" s="72"/>
      <c r="S366" s="72">
        <f t="shared" si="193"/>
        <v>0.43295149252582432</v>
      </c>
      <c r="T366" s="72">
        <f t="shared" si="194"/>
        <v>0.49754245372113859</v>
      </c>
      <c r="U366" s="72">
        <f t="shared" si="195"/>
        <v>0.50358481130798038</v>
      </c>
      <c r="V366" s="72">
        <f t="shared" si="196"/>
        <v>0.67033615144169767</v>
      </c>
      <c r="W366" s="72">
        <f t="shared" si="197"/>
        <v>0.82941874914884928</v>
      </c>
      <c r="X366" s="72">
        <f t="shared" si="198"/>
        <v>0.16992046663382521</v>
      </c>
      <c r="Y366" s="72">
        <f t="shared" si="199"/>
        <v>0.27970264312324233</v>
      </c>
      <c r="Z366" s="72">
        <f t="shared" si="200"/>
        <v>0.45057935827515727</v>
      </c>
      <c r="AA366" s="72">
        <f t="shared" si="201"/>
        <v>0.37885909148838132</v>
      </c>
      <c r="AB366" s="72">
        <f t="shared" si="202"/>
        <v>9.6694796061884691E-3</v>
      </c>
      <c r="AC366" s="72"/>
      <c r="AD366" s="72"/>
      <c r="AE366" s="72">
        <f t="shared" si="203"/>
        <v>0.56704850747417568</v>
      </c>
      <c r="AF366" s="72">
        <f t="shared" si="204"/>
        <v>0.50245754627886141</v>
      </c>
      <c r="AG366" s="72">
        <f t="shared" si="205"/>
        <v>0.49641518869201967</v>
      </c>
      <c r="AH366" s="72">
        <f t="shared" si="206"/>
        <v>0.32966384855830239</v>
      </c>
      <c r="AI366" s="72">
        <f t="shared" si="207"/>
        <v>0.17058125085115075</v>
      </c>
      <c r="AJ366" s="72">
        <f>(AV366-Driver!$K$179)/(Driver!$L$179-Driver!$K$179)</f>
        <v>0.42413987591652563</v>
      </c>
      <c r="AK366" s="72">
        <f>(AW366-Driver!$K$180)/(Driver!$L$180-Driver!$K$180)</f>
        <v>0.28969187932942725</v>
      </c>
      <c r="AL366" s="72">
        <f>(AX366-Driver!$K$181)/(Driver!$L$181-Driver!$K$181)</f>
        <v>0.55226712198823746</v>
      </c>
      <c r="AM366" s="72">
        <f>(AY366-Driver!$K$182)/(Driver!$L$182-Driver!$K$182)</f>
        <v>6.8525929608665034E-2</v>
      </c>
      <c r="AN366" s="72">
        <f>(AZ366-Driver!$K$183)/(Driver!$L$183-Driver!$K$183)</f>
        <v>0.2638888888888889</v>
      </c>
      <c r="AO366" s="72"/>
      <c r="AP366" s="72"/>
      <c r="AQ366" s="72">
        <f>(BC366-Driver!$K$188)/(Driver!$L$188-Driver!$K$188)</f>
        <v>5.2951492525824345E-2</v>
      </c>
      <c r="AR366" s="72">
        <f>MIN((BD366-Driver!$K$189)/(Driver!$L$189-Driver!$K$189),100%)</f>
        <v>4.7542453721138585E-2</v>
      </c>
      <c r="AS366" s="72">
        <f>(BE366-Driver!$K$190)/(Driver!$L$190-Driver!$K$190)</f>
        <v>1.358481130798034E-2</v>
      </c>
      <c r="AT366" s="72">
        <f>(BF366-Driver!$K$191)/(Driver!$L$191-Driver!$K$191)</f>
        <v>0.18033615144169762</v>
      </c>
      <c r="AU366" s="72">
        <f>(BG366-Driver!$K$192)/(Driver!$L$192-Driver!$K$192)</f>
        <v>7.9418749148849249E-2</v>
      </c>
      <c r="AV366" s="70">
        <f t="shared" si="208"/>
        <v>8.9268755935422597</v>
      </c>
      <c r="AW366" s="70">
        <f t="shared" si="209"/>
        <v>30.104933193291558</v>
      </c>
      <c r="AX366" s="70">
        <f t="shared" si="210"/>
        <v>5.9704040978941375</v>
      </c>
      <c r="AY366" s="70">
        <f>IFERROR(Driver!$K$19/Data!BH366/Data!BI366*Data!BK366*Data!BL366,"")</f>
        <v>8.3896184005016625E-2</v>
      </c>
      <c r="AZ366" s="70">
        <f t="shared" si="211"/>
        <v>24.050632911392405</v>
      </c>
      <c r="BA366" s="70"/>
      <c r="BB366" s="70"/>
      <c r="BC366" s="70">
        <f t="shared" si="212"/>
        <v>27.466307285949018</v>
      </c>
      <c r="BD366" s="70">
        <f t="shared" si="213"/>
        <v>5.9282457981752552</v>
      </c>
      <c r="BE366" s="70">
        <f t="shared" si="214"/>
        <v>1.3760776675067126E-2</v>
      </c>
      <c r="BF366" s="70">
        <f t="shared" si="215"/>
        <v>20.367701372172448</v>
      </c>
      <c r="BG366" s="70">
        <f t="shared" si="216"/>
        <v>0.30073004796234515</v>
      </c>
      <c r="BH366" s="67">
        <f>MAX((CE366-Driver!$F$200)/(Driver!$G$200-Driver!$F$200)*$BI$1,1)</f>
        <v>5.9704040978941375</v>
      </c>
      <c r="BI366" s="67">
        <f>MAX($BI$1*(BY366-Driver!$F$201)/(Driver!$G$201-Driver!$F$201),1)</f>
        <v>6.0126582278481013</v>
      </c>
      <c r="BJ366" s="67">
        <f>(CB366-Driver!$F$206)/(Driver!$G$206-Driver!$F$206)*$BI$1</f>
        <v>7.4603174603174605</v>
      </c>
      <c r="BK366" s="67">
        <f>(CD366-Driver!$F$203)/(Driver!$G$203-Driver!$F$203)*$BI$1</f>
        <v>3.1192660550458715</v>
      </c>
      <c r="BL366" s="67">
        <f>MAX((CR366-Driver!$F$202)/(Driver!$G$202-Driver!$F$202)*$BI$1,1)</f>
        <v>4.8275862068965516</v>
      </c>
      <c r="BM366" s="67">
        <f>MAX((CH366-Driver!$F$204)/(Driver!$G$204-Driver!$F$204)*$BI$1,1)</f>
        <v>4.7863247863247862</v>
      </c>
      <c r="BN366" s="67">
        <f>(CI366-Driver!$F$205)/(Driver!$G$205-Driver!$F$205)*$BI$1</f>
        <v>4</v>
      </c>
      <c r="BO366" s="67">
        <f>(CK366-Driver!$F$207)/(Driver!$G$207-Driver!$F$207)*$BI$1</f>
        <v>2.512926577042399</v>
      </c>
      <c r="BP366" s="67">
        <f>(CM366-Driver!$F$208)/(Driver!$G$208-Driver!$F$208)*$BI$1</f>
        <v>3.3888888888888893</v>
      </c>
      <c r="BQ366" s="67">
        <f>(CL366-Driver!$F$209)/(Driver!$G$209-Driver!$F$209)*$BI$1</f>
        <v>8.59375</v>
      </c>
      <c r="BR366" s="28" t="s">
        <v>155</v>
      </c>
      <c r="BS366" s="8" t="s">
        <v>295</v>
      </c>
      <c r="BT366" s="9" t="s">
        <v>475</v>
      </c>
      <c r="BU366" s="10">
        <v>171</v>
      </c>
      <c r="BV366" s="9" t="s">
        <v>158</v>
      </c>
      <c r="BW366" s="10">
        <v>171</v>
      </c>
      <c r="BX366" s="10">
        <v>169</v>
      </c>
      <c r="BY366" s="10">
        <v>103</v>
      </c>
      <c r="BZ366" s="10">
        <v>142</v>
      </c>
      <c r="CA366" s="10">
        <v>146</v>
      </c>
      <c r="CB366" s="10">
        <v>111</v>
      </c>
      <c r="CC366" s="10">
        <v>136</v>
      </c>
      <c r="CD366" s="10">
        <v>16.2</v>
      </c>
      <c r="CE366" s="10">
        <v>1949</v>
      </c>
      <c r="CF366" s="10">
        <v>1.06</v>
      </c>
      <c r="CG366" s="10">
        <v>2060</v>
      </c>
      <c r="CH366" s="10">
        <v>213</v>
      </c>
      <c r="CI366" s="10">
        <v>101</v>
      </c>
      <c r="CJ366" s="10">
        <v>57</v>
      </c>
      <c r="CK366" s="10">
        <v>353</v>
      </c>
      <c r="CL366" s="10">
        <v>55</v>
      </c>
      <c r="CM366" s="10">
        <v>305</v>
      </c>
      <c r="CN366" s="10">
        <v>0.96399999999999997</v>
      </c>
      <c r="CO366" s="10">
        <v>134</v>
      </c>
      <c r="CP366" s="10">
        <v>141</v>
      </c>
      <c r="CQ366" s="10">
        <v>220</v>
      </c>
      <c r="CR366" s="10">
        <v>3</v>
      </c>
      <c r="CS366" s="10">
        <v>8.1999999999999993</v>
      </c>
      <c r="CT366" s="9" t="s">
        <v>184</v>
      </c>
      <c r="CU366" s="9" t="s">
        <v>169</v>
      </c>
      <c r="CV366" s="9" t="s">
        <v>185</v>
      </c>
      <c r="CW366" s="10"/>
      <c r="CX366" t="str">
        <f>INDEX('Data_Price '!AG$2:AG$1266,MATCH(Data!$DN366,'Data_Price '!$AT$2:$AT$1266,0))</f>
        <v>Icelantic Nomad 105 171cm with Adjustable Tyrolia Bindings</v>
      </c>
      <c r="CY366" t="str">
        <f>INDEX('Data_Price '!AH$2:AH$1266,MATCH(Data!$DN366,'Data_Price '!$AT$2:$AT$1266,0))</f>
        <v>Requipper</v>
      </c>
      <c r="CZ366">
        <f>INDEX('Data_Price '!AI$2:AI$1266,MATCH(Data!$DN366,'Data_Price '!$AT$2:$AT$1266,0))</f>
        <v>450</v>
      </c>
      <c r="DA366" t="str">
        <f>INDEX('Data_Price '!AJ$2:AJ$1266,MATCH(Data!$DN366,'Data_Price '!$AT$2:$AT$1266,0))</f>
        <v>https://tinyurl.com/y7zas2ol</v>
      </c>
      <c r="DB366" t="str">
        <f>INDEX('Data_Price '!AK$2:AK$1266,MATCH(Data!$DN366,'Data_Price '!$AT$2:$AT$1266,0))</f>
        <v>Icelantic Nomad 105 Skis 2022 171cm</v>
      </c>
      <c r="DC366" t="str">
        <f>INDEX('Data_Price '!AL$2:AL$1266,MATCH(Data!$DN366,'Data_Price '!$AT$2:$AT$1266,0))</f>
        <v>Glacier Ski Shop</v>
      </c>
      <c r="DD366">
        <f>INDEX('Data_Price '!AM$2:AM$1266,MATCH(Data!$DN366,'Data_Price '!$AT$2:$AT$1266,0))</f>
        <v>585</v>
      </c>
      <c r="DE366" t="str">
        <f>INDEX('Data_Price '!AN$2:AN$1266,MATCH(Data!$DN366,'Data_Price '!$AT$2:$AT$1266,0))</f>
        <v>https://tinyurl.com/y78yalvx</v>
      </c>
      <c r="DF366" t="str">
        <f>INDEX('Data_Price '!AO$2:AO$1266,MATCH(Data!$DN366,'Data_Price '!$AT$2:$AT$1266,0))</f>
        <v>Icelantic Nomad 105 Lite Skis Â· 2022 Â· 171 cm</v>
      </c>
      <c r="DG366" t="str">
        <f>INDEX('Data_Price '!AP$2:AP$1266,MATCH(Data!$DN366,'Data_Price '!$AT$2:$AT$1266,0))</f>
        <v>REI</v>
      </c>
      <c r="DH366">
        <f>INDEX('Data_Price '!AQ$2:AQ$1266,MATCH(Data!$DN366,'Data_Price '!$AT$2:$AT$1266,0))</f>
        <v>598.92999999999995</v>
      </c>
      <c r="DI366" t="str">
        <f>INDEX('Data_Price '!AR$2:AR$1266,MATCH(Data!$DN366,'Data_Price '!$AT$2:$AT$1266,0))</f>
        <v>https://tinyurl.com/y79ap75f</v>
      </c>
      <c r="DJ366" s="89" t="str">
        <f t="shared" si="217"/>
        <v>https://tinyurl.com/y7zas2ol</v>
      </c>
      <c r="DK366" s="89" t="str">
        <f t="shared" si="218"/>
        <v>https://tinyurl.com/y78yalvx</v>
      </c>
      <c r="DL366" s="89" t="str">
        <f t="shared" si="219"/>
        <v>https://tinyurl.com/y79ap75f</v>
      </c>
      <c r="DM366" s="219" t="str">
        <f t="shared" si="220"/>
        <v>Nomad 105</v>
      </c>
      <c r="DN366" s="89" t="str">
        <f t="shared" si="221"/>
        <v xml:space="preserve"> IcelanticNomad 105171 Unisex</v>
      </c>
      <c r="DO366" s="221" t="s">
        <v>476</v>
      </c>
    </row>
    <row r="367" spans="2:119" ht="15.6" customHeight="1">
      <c r="B367" s="219" t="b">
        <f t="array" ref="B367">IF(OR(ISERROR(K367:P367)),FALSE,TRUE)</f>
        <v>1</v>
      </c>
      <c r="C367" s="43" t="b">
        <f>OR(BR367=Driver!$G$50,Data!BR228=Driver!$H$50)</f>
        <v>1</v>
      </c>
      <c r="D367" s="43" t="b">
        <f>OR(BV367=Driver!$G$51,BV367=Driver!$H$51)</f>
        <v>1</v>
      </c>
      <c r="E367" s="43" t="b">
        <f>AND(BX367&gt;Driver!$F$54,BX367&lt;Driver!$G$54)</f>
        <v>0</v>
      </c>
      <c r="F367" s="43" t="b">
        <f>CL367&gt;Driver!$F$56</f>
        <v>1</v>
      </c>
      <c r="G367" s="43" t="b">
        <f>AND(CB367&gt;Driver!$F$55,CB367&lt;Driver!$G$55)</f>
        <v>0</v>
      </c>
      <c r="H367" s="43" t="b">
        <f t="shared" si="185"/>
        <v>0</v>
      </c>
      <c r="I367" s="43">
        <f t="shared" si="186"/>
        <v>0</v>
      </c>
      <c r="J367" s="43" t="b">
        <f t="array" ref="J367">NOT(OR(($H$9:$H$1273=TRUE)*($I$9:$I$1273&gt;0)*($BT$9:$BT$1273=BT367)*($K$9:$K$1273&gt;K367)))</f>
        <v>1</v>
      </c>
      <c r="K367" s="72">
        <f t="shared" si="187"/>
        <v>0.7614207479403774</v>
      </c>
      <c r="L367" s="72">
        <f t="shared" si="188"/>
        <v>0.81315905959290924</v>
      </c>
      <c r="M367" s="72">
        <f t="shared" si="189"/>
        <v>0.70968243628784555</v>
      </c>
      <c r="N367" s="72">
        <f t="shared" si="190"/>
        <v>0.54752346851292832</v>
      </c>
      <c r="O367" s="72">
        <f t="shared" si="191"/>
        <v>0.64495148989143702</v>
      </c>
      <c r="P367" s="72">
        <f t="shared" si="192"/>
        <v>0.93657235045917098</v>
      </c>
      <c r="Q367" s="72"/>
      <c r="R367" s="72"/>
      <c r="S367" s="72">
        <f t="shared" si="193"/>
        <v>0.49020530417601893</v>
      </c>
      <c r="T367" s="72">
        <f t="shared" si="194"/>
        <v>0.51484661344053451</v>
      </c>
      <c r="U367" s="72">
        <f t="shared" si="195"/>
        <v>0.51003623062941006</v>
      </c>
      <c r="V367" s="72">
        <f t="shared" si="196"/>
        <v>0.60157727602290678</v>
      </c>
      <c r="W367" s="72">
        <f t="shared" si="197"/>
        <v>0.78004924072455895</v>
      </c>
      <c r="X367" s="72">
        <f t="shared" si="198"/>
        <v>0.18684094040709082</v>
      </c>
      <c r="Y367" s="72">
        <f t="shared" si="199"/>
        <v>0.2903175637121545</v>
      </c>
      <c r="Z367" s="72">
        <f t="shared" si="200"/>
        <v>0.45247653148707168</v>
      </c>
      <c r="AA367" s="72">
        <f t="shared" si="201"/>
        <v>0.35504851010856298</v>
      </c>
      <c r="AB367" s="72">
        <f t="shared" si="202"/>
        <v>6.3427649540828968E-2</v>
      </c>
      <c r="AC367" s="72"/>
      <c r="AD367" s="72"/>
      <c r="AE367" s="72">
        <f t="shared" si="203"/>
        <v>0.50979469582398107</v>
      </c>
      <c r="AF367" s="72">
        <f t="shared" si="204"/>
        <v>0.48515338655946544</v>
      </c>
      <c r="AG367" s="72">
        <f t="shared" si="205"/>
        <v>0.48996376937058994</v>
      </c>
      <c r="AH367" s="72">
        <f t="shared" si="206"/>
        <v>0.39842272397709322</v>
      </c>
      <c r="AI367" s="72">
        <f t="shared" si="207"/>
        <v>0.21995075927544105</v>
      </c>
      <c r="AJ367" s="72">
        <f>(AV367-Driver!$K$179)/(Driver!$L$179-Driver!$K$179)</f>
        <v>0.44106034968979124</v>
      </c>
      <c r="AK367" s="72">
        <f>(AW367-Driver!$K$180)/(Driver!$L$180-Driver!$K$180)</f>
        <v>0.34043846663834904</v>
      </c>
      <c r="AL367" s="72">
        <f>(AX367-Driver!$K$181)/(Driver!$L$181-Driver!$K$181)</f>
        <v>0.55416429520015187</v>
      </c>
      <c r="AM367" s="72">
        <f>(AY367-Driver!$K$182)/(Driver!$L$182-Driver!$K$182)</f>
        <v>9.2336510988483389E-2</v>
      </c>
      <c r="AN367" s="72">
        <f>(AZ367-Driver!$K$183)/(Driver!$L$183-Driver!$K$183)</f>
        <v>0.31764705882352939</v>
      </c>
      <c r="AO367" s="72"/>
      <c r="AP367" s="72"/>
      <c r="AQ367" s="72">
        <f>(BC367-Driver!$K$188)/(Driver!$L$188-Driver!$K$188)</f>
        <v>0.1102053041760189</v>
      </c>
      <c r="AR367" s="72">
        <f>MIN((BD367-Driver!$K$189)/(Driver!$L$189-Driver!$K$189),100%)</f>
        <v>6.4846613440534592E-2</v>
      </c>
      <c r="AS367" s="72">
        <f>(BE367-Driver!$K$190)/(Driver!$L$190-Driver!$K$190)</f>
        <v>2.0036230629410078E-2</v>
      </c>
      <c r="AT367" s="72">
        <f>(BF367-Driver!$K$191)/(Driver!$L$191-Driver!$K$191)</f>
        <v>0.11157727602290678</v>
      </c>
      <c r="AU367" s="72">
        <f>(BG367-Driver!$K$192)/(Driver!$L$192-Driver!$K$192)</f>
        <v>3.0049240724558952E-2</v>
      </c>
      <c r="AV367" s="70">
        <f t="shared" si="208"/>
        <v>9.2830009496676151</v>
      </c>
      <c r="AW367" s="70">
        <f t="shared" si="209"/>
        <v>35.050637787052793</v>
      </c>
      <c r="AX367" s="70">
        <f t="shared" si="210"/>
        <v>5.9874786568013665</v>
      </c>
      <c r="AY367" s="70">
        <f>IFERROR(Driver!$K$19/Data!BH367/Data!BI367*Data!BK367*Data!BL367,"")</f>
        <v>0.11304744000570963</v>
      </c>
      <c r="AZ367" s="70">
        <f t="shared" si="211"/>
        <v>28.95011169024572</v>
      </c>
      <c r="BA367" s="70"/>
      <c r="BB367" s="70"/>
      <c r="BC367" s="70">
        <f t="shared" si="212"/>
        <v>57.164257410946185</v>
      </c>
      <c r="BD367" s="70">
        <f t="shared" si="213"/>
        <v>7.4596332721850951</v>
      </c>
      <c r="BE367" s="70">
        <f t="shared" si="214"/>
        <v>2.0211045135903737E-2</v>
      </c>
      <c r="BF367" s="70">
        <f t="shared" si="215"/>
        <v>12.601869452059042</v>
      </c>
      <c r="BG367" s="70">
        <f t="shared" si="216"/>
        <v>0.11378559472640104</v>
      </c>
      <c r="BH367" s="67">
        <f>MAX((CE367-Driver!$F$200)/(Driver!$G$200-Driver!$F$200)*$BI$1,1)</f>
        <v>5.9874786568013665</v>
      </c>
      <c r="BI367" s="67">
        <f>MAX($BI$1*(BY367-Driver!$F$201)/(Driver!$G$201-Driver!$F$201),1)</f>
        <v>6.075949367088608</v>
      </c>
      <c r="BJ367" s="67">
        <f>(CB367-Driver!$F$206)/(Driver!$G$206-Driver!$F$206)*$BI$1</f>
        <v>5.3968253968253963</v>
      </c>
      <c r="BK367" s="67">
        <f>(CD367-Driver!$F$203)/(Driver!$G$203-Driver!$F$203)*$BI$1</f>
        <v>4.5871559633027523</v>
      </c>
      <c r="BL367" s="67">
        <f>MAX((CR367-Driver!$F$202)/(Driver!$G$202-Driver!$F$202)*$BI$1,1)</f>
        <v>4.4827586206896548</v>
      </c>
      <c r="BM367" s="67">
        <f>MAX((CH367-Driver!$F$204)/(Driver!$G$204-Driver!$F$204)*$BI$1,1)</f>
        <v>6.8803418803418808</v>
      </c>
      <c r="BN367" s="67">
        <f>(CI367-Driver!$F$205)/(Driver!$G$205-Driver!$F$205)*$BI$1</f>
        <v>4.7647058823529411</v>
      </c>
      <c r="BO367" s="67">
        <f>(CK367-Driver!$F$207)/(Driver!$G$207-Driver!$F$207)*$BI$1</f>
        <v>3.2678386763185108</v>
      </c>
      <c r="BP367" s="67">
        <f>(CM367-Driver!$F$208)/(Driver!$G$208-Driver!$F$208)*$BI$1</f>
        <v>3.2777777777777777</v>
      </c>
      <c r="BQ367" s="67">
        <f>(CL367-Driver!$F$209)/(Driver!$G$209-Driver!$F$209)*$BI$1</f>
        <v>4.6875</v>
      </c>
      <c r="BR367" s="28" t="s">
        <v>155</v>
      </c>
      <c r="BS367" s="8" t="s">
        <v>237</v>
      </c>
      <c r="BT367" s="9" t="s">
        <v>555</v>
      </c>
      <c r="BU367" s="10">
        <v>177.4</v>
      </c>
      <c r="BV367" s="9" t="s">
        <v>158</v>
      </c>
      <c r="BW367" s="10">
        <v>177.4</v>
      </c>
      <c r="BX367" s="10">
        <v>176.1</v>
      </c>
      <c r="BY367" s="10">
        <v>104</v>
      </c>
      <c r="BZ367" s="10">
        <v>157</v>
      </c>
      <c r="CA367" s="10">
        <v>137</v>
      </c>
      <c r="CB367" s="10">
        <v>98</v>
      </c>
      <c r="CC367" s="10">
        <v>122</v>
      </c>
      <c r="CD367" s="10">
        <v>19.399999999999999</v>
      </c>
      <c r="CE367" s="10">
        <v>1952</v>
      </c>
      <c r="CF367" s="10">
        <v>0.99</v>
      </c>
      <c r="CG367" s="10">
        <v>1934</v>
      </c>
      <c r="CH367" s="10">
        <v>262</v>
      </c>
      <c r="CI367" s="10">
        <v>114</v>
      </c>
      <c r="CJ367" s="10">
        <v>53</v>
      </c>
      <c r="CK367" s="10">
        <v>426</v>
      </c>
      <c r="CL367" s="10">
        <v>30</v>
      </c>
      <c r="CM367" s="10">
        <v>295</v>
      </c>
      <c r="CN367" s="10">
        <v>0.57299999999999995</v>
      </c>
      <c r="CO367" s="10">
        <v>112</v>
      </c>
      <c r="CP367" s="10">
        <v>84</v>
      </c>
      <c r="CQ367" s="10">
        <v>314</v>
      </c>
      <c r="CR367" s="10">
        <v>2</v>
      </c>
      <c r="CS367" s="10">
        <v>8.5</v>
      </c>
      <c r="CT367" s="9" t="s">
        <v>188</v>
      </c>
      <c r="CU367" s="10"/>
      <c r="CV367" s="10"/>
      <c r="CW367" s="10"/>
      <c r="CX367" t="str">
        <f>INDEX('Data_Price '!AG$2:AG$1266,MATCH(Data!$DN367,'Data_Price '!$AT$2:$AT$1266,0))</f>
        <v>Black Crows - Justis Skis - 177</v>
      </c>
      <c r="CY367" t="str">
        <f>INDEX('Data_Price '!AH$2:AH$1266,MATCH(Data!$DN367,'Data_Price '!$AT$2:$AT$1266,0))</f>
        <v>! OutdoorXL.com</v>
      </c>
      <c r="CZ367">
        <f>INDEX('Data_Price '!AI$2:AI$1266,MATCH(Data!$DN367,'Data_Price '!$AT$2:$AT$1266,0))</f>
        <v>609.95000000000005</v>
      </c>
      <c r="DA367" t="str">
        <f>INDEX('Data_Price '!AJ$2:AJ$1266,MATCH(Data!$DN367,'Data_Price '!$AT$2:$AT$1266,0))</f>
        <v>https://tinyurl.com/yd6w37po</v>
      </c>
      <c r="DB367" t="str">
        <f>INDEX('Data_Price '!AK$2:AK$1266,MATCH(Data!$DN367,'Data_Price '!$AT$2:$AT$1266,0))</f>
        <v>2022/2023 Black Crows JUSTIS 177cm - $680</v>
      </c>
      <c r="DC367" t="str">
        <f>INDEX('Data_Price '!AL$2:AL$1266,MATCH(Data!$DN367,'Data_Price '!$AT$2:$AT$1266,0))</f>
        <v>Requipper</v>
      </c>
      <c r="DD367">
        <f>INDEX('Data_Price '!AM$2:AM$1266,MATCH(Data!$DN367,'Data_Price '!$AT$2:$AT$1266,0))</f>
        <v>680</v>
      </c>
      <c r="DE367" t="str">
        <f>INDEX('Data_Price '!AN$2:AN$1266,MATCH(Data!$DN367,'Data_Price '!$AT$2:$AT$1266,0))</f>
        <v>https://tinyurl.com/yahlqw8s</v>
      </c>
      <c r="DF367" t="str">
        <f>INDEX('Data_Price '!AO$2:AO$1266,MATCH(Data!$DN367,'Data_Price '!$AT$2:$AT$1266,0))</f>
        <v>Black Crows - Justis Skis - 177</v>
      </c>
      <c r="DG367" t="str">
        <f>INDEX('Data_Price '!AP$2:AP$1266,MATCH(Data!$DN367,'Data_Price '!$AT$2:$AT$1266,0))</f>
        <v>evo.com</v>
      </c>
      <c r="DH367">
        <f>INDEX('Data_Price '!AQ$2:AQ$1266,MATCH(Data!$DN367,'Data_Price '!$AT$2:$AT$1266,0))</f>
        <v>767.92</v>
      </c>
      <c r="DI367" t="str">
        <f>INDEX('Data_Price '!AR$2:AR$1266,MATCH(Data!$DN367,'Data_Price '!$AT$2:$AT$1266,0))</f>
        <v>https://tinyurl.com/yc9hlrea</v>
      </c>
      <c r="DJ367" s="89" t="str">
        <f t="shared" si="217"/>
        <v>https://tinyurl.com/yd6w37po</v>
      </c>
      <c r="DK367" s="89" t="str">
        <f t="shared" si="218"/>
        <v>https://tinyurl.com/yahlqw8s</v>
      </c>
      <c r="DL367" s="89" t="str">
        <f t="shared" si="219"/>
        <v>https://tinyurl.com/yc9hlrea</v>
      </c>
      <c r="DM367" s="219" t="str">
        <f t="shared" si="220"/>
        <v>Justis</v>
      </c>
      <c r="DN367" s="89" t="str">
        <f t="shared" si="221"/>
        <v xml:space="preserve"> Black CrowsJustis177.4 Unisex</v>
      </c>
      <c r="DO367" s="221" t="s">
        <v>556</v>
      </c>
    </row>
    <row r="368" spans="2:119" ht="15.6" customHeight="1">
      <c r="B368" s="219" t="b">
        <f t="array" ref="B368">IF(OR(ISERROR(K368:P368)),FALSE,TRUE)</f>
        <v>1</v>
      </c>
      <c r="C368" s="43" t="b">
        <f>OR(BR368=Driver!$G$50,Data!BR1173=Driver!$H$50)</f>
        <v>1</v>
      </c>
      <c r="D368" s="43" t="b">
        <f>OR(BV368=Driver!$G$51,BV368=Driver!$H$51)</f>
        <v>1</v>
      </c>
      <c r="E368" s="43" t="b">
        <f>AND(BX368&gt;Driver!$F$54,BX368&lt;Driver!$G$54)</f>
        <v>0</v>
      </c>
      <c r="F368" s="43" t="b">
        <f>CL368&gt;Driver!$F$56</f>
        <v>1</v>
      </c>
      <c r="G368" s="43" t="b">
        <f>AND(CB368&gt;Driver!$F$55,CB368&lt;Driver!$G$55)</f>
        <v>0</v>
      </c>
      <c r="H368" s="43" t="b">
        <f t="shared" si="185"/>
        <v>0</v>
      </c>
      <c r="I368" s="43">
        <f t="shared" si="186"/>
        <v>0</v>
      </c>
      <c r="J368" s="43" t="b">
        <f t="array" ref="J368">NOT(OR(($H$9:$H$1273=TRUE)*($I$9:$I$1273&gt;0)*($BT$9:$BT$1273=BT368)*($K$9:$K$1273&gt;K368)))</f>
        <v>1</v>
      </c>
      <c r="K368" s="72">
        <f t="shared" si="187"/>
        <v>0.84267421698915401</v>
      </c>
      <c r="L368" s="72">
        <f t="shared" si="188"/>
        <v>0.87663225456388727</v>
      </c>
      <c r="M368" s="72">
        <f t="shared" si="189"/>
        <v>0.80871617941442075</v>
      </c>
      <c r="N368" s="72">
        <f t="shared" si="190"/>
        <v>0.82514314852304671</v>
      </c>
      <c r="O368" s="72">
        <f t="shared" si="191"/>
        <v>0.70154832841468073</v>
      </c>
      <c r="P368" s="72">
        <f t="shared" si="192"/>
        <v>0.89945706130553482</v>
      </c>
      <c r="Q368" s="72"/>
      <c r="R368" s="72"/>
      <c r="S368" s="72">
        <f t="shared" si="193"/>
        <v>0.4204113665210254</v>
      </c>
      <c r="T368" s="72">
        <f t="shared" si="194"/>
        <v>0.45696784819949976</v>
      </c>
      <c r="U368" s="72">
        <f t="shared" si="195"/>
        <v>0.50614479830214554</v>
      </c>
      <c r="V368" s="72">
        <f t="shared" si="196"/>
        <v>0.76088426909250906</v>
      </c>
      <c r="W368" s="72">
        <f t="shared" si="197"/>
        <v>0.85872465625728267</v>
      </c>
      <c r="X368" s="72">
        <f t="shared" si="198"/>
        <v>0.12336774543611276</v>
      </c>
      <c r="Y368" s="72">
        <f t="shared" si="199"/>
        <v>0.19128382058557925</v>
      </c>
      <c r="Z368" s="72">
        <f t="shared" si="200"/>
        <v>0.17485685147695329</v>
      </c>
      <c r="AA368" s="72">
        <f t="shared" si="201"/>
        <v>0.29845167158531927</v>
      </c>
      <c r="AB368" s="72">
        <f t="shared" si="202"/>
        <v>0.10054293869446515</v>
      </c>
      <c r="AC368" s="72"/>
      <c r="AD368" s="72"/>
      <c r="AE368" s="72">
        <f t="shared" si="203"/>
        <v>0.5795886334789746</v>
      </c>
      <c r="AF368" s="72">
        <f t="shared" si="204"/>
        <v>0.54303215180050024</v>
      </c>
      <c r="AG368" s="72">
        <f t="shared" si="205"/>
        <v>0.49385520169785446</v>
      </c>
      <c r="AH368" s="72">
        <f t="shared" si="206"/>
        <v>0.239115730907491</v>
      </c>
      <c r="AI368" s="72">
        <f t="shared" si="207"/>
        <v>0.1412753437427173</v>
      </c>
      <c r="AJ368" s="72">
        <f>(AV368-Driver!$K$179)/(Driver!$L$179-Driver!$K$179)</f>
        <v>0.13085166384658767</v>
      </c>
      <c r="AK368" s="72">
        <f>(AW368-Driver!$K$180)/(Driver!$L$180-Driver!$K$180)</f>
        <v>0.16217411571813373</v>
      </c>
      <c r="AL368" s="72">
        <f>(AX368-Driver!$K$181)/(Driver!$L$181-Driver!$K$181)</f>
        <v>0.27654461519003348</v>
      </c>
      <c r="AM368" s="72">
        <f>(AY368-Driver!$K$182)/(Driver!$L$182-Driver!$K$182)</f>
        <v>0.14893334951172707</v>
      </c>
      <c r="AN368" s="72">
        <f>(AZ368-Driver!$K$183)/(Driver!$L$183-Driver!$K$183)</f>
        <v>0.15367647058823528</v>
      </c>
      <c r="AO368" s="72"/>
      <c r="AP368" s="72"/>
      <c r="AQ368" s="72">
        <f>(BC368-Driver!$K$188)/(Driver!$L$188-Driver!$K$188)</f>
        <v>4.0411366521025421E-2</v>
      </c>
      <c r="AR368" s="72">
        <f>MIN((BD368-Driver!$K$189)/(Driver!$L$189-Driver!$K$189),100%)</f>
        <v>6.9678481994998346E-3</v>
      </c>
      <c r="AS368" s="72">
        <f>(BE368-Driver!$K$190)/(Driver!$L$190-Driver!$K$190)</f>
        <v>1.614479830214554E-2</v>
      </c>
      <c r="AT368" s="72">
        <f>(BF368-Driver!$K$191)/(Driver!$L$191-Driver!$K$191)</f>
        <v>0.27088426909250901</v>
      </c>
      <c r="AU368" s="72">
        <f>(BG368-Driver!$K$192)/(Driver!$L$192-Driver!$K$192)</f>
        <v>0.1087246562572827</v>
      </c>
      <c r="AV368" s="70">
        <f t="shared" si="208"/>
        <v>2.7540360873694203</v>
      </c>
      <c r="AW368" s="70">
        <f t="shared" si="209"/>
        <v>17.677197207040209</v>
      </c>
      <c r="AX368" s="70">
        <f t="shared" si="210"/>
        <v>3.4889015367103013</v>
      </c>
      <c r="AY368" s="70">
        <f>IFERROR(Driver!$K$19/Data!BH368/Data!BI368*Data!BK368*Data!BL368,"")</f>
        <v>0.18233885722492021</v>
      </c>
      <c r="AZ368" s="70">
        <f t="shared" si="211"/>
        <v>14.005956813104987</v>
      </c>
      <c r="BA368" s="70"/>
      <c r="BB368" s="70"/>
      <c r="BC368" s="70">
        <f t="shared" si="212"/>
        <v>20.961656749718163</v>
      </c>
      <c r="BD368" s="70">
        <f t="shared" si="213"/>
        <v>2.3374651034570215</v>
      </c>
      <c r="BE368" s="70">
        <f t="shared" si="214"/>
        <v>1.6320306996366447E-2</v>
      </c>
      <c r="BF368" s="70">
        <f t="shared" si="215"/>
        <v>30.594475124302278</v>
      </c>
      <c r="BG368" s="70">
        <f t="shared" si="216"/>
        <v>0.41170090742251231</v>
      </c>
      <c r="BH368" s="67">
        <f>MAX((CE368-Driver!$F$200)/(Driver!$G$200-Driver!$F$200)*$BI$1,1)</f>
        <v>3.4889015367103013</v>
      </c>
      <c r="BI368" s="67">
        <f>MAX($BI$1*(BY368-Driver!$F$201)/(Driver!$G$201-Driver!$F$201),1)</f>
        <v>4.1772151898734178</v>
      </c>
      <c r="BJ368" s="67">
        <f>(CB368-Driver!$F$206)/(Driver!$G$206-Driver!$F$206)*$BI$1</f>
        <v>4.6031746031746028</v>
      </c>
      <c r="BK368" s="67">
        <f>(CD368-Driver!$F$203)/(Driver!$G$203-Driver!$F$203)*$BI$1</f>
        <v>3.2110091743119265</v>
      </c>
      <c r="BL368" s="67">
        <f>MAX((CR368-Driver!$F$202)/(Driver!$G$202-Driver!$F$202)*$BI$1,1)</f>
        <v>4.1379310344827589</v>
      </c>
      <c r="BM368" s="67">
        <f>MAX((CH368-Driver!$F$204)/(Driver!$G$204-Driver!$F$204)*$BI$1,1)</f>
        <v>2.3931623931623931</v>
      </c>
      <c r="BN368" s="67">
        <f>(CI368-Driver!$F$205)/(Driver!$G$205-Driver!$F$205)*$BI$1</f>
        <v>3.3529411764705879</v>
      </c>
      <c r="BO368" s="67">
        <f>(CK368-Driver!$F$207)/(Driver!$G$207-Driver!$F$207)*$BI$1</f>
        <v>4.4053774560496377</v>
      </c>
      <c r="BP368" s="67">
        <f>(CM368-Driver!$F$208)/(Driver!$G$208-Driver!$F$208)*$BI$1</f>
        <v>4.844444444444445</v>
      </c>
      <c r="BQ368" s="67">
        <f>(CL368-Driver!$F$209)/(Driver!$G$209-Driver!$F$209)*$BI$1</f>
        <v>3.4375</v>
      </c>
      <c r="BR368" s="28" t="s">
        <v>155</v>
      </c>
      <c r="BS368" s="8" t="s">
        <v>229</v>
      </c>
      <c r="BT368" s="9" t="s">
        <v>300</v>
      </c>
      <c r="BU368" s="10">
        <v>172</v>
      </c>
      <c r="BV368" s="9" t="s">
        <v>158</v>
      </c>
      <c r="BW368" s="10">
        <v>172</v>
      </c>
      <c r="BX368" s="10">
        <v>171.7</v>
      </c>
      <c r="BY368" s="10">
        <v>74</v>
      </c>
      <c r="BZ368" s="10">
        <v>147</v>
      </c>
      <c r="CA368" s="10">
        <v>133</v>
      </c>
      <c r="CB368" s="10">
        <v>93</v>
      </c>
      <c r="CC368" s="10">
        <v>115</v>
      </c>
      <c r="CD368" s="10">
        <v>16.399999999999999</v>
      </c>
      <c r="CE368" s="10">
        <v>1513</v>
      </c>
      <c r="CF368" s="10">
        <v>1.2</v>
      </c>
      <c r="CG368" s="10">
        <v>1820</v>
      </c>
      <c r="CH368" s="10">
        <v>157</v>
      </c>
      <c r="CI368" s="10">
        <v>90</v>
      </c>
      <c r="CJ368" s="10">
        <v>48</v>
      </c>
      <c r="CK368" s="10">
        <v>536</v>
      </c>
      <c r="CL368" s="10">
        <v>22</v>
      </c>
      <c r="CM368" s="10">
        <v>436</v>
      </c>
      <c r="CN368" s="10">
        <v>0.45</v>
      </c>
      <c r="CO368" s="10">
        <v>138</v>
      </c>
      <c r="CP368" s="10">
        <v>105</v>
      </c>
      <c r="CQ368" s="10">
        <v>397</v>
      </c>
      <c r="CR368" s="10">
        <v>1</v>
      </c>
      <c r="CS368" s="10">
        <v>12.2</v>
      </c>
      <c r="CT368" s="9" t="s">
        <v>188</v>
      </c>
      <c r="CU368" s="9" t="s">
        <v>185</v>
      </c>
      <c r="CV368" s="10"/>
      <c r="CW368" s="10"/>
      <c r="CX368" t="e">
        <f>INDEX('Data_Price '!AG$2:AG$1266,MATCH(Data!$DN368,'Data_Price '!$AT$2:$AT$1266,0))</f>
        <v>#N/A</v>
      </c>
      <c r="CY368" t="e">
        <f>INDEX('Data_Price '!AH$2:AH$1266,MATCH(Data!$DN368,'Data_Price '!$AT$2:$AT$1266,0))</f>
        <v>#N/A</v>
      </c>
      <c r="CZ368" t="e">
        <f>INDEX('Data_Price '!AI$2:AI$1266,MATCH(Data!$DN368,'Data_Price '!$AT$2:$AT$1266,0))</f>
        <v>#N/A</v>
      </c>
      <c r="DA368" t="e">
        <f>INDEX('Data_Price '!AJ$2:AJ$1266,MATCH(Data!$DN368,'Data_Price '!$AT$2:$AT$1266,0))</f>
        <v>#N/A</v>
      </c>
      <c r="DB368" t="e">
        <f>INDEX('Data_Price '!AK$2:AK$1266,MATCH(Data!$DN368,'Data_Price '!$AT$2:$AT$1266,0))</f>
        <v>#N/A</v>
      </c>
      <c r="DC368" t="e">
        <f>INDEX('Data_Price '!AL$2:AL$1266,MATCH(Data!$DN368,'Data_Price '!$AT$2:$AT$1266,0))</f>
        <v>#N/A</v>
      </c>
      <c r="DD368" t="e">
        <f>INDEX('Data_Price '!AM$2:AM$1266,MATCH(Data!$DN368,'Data_Price '!$AT$2:$AT$1266,0))</f>
        <v>#N/A</v>
      </c>
      <c r="DE368" t="e">
        <f>INDEX('Data_Price '!AN$2:AN$1266,MATCH(Data!$DN368,'Data_Price '!$AT$2:$AT$1266,0))</f>
        <v>#N/A</v>
      </c>
      <c r="DF368" t="e">
        <f>INDEX('Data_Price '!AO$2:AO$1266,MATCH(Data!$DN368,'Data_Price '!$AT$2:$AT$1266,0))</f>
        <v>#N/A</v>
      </c>
      <c r="DG368" t="e">
        <f>INDEX('Data_Price '!AP$2:AP$1266,MATCH(Data!$DN368,'Data_Price '!$AT$2:$AT$1266,0))</f>
        <v>#N/A</v>
      </c>
      <c r="DH368" t="e">
        <f>INDEX('Data_Price '!AQ$2:AQ$1266,MATCH(Data!$DN368,'Data_Price '!$AT$2:$AT$1266,0))</f>
        <v>#N/A</v>
      </c>
      <c r="DI368" t="e">
        <f>INDEX('Data_Price '!AR$2:AR$1266,MATCH(Data!$DN368,'Data_Price '!$AT$2:$AT$1266,0))</f>
        <v>#N/A</v>
      </c>
      <c r="DJ368" s="89" t="e">
        <f t="shared" si="217"/>
        <v>#N/A</v>
      </c>
      <c r="DK368" s="89" t="e">
        <f t="shared" si="218"/>
        <v>#N/A</v>
      </c>
      <c r="DL368" s="89" t="e">
        <f t="shared" si="219"/>
        <v>#N/A</v>
      </c>
      <c r="DM368" s="219" t="str">
        <f t="shared" si="220"/>
        <v>Blaze 94</v>
      </c>
      <c r="DN368" s="89" t="str">
        <f t="shared" si="221"/>
        <v xml:space="preserve"> VölklBlaze 94172 Unisex</v>
      </c>
      <c r="DO368" s="221" t="s">
        <v>301</v>
      </c>
    </row>
    <row r="369" spans="2:119" ht="15.6" customHeight="1">
      <c r="B369" s="219" t="b">
        <f t="array" ref="B369">IF(OR(ISERROR(K369:P369)),FALSE,TRUE)</f>
        <v>1</v>
      </c>
      <c r="C369" s="43" t="b">
        <f>OR(BR369=Driver!$G$50,Data!BR63=Driver!$H$50)</f>
        <v>1</v>
      </c>
      <c r="D369" s="43" t="b">
        <f>OR(BV369=Driver!$G$51,BV369=Driver!$H$51)</f>
        <v>1</v>
      </c>
      <c r="E369" s="43" t="b">
        <f>AND(BX369&gt;Driver!$F$54,BX369&lt;Driver!$G$54)</f>
        <v>0</v>
      </c>
      <c r="F369" s="43" t="b">
        <f>CL369&gt;Driver!$F$56</f>
        <v>1</v>
      </c>
      <c r="G369" s="43" t="b">
        <f>AND(CB369&gt;Driver!$F$55,CB369&lt;Driver!$G$55)</f>
        <v>1</v>
      </c>
      <c r="H369" s="43" t="b">
        <f t="shared" si="185"/>
        <v>0</v>
      </c>
      <c r="I369" s="43">
        <f t="shared" si="186"/>
        <v>0</v>
      </c>
      <c r="J369" s="43" t="b">
        <f t="array" ref="J369">NOT(OR(($H$9:$H$1273=TRUE)*($I$9:$I$1273&gt;0)*($BT$9:$BT$1273=BT369)*($K$9:$K$1273&gt;K369)))</f>
        <v>1</v>
      </c>
      <c r="K369" s="72">
        <f t="shared" si="187"/>
        <v>0.80749556013226331</v>
      </c>
      <c r="L369" s="72">
        <f t="shared" si="188"/>
        <v>0.93224696548284547</v>
      </c>
      <c r="M369" s="72">
        <f t="shared" si="189"/>
        <v>0.68274415478168116</v>
      </c>
      <c r="N369" s="72">
        <f t="shared" si="190"/>
        <v>0.58293736846866095</v>
      </c>
      <c r="O369" s="72">
        <f t="shared" si="191"/>
        <v>0.64489921600544675</v>
      </c>
      <c r="P369" s="72">
        <f t="shared" si="192"/>
        <v>0.82039587987093576</v>
      </c>
      <c r="Q369" s="72"/>
      <c r="R369" s="72"/>
      <c r="S369" s="72">
        <f t="shared" si="193"/>
        <v>0.50119610005168425</v>
      </c>
      <c r="T369" s="72">
        <f t="shared" si="194"/>
        <v>0.51164232291289313</v>
      </c>
      <c r="U369" s="72">
        <f t="shared" si="195"/>
        <v>0.6271842902894238</v>
      </c>
      <c r="V369" s="72">
        <f t="shared" si="196"/>
        <v>0.53602911235933792</v>
      </c>
      <c r="W369" s="72">
        <f t="shared" si="197"/>
        <v>0.77838855421686748</v>
      </c>
      <c r="X369" s="72">
        <f t="shared" si="198"/>
        <v>6.7753034517154531E-2</v>
      </c>
      <c r="Y369" s="72">
        <f t="shared" si="199"/>
        <v>0.31725584521831884</v>
      </c>
      <c r="Z369" s="72">
        <f t="shared" si="200"/>
        <v>0.41706263153133905</v>
      </c>
      <c r="AA369" s="72">
        <f t="shared" si="201"/>
        <v>0.35510078399455319</v>
      </c>
      <c r="AB369" s="72">
        <f t="shared" si="202"/>
        <v>0.17960412012906424</v>
      </c>
      <c r="AC369" s="72"/>
      <c r="AD369" s="72"/>
      <c r="AE369" s="72">
        <f t="shared" si="203"/>
        <v>0.49880389994831581</v>
      </c>
      <c r="AF369" s="72">
        <f t="shared" si="204"/>
        <v>0.48835767708710687</v>
      </c>
      <c r="AG369" s="72">
        <f t="shared" si="205"/>
        <v>0.37281570971057626</v>
      </c>
      <c r="AH369" s="72">
        <f t="shared" si="206"/>
        <v>0.46397088764066202</v>
      </c>
      <c r="AI369" s="72">
        <f t="shared" si="207"/>
        <v>0.22161144578313255</v>
      </c>
      <c r="AJ369" s="72">
        <f>(AV369-Driver!$K$179)/(Driver!$L$179-Driver!$K$179)</f>
        <v>0.32197244379985496</v>
      </c>
      <c r="AK369" s="72">
        <f>(AW369-Driver!$K$180)/(Driver!$L$180-Driver!$K$180)</f>
        <v>0.4458105805816025</v>
      </c>
      <c r="AL369" s="72">
        <f>(AX369-Driver!$K$181)/(Driver!$L$181-Driver!$K$181)</f>
        <v>0.51875039524441924</v>
      </c>
      <c r="AM369" s="72">
        <f>(AY369-Driver!$K$182)/(Driver!$L$182-Driver!$K$182)</f>
        <v>9.2284237102493172E-2</v>
      </c>
      <c r="AN369" s="72">
        <f>(AZ369-Driver!$K$183)/(Driver!$L$183-Driver!$K$183)</f>
        <v>0.43382352941176466</v>
      </c>
      <c r="AO369" s="72"/>
      <c r="AP369" s="72"/>
      <c r="AQ369" s="72">
        <f>(BC369-Driver!$K$188)/(Driver!$L$188-Driver!$K$188)</f>
        <v>0.1211961000516842</v>
      </c>
      <c r="AR369" s="72">
        <f>MIN((BD369-Driver!$K$189)/(Driver!$L$189-Driver!$K$189),100%)</f>
        <v>6.164232291289317E-2</v>
      </c>
      <c r="AS369" s="72">
        <f>(BE369-Driver!$K$190)/(Driver!$L$190-Driver!$K$190)</f>
        <v>0.13718429028942375</v>
      </c>
      <c r="AT369" s="72">
        <f>(BF369-Driver!$K$191)/(Driver!$L$191-Driver!$K$191)</f>
        <v>4.6029112359338008E-2</v>
      </c>
      <c r="AU369" s="72">
        <f>(BG369-Driver!$K$192)/(Driver!$L$192-Driver!$K$192)</f>
        <v>2.8388554216867458E-2</v>
      </c>
      <c r="AV369" s="70">
        <f t="shared" si="208"/>
        <v>6.7765567765567774</v>
      </c>
      <c r="AW369" s="70">
        <f t="shared" si="209"/>
        <v>45.320083982735376</v>
      </c>
      <c r="AX369" s="70">
        <f t="shared" si="210"/>
        <v>5.6687535571997731</v>
      </c>
      <c r="AY369" s="70">
        <f>IFERROR(Driver!$K$19/Data!BH369/Data!BI369*Data!BK369*Data!BL369,"")</f>
        <v>0.11298344117223538</v>
      </c>
      <c r="AZ369" s="70">
        <f t="shared" si="211"/>
        <v>39.538346984363365</v>
      </c>
      <c r="BA369" s="70"/>
      <c r="BB369" s="70"/>
      <c r="BC369" s="70">
        <f t="shared" si="212"/>
        <v>62.865259638427112</v>
      </c>
      <c r="BD369" s="70">
        <f t="shared" si="213"/>
        <v>7.1760592381556787</v>
      </c>
      <c r="BE369" s="70">
        <f t="shared" si="214"/>
        <v>0.13733820690063164</v>
      </c>
      <c r="BF369" s="70">
        <f t="shared" si="215"/>
        <v>5.1986648681712779</v>
      </c>
      <c r="BG369" s="70">
        <f t="shared" si="216"/>
        <v>0.10749717620481924</v>
      </c>
      <c r="BH369" s="67">
        <f>MAX((CE369-Driver!$F$200)/(Driver!$G$200-Driver!$F$200)*$BI$1,1)</f>
        <v>5.6687535571997731</v>
      </c>
      <c r="BI369" s="67">
        <f>MAX($BI$1*(BY369-Driver!$F$201)/(Driver!$G$201-Driver!$F$201),1)</f>
        <v>7.4683544303797467</v>
      </c>
      <c r="BJ369" s="67">
        <f>(CB369-Driver!$F$206)/(Driver!$G$206-Driver!$F$206)*$BI$1</f>
        <v>5.8730158730158735</v>
      </c>
      <c r="BK369" s="67">
        <f>(CD369-Driver!$F$203)/(Driver!$G$203-Driver!$F$203)*$BI$1</f>
        <v>3.8532110091743128</v>
      </c>
      <c r="BL369" s="67">
        <f>MAX((CR369-Driver!$F$202)/(Driver!$G$202-Driver!$F$202)*$BI$1,1)</f>
        <v>6.2068965517241379</v>
      </c>
      <c r="BM369" s="67">
        <f>MAX((CH369-Driver!$F$204)/(Driver!$G$204-Driver!$F$204)*$BI$1,1)</f>
        <v>4.6153846153846159</v>
      </c>
      <c r="BN369" s="67">
        <f>(CI369-Driver!$F$205)/(Driver!$G$205-Driver!$F$205)*$BI$1</f>
        <v>5.2941176470588234</v>
      </c>
      <c r="BO369" s="67">
        <f>(CK369-Driver!$F$207)/(Driver!$G$207-Driver!$F$207)*$BI$1</f>
        <v>1.8717683557394003</v>
      </c>
      <c r="BP369" s="67">
        <f>(CM369-Driver!$F$208)/(Driver!$G$208-Driver!$F$208)*$BI$1</f>
        <v>1.8222222222222224</v>
      </c>
      <c r="BQ369" s="67">
        <f>(CL369-Driver!$F$209)/(Driver!$G$209-Driver!$F$209)*$BI$1</f>
        <v>2.8125</v>
      </c>
      <c r="BR369" s="28" t="s">
        <v>155</v>
      </c>
      <c r="BS369" s="8" t="s">
        <v>182</v>
      </c>
      <c r="BT369" s="9" t="s">
        <v>557</v>
      </c>
      <c r="BU369" s="10">
        <v>172</v>
      </c>
      <c r="BV369" s="9" t="s">
        <v>158</v>
      </c>
      <c r="BW369" s="10">
        <v>172</v>
      </c>
      <c r="BX369" s="10">
        <v>171.7</v>
      </c>
      <c r="BY369" s="10">
        <v>126</v>
      </c>
      <c r="BZ369" s="10">
        <v>142</v>
      </c>
      <c r="CA369" s="10">
        <v>133</v>
      </c>
      <c r="CB369" s="10">
        <v>101</v>
      </c>
      <c r="CC369" s="10">
        <v>123</v>
      </c>
      <c r="CD369" s="10">
        <v>17.8</v>
      </c>
      <c r="CE369" s="10">
        <v>1896</v>
      </c>
      <c r="CF369" s="10">
        <v>1.01</v>
      </c>
      <c r="CG369" s="10">
        <v>1914</v>
      </c>
      <c r="CH369" s="10">
        <v>209</v>
      </c>
      <c r="CI369" s="10">
        <v>123</v>
      </c>
      <c r="CJ369" s="10">
        <v>54</v>
      </c>
      <c r="CK369" s="10">
        <v>291</v>
      </c>
      <c r="CL369" s="10">
        <v>18</v>
      </c>
      <c r="CM369" s="10">
        <v>164</v>
      </c>
      <c r="CN369" s="10">
        <v>0.33200000000000002</v>
      </c>
      <c r="CO369" s="10">
        <v>173</v>
      </c>
      <c r="CP369" s="10">
        <v>120</v>
      </c>
      <c r="CQ369" s="10">
        <v>118</v>
      </c>
      <c r="CR369" s="10">
        <v>7</v>
      </c>
      <c r="CS369" s="10">
        <v>7.7</v>
      </c>
      <c r="CT369" s="9" t="s">
        <v>188</v>
      </c>
      <c r="CU369" s="9" t="s">
        <v>178</v>
      </c>
      <c r="CV369" s="10"/>
      <c r="CW369" s="10"/>
      <c r="CX369" t="str">
        <f>INDEX('Data_Price '!AG$2:AG$1266,MATCH(Data!$DN369,'Data_Price '!$AT$2:$AT$1266,0))</f>
        <v>Armada Declivity 102 Ti Skis</v>
      </c>
      <c r="CY369" t="str">
        <f>INDEX('Data_Price '!AH$2:AH$1266,MATCH(Data!$DN369,'Data_Price '!$AT$2:$AT$1266,0))</f>
        <v>Snowcountry.eu</v>
      </c>
      <c r="CZ369">
        <f>INDEX('Data_Price '!AI$2:AI$1266,MATCH(Data!$DN369,'Data_Price '!$AT$2:$AT$1266,0))</f>
        <v>450.88</v>
      </c>
      <c r="DA369" t="str">
        <f>INDEX('Data_Price '!AJ$2:AJ$1266,MATCH(Data!$DN369,'Data_Price '!$AT$2:$AT$1266,0))</f>
        <v>https://tinyurl.com/yausgh8y</v>
      </c>
      <c r="DB369" t="str">
        <f>INDEX('Data_Price '!AK$2:AK$1266,MATCH(Data!$DN369,'Data_Price '!$AT$2:$AT$1266,0))</f>
        <v>Armada Declivity 102 Ti Skis</v>
      </c>
      <c r="DC369" t="str">
        <f>INDEX('Data_Price '!AL$2:AL$1266,MATCH(Data!$DN369,'Data_Price '!$AT$2:$AT$1266,0))</f>
        <v>! OutdoorXL.com</v>
      </c>
      <c r="DD369">
        <f>INDEX('Data_Price '!AM$2:AM$1266,MATCH(Data!$DN369,'Data_Price '!$AT$2:$AT$1266,0))</f>
        <v>514.95000000000005</v>
      </c>
      <c r="DE369" t="str">
        <f>INDEX('Data_Price '!AN$2:AN$1266,MATCH(Data!$DN369,'Data_Price '!$AT$2:$AT$1266,0))</f>
        <v>https://tinyurl.com/ycletr6y</v>
      </c>
      <c r="DF369" t="str">
        <f>INDEX('Data_Price '!AO$2:AO$1266,MATCH(Data!$DN369,'Data_Price '!$AT$2:$AT$1266,0))</f>
        <v>Armada Declivity 102 Ti Skis</v>
      </c>
      <c r="DG369" t="str">
        <f>INDEX('Data_Price '!AP$2:AP$1266,MATCH(Data!$DN369,'Data_Price '!$AT$2:$AT$1266,0))</f>
        <v>evo.com</v>
      </c>
      <c r="DH369">
        <f>INDEX('Data_Price '!AQ$2:AQ$1266,MATCH(Data!$DN369,'Data_Price '!$AT$2:$AT$1266,0))</f>
        <v>599.96</v>
      </c>
      <c r="DI369" t="str">
        <f>INDEX('Data_Price '!AR$2:AR$1266,MATCH(Data!$DN369,'Data_Price '!$AT$2:$AT$1266,0))</f>
        <v>https://tinyurl.com/yaezu6ck</v>
      </c>
      <c r="DJ369" s="89" t="str">
        <f t="shared" si="217"/>
        <v>https://tinyurl.com/yausgh8y</v>
      </c>
      <c r="DK369" s="89" t="str">
        <f t="shared" si="218"/>
        <v>https://tinyurl.com/ycletr6y</v>
      </c>
      <c r="DL369" s="89" t="str">
        <f t="shared" si="219"/>
        <v>https://tinyurl.com/yaezu6ck</v>
      </c>
      <c r="DM369" s="219" t="str">
        <f t="shared" si="220"/>
        <v>Declivity 102 Ti</v>
      </c>
      <c r="DN369" s="89" t="str">
        <f t="shared" si="221"/>
        <v xml:space="preserve"> ArmadaDeclivity 102 Ti172 Unisex</v>
      </c>
      <c r="DO369" s="221" t="s">
        <v>558</v>
      </c>
    </row>
    <row r="370" spans="2:119" ht="15.6" customHeight="1">
      <c r="B370" s="219" t="b">
        <f t="array" ref="B370">IF(OR(ISERROR(K370:P370)),FALSE,TRUE)</f>
        <v>1</v>
      </c>
      <c r="C370" s="43" t="b">
        <f>OR(BR370=Driver!$G$50,Data!BR224=Driver!$H$50)</f>
        <v>1</v>
      </c>
      <c r="D370" s="43" t="b">
        <f>OR(BV370=Driver!$G$51,BV370=Driver!$H$51)</f>
        <v>1</v>
      </c>
      <c r="E370" s="43" t="b">
        <f>AND(BX370&gt;Driver!$F$54,BX370&lt;Driver!$G$54)</f>
        <v>0</v>
      </c>
      <c r="F370" s="43" t="b">
        <f>CL370&gt;Driver!$F$56</f>
        <v>1</v>
      </c>
      <c r="G370" s="43" t="b">
        <f>AND(CB370&gt;Driver!$F$55,CB370&lt;Driver!$G$55)</f>
        <v>1</v>
      </c>
      <c r="H370" s="43" t="b">
        <f t="shared" si="185"/>
        <v>0</v>
      </c>
      <c r="I370" s="43">
        <f t="shared" si="186"/>
        <v>0</v>
      </c>
      <c r="J370" s="43" t="b">
        <f t="array" ref="J370">NOT(OR(($H$9:$H$1273=TRUE)*($I$9:$I$1273&gt;0)*($BT$9:$BT$1273=BT370)*($K$9:$K$1273&gt;K370)))</f>
        <v>1</v>
      </c>
      <c r="K370" s="72">
        <f t="shared" si="187"/>
        <v>0.86990273302508736</v>
      </c>
      <c r="L370" s="72">
        <f t="shared" si="188"/>
        <v>0.97414528149283663</v>
      </c>
      <c r="M370" s="72">
        <f t="shared" si="189"/>
        <v>0.7656601845573382</v>
      </c>
      <c r="N370" s="72">
        <f t="shared" si="190"/>
        <v>0.68981145940649702</v>
      </c>
      <c r="O370" s="72">
        <f t="shared" si="191"/>
        <v>0.67511399374429648</v>
      </c>
      <c r="P370" s="72">
        <f t="shared" si="192"/>
        <v>0.9320551005212212</v>
      </c>
      <c r="Q370" s="72"/>
      <c r="R370" s="72"/>
      <c r="S370" s="72">
        <f t="shared" si="193"/>
        <v>0.44533141265036247</v>
      </c>
      <c r="T370" s="72">
        <f t="shared" si="194"/>
        <v>0.45408339044562673</v>
      </c>
      <c r="U370" s="72">
        <f t="shared" si="195"/>
        <v>0.58707976269396855</v>
      </c>
      <c r="V370" s="72">
        <f t="shared" si="196"/>
        <v>0.52285143730523964</v>
      </c>
      <c r="W370" s="72">
        <f t="shared" si="197"/>
        <v>0.84348108918923059</v>
      </c>
      <c r="X370" s="72">
        <f t="shared" si="198"/>
        <v>2.5854718507163421E-2</v>
      </c>
      <c r="Y370" s="72">
        <f t="shared" si="199"/>
        <v>0.23433981544266183</v>
      </c>
      <c r="Z370" s="72">
        <f t="shared" si="200"/>
        <v>0.31018854059350304</v>
      </c>
      <c r="AA370" s="72">
        <f t="shared" si="201"/>
        <v>0.32488600625570357</v>
      </c>
      <c r="AB370" s="72">
        <f t="shared" si="202"/>
        <v>6.7944899478778853E-2</v>
      </c>
      <c r="AC370" s="72"/>
      <c r="AD370" s="72"/>
      <c r="AE370" s="72">
        <f t="shared" si="203"/>
        <v>0.55466858734963753</v>
      </c>
      <c r="AF370" s="72">
        <f t="shared" si="204"/>
        <v>0.54591660955437327</v>
      </c>
      <c r="AG370" s="72">
        <f t="shared" si="205"/>
        <v>0.41292023730603139</v>
      </c>
      <c r="AH370" s="72">
        <f t="shared" si="206"/>
        <v>0.47714856269476036</v>
      </c>
      <c r="AI370" s="72">
        <f t="shared" si="207"/>
        <v>0.15651891081076946</v>
      </c>
      <c r="AJ370" s="72">
        <f>(AV370-Driver!$K$179)/(Driver!$L$179-Driver!$K$179)</f>
        <v>0.28007412778986385</v>
      </c>
      <c r="AK370" s="72">
        <f>(AW370-Driver!$K$180)/(Driver!$L$180-Driver!$K$180)</f>
        <v>0.20482372383828593</v>
      </c>
      <c r="AL370" s="72">
        <f>(AX370-Driver!$K$181)/(Driver!$L$181-Driver!$K$181)</f>
        <v>0.41187630430658323</v>
      </c>
      <c r="AM370" s="72">
        <f>(AY370-Driver!$K$182)/(Driver!$L$182-Driver!$K$182)</f>
        <v>0.12249901484134279</v>
      </c>
      <c r="AN370" s="72">
        <f>(AZ370-Driver!$K$183)/(Driver!$L$183-Driver!$K$183)</f>
        <v>0.18627450980392157</v>
      </c>
      <c r="AO370" s="72"/>
      <c r="AP370" s="72"/>
      <c r="AQ370" s="72">
        <f>(BC370-Driver!$K$188)/(Driver!$L$188-Driver!$K$188)</f>
        <v>6.5331412650362422E-2</v>
      </c>
      <c r="AR370" s="72">
        <f>MIN((BD370-Driver!$K$189)/(Driver!$L$189-Driver!$K$189),100%)</f>
        <v>4.0833904456267318E-3</v>
      </c>
      <c r="AS370" s="72">
        <f>(BE370-Driver!$K$190)/(Driver!$L$190-Driver!$K$190)</f>
        <v>9.7079762693968619E-2</v>
      </c>
      <c r="AT370" s="72">
        <f>(BF370-Driver!$K$191)/(Driver!$L$191-Driver!$K$191)</f>
        <v>3.2851437305239664E-2</v>
      </c>
      <c r="AU370" s="72">
        <f>(BG370-Driver!$K$192)/(Driver!$L$192-Driver!$K$192)</f>
        <v>9.3481089189230537E-2</v>
      </c>
      <c r="AV370" s="70">
        <f t="shared" si="208"/>
        <v>5.8947225613892291</v>
      </c>
      <c r="AW370" s="70">
        <f t="shared" si="209"/>
        <v>21.83377943232157</v>
      </c>
      <c r="AX370" s="70">
        <f t="shared" si="210"/>
        <v>4.7068867387592492</v>
      </c>
      <c r="AY370" s="70">
        <f>IFERROR(Driver!$K$19/Data!BH370/Data!BI370*Data!BK370*Data!BL370,"")</f>
        <v>0.1499753443441505</v>
      </c>
      <c r="AZ370" s="70">
        <f t="shared" si="211"/>
        <v>16.976917349218169</v>
      </c>
      <c r="BA370" s="70"/>
      <c r="BB370" s="70"/>
      <c r="BC370" s="70">
        <f t="shared" si="212"/>
        <v>33.887857918355365</v>
      </c>
      <c r="BD370" s="70">
        <f t="shared" si="213"/>
        <v>2.0821957031959606</v>
      </c>
      <c r="BE370" s="70">
        <f t="shared" si="214"/>
        <v>9.7240833501503851E-2</v>
      </c>
      <c r="BF370" s="70">
        <f t="shared" si="215"/>
        <v>3.7103390492176973</v>
      </c>
      <c r="BG370" s="70">
        <f t="shared" si="216"/>
        <v>0.35397903815835791</v>
      </c>
      <c r="BH370" s="67">
        <f>MAX((CE370-Driver!$F$200)/(Driver!$G$200-Driver!$F$200)*$BI$1,1)</f>
        <v>4.7068867387592492</v>
      </c>
      <c r="BI370" s="67">
        <f>MAX($BI$1*(BY370-Driver!$F$201)/(Driver!$G$201-Driver!$F$201),1)</f>
        <v>7.2151898734177218</v>
      </c>
      <c r="BJ370" s="67">
        <f>(CB370-Driver!$F$206)/(Driver!$G$206-Driver!$F$206)*$BI$1</f>
        <v>6.9841269841269842</v>
      </c>
      <c r="BK370" s="67">
        <f>(CD370-Driver!$F$203)/(Driver!$G$203-Driver!$F$203)*$BI$1</f>
        <v>5.2752293577981648</v>
      </c>
      <c r="BL370" s="67">
        <f>MAX((CR370-Driver!$F$202)/(Driver!$G$202-Driver!$F$202)*$BI$1,1)</f>
        <v>4.8275862068965516</v>
      </c>
      <c r="BM370" s="67">
        <f>MAX((CH370-Driver!$F$204)/(Driver!$G$204-Driver!$F$204)*$BI$1,1)</f>
        <v>3.3760683760683765</v>
      </c>
      <c r="BN370" s="67">
        <f>(CI370-Driver!$F$205)/(Driver!$G$205-Driver!$F$205)*$BI$1</f>
        <v>2.3529411764705883</v>
      </c>
      <c r="BO370" s="67">
        <f>(CK370-Driver!$F$207)/(Driver!$G$207-Driver!$F$207)*$BI$1</f>
        <v>0.93071354705274045</v>
      </c>
      <c r="BP370" s="67">
        <f>(CM370-Driver!$F$208)/(Driver!$G$208-Driver!$F$208)*$BI$1</f>
        <v>3.0111111111111111</v>
      </c>
      <c r="BQ370" s="67">
        <f>(CL370-Driver!$F$209)/(Driver!$G$209-Driver!$F$209)*$BI$1</f>
        <v>5.625</v>
      </c>
      <c r="BR370" s="28" t="s">
        <v>155</v>
      </c>
      <c r="BS370" s="8" t="s">
        <v>237</v>
      </c>
      <c r="BT370" s="9" t="s">
        <v>486</v>
      </c>
      <c r="BU370" s="10">
        <v>170.1</v>
      </c>
      <c r="BV370" s="9" t="s">
        <v>158</v>
      </c>
      <c r="BW370" s="10">
        <v>170.1</v>
      </c>
      <c r="BX370" s="10">
        <v>168.7</v>
      </c>
      <c r="BY370" s="10">
        <v>122</v>
      </c>
      <c r="BZ370" s="10">
        <v>136</v>
      </c>
      <c r="CA370" s="10">
        <v>135</v>
      </c>
      <c r="CB370" s="10">
        <v>108</v>
      </c>
      <c r="CC370" s="10">
        <v>124</v>
      </c>
      <c r="CD370" s="10">
        <v>20.9</v>
      </c>
      <c r="CE370" s="10">
        <v>1727</v>
      </c>
      <c r="CF370" s="10">
        <v>1.1399999999999999</v>
      </c>
      <c r="CG370" s="10">
        <v>1960</v>
      </c>
      <c r="CH370" s="10">
        <v>180</v>
      </c>
      <c r="CI370" s="10">
        <v>73</v>
      </c>
      <c r="CJ370" s="10">
        <v>39</v>
      </c>
      <c r="CK370" s="10">
        <v>200</v>
      </c>
      <c r="CL370" s="10">
        <v>36</v>
      </c>
      <c r="CM370" s="10">
        <v>271</v>
      </c>
      <c r="CN370" s="10">
        <v>0.90800000000000003</v>
      </c>
      <c r="CO370" s="10">
        <v>190</v>
      </c>
      <c r="CP370" s="10">
        <v>141</v>
      </c>
      <c r="CQ370" s="10">
        <v>10</v>
      </c>
      <c r="CR370" s="10">
        <v>3</v>
      </c>
      <c r="CS370" s="10">
        <v>8.5</v>
      </c>
      <c r="CT370" s="9" t="s">
        <v>184</v>
      </c>
      <c r="CU370" s="9" t="s">
        <v>169</v>
      </c>
      <c r="CV370" s="9" t="s">
        <v>185</v>
      </c>
      <c r="CW370" s="10"/>
      <c r="CX370" t="str">
        <f>INDEX('Data_Price '!AG$2:AG$1266,MATCH(Data!$DN370,'Data_Price '!$AT$2:$AT$1266,0))</f>
        <v>2022 Black Crows Ferox Freebird Skis w/ Marker Kingpin 13 Bindings - 170| Ski Essentials</v>
      </c>
      <c r="CY370" t="str">
        <f>INDEX('Data_Price '!AH$2:AH$1266,MATCH(Data!$DN370,'Data_Price '!$AT$2:$AT$1266,0))</f>
        <v>SkiEssentials.com</v>
      </c>
      <c r="CZ370">
        <f>INDEX('Data_Price '!AI$2:AI$1266,MATCH(Data!$DN370,'Data_Price '!$AT$2:$AT$1266,0))</f>
        <v>1210.92</v>
      </c>
      <c r="DA370" t="str">
        <f>INDEX('Data_Price '!AJ$2:AJ$1266,MATCH(Data!$DN370,'Data_Price '!$AT$2:$AT$1266,0))</f>
        <v>https://tinyurl.com/y7gof943</v>
      </c>
      <c r="DB370" t="str">
        <f>INDEX('Data_Price '!AK$2:AK$1266,MATCH(Data!$DN370,'Data_Price '!$AT$2:$AT$1266,0))</f>
        <v>Black Crows Ferox Freebird Skis (2022) 170</v>
      </c>
      <c r="DC370" t="str">
        <f>INDEX('Data_Price '!AL$2:AL$1266,MATCH(Data!$DN370,'Data_Price '!$AT$2:$AT$1266,0))</f>
        <v>Cripple Creek Backcountry</v>
      </c>
      <c r="DD370">
        <f>INDEX('Data_Price '!AM$2:AM$1266,MATCH(Data!$DN370,'Data_Price '!$AT$2:$AT$1266,0))</f>
        <v>799.95</v>
      </c>
      <c r="DE370" t="str">
        <f>INDEX('Data_Price '!AN$2:AN$1266,MATCH(Data!$DN370,'Data_Price '!$AT$2:$AT$1266,0))</f>
        <v>https://tinyurl.com/ybu29mlf</v>
      </c>
      <c r="DF370" t="str">
        <f>INDEX('Data_Price '!AO$2:AO$1266,MATCH(Data!$DN370,'Data_Price '!$AT$2:$AT$1266,0))</f>
        <v>Black Crows Ferox Freebird Skis 170 cm</v>
      </c>
      <c r="DG370" t="str">
        <f>INDEX('Data_Price '!AP$2:AP$1266,MATCH(Data!$DN370,'Data_Price '!$AT$2:$AT$1266,0))</f>
        <v>Powder7 Ski Shop</v>
      </c>
      <c r="DH370">
        <f>INDEX('Data_Price '!AQ$2:AQ$1266,MATCH(Data!$DN370,'Data_Price '!$AT$2:$AT$1266,0))</f>
        <v>815.96</v>
      </c>
      <c r="DI370" t="str">
        <f>INDEX('Data_Price '!AR$2:AR$1266,MATCH(Data!$DN370,'Data_Price '!$AT$2:$AT$1266,0))</f>
        <v>https://tinyurl.com/ybw7xvxt</v>
      </c>
      <c r="DJ370" s="89" t="str">
        <f t="shared" si="217"/>
        <v>https://tinyurl.com/y7gof943</v>
      </c>
      <c r="DK370" s="89" t="str">
        <f t="shared" si="218"/>
        <v>https://tinyurl.com/ybu29mlf</v>
      </c>
      <c r="DL370" s="89" t="str">
        <f t="shared" si="219"/>
        <v>https://tinyurl.com/ybw7xvxt</v>
      </c>
      <c r="DM370" s="219" t="str">
        <f t="shared" si="220"/>
        <v>Ferox Freebird</v>
      </c>
      <c r="DN370" s="89" t="str">
        <f t="shared" si="221"/>
        <v xml:space="preserve"> Black CrowsFerox Freebird170.1 Unisex</v>
      </c>
      <c r="DO370" s="221" t="s">
        <v>487</v>
      </c>
    </row>
    <row r="371" spans="2:119" ht="15.6" customHeight="1">
      <c r="B371" s="219" t="b">
        <f t="array" ref="B371">IF(OR(ISERROR(K371:P371)),FALSE,TRUE)</f>
        <v>1</v>
      </c>
      <c r="C371" s="43" t="b">
        <f>OR(BR371=Driver!$G$50,Data!BR290=Driver!$H$50)</f>
        <v>1</v>
      </c>
      <c r="D371" s="43" t="b">
        <f>OR(BV371=Driver!$G$51,BV371=Driver!$H$51)</f>
        <v>1</v>
      </c>
      <c r="E371" s="43" t="b">
        <f>AND(BX371&gt;Driver!$F$54,BX371&lt;Driver!$G$54)</f>
        <v>0</v>
      </c>
      <c r="F371" s="43" t="b">
        <f>CL371&gt;Driver!$F$56</f>
        <v>1</v>
      </c>
      <c r="G371" s="43" t="b">
        <f>AND(CB371&gt;Driver!$F$55,CB371&lt;Driver!$G$55)</f>
        <v>1</v>
      </c>
      <c r="H371" s="43" t="b">
        <f t="shared" si="185"/>
        <v>0</v>
      </c>
      <c r="I371" s="43">
        <f t="shared" si="186"/>
        <v>0</v>
      </c>
      <c r="J371" s="43" t="b">
        <f t="array" ref="J371">NOT(OR(($H$9:$H$1273=TRUE)*($I$9:$I$1273&gt;0)*($BT$9:$BT$1273=BT371)*($K$9:$K$1273&gt;K371)))</f>
        <v>1</v>
      </c>
      <c r="K371" s="72">
        <f t="shared" si="187"/>
        <v>0.81416820593310546</v>
      </c>
      <c r="L371" s="72">
        <f t="shared" si="188"/>
        <v>0.90203183374487117</v>
      </c>
      <c r="M371" s="72">
        <f t="shared" si="189"/>
        <v>0.72630457812133975</v>
      </c>
      <c r="N371" s="72">
        <f t="shared" si="190"/>
        <v>0.52665456318187176</v>
      </c>
      <c r="O371" s="72">
        <f t="shared" si="191"/>
        <v>0.6580479318340875</v>
      </c>
      <c r="P371" s="72">
        <f t="shared" si="192"/>
        <v>0.99421123934805988</v>
      </c>
      <c r="Q371" s="72"/>
      <c r="R371" s="72"/>
      <c r="S371" s="72">
        <f t="shared" si="193"/>
        <v>0.45749194418733852</v>
      </c>
      <c r="T371" s="72">
        <f t="shared" si="194"/>
        <v>0.47205657131949819</v>
      </c>
      <c r="U371" s="72">
        <f t="shared" si="195"/>
        <v>0.51814195951005448</v>
      </c>
      <c r="V371" s="72">
        <f t="shared" si="196"/>
        <v>0.62073410048692323</v>
      </c>
      <c r="W371" s="72">
        <f t="shared" si="197"/>
        <v>0.79035082503344734</v>
      </c>
      <c r="X371" s="72">
        <f t="shared" si="198"/>
        <v>9.7968166255128886E-2</v>
      </c>
      <c r="Y371" s="72">
        <f t="shared" si="199"/>
        <v>0.27369542187866031</v>
      </c>
      <c r="Z371" s="72">
        <f t="shared" si="200"/>
        <v>0.47334543681812824</v>
      </c>
      <c r="AA371" s="72">
        <f t="shared" si="201"/>
        <v>0.3419520681659125</v>
      </c>
      <c r="AB371" s="72">
        <f t="shared" si="202"/>
        <v>5.7887606519401169E-3</v>
      </c>
      <c r="AC371" s="72"/>
      <c r="AD371" s="72"/>
      <c r="AE371" s="72">
        <f t="shared" si="203"/>
        <v>0.54250805581266148</v>
      </c>
      <c r="AF371" s="72">
        <f t="shared" si="204"/>
        <v>0.52794342868050181</v>
      </c>
      <c r="AG371" s="72">
        <f t="shared" si="205"/>
        <v>0.48185804048994557</v>
      </c>
      <c r="AH371" s="72">
        <f t="shared" si="206"/>
        <v>0.37926589951307677</v>
      </c>
      <c r="AI371" s="72">
        <f t="shared" si="207"/>
        <v>0.20964917496655269</v>
      </c>
      <c r="AJ371" s="72">
        <f>(AV371-Driver!$K$179)/(Driver!$L$179-Driver!$K$179)</f>
        <v>0.35218757553782931</v>
      </c>
      <c r="AK371" s="72">
        <f>(AW371-Driver!$K$180)/(Driver!$L$180-Driver!$K$180)</f>
        <v>0.28862880654441742</v>
      </c>
      <c r="AL371" s="72">
        <f>(AX371-Driver!$K$181)/(Driver!$L$181-Driver!$K$181)</f>
        <v>0.57503320053120843</v>
      </c>
      <c r="AM371" s="72">
        <f>(AY371-Driver!$K$182)/(Driver!$L$182-Driver!$K$182)</f>
        <v>0.10543295293113389</v>
      </c>
      <c r="AN371" s="72">
        <f>(AZ371-Driver!$K$183)/(Driver!$L$183-Driver!$K$183)</f>
        <v>0.26000816993464054</v>
      </c>
      <c r="AO371" s="72"/>
      <c r="AP371" s="72"/>
      <c r="AQ371" s="72">
        <f>(BC371-Driver!$K$188)/(Driver!$L$188-Driver!$K$188)</f>
        <v>7.7491944187338527E-2</v>
      </c>
      <c r="AR371" s="72">
        <f>MIN((BD371-Driver!$K$189)/(Driver!$L$189-Driver!$K$189),100%)</f>
        <v>2.2056571319498192E-2</v>
      </c>
      <c r="AS371" s="72">
        <f>(BE371-Driver!$K$190)/(Driver!$L$190-Driver!$K$190)</f>
        <v>2.8141959510054441E-2</v>
      </c>
      <c r="AT371" s="72">
        <f>(BF371-Driver!$K$191)/(Driver!$L$191-Driver!$K$191)</f>
        <v>0.13073410048692322</v>
      </c>
      <c r="AU371" s="72">
        <f>(BG371-Driver!$K$192)/(Driver!$L$192-Driver!$K$192)</f>
        <v>4.0350825033447307E-2</v>
      </c>
      <c r="AV371" s="70">
        <f t="shared" si="208"/>
        <v>7.4124949124949122</v>
      </c>
      <c r="AW371" s="70">
        <f t="shared" si="209"/>
        <v>30.001327330609215</v>
      </c>
      <c r="AX371" s="70">
        <f t="shared" si="210"/>
        <v>6.1752988047808763</v>
      </c>
      <c r="AY371" s="70">
        <f>IFERROR(Driver!$K$19/Data!BH371/Data!BI371*Data!BK371*Data!BL371,"")</f>
        <v>0.12908139254464299</v>
      </c>
      <c r="AZ371" s="70">
        <f t="shared" si="211"/>
        <v>23.696947133283693</v>
      </c>
      <c r="BA371" s="70"/>
      <c r="BB371" s="70"/>
      <c r="BC371" s="70">
        <f t="shared" si="212"/>
        <v>40.195610165228594</v>
      </c>
      <c r="BD371" s="70">
        <f t="shared" si="213"/>
        <v>3.6727903639415382</v>
      </c>
      <c r="BE371" s="70">
        <f t="shared" si="214"/>
        <v>2.8315328045749658E-2</v>
      </c>
      <c r="BF371" s="70">
        <f t="shared" si="215"/>
        <v>14.7654981909609</v>
      </c>
      <c r="BG371" s="70">
        <f t="shared" si="216"/>
        <v>0.15279396462018735</v>
      </c>
      <c r="BH371" s="67">
        <f>MAX((CE371-Driver!$F$200)/(Driver!$G$200-Driver!$F$200)*$BI$1,1)</f>
        <v>6.1752988047808763</v>
      </c>
      <c r="BI371" s="67">
        <f>MAX($BI$1*(BY371-Driver!$F$201)/(Driver!$G$201-Driver!$F$201),1)</f>
        <v>6.0126582278481013</v>
      </c>
      <c r="BJ371" s="67">
        <f>(CB371-Driver!$F$206)/(Driver!$G$206-Driver!$F$206)*$BI$1</f>
        <v>7.4603174603174605</v>
      </c>
      <c r="BK371" s="67">
        <f>(CD371-Driver!$F$203)/(Driver!$G$203-Driver!$F$203)*$BI$1</f>
        <v>4.6330275229357802</v>
      </c>
      <c r="BL371" s="67">
        <f>MAX((CR371-Driver!$F$202)/(Driver!$G$202-Driver!$F$202)*$BI$1,1)</f>
        <v>5.1724137931034484</v>
      </c>
      <c r="BM371" s="67">
        <f>MAX((CH371-Driver!$F$204)/(Driver!$G$204-Driver!$F$204)*$BI$1,1)</f>
        <v>3.974358974358974</v>
      </c>
      <c r="BN371" s="67">
        <f>(CI371-Driver!$F$205)/(Driver!$G$205-Driver!$F$205)*$BI$1</f>
        <v>3.9411764705882351</v>
      </c>
      <c r="BO371" s="67">
        <f>(CK371-Driver!$F$207)/(Driver!$G$207-Driver!$F$207)*$BI$1</f>
        <v>2.9058945191313339</v>
      </c>
      <c r="BP371" s="67">
        <f>(CM371-Driver!$F$208)/(Driver!$G$208-Driver!$F$208)*$BI$1</f>
        <v>3.1555555555555554</v>
      </c>
      <c r="BQ371" s="67">
        <f>(CL371-Driver!$F$209)/(Driver!$G$209-Driver!$F$209)*$BI$1</f>
        <v>3.75</v>
      </c>
      <c r="BR371" s="28" t="s">
        <v>155</v>
      </c>
      <c r="BS371" s="8" t="s">
        <v>317</v>
      </c>
      <c r="BT371" s="9" t="s">
        <v>559</v>
      </c>
      <c r="BU371" s="10">
        <v>172</v>
      </c>
      <c r="BV371" s="9" t="s">
        <v>158</v>
      </c>
      <c r="BW371" s="10">
        <v>172</v>
      </c>
      <c r="BX371" s="10">
        <v>170.8</v>
      </c>
      <c r="BY371" s="10">
        <v>103</v>
      </c>
      <c r="BZ371" s="10">
        <v>140</v>
      </c>
      <c r="CA371" s="10">
        <v>138</v>
      </c>
      <c r="CB371" s="10">
        <v>111</v>
      </c>
      <c r="CC371" s="10">
        <v>127</v>
      </c>
      <c r="CD371" s="10">
        <v>19.5</v>
      </c>
      <c r="CE371" s="10">
        <v>1985</v>
      </c>
      <c r="CF371" s="10">
        <v>1.03</v>
      </c>
      <c r="CG371" s="10">
        <v>2043</v>
      </c>
      <c r="CH371" s="10">
        <v>194</v>
      </c>
      <c r="CI371" s="10">
        <v>100</v>
      </c>
      <c r="CJ371" s="10">
        <v>63</v>
      </c>
      <c r="CK371" s="10">
        <v>391</v>
      </c>
      <c r="CL371" s="10">
        <v>24</v>
      </c>
      <c r="CM371" s="10">
        <v>284</v>
      </c>
      <c r="CN371" s="10">
        <v>0.38200000000000001</v>
      </c>
      <c r="CO371" s="10">
        <v>161</v>
      </c>
      <c r="CP371" s="10">
        <v>144</v>
      </c>
      <c r="CQ371" s="10">
        <v>230</v>
      </c>
      <c r="CR371" s="10">
        <v>4</v>
      </c>
      <c r="CS371" s="10">
        <v>7.2</v>
      </c>
      <c r="CT371" s="9" t="s">
        <v>169</v>
      </c>
      <c r="CU371" s="9" t="s">
        <v>178</v>
      </c>
      <c r="CV371" s="10"/>
      <c r="CW371" s="10"/>
      <c r="CX371" t="str">
        <f>INDEX('Data_Price '!AG$2:AG$1266,MATCH(Data!$DN371,'Data_Price '!$AT$2:$AT$1266,0))</f>
        <v>Blizzard Rustler 11 Skis 2022</v>
      </c>
      <c r="CY371" t="str">
        <f>INDEX('Data_Price '!AH$2:AH$1266,MATCH(Data!$DN371,'Data_Price '!$AT$2:$AT$1266,0))</f>
        <v>Next Adventure</v>
      </c>
      <c r="CZ371">
        <f>INDEX('Data_Price '!AI$2:AI$1266,MATCH(Data!$DN371,'Data_Price '!$AT$2:$AT$1266,0))</f>
        <v>599.96</v>
      </c>
      <c r="DA371" t="str">
        <f>INDEX('Data_Price '!AJ$2:AJ$1266,MATCH(Data!$DN371,'Data_Price '!$AT$2:$AT$1266,0))</f>
        <v>https://tinyurl.com/y8p3lcct</v>
      </c>
      <c r="DB371" t="str">
        <f>INDEX('Data_Price '!AK$2:AK$1266,MATCH(Data!$DN371,'Data_Price '!$AT$2:$AT$1266,0))</f>
        <v>Blizzard Rustler 11 Skis 2022</v>
      </c>
      <c r="DC371" t="str">
        <f>INDEX('Data_Price '!AL$2:AL$1266,MATCH(Data!$DN371,'Data_Price '!$AT$2:$AT$1266,0))</f>
        <v>Powder7 Ski Shop</v>
      </c>
      <c r="DD371">
        <f>INDEX('Data_Price '!AM$2:AM$1266,MATCH(Data!$DN371,'Data_Price '!$AT$2:$AT$1266,0))</f>
        <v>649.92999999999995</v>
      </c>
      <c r="DE371" t="str">
        <f>INDEX('Data_Price '!AN$2:AN$1266,MATCH(Data!$DN371,'Data_Price '!$AT$2:$AT$1266,0))</f>
        <v>https://tinyurl.com/y8hdx2y5</v>
      </c>
      <c r="DF371" t="str">
        <f>INDEX('Data_Price '!AO$2:AO$1266,MATCH(Data!$DN371,'Data_Price '!$AT$2:$AT$1266,0))</f>
        <v>Blizzard Rustler 11 Skis - 2022 172cm</v>
      </c>
      <c r="DG371" t="str">
        <f>INDEX('Data_Price '!AP$2:AP$1266,MATCH(Data!$DN371,'Data_Price '!$AT$2:$AT$1266,0))</f>
        <v>Glacier Ski Shop</v>
      </c>
      <c r="DH371">
        <f>INDEX('Data_Price '!AQ$2:AQ$1266,MATCH(Data!$DN371,'Data_Price '!$AT$2:$AT$1266,0))</f>
        <v>674</v>
      </c>
      <c r="DI371" t="str">
        <f>INDEX('Data_Price '!AR$2:AR$1266,MATCH(Data!$DN371,'Data_Price '!$AT$2:$AT$1266,0))</f>
        <v>https://tinyurl.com/yc2e4ajh</v>
      </c>
      <c r="DJ371" s="89" t="str">
        <f t="shared" si="217"/>
        <v>https://tinyurl.com/y8p3lcct</v>
      </c>
      <c r="DK371" s="89" t="str">
        <f t="shared" si="218"/>
        <v>https://tinyurl.com/y8hdx2y5</v>
      </c>
      <c r="DL371" s="89" t="str">
        <f t="shared" si="219"/>
        <v>https://tinyurl.com/yc2e4ajh</v>
      </c>
      <c r="DM371" s="219" t="str">
        <f t="shared" si="220"/>
        <v>Rustler 11</v>
      </c>
      <c r="DN371" s="89" t="str">
        <f t="shared" si="221"/>
        <v xml:space="preserve"> BlizzardRustler 11172 Unisex</v>
      </c>
      <c r="DO371" s="221" t="s">
        <v>560</v>
      </c>
    </row>
    <row r="372" spans="2:119" ht="15.6" customHeight="1">
      <c r="B372" s="219" t="b">
        <f t="array" ref="B372">IF(OR(ISERROR(K372:P372)),FALSE,TRUE)</f>
        <v>1</v>
      </c>
      <c r="C372" s="43" t="b">
        <f>OR(BR372=Driver!$G$50,Data!BR702=Driver!$H$50)</f>
        <v>1</v>
      </c>
      <c r="D372" s="43" t="b">
        <f>OR(BV372=Driver!$G$51,BV372=Driver!$H$51)</f>
        <v>1</v>
      </c>
      <c r="E372" s="43" t="b">
        <f>AND(BX372&gt;Driver!$F$54,BX372&lt;Driver!$G$54)</f>
        <v>0</v>
      </c>
      <c r="F372" s="43" t="b">
        <f>CL372&gt;Driver!$F$56</f>
        <v>1</v>
      </c>
      <c r="G372" s="43" t="b">
        <f>AND(CB372&gt;Driver!$F$55,CB372&lt;Driver!$G$55)</f>
        <v>0</v>
      </c>
      <c r="H372" s="43" t="b">
        <f t="shared" si="185"/>
        <v>0</v>
      </c>
      <c r="I372" s="43">
        <f t="shared" si="186"/>
        <v>0</v>
      </c>
      <c r="J372" s="43" t="b">
        <f t="array" ref="J372">NOT(OR(($H$9:$H$1273=TRUE)*($I$9:$I$1273&gt;0)*($BT$9:$BT$1273=BT372)*($K$9:$K$1273&gt;K372)))</f>
        <v>1</v>
      </c>
      <c r="K372" s="72">
        <f t="shared" si="187"/>
        <v>0.83977708729533673</v>
      </c>
      <c r="L372" s="72">
        <f t="shared" si="188"/>
        <v>0.93311440749274066</v>
      </c>
      <c r="M372" s="72">
        <f t="shared" si="189"/>
        <v>0.7464397670979328</v>
      </c>
      <c r="N372" s="72">
        <f t="shared" si="190"/>
        <v>0.60823301129418428</v>
      </c>
      <c r="O372" s="72">
        <f t="shared" si="191"/>
        <v>0.67109001300780491</v>
      </c>
      <c r="P372" s="72">
        <f t="shared" si="192"/>
        <v>0.95999627699180934</v>
      </c>
      <c r="Q372" s="72"/>
      <c r="R372" s="72"/>
      <c r="S372" s="72">
        <f t="shared" si="193"/>
        <v>0.4840062957368626</v>
      </c>
      <c r="T372" s="72">
        <f t="shared" si="194"/>
        <v>0.4884165189066747</v>
      </c>
      <c r="U372" s="72">
        <f t="shared" si="195"/>
        <v>0.52548295588072969</v>
      </c>
      <c r="V372" s="72">
        <f t="shared" si="196"/>
        <v>0.52100561791119526</v>
      </c>
      <c r="W372" s="72">
        <f t="shared" si="197"/>
        <v>0.84349946011607502</v>
      </c>
      <c r="X372" s="72">
        <f t="shared" si="198"/>
        <v>6.6885592507259312E-2</v>
      </c>
      <c r="Y372" s="72">
        <f t="shared" si="199"/>
        <v>0.25356023290206714</v>
      </c>
      <c r="Z372" s="72">
        <f t="shared" si="200"/>
        <v>0.39176698870581572</v>
      </c>
      <c r="AA372" s="72">
        <f t="shared" si="201"/>
        <v>0.32890998699219509</v>
      </c>
      <c r="AB372" s="72">
        <f t="shared" si="202"/>
        <v>4.0003723008190634E-2</v>
      </c>
      <c r="AC372" s="72"/>
      <c r="AD372" s="72"/>
      <c r="AE372" s="72">
        <f t="shared" si="203"/>
        <v>0.5159937042631374</v>
      </c>
      <c r="AF372" s="72">
        <f t="shared" si="204"/>
        <v>0.5115834810933253</v>
      </c>
      <c r="AG372" s="72">
        <f t="shared" si="205"/>
        <v>0.47451704411927026</v>
      </c>
      <c r="AH372" s="72">
        <f t="shared" si="206"/>
        <v>0.47899438208880474</v>
      </c>
      <c r="AI372" s="72">
        <f t="shared" si="207"/>
        <v>0.15650053988392498</v>
      </c>
      <c r="AJ372" s="72">
        <f>(AV372-Driver!$K$179)/(Driver!$L$179-Driver!$K$179)</f>
        <v>0.18733381677544111</v>
      </c>
      <c r="AK372" s="72">
        <f>(AW372-Driver!$K$180)/(Driver!$L$180-Driver!$K$180)</f>
        <v>0.23843603011843104</v>
      </c>
      <c r="AL372" s="72">
        <f>(AX372-Driver!$K$181)/(Driver!$L$181-Driver!$K$181)</f>
        <v>0.49345475241889591</v>
      </c>
      <c r="AM372" s="72">
        <f>(AY372-Driver!$K$182)/(Driver!$L$182-Driver!$K$182)</f>
        <v>0.11847503410485129</v>
      </c>
      <c r="AN372" s="72">
        <f>(AZ372-Driver!$K$183)/(Driver!$L$183-Driver!$K$183)</f>
        <v>0.21421568627450979</v>
      </c>
      <c r="AO372" s="72"/>
      <c r="AP372" s="72"/>
      <c r="AQ372" s="72">
        <f>(BC372-Driver!$K$188)/(Driver!$L$188-Driver!$K$188)</f>
        <v>0.10400629573686261</v>
      </c>
      <c r="AR372" s="72">
        <f>MIN((BD372-Driver!$K$189)/(Driver!$L$189-Driver!$K$189),100%)</f>
        <v>3.8416518906674704E-2</v>
      </c>
      <c r="AS372" s="72">
        <f>(BE372-Driver!$K$190)/(Driver!$L$190-Driver!$K$190)</f>
        <v>3.5482955880729763E-2</v>
      </c>
      <c r="AT372" s="72">
        <f>(BF372-Driver!$K$191)/(Driver!$L$191-Driver!$K$191)</f>
        <v>3.100561791119525E-2</v>
      </c>
      <c r="AU372" s="72">
        <f>(BG372-Driver!$K$192)/(Driver!$L$192-Driver!$K$192)</f>
        <v>9.3499460116075031E-2</v>
      </c>
      <c r="AV372" s="70">
        <f t="shared" si="208"/>
        <v>3.9428164428164423</v>
      </c>
      <c r="AW372" s="70">
        <f t="shared" si="209"/>
        <v>25.109596514653671</v>
      </c>
      <c r="AX372" s="70">
        <f t="shared" si="210"/>
        <v>5.4410927717700632</v>
      </c>
      <c r="AY372" s="70">
        <f>IFERROR(Driver!$K$19/Data!BH372/Data!BI372*Data!BK372*Data!BL372,"")</f>
        <v>0.14504879128271425</v>
      </c>
      <c r="AZ372" s="70">
        <f t="shared" si="211"/>
        <v>19.523454951600893</v>
      </c>
      <c r="BA372" s="70"/>
      <c r="BB372" s="70"/>
      <c r="BC372" s="70">
        <f t="shared" si="212"/>
        <v>53.948788638748297</v>
      </c>
      <c r="BD372" s="70">
        <f t="shared" si="213"/>
        <v>5.1206167372948519</v>
      </c>
      <c r="BE372" s="70">
        <f t="shared" si="214"/>
        <v>3.5655014865298887E-2</v>
      </c>
      <c r="BF372" s="70">
        <f t="shared" si="215"/>
        <v>3.5018667162755399</v>
      </c>
      <c r="BG372" s="70">
        <f t="shared" si="216"/>
        <v>0.35404860220677553</v>
      </c>
      <c r="BH372" s="67">
        <f>MAX((CE372-Driver!$F$200)/(Driver!$G$200-Driver!$F$200)*$BI$1,1)</f>
        <v>5.4410927717700632</v>
      </c>
      <c r="BI372" s="67">
        <f>MAX($BI$1*(BY372-Driver!$F$201)/(Driver!$G$201-Driver!$F$201),1)</f>
        <v>7.2151898734177218</v>
      </c>
      <c r="BJ372" s="67">
        <f>(CB372-Driver!$F$206)/(Driver!$G$206-Driver!$F$206)*$BI$1</f>
        <v>3.9682539682539679</v>
      </c>
      <c r="BK372" s="67">
        <f>(CD372-Driver!$F$203)/(Driver!$G$203-Driver!$F$203)*$BI$1</f>
        <v>5.5045871559633035</v>
      </c>
      <c r="BL372" s="67">
        <f>MAX((CR372-Driver!$F$202)/(Driver!$G$202-Driver!$F$202)*$BI$1,1)</f>
        <v>5.1724137931034484</v>
      </c>
      <c r="BM372" s="67">
        <f>MAX((CH372-Driver!$F$204)/(Driver!$G$204-Driver!$F$204)*$BI$1,1)</f>
        <v>3.974358974358974</v>
      </c>
      <c r="BN372" s="67">
        <f>(CI372-Driver!$F$205)/(Driver!$G$205-Driver!$F$205)*$BI$1</f>
        <v>2.7058823529411762</v>
      </c>
      <c r="BO372" s="67">
        <f>(CK372-Driver!$F$207)/(Driver!$G$207-Driver!$F$207)*$BI$1</f>
        <v>1.6132368148914167</v>
      </c>
      <c r="BP372" s="67">
        <f>(CM372-Driver!$F$208)/(Driver!$G$208-Driver!$F$208)*$BI$1</f>
        <v>3.0111111111111111</v>
      </c>
      <c r="BQ372" s="67">
        <f>(CL372-Driver!$F$209)/(Driver!$G$209-Driver!$F$209)*$BI$1</f>
        <v>7.65625</v>
      </c>
      <c r="BR372" s="28" t="s">
        <v>155</v>
      </c>
      <c r="BS372" s="8" t="s">
        <v>561</v>
      </c>
      <c r="BT372" s="9" t="s">
        <v>562</v>
      </c>
      <c r="BU372" s="10">
        <v>178</v>
      </c>
      <c r="BV372" s="9" t="s">
        <v>158</v>
      </c>
      <c r="BW372" s="10">
        <v>178</v>
      </c>
      <c r="BX372" s="10">
        <v>175.6</v>
      </c>
      <c r="BY372" s="10">
        <v>122</v>
      </c>
      <c r="BZ372" s="10">
        <v>147</v>
      </c>
      <c r="CA372" s="10">
        <v>113</v>
      </c>
      <c r="CB372" s="10">
        <v>89</v>
      </c>
      <c r="CC372" s="10">
        <v>110</v>
      </c>
      <c r="CD372" s="10">
        <v>21.4</v>
      </c>
      <c r="CE372" s="10">
        <v>1856</v>
      </c>
      <c r="CF372" s="10">
        <v>0.92</v>
      </c>
      <c r="CG372" s="10">
        <v>1716</v>
      </c>
      <c r="CH372" s="10">
        <v>194</v>
      </c>
      <c r="CI372" s="10">
        <v>79</v>
      </c>
      <c r="CJ372" s="10">
        <v>50</v>
      </c>
      <c r="CK372" s="10">
        <v>266</v>
      </c>
      <c r="CL372" s="10">
        <v>49</v>
      </c>
      <c r="CM372" s="10">
        <v>271</v>
      </c>
      <c r="CN372" s="10">
        <v>0.97699999999999998</v>
      </c>
      <c r="CO372" s="10">
        <v>136</v>
      </c>
      <c r="CP372" s="10">
        <v>148</v>
      </c>
      <c r="CQ372" s="10">
        <v>130</v>
      </c>
      <c r="CR372" s="10">
        <v>4</v>
      </c>
      <c r="CS372" s="10">
        <v>0.3</v>
      </c>
      <c r="CT372" s="9" t="s">
        <v>184</v>
      </c>
      <c r="CU372" s="10"/>
      <c r="CV372" s="10"/>
      <c r="CW372" s="10"/>
      <c r="CX372" t="str">
        <f>INDEX('Data_Price '!AG$2:AG$1266,MATCH(Data!$DN372,'Data_Price '!$AT$2:$AT$1266,0))</f>
        <v>Single Skis Allplay - Rat Rod 178cm - Right Single Ski</v>
      </c>
      <c r="CY372" t="str">
        <f>INDEX('Data_Price '!AH$2:AH$1266,MATCH(Data!$DN372,'Data_Price '!$AT$2:$AT$1266,0))</f>
        <v>J Skis</v>
      </c>
      <c r="CZ372">
        <f>INDEX('Data_Price '!AI$2:AI$1266,MATCH(Data!$DN372,'Data_Price '!$AT$2:$AT$1266,0))</f>
        <v>199</v>
      </c>
      <c r="DA372" t="str">
        <f>INDEX('Data_Price '!AJ$2:AJ$1266,MATCH(Data!$DN372,'Data_Price '!$AT$2:$AT$1266,0))</f>
        <v>https://tinyurl.com/y7uotf6v</v>
      </c>
      <c r="DB372" t="str">
        <f>INDEX('Data_Price '!AK$2:AK$1266,MATCH(Data!$DN372,'Data_Price '!$AT$2:$AT$1266,0))</f>
        <v>Juventus - Handmade Skis</v>
      </c>
      <c r="DC372" t="str">
        <f>INDEX('Data_Price '!AL$2:AL$1266,MATCH(Data!$DN372,'Data_Price '!$AT$2:$AT$1266,0))</f>
        <v>Juventus Official Store</v>
      </c>
      <c r="DD372">
        <f>INDEX('Data_Price '!AM$2:AM$1266,MATCH(Data!$DN372,'Data_Price '!$AT$2:$AT$1266,0))</f>
        <v>2118.6999999999998</v>
      </c>
      <c r="DE372" t="str">
        <f>INDEX('Data_Price '!AN$2:AN$1266,MATCH(Data!$DN372,'Data_Price '!$AT$2:$AT$1266,0))</f>
        <v>https://tinyurl.com/yb2uk6gp</v>
      </c>
      <c r="DF372" t="str">
        <f>INDEX('Data_Price '!AO$2:AO$1266,MATCH(Data!$DN372,'Data_Price '!$AT$2:$AT$1266,0))</f>
        <v>Scott Superguide 88 Touring Skis (21/22)</v>
      </c>
      <c r="DG372" t="str">
        <f>INDEX('Data_Price '!AP$2:AP$1266,MATCH(Data!$DN372,'Data_Price '!$AT$2:$AT$1266,0))</f>
        <v>Telemark Pyrenees</v>
      </c>
      <c r="DH372">
        <f>INDEX('Data_Price '!AQ$2:AQ$1266,MATCH(Data!$DN372,'Data_Price '!$AT$2:$AT$1266,0))</f>
        <v>352.89</v>
      </c>
      <c r="DI372" t="str">
        <f>INDEX('Data_Price '!AR$2:AR$1266,MATCH(Data!$DN372,'Data_Price '!$AT$2:$AT$1266,0))</f>
        <v>https://tinyurl.com/yafgse5m</v>
      </c>
      <c r="DJ372" s="89" t="str">
        <f t="shared" si="217"/>
        <v>https://tinyurl.com/y7uotf6v</v>
      </c>
      <c r="DK372" s="89" t="str">
        <f t="shared" si="218"/>
        <v>https://tinyurl.com/yb2uk6gp</v>
      </c>
      <c r="DL372" s="89" t="str">
        <f t="shared" si="219"/>
        <v>https://tinyurl.com/yafgse5m</v>
      </c>
      <c r="DM372" s="219" t="str">
        <f t="shared" si="220"/>
        <v>The Whipit</v>
      </c>
      <c r="DN372" s="89" t="str">
        <f t="shared" si="221"/>
        <v xml:space="preserve"> J SkisThe Whipit178 Unisex</v>
      </c>
      <c r="DO372" s="221"/>
    </row>
    <row r="373" spans="2:119" ht="15.6" customHeight="1">
      <c r="B373" s="219" t="b">
        <f t="array" ref="B373">IF(OR(ISERROR(K373:P373)),FALSE,TRUE)</f>
        <v>1</v>
      </c>
      <c r="C373" s="43" t="b">
        <f>OR(BR373=Driver!$G$50,Data!BR570=Driver!$H$50)</f>
        <v>1</v>
      </c>
      <c r="D373" s="43" t="b">
        <f>OR(BV373=Driver!$G$51,BV373=Driver!$H$51)</f>
        <v>1</v>
      </c>
      <c r="E373" s="43" t="b">
        <f>AND(BX373&gt;Driver!$F$54,BX373&lt;Driver!$G$54)</f>
        <v>0</v>
      </c>
      <c r="F373" s="43" t="b">
        <f>CL373&gt;Driver!$F$56</f>
        <v>1</v>
      </c>
      <c r="G373" s="43" t="b">
        <f>AND(CB373&gt;Driver!$F$55,CB373&lt;Driver!$G$55)</f>
        <v>1</v>
      </c>
      <c r="H373" s="43" t="b">
        <f t="shared" si="185"/>
        <v>0</v>
      </c>
      <c r="I373" s="43">
        <f t="shared" si="186"/>
        <v>0</v>
      </c>
      <c r="J373" s="43" t="b">
        <f t="array" ref="J373">NOT(OR(($H$9:$H$1273=TRUE)*($I$9:$I$1273&gt;0)*($BT$9:$BT$1273=BT373)*($K$9:$K$1273&gt;K373)))</f>
        <v>1</v>
      </c>
      <c r="K373" s="72">
        <f t="shared" si="187"/>
        <v>0.79047966576049167</v>
      </c>
      <c r="L373" s="72">
        <f t="shared" si="188"/>
        <v>0.86794916514443599</v>
      </c>
      <c r="M373" s="72">
        <f t="shared" si="189"/>
        <v>0.71301016637654735</v>
      </c>
      <c r="N373" s="72">
        <f t="shared" si="190"/>
        <v>0.51843347926357664</v>
      </c>
      <c r="O373" s="72">
        <f t="shared" si="191"/>
        <v>0.65542989816506458</v>
      </c>
      <c r="P373" s="72">
        <f t="shared" si="192"/>
        <v>0.96516712170100105</v>
      </c>
      <c r="Q373" s="72"/>
      <c r="R373" s="72"/>
      <c r="S373" s="72">
        <f t="shared" si="193"/>
        <v>0.46188339343203055</v>
      </c>
      <c r="T373" s="72">
        <f t="shared" si="194"/>
        <v>0.49517131370371048</v>
      </c>
      <c r="U373" s="72">
        <f t="shared" si="195"/>
        <v>0.5500382386618542</v>
      </c>
      <c r="V373" s="72">
        <f t="shared" si="196"/>
        <v>0.55355278914549444</v>
      </c>
      <c r="W373" s="72">
        <f t="shared" si="197"/>
        <v>0.79695837351333976</v>
      </c>
      <c r="X373" s="72">
        <f t="shared" si="198"/>
        <v>0.13205083485556401</v>
      </c>
      <c r="Y373" s="72">
        <f t="shared" si="199"/>
        <v>0.28698983362345259</v>
      </c>
      <c r="Z373" s="72">
        <f t="shared" si="200"/>
        <v>0.48156652073642336</v>
      </c>
      <c r="AA373" s="72">
        <f t="shared" si="201"/>
        <v>0.34457010183493547</v>
      </c>
      <c r="AB373" s="72">
        <f t="shared" si="202"/>
        <v>3.4832878298998948E-2</v>
      </c>
      <c r="AC373" s="72"/>
      <c r="AD373" s="72"/>
      <c r="AE373" s="72">
        <f t="shared" si="203"/>
        <v>0.53811660656796945</v>
      </c>
      <c r="AF373" s="72">
        <f t="shared" si="204"/>
        <v>0.50482868629628952</v>
      </c>
      <c r="AG373" s="72">
        <f t="shared" si="205"/>
        <v>0.4499617613381458</v>
      </c>
      <c r="AH373" s="72">
        <f t="shared" si="206"/>
        <v>0.44644721085450556</v>
      </c>
      <c r="AI373" s="72">
        <f t="shared" si="207"/>
        <v>0.20304162648666024</v>
      </c>
      <c r="AJ373" s="72">
        <f>(AV373-Driver!$K$179)/(Driver!$L$179-Driver!$K$179)</f>
        <v>0.38627024413826444</v>
      </c>
      <c r="AK373" s="72">
        <f>(AW373-Driver!$K$180)/(Driver!$L$180-Driver!$K$180)</f>
        <v>0.31651588935350999</v>
      </c>
      <c r="AL373" s="72">
        <f>(AX373-Driver!$K$181)/(Driver!$L$181-Driver!$K$181)</f>
        <v>0.58325428444950356</v>
      </c>
      <c r="AM373" s="72">
        <f>(AY373-Driver!$K$182)/(Driver!$L$182-Driver!$K$182)</f>
        <v>0.10281491926211088</v>
      </c>
      <c r="AN373" s="72">
        <f>(AZ373-Driver!$K$183)/(Driver!$L$183-Driver!$K$183)</f>
        <v>0.28905228758169937</v>
      </c>
      <c r="AO373" s="72"/>
      <c r="AP373" s="72"/>
      <c r="AQ373" s="72">
        <f>(BC373-Driver!$K$188)/(Driver!$L$188-Driver!$K$188)</f>
        <v>8.1883393432030563E-2</v>
      </c>
      <c r="AR373" s="72">
        <f>MIN((BD373-Driver!$K$189)/(Driver!$L$189-Driver!$K$189),100%)</f>
        <v>4.5171313703710539E-2</v>
      </c>
      <c r="AS373" s="72">
        <f>(BE373-Driver!$K$190)/(Driver!$L$190-Driver!$K$190)</f>
        <v>6.0038238661854211E-2</v>
      </c>
      <c r="AT373" s="72">
        <f>(BF373-Driver!$K$191)/(Driver!$L$191-Driver!$K$191)</f>
        <v>6.3552789145494434E-2</v>
      </c>
      <c r="AU373" s="72">
        <f>(BG373-Driver!$K$192)/(Driver!$L$192-Driver!$K$192)</f>
        <v>4.695837351333975E-2</v>
      </c>
      <c r="AV373" s="70">
        <f t="shared" si="208"/>
        <v>8.1298331298331306</v>
      </c>
      <c r="AW373" s="70">
        <f t="shared" si="209"/>
        <v>32.719170655046547</v>
      </c>
      <c r="AX373" s="70">
        <f t="shared" si="210"/>
        <v>6.2492885600455317</v>
      </c>
      <c r="AY373" s="70">
        <f>IFERROR(Driver!$K$19/Data!BH373/Data!BI373*Data!BK373*Data!BL373,"")</f>
        <v>0.12587613818790516</v>
      </c>
      <c r="AZ373" s="70">
        <f t="shared" si="211"/>
        <v>26.34400595681311</v>
      </c>
      <c r="BA373" s="70"/>
      <c r="BB373" s="70"/>
      <c r="BC373" s="70">
        <f t="shared" si="212"/>
        <v>42.473485417310215</v>
      </c>
      <c r="BD373" s="70">
        <f t="shared" si="213"/>
        <v>5.718404108044373</v>
      </c>
      <c r="BE373" s="70">
        <f t="shared" si="214"/>
        <v>6.0205917260356658E-2</v>
      </c>
      <c r="BF373" s="70">
        <f t="shared" si="215"/>
        <v>7.1778410503706382</v>
      </c>
      <c r="BG373" s="70">
        <f t="shared" si="216"/>
        <v>0.17781435832529729</v>
      </c>
      <c r="BH373" s="67">
        <f>MAX((CE373-Driver!$F$200)/(Driver!$G$200-Driver!$F$200)*$BI$1,1)</f>
        <v>6.2492885600455317</v>
      </c>
      <c r="BI373" s="67">
        <f>MAX($BI$1*(BY373-Driver!$F$201)/(Driver!$G$201-Driver!$F$201),1)</f>
        <v>7.7215189873417724</v>
      </c>
      <c r="BJ373" s="67">
        <f>(CB373-Driver!$F$206)/(Driver!$G$206-Driver!$F$206)*$BI$1</f>
        <v>7.4603174603174605</v>
      </c>
      <c r="BK373" s="67">
        <f>(CD373-Driver!$F$203)/(Driver!$G$203-Driver!$F$203)*$BI$1</f>
        <v>4.4036697247706424</v>
      </c>
      <c r="BL373" s="67">
        <f>MAX((CR373-Driver!$F$202)/(Driver!$G$202-Driver!$F$202)*$BI$1,1)</f>
        <v>6.8965517241379315</v>
      </c>
      <c r="BM373" s="67">
        <f>MAX((CH373-Driver!$F$204)/(Driver!$G$204-Driver!$F$204)*$BI$1,1)</f>
        <v>4.3589743589743595</v>
      </c>
      <c r="BN373" s="67">
        <f>(CI373-Driver!$F$205)/(Driver!$G$205-Driver!$F$205)*$BI$1</f>
        <v>3.4117647058823533</v>
      </c>
      <c r="BO373" s="67">
        <f>(CK373-Driver!$F$207)/(Driver!$G$207-Driver!$F$207)*$BI$1</f>
        <v>2.1302998965873838</v>
      </c>
      <c r="BP373" s="67">
        <f>(CM373-Driver!$F$208)/(Driver!$G$208-Driver!$F$208)*$BI$1</f>
        <v>1.9888888888888889</v>
      </c>
      <c r="BQ373" s="67">
        <f>(CL373-Driver!$F$209)/(Driver!$G$209-Driver!$F$209)*$BI$1</f>
        <v>4.84375</v>
      </c>
      <c r="BR373" s="28" t="s">
        <v>155</v>
      </c>
      <c r="BS373" s="8" t="s">
        <v>245</v>
      </c>
      <c r="BT373" s="9" t="s">
        <v>462</v>
      </c>
      <c r="BU373" s="10">
        <v>178</v>
      </c>
      <c r="BV373" s="9" t="s">
        <v>158</v>
      </c>
      <c r="BW373" s="10">
        <v>178</v>
      </c>
      <c r="BX373" s="10">
        <v>179</v>
      </c>
      <c r="BY373" s="10">
        <v>130</v>
      </c>
      <c r="BZ373" s="10">
        <v>148</v>
      </c>
      <c r="CA373" s="10">
        <v>140</v>
      </c>
      <c r="CB373" s="10">
        <v>111</v>
      </c>
      <c r="CC373" s="10">
        <v>130</v>
      </c>
      <c r="CD373" s="10">
        <v>19</v>
      </c>
      <c r="CE373" s="10">
        <v>1998</v>
      </c>
      <c r="CF373" s="10">
        <v>1.08</v>
      </c>
      <c r="CG373" s="10">
        <v>2157</v>
      </c>
      <c r="CH373" s="10">
        <v>203</v>
      </c>
      <c r="CI373" s="10">
        <v>91</v>
      </c>
      <c r="CJ373" s="10">
        <v>46</v>
      </c>
      <c r="CK373" s="10">
        <v>316</v>
      </c>
      <c r="CL373" s="10">
        <v>31</v>
      </c>
      <c r="CM373" s="10">
        <v>179</v>
      </c>
      <c r="CN373" s="10">
        <v>0.67400000000000004</v>
      </c>
      <c r="CO373" s="10">
        <v>149</v>
      </c>
      <c r="CP373" s="10">
        <v>160</v>
      </c>
      <c r="CQ373" s="10">
        <v>167</v>
      </c>
      <c r="CR373" s="10">
        <v>9</v>
      </c>
      <c r="CS373" s="10">
        <v>9.5</v>
      </c>
      <c r="CT373" s="9" t="s">
        <v>169</v>
      </c>
      <c r="CU373" s="9" t="s">
        <v>185</v>
      </c>
      <c r="CV373" s="10"/>
      <c r="CW373" s="10"/>
      <c r="CX373" t="str">
        <f>INDEX('Data_Price '!AG$2:AG$1266,MATCH(Data!$DN373,'Data_Price '!$AT$2:$AT$1266,0))</f>
        <v>Fischer Ranger 115 FR Skis Mens 2021</v>
      </c>
      <c r="CY373" t="str">
        <f>INDEX('Data_Price '!AH$2:AH$1266,MATCH(Data!$DN373,'Data_Price '!$AT$2:$AT$1266,0))</f>
        <v>BlueZone Sports</v>
      </c>
      <c r="CZ373">
        <f>INDEX('Data_Price '!AI$2:AI$1266,MATCH(Data!$DN373,'Data_Price '!$AT$2:$AT$1266,0))</f>
        <v>799.99</v>
      </c>
      <c r="DA373" t="str">
        <f>INDEX('Data_Price '!AJ$2:AJ$1266,MATCH(Data!$DN373,'Data_Price '!$AT$2:$AT$1266,0))</f>
        <v>https://tinyurl.com/y8pxwroq</v>
      </c>
      <c r="DB373" t="str">
        <f>INDEX('Data_Price '!AK$2:AK$1266,MATCH(Data!$DN373,'Data_Price '!$AT$2:$AT$1266,0))</f>
        <v>Fischer Ranger 92 Ti Skis 2021</v>
      </c>
      <c r="DC373" t="str">
        <f>INDEX('Data_Price '!AL$2:AL$1266,MATCH(Data!$DN373,'Data_Price '!$AT$2:$AT$1266,0))</f>
        <v>! OutdoorXL.com</v>
      </c>
      <c r="DD373">
        <f>INDEX('Data_Price '!AM$2:AM$1266,MATCH(Data!$DN373,'Data_Price '!$AT$2:$AT$1266,0))</f>
        <v>414.95</v>
      </c>
      <c r="DE373" t="str">
        <f>INDEX('Data_Price '!AN$2:AN$1266,MATCH(Data!$DN373,'Data_Price '!$AT$2:$AT$1266,0))</f>
        <v>https://tinyurl.com/ycoeyjrd</v>
      </c>
      <c r="DF373" t="str">
        <f>INDEX('Data_Price '!AO$2:AO$1266,MATCH(Data!$DN373,'Data_Price '!$AT$2:$AT$1266,0))</f>
        <v>Fischer Ranger 92 TI Flat Ski 2021-2022 | BLACK/BLUE / 178</v>
      </c>
      <c r="DG373" t="str">
        <f>INDEX('Data_Price '!AP$2:AP$1266,MATCH(Data!$DN373,'Data_Price '!$AT$2:$AT$1266,0))</f>
        <v>Ski Pro  - Snow Ski &amp; Snowboard</v>
      </c>
      <c r="DH373">
        <f>INDEX('Data_Price '!AQ$2:AQ$1266,MATCH(Data!$DN373,'Data_Price '!$AT$2:$AT$1266,0))</f>
        <v>499.95</v>
      </c>
      <c r="DI373" t="str">
        <f>INDEX('Data_Price '!AR$2:AR$1266,MATCH(Data!$DN373,'Data_Price '!$AT$2:$AT$1266,0))</f>
        <v>https://tinyurl.com/y9ths9b7</v>
      </c>
      <c r="DJ373" s="89" t="str">
        <f t="shared" si="217"/>
        <v>https://tinyurl.com/y8pxwroq</v>
      </c>
      <c r="DK373" s="89" t="str">
        <f t="shared" si="218"/>
        <v>https://tinyurl.com/ycoeyjrd</v>
      </c>
      <c r="DL373" s="89" t="str">
        <f t="shared" si="219"/>
        <v>https://tinyurl.com/y9ths9b7</v>
      </c>
      <c r="DM373" s="219" t="str">
        <f t="shared" si="220"/>
        <v>Ranger 115 FR Big Stix</v>
      </c>
      <c r="DN373" s="89" t="str">
        <f t="shared" si="221"/>
        <v xml:space="preserve"> FischerRanger 115 FR Big Stix178 Unisex</v>
      </c>
      <c r="DO373" s="221"/>
    </row>
    <row r="374" spans="2:119" ht="15.6" customHeight="1">
      <c r="B374" s="219" t="b">
        <f t="array" ref="B374">IF(OR(ISERROR(K374:P374)),FALSE,TRUE)</f>
        <v>1</v>
      </c>
      <c r="C374" s="43" t="b">
        <f>OR(BR374=Driver!$G$50,Data!BR924=Driver!$H$50)</f>
        <v>1</v>
      </c>
      <c r="D374" s="43" t="b">
        <f>OR(BV374=Driver!$G$51,BV374=Driver!$H$51)</f>
        <v>0</v>
      </c>
      <c r="E374" s="43" t="b">
        <f>AND(BX374&gt;Driver!$F$54,BX374&lt;Driver!$G$54)</f>
        <v>0</v>
      </c>
      <c r="F374" s="43" t="b">
        <f>CL374&gt;Driver!$F$56</f>
        <v>1</v>
      </c>
      <c r="G374" s="43" t="b">
        <f>AND(CB374&gt;Driver!$F$55,CB374&lt;Driver!$G$55)</f>
        <v>0</v>
      </c>
      <c r="H374" s="43" t="b">
        <f t="shared" si="185"/>
        <v>0</v>
      </c>
      <c r="I374" s="43">
        <f t="shared" si="186"/>
        <v>0</v>
      </c>
      <c r="J374" s="43" t="b">
        <f t="array" ref="J374">NOT(OR(($H$9:$H$1273=TRUE)*($I$9:$I$1273&gt;0)*($BT$9:$BT$1273=BT374)*($K$9:$K$1273&gt;K374)))</f>
        <v>1</v>
      </c>
      <c r="K374" s="72">
        <f t="shared" si="187"/>
        <v>0.82542551056164548</v>
      </c>
      <c r="L374" s="72">
        <f t="shared" si="188"/>
        <v>0.93851284436325877</v>
      </c>
      <c r="M374" s="72">
        <f t="shared" si="189"/>
        <v>0.71233817676003208</v>
      </c>
      <c r="N374" s="72">
        <f t="shared" si="190"/>
        <v>0.58420215060993719</v>
      </c>
      <c r="O374" s="72">
        <f t="shared" si="191"/>
        <v>0.62637074816523652</v>
      </c>
      <c r="P374" s="72">
        <f t="shared" si="192"/>
        <v>0.92644163150492265</v>
      </c>
      <c r="Q374" s="72"/>
      <c r="R374" s="72"/>
      <c r="S374" s="72">
        <f t="shared" si="193"/>
        <v>0.47263764560770616</v>
      </c>
      <c r="T374" s="72">
        <f t="shared" si="194"/>
        <v>0.58772412181358547</v>
      </c>
      <c r="U374" s="72">
        <f t="shared" si="195"/>
        <v>0.6386298138276727</v>
      </c>
      <c r="V374" s="72">
        <f t="shared" si="196"/>
        <v>0.52732764239931695</v>
      </c>
      <c r="W374" s="72">
        <f t="shared" si="197"/>
        <v>0.77625754527162982</v>
      </c>
      <c r="X374" s="72">
        <f t="shared" si="198"/>
        <v>6.1487155636741203E-2</v>
      </c>
      <c r="Y374" s="72">
        <f t="shared" si="199"/>
        <v>0.28766182323996786</v>
      </c>
      <c r="Z374" s="72">
        <f t="shared" si="200"/>
        <v>0.41579784939006281</v>
      </c>
      <c r="AA374" s="72">
        <f t="shared" si="201"/>
        <v>0.37362925183476342</v>
      </c>
      <c r="AB374" s="72">
        <f t="shared" si="202"/>
        <v>7.3558368495077353E-2</v>
      </c>
      <c r="AC374" s="72"/>
      <c r="AD374" s="72"/>
      <c r="AE374" s="72">
        <f t="shared" si="203"/>
        <v>0.52736235439229384</v>
      </c>
      <c r="AF374" s="72">
        <f t="shared" si="204"/>
        <v>0.41227587818641453</v>
      </c>
      <c r="AG374" s="72">
        <f t="shared" si="205"/>
        <v>0.3613701861723273</v>
      </c>
      <c r="AH374" s="72">
        <f t="shared" si="206"/>
        <v>0.47267235760068299</v>
      </c>
      <c r="AI374" s="72">
        <f t="shared" si="207"/>
        <v>0.22374245472837023</v>
      </c>
      <c r="AJ374" s="72">
        <f>(AV374-Driver!$K$179)/(Driver!$L$179-Driver!$K$179)</f>
        <v>0.19273225364595922</v>
      </c>
      <c r="AK374" s="72">
        <f>(AW374-Driver!$K$180)/(Driver!$L$180-Driver!$K$180)</f>
        <v>0.34629170066235604</v>
      </c>
      <c r="AL374" s="72">
        <f>(AX374-Driver!$K$181)/(Driver!$L$181-Driver!$K$181)</f>
        <v>0.51748561310314301</v>
      </c>
      <c r="AM374" s="72">
        <f>(AY374-Driver!$K$182)/(Driver!$L$182-Driver!$K$182)</f>
        <v>7.375576926228293E-2</v>
      </c>
      <c r="AN374" s="72">
        <f>(AZ374-Driver!$K$183)/(Driver!$L$183-Driver!$K$183)</f>
        <v>0.32777777777777778</v>
      </c>
      <c r="AO374" s="72"/>
      <c r="AP374" s="72"/>
      <c r="AQ374" s="72">
        <f>(BC374-Driver!$K$188)/(Driver!$L$188-Driver!$K$188)</f>
        <v>9.2637645607706168E-2</v>
      </c>
      <c r="AR374" s="72">
        <f>MIN((BD374-Driver!$K$189)/(Driver!$L$189-Driver!$K$189),100%)</f>
        <v>0.13772412181358551</v>
      </c>
      <c r="AS374" s="72">
        <f>(BE374-Driver!$K$190)/(Driver!$L$190-Driver!$K$190)</f>
        <v>0.14862981382767274</v>
      </c>
      <c r="AT374" s="72">
        <f>(BF374-Driver!$K$191)/(Driver!$L$191-Driver!$K$191)</f>
        <v>3.7327642399317025E-2</v>
      </c>
      <c r="AU374" s="72">
        <f>(BG374-Driver!$K$192)/(Driver!$L$192-Driver!$K$192)</f>
        <v>2.6257545271629771E-2</v>
      </c>
      <c r="AV374" s="70">
        <f t="shared" si="208"/>
        <v>4.0564373897707231</v>
      </c>
      <c r="AW374" s="70">
        <f t="shared" si="209"/>
        <v>35.621087307621863</v>
      </c>
      <c r="AX374" s="70">
        <f t="shared" si="210"/>
        <v>5.6573705179282872</v>
      </c>
      <c r="AY374" s="70">
        <f>IFERROR(Driver!$K$19/Data!BH374/Data!BI374*Data!BK374*Data!BL374,"")</f>
        <v>9.029906817459056E-2</v>
      </c>
      <c r="AZ374" s="70">
        <f t="shared" si="211"/>
        <v>29.873417721518987</v>
      </c>
      <c r="BA374" s="70"/>
      <c r="BB374" s="70"/>
      <c r="BC374" s="70">
        <f t="shared" si="212"/>
        <v>48.05179078318136</v>
      </c>
      <c r="BD374" s="70">
        <f t="shared" si="213"/>
        <v>13.909163631896366</v>
      </c>
      <c r="BE374" s="70">
        <f t="shared" si="214"/>
        <v>0.14878168868630626</v>
      </c>
      <c r="BF374" s="70">
        <f t="shared" si="215"/>
        <v>4.2158949674731669</v>
      </c>
      <c r="BG374" s="70">
        <f t="shared" si="216"/>
        <v>9.9427816901408436E-2</v>
      </c>
      <c r="BH374" s="67">
        <f>MAX((CE374-Driver!$F$200)/(Driver!$G$200-Driver!$F$200)*$BI$1,1)</f>
        <v>5.6573705179282872</v>
      </c>
      <c r="BI374" s="67">
        <f>MAX($BI$1*(BY374-Driver!$F$201)/(Driver!$G$201-Driver!$F$201),1)</f>
        <v>7.4683544303797467</v>
      </c>
      <c r="BJ374" s="67">
        <f>(CB374-Driver!$F$206)/(Driver!$G$206-Driver!$F$206)*$BI$1</f>
        <v>3.6507936507936507</v>
      </c>
      <c r="BK374" s="67">
        <f>(CD374-Driver!$F$203)/(Driver!$G$203-Driver!$F$203)*$BI$1</f>
        <v>3.0733944954128449</v>
      </c>
      <c r="BL374" s="67">
        <f>MAX((CR374-Driver!$F$202)/(Driver!$G$202-Driver!$F$202)*$BI$1,1)</f>
        <v>6.2068965517241379</v>
      </c>
      <c r="BM374" s="67">
        <f>MAX((CH374-Driver!$F$204)/(Driver!$G$204-Driver!$F$204)*$BI$1,1)</f>
        <v>4.4444444444444446</v>
      </c>
      <c r="BN374" s="67">
        <f>(CI374-Driver!$F$205)/(Driver!$G$205-Driver!$F$205)*$BI$1</f>
        <v>4</v>
      </c>
      <c r="BO374" s="67">
        <f>(CK374-Driver!$F$207)/(Driver!$G$207-Driver!$F$207)*$BI$1</f>
        <v>1.6132368148914167</v>
      </c>
      <c r="BP374" s="67">
        <f>(CM374-Driver!$F$208)/(Driver!$G$208-Driver!$F$208)*$BI$1</f>
        <v>2.2000000000000002</v>
      </c>
      <c r="BQ374" s="67">
        <f>(CL374-Driver!$F$209)/(Driver!$G$209-Driver!$F$209)*$BI$1</f>
        <v>2.5</v>
      </c>
      <c r="BR374" s="28" t="s">
        <v>155</v>
      </c>
      <c r="BS374" s="8" t="s">
        <v>332</v>
      </c>
      <c r="BT374" s="9" t="s">
        <v>563</v>
      </c>
      <c r="BU374" s="10">
        <v>172</v>
      </c>
      <c r="BV374" s="9" t="s">
        <v>163</v>
      </c>
      <c r="BW374" s="10">
        <v>172</v>
      </c>
      <c r="BX374" s="10">
        <v>172</v>
      </c>
      <c r="BY374" s="10">
        <v>126</v>
      </c>
      <c r="BZ374" s="10">
        <v>143</v>
      </c>
      <c r="CA374" s="10">
        <v>122</v>
      </c>
      <c r="CB374" s="10">
        <v>87</v>
      </c>
      <c r="CC374" s="10">
        <v>108</v>
      </c>
      <c r="CD374" s="10">
        <v>16.100000000000001</v>
      </c>
      <c r="CE374" s="10">
        <v>1894</v>
      </c>
      <c r="CF374" s="10">
        <v>0.9</v>
      </c>
      <c r="CG374" s="10">
        <v>1697</v>
      </c>
      <c r="CH374" s="10">
        <v>205</v>
      </c>
      <c r="CI374" s="10">
        <v>101</v>
      </c>
      <c r="CJ374" s="10">
        <v>59</v>
      </c>
      <c r="CK374" s="10">
        <v>266</v>
      </c>
      <c r="CL374" s="10">
        <v>16</v>
      </c>
      <c r="CM374" s="10">
        <v>198</v>
      </c>
      <c r="CN374" s="10">
        <v>0.26700000000000002</v>
      </c>
      <c r="CO374" s="10">
        <v>134</v>
      </c>
      <c r="CP374" s="10">
        <v>152</v>
      </c>
      <c r="CQ374" s="10">
        <v>132</v>
      </c>
      <c r="CR374" s="10">
        <v>7</v>
      </c>
      <c r="CS374" s="10">
        <v>8.5</v>
      </c>
      <c r="CT374" s="9" t="s">
        <v>188</v>
      </c>
      <c r="CU374" s="10"/>
      <c r="CV374" s="10"/>
      <c r="CW374" s="10"/>
      <c r="CX374" t="str">
        <f>INDEX('Data_Price '!AG$2:AG$1266,MATCH(Data!$DN374,'Data_Price '!$AT$2:$AT$1266,0))</f>
        <v>Nordica Enforcer 88 / Santa Ana 93 Ski Skins - 2022 172 cm</v>
      </c>
      <c r="CY374" t="str">
        <f>INDEX('Data_Price '!AH$2:AH$1266,MATCH(Data!$DN374,'Data_Price '!$AT$2:$AT$1266,0))</f>
        <v>Arlberg Ski &amp; Surf Shops</v>
      </c>
      <c r="CZ374">
        <f>INDEX('Data_Price '!AI$2:AI$1266,MATCH(Data!$DN374,'Data_Price '!$AT$2:$AT$1266,0))</f>
        <v>209.95</v>
      </c>
      <c r="DA374" t="str">
        <f>INDEX('Data_Price '!AJ$2:AJ$1266,MATCH(Data!$DN374,'Data_Price '!$AT$2:$AT$1266,0))</f>
        <v>https://tinyurl.com/ybjhc2gy</v>
      </c>
      <c r="DB374" t="str">
        <f>INDEX('Data_Price '!AK$2:AK$1266,MATCH(Data!$DN374,'Data_Price '!$AT$2:$AT$1266,0))</f>
        <v>'22 Nordica Santa Ana 88 Skis 172cm</v>
      </c>
      <c r="DC374" t="str">
        <f>INDEX('Data_Price '!AL$2:AL$1266,MATCH(Data!$DN374,'Data_Price '!$AT$2:$AT$1266,0))</f>
        <v>Al's Ski Equipment Barn</v>
      </c>
      <c r="DD374">
        <f>INDEX('Data_Price '!AM$2:AM$1266,MATCH(Data!$DN374,'Data_Price '!$AT$2:$AT$1266,0))</f>
        <v>529.95000000000005</v>
      </c>
      <c r="DE374" t="str">
        <f>INDEX('Data_Price '!AN$2:AN$1266,MATCH(Data!$DN374,'Data_Price '!$AT$2:$AT$1266,0))</f>
        <v>https://tinyurl.com/yb3xnajc</v>
      </c>
      <c r="DF374" t="str">
        <f>INDEX('Data_Price '!AO$2:AO$1266,MATCH(Data!$DN374,'Data_Price '!$AT$2:$AT$1266,0))</f>
        <v>Nordica Women's Santa Ana 88 Alpine Ski 2022 172</v>
      </c>
      <c r="DG374" t="str">
        <f>INDEX('Data_Price '!AP$2:AP$1266,MATCH(Data!$DN374,'Data_Price '!$AT$2:$AT$1266,0))</f>
        <v>Boyne Country Sports</v>
      </c>
      <c r="DH374">
        <f>INDEX('Data_Price '!AQ$2:AQ$1266,MATCH(Data!$DN374,'Data_Price '!$AT$2:$AT$1266,0))</f>
        <v>599.99</v>
      </c>
      <c r="DI374" t="str">
        <f>INDEX('Data_Price '!AR$2:AR$1266,MATCH(Data!$DN374,'Data_Price '!$AT$2:$AT$1266,0))</f>
        <v>https://tinyurl.com/y8eznp7f</v>
      </c>
      <c r="DJ374" s="89" t="str">
        <f t="shared" si="217"/>
        <v>https://tinyurl.com/ybjhc2gy</v>
      </c>
      <c r="DK374" s="89" t="str">
        <f t="shared" si="218"/>
        <v>https://tinyurl.com/yb3xnajc</v>
      </c>
      <c r="DL374" s="89" t="str">
        <f t="shared" si="219"/>
        <v>https://tinyurl.com/y8eznp7f</v>
      </c>
      <c r="DM374" s="219" t="str">
        <f t="shared" si="220"/>
        <v>Santa Ana 88</v>
      </c>
      <c r="DN374" s="89" t="str">
        <f t="shared" si="221"/>
        <v xml:space="preserve"> NordicaSanta Ana 88172 Women's</v>
      </c>
      <c r="DO374" s="221" t="s">
        <v>564</v>
      </c>
    </row>
    <row r="375" spans="2:119" ht="15.6" customHeight="1">
      <c r="B375" s="219" t="b">
        <f t="array" ref="B375">IF(OR(ISERROR(K375:P375)),FALSE,TRUE)</f>
        <v>1</v>
      </c>
      <c r="C375" s="43" t="b">
        <f>OR(BR375=Driver!$G$50,Data!BR1066=Driver!$H$50)</f>
        <v>1</v>
      </c>
      <c r="D375" s="43" t="b">
        <f>OR(BV375=Driver!$G$51,BV375=Driver!$H$51)</f>
        <v>1</v>
      </c>
      <c r="E375" s="43" t="b">
        <f>AND(BX375&gt;Driver!$F$54,BX375&lt;Driver!$G$54)</f>
        <v>0</v>
      </c>
      <c r="F375" s="43" t="b">
        <f>CL375&gt;Driver!$F$56</f>
        <v>1</v>
      </c>
      <c r="G375" s="43" t="b">
        <f>AND(CB375&gt;Driver!$F$55,CB375&lt;Driver!$G$55)</f>
        <v>1</v>
      </c>
      <c r="H375" s="43" t="b">
        <f t="shared" si="185"/>
        <v>0</v>
      </c>
      <c r="I375" s="43">
        <f t="shared" si="186"/>
        <v>0</v>
      </c>
      <c r="J375" s="43" t="b">
        <f t="array" ref="J375">NOT(OR(($H$9:$H$1273=TRUE)*($I$9:$I$1273&gt;0)*($BT$9:$BT$1273=BT375)*($K$9:$K$1273&gt;K375)))</f>
        <v>1</v>
      </c>
      <c r="K375" s="72">
        <f t="shared" si="187"/>
        <v>0.80478744810354175</v>
      </c>
      <c r="L375" s="72">
        <f t="shared" si="188"/>
        <v>0.8908320915806619</v>
      </c>
      <c r="M375" s="72">
        <f t="shared" si="189"/>
        <v>0.71874280462642171</v>
      </c>
      <c r="N375" s="72">
        <f t="shared" si="190"/>
        <v>0.50831522213336733</v>
      </c>
      <c r="O375" s="72">
        <f t="shared" si="191"/>
        <v>0.65774607004489671</v>
      </c>
      <c r="P375" s="72">
        <f t="shared" si="192"/>
        <v>0.99016712170100107</v>
      </c>
      <c r="Q375" s="72"/>
      <c r="R375" s="72"/>
      <c r="S375" s="72">
        <f t="shared" si="193"/>
        <v>0.46092204657858449</v>
      </c>
      <c r="T375" s="72">
        <f t="shared" si="194"/>
        <v>0.49873388088840431</v>
      </c>
      <c r="U375" s="72">
        <f t="shared" si="195"/>
        <v>0.52532460175514251</v>
      </c>
      <c r="V375" s="72">
        <f t="shared" si="196"/>
        <v>0.59700132366540481</v>
      </c>
      <c r="W375" s="72">
        <f t="shared" si="197"/>
        <v>0.7804578096947935</v>
      </c>
      <c r="X375" s="72">
        <f t="shared" si="198"/>
        <v>0.1091679084193381</v>
      </c>
      <c r="Y375" s="72">
        <f t="shared" si="199"/>
        <v>0.28125719537357829</v>
      </c>
      <c r="Z375" s="72">
        <f t="shared" si="200"/>
        <v>0.49168477786663267</v>
      </c>
      <c r="AA375" s="72">
        <f t="shared" si="201"/>
        <v>0.34225392995510329</v>
      </c>
      <c r="AB375" s="72">
        <f t="shared" si="202"/>
        <v>9.8328782989989261E-3</v>
      </c>
      <c r="AC375" s="72"/>
      <c r="AD375" s="72"/>
      <c r="AE375" s="72">
        <f t="shared" si="203"/>
        <v>0.53907795342141551</v>
      </c>
      <c r="AF375" s="72">
        <f t="shared" si="204"/>
        <v>0.50126611911159569</v>
      </c>
      <c r="AG375" s="72">
        <f t="shared" si="205"/>
        <v>0.47467539824485755</v>
      </c>
      <c r="AH375" s="72">
        <f t="shared" si="206"/>
        <v>0.40299867633459524</v>
      </c>
      <c r="AI375" s="72">
        <f t="shared" si="207"/>
        <v>0.21954219030520647</v>
      </c>
      <c r="AJ375" s="72">
        <f>(AV375-Driver!$K$179)/(Driver!$L$179-Driver!$K$179)</f>
        <v>0.36338731770203853</v>
      </c>
      <c r="AK375" s="72">
        <f>(AW375-Driver!$K$180)/(Driver!$L$180-Driver!$K$180)</f>
        <v>0.29410047229629155</v>
      </c>
      <c r="AL375" s="72">
        <f>(AX375-Driver!$K$181)/(Driver!$L$181-Driver!$K$181)</f>
        <v>0.59337254157971286</v>
      </c>
      <c r="AM375" s="72">
        <f>(AY375-Driver!$K$182)/(Driver!$L$182-Driver!$K$182)</f>
        <v>0.10513109114194309</v>
      </c>
      <c r="AN375" s="72">
        <f>(AZ375-Driver!$K$183)/(Driver!$L$183-Driver!$K$183)</f>
        <v>0.26405228758169935</v>
      </c>
      <c r="AO375" s="72"/>
      <c r="AP375" s="72"/>
      <c r="AQ375" s="72">
        <f>(BC375-Driver!$K$188)/(Driver!$L$188-Driver!$K$188)</f>
        <v>8.0922046578584456E-2</v>
      </c>
      <c r="AR375" s="72">
        <f>MIN((BD375-Driver!$K$189)/(Driver!$L$189-Driver!$K$189),100%)</f>
        <v>4.8733880888404309E-2</v>
      </c>
      <c r="AS375" s="72">
        <f>(BE375-Driver!$K$190)/(Driver!$L$190-Driver!$K$190)</f>
        <v>3.532460175514246E-2</v>
      </c>
      <c r="AT375" s="72">
        <f>(BF375-Driver!$K$191)/(Driver!$L$191-Driver!$K$191)</f>
        <v>0.10700132366540475</v>
      </c>
      <c r="AU375" s="72">
        <f>(BG375-Driver!$K$192)/(Driver!$L$192-Driver!$K$192)</f>
        <v>3.0457809694793534E-2</v>
      </c>
      <c r="AV375" s="70">
        <f t="shared" si="208"/>
        <v>7.6482159815493151</v>
      </c>
      <c r="AW375" s="70">
        <f t="shared" si="209"/>
        <v>30.534589642020102</v>
      </c>
      <c r="AX375" s="70">
        <f t="shared" si="210"/>
        <v>6.340352874217416</v>
      </c>
      <c r="AY375" s="70">
        <f>IFERROR(Driver!$K$19/Data!BH375/Data!BI375*Data!BK375*Data!BL375,"")</f>
        <v>0.12871182364780848</v>
      </c>
      <c r="AZ375" s="70">
        <f t="shared" si="211"/>
        <v>24.065524944154877</v>
      </c>
      <c r="BA375" s="70"/>
      <c r="BB375" s="70"/>
      <c r="BC375" s="70">
        <f t="shared" si="212"/>
        <v>41.97482812125282</v>
      </c>
      <c r="BD375" s="70">
        <f t="shared" si="213"/>
        <v>6.0336849913942503</v>
      </c>
      <c r="BE375" s="70">
        <f t="shared" si="214"/>
        <v>3.5496688988305235E-2</v>
      </c>
      <c r="BF375" s="70">
        <f t="shared" si="215"/>
        <v>12.085047781163944</v>
      </c>
      <c r="BG375" s="70">
        <f t="shared" si="216"/>
        <v>0.115332697486535</v>
      </c>
      <c r="BH375" s="67">
        <f>MAX((CE375-Driver!$F$200)/(Driver!$G$200-Driver!$F$200)*$BI$1,1)</f>
        <v>6.340352874217416</v>
      </c>
      <c r="BI375" s="67">
        <f>MAX($BI$1*(BY375-Driver!$F$201)/(Driver!$G$201-Driver!$F$201),1)</f>
        <v>6.3924050632911396</v>
      </c>
      <c r="BJ375" s="67">
        <f>(CB375-Driver!$F$206)/(Driver!$G$206-Driver!$F$206)*$BI$1</f>
        <v>6.5079365079365079</v>
      </c>
      <c r="BK375" s="67">
        <f>(CD375-Driver!$F$203)/(Driver!$G$203-Driver!$F$203)*$BI$1</f>
        <v>4.4495412844036704</v>
      </c>
      <c r="BL375" s="67">
        <f>MAX((CR375-Driver!$F$202)/(Driver!$G$202-Driver!$F$202)*$BI$1,1)</f>
        <v>5.8620689655172411</v>
      </c>
      <c r="BM375" s="67">
        <f>MAX((CH375-Driver!$F$204)/(Driver!$G$204-Driver!$F$204)*$BI$1,1)</f>
        <v>4.700854700854701</v>
      </c>
      <c r="BN375" s="67">
        <f>(CI375-Driver!$F$205)/(Driver!$G$205-Driver!$F$205)*$BI$1</f>
        <v>3.7647058823529411</v>
      </c>
      <c r="BO375" s="67">
        <f>(CK375-Driver!$F$207)/(Driver!$G$207-Driver!$F$207)*$BI$1</f>
        <v>2.6370217166494312</v>
      </c>
      <c r="BP375" s="67">
        <f>(CM375-Driver!$F$208)/(Driver!$G$208-Driver!$F$208)*$BI$1</f>
        <v>3.1333333333333337</v>
      </c>
      <c r="BQ375" s="67">
        <f>(CL375-Driver!$F$209)/(Driver!$G$209-Driver!$F$209)*$BI$1</f>
        <v>3.4375</v>
      </c>
      <c r="BR375" s="28" t="s">
        <v>155</v>
      </c>
      <c r="BS375" s="8" t="s">
        <v>174</v>
      </c>
      <c r="BT375" s="9" t="s">
        <v>438</v>
      </c>
      <c r="BU375" s="10">
        <v>174</v>
      </c>
      <c r="BV375" s="9" t="s">
        <v>158</v>
      </c>
      <c r="BW375" s="10">
        <v>174</v>
      </c>
      <c r="BX375" s="10">
        <v>173.9</v>
      </c>
      <c r="BY375" s="10">
        <v>109</v>
      </c>
      <c r="BZ375" s="10">
        <v>144</v>
      </c>
      <c r="CA375" s="10">
        <v>137</v>
      </c>
      <c r="CB375" s="10">
        <v>105</v>
      </c>
      <c r="CC375" s="10">
        <v>123</v>
      </c>
      <c r="CD375" s="10">
        <v>19.100000000000001</v>
      </c>
      <c r="CE375" s="10">
        <v>2014</v>
      </c>
      <c r="CF375" s="10">
        <v>0.99</v>
      </c>
      <c r="CG375" s="10">
        <v>2000</v>
      </c>
      <c r="CH375" s="10">
        <v>211</v>
      </c>
      <c r="CI375" s="10">
        <v>97</v>
      </c>
      <c r="CJ375" s="10">
        <v>59</v>
      </c>
      <c r="CK375" s="10">
        <v>365</v>
      </c>
      <c r="CL375" s="10">
        <v>22</v>
      </c>
      <c r="CM375" s="10">
        <v>282</v>
      </c>
      <c r="CN375" s="10">
        <v>0.378</v>
      </c>
      <c r="CO375" s="10">
        <v>181</v>
      </c>
      <c r="CP375" s="10">
        <v>119</v>
      </c>
      <c r="CQ375" s="10">
        <v>183</v>
      </c>
      <c r="CR375" s="10">
        <v>6</v>
      </c>
      <c r="CS375" s="10">
        <v>9.4</v>
      </c>
      <c r="CT375" s="9" t="s">
        <v>188</v>
      </c>
      <c r="CU375" s="9" t="s">
        <v>169</v>
      </c>
      <c r="CV375" s="9" t="s">
        <v>178</v>
      </c>
      <c r="CW375" s="10"/>
      <c r="CX375" t="str">
        <f>INDEX('Data_Price '!AG$2:AG$1266,MATCH(Data!$DN375,'Data_Price '!$AT$2:$AT$1266,0))</f>
        <v>Salomon QST Stella 106 Beige/Pink / 174cm</v>
      </c>
      <c r="CY375" t="str">
        <f>INDEX('Data_Price '!AH$2:AH$1266,MATCH(Data!$DN375,'Data_Price '!$AT$2:$AT$1266,0))</f>
        <v>Sundance Ski and Board Shop</v>
      </c>
      <c r="CZ375">
        <f>INDEX('Data_Price '!AI$2:AI$1266,MATCH(Data!$DN375,'Data_Price '!$AT$2:$AT$1266,0))</f>
        <v>481.02</v>
      </c>
      <c r="DA375" t="str">
        <f>INDEX('Data_Price '!AJ$2:AJ$1266,MATCH(Data!$DN375,'Data_Price '!$AT$2:$AT$1266,0))</f>
        <v>https://tinyurl.com/y9u3sk8c</v>
      </c>
      <c r="DB375" t="str">
        <f>INDEX('Data_Price '!AK$2:AK$1266,MATCH(Data!$DN375,'Data_Price '!$AT$2:$AT$1266,0))</f>
        <v>Salomon QST 106</v>
      </c>
      <c r="DC375" t="str">
        <f>INDEX('Data_Price '!AL$2:AL$1266,MATCH(Data!$DN375,'Data_Price '!$AT$2:$AT$1266,0))</f>
        <v>The-House.com</v>
      </c>
      <c r="DD375">
        <f>INDEX('Data_Price '!AM$2:AM$1266,MATCH(Data!$DN375,'Data_Price '!$AT$2:$AT$1266,0))</f>
        <v>537.95000000000005</v>
      </c>
      <c r="DE375" t="str">
        <f>INDEX('Data_Price '!AN$2:AN$1266,MATCH(Data!$DN375,'Data_Price '!$AT$2:$AT$1266,0))</f>
        <v>https://tinyurl.com/yd4hsaeo</v>
      </c>
      <c r="DF375" t="str">
        <f>INDEX('Data_Price '!AO$2:AO$1266,MATCH(Data!$DN375,'Data_Price '!$AT$2:$AT$1266,0))</f>
        <v>Salomon QST Stella 106 Skis Women's 2022</v>
      </c>
      <c r="DG375" t="str">
        <f>INDEX('Data_Price '!AP$2:AP$1266,MATCH(Data!$DN375,'Data_Price '!$AT$2:$AT$1266,0))</f>
        <v>Ski Pro  - Snow Ski &amp; Snowboard</v>
      </c>
      <c r="DH375">
        <f>INDEX('Data_Price '!AQ$2:AQ$1266,MATCH(Data!$DN375,'Data_Price '!$AT$2:$AT$1266,0))</f>
        <v>549.95000000000005</v>
      </c>
      <c r="DI375" t="str">
        <f>INDEX('Data_Price '!AR$2:AR$1266,MATCH(Data!$DN375,'Data_Price '!$AT$2:$AT$1266,0))</f>
        <v>https://tinyurl.com/y8xvz8b2</v>
      </c>
      <c r="DJ375" s="89" t="str">
        <f t="shared" si="217"/>
        <v>https://tinyurl.com/y9u3sk8c</v>
      </c>
      <c r="DK375" s="89" t="str">
        <f t="shared" si="218"/>
        <v>https://tinyurl.com/yd4hsaeo</v>
      </c>
      <c r="DL375" s="89" t="str">
        <f t="shared" si="219"/>
        <v>https://tinyurl.com/y8xvz8b2</v>
      </c>
      <c r="DM375" s="219" t="str">
        <f t="shared" si="220"/>
        <v>QST 106</v>
      </c>
      <c r="DN375" s="89" t="str">
        <f t="shared" si="221"/>
        <v xml:space="preserve"> SalomonQST 106174 Unisex</v>
      </c>
      <c r="DO375" s="221" t="s">
        <v>439</v>
      </c>
    </row>
    <row r="376" spans="2:119" ht="15.6" customHeight="1">
      <c r="B376" s="219" t="b">
        <f t="array" ref="B376">IF(OR(ISERROR(K376:P376)),FALSE,TRUE)</f>
        <v>1</v>
      </c>
      <c r="C376" s="43" t="b">
        <f>OR(BR376=Driver!$G$50,Data!BR1123=Driver!$H$50)</f>
        <v>1</v>
      </c>
      <c r="D376" s="43" t="b">
        <f>OR(BV376=Driver!$G$51,BV376=Driver!$H$51)</f>
        <v>1</v>
      </c>
      <c r="E376" s="43" t="b">
        <f>AND(BX376&gt;Driver!$F$54,BX376&lt;Driver!$G$54)</f>
        <v>0</v>
      </c>
      <c r="F376" s="43" t="b">
        <f>CL376&gt;Driver!$F$56</f>
        <v>1</v>
      </c>
      <c r="G376" s="43" t="b">
        <f>AND(CB376&gt;Driver!$F$55,CB376&lt;Driver!$G$55)</f>
        <v>0</v>
      </c>
      <c r="H376" s="43" t="b">
        <f t="shared" si="185"/>
        <v>0</v>
      </c>
      <c r="I376" s="43">
        <f t="shared" si="186"/>
        <v>0</v>
      </c>
      <c r="J376" s="43" t="b">
        <f t="array" ref="J376">NOT(OR(($H$9:$H$1273=TRUE)*($I$9:$I$1273&gt;0)*($BT$9:$BT$1273=BT376)*($K$9:$K$1273&gt;K376)))</f>
        <v>1</v>
      </c>
      <c r="K376" s="72">
        <f t="shared" si="187"/>
        <v>0.94770669512923256</v>
      </c>
      <c r="L376" s="72">
        <f t="shared" si="188"/>
        <v>0.99872025530638919</v>
      </c>
      <c r="M376" s="72">
        <f t="shared" si="189"/>
        <v>0.89669313495207592</v>
      </c>
      <c r="N376" s="72">
        <f t="shared" si="190"/>
        <v>0.94909179836811086</v>
      </c>
      <c r="O376" s="72">
        <f t="shared" si="191"/>
        <v>0.7731652560289457</v>
      </c>
      <c r="P376" s="72">
        <f t="shared" si="192"/>
        <v>0.96782235045917109</v>
      </c>
      <c r="Q376" s="72"/>
      <c r="R376" s="72"/>
      <c r="S376" s="72">
        <f t="shared" si="193"/>
        <v>0.48493832222138711</v>
      </c>
      <c r="T376" s="72">
        <f t="shared" si="194"/>
        <v>0.51989530875537626</v>
      </c>
      <c r="U376" s="72">
        <f t="shared" si="195"/>
        <v>0.69441890135253548</v>
      </c>
      <c r="V376" s="72">
        <f t="shared" si="196"/>
        <v>0.50425111760330443</v>
      </c>
      <c r="W376" s="72">
        <f t="shared" si="197"/>
        <v>0.78771975796845961</v>
      </c>
      <c r="X376" s="72">
        <f t="shared" si="198"/>
        <v>1.2797446936108625E-3</v>
      </c>
      <c r="Y376" s="72">
        <f t="shared" si="199"/>
        <v>0.10330686504792412</v>
      </c>
      <c r="Z376" s="72">
        <f t="shared" si="200"/>
        <v>5.090820163188918E-2</v>
      </c>
      <c r="AA376" s="72">
        <f t="shared" si="201"/>
        <v>0.22683474397105427</v>
      </c>
      <c r="AB376" s="72">
        <f t="shared" si="202"/>
        <v>3.2177649540828912E-2</v>
      </c>
      <c r="AC376" s="72"/>
      <c r="AD376" s="72"/>
      <c r="AE376" s="72">
        <f t="shared" si="203"/>
        <v>0.51506167777861289</v>
      </c>
      <c r="AF376" s="72">
        <f t="shared" si="204"/>
        <v>0.48010469124462374</v>
      </c>
      <c r="AG376" s="72">
        <f t="shared" si="205"/>
        <v>0.30558109864746452</v>
      </c>
      <c r="AH376" s="72">
        <f t="shared" si="206"/>
        <v>0.49574888239669557</v>
      </c>
      <c r="AI376" s="72">
        <f t="shared" si="207"/>
        <v>0.21228024203154033</v>
      </c>
      <c r="AJ376" s="72">
        <f>(AV376-Driver!$K$179)/(Driver!$L$179-Driver!$K$179)</f>
        <v>0.25549915397631129</v>
      </c>
      <c r="AK376" s="72">
        <f>(AW376-Driver!$K$180)/(Driver!$L$180-Driver!$K$180)</f>
        <v>0.27574199603368765</v>
      </c>
      <c r="AL376" s="72">
        <f>(AX376-Driver!$K$181)/(Driver!$L$181-Driver!$K$181)</f>
        <v>0.15259596534496936</v>
      </c>
      <c r="AM376" s="72">
        <f>(AY376-Driver!$K$182)/(Driver!$L$182-Driver!$K$182)</f>
        <v>0.22055027712599209</v>
      </c>
      <c r="AN376" s="72">
        <f>(AZ376-Driver!$K$183)/(Driver!$L$183-Driver!$K$183)</f>
        <v>0.28639705882352934</v>
      </c>
      <c r="AO376" s="72"/>
      <c r="AP376" s="72"/>
      <c r="AQ376" s="72">
        <f>(BC376-Driver!$K$188)/(Driver!$L$188-Driver!$K$188)</f>
        <v>0.10493832222138713</v>
      </c>
      <c r="AR376" s="72">
        <f>MIN((BD376-Driver!$K$189)/(Driver!$L$189-Driver!$K$189),100%)</f>
        <v>6.9895308755376306E-2</v>
      </c>
      <c r="AS376" s="72">
        <f>(BE376-Driver!$K$190)/(Driver!$L$190-Driver!$K$190)</f>
        <v>0.81558109864746453</v>
      </c>
      <c r="AT376" s="72">
        <f>(BF376-Driver!$K$191)/(Driver!$L$191-Driver!$K$191)</f>
        <v>1.4251117603304419E-2</v>
      </c>
      <c r="AU376" s="72">
        <f>(BG376-Driver!$K$192)/(Driver!$L$192-Driver!$K$192)</f>
        <v>3.7719757968459666E-2</v>
      </c>
      <c r="AV376" s="70">
        <f t="shared" si="208"/>
        <v>5.3774928774928767</v>
      </c>
      <c r="AW376" s="70">
        <f t="shared" si="209"/>
        <v>28.745393457581237</v>
      </c>
      <c r="AX376" s="70">
        <f t="shared" si="210"/>
        <v>2.3733636881047242</v>
      </c>
      <c r="AY376" s="70">
        <f>IFERROR(Driver!$K$19/Data!BH376/Data!BI376*Data!BK376*Data!BL376,"")</f>
        <v>0.27001934505358266</v>
      </c>
      <c r="AZ376" s="70">
        <f t="shared" si="211"/>
        <v>26.102010424422929</v>
      </c>
      <c r="BA376" s="70"/>
      <c r="BB376" s="70"/>
      <c r="BC376" s="70">
        <f t="shared" si="212"/>
        <v>54.432237255614169</v>
      </c>
      <c r="BD376" s="70">
        <f t="shared" si="213"/>
        <v>7.9064338617898375</v>
      </c>
      <c r="BE376" s="70">
        <f t="shared" si="214"/>
        <v>0.8156139969037427</v>
      </c>
      <c r="BF376" s="70">
        <f t="shared" si="215"/>
        <v>1.609563613525687</v>
      </c>
      <c r="BG376" s="70">
        <f t="shared" si="216"/>
        <v>0.14283106627280956</v>
      </c>
      <c r="BH376" s="67">
        <f>MAX((CE376-Driver!$F$200)/(Driver!$G$200-Driver!$F$200)*$BI$1,1)</f>
        <v>2.3733636881047242</v>
      </c>
      <c r="BI376" s="67">
        <f>MAX($BI$1*(BY376-Driver!$F$201)/(Driver!$G$201-Driver!$F$201),1)</f>
        <v>7.7848101265822782</v>
      </c>
      <c r="BJ376" s="67">
        <f>(CB376-Driver!$F$206)/(Driver!$G$206-Driver!$F$206)*$BI$1</f>
        <v>3.333333333333333</v>
      </c>
      <c r="BK376" s="67">
        <f>(CD376-Driver!$F$203)/(Driver!$G$203-Driver!$F$203)*$BI$1</f>
        <v>3.8073394495412844</v>
      </c>
      <c r="BL376" s="67">
        <f>MAX((CR376-Driver!$F$202)/(Driver!$G$202-Driver!$F$202)*$BI$1,1)</f>
        <v>6.5517241379310338</v>
      </c>
      <c r="BM376" s="67">
        <f>MAX((CH376-Driver!$F$204)/(Driver!$G$204-Driver!$F$204)*$BI$1,1)</f>
        <v>6.4529914529914532</v>
      </c>
      <c r="BN376" s="67">
        <f>(CI376-Driver!$F$205)/(Driver!$G$205-Driver!$F$205)*$BI$1</f>
        <v>3.3529411764705879</v>
      </c>
      <c r="BO376" s="67">
        <f>(CK376-Driver!$F$207)/(Driver!$G$207-Driver!$F$207)*$BI$1</f>
        <v>1.6546018614270941</v>
      </c>
      <c r="BP376" s="67">
        <f>(CM376-Driver!$F$208)/(Driver!$G$208-Driver!$F$208)*$BI$1</f>
        <v>1.1111111111111112</v>
      </c>
      <c r="BQ376" s="67">
        <f>(CL376-Driver!$F$209)/(Driver!$G$209-Driver!$F$209)*$BI$1</f>
        <v>2.1875</v>
      </c>
      <c r="BR376" s="28" t="s">
        <v>155</v>
      </c>
      <c r="BS376" s="8" t="s">
        <v>180</v>
      </c>
      <c r="BT376" s="9" t="s">
        <v>451</v>
      </c>
      <c r="BU376" s="10">
        <v>170</v>
      </c>
      <c r="BV376" s="9" t="s">
        <v>158</v>
      </c>
      <c r="BW376" s="10">
        <v>170</v>
      </c>
      <c r="BX376" s="10">
        <v>167.7</v>
      </c>
      <c r="BY376" s="10">
        <v>131</v>
      </c>
      <c r="BZ376" s="10">
        <v>148</v>
      </c>
      <c r="CA376" s="10">
        <v>123</v>
      </c>
      <c r="CB376" s="10">
        <v>85</v>
      </c>
      <c r="CC376" s="10">
        <v>108</v>
      </c>
      <c r="CD376" s="10">
        <v>17.7</v>
      </c>
      <c r="CE376" s="10">
        <v>1317</v>
      </c>
      <c r="CF376" s="10">
        <v>1.23</v>
      </c>
      <c r="CG376" s="10">
        <v>1624</v>
      </c>
      <c r="CH376" s="10">
        <v>252</v>
      </c>
      <c r="CI376" s="10">
        <v>90</v>
      </c>
      <c r="CJ376" s="10">
        <v>56</v>
      </c>
      <c r="CK376" s="10">
        <v>270</v>
      </c>
      <c r="CL376" s="10">
        <v>14</v>
      </c>
      <c r="CM376" s="10">
        <v>100</v>
      </c>
      <c r="CN376" s="10">
        <v>0.25</v>
      </c>
      <c r="CO376" s="10">
        <v>116</v>
      </c>
      <c r="CP376" s="10">
        <v>79</v>
      </c>
      <c r="CQ376" s="10">
        <v>154</v>
      </c>
      <c r="CR376" s="10">
        <v>8</v>
      </c>
      <c r="CS376" s="10">
        <v>11.2</v>
      </c>
      <c r="CT376" s="9" t="s">
        <v>188</v>
      </c>
      <c r="CU376" s="9" t="s">
        <v>185</v>
      </c>
      <c r="CV376" s="10"/>
      <c r="CW376" s="10"/>
      <c r="CX376" t="str">
        <f>INDEX('Data_Price '!AG$2:AG$1266,MATCH(Data!$DN376,'Data_Price '!$AT$2:$AT$1266,0))</f>
        <v>Scott Superguide 88 21/22</v>
      </c>
      <c r="CY376" t="str">
        <f>INDEX('Data_Price '!AH$2:AH$1266,MATCH(Data!$DN376,'Data_Price '!$AT$2:$AT$1266,0))</f>
        <v>Telemark Pyrenees</v>
      </c>
      <c r="CZ376">
        <f>INDEX('Data_Price '!AI$2:AI$1266,MATCH(Data!$DN376,'Data_Price '!$AT$2:$AT$1266,0))</f>
        <v>352.89</v>
      </c>
      <c r="DA376" t="str">
        <f>INDEX('Data_Price '!AJ$2:AJ$1266,MATCH(Data!$DN376,'Data_Price '!$AT$2:$AT$1266,0))</f>
        <v>https://tinyurl.com/y82kc9sv</v>
      </c>
      <c r="DB376" t="str">
        <f>INDEX('Data_Price '!AK$2:AK$1266,MATCH(Data!$DN376,'Data_Price '!$AT$2:$AT$1266,0))</f>
        <v>Scott Superguide 88 21/22</v>
      </c>
      <c r="DC376" t="str">
        <f>INDEX('Data_Price '!AL$2:AL$1266,MATCH(Data!$DN376,'Data_Price '!$AT$2:$AT$1266,0))</f>
        <v>Snowcountry.eu</v>
      </c>
      <c r="DD376">
        <f>INDEX('Data_Price '!AM$2:AM$1266,MATCH(Data!$DN376,'Data_Price '!$AT$2:$AT$1266,0))</f>
        <v>354.99</v>
      </c>
      <c r="DE376" t="str">
        <f>INDEX('Data_Price '!AN$2:AN$1266,MATCH(Data!$DN376,'Data_Price '!$AT$2:$AT$1266,0))</f>
        <v>https://tinyurl.com/ychlq3n8</v>
      </c>
      <c r="DF376" t="str">
        <f>INDEX('Data_Price '!AO$2:AO$1266,MATCH(Data!$DN376,'Data_Price '!$AT$2:$AT$1266,0))</f>
        <v>Scott Superguide 88 21/22</v>
      </c>
      <c r="DG376" t="str">
        <f>INDEX('Data_Price '!AP$2:AP$1266,MATCH(Data!$DN376,'Data_Price '!$AT$2:$AT$1266,0))</f>
        <v>eBay - grassisport</v>
      </c>
      <c r="DH376">
        <f>INDEX('Data_Price '!AQ$2:AQ$1266,MATCH(Data!$DN376,'Data_Price '!$AT$2:$AT$1266,0))</f>
        <v>456.18</v>
      </c>
      <c r="DI376" t="str">
        <f>INDEX('Data_Price '!AR$2:AR$1266,MATCH(Data!$DN376,'Data_Price '!$AT$2:$AT$1266,0))</f>
        <v>https://tinyurl.com/y7lfh7cv</v>
      </c>
      <c r="DJ376" s="89" t="str">
        <f t="shared" si="217"/>
        <v>https://tinyurl.com/y82kc9sv</v>
      </c>
      <c r="DK376" s="89" t="str">
        <f t="shared" si="218"/>
        <v>https://tinyurl.com/ychlq3n8</v>
      </c>
      <c r="DL376" s="89" t="str">
        <f t="shared" si="219"/>
        <v>https://tinyurl.com/y7lfh7cv</v>
      </c>
      <c r="DM376" s="219" t="str">
        <f t="shared" si="220"/>
        <v>Superguide 88</v>
      </c>
      <c r="DN376" s="89" t="str">
        <f t="shared" si="221"/>
        <v xml:space="preserve"> ScottSuperguide 88170 Unisex</v>
      </c>
      <c r="DO376" s="221"/>
    </row>
    <row r="377" spans="2:119" ht="15.6" customHeight="1">
      <c r="B377" s="219" t="b">
        <f t="array" ref="B377">IF(OR(ISERROR(K377:P377)),FALSE,TRUE)</f>
        <v>1</v>
      </c>
      <c r="C377" s="43" t="b">
        <f>OR(BR377=Driver!$G$50,Data!BR107=Driver!$H$50)</f>
        <v>1</v>
      </c>
      <c r="D377" s="43" t="b">
        <f>OR(BV377=Driver!$G$51,BV377=Driver!$H$51)</f>
        <v>1</v>
      </c>
      <c r="E377" s="43" t="b">
        <f>AND(BX377&gt;Driver!$F$54,BX377&lt;Driver!$G$54)</f>
        <v>0</v>
      </c>
      <c r="F377" s="43" t="b">
        <f>CL377&gt;Driver!$F$56</f>
        <v>1</v>
      </c>
      <c r="G377" s="43" t="b">
        <f>AND(CB377&gt;Driver!$F$55,CB377&lt;Driver!$G$55)</f>
        <v>1</v>
      </c>
      <c r="H377" s="43" t="b">
        <f t="shared" si="185"/>
        <v>0</v>
      </c>
      <c r="I377" s="43">
        <f t="shared" si="186"/>
        <v>1</v>
      </c>
      <c r="J377" s="43" t="b">
        <f t="array" ref="J377">NOT(OR(($H$9:$H$1273=TRUE)*($I$9:$I$1273&gt;0)*($BT$9:$BT$1273=BT377)*($K$9:$K$1273&gt;K377)))</f>
        <v>0</v>
      </c>
      <c r="K377" s="72">
        <f t="shared" si="187"/>
        <v>0.79287608663507769</v>
      </c>
      <c r="L377" s="72">
        <f t="shared" si="188"/>
        <v>0.87657054940033796</v>
      </c>
      <c r="M377" s="72">
        <f t="shared" si="189"/>
        <v>0.70918162386981742</v>
      </c>
      <c r="N377" s="72">
        <f t="shared" si="190"/>
        <v>0.64427930232055508</v>
      </c>
      <c r="O377" s="72">
        <f t="shared" si="191"/>
        <v>0.66532066981011839</v>
      </c>
      <c r="P377" s="72">
        <f t="shared" si="192"/>
        <v>0.8179448994787788</v>
      </c>
      <c r="Q377" s="72"/>
      <c r="R377" s="72"/>
      <c r="S377" s="72">
        <f t="shared" si="193"/>
        <v>0.53209017954302773</v>
      </c>
      <c r="T377" s="72">
        <f t="shared" si="194"/>
        <v>0.4699290906203295</v>
      </c>
      <c r="U377" s="72">
        <f t="shared" si="195"/>
        <v>0.54512230734882605</v>
      </c>
      <c r="V377" s="72">
        <f t="shared" si="196"/>
        <v>0.56154042870137055</v>
      </c>
      <c r="W377" s="72">
        <f t="shared" si="197"/>
        <v>0.79847588043799944</v>
      </c>
      <c r="X377" s="72">
        <f t="shared" si="198"/>
        <v>0.12342945059966204</v>
      </c>
      <c r="Y377" s="72">
        <f t="shared" si="199"/>
        <v>0.29081837613018258</v>
      </c>
      <c r="Z377" s="72">
        <f t="shared" si="200"/>
        <v>0.35572069767944492</v>
      </c>
      <c r="AA377" s="72">
        <f t="shared" si="201"/>
        <v>0.33467933018988161</v>
      </c>
      <c r="AB377" s="72">
        <f t="shared" si="202"/>
        <v>0.18205510052122115</v>
      </c>
      <c r="AC377" s="72"/>
      <c r="AD377" s="72"/>
      <c r="AE377" s="72">
        <f t="shared" si="203"/>
        <v>0.46790982045697227</v>
      </c>
      <c r="AF377" s="72">
        <f t="shared" si="204"/>
        <v>0.5300709093796705</v>
      </c>
      <c r="AG377" s="72">
        <f t="shared" si="205"/>
        <v>0.45487769265117395</v>
      </c>
      <c r="AH377" s="72">
        <f t="shared" si="206"/>
        <v>0.43845957129862945</v>
      </c>
      <c r="AI377" s="72">
        <f t="shared" si="207"/>
        <v>0.20152411956200061</v>
      </c>
      <c r="AJ377" s="72">
        <f>(AV377-Driver!$K$179)/(Driver!$L$179-Driver!$K$179)</f>
        <v>0.37764885988236246</v>
      </c>
      <c r="AK377" s="72">
        <f>(AW377-Driver!$K$180)/(Driver!$L$180-Driver!$K$180)</f>
        <v>0.4426944456525625</v>
      </c>
      <c r="AL377" s="72">
        <f>(AX377-Driver!$K$181)/(Driver!$L$181-Driver!$K$181)</f>
        <v>0.45740846139252511</v>
      </c>
      <c r="AM377" s="72">
        <f>(AY377-Driver!$K$182)/(Driver!$L$182-Driver!$K$182)</f>
        <v>0.11270569090716474</v>
      </c>
      <c r="AN377" s="72">
        <f>(AZ377-Driver!$K$183)/(Driver!$L$183-Driver!$K$183)</f>
        <v>0.43627450980392157</v>
      </c>
      <c r="AO377" s="72"/>
      <c r="AP377" s="72"/>
      <c r="AQ377" s="72">
        <f>(BC377-Driver!$K$188)/(Driver!$L$188-Driver!$K$188)</f>
        <v>0.15209017954302775</v>
      </c>
      <c r="AR377" s="72">
        <f>MIN((BD377-Driver!$K$189)/(Driver!$L$189-Driver!$K$189),100%)</f>
        <v>1.9929090620329562E-2</v>
      </c>
      <c r="AS377" s="72">
        <f>(BE377-Driver!$K$190)/(Driver!$L$190-Driver!$K$190)</f>
        <v>5.5122307348826081E-2</v>
      </c>
      <c r="AT377" s="72">
        <f>(BF377-Driver!$K$191)/(Driver!$L$191-Driver!$K$191)</f>
        <v>7.1540428701370548E-2</v>
      </c>
      <c r="AU377" s="72">
        <f>(BG377-Driver!$K$192)/(Driver!$L$192-Driver!$K$192)</f>
        <v>4.84758804379994E-2</v>
      </c>
      <c r="AV377" s="70">
        <f t="shared" si="208"/>
        <v>7.9483787817121163</v>
      </c>
      <c r="AW377" s="70">
        <f t="shared" si="209"/>
        <v>45.016389022136053</v>
      </c>
      <c r="AX377" s="70">
        <f t="shared" si="210"/>
        <v>5.116676152532726</v>
      </c>
      <c r="AY377" s="70">
        <f>IFERROR(Driver!$K$19/Data!BH377/Data!BI377*Data!BK377*Data!BL377,"")</f>
        <v>0.13798539380287916</v>
      </c>
      <c r="AZ377" s="70">
        <f t="shared" si="211"/>
        <v>39.761727475800448</v>
      </c>
      <c r="BA377" s="70"/>
      <c r="BB377" s="70"/>
      <c r="BC377" s="70">
        <f t="shared" si="212"/>
        <v>78.890233442743266</v>
      </c>
      <c r="BD377" s="70">
        <f t="shared" si="213"/>
        <v>3.4845120917378503</v>
      </c>
      <c r="BE377" s="70">
        <f t="shared" si="214"/>
        <v>5.5290862894143609E-2</v>
      </c>
      <c r="BF377" s="70">
        <f t="shared" si="215"/>
        <v>8.0799888218630009</v>
      </c>
      <c r="BG377" s="70">
        <f t="shared" si="216"/>
        <v>0.18356060760682102</v>
      </c>
      <c r="BH377" s="67">
        <f>MAX((CE377-Driver!$F$200)/(Driver!$G$200-Driver!$F$200)*$BI$1,1)</f>
        <v>5.116676152532726</v>
      </c>
      <c r="BI377" s="67">
        <f>MAX($BI$1*(BY377-Driver!$F$201)/(Driver!$G$201-Driver!$F$201),1)</f>
        <v>7.5949367088607591</v>
      </c>
      <c r="BJ377" s="67">
        <f>(CB377-Driver!$F$206)/(Driver!$G$206-Driver!$F$206)*$BI$1</f>
        <v>6.825396825396826</v>
      </c>
      <c r="BK377" s="67">
        <f>(CD377-Driver!$F$203)/(Driver!$G$203-Driver!$F$203)*$BI$1</f>
        <v>5.1834862385321099</v>
      </c>
      <c r="BL377" s="67">
        <f>MAX((CR377-Driver!$F$202)/(Driver!$G$202-Driver!$F$202)*$BI$1,1)</f>
        <v>5.1724137931034484</v>
      </c>
      <c r="BM377" s="67">
        <f>MAX((CH377-Driver!$F$204)/(Driver!$G$204-Driver!$F$204)*$BI$1,1)</f>
        <v>4.6581196581196584</v>
      </c>
      <c r="BN377" s="67">
        <f>(CI377-Driver!$F$205)/(Driver!$G$205-Driver!$F$205)*$BI$1</f>
        <v>5.2352941176470589</v>
      </c>
      <c r="BO377" s="67">
        <f>(CK377-Driver!$F$207)/(Driver!$G$207-Driver!$F$207)*$BI$1</f>
        <v>3.2678386763185108</v>
      </c>
      <c r="BP377" s="67">
        <f>(CM377-Driver!$F$208)/(Driver!$G$208-Driver!$F$208)*$BI$1</f>
        <v>1.8777777777777778</v>
      </c>
      <c r="BQ377" s="67">
        <f>(CL377-Driver!$F$209)/(Driver!$G$209-Driver!$F$209)*$BI$1</f>
        <v>4.375</v>
      </c>
      <c r="BR377" s="28" t="s">
        <v>155</v>
      </c>
      <c r="BS377" s="8" t="s">
        <v>182</v>
      </c>
      <c r="BT377" s="9" t="s">
        <v>303</v>
      </c>
      <c r="BU377" s="10">
        <v>188</v>
      </c>
      <c r="BV377" s="9" t="s">
        <v>158</v>
      </c>
      <c r="BW377" s="10">
        <v>188</v>
      </c>
      <c r="BX377" s="10">
        <v>187.3</v>
      </c>
      <c r="BY377" s="10">
        <v>128</v>
      </c>
      <c r="BZ377" s="10">
        <v>149</v>
      </c>
      <c r="CA377" s="10">
        <v>134</v>
      </c>
      <c r="CB377" s="10">
        <v>107</v>
      </c>
      <c r="CC377" s="10">
        <v>125</v>
      </c>
      <c r="CD377" s="10">
        <v>20.7</v>
      </c>
      <c r="CE377" s="10">
        <v>1799</v>
      </c>
      <c r="CF377" s="10">
        <v>1.21</v>
      </c>
      <c r="CG377" s="10">
        <v>2185</v>
      </c>
      <c r="CH377" s="10">
        <v>210</v>
      </c>
      <c r="CI377" s="10">
        <v>122</v>
      </c>
      <c r="CJ377" s="10">
        <v>49</v>
      </c>
      <c r="CK377" s="10">
        <v>426</v>
      </c>
      <c r="CL377" s="10">
        <v>28</v>
      </c>
      <c r="CM377" s="10">
        <v>169</v>
      </c>
      <c r="CN377" s="10">
        <v>0.57999999999999996</v>
      </c>
      <c r="CO377" s="10">
        <v>211</v>
      </c>
      <c r="CP377" s="10">
        <v>170</v>
      </c>
      <c r="CQ377" s="10">
        <v>215</v>
      </c>
      <c r="CR377" s="10">
        <v>4</v>
      </c>
      <c r="CS377" s="10">
        <v>10.8</v>
      </c>
      <c r="CT377" s="9" t="s">
        <v>169</v>
      </c>
      <c r="CU377" s="9" t="s">
        <v>185</v>
      </c>
      <c r="CV377" s="10"/>
      <c r="CW377" s="10"/>
      <c r="CX377" t="str">
        <f>INDEX('Data_Price '!AG$2:AG$1266,MATCH(Data!$DN377,'Data_Price '!$AT$2:$AT$1266,0))</f>
        <v>Armada Tracer 108 Skis 2022 188cm</v>
      </c>
      <c r="CY377" t="str">
        <f>INDEX('Data_Price '!AH$2:AH$1266,MATCH(Data!$DN377,'Data_Price '!$AT$2:$AT$1266,0))</f>
        <v>Snowcountry.eu</v>
      </c>
      <c r="CZ377">
        <f>INDEX('Data_Price '!AI$2:AI$1266,MATCH(Data!$DN377,'Data_Price '!$AT$2:$AT$1266,0))</f>
        <v>423.23</v>
      </c>
      <c r="DA377" t="str">
        <f>INDEX('Data_Price '!AJ$2:AJ$1266,MATCH(Data!$DN377,'Data_Price '!$AT$2:$AT$1266,0))</f>
        <v>https://tinyurl.com/y7lmjle6</v>
      </c>
      <c r="DB377" t="str">
        <f>INDEX('Data_Price '!AK$2:AK$1266,MATCH(Data!$DN377,'Data_Price '!$AT$2:$AT$1266,0))</f>
        <v>Armada Tracer 108 Limited Purple-White-Orange 188 Ski Men</v>
      </c>
      <c r="DC377" t="str">
        <f>INDEX('Data_Price '!AL$2:AL$1266,MATCH(Data!$DN377,'Data_Price '!$AT$2:$AT$1266,0))</f>
        <v>! OutdoorXL.com</v>
      </c>
      <c r="DD377">
        <f>INDEX('Data_Price '!AM$2:AM$1266,MATCH(Data!$DN377,'Data_Price '!$AT$2:$AT$1266,0))</f>
        <v>424.95</v>
      </c>
      <c r="DE377" t="str">
        <f>INDEX('Data_Price '!AN$2:AN$1266,MATCH(Data!$DN377,'Data_Price '!$AT$2:$AT$1266,0))</f>
        <v>https://tinyurl.com/y9bdn877</v>
      </c>
      <c r="DF377" t="str">
        <f>INDEX('Data_Price '!AO$2:AO$1266,MATCH(Data!$DN377,'Data_Price '!$AT$2:$AT$1266,0))</f>
        <v>Armada Tracer 108 Skis w/Armada NR Warden MNC 13 Demo Bindings</v>
      </c>
      <c r="DG377" t="str">
        <f>INDEX('Data_Price '!AP$2:AP$1266,MATCH(Data!$DN377,'Data_Price '!$AT$2:$AT$1266,0))</f>
        <v>Geartrade.com</v>
      </c>
      <c r="DH377">
        <f>INDEX('Data_Price '!AQ$2:AQ$1266,MATCH(Data!$DN377,'Data_Price '!$AT$2:$AT$1266,0))</f>
        <v>489.95</v>
      </c>
      <c r="DI377" t="str">
        <f>INDEX('Data_Price '!AR$2:AR$1266,MATCH(Data!$DN377,'Data_Price '!$AT$2:$AT$1266,0))</f>
        <v>https://tinyurl.com/yc5xfxfv</v>
      </c>
      <c r="DJ377" s="89" t="str">
        <f t="shared" si="217"/>
        <v>https://tinyurl.com/y7lmjle6</v>
      </c>
      <c r="DK377" s="89" t="str">
        <f t="shared" si="218"/>
        <v>https://tinyurl.com/y9bdn877</v>
      </c>
      <c r="DL377" s="89" t="str">
        <f t="shared" si="219"/>
        <v>https://tinyurl.com/yc5xfxfv</v>
      </c>
      <c r="DM377" s="219" t="str">
        <f t="shared" si="220"/>
        <v>Tracer 108</v>
      </c>
      <c r="DN377" s="89" t="str">
        <f t="shared" si="221"/>
        <v xml:space="preserve"> ArmadaTracer 108188 Unisex</v>
      </c>
      <c r="DO377" s="221" t="s">
        <v>304</v>
      </c>
    </row>
    <row r="378" spans="2:119" ht="15.6" customHeight="1">
      <c r="B378" s="219" t="b">
        <f t="array" ref="B378">IF(OR(ISERROR(K378:P378)),FALSE,TRUE)</f>
        <v>1</v>
      </c>
      <c r="C378" s="43" t="b">
        <f>OR(BR378=Driver!$G$50,Data!BR377=Driver!$H$50)</f>
        <v>1</v>
      </c>
      <c r="D378" s="43" t="b">
        <f>OR(BV378=Driver!$G$51,BV378=Driver!$H$51)</f>
        <v>1</v>
      </c>
      <c r="E378" s="43" t="b">
        <f>AND(BX378&gt;Driver!$F$54,BX378&lt;Driver!$G$54)</f>
        <v>0</v>
      </c>
      <c r="F378" s="43" t="b">
        <f>CL378&gt;Driver!$F$56</f>
        <v>1</v>
      </c>
      <c r="G378" s="43" t="b">
        <f>AND(CB378&gt;Driver!$F$55,CB378&lt;Driver!$G$55)</f>
        <v>0</v>
      </c>
      <c r="H378" s="43" t="b">
        <f t="shared" si="185"/>
        <v>0</v>
      </c>
      <c r="I378" s="43">
        <f t="shared" si="186"/>
        <v>0</v>
      </c>
      <c r="J378" s="43" t="b">
        <f t="array" ref="J378">NOT(OR(($H$9:$H$1273=TRUE)*($I$9:$I$1273&gt;0)*($BT$9:$BT$1273=BT378)*($K$9:$K$1273&gt;K378)))</f>
        <v>1</v>
      </c>
      <c r="K378" s="72">
        <f t="shared" si="187"/>
        <v>0.81506316074521967</v>
      </c>
      <c r="L378" s="72">
        <f t="shared" si="188"/>
        <v>0.76175304879603545</v>
      </c>
      <c r="M378" s="72">
        <f t="shared" si="189"/>
        <v>0.86837327269440379</v>
      </c>
      <c r="N378" s="72">
        <f t="shared" si="190"/>
        <v>0.91747224483620671</v>
      </c>
      <c r="O378" s="72">
        <f t="shared" si="191"/>
        <v>0.82517652997737612</v>
      </c>
      <c r="P378" s="72">
        <f t="shared" si="192"/>
        <v>0.86247104326962853</v>
      </c>
      <c r="Q378" s="72"/>
      <c r="R378" s="72"/>
      <c r="S378" s="72">
        <f t="shared" si="193"/>
        <v>0.58033893450714324</v>
      </c>
      <c r="T378" s="72">
        <f t="shared" si="194"/>
        <v>0.4736863316658303</v>
      </c>
      <c r="U378" s="72">
        <f t="shared" si="195"/>
        <v>0.51</v>
      </c>
      <c r="V378" s="72">
        <f t="shared" si="196"/>
        <v>0.50276115210565564</v>
      </c>
      <c r="W378" s="72">
        <f t="shared" si="197"/>
        <v>0.76521575837752387</v>
      </c>
      <c r="X378" s="72">
        <f t="shared" si="198"/>
        <v>0.23824695120396455</v>
      </c>
      <c r="Y378" s="72">
        <f t="shared" si="199"/>
        <v>0.13162672730559619</v>
      </c>
      <c r="Z378" s="72">
        <f t="shared" si="200"/>
        <v>8.2527755163793251E-2</v>
      </c>
      <c r="AA378" s="72">
        <f t="shared" si="201"/>
        <v>0.17482347002262388</v>
      </c>
      <c r="AB378" s="72">
        <f t="shared" si="202"/>
        <v>0.13752895673037147</v>
      </c>
      <c r="AC378" s="72"/>
      <c r="AD378" s="72"/>
      <c r="AE378" s="72">
        <f t="shared" si="203"/>
        <v>0.41966106549285681</v>
      </c>
      <c r="AF378" s="72">
        <f t="shared" si="204"/>
        <v>0.5263136683341697</v>
      </c>
      <c r="AG378" s="72">
        <f t="shared" si="205"/>
        <v>0.49</v>
      </c>
      <c r="AH378" s="72">
        <f t="shared" si="206"/>
        <v>0.4972388478943443</v>
      </c>
      <c r="AI378" s="72">
        <f t="shared" si="207"/>
        <v>0.2347842416224761</v>
      </c>
      <c r="AJ378" s="72">
        <f>(AV378-Driver!$K$179)/(Driver!$L$179-Driver!$K$179)</f>
        <v>0.49246636048666498</v>
      </c>
      <c r="AK378" s="72">
        <f>(AW378-Driver!$K$180)/(Driver!$L$180-Driver!$K$180)</f>
        <v>0.37783524164873833</v>
      </c>
      <c r="AL378" s="72">
        <f>(AX378-Driver!$K$181)/(Driver!$L$181-Driver!$K$181)</f>
        <v>0.18421551887687343</v>
      </c>
      <c r="AM378" s="72">
        <f>(AY378-Driver!$K$182)/(Driver!$L$182-Driver!$K$182)</f>
        <v>0.27256155107442248</v>
      </c>
      <c r="AN378" s="72">
        <f>(AZ378-Driver!$K$183)/(Driver!$L$183-Driver!$K$183)</f>
        <v>0.39174836601307189</v>
      </c>
      <c r="AO378" s="72"/>
      <c r="AP378" s="72"/>
      <c r="AQ378" s="72">
        <f>(BC378-Driver!$K$188)/(Driver!$L$188-Driver!$K$188)</f>
        <v>0.20033893450714318</v>
      </c>
      <c r="AR378" s="72">
        <f>MIN((BD378-Driver!$K$189)/(Driver!$L$189-Driver!$K$189),100%)</f>
        <v>2.3686331665830354E-2</v>
      </c>
      <c r="AS378" s="72">
        <f>(BE378-Driver!$K$190)/(Driver!$L$190-Driver!$K$190)</f>
        <v>1</v>
      </c>
      <c r="AT378" s="72">
        <f>(BF378-Driver!$K$191)/(Driver!$L$191-Driver!$K$191)</f>
        <v>1.2761152105655709E-2</v>
      </c>
      <c r="AU378" s="72">
        <f>(BG378-Driver!$K$192)/(Driver!$L$192-Driver!$K$192)</f>
        <v>1.5215758377523909E-2</v>
      </c>
      <c r="AV378" s="70">
        <f t="shared" si="208"/>
        <v>10.364943698277031</v>
      </c>
      <c r="AW378" s="70">
        <f t="shared" si="209"/>
        <v>38.695284880951476</v>
      </c>
      <c r="AX378" s="70">
        <f t="shared" si="210"/>
        <v>2.6579396698918609</v>
      </c>
      <c r="AY378" s="70">
        <f>IFERROR(Driver!$K$19/Data!BH378/Data!BI378*Data!BK378*Data!BL378,"")</f>
        <v>0.33369666303280604</v>
      </c>
      <c r="AZ378" s="70">
        <f t="shared" si="211"/>
        <v>35.703648548026806</v>
      </c>
      <c r="BA378" s="70"/>
      <c r="BB378" s="70"/>
      <c r="BC378" s="70">
        <f t="shared" si="212"/>
        <v>103.91719806253273</v>
      </c>
      <c r="BD378" s="70">
        <f t="shared" si="213"/>
        <v>3.8170212668274788</v>
      </c>
      <c r="BE378" s="70">
        <f t="shared" si="214"/>
        <v>1</v>
      </c>
      <c r="BF378" s="70">
        <f t="shared" si="215"/>
        <v>1.4412824781663112</v>
      </c>
      <c r="BG378" s="70">
        <f t="shared" si="216"/>
        <v>5.7616567821787736E-2</v>
      </c>
      <c r="BH378" s="67">
        <f>MAX((CE378-Driver!$F$200)/(Driver!$G$200-Driver!$F$200)*$BI$1,1)</f>
        <v>2.6579396698918609</v>
      </c>
      <c r="BI378" s="67">
        <f>MAX($BI$1*(BY378-Driver!$F$201)/(Driver!$G$201-Driver!$F$201),1)</f>
        <v>8.6708860759493671</v>
      </c>
      <c r="BJ378" s="67">
        <f>(CB378-Driver!$F$206)/(Driver!$G$206-Driver!$F$206)*$BI$1</f>
        <v>5.0793650793650791</v>
      </c>
      <c r="BK378" s="67">
        <f>(CD378-Driver!$F$203)/(Driver!$G$203-Driver!$F$203)*$BI$1</f>
        <v>6.5596330275229366</v>
      </c>
      <c r="BL378" s="67">
        <f>MAX((CR378-Driver!$F$202)/(Driver!$G$202-Driver!$F$202)*$BI$1,1)</f>
        <v>5.8620689655172411</v>
      </c>
      <c r="BM378" s="67">
        <f>MAX((CH378-Driver!$F$204)/(Driver!$G$204-Driver!$F$204)*$BI$1,1)</f>
        <v>8.1623931623931618</v>
      </c>
      <c r="BN378" s="67">
        <f>(CI378-Driver!$F$205)/(Driver!$G$205-Driver!$F$205)*$BI$1</f>
        <v>4.117647058823529</v>
      </c>
      <c r="BO378" s="67">
        <f>(CK378-Driver!$F$207)/(Driver!$G$207-Driver!$F$207)*$BI$1</f>
        <v>1.7269906928645296</v>
      </c>
      <c r="BP378" s="67">
        <f>(CM378-Driver!$F$208)/(Driver!$G$208-Driver!$F$208)*$BI$1</f>
        <v>1.0777777777777777</v>
      </c>
      <c r="BQ378" s="67">
        <f>(CL378-Driver!$F$209)/(Driver!$G$209-Driver!$F$209)*$BI$1</f>
        <v>1.25</v>
      </c>
      <c r="BR378" s="28" t="s">
        <v>155</v>
      </c>
      <c r="BS378" s="8" t="s">
        <v>329</v>
      </c>
      <c r="BT378" s="9" t="s">
        <v>548</v>
      </c>
      <c r="BU378" s="10">
        <v>184</v>
      </c>
      <c r="BV378" s="9" t="s">
        <v>158</v>
      </c>
      <c r="BW378" s="10">
        <v>184</v>
      </c>
      <c r="BX378" s="10">
        <v>182</v>
      </c>
      <c r="BY378" s="10">
        <v>145</v>
      </c>
      <c r="BZ378" s="10">
        <v>158</v>
      </c>
      <c r="CA378" s="10">
        <v>128</v>
      </c>
      <c r="CB378" s="10">
        <v>96</v>
      </c>
      <c r="CC378" s="10">
        <v>116</v>
      </c>
      <c r="CD378" s="10">
        <v>23.7</v>
      </c>
      <c r="CE378" s="10">
        <v>1367</v>
      </c>
      <c r="CF378" s="10">
        <v>1.39</v>
      </c>
      <c r="CG378" s="10">
        <v>1903</v>
      </c>
      <c r="CH378" s="10">
        <v>292</v>
      </c>
      <c r="CI378" s="10">
        <v>103</v>
      </c>
      <c r="CJ378" s="10">
        <v>51</v>
      </c>
      <c r="CK378" s="10">
        <v>277</v>
      </c>
      <c r="CL378" s="10">
        <v>8</v>
      </c>
      <c r="CM378" s="10">
        <v>97</v>
      </c>
      <c r="CN378" s="10">
        <v>0.157</v>
      </c>
      <c r="CO378" s="10">
        <v>146</v>
      </c>
      <c r="CP378" s="10">
        <v>99</v>
      </c>
      <c r="CQ378" s="10">
        <v>131</v>
      </c>
      <c r="CR378" s="10">
        <v>6</v>
      </c>
      <c r="CS378" s="10">
        <v>12.4</v>
      </c>
      <c r="CT378" s="9" t="s">
        <v>185</v>
      </c>
      <c r="CU378" s="9" t="s">
        <v>198</v>
      </c>
      <c r="CV378" s="10"/>
      <c r="CW378" s="10"/>
      <c r="CX378" t="str">
        <f>INDEX('Data_Price '!AG$2:AG$1266,MATCH(Data!$DN378,'Data_Price '!$AT$2:$AT$1266,0))</f>
        <v>Dynafit Blacklight 95 Ski Set - Black Magnet - 184cm</v>
      </c>
      <c r="CY378" t="str">
        <f>INDEX('Data_Price '!AH$2:AH$1266,MATCH(Data!$DN378,'Data_Price '!$AT$2:$AT$1266,0))</f>
        <v>evo.com</v>
      </c>
      <c r="CZ378">
        <f>INDEX('Data_Price '!AI$2:AI$1266,MATCH(Data!$DN378,'Data_Price '!$AT$2:$AT$1266,0))</f>
        <v>1199.95</v>
      </c>
      <c r="DA378" t="str">
        <f>INDEX('Data_Price '!AJ$2:AJ$1266,MATCH(Data!$DN378,'Data_Price '!$AT$2:$AT$1266,0))</f>
        <v>https://tinyurl.com/y8srwo3k</v>
      </c>
      <c r="DB378" t="str">
        <f>INDEX('Data_Price '!AK$2:AK$1266,MATCH(Data!$DN378,'Data_Price '!$AT$2:$AT$1266,0))</f>
        <v>Dynafit Blacklight 95 Ski Set - Black Magnet - 184cm</v>
      </c>
      <c r="DC378" t="str">
        <f>INDEX('Data_Price '!AL$2:AL$1266,MATCH(Data!$DN378,'Data_Price '!$AT$2:$AT$1266,0))</f>
        <v>Backcountry.com</v>
      </c>
      <c r="DD378">
        <f>INDEX('Data_Price '!AM$2:AM$1266,MATCH(Data!$DN378,'Data_Price '!$AT$2:$AT$1266,0))</f>
        <v>1199.95</v>
      </c>
      <c r="DE378" t="str">
        <f>INDEX('Data_Price '!AN$2:AN$1266,MATCH(Data!$DN378,'Data_Price '!$AT$2:$AT$1266,0))</f>
        <v>https://tinyurl.com/y8cbaw6v</v>
      </c>
      <c r="DF378" t="str">
        <f>INDEX('Data_Price '!AO$2:AO$1266,MATCH(Data!$DN378,'Data_Price '!$AT$2:$AT$1266,0))</f>
        <v>Dynafit Blacklight 95 Ski Set - Black Magnet - 184cm</v>
      </c>
      <c r="DG378" t="str">
        <f>INDEX('Data_Price '!AP$2:AP$1266,MATCH(Data!$DN378,'Data_Price '!$AT$2:$AT$1266,0))</f>
        <v>REI</v>
      </c>
      <c r="DH378">
        <f>INDEX('Data_Price '!AQ$2:AQ$1266,MATCH(Data!$DN378,'Data_Price '!$AT$2:$AT$1266,0))</f>
        <v>1199.95</v>
      </c>
      <c r="DI378" t="str">
        <f>INDEX('Data_Price '!AR$2:AR$1266,MATCH(Data!$DN378,'Data_Price '!$AT$2:$AT$1266,0))</f>
        <v>https://tinyurl.com/y9goln98</v>
      </c>
      <c r="DJ378" s="89" t="str">
        <f t="shared" si="217"/>
        <v>https://tinyurl.com/y8srwo3k</v>
      </c>
      <c r="DK378" s="89" t="str">
        <f t="shared" si="218"/>
        <v>https://tinyurl.com/y8cbaw6v</v>
      </c>
      <c r="DL378" s="89" t="str">
        <f t="shared" si="219"/>
        <v>https://tinyurl.com/y9goln98</v>
      </c>
      <c r="DM378" s="219" t="str">
        <f t="shared" si="220"/>
        <v>Blacklight 95</v>
      </c>
      <c r="DN378" s="89" t="str">
        <f t="shared" si="221"/>
        <v xml:space="preserve"> DynafitBlacklight 95184 Unisex</v>
      </c>
      <c r="DO378" s="221" t="s">
        <v>549</v>
      </c>
    </row>
    <row r="379" spans="2:119" ht="15.6" customHeight="1">
      <c r="B379" s="219" t="b">
        <f t="array" ref="B379">IF(OR(ISERROR(K379:P379)),FALSE,TRUE)</f>
        <v>1</v>
      </c>
      <c r="C379" s="43" t="b">
        <f>OR(BR379=Driver!$G$50,Data!BR930=Driver!$H$50)</f>
        <v>1</v>
      </c>
      <c r="D379" s="43" t="b">
        <f>OR(BV379=Driver!$G$51,BV379=Driver!$H$51)</f>
        <v>0</v>
      </c>
      <c r="E379" s="43" t="b">
        <f>AND(BX379&gt;Driver!$F$54,BX379&lt;Driver!$G$54)</f>
        <v>0</v>
      </c>
      <c r="F379" s="43" t="b">
        <f>CL379&gt;Driver!$F$56</f>
        <v>1</v>
      </c>
      <c r="G379" s="43" t="b">
        <f>AND(CB379&gt;Driver!$F$55,CB379&lt;Driver!$G$55)</f>
        <v>0</v>
      </c>
      <c r="H379" s="43" t="b">
        <f t="shared" si="185"/>
        <v>0</v>
      </c>
      <c r="I379" s="43">
        <f t="shared" si="186"/>
        <v>0</v>
      </c>
      <c r="J379" s="43" t="b">
        <f t="array" ref="J379">NOT(OR(($H$9:$H$1273=TRUE)*($I$9:$I$1273&gt;0)*($BT$9:$BT$1273=BT379)*($K$9:$K$1273&gt;K379)))</f>
        <v>1</v>
      </c>
      <c r="K379" s="72">
        <f t="shared" si="187"/>
        <v>0.85596989978710503</v>
      </c>
      <c r="L379" s="72">
        <f t="shared" si="188"/>
        <v>0.99759222372150469</v>
      </c>
      <c r="M379" s="72">
        <f t="shared" si="189"/>
        <v>0.71434757585270536</v>
      </c>
      <c r="N379" s="72">
        <f t="shared" si="190"/>
        <v>0.5633332452788804</v>
      </c>
      <c r="O379" s="72">
        <f t="shared" si="191"/>
        <v>0.62745085731026062</v>
      </c>
      <c r="P379" s="72">
        <f t="shared" si="192"/>
        <v>0.95225862496897495</v>
      </c>
      <c r="Q379" s="72"/>
      <c r="R379" s="72"/>
      <c r="S379" s="72">
        <f t="shared" si="193"/>
        <v>0.45744170456250866</v>
      </c>
      <c r="T379" s="72">
        <f t="shared" si="194"/>
        <v>0.50469985616317681</v>
      </c>
      <c r="U379" s="72">
        <f t="shared" si="195"/>
        <v>0.57102547216800903</v>
      </c>
      <c r="V379" s="72">
        <f t="shared" si="196"/>
        <v>0.55508592292811154</v>
      </c>
      <c r="W379" s="72">
        <f t="shared" si="197"/>
        <v>0.78812074001947419</v>
      </c>
      <c r="X379" s="72">
        <f t="shared" si="198"/>
        <v>2.407776278495255E-3</v>
      </c>
      <c r="Y379" s="72">
        <f t="shared" si="199"/>
        <v>0.28565242414729469</v>
      </c>
      <c r="Z379" s="72">
        <f t="shared" si="200"/>
        <v>0.4366667547211196</v>
      </c>
      <c r="AA379" s="72">
        <f t="shared" si="201"/>
        <v>0.37254914268973943</v>
      </c>
      <c r="AB379" s="72">
        <f t="shared" si="202"/>
        <v>4.7741375031025046E-2</v>
      </c>
      <c r="AC379" s="72"/>
      <c r="AD379" s="72"/>
      <c r="AE379" s="72">
        <f t="shared" si="203"/>
        <v>0.54255829543749134</v>
      </c>
      <c r="AF379" s="72">
        <f t="shared" si="204"/>
        <v>0.49530014383682319</v>
      </c>
      <c r="AG379" s="72">
        <f t="shared" si="205"/>
        <v>0.42897452783199097</v>
      </c>
      <c r="AH379" s="72">
        <f t="shared" si="206"/>
        <v>0.44491407707188846</v>
      </c>
      <c r="AI379" s="72">
        <f t="shared" si="207"/>
        <v>0.21187925998052581</v>
      </c>
      <c r="AJ379" s="72">
        <f>(AV379-Driver!$K$179)/(Driver!$L$179-Driver!$K$179)</f>
        <v>0.25662718556119568</v>
      </c>
      <c r="AK379" s="72">
        <f>(AW379-Driver!$K$180)/(Driver!$L$180-Driver!$K$180)</f>
        <v>0.32408952599490204</v>
      </c>
      <c r="AL379" s="72">
        <f>(AX379-Driver!$K$181)/(Driver!$L$181-Driver!$K$181)</f>
        <v>0.53835451843419979</v>
      </c>
      <c r="AM379" s="72">
        <f>(AY379-Driver!$K$182)/(Driver!$L$182-Driver!$K$182)</f>
        <v>7.4835878407306933E-2</v>
      </c>
      <c r="AN379" s="72">
        <f>(AZ379-Driver!$K$183)/(Driver!$L$183-Driver!$K$183)</f>
        <v>0.30196078431372547</v>
      </c>
      <c r="AO379" s="72"/>
      <c r="AP379" s="72"/>
      <c r="AQ379" s="72">
        <f>(BC379-Driver!$K$188)/(Driver!$L$188-Driver!$K$188)</f>
        <v>7.7441704562508637E-2</v>
      </c>
      <c r="AR379" s="72">
        <f>MIN((BD379-Driver!$K$189)/(Driver!$L$189-Driver!$K$189),100%)</f>
        <v>5.4699856163176859E-2</v>
      </c>
      <c r="AS379" s="72">
        <f>(BE379-Driver!$K$190)/(Driver!$L$190-Driver!$K$190)</f>
        <v>8.1025472168009066E-2</v>
      </c>
      <c r="AT379" s="72">
        <f>(BF379-Driver!$K$191)/(Driver!$L$191-Driver!$K$191)</f>
        <v>6.5085922928111564E-2</v>
      </c>
      <c r="AU379" s="72">
        <f>(BG379-Driver!$K$192)/(Driver!$L$192-Driver!$K$192)</f>
        <v>3.81207400194742E-2</v>
      </c>
      <c r="AV379" s="70">
        <f t="shared" si="208"/>
        <v>5.4012345679012341</v>
      </c>
      <c r="AW379" s="70">
        <f t="shared" si="209"/>
        <v>33.457288654997761</v>
      </c>
      <c r="AX379" s="70">
        <f t="shared" si="210"/>
        <v>5.8451906659077979</v>
      </c>
      <c r="AY379" s="70">
        <f>IFERROR(Driver!$K$19/Data!BH379/Data!BI379*Data!BK379*Data!BL379,"")</f>
        <v>9.1621444041564234E-2</v>
      </c>
      <c r="AZ379" s="70">
        <f t="shared" si="211"/>
        <v>27.520476545048396</v>
      </c>
      <c r="BA379" s="70"/>
      <c r="BB379" s="70"/>
      <c r="BC379" s="70">
        <f t="shared" si="212"/>
        <v>40.169550522569125</v>
      </c>
      <c r="BD379" s="70">
        <f t="shared" si="213"/>
        <v>6.5616632321289581</v>
      </c>
      <c r="BE379" s="70">
        <f t="shared" si="214"/>
        <v>8.11894068802754E-2</v>
      </c>
      <c r="BF379" s="70">
        <f t="shared" si="215"/>
        <v>7.350997740242831</v>
      </c>
      <c r="BG379" s="70">
        <f t="shared" si="216"/>
        <v>0.1443494401168452</v>
      </c>
      <c r="BH379" s="67">
        <f>MAX((CE379-Driver!$F$200)/(Driver!$G$200-Driver!$F$200)*$BI$1,1)</f>
        <v>5.8451906659077979</v>
      </c>
      <c r="BI379" s="67">
        <f>MAX($BI$1*(BY379-Driver!$F$201)/(Driver!$G$201-Driver!$F$201),1)</f>
        <v>7.0886075949367084</v>
      </c>
      <c r="BJ379" s="67">
        <f>(CB379-Driver!$F$206)/(Driver!$G$206-Driver!$F$206)*$BI$1</f>
        <v>5.5555555555555554</v>
      </c>
      <c r="BK379" s="67">
        <f>(CD379-Driver!$F$203)/(Driver!$G$203-Driver!$F$203)*$BI$1</f>
        <v>3.4403669724770634</v>
      </c>
      <c r="BL379" s="67">
        <f>MAX((CR379-Driver!$F$202)/(Driver!$G$202-Driver!$F$202)*$BI$1,1)</f>
        <v>5.5172413793103452</v>
      </c>
      <c r="BM379" s="67">
        <f>MAX((CH379-Driver!$F$204)/(Driver!$G$204-Driver!$F$204)*$BI$1,1)</f>
        <v>3.8888888888888888</v>
      </c>
      <c r="BN379" s="67">
        <f>(CI379-Driver!$F$205)/(Driver!$G$205-Driver!$F$205)*$BI$1</f>
        <v>3.8823529411764706</v>
      </c>
      <c r="BO379" s="67">
        <f>(CK379-Driver!$F$207)/(Driver!$G$207-Driver!$F$207)*$BI$1</f>
        <v>1.923474663908997</v>
      </c>
      <c r="BP379" s="67">
        <f>(CM379-Driver!$F$208)/(Driver!$G$208-Driver!$F$208)*$BI$1</f>
        <v>2.3666666666666667</v>
      </c>
      <c r="BQ379" s="67">
        <f>(CL379-Driver!$F$209)/(Driver!$G$209-Driver!$F$209)*$BI$1</f>
        <v>3.28125</v>
      </c>
      <c r="BR379" s="28" t="s">
        <v>155</v>
      </c>
      <c r="BS379" s="8" t="s">
        <v>332</v>
      </c>
      <c r="BT379" s="9" t="s">
        <v>369</v>
      </c>
      <c r="BU379" s="10">
        <v>172</v>
      </c>
      <c r="BV379" s="9" t="s">
        <v>163</v>
      </c>
      <c r="BW379" s="10">
        <v>172</v>
      </c>
      <c r="BX379" s="10">
        <v>171.1</v>
      </c>
      <c r="BY379" s="10">
        <v>120</v>
      </c>
      <c r="BZ379" s="10">
        <v>142</v>
      </c>
      <c r="CA379" s="10">
        <v>132</v>
      </c>
      <c r="CB379" s="10">
        <v>99</v>
      </c>
      <c r="CC379" s="10">
        <v>119</v>
      </c>
      <c r="CD379" s="10">
        <v>16.899999999999999</v>
      </c>
      <c r="CE379" s="10">
        <v>1927</v>
      </c>
      <c r="CF379" s="10">
        <v>0.97</v>
      </c>
      <c r="CG379" s="10">
        <v>1877</v>
      </c>
      <c r="CH379" s="10">
        <v>192</v>
      </c>
      <c r="CI379" s="10">
        <v>99</v>
      </c>
      <c r="CJ379" s="10">
        <v>62</v>
      </c>
      <c r="CK379" s="10">
        <v>296</v>
      </c>
      <c r="CL379" s="10">
        <v>21</v>
      </c>
      <c r="CM379" s="10">
        <v>213</v>
      </c>
      <c r="CN379" s="10">
        <v>0.34399999999999997</v>
      </c>
      <c r="CO379" s="10">
        <v>142</v>
      </c>
      <c r="CP379" s="10">
        <v>150</v>
      </c>
      <c r="CQ379" s="10">
        <v>154</v>
      </c>
      <c r="CR379" s="10">
        <v>5</v>
      </c>
      <c r="CS379" s="10">
        <v>8.1999999999999993</v>
      </c>
      <c r="CT379" s="9" t="s">
        <v>188</v>
      </c>
      <c r="CU379" s="10"/>
      <c r="CV379" s="10"/>
      <c r="CW379" s="10"/>
      <c r="CX379" t="str">
        <f>INDEX('Data_Price '!AG$2:AG$1266,MATCH(Data!$DN379,'Data_Price '!$AT$2:$AT$1266,0))</f>
        <v>Nordica Santa Ana 98 BLACK/BLUE / 172cm</v>
      </c>
      <c r="CY379" t="str">
        <f>INDEX('Data_Price '!AH$2:AH$1266,MATCH(Data!$DN379,'Data_Price '!$AT$2:$AT$1266,0))</f>
        <v>Sundance Ski and Board Shop</v>
      </c>
      <c r="CZ379">
        <f>INDEX('Data_Price '!AI$2:AI$1266,MATCH(Data!$DN379,'Data_Price '!$AT$2:$AT$1266,0))</f>
        <v>521.11</v>
      </c>
      <c r="DA379" t="str">
        <f>INDEX('Data_Price '!AJ$2:AJ$1266,MATCH(Data!$DN379,'Data_Price '!$AT$2:$AT$1266,0))</f>
        <v>https://tinyurl.com/ycpdajvx</v>
      </c>
      <c r="DB379" t="str">
        <f>INDEX('Data_Price '!AK$2:AK$1266,MATCH(Data!$DN379,'Data_Price '!$AT$2:$AT$1266,0))</f>
        <v>Nordica Santa Ana 98 Skis Women's 2022</v>
      </c>
      <c r="DC379" t="str">
        <f>INDEX('Data_Price '!AL$2:AL$1266,MATCH(Data!$DN379,'Data_Price '!$AT$2:$AT$1266,0))</f>
        <v>BlueZone Sports</v>
      </c>
      <c r="DD379">
        <f>INDEX('Data_Price '!AM$2:AM$1266,MATCH(Data!$DN379,'Data_Price '!$AT$2:$AT$1266,0))</f>
        <v>524.99</v>
      </c>
      <c r="DE379" t="str">
        <f>INDEX('Data_Price '!AN$2:AN$1266,MATCH(Data!$DN379,'Data_Price '!$AT$2:$AT$1266,0))</f>
        <v>https://tinyurl.com/y9klonnm</v>
      </c>
      <c r="DF379" t="str">
        <f>INDEX('Data_Price '!AO$2:AO$1266,MATCH(Data!$DN379,'Data_Price '!$AT$2:$AT$1266,0))</f>
        <v>Nordica Santa Ana 98 Skis Women's 2022</v>
      </c>
      <c r="DG379" t="str">
        <f>INDEX('Data_Price '!AP$2:AP$1266,MATCH(Data!$DN379,'Data_Price '!$AT$2:$AT$1266,0))</f>
        <v>AlpineShopVT.com</v>
      </c>
      <c r="DH379">
        <f>INDEX('Data_Price '!AQ$2:AQ$1266,MATCH(Data!$DN379,'Data_Price '!$AT$2:$AT$1266,0))</f>
        <v>559.99</v>
      </c>
      <c r="DI379" t="str">
        <f>INDEX('Data_Price '!AR$2:AR$1266,MATCH(Data!$DN379,'Data_Price '!$AT$2:$AT$1266,0))</f>
        <v>https://tinyurl.com/yan7vavu</v>
      </c>
      <c r="DJ379" s="89" t="str">
        <f t="shared" si="217"/>
        <v>https://tinyurl.com/ycpdajvx</v>
      </c>
      <c r="DK379" s="89" t="str">
        <f t="shared" si="218"/>
        <v>https://tinyurl.com/y9klonnm</v>
      </c>
      <c r="DL379" s="89" t="str">
        <f t="shared" si="219"/>
        <v>https://tinyurl.com/yan7vavu</v>
      </c>
      <c r="DM379" s="219" t="str">
        <f t="shared" si="220"/>
        <v>Santa Ana 98</v>
      </c>
      <c r="DN379" s="89" t="str">
        <f t="shared" si="221"/>
        <v xml:space="preserve"> NordicaSanta Ana 98172 Women's</v>
      </c>
      <c r="DO379" s="221" t="s">
        <v>370</v>
      </c>
    </row>
    <row r="380" spans="2:119" ht="15.6" customHeight="1">
      <c r="B380" s="219" t="b">
        <f t="array" ref="B380">IF(OR(ISERROR(K380:P380)),FALSE,TRUE)</f>
        <v>1</v>
      </c>
      <c r="C380" s="43" t="b">
        <f>OR(BR380=Driver!$G$50,Data!BR1216=Driver!$H$50)</f>
        <v>1</v>
      </c>
      <c r="D380" s="43" t="b">
        <f>OR(BV380=Driver!$G$51,BV380=Driver!$H$51)</f>
        <v>1</v>
      </c>
      <c r="E380" s="43" t="b">
        <f>AND(BX380&gt;Driver!$F$54,BX380&lt;Driver!$G$54)</f>
        <v>1</v>
      </c>
      <c r="F380" s="43" t="b">
        <f>CL380&gt;Driver!$F$56</f>
        <v>1</v>
      </c>
      <c r="G380" s="43" t="b">
        <f>AND(CB380&gt;Driver!$F$55,CB380&lt;Driver!$G$55)</f>
        <v>0</v>
      </c>
      <c r="H380" s="43" t="b">
        <f t="shared" si="185"/>
        <v>0</v>
      </c>
      <c r="I380" s="43">
        <f t="shared" si="186"/>
        <v>0</v>
      </c>
      <c r="J380" s="43" t="b">
        <f t="array" ref="J380">NOT(OR(($H$9:$H$1273=TRUE)*($I$9:$I$1273&gt;0)*($BT$9:$BT$1273=BT380)*($K$9:$K$1273&gt;K380)))</f>
        <v>1</v>
      </c>
      <c r="K380" s="72">
        <f t="shared" si="187"/>
        <v>0.82174665726897489</v>
      </c>
      <c r="L380" s="72">
        <f t="shared" si="188"/>
        <v>0.94560332861110341</v>
      </c>
      <c r="M380" s="72">
        <f t="shared" si="189"/>
        <v>0.69788998592684637</v>
      </c>
      <c r="N380" s="72">
        <f t="shared" si="190"/>
        <v>0.63542582733162201</v>
      </c>
      <c r="O380" s="72">
        <f t="shared" si="191"/>
        <v>0.61154106103549799</v>
      </c>
      <c r="P380" s="72">
        <f t="shared" si="192"/>
        <v>0.84670306941341944</v>
      </c>
      <c r="Q380" s="72"/>
      <c r="R380" s="72"/>
      <c r="S380" s="72">
        <f t="shared" si="193"/>
        <v>0.46587945729697766</v>
      </c>
      <c r="T380" s="72">
        <f t="shared" si="194"/>
        <v>0.50986733644611193</v>
      </c>
      <c r="U380" s="72">
        <f t="shared" si="195"/>
        <v>0.74943538016189115</v>
      </c>
      <c r="V380" s="72">
        <f t="shared" si="196"/>
        <v>0.52803038559584492</v>
      </c>
      <c r="W380" s="72">
        <f t="shared" si="197"/>
        <v>0.7848404983570646</v>
      </c>
      <c r="X380" s="72">
        <f t="shared" si="198"/>
        <v>5.4396671388896561E-2</v>
      </c>
      <c r="Y380" s="72">
        <f t="shared" si="199"/>
        <v>0.30211001407315358</v>
      </c>
      <c r="Z380" s="72">
        <f t="shared" si="200"/>
        <v>0.36457417266837805</v>
      </c>
      <c r="AA380" s="72">
        <f t="shared" si="201"/>
        <v>0.38845893896450201</v>
      </c>
      <c r="AB380" s="72">
        <f t="shared" si="202"/>
        <v>0.15329693058658062</v>
      </c>
      <c r="AC380" s="72"/>
      <c r="AD380" s="72"/>
      <c r="AE380" s="72">
        <f t="shared" si="203"/>
        <v>0.53412054270302234</v>
      </c>
      <c r="AF380" s="72">
        <f t="shared" si="204"/>
        <v>0.49013266355388813</v>
      </c>
      <c r="AG380" s="72">
        <f t="shared" si="205"/>
        <v>0.25056461983810885</v>
      </c>
      <c r="AH380" s="72">
        <f t="shared" si="206"/>
        <v>0.47196961440415508</v>
      </c>
      <c r="AI380" s="72">
        <f t="shared" si="207"/>
        <v>0.21515950164293537</v>
      </c>
      <c r="AJ380" s="72">
        <f>(AV380-Driver!$K$179)/(Driver!$L$179-Driver!$K$179)</f>
        <v>0.19982273789380386</v>
      </c>
      <c r="AK380" s="72">
        <f>(AW380-Driver!$K$180)/(Driver!$L$180-Driver!$K$180)</f>
        <v>0.4159430681522765</v>
      </c>
      <c r="AL380" s="72">
        <f>(AX380-Driver!$K$181)/(Driver!$L$181-Driver!$K$181)</f>
        <v>0.46626193638145824</v>
      </c>
      <c r="AM380" s="72">
        <f>(AY380-Driver!$K$182)/(Driver!$L$182-Driver!$K$182)</f>
        <v>5.8926082132544327E-2</v>
      </c>
      <c r="AN380" s="72">
        <f>(AZ380-Driver!$K$183)/(Driver!$L$183-Driver!$K$183)</f>
        <v>0.40751633986928104</v>
      </c>
      <c r="AO380" s="72"/>
      <c r="AP380" s="72"/>
      <c r="AQ380" s="72">
        <f>(BC380-Driver!$K$188)/(Driver!$L$188-Driver!$K$188)</f>
        <v>8.5879457296977643E-2</v>
      </c>
      <c r="AR380" s="72">
        <f>MIN((BD380-Driver!$K$189)/(Driver!$L$189-Driver!$K$189),100%)</f>
        <v>5.9867336446111898E-2</v>
      </c>
      <c r="AS380" s="72">
        <f>(BE380-Driver!$K$190)/(Driver!$L$190-Driver!$K$190)</f>
        <v>0.25943538016189116</v>
      </c>
      <c r="AT380" s="72">
        <f>(BF380-Driver!$K$191)/(Driver!$L$191-Driver!$K$191)</f>
        <v>3.8030385595844908E-2</v>
      </c>
      <c r="AU380" s="72">
        <f>(BG380-Driver!$K$192)/(Driver!$L$192-Driver!$K$192)</f>
        <v>3.4840498357064625E-2</v>
      </c>
      <c r="AV380" s="70">
        <f t="shared" si="208"/>
        <v>4.2056708723375387</v>
      </c>
      <c r="AW380" s="70">
        <f t="shared" si="209"/>
        <v>42.409230243414697</v>
      </c>
      <c r="AX380" s="70">
        <f t="shared" si="210"/>
        <v>5.1963574274331243</v>
      </c>
      <c r="AY380" s="70">
        <f>IFERROR(Driver!$K$19/Data!BH380/Data!BI380*Data!BK380*Data!BL380,"")</f>
        <v>7.2143106376210894E-2</v>
      </c>
      <c r="AZ380" s="70">
        <f t="shared" si="211"/>
        <v>37.14072970960536</v>
      </c>
      <c r="BA380" s="70"/>
      <c r="BB380" s="70"/>
      <c r="BC380" s="70">
        <f t="shared" si="212"/>
        <v>44.546271524243558</v>
      </c>
      <c r="BD380" s="70">
        <f t="shared" si="213"/>
        <v>7.0189760809354507</v>
      </c>
      <c r="BE380" s="70">
        <f t="shared" si="214"/>
        <v>0.25956748855466044</v>
      </c>
      <c r="BF380" s="70">
        <f t="shared" si="215"/>
        <v>4.2952648744706181</v>
      </c>
      <c r="BG380" s="70">
        <f t="shared" si="216"/>
        <v>0.13192835261500549</v>
      </c>
      <c r="BH380" s="67">
        <f>MAX((CE380-Driver!$F$200)/(Driver!$G$200-Driver!$F$200)*$BI$1,1)</f>
        <v>5.1963574274331243</v>
      </c>
      <c r="BI380" s="67">
        <f>MAX($BI$1*(BY380-Driver!$F$201)/(Driver!$G$201-Driver!$F$201),1)</f>
        <v>7.3417721518987342</v>
      </c>
      <c r="BJ380" s="67">
        <f>(CB380-Driver!$F$206)/(Driver!$G$206-Driver!$F$206)*$BI$1</f>
        <v>4.92063492063492</v>
      </c>
      <c r="BK380" s="67">
        <f>(CD380-Driver!$F$203)/(Driver!$G$203-Driver!$F$203)*$BI$1</f>
        <v>2.6605504587155959</v>
      </c>
      <c r="BL380" s="67">
        <f>MAX((CR380-Driver!$F$202)/(Driver!$G$202-Driver!$F$202)*$BI$1,1)</f>
        <v>5.1724137931034484</v>
      </c>
      <c r="BM380" s="67">
        <f>MAX((CH380-Driver!$F$204)/(Driver!$G$204-Driver!$F$204)*$BI$1,1)</f>
        <v>3.4188034188034191</v>
      </c>
      <c r="BN380" s="67">
        <f>(CI380-Driver!$F$205)/(Driver!$G$205-Driver!$F$205)*$BI$1</f>
        <v>5.0588235294117645</v>
      </c>
      <c r="BO380" s="67">
        <f>(CK380-Driver!$F$207)/(Driver!$G$207-Driver!$F$207)*$BI$1</f>
        <v>1.2823164426059979</v>
      </c>
      <c r="BP380" s="67">
        <f>(CM380-Driver!$F$208)/(Driver!$G$208-Driver!$F$208)*$BI$1</f>
        <v>1.8111111111111111</v>
      </c>
      <c r="BQ380" s="67">
        <f>(CL380-Driver!$F$209)/(Driver!$G$209-Driver!$F$209)*$BI$1</f>
        <v>2.34375</v>
      </c>
      <c r="BR380" s="28" t="s">
        <v>155</v>
      </c>
      <c r="BS380" s="8" t="s">
        <v>229</v>
      </c>
      <c r="BT380" s="9" t="s">
        <v>565</v>
      </c>
      <c r="BU380" s="10">
        <v>163</v>
      </c>
      <c r="BV380" s="9" t="s">
        <v>158</v>
      </c>
      <c r="BW380" s="10">
        <v>163</v>
      </c>
      <c r="BX380" s="10">
        <v>163.4</v>
      </c>
      <c r="BY380" s="10">
        <v>124</v>
      </c>
      <c r="BZ380" s="10">
        <v>140</v>
      </c>
      <c r="CA380" s="10">
        <v>134</v>
      </c>
      <c r="CB380" s="10">
        <v>95</v>
      </c>
      <c r="CC380" s="10">
        <v>118</v>
      </c>
      <c r="CD380" s="10">
        <v>15.2</v>
      </c>
      <c r="CE380" s="10">
        <v>1813</v>
      </c>
      <c r="CF380" s="10">
        <v>0.97</v>
      </c>
      <c r="CG380" s="10">
        <v>1756</v>
      </c>
      <c r="CH380" s="10">
        <v>181</v>
      </c>
      <c r="CI380" s="10">
        <v>119</v>
      </c>
      <c r="CJ380" s="10">
        <v>46</v>
      </c>
      <c r="CK380" s="10">
        <v>234</v>
      </c>
      <c r="CL380" s="10">
        <v>15</v>
      </c>
      <c r="CM380" s="10">
        <v>163</v>
      </c>
      <c r="CN380" s="10">
        <v>0.32600000000000001</v>
      </c>
      <c r="CO380" s="10">
        <v>133</v>
      </c>
      <c r="CP380" s="10">
        <v>100</v>
      </c>
      <c r="CQ380" s="10">
        <v>101</v>
      </c>
      <c r="CR380" s="10">
        <v>4</v>
      </c>
      <c r="CS380" s="10">
        <v>11.1</v>
      </c>
      <c r="CT380" s="9" t="s">
        <v>188</v>
      </c>
      <c r="CU380" s="10"/>
      <c r="CV380" s="10"/>
      <c r="CW380" s="10"/>
      <c r="CX380" t="e">
        <f>INDEX('Data_Price '!AG$2:AG$1266,MATCH(Data!$DN380,'Data_Price '!$AT$2:$AT$1266,0))</f>
        <v>#N/A</v>
      </c>
      <c r="CY380" t="e">
        <f>INDEX('Data_Price '!AH$2:AH$1266,MATCH(Data!$DN380,'Data_Price '!$AT$2:$AT$1266,0))</f>
        <v>#N/A</v>
      </c>
      <c r="CZ380" t="e">
        <f>INDEX('Data_Price '!AI$2:AI$1266,MATCH(Data!$DN380,'Data_Price '!$AT$2:$AT$1266,0))</f>
        <v>#N/A</v>
      </c>
      <c r="DA380" t="e">
        <f>INDEX('Data_Price '!AJ$2:AJ$1266,MATCH(Data!$DN380,'Data_Price '!$AT$2:$AT$1266,0))</f>
        <v>#N/A</v>
      </c>
      <c r="DB380" t="e">
        <f>INDEX('Data_Price '!AK$2:AK$1266,MATCH(Data!$DN380,'Data_Price '!$AT$2:$AT$1266,0))</f>
        <v>#N/A</v>
      </c>
      <c r="DC380" t="e">
        <f>INDEX('Data_Price '!AL$2:AL$1266,MATCH(Data!$DN380,'Data_Price '!$AT$2:$AT$1266,0))</f>
        <v>#N/A</v>
      </c>
      <c r="DD380" t="e">
        <f>INDEX('Data_Price '!AM$2:AM$1266,MATCH(Data!$DN380,'Data_Price '!$AT$2:$AT$1266,0))</f>
        <v>#N/A</v>
      </c>
      <c r="DE380" t="e">
        <f>INDEX('Data_Price '!AN$2:AN$1266,MATCH(Data!$DN380,'Data_Price '!$AT$2:$AT$1266,0))</f>
        <v>#N/A</v>
      </c>
      <c r="DF380" t="e">
        <f>INDEX('Data_Price '!AO$2:AO$1266,MATCH(Data!$DN380,'Data_Price '!$AT$2:$AT$1266,0))</f>
        <v>#N/A</v>
      </c>
      <c r="DG380" t="e">
        <f>INDEX('Data_Price '!AP$2:AP$1266,MATCH(Data!$DN380,'Data_Price '!$AT$2:$AT$1266,0))</f>
        <v>#N/A</v>
      </c>
      <c r="DH380" t="e">
        <f>INDEX('Data_Price '!AQ$2:AQ$1266,MATCH(Data!$DN380,'Data_Price '!$AT$2:$AT$1266,0))</f>
        <v>#N/A</v>
      </c>
      <c r="DI380" t="e">
        <f>INDEX('Data_Price '!AR$2:AR$1266,MATCH(Data!$DN380,'Data_Price '!$AT$2:$AT$1266,0))</f>
        <v>#N/A</v>
      </c>
      <c r="DJ380" s="89" t="e">
        <f t="shared" si="217"/>
        <v>#N/A</v>
      </c>
      <c r="DK380" s="89" t="e">
        <f t="shared" si="218"/>
        <v>#N/A</v>
      </c>
      <c r="DL380" s="89" t="e">
        <f t="shared" si="219"/>
        <v>#N/A</v>
      </c>
      <c r="DM380" s="219" t="str">
        <f t="shared" si="220"/>
        <v>M6 Mantra</v>
      </c>
      <c r="DN380" s="89" t="str">
        <f t="shared" si="221"/>
        <v xml:space="preserve"> VölklM6 Mantra163 Unisex</v>
      </c>
      <c r="DO380" s="221" t="s">
        <v>566</v>
      </c>
    </row>
    <row r="381" spans="2:119" ht="15.6" customHeight="1">
      <c r="B381" s="219" t="b">
        <f t="array" ref="B381">IF(OR(ISERROR(K381:P381)),FALSE,TRUE)</f>
        <v>1</v>
      </c>
      <c r="C381" s="43" t="b">
        <f>OR(BR381=Driver!$G$50,Data!BR77=Driver!$H$50)</f>
        <v>1</v>
      </c>
      <c r="D381" s="43" t="b">
        <f>OR(BV381=Driver!$G$51,BV381=Driver!$H$51)</f>
        <v>1</v>
      </c>
      <c r="E381" s="43" t="b">
        <f>AND(BX381&gt;Driver!$F$54,BX381&lt;Driver!$G$54)</f>
        <v>0</v>
      </c>
      <c r="F381" s="43" t="b">
        <f>CL381&gt;Driver!$F$56</f>
        <v>1</v>
      </c>
      <c r="G381" s="43" t="b">
        <f>AND(CB381&gt;Driver!$F$55,CB381&lt;Driver!$G$55)</f>
        <v>0</v>
      </c>
      <c r="H381" s="43" t="b">
        <f t="shared" si="185"/>
        <v>0</v>
      </c>
      <c r="I381" s="43">
        <f t="shared" si="186"/>
        <v>0</v>
      </c>
      <c r="J381" s="43" t="b">
        <f t="array" ref="J381">NOT(OR(($H$9:$H$1273=TRUE)*($I$9:$I$1273&gt;0)*($BT$9:$BT$1273=BT381)*($K$9:$K$1273&gt;K381)))</f>
        <v>1</v>
      </c>
      <c r="K381" s="72">
        <f t="shared" si="187"/>
        <v>0.8358607645170042</v>
      </c>
      <c r="L381" s="72">
        <f t="shared" si="188"/>
        <v>0.92924687063028</v>
      </c>
      <c r="M381" s="72">
        <f t="shared" si="189"/>
        <v>0.7424746584037285</v>
      </c>
      <c r="N381" s="72">
        <f t="shared" si="190"/>
        <v>0.57092193812653746</v>
      </c>
      <c r="O381" s="72">
        <f t="shared" si="191"/>
        <v>0.6625767454490068</v>
      </c>
      <c r="P381" s="72">
        <f t="shared" si="192"/>
        <v>0.99392529163564158</v>
      </c>
      <c r="Q381" s="72"/>
      <c r="R381" s="72"/>
      <c r="S381" s="72">
        <f t="shared" si="193"/>
        <v>0.47349850637704172</v>
      </c>
      <c r="T381" s="72">
        <f t="shared" si="194"/>
        <v>0.47930256311755448</v>
      </c>
      <c r="U381" s="72">
        <f t="shared" si="195"/>
        <v>0.54699607733787481</v>
      </c>
      <c r="V381" s="72">
        <f t="shared" si="196"/>
        <v>0.52118878045009054</v>
      </c>
      <c r="W381" s="72">
        <f t="shared" si="197"/>
        <v>0.86142857142857143</v>
      </c>
      <c r="X381" s="72">
        <f t="shared" si="198"/>
        <v>7.075312936972003E-2</v>
      </c>
      <c r="Y381" s="72">
        <f t="shared" si="199"/>
        <v>0.25752534159627144</v>
      </c>
      <c r="Z381" s="72">
        <f t="shared" si="200"/>
        <v>0.42907806187346254</v>
      </c>
      <c r="AA381" s="72">
        <f t="shared" si="201"/>
        <v>0.33742325455099326</v>
      </c>
      <c r="AB381" s="72">
        <f t="shared" si="202"/>
        <v>6.074708364358361E-3</v>
      </c>
      <c r="AC381" s="72"/>
      <c r="AD381" s="72"/>
      <c r="AE381" s="72">
        <f t="shared" si="203"/>
        <v>0.52650149362295828</v>
      </c>
      <c r="AF381" s="72">
        <f t="shared" si="204"/>
        <v>0.52069743688244552</v>
      </c>
      <c r="AG381" s="72">
        <f t="shared" si="205"/>
        <v>0.45300392266212519</v>
      </c>
      <c r="AH381" s="72">
        <f t="shared" si="206"/>
        <v>0.47881121954990941</v>
      </c>
      <c r="AI381" s="72">
        <f t="shared" si="207"/>
        <v>0.13857142857142857</v>
      </c>
      <c r="AJ381" s="72">
        <f>(AV381-Driver!$K$179)/(Driver!$L$179-Driver!$K$179)</f>
        <v>0.1834662799129804</v>
      </c>
      <c r="AK381" s="72">
        <f>(AW381-Driver!$K$180)/(Driver!$L$180-Driver!$K$180)</f>
        <v>0.28486516007202001</v>
      </c>
      <c r="AL381" s="72">
        <f>(AX381-Driver!$K$181)/(Driver!$L$181-Driver!$K$181)</f>
        <v>0.53076582558654273</v>
      </c>
      <c r="AM381" s="72">
        <f>(AY381-Driver!$K$182)/(Driver!$L$182-Driver!$K$182)</f>
        <v>0.10996176654605311</v>
      </c>
      <c r="AN381" s="72">
        <f>(AZ381-Driver!$K$183)/(Driver!$L$183-Driver!$K$183)</f>
        <v>0.26029411764705879</v>
      </c>
      <c r="AO381" s="72"/>
      <c r="AP381" s="72"/>
      <c r="AQ381" s="72">
        <f>(BC381-Driver!$K$188)/(Driver!$L$188-Driver!$K$188)</f>
        <v>9.3498506377041712E-2</v>
      </c>
      <c r="AR381" s="72">
        <f>MIN((BD381-Driver!$K$189)/(Driver!$L$189-Driver!$K$189),100%)</f>
        <v>2.930256311755456E-2</v>
      </c>
      <c r="AS381" s="72">
        <f>(BE381-Driver!$K$190)/(Driver!$L$190-Driver!$K$190)</f>
        <v>5.6996077337874797E-2</v>
      </c>
      <c r="AT381" s="72">
        <f>(BF381-Driver!$K$191)/(Driver!$L$191-Driver!$K$191)</f>
        <v>3.1188780450090586E-2</v>
      </c>
      <c r="AU381" s="72">
        <f>(BG381-Driver!$K$192)/(Driver!$L$192-Driver!$K$192)</f>
        <v>0.11142857142857142</v>
      </c>
      <c r="AV381" s="70">
        <f t="shared" si="208"/>
        <v>3.8614163614163615</v>
      </c>
      <c r="AW381" s="70">
        <f t="shared" si="209"/>
        <v>29.63452663257377</v>
      </c>
      <c r="AX381" s="70">
        <f t="shared" si="210"/>
        <v>5.7768924302788847</v>
      </c>
      <c r="AY381" s="70">
        <f>IFERROR(Driver!$K$19/Data!BH381/Data!BI381*Data!BK381*Data!BL381,"")</f>
        <v>0.13462601167686769</v>
      </c>
      <c r="AZ381" s="70">
        <f t="shared" si="211"/>
        <v>23.723008190618017</v>
      </c>
      <c r="BA381" s="70"/>
      <c r="BB381" s="70"/>
      <c r="BC381" s="70">
        <f t="shared" si="212"/>
        <v>48.49832524884269</v>
      </c>
      <c r="BD381" s="70">
        <f t="shared" si="213"/>
        <v>4.3140477989317922</v>
      </c>
      <c r="BE381" s="70">
        <f t="shared" si="214"/>
        <v>5.7164298623716463E-2</v>
      </c>
      <c r="BF381" s="70">
        <f t="shared" si="215"/>
        <v>3.5225536382541054</v>
      </c>
      <c r="BG381" s="70">
        <f t="shared" si="216"/>
        <v>0.42193965517241377</v>
      </c>
      <c r="BH381" s="67">
        <f>MAX((CE381-Driver!$F$200)/(Driver!$G$200-Driver!$F$200)*$BI$1,1)</f>
        <v>5.7768924302788847</v>
      </c>
      <c r="BI381" s="67">
        <f>MAX($BI$1*(BY381-Driver!$F$201)/(Driver!$G$201-Driver!$F$201),1)</f>
        <v>7.4683544303797467</v>
      </c>
      <c r="BJ381" s="67">
        <f>(CB381-Driver!$F$206)/(Driver!$G$206-Driver!$F$206)*$BI$1</f>
        <v>5.2380952380952381</v>
      </c>
      <c r="BK381" s="67">
        <f>(CD381-Driver!$F$203)/(Driver!$G$203-Driver!$F$203)*$BI$1</f>
        <v>4.678899082568809</v>
      </c>
      <c r="BL381" s="67">
        <f>MAX((CR381-Driver!$F$202)/(Driver!$G$202-Driver!$F$202)*$BI$1,1)</f>
        <v>6.2068965517241379</v>
      </c>
      <c r="BM381" s="67">
        <f>MAX((CH381-Driver!$F$204)/(Driver!$G$204-Driver!$F$204)*$BI$1,1)</f>
        <v>2.9487179487179489</v>
      </c>
      <c r="BN381" s="67">
        <f>(CI381-Driver!$F$205)/(Driver!$G$205-Driver!$F$205)*$BI$1</f>
        <v>3.1764705882352939</v>
      </c>
      <c r="BO381" s="67">
        <f>(CK381-Driver!$F$207)/(Driver!$G$207-Driver!$F$207)*$BI$1</f>
        <v>1.6856256463288521</v>
      </c>
      <c r="BP381" s="67">
        <f>(CM381-Driver!$F$208)/(Driver!$G$208-Driver!$F$208)*$BI$1</f>
        <v>1.8666666666666667</v>
      </c>
      <c r="BQ381" s="67">
        <f>(CL381-Driver!$F$209)/(Driver!$G$209-Driver!$F$209)*$BI$1</f>
        <v>7.1875</v>
      </c>
      <c r="BR381" s="28" t="s">
        <v>155</v>
      </c>
      <c r="BS381" s="8" t="s">
        <v>182</v>
      </c>
      <c r="BT381" s="9" t="s">
        <v>537</v>
      </c>
      <c r="BU381" s="10">
        <v>172</v>
      </c>
      <c r="BV381" s="9" t="s">
        <v>158</v>
      </c>
      <c r="BW381" s="10">
        <v>172</v>
      </c>
      <c r="BX381" s="10">
        <v>170</v>
      </c>
      <c r="BY381" s="10">
        <v>126</v>
      </c>
      <c r="BZ381" s="10">
        <v>150</v>
      </c>
      <c r="CA381" s="10">
        <v>130</v>
      </c>
      <c r="CB381" s="10">
        <v>97</v>
      </c>
      <c r="CC381" s="10">
        <v>120</v>
      </c>
      <c r="CD381" s="10">
        <v>19.600000000000001</v>
      </c>
      <c r="CE381" s="10">
        <v>1915</v>
      </c>
      <c r="CF381" s="10">
        <v>0.95</v>
      </c>
      <c r="CG381" s="10">
        <v>1816</v>
      </c>
      <c r="CH381" s="10">
        <v>170</v>
      </c>
      <c r="CI381" s="10">
        <v>87</v>
      </c>
      <c r="CJ381" s="10">
        <v>55</v>
      </c>
      <c r="CK381" s="10">
        <v>273</v>
      </c>
      <c r="CL381" s="10">
        <v>46</v>
      </c>
      <c r="CM381" s="10">
        <v>168</v>
      </c>
      <c r="CN381" s="10">
        <v>0.84099999999999997</v>
      </c>
      <c r="CO381" s="10">
        <v>96</v>
      </c>
      <c r="CP381" s="10">
        <v>101</v>
      </c>
      <c r="CQ381" s="10">
        <v>176</v>
      </c>
      <c r="CR381" s="10">
        <v>7</v>
      </c>
      <c r="CS381" s="10">
        <v>3.5</v>
      </c>
      <c r="CT381" s="9" t="s">
        <v>188</v>
      </c>
      <c r="CU381" s="9" t="s">
        <v>184</v>
      </c>
      <c r="CV381" s="10"/>
      <c r="CW381" s="10"/>
      <c r="CX381" t="str">
        <f>INDEX('Data_Price '!AG$2:AG$1266,MATCH(Data!$DN381,'Data_Price '!$AT$2:$AT$1266,0))</f>
        <v>Armada Edollo Skis Â· 2022</v>
      </c>
      <c r="CY381" t="str">
        <f>INDEX('Data_Price '!AH$2:AH$1266,MATCH(Data!$DN381,'Data_Price '!$AT$2:$AT$1266,0))</f>
        <v>Ski Pro  - Snow Ski &amp; Snowboard</v>
      </c>
      <c r="CZ381">
        <f>INDEX('Data_Price '!AI$2:AI$1266,MATCH(Data!$DN381,'Data_Price '!$AT$2:$AT$1266,0))</f>
        <v>479.95</v>
      </c>
      <c r="DA381" t="str">
        <f>INDEX('Data_Price '!AJ$2:AJ$1266,MATCH(Data!$DN381,'Data_Price '!$AT$2:$AT$1266,0))</f>
        <v>https://tinyurl.com/ydc7puf8</v>
      </c>
      <c r="DB381" t="str">
        <f>INDEX('Data_Price '!AK$2:AK$1266,MATCH(Data!$DN381,'Data_Price '!$AT$2:$AT$1266,0))</f>
        <v>Armada Edollo Skis Â· 2022</v>
      </c>
      <c r="DC381" t="str">
        <f>INDEX('Data_Price '!AL$2:AL$1266,MATCH(Data!$DN381,'Data_Price '!$AT$2:$AT$1266,0))</f>
        <v>Powder7 Ski Shop</v>
      </c>
      <c r="DD381">
        <f>INDEX('Data_Price '!AM$2:AM$1266,MATCH(Data!$DN381,'Data_Price '!$AT$2:$AT$1266,0))</f>
        <v>499.95</v>
      </c>
      <c r="DE381" t="str">
        <f>INDEX('Data_Price '!AN$2:AN$1266,MATCH(Data!$DN381,'Data_Price '!$AT$2:$AT$1266,0))</f>
        <v>https://tinyurl.com/yc67dgk4</v>
      </c>
      <c r="DF381" t="str">
        <f>INDEX('Data_Price '!AO$2:AO$1266,MATCH(Data!$DN381,'Data_Price '!$AT$2:$AT$1266,0))</f>
        <v>Armada Edollo Skis Â· 2022</v>
      </c>
      <c r="DG381" t="str">
        <f>INDEX('Data_Price '!AP$2:AP$1266,MATCH(Data!$DN381,'Data_Price '!$AT$2:$AT$1266,0))</f>
        <v>Gear West Ski &amp; Bike</v>
      </c>
      <c r="DH381">
        <f>INDEX('Data_Price '!AQ$2:AQ$1266,MATCH(Data!$DN381,'Data_Price '!$AT$2:$AT$1266,0))</f>
        <v>519</v>
      </c>
      <c r="DI381" t="str">
        <f>INDEX('Data_Price '!AR$2:AR$1266,MATCH(Data!$DN381,'Data_Price '!$AT$2:$AT$1266,0))</f>
        <v>https://tinyurl.com/yc2c2rup</v>
      </c>
      <c r="DJ381" s="89" t="str">
        <f t="shared" si="217"/>
        <v>https://tinyurl.com/ydc7puf8</v>
      </c>
      <c r="DK381" s="89" t="str">
        <f t="shared" si="218"/>
        <v>https://tinyurl.com/yc67dgk4</v>
      </c>
      <c r="DL381" s="89" t="str">
        <f t="shared" si="219"/>
        <v>https://tinyurl.com/yc2c2rup</v>
      </c>
      <c r="DM381" s="219" t="str">
        <f t="shared" si="220"/>
        <v>Edollo</v>
      </c>
      <c r="DN381" s="89" t="str">
        <f t="shared" si="221"/>
        <v xml:space="preserve"> ArmadaEdollo172 Unisex</v>
      </c>
      <c r="DO381" s="221" t="s">
        <v>538</v>
      </c>
    </row>
    <row r="382" spans="2:119" ht="15.6" customHeight="1">
      <c r="B382" s="219" t="b">
        <f t="array" ref="B382">IF(OR(ISERROR(K382:P382)),FALSE,TRUE)</f>
        <v>1</v>
      </c>
      <c r="C382" s="43" t="b">
        <f>OR(BR382=Driver!$G$50,Data!BR250=Driver!$H$50)</f>
        <v>1</v>
      </c>
      <c r="D382" s="43" t="b">
        <f>OR(BV382=Driver!$G$51,BV382=Driver!$H$51)</f>
        <v>1</v>
      </c>
      <c r="E382" s="43" t="b">
        <f>AND(BX382&gt;Driver!$F$54,BX382&lt;Driver!$G$54)</f>
        <v>1</v>
      </c>
      <c r="F382" s="43" t="b">
        <f>CL382&gt;Driver!$F$56</f>
        <v>1</v>
      </c>
      <c r="G382" s="43" t="b">
        <f>AND(CB382&gt;Driver!$F$55,CB382&lt;Driver!$G$55)</f>
        <v>0</v>
      </c>
      <c r="H382" s="43" t="b">
        <f t="shared" si="185"/>
        <v>0</v>
      </c>
      <c r="I382" s="43">
        <f t="shared" si="186"/>
        <v>0</v>
      </c>
      <c r="J382" s="43" t="b">
        <f t="array" ref="J382">NOT(OR(($H$9:$H$1273=TRUE)*($I$9:$I$1273&gt;0)*($BT$9:$BT$1273=BT382)*($K$9:$K$1273&gt;K382)))</f>
        <v>1</v>
      </c>
      <c r="K382" s="72">
        <f t="shared" si="187"/>
        <v>0.85770162904938374</v>
      </c>
      <c r="L382" s="72">
        <f t="shared" si="188"/>
        <v>0.95317725496675565</v>
      </c>
      <c r="M382" s="72">
        <f t="shared" si="189"/>
        <v>0.76222600313201183</v>
      </c>
      <c r="N382" s="72">
        <f t="shared" si="190"/>
        <v>0.70562123617244898</v>
      </c>
      <c r="O382" s="72">
        <f t="shared" si="191"/>
        <v>0.64205722825792111</v>
      </c>
      <c r="P382" s="72">
        <f t="shared" si="192"/>
        <v>0.93899954496566551</v>
      </c>
      <c r="Q382" s="72"/>
      <c r="R382" s="72"/>
      <c r="S382" s="72">
        <f t="shared" si="193"/>
        <v>0.4174242033682708</v>
      </c>
      <c r="T382" s="72">
        <f t="shared" si="194"/>
        <v>0.52027733434969559</v>
      </c>
      <c r="U382" s="72">
        <f t="shared" si="195"/>
        <v>0.65795608319439736</v>
      </c>
      <c r="V382" s="72">
        <f t="shared" si="196"/>
        <v>0.54618080671259528</v>
      </c>
      <c r="W382" s="72">
        <f t="shared" si="197"/>
        <v>0.80152743142144645</v>
      </c>
      <c r="X382" s="72">
        <f t="shared" si="198"/>
        <v>4.6822745033244323E-2</v>
      </c>
      <c r="Y382" s="72">
        <f t="shared" si="199"/>
        <v>0.23777399686798814</v>
      </c>
      <c r="Z382" s="72">
        <f t="shared" si="200"/>
        <v>0.29437876382755102</v>
      </c>
      <c r="AA382" s="72">
        <f t="shared" si="201"/>
        <v>0.35794277174207884</v>
      </c>
      <c r="AB382" s="72">
        <f t="shared" si="202"/>
        <v>6.1000455034334461E-2</v>
      </c>
      <c r="AC382" s="72"/>
      <c r="AD382" s="72"/>
      <c r="AE382" s="72">
        <f t="shared" si="203"/>
        <v>0.5825757966317292</v>
      </c>
      <c r="AF382" s="72">
        <f t="shared" si="204"/>
        <v>0.47972266565030436</v>
      </c>
      <c r="AG382" s="72">
        <f t="shared" si="205"/>
        <v>0.34204391680560264</v>
      </c>
      <c r="AH382" s="72">
        <f t="shared" si="206"/>
        <v>0.45381919328740472</v>
      </c>
      <c r="AI382" s="72">
        <f t="shared" si="207"/>
        <v>0.19847256857855361</v>
      </c>
      <c r="AJ382" s="72">
        <f>(AV382-Driver!$K$179)/(Driver!$L$179-Driver!$K$179)</f>
        <v>0.2073966642494561</v>
      </c>
      <c r="AK382" s="72">
        <f>(AW382-Driver!$K$180)/(Driver!$L$180-Driver!$K$180)</f>
        <v>0.20944261690973992</v>
      </c>
      <c r="AL382" s="72">
        <f>(AX382-Driver!$K$181)/(Driver!$L$181-Driver!$K$181)</f>
        <v>0.39606652754063121</v>
      </c>
      <c r="AM382" s="72">
        <f>(AY382-Driver!$K$182)/(Driver!$L$182-Driver!$K$182)</f>
        <v>8.9442249354967543E-2</v>
      </c>
      <c r="AN382" s="72">
        <f>(AZ382-Driver!$K$183)/(Driver!$L$183-Driver!$K$183)</f>
        <v>0.19321895424836596</v>
      </c>
      <c r="AO382" s="72"/>
      <c r="AP382" s="72"/>
      <c r="AQ382" s="72">
        <f>(BC382-Driver!$K$188)/(Driver!$L$188-Driver!$K$188)</f>
        <v>3.7424203368270792E-2</v>
      </c>
      <c r="AR382" s="72">
        <f>MIN((BD382-Driver!$K$189)/(Driver!$L$189-Driver!$K$189),100%)</f>
        <v>7.0277334349695672E-2</v>
      </c>
      <c r="AS382" s="72">
        <f>(BE382-Driver!$K$190)/(Driver!$L$190-Driver!$K$190)</f>
        <v>0.16795608319439734</v>
      </c>
      <c r="AT382" s="72">
        <f>(BF382-Driver!$K$191)/(Driver!$L$191-Driver!$K$191)</f>
        <v>5.618080671259526E-2</v>
      </c>
      <c r="AU382" s="72">
        <f>(BG382-Driver!$K$192)/(Driver!$L$192-Driver!$K$192)</f>
        <v>5.1527431421446383E-2</v>
      </c>
      <c r="AV382" s="70">
        <f t="shared" si="208"/>
        <v>4.3650793650793647</v>
      </c>
      <c r="AW382" s="70">
        <f t="shared" si="209"/>
        <v>22.283931489690872</v>
      </c>
      <c r="AX382" s="70">
        <f t="shared" si="210"/>
        <v>4.5645987478656807</v>
      </c>
      <c r="AY382" s="70">
        <f>IFERROR(Driver!$K$19/Data!BH382/Data!BI382*Data!BK382*Data!BL382,"")</f>
        <v>0.10950400020196269</v>
      </c>
      <c r="AZ382" s="70">
        <f t="shared" si="211"/>
        <v>17.609828741623229</v>
      </c>
      <c r="BA382" s="70"/>
      <c r="BB382" s="70"/>
      <c r="BC382" s="70">
        <f t="shared" si="212"/>
        <v>19.412194455963007</v>
      </c>
      <c r="BD382" s="70">
        <f t="shared" si="213"/>
        <v>7.940242449977803</v>
      </c>
      <c r="BE382" s="70">
        <f t="shared" si="214"/>
        <v>0.16810451046410224</v>
      </c>
      <c r="BF382" s="70">
        <f t="shared" si="215"/>
        <v>6.3452274256824399</v>
      </c>
      <c r="BG382" s="70">
        <f t="shared" si="216"/>
        <v>0.19511572630922694</v>
      </c>
      <c r="BH382" s="67">
        <f>MAX((CE382-Driver!$F$200)/(Driver!$G$200-Driver!$F$200)*$BI$1,1)</f>
        <v>4.5645987478656807</v>
      </c>
      <c r="BI382" s="67">
        <f>MAX($BI$1*(BY382-Driver!$F$201)/(Driver!$G$201-Driver!$F$201),1)</f>
        <v>6.962025316455696</v>
      </c>
      <c r="BJ382" s="67">
        <f>(CB382-Driver!$F$206)/(Driver!$G$206-Driver!$F$206)*$BI$1</f>
        <v>5.2380952380952381</v>
      </c>
      <c r="BK382" s="67">
        <f>(CD382-Driver!$F$203)/(Driver!$G$203-Driver!$F$203)*$BI$1</f>
        <v>2.522935779816514</v>
      </c>
      <c r="BL382" s="67">
        <f>MAX((CR382-Driver!$F$202)/(Driver!$G$202-Driver!$F$202)*$BI$1,1)</f>
        <v>6.8965517241379315</v>
      </c>
      <c r="BM382" s="67">
        <f>MAX((CH382-Driver!$F$204)/(Driver!$G$204-Driver!$F$204)*$BI$1,1)</f>
        <v>3.333333333333333</v>
      </c>
      <c r="BN382" s="67">
        <f>(CI382-Driver!$F$205)/(Driver!$G$205-Driver!$F$205)*$BI$1</f>
        <v>2.5294117647058822</v>
      </c>
      <c r="BO382" s="67">
        <f>(CK382-Driver!$F$207)/(Driver!$G$207-Driver!$F$207)*$BI$1</f>
        <v>1.4788004136504653</v>
      </c>
      <c r="BP382" s="67">
        <f>(CM382-Driver!$F$208)/(Driver!$G$208-Driver!$F$208)*$BI$1</f>
        <v>2.0666666666666664</v>
      </c>
      <c r="BQ382" s="67">
        <f>(CL382-Driver!$F$209)/(Driver!$G$209-Driver!$F$209)*$BI$1</f>
        <v>2.96875</v>
      </c>
      <c r="BR382" s="28" t="s">
        <v>155</v>
      </c>
      <c r="BS382" s="8" t="s">
        <v>354</v>
      </c>
      <c r="BT382" s="9" t="s">
        <v>355</v>
      </c>
      <c r="BU382" s="10">
        <v>161</v>
      </c>
      <c r="BV382" s="9" t="s">
        <v>158</v>
      </c>
      <c r="BW382" s="10">
        <v>161</v>
      </c>
      <c r="BX382" s="10">
        <v>161.6</v>
      </c>
      <c r="BY382" s="10">
        <v>118</v>
      </c>
      <c r="BZ382" s="10">
        <v>132</v>
      </c>
      <c r="CA382" s="10">
        <v>129</v>
      </c>
      <c r="CB382" s="10">
        <v>97</v>
      </c>
      <c r="CC382" s="10">
        <v>117</v>
      </c>
      <c r="CD382" s="10">
        <v>14.9</v>
      </c>
      <c r="CE382" s="10">
        <v>1702</v>
      </c>
      <c r="CF382" s="10">
        <v>1.02</v>
      </c>
      <c r="CG382" s="10">
        <v>1732</v>
      </c>
      <c r="CH382" s="10">
        <v>179</v>
      </c>
      <c r="CI382" s="10">
        <v>76</v>
      </c>
      <c r="CJ382" s="10">
        <v>35</v>
      </c>
      <c r="CK382" s="10">
        <v>253</v>
      </c>
      <c r="CL382" s="10">
        <v>19</v>
      </c>
      <c r="CM382" s="10">
        <v>186</v>
      </c>
      <c r="CN382" s="10">
        <v>0.55600000000000005</v>
      </c>
      <c r="CO382" s="10">
        <v>183</v>
      </c>
      <c r="CP382" s="10">
        <v>118</v>
      </c>
      <c r="CQ382" s="10">
        <v>71</v>
      </c>
      <c r="CR382" s="10">
        <v>9</v>
      </c>
      <c r="CS382" s="10">
        <v>8.1999999999999993</v>
      </c>
      <c r="CT382" s="9" t="s">
        <v>188</v>
      </c>
      <c r="CU382" s="10"/>
      <c r="CV382" s="10"/>
      <c r="CW382" s="10"/>
      <c r="CX382" t="str">
        <f>INDEX('Data_Price '!AG$2:AG$1266,MATCH(Data!$DN382,'Data_Price '!$AT$2:$AT$1266,0))</f>
        <v>Black Diamond Impulse 98 Skis</v>
      </c>
      <c r="CY382" t="str">
        <f>INDEX('Data_Price '!AH$2:AH$1266,MATCH(Data!$DN382,'Data_Price '!$AT$2:$AT$1266,0))</f>
        <v>Black Diamond Equipment - US</v>
      </c>
      <c r="CZ382">
        <f>INDEX('Data_Price '!AI$2:AI$1266,MATCH(Data!$DN382,'Data_Price '!$AT$2:$AT$1266,0))</f>
        <v>559.96</v>
      </c>
      <c r="DA382" t="str">
        <f>INDEX('Data_Price '!AJ$2:AJ$1266,MATCH(Data!$DN382,'Data_Price '!$AT$2:$AT$1266,0))</f>
        <v>https://tinyurl.com/y9umjr8r</v>
      </c>
      <c r="DB382" t="str">
        <f>INDEX('Data_Price '!AK$2:AK$1266,MATCH(Data!$DN382,'Data_Price '!$AT$2:$AT$1266,0))</f>
        <v>Black Diamond Helio 76 Ski - 161cm</v>
      </c>
      <c r="DC382" t="str">
        <f>INDEX('Data_Price '!AL$2:AL$1266,MATCH(Data!$DN382,'Data_Price '!$AT$2:$AT$1266,0))</f>
        <v>Backcountry.com</v>
      </c>
      <c r="DD382">
        <f>INDEX('Data_Price '!AM$2:AM$1266,MATCH(Data!$DN382,'Data_Price '!$AT$2:$AT$1266,0))</f>
        <v>399.98</v>
      </c>
      <c r="DE382" t="str">
        <f>INDEX('Data_Price '!AN$2:AN$1266,MATCH(Data!$DN382,'Data_Price '!$AT$2:$AT$1266,0))</f>
        <v>https://tinyurl.com/ycpwuwrg</v>
      </c>
      <c r="DF382" t="str">
        <f>INDEX('Data_Price '!AO$2:AO$1266,MATCH(Data!$DN382,'Data_Price '!$AT$2:$AT$1266,0))</f>
        <v>Black Diamond Helio 76 Ski - 161cm</v>
      </c>
      <c r="DG382" t="str">
        <f>INDEX('Data_Price '!AP$2:AP$1266,MATCH(Data!$DN382,'Data_Price '!$AT$2:$AT$1266,0))</f>
        <v>Steep &amp; Cheap</v>
      </c>
      <c r="DH382">
        <f>INDEX('Data_Price '!AQ$2:AQ$1266,MATCH(Data!$DN382,'Data_Price '!$AT$2:$AT$1266,0))</f>
        <v>479.97</v>
      </c>
      <c r="DI382" t="str">
        <f>INDEX('Data_Price '!AR$2:AR$1266,MATCH(Data!$DN382,'Data_Price '!$AT$2:$AT$1266,0))</f>
        <v>https://tinyurl.com/y9omhu7y</v>
      </c>
      <c r="DJ382" s="89" t="str">
        <f t="shared" si="217"/>
        <v>https://tinyurl.com/y9umjr8r</v>
      </c>
      <c r="DK382" s="89" t="str">
        <f t="shared" si="218"/>
        <v>https://tinyurl.com/ycpwuwrg</v>
      </c>
      <c r="DL382" s="89" t="str">
        <f t="shared" si="219"/>
        <v>https://tinyurl.com/y9omhu7y</v>
      </c>
      <c r="DM382" s="219" t="str">
        <f t="shared" si="220"/>
        <v>Impulse 98</v>
      </c>
      <c r="DN382" s="89" t="str">
        <f t="shared" si="221"/>
        <v xml:space="preserve"> Black DiamondImpulse 98161 Unisex</v>
      </c>
      <c r="DO382" s="221" t="s">
        <v>356</v>
      </c>
    </row>
    <row r="383" spans="2:119" ht="15.6" customHeight="1">
      <c r="B383" s="219" t="b">
        <f t="array" ref="B383">IF(OR(ISERROR(K383:P383)),FALSE,TRUE)</f>
        <v>1</v>
      </c>
      <c r="C383" s="43" t="b">
        <f>OR(BR383=Driver!$G$50,Data!BR936=Driver!$H$50)</f>
        <v>1</v>
      </c>
      <c r="D383" s="43" t="b">
        <f>OR(BV383=Driver!$G$51,BV383=Driver!$H$51)</f>
        <v>1</v>
      </c>
      <c r="E383" s="43" t="b">
        <f>AND(BX383&gt;Driver!$F$54,BX383&lt;Driver!$G$54)</f>
        <v>0</v>
      </c>
      <c r="F383" s="43" t="b">
        <f>CL383&gt;Driver!$F$56</f>
        <v>1</v>
      </c>
      <c r="G383" s="43" t="b">
        <f>AND(CB383&gt;Driver!$F$55,CB383&lt;Driver!$G$55)</f>
        <v>0</v>
      </c>
      <c r="H383" s="43" t="b">
        <f t="shared" si="185"/>
        <v>0</v>
      </c>
      <c r="I383" s="43">
        <f t="shared" si="186"/>
        <v>0</v>
      </c>
      <c r="J383" s="43" t="b">
        <f t="array" ref="J383">NOT(OR(($H$9:$H$1273=TRUE)*($I$9:$I$1273&gt;0)*($BT$9:$BT$1273=BT383)*($K$9:$K$1273&gt;K383)))</f>
        <v>1</v>
      </c>
      <c r="K383" s="72">
        <f t="shared" si="187"/>
        <v>0.82571468379842439</v>
      </c>
      <c r="L383" s="72">
        <f t="shared" si="188"/>
        <v>0.95317725496675565</v>
      </c>
      <c r="M383" s="72">
        <f t="shared" si="189"/>
        <v>0.6982521126300929</v>
      </c>
      <c r="N383" s="72">
        <f t="shared" si="190"/>
        <v>0.55131781493675702</v>
      </c>
      <c r="O383" s="72">
        <f t="shared" si="191"/>
        <v>0.62377793720023311</v>
      </c>
      <c r="P383" s="72">
        <f t="shared" si="192"/>
        <v>0.91966058575328868</v>
      </c>
      <c r="Q383" s="72"/>
      <c r="R383" s="72"/>
      <c r="S383" s="72">
        <f t="shared" si="193"/>
        <v>0.48245109730001767</v>
      </c>
      <c r="T383" s="72">
        <f t="shared" si="194"/>
        <v>0.6243165525970219</v>
      </c>
      <c r="U383" s="72">
        <f t="shared" si="195"/>
        <v>0.61368463066184542</v>
      </c>
      <c r="V383" s="72">
        <f t="shared" si="196"/>
        <v>0.50412608579099838</v>
      </c>
      <c r="W383" s="72">
        <f t="shared" si="197"/>
        <v>0.81653919694072652</v>
      </c>
      <c r="X383" s="72">
        <f t="shared" si="198"/>
        <v>4.6822745033244295E-2</v>
      </c>
      <c r="Y383" s="72">
        <f t="shared" si="199"/>
        <v>0.30174788736990704</v>
      </c>
      <c r="Z383" s="72">
        <f t="shared" si="200"/>
        <v>0.44868218506324298</v>
      </c>
      <c r="AA383" s="72">
        <f t="shared" si="201"/>
        <v>0.37622206279976689</v>
      </c>
      <c r="AB383" s="72">
        <f t="shared" si="202"/>
        <v>8.0339414246711316E-2</v>
      </c>
      <c r="AC383" s="72"/>
      <c r="AD383" s="72"/>
      <c r="AE383" s="72">
        <f t="shared" si="203"/>
        <v>0.51754890269998233</v>
      </c>
      <c r="AF383" s="72">
        <f t="shared" si="204"/>
        <v>0.3756834474029781</v>
      </c>
      <c r="AG383" s="72">
        <f t="shared" si="205"/>
        <v>0.38631536933815458</v>
      </c>
      <c r="AH383" s="72">
        <f t="shared" si="206"/>
        <v>0.49587391420900157</v>
      </c>
      <c r="AI383" s="72">
        <f t="shared" si="207"/>
        <v>0.18346080305927343</v>
      </c>
      <c r="AJ383" s="72">
        <f>(AV383-Driver!$K$179)/(Driver!$L$179-Driver!$K$179)</f>
        <v>0.20739666424945613</v>
      </c>
      <c r="AK383" s="72">
        <f>(AW383-Driver!$K$180)/(Driver!$L$180-Driver!$K$180)</f>
        <v>0.35563722346075344</v>
      </c>
      <c r="AL383" s="72">
        <f>(AX383-Driver!$K$181)/(Driver!$L$181-Driver!$K$181)</f>
        <v>0.55036994877632317</v>
      </c>
      <c r="AM383" s="72">
        <f>(AY383-Driver!$K$182)/(Driver!$L$182-Driver!$K$182)</f>
        <v>7.1162958297279505E-2</v>
      </c>
      <c r="AN383" s="72">
        <f>(AZ383-Driver!$K$183)/(Driver!$L$183-Driver!$K$183)</f>
        <v>0.33455882352941174</v>
      </c>
      <c r="AO383" s="72"/>
      <c r="AP383" s="72"/>
      <c r="AQ383" s="72">
        <f>(BC383-Driver!$K$188)/(Driver!$L$188-Driver!$K$188)</f>
        <v>0.10245109730001763</v>
      </c>
      <c r="AR383" s="72">
        <f>MIN((BD383-Driver!$K$189)/(Driver!$L$189-Driver!$K$189),100%)</f>
        <v>0.17431655259702197</v>
      </c>
      <c r="AS383" s="72">
        <f>(BE383-Driver!$K$190)/(Driver!$L$190-Driver!$K$190)</f>
        <v>0.12368463066184543</v>
      </c>
      <c r="AT383" s="72">
        <f>(BF383-Driver!$K$191)/(Driver!$L$191-Driver!$K$191)</f>
        <v>1.4126085790998432E-2</v>
      </c>
      <c r="AU383" s="72">
        <f>(BG383-Driver!$K$192)/(Driver!$L$192-Driver!$K$192)</f>
        <v>6.6539196940726575E-2</v>
      </c>
      <c r="AV383" s="70">
        <f t="shared" si="208"/>
        <v>4.3650793650793656</v>
      </c>
      <c r="AW383" s="70">
        <f t="shared" si="209"/>
        <v>36.53189131408179</v>
      </c>
      <c r="AX383" s="70">
        <f t="shared" si="210"/>
        <v>5.9533295389869085</v>
      </c>
      <c r="AY383" s="70">
        <f>IFERROR(Driver!$K$19/Data!BH383/Data!BI383*Data!BK383*Data!BL383,"")</f>
        <v>8.7124693933301231E-2</v>
      </c>
      <c r="AZ383" s="70">
        <f t="shared" si="211"/>
        <v>30.491437081161578</v>
      </c>
      <c r="BA383" s="70"/>
      <c r="BB383" s="70"/>
      <c r="BC383" s="70">
        <f t="shared" si="212"/>
        <v>53.142096397992674</v>
      </c>
      <c r="BD383" s="70">
        <f t="shared" si="213"/>
        <v>17.147528918279807</v>
      </c>
      <c r="BE383" s="70">
        <f t="shared" si="214"/>
        <v>0.12384095546038575</v>
      </c>
      <c r="BF383" s="70">
        <f t="shared" si="215"/>
        <v>1.595442148723921</v>
      </c>
      <c r="BG383" s="70">
        <f t="shared" si="216"/>
        <v>0.2519598470363289</v>
      </c>
      <c r="BH383" s="67">
        <f>MAX((CE383-Driver!$F$200)/(Driver!$G$200-Driver!$F$200)*$BI$1,1)</f>
        <v>5.9533295389869085</v>
      </c>
      <c r="BI383" s="67">
        <f>MAX($BI$1*(BY383-Driver!$F$201)/(Driver!$G$201-Driver!$F$201),1)</f>
        <v>8.2278481012658222</v>
      </c>
      <c r="BJ383" s="67">
        <f>(CB383-Driver!$F$206)/(Driver!$G$206-Driver!$F$206)*$BI$1</f>
        <v>3.4920634920634921</v>
      </c>
      <c r="BK383" s="67">
        <f>(CD383-Driver!$F$203)/(Driver!$G$203-Driver!$F$203)*$BI$1</f>
        <v>3.2568807339449544</v>
      </c>
      <c r="BL383" s="67">
        <f>MAX((CR383-Driver!$F$202)/(Driver!$G$202-Driver!$F$202)*$BI$1,1)</f>
        <v>6.5517241379310338</v>
      </c>
      <c r="BM383" s="67">
        <f>MAX((CH383-Driver!$F$204)/(Driver!$G$204-Driver!$F$204)*$BI$1,1)</f>
        <v>5</v>
      </c>
      <c r="BN383" s="67">
        <f>(CI383-Driver!$F$205)/(Driver!$G$205-Driver!$F$205)*$BI$1</f>
        <v>3.7058823529411766</v>
      </c>
      <c r="BO383" s="67">
        <f>(CK383-Driver!$F$207)/(Driver!$G$207-Driver!$F$207)*$BI$1</f>
        <v>0.72388831437435364</v>
      </c>
      <c r="BP383" s="67">
        <f>(CM383-Driver!$F$208)/(Driver!$G$208-Driver!$F$208)*$BI$1</f>
        <v>2.0555555555555554</v>
      </c>
      <c r="BQ383" s="67">
        <f>(CL383-Driver!$F$209)/(Driver!$G$209-Driver!$F$209)*$BI$1</f>
        <v>7.5</v>
      </c>
      <c r="BR383" s="28" t="s">
        <v>155</v>
      </c>
      <c r="BS383" s="8" t="s">
        <v>332</v>
      </c>
      <c r="BT383" s="9" t="s">
        <v>567</v>
      </c>
      <c r="BU383" s="10">
        <v>177</v>
      </c>
      <c r="BV383" s="9" t="s">
        <v>158</v>
      </c>
      <c r="BW383" s="10">
        <v>177</v>
      </c>
      <c r="BX383" s="10">
        <v>175</v>
      </c>
      <c r="BY383" s="10">
        <v>138</v>
      </c>
      <c r="BZ383" s="10">
        <v>153</v>
      </c>
      <c r="CA383" s="10">
        <v>124</v>
      </c>
      <c r="CB383" s="10">
        <v>86</v>
      </c>
      <c r="CC383" s="10">
        <v>114</v>
      </c>
      <c r="CD383" s="10">
        <v>16.5</v>
      </c>
      <c r="CE383" s="10">
        <v>1946</v>
      </c>
      <c r="CF383" s="10">
        <v>0.89</v>
      </c>
      <c r="CG383" s="10">
        <v>1727</v>
      </c>
      <c r="CH383" s="10">
        <v>218</v>
      </c>
      <c r="CI383" s="10">
        <v>96</v>
      </c>
      <c r="CJ383" s="10">
        <v>47</v>
      </c>
      <c r="CK383" s="10">
        <v>180</v>
      </c>
      <c r="CL383" s="10">
        <v>48</v>
      </c>
      <c r="CM383" s="10">
        <v>185</v>
      </c>
      <c r="CN383" s="10">
        <v>1.0109999999999999</v>
      </c>
      <c r="CO383" s="10">
        <v>103</v>
      </c>
      <c r="CP383" s="10">
        <v>115</v>
      </c>
      <c r="CQ383" s="10">
        <v>78</v>
      </c>
      <c r="CR383" s="10">
        <v>8</v>
      </c>
      <c r="CS383" s="10">
        <v>6.6</v>
      </c>
      <c r="CT383" s="9" t="s">
        <v>184</v>
      </c>
      <c r="CU383" s="10"/>
      <c r="CV383" s="10"/>
      <c r="CW383" s="10"/>
      <c r="CX383" t="str">
        <f>INDEX('Data_Price '!AG$2:AG$1266,MATCH(Data!$DN383,'Data_Price '!$AT$2:$AT$1266,0))</f>
        <v>Head Kore 87 Skis Â· 2022</v>
      </c>
      <c r="CY383" t="str">
        <f>INDEX('Data_Price '!AH$2:AH$1266,MATCH(Data!$DN383,'Data_Price '!$AT$2:$AT$1266,0))</f>
        <v>JANS Mountain Outfitters</v>
      </c>
      <c r="CZ383">
        <f>INDEX('Data_Price '!AI$2:AI$1266,MATCH(Data!$DN383,'Data_Price '!$AT$2:$AT$1266,0))</f>
        <v>420</v>
      </c>
      <c r="DA383" t="str">
        <f>INDEX('Data_Price '!AJ$2:AJ$1266,MATCH(Data!$DN383,'Data_Price '!$AT$2:$AT$1266,0))</f>
        <v>https://tinyurl.com/ycljupzh</v>
      </c>
      <c r="DB383" t="str">
        <f>INDEX('Data_Price '!AK$2:AK$1266,MATCH(Data!$DN383,'Data_Price '!$AT$2:$AT$1266,0))</f>
        <v>Head Kore 87 Skis Â· 2022</v>
      </c>
      <c r="DC383" t="str">
        <f>INDEX('Data_Price '!AL$2:AL$1266,MATCH(Data!$DN383,'Data_Price '!$AT$2:$AT$1266,0))</f>
        <v>Telemark Pyrenees</v>
      </c>
      <c r="DD383">
        <f>INDEX('Data_Price '!AM$2:AM$1266,MATCH(Data!$DN383,'Data_Price '!$AT$2:$AT$1266,0))</f>
        <v>439.98</v>
      </c>
      <c r="DE383" t="str">
        <f>INDEX('Data_Price '!AN$2:AN$1266,MATCH(Data!$DN383,'Data_Price '!$AT$2:$AT$1266,0))</f>
        <v>https://tinyurl.com/y7zza9yf</v>
      </c>
      <c r="DF383" t="str">
        <f>INDEX('Data_Price '!AO$2:AO$1266,MATCH(Data!$DN383,'Data_Price '!$AT$2:$AT$1266,0))</f>
        <v>Head Kore 87 Skis Â· 2022</v>
      </c>
      <c r="DG383" t="str">
        <f>INDEX('Data_Price '!AP$2:AP$1266,MATCH(Data!$DN383,'Data_Price '!$AT$2:$AT$1266,0))</f>
        <v>Gorham Bike and Ski</v>
      </c>
      <c r="DH383">
        <f>INDEX('Data_Price '!AQ$2:AQ$1266,MATCH(Data!$DN383,'Data_Price '!$AT$2:$AT$1266,0))</f>
        <v>454.99</v>
      </c>
      <c r="DI383" t="str">
        <f>INDEX('Data_Price '!AR$2:AR$1266,MATCH(Data!$DN383,'Data_Price '!$AT$2:$AT$1266,0))</f>
        <v>https://tinyurl.com/y9r4ta4r</v>
      </c>
      <c r="DJ383" s="89" t="str">
        <f t="shared" si="217"/>
        <v>https://tinyurl.com/ycljupzh</v>
      </c>
      <c r="DK383" s="89" t="str">
        <f t="shared" si="218"/>
        <v>https://tinyurl.com/y7zza9yf</v>
      </c>
      <c r="DL383" s="89" t="str">
        <f t="shared" si="219"/>
        <v>https://tinyurl.com/y9r4ta4r</v>
      </c>
      <c r="DM383" s="219" t="str">
        <f t="shared" si="220"/>
        <v>Soul Rider 87</v>
      </c>
      <c r="DN383" s="89" t="str">
        <f t="shared" si="221"/>
        <v xml:space="preserve"> NordicaSoul Rider 87177 Unisex</v>
      </c>
      <c r="DO383" s="221"/>
    </row>
    <row r="384" spans="2:119" ht="15.6" customHeight="1">
      <c r="B384" s="219" t="b">
        <f t="array" ref="B384">IF(OR(ISERROR(K384:P384)),FALSE,TRUE)</f>
        <v>1</v>
      </c>
      <c r="C384" s="43" t="b">
        <f>OR(BR384=Driver!$G$50,Data!BR96=Driver!$H$50)</f>
        <v>1</v>
      </c>
      <c r="D384" s="43" t="b">
        <f>OR(BV384=Driver!$G$51,BV384=Driver!$H$51)</f>
        <v>0</v>
      </c>
      <c r="E384" s="43" t="b">
        <f>AND(BX384&gt;Driver!$F$54,BX384&lt;Driver!$G$54)</f>
        <v>1</v>
      </c>
      <c r="F384" s="43" t="b">
        <f>CL384&gt;Driver!$F$56</f>
        <v>1</v>
      </c>
      <c r="G384" s="43" t="b">
        <f>AND(CB384&gt;Driver!$F$55,CB384&lt;Driver!$G$55)</f>
        <v>1</v>
      </c>
      <c r="H384" s="43" t="b">
        <f t="shared" si="185"/>
        <v>0</v>
      </c>
      <c r="I384" s="43">
        <f t="shared" si="186"/>
        <v>0</v>
      </c>
      <c r="J384" s="43" t="b">
        <f t="array" ref="J384">NOT(OR(($H$9:$H$1273=TRUE)*($I$9:$I$1273&gt;0)*($BT$9:$BT$1273=BT384)*($K$9:$K$1273&gt;K384)))</f>
        <v>1</v>
      </c>
      <c r="K384" s="72">
        <f t="shared" si="187"/>
        <v>0.87045287187298326</v>
      </c>
      <c r="L384" s="72">
        <f t="shared" si="188"/>
        <v>0.89822600204595959</v>
      </c>
      <c r="M384" s="72">
        <f t="shared" si="189"/>
        <v>0.84267974170000692</v>
      </c>
      <c r="N384" s="72">
        <f t="shared" si="190"/>
        <v>0.85486552884303657</v>
      </c>
      <c r="O384" s="72">
        <f t="shared" si="191"/>
        <v>0.71521990292530546</v>
      </c>
      <c r="P384" s="72">
        <f t="shared" si="192"/>
        <v>0.95795379333167863</v>
      </c>
      <c r="Q384" s="72"/>
      <c r="R384" s="72"/>
      <c r="S384" s="72">
        <f t="shared" si="193"/>
        <v>0.43236527742179487</v>
      </c>
      <c r="T384" s="72">
        <f t="shared" si="194"/>
        <v>0.4465743225257488</v>
      </c>
      <c r="U384" s="72">
        <f t="shared" si="195"/>
        <v>0.60718785642105055</v>
      </c>
      <c r="V384" s="72">
        <f t="shared" si="196"/>
        <v>0.5592770939078644</v>
      </c>
      <c r="W384" s="72">
        <f t="shared" si="197"/>
        <v>0.93392828461291355</v>
      </c>
      <c r="X384" s="72">
        <f t="shared" si="198"/>
        <v>0.10177399795404035</v>
      </c>
      <c r="Y384" s="72">
        <f t="shared" si="199"/>
        <v>0.1573202582999931</v>
      </c>
      <c r="Z384" s="72">
        <f t="shared" si="200"/>
        <v>0.14513447115696343</v>
      </c>
      <c r="AA384" s="72">
        <f t="shared" si="201"/>
        <v>0.28478009707469454</v>
      </c>
      <c r="AB384" s="72">
        <f t="shared" si="202"/>
        <v>4.2046206668321373E-2</v>
      </c>
      <c r="AC384" s="72"/>
      <c r="AD384" s="72"/>
      <c r="AE384" s="72">
        <f t="shared" si="203"/>
        <v>0.56763472257820513</v>
      </c>
      <c r="AF384" s="72">
        <f t="shared" si="204"/>
        <v>0.5534256774742512</v>
      </c>
      <c r="AG384" s="72">
        <f t="shared" si="205"/>
        <v>0.39281214357894945</v>
      </c>
      <c r="AH384" s="72">
        <f t="shared" si="206"/>
        <v>0.4407229060921356</v>
      </c>
      <c r="AI384" s="72">
        <f t="shared" si="207"/>
        <v>6.6071715387086422E-2</v>
      </c>
      <c r="AJ384" s="72">
        <f>(AV384-Driver!$K$179)/(Driver!$L$179-Driver!$K$179)</f>
        <v>0.15244541132866007</v>
      </c>
      <c r="AK384" s="72">
        <f>(AW384-Driver!$K$180)/(Driver!$L$180-Driver!$K$180)</f>
        <v>0.21430466952821792</v>
      </c>
      <c r="AL384" s="72">
        <f>(AX384-Driver!$K$181)/(Driver!$L$181-Driver!$K$181)</f>
        <v>0.24682223487004362</v>
      </c>
      <c r="AM384" s="72">
        <f>(AY384-Driver!$K$182)/(Driver!$L$182-Driver!$K$182)</f>
        <v>0.1626049240223518</v>
      </c>
      <c r="AN384" s="72">
        <f>(AZ384-Driver!$K$183)/(Driver!$L$183-Driver!$K$183)</f>
        <v>0.21217320261437905</v>
      </c>
      <c r="AO384" s="72"/>
      <c r="AP384" s="72"/>
      <c r="AQ384" s="72">
        <f>(BC384-Driver!$K$188)/(Driver!$L$188-Driver!$K$188)</f>
        <v>5.236527742179483E-2</v>
      </c>
      <c r="AR384" s="72">
        <f>MIN((BD384-Driver!$K$189)/(Driver!$L$189-Driver!$K$189),100%)</f>
        <v>-3.4256774742511594E-3</v>
      </c>
      <c r="AS384" s="72">
        <f>(BE384-Driver!$K$190)/(Driver!$L$190-Driver!$K$190)</f>
        <v>0.11718785642105053</v>
      </c>
      <c r="AT384" s="72">
        <f>(BF384-Driver!$K$191)/(Driver!$L$191-Driver!$K$191)</f>
        <v>6.927709390786442E-2</v>
      </c>
      <c r="AU384" s="72">
        <f>(BG384-Driver!$K$192)/(Driver!$L$192-Driver!$K$192)</f>
        <v>0.18392828461291358</v>
      </c>
      <c r="AV384" s="70">
        <f t="shared" si="208"/>
        <v>3.2085198751865422</v>
      </c>
      <c r="AW384" s="70">
        <f t="shared" si="209"/>
        <v>22.757781599530432</v>
      </c>
      <c r="AX384" s="70">
        <f t="shared" si="210"/>
        <v>3.2214001138303927</v>
      </c>
      <c r="AY384" s="70">
        <f>IFERROR(Driver!$K$19/Data!BH384/Data!BI384*Data!BK384*Data!BL384,"")</f>
        <v>0.19907694363004985</v>
      </c>
      <c r="AZ384" s="70">
        <f t="shared" si="211"/>
        <v>19.33730454206999</v>
      </c>
      <c r="BA384" s="70"/>
      <c r="BB384" s="70"/>
      <c r="BC384" s="70">
        <f t="shared" si="212"/>
        <v>27.162233436187623</v>
      </c>
      <c r="BD384" s="70">
        <f t="shared" si="213"/>
        <v>1.4176564975678063</v>
      </c>
      <c r="BE384" s="70">
        <f t="shared" si="214"/>
        <v>0.1173453401709911</v>
      </c>
      <c r="BF384" s="70">
        <f t="shared" si="215"/>
        <v>7.8243610577633333</v>
      </c>
      <c r="BG384" s="70">
        <f t="shared" si="216"/>
        <v>0.69646981910536465</v>
      </c>
      <c r="BH384" s="67">
        <f>MAX((CE384-Driver!$F$200)/(Driver!$G$200-Driver!$F$200)*$BI$1,1)</f>
        <v>3.2214001138303927</v>
      </c>
      <c r="BI384" s="67">
        <f>MAX($BI$1*(BY384-Driver!$F$201)/(Driver!$G$201-Driver!$F$201),1)</f>
        <v>6.7088607594936711</v>
      </c>
      <c r="BJ384" s="67">
        <f>(CB384-Driver!$F$206)/(Driver!$G$206-Driver!$F$206)*$BI$1</f>
        <v>6.825396825396826</v>
      </c>
      <c r="BK384" s="67">
        <f>(CD384-Driver!$F$203)/(Driver!$G$203-Driver!$F$203)*$BI$1</f>
        <v>3.6697247706422016</v>
      </c>
      <c r="BL384" s="67">
        <f>MAX((CR384-Driver!$F$202)/(Driver!$G$202-Driver!$F$202)*$BI$1,1)</f>
        <v>5.8620689655172411</v>
      </c>
      <c r="BM384" s="67">
        <f>MAX((CH384-Driver!$F$204)/(Driver!$G$204-Driver!$F$204)*$BI$1,1)</f>
        <v>1.8803418803418803</v>
      </c>
      <c r="BN384" s="67">
        <f>(CI384-Driver!$F$205)/(Driver!$G$205-Driver!$F$205)*$BI$1</f>
        <v>2.8823529411764701</v>
      </c>
      <c r="BO384" s="67">
        <f>(CK384-Driver!$F$207)/(Driver!$G$207-Driver!$F$207)*$BI$1</f>
        <v>2.3371251292657704</v>
      </c>
      <c r="BP384" s="67">
        <f>(CM384-Driver!$F$208)/(Driver!$G$208-Driver!$F$208)*$BI$1</f>
        <v>1.7999999999999998</v>
      </c>
      <c r="BQ384" s="67">
        <f>(CL384-Driver!$F$209)/(Driver!$G$209-Driver!$F$209)*$BI$1</f>
        <v>4.21875</v>
      </c>
      <c r="BR384" s="28" t="s">
        <v>155</v>
      </c>
      <c r="BS384" s="8" t="s">
        <v>182</v>
      </c>
      <c r="BT384" s="9" t="s">
        <v>395</v>
      </c>
      <c r="BU384" s="10">
        <v>164</v>
      </c>
      <c r="BV384" s="9" t="s">
        <v>163</v>
      </c>
      <c r="BW384" s="10">
        <v>164</v>
      </c>
      <c r="BX384" s="10">
        <v>163.5</v>
      </c>
      <c r="BY384" s="10">
        <v>114</v>
      </c>
      <c r="BZ384" s="10">
        <v>132</v>
      </c>
      <c r="CA384" s="10">
        <v>131</v>
      </c>
      <c r="CB384" s="10">
        <v>107</v>
      </c>
      <c r="CC384" s="10">
        <v>124</v>
      </c>
      <c r="CD384" s="10">
        <v>17.399999999999999</v>
      </c>
      <c r="CE384" s="10">
        <v>1466</v>
      </c>
      <c r="CF384" s="10">
        <v>1.29</v>
      </c>
      <c r="CG384" s="10">
        <v>1884</v>
      </c>
      <c r="CH384" s="10">
        <v>145</v>
      </c>
      <c r="CI384" s="10">
        <v>82</v>
      </c>
      <c r="CJ384" s="10">
        <v>43</v>
      </c>
      <c r="CK384" s="10">
        <v>336</v>
      </c>
      <c r="CL384" s="10">
        <v>27</v>
      </c>
      <c r="CM384" s="10">
        <v>162</v>
      </c>
      <c r="CN384" s="10">
        <v>0.63200000000000001</v>
      </c>
      <c r="CO384" s="10">
        <v>180</v>
      </c>
      <c r="CP384" s="10">
        <v>132</v>
      </c>
      <c r="CQ384" s="10">
        <v>157</v>
      </c>
      <c r="CR384" s="10">
        <v>6</v>
      </c>
      <c r="CS384" s="10">
        <v>10</v>
      </c>
      <c r="CT384" s="9" t="s">
        <v>169</v>
      </c>
      <c r="CU384" s="9" t="s">
        <v>185</v>
      </c>
      <c r="CV384" s="9" t="s">
        <v>198</v>
      </c>
      <c r="CW384" s="10"/>
      <c r="CX384" t="str">
        <f>INDEX('Data_Price '!AG$2:AG$1266,MATCH(Data!$DN384,'Data_Price '!$AT$2:$AT$1266,0))</f>
        <v>Armada Trace 108 Skis - Women's 2022</v>
      </c>
      <c r="CY384" t="str">
        <f>INDEX('Data_Price '!AH$2:AH$1266,MATCH(Data!$DN384,'Data_Price '!$AT$2:$AT$1266,0))</f>
        <v>Powder7 Ski Shop</v>
      </c>
      <c r="CZ384">
        <f>INDEX('Data_Price '!AI$2:AI$1266,MATCH(Data!$DN384,'Data_Price '!$AT$2:$AT$1266,0))</f>
        <v>599.95000000000005</v>
      </c>
      <c r="DA384" t="str">
        <f>INDEX('Data_Price '!AJ$2:AJ$1266,MATCH(Data!$DN384,'Data_Price '!$AT$2:$AT$1266,0))</f>
        <v>https://tinyurl.com/y7cpaqxu</v>
      </c>
      <c r="DB384" t="str">
        <f>INDEX('Data_Price '!AK$2:AK$1266,MATCH(Data!$DN384,'Data_Price '!$AT$2:$AT$1266,0))</f>
        <v>Armada Trace 108 Skis - Women's 2022</v>
      </c>
      <c r="DC384" t="str">
        <f>INDEX('Data_Price '!AL$2:AL$1266,MATCH(Data!$DN384,'Data_Price '!$AT$2:$AT$1266,0))</f>
        <v>Curated</v>
      </c>
      <c r="DD384">
        <f>INDEX('Data_Price '!AM$2:AM$1266,MATCH(Data!$DN384,'Data_Price '!$AT$2:$AT$1266,0))</f>
        <v>599.96</v>
      </c>
      <c r="DE384" t="str">
        <f>INDEX('Data_Price '!AN$2:AN$1266,MATCH(Data!$DN384,'Data_Price '!$AT$2:$AT$1266,0))</f>
        <v>https://tinyurl.com/yap7hwjw</v>
      </c>
      <c r="DF384" t="str">
        <f>INDEX('Data_Price '!AO$2:AO$1266,MATCH(Data!$DN384,'Data_Price '!$AT$2:$AT$1266,0))</f>
        <v>Armada Trace 108 Skis - Women's 2022</v>
      </c>
      <c r="DG384" t="str">
        <f>INDEX('Data_Price '!AP$2:AP$1266,MATCH(Data!$DN384,'Data_Price '!$AT$2:$AT$1266,0))</f>
        <v>evo.com</v>
      </c>
      <c r="DH384">
        <f>INDEX('Data_Price '!AQ$2:AQ$1266,MATCH(Data!$DN384,'Data_Price '!$AT$2:$AT$1266,0))</f>
        <v>599.96</v>
      </c>
      <c r="DI384" t="str">
        <f>INDEX('Data_Price '!AR$2:AR$1266,MATCH(Data!$DN384,'Data_Price '!$AT$2:$AT$1266,0))</f>
        <v>https://tinyurl.com/y8k9764o</v>
      </c>
      <c r="DJ384" s="89" t="str">
        <f t="shared" si="217"/>
        <v>https://tinyurl.com/y7cpaqxu</v>
      </c>
      <c r="DK384" s="89" t="str">
        <f t="shared" si="218"/>
        <v>https://tinyurl.com/yap7hwjw</v>
      </c>
      <c r="DL384" s="89" t="str">
        <f t="shared" si="219"/>
        <v>https://tinyurl.com/y8k9764o</v>
      </c>
      <c r="DM384" s="219" t="str">
        <f t="shared" si="220"/>
        <v>Trace 108</v>
      </c>
      <c r="DN384" s="89" t="str">
        <f t="shared" si="221"/>
        <v xml:space="preserve"> ArmadaTrace 108164 Women's</v>
      </c>
      <c r="DO384" s="221" t="s">
        <v>396</v>
      </c>
    </row>
    <row r="385" spans="1:119" ht="15.6" customHeight="1">
      <c r="B385" s="219" t="b">
        <f t="array" ref="B385">IF(OR(ISERROR(K385:P385)),FALSE,TRUE)</f>
        <v>1</v>
      </c>
      <c r="C385" s="43" t="b">
        <f>OR(BR385=Driver!$G$50,Data!BR700=Driver!$H$50)</f>
        <v>1</v>
      </c>
      <c r="D385" s="43" t="b">
        <f>OR(BV385=Driver!$G$51,BV385=Driver!$H$51)</f>
        <v>1</v>
      </c>
      <c r="E385" s="43" t="b">
        <f>AND(BX385&gt;Driver!$F$54,BX385&lt;Driver!$G$54)</f>
        <v>0</v>
      </c>
      <c r="F385" s="43" t="b">
        <f>CL385&gt;Driver!$F$56</f>
        <v>1</v>
      </c>
      <c r="G385" s="43" t="b">
        <f>AND(CB385&gt;Driver!$F$55,CB385&lt;Driver!$G$55)</f>
        <v>1</v>
      </c>
      <c r="H385" s="43" t="b">
        <f t="shared" si="185"/>
        <v>0</v>
      </c>
      <c r="I385" s="43">
        <f t="shared" si="186"/>
        <v>0</v>
      </c>
      <c r="J385" s="43" t="b">
        <f t="array" ref="J385">NOT(OR(($H$9:$H$1273=TRUE)*($I$9:$I$1273&gt;0)*($BT$9:$BT$1273=BT385)*($K$9:$K$1273&gt;K385)))</f>
        <v>1</v>
      </c>
      <c r="K385" s="72">
        <f t="shared" si="187"/>
        <v>0.7524455436243177</v>
      </c>
      <c r="L385" s="72">
        <f t="shared" si="188"/>
        <v>0.79736661740452797</v>
      </c>
      <c r="M385" s="72">
        <f t="shared" si="189"/>
        <v>0.70752446984410755</v>
      </c>
      <c r="N385" s="72">
        <f t="shared" si="190"/>
        <v>0.52286021675804328</v>
      </c>
      <c r="O385" s="72">
        <f t="shared" si="191"/>
        <v>0.65554280309942214</v>
      </c>
      <c r="P385" s="72">
        <f t="shared" si="192"/>
        <v>0.94417038967485734</v>
      </c>
      <c r="Q385" s="72"/>
      <c r="R385" s="72"/>
      <c r="S385" s="72">
        <f t="shared" si="193"/>
        <v>0.49500754545763448</v>
      </c>
      <c r="T385" s="72">
        <f t="shared" si="194"/>
        <v>0.47581195032752832</v>
      </c>
      <c r="U385" s="72">
        <f t="shared" si="195"/>
        <v>0.5189671450027038</v>
      </c>
      <c r="V385" s="72">
        <f t="shared" si="196"/>
        <v>0.5851773706452823</v>
      </c>
      <c r="W385" s="72">
        <f t="shared" si="197"/>
        <v>0.78578957705905461</v>
      </c>
      <c r="X385" s="72">
        <f t="shared" si="198"/>
        <v>0.20263338259547209</v>
      </c>
      <c r="Y385" s="72">
        <f t="shared" si="199"/>
        <v>0.29247553015589245</v>
      </c>
      <c r="Z385" s="72">
        <f t="shared" si="200"/>
        <v>0.47713978324195672</v>
      </c>
      <c r="AA385" s="72">
        <f t="shared" si="201"/>
        <v>0.34445719690057791</v>
      </c>
      <c r="AB385" s="72">
        <f t="shared" si="202"/>
        <v>5.5829610325142665E-2</v>
      </c>
      <c r="AC385" s="72"/>
      <c r="AD385" s="72"/>
      <c r="AE385" s="72">
        <f t="shared" si="203"/>
        <v>0.50499245454236552</v>
      </c>
      <c r="AF385" s="72">
        <f t="shared" si="204"/>
        <v>0.52418804967247168</v>
      </c>
      <c r="AG385" s="72">
        <f t="shared" si="205"/>
        <v>0.48103285499729626</v>
      </c>
      <c r="AH385" s="72">
        <f t="shared" si="206"/>
        <v>0.4148226293547177</v>
      </c>
      <c r="AI385" s="72">
        <f t="shared" si="207"/>
        <v>0.21421042294094539</v>
      </c>
      <c r="AJ385" s="72">
        <f>(AV385-Driver!$K$179)/(Driver!$L$179-Driver!$K$179)</f>
        <v>0.45685279187817252</v>
      </c>
      <c r="AK385" s="72">
        <f>(AW385-Driver!$K$180)/(Driver!$L$180-Driver!$K$180)</f>
        <v>0.3357437336410648</v>
      </c>
      <c r="AL385" s="72">
        <f>(AX385-Driver!$K$181)/(Driver!$L$181-Driver!$K$181)</f>
        <v>0.57882754695503691</v>
      </c>
      <c r="AM385" s="72">
        <f>(AY385-Driver!$K$182)/(Driver!$L$182-Driver!$K$182)</f>
        <v>0.10292782419646845</v>
      </c>
      <c r="AN385" s="72">
        <f>(AZ385-Driver!$K$183)/(Driver!$L$183-Driver!$K$183)</f>
        <v>0.31004901960784309</v>
      </c>
      <c r="AO385" s="72"/>
      <c r="AP385" s="72"/>
      <c r="AQ385" s="72">
        <f>(BC385-Driver!$K$188)/(Driver!$L$188-Driver!$K$188)</f>
        <v>0.1150075454576345</v>
      </c>
      <c r="AR385" s="72">
        <f>MIN((BD385-Driver!$K$189)/(Driver!$L$189-Driver!$K$189),100%)</f>
        <v>2.5811950327528314E-2</v>
      </c>
      <c r="AS385" s="72">
        <f>(BE385-Driver!$K$190)/(Driver!$L$190-Driver!$K$190)</f>
        <v>2.8967145002703778E-2</v>
      </c>
      <c r="AT385" s="72">
        <f>(BF385-Driver!$K$191)/(Driver!$L$191-Driver!$K$191)</f>
        <v>9.5177370645282297E-2</v>
      </c>
      <c r="AU385" s="72">
        <f>(BG385-Driver!$K$192)/(Driver!$L$192-Driver!$K$192)</f>
        <v>3.5789577059054604E-2</v>
      </c>
      <c r="AV385" s="70">
        <f t="shared" si="208"/>
        <v>9.615384615384615</v>
      </c>
      <c r="AW385" s="70">
        <f t="shared" si="209"/>
        <v>34.593094456901234</v>
      </c>
      <c r="AX385" s="70">
        <f t="shared" si="210"/>
        <v>6.2094479225953325</v>
      </c>
      <c r="AY385" s="70">
        <f>IFERROR(Driver!$K$19/Data!BH385/Data!BI385*Data!BK385*Data!BL385,"")</f>
        <v>0.12601436751513986</v>
      </c>
      <c r="AZ385" s="70">
        <f t="shared" si="211"/>
        <v>28.257632166790764</v>
      </c>
      <c r="BA385" s="70"/>
      <c r="BB385" s="70"/>
      <c r="BC385" s="70">
        <f t="shared" si="212"/>
        <v>59.655213348359972</v>
      </c>
      <c r="BD385" s="70">
        <f t="shared" si="213"/>
        <v>4.0051347520143477</v>
      </c>
      <c r="BE385" s="70">
        <f t="shared" si="214"/>
        <v>2.9140366334594964E-2</v>
      </c>
      <c r="BF385" s="70">
        <f t="shared" si="215"/>
        <v>10.749615355512399</v>
      </c>
      <c r="BG385" s="70">
        <f t="shared" si="216"/>
        <v>0.13552217002749772</v>
      </c>
      <c r="BH385" s="67">
        <f>MAX((CE385-Driver!$F$200)/(Driver!$G$200-Driver!$F$200)*$BI$1,1)</f>
        <v>6.2094479225953325</v>
      </c>
      <c r="BI385" s="67">
        <f>MAX($BI$1*(BY385-Driver!$F$201)/(Driver!$G$201-Driver!$F$201),1)</f>
        <v>6.962025316455696</v>
      </c>
      <c r="BJ385" s="67">
        <f>(CB385-Driver!$F$206)/(Driver!$G$206-Driver!$F$206)*$BI$1</f>
        <v>7.1428571428571432</v>
      </c>
      <c r="BK385" s="67">
        <f>(CD385-Driver!$F$203)/(Driver!$G$203-Driver!$F$203)*$BI$1</f>
        <v>5.6422018348623855</v>
      </c>
      <c r="BL385" s="67">
        <f>MAX((CR385-Driver!$F$202)/(Driver!$G$202-Driver!$F$202)*$BI$1,1)</f>
        <v>4.8275862068965516</v>
      </c>
      <c r="BM385" s="67">
        <f>MAX((CH385-Driver!$F$204)/(Driver!$G$204-Driver!$F$204)*$BI$1,1)</f>
        <v>5.3846153846153841</v>
      </c>
      <c r="BN385" s="67">
        <f>(CI385-Driver!$F$205)/(Driver!$G$205-Driver!$F$205)*$BI$1</f>
        <v>4.0588235294117645</v>
      </c>
      <c r="BO385" s="67">
        <f>(CK385-Driver!$F$207)/(Driver!$G$207-Driver!$F$207)*$BI$1</f>
        <v>3.6918304033092038</v>
      </c>
      <c r="BP385" s="67">
        <f>(CM385-Driver!$F$208)/(Driver!$G$208-Driver!$F$208)*$BI$1</f>
        <v>2.3000000000000003</v>
      </c>
      <c r="BQ385" s="67">
        <f>(CL385-Driver!$F$209)/(Driver!$G$209-Driver!$F$209)*$BI$1</f>
        <v>4.53125</v>
      </c>
      <c r="BR385" s="28" t="s">
        <v>155</v>
      </c>
      <c r="BS385" s="8" t="s">
        <v>561</v>
      </c>
      <c r="BT385" s="9" t="s">
        <v>568</v>
      </c>
      <c r="BU385" s="10">
        <v>188</v>
      </c>
      <c r="BV385" s="9" t="s">
        <v>158</v>
      </c>
      <c r="BW385" s="10">
        <v>188</v>
      </c>
      <c r="BX385" s="10">
        <v>185.4</v>
      </c>
      <c r="BY385" s="10">
        <v>118</v>
      </c>
      <c r="BZ385" s="10">
        <v>151</v>
      </c>
      <c r="CA385" s="10">
        <v>136</v>
      </c>
      <c r="CB385" s="10">
        <v>109</v>
      </c>
      <c r="CC385" s="10">
        <v>127</v>
      </c>
      <c r="CD385" s="10">
        <v>21.7</v>
      </c>
      <c r="CE385" s="10">
        <v>1991</v>
      </c>
      <c r="CF385" s="10">
        <v>1.1000000000000001</v>
      </c>
      <c r="CG385" s="10">
        <v>2196</v>
      </c>
      <c r="CH385" s="10">
        <v>227</v>
      </c>
      <c r="CI385" s="10">
        <v>102</v>
      </c>
      <c r="CJ385" s="10">
        <v>57</v>
      </c>
      <c r="CK385" s="10">
        <v>467</v>
      </c>
      <c r="CL385" s="10">
        <v>29</v>
      </c>
      <c r="CM385" s="10">
        <v>207</v>
      </c>
      <c r="CN385" s="10">
        <v>0.51200000000000001</v>
      </c>
      <c r="CO385" s="10">
        <v>172</v>
      </c>
      <c r="CP385" s="10">
        <v>169</v>
      </c>
      <c r="CQ385" s="10">
        <v>295</v>
      </c>
      <c r="CR385" s="10">
        <v>3</v>
      </c>
      <c r="CS385" s="10">
        <v>8.3000000000000007</v>
      </c>
      <c r="CT385" s="9" t="s">
        <v>169</v>
      </c>
      <c r="CU385" s="9" t="s">
        <v>185</v>
      </c>
      <c r="CV385" s="10"/>
      <c r="CW385" s="10"/>
      <c r="CX385" t="str">
        <f>INDEX('Data_Price '!AG$2:AG$1266,MATCH(Data!$DN385,'Data_Price '!$AT$2:$AT$1266,0))</f>
        <v>Dynastar Inspired By J. Nobis Skis 188cm 110 89 117 Look Bindings</v>
      </c>
      <c r="CY385" t="str">
        <f>INDEX('Data_Price '!AH$2:AH$1266,MATCH(Data!$DN385,'Data_Price '!$AT$2:$AT$1266,0))</f>
        <v>eBay - pbspace</v>
      </c>
      <c r="CZ385">
        <f>INDEX('Data_Price '!AI$2:AI$1266,MATCH(Data!$DN385,'Data_Price '!$AT$2:$AT$1266,0))</f>
        <v>150</v>
      </c>
      <c r="DA385" t="str">
        <f>INDEX('Data_Price '!AJ$2:AJ$1266,MATCH(Data!$DN385,'Data_Price '!$AT$2:$AT$1266,0))</f>
        <v>https://tinyurl.com/y9l5nzw2</v>
      </c>
      <c r="DB385" t="str">
        <f>INDEX('Data_Price '!AK$2:AK$1266,MATCH(Data!$DN385,'Data_Price '!$AT$2:$AT$1266,0))</f>
        <v>Zag Slap 104 Skis 188cm 2022</v>
      </c>
      <c r="DC385" t="str">
        <f>INDEX('Data_Price '!AL$2:AL$1266,MATCH(Data!$DN385,'Data_Price '!$AT$2:$AT$1266,0))</f>
        <v>Snowcountry.eu</v>
      </c>
      <c r="DD385">
        <f>INDEX('Data_Price '!AM$2:AM$1266,MATCH(Data!$DN385,'Data_Price '!$AT$2:$AT$1266,0))</f>
        <v>460.11</v>
      </c>
      <c r="DE385" t="str">
        <f>INDEX('Data_Price '!AN$2:AN$1266,MATCH(Data!$DN385,'Data_Price '!$AT$2:$AT$1266,0))</f>
        <v>https://tinyurl.com/yctm2dbl</v>
      </c>
      <c r="DF385" t="str">
        <f>INDEX('Data_Price '!AO$2:AO$1266,MATCH(Data!$DN385,'Data_Price '!$AT$2:$AT$1266,0))</f>
        <v>Rossignol 2020 Super 7 HD Skis</v>
      </c>
      <c r="DG385" t="str">
        <f>INDEX('Data_Price '!AP$2:AP$1266,MATCH(Data!$DN385,'Data_Price '!$AT$2:$AT$1266,0))</f>
        <v>Level Nine Sports</v>
      </c>
      <c r="DH385">
        <f>INDEX('Data_Price '!AQ$2:AQ$1266,MATCH(Data!$DN385,'Data_Price '!$AT$2:$AT$1266,0))</f>
        <v>479.96</v>
      </c>
      <c r="DI385" t="str">
        <f>INDEX('Data_Price '!AR$2:AR$1266,MATCH(Data!$DN385,'Data_Price '!$AT$2:$AT$1266,0))</f>
        <v>https://tinyurl.com/y95odv8k</v>
      </c>
      <c r="DJ385" s="89" t="str">
        <f t="shared" si="217"/>
        <v>https://tinyurl.com/y9l5nzw2</v>
      </c>
      <c r="DK385" s="89" t="str">
        <f t="shared" si="218"/>
        <v>https://tinyurl.com/yctm2dbl</v>
      </c>
      <c r="DL385" s="89" t="str">
        <f t="shared" si="219"/>
        <v>https://tinyurl.com/y95odv8k</v>
      </c>
      <c r="DM385" s="219" t="str">
        <f t="shared" si="220"/>
        <v>The Slacker</v>
      </c>
      <c r="DN385" s="89" t="str">
        <f t="shared" si="221"/>
        <v xml:space="preserve"> J SkisThe Slacker188 Unisex</v>
      </c>
      <c r="DO385" s="221"/>
    </row>
    <row r="386" spans="1:119" ht="15.6" customHeight="1">
      <c r="B386" s="219" t="b">
        <f t="array" ref="B386">IF(OR(ISERROR(K386:P386)),FALSE,TRUE)</f>
        <v>1</v>
      </c>
      <c r="C386" s="43" t="b">
        <f>OR(BR386=Driver!$G$50,Data!BR713=Driver!$H$50)</f>
        <v>1</v>
      </c>
      <c r="D386" s="43" t="b">
        <f>OR(BV386=Driver!$G$51,BV386=Driver!$H$51)</f>
        <v>0</v>
      </c>
      <c r="E386" s="43" t="b">
        <f>AND(BX386&gt;Driver!$F$54,BX386&lt;Driver!$G$54)</f>
        <v>1</v>
      </c>
      <c r="F386" s="43" t="b">
        <f>CL386&gt;Driver!$F$56</f>
        <v>1</v>
      </c>
      <c r="G386" s="43" t="b">
        <f>AND(CB386&gt;Driver!$F$55,CB386&lt;Driver!$G$55)</f>
        <v>0</v>
      </c>
      <c r="H386" s="43" t="b">
        <f t="shared" si="185"/>
        <v>0</v>
      </c>
      <c r="I386" s="43">
        <f t="shared" si="186"/>
        <v>0</v>
      </c>
      <c r="J386" s="43" t="b">
        <f t="array" ref="J386">NOT(OR(($H$9:$H$1273=TRUE)*($I$9:$I$1273&gt;0)*($BT$9:$BT$1273=BT386)*($K$9:$K$1273&gt;K386)))</f>
        <v>1</v>
      </c>
      <c r="K386" s="72">
        <f t="shared" si="187"/>
        <v>0.82910161080749634</v>
      </c>
      <c r="L386" s="72">
        <f t="shared" si="188"/>
        <v>0.8850119177658855</v>
      </c>
      <c r="M386" s="72">
        <f t="shared" si="189"/>
        <v>0.77319130384910728</v>
      </c>
      <c r="N386" s="72">
        <f t="shared" si="190"/>
        <v>0.7037240629605348</v>
      </c>
      <c r="O386" s="72">
        <f t="shared" si="191"/>
        <v>0.62182579381719982</v>
      </c>
      <c r="P386" s="72">
        <f t="shared" si="192"/>
        <v>0.99402405476958711</v>
      </c>
      <c r="Q386" s="72"/>
      <c r="R386" s="72"/>
      <c r="S386" s="72">
        <f t="shared" si="193"/>
        <v>0.43125536422768618</v>
      </c>
      <c r="T386" s="72">
        <f t="shared" si="194"/>
        <v>0.53114277271277033</v>
      </c>
      <c r="U386" s="72">
        <f t="shared" si="195"/>
        <v>0.54317304620114215</v>
      </c>
      <c r="V386" s="72">
        <f t="shared" si="196"/>
        <v>0.54341548931474093</v>
      </c>
      <c r="W386" s="72">
        <f t="shared" si="197"/>
        <v>0.88756987577639745</v>
      </c>
      <c r="X386" s="72">
        <f t="shared" si="198"/>
        <v>0.11498808223411452</v>
      </c>
      <c r="Y386" s="72">
        <f t="shared" si="199"/>
        <v>0.22680869615089275</v>
      </c>
      <c r="Z386" s="72">
        <f t="shared" si="200"/>
        <v>0.29627593703946514</v>
      </c>
      <c r="AA386" s="72">
        <f t="shared" si="201"/>
        <v>0.37817420618280023</v>
      </c>
      <c r="AB386" s="72">
        <f t="shared" si="202"/>
        <v>5.975945230412838E-3</v>
      </c>
      <c r="AC386" s="72"/>
      <c r="AD386" s="72"/>
      <c r="AE386" s="72">
        <f t="shared" si="203"/>
        <v>0.56874463577231382</v>
      </c>
      <c r="AF386" s="72">
        <f t="shared" si="204"/>
        <v>0.46885722728722967</v>
      </c>
      <c r="AG386" s="72">
        <f t="shared" si="205"/>
        <v>0.4568269537988579</v>
      </c>
      <c r="AH386" s="72">
        <f t="shared" si="206"/>
        <v>0.45658451068525907</v>
      </c>
      <c r="AI386" s="72">
        <f t="shared" si="207"/>
        <v>0.11243012422360249</v>
      </c>
      <c r="AJ386" s="72">
        <f>(AV386-Driver!$K$179)/(Driver!$L$179-Driver!$K$179)</f>
        <v>0.1392313270485859</v>
      </c>
      <c r="AK386" s="72">
        <f>(AW386-Driver!$K$180)/(Driver!$L$180-Driver!$K$180)</f>
        <v>0.26082016465783425</v>
      </c>
      <c r="AL386" s="72">
        <f>(AX386-Driver!$K$181)/(Driver!$L$181-Driver!$K$181)</f>
        <v>0.39796370075254534</v>
      </c>
      <c r="AM386" s="72">
        <f>(AY386-Driver!$K$182)/(Driver!$L$182-Driver!$K$182)</f>
        <v>6.9210814914246147E-2</v>
      </c>
      <c r="AN386" s="72">
        <f>(AZ386-Driver!$K$183)/(Driver!$L$183-Driver!$K$183)</f>
        <v>0.24824346405228759</v>
      </c>
      <c r="AO386" s="72"/>
      <c r="AP386" s="72"/>
      <c r="AQ386" s="72">
        <f>(BC386-Driver!$K$188)/(Driver!$L$188-Driver!$K$188)</f>
        <v>5.1255364227686166E-2</v>
      </c>
      <c r="AR386" s="72">
        <f>MIN((BD386-Driver!$K$189)/(Driver!$L$189-Driver!$K$189),100%)</f>
        <v>8.1142772712770372E-2</v>
      </c>
      <c r="AS386" s="72">
        <f>(BE386-Driver!$K$190)/(Driver!$L$190-Driver!$K$190)</f>
        <v>5.3173046201142118E-2</v>
      </c>
      <c r="AT386" s="72">
        <f>(BF386-Driver!$K$191)/(Driver!$L$191-Driver!$K$191)</f>
        <v>5.3415489314740917E-2</v>
      </c>
      <c r="AU386" s="72">
        <f>(BG386-Driver!$K$192)/(Driver!$L$192-Driver!$K$192)</f>
        <v>0.13756987577639751</v>
      </c>
      <c r="AV386" s="70">
        <f t="shared" si="208"/>
        <v>2.9304029304029302</v>
      </c>
      <c r="AW386" s="70">
        <f t="shared" si="209"/>
        <v>27.291128769127713</v>
      </c>
      <c r="AX386" s="70">
        <f t="shared" si="210"/>
        <v>4.5816733067729078</v>
      </c>
      <c r="AY386" s="70">
        <f>IFERROR(Driver!$K$19/Data!BH386/Data!BI386*Data!BK386*Data!BL386,"")</f>
        <v>8.4734687969100012E-2</v>
      </c>
      <c r="AZ386" s="70">
        <f t="shared" si="211"/>
        <v>22.624720774385704</v>
      </c>
      <c r="BA386" s="70"/>
      <c r="BB386" s="70"/>
      <c r="BC386" s="70">
        <f t="shared" si="212"/>
        <v>26.586513746412116</v>
      </c>
      <c r="BD386" s="70">
        <f t="shared" si="213"/>
        <v>8.9018144926923597</v>
      </c>
      <c r="BE386" s="70">
        <f t="shared" si="214"/>
        <v>5.3341949472708525E-2</v>
      </c>
      <c r="BF386" s="70">
        <f t="shared" si="215"/>
        <v>6.0329042530490291</v>
      </c>
      <c r="BG386" s="70">
        <f t="shared" si="216"/>
        <v>0.52092730978260871</v>
      </c>
      <c r="BH386" s="67">
        <f>MAX((CE386-Driver!$F$200)/(Driver!$G$200-Driver!$F$200)*$BI$1,1)</f>
        <v>4.5816733067729078</v>
      </c>
      <c r="BI386" s="67">
        <f>MAX($BI$1*(BY386-Driver!$F$201)/(Driver!$G$201-Driver!$F$201),1)</f>
        <v>6.518987341772152</v>
      </c>
      <c r="BJ386" s="67">
        <f>(CB386-Driver!$F$206)/(Driver!$G$206-Driver!$F$206)*$BI$1</f>
        <v>3.8095238095238093</v>
      </c>
      <c r="BK386" s="67">
        <f>(CD386-Driver!$F$203)/(Driver!$G$203-Driver!$F$203)*$BI$1</f>
        <v>2.2935779816513766</v>
      </c>
      <c r="BL386" s="67">
        <f>MAX((CR386-Driver!$F$202)/(Driver!$G$202-Driver!$F$202)*$BI$1,1)</f>
        <v>5.5172413793103452</v>
      </c>
      <c r="BM386" s="67">
        <f>MAX((CH386-Driver!$F$204)/(Driver!$G$204-Driver!$F$204)*$BI$1,1)</f>
        <v>3.0769230769230771</v>
      </c>
      <c r="BN386" s="67">
        <f>(CI386-Driver!$F$205)/(Driver!$G$205-Driver!$F$205)*$BI$1</f>
        <v>3.4705882352941178</v>
      </c>
      <c r="BO386" s="67">
        <f>(CK386-Driver!$F$207)/(Driver!$G$207-Driver!$F$207)*$BI$1</f>
        <v>1.2719751809720785</v>
      </c>
      <c r="BP386" s="67">
        <f>(CM386-Driver!$F$208)/(Driver!$G$208-Driver!$F$208)*$BI$1</f>
        <v>2.8555555555555556</v>
      </c>
      <c r="BQ386" s="67">
        <f>(CL386-Driver!$F$209)/(Driver!$G$209-Driver!$F$209)*$BI$1</f>
        <v>7.34375</v>
      </c>
      <c r="BR386" s="28" t="s">
        <v>155</v>
      </c>
      <c r="BS386" s="8" t="s">
        <v>262</v>
      </c>
      <c r="BT386" s="9" t="s">
        <v>569</v>
      </c>
      <c r="BU386" s="10">
        <v>159</v>
      </c>
      <c r="BV386" s="9" t="s">
        <v>163</v>
      </c>
      <c r="BW386" s="10">
        <v>159</v>
      </c>
      <c r="BX386" s="10">
        <v>159.69999999999999</v>
      </c>
      <c r="BY386" s="10">
        <v>111</v>
      </c>
      <c r="BZ386" s="10">
        <v>129</v>
      </c>
      <c r="CA386" s="10">
        <v>117</v>
      </c>
      <c r="CB386" s="10">
        <v>88</v>
      </c>
      <c r="CC386" s="10">
        <v>111</v>
      </c>
      <c r="CD386" s="10">
        <v>14.4</v>
      </c>
      <c r="CE386" s="10">
        <v>1705</v>
      </c>
      <c r="CF386" s="10">
        <v>0.92</v>
      </c>
      <c r="CG386" s="10">
        <v>1573</v>
      </c>
      <c r="CH386" s="10">
        <v>173</v>
      </c>
      <c r="CI386" s="10">
        <v>92</v>
      </c>
      <c r="CJ386" s="10">
        <v>50</v>
      </c>
      <c r="CK386" s="10">
        <v>233</v>
      </c>
      <c r="CL386" s="10">
        <v>47</v>
      </c>
      <c r="CM386" s="10">
        <v>257</v>
      </c>
      <c r="CN386" s="10">
        <v>0.93600000000000005</v>
      </c>
      <c r="CO386" s="10">
        <v>156</v>
      </c>
      <c r="CP386" s="10">
        <v>154</v>
      </c>
      <c r="CQ386" s="10">
        <v>77</v>
      </c>
      <c r="CR386" s="10">
        <v>5</v>
      </c>
      <c r="CS386" s="10">
        <v>3.5</v>
      </c>
      <c r="CT386" s="9" t="s">
        <v>184</v>
      </c>
      <c r="CU386" s="10"/>
      <c r="CV386" s="10"/>
      <c r="CW386" s="10"/>
      <c r="CX386" t="e">
        <f>INDEX('Data_Price '!AG$2:AG$1266,MATCH(Data!$DN386,'Data_Price '!$AT$2:$AT$1266,0))</f>
        <v>#N/A</v>
      </c>
      <c r="CY386" t="e">
        <f>INDEX('Data_Price '!AH$2:AH$1266,MATCH(Data!$DN386,'Data_Price '!$AT$2:$AT$1266,0))</f>
        <v>#N/A</v>
      </c>
      <c r="CZ386" t="e">
        <f>INDEX('Data_Price '!AI$2:AI$1266,MATCH(Data!$DN386,'Data_Price '!$AT$2:$AT$1266,0))</f>
        <v>#N/A</v>
      </c>
      <c r="DA386" t="e">
        <f>INDEX('Data_Price '!AJ$2:AJ$1266,MATCH(Data!$DN386,'Data_Price '!$AT$2:$AT$1266,0))</f>
        <v>#N/A</v>
      </c>
      <c r="DB386" t="e">
        <f>INDEX('Data_Price '!AK$2:AK$1266,MATCH(Data!$DN386,'Data_Price '!$AT$2:$AT$1266,0))</f>
        <v>#N/A</v>
      </c>
      <c r="DC386" t="e">
        <f>INDEX('Data_Price '!AL$2:AL$1266,MATCH(Data!$DN386,'Data_Price '!$AT$2:$AT$1266,0))</f>
        <v>#N/A</v>
      </c>
      <c r="DD386" t="e">
        <f>INDEX('Data_Price '!AM$2:AM$1266,MATCH(Data!$DN386,'Data_Price '!$AT$2:$AT$1266,0))</f>
        <v>#N/A</v>
      </c>
      <c r="DE386" t="e">
        <f>INDEX('Data_Price '!AN$2:AN$1266,MATCH(Data!$DN386,'Data_Price '!$AT$2:$AT$1266,0))</f>
        <v>#N/A</v>
      </c>
      <c r="DF386" t="e">
        <f>INDEX('Data_Price '!AO$2:AO$1266,MATCH(Data!$DN386,'Data_Price '!$AT$2:$AT$1266,0))</f>
        <v>#N/A</v>
      </c>
      <c r="DG386" t="e">
        <f>INDEX('Data_Price '!AP$2:AP$1266,MATCH(Data!$DN386,'Data_Price '!$AT$2:$AT$1266,0))</f>
        <v>#N/A</v>
      </c>
      <c r="DH386" t="e">
        <f>INDEX('Data_Price '!AQ$2:AQ$1266,MATCH(Data!$DN386,'Data_Price '!$AT$2:$AT$1266,0))</f>
        <v>#N/A</v>
      </c>
      <c r="DI386" t="e">
        <f>INDEX('Data_Price '!AR$2:AR$1266,MATCH(Data!$DN386,'Data_Price '!$AT$2:$AT$1266,0))</f>
        <v>#N/A</v>
      </c>
      <c r="DJ386" s="89" t="e">
        <f t="shared" si="217"/>
        <v>#N/A</v>
      </c>
      <c r="DK386" s="89" t="e">
        <f t="shared" si="218"/>
        <v>#N/A</v>
      </c>
      <c r="DL386" s="89" t="e">
        <f t="shared" si="219"/>
        <v>#N/A</v>
      </c>
      <c r="DM386" s="219" t="str">
        <f t="shared" si="220"/>
        <v>Midnight</v>
      </c>
      <c r="DN386" s="89" t="str">
        <f t="shared" si="221"/>
        <v xml:space="preserve"> K2Midnight159 Women's</v>
      </c>
      <c r="DO386" s="221"/>
    </row>
    <row r="387" spans="1:119" ht="15.6" customHeight="1">
      <c r="A387" s="219">
        <f>ROW()</f>
        <v>387</v>
      </c>
      <c r="B387" s="219" t="b">
        <f t="array" ref="B387">IF(OR(ISERROR(K387:P387)),FALSE,TRUE)</f>
        <v>1</v>
      </c>
      <c r="C387" s="43" t="b">
        <f>OR(BR387=Driver!$G$50,Data!BR977=Driver!$H$50)</f>
        <v>1</v>
      </c>
      <c r="D387" s="43" t="b">
        <f>OR(BV387=Driver!$G$51,BV387=Driver!$H$51)</f>
        <v>1</v>
      </c>
      <c r="E387" s="43" t="b">
        <f>AND(BX387&gt;Driver!$F$54,BX387&lt;Driver!$G$54)</f>
        <v>1</v>
      </c>
      <c r="F387" s="43" t="b">
        <f>CL387&gt;Driver!$F$56</f>
        <v>1</v>
      </c>
      <c r="G387" s="43" t="b">
        <f>AND(CB387&gt;Driver!$F$55,CB387&lt;Driver!$G$55)</f>
        <v>0</v>
      </c>
      <c r="H387" s="43" t="b">
        <f t="shared" si="185"/>
        <v>0</v>
      </c>
      <c r="I387" s="43">
        <f t="shared" si="186"/>
        <v>0</v>
      </c>
      <c r="J387" s="43" t="b">
        <f t="array" ref="J387">NOT(OR(($H$9:$H$1273=TRUE)*($I$9:$I$1273&gt;0)*($BT$9:$BT$1273=BT387)*($K$9:$K$1273&gt;K387)))</f>
        <v>1</v>
      </c>
      <c r="K387" s="72">
        <f t="shared" si="187"/>
        <v>0.87773106140225465</v>
      </c>
      <c r="L387" s="72">
        <f t="shared" si="188"/>
        <v>0.98774336567499832</v>
      </c>
      <c r="M387" s="72">
        <f t="shared" si="189"/>
        <v>0.76771875712951099</v>
      </c>
      <c r="N387" s="72">
        <f t="shared" si="190"/>
        <v>0.68728189512394477</v>
      </c>
      <c r="O387" s="72">
        <f t="shared" si="191"/>
        <v>0.6505438558707769</v>
      </c>
      <c r="P387" s="72">
        <f t="shared" si="192"/>
        <v>0.96533052039381151</v>
      </c>
      <c r="Q387" s="72"/>
      <c r="R387" s="72"/>
      <c r="S387" s="72">
        <f t="shared" si="193"/>
        <v>0.43086756990590258</v>
      </c>
      <c r="T387" s="72">
        <f t="shared" si="194"/>
        <v>0.53793143423208511</v>
      </c>
      <c r="U387" s="72">
        <f t="shared" si="195"/>
        <v>0.55894816524005242</v>
      </c>
      <c r="V387" s="72">
        <f t="shared" si="196"/>
        <v>0.56445467126158455</v>
      </c>
      <c r="W387" s="72">
        <f t="shared" si="197"/>
        <v>0.82851985559566788</v>
      </c>
      <c r="X387" s="72">
        <f t="shared" si="198"/>
        <v>1.2256634325001625E-2</v>
      </c>
      <c r="Y387" s="72">
        <f t="shared" si="199"/>
        <v>0.23228124287048899</v>
      </c>
      <c r="Z387" s="72">
        <f t="shared" si="200"/>
        <v>0.31271810487605528</v>
      </c>
      <c r="AA387" s="72">
        <f t="shared" si="201"/>
        <v>0.3494561441292231</v>
      </c>
      <c r="AB387" s="72">
        <f t="shared" si="202"/>
        <v>3.4669479606188491E-2</v>
      </c>
      <c r="AC387" s="72"/>
      <c r="AD387" s="72"/>
      <c r="AE387" s="72">
        <f t="shared" si="203"/>
        <v>0.56913243009409742</v>
      </c>
      <c r="AF387" s="72">
        <f t="shared" si="204"/>
        <v>0.46206856576791483</v>
      </c>
      <c r="AG387" s="72">
        <f t="shared" si="205"/>
        <v>0.44105183475994758</v>
      </c>
      <c r="AH387" s="72">
        <f t="shared" si="206"/>
        <v>0.43554532873841545</v>
      </c>
      <c r="AI387" s="72">
        <f t="shared" si="207"/>
        <v>0.17148014440433212</v>
      </c>
      <c r="AJ387" s="72">
        <f>(AV387-Driver!$K$179)/(Driver!$L$179-Driver!$K$179)</f>
        <v>0.2419627749576988</v>
      </c>
      <c r="AK387" s="72">
        <f>(AW387-Driver!$K$180)/(Driver!$L$180-Driver!$K$180)</f>
        <v>0.30070911986246524</v>
      </c>
      <c r="AL387" s="72">
        <f>(AX387-Driver!$K$181)/(Driver!$L$181-Driver!$K$181)</f>
        <v>0.41440586858913547</v>
      </c>
      <c r="AM387" s="72">
        <f>(AY387-Driver!$K$182)/(Driver!$L$182-Driver!$K$182)</f>
        <v>9.7928876967823264E-2</v>
      </c>
      <c r="AN387" s="72">
        <f>(AZ387-Driver!$K$183)/(Driver!$L$183-Driver!$K$183)</f>
        <v>0.28888888888888892</v>
      </c>
      <c r="AO387" s="72"/>
      <c r="AP387" s="72"/>
      <c r="AQ387" s="72">
        <f>(BC387-Driver!$K$188)/(Driver!$L$188-Driver!$K$188)</f>
        <v>5.0867569905902583E-2</v>
      </c>
      <c r="AR387" s="72">
        <f>MIN((BD387-Driver!$K$189)/(Driver!$L$189-Driver!$K$189),100%)</f>
        <v>8.7931434232085201E-2</v>
      </c>
      <c r="AS387" s="72">
        <f>(BE387-Driver!$K$190)/(Driver!$L$190-Driver!$K$190)</f>
        <v>6.89481652400524E-2</v>
      </c>
      <c r="AT387" s="72">
        <f>(BF387-Driver!$K$191)/(Driver!$L$191-Driver!$K$191)</f>
        <v>7.4454671261584573E-2</v>
      </c>
      <c r="AU387" s="72">
        <f>(BG387-Driver!$K$192)/(Driver!$L$192-Driver!$K$192)</f>
        <v>7.8519855595667876E-2</v>
      </c>
      <c r="AV387" s="70">
        <f t="shared" si="208"/>
        <v>5.0925925925925926</v>
      </c>
      <c r="AW387" s="70">
        <f t="shared" si="209"/>
        <v>31.178660905918235</v>
      </c>
      <c r="AX387" s="70">
        <f t="shared" si="210"/>
        <v>4.7296528173022194</v>
      </c>
      <c r="AY387" s="70">
        <f>IFERROR(Driver!$K$19/Data!BH188/Data!BI188*Data!BK188*Data!BL188,"")</f>
        <v>0.11989416456538296</v>
      </c>
      <c r="AZ387" s="70">
        <f t="shared" si="211"/>
        <v>26.329113924050635</v>
      </c>
      <c r="BA387" s="70"/>
      <c r="BB387" s="70"/>
      <c r="BC387" s="70">
        <f t="shared" si="212"/>
        <v>26.385362135800584</v>
      </c>
      <c r="BD387" s="70">
        <f t="shared" si="213"/>
        <v>9.5025990083552916</v>
      </c>
      <c r="BE387" s="70">
        <f t="shared" si="214"/>
        <v>6.9114254407938808E-2</v>
      </c>
      <c r="BF387" s="70">
        <f t="shared" si="215"/>
        <v>8.4091320453264586</v>
      </c>
      <c r="BG387" s="70">
        <f t="shared" si="216"/>
        <v>0.2973262635379062</v>
      </c>
      <c r="BH387" s="67">
        <f>MAX((CE387-Driver!$F$200)/(Driver!$G$200-Driver!$F$200)*$BI$1,1)</f>
        <v>4.7296528173022194</v>
      </c>
      <c r="BI387" s="67">
        <f>MAX($BI$1*(BY387-Driver!$F$201)/(Driver!$G$201-Driver!$F$201),1)</f>
        <v>6.5822784810126587</v>
      </c>
      <c r="BJ387" s="67">
        <f>(CB387-Driver!$F$206)/(Driver!$G$206-Driver!$F$206)*$BI$1</f>
        <v>5.2380952380952381</v>
      </c>
      <c r="BK387" s="67">
        <f>(CD387-Driver!$F$203)/(Driver!$G$203-Driver!$F$203)*$BI$1</f>
        <v>2.2935779816513766</v>
      </c>
      <c r="BL387" s="67">
        <f>MAX((CR387-Driver!$F$202)/(Driver!$G$202-Driver!$F$202)*$BI$1,1)</f>
        <v>6.2068965517241379</v>
      </c>
      <c r="BM387" s="67">
        <f>MAX((CH387-Driver!$F$204)/(Driver!$G$204-Driver!$F$204)*$BI$1,1)</f>
        <v>3.8888888888888888</v>
      </c>
      <c r="BN387" s="67">
        <f>(CI387-Driver!$F$205)/(Driver!$G$205-Driver!$F$205)*$BI$1</f>
        <v>4</v>
      </c>
      <c r="BO387" s="67">
        <f>(CK387-Driver!$F$207)/(Driver!$G$207-Driver!$F$207)*$BI$1</f>
        <v>1.499482936918304</v>
      </c>
      <c r="BP387" s="67">
        <f>(CM387-Driver!$F$208)/(Driver!$G$208-Driver!$F$208)*$BI$1</f>
        <v>2.4555555555555557</v>
      </c>
      <c r="BQ387" s="67">
        <f>(CL387-Driver!$F$209)/(Driver!$G$209-Driver!$F$209)*$BI$1</f>
        <v>5.46875</v>
      </c>
      <c r="BR387" s="28" t="s">
        <v>155</v>
      </c>
      <c r="BS387" s="8" t="s">
        <v>172</v>
      </c>
      <c r="BT387" s="9" t="s">
        <v>331</v>
      </c>
      <c r="BU387" s="10">
        <v>162</v>
      </c>
      <c r="BV387" s="9" t="s">
        <v>158</v>
      </c>
      <c r="BW387" s="10">
        <v>162</v>
      </c>
      <c r="BX387" s="10">
        <v>159.5</v>
      </c>
      <c r="BY387" s="10">
        <v>112</v>
      </c>
      <c r="BZ387" s="10">
        <v>136</v>
      </c>
      <c r="CA387" s="10">
        <v>129</v>
      </c>
      <c r="CB387" s="10">
        <v>97</v>
      </c>
      <c r="CC387" s="10">
        <v>120</v>
      </c>
      <c r="CD387" s="10">
        <v>14.4</v>
      </c>
      <c r="CE387" s="10">
        <v>1731</v>
      </c>
      <c r="CF387" s="10">
        <v>1</v>
      </c>
      <c r="CG387" s="10">
        <v>1723</v>
      </c>
      <c r="CH387" s="10">
        <v>192</v>
      </c>
      <c r="CI387" s="10">
        <v>101</v>
      </c>
      <c r="CJ387" s="10">
        <v>53</v>
      </c>
      <c r="CK387" s="10">
        <v>255</v>
      </c>
      <c r="CL387" s="10">
        <v>35</v>
      </c>
      <c r="CM387" s="10">
        <v>221</v>
      </c>
      <c r="CN387" s="10">
        <v>0.66300000000000003</v>
      </c>
      <c r="CO387" s="10">
        <v>137</v>
      </c>
      <c r="CP387" s="10">
        <v>94</v>
      </c>
      <c r="CQ387" s="10">
        <v>118</v>
      </c>
      <c r="CR387" s="10">
        <v>7</v>
      </c>
      <c r="CS387" s="10">
        <v>4.0999999999999996</v>
      </c>
      <c r="CT387" s="9" t="s">
        <v>188</v>
      </c>
      <c r="CU387" s="10"/>
      <c r="CV387" s="10"/>
      <c r="CW387" s="10"/>
      <c r="CX387" t="str">
        <f>INDEX('Data_Price '!AG$2:AG$1266,MATCH(Data!$DN387,'Data_Price '!$AT$2:$AT$1266,0))</f>
        <v>Nordica Santa Ana 104 Free Skis - Women's 2022</v>
      </c>
      <c r="CY387" t="str">
        <f>INDEX('Data_Price '!AH$2:AH$1266,MATCH(Data!$DN387,'Data_Price '!$AT$2:$AT$1266,0))</f>
        <v>Stowesports.com</v>
      </c>
      <c r="CZ387">
        <f>INDEX('Data_Price '!AI$2:AI$1266,MATCH(Data!$DN387,'Data_Price '!$AT$2:$AT$1266,0))</f>
        <v>599</v>
      </c>
      <c r="DA387" t="str">
        <f>INDEX('Data_Price '!AJ$2:AJ$1266,MATCH(Data!$DN387,'Data_Price '!$AT$2:$AT$1266,0))</f>
        <v>https://tinyurl.com/yaqflpgt</v>
      </c>
      <c r="DB387" t="str">
        <f>INDEX('Data_Price '!AK$2:AK$1266,MATCH(Data!$DN387,'Data_Price '!$AT$2:$AT$1266,0))</f>
        <v>Nordica Santa Ana 104 Free Skis - Women's 2022</v>
      </c>
      <c r="DC387" t="str">
        <f>INDEX('Data_Price '!AL$2:AL$1266,MATCH(Data!$DN387,'Data_Price '!$AT$2:$AT$1266,0))</f>
        <v>Powder7 Ski Shop</v>
      </c>
      <c r="DD387">
        <f>INDEX('Data_Price '!AM$2:AM$1266,MATCH(Data!$DN387,'Data_Price '!$AT$2:$AT$1266,0))</f>
        <v>599.92999999999995</v>
      </c>
      <c r="DE387" t="str">
        <f>INDEX('Data_Price '!AN$2:AN$1266,MATCH(Data!$DN387,'Data_Price '!$AT$2:$AT$1266,0))</f>
        <v>https://tinyurl.com/y88esxos</v>
      </c>
      <c r="DF387" t="str">
        <f>INDEX('Data_Price '!AO$2:AO$1266,MATCH(Data!$DN387,'Data_Price '!$AT$2:$AT$1266,0))</f>
        <v>Nordica Santa Ana 104 Free Skis - Women's 2022</v>
      </c>
      <c r="DG387" t="str">
        <f>INDEX('Data_Price '!AP$2:AP$1266,MATCH(Data!$DN387,'Data_Price '!$AT$2:$AT$1266,0))</f>
        <v>AlpineShopVT.com</v>
      </c>
      <c r="DH387">
        <f>INDEX('Data_Price '!AQ$2:AQ$1266,MATCH(Data!$DN387,'Data_Price '!$AT$2:$AT$1266,0))</f>
        <v>599.99</v>
      </c>
      <c r="DI387" t="str">
        <f>INDEX('Data_Price '!AR$2:AR$1266,MATCH(Data!$DN387,'Data_Price '!$AT$2:$AT$1266,0))</f>
        <v>https://tinyurl.com/y6vj4v7c</v>
      </c>
      <c r="DJ387" s="89" t="str">
        <f t="shared" si="217"/>
        <v>https://tinyurl.com/yaqflpgt</v>
      </c>
      <c r="DK387" s="89" t="str">
        <f t="shared" si="218"/>
        <v>https://tinyurl.com/y88esxos</v>
      </c>
      <c r="DL387" s="89" t="str">
        <f t="shared" si="219"/>
        <v>https://tinyurl.com/y6vj4v7c</v>
      </c>
      <c r="DM387" s="219" t="str">
        <f t="shared" si="220"/>
        <v>Blackops Holyshred</v>
      </c>
      <c r="DN387" s="89" t="str">
        <f t="shared" si="221"/>
        <v xml:space="preserve"> RossignolBlackops Holyshred162 Unisex</v>
      </c>
      <c r="DO387" s="221" t="s">
        <v>434</v>
      </c>
    </row>
    <row r="388" spans="1:119" ht="15.6" customHeight="1">
      <c r="B388" s="219" t="b">
        <f t="array" ref="B388">IF(OR(ISERROR(K388:P388)),FALSE,TRUE)</f>
        <v>1</v>
      </c>
      <c r="C388" s="43" t="b">
        <f>OR(BR388=Driver!$G$50,Data!BR740=Driver!$H$50)</f>
        <v>1</v>
      </c>
      <c r="D388" s="43" t="b">
        <f>OR(BV388=Driver!$G$51,BV388=Driver!$H$51)</f>
        <v>1</v>
      </c>
      <c r="E388" s="43" t="b">
        <f>AND(BX388&gt;Driver!$F$54,BX388&lt;Driver!$G$54)</f>
        <v>0</v>
      </c>
      <c r="F388" s="43" t="b">
        <f>CL388&gt;Driver!$F$56</f>
        <v>1</v>
      </c>
      <c r="G388" s="43" t="b">
        <f>AND(CB388&gt;Driver!$F$55,CB388&lt;Driver!$G$55)</f>
        <v>0</v>
      </c>
      <c r="H388" s="43" t="b">
        <f t="shared" si="185"/>
        <v>0</v>
      </c>
      <c r="I388" s="43">
        <f t="shared" si="186"/>
        <v>0</v>
      </c>
      <c r="J388" s="43" t="b">
        <f t="array" ref="J388">NOT(OR(($H$9:$H$1273=TRUE)*($I$9:$I$1273&gt;0)*($BT$9:$BT$1273=BT388)*($K$9:$K$1273&gt;K388)))</f>
        <v>1</v>
      </c>
      <c r="K388" s="72">
        <f t="shared" si="187"/>
        <v>0.80855211788054804</v>
      </c>
      <c r="L388" s="72">
        <f t="shared" si="188"/>
        <v>0.91297098633409113</v>
      </c>
      <c r="M388" s="72">
        <f t="shared" si="189"/>
        <v>0.70413324942700495</v>
      </c>
      <c r="N388" s="72">
        <f t="shared" si="190"/>
        <v>0.62404278806013647</v>
      </c>
      <c r="O388" s="72">
        <f t="shared" si="191"/>
        <v>0.62862284505582511</v>
      </c>
      <c r="P388" s="72">
        <f t="shared" si="192"/>
        <v>0.85973411516505338</v>
      </c>
      <c r="Q388" s="72"/>
      <c r="R388" s="72"/>
      <c r="S388" s="72">
        <f t="shared" si="193"/>
        <v>0.49651471880395759</v>
      </c>
      <c r="T388" s="72">
        <f t="shared" si="194"/>
        <v>0.51322244366757042</v>
      </c>
      <c r="U388" s="72">
        <f t="shared" si="195"/>
        <v>0.58350609045646262</v>
      </c>
      <c r="V388" s="72">
        <f t="shared" si="196"/>
        <v>0.53752493236459109</v>
      </c>
      <c r="W388" s="72">
        <f t="shared" si="197"/>
        <v>0.79390925679085833</v>
      </c>
      <c r="X388" s="72">
        <f t="shared" si="198"/>
        <v>8.70290136659089E-2</v>
      </c>
      <c r="Y388" s="72">
        <f t="shared" si="199"/>
        <v>0.295866750572995</v>
      </c>
      <c r="Z388" s="72">
        <f t="shared" si="200"/>
        <v>0.37595721193986353</v>
      </c>
      <c r="AA388" s="72">
        <f t="shared" si="201"/>
        <v>0.37137715494417489</v>
      </c>
      <c r="AB388" s="72">
        <f t="shared" si="202"/>
        <v>0.14026588483494662</v>
      </c>
      <c r="AC388" s="72"/>
      <c r="AD388" s="72"/>
      <c r="AE388" s="72">
        <f t="shared" si="203"/>
        <v>0.50348528119604241</v>
      </c>
      <c r="AF388" s="72">
        <f t="shared" si="204"/>
        <v>0.48677755633242958</v>
      </c>
      <c r="AG388" s="72">
        <f t="shared" si="205"/>
        <v>0.41649390954353738</v>
      </c>
      <c r="AH388" s="72">
        <f t="shared" si="206"/>
        <v>0.46247506763540891</v>
      </c>
      <c r="AI388" s="72">
        <f t="shared" si="207"/>
        <v>0.20609074320914161</v>
      </c>
      <c r="AJ388" s="72">
        <f>(AV388-Driver!$K$179)/(Driver!$L$179-Driver!$K$179)</f>
        <v>0.16719039561679153</v>
      </c>
      <c r="AK388" s="72">
        <f>(AW388-Driver!$K$180)/(Driver!$L$180-Driver!$K$180)</f>
        <v>0.40502277779420287</v>
      </c>
      <c r="AL388" s="72">
        <f>(AX388-Driver!$K$181)/(Driver!$L$181-Driver!$K$181)</f>
        <v>0.47764497565294373</v>
      </c>
      <c r="AM388" s="72">
        <f>(AY388-Driver!$K$182)/(Driver!$L$182-Driver!$K$182)</f>
        <v>7.60078661528715E-2</v>
      </c>
      <c r="AN388" s="72">
        <f>(AZ388-Driver!$K$183)/(Driver!$L$183-Driver!$K$183)</f>
        <v>0.39448529411764705</v>
      </c>
      <c r="AO388" s="72"/>
      <c r="AP388" s="72"/>
      <c r="AQ388" s="72">
        <f>(BC388-Driver!$K$188)/(Driver!$L$188-Driver!$K$188)</f>
        <v>0.11651471880395753</v>
      </c>
      <c r="AR388" s="72">
        <f>MIN((BD388-Driver!$K$189)/(Driver!$L$189-Driver!$K$189),100%)</f>
        <v>6.322244366757046E-2</v>
      </c>
      <c r="AS388" s="72">
        <f>(BE388-Driver!$K$190)/(Driver!$L$190-Driver!$K$190)</f>
        <v>9.3506090456462632E-2</v>
      </c>
      <c r="AT388" s="72">
        <f>(BF388-Driver!$K$191)/(Driver!$L$191-Driver!$K$191)</f>
        <v>4.7524932364591072E-2</v>
      </c>
      <c r="AU388" s="72">
        <f>(BG388-Driver!$K$192)/(Driver!$L$192-Driver!$K$192)</f>
        <v>4.3909256790858386E-2</v>
      </c>
      <c r="AV388" s="70">
        <f t="shared" si="208"/>
        <v>3.5188576855243521</v>
      </c>
      <c r="AW388" s="70">
        <f t="shared" si="209"/>
        <v>41.344951184404238</v>
      </c>
      <c r="AX388" s="70">
        <f t="shared" si="210"/>
        <v>5.2988047808764938</v>
      </c>
      <c r="AY388" s="70">
        <f>IFERROR(Driver!$K$19/Data!BH388/Data!BI388*Data!BK388*Data!BL388,"")</f>
        <v>9.3056306729528068E-2</v>
      </c>
      <c r="AZ388" s="70">
        <f t="shared" si="211"/>
        <v>35.953090096798213</v>
      </c>
      <c r="BA388" s="70"/>
      <c r="BB388" s="70"/>
      <c r="BC388" s="70">
        <f t="shared" si="212"/>
        <v>60.43699464079684</v>
      </c>
      <c r="BD388" s="70">
        <f t="shared" si="213"/>
        <v>7.3158971251363152</v>
      </c>
      <c r="BE388" s="70">
        <f t="shared" si="214"/>
        <v>9.366779876690165E-2</v>
      </c>
      <c r="BF388" s="70">
        <f t="shared" si="215"/>
        <v>5.3676072290343217</v>
      </c>
      <c r="BG388" s="70">
        <f t="shared" si="216"/>
        <v>0.16626845728779782</v>
      </c>
      <c r="BH388" s="67">
        <f>MAX((CE388-Driver!$F$200)/(Driver!$G$200-Driver!$F$200)*$BI$1,1)</f>
        <v>5.2988047808764938</v>
      </c>
      <c r="BI388" s="67">
        <f>MAX($BI$1*(BY388-Driver!$F$201)/(Driver!$G$201-Driver!$F$201),1)</f>
        <v>7.0253164556962027</v>
      </c>
      <c r="BJ388" s="67">
        <f>(CB388-Driver!$F$206)/(Driver!$G$206-Driver!$F$206)*$BI$1</f>
        <v>3.9682539682539679</v>
      </c>
      <c r="BK388" s="67">
        <f>(CD388-Driver!$F$203)/(Driver!$G$203-Driver!$F$203)*$BI$1</f>
        <v>3.3486238532110093</v>
      </c>
      <c r="BL388" s="67">
        <f>MAX((CR388-Driver!$F$202)/(Driver!$G$202-Driver!$F$202)*$BI$1,1)</f>
        <v>5.1724137931034484</v>
      </c>
      <c r="BM388" s="67">
        <f>MAX((CH388-Driver!$F$204)/(Driver!$G$204-Driver!$F$204)*$BI$1,1)</f>
        <v>3.5470085470085473</v>
      </c>
      <c r="BN388" s="67">
        <f>(CI388-Driver!$F$205)/(Driver!$G$205-Driver!$F$205)*$BI$1</f>
        <v>5.117647058823529</v>
      </c>
      <c r="BO388" s="67">
        <f>(CK388-Driver!$F$207)/(Driver!$G$207-Driver!$F$207)*$BI$1</f>
        <v>2.264736297828335</v>
      </c>
      <c r="BP388" s="67">
        <f>(CM388-Driver!$F$208)/(Driver!$G$208-Driver!$F$208)*$BI$1</f>
        <v>2</v>
      </c>
      <c r="BQ388" s="67">
        <f>(CL388-Driver!$F$209)/(Driver!$G$209-Driver!$F$209)*$BI$1</f>
        <v>3.125</v>
      </c>
      <c r="BR388" s="28" t="s">
        <v>155</v>
      </c>
      <c r="BS388" s="8" t="s">
        <v>262</v>
      </c>
      <c r="BT388" s="9" t="s">
        <v>474</v>
      </c>
      <c r="BU388" s="10">
        <v>170</v>
      </c>
      <c r="BV388" s="9" t="s">
        <v>158</v>
      </c>
      <c r="BW388" s="10">
        <v>170</v>
      </c>
      <c r="BX388" s="10">
        <v>169.9</v>
      </c>
      <c r="BY388" s="10">
        <v>119</v>
      </c>
      <c r="BZ388" s="10">
        <v>146</v>
      </c>
      <c r="CA388" s="10">
        <v>127</v>
      </c>
      <c r="CB388" s="10">
        <v>89</v>
      </c>
      <c r="CC388" s="10">
        <v>113</v>
      </c>
      <c r="CD388" s="10">
        <v>16.7</v>
      </c>
      <c r="CE388" s="10">
        <v>1831</v>
      </c>
      <c r="CF388" s="10">
        <v>0.94</v>
      </c>
      <c r="CG388" s="10">
        <v>1723</v>
      </c>
      <c r="CH388" s="10">
        <v>184</v>
      </c>
      <c r="CI388" s="10">
        <v>120</v>
      </c>
      <c r="CJ388" s="10">
        <v>43</v>
      </c>
      <c r="CK388" s="10">
        <v>329</v>
      </c>
      <c r="CL388" s="10">
        <v>20</v>
      </c>
      <c r="CM388" s="10">
        <v>180</v>
      </c>
      <c r="CN388" s="10">
        <v>0.46899999999999997</v>
      </c>
      <c r="CO388" s="10">
        <v>139</v>
      </c>
      <c r="CP388" s="10">
        <v>98</v>
      </c>
      <c r="CQ388" s="10">
        <v>190</v>
      </c>
      <c r="CR388" s="10">
        <v>4</v>
      </c>
      <c r="CS388" s="10">
        <v>10.9</v>
      </c>
      <c r="CT388" s="9" t="s">
        <v>188</v>
      </c>
      <c r="CU388" s="10"/>
      <c r="CV388" s="10"/>
      <c r="CW388" s="10"/>
      <c r="CX388" t="e">
        <f>INDEX('Data_Price '!AG$2:AG$1266,MATCH(Data!$DN388,'Data_Price '!$AT$2:$AT$1266,0))</f>
        <v>#N/A</v>
      </c>
      <c r="CY388" t="e">
        <f>INDEX('Data_Price '!AH$2:AH$1266,MATCH(Data!$DN388,'Data_Price '!$AT$2:$AT$1266,0))</f>
        <v>#N/A</v>
      </c>
      <c r="CZ388" t="e">
        <f>INDEX('Data_Price '!AI$2:AI$1266,MATCH(Data!$DN388,'Data_Price '!$AT$2:$AT$1266,0))</f>
        <v>#N/A</v>
      </c>
      <c r="DA388" t="e">
        <f>INDEX('Data_Price '!AJ$2:AJ$1266,MATCH(Data!$DN388,'Data_Price '!$AT$2:$AT$1266,0))</f>
        <v>#N/A</v>
      </c>
      <c r="DB388" t="e">
        <f>INDEX('Data_Price '!AK$2:AK$1266,MATCH(Data!$DN388,'Data_Price '!$AT$2:$AT$1266,0))</f>
        <v>#N/A</v>
      </c>
      <c r="DC388" t="e">
        <f>INDEX('Data_Price '!AL$2:AL$1266,MATCH(Data!$DN388,'Data_Price '!$AT$2:$AT$1266,0))</f>
        <v>#N/A</v>
      </c>
      <c r="DD388" t="e">
        <f>INDEX('Data_Price '!AM$2:AM$1266,MATCH(Data!$DN388,'Data_Price '!$AT$2:$AT$1266,0))</f>
        <v>#N/A</v>
      </c>
      <c r="DE388" t="e">
        <f>INDEX('Data_Price '!AN$2:AN$1266,MATCH(Data!$DN388,'Data_Price '!$AT$2:$AT$1266,0))</f>
        <v>#N/A</v>
      </c>
      <c r="DF388" t="e">
        <f>INDEX('Data_Price '!AO$2:AO$1266,MATCH(Data!$DN388,'Data_Price '!$AT$2:$AT$1266,0))</f>
        <v>#N/A</v>
      </c>
      <c r="DG388" t="e">
        <f>INDEX('Data_Price '!AP$2:AP$1266,MATCH(Data!$DN388,'Data_Price '!$AT$2:$AT$1266,0))</f>
        <v>#N/A</v>
      </c>
      <c r="DH388" t="e">
        <f>INDEX('Data_Price '!AQ$2:AQ$1266,MATCH(Data!$DN388,'Data_Price '!$AT$2:$AT$1266,0))</f>
        <v>#N/A</v>
      </c>
      <c r="DI388" t="e">
        <f>INDEX('Data_Price '!AR$2:AR$1266,MATCH(Data!$DN388,'Data_Price '!$AT$2:$AT$1266,0))</f>
        <v>#N/A</v>
      </c>
      <c r="DJ388" s="89" t="e">
        <f t="shared" si="217"/>
        <v>#N/A</v>
      </c>
      <c r="DK388" s="89" t="e">
        <f t="shared" si="218"/>
        <v>#N/A</v>
      </c>
      <c r="DL388" s="89" t="e">
        <f t="shared" si="219"/>
        <v>#N/A</v>
      </c>
      <c r="DM388" s="219" t="str">
        <f t="shared" si="220"/>
        <v>Mindbender 90 Ti</v>
      </c>
      <c r="DN388" s="89" t="str">
        <f t="shared" si="221"/>
        <v xml:space="preserve"> K2Mindbender 90 Ti170 Unisex</v>
      </c>
      <c r="DO388" s="221"/>
    </row>
    <row r="389" spans="1:119" ht="15.6" customHeight="1">
      <c r="B389" s="219" t="b">
        <f t="array" ref="B389">IF(OR(ISERROR(K389:P389)),FALSE,TRUE)</f>
        <v>1</v>
      </c>
      <c r="C389" s="43" t="b">
        <f>OR(BR389=Driver!$G$50,Data!BR922=Driver!$H$50)</f>
        <v>1</v>
      </c>
      <c r="D389" s="43" t="b">
        <f>OR(BV389=Driver!$G$51,BV389=Driver!$H$51)</f>
        <v>0</v>
      </c>
      <c r="E389" s="43" t="b">
        <f>AND(BX389&gt;Driver!$F$54,BX389&lt;Driver!$G$54)</f>
        <v>1</v>
      </c>
      <c r="F389" s="43" t="b">
        <f>CL389&gt;Driver!$F$56</f>
        <v>1</v>
      </c>
      <c r="G389" s="43" t="b">
        <f>AND(CB389&gt;Driver!$F$55,CB389&lt;Driver!$G$55)</f>
        <v>0</v>
      </c>
      <c r="H389" s="43" t="b">
        <f t="shared" si="185"/>
        <v>0</v>
      </c>
      <c r="I389" s="43">
        <f t="shared" si="186"/>
        <v>0</v>
      </c>
      <c r="J389" s="43" t="b">
        <f t="array" ref="J389">NOT(OR(($H$9:$H$1273=TRUE)*($I$9:$I$1273&gt;0)*($BT$9:$BT$1273=BT389)*($K$9:$K$1273&gt;K389)))</f>
        <v>1</v>
      </c>
      <c r="K389" s="72">
        <f t="shared" si="187"/>
        <v>0.83064806757880172</v>
      </c>
      <c r="L389" s="72">
        <f t="shared" si="188"/>
        <v>0.87921061247219445</v>
      </c>
      <c r="M389" s="72">
        <f t="shared" si="189"/>
        <v>0.7820855226854091</v>
      </c>
      <c r="N389" s="72">
        <f t="shared" si="190"/>
        <v>0.73597600756307702</v>
      </c>
      <c r="O389" s="72">
        <f t="shared" si="191"/>
        <v>0.6350065057235631</v>
      </c>
      <c r="P389" s="72">
        <f t="shared" si="192"/>
        <v>0.97527405476958717</v>
      </c>
      <c r="Q389" s="72"/>
      <c r="R389" s="72"/>
      <c r="S389" s="72">
        <f t="shared" si="193"/>
        <v>0.42937120158968756</v>
      </c>
      <c r="T389" s="72">
        <f t="shared" si="194"/>
        <v>0.53898671451739832</v>
      </c>
      <c r="U389" s="72">
        <f t="shared" si="195"/>
        <v>0.79317048966306913</v>
      </c>
      <c r="V389" s="72">
        <f t="shared" si="196"/>
        <v>0.53143677109435594</v>
      </c>
      <c r="W389" s="72">
        <f t="shared" si="197"/>
        <v>0.78437500000000004</v>
      </c>
      <c r="X389" s="72">
        <f t="shared" si="198"/>
        <v>0.12078938752780558</v>
      </c>
      <c r="Y389" s="72">
        <f t="shared" si="199"/>
        <v>0.2179144773145909</v>
      </c>
      <c r="Z389" s="72">
        <f t="shared" si="200"/>
        <v>0.26402399243692298</v>
      </c>
      <c r="AA389" s="72">
        <f t="shared" si="201"/>
        <v>0.3649934942764369</v>
      </c>
      <c r="AB389" s="72">
        <f t="shared" si="202"/>
        <v>2.4725945230412855E-2</v>
      </c>
      <c r="AC389" s="72"/>
      <c r="AD389" s="72"/>
      <c r="AE389" s="72">
        <f t="shared" si="203"/>
        <v>0.57062879841031244</v>
      </c>
      <c r="AF389" s="72">
        <f t="shared" si="204"/>
        <v>0.46101328548260162</v>
      </c>
      <c r="AG389" s="72">
        <f t="shared" si="205"/>
        <v>0.20682951033693087</v>
      </c>
      <c r="AH389" s="72">
        <f t="shared" si="206"/>
        <v>0.46856322890564411</v>
      </c>
      <c r="AI389" s="72">
        <f t="shared" si="207"/>
        <v>0.21562500000000001</v>
      </c>
      <c r="AJ389" s="72">
        <f>(AV389-Driver!$K$179)/(Driver!$L$179-Driver!$K$179)</f>
        <v>0.13343002175489485</v>
      </c>
      <c r="AK389" s="72">
        <f>(AW389-Driver!$K$180)/(Driver!$L$180-Driver!$K$180)</f>
        <v>0.24047320884019543</v>
      </c>
      <c r="AL389" s="72">
        <f>(AX389-Driver!$K$181)/(Driver!$L$181-Driver!$K$181)</f>
        <v>0.36571175615000318</v>
      </c>
      <c r="AM389" s="72">
        <f>(AY389-Driver!$K$182)/(Driver!$L$182-Driver!$K$182)</f>
        <v>8.2391526820609434E-2</v>
      </c>
      <c r="AN389" s="72">
        <f>(AZ389-Driver!$K$183)/(Driver!$L$183-Driver!$K$183)</f>
        <v>0.22949346405228757</v>
      </c>
      <c r="AO389" s="72"/>
      <c r="AP389" s="72"/>
      <c r="AQ389" s="72">
        <f>(BC389-Driver!$K$188)/(Driver!$L$188-Driver!$K$188)</f>
        <v>4.9371201589687545E-2</v>
      </c>
      <c r="AR389" s="72">
        <f>MIN((BD389-Driver!$K$189)/(Driver!$L$189-Driver!$K$189),100%)</f>
        <v>8.8986714517398424E-2</v>
      </c>
      <c r="AS389" s="72">
        <f>(BE389-Driver!$K$190)/(Driver!$L$190-Driver!$K$190)</f>
        <v>0.30317048966306914</v>
      </c>
      <c r="AT389" s="72">
        <f>(BF389-Driver!$K$191)/(Driver!$L$191-Driver!$K$191)</f>
        <v>4.1436771094355895E-2</v>
      </c>
      <c r="AU389" s="72">
        <f>(BG389-Driver!$K$192)/(Driver!$L$192-Driver!$K$192)</f>
        <v>3.4374999999999982E-2</v>
      </c>
      <c r="AV389" s="70">
        <f t="shared" si="208"/>
        <v>2.8083028083028085</v>
      </c>
      <c r="AW389" s="70">
        <f t="shared" si="209"/>
        <v>25.308137632329409</v>
      </c>
      <c r="AX389" s="70">
        <f t="shared" si="210"/>
        <v>4.2914058053500286</v>
      </c>
      <c r="AY389" s="70">
        <f>IFERROR(Driver!$K$19/Data!BH389/Data!BI389*Data!BK389*Data!BL389,"")</f>
        <v>0.10087181208734822</v>
      </c>
      <c r="AZ389" s="70">
        <f t="shared" si="211"/>
        <v>20.915860014892033</v>
      </c>
      <c r="BA389" s="70"/>
      <c r="BB389" s="70"/>
      <c r="BC389" s="70">
        <f t="shared" si="212"/>
        <v>25.609185487596076</v>
      </c>
      <c r="BD389" s="70">
        <f t="shared" si="213"/>
        <v>9.5959894437594908</v>
      </c>
      <c r="BE389" s="70">
        <f t="shared" si="214"/>
        <v>0.30329479620456307</v>
      </c>
      <c r="BF389" s="70">
        <f t="shared" si="215"/>
        <v>4.6799921853148945</v>
      </c>
      <c r="BG389" s="70">
        <f t="shared" si="216"/>
        <v>0.1301656788793103</v>
      </c>
      <c r="BH389" s="67">
        <f>MAX((CE389-Driver!$F$200)/(Driver!$G$200-Driver!$F$200)*$BI$1,1)</f>
        <v>4.2914058053500286</v>
      </c>
      <c r="BI389" s="67">
        <f>MAX($BI$1*(BY389-Driver!$F$201)/(Driver!$G$201-Driver!$F$201),1)</f>
        <v>6.7088607594936711</v>
      </c>
      <c r="BJ389" s="67">
        <f>(CB389-Driver!$F$206)/(Driver!$G$206-Driver!$F$206)*$BI$1</f>
        <v>3.6507936507936507</v>
      </c>
      <c r="BK389" s="67">
        <f>(CD389-Driver!$F$203)/(Driver!$G$203-Driver!$F$203)*$BI$1</f>
        <v>2.3394495412844036</v>
      </c>
      <c r="BL389" s="67">
        <f>MAX((CR389-Driver!$F$202)/(Driver!$G$202-Driver!$F$202)*$BI$1,1)</f>
        <v>6.2068965517241379</v>
      </c>
      <c r="BM389" s="67">
        <f>MAX((CH389-Driver!$F$204)/(Driver!$G$204-Driver!$F$204)*$BI$1,1)</f>
        <v>3.0769230769230771</v>
      </c>
      <c r="BN389" s="67">
        <f>(CI389-Driver!$F$205)/(Driver!$G$205-Driver!$F$205)*$BI$1</f>
        <v>3.1176470588235294</v>
      </c>
      <c r="BO389" s="67">
        <f>(CK389-Driver!$F$207)/(Driver!$G$207-Driver!$F$207)*$BI$1</f>
        <v>1.5511892450879008</v>
      </c>
      <c r="BP389" s="67">
        <f>(CM389-Driver!$F$208)/(Driver!$G$208-Driver!$F$208)*$BI$1</f>
        <v>1.9333333333333333</v>
      </c>
      <c r="BQ389" s="67">
        <f>(CL389-Driver!$F$209)/(Driver!$G$209-Driver!$F$209)*$BI$1</f>
        <v>1.71875</v>
      </c>
      <c r="BR389" s="28" t="s">
        <v>155</v>
      </c>
      <c r="BS389" s="8" t="s">
        <v>332</v>
      </c>
      <c r="BT389" s="9" t="s">
        <v>563</v>
      </c>
      <c r="BU389" s="10">
        <v>158</v>
      </c>
      <c r="BV389" s="9" t="s">
        <v>163</v>
      </c>
      <c r="BW389" s="10">
        <v>158</v>
      </c>
      <c r="BX389" s="10">
        <v>157.4</v>
      </c>
      <c r="BY389" s="10">
        <v>114</v>
      </c>
      <c r="BZ389" s="10">
        <v>129</v>
      </c>
      <c r="CA389" s="10">
        <v>119</v>
      </c>
      <c r="CB389" s="10">
        <v>87</v>
      </c>
      <c r="CC389" s="10">
        <v>106</v>
      </c>
      <c r="CD389" s="10">
        <v>14.5</v>
      </c>
      <c r="CE389" s="10">
        <v>1654</v>
      </c>
      <c r="CF389" s="10">
        <v>0.93</v>
      </c>
      <c r="CG389" s="10">
        <v>1540</v>
      </c>
      <c r="CH389" s="10">
        <v>173</v>
      </c>
      <c r="CI389" s="10">
        <v>86</v>
      </c>
      <c r="CJ389" s="10">
        <v>60</v>
      </c>
      <c r="CK389" s="10">
        <v>260</v>
      </c>
      <c r="CL389" s="10">
        <v>11</v>
      </c>
      <c r="CM389" s="10">
        <v>174</v>
      </c>
      <c r="CN389" s="10">
        <v>0.183</v>
      </c>
      <c r="CO389" s="10">
        <v>128</v>
      </c>
      <c r="CP389" s="10">
        <v>154</v>
      </c>
      <c r="CQ389" s="10">
        <v>132</v>
      </c>
      <c r="CR389" s="10">
        <v>7</v>
      </c>
      <c r="CS389" s="10">
        <v>8.3000000000000007</v>
      </c>
      <c r="CT389" s="9" t="s">
        <v>188</v>
      </c>
      <c r="CU389" s="10"/>
      <c r="CV389" s="10"/>
      <c r="CW389" s="10"/>
      <c r="CX389" t="str">
        <f>INDEX('Data_Price '!AG$2:AG$1266,MATCH(Data!$DN389,'Data_Price '!$AT$2:$AT$1266,0))</f>
        <v>Nordica Enforcer 88 / Santa Ana 93 Ski Skins - 2022 158 cm</v>
      </c>
      <c r="CY389" t="str">
        <f>INDEX('Data_Price '!AH$2:AH$1266,MATCH(Data!$DN389,'Data_Price '!$AT$2:$AT$1266,0))</f>
        <v>Arlberg Ski &amp; Surf Shops</v>
      </c>
      <c r="CZ389">
        <f>INDEX('Data_Price '!AI$2:AI$1266,MATCH(Data!$DN389,'Data_Price '!$AT$2:$AT$1266,0))</f>
        <v>209.95</v>
      </c>
      <c r="DA389" t="str">
        <f>INDEX('Data_Price '!AJ$2:AJ$1266,MATCH(Data!$DN389,'Data_Price '!$AT$2:$AT$1266,0))</f>
        <v>https://tinyurl.com/y86z2c9n</v>
      </c>
      <c r="DB389" t="str">
        <f>INDEX('Data_Price '!AK$2:AK$1266,MATCH(Data!$DN389,'Data_Price '!$AT$2:$AT$1266,0))</f>
        <v>Nordica 2022 Santa Ana 88 Women's Skis</v>
      </c>
      <c r="DC389" t="str">
        <f>INDEX('Data_Price '!AL$2:AL$1266,MATCH(Data!$DN389,'Data_Price '!$AT$2:$AT$1266,0))</f>
        <v>AlpineShopVT.com</v>
      </c>
      <c r="DD389">
        <f>INDEX('Data_Price '!AM$2:AM$1266,MATCH(Data!$DN389,'Data_Price '!$AT$2:$AT$1266,0))</f>
        <v>479.99</v>
      </c>
      <c r="DE389" t="str">
        <f>INDEX('Data_Price '!AN$2:AN$1266,MATCH(Data!$DN389,'Data_Price '!$AT$2:$AT$1266,0))</f>
        <v>https://tinyurl.com/y7ulh77l</v>
      </c>
      <c r="DF389" t="str">
        <f>INDEX('Data_Price '!AO$2:AO$1266,MATCH(Data!$DN389,'Data_Price '!$AT$2:$AT$1266,0))</f>
        <v>Nordica Santa Ana 88 Womens Skis 2022 158CM</v>
      </c>
      <c r="DG389" t="str">
        <f>INDEX('Data_Price '!AP$2:AP$1266,MATCH(Data!$DN389,'Data_Price '!$AT$2:$AT$1266,0))</f>
        <v>Erik's Bike, Board and Ski</v>
      </c>
      <c r="DH389">
        <f>INDEX('Data_Price '!AQ$2:AQ$1266,MATCH(Data!$DN389,'Data_Price '!$AT$2:$AT$1266,0))</f>
        <v>559.99</v>
      </c>
      <c r="DI389" t="str">
        <f>INDEX('Data_Price '!AR$2:AR$1266,MATCH(Data!$DN389,'Data_Price '!$AT$2:$AT$1266,0))</f>
        <v>https://tinyurl.com/yal88xvw</v>
      </c>
      <c r="DJ389" s="89" t="str">
        <f t="shared" si="217"/>
        <v>https://tinyurl.com/y86z2c9n</v>
      </c>
      <c r="DK389" s="89" t="str">
        <f t="shared" si="218"/>
        <v>https://tinyurl.com/y7ulh77l</v>
      </c>
      <c r="DL389" s="89" t="str">
        <f t="shared" si="219"/>
        <v>https://tinyurl.com/yal88xvw</v>
      </c>
      <c r="DM389" s="219" t="str">
        <f t="shared" si="220"/>
        <v>Santa Ana 88</v>
      </c>
      <c r="DN389" s="89" t="str">
        <f t="shared" si="221"/>
        <v xml:space="preserve"> NordicaSanta Ana 88158 Women's</v>
      </c>
      <c r="DO389" s="221" t="s">
        <v>564</v>
      </c>
    </row>
    <row r="390" spans="1:119" ht="15.6" customHeight="1">
      <c r="B390" s="219" t="b">
        <f t="array" ref="B390">IF(OR(ISERROR(K390:P390)),FALSE,TRUE)</f>
        <v>1</v>
      </c>
      <c r="C390" s="43" t="b">
        <f>OR(BR390=Driver!$G$50,Data!BR368=Driver!$H$50)</f>
        <v>1</v>
      </c>
      <c r="D390" s="43" t="b">
        <f>OR(BV390=Driver!$G$51,BV390=Driver!$H$51)</f>
        <v>1</v>
      </c>
      <c r="E390" s="43" t="b">
        <f>AND(BX390&gt;Driver!$F$54,BX390&lt;Driver!$G$54)</f>
        <v>0</v>
      </c>
      <c r="F390" s="43" t="b">
        <f>CL390&gt;Driver!$F$56</f>
        <v>1</v>
      </c>
      <c r="G390" s="43" t="b">
        <f>AND(CB390&gt;Driver!$F$55,CB390&lt;Driver!$G$55)</f>
        <v>0</v>
      </c>
      <c r="H390" s="43" t="b">
        <f t="shared" si="185"/>
        <v>0</v>
      </c>
      <c r="I390" s="43">
        <f t="shared" si="186"/>
        <v>0</v>
      </c>
      <c r="J390" s="43" t="b">
        <f t="array" ref="J390">NOT(OR(($H$9:$H$1273=TRUE)*($I$9:$I$1273&gt;0)*($BT$9:$BT$1273=BT390)*($K$9:$K$1273&gt;K390)))</f>
        <v>1</v>
      </c>
      <c r="K390" s="72">
        <f t="shared" si="187"/>
        <v>0.95167606546781136</v>
      </c>
      <c r="L390" s="72">
        <f t="shared" si="188"/>
        <v>0.98298951828155701</v>
      </c>
      <c r="M390" s="72">
        <f t="shared" si="189"/>
        <v>0.92036261265406571</v>
      </c>
      <c r="N390" s="72">
        <f t="shared" si="190"/>
        <v>0.96110866960128138</v>
      </c>
      <c r="O390" s="72">
        <f t="shared" si="191"/>
        <v>0.91218132770566607</v>
      </c>
      <c r="P390" s="72">
        <f t="shared" si="192"/>
        <v>0.88779784065524958</v>
      </c>
      <c r="Q390" s="72"/>
      <c r="R390" s="72"/>
      <c r="S390" s="72">
        <f t="shared" si="193"/>
        <v>0.58755642350996706</v>
      </c>
      <c r="T390" s="72">
        <f t="shared" si="194"/>
        <v>0.48935961958168195</v>
      </c>
      <c r="U390" s="72">
        <f t="shared" si="195"/>
        <v>0.51</v>
      </c>
      <c r="V390" s="72">
        <f t="shared" si="196"/>
        <v>0.49812198579564171</v>
      </c>
      <c r="W390" s="72">
        <f t="shared" si="197"/>
        <v>0.78017490118577082</v>
      </c>
      <c r="X390" s="72">
        <f t="shared" si="198"/>
        <v>1.7010481718442966E-2</v>
      </c>
      <c r="Y390" s="72">
        <f t="shared" si="199"/>
        <v>7.9637387345934299E-2</v>
      </c>
      <c r="Z390" s="72">
        <f t="shared" si="200"/>
        <v>3.8891330398718574E-2</v>
      </c>
      <c r="AA390" s="72">
        <f t="shared" si="201"/>
        <v>8.7818672294333877E-2</v>
      </c>
      <c r="AB390" s="72">
        <f t="shared" si="202"/>
        <v>0.11220215934475047</v>
      </c>
      <c r="AC390" s="72"/>
      <c r="AD390" s="72"/>
      <c r="AE390" s="72">
        <f t="shared" si="203"/>
        <v>0.41244357649003294</v>
      </c>
      <c r="AF390" s="72">
        <f t="shared" si="204"/>
        <v>0.51064038041831805</v>
      </c>
      <c r="AG390" s="72">
        <f t="shared" si="205"/>
        <v>0.49</v>
      </c>
      <c r="AH390" s="72">
        <f t="shared" si="206"/>
        <v>0.50187801420435829</v>
      </c>
      <c r="AI390" s="72">
        <f t="shared" si="207"/>
        <v>0.21982509881422924</v>
      </c>
      <c r="AJ390" s="72">
        <f>(AV390-Driver!$K$179)/(Driver!$L$179-Driver!$K$179)</f>
        <v>0.23720892756425746</v>
      </c>
      <c r="AK390" s="72">
        <f>(AW390-Driver!$K$180)/(Driver!$L$180-Driver!$K$180)</f>
        <v>0.34403106021639879</v>
      </c>
      <c r="AL390" s="72">
        <f>(AX390-Driver!$K$181)/(Driver!$L$181-Driver!$K$181)</f>
        <v>6.2796433314361605E-2</v>
      </c>
      <c r="AM390" s="72">
        <f>(AY390-Driver!$K$182)/(Driver!$L$182-Driver!$K$182)</f>
        <v>0.35956634880271249</v>
      </c>
      <c r="AN390" s="72">
        <f>(AZ390-Driver!$K$183)/(Driver!$L$183-Driver!$K$183)</f>
        <v>0.3664215686274509</v>
      </c>
      <c r="AO390" s="72"/>
      <c r="AP390" s="72"/>
      <c r="AQ390" s="72">
        <f>(BC390-Driver!$K$188)/(Driver!$L$188-Driver!$K$188)</f>
        <v>0.20755642350996703</v>
      </c>
      <c r="AR390" s="72">
        <f>MIN((BD390-Driver!$K$189)/(Driver!$L$189-Driver!$K$189),100%)</f>
        <v>3.9359619581681951E-2</v>
      </c>
      <c r="AS390" s="72">
        <f>(BE390-Driver!$K$190)/(Driver!$L$190-Driver!$K$190)</f>
        <v>1</v>
      </c>
      <c r="AT390" s="72">
        <f>(BF390-Driver!$K$191)/(Driver!$L$191-Driver!$K$191)</f>
        <v>8.1219857956417556E-3</v>
      </c>
      <c r="AU390" s="72">
        <f>(BG390-Driver!$K$192)/(Driver!$L$192-Driver!$K$192)</f>
        <v>3.0174901185770753E-2</v>
      </c>
      <c r="AV390" s="70">
        <f t="shared" si="208"/>
        <v>4.9925383258716582</v>
      </c>
      <c r="AW390" s="70">
        <f t="shared" si="209"/>
        <v>35.400767864851225</v>
      </c>
      <c r="AX390" s="70">
        <f t="shared" si="210"/>
        <v>1.5651678998292544</v>
      </c>
      <c r="AY390" s="70">
        <f>IFERROR(Driver!$K$19/Data!BH390/Data!BI390*Data!BK390*Data!BL390,"")</f>
        <v>0.44021649517834288</v>
      </c>
      <c r="AZ390" s="70">
        <f t="shared" si="211"/>
        <v>33.39538346984363</v>
      </c>
      <c r="BA390" s="70"/>
      <c r="BB390" s="70"/>
      <c r="BC390" s="70">
        <f t="shared" si="212"/>
        <v>107.66095978346699</v>
      </c>
      <c r="BD390" s="70">
        <f t="shared" si="213"/>
        <v>5.2040794759574798</v>
      </c>
      <c r="BE390" s="70">
        <f t="shared" si="214"/>
        <v>1</v>
      </c>
      <c r="BF390" s="70">
        <f t="shared" si="215"/>
        <v>0.91732123543814081</v>
      </c>
      <c r="BG390" s="70">
        <f t="shared" si="216"/>
        <v>0.11426142539525694</v>
      </c>
      <c r="BH390" s="67">
        <f>MAX((CE390-Driver!$F$200)/(Driver!$G$200-Driver!$F$200)*$BI$1,1)</f>
        <v>1.5651678998292544</v>
      </c>
      <c r="BI390" s="67">
        <f>MAX($BI$1*(BY390-Driver!$F$201)/(Driver!$G$201-Driver!$F$201),1)</f>
        <v>8.2278481012658222</v>
      </c>
      <c r="BJ390" s="67">
        <f>(CB390-Driver!$F$206)/(Driver!$G$206-Driver!$F$206)*$BI$1</f>
        <v>2.5396825396825395</v>
      </c>
      <c r="BK390" s="67">
        <f>(CD390-Driver!$F$203)/(Driver!$G$203-Driver!$F$203)*$BI$1</f>
        <v>5.1376146788990837</v>
      </c>
      <c r="BL390" s="67">
        <f>MAX((CR390-Driver!$F$202)/(Driver!$G$202-Driver!$F$202)*$BI$1,1)</f>
        <v>5.5172413793103452</v>
      </c>
      <c r="BM390" s="67">
        <f>MAX((CH390-Driver!$F$204)/(Driver!$G$204-Driver!$F$204)*$BI$1,1)</f>
        <v>7.8632478632478628</v>
      </c>
      <c r="BN390" s="67">
        <f>(CI390-Driver!$F$205)/(Driver!$G$205-Driver!$F$205)*$BI$1</f>
        <v>4.0588235294117645</v>
      </c>
      <c r="BO390" s="67">
        <f>(CK390-Driver!$F$207)/(Driver!$G$207-Driver!$F$207)*$BI$1</f>
        <v>1.7580144777662876</v>
      </c>
      <c r="BP390" s="67">
        <f>(CM390-Driver!$F$208)/(Driver!$G$208-Driver!$F$208)*$BI$1</f>
        <v>1.0555555555555556</v>
      </c>
      <c r="BQ390" s="67">
        <f>(CL390-Driver!$F$209)/(Driver!$G$209-Driver!$F$209)*$BI$1</f>
        <v>1.40625</v>
      </c>
      <c r="BR390" s="28" t="s">
        <v>155</v>
      </c>
      <c r="BS390" s="8" t="s">
        <v>329</v>
      </c>
      <c r="BT390" s="9" t="s">
        <v>570</v>
      </c>
      <c r="BU390" s="10">
        <v>178</v>
      </c>
      <c r="BV390" s="9" t="s">
        <v>158</v>
      </c>
      <c r="BW390" s="10">
        <v>178</v>
      </c>
      <c r="BX390" s="10">
        <v>175.8</v>
      </c>
      <c r="BY390" s="10">
        <v>138</v>
      </c>
      <c r="BZ390" s="10">
        <v>153</v>
      </c>
      <c r="CA390" s="10">
        <v>116</v>
      </c>
      <c r="CB390" s="10">
        <v>80</v>
      </c>
      <c r="CC390" s="10">
        <v>100</v>
      </c>
      <c r="CD390" s="10">
        <v>20.6</v>
      </c>
      <c r="CE390" s="10">
        <v>1175</v>
      </c>
      <c r="CF390" s="10">
        <v>1.35</v>
      </c>
      <c r="CG390" s="10">
        <v>1590</v>
      </c>
      <c r="CH390" s="10">
        <v>285</v>
      </c>
      <c r="CI390" s="10">
        <v>102</v>
      </c>
      <c r="CJ390" s="10">
        <v>56</v>
      </c>
      <c r="CK390" s="10">
        <v>280</v>
      </c>
      <c r="CL390" s="10">
        <v>9</v>
      </c>
      <c r="CM390" s="10">
        <v>95</v>
      </c>
      <c r="CN390" s="10">
        <v>0.16300000000000001</v>
      </c>
      <c r="CO390" s="10">
        <v>136</v>
      </c>
      <c r="CP390" s="10">
        <v>90</v>
      </c>
      <c r="CQ390" s="10">
        <v>144</v>
      </c>
      <c r="CR390" s="10">
        <v>5</v>
      </c>
      <c r="CS390" s="10">
        <v>12.3</v>
      </c>
      <c r="CT390" s="9" t="s">
        <v>185</v>
      </c>
      <c r="CU390" s="9" t="s">
        <v>198</v>
      </c>
      <c r="CV390" s="10"/>
      <c r="CW390" s="10"/>
      <c r="CX390" t="str">
        <f>INDEX('Data_Price '!AG$2:AG$1266,MATCH(Data!$DN390,'Data_Price '!$AT$2:$AT$1266,0))</f>
        <v>Dynafit Blacklight 95 Ski - 178cm</v>
      </c>
      <c r="CY390" t="str">
        <f>INDEX('Data_Price '!AH$2:AH$1266,MATCH(Data!$DN390,'Data_Price '!$AT$2:$AT$1266,0))</f>
        <v>Snowcountry.eu</v>
      </c>
      <c r="CZ390">
        <f>INDEX('Data_Price '!AI$2:AI$1266,MATCH(Data!$DN390,'Data_Price '!$AT$2:$AT$1266,0))</f>
        <v>552.30999999999995</v>
      </c>
      <c r="DA390" t="str">
        <f>INDEX('Data_Price '!AJ$2:AJ$1266,MATCH(Data!$DN390,'Data_Price '!$AT$2:$AT$1266,0))</f>
        <v>https://tinyurl.com/ybchaewe</v>
      </c>
      <c r="DB390" t="str">
        <f>INDEX('Data_Price '!AK$2:AK$1266,MATCH(Data!$DN390,'Data_Price '!$AT$2:$AT$1266,0))</f>
        <v>Dynafit Blacklight 88 BLACK/ BLUE / 178</v>
      </c>
      <c r="DC390" t="str">
        <f>INDEX('Data_Price '!AL$2:AL$1266,MATCH(Data!$DN390,'Data_Price '!$AT$2:$AT$1266,0))</f>
        <v>Neptune Mountaineering</v>
      </c>
      <c r="DD390">
        <f>INDEX('Data_Price '!AM$2:AM$1266,MATCH(Data!$DN390,'Data_Price '!$AT$2:$AT$1266,0))</f>
        <v>559.96</v>
      </c>
      <c r="DE390" t="str">
        <f>INDEX('Data_Price '!AN$2:AN$1266,MATCH(Data!$DN390,'Data_Price '!$AT$2:$AT$1266,0))</f>
        <v>https://tinyurl.com/y79u5ab6</v>
      </c>
      <c r="DF390" t="str">
        <f>INDEX('Data_Price '!AO$2:AO$1266,MATCH(Data!$DN390,'Data_Price '!$AT$2:$AT$1266,0))</f>
        <v>Dynafit Blacklight 95 Ski - 178cm</v>
      </c>
      <c r="DG390" t="str">
        <f>INDEX('Data_Price '!AP$2:AP$1266,MATCH(Data!$DN390,'Data_Price '!$AT$2:$AT$1266,0))</f>
        <v>Skimo &amp; SkyRun</v>
      </c>
      <c r="DH390">
        <f>INDEX('Data_Price '!AQ$2:AQ$1266,MATCH(Data!$DN390,'Data_Price '!$AT$2:$AT$1266,0))</f>
        <v>599.95000000000005</v>
      </c>
      <c r="DI390" t="str">
        <f>INDEX('Data_Price '!AR$2:AR$1266,MATCH(Data!$DN390,'Data_Price '!$AT$2:$AT$1266,0))</f>
        <v>https://tinyurl.com/yd3qncq7</v>
      </c>
      <c r="DJ390" s="89" t="str">
        <f t="shared" si="217"/>
        <v>https://tinyurl.com/ybchaewe</v>
      </c>
      <c r="DK390" s="89" t="str">
        <f t="shared" si="218"/>
        <v>https://tinyurl.com/y79u5ab6</v>
      </c>
      <c r="DL390" s="89" t="str">
        <f t="shared" si="219"/>
        <v>https://tinyurl.com/yd3qncq7</v>
      </c>
      <c r="DM390" s="219" t="str">
        <f t="shared" si="220"/>
        <v>Blacklight 80</v>
      </c>
      <c r="DN390" s="89" t="str">
        <f t="shared" si="221"/>
        <v xml:space="preserve"> DynafitBlacklight 80178 Unisex</v>
      </c>
      <c r="DO390" s="221"/>
    </row>
    <row r="391" spans="1:119" ht="15.6" customHeight="1">
      <c r="B391" s="219" t="b">
        <f t="array" ref="B391">IF(OR(ISERROR(K391:P391)),FALSE,TRUE)</f>
        <v>1</v>
      </c>
      <c r="C391" s="43" t="b">
        <f>OR(BR391=Driver!$G$50,Data!BR304=Driver!$H$50)</f>
        <v>1</v>
      </c>
      <c r="D391" s="43" t="b">
        <f>OR(BV391=Driver!$G$51,BV391=Driver!$H$51)</f>
        <v>0</v>
      </c>
      <c r="E391" s="43" t="b">
        <f>AND(BX391&gt;Driver!$F$54,BX391&lt;Driver!$G$54)</f>
        <v>0</v>
      </c>
      <c r="F391" s="43" t="b">
        <f>CL391&gt;Driver!$F$56</f>
        <v>1</v>
      </c>
      <c r="G391" s="43" t="b">
        <f>AND(CB391&gt;Driver!$F$55,CB391&lt;Driver!$G$55)</f>
        <v>0</v>
      </c>
      <c r="H391" s="43" t="b">
        <f t="shared" si="185"/>
        <v>0</v>
      </c>
      <c r="I391" s="43">
        <f t="shared" si="186"/>
        <v>0</v>
      </c>
      <c r="J391" s="43" t="b">
        <f t="array" ref="J391">NOT(OR(($H$9:$H$1273=TRUE)*($I$9:$I$1273&gt;0)*($BT$9:$BT$1273=BT391)*($K$9:$K$1273&gt;K391)))</f>
        <v>1</v>
      </c>
      <c r="K391" s="72">
        <f t="shared" si="187"/>
        <v>0.82970449726082163</v>
      </c>
      <c r="L391" s="72">
        <f t="shared" si="188"/>
        <v>0.93939915489423931</v>
      </c>
      <c r="M391" s="72">
        <f t="shared" si="189"/>
        <v>0.72000983962740395</v>
      </c>
      <c r="N391" s="72">
        <f t="shared" si="190"/>
        <v>0.55637694350186151</v>
      </c>
      <c r="O391" s="72">
        <f t="shared" si="191"/>
        <v>0.62042989812379368</v>
      </c>
      <c r="P391" s="72">
        <f t="shared" si="192"/>
        <v>0.98322267725655665</v>
      </c>
      <c r="Q391" s="72"/>
      <c r="R391" s="72"/>
      <c r="S391" s="72">
        <f t="shared" si="193"/>
        <v>0.45385456241563626</v>
      </c>
      <c r="T391" s="72">
        <f t="shared" si="194"/>
        <v>0.5259872052740806</v>
      </c>
      <c r="U391" s="72">
        <f t="shared" si="195"/>
        <v>0.53024927964386603</v>
      </c>
      <c r="V391" s="72">
        <f t="shared" si="196"/>
        <v>0.55918951224679248</v>
      </c>
      <c r="W391" s="72">
        <f t="shared" si="197"/>
        <v>0.80692829772033514</v>
      </c>
      <c r="X391" s="72">
        <f t="shared" si="198"/>
        <v>6.0600845105760637E-2</v>
      </c>
      <c r="Y391" s="72">
        <f t="shared" si="199"/>
        <v>0.27999016037259605</v>
      </c>
      <c r="Z391" s="72">
        <f t="shared" si="200"/>
        <v>0.44362305649813849</v>
      </c>
      <c r="AA391" s="72">
        <f t="shared" si="201"/>
        <v>0.37957010187620638</v>
      </c>
      <c r="AB391" s="72">
        <f t="shared" si="202"/>
        <v>1.6777322743443346E-2</v>
      </c>
      <c r="AC391" s="72"/>
      <c r="AD391" s="72"/>
      <c r="AE391" s="72">
        <f t="shared" si="203"/>
        <v>0.54614543758436374</v>
      </c>
      <c r="AF391" s="72">
        <f t="shared" si="204"/>
        <v>0.4740127947259194</v>
      </c>
      <c r="AG391" s="72">
        <f t="shared" si="205"/>
        <v>0.46975072035613391</v>
      </c>
      <c r="AH391" s="72">
        <f t="shared" si="206"/>
        <v>0.44081048775320747</v>
      </c>
      <c r="AI391" s="72">
        <f t="shared" si="207"/>
        <v>0.19307170227966489</v>
      </c>
      <c r="AJ391" s="72">
        <f>(AV391-Driver!$K$179)/(Driver!$L$179-Driver!$K$179)</f>
        <v>0.19361856417693979</v>
      </c>
      <c r="AK391" s="72">
        <f>(AW391-Driver!$K$180)/(Driver!$L$180-Driver!$K$180)</f>
        <v>0.29568749855696752</v>
      </c>
      <c r="AL391" s="72">
        <f>(AX391-Driver!$K$181)/(Driver!$L$181-Driver!$K$181)</f>
        <v>0.54531082021121868</v>
      </c>
      <c r="AM391" s="72">
        <f>(AY391-Driver!$K$182)/(Driver!$L$182-Driver!$K$182)</f>
        <v>6.781491922084E-2</v>
      </c>
      <c r="AN391" s="72">
        <f>(AZ391-Driver!$K$183)/(Driver!$L$183-Driver!$K$183)</f>
        <v>0.27099673202614377</v>
      </c>
      <c r="AO391" s="72"/>
      <c r="AP391" s="72"/>
      <c r="AQ391" s="72">
        <f>(BC391-Driver!$K$188)/(Driver!$L$188-Driver!$K$188)</f>
        <v>7.3854562415636316E-2</v>
      </c>
      <c r="AR391" s="72">
        <f>MIN((BD391-Driver!$K$189)/(Driver!$L$189-Driver!$K$189),100%)</f>
        <v>7.5987205274080635E-2</v>
      </c>
      <c r="AS391" s="72">
        <f>(BE391-Driver!$K$190)/(Driver!$L$190-Driver!$K$190)</f>
        <v>4.0249279643866077E-2</v>
      </c>
      <c r="AT391" s="72">
        <f>(BF391-Driver!$K$191)/(Driver!$L$191-Driver!$K$191)</f>
        <v>6.9189512246792526E-2</v>
      </c>
      <c r="AU391" s="72">
        <f>(BG391-Driver!$K$192)/(Driver!$L$192-Driver!$K$192)</f>
        <v>5.6928297720335114E-2</v>
      </c>
      <c r="AV391" s="70">
        <f t="shared" si="208"/>
        <v>4.0750915750915748</v>
      </c>
      <c r="AW391" s="70">
        <f t="shared" si="209"/>
        <v>30.689259413606202</v>
      </c>
      <c r="AX391" s="70">
        <f t="shared" si="210"/>
        <v>5.9077973819009681</v>
      </c>
      <c r="AY391" s="70">
        <f>IFERROR(Driver!$K$19/Data!BH391/Data!BI391*Data!BK391*Data!BL391,"")</f>
        <v>8.3025695145294467E-2</v>
      </c>
      <c r="AZ391" s="70">
        <f t="shared" si="211"/>
        <v>24.69843633655994</v>
      </c>
      <c r="BA391" s="70"/>
      <c r="BB391" s="70"/>
      <c r="BC391" s="70">
        <f t="shared" si="212"/>
        <v>38.308874953578822</v>
      </c>
      <c r="BD391" s="70">
        <f t="shared" si="213"/>
        <v>8.4455559094932653</v>
      </c>
      <c r="BE391" s="70">
        <f t="shared" si="214"/>
        <v>4.0420488369923117E-2</v>
      </c>
      <c r="BF391" s="70">
        <f t="shared" si="215"/>
        <v>7.8144693244412542</v>
      </c>
      <c r="BG391" s="70">
        <f t="shared" si="216"/>
        <v>0.21556685149704483</v>
      </c>
      <c r="BH391" s="67">
        <f>MAX((CE391-Driver!$F$200)/(Driver!$G$200-Driver!$F$200)*$BI$1,1)</f>
        <v>5.9077973819009681</v>
      </c>
      <c r="BI391" s="67">
        <f>MAX($BI$1*(BY391-Driver!$F$201)/(Driver!$G$201-Driver!$F$201),1)</f>
        <v>6.7721518987341769</v>
      </c>
      <c r="BJ391" s="67">
        <f>(CB391-Driver!$F$206)/(Driver!$G$206-Driver!$F$206)*$BI$1</f>
        <v>4.2857142857142856</v>
      </c>
      <c r="BK391" s="67">
        <f>(CD391-Driver!$F$203)/(Driver!$G$203-Driver!$F$203)*$BI$1</f>
        <v>3.2110091743119265</v>
      </c>
      <c r="BL391" s="67">
        <f>MAX((CR391-Driver!$F$202)/(Driver!$G$202-Driver!$F$202)*$BI$1,1)</f>
        <v>5.1724137931034484</v>
      </c>
      <c r="BM391" s="67">
        <f>MAX((CH391-Driver!$F$204)/(Driver!$G$204-Driver!$F$204)*$BI$1,1)</f>
        <v>3.8034188034188032</v>
      </c>
      <c r="BN391" s="67">
        <f>(CI391-Driver!$F$205)/(Driver!$G$205-Driver!$F$205)*$BI$1</f>
        <v>3.6470588235294117</v>
      </c>
      <c r="BO391" s="67">
        <f>(CK391-Driver!$F$207)/(Driver!$G$207-Driver!$F$207)*$BI$1</f>
        <v>2.2233712512926576</v>
      </c>
      <c r="BP391" s="67">
        <f>(CM391-Driver!$F$208)/(Driver!$G$208-Driver!$F$208)*$BI$1</f>
        <v>2.6333333333333329</v>
      </c>
      <c r="BQ391" s="67">
        <f>(CL391-Driver!$F$209)/(Driver!$G$209-Driver!$F$209)*$BI$1</f>
        <v>4.84375</v>
      </c>
      <c r="BR391" s="28" t="s">
        <v>155</v>
      </c>
      <c r="BS391" s="8" t="s">
        <v>317</v>
      </c>
      <c r="BT391" s="9" t="s">
        <v>571</v>
      </c>
      <c r="BU391" s="10">
        <v>172</v>
      </c>
      <c r="BV391" s="9" t="s">
        <v>163</v>
      </c>
      <c r="BW391" s="10">
        <v>172</v>
      </c>
      <c r="BX391" s="10">
        <v>170.8</v>
      </c>
      <c r="BY391" s="10">
        <v>115</v>
      </c>
      <c r="BZ391" s="10">
        <v>142</v>
      </c>
      <c r="CA391" s="10">
        <v>124</v>
      </c>
      <c r="CB391" s="10">
        <v>91</v>
      </c>
      <c r="CC391" s="10">
        <v>114</v>
      </c>
      <c r="CD391" s="10">
        <v>16.399999999999999</v>
      </c>
      <c r="CE391" s="10">
        <v>1938</v>
      </c>
      <c r="CF391" s="10">
        <v>0.91</v>
      </c>
      <c r="CG391" s="10">
        <v>1757</v>
      </c>
      <c r="CH391" s="10">
        <v>190</v>
      </c>
      <c r="CI391" s="10">
        <v>95</v>
      </c>
      <c r="CJ391" s="10">
        <v>65</v>
      </c>
      <c r="CK391" s="10">
        <v>325</v>
      </c>
      <c r="CL391" s="10">
        <v>31</v>
      </c>
      <c r="CM391" s="10">
        <v>237</v>
      </c>
      <c r="CN391" s="10">
        <v>0.48499999999999999</v>
      </c>
      <c r="CO391" s="10">
        <v>146</v>
      </c>
      <c r="CP391" s="10">
        <v>138</v>
      </c>
      <c r="CQ391" s="10">
        <v>179</v>
      </c>
      <c r="CR391" s="10">
        <v>4</v>
      </c>
      <c r="CS391" s="10">
        <v>8</v>
      </c>
      <c r="CT391" s="9" t="s">
        <v>188</v>
      </c>
      <c r="CU391" s="10"/>
      <c r="CV391" s="10"/>
      <c r="CW391" s="10"/>
      <c r="CX391" t="str">
        <f>INDEX('Data_Price '!AG$2:AG$1266,MATCH(Data!$DN391,'Data_Price '!$AT$2:$AT$1266,0))</f>
        <v>Blizzard Sheeva 9 Skis</v>
      </c>
      <c r="CY391" t="str">
        <f>INDEX('Data_Price '!AH$2:AH$1266,MATCH(Data!$DN391,'Data_Price '!$AT$2:$AT$1266,0))</f>
        <v>Powder7 Ski Shop</v>
      </c>
      <c r="CZ391">
        <f>INDEX('Data_Price '!AI$2:AI$1266,MATCH(Data!$DN391,'Data_Price '!$AT$2:$AT$1266,0))</f>
        <v>479.93</v>
      </c>
      <c r="DA391" t="str">
        <f>INDEX('Data_Price '!AJ$2:AJ$1266,MATCH(Data!$DN391,'Data_Price '!$AT$2:$AT$1266,0))</f>
        <v>https://tinyurl.com/yazo4994</v>
      </c>
      <c r="DB391" t="str">
        <f>INDEX('Data_Price '!AK$2:AK$1266,MATCH(Data!$DN391,'Data_Price '!$AT$2:$AT$1266,0))</f>
        <v>Blizzard Sheeva 9 Skis</v>
      </c>
      <c r="DC391" t="str">
        <f>INDEX('Data_Price '!AL$2:AL$1266,MATCH(Data!$DN391,'Data_Price '!$AT$2:$AT$1266,0))</f>
        <v>Peak Performance Ski Shop</v>
      </c>
      <c r="DD391">
        <f>INDEX('Data_Price '!AM$2:AM$1266,MATCH(Data!$DN391,'Data_Price '!$AT$2:$AT$1266,0))</f>
        <v>479.95</v>
      </c>
      <c r="DE391" t="str">
        <f>INDEX('Data_Price '!AN$2:AN$1266,MATCH(Data!$DN391,'Data_Price '!$AT$2:$AT$1266,0))</f>
        <v>https://tinyurl.com/y7bdm9jt</v>
      </c>
      <c r="DF391" t="str">
        <f>INDEX('Data_Price '!AO$2:AO$1266,MATCH(Data!$DN391,'Data_Price '!$AT$2:$AT$1266,0))</f>
        <v>Blizzard Sheeva 9 Skis</v>
      </c>
      <c r="DG391" t="str">
        <f>INDEX('Data_Price '!AP$2:AP$1266,MATCH(Data!$DN391,'Data_Price '!$AT$2:$AT$1266,0))</f>
        <v>Curated</v>
      </c>
      <c r="DH391">
        <f>INDEX('Data_Price '!AQ$2:AQ$1266,MATCH(Data!$DN391,'Data_Price '!$AT$2:$AT$1266,0))</f>
        <v>479.95</v>
      </c>
      <c r="DI391" t="str">
        <f>INDEX('Data_Price '!AR$2:AR$1266,MATCH(Data!$DN391,'Data_Price '!$AT$2:$AT$1266,0))</f>
        <v>https://tinyurl.com/ydefk9u9</v>
      </c>
      <c r="DJ391" s="89" t="str">
        <f t="shared" si="217"/>
        <v>https://tinyurl.com/yazo4994</v>
      </c>
      <c r="DK391" s="89" t="str">
        <f t="shared" si="218"/>
        <v>https://tinyurl.com/y7bdm9jt</v>
      </c>
      <c r="DL391" s="89" t="str">
        <f t="shared" si="219"/>
        <v>https://tinyurl.com/ydefk9u9</v>
      </c>
      <c r="DM391" s="219" t="str">
        <f t="shared" si="220"/>
        <v>Sheeva 9</v>
      </c>
      <c r="DN391" s="89" t="str">
        <f t="shared" si="221"/>
        <v xml:space="preserve"> BlizzardSheeva 9172 Women's</v>
      </c>
      <c r="DO391" s="221" t="s">
        <v>572</v>
      </c>
    </row>
    <row r="392" spans="1:119" ht="15.6" customHeight="1">
      <c r="B392" s="219" t="b">
        <f t="array" ref="B392">IF(OR(ISERROR(K392:P392)),FALSE,TRUE)</f>
        <v>1</v>
      </c>
      <c r="C392" s="43" t="b">
        <f>OR(BR392=Driver!$G$50,Data!BR1217=Driver!$H$50)</f>
        <v>1</v>
      </c>
      <c r="D392" s="43" t="b">
        <f>OR(BV392=Driver!$G$51,BV392=Driver!$H$51)</f>
        <v>1</v>
      </c>
      <c r="E392" s="43" t="b">
        <f>AND(BX392&gt;Driver!$F$54,BX392&lt;Driver!$G$54)</f>
        <v>0</v>
      </c>
      <c r="F392" s="43" t="b">
        <f>CL392&gt;Driver!$F$56</f>
        <v>1</v>
      </c>
      <c r="G392" s="43" t="b">
        <f>AND(CB392&gt;Driver!$F$55,CB392&lt;Driver!$G$55)</f>
        <v>0</v>
      </c>
      <c r="H392" s="43" t="b">
        <f t="shared" si="185"/>
        <v>0</v>
      </c>
      <c r="I392" s="43">
        <f t="shared" si="186"/>
        <v>0</v>
      </c>
      <c r="J392" s="43" t="b">
        <f t="array" ref="J392">NOT(OR(($H$9:$H$1273=TRUE)*($I$9:$I$1273&gt;0)*($BT$9:$BT$1273=BT392)*($K$9:$K$1273&gt;K392)))</f>
        <v>1</v>
      </c>
      <c r="K392" s="72">
        <f t="shared" si="187"/>
        <v>0.83215153247290485</v>
      </c>
      <c r="L392" s="72">
        <f t="shared" si="188"/>
        <v>0.99944541846810053</v>
      </c>
      <c r="M392" s="72">
        <f t="shared" si="189"/>
        <v>0.66485764647770917</v>
      </c>
      <c r="N392" s="72">
        <f t="shared" si="190"/>
        <v>0.58989367024567996</v>
      </c>
      <c r="O392" s="72">
        <f t="shared" si="191"/>
        <v>0.61884221284592367</v>
      </c>
      <c r="P392" s="72">
        <f t="shared" si="192"/>
        <v>0.78583705634152401</v>
      </c>
      <c r="Q392" s="72"/>
      <c r="R392" s="72"/>
      <c r="S392" s="72">
        <f t="shared" si="193"/>
        <v>0.50933926451052025</v>
      </c>
      <c r="T392" s="72">
        <f t="shared" si="194"/>
        <v>0.5082633328323003</v>
      </c>
      <c r="U392" s="72">
        <f t="shared" si="195"/>
        <v>0.64361631749236758</v>
      </c>
      <c r="V392" s="72">
        <f t="shared" si="196"/>
        <v>0.5329403049711039</v>
      </c>
      <c r="W392" s="72">
        <f t="shared" si="197"/>
        <v>0.77701702000597195</v>
      </c>
      <c r="X392" s="72">
        <f t="shared" si="198"/>
        <v>5.5458153189952286E-4</v>
      </c>
      <c r="Y392" s="72">
        <f t="shared" si="199"/>
        <v>0.33514235352229083</v>
      </c>
      <c r="Z392" s="72">
        <f t="shared" si="200"/>
        <v>0.41010632975432004</v>
      </c>
      <c r="AA392" s="72">
        <f t="shared" si="201"/>
        <v>0.38115778715407639</v>
      </c>
      <c r="AB392" s="72">
        <f t="shared" si="202"/>
        <v>0.21416294365847599</v>
      </c>
      <c r="AC392" s="72"/>
      <c r="AD392" s="72"/>
      <c r="AE392" s="72">
        <f t="shared" si="203"/>
        <v>0.49066073548947975</v>
      </c>
      <c r="AF392" s="72">
        <f t="shared" si="204"/>
        <v>0.4917366671676997</v>
      </c>
      <c r="AG392" s="72">
        <f t="shared" si="205"/>
        <v>0.35638368250763242</v>
      </c>
      <c r="AH392" s="72">
        <f t="shared" si="206"/>
        <v>0.46705969502889605</v>
      </c>
      <c r="AI392" s="72">
        <f t="shared" si="207"/>
        <v>0.22298297999402808</v>
      </c>
      <c r="AJ392" s="72">
        <f>(AV392-Driver!$K$179)/(Driver!$L$179-Driver!$K$179)</f>
        <v>0.25477399081459995</v>
      </c>
      <c r="AK392" s="72">
        <f>(AW392-Driver!$K$180)/(Driver!$L$180-Driver!$K$180)</f>
        <v>0.47715874778246692</v>
      </c>
      <c r="AL392" s="72">
        <f>(AX392-Driver!$K$181)/(Driver!$L$181-Driver!$K$181)</f>
        <v>0.51179409346740024</v>
      </c>
      <c r="AM392" s="72">
        <f>(AY392-Driver!$K$182)/(Driver!$L$182-Driver!$K$182)</f>
        <v>6.6227233942969962E-2</v>
      </c>
      <c r="AN392" s="72">
        <f>(AZ392-Driver!$K$183)/(Driver!$L$183-Driver!$K$183)</f>
        <v>0.46838235294117642</v>
      </c>
      <c r="AO392" s="72"/>
      <c r="AP392" s="72"/>
      <c r="AQ392" s="72">
        <f>(BC392-Driver!$K$188)/(Driver!$L$188-Driver!$K$188)</f>
        <v>0.12933926451052025</v>
      </c>
      <c r="AR392" s="72">
        <f>MIN((BD392-Driver!$K$189)/(Driver!$L$189-Driver!$K$189),100%)</f>
        <v>5.8263332832300313E-2</v>
      </c>
      <c r="AS392" s="72">
        <f>(BE392-Driver!$K$190)/(Driver!$L$190-Driver!$K$190)</f>
        <v>0.15361631749236759</v>
      </c>
      <c r="AT392" s="72">
        <f>(BF392-Driver!$K$191)/(Driver!$L$191-Driver!$K$191)</f>
        <v>4.2940304971103981E-2</v>
      </c>
      <c r="AU392" s="72">
        <f>(BG392-Driver!$K$192)/(Driver!$L$192-Driver!$K$192)</f>
        <v>2.7017020005971924E-2</v>
      </c>
      <c r="AV392" s="70">
        <f t="shared" si="208"/>
        <v>5.3622303622303624</v>
      </c>
      <c r="AW392" s="70">
        <f t="shared" si="209"/>
        <v>48.375240649478421</v>
      </c>
      <c r="AX392" s="70">
        <f t="shared" si="210"/>
        <v>5.606146841206602</v>
      </c>
      <c r="AY392" s="70">
        <f>IFERROR(Driver!$K$19/Data!BH392/Data!BI392*Data!BK392*Data!BL392,"")</f>
        <v>8.1081894645616201E-2</v>
      </c>
      <c r="AZ392" s="70">
        <f t="shared" si="211"/>
        <v>42.688011913626205</v>
      </c>
      <c r="BA392" s="70"/>
      <c r="BB392" s="70"/>
      <c r="BC392" s="70">
        <f t="shared" si="212"/>
        <v>67.089175653586267</v>
      </c>
      <c r="BD392" s="70">
        <f t="shared" si="213"/>
        <v>6.8770246032393514</v>
      </c>
      <c r="BE392" s="70">
        <f t="shared" si="214"/>
        <v>0.1537673028148728</v>
      </c>
      <c r="BF392" s="70">
        <f t="shared" si="215"/>
        <v>4.8498057737702869</v>
      </c>
      <c r="BG392" s="70">
        <f t="shared" si="216"/>
        <v>0.10230367273813076</v>
      </c>
      <c r="BH392" s="67">
        <f>MAX((CE392-Driver!$F$200)/(Driver!$G$200-Driver!$F$200)*$BI$1,1)</f>
        <v>5.606146841206602</v>
      </c>
      <c r="BI392" s="67">
        <f>MAX($BI$1*(BY392-Driver!$F$201)/(Driver!$G$201-Driver!$F$201),1)</f>
        <v>7.4050632911392409</v>
      </c>
      <c r="BJ392" s="67">
        <f>(CB392-Driver!$F$206)/(Driver!$G$206-Driver!$F$206)*$BI$1</f>
        <v>4.92063492063492</v>
      </c>
      <c r="BK392" s="67">
        <f>(CD392-Driver!$F$203)/(Driver!$G$203-Driver!$F$203)*$BI$1</f>
        <v>3.4862385321100922</v>
      </c>
      <c r="BL392" s="67">
        <f>MAX((CR392-Driver!$F$202)/(Driver!$G$202-Driver!$F$202)*$BI$1,1)</f>
        <v>4.8275862068965516</v>
      </c>
      <c r="BM392" s="67">
        <f>MAX((CH392-Driver!$F$204)/(Driver!$G$204-Driver!$F$204)*$BI$1,1)</f>
        <v>4.3589743589743595</v>
      </c>
      <c r="BN392" s="67">
        <f>(CI392-Driver!$F$205)/(Driver!$G$205-Driver!$F$205)*$BI$1</f>
        <v>5.7647058823529402</v>
      </c>
      <c r="BO392" s="67">
        <f>(CK392-Driver!$F$207)/(Driver!$G$207-Driver!$F$207)*$BI$1</f>
        <v>1.7373319544984489</v>
      </c>
      <c r="BP392" s="67">
        <f>(CM392-Driver!$F$208)/(Driver!$G$208-Driver!$F$208)*$BI$1</f>
        <v>1.9777777777777779</v>
      </c>
      <c r="BQ392" s="67">
        <f>(CL392-Driver!$F$209)/(Driver!$G$209-Driver!$F$209)*$BI$1</f>
        <v>2.5</v>
      </c>
      <c r="BR392" s="28" t="s">
        <v>155</v>
      </c>
      <c r="BS392" s="8" t="s">
        <v>229</v>
      </c>
      <c r="BT392" s="9" t="s">
        <v>565</v>
      </c>
      <c r="BU392" s="10">
        <v>170</v>
      </c>
      <c r="BV392" s="9" t="s">
        <v>158</v>
      </c>
      <c r="BW392" s="10">
        <v>170</v>
      </c>
      <c r="BX392" s="10">
        <v>170.8</v>
      </c>
      <c r="BY392" s="10">
        <v>125</v>
      </c>
      <c r="BZ392" s="10">
        <v>148</v>
      </c>
      <c r="CA392" s="10">
        <v>134</v>
      </c>
      <c r="CB392" s="10">
        <v>95</v>
      </c>
      <c r="CC392" s="10">
        <v>118</v>
      </c>
      <c r="CD392" s="10">
        <v>17</v>
      </c>
      <c r="CE392" s="10">
        <v>1885</v>
      </c>
      <c r="CF392" s="10">
        <v>0.97</v>
      </c>
      <c r="CG392" s="10">
        <v>1836</v>
      </c>
      <c r="CH392" s="10">
        <v>203</v>
      </c>
      <c r="CI392" s="10">
        <v>131</v>
      </c>
      <c r="CJ392" s="10">
        <v>44</v>
      </c>
      <c r="CK392" s="10">
        <v>278</v>
      </c>
      <c r="CL392" s="10">
        <v>16</v>
      </c>
      <c r="CM392" s="10">
        <v>178</v>
      </c>
      <c r="CN392" s="10">
        <v>0.375</v>
      </c>
      <c r="CO392" s="10">
        <v>131</v>
      </c>
      <c r="CP392" s="10">
        <v>99</v>
      </c>
      <c r="CQ392" s="10">
        <v>147</v>
      </c>
      <c r="CR392" s="10">
        <v>3</v>
      </c>
      <c r="CS392" s="10">
        <v>11.1</v>
      </c>
      <c r="CT392" s="9" t="s">
        <v>188</v>
      </c>
      <c r="CU392" s="10"/>
      <c r="CV392" s="10"/>
      <c r="CW392" s="10"/>
      <c r="CX392" t="e">
        <f>INDEX('Data_Price '!AG$2:AG$1266,MATCH(Data!$DN392,'Data_Price '!$AT$2:$AT$1266,0))</f>
        <v>#N/A</v>
      </c>
      <c r="CY392" t="e">
        <f>INDEX('Data_Price '!AH$2:AH$1266,MATCH(Data!$DN392,'Data_Price '!$AT$2:$AT$1266,0))</f>
        <v>#N/A</v>
      </c>
      <c r="CZ392" t="e">
        <f>INDEX('Data_Price '!AI$2:AI$1266,MATCH(Data!$DN392,'Data_Price '!$AT$2:$AT$1266,0))</f>
        <v>#N/A</v>
      </c>
      <c r="DA392" t="e">
        <f>INDEX('Data_Price '!AJ$2:AJ$1266,MATCH(Data!$DN392,'Data_Price '!$AT$2:$AT$1266,0))</f>
        <v>#N/A</v>
      </c>
      <c r="DB392" t="e">
        <f>INDEX('Data_Price '!AK$2:AK$1266,MATCH(Data!$DN392,'Data_Price '!$AT$2:$AT$1266,0))</f>
        <v>#N/A</v>
      </c>
      <c r="DC392" t="e">
        <f>INDEX('Data_Price '!AL$2:AL$1266,MATCH(Data!$DN392,'Data_Price '!$AT$2:$AT$1266,0))</f>
        <v>#N/A</v>
      </c>
      <c r="DD392" t="e">
        <f>INDEX('Data_Price '!AM$2:AM$1266,MATCH(Data!$DN392,'Data_Price '!$AT$2:$AT$1266,0))</f>
        <v>#N/A</v>
      </c>
      <c r="DE392" t="e">
        <f>INDEX('Data_Price '!AN$2:AN$1266,MATCH(Data!$DN392,'Data_Price '!$AT$2:$AT$1266,0))</f>
        <v>#N/A</v>
      </c>
      <c r="DF392" t="e">
        <f>INDEX('Data_Price '!AO$2:AO$1266,MATCH(Data!$DN392,'Data_Price '!$AT$2:$AT$1266,0))</f>
        <v>#N/A</v>
      </c>
      <c r="DG392" t="e">
        <f>INDEX('Data_Price '!AP$2:AP$1266,MATCH(Data!$DN392,'Data_Price '!$AT$2:$AT$1266,0))</f>
        <v>#N/A</v>
      </c>
      <c r="DH392" t="e">
        <f>INDEX('Data_Price '!AQ$2:AQ$1266,MATCH(Data!$DN392,'Data_Price '!$AT$2:$AT$1266,0))</f>
        <v>#N/A</v>
      </c>
      <c r="DI392" t="e">
        <f>INDEX('Data_Price '!AR$2:AR$1266,MATCH(Data!$DN392,'Data_Price '!$AT$2:$AT$1266,0))</f>
        <v>#N/A</v>
      </c>
      <c r="DJ392" s="89" t="e">
        <f t="shared" si="217"/>
        <v>#N/A</v>
      </c>
      <c r="DK392" s="89" t="e">
        <f t="shared" si="218"/>
        <v>#N/A</v>
      </c>
      <c r="DL392" s="89" t="e">
        <f t="shared" si="219"/>
        <v>#N/A</v>
      </c>
      <c r="DM392" s="219" t="str">
        <f t="shared" si="220"/>
        <v>M6 Mantra</v>
      </c>
      <c r="DN392" s="89" t="str">
        <f t="shared" si="221"/>
        <v xml:space="preserve"> VölklM6 Mantra170 Unisex</v>
      </c>
      <c r="DO392" s="221" t="s">
        <v>566</v>
      </c>
    </row>
    <row r="393" spans="1:119" ht="15.6" customHeight="1">
      <c r="B393" s="219" t="b">
        <f t="array" ref="B393">IF(OR(ISERROR(K393:P393)),FALSE,TRUE)</f>
        <v>1</v>
      </c>
      <c r="C393" s="43" t="b">
        <f>OR(BR393=Driver!$G$50,Data!BR1076=Driver!$H$50)</f>
        <v>1</v>
      </c>
      <c r="D393" s="43" t="b">
        <f>OR(BV393=Driver!$G$51,BV393=Driver!$H$51)</f>
        <v>1</v>
      </c>
      <c r="E393" s="43" t="b">
        <f>AND(BX393&gt;Driver!$F$54,BX393&lt;Driver!$G$54)</f>
        <v>0</v>
      </c>
      <c r="F393" s="43" t="b">
        <f>CL393&gt;Driver!$F$56</f>
        <v>1</v>
      </c>
      <c r="G393" s="43" t="b">
        <f>AND(CB393&gt;Driver!$F$55,CB393&lt;Driver!$G$55)</f>
        <v>0</v>
      </c>
      <c r="H393" s="43" t="b">
        <f t="shared" ref="H393:H456" si="222">AND(B393:G393)</f>
        <v>0</v>
      </c>
      <c r="I393" s="43">
        <f t="shared" ref="I393:I456" si="223">COUNTIFS($H$9:$H$1273,TRUE,$BT$9:$BT$1273,BT393)</f>
        <v>0</v>
      </c>
      <c r="J393" s="43" t="b">
        <f t="array" ref="J393">NOT(OR(($H$9:$H$1273=TRUE)*($I$9:$I$1273&gt;0)*($BT$9:$BT$1273=BT393)*($K$9:$K$1273&gt;K393)))</f>
        <v>1</v>
      </c>
      <c r="K393" s="72">
        <f t="shared" ref="K393:K456" si="224">IFERROR(1-AVERAGE(X393:Y393),"")</f>
        <v>0.82567345744266896</v>
      </c>
      <c r="L393" s="72">
        <f t="shared" ref="L393:L456" si="225">1-X393</f>
        <v>0.95561333402687898</v>
      </c>
      <c r="M393" s="72">
        <f t="shared" ref="M393:M456" si="226">1-Y393</f>
        <v>0.69573358085845882</v>
      </c>
      <c r="N393" s="72">
        <f t="shared" ref="N393:N456" si="227">1-Z393</f>
        <v>0.49819696500315791</v>
      </c>
      <c r="O393" s="72">
        <f t="shared" ref="O393:O456" si="228">1-AA393</f>
        <v>0.6083137800542241</v>
      </c>
      <c r="P393" s="72">
        <f t="shared" ref="P393:P456" si="229">1-AB393</f>
        <v>0.98068999751799457</v>
      </c>
      <c r="Q393" s="72"/>
      <c r="R393" s="72"/>
      <c r="S393" s="72">
        <f t="shared" ref="S393:S456" si="230">1-AE393</f>
        <v>0.42555152572608779</v>
      </c>
      <c r="T393" s="72">
        <f t="shared" ref="T393:T456" si="231">1-AF393</f>
        <v>0.59755301100606728</v>
      </c>
      <c r="U393" s="72">
        <f t="shared" ref="U393:U456" si="232">1-AG393</f>
        <v>0.50233949621319041</v>
      </c>
      <c r="V393" s="72">
        <f t="shared" ref="V393:V456" si="233">1-AH393</f>
        <v>0.79776911508285164</v>
      </c>
      <c r="W393" s="72">
        <f t="shared" ref="W393:W456" si="234">1-AI393</f>
        <v>0.7954530323942518</v>
      </c>
      <c r="X393" s="72">
        <f t="shared" ref="X393:X456" si="235">ABS(AJ393-AJ$1)</f>
        <v>4.438666597312102E-2</v>
      </c>
      <c r="Y393" s="72">
        <f t="shared" ref="Y393:Y456" si="236">AVERAGE(Z393:AB393)</f>
        <v>0.30426641914154112</v>
      </c>
      <c r="Z393" s="72">
        <f t="shared" ref="Z393:Z456" si="237">ABS(AL393-AL$1)</f>
        <v>0.50180303499684209</v>
      </c>
      <c r="AA393" s="72">
        <f t="shared" ref="AA393:AA456" si="238">ABS(AM393-AM$1)</f>
        <v>0.3916862199457759</v>
      </c>
      <c r="AB393" s="72">
        <f t="shared" ref="AB393:AB456" si="239">ABS(AN393-AN$1)</f>
        <v>1.9310002482005428E-2</v>
      </c>
      <c r="AC393" s="72"/>
      <c r="AD393" s="72"/>
      <c r="AE393" s="72">
        <f t="shared" ref="AE393:AE456" si="240">ABS(AQ$1-AQ393)</f>
        <v>0.57444847427391221</v>
      </c>
      <c r="AF393" s="72">
        <f t="shared" ref="AF393:AF456" si="241">ABS(AR$1-AR393)</f>
        <v>0.40244698899393272</v>
      </c>
      <c r="AG393" s="72">
        <f t="shared" ref="AG393:AG456" si="242">ABS(AS$1-AS393)</f>
        <v>0.49766050378680959</v>
      </c>
      <c r="AH393" s="72">
        <f t="shared" ref="AH393:AH456" si="243">ABS(AT$1-AT393)</f>
        <v>0.20223088491714841</v>
      </c>
      <c r="AI393" s="72">
        <f t="shared" ref="AI393:AI456" si="244">ABS(AU$1-AU393)</f>
        <v>0.20454696760574817</v>
      </c>
      <c r="AJ393" s="72">
        <f>(AV393-Driver!$K$179)/(Driver!$L$179-Driver!$K$179)</f>
        <v>0.29860607525582145</v>
      </c>
      <c r="AK393" s="72">
        <f>(AW393-Driver!$K$180)/(Driver!$L$180-Driver!$K$180)</f>
        <v>0.30327647059961244</v>
      </c>
      <c r="AL393" s="72">
        <f>(AX393-Driver!$K$181)/(Driver!$L$181-Driver!$K$181)</f>
        <v>0.60349079870992228</v>
      </c>
      <c r="AM393" s="72">
        <f>(AY393-Driver!$K$182)/(Driver!$L$182-Driver!$K$182)</f>
        <v>5.569880115127044E-2</v>
      </c>
      <c r="AN393" s="72">
        <f>(AZ393-Driver!$K$183)/(Driver!$L$183-Driver!$K$183)</f>
        <v>0.27352941176470585</v>
      </c>
      <c r="AO393" s="72"/>
      <c r="AP393" s="72"/>
      <c r="AQ393" s="72">
        <f>(BC393-Driver!$K$188)/(Driver!$L$188-Driver!$K$188)</f>
        <v>4.555152572608781E-2</v>
      </c>
      <c r="AR393" s="72">
        <f>MIN((BD393-Driver!$K$189)/(Driver!$L$189-Driver!$K$189),100%)</f>
        <v>0.14755301100606735</v>
      </c>
      <c r="AS393" s="72">
        <f>(BE393-Driver!$K$190)/(Driver!$L$190-Driver!$K$190)</f>
        <v>1.2339496213190427E-2</v>
      </c>
      <c r="AT393" s="72">
        <f>(BF393-Driver!$K$191)/(Driver!$L$191-Driver!$K$191)</f>
        <v>0.3077691150828516</v>
      </c>
      <c r="AU393" s="72">
        <f>(BG393-Driver!$K$192)/(Driver!$L$192-Driver!$K$192)</f>
        <v>4.5453032394251837E-2</v>
      </c>
      <c r="AV393" s="70">
        <f t="shared" ref="AV393:AV456" si="245">IFERROR(BM393*BJ393^1/4,"")</f>
        <v>6.2847646180979515</v>
      </c>
      <c r="AW393" s="70">
        <f t="shared" ref="AW393:AW456" si="246">IFERROR(SUM(AX393:AZ393),"")</f>
        <v>31.428871984294982</v>
      </c>
      <c r="AX393" s="70">
        <f t="shared" ref="AX393:AX456" si="247">IFERROR(BH393,"")</f>
        <v>6.4314171883893003</v>
      </c>
      <c r="AY393" s="70">
        <f>IFERROR(Driver!$K$19/Data!BH393/Data!BI393*Data!BK393*Data!BL393,"")</f>
        <v>6.8191951527424896E-2</v>
      </c>
      <c r="AZ393" s="70">
        <f t="shared" ref="AZ393:AZ456" si="248">IFERROR(BI393*BN393,"")</f>
        <v>24.929262844378258</v>
      </c>
      <c r="BA393" s="70"/>
      <c r="BB393" s="70"/>
      <c r="BC393" s="70">
        <f t="shared" ref="BC393:BC456" si="249">IFERROR(BI393*BN393*BK393/BJ393^(1/2),"")</f>
        <v>23.627893063191088</v>
      </c>
      <c r="BD393" s="70">
        <f t="shared" ref="BD393:BD456" si="250">IFERROR(BH393*BM393*BL393/BJ393/BK393,"")</f>
        <v>14.779002909669904</v>
      </c>
      <c r="BE393" s="70">
        <f t="shared" ref="BE393:BE456" si="251">IFERROR(MIN(BI393/BQ393/BP393/BO393/BH393,$BE$1),"")</f>
        <v>1.2515683730473506E-2</v>
      </c>
      <c r="BF393" s="70">
        <f t="shared" ref="BF393:BF456" si="252">IFERROR(BJ393*BO393*BP393/BK393,"")</f>
        <v>34.76035934820262</v>
      </c>
      <c r="BG393" s="70">
        <f t="shared" ref="BG393:BG456" si="253">IFERROR(1/BM393/BH393*BQ393,"")</f>
        <v>0.17211417654461311</v>
      </c>
      <c r="BH393" s="67">
        <f>MAX((CE393-Driver!$F$200)/(Driver!$G$200-Driver!$F$200)*$BI$1,1)</f>
        <v>6.4314171883893003</v>
      </c>
      <c r="BI393" s="67">
        <f>MAX($BI$1*(BY393-Driver!$F$201)/(Driver!$G$201-Driver!$F$201),1)</f>
        <v>5.8860759493670889</v>
      </c>
      <c r="BJ393" s="67">
        <f>(CB393-Driver!$F$206)/(Driver!$G$206-Driver!$F$206)*$BI$1</f>
        <v>5.3968253968253963</v>
      </c>
      <c r="BK393" s="67">
        <f>(CD393-Driver!$F$203)/(Driver!$G$203-Driver!$F$203)*$BI$1</f>
        <v>2.2018348623853208</v>
      </c>
      <c r="BL393" s="67">
        <f>MAX((CR393-Driver!$F$202)/(Driver!$G$202-Driver!$F$202)*$BI$1,1)</f>
        <v>5.8620689655172411</v>
      </c>
      <c r="BM393" s="67">
        <f>MAX((CH393-Driver!$F$204)/(Driver!$G$204-Driver!$F$204)*$BI$1,1)</f>
        <v>4.6581196581196584</v>
      </c>
      <c r="BN393" s="67">
        <f>(CI393-Driver!$F$205)/(Driver!$G$205-Driver!$F$205)*$BI$1</f>
        <v>4.2352941176470589</v>
      </c>
      <c r="BO393" s="67">
        <f>(CK393-Driver!$F$207)/(Driver!$G$207-Driver!$F$207)*$BI$1</f>
        <v>3.1437435367114785</v>
      </c>
      <c r="BP393" s="67">
        <f>(CM393-Driver!$F$208)/(Driver!$G$208-Driver!$F$208)*$BI$1</f>
        <v>4.5111111111111111</v>
      </c>
      <c r="BQ393" s="67">
        <f>(CL393-Driver!$F$209)/(Driver!$G$209-Driver!$F$209)*$BI$1</f>
        <v>5.15625</v>
      </c>
      <c r="BR393" s="28" t="s">
        <v>155</v>
      </c>
      <c r="BS393" s="8" t="s">
        <v>174</v>
      </c>
      <c r="BT393" s="9" t="s">
        <v>573</v>
      </c>
      <c r="BU393" s="10">
        <v>183</v>
      </c>
      <c r="BV393" s="9" t="s">
        <v>158</v>
      </c>
      <c r="BW393" s="10">
        <v>183</v>
      </c>
      <c r="BX393" s="10">
        <v>182.6</v>
      </c>
      <c r="BY393" s="10">
        <v>101</v>
      </c>
      <c r="BZ393" s="10">
        <v>137</v>
      </c>
      <c r="CA393" s="10">
        <v>132</v>
      </c>
      <c r="CB393" s="10">
        <v>98</v>
      </c>
      <c r="CC393" s="10">
        <v>120</v>
      </c>
      <c r="CD393" s="10">
        <v>14.2</v>
      </c>
      <c r="CE393" s="10">
        <v>2030</v>
      </c>
      <c r="CF393" s="10">
        <v>0.99</v>
      </c>
      <c r="CG393" s="10">
        <v>2008</v>
      </c>
      <c r="CH393" s="10">
        <v>210</v>
      </c>
      <c r="CI393" s="10">
        <v>105</v>
      </c>
      <c r="CJ393" s="10">
        <v>52</v>
      </c>
      <c r="CK393" s="10">
        <v>414</v>
      </c>
      <c r="CL393" s="10">
        <v>33</v>
      </c>
      <c r="CM393" s="10">
        <v>406</v>
      </c>
      <c r="CN393" s="10">
        <v>0.629</v>
      </c>
      <c r="CO393" s="10">
        <v>276</v>
      </c>
      <c r="CP393" s="10">
        <v>182</v>
      </c>
      <c r="CQ393" s="10">
        <v>138</v>
      </c>
      <c r="CR393" s="10">
        <v>6</v>
      </c>
      <c r="CS393" s="10">
        <v>8.6999999999999993</v>
      </c>
      <c r="CT393" s="9" t="s">
        <v>188</v>
      </c>
      <c r="CU393" s="10"/>
      <c r="CV393" s="10"/>
      <c r="CW393" s="10"/>
      <c r="CX393" t="str">
        <f>INDEX('Data_Price '!AG$2:AG$1266,MATCH(Data!$DN393,'Data_Price '!$AT$2:$AT$1266,0))</f>
        <v>Salomon N QST 98 Skis - 2022 183cm / Blue/Orange</v>
      </c>
      <c r="CY393" t="str">
        <f>INDEX('Data_Price '!AH$2:AH$1266,MATCH(Data!$DN393,'Data_Price '!$AT$2:$AT$1266,0))</f>
        <v>Glacier Ski Shop</v>
      </c>
      <c r="CZ393">
        <f>INDEX('Data_Price '!AI$2:AI$1266,MATCH(Data!$DN393,'Data_Price '!$AT$2:$AT$1266,0))</f>
        <v>539</v>
      </c>
      <c r="DA393" t="str">
        <f>INDEX('Data_Price '!AJ$2:AJ$1266,MATCH(Data!$DN393,'Data_Price '!$AT$2:$AT$1266,0))</f>
        <v>https://tinyurl.com/yad6p9b4</v>
      </c>
      <c r="DB393" t="str">
        <f>INDEX('Data_Price '!AK$2:AK$1266,MATCH(Data!$DN393,'Data_Price '!$AT$2:$AT$1266,0))</f>
        <v>Salomon QST 98 Blue/Orange / 183cm</v>
      </c>
      <c r="DC393" t="str">
        <f>INDEX('Data_Price '!AL$2:AL$1266,MATCH(Data!$DN393,'Data_Price '!$AT$2:$AT$1266,0))</f>
        <v>Sundance Ski and Board Shop</v>
      </c>
      <c r="DD393">
        <f>INDEX('Data_Price '!AM$2:AM$1266,MATCH(Data!$DN393,'Data_Price '!$AT$2:$AT$1266,0))</f>
        <v>561.20000000000005</v>
      </c>
      <c r="DE393" t="str">
        <f>INDEX('Data_Price '!AN$2:AN$1266,MATCH(Data!$DN393,'Data_Price '!$AT$2:$AT$1266,0))</f>
        <v>https://tinyurl.com/ybo4rgyr</v>
      </c>
      <c r="DF393" t="str">
        <f>INDEX('Data_Price '!AO$2:AO$1266,MATCH(Data!$DN393,'Data_Price '!$AT$2:$AT$1266,0))</f>
        <v>Salomon QST 98 Skis</v>
      </c>
      <c r="DG393" t="str">
        <f>INDEX('Data_Price '!AP$2:AP$1266,MATCH(Data!$DN393,'Data_Price '!$AT$2:$AT$1266,0))</f>
        <v>The-House.com</v>
      </c>
      <c r="DH393">
        <f>INDEX('Data_Price '!AQ$2:AQ$1266,MATCH(Data!$DN393,'Data_Price '!$AT$2:$AT$1266,0))</f>
        <v>575.95000000000005</v>
      </c>
      <c r="DI393" t="str">
        <f>INDEX('Data_Price '!AR$2:AR$1266,MATCH(Data!$DN393,'Data_Price '!$AT$2:$AT$1266,0))</f>
        <v>https://tinyurl.com/ycxj26ng</v>
      </c>
      <c r="DJ393" s="89" t="str">
        <f t="shared" ref="DJ393:DJ456" si="254">DA393</f>
        <v>https://tinyurl.com/yad6p9b4</v>
      </c>
      <c r="DK393" s="89" t="str">
        <f t="shared" ref="DK393:DK456" si="255">DE393</f>
        <v>https://tinyurl.com/ybo4rgyr</v>
      </c>
      <c r="DL393" s="89" t="str">
        <f t="shared" ref="DL393:DL456" si="256">DI393</f>
        <v>https://tinyurl.com/ycxj26ng</v>
      </c>
      <c r="DM393" s="219" t="str">
        <f t="shared" ref="DM393:DM456" si="257">IF(LEFT(BT393,1)=" ",RIGHT(BT393,LEN(BT393)-1),BT393)</f>
        <v>QST 98</v>
      </c>
      <c r="DN393" s="89" t="str">
        <f t="shared" ref="DN393:DN456" si="258">_xlfn.CONCAT(BS393,DM393,BU393,BV393)</f>
        <v xml:space="preserve"> SalomonQST 98183 Unisex</v>
      </c>
      <c r="DO393" s="221" t="s">
        <v>574</v>
      </c>
    </row>
    <row r="394" spans="1:119" ht="15.6" customHeight="1">
      <c r="B394" s="219" t="b">
        <f t="array" ref="B394">IF(OR(ISERROR(K394:P394)),FALSE,TRUE)</f>
        <v>1</v>
      </c>
      <c r="C394" s="43" t="b">
        <f>OR(BR394=Driver!$G$50,Data!BR1088=Driver!$H$50)</f>
        <v>1</v>
      </c>
      <c r="D394" s="43" t="b">
        <f>OR(BV394=Driver!$G$51,BV394=Driver!$H$51)</f>
        <v>0</v>
      </c>
      <c r="E394" s="43" t="b">
        <f>AND(BX394&gt;Driver!$F$54,BX394&lt;Driver!$G$54)</f>
        <v>0</v>
      </c>
      <c r="F394" s="43" t="b">
        <f>CL394&gt;Driver!$F$56</f>
        <v>1</v>
      </c>
      <c r="G394" s="43" t="b">
        <f>AND(CB394&gt;Driver!$F$55,CB394&lt;Driver!$G$55)</f>
        <v>1</v>
      </c>
      <c r="H394" s="43" t="b">
        <f t="shared" si="222"/>
        <v>0</v>
      </c>
      <c r="I394" s="43">
        <f t="shared" si="223"/>
        <v>0</v>
      </c>
      <c r="J394" s="43" t="b">
        <f t="array" ref="J394">NOT(OR(($H$9:$H$1273=TRUE)*($I$9:$I$1273&gt;0)*($BT$9:$BT$1273=BT394)*($K$9:$K$1273&gt;K394)))</f>
        <v>1</v>
      </c>
      <c r="K394" s="72">
        <f t="shared" si="224"/>
        <v>0.82799592857222293</v>
      </c>
      <c r="L394" s="72">
        <f t="shared" si="225"/>
        <v>0.91258698643200353</v>
      </c>
      <c r="M394" s="72">
        <f t="shared" si="226"/>
        <v>0.74340487071244232</v>
      </c>
      <c r="N394" s="72">
        <f t="shared" si="227"/>
        <v>0.6164540952124794</v>
      </c>
      <c r="O394" s="72">
        <f t="shared" si="228"/>
        <v>0.66193417457356118</v>
      </c>
      <c r="P394" s="72">
        <f t="shared" si="229"/>
        <v>0.95182634235128649</v>
      </c>
      <c r="Q394" s="72"/>
      <c r="R394" s="72"/>
      <c r="S394" s="72">
        <f t="shared" si="230"/>
        <v>0.4340436457807535</v>
      </c>
      <c r="T394" s="72">
        <f t="shared" si="231"/>
        <v>0.49798781931985703</v>
      </c>
      <c r="U394" s="72">
        <f t="shared" si="232"/>
        <v>0.53266186472333477</v>
      </c>
      <c r="V394" s="72">
        <f t="shared" si="233"/>
        <v>0.59643180697714993</v>
      </c>
      <c r="W394" s="72">
        <f t="shared" si="234"/>
        <v>0.79073310790532025</v>
      </c>
      <c r="X394" s="72">
        <f t="shared" si="235"/>
        <v>8.7413013567996467E-2</v>
      </c>
      <c r="Y394" s="72">
        <f t="shared" si="236"/>
        <v>0.25659512928755762</v>
      </c>
      <c r="Z394" s="72">
        <f t="shared" si="237"/>
        <v>0.3835459047875206</v>
      </c>
      <c r="AA394" s="72">
        <f t="shared" si="238"/>
        <v>0.33806582542643876</v>
      </c>
      <c r="AB394" s="72">
        <f t="shared" si="239"/>
        <v>4.817365764871348E-2</v>
      </c>
      <c r="AC394" s="72"/>
      <c r="AD394" s="72"/>
      <c r="AE394" s="72">
        <f t="shared" si="240"/>
        <v>0.5659563542192465</v>
      </c>
      <c r="AF394" s="72">
        <f t="shared" si="241"/>
        <v>0.50201218068014297</v>
      </c>
      <c r="AG394" s="72">
        <f t="shared" si="242"/>
        <v>0.46733813527666523</v>
      </c>
      <c r="AH394" s="72">
        <f t="shared" si="243"/>
        <v>0.40356819302285007</v>
      </c>
      <c r="AI394" s="72">
        <f t="shared" si="244"/>
        <v>0.20926689209467977</v>
      </c>
      <c r="AJ394" s="72">
        <f>(AV394-Driver!$K$179)/(Driver!$L$179-Driver!$K$179)</f>
        <v>0.34163242285069689</v>
      </c>
      <c r="AK394" s="72">
        <f>(AW394-Driver!$K$180)/(Driver!$L$180-Driver!$K$180)</f>
        <v>0.22992165940041326</v>
      </c>
      <c r="AL394" s="72">
        <f>(AX394-Driver!$K$181)/(Driver!$L$181-Driver!$K$181)</f>
        <v>0.48523366850060079</v>
      </c>
      <c r="AM394" s="72">
        <f>(AY394-Driver!$K$182)/(Driver!$L$182-Driver!$K$182)</f>
        <v>0.10931919567060761</v>
      </c>
      <c r="AN394" s="72">
        <f>(AZ394-Driver!$K$183)/(Driver!$L$183-Driver!$K$183)</f>
        <v>0.20604575163398695</v>
      </c>
      <c r="AO394" s="72"/>
      <c r="AP394" s="72"/>
      <c r="AQ394" s="72">
        <f>(BC394-Driver!$K$188)/(Driver!$L$188-Driver!$K$188)</f>
        <v>5.4043645780753484E-2</v>
      </c>
      <c r="AR394" s="72">
        <f>MIN((BD394-Driver!$K$189)/(Driver!$L$189-Driver!$K$189),100%)</f>
        <v>4.7987819319857072E-2</v>
      </c>
      <c r="AS394" s="72">
        <f>(BE394-Driver!$K$190)/(Driver!$L$190-Driver!$K$190)</f>
        <v>4.2661864723334782E-2</v>
      </c>
      <c r="AT394" s="72">
        <f>(BF394-Driver!$K$191)/(Driver!$L$191-Driver!$K$191)</f>
        <v>0.10643180697714995</v>
      </c>
      <c r="AU394" s="72">
        <f>(BG394-Driver!$K$192)/(Driver!$L$192-Driver!$K$192)</f>
        <v>4.0733107905320226E-2</v>
      </c>
      <c r="AV394" s="70">
        <f t="shared" si="245"/>
        <v>7.1903405236738562</v>
      </c>
      <c r="AW394" s="70">
        <f t="shared" si="246"/>
        <v>24.279795643183377</v>
      </c>
      <c r="AX394" s="70">
        <f t="shared" si="247"/>
        <v>5.367103016505407</v>
      </c>
      <c r="AY394" s="70">
        <f>IFERROR(Driver!$K$19/Data!BH394/Data!BI394*Data!BK394*Data!BL394,"")</f>
        <v>0.13383931320067768</v>
      </c>
      <c r="AZ394" s="70">
        <f t="shared" si="248"/>
        <v>18.778853313477292</v>
      </c>
      <c r="BA394" s="70"/>
      <c r="BB394" s="70"/>
      <c r="BC394" s="70">
        <f t="shared" si="249"/>
        <v>28.032814771807015</v>
      </c>
      <c r="BD394" s="70">
        <f t="shared" si="250"/>
        <v>5.9676598645206962</v>
      </c>
      <c r="BE394" s="70">
        <f t="shared" si="251"/>
        <v>4.2832643071368443E-2</v>
      </c>
      <c r="BF394" s="70">
        <f t="shared" si="252"/>
        <v>12.020724872306744</v>
      </c>
      <c r="BG394" s="70">
        <f t="shared" si="253"/>
        <v>0.15424153144320613</v>
      </c>
      <c r="BH394" s="67">
        <f>MAX((CE394-Driver!$F$200)/(Driver!$G$200-Driver!$F$200)*$BI$1,1)</f>
        <v>5.367103016505407</v>
      </c>
      <c r="BI394" s="67">
        <f>MAX($BI$1*(BY394-Driver!$F$201)/(Driver!$G$201-Driver!$F$201),1)</f>
        <v>6.1392405063291138</v>
      </c>
      <c r="BJ394" s="67">
        <f>(CB394-Driver!$F$206)/(Driver!$G$206-Driver!$F$206)*$BI$1</f>
        <v>6.3492063492063489</v>
      </c>
      <c r="BK394" s="67">
        <f>(CD394-Driver!$F$203)/(Driver!$G$203-Driver!$F$203)*$BI$1</f>
        <v>3.7614678899082579</v>
      </c>
      <c r="BL394" s="67">
        <f>MAX((CR394-Driver!$F$202)/(Driver!$G$202-Driver!$F$202)*$BI$1,1)</f>
        <v>5.8620689655172411</v>
      </c>
      <c r="BM394" s="67">
        <f>MAX((CH394-Driver!$F$204)/(Driver!$G$204-Driver!$F$204)*$BI$1,1)</f>
        <v>4.5299145299145298</v>
      </c>
      <c r="BN394" s="67">
        <f>(CI394-Driver!$F$205)/(Driver!$G$205-Driver!$F$205)*$BI$1</f>
        <v>3.0588235294117649</v>
      </c>
      <c r="BO394" s="67">
        <f>(CK394-Driver!$F$207)/(Driver!$G$207-Driver!$F$207)*$BI$1</f>
        <v>2.4095139607032054</v>
      </c>
      <c r="BP394" s="67">
        <f>(CM394-Driver!$F$208)/(Driver!$G$208-Driver!$F$208)*$BI$1</f>
        <v>2.9555555555555557</v>
      </c>
      <c r="BQ394" s="67">
        <f>(CL394-Driver!$F$209)/(Driver!$G$209-Driver!$F$209)*$BI$1</f>
        <v>3.75</v>
      </c>
      <c r="BR394" s="28" t="s">
        <v>155</v>
      </c>
      <c r="BS394" s="8" t="s">
        <v>174</v>
      </c>
      <c r="BT394" s="9" t="s">
        <v>526</v>
      </c>
      <c r="BU394" s="10">
        <v>167</v>
      </c>
      <c r="BV394" s="9" t="s">
        <v>163</v>
      </c>
      <c r="BW394" s="10">
        <v>167</v>
      </c>
      <c r="BX394" s="10">
        <v>166.4</v>
      </c>
      <c r="BY394" s="10">
        <v>105</v>
      </c>
      <c r="BZ394" s="10">
        <v>136</v>
      </c>
      <c r="CA394" s="10">
        <v>136</v>
      </c>
      <c r="CB394" s="10">
        <v>104</v>
      </c>
      <c r="CC394" s="10">
        <v>123</v>
      </c>
      <c r="CD394" s="10">
        <v>17.600000000000001</v>
      </c>
      <c r="CE394" s="10">
        <v>1843</v>
      </c>
      <c r="CF394" s="10">
        <v>1.04</v>
      </c>
      <c r="CG394" s="10">
        <v>1912</v>
      </c>
      <c r="CH394" s="10">
        <v>207</v>
      </c>
      <c r="CI394" s="10">
        <v>85</v>
      </c>
      <c r="CJ394" s="10">
        <v>56</v>
      </c>
      <c r="CK394" s="10">
        <v>343</v>
      </c>
      <c r="CL394" s="10">
        <v>24</v>
      </c>
      <c r="CM394" s="10">
        <v>266</v>
      </c>
      <c r="CN394" s="10">
        <v>0.436</v>
      </c>
      <c r="CO394" s="10">
        <v>186</v>
      </c>
      <c r="CP394" s="10">
        <v>115</v>
      </c>
      <c r="CQ394" s="10">
        <v>158</v>
      </c>
      <c r="CR394" s="10">
        <v>6</v>
      </c>
      <c r="CS394" s="10">
        <v>9.9</v>
      </c>
      <c r="CT394" s="9" t="s">
        <v>188</v>
      </c>
      <c r="CU394" s="9" t="s">
        <v>169</v>
      </c>
      <c r="CV394" s="10"/>
      <c r="CW394" s="10"/>
      <c r="CX394" t="str">
        <f>INDEX('Data_Price '!AG$2:AG$1266,MATCH(Data!$DN394,'Data_Price '!$AT$2:$AT$1266,0))</f>
        <v>Salomon QST Stella 106 Skis</v>
      </c>
      <c r="CY394" t="str">
        <f>INDEX('Data_Price '!AH$2:AH$1266,MATCH(Data!$DN394,'Data_Price '!$AT$2:$AT$1266,0))</f>
        <v>Erik's Bike, Board and Ski</v>
      </c>
      <c r="CZ394">
        <f>INDEX('Data_Price '!AI$2:AI$1266,MATCH(Data!$DN394,'Data_Price '!$AT$2:$AT$1266,0))</f>
        <v>399.99</v>
      </c>
      <c r="DA394" t="str">
        <f>INDEX('Data_Price '!AJ$2:AJ$1266,MATCH(Data!$DN394,'Data_Price '!$AT$2:$AT$1266,0))</f>
        <v>https://tinyurl.com/yd3vq5bl</v>
      </c>
      <c r="DB394" t="str">
        <f>INDEX('Data_Price '!AK$2:AK$1266,MATCH(Data!$DN394,'Data_Price '!$AT$2:$AT$1266,0))</f>
        <v>Salomon QST Stella 106 Beige/Pink / 167cm</v>
      </c>
      <c r="DC394" t="str">
        <f>INDEX('Data_Price '!AL$2:AL$1266,MATCH(Data!$DN394,'Data_Price '!$AT$2:$AT$1266,0))</f>
        <v>Sundance Ski and Board Shop</v>
      </c>
      <c r="DD394">
        <f>INDEX('Data_Price '!AM$2:AM$1266,MATCH(Data!$DN394,'Data_Price '!$AT$2:$AT$1266,0))</f>
        <v>481.02</v>
      </c>
      <c r="DE394" t="str">
        <f>INDEX('Data_Price '!AN$2:AN$1266,MATCH(Data!$DN394,'Data_Price '!$AT$2:$AT$1266,0))</f>
        <v>https://tinyurl.com/ybelrdl3</v>
      </c>
      <c r="DF394" t="str">
        <f>INDEX('Data_Price '!AO$2:AO$1266,MATCH(Data!$DN394,'Data_Price '!$AT$2:$AT$1266,0))</f>
        <v>Salomon QST Stella 106 Women's Skis 167cm 2022</v>
      </c>
      <c r="DG394" t="str">
        <f>INDEX('Data_Price '!AP$2:AP$1266,MATCH(Data!$DN394,'Data_Price '!$AT$2:$AT$1266,0))</f>
        <v>Powder7 Ski Shop</v>
      </c>
      <c r="DH394">
        <f>INDEX('Data_Price '!AQ$2:AQ$1266,MATCH(Data!$DN394,'Data_Price '!$AT$2:$AT$1266,0))</f>
        <v>559.92999999999995</v>
      </c>
      <c r="DI394" t="str">
        <f>INDEX('Data_Price '!AR$2:AR$1266,MATCH(Data!$DN394,'Data_Price '!$AT$2:$AT$1266,0))</f>
        <v>https://tinyurl.com/y9fgg36d</v>
      </c>
      <c r="DJ394" s="89" t="str">
        <f t="shared" si="254"/>
        <v>https://tinyurl.com/yd3vq5bl</v>
      </c>
      <c r="DK394" s="89" t="str">
        <f t="shared" si="255"/>
        <v>https://tinyurl.com/ybelrdl3</v>
      </c>
      <c r="DL394" s="89" t="str">
        <f t="shared" si="256"/>
        <v>https://tinyurl.com/y9fgg36d</v>
      </c>
      <c r="DM394" s="219" t="str">
        <f t="shared" si="257"/>
        <v>QST Stella 106</v>
      </c>
      <c r="DN394" s="89" t="str">
        <f t="shared" si="258"/>
        <v xml:space="preserve"> SalomonQST Stella 106167 Women's</v>
      </c>
      <c r="DO394" s="221" t="s">
        <v>527</v>
      </c>
    </row>
    <row r="395" spans="1:119" ht="15.6" customHeight="1">
      <c r="B395" s="219" t="b">
        <f t="array" ref="B395">IF(OR(ISERROR(K395:P395)),FALSE,TRUE)</f>
        <v>1</v>
      </c>
      <c r="C395" s="43" t="b">
        <f>OR(BR395=Driver!$G$50,Data!BR699=Driver!$H$50)</f>
        <v>1</v>
      </c>
      <c r="D395" s="43" t="b">
        <f>OR(BV395=Driver!$G$51,BV395=Driver!$H$51)</f>
        <v>1</v>
      </c>
      <c r="E395" s="43" t="b">
        <f>AND(BX395&gt;Driver!$F$54,BX395&lt;Driver!$G$54)</f>
        <v>0</v>
      </c>
      <c r="F395" s="43" t="b">
        <f>CL395&gt;Driver!$F$56</f>
        <v>1</v>
      </c>
      <c r="G395" s="43" t="b">
        <f>AND(CB395&gt;Driver!$F$55,CB395&lt;Driver!$G$55)</f>
        <v>1</v>
      </c>
      <c r="H395" s="43" t="b">
        <f t="shared" si="222"/>
        <v>0</v>
      </c>
      <c r="I395" s="43">
        <f t="shared" si="223"/>
        <v>0</v>
      </c>
      <c r="J395" s="43" t="b">
        <f t="array" ref="J395">NOT(OR(($H$9:$H$1273=TRUE)*($I$9:$I$1273&gt;0)*($BT$9:$BT$1273=BT395)*($K$9:$K$1273&gt;K395)))</f>
        <v>1</v>
      </c>
      <c r="K395" s="72">
        <f t="shared" si="224"/>
        <v>0.79087924595218828</v>
      </c>
      <c r="L395" s="72">
        <f t="shared" si="225"/>
        <v>0.85175385453288177</v>
      </c>
      <c r="M395" s="72">
        <f t="shared" si="226"/>
        <v>0.73000463737149479</v>
      </c>
      <c r="N395" s="72">
        <f t="shared" si="227"/>
        <v>0.55131781493675702</v>
      </c>
      <c r="O395" s="72">
        <f t="shared" si="228"/>
        <v>0.66756492318914484</v>
      </c>
      <c r="P395" s="72">
        <f t="shared" si="229"/>
        <v>0.97113117398858284</v>
      </c>
      <c r="Q395" s="72"/>
      <c r="R395" s="72"/>
      <c r="S395" s="72">
        <f t="shared" si="230"/>
        <v>0.47390860021461145</v>
      </c>
      <c r="T395" s="72">
        <f t="shared" si="231"/>
        <v>0.47940322930506418</v>
      </c>
      <c r="U395" s="72">
        <f t="shared" si="232"/>
        <v>0.51803729556868228</v>
      </c>
      <c r="V395" s="72">
        <f t="shared" si="233"/>
        <v>0.59580202063930454</v>
      </c>
      <c r="W395" s="72">
        <f t="shared" si="234"/>
        <v>0.79383494393054621</v>
      </c>
      <c r="X395" s="72">
        <f t="shared" si="235"/>
        <v>0.14824614546711828</v>
      </c>
      <c r="Y395" s="72">
        <f t="shared" si="236"/>
        <v>0.26999536262850515</v>
      </c>
      <c r="Z395" s="72">
        <f t="shared" si="237"/>
        <v>0.44868218506324298</v>
      </c>
      <c r="AA395" s="72">
        <f t="shared" si="238"/>
        <v>0.33243507681085516</v>
      </c>
      <c r="AB395" s="72">
        <f t="shared" si="239"/>
        <v>2.8868826011417215E-2</v>
      </c>
      <c r="AC395" s="72"/>
      <c r="AD395" s="72"/>
      <c r="AE395" s="72">
        <f t="shared" si="240"/>
        <v>0.52609139978538855</v>
      </c>
      <c r="AF395" s="72">
        <f t="shared" si="241"/>
        <v>0.52059677069493582</v>
      </c>
      <c r="AG395" s="72">
        <f t="shared" si="242"/>
        <v>0.48196270443131767</v>
      </c>
      <c r="AH395" s="72">
        <f t="shared" si="243"/>
        <v>0.40419797936069546</v>
      </c>
      <c r="AI395" s="72">
        <f t="shared" si="244"/>
        <v>0.20616505606945376</v>
      </c>
      <c r="AJ395" s="72">
        <f>(AV395-Driver!$K$179)/(Driver!$L$179-Driver!$K$179)</f>
        <v>0.40246555474981871</v>
      </c>
      <c r="AK395" s="72">
        <f>(AW395-Driver!$K$180)/(Driver!$L$180-Driver!$K$180)</f>
        <v>0.30805425417852422</v>
      </c>
      <c r="AL395" s="72">
        <f>(AX395-Driver!$K$181)/(Driver!$L$181-Driver!$K$181)</f>
        <v>0.55036994877632317</v>
      </c>
      <c r="AM395" s="72">
        <f>(AY395-Driver!$K$182)/(Driver!$L$182-Driver!$K$182)</f>
        <v>0.11494994428619119</v>
      </c>
      <c r="AN395" s="72">
        <f>(AZ395-Driver!$K$183)/(Driver!$L$183-Driver!$K$183)</f>
        <v>0.28308823529411764</v>
      </c>
      <c r="AO395" s="72"/>
      <c r="AP395" s="72"/>
      <c r="AQ395" s="72">
        <f>(BC395-Driver!$K$188)/(Driver!$L$188-Driver!$K$188)</f>
        <v>9.3908600214611421E-2</v>
      </c>
      <c r="AR395" s="72">
        <f>MIN((BD395-Driver!$K$189)/(Driver!$L$189-Driver!$K$189),100%)</f>
        <v>2.9403229305064227E-2</v>
      </c>
      <c r="AS395" s="72">
        <f>(BE395-Driver!$K$190)/(Driver!$L$190-Driver!$K$190)</f>
        <v>2.8037295568682338E-2</v>
      </c>
      <c r="AT395" s="72">
        <f>(BF395-Driver!$K$191)/(Driver!$L$191-Driver!$K$191)</f>
        <v>0.10580202063930454</v>
      </c>
      <c r="AU395" s="72">
        <f>(BG395-Driver!$K$192)/(Driver!$L$192-Driver!$K$192)</f>
        <v>4.3834943930546232E-2</v>
      </c>
      <c r="AV395" s="70">
        <f t="shared" si="245"/>
        <v>8.4706959706959708</v>
      </c>
      <c r="AW395" s="70">
        <f t="shared" si="246"/>
        <v>31.894509329529168</v>
      </c>
      <c r="AX395" s="70">
        <f t="shared" si="247"/>
        <v>5.9533295389869085</v>
      </c>
      <c r="AY395" s="70">
        <f>IFERROR(Driver!$K$19/Data!BH395/Data!BI395*Data!BK395*Data!BL395,"")</f>
        <v>0.14073302955938666</v>
      </c>
      <c r="AZ395" s="70">
        <f t="shared" si="248"/>
        <v>25.800446760982872</v>
      </c>
      <c r="BA395" s="70"/>
      <c r="BB395" s="70"/>
      <c r="BC395" s="70">
        <f t="shared" si="249"/>
        <v>48.711043773316199</v>
      </c>
      <c r="BD395" s="70">
        <f t="shared" si="250"/>
        <v>4.3229565781564681</v>
      </c>
      <c r="BE395" s="70">
        <f t="shared" si="251"/>
        <v>2.8210682775246652E-2</v>
      </c>
      <c r="BF395" s="70">
        <f t="shared" si="252"/>
        <v>11.949594929946537</v>
      </c>
      <c r="BG395" s="70">
        <f t="shared" si="253"/>
        <v>0.16598706139217614</v>
      </c>
      <c r="BH395" s="67">
        <f>MAX((CE395-Driver!$F$200)/(Driver!$G$200-Driver!$F$200)*$BI$1,1)</f>
        <v>5.9533295389869085</v>
      </c>
      <c r="BI395" s="67">
        <f>MAX($BI$1*(BY395-Driver!$F$201)/(Driver!$G$201-Driver!$F$201),1)</f>
        <v>6.6455696202531644</v>
      </c>
      <c r="BJ395" s="67">
        <f>(CB395-Driver!$F$206)/(Driver!$G$206-Driver!$F$206)*$BI$1</f>
        <v>7.1428571428571432</v>
      </c>
      <c r="BK395" s="67">
        <f>(CD395-Driver!$F$203)/(Driver!$G$203-Driver!$F$203)*$BI$1</f>
        <v>5.045871559633027</v>
      </c>
      <c r="BL395" s="67">
        <f>MAX((CR395-Driver!$F$202)/(Driver!$G$202-Driver!$F$202)*$BI$1,1)</f>
        <v>5.5172413793103452</v>
      </c>
      <c r="BM395" s="67">
        <f>MAX((CH395-Driver!$F$204)/(Driver!$G$204-Driver!$F$204)*$BI$1,1)</f>
        <v>4.7435897435897436</v>
      </c>
      <c r="BN395" s="67">
        <f>(CI395-Driver!$F$205)/(Driver!$G$205-Driver!$F$205)*$BI$1</f>
        <v>3.8823529411764706</v>
      </c>
      <c r="BO395" s="67">
        <f>(CK395-Driver!$F$207)/(Driver!$G$207-Driver!$F$207)*$BI$1</f>
        <v>3.4850051706308172</v>
      </c>
      <c r="BP395" s="67">
        <f>(CM395-Driver!$F$208)/(Driver!$G$208-Driver!$F$208)*$BI$1</f>
        <v>2.4222222222222225</v>
      </c>
      <c r="BQ395" s="67">
        <f>(CL395-Driver!$F$209)/(Driver!$G$209-Driver!$F$209)*$BI$1</f>
        <v>4.6875</v>
      </c>
      <c r="BR395" s="28" t="s">
        <v>155</v>
      </c>
      <c r="BS395" s="8" t="s">
        <v>561</v>
      </c>
      <c r="BT395" s="9" t="s">
        <v>568</v>
      </c>
      <c r="BU395" s="10">
        <v>182</v>
      </c>
      <c r="BV395" s="9" t="s">
        <v>158</v>
      </c>
      <c r="BW395" s="10">
        <v>182</v>
      </c>
      <c r="BX395" s="10">
        <v>179.9</v>
      </c>
      <c r="BY395" s="10">
        <v>113</v>
      </c>
      <c r="BZ395" s="10">
        <v>147</v>
      </c>
      <c r="CA395" s="10">
        <v>136</v>
      </c>
      <c r="CB395" s="10">
        <v>109</v>
      </c>
      <c r="CC395" s="10">
        <v>128</v>
      </c>
      <c r="CD395" s="10">
        <v>20.399999999999999</v>
      </c>
      <c r="CE395" s="10">
        <v>1946</v>
      </c>
      <c r="CF395" s="10">
        <v>1.1000000000000001</v>
      </c>
      <c r="CG395" s="10">
        <v>2132</v>
      </c>
      <c r="CH395" s="10">
        <v>212</v>
      </c>
      <c r="CI395" s="10">
        <v>99</v>
      </c>
      <c r="CJ395" s="10">
        <v>60</v>
      </c>
      <c r="CK395" s="10">
        <v>447</v>
      </c>
      <c r="CL395" s="10">
        <v>30</v>
      </c>
      <c r="CM395" s="10">
        <v>218</v>
      </c>
      <c r="CN395" s="10">
        <v>0.501</v>
      </c>
      <c r="CO395" s="10">
        <v>175</v>
      </c>
      <c r="CP395" s="10">
        <v>151</v>
      </c>
      <c r="CQ395" s="10">
        <v>271</v>
      </c>
      <c r="CR395" s="10">
        <v>5</v>
      </c>
      <c r="CS395" s="10">
        <v>8</v>
      </c>
      <c r="CT395" s="9" t="s">
        <v>169</v>
      </c>
      <c r="CU395" s="9" t="s">
        <v>185</v>
      </c>
      <c r="CV395" s="10"/>
      <c r="CW395" s="10"/>
      <c r="CX395" t="str">
        <f>INDEX('Data_Price '!AG$2:AG$1266,MATCH(Data!$DN395,'Data_Price '!$AT$2:$AT$1266,0))</f>
        <v>Rossignol Blackops Holyshred Skis - 2022</v>
      </c>
      <c r="CY395" t="str">
        <f>INDEX('Data_Price '!AH$2:AH$1266,MATCH(Data!$DN395,'Data_Price '!$AT$2:$AT$1266,0))</f>
        <v>Gorham Bike and Ski</v>
      </c>
      <c r="CZ395">
        <f>INDEX('Data_Price '!AI$2:AI$1266,MATCH(Data!$DN395,'Data_Price '!$AT$2:$AT$1266,0))</f>
        <v>489.99</v>
      </c>
      <c r="DA395" t="str">
        <f>INDEX('Data_Price '!AJ$2:AJ$1266,MATCH(Data!$DN395,'Data_Price '!$AT$2:$AT$1266,0))</f>
        <v>https://tinyurl.com/yacxds69</v>
      </c>
      <c r="DB395" t="str">
        <f>INDEX('Data_Price '!AK$2:AK$1266,MATCH(Data!$DN395,'Data_Price '!$AT$2:$AT$1266,0))</f>
        <v>The Joyride "PROTOTYPE" Limited Edition Ski, 182cm</v>
      </c>
      <c r="DC395" t="str">
        <f>INDEX('Data_Price '!AL$2:AL$1266,MATCH(Data!$DN395,'Data_Price '!$AT$2:$AT$1266,0))</f>
        <v>J Skis</v>
      </c>
      <c r="DD395">
        <f>INDEX('Data_Price '!AM$2:AM$1266,MATCH(Data!$DN395,'Data_Price '!$AT$2:$AT$1266,0))</f>
        <v>499</v>
      </c>
      <c r="DE395" t="str">
        <f>INDEX('Data_Price '!AN$2:AN$1266,MATCH(Data!$DN395,'Data_Price '!$AT$2:$AT$1266,0))</f>
        <v>https://tinyurl.com/ychctgox</v>
      </c>
      <c r="DF395" t="str">
        <f>INDEX('Data_Price '!AO$2:AO$1266,MATCH(Data!$DN395,'Data_Price '!$AT$2:$AT$1266,0))</f>
        <v>Liberty Skis Origin 106 Ski</v>
      </c>
      <c r="DG395" t="str">
        <f>INDEX('Data_Price '!AP$2:AP$1266,MATCH(Data!$DN395,'Data_Price '!$AT$2:$AT$1266,0))</f>
        <v>evo.com</v>
      </c>
      <c r="DH395">
        <f>INDEX('Data_Price '!AQ$2:AQ$1266,MATCH(Data!$DN395,'Data_Price '!$AT$2:$AT$1266,0))</f>
        <v>524.99</v>
      </c>
      <c r="DI395" t="str">
        <f>INDEX('Data_Price '!AR$2:AR$1266,MATCH(Data!$DN395,'Data_Price '!$AT$2:$AT$1266,0))</f>
        <v>https://tinyurl.com/yd6tk5mf</v>
      </c>
      <c r="DJ395" s="89" t="str">
        <f t="shared" si="254"/>
        <v>https://tinyurl.com/yacxds69</v>
      </c>
      <c r="DK395" s="89" t="str">
        <f t="shared" si="255"/>
        <v>https://tinyurl.com/ychctgox</v>
      </c>
      <c r="DL395" s="89" t="str">
        <f t="shared" si="256"/>
        <v>https://tinyurl.com/yd6tk5mf</v>
      </c>
      <c r="DM395" s="219" t="str">
        <f t="shared" si="257"/>
        <v>The Slacker</v>
      </c>
      <c r="DN395" s="89" t="str">
        <f t="shared" si="258"/>
        <v xml:space="preserve"> J SkisThe Slacker182 Unisex</v>
      </c>
      <c r="DO395" s="221"/>
    </row>
    <row r="396" spans="1:119" ht="15.6" customHeight="1">
      <c r="B396" s="219" t="b">
        <f t="array" ref="B396">IF(OR(ISERROR(K396:P396)),FALSE,TRUE)</f>
        <v>1</v>
      </c>
      <c r="C396" s="43" t="b">
        <f>OR(BR396=Driver!$G$50,Data!BR1151=Driver!$H$50)</f>
        <v>1</v>
      </c>
      <c r="D396" s="43" t="b">
        <f>OR(BV396=Driver!$G$51,BV396=Driver!$H$51)</f>
        <v>1</v>
      </c>
      <c r="E396" s="43" t="b">
        <f>AND(BX396&gt;Driver!$F$54,BX396&lt;Driver!$G$54)</f>
        <v>0</v>
      </c>
      <c r="F396" s="43" t="b">
        <f>CL396&gt;Driver!$F$56</f>
        <v>1</v>
      </c>
      <c r="G396" s="43" t="b">
        <f>AND(CB396&gt;Driver!$F$55,CB396&lt;Driver!$G$55)</f>
        <v>0</v>
      </c>
      <c r="H396" s="43" t="b">
        <f t="shared" si="222"/>
        <v>0</v>
      </c>
      <c r="I396" s="43">
        <f t="shared" si="223"/>
        <v>0</v>
      </c>
      <c r="J396" s="43" t="b">
        <f t="array" ref="J396">NOT(OR(($H$9:$H$1273=TRUE)*($I$9:$I$1273&gt;0)*($BT$9:$BT$1273=BT396)*($K$9:$K$1273&gt;K396)))</f>
        <v>1</v>
      </c>
      <c r="K396" s="72">
        <f t="shared" si="224"/>
        <v>0.83849088709421471</v>
      </c>
      <c r="L396" s="72">
        <f t="shared" si="225"/>
        <v>0.9217535179592623</v>
      </c>
      <c r="M396" s="72">
        <f t="shared" si="226"/>
        <v>0.75522825622916701</v>
      </c>
      <c r="N396" s="72">
        <f t="shared" si="227"/>
        <v>0.62341039698949841</v>
      </c>
      <c r="O396" s="72">
        <f t="shared" si="228"/>
        <v>0.69540790359177285</v>
      </c>
      <c r="P396" s="72">
        <f t="shared" si="229"/>
        <v>0.94686646810622976</v>
      </c>
      <c r="Q396" s="72"/>
      <c r="R396" s="72"/>
      <c r="S396" s="72">
        <f t="shared" si="230"/>
        <v>0.57131276845768031</v>
      </c>
      <c r="T396" s="72">
        <f t="shared" si="231"/>
        <v>0.49446677601714506</v>
      </c>
      <c r="U396" s="72">
        <f t="shared" si="232"/>
        <v>0.5274577457835059</v>
      </c>
      <c r="V396" s="72">
        <f t="shared" si="233"/>
        <v>0.51706749004452968</v>
      </c>
      <c r="W396" s="72">
        <f t="shared" si="234"/>
        <v>0.81826046137339059</v>
      </c>
      <c r="X396" s="72">
        <f t="shared" si="235"/>
        <v>7.8246482040737669E-2</v>
      </c>
      <c r="Y396" s="72">
        <f t="shared" si="236"/>
        <v>0.24477174377083299</v>
      </c>
      <c r="Z396" s="72">
        <f t="shared" si="237"/>
        <v>0.37658960301050165</v>
      </c>
      <c r="AA396" s="72">
        <f t="shared" si="238"/>
        <v>0.30459209640822715</v>
      </c>
      <c r="AB396" s="72">
        <f t="shared" si="239"/>
        <v>5.3133531893770181E-2</v>
      </c>
      <c r="AC396" s="72"/>
      <c r="AD396" s="72"/>
      <c r="AE396" s="72">
        <f t="shared" si="240"/>
        <v>0.42868723154231969</v>
      </c>
      <c r="AF396" s="72">
        <f t="shared" si="241"/>
        <v>0.50553322398285494</v>
      </c>
      <c r="AG396" s="72">
        <f t="shared" si="242"/>
        <v>0.47254225421649404</v>
      </c>
      <c r="AH396" s="72">
        <f t="shared" si="243"/>
        <v>0.48293250995547032</v>
      </c>
      <c r="AI396" s="72">
        <f t="shared" si="244"/>
        <v>0.18173953862660946</v>
      </c>
      <c r="AJ396" s="72">
        <f>(AV396-Driver!$K$179)/(Driver!$L$179-Driver!$K$179)</f>
        <v>0.17597292724196276</v>
      </c>
      <c r="AK396" s="72">
        <f>(AW396-Driver!$K$180)/(Driver!$L$180-Driver!$K$180)</f>
        <v>0.32443780029778496</v>
      </c>
      <c r="AL396" s="72">
        <f>(AX396-Driver!$K$181)/(Driver!$L$181-Driver!$K$181)</f>
        <v>0.47827736672358184</v>
      </c>
      <c r="AM396" s="72">
        <f>(AY396-Driver!$K$182)/(Driver!$L$182-Driver!$K$182)</f>
        <v>0.14279292468881918</v>
      </c>
      <c r="AN396" s="72">
        <f>(AZ396-Driver!$K$183)/(Driver!$L$183-Driver!$K$183)</f>
        <v>0.30735294117647061</v>
      </c>
      <c r="AO396" s="72"/>
      <c r="AP396" s="72"/>
      <c r="AQ396" s="72">
        <f>(BC396-Driver!$K$188)/(Driver!$L$188-Driver!$K$188)</f>
        <v>0.19131276845768028</v>
      </c>
      <c r="AR396" s="72">
        <f>MIN((BD396-Driver!$K$189)/(Driver!$L$189-Driver!$K$189),100%)</f>
        <v>4.4466776017145125E-2</v>
      </c>
      <c r="AS396" s="72">
        <f>(BE396-Driver!$K$190)/(Driver!$L$190-Driver!$K$190)</f>
        <v>3.7457745783505976E-2</v>
      </c>
      <c r="AT396" s="72">
        <f>(BF396-Driver!$K$191)/(Driver!$L$191-Driver!$K$191)</f>
        <v>2.7067490044529709E-2</v>
      </c>
      <c r="AU396" s="72">
        <f>(BG396-Driver!$K$192)/(Driver!$L$192-Driver!$K$192)</f>
        <v>6.8260461373390549E-2</v>
      </c>
      <c r="AV396" s="70">
        <f t="shared" si="245"/>
        <v>3.7037037037037037</v>
      </c>
      <c r="AW396" s="70">
        <f t="shared" si="246"/>
        <v>33.491231071837959</v>
      </c>
      <c r="AX396" s="70">
        <f t="shared" si="247"/>
        <v>5.3044963005122368</v>
      </c>
      <c r="AY396" s="70">
        <f>IFERROR(Driver!$K$19/Data!BH396/Data!BI396*Data!BK396*Data!BL396,"")</f>
        <v>0.17482114511574351</v>
      </c>
      <c r="AZ396" s="70">
        <f t="shared" si="248"/>
        <v>28.011913626209978</v>
      </c>
      <c r="BA396" s="70"/>
      <c r="BB396" s="70"/>
      <c r="BC396" s="70">
        <f t="shared" si="249"/>
        <v>99.235262983787962</v>
      </c>
      <c r="BD396" s="70">
        <f t="shared" si="250"/>
        <v>5.656053771150245</v>
      </c>
      <c r="BE396" s="70">
        <f t="shared" si="251"/>
        <v>3.7629452487783648E-2</v>
      </c>
      <c r="BF396" s="70">
        <f t="shared" si="252"/>
        <v>3.0570828406497688</v>
      </c>
      <c r="BG396" s="70">
        <f t="shared" si="253"/>
        <v>0.25847765222639485</v>
      </c>
      <c r="BH396" s="67">
        <f>MAX((CE396-Driver!$F$200)/(Driver!$G$200-Driver!$F$200)*$BI$1,1)</f>
        <v>5.3044963005122368</v>
      </c>
      <c r="BI396" s="67">
        <f>MAX($BI$1*(BY396-Driver!$F$201)/(Driver!$G$201-Driver!$F$201),1)</f>
        <v>7.2151898734177218</v>
      </c>
      <c r="BJ396" s="67">
        <f>(CB396-Driver!$F$206)/(Driver!$G$206-Driver!$F$206)*$BI$1</f>
        <v>3.333333333333333</v>
      </c>
      <c r="BK396" s="67">
        <f>(CD396-Driver!$F$203)/(Driver!$G$203-Driver!$F$203)*$BI$1</f>
        <v>6.4678899082568817</v>
      </c>
      <c r="BL396" s="67">
        <f>MAX((CR396-Driver!$F$202)/(Driver!$G$202-Driver!$F$202)*$BI$1,1)</f>
        <v>5.1724137931034484</v>
      </c>
      <c r="BM396" s="67">
        <f>MAX((CH396-Driver!$F$204)/(Driver!$G$204-Driver!$F$204)*$BI$1,1)</f>
        <v>4.4444444444444446</v>
      </c>
      <c r="BN396" s="67">
        <f>(CI396-Driver!$F$205)/(Driver!$G$205-Driver!$F$205)*$BI$1</f>
        <v>3.8823529411764706</v>
      </c>
      <c r="BO396" s="67">
        <f>(CK396-Driver!$F$207)/(Driver!$G$207-Driver!$F$207)*$BI$1</f>
        <v>1.8097207859358841</v>
      </c>
      <c r="BP396" s="67">
        <f>(CM396-Driver!$F$208)/(Driver!$G$208-Driver!$F$208)*$BI$1</f>
        <v>3.2777777777777777</v>
      </c>
      <c r="BQ396" s="67">
        <f>(CL396-Driver!$F$209)/(Driver!$G$209-Driver!$F$209)*$BI$1</f>
        <v>6.09375</v>
      </c>
      <c r="BR396" s="28" t="s">
        <v>155</v>
      </c>
      <c r="BS396" s="8" t="s">
        <v>229</v>
      </c>
      <c r="BT396" s="9" t="s">
        <v>470</v>
      </c>
      <c r="BU396" s="10">
        <v>180</v>
      </c>
      <c r="BV396" s="9" t="s">
        <v>158</v>
      </c>
      <c r="BW396" s="10">
        <v>180</v>
      </c>
      <c r="BX396" s="10">
        <v>180.3</v>
      </c>
      <c r="BY396" s="10">
        <v>122</v>
      </c>
      <c r="BZ396" s="10">
        <v>166</v>
      </c>
      <c r="CA396" s="10">
        <v>119</v>
      </c>
      <c r="CB396" s="10">
        <v>85</v>
      </c>
      <c r="CC396" s="10">
        <v>109</v>
      </c>
      <c r="CD396" s="10">
        <v>23.5</v>
      </c>
      <c r="CE396" s="10">
        <v>1832</v>
      </c>
      <c r="CF396" s="10">
        <v>0.94</v>
      </c>
      <c r="CG396" s="10">
        <v>1724</v>
      </c>
      <c r="CH396" s="10">
        <v>205</v>
      </c>
      <c r="CI396" s="10">
        <v>99</v>
      </c>
      <c r="CJ396" s="10">
        <v>43</v>
      </c>
      <c r="CK396" s="10">
        <v>285</v>
      </c>
      <c r="CL396" s="10">
        <v>39</v>
      </c>
      <c r="CM396" s="10">
        <v>295</v>
      </c>
      <c r="CN396" s="10">
        <v>0.90200000000000002</v>
      </c>
      <c r="CO396" s="10">
        <v>79</v>
      </c>
      <c r="CP396" s="10">
        <v>68</v>
      </c>
      <c r="CQ396" s="10">
        <v>206</v>
      </c>
      <c r="CR396" s="10">
        <v>4</v>
      </c>
      <c r="CS396" s="10">
        <v>1.6</v>
      </c>
      <c r="CT396" s="9" t="s">
        <v>184</v>
      </c>
      <c r="CU396" s="10"/>
      <c r="CV396" s="10"/>
      <c r="CW396" s="10"/>
      <c r="CX396" t="e">
        <f>INDEX('Data_Price '!AG$2:AG$1266,MATCH(Data!$DN396,'Data_Price '!$AT$2:$AT$1266,0))</f>
        <v>#N/A</v>
      </c>
      <c r="CY396" t="e">
        <f>INDEX('Data_Price '!AH$2:AH$1266,MATCH(Data!$DN396,'Data_Price '!$AT$2:$AT$1266,0))</f>
        <v>#N/A</v>
      </c>
      <c r="CZ396" t="e">
        <f>INDEX('Data_Price '!AI$2:AI$1266,MATCH(Data!$DN396,'Data_Price '!$AT$2:$AT$1266,0))</f>
        <v>#N/A</v>
      </c>
      <c r="DA396" t="e">
        <f>INDEX('Data_Price '!AJ$2:AJ$1266,MATCH(Data!$DN396,'Data_Price '!$AT$2:$AT$1266,0))</f>
        <v>#N/A</v>
      </c>
      <c r="DB396" t="e">
        <f>INDEX('Data_Price '!AK$2:AK$1266,MATCH(Data!$DN396,'Data_Price '!$AT$2:$AT$1266,0))</f>
        <v>#N/A</v>
      </c>
      <c r="DC396" t="e">
        <f>INDEX('Data_Price '!AL$2:AL$1266,MATCH(Data!$DN396,'Data_Price '!$AT$2:$AT$1266,0))</f>
        <v>#N/A</v>
      </c>
      <c r="DD396" t="e">
        <f>INDEX('Data_Price '!AM$2:AM$1266,MATCH(Data!$DN396,'Data_Price '!$AT$2:$AT$1266,0))</f>
        <v>#N/A</v>
      </c>
      <c r="DE396" t="e">
        <f>INDEX('Data_Price '!AN$2:AN$1266,MATCH(Data!$DN396,'Data_Price '!$AT$2:$AT$1266,0))</f>
        <v>#N/A</v>
      </c>
      <c r="DF396" t="e">
        <f>INDEX('Data_Price '!AO$2:AO$1266,MATCH(Data!$DN396,'Data_Price '!$AT$2:$AT$1266,0))</f>
        <v>#N/A</v>
      </c>
      <c r="DG396" t="e">
        <f>INDEX('Data_Price '!AP$2:AP$1266,MATCH(Data!$DN396,'Data_Price '!$AT$2:$AT$1266,0))</f>
        <v>#N/A</v>
      </c>
      <c r="DH396" t="e">
        <f>INDEX('Data_Price '!AQ$2:AQ$1266,MATCH(Data!$DN396,'Data_Price '!$AT$2:$AT$1266,0))</f>
        <v>#N/A</v>
      </c>
      <c r="DI396" t="e">
        <f>INDEX('Data_Price '!AR$2:AR$1266,MATCH(Data!$DN396,'Data_Price '!$AT$2:$AT$1266,0))</f>
        <v>#N/A</v>
      </c>
      <c r="DJ396" s="89" t="e">
        <f t="shared" si="254"/>
        <v>#N/A</v>
      </c>
      <c r="DK396" s="89" t="e">
        <f t="shared" si="255"/>
        <v>#N/A</v>
      </c>
      <c r="DL396" s="89" t="e">
        <f t="shared" si="256"/>
        <v>#N/A</v>
      </c>
      <c r="DM396" s="219" t="str">
        <f t="shared" si="257"/>
        <v>Bash 86</v>
      </c>
      <c r="DN396" s="89" t="str">
        <f t="shared" si="258"/>
        <v xml:space="preserve"> VölklBash 86180 Unisex</v>
      </c>
      <c r="DO396" s="221" t="s">
        <v>471</v>
      </c>
    </row>
    <row r="397" spans="1:119" ht="15.6" customHeight="1">
      <c r="B397" s="219" t="b">
        <f t="array" ref="B397">IF(OR(ISERROR(K397:P397)),FALSE,TRUE)</f>
        <v>1</v>
      </c>
      <c r="C397" s="43" t="b">
        <f>OR(BR397=Driver!$G$50,Data!BR401=Driver!$H$50)</f>
        <v>1</v>
      </c>
      <c r="D397" s="43" t="b">
        <f>OR(BV397=Driver!$G$51,BV397=Driver!$H$51)</f>
        <v>1</v>
      </c>
      <c r="E397" s="43" t="b">
        <f>AND(BX397&gt;Driver!$F$54,BX397&lt;Driver!$G$54)</f>
        <v>0</v>
      </c>
      <c r="F397" s="43" t="b">
        <f>CL397&gt;Driver!$F$56</f>
        <v>1</v>
      </c>
      <c r="G397" s="43" t="b">
        <f>AND(CB397&gt;Driver!$F$55,CB397&lt;Driver!$G$55)</f>
        <v>0</v>
      </c>
      <c r="H397" s="43" t="b">
        <f t="shared" si="222"/>
        <v>0</v>
      </c>
      <c r="I397" s="43">
        <f t="shared" si="223"/>
        <v>0</v>
      </c>
      <c r="J397" s="43" t="b">
        <f t="array" ref="J397">NOT(OR(($H$9:$H$1273=TRUE)*($I$9:$I$1273&gt;0)*($BT$9:$BT$1273=BT397)*($K$9:$K$1273&gt;K397)))</f>
        <v>1</v>
      </c>
      <c r="K397" s="72">
        <f t="shared" si="224"/>
        <v>0.78901325047747017</v>
      </c>
      <c r="L397" s="72">
        <f t="shared" si="225"/>
        <v>0.89647224950508386</v>
      </c>
      <c r="M397" s="72">
        <f t="shared" si="226"/>
        <v>0.68155425144985649</v>
      </c>
      <c r="N397" s="72">
        <f t="shared" si="227"/>
        <v>0.56649520063207093</v>
      </c>
      <c r="O397" s="72">
        <f t="shared" si="228"/>
        <v>0.66132559541519031</v>
      </c>
      <c r="P397" s="72">
        <f t="shared" si="229"/>
        <v>0.81684195830230832</v>
      </c>
      <c r="Q397" s="72"/>
      <c r="R397" s="72"/>
      <c r="S397" s="72">
        <f t="shared" si="230"/>
        <v>0.58047991282286582</v>
      </c>
      <c r="T397" s="72">
        <f t="shared" si="231"/>
        <v>0.59683442047959079</v>
      </c>
      <c r="U397" s="72">
        <f t="shared" si="232"/>
        <v>0.65386555460961027</v>
      </c>
      <c r="V397" s="72">
        <f t="shared" si="233"/>
        <v>0.51591597833272629</v>
      </c>
      <c r="W397" s="72">
        <f t="shared" si="234"/>
        <v>0.76256201406886337</v>
      </c>
      <c r="X397" s="72">
        <f t="shared" si="235"/>
        <v>0.10352775049491614</v>
      </c>
      <c r="Y397" s="72">
        <f t="shared" si="236"/>
        <v>0.31844574855014351</v>
      </c>
      <c r="Z397" s="72">
        <f t="shared" si="237"/>
        <v>0.43350479936792907</v>
      </c>
      <c r="AA397" s="72">
        <f t="shared" si="238"/>
        <v>0.33867440458480969</v>
      </c>
      <c r="AB397" s="72">
        <f t="shared" si="239"/>
        <v>0.18315804169769173</v>
      </c>
      <c r="AC397" s="72"/>
      <c r="AD397" s="72"/>
      <c r="AE397" s="72">
        <f t="shared" si="240"/>
        <v>0.41952008717713418</v>
      </c>
      <c r="AF397" s="72">
        <f t="shared" si="241"/>
        <v>0.40316557952040921</v>
      </c>
      <c r="AG397" s="72">
        <f t="shared" si="242"/>
        <v>0.34613444539038973</v>
      </c>
      <c r="AH397" s="72">
        <f t="shared" si="243"/>
        <v>0.48408402166727371</v>
      </c>
      <c r="AI397" s="72">
        <f t="shared" si="244"/>
        <v>0.23743798593113663</v>
      </c>
      <c r="AJ397" s="72">
        <f>(AV397-Driver!$K$179)/(Driver!$L$179-Driver!$K$179)</f>
        <v>0.35774715977761656</v>
      </c>
      <c r="AK397" s="72">
        <f>(AW397-Driver!$K$180)/(Driver!$L$180-Driver!$K$180)</f>
        <v>0.45085878254208822</v>
      </c>
      <c r="AL397" s="72">
        <f>(AX397-Driver!$K$181)/(Driver!$L$181-Driver!$K$181)</f>
        <v>0.53519256308100926</v>
      </c>
      <c r="AM397" s="72">
        <f>(AY397-Driver!$K$182)/(Driver!$L$182-Driver!$K$182)</f>
        <v>0.10871061651223665</v>
      </c>
      <c r="AN397" s="72">
        <f>(AZ397-Driver!$K$183)/(Driver!$L$183-Driver!$K$183)</f>
        <v>0.43737745098039216</v>
      </c>
      <c r="AO397" s="72"/>
      <c r="AP397" s="72"/>
      <c r="AQ397" s="72">
        <f>(BC397-Driver!$K$188)/(Driver!$L$188-Driver!$K$188)</f>
        <v>0.20047991282286581</v>
      </c>
      <c r="AR397" s="72">
        <f>MIN((BD397-Driver!$K$189)/(Driver!$L$189-Driver!$K$189),100%)</f>
        <v>0.14683442047959083</v>
      </c>
      <c r="AS397" s="72">
        <f>(BE397-Driver!$K$190)/(Driver!$L$190-Driver!$K$190)</f>
        <v>0.1638655546096103</v>
      </c>
      <c r="AT397" s="72">
        <f>(BF397-Driver!$K$191)/(Driver!$L$191-Driver!$K$191)</f>
        <v>2.5915978332726276E-2</v>
      </c>
      <c r="AU397" s="72">
        <f>(BG397-Driver!$K$192)/(Driver!$L$192-Driver!$K$192)</f>
        <v>1.2562014068863384E-2</v>
      </c>
      <c r="AV397" s="70">
        <f t="shared" si="245"/>
        <v>7.5295075295075282</v>
      </c>
      <c r="AW397" s="70">
        <f t="shared" si="246"/>
        <v>45.812075995404555</v>
      </c>
      <c r="AX397" s="70">
        <f t="shared" si="247"/>
        <v>5.8167330677290838</v>
      </c>
      <c r="AY397" s="70">
        <f>IFERROR(Driver!$K$19/Data!BH397/Data!BI397*Data!BK397*Data!BL397,"")</f>
        <v>0.13309423072833643</v>
      </c>
      <c r="AZ397" s="70">
        <f t="shared" si="248"/>
        <v>39.862248696947134</v>
      </c>
      <c r="BA397" s="70"/>
      <c r="BB397" s="70"/>
      <c r="BC397" s="70">
        <f t="shared" si="249"/>
        <v>103.99032449496342</v>
      </c>
      <c r="BD397" s="70">
        <f t="shared" si="250"/>
        <v>14.715408921343801</v>
      </c>
      <c r="BE397" s="70">
        <f t="shared" si="251"/>
        <v>0.16401471158357389</v>
      </c>
      <c r="BF397" s="70">
        <f t="shared" si="252"/>
        <v>2.9270276826291988</v>
      </c>
      <c r="BG397" s="70">
        <f t="shared" si="253"/>
        <v>4.7567798963346911E-2</v>
      </c>
      <c r="BH397" s="67">
        <f>MAX((CE397-Driver!$F$200)/(Driver!$G$200-Driver!$F$200)*$BI$1,1)</f>
        <v>5.8167330677290838</v>
      </c>
      <c r="BI397" s="67">
        <f>MAX($BI$1*(BY397-Driver!$F$201)/(Driver!$G$201-Driver!$F$201),1)</f>
        <v>8.1645569620253173</v>
      </c>
      <c r="BJ397" s="67">
        <f>(CB397-Driver!$F$206)/(Driver!$G$206-Driver!$F$206)*$BI$1</f>
        <v>3.8095238095238093</v>
      </c>
      <c r="BK397" s="67">
        <f>(CD397-Driver!$F$203)/(Driver!$G$203-Driver!$F$203)*$BI$1</f>
        <v>5.0917431192660558</v>
      </c>
      <c r="BL397" s="67">
        <f>MAX((CR397-Driver!$F$202)/(Driver!$G$202-Driver!$F$202)*$BI$1,1)</f>
        <v>6.2068965517241379</v>
      </c>
      <c r="BM397" s="67">
        <f>MAX((CH397-Driver!$F$204)/(Driver!$G$204-Driver!$F$204)*$BI$1,1)</f>
        <v>7.9059829059829054</v>
      </c>
      <c r="BN397" s="67">
        <f>(CI397-Driver!$F$205)/(Driver!$G$205-Driver!$F$205)*$BI$1</f>
        <v>4.8823529411764701</v>
      </c>
      <c r="BO397" s="67">
        <f>(CK397-Driver!$F$207)/(Driver!$G$207-Driver!$F$207)*$BI$1</f>
        <v>2.3164426059979317</v>
      </c>
      <c r="BP397" s="67">
        <f>(CM397-Driver!$F$208)/(Driver!$G$208-Driver!$F$208)*$BI$1</f>
        <v>1.6888888888888889</v>
      </c>
      <c r="BQ397" s="67">
        <f>(CL397-Driver!$F$209)/(Driver!$G$209-Driver!$F$209)*$BI$1</f>
        <v>2.1875</v>
      </c>
      <c r="BR397" s="28" t="s">
        <v>155</v>
      </c>
      <c r="BS397" s="8" t="s">
        <v>202</v>
      </c>
      <c r="BT397" s="9" t="s">
        <v>203</v>
      </c>
      <c r="BU397" s="10">
        <v>186</v>
      </c>
      <c r="BV397" s="9" t="s">
        <v>158</v>
      </c>
      <c r="BW397" s="10">
        <v>186</v>
      </c>
      <c r="BX397" s="10">
        <v>185.6</v>
      </c>
      <c r="BY397" s="10">
        <v>137</v>
      </c>
      <c r="BZ397" s="10">
        <v>154</v>
      </c>
      <c r="CA397" s="10">
        <v>119</v>
      </c>
      <c r="CB397" s="10">
        <v>88</v>
      </c>
      <c r="CC397" s="10">
        <v>108</v>
      </c>
      <c r="CD397" s="10">
        <v>20.5</v>
      </c>
      <c r="CE397" s="10">
        <v>1922</v>
      </c>
      <c r="CF397" s="10">
        <v>0.95</v>
      </c>
      <c r="CG397" s="10">
        <v>1834</v>
      </c>
      <c r="CH397" s="10">
        <v>286</v>
      </c>
      <c r="CI397" s="10">
        <v>116</v>
      </c>
      <c r="CJ397" s="10">
        <v>66</v>
      </c>
      <c r="CK397" s="10">
        <v>334</v>
      </c>
      <c r="CL397" s="10">
        <v>14</v>
      </c>
      <c r="CM397" s="10">
        <v>152</v>
      </c>
      <c r="CN397" s="10">
        <v>0.219</v>
      </c>
      <c r="CO397" s="10">
        <v>203</v>
      </c>
      <c r="CP397" s="10">
        <v>116</v>
      </c>
      <c r="CQ397" s="10">
        <v>131</v>
      </c>
      <c r="CR397" s="10">
        <v>7</v>
      </c>
      <c r="CS397" s="10">
        <v>11.7</v>
      </c>
      <c r="CT397" s="9" t="s">
        <v>188</v>
      </c>
      <c r="CU397" s="10"/>
      <c r="CV397" s="10"/>
      <c r="CW397" s="10"/>
      <c r="CX397" t="str">
        <f>INDEX('Data_Price '!AG$2:AG$1266,MATCH(Data!$DN397,'Data_Price '!$AT$2:$AT$1266,0))</f>
        <v>Dynastar M-Pro 90 Skis 186cm</v>
      </c>
      <c r="CY397" t="str">
        <f>INDEX('Data_Price '!AH$2:AH$1266,MATCH(Data!$DN397,'Data_Price '!$AT$2:$AT$1266,0))</f>
        <v>Snowcountry.eu</v>
      </c>
      <c r="CZ397">
        <f>INDEX('Data_Price '!AI$2:AI$1266,MATCH(Data!$DN397,'Data_Price '!$AT$2:$AT$1266,0))</f>
        <v>331.01</v>
      </c>
      <c r="DA397" t="str">
        <f>INDEX('Data_Price '!AJ$2:AJ$1266,MATCH(Data!$DN397,'Data_Price '!$AT$2:$AT$1266,0))</f>
        <v>https://tinyurl.com/y9dervtj</v>
      </c>
      <c r="DB397" t="str">
        <f>INDEX('Data_Price '!AK$2:AK$1266,MATCH(Data!$DN397,'Data_Price '!$AT$2:$AT$1266,0))</f>
        <v>Dynastar M-PRO 90 186cm</v>
      </c>
      <c r="DC397" t="str">
        <f>INDEX('Data_Price '!AL$2:AL$1266,MATCH(Data!$DN397,'Data_Price '!$AT$2:$AT$1266,0))</f>
        <v>Sundance Ski and Board Shop</v>
      </c>
      <c r="DD397">
        <f>INDEX('Data_Price '!AM$2:AM$1266,MATCH(Data!$DN397,'Data_Price '!$AT$2:$AT$1266,0))</f>
        <v>448.96</v>
      </c>
      <c r="DE397" t="str">
        <f>INDEX('Data_Price '!AN$2:AN$1266,MATCH(Data!$DN397,'Data_Price '!$AT$2:$AT$1266,0))</f>
        <v>https://tinyurl.com/ycmftbsp</v>
      </c>
      <c r="DF397" t="str">
        <f>INDEX('Data_Price '!AO$2:AO$1266,MATCH(Data!$DN397,'Data_Price '!$AT$2:$AT$1266,0))</f>
        <v>Dynastar M-Pro 90 Skis</v>
      </c>
      <c r="DG397" t="str">
        <f>INDEX('Data_Price '!AP$2:AP$1266,MATCH(Data!$DN397,'Data_Price '!$AT$2:$AT$1266,0))</f>
        <v>Cole Sport</v>
      </c>
      <c r="DH397">
        <f>INDEX('Data_Price '!AQ$2:AQ$1266,MATCH(Data!$DN397,'Data_Price '!$AT$2:$AT$1266,0))</f>
        <v>479.96</v>
      </c>
      <c r="DI397" t="str">
        <f>INDEX('Data_Price '!AR$2:AR$1266,MATCH(Data!$DN397,'Data_Price '!$AT$2:$AT$1266,0))</f>
        <v>https://tinyurl.com/y6uzpfgw</v>
      </c>
      <c r="DJ397" s="89" t="str">
        <f t="shared" si="254"/>
        <v>https://tinyurl.com/y9dervtj</v>
      </c>
      <c r="DK397" s="89" t="str">
        <f t="shared" si="255"/>
        <v>https://tinyurl.com/ycmftbsp</v>
      </c>
      <c r="DL397" s="89" t="str">
        <f t="shared" si="256"/>
        <v>https://tinyurl.com/y6uzpfgw</v>
      </c>
      <c r="DM397" s="219" t="str">
        <f t="shared" si="257"/>
        <v>M-Pro 90</v>
      </c>
      <c r="DN397" s="89" t="str">
        <f t="shared" si="258"/>
        <v xml:space="preserve"> DynastarM-Pro 90186 Unisex</v>
      </c>
      <c r="DO397" s="221" t="s">
        <v>204</v>
      </c>
    </row>
    <row r="398" spans="1:119" ht="15.6" customHeight="1">
      <c r="B398" s="219" t="b">
        <f t="array" ref="B398">IF(OR(ISERROR(K398:P398)),FALSE,TRUE)</f>
        <v>1</v>
      </c>
      <c r="C398" s="43" t="b">
        <f>OR(BR398=Driver!$G$50,Data!BR1239=Driver!$H$50)</f>
        <v>1</v>
      </c>
      <c r="D398" s="43" t="b">
        <f>OR(BV398=Driver!$G$51,BV398=Driver!$H$51)</f>
        <v>1</v>
      </c>
      <c r="E398" s="43" t="b">
        <f>AND(BX398&gt;Driver!$F$54,BX398&lt;Driver!$G$54)</f>
        <v>0</v>
      </c>
      <c r="F398" s="43" t="b">
        <f>CL398&gt;Driver!$F$56</f>
        <v>1</v>
      </c>
      <c r="G398" s="43" t="b">
        <f>AND(CB398&gt;Driver!$F$55,CB398&lt;Driver!$G$55)</f>
        <v>0</v>
      </c>
      <c r="H398" s="43" t="b">
        <f t="shared" si="222"/>
        <v>0</v>
      </c>
      <c r="I398" s="43">
        <f t="shared" si="223"/>
        <v>0</v>
      </c>
      <c r="J398" s="43" t="b">
        <f t="array" ref="J398">NOT(OR(($H$9:$H$1273=TRUE)*($I$9:$I$1273&gt;0)*($BT$9:$BT$1273=BT398)*($K$9:$K$1273&gt;K398)))</f>
        <v>1</v>
      </c>
      <c r="K398" s="72">
        <f t="shared" si="224"/>
        <v>0.8403569674327489</v>
      </c>
      <c r="L398" s="72">
        <f t="shared" si="225"/>
        <v>0.9584951181526391</v>
      </c>
      <c r="M398" s="72">
        <f t="shared" si="226"/>
        <v>0.7222188167128587</v>
      </c>
      <c r="N398" s="72">
        <f t="shared" si="227"/>
        <v>0.62214561484822228</v>
      </c>
      <c r="O398" s="72">
        <f t="shared" si="228"/>
        <v>0.64772606653052944</v>
      </c>
      <c r="P398" s="72">
        <f t="shared" si="229"/>
        <v>0.8967847687598246</v>
      </c>
      <c r="Q398" s="72"/>
      <c r="R398" s="72"/>
      <c r="S398" s="72">
        <f t="shared" si="230"/>
        <v>0.51258087106960271</v>
      </c>
      <c r="T398" s="72">
        <f t="shared" si="231"/>
        <v>0.56934469961560252</v>
      </c>
      <c r="U398" s="72">
        <f t="shared" si="232"/>
        <v>0.69137717471829707</v>
      </c>
      <c r="V398" s="72">
        <f t="shared" si="233"/>
        <v>0.49882007073792733</v>
      </c>
      <c r="W398" s="72">
        <f t="shared" si="234"/>
        <v>0.81357334047109209</v>
      </c>
      <c r="X398" s="72">
        <f t="shared" si="235"/>
        <v>4.1504881847360842E-2</v>
      </c>
      <c r="Y398" s="72">
        <f t="shared" si="236"/>
        <v>0.27778118328714124</v>
      </c>
      <c r="Z398" s="72">
        <f t="shared" si="237"/>
        <v>0.37785438515177777</v>
      </c>
      <c r="AA398" s="72">
        <f t="shared" si="238"/>
        <v>0.35227393346947056</v>
      </c>
      <c r="AB398" s="72">
        <f t="shared" si="239"/>
        <v>0.1032152312401754</v>
      </c>
      <c r="AC398" s="72"/>
      <c r="AD398" s="72"/>
      <c r="AE398" s="72">
        <f t="shared" si="240"/>
        <v>0.48741912893039729</v>
      </c>
      <c r="AF398" s="72">
        <f t="shared" si="241"/>
        <v>0.43065530038439748</v>
      </c>
      <c r="AG398" s="72">
        <f t="shared" si="242"/>
        <v>0.30862282528170298</v>
      </c>
      <c r="AH398" s="72">
        <f t="shared" si="243"/>
        <v>0.50117992926207267</v>
      </c>
      <c r="AI398" s="72">
        <f t="shared" si="244"/>
        <v>0.18642665952890791</v>
      </c>
      <c r="AJ398" s="72">
        <f>(AV398-Driver!$K$179)/(Driver!$L$179-Driver!$K$179)</f>
        <v>0.21271452743533958</v>
      </c>
      <c r="AK398" s="72">
        <f>(AW398-Driver!$K$180)/(Driver!$L$180-Driver!$K$180)</f>
        <v>0.37078981225172331</v>
      </c>
      <c r="AL398" s="72">
        <f>(AX398-Driver!$K$181)/(Driver!$L$181-Driver!$K$181)</f>
        <v>0.47954214886485796</v>
      </c>
      <c r="AM398" s="72">
        <f>(AY398-Driver!$K$182)/(Driver!$L$182-Driver!$K$182)</f>
        <v>9.5111087627575835E-2</v>
      </c>
      <c r="AN398" s="72">
        <f>(AZ398-Driver!$K$183)/(Driver!$L$183-Driver!$K$183)</f>
        <v>0.35743464052287582</v>
      </c>
      <c r="AO398" s="72"/>
      <c r="AP398" s="72"/>
      <c r="AQ398" s="72">
        <f>(BC398-Driver!$K$188)/(Driver!$L$188-Driver!$K$188)</f>
        <v>0.13258087106960267</v>
      </c>
      <c r="AR398" s="72">
        <f>MIN((BD398-Driver!$K$189)/(Driver!$L$189-Driver!$K$189),100%)</f>
        <v>0.11934469961560257</v>
      </c>
      <c r="AS398" s="72">
        <f>(BE398-Driver!$K$190)/(Driver!$L$190-Driver!$K$190)</f>
        <v>0.20137717471829703</v>
      </c>
      <c r="AT398" s="72">
        <f>(BF398-Driver!$K$191)/(Driver!$L$191-Driver!$K$191)</f>
        <v>8.8200707379273973E-3</v>
      </c>
      <c r="AU398" s="72">
        <f>(BG398-Driver!$K$192)/(Driver!$L$192-Driver!$K$192)</f>
        <v>6.3573340471092074E-2</v>
      </c>
      <c r="AV398" s="70">
        <f t="shared" si="245"/>
        <v>4.4770044770044768</v>
      </c>
      <c r="AW398" s="70">
        <f t="shared" si="246"/>
        <v>38.008645357357118</v>
      </c>
      <c r="AX398" s="70">
        <f t="shared" si="247"/>
        <v>5.3158793397837218</v>
      </c>
      <c r="AY398" s="70">
        <f>IFERROR(Driver!$K$19/Data!BH398/Data!BI398*Data!BK398*Data!BL398,"")</f>
        <v>0.11644434966572666</v>
      </c>
      <c r="AZ398" s="70">
        <f t="shared" si="248"/>
        <v>32.576321667907671</v>
      </c>
      <c r="BA398" s="70"/>
      <c r="BB398" s="70"/>
      <c r="BC398" s="70">
        <f t="shared" si="249"/>
        <v>68.770619511065519</v>
      </c>
      <c r="BD398" s="70">
        <f t="shared" si="250"/>
        <v>12.282617333783953</v>
      </c>
      <c r="BE398" s="70">
        <f t="shared" si="251"/>
        <v>0.20151964004144449</v>
      </c>
      <c r="BF398" s="70">
        <f t="shared" si="252"/>
        <v>0.99616502534501916</v>
      </c>
      <c r="BG398" s="70">
        <f t="shared" si="253"/>
        <v>0.24072922243040687</v>
      </c>
      <c r="BH398" s="67">
        <f>MAX((CE398-Driver!$F$200)/(Driver!$G$200-Driver!$F$200)*$BI$1,1)</f>
        <v>5.3158793397837218</v>
      </c>
      <c r="BI398" s="67">
        <f>MAX($BI$1*(BY398-Driver!$F$201)/(Driver!$G$201-Driver!$F$201),1)</f>
        <v>7.9113924050632916</v>
      </c>
      <c r="BJ398" s="67">
        <f>(CB398-Driver!$F$206)/(Driver!$G$206-Driver!$F$206)*$BI$1</f>
        <v>3.4920634920634921</v>
      </c>
      <c r="BK398" s="67">
        <f>(CD398-Driver!$F$203)/(Driver!$G$203-Driver!$F$203)*$BI$1</f>
        <v>3.9449541284403673</v>
      </c>
      <c r="BL398" s="67">
        <f>MAX((CR398-Driver!$F$202)/(Driver!$G$202-Driver!$F$202)*$BI$1,1)</f>
        <v>6.2068965517241379</v>
      </c>
      <c r="BM398" s="67">
        <f>MAX((CH398-Driver!$F$204)/(Driver!$G$204-Driver!$F$204)*$BI$1,1)</f>
        <v>5.1282051282051277</v>
      </c>
      <c r="BN398" s="67">
        <f>(CI398-Driver!$F$205)/(Driver!$G$205-Driver!$F$205)*$BI$1</f>
        <v>4.117647058823529</v>
      </c>
      <c r="BO398" s="67">
        <f>(CK398-Driver!$F$207)/(Driver!$G$207-Driver!$F$207)*$BI$1</f>
        <v>0.61013443640124088</v>
      </c>
      <c r="BP398" s="67">
        <f>(CM398-Driver!$F$208)/(Driver!$G$208-Driver!$F$208)*$BI$1</f>
        <v>1.8444444444444443</v>
      </c>
      <c r="BQ398" s="67">
        <f>(CL398-Driver!$F$209)/(Driver!$G$209-Driver!$F$209)*$BI$1</f>
        <v>6.5625</v>
      </c>
      <c r="BR398" s="28" t="s">
        <v>155</v>
      </c>
      <c r="BS398" s="8" t="s">
        <v>229</v>
      </c>
      <c r="BT398" s="9" t="s">
        <v>575</v>
      </c>
      <c r="BU398" s="10">
        <v>169</v>
      </c>
      <c r="BV398" s="9" t="s">
        <v>158</v>
      </c>
      <c r="BW398" s="10">
        <v>169</v>
      </c>
      <c r="BX398" s="10">
        <v>166.1</v>
      </c>
      <c r="BY398" s="10">
        <v>133</v>
      </c>
      <c r="BZ398" s="10">
        <v>145</v>
      </c>
      <c r="CA398" s="10">
        <v>115</v>
      </c>
      <c r="CB398" s="10">
        <v>86</v>
      </c>
      <c r="CC398" s="10">
        <v>115</v>
      </c>
      <c r="CD398" s="10">
        <v>18</v>
      </c>
      <c r="CE398" s="10">
        <v>1834</v>
      </c>
      <c r="CF398" s="10">
        <v>0.87</v>
      </c>
      <c r="CG398" s="10">
        <v>1604</v>
      </c>
      <c r="CH398" s="10">
        <v>221</v>
      </c>
      <c r="CI398" s="10">
        <v>103</v>
      </c>
      <c r="CJ398" s="10">
        <v>45</v>
      </c>
      <c r="CK398" s="10">
        <v>169</v>
      </c>
      <c r="CL398" s="10">
        <v>42</v>
      </c>
      <c r="CM398" s="10">
        <v>166</v>
      </c>
      <c r="CN398" s="10">
        <v>0.92900000000000005</v>
      </c>
      <c r="CO398" s="10">
        <v>103</v>
      </c>
      <c r="CP398" s="10">
        <v>110</v>
      </c>
      <c r="CQ398" s="10">
        <v>67</v>
      </c>
      <c r="CR398" s="10">
        <v>7</v>
      </c>
      <c r="CS398" s="10">
        <v>0.4</v>
      </c>
      <c r="CT398" s="9" t="s">
        <v>184</v>
      </c>
      <c r="CU398" s="10"/>
      <c r="CV398" s="10"/>
      <c r="CW398" s="10"/>
      <c r="CX398" t="e">
        <f>INDEX('Data_Price '!AG$2:AG$1266,MATCH(Data!$DN398,'Data_Price '!$AT$2:$AT$1266,0))</f>
        <v>#N/A</v>
      </c>
      <c r="CY398" t="e">
        <f>INDEX('Data_Price '!AH$2:AH$1266,MATCH(Data!$DN398,'Data_Price '!$AT$2:$AT$1266,0))</f>
        <v>#N/A</v>
      </c>
      <c r="CZ398" t="e">
        <f>INDEX('Data_Price '!AI$2:AI$1266,MATCH(Data!$DN398,'Data_Price '!$AT$2:$AT$1266,0))</f>
        <v>#N/A</v>
      </c>
      <c r="DA398" t="e">
        <f>INDEX('Data_Price '!AJ$2:AJ$1266,MATCH(Data!$DN398,'Data_Price '!$AT$2:$AT$1266,0))</f>
        <v>#N/A</v>
      </c>
      <c r="DB398" t="e">
        <f>INDEX('Data_Price '!AK$2:AK$1266,MATCH(Data!$DN398,'Data_Price '!$AT$2:$AT$1266,0))</f>
        <v>#N/A</v>
      </c>
      <c r="DC398" t="e">
        <f>INDEX('Data_Price '!AL$2:AL$1266,MATCH(Data!$DN398,'Data_Price '!$AT$2:$AT$1266,0))</f>
        <v>#N/A</v>
      </c>
      <c r="DD398" t="e">
        <f>INDEX('Data_Price '!AM$2:AM$1266,MATCH(Data!$DN398,'Data_Price '!$AT$2:$AT$1266,0))</f>
        <v>#N/A</v>
      </c>
      <c r="DE398" t="e">
        <f>INDEX('Data_Price '!AN$2:AN$1266,MATCH(Data!$DN398,'Data_Price '!$AT$2:$AT$1266,0))</f>
        <v>#N/A</v>
      </c>
      <c r="DF398" t="e">
        <f>INDEX('Data_Price '!AO$2:AO$1266,MATCH(Data!$DN398,'Data_Price '!$AT$2:$AT$1266,0))</f>
        <v>#N/A</v>
      </c>
      <c r="DG398" t="e">
        <f>INDEX('Data_Price '!AP$2:AP$1266,MATCH(Data!$DN398,'Data_Price '!$AT$2:$AT$1266,0))</f>
        <v>#N/A</v>
      </c>
      <c r="DH398" t="e">
        <f>INDEX('Data_Price '!AQ$2:AQ$1266,MATCH(Data!$DN398,'Data_Price '!$AT$2:$AT$1266,0))</f>
        <v>#N/A</v>
      </c>
      <c r="DI398" t="e">
        <f>INDEX('Data_Price '!AR$2:AR$1266,MATCH(Data!$DN398,'Data_Price '!$AT$2:$AT$1266,0))</f>
        <v>#N/A</v>
      </c>
      <c r="DJ398" s="89" t="e">
        <f t="shared" si="254"/>
        <v>#N/A</v>
      </c>
      <c r="DK398" s="89" t="e">
        <f t="shared" si="255"/>
        <v>#N/A</v>
      </c>
      <c r="DL398" s="89" t="e">
        <f t="shared" si="256"/>
        <v>#N/A</v>
      </c>
      <c r="DM398" s="219" t="str">
        <f t="shared" si="257"/>
        <v>Revolt 87</v>
      </c>
      <c r="DN398" s="89" t="str">
        <f t="shared" si="258"/>
        <v xml:space="preserve"> VölklRevolt 87169 Unisex</v>
      </c>
      <c r="DO398" s="221" t="s">
        <v>576</v>
      </c>
    </row>
    <row r="399" spans="1:119" ht="15.6" customHeight="1">
      <c r="B399" s="219" t="b">
        <f t="array" ref="B399">IF(OR(ISERROR(K399:P399)),FALSE,TRUE)</f>
        <v>1</v>
      </c>
      <c r="C399" s="43" t="b">
        <f>OR(BR399=Driver!$G$50,Data!BR848=Driver!$H$50)</f>
        <v>1</v>
      </c>
      <c r="D399" s="43" t="b">
        <f>OR(BV399=Driver!$G$51,BV399=Driver!$H$51)</f>
        <v>0</v>
      </c>
      <c r="E399" s="43" t="b">
        <f>AND(BX399&gt;Driver!$F$54,BX399&lt;Driver!$G$54)</f>
        <v>0</v>
      </c>
      <c r="F399" s="43" t="b">
        <f>CL399&gt;Driver!$F$56</f>
        <v>1</v>
      </c>
      <c r="G399" s="43" t="b">
        <f>AND(CB399&gt;Driver!$F$55,CB399&lt;Driver!$G$55)</f>
        <v>1</v>
      </c>
      <c r="H399" s="43" t="b">
        <f t="shared" si="222"/>
        <v>0</v>
      </c>
      <c r="I399" s="43">
        <f t="shared" si="223"/>
        <v>0</v>
      </c>
      <c r="J399" s="43" t="b">
        <f t="array" ref="J399">NOT(OR(($H$9:$H$1273=TRUE)*($I$9:$I$1273&gt;0)*($BT$9:$BT$1273=BT399)*($K$9:$K$1273&gt;K399)))</f>
        <v>1</v>
      </c>
      <c r="K399" s="72">
        <f t="shared" si="224"/>
        <v>0.90504167179547601</v>
      </c>
      <c r="L399" s="72">
        <f t="shared" si="225"/>
        <v>0.98508443408205659</v>
      </c>
      <c r="M399" s="72">
        <f t="shared" si="226"/>
        <v>0.82499890950889543</v>
      </c>
      <c r="N399" s="72">
        <f t="shared" si="227"/>
        <v>0.81502489139283729</v>
      </c>
      <c r="O399" s="72">
        <f t="shared" si="228"/>
        <v>0.70438732484792188</v>
      </c>
      <c r="P399" s="72">
        <f t="shared" si="229"/>
        <v>0.955584512285927</v>
      </c>
      <c r="Q399" s="72"/>
      <c r="R399" s="72"/>
      <c r="S399" s="72">
        <f t="shared" si="230"/>
        <v>0.43631115937622944</v>
      </c>
      <c r="T399" s="72">
        <f t="shared" si="231"/>
        <v>0.45214211544168148</v>
      </c>
      <c r="U399" s="72">
        <f t="shared" si="232"/>
        <v>0.53737405514994219</v>
      </c>
      <c r="V399" s="72">
        <f t="shared" si="233"/>
        <v>0.61327113074568373</v>
      </c>
      <c r="W399" s="72">
        <f t="shared" si="234"/>
        <v>0.88077034253504838</v>
      </c>
      <c r="X399" s="72">
        <f t="shared" si="235"/>
        <v>1.491556591794338E-2</v>
      </c>
      <c r="Y399" s="72">
        <f t="shared" si="236"/>
        <v>0.1750010904911046</v>
      </c>
      <c r="Z399" s="72">
        <f t="shared" si="237"/>
        <v>0.18497510860716265</v>
      </c>
      <c r="AA399" s="72">
        <f t="shared" si="238"/>
        <v>0.29561267515207812</v>
      </c>
      <c r="AB399" s="72">
        <f t="shared" si="239"/>
        <v>4.4415487714073026E-2</v>
      </c>
      <c r="AC399" s="72"/>
      <c r="AD399" s="72"/>
      <c r="AE399" s="72">
        <f t="shared" si="240"/>
        <v>0.56368884062377056</v>
      </c>
      <c r="AF399" s="72">
        <f t="shared" si="241"/>
        <v>0.54785788455831852</v>
      </c>
      <c r="AG399" s="72">
        <f t="shared" si="242"/>
        <v>0.46262594485005781</v>
      </c>
      <c r="AH399" s="72">
        <f t="shared" si="243"/>
        <v>0.38672886925431627</v>
      </c>
      <c r="AI399" s="72">
        <f t="shared" si="244"/>
        <v>0.11922965746495159</v>
      </c>
      <c r="AJ399" s="72">
        <f>(AV399-Driver!$K$179)/(Driver!$L$179-Driver!$K$179)</f>
        <v>0.23930384336475705</v>
      </c>
      <c r="AK399" s="72">
        <f>(AW399-Driver!$K$180)/(Driver!$L$180-Driver!$K$180)</f>
        <v>0.21563209068934519</v>
      </c>
      <c r="AL399" s="72">
        <f>(AX399-Driver!$K$181)/(Driver!$L$181-Driver!$K$181)</f>
        <v>0.28666287232024285</v>
      </c>
      <c r="AM399" s="72">
        <f>(AY399-Driver!$K$182)/(Driver!$L$182-Driver!$K$182)</f>
        <v>0.15177234594496825</v>
      </c>
      <c r="AN399" s="72">
        <f>(AZ399-Driver!$K$183)/(Driver!$L$183-Driver!$K$183)</f>
        <v>0.2098039215686274</v>
      </c>
      <c r="AO399" s="72"/>
      <c r="AP399" s="72"/>
      <c r="AQ399" s="72">
        <f>(BC399-Driver!$K$188)/(Driver!$L$188-Driver!$K$188)</f>
        <v>5.6311159376229485E-2</v>
      </c>
      <c r="AR399" s="72">
        <f>MIN((BD399-Driver!$K$189)/(Driver!$L$189-Driver!$K$189),100%)</f>
        <v>2.1421154416814882E-3</v>
      </c>
      <c r="AS399" s="72">
        <f>(BE399-Driver!$K$190)/(Driver!$L$190-Driver!$K$190)</f>
        <v>4.7374055149942203E-2</v>
      </c>
      <c r="AT399" s="72">
        <f>(BF399-Driver!$K$191)/(Driver!$L$191-Driver!$K$191)</f>
        <v>0.12327113074568372</v>
      </c>
      <c r="AU399" s="72">
        <f>(BG399-Driver!$K$192)/(Driver!$L$192-Driver!$K$192)</f>
        <v>0.13077034253504841</v>
      </c>
      <c r="AV399" s="70">
        <f t="shared" si="245"/>
        <v>5.0366300366300365</v>
      </c>
      <c r="AW399" s="70">
        <f t="shared" si="246"/>
        <v>22.887150553830317</v>
      </c>
      <c r="AX399" s="70">
        <f t="shared" si="247"/>
        <v>3.5799658508821857</v>
      </c>
      <c r="AY399" s="70">
        <f>IFERROR(Driver!$K$19/Data!BH399/Data!BI399*Data!BK399*Data!BL399,"")</f>
        <v>0.18581463593398673</v>
      </c>
      <c r="AZ399" s="70">
        <f t="shared" si="248"/>
        <v>19.121370067014144</v>
      </c>
      <c r="BA399" s="70"/>
      <c r="BB399" s="70"/>
      <c r="BC399" s="70">
        <f t="shared" si="249"/>
        <v>29.208989837279191</v>
      </c>
      <c r="BD399" s="70">
        <f t="shared" si="250"/>
        <v>1.9103963050825736</v>
      </c>
      <c r="BE399" s="70">
        <f t="shared" si="251"/>
        <v>4.754399289624172E-2</v>
      </c>
      <c r="BF399" s="70">
        <f t="shared" si="252"/>
        <v>13.922608189017678</v>
      </c>
      <c r="BG399" s="70">
        <f t="shared" si="253"/>
        <v>0.49517993929758636</v>
      </c>
      <c r="BH399" s="67">
        <f>MAX((CE399-Driver!$F$200)/(Driver!$G$200-Driver!$F$200)*$BI$1,1)</f>
        <v>3.5799658508821857</v>
      </c>
      <c r="BI399" s="67">
        <f>MAX($BI$1*(BY399-Driver!$F$201)/(Driver!$G$201-Driver!$F$201),1)</f>
        <v>6.7721518987341769</v>
      </c>
      <c r="BJ399" s="67">
        <f>(CB399-Driver!$F$206)/(Driver!$G$206-Driver!$F$206)*$BI$1</f>
        <v>7.1428571428571432</v>
      </c>
      <c r="BK399" s="67">
        <f>(CD399-Driver!$F$203)/(Driver!$G$203-Driver!$F$203)*$BI$1</f>
        <v>4.0825688073394497</v>
      </c>
      <c r="BL399" s="67">
        <f>MAX((CR399-Driver!$F$202)/(Driver!$G$202-Driver!$F$202)*$BI$1,1)</f>
        <v>5.5172413793103452</v>
      </c>
      <c r="BM399" s="67">
        <f>MAX((CH399-Driver!$F$204)/(Driver!$G$204-Driver!$F$204)*$BI$1,1)</f>
        <v>2.8205128205128203</v>
      </c>
      <c r="BN399" s="67">
        <f>(CI399-Driver!$F$205)/(Driver!$G$205-Driver!$F$205)*$BI$1</f>
        <v>2.8235294117647056</v>
      </c>
      <c r="BO399" s="67">
        <f>(CK399-Driver!$F$207)/(Driver!$G$207-Driver!$F$207)*$BI$1</f>
        <v>2.512926577042399</v>
      </c>
      <c r="BP399" s="67">
        <f>(CM399-Driver!$F$208)/(Driver!$G$208-Driver!$F$208)*$BI$1</f>
        <v>3.1666666666666665</v>
      </c>
      <c r="BQ399" s="67">
        <f>(CL399-Driver!$F$209)/(Driver!$G$209-Driver!$F$209)*$BI$1</f>
        <v>5</v>
      </c>
      <c r="BR399" s="28" t="s">
        <v>155</v>
      </c>
      <c r="BS399" s="8" t="s">
        <v>208</v>
      </c>
      <c r="BT399" s="9" t="s">
        <v>577</v>
      </c>
      <c r="BU399" s="10">
        <v>178</v>
      </c>
      <c r="BV399" s="9" t="s">
        <v>163</v>
      </c>
      <c r="BW399" s="10">
        <v>178</v>
      </c>
      <c r="BX399" s="10">
        <v>178.5</v>
      </c>
      <c r="BY399" s="10">
        <v>115</v>
      </c>
      <c r="BZ399" s="10">
        <v>145</v>
      </c>
      <c r="CA399" s="10">
        <v>142</v>
      </c>
      <c r="CB399" s="10">
        <v>109</v>
      </c>
      <c r="CC399" s="10">
        <v>128</v>
      </c>
      <c r="CD399" s="10">
        <v>18.3</v>
      </c>
      <c r="CE399" s="10">
        <v>1529</v>
      </c>
      <c r="CF399" s="10">
        <v>1.38</v>
      </c>
      <c r="CG399" s="10">
        <v>2115</v>
      </c>
      <c r="CH399" s="10">
        <v>167</v>
      </c>
      <c r="CI399" s="10">
        <v>81</v>
      </c>
      <c r="CJ399" s="10">
        <v>54</v>
      </c>
      <c r="CK399" s="10">
        <v>353</v>
      </c>
      <c r="CL399" s="10">
        <v>32</v>
      </c>
      <c r="CM399" s="10">
        <v>285</v>
      </c>
      <c r="CN399" s="10">
        <v>0.6</v>
      </c>
      <c r="CO399" s="10">
        <v>162</v>
      </c>
      <c r="CP399" s="10">
        <v>177</v>
      </c>
      <c r="CQ399" s="10">
        <v>191</v>
      </c>
      <c r="CR399" s="10">
        <v>5</v>
      </c>
      <c r="CS399" s="10">
        <v>5.5</v>
      </c>
      <c r="CT399" s="9" t="s">
        <v>169</v>
      </c>
      <c r="CU399" s="9" t="s">
        <v>185</v>
      </c>
      <c r="CV399" s="9" t="s">
        <v>198</v>
      </c>
      <c r="CW399" s="10"/>
      <c r="CX399" t="str">
        <f>INDEX('Data_Price '!AG$2:AG$1266,MATCH(Data!$DN399,'Data_Price '!$AT$2:$AT$1266,0))</f>
        <v>Line Skis Pandora 110 Skis Women's 2022 - 178</v>
      </c>
      <c r="CY399" t="str">
        <f>INDEX('Data_Price '!AH$2:AH$1266,MATCH(Data!$DN399,'Data_Price '!$AT$2:$AT$1266,0))</f>
        <v>Backcountry.com</v>
      </c>
      <c r="CZ399">
        <f>INDEX('Data_Price '!AI$2:AI$1266,MATCH(Data!$DN399,'Data_Price '!$AT$2:$AT$1266,0))</f>
        <v>559.96</v>
      </c>
      <c r="DA399" t="str">
        <f>INDEX('Data_Price '!AJ$2:AJ$1266,MATCH(Data!$DN399,'Data_Price '!$AT$2:$AT$1266,0))</f>
        <v>https://tinyurl.com/yddy2w4d</v>
      </c>
      <c r="DB399" t="str">
        <f>INDEX('Data_Price '!AK$2:AK$1266,MATCH(Data!$DN399,'Data_Price '!$AT$2:$AT$1266,0))</f>
        <v>Line Skis Pandora 110 Skis Women's 2022 - 178</v>
      </c>
      <c r="DC399" t="str">
        <f>INDEX('Data_Price '!AL$2:AL$1266,MATCH(Data!$DN399,'Data_Price '!$AT$2:$AT$1266,0))</f>
        <v>Steep &amp; Cheap</v>
      </c>
      <c r="DD399">
        <f>INDEX('Data_Price '!AM$2:AM$1266,MATCH(Data!$DN399,'Data_Price '!$AT$2:$AT$1266,0))</f>
        <v>559.96</v>
      </c>
      <c r="DE399" t="str">
        <f>INDEX('Data_Price '!AN$2:AN$1266,MATCH(Data!$DN399,'Data_Price '!$AT$2:$AT$1266,0))</f>
        <v>https://tinyurl.com/y7ttwhaz</v>
      </c>
      <c r="DF399" t="str">
        <f>INDEX('Data_Price '!AO$2:AO$1266,MATCH(Data!$DN399,'Data_Price '!$AT$2:$AT$1266,0))</f>
        <v>Line Skis Pandora 110 Skis Women's 2022 - 178</v>
      </c>
      <c r="DG399" t="str">
        <f>INDEX('Data_Price '!AP$2:AP$1266,MATCH(Data!$DN399,'Data_Price '!$AT$2:$AT$1266,0))</f>
        <v>LINE Skis</v>
      </c>
      <c r="DH399">
        <f>INDEX('Data_Price '!AQ$2:AQ$1266,MATCH(Data!$DN399,'Data_Price '!$AT$2:$AT$1266,0))</f>
        <v>699.95</v>
      </c>
      <c r="DI399" t="str">
        <f>INDEX('Data_Price '!AR$2:AR$1266,MATCH(Data!$DN399,'Data_Price '!$AT$2:$AT$1266,0))</f>
        <v>https://tinyurl.com/y9b253jt</v>
      </c>
      <c r="DJ399" s="89" t="str">
        <f t="shared" si="254"/>
        <v>https://tinyurl.com/yddy2w4d</v>
      </c>
      <c r="DK399" s="89" t="str">
        <f t="shared" si="255"/>
        <v>https://tinyurl.com/y7ttwhaz</v>
      </c>
      <c r="DL399" s="89" t="str">
        <f t="shared" si="256"/>
        <v>https://tinyurl.com/y9b253jt</v>
      </c>
      <c r="DM399" s="219" t="str">
        <f t="shared" si="257"/>
        <v>Pandora 110</v>
      </c>
      <c r="DN399" s="89" t="str">
        <f t="shared" si="258"/>
        <v xml:space="preserve"> LinePandora 110178 Women's</v>
      </c>
      <c r="DO399" s="221" t="s">
        <v>578</v>
      </c>
    </row>
    <row r="400" spans="1:119" ht="15.6" customHeight="1">
      <c r="B400" s="219" t="b">
        <f t="array" ref="B400">IF(OR(ISERROR(K400:P400)),FALSE,TRUE)</f>
        <v>1</v>
      </c>
      <c r="C400" s="43" t="b">
        <f>OR(BR400=Driver!$G$50,Data!BR197=Driver!$H$50)</f>
        <v>1</v>
      </c>
      <c r="D400" s="43" t="b">
        <f>OR(BV400=Driver!$G$51,BV400=Driver!$H$51)</f>
        <v>1</v>
      </c>
      <c r="E400" s="43" t="b">
        <f>AND(BX400&gt;Driver!$F$54,BX400&lt;Driver!$G$54)</f>
        <v>0</v>
      </c>
      <c r="F400" s="43" t="b">
        <f>CL400&gt;Driver!$F$56</f>
        <v>1</v>
      </c>
      <c r="G400" s="43" t="b">
        <f>AND(CB400&gt;Driver!$F$55,CB400&lt;Driver!$G$55)</f>
        <v>1</v>
      </c>
      <c r="H400" s="43" t="b">
        <f t="shared" si="222"/>
        <v>0</v>
      </c>
      <c r="I400" s="43">
        <f t="shared" si="223"/>
        <v>0</v>
      </c>
      <c r="J400" s="43" t="b">
        <f t="array" ref="J400">NOT(OR(($H$9:$H$1273=TRUE)*($I$9:$I$1273&gt;0)*($BT$9:$BT$1273=BT400)*($K$9:$K$1273&gt;K400)))</f>
        <v>1</v>
      </c>
      <c r="K400" s="72">
        <f t="shared" si="224"/>
        <v>0.8288889881723458</v>
      </c>
      <c r="L400" s="72">
        <f t="shared" si="225"/>
        <v>0.91387616538615712</v>
      </c>
      <c r="M400" s="72">
        <f t="shared" si="226"/>
        <v>0.74390181095853447</v>
      </c>
      <c r="N400" s="72">
        <f t="shared" si="227"/>
        <v>0.58040780418610871</v>
      </c>
      <c r="O400" s="72">
        <f t="shared" si="228"/>
        <v>0.66336017522709734</v>
      </c>
      <c r="P400" s="72">
        <f t="shared" si="229"/>
        <v>0.9879374534623977</v>
      </c>
      <c r="Q400" s="72"/>
      <c r="R400" s="72"/>
      <c r="S400" s="72">
        <f t="shared" si="230"/>
        <v>0.46123819138262456</v>
      </c>
      <c r="T400" s="72">
        <f t="shared" si="231"/>
        <v>0.47186219398009455</v>
      </c>
      <c r="U400" s="72">
        <f t="shared" si="232"/>
        <v>0.5378585325348777</v>
      </c>
      <c r="V400" s="72">
        <f t="shared" si="233"/>
        <v>0.55900760993953047</v>
      </c>
      <c r="W400" s="72">
        <f t="shared" si="234"/>
        <v>0.80301562500000001</v>
      </c>
      <c r="X400" s="72">
        <f t="shared" si="235"/>
        <v>8.6123834613842876E-2</v>
      </c>
      <c r="Y400" s="72">
        <f t="shared" si="236"/>
        <v>0.25609818904146547</v>
      </c>
      <c r="Z400" s="72">
        <f t="shared" si="237"/>
        <v>0.41959219581389129</v>
      </c>
      <c r="AA400" s="72">
        <f t="shared" si="238"/>
        <v>0.33663982477290266</v>
      </c>
      <c r="AB400" s="72">
        <f t="shared" si="239"/>
        <v>1.2062546537602359E-2</v>
      </c>
      <c r="AC400" s="72"/>
      <c r="AD400" s="72"/>
      <c r="AE400" s="72">
        <f t="shared" si="240"/>
        <v>0.53876180861737544</v>
      </c>
      <c r="AF400" s="72">
        <f t="shared" si="241"/>
        <v>0.52813780601990545</v>
      </c>
      <c r="AG400" s="72">
        <f t="shared" si="242"/>
        <v>0.46214146746512236</v>
      </c>
      <c r="AH400" s="72">
        <f t="shared" si="243"/>
        <v>0.44099239006046959</v>
      </c>
      <c r="AI400" s="72">
        <f t="shared" si="244"/>
        <v>0.19698437500000002</v>
      </c>
      <c r="AJ400" s="72">
        <f>(AV400-Driver!$K$179)/(Driver!$L$179-Driver!$K$179)</f>
        <v>0.3403432438965433</v>
      </c>
      <c r="AK400" s="72">
        <f>(AW400-Driver!$K$180)/(Driver!$L$180-Driver!$K$180)</f>
        <v>0.26703785054572721</v>
      </c>
      <c r="AL400" s="72">
        <f>(AX400-Driver!$K$181)/(Driver!$L$181-Driver!$K$181)</f>
        <v>0.52127995952697148</v>
      </c>
      <c r="AM400" s="72">
        <f>(AY400-Driver!$K$182)/(Driver!$L$182-Driver!$K$182)</f>
        <v>0.11074519632414367</v>
      </c>
      <c r="AN400" s="72">
        <f>(AZ400-Driver!$K$183)/(Driver!$L$183-Driver!$K$183)</f>
        <v>0.24215686274509807</v>
      </c>
      <c r="AO400" s="72"/>
      <c r="AP400" s="72"/>
      <c r="AQ400" s="72">
        <f>(BC400-Driver!$K$188)/(Driver!$L$188-Driver!$K$188)</f>
        <v>8.1238191382624586E-2</v>
      </c>
      <c r="AR400" s="72">
        <f>MIN((BD400-Driver!$K$189)/(Driver!$L$189-Driver!$K$189),100%)</f>
        <v>2.1862193980094636E-2</v>
      </c>
      <c r="AS400" s="72">
        <f>(BE400-Driver!$K$190)/(Driver!$L$190-Driver!$K$190)</f>
        <v>4.7858532534877644E-2</v>
      </c>
      <c r="AT400" s="72">
        <f>(BF400-Driver!$K$191)/(Driver!$L$191-Driver!$K$191)</f>
        <v>6.9007609939530409E-2</v>
      </c>
      <c r="AU400" s="72">
        <f>(BG400-Driver!$K$192)/(Driver!$L$192-Driver!$K$192)</f>
        <v>5.301562499999999E-2</v>
      </c>
      <c r="AV400" s="70">
        <f t="shared" si="245"/>
        <v>7.1632071632071623</v>
      </c>
      <c r="AW400" s="70">
        <f t="shared" si="246"/>
        <v>27.897097353204501</v>
      </c>
      <c r="AX400" s="70">
        <f t="shared" si="247"/>
        <v>5.6915196357427433</v>
      </c>
      <c r="AY400" s="70">
        <f>IFERROR(Driver!$K$19/Data!BH400/Data!BI400*Data!BK400*Data!BL400,"")</f>
        <v>0.1355851634781354</v>
      </c>
      <c r="AZ400" s="70">
        <f t="shared" si="248"/>
        <v>22.069992553983621</v>
      </c>
      <c r="BA400" s="70"/>
      <c r="BB400" s="70"/>
      <c r="BC400" s="70">
        <f t="shared" si="249"/>
        <v>42.138814628911454</v>
      </c>
      <c r="BD400" s="70">
        <f t="shared" si="250"/>
        <v>3.6555883138205889</v>
      </c>
      <c r="BE400" s="70">
        <f t="shared" si="251"/>
        <v>4.8028383855864713E-2</v>
      </c>
      <c r="BF400" s="70">
        <f t="shared" si="252"/>
        <v>7.7939247367720323</v>
      </c>
      <c r="BG400" s="70">
        <f t="shared" si="253"/>
        <v>0.20075097656249999</v>
      </c>
      <c r="BH400" s="67">
        <f>MAX((CE400-Driver!$F$200)/(Driver!$G$200-Driver!$F$200)*$BI$1,1)</f>
        <v>5.6915196357427433</v>
      </c>
      <c r="BI400" s="67">
        <f>MAX($BI$1*(BY400-Driver!$F$201)/(Driver!$G$201-Driver!$F$201),1)</f>
        <v>7.2151898734177218</v>
      </c>
      <c r="BJ400" s="67">
        <f>(CB400-Driver!$F$206)/(Driver!$G$206-Driver!$F$206)*$BI$1</f>
        <v>6.9841269841269842</v>
      </c>
      <c r="BK400" s="67">
        <f>(CD400-Driver!$F$203)/(Driver!$G$203-Driver!$F$203)*$BI$1</f>
        <v>5.045871559633027</v>
      </c>
      <c r="BL400" s="67">
        <f>MAX((CR400-Driver!$F$202)/(Driver!$G$202-Driver!$F$202)*$BI$1,1)</f>
        <v>5.5172413793103452</v>
      </c>
      <c r="BM400" s="67">
        <f>MAX((CH400-Driver!$F$204)/(Driver!$G$204-Driver!$F$204)*$BI$1,1)</f>
        <v>4.1025641025641022</v>
      </c>
      <c r="BN400" s="67">
        <f>(CI400-Driver!$F$205)/(Driver!$G$205-Driver!$F$205)*$BI$1</f>
        <v>3.0588235294117649</v>
      </c>
      <c r="BO400" s="67">
        <f>(CK400-Driver!$F$207)/(Driver!$G$207-Driver!$F$207)*$BI$1</f>
        <v>2.3681489141675285</v>
      </c>
      <c r="BP400" s="67">
        <f>(CM400-Driver!$F$208)/(Driver!$G$208-Driver!$F$208)*$BI$1</f>
        <v>2.3777777777777778</v>
      </c>
      <c r="BQ400" s="67">
        <f>(CL400-Driver!$F$209)/(Driver!$G$209-Driver!$F$209)*$BI$1</f>
        <v>4.6875</v>
      </c>
      <c r="BR400" s="28" t="s">
        <v>155</v>
      </c>
      <c r="BS400" s="8" t="s">
        <v>237</v>
      </c>
      <c r="BT400" s="9" t="s">
        <v>541</v>
      </c>
      <c r="BU400" s="10">
        <v>178.3</v>
      </c>
      <c r="BV400" s="9" t="s">
        <v>158</v>
      </c>
      <c r="BW400" s="10">
        <v>178.3</v>
      </c>
      <c r="BX400" s="10">
        <v>176.9</v>
      </c>
      <c r="BY400" s="10">
        <v>122</v>
      </c>
      <c r="BZ400" s="10">
        <v>145</v>
      </c>
      <c r="CA400" s="10">
        <v>138</v>
      </c>
      <c r="CB400" s="10">
        <v>108</v>
      </c>
      <c r="CC400" s="10">
        <v>125</v>
      </c>
      <c r="CD400" s="10">
        <v>20.399999999999999</v>
      </c>
      <c r="CE400" s="10">
        <v>1900</v>
      </c>
      <c r="CF400" s="10">
        <v>1.0900000000000001</v>
      </c>
      <c r="CG400" s="10">
        <v>2078</v>
      </c>
      <c r="CH400" s="10">
        <v>197</v>
      </c>
      <c r="CI400" s="10">
        <v>85</v>
      </c>
      <c r="CJ400" s="10">
        <v>53</v>
      </c>
      <c r="CK400" s="10">
        <v>339</v>
      </c>
      <c r="CL400" s="10">
        <v>30</v>
      </c>
      <c r="CM400" s="10">
        <v>214</v>
      </c>
      <c r="CN400" s="10">
        <v>0.57799999999999996</v>
      </c>
      <c r="CO400" s="10">
        <v>198</v>
      </c>
      <c r="CP400" s="10">
        <v>118</v>
      </c>
      <c r="CQ400" s="10">
        <v>140</v>
      </c>
      <c r="CR400" s="10">
        <v>5</v>
      </c>
      <c r="CS400" s="10">
        <v>8.1</v>
      </c>
      <c r="CT400" s="9" t="s">
        <v>169</v>
      </c>
      <c r="CU400" s="9" t="s">
        <v>185</v>
      </c>
      <c r="CV400" s="10"/>
      <c r="CW400" s="10"/>
      <c r="CX400" t="str">
        <f>INDEX('Data_Price '!AG$2:AG$1266,MATCH(Data!$DN400,'Data_Price '!$AT$2:$AT$1266,0))</f>
        <v>Black Crows Atris Birdie Skis - Women's - 2022</v>
      </c>
      <c r="CY400" t="str">
        <f>INDEX('Data_Price '!AH$2:AH$1266,MATCH(Data!$DN400,'Data_Price '!$AT$2:$AT$1266,0))</f>
        <v>Backcountry.com</v>
      </c>
      <c r="CZ400">
        <f>INDEX('Data_Price '!AI$2:AI$1266,MATCH(Data!$DN400,'Data_Price '!$AT$2:$AT$1266,0))</f>
        <v>671.92</v>
      </c>
      <c r="DA400" t="str">
        <f>INDEX('Data_Price '!AJ$2:AJ$1266,MATCH(Data!$DN400,'Data_Price '!$AT$2:$AT$1266,0))</f>
        <v>https://tinyurl.com/yayqhwxo</v>
      </c>
      <c r="DB400" t="str">
        <f>INDEX('Data_Price '!AK$2:AK$1266,MATCH(Data!$DN400,'Data_Price '!$AT$2:$AT$1266,0))</f>
        <v>Black Crows Atris Birdie Skis - Women's - 2022</v>
      </c>
      <c r="DC400" t="str">
        <f>INDEX('Data_Price '!AL$2:AL$1266,MATCH(Data!$DN400,'Data_Price '!$AT$2:$AT$1266,0))</f>
        <v>Powder7 Ski Shop</v>
      </c>
      <c r="DD400">
        <f>INDEX('Data_Price '!AM$2:AM$1266,MATCH(Data!$DN400,'Data_Price '!$AT$2:$AT$1266,0))</f>
        <v>671.93</v>
      </c>
      <c r="DE400" t="str">
        <f>INDEX('Data_Price '!AN$2:AN$1266,MATCH(Data!$DN400,'Data_Price '!$AT$2:$AT$1266,0))</f>
        <v>https://tinyurl.com/y8xgfd6k</v>
      </c>
      <c r="DF400" t="str">
        <f>INDEX('Data_Price '!AO$2:AO$1266,MATCH(Data!$DN400,'Data_Price '!$AT$2:$AT$1266,0))</f>
        <v>Black Crows Atris Skis</v>
      </c>
      <c r="DG400" t="str">
        <f>INDEX('Data_Price '!AP$2:AP$1266,MATCH(Data!$DN400,'Data_Price '!$AT$2:$AT$1266,0))</f>
        <v>Next Adventure</v>
      </c>
      <c r="DH400">
        <f>INDEX('Data_Price '!AQ$2:AQ$1266,MATCH(Data!$DN400,'Data_Price '!$AT$2:$AT$1266,0))</f>
        <v>671.96</v>
      </c>
      <c r="DI400" t="str">
        <f>INDEX('Data_Price '!AR$2:AR$1266,MATCH(Data!$DN400,'Data_Price '!$AT$2:$AT$1266,0))</f>
        <v>https://tinyurl.com/ycfht7xu</v>
      </c>
      <c r="DJ400" s="89" t="str">
        <f t="shared" si="254"/>
        <v>https://tinyurl.com/yayqhwxo</v>
      </c>
      <c r="DK400" s="89" t="str">
        <f t="shared" si="255"/>
        <v>https://tinyurl.com/y8xgfd6k</v>
      </c>
      <c r="DL400" s="89" t="str">
        <f t="shared" si="256"/>
        <v>https://tinyurl.com/ycfht7xu</v>
      </c>
      <c r="DM400" s="219" t="str">
        <f t="shared" si="257"/>
        <v>Atris</v>
      </c>
      <c r="DN400" s="89" t="str">
        <f t="shared" si="258"/>
        <v xml:space="preserve"> Black CrowsAtris178.3 Unisex</v>
      </c>
      <c r="DO400" s="221" t="s">
        <v>542</v>
      </c>
    </row>
    <row r="401" spans="2:119" ht="15.6" customHeight="1">
      <c r="B401" s="219" t="b">
        <f t="array" ref="B401">IF(OR(ISERROR(K401:P401)),FALSE,TRUE)</f>
        <v>1</v>
      </c>
      <c r="C401" s="43" t="b">
        <f>OR(BR401=Driver!$G$50,Data!BR221=Driver!$H$50)</f>
        <v>1</v>
      </c>
      <c r="D401" s="43" t="b">
        <f>OR(BV401=Driver!$G$51,BV401=Driver!$H$51)</f>
        <v>1</v>
      </c>
      <c r="E401" s="43" t="b">
        <f>AND(BX401&gt;Driver!$F$54,BX401&lt;Driver!$G$54)</f>
        <v>0</v>
      </c>
      <c r="F401" s="43" t="b">
        <f>CL401&gt;Driver!$F$56</f>
        <v>1</v>
      </c>
      <c r="G401" s="43" t="b">
        <f>AND(CB401&gt;Driver!$F$55,CB401&lt;Driver!$G$55)</f>
        <v>0</v>
      </c>
      <c r="H401" s="43" t="b">
        <f t="shared" si="222"/>
        <v>0</v>
      </c>
      <c r="I401" s="43">
        <f t="shared" si="223"/>
        <v>0</v>
      </c>
      <c r="J401" s="43" t="b">
        <f t="array" ref="J401">NOT(OR(($H$9:$H$1273=TRUE)*($I$9:$I$1273&gt;0)*($BT$9:$BT$1273=BT401)*($K$9:$K$1273&gt;K401)))</f>
        <v>1</v>
      </c>
      <c r="K401" s="72">
        <f t="shared" si="224"/>
        <v>0.82554217502790883</v>
      </c>
      <c r="L401" s="72">
        <f t="shared" si="225"/>
        <v>0.83344475959974251</v>
      </c>
      <c r="M401" s="72">
        <f t="shared" si="226"/>
        <v>0.81763959045607515</v>
      </c>
      <c r="N401" s="72">
        <f t="shared" si="227"/>
        <v>0.82134880209921812</v>
      </c>
      <c r="O401" s="72">
        <f t="shared" si="228"/>
        <v>0.66146003711048973</v>
      </c>
      <c r="P401" s="72">
        <f t="shared" si="229"/>
        <v>0.97010993215851749</v>
      </c>
      <c r="Q401" s="72"/>
      <c r="R401" s="72"/>
      <c r="S401" s="72">
        <f t="shared" si="230"/>
        <v>0.47339705463023651</v>
      </c>
      <c r="T401" s="72">
        <f t="shared" si="231"/>
        <v>0.49846235690053253</v>
      </c>
      <c r="U401" s="72">
        <f t="shared" si="232"/>
        <v>0.63027526025188574</v>
      </c>
      <c r="V401" s="72">
        <f t="shared" si="233"/>
        <v>0.52584341432918436</v>
      </c>
      <c r="W401" s="72">
        <f t="shared" si="234"/>
        <v>0.83136485258481418</v>
      </c>
      <c r="X401" s="72">
        <f t="shared" si="235"/>
        <v>0.16655524040025743</v>
      </c>
      <c r="Y401" s="72">
        <f t="shared" si="236"/>
        <v>0.18236040954392488</v>
      </c>
      <c r="Z401" s="72">
        <f t="shared" si="237"/>
        <v>0.17865119790078182</v>
      </c>
      <c r="AA401" s="72">
        <f t="shared" si="238"/>
        <v>0.33853996288951027</v>
      </c>
      <c r="AB401" s="72">
        <f t="shared" si="239"/>
        <v>2.9890067841482515E-2</v>
      </c>
      <c r="AC401" s="72"/>
      <c r="AD401" s="72"/>
      <c r="AE401" s="72">
        <f t="shared" si="240"/>
        <v>0.52660294536976349</v>
      </c>
      <c r="AF401" s="72">
        <f t="shared" si="241"/>
        <v>0.50153764309946747</v>
      </c>
      <c r="AG401" s="72">
        <f t="shared" si="242"/>
        <v>0.36972473974811426</v>
      </c>
      <c r="AH401" s="72">
        <f t="shared" si="243"/>
        <v>0.47415658567081564</v>
      </c>
      <c r="AI401" s="72">
        <f t="shared" si="244"/>
        <v>0.16863514741518579</v>
      </c>
      <c r="AJ401" s="72">
        <f>(AV401-Driver!$K$179)/(Driver!$L$179-Driver!$K$179)</f>
        <v>8.766416888244298E-2</v>
      </c>
      <c r="AK401" s="72">
        <f>(AW401-Driver!$K$180)/(Driver!$L$180-Driver!$K$180)</f>
        <v>0.28399612482945275</v>
      </c>
      <c r="AL401" s="72">
        <f>(AX401-Driver!$K$181)/(Driver!$L$181-Driver!$K$181)</f>
        <v>0.28033896161386201</v>
      </c>
      <c r="AM401" s="72">
        <f>(AY401-Driver!$K$182)/(Driver!$L$182-Driver!$K$182)</f>
        <v>0.10884505820753612</v>
      </c>
      <c r="AN401" s="72">
        <f>(AZ401-Driver!$K$183)/(Driver!$L$183-Driver!$K$183)</f>
        <v>0.28410947712418294</v>
      </c>
      <c r="AO401" s="72"/>
      <c r="AP401" s="72"/>
      <c r="AQ401" s="72">
        <f>(BC401-Driver!$K$188)/(Driver!$L$188-Driver!$K$188)</f>
        <v>9.3397054630236481E-2</v>
      </c>
      <c r="AR401" s="72">
        <f>MIN((BD401-Driver!$K$189)/(Driver!$L$189-Driver!$K$189),100%)</f>
        <v>4.8462356900532536E-2</v>
      </c>
      <c r="AS401" s="72">
        <f>(BE401-Driver!$K$190)/(Driver!$L$190-Driver!$K$190)</f>
        <v>0.14027526025188577</v>
      </c>
      <c r="AT401" s="72">
        <f>(BF401-Driver!$K$191)/(Driver!$L$191-Driver!$K$191)</f>
        <v>3.5843414329184385E-2</v>
      </c>
      <c r="AU401" s="72">
        <f>(BG401-Driver!$K$192)/(Driver!$L$192-Driver!$K$192)</f>
        <v>8.1364852584814212E-2</v>
      </c>
      <c r="AV401" s="70">
        <f t="shared" si="245"/>
        <v>1.8450685117351782</v>
      </c>
      <c r="AW401" s="70">
        <f t="shared" si="246"/>
        <v>29.549831447749991</v>
      </c>
      <c r="AX401" s="70">
        <f t="shared" si="247"/>
        <v>3.523050654524758</v>
      </c>
      <c r="AY401" s="70">
        <f>IFERROR(Driver!$K$19/Data!BH401/Data!BI401*Data!BK401*Data!BL401,"")</f>
        <v>0.13325882747691326</v>
      </c>
      <c r="AZ401" s="70">
        <f t="shared" si="248"/>
        <v>25.89352196574832</v>
      </c>
      <c r="BA401" s="70"/>
      <c r="BB401" s="70"/>
      <c r="BC401" s="70">
        <f t="shared" si="249"/>
        <v>48.445701522493714</v>
      </c>
      <c r="BD401" s="70">
        <f t="shared" si="250"/>
        <v>6.0096555995796361</v>
      </c>
      <c r="BE401" s="70">
        <f t="shared" si="251"/>
        <v>0.14042862546884269</v>
      </c>
      <c r="BF401" s="70">
        <f t="shared" si="252"/>
        <v>4.0482618342440215</v>
      </c>
      <c r="BG401" s="70">
        <f t="shared" si="253"/>
        <v>0.30809923705068659</v>
      </c>
      <c r="BH401" s="67">
        <f>MAX((CE401-Driver!$F$200)/(Driver!$G$200-Driver!$F$200)*$BI$1,1)</f>
        <v>3.523050654524758</v>
      </c>
      <c r="BI401" s="67">
        <f>MAX($BI$1*(BY401-Driver!$F$201)/(Driver!$G$201-Driver!$F$201),1)</f>
        <v>6.7721518987341769</v>
      </c>
      <c r="BJ401" s="67">
        <f>(CB401-Driver!$F$206)/(Driver!$G$206-Driver!$F$206)*$BI$1</f>
        <v>2.6984126984126982</v>
      </c>
      <c r="BK401" s="67">
        <f>(CD401-Driver!$F$203)/(Driver!$G$203-Driver!$F$203)*$BI$1</f>
        <v>3.0733944954128449</v>
      </c>
      <c r="BL401" s="67">
        <f>MAX((CR401-Driver!$F$202)/(Driver!$G$202-Driver!$F$202)*$BI$1,1)</f>
        <v>5.1724137931034484</v>
      </c>
      <c r="BM401" s="67">
        <f>MAX((CH401-Driver!$F$204)/(Driver!$G$204-Driver!$F$204)*$BI$1,1)</f>
        <v>2.7350427350427351</v>
      </c>
      <c r="BN401" s="67">
        <f>(CI401-Driver!$F$205)/(Driver!$G$205-Driver!$F$205)*$BI$1</f>
        <v>3.8235294117647056</v>
      </c>
      <c r="BO401" s="67">
        <f>(CK401-Driver!$F$207)/(Driver!$G$207-Driver!$F$207)*$BI$1</f>
        <v>2.1613236814891419</v>
      </c>
      <c r="BP401" s="67">
        <f>(CM401-Driver!$F$208)/(Driver!$G$208-Driver!$F$208)*$BI$1</f>
        <v>2.1333333333333333</v>
      </c>
      <c r="BQ401" s="67">
        <f>(CL401-Driver!$F$209)/(Driver!$G$209-Driver!$F$209)*$BI$1</f>
        <v>2.96875</v>
      </c>
      <c r="BR401" s="28" t="s">
        <v>155</v>
      </c>
      <c r="BS401" s="8" t="s">
        <v>237</v>
      </c>
      <c r="BT401" s="9" t="s">
        <v>323</v>
      </c>
      <c r="BU401" s="10">
        <v>167.2</v>
      </c>
      <c r="BV401" s="9" t="s">
        <v>158</v>
      </c>
      <c r="BW401" s="10">
        <v>167.2</v>
      </c>
      <c r="BX401" s="10">
        <v>166.5</v>
      </c>
      <c r="BY401" s="10">
        <v>115</v>
      </c>
      <c r="BZ401" s="10">
        <v>147</v>
      </c>
      <c r="CA401" s="10">
        <v>121</v>
      </c>
      <c r="CB401" s="10">
        <v>81</v>
      </c>
      <c r="CC401" s="10">
        <v>105</v>
      </c>
      <c r="CD401" s="10">
        <v>16.100000000000001</v>
      </c>
      <c r="CE401" s="10">
        <v>1519</v>
      </c>
      <c r="CF401" s="10">
        <v>1.02</v>
      </c>
      <c r="CG401" s="10">
        <v>1554</v>
      </c>
      <c r="CH401" s="10">
        <v>165</v>
      </c>
      <c r="CI401" s="10">
        <v>98</v>
      </c>
      <c r="CJ401" s="10">
        <v>35</v>
      </c>
      <c r="CK401" s="10">
        <v>319</v>
      </c>
      <c r="CL401" s="10">
        <v>19</v>
      </c>
      <c r="CM401" s="10">
        <v>192</v>
      </c>
      <c r="CN401" s="10">
        <v>0.53700000000000003</v>
      </c>
      <c r="CO401" s="10">
        <v>110</v>
      </c>
      <c r="CP401" s="10">
        <v>88</v>
      </c>
      <c r="CQ401" s="10">
        <v>209</v>
      </c>
      <c r="CR401" s="10">
        <v>4</v>
      </c>
      <c r="CS401" s="10">
        <v>10.5</v>
      </c>
      <c r="CT401" s="9" t="s">
        <v>188</v>
      </c>
      <c r="CU401" s="10"/>
      <c r="CV401" s="10"/>
      <c r="CW401" s="10"/>
      <c r="CX401" t="str">
        <f>INDEX('Data_Price '!AG$2:AG$1266,MATCH(Data!$DN401,'Data_Price '!$AT$2:$AT$1266,0))</f>
        <v>Black Crows Divus Birdie Ski</v>
      </c>
      <c r="CY401" t="str">
        <f>INDEX('Data_Price '!AH$2:AH$1266,MATCH(Data!$DN401,'Data_Price '!$AT$2:$AT$1266,0))</f>
        <v>Powder7 Ski Shop</v>
      </c>
      <c r="CZ401">
        <f>INDEX('Data_Price '!AI$2:AI$1266,MATCH(Data!$DN401,'Data_Price '!$AT$2:$AT$1266,0))</f>
        <v>671.96</v>
      </c>
      <c r="DA401" t="str">
        <f>INDEX('Data_Price '!AJ$2:AJ$1266,MATCH(Data!$DN401,'Data_Price '!$AT$2:$AT$1266,0))</f>
        <v>https://tinyurl.com/y9wz9x46</v>
      </c>
      <c r="DB401" t="str">
        <f>INDEX('Data_Price '!AK$2:AK$1266,MATCH(Data!$DN401,'Data_Price '!$AT$2:$AT$1266,0))</f>
        <v>2022 Black Crows Divus Skis w/ Tyrolia Attack2 14 GW Bindings - 167| Ski Essentials</v>
      </c>
      <c r="DC401" t="str">
        <f>INDEX('Data_Price '!AL$2:AL$1266,MATCH(Data!$DN401,'Data_Price '!$AT$2:$AT$1266,0))</f>
        <v>SkiEssentials.com</v>
      </c>
      <c r="DD401">
        <f>INDEX('Data_Price '!AM$2:AM$1266,MATCH(Data!$DN401,'Data_Price '!$AT$2:$AT$1266,0))</f>
        <v>798.96</v>
      </c>
      <c r="DE401" t="str">
        <f>INDEX('Data_Price '!AN$2:AN$1266,MATCH(Data!$DN401,'Data_Price '!$AT$2:$AT$1266,0))</f>
        <v>https://tinyurl.com/yd6xe9lf</v>
      </c>
      <c r="DF401" t="str">
        <f>INDEX('Data_Price '!AO$2:AO$1266,MATCH(Data!$DN401,'Data_Price '!$AT$2:$AT$1266,0))</f>
        <v>Black Crows Pilus Navis Freebird Skins</v>
      </c>
      <c r="DG401" t="str">
        <f>INDEX('Data_Price '!AP$2:AP$1266,MATCH(Data!$DN401,'Data_Price '!$AT$2:$AT$1266,0))</f>
        <v>Teton Wasatch Ski Co.</v>
      </c>
      <c r="DH401">
        <f>INDEX('Data_Price '!AQ$2:AQ$1266,MATCH(Data!$DN401,'Data_Price '!$AT$2:$AT$1266,0))</f>
        <v>175</v>
      </c>
      <c r="DI401" t="str">
        <f>INDEX('Data_Price '!AR$2:AR$1266,MATCH(Data!$DN401,'Data_Price '!$AT$2:$AT$1266,0))</f>
        <v>https://tinyurl.com/ybcsfrb6</v>
      </c>
      <c r="DJ401" s="89" t="str">
        <f t="shared" si="254"/>
        <v>https://tinyurl.com/y9wz9x46</v>
      </c>
      <c r="DK401" s="89" t="str">
        <f t="shared" si="255"/>
        <v>https://tinyurl.com/yd6xe9lf</v>
      </c>
      <c r="DL401" s="89" t="str">
        <f t="shared" si="256"/>
        <v>https://tinyurl.com/ybcsfrb6</v>
      </c>
      <c r="DM401" s="219" t="str">
        <f t="shared" si="257"/>
        <v>Divus</v>
      </c>
      <c r="DN401" s="89" t="str">
        <f t="shared" si="258"/>
        <v xml:space="preserve"> Black CrowsDivus167.2 Unisex</v>
      </c>
      <c r="DO401" s="221" t="s">
        <v>324</v>
      </c>
    </row>
    <row r="402" spans="2:119" ht="15.6" customHeight="1">
      <c r="B402" s="219" t="b">
        <f t="array" ref="B402">IF(OR(ISERROR(K402:P402)),FALSE,TRUE)</f>
        <v>1</v>
      </c>
      <c r="C402" s="43" t="b">
        <f>OR(BR402=Driver!$G$50,Data!BR127=Driver!$H$50)</f>
        <v>1</v>
      </c>
      <c r="D402" s="43" t="b">
        <f>OR(BV402=Driver!$G$51,BV402=Driver!$H$51)</f>
        <v>1</v>
      </c>
      <c r="E402" s="43" t="b">
        <f>AND(BX402&gt;Driver!$F$54,BX402&lt;Driver!$G$54)</f>
        <v>0</v>
      </c>
      <c r="F402" s="43" t="b">
        <f>CL402&gt;Driver!$F$56</f>
        <v>1</v>
      </c>
      <c r="G402" s="43" t="b">
        <f>AND(CB402&gt;Driver!$F$55,CB402&lt;Driver!$G$55)</f>
        <v>0</v>
      </c>
      <c r="H402" s="43" t="b">
        <f t="shared" si="222"/>
        <v>0</v>
      </c>
      <c r="I402" s="43">
        <f t="shared" si="223"/>
        <v>0</v>
      </c>
      <c r="J402" s="43" t="b">
        <f t="array" ref="J402">NOT(OR(($H$9:$H$1273=TRUE)*($I$9:$I$1273&gt;0)*($BT$9:$BT$1273=BT402)*($K$9:$K$1273&gt;K402)))</f>
        <v>1</v>
      </c>
      <c r="K402" s="72">
        <f t="shared" si="224"/>
        <v>0.91622326565708168</v>
      </c>
      <c r="L402" s="72">
        <f t="shared" si="225"/>
        <v>0.9467313601959878</v>
      </c>
      <c r="M402" s="72">
        <f t="shared" si="226"/>
        <v>0.88571517111817544</v>
      </c>
      <c r="N402" s="72">
        <f t="shared" si="227"/>
        <v>0.94023832337917768</v>
      </c>
      <c r="O402" s="72">
        <f t="shared" si="228"/>
        <v>0.71834882148027135</v>
      </c>
      <c r="P402" s="72">
        <f t="shared" si="229"/>
        <v>0.9985583684950774</v>
      </c>
      <c r="Q402" s="72"/>
      <c r="R402" s="72"/>
      <c r="S402" s="72">
        <f t="shared" si="230"/>
        <v>0.45501776162579299</v>
      </c>
      <c r="T402" s="72">
        <f t="shared" si="231"/>
        <v>0.46214303794872302</v>
      </c>
      <c r="U402" s="72">
        <f t="shared" si="232"/>
        <v>0.70133950517847965</v>
      </c>
      <c r="V402" s="72">
        <f t="shared" si="233"/>
        <v>0.51732797243010431</v>
      </c>
      <c r="W402" s="72">
        <f t="shared" si="234"/>
        <v>0.79576970808827496</v>
      </c>
      <c r="X402" s="72">
        <f t="shared" si="235"/>
        <v>5.3268639804012169E-2</v>
      </c>
      <c r="Y402" s="72">
        <f t="shared" si="236"/>
        <v>0.11428482888182452</v>
      </c>
      <c r="Z402" s="72">
        <f t="shared" si="237"/>
        <v>5.9761676620822338E-2</v>
      </c>
      <c r="AA402" s="72">
        <f t="shared" si="238"/>
        <v>0.2816511785197286</v>
      </c>
      <c r="AB402" s="72">
        <f t="shared" si="239"/>
        <v>1.441631504922658E-3</v>
      </c>
      <c r="AC402" s="72"/>
      <c r="AD402" s="72"/>
      <c r="AE402" s="72">
        <f t="shared" si="240"/>
        <v>0.54498223837420701</v>
      </c>
      <c r="AF402" s="72">
        <f t="shared" si="241"/>
        <v>0.53785696205127698</v>
      </c>
      <c r="AG402" s="72">
        <f t="shared" si="242"/>
        <v>0.29866049482152035</v>
      </c>
      <c r="AH402" s="72">
        <f t="shared" si="243"/>
        <v>0.48267202756989575</v>
      </c>
      <c r="AI402" s="72">
        <f t="shared" si="244"/>
        <v>0.20423029191172504</v>
      </c>
      <c r="AJ402" s="72">
        <f>(AV402-Driver!$K$179)/(Driver!$L$179-Driver!$K$179)</f>
        <v>0.20095076947868826</v>
      </c>
      <c r="AK402" s="72">
        <f>(AW402-Driver!$K$180)/(Driver!$L$180-Driver!$K$180)</f>
        <v>0.24443169639250556</v>
      </c>
      <c r="AL402" s="72">
        <f>(AX402-Driver!$K$181)/(Driver!$L$181-Driver!$K$181)</f>
        <v>0.16144944033390252</v>
      </c>
      <c r="AM402" s="72">
        <f>(AY402-Driver!$K$182)/(Driver!$L$182-Driver!$K$182)</f>
        <v>0.16573384257731777</v>
      </c>
      <c r="AN402" s="72">
        <f>(AZ402-Driver!$K$183)/(Driver!$L$183-Driver!$K$183)</f>
        <v>0.25277777777777777</v>
      </c>
      <c r="AO402" s="72"/>
      <c r="AP402" s="72"/>
      <c r="AQ402" s="72">
        <f>(BC402-Driver!$K$188)/(Driver!$L$188-Driver!$K$188)</f>
        <v>7.5017761625793003E-2</v>
      </c>
      <c r="AR402" s="72">
        <f>MIN((BD402-Driver!$K$189)/(Driver!$L$189-Driver!$K$189),100%)</f>
        <v>1.2143037948723037E-2</v>
      </c>
      <c r="AS402" s="72">
        <f>(BE402-Driver!$K$190)/(Driver!$L$190-Driver!$K$190)</f>
        <v>0.80866049482152036</v>
      </c>
      <c r="AT402" s="72">
        <f>(BF402-Driver!$K$191)/(Driver!$L$191-Driver!$K$191)</f>
        <v>2.7327972430104274E-2</v>
      </c>
      <c r="AU402" s="72">
        <f>(BG402-Driver!$K$192)/(Driver!$L$192-Driver!$K$192)</f>
        <v>4.5769708088274949E-2</v>
      </c>
      <c r="AV402" s="70">
        <f t="shared" si="245"/>
        <v>4.2294125627458961</v>
      </c>
      <c r="AW402" s="70">
        <f t="shared" si="246"/>
        <v>25.693927320069946</v>
      </c>
      <c r="AX402" s="70">
        <f t="shared" si="247"/>
        <v>2.4530449630051225</v>
      </c>
      <c r="AY402" s="70">
        <f>IFERROR(Driver!$K$19/Data!BH402/Data!BI402*Data!BK402*Data!BL402,"")</f>
        <v>0.20290767352051955</v>
      </c>
      <c r="AZ402" s="70">
        <f t="shared" si="248"/>
        <v>23.037974683544306</v>
      </c>
      <c r="BA402" s="70"/>
      <c r="BB402" s="70"/>
      <c r="BC402" s="70">
        <f t="shared" si="249"/>
        <v>38.912234470316811</v>
      </c>
      <c r="BD402" s="70">
        <f t="shared" si="250"/>
        <v>2.7954602263696504</v>
      </c>
      <c r="BE402" s="70">
        <f t="shared" si="251"/>
        <v>0.80869462763562638</v>
      </c>
      <c r="BF402" s="70">
        <f t="shared" si="252"/>
        <v>3.0865024961080869</v>
      </c>
      <c r="BG402" s="70">
        <f t="shared" si="253"/>
        <v>0.1733133127394377</v>
      </c>
      <c r="BH402" s="67">
        <f>MAX((CE402-Driver!$F$200)/(Driver!$G$200-Driver!$F$200)*$BI$1,1)</f>
        <v>2.4530449630051225</v>
      </c>
      <c r="BI402" s="67">
        <f>MAX($BI$1*(BY402-Driver!$F$201)/(Driver!$G$201-Driver!$F$201),1)</f>
        <v>7.5316455696202533</v>
      </c>
      <c r="BJ402" s="67">
        <f>(CB402-Driver!$F$206)/(Driver!$G$206-Driver!$F$206)*$BI$1</f>
        <v>4.6031746031746028</v>
      </c>
      <c r="BK402" s="67">
        <f>(CD402-Driver!$F$203)/(Driver!$G$203-Driver!$F$203)*$BI$1</f>
        <v>3.623853211009175</v>
      </c>
      <c r="BL402" s="67">
        <f>MAX((CR402-Driver!$F$202)/(Driver!$G$202-Driver!$F$202)*$BI$1,1)</f>
        <v>5.1724137931034484</v>
      </c>
      <c r="BM402" s="67">
        <f>MAX((CH402-Driver!$F$204)/(Driver!$G$204-Driver!$F$204)*$BI$1,1)</f>
        <v>3.6752136752136755</v>
      </c>
      <c r="BN402" s="67">
        <f>(CI402-Driver!$F$205)/(Driver!$G$205-Driver!$F$205)*$BI$1</f>
        <v>3.0588235294117649</v>
      </c>
      <c r="BO402" s="67">
        <f>(CK402-Driver!$F$207)/(Driver!$G$207-Driver!$F$207)*$BI$1</f>
        <v>1.3753877973112718</v>
      </c>
      <c r="BP402" s="67">
        <f>(CM402-Driver!$F$208)/(Driver!$G$208-Driver!$F$208)*$BI$1</f>
        <v>1.7666666666666666</v>
      </c>
      <c r="BQ402" s="67">
        <f>(CL402-Driver!$F$209)/(Driver!$G$209-Driver!$F$209)*$BI$1</f>
        <v>1.5625</v>
      </c>
      <c r="BR402" s="28" t="s">
        <v>155</v>
      </c>
      <c r="BS402" s="8" t="s">
        <v>156</v>
      </c>
      <c r="BT402" s="9" t="s">
        <v>389</v>
      </c>
      <c r="BU402" s="10">
        <v>169</v>
      </c>
      <c r="BV402" s="9" t="s">
        <v>158</v>
      </c>
      <c r="BW402" s="10">
        <v>169</v>
      </c>
      <c r="BX402" s="10">
        <v>167.5</v>
      </c>
      <c r="BY402" s="10">
        <v>127</v>
      </c>
      <c r="BZ402" s="10">
        <v>138</v>
      </c>
      <c r="CA402" s="10">
        <v>125</v>
      </c>
      <c r="CB402" s="10">
        <v>93</v>
      </c>
      <c r="CC402" s="10">
        <v>113</v>
      </c>
      <c r="CD402" s="10">
        <v>17.3</v>
      </c>
      <c r="CE402" s="10">
        <v>1331</v>
      </c>
      <c r="CF402" s="10">
        <v>1.3</v>
      </c>
      <c r="CG402" s="10">
        <v>1725</v>
      </c>
      <c r="CH402" s="10">
        <v>187</v>
      </c>
      <c r="CI402" s="10">
        <v>85</v>
      </c>
      <c r="CJ402" s="10">
        <v>49</v>
      </c>
      <c r="CK402" s="10">
        <v>243</v>
      </c>
      <c r="CL402" s="10">
        <v>10</v>
      </c>
      <c r="CM402" s="10">
        <v>159</v>
      </c>
      <c r="CN402" s="10">
        <v>0.19600000000000001</v>
      </c>
      <c r="CO402" s="10">
        <v>175</v>
      </c>
      <c r="CP402" s="10">
        <v>117</v>
      </c>
      <c r="CQ402" s="10">
        <v>68</v>
      </c>
      <c r="CR402" s="10">
        <v>4</v>
      </c>
      <c r="CS402" s="10">
        <v>11.6</v>
      </c>
      <c r="CT402" s="9" t="s">
        <v>185</v>
      </c>
      <c r="CU402" s="9" t="s">
        <v>198</v>
      </c>
      <c r="CV402" s="10"/>
      <c r="CW402" s="10"/>
      <c r="CX402" t="str">
        <f>INDEX('Data_Price '!AG$2:AG$1266,MATCH(Data!$DN402,'Data_Price '!$AT$2:$AT$1266,0))</f>
        <v>Atomic Backland 95 Skis 2022 - 169</v>
      </c>
      <c r="CY402" t="str">
        <f>INDEX('Data_Price '!AH$2:AH$1266,MATCH(Data!$DN402,'Data_Price '!$AT$2:$AT$1266,0))</f>
        <v>Telemark Pyrenees</v>
      </c>
      <c r="CZ402">
        <f>INDEX('Data_Price '!AI$2:AI$1266,MATCH(Data!$DN402,'Data_Price '!$AT$2:$AT$1266,0))</f>
        <v>504.17</v>
      </c>
      <c r="DA402" t="str">
        <f>INDEX('Data_Price '!AJ$2:AJ$1266,MATCH(Data!$DN402,'Data_Price '!$AT$2:$AT$1266,0))</f>
        <v>https://tinyurl.com/ya8pp7r8</v>
      </c>
      <c r="DB402" t="str">
        <f>INDEX('Data_Price '!AK$2:AK$1266,MATCH(Data!$DN402,'Data_Price '!$AT$2:$AT$1266,0))</f>
        <v>Atomic Backland 95 Skis 2022 - 169</v>
      </c>
      <c r="DC402" t="str">
        <f>INDEX('Data_Price '!AL$2:AL$1266,MATCH(Data!$DN402,'Data_Price '!$AT$2:$AT$1266,0))</f>
        <v>Stowesports.com</v>
      </c>
      <c r="DD402">
        <f>INDEX('Data_Price '!AM$2:AM$1266,MATCH(Data!$DN402,'Data_Price '!$AT$2:$AT$1266,0))</f>
        <v>698</v>
      </c>
      <c r="DE402" t="str">
        <f>INDEX('Data_Price '!AN$2:AN$1266,MATCH(Data!$DN402,'Data_Price '!$AT$2:$AT$1266,0))</f>
        <v>https://tinyurl.com/ycolro6s</v>
      </c>
      <c r="DF402" t="str">
        <f>INDEX('Data_Price '!AO$2:AO$1266,MATCH(Data!$DN402,'Data_Price '!$AT$2:$AT$1266,0))</f>
        <v>Atomic Backland 95 Alpine Touring Ski 169</v>
      </c>
      <c r="DG402" t="str">
        <f>INDEX('Data_Price '!AP$2:AP$1266,MATCH(Data!$DN402,'Data_Price '!$AT$2:$AT$1266,0))</f>
        <v>Cripple Creek Backcountry</v>
      </c>
      <c r="DH402">
        <f>INDEX('Data_Price '!AQ$2:AQ$1266,MATCH(Data!$DN402,'Data_Price '!$AT$2:$AT$1266,0))</f>
        <v>699.99</v>
      </c>
      <c r="DI402" t="str">
        <f>INDEX('Data_Price '!AR$2:AR$1266,MATCH(Data!$DN402,'Data_Price '!$AT$2:$AT$1266,0))</f>
        <v>https://tinyurl.com/y7l62cka</v>
      </c>
      <c r="DJ402" s="89" t="str">
        <f t="shared" si="254"/>
        <v>https://tinyurl.com/ya8pp7r8</v>
      </c>
      <c r="DK402" s="89" t="str">
        <f t="shared" si="255"/>
        <v>https://tinyurl.com/ycolro6s</v>
      </c>
      <c r="DL402" s="89" t="str">
        <f t="shared" si="256"/>
        <v>https://tinyurl.com/y7l62cka</v>
      </c>
      <c r="DM402" s="219" t="str">
        <f t="shared" si="257"/>
        <v>Backland 95</v>
      </c>
      <c r="DN402" s="89" t="str">
        <f t="shared" si="258"/>
        <v xml:space="preserve"> AtomicBackland 95169 Unisex</v>
      </c>
      <c r="DO402" s="221" t="s">
        <v>390</v>
      </c>
    </row>
    <row r="403" spans="2:119" ht="15.6" customHeight="1">
      <c r="B403" s="219" t="b">
        <f t="array" ref="B403">IF(OR(ISERROR(K403:P403)),FALSE,TRUE)</f>
        <v>1</v>
      </c>
      <c r="C403" s="43" t="b">
        <f>OR(BR403=Driver!$G$50,Data!BR774=Driver!$H$50)</f>
        <v>1</v>
      </c>
      <c r="D403" s="43" t="b">
        <f>OR(BV403=Driver!$G$51,BV403=Driver!$H$51)</f>
        <v>1</v>
      </c>
      <c r="E403" s="43" t="b">
        <f>AND(BX403&gt;Driver!$F$54,BX403&lt;Driver!$G$54)</f>
        <v>0</v>
      </c>
      <c r="F403" s="43" t="b">
        <f>CL403&gt;Driver!$F$56</f>
        <v>1</v>
      </c>
      <c r="G403" s="43" t="b">
        <f>AND(CB403&gt;Driver!$F$55,CB403&lt;Driver!$G$55)</f>
        <v>0</v>
      </c>
      <c r="H403" s="43" t="b">
        <f t="shared" si="222"/>
        <v>0</v>
      </c>
      <c r="I403" s="43">
        <f t="shared" si="223"/>
        <v>0</v>
      </c>
      <c r="J403" s="43" t="b">
        <f t="array" ref="J403">NOT(OR(($H$9:$H$1273=TRUE)*($I$9:$I$1273&gt;0)*($BT$9:$BT$1273=BT403)*($K$9:$K$1273&gt;K403)))</f>
        <v>1</v>
      </c>
      <c r="K403" s="72">
        <f t="shared" si="224"/>
        <v>0.84833067254315031</v>
      </c>
      <c r="L403" s="72">
        <f t="shared" si="225"/>
        <v>0.9217535179592623</v>
      </c>
      <c r="M403" s="72">
        <f t="shared" si="226"/>
        <v>0.77490782712703843</v>
      </c>
      <c r="N403" s="72">
        <f t="shared" si="227"/>
        <v>0.64997082195629785</v>
      </c>
      <c r="O403" s="72">
        <f t="shared" si="228"/>
        <v>0.6935554020408512</v>
      </c>
      <c r="P403" s="72">
        <f t="shared" si="229"/>
        <v>0.98119725738396624</v>
      </c>
      <c r="Q403" s="72"/>
      <c r="R403" s="72"/>
      <c r="S403" s="72">
        <f t="shared" si="230"/>
        <v>0.47713617301765132</v>
      </c>
      <c r="T403" s="72">
        <f t="shared" si="231"/>
        <v>0.49892961014504067</v>
      </c>
      <c r="U403" s="72">
        <f t="shared" si="232"/>
        <v>0.52290127713676304</v>
      </c>
      <c r="V403" s="72">
        <f t="shared" si="233"/>
        <v>0.53756013601819452</v>
      </c>
      <c r="W403" s="72">
        <f t="shared" si="234"/>
        <v>0.84984751203852327</v>
      </c>
      <c r="X403" s="72">
        <f t="shared" si="235"/>
        <v>7.8246482040737697E-2</v>
      </c>
      <c r="Y403" s="72">
        <f t="shared" si="236"/>
        <v>0.2250921728729616</v>
      </c>
      <c r="Z403" s="72">
        <f t="shared" si="237"/>
        <v>0.3500291780437022</v>
      </c>
      <c r="AA403" s="72">
        <f t="shared" si="238"/>
        <v>0.30644459795914886</v>
      </c>
      <c r="AB403" s="72">
        <f t="shared" si="239"/>
        <v>1.8802742616033791E-2</v>
      </c>
      <c r="AC403" s="72"/>
      <c r="AD403" s="72"/>
      <c r="AE403" s="72">
        <f t="shared" si="240"/>
        <v>0.52286382698234868</v>
      </c>
      <c r="AF403" s="72">
        <f t="shared" si="241"/>
        <v>0.50107038985495933</v>
      </c>
      <c r="AG403" s="72">
        <f t="shared" si="242"/>
        <v>0.47709872286323696</v>
      </c>
      <c r="AH403" s="72">
        <f t="shared" si="243"/>
        <v>0.46243986398180553</v>
      </c>
      <c r="AI403" s="72">
        <f t="shared" si="244"/>
        <v>0.15015248796147673</v>
      </c>
      <c r="AJ403" s="72">
        <f>(AV403-Driver!$K$179)/(Driver!$L$179-Driver!$K$179)</f>
        <v>0.17597292724196273</v>
      </c>
      <c r="AK403" s="72">
        <f>(AW403-Driver!$K$180)/(Driver!$L$180-Driver!$K$180)</f>
        <v>0.2546901221478452</v>
      </c>
      <c r="AL403" s="72">
        <f>(AX403-Driver!$K$181)/(Driver!$L$181-Driver!$K$181)</f>
        <v>0.4517169417567824</v>
      </c>
      <c r="AM403" s="72">
        <f>(AY403-Driver!$K$182)/(Driver!$L$182-Driver!$K$182)</f>
        <v>0.14094042313789751</v>
      </c>
      <c r="AN403" s="72">
        <f>(AZ403-Driver!$K$183)/(Driver!$L$183-Driver!$K$183)</f>
        <v>0.23541666666666664</v>
      </c>
      <c r="AO403" s="72"/>
      <c r="AP403" s="72"/>
      <c r="AQ403" s="72">
        <f>(BC403-Driver!$K$188)/(Driver!$L$188-Driver!$K$188)</f>
        <v>9.7136173017651276E-2</v>
      </c>
      <c r="AR403" s="72">
        <f>MIN((BD403-Driver!$K$189)/(Driver!$L$189-Driver!$K$189),100%)</f>
        <v>4.8929610145040742E-2</v>
      </c>
      <c r="AS403" s="72">
        <f>(BE403-Driver!$K$190)/(Driver!$L$190-Driver!$K$190)</f>
        <v>3.2901277136763031E-2</v>
      </c>
      <c r="AT403" s="72">
        <f>(BF403-Driver!$K$191)/(Driver!$L$191-Driver!$K$191)</f>
        <v>4.756013601819447E-2</v>
      </c>
      <c r="AU403" s="72">
        <f>(BG403-Driver!$K$192)/(Driver!$L$192-Driver!$K$192)</f>
        <v>9.9847512038523267E-2</v>
      </c>
      <c r="AV403" s="70">
        <f t="shared" si="245"/>
        <v>3.7037037037037033</v>
      </c>
      <c r="AW403" s="70">
        <f t="shared" si="246"/>
        <v>26.693701808826987</v>
      </c>
      <c r="AX403" s="70">
        <f t="shared" si="247"/>
        <v>5.0654524758110417</v>
      </c>
      <c r="AY403" s="70">
        <f>IFERROR(Driver!$K$19/Data!BH403/Data!BI403*Data!BK403*Data!BL403,"")</f>
        <v>0.17255313048430024</v>
      </c>
      <c r="AZ403" s="70">
        <f t="shared" si="248"/>
        <v>21.455696202531644</v>
      </c>
      <c r="BA403" s="70"/>
      <c r="BB403" s="70"/>
      <c r="BC403" s="70">
        <f t="shared" si="249"/>
        <v>50.385208223975077</v>
      </c>
      <c r="BD403" s="70">
        <f t="shared" si="250"/>
        <v>6.0510066837948537</v>
      </c>
      <c r="BE403" s="70">
        <f t="shared" si="251"/>
        <v>3.3073796663762048E-2</v>
      </c>
      <c r="BF403" s="70">
        <f t="shared" si="252"/>
        <v>5.3715832343891616</v>
      </c>
      <c r="BG403" s="70">
        <f t="shared" si="253"/>
        <v>0.37808637640449438</v>
      </c>
      <c r="BH403" s="67">
        <f>MAX((CE403-Driver!$F$200)/(Driver!$G$200-Driver!$F$200)*$BI$1,1)</f>
        <v>5.0654524758110417</v>
      </c>
      <c r="BI403" s="67">
        <f>MAX($BI$1*(BY403-Driver!$F$201)/(Driver!$G$201-Driver!$F$201),1)</f>
        <v>7.1518987341772151</v>
      </c>
      <c r="BJ403" s="67">
        <f>(CB403-Driver!$F$206)/(Driver!$G$206-Driver!$F$206)*$BI$1</f>
        <v>4.1269841269841265</v>
      </c>
      <c r="BK403" s="67">
        <f>(CD403-Driver!$F$203)/(Driver!$G$203-Driver!$F$203)*$BI$1</f>
        <v>4.7706422018348631</v>
      </c>
      <c r="BL403" s="67">
        <f>MAX((CR403-Driver!$F$202)/(Driver!$G$202-Driver!$F$202)*$BI$1,1)</f>
        <v>6.5517241379310338</v>
      </c>
      <c r="BM403" s="67">
        <f>MAX((CH403-Driver!$F$204)/(Driver!$G$204-Driver!$F$204)*$BI$1,1)</f>
        <v>3.5897435897435899</v>
      </c>
      <c r="BN403" s="67">
        <f>(CI403-Driver!$F$205)/(Driver!$G$205-Driver!$F$205)*$BI$1</f>
        <v>3</v>
      </c>
      <c r="BO403" s="67">
        <f>(CK403-Driver!$F$207)/(Driver!$G$207-Driver!$F$207)*$BI$1</f>
        <v>1.9958634953464323</v>
      </c>
      <c r="BP403" s="67">
        <f>(CM403-Driver!$F$208)/(Driver!$G$208-Driver!$F$208)*$BI$1</f>
        <v>3.1111111111111112</v>
      </c>
      <c r="BQ403" s="67">
        <f>(CL403-Driver!$F$209)/(Driver!$G$209-Driver!$F$209)*$BI$1</f>
        <v>6.875</v>
      </c>
      <c r="BR403" s="28" t="s">
        <v>155</v>
      </c>
      <c r="BS403" s="8" t="s">
        <v>262</v>
      </c>
      <c r="BT403" s="9" t="s">
        <v>579</v>
      </c>
      <c r="BU403" s="10">
        <v>179</v>
      </c>
      <c r="BV403" s="9" t="s">
        <v>158</v>
      </c>
      <c r="BW403" s="10">
        <v>179</v>
      </c>
      <c r="BX403" s="10">
        <v>178.8</v>
      </c>
      <c r="BY403" s="10">
        <v>121</v>
      </c>
      <c r="BZ403" s="10">
        <v>153</v>
      </c>
      <c r="CA403" s="10">
        <v>123</v>
      </c>
      <c r="CB403" s="10">
        <v>90</v>
      </c>
      <c r="CC403" s="10">
        <v>113</v>
      </c>
      <c r="CD403" s="10">
        <v>19.8</v>
      </c>
      <c r="CE403" s="10">
        <v>1790</v>
      </c>
      <c r="CF403" s="10">
        <v>1.01</v>
      </c>
      <c r="CG403" s="10">
        <v>1806</v>
      </c>
      <c r="CH403" s="10">
        <v>185</v>
      </c>
      <c r="CI403" s="10">
        <v>84</v>
      </c>
      <c r="CJ403" s="10">
        <v>47</v>
      </c>
      <c r="CK403" s="10">
        <v>303</v>
      </c>
      <c r="CL403" s="10">
        <v>44</v>
      </c>
      <c r="CM403" s="10">
        <v>280</v>
      </c>
      <c r="CN403" s="10">
        <v>0.92100000000000004</v>
      </c>
      <c r="CO403" s="10">
        <v>115</v>
      </c>
      <c r="CP403" s="10">
        <v>146</v>
      </c>
      <c r="CQ403" s="10">
        <v>187</v>
      </c>
      <c r="CR403" s="10">
        <v>8</v>
      </c>
      <c r="CS403" s="10">
        <v>5.5</v>
      </c>
      <c r="CT403" s="9" t="s">
        <v>184</v>
      </c>
      <c r="CU403" s="10"/>
      <c r="CV403" s="10"/>
      <c r="CW403" s="10"/>
      <c r="CX403" t="e">
        <f>INDEX('Data_Price '!AG$2:AG$1266,MATCH(Data!$DN403,'Data_Price '!$AT$2:$AT$1266,0))</f>
        <v>#N/A</v>
      </c>
      <c r="CY403" t="e">
        <f>INDEX('Data_Price '!AH$2:AH$1266,MATCH(Data!$DN403,'Data_Price '!$AT$2:$AT$1266,0))</f>
        <v>#N/A</v>
      </c>
      <c r="CZ403" t="e">
        <f>INDEX('Data_Price '!AI$2:AI$1266,MATCH(Data!$DN403,'Data_Price '!$AT$2:$AT$1266,0))</f>
        <v>#N/A</v>
      </c>
      <c r="DA403" t="e">
        <f>INDEX('Data_Price '!AJ$2:AJ$1266,MATCH(Data!$DN403,'Data_Price '!$AT$2:$AT$1266,0))</f>
        <v>#N/A</v>
      </c>
      <c r="DB403" t="e">
        <f>INDEX('Data_Price '!AK$2:AK$1266,MATCH(Data!$DN403,'Data_Price '!$AT$2:$AT$1266,0))</f>
        <v>#N/A</v>
      </c>
      <c r="DC403" t="e">
        <f>INDEX('Data_Price '!AL$2:AL$1266,MATCH(Data!$DN403,'Data_Price '!$AT$2:$AT$1266,0))</f>
        <v>#N/A</v>
      </c>
      <c r="DD403" t="e">
        <f>INDEX('Data_Price '!AM$2:AM$1266,MATCH(Data!$DN403,'Data_Price '!$AT$2:$AT$1266,0))</f>
        <v>#N/A</v>
      </c>
      <c r="DE403" t="e">
        <f>INDEX('Data_Price '!AN$2:AN$1266,MATCH(Data!$DN403,'Data_Price '!$AT$2:$AT$1266,0))</f>
        <v>#N/A</v>
      </c>
      <c r="DF403" t="e">
        <f>INDEX('Data_Price '!AO$2:AO$1266,MATCH(Data!$DN403,'Data_Price '!$AT$2:$AT$1266,0))</f>
        <v>#N/A</v>
      </c>
      <c r="DG403" t="e">
        <f>INDEX('Data_Price '!AP$2:AP$1266,MATCH(Data!$DN403,'Data_Price '!$AT$2:$AT$1266,0))</f>
        <v>#N/A</v>
      </c>
      <c r="DH403" t="e">
        <f>INDEX('Data_Price '!AQ$2:AQ$1266,MATCH(Data!$DN403,'Data_Price '!$AT$2:$AT$1266,0))</f>
        <v>#N/A</v>
      </c>
      <c r="DI403" t="e">
        <f>INDEX('Data_Price '!AR$2:AR$1266,MATCH(Data!$DN403,'Data_Price '!$AT$2:$AT$1266,0))</f>
        <v>#N/A</v>
      </c>
      <c r="DJ403" s="89" t="e">
        <f t="shared" si="254"/>
        <v>#N/A</v>
      </c>
      <c r="DK403" s="89" t="e">
        <f t="shared" si="255"/>
        <v>#N/A</v>
      </c>
      <c r="DL403" s="89" t="e">
        <f t="shared" si="256"/>
        <v>#N/A</v>
      </c>
      <c r="DM403" s="219" t="str">
        <f t="shared" si="257"/>
        <v>Reckoner 92</v>
      </c>
      <c r="DN403" s="89" t="str">
        <f t="shared" si="258"/>
        <v xml:space="preserve"> K2Reckoner 92179 Unisex</v>
      </c>
      <c r="DO403" s="221" t="s">
        <v>580</v>
      </c>
    </row>
    <row r="404" spans="2:119" ht="15.6" customHeight="1">
      <c r="B404" s="219" t="b">
        <f t="array" ref="B404">IF(OR(ISERROR(K404:P404)),FALSE,TRUE)</f>
        <v>1</v>
      </c>
      <c r="C404" s="43" t="b">
        <f>OR(BR404=Driver!$G$50,Data!BR267=Driver!$H$50)</f>
        <v>1</v>
      </c>
      <c r="D404" s="43" t="b">
        <f>OR(BV404=Driver!$G$51,BV404=Driver!$H$51)</f>
        <v>0</v>
      </c>
      <c r="E404" s="43" t="b">
        <f>AND(BX404&gt;Driver!$F$54,BX404&lt;Driver!$G$54)</f>
        <v>0</v>
      </c>
      <c r="F404" s="43" t="b">
        <f>CL404&gt;Driver!$F$56</f>
        <v>1</v>
      </c>
      <c r="G404" s="43" t="b">
        <f>AND(CB404&gt;Driver!$F$55,CB404&lt;Driver!$G$55)</f>
        <v>0</v>
      </c>
      <c r="H404" s="43" t="b">
        <f t="shared" si="222"/>
        <v>0</v>
      </c>
      <c r="I404" s="43">
        <f t="shared" si="223"/>
        <v>0</v>
      </c>
      <c r="J404" s="43" t="b">
        <f t="array" ref="J404">NOT(OR(($H$9:$H$1273=TRUE)*($I$9:$I$1273&gt;0)*($BT$9:$BT$1273=BT404)*($K$9:$K$1273&gt;K404)))</f>
        <v>1</v>
      </c>
      <c r="K404" s="72">
        <f t="shared" si="224"/>
        <v>0.83126113626596765</v>
      </c>
      <c r="L404" s="72">
        <f t="shared" si="225"/>
        <v>0.97525444455663557</v>
      </c>
      <c r="M404" s="72">
        <f t="shared" si="226"/>
        <v>0.68726782797529973</v>
      </c>
      <c r="N404" s="72">
        <f t="shared" si="227"/>
        <v>0.56396563634951857</v>
      </c>
      <c r="O404" s="72">
        <f t="shared" si="228"/>
        <v>0.61420667358779779</v>
      </c>
      <c r="P404" s="72">
        <f t="shared" si="229"/>
        <v>0.88363117398858271</v>
      </c>
      <c r="Q404" s="72"/>
      <c r="R404" s="72"/>
      <c r="S404" s="72">
        <f t="shared" si="230"/>
        <v>0.47807210032654313</v>
      </c>
      <c r="T404" s="72">
        <f t="shared" si="231"/>
        <v>0.50584294086962023</v>
      </c>
      <c r="U404" s="72">
        <f t="shared" si="232"/>
        <v>0.89837553365184786</v>
      </c>
      <c r="V404" s="72">
        <f t="shared" si="233"/>
        <v>0.51366294450210859</v>
      </c>
      <c r="W404" s="72">
        <f t="shared" si="234"/>
        <v>0.76486300019712206</v>
      </c>
      <c r="X404" s="72">
        <f t="shared" si="235"/>
        <v>2.4745555443364403E-2</v>
      </c>
      <c r="Y404" s="72">
        <f t="shared" si="236"/>
        <v>0.31273217202470027</v>
      </c>
      <c r="Z404" s="72">
        <f t="shared" si="237"/>
        <v>0.43603436365048143</v>
      </c>
      <c r="AA404" s="72">
        <f t="shared" si="238"/>
        <v>0.38579332641220215</v>
      </c>
      <c r="AB404" s="72">
        <f t="shared" si="239"/>
        <v>0.11636882601141724</v>
      </c>
      <c r="AC404" s="72"/>
      <c r="AD404" s="72"/>
      <c r="AE404" s="72">
        <f t="shared" si="240"/>
        <v>0.52192789967345687</v>
      </c>
      <c r="AF404" s="72">
        <f t="shared" si="241"/>
        <v>0.49415705913037977</v>
      </c>
      <c r="AG404" s="72">
        <f t="shared" si="242"/>
        <v>0.10162446634815214</v>
      </c>
      <c r="AH404" s="72">
        <f t="shared" si="243"/>
        <v>0.48633705549789141</v>
      </c>
      <c r="AI404" s="72">
        <f t="shared" si="244"/>
        <v>0.23513699980287797</v>
      </c>
      <c r="AJ404" s="72">
        <f>(AV404-Driver!$K$179)/(Driver!$L$179-Driver!$K$179)</f>
        <v>0.22947385383933602</v>
      </c>
      <c r="AK404" s="72">
        <f>(AW404-Driver!$K$180)/(Driver!$L$180-Driver!$K$180)</f>
        <v>0.38804212456209236</v>
      </c>
      <c r="AL404" s="72">
        <f>(AX404-Driver!$K$181)/(Driver!$L$181-Driver!$K$181)</f>
        <v>0.53772212736356162</v>
      </c>
      <c r="AM404" s="72">
        <f>(AY404-Driver!$K$182)/(Driver!$L$182-Driver!$K$182)</f>
        <v>6.1591694684844212E-2</v>
      </c>
      <c r="AN404" s="72">
        <f>(AZ404-Driver!$K$183)/(Driver!$L$183-Driver!$K$183)</f>
        <v>0.37058823529411766</v>
      </c>
      <c r="AO404" s="72"/>
      <c r="AP404" s="72"/>
      <c r="AQ404" s="72">
        <f>(BC404-Driver!$K$188)/(Driver!$L$188-Driver!$K$188)</f>
        <v>9.8072100326543107E-2</v>
      </c>
      <c r="AR404" s="72">
        <f>MIN((BD404-Driver!$K$189)/(Driver!$L$189-Driver!$K$189),100%)</f>
        <v>5.5842940869620293E-2</v>
      </c>
      <c r="AS404" s="72">
        <f>(BE404-Driver!$K$190)/(Driver!$L$190-Driver!$K$190)</f>
        <v>0.61162446634815215</v>
      </c>
      <c r="AT404" s="72">
        <f>(BF404-Driver!$K$191)/(Driver!$L$191-Driver!$K$191)</f>
        <v>2.366294450210862E-2</v>
      </c>
      <c r="AU404" s="72">
        <f>(BG404-Driver!$K$192)/(Driver!$L$192-Driver!$K$192)</f>
        <v>1.4863000197122016E-2</v>
      </c>
      <c r="AV404" s="70">
        <f t="shared" si="245"/>
        <v>4.8297381630714957</v>
      </c>
      <c r="AW404" s="70">
        <f t="shared" si="246"/>
        <v>39.690036063040978</v>
      </c>
      <c r="AX404" s="70">
        <f t="shared" si="247"/>
        <v>5.8394991462720549</v>
      </c>
      <c r="AY404" s="70">
        <f>IFERROR(Driver!$K$19/Data!BH404/Data!BI404*Data!BK404*Data!BL404,"")</f>
        <v>7.5406611482248226E-2</v>
      </c>
      <c r="AZ404" s="70">
        <f t="shared" si="248"/>
        <v>33.775130305286673</v>
      </c>
      <c r="BA404" s="70"/>
      <c r="BB404" s="70"/>
      <c r="BC404" s="70">
        <f t="shared" si="249"/>
        <v>50.870680225558367</v>
      </c>
      <c r="BD404" s="70">
        <f t="shared" si="250"/>
        <v>6.6628242032229528</v>
      </c>
      <c r="BE404" s="70">
        <f t="shared" si="251"/>
        <v>0.61169374817200284</v>
      </c>
      <c r="BF404" s="70">
        <f t="shared" si="252"/>
        <v>2.6725633399194231</v>
      </c>
      <c r="BG404" s="70">
        <f t="shared" si="253"/>
        <v>5.6280800315395223E-2</v>
      </c>
      <c r="BH404" s="67">
        <f>MAX((CE404-Driver!$F$200)/(Driver!$G$200-Driver!$F$200)*$BI$1,1)</f>
        <v>5.8394991462720549</v>
      </c>
      <c r="BI404" s="67">
        <f>MAX($BI$1*(BY404-Driver!$F$201)/(Driver!$G$201-Driver!$F$201),1)</f>
        <v>7.9746835443037973</v>
      </c>
      <c r="BJ404" s="67">
        <f>(CB404-Driver!$F$206)/(Driver!$G$206-Driver!$F$206)*$BI$1</f>
        <v>5.0793650793650791</v>
      </c>
      <c r="BK404" s="67">
        <f>(CD404-Driver!$F$203)/(Driver!$G$203-Driver!$F$203)*$BI$1</f>
        <v>3.3944954128440372</v>
      </c>
      <c r="BL404" s="67">
        <f>MAX((CR404-Driver!$F$202)/(Driver!$G$202-Driver!$F$202)*$BI$1,1)</f>
        <v>5.1724137931034484</v>
      </c>
      <c r="BM404" s="67">
        <f>MAX((CH404-Driver!$F$204)/(Driver!$G$204-Driver!$F$204)*$BI$1,1)</f>
        <v>3.8034188034188032</v>
      </c>
      <c r="BN404" s="67">
        <f>(CI404-Driver!$F$205)/(Driver!$G$205-Driver!$F$205)*$BI$1</f>
        <v>4.2352941176470589</v>
      </c>
      <c r="BO404" s="67">
        <f>(CK404-Driver!$F$207)/(Driver!$G$207-Driver!$F$207)*$BI$1</f>
        <v>1.3857290589451912</v>
      </c>
      <c r="BP404" s="67">
        <f>(CM404-Driver!$F$208)/(Driver!$G$208-Driver!$F$208)*$BI$1</f>
        <v>1.2888888888888888</v>
      </c>
      <c r="BQ404" s="67">
        <f>(CL404-Driver!$F$209)/(Driver!$G$209-Driver!$F$209)*$BI$1</f>
        <v>1.25</v>
      </c>
      <c r="BR404" s="28" t="s">
        <v>155</v>
      </c>
      <c r="BS404" s="8" t="s">
        <v>317</v>
      </c>
      <c r="BT404" s="9" t="s">
        <v>456</v>
      </c>
      <c r="BU404" s="10">
        <v>171</v>
      </c>
      <c r="BV404" s="9" t="s">
        <v>163</v>
      </c>
      <c r="BW404" s="10">
        <v>171</v>
      </c>
      <c r="BX404" s="10">
        <v>169.8</v>
      </c>
      <c r="BY404" s="10">
        <v>134</v>
      </c>
      <c r="BZ404" s="10">
        <v>146</v>
      </c>
      <c r="CA404" s="10">
        <v>136</v>
      </c>
      <c r="CB404" s="10">
        <v>96</v>
      </c>
      <c r="CC404" s="10">
        <v>118</v>
      </c>
      <c r="CD404" s="10">
        <v>16.8</v>
      </c>
      <c r="CE404" s="10">
        <v>1926</v>
      </c>
      <c r="CF404" s="10">
        <v>0.95</v>
      </c>
      <c r="CG404" s="10">
        <v>1836</v>
      </c>
      <c r="CH404" s="10">
        <v>190</v>
      </c>
      <c r="CI404" s="10">
        <v>105</v>
      </c>
      <c r="CJ404" s="10">
        <v>57</v>
      </c>
      <c r="CK404" s="10">
        <v>244</v>
      </c>
      <c r="CL404" s="10">
        <v>8</v>
      </c>
      <c r="CM404" s="10">
        <v>116</v>
      </c>
      <c r="CN404" s="10">
        <v>0.14000000000000001</v>
      </c>
      <c r="CO404" s="10">
        <v>128</v>
      </c>
      <c r="CP404" s="10">
        <v>112</v>
      </c>
      <c r="CQ404" s="10">
        <v>116</v>
      </c>
      <c r="CR404" s="10">
        <v>4</v>
      </c>
      <c r="CS404" s="10">
        <v>11.4</v>
      </c>
      <c r="CT404" s="9" t="s">
        <v>188</v>
      </c>
      <c r="CU404" s="10"/>
      <c r="CV404" s="10"/>
      <c r="CW404" s="10"/>
      <c r="CX404" t="str">
        <f>INDEX('Data_Price '!AG$2:AG$1266,MATCH(Data!$DN404,'Data_Price '!$AT$2:$AT$1266,0))</f>
        <v>Blizzard Black Pearl 97 21/22</v>
      </c>
      <c r="CY404" t="str">
        <f>INDEX('Data_Price '!AH$2:AH$1266,MATCH(Data!$DN404,'Data_Price '!$AT$2:$AT$1266,0))</f>
        <v>Snowcountry.eu</v>
      </c>
      <c r="CZ404">
        <f>INDEX('Data_Price '!AI$2:AI$1266,MATCH(Data!$DN404,'Data_Price '!$AT$2:$AT$1266,0))</f>
        <v>387.23</v>
      </c>
      <c r="DA404" t="str">
        <f>INDEX('Data_Price '!AJ$2:AJ$1266,MATCH(Data!$DN404,'Data_Price '!$AT$2:$AT$1266,0))</f>
        <v>https://tinyurl.com/y968awb2</v>
      </c>
      <c r="DB404" t="str">
        <f>INDEX('Data_Price '!AK$2:AK$1266,MATCH(Data!$DN404,'Data_Price '!$AT$2:$AT$1266,0))</f>
        <v>Blizzard Black Pearl 97 Skis</v>
      </c>
      <c r="DC404" t="str">
        <f>INDEX('Data_Price '!AL$2:AL$1266,MATCH(Data!$DN404,'Data_Price '!$AT$2:$AT$1266,0))</f>
        <v>Cole Sport</v>
      </c>
      <c r="DD404">
        <f>INDEX('Data_Price '!AM$2:AM$1266,MATCH(Data!$DN404,'Data_Price '!$AT$2:$AT$1266,0))</f>
        <v>559.95000000000005</v>
      </c>
      <c r="DE404" t="str">
        <f>INDEX('Data_Price '!AN$2:AN$1266,MATCH(Data!$DN404,'Data_Price '!$AT$2:$AT$1266,0))</f>
        <v>https://tinyurl.com/y7xz867w</v>
      </c>
      <c r="DF404" t="str">
        <f>INDEX('Data_Price '!AO$2:AO$1266,MATCH(Data!$DN404,'Data_Price '!$AT$2:$AT$1266,0))</f>
        <v>2022 Blizzard Black Pearl 97 ladies snow skis 171</v>
      </c>
      <c r="DG404" t="str">
        <f>INDEX('Data_Price '!AP$2:AP$1266,MATCH(Data!$DN404,'Data_Price '!$AT$2:$AT$1266,0))</f>
        <v>The Pro Shop</v>
      </c>
      <c r="DH404">
        <f>INDEX('Data_Price '!AQ$2:AQ$1266,MATCH(Data!$DN404,'Data_Price '!$AT$2:$AT$1266,0))</f>
        <v>699</v>
      </c>
      <c r="DI404" t="str">
        <f>INDEX('Data_Price '!AR$2:AR$1266,MATCH(Data!$DN404,'Data_Price '!$AT$2:$AT$1266,0))</f>
        <v>https://tinyurl.com/y8ysx88p</v>
      </c>
      <c r="DJ404" s="89" t="str">
        <f t="shared" si="254"/>
        <v>https://tinyurl.com/y968awb2</v>
      </c>
      <c r="DK404" s="89" t="str">
        <f t="shared" si="255"/>
        <v>https://tinyurl.com/y7xz867w</v>
      </c>
      <c r="DL404" s="89" t="str">
        <f t="shared" si="256"/>
        <v>https://tinyurl.com/y8ysx88p</v>
      </c>
      <c r="DM404" s="219" t="str">
        <f t="shared" si="257"/>
        <v>Black Pearl 97</v>
      </c>
      <c r="DN404" s="89" t="str">
        <f t="shared" si="258"/>
        <v xml:space="preserve"> BlizzardBlack Pearl 97171 Women's</v>
      </c>
      <c r="DO404" s="221" t="s">
        <v>457</v>
      </c>
    </row>
    <row r="405" spans="2:119" ht="15.6" customHeight="1">
      <c r="B405" s="219" t="b">
        <f t="array" ref="B405">IF(OR(ISERROR(K405:P405)),FALSE,TRUE)</f>
        <v>1</v>
      </c>
      <c r="C405" s="43" t="b">
        <f>OR(BR405=Driver!$G$50,Data!BR287=Driver!$H$50)</f>
        <v>1</v>
      </c>
      <c r="D405" s="43" t="b">
        <f>OR(BV405=Driver!$G$51,BV405=Driver!$H$51)</f>
        <v>1</v>
      </c>
      <c r="E405" s="43" t="b">
        <f>AND(BX405&gt;Driver!$F$54,BX405&lt;Driver!$G$54)</f>
        <v>0</v>
      </c>
      <c r="F405" s="43" t="b">
        <f>CL405&gt;Driver!$F$56</f>
        <v>1</v>
      </c>
      <c r="G405" s="43" t="b">
        <f>AND(CB405&gt;Driver!$F$55,CB405&lt;Driver!$G$55)</f>
        <v>1</v>
      </c>
      <c r="H405" s="43" t="b">
        <f t="shared" si="222"/>
        <v>0</v>
      </c>
      <c r="I405" s="43">
        <f t="shared" si="223"/>
        <v>1</v>
      </c>
      <c r="J405" s="43" t="b">
        <f t="array" ref="J405">NOT(OR(($H$9:$H$1273=TRUE)*($I$9:$I$1273&gt;0)*($BT$9:$BT$1273=BT405)*($K$9:$K$1273&gt;K405)))</f>
        <v>1</v>
      </c>
      <c r="K405" s="72">
        <f t="shared" si="224"/>
        <v>0.86090189819360585</v>
      </c>
      <c r="L405" s="72">
        <f t="shared" si="225"/>
        <v>0.98427869723571071</v>
      </c>
      <c r="M405" s="72">
        <f t="shared" si="226"/>
        <v>0.737525099151501</v>
      </c>
      <c r="N405" s="72">
        <f t="shared" si="227"/>
        <v>0.575348675621004</v>
      </c>
      <c r="O405" s="72">
        <f t="shared" si="228"/>
        <v>0.63913466353119086</v>
      </c>
      <c r="P405" s="72">
        <f t="shared" si="229"/>
        <v>0.99809195830230824</v>
      </c>
      <c r="Q405" s="72"/>
      <c r="R405" s="72"/>
      <c r="S405" s="72">
        <f t="shared" si="230"/>
        <v>0.44559082721723686</v>
      </c>
      <c r="T405" s="72">
        <f t="shared" si="231"/>
        <v>0.48581723102900876</v>
      </c>
      <c r="U405" s="72">
        <f t="shared" si="232"/>
        <v>0.51022178556980158</v>
      </c>
      <c r="V405" s="72">
        <f t="shared" si="233"/>
        <v>0.62448252866805642</v>
      </c>
      <c r="W405" s="72">
        <f t="shared" si="234"/>
        <v>0.82573660714285713</v>
      </c>
      <c r="X405" s="72">
        <f t="shared" si="235"/>
        <v>1.5721302764289319E-2</v>
      </c>
      <c r="Y405" s="72">
        <f t="shared" si="236"/>
        <v>0.26247490084849895</v>
      </c>
      <c r="Z405" s="72">
        <f t="shared" si="237"/>
        <v>0.424651324378996</v>
      </c>
      <c r="AA405" s="72">
        <f t="shared" si="238"/>
        <v>0.36086533646880914</v>
      </c>
      <c r="AB405" s="72">
        <f t="shared" si="239"/>
        <v>1.9080416976917092E-3</v>
      </c>
      <c r="AC405" s="72"/>
      <c r="AD405" s="72"/>
      <c r="AE405" s="72">
        <f t="shared" si="240"/>
        <v>0.55440917278276314</v>
      </c>
      <c r="AF405" s="72">
        <f t="shared" si="241"/>
        <v>0.51418276897099124</v>
      </c>
      <c r="AG405" s="72">
        <f t="shared" si="242"/>
        <v>0.48977821443019842</v>
      </c>
      <c r="AH405" s="72">
        <f t="shared" si="243"/>
        <v>0.37551747133194363</v>
      </c>
      <c r="AI405" s="72">
        <f t="shared" si="244"/>
        <v>0.17426339285714287</v>
      </c>
      <c r="AJ405" s="72">
        <f>(AV405-Driver!$K$179)/(Driver!$L$179-Driver!$K$179)</f>
        <v>0.23849810651841111</v>
      </c>
      <c r="AK405" s="72">
        <f>(AW405-Driver!$K$180)/(Driver!$L$180-Driver!$K$180)</f>
        <v>0.28026539796258676</v>
      </c>
      <c r="AL405" s="72">
        <f>(AX405-Driver!$K$181)/(Driver!$L$181-Driver!$K$181)</f>
        <v>0.52633908809207619</v>
      </c>
      <c r="AM405" s="72">
        <f>(AY405-Driver!$K$182)/(Driver!$L$182-Driver!$K$182)</f>
        <v>8.6519684628237239E-2</v>
      </c>
      <c r="AN405" s="72">
        <f>(AZ405-Driver!$K$183)/(Driver!$L$183-Driver!$K$183)</f>
        <v>0.25612745098039214</v>
      </c>
      <c r="AO405" s="72"/>
      <c r="AP405" s="72"/>
      <c r="AQ405" s="72">
        <f>(BC405-Driver!$K$188)/(Driver!$L$188-Driver!$K$188)</f>
        <v>6.559082721723683E-2</v>
      </c>
      <c r="AR405" s="72">
        <f>MIN((BD405-Driver!$K$189)/(Driver!$L$189-Driver!$K$189),100%)</f>
        <v>3.5817231029008759E-2</v>
      </c>
      <c r="AS405" s="72">
        <f>(BE405-Driver!$K$190)/(Driver!$L$190-Driver!$K$190)</f>
        <v>2.0221785569801559E-2</v>
      </c>
      <c r="AT405" s="72">
        <f>(BF405-Driver!$K$191)/(Driver!$L$191-Driver!$K$191)</f>
        <v>0.13448252866805638</v>
      </c>
      <c r="AU405" s="72">
        <f>(BG405-Driver!$K$192)/(Driver!$L$192-Driver!$K$192)</f>
        <v>7.5736607142857126E-2</v>
      </c>
      <c r="AV405" s="70">
        <f t="shared" si="245"/>
        <v>5.0196716863383539</v>
      </c>
      <c r="AW405" s="70">
        <f t="shared" si="246"/>
        <v>29.186239056970962</v>
      </c>
      <c r="AX405" s="70">
        <f t="shared" si="247"/>
        <v>5.7370517928286855</v>
      </c>
      <c r="AY405" s="70">
        <f>IFERROR(Driver!$K$19/Data!BH405/Data!BI405*Data!BK405*Data!BL405,"")</f>
        <v>0.10592590896729329</v>
      </c>
      <c r="AZ405" s="70">
        <f t="shared" si="248"/>
        <v>23.343261355174981</v>
      </c>
      <c r="BA405" s="70"/>
      <c r="BB405" s="70"/>
      <c r="BC405" s="70">
        <f t="shared" si="249"/>
        <v>34.022418057613926</v>
      </c>
      <c r="BD405" s="70">
        <f t="shared" si="250"/>
        <v>4.890584365787003</v>
      </c>
      <c r="BE405" s="70">
        <f t="shared" si="251"/>
        <v>2.0396566975382363E-2</v>
      </c>
      <c r="BF405" s="70">
        <f t="shared" si="252"/>
        <v>15.188856819821504</v>
      </c>
      <c r="BG405" s="70">
        <f t="shared" si="253"/>
        <v>0.28678710937499996</v>
      </c>
      <c r="BH405" s="67">
        <f>MAX((CE405-Driver!$F$200)/(Driver!$G$200-Driver!$F$200)*$BI$1,1)</f>
        <v>5.7370517928286855</v>
      </c>
      <c r="BI405" s="67">
        <f>MAX($BI$1*(BY405-Driver!$F$201)/(Driver!$G$201-Driver!$F$201),1)</f>
        <v>6.0126582278481013</v>
      </c>
      <c r="BJ405" s="67">
        <f>(CB405-Driver!$F$206)/(Driver!$G$206-Driver!$F$206)*$BI$1</f>
        <v>5.8730158730158735</v>
      </c>
      <c r="BK405" s="67">
        <f>(CD405-Driver!$F$203)/(Driver!$G$203-Driver!$F$203)*$BI$1</f>
        <v>3.5321100917431201</v>
      </c>
      <c r="BL405" s="67">
        <f>MAX((CR405-Driver!$F$202)/(Driver!$G$202-Driver!$F$202)*$BI$1,1)</f>
        <v>5.1724137931034484</v>
      </c>
      <c r="BM405" s="67">
        <f>MAX((CH405-Driver!$F$204)/(Driver!$G$204-Driver!$F$204)*$BI$1,1)</f>
        <v>3.4188034188034191</v>
      </c>
      <c r="BN405" s="67">
        <f>(CI405-Driver!$F$205)/(Driver!$G$205-Driver!$F$205)*$BI$1</f>
        <v>3.8823529411764706</v>
      </c>
      <c r="BO405" s="67">
        <f>(CK405-Driver!$F$207)/(Driver!$G$207-Driver!$F$207)*$BI$1</f>
        <v>2.7404343329886243</v>
      </c>
      <c r="BP405" s="67">
        <f>(CM405-Driver!$F$208)/(Driver!$G$208-Driver!$F$208)*$BI$1</f>
        <v>3.333333333333333</v>
      </c>
      <c r="BQ405" s="67">
        <f>(CL405-Driver!$F$209)/(Driver!$G$209-Driver!$F$209)*$BI$1</f>
        <v>5.625</v>
      </c>
      <c r="BR405" s="28" t="s">
        <v>155</v>
      </c>
      <c r="BS405" s="8" t="s">
        <v>317</v>
      </c>
      <c r="BT405" s="9" t="s">
        <v>551</v>
      </c>
      <c r="BU405" s="10">
        <v>172</v>
      </c>
      <c r="BV405" s="9" t="s">
        <v>158</v>
      </c>
      <c r="BW405" s="10">
        <v>172</v>
      </c>
      <c r="BX405" s="10">
        <v>170.5</v>
      </c>
      <c r="BY405" s="10">
        <v>103</v>
      </c>
      <c r="BZ405" s="10">
        <v>141</v>
      </c>
      <c r="CA405" s="10">
        <v>132</v>
      </c>
      <c r="CB405" s="10">
        <v>101</v>
      </c>
      <c r="CC405" s="10">
        <v>121</v>
      </c>
      <c r="CD405" s="10">
        <v>17.100000000000001</v>
      </c>
      <c r="CE405" s="10">
        <v>1908</v>
      </c>
      <c r="CF405" s="10">
        <v>1</v>
      </c>
      <c r="CG405" s="10">
        <v>1903</v>
      </c>
      <c r="CH405" s="10">
        <v>181</v>
      </c>
      <c r="CI405" s="10">
        <v>99</v>
      </c>
      <c r="CJ405" s="10">
        <v>65</v>
      </c>
      <c r="CK405" s="10">
        <v>375</v>
      </c>
      <c r="CL405" s="10">
        <v>36</v>
      </c>
      <c r="CM405" s="10">
        <v>300</v>
      </c>
      <c r="CN405" s="10">
        <v>0.55200000000000005</v>
      </c>
      <c r="CO405" s="10">
        <v>155</v>
      </c>
      <c r="CP405" s="10">
        <v>139</v>
      </c>
      <c r="CQ405" s="10">
        <v>220</v>
      </c>
      <c r="CR405" s="10">
        <v>4</v>
      </c>
      <c r="CS405" s="10">
        <v>7.6</v>
      </c>
      <c r="CT405" s="9" t="s">
        <v>188</v>
      </c>
      <c r="CU405" s="9" t="s">
        <v>169</v>
      </c>
      <c r="CV405" s="10"/>
      <c r="CW405" s="10"/>
      <c r="CX405" t="str">
        <f>INDEX('Data_Price '!AG$2:AG$1266,MATCH(Data!$DN405,'Data_Price '!$AT$2:$AT$1266,0))</f>
        <v xml:space="preserve"> 2018 Blizzard Rustler 10 Demo Ski with Bindings Size 172 (Option 211702)</v>
      </c>
      <c r="CY405" t="str">
        <f>INDEX('Data_Price '!AH$2:AH$1266,MATCH(Data!$DN405,'Data_Price '!$AT$2:$AT$1266,0))</f>
        <v>SidelineSwap</v>
      </c>
      <c r="CZ405">
        <f>INDEX('Data_Price '!AI$2:AI$1266,MATCH(Data!$DN405,'Data_Price '!$AT$2:$AT$1266,0))</f>
        <v>399.99</v>
      </c>
      <c r="DA405" t="str">
        <f>INDEX('Data_Price '!AJ$2:AJ$1266,MATCH(Data!$DN405,'Data_Price '!$AT$2:$AT$1266,0))</f>
        <v>https://tinyurl.com/ya8qldn9</v>
      </c>
      <c r="DB405" t="str">
        <f>INDEX('Data_Price '!AK$2:AK$1266,MATCH(Data!$DN405,'Data_Price '!$AT$2:$AT$1266,0))</f>
        <v>Blizzard Rustler 10 19/20</v>
      </c>
      <c r="DC405" t="str">
        <f>INDEX('Data_Price '!AL$2:AL$1266,MATCH(Data!$DN405,'Data_Price '!$AT$2:$AT$1266,0))</f>
        <v>Cotswold Outdoor US</v>
      </c>
      <c r="DD405">
        <f>INDEX('Data_Price '!AM$2:AM$1266,MATCH(Data!$DN405,'Data_Price '!$AT$2:$AT$1266,0))</f>
        <v>462</v>
      </c>
      <c r="DE405" t="str">
        <f>INDEX('Data_Price '!AN$2:AN$1266,MATCH(Data!$DN405,'Data_Price '!$AT$2:$AT$1266,0))</f>
        <v>https://tinyurl.com/yaoqgptc</v>
      </c>
      <c r="DF405" t="str">
        <f>INDEX('Data_Price '!AO$2:AO$1266,MATCH(Data!$DN405,'Data_Price '!$AT$2:$AT$1266,0))</f>
        <v>Blizzard Rustler 10 Skis - 2022 - 172cm</v>
      </c>
      <c r="DG405" t="str">
        <f>INDEX('Data_Price '!AP$2:AP$1266,MATCH(Data!$DN405,'Data_Price '!$AT$2:$AT$1266,0))</f>
        <v>ColoradoSkiShop.com</v>
      </c>
      <c r="DH405">
        <f>INDEX('Data_Price '!AQ$2:AQ$1266,MATCH(Data!$DN405,'Data_Price '!$AT$2:$AT$1266,0))</f>
        <v>559.95000000000005</v>
      </c>
      <c r="DI405" t="str">
        <f>INDEX('Data_Price '!AR$2:AR$1266,MATCH(Data!$DN405,'Data_Price '!$AT$2:$AT$1266,0))</f>
        <v>https://tinyurl.com/y7qwvygt</v>
      </c>
      <c r="DJ405" s="89" t="str">
        <f t="shared" si="254"/>
        <v>https://tinyurl.com/ya8qldn9</v>
      </c>
      <c r="DK405" s="89" t="str">
        <f t="shared" si="255"/>
        <v>https://tinyurl.com/yaoqgptc</v>
      </c>
      <c r="DL405" s="89" t="str">
        <f t="shared" si="256"/>
        <v>https://tinyurl.com/y7qwvygt</v>
      </c>
      <c r="DM405" s="219" t="str">
        <f t="shared" si="257"/>
        <v>Rustler 10</v>
      </c>
      <c r="DN405" s="89" t="str">
        <f t="shared" si="258"/>
        <v xml:space="preserve"> BlizzardRustler 10172 Unisex</v>
      </c>
      <c r="DO405" s="221" t="s">
        <v>552</v>
      </c>
    </row>
    <row r="406" spans="2:119" ht="15.6" customHeight="1">
      <c r="B406" s="219" t="b">
        <f t="array" ref="B406">IF(OR(ISERROR(K406:P406)),FALSE,TRUE)</f>
        <v>1</v>
      </c>
      <c r="C406" s="43" t="b">
        <f>OR(BR406=Driver!$G$50,Data!BR787=Driver!$H$50)</f>
        <v>1</v>
      </c>
      <c r="D406" s="43" t="b">
        <f>OR(BV406=Driver!$G$51,BV406=Driver!$H$51)</f>
        <v>1</v>
      </c>
      <c r="E406" s="43" t="b">
        <f>AND(BX406&gt;Driver!$F$54,BX406&lt;Driver!$G$54)</f>
        <v>0</v>
      </c>
      <c r="F406" s="43" t="b">
        <f>CL406&gt;Driver!$F$56</f>
        <v>1</v>
      </c>
      <c r="G406" s="43" t="b">
        <f>AND(CB406&gt;Driver!$F$55,CB406&lt;Driver!$G$55)</f>
        <v>1</v>
      </c>
      <c r="H406" s="43" t="b">
        <f t="shared" si="222"/>
        <v>0</v>
      </c>
      <c r="I406" s="43">
        <f t="shared" si="223"/>
        <v>0</v>
      </c>
      <c r="J406" s="43" t="b">
        <f t="array" ref="J406">NOT(OR(($H$9:$H$1273=TRUE)*($I$9:$I$1273&gt;0)*($BT$9:$BT$1273=BT406)*($K$9:$K$1273&gt;K406)))</f>
        <v>1</v>
      </c>
      <c r="K406" s="72">
        <f t="shared" si="224"/>
        <v>0.92104268461825223</v>
      </c>
      <c r="L406" s="72">
        <f t="shared" si="225"/>
        <v>0.97042002347855971</v>
      </c>
      <c r="M406" s="72">
        <f t="shared" si="226"/>
        <v>0.87166534575794485</v>
      </c>
      <c r="N406" s="72">
        <f t="shared" si="227"/>
        <v>0.8611894395494174</v>
      </c>
      <c r="O406" s="72">
        <f t="shared" si="228"/>
        <v>0.76987241223587555</v>
      </c>
      <c r="P406" s="72">
        <f t="shared" si="229"/>
        <v>0.98393418548854139</v>
      </c>
      <c r="Q406" s="72"/>
      <c r="R406" s="72"/>
      <c r="S406" s="72">
        <f t="shared" si="230"/>
        <v>0.45900446375976145</v>
      </c>
      <c r="T406" s="72">
        <f t="shared" si="231"/>
        <v>0.44998812636384122</v>
      </c>
      <c r="U406" s="72">
        <f t="shared" si="232"/>
        <v>0.68102978998862052</v>
      </c>
      <c r="V406" s="72">
        <f t="shared" si="233"/>
        <v>0.56718897256424983</v>
      </c>
      <c r="W406" s="72">
        <f t="shared" si="234"/>
        <v>0.79935860135421077</v>
      </c>
      <c r="X406" s="72">
        <f t="shared" si="235"/>
        <v>2.957997652144026E-2</v>
      </c>
      <c r="Y406" s="72">
        <f t="shared" si="236"/>
        <v>0.1283346542420552</v>
      </c>
      <c r="Z406" s="72">
        <f t="shared" si="237"/>
        <v>0.1388105604505826</v>
      </c>
      <c r="AA406" s="72">
        <f t="shared" si="238"/>
        <v>0.2301275877641244</v>
      </c>
      <c r="AB406" s="72">
        <f t="shared" si="239"/>
        <v>1.6065814511458609E-2</v>
      </c>
      <c r="AC406" s="72"/>
      <c r="AD406" s="72"/>
      <c r="AE406" s="72">
        <f t="shared" si="240"/>
        <v>0.54099553624023855</v>
      </c>
      <c r="AF406" s="72">
        <f t="shared" si="241"/>
        <v>0.55001187363615878</v>
      </c>
      <c r="AG406" s="72">
        <f t="shared" si="242"/>
        <v>0.31897021001137948</v>
      </c>
      <c r="AH406" s="72">
        <f t="shared" si="243"/>
        <v>0.43281102743575012</v>
      </c>
      <c r="AI406" s="72">
        <f t="shared" si="244"/>
        <v>0.20064139864578925</v>
      </c>
      <c r="AJ406" s="72">
        <f>(AV406-Driver!$K$179)/(Driver!$L$179-Driver!$K$179)</f>
        <v>0.22463943276126017</v>
      </c>
      <c r="AK406" s="72">
        <f>(AW406-Driver!$K$180)/(Driver!$L$180-Driver!$K$180)</f>
        <v>0.23870295377876161</v>
      </c>
      <c r="AL406" s="72">
        <f>(AX406-Driver!$K$181)/(Driver!$L$181-Driver!$K$181)</f>
        <v>0.24049832416366279</v>
      </c>
      <c r="AM406" s="72">
        <f>(AY406-Driver!$K$182)/(Driver!$L$182-Driver!$K$182)</f>
        <v>0.21725743333292197</v>
      </c>
      <c r="AN406" s="72">
        <f>(AZ406-Driver!$K$183)/(Driver!$L$183-Driver!$K$183)</f>
        <v>0.23815359477124182</v>
      </c>
      <c r="AO406" s="72"/>
      <c r="AP406" s="72"/>
      <c r="AQ406" s="72">
        <f>(BC406-Driver!$K$188)/(Driver!$L$188-Driver!$K$188)</f>
        <v>7.900446375976139E-2</v>
      </c>
      <c r="AR406" s="72">
        <f>MIN((BD406-Driver!$K$189)/(Driver!$L$189-Driver!$K$189),100%)</f>
        <v>-1.18736361587186E-5</v>
      </c>
      <c r="AS406" s="72">
        <f>(BE406-Driver!$K$190)/(Driver!$L$190-Driver!$K$190)</f>
        <v>0.19102978998862052</v>
      </c>
      <c r="AT406" s="72">
        <f>(BF406-Driver!$K$191)/(Driver!$L$191-Driver!$K$191)</f>
        <v>7.7188972564249878E-2</v>
      </c>
      <c r="AU406" s="72">
        <f>(BG406-Driver!$K$192)/(Driver!$L$192-Driver!$K$192)</f>
        <v>4.9358601354210739E-2</v>
      </c>
      <c r="AV406" s="70">
        <f t="shared" si="245"/>
        <v>4.7279880613213949</v>
      </c>
      <c r="AW406" s="70">
        <f t="shared" si="246"/>
        <v>25.135610590537119</v>
      </c>
      <c r="AX406" s="70">
        <f t="shared" si="247"/>
        <v>3.164484917472965</v>
      </c>
      <c r="AY406" s="70">
        <f>IFERROR(Driver!$K$19/Data!BH406/Data!BI406*Data!BK406*Data!BL406,"")</f>
        <v>0.26598792176110309</v>
      </c>
      <c r="AZ406" s="70">
        <f t="shared" si="248"/>
        <v>21.705137751303052</v>
      </c>
      <c r="BA406" s="70"/>
      <c r="BB406" s="70"/>
      <c r="BC406" s="70">
        <f t="shared" si="249"/>
        <v>40.980164582309811</v>
      </c>
      <c r="BD406" s="70">
        <f t="shared" si="250"/>
        <v>1.7197720883365186</v>
      </c>
      <c r="BE406" s="70">
        <f t="shared" si="251"/>
        <v>0.19117410116873898</v>
      </c>
      <c r="BF406" s="70">
        <f t="shared" si="252"/>
        <v>8.7179521679086687</v>
      </c>
      <c r="BG406" s="70">
        <f t="shared" si="253"/>
        <v>0.18690315211066438</v>
      </c>
      <c r="BH406" s="67">
        <f>MAX((CE406-Driver!$F$200)/(Driver!$G$200-Driver!$F$200)*$BI$1,1)</f>
        <v>3.164484917472965</v>
      </c>
      <c r="BI406" s="67">
        <f>MAX($BI$1*(BY406-Driver!$F$201)/(Driver!$G$201-Driver!$F$201),1)</f>
        <v>6.7088607594936711</v>
      </c>
      <c r="BJ406" s="67">
        <f>(CB406-Driver!$F$206)/(Driver!$G$206-Driver!$F$206)*$BI$1</f>
        <v>6.5079365079365079</v>
      </c>
      <c r="BK406" s="67">
        <f>(CD406-Driver!$F$203)/(Driver!$G$203-Driver!$F$203)*$BI$1</f>
        <v>4.8165137614678901</v>
      </c>
      <c r="BL406" s="67">
        <f>MAX((CR406-Driver!$F$202)/(Driver!$G$202-Driver!$F$202)*$BI$1,1)</f>
        <v>5.8620689655172411</v>
      </c>
      <c r="BM406" s="67">
        <f>MAX((CH406-Driver!$F$204)/(Driver!$G$204-Driver!$F$204)*$BI$1,1)</f>
        <v>2.9059829059829063</v>
      </c>
      <c r="BN406" s="67">
        <f>(CI406-Driver!$F$205)/(Driver!$G$205-Driver!$F$205)*$BI$1</f>
        <v>3.2352941176470589</v>
      </c>
      <c r="BO406" s="67">
        <f>(CK406-Driver!$F$207)/(Driver!$G$207-Driver!$F$207)*$BI$1</f>
        <v>2.4922440537745603</v>
      </c>
      <c r="BP406" s="67">
        <f>(CM406-Driver!$F$208)/(Driver!$G$208-Driver!$F$208)*$BI$1</f>
        <v>2.588888888888889</v>
      </c>
      <c r="BQ406" s="67">
        <f>(CL406-Driver!$F$209)/(Driver!$G$209-Driver!$F$209)*$BI$1</f>
        <v>1.71875</v>
      </c>
      <c r="BR406" s="28" t="s">
        <v>155</v>
      </c>
      <c r="BS406" s="8" t="s">
        <v>262</v>
      </c>
      <c r="BT406" s="9" t="s">
        <v>263</v>
      </c>
      <c r="BU406" s="10">
        <v>172</v>
      </c>
      <c r="BV406" s="9" t="s">
        <v>158</v>
      </c>
      <c r="BW406" s="10">
        <v>172</v>
      </c>
      <c r="BX406" s="10">
        <v>171.9</v>
      </c>
      <c r="BY406" s="10">
        <v>114</v>
      </c>
      <c r="BZ406" s="10">
        <v>141</v>
      </c>
      <c r="CA406" s="10">
        <v>135</v>
      </c>
      <c r="CB406" s="10">
        <v>105</v>
      </c>
      <c r="CC406" s="10">
        <v>123</v>
      </c>
      <c r="CD406" s="10">
        <v>19.899999999999999</v>
      </c>
      <c r="CE406" s="10">
        <v>1456</v>
      </c>
      <c r="CF406" s="10">
        <v>1.34</v>
      </c>
      <c r="CG406" s="10">
        <v>1957</v>
      </c>
      <c r="CH406" s="10">
        <v>169</v>
      </c>
      <c r="CI406" s="10">
        <v>88</v>
      </c>
      <c r="CJ406" s="10">
        <v>45</v>
      </c>
      <c r="CK406" s="10">
        <v>351</v>
      </c>
      <c r="CL406" s="10">
        <v>11</v>
      </c>
      <c r="CM406" s="10">
        <v>233</v>
      </c>
      <c r="CN406" s="10">
        <v>0.247</v>
      </c>
      <c r="CO406" s="10">
        <v>175</v>
      </c>
      <c r="CP406" s="10">
        <v>130</v>
      </c>
      <c r="CQ406" s="10">
        <v>176</v>
      </c>
      <c r="CR406" s="10">
        <v>6</v>
      </c>
      <c r="CS406" s="10">
        <v>13.5</v>
      </c>
      <c r="CT406" s="9" t="s">
        <v>178</v>
      </c>
      <c r="CU406" s="9" t="s">
        <v>185</v>
      </c>
      <c r="CV406" s="9" t="s">
        <v>198</v>
      </c>
      <c r="CW406" s="10"/>
      <c r="CX406" t="e">
        <f>INDEX('Data_Price '!AG$2:AG$1266,MATCH(Data!$DN406,'Data_Price '!$AT$2:$AT$1266,0))</f>
        <v>#N/A</v>
      </c>
      <c r="CY406" t="e">
        <f>INDEX('Data_Price '!AH$2:AH$1266,MATCH(Data!$DN406,'Data_Price '!$AT$2:$AT$1266,0))</f>
        <v>#N/A</v>
      </c>
      <c r="CZ406" t="e">
        <f>INDEX('Data_Price '!AI$2:AI$1266,MATCH(Data!$DN406,'Data_Price '!$AT$2:$AT$1266,0))</f>
        <v>#N/A</v>
      </c>
      <c r="DA406" t="e">
        <f>INDEX('Data_Price '!AJ$2:AJ$1266,MATCH(Data!$DN406,'Data_Price '!$AT$2:$AT$1266,0))</f>
        <v>#N/A</v>
      </c>
      <c r="DB406" t="e">
        <f>INDEX('Data_Price '!AK$2:AK$1266,MATCH(Data!$DN406,'Data_Price '!$AT$2:$AT$1266,0))</f>
        <v>#N/A</v>
      </c>
      <c r="DC406" t="e">
        <f>INDEX('Data_Price '!AL$2:AL$1266,MATCH(Data!$DN406,'Data_Price '!$AT$2:$AT$1266,0))</f>
        <v>#N/A</v>
      </c>
      <c r="DD406" t="e">
        <f>INDEX('Data_Price '!AM$2:AM$1266,MATCH(Data!$DN406,'Data_Price '!$AT$2:$AT$1266,0))</f>
        <v>#N/A</v>
      </c>
      <c r="DE406" t="e">
        <f>INDEX('Data_Price '!AN$2:AN$1266,MATCH(Data!$DN406,'Data_Price '!$AT$2:$AT$1266,0))</f>
        <v>#N/A</v>
      </c>
      <c r="DF406" t="e">
        <f>INDEX('Data_Price '!AO$2:AO$1266,MATCH(Data!$DN406,'Data_Price '!$AT$2:$AT$1266,0))</f>
        <v>#N/A</v>
      </c>
      <c r="DG406" t="e">
        <f>INDEX('Data_Price '!AP$2:AP$1266,MATCH(Data!$DN406,'Data_Price '!$AT$2:$AT$1266,0))</f>
        <v>#N/A</v>
      </c>
      <c r="DH406" t="e">
        <f>INDEX('Data_Price '!AQ$2:AQ$1266,MATCH(Data!$DN406,'Data_Price '!$AT$2:$AT$1266,0))</f>
        <v>#N/A</v>
      </c>
      <c r="DI406" t="e">
        <f>INDEX('Data_Price '!AR$2:AR$1266,MATCH(Data!$DN406,'Data_Price '!$AT$2:$AT$1266,0))</f>
        <v>#N/A</v>
      </c>
      <c r="DJ406" s="89" t="e">
        <f t="shared" si="254"/>
        <v>#N/A</v>
      </c>
      <c r="DK406" s="89" t="e">
        <f t="shared" si="255"/>
        <v>#N/A</v>
      </c>
      <c r="DL406" s="89" t="e">
        <f t="shared" si="256"/>
        <v>#N/A</v>
      </c>
      <c r="DM406" s="219" t="str">
        <f t="shared" si="257"/>
        <v>Wayback 106</v>
      </c>
      <c r="DN406" s="89" t="str">
        <f t="shared" si="258"/>
        <v xml:space="preserve"> K2Wayback 106172 Unisex</v>
      </c>
      <c r="DO406" s="221" t="s">
        <v>264</v>
      </c>
    </row>
    <row r="407" spans="2:119" ht="15.6" customHeight="1">
      <c r="B407" s="219" t="b">
        <f t="array" ref="B407">IF(OR(ISERROR(K407:P407)),FALSE,TRUE)</f>
        <v>1</v>
      </c>
      <c r="C407" s="43" t="b">
        <f>OR(BR407=Driver!$G$50,Data!BR731=Driver!$H$50)</f>
        <v>1</v>
      </c>
      <c r="D407" s="43" t="b">
        <f>OR(BV407=Driver!$G$51,BV407=Driver!$H$51)</f>
        <v>0</v>
      </c>
      <c r="E407" s="43" t="b">
        <f>AND(BX407&gt;Driver!$F$54,BX407&lt;Driver!$G$54)</f>
        <v>1</v>
      </c>
      <c r="F407" s="43" t="b">
        <f>CL407&gt;Driver!$F$56</f>
        <v>1</v>
      </c>
      <c r="G407" s="43" t="b">
        <f>AND(CB407&gt;Driver!$F$55,CB407&lt;Driver!$G$55)</f>
        <v>0</v>
      </c>
      <c r="H407" s="43" t="b">
        <f t="shared" si="222"/>
        <v>0</v>
      </c>
      <c r="I407" s="43">
        <f t="shared" si="223"/>
        <v>0</v>
      </c>
      <c r="J407" s="43" t="b">
        <f t="array" ref="J407">NOT(OR(($H$9:$H$1273=TRUE)*($I$9:$I$1273&gt;0)*($BT$9:$BT$1273=BT407)*($K$9:$K$1273&gt;K407)))</f>
        <v>1</v>
      </c>
      <c r="K407" s="72">
        <f t="shared" si="224"/>
        <v>0.81411957622923836</v>
      </c>
      <c r="L407" s="72">
        <f t="shared" si="225"/>
        <v>0.84891490704958539</v>
      </c>
      <c r="M407" s="72">
        <f t="shared" si="226"/>
        <v>0.77932424540889134</v>
      </c>
      <c r="N407" s="72">
        <f t="shared" si="227"/>
        <v>0.75305056647030533</v>
      </c>
      <c r="O407" s="72">
        <f t="shared" si="228"/>
        <v>0.59208275550965728</v>
      </c>
      <c r="P407" s="72">
        <f t="shared" si="229"/>
        <v>0.99283941424671129</v>
      </c>
      <c r="Q407" s="72"/>
      <c r="R407" s="72"/>
      <c r="S407" s="72">
        <f t="shared" si="230"/>
        <v>0.40682215887121465</v>
      </c>
      <c r="T407" s="72">
        <f t="shared" si="231"/>
        <v>0.657658091970447</v>
      </c>
      <c r="U407" s="72">
        <f t="shared" si="232"/>
        <v>0.70783240836146932</v>
      </c>
      <c r="V407" s="72">
        <f t="shared" si="233"/>
        <v>0.58526108665080256</v>
      </c>
      <c r="W407" s="72">
        <f t="shared" si="234"/>
        <v>0.79740049002751034</v>
      </c>
      <c r="X407" s="72">
        <f t="shared" si="235"/>
        <v>0.15108509295041456</v>
      </c>
      <c r="Y407" s="72">
        <f t="shared" si="236"/>
        <v>0.22067575459110869</v>
      </c>
      <c r="Z407" s="72">
        <f t="shared" si="237"/>
        <v>0.24694943352969467</v>
      </c>
      <c r="AA407" s="72">
        <f t="shared" si="238"/>
        <v>0.40791724449034267</v>
      </c>
      <c r="AB407" s="72">
        <f t="shared" si="239"/>
        <v>7.1605857532886785E-3</v>
      </c>
      <c r="AC407" s="72"/>
      <c r="AD407" s="72"/>
      <c r="AE407" s="72">
        <f t="shared" si="240"/>
        <v>0.59317784112878535</v>
      </c>
      <c r="AF407" s="72">
        <f t="shared" si="241"/>
        <v>0.342341908029553</v>
      </c>
      <c r="AG407" s="72">
        <f t="shared" si="242"/>
        <v>0.29216759163853068</v>
      </c>
      <c r="AH407" s="72">
        <f t="shared" si="243"/>
        <v>0.41473891334919744</v>
      </c>
      <c r="AI407" s="72">
        <f t="shared" si="244"/>
        <v>0.20259950997248968</v>
      </c>
      <c r="AJ407" s="72">
        <f>(AV407-Driver!$K$179)/(Driver!$L$179-Driver!$K$179)</f>
        <v>0.10313431633228587</v>
      </c>
      <c r="AK407" s="72">
        <f>(AW407-Driver!$K$180)/(Driver!$L$180-Driver!$K$180)</f>
        <v>0.25478356504001637</v>
      </c>
      <c r="AL407" s="72">
        <f>(AX407-Driver!$K$181)/(Driver!$L$181-Driver!$K$181)</f>
        <v>0.34863719724277487</v>
      </c>
      <c r="AM407" s="72">
        <f>(AY407-Driver!$K$182)/(Driver!$L$182-Driver!$K$182)</f>
        <v>3.9467776606703711E-2</v>
      </c>
      <c r="AN407" s="72">
        <f>(AZ407-Driver!$K$183)/(Driver!$L$183-Driver!$K$183)</f>
        <v>0.24705882352941175</v>
      </c>
      <c r="AO407" s="72"/>
      <c r="AP407" s="72"/>
      <c r="AQ407" s="72">
        <f>(BC407-Driver!$K$188)/(Driver!$L$188-Driver!$K$188)</f>
        <v>2.6822158871214644E-2</v>
      </c>
      <c r="AR407" s="72">
        <f>MIN((BD407-Driver!$K$189)/(Driver!$L$189-Driver!$K$189),100%)</f>
        <v>0.20765809197044707</v>
      </c>
      <c r="AS407" s="72">
        <f>(BE407-Driver!$K$190)/(Driver!$L$190-Driver!$K$190)</f>
        <v>0.21783240836146936</v>
      </c>
      <c r="AT407" s="72">
        <f>(BF407-Driver!$K$191)/(Driver!$L$191-Driver!$K$191)</f>
        <v>9.5261086650802546E-2</v>
      </c>
      <c r="AU407" s="72">
        <f>(BG407-Driver!$K$192)/(Driver!$L$192-Driver!$K$192)</f>
        <v>4.7400490027510317E-2</v>
      </c>
      <c r="AV407" s="70">
        <f t="shared" si="245"/>
        <v>2.1706688373355041</v>
      </c>
      <c r="AW407" s="70">
        <f t="shared" si="246"/>
        <v>26.702808646657321</v>
      </c>
      <c r="AX407" s="70">
        <f t="shared" si="247"/>
        <v>4.137734775184974</v>
      </c>
      <c r="AY407" s="70">
        <f>IFERROR(Driver!$K$19/Data!BH407/Data!BI407*Data!BK407*Data!BL407,"")</f>
        <v>4.8320334614566217E-2</v>
      </c>
      <c r="AZ407" s="70">
        <f t="shared" si="248"/>
        <v>22.516753536857781</v>
      </c>
      <c r="BA407" s="70"/>
      <c r="BB407" s="70"/>
      <c r="BC407" s="70">
        <f t="shared" si="249"/>
        <v>13.912840271122384</v>
      </c>
      <c r="BD407" s="70">
        <f t="shared" si="250"/>
        <v>20.098196075115972</v>
      </c>
      <c r="BE407" s="70">
        <f t="shared" si="251"/>
        <v>0.21797193825614641</v>
      </c>
      <c r="BF407" s="70">
        <f t="shared" si="252"/>
        <v>10.759070490197685</v>
      </c>
      <c r="BG407" s="70">
        <f t="shared" si="253"/>
        <v>0.17948849348779231</v>
      </c>
      <c r="BH407" s="67">
        <f>MAX((CE407-Driver!$F$200)/(Driver!$G$200-Driver!$F$200)*$BI$1,1)</f>
        <v>4.137734775184974</v>
      </c>
      <c r="BI407" s="67">
        <f>MAX($BI$1*(BY407-Driver!$F$201)/(Driver!$G$201-Driver!$F$201),1)</f>
        <v>6.8354430379746836</v>
      </c>
      <c r="BJ407" s="67">
        <f>(CB407-Driver!$F$206)/(Driver!$G$206-Driver!$F$206)*$BI$1</f>
        <v>3.1746031746031744</v>
      </c>
      <c r="BK407" s="67">
        <f>(CD407-Driver!$F$203)/(Driver!$G$203-Driver!$F$203)*$BI$1</f>
        <v>1.1009174311926608</v>
      </c>
      <c r="BL407" s="67">
        <f>MAX((CR407-Driver!$F$202)/(Driver!$G$202-Driver!$F$202)*$BI$1,1)</f>
        <v>6.2068965517241379</v>
      </c>
      <c r="BM407" s="67">
        <f>MAX((CH407-Driver!$F$204)/(Driver!$G$204-Driver!$F$204)*$BI$1,1)</f>
        <v>2.7350427350427351</v>
      </c>
      <c r="BN407" s="67">
        <f>(CI407-Driver!$F$205)/(Driver!$G$205-Driver!$F$205)*$BI$1</f>
        <v>3.2941176470588234</v>
      </c>
      <c r="BO407" s="67">
        <f>(CK407-Driver!$F$207)/(Driver!$G$207-Driver!$F$207)*$BI$1</f>
        <v>1.6959669079627715</v>
      </c>
      <c r="BP407" s="67">
        <f>(CM407-Driver!$F$208)/(Driver!$G$208-Driver!$F$208)*$BI$1</f>
        <v>2.2000000000000002</v>
      </c>
      <c r="BQ407" s="67">
        <f>(CL407-Driver!$F$209)/(Driver!$G$209-Driver!$F$209)*$BI$1</f>
        <v>2.03125</v>
      </c>
      <c r="BR407" s="28" t="s">
        <v>155</v>
      </c>
      <c r="BS407" s="8" t="s">
        <v>262</v>
      </c>
      <c r="BT407" s="9" t="s">
        <v>581</v>
      </c>
      <c r="BU407" s="10">
        <v>163</v>
      </c>
      <c r="BV407" s="9" t="s">
        <v>163</v>
      </c>
      <c r="BW407" s="10">
        <v>163</v>
      </c>
      <c r="BX407" s="10">
        <v>163.6</v>
      </c>
      <c r="BY407" s="10">
        <v>116</v>
      </c>
      <c r="BZ407" s="10">
        <v>134</v>
      </c>
      <c r="CA407" s="10">
        <v>129</v>
      </c>
      <c r="CB407" s="10">
        <v>84</v>
      </c>
      <c r="CC407" s="10">
        <v>112</v>
      </c>
      <c r="CD407" s="10">
        <v>11.8</v>
      </c>
      <c r="CE407" s="10">
        <v>1627</v>
      </c>
      <c r="CF407" s="10">
        <v>1</v>
      </c>
      <c r="CG407" s="10">
        <v>1623</v>
      </c>
      <c r="CH407" s="10">
        <v>165</v>
      </c>
      <c r="CI407" s="10">
        <v>89</v>
      </c>
      <c r="CJ407" s="10">
        <v>49</v>
      </c>
      <c r="CK407" s="10">
        <v>274</v>
      </c>
      <c r="CL407" s="10">
        <v>13</v>
      </c>
      <c r="CM407" s="10">
        <v>198</v>
      </c>
      <c r="CN407" s="10">
        <v>0.26700000000000002</v>
      </c>
      <c r="CO407" s="10">
        <v>182</v>
      </c>
      <c r="CP407" s="10">
        <v>113</v>
      </c>
      <c r="CQ407" s="10">
        <v>92</v>
      </c>
      <c r="CR407" s="10">
        <v>7</v>
      </c>
      <c r="CS407" s="10">
        <v>10.9</v>
      </c>
      <c r="CT407" s="9" t="s">
        <v>231</v>
      </c>
      <c r="CU407" s="9" t="s">
        <v>188</v>
      </c>
      <c r="CV407" s="10"/>
      <c r="CW407" s="10"/>
      <c r="CX407" t="e">
        <f>INDEX('Data_Price '!AG$2:AG$1266,MATCH(Data!$DN407,'Data_Price '!$AT$2:$AT$1266,0))</f>
        <v>#N/A</v>
      </c>
      <c r="CY407" t="e">
        <f>INDEX('Data_Price '!AH$2:AH$1266,MATCH(Data!$DN407,'Data_Price '!$AT$2:$AT$1266,0))</f>
        <v>#N/A</v>
      </c>
      <c r="CZ407" t="e">
        <f>INDEX('Data_Price '!AI$2:AI$1266,MATCH(Data!$DN407,'Data_Price '!$AT$2:$AT$1266,0))</f>
        <v>#N/A</v>
      </c>
      <c r="DA407" t="e">
        <f>INDEX('Data_Price '!AJ$2:AJ$1266,MATCH(Data!$DN407,'Data_Price '!$AT$2:$AT$1266,0))</f>
        <v>#N/A</v>
      </c>
      <c r="DB407" t="e">
        <f>INDEX('Data_Price '!AK$2:AK$1266,MATCH(Data!$DN407,'Data_Price '!$AT$2:$AT$1266,0))</f>
        <v>#N/A</v>
      </c>
      <c r="DC407" t="e">
        <f>INDEX('Data_Price '!AL$2:AL$1266,MATCH(Data!$DN407,'Data_Price '!$AT$2:$AT$1266,0))</f>
        <v>#N/A</v>
      </c>
      <c r="DD407" t="e">
        <f>INDEX('Data_Price '!AM$2:AM$1266,MATCH(Data!$DN407,'Data_Price '!$AT$2:$AT$1266,0))</f>
        <v>#N/A</v>
      </c>
      <c r="DE407" t="e">
        <f>INDEX('Data_Price '!AN$2:AN$1266,MATCH(Data!$DN407,'Data_Price '!$AT$2:$AT$1266,0))</f>
        <v>#N/A</v>
      </c>
      <c r="DF407" t="e">
        <f>INDEX('Data_Price '!AO$2:AO$1266,MATCH(Data!$DN407,'Data_Price '!$AT$2:$AT$1266,0))</f>
        <v>#N/A</v>
      </c>
      <c r="DG407" t="e">
        <f>INDEX('Data_Price '!AP$2:AP$1266,MATCH(Data!$DN407,'Data_Price '!$AT$2:$AT$1266,0))</f>
        <v>#N/A</v>
      </c>
      <c r="DH407" t="e">
        <f>INDEX('Data_Price '!AQ$2:AQ$1266,MATCH(Data!$DN407,'Data_Price '!$AT$2:$AT$1266,0))</f>
        <v>#N/A</v>
      </c>
      <c r="DI407" t="e">
        <f>INDEX('Data_Price '!AR$2:AR$1266,MATCH(Data!$DN407,'Data_Price '!$AT$2:$AT$1266,0))</f>
        <v>#N/A</v>
      </c>
      <c r="DJ407" s="89" t="e">
        <f t="shared" si="254"/>
        <v>#N/A</v>
      </c>
      <c r="DK407" s="89" t="e">
        <f t="shared" si="255"/>
        <v>#N/A</v>
      </c>
      <c r="DL407" s="89" t="e">
        <f t="shared" si="256"/>
        <v>#N/A</v>
      </c>
      <c r="DM407" s="219" t="str">
        <f t="shared" si="257"/>
        <v>Mindbender 85 Alliance</v>
      </c>
      <c r="DN407" s="89" t="str">
        <f t="shared" si="258"/>
        <v xml:space="preserve"> K2Mindbender 85 Alliance163 Women's</v>
      </c>
      <c r="DO407" s="221" t="s">
        <v>582</v>
      </c>
    </row>
    <row r="408" spans="2:119" ht="15.6" customHeight="1">
      <c r="B408" s="219" t="b">
        <f t="array" ref="B408">IF(OR(ISERROR(K408:P408)),FALSE,TRUE)</f>
        <v>1</v>
      </c>
      <c r="C408" s="43" t="b">
        <f>OR(BR408=Driver!$G$50,Data!BR705=Driver!$H$50)</f>
        <v>1</v>
      </c>
      <c r="D408" s="43" t="b">
        <f>OR(BV408=Driver!$G$51,BV408=Driver!$H$51)</f>
        <v>1</v>
      </c>
      <c r="E408" s="43" t="b">
        <f>AND(BX408&gt;Driver!$F$54,BX408&lt;Driver!$G$54)</f>
        <v>1</v>
      </c>
      <c r="F408" s="43" t="b">
        <f>CL408&gt;Driver!$F$56</f>
        <v>1</v>
      </c>
      <c r="G408" s="43" t="b">
        <f>AND(CB408&gt;Driver!$F$55,CB408&lt;Driver!$G$55)</f>
        <v>0</v>
      </c>
      <c r="H408" s="43" t="b">
        <f t="shared" si="222"/>
        <v>0</v>
      </c>
      <c r="I408" s="43">
        <f t="shared" si="223"/>
        <v>0</v>
      </c>
      <c r="J408" s="43" t="b">
        <f t="array" ref="J408">NOT(OR(($H$9:$H$1273=TRUE)*($I$9:$I$1273&gt;0)*($BT$9:$BT$1273=BT408)*($K$9:$K$1273&gt;K408)))</f>
        <v>1</v>
      </c>
      <c r="K408" s="72">
        <f t="shared" si="224"/>
        <v>0.78297325161784204</v>
      </c>
      <c r="L408" s="72">
        <f t="shared" si="225"/>
        <v>0.83167213853778144</v>
      </c>
      <c r="M408" s="72">
        <f t="shared" si="226"/>
        <v>0.73427436469790264</v>
      </c>
      <c r="N408" s="72">
        <f t="shared" si="227"/>
        <v>0.65376516838012633</v>
      </c>
      <c r="O408" s="72">
        <f t="shared" si="228"/>
        <v>0.61150518309754798</v>
      </c>
      <c r="P408" s="72">
        <f t="shared" si="229"/>
        <v>0.93755274261603372</v>
      </c>
      <c r="Q408" s="72"/>
      <c r="R408" s="72"/>
      <c r="S408" s="72">
        <f t="shared" si="230"/>
        <v>0.46350753226533259</v>
      </c>
      <c r="T408" s="72">
        <f t="shared" si="231"/>
        <v>0.75483594765032591</v>
      </c>
      <c r="U408" s="72">
        <f t="shared" si="232"/>
        <v>0.51</v>
      </c>
      <c r="V408" s="72">
        <f t="shared" si="233"/>
        <v>0.49116554053983519</v>
      </c>
      <c r="W408" s="72">
        <f t="shared" si="234"/>
        <v>0.76638271162123384</v>
      </c>
      <c r="X408" s="72">
        <f t="shared" si="235"/>
        <v>0.16832786146221862</v>
      </c>
      <c r="Y408" s="72">
        <f t="shared" si="236"/>
        <v>0.26572563530209731</v>
      </c>
      <c r="Z408" s="72">
        <f t="shared" si="237"/>
        <v>0.34623483161987367</v>
      </c>
      <c r="AA408" s="72">
        <f t="shared" si="238"/>
        <v>0.38849481690245202</v>
      </c>
      <c r="AB408" s="72">
        <f t="shared" si="239"/>
        <v>6.2447257383966226E-2</v>
      </c>
      <c r="AC408" s="72"/>
      <c r="AD408" s="72"/>
      <c r="AE408" s="72">
        <f t="shared" si="240"/>
        <v>0.53649246773466741</v>
      </c>
      <c r="AF408" s="72">
        <f t="shared" si="241"/>
        <v>0.24516405234967403</v>
      </c>
      <c r="AG408" s="72">
        <f t="shared" si="242"/>
        <v>0.49</v>
      </c>
      <c r="AH408" s="72">
        <f t="shared" si="243"/>
        <v>0.50883445946016481</v>
      </c>
      <c r="AI408" s="72">
        <f t="shared" si="244"/>
        <v>0.23361728837876614</v>
      </c>
      <c r="AJ408" s="72">
        <f>(AV408-Driver!$K$179)/(Driver!$L$179-Driver!$K$179)</f>
        <v>8.589154782048182E-2</v>
      </c>
      <c r="AK408" s="72">
        <f>(AW408-Driver!$K$180)/(Driver!$L$180-Driver!$K$180)</f>
        <v>0.32929042176832696</v>
      </c>
      <c r="AL408" s="72">
        <f>(AX408-Driver!$K$181)/(Driver!$L$181-Driver!$K$181)</f>
        <v>0.44792259533295387</v>
      </c>
      <c r="AM408" s="72">
        <f>(AY408-Driver!$K$182)/(Driver!$L$182-Driver!$K$182)</f>
        <v>5.8890204194594314E-2</v>
      </c>
      <c r="AN408" s="72">
        <f>(AZ408-Driver!$K$183)/(Driver!$L$183-Driver!$K$183)</f>
        <v>0.31666666666666665</v>
      </c>
      <c r="AO408" s="72"/>
      <c r="AP408" s="72"/>
      <c r="AQ408" s="72">
        <f>(BC408-Driver!$K$188)/(Driver!$L$188-Driver!$K$188)</f>
        <v>8.3507532265332612E-2</v>
      </c>
      <c r="AR408" s="72">
        <f>MIN((BD408-Driver!$K$189)/(Driver!$L$189-Driver!$K$189),100%)</f>
        <v>0.30483594765032601</v>
      </c>
      <c r="AS408" s="72">
        <f>(BE408-Driver!$K$190)/(Driver!$L$190-Driver!$K$190)</f>
        <v>1</v>
      </c>
      <c r="AT408" s="72">
        <f>(BF408-Driver!$K$191)/(Driver!$L$191-Driver!$K$191)</f>
        <v>1.1655405398351487E-3</v>
      </c>
      <c r="AU408" s="72">
        <f>(BG408-Driver!$K$192)/(Driver!$L$192-Driver!$K$192)</f>
        <v>1.6382711621233857E-2</v>
      </c>
      <c r="AV408" s="70">
        <f t="shared" si="245"/>
        <v>1.8077601410934743</v>
      </c>
      <c r="AW408" s="70">
        <f t="shared" si="246"/>
        <v>33.964162032742685</v>
      </c>
      <c r="AX408" s="70">
        <f t="shared" si="247"/>
        <v>5.0313033579965847</v>
      </c>
      <c r="AY408" s="70">
        <f>IFERROR(Driver!$K$19/Data!BH408/Data!BI408*Data!BK408*Data!BL408,"")</f>
        <v>7.2099181075216595E-2</v>
      </c>
      <c r="AZ408" s="70">
        <f t="shared" si="248"/>
        <v>28.860759493670884</v>
      </c>
      <c r="BA408" s="70"/>
      <c r="BB408" s="70"/>
      <c r="BC408" s="70">
        <f t="shared" si="249"/>
        <v>43.315937520973982</v>
      </c>
      <c r="BD408" s="70">
        <f t="shared" si="250"/>
        <v>28.698264113813952</v>
      </c>
      <c r="BE408" s="70">
        <f t="shared" si="251"/>
        <v>1</v>
      </c>
      <c r="BF408" s="70">
        <f t="shared" si="252"/>
        <v>0.13163961558865736</v>
      </c>
      <c r="BG408" s="70">
        <f t="shared" si="253"/>
        <v>6.2035397238163557E-2</v>
      </c>
      <c r="BH408" s="67">
        <f>MAX((CE408-Driver!$F$200)/(Driver!$G$200-Driver!$F$200)*$BI$1,1)</f>
        <v>5.0313033579965847</v>
      </c>
      <c r="BI408" s="67">
        <f>MAX($BI$1*(BY408-Driver!$F$201)/(Driver!$G$201-Driver!$F$201),1)</f>
        <v>8.6075949367088604</v>
      </c>
      <c r="BJ408" s="67">
        <f>(CB408-Driver!$F$206)/(Driver!$G$206-Driver!$F$206)*$BI$1</f>
        <v>2.0634920634920633</v>
      </c>
      <c r="BK408" s="67">
        <f>(CD408-Driver!$F$203)/(Driver!$G$203-Driver!$F$203)*$BI$1</f>
        <v>2.1559633027522933</v>
      </c>
      <c r="BL408" s="67">
        <f>MAX((CR408-Driver!$F$202)/(Driver!$G$202-Driver!$F$202)*$BI$1,1)</f>
        <v>7.2413793103448274</v>
      </c>
      <c r="BM408" s="67">
        <f>MAX((CH408-Driver!$F$204)/(Driver!$G$204-Driver!$F$204)*$BI$1,1)</f>
        <v>3.5042735042735043</v>
      </c>
      <c r="BN408" s="67">
        <f>(CI408-Driver!$F$205)/(Driver!$G$205-Driver!$F$205)*$BI$1</f>
        <v>3.3529411764705879</v>
      </c>
      <c r="BO408" s="67">
        <f>(CK408-Driver!$F$207)/(Driver!$G$207-Driver!$F$207)*$BI$1</f>
        <v>0.19648397104446741</v>
      </c>
      <c r="BP408" s="67">
        <f>(CM408-Driver!$F$208)/(Driver!$G$208-Driver!$F$208)*$BI$1</f>
        <v>0.70000000000000007</v>
      </c>
      <c r="BQ408" s="67">
        <f>(CL408-Driver!$F$209)/(Driver!$G$209-Driver!$F$209)*$BI$1</f>
        <v>1.09375</v>
      </c>
      <c r="BR408" s="28" t="s">
        <v>155</v>
      </c>
      <c r="BS408" s="8" t="s">
        <v>262</v>
      </c>
      <c r="BT408" s="9" t="s">
        <v>583</v>
      </c>
      <c r="BU408" s="10">
        <v>163</v>
      </c>
      <c r="BV408" s="9" t="s">
        <v>158</v>
      </c>
      <c r="BW408" s="10">
        <v>163</v>
      </c>
      <c r="BX408" s="10">
        <v>163.6</v>
      </c>
      <c r="BY408" s="10">
        <v>144</v>
      </c>
      <c r="BZ408" s="10">
        <v>151</v>
      </c>
      <c r="CA408" s="10">
        <v>124</v>
      </c>
      <c r="CB408" s="10">
        <v>77</v>
      </c>
      <c r="CC408" s="10">
        <v>110</v>
      </c>
      <c r="CD408" s="10">
        <v>14.1</v>
      </c>
      <c r="CE408" s="10">
        <v>1784</v>
      </c>
      <c r="CF408" s="10">
        <v>0.85</v>
      </c>
      <c r="CG408" s="10">
        <v>1508</v>
      </c>
      <c r="CH408" s="10">
        <v>183</v>
      </c>
      <c r="CI408" s="10">
        <v>90</v>
      </c>
      <c r="CJ408" s="10">
        <v>33</v>
      </c>
      <c r="CK408" s="10">
        <v>129</v>
      </c>
      <c r="CL408" s="10">
        <v>7</v>
      </c>
      <c r="CM408" s="10">
        <v>63</v>
      </c>
      <c r="CN408" s="10">
        <v>0.2</v>
      </c>
      <c r="CO408" s="10">
        <v>80</v>
      </c>
      <c r="CP408" s="10">
        <v>41</v>
      </c>
      <c r="CQ408" s="10">
        <v>48</v>
      </c>
      <c r="CR408" s="10">
        <v>10</v>
      </c>
      <c r="CS408" s="10">
        <v>10.4</v>
      </c>
      <c r="CT408" s="9" t="s">
        <v>349</v>
      </c>
      <c r="CU408" s="10"/>
      <c r="CV408" s="10"/>
      <c r="CW408" s="10"/>
      <c r="CX408" t="e">
        <f>INDEX('Data_Price '!AG$2:AG$1266,MATCH(Data!$DN408,'Data_Price '!$AT$2:$AT$1266,0))</f>
        <v>#N/A</v>
      </c>
      <c r="CY408" t="e">
        <f>INDEX('Data_Price '!AH$2:AH$1266,MATCH(Data!$DN408,'Data_Price '!$AT$2:$AT$1266,0))</f>
        <v>#N/A</v>
      </c>
      <c r="CZ408" t="e">
        <f>INDEX('Data_Price '!AI$2:AI$1266,MATCH(Data!$DN408,'Data_Price '!$AT$2:$AT$1266,0))</f>
        <v>#N/A</v>
      </c>
      <c r="DA408" t="e">
        <f>INDEX('Data_Price '!AJ$2:AJ$1266,MATCH(Data!$DN408,'Data_Price '!$AT$2:$AT$1266,0))</f>
        <v>#N/A</v>
      </c>
      <c r="DB408" t="e">
        <f>INDEX('Data_Price '!AK$2:AK$1266,MATCH(Data!$DN408,'Data_Price '!$AT$2:$AT$1266,0))</f>
        <v>#N/A</v>
      </c>
      <c r="DC408" t="e">
        <f>INDEX('Data_Price '!AL$2:AL$1266,MATCH(Data!$DN408,'Data_Price '!$AT$2:$AT$1266,0))</f>
        <v>#N/A</v>
      </c>
      <c r="DD408" t="e">
        <f>INDEX('Data_Price '!AM$2:AM$1266,MATCH(Data!$DN408,'Data_Price '!$AT$2:$AT$1266,0))</f>
        <v>#N/A</v>
      </c>
      <c r="DE408" t="e">
        <f>INDEX('Data_Price '!AN$2:AN$1266,MATCH(Data!$DN408,'Data_Price '!$AT$2:$AT$1266,0))</f>
        <v>#N/A</v>
      </c>
      <c r="DF408" t="e">
        <f>INDEX('Data_Price '!AO$2:AO$1266,MATCH(Data!$DN408,'Data_Price '!$AT$2:$AT$1266,0))</f>
        <v>#N/A</v>
      </c>
      <c r="DG408" t="e">
        <f>INDEX('Data_Price '!AP$2:AP$1266,MATCH(Data!$DN408,'Data_Price '!$AT$2:$AT$1266,0))</f>
        <v>#N/A</v>
      </c>
      <c r="DH408" t="e">
        <f>INDEX('Data_Price '!AQ$2:AQ$1266,MATCH(Data!$DN408,'Data_Price '!$AT$2:$AT$1266,0))</f>
        <v>#N/A</v>
      </c>
      <c r="DI408" t="e">
        <f>INDEX('Data_Price '!AR$2:AR$1266,MATCH(Data!$DN408,'Data_Price '!$AT$2:$AT$1266,0))</f>
        <v>#N/A</v>
      </c>
      <c r="DJ408" s="89" t="e">
        <f t="shared" si="254"/>
        <v>#N/A</v>
      </c>
      <c r="DK408" s="89" t="e">
        <f t="shared" si="255"/>
        <v>#N/A</v>
      </c>
      <c r="DL408" s="89" t="e">
        <f t="shared" si="256"/>
        <v>#N/A</v>
      </c>
      <c r="DM408" s="219" t="str">
        <f t="shared" si="257"/>
        <v>Disruption 78C</v>
      </c>
      <c r="DN408" s="89" t="str">
        <f t="shared" si="258"/>
        <v xml:space="preserve"> K2Disruption 78C163 Unisex</v>
      </c>
      <c r="DO408" s="221" t="s">
        <v>584</v>
      </c>
    </row>
    <row r="409" spans="2:119" ht="15.6" customHeight="1">
      <c r="B409" s="219" t="b">
        <f t="array" ref="B409">IF(OR(ISERROR(K409:P409)),FALSE,TRUE)</f>
        <v>1</v>
      </c>
      <c r="C409" s="43" t="b">
        <f>OR(BR409=Driver!$G$50,Data!BR249=Driver!$H$50)</f>
        <v>1</v>
      </c>
      <c r="D409" s="43" t="b">
        <f>OR(BV409=Driver!$G$51,BV409=Driver!$H$51)</f>
        <v>1</v>
      </c>
      <c r="E409" s="43" t="b">
        <f>AND(BX409&gt;Driver!$F$54,BX409&lt;Driver!$G$54)</f>
        <v>0</v>
      </c>
      <c r="F409" s="43" t="b">
        <f>CL409&gt;Driver!$F$56</f>
        <v>1</v>
      </c>
      <c r="G409" s="43" t="b">
        <f>AND(CB409&gt;Driver!$F$55,CB409&lt;Driver!$G$55)</f>
        <v>1</v>
      </c>
      <c r="H409" s="43" t="b">
        <f t="shared" si="222"/>
        <v>0</v>
      </c>
      <c r="I409" s="43">
        <f t="shared" si="223"/>
        <v>1</v>
      </c>
      <c r="J409" s="43" t="b">
        <f t="array" ref="J409">NOT(OR(($H$9:$H$1273=TRUE)*($I$9:$I$1273&gt;0)*($BT$9:$BT$1273=BT409)*($K$9:$K$1273&gt;K409)))</f>
        <v>0</v>
      </c>
      <c r="K409" s="72">
        <f t="shared" si="224"/>
        <v>0.77187866595484367</v>
      </c>
      <c r="L409" s="72">
        <f t="shared" si="225"/>
        <v>0.86456507038978292</v>
      </c>
      <c r="M409" s="72">
        <f t="shared" si="226"/>
        <v>0.67919226151990442</v>
      </c>
      <c r="N409" s="72">
        <f t="shared" si="227"/>
        <v>0.46404784718870151</v>
      </c>
      <c r="O409" s="72">
        <f t="shared" si="228"/>
        <v>0.64349253462425926</v>
      </c>
      <c r="P409" s="72">
        <f t="shared" si="229"/>
        <v>0.9300364027467527</v>
      </c>
      <c r="Q409" s="72"/>
      <c r="R409" s="72"/>
      <c r="S409" s="72">
        <f t="shared" si="230"/>
        <v>0.48081526426536148</v>
      </c>
      <c r="T409" s="72">
        <f t="shared" si="231"/>
        <v>0.53263616165944394</v>
      </c>
      <c r="U409" s="72">
        <f t="shared" si="232"/>
        <v>0.56722368094712672</v>
      </c>
      <c r="V409" s="72">
        <f t="shared" si="233"/>
        <v>0.54624773765900869</v>
      </c>
      <c r="W409" s="72">
        <f t="shared" si="234"/>
        <v>0.77542161617262417</v>
      </c>
      <c r="X409" s="72">
        <f t="shared" si="235"/>
        <v>0.13543492961021714</v>
      </c>
      <c r="Y409" s="72">
        <f t="shared" si="236"/>
        <v>0.32080773848009553</v>
      </c>
      <c r="Z409" s="72">
        <f t="shared" si="237"/>
        <v>0.53595215281129849</v>
      </c>
      <c r="AA409" s="72">
        <f t="shared" si="238"/>
        <v>0.35650746537574068</v>
      </c>
      <c r="AB409" s="72">
        <f t="shared" si="239"/>
        <v>6.9963597253247301E-2</v>
      </c>
      <c r="AC409" s="72"/>
      <c r="AD409" s="72"/>
      <c r="AE409" s="72">
        <f t="shared" si="240"/>
        <v>0.51918473573463852</v>
      </c>
      <c r="AF409" s="72">
        <f t="shared" si="241"/>
        <v>0.46736383834055611</v>
      </c>
      <c r="AG409" s="72">
        <f t="shared" si="242"/>
        <v>0.43277631905287328</v>
      </c>
      <c r="AH409" s="72">
        <f t="shared" si="243"/>
        <v>0.45375226234099125</v>
      </c>
      <c r="AI409" s="72">
        <f t="shared" si="244"/>
        <v>0.22457838382737577</v>
      </c>
      <c r="AJ409" s="72">
        <f>(AV409-Driver!$K$179)/(Driver!$L$179-Driver!$K$179)</f>
        <v>0.38965433889291756</v>
      </c>
      <c r="AK409" s="72">
        <f>(AW409-Driver!$K$180)/(Driver!$L$180-Driver!$K$180)</f>
        <v>0.35424096436321489</v>
      </c>
      <c r="AL409" s="72">
        <f>(AX409-Driver!$K$181)/(Driver!$L$181-Driver!$K$181)</f>
        <v>0.63763991652437868</v>
      </c>
      <c r="AM409" s="72">
        <f>(AY409-Driver!$K$182)/(Driver!$L$182-Driver!$K$182)</f>
        <v>9.0877555721305694E-2</v>
      </c>
      <c r="AN409" s="72">
        <f>(AZ409-Driver!$K$183)/(Driver!$L$183-Driver!$K$183)</f>
        <v>0.32418300653594773</v>
      </c>
      <c r="AO409" s="72"/>
      <c r="AP409" s="72"/>
      <c r="AQ409" s="72">
        <f>(BC409-Driver!$K$188)/(Driver!$L$188-Driver!$K$188)</f>
        <v>0.10081526426536151</v>
      </c>
      <c r="AR409" s="72">
        <f>MIN((BD409-Driver!$K$189)/(Driver!$L$189-Driver!$K$189),100%)</f>
        <v>8.2636161659443944E-2</v>
      </c>
      <c r="AS409" s="72">
        <f>(BE409-Driver!$K$190)/(Driver!$L$190-Driver!$K$190)</f>
        <v>7.7223680947126699E-2</v>
      </c>
      <c r="AT409" s="72">
        <f>(BF409-Driver!$K$191)/(Driver!$L$191-Driver!$K$191)</f>
        <v>5.6247737659008742E-2</v>
      </c>
      <c r="AU409" s="72">
        <f>(BG409-Driver!$K$192)/(Driver!$L$192-Driver!$K$192)</f>
        <v>2.5421616172624239E-2</v>
      </c>
      <c r="AV409" s="70">
        <f t="shared" si="245"/>
        <v>8.2010582010582009</v>
      </c>
      <c r="AW409" s="70">
        <f t="shared" si="246"/>
        <v>36.39581349291246</v>
      </c>
      <c r="AX409" s="70">
        <f t="shared" si="247"/>
        <v>6.7387592487194077</v>
      </c>
      <c r="AY409" s="70">
        <f>IFERROR(Driver!$K$19/Data!BH409/Data!BI409*Data!BK409*Data!BL409,"")</f>
        <v>0.11126124344844687</v>
      </c>
      <c r="AZ409" s="70">
        <f t="shared" si="248"/>
        <v>29.545793000744602</v>
      </c>
      <c r="BA409" s="70"/>
      <c r="BB409" s="70"/>
      <c r="BC409" s="70">
        <f t="shared" si="249"/>
        <v>52.293578430789786</v>
      </c>
      <c r="BD409" s="70">
        <f t="shared" si="250"/>
        <v>9.0339767683443366</v>
      </c>
      <c r="BE409" s="70">
        <f t="shared" si="251"/>
        <v>7.7388293856155851E-2</v>
      </c>
      <c r="BF409" s="70">
        <f t="shared" si="252"/>
        <v>6.3527868058633317</v>
      </c>
      <c r="BG409" s="70">
        <f t="shared" si="253"/>
        <v>9.6262456067458604E-2</v>
      </c>
      <c r="BH409" s="67">
        <f>MAX((CE409-Driver!$F$200)/(Driver!$G$200-Driver!$F$200)*$BI$1,1)</f>
        <v>6.7387592487194077</v>
      </c>
      <c r="BI409" s="67">
        <f>MAX($BI$1*(BY409-Driver!$F$201)/(Driver!$G$201-Driver!$F$201),1)</f>
        <v>8.1012658227848107</v>
      </c>
      <c r="BJ409" s="67">
        <f>(CB409-Driver!$F$206)/(Driver!$G$206-Driver!$F$206)*$BI$1</f>
        <v>6.1904761904761907</v>
      </c>
      <c r="BK409" s="67">
        <f>(CD409-Driver!$F$203)/(Driver!$G$203-Driver!$F$203)*$BI$1</f>
        <v>4.4036697247706424</v>
      </c>
      <c r="BL409" s="67">
        <f>MAX((CR409-Driver!$F$202)/(Driver!$G$202-Driver!$F$202)*$BI$1,1)</f>
        <v>6.8965517241379315</v>
      </c>
      <c r="BM409" s="67">
        <f>MAX((CH409-Driver!$F$204)/(Driver!$G$204-Driver!$F$204)*$BI$1,1)</f>
        <v>5.299145299145299</v>
      </c>
      <c r="BN409" s="67">
        <f>(CI409-Driver!$F$205)/(Driver!$G$205-Driver!$F$205)*$BI$1</f>
        <v>3.6470588235294117</v>
      </c>
      <c r="BO409" s="67">
        <f>(CK409-Driver!$F$207)/(Driver!$G$207-Driver!$F$207)*$BI$1</f>
        <v>1.9648397104446744</v>
      </c>
      <c r="BP409" s="67">
        <f>(CM409-Driver!$F$208)/(Driver!$G$208-Driver!$F$208)*$BI$1</f>
        <v>2.3000000000000003</v>
      </c>
      <c r="BQ409" s="67">
        <f>(CL409-Driver!$F$209)/(Driver!$G$209-Driver!$F$209)*$BI$1</f>
        <v>3.4375</v>
      </c>
      <c r="BR409" s="28" t="s">
        <v>155</v>
      </c>
      <c r="BS409" s="8" t="s">
        <v>354</v>
      </c>
      <c r="BT409" s="9" t="s">
        <v>500</v>
      </c>
      <c r="BU409" s="10">
        <v>186</v>
      </c>
      <c r="BV409" s="9" t="s">
        <v>158</v>
      </c>
      <c r="BW409" s="10">
        <v>186</v>
      </c>
      <c r="BX409" s="10">
        <v>186.6</v>
      </c>
      <c r="BY409" s="10">
        <v>136</v>
      </c>
      <c r="BZ409" s="10">
        <v>147</v>
      </c>
      <c r="CA409" s="10">
        <v>136</v>
      </c>
      <c r="CB409" s="10">
        <v>103</v>
      </c>
      <c r="CC409" s="10">
        <v>123</v>
      </c>
      <c r="CD409" s="10">
        <v>19</v>
      </c>
      <c r="CE409" s="10">
        <v>2084</v>
      </c>
      <c r="CF409" s="10">
        <v>1.02</v>
      </c>
      <c r="CG409" s="10">
        <v>2118</v>
      </c>
      <c r="CH409" s="10">
        <v>225</v>
      </c>
      <c r="CI409" s="10">
        <v>95</v>
      </c>
      <c r="CJ409" s="10">
        <v>46</v>
      </c>
      <c r="CK409" s="10">
        <v>300</v>
      </c>
      <c r="CL409" s="10">
        <v>22</v>
      </c>
      <c r="CM409" s="10">
        <v>207</v>
      </c>
      <c r="CN409" s="10">
        <v>0.49099999999999999</v>
      </c>
      <c r="CO409" s="10">
        <v>240</v>
      </c>
      <c r="CP409" s="10">
        <v>160</v>
      </c>
      <c r="CQ409" s="10">
        <v>60</v>
      </c>
      <c r="CR409" s="10">
        <v>9</v>
      </c>
      <c r="CS409" s="10">
        <v>9.1999999999999993</v>
      </c>
      <c r="CT409" s="9" t="s">
        <v>188</v>
      </c>
      <c r="CU409" s="9" t="s">
        <v>169</v>
      </c>
      <c r="CV409" s="10"/>
      <c r="CW409" s="10"/>
      <c r="CX409" t="str">
        <f>INDEX('Data_Price '!AG$2:AG$1266,MATCH(Data!$DN409,'Data_Price '!$AT$2:$AT$1266,0))</f>
        <v>Black Diamond Impulse 104 Skis</v>
      </c>
      <c r="CY409" t="str">
        <f>INDEX('Data_Price '!AH$2:AH$1266,MATCH(Data!$DN409,'Data_Price '!$AT$2:$AT$1266,0))</f>
        <v>Black Diamond Equipment - US</v>
      </c>
      <c r="CZ409">
        <f>INDEX('Data_Price '!AI$2:AI$1266,MATCH(Data!$DN409,'Data_Price '!$AT$2:$AT$1266,0))</f>
        <v>583.96</v>
      </c>
      <c r="DA409" t="str">
        <f>INDEX('Data_Price '!AJ$2:AJ$1266,MATCH(Data!$DN409,'Data_Price '!$AT$2:$AT$1266,0))</f>
        <v>https://tinyurl.com/y8zwemrl</v>
      </c>
      <c r="DB409" t="str">
        <f>INDEX('Data_Price '!AK$2:AK$1266,MATCH(Data!$DN409,'Data_Price '!$AT$2:$AT$1266,0))</f>
        <v>Black Diamond Impulse 112 Skis</v>
      </c>
      <c r="DC409" t="str">
        <f>INDEX('Data_Price '!AL$2:AL$1266,MATCH(Data!$DN409,'Data_Price '!$AT$2:$AT$1266,0))</f>
        <v>Telemark Pyrenees</v>
      </c>
      <c r="DD409">
        <f>INDEX('Data_Price '!AM$2:AM$1266,MATCH(Data!$DN409,'Data_Price '!$AT$2:$AT$1266,0))</f>
        <v>449.16</v>
      </c>
      <c r="DE409" t="str">
        <f>INDEX('Data_Price '!AN$2:AN$1266,MATCH(Data!$DN409,'Data_Price '!$AT$2:$AT$1266,0))</f>
        <v>https://tinyurl.com/ycdsvh45</v>
      </c>
      <c r="DF409" t="str">
        <f>INDEX('Data_Price '!AO$2:AO$1266,MATCH(Data!$DN409,'Data_Price '!$AT$2:$AT$1266,0))</f>
        <v>Black Diamond Impulse 112 Skis</v>
      </c>
      <c r="DG409" t="str">
        <f>INDEX('Data_Price '!AP$2:AP$1266,MATCH(Data!$DN409,'Data_Price '!$AT$2:$AT$1266,0))</f>
        <v>evo.com</v>
      </c>
      <c r="DH409">
        <f>INDEX('Data_Price '!AQ$2:AQ$1266,MATCH(Data!$DN409,'Data_Price '!$AT$2:$AT$1266,0))</f>
        <v>639.96</v>
      </c>
      <c r="DI409" t="str">
        <f>INDEX('Data_Price '!AR$2:AR$1266,MATCH(Data!$DN409,'Data_Price '!$AT$2:$AT$1266,0))</f>
        <v>https://tinyurl.com/y9tnefh3</v>
      </c>
      <c r="DJ409" s="89" t="str">
        <f t="shared" si="254"/>
        <v>https://tinyurl.com/y8zwemrl</v>
      </c>
      <c r="DK409" s="89" t="str">
        <f t="shared" si="255"/>
        <v>https://tinyurl.com/ycdsvh45</v>
      </c>
      <c r="DL409" s="89" t="str">
        <f t="shared" si="256"/>
        <v>https://tinyurl.com/y9tnefh3</v>
      </c>
      <c r="DM409" s="219" t="str">
        <f t="shared" si="257"/>
        <v>Impulse 104</v>
      </c>
      <c r="DN409" s="89" t="str">
        <f t="shared" si="258"/>
        <v xml:space="preserve"> Black DiamondImpulse 104186 Unisex</v>
      </c>
      <c r="DO409" s="221" t="s">
        <v>501</v>
      </c>
    </row>
    <row r="410" spans="2:119" ht="15.6" customHeight="1">
      <c r="B410" s="219" t="b">
        <f t="array" ref="B410">IF(OR(ISERROR(K410:P410)),FALSE,TRUE)</f>
        <v>1</v>
      </c>
      <c r="C410" s="43" t="b">
        <f>OR(BR410=Driver!$G$50,Data!BR402=Driver!$H$50)</f>
        <v>1</v>
      </c>
      <c r="D410" s="43" t="b">
        <f>OR(BV410=Driver!$G$51,BV410=Driver!$H$51)</f>
        <v>0</v>
      </c>
      <c r="E410" s="43" t="b">
        <f>AND(BX410&gt;Driver!$F$54,BX410&lt;Driver!$G$54)</f>
        <v>1</v>
      </c>
      <c r="F410" s="43" t="b">
        <f>CL410&gt;Driver!$F$56</f>
        <v>1</v>
      </c>
      <c r="G410" s="43" t="b">
        <f>AND(CB410&gt;Driver!$F$55,CB410&lt;Driver!$G$55)</f>
        <v>0</v>
      </c>
      <c r="H410" s="43" t="b">
        <f t="shared" si="222"/>
        <v>0</v>
      </c>
      <c r="I410" s="43">
        <f t="shared" si="223"/>
        <v>0</v>
      </c>
      <c r="J410" s="43" t="b">
        <f t="array" ref="J410">NOT(OR(($H$9:$H$1273=TRUE)*($I$9:$I$1273&gt;0)*($BT$9:$BT$1273=BT410)*($K$9:$K$1273&gt;K410)))</f>
        <v>1</v>
      </c>
      <c r="K410" s="72">
        <f t="shared" si="224"/>
        <v>0.89017514045876878</v>
      </c>
      <c r="L410" s="72">
        <f t="shared" si="225"/>
        <v>0.9726760866483285</v>
      </c>
      <c r="M410" s="72">
        <f t="shared" si="226"/>
        <v>0.80767419426920906</v>
      </c>
      <c r="N410" s="72">
        <f t="shared" si="227"/>
        <v>0.85865987526686505</v>
      </c>
      <c r="O410" s="72">
        <f t="shared" si="228"/>
        <v>0.61466054819601168</v>
      </c>
      <c r="P410" s="72">
        <f t="shared" si="229"/>
        <v>0.94970215934475055</v>
      </c>
      <c r="Q410" s="72"/>
      <c r="R410" s="72"/>
      <c r="S410" s="72">
        <f t="shared" si="230"/>
        <v>0.40726532220566536</v>
      </c>
      <c r="T410" s="72">
        <f t="shared" si="231"/>
        <v>0.63575735168230918</v>
      </c>
      <c r="U410" s="72">
        <f t="shared" si="232"/>
        <v>0.68736613199103591</v>
      </c>
      <c r="V410" s="72">
        <f t="shared" si="233"/>
        <v>0.57953992513938535</v>
      </c>
      <c r="W410" s="72">
        <f t="shared" si="234"/>
        <v>0.78550153459821426</v>
      </c>
      <c r="X410" s="72">
        <f t="shared" si="235"/>
        <v>2.732391335167153E-2</v>
      </c>
      <c r="Y410" s="72">
        <f t="shared" si="236"/>
        <v>0.19232580573079092</v>
      </c>
      <c r="Z410" s="72">
        <f t="shared" si="237"/>
        <v>0.14134012473313495</v>
      </c>
      <c r="AA410" s="72">
        <f t="shared" si="238"/>
        <v>0.38533945180398826</v>
      </c>
      <c r="AB410" s="72">
        <f t="shared" si="239"/>
        <v>5.0297840655249421E-2</v>
      </c>
      <c r="AC410" s="72"/>
      <c r="AD410" s="72"/>
      <c r="AE410" s="72">
        <f t="shared" si="240"/>
        <v>0.59273467779433464</v>
      </c>
      <c r="AF410" s="72">
        <f t="shared" si="241"/>
        <v>0.36424264831769076</v>
      </c>
      <c r="AG410" s="72">
        <f t="shared" si="242"/>
        <v>0.31263386800896409</v>
      </c>
      <c r="AH410" s="72">
        <f t="shared" si="243"/>
        <v>0.42046007486061465</v>
      </c>
      <c r="AI410" s="72">
        <f t="shared" si="244"/>
        <v>0.21449846540178572</v>
      </c>
      <c r="AJ410" s="72">
        <f>(AV410-Driver!$K$179)/(Driver!$L$179-Driver!$K$179)</f>
        <v>0.2268954959310289</v>
      </c>
      <c r="AK410" s="72">
        <f>(AW410-Driver!$K$180)/(Driver!$L$180-Driver!$K$180)</f>
        <v>0.20497446170398081</v>
      </c>
      <c r="AL410" s="72">
        <f>(AX410-Driver!$K$181)/(Driver!$L$181-Driver!$K$181)</f>
        <v>0.24302788844621512</v>
      </c>
      <c r="AM410" s="72">
        <f>(AY410-Driver!$K$182)/(Driver!$L$182-Driver!$K$182)</f>
        <v>6.2045569293058121E-2</v>
      </c>
      <c r="AN410" s="72">
        <f>(AZ410-Driver!$K$183)/(Driver!$L$183-Driver!$K$183)</f>
        <v>0.20392156862745101</v>
      </c>
      <c r="AO410" s="72"/>
      <c r="AP410" s="72"/>
      <c r="AQ410" s="72">
        <f>(BC410-Driver!$K$188)/(Driver!$L$188-Driver!$K$188)</f>
        <v>2.7265322205665323E-2</v>
      </c>
      <c r="AR410" s="72">
        <f>MIN((BD410-Driver!$K$189)/(Driver!$L$189-Driver!$K$189),100%)</f>
        <v>0.18575735168230928</v>
      </c>
      <c r="AS410" s="72">
        <f>(BE410-Driver!$K$190)/(Driver!$L$190-Driver!$K$190)</f>
        <v>0.19736613199103589</v>
      </c>
      <c r="AT410" s="72">
        <f>(BF410-Driver!$K$191)/(Driver!$L$191-Driver!$K$191)</f>
        <v>8.9539925139385357E-2</v>
      </c>
      <c r="AU410" s="72">
        <f>(BG410-Driver!$K$192)/(Driver!$L$192-Driver!$K$192)</f>
        <v>3.5501534598214285E-2</v>
      </c>
      <c r="AV410" s="70">
        <f t="shared" si="245"/>
        <v>4.7754714421381088</v>
      </c>
      <c r="AW410" s="70">
        <f t="shared" si="246"/>
        <v>21.848470173006906</v>
      </c>
      <c r="AX410" s="70">
        <f t="shared" si="247"/>
        <v>3.1872509960159361</v>
      </c>
      <c r="AY410" s="70">
        <f>IFERROR(Driver!$K$19/Data!BH410/Data!BI410*Data!BK410*Data!BL410,"")</f>
        <v>7.5962289425814622E-2</v>
      </c>
      <c r="AZ410" s="70">
        <f t="shared" si="248"/>
        <v>18.585256887565155</v>
      </c>
      <c r="BA410" s="70"/>
      <c r="BB410" s="70"/>
      <c r="BC410" s="70">
        <f t="shared" si="249"/>
        <v>14.142712173523471</v>
      </c>
      <c r="BD410" s="70">
        <f t="shared" si="250"/>
        <v>18.160019365431307</v>
      </c>
      <c r="BE410" s="70">
        <f t="shared" si="251"/>
        <v>0.19750931283905968</v>
      </c>
      <c r="BF410" s="70">
        <f t="shared" si="252"/>
        <v>10.112905490917521</v>
      </c>
      <c r="BG410" s="70">
        <f t="shared" si="253"/>
        <v>0.13443145751953126</v>
      </c>
      <c r="BH410" s="67">
        <f>MAX((CE410-Driver!$F$200)/(Driver!$G$200-Driver!$F$200)*$BI$1,1)</f>
        <v>3.1872509960159361</v>
      </c>
      <c r="BI410" s="67">
        <f>MAX($BI$1*(BY410-Driver!$F$201)/(Driver!$G$201-Driver!$F$201),1)</f>
        <v>6.075949367088608</v>
      </c>
      <c r="BJ410" s="67">
        <f>(CB410-Driver!$F$206)/(Driver!$G$206-Driver!$F$206)*$BI$1</f>
        <v>3.4920634920634921</v>
      </c>
      <c r="BK410" s="67">
        <f>(CD410-Driver!$F$203)/(Driver!$G$203-Driver!$F$203)*$BI$1</f>
        <v>1.4220183486238533</v>
      </c>
      <c r="BL410" s="67">
        <f>MAX((CR410-Driver!$F$202)/(Driver!$G$202-Driver!$F$202)*$BI$1,1)</f>
        <v>5.1724137931034484</v>
      </c>
      <c r="BM410" s="67">
        <f>MAX((CH410-Driver!$F$204)/(Driver!$G$204-Driver!$F$204)*$BI$1,1)</f>
        <v>5.4700854700854702</v>
      </c>
      <c r="BN410" s="67">
        <f>(CI410-Driver!$F$205)/(Driver!$G$205-Driver!$F$205)*$BI$1</f>
        <v>3.0588235294117649</v>
      </c>
      <c r="BO410" s="67">
        <f>(CK410-Driver!$F$207)/(Driver!$G$207-Driver!$F$207)*$BI$1</f>
        <v>2.3164426059979317</v>
      </c>
      <c r="BP410" s="67">
        <f>(CM410-Driver!$F$208)/(Driver!$G$208-Driver!$F$208)*$BI$1</f>
        <v>1.7777777777777779</v>
      </c>
      <c r="BQ410" s="67">
        <f>(CL410-Driver!$F$209)/(Driver!$G$209-Driver!$F$209)*$BI$1</f>
        <v>2.34375</v>
      </c>
      <c r="BR410" s="28" t="s">
        <v>155</v>
      </c>
      <c r="BS410" s="8" t="s">
        <v>202</v>
      </c>
      <c r="BT410" s="9" t="s">
        <v>585</v>
      </c>
      <c r="BU410" s="10">
        <v>154</v>
      </c>
      <c r="BV410" s="9" t="s">
        <v>163</v>
      </c>
      <c r="BW410" s="10">
        <v>154</v>
      </c>
      <c r="BX410" s="10">
        <v>153.5</v>
      </c>
      <c r="BY410" s="10">
        <v>104</v>
      </c>
      <c r="BZ410" s="10">
        <v>123</v>
      </c>
      <c r="CA410" s="10">
        <v>117</v>
      </c>
      <c r="CB410" s="10">
        <v>86</v>
      </c>
      <c r="CC410" s="10">
        <v>107</v>
      </c>
      <c r="CD410" s="10">
        <v>12.5</v>
      </c>
      <c r="CE410" s="10">
        <v>1460</v>
      </c>
      <c r="CF410" s="10">
        <v>1.03</v>
      </c>
      <c r="CG410" s="10">
        <v>1499</v>
      </c>
      <c r="CH410" s="10">
        <v>229</v>
      </c>
      <c r="CI410" s="10">
        <v>85</v>
      </c>
      <c r="CJ410" s="10">
        <v>64</v>
      </c>
      <c r="CK410" s="10">
        <v>334</v>
      </c>
      <c r="CL410" s="10">
        <v>15</v>
      </c>
      <c r="CM410" s="10">
        <v>160</v>
      </c>
      <c r="CN410" s="10">
        <v>0.23300000000000001</v>
      </c>
      <c r="CO410" s="10">
        <v>210</v>
      </c>
      <c r="CP410" s="10">
        <v>99</v>
      </c>
      <c r="CQ410" s="10">
        <v>125</v>
      </c>
      <c r="CR410" s="10">
        <v>4</v>
      </c>
      <c r="CS410" s="10">
        <v>11.6</v>
      </c>
      <c r="CT410" s="9" t="s">
        <v>188</v>
      </c>
      <c r="CU410" s="10"/>
      <c r="CV410" s="10"/>
      <c r="CW410" s="10"/>
      <c r="CX410" t="str">
        <f>INDEX('Data_Price '!AG$2:AG$1266,MATCH(Data!$DN410,'Data_Price '!$AT$2:$AT$1266,0))</f>
        <v>Dynastar M-Pro 90 W Skis - Women's 2022</v>
      </c>
      <c r="CY410" t="str">
        <f>INDEX('Data_Price '!AH$2:AH$1266,MATCH(Data!$DN410,'Data_Price '!$AT$2:$AT$1266,0))</f>
        <v>Snowcountry.eu</v>
      </c>
      <c r="CZ410">
        <f>INDEX('Data_Price '!AI$2:AI$1266,MATCH(Data!$DN410,'Data_Price '!$AT$2:$AT$1266,0))</f>
        <v>331.01</v>
      </c>
      <c r="DA410" t="str">
        <f>INDEX('Data_Price '!AJ$2:AJ$1266,MATCH(Data!$DN410,'Data_Price '!$AT$2:$AT$1266,0))</f>
        <v>https://tinyurl.com/ycccehsf</v>
      </c>
      <c r="DB410" t="str">
        <f>INDEX('Data_Price '!AK$2:AK$1266,MATCH(Data!$DN410,'Data_Price '!$AT$2:$AT$1266,0))</f>
        <v>Dynastar M-Pro 90 W Skis - Women's 2022</v>
      </c>
      <c r="DC410" t="str">
        <f>INDEX('Data_Price '!AL$2:AL$1266,MATCH(Data!$DN410,'Data_Price '!$AT$2:$AT$1266,0))</f>
        <v>Next Adventure</v>
      </c>
      <c r="DD410">
        <f>INDEX('Data_Price '!AM$2:AM$1266,MATCH(Data!$DN410,'Data_Price '!$AT$2:$AT$1266,0))</f>
        <v>419.97</v>
      </c>
      <c r="DE410" t="str">
        <f>INDEX('Data_Price '!AN$2:AN$1266,MATCH(Data!$DN410,'Data_Price '!$AT$2:$AT$1266,0))</f>
        <v>https://tinyurl.com/y9jkwfon</v>
      </c>
      <c r="DF410" t="str">
        <f>INDEX('Data_Price '!AO$2:AO$1266,MATCH(Data!$DN410,'Data_Price '!$AT$2:$AT$1266,0))</f>
        <v>Dynastar M-PRO 90 W 154cm</v>
      </c>
      <c r="DG410" t="str">
        <f>INDEX('Data_Price '!AP$2:AP$1266,MATCH(Data!$DN410,'Data_Price '!$AT$2:$AT$1266,0))</f>
        <v>Sundance Ski and Board Shop</v>
      </c>
      <c r="DH410">
        <f>INDEX('Data_Price '!AQ$2:AQ$1266,MATCH(Data!$DN410,'Data_Price '!$AT$2:$AT$1266,0))</f>
        <v>448.96</v>
      </c>
      <c r="DI410" t="str">
        <f>INDEX('Data_Price '!AR$2:AR$1266,MATCH(Data!$DN410,'Data_Price '!$AT$2:$AT$1266,0))</f>
        <v>https://tinyurl.com/y77bcs85</v>
      </c>
      <c r="DJ410" s="89" t="str">
        <f t="shared" si="254"/>
        <v>https://tinyurl.com/ycccehsf</v>
      </c>
      <c r="DK410" s="89" t="str">
        <f t="shared" si="255"/>
        <v>https://tinyurl.com/y9jkwfon</v>
      </c>
      <c r="DL410" s="89" t="str">
        <f t="shared" si="256"/>
        <v>https://tinyurl.com/y77bcs85</v>
      </c>
      <c r="DM410" s="219" t="str">
        <f t="shared" si="257"/>
        <v>M-Pro 90 W</v>
      </c>
      <c r="DN410" s="89" t="str">
        <f t="shared" si="258"/>
        <v xml:space="preserve"> DynastarM-Pro 90 W154 Women's</v>
      </c>
      <c r="DO410" s="221" t="s">
        <v>586</v>
      </c>
    </row>
    <row r="411" spans="2:119" ht="15.6" customHeight="1">
      <c r="B411" s="219" t="b">
        <f t="array" ref="B411">IF(OR(ISERROR(K411:P411)),FALSE,TRUE)</f>
        <v>1</v>
      </c>
      <c r="C411" s="43" t="b">
        <f>OR(BR411=Driver!$G$50,Data!BR541=Driver!$H$50)</f>
        <v>1</v>
      </c>
      <c r="D411" s="43" t="b">
        <f>OR(BV411=Driver!$G$51,BV411=Driver!$H$51)</f>
        <v>1</v>
      </c>
      <c r="E411" s="43" t="b">
        <f>AND(BX411&gt;Driver!$F$54,BX411&lt;Driver!$G$54)</f>
        <v>0</v>
      </c>
      <c r="F411" s="43" t="b">
        <f>CL411&gt;Driver!$F$56</f>
        <v>1</v>
      </c>
      <c r="G411" s="43" t="b">
        <f>AND(CB411&gt;Driver!$F$55,CB411&lt;Driver!$G$55)</f>
        <v>1</v>
      </c>
      <c r="H411" s="43" t="b">
        <f t="shared" si="222"/>
        <v>0</v>
      </c>
      <c r="I411" s="43">
        <f t="shared" si="223"/>
        <v>0</v>
      </c>
      <c r="J411" s="43" t="b">
        <f t="array" ref="J411">NOT(OR(($H$9:$H$1273=TRUE)*($I$9:$I$1273&gt;0)*($BT$9:$BT$1273=BT411)*($K$9:$K$1273&gt;K411)))</f>
        <v>1</v>
      </c>
      <c r="K411" s="72">
        <f t="shared" si="224"/>
        <v>0.79461441828000157</v>
      </c>
      <c r="L411" s="72">
        <f t="shared" si="225"/>
        <v>0.8908320915806619</v>
      </c>
      <c r="M411" s="72">
        <f t="shared" si="226"/>
        <v>0.69839674497934112</v>
      </c>
      <c r="N411" s="72">
        <f t="shared" si="227"/>
        <v>0.48618153466103442</v>
      </c>
      <c r="O411" s="72">
        <f t="shared" si="228"/>
        <v>0.66214223217075929</v>
      </c>
      <c r="P411" s="72">
        <f t="shared" si="229"/>
        <v>0.94686646810622976</v>
      </c>
      <c r="Q411" s="72"/>
      <c r="R411" s="72"/>
      <c r="S411" s="72">
        <f t="shared" si="230"/>
        <v>0.47710521691226737</v>
      </c>
      <c r="T411" s="72">
        <f t="shared" si="231"/>
        <v>0.51080355893629525</v>
      </c>
      <c r="U411" s="72">
        <f t="shared" si="232"/>
        <v>0.52133419368837353</v>
      </c>
      <c r="V411" s="72">
        <f t="shared" si="233"/>
        <v>0.5554703468254607</v>
      </c>
      <c r="W411" s="72">
        <f t="shared" si="234"/>
        <v>0.8077177783052456</v>
      </c>
      <c r="X411" s="72">
        <f t="shared" si="235"/>
        <v>0.1091679084193381</v>
      </c>
      <c r="Y411" s="72">
        <f t="shared" si="236"/>
        <v>0.30160325502065882</v>
      </c>
      <c r="Z411" s="72">
        <f t="shared" si="237"/>
        <v>0.51381846533896558</v>
      </c>
      <c r="AA411" s="72">
        <f t="shared" si="238"/>
        <v>0.33785776782924071</v>
      </c>
      <c r="AB411" s="72">
        <f t="shared" si="239"/>
        <v>5.3133531893770181E-2</v>
      </c>
      <c r="AC411" s="72"/>
      <c r="AD411" s="72"/>
      <c r="AE411" s="72">
        <f t="shared" si="240"/>
        <v>0.52289478308773263</v>
      </c>
      <c r="AF411" s="72">
        <f t="shared" si="241"/>
        <v>0.48919644106370475</v>
      </c>
      <c r="AG411" s="72">
        <f t="shared" si="242"/>
        <v>0.47866580631162642</v>
      </c>
      <c r="AH411" s="72">
        <f t="shared" si="243"/>
        <v>0.4445296531745393</v>
      </c>
      <c r="AI411" s="72">
        <f t="shared" si="244"/>
        <v>0.19228222169475434</v>
      </c>
      <c r="AJ411" s="72">
        <f>(AV411-Driver!$K$179)/(Driver!$L$179-Driver!$K$179)</f>
        <v>0.36338731770203853</v>
      </c>
      <c r="AK411" s="72">
        <f>(AW411-Driver!$K$180)/(Driver!$L$180-Driver!$K$180)</f>
        <v>0.33669253673295346</v>
      </c>
      <c r="AL411" s="72">
        <f>(AX411-Driver!$K$181)/(Driver!$L$181-Driver!$K$181)</f>
        <v>0.61550622905204577</v>
      </c>
      <c r="AM411" s="72">
        <f>(AY411-Driver!$K$182)/(Driver!$L$182-Driver!$K$182)</f>
        <v>0.10952725326780569</v>
      </c>
      <c r="AN411" s="72">
        <f>(AZ411-Driver!$K$183)/(Driver!$L$183-Driver!$K$183)</f>
        <v>0.30735294117647061</v>
      </c>
      <c r="AO411" s="72"/>
      <c r="AP411" s="72"/>
      <c r="AQ411" s="72">
        <f>(BC411-Driver!$K$188)/(Driver!$L$188-Driver!$K$188)</f>
        <v>9.7105216912267381E-2</v>
      </c>
      <c r="AR411" s="72">
        <f>MIN((BD411-Driver!$K$189)/(Driver!$L$189-Driver!$K$189),100%)</f>
        <v>6.0803558936295327E-2</v>
      </c>
      <c r="AS411" s="72">
        <f>(BE411-Driver!$K$190)/(Driver!$L$190-Driver!$K$190)</f>
        <v>3.1334193688373597E-2</v>
      </c>
      <c r="AT411" s="72">
        <f>(BF411-Driver!$K$191)/(Driver!$L$191-Driver!$K$191)</f>
        <v>6.5470346825460685E-2</v>
      </c>
      <c r="AU411" s="72">
        <f>(BG411-Driver!$K$192)/(Driver!$L$192-Driver!$K$192)</f>
        <v>5.7717778305245659E-2</v>
      </c>
      <c r="AV411" s="70">
        <f t="shared" si="245"/>
        <v>7.6482159815493151</v>
      </c>
      <c r="AW411" s="70">
        <f t="shared" si="246"/>
        <v>34.685563725456433</v>
      </c>
      <c r="AX411" s="70">
        <f t="shared" si="247"/>
        <v>6.5395560614684118</v>
      </c>
      <c r="AY411" s="70">
        <f>IFERROR(Driver!$K$19/Data!BH411/Data!BI411*Data!BK411*Data!BL411,"")</f>
        <v>0.13409403777804357</v>
      </c>
      <c r="AZ411" s="70">
        <f t="shared" si="248"/>
        <v>28.011913626209978</v>
      </c>
      <c r="BA411" s="70"/>
      <c r="BB411" s="70"/>
      <c r="BC411" s="70">
        <f t="shared" si="249"/>
        <v>50.369151076909098</v>
      </c>
      <c r="BD411" s="70">
        <f t="shared" si="250"/>
        <v>7.1018301124285932</v>
      </c>
      <c r="BE411" s="70">
        <f t="shared" si="251"/>
        <v>3.1506992765421529E-2</v>
      </c>
      <c r="BF411" s="70">
        <f t="shared" si="252"/>
        <v>7.394415718717684</v>
      </c>
      <c r="BG411" s="70">
        <f t="shared" si="253"/>
        <v>0.21855632862568239</v>
      </c>
      <c r="BH411" s="67">
        <f>MAX((CE411-Driver!$F$200)/(Driver!$G$200-Driver!$F$200)*$BI$1,1)</f>
        <v>6.5395560614684118</v>
      </c>
      <c r="BI411" s="67">
        <f>MAX($BI$1*(BY411-Driver!$F$201)/(Driver!$G$201-Driver!$F$201),1)</f>
        <v>7.2151898734177218</v>
      </c>
      <c r="BJ411" s="67">
        <f>(CB411-Driver!$F$206)/(Driver!$G$206-Driver!$F$206)*$BI$1</f>
        <v>6.5079365079365079</v>
      </c>
      <c r="BK411" s="67">
        <f>(CD411-Driver!$F$203)/(Driver!$G$203-Driver!$F$203)*$BI$1</f>
        <v>4.5871559633027523</v>
      </c>
      <c r="BL411" s="67">
        <f>MAX((CR411-Driver!$F$202)/(Driver!$G$202-Driver!$F$202)*$BI$1,1)</f>
        <v>6.8965517241379315</v>
      </c>
      <c r="BM411" s="67">
        <f>MAX((CH411-Driver!$F$204)/(Driver!$G$204-Driver!$F$204)*$BI$1,1)</f>
        <v>4.700854700854701</v>
      </c>
      <c r="BN411" s="67">
        <f>(CI411-Driver!$F$205)/(Driver!$G$205-Driver!$F$205)*$BI$1</f>
        <v>3.8823529411764706</v>
      </c>
      <c r="BO411" s="67">
        <f>(CK411-Driver!$F$207)/(Driver!$G$207-Driver!$F$207)*$BI$1</f>
        <v>1.8614270941054809</v>
      </c>
      <c r="BP411" s="67">
        <f>(CM411-Driver!$F$208)/(Driver!$G$208-Driver!$F$208)*$BI$1</f>
        <v>2.8000000000000003</v>
      </c>
      <c r="BQ411" s="67">
        <f>(CL411-Driver!$F$209)/(Driver!$G$209-Driver!$F$209)*$BI$1</f>
        <v>6.71875</v>
      </c>
      <c r="BR411" s="28" t="s">
        <v>155</v>
      </c>
      <c r="BS411" s="8" t="s">
        <v>205</v>
      </c>
      <c r="BT411" s="9" t="s">
        <v>225</v>
      </c>
      <c r="BU411" s="10">
        <v>178</v>
      </c>
      <c r="BV411" s="9" t="s">
        <v>158</v>
      </c>
      <c r="BW411" s="10">
        <v>178</v>
      </c>
      <c r="BX411" s="10">
        <v>176.5</v>
      </c>
      <c r="BY411" s="10">
        <v>122</v>
      </c>
      <c r="BZ411" s="10">
        <v>142</v>
      </c>
      <c r="CA411" s="10">
        <v>132</v>
      </c>
      <c r="CB411" s="10">
        <v>105</v>
      </c>
      <c r="CC411" s="10">
        <v>125</v>
      </c>
      <c r="CD411" s="10">
        <v>19.399999999999999</v>
      </c>
      <c r="CE411" s="10">
        <v>2049</v>
      </c>
      <c r="CF411" s="10">
        <v>0.99</v>
      </c>
      <c r="CG411" s="10">
        <v>2028</v>
      </c>
      <c r="CH411" s="10">
        <v>211</v>
      </c>
      <c r="CI411" s="10">
        <v>99</v>
      </c>
      <c r="CJ411" s="10">
        <v>52</v>
      </c>
      <c r="CK411" s="10">
        <v>290</v>
      </c>
      <c r="CL411" s="10">
        <v>43</v>
      </c>
      <c r="CM411" s="10">
        <v>252</v>
      </c>
      <c r="CN411" s="10">
        <v>0.83299999999999996</v>
      </c>
      <c r="CO411" s="10">
        <v>180</v>
      </c>
      <c r="CP411" s="10">
        <v>165</v>
      </c>
      <c r="CQ411" s="10">
        <v>111</v>
      </c>
      <c r="CR411" s="10">
        <v>9</v>
      </c>
      <c r="CS411" s="10">
        <v>9</v>
      </c>
      <c r="CT411" s="9" t="s">
        <v>184</v>
      </c>
      <c r="CU411" s="9" t="s">
        <v>169</v>
      </c>
      <c r="CV411" s="10"/>
      <c r="CW411" s="10"/>
      <c r="CX411" t="str">
        <f>INDEX('Data_Price '!AG$2:AG$1266,MATCH(Data!$DN411,'Data_Price '!$AT$2:$AT$1266,0))</f>
        <v>Faction Prodigy 3.0 Skis 2022 - 178</v>
      </c>
      <c r="CY411" t="str">
        <f>INDEX('Data_Price '!AH$2:AH$1266,MATCH(Data!$DN411,'Data_Price '!$AT$2:$AT$1266,0))</f>
        <v>Powder7 Ski Shop</v>
      </c>
      <c r="CZ411">
        <f>INDEX('Data_Price '!AI$2:AI$1266,MATCH(Data!$DN411,'Data_Price '!$AT$2:$AT$1266,0))</f>
        <v>599.92999999999995</v>
      </c>
      <c r="DA411" t="str">
        <f>INDEX('Data_Price '!AJ$2:AJ$1266,MATCH(Data!$DN411,'Data_Price '!$AT$2:$AT$1266,0))</f>
        <v>https://tinyurl.com/yarvd78e</v>
      </c>
      <c r="DB411" t="str">
        <f>INDEX('Data_Price '!AK$2:AK$1266,MATCH(Data!$DN411,'Data_Price '!$AT$2:$AT$1266,0))</f>
        <v>Faction Ct Candide 3.0 x Skis</v>
      </c>
      <c r="DC411" t="str">
        <f>INDEX('Data_Price '!AL$2:AL$1266,MATCH(Data!$DN411,'Data_Price '!$AT$2:$AT$1266,0))</f>
        <v>AlpinStore</v>
      </c>
      <c r="DD411">
        <f>INDEX('Data_Price '!AM$2:AM$1266,MATCH(Data!$DN411,'Data_Price '!$AT$2:$AT$1266,0))</f>
        <v>623.86</v>
      </c>
      <c r="DE411" t="str">
        <f>INDEX('Data_Price '!AN$2:AN$1266,MATCH(Data!$DN411,'Data_Price '!$AT$2:$AT$1266,0))</f>
        <v>https://tinyurl.com/y85eyhna</v>
      </c>
      <c r="DF411" t="str">
        <f>INDEX('Data_Price '!AO$2:AO$1266,MATCH(Data!$DN411,'Data_Price '!$AT$2:$AT$1266,0))</f>
        <v>Faction Women's Candide 3.0 x Skis Black 178 cm</v>
      </c>
      <c r="DG411" t="str">
        <f>INDEX('Data_Price '!AP$2:AP$1266,MATCH(Data!$DN411,'Data_Price '!$AT$2:$AT$1266,0))</f>
        <v>REI</v>
      </c>
      <c r="DH411">
        <f>INDEX('Data_Price '!AQ$2:AQ$1266,MATCH(Data!$DN411,'Data_Price '!$AT$2:$AT$1266,0))</f>
        <v>638.92999999999995</v>
      </c>
      <c r="DI411" t="str">
        <f>INDEX('Data_Price '!AR$2:AR$1266,MATCH(Data!$DN411,'Data_Price '!$AT$2:$AT$1266,0))</f>
        <v>https://tinyurl.com/y8rnmpkh</v>
      </c>
      <c r="DJ411" s="89" t="str">
        <f t="shared" si="254"/>
        <v>https://tinyurl.com/yarvd78e</v>
      </c>
      <c r="DK411" s="89" t="str">
        <f t="shared" si="255"/>
        <v>https://tinyurl.com/y85eyhna</v>
      </c>
      <c r="DL411" s="89" t="str">
        <f t="shared" si="256"/>
        <v>https://tinyurl.com/y8rnmpkh</v>
      </c>
      <c r="DM411" s="219" t="str">
        <f t="shared" si="257"/>
        <v>Prodigy 3.0</v>
      </c>
      <c r="DN411" s="89" t="str">
        <f t="shared" si="258"/>
        <v xml:space="preserve"> FactionProdigy 3.0178 Unisex</v>
      </c>
      <c r="DO411" s="221" t="s">
        <v>226</v>
      </c>
    </row>
    <row r="412" spans="2:119" ht="15.6" customHeight="1">
      <c r="B412" s="219" t="b">
        <f t="array" ref="B412">IF(OR(ISERROR(K412:P412)),FALSE,TRUE)</f>
        <v>1</v>
      </c>
      <c r="C412" s="43" t="b">
        <f>OR(BR412=Driver!$G$50,Data!BR726=Driver!$H$50)</f>
        <v>1</v>
      </c>
      <c r="D412" s="43" t="b">
        <f>OR(BV412=Driver!$G$51,BV412=Driver!$H$51)</f>
        <v>1</v>
      </c>
      <c r="E412" s="43" t="b">
        <f>AND(BX412&gt;Driver!$F$54,BX412&lt;Driver!$G$54)</f>
        <v>1</v>
      </c>
      <c r="F412" s="43" t="b">
        <f>CL412&gt;Driver!$F$56</f>
        <v>1</v>
      </c>
      <c r="G412" s="43" t="b">
        <f>AND(CB412&gt;Driver!$F$55,CB412&lt;Driver!$G$55)</f>
        <v>0</v>
      </c>
      <c r="H412" s="43" t="b">
        <f t="shared" si="222"/>
        <v>0</v>
      </c>
      <c r="I412" s="43">
        <f t="shared" si="223"/>
        <v>0</v>
      </c>
      <c r="J412" s="43" t="b">
        <f t="array" ref="J412">NOT(OR(($H$9:$H$1273=TRUE)*($I$9:$I$1273&gt;0)*($BT$9:$BT$1273=BT412)*($K$9:$K$1273&gt;K412)))</f>
        <v>1</v>
      </c>
      <c r="K412" s="72">
        <f t="shared" si="224"/>
        <v>0.80709030391280467</v>
      </c>
      <c r="L412" s="72">
        <f t="shared" si="225"/>
        <v>0.82635427535189787</v>
      </c>
      <c r="M412" s="72">
        <f t="shared" si="226"/>
        <v>0.78782633247371148</v>
      </c>
      <c r="N412" s="72">
        <f t="shared" si="227"/>
        <v>0.78277294679029508</v>
      </c>
      <c r="O412" s="72">
        <f t="shared" si="228"/>
        <v>0.60159212658020633</v>
      </c>
      <c r="P412" s="72">
        <f t="shared" si="229"/>
        <v>0.97911392405063291</v>
      </c>
      <c r="Q412" s="72"/>
      <c r="R412" s="72"/>
      <c r="S412" s="72">
        <f t="shared" si="230"/>
        <v>0.40744304217841865</v>
      </c>
      <c r="T412" s="72">
        <f t="shared" si="231"/>
        <v>0.60076424501335457</v>
      </c>
      <c r="U412" s="72">
        <f t="shared" si="232"/>
        <v>0.80060145113635495</v>
      </c>
      <c r="V412" s="72">
        <f t="shared" si="233"/>
        <v>0.56409015096838822</v>
      </c>
      <c r="W412" s="72">
        <f t="shared" si="234"/>
        <v>0.80987647058823531</v>
      </c>
      <c r="X412" s="72">
        <f t="shared" si="235"/>
        <v>0.1736457246481021</v>
      </c>
      <c r="Y412" s="72">
        <f t="shared" si="236"/>
        <v>0.21217366752628852</v>
      </c>
      <c r="Z412" s="72">
        <f t="shared" si="237"/>
        <v>0.21722705320970487</v>
      </c>
      <c r="AA412" s="72">
        <f t="shared" si="238"/>
        <v>0.39840787341979367</v>
      </c>
      <c r="AB412" s="72">
        <f t="shared" si="239"/>
        <v>2.0886075949367117E-2</v>
      </c>
      <c r="AC412" s="72"/>
      <c r="AD412" s="72"/>
      <c r="AE412" s="72">
        <f t="shared" si="240"/>
        <v>0.59255695782158135</v>
      </c>
      <c r="AF412" s="72">
        <f t="shared" si="241"/>
        <v>0.39923575498664549</v>
      </c>
      <c r="AG412" s="72">
        <f t="shared" si="242"/>
        <v>0.19939854886364505</v>
      </c>
      <c r="AH412" s="72">
        <f t="shared" si="243"/>
        <v>0.43590984903161184</v>
      </c>
      <c r="AI412" s="72">
        <f t="shared" si="244"/>
        <v>0.19012352941176469</v>
      </c>
      <c r="AJ412" s="72">
        <f>(AV412-Driver!$K$179)/(Driver!$L$179-Driver!$K$179)</f>
        <v>8.0573684634598325E-2</v>
      </c>
      <c r="AK412" s="72">
        <f>(AW412-Driver!$K$180)/(Driver!$L$180-Driver!$K$180)</f>
        <v>0.23932278647685337</v>
      </c>
      <c r="AL412" s="72">
        <f>(AX412-Driver!$K$181)/(Driver!$L$181-Driver!$K$181)</f>
        <v>0.31891481692278506</v>
      </c>
      <c r="AM412" s="72">
        <f>(AY412-Driver!$K$182)/(Driver!$L$182-Driver!$K$182)</f>
        <v>4.8977147677252711E-2</v>
      </c>
      <c r="AN412" s="72">
        <f>(AZ412-Driver!$K$183)/(Driver!$L$183-Driver!$K$183)</f>
        <v>0.23333333333333331</v>
      </c>
      <c r="AO412" s="72"/>
      <c r="AP412" s="72"/>
      <c r="AQ412" s="72">
        <f>(BC412-Driver!$K$188)/(Driver!$L$188-Driver!$K$188)</f>
        <v>2.7443042178418676E-2</v>
      </c>
      <c r="AR412" s="72">
        <f>MIN((BD412-Driver!$K$189)/(Driver!$L$189-Driver!$K$189),100%)</f>
        <v>0.15076424501335456</v>
      </c>
      <c r="AS412" s="72">
        <f>(BE412-Driver!$K$190)/(Driver!$L$190-Driver!$K$190)</f>
        <v>0.31060145113635496</v>
      </c>
      <c r="AT412" s="72">
        <f>(BF412-Driver!$K$191)/(Driver!$L$191-Driver!$K$191)</f>
        <v>7.4090150968388155E-2</v>
      </c>
      <c r="AU412" s="72">
        <f>(BG412-Driver!$K$192)/(Driver!$L$192-Driver!$K$192)</f>
        <v>5.9876470588235295E-2</v>
      </c>
      <c r="AV412" s="70">
        <f t="shared" si="245"/>
        <v>1.6958350291683624</v>
      </c>
      <c r="AW412" s="70">
        <f t="shared" si="246"/>
        <v>25.196018779242589</v>
      </c>
      <c r="AX412" s="70">
        <f t="shared" si="247"/>
        <v>3.8702333523050654</v>
      </c>
      <c r="AY412" s="70">
        <f>IFERROR(Driver!$K$19/Data!BH412/Data!BI412*Data!BK412*Data!BL412,"")</f>
        <v>5.9962642127398262E-2</v>
      </c>
      <c r="AZ412" s="70">
        <f t="shared" si="248"/>
        <v>21.265822784810126</v>
      </c>
      <c r="BA412" s="70"/>
      <c r="BB412" s="70"/>
      <c r="BC412" s="70">
        <f t="shared" si="249"/>
        <v>14.234896758879842</v>
      </c>
      <c r="BD412" s="70">
        <f t="shared" si="250"/>
        <v>15.063191429344853</v>
      </c>
      <c r="BE412" s="70">
        <f t="shared" si="251"/>
        <v>0.31072443207796108</v>
      </c>
      <c r="BF412" s="70">
        <f t="shared" si="252"/>
        <v>8.3679620391099192</v>
      </c>
      <c r="BG412" s="70">
        <f t="shared" si="253"/>
        <v>0.22673051470588237</v>
      </c>
      <c r="BH412" s="67">
        <f>MAX((CE412-Driver!$F$200)/(Driver!$G$200-Driver!$F$200)*$BI$1,1)</f>
        <v>3.8702333523050654</v>
      </c>
      <c r="BI412" s="67">
        <f>MAX($BI$1*(BY412-Driver!$F$201)/(Driver!$G$201-Driver!$F$201),1)</f>
        <v>7.0886075949367084</v>
      </c>
      <c r="BJ412" s="67">
        <f>(CB412-Driver!$F$206)/(Driver!$G$206-Driver!$F$206)*$BI$1</f>
        <v>3.1746031746031744</v>
      </c>
      <c r="BK412" s="67">
        <f>(CD412-Driver!$F$203)/(Driver!$G$203-Driver!$F$203)*$BI$1</f>
        <v>1.1926605504587156</v>
      </c>
      <c r="BL412" s="67">
        <f>MAX((CR412-Driver!$F$202)/(Driver!$G$202-Driver!$F$202)*$BI$1,1)</f>
        <v>6.8965517241379315</v>
      </c>
      <c r="BM412" s="67">
        <f>MAX((CH412-Driver!$F$204)/(Driver!$G$204-Driver!$F$204)*$BI$1,1)</f>
        <v>2.1367521367521367</v>
      </c>
      <c r="BN412" s="67">
        <f>(CI412-Driver!$F$205)/(Driver!$G$205-Driver!$F$205)*$BI$1</f>
        <v>3</v>
      </c>
      <c r="BO412" s="67">
        <f>(CK412-Driver!$F$207)/(Driver!$G$207-Driver!$F$207)*$BI$1</f>
        <v>1.6546018614270941</v>
      </c>
      <c r="BP412" s="67">
        <f>(CM412-Driver!$F$208)/(Driver!$G$208-Driver!$F$208)*$BI$1</f>
        <v>1.9</v>
      </c>
      <c r="BQ412" s="67">
        <f>(CL412-Driver!$F$209)/(Driver!$G$209-Driver!$F$209)*$BI$1</f>
        <v>1.875</v>
      </c>
      <c r="BR412" s="28" t="s">
        <v>155</v>
      </c>
      <c r="BS412" s="8" t="s">
        <v>262</v>
      </c>
      <c r="BT412" s="9" t="s">
        <v>539</v>
      </c>
      <c r="BU412" s="10">
        <v>163</v>
      </c>
      <c r="BV412" s="9" t="s">
        <v>158</v>
      </c>
      <c r="BW412" s="10">
        <v>163</v>
      </c>
      <c r="BX412" s="10">
        <v>163.69999999999999</v>
      </c>
      <c r="BY412" s="10">
        <v>120</v>
      </c>
      <c r="BZ412" s="10">
        <v>136</v>
      </c>
      <c r="CA412" s="10">
        <v>129</v>
      </c>
      <c r="CB412" s="10">
        <v>84</v>
      </c>
      <c r="CC412" s="10">
        <v>112</v>
      </c>
      <c r="CD412" s="10">
        <v>12</v>
      </c>
      <c r="CE412" s="10">
        <v>1580</v>
      </c>
      <c r="CF412" s="10">
        <v>1.03</v>
      </c>
      <c r="CG412" s="10">
        <v>1627</v>
      </c>
      <c r="CH412" s="10">
        <v>151</v>
      </c>
      <c r="CI412" s="10">
        <v>84</v>
      </c>
      <c r="CJ412" s="10">
        <v>46</v>
      </c>
      <c r="CK412" s="10">
        <v>270</v>
      </c>
      <c r="CL412" s="10">
        <v>12</v>
      </c>
      <c r="CM412" s="10">
        <v>171</v>
      </c>
      <c r="CN412" s="10">
        <v>0.26800000000000002</v>
      </c>
      <c r="CO412" s="10">
        <v>170</v>
      </c>
      <c r="CP412" s="10">
        <v>110</v>
      </c>
      <c r="CQ412" s="10">
        <v>100</v>
      </c>
      <c r="CR412" s="10">
        <v>9</v>
      </c>
      <c r="CS412" s="10">
        <v>10.5</v>
      </c>
      <c r="CT412" s="9" t="s">
        <v>231</v>
      </c>
      <c r="CU412" s="9" t="s">
        <v>188</v>
      </c>
      <c r="CV412" s="10"/>
      <c r="CW412" s="10"/>
      <c r="CX412" t="e">
        <f>INDEX('Data_Price '!AG$2:AG$1266,MATCH(Data!$DN412,'Data_Price '!$AT$2:$AT$1266,0))</f>
        <v>#N/A</v>
      </c>
      <c r="CY412" t="e">
        <f>INDEX('Data_Price '!AH$2:AH$1266,MATCH(Data!$DN412,'Data_Price '!$AT$2:$AT$1266,0))</f>
        <v>#N/A</v>
      </c>
      <c r="CZ412" t="e">
        <f>INDEX('Data_Price '!AI$2:AI$1266,MATCH(Data!$DN412,'Data_Price '!$AT$2:$AT$1266,0))</f>
        <v>#N/A</v>
      </c>
      <c r="DA412" t="e">
        <f>INDEX('Data_Price '!AJ$2:AJ$1266,MATCH(Data!$DN412,'Data_Price '!$AT$2:$AT$1266,0))</f>
        <v>#N/A</v>
      </c>
      <c r="DB412" t="e">
        <f>INDEX('Data_Price '!AK$2:AK$1266,MATCH(Data!$DN412,'Data_Price '!$AT$2:$AT$1266,0))</f>
        <v>#N/A</v>
      </c>
      <c r="DC412" t="e">
        <f>INDEX('Data_Price '!AL$2:AL$1266,MATCH(Data!$DN412,'Data_Price '!$AT$2:$AT$1266,0))</f>
        <v>#N/A</v>
      </c>
      <c r="DD412" t="e">
        <f>INDEX('Data_Price '!AM$2:AM$1266,MATCH(Data!$DN412,'Data_Price '!$AT$2:$AT$1266,0))</f>
        <v>#N/A</v>
      </c>
      <c r="DE412" t="e">
        <f>INDEX('Data_Price '!AN$2:AN$1266,MATCH(Data!$DN412,'Data_Price '!$AT$2:$AT$1266,0))</f>
        <v>#N/A</v>
      </c>
      <c r="DF412" t="e">
        <f>INDEX('Data_Price '!AO$2:AO$1266,MATCH(Data!$DN412,'Data_Price '!$AT$2:$AT$1266,0))</f>
        <v>#N/A</v>
      </c>
      <c r="DG412" t="e">
        <f>INDEX('Data_Price '!AP$2:AP$1266,MATCH(Data!$DN412,'Data_Price '!$AT$2:$AT$1266,0))</f>
        <v>#N/A</v>
      </c>
      <c r="DH412" t="e">
        <f>INDEX('Data_Price '!AQ$2:AQ$1266,MATCH(Data!$DN412,'Data_Price '!$AT$2:$AT$1266,0))</f>
        <v>#N/A</v>
      </c>
      <c r="DI412" t="e">
        <f>INDEX('Data_Price '!AR$2:AR$1266,MATCH(Data!$DN412,'Data_Price '!$AT$2:$AT$1266,0))</f>
        <v>#N/A</v>
      </c>
      <c r="DJ412" s="89" t="e">
        <f t="shared" si="254"/>
        <v>#N/A</v>
      </c>
      <c r="DK412" s="89" t="e">
        <f t="shared" si="255"/>
        <v>#N/A</v>
      </c>
      <c r="DL412" s="89" t="e">
        <f t="shared" si="256"/>
        <v>#N/A</v>
      </c>
      <c r="DM412" s="219" t="str">
        <f t="shared" si="257"/>
        <v>Mindbender 85</v>
      </c>
      <c r="DN412" s="89" t="str">
        <f t="shared" si="258"/>
        <v xml:space="preserve"> K2Mindbender 85163 Unisex</v>
      </c>
      <c r="DO412" s="221" t="s">
        <v>540</v>
      </c>
    </row>
    <row r="413" spans="2:119" ht="15.6" customHeight="1">
      <c r="B413" s="219" t="b">
        <f t="array" ref="B413">IF(OR(ISERROR(K413:P413)),FALSE,TRUE)</f>
        <v>1</v>
      </c>
      <c r="C413" s="43" t="b">
        <f>OR(BR413=Driver!$G$50,Data!BR57=Driver!$H$50)</f>
        <v>1</v>
      </c>
      <c r="D413" s="43" t="b">
        <f>OR(BV413=Driver!$G$51,BV413=Driver!$H$51)</f>
        <v>0</v>
      </c>
      <c r="E413" s="43" t="b">
        <f>AND(BX413&gt;Driver!$F$54,BX413&lt;Driver!$G$54)</f>
        <v>1</v>
      </c>
      <c r="F413" s="43" t="b">
        <f>CL413&gt;Driver!$F$56</f>
        <v>1</v>
      </c>
      <c r="G413" s="43" t="b">
        <f>AND(CB413&gt;Driver!$F$55,CB413&lt;Driver!$G$55)</f>
        <v>0</v>
      </c>
      <c r="H413" s="43" t="b">
        <f t="shared" si="222"/>
        <v>0</v>
      </c>
      <c r="I413" s="43">
        <f t="shared" si="223"/>
        <v>0</v>
      </c>
      <c r="J413" s="43" t="b">
        <f t="array" ref="J413">NOT(OR(($H$9:$H$1273=TRUE)*($I$9:$I$1273&gt;0)*($BT$9:$BT$1273=BT413)*($K$9:$K$1273&gt;K413)))</f>
        <v>1</v>
      </c>
      <c r="K413" s="72">
        <f t="shared" si="224"/>
        <v>0.84120807604445758</v>
      </c>
      <c r="L413" s="72">
        <f t="shared" si="225"/>
        <v>0.88066093879561724</v>
      </c>
      <c r="M413" s="72">
        <f t="shared" si="226"/>
        <v>0.80175521329329802</v>
      </c>
      <c r="N413" s="72">
        <f t="shared" si="227"/>
        <v>0.72079862186776311</v>
      </c>
      <c r="O413" s="72">
        <f t="shared" si="228"/>
        <v>0.69603936847130199</v>
      </c>
      <c r="P413" s="72">
        <f t="shared" si="229"/>
        <v>0.98842764954082896</v>
      </c>
      <c r="Q413" s="72"/>
      <c r="R413" s="72"/>
      <c r="S413" s="72">
        <f t="shared" si="230"/>
        <v>0.45053120265797186</v>
      </c>
      <c r="T413" s="72">
        <f t="shared" si="231"/>
        <v>0.47685921097372996</v>
      </c>
      <c r="U413" s="72">
        <f t="shared" si="232"/>
        <v>0.57375160503484735</v>
      </c>
      <c r="V413" s="72">
        <f t="shared" si="233"/>
        <v>0.52678271348578132</v>
      </c>
      <c r="W413" s="72">
        <f t="shared" si="234"/>
        <v>0.90344901456726645</v>
      </c>
      <c r="X413" s="72">
        <f t="shared" si="235"/>
        <v>0.11933906120438281</v>
      </c>
      <c r="Y413" s="72">
        <f t="shared" si="236"/>
        <v>0.19824478670670198</v>
      </c>
      <c r="Z413" s="72">
        <f t="shared" si="237"/>
        <v>0.27920137813223694</v>
      </c>
      <c r="AA413" s="72">
        <f t="shared" si="238"/>
        <v>0.30396063152869801</v>
      </c>
      <c r="AB413" s="72">
        <f t="shared" si="239"/>
        <v>1.1572350459171016E-2</v>
      </c>
      <c r="AC413" s="72"/>
      <c r="AD413" s="72"/>
      <c r="AE413" s="72">
        <f t="shared" si="240"/>
        <v>0.54946879734202814</v>
      </c>
      <c r="AF413" s="72">
        <f t="shared" si="241"/>
        <v>0.52314078902627004</v>
      </c>
      <c r="AG413" s="72">
        <f t="shared" si="242"/>
        <v>0.42624839496515265</v>
      </c>
      <c r="AH413" s="72">
        <f t="shared" si="243"/>
        <v>0.47321728651421868</v>
      </c>
      <c r="AI413" s="72">
        <f t="shared" si="244"/>
        <v>9.6550985432733522E-2</v>
      </c>
      <c r="AJ413" s="72">
        <f>(AV413-Driver!$K$179)/(Driver!$L$179-Driver!$K$179)</f>
        <v>0.13488034807831761</v>
      </c>
      <c r="AK413" s="72">
        <f>(AW413-Driver!$K$180)/(Driver!$L$180-Driver!$K$180)</f>
        <v>0.254942160457794</v>
      </c>
      <c r="AL413" s="72">
        <f>(AX413-Driver!$K$181)/(Driver!$L$181-Driver!$K$181)</f>
        <v>0.38088914184531714</v>
      </c>
      <c r="AM413" s="72">
        <f>(AY413-Driver!$K$182)/(Driver!$L$182-Driver!$K$182)</f>
        <v>0.14342438956834838</v>
      </c>
      <c r="AN413" s="72">
        <f>(AZ413-Driver!$K$183)/(Driver!$L$183-Driver!$K$183)</f>
        <v>0.24264705882352941</v>
      </c>
      <c r="AO413" s="72"/>
      <c r="AP413" s="72"/>
      <c r="AQ413" s="72">
        <f>(BC413-Driver!$K$188)/(Driver!$L$188-Driver!$K$188)</f>
        <v>7.0531202657971873E-2</v>
      </c>
      <c r="AR413" s="72">
        <f>MIN((BD413-Driver!$K$189)/(Driver!$L$189-Driver!$K$189),100%)</f>
        <v>2.6859210973730049E-2</v>
      </c>
      <c r="AS413" s="72">
        <f>(BE413-Driver!$K$190)/(Driver!$L$190-Driver!$K$190)</f>
        <v>8.375160503484734E-2</v>
      </c>
      <c r="AT413" s="72">
        <f>(BF413-Driver!$K$191)/(Driver!$L$191-Driver!$K$191)</f>
        <v>3.678271348578134E-2</v>
      </c>
      <c r="AU413" s="72">
        <f>(BG413-Driver!$K$192)/(Driver!$L$192-Driver!$K$192)</f>
        <v>0.15344901456726648</v>
      </c>
      <c r="AV413" s="70">
        <f t="shared" si="245"/>
        <v>2.838827838827839</v>
      </c>
      <c r="AW413" s="70">
        <f t="shared" si="246"/>
        <v>26.718265175418111</v>
      </c>
      <c r="AX413" s="70">
        <f t="shared" si="247"/>
        <v>4.4280022766078542</v>
      </c>
      <c r="AY413" s="70">
        <f>IFERROR(Driver!$K$19/Data!BH413/Data!BI413*Data!BK413*Data!BL413,"")</f>
        <v>0.17559424653922262</v>
      </c>
      <c r="AZ413" s="70">
        <f t="shared" si="248"/>
        <v>22.114668652271035</v>
      </c>
      <c r="BA413" s="70"/>
      <c r="BB413" s="70"/>
      <c r="BC413" s="70">
        <f t="shared" si="249"/>
        <v>36.585025143656061</v>
      </c>
      <c r="BD413" s="70">
        <f t="shared" si="250"/>
        <v>4.09781546356714</v>
      </c>
      <c r="BE413" s="70">
        <f t="shared" si="251"/>
        <v>8.3915053435694165E-2</v>
      </c>
      <c r="BF413" s="70">
        <f t="shared" si="252"/>
        <v>4.1543490750315977</v>
      </c>
      <c r="BG413" s="70">
        <f t="shared" si="253"/>
        <v>0.58105585904027424</v>
      </c>
      <c r="BH413" s="67">
        <f>MAX((CE413-Driver!$F$200)/(Driver!$G$200-Driver!$F$200)*$BI$1,1)</f>
        <v>4.4280022766078542</v>
      </c>
      <c r="BI413" s="67">
        <f>MAX($BI$1*(BY413-Driver!$F$201)/(Driver!$G$201-Driver!$F$201),1)</f>
        <v>6.8354430379746836</v>
      </c>
      <c r="BJ413" s="67">
        <f>(CB413-Driver!$F$206)/(Driver!$G$206-Driver!$F$206)*$BI$1</f>
        <v>4.92063492063492</v>
      </c>
      <c r="BK413" s="67">
        <f>(CD413-Driver!$F$203)/(Driver!$G$203-Driver!$F$203)*$BI$1</f>
        <v>3.6697247706422016</v>
      </c>
      <c r="BL413" s="67">
        <f>MAX((CR413-Driver!$F$202)/(Driver!$G$202-Driver!$F$202)*$BI$1,1)</f>
        <v>7.2413793103448274</v>
      </c>
      <c r="BM413" s="67">
        <f>MAX((CH413-Driver!$F$204)/(Driver!$G$204-Driver!$F$204)*$BI$1,1)</f>
        <v>2.3076923076923079</v>
      </c>
      <c r="BN413" s="67">
        <f>(CI413-Driver!$F$205)/(Driver!$G$205-Driver!$F$205)*$BI$1</f>
        <v>3.2352941176470589</v>
      </c>
      <c r="BO413" s="67">
        <f>(CK413-Driver!$F$207)/(Driver!$G$207-Driver!$F$207)*$BI$1</f>
        <v>1.3029989658738366</v>
      </c>
      <c r="BP413" s="67">
        <f>(CM413-Driver!$F$208)/(Driver!$G$208-Driver!$F$208)*$BI$1</f>
        <v>2.3777777777777778</v>
      </c>
      <c r="BQ413" s="67">
        <f>(CL413-Driver!$F$209)/(Driver!$G$209-Driver!$F$209)*$BI$1</f>
        <v>5.9375</v>
      </c>
      <c r="BR413" s="28" t="s">
        <v>155</v>
      </c>
      <c r="BS413" s="8" t="s">
        <v>182</v>
      </c>
      <c r="BT413" s="9" t="s">
        <v>428</v>
      </c>
      <c r="BU413" s="10">
        <v>163</v>
      </c>
      <c r="BV413" s="9" t="s">
        <v>163</v>
      </c>
      <c r="BW413" s="10">
        <v>163</v>
      </c>
      <c r="BX413" s="10">
        <v>161.19999999999999</v>
      </c>
      <c r="BY413" s="10">
        <v>116</v>
      </c>
      <c r="BZ413" s="10">
        <v>135</v>
      </c>
      <c r="CA413" s="10">
        <v>123</v>
      </c>
      <c r="CB413" s="10">
        <v>95</v>
      </c>
      <c r="CC413" s="10">
        <v>115</v>
      </c>
      <c r="CD413" s="10">
        <v>17.399999999999999</v>
      </c>
      <c r="CE413" s="10">
        <v>1678</v>
      </c>
      <c r="CF413" s="10">
        <v>1</v>
      </c>
      <c r="CG413" s="10">
        <v>1683</v>
      </c>
      <c r="CH413" s="10">
        <v>155</v>
      </c>
      <c r="CI413" s="10">
        <v>88</v>
      </c>
      <c r="CJ413" s="10">
        <v>45</v>
      </c>
      <c r="CK413" s="10">
        <v>236</v>
      </c>
      <c r="CL413" s="10">
        <v>38</v>
      </c>
      <c r="CM413" s="10">
        <v>214</v>
      </c>
      <c r="CN413" s="10">
        <v>0.85299999999999998</v>
      </c>
      <c r="CO413" s="10">
        <v>118</v>
      </c>
      <c r="CP413" s="10">
        <v>147</v>
      </c>
      <c r="CQ413" s="10">
        <v>118</v>
      </c>
      <c r="CR413" s="10">
        <v>10</v>
      </c>
      <c r="CS413" s="10">
        <v>5.3</v>
      </c>
      <c r="CT413" s="9" t="s">
        <v>188</v>
      </c>
      <c r="CU413" s="9" t="s">
        <v>184</v>
      </c>
      <c r="CV413" s="10"/>
      <c r="CW413" s="10"/>
      <c r="CX413" t="str">
        <f>INDEX('Data_Price '!AG$2:AG$1266,MATCH(Data!$DN413,'Data_Price '!$AT$2:$AT$1266,0))</f>
        <v>Armada Women's ARW 96 Skis - 163 cm</v>
      </c>
      <c r="CY413" t="str">
        <f>INDEX('Data_Price '!AH$2:AH$1266,MATCH(Data!$DN413,'Data_Price '!$AT$2:$AT$1266,0))</f>
        <v>Powder7 Ski Shop</v>
      </c>
      <c r="CZ413">
        <f>INDEX('Data_Price '!AI$2:AI$1266,MATCH(Data!$DN413,'Data_Price '!$AT$2:$AT$1266,0))</f>
        <v>369.99</v>
      </c>
      <c r="DA413" t="str">
        <f>INDEX('Data_Price '!AJ$2:AJ$1266,MATCH(Data!$DN413,'Data_Price '!$AT$2:$AT$1266,0))</f>
        <v>https://tinyurl.com/y7yfhhsp</v>
      </c>
      <c r="DB413" t="str">
        <f>INDEX('Data_Price '!AK$2:AK$1266,MATCH(Data!$DN413,'Data_Price '!$AT$2:$AT$1266,0))</f>
        <v>Armada ARW 86 Skis 2022 163</v>
      </c>
      <c r="DC413" t="str">
        <f>INDEX('Data_Price '!AL$2:AL$1266,MATCH(Data!$DN413,'Data_Price '!$AT$2:$AT$1266,0))</f>
        <v>Winteriscalling.com</v>
      </c>
      <c r="DD413">
        <f>INDEX('Data_Price '!AM$2:AM$1266,MATCH(Data!$DN413,'Data_Price '!$AT$2:$AT$1266,0))</f>
        <v>399.99</v>
      </c>
      <c r="DE413" t="str">
        <f>INDEX('Data_Price '!AN$2:AN$1266,MATCH(Data!$DN413,'Data_Price '!$AT$2:$AT$1266,0))</f>
        <v>https://tinyurl.com/yca323c4</v>
      </c>
      <c r="DF413" t="str">
        <f>INDEX('Data_Price '!AO$2:AO$1266,MATCH(Data!$DN413,'Data_Price '!$AT$2:$AT$1266,0))</f>
        <v>Armada ARV 96 Skis 2022</v>
      </c>
      <c r="DG413" t="str">
        <f>INDEX('Data_Price '!AP$2:AP$1266,MATCH(Data!$DN413,'Data_Price '!$AT$2:$AT$1266,0))</f>
        <v>Blue Tomato</v>
      </c>
      <c r="DH413">
        <f>INDEX('Data_Price '!AQ$2:AQ$1266,MATCH(Data!$DN413,'Data_Price '!$AT$2:$AT$1266,0))</f>
        <v>461.83</v>
      </c>
      <c r="DI413" t="str">
        <f>INDEX('Data_Price '!AR$2:AR$1266,MATCH(Data!$DN413,'Data_Price '!$AT$2:$AT$1266,0))</f>
        <v>https://tinyurl.com/yb4uwclw</v>
      </c>
      <c r="DJ413" s="89" t="str">
        <f t="shared" si="254"/>
        <v>https://tinyurl.com/y7yfhhsp</v>
      </c>
      <c r="DK413" s="89" t="str">
        <f t="shared" si="255"/>
        <v>https://tinyurl.com/yca323c4</v>
      </c>
      <c r="DL413" s="89" t="str">
        <f t="shared" si="256"/>
        <v>https://tinyurl.com/yb4uwclw</v>
      </c>
      <c r="DM413" s="219" t="str">
        <f t="shared" si="257"/>
        <v>ARW 96</v>
      </c>
      <c r="DN413" s="89" t="str">
        <f t="shared" si="258"/>
        <v xml:space="preserve"> ArmadaARW 96163 Women's</v>
      </c>
      <c r="DO413" s="221" t="s">
        <v>429</v>
      </c>
    </row>
    <row r="414" spans="2:119" ht="15.6" customHeight="1">
      <c r="B414" s="219" t="b">
        <f t="array" ref="B414">IF(OR(ISERROR(K414:P414)),FALSE,TRUE)</f>
        <v>1</v>
      </c>
      <c r="C414" s="43" t="b">
        <f>OR(BR414=Driver!$G$50,Data!BR376=Driver!$H$50)</f>
        <v>1</v>
      </c>
      <c r="D414" s="43" t="b">
        <f>OR(BV414=Driver!$G$51,BV414=Driver!$H$51)</f>
        <v>1</v>
      </c>
      <c r="E414" s="43" t="b">
        <f>AND(BX414&gt;Driver!$F$54,BX414&lt;Driver!$G$54)</f>
        <v>0</v>
      </c>
      <c r="F414" s="43" t="b">
        <f>CL414&gt;Driver!$F$56</f>
        <v>1</v>
      </c>
      <c r="G414" s="43" t="b">
        <f>AND(CB414&gt;Driver!$F$55,CB414&lt;Driver!$G$55)</f>
        <v>0</v>
      </c>
      <c r="H414" s="43" t="b">
        <f t="shared" si="222"/>
        <v>0</v>
      </c>
      <c r="I414" s="43">
        <f t="shared" si="223"/>
        <v>0</v>
      </c>
      <c r="J414" s="43" t="b">
        <f t="array" ref="J414">NOT(OR(($H$9:$H$1273=TRUE)*($I$9:$I$1273&gt;0)*($BT$9:$BT$1273=BT414)*($K$9:$K$1273&gt;K414)))</f>
        <v>1</v>
      </c>
      <c r="K414" s="72">
        <f t="shared" si="224"/>
        <v>0.87489161643270308</v>
      </c>
      <c r="L414" s="72">
        <f t="shared" si="225"/>
        <v>0.81710717014000456</v>
      </c>
      <c r="M414" s="72">
        <f t="shared" si="226"/>
        <v>0.9326760627254016</v>
      </c>
      <c r="N414" s="72">
        <f t="shared" si="227"/>
        <v>0.97375505012299612</v>
      </c>
      <c r="O414" s="72">
        <f t="shared" si="228"/>
        <v>0.8615978464175672</v>
      </c>
      <c r="P414" s="72">
        <f t="shared" si="229"/>
        <v>0.96267529163564158</v>
      </c>
      <c r="Q414" s="72"/>
      <c r="R414" s="72"/>
      <c r="S414" s="72">
        <f t="shared" si="230"/>
        <v>0.51453158997892057</v>
      </c>
      <c r="T414" s="72">
        <f t="shared" si="231"/>
        <v>0.46335971791336439</v>
      </c>
      <c r="U414" s="72">
        <f t="shared" si="232"/>
        <v>0.90310420313242878</v>
      </c>
      <c r="V414" s="72">
        <f t="shared" si="233"/>
        <v>0.52322404405557366</v>
      </c>
      <c r="W414" s="72">
        <f t="shared" si="234"/>
        <v>0.78077551020408165</v>
      </c>
      <c r="X414" s="72">
        <f t="shared" si="235"/>
        <v>0.1828928298599955</v>
      </c>
      <c r="Y414" s="72">
        <f t="shared" si="236"/>
        <v>6.7323937274598386E-2</v>
      </c>
      <c r="Z414" s="72">
        <f t="shared" si="237"/>
        <v>2.6244949877003917E-2</v>
      </c>
      <c r="AA414" s="72">
        <f t="shared" si="238"/>
        <v>0.1384021535824328</v>
      </c>
      <c r="AB414" s="72">
        <f t="shared" si="239"/>
        <v>3.7324708364358417E-2</v>
      </c>
      <c r="AC414" s="72"/>
      <c r="AD414" s="72"/>
      <c r="AE414" s="72">
        <f t="shared" si="240"/>
        <v>0.48546841002107943</v>
      </c>
      <c r="AF414" s="72">
        <f t="shared" si="241"/>
        <v>0.53664028208663561</v>
      </c>
      <c r="AG414" s="72">
        <f t="shared" si="242"/>
        <v>9.6895796867571271E-2</v>
      </c>
      <c r="AH414" s="72">
        <f t="shared" si="243"/>
        <v>0.47677595594442634</v>
      </c>
      <c r="AI414" s="72">
        <f t="shared" si="244"/>
        <v>0.21922448979591838</v>
      </c>
      <c r="AJ414" s="72">
        <f>(AV414-Driver!$K$179)/(Driver!$L$179-Driver!$K$179)</f>
        <v>0.43711223914269592</v>
      </c>
      <c r="AK414" s="72">
        <f>(AW414-Driver!$K$180)/(Driver!$L$180-Driver!$K$180)</f>
        <v>0.27938863872282643</v>
      </c>
      <c r="AL414" s="72">
        <f>(AX414-Driver!$K$181)/(Driver!$L$181-Driver!$K$181)</f>
        <v>0.1279327135900841</v>
      </c>
      <c r="AM414" s="72">
        <f>(AY414-Driver!$K$182)/(Driver!$L$182-Driver!$K$182)</f>
        <v>0.30898286751461357</v>
      </c>
      <c r="AN414" s="72">
        <f>(AZ414-Driver!$K$183)/(Driver!$L$183-Driver!$K$183)</f>
        <v>0.29154411764705884</v>
      </c>
      <c r="AO414" s="72"/>
      <c r="AP414" s="72"/>
      <c r="AQ414" s="72">
        <f>(BC414-Driver!$K$188)/(Driver!$L$188-Driver!$K$188)</f>
        <v>0.13453158997892059</v>
      </c>
      <c r="AR414" s="72">
        <f>MIN((BD414-Driver!$K$189)/(Driver!$L$189-Driver!$K$189),100%)</f>
        <v>1.3359717913364452E-2</v>
      </c>
      <c r="AS414" s="72">
        <f>(BE414-Driver!$K$190)/(Driver!$L$190-Driver!$K$190)</f>
        <v>0.41310420313242874</v>
      </c>
      <c r="AT414" s="72">
        <f>(BF414-Driver!$K$191)/(Driver!$L$191-Driver!$K$191)</f>
        <v>3.3224044055573644E-2</v>
      </c>
      <c r="AU414" s="72">
        <f>(BG414-Driver!$K$192)/(Driver!$L$192-Driver!$K$192)</f>
        <v>3.0775510204081629E-2</v>
      </c>
      <c r="AV414" s="70">
        <f t="shared" si="245"/>
        <v>9.1999050332383661</v>
      </c>
      <c r="AW414" s="70">
        <f t="shared" si="246"/>
        <v>29.100791100179141</v>
      </c>
      <c r="AX414" s="70">
        <f t="shared" si="247"/>
        <v>2.1513944223107568</v>
      </c>
      <c r="AY414" s="70">
        <f>IFERROR(Driver!$K$19/Data!BH414/Data!BI414*Data!BK414*Data!BL414,"")</f>
        <v>0.37828722142757798</v>
      </c>
      <c r="AZ414" s="70">
        <f t="shared" si="248"/>
        <v>26.571109456440805</v>
      </c>
      <c r="BA414" s="70"/>
      <c r="BB414" s="70"/>
      <c r="BC414" s="70">
        <f t="shared" si="249"/>
        <v>69.782470970506566</v>
      </c>
      <c r="BD414" s="70">
        <f t="shared" si="250"/>
        <v>2.9031342474110855</v>
      </c>
      <c r="BE414" s="70">
        <f t="shared" si="251"/>
        <v>0.41320889873679634</v>
      </c>
      <c r="BF414" s="70">
        <f t="shared" si="252"/>
        <v>3.7524223639573475</v>
      </c>
      <c r="BG414" s="70">
        <f t="shared" si="253"/>
        <v>0.11653571428571428</v>
      </c>
      <c r="BH414" s="67">
        <f>MAX((CE414-Driver!$F$200)/(Driver!$G$200-Driver!$F$200)*$BI$1,1)</f>
        <v>2.1513944223107568</v>
      </c>
      <c r="BI414" s="67">
        <f>MAX($BI$1*(BY414-Driver!$F$201)/(Driver!$G$201-Driver!$F$201),1)</f>
        <v>7.4050632911392409</v>
      </c>
      <c r="BJ414" s="67">
        <f>(CB414-Driver!$F$206)/(Driver!$G$206-Driver!$F$206)*$BI$1</f>
        <v>4.92063492063492</v>
      </c>
      <c r="BK414" s="67">
        <f>(CD414-Driver!$F$203)/(Driver!$G$203-Driver!$F$203)*$BI$1</f>
        <v>5.8256880733944971</v>
      </c>
      <c r="BL414" s="67">
        <f>MAX((CR414-Driver!$F$202)/(Driver!$G$202-Driver!$F$202)*$BI$1,1)</f>
        <v>5.1724137931034484</v>
      </c>
      <c r="BM414" s="67">
        <f>MAX((CH414-Driver!$F$204)/(Driver!$G$204-Driver!$F$204)*$BI$1,1)</f>
        <v>7.4786324786324787</v>
      </c>
      <c r="BN414" s="67">
        <f>(CI414-Driver!$F$205)/(Driver!$G$205-Driver!$F$205)*$BI$1</f>
        <v>3.5882352941176472</v>
      </c>
      <c r="BO414" s="67">
        <f>(CK414-Driver!$F$207)/(Driver!$G$207-Driver!$F$207)*$BI$1</f>
        <v>2.2337125129265769</v>
      </c>
      <c r="BP414" s="67">
        <f>(CM414-Driver!$F$208)/(Driver!$G$208-Driver!$F$208)*$BI$1</f>
        <v>1.9888888888888889</v>
      </c>
      <c r="BQ414" s="67">
        <f>(CL414-Driver!$F$209)/(Driver!$G$209-Driver!$F$209)*$BI$1</f>
        <v>1.875</v>
      </c>
      <c r="BR414" s="28" t="s">
        <v>155</v>
      </c>
      <c r="BS414" s="8" t="s">
        <v>329</v>
      </c>
      <c r="BT414" s="9" t="s">
        <v>548</v>
      </c>
      <c r="BU414" s="10">
        <v>178</v>
      </c>
      <c r="BV414" s="9" t="s">
        <v>158</v>
      </c>
      <c r="BW414" s="10">
        <v>178</v>
      </c>
      <c r="BX414" s="10">
        <v>175.9</v>
      </c>
      <c r="BY414" s="10">
        <v>125</v>
      </c>
      <c r="BZ414" s="10">
        <v>152</v>
      </c>
      <c r="CA414" s="10">
        <v>127</v>
      </c>
      <c r="CB414" s="10">
        <v>95</v>
      </c>
      <c r="CC414" s="10">
        <v>115</v>
      </c>
      <c r="CD414" s="10">
        <v>22.1</v>
      </c>
      <c r="CE414" s="10">
        <v>1278</v>
      </c>
      <c r="CF414" s="10">
        <v>1.43</v>
      </c>
      <c r="CG414" s="10">
        <v>1825</v>
      </c>
      <c r="CH414" s="10">
        <v>276</v>
      </c>
      <c r="CI414" s="10">
        <v>94</v>
      </c>
      <c r="CJ414" s="10">
        <v>50</v>
      </c>
      <c r="CK414" s="10">
        <v>326</v>
      </c>
      <c r="CL414" s="10">
        <v>12</v>
      </c>
      <c r="CM414" s="10">
        <v>179</v>
      </c>
      <c r="CN414" s="10">
        <v>0.23499999999999999</v>
      </c>
      <c r="CO414" s="10">
        <v>143</v>
      </c>
      <c r="CP414" s="10">
        <v>95</v>
      </c>
      <c r="CQ414" s="10">
        <v>183</v>
      </c>
      <c r="CR414" s="10">
        <v>4</v>
      </c>
      <c r="CS414" s="10">
        <v>12.3</v>
      </c>
      <c r="CT414" s="9" t="s">
        <v>185</v>
      </c>
      <c r="CU414" s="9" t="s">
        <v>198</v>
      </c>
      <c r="CV414" s="10"/>
      <c r="CW414" s="10"/>
      <c r="CX414" t="str">
        <f>INDEX('Data_Price '!AG$2:AG$1266,MATCH(Data!$DN414,'Data_Price '!$AT$2:$AT$1266,0))</f>
        <v>Dynafit Blacklight 95 Combo 178</v>
      </c>
      <c r="CY414" t="str">
        <f>INDEX('Data_Price '!AH$2:AH$1266,MATCH(Data!$DN414,'Data_Price '!$AT$2:$AT$1266,0))</f>
        <v>Cripple Creek Backcountry</v>
      </c>
      <c r="CZ414">
        <f>INDEX('Data_Price '!AI$2:AI$1266,MATCH(Data!$DN414,'Data_Price '!$AT$2:$AT$1266,0))</f>
        <v>1049.95</v>
      </c>
      <c r="DA414" t="str">
        <f>INDEX('Data_Price '!AJ$2:AJ$1266,MATCH(Data!$DN414,'Data_Price '!$AT$2:$AT$1266,0))</f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B414" t="str">
        <f>INDEX('Data_Price '!AK$2:AK$1266,MATCH(Data!$DN414,'Data_Price '!$AT$2:$AT$1266,0))</f>
        <v>Dynafit Blacklight 95 Ski Set - Black Magnet - 178cm</v>
      </c>
      <c r="DC414" t="str">
        <f>INDEX('Data_Price '!AL$2:AL$1266,MATCH(Data!$DN414,'Data_Price '!$AT$2:$AT$1266,0))</f>
        <v>Outdoor Gear Exchange</v>
      </c>
      <c r="DD414">
        <f>INDEX('Data_Price '!AM$2:AM$1266,MATCH(Data!$DN414,'Data_Price '!$AT$2:$AT$1266,0))</f>
        <v>1199.95</v>
      </c>
      <c r="DE414" t="str">
        <f>INDEX('Data_Price '!AN$2:AN$1266,MATCH(Data!$DN414,'Data_Price '!$AT$2:$AT$1266,0))</f>
        <v>https://tinyurl.com/ycuzj7f9</v>
      </c>
      <c r="DF414" t="str">
        <f>INDEX('Data_Price '!AO$2:AO$1266,MATCH(Data!$DN414,'Data_Price '!$AT$2:$AT$1266,0))</f>
        <v>Dynafit Blacklight 95 Ski Set - Black Magnet - 178cm</v>
      </c>
      <c r="DG414" t="str">
        <f>INDEX('Data_Price '!AP$2:AP$1266,MATCH(Data!$DN414,'Data_Price '!$AT$2:$AT$1266,0))</f>
        <v>REI</v>
      </c>
      <c r="DH414">
        <f>INDEX('Data_Price '!AQ$2:AQ$1266,MATCH(Data!$DN414,'Data_Price '!$AT$2:$AT$1266,0))</f>
        <v>1199.95</v>
      </c>
      <c r="DI414" t="str">
        <f>INDEX('Data_Price '!AR$2:AR$1266,MATCH(Data!$DN414,'Data_Price '!$AT$2:$AT$1266,0))</f>
        <v>https://tinyurl.com/y7k7f8lw</v>
      </c>
      <c r="DJ414" s="89" t="str">
        <f t="shared" si="254"/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K414" s="89" t="str">
        <f t="shared" si="255"/>
        <v>https://tinyurl.com/ycuzj7f9</v>
      </c>
      <c r="DL414" s="89" t="str">
        <f t="shared" si="256"/>
        <v>https://tinyurl.com/y7k7f8lw</v>
      </c>
      <c r="DM414" s="219" t="str">
        <f t="shared" si="257"/>
        <v>Blacklight 95</v>
      </c>
      <c r="DN414" s="89" t="str">
        <f t="shared" si="258"/>
        <v xml:space="preserve"> DynafitBlacklight 95178 Unisex</v>
      </c>
      <c r="DO414" s="221" t="s">
        <v>549</v>
      </c>
    </row>
    <row r="415" spans="2:119" ht="15.6" customHeight="1">
      <c r="B415" s="219" t="b">
        <f t="array" ref="B415">IF(OR(ISERROR(K415:P415)),FALSE,TRUE)</f>
        <v>1</v>
      </c>
      <c r="C415" s="43" t="b">
        <f>OR(BR415=Driver!$G$50,Data!BR147=Driver!$H$50)</f>
        <v>1</v>
      </c>
      <c r="D415" s="43" t="b">
        <f>OR(BV415=Driver!$G$51,BV415=Driver!$H$51)</f>
        <v>0</v>
      </c>
      <c r="E415" s="43" t="b">
        <f>AND(BX415&gt;Driver!$F$54,BX415&lt;Driver!$G$54)</f>
        <v>1</v>
      </c>
      <c r="F415" s="43" t="b">
        <f>CL415&gt;Driver!$F$56</f>
        <v>1</v>
      </c>
      <c r="G415" s="43" t="b">
        <f>AND(CB415&gt;Driver!$F$55,CB415&lt;Driver!$G$55)</f>
        <v>0</v>
      </c>
      <c r="H415" s="43" t="b">
        <f t="shared" si="222"/>
        <v>0</v>
      </c>
      <c r="I415" s="43">
        <f t="shared" si="223"/>
        <v>0</v>
      </c>
      <c r="J415" s="43" t="b">
        <f t="array" ref="J415">NOT(OR(($H$9:$H$1273=TRUE)*($I$9:$I$1273&gt;0)*($BT$9:$BT$1273=BT415)*($K$9:$K$1273&gt;K415)))</f>
        <v>1</v>
      </c>
      <c r="K415" s="72">
        <f t="shared" si="224"/>
        <v>0.77960942938172761</v>
      </c>
      <c r="L415" s="72">
        <f t="shared" si="225"/>
        <v>0.7857451382960603</v>
      </c>
      <c r="M415" s="72">
        <f t="shared" si="226"/>
        <v>0.77347372046739482</v>
      </c>
      <c r="N415" s="72">
        <f t="shared" si="227"/>
        <v>0.67716363799373536</v>
      </c>
      <c r="O415" s="72">
        <f t="shared" si="228"/>
        <v>0.64835183961594489</v>
      </c>
      <c r="P415" s="72">
        <f t="shared" si="229"/>
        <v>0.99490568379250433</v>
      </c>
      <c r="Q415" s="72"/>
      <c r="R415" s="72"/>
      <c r="S415" s="72">
        <f t="shared" si="230"/>
        <v>0.49128301388404394</v>
      </c>
      <c r="T415" s="72">
        <f t="shared" si="231"/>
        <v>0.80079590151982383</v>
      </c>
      <c r="U415" s="72">
        <f t="shared" si="232"/>
        <v>0.51</v>
      </c>
      <c r="V415" s="72">
        <f t="shared" si="233"/>
        <v>0.49048534103767882</v>
      </c>
      <c r="W415" s="72">
        <f t="shared" si="234"/>
        <v>0.75969170126061625</v>
      </c>
      <c r="X415" s="72">
        <f t="shared" si="235"/>
        <v>0.21425486170393965</v>
      </c>
      <c r="Y415" s="72">
        <f t="shared" si="236"/>
        <v>0.22652627953260515</v>
      </c>
      <c r="Z415" s="72">
        <f t="shared" si="237"/>
        <v>0.32283636200626464</v>
      </c>
      <c r="AA415" s="72">
        <f t="shared" si="238"/>
        <v>0.35164816038405511</v>
      </c>
      <c r="AB415" s="72">
        <f t="shared" si="239"/>
        <v>5.0943162074956194E-3</v>
      </c>
      <c r="AC415" s="72"/>
      <c r="AD415" s="72"/>
      <c r="AE415" s="72">
        <f t="shared" si="240"/>
        <v>0.50871698611595606</v>
      </c>
      <c r="AF415" s="72">
        <f t="shared" si="241"/>
        <v>0.19920409848017612</v>
      </c>
      <c r="AG415" s="72">
        <f t="shared" si="242"/>
        <v>0.49</v>
      </c>
      <c r="AH415" s="72">
        <f t="shared" si="243"/>
        <v>0.50951465896232118</v>
      </c>
      <c r="AI415" s="72">
        <f t="shared" si="244"/>
        <v>0.24030829873938378</v>
      </c>
      <c r="AJ415" s="72">
        <f>(AV415-Driver!$K$179)/(Driver!$L$179-Driver!$K$179)</f>
        <v>3.9964547578760772E-2</v>
      </c>
      <c r="AK415" s="72">
        <f>(AW415-Driver!$K$180)/(Driver!$L$180-Driver!$K$180)</f>
        <v>0.27395857841705001</v>
      </c>
      <c r="AL415" s="72">
        <f>(AX415-Driver!$K$181)/(Driver!$L$181-Driver!$K$181)</f>
        <v>0.42452412571934484</v>
      </c>
      <c r="AM415" s="72">
        <f>(AY415-Driver!$K$182)/(Driver!$L$182-Driver!$K$182)</f>
        <v>9.573686071299127E-2</v>
      </c>
      <c r="AN415" s="72">
        <f>(AZ415-Driver!$K$183)/(Driver!$L$183-Driver!$K$183)</f>
        <v>0.25931372549019605</v>
      </c>
      <c r="AO415" s="72"/>
      <c r="AP415" s="72"/>
      <c r="AQ415" s="72">
        <f>(BC415-Driver!$K$188)/(Driver!$L$188-Driver!$K$188)</f>
        <v>0.11128301388404396</v>
      </c>
      <c r="AR415" s="72">
        <f>MIN((BD415-Driver!$K$189)/(Driver!$L$189-Driver!$K$189),100%)</f>
        <v>0.35079590151982393</v>
      </c>
      <c r="AS415" s="72">
        <f>(BE415-Driver!$K$190)/(Driver!$L$190-Driver!$K$190)</f>
        <v>1</v>
      </c>
      <c r="AT415" s="72">
        <f>(BF415-Driver!$K$191)/(Driver!$L$191-Driver!$K$191)</f>
        <v>4.8534103767888565E-4</v>
      </c>
      <c r="AU415" s="72">
        <f>(BG415-Driver!$K$192)/(Driver!$L$192-Driver!$K$192)</f>
        <v>9.6917012606162166E-3</v>
      </c>
      <c r="AV415" s="70">
        <f t="shared" si="245"/>
        <v>0.84113417446750771</v>
      </c>
      <c r="AW415" s="70">
        <f t="shared" si="246"/>
        <v>28.571583608152231</v>
      </c>
      <c r="AX415" s="70">
        <f t="shared" si="247"/>
        <v>4.8207171314741037</v>
      </c>
      <c r="AY415" s="70">
        <f>IFERROR(Driver!$K$19/Data!BH415/Data!BI415*Data!BK415*Data!BL415,"")</f>
        <v>0.11721048263494305</v>
      </c>
      <c r="AZ415" s="70">
        <f t="shared" si="248"/>
        <v>23.633655994043185</v>
      </c>
      <c r="BA415" s="70"/>
      <c r="BB415" s="70"/>
      <c r="BC415" s="70">
        <f t="shared" si="249"/>
        <v>57.723272928615124</v>
      </c>
      <c r="BD415" s="70">
        <f t="shared" si="250"/>
        <v>32.765638595045097</v>
      </c>
      <c r="BE415" s="70">
        <f t="shared" si="251"/>
        <v>1</v>
      </c>
      <c r="BF415" s="70">
        <f t="shared" si="252"/>
        <v>5.4815860492064092E-2</v>
      </c>
      <c r="BG415" s="70">
        <f t="shared" si="253"/>
        <v>3.669896360970408E-2</v>
      </c>
      <c r="BH415" s="67">
        <f>MAX((CE415-Driver!$F$200)/(Driver!$G$200-Driver!$F$200)*$BI$1,1)</f>
        <v>4.8207171314741037</v>
      </c>
      <c r="BI415" s="67">
        <f>MAX($BI$1*(BY415-Driver!$F$201)/(Driver!$G$201-Driver!$F$201),1)</f>
        <v>8.7341772151898738</v>
      </c>
      <c r="BJ415" s="67">
        <f>(CB415-Driver!$F$206)/(Driver!$G$206-Driver!$F$206)*$BI$1</f>
        <v>1.2698412698412698</v>
      </c>
      <c r="BK415" s="67">
        <f>(CD415-Driver!$F$203)/(Driver!$G$203-Driver!$F$203)*$BI$1</f>
        <v>2.7522935779816518</v>
      </c>
      <c r="BL415" s="67">
        <f>MAX((CR415-Driver!$F$202)/(Driver!$G$202-Driver!$F$202)*$BI$1,1)</f>
        <v>8.9655172413793096</v>
      </c>
      <c r="BM415" s="67">
        <f>MAX((CH415-Driver!$F$204)/(Driver!$G$204-Driver!$F$204)*$BI$1,1)</f>
        <v>2.6495726495726495</v>
      </c>
      <c r="BN415" s="67">
        <f>(CI415-Driver!$F$205)/(Driver!$G$205-Driver!$F$205)*$BI$1</f>
        <v>2.7058823529411762</v>
      </c>
      <c r="BO415" s="67">
        <f>(CK415-Driver!$F$207)/(Driver!$G$207-Driver!$F$207)*$BI$1</f>
        <v>0.22750775594622544</v>
      </c>
      <c r="BP415" s="67">
        <f>(CM415-Driver!$F$208)/(Driver!$G$208-Driver!$F$208)*$BI$1</f>
        <v>0.52222222222222225</v>
      </c>
      <c r="BQ415" s="67">
        <f>(CL415-Driver!$F$209)/(Driver!$G$209-Driver!$F$209)*$BI$1</f>
        <v>0.46875</v>
      </c>
      <c r="BR415" s="28" t="s">
        <v>155</v>
      </c>
      <c r="BS415" s="8" t="s">
        <v>156</v>
      </c>
      <c r="BT415" s="9" t="s">
        <v>587</v>
      </c>
      <c r="BU415" s="10">
        <v>164</v>
      </c>
      <c r="BV415" s="9" t="s">
        <v>163</v>
      </c>
      <c r="BW415" s="10">
        <v>164</v>
      </c>
      <c r="BX415" s="10">
        <v>163.5</v>
      </c>
      <c r="BY415" s="10">
        <v>146</v>
      </c>
      <c r="BZ415" s="10">
        <v>148</v>
      </c>
      <c r="CA415" s="10">
        <v>114</v>
      </c>
      <c r="CB415" s="10">
        <v>72</v>
      </c>
      <c r="CC415" s="10">
        <v>101</v>
      </c>
      <c r="CD415" s="10">
        <v>15.4</v>
      </c>
      <c r="CE415" s="10">
        <v>1747</v>
      </c>
      <c r="CF415" s="10">
        <v>0.8</v>
      </c>
      <c r="CG415" s="10">
        <v>1399</v>
      </c>
      <c r="CH415" s="10">
        <v>163</v>
      </c>
      <c r="CI415" s="10">
        <v>79</v>
      </c>
      <c r="CJ415" s="10">
        <v>30</v>
      </c>
      <c r="CK415" s="10">
        <v>132</v>
      </c>
      <c r="CL415" s="10">
        <v>3</v>
      </c>
      <c r="CM415" s="10">
        <v>47</v>
      </c>
      <c r="CN415" s="10">
        <v>0.111</v>
      </c>
      <c r="CO415" s="10">
        <v>93</v>
      </c>
      <c r="CP415" s="10">
        <v>57</v>
      </c>
      <c r="CQ415" s="10">
        <v>39</v>
      </c>
      <c r="CR415" s="10">
        <v>15</v>
      </c>
      <c r="CS415" s="10">
        <v>12.5</v>
      </c>
      <c r="CT415" s="9" t="s">
        <v>349</v>
      </c>
      <c r="CU415" s="10"/>
      <c r="CV415" s="10"/>
      <c r="CW415" s="10"/>
      <c r="CX415" t="str">
        <f>INDEX('Data_Price '!AG$2:AG$1266,MATCH(Data!$DN415,'Data_Price '!$AT$2:$AT$1266,0))</f>
        <v>Atomic Cloud 9 Skis + M 10 GW Bindings Â· Women's Â· 2021 Â· 164 cm</v>
      </c>
      <c r="CY415" t="str">
        <f>INDEX('Data_Price '!AH$2:AH$1266,MATCH(Data!$DN415,'Data_Price '!$AT$2:$AT$1266,0))</f>
        <v>Level Nine Sports</v>
      </c>
      <c r="CZ415">
        <f>INDEX('Data_Price '!AI$2:AI$1266,MATCH(Data!$DN415,'Data_Price '!$AT$2:$AT$1266,0))</f>
        <v>599.99</v>
      </c>
      <c r="DA415" t="str">
        <f>INDEX('Data_Price '!AJ$2:AJ$1266,MATCH(Data!$DN415,'Data_Price '!$AT$2:$AT$1266,0))</f>
        <v>https://tinyurl.com/y9hnwhzq</v>
      </c>
      <c r="DB415" t="str">
        <f>INDEX('Data_Price '!AK$2:AK$1266,MATCH(Data!$DN415,'Data_Price '!$AT$2:$AT$1266,0))</f>
        <v>Atomic Maven 93 C</v>
      </c>
      <c r="DC415" t="str">
        <f>INDEX('Data_Price '!AL$2:AL$1266,MATCH(Data!$DN415,'Data_Price '!$AT$2:$AT$1266,0))</f>
        <v>Gorham Bike and Ski</v>
      </c>
      <c r="DD415">
        <f>INDEX('Data_Price '!AM$2:AM$1266,MATCH(Data!$DN415,'Data_Price '!$AT$2:$AT$1266,0))</f>
        <v>454.99</v>
      </c>
      <c r="DE415" t="str">
        <f>INDEX('Data_Price '!AN$2:AN$1266,MATCH(Data!$DN415,'Data_Price '!$AT$2:$AT$1266,0))</f>
        <v>https://tinyurl.com/ybvy5ugg</v>
      </c>
      <c r="DF415" t="str">
        <f>INDEX('Data_Price '!AO$2:AO$1266,MATCH(Data!$DN415,'Data_Price '!$AT$2:$AT$1266,0))</f>
        <v>Atomic Maven 93 C</v>
      </c>
      <c r="DG415" t="str">
        <f>INDEX('Data_Price '!AP$2:AP$1266,MATCH(Data!$DN415,'Data_Price '!$AT$2:$AT$1266,0))</f>
        <v>SkiEssentials.com</v>
      </c>
      <c r="DH415">
        <f>INDEX('Data_Price '!AQ$2:AQ$1266,MATCH(Data!$DN415,'Data_Price '!$AT$2:$AT$1266,0))</f>
        <v>519.99</v>
      </c>
      <c r="DI415" t="str">
        <f>INDEX('Data_Price '!AR$2:AR$1266,MATCH(Data!$DN415,'Data_Price '!$AT$2:$AT$1266,0))</f>
        <v>https://tinyurl.com/y98ntlwk</v>
      </c>
      <c r="DJ415" s="89" t="str">
        <f t="shared" si="254"/>
        <v>https://tinyurl.com/y9hnwhzq</v>
      </c>
      <c r="DK415" s="89" t="str">
        <f t="shared" si="255"/>
        <v>https://tinyurl.com/ybvy5ugg</v>
      </c>
      <c r="DL415" s="89" t="str">
        <f t="shared" si="256"/>
        <v>https://tinyurl.com/y98ntlwk</v>
      </c>
      <c r="DM415" s="219" t="str">
        <f t="shared" si="257"/>
        <v>Cloud C9</v>
      </c>
      <c r="DN415" s="89" t="str">
        <f t="shared" si="258"/>
        <v xml:space="preserve"> AtomicCloud C9164 Women's</v>
      </c>
      <c r="DO415" s="221" t="s">
        <v>588</v>
      </c>
    </row>
    <row r="416" spans="2:119" ht="15.6" customHeight="1">
      <c r="B416" s="219" t="b">
        <f t="array" ref="B416">IF(OR(ISERROR(K416:P416)),FALSE,TRUE)</f>
        <v>1</v>
      </c>
      <c r="C416" s="43" t="b">
        <f>OR(BR416=Driver!$G$50,Data!BR579=Driver!$H$50)</f>
        <v>1</v>
      </c>
      <c r="D416" s="43" t="b">
        <f>OR(BV416=Driver!$G$51,BV416=Driver!$H$51)</f>
        <v>0</v>
      </c>
      <c r="E416" s="43" t="b">
        <f>AND(BX416&gt;Driver!$F$54,BX416&lt;Driver!$G$54)</f>
        <v>0</v>
      </c>
      <c r="F416" s="43" t="b">
        <f>CL416&gt;Driver!$F$56</f>
        <v>1</v>
      </c>
      <c r="G416" s="43" t="b">
        <f>AND(CB416&gt;Driver!$F$55,CB416&lt;Driver!$G$55)</f>
        <v>0</v>
      </c>
      <c r="H416" s="43" t="b">
        <f t="shared" si="222"/>
        <v>0</v>
      </c>
      <c r="I416" s="43">
        <f t="shared" si="223"/>
        <v>0</v>
      </c>
      <c r="J416" s="43" t="b">
        <f t="array" ref="J416">NOT(OR(($H$9:$H$1273=TRUE)*($I$9:$I$1273&gt;0)*($BT$9:$BT$1273=BT416)*($K$9:$K$1273&gt;K416)))</f>
        <v>1</v>
      </c>
      <c r="K416" s="72">
        <f t="shared" si="224"/>
        <v>0.81780052493922994</v>
      </c>
      <c r="L416" s="72">
        <f t="shared" si="225"/>
        <v>0.91498532844995606</v>
      </c>
      <c r="M416" s="72">
        <f t="shared" si="226"/>
        <v>0.72061572142850383</v>
      </c>
      <c r="N416" s="72">
        <f t="shared" si="227"/>
        <v>0.67400168264054505</v>
      </c>
      <c r="O416" s="72">
        <f t="shared" si="228"/>
        <v>0.6145084253034423</v>
      </c>
      <c r="P416" s="72">
        <f t="shared" si="229"/>
        <v>0.87333705634152392</v>
      </c>
      <c r="Q416" s="72"/>
      <c r="R416" s="72"/>
      <c r="S416" s="72">
        <f t="shared" si="230"/>
        <v>0.4585937734775869</v>
      </c>
      <c r="T416" s="72">
        <f t="shared" si="231"/>
        <v>0.54745286673936644</v>
      </c>
      <c r="U416" s="72">
        <f t="shared" si="232"/>
        <v>0.6116655862987721</v>
      </c>
      <c r="V416" s="72">
        <f t="shared" si="233"/>
        <v>0.56144270878337221</v>
      </c>
      <c r="W416" s="72">
        <f t="shared" si="234"/>
        <v>0.78792756539235409</v>
      </c>
      <c r="X416" s="72">
        <f t="shared" si="235"/>
        <v>8.5014671550043941E-2</v>
      </c>
      <c r="Y416" s="72">
        <f t="shared" si="236"/>
        <v>0.27938427857149623</v>
      </c>
      <c r="Z416" s="72">
        <f t="shared" si="237"/>
        <v>0.325998317359455</v>
      </c>
      <c r="AA416" s="72">
        <f t="shared" si="238"/>
        <v>0.3854915746965577</v>
      </c>
      <c r="AB416" s="72">
        <f t="shared" si="239"/>
        <v>0.12666294365847602</v>
      </c>
      <c r="AC416" s="72"/>
      <c r="AD416" s="72"/>
      <c r="AE416" s="72">
        <f t="shared" si="240"/>
        <v>0.5414062265224131</v>
      </c>
      <c r="AF416" s="72">
        <f t="shared" si="241"/>
        <v>0.45254713326063356</v>
      </c>
      <c r="AG416" s="72">
        <f t="shared" si="242"/>
        <v>0.3883344137012279</v>
      </c>
      <c r="AH416" s="72">
        <f t="shared" si="243"/>
        <v>0.43855729121662779</v>
      </c>
      <c r="AI416" s="72">
        <f t="shared" si="244"/>
        <v>0.21207243460764588</v>
      </c>
      <c r="AJ416" s="72">
        <f>(AV416-Driver!$K$179)/(Driver!$L$179-Driver!$K$179)</f>
        <v>0.16920473773265648</v>
      </c>
      <c r="AK416" s="72">
        <f>(AW416-Driver!$K$180)/(Driver!$L$180-Driver!$K$180)</f>
        <v>0.38751106029588994</v>
      </c>
      <c r="AL416" s="72">
        <f>(AX416-Driver!$K$181)/(Driver!$L$181-Driver!$K$181)</f>
        <v>0.4276860810725352</v>
      </c>
      <c r="AM416" s="72">
        <f>(AY416-Driver!$K$182)/(Driver!$L$182-Driver!$K$182)</f>
        <v>6.1893446400488647E-2</v>
      </c>
      <c r="AN416" s="72">
        <f>(AZ416-Driver!$K$183)/(Driver!$L$183-Driver!$K$183)</f>
        <v>0.38088235294117645</v>
      </c>
      <c r="AO416" s="72"/>
      <c r="AP416" s="72"/>
      <c r="AQ416" s="72">
        <f>(BC416-Driver!$K$188)/(Driver!$L$188-Driver!$K$188)</f>
        <v>7.8593773477586837E-2</v>
      </c>
      <c r="AR416" s="72">
        <f>MIN((BD416-Driver!$K$189)/(Driver!$L$189-Driver!$K$189),100%)</f>
        <v>9.745286673936647E-2</v>
      </c>
      <c r="AS416" s="72">
        <f>(BE416-Driver!$K$190)/(Driver!$L$190-Driver!$K$190)</f>
        <v>0.1216655862987721</v>
      </c>
      <c r="AT416" s="72">
        <f>(BF416-Driver!$K$191)/(Driver!$L$191-Driver!$K$191)</f>
        <v>7.1442708783372236E-2</v>
      </c>
      <c r="AU416" s="72">
        <f>(BG416-Driver!$K$192)/(Driver!$L$192-Driver!$K$192)</f>
        <v>3.7927565392354125E-2</v>
      </c>
      <c r="AV416" s="70">
        <f t="shared" si="245"/>
        <v>3.5612535612535612</v>
      </c>
      <c r="AW416" s="70">
        <f t="shared" si="246"/>
        <v>39.638279144591451</v>
      </c>
      <c r="AX416" s="70">
        <f t="shared" si="247"/>
        <v>4.8491747296528169</v>
      </c>
      <c r="AY416" s="70">
        <f>IFERROR(Driver!$K$19/Data!BH416/Data!BI416*Data!BK416*Data!BL416,"")</f>
        <v>7.5776045616219229E-2</v>
      </c>
      <c r="AZ416" s="70">
        <f t="shared" si="248"/>
        <v>34.713328369322412</v>
      </c>
      <c r="BA416" s="70"/>
      <c r="BB416" s="70"/>
      <c r="BC416" s="70">
        <f t="shared" si="249"/>
        <v>40.767136677873346</v>
      </c>
      <c r="BD416" s="70">
        <f t="shared" si="250"/>
        <v>10.345228914269589</v>
      </c>
      <c r="BE416" s="70">
        <f t="shared" si="251"/>
        <v>0.12182227127210148</v>
      </c>
      <c r="BF416" s="70">
        <f t="shared" si="252"/>
        <v>8.0689520436463695</v>
      </c>
      <c r="BG416" s="70">
        <f t="shared" si="253"/>
        <v>0.1436179577464789</v>
      </c>
      <c r="BH416" s="67">
        <f>MAX((CE416-Driver!$F$200)/(Driver!$G$200-Driver!$F$200)*$BI$1,1)</f>
        <v>4.8491747296528169</v>
      </c>
      <c r="BI416" s="67">
        <f>MAX($BI$1*(BY416-Driver!$F$201)/(Driver!$G$201-Driver!$F$201),1)</f>
        <v>7.0253164556962027</v>
      </c>
      <c r="BJ416" s="67">
        <f>(CB416-Driver!$F$206)/(Driver!$G$206-Driver!$F$206)*$BI$1</f>
        <v>3.9682539682539679</v>
      </c>
      <c r="BK416" s="67">
        <f>(CD416-Driver!$F$203)/(Driver!$G$203-Driver!$F$203)*$BI$1</f>
        <v>2.3394495412844036</v>
      </c>
      <c r="BL416" s="67">
        <f>MAX((CR416-Driver!$F$202)/(Driver!$G$202-Driver!$F$202)*$BI$1,1)</f>
        <v>5.5172413793103452</v>
      </c>
      <c r="BM416" s="67">
        <f>MAX((CH416-Driver!$F$204)/(Driver!$G$204-Driver!$F$204)*$BI$1,1)</f>
        <v>3.5897435897435899</v>
      </c>
      <c r="BN416" s="67">
        <f>(CI416-Driver!$F$205)/(Driver!$G$205-Driver!$F$205)*$BI$1</f>
        <v>4.9411764705882355</v>
      </c>
      <c r="BO416" s="67">
        <f>(CK416-Driver!$F$207)/(Driver!$G$207-Driver!$F$207)*$BI$1</f>
        <v>2.0682523267838677</v>
      </c>
      <c r="BP416" s="67">
        <f>(CM416-Driver!$F$208)/(Driver!$G$208-Driver!$F$208)*$BI$1</f>
        <v>2.3000000000000003</v>
      </c>
      <c r="BQ416" s="67">
        <f>(CL416-Driver!$F$209)/(Driver!$G$209-Driver!$F$209)*$BI$1</f>
        <v>2.5</v>
      </c>
      <c r="BR416" s="28" t="s">
        <v>155</v>
      </c>
      <c r="BS416" s="8" t="s">
        <v>245</v>
      </c>
      <c r="BT416" s="9" t="s">
        <v>291</v>
      </c>
      <c r="BU416" s="10">
        <v>171</v>
      </c>
      <c r="BV416" s="9" t="s">
        <v>163</v>
      </c>
      <c r="BW416" s="10">
        <v>171</v>
      </c>
      <c r="BX416" s="10">
        <v>170.6</v>
      </c>
      <c r="BY416" s="10">
        <v>119</v>
      </c>
      <c r="BZ416" s="10">
        <v>145</v>
      </c>
      <c r="CA416" s="10">
        <v>124</v>
      </c>
      <c r="CB416" s="10">
        <v>89</v>
      </c>
      <c r="CC416" s="10">
        <v>115</v>
      </c>
      <c r="CD416" s="10">
        <v>14.5</v>
      </c>
      <c r="CE416" s="10">
        <v>1752</v>
      </c>
      <c r="CF416" s="10">
        <v>1</v>
      </c>
      <c r="CG416" s="10">
        <v>1748</v>
      </c>
      <c r="CH416" s="10">
        <v>185</v>
      </c>
      <c r="CI416" s="10">
        <v>117</v>
      </c>
      <c r="CJ416" s="10">
        <v>47</v>
      </c>
      <c r="CK416" s="10">
        <v>310</v>
      </c>
      <c r="CL416" s="10">
        <v>16</v>
      </c>
      <c r="CM416" s="10">
        <v>207</v>
      </c>
      <c r="CN416" s="10">
        <v>0.33900000000000002</v>
      </c>
      <c r="CO416" s="10">
        <v>130</v>
      </c>
      <c r="CP416" s="10">
        <v>129</v>
      </c>
      <c r="CQ416" s="10">
        <v>180</v>
      </c>
      <c r="CR416" s="10">
        <v>5</v>
      </c>
      <c r="CS416" s="10">
        <v>9.8000000000000007</v>
      </c>
      <c r="CT416" s="9" t="s">
        <v>188</v>
      </c>
      <c r="CU416" s="10"/>
      <c r="CV416" s="10"/>
      <c r="CW416" s="10"/>
      <c r="CX416" t="str">
        <f>INDEX('Data_Price '!AG$2:AG$1266,MATCH(Data!$DN416,'Data_Price '!$AT$2:$AT$1266,0))</f>
        <v>Fischer Ranger 92 Ti Ski 171</v>
      </c>
      <c r="CY416" t="str">
        <f>INDEX('Data_Price '!AH$2:AH$1266,MATCH(Data!$DN416,'Data_Price '!$AT$2:$AT$1266,0))</f>
        <v>Ski The Whites</v>
      </c>
      <c r="CZ416">
        <f>INDEX('Data_Price '!AI$2:AI$1266,MATCH(Data!$DN416,'Data_Price '!$AT$2:$AT$1266,0))</f>
        <v>649.95000000000005</v>
      </c>
      <c r="DA416" t="str">
        <f>INDEX('Data_Price '!AJ$2:AJ$1266,MATCH(Data!$DN416,'Data_Price '!$AT$2:$AT$1266,0))</f>
        <v>https://tinyurl.com/ycgp7fdm</v>
      </c>
      <c r="DB416" t="str">
        <f>INDEX('Data_Price '!AK$2:AK$1266,MATCH(Data!$DN416,'Data_Price '!$AT$2:$AT$1266,0))</f>
        <v>Fischer 2020 Ranger 92 Ti Skis (171)</v>
      </c>
      <c r="DC416" t="str">
        <f>INDEX('Data_Price '!AL$2:AL$1266,MATCH(Data!$DN416,'Data_Price '!$AT$2:$AT$1266,0))</f>
        <v>REI</v>
      </c>
      <c r="DD416">
        <f>INDEX('Data_Price '!AM$2:AM$1266,MATCH(Data!$DN416,'Data_Price '!$AT$2:$AT$1266,0))</f>
        <v>649.95000000000005</v>
      </c>
      <c r="DE416" t="str">
        <f>INDEX('Data_Price '!AN$2:AN$1266,MATCH(Data!$DN416,'Data_Price '!$AT$2:$AT$1266,0))</f>
        <v>https://tinyurl.com/ya7vjx92</v>
      </c>
      <c r="DF416" t="str">
        <f>INDEX('Data_Price '!AO$2:AO$1266,MATCH(Data!$DN416,'Data_Price '!$AT$2:$AT$1266,0))</f>
        <v>Fischer Ranger 92 Ti Skis 2022 171</v>
      </c>
      <c r="DG416" t="str">
        <f>INDEX('Data_Price '!AP$2:AP$1266,MATCH(Data!$DN416,'Data_Price '!$AT$2:$AT$1266,0))</f>
        <v>fullsendskiandoutdoor.com</v>
      </c>
      <c r="DH416">
        <f>INDEX('Data_Price '!AQ$2:AQ$1266,MATCH(Data!$DN416,'Data_Price '!$AT$2:$AT$1266,0))</f>
        <v>649.99</v>
      </c>
      <c r="DI416" t="str">
        <f>INDEX('Data_Price '!AR$2:AR$1266,MATCH(Data!$DN416,'Data_Price '!$AT$2:$AT$1266,0))</f>
        <v>https://tinyurl.com/ybmwy9nc</v>
      </c>
      <c r="DJ416" s="89" t="str">
        <f t="shared" si="254"/>
        <v>https://tinyurl.com/ycgp7fdm</v>
      </c>
      <c r="DK416" s="89" t="str">
        <f t="shared" si="255"/>
        <v>https://tinyurl.com/ya7vjx92</v>
      </c>
      <c r="DL416" s="89" t="str">
        <f t="shared" si="256"/>
        <v>https://tinyurl.com/ybmwy9nc</v>
      </c>
      <c r="DM416" s="219" t="str">
        <f t="shared" si="257"/>
        <v>Ranger 92 Ti W</v>
      </c>
      <c r="DN416" s="89" t="str">
        <f t="shared" si="258"/>
        <v xml:space="preserve"> FischerRanger 92 Ti W171 Women's</v>
      </c>
      <c r="DO416" s="221"/>
    </row>
    <row r="417" spans="2:119" ht="15.6" customHeight="1">
      <c r="B417" s="219" t="b">
        <f t="array" ref="B417">IF(OR(ISERROR(K417:P417)),FALSE,TRUE)</f>
        <v>1</v>
      </c>
      <c r="C417" s="43" t="b">
        <f>OR(BR417=Driver!$G$50,Data!BR1156=Driver!$H$50)</f>
        <v>1</v>
      </c>
      <c r="D417" s="43" t="b">
        <f>OR(BV417=Driver!$G$51,BV417=Driver!$H$51)</f>
        <v>1</v>
      </c>
      <c r="E417" s="43" t="b">
        <f>AND(BX417&gt;Driver!$F$54,BX417&lt;Driver!$G$54)</f>
        <v>1</v>
      </c>
      <c r="F417" s="43" t="b">
        <f>CL417&gt;Driver!$F$56</f>
        <v>1</v>
      </c>
      <c r="G417" s="43" t="b">
        <f>AND(CB417&gt;Driver!$F$55,CB417&lt;Driver!$G$55)</f>
        <v>1</v>
      </c>
      <c r="H417" s="43" t="b">
        <f t="shared" si="222"/>
        <v>1</v>
      </c>
      <c r="I417" s="43">
        <f t="shared" si="223"/>
        <v>1</v>
      </c>
      <c r="J417" s="43" t="b">
        <f t="array" ref="J417">NOT(OR(($H$9:$H$1273=TRUE)*($I$9:$I$1273&gt;0)*($BT$9:$BT$1273=BT417)*($K$9:$K$1273&gt;K417)))</f>
        <v>1</v>
      </c>
      <c r="K417" s="72">
        <f t="shared" si="224"/>
        <v>0.88911441644285061</v>
      </c>
      <c r="L417" s="72">
        <f t="shared" si="225"/>
        <v>0.99354467096868948</v>
      </c>
      <c r="M417" s="72">
        <f t="shared" si="226"/>
        <v>0.78468416191701162</v>
      </c>
      <c r="N417" s="72">
        <f t="shared" si="227"/>
        <v>0.76633077895370505</v>
      </c>
      <c r="O417" s="72">
        <f t="shared" si="228"/>
        <v>0.64169601804081466</v>
      </c>
      <c r="P417" s="72">
        <f t="shared" si="229"/>
        <v>0.94602568875651527</v>
      </c>
      <c r="Q417" s="72"/>
      <c r="R417" s="72"/>
      <c r="S417" s="72">
        <f t="shared" si="230"/>
        <v>0.41669400166351434</v>
      </c>
      <c r="T417" s="72">
        <f t="shared" si="231"/>
        <v>0.46823211099255846</v>
      </c>
      <c r="U417" s="72">
        <f t="shared" si="232"/>
        <v>0.52717280109301301</v>
      </c>
      <c r="V417" s="72">
        <f t="shared" si="233"/>
        <v>0.70859781540177114</v>
      </c>
      <c r="W417" s="72">
        <f t="shared" si="234"/>
        <v>0.82369121813031154</v>
      </c>
      <c r="X417" s="72">
        <f t="shared" si="235"/>
        <v>6.4553290313105194E-3</v>
      </c>
      <c r="Y417" s="72">
        <f t="shared" si="236"/>
        <v>0.21531583808298835</v>
      </c>
      <c r="Z417" s="72">
        <f t="shared" si="237"/>
        <v>0.23366922104629495</v>
      </c>
      <c r="AA417" s="72">
        <f t="shared" si="238"/>
        <v>0.35830398195918534</v>
      </c>
      <c r="AB417" s="72">
        <f t="shared" si="239"/>
        <v>5.3974311243484757E-2</v>
      </c>
      <c r="AC417" s="72"/>
      <c r="AD417" s="72"/>
      <c r="AE417" s="72">
        <f t="shared" si="240"/>
        <v>0.58330599833648566</v>
      </c>
      <c r="AF417" s="72">
        <f t="shared" si="241"/>
        <v>0.53176788900744154</v>
      </c>
      <c r="AG417" s="72">
        <f t="shared" si="242"/>
        <v>0.47282719890698705</v>
      </c>
      <c r="AH417" s="72">
        <f t="shared" si="243"/>
        <v>0.29140218459822886</v>
      </c>
      <c r="AI417" s="72">
        <f t="shared" si="244"/>
        <v>0.1763087818696884</v>
      </c>
      <c r="AJ417" s="72">
        <f>(AV417-Driver!$K$179)/(Driver!$L$179-Driver!$K$179)</f>
        <v>0.24776408025138991</v>
      </c>
      <c r="AK417" s="72">
        <f>(AW417-Driver!$K$180)/(Driver!$L$180-Driver!$K$180)</f>
        <v>0.21040229665367979</v>
      </c>
      <c r="AL417" s="72">
        <f>(AX417-Driver!$K$181)/(Driver!$L$181-Driver!$K$181)</f>
        <v>0.33535698475937514</v>
      </c>
      <c r="AM417" s="72">
        <f>(AY417-Driver!$K$182)/(Driver!$L$182-Driver!$K$182)</f>
        <v>8.9081039137861029E-2</v>
      </c>
      <c r="AN417" s="72">
        <f>(AZ417-Driver!$K$183)/(Driver!$L$183-Driver!$K$183)</f>
        <v>0.20024509803921567</v>
      </c>
      <c r="AO417" s="72"/>
      <c r="AP417" s="72"/>
      <c r="AQ417" s="72">
        <f>(BC417-Driver!$K$188)/(Driver!$L$188-Driver!$K$188)</f>
        <v>3.6694001663514358E-2</v>
      </c>
      <c r="AR417" s="72">
        <f>MIN((BD417-Driver!$K$189)/(Driver!$L$189-Driver!$K$189),100%)</f>
        <v>1.8232110992558538E-2</v>
      </c>
      <c r="AS417" s="72">
        <f>(BE417-Driver!$K$190)/(Driver!$L$190-Driver!$K$190)</f>
        <v>3.7172801093012971E-2</v>
      </c>
      <c r="AT417" s="72">
        <f>(BF417-Driver!$K$191)/(Driver!$L$191-Driver!$K$191)</f>
        <v>0.21859781540177115</v>
      </c>
      <c r="AU417" s="72">
        <f>(BG417-Driver!$K$192)/(Driver!$L$192-Driver!$K$192)</f>
        <v>7.3691218130311612E-2</v>
      </c>
      <c r="AV417" s="70">
        <f t="shared" si="245"/>
        <v>5.2146927146927151</v>
      </c>
      <c r="AW417" s="70">
        <f t="shared" si="246"/>
        <v>22.377460784365404</v>
      </c>
      <c r="AX417" s="70">
        <f t="shared" si="247"/>
        <v>4.0182128628343765</v>
      </c>
      <c r="AY417" s="70">
        <f>IFERROR(Driver!$K$19/Data!BH417/Data!BI417*Data!BK417*Data!BL417,"")</f>
        <v>0.10906177112149752</v>
      </c>
      <c r="AZ417" s="70">
        <f t="shared" si="248"/>
        <v>18.25018615040953</v>
      </c>
      <c r="BA417" s="70"/>
      <c r="BB417" s="70"/>
      <c r="BC417" s="70">
        <f t="shared" si="249"/>
        <v>19.033433755425946</v>
      </c>
      <c r="BD417" s="70">
        <f t="shared" si="250"/>
        <v>3.334332401550089</v>
      </c>
      <c r="BE417" s="70">
        <f t="shared" si="251"/>
        <v>3.7344558628216243E-2</v>
      </c>
      <c r="BF417" s="70">
        <f t="shared" si="252"/>
        <v>24.689087513060223</v>
      </c>
      <c r="BG417" s="70">
        <f t="shared" si="253"/>
        <v>0.27904196175637397</v>
      </c>
      <c r="BH417" s="67">
        <f>MAX((CE417-Driver!$F$200)/(Driver!$G$200-Driver!$F$200)*$BI$1,1)</f>
        <v>4.0182128628343765</v>
      </c>
      <c r="BI417" s="67">
        <f>MAX($BI$1*(BY417-Driver!$F$201)/(Driver!$G$201-Driver!$F$201),1)</f>
        <v>5.443037974683544</v>
      </c>
      <c r="BJ417" s="67">
        <f>(CB417-Driver!$F$206)/(Driver!$G$206-Driver!$F$206)*$BI$1</f>
        <v>6.5079365079365079</v>
      </c>
      <c r="BK417" s="67">
        <f>(CD417-Driver!$F$203)/(Driver!$G$203-Driver!$F$203)*$BI$1</f>
        <v>2.6605504587155959</v>
      </c>
      <c r="BL417" s="67">
        <f>MAX((CR417-Driver!$F$202)/(Driver!$G$202-Driver!$F$202)*$BI$1,1)</f>
        <v>4.4827586206896548</v>
      </c>
      <c r="BM417" s="67">
        <f>MAX((CH417-Driver!$F$204)/(Driver!$G$204-Driver!$F$204)*$BI$1,1)</f>
        <v>3.2051282051282053</v>
      </c>
      <c r="BN417" s="67">
        <f>(CI417-Driver!$F$205)/(Driver!$G$205-Driver!$F$205)*$BI$1</f>
        <v>3.3529411764705879</v>
      </c>
      <c r="BO417" s="67">
        <f>(CK417-Driver!$F$207)/(Driver!$G$207-Driver!$F$207)*$BI$1</f>
        <v>3.4539813857290591</v>
      </c>
      <c r="BP417" s="67">
        <f>(CM417-Driver!$F$208)/(Driver!$G$208-Driver!$F$208)*$BI$1</f>
        <v>2.9222222222222221</v>
      </c>
      <c r="BQ417" s="67">
        <f>(CL417-Driver!$F$209)/(Driver!$G$209-Driver!$F$209)*$BI$1</f>
        <v>3.59375</v>
      </c>
      <c r="BR417" s="28" t="s">
        <v>155</v>
      </c>
      <c r="BS417" s="8" t="s">
        <v>229</v>
      </c>
      <c r="BT417" s="9" t="s">
        <v>335</v>
      </c>
      <c r="BU417" s="10">
        <v>165</v>
      </c>
      <c r="BV417" s="9" t="s">
        <v>158</v>
      </c>
      <c r="BW417" s="10">
        <v>165</v>
      </c>
      <c r="BX417" s="10">
        <v>164.5</v>
      </c>
      <c r="BY417" s="10">
        <v>94</v>
      </c>
      <c r="BZ417" s="10">
        <v>141</v>
      </c>
      <c r="CA417" s="10">
        <v>144</v>
      </c>
      <c r="CB417" s="10">
        <v>105</v>
      </c>
      <c r="CC417" s="10">
        <v>127</v>
      </c>
      <c r="CD417" s="10">
        <v>15.2</v>
      </c>
      <c r="CE417" s="10">
        <v>1606</v>
      </c>
      <c r="CF417" s="10">
        <v>1.2</v>
      </c>
      <c r="CG417" s="10">
        <v>1927</v>
      </c>
      <c r="CH417" s="10">
        <v>176</v>
      </c>
      <c r="CI417" s="10">
        <v>90</v>
      </c>
      <c r="CJ417" s="10">
        <v>54</v>
      </c>
      <c r="CK417" s="10">
        <v>444</v>
      </c>
      <c r="CL417" s="10">
        <v>23</v>
      </c>
      <c r="CM417" s="10">
        <v>263</v>
      </c>
      <c r="CN417" s="10">
        <v>0.434</v>
      </c>
      <c r="CO417" s="10">
        <v>139</v>
      </c>
      <c r="CP417" s="10">
        <v>99</v>
      </c>
      <c r="CQ417" s="10">
        <v>304</v>
      </c>
      <c r="CR417" s="10">
        <v>2</v>
      </c>
      <c r="CS417" s="10">
        <v>11.5</v>
      </c>
      <c r="CT417" s="9" t="s">
        <v>169</v>
      </c>
      <c r="CU417" s="9" t="s">
        <v>185</v>
      </c>
      <c r="CV417" s="10"/>
      <c r="CW417" s="10"/>
      <c r="CX417" t="e">
        <f>INDEX('Data_Price '!AG$2:AG$1266,MATCH(Data!$DN417,'Data_Price '!$AT$2:$AT$1266,0))</f>
        <v>#N/A</v>
      </c>
      <c r="CY417" t="e">
        <f>INDEX('Data_Price '!AH$2:AH$1266,MATCH(Data!$DN417,'Data_Price '!$AT$2:$AT$1266,0))</f>
        <v>#N/A</v>
      </c>
      <c r="CZ417" t="e">
        <f>INDEX('Data_Price '!AI$2:AI$1266,MATCH(Data!$DN417,'Data_Price '!$AT$2:$AT$1266,0))</f>
        <v>#N/A</v>
      </c>
      <c r="DA417" t="e">
        <f>INDEX('Data_Price '!AJ$2:AJ$1266,MATCH(Data!$DN417,'Data_Price '!$AT$2:$AT$1266,0))</f>
        <v>#N/A</v>
      </c>
      <c r="DB417" t="e">
        <f>INDEX('Data_Price '!AK$2:AK$1266,MATCH(Data!$DN417,'Data_Price '!$AT$2:$AT$1266,0))</f>
        <v>#N/A</v>
      </c>
      <c r="DC417" t="e">
        <f>INDEX('Data_Price '!AL$2:AL$1266,MATCH(Data!$DN417,'Data_Price '!$AT$2:$AT$1266,0))</f>
        <v>#N/A</v>
      </c>
      <c r="DD417" t="e">
        <f>INDEX('Data_Price '!AM$2:AM$1266,MATCH(Data!$DN417,'Data_Price '!$AT$2:$AT$1266,0))</f>
        <v>#N/A</v>
      </c>
      <c r="DE417" t="e">
        <f>INDEX('Data_Price '!AN$2:AN$1266,MATCH(Data!$DN417,'Data_Price '!$AT$2:$AT$1266,0))</f>
        <v>#N/A</v>
      </c>
      <c r="DF417" t="e">
        <f>INDEX('Data_Price '!AO$2:AO$1266,MATCH(Data!$DN417,'Data_Price '!$AT$2:$AT$1266,0))</f>
        <v>#N/A</v>
      </c>
      <c r="DG417" t="e">
        <f>INDEX('Data_Price '!AP$2:AP$1266,MATCH(Data!$DN417,'Data_Price '!$AT$2:$AT$1266,0))</f>
        <v>#N/A</v>
      </c>
      <c r="DH417" t="e">
        <f>INDEX('Data_Price '!AQ$2:AQ$1266,MATCH(Data!$DN417,'Data_Price '!$AT$2:$AT$1266,0))</f>
        <v>#N/A</v>
      </c>
      <c r="DI417" t="e">
        <f>INDEX('Data_Price '!AR$2:AR$1266,MATCH(Data!$DN417,'Data_Price '!$AT$2:$AT$1266,0))</f>
        <v>#N/A</v>
      </c>
      <c r="DJ417" s="89" t="e">
        <f t="shared" si="254"/>
        <v>#N/A</v>
      </c>
      <c r="DK417" s="89" t="e">
        <f t="shared" si="255"/>
        <v>#N/A</v>
      </c>
      <c r="DL417" s="89" t="e">
        <f t="shared" si="256"/>
        <v>#N/A</v>
      </c>
      <c r="DM417" s="219" t="str">
        <f t="shared" si="257"/>
        <v>Blaze 106</v>
      </c>
      <c r="DN417" s="89" t="str">
        <f t="shared" si="258"/>
        <v xml:space="preserve"> VölklBlaze 106165 Unisex</v>
      </c>
      <c r="DO417" s="221" t="s">
        <v>336</v>
      </c>
    </row>
    <row r="418" spans="2:119" ht="15.6" customHeight="1">
      <c r="B418" s="219" t="b">
        <f t="array" ref="B418">IF(OR(ISERROR(K418:P418)),FALSE,TRUE)</f>
        <v>1</v>
      </c>
      <c r="C418" s="43" t="b">
        <f>OR(BR418=Driver!$G$50,Data!BR780=Driver!$H$50)</f>
        <v>1</v>
      </c>
      <c r="D418" s="43" t="b">
        <f>OR(BV418=Driver!$G$51,BV418=Driver!$H$51)</f>
        <v>1</v>
      </c>
      <c r="E418" s="43" t="b">
        <f>AND(BX418&gt;Driver!$F$54,BX418&lt;Driver!$G$54)</f>
        <v>0</v>
      </c>
      <c r="F418" s="43" t="b">
        <f>CL418&gt;Driver!$F$56</f>
        <v>1</v>
      </c>
      <c r="G418" s="43" t="b">
        <f>AND(CB418&gt;Driver!$F$55,CB418&lt;Driver!$G$55)</f>
        <v>0</v>
      </c>
      <c r="H418" s="43" t="b">
        <f t="shared" si="222"/>
        <v>0</v>
      </c>
      <c r="I418" s="43">
        <f t="shared" si="223"/>
        <v>0</v>
      </c>
      <c r="J418" s="43" t="b">
        <f t="array" ref="J418">NOT(OR(($H$9:$H$1273=TRUE)*($I$9:$I$1273&gt;0)*($BT$9:$BT$1273=BT418)*($K$9:$K$1273&gt;K418)))</f>
        <v>1</v>
      </c>
      <c r="K418" s="72">
        <f t="shared" si="224"/>
        <v>0.81352790078129744</v>
      </c>
      <c r="L418" s="72">
        <f t="shared" si="225"/>
        <v>0.91071492316432234</v>
      </c>
      <c r="M418" s="72">
        <f t="shared" si="226"/>
        <v>0.71634087839827254</v>
      </c>
      <c r="N418" s="72">
        <f t="shared" si="227"/>
        <v>0.55005303279548068</v>
      </c>
      <c r="O418" s="72">
        <f t="shared" si="228"/>
        <v>0.65908842841075432</v>
      </c>
      <c r="P418" s="72">
        <f t="shared" si="229"/>
        <v>0.93988117398858284</v>
      </c>
      <c r="Q418" s="72"/>
      <c r="R418" s="72"/>
      <c r="S418" s="72">
        <f t="shared" si="230"/>
        <v>0.51259599614427209</v>
      </c>
      <c r="T418" s="72">
        <f t="shared" si="231"/>
        <v>0.54140117535746413</v>
      </c>
      <c r="U418" s="72">
        <f t="shared" si="232"/>
        <v>0.63183716755133068</v>
      </c>
      <c r="V418" s="72">
        <f t="shared" si="233"/>
        <v>0.50058095094165256</v>
      </c>
      <c r="W418" s="72">
        <f t="shared" si="234"/>
        <v>0.82821157474912077</v>
      </c>
      <c r="X418" s="72">
        <f t="shared" si="235"/>
        <v>8.9285076835677657E-2</v>
      </c>
      <c r="Y418" s="72">
        <f t="shared" si="236"/>
        <v>0.2836591216017274</v>
      </c>
      <c r="Z418" s="72">
        <f t="shared" si="237"/>
        <v>0.44994696720451932</v>
      </c>
      <c r="AA418" s="72">
        <f t="shared" si="238"/>
        <v>0.34091157158924573</v>
      </c>
      <c r="AB418" s="72">
        <f t="shared" si="239"/>
        <v>6.0118826011417159E-2</v>
      </c>
      <c r="AC418" s="72"/>
      <c r="AD418" s="72"/>
      <c r="AE418" s="72">
        <f t="shared" si="240"/>
        <v>0.48740400385572785</v>
      </c>
      <c r="AF418" s="72">
        <f t="shared" si="241"/>
        <v>0.45859882464253582</v>
      </c>
      <c r="AG418" s="72">
        <f t="shared" si="242"/>
        <v>0.36816283244866932</v>
      </c>
      <c r="AH418" s="72">
        <f t="shared" si="243"/>
        <v>0.49941904905834744</v>
      </c>
      <c r="AI418" s="72">
        <f t="shared" si="244"/>
        <v>0.17178842525087917</v>
      </c>
      <c r="AJ418" s="72">
        <f>(AV418-Driver!$K$179)/(Driver!$L$179-Driver!$K$179)</f>
        <v>0.16493433244702277</v>
      </c>
      <c r="AK418" s="72">
        <f>(AW418-Driver!$K$180)/(Driver!$L$180-Driver!$K$180)</f>
        <v>0.33728819473551358</v>
      </c>
      <c r="AL418" s="72">
        <f>(AX418-Driver!$K$181)/(Driver!$L$181-Driver!$K$181)</f>
        <v>0.55163473091759951</v>
      </c>
      <c r="AM418" s="72">
        <f>(AY418-Driver!$K$182)/(Driver!$L$182-Driver!$K$182)</f>
        <v>0.10647344950780062</v>
      </c>
      <c r="AN418" s="72">
        <f>(AZ418-Driver!$K$183)/(Driver!$L$183-Driver!$K$183)</f>
        <v>0.31433823529411759</v>
      </c>
      <c r="AO418" s="72"/>
      <c r="AP418" s="72"/>
      <c r="AQ418" s="72">
        <f>(BC418-Driver!$K$188)/(Driver!$L$188-Driver!$K$188)</f>
        <v>0.13259599614427214</v>
      </c>
      <c r="AR418" s="72">
        <f>MIN((BD418-Driver!$K$189)/(Driver!$L$189-Driver!$K$189),100%)</f>
        <v>9.140117535746424E-2</v>
      </c>
      <c r="AS418" s="72">
        <f>(BE418-Driver!$K$190)/(Driver!$L$190-Driver!$K$190)</f>
        <v>0.14183716755133066</v>
      </c>
      <c r="AT418" s="72">
        <f>(BF418-Driver!$K$191)/(Driver!$L$191-Driver!$K$191)</f>
        <v>1.0580950941652557E-2</v>
      </c>
      <c r="AU418" s="72">
        <f>(BG418-Driver!$K$192)/(Driver!$L$192-Driver!$K$192)</f>
        <v>7.8211574749120841E-2</v>
      </c>
      <c r="AV418" s="70">
        <f t="shared" si="245"/>
        <v>3.4713743047076377</v>
      </c>
      <c r="AW418" s="70">
        <f t="shared" si="246"/>
        <v>34.743615875872749</v>
      </c>
      <c r="AX418" s="70">
        <f t="shared" si="247"/>
        <v>5.9647125782583954</v>
      </c>
      <c r="AY418" s="70">
        <f>IFERROR(Driver!$K$19/Data!BH418/Data!BI418*Data!BK418*Data!BL418,"")</f>
        <v>0.13035527080869772</v>
      </c>
      <c r="AZ418" s="70">
        <f t="shared" si="248"/>
        <v>28.648548026805653</v>
      </c>
      <c r="BA418" s="70"/>
      <c r="BB418" s="70"/>
      <c r="BC418" s="70">
        <f t="shared" si="249"/>
        <v>68.778464992444384</v>
      </c>
      <c r="BD418" s="70">
        <f t="shared" si="250"/>
        <v>9.8096649499338593</v>
      </c>
      <c r="BE418" s="70">
        <f t="shared" si="251"/>
        <v>0.14199025414160538</v>
      </c>
      <c r="BF418" s="70">
        <f t="shared" si="252"/>
        <v>1.1950440734722014</v>
      </c>
      <c r="BG418" s="70">
        <f t="shared" si="253"/>
        <v>0.29615891559095975</v>
      </c>
      <c r="BH418" s="67">
        <f>MAX((CE418-Driver!$F$200)/(Driver!$G$200-Driver!$F$200)*$BI$1,1)</f>
        <v>5.9647125782583954</v>
      </c>
      <c r="BI418" s="67">
        <f>MAX($BI$1*(BY418-Driver!$F$201)/(Driver!$G$201-Driver!$F$201),1)</f>
        <v>8.5443037974683538</v>
      </c>
      <c r="BJ418" s="67">
        <f>(CB418-Driver!$F$206)/(Driver!$G$206-Driver!$F$206)*$BI$1</f>
        <v>3.6507936507936507</v>
      </c>
      <c r="BK418" s="67">
        <f>(CD418-Driver!$F$203)/(Driver!$G$203-Driver!$F$203)*$BI$1</f>
        <v>4.5871559633027523</v>
      </c>
      <c r="BL418" s="67">
        <f>MAX((CR418-Driver!$F$202)/(Driver!$G$202-Driver!$F$202)*$BI$1,1)</f>
        <v>7.2413793103448274</v>
      </c>
      <c r="BM418" s="67">
        <f>MAX((CH418-Driver!$F$204)/(Driver!$G$204-Driver!$F$204)*$BI$1,1)</f>
        <v>3.8034188034188032</v>
      </c>
      <c r="BN418" s="67">
        <f>(CI418-Driver!$F$205)/(Driver!$G$205-Driver!$F$205)*$BI$1</f>
        <v>3.3529411764705879</v>
      </c>
      <c r="BO418" s="67">
        <f>(CK418-Driver!$F$207)/(Driver!$G$207-Driver!$F$207)*$BI$1</f>
        <v>0.68252326783867623</v>
      </c>
      <c r="BP418" s="67">
        <f>(CM418-Driver!$F$208)/(Driver!$G$208-Driver!$F$208)*$BI$1</f>
        <v>2.2000000000000002</v>
      </c>
      <c r="BQ418" s="67">
        <f>(CL418-Driver!$F$209)/(Driver!$G$209-Driver!$F$209)*$BI$1</f>
        <v>6.71875</v>
      </c>
      <c r="BR418" s="28" t="s">
        <v>155</v>
      </c>
      <c r="BS418" s="8" t="s">
        <v>262</v>
      </c>
      <c r="BT418" s="9" t="s">
        <v>496</v>
      </c>
      <c r="BU418" s="10">
        <v>179</v>
      </c>
      <c r="BV418" s="9" t="s">
        <v>158</v>
      </c>
      <c r="BW418" s="10">
        <v>179</v>
      </c>
      <c r="BX418" s="10">
        <v>180.1</v>
      </c>
      <c r="BY418" s="10">
        <v>143</v>
      </c>
      <c r="BZ418" s="10">
        <v>148</v>
      </c>
      <c r="CA418" s="10">
        <v>116</v>
      </c>
      <c r="CB418" s="10">
        <v>87</v>
      </c>
      <c r="CC418" s="10">
        <v>110</v>
      </c>
      <c r="CD418" s="10">
        <v>19.399999999999999</v>
      </c>
      <c r="CE418" s="10">
        <v>1948</v>
      </c>
      <c r="CF418" s="10">
        <v>0.9</v>
      </c>
      <c r="CG418" s="10">
        <v>1759</v>
      </c>
      <c r="CH418" s="10">
        <v>190</v>
      </c>
      <c r="CI418" s="10">
        <v>90</v>
      </c>
      <c r="CJ418" s="10">
        <v>46</v>
      </c>
      <c r="CK418" s="10">
        <v>176</v>
      </c>
      <c r="CL418" s="10">
        <v>43</v>
      </c>
      <c r="CM418" s="10">
        <v>198</v>
      </c>
      <c r="CN418" s="10">
        <v>0.94499999999999995</v>
      </c>
      <c r="CO418" s="10">
        <v>157</v>
      </c>
      <c r="CP418" s="10">
        <v>160</v>
      </c>
      <c r="CQ418" s="10">
        <v>19</v>
      </c>
      <c r="CR418" s="10">
        <v>10</v>
      </c>
      <c r="CS418" s="10">
        <v>4.5999999999999996</v>
      </c>
      <c r="CT418" s="9" t="s">
        <v>184</v>
      </c>
      <c r="CU418" s="10"/>
      <c r="CV418" s="10"/>
      <c r="CW418" s="10"/>
      <c r="CX418" t="e">
        <f>INDEX('Data_Price '!AG$2:AG$1266,MATCH(Data!$DN418,'Data_Price '!$AT$2:$AT$1266,0))</f>
        <v>#N/A</v>
      </c>
      <c r="CY418" t="e">
        <f>INDEX('Data_Price '!AH$2:AH$1266,MATCH(Data!$DN418,'Data_Price '!$AT$2:$AT$1266,0))</f>
        <v>#N/A</v>
      </c>
      <c r="CZ418" t="e">
        <f>INDEX('Data_Price '!AI$2:AI$1266,MATCH(Data!$DN418,'Data_Price '!$AT$2:$AT$1266,0))</f>
        <v>#N/A</v>
      </c>
      <c r="DA418" t="e">
        <f>INDEX('Data_Price '!AJ$2:AJ$1266,MATCH(Data!$DN418,'Data_Price '!$AT$2:$AT$1266,0))</f>
        <v>#N/A</v>
      </c>
      <c r="DB418" t="e">
        <f>INDEX('Data_Price '!AK$2:AK$1266,MATCH(Data!$DN418,'Data_Price '!$AT$2:$AT$1266,0))</f>
        <v>#N/A</v>
      </c>
      <c r="DC418" t="e">
        <f>INDEX('Data_Price '!AL$2:AL$1266,MATCH(Data!$DN418,'Data_Price '!$AT$2:$AT$1266,0))</f>
        <v>#N/A</v>
      </c>
      <c r="DD418" t="e">
        <f>INDEX('Data_Price '!AM$2:AM$1266,MATCH(Data!$DN418,'Data_Price '!$AT$2:$AT$1266,0))</f>
        <v>#N/A</v>
      </c>
      <c r="DE418" t="e">
        <f>INDEX('Data_Price '!AN$2:AN$1266,MATCH(Data!$DN418,'Data_Price '!$AT$2:$AT$1266,0))</f>
        <v>#N/A</v>
      </c>
      <c r="DF418" t="e">
        <f>INDEX('Data_Price '!AO$2:AO$1266,MATCH(Data!$DN418,'Data_Price '!$AT$2:$AT$1266,0))</f>
        <v>#N/A</v>
      </c>
      <c r="DG418" t="e">
        <f>INDEX('Data_Price '!AP$2:AP$1266,MATCH(Data!$DN418,'Data_Price '!$AT$2:$AT$1266,0))</f>
        <v>#N/A</v>
      </c>
      <c r="DH418" t="e">
        <f>INDEX('Data_Price '!AQ$2:AQ$1266,MATCH(Data!$DN418,'Data_Price '!$AT$2:$AT$1266,0))</f>
        <v>#N/A</v>
      </c>
      <c r="DI418" t="e">
        <f>INDEX('Data_Price '!AR$2:AR$1266,MATCH(Data!$DN418,'Data_Price '!$AT$2:$AT$1266,0))</f>
        <v>#N/A</v>
      </c>
      <c r="DJ418" s="89" t="e">
        <f t="shared" si="254"/>
        <v>#N/A</v>
      </c>
      <c r="DK418" s="89" t="e">
        <f t="shared" si="255"/>
        <v>#N/A</v>
      </c>
      <c r="DL418" s="89" t="e">
        <f t="shared" si="256"/>
        <v>#N/A</v>
      </c>
      <c r="DM418" s="219" t="str">
        <f t="shared" si="257"/>
        <v>Sight</v>
      </c>
      <c r="DN418" s="89" t="str">
        <f t="shared" si="258"/>
        <v xml:space="preserve"> K2Sight179 Unisex</v>
      </c>
      <c r="DO418" s="221" t="s">
        <v>497</v>
      </c>
    </row>
    <row r="419" spans="2:119" ht="15.6" customHeight="1">
      <c r="B419" s="219" t="b">
        <f t="array" ref="B419">IF(OR(ISERROR(K419:P419)),FALSE,TRUE)</f>
        <v>1</v>
      </c>
      <c r="C419" s="43" t="b">
        <f>OR(BR419=Driver!$G$50,Data!BR185=Driver!$H$50)</f>
        <v>1</v>
      </c>
      <c r="D419" s="43" t="b">
        <f>OR(BV419=Driver!$G$51,BV419=Driver!$H$51)</f>
        <v>1</v>
      </c>
      <c r="E419" s="43" t="b">
        <f>AND(BX419&gt;Driver!$F$54,BX419&lt;Driver!$G$54)</f>
        <v>0</v>
      </c>
      <c r="F419" s="43" t="b">
        <f>CL419&gt;Driver!$F$56</f>
        <v>1</v>
      </c>
      <c r="G419" s="43" t="b">
        <f>AND(CB419&gt;Driver!$F$55,CB419&lt;Driver!$G$55)</f>
        <v>0</v>
      </c>
      <c r="H419" s="43" t="b">
        <f t="shared" si="222"/>
        <v>0</v>
      </c>
      <c r="I419" s="43">
        <f t="shared" si="223"/>
        <v>0</v>
      </c>
      <c r="J419" s="43" t="b">
        <f t="array" ref="J419">NOT(OR(($H$9:$H$1273=TRUE)*($I$9:$I$1273&gt;0)*($BT$9:$BT$1273=BT419)*($K$9:$K$1273&gt;K419)))</f>
        <v>1</v>
      </c>
      <c r="K419" s="72">
        <f t="shared" si="224"/>
        <v>0.78724814880239424</v>
      </c>
      <c r="L419" s="72">
        <f t="shared" si="225"/>
        <v>0.82643484903653253</v>
      </c>
      <c r="M419" s="72">
        <f t="shared" si="226"/>
        <v>0.74806144856825596</v>
      </c>
      <c r="N419" s="72">
        <f t="shared" si="227"/>
        <v>0.6765312469230973</v>
      </c>
      <c r="O419" s="72">
        <f t="shared" si="228"/>
        <v>0.59938140191727085</v>
      </c>
      <c r="P419" s="72">
        <f t="shared" si="229"/>
        <v>0.96827169686439984</v>
      </c>
      <c r="Q419" s="72"/>
      <c r="R419" s="72"/>
      <c r="S419" s="72">
        <f t="shared" si="230"/>
        <v>0.45499906639114829</v>
      </c>
      <c r="T419" s="72">
        <f t="shared" si="231"/>
        <v>0.81278589102098586</v>
      </c>
      <c r="U419" s="72">
        <f t="shared" si="232"/>
        <v>0.51</v>
      </c>
      <c r="V419" s="72">
        <f t="shared" si="233"/>
        <v>0.49165342555389369</v>
      </c>
      <c r="W419" s="72">
        <f t="shared" si="234"/>
        <v>0.76099225067385445</v>
      </c>
      <c r="X419" s="72">
        <f t="shared" si="235"/>
        <v>0.17356515096346747</v>
      </c>
      <c r="Y419" s="72">
        <f t="shared" si="236"/>
        <v>0.25193855143174404</v>
      </c>
      <c r="Z419" s="72">
        <f t="shared" si="237"/>
        <v>0.32346875307690276</v>
      </c>
      <c r="AA419" s="72">
        <f t="shared" si="238"/>
        <v>0.40061859808272915</v>
      </c>
      <c r="AB419" s="72">
        <f t="shared" si="239"/>
        <v>3.1728303135600211E-2</v>
      </c>
      <c r="AC419" s="72"/>
      <c r="AD419" s="72"/>
      <c r="AE419" s="72">
        <f t="shared" si="240"/>
        <v>0.54500093360885171</v>
      </c>
      <c r="AF419" s="72">
        <f t="shared" si="241"/>
        <v>0.18721410897901414</v>
      </c>
      <c r="AG419" s="72">
        <f t="shared" si="242"/>
        <v>0.49</v>
      </c>
      <c r="AH419" s="72">
        <f t="shared" si="243"/>
        <v>0.50834657444610631</v>
      </c>
      <c r="AI419" s="72">
        <f t="shared" si="244"/>
        <v>0.23900774932614555</v>
      </c>
      <c r="AJ419" s="72">
        <f>(AV419-Driver!$K$179)/(Driver!$L$179-Driver!$K$179)</f>
        <v>8.0654258319232938E-2</v>
      </c>
      <c r="AK419" s="72">
        <f>(AW419-Driver!$K$180)/(Driver!$L$180-Driver!$K$180)</f>
        <v>0.29830873407101294</v>
      </c>
      <c r="AL419" s="72">
        <f>(AX419-Driver!$K$181)/(Driver!$L$181-Driver!$K$181)</f>
        <v>0.42515651678998295</v>
      </c>
      <c r="AM419" s="72">
        <f>(AY419-Driver!$K$182)/(Driver!$L$182-Driver!$K$182)</f>
        <v>4.6766423014317202E-2</v>
      </c>
      <c r="AN419" s="72">
        <f>(AZ419-Driver!$K$183)/(Driver!$L$183-Driver!$K$183)</f>
        <v>0.28594771241830064</v>
      </c>
      <c r="AO419" s="72"/>
      <c r="AP419" s="72"/>
      <c r="AQ419" s="72">
        <f>(BC419-Driver!$K$188)/(Driver!$L$188-Driver!$K$188)</f>
        <v>7.4999066391148325E-2</v>
      </c>
      <c r="AR419" s="72">
        <f>MIN((BD419-Driver!$K$189)/(Driver!$L$189-Driver!$K$189),100%)</f>
        <v>0.36278589102098591</v>
      </c>
      <c r="AS419" s="72">
        <f>(BE419-Driver!$K$190)/(Driver!$L$190-Driver!$K$190)</f>
        <v>1</v>
      </c>
      <c r="AT419" s="72">
        <f>(BF419-Driver!$K$191)/(Driver!$L$191-Driver!$K$191)</f>
        <v>1.6534255538936803E-3</v>
      </c>
      <c r="AU419" s="72">
        <f>(BG419-Driver!$K$192)/(Driver!$L$192-Driver!$K$192)</f>
        <v>1.0992250673854446E-2</v>
      </c>
      <c r="AV419" s="70">
        <f t="shared" si="245"/>
        <v>1.6975308641975309</v>
      </c>
      <c r="AW419" s="70">
        <f t="shared" si="246"/>
        <v>30.944722040959373</v>
      </c>
      <c r="AX419" s="70">
        <f t="shared" si="247"/>
        <v>4.8264086511098467</v>
      </c>
      <c r="AY419" s="70">
        <f>IFERROR(Driver!$K$19/Data!BH419/Data!BI419*Data!BK419*Data!BL419,"")</f>
        <v>5.7256055523389415E-2</v>
      </c>
      <c r="AZ419" s="70">
        <f t="shared" si="248"/>
        <v>26.061057334326136</v>
      </c>
      <c r="BA419" s="70"/>
      <c r="BB419" s="70"/>
      <c r="BC419" s="70">
        <f t="shared" si="249"/>
        <v>38.902537122139456</v>
      </c>
      <c r="BD419" s="70">
        <f t="shared" si="250"/>
        <v>33.826731420893665</v>
      </c>
      <c r="BE419" s="70">
        <f t="shared" si="251"/>
        <v>1</v>
      </c>
      <c r="BF419" s="70">
        <f t="shared" si="252"/>
        <v>0.1867428003403569</v>
      </c>
      <c r="BG419" s="70">
        <f t="shared" si="253"/>
        <v>4.1623673349056603E-2</v>
      </c>
      <c r="BH419" s="67">
        <f>MAX((CE419-Driver!$F$200)/(Driver!$G$200-Driver!$F$200)*$BI$1,1)</f>
        <v>4.8264086511098467</v>
      </c>
      <c r="BI419" s="67">
        <f>MAX($BI$1*(BY419-Driver!$F$201)/(Driver!$G$201-Driver!$F$201),1)</f>
        <v>8.8607594936708853</v>
      </c>
      <c r="BJ419" s="67">
        <f>(CB419-Driver!$F$206)/(Driver!$G$206-Driver!$F$206)*$BI$1</f>
        <v>1.746031746031746</v>
      </c>
      <c r="BK419" s="67">
        <f>(CD419-Driver!$F$203)/(Driver!$G$203-Driver!$F$203)*$BI$1</f>
        <v>1.9724770642201834</v>
      </c>
      <c r="BL419" s="67">
        <f>MAX((CR419-Driver!$F$202)/(Driver!$G$202-Driver!$F$202)*$BI$1,1)</f>
        <v>6.2068965517241379</v>
      </c>
      <c r="BM419" s="67">
        <f>MAX((CH419-Driver!$F$204)/(Driver!$G$204-Driver!$F$204)*$BI$1,1)</f>
        <v>3.8888888888888888</v>
      </c>
      <c r="BN419" s="67">
        <f>(CI419-Driver!$F$205)/(Driver!$G$205-Driver!$F$205)*$BI$1</f>
        <v>2.9411764705882355</v>
      </c>
      <c r="BO419" s="67">
        <f>(CK419-Driver!$F$207)/(Driver!$G$207-Driver!$F$207)*$BI$1</f>
        <v>0.37228541882109617</v>
      </c>
      <c r="BP419" s="67">
        <f>(CM419-Driver!$F$208)/(Driver!$G$208-Driver!$F$208)*$BI$1</f>
        <v>0.56666666666666665</v>
      </c>
      <c r="BQ419" s="67">
        <f>(CL419-Driver!$F$209)/(Driver!$G$209-Driver!$F$209)*$BI$1</f>
        <v>0.78125</v>
      </c>
      <c r="BR419" s="28" t="s">
        <v>155</v>
      </c>
      <c r="BS419" s="8" t="s">
        <v>156</v>
      </c>
      <c r="BT419" s="9" t="s">
        <v>589</v>
      </c>
      <c r="BU419" s="10">
        <v>168</v>
      </c>
      <c r="BV419" s="9" t="s">
        <v>158</v>
      </c>
      <c r="BW419" s="10">
        <v>168</v>
      </c>
      <c r="BX419" s="10">
        <v>167.4</v>
      </c>
      <c r="BY419" s="10">
        <v>148</v>
      </c>
      <c r="BZ419" s="10">
        <v>153</v>
      </c>
      <c r="CA419" s="10">
        <v>125</v>
      </c>
      <c r="CB419" s="10">
        <v>75</v>
      </c>
      <c r="CC419" s="10">
        <v>109</v>
      </c>
      <c r="CD419" s="10">
        <v>13.7</v>
      </c>
      <c r="CE419" s="10">
        <v>1748</v>
      </c>
      <c r="CF419" s="10">
        <v>0.87</v>
      </c>
      <c r="CG419" s="10">
        <v>1512</v>
      </c>
      <c r="CH419" s="10">
        <v>192</v>
      </c>
      <c r="CI419" s="10">
        <v>83</v>
      </c>
      <c r="CJ419" s="10">
        <v>38</v>
      </c>
      <c r="CK419" s="10">
        <v>146</v>
      </c>
      <c r="CL419" s="10">
        <v>5</v>
      </c>
      <c r="CM419" s="10">
        <v>51</v>
      </c>
      <c r="CN419" s="10">
        <v>0.11799999999999999</v>
      </c>
      <c r="CO419" s="10">
        <v>90</v>
      </c>
      <c r="CP419" s="10">
        <v>53</v>
      </c>
      <c r="CQ419" s="10">
        <v>56</v>
      </c>
      <c r="CR419" s="10">
        <v>7</v>
      </c>
      <c r="CS419" s="10">
        <v>12.9</v>
      </c>
      <c r="CT419" s="9" t="s">
        <v>349</v>
      </c>
      <c r="CU419" s="10"/>
      <c r="CV419" s="10"/>
      <c r="CW419" s="10"/>
      <c r="CX419" t="str">
        <f>INDEX('Data_Price '!AG$2:AG$1266,MATCH(Data!$DN419,'Data_Price '!$AT$2:$AT$1266,0))</f>
        <v>Atomic 2022 Redster X9I WB Revo Ski with x 12 GW Bindings</v>
      </c>
      <c r="CY419" t="str">
        <f>INDEX('Data_Price '!AH$2:AH$1266,MATCH(Data!$DN419,'Data_Price '!$AT$2:$AT$1266,0))</f>
        <v>Suburban Ski and Bike</v>
      </c>
      <c r="CZ419">
        <f>INDEX('Data_Price '!AI$2:AI$1266,MATCH(Data!$DN419,'Data_Price '!$AT$2:$AT$1266,0))</f>
        <v>799.99</v>
      </c>
      <c r="DA419" t="str">
        <f>INDEX('Data_Price '!AJ$2:AJ$1266,MATCH(Data!$DN419,'Data_Price '!$AT$2:$AT$1266,0))</f>
        <v>https://tinyurl.com/yca98bhb</v>
      </c>
      <c r="DB419" t="str">
        <f>INDEX('Data_Price '!AK$2:AK$1266,MATCH(Data!$DN419,'Data_Price '!$AT$2:$AT$1266,0))</f>
        <v>Atomic 2022 Redster X9i WB REVO S+ X 12 GW BLACK/SILVER / 168</v>
      </c>
      <c r="DC419" t="str">
        <f>INDEX('Data_Price '!AL$2:AL$1266,MATCH(Data!$DN419,'Data_Price '!$AT$2:$AT$1266,0))</f>
        <v>Cityhome</v>
      </c>
      <c r="DD419">
        <f>INDEX('Data_Price '!AM$2:AM$1266,MATCH(Data!$DN419,'Data_Price '!$AT$2:$AT$1266,0))</f>
        <v>999.99</v>
      </c>
      <c r="DE419" t="str">
        <f>INDEX('Data_Price '!AN$2:AN$1266,MATCH(Data!$DN419,'Data_Price '!$AT$2:$AT$1266,0))</f>
        <v>https://tinyurl.com/ycgalxtm</v>
      </c>
      <c r="DF419" t="str">
        <f>INDEX('Data_Price '!AO$2:AO$1266,MATCH(Data!$DN419,'Data_Price '!$AT$2:$AT$1266,0))</f>
        <v>Atomic Redster X5 Skis w Atomic FT10 GW Demo Bindings  Demo Skis</v>
      </c>
      <c r="DG419" t="str">
        <f>INDEX('Data_Price '!AP$2:AP$1266,MATCH(Data!$DN419,'Data_Price '!$AT$2:$AT$1266,0))</f>
        <v>Powder7 Ski Shop</v>
      </c>
      <c r="DH419">
        <f>INDEX('Data_Price '!AQ$2:AQ$1266,MATCH(Data!$DN419,'Data_Price '!$AT$2:$AT$1266,0))</f>
        <v>399.99</v>
      </c>
      <c r="DI419" t="str">
        <f>INDEX('Data_Price '!AR$2:AR$1266,MATCH(Data!$DN419,'Data_Price '!$AT$2:$AT$1266,0))</f>
        <v>https://tinyurl.com/y9rxbpcq</v>
      </c>
      <c r="DJ419" s="89" t="str">
        <f t="shared" si="254"/>
        <v>https://tinyurl.com/yca98bhb</v>
      </c>
      <c r="DK419" s="89" t="str">
        <f t="shared" si="255"/>
        <v>https://tinyurl.com/ycgalxtm</v>
      </c>
      <c r="DL419" s="89" t="str">
        <f t="shared" si="256"/>
        <v>https://tinyurl.com/y9rxbpcq</v>
      </c>
      <c r="DM419" s="219" t="str">
        <f t="shared" si="257"/>
        <v>Redster X7 WB</v>
      </c>
      <c r="DN419" s="89" t="str">
        <f t="shared" si="258"/>
        <v xml:space="preserve"> AtomicRedster X7 WB168 Unisex</v>
      </c>
      <c r="DO419" s="221"/>
    </row>
    <row r="420" spans="2:119" ht="15.6" customHeight="1">
      <c r="B420" s="219" t="b">
        <f t="array" ref="B420">IF(OR(ISERROR(K420:P420)),FALSE,TRUE)</f>
        <v>1</v>
      </c>
      <c r="C420" s="43" t="b">
        <f>OR(BR420=Driver!$G$50,Data!BR814=Driver!$H$50)</f>
        <v>1</v>
      </c>
      <c r="D420" s="43" t="b">
        <f>OR(BV420=Driver!$G$51,BV420=Driver!$H$51)</f>
        <v>1</v>
      </c>
      <c r="E420" s="43" t="b">
        <f>AND(BX420&gt;Driver!$F$54,BX420&lt;Driver!$G$54)</f>
        <v>0</v>
      </c>
      <c r="F420" s="43" t="b">
        <f>CL420&gt;Driver!$F$56</f>
        <v>1</v>
      </c>
      <c r="G420" s="43" t="b">
        <f>AND(CB420&gt;Driver!$F$55,CB420&lt;Driver!$G$55)</f>
        <v>1</v>
      </c>
      <c r="H420" s="43" t="b">
        <f t="shared" si="222"/>
        <v>0</v>
      </c>
      <c r="I420" s="43">
        <f t="shared" si="223"/>
        <v>0</v>
      </c>
      <c r="J420" s="43" t="b">
        <f t="array" ref="J420">NOT(OR(($H$9:$H$1273=TRUE)*($I$9:$I$1273&gt;0)*($BT$9:$BT$1273=BT420)*($K$9:$K$1273&gt;K420)))</f>
        <v>1</v>
      </c>
      <c r="K420" s="72">
        <f t="shared" si="224"/>
        <v>0.80402452880359421</v>
      </c>
      <c r="L420" s="72">
        <f t="shared" si="225"/>
        <v>0.88196898627085618</v>
      </c>
      <c r="M420" s="72">
        <f t="shared" si="226"/>
        <v>0.72608007133633223</v>
      </c>
      <c r="N420" s="72">
        <f t="shared" si="227"/>
        <v>0.52791934532314788</v>
      </c>
      <c r="O420" s="72">
        <f t="shared" si="228"/>
        <v>0.65086380738031391</v>
      </c>
      <c r="P420" s="72">
        <f t="shared" si="229"/>
        <v>0.99945706130553491</v>
      </c>
      <c r="Q420" s="72"/>
      <c r="R420" s="72"/>
      <c r="S420" s="72">
        <f t="shared" si="230"/>
        <v>0.45047623025946326</v>
      </c>
      <c r="T420" s="72">
        <f t="shared" si="231"/>
        <v>0.49277814224738703</v>
      </c>
      <c r="U420" s="72">
        <f t="shared" si="232"/>
        <v>0.5019835722282695</v>
      </c>
      <c r="V420" s="72">
        <f t="shared" si="233"/>
        <v>0.67031540792730315</v>
      </c>
      <c r="W420" s="72">
        <f t="shared" si="234"/>
        <v>0.80553890707630316</v>
      </c>
      <c r="X420" s="72">
        <f t="shared" si="235"/>
        <v>0.11803101372914387</v>
      </c>
      <c r="Y420" s="72">
        <f t="shared" si="236"/>
        <v>0.27391992866366777</v>
      </c>
      <c r="Z420" s="72">
        <f t="shared" si="237"/>
        <v>0.47208065467685212</v>
      </c>
      <c r="AA420" s="72">
        <f t="shared" si="238"/>
        <v>0.34913619261968609</v>
      </c>
      <c r="AB420" s="72">
        <f t="shared" si="239"/>
        <v>5.4293869446514487E-4</v>
      </c>
      <c r="AC420" s="72"/>
      <c r="AD420" s="72"/>
      <c r="AE420" s="72">
        <f t="shared" si="240"/>
        <v>0.54952376974053674</v>
      </c>
      <c r="AF420" s="72">
        <f t="shared" si="241"/>
        <v>0.50722185775261297</v>
      </c>
      <c r="AG420" s="72">
        <f t="shared" si="242"/>
        <v>0.49801642777173055</v>
      </c>
      <c r="AH420" s="72">
        <f t="shared" si="243"/>
        <v>0.32968459207269685</v>
      </c>
      <c r="AI420" s="72">
        <f t="shared" si="244"/>
        <v>0.19446109292369682</v>
      </c>
      <c r="AJ420" s="72">
        <f>(AV420-Driver!$K$179)/(Driver!$L$179-Driver!$K$179)</f>
        <v>0.3722504230118443</v>
      </c>
      <c r="AK420" s="72">
        <f>(AW420-Driver!$K$180)/(Driver!$L$180-Driver!$K$180)</f>
        <v>0.28250063292161304</v>
      </c>
      <c r="AL420" s="72">
        <f>(AX420-Driver!$K$181)/(Driver!$L$181-Driver!$K$181)</f>
        <v>0.57376841838993231</v>
      </c>
      <c r="AM420" s="72">
        <f>(AY420-Driver!$K$182)/(Driver!$L$182-Driver!$K$182)</f>
        <v>9.82488284773603E-2</v>
      </c>
      <c r="AN420" s="72">
        <f>(AZ420-Driver!$K$183)/(Driver!$L$183-Driver!$K$183)</f>
        <v>0.25367647058823528</v>
      </c>
      <c r="AO420" s="72"/>
      <c r="AP420" s="72"/>
      <c r="AQ420" s="72">
        <f>(BC420-Driver!$K$188)/(Driver!$L$188-Driver!$K$188)</f>
        <v>7.0476230259463243E-2</v>
      </c>
      <c r="AR420" s="72">
        <f>MIN((BD420-Driver!$K$189)/(Driver!$L$189-Driver!$K$189),100%)</f>
        <v>4.2778142247387109E-2</v>
      </c>
      <c r="AS420" s="72">
        <f>(BE420-Driver!$K$190)/(Driver!$L$190-Driver!$K$190)</f>
        <v>1.1983572228269465E-2</v>
      </c>
      <c r="AT420" s="72">
        <f>(BF420-Driver!$K$191)/(Driver!$L$191-Driver!$K$191)</f>
        <v>0.18031540792730316</v>
      </c>
      <c r="AU420" s="72">
        <f>(BG420-Driver!$K$192)/(Driver!$L$192-Driver!$K$192)</f>
        <v>5.5538907076303191E-2</v>
      </c>
      <c r="AV420" s="70">
        <f t="shared" si="245"/>
        <v>7.8347578347578342</v>
      </c>
      <c r="AW420" s="70">
        <f t="shared" si="246"/>
        <v>29.404082509924663</v>
      </c>
      <c r="AX420" s="70">
        <f t="shared" si="247"/>
        <v>6.1639157655093912</v>
      </c>
      <c r="AY420" s="70">
        <f>IFERROR(Driver!$K$19/Data!BH420/Data!BI420*Data!BK420*Data!BL420,"")</f>
        <v>0.12028588067737289</v>
      </c>
      <c r="AZ420" s="70">
        <f t="shared" si="248"/>
        <v>23.119880863737901</v>
      </c>
      <c r="BA420" s="70"/>
      <c r="BB420" s="70"/>
      <c r="BC420" s="70">
        <f t="shared" si="249"/>
        <v>36.556510578387723</v>
      </c>
      <c r="BD420" s="70">
        <f t="shared" si="250"/>
        <v>5.5066126746086494</v>
      </c>
      <c r="BE420" s="70">
        <f t="shared" si="251"/>
        <v>1.2159823238385358E-2</v>
      </c>
      <c r="BF420" s="70">
        <f t="shared" si="252"/>
        <v>20.365358537953032</v>
      </c>
      <c r="BG420" s="70">
        <f t="shared" si="253"/>
        <v>0.21030573218332912</v>
      </c>
      <c r="BH420" s="67">
        <f>MAX((CE420-Driver!$F$200)/(Driver!$G$200-Driver!$F$200)*$BI$1,1)</f>
        <v>6.1639157655093912</v>
      </c>
      <c r="BI420" s="67">
        <f>MAX($BI$1*(BY420-Driver!$F$201)/(Driver!$G$201-Driver!$F$201),1)</f>
        <v>5.6962025316455698</v>
      </c>
      <c r="BJ420" s="67">
        <f>(CB420-Driver!$F$206)/(Driver!$G$206-Driver!$F$206)*$BI$1</f>
        <v>6.6666666666666661</v>
      </c>
      <c r="BK420" s="67">
        <f>(CD420-Driver!$F$203)/(Driver!$G$203-Driver!$F$203)*$BI$1</f>
        <v>4.0825688073394497</v>
      </c>
      <c r="BL420" s="67">
        <f>MAX((CR420-Driver!$F$202)/(Driver!$G$202-Driver!$F$202)*$BI$1,1)</f>
        <v>5.1724137931034484</v>
      </c>
      <c r="BM420" s="67">
        <f>MAX((CH420-Driver!$F$204)/(Driver!$G$204-Driver!$F$204)*$BI$1,1)</f>
        <v>4.700854700854701</v>
      </c>
      <c r="BN420" s="67">
        <f>(CI420-Driver!$F$205)/(Driver!$G$205-Driver!$F$205)*$BI$1</f>
        <v>4.0588235294117645</v>
      </c>
      <c r="BO420" s="67">
        <f>(CK420-Driver!$F$207)/(Driver!$G$207-Driver!$F$207)*$BI$1</f>
        <v>3.6091003102378489</v>
      </c>
      <c r="BP420" s="67">
        <f>(CM420-Driver!$F$208)/(Driver!$G$208-Driver!$F$208)*$BI$1</f>
        <v>3.4555555555555557</v>
      </c>
      <c r="BQ420" s="67">
        <f>(CL420-Driver!$F$209)/(Driver!$G$209-Driver!$F$209)*$BI$1</f>
        <v>6.09375</v>
      </c>
      <c r="BR420" s="28" t="s">
        <v>155</v>
      </c>
      <c r="BS420" s="8" t="s">
        <v>215</v>
      </c>
      <c r="BT420" s="9" t="s">
        <v>590</v>
      </c>
      <c r="BU420" s="10">
        <v>176</v>
      </c>
      <c r="BV420" s="9" t="s">
        <v>158</v>
      </c>
      <c r="BW420" s="10">
        <v>176</v>
      </c>
      <c r="BX420" s="10">
        <v>175.2</v>
      </c>
      <c r="BY420" s="10">
        <v>98</v>
      </c>
      <c r="BZ420" s="10">
        <v>145</v>
      </c>
      <c r="CA420" s="10">
        <v>137</v>
      </c>
      <c r="CB420" s="10">
        <v>106</v>
      </c>
      <c r="CC420" s="10">
        <v>127</v>
      </c>
      <c r="CD420" s="10">
        <v>18.3</v>
      </c>
      <c r="CE420" s="10">
        <v>1983</v>
      </c>
      <c r="CF420" s="10">
        <v>1.02</v>
      </c>
      <c r="CG420" s="10">
        <v>2014</v>
      </c>
      <c r="CH420" s="10">
        <v>211</v>
      </c>
      <c r="CI420" s="10">
        <v>102</v>
      </c>
      <c r="CJ420" s="10">
        <v>54</v>
      </c>
      <c r="CK420" s="10">
        <v>459</v>
      </c>
      <c r="CL420" s="10">
        <v>39</v>
      </c>
      <c r="CM420" s="10">
        <v>311</v>
      </c>
      <c r="CN420" s="10">
        <v>0.72</v>
      </c>
      <c r="CO420" s="10">
        <v>139</v>
      </c>
      <c r="CP420" s="10">
        <v>165</v>
      </c>
      <c r="CQ420" s="10">
        <v>320</v>
      </c>
      <c r="CR420" s="10">
        <v>4</v>
      </c>
      <c r="CS420" s="10">
        <v>8.1</v>
      </c>
      <c r="CT420" s="9" t="s">
        <v>169</v>
      </c>
      <c r="CU420" s="10"/>
      <c r="CV420" s="10"/>
      <c r="CW420" s="10"/>
      <c r="CX420" t="str">
        <f>INDEX('Data_Price '!AG$2:AG$1266,MATCH(Data!$DN420,'Data_Price '!$AT$2:$AT$1266,0))</f>
        <v>Liberty Skis Origin 106 Ski</v>
      </c>
      <c r="CY420" t="str">
        <f>INDEX('Data_Price '!AH$2:AH$1266,MATCH(Data!$DN420,'Data_Price '!$AT$2:$AT$1266,0))</f>
        <v>REI</v>
      </c>
      <c r="CZ420">
        <f>INDEX('Data_Price '!AI$2:AI$1266,MATCH(Data!$DN420,'Data_Price '!$AT$2:$AT$1266,0))</f>
        <v>523.92999999999995</v>
      </c>
      <c r="DA420" t="str">
        <f>INDEX('Data_Price '!AJ$2:AJ$1266,MATCH(Data!$DN420,'Data_Price '!$AT$2:$AT$1266,0))</f>
        <v>https://tinyurl.com/ya6ekezs</v>
      </c>
      <c r="DB420" t="str">
        <f>INDEX('Data_Price '!AK$2:AK$1266,MATCH(Data!$DN420,'Data_Price '!$AT$2:$AT$1266,0))</f>
        <v>Liberty Skis Origin 106 Ski</v>
      </c>
      <c r="DC420" t="str">
        <f>INDEX('Data_Price '!AL$2:AL$1266,MATCH(Data!$DN420,'Data_Price '!$AT$2:$AT$1266,0))</f>
        <v>SkiEssentials.com</v>
      </c>
      <c r="DD420">
        <f>INDEX('Data_Price '!AM$2:AM$1266,MATCH(Data!$DN420,'Data_Price '!$AT$2:$AT$1266,0))</f>
        <v>524.99</v>
      </c>
      <c r="DE420" t="str">
        <f>INDEX('Data_Price '!AN$2:AN$1266,MATCH(Data!$DN420,'Data_Price '!$AT$2:$AT$1266,0))</f>
        <v>https://tinyurl.com/y8j2ah6g</v>
      </c>
      <c r="DF420" t="str">
        <f>INDEX('Data_Price '!AO$2:AO$1266,MATCH(Data!$DN420,'Data_Price '!$AT$2:$AT$1266,0))</f>
        <v>Liberty Skis Origin 106 Ski</v>
      </c>
      <c r="DG420" t="str">
        <f>INDEX('Data_Price '!AP$2:AP$1266,MATCH(Data!$DN420,'Data_Price '!$AT$2:$AT$1266,0))</f>
        <v>Moosejaw</v>
      </c>
      <c r="DH420">
        <f>INDEX('Data_Price '!AQ$2:AQ$1266,MATCH(Data!$DN420,'Data_Price '!$AT$2:$AT$1266,0))</f>
        <v>559.99</v>
      </c>
      <c r="DI420" t="str">
        <f>INDEX('Data_Price '!AR$2:AR$1266,MATCH(Data!$DN420,'Data_Price '!$AT$2:$AT$1266,0))</f>
        <v>https://tinyurl.com/y7xkme5a</v>
      </c>
      <c r="DJ420" s="89" t="str">
        <f t="shared" si="254"/>
        <v>https://tinyurl.com/ya6ekezs</v>
      </c>
      <c r="DK420" s="89" t="str">
        <f t="shared" si="255"/>
        <v>https://tinyurl.com/y8j2ah6g</v>
      </c>
      <c r="DL420" s="89" t="str">
        <f t="shared" si="256"/>
        <v>https://tinyurl.com/y7xkme5a</v>
      </c>
      <c r="DM420" s="219" t="str">
        <f t="shared" si="257"/>
        <v>Origin 106</v>
      </c>
      <c r="DN420" s="89" t="str">
        <f t="shared" si="258"/>
        <v xml:space="preserve"> LibertyOrigin 106176 Unisex</v>
      </c>
      <c r="DO420" s="221" t="s">
        <v>591</v>
      </c>
    </row>
    <row r="421" spans="2:119" ht="15.6" customHeight="1">
      <c r="B421" s="219" t="b">
        <f t="array" ref="B421">IF(OR(ISERROR(K421:P421)),FALSE,TRUE)</f>
        <v>1</v>
      </c>
      <c r="C421" s="43" t="b">
        <f>OR(BR421=Driver!$G$50,Data!BR203=Driver!$H$50)</f>
        <v>1</v>
      </c>
      <c r="D421" s="43" t="b">
        <f>OR(BV421=Driver!$G$51,BV421=Driver!$H$51)</f>
        <v>1</v>
      </c>
      <c r="E421" s="43" t="b">
        <f>AND(BX421&gt;Driver!$F$54,BX421&lt;Driver!$G$54)</f>
        <v>0</v>
      </c>
      <c r="F421" s="43" t="b">
        <f>CL421&gt;Driver!$F$56</f>
        <v>1</v>
      </c>
      <c r="G421" s="43" t="b">
        <f>AND(CB421&gt;Driver!$F$55,CB421&lt;Driver!$G$55)</f>
        <v>0</v>
      </c>
      <c r="H421" s="43" t="b">
        <f t="shared" si="222"/>
        <v>0</v>
      </c>
      <c r="I421" s="43">
        <f t="shared" si="223"/>
        <v>0</v>
      </c>
      <c r="J421" s="43" t="b">
        <f t="array" ref="J421">NOT(OR(($H$9:$H$1273=TRUE)*($I$9:$I$1273&gt;0)*($BT$9:$BT$1273=BT421)*($K$9:$K$1273&gt;K421)))</f>
        <v>1</v>
      </c>
      <c r="K421" s="72">
        <f t="shared" si="224"/>
        <v>0.85247560630322772</v>
      </c>
      <c r="L421" s="72">
        <f t="shared" si="225"/>
        <v>0.91853057057387844</v>
      </c>
      <c r="M421" s="72">
        <f t="shared" si="226"/>
        <v>0.786420642032577</v>
      </c>
      <c r="N421" s="72">
        <f t="shared" si="227"/>
        <v>0.66072147015714511</v>
      </c>
      <c r="O421" s="72">
        <f t="shared" si="228"/>
        <v>0.71928019698468271</v>
      </c>
      <c r="P421" s="72">
        <f t="shared" si="229"/>
        <v>0.97926025895590296</v>
      </c>
      <c r="Q421" s="72"/>
      <c r="R421" s="72"/>
      <c r="S421" s="72">
        <f t="shared" si="230"/>
        <v>0.49013068189822517</v>
      </c>
      <c r="T421" s="72">
        <f t="shared" si="231"/>
        <v>0.47941216462873815</v>
      </c>
      <c r="U421" s="72">
        <f t="shared" si="232"/>
        <v>0.65763706819761047</v>
      </c>
      <c r="V421" s="72">
        <f t="shared" si="233"/>
        <v>0.50800516009012786</v>
      </c>
      <c r="W421" s="72">
        <f t="shared" si="234"/>
        <v>0.83701338667487302</v>
      </c>
      <c r="X421" s="72">
        <f t="shared" si="235"/>
        <v>8.146942942612162E-2</v>
      </c>
      <c r="Y421" s="72">
        <f t="shared" si="236"/>
        <v>0.213579357967423</v>
      </c>
      <c r="Z421" s="72">
        <f t="shared" si="237"/>
        <v>0.33927852984285484</v>
      </c>
      <c r="AA421" s="72">
        <f t="shared" si="238"/>
        <v>0.28071980301531724</v>
      </c>
      <c r="AB421" s="72">
        <f t="shared" si="239"/>
        <v>2.0739741044096982E-2</v>
      </c>
      <c r="AC421" s="72"/>
      <c r="AD421" s="72"/>
      <c r="AE421" s="72">
        <f t="shared" si="240"/>
        <v>0.50986931810177483</v>
      </c>
      <c r="AF421" s="72">
        <f t="shared" si="241"/>
        <v>0.52058783537126185</v>
      </c>
      <c r="AG421" s="72">
        <f t="shared" si="242"/>
        <v>0.34236293180238953</v>
      </c>
      <c r="AH421" s="72">
        <f t="shared" si="243"/>
        <v>0.49199483990987208</v>
      </c>
      <c r="AI421" s="72">
        <f t="shared" si="244"/>
        <v>0.16298661332512693</v>
      </c>
      <c r="AJ421" s="72">
        <f>(AV421-Driver!$K$179)/(Driver!$L$179-Driver!$K$179)</f>
        <v>0.17274997985657881</v>
      </c>
      <c r="AK421" s="72">
        <f>(AW421-Driver!$K$180)/(Driver!$L$180-Driver!$K$180)</f>
        <v>0.29099888757492848</v>
      </c>
      <c r="AL421" s="72">
        <f>(AX421-Driver!$K$181)/(Driver!$L$181-Driver!$K$181)</f>
        <v>0.44096629355593503</v>
      </c>
      <c r="AM421" s="72">
        <f>(AY421-Driver!$K$182)/(Driver!$L$182-Driver!$K$182)</f>
        <v>0.16666521808172913</v>
      </c>
      <c r="AN421" s="72">
        <f>(AZ421-Driver!$K$183)/(Driver!$L$183-Driver!$K$183)</f>
        <v>0.27495915032679741</v>
      </c>
      <c r="AO421" s="72"/>
      <c r="AP421" s="72"/>
      <c r="AQ421" s="72">
        <f>(BC421-Driver!$K$188)/(Driver!$L$188-Driver!$K$188)</f>
        <v>0.11013068189822517</v>
      </c>
      <c r="AR421" s="72">
        <f>MIN((BD421-Driver!$K$189)/(Driver!$L$189-Driver!$K$189),100%)</f>
        <v>2.9412164628738236E-2</v>
      </c>
      <c r="AS421" s="72">
        <f>(BE421-Driver!$K$190)/(Driver!$L$190-Driver!$K$190)</f>
        <v>0.16763706819761048</v>
      </c>
      <c r="AT421" s="72">
        <f>(BF421-Driver!$K$191)/(Driver!$L$191-Driver!$K$191)</f>
        <v>1.8005160090127929E-2</v>
      </c>
      <c r="AU421" s="72">
        <f>(BG421-Driver!$K$192)/(Driver!$L$192-Driver!$K$192)</f>
        <v>8.7013386674873058E-2</v>
      </c>
      <c r="AV421" s="70">
        <f t="shared" si="245"/>
        <v>3.6358703025369685</v>
      </c>
      <c r="AW421" s="70">
        <f t="shared" si="246"/>
        <v>30.232312728086853</v>
      </c>
      <c r="AX421" s="70">
        <f t="shared" si="247"/>
        <v>4.9686966420034153</v>
      </c>
      <c r="AY421" s="70">
        <f>IFERROR(Driver!$K$19/Data!BH421/Data!BI421*Data!BK421*Data!BL421,"")</f>
        <v>0.20404795503354817</v>
      </c>
      <c r="AZ421" s="70">
        <f t="shared" si="248"/>
        <v>25.05956813104989</v>
      </c>
      <c r="BA421" s="70"/>
      <c r="BB421" s="70"/>
      <c r="BC421" s="70">
        <f t="shared" si="249"/>
        <v>57.125550316688916</v>
      </c>
      <c r="BD421" s="70">
        <f t="shared" si="250"/>
        <v>4.3237473384691611</v>
      </c>
      <c r="BE421" s="70">
        <f t="shared" si="251"/>
        <v>0.16778555237600015</v>
      </c>
      <c r="BF421" s="70">
        <f t="shared" si="252"/>
        <v>2.0335563387712883</v>
      </c>
      <c r="BG421" s="70">
        <f t="shared" si="253"/>
        <v>0.32948819049084477</v>
      </c>
      <c r="BH421" s="67">
        <f>MAX((CE421-Driver!$F$200)/(Driver!$G$200-Driver!$F$200)*$BI$1,1)</f>
        <v>4.9686966420034153</v>
      </c>
      <c r="BI421" s="67">
        <f>MAX($BI$1*(BY421-Driver!$F$201)/(Driver!$G$201-Driver!$F$201),1)</f>
        <v>8.037974683544304</v>
      </c>
      <c r="BJ421" s="67">
        <f>(CB421-Driver!$F$206)/(Driver!$G$206-Driver!$F$206)*$BI$1</f>
        <v>5.0793650793650791</v>
      </c>
      <c r="BK421" s="67">
        <f>(CD421-Driver!$F$203)/(Driver!$G$203-Driver!$F$203)*$BI$1</f>
        <v>5.1376146788990837</v>
      </c>
      <c r="BL421" s="67">
        <f>MAX((CR421-Driver!$F$202)/(Driver!$G$202-Driver!$F$202)*$BI$1,1)</f>
        <v>7.931034482758621</v>
      </c>
      <c r="BM421" s="67">
        <f>MAX((CH421-Driver!$F$204)/(Driver!$G$204-Driver!$F$204)*$BI$1,1)</f>
        <v>2.8632478632478628</v>
      </c>
      <c r="BN421" s="67">
        <f>(CI421-Driver!$F$205)/(Driver!$G$205-Driver!$F$205)*$BI$1</f>
        <v>3.1176470588235294</v>
      </c>
      <c r="BO421" s="67">
        <f>(CK421-Driver!$F$207)/(Driver!$G$207-Driver!$F$207)*$BI$1</f>
        <v>1.2099276111685624</v>
      </c>
      <c r="BP421" s="67">
        <f>(CM421-Driver!$F$208)/(Driver!$G$208-Driver!$F$208)*$BI$1</f>
        <v>1.7000000000000002</v>
      </c>
      <c r="BQ421" s="67">
        <f>(CL421-Driver!$F$209)/(Driver!$G$209-Driver!$F$209)*$BI$1</f>
        <v>4.6875</v>
      </c>
      <c r="BR421" s="28" t="s">
        <v>155</v>
      </c>
      <c r="BS421" s="8" t="s">
        <v>237</v>
      </c>
      <c r="BT421" s="9" t="s">
        <v>507</v>
      </c>
      <c r="BU421" s="10">
        <v>174.2</v>
      </c>
      <c r="BV421" s="9" t="s">
        <v>158</v>
      </c>
      <c r="BW421" s="10">
        <v>174.2</v>
      </c>
      <c r="BX421" s="10">
        <v>173.3</v>
      </c>
      <c r="BY421" s="10">
        <v>135</v>
      </c>
      <c r="BZ421" s="10">
        <v>150</v>
      </c>
      <c r="CA421" s="10">
        <v>128</v>
      </c>
      <c r="CB421" s="10">
        <v>96</v>
      </c>
      <c r="CC421" s="10">
        <v>116</v>
      </c>
      <c r="CD421" s="10">
        <v>20.6</v>
      </c>
      <c r="CE421" s="10">
        <v>1773</v>
      </c>
      <c r="CF421" s="10">
        <v>1.03</v>
      </c>
      <c r="CG421" s="10">
        <v>1830</v>
      </c>
      <c r="CH421" s="10">
        <v>168</v>
      </c>
      <c r="CI421" s="10">
        <v>86</v>
      </c>
      <c r="CJ421" s="10">
        <v>44</v>
      </c>
      <c r="CK421" s="10">
        <v>227</v>
      </c>
      <c r="CL421" s="10">
        <v>30</v>
      </c>
      <c r="CM421" s="10">
        <v>153</v>
      </c>
      <c r="CN421" s="10">
        <v>0.67100000000000004</v>
      </c>
      <c r="CO421" s="10">
        <v>118</v>
      </c>
      <c r="CP421" s="10">
        <v>111</v>
      </c>
      <c r="CQ421" s="10">
        <v>109</v>
      </c>
      <c r="CR421" s="10">
        <v>12</v>
      </c>
      <c r="CS421" s="10">
        <v>6.4</v>
      </c>
      <c r="CT421" s="9" t="s">
        <v>188</v>
      </c>
      <c r="CU421" s="10"/>
      <c r="CV421" s="10"/>
      <c r="CW421" s="10"/>
      <c r="CX421" t="str">
        <f>INDEX('Data_Price '!AG$2:AG$1266,MATCH(Data!$DN421,'Data_Price '!$AT$2:$AT$1266,0))</f>
        <v>Black Crows Camox Skis 2022</v>
      </c>
      <c r="CY421" t="str">
        <f>INDEX('Data_Price '!AH$2:AH$1266,MATCH(Data!$DN421,'Data_Price '!$AT$2:$AT$1266,0))</f>
        <v>Teton Wasatch Ski Co.</v>
      </c>
      <c r="CZ421">
        <f>INDEX('Data_Price '!AI$2:AI$1266,MATCH(Data!$DN421,'Data_Price '!$AT$2:$AT$1266,0))</f>
        <v>575</v>
      </c>
      <c r="DA421" t="str">
        <f>INDEX('Data_Price '!AJ$2:AJ$1266,MATCH(Data!$DN421,'Data_Price '!$AT$2:$AT$1266,0))</f>
        <v>https://tinyurl.com/y9zw3afn</v>
      </c>
      <c r="DB421" t="str">
        <f>INDEX('Data_Price '!AK$2:AK$1266,MATCH(Data!$DN421,'Data_Price '!$AT$2:$AT$1266,0))</f>
        <v>Black Crows Camox Birdie Skis</v>
      </c>
      <c r="DC421" t="str">
        <f>INDEX('Data_Price '!AL$2:AL$1266,MATCH(Data!$DN421,'Data_Price '!$AT$2:$AT$1266,0))</f>
        <v>Cole Sport</v>
      </c>
      <c r="DD421">
        <f>INDEX('Data_Price '!AM$2:AM$1266,MATCH(Data!$DN421,'Data_Price '!$AT$2:$AT$1266,0))</f>
        <v>575.96</v>
      </c>
      <c r="DE421" t="str">
        <f>INDEX('Data_Price '!AN$2:AN$1266,MATCH(Data!$DN421,'Data_Price '!$AT$2:$AT$1266,0))</f>
        <v>https://tinyurl.com/y7n7uqkt</v>
      </c>
      <c r="DF421" t="str">
        <f>INDEX('Data_Price '!AO$2:AO$1266,MATCH(Data!$DN421,'Data_Price '!$AT$2:$AT$1266,0))</f>
        <v>Black Crows Camox Skis 2022</v>
      </c>
      <c r="DG421" t="str">
        <f>INDEX('Data_Price '!AP$2:AP$1266,MATCH(Data!$DN421,'Data_Price '!$AT$2:$AT$1266,0))</f>
        <v>evo.com</v>
      </c>
      <c r="DH421">
        <f>INDEX('Data_Price '!AQ$2:AQ$1266,MATCH(Data!$DN421,'Data_Price '!$AT$2:$AT$1266,0))</f>
        <v>575.96</v>
      </c>
      <c r="DI421" t="str">
        <f>INDEX('Data_Price '!AR$2:AR$1266,MATCH(Data!$DN421,'Data_Price '!$AT$2:$AT$1266,0))</f>
        <v>https://tinyurl.com/y79vce9s</v>
      </c>
      <c r="DJ421" s="89" t="str">
        <f t="shared" si="254"/>
        <v>https://tinyurl.com/y9zw3afn</v>
      </c>
      <c r="DK421" s="89" t="str">
        <f t="shared" si="255"/>
        <v>https://tinyurl.com/y7n7uqkt</v>
      </c>
      <c r="DL421" s="89" t="str">
        <f t="shared" si="256"/>
        <v>https://tinyurl.com/y79vce9s</v>
      </c>
      <c r="DM421" s="219" t="str">
        <f t="shared" si="257"/>
        <v>Camox</v>
      </c>
      <c r="DN421" s="89" t="str">
        <f t="shared" si="258"/>
        <v xml:space="preserve"> Black CrowsCamox174.2 Unisex</v>
      </c>
      <c r="DO421" s="221" t="s">
        <v>508</v>
      </c>
    </row>
    <row r="422" spans="2:119" ht="15.6" customHeight="1">
      <c r="B422" s="219" t="b">
        <f t="array" ref="B422">IF(OR(ISERROR(K422:P422)),FALSE,TRUE)</f>
        <v>1</v>
      </c>
      <c r="C422" s="43" t="b">
        <f>OR(BR422=Driver!$G$50,Data!BR812=Driver!$H$50)</f>
        <v>1</v>
      </c>
      <c r="D422" s="43" t="b">
        <f>OR(BV422=Driver!$G$51,BV422=Driver!$H$51)</f>
        <v>1</v>
      </c>
      <c r="E422" s="43" t="b">
        <f>AND(BX422&gt;Driver!$F$54,BX422&lt;Driver!$G$54)</f>
        <v>0</v>
      </c>
      <c r="F422" s="43" t="b">
        <f>CL422&gt;Driver!$F$56</f>
        <v>1</v>
      </c>
      <c r="G422" s="43" t="b">
        <f>AND(CB422&gt;Driver!$F$55,CB422&lt;Driver!$G$55)</f>
        <v>1</v>
      </c>
      <c r="H422" s="43" t="b">
        <f t="shared" si="222"/>
        <v>0</v>
      </c>
      <c r="I422" s="43">
        <f t="shared" si="223"/>
        <v>0</v>
      </c>
      <c r="J422" s="43" t="b">
        <f t="array" ref="J422">NOT(OR(($H$9:$H$1273=TRUE)*($I$9:$I$1273&gt;0)*($BT$9:$BT$1273=BT422)*($K$9:$K$1273&gt;K422)))</f>
        <v>1</v>
      </c>
      <c r="K422" s="72">
        <f t="shared" si="224"/>
        <v>0.86388340558346521</v>
      </c>
      <c r="L422" s="72">
        <f t="shared" si="225"/>
        <v>0.95744766025238937</v>
      </c>
      <c r="M422" s="72">
        <f t="shared" si="226"/>
        <v>0.77031915091454095</v>
      </c>
      <c r="N422" s="72">
        <f t="shared" si="227"/>
        <v>0.70245928081925868</v>
      </c>
      <c r="O422" s="72">
        <f t="shared" si="228"/>
        <v>0.65021758120706474</v>
      </c>
      <c r="P422" s="72">
        <f t="shared" si="229"/>
        <v>0.95828059071729954</v>
      </c>
      <c r="Q422" s="72"/>
      <c r="R422" s="72"/>
      <c r="S422" s="72">
        <f t="shared" si="230"/>
        <v>0.42947128942787671</v>
      </c>
      <c r="T422" s="72">
        <f t="shared" si="231"/>
        <v>0.47662642369282671</v>
      </c>
      <c r="U422" s="72">
        <f t="shared" si="232"/>
        <v>0.53397715347107244</v>
      </c>
      <c r="V422" s="72">
        <f t="shared" si="233"/>
        <v>0.59998979240912831</v>
      </c>
      <c r="W422" s="72">
        <f t="shared" si="234"/>
        <v>0.83882664013822716</v>
      </c>
      <c r="X422" s="72">
        <f t="shared" si="235"/>
        <v>4.2552339747610579E-2</v>
      </c>
      <c r="Y422" s="72">
        <f t="shared" si="236"/>
        <v>0.22968084908545902</v>
      </c>
      <c r="Z422" s="72">
        <f t="shared" si="237"/>
        <v>0.29754071918074132</v>
      </c>
      <c r="AA422" s="72">
        <f t="shared" si="238"/>
        <v>0.3497824187929352</v>
      </c>
      <c r="AB422" s="72">
        <f t="shared" si="239"/>
        <v>4.1719409282700431E-2</v>
      </c>
      <c r="AC422" s="72"/>
      <c r="AD422" s="72"/>
      <c r="AE422" s="72">
        <f t="shared" si="240"/>
        <v>0.57052871057212329</v>
      </c>
      <c r="AF422" s="72">
        <f t="shared" si="241"/>
        <v>0.52337357630717329</v>
      </c>
      <c r="AG422" s="72">
        <f t="shared" si="242"/>
        <v>0.46602284652892756</v>
      </c>
      <c r="AH422" s="72">
        <f t="shared" si="243"/>
        <v>0.40001020759087169</v>
      </c>
      <c r="AI422" s="72">
        <f t="shared" si="244"/>
        <v>0.16117335986177289</v>
      </c>
      <c r="AJ422" s="72">
        <f>(AV422-Driver!$K$179)/(Driver!$L$179-Driver!$K$179)</f>
        <v>0.21166706953508985</v>
      </c>
      <c r="AK422" s="72">
        <f>(AW422-Driver!$K$180)/(Driver!$L$180-Driver!$K$180)</f>
        <v>0.22786791097090411</v>
      </c>
      <c r="AL422" s="72">
        <f>(AX422-Driver!$K$181)/(Driver!$L$181-Driver!$K$181)</f>
        <v>0.39922848289382151</v>
      </c>
      <c r="AM422" s="72">
        <f>(AY422-Driver!$K$182)/(Driver!$L$182-Driver!$K$182)</f>
        <v>9.760260230411115E-2</v>
      </c>
      <c r="AN422" s="72">
        <f>(AZ422-Driver!$K$183)/(Driver!$L$183-Driver!$K$183)</f>
        <v>0.21249999999999999</v>
      </c>
      <c r="AO422" s="72"/>
      <c r="AP422" s="72"/>
      <c r="AQ422" s="72">
        <f>(BC422-Driver!$K$188)/(Driver!$L$188-Driver!$K$188)</f>
        <v>4.9471289427876736E-2</v>
      </c>
      <c r="AR422" s="72">
        <f>MIN((BD422-Driver!$K$189)/(Driver!$L$189-Driver!$K$189),100%)</f>
        <v>2.6626423692826709E-2</v>
      </c>
      <c r="AS422" s="72">
        <f>(BE422-Driver!$K$190)/(Driver!$L$190-Driver!$K$190)</f>
        <v>4.3977153471072422E-2</v>
      </c>
      <c r="AT422" s="72">
        <f>(BF422-Driver!$K$191)/(Driver!$L$191-Driver!$K$191)</f>
        <v>0.10998979240912829</v>
      </c>
      <c r="AU422" s="72">
        <f>(BG422-Driver!$K$192)/(Driver!$L$192-Driver!$K$192)</f>
        <v>8.8826640138227123E-2</v>
      </c>
      <c r="AV422" s="70">
        <f t="shared" si="245"/>
        <v>4.4549586216252886</v>
      </c>
      <c r="AW422" s="70">
        <f t="shared" si="246"/>
        <v>24.079639660665364</v>
      </c>
      <c r="AX422" s="70">
        <f t="shared" si="247"/>
        <v>4.5930563460443938</v>
      </c>
      <c r="AY422" s="70">
        <f>IFERROR(Driver!$K$19/Data!BH422/Data!BI422*Data!BK422*Data!BL422,"")</f>
        <v>0.11949470702603562</v>
      </c>
      <c r="AZ422" s="70">
        <f t="shared" si="248"/>
        <v>19.367088607594937</v>
      </c>
      <c r="BA422" s="70"/>
      <c r="BB422" s="70"/>
      <c r="BC422" s="70">
        <f t="shared" si="249"/>
        <v>25.661101745064169</v>
      </c>
      <c r="BD422" s="70">
        <f t="shared" si="250"/>
        <v>4.0772142016818487</v>
      </c>
      <c r="BE422" s="70">
        <f t="shared" si="251"/>
        <v>4.4147697186397696E-2</v>
      </c>
      <c r="BF422" s="70">
        <f t="shared" si="252"/>
        <v>12.422574330586349</v>
      </c>
      <c r="BG422" s="70">
        <f t="shared" si="253"/>
        <v>0.33635432483376093</v>
      </c>
      <c r="BH422" s="67">
        <f>MAX((CE422-Driver!$F$200)/(Driver!$G$200-Driver!$F$200)*$BI$1,1)</f>
        <v>4.5930563460443938</v>
      </c>
      <c r="BI422" s="67">
        <f>MAX($BI$1*(BY422-Driver!$F$201)/(Driver!$G$201-Driver!$F$201),1)</f>
        <v>6.4556962025316453</v>
      </c>
      <c r="BJ422" s="67">
        <f>(CB422-Driver!$F$206)/(Driver!$G$206-Driver!$F$206)*$BI$1</f>
        <v>5.8730158730158735</v>
      </c>
      <c r="BK422" s="67">
        <f>(CD422-Driver!$F$203)/(Driver!$G$203-Driver!$F$203)*$BI$1</f>
        <v>3.2110091743119265</v>
      </c>
      <c r="BL422" s="67">
        <f>MAX((CR422-Driver!$F$202)/(Driver!$G$202-Driver!$F$202)*$BI$1,1)</f>
        <v>5.5172413793103452</v>
      </c>
      <c r="BM422" s="67">
        <f>MAX((CH422-Driver!$F$204)/(Driver!$G$204-Driver!$F$204)*$BI$1,1)</f>
        <v>3.0341880341880341</v>
      </c>
      <c r="BN422" s="67">
        <f>(CI422-Driver!$F$205)/(Driver!$G$205-Driver!$F$205)*$BI$1</f>
        <v>3</v>
      </c>
      <c r="BO422" s="67">
        <f>(CK422-Driver!$F$207)/(Driver!$G$207-Driver!$F$207)*$BI$1</f>
        <v>2.3784901758014478</v>
      </c>
      <c r="BP422" s="67">
        <f>(CM422-Driver!$F$208)/(Driver!$G$208-Driver!$F$208)*$BI$1</f>
        <v>2.8555555555555556</v>
      </c>
      <c r="BQ422" s="67">
        <f>(CL422-Driver!$F$209)/(Driver!$G$209-Driver!$F$209)*$BI$1</f>
        <v>4.6875</v>
      </c>
      <c r="BR422" s="28" t="s">
        <v>155</v>
      </c>
      <c r="BS422" s="8" t="s">
        <v>215</v>
      </c>
      <c r="BT422" s="9" t="s">
        <v>592</v>
      </c>
      <c r="BU422" s="10">
        <v>171</v>
      </c>
      <c r="BV422" s="9" t="s">
        <v>158</v>
      </c>
      <c r="BW422" s="10">
        <v>171</v>
      </c>
      <c r="BX422" s="10">
        <v>169.9</v>
      </c>
      <c r="BY422" s="10">
        <v>110</v>
      </c>
      <c r="BZ422" s="10">
        <v>141</v>
      </c>
      <c r="CA422" s="10">
        <v>134</v>
      </c>
      <c r="CB422" s="10">
        <v>101</v>
      </c>
      <c r="CC422" s="10">
        <v>121</v>
      </c>
      <c r="CD422" s="10">
        <v>16.399999999999999</v>
      </c>
      <c r="CE422" s="10">
        <v>1707</v>
      </c>
      <c r="CF422" s="10">
        <v>1.1100000000000001</v>
      </c>
      <c r="CG422" s="10">
        <v>1889</v>
      </c>
      <c r="CH422" s="10">
        <v>172</v>
      </c>
      <c r="CI422" s="10">
        <v>84</v>
      </c>
      <c r="CJ422" s="10">
        <v>52</v>
      </c>
      <c r="CK422" s="10">
        <v>340</v>
      </c>
      <c r="CL422" s="10">
        <v>30</v>
      </c>
      <c r="CM422" s="10">
        <v>257</v>
      </c>
      <c r="CN422" s="10">
        <v>0.56799999999999995</v>
      </c>
      <c r="CO422" s="10">
        <v>136</v>
      </c>
      <c r="CP422" s="10">
        <v>158</v>
      </c>
      <c r="CQ422" s="10">
        <v>204</v>
      </c>
      <c r="CR422" s="10">
        <v>5</v>
      </c>
      <c r="CS422" s="10">
        <v>8.3000000000000007</v>
      </c>
      <c r="CT422" s="9" t="s">
        <v>188</v>
      </c>
      <c r="CU422" s="9" t="s">
        <v>169</v>
      </c>
      <c r="CV422" s="9" t="s">
        <v>185</v>
      </c>
      <c r="CW422" s="10"/>
      <c r="CX422" t="str">
        <f>INDEX('Data_Price '!AG$2:AG$1266,MATCH(Data!$DN422,'Data_Price '!$AT$2:$AT$1266,0))</f>
        <v>Liberty Origin 101 Skis - 2022 - 171cm</v>
      </c>
      <c r="CY422" t="str">
        <f>INDEX('Data_Price '!AH$2:AH$1266,MATCH(Data!$DN422,'Data_Price '!$AT$2:$AT$1266,0))</f>
        <v>ColoradoSkiShop.com</v>
      </c>
      <c r="CZ422">
        <f>INDEX('Data_Price '!AI$2:AI$1266,MATCH(Data!$DN422,'Data_Price '!$AT$2:$AT$1266,0))</f>
        <v>529.99</v>
      </c>
      <c r="DA422" t="str">
        <f>INDEX('Data_Price '!AJ$2:AJ$1266,MATCH(Data!$DN422,'Data_Price '!$AT$2:$AT$1266,0))</f>
        <v>https://tinyurl.com/y9hktdg6</v>
      </c>
      <c r="DB422" t="str">
        <f>INDEX('Data_Price '!AK$2:AK$1266,MATCH(Data!$DN422,'Data_Price '!$AT$2:$AT$1266,0))</f>
        <v>Liberty 22 Origin 101 171cm Demo</v>
      </c>
      <c r="DC422" t="str">
        <f>INDEX('Data_Price '!AL$2:AL$1266,MATCH(Data!$DN422,'Data_Price '!$AT$2:$AT$1266,0))</f>
        <v>Play It Again Sports</v>
      </c>
      <c r="DD422">
        <f>INDEX('Data_Price '!AM$2:AM$1266,MATCH(Data!$DN422,'Data_Price '!$AT$2:$AT$1266,0))</f>
        <v>549.91</v>
      </c>
      <c r="DE422" t="str">
        <f>INDEX('Data_Price '!AN$2:AN$1266,MATCH(Data!$DN422,'Data_Price '!$AT$2:$AT$1266,0))</f>
        <v>https://tinyurl.com/ybgc2ssd</v>
      </c>
      <c r="DF422" t="str">
        <f>INDEX('Data_Price '!AO$2:AO$1266,MATCH(Data!$DN422,'Data_Price '!$AT$2:$AT$1266,0))</f>
        <v>Liberty Origin 101 Skis 171cm 2022</v>
      </c>
      <c r="DG422" t="str">
        <f>INDEX('Data_Price '!AP$2:AP$1266,MATCH(Data!$DN422,'Data_Price '!$AT$2:$AT$1266,0))</f>
        <v>Powder7 Ski Shop</v>
      </c>
      <c r="DH422">
        <f>INDEX('Data_Price '!AQ$2:AQ$1266,MATCH(Data!$DN422,'Data_Price '!$AT$2:$AT$1266,0))</f>
        <v>549.99</v>
      </c>
      <c r="DI422" t="str">
        <f>INDEX('Data_Price '!AR$2:AR$1266,MATCH(Data!$DN422,'Data_Price '!$AT$2:$AT$1266,0))</f>
        <v>https://tinyurl.com/yc3gwsd6</v>
      </c>
      <c r="DJ422" s="89" t="str">
        <f t="shared" si="254"/>
        <v>https://tinyurl.com/y9hktdg6</v>
      </c>
      <c r="DK422" s="89" t="str">
        <f t="shared" si="255"/>
        <v>https://tinyurl.com/ybgc2ssd</v>
      </c>
      <c r="DL422" s="89" t="str">
        <f t="shared" si="256"/>
        <v>https://tinyurl.com/yc3gwsd6</v>
      </c>
      <c r="DM422" s="219" t="str">
        <f t="shared" si="257"/>
        <v>Origin 101</v>
      </c>
      <c r="DN422" s="89" t="str">
        <f t="shared" si="258"/>
        <v xml:space="preserve"> LibertyOrigin 101171 Unisex</v>
      </c>
      <c r="DO422" s="221" t="s">
        <v>593</v>
      </c>
    </row>
    <row r="423" spans="2:119" ht="15.6" customHeight="1">
      <c r="B423" s="219" t="b">
        <f t="array" ref="B423">IF(OR(ISERROR(K423:P423)),FALSE,TRUE)</f>
        <v>1</v>
      </c>
      <c r="C423" s="43" t="b">
        <f>OR(BR423=Driver!$G$50,Data!BR226=Driver!$H$50)</f>
        <v>1</v>
      </c>
      <c r="D423" s="43" t="b">
        <f>OR(BV423=Driver!$G$51,BV423=Driver!$H$51)</f>
        <v>1</v>
      </c>
      <c r="E423" s="43" t="b">
        <f>AND(BX423&gt;Driver!$F$54,BX423&lt;Driver!$G$54)</f>
        <v>0</v>
      </c>
      <c r="F423" s="43" t="b">
        <f>CL423&gt;Driver!$F$56</f>
        <v>1</v>
      </c>
      <c r="G423" s="43" t="b">
        <f>AND(CB423&gt;Driver!$F$55,CB423&lt;Driver!$G$55)</f>
        <v>1</v>
      </c>
      <c r="H423" s="43" t="b">
        <f t="shared" si="222"/>
        <v>0</v>
      </c>
      <c r="I423" s="43">
        <f t="shared" si="223"/>
        <v>0</v>
      </c>
      <c r="J423" s="43" t="b">
        <f t="array" ref="J423">NOT(OR(($H$9:$H$1273=TRUE)*($I$9:$I$1273&gt;0)*($BT$9:$BT$1273=BT423)*($K$9:$K$1273&gt;K423)))</f>
        <v>1</v>
      </c>
      <c r="K423" s="72">
        <f t="shared" si="224"/>
        <v>0.80124813555667573</v>
      </c>
      <c r="L423" s="72">
        <f t="shared" si="225"/>
        <v>0.86778801777516679</v>
      </c>
      <c r="M423" s="72">
        <f t="shared" si="226"/>
        <v>0.73470825333818479</v>
      </c>
      <c r="N423" s="72">
        <f t="shared" si="227"/>
        <v>0.57092193812653746</v>
      </c>
      <c r="O423" s="72">
        <f t="shared" si="228"/>
        <v>0.66323922463476936</v>
      </c>
      <c r="P423" s="72">
        <f t="shared" si="229"/>
        <v>0.96996359725324721</v>
      </c>
      <c r="Q423" s="72"/>
      <c r="R423" s="72"/>
      <c r="S423" s="72">
        <f t="shared" si="230"/>
        <v>0.46067806546485945</v>
      </c>
      <c r="T423" s="72">
        <f t="shared" si="231"/>
        <v>0.46661132702801134</v>
      </c>
      <c r="U423" s="72">
        <f t="shared" si="232"/>
        <v>0.51021467524724728</v>
      </c>
      <c r="V423" s="72">
        <f t="shared" si="233"/>
        <v>0.60667087476261994</v>
      </c>
      <c r="W423" s="72">
        <f t="shared" si="234"/>
        <v>0.80060288335517693</v>
      </c>
      <c r="X423" s="72">
        <f t="shared" si="235"/>
        <v>0.13221198222483321</v>
      </c>
      <c r="Y423" s="72">
        <f t="shared" si="236"/>
        <v>0.26529174666181526</v>
      </c>
      <c r="Z423" s="72">
        <f t="shared" si="237"/>
        <v>0.42907806187346254</v>
      </c>
      <c r="AA423" s="72">
        <f t="shared" si="238"/>
        <v>0.33676077536523058</v>
      </c>
      <c r="AB423" s="72">
        <f t="shared" si="239"/>
        <v>3.0036402746752733E-2</v>
      </c>
      <c r="AC423" s="72"/>
      <c r="AD423" s="72"/>
      <c r="AE423" s="72">
        <f t="shared" si="240"/>
        <v>0.53932193453514055</v>
      </c>
      <c r="AF423" s="72">
        <f t="shared" si="241"/>
        <v>0.53338867297198866</v>
      </c>
      <c r="AG423" s="72">
        <f t="shared" si="242"/>
        <v>0.48978532475275272</v>
      </c>
      <c r="AH423" s="72">
        <f t="shared" si="243"/>
        <v>0.39332912523738006</v>
      </c>
      <c r="AI423" s="72">
        <f t="shared" si="244"/>
        <v>0.19939711664482307</v>
      </c>
      <c r="AJ423" s="72">
        <f>(AV423-Driver!$K$179)/(Driver!$L$179-Driver!$K$179)</f>
        <v>0.38643139150753364</v>
      </c>
      <c r="AK423" s="72">
        <f>(AW423-Driver!$K$180)/(Driver!$L$180-Driver!$K$180)</f>
        <v>0.25110395931627838</v>
      </c>
      <c r="AL423" s="72">
        <f>(AX423-Driver!$K$181)/(Driver!$L$181-Driver!$K$181)</f>
        <v>0.53076582558654273</v>
      </c>
      <c r="AM423" s="72">
        <f>(AY423-Driver!$K$182)/(Driver!$L$182-Driver!$K$182)</f>
        <v>0.1106242457318158</v>
      </c>
      <c r="AN423" s="72">
        <f>(AZ423-Driver!$K$183)/(Driver!$L$183-Driver!$K$183)</f>
        <v>0.22418300653594769</v>
      </c>
      <c r="AO423" s="72"/>
      <c r="AP423" s="72"/>
      <c r="AQ423" s="72">
        <f>(BC423-Driver!$K$188)/(Driver!$L$188-Driver!$K$188)</f>
        <v>8.0678065464859464E-2</v>
      </c>
      <c r="AR423" s="72">
        <f>MIN((BD423-Driver!$K$189)/(Driver!$L$189-Driver!$K$189),100%)</f>
        <v>1.6611327028011401E-2</v>
      </c>
      <c r="AS423" s="72">
        <f>(BE423-Driver!$K$190)/(Driver!$L$190-Driver!$K$190)</f>
        <v>2.021467524724729E-2</v>
      </c>
      <c r="AT423" s="72">
        <f>(BF423-Driver!$K$191)/(Driver!$L$191-Driver!$K$191)</f>
        <v>0.11667087476261997</v>
      </c>
      <c r="AU423" s="72">
        <f>(BG423-Driver!$K$192)/(Driver!$L$192-Driver!$K$192)</f>
        <v>5.0602883355176924E-2</v>
      </c>
      <c r="AV423" s="70">
        <f t="shared" si="245"/>
        <v>8.1332247998914671</v>
      </c>
      <c r="AW423" s="70">
        <f t="shared" si="246"/>
        <v>26.344198464255527</v>
      </c>
      <c r="AX423" s="70">
        <f t="shared" si="247"/>
        <v>5.7768924302788847</v>
      </c>
      <c r="AY423" s="70">
        <f>IFERROR(Driver!$K$19/Data!BH423/Data!BI423*Data!BK423*Data!BL423,"")</f>
        <v>0.13543708386495243</v>
      </c>
      <c r="AZ423" s="70">
        <f t="shared" si="248"/>
        <v>20.431868950111689</v>
      </c>
      <c r="BA423" s="70"/>
      <c r="BB423" s="70"/>
      <c r="BC423" s="70">
        <f t="shared" si="249"/>
        <v>41.848273421434477</v>
      </c>
      <c r="BD423" s="70">
        <f t="shared" si="250"/>
        <v>3.1908958925469157</v>
      </c>
      <c r="BE423" s="70">
        <f t="shared" si="251"/>
        <v>2.0389457921229606E-2</v>
      </c>
      <c r="BF423" s="70">
        <f t="shared" si="252"/>
        <v>13.177155645153237</v>
      </c>
      <c r="BG423" s="70">
        <f t="shared" si="253"/>
        <v>0.19161479753242644</v>
      </c>
      <c r="BH423" s="67">
        <f>MAX((CE423-Driver!$F$200)/(Driver!$G$200-Driver!$F$200)*$BI$1,1)</f>
        <v>5.7768924302788847</v>
      </c>
      <c r="BI423" s="67">
        <f>MAX($BI$1*(BY423-Driver!$F$201)/(Driver!$G$201-Driver!$F$201),1)</f>
        <v>6.2025316455696204</v>
      </c>
      <c r="BJ423" s="67">
        <f>(CB423-Driver!$F$206)/(Driver!$G$206-Driver!$F$206)*$BI$1</f>
        <v>6.9841269841269842</v>
      </c>
      <c r="BK423" s="67">
        <f>(CD423-Driver!$F$203)/(Driver!$G$203-Driver!$F$203)*$BI$1</f>
        <v>5.4128440366972477</v>
      </c>
      <c r="BL423" s="67">
        <f>MAX((CR423-Driver!$F$202)/(Driver!$G$202-Driver!$F$202)*$BI$1,1)</f>
        <v>4.4827586206896548</v>
      </c>
      <c r="BM423" s="67">
        <f>MAX((CH423-Driver!$F$204)/(Driver!$G$204-Driver!$F$204)*$BI$1,1)</f>
        <v>4.6581196581196584</v>
      </c>
      <c r="BN423" s="67">
        <f>(CI423-Driver!$F$205)/(Driver!$G$205-Driver!$F$205)*$BI$1</f>
        <v>3.2941176470588234</v>
      </c>
      <c r="BO423" s="67">
        <f>(CK423-Driver!$F$207)/(Driver!$G$207-Driver!$F$207)*$BI$1</f>
        <v>4.1778697001034129</v>
      </c>
      <c r="BP423" s="67">
        <f>(CM423-Driver!$F$208)/(Driver!$G$208-Driver!$F$208)*$BI$1</f>
        <v>2.4444444444444442</v>
      </c>
      <c r="BQ423" s="67">
        <f>(CL423-Driver!$F$209)/(Driver!$G$209-Driver!$F$209)*$BI$1</f>
        <v>5.15625</v>
      </c>
      <c r="BR423" s="28" t="s">
        <v>155</v>
      </c>
      <c r="BS423" s="8" t="s">
        <v>237</v>
      </c>
      <c r="BT423" s="9" t="s">
        <v>486</v>
      </c>
      <c r="BU423" s="10">
        <v>181.4</v>
      </c>
      <c r="BV423" s="9" t="s">
        <v>158</v>
      </c>
      <c r="BW423" s="10">
        <v>181.4</v>
      </c>
      <c r="BX423" s="10">
        <v>179.6</v>
      </c>
      <c r="BY423" s="10">
        <v>106</v>
      </c>
      <c r="BZ423" s="10">
        <v>142</v>
      </c>
      <c r="CA423" s="10">
        <v>137</v>
      </c>
      <c r="CB423" s="10">
        <v>108</v>
      </c>
      <c r="CC423" s="10">
        <v>126</v>
      </c>
      <c r="CD423" s="10">
        <v>21.2</v>
      </c>
      <c r="CE423" s="10">
        <v>1915</v>
      </c>
      <c r="CF423" s="10">
        <v>1.1000000000000001</v>
      </c>
      <c r="CG423" s="10">
        <v>2104</v>
      </c>
      <c r="CH423" s="10">
        <v>210</v>
      </c>
      <c r="CI423" s="10">
        <v>89</v>
      </c>
      <c r="CJ423" s="10">
        <v>44</v>
      </c>
      <c r="CK423" s="10">
        <v>514</v>
      </c>
      <c r="CL423" s="10">
        <v>33</v>
      </c>
      <c r="CM423" s="10">
        <v>220</v>
      </c>
      <c r="CN423" s="10">
        <v>0.751</v>
      </c>
      <c r="CO423" s="10">
        <v>210</v>
      </c>
      <c r="CP423" s="10">
        <v>163</v>
      </c>
      <c r="CQ423" s="10">
        <v>305</v>
      </c>
      <c r="CR423" s="10">
        <v>2</v>
      </c>
      <c r="CS423" s="10">
        <v>8.3000000000000007</v>
      </c>
      <c r="CT423" s="9" t="s">
        <v>169</v>
      </c>
      <c r="CU423" s="9" t="s">
        <v>185</v>
      </c>
      <c r="CV423" s="10"/>
      <c r="CW423" s="10"/>
      <c r="CX423" t="str">
        <f>INDEX('Data_Price '!AG$2:AG$1266,MATCH(Data!$DN423,'Data_Price '!$AT$2:$AT$1266,0))</f>
        <v>Black Crows Ferox Freebird 181</v>
      </c>
      <c r="CY423" t="str">
        <f>INDEX('Data_Price '!AH$2:AH$1266,MATCH(Data!$DN423,'Data_Price '!$AT$2:$AT$1266,0))</f>
        <v>Outbound Mountain Gear</v>
      </c>
      <c r="CZ423">
        <f>INDEX('Data_Price '!AI$2:AI$1266,MATCH(Data!$DN423,'Data_Price '!$AT$2:$AT$1266,0))</f>
        <v>1019.99</v>
      </c>
      <c r="DA423" t="str">
        <f>INDEX('Data_Price '!AJ$2:AJ$1266,MATCH(Data!$DN423,'Data_Price '!$AT$2:$AT$1266,0))</f>
        <v>https://tinyurl.com/ybnrpj9s</v>
      </c>
      <c r="DB423" t="str">
        <f>INDEX('Data_Price '!AK$2:AK$1266,MATCH(Data!$DN423,'Data_Price '!$AT$2:$AT$1266,0))</f>
        <v>2022 Black Crows Ferox Freebird Skis w/ Marker Kingpin 13 Bindings - 181| Ski Essentials</v>
      </c>
      <c r="DC423" t="str">
        <f>INDEX('Data_Price '!AL$2:AL$1266,MATCH(Data!$DN423,'Data_Price '!$AT$2:$AT$1266,0))</f>
        <v>SkiEssentials.com</v>
      </c>
      <c r="DD423">
        <f>INDEX('Data_Price '!AM$2:AM$1266,MATCH(Data!$DN423,'Data_Price '!$AT$2:$AT$1266,0))</f>
        <v>1210.92</v>
      </c>
      <c r="DE423" t="str">
        <f>INDEX('Data_Price '!AN$2:AN$1266,MATCH(Data!$DN423,'Data_Price '!$AT$2:$AT$1266,0))</f>
        <v>https://tinyurl.com/y9jhmyvb</v>
      </c>
      <c r="DF423" t="str">
        <f>INDEX('Data_Price '!AO$2:AO$1266,MATCH(Data!$DN423,'Data_Price '!$AT$2:$AT$1266,0))</f>
        <v>Black Crows Ferox Freebird Skis (2022) 181</v>
      </c>
      <c r="DG423" t="str">
        <f>INDEX('Data_Price '!AP$2:AP$1266,MATCH(Data!$DN423,'Data_Price '!$AT$2:$AT$1266,0))</f>
        <v>Cripple Creek Backcountry</v>
      </c>
      <c r="DH423">
        <f>INDEX('Data_Price '!AQ$2:AQ$1266,MATCH(Data!$DN423,'Data_Price '!$AT$2:$AT$1266,0))</f>
        <v>799.95</v>
      </c>
      <c r="DI423" t="str">
        <f>INDEX('Data_Price '!AR$2:AR$1266,MATCH(Data!$DN423,'Data_Price '!$AT$2:$AT$1266,0))</f>
        <v>https://tinyurl.com/ydg4p9hq</v>
      </c>
      <c r="DJ423" s="89" t="str">
        <f t="shared" si="254"/>
        <v>https://tinyurl.com/ybnrpj9s</v>
      </c>
      <c r="DK423" s="89" t="str">
        <f t="shared" si="255"/>
        <v>https://tinyurl.com/y9jhmyvb</v>
      </c>
      <c r="DL423" s="89" t="str">
        <f t="shared" si="256"/>
        <v>https://tinyurl.com/ydg4p9hq</v>
      </c>
      <c r="DM423" s="219" t="str">
        <f t="shared" si="257"/>
        <v>Ferox Freebird</v>
      </c>
      <c r="DN423" s="89" t="str">
        <f t="shared" si="258"/>
        <v xml:space="preserve"> Black CrowsFerox Freebird181.4 Unisex</v>
      </c>
      <c r="DO423" s="221" t="s">
        <v>487</v>
      </c>
    </row>
    <row r="424" spans="2:119" ht="15.6" customHeight="1">
      <c r="B424" s="219" t="b">
        <f t="array" ref="B424">IF(OR(ISERROR(K424:P424)),FALSE,TRUE)</f>
        <v>1</v>
      </c>
      <c r="C424" s="43" t="b">
        <f>OR(BR424=Driver!$G$50,Data!BR1145=Driver!$H$50)</f>
        <v>1</v>
      </c>
      <c r="D424" s="43" t="b">
        <f>OR(BV424=Driver!$G$51,BV424=Driver!$H$51)</f>
        <v>1</v>
      </c>
      <c r="E424" s="43" t="b">
        <f>AND(BX424&gt;Driver!$F$54,BX424&lt;Driver!$G$54)</f>
        <v>1</v>
      </c>
      <c r="F424" s="43" t="b">
        <f>CL424&gt;Driver!$F$56</f>
        <v>1</v>
      </c>
      <c r="G424" s="43" t="b">
        <f>AND(CB424&gt;Driver!$F$55,CB424&lt;Driver!$G$55)</f>
        <v>0</v>
      </c>
      <c r="H424" s="43" t="b">
        <f t="shared" si="222"/>
        <v>0</v>
      </c>
      <c r="I424" s="43">
        <f t="shared" si="223"/>
        <v>0</v>
      </c>
      <c r="J424" s="43" t="b">
        <f t="array" ref="J424">NOT(OR(($H$9:$H$1273=TRUE)*($I$9:$I$1273&gt;0)*($BT$9:$BT$1273=BT424)*($K$9:$K$1273&gt;K424)))</f>
        <v>1</v>
      </c>
      <c r="K424" s="72">
        <f t="shared" si="224"/>
        <v>0.82814136133448835</v>
      </c>
      <c r="L424" s="72">
        <f t="shared" si="225"/>
        <v>0.83860147541635688</v>
      </c>
      <c r="M424" s="72">
        <f t="shared" si="226"/>
        <v>0.8176812472526197</v>
      </c>
      <c r="N424" s="72">
        <f t="shared" si="227"/>
        <v>0.79289120392050449</v>
      </c>
      <c r="O424" s="72">
        <f t="shared" si="228"/>
        <v>0.67063901090759548</v>
      </c>
      <c r="P424" s="72">
        <f t="shared" si="229"/>
        <v>0.98951352692975925</v>
      </c>
      <c r="Q424" s="72"/>
      <c r="R424" s="72"/>
      <c r="S424" s="72">
        <f t="shared" si="230"/>
        <v>0.4723740126610293</v>
      </c>
      <c r="T424" s="72">
        <f t="shared" si="231"/>
        <v>0.53764849873793696</v>
      </c>
      <c r="U424" s="72">
        <f t="shared" si="232"/>
        <v>0.973612109746268</v>
      </c>
      <c r="V424" s="72">
        <f t="shared" si="233"/>
        <v>0.4947313710442971</v>
      </c>
      <c r="W424" s="72">
        <f t="shared" si="234"/>
        <v>0.8777484939759036</v>
      </c>
      <c r="X424" s="72">
        <f t="shared" si="235"/>
        <v>0.16139852458364315</v>
      </c>
      <c r="Y424" s="72">
        <f t="shared" si="236"/>
        <v>0.18231875274738027</v>
      </c>
      <c r="Z424" s="72">
        <f t="shared" si="237"/>
        <v>0.20710879607949551</v>
      </c>
      <c r="AA424" s="72">
        <f t="shared" si="238"/>
        <v>0.32936098909240447</v>
      </c>
      <c r="AB424" s="72">
        <f t="shared" si="239"/>
        <v>1.0486473070240698E-2</v>
      </c>
      <c r="AC424" s="72"/>
      <c r="AD424" s="72"/>
      <c r="AE424" s="72">
        <f t="shared" si="240"/>
        <v>0.5276259873389707</v>
      </c>
      <c r="AF424" s="72">
        <f t="shared" si="241"/>
        <v>0.46235150126206304</v>
      </c>
      <c r="AG424" s="72">
        <f t="shared" si="242"/>
        <v>2.6387890253732005E-2</v>
      </c>
      <c r="AH424" s="72">
        <f t="shared" si="243"/>
        <v>0.5052686289557029</v>
      </c>
      <c r="AI424" s="72">
        <f t="shared" si="244"/>
        <v>0.1222515060240964</v>
      </c>
      <c r="AJ424" s="72">
        <f>(AV424-Driver!$K$179)/(Driver!$L$179-Driver!$K$179)</f>
        <v>9.2820884699057277E-2</v>
      </c>
      <c r="AK424" s="72">
        <f>(AW424-Driver!$K$180)/(Driver!$L$180-Driver!$K$180)</f>
        <v>0.26859400858899524</v>
      </c>
      <c r="AL424" s="72">
        <f>(AX424-Driver!$K$181)/(Driver!$L$181-Driver!$K$181)</f>
        <v>0.3087965597925757</v>
      </c>
      <c r="AM424" s="72">
        <f>(AY424-Driver!$K$182)/(Driver!$L$182-Driver!$K$182)</f>
        <v>0.11802403200464191</v>
      </c>
      <c r="AN424" s="72">
        <f>(AZ424-Driver!$K$183)/(Driver!$L$183-Driver!$K$183)</f>
        <v>0.26470588235294112</v>
      </c>
      <c r="AO424" s="72"/>
      <c r="AP424" s="72"/>
      <c r="AQ424" s="72">
        <f>(BC424-Driver!$K$188)/(Driver!$L$188-Driver!$K$188)</f>
        <v>9.2374012661029278E-2</v>
      </c>
      <c r="AR424" s="72">
        <f>MIN((BD424-Driver!$K$189)/(Driver!$L$189-Driver!$K$189),100%)</f>
        <v>8.7648498737937008E-2</v>
      </c>
      <c r="AS424" s="72">
        <f>(BE424-Driver!$K$190)/(Driver!$L$190-Driver!$K$190)</f>
        <v>0.53638789025373201</v>
      </c>
      <c r="AT424" s="72">
        <f>(BF424-Driver!$K$191)/(Driver!$L$191-Driver!$K$191)</f>
        <v>4.7313710442970667E-3</v>
      </c>
      <c r="AU424" s="72">
        <f>(BG424-Driver!$K$192)/(Driver!$L$192-Driver!$K$192)</f>
        <v>0.1277484939759036</v>
      </c>
      <c r="AV424" s="70">
        <f t="shared" si="245"/>
        <v>1.9536019536019535</v>
      </c>
      <c r="AW424" s="70">
        <f t="shared" si="246"/>
        <v>28.048758743483965</v>
      </c>
      <c r="AX424" s="70">
        <f t="shared" si="247"/>
        <v>3.7791690381331815</v>
      </c>
      <c r="AY424" s="70">
        <f>IFERROR(Driver!$K$19/Data!BH424/Data!BI424*Data!BK424*Data!BL424,"")</f>
        <v>0.14449663014601907</v>
      </c>
      <c r="AZ424" s="70">
        <f t="shared" si="248"/>
        <v>24.125093075204763</v>
      </c>
      <c r="BA424" s="70"/>
      <c r="BB424" s="70"/>
      <c r="BC424" s="70">
        <f t="shared" si="249"/>
        <v>47.915042540993547</v>
      </c>
      <c r="BD424" s="70">
        <f t="shared" si="250"/>
        <v>9.4775597184552058</v>
      </c>
      <c r="BE424" s="70">
        <f t="shared" si="251"/>
        <v>0.53647059343593417</v>
      </c>
      <c r="BF424" s="70">
        <f t="shared" si="252"/>
        <v>0.53437511969052809</v>
      </c>
      <c r="BG424" s="70">
        <f t="shared" si="253"/>
        <v>0.48373729292168671</v>
      </c>
      <c r="BH424" s="67">
        <f>MAX((CE424-Driver!$F$200)/(Driver!$G$200-Driver!$F$200)*$BI$1,1)</f>
        <v>3.7791690381331815</v>
      </c>
      <c r="BI424" s="67">
        <f>MAX($BI$1*(BY424-Driver!$F$201)/(Driver!$G$201-Driver!$F$201),1)</f>
        <v>7.5949367088607591</v>
      </c>
      <c r="BJ424" s="67">
        <f>(CB424-Driver!$F$206)/(Driver!$G$206-Driver!$F$206)*$BI$1</f>
        <v>2.5396825396825395</v>
      </c>
      <c r="BK424" s="67">
        <f>(CD424-Driver!$F$203)/(Driver!$G$203-Driver!$F$203)*$BI$1</f>
        <v>3.1651376146788994</v>
      </c>
      <c r="BL424" s="67">
        <f>MAX((CR424-Driver!$F$202)/(Driver!$G$202-Driver!$F$202)*$BI$1,1)</f>
        <v>6.5517241379310338</v>
      </c>
      <c r="BM424" s="67">
        <f>MAX((CH424-Driver!$F$204)/(Driver!$G$204-Driver!$F$204)*$BI$1,1)</f>
        <v>3.0769230769230771</v>
      </c>
      <c r="BN424" s="67">
        <f>(CI424-Driver!$F$205)/(Driver!$G$205-Driver!$F$205)*$BI$1</f>
        <v>3.1764705882352939</v>
      </c>
      <c r="BO424" s="67">
        <f>(CK424-Driver!$F$207)/(Driver!$G$207-Driver!$F$207)*$BI$1</f>
        <v>0.43433298862461223</v>
      </c>
      <c r="BP424" s="67">
        <f>(CM424-Driver!$F$208)/(Driver!$G$208-Driver!$F$208)*$BI$1</f>
        <v>1.5333333333333332</v>
      </c>
      <c r="BQ424" s="67">
        <f>(CL424-Driver!$F$209)/(Driver!$G$209-Driver!$F$209)*$BI$1</f>
        <v>5.625</v>
      </c>
      <c r="BR424" s="28" t="s">
        <v>155</v>
      </c>
      <c r="BS424" s="8" t="s">
        <v>229</v>
      </c>
      <c r="BT424" s="9" t="s">
        <v>285</v>
      </c>
      <c r="BU424" s="10">
        <v>158</v>
      </c>
      <c r="BV424" s="9" t="s">
        <v>158</v>
      </c>
      <c r="BW424" s="10">
        <v>158</v>
      </c>
      <c r="BX424" s="10">
        <v>157.1</v>
      </c>
      <c r="BY424" s="10">
        <v>128</v>
      </c>
      <c r="BZ424" s="10">
        <v>134</v>
      </c>
      <c r="CA424" s="10">
        <v>111</v>
      </c>
      <c r="CB424" s="10">
        <v>80</v>
      </c>
      <c r="CC424" s="10">
        <v>104</v>
      </c>
      <c r="CD424" s="10">
        <v>16.3</v>
      </c>
      <c r="CE424" s="10">
        <v>1564</v>
      </c>
      <c r="CF424" s="10">
        <v>0.91</v>
      </c>
      <c r="CG424" s="10">
        <v>1423</v>
      </c>
      <c r="CH424" s="10">
        <v>173</v>
      </c>
      <c r="CI424" s="10">
        <v>87</v>
      </c>
      <c r="CJ424" s="10">
        <v>43</v>
      </c>
      <c r="CK424" s="10">
        <v>152</v>
      </c>
      <c r="CL424" s="10">
        <v>36</v>
      </c>
      <c r="CM424" s="10">
        <v>138</v>
      </c>
      <c r="CN424" s="10">
        <v>0.83799999999999997</v>
      </c>
      <c r="CO424" s="10">
        <v>91</v>
      </c>
      <c r="CP424" s="10">
        <v>137</v>
      </c>
      <c r="CQ424" s="10">
        <v>61</v>
      </c>
      <c r="CR424" s="10">
        <v>8</v>
      </c>
      <c r="CS424" s="10">
        <v>2.5</v>
      </c>
      <c r="CT424" s="9" t="s">
        <v>188</v>
      </c>
      <c r="CU424" s="9" t="s">
        <v>184</v>
      </c>
      <c r="CV424" s="10"/>
      <c r="CW424" s="10"/>
      <c r="CX424" t="e">
        <f>INDEX('Data_Price '!AG$2:AG$1266,MATCH(Data!$DN424,'Data_Price '!$AT$2:$AT$1266,0))</f>
        <v>#N/A</v>
      </c>
      <c r="CY424" t="e">
        <f>INDEX('Data_Price '!AH$2:AH$1266,MATCH(Data!$DN424,'Data_Price '!$AT$2:$AT$1266,0))</f>
        <v>#N/A</v>
      </c>
      <c r="CZ424" t="e">
        <f>INDEX('Data_Price '!AI$2:AI$1266,MATCH(Data!$DN424,'Data_Price '!$AT$2:$AT$1266,0))</f>
        <v>#N/A</v>
      </c>
      <c r="DA424" t="e">
        <f>INDEX('Data_Price '!AJ$2:AJ$1266,MATCH(Data!$DN424,'Data_Price '!$AT$2:$AT$1266,0))</f>
        <v>#N/A</v>
      </c>
      <c r="DB424" t="e">
        <f>INDEX('Data_Price '!AK$2:AK$1266,MATCH(Data!$DN424,'Data_Price '!$AT$2:$AT$1266,0))</f>
        <v>#N/A</v>
      </c>
      <c r="DC424" t="e">
        <f>INDEX('Data_Price '!AL$2:AL$1266,MATCH(Data!$DN424,'Data_Price '!$AT$2:$AT$1266,0))</f>
        <v>#N/A</v>
      </c>
      <c r="DD424" t="e">
        <f>INDEX('Data_Price '!AM$2:AM$1266,MATCH(Data!$DN424,'Data_Price '!$AT$2:$AT$1266,0))</f>
        <v>#N/A</v>
      </c>
      <c r="DE424" t="e">
        <f>INDEX('Data_Price '!AN$2:AN$1266,MATCH(Data!$DN424,'Data_Price '!$AT$2:$AT$1266,0))</f>
        <v>#N/A</v>
      </c>
      <c r="DF424" t="e">
        <f>INDEX('Data_Price '!AO$2:AO$1266,MATCH(Data!$DN424,'Data_Price '!$AT$2:$AT$1266,0))</f>
        <v>#N/A</v>
      </c>
      <c r="DG424" t="e">
        <f>INDEX('Data_Price '!AP$2:AP$1266,MATCH(Data!$DN424,'Data_Price '!$AT$2:$AT$1266,0))</f>
        <v>#N/A</v>
      </c>
      <c r="DH424" t="e">
        <f>INDEX('Data_Price '!AQ$2:AQ$1266,MATCH(Data!$DN424,'Data_Price '!$AT$2:$AT$1266,0))</f>
        <v>#N/A</v>
      </c>
      <c r="DI424" t="e">
        <f>INDEX('Data_Price '!AR$2:AR$1266,MATCH(Data!$DN424,'Data_Price '!$AT$2:$AT$1266,0))</f>
        <v>#N/A</v>
      </c>
      <c r="DJ424" s="89" t="e">
        <f t="shared" si="254"/>
        <v>#N/A</v>
      </c>
      <c r="DK424" s="89" t="e">
        <f t="shared" si="255"/>
        <v>#N/A</v>
      </c>
      <c r="DL424" s="89" t="e">
        <f t="shared" si="256"/>
        <v>#N/A</v>
      </c>
      <c r="DM424" s="219" t="str">
        <f t="shared" si="257"/>
        <v>Bash 81</v>
      </c>
      <c r="DN424" s="89" t="str">
        <f t="shared" si="258"/>
        <v xml:space="preserve"> VölklBash 81158 Unisex</v>
      </c>
      <c r="DO424" s="221" t="s">
        <v>286</v>
      </c>
    </row>
    <row r="425" spans="2:119" ht="15.6" customHeight="1">
      <c r="B425" s="219" t="b">
        <f t="array" ref="B425">IF(OR(ISERROR(K425:P425)),FALSE,TRUE)</f>
        <v>1</v>
      </c>
      <c r="C425" s="43" t="b">
        <f>OR(BR425=Driver!$G$50,Data!BR820=Driver!$H$50)</f>
        <v>1</v>
      </c>
      <c r="D425" s="43" t="b">
        <f>OR(BV425=Driver!$G$51,BV425=Driver!$H$51)</f>
        <v>1</v>
      </c>
      <c r="E425" s="43" t="b">
        <f>AND(BX425&gt;Driver!$F$54,BX425&lt;Driver!$G$54)</f>
        <v>0</v>
      </c>
      <c r="F425" s="43" t="b">
        <f>CL425&gt;Driver!$F$56</f>
        <v>1</v>
      </c>
      <c r="G425" s="43" t="b">
        <f>AND(CB425&gt;Driver!$F$55,CB425&lt;Driver!$G$55)</f>
        <v>0</v>
      </c>
      <c r="H425" s="43" t="b">
        <f t="shared" si="222"/>
        <v>0</v>
      </c>
      <c r="I425" s="43">
        <f t="shared" si="223"/>
        <v>0</v>
      </c>
      <c r="J425" s="43" t="b">
        <f t="array" ref="J425">NOT(OR(($H$9:$H$1273=TRUE)*($I$9:$I$1273&gt;0)*($BT$9:$BT$1273=BT425)*($K$9:$K$1273&gt;K425)))</f>
        <v>1</v>
      </c>
      <c r="K425" s="72">
        <f t="shared" si="224"/>
        <v>0.78678416897223591</v>
      </c>
      <c r="L425" s="72">
        <f t="shared" si="225"/>
        <v>0.87777915466985701</v>
      </c>
      <c r="M425" s="72">
        <f t="shared" si="226"/>
        <v>0.6957891832746147</v>
      </c>
      <c r="N425" s="72">
        <f t="shared" si="227"/>
        <v>0.53487564710016688</v>
      </c>
      <c r="O425" s="72">
        <f t="shared" si="228"/>
        <v>0.65979210128411414</v>
      </c>
      <c r="P425" s="72">
        <f t="shared" si="229"/>
        <v>0.89269980143956318</v>
      </c>
      <c r="Q425" s="72"/>
      <c r="R425" s="72"/>
      <c r="S425" s="72">
        <f t="shared" si="230"/>
        <v>0.51575107731010794</v>
      </c>
      <c r="T425" s="72">
        <f t="shared" si="231"/>
        <v>0.5396886928672131</v>
      </c>
      <c r="U425" s="72">
        <f t="shared" si="232"/>
        <v>0.52708974381230433</v>
      </c>
      <c r="V425" s="72">
        <f t="shared" si="233"/>
        <v>0.55332527086589345</v>
      </c>
      <c r="W425" s="72">
        <f t="shared" si="234"/>
        <v>0.78360221580453893</v>
      </c>
      <c r="X425" s="72">
        <f t="shared" si="235"/>
        <v>0.12222084533014294</v>
      </c>
      <c r="Y425" s="72">
        <f t="shared" si="236"/>
        <v>0.3042108167253853</v>
      </c>
      <c r="Z425" s="72">
        <f t="shared" si="237"/>
        <v>0.46512435289983312</v>
      </c>
      <c r="AA425" s="72">
        <f t="shared" si="238"/>
        <v>0.34020789871588591</v>
      </c>
      <c r="AB425" s="72">
        <f t="shared" si="239"/>
        <v>0.10730019856043682</v>
      </c>
      <c r="AC425" s="72"/>
      <c r="AD425" s="72"/>
      <c r="AE425" s="72">
        <f t="shared" si="240"/>
        <v>0.48424892268989206</v>
      </c>
      <c r="AF425" s="72">
        <f t="shared" si="241"/>
        <v>0.46031130713278695</v>
      </c>
      <c r="AG425" s="72">
        <f t="shared" si="242"/>
        <v>0.47291025618769567</v>
      </c>
      <c r="AH425" s="72">
        <f t="shared" si="243"/>
        <v>0.44667472913410655</v>
      </c>
      <c r="AI425" s="72">
        <f t="shared" si="244"/>
        <v>0.21639778419546105</v>
      </c>
      <c r="AJ425" s="72">
        <f>(AV425-Driver!$K$179)/(Driver!$L$179-Driver!$K$179)</f>
        <v>0.37644025461284336</v>
      </c>
      <c r="AK425" s="72">
        <f>(AW425-Driver!$K$180)/(Driver!$L$180-Driver!$K$180)</f>
        <v>0.38282055983737534</v>
      </c>
      <c r="AL425" s="72">
        <f>(AX425-Driver!$K$181)/(Driver!$L$181-Driver!$K$181)</f>
        <v>0.56681211661291331</v>
      </c>
      <c r="AM425" s="72">
        <f>(AY425-Driver!$K$182)/(Driver!$L$182-Driver!$K$182)</f>
        <v>0.10717712238116045</v>
      </c>
      <c r="AN425" s="72">
        <f>(AZ425-Driver!$K$183)/(Driver!$L$183-Driver!$K$183)</f>
        <v>0.36151960784313725</v>
      </c>
      <c r="AO425" s="72"/>
      <c r="AP425" s="72"/>
      <c r="AQ425" s="72">
        <f>(BC425-Driver!$K$188)/(Driver!$L$188-Driver!$K$188)</f>
        <v>0.13575107731010796</v>
      </c>
      <c r="AR425" s="72">
        <f>MIN((BD425-Driver!$K$189)/(Driver!$L$189-Driver!$K$189),100%)</f>
        <v>8.968869286721308E-2</v>
      </c>
      <c r="AS425" s="72">
        <f>(BE425-Driver!$K$190)/(Driver!$L$190-Driver!$K$190)</f>
        <v>3.7089743812304357E-2</v>
      </c>
      <c r="AT425" s="72">
        <f>(BF425-Driver!$K$191)/(Driver!$L$191-Driver!$K$191)</f>
        <v>6.3325270865893443E-2</v>
      </c>
      <c r="AU425" s="72">
        <f>(BG425-Driver!$K$192)/(Driver!$L$192-Driver!$K$192)</f>
        <v>3.3602215804538954E-2</v>
      </c>
      <c r="AV425" s="70">
        <f t="shared" si="245"/>
        <v>7.9229412562745889</v>
      </c>
      <c r="AW425" s="70">
        <f t="shared" si="246"/>
        <v>39.1811483128471</v>
      </c>
      <c r="AX425" s="70">
        <f t="shared" si="247"/>
        <v>6.1013090495162201</v>
      </c>
      <c r="AY425" s="70">
        <f>IFERROR(Driver!$K$19/Data!BH425/Data!BI425*Data!BK425*Data!BL425,"")</f>
        <v>0.13121677636141144</v>
      </c>
      <c r="AZ425" s="70">
        <f t="shared" si="248"/>
        <v>32.948622486969469</v>
      </c>
      <c r="BA425" s="70"/>
      <c r="BB425" s="70"/>
      <c r="BC425" s="70">
        <f t="shared" si="249"/>
        <v>70.415027526931837</v>
      </c>
      <c r="BD425" s="70">
        <f t="shared" si="250"/>
        <v>9.6581132838860526</v>
      </c>
      <c r="BE425" s="70">
        <f t="shared" si="251"/>
        <v>3.7261516163991655E-2</v>
      </c>
      <c r="BF425" s="70">
        <f t="shared" si="252"/>
        <v>7.1521444590960845</v>
      </c>
      <c r="BG425" s="70">
        <f t="shared" si="253"/>
        <v>0.12723942493227358</v>
      </c>
      <c r="BH425" s="67">
        <f>MAX((CE425-Driver!$F$200)/(Driver!$G$200-Driver!$F$200)*$BI$1,1)</f>
        <v>6.1013090495162201</v>
      </c>
      <c r="BI425" s="67">
        <f>MAX($BI$1*(BY425-Driver!$F$201)/(Driver!$G$201-Driver!$F$201),1)</f>
        <v>7.4683544303797467</v>
      </c>
      <c r="BJ425" s="67">
        <f>(CB425-Driver!$F$206)/(Driver!$G$206-Driver!$F$206)*$BI$1</f>
        <v>5.0793650793650791</v>
      </c>
      <c r="BK425" s="67">
        <f>(CD425-Driver!$F$203)/(Driver!$G$203-Driver!$F$203)*$BI$1</f>
        <v>4.8165137614678901</v>
      </c>
      <c r="BL425" s="67">
        <f>MAX((CR425-Driver!$F$202)/(Driver!$G$202-Driver!$F$202)*$BI$1,1)</f>
        <v>6.2068965517241379</v>
      </c>
      <c r="BM425" s="67">
        <f>MAX((CH425-Driver!$F$204)/(Driver!$G$204-Driver!$F$204)*$BI$1,1)</f>
        <v>6.2393162393162394</v>
      </c>
      <c r="BN425" s="67">
        <f>(CI425-Driver!$F$205)/(Driver!$G$205-Driver!$F$205)*$BI$1</f>
        <v>4.4117647058823533</v>
      </c>
      <c r="BO425" s="67">
        <f>(CK425-Driver!$F$207)/(Driver!$G$207-Driver!$F$207)*$BI$1</f>
        <v>2.2440537745604963</v>
      </c>
      <c r="BP425" s="67">
        <f>(CM425-Driver!$F$208)/(Driver!$G$208-Driver!$F$208)*$BI$1</f>
        <v>3.0222222222222221</v>
      </c>
      <c r="BQ425" s="67">
        <f>(CL425-Driver!$F$209)/(Driver!$G$209-Driver!$F$209)*$BI$1</f>
        <v>4.84375</v>
      </c>
      <c r="BR425" s="28" t="s">
        <v>155</v>
      </c>
      <c r="BS425" s="8" t="s">
        <v>215</v>
      </c>
      <c r="BT425" s="9" t="s">
        <v>281</v>
      </c>
      <c r="BU425" s="10">
        <v>187</v>
      </c>
      <c r="BV425" s="9" t="s">
        <v>158</v>
      </c>
      <c r="BW425" s="10">
        <v>187</v>
      </c>
      <c r="BX425" s="10">
        <v>185.8</v>
      </c>
      <c r="BY425" s="10">
        <v>126</v>
      </c>
      <c r="BZ425" s="10">
        <v>156</v>
      </c>
      <c r="CA425" s="10">
        <v>129</v>
      </c>
      <c r="CB425" s="10">
        <v>96</v>
      </c>
      <c r="CC425" s="10">
        <v>117</v>
      </c>
      <c r="CD425" s="10">
        <v>19.899999999999999</v>
      </c>
      <c r="CE425" s="10">
        <v>1972</v>
      </c>
      <c r="CF425" s="10">
        <v>1</v>
      </c>
      <c r="CG425" s="10">
        <v>1972</v>
      </c>
      <c r="CH425" s="10">
        <v>247</v>
      </c>
      <c r="CI425" s="10">
        <v>108</v>
      </c>
      <c r="CJ425" s="10">
        <v>44</v>
      </c>
      <c r="CK425" s="10">
        <v>327</v>
      </c>
      <c r="CL425" s="10">
        <v>31</v>
      </c>
      <c r="CM425" s="10">
        <v>272</v>
      </c>
      <c r="CN425" s="10">
        <v>0.71</v>
      </c>
      <c r="CO425" s="10">
        <v>136</v>
      </c>
      <c r="CP425" s="10">
        <v>167</v>
      </c>
      <c r="CQ425" s="10">
        <v>191</v>
      </c>
      <c r="CR425" s="10">
        <v>7</v>
      </c>
      <c r="CS425" s="10">
        <v>8.3000000000000007</v>
      </c>
      <c r="CT425" s="9" t="s">
        <v>188</v>
      </c>
      <c r="CU425" s="10"/>
      <c r="CV425" s="10"/>
      <c r="CW425" s="10"/>
      <c r="CX425" t="str">
        <f>INDEX('Data_Price '!AG$2:AG$1266,MATCH(Data!$DN425,'Data_Price '!$AT$2:$AT$1266,0))</f>
        <v>'21 Liberty Origin 96 Skis 187cm</v>
      </c>
      <c r="CY425" t="str">
        <f>INDEX('Data_Price '!AH$2:AH$1266,MATCH(Data!$DN425,'Data_Price '!$AT$2:$AT$1266,0))</f>
        <v>Al's Ski Equipment Barn</v>
      </c>
      <c r="CZ425">
        <f>INDEX('Data_Price '!AI$2:AI$1266,MATCH(Data!$DN425,'Data_Price '!$AT$2:$AT$1266,0))</f>
        <v>499.95</v>
      </c>
      <c r="DA425" t="str">
        <f>INDEX('Data_Price '!AJ$2:AJ$1266,MATCH(Data!$DN425,'Data_Price '!$AT$2:$AT$1266,0))</f>
        <v>https://tinyurl.com/yb9hkehm</v>
      </c>
      <c r="DB425" t="str">
        <f>INDEX('Data_Price '!AK$2:AK$1266,MATCH(Data!$DN425,'Data_Price '!$AT$2:$AT$1266,0))</f>
        <v>Liberty Origin 96 Skis 2021</v>
      </c>
      <c r="DC425" t="str">
        <f>INDEX('Data_Price '!AL$2:AL$1266,MATCH(Data!$DN425,'Data_Price '!$AT$2:$AT$1266,0))</f>
        <v>eBay - skibarn</v>
      </c>
      <c r="DD425">
        <f>INDEX('Data_Price '!AM$2:AM$1266,MATCH(Data!$DN425,'Data_Price '!$AT$2:$AT$1266,0))</f>
        <v>569.95000000000005</v>
      </c>
      <c r="DE425" t="str">
        <f>INDEX('Data_Price '!AN$2:AN$1266,MATCH(Data!$DN425,'Data_Price '!$AT$2:$AT$1266,0))</f>
        <v>https://tinyurl.com/ycu3wpv9</v>
      </c>
      <c r="DF425" t="str">
        <f>INDEX('Data_Price '!AO$2:AO$1266,MATCH(Data!$DN425,'Data_Price '!$AT$2:$AT$1266,0))</f>
        <v>Liberty Skis Men ' S Origin 96 All - Mountain Skis</v>
      </c>
      <c r="DG425" t="str">
        <f>INDEX('Data_Price '!AP$2:AP$1266,MATCH(Data!$DN425,'Data_Price '!$AT$2:$AT$1266,0))</f>
        <v>BobWards.com</v>
      </c>
      <c r="DH425">
        <f>INDEX('Data_Price '!AQ$2:AQ$1266,MATCH(Data!$DN425,'Data_Price '!$AT$2:$AT$1266,0))</f>
        <v>599.95000000000005</v>
      </c>
      <c r="DI425" t="str">
        <f>INDEX('Data_Price '!AR$2:AR$1266,MATCH(Data!$DN425,'Data_Price '!$AT$2:$AT$1266,0))</f>
        <v>https://tinyurl.com/y7jpsr4w</v>
      </c>
      <c r="DJ425" s="89" t="str">
        <f t="shared" si="254"/>
        <v>https://tinyurl.com/yb9hkehm</v>
      </c>
      <c r="DK425" s="89" t="str">
        <f t="shared" si="255"/>
        <v>https://tinyurl.com/ycu3wpv9</v>
      </c>
      <c r="DL425" s="89" t="str">
        <f t="shared" si="256"/>
        <v>https://tinyurl.com/y7jpsr4w</v>
      </c>
      <c r="DM425" s="219" t="str">
        <f t="shared" si="257"/>
        <v>Origin 96</v>
      </c>
      <c r="DN425" s="89" t="str">
        <f t="shared" si="258"/>
        <v xml:space="preserve"> LibertyOrigin 96187 Unisex</v>
      </c>
      <c r="DO425" s="221" t="s">
        <v>282</v>
      </c>
    </row>
    <row r="426" spans="2:119" ht="15.6" customHeight="1">
      <c r="B426" s="219" t="b">
        <f t="array" ref="B426">IF(OR(ISERROR(K426:P426)),FALSE,TRUE)</f>
        <v>1</v>
      </c>
      <c r="C426" s="43" t="b">
        <f>OR(BR426=Driver!$G$50,Data!BR443=Driver!$H$50)</f>
        <v>1</v>
      </c>
      <c r="D426" s="43" t="b">
        <f>OR(BV426=Driver!$G$51,BV426=Driver!$H$51)</f>
        <v>0</v>
      </c>
      <c r="E426" s="43" t="b">
        <f>AND(BX426&gt;Driver!$F$54,BX426&lt;Driver!$G$54)</f>
        <v>1</v>
      </c>
      <c r="F426" s="43" t="b">
        <f>CL426&gt;Driver!$F$56</f>
        <v>1</v>
      </c>
      <c r="G426" s="43" t="b">
        <f>AND(CB426&gt;Driver!$F$55,CB426&lt;Driver!$G$55)</f>
        <v>1</v>
      </c>
      <c r="H426" s="43" t="b">
        <f t="shared" si="222"/>
        <v>0</v>
      </c>
      <c r="I426" s="43">
        <f t="shared" si="223"/>
        <v>0</v>
      </c>
      <c r="J426" s="43" t="b">
        <f t="array" ref="J426">NOT(OR(($H$9:$H$1273=TRUE)*($I$9:$I$1273&gt;0)*($BT$9:$BT$1273=BT426)*($K$9:$K$1273&gt;K426)))</f>
        <v>1</v>
      </c>
      <c r="K426" s="72">
        <f t="shared" si="224"/>
        <v>0.88980446051056261</v>
      </c>
      <c r="L426" s="72">
        <f t="shared" si="225"/>
        <v>0.9971704867772464</v>
      </c>
      <c r="M426" s="72">
        <f t="shared" si="226"/>
        <v>0.78243843424387882</v>
      </c>
      <c r="N426" s="72">
        <f t="shared" si="227"/>
        <v>0.78214055571965702</v>
      </c>
      <c r="O426" s="72">
        <f t="shared" si="228"/>
        <v>0.6392470974711506</v>
      </c>
      <c r="P426" s="72">
        <f t="shared" si="229"/>
        <v>0.92592764954082896</v>
      </c>
      <c r="Q426" s="72"/>
      <c r="R426" s="72"/>
      <c r="S426" s="72">
        <f t="shared" si="230"/>
        <v>0.4161812593921097</v>
      </c>
      <c r="T426" s="72">
        <f t="shared" si="231"/>
        <v>0.46867950769443079</v>
      </c>
      <c r="U426" s="72">
        <f t="shared" si="232"/>
        <v>0.56988996241593681</v>
      </c>
      <c r="V426" s="72">
        <f t="shared" si="233"/>
        <v>0.60207196684815556</v>
      </c>
      <c r="W426" s="72">
        <f t="shared" si="234"/>
        <v>0.81850770925110128</v>
      </c>
      <c r="X426" s="72">
        <f t="shared" si="235"/>
        <v>2.8295132227535991E-3</v>
      </c>
      <c r="Y426" s="72">
        <f t="shared" si="236"/>
        <v>0.21756156575612115</v>
      </c>
      <c r="Z426" s="72">
        <f t="shared" si="237"/>
        <v>0.21785944428034293</v>
      </c>
      <c r="AA426" s="72">
        <f t="shared" si="238"/>
        <v>0.3607529025288494</v>
      </c>
      <c r="AB426" s="72">
        <f t="shared" si="239"/>
        <v>7.4072350459171044E-2</v>
      </c>
      <c r="AC426" s="72"/>
      <c r="AD426" s="72"/>
      <c r="AE426" s="72">
        <f t="shared" si="240"/>
        <v>0.5838187406078903</v>
      </c>
      <c r="AF426" s="72">
        <f t="shared" si="241"/>
        <v>0.53132049230556921</v>
      </c>
      <c r="AG426" s="72">
        <f t="shared" si="242"/>
        <v>0.43011003758406319</v>
      </c>
      <c r="AH426" s="72">
        <f t="shared" si="243"/>
        <v>0.39792803315184438</v>
      </c>
      <c r="AI426" s="72">
        <f t="shared" si="244"/>
        <v>0.18149229074889867</v>
      </c>
      <c r="AJ426" s="72">
        <f>(AV426-Driver!$K$179)/(Driver!$L$179-Driver!$K$179)</f>
        <v>0.25138989605994683</v>
      </c>
      <c r="AK426" s="72">
        <f>(AW426-Driver!$K$180)/(Driver!$L$180-Driver!$K$180)</f>
        <v>0.1901167504051727</v>
      </c>
      <c r="AL426" s="72">
        <f>(AX426-Driver!$K$181)/(Driver!$L$181-Driver!$K$181)</f>
        <v>0.31954720799342312</v>
      </c>
      <c r="AM426" s="72">
        <f>(AY426-Driver!$K$182)/(Driver!$L$182-Driver!$K$182)</f>
        <v>8.6632118568196956E-2</v>
      </c>
      <c r="AN426" s="72">
        <f>(AZ426-Driver!$K$183)/(Driver!$L$183-Driver!$K$183)</f>
        <v>0.18014705882352938</v>
      </c>
      <c r="AO426" s="72"/>
      <c r="AP426" s="72"/>
      <c r="AQ426" s="72">
        <f>(BC426-Driver!$K$188)/(Driver!$L$188-Driver!$K$188)</f>
        <v>3.6181259392109713E-2</v>
      </c>
      <c r="AR426" s="72">
        <f>MIN((BD426-Driver!$K$189)/(Driver!$L$189-Driver!$K$189),100%)</f>
        <v>1.8679507694430848E-2</v>
      </c>
      <c r="AS426" s="72">
        <f>(BE426-Driver!$K$190)/(Driver!$L$190-Driver!$K$190)</f>
        <v>7.9889962415936794E-2</v>
      </c>
      <c r="AT426" s="72">
        <f>(BF426-Driver!$K$191)/(Driver!$L$191-Driver!$K$191)</f>
        <v>0.11207196684815562</v>
      </c>
      <c r="AU426" s="72">
        <f>(BG426-Driver!$K$192)/(Driver!$L$192-Driver!$K$192)</f>
        <v>6.850770925110132E-2</v>
      </c>
      <c r="AV426" s="70">
        <f t="shared" si="245"/>
        <v>5.291005291005292</v>
      </c>
      <c r="AW426" s="70">
        <f t="shared" si="246"/>
        <v>20.400454554223124</v>
      </c>
      <c r="AX426" s="70">
        <f t="shared" si="247"/>
        <v>3.8759248719408079</v>
      </c>
      <c r="AY426" s="70">
        <f>IFERROR(Driver!$K$19/Data!BH426/Data!BI426*Data!BK426*Data!BL426,"")</f>
        <v>0.10606356165685382</v>
      </c>
      <c r="AZ426" s="70">
        <f t="shared" si="248"/>
        <v>16.418466120625464</v>
      </c>
      <c r="BA426" s="70"/>
      <c r="BB426" s="70"/>
      <c r="BC426" s="70">
        <f t="shared" si="249"/>
        <v>18.767470774721918</v>
      </c>
      <c r="BD426" s="70">
        <f t="shared" si="250"/>
        <v>3.3739262169257418</v>
      </c>
      <c r="BE426" s="70">
        <f t="shared" si="251"/>
        <v>8.0054099690362188E-2</v>
      </c>
      <c r="BF426" s="70">
        <f t="shared" si="252"/>
        <v>12.657741305371157</v>
      </c>
      <c r="BG426" s="70">
        <f t="shared" si="253"/>
        <v>0.25941389041850221</v>
      </c>
      <c r="BH426" s="67">
        <f>MAX((CE426-Driver!$F$200)/(Driver!$G$200-Driver!$F$200)*$BI$1,1)</f>
        <v>3.8759248719408079</v>
      </c>
      <c r="BI426" s="67">
        <f>MAX($BI$1*(BY426-Driver!$F$201)/(Driver!$G$201-Driver!$F$201),1)</f>
        <v>6.2025316455696204</v>
      </c>
      <c r="BJ426" s="67">
        <f>(CB426-Driver!$F$206)/(Driver!$G$206-Driver!$F$206)*$BI$1</f>
        <v>6.1904761904761907</v>
      </c>
      <c r="BK426" s="67">
        <f>(CD426-Driver!$F$203)/(Driver!$G$203-Driver!$F$203)*$BI$1</f>
        <v>2.8440366972477067</v>
      </c>
      <c r="BL426" s="67">
        <f>MAX((CR426-Driver!$F$202)/(Driver!$G$202-Driver!$F$202)*$BI$1,1)</f>
        <v>4.4827586206896548</v>
      </c>
      <c r="BM426" s="67">
        <f>MAX((CH426-Driver!$F$204)/(Driver!$G$204-Driver!$F$204)*$BI$1,1)</f>
        <v>3.4188034188034191</v>
      </c>
      <c r="BN426" s="67">
        <f>(CI426-Driver!$F$205)/(Driver!$G$205-Driver!$F$205)*$BI$1</f>
        <v>2.6470588235294117</v>
      </c>
      <c r="BO426" s="67">
        <f>(CK426-Driver!$F$207)/(Driver!$G$207-Driver!$F$207)*$BI$1</f>
        <v>2.1716649431230612</v>
      </c>
      <c r="BP426" s="67">
        <f>(CM426-Driver!$F$208)/(Driver!$G$208-Driver!$F$208)*$BI$1</f>
        <v>2.677777777777778</v>
      </c>
      <c r="BQ426" s="67">
        <f>(CL426-Driver!$F$209)/(Driver!$G$209-Driver!$F$209)*$BI$1</f>
        <v>3.4375</v>
      </c>
      <c r="BR426" s="28" t="s">
        <v>155</v>
      </c>
      <c r="BS426" s="8" t="s">
        <v>164</v>
      </c>
      <c r="BT426" s="9" t="s">
        <v>366</v>
      </c>
      <c r="BU426" s="10">
        <v>162</v>
      </c>
      <c r="BV426" s="9" t="s">
        <v>163</v>
      </c>
      <c r="BW426" s="10">
        <v>162</v>
      </c>
      <c r="BX426" s="10">
        <v>161.80000000000001</v>
      </c>
      <c r="BY426" s="10">
        <v>106</v>
      </c>
      <c r="BZ426" s="10">
        <v>129</v>
      </c>
      <c r="CA426" s="10">
        <v>140</v>
      </c>
      <c r="CB426" s="10">
        <v>103</v>
      </c>
      <c r="CC426" s="10">
        <v>118</v>
      </c>
      <c r="CD426" s="10">
        <v>15.6</v>
      </c>
      <c r="CE426" s="10">
        <v>1581</v>
      </c>
      <c r="CF426" s="10">
        <v>1.17</v>
      </c>
      <c r="CG426" s="10">
        <v>1847</v>
      </c>
      <c r="CH426" s="10">
        <v>181</v>
      </c>
      <c r="CI426" s="10">
        <v>78</v>
      </c>
      <c r="CJ426" s="10">
        <v>54</v>
      </c>
      <c r="CK426" s="10">
        <v>320</v>
      </c>
      <c r="CL426" s="10">
        <v>22</v>
      </c>
      <c r="CM426" s="10">
        <v>241</v>
      </c>
      <c r="CN426" s="10">
        <v>0.40200000000000002</v>
      </c>
      <c r="CO426" s="10">
        <v>166</v>
      </c>
      <c r="CP426" s="10">
        <v>164</v>
      </c>
      <c r="CQ426" s="10">
        <v>154</v>
      </c>
      <c r="CR426" s="10">
        <v>2</v>
      </c>
      <c r="CS426" s="10">
        <v>6.1</v>
      </c>
      <c r="CT426" s="9" t="s">
        <v>188</v>
      </c>
      <c r="CU426" s="9" t="s">
        <v>169</v>
      </c>
      <c r="CV426" s="9" t="s">
        <v>185</v>
      </c>
      <c r="CW426" s="10"/>
      <c r="CX426" t="str">
        <f>INDEX('Data_Price '!AG$2:AG$1266,MATCH(Data!$DN426,'Data_Price '!$AT$2:$AT$1266,0))</f>
        <v>Elan Ripstick 102 W 162cm</v>
      </c>
      <c r="CY426" t="str">
        <f>INDEX('Data_Price '!AH$2:AH$1266,MATCH(Data!$DN426,'Data_Price '!$AT$2:$AT$1266,0))</f>
        <v>Sundance Ski and Board Shop</v>
      </c>
      <c r="CZ426">
        <f>INDEX('Data_Price '!AI$2:AI$1266,MATCH(Data!$DN426,'Data_Price '!$AT$2:$AT$1266,0))</f>
        <v>481.02</v>
      </c>
      <c r="DA426" t="str">
        <f>INDEX('Data_Price '!AJ$2:AJ$1266,MATCH(Data!$DN426,'Data_Price '!$AT$2:$AT$1266,0))</f>
        <v>https://tinyurl.com/y99oyrw8</v>
      </c>
      <c r="DB426" t="str">
        <f>INDEX('Data_Price '!AK$2:AK$1266,MATCH(Data!$DN426,'Data_Price '!$AT$2:$AT$1266,0))</f>
        <v>Elan Ripstick 102 W Women's Skis</v>
      </c>
      <c r="DC426" t="str">
        <f>INDEX('Data_Price '!AL$2:AL$1266,MATCH(Data!$DN426,'Data_Price '!$AT$2:$AT$1266,0))</f>
        <v>Next Adventure</v>
      </c>
      <c r="DD426">
        <f>INDEX('Data_Price '!AM$2:AM$1266,MATCH(Data!$DN426,'Data_Price '!$AT$2:$AT$1266,0))</f>
        <v>487.49</v>
      </c>
      <c r="DE426" t="str">
        <f>INDEX('Data_Price '!AN$2:AN$1266,MATCH(Data!$DN426,'Data_Price '!$AT$2:$AT$1266,0))</f>
        <v>https://tinyurl.com/ycub26wh</v>
      </c>
      <c r="DF426" t="str">
        <f>INDEX('Data_Price '!AO$2:AO$1266,MATCH(Data!$DN426,'Data_Price '!$AT$2:$AT$1266,0))</f>
        <v>Elan Ripstick 102 W Women's Skis</v>
      </c>
      <c r="DG426" t="str">
        <f>INDEX('Data_Price '!AP$2:AP$1266,MATCH(Data!$DN426,'Data_Price '!$AT$2:$AT$1266,0))</f>
        <v>Ski Pro  - Snow Ski &amp; Snowboard</v>
      </c>
      <c r="DH426">
        <f>INDEX('Data_Price '!AQ$2:AQ$1266,MATCH(Data!$DN426,'Data_Price '!$AT$2:$AT$1266,0))</f>
        <v>499.95</v>
      </c>
      <c r="DI426" t="str">
        <f>INDEX('Data_Price '!AR$2:AR$1266,MATCH(Data!$DN426,'Data_Price '!$AT$2:$AT$1266,0))</f>
        <v>https://tinyurl.com/y8djyws9</v>
      </c>
      <c r="DJ426" s="89" t="str">
        <f t="shared" si="254"/>
        <v>https://tinyurl.com/y99oyrw8</v>
      </c>
      <c r="DK426" s="89" t="str">
        <f t="shared" si="255"/>
        <v>https://tinyurl.com/ycub26wh</v>
      </c>
      <c r="DL426" s="89" t="str">
        <f t="shared" si="256"/>
        <v>https://tinyurl.com/y8djyws9</v>
      </c>
      <c r="DM426" s="219" t="str">
        <f t="shared" si="257"/>
        <v>Ripstick 102 W</v>
      </c>
      <c r="DN426" s="89" t="str">
        <f t="shared" si="258"/>
        <v xml:space="preserve"> ElanRipstick 102 W162 Women's</v>
      </c>
      <c r="DO426" s="221"/>
    </row>
    <row r="427" spans="2:119" ht="15.6" customHeight="1">
      <c r="B427" s="219" t="b">
        <f t="array" ref="B427">IF(OR(ISERROR(K427:P427)),FALSE,TRUE)</f>
        <v>1</v>
      </c>
      <c r="C427" s="43" t="b">
        <f>OR(BR427=Driver!$G$50,Data!BR869=Driver!$H$50)</f>
        <v>1</v>
      </c>
      <c r="D427" s="43" t="b">
        <f>OR(BV427=Driver!$G$51,BV427=Driver!$H$51)</f>
        <v>1</v>
      </c>
      <c r="E427" s="43" t="b">
        <f>AND(BX427&gt;Driver!$F$54,BX427&lt;Driver!$G$54)</f>
        <v>0</v>
      </c>
      <c r="F427" s="43" t="b">
        <f>CL427&gt;Driver!$F$56</f>
        <v>1</v>
      </c>
      <c r="G427" s="43" t="b">
        <f>AND(CB427&gt;Driver!$F$55,CB427&lt;Driver!$G$55)</f>
        <v>1</v>
      </c>
      <c r="H427" s="43" t="b">
        <f t="shared" si="222"/>
        <v>0</v>
      </c>
      <c r="I427" s="43">
        <f t="shared" si="223"/>
        <v>0</v>
      </c>
      <c r="J427" s="43" t="b">
        <f t="array" ref="J427">NOT(OR(($H$9:$H$1273=TRUE)*($I$9:$I$1273&gt;0)*($BT$9:$BT$1273=BT427)*($K$9:$K$1273&gt;K427)))</f>
        <v>1</v>
      </c>
      <c r="K427" s="72">
        <f t="shared" si="224"/>
        <v>0.84160936569805356</v>
      </c>
      <c r="L427" s="72">
        <f t="shared" si="225"/>
        <v>0.92852170746856855</v>
      </c>
      <c r="M427" s="72">
        <f t="shared" si="226"/>
        <v>0.75469702392753857</v>
      </c>
      <c r="N427" s="72">
        <f t="shared" si="227"/>
        <v>0.64301452017927885</v>
      </c>
      <c r="O427" s="72">
        <f t="shared" si="228"/>
        <v>0.63450420114416572</v>
      </c>
      <c r="P427" s="72">
        <f t="shared" si="229"/>
        <v>0.98657235045917102</v>
      </c>
      <c r="Q427" s="72"/>
      <c r="R427" s="72"/>
      <c r="S427" s="72">
        <f t="shared" si="230"/>
        <v>0.44015440620876123</v>
      </c>
      <c r="T427" s="72">
        <f t="shared" si="231"/>
        <v>0.46825049021847243</v>
      </c>
      <c r="U427" s="72">
        <f t="shared" si="232"/>
        <v>0.54714239135260512</v>
      </c>
      <c r="V427" s="72">
        <f t="shared" si="233"/>
        <v>0.5656998831622928</v>
      </c>
      <c r="W427" s="72">
        <f t="shared" si="234"/>
        <v>0.89296152423233432</v>
      </c>
      <c r="X427" s="72">
        <f t="shared" si="235"/>
        <v>7.1478292531431398E-2</v>
      </c>
      <c r="Y427" s="72">
        <f t="shared" si="236"/>
        <v>0.24530297607246146</v>
      </c>
      <c r="Z427" s="72">
        <f t="shared" si="237"/>
        <v>0.35698547982072115</v>
      </c>
      <c r="AA427" s="72">
        <f t="shared" si="238"/>
        <v>0.36549579885583428</v>
      </c>
      <c r="AB427" s="72">
        <f t="shared" si="239"/>
        <v>1.3427649540828979E-2</v>
      </c>
      <c r="AC427" s="72"/>
      <c r="AD427" s="72"/>
      <c r="AE427" s="72">
        <f t="shared" si="240"/>
        <v>0.55984559379123877</v>
      </c>
      <c r="AF427" s="72">
        <f t="shared" si="241"/>
        <v>0.53174950978152757</v>
      </c>
      <c r="AG427" s="72">
        <f t="shared" si="242"/>
        <v>0.45285760864739488</v>
      </c>
      <c r="AH427" s="72">
        <f t="shared" si="243"/>
        <v>0.43430011683770714</v>
      </c>
      <c r="AI427" s="72">
        <f t="shared" si="244"/>
        <v>0.10703847576766562</v>
      </c>
      <c r="AJ427" s="72">
        <f>(AV427-Driver!$K$179)/(Driver!$L$179-Driver!$K$179)</f>
        <v>0.18274111675126903</v>
      </c>
      <c r="AK427" s="72">
        <f>(AW427-Driver!$K$180)/(Driver!$L$180-Driver!$K$180)</f>
        <v>0.28473114522400567</v>
      </c>
      <c r="AL427" s="72">
        <f>(AX427-Driver!$K$181)/(Driver!$L$181-Driver!$K$181)</f>
        <v>0.45867324353380134</v>
      </c>
      <c r="AM427" s="72">
        <f>(AY427-Driver!$K$182)/(Driver!$L$182-Driver!$K$182)</f>
        <v>8.1889222241212076E-2</v>
      </c>
      <c r="AN427" s="72">
        <f>(AZ427-Driver!$K$183)/(Driver!$L$183-Driver!$K$183)</f>
        <v>0.2676470588235294</v>
      </c>
      <c r="AO427" s="72"/>
      <c r="AP427" s="72"/>
      <c r="AQ427" s="72">
        <f>(BC427-Driver!$K$188)/(Driver!$L$188-Driver!$K$188)</f>
        <v>6.0154406208761217E-2</v>
      </c>
      <c r="AR427" s="72">
        <f>MIN((BD427-Driver!$K$189)/(Driver!$L$189-Driver!$K$189),100%)</f>
        <v>1.8250490218472446E-2</v>
      </c>
      <c r="AS427" s="72">
        <f>(BE427-Driver!$K$190)/(Driver!$L$190-Driver!$K$190)</f>
        <v>5.714239135260514E-2</v>
      </c>
      <c r="AT427" s="72">
        <f>(BF427-Driver!$K$191)/(Driver!$L$191-Driver!$K$191)</f>
        <v>7.5699883162292883E-2</v>
      </c>
      <c r="AU427" s="72">
        <f>(BG427-Driver!$K$192)/(Driver!$L$192-Driver!$K$192)</f>
        <v>0.14296152423233438</v>
      </c>
      <c r="AV427" s="70">
        <f t="shared" si="245"/>
        <v>3.8461538461538463</v>
      </c>
      <c r="AW427" s="70">
        <f t="shared" si="246"/>
        <v>29.621465698142423</v>
      </c>
      <c r="AX427" s="70">
        <f t="shared" si="247"/>
        <v>5.128059191804212</v>
      </c>
      <c r="AY427" s="70">
        <f>IFERROR(Driver!$K$19/Data!BH427/Data!BI427*Data!BK427*Data!BL427,"")</f>
        <v>0.10025684140894454</v>
      </c>
      <c r="AZ427" s="70">
        <f t="shared" si="248"/>
        <v>24.393149664929265</v>
      </c>
      <c r="BA427" s="70"/>
      <c r="BB427" s="70"/>
      <c r="BC427" s="70">
        <f t="shared" si="249"/>
        <v>31.202508687131921</v>
      </c>
      <c r="BD427" s="70">
        <f t="shared" si="250"/>
        <v>3.3359589304774087</v>
      </c>
      <c r="BE427" s="70">
        <f t="shared" si="251"/>
        <v>5.7310586537673409E-2</v>
      </c>
      <c r="BF427" s="70">
        <f t="shared" si="252"/>
        <v>8.5497699814027506</v>
      </c>
      <c r="BG427" s="70">
        <f t="shared" si="253"/>
        <v>0.54134353033666283</v>
      </c>
      <c r="BH427" s="67">
        <f>MAX((CE427-Driver!$F$200)/(Driver!$G$200-Driver!$F$200)*$BI$1,1)</f>
        <v>5.128059191804212</v>
      </c>
      <c r="BI427" s="67">
        <f>MAX($BI$1*(BY427-Driver!$F$201)/(Driver!$G$201-Driver!$F$201),1)</f>
        <v>7.9746835443037973</v>
      </c>
      <c r="BJ427" s="67">
        <f>(CB427-Driver!$F$206)/(Driver!$G$206-Driver!$F$206)*$BI$1</f>
        <v>6.6666666666666661</v>
      </c>
      <c r="BK427" s="67">
        <f>(CD427-Driver!$F$203)/(Driver!$G$203-Driver!$F$203)*$BI$1</f>
        <v>3.3027522935779823</v>
      </c>
      <c r="BL427" s="67">
        <f>MAX((CR427-Driver!$F$202)/(Driver!$G$202-Driver!$F$202)*$BI$1,1)</f>
        <v>6.2068965517241379</v>
      </c>
      <c r="BM427" s="67">
        <f>MAX((CH427-Driver!$F$204)/(Driver!$G$204-Driver!$F$204)*$BI$1,1)</f>
        <v>2.3076923076923079</v>
      </c>
      <c r="BN427" s="67">
        <f>(CI427-Driver!$F$205)/(Driver!$G$205-Driver!$F$205)*$BI$1</f>
        <v>3.0588235294117649</v>
      </c>
      <c r="BO427" s="67">
        <f>(CK427-Driver!$F$207)/(Driver!$G$207-Driver!$F$207)*$BI$1</f>
        <v>1.9958634953464323</v>
      </c>
      <c r="BP427" s="67">
        <f>(CM427-Driver!$F$208)/(Driver!$G$208-Driver!$F$208)*$BI$1</f>
        <v>2.1222222222222222</v>
      </c>
      <c r="BQ427" s="67">
        <f>(CL427-Driver!$F$209)/(Driver!$G$209-Driver!$F$209)*$BI$1</f>
        <v>6.40625</v>
      </c>
      <c r="BR427" s="28" t="s">
        <v>155</v>
      </c>
      <c r="BS427" s="8" t="s">
        <v>208</v>
      </c>
      <c r="BT427" s="9" t="s">
        <v>422</v>
      </c>
      <c r="BU427" s="10">
        <v>184</v>
      </c>
      <c r="BV427" s="9" t="s">
        <v>158</v>
      </c>
      <c r="BW427" s="10">
        <v>184</v>
      </c>
      <c r="BX427" s="10">
        <v>183.2</v>
      </c>
      <c r="BY427" s="10">
        <v>134</v>
      </c>
      <c r="BZ427" s="10">
        <v>150</v>
      </c>
      <c r="CA427" s="10">
        <v>142</v>
      </c>
      <c r="CB427" s="10">
        <v>106</v>
      </c>
      <c r="CC427" s="10">
        <v>138</v>
      </c>
      <c r="CD427" s="10">
        <v>16.600000000000001</v>
      </c>
      <c r="CE427" s="10">
        <v>1801</v>
      </c>
      <c r="CF427" s="10">
        <v>1.17</v>
      </c>
      <c r="CG427" s="10">
        <v>2110</v>
      </c>
      <c r="CH427" s="10">
        <v>155</v>
      </c>
      <c r="CI427" s="10">
        <v>85</v>
      </c>
      <c r="CJ427" s="10">
        <v>40</v>
      </c>
      <c r="CK427" s="10">
        <v>303</v>
      </c>
      <c r="CL427" s="10">
        <v>41</v>
      </c>
      <c r="CM427" s="10">
        <v>191</v>
      </c>
      <c r="CN427" s="10">
        <v>1.0249999999999999</v>
      </c>
      <c r="CO427" s="10">
        <v>160</v>
      </c>
      <c r="CP427" s="10">
        <v>176</v>
      </c>
      <c r="CQ427" s="10">
        <v>143</v>
      </c>
      <c r="CR427" s="10">
        <v>7</v>
      </c>
      <c r="CS427" s="10">
        <v>2.4</v>
      </c>
      <c r="CT427" s="9" t="s">
        <v>184</v>
      </c>
      <c r="CU427" s="9" t="s">
        <v>169</v>
      </c>
      <c r="CV427" s="9" t="s">
        <v>185</v>
      </c>
      <c r="CW427" s="10"/>
      <c r="CX427" t="str">
        <f>INDEX('Data_Price '!AG$2:AG$1266,MATCH(Data!$DN427,'Data_Price '!$AT$2:$AT$1266,0))</f>
        <v>Line Accessories | Line Sir Francis Bacon Skis W Marker Jester Bindings 184cm | Color: Blue | Size: Os | Periscopes's Closet</v>
      </c>
      <c r="CY427" t="str">
        <f>INDEX('Data_Price '!AH$2:AH$1266,MATCH(Data!$DN427,'Data_Price '!$AT$2:$AT$1266,0))</f>
        <v>Poshmark</v>
      </c>
      <c r="CZ427">
        <f>INDEX('Data_Price '!AI$2:AI$1266,MATCH(Data!$DN427,'Data_Price '!$AT$2:$AT$1266,0))</f>
        <v>499</v>
      </c>
      <c r="DA427" t="str">
        <f>INDEX('Data_Price '!AJ$2:AJ$1266,MATCH(Data!$DN427,'Data_Price '!$AT$2:$AT$1266,0))</f>
        <v>https://tinyurl.com/yadn7nw2</v>
      </c>
      <c r="DB427" t="str">
        <f>INDEX('Data_Price '!AK$2:AK$1266,MATCH(Data!$DN427,'Data_Price '!$AT$2:$AT$1266,0))</f>
        <v xml:space="preserve"> Line 22 Sir Francis Bacon 184Cm Demo Skis</v>
      </c>
      <c r="DC427" t="str">
        <f>INDEX('Data_Price '!AL$2:AL$1266,MATCH(Data!$DN427,'Data_Price '!$AT$2:$AT$1266,0))</f>
        <v>Play It Again Sports</v>
      </c>
      <c r="DD427">
        <f>INDEX('Data_Price '!AM$2:AM$1266,MATCH(Data!$DN427,'Data_Price '!$AT$2:$AT$1266,0))</f>
        <v>549.91</v>
      </c>
      <c r="DE427" t="str">
        <f>INDEX('Data_Price '!AN$2:AN$1266,MATCH(Data!$DN427,'Data_Price '!$AT$2:$AT$1266,0))</f>
        <v>https://tinyurl.com/y76qujca</v>
      </c>
      <c r="DF427" t="str">
        <f>INDEX('Data_Price '!AO$2:AO$1266,MATCH(Data!$DN427,'Data_Price '!$AT$2:$AT$1266,0))</f>
        <v>Line Sir Francis Bacon Skis 2022</v>
      </c>
      <c r="DG427" t="str">
        <f>INDEX('Data_Price '!AP$2:AP$1266,MATCH(Data!$DN427,'Data_Price '!$AT$2:$AT$1266,0))</f>
        <v>Teton Wasatch Ski Co.</v>
      </c>
      <c r="DH427">
        <f>INDEX('Data_Price '!AQ$2:AQ$1266,MATCH(Data!$DN427,'Data_Price '!$AT$2:$AT$1266,0))</f>
        <v>559</v>
      </c>
      <c r="DI427" t="str">
        <f>INDEX('Data_Price '!AR$2:AR$1266,MATCH(Data!$DN427,'Data_Price '!$AT$2:$AT$1266,0))</f>
        <v>https://tinyurl.com/yb3exqvp</v>
      </c>
      <c r="DJ427" s="89" t="str">
        <f t="shared" si="254"/>
        <v>https://tinyurl.com/yadn7nw2</v>
      </c>
      <c r="DK427" s="89" t="str">
        <f t="shared" si="255"/>
        <v>https://tinyurl.com/y76qujca</v>
      </c>
      <c r="DL427" s="89" t="str">
        <f t="shared" si="256"/>
        <v>https://tinyurl.com/yb3exqvp</v>
      </c>
      <c r="DM427" s="219" t="str">
        <f t="shared" si="257"/>
        <v>Sir Francis Bacon</v>
      </c>
      <c r="DN427" s="89" t="str">
        <f t="shared" si="258"/>
        <v xml:space="preserve"> LineSir Francis Bacon184 Unisex</v>
      </c>
      <c r="DO427" s="221" t="s">
        <v>423</v>
      </c>
    </row>
    <row r="428" spans="2:119" ht="15.6" customHeight="1">
      <c r="B428" s="219" t="b">
        <f t="array" ref="B428">IF(OR(ISERROR(K428:P428)),FALSE,TRUE)</f>
        <v>1</v>
      </c>
      <c r="C428" s="43" t="b">
        <f>OR(BR428=Driver!$G$50,Data!BR724=Driver!$H$50)</f>
        <v>1</v>
      </c>
      <c r="D428" s="43" t="b">
        <f>OR(BV428=Driver!$G$51,BV428=Driver!$H$51)</f>
        <v>1</v>
      </c>
      <c r="E428" s="43" t="b">
        <f>AND(BX428&gt;Driver!$F$54,BX428&lt;Driver!$G$54)</f>
        <v>0</v>
      </c>
      <c r="F428" s="43" t="b">
        <f>CL428&gt;Driver!$F$56</f>
        <v>1</v>
      </c>
      <c r="G428" s="43" t="b">
        <f>AND(CB428&gt;Driver!$F$55,CB428&lt;Driver!$G$55)</f>
        <v>0</v>
      </c>
      <c r="H428" s="43" t="b">
        <f t="shared" si="222"/>
        <v>0</v>
      </c>
      <c r="I428" s="43">
        <f t="shared" si="223"/>
        <v>0</v>
      </c>
      <c r="J428" s="43" t="b">
        <f t="array" ref="J428">NOT(OR(($H$9:$H$1273=TRUE)*($I$9:$I$1273&gt;0)*($BT$9:$BT$1273=BT428)*($K$9:$K$1273&gt;K428)))</f>
        <v>1</v>
      </c>
      <c r="K428" s="72">
        <f t="shared" si="224"/>
        <v>0.74002573400823235</v>
      </c>
      <c r="L428" s="72">
        <f t="shared" si="225"/>
        <v>0.80220103848260371</v>
      </c>
      <c r="M428" s="72">
        <f t="shared" si="226"/>
        <v>0.67785042953386099</v>
      </c>
      <c r="N428" s="72">
        <f t="shared" si="227"/>
        <v>0.52033065247549082</v>
      </c>
      <c r="O428" s="72">
        <f t="shared" si="228"/>
        <v>0.68363357978456818</v>
      </c>
      <c r="P428" s="72">
        <f t="shared" si="229"/>
        <v>0.82958705634152397</v>
      </c>
      <c r="Q428" s="72"/>
      <c r="R428" s="72"/>
      <c r="S428" s="72">
        <f t="shared" si="230"/>
        <v>0.5484042879800094</v>
      </c>
      <c r="T428" s="72">
        <f t="shared" si="231"/>
        <v>0.46349172785325177</v>
      </c>
      <c r="U428" s="72">
        <f t="shared" si="232"/>
        <v>0.51538161661873505</v>
      </c>
      <c r="V428" s="72">
        <f t="shared" si="233"/>
        <v>0.6092187822377958</v>
      </c>
      <c r="W428" s="72">
        <f t="shared" si="234"/>
        <v>0.7852117061021171</v>
      </c>
      <c r="X428" s="72">
        <f t="shared" si="235"/>
        <v>0.19779896151739623</v>
      </c>
      <c r="Y428" s="72">
        <f t="shared" si="236"/>
        <v>0.32214957046613901</v>
      </c>
      <c r="Z428" s="72">
        <f t="shared" si="237"/>
        <v>0.47966934752450918</v>
      </c>
      <c r="AA428" s="72">
        <f t="shared" si="238"/>
        <v>0.31636642021543182</v>
      </c>
      <c r="AB428" s="72">
        <f t="shared" si="239"/>
        <v>0.17041294365847603</v>
      </c>
      <c r="AC428" s="72"/>
      <c r="AD428" s="72"/>
      <c r="AE428" s="72">
        <f t="shared" si="240"/>
        <v>0.4515957120199906</v>
      </c>
      <c r="AF428" s="72">
        <f t="shared" si="241"/>
        <v>0.53650827214674823</v>
      </c>
      <c r="AG428" s="72">
        <f t="shared" si="242"/>
        <v>0.48461838338126489</v>
      </c>
      <c r="AH428" s="72">
        <f t="shared" si="243"/>
        <v>0.3907812177622042</v>
      </c>
      <c r="AI428" s="72">
        <f t="shared" si="244"/>
        <v>0.21478829389788295</v>
      </c>
      <c r="AJ428" s="72">
        <f>(AV428-Driver!$K$179)/(Driver!$L$179-Driver!$K$179)</f>
        <v>0.45201837080009666</v>
      </c>
      <c r="AK428" s="72">
        <f>(AW428-Driver!$K$180)/(Driver!$L$180-Driver!$K$180)</f>
        <v>0.44348350658988389</v>
      </c>
      <c r="AL428" s="72">
        <f>(AX428-Driver!$K$181)/(Driver!$L$181-Driver!$K$181)</f>
        <v>0.58135711123758937</v>
      </c>
      <c r="AM428" s="72">
        <f>(AY428-Driver!$K$182)/(Driver!$L$182-Driver!$K$182)</f>
        <v>0.13101860088161454</v>
      </c>
      <c r="AN428" s="72">
        <f>(AZ428-Driver!$K$183)/(Driver!$L$183-Driver!$K$183)</f>
        <v>0.42463235294117646</v>
      </c>
      <c r="AO428" s="72"/>
      <c r="AP428" s="72"/>
      <c r="AQ428" s="72">
        <f>(BC428-Driver!$K$188)/(Driver!$L$188-Driver!$K$188)</f>
        <v>0.16840428798000942</v>
      </c>
      <c r="AR428" s="72">
        <f>MIN((BD428-Driver!$K$189)/(Driver!$L$189-Driver!$K$189),100%)</f>
        <v>1.3491727853251831E-2</v>
      </c>
      <c r="AS428" s="72">
        <f>(BE428-Driver!$K$190)/(Driver!$L$190-Driver!$K$190)</f>
        <v>2.5381616618735114E-2</v>
      </c>
      <c r="AT428" s="72">
        <f>(BF428-Driver!$K$191)/(Driver!$L$191-Driver!$K$191)</f>
        <v>0.11921878223779581</v>
      </c>
      <c r="AU428" s="72">
        <f>(BG428-Driver!$K$192)/(Driver!$L$192-Driver!$K$192)</f>
        <v>3.5211706102117046E-2</v>
      </c>
      <c r="AV428" s="70">
        <f t="shared" si="245"/>
        <v>9.5136345136345142</v>
      </c>
      <c r="AW428" s="70">
        <f t="shared" si="246"/>
        <v>45.093290002269192</v>
      </c>
      <c r="AX428" s="70">
        <f t="shared" si="247"/>
        <v>6.2322140011383045</v>
      </c>
      <c r="AY428" s="70">
        <f>IFERROR(Driver!$K$19/Data!BH428/Data!BI428*Data!BK428*Data!BL428,"")</f>
        <v>0.16040585965657364</v>
      </c>
      <c r="AZ428" s="70">
        <f t="shared" si="248"/>
        <v>38.700670141474312</v>
      </c>
      <c r="BA428" s="70"/>
      <c r="BB428" s="70"/>
      <c r="BC428" s="70">
        <f t="shared" si="249"/>
        <v>87.352474902847533</v>
      </c>
      <c r="BD428" s="70">
        <f t="shared" si="250"/>
        <v>2.914816893183346</v>
      </c>
      <c r="BE428" s="70">
        <f t="shared" si="251"/>
        <v>2.5555477568533162E-2</v>
      </c>
      <c r="BF428" s="70">
        <f t="shared" si="252"/>
        <v>13.46492389441126</v>
      </c>
      <c r="BG428" s="70">
        <f t="shared" si="253"/>
        <v>0.13333398194271479</v>
      </c>
      <c r="BH428" s="67">
        <f>MAX((CE428-Driver!$F$200)/(Driver!$G$200-Driver!$F$200)*$BI$1,1)</f>
        <v>6.2322140011383045</v>
      </c>
      <c r="BI428" s="67">
        <f>MAX($BI$1*(BY428-Driver!$F$201)/(Driver!$G$201-Driver!$F$201),1)</f>
        <v>6.6455696202531644</v>
      </c>
      <c r="BJ428" s="67">
        <f>(CB428-Driver!$F$206)/(Driver!$G$206-Driver!$F$206)*$BI$1</f>
        <v>8.0952380952380949</v>
      </c>
      <c r="BK428" s="67">
        <f>(CD428-Driver!$F$203)/(Driver!$G$203-Driver!$F$203)*$BI$1</f>
        <v>6.4220183486238538</v>
      </c>
      <c r="BL428" s="67">
        <f>MAX((CR428-Driver!$F$202)/(Driver!$G$202-Driver!$F$202)*$BI$1,1)</f>
        <v>5.1724137931034484</v>
      </c>
      <c r="BM428" s="67">
        <f>MAX((CH428-Driver!$F$204)/(Driver!$G$204-Driver!$F$204)*$BI$1,1)</f>
        <v>4.700854700854701</v>
      </c>
      <c r="BN428" s="67">
        <f>(CI428-Driver!$F$205)/(Driver!$G$205-Driver!$F$205)*$BI$1</f>
        <v>5.8235294117647065</v>
      </c>
      <c r="BO428" s="67">
        <f>(CK428-Driver!$F$207)/(Driver!$G$207-Driver!$F$207)*$BI$1</f>
        <v>3.7849017580144779</v>
      </c>
      <c r="BP428" s="67">
        <f>(CM428-Driver!$F$208)/(Driver!$G$208-Driver!$F$208)*$BI$1</f>
        <v>2.822222222222222</v>
      </c>
      <c r="BQ428" s="67">
        <f>(CL428-Driver!$F$209)/(Driver!$G$209-Driver!$F$209)*$BI$1</f>
        <v>3.90625</v>
      </c>
      <c r="BR428" s="28" t="s">
        <v>155</v>
      </c>
      <c r="BS428" s="8" t="s">
        <v>262</v>
      </c>
      <c r="BT428" s="9" t="s">
        <v>367</v>
      </c>
      <c r="BU428" s="10">
        <v>186</v>
      </c>
      <c r="BV428" s="9" t="s">
        <v>158</v>
      </c>
      <c r="BW428" s="10">
        <v>186</v>
      </c>
      <c r="BX428" s="10">
        <v>186</v>
      </c>
      <c r="BY428" s="10">
        <v>113</v>
      </c>
      <c r="BZ428" s="10">
        <v>146</v>
      </c>
      <c r="CA428" s="10">
        <v>143</v>
      </c>
      <c r="CB428" s="10">
        <v>115</v>
      </c>
      <c r="CC428" s="10">
        <v>132</v>
      </c>
      <c r="CD428" s="10">
        <v>23.4</v>
      </c>
      <c r="CE428" s="10">
        <v>1995</v>
      </c>
      <c r="CF428" s="10">
        <v>1.1499999999999999</v>
      </c>
      <c r="CG428" s="10">
        <v>2298</v>
      </c>
      <c r="CH428" s="10">
        <v>211</v>
      </c>
      <c r="CI428" s="10">
        <v>132</v>
      </c>
      <c r="CJ428" s="10">
        <v>58</v>
      </c>
      <c r="CK428" s="10">
        <v>476</v>
      </c>
      <c r="CL428" s="10">
        <v>25</v>
      </c>
      <c r="CM428" s="10">
        <v>254</v>
      </c>
      <c r="CN428" s="10">
        <v>0.43099999999999999</v>
      </c>
      <c r="CO428" s="10">
        <v>213</v>
      </c>
      <c r="CP428" s="10">
        <v>185</v>
      </c>
      <c r="CQ428" s="10">
        <v>264</v>
      </c>
      <c r="CR428" s="10">
        <v>4</v>
      </c>
      <c r="CS428" s="10">
        <v>10.1</v>
      </c>
      <c r="CT428" s="9" t="s">
        <v>169</v>
      </c>
      <c r="CU428" s="9" t="s">
        <v>185</v>
      </c>
      <c r="CV428" s="10"/>
      <c r="CW428" s="10"/>
      <c r="CX428" t="e">
        <f>INDEX('Data_Price '!AG$2:AG$1266,MATCH(Data!$DN428,'Data_Price '!$AT$2:$AT$1266,0))</f>
        <v>#N/A</v>
      </c>
      <c r="CY428" t="e">
        <f>INDEX('Data_Price '!AH$2:AH$1266,MATCH(Data!$DN428,'Data_Price '!$AT$2:$AT$1266,0))</f>
        <v>#N/A</v>
      </c>
      <c r="CZ428" t="e">
        <f>INDEX('Data_Price '!AI$2:AI$1266,MATCH(Data!$DN428,'Data_Price '!$AT$2:$AT$1266,0))</f>
        <v>#N/A</v>
      </c>
      <c r="DA428" t="e">
        <f>INDEX('Data_Price '!AJ$2:AJ$1266,MATCH(Data!$DN428,'Data_Price '!$AT$2:$AT$1266,0))</f>
        <v>#N/A</v>
      </c>
      <c r="DB428" t="e">
        <f>INDEX('Data_Price '!AK$2:AK$1266,MATCH(Data!$DN428,'Data_Price '!$AT$2:$AT$1266,0))</f>
        <v>#N/A</v>
      </c>
      <c r="DC428" t="e">
        <f>INDEX('Data_Price '!AL$2:AL$1266,MATCH(Data!$DN428,'Data_Price '!$AT$2:$AT$1266,0))</f>
        <v>#N/A</v>
      </c>
      <c r="DD428" t="e">
        <f>INDEX('Data_Price '!AM$2:AM$1266,MATCH(Data!$DN428,'Data_Price '!$AT$2:$AT$1266,0))</f>
        <v>#N/A</v>
      </c>
      <c r="DE428" t="e">
        <f>INDEX('Data_Price '!AN$2:AN$1266,MATCH(Data!$DN428,'Data_Price '!$AT$2:$AT$1266,0))</f>
        <v>#N/A</v>
      </c>
      <c r="DF428" t="e">
        <f>INDEX('Data_Price '!AO$2:AO$1266,MATCH(Data!$DN428,'Data_Price '!$AT$2:$AT$1266,0))</f>
        <v>#N/A</v>
      </c>
      <c r="DG428" t="e">
        <f>INDEX('Data_Price '!AP$2:AP$1266,MATCH(Data!$DN428,'Data_Price '!$AT$2:$AT$1266,0))</f>
        <v>#N/A</v>
      </c>
      <c r="DH428" t="e">
        <f>INDEX('Data_Price '!AQ$2:AQ$1266,MATCH(Data!$DN428,'Data_Price '!$AT$2:$AT$1266,0))</f>
        <v>#N/A</v>
      </c>
      <c r="DI428" t="e">
        <f>INDEX('Data_Price '!AR$2:AR$1266,MATCH(Data!$DN428,'Data_Price '!$AT$2:$AT$1266,0))</f>
        <v>#N/A</v>
      </c>
      <c r="DJ428" s="89" t="e">
        <f t="shared" si="254"/>
        <v>#N/A</v>
      </c>
      <c r="DK428" s="89" t="e">
        <f t="shared" si="255"/>
        <v>#N/A</v>
      </c>
      <c r="DL428" s="89" t="e">
        <f t="shared" si="256"/>
        <v>#N/A</v>
      </c>
      <c r="DM428" s="219" t="str">
        <f t="shared" si="257"/>
        <v>Mindbender 116 C</v>
      </c>
      <c r="DN428" s="89" t="str">
        <f t="shared" si="258"/>
        <v xml:space="preserve"> K2Mindbender 116 C186 Unisex</v>
      </c>
      <c r="DO428" s="221" t="s">
        <v>368</v>
      </c>
    </row>
    <row r="429" spans="2:119" ht="15.6" customHeight="1">
      <c r="B429" s="219" t="b">
        <f t="array" ref="B429">IF(OR(ISERROR(K429:P429)),FALSE,TRUE)</f>
        <v>1</v>
      </c>
      <c r="C429" s="43" t="b">
        <f>OR(BR429=Driver!$G$50,Data!BR1141=Driver!$H$50)</f>
        <v>1</v>
      </c>
      <c r="D429" s="43" t="b">
        <f>OR(BV429=Driver!$G$51,BV429=Driver!$H$51)</f>
        <v>1</v>
      </c>
      <c r="E429" s="43" t="b">
        <f>AND(BX429&gt;Driver!$F$54,BX429&lt;Driver!$G$54)</f>
        <v>0</v>
      </c>
      <c r="F429" s="43" t="b">
        <f>CL429&gt;Driver!$F$56</f>
        <v>1</v>
      </c>
      <c r="G429" s="43" t="b">
        <f>AND(CB429&gt;Driver!$F$55,CB429&lt;Driver!$G$55)</f>
        <v>0</v>
      </c>
      <c r="H429" s="43" t="b">
        <f t="shared" si="222"/>
        <v>0</v>
      </c>
      <c r="I429" s="43">
        <f t="shared" si="223"/>
        <v>0</v>
      </c>
      <c r="J429" s="43" t="b">
        <f t="array" ref="J429">NOT(OR(($H$9:$H$1273=TRUE)*($I$9:$I$1273&gt;0)*($BT$9:$BT$1273=BT429)*($K$9:$K$1273&gt;K429)))</f>
        <v>1</v>
      </c>
      <c r="K429" s="72">
        <f t="shared" si="224"/>
        <v>0.82163514104291679</v>
      </c>
      <c r="L429" s="72">
        <f t="shared" si="225"/>
        <v>0.91401844423434087</v>
      </c>
      <c r="M429" s="72">
        <f t="shared" si="226"/>
        <v>0.72925183785149272</v>
      </c>
      <c r="N429" s="72">
        <f t="shared" si="227"/>
        <v>0.68095798441756372</v>
      </c>
      <c r="O429" s="72">
        <f t="shared" si="228"/>
        <v>0.6586238714882009</v>
      </c>
      <c r="P429" s="72">
        <f t="shared" si="229"/>
        <v>0.84817365764871355</v>
      </c>
      <c r="Q429" s="72"/>
      <c r="R429" s="72"/>
      <c r="S429" s="72">
        <f t="shared" si="230"/>
        <v>0.52587662951067449</v>
      </c>
      <c r="T429" s="72">
        <f t="shared" si="231"/>
        <v>0.52177560624235453</v>
      </c>
      <c r="U429" s="72">
        <f t="shared" si="232"/>
        <v>0.51</v>
      </c>
      <c r="V429" s="72">
        <f t="shared" si="233"/>
        <v>0.49538785848804601</v>
      </c>
      <c r="W429" s="72">
        <f t="shared" si="234"/>
        <v>0.77086801426872764</v>
      </c>
      <c r="X429" s="72">
        <f t="shared" si="235"/>
        <v>8.5981555765659107E-2</v>
      </c>
      <c r="Y429" s="72">
        <f t="shared" si="236"/>
        <v>0.27074816214850728</v>
      </c>
      <c r="Z429" s="72">
        <f t="shared" si="237"/>
        <v>0.31904201558243622</v>
      </c>
      <c r="AA429" s="72">
        <f t="shared" si="238"/>
        <v>0.3413761285117991</v>
      </c>
      <c r="AB429" s="72">
        <f t="shared" si="239"/>
        <v>0.1518263423512865</v>
      </c>
      <c r="AC429" s="72"/>
      <c r="AD429" s="72"/>
      <c r="AE429" s="72">
        <f t="shared" si="240"/>
        <v>0.47412337048932551</v>
      </c>
      <c r="AF429" s="72">
        <f t="shared" si="241"/>
        <v>0.47822439375764547</v>
      </c>
      <c r="AG429" s="72">
        <f t="shared" si="242"/>
        <v>0.49</v>
      </c>
      <c r="AH429" s="72">
        <f t="shared" si="243"/>
        <v>0.50461214151195399</v>
      </c>
      <c r="AI429" s="72">
        <f t="shared" si="244"/>
        <v>0.2291319857312723</v>
      </c>
      <c r="AJ429" s="72">
        <f>(AV429-Driver!$K$179)/(Driver!$L$179-Driver!$K$179)</f>
        <v>0.16823785351704132</v>
      </c>
      <c r="AK429" s="72">
        <f>(AW429-Driver!$K$180)/(Driver!$L$180-Driver!$K$180)</f>
        <v>0.41095456022195409</v>
      </c>
      <c r="AL429" s="72">
        <f>(AX429-Driver!$K$181)/(Driver!$L$181-Driver!$K$181)</f>
        <v>0.42072977929551642</v>
      </c>
      <c r="AM429" s="72">
        <f>(AY429-Driver!$K$182)/(Driver!$L$182-Driver!$K$182)</f>
        <v>0.10600889258524729</v>
      </c>
      <c r="AN429" s="72">
        <f>(AZ429-Driver!$K$183)/(Driver!$L$183-Driver!$K$183)</f>
        <v>0.40604575163398693</v>
      </c>
      <c r="AO429" s="72"/>
      <c r="AP429" s="72"/>
      <c r="AQ429" s="72">
        <f>(BC429-Driver!$K$188)/(Driver!$L$188-Driver!$K$188)</f>
        <v>0.14587662951067451</v>
      </c>
      <c r="AR429" s="72">
        <f>MIN((BD429-Driver!$K$189)/(Driver!$L$189-Driver!$K$189),100%)</f>
        <v>7.1775606242354587E-2</v>
      </c>
      <c r="AS429" s="72">
        <f>(BE429-Driver!$K$190)/(Driver!$L$190-Driver!$K$190)</f>
        <v>1</v>
      </c>
      <c r="AT429" s="72">
        <f>(BF429-Driver!$K$191)/(Driver!$L$191-Driver!$K$191)</f>
        <v>5.3878584880460035E-3</v>
      </c>
      <c r="AU429" s="72">
        <f>(BG429-Driver!$K$192)/(Driver!$L$192-Driver!$K$192)</f>
        <v>2.0868014268727701E-2</v>
      </c>
      <c r="AV429" s="70">
        <f t="shared" si="245"/>
        <v>3.5409035409035408</v>
      </c>
      <c r="AW429" s="70">
        <f t="shared" si="246"/>
        <v>41.923055942927846</v>
      </c>
      <c r="AX429" s="70">
        <f t="shared" si="247"/>
        <v>4.7865680136596476</v>
      </c>
      <c r="AY429" s="70">
        <f>IFERROR(Driver!$K$19/Data!BH429/Data!BI429*Data!BK429*Data!BL429,"")</f>
        <v>0.12978651452508488</v>
      </c>
      <c r="AZ429" s="70">
        <f t="shared" si="248"/>
        <v>37.006701414743112</v>
      </c>
      <c r="BA429" s="70"/>
      <c r="BB429" s="70"/>
      <c r="BC429" s="70">
        <f t="shared" si="249"/>
        <v>75.667221845062599</v>
      </c>
      <c r="BD429" s="70">
        <f t="shared" si="250"/>
        <v>8.0728368576974141</v>
      </c>
      <c r="BE429" s="70">
        <f t="shared" si="251"/>
        <v>1</v>
      </c>
      <c r="BF429" s="70">
        <f t="shared" si="252"/>
        <v>0.60852076437665226</v>
      </c>
      <c r="BG429" s="70">
        <f t="shared" si="253"/>
        <v>7.9019614375333128E-2</v>
      </c>
      <c r="BH429" s="67">
        <f>MAX((CE429-Driver!$F$200)/(Driver!$G$200-Driver!$F$200)*$BI$1,1)</f>
        <v>4.7865680136596476</v>
      </c>
      <c r="BI429" s="67">
        <f>MAX($BI$1*(BY429-Driver!$F$201)/(Driver!$G$201-Driver!$F$201),1)</f>
        <v>8.8607594936708853</v>
      </c>
      <c r="BJ429" s="67">
        <f>(CB429-Driver!$F$206)/(Driver!$G$206-Driver!$F$206)*$BI$1</f>
        <v>3.8095238095238093</v>
      </c>
      <c r="BK429" s="67">
        <f>(CD429-Driver!$F$203)/(Driver!$G$203-Driver!$F$203)*$BI$1</f>
        <v>3.9908256880733957</v>
      </c>
      <c r="BL429" s="67">
        <f>MAX((CR429-Driver!$F$202)/(Driver!$G$202-Driver!$F$202)*$BI$1,1)</f>
        <v>6.8965517241379315</v>
      </c>
      <c r="BM429" s="67">
        <f>MAX((CH429-Driver!$F$204)/(Driver!$G$204-Driver!$F$204)*$BI$1,1)</f>
        <v>3.7179487179487181</v>
      </c>
      <c r="BN429" s="67">
        <f>(CI429-Driver!$F$205)/(Driver!$G$205-Driver!$F$205)*$BI$1</f>
        <v>4.1764705882352944</v>
      </c>
      <c r="BO429" s="67">
        <f>(CK429-Driver!$F$207)/(Driver!$G$207-Driver!$F$207)*$BI$1</f>
        <v>0.75491209927611169</v>
      </c>
      <c r="BP429" s="67">
        <f>(CM429-Driver!$F$208)/(Driver!$G$208-Driver!$F$208)*$BI$1</f>
        <v>0.84444444444444444</v>
      </c>
      <c r="BQ429" s="67">
        <f>(CL429-Driver!$F$209)/(Driver!$G$209-Driver!$F$209)*$BI$1</f>
        <v>1.40625</v>
      </c>
      <c r="BR429" s="28" t="s">
        <v>155</v>
      </c>
      <c r="BS429" s="8" t="s">
        <v>213</v>
      </c>
      <c r="BT429" s="9" t="s">
        <v>594</v>
      </c>
      <c r="BU429" s="10">
        <v>175</v>
      </c>
      <c r="BV429" s="9" t="s">
        <v>158</v>
      </c>
      <c r="BW429" s="10">
        <v>175</v>
      </c>
      <c r="BX429" s="10">
        <v>174.2</v>
      </c>
      <c r="BY429" s="10">
        <v>148</v>
      </c>
      <c r="BZ429" s="10">
        <v>155</v>
      </c>
      <c r="CA429" s="10">
        <v>128</v>
      </c>
      <c r="CB429" s="10">
        <v>88</v>
      </c>
      <c r="CC429" s="10">
        <v>113</v>
      </c>
      <c r="CD429" s="10">
        <v>18.100000000000001</v>
      </c>
      <c r="CE429" s="10">
        <v>1741</v>
      </c>
      <c r="CF429" s="10">
        <v>1</v>
      </c>
      <c r="CG429" s="10">
        <v>1743</v>
      </c>
      <c r="CH429" s="10">
        <v>188</v>
      </c>
      <c r="CI429" s="10">
        <v>104</v>
      </c>
      <c r="CJ429" s="10">
        <v>42</v>
      </c>
      <c r="CK429" s="10">
        <v>183</v>
      </c>
      <c r="CL429" s="10">
        <v>9</v>
      </c>
      <c r="CM429" s="10">
        <v>76</v>
      </c>
      <c r="CN429" s="10">
        <v>0.21299999999999999</v>
      </c>
      <c r="CO429" s="10">
        <v>132</v>
      </c>
      <c r="CP429" s="10">
        <v>56</v>
      </c>
      <c r="CQ429" s="10">
        <v>51</v>
      </c>
      <c r="CR429" s="10">
        <v>9</v>
      </c>
      <c r="CS429" s="10">
        <v>13.1</v>
      </c>
      <c r="CT429" s="9" t="s">
        <v>188</v>
      </c>
      <c r="CU429" s="10"/>
      <c r="CV429" s="10"/>
      <c r="CW429" s="10"/>
      <c r="CX429" t="e">
        <f>INDEX('Data_Price '!AG$2:AG$1266,MATCH(Data!$DN429,'Data_Price '!$AT$2:$AT$1266,0))</f>
        <v>#N/A</v>
      </c>
      <c r="CY429" t="e">
        <f>INDEX('Data_Price '!AH$2:AH$1266,MATCH(Data!$DN429,'Data_Price '!$AT$2:$AT$1266,0))</f>
        <v>#N/A</v>
      </c>
      <c r="CZ429" t="e">
        <f>INDEX('Data_Price '!AI$2:AI$1266,MATCH(Data!$DN429,'Data_Price '!$AT$2:$AT$1266,0))</f>
        <v>#N/A</v>
      </c>
      <c r="DA429" t="e">
        <f>INDEX('Data_Price '!AJ$2:AJ$1266,MATCH(Data!$DN429,'Data_Price '!$AT$2:$AT$1266,0))</f>
        <v>#N/A</v>
      </c>
      <c r="DB429" t="e">
        <f>INDEX('Data_Price '!AK$2:AK$1266,MATCH(Data!$DN429,'Data_Price '!$AT$2:$AT$1266,0))</f>
        <v>#N/A</v>
      </c>
      <c r="DC429" t="e">
        <f>INDEX('Data_Price '!AL$2:AL$1266,MATCH(Data!$DN429,'Data_Price '!$AT$2:$AT$1266,0))</f>
        <v>#N/A</v>
      </c>
      <c r="DD429" t="e">
        <f>INDEX('Data_Price '!AM$2:AM$1266,MATCH(Data!$DN429,'Data_Price '!$AT$2:$AT$1266,0))</f>
        <v>#N/A</v>
      </c>
      <c r="DE429" t="e">
        <f>INDEX('Data_Price '!AN$2:AN$1266,MATCH(Data!$DN429,'Data_Price '!$AT$2:$AT$1266,0))</f>
        <v>#N/A</v>
      </c>
      <c r="DF429" t="e">
        <f>INDEX('Data_Price '!AO$2:AO$1266,MATCH(Data!$DN429,'Data_Price '!$AT$2:$AT$1266,0))</f>
        <v>#N/A</v>
      </c>
      <c r="DG429" t="e">
        <f>INDEX('Data_Price '!AP$2:AP$1266,MATCH(Data!$DN429,'Data_Price '!$AT$2:$AT$1266,0))</f>
        <v>#N/A</v>
      </c>
      <c r="DH429" t="e">
        <f>INDEX('Data_Price '!AQ$2:AQ$1266,MATCH(Data!$DN429,'Data_Price '!$AT$2:$AT$1266,0))</f>
        <v>#N/A</v>
      </c>
      <c r="DI429" t="e">
        <f>INDEX('Data_Price '!AR$2:AR$1266,MATCH(Data!$DN429,'Data_Price '!$AT$2:$AT$1266,0))</f>
        <v>#N/A</v>
      </c>
      <c r="DJ429" s="89" t="e">
        <f t="shared" si="254"/>
        <v>#N/A</v>
      </c>
      <c r="DK429" s="89" t="e">
        <f t="shared" si="255"/>
        <v>#N/A</v>
      </c>
      <c r="DL429" s="89" t="e">
        <f t="shared" si="256"/>
        <v>#N/A</v>
      </c>
      <c r="DM429" s="219" t="str">
        <f t="shared" si="257"/>
        <v>Stormrider 88</v>
      </c>
      <c r="DN429" s="89" t="str">
        <f t="shared" si="258"/>
        <v xml:space="preserve"> StöckliStormrider 88175 Unisex</v>
      </c>
      <c r="DO429" s="221" t="s">
        <v>595</v>
      </c>
    </row>
    <row r="430" spans="2:119" ht="15.6" customHeight="1">
      <c r="B430" s="219" t="b">
        <f t="array" ref="B430">IF(OR(ISERROR(K430:P430)),FALSE,TRUE)</f>
        <v>1</v>
      </c>
      <c r="C430" s="43" t="b">
        <f>OR(BR430=Driver!$G$50,Data!BR56=Driver!$H$50)</f>
        <v>1</v>
      </c>
      <c r="D430" s="43" t="b">
        <f>OR(BV430=Driver!$G$51,BV430=Driver!$H$51)</f>
        <v>0</v>
      </c>
      <c r="E430" s="43" t="b">
        <f>AND(BX430&gt;Driver!$F$54,BX430&lt;Driver!$G$54)</f>
        <v>1</v>
      </c>
      <c r="F430" s="43" t="b">
        <f>CL430&gt;Driver!$F$56</f>
        <v>1</v>
      </c>
      <c r="G430" s="43" t="b">
        <f>AND(CB430&gt;Driver!$F$55,CB430&lt;Driver!$G$55)</f>
        <v>0</v>
      </c>
      <c r="H430" s="43" t="b">
        <f t="shared" si="222"/>
        <v>0</v>
      </c>
      <c r="I430" s="43">
        <f t="shared" si="223"/>
        <v>0</v>
      </c>
      <c r="J430" s="43" t="b">
        <f t="array" ref="J430">NOT(OR(($H$9:$H$1273=TRUE)*($I$9:$I$1273&gt;0)*($BT$9:$BT$1273=BT430)*($K$9:$K$1273&gt;K430)))</f>
        <v>1</v>
      </c>
      <c r="K430" s="72">
        <f t="shared" si="224"/>
        <v>0.8419538030939665</v>
      </c>
      <c r="L430" s="72">
        <f t="shared" si="225"/>
        <v>0.88066093879561724</v>
      </c>
      <c r="M430" s="72">
        <f t="shared" si="226"/>
        <v>0.80324666739231587</v>
      </c>
      <c r="N430" s="72">
        <f t="shared" si="227"/>
        <v>0.76063925931796228</v>
      </c>
      <c r="O430" s="72">
        <f t="shared" si="228"/>
        <v>0.68314041357959421</v>
      </c>
      <c r="P430" s="72">
        <f t="shared" si="229"/>
        <v>0.96596032927939102</v>
      </c>
      <c r="Q430" s="72"/>
      <c r="R430" s="72"/>
      <c r="S430" s="72">
        <f t="shared" si="230"/>
        <v>0.44000050226112186</v>
      </c>
      <c r="T430" s="72">
        <f t="shared" si="231"/>
        <v>0.46730065362419915</v>
      </c>
      <c r="U430" s="72">
        <f t="shared" si="232"/>
        <v>0.55398144606048771</v>
      </c>
      <c r="V430" s="72">
        <f t="shared" si="233"/>
        <v>0.53584970783511721</v>
      </c>
      <c r="W430" s="72">
        <f t="shared" si="234"/>
        <v>0.93454545454545457</v>
      </c>
      <c r="X430" s="72">
        <f t="shared" si="235"/>
        <v>0.11933906120438281</v>
      </c>
      <c r="Y430" s="72">
        <f t="shared" si="236"/>
        <v>0.19675333260768416</v>
      </c>
      <c r="Z430" s="72">
        <f t="shared" si="237"/>
        <v>0.23936074068203778</v>
      </c>
      <c r="AA430" s="72">
        <f t="shared" si="238"/>
        <v>0.31685958642040579</v>
      </c>
      <c r="AB430" s="72">
        <f t="shared" si="239"/>
        <v>3.4039670720608928E-2</v>
      </c>
      <c r="AC430" s="72"/>
      <c r="AD430" s="72"/>
      <c r="AE430" s="72">
        <f t="shared" si="240"/>
        <v>0.55999949773887814</v>
      </c>
      <c r="AF430" s="72">
        <f t="shared" si="241"/>
        <v>0.53269934637580085</v>
      </c>
      <c r="AG430" s="72">
        <f t="shared" si="242"/>
        <v>0.44601855393951234</v>
      </c>
      <c r="AH430" s="72">
        <f t="shared" si="243"/>
        <v>0.46415029216488279</v>
      </c>
      <c r="AI430" s="72">
        <f t="shared" si="244"/>
        <v>6.5454545454545487E-2</v>
      </c>
      <c r="AJ430" s="72">
        <f>(AV430-Driver!$K$179)/(Driver!$L$179-Driver!$K$179)</f>
        <v>0.13488034807831761</v>
      </c>
      <c r="AK430" s="72">
        <f>(AW430-Driver!$K$180)/(Driver!$L$180-Driver!$K$180)</f>
        <v>0.23009052163342819</v>
      </c>
      <c r="AL430" s="72">
        <f>(AX430-Driver!$K$181)/(Driver!$L$181-Driver!$K$181)</f>
        <v>0.34104850439511797</v>
      </c>
      <c r="AM430" s="72">
        <f>(AY430-Driver!$K$182)/(Driver!$L$182-Driver!$K$182)</f>
        <v>0.13052543467664054</v>
      </c>
      <c r="AN430" s="72">
        <f>(AZ430-Driver!$K$183)/(Driver!$L$183-Driver!$K$183)</f>
        <v>0.2201797385620915</v>
      </c>
      <c r="AO430" s="72"/>
      <c r="AP430" s="72"/>
      <c r="AQ430" s="72">
        <f>(BC430-Driver!$K$188)/(Driver!$L$188-Driver!$K$188)</f>
        <v>6.0000502261121885E-2</v>
      </c>
      <c r="AR430" s="72">
        <f>MIN((BD430-Driver!$K$189)/(Driver!$L$189-Driver!$K$189),100%)</f>
        <v>1.7300653624199195E-2</v>
      </c>
      <c r="AS430" s="72">
        <f>(BE430-Driver!$K$190)/(Driver!$L$190-Driver!$K$190)</f>
        <v>6.3981446060487668E-2</v>
      </c>
      <c r="AT430" s="72">
        <f>(BF430-Driver!$K$191)/(Driver!$L$191-Driver!$K$191)</f>
        <v>4.5849707835117243E-2</v>
      </c>
      <c r="AU430" s="72">
        <f>(BG430-Driver!$K$192)/(Driver!$L$192-Driver!$K$192)</f>
        <v>0.18454545454545451</v>
      </c>
      <c r="AV430" s="70">
        <f t="shared" si="245"/>
        <v>2.838827838827839</v>
      </c>
      <c r="AW430" s="70">
        <f t="shared" si="246"/>
        <v>24.296252764062277</v>
      </c>
      <c r="AX430" s="70">
        <f t="shared" si="247"/>
        <v>4.0694365395560617</v>
      </c>
      <c r="AY430" s="70">
        <f>IFERROR(Driver!$K$19/Data!BH430/Data!BI430*Data!BK430*Data!BL430,"")</f>
        <v>0.15980207707509189</v>
      </c>
      <c r="AZ430" s="70">
        <f t="shared" si="248"/>
        <v>20.067014147431124</v>
      </c>
      <c r="BA430" s="70"/>
      <c r="BB430" s="70"/>
      <c r="BC430" s="70">
        <f t="shared" si="249"/>
        <v>31.122677639568515</v>
      </c>
      <c r="BD430" s="70">
        <f t="shared" si="250"/>
        <v>3.2519000748950821</v>
      </c>
      <c r="BE430" s="70">
        <f t="shared" si="251"/>
        <v>6.4148421235172892E-2</v>
      </c>
      <c r="BF430" s="70">
        <f t="shared" si="252"/>
        <v>5.1784023875486582</v>
      </c>
      <c r="BG430" s="70">
        <f t="shared" si="253"/>
        <v>0.69880681818181811</v>
      </c>
      <c r="BH430" s="67">
        <f>MAX((CE430-Driver!$F$200)/(Driver!$G$200-Driver!$F$200)*$BI$1,1)</f>
        <v>4.0694365395560617</v>
      </c>
      <c r="BI430" s="67">
        <f>MAX($BI$1*(BY430-Driver!$F$201)/(Driver!$G$201-Driver!$F$201),1)</f>
        <v>6.2025316455696204</v>
      </c>
      <c r="BJ430" s="67">
        <f>(CB430-Driver!$F$206)/(Driver!$G$206-Driver!$F$206)*$BI$1</f>
        <v>4.92063492063492</v>
      </c>
      <c r="BK430" s="67">
        <f>(CD430-Driver!$F$203)/(Driver!$G$203-Driver!$F$203)*$BI$1</f>
        <v>3.4403669724770634</v>
      </c>
      <c r="BL430" s="67">
        <f>MAX((CR430-Driver!$F$202)/(Driver!$G$202-Driver!$F$202)*$BI$1,1)</f>
        <v>5.8620689655172411</v>
      </c>
      <c r="BM430" s="67">
        <f>MAX((CH430-Driver!$F$204)/(Driver!$G$204-Driver!$F$204)*$BI$1,1)</f>
        <v>2.3076923076923079</v>
      </c>
      <c r="BN430" s="67">
        <f>(CI430-Driver!$F$205)/(Driver!$G$205-Driver!$F$205)*$BI$1</f>
        <v>3.2352941176470589</v>
      </c>
      <c r="BO430" s="67">
        <f>(CK430-Driver!$F$207)/(Driver!$G$207-Driver!$F$207)*$BI$1</f>
        <v>1.4167528438469492</v>
      </c>
      <c r="BP430" s="67">
        <f>(CM430-Driver!$F$208)/(Driver!$G$208-Driver!$F$208)*$BI$1</f>
        <v>2.5555555555555554</v>
      </c>
      <c r="BQ430" s="67">
        <f>(CL430-Driver!$F$209)/(Driver!$G$209-Driver!$F$209)*$BI$1</f>
        <v>6.5625</v>
      </c>
      <c r="BR430" s="28" t="s">
        <v>155</v>
      </c>
      <c r="BS430" s="8" t="s">
        <v>182</v>
      </c>
      <c r="BT430" s="9" t="s">
        <v>428</v>
      </c>
      <c r="BU430" s="10">
        <v>156</v>
      </c>
      <c r="BV430" s="9" t="s">
        <v>163</v>
      </c>
      <c r="BW430" s="10">
        <v>156</v>
      </c>
      <c r="BX430" s="10">
        <v>154</v>
      </c>
      <c r="BY430" s="10">
        <v>106</v>
      </c>
      <c r="BZ430" s="10">
        <v>129</v>
      </c>
      <c r="CA430" s="10">
        <v>120</v>
      </c>
      <c r="CB430" s="10">
        <v>95</v>
      </c>
      <c r="CC430" s="10">
        <v>113</v>
      </c>
      <c r="CD430" s="10">
        <v>16.899999999999999</v>
      </c>
      <c r="CE430" s="10">
        <v>1615</v>
      </c>
      <c r="CF430" s="10">
        <v>0.98</v>
      </c>
      <c r="CG430" s="10">
        <v>1588</v>
      </c>
      <c r="CH430" s="10">
        <v>155</v>
      </c>
      <c r="CI430" s="10">
        <v>88</v>
      </c>
      <c r="CJ430" s="10">
        <v>48</v>
      </c>
      <c r="CK430" s="10">
        <v>247</v>
      </c>
      <c r="CL430" s="10">
        <v>42</v>
      </c>
      <c r="CM430" s="10">
        <v>230</v>
      </c>
      <c r="CN430" s="10">
        <v>0.873</v>
      </c>
      <c r="CO430" s="10">
        <v>118</v>
      </c>
      <c r="CP430" s="10">
        <v>134</v>
      </c>
      <c r="CQ430" s="10">
        <v>128</v>
      </c>
      <c r="CR430" s="10">
        <v>6</v>
      </c>
      <c r="CS430" s="10">
        <v>5.3</v>
      </c>
      <c r="CT430" s="9" t="s">
        <v>184</v>
      </c>
      <c r="CU430" s="10"/>
      <c r="CV430" s="10"/>
      <c r="CW430" s="10"/>
      <c r="CX430" t="str">
        <f>INDEX('Data_Price '!AG$2:AG$1266,MATCH(Data!$DN430,'Data_Price '!$AT$2:$AT$1266,0))</f>
        <v>Armada ARW 96 Skis - Women's 2022</v>
      </c>
      <c r="CY430" t="str">
        <f>INDEX('Data_Price '!AH$2:AH$1266,MATCH(Data!$DN430,'Data_Price '!$AT$2:$AT$1266,0))</f>
        <v>evo.com</v>
      </c>
      <c r="CZ430">
        <f>INDEX('Data_Price '!AI$2:AI$1266,MATCH(Data!$DN430,'Data_Price '!$AT$2:$AT$1266,0))</f>
        <v>399.96</v>
      </c>
      <c r="DA430" t="str">
        <f>INDEX('Data_Price '!AJ$2:AJ$1266,MATCH(Data!$DN430,'Data_Price '!$AT$2:$AT$1266,0))</f>
        <v>https://tinyurl.com/y9qltr2s</v>
      </c>
      <c r="DB430" t="str">
        <f>INDEX('Data_Price '!AK$2:AK$1266,MATCH(Data!$DN430,'Data_Price '!$AT$2:$AT$1266,0))</f>
        <v>Armada ARW 96 Skis - Women's 2022</v>
      </c>
      <c r="DC430" t="str">
        <f>INDEX('Data_Price '!AL$2:AL$1266,MATCH(Data!$DN430,'Data_Price '!$AT$2:$AT$1266,0))</f>
        <v>Christy Sports</v>
      </c>
      <c r="DD430">
        <f>INDEX('Data_Price '!AM$2:AM$1266,MATCH(Data!$DN430,'Data_Price '!$AT$2:$AT$1266,0))</f>
        <v>499.95</v>
      </c>
      <c r="DE430" t="str">
        <f>INDEX('Data_Price '!AN$2:AN$1266,MATCH(Data!$DN430,'Data_Price '!$AT$2:$AT$1266,0))</f>
        <v>https://tinyurl.com/yddkmtwd</v>
      </c>
      <c r="DF430" t="str">
        <f>INDEX('Data_Price '!AO$2:AO$1266,MATCH(Data!$DN430,'Data_Price '!$AT$2:$AT$1266,0))</f>
        <v>Armada Trace 98 Skis - Women's 2022</v>
      </c>
      <c r="DG430" t="str">
        <f>INDEX('Data_Price '!AP$2:AP$1266,MATCH(Data!$DN430,'Data_Price '!$AT$2:$AT$1266,0))</f>
        <v>Curated</v>
      </c>
      <c r="DH430">
        <f>INDEX('Data_Price '!AQ$2:AQ$1266,MATCH(Data!$DN430,'Data_Price '!$AT$2:$AT$1266,0))</f>
        <v>559</v>
      </c>
      <c r="DI430" t="str">
        <f>INDEX('Data_Price '!AR$2:AR$1266,MATCH(Data!$DN430,'Data_Price '!$AT$2:$AT$1266,0))</f>
        <v>https://tinyurl.com/yazogjg7</v>
      </c>
      <c r="DJ430" s="89" t="str">
        <f t="shared" si="254"/>
        <v>https://tinyurl.com/y9qltr2s</v>
      </c>
      <c r="DK430" s="89" t="str">
        <f t="shared" si="255"/>
        <v>https://tinyurl.com/yddkmtwd</v>
      </c>
      <c r="DL430" s="89" t="str">
        <f t="shared" si="256"/>
        <v>https://tinyurl.com/yazogjg7</v>
      </c>
      <c r="DM430" s="219" t="str">
        <f t="shared" si="257"/>
        <v>ARW 96</v>
      </c>
      <c r="DN430" s="89" t="str">
        <f t="shared" si="258"/>
        <v xml:space="preserve"> ArmadaARW 96156 Women's</v>
      </c>
      <c r="DO430" s="221" t="s">
        <v>429</v>
      </c>
    </row>
    <row r="431" spans="2:119" ht="15.6" customHeight="1">
      <c r="B431" s="219" t="b">
        <f t="array" ref="B431">IF(OR(ISERROR(K431:P431)),FALSE,TRUE)</f>
        <v>1</v>
      </c>
      <c r="C431" s="43" t="b">
        <f>OR(BR431=Driver!$G$50,Data!BR1242=Driver!$H$50)</f>
        <v>1</v>
      </c>
      <c r="D431" s="43" t="b">
        <f>OR(BV431=Driver!$G$51,BV431=Driver!$H$51)</f>
        <v>1</v>
      </c>
      <c r="E431" s="43" t="b">
        <f>AND(BX431&gt;Driver!$F$54,BX431&lt;Driver!$G$54)</f>
        <v>1</v>
      </c>
      <c r="F431" s="43" t="b">
        <f>CL431&gt;Driver!$F$56</f>
        <v>1</v>
      </c>
      <c r="G431" s="43" t="b">
        <f>AND(CB431&gt;Driver!$F$55,CB431&lt;Driver!$G$55)</f>
        <v>0</v>
      </c>
      <c r="H431" s="43" t="b">
        <f t="shared" si="222"/>
        <v>0</v>
      </c>
      <c r="I431" s="43">
        <f t="shared" si="223"/>
        <v>0</v>
      </c>
      <c r="J431" s="43" t="b">
        <f t="array" ref="J431">NOT(OR(($H$9:$H$1273=TRUE)*($I$9:$I$1273&gt;0)*($BT$9:$BT$1273=BT431)*($K$9:$K$1273&gt;K431)))</f>
        <v>1</v>
      </c>
      <c r="K431" s="72">
        <f t="shared" si="224"/>
        <v>0.8365112726381263</v>
      </c>
      <c r="L431" s="72">
        <f t="shared" si="225"/>
        <v>0.91256811791091819</v>
      </c>
      <c r="M431" s="72">
        <f t="shared" si="226"/>
        <v>0.76045442736533453</v>
      </c>
      <c r="N431" s="72">
        <f t="shared" si="227"/>
        <v>0.63985256482608843</v>
      </c>
      <c r="O431" s="72">
        <f t="shared" si="228"/>
        <v>0.65069000079767214</v>
      </c>
      <c r="P431" s="72">
        <f t="shared" si="229"/>
        <v>0.9908207164722429</v>
      </c>
      <c r="Q431" s="72"/>
      <c r="R431" s="72"/>
      <c r="S431" s="72">
        <f t="shared" si="230"/>
        <v>0.47339450801707039</v>
      </c>
      <c r="T431" s="72">
        <f t="shared" si="231"/>
        <v>0.47575978058916801</v>
      </c>
      <c r="U431" s="72">
        <f t="shared" si="232"/>
        <v>0.7880643745653888</v>
      </c>
      <c r="V431" s="72">
        <f t="shared" si="233"/>
        <v>0.49868760164081427</v>
      </c>
      <c r="W431" s="72">
        <f t="shared" si="234"/>
        <v>0.8476965159804204</v>
      </c>
      <c r="X431" s="72">
        <f t="shared" si="235"/>
        <v>8.7431882089081842E-2</v>
      </c>
      <c r="Y431" s="72">
        <f t="shared" si="236"/>
        <v>0.23954557263466547</v>
      </c>
      <c r="Z431" s="72">
        <f t="shared" si="237"/>
        <v>0.36014743517391151</v>
      </c>
      <c r="AA431" s="72">
        <f t="shared" si="238"/>
        <v>0.3493099992023278</v>
      </c>
      <c r="AB431" s="72">
        <f t="shared" si="239"/>
        <v>9.1792835277570983E-3</v>
      </c>
      <c r="AC431" s="72"/>
      <c r="AD431" s="72"/>
      <c r="AE431" s="72">
        <f t="shared" si="240"/>
        <v>0.52660549198292961</v>
      </c>
      <c r="AF431" s="72">
        <f t="shared" si="241"/>
        <v>0.52424021941083199</v>
      </c>
      <c r="AG431" s="72">
        <f t="shared" si="242"/>
        <v>0.2119356254346112</v>
      </c>
      <c r="AH431" s="72">
        <f t="shared" si="243"/>
        <v>0.50131239835918573</v>
      </c>
      <c r="AI431" s="72">
        <f t="shared" si="244"/>
        <v>0.1523034840195796</v>
      </c>
      <c r="AJ431" s="72">
        <f>(AV431-Driver!$K$179)/(Driver!$L$179-Driver!$K$179)</f>
        <v>0.16678752719361858</v>
      </c>
      <c r="AK431" s="72">
        <f>(AW431-Driver!$K$180)/(Driver!$L$180-Driver!$K$180)</f>
        <v>0.28125358554027374</v>
      </c>
      <c r="AL431" s="72">
        <f>(AX431-Driver!$K$181)/(Driver!$L$181-Driver!$K$181)</f>
        <v>0.4618351988869917</v>
      </c>
      <c r="AM431" s="72">
        <f>(AY431-Driver!$K$182)/(Driver!$L$182-Driver!$K$182)</f>
        <v>9.8075021894718548E-2</v>
      </c>
      <c r="AN431" s="72">
        <f>(AZ431-Driver!$K$183)/(Driver!$L$183-Driver!$K$183)</f>
        <v>0.26339869281045752</v>
      </c>
      <c r="AO431" s="72"/>
      <c r="AP431" s="72"/>
      <c r="AQ431" s="72">
        <f>(BC431-Driver!$K$188)/(Driver!$L$188-Driver!$K$188)</f>
        <v>9.3394508017070388E-2</v>
      </c>
      <c r="AR431" s="72">
        <f>MIN((BD431-Driver!$K$189)/(Driver!$L$189-Driver!$K$189),100%)</f>
        <v>2.575978058916804E-2</v>
      </c>
      <c r="AS431" s="72">
        <f>(BE431-Driver!$K$190)/(Driver!$L$190-Driver!$K$190)</f>
        <v>0.29806437456538881</v>
      </c>
      <c r="AT431" s="72">
        <f>(BF431-Driver!$K$191)/(Driver!$L$191-Driver!$K$191)</f>
        <v>8.6876016408142537E-3</v>
      </c>
      <c r="AU431" s="72">
        <f>(BG431-Driver!$K$192)/(Driver!$L$192-Driver!$K$192)</f>
        <v>9.7696515980420381E-2</v>
      </c>
      <c r="AV431" s="70">
        <f t="shared" si="245"/>
        <v>3.5103785103785108</v>
      </c>
      <c r="AW431" s="70">
        <f t="shared" si="246"/>
        <v>29.282546692649255</v>
      </c>
      <c r="AX431" s="70">
        <f t="shared" si="247"/>
        <v>5.1565167899829252</v>
      </c>
      <c r="AY431" s="70">
        <f>IFERROR(Driver!$K$19/Data!BH431/Data!BI431*Data!BK431*Data!BL431,"")</f>
        <v>0.12007308956134034</v>
      </c>
      <c r="AZ431" s="70">
        <f t="shared" si="248"/>
        <v>24.005956813104991</v>
      </c>
      <c r="BA431" s="70"/>
      <c r="BB431" s="70"/>
      <c r="BC431" s="70">
        <f t="shared" si="249"/>
        <v>48.444380576540695</v>
      </c>
      <c r="BD431" s="70">
        <f t="shared" si="250"/>
        <v>4.0005178226087699</v>
      </c>
      <c r="BE431" s="70">
        <f t="shared" si="251"/>
        <v>0.29818959198034434</v>
      </c>
      <c r="BF431" s="70">
        <f t="shared" si="252"/>
        <v>0.98120357147416781</v>
      </c>
      <c r="BG431" s="70">
        <f t="shared" si="253"/>
        <v>0.36994133314137634</v>
      </c>
      <c r="BH431" s="67">
        <f>MAX((CE431-Driver!$F$200)/(Driver!$G$200-Driver!$F$200)*$BI$1,1)</f>
        <v>5.1565167899829252</v>
      </c>
      <c r="BI431" s="67">
        <f>MAX($BI$1*(BY431-Driver!$F$201)/(Driver!$G$201-Driver!$F$201),1)</f>
        <v>7.8481012658227849</v>
      </c>
      <c r="BJ431" s="67">
        <f>(CB431-Driver!$F$206)/(Driver!$G$206-Driver!$F$206)*$BI$1</f>
        <v>4.7619047619047619</v>
      </c>
      <c r="BK431" s="67">
        <f>(CD431-Driver!$F$203)/(Driver!$G$203-Driver!$F$203)*$BI$1</f>
        <v>4.4036697247706424</v>
      </c>
      <c r="BL431" s="67">
        <f>MAX((CR431-Driver!$F$202)/(Driver!$G$202-Driver!$F$202)*$BI$1,1)</f>
        <v>5.5172413793103452</v>
      </c>
      <c r="BM431" s="67">
        <f>MAX((CH431-Driver!$F$204)/(Driver!$G$204-Driver!$F$204)*$BI$1,1)</f>
        <v>2.9487179487179489</v>
      </c>
      <c r="BN431" s="67">
        <f>(CI431-Driver!$F$205)/(Driver!$G$205-Driver!$F$205)*$BI$1</f>
        <v>3.0588235294117649</v>
      </c>
      <c r="BO431" s="67">
        <f>(CK431-Driver!$F$207)/(Driver!$G$207-Driver!$F$207)*$BI$1</f>
        <v>0.54808686659772488</v>
      </c>
      <c r="BP431" s="67">
        <f>(CM431-Driver!$F$208)/(Driver!$G$208-Driver!$F$208)*$BI$1</f>
        <v>1.6555555555555557</v>
      </c>
      <c r="BQ431" s="67">
        <f>(CL431-Driver!$F$209)/(Driver!$G$209-Driver!$F$209)*$BI$1</f>
        <v>5.625</v>
      </c>
      <c r="BR431" s="28" t="s">
        <v>155</v>
      </c>
      <c r="BS431" s="8" t="s">
        <v>229</v>
      </c>
      <c r="BT431" s="9" t="s">
        <v>596</v>
      </c>
      <c r="BU431" s="10">
        <v>165</v>
      </c>
      <c r="BV431" s="9" t="s">
        <v>158</v>
      </c>
      <c r="BW431" s="10">
        <v>165</v>
      </c>
      <c r="BX431" s="10">
        <v>163.6</v>
      </c>
      <c r="BY431" s="10">
        <v>132</v>
      </c>
      <c r="BZ431" s="10">
        <v>149</v>
      </c>
      <c r="CA431" s="10">
        <v>128</v>
      </c>
      <c r="CB431" s="10">
        <v>94</v>
      </c>
      <c r="CC431" s="10">
        <v>118</v>
      </c>
      <c r="CD431" s="10">
        <v>19</v>
      </c>
      <c r="CE431" s="10">
        <v>1806</v>
      </c>
      <c r="CF431" s="10">
        <v>0.94</v>
      </c>
      <c r="CG431" s="10">
        <v>1702</v>
      </c>
      <c r="CH431" s="10">
        <v>170</v>
      </c>
      <c r="CI431" s="10">
        <v>85</v>
      </c>
      <c r="CJ431" s="10">
        <v>40</v>
      </c>
      <c r="CK431" s="10">
        <v>163</v>
      </c>
      <c r="CL431" s="10">
        <v>36</v>
      </c>
      <c r="CM431" s="10">
        <v>149</v>
      </c>
      <c r="CN431" s="10">
        <v>0.89400000000000002</v>
      </c>
      <c r="CO431" s="10">
        <v>80</v>
      </c>
      <c r="CP431" s="10">
        <v>70</v>
      </c>
      <c r="CQ431" s="10">
        <v>83</v>
      </c>
      <c r="CR431" s="10">
        <v>5</v>
      </c>
      <c r="CS431" s="10">
        <v>0.6</v>
      </c>
      <c r="CT431" s="9" t="s">
        <v>184</v>
      </c>
      <c r="CU431" s="10"/>
      <c r="CV431" s="10"/>
      <c r="CW431" s="10"/>
      <c r="CX431" t="e">
        <f>INDEX('Data_Price '!AG$2:AG$1266,MATCH(Data!$DN431,'Data_Price '!$AT$2:$AT$1266,0))</f>
        <v>#N/A</v>
      </c>
      <c r="CY431" t="e">
        <f>INDEX('Data_Price '!AH$2:AH$1266,MATCH(Data!$DN431,'Data_Price '!$AT$2:$AT$1266,0))</f>
        <v>#N/A</v>
      </c>
      <c r="CZ431" t="e">
        <f>INDEX('Data_Price '!AI$2:AI$1266,MATCH(Data!$DN431,'Data_Price '!$AT$2:$AT$1266,0))</f>
        <v>#N/A</v>
      </c>
      <c r="DA431" t="e">
        <f>INDEX('Data_Price '!AJ$2:AJ$1266,MATCH(Data!$DN431,'Data_Price '!$AT$2:$AT$1266,0))</f>
        <v>#N/A</v>
      </c>
      <c r="DB431" t="e">
        <f>INDEX('Data_Price '!AK$2:AK$1266,MATCH(Data!$DN431,'Data_Price '!$AT$2:$AT$1266,0))</f>
        <v>#N/A</v>
      </c>
      <c r="DC431" t="e">
        <f>INDEX('Data_Price '!AL$2:AL$1266,MATCH(Data!$DN431,'Data_Price '!$AT$2:$AT$1266,0))</f>
        <v>#N/A</v>
      </c>
      <c r="DD431" t="e">
        <f>INDEX('Data_Price '!AM$2:AM$1266,MATCH(Data!$DN431,'Data_Price '!$AT$2:$AT$1266,0))</f>
        <v>#N/A</v>
      </c>
      <c r="DE431" t="e">
        <f>INDEX('Data_Price '!AN$2:AN$1266,MATCH(Data!$DN431,'Data_Price '!$AT$2:$AT$1266,0))</f>
        <v>#N/A</v>
      </c>
      <c r="DF431" t="e">
        <f>INDEX('Data_Price '!AO$2:AO$1266,MATCH(Data!$DN431,'Data_Price '!$AT$2:$AT$1266,0))</f>
        <v>#N/A</v>
      </c>
      <c r="DG431" t="e">
        <f>INDEX('Data_Price '!AP$2:AP$1266,MATCH(Data!$DN431,'Data_Price '!$AT$2:$AT$1266,0))</f>
        <v>#N/A</v>
      </c>
      <c r="DH431" t="e">
        <f>INDEX('Data_Price '!AQ$2:AQ$1266,MATCH(Data!$DN431,'Data_Price '!$AT$2:$AT$1266,0))</f>
        <v>#N/A</v>
      </c>
      <c r="DI431" t="e">
        <f>INDEX('Data_Price '!AR$2:AR$1266,MATCH(Data!$DN431,'Data_Price '!$AT$2:$AT$1266,0))</f>
        <v>#N/A</v>
      </c>
      <c r="DJ431" s="89" t="e">
        <f t="shared" si="254"/>
        <v>#N/A</v>
      </c>
      <c r="DK431" s="89" t="e">
        <f t="shared" si="255"/>
        <v>#N/A</v>
      </c>
      <c r="DL431" s="89" t="e">
        <f t="shared" si="256"/>
        <v>#N/A</v>
      </c>
      <c r="DM431" s="219" t="str">
        <f t="shared" si="257"/>
        <v>Revolt 95</v>
      </c>
      <c r="DN431" s="89" t="str">
        <f t="shared" si="258"/>
        <v xml:space="preserve"> VölklRevolt 95165 Unisex</v>
      </c>
      <c r="DO431" s="221" t="s">
        <v>597</v>
      </c>
    </row>
    <row r="432" spans="2:119" ht="15.6" customHeight="1">
      <c r="B432" s="219" t="b">
        <f t="array" ref="B432">IF(OR(ISERROR(K432:P432)),FALSE,TRUE)</f>
        <v>1</v>
      </c>
      <c r="C432" s="43" t="b">
        <f>OR(BR432=Driver!$G$50,Data!BR1126=Driver!$H$50)</f>
        <v>1</v>
      </c>
      <c r="D432" s="43" t="b">
        <f>OR(BV432=Driver!$G$51,BV432=Driver!$H$51)</f>
        <v>0</v>
      </c>
      <c r="E432" s="43" t="b">
        <f>AND(BX432&gt;Driver!$F$54,BX432&lt;Driver!$G$54)</f>
        <v>1</v>
      </c>
      <c r="F432" s="43" t="b">
        <f>CL432&gt;Driver!$F$56</f>
        <v>1</v>
      </c>
      <c r="G432" s="43" t="b">
        <f>AND(CB432&gt;Driver!$F$55,CB432&lt;Driver!$G$55)</f>
        <v>0</v>
      </c>
      <c r="H432" s="43" t="b">
        <f t="shared" si="222"/>
        <v>0</v>
      </c>
      <c r="I432" s="43">
        <f t="shared" si="223"/>
        <v>0</v>
      </c>
      <c r="J432" s="43" t="b">
        <f t="array" ref="J432">NOT(OR(($H$9:$H$1273=TRUE)*($I$9:$I$1273&gt;0)*($BT$9:$BT$1273=BT432)*($K$9:$K$1273&gt;K432)))</f>
        <v>1</v>
      </c>
      <c r="K432" s="72">
        <f t="shared" si="224"/>
        <v>0.93038797411841034</v>
      </c>
      <c r="L432" s="72">
        <f t="shared" si="225"/>
        <v>0.96093119721276254</v>
      </c>
      <c r="M432" s="72">
        <f t="shared" si="226"/>
        <v>0.89984475102405814</v>
      </c>
      <c r="N432" s="72">
        <f t="shared" si="227"/>
        <v>0.95921005549832017</v>
      </c>
      <c r="O432" s="72">
        <f t="shared" si="228"/>
        <v>0.75146426541533684</v>
      </c>
      <c r="P432" s="72">
        <f t="shared" si="229"/>
        <v>0.98885993215851742</v>
      </c>
      <c r="Q432" s="72"/>
      <c r="R432" s="72"/>
      <c r="S432" s="72">
        <f t="shared" si="230"/>
        <v>0.46420362668250637</v>
      </c>
      <c r="T432" s="72">
        <f t="shared" si="231"/>
        <v>0.47434979830315627</v>
      </c>
      <c r="U432" s="72">
        <f t="shared" si="232"/>
        <v>0.93613185360510998</v>
      </c>
      <c r="V432" s="72">
        <f t="shared" si="233"/>
        <v>0.51557838091166419</v>
      </c>
      <c r="W432" s="72">
        <f t="shared" si="234"/>
        <v>0.80857855361596009</v>
      </c>
      <c r="X432" s="72">
        <f t="shared" si="235"/>
        <v>3.9068802787237511E-2</v>
      </c>
      <c r="Y432" s="72">
        <f t="shared" si="236"/>
        <v>0.10015524897594187</v>
      </c>
      <c r="Z432" s="72">
        <f t="shared" si="237"/>
        <v>4.0789944501679845E-2</v>
      </c>
      <c r="AA432" s="72">
        <f t="shared" si="238"/>
        <v>0.24853573458466319</v>
      </c>
      <c r="AB432" s="72">
        <f t="shared" si="239"/>
        <v>1.1140067841482582E-2</v>
      </c>
      <c r="AC432" s="72"/>
      <c r="AD432" s="72"/>
      <c r="AE432" s="72">
        <f t="shared" si="240"/>
        <v>0.53579637331749363</v>
      </c>
      <c r="AF432" s="72">
        <f t="shared" si="241"/>
        <v>0.52565020169684373</v>
      </c>
      <c r="AG432" s="72">
        <f t="shared" si="242"/>
        <v>6.386814639489008E-2</v>
      </c>
      <c r="AH432" s="72">
        <f t="shared" si="243"/>
        <v>0.48442161908833581</v>
      </c>
      <c r="AI432" s="72">
        <f t="shared" si="244"/>
        <v>0.19142144638403991</v>
      </c>
      <c r="AJ432" s="72">
        <f>(AV432-Driver!$K$179)/(Driver!$L$179-Driver!$K$179)</f>
        <v>0.29328821206993794</v>
      </c>
      <c r="AK432" s="72">
        <f>(AW432-Driver!$K$180)/(Driver!$L$180-Driver!$K$180)</f>
        <v>0.25486157530046594</v>
      </c>
      <c r="AL432" s="72">
        <f>(AX432-Driver!$K$181)/(Driver!$L$181-Driver!$K$181)</f>
        <v>0.14247770821476002</v>
      </c>
      <c r="AM432" s="72">
        <f>(AY432-Driver!$K$182)/(Driver!$L$182-Driver!$K$182)</f>
        <v>0.19884928651238318</v>
      </c>
      <c r="AN432" s="72">
        <f>(AZ432-Driver!$K$183)/(Driver!$L$183-Driver!$K$183)</f>
        <v>0.26535947712418301</v>
      </c>
      <c r="AO432" s="72"/>
      <c r="AP432" s="72"/>
      <c r="AQ432" s="72">
        <f>(BC432-Driver!$K$188)/(Driver!$L$188-Driver!$K$188)</f>
        <v>8.4203626682506388E-2</v>
      </c>
      <c r="AR432" s="72">
        <f>MIN((BD432-Driver!$K$189)/(Driver!$L$189-Driver!$K$189),100%)</f>
        <v>2.4349798303156315E-2</v>
      </c>
      <c r="AS432" s="72">
        <f>(BE432-Driver!$K$190)/(Driver!$L$190-Driver!$K$190)</f>
        <v>0.44613185360510993</v>
      </c>
      <c r="AT432" s="72">
        <f>(BF432-Driver!$K$191)/(Driver!$L$191-Driver!$K$191)</f>
        <v>2.5578380911664221E-2</v>
      </c>
      <c r="AU432" s="72">
        <f>(BG432-Driver!$K$192)/(Driver!$L$192-Driver!$K$192)</f>
        <v>5.8578553615960087E-2</v>
      </c>
      <c r="AV432" s="70">
        <f t="shared" si="245"/>
        <v>6.1728395061728394</v>
      </c>
      <c r="AW432" s="70">
        <f t="shared" si="246"/>
        <v>26.71041143777936</v>
      </c>
      <c r="AX432" s="70">
        <f t="shared" si="247"/>
        <v>2.2822993739328403</v>
      </c>
      <c r="AY432" s="70">
        <f>IFERROR(Driver!$K$19/Data!BH432/Data!BI432*Data!BK432*Data!BL432,"")</f>
        <v>0.24345085759186344</v>
      </c>
      <c r="AZ432" s="70">
        <f t="shared" si="248"/>
        <v>24.184661206254656</v>
      </c>
      <c r="BA432" s="70"/>
      <c r="BB432" s="70"/>
      <c r="BC432" s="70">
        <f t="shared" si="249"/>
        <v>43.677006534331895</v>
      </c>
      <c r="BD432" s="70">
        <f t="shared" si="250"/>
        <v>3.8757368886375088</v>
      </c>
      <c r="BE432" s="70">
        <f t="shared" si="251"/>
        <v>0.44623065744837526</v>
      </c>
      <c r="BF432" s="70">
        <f t="shared" si="252"/>
        <v>2.8888984256763548</v>
      </c>
      <c r="BG432" s="70">
        <f t="shared" si="253"/>
        <v>0.22181577306733163</v>
      </c>
      <c r="BH432" s="67">
        <f>MAX((CE432-Driver!$F$200)/(Driver!$G$200-Driver!$F$200)*$BI$1,1)</f>
        <v>2.2822993739328403</v>
      </c>
      <c r="BI432" s="67">
        <f>MAX($BI$1*(BY432-Driver!$F$201)/(Driver!$G$201-Driver!$F$201),1)</f>
        <v>7.0886075949367084</v>
      </c>
      <c r="BJ432" s="67">
        <f>(CB432-Driver!$F$206)/(Driver!$G$206-Driver!$F$206)*$BI$1</f>
        <v>4.4444444444444446</v>
      </c>
      <c r="BK432" s="67">
        <f>(CD432-Driver!$F$203)/(Driver!$G$203-Driver!$F$203)*$BI$1</f>
        <v>3.8073394495412844</v>
      </c>
      <c r="BL432" s="67">
        <f>MAX((CR432-Driver!$F$202)/(Driver!$G$202-Driver!$F$202)*$BI$1,1)</f>
        <v>5.1724137931034484</v>
      </c>
      <c r="BM432" s="67">
        <f>MAX((CH432-Driver!$F$204)/(Driver!$G$204-Driver!$F$204)*$BI$1,1)</f>
        <v>5.5555555555555554</v>
      </c>
      <c r="BN432" s="67">
        <f>(CI432-Driver!$F$205)/(Driver!$G$205-Driver!$F$205)*$BI$1</f>
        <v>3.4117647058823533</v>
      </c>
      <c r="BO432" s="67">
        <f>(CK432-Driver!$F$207)/(Driver!$G$207-Driver!$F$207)*$BI$1</f>
        <v>1.8407445708376422</v>
      </c>
      <c r="BP432" s="67">
        <f>(CM432-Driver!$F$208)/(Driver!$G$208-Driver!$F$208)*$BI$1</f>
        <v>1.3444444444444446</v>
      </c>
      <c r="BQ432" s="67">
        <f>(CL432-Driver!$F$209)/(Driver!$G$209-Driver!$F$209)*$BI$1</f>
        <v>2.8125</v>
      </c>
      <c r="BR432" s="28" t="s">
        <v>155</v>
      </c>
      <c r="BS432" s="8" t="s">
        <v>180</v>
      </c>
      <c r="BT432" s="9" t="s">
        <v>598</v>
      </c>
      <c r="BU432" s="10">
        <v>160</v>
      </c>
      <c r="BV432" s="9" t="s">
        <v>163</v>
      </c>
      <c r="BW432" s="10">
        <v>160</v>
      </c>
      <c r="BX432" s="10">
        <v>160.80000000000001</v>
      </c>
      <c r="BY432" s="10">
        <v>120</v>
      </c>
      <c r="BZ432" s="10">
        <v>142</v>
      </c>
      <c r="CA432" s="10">
        <v>128</v>
      </c>
      <c r="CB432" s="10">
        <v>92</v>
      </c>
      <c r="CC432" s="10">
        <v>112</v>
      </c>
      <c r="CD432" s="10">
        <v>17.7</v>
      </c>
      <c r="CE432" s="10">
        <v>1301</v>
      </c>
      <c r="CF432" s="10">
        <v>1.27</v>
      </c>
      <c r="CG432" s="10">
        <v>1656</v>
      </c>
      <c r="CH432" s="10">
        <v>231</v>
      </c>
      <c r="CI432" s="10">
        <v>91</v>
      </c>
      <c r="CJ432" s="10">
        <v>59</v>
      </c>
      <c r="CK432" s="10">
        <v>288</v>
      </c>
      <c r="CL432" s="10">
        <v>18</v>
      </c>
      <c r="CM432" s="10">
        <v>121</v>
      </c>
      <c r="CN432" s="10">
        <v>0.312</v>
      </c>
      <c r="CO432" s="10">
        <v>109</v>
      </c>
      <c r="CP432" s="10">
        <v>81</v>
      </c>
      <c r="CQ432" s="10">
        <v>179</v>
      </c>
      <c r="CR432" s="10">
        <v>4</v>
      </c>
      <c r="CS432" s="10">
        <v>12.7</v>
      </c>
      <c r="CT432" s="9" t="s">
        <v>188</v>
      </c>
      <c r="CU432" s="9" t="s">
        <v>185</v>
      </c>
      <c r="CV432" s="9" t="s">
        <v>198</v>
      </c>
      <c r="CW432" s="10"/>
      <c r="CX432" t="str">
        <f>INDEX('Data_Price '!AG$2:AG$1266,MATCH(Data!$DN432,'Data_Price '!$AT$2:$AT$1266,0))</f>
        <v>SCOTT Superguide 95 W Alpine Touring Ski 160</v>
      </c>
      <c r="CY432" t="str">
        <f>INDEX('Data_Price '!AH$2:AH$1266,MATCH(Data!$DN432,'Data_Price '!$AT$2:$AT$1266,0))</f>
        <v>Cripple Creek Backcountry</v>
      </c>
      <c r="CZ432">
        <f>INDEX('Data_Price '!AI$2:AI$1266,MATCH(Data!$DN432,'Data_Price '!$AT$2:$AT$1266,0))</f>
        <v>699.95</v>
      </c>
      <c r="DA432" t="str">
        <f>INDEX('Data_Price '!AJ$2:AJ$1266,MATCH(Data!$DN432,'Data_Price '!$AT$2:$AT$1266,0))</f>
        <v>https://tinyurl.com/y9ndy2p5</v>
      </c>
      <c r="DB432" t="str">
        <f>INDEX('Data_Price '!AK$2:AK$1266,MATCH(Data!$DN432,'Data_Price '!$AT$2:$AT$1266,0))</f>
        <v>Scott Superguide 95 Ski - Women - 160cm</v>
      </c>
      <c r="DC432" t="str">
        <f>INDEX('Data_Price '!AL$2:AL$1266,MATCH(Data!$DN432,'Data_Price '!$AT$2:$AT$1266,0))</f>
        <v>Skimo &amp; SkyRun</v>
      </c>
      <c r="DD432">
        <f>INDEX('Data_Price '!AM$2:AM$1266,MATCH(Data!$DN432,'Data_Price '!$AT$2:$AT$1266,0))</f>
        <v>594.94000000000005</v>
      </c>
      <c r="DE432" t="str">
        <f>INDEX('Data_Price '!AN$2:AN$1266,MATCH(Data!$DN432,'Data_Price '!$AT$2:$AT$1266,0))</f>
        <v>https://tinyurl.com/y8lm45lt</v>
      </c>
      <c r="DF432" t="str">
        <f>INDEX('Data_Price '!AO$2:AO$1266,MATCH(Data!$DN432,'Data_Price '!$AT$2:$AT$1266,0))</f>
        <v>Scott Superguide 95 Ski - Women - 160cm</v>
      </c>
      <c r="DG432" t="str">
        <f>INDEX('Data_Price '!AP$2:AP$1266,MATCH(Data!$DN432,'Data_Price '!$AT$2:$AT$1266,0))</f>
        <v>Backcountry.com</v>
      </c>
      <c r="DH432">
        <f>INDEX('Data_Price '!AQ$2:AQ$1266,MATCH(Data!$DN432,'Data_Price '!$AT$2:$AT$1266,0))</f>
        <v>639.96</v>
      </c>
      <c r="DI432" t="str">
        <f>INDEX('Data_Price '!AR$2:AR$1266,MATCH(Data!$DN432,'Data_Price '!$AT$2:$AT$1266,0))</f>
        <v>https://tinyurl.com/y8r8y7l6</v>
      </c>
      <c r="DJ432" s="89" t="str">
        <f t="shared" si="254"/>
        <v>https://tinyurl.com/y9ndy2p5</v>
      </c>
      <c r="DK432" s="89" t="str">
        <f t="shared" si="255"/>
        <v>https://tinyurl.com/y8lm45lt</v>
      </c>
      <c r="DL432" s="89" t="str">
        <f t="shared" si="256"/>
        <v>https://tinyurl.com/y8r8y7l6</v>
      </c>
      <c r="DM432" s="219" t="str">
        <f t="shared" si="257"/>
        <v>Superguide 95 W</v>
      </c>
      <c r="DN432" s="89" t="str">
        <f t="shared" si="258"/>
        <v xml:space="preserve"> ScottSuperguide 95 W160 Women's</v>
      </c>
      <c r="DO432" s="221"/>
    </row>
    <row r="433" spans="2:119" ht="15.6" customHeight="1">
      <c r="B433" s="219" t="b">
        <f t="array" ref="B433">IF(OR(ISERROR(K433:P433)),FALSE,TRUE)</f>
        <v>1</v>
      </c>
      <c r="C433" s="43" t="b">
        <f>OR(BR433=Driver!$G$50,Data!BR815=Driver!$H$50)</f>
        <v>1</v>
      </c>
      <c r="D433" s="43" t="b">
        <f>OR(BV433=Driver!$G$51,BV433=Driver!$H$51)</f>
        <v>1</v>
      </c>
      <c r="E433" s="43" t="b">
        <f>AND(BX433&gt;Driver!$F$54,BX433&lt;Driver!$G$54)</f>
        <v>0</v>
      </c>
      <c r="F433" s="43" t="b">
        <f>CL433&gt;Driver!$F$56</f>
        <v>1</v>
      </c>
      <c r="G433" s="43" t="b">
        <f>AND(CB433&gt;Driver!$F$55,CB433&lt;Driver!$G$55)</f>
        <v>1</v>
      </c>
      <c r="H433" s="43" t="b">
        <f t="shared" si="222"/>
        <v>0</v>
      </c>
      <c r="I433" s="43">
        <f t="shared" si="223"/>
        <v>0</v>
      </c>
      <c r="J433" s="43" t="b">
        <f t="array" ref="J433">NOT(OR(($H$9:$H$1273=TRUE)*($I$9:$I$1273&gt;0)*($BT$9:$BT$1273=BT433)*($K$9:$K$1273&gt;K433)))</f>
        <v>1</v>
      </c>
      <c r="K433" s="72">
        <f t="shared" si="224"/>
        <v>0.77114166837134968</v>
      </c>
      <c r="L433" s="72">
        <f t="shared" si="225"/>
        <v>0.83120756495105919</v>
      </c>
      <c r="M433" s="72">
        <f t="shared" si="226"/>
        <v>0.71107577179164017</v>
      </c>
      <c r="N433" s="72">
        <f t="shared" si="227"/>
        <v>0.50262370249762456</v>
      </c>
      <c r="O433" s="72">
        <f t="shared" si="228"/>
        <v>0.66355740620897463</v>
      </c>
      <c r="P433" s="72">
        <f t="shared" si="229"/>
        <v>0.96704620666832131</v>
      </c>
      <c r="Q433" s="72"/>
      <c r="R433" s="72"/>
      <c r="S433" s="72">
        <f t="shared" si="230"/>
        <v>0.47860730040283506</v>
      </c>
      <c r="T433" s="72">
        <f t="shared" si="231"/>
        <v>0.48987730057845735</v>
      </c>
      <c r="U433" s="72">
        <f t="shared" si="232"/>
        <v>0.50086460238281505</v>
      </c>
      <c r="V433" s="72">
        <f t="shared" si="233"/>
        <v>0.64187701052193591</v>
      </c>
      <c r="W433" s="72">
        <f t="shared" si="234"/>
        <v>0.80075903829029382</v>
      </c>
      <c r="X433" s="72">
        <f t="shared" si="235"/>
        <v>0.16879243504894081</v>
      </c>
      <c r="Y433" s="72">
        <f t="shared" si="236"/>
        <v>0.28892422820835983</v>
      </c>
      <c r="Z433" s="72">
        <f t="shared" si="237"/>
        <v>0.49737629750237544</v>
      </c>
      <c r="AA433" s="72">
        <f t="shared" si="238"/>
        <v>0.33644259379102537</v>
      </c>
      <c r="AB433" s="72">
        <f t="shared" si="239"/>
        <v>3.2953793331678694E-2</v>
      </c>
      <c r="AC433" s="72"/>
      <c r="AD433" s="72"/>
      <c r="AE433" s="72">
        <f t="shared" si="240"/>
        <v>0.52139269959716494</v>
      </c>
      <c r="AF433" s="72">
        <f t="shared" si="241"/>
        <v>0.51012269942154265</v>
      </c>
      <c r="AG433" s="72">
        <f t="shared" si="242"/>
        <v>0.49913539761718495</v>
      </c>
      <c r="AH433" s="72">
        <f t="shared" si="243"/>
        <v>0.35812298947806409</v>
      </c>
      <c r="AI433" s="72">
        <f t="shared" si="244"/>
        <v>0.19924096170970615</v>
      </c>
      <c r="AJ433" s="72">
        <f>(AV433-Driver!$K$179)/(Driver!$L$179-Driver!$K$179)</f>
        <v>0.42301184433164124</v>
      </c>
      <c r="AK433" s="72">
        <f>(AW433-Driver!$K$180)/(Driver!$L$180-Driver!$K$180)</f>
        <v>0.31632073120330328</v>
      </c>
      <c r="AL433" s="72">
        <f>(AX433-Driver!$K$181)/(Driver!$L$181-Driver!$K$181)</f>
        <v>0.59906406121545563</v>
      </c>
      <c r="AM433" s="72">
        <f>(AY433-Driver!$K$182)/(Driver!$L$182-Driver!$K$182)</f>
        <v>0.11094242730602102</v>
      </c>
      <c r="AN433" s="72">
        <f>(AZ433-Driver!$K$183)/(Driver!$L$183-Driver!$K$183)</f>
        <v>0.28717320261437912</v>
      </c>
      <c r="AO433" s="72"/>
      <c r="AP433" s="72"/>
      <c r="AQ433" s="72">
        <f>(BC433-Driver!$K$188)/(Driver!$L$188-Driver!$K$188)</f>
        <v>9.860730040283508E-2</v>
      </c>
      <c r="AR433" s="72">
        <f>MIN((BD433-Driver!$K$189)/(Driver!$L$189-Driver!$K$189),100%)</f>
        <v>3.9877300578457453E-2</v>
      </c>
      <c r="AS433" s="72">
        <f>(BE433-Driver!$K$190)/(Driver!$L$190-Driver!$K$190)</f>
        <v>1.0864602382815039E-2</v>
      </c>
      <c r="AT433" s="72">
        <f>(BF433-Driver!$K$191)/(Driver!$L$191-Driver!$K$191)</f>
        <v>0.15187701052193589</v>
      </c>
      <c r="AU433" s="72">
        <f>(BG433-Driver!$K$192)/(Driver!$L$192-Driver!$K$192)</f>
        <v>5.0759038290293851E-2</v>
      </c>
      <c r="AV433" s="70">
        <f t="shared" si="245"/>
        <v>8.9031339031339023</v>
      </c>
      <c r="AW433" s="70">
        <f t="shared" si="246"/>
        <v>32.700150764031775</v>
      </c>
      <c r="AX433" s="70">
        <f t="shared" si="247"/>
        <v>6.3915765509391012</v>
      </c>
      <c r="AY433" s="70">
        <f>IFERROR(Driver!$K$19/Data!BH433/Data!BI433*Data!BK433*Data!BL433,"")</f>
        <v>0.1358266330479985</v>
      </c>
      <c r="AZ433" s="70">
        <f t="shared" si="248"/>
        <v>26.172747580044678</v>
      </c>
      <c r="BA433" s="70"/>
      <c r="BB433" s="70"/>
      <c r="BC433" s="70">
        <f t="shared" si="249"/>
        <v>51.148292225781582</v>
      </c>
      <c r="BD433" s="70">
        <f t="shared" si="250"/>
        <v>5.2498933268956636</v>
      </c>
      <c r="BE433" s="70">
        <f t="shared" si="251"/>
        <v>1.1041053004556821E-2</v>
      </c>
      <c r="BF433" s="70">
        <f t="shared" si="252"/>
        <v>17.153441342065957</v>
      </c>
      <c r="BG433" s="70">
        <f t="shared" si="253"/>
        <v>0.1922060997328584</v>
      </c>
      <c r="BH433" s="67">
        <f>MAX((CE433-Driver!$F$200)/(Driver!$G$200-Driver!$F$200)*$BI$1,1)</f>
        <v>6.3915765509391012</v>
      </c>
      <c r="BI433" s="67">
        <f>MAX($BI$1*(BY433-Driver!$F$201)/(Driver!$G$201-Driver!$F$201),1)</f>
        <v>6.0126582278481013</v>
      </c>
      <c r="BJ433" s="67">
        <f>(CB433-Driver!$F$206)/(Driver!$G$206-Driver!$F$206)*$BI$1</f>
        <v>6.6666666666666661</v>
      </c>
      <c r="BK433" s="67">
        <f>(CD433-Driver!$F$203)/(Driver!$G$203-Driver!$F$203)*$BI$1</f>
        <v>5.045871559633027</v>
      </c>
      <c r="BL433" s="67">
        <f>MAX((CR433-Driver!$F$202)/(Driver!$G$202-Driver!$F$202)*$BI$1,1)</f>
        <v>5.1724137931034484</v>
      </c>
      <c r="BM433" s="67">
        <f>MAX((CH433-Driver!$F$204)/(Driver!$G$204-Driver!$F$204)*$BI$1,1)</f>
        <v>5.3418803418803416</v>
      </c>
      <c r="BN433" s="67">
        <f>(CI433-Driver!$F$205)/(Driver!$G$205-Driver!$F$205)*$BI$1</f>
        <v>4.3529411764705888</v>
      </c>
      <c r="BO433" s="67">
        <f>(CK433-Driver!$F$207)/(Driver!$G$207-Driver!$F$207)*$BI$1</f>
        <v>3.640124095139607</v>
      </c>
      <c r="BP433" s="67">
        <f>(CM433-Driver!$F$208)/(Driver!$G$208-Driver!$F$208)*$BI$1</f>
        <v>3.5666666666666669</v>
      </c>
      <c r="BQ433" s="67">
        <f>(CL433-Driver!$F$209)/(Driver!$G$209-Driver!$F$209)*$BI$1</f>
        <v>6.5625</v>
      </c>
      <c r="BR433" s="28" t="s">
        <v>155</v>
      </c>
      <c r="BS433" s="8" t="s">
        <v>215</v>
      </c>
      <c r="BT433" s="9" t="s">
        <v>590</v>
      </c>
      <c r="BU433" s="10">
        <v>182</v>
      </c>
      <c r="BV433" s="9" t="s">
        <v>158</v>
      </c>
      <c r="BW433" s="10">
        <v>182</v>
      </c>
      <c r="BX433" s="10">
        <v>180.9</v>
      </c>
      <c r="BY433" s="10">
        <v>103</v>
      </c>
      <c r="BZ433" s="10">
        <v>152</v>
      </c>
      <c r="CA433" s="10">
        <v>137</v>
      </c>
      <c r="CB433" s="10">
        <v>106</v>
      </c>
      <c r="CC433" s="10">
        <v>127</v>
      </c>
      <c r="CD433" s="10">
        <v>20.399999999999999</v>
      </c>
      <c r="CE433" s="10">
        <v>2023</v>
      </c>
      <c r="CF433" s="10">
        <v>1.03</v>
      </c>
      <c r="CG433" s="10">
        <v>2084</v>
      </c>
      <c r="CH433" s="10">
        <v>226</v>
      </c>
      <c r="CI433" s="10">
        <v>107</v>
      </c>
      <c r="CJ433" s="10">
        <v>57</v>
      </c>
      <c r="CK433" s="10">
        <v>462</v>
      </c>
      <c r="CL433" s="10">
        <v>42</v>
      </c>
      <c r="CM433" s="10">
        <v>321</v>
      </c>
      <c r="CN433" s="10">
        <v>0.747</v>
      </c>
      <c r="CO433" s="10">
        <v>141</v>
      </c>
      <c r="CP433" s="10">
        <v>153</v>
      </c>
      <c r="CQ433" s="10">
        <v>321</v>
      </c>
      <c r="CR433" s="10">
        <v>4</v>
      </c>
      <c r="CS433" s="10">
        <v>7.9</v>
      </c>
      <c r="CT433" s="9" t="s">
        <v>169</v>
      </c>
      <c r="CU433" s="10"/>
      <c r="CV433" s="10"/>
      <c r="CW433" s="10"/>
      <c r="CX433" t="str">
        <f>INDEX('Data_Price '!AG$2:AG$1266,MATCH(Data!$DN433,'Data_Price '!$AT$2:$AT$1266,0))</f>
        <v>Liberty Skis Origin 106 BC Skis 2022</v>
      </c>
      <c r="CY433" t="str">
        <f>INDEX('Data_Price '!AH$2:AH$1266,MATCH(Data!$DN433,'Data_Price '!$AT$2:$AT$1266,0))</f>
        <v>Next Adventure</v>
      </c>
      <c r="CZ433">
        <f>INDEX('Data_Price '!AI$2:AI$1266,MATCH(Data!$DN433,'Data_Price '!$AT$2:$AT$1266,0))</f>
        <v>524.99</v>
      </c>
      <c r="DA433" t="str">
        <f>INDEX('Data_Price '!AJ$2:AJ$1266,MATCH(Data!$DN433,'Data_Price '!$AT$2:$AT$1266,0))</f>
        <v>https://tinyurl.com/y99zq4rh</v>
      </c>
      <c r="DB433" t="str">
        <f>INDEX('Data_Price '!AK$2:AK$1266,MATCH(Data!$DN433,'Data_Price '!$AT$2:$AT$1266,0))</f>
        <v>Liberty Skis Origin 106 BC Skis 2022</v>
      </c>
      <c r="DC433" t="str">
        <f>INDEX('Data_Price '!AL$2:AL$1266,MATCH(Data!$DN433,'Data_Price '!$AT$2:$AT$1266,0))</f>
        <v>evo.com</v>
      </c>
      <c r="DD433">
        <f>INDEX('Data_Price '!AM$2:AM$1266,MATCH(Data!$DN433,'Data_Price '!$AT$2:$AT$1266,0))</f>
        <v>524.99</v>
      </c>
      <c r="DE433" t="str">
        <f>INDEX('Data_Price '!AN$2:AN$1266,MATCH(Data!$DN433,'Data_Price '!$AT$2:$AT$1266,0))</f>
        <v>https://tinyurl.com/yar54hno</v>
      </c>
      <c r="DF433" t="str">
        <f>INDEX('Data_Price '!AO$2:AO$1266,MATCH(Data!$DN433,'Data_Price '!$AT$2:$AT$1266,0))</f>
        <v>'21 Liberty Origin 106 Skis 182cm</v>
      </c>
      <c r="DG433" t="str">
        <f>INDEX('Data_Price '!AP$2:AP$1266,MATCH(Data!$DN433,'Data_Price '!$AT$2:$AT$1266,0))</f>
        <v>Al's Ski Equipment Barn</v>
      </c>
      <c r="DH433">
        <f>INDEX('Data_Price '!AQ$2:AQ$1266,MATCH(Data!$DN433,'Data_Price '!$AT$2:$AT$1266,0))</f>
        <v>529.95000000000005</v>
      </c>
      <c r="DI433" t="str">
        <f>INDEX('Data_Price '!AR$2:AR$1266,MATCH(Data!$DN433,'Data_Price '!$AT$2:$AT$1266,0))</f>
        <v>https://tinyurl.com/yap7fncz</v>
      </c>
      <c r="DJ433" s="89" t="str">
        <f t="shared" si="254"/>
        <v>https://tinyurl.com/y99zq4rh</v>
      </c>
      <c r="DK433" s="89" t="str">
        <f t="shared" si="255"/>
        <v>https://tinyurl.com/yar54hno</v>
      </c>
      <c r="DL433" s="89" t="str">
        <f t="shared" si="256"/>
        <v>https://tinyurl.com/yap7fncz</v>
      </c>
      <c r="DM433" s="219" t="str">
        <f t="shared" si="257"/>
        <v>Origin 106</v>
      </c>
      <c r="DN433" s="89" t="str">
        <f t="shared" si="258"/>
        <v xml:space="preserve"> LibertyOrigin 106182 Unisex</v>
      </c>
      <c r="DO433" s="221" t="s">
        <v>591</v>
      </c>
    </row>
    <row r="434" spans="2:119" ht="15.6" customHeight="1">
      <c r="B434" s="219" t="b">
        <f t="array" ref="B434">IF(OR(ISERROR(K434:P434)),FALSE,TRUE)</f>
        <v>1</v>
      </c>
      <c r="C434" s="43" t="b">
        <f>OR(BR434=Driver!$G$50,Data!BR874=Driver!$H$50)</f>
        <v>1</v>
      </c>
      <c r="D434" s="43" t="b">
        <f>OR(BV434=Driver!$G$51,BV434=Driver!$H$51)</f>
        <v>1</v>
      </c>
      <c r="E434" s="43" t="b">
        <f>AND(BX434&gt;Driver!$F$54,BX434&lt;Driver!$G$54)</f>
        <v>0</v>
      </c>
      <c r="F434" s="43" t="b">
        <f>CL434&gt;Driver!$F$56</f>
        <v>1</v>
      </c>
      <c r="G434" s="43" t="b">
        <f>AND(CB434&gt;Driver!$F$55,CB434&lt;Driver!$G$55)</f>
        <v>0</v>
      </c>
      <c r="H434" s="43" t="b">
        <f t="shared" si="222"/>
        <v>0</v>
      </c>
      <c r="I434" s="43">
        <f t="shared" si="223"/>
        <v>0</v>
      </c>
      <c r="J434" s="43" t="b">
        <f t="array" ref="J434">NOT(OR(($H$9:$H$1273=TRUE)*($I$9:$I$1273&gt;0)*($BT$9:$BT$1273=BT434)*($K$9:$K$1273&gt;K434)))</f>
        <v>1</v>
      </c>
      <c r="K434" s="72">
        <f t="shared" si="224"/>
        <v>0.82749268211918081</v>
      </c>
      <c r="L434" s="72">
        <f t="shared" si="225"/>
        <v>0.85052638074227738</v>
      </c>
      <c r="M434" s="72">
        <f t="shared" si="226"/>
        <v>0.80445898349608413</v>
      </c>
      <c r="N434" s="72">
        <f t="shared" si="227"/>
        <v>0.74925622004647685</v>
      </c>
      <c r="O434" s="72">
        <f t="shared" si="228"/>
        <v>0.68696759070486824</v>
      </c>
      <c r="P434" s="72">
        <f t="shared" si="229"/>
        <v>0.97715313973690743</v>
      </c>
      <c r="Q434" s="72"/>
      <c r="R434" s="72"/>
      <c r="S434" s="72">
        <f t="shared" si="230"/>
        <v>0.464252239567161</v>
      </c>
      <c r="T434" s="72">
        <f t="shared" si="231"/>
        <v>0.47024464982004632</v>
      </c>
      <c r="U434" s="72">
        <f t="shared" si="232"/>
        <v>0.58509778950693414</v>
      </c>
      <c r="V434" s="72">
        <f t="shared" si="233"/>
        <v>0.51496525768041179</v>
      </c>
      <c r="W434" s="72">
        <f t="shared" si="234"/>
        <v>0.93248635743519781</v>
      </c>
      <c r="X434" s="72">
        <f t="shared" si="235"/>
        <v>0.14947361925772262</v>
      </c>
      <c r="Y434" s="72">
        <f t="shared" si="236"/>
        <v>0.19554101650391584</v>
      </c>
      <c r="Z434" s="72">
        <f t="shared" si="237"/>
        <v>0.25074377995352315</v>
      </c>
      <c r="AA434" s="72">
        <f t="shared" si="238"/>
        <v>0.31303240929513176</v>
      </c>
      <c r="AB434" s="72">
        <f t="shared" si="239"/>
        <v>2.28468602630926E-2</v>
      </c>
      <c r="AC434" s="72"/>
      <c r="AD434" s="72"/>
      <c r="AE434" s="72">
        <f t="shared" si="240"/>
        <v>0.535747760432839</v>
      </c>
      <c r="AF434" s="72">
        <f t="shared" si="241"/>
        <v>0.52975535017995368</v>
      </c>
      <c r="AG434" s="72">
        <f t="shared" si="242"/>
        <v>0.41490221049306586</v>
      </c>
      <c r="AH434" s="72">
        <f t="shared" si="243"/>
        <v>0.48503474231958826</v>
      </c>
      <c r="AI434" s="72">
        <f t="shared" si="244"/>
        <v>6.751364256480219E-2</v>
      </c>
      <c r="AJ434" s="72">
        <f>(AV434-Driver!$K$179)/(Driver!$L$179-Driver!$K$179)</f>
        <v>0.10474579002497782</v>
      </c>
      <c r="AK434" s="72">
        <f>(AW434-Driver!$K$180)/(Driver!$L$180-Driver!$K$180)</f>
        <v>0.24165680913122536</v>
      </c>
      <c r="AL434" s="72">
        <f>(AX434-Driver!$K$181)/(Driver!$L$181-Driver!$K$181)</f>
        <v>0.35243154366660334</v>
      </c>
      <c r="AM434" s="72">
        <f>(AY434-Driver!$K$182)/(Driver!$L$182-Driver!$K$182)</f>
        <v>0.1343526118019146</v>
      </c>
      <c r="AN434" s="72">
        <f>(AZ434-Driver!$K$183)/(Driver!$L$183-Driver!$K$183)</f>
        <v>0.23137254901960783</v>
      </c>
      <c r="AO434" s="72"/>
      <c r="AP434" s="72"/>
      <c r="AQ434" s="72">
        <f>(BC434-Driver!$K$188)/(Driver!$L$188-Driver!$K$188)</f>
        <v>8.4252239567160978E-2</v>
      </c>
      <c r="AR434" s="72">
        <f>MIN((BD434-Driver!$K$189)/(Driver!$L$189-Driver!$K$189),100%)</f>
        <v>2.0244649820046343E-2</v>
      </c>
      <c r="AS434" s="72">
        <f>(BE434-Driver!$K$190)/(Driver!$L$190-Driver!$K$190)</f>
        <v>9.5097789506934149E-2</v>
      </c>
      <c r="AT434" s="72">
        <f>(BF434-Driver!$K$191)/(Driver!$L$191-Driver!$K$191)</f>
        <v>2.4965257680411738E-2</v>
      </c>
      <c r="AU434" s="72">
        <f>(BG434-Driver!$K$192)/(Driver!$L$192-Driver!$K$192)</f>
        <v>0.18248635743519781</v>
      </c>
      <c r="AV434" s="70">
        <f t="shared" si="245"/>
        <v>2.204585537918871</v>
      </c>
      <c r="AW434" s="70">
        <f t="shared" si="246"/>
        <v>25.423489968455758</v>
      </c>
      <c r="AX434" s="70">
        <f t="shared" si="247"/>
        <v>4.1718838929994302</v>
      </c>
      <c r="AY434" s="70">
        <f>IFERROR(Driver!$K$19/Data!BH434/Data!BI434*Data!BK434*Data!BL434,"")</f>
        <v>0.1644876837958679</v>
      </c>
      <c r="AZ434" s="70">
        <f t="shared" si="248"/>
        <v>21.087118391660461</v>
      </c>
      <c r="BA434" s="70"/>
      <c r="BB434" s="70"/>
      <c r="BC434" s="70">
        <f t="shared" si="249"/>
        <v>43.702222375553525</v>
      </c>
      <c r="BD434" s="70">
        <f t="shared" si="250"/>
        <v>3.5124385217749694</v>
      </c>
      <c r="BE434" s="70">
        <f t="shared" si="251"/>
        <v>9.5259213876177889E-2</v>
      </c>
      <c r="BF434" s="70">
        <f t="shared" si="252"/>
        <v>2.8196504641408699</v>
      </c>
      <c r="BG434" s="70">
        <f t="shared" si="253"/>
        <v>0.69100976296043659</v>
      </c>
      <c r="BH434" s="67">
        <f>MAX((CE434-Driver!$F$200)/(Driver!$G$200-Driver!$F$200)*$BI$1,1)</f>
        <v>4.1718838929994302</v>
      </c>
      <c r="BI434" s="67">
        <f>MAX($BI$1*(BY434-Driver!$F$201)/(Driver!$G$201-Driver!$F$201),1)</f>
        <v>7.4683544303797467</v>
      </c>
      <c r="BJ434" s="67">
        <f>(CB434-Driver!$F$206)/(Driver!$G$206-Driver!$F$206)*$BI$1</f>
        <v>3.9682539682539679</v>
      </c>
      <c r="BK434" s="67">
        <f>(CD434-Driver!$F$203)/(Driver!$G$203-Driver!$F$203)*$BI$1</f>
        <v>4.1284403669724767</v>
      </c>
      <c r="BL434" s="67">
        <f>MAX((CR434-Driver!$F$202)/(Driver!$G$202-Driver!$F$202)*$BI$1,1)</f>
        <v>6.2068965517241379</v>
      </c>
      <c r="BM434" s="67">
        <f>MAX((CH434-Driver!$F$204)/(Driver!$G$204-Driver!$F$204)*$BI$1,1)</f>
        <v>2.2222222222222223</v>
      </c>
      <c r="BN434" s="67">
        <f>(CI434-Driver!$F$205)/(Driver!$G$205-Driver!$F$205)*$BI$1</f>
        <v>2.8235294117647056</v>
      </c>
      <c r="BO434" s="67">
        <f>(CK434-Driver!$F$207)/(Driver!$G$207-Driver!$F$207)*$BI$1</f>
        <v>1.1892450879007239</v>
      </c>
      <c r="BP434" s="67">
        <f>(CM434-Driver!$F$208)/(Driver!$G$208-Driver!$F$208)*$BI$1</f>
        <v>2.4666666666666668</v>
      </c>
      <c r="BQ434" s="67">
        <f>(CL434-Driver!$F$209)/(Driver!$G$209-Driver!$F$209)*$BI$1</f>
        <v>6.40625</v>
      </c>
      <c r="BR434" s="28" t="s">
        <v>155</v>
      </c>
      <c r="BS434" s="8" t="s">
        <v>208</v>
      </c>
      <c r="BT434" s="9" t="s">
        <v>530</v>
      </c>
      <c r="BU434" s="10">
        <v>171</v>
      </c>
      <c r="BV434" s="9" t="s">
        <v>158</v>
      </c>
      <c r="BW434" s="10">
        <v>171</v>
      </c>
      <c r="BX434" s="10">
        <v>171.1</v>
      </c>
      <c r="BY434" s="10">
        <v>126</v>
      </c>
      <c r="BZ434" s="10">
        <v>144</v>
      </c>
      <c r="CA434" s="10">
        <v>116</v>
      </c>
      <c r="CB434" s="10">
        <v>89</v>
      </c>
      <c r="CC434" s="10">
        <v>116</v>
      </c>
      <c r="CD434" s="10">
        <v>18.399999999999999</v>
      </c>
      <c r="CE434" s="10">
        <v>1633</v>
      </c>
      <c r="CF434" s="10">
        <v>1.04</v>
      </c>
      <c r="CG434" s="10">
        <v>1696</v>
      </c>
      <c r="CH434" s="10">
        <v>153</v>
      </c>
      <c r="CI434" s="10">
        <v>81</v>
      </c>
      <c r="CJ434" s="10">
        <v>46</v>
      </c>
      <c r="CK434" s="10">
        <v>225</v>
      </c>
      <c r="CL434" s="10">
        <v>41</v>
      </c>
      <c r="CM434" s="10">
        <v>222</v>
      </c>
      <c r="CN434" s="10">
        <v>0.89500000000000002</v>
      </c>
      <c r="CO434" s="10">
        <v>130</v>
      </c>
      <c r="CP434" s="10">
        <v>145</v>
      </c>
      <c r="CQ434" s="10">
        <v>95</v>
      </c>
      <c r="CR434" s="10">
        <v>7</v>
      </c>
      <c r="CS434" s="10">
        <v>1.8</v>
      </c>
      <c r="CT434" s="9" t="s">
        <v>184</v>
      </c>
      <c r="CU434" s="10"/>
      <c r="CV434" s="10"/>
      <c r="CW434" s="10"/>
      <c r="CX434" t="str">
        <f>INDEX('Data_Price '!AG$2:AG$1266,MATCH(Data!$DN434,'Data_Price '!$AT$2:$AT$1266,0))</f>
        <v>Line 2022 Tom Wallisch Pro Skis</v>
      </c>
      <c r="CY434" t="str">
        <f>INDEX('Data_Price '!AH$2:AH$1266,MATCH(Data!$DN434,'Data_Price '!$AT$2:$AT$1266,0))</f>
        <v>Suburban Ski and Bike</v>
      </c>
      <c r="CZ434">
        <f>INDEX('Data_Price '!AI$2:AI$1266,MATCH(Data!$DN434,'Data_Price '!$AT$2:$AT$1266,0))</f>
        <v>449.95</v>
      </c>
      <c r="DA434" t="str">
        <f>INDEX('Data_Price '!AJ$2:AJ$1266,MATCH(Data!$DN434,'Data_Price '!$AT$2:$AT$1266,0))</f>
        <v>https://tinyurl.com/ydgawtrf</v>
      </c>
      <c r="DB434" t="str">
        <f>INDEX('Data_Price '!AK$2:AK$1266,MATCH(Data!$DN434,'Data_Price '!$AT$2:$AT$1266,0))</f>
        <v>Line Skis Tom Wallisch Pro</v>
      </c>
      <c r="DC434" t="str">
        <f>INDEX('Data_Price '!AL$2:AL$1266,MATCH(Data!$DN434,'Data_Price '!$AT$2:$AT$1266,0))</f>
        <v>LINE Skis</v>
      </c>
      <c r="DD434">
        <f>INDEX('Data_Price '!AM$2:AM$1266,MATCH(Data!$DN434,'Data_Price '!$AT$2:$AT$1266,0))</f>
        <v>449.95</v>
      </c>
      <c r="DE434" t="str">
        <f>INDEX('Data_Price '!AN$2:AN$1266,MATCH(Data!$DN434,'Data_Price '!$AT$2:$AT$1266,0))</f>
        <v>https://tinyurl.com/ydxydzwy</v>
      </c>
      <c r="DF434" t="str">
        <f>INDEX('Data_Price '!AO$2:AO$1266,MATCH(Data!$DN434,'Data_Price '!$AT$2:$AT$1266,0))</f>
        <v>Line Chronic 171 + Marker Griffon 13</v>
      </c>
      <c r="DG434" t="str">
        <f>INDEX('Data_Price '!AP$2:AP$1266,MATCH(Data!$DN434,'Data_Price '!$AT$2:$AT$1266,0))</f>
        <v>Geartrade.com</v>
      </c>
      <c r="DH434">
        <f>INDEX('Data_Price '!AQ$2:AQ$1266,MATCH(Data!$DN434,'Data_Price '!$AT$2:$AT$1266,0))</f>
        <v>200</v>
      </c>
      <c r="DI434" t="str">
        <f>INDEX('Data_Price '!AR$2:AR$1266,MATCH(Data!$DN434,'Data_Price '!$AT$2:$AT$1266,0))</f>
        <v>https://tinyurl.com/ybvqdsna</v>
      </c>
      <c r="DJ434" s="89" t="str">
        <f t="shared" si="254"/>
        <v>https://tinyurl.com/ydgawtrf</v>
      </c>
      <c r="DK434" s="89" t="str">
        <f t="shared" si="255"/>
        <v>https://tinyurl.com/ydxydzwy</v>
      </c>
      <c r="DL434" s="89" t="str">
        <f t="shared" si="256"/>
        <v>https://tinyurl.com/ybvqdsna</v>
      </c>
      <c r="DM434" s="219" t="str">
        <f t="shared" si="257"/>
        <v>Tom Wallisch Pro</v>
      </c>
      <c r="DN434" s="89" t="str">
        <f t="shared" si="258"/>
        <v xml:space="preserve"> LineTom Wallisch Pro171 Unisex</v>
      </c>
      <c r="DO434" s="221"/>
    </row>
    <row r="435" spans="2:119" ht="15.6" customHeight="1">
      <c r="B435" s="219" t="b">
        <f t="array" ref="B435">IF(OR(ISERROR(K435:P435)),FALSE,TRUE)</f>
        <v>1</v>
      </c>
      <c r="C435" s="43" t="b">
        <f>OR(BR435=Driver!$G$50,Data!BR342=Driver!$H$50)</f>
        <v>1</v>
      </c>
      <c r="D435" s="43" t="b">
        <f>OR(BV435=Driver!$G$51,BV435=Driver!$H$51)</f>
        <v>1</v>
      </c>
      <c r="E435" s="43" t="b">
        <f>AND(BX435&gt;Driver!$F$54,BX435&lt;Driver!$G$54)</f>
        <v>0</v>
      </c>
      <c r="F435" s="43" t="b">
        <f>CL435&gt;Driver!$F$56</f>
        <v>1</v>
      </c>
      <c r="G435" s="43" t="b">
        <f>AND(CB435&gt;Driver!$F$55,CB435&lt;Driver!$G$55)</f>
        <v>0</v>
      </c>
      <c r="H435" s="43" t="b">
        <f t="shared" si="222"/>
        <v>0</v>
      </c>
      <c r="I435" s="43">
        <f t="shared" si="223"/>
        <v>0</v>
      </c>
      <c r="J435" s="43" t="b">
        <f t="array" ref="J435">NOT(OR(($H$9:$H$1273=TRUE)*($I$9:$I$1273&gt;0)*($BT$9:$BT$1273=BT435)*($K$9:$K$1273&gt;K435)))</f>
        <v>1</v>
      </c>
      <c r="K435" s="72">
        <f t="shared" si="224"/>
        <v>0.86056642527905991</v>
      </c>
      <c r="L435" s="72">
        <f t="shared" si="225"/>
        <v>0.95076004442771778</v>
      </c>
      <c r="M435" s="72">
        <f t="shared" si="226"/>
        <v>0.77037280613040204</v>
      </c>
      <c r="N435" s="72">
        <f t="shared" si="227"/>
        <v>0.6866495040533066</v>
      </c>
      <c r="O435" s="72">
        <f t="shared" si="228"/>
        <v>0.64707067656177619</v>
      </c>
      <c r="P435" s="72">
        <f t="shared" si="229"/>
        <v>0.97739823777612311</v>
      </c>
      <c r="Q435" s="72"/>
      <c r="R435" s="72"/>
      <c r="S435" s="72">
        <f t="shared" si="230"/>
        <v>0.41922619093631208</v>
      </c>
      <c r="T435" s="72">
        <f t="shared" si="231"/>
        <v>0.46560267882042128</v>
      </c>
      <c r="U435" s="72">
        <f t="shared" si="232"/>
        <v>0.51542414931369562</v>
      </c>
      <c r="V435" s="72">
        <f t="shared" si="233"/>
        <v>0.72830202867504845</v>
      </c>
      <c r="W435" s="72">
        <f t="shared" si="234"/>
        <v>0.87311320754716981</v>
      </c>
      <c r="X435" s="72">
        <f t="shared" si="235"/>
        <v>4.9239955572282251E-2</v>
      </c>
      <c r="Y435" s="72">
        <f t="shared" si="236"/>
        <v>0.22962719386959798</v>
      </c>
      <c r="Z435" s="72">
        <f t="shared" si="237"/>
        <v>0.3133504959466934</v>
      </c>
      <c r="AA435" s="72">
        <f t="shared" si="238"/>
        <v>0.35292932343822375</v>
      </c>
      <c r="AB435" s="72">
        <f t="shared" si="239"/>
        <v>2.2601762223876914E-2</v>
      </c>
      <c r="AC435" s="72"/>
      <c r="AD435" s="72"/>
      <c r="AE435" s="72">
        <f t="shared" si="240"/>
        <v>0.58077380906368792</v>
      </c>
      <c r="AF435" s="72">
        <f t="shared" si="241"/>
        <v>0.53439732117957872</v>
      </c>
      <c r="AG435" s="72">
        <f t="shared" si="242"/>
        <v>0.48457585068630438</v>
      </c>
      <c r="AH435" s="72">
        <f t="shared" si="243"/>
        <v>0.27169797132495155</v>
      </c>
      <c r="AI435" s="72">
        <f t="shared" si="244"/>
        <v>0.12688679245283019</v>
      </c>
      <c r="AJ435" s="72">
        <f>(AV435-Driver!$K$179)/(Driver!$L$179-Driver!$K$179)</f>
        <v>0.20497945371041817</v>
      </c>
      <c r="AK435" s="72">
        <f>(AW435-Driver!$K$180)/(Driver!$L$180-Driver!$K$180)</f>
        <v>0.24716634167772275</v>
      </c>
      <c r="AL435" s="72">
        <f>(AX435-Driver!$K$181)/(Driver!$L$181-Driver!$K$181)</f>
        <v>0.41503825965977359</v>
      </c>
      <c r="AM435" s="72">
        <f>(AY435-Driver!$K$182)/(Driver!$L$182-Driver!$K$182)</f>
        <v>9.4455697658822613E-2</v>
      </c>
      <c r="AN435" s="72">
        <f>(AZ435-Driver!$K$183)/(Driver!$L$183-Driver!$K$183)</f>
        <v>0.23161764705882351</v>
      </c>
      <c r="AO435" s="72"/>
      <c r="AP435" s="72"/>
      <c r="AQ435" s="72">
        <f>(BC435-Driver!$K$188)/(Driver!$L$188-Driver!$K$188)</f>
        <v>3.9226190936312105E-2</v>
      </c>
      <c r="AR435" s="72">
        <f>MIN((BD435-Driver!$K$189)/(Driver!$L$189-Driver!$K$189),100%)</f>
        <v>1.5602678820421366E-2</v>
      </c>
      <c r="AS435" s="72">
        <f>(BE435-Driver!$K$190)/(Driver!$L$190-Driver!$K$190)</f>
        <v>2.5424149313695622E-2</v>
      </c>
      <c r="AT435" s="72">
        <f>(BF435-Driver!$K$191)/(Driver!$L$191-Driver!$K$191)</f>
        <v>0.23830202867504843</v>
      </c>
      <c r="AU435" s="72">
        <f>(BG435-Driver!$K$192)/(Driver!$L$192-Driver!$K$192)</f>
        <v>0.1231132075471698</v>
      </c>
      <c r="AV435" s="70">
        <f t="shared" si="245"/>
        <v>4.3142043142043143</v>
      </c>
      <c r="AW435" s="70">
        <f t="shared" si="246"/>
        <v>25.960442734536613</v>
      </c>
      <c r="AX435" s="70">
        <f t="shared" si="247"/>
        <v>4.7353443369379624</v>
      </c>
      <c r="AY435" s="70">
        <f>IFERROR(Driver!$K$19/Data!BH435/Data!BI435*Data!BK435*Data!BL435,"")</f>
        <v>0.11564195679447971</v>
      </c>
      <c r="AZ435" s="70">
        <f t="shared" si="248"/>
        <v>21.10945644080417</v>
      </c>
      <c r="BA435" s="70"/>
      <c r="BB435" s="70"/>
      <c r="BC435" s="70">
        <f t="shared" si="249"/>
        <v>20.346897934720371</v>
      </c>
      <c r="BD435" s="70">
        <f t="shared" si="250"/>
        <v>3.1016323133940662</v>
      </c>
      <c r="BE435" s="70">
        <f t="shared" si="251"/>
        <v>2.5598002676139611E-2</v>
      </c>
      <c r="BF435" s="70">
        <f t="shared" si="252"/>
        <v>26.914539972344059</v>
      </c>
      <c r="BG435" s="70">
        <f t="shared" si="253"/>
        <v>0.46618514150943396</v>
      </c>
      <c r="BH435" s="67">
        <f>MAX((CE435-Driver!$F$200)/(Driver!$G$200-Driver!$F$200)*$BI$1,1)</f>
        <v>4.7353443369379624</v>
      </c>
      <c r="BI435" s="67">
        <f>MAX($BI$1*(BY435-Driver!$F$201)/(Driver!$G$201-Driver!$F$201),1)</f>
        <v>5.6962025316455698</v>
      </c>
      <c r="BJ435" s="67">
        <f>(CB435-Driver!$F$206)/(Driver!$G$206-Driver!$F$206)*$BI$1</f>
        <v>7.6190476190476186</v>
      </c>
      <c r="BK435" s="67">
        <f>(CD435-Driver!$F$203)/(Driver!$G$203-Driver!$F$203)*$BI$1</f>
        <v>2.6605504587155959</v>
      </c>
      <c r="BL435" s="67">
        <f>MAX((CR435-Driver!$F$202)/(Driver!$G$202-Driver!$F$202)*$BI$1,1)</f>
        <v>5.8620689655172411</v>
      </c>
      <c r="BM435" s="67">
        <f>MAX((CH435-Driver!$F$204)/(Driver!$G$204-Driver!$F$204)*$BI$1,1)</f>
        <v>2.2649572649572649</v>
      </c>
      <c r="BN435" s="67">
        <f>(CI435-Driver!$F$205)/(Driver!$G$205-Driver!$F$205)*$BI$1</f>
        <v>3.7058823529411766</v>
      </c>
      <c r="BO435" s="67">
        <f>(CK435-Driver!$F$207)/(Driver!$G$207-Driver!$F$207)*$BI$1</f>
        <v>2.9472595656670113</v>
      </c>
      <c r="BP435" s="67">
        <f>(CM435-Driver!$F$208)/(Driver!$G$208-Driver!$F$208)*$BI$1</f>
        <v>3.1888888888888891</v>
      </c>
      <c r="BQ435" s="67">
        <f>(CL435-Driver!$F$209)/(Driver!$G$209-Driver!$F$209)*$BI$1</f>
        <v>5</v>
      </c>
      <c r="BR435" s="28" t="s">
        <v>155</v>
      </c>
      <c r="BS435" s="8" t="s">
        <v>218</v>
      </c>
      <c r="BT435" s="9" t="s">
        <v>273</v>
      </c>
      <c r="BU435" s="10">
        <v>168</v>
      </c>
      <c r="BV435" s="9" t="s">
        <v>158</v>
      </c>
      <c r="BW435" s="10">
        <v>168</v>
      </c>
      <c r="BX435" s="10">
        <v>166.6</v>
      </c>
      <c r="BY435" s="10">
        <v>98</v>
      </c>
      <c r="BZ435" s="10">
        <v>112</v>
      </c>
      <c r="CA435" s="10">
        <v>136</v>
      </c>
      <c r="CB435" s="10">
        <v>112</v>
      </c>
      <c r="CC435" s="10">
        <v>124</v>
      </c>
      <c r="CD435" s="10">
        <v>15.2</v>
      </c>
      <c r="CE435" s="10">
        <v>1732</v>
      </c>
      <c r="CF435" s="10">
        <v>1.1499999999999999</v>
      </c>
      <c r="CG435" s="10">
        <v>1985</v>
      </c>
      <c r="CH435" s="10">
        <v>154</v>
      </c>
      <c r="CI435" s="10">
        <v>96</v>
      </c>
      <c r="CJ435" s="10">
        <v>59</v>
      </c>
      <c r="CK435" s="10">
        <v>395</v>
      </c>
      <c r="CL435" s="10">
        <v>32</v>
      </c>
      <c r="CM435" s="10">
        <v>287</v>
      </c>
      <c r="CN435" s="10">
        <v>0.54300000000000004</v>
      </c>
      <c r="CO435" s="10">
        <v>306</v>
      </c>
      <c r="CP435" s="10">
        <v>243</v>
      </c>
      <c r="CQ435" s="10">
        <v>89</v>
      </c>
      <c r="CR435" s="10">
        <v>6</v>
      </c>
      <c r="CS435" s="10">
        <v>14</v>
      </c>
      <c r="CT435" s="9" t="s">
        <v>169</v>
      </c>
      <c r="CU435" s="9" t="s">
        <v>185</v>
      </c>
      <c r="CV435" s="10"/>
      <c r="CW435" s="10"/>
      <c r="CX435" t="str">
        <f>INDEX('Data_Price '!AG$2:AG$1266,MATCH(Data!$DN435,'Data_Price '!$AT$2:$AT$1266,0))</f>
        <v>DPS Pagoda Tour 112 RP SE Ski 168 / Early Riser Orange</v>
      </c>
      <c r="CY435" t="str">
        <f>INDEX('Data_Price '!AH$2:AH$1266,MATCH(Data!$DN435,'Data_Price '!$AT$2:$AT$1266,0))</f>
        <v>Cripple Creek Backcountry</v>
      </c>
      <c r="CZ435">
        <f>INDEX('Data_Price '!AI$2:AI$1266,MATCH(Data!$DN435,'Data_Price '!$AT$2:$AT$1266,0))</f>
        <v>1029</v>
      </c>
      <c r="DA435" t="str">
        <f>INDEX('Data_Price '!AJ$2:AJ$1266,MATCH(Data!$DN435,'Data_Price '!$AT$2:$AT$1266,0))</f>
        <v>https://tinyurl.com/y898ombs</v>
      </c>
      <c r="DB435" t="str">
        <f>INDEX('Data_Price '!AK$2:AK$1266,MATCH(Data!$DN435,'Data_Price '!$AT$2:$AT$1266,0))</f>
        <v>DPS Pagoda Tour 112 RP 168CM</v>
      </c>
      <c r="DC435" t="str">
        <f>INDEX('Data_Price '!AL$2:AL$1266,MATCH(Data!$DN435,'Data_Price '!$AT$2:$AT$1266,0))</f>
        <v>Neptune Mountaineering</v>
      </c>
      <c r="DD435">
        <f>INDEX('Data_Price '!AM$2:AM$1266,MATCH(Data!$DN435,'Data_Price '!$AT$2:$AT$1266,0))</f>
        <v>1039</v>
      </c>
      <c r="DE435" t="str">
        <f>INDEX('Data_Price '!AN$2:AN$1266,MATCH(Data!$DN435,'Data_Price '!$AT$2:$AT$1266,0))</f>
        <v>https://tinyurl.com/ybu9ttek</v>
      </c>
      <c r="DF435" t="str">
        <f>INDEX('Data_Price '!AO$2:AO$1266,MATCH(Data!$DN435,'Data_Price '!$AT$2:$AT$1266,0))</f>
        <v>DPS Pagoda 112 RP Light Green Skis Â· 2022 Â· 168 cm</v>
      </c>
      <c r="DG435" t="str">
        <f>INDEX('Data_Price '!AP$2:AP$1266,MATCH(Data!$DN435,'Data_Price '!$AT$2:$AT$1266,0))</f>
        <v>Powder7 Ski Shop</v>
      </c>
      <c r="DH435">
        <f>INDEX('Data_Price '!AQ$2:AQ$1266,MATCH(Data!$DN435,'Data_Price '!$AT$2:$AT$1266,0))</f>
        <v>1039.2</v>
      </c>
      <c r="DI435" t="str">
        <f>INDEX('Data_Price '!AR$2:AR$1266,MATCH(Data!$DN435,'Data_Price '!$AT$2:$AT$1266,0))</f>
        <v>https://tinyurl.com/yclvbqpg</v>
      </c>
      <c r="DJ435" s="89" t="str">
        <f t="shared" si="254"/>
        <v>https://tinyurl.com/y898ombs</v>
      </c>
      <c r="DK435" s="89" t="str">
        <f t="shared" si="255"/>
        <v>https://tinyurl.com/ybu9ttek</v>
      </c>
      <c r="DL435" s="89" t="str">
        <f t="shared" si="256"/>
        <v>https://tinyurl.com/yclvbqpg</v>
      </c>
      <c r="DM435" s="219" t="str">
        <f t="shared" si="257"/>
        <v>Pagoda 112 RP</v>
      </c>
      <c r="DN435" s="89" t="str">
        <f t="shared" si="258"/>
        <v xml:space="preserve"> DPSPagoda 112 RP168 Unisex</v>
      </c>
      <c r="DO435" s="221" t="s">
        <v>274</v>
      </c>
    </row>
    <row r="436" spans="2:119" ht="15.6" customHeight="1">
      <c r="B436" s="219" t="b">
        <f t="array" ref="B436">IF(OR(ISERROR(K436:P436)),FALSE,TRUE)</f>
        <v>1</v>
      </c>
      <c r="C436" s="43" t="b">
        <f>OR(BR436=Driver!$G$50,Data!BR748=Driver!$H$50)</f>
        <v>1</v>
      </c>
      <c r="D436" s="43" t="b">
        <f>OR(BV436=Driver!$G$51,BV436=Driver!$H$51)</f>
        <v>0</v>
      </c>
      <c r="E436" s="43" t="b">
        <f>AND(BX436&gt;Driver!$F$54,BX436&lt;Driver!$G$54)</f>
        <v>1</v>
      </c>
      <c r="F436" s="43" t="b">
        <f>CL436&gt;Driver!$F$56</f>
        <v>1</v>
      </c>
      <c r="G436" s="43" t="b">
        <f>AND(CB436&gt;Driver!$F$55,CB436&lt;Driver!$G$55)</f>
        <v>0</v>
      </c>
      <c r="H436" s="43" t="b">
        <f t="shared" si="222"/>
        <v>0</v>
      </c>
      <c r="I436" s="43">
        <f t="shared" si="223"/>
        <v>0</v>
      </c>
      <c r="J436" s="43" t="b">
        <f t="array" ref="J436">NOT(OR(($H$9:$H$1273=TRUE)*($I$9:$I$1273&gt;0)*($BT$9:$BT$1273=BT436)*($K$9:$K$1273&gt;K436)))</f>
        <v>1</v>
      </c>
      <c r="K436" s="72">
        <f t="shared" si="224"/>
        <v>0.81932432802991784</v>
      </c>
      <c r="L436" s="72">
        <f t="shared" si="225"/>
        <v>0.86011464921379455</v>
      </c>
      <c r="M436" s="72">
        <f t="shared" si="226"/>
        <v>0.77853400684604124</v>
      </c>
      <c r="N436" s="72">
        <f t="shared" si="227"/>
        <v>0.70688601831372522</v>
      </c>
      <c r="O436" s="72">
        <f t="shared" si="228"/>
        <v>0.63179162065742556</v>
      </c>
      <c r="P436" s="72">
        <f t="shared" si="229"/>
        <v>0.99692438156697283</v>
      </c>
      <c r="Q436" s="72"/>
      <c r="R436" s="72"/>
      <c r="S436" s="72">
        <f t="shared" si="230"/>
        <v>0.42599026761492487</v>
      </c>
      <c r="T436" s="72">
        <f t="shared" si="231"/>
        <v>0.47752203496781764</v>
      </c>
      <c r="U436" s="72">
        <f t="shared" si="232"/>
        <v>0.66158076017909095</v>
      </c>
      <c r="V436" s="72">
        <f t="shared" si="233"/>
        <v>0.56117772562604529</v>
      </c>
      <c r="W436" s="72">
        <f t="shared" si="234"/>
        <v>0.82397529069767439</v>
      </c>
      <c r="X436" s="72">
        <f t="shared" si="235"/>
        <v>0.1398853507862054</v>
      </c>
      <c r="Y436" s="72">
        <f t="shared" si="236"/>
        <v>0.22146599315395879</v>
      </c>
      <c r="Z436" s="72">
        <f t="shared" si="237"/>
        <v>0.29311398168627478</v>
      </c>
      <c r="AA436" s="72">
        <f t="shared" si="238"/>
        <v>0.36820837934257444</v>
      </c>
      <c r="AB436" s="72">
        <f t="shared" si="239"/>
        <v>3.0756184330271719E-3</v>
      </c>
      <c r="AC436" s="72"/>
      <c r="AD436" s="72"/>
      <c r="AE436" s="72">
        <f t="shared" si="240"/>
        <v>0.57400973238507513</v>
      </c>
      <c r="AF436" s="72">
        <f t="shared" si="241"/>
        <v>0.52247796503218236</v>
      </c>
      <c r="AG436" s="72">
        <f t="shared" si="242"/>
        <v>0.33841923982090905</v>
      </c>
      <c r="AH436" s="72">
        <f t="shared" si="243"/>
        <v>0.43882227437395471</v>
      </c>
      <c r="AI436" s="72">
        <f t="shared" si="244"/>
        <v>0.17602470930232561</v>
      </c>
      <c r="AJ436" s="72">
        <f>(AV436-Driver!$K$179)/(Driver!$L$179-Driver!$K$179)</f>
        <v>0.11433405849649504</v>
      </c>
      <c r="AK436" s="72">
        <f>(AW436-Driver!$K$180)/(Driver!$L$180-Driver!$K$180)</f>
        <v>0.26336561949517645</v>
      </c>
      <c r="AL436" s="72">
        <f>(AX436-Driver!$K$181)/(Driver!$L$181-Driver!$K$181)</f>
        <v>0.39480174539935498</v>
      </c>
      <c r="AM436" s="72">
        <f>(AY436-Driver!$K$182)/(Driver!$L$182-Driver!$K$182)</f>
        <v>7.9176641754471935E-2</v>
      </c>
      <c r="AN436" s="72">
        <f>(AZ436-Driver!$K$183)/(Driver!$L$183-Driver!$K$183)</f>
        <v>0.25114379084967325</v>
      </c>
      <c r="AO436" s="72"/>
      <c r="AP436" s="72"/>
      <c r="AQ436" s="72">
        <f>(BC436-Driver!$K$188)/(Driver!$L$188-Driver!$K$188)</f>
        <v>4.5990267614924855E-2</v>
      </c>
      <c r="AR436" s="72">
        <f>MIN((BD436-Driver!$K$189)/(Driver!$L$189-Driver!$K$189),100%)</f>
        <v>2.7522034967817695E-2</v>
      </c>
      <c r="AS436" s="72">
        <f>(BE436-Driver!$K$190)/(Driver!$L$190-Driver!$K$190)</f>
        <v>0.17158076017909094</v>
      </c>
      <c r="AT436" s="72">
        <f>(BF436-Driver!$K$191)/(Driver!$L$191-Driver!$K$191)</f>
        <v>7.1177725626045268E-2</v>
      </c>
      <c r="AU436" s="72">
        <f>(BG436-Driver!$K$192)/(Driver!$L$192-Driver!$K$192)</f>
        <v>7.3975290697674403E-2</v>
      </c>
      <c r="AV436" s="70">
        <f t="shared" si="245"/>
        <v>2.4063899063899066</v>
      </c>
      <c r="AW436" s="70">
        <f t="shared" si="246"/>
        <v>27.539205898051055</v>
      </c>
      <c r="AX436" s="70">
        <f t="shared" si="247"/>
        <v>4.5532157085941947</v>
      </c>
      <c r="AY436" s="70">
        <f>IFERROR(Driver!$K$19/Data!BH436/Data!BI436*Data!BK436*Data!BL436,"")</f>
        <v>9.6935833537273267E-2</v>
      </c>
      <c r="AZ436" s="70">
        <f t="shared" si="248"/>
        <v>22.889054355919587</v>
      </c>
      <c r="BA436" s="70"/>
      <c r="BB436" s="70"/>
      <c r="BC436" s="70">
        <f t="shared" si="249"/>
        <v>23.855471531014992</v>
      </c>
      <c r="BD436" s="70">
        <f t="shared" si="250"/>
        <v>4.1564742125892753</v>
      </c>
      <c r="BE436" s="70">
        <f t="shared" si="251"/>
        <v>0.17172854084721925</v>
      </c>
      <c r="BF436" s="70">
        <f t="shared" si="252"/>
        <v>8.0390240576383292</v>
      </c>
      <c r="BG436" s="70">
        <f t="shared" si="253"/>
        <v>0.28011764171511627</v>
      </c>
      <c r="BH436" s="67">
        <f>MAX((CE436-Driver!$F$200)/(Driver!$G$200-Driver!$F$200)*$BI$1,1)</f>
        <v>4.5532157085941947</v>
      </c>
      <c r="BI436" s="67">
        <f>MAX($BI$1*(BY436-Driver!$F$201)/(Driver!$G$201-Driver!$F$201),1)</f>
        <v>6.7088607594936711</v>
      </c>
      <c r="BJ436" s="67">
        <f>(CB436-Driver!$F$206)/(Driver!$G$206-Driver!$F$206)*$BI$1</f>
        <v>5.2380952380952381</v>
      </c>
      <c r="BK436" s="67">
        <f>(CD436-Driver!$F$203)/(Driver!$G$203-Driver!$F$203)*$BI$1</f>
        <v>2.3853211009174311</v>
      </c>
      <c r="BL436" s="67">
        <f>MAX((CR436-Driver!$F$202)/(Driver!$G$202-Driver!$F$202)*$BI$1,1)</f>
        <v>6.2068965517241379</v>
      </c>
      <c r="BM436" s="67">
        <f>MAX((CH436-Driver!$F$204)/(Driver!$G$204-Driver!$F$204)*$BI$1,1)</f>
        <v>1.8376068376068377</v>
      </c>
      <c r="BN436" s="67">
        <f>(CI436-Driver!$F$205)/(Driver!$G$205-Driver!$F$205)*$BI$1</f>
        <v>3.4117647058823533</v>
      </c>
      <c r="BO436" s="67">
        <f>(CK436-Driver!$F$207)/(Driver!$G$207-Driver!$F$207)*$BI$1</f>
        <v>1.8304033092037229</v>
      </c>
      <c r="BP436" s="67">
        <f>(CM436-Driver!$F$208)/(Driver!$G$208-Driver!$F$208)*$BI$1</f>
        <v>2</v>
      </c>
      <c r="BQ436" s="67">
        <f>(CL436-Driver!$F$209)/(Driver!$G$209-Driver!$F$209)*$BI$1</f>
        <v>2.34375</v>
      </c>
      <c r="BR436" s="28" t="s">
        <v>155</v>
      </c>
      <c r="BS436" s="8" t="s">
        <v>262</v>
      </c>
      <c r="BT436" s="9" t="s">
        <v>488</v>
      </c>
      <c r="BU436" s="10">
        <v>161</v>
      </c>
      <c r="BV436" s="9" t="s">
        <v>163</v>
      </c>
      <c r="BW436" s="10">
        <v>161</v>
      </c>
      <c r="BX436" s="10">
        <v>161.1</v>
      </c>
      <c r="BY436" s="10">
        <v>114</v>
      </c>
      <c r="BZ436" s="10">
        <v>133</v>
      </c>
      <c r="CA436" s="10">
        <v>133</v>
      </c>
      <c r="CB436" s="10">
        <v>97</v>
      </c>
      <c r="CC436" s="10">
        <v>119</v>
      </c>
      <c r="CD436" s="10">
        <v>14.6</v>
      </c>
      <c r="CE436" s="10">
        <v>1700</v>
      </c>
      <c r="CF436" s="10">
        <v>1.03</v>
      </c>
      <c r="CG436" s="10">
        <v>1752</v>
      </c>
      <c r="CH436" s="10">
        <v>144</v>
      </c>
      <c r="CI436" s="10">
        <v>91</v>
      </c>
      <c r="CJ436" s="10">
        <v>48</v>
      </c>
      <c r="CK436" s="10">
        <v>287</v>
      </c>
      <c r="CL436" s="10">
        <v>15</v>
      </c>
      <c r="CM436" s="10">
        <v>180</v>
      </c>
      <c r="CN436" s="10">
        <v>0.309</v>
      </c>
      <c r="CO436" s="10">
        <v>157</v>
      </c>
      <c r="CP436" s="10">
        <v>120</v>
      </c>
      <c r="CQ436" s="10">
        <v>130</v>
      </c>
      <c r="CR436" s="10">
        <v>7</v>
      </c>
      <c r="CS436" s="10">
        <v>10.7</v>
      </c>
      <c r="CT436" s="9" t="s">
        <v>188</v>
      </c>
      <c r="CU436" s="10"/>
      <c r="CV436" s="10"/>
      <c r="CW436" s="10"/>
      <c r="CX436" t="e">
        <f>INDEX('Data_Price '!AG$2:AG$1266,MATCH(Data!$DN436,'Data_Price '!$AT$2:$AT$1266,0))</f>
        <v>#N/A</v>
      </c>
      <c r="CY436" t="e">
        <f>INDEX('Data_Price '!AH$2:AH$1266,MATCH(Data!$DN436,'Data_Price '!$AT$2:$AT$1266,0))</f>
        <v>#N/A</v>
      </c>
      <c r="CZ436" t="e">
        <f>INDEX('Data_Price '!AI$2:AI$1266,MATCH(Data!$DN436,'Data_Price '!$AT$2:$AT$1266,0))</f>
        <v>#N/A</v>
      </c>
      <c r="DA436" t="e">
        <f>INDEX('Data_Price '!AJ$2:AJ$1266,MATCH(Data!$DN436,'Data_Price '!$AT$2:$AT$1266,0))</f>
        <v>#N/A</v>
      </c>
      <c r="DB436" t="e">
        <f>INDEX('Data_Price '!AK$2:AK$1266,MATCH(Data!$DN436,'Data_Price '!$AT$2:$AT$1266,0))</f>
        <v>#N/A</v>
      </c>
      <c r="DC436" t="e">
        <f>INDEX('Data_Price '!AL$2:AL$1266,MATCH(Data!$DN436,'Data_Price '!$AT$2:$AT$1266,0))</f>
        <v>#N/A</v>
      </c>
      <c r="DD436" t="e">
        <f>INDEX('Data_Price '!AM$2:AM$1266,MATCH(Data!$DN436,'Data_Price '!$AT$2:$AT$1266,0))</f>
        <v>#N/A</v>
      </c>
      <c r="DE436" t="e">
        <f>INDEX('Data_Price '!AN$2:AN$1266,MATCH(Data!$DN436,'Data_Price '!$AT$2:$AT$1266,0))</f>
        <v>#N/A</v>
      </c>
      <c r="DF436" t="e">
        <f>INDEX('Data_Price '!AO$2:AO$1266,MATCH(Data!$DN436,'Data_Price '!$AT$2:$AT$1266,0))</f>
        <v>#N/A</v>
      </c>
      <c r="DG436" t="e">
        <f>INDEX('Data_Price '!AP$2:AP$1266,MATCH(Data!$DN436,'Data_Price '!$AT$2:$AT$1266,0))</f>
        <v>#N/A</v>
      </c>
      <c r="DH436" t="e">
        <f>INDEX('Data_Price '!AQ$2:AQ$1266,MATCH(Data!$DN436,'Data_Price '!$AT$2:$AT$1266,0))</f>
        <v>#N/A</v>
      </c>
      <c r="DI436" t="e">
        <f>INDEX('Data_Price '!AR$2:AR$1266,MATCH(Data!$DN436,'Data_Price '!$AT$2:$AT$1266,0))</f>
        <v>#N/A</v>
      </c>
      <c r="DJ436" s="89" t="e">
        <f t="shared" si="254"/>
        <v>#N/A</v>
      </c>
      <c r="DK436" s="89" t="e">
        <f t="shared" si="255"/>
        <v>#N/A</v>
      </c>
      <c r="DL436" s="89" t="e">
        <f t="shared" si="256"/>
        <v>#N/A</v>
      </c>
      <c r="DM436" s="219" t="str">
        <f t="shared" si="257"/>
        <v>Mindbender 98 Ti Alliance</v>
      </c>
      <c r="DN436" s="89" t="str">
        <f t="shared" si="258"/>
        <v xml:space="preserve"> K2Mindbender 98 Ti Alliance161 Women's</v>
      </c>
      <c r="DO436" s="221"/>
    </row>
    <row r="437" spans="2:119" ht="15.6" customHeight="1">
      <c r="B437" s="219" t="b">
        <f t="array" ref="B437">IF(OR(ISERROR(K437:P437)),FALSE,TRUE)</f>
        <v>1</v>
      </c>
      <c r="C437" s="43" t="b">
        <f>OR(BR437=Driver!$G$50,Data!BR973=Driver!$H$50)</f>
        <v>1</v>
      </c>
      <c r="D437" s="43" t="b">
        <f>OR(BV437=Driver!$G$51,BV437=Driver!$H$51)</f>
        <v>1</v>
      </c>
      <c r="E437" s="43" t="b">
        <f>AND(BX437&gt;Driver!$F$54,BX437&lt;Driver!$G$54)</f>
        <v>0</v>
      </c>
      <c r="F437" s="43" t="b">
        <f>CL437&gt;Driver!$F$56</f>
        <v>1</v>
      </c>
      <c r="G437" s="43" t="b">
        <f>AND(CB437&gt;Driver!$F$55,CB437&lt;Driver!$G$55)</f>
        <v>0</v>
      </c>
      <c r="H437" s="43" t="b">
        <f t="shared" si="222"/>
        <v>0</v>
      </c>
      <c r="I437" s="43">
        <f t="shared" si="223"/>
        <v>0</v>
      </c>
      <c r="J437" s="43" t="b">
        <f t="array" ref="J437">NOT(OR(($H$9:$H$1273=TRUE)*($I$9:$I$1273&gt;0)*($BT$9:$BT$1273=BT437)*($K$9:$K$1273&gt;K437)))</f>
        <v>1</v>
      </c>
      <c r="K437" s="72">
        <f t="shared" si="224"/>
        <v>0.8019848147717773</v>
      </c>
      <c r="L437" s="72">
        <f t="shared" si="225"/>
        <v>0.9037238811221977</v>
      </c>
      <c r="M437" s="72">
        <f t="shared" si="226"/>
        <v>0.7002457484213569</v>
      </c>
      <c r="N437" s="72">
        <f t="shared" si="227"/>
        <v>0.64301452017927885</v>
      </c>
      <c r="O437" s="72">
        <f t="shared" si="228"/>
        <v>0.6657582177628758</v>
      </c>
      <c r="P437" s="72">
        <f t="shared" si="229"/>
        <v>0.79196450732191614</v>
      </c>
      <c r="Q437" s="72"/>
      <c r="R437" s="72"/>
      <c r="S437" s="72">
        <f t="shared" si="230"/>
        <v>0.53975978646152112</v>
      </c>
      <c r="T437" s="72">
        <f t="shared" si="231"/>
        <v>0.55582920698199456</v>
      </c>
      <c r="U437" s="72">
        <f t="shared" si="232"/>
        <v>0.71804825853702481</v>
      </c>
      <c r="V437" s="72">
        <f t="shared" si="233"/>
        <v>0.52738180314042948</v>
      </c>
      <c r="W437" s="72">
        <f t="shared" si="234"/>
        <v>0.76380799112097675</v>
      </c>
      <c r="X437" s="72">
        <f t="shared" si="235"/>
        <v>9.6276118877802352E-2</v>
      </c>
      <c r="Y437" s="72">
        <f t="shared" si="236"/>
        <v>0.29975425157864305</v>
      </c>
      <c r="Z437" s="72">
        <f t="shared" si="237"/>
        <v>0.35698547982072115</v>
      </c>
      <c r="AA437" s="72">
        <f t="shared" si="238"/>
        <v>0.3342417822371242</v>
      </c>
      <c r="AB437" s="72">
        <f t="shared" si="239"/>
        <v>0.20803549267808386</v>
      </c>
      <c r="AC437" s="72"/>
      <c r="AD437" s="72"/>
      <c r="AE437" s="72">
        <f t="shared" si="240"/>
        <v>0.46024021353847883</v>
      </c>
      <c r="AF437" s="72">
        <f t="shared" si="241"/>
        <v>0.44417079301800549</v>
      </c>
      <c r="AG437" s="72">
        <f t="shared" si="242"/>
        <v>0.28195174146297519</v>
      </c>
      <c r="AH437" s="72">
        <f t="shared" si="243"/>
        <v>0.47261819685957052</v>
      </c>
      <c r="AI437" s="72">
        <f t="shared" si="244"/>
        <v>0.23619200887902331</v>
      </c>
      <c r="AJ437" s="72">
        <f>(AV437-Driver!$K$179)/(Driver!$L$179-Driver!$K$179)</f>
        <v>0.35049552816050278</v>
      </c>
      <c r="AK437" s="72">
        <f>(AW437-Driver!$K$180)/(Driver!$L$180-Driver!$K$180)</f>
        <v>0.46711246075903812</v>
      </c>
      <c r="AL437" s="72">
        <f>(AX437-Driver!$K$181)/(Driver!$L$181-Driver!$K$181)</f>
        <v>0.45867324353380134</v>
      </c>
      <c r="AM437" s="72">
        <f>(AY437-Driver!$K$182)/(Driver!$L$182-Driver!$K$182)</f>
        <v>0.1131432388599222</v>
      </c>
      <c r="AN437" s="72">
        <f>(AZ437-Driver!$K$183)/(Driver!$L$183-Driver!$K$183)</f>
        <v>0.46225490196078428</v>
      </c>
      <c r="AO437" s="72"/>
      <c r="AP437" s="72"/>
      <c r="AQ437" s="72">
        <f>(BC437-Driver!$K$188)/(Driver!$L$188-Driver!$K$188)</f>
        <v>0.15975978646152117</v>
      </c>
      <c r="AR437" s="72">
        <f>MIN((BD437-Driver!$K$189)/(Driver!$L$189-Driver!$K$189),100%)</f>
        <v>0.10582920698199454</v>
      </c>
      <c r="AS437" s="72">
        <f>(BE437-Driver!$K$190)/(Driver!$L$190-Driver!$K$190)</f>
        <v>0.22804825853702479</v>
      </c>
      <c r="AT437" s="72">
        <f>(BF437-Driver!$K$191)/(Driver!$L$191-Driver!$K$191)</f>
        <v>3.7381803140429479E-2</v>
      </c>
      <c r="AU437" s="72">
        <f>(BG437-Driver!$K$192)/(Driver!$L$192-Driver!$K$192)</f>
        <v>1.3807991120976691E-2</v>
      </c>
      <c r="AV437" s="70">
        <f t="shared" si="245"/>
        <v>7.376882376882377</v>
      </c>
      <c r="AW437" s="70">
        <f t="shared" si="246"/>
        <v>47.39614095988648</v>
      </c>
      <c r="AX437" s="70">
        <f t="shared" si="247"/>
        <v>5.128059191804212</v>
      </c>
      <c r="AY437" s="70">
        <f>IFERROR(Driver!$K$19/Data!BH437/Data!BI437*Data!BK437*Data!BL437,"")</f>
        <v>0.13852108304876304</v>
      </c>
      <c r="AZ437" s="70">
        <f t="shared" si="248"/>
        <v>42.129560685033503</v>
      </c>
      <c r="BA437" s="70"/>
      <c r="BB437" s="70"/>
      <c r="BC437" s="70">
        <f t="shared" si="249"/>
        <v>82.868511869608085</v>
      </c>
      <c r="BD437" s="70">
        <f t="shared" si="250"/>
        <v>11.08652018374551</v>
      </c>
      <c r="BE437" s="70">
        <f t="shared" si="251"/>
        <v>0.22818596603901481</v>
      </c>
      <c r="BF437" s="70">
        <f t="shared" si="252"/>
        <v>4.2220120426810768</v>
      </c>
      <c r="BG437" s="70">
        <f t="shared" si="253"/>
        <v>5.2285862930077691E-2</v>
      </c>
      <c r="BH437" s="67">
        <f>MAX((CE437-Driver!$F$200)/(Driver!$G$200-Driver!$F$200)*$BI$1,1)</f>
        <v>5.128059191804212</v>
      </c>
      <c r="BI437" s="67">
        <f>MAX($BI$1*(BY437-Driver!$F$201)/(Driver!$G$201-Driver!$F$201),1)</f>
        <v>7.7848101265822782</v>
      </c>
      <c r="BJ437" s="67">
        <f>(CB437-Driver!$F$206)/(Driver!$G$206-Driver!$F$206)*$BI$1</f>
        <v>4.6031746031746028</v>
      </c>
      <c r="BK437" s="67">
        <f>(CD437-Driver!$F$203)/(Driver!$G$203-Driver!$F$203)*$BI$1</f>
        <v>4.2201834862385326</v>
      </c>
      <c r="BL437" s="67">
        <f>MAX((CR437-Driver!$F$202)/(Driver!$G$202-Driver!$F$202)*$BI$1,1)</f>
        <v>6.5517241379310338</v>
      </c>
      <c r="BM437" s="67">
        <f>MAX((CH437-Driver!$F$204)/(Driver!$G$204-Driver!$F$204)*$BI$1,1)</f>
        <v>6.4102564102564106</v>
      </c>
      <c r="BN437" s="67">
        <f>(CI437-Driver!$F$205)/(Driver!$G$205-Driver!$F$205)*$BI$1</f>
        <v>5.4117647058823524</v>
      </c>
      <c r="BO437" s="67">
        <f>(CK437-Driver!$F$207)/(Driver!$G$207-Driver!$F$207)*$BI$1</f>
        <v>2.0372285418821097</v>
      </c>
      <c r="BP437" s="67">
        <f>(CM437-Driver!$F$208)/(Driver!$G$208-Driver!$F$208)*$BI$1</f>
        <v>1.9</v>
      </c>
      <c r="BQ437" s="67">
        <f>(CL437-Driver!$F$209)/(Driver!$G$209-Driver!$F$209)*$BI$1</f>
        <v>1.71875</v>
      </c>
      <c r="BR437" s="28" t="s">
        <v>155</v>
      </c>
      <c r="BS437" s="8" t="s">
        <v>172</v>
      </c>
      <c r="BT437" s="9" t="s">
        <v>599</v>
      </c>
      <c r="BU437" s="10">
        <v>178</v>
      </c>
      <c r="BV437" s="9" t="s">
        <v>158</v>
      </c>
      <c r="BW437" s="10">
        <v>178</v>
      </c>
      <c r="BX437" s="10">
        <v>178.4</v>
      </c>
      <c r="BY437" s="10">
        <v>131</v>
      </c>
      <c r="BZ437" s="10">
        <v>154</v>
      </c>
      <c r="CA437" s="10">
        <v>126</v>
      </c>
      <c r="CB437" s="10">
        <v>93</v>
      </c>
      <c r="CC437" s="10">
        <v>116</v>
      </c>
      <c r="CD437" s="10">
        <v>18.600000000000001</v>
      </c>
      <c r="CE437" s="10">
        <v>1801</v>
      </c>
      <c r="CF437" s="10">
        <v>1.03</v>
      </c>
      <c r="CG437" s="10">
        <v>1857</v>
      </c>
      <c r="CH437" s="10">
        <v>251</v>
      </c>
      <c r="CI437" s="10">
        <v>125</v>
      </c>
      <c r="CJ437" s="10">
        <v>49</v>
      </c>
      <c r="CK437" s="10">
        <v>307</v>
      </c>
      <c r="CL437" s="10">
        <v>11</v>
      </c>
      <c r="CM437" s="10">
        <v>171</v>
      </c>
      <c r="CN437" s="10">
        <v>0.22</v>
      </c>
      <c r="CO437" s="10">
        <v>142</v>
      </c>
      <c r="CP437" s="10">
        <v>104</v>
      </c>
      <c r="CQ437" s="10">
        <v>165</v>
      </c>
      <c r="CR437" s="10">
        <v>8</v>
      </c>
      <c r="CS437" s="10">
        <v>7.6</v>
      </c>
      <c r="CT437" s="9" t="s">
        <v>188</v>
      </c>
      <c r="CU437" s="10"/>
      <c r="CV437" s="10"/>
      <c r="CW437" s="10"/>
      <c r="CX437" t="str">
        <f>INDEX('Data_Price '!AG$2:AG$1266,MATCH(Data!$DN437,'Data_Price '!$AT$2:$AT$1266,0))</f>
        <v>Rossignol Blackops Escaper Open 178cm</v>
      </c>
      <c r="CY437" t="str">
        <f>INDEX('Data_Price '!AH$2:AH$1266,MATCH(Data!$DN437,'Data_Price '!$AT$2:$AT$1266,0))</f>
        <v>Sundance Ski and Board Shop</v>
      </c>
      <c r="CZ437">
        <f>INDEX('Data_Price '!AI$2:AI$1266,MATCH(Data!$DN437,'Data_Price '!$AT$2:$AT$1266,0))</f>
        <v>400.85</v>
      </c>
      <c r="DA437" t="str">
        <f>INDEX('Data_Price '!AJ$2:AJ$1266,MATCH(Data!$DN437,'Data_Price '!$AT$2:$AT$1266,0))</f>
        <v>https://tinyurl.com/yarlgawq</v>
      </c>
      <c r="DB437" t="str">
        <f>INDEX('Data_Price '!AK$2:AK$1266,MATCH(Data!$DN437,'Data_Price '!$AT$2:$AT$1266,0))</f>
        <v>Rossignol Blackops Escaper Skis 2022</v>
      </c>
      <c r="DC437" t="str">
        <f>INDEX('Data_Price '!AL$2:AL$1266,MATCH(Data!$DN437,'Data_Price '!$AT$2:$AT$1266,0))</f>
        <v>Saint Bernard</v>
      </c>
      <c r="DD437">
        <f>INDEX('Data_Price '!AM$2:AM$1266,MATCH(Data!$DN437,'Data_Price '!$AT$2:$AT$1266,0))</f>
        <v>473.9</v>
      </c>
      <c r="DE437" t="str">
        <f>INDEX('Data_Price '!AN$2:AN$1266,MATCH(Data!$DN437,'Data_Price '!$AT$2:$AT$1266,0))</f>
        <v>https://tinyurl.com/yaoecve5</v>
      </c>
      <c r="DF437" t="str">
        <f>INDEX('Data_Price '!AO$2:AO$1266,MATCH(Data!$DN437,'Data_Price '!$AT$2:$AT$1266,0))</f>
        <v>Rossignol Blackops Escaper Ski</v>
      </c>
      <c r="DG437" t="str">
        <f>INDEX('Data_Price '!AP$2:AP$1266,MATCH(Data!$DN437,'Data_Price '!$AT$2:$AT$1266,0))</f>
        <v>sunandski.com</v>
      </c>
      <c r="DH437">
        <f>INDEX('Data_Price '!AQ$2:AQ$1266,MATCH(Data!$DN437,'Data_Price '!$AT$2:$AT$1266,0))</f>
        <v>479.93</v>
      </c>
      <c r="DI437" t="str">
        <f>INDEX('Data_Price '!AR$2:AR$1266,MATCH(Data!$DN437,'Data_Price '!$AT$2:$AT$1266,0))</f>
        <v>https://tinyurl.com/y8h48fz8</v>
      </c>
      <c r="DJ437" s="89" t="str">
        <f t="shared" si="254"/>
        <v>https://tinyurl.com/yarlgawq</v>
      </c>
      <c r="DK437" s="89" t="str">
        <f t="shared" si="255"/>
        <v>https://tinyurl.com/yaoecve5</v>
      </c>
      <c r="DL437" s="89" t="str">
        <f t="shared" si="256"/>
        <v>https://tinyurl.com/y8h48fz8</v>
      </c>
      <c r="DM437" s="219" t="str">
        <f t="shared" si="257"/>
        <v>Blackops Escaper</v>
      </c>
      <c r="DN437" s="89" t="str">
        <f t="shared" si="258"/>
        <v xml:space="preserve"> RossignolBlackops Escaper178 Unisex</v>
      </c>
      <c r="DO437" s="221"/>
    </row>
    <row r="438" spans="2:119" ht="15.6" customHeight="1">
      <c r="B438" s="219" t="b">
        <f t="array" ref="B438">IF(OR(ISERROR(K438:P438)),FALSE,TRUE)</f>
        <v>1</v>
      </c>
      <c r="C438" s="43" t="b">
        <f>OR(BR438=Driver!$G$50,Data!BR462=Driver!$H$50)</f>
        <v>1</v>
      </c>
      <c r="D438" s="43" t="b">
        <f>OR(BV438=Driver!$G$51,BV438=Driver!$H$51)</f>
        <v>1</v>
      </c>
      <c r="E438" s="43" t="b">
        <f>AND(BX438&gt;Driver!$F$54,BX438&lt;Driver!$G$54)</f>
        <v>0</v>
      </c>
      <c r="F438" s="43" t="b">
        <f>CL438&gt;Driver!$F$56</f>
        <v>1</v>
      </c>
      <c r="G438" s="43" t="b">
        <f>AND(CB438&gt;Driver!$F$55,CB438&lt;Driver!$G$55)</f>
        <v>0</v>
      </c>
      <c r="H438" s="43" t="b">
        <f t="shared" si="222"/>
        <v>0</v>
      </c>
      <c r="I438" s="43">
        <f t="shared" si="223"/>
        <v>0</v>
      </c>
      <c r="J438" s="43" t="b">
        <f t="array" ref="J438">NOT(OR(($H$9:$H$1273=TRUE)*($I$9:$I$1273&gt;0)*($BT$9:$BT$1273=BT438)*($K$9:$K$1273&gt;K438)))</f>
        <v>1</v>
      </c>
      <c r="K438" s="72">
        <f t="shared" si="224"/>
        <v>0.87465245427973359</v>
      </c>
      <c r="L438" s="72">
        <f t="shared" si="225"/>
        <v>0.96091232869167709</v>
      </c>
      <c r="M438" s="72">
        <f t="shared" si="226"/>
        <v>0.78839257986778999</v>
      </c>
      <c r="N438" s="72">
        <f t="shared" si="227"/>
        <v>0.78467012000220937</v>
      </c>
      <c r="O438" s="72">
        <f t="shared" si="228"/>
        <v>0.63542147332830534</v>
      </c>
      <c r="P438" s="72">
        <f t="shared" si="229"/>
        <v>0.94508614627285514</v>
      </c>
      <c r="Q438" s="72"/>
      <c r="R438" s="72"/>
      <c r="S438" s="72">
        <f t="shared" si="230"/>
        <v>0.4256402047891914</v>
      </c>
      <c r="T438" s="72">
        <f t="shared" si="231"/>
        <v>0.49380139751085506</v>
      </c>
      <c r="U438" s="72">
        <f t="shared" si="232"/>
        <v>0.76822026052358949</v>
      </c>
      <c r="V438" s="72">
        <f t="shared" si="233"/>
        <v>0.53441792603365867</v>
      </c>
      <c r="W438" s="72">
        <f t="shared" si="234"/>
        <v>0.79223441156456942</v>
      </c>
      <c r="X438" s="72">
        <f t="shared" si="235"/>
        <v>3.9087671308322913E-2</v>
      </c>
      <c r="Y438" s="72">
        <f t="shared" si="236"/>
        <v>0.21160742013221004</v>
      </c>
      <c r="Z438" s="72">
        <f t="shared" si="237"/>
        <v>0.21532987999779063</v>
      </c>
      <c r="AA438" s="72">
        <f t="shared" si="238"/>
        <v>0.36457852667169466</v>
      </c>
      <c r="AB438" s="72">
        <f t="shared" si="239"/>
        <v>5.4913853727144885E-2</v>
      </c>
      <c r="AC438" s="72"/>
      <c r="AD438" s="72"/>
      <c r="AE438" s="72">
        <f t="shared" si="240"/>
        <v>0.5743597952108086</v>
      </c>
      <c r="AF438" s="72">
        <f t="shared" si="241"/>
        <v>0.50619860248914494</v>
      </c>
      <c r="AG438" s="72">
        <f t="shared" si="242"/>
        <v>0.23177973947641051</v>
      </c>
      <c r="AH438" s="72">
        <f t="shared" si="243"/>
        <v>0.46558207396634133</v>
      </c>
      <c r="AI438" s="72">
        <f t="shared" si="244"/>
        <v>0.20776558843543061</v>
      </c>
      <c r="AJ438" s="72">
        <f>(AV438-Driver!$K$179)/(Driver!$L$179-Driver!$K$179)</f>
        <v>0.21513173797437751</v>
      </c>
      <c r="AK438" s="72">
        <f>(AW438-Driver!$K$180)/(Driver!$L$180-Driver!$K$180)</f>
        <v>0.20775127887753636</v>
      </c>
      <c r="AL438" s="72">
        <f>(AX438-Driver!$K$181)/(Driver!$L$181-Driver!$K$181)</f>
        <v>0.31701764371087082</v>
      </c>
      <c r="AM438" s="72">
        <f>(AY438-Driver!$K$182)/(Driver!$L$182-Driver!$K$182)</f>
        <v>8.2806494425351707E-2</v>
      </c>
      <c r="AN438" s="72">
        <f>(AZ438-Driver!$K$183)/(Driver!$L$183-Driver!$K$183)</f>
        <v>0.19930555555555554</v>
      </c>
      <c r="AO438" s="72"/>
      <c r="AP438" s="72"/>
      <c r="AQ438" s="72">
        <f>(BC438-Driver!$K$188)/(Driver!$L$188-Driver!$K$188)</f>
        <v>4.5640204789191348E-2</v>
      </c>
      <c r="AR438" s="72">
        <f>MIN((BD438-Driver!$K$189)/(Driver!$L$189-Driver!$K$189),100%)</f>
        <v>4.3801397510855086E-2</v>
      </c>
      <c r="AS438" s="72">
        <f>(BE438-Driver!$K$190)/(Driver!$L$190-Driver!$K$190)</f>
        <v>0.2782202605235895</v>
      </c>
      <c r="AT438" s="72">
        <f>(BF438-Driver!$K$191)/(Driver!$L$191-Driver!$K$191)</f>
        <v>4.4417926033658663E-2</v>
      </c>
      <c r="AU438" s="72">
        <f>(BG438-Driver!$K$192)/(Driver!$L$192-Driver!$K$192)</f>
        <v>4.2234411564569398E-2</v>
      </c>
      <c r="AV438" s="70">
        <f t="shared" si="245"/>
        <v>4.5278795278795272</v>
      </c>
      <c r="AW438" s="70">
        <f t="shared" si="246"/>
        <v>22.119095611673089</v>
      </c>
      <c r="AX438" s="70">
        <f t="shared" si="247"/>
        <v>3.8531587933978373</v>
      </c>
      <c r="AY438" s="70">
        <f>IFERROR(Driver!$K$19/Data!BH438/Data!BI438*Data!BK438*Data!BL438,"")</f>
        <v>0.10137985624993594</v>
      </c>
      <c r="AZ438" s="70">
        <f t="shared" si="248"/>
        <v>18.164556962025316</v>
      </c>
      <c r="BA438" s="70"/>
      <c r="BB438" s="70"/>
      <c r="BC438" s="70">
        <f t="shared" si="249"/>
        <v>23.67389150970974</v>
      </c>
      <c r="BD438" s="70">
        <f t="shared" si="250"/>
        <v>5.5971689523245258</v>
      </c>
      <c r="BE438" s="70">
        <f t="shared" si="251"/>
        <v>0.27834901790513511</v>
      </c>
      <c r="BF438" s="70">
        <f t="shared" si="252"/>
        <v>5.0166926919103574</v>
      </c>
      <c r="BG438" s="70">
        <f t="shared" si="253"/>
        <v>0.15992642482531991</v>
      </c>
      <c r="BH438" s="67">
        <f>MAX((CE438-Driver!$F$200)/(Driver!$G$200-Driver!$F$200)*$BI$1,1)</f>
        <v>3.8531587933978373</v>
      </c>
      <c r="BI438" s="67">
        <f>MAX($BI$1*(BY438-Driver!$F$201)/(Driver!$G$201-Driver!$F$201),1)</f>
        <v>7.5316455696202533</v>
      </c>
      <c r="BJ438" s="67">
        <f>(CB438-Driver!$F$206)/(Driver!$G$206-Driver!$F$206)*$BI$1</f>
        <v>4.7619047619047619</v>
      </c>
      <c r="BK438" s="67">
        <f>(CD438-Driver!$F$203)/(Driver!$G$203-Driver!$F$203)*$BI$1</f>
        <v>2.8440366972477067</v>
      </c>
      <c r="BL438" s="67">
        <f>MAX((CR438-Driver!$F$202)/(Driver!$G$202-Driver!$F$202)*$BI$1,1)</f>
        <v>5.1724137931034484</v>
      </c>
      <c r="BM438" s="67">
        <f>MAX((CH438-Driver!$F$204)/(Driver!$G$204-Driver!$F$204)*$BI$1,1)</f>
        <v>3.8034188034188032</v>
      </c>
      <c r="BN438" s="67">
        <f>(CI438-Driver!$F$205)/(Driver!$G$205-Driver!$F$205)*$BI$1</f>
        <v>2.4117647058823528</v>
      </c>
      <c r="BO438" s="67">
        <f>(CK438-Driver!$F$207)/(Driver!$G$207-Driver!$F$207)*$BI$1</f>
        <v>1.6959669079627715</v>
      </c>
      <c r="BP438" s="67">
        <f>(CM438-Driver!$F$208)/(Driver!$G$208-Driver!$F$208)*$BI$1</f>
        <v>1.7666666666666666</v>
      </c>
      <c r="BQ438" s="67">
        <f>(CL438-Driver!$F$209)/(Driver!$G$209-Driver!$F$209)*$BI$1</f>
        <v>2.34375</v>
      </c>
      <c r="BR438" s="28" t="s">
        <v>155</v>
      </c>
      <c r="BS438" s="8" t="s">
        <v>164</v>
      </c>
      <c r="BT438" s="9" t="s">
        <v>255</v>
      </c>
      <c r="BU438" s="10">
        <v>172</v>
      </c>
      <c r="BV438" s="9" t="s">
        <v>158</v>
      </c>
      <c r="BW438" s="10">
        <v>172</v>
      </c>
      <c r="BX438" s="10">
        <v>170.3</v>
      </c>
      <c r="BY438" s="10">
        <v>127</v>
      </c>
      <c r="BZ438" s="10">
        <v>136</v>
      </c>
      <c r="CA438" s="10">
        <v>136</v>
      </c>
      <c r="CB438" s="10">
        <v>94</v>
      </c>
      <c r="CC438" s="10">
        <v>110</v>
      </c>
      <c r="CD438" s="10">
        <v>15.6</v>
      </c>
      <c r="CE438" s="10">
        <v>1577</v>
      </c>
      <c r="CF438" s="10">
        <v>1.1599999999999999</v>
      </c>
      <c r="CG438" s="10">
        <v>1823</v>
      </c>
      <c r="CH438" s="10">
        <v>190</v>
      </c>
      <c r="CI438" s="10">
        <v>74</v>
      </c>
      <c r="CJ438" s="10">
        <v>51</v>
      </c>
      <c r="CK438" s="10">
        <v>274</v>
      </c>
      <c r="CL438" s="10">
        <v>15</v>
      </c>
      <c r="CM438" s="10">
        <v>159</v>
      </c>
      <c r="CN438" s="10">
        <v>0.3</v>
      </c>
      <c r="CO438" s="10">
        <v>178</v>
      </c>
      <c r="CP438" s="10">
        <v>166</v>
      </c>
      <c r="CQ438" s="10">
        <v>96</v>
      </c>
      <c r="CR438" s="10">
        <v>4</v>
      </c>
      <c r="CS438" s="10">
        <v>7.7</v>
      </c>
      <c r="CT438" s="9" t="s">
        <v>188</v>
      </c>
      <c r="CU438" s="9" t="s">
        <v>185</v>
      </c>
      <c r="CV438" s="10"/>
      <c r="CW438" s="10"/>
      <c r="CX438" t="str">
        <f>INDEX('Data_Price '!AG$2:AG$1266,MATCH(Data!$DN438,'Data_Price '!$AT$2:$AT$1266,0))</f>
        <v>Elan Ripstick 96 Skis</v>
      </c>
      <c r="CY438" t="str">
        <f>INDEX('Data_Price '!AH$2:AH$1266,MATCH(Data!$DN438,'Data_Price '!$AT$2:$AT$1266,0))</f>
        <v>eBay - asogear</v>
      </c>
      <c r="CZ438">
        <f>INDEX('Data_Price '!AI$2:AI$1266,MATCH(Data!$DN438,'Data_Price '!$AT$2:$AT$1266,0))</f>
        <v>419.99</v>
      </c>
      <c r="DA438" t="str">
        <f>INDEX('Data_Price '!AJ$2:AJ$1266,MATCH(Data!$DN438,'Data_Price '!$AT$2:$AT$1266,0))</f>
        <v>https://tinyurl.com/y744wnw8</v>
      </c>
      <c r="DB438" t="str">
        <f>INDEX('Data_Price '!AK$2:AK$1266,MATCH(Data!$DN438,'Data_Price '!$AT$2:$AT$1266,0))</f>
        <v>Elan Ripstick 96 - Ski - 2022 172</v>
      </c>
      <c r="DC438" t="str">
        <f>INDEX('Data_Price '!AL$2:AL$1266,MATCH(Data!$DN438,'Data_Price '!$AT$2:$AT$1266,0))</f>
        <v>AJ Motion Sports</v>
      </c>
      <c r="DD438">
        <f>INDEX('Data_Price '!AM$2:AM$1266,MATCH(Data!$DN438,'Data_Price '!$AT$2:$AT$1266,0))</f>
        <v>487.49</v>
      </c>
      <c r="DE438" t="str">
        <f>INDEX('Data_Price '!AN$2:AN$1266,MATCH(Data!$DN438,'Data_Price '!$AT$2:$AT$1266,0))</f>
        <v>https://tinyurl.com/yazov5uo</v>
      </c>
      <c r="DF438" t="str">
        <f>INDEX('Data_Price '!AO$2:AO$1266,MATCH(Data!$DN438,'Data_Price '!$AT$2:$AT$1266,0))</f>
        <v>Elan Ripstick 96 Skis</v>
      </c>
      <c r="DG438" t="str">
        <f>INDEX('Data_Price '!AP$2:AP$1266,MATCH(Data!$DN438,'Data_Price '!$AT$2:$AT$1266,0))</f>
        <v>SkiEssentials.com</v>
      </c>
      <c r="DH438">
        <f>INDEX('Data_Price '!AQ$2:AQ$1266,MATCH(Data!$DN438,'Data_Price '!$AT$2:$AT$1266,0))</f>
        <v>487.49</v>
      </c>
      <c r="DI438" t="str">
        <f>INDEX('Data_Price '!AR$2:AR$1266,MATCH(Data!$DN438,'Data_Price '!$AT$2:$AT$1266,0))</f>
        <v>https://tinyurl.com/ya2tgn4q</v>
      </c>
      <c r="DJ438" s="89" t="str">
        <f t="shared" si="254"/>
        <v>https://tinyurl.com/y744wnw8</v>
      </c>
      <c r="DK438" s="89" t="str">
        <f t="shared" si="255"/>
        <v>https://tinyurl.com/yazov5uo</v>
      </c>
      <c r="DL438" s="89" t="str">
        <f t="shared" si="256"/>
        <v>https://tinyurl.com/ya2tgn4q</v>
      </c>
      <c r="DM438" s="219" t="str">
        <f t="shared" si="257"/>
        <v>Ripstick 96</v>
      </c>
      <c r="DN438" s="89" t="str">
        <f t="shared" si="258"/>
        <v xml:space="preserve"> ElanRipstick 96172 Unisex</v>
      </c>
      <c r="DO438" s="221" t="s">
        <v>256</v>
      </c>
    </row>
    <row r="439" spans="2:119" ht="15.6" customHeight="1">
      <c r="B439" s="219" t="b">
        <f t="array" ref="B439">IF(OR(ISERROR(K439:P439)),FALSE,TRUE)</f>
        <v>1</v>
      </c>
      <c r="C439" s="43" t="b">
        <f>OR(BR439=Driver!$G$50,Data!BR471=Driver!$H$50)</f>
        <v>1</v>
      </c>
      <c r="D439" s="43" t="b">
        <f>OR(BV439=Driver!$G$51,BV439=Driver!$H$51)</f>
        <v>0</v>
      </c>
      <c r="E439" s="43" t="b">
        <f>AND(BX439&gt;Driver!$F$54,BX439&lt;Driver!$G$54)</f>
        <v>1</v>
      </c>
      <c r="F439" s="43" t="b">
        <f>CL439&gt;Driver!$F$56</f>
        <v>1</v>
      </c>
      <c r="G439" s="43" t="b">
        <f>AND(CB439&gt;Driver!$F$55,CB439&lt;Driver!$G$55)</f>
        <v>0</v>
      </c>
      <c r="H439" s="43" t="b">
        <f t="shared" si="222"/>
        <v>0</v>
      </c>
      <c r="I439" s="43">
        <f t="shared" si="223"/>
        <v>0</v>
      </c>
      <c r="J439" s="43" t="b">
        <f t="array" ref="J439">NOT(OR(($H$9:$H$1273=TRUE)*($I$9:$I$1273&gt;0)*($BT$9:$BT$1273=BT439)*($K$9:$K$1273&gt;K439)))</f>
        <v>1</v>
      </c>
      <c r="K439" s="72">
        <f t="shared" si="224"/>
        <v>0.82290113661533903</v>
      </c>
      <c r="L439" s="72">
        <f t="shared" si="225"/>
        <v>0.89508362834521027</v>
      </c>
      <c r="M439" s="72">
        <f t="shared" si="226"/>
        <v>0.7507186448854678</v>
      </c>
      <c r="N439" s="72">
        <f t="shared" si="227"/>
        <v>0.71004797366691563</v>
      </c>
      <c r="O439" s="72">
        <f t="shared" si="228"/>
        <v>0.57279795850748239</v>
      </c>
      <c r="P439" s="72">
        <f t="shared" si="229"/>
        <v>0.96931000248200549</v>
      </c>
      <c r="Q439" s="72"/>
      <c r="R439" s="72"/>
      <c r="S439" s="72">
        <f t="shared" si="230"/>
        <v>0.39645123822451322</v>
      </c>
      <c r="T439" s="72">
        <f t="shared" si="231"/>
        <v>0.81751158877975394</v>
      </c>
      <c r="U439" s="72">
        <f t="shared" si="232"/>
        <v>0.51</v>
      </c>
      <c r="V439" s="72">
        <f t="shared" si="233"/>
        <v>0.52862075491317095</v>
      </c>
      <c r="W439" s="72">
        <f t="shared" si="234"/>
        <v>0.76761987190583347</v>
      </c>
      <c r="X439" s="72">
        <f t="shared" si="235"/>
        <v>0.1049163716547897</v>
      </c>
      <c r="Y439" s="72">
        <f t="shared" si="236"/>
        <v>0.2492813551145322</v>
      </c>
      <c r="Z439" s="72">
        <f t="shared" si="237"/>
        <v>0.28995202633308442</v>
      </c>
      <c r="AA439" s="72">
        <f t="shared" si="238"/>
        <v>0.42720204149251761</v>
      </c>
      <c r="AB439" s="72">
        <f t="shared" si="239"/>
        <v>3.0689997517994533E-2</v>
      </c>
      <c r="AC439" s="72"/>
      <c r="AD439" s="72"/>
      <c r="AE439" s="72">
        <f t="shared" si="240"/>
        <v>0.60354876177548678</v>
      </c>
      <c r="AF439" s="72">
        <f t="shared" si="241"/>
        <v>0.18248841122024606</v>
      </c>
      <c r="AG439" s="72">
        <f t="shared" si="242"/>
        <v>0.49</v>
      </c>
      <c r="AH439" s="72">
        <f t="shared" si="243"/>
        <v>0.4713792450868291</v>
      </c>
      <c r="AI439" s="72">
        <f t="shared" si="244"/>
        <v>0.23238012809416653</v>
      </c>
      <c r="AJ439" s="72">
        <f>(AV439-Driver!$K$179)/(Driver!$L$179-Driver!$K$179)</f>
        <v>0.14930303762791072</v>
      </c>
      <c r="AK439" s="72">
        <f>(AW439-Driver!$K$180)/(Driver!$L$180-Driver!$K$180)</f>
        <v>0.23650878005226653</v>
      </c>
      <c r="AL439" s="72">
        <f>(AX439-Driver!$K$181)/(Driver!$L$181-Driver!$K$181)</f>
        <v>0.39163979004616462</v>
      </c>
      <c r="AM439" s="72">
        <f>(AY439-Driver!$K$182)/(Driver!$L$182-Driver!$K$182)</f>
        <v>2.0182979604528754E-2</v>
      </c>
      <c r="AN439" s="72">
        <f>(AZ439-Driver!$K$183)/(Driver!$L$183-Driver!$K$183)</f>
        <v>0.22352941176470589</v>
      </c>
      <c r="AO439" s="72"/>
      <c r="AP439" s="72"/>
      <c r="AQ439" s="72">
        <f>(BC439-Driver!$K$188)/(Driver!$L$188-Driver!$K$188)</f>
        <v>1.6451238224513259E-2</v>
      </c>
      <c r="AR439" s="72">
        <f>MIN((BD439-Driver!$K$189)/(Driver!$L$189-Driver!$K$189),100%)</f>
        <v>0.73248841122024611</v>
      </c>
      <c r="AS439" s="72">
        <f>(BE439-Driver!$K$190)/(Driver!$L$190-Driver!$K$190)</f>
        <v>1</v>
      </c>
      <c r="AT439" s="72">
        <f>(BF439-Driver!$K$191)/(Driver!$L$191-Driver!$K$191)</f>
        <v>3.86207549131709E-2</v>
      </c>
      <c r="AU439" s="72">
        <f>(BG439-Driver!$K$192)/(Driver!$L$192-Driver!$K$192)</f>
        <v>1.7619871905833473E-2</v>
      </c>
      <c r="AV439" s="70">
        <f t="shared" si="245"/>
        <v>3.1423823090489758</v>
      </c>
      <c r="AW439" s="70">
        <f t="shared" si="246"/>
        <v>24.921768918533118</v>
      </c>
      <c r="AX439" s="70">
        <f t="shared" si="247"/>
        <v>4.5247581104154815</v>
      </c>
      <c r="AY439" s="70">
        <f>IFERROR(Driver!$K$19/Data!BH439/Data!BI439*Data!BK439*Data!BL439,"")</f>
        <v>2.4709989055835137E-2</v>
      </c>
      <c r="AZ439" s="70">
        <f t="shared" si="248"/>
        <v>20.372300819061802</v>
      </c>
      <c r="BA439" s="70"/>
      <c r="BB439" s="70"/>
      <c r="BC439" s="70">
        <f t="shared" si="249"/>
        <v>8.5333716342077199</v>
      </c>
      <c r="BD439" s="70">
        <f t="shared" si="250"/>
        <v>66.544749384425174</v>
      </c>
      <c r="BE439" s="70">
        <f t="shared" si="251"/>
        <v>1</v>
      </c>
      <c r="BF439" s="70">
        <f t="shared" si="252"/>
        <v>4.3619429412833979</v>
      </c>
      <c r="BG439" s="70">
        <f t="shared" si="253"/>
        <v>6.6720075298597872E-2</v>
      </c>
      <c r="BH439" s="67">
        <f>MAX((CE439-Driver!$F$200)/(Driver!$G$200-Driver!$F$200)*$BI$1,1)</f>
        <v>4.5247581104154815</v>
      </c>
      <c r="BI439" s="67">
        <f>MAX($BI$1*(BY439-Driver!$F$201)/(Driver!$G$201-Driver!$F$201),1)</f>
        <v>7.2151898734177218</v>
      </c>
      <c r="BJ439" s="67">
        <f>(CB439-Driver!$F$206)/(Driver!$G$206-Driver!$F$206)*$BI$1</f>
        <v>2.6984126984126982</v>
      </c>
      <c r="BK439" s="67">
        <f>(CD439-Driver!$F$203)/(Driver!$G$203-Driver!$F$203)*$BI$1</f>
        <v>0.68807339449541294</v>
      </c>
      <c r="BL439" s="67">
        <f>MAX((CR439-Driver!$F$202)/(Driver!$G$202-Driver!$F$202)*$BI$1,1)</f>
        <v>5.8620689655172411</v>
      </c>
      <c r="BM439" s="67">
        <f>MAX((CH439-Driver!$F$204)/(Driver!$G$204-Driver!$F$204)*$BI$1,1)</f>
        <v>4.6581196581196584</v>
      </c>
      <c r="BN439" s="67">
        <f>(CI439-Driver!$F$205)/(Driver!$G$205-Driver!$F$205)*$BI$1</f>
        <v>2.8235294117647056</v>
      </c>
      <c r="BO439" s="67">
        <f>(CK439-Driver!$F$207)/(Driver!$G$207-Driver!$F$207)*$BI$1</f>
        <v>0.82730093071354704</v>
      </c>
      <c r="BP439" s="67">
        <f>(CM439-Driver!$F$208)/(Driver!$G$208-Driver!$F$208)*$BI$1</f>
        <v>1.3444444444444446</v>
      </c>
      <c r="BQ439" s="67">
        <f>(CL439-Driver!$F$209)/(Driver!$G$209-Driver!$F$209)*$BI$1</f>
        <v>1.40625</v>
      </c>
      <c r="BR439" s="28" t="s">
        <v>155</v>
      </c>
      <c r="BS439" s="8" t="s">
        <v>164</v>
      </c>
      <c r="BT439" s="9" t="s">
        <v>292</v>
      </c>
      <c r="BU439" s="10">
        <v>152</v>
      </c>
      <c r="BV439" s="9" t="s">
        <v>163</v>
      </c>
      <c r="BW439" s="10">
        <v>152</v>
      </c>
      <c r="BX439" s="10">
        <v>153.1</v>
      </c>
      <c r="BY439" s="10">
        <v>122</v>
      </c>
      <c r="BZ439" s="10">
        <v>133</v>
      </c>
      <c r="CA439" s="10">
        <v>129</v>
      </c>
      <c r="CB439" s="10">
        <v>81</v>
      </c>
      <c r="CC439" s="10">
        <v>112</v>
      </c>
      <c r="CD439" s="10">
        <v>10.9</v>
      </c>
      <c r="CE439" s="10">
        <v>1695</v>
      </c>
      <c r="CF439" s="10">
        <v>0.87</v>
      </c>
      <c r="CG439" s="10">
        <v>1483</v>
      </c>
      <c r="CH439" s="10">
        <v>210</v>
      </c>
      <c r="CI439" s="10">
        <v>81</v>
      </c>
      <c r="CJ439" s="10">
        <v>40</v>
      </c>
      <c r="CK439" s="10">
        <v>190</v>
      </c>
      <c r="CL439" s="10">
        <v>9</v>
      </c>
      <c r="CM439" s="10">
        <v>121</v>
      </c>
      <c r="CN439" s="10">
        <v>0.23499999999999999</v>
      </c>
      <c r="CO439" s="10">
        <v>110</v>
      </c>
      <c r="CP439" s="10">
        <v>92</v>
      </c>
      <c r="CQ439" s="10">
        <v>80</v>
      </c>
      <c r="CR439" s="10">
        <v>6</v>
      </c>
      <c r="CS439" s="10">
        <v>8.5</v>
      </c>
      <c r="CT439" s="9" t="s">
        <v>231</v>
      </c>
      <c r="CU439" s="9" t="s">
        <v>188</v>
      </c>
      <c r="CV439" s="10"/>
      <c r="CW439" s="10"/>
      <c r="CX439" t="str">
        <f>INDEX('Data_Price '!AG$2:AG$1266,MATCH(Data!$DN439,'Data_Price '!$AT$2:$AT$1266,0))</f>
        <v>Elan Skis Wildcat 82 C</v>
      </c>
      <c r="CY439" t="str">
        <f>INDEX('Data_Price '!AH$2:AH$1266,MATCH(Data!$DN439,'Data_Price '!$AT$2:$AT$1266,0))</f>
        <v>Aspen Ski and Board</v>
      </c>
      <c r="CZ439">
        <f>INDEX('Data_Price '!AI$2:AI$1266,MATCH(Data!$DN439,'Data_Price '!$AT$2:$AT$1266,0))</f>
        <v>319.95</v>
      </c>
      <c r="DA439" t="str">
        <f>INDEX('Data_Price '!AJ$2:AJ$1266,MATCH(Data!$DN439,'Data_Price '!$AT$2:$AT$1266,0))</f>
        <v>https://tinyurl.com/ycx5vzxc</v>
      </c>
      <c r="DB439" t="str">
        <f>INDEX('Data_Price '!AK$2:AK$1266,MATCH(Data!$DN439,'Data_Price '!$AT$2:$AT$1266,0))</f>
        <v>Elan Wildcat 82 C Ski System with ELW 9.0 GW Bindings Womens</v>
      </c>
      <c r="DC439" t="str">
        <f>INDEX('Data_Price '!AL$2:AL$1266,MATCH(Data!$DN439,'Data_Price '!$AT$2:$AT$1266,0))</f>
        <v>Peter Glenn Ski &amp; Sports</v>
      </c>
      <c r="DD439">
        <f>INDEX('Data_Price '!AM$2:AM$1266,MATCH(Data!$DN439,'Data_Price '!$AT$2:$AT$1266,0))</f>
        <v>599.99</v>
      </c>
      <c r="DE439" t="str">
        <f>INDEX('Data_Price '!AN$2:AN$1266,MATCH(Data!$DN439,'Data_Price '!$AT$2:$AT$1266,0))</f>
        <v>https://tinyurl.com/y9erhlmw</v>
      </c>
      <c r="DF439" t="str">
        <f>INDEX('Data_Price '!AO$2:AO$1266,MATCH(Data!$DN439,'Data_Price '!$AT$2:$AT$1266,0))</f>
        <v>Elan Wildcat 82 C Ski System with ELW 9.0 GW Bindings Womens</v>
      </c>
      <c r="DG439" t="str">
        <f>INDEX('Data_Price '!AP$2:AP$1266,MATCH(Data!$DN439,'Data_Price '!$AT$2:$AT$1266,0))</f>
        <v>BobWards.com</v>
      </c>
      <c r="DH439">
        <f>INDEX('Data_Price '!AQ$2:AQ$1266,MATCH(Data!$DN439,'Data_Price '!$AT$2:$AT$1266,0))</f>
        <v>599.99</v>
      </c>
      <c r="DI439" t="str">
        <f>INDEX('Data_Price '!AR$2:AR$1266,MATCH(Data!$DN439,'Data_Price '!$AT$2:$AT$1266,0))</f>
        <v>https://tinyurl.com/ya7zbn72</v>
      </c>
      <c r="DJ439" s="89" t="str">
        <f t="shared" si="254"/>
        <v>https://tinyurl.com/ycx5vzxc</v>
      </c>
      <c r="DK439" s="89" t="str">
        <f t="shared" si="255"/>
        <v>https://tinyurl.com/y9erhlmw</v>
      </c>
      <c r="DL439" s="89" t="str">
        <f t="shared" si="256"/>
        <v>https://tinyurl.com/ya7zbn72</v>
      </c>
      <c r="DM439" s="219" t="str">
        <f t="shared" si="257"/>
        <v>Wildcat 82 C</v>
      </c>
      <c r="DN439" s="89" t="str">
        <f t="shared" si="258"/>
        <v xml:space="preserve"> ElanWildcat 82 C152 Women's</v>
      </c>
      <c r="DO439" s="221"/>
    </row>
    <row r="440" spans="2:119" ht="15.6" customHeight="1">
      <c r="B440" s="219" t="b">
        <f t="array" ref="B440">IF(OR(ISERROR(K440:P440)),FALSE,TRUE)</f>
        <v>1</v>
      </c>
      <c r="C440" s="43" t="b">
        <f>OR(BR440=Driver!$G$50,Data!BR404=Driver!$H$50)</f>
        <v>1</v>
      </c>
      <c r="D440" s="43" t="b">
        <f>OR(BV440=Driver!$G$51,BV440=Driver!$H$51)</f>
        <v>1</v>
      </c>
      <c r="E440" s="43" t="b">
        <f>AND(BX440&gt;Driver!$F$54,BX440&lt;Driver!$G$54)</f>
        <v>0</v>
      </c>
      <c r="F440" s="43" t="b">
        <f>CL440&gt;Driver!$F$56</f>
        <v>1</v>
      </c>
      <c r="G440" s="43" t="b">
        <f>AND(CB440&gt;Driver!$F$55,CB440&lt;Driver!$G$55)</f>
        <v>0</v>
      </c>
      <c r="H440" s="43" t="b">
        <f t="shared" si="222"/>
        <v>0</v>
      </c>
      <c r="I440" s="43">
        <f t="shared" si="223"/>
        <v>0</v>
      </c>
      <c r="J440" s="43" t="b">
        <f t="array" ref="J440">NOT(OR(($H$9:$H$1273=TRUE)*($I$9:$I$1273&gt;0)*($BT$9:$BT$1273=BT440)*($K$9:$K$1273&gt;K440)))</f>
        <v>1</v>
      </c>
      <c r="K440" s="72">
        <f t="shared" si="224"/>
        <v>0.75653676351407184</v>
      </c>
      <c r="L440" s="72">
        <f t="shared" si="225"/>
        <v>0.81283676485437073</v>
      </c>
      <c r="M440" s="72">
        <f t="shared" si="226"/>
        <v>0.70023676217377306</v>
      </c>
      <c r="N440" s="72">
        <f t="shared" si="227"/>
        <v>0.56775998277334705</v>
      </c>
      <c r="O440" s="72">
        <f t="shared" si="228"/>
        <v>0.6543844892365136</v>
      </c>
      <c r="P440" s="72">
        <f t="shared" si="229"/>
        <v>0.87856581451145854</v>
      </c>
      <c r="Q440" s="72"/>
      <c r="R440" s="72"/>
      <c r="S440" s="72">
        <f t="shared" si="230"/>
        <v>0.51625891347294139</v>
      </c>
      <c r="T440" s="72">
        <f t="shared" si="231"/>
        <v>0.54078098479489412</v>
      </c>
      <c r="U440" s="72">
        <f t="shared" si="232"/>
        <v>0.65002124087192747</v>
      </c>
      <c r="V440" s="72">
        <f t="shared" si="233"/>
        <v>0.52695737658402608</v>
      </c>
      <c r="W440" s="72">
        <f t="shared" si="234"/>
        <v>0.76402728561304034</v>
      </c>
      <c r="X440" s="72">
        <f t="shared" si="235"/>
        <v>0.18716323514562927</v>
      </c>
      <c r="Y440" s="72">
        <f t="shared" si="236"/>
        <v>0.29976323782622694</v>
      </c>
      <c r="Z440" s="72">
        <f t="shared" si="237"/>
        <v>0.43224001722665295</v>
      </c>
      <c r="AA440" s="72">
        <f t="shared" si="238"/>
        <v>0.34561551076348646</v>
      </c>
      <c r="AB440" s="72">
        <f t="shared" si="239"/>
        <v>0.1214341854885414</v>
      </c>
      <c r="AC440" s="72"/>
      <c r="AD440" s="72"/>
      <c r="AE440" s="72">
        <f t="shared" si="240"/>
        <v>0.48374108652705866</v>
      </c>
      <c r="AF440" s="72">
        <f t="shared" si="241"/>
        <v>0.45921901520510594</v>
      </c>
      <c r="AG440" s="72">
        <f t="shared" si="242"/>
        <v>0.34997875912807258</v>
      </c>
      <c r="AH440" s="72">
        <f t="shared" si="243"/>
        <v>0.47304262341597386</v>
      </c>
      <c r="AI440" s="72">
        <f t="shared" si="244"/>
        <v>0.2359727143869596</v>
      </c>
      <c r="AJ440" s="72">
        <f>(AV440-Driver!$K$179)/(Driver!$L$179-Driver!$K$179)</f>
        <v>0.4413826444283297</v>
      </c>
      <c r="AK440" s="72">
        <f>(AW440-Driver!$K$180)/(Driver!$L$180-Driver!$K$180)</f>
        <v>0.39293335279593772</v>
      </c>
      <c r="AL440" s="72">
        <f>(AX440-Driver!$K$181)/(Driver!$L$181-Driver!$K$181)</f>
        <v>0.53392778093973314</v>
      </c>
      <c r="AM440" s="72">
        <f>(AY440-Driver!$K$182)/(Driver!$L$182-Driver!$K$182)</f>
        <v>0.1017695103335599</v>
      </c>
      <c r="AN440" s="72">
        <f>(AZ440-Driver!$K$183)/(Driver!$L$183-Driver!$K$183)</f>
        <v>0.37565359477124183</v>
      </c>
      <c r="AO440" s="72"/>
      <c r="AP440" s="72"/>
      <c r="AQ440" s="72">
        <f>(BC440-Driver!$K$188)/(Driver!$L$188-Driver!$K$188)</f>
        <v>0.13625891347294133</v>
      </c>
      <c r="AR440" s="72">
        <f>MIN((BD440-Driver!$K$189)/(Driver!$L$189-Driver!$K$189),100%)</f>
        <v>9.078098479489409E-2</v>
      </c>
      <c r="AS440" s="72">
        <f>(BE440-Driver!$K$190)/(Driver!$L$190-Driver!$K$190)</f>
        <v>0.16002124087192743</v>
      </c>
      <c r="AT440" s="72">
        <f>(BF440-Driver!$K$191)/(Driver!$L$191-Driver!$K$191)</f>
        <v>3.695737658402614E-2</v>
      </c>
      <c r="AU440" s="72">
        <f>(BG440-Driver!$K$192)/(Driver!$L$192-Driver!$K$192)</f>
        <v>1.4027285613040395E-2</v>
      </c>
      <c r="AV440" s="70">
        <f t="shared" si="245"/>
        <v>9.2897842897842899</v>
      </c>
      <c r="AW440" s="70">
        <f t="shared" si="246"/>
        <v>40.166729595120344</v>
      </c>
      <c r="AX440" s="70">
        <f t="shared" si="247"/>
        <v>5.8053500284575987</v>
      </c>
      <c r="AY440" s="70">
        <f>IFERROR(Driver!$K$19/Data!BH440/Data!BI440*Data!BK440*Data!BL440,"")</f>
        <v>0.12459624573943978</v>
      </c>
      <c r="AZ440" s="70">
        <f t="shared" si="248"/>
        <v>34.236783320923308</v>
      </c>
      <c r="BA440" s="70"/>
      <c r="BB440" s="70"/>
      <c r="BC440" s="70">
        <f t="shared" si="249"/>
        <v>70.678445675013236</v>
      </c>
      <c r="BD440" s="70">
        <f t="shared" si="250"/>
        <v>9.7547791840590516</v>
      </c>
      <c r="BE440" s="70">
        <f t="shared" si="251"/>
        <v>0.16017108362819221</v>
      </c>
      <c r="BF440" s="70">
        <f t="shared" si="252"/>
        <v>4.1740760449006347</v>
      </c>
      <c r="BG440" s="70">
        <f t="shared" si="253"/>
        <v>5.3116251771793049E-2</v>
      </c>
      <c r="BH440" s="67">
        <f>MAX((CE440-Driver!$F$200)/(Driver!$G$200-Driver!$F$200)*$BI$1,1)</f>
        <v>5.8053500284575987</v>
      </c>
      <c r="BI440" s="67">
        <f>MAX($BI$1*(BY440-Driver!$F$201)/(Driver!$G$201-Driver!$F$201),1)</f>
        <v>7.6582278481012658</v>
      </c>
      <c r="BJ440" s="67">
        <f>(CB440-Driver!$F$206)/(Driver!$G$206-Driver!$F$206)*$BI$1</f>
        <v>5.2380952380952381</v>
      </c>
      <c r="BK440" s="67">
        <f>(CD440-Driver!$F$203)/(Driver!$G$203-Driver!$F$203)*$BI$1</f>
        <v>4.7247706422018352</v>
      </c>
      <c r="BL440" s="67">
        <f>MAX((CR440-Driver!$F$202)/(Driver!$G$202-Driver!$F$202)*$BI$1,1)</f>
        <v>5.8620689655172411</v>
      </c>
      <c r="BM440" s="67">
        <f>MAX((CH440-Driver!$F$204)/(Driver!$G$204-Driver!$F$204)*$BI$1,1)</f>
        <v>7.0940170940170946</v>
      </c>
      <c r="BN440" s="67">
        <f>(CI440-Driver!$F$205)/(Driver!$G$205-Driver!$F$205)*$BI$1</f>
        <v>4.4705882352941178</v>
      </c>
      <c r="BO440" s="67">
        <f>(CK440-Driver!$F$207)/(Driver!$G$207-Driver!$F$207)*$BI$1</f>
        <v>2.2440537745604963</v>
      </c>
      <c r="BP440" s="67">
        <f>(CM440-Driver!$F$208)/(Driver!$G$208-Driver!$F$208)*$BI$1</f>
        <v>1.6777777777777778</v>
      </c>
      <c r="BQ440" s="67">
        <f>(CL440-Driver!$F$209)/(Driver!$G$209-Driver!$F$209)*$BI$1</f>
        <v>2.1875</v>
      </c>
      <c r="BR440" s="28" t="s">
        <v>155</v>
      </c>
      <c r="BS440" s="8" t="s">
        <v>202</v>
      </c>
      <c r="BT440" s="9" t="s">
        <v>380</v>
      </c>
      <c r="BU440" s="10">
        <v>178</v>
      </c>
      <c r="BV440" s="9" t="s">
        <v>158</v>
      </c>
      <c r="BW440" s="10">
        <v>178</v>
      </c>
      <c r="BX440" s="10">
        <v>177.3</v>
      </c>
      <c r="BY440" s="10">
        <v>129</v>
      </c>
      <c r="BZ440" s="10">
        <v>146</v>
      </c>
      <c r="CA440" s="10">
        <v>126</v>
      </c>
      <c r="CB440" s="10">
        <v>97</v>
      </c>
      <c r="CC440" s="10">
        <v>116</v>
      </c>
      <c r="CD440" s="10">
        <v>19.7</v>
      </c>
      <c r="CE440" s="10">
        <v>1920</v>
      </c>
      <c r="CF440" s="10">
        <v>0.99</v>
      </c>
      <c r="CG440" s="10">
        <v>1893</v>
      </c>
      <c r="CH440" s="10">
        <v>267</v>
      </c>
      <c r="CI440" s="10">
        <v>109</v>
      </c>
      <c r="CJ440" s="10">
        <v>62</v>
      </c>
      <c r="CK440" s="10">
        <v>327</v>
      </c>
      <c r="CL440" s="10">
        <v>14</v>
      </c>
      <c r="CM440" s="10">
        <v>151</v>
      </c>
      <c r="CN440" s="10">
        <v>0.22900000000000001</v>
      </c>
      <c r="CO440" s="10">
        <v>189</v>
      </c>
      <c r="CP440" s="10">
        <v>125</v>
      </c>
      <c r="CQ440" s="10">
        <v>138</v>
      </c>
      <c r="CR440" s="10">
        <v>6</v>
      </c>
      <c r="CS440" s="10">
        <v>12.2</v>
      </c>
      <c r="CT440" s="9" t="s">
        <v>188</v>
      </c>
      <c r="CU440" s="10"/>
      <c r="CV440" s="10"/>
      <c r="CW440" s="10"/>
      <c r="CX440" t="str">
        <f>INDEX('Data_Price '!AG$2:AG$1266,MATCH(Data!$DN440,'Data_Price '!$AT$2:$AT$1266,0))</f>
        <v>Dynastar M-PRO 99 178cm</v>
      </c>
      <c r="CY440" t="str">
        <f>INDEX('Data_Price '!AH$2:AH$1266,MATCH(Data!$DN440,'Data_Price '!$AT$2:$AT$1266,0))</f>
        <v>Sundance Ski and Board Shop</v>
      </c>
      <c r="CZ440">
        <f>INDEX('Data_Price '!AI$2:AI$1266,MATCH(Data!$DN440,'Data_Price '!$AT$2:$AT$1266,0))</f>
        <v>481.02</v>
      </c>
      <c r="DA440" t="str">
        <f>INDEX('Data_Price '!AJ$2:AJ$1266,MATCH(Data!$DN440,'Data_Price '!$AT$2:$AT$1266,0))</f>
        <v>https://tinyurl.com/y7tcxcpp</v>
      </c>
      <c r="DB440" t="str">
        <f>INDEX('Data_Price '!AK$2:AK$1266,MATCH(Data!$DN440,'Data_Price '!$AT$2:$AT$1266,0))</f>
        <v>Dynastar M-Pro 99</v>
      </c>
      <c r="DC440" t="str">
        <f>INDEX('Data_Price '!AL$2:AL$1266,MATCH(Data!$DN440,'Data_Price '!$AT$2:$AT$1266,0))</f>
        <v>Powder7 Ski Shop</v>
      </c>
      <c r="DD440">
        <f>INDEX('Data_Price '!AM$2:AM$1266,MATCH(Data!$DN440,'Data_Price '!$AT$2:$AT$1266,0))</f>
        <v>559.95000000000005</v>
      </c>
      <c r="DE440" t="str">
        <f>INDEX('Data_Price '!AN$2:AN$1266,MATCH(Data!$DN440,'Data_Price '!$AT$2:$AT$1266,0))</f>
        <v>https://tinyurl.com/yc5kenjh</v>
      </c>
      <c r="DF440" t="str">
        <f>INDEX('Data_Price '!AO$2:AO$1266,MATCH(Data!$DN440,'Data_Price '!$AT$2:$AT$1266,0))</f>
        <v>Dynastar M-Pro 99</v>
      </c>
      <c r="DG440" t="str">
        <f>INDEX('Data_Price '!AP$2:AP$1266,MATCH(Data!$DN440,'Data_Price '!$AT$2:$AT$1266,0))</f>
        <v>evo.com</v>
      </c>
      <c r="DH440">
        <f>INDEX('Data_Price '!AQ$2:AQ$1266,MATCH(Data!$DN440,'Data_Price '!$AT$2:$AT$1266,0))</f>
        <v>559.96</v>
      </c>
      <c r="DI440" t="str">
        <f>INDEX('Data_Price '!AR$2:AR$1266,MATCH(Data!$DN440,'Data_Price '!$AT$2:$AT$1266,0))</f>
        <v>https://tinyurl.com/ycyp4yu5</v>
      </c>
      <c r="DJ440" s="89" t="str">
        <f t="shared" si="254"/>
        <v>https://tinyurl.com/y7tcxcpp</v>
      </c>
      <c r="DK440" s="89" t="str">
        <f t="shared" si="255"/>
        <v>https://tinyurl.com/yc5kenjh</v>
      </c>
      <c r="DL440" s="89" t="str">
        <f t="shared" si="256"/>
        <v>https://tinyurl.com/ycyp4yu5</v>
      </c>
      <c r="DM440" s="219" t="str">
        <f t="shared" si="257"/>
        <v>M-Pro 99</v>
      </c>
      <c r="DN440" s="89" t="str">
        <f t="shared" si="258"/>
        <v xml:space="preserve"> DynastarM-Pro 99178 Unisex</v>
      </c>
      <c r="DO440" s="221" t="s">
        <v>381</v>
      </c>
    </row>
    <row r="441" spans="2:119" ht="15.6" customHeight="1">
      <c r="B441" s="219" t="b">
        <f t="array" ref="B441">IF(OR(ISERROR(K441:P441)),FALSE,TRUE)</f>
        <v>1</v>
      </c>
      <c r="C441" s="43" t="b">
        <f>OR(BR441=Driver!$G$50,Data!BR1241=Driver!$H$50)</f>
        <v>1</v>
      </c>
      <c r="D441" s="43" t="b">
        <f>OR(BV441=Driver!$G$51,BV441=Driver!$H$51)</f>
        <v>1</v>
      </c>
      <c r="E441" s="43" t="b">
        <f>AND(BX441&gt;Driver!$F$54,BX441&lt;Driver!$G$54)</f>
        <v>1</v>
      </c>
      <c r="F441" s="43" t="b">
        <f>CL441&gt;Driver!$F$56</f>
        <v>1</v>
      </c>
      <c r="G441" s="43" t="b">
        <f>AND(CB441&gt;Driver!$F$55,CB441&lt;Driver!$G$55)</f>
        <v>0</v>
      </c>
      <c r="H441" s="43" t="b">
        <f t="shared" si="222"/>
        <v>0</v>
      </c>
      <c r="I441" s="43">
        <f t="shared" si="223"/>
        <v>0</v>
      </c>
      <c r="J441" s="43" t="b">
        <f t="array" ref="J441">NOT(OR(($H$9:$H$1273=TRUE)*($I$9:$I$1273&gt;0)*($BT$9:$BT$1273=BT441)*($K$9:$K$1273&gt;K441)))</f>
        <v>1</v>
      </c>
      <c r="K441" s="72">
        <f t="shared" si="224"/>
        <v>0.83036996043780242</v>
      </c>
      <c r="L441" s="72">
        <f t="shared" si="225"/>
        <v>0.87872717036438686</v>
      </c>
      <c r="M441" s="72">
        <f t="shared" si="226"/>
        <v>0.7820127505112181</v>
      </c>
      <c r="N441" s="72">
        <f t="shared" si="227"/>
        <v>0.71890144865584871</v>
      </c>
      <c r="O441" s="72">
        <f t="shared" si="228"/>
        <v>0.65717320562455828</v>
      </c>
      <c r="P441" s="72">
        <f t="shared" si="229"/>
        <v>0.96996359725324721</v>
      </c>
      <c r="Q441" s="72"/>
      <c r="R441" s="72"/>
      <c r="S441" s="72">
        <f t="shared" si="230"/>
        <v>0.4421012644421819</v>
      </c>
      <c r="T441" s="72">
        <f t="shared" si="231"/>
        <v>0.47279850066561957</v>
      </c>
      <c r="U441" s="72">
        <f t="shared" si="232"/>
        <v>0.64526219590076095</v>
      </c>
      <c r="V441" s="72">
        <f t="shared" si="233"/>
        <v>0.51235572818430364</v>
      </c>
      <c r="W441" s="72">
        <f t="shared" si="234"/>
        <v>0.89218135257827957</v>
      </c>
      <c r="X441" s="72">
        <f t="shared" si="235"/>
        <v>0.12127282963561317</v>
      </c>
      <c r="Y441" s="72">
        <f t="shared" si="236"/>
        <v>0.21798724948878193</v>
      </c>
      <c r="Z441" s="72">
        <f t="shared" si="237"/>
        <v>0.28109855134415129</v>
      </c>
      <c r="AA441" s="72">
        <f t="shared" si="238"/>
        <v>0.34282679437544172</v>
      </c>
      <c r="AB441" s="72">
        <f t="shared" si="239"/>
        <v>3.0036402746752788E-2</v>
      </c>
      <c r="AC441" s="72"/>
      <c r="AD441" s="72"/>
      <c r="AE441" s="72">
        <f t="shared" si="240"/>
        <v>0.5578987355578181</v>
      </c>
      <c r="AF441" s="72">
        <f t="shared" si="241"/>
        <v>0.52720149933438043</v>
      </c>
      <c r="AG441" s="72">
        <f t="shared" si="242"/>
        <v>0.35473780409923905</v>
      </c>
      <c r="AH441" s="72">
        <f t="shared" si="243"/>
        <v>0.48764427181569636</v>
      </c>
      <c r="AI441" s="72">
        <f t="shared" si="244"/>
        <v>0.10781864742172045</v>
      </c>
      <c r="AJ441" s="72">
        <f>(AV441-Driver!$K$179)/(Driver!$L$179-Driver!$K$179)</f>
        <v>0.13294657964708725</v>
      </c>
      <c r="AK441" s="72">
        <f>(AW441-Driver!$K$180)/(Driver!$L$180-Driver!$K$180)</f>
        <v>0.2373623436276594</v>
      </c>
      <c r="AL441" s="72">
        <f>(AX441-Driver!$K$181)/(Driver!$L$181-Driver!$K$181)</f>
        <v>0.38278631505723149</v>
      </c>
      <c r="AM441" s="72">
        <f>(AY441-Driver!$K$182)/(Driver!$L$182-Driver!$K$182)</f>
        <v>0.10455822672160463</v>
      </c>
      <c r="AN441" s="72">
        <f>(AZ441-Driver!$K$183)/(Driver!$L$183-Driver!$K$183)</f>
        <v>0.22418300653594764</v>
      </c>
      <c r="AO441" s="72"/>
      <c r="AP441" s="72"/>
      <c r="AQ441" s="72">
        <f>(BC441-Driver!$K$188)/(Driver!$L$188-Driver!$K$188)</f>
        <v>6.2101264442181926E-2</v>
      </c>
      <c r="AR441" s="72">
        <f>MIN((BD441-Driver!$K$189)/(Driver!$L$189-Driver!$K$189),100%)</f>
        <v>2.2798500665619597E-2</v>
      </c>
      <c r="AS441" s="72">
        <f>(BE441-Driver!$K$190)/(Driver!$L$190-Driver!$K$190)</f>
        <v>0.15526219590076093</v>
      </c>
      <c r="AT441" s="72">
        <f>(BF441-Driver!$K$191)/(Driver!$L$191-Driver!$K$191)</f>
        <v>2.2355728184303647E-2</v>
      </c>
      <c r="AU441" s="72">
        <f>(BG441-Driver!$K$192)/(Driver!$L$192-Driver!$K$192)</f>
        <v>0.14218135257827955</v>
      </c>
      <c r="AV441" s="70">
        <f t="shared" si="245"/>
        <v>2.7981277981277981</v>
      </c>
      <c r="AW441" s="70">
        <f t="shared" si="246"/>
        <v>25.004956252297838</v>
      </c>
      <c r="AX441" s="70">
        <f t="shared" si="247"/>
        <v>4.4450768355150831</v>
      </c>
      <c r="AY441" s="70">
        <f>IFERROR(Driver!$K$19/Data!BH441/Data!BI441*Data!BK441*Data!BL441,"")</f>
        <v>0.1280104666710683</v>
      </c>
      <c r="AZ441" s="70">
        <f t="shared" si="248"/>
        <v>20.431868950111685</v>
      </c>
      <c r="BA441" s="70"/>
      <c r="BB441" s="70"/>
      <c r="BC441" s="70">
        <f t="shared" si="249"/>
        <v>32.212357587146109</v>
      </c>
      <c r="BD441" s="70">
        <f t="shared" si="250"/>
        <v>3.7384497964522714</v>
      </c>
      <c r="BE441" s="70">
        <f t="shared" si="251"/>
        <v>0.15541288761708325</v>
      </c>
      <c r="BF441" s="70">
        <f t="shared" si="252"/>
        <v>2.5249224405377459</v>
      </c>
      <c r="BG441" s="70">
        <f t="shared" si="253"/>
        <v>0.53838930275870078</v>
      </c>
      <c r="BH441" s="67">
        <f>MAX((CE441-Driver!$F$200)/(Driver!$G$200-Driver!$F$200)*$BI$1,1)</f>
        <v>4.4450768355150831</v>
      </c>
      <c r="BI441" s="67">
        <f>MAX($BI$1*(BY441-Driver!$F$201)/(Driver!$G$201-Driver!$F$201),1)</f>
        <v>7.0886075949367084</v>
      </c>
      <c r="BJ441" s="67">
        <f>(CB441-Driver!$F$206)/(Driver!$G$206-Driver!$F$206)*$BI$1</f>
        <v>4.7619047619047619</v>
      </c>
      <c r="BK441" s="67">
        <f>(CD441-Driver!$F$203)/(Driver!$G$203-Driver!$F$203)*$BI$1</f>
        <v>3.4403669724770634</v>
      </c>
      <c r="BL441" s="67">
        <f>MAX((CR441-Driver!$F$202)/(Driver!$G$202-Driver!$F$202)*$BI$1,1)</f>
        <v>5.8620689655172411</v>
      </c>
      <c r="BM441" s="67">
        <f>MAX((CH441-Driver!$F$204)/(Driver!$G$204-Driver!$F$204)*$BI$1,1)</f>
        <v>2.3504273504273505</v>
      </c>
      <c r="BN441" s="67">
        <f>(CI441-Driver!$F$205)/(Driver!$G$205-Driver!$F$205)*$BI$1</f>
        <v>2.8823529411764701</v>
      </c>
      <c r="BO441" s="67">
        <f>(CK441-Driver!$F$207)/(Driver!$G$207-Driver!$F$207)*$BI$1</f>
        <v>1.1168562564632885</v>
      </c>
      <c r="BP441" s="67">
        <f>(CM441-Driver!$F$208)/(Driver!$G$208-Driver!$F$208)*$BI$1</f>
        <v>1.6333333333333333</v>
      </c>
      <c r="BQ441" s="67">
        <f>(CL441-Driver!$F$209)/(Driver!$G$209-Driver!$F$209)*$BI$1</f>
        <v>5.625</v>
      </c>
      <c r="BR441" s="28" t="s">
        <v>155</v>
      </c>
      <c r="BS441" s="8" t="s">
        <v>229</v>
      </c>
      <c r="BT441" s="9" t="s">
        <v>596</v>
      </c>
      <c r="BU441" s="10">
        <v>157</v>
      </c>
      <c r="BV441" s="9" t="s">
        <v>158</v>
      </c>
      <c r="BW441" s="10">
        <v>157</v>
      </c>
      <c r="BX441" s="10">
        <v>156.1</v>
      </c>
      <c r="BY441" s="10">
        <v>120</v>
      </c>
      <c r="BZ441" s="10">
        <v>141</v>
      </c>
      <c r="CA441" s="10">
        <v>128</v>
      </c>
      <c r="CB441" s="10">
        <v>94</v>
      </c>
      <c r="CC441" s="10">
        <v>118</v>
      </c>
      <c r="CD441" s="10">
        <v>16.899999999999999</v>
      </c>
      <c r="CE441" s="10">
        <v>1681</v>
      </c>
      <c r="CF441" s="10">
        <v>0.97</v>
      </c>
      <c r="CG441" s="10">
        <v>1624</v>
      </c>
      <c r="CH441" s="10">
        <v>156</v>
      </c>
      <c r="CI441" s="10">
        <v>82</v>
      </c>
      <c r="CJ441" s="10">
        <v>39</v>
      </c>
      <c r="CK441" s="10">
        <v>218</v>
      </c>
      <c r="CL441" s="10">
        <v>36</v>
      </c>
      <c r="CM441" s="10">
        <v>147</v>
      </c>
      <c r="CN441" s="10">
        <v>0.94599999999999995</v>
      </c>
      <c r="CO441" s="10">
        <v>81</v>
      </c>
      <c r="CP441" s="10">
        <v>69</v>
      </c>
      <c r="CQ441" s="10">
        <v>137</v>
      </c>
      <c r="CR441" s="10">
        <v>6</v>
      </c>
      <c r="CS441" s="10">
        <v>0.1</v>
      </c>
      <c r="CT441" s="9" t="s">
        <v>184</v>
      </c>
      <c r="CU441" s="10"/>
      <c r="CV441" s="10"/>
      <c r="CW441" s="10"/>
      <c r="CX441" t="e">
        <f>INDEX('Data_Price '!AG$2:AG$1266,MATCH(Data!$DN441,'Data_Price '!$AT$2:$AT$1266,0))</f>
        <v>#N/A</v>
      </c>
      <c r="CY441" t="e">
        <f>INDEX('Data_Price '!AH$2:AH$1266,MATCH(Data!$DN441,'Data_Price '!$AT$2:$AT$1266,0))</f>
        <v>#N/A</v>
      </c>
      <c r="CZ441" t="e">
        <f>INDEX('Data_Price '!AI$2:AI$1266,MATCH(Data!$DN441,'Data_Price '!$AT$2:$AT$1266,0))</f>
        <v>#N/A</v>
      </c>
      <c r="DA441" t="e">
        <f>INDEX('Data_Price '!AJ$2:AJ$1266,MATCH(Data!$DN441,'Data_Price '!$AT$2:$AT$1266,0))</f>
        <v>#N/A</v>
      </c>
      <c r="DB441" t="e">
        <f>INDEX('Data_Price '!AK$2:AK$1266,MATCH(Data!$DN441,'Data_Price '!$AT$2:$AT$1266,0))</f>
        <v>#N/A</v>
      </c>
      <c r="DC441" t="e">
        <f>INDEX('Data_Price '!AL$2:AL$1266,MATCH(Data!$DN441,'Data_Price '!$AT$2:$AT$1266,0))</f>
        <v>#N/A</v>
      </c>
      <c r="DD441" t="e">
        <f>INDEX('Data_Price '!AM$2:AM$1266,MATCH(Data!$DN441,'Data_Price '!$AT$2:$AT$1266,0))</f>
        <v>#N/A</v>
      </c>
      <c r="DE441" t="e">
        <f>INDEX('Data_Price '!AN$2:AN$1266,MATCH(Data!$DN441,'Data_Price '!$AT$2:$AT$1266,0))</f>
        <v>#N/A</v>
      </c>
      <c r="DF441" t="e">
        <f>INDEX('Data_Price '!AO$2:AO$1266,MATCH(Data!$DN441,'Data_Price '!$AT$2:$AT$1266,0))</f>
        <v>#N/A</v>
      </c>
      <c r="DG441" t="e">
        <f>INDEX('Data_Price '!AP$2:AP$1266,MATCH(Data!$DN441,'Data_Price '!$AT$2:$AT$1266,0))</f>
        <v>#N/A</v>
      </c>
      <c r="DH441" t="e">
        <f>INDEX('Data_Price '!AQ$2:AQ$1266,MATCH(Data!$DN441,'Data_Price '!$AT$2:$AT$1266,0))</f>
        <v>#N/A</v>
      </c>
      <c r="DI441" t="e">
        <f>INDEX('Data_Price '!AR$2:AR$1266,MATCH(Data!$DN441,'Data_Price '!$AT$2:$AT$1266,0))</f>
        <v>#N/A</v>
      </c>
      <c r="DJ441" s="89" t="e">
        <f t="shared" si="254"/>
        <v>#N/A</v>
      </c>
      <c r="DK441" s="89" t="e">
        <f t="shared" si="255"/>
        <v>#N/A</v>
      </c>
      <c r="DL441" s="89" t="e">
        <f t="shared" si="256"/>
        <v>#N/A</v>
      </c>
      <c r="DM441" s="219" t="str">
        <f t="shared" si="257"/>
        <v>Revolt 95</v>
      </c>
      <c r="DN441" s="89" t="str">
        <f t="shared" si="258"/>
        <v xml:space="preserve"> VölklRevolt 95157 Unisex</v>
      </c>
      <c r="DO441" s="221" t="s">
        <v>597</v>
      </c>
    </row>
    <row r="442" spans="2:119" ht="15.6" customHeight="1">
      <c r="B442" s="219" t="b">
        <f t="array" ref="B442">IF(OR(ISERROR(K442:P442)),FALSE,TRUE)</f>
        <v>1</v>
      </c>
      <c r="C442" s="43" t="b">
        <f>OR(BR442=Driver!$G$50,Data!BR367=Driver!$H$50)</f>
        <v>1</v>
      </c>
      <c r="D442" s="43" t="b">
        <f>OR(BV442=Driver!$G$51,BV442=Driver!$H$51)</f>
        <v>1</v>
      </c>
      <c r="E442" s="43" t="b">
        <f>AND(BX442&gt;Driver!$F$54,BX442&lt;Driver!$G$54)</f>
        <v>0</v>
      </c>
      <c r="F442" s="43" t="b">
        <f>CL442&gt;Driver!$F$56</f>
        <v>1</v>
      </c>
      <c r="G442" s="43" t="b">
        <f>AND(CB442&gt;Driver!$F$55,CB442&lt;Driver!$G$55)</f>
        <v>0</v>
      </c>
      <c r="H442" s="43" t="b">
        <f t="shared" si="222"/>
        <v>0</v>
      </c>
      <c r="I442" s="43">
        <f t="shared" si="223"/>
        <v>0</v>
      </c>
      <c r="J442" s="43" t="b">
        <f t="array" ref="J442">NOT(OR(($H$9:$H$1273=TRUE)*($I$9:$I$1273&gt;0)*($BT$9:$BT$1273=BT442)*($K$9:$K$1273&gt;K442)))</f>
        <v>1</v>
      </c>
      <c r="K442" s="72">
        <f t="shared" si="224"/>
        <v>0.94347677419698317</v>
      </c>
      <c r="L442" s="72">
        <f t="shared" si="225"/>
        <v>0.93915743384033556</v>
      </c>
      <c r="M442" s="72">
        <f t="shared" si="226"/>
        <v>0.94779611455363089</v>
      </c>
      <c r="N442" s="72">
        <f t="shared" si="227"/>
        <v>0.93075389821065346</v>
      </c>
      <c r="O442" s="72">
        <f t="shared" si="228"/>
        <v>0.95220588584074128</v>
      </c>
      <c r="P442" s="72">
        <f t="shared" si="229"/>
        <v>0.9604285596094978</v>
      </c>
      <c r="Q442" s="72"/>
      <c r="R442" s="72"/>
      <c r="S442" s="72">
        <f t="shared" si="230"/>
        <v>0.53038891604337512</v>
      </c>
      <c r="T442" s="72">
        <f t="shared" si="231"/>
        <v>0.48201001845420544</v>
      </c>
      <c r="U442" s="72">
        <f t="shared" si="232"/>
        <v>0.51</v>
      </c>
      <c r="V442" s="72">
        <f t="shared" si="233"/>
        <v>0.49932393911152928</v>
      </c>
      <c r="W442" s="72">
        <f t="shared" si="234"/>
        <v>0.79203882158590311</v>
      </c>
      <c r="X442" s="72">
        <f t="shared" si="235"/>
        <v>6.0842566159664435E-2</v>
      </c>
      <c r="Y442" s="72">
        <f t="shared" si="236"/>
        <v>5.2203885446369148E-2</v>
      </c>
      <c r="Z442" s="72">
        <f t="shared" si="237"/>
        <v>6.9246101789346537E-2</v>
      </c>
      <c r="AA442" s="72">
        <f t="shared" si="238"/>
        <v>4.7794114159258716E-2</v>
      </c>
      <c r="AB442" s="72">
        <f t="shared" si="239"/>
        <v>3.9571440390502199E-2</v>
      </c>
      <c r="AC442" s="72"/>
      <c r="AD442" s="72"/>
      <c r="AE442" s="72">
        <f t="shared" si="240"/>
        <v>0.46961108395662488</v>
      </c>
      <c r="AF442" s="72">
        <f t="shared" si="241"/>
        <v>0.51798998154579456</v>
      </c>
      <c r="AG442" s="72">
        <f t="shared" si="242"/>
        <v>0.49</v>
      </c>
      <c r="AH442" s="72">
        <f t="shared" si="243"/>
        <v>0.50067606088847072</v>
      </c>
      <c r="AI442" s="72">
        <f t="shared" si="244"/>
        <v>0.20796117841409692</v>
      </c>
      <c r="AJ442" s="72">
        <f>(AV442-Driver!$K$179)/(Driver!$L$179-Driver!$K$179)</f>
        <v>0.19337684312303599</v>
      </c>
      <c r="AK442" s="72">
        <f>(AW442-Driver!$K$180)/(Driver!$L$180-Driver!$K$180)</f>
        <v>0.27380964124224244</v>
      </c>
      <c r="AL442" s="72">
        <f>(AX442-Driver!$K$181)/(Driver!$L$181-Driver!$K$181)</f>
        <v>3.2441661923733642E-2</v>
      </c>
      <c r="AM442" s="72">
        <f>(AY442-Driver!$K$182)/(Driver!$L$182-Driver!$K$182)</f>
        <v>0.39959090693778765</v>
      </c>
      <c r="AN442" s="72">
        <f>(AZ442-Driver!$K$183)/(Driver!$L$183-Driver!$K$183)</f>
        <v>0.29379084967320263</v>
      </c>
      <c r="AO442" s="72"/>
      <c r="AP442" s="72"/>
      <c r="AQ442" s="72">
        <f>(BC442-Driver!$K$188)/(Driver!$L$188-Driver!$K$188)</f>
        <v>0.15038891604337512</v>
      </c>
      <c r="AR442" s="72">
        <f>MIN((BD442-Driver!$K$189)/(Driver!$L$189-Driver!$K$189),100%)</f>
        <v>3.2010018454205515E-2</v>
      </c>
      <c r="AS442" s="72">
        <f>(BE442-Driver!$K$190)/(Driver!$L$190-Driver!$K$190)</f>
        <v>1</v>
      </c>
      <c r="AT442" s="72">
        <f>(BF442-Driver!$K$191)/(Driver!$L$191-Driver!$K$191)</f>
        <v>9.3239391115292978E-3</v>
      </c>
      <c r="AU442" s="72">
        <f>(BG442-Driver!$K$192)/(Driver!$L$192-Driver!$K$192)</f>
        <v>4.2038821585903073E-2</v>
      </c>
      <c r="AV442" s="70">
        <f t="shared" si="245"/>
        <v>4.0700040700040701</v>
      </c>
      <c r="AW442" s="70">
        <f t="shared" si="246"/>
        <v>28.557068360749611</v>
      </c>
      <c r="AX442" s="70">
        <f t="shared" si="247"/>
        <v>1.2919749573136028</v>
      </c>
      <c r="AY442" s="70">
        <f>IFERROR(Driver!$K$19/Data!BH442/Data!BI442*Data!BK442*Data!BL442,"")</f>
        <v>0.48921849651120985</v>
      </c>
      <c r="AZ442" s="70">
        <f t="shared" si="248"/>
        <v>26.775874906924798</v>
      </c>
      <c r="BA442" s="70"/>
      <c r="BB442" s="70"/>
      <c r="BC442" s="70">
        <f t="shared" si="249"/>
        <v>78.007776238481469</v>
      </c>
      <c r="BD442" s="70">
        <f t="shared" si="250"/>
        <v>4.5536527988984181</v>
      </c>
      <c r="BE442" s="70">
        <f t="shared" si="251"/>
        <v>1</v>
      </c>
      <c r="BF442" s="70">
        <f t="shared" si="252"/>
        <v>1.0530734182676862</v>
      </c>
      <c r="BG442" s="70">
        <f t="shared" si="253"/>
        <v>0.15918579639317179</v>
      </c>
      <c r="BH442" s="67">
        <f>MAX((CE442-Driver!$F$200)/(Driver!$G$200-Driver!$F$200)*$BI$1,1)</f>
        <v>1.2919749573136028</v>
      </c>
      <c r="BI442" s="67">
        <f>MAX($BI$1*(BY442-Driver!$F$201)/(Driver!$G$201-Driver!$F$201),1)</f>
        <v>7.8481012658227849</v>
      </c>
      <c r="BJ442" s="67">
        <f>(CB442-Driver!$F$206)/(Driver!$G$206-Driver!$F$206)*$BI$1</f>
        <v>2.3809523809523809</v>
      </c>
      <c r="BK442" s="67">
        <f>(CD442-Driver!$F$203)/(Driver!$G$203-Driver!$F$203)*$BI$1</f>
        <v>4.4954128440366974</v>
      </c>
      <c r="BL442" s="67">
        <f>MAX((CR442-Driver!$F$202)/(Driver!$G$202-Driver!$F$202)*$BI$1,1)</f>
        <v>5.5172413793103452</v>
      </c>
      <c r="BM442" s="67">
        <f>MAX((CH442-Driver!$F$204)/(Driver!$G$204-Driver!$F$204)*$BI$1,1)</f>
        <v>6.8376068376068382</v>
      </c>
      <c r="BN442" s="67">
        <f>(CI442-Driver!$F$205)/(Driver!$G$205-Driver!$F$205)*$BI$1</f>
        <v>3.4117647058823533</v>
      </c>
      <c r="BO442" s="67">
        <f>(CK442-Driver!$F$207)/(Driver!$G$207-Driver!$F$207)*$BI$1</f>
        <v>1.7373319544984489</v>
      </c>
      <c r="BP442" s="67">
        <f>(CM442-Driver!$F$208)/(Driver!$G$208-Driver!$F$208)*$BI$1</f>
        <v>1.1444444444444444</v>
      </c>
      <c r="BQ442" s="67">
        <f>(CL442-Driver!$F$209)/(Driver!$G$209-Driver!$F$209)*$BI$1</f>
        <v>1.40625</v>
      </c>
      <c r="BR442" s="28" t="s">
        <v>155</v>
      </c>
      <c r="BS442" s="8" t="s">
        <v>329</v>
      </c>
      <c r="BT442" s="9" t="s">
        <v>570</v>
      </c>
      <c r="BU442" s="10">
        <v>172</v>
      </c>
      <c r="BV442" s="9" t="s">
        <v>158</v>
      </c>
      <c r="BW442" s="10">
        <v>172</v>
      </c>
      <c r="BX442" s="10">
        <v>169.8</v>
      </c>
      <c r="BY442" s="10">
        <v>132</v>
      </c>
      <c r="BZ442" s="10">
        <v>148</v>
      </c>
      <c r="CA442" s="10">
        <v>115</v>
      </c>
      <c r="CB442" s="10">
        <v>79</v>
      </c>
      <c r="CC442" s="10">
        <v>99</v>
      </c>
      <c r="CD442" s="10">
        <v>19.2</v>
      </c>
      <c r="CE442" s="10">
        <v>1127</v>
      </c>
      <c r="CF442" s="10">
        <v>1.35</v>
      </c>
      <c r="CG442" s="10">
        <v>1520</v>
      </c>
      <c r="CH442" s="10">
        <v>261</v>
      </c>
      <c r="CI442" s="10">
        <v>91</v>
      </c>
      <c r="CJ442" s="10">
        <v>53</v>
      </c>
      <c r="CK442" s="10">
        <v>278</v>
      </c>
      <c r="CL442" s="10">
        <v>9</v>
      </c>
      <c r="CM442" s="10">
        <v>103</v>
      </c>
      <c r="CN442" s="10">
        <v>0.16600000000000001</v>
      </c>
      <c r="CO442" s="10">
        <v>134</v>
      </c>
      <c r="CP442" s="10">
        <v>86</v>
      </c>
      <c r="CQ442" s="10">
        <v>144</v>
      </c>
      <c r="CR442" s="10">
        <v>5</v>
      </c>
      <c r="CS442" s="10">
        <v>12.6</v>
      </c>
      <c r="CT442" s="9" t="s">
        <v>185</v>
      </c>
      <c r="CU442" s="9" t="s">
        <v>198</v>
      </c>
      <c r="CV442" s="10"/>
      <c r="CW442" s="10"/>
      <c r="CX442" t="str">
        <f>INDEX('Data_Price '!AG$2:AG$1266,MATCH(Data!$DN442,'Data_Price '!$AT$2:$AT$1266,0))</f>
        <v>Dynafit Blacklight 80 Ski Touring (Black/Orange)</v>
      </c>
      <c r="CY442" t="str">
        <f>INDEX('Data_Price '!AH$2:AH$1266,MATCH(Data!$DN442,'Data_Price '!$AT$2:$AT$1266,0))</f>
        <v>eBay - grassisport</v>
      </c>
      <c r="CZ442">
        <f>INDEX('Data_Price '!AI$2:AI$1266,MATCH(Data!$DN442,'Data_Price '!$AT$2:$AT$1266,0))</f>
        <v>547.41</v>
      </c>
      <c r="DA442" t="str">
        <f>INDEX('Data_Price '!AJ$2:AJ$1266,MATCH(Data!$DN442,'Data_Price '!$AT$2:$AT$1266,0))</f>
        <v>https://tinyurl.com/y8vkjsfl</v>
      </c>
      <c r="DB442" t="str">
        <f>INDEX('Data_Price '!AK$2:AK$1266,MATCH(Data!$DN442,'Data_Price '!$AT$2:$AT$1266,0))</f>
        <v>Dynafit Blacklight 80 Ski Touring (Black/Orange)</v>
      </c>
      <c r="DC442" t="str">
        <f>INDEX('Data_Price '!AL$2:AL$1266,MATCH(Data!$DN442,'Data_Price '!$AT$2:$AT$1266,0))</f>
        <v>Telemark Pyrenees</v>
      </c>
      <c r="DD442">
        <f>INDEX('Data_Price '!AM$2:AM$1266,MATCH(Data!$DN442,'Data_Price '!$AT$2:$AT$1266,0))</f>
        <v>649.95000000000005</v>
      </c>
      <c r="DE442" t="str">
        <f>INDEX('Data_Price '!AN$2:AN$1266,MATCH(Data!$DN442,'Data_Price '!$AT$2:$AT$1266,0))</f>
        <v>https://tinyurl.com/ybyl8rjn</v>
      </c>
      <c r="DF442" t="str">
        <f>INDEX('Data_Price '!AO$2:AO$1266,MATCH(Data!$DN442,'Data_Price '!$AT$2:$AT$1266,0))</f>
        <v>Dynafit Blacklight 95 Combo 172</v>
      </c>
      <c r="DG442" t="str">
        <f>INDEX('Data_Price '!AP$2:AP$1266,MATCH(Data!$DN442,'Data_Price '!$AT$2:$AT$1266,0))</f>
        <v>Cripple Creek Backcountry</v>
      </c>
      <c r="DH442">
        <f>INDEX('Data_Price '!AQ$2:AQ$1266,MATCH(Data!$DN442,'Data_Price '!$AT$2:$AT$1266,0))</f>
        <v>1049.95</v>
      </c>
      <c r="DI442" t="str">
        <f>INDEX('Data_Price '!AR$2:AR$1266,MATCH(Data!$DN442,'Data_Price '!$AT$2:$AT$1266,0))</f>
        <v>https://tinyurl.com/yckhypnc</v>
      </c>
      <c r="DJ442" s="89" t="str">
        <f t="shared" si="254"/>
        <v>https://tinyurl.com/y8vkjsfl</v>
      </c>
      <c r="DK442" s="89" t="str">
        <f t="shared" si="255"/>
        <v>https://tinyurl.com/ybyl8rjn</v>
      </c>
      <c r="DL442" s="89" t="str">
        <f t="shared" si="256"/>
        <v>https://tinyurl.com/yckhypnc</v>
      </c>
      <c r="DM442" s="219" t="str">
        <f t="shared" si="257"/>
        <v>Blacklight 80</v>
      </c>
      <c r="DN442" s="89" t="str">
        <f t="shared" si="258"/>
        <v xml:space="preserve"> DynafitBlacklight 80172 Unisex</v>
      </c>
      <c r="DO442" s="221"/>
    </row>
    <row r="443" spans="2:119" ht="15.6" customHeight="1">
      <c r="B443" s="219" t="b">
        <f t="array" ref="B443">IF(OR(ISERROR(K443:P443)),FALSE,TRUE)</f>
        <v>1</v>
      </c>
      <c r="C443" s="43" t="b">
        <f>OR(BR443=Driver!$G$50,Data!BR43=Driver!$H$50)</f>
        <v>1</v>
      </c>
      <c r="D443" s="43" t="b">
        <f>OR(BV443=Driver!$G$51,BV443=Driver!$H$51)</f>
        <v>1</v>
      </c>
      <c r="E443" s="43" t="b">
        <f>AND(BX443&gt;Driver!$F$54,BX443&lt;Driver!$G$54)</f>
        <v>0</v>
      </c>
      <c r="F443" s="43" t="b">
        <f>CL443&gt;Driver!$F$56</f>
        <v>1</v>
      </c>
      <c r="G443" s="43" t="b">
        <f>AND(CB443&gt;Driver!$F$55,CB443&lt;Driver!$G$55)</f>
        <v>0</v>
      </c>
      <c r="H443" s="43" t="b">
        <f t="shared" si="222"/>
        <v>0</v>
      </c>
      <c r="I443" s="43">
        <f t="shared" si="223"/>
        <v>0</v>
      </c>
      <c r="J443" s="43" t="b">
        <f t="array" ref="J443">NOT(OR(($H$9:$H$1273=TRUE)*($I$9:$I$1273&gt;0)*($BT$9:$BT$1273=BT443)*($K$9:$K$1273&gt;K443)))</f>
        <v>1</v>
      </c>
      <c r="K443" s="72">
        <f t="shared" si="224"/>
        <v>0.82843205114893603</v>
      </c>
      <c r="L443" s="72">
        <f t="shared" si="225"/>
        <v>0.96947200778402998</v>
      </c>
      <c r="M443" s="72">
        <f t="shared" si="226"/>
        <v>0.68739209451384209</v>
      </c>
      <c r="N443" s="72">
        <f t="shared" si="227"/>
        <v>0.55637694350186151</v>
      </c>
      <c r="O443" s="72">
        <f t="shared" si="228"/>
        <v>0.66024006147591829</v>
      </c>
      <c r="P443" s="72">
        <f t="shared" si="229"/>
        <v>0.84555927856374624</v>
      </c>
      <c r="Q443" s="72"/>
      <c r="R443" s="72"/>
      <c r="S443" s="72">
        <f t="shared" si="230"/>
        <v>0.52105943683098332</v>
      </c>
      <c r="T443" s="72">
        <f t="shared" si="231"/>
        <v>0.53515337383300576</v>
      </c>
      <c r="U443" s="72">
        <f t="shared" si="232"/>
        <v>0.56161012380894038</v>
      </c>
      <c r="V443" s="72">
        <f t="shared" si="233"/>
        <v>0.52066130765071517</v>
      </c>
      <c r="W443" s="72">
        <f t="shared" si="234"/>
        <v>0.80447976878612715</v>
      </c>
      <c r="X443" s="72">
        <f t="shared" si="235"/>
        <v>3.0527992215970023E-2</v>
      </c>
      <c r="Y443" s="72">
        <f t="shared" si="236"/>
        <v>0.31260790548615797</v>
      </c>
      <c r="Z443" s="72">
        <f t="shared" si="237"/>
        <v>0.44362305649813849</v>
      </c>
      <c r="AA443" s="72">
        <f t="shared" si="238"/>
        <v>0.33975993852408171</v>
      </c>
      <c r="AB443" s="72">
        <f t="shared" si="239"/>
        <v>0.15444072143625381</v>
      </c>
      <c r="AC443" s="72"/>
      <c r="AD443" s="72"/>
      <c r="AE443" s="72">
        <f t="shared" si="240"/>
        <v>0.47894056316901668</v>
      </c>
      <c r="AF443" s="72">
        <f t="shared" si="241"/>
        <v>0.46484662616699424</v>
      </c>
      <c r="AG443" s="72">
        <f t="shared" si="242"/>
        <v>0.43838987619105962</v>
      </c>
      <c r="AH443" s="72">
        <f t="shared" si="243"/>
        <v>0.47933869234928478</v>
      </c>
      <c r="AI443" s="72">
        <f t="shared" si="244"/>
        <v>0.19552023121387282</v>
      </c>
      <c r="AJ443" s="72">
        <f>(AV443-Driver!$K$179)/(Driver!$L$179-Driver!$K$179)</f>
        <v>0.28474740149867045</v>
      </c>
      <c r="AK443" s="72">
        <f>(AW443-Driver!$K$180)/(Driver!$L$180-Driver!$K$180)</f>
        <v>0.42492435813071205</v>
      </c>
      <c r="AL443" s="72">
        <f>(AX443-Driver!$K$181)/(Driver!$L$181-Driver!$K$181)</f>
        <v>0.54531082021121868</v>
      </c>
      <c r="AM443" s="72">
        <f>(AY443-Driver!$K$182)/(Driver!$L$182-Driver!$K$182)</f>
        <v>0.10762508257296466</v>
      </c>
      <c r="AN443" s="72">
        <f>(AZ443-Driver!$K$183)/(Driver!$L$183-Driver!$K$183)</f>
        <v>0.40866013071895424</v>
      </c>
      <c r="AO443" s="72"/>
      <c r="AP443" s="72"/>
      <c r="AQ443" s="72">
        <f>(BC443-Driver!$K$188)/(Driver!$L$188-Driver!$K$188)</f>
        <v>0.14105943683098335</v>
      </c>
      <c r="AR443" s="72">
        <f>MIN((BD443-Driver!$K$189)/(Driver!$L$189-Driver!$K$189),100%)</f>
        <v>8.5153373833005794E-2</v>
      </c>
      <c r="AS443" s="72">
        <f>(BE443-Driver!$K$190)/(Driver!$L$190-Driver!$K$190)</f>
        <v>7.1610123808940412E-2</v>
      </c>
      <c r="AT443" s="72">
        <f>(BF443-Driver!$K$191)/(Driver!$L$191-Driver!$K$191)</f>
        <v>3.0661307650715251E-2</v>
      </c>
      <c r="AU443" s="72">
        <f>(BG443-Driver!$K$192)/(Driver!$L$192-Driver!$K$192)</f>
        <v>5.4479768786127168E-2</v>
      </c>
      <c r="AV443" s="70">
        <f t="shared" si="245"/>
        <v>5.9930809930809916</v>
      </c>
      <c r="AW443" s="70">
        <f t="shared" si="246"/>
        <v>43.284536534138233</v>
      </c>
      <c r="AX443" s="70">
        <f t="shared" si="247"/>
        <v>5.9077973819009681</v>
      </c>
      <c r="AY443" s="70">
        <f>IFERROR(Driver!$K$19/Data!BH443/Data!BI443*Data!BK443*Data!BL443,"")</f>
        <v>0.13176521329460084</v>
      </c>
      <c r="AZ443" s="70">
        <f t="shared" si="248"/>
        <v>37.244973938942664</v>
      </c>
      <c r="BA443" s="70"/>
      <c r="BB443" s="70"/>
      <c r="BC443" s="70">
        <f t="shared" si="249"/>
        <v>73.168510513526599</v>
      </c>
      <c r="BD443" s="70">
        <f t="shared" si="250"/>
        <v>9.256745585468515</v>
      </c>
      <c r="BE443" s="70">
        <f t="shared" si="251"/>
        <v>7.1775738113379742E-2</v>
      </c>
      <c r="BF443" s="70">
        <f t="shared" si="252"/>
        <v>3.4629792912708051</v>
      </c>
      <c r="BG443" s="70">
        <f t="shared" si="253"/>
        <v>0.20629515895953759</v>
      </c>
      <c r="BH443" s="67">
        <f>MAX((CE443-Driver!$F$200)/(Driver!$G$200-Driver!$F$200)*$BI$1,1)</f>
        <v>5.9077973819009681</v>
      </c>
      <c r="BI443" s="67">
        <f>MAX($BI$1*(BY443-Driver!$F$201)/(Driver!$G$201-Driver!$F$201),1)</f>
        <v>7.7215189873417724</v>
      </c>
      <c r="BJ443" s="67">
        <f>(CB443-Driver!$F$206)/(Driver!$G$206-Driver!$F$206)*$BI$1</f>
        <v>4.92063492063492</v>
      </c>
      <c r="BK443" s="67">
        <f>(CD443-Driver!$F$203)/(Driver!$G$203-Driver!$F$203)*$BI$1</f>
        <v>4.3577981651376145</v>
      </c>
      <c r="BL443" s="67">
        <f>MAX((CR443-Driver!$F$202)/(Driver!$G$202-Driver!$F$202)*$BI$1,1)</f>
        <v>6.8965517241379315</v>
      </c>
      <c r="BM443" s="67">
        <f>MAX((CH443-Driver!$F$204)/(Driver!$G$204-Driver!$F$204)*$BI$1,1)</f>
        <v>4.8717948717948714</v>
      </c>
      <c r="BN443" s="67">
        <f>(CI443-Driver!$F$205)/(Driver!$G$205-Driver!$F$205)*$BI$1</f>
        <v>4.8235294117647056</v>
      </c>
      <c r="BO443" s="67">
        <f>(CK443-Driver!$F$207)/(Driver!$G$207-Driver!$F$207)*$BI$1</f>
        <v>1.2719751809720785</v>
      </c>
      <c r="BP443" s="67">
        <f>(CM443-Driver!$F$208)/(Driver!$G$208-Driver!$F$208)*$BI$1</f>
        <v>2.411111111111111</v>
      </c>
      <c r="BQ443" s="67">
        <f>(CL443-Driver!$F$209)/(Driver!$G$209-Driver!$F$209)*$BI$1</f>
        <v>5.9375</v>
      </c>
      <c r="BR443" s="28" t="s">
        <v>155</v>
      </c>
      <c r="BS443" s="8" t="s">
        <v>182</v>
      </c>
      <c r="BT443" s="9" t="s">
        <v>505</v>
      </c>
      <c r="BU443" s="10">
        <v>177</v>
      </c>
      <c r="BV443" s="9" t="s">
        <v>158</v>
      </c>
      <c r="BW443" s="10">
        <v>177</v>
      </c>
      <c r="BX443" s="10">
        <v>175.2</v>
      </c>
      <c r="BY443" s="10">
        <v>130</v>
      </c>
      <c r="BZ443" s="10">
        <v>146</v>
      </c>
      <c r="CA443" s="10">
        <v>125</v>
      </c>
      <c r="CB443" s="10">
        <v>95</v>
      </c>
      <c r="CC443" s="10">
        <v>116</v>
      </c>
      <c r="CD443" s="10">
        <v>18.899999999999999</v>
      </c>
      <c r="CE443" s="10">
        <v>1938</v>
      </c>
      <c r="CF443" s="10">
        <v>0.95</v>
      </c>
      <c r="CG443" s="10">
        <v>1845</v>
      </c>
      <c r="CH443" s="10">
        <v>215</v>
      </c>
      <c r="CI443" s="10">
        <v>115</v>
      </c>
      <c r="CJ443" s="10">
        <v>45</v>
      </c>
      <c r="CK443" s="10">
        <v>233</v>
      </c>
      <c r="CL443" s="10">
        <v>38</v>
      </c>
      <c r="CM443" s="10">
        <v>217</v>
      </c>
      <c r="CN443" s="10">
        <v>0.85199999999999998</v>
      </c>
      <c r="CO443" s="10">
        <v>155</v>
      </c>
      <c r="CP443" s="10">
        <v>138</v>
      </c>
      <c r="CQ443" s="10">
        <v>78</v>
      </c>
      <c r="CR443" s="10">
        <v>9</v>
      </c>
      <c r="CS443" s="10">
        <v>5.2</v>
      </c>
      <c r="CT443" s="9" t="s">
        <v>188</v>
      </c>
      <c r="CU443" s="9" t="s">
        <v>184</v>
      </c>
      <c r="CV443" s="10"/>
      <c r="CW443" s="10"/>
      <c r="CX443" t="str">
        <f>INDEX('Data_Price '!AG$2:AG$1266,MATCH(Data!$DN443,'Data_Price '!$AT$2:$AT$1266,0))</f>
        <v>Armada ARV 96 Skis 2022</v>
      </c>
      <c r="CY443" t="str">
        <f>INDEX('Data_Price '!AH$2:AH$1266,MATCH(Data!$DN443,'Data_Price '!$AT$2:$AT$1266,0))</f>
        <v>! OutdoorXL.com</v>
      </c>
      <c r="CZ443">
        <f>INDEX('Data_Price '!AI$2:AI$1266,MATCH(Data!$DN443,'Data_Price '!$AT$2:$AT$1266,0))</f>
        <v>374.95</v>
      </c>
      <c r="DA443" t="str">
        <f>INDEX('Data_Price '!AJ$2:AJ$1266,MATCH(Data!$DN443,'Data_Price '!$AT$2:$AT$1266,0))</f>
        <v>https://tinyurl.com/ybjn6uh4</v>
      </c>
      <c r="DB443" t="str">
        <f>INDEX('Data_Price '!AK$2:AK$1266,MATCH(Data!$DN443,'Data_Price '!$AT$2:$AT$1266,0))</f>
        <v>Armada ARV 96 Skis 2022</v>
      </c>
      <c r="DC443" t="str">
        <f>INDEX('Data_Price '!AL$2:AL$1266,MATCH(Data!$DN443,'Data_Price '!$AT$2:$AT$1266,0))</f>
        <v>sunandski.com</v>
      </c>
      <c r="DD443">
        <f>INDEX('Data_Price '!AM$2:AM$1266,MATCH(Data!$DN443,'Data_Price '!$AT$2:$AT$1266,0))</f>
        <v>399.93</v>
      </c>
      <c r="DE443" t="str">
        <f>INDEX('Data_Price '!AN$2:AN$1266,MATCH(Data!$DN443,'Data_Price '!$AT$2:$AT$1266,0))</f>
        <v>https://www.google.com/url?q=https://www.sunandski.com/p/34140019500002215/Armada-Mens-ARV-96-Skis-22%3Fvpc%3D34140019500002215-000000177&amp;sa=U&amp;ved=0ahUKEwjwmKePve72AhV2JzQIHXD-CJsQ2ykIHA&amp;usg=AOvVaw2miGIYhvceFi972W6ytFjY</v>
      </c>
      <c r="DF443" t="str">
        <f>INDEX('Data_Price '!AO$2:AO$1266,MATCH(Data!$DN443,'Data_Price '!$AT$2:$AT$1266,0))</f>
        <v>Armada ARV 96 Skis 2022</v>
      </c>
      <c r="DG443" t="str">
        <f>INDEX('Data_Price '!AP$2:AP$1266,MATCH(Data!$DN443,'Data_Price '!$AT$2:$AT$1266,0))</f>
        <v>Ski Pro  - Snow Ski &amp; Snowboard</v>
      </c>
      <c r="DH443">
        <f>INDEX('Data_Price '!AQ$2:AQ$1266,MATCH(Data!$DN443,'Data_Price '!$AT$2:$AT$1266,0))</f>
        <v>399.95</v>
      </c>
      <c r="DI443" t="str">
        <f>INDEX('Data_Price '!AR$2:AR$1266,MATCH(Data!$DN443,'Data_Price '!$AT$2:$AT$1266,0))</f>
        <v>https://tinyurl.com/y9mq4zvw</v>
      </c>
      <c r="DJ443" s="89" t="str">
        <f t="shared" si="254"/>
        <v>https://tinyurl.com/ybjn6uh4</v>
      </c>
      <c r="DK443" s="89" t="str">
        <f t="shared" si="255"/>
        <v>https://www.google.com/url?q=https://www.sunandski.com/p/34140019500002215/Armada-Mens-ARV-96-Skis-22%3Fvpc%3D34140019500002215-000000177&amp;sa=U&amp;ved=0ahUKEwjwmKePve72AhV2JzQIHXD-CJsQ2ykIHA&amp;usg=AOvVaw2miGIYhvceFi972W6ytFjY</v>
      </c>
      <c r="DL443" s="89" t="str">
        <f t="shared" si="256"/>
        <v>https://tinyurl.com/y9mq4zvw</v>
      </c>
      <c r="DM443" s="219" t="str">
        <f t="shared" si="257"/>
        <v>ARV 96</v>
      </c>
      <c r="DN443" s="89" t="str">
        <f t="shared" si="258"/>
        <v xml:space="preserve"> ArmadaARV 96177 Unisex</v>
      </c>
      <c r="DO443" s="221" t="s">
        <v>506</v>
      </c>
    </row>
    <row r="444" spans="2:119" ht="15.6" customHeight="1">
      <c r="B444" s="219" t="b">
        <f t="array" ref="B444">IF(OR(ISERROR(K444:P444)),FALSE,TRUE)</f>
        <v>1</v>
      </c>
      <c r="C444" s="43" t="b">
        <f>OR(BR444=Driver!$G$50,Data!BR529=Driver!$H$50)</f>
        <v>1</v>
      </c>
      <c r="D444" s="43" t="b">
        <f>OR(BV444=Driver!$G$51,BV444=Driver!$H$51)</f>
        <v>1</v>
      </c>
      <c r="E444" s="43" t="b">
        <f>AND(BX444&gt;Driver!$F$54,BX444&lt;Driver!$G$54)</f>
        <v>0</v>
      </c>
      <c r="F444" s="43" t="b">
        <f>CL444&gt;Driver!$F$56</f>
        <v>1</v>
      </c>
      <c r="G444" s="43" t="b">
        <f>AND(CB444&gt;Driver!$F$55,CB444&lt;Driver!$G$55)</f>
        <v>0</v>
      </c>
      <c r="H444" s="43" t="b">
        <f t="shared" si="222"/>
        <v>0</v>
      </c>
      <c r="I444" s="43">
        <f t="shared" si="223"/>
        <v>0</v>
      </c>
      <c r="J444" s="43" t="b">
        <f t="array" ref="J444">NOT(OR(($H$9:$H$1273=TRUE)*($I$9:$I$1273&gt;0)*($BT$9:$BT$1273=BT444)*($K$9:$K$1273&gt;K444)))</f>
        <v>1</v>
      </c>
      <c r="K444" s="72">
        <f t="shared" si="224"/>
        <v>0.83127317769652542</v>
      </c>
      <c r="L444" s="72">
        <f t="shared" si="225"/>
        <v>0.90144894943134357</v>
      </c>
      <c r="M444" s="72">
        <f t="shared" si="226"/>
        <v>0.76109740596170716</v>
      </c>
      <c r="N444" s="72">
        <f t="shared" si="227"/>
        <v>0.64744125767374539</v>
      </c>
      <c r="O444" s="72">
        <f t="shared" si="228"/>
        <v>0.64080566361172342</v>
      </c>
      <c r="P444" s="72">
        <f t="shared" si="229"/>
        <v>0.99504529659965246</v>
      </c>
      <c r="Q444" s="72"/>
      <c r="R444" s="72"/>
      <c r="S444" s="72">
        <f t="shared" si="230"/>
        <v>0.45255094610083435</v>
      </c>
      <c r="T444" s="72">
        <f t="shared" si="231"/>
        <v>0.54141894991980943</v>
      </c>
      <c r="U444" s="72">
        <f t="shared" si="232"/>
        <v>0.55060511126240885</v>
      </c>
      <c r="V444" s="72">
        <f t="shared" si="233"/>
        <v>0.52978130202696305</v>
      </c>
      <c r="W444" s="72">
        <f t="shared" si="234"/>
        <v>0.835846116970278</v>
      </c>
      <c r="X444" s="72">
        <f t="shared" si="235"/>
        <v>9.8551050568656429E-2</v>
      </c>
      <c r="Y444" s="72">
        <f t="shared" si="236"/>
        <v>0.23890259403829286</v>
      </c>
      <c r="Z444" s="72">
        <f t="shared" si="237"/>
        <v>0.35255874232625456</v>
      </c>
      <c r="AA444" s="72">
        <f t="shared" si="238"/>
        <v>0.35919433638827652</v>
      </c>
      <c r="AB444" s="72">
        <f t="shared" si="239"/>
        <v>4.9547034003475099E-3</v>
      </c>
      <c r="AC444" s="72"/>
      <c r="AD444" s="72"/>
      <c r="AE444" s="72">
        <f t="shared" si="240"/>
        <v>0.54744905389916565</v>
      </c>
      <c r="AF444" s="72">
        <f t="shared" si="241"/>
        <v>0.45858105008019057</v>
      </c>
      <c r="AG444" s="72">
        <f t="shared" si="242"/>
        <v>0.4493948887375912</v>
      </c>
      <c r="AH444" s="72">
        <f t="shared" si="243"/>
        <v>0.470218697973037</v>
      </c>
      <c r="AI444" s="72">
        <f t="shared" si="244"/>
        <v>0.16415388302972198</v>
      </c>
      <c r="AJ444" s="72">
        <f>(AV444-Driver!$K$179)/(Driver!$L$179-Driver!$K$179)</f>
        <v>0.155668358714044</v>
      </c>
      <c r="AK444" s="72">
        <f>(AW444-Driver!$K$180)/(Driver!$L$180-Driver!$K$180)</f>
        <v>0.26721114306924554</v>
      </c>
      <c r="AL444" s="72">
        <f>(AX444-Driver!$K$181)/(Driver!$L$181-Driver!$K$181)</f>
        <v>0.45424650603933475</v>
      </c>
      <c r="AM444" s="72">
        <f>(AY444-Driver!$K$182)/(Driver!$L$182-Driver!$K$182)</f>
        <v>8.8190684708769854E-2</v>
      </c>
      <c r="AN444" s="72">
        <f>(AZ444-Driver!$K$183)/(Driver!$L$183-Driver!$K$183)</f>
        <v>0.24926470588235292</v>
      </c>
      <c r="AO444" s="72"/>
      <c r="AP444" s="72"/>
      <c r="AQ444" s="72">
        <f>(BC444-Driver!$K$188)/(Driver!$L$188-Driver!$K$188)</f>
        <v>7.2550946100834388E-2</v>
      </c>
      <c r="AR444" s="72">
        <f>MIN((BD444-Driver!$K$189)/(Driver!$L$189-Driver!$K$189),100%)</f>
        <v>9.1418949919809478E-2</v>
      </c>
      <c r="AS444" s="72">
        <f>(BE444-Driver!$K$190)/(Driver!$L$190-Driver!$K$190)</f>
        <v>6.0605111262408806E-2</v>
      </c>
      <c r="AT444" s="72">
        <f>(BF444-Driver!$K$191)/(Driver!$L$191-Driver!$K$191)</f>
        <v>3.978130202696302E-2</v>
      </c>
      <c r="AU444" s="72">
        <f>(BG444-Driver!$K$192)/(Driver!$L$192-Driver!$K$192)</f>
        <v>8.5846116970278025E-2</v>
      </c>
      <c r="AV444" s="70">
        <f t="shared" si="245"/>
        <v>3.2763532763532766</v>
      </c>
      <c r="AW444" s="70">
        <f t="shared" si="246"/>
        <v>27.913986245149331</v>
      </c>
      <c r="AX444" s="70">
        <f t="shared" si="247"/>
        <v>5.0882185543540128</v>
      </c>
      <c r="AY444" s="70">
        <f>IFERROR(Driver!$K$19/Data!BH444/Data!BI444*Data!BK444*Data!BL444,"")</f>
        <v>0.10797171164416838</v>
      </c>
      <c r="AZ444" s="70">
        <f t="shared" si="248"/>
        <v>22.717795979151152</v>
      </c>
      <c r="BA444" s="70"/>
      <c r="BB444" s="70"/>
      <c r="BC444" s="70">
        <f t="shared" si="249"/>
        <v>37.632680108497468</v>
      </c>
      <c r="BD444" s="70">
        <f t="shared" si="250"/>
        <v>9.8112379672067522</v>
      </c>
      <c r="BE444" s="70">
        <f t="shared" si="251"/>
        <v>6.0772688737219742E-2</v>
      </c>
      <c r="BF444" s="70">
        <f t="shared" si="252"/>
        <v>4.4930185844812982</v>
      </c>
      <c r="BG444" s="70">
        <f t="shared" si="253"/>
        <v>0.32506816275167782</v>
      </c>
      <c r="BH444" s="67">
        <f>MAX((CE444-Driver!$F$200)/(Driver!$G$200-Driver!$F$200)*$BI$1,1)</f>
        <v>5.0882185543540128</v>
      </c>
      <c r="BI444" s="67">
        <f>MAX($BI$1*(BY444-Driver!$F$201)/(Driver!$G$201-Driver!$F$201),1)</f>
        <v>7.1518987341772151</v>
      </c>
      <c r="BJ444" s="67">
        <f>(CB444-Driver!$F$206)/(Driver!$G$206-Driver!$F$206)*$BI$1</f>
        <v>3.6507936507936507</v>
      </c>
      <c r="BK444" s="67">
        <f>(CD444-Driver!$F$203)/(Driver!$G$203-Driver!$F$203)*$BI$1</f>
        <v>3.1651376146788994</v>
      </c>
      <c r="BL444" s="67">
        <f>MAX((CR444-Driver!$F$202)/(Driver!$G$202-Driver!$F$202)*$BI$1,1)</f>
        <v>6.2068965517241379</v>
      </c>
      <c r="BM444" s="67">
        <f>MAX((CH444-Driver!$F$204)/(Driver!$G$204-Driver!$F$204)*$BI$1,1)</f>
        <v>3.5897435897435899</v>
      </c>
      <c r="BN444" s="67">
        <f>(CI444-Driver!$F$205)/(Driver!$G$205-Driver!$F$205)*$BI$1</f>
        <v>3.1764705882352939</v>
      </c>
      <c r="BO444" s="67">
        <f>(CK444-Driver!$F$207)/(Driver!$G$207-Driver!$F$207)*$BI$1</f>
        <v>1.7269906928645296</v>
      </c>
      <c r="BP444" s="67">
        <f>(CM444-Driver!$F$208)/(Driver!$G$208-Driver!$F$208)*$BI$1</f>
        <v>2.2555555555555555</v>
      </c>
      <c r="BQ444" s="67">
        <f>(CL444-Driver!$F$209)/(Driver!$G$209-Driver!$F$209)*$BI$1</f>
        <v>5.9375</v>
      </c>
      <c r="BR444" s="28" t="s">
        <v>155</v>
      </c>
      <c r="BS444" s="8" t="s">
        <v>205</v>
      </c>
      <c r="BT444" s="9" t="s">
        <v>535</v>
      </c>
      <c r="BU444" s="10">
        <v>171</v>
      </c>
      <c r="BV444" s="9" t="s">
        <v>158</v>
      </c>
      <c r="BW444" s="10">
        <v>171</v>
      </c>
      <c r="BX444" s="10">
        <v>169.3</v>
      </c>
      <c r="BY444" s="10">
        <v>121</v>
      </c>
      <c r="BZ444" s="10">
        <v>142</v>
      </c>
      <c r="CA444" s="10">
        <v>120</v>
      </c>
      <c r="CB444" s="10">
        <v>87</v>
      </c>
      <c r="CC444" s="10">
        <v>112</v>
      </c>
      <c r="CD444" s="10">
        <v>16.3</v>
      </c>
      <c r="CE444" s="10">
        <v>1794</v>
      </c>
      <c r="CF444" s="10">
        <v>0.93</v>
      </c>
      <c r="CG444" s="10">
        <v>1674</v>
      </c>
      <c r="CH444" s="10">
        <v>185</v>
      </c>
      <c r="CI444" s="10">
        <v>87</v>
      </c>
      <c r="CJ444" s="10">
        <v>53</v>
      </c>
      <c r="CK444" s="10">
        <v>277</v>
      </c>
      <c r="CL444" s="10">
        <v>38</v>
      </c>
      <c r="CM444" s="10">
        <v>203</v>
      </c>
      <c r="CN444" s="10">
        <v>0.72599999999999998</v>
      </c>
      <c r="CO444" s="10">
        <v>147</v>
      </c>
      <c r="CP444" s="10">
        <v>122</v>
      </c>
      <c r="CQ444" s="10">
        <v>129</v>
      </c>
      <c r="CR444" s="10">
        <v>7</v>
      </c>
      <c r="CS444" s="10">
        <v>7.1</v>
      </c>
      <c r="CT444" s="9" t="s">
        <v>188</v>
      </c>
      <c r="CU444" s="10"/>
      <c r="CV444" s="10"/>
      <c r="CW444" s="10"/>
      <c r="CX444" t="str">
        <f>INDEX('Data_Price '!AG$2:AG$1266,MATCH(Data!$DN444,'Data_Price '!$AT$2:$AT$1266,0))</f>
        <v>Faction - Prodigy 1.0x - 171</v>
      </c>
      <c r="CY444" t="str">
        <f>INDEX('Data_Price '!AH$2:AH$1266,MATCH(Data!$DN444,'Data_Price '!$AT$2:$AT$1266,0))</f>
        <v>Blue Tomato</v>
      </c>
      <c r="CZ444">
        <f>INDEX('Data_Price '!AI$2:AI$1266,MATCH(Data!$DN444,'Data_Price '!$AT$2:$AT$1266,0))</f>
        <v>369.45</v>
      </c>
      <c r="DA444" t="str">
        <f>INDEX('Data_Price '!AJ$2:AJ$1266,MATCH(Data!$DN444,'Data_Price '!$AT$2:$AT$1266,0))</f>
        <v>https://tinyurl.com/y848klzv</v>
      </c>
      <c r="DB444" t="str">
        <f>INDEX('Data_Price '!AK$2:AK$1266,MATCH(Data!$DN444,'Data_Price '!$AT$2:$AT$1266,0))</f>
        <v>19-20 Faction Prodigy 2.0  Men's Demo Skis W/binding Size 171cm</v>
      </c>
      <c r="DC444" t="str">
        <f>INDEX('Data_Price '!AL$2:AL$1266,MATCH(Data!$DN444,'Data_Price '!$AT$2:$AT$1266,0))</f>
        <v>eBay - demo-skis</v>
      </c>
      <c r="DD444">
        <f>INDEX('Data_Price '!AM$2:AM$1266,MATCH(Data!$DN444,'Data_Price '!$AT$2:$AT$1266,0))</f>
        <v>499</v>
      </c>
      <c r="DE444" t="str">
        <f>INDEX('Data_Price '!AN$2:AN$1266,MATCH(Data!$DN444,'Data_Price '!$AT$2:$AT$1266,0))</f>
        <v>https://tinyurl.com/y7hwxc64</v>
      </c>
      <c r="DF444" t="str">
        <f>INDEX('Data_Price '!AO$2:AO$1266,MATCH(Data!$DN444,'Data_Price '!$AT$2:$AT$1266,0))</f>
        <v>Faction Ct 1.0 Skis</v>
      </c>
      <c r="DG444" t="str">
        <f>INDEX('Data_Price '!AP$2:AP$1266,MATCH(Data!$DN444,'Data_Price '!$AT$2:$AT$1266,0))</f>
        <v>The-House.com</v>
      </c>
      <c r="DH444">
        <f>INDEX('Data_Price '!AQ$2:AQ$1266,MATCH(Data!$DN444,'Data_Price '!$AT$2:$AT$1266,0))</f>
        <v>549</v>
      </c>
      <c r="DI444" t="str">
        <f>INDEX('Data_Price '!AR$2:AR$1266,MATCH(Data!$DN444,'Data_Price '!$AT$2:$AT$1266,0))</f>
        <v>https://tinyurl.com/ybzx9dcf</v>
      </c>
      <c r="DJ444" s="89" t="str">
        <f t="shared" si="254"/>
        <v>https://tinyurl.com/y848klzv</v>
      </c>
      <c r="DK444" s="89" t="str">
        <f t="shared" si="255"/>
        <v>https://tinyurl.com/y7hwxc64</v>
      </c>
      <c r="DL444" s="89" t="str">
        <f t="shared" si="256"/>
        <v>https://tinyurl.com/ybzx9dcf</v>
      </c>
      <c r="DM444" s="219" t="str">
        <f t="shared" si="257"/>
        <v>Prodigy 1.0</v>
      </c>
      <c r="DN444" s="89" t="str">
        <f t="shared" si="258"/>
        <v xml:space="preserve"> FactionProdigy 1.0171 Unisex</v>
      </c>
      <c r="DO444" s="221"/>
    </row>
    <row r="445" spans="2:119" ht="15.6" customHeight="1">
      <c r="B445" s="219" t="b">
        <f t="array" ref="B445">IF(OR(ISERROR(K445:P445)),FALSE,TRUE)</f>
        <v>1</v>
      </c>
      <c r="C445" s="43" t="b">
        <f>OR(BR445=Driver!$G$50,Data!BR1057=Driver!$H$50)</f>
        <v>1</v>
      </c>
      <c r="D445" s="43" t="b">
        <f>OR(BV445=Driver!$G$51,BV445=Driver!$H$51)</f>
        <v>1</v>
      </c>
      <c r="E445" s="43" t="b">
        <f>AND(BX445&gt;Driver!$F$54,BX445&lt;Driver!$G$54)</f>
        <v>0</v>
      </c>
      <c r="F445" s="43" t="b">
        <f>CL445&gt;Driver!$F$56</f>
        <v>1</v>
      </c>
      <c r="G445" s="43" t="b">
        <f>AND(CB445&gt;Driver!$F$55,CB445&lt;Driver!$G$55)</f>
        <v>0</v>
      </c>
      <c r="H445" s="43" t="b">
        <f t="shared" si="222"/>
        <v>0</v>
      </c>
      <c r="I445" s="43">
        <f t="shared" si="223"/>
        <v>0</v>
      </c>
      <c r="J445" s="43" t="b">
        <f t="array" ref="J445">NOT(OR(($H$9:$H$1273=TRUE)*($I$9:$I$1273&gt;0)*($BT$9:$BT$1273=BT445)*($K$9:$K$1273&gt;K445)))</f>
        <v>1</v>
      </c>
      <c r="K445" s="72">
        <f t="shared" si="224"/>
        <v>0.78790032674703636</v>
      </c>
      <c r="L445" s="72">
        <f t="shared" si="225"/>
        <v>0.80669429630105594</v>
      </c>
      <c r="M445" s="72">
        <f t="shared" si="226"/>
        <v>0.76910635719301668</v>
      </c>
      <c r="N445" s="72">
        <f t="shared" si="227"/>
        <v>0.7005621076073445</v>
      </c>
      <c r="O445" s="72">
        <f t="shared" si="228"/>
        <v>0.62895022946355628</v>
      </c>
      <c r="P445" s="72">
        <f t="shared" si="229"/>
        <v>0.97780673450814926</v>
      </c>
      <c r="Q445" s="72"/>
      <c r="R445" s="72"/>
      <c r="S445" s="72">
        <f t="shared" si="230"/>
        <v>0.45979633800813191</v>
      </c>
      <c r="T445" s="72">
        <f t="shared" si="231"/>
        <v>0.89361789074863573</v>
      </c>
      <c r="U445" s="72">
        <f t="shared" si="232"/>
        <v>0.51</v>
      </c>
      <c r="V445" s="72">
        <f t="shared" si="233"/>
        <v>0.49105610960810198</v>
      </c>
      <c r="W445" s="72">
        <f t="shared" si="234"/>
        <v>0.75997354497354497</v>
      </c>
      <c r="X445" s="72">
        <f t="shared" si="235"/>
        <v>0.19330570369894409</v>
      </c>
      <c r="Y445" s="72">
        <f t="shared" si="236"/>
        <v>0.23089364280698332</v>
      </c>
      <c r="Z445" s="72">
        <f t="shared" si="237"/>
        <v>0.29943789239265556</v>
      </c>
      <c r="AA445" s="72">
        <f t="shared" si="238"/>
        <v>0.37104977053644372</v>
      </c>
      <c r="AB445" s="72">
        <f t="shared" si="239"/>
        <v>2.2193265491850744E-2</v>
      </c>
      <c r="AC445" s="72"/>
      <c r="AD445" s="72"/>
      <c r="AE445" s="72">
        <f t="shared" si="240"/>
        <v>0.54020366199186809</v>
      </c>
      <c r="AF445" s="72">
        <f t="shared" si="241"/>
        <v>0.10638210925136427</v>
      </c>
      <c r="AG445" s="72">
        <f t="shared" si="242"/>
        <v>0.49</v>
      </c>
      <c r="AH445" s="72">
        <f t="shared" si="243"/>
        <v>0.50894389039189802</v>
      </c>
      <c r="AI445" s="72">
        <f t="shared" si="244"/>
        <v>0.24002645502645503</v>
      </c>
      <c r="AJ445" s="72">
        <f>(AV445-Driver!$K$179)/(Driver!$L$179-Driver!$K$179)</f>
        <v>6.0913705583756333E-2</v>
      </c>
      <c r="AK445" s="72">
        <f>(AW445-Driver!$K$180)/(Driver!$L$180-Driver!$K$180)</f>
        <v>0.24603593462259185</v>
      </c>
      <c r="AL445" s="72">
        <f>(AX445-Driver!$K$181)/(Driver!$L$181-Driver!$K$181)</f>
        <v>0.40112565610573575</v>
      </c>
      <c r="AM445" s="72">
        <f>(AY445-Driver!$K$182)/(Driver!$L$182-Driver!$K$182)</f>
        <v>7.6335250560602655E-2</v>
      </c>
      <c r="AN445" s="72">
        <f>(AZ445-Driver!$K$183)/(Driver!$L$183-Driver!$K$183)</f>
        <v>0.23202614379084968</v>
      </c>
      <c r="AO445" s="72"/>
      <c r="AP445" s="72"/>
      <c r="AQ445" s="72">
        <f>(BC445-Driver!$K$188)/(Driver!$L$188-Driver!$K$188)</f>
        <v>7.9796338008131934E-2</v>
      </c>
      <c r="AR445" s="72">
        <f>MIN((BD445-Driver!$K$189)/(Driver!$L$189-Driver!$K$189),100%)</f>
        <v>0.44361789074863578</v>
      </c>
      <c r="AS445" s="72">
        <f>(BE445-Driver!$K$190)/(Driver!$L$190-Driver!$K$190)</f>
        <v>1</v>
      </c>
      <c r="AT445" s="72">
        <f>(BF445-Driver!$K$191)/(Driver!$L$191-Driver!$K$191)</f>
        <v>1.0561096081020238E-3</v>
      </c>
      <c r="AU445" s="72">
        <f>(BG445-Driver!$K$192)/(Driver!$L$192-Driver!$K$192)</f>
        <v>9.9735449735449729E-3</v>
      </c>
      <c r="AV445" s="70">
        <f t="shared" si="245"/>
        <v>1.2820512820512819</v>
      </c>
      <c r="AW445" s="70">
        <f t="shared" si="246"/>
        <v>25.850274550588644</v>
      </c>
      <c r="AX445" s="70">
        <f t="shared" si="247"/>
        <v>4.6101309049516219</v>
      </c>
      <c r="AY445" s="70">
        <f>IFERROR(Driver!$K$19/Data!BH445/Data!BI445*Data!BK445*Data!BL445,"")</f>
        <v>9.3457122926670369E-2</v>
      </c>
      <c r="AZ445" s="70">
        <f t="shared" si="248"/>
        <v>21.14668652271035</v>
      </c>
      <c r="BA445" s="70"/>
      <c r="BB445" s="70"/>
      <c r="BC445" s="70">
        <f t="shared" si="249"/>
        <v>41.390915259960074</v>
      </c>
      <c r="BD445" s="70">
        <f t="shared" si="250"/>
        <v>40.980220170962284</v>
      </c>
      <c r="BE445" s="70">
        <f t="shared" si="251"/>
        <v>1</v>
      </c>
      <c r="BF445" s="70">
        <f t="shared" si="252"/>
        <v>0.11928016064520715</v>
      </c>
      <c r="BG445" s="70">
        <f t="shared" si="253"/>
        <v>3.7766203703703705E-2</v>
      </c>
      <c r="BH445" s="67">
        <f>MAX((CE445-Driver!$F$200)/(Driver!$G$200-Driver!$F$200)*$BI$1,1)</f>
        <v>4.6101309049516219</v>
      </c>
      <c r="BI445" s="67">
        <f>MAX($BI$1*(BY445-Driver!$F$201)/(Driver!$G$201-Driver!$F$201),1)</f>
        <v>8.9873417721518987</v>
      </c>
      <c r="BJ445" s="67">
        <f>(CB445-Driver!$F$206)/(Driver!$G$206-Driver!$F$206)*$BI$1</f>
        <v>1.4285714285714284</v>
      </c>
      <c r="BK445" s="67">
        <f>(CD445-Driver!$F$203)/(Driver!$G$203-Driver!$F$203)*$BI$1</f>
        <v>2.3394495412844036</v>
      </c>
      <c r="BL445" s="67">
        <f>MAX((CR445-Driver!$F$202)/(Driver!$G$202-Driver!$F$202)*$BI$1,1)</f>
        <v>8.2758620689655178</v>
      </c>
      <c r="BM445" s="67">
        <f>MAX((CH445-Driver!$F$204)/(Driver!$G$204-Driver!$F$204)*$BI$1,1)</f>
        <v>3.5897435897435899</v>
      </c>
      <c r="BN445" s="67">
        <f>(CI445-Driver!$F$205)/(Driver!$G$205-Driver!$F$205)*$BI$1</f>
        <v>2.3529411764705883</v>
      </c>
      <c r="BO445" s="67">
        <f>(CK445-Driver!$F$207)/(Driver!$G$207-Driver!$F$207)*$BI$1</f>
        <v>0.35160289555325747</v>
      </c>
      <c r="BP445" s="67">
        <f>(CM445-Driver!$F$208)/(Driver!$G$208-Driver!$F$208)*$BI$1</f>
        <v>0.55555555555555558</v>
      </c>
      <c r="BQ445" s="67">
        <f>(CL445-Driver!$F$209)/(Driver!$G$209-Driver!$F$209)*$BI$1</f>
        <v>0.625</v>
      </c>
      <c r="BR445" s="28" t="s">
        <v>155</v>
      </c>
      <c r="BS445" s="8" t="s">
        <v>172</v>
      </c>
      <c r="BT445" s="9" t="s">
        <v>600</v>
      </c>
      <c r="BU445" s="10">
        <v>170</v>
      </c>
      <c r="BV445" s="9" t="s">
        <v>158</v>
      </c>
      <c r="BW445" s="10">
        <v>170</v>
      </c>
      <c r="BX445" s="10">
        <v>169.6</v>
      </c>
      <c r="BY445" s="10">
        <v>150</v>
      </c>
      <c r="BZ445" s="10">
        <v>157</v>
      </c>
      <c r="CA445" s="10">
        <v>122</v>
      </c>
      <c r="CB445" s="10">
        <v>73</v>
      </c>
      <c r="CC445" s="10">
        <v>108</v>
      </c>
      <c r="CD445" s="10">
        <v>14.5</v>
      </c>
      <c r="CE445" s="10">
        <v>1710</v>
      </c>
      <c r="CF445" s="10">
        <v>0.88</v>
      </c>
      <c r="CG445" s="10">
        <v>1499</v>
      </c>
      <c r="CH445" s="10">
        <v>185</v>
      </c>
      <c r="CI445" s="10">
        <v>73</v>
      </c>
      <c r="CJ445" s="10">
        <v>35</v>
      </c>
      <c r="CK445" s="10">
        <v>144</v>
      </c>
      <c r="CL445" s="10">
        <v>4</v>
      </c>
      <c r="CM445" s="10">
        <v>50</v>
      </c>
      <c r="CN445" s="10">
        <v>0.123</v>
      </c>
      <c r="CO445" s="10">
        <v>71</v>
      </c>
      <c r="CP445" s="10">
        <v>60</v>
      </c>
      <c r="CQ445" s="10">
        <v>74</v>
      </c>
      <c r="CR445" s="10">
        <v>13</v>
      </c>
      <c r="CS445" s="10">
        <v>9.9</v>
      </c>
      <c r="CT445" s="9" t="s">
        <v>349</v>
      </c>
      <c r="CU445" s="10"/>
      <c r="CV445" s="10"/>
      <c r="CW445" s="10"/>
      <c r="CX445" t="str">
        <f>INDEX('Data_Price '!AG$2:AG$1266,MATCH(Data!$DN445,'Data_Price '!$AT$2:$AT$1266,0))</f>
        <v>Rossignol React R2F - 170</v>
      </c>
      <c r="CY445" t="str">
        <f>INDEX('Data_Price '!AH$2:AH$1266,MATCH(Data!$DN445,'Data_Price '!$AT$2:$AT$1266,0))</f>
        <v>Backpacking United</v>
      </c>
      <c r="CZ445">
        <f>INDEX('Data_Price '!AI$2:AI$1266,MATCH(Data!$DN445,'Data_Price '!$AT$2:$AT$1266,0))</f>
        <v>168.09</v>
      </c>
      <c r="DA445" t="str">
        <f>INDEX('Data_Price '!AJ$2:AJ$1266,MATCH(Data!$DN445,'Data_Price '!$AT$2:$AT$1266,0))</f>
        <v>https://tinyurl.com/y7sfk7yx</v>
      </c>
      <c r="DB445" t="str">
        <f>INDEX('Data_Price '!AK$2:AK$1266,MATCH(Data!$DN445,'Data_Price '!$AT$2:$AT$1266,0))</f>
        <v>Rossignol React 2/XP 10 GW RTL Black</v>
      </c>
      <c r="DC445" t="str">
        <f>INDEX('Data_Price '!AL$2:AL$1266,MATCH(Data!$DN445,'Data_Price '!$AT$2:$AT$1266,0))</f>
        <v>Spoke-N-Sport</v>
      </c>
      <c r="DD445">
        <f>INDEX('Data_Price '!AM$2:AM$1266,MATCH(Data!$DN445,'Data_Price '!$AT$2:$AT$1266,0))</f>
        <v>279.99</v>
      </c>
      <c r="DE445" t="str">
        <f>INDEX('Data_Price '!AN$2:AN$1266,MATCH(Data!$DN445,'Data_Price '!$AT$2:$AT$1266,0))</f>
        <v>https://tinyurl.com/y9j2xgwx</v>
      </c>
      <c r="DF445" t="str">
        <f>INDEX('Data_Price '!AO$2:AO$1266,MATCH(Data!$DN445,'Data_Price '!$AT$2:$AT$1266,0))</f>
        <v>Rossignol React GTX incl bindings 170cm</v>
      </c>
      <c r="DG445" t="str">
        <f>INDEX('Data_Price '!AP$2:AP$1266,MATCH(Data!$DN445,'Data_Price '!$AT$2:$AT$1266,0))</f>
        <v>Sundance Ski and Board Shop</v>
      </c>
      <c r="DH445">
        <f>INDEX('Data_Price '!AQ$2:AQ$1266,MATCH(Data!$DN445,'Data_Price '!$AT$2:$AT$1266,0))</f>
        <v>320.68</v>
      </c>
      <c r="DI445" t="str">
        <f>INDEX('Data_Price '!AR$2:AR$1266,MATCH(Data!$DN445,'Data_Price '!$AT$2:$AT$1266,0))</f>
        <v>https://tinyurl.com/y7pto3j3</v>
      </c>
      <c r="DJ445" s="89" t="str">
        <f t="shared" si="254"/>
        <v>https://tinyurl.com/y7sfk7yx</v>
      </c>
      <c r="DK445" s="89" t="str">
        <f t="shared" si="255"/>
        <v>https://tinyurl.com/y9j2xgwx</v>
      </c>
      <c r="DL445" s="89" t="str">
        <f t="shared" si="256"/>
        <v>https://tinyurl.com/y7pto3j3</v>
      </c>
      <c r="DM445" s="219" t="str">
        <f t="shared" si="257"/>
        <v>React 6 Compact</v>
      </c>
      <c r="DN445" s="89" t="str">
        <f t="shared" si="258"/>
        <v xml:space="preserve"> RossignolReact 6 Compact170 Unisex</v>
      </c>
      <c r="DO445" s="221"/>
    </row>
    <row r="446" spans="2:119" ht="15.6" customHeight="1">
      <c r="B446" s="219" t="b">
        <f t="array" ref="B446">IF(OR(ISERROR(K446:P446)),FALSE,TRUE)</f>
        <v>1</v>
      </c>
      <c r="C446" s="43" t="b">
        <f>OR(BR446=Driver!$G$50,Data!BR1189=Driver!$H$50)</f>
        <v>1</v>
      </c>
      <c r="D446" s="43" t="b">
        <f>OR(BV446=Driver!$G$51,BV446=Driver!$H$51)</f>
        <v>1</v>
      </c>
      <c r="E446" s="43" t="b">
        <f>AND(BX446&gt;Driver!$F$54,BX446&lt;Driver!$G$54)</f>
        <v>0</v>
      </c>
      <c r="F446" s="43" t="b">
        <f>CL446&gt;Driver!$F$56</f>
        <v>1</v>
      </c>
      <c r="G446" s="43" t="b">
        <f>AND(CB446&gt;Driver!$F$55,CB446&lt;Driver!$G$55)</f>
        <v>0</v>
      </c>
      <c r="H446" s="43" t="b">
        <f t="shared" si="222"/>
        <v>0</v>
      </c>
      <c r="I446" s="43">
        <f t="shared" si="223"/>
        <v>0</v>
      </c>
      <c r="J446" s="43" t="b">
        <f t="array" ref="J446">NOT(OR(($H$9:$H$1273=TRUE)*($I$9:$I$1273&gt;0)*($BT$9:$BT$1273=BT446)*($K$9:$K$1273&gt;K446)))</f>
        <v>1</v>
      </c>
      <c r="K446" s="72">
        <f t="shared" si="224"/>
        <v>0.77063924470826239</v>
      </c>
      <c r="L446" s="72">
        <f t="shared" si="225"/>
        <v>0.83707057540829943</v>
      </c>
      <c r="M446" s="72">
        <f t="shared" si="226"/>
        <v>0.70420791400822513</v>
      </c>
      <c r="N446" s="72">
        <f t="shared" si="227"/>
        <v>0.56080368099632805</v>
      </c>
      <c r="O446" s="72">
        <f t="shared" si="228"/>
        <v>0.62407123998094116</v>
      </c>
      <c r="P446" s="72">
        <f t="shared" si="229"/>
        <v>0.9277488210474063</v>
      </c>
      <c r="Q446" s="72"/>
      <c r="R446" s="72"/>
      <c r="S446" s="72">
        <f t="shared" si="230"/>
        <v>0.53134163765266573</v>
      </c>
      <c r="T446" s="72">
        <f t="shared" si="231"/>
        <v>0.76122655102555137</v>
      </c>
      <c r="U446" s="72">
        <f t="shared" si="232"/>
        <v>0.51</v>
      </c>
      <c r="V446" s="72">
        <f t="shared" si="233"/>
        <v>0.49082135682328354</v>
      </c>
      <c r="W446" s="72">
        <f t="shared" si="234"/>
        <v>0.75798781463938303</v>
      </c>
      <c r="X446" s="72">
        <f t="shared" si="235"/>
        <v>0.16292942459170051</v>
      </c>
      <c r="Y446" s="72">
        <f t="shared" si="236"/>
        <v>0.29579208599177481</v>
      </c>
      <c r="Z446" s="72">
        <f t="shared" si="237"/>
        <v>0.43919631900367195</v>
      </c>
      <c r="AA446" s="72">
        <f t="shared" si="238"/>
        <v>0.37592876001905884</v>
      </c>
      <c r="AB446" s="72">
        <f t="shared" si="239"/>
        <v>7.2251178952593698E-2</v>
      </c>
      <c r="AC446" s="72"/>
      <c r="AD446" s="72"/>
      <c r="AE446" s="72">
        <f t="shared" si="240"/>
        <v>0.46865836234733427</v>
      </c>
      <c r="AF446" s="72">
        <f t="shared" si="241"/>
        <v>0.23877344897444858</v>
      </c>
      <c r="AG446" s="72">
        <f t="shared" si="242"/>
        <v>0.49</v>
      </c>
      <c r="AH446" s="72">
        <f t="shared" si="243"/>
        <v>0.50917864317671646</v>
      </c>
      <c r="AI446" s="72">
        <f t="shared" si="244"/>
        <v>0.242012185360617</v>
      </c>
      <c r="AJ446" s="72">
        <f>(AV446-Driver!$K$179)/(Driver!$L$179-Driver!$K$179)</f>
        <v>9.1289984690999915E-2</v>
      </c>
      <c r="AK446" s="72">
        <f>(AW446-Driver!$K$180)/(Driver!$L$180-Driver!$K$180)</f>
        <v>0.34720115804240659</v>
      </c>
      <c r="AL446" s="72">
        <f>(AX446-Driver!$K$181)/(Driver!$L$181-Driver!$K$181)</f>
        <v>0.54088408271675215</v>
      </c>
      <c r="AM446" s="72">
        <f>(AY446-Driver!$K$182)/(Driver!$L$182-Driver!$K$182)</f>
        <v>7.145626107798754E-2</v>
      </c>
      <c r="AN446" s="72">
        <f>(AZ446-Driver!$K$183)/(Driver!$L$183-Driver!$K$183)</f>
        <v>0.32647058823529412</v>
      </c>
      <c r="AO446" s="72"/>
      <c r="AP446" s="72"/>
      <c r="AQ446" s="72">
        <f>(BC446-Driver!$K$188)/(Driver!$L$188-Driver!$K$188)</f>
        <v>0.1513416376526657</v>
      </c>
      <c r="AR446" s="72">
        <f>MIN((BD446-Driver!$K$189)/(Driver!$L$189-Driver!$K$189),100%)</f>
        <v>0.31122655102555147</v>
      </c>
      <c r="AS446" s="72">
        <f>(BE446-Driver!$K$190)/(Driver!$L$190-Driver!$K$190)</f>
        <v>1</v>
      </c>
      <c r="AT446" s="72">
        <f>(BF446-Driver!$K$191)/(Driver!$L$191-Driver!$K$191)</f>
        <v>8.2135682328355643E-4</v>
      </c>
      <c r="AU446" s="72">
        <f>(BG446-Driver!$K$192)/(Driver!$L$192-Driver!$K$192)</f>
        <v>7.9878146393830077E-3</v>
      </c>
      <c r="AV446" s="70">
        <f t="shared" si="245"/>
        <v>1.9213810880477549</v>
      </c>
      <c r="AW446" s="70">
        <f t="shared" si="246"/>
        <v>35.70972198791997</v>
      </c>
      <c r="AX446" s="70">
        <f t="shared" si="247"/>
        <v>5.867956744450769</v>
      </c>
      <c r="AY446" s="70">
        <f>IFERROR(Driver!$K$19/Data!BH446/Data!BI446*Data!BK446*Data!BL446,"")</f>
        <v>8.7483784049991201E-2</v>
      </c>
      <c r="AZ446" s="70">
        <f t="shared" si="248"/>
        <v>29.754281459419211</v>
      </c>
      <c r="BA446" s="70"/>
      <c r="BB446" s="70"/>
      <c r="BC446" s="70">
        <f t="shared" si="249"/>
        <v>78.501959560433662</v>
      </c>
      <c r="BD446" s="70">
        <f t="shared" si="250"/>
        <v>29.263821189042268</v>
      </c>
      <c r="BE446" s="70">
        <f t="shared" si="251"/>
        <v>1</v>
      </c>
      <c r="BF446" s="70">
        <f t="shared" si="252"/>
        <v>9.2766482831614622E-2</v>
      </c>
      <c r="BG446" s="70">
        <f t="shared" si="253"/>
        <v>3.0246961899560231E-2</v>
      </c>
      <c r="BH446" s="67">
        <f>MAX((CE446-Driver!$F$200)/(Driver!$G$200-Driver!$F$200)*$BI$1,1)</f>
        <v>5.867956744450769</v>
      </c>
      <c r="BI446" s="67">
        <f>MAX($BI$1*(BY446-Driver!$F$201)/(Driver!$G$201-Driver!$F$201),1)</f>
        <v>9.3670886075949369</v>
      </c>
      <c r="BJ446" s="67">
        <f>(CB446-Driver!$F$206)/(Driver!$G$206-Driver!$F$206)*$BI$1</f>
        <v>1.746031746031746</v>
      </c>
      <c r="BK446" s="67">
        <f>(CD446-Driver!$F$203)/(Driver!$G$203-Driver!$F$203)*$BI$1</f>
        <v>3.4862385321100922</v>
      </c>
      <c r="BL446" s="67">
        <f>MAX((CR446-Driver!$F$202)/(Driver!$G$202-Driver!$F$202)*$BI$1,1)</f>
        <v>6.8965517241379315</v>
      </c>
      <c r="BM446" s="67">
        <f>MAX((CH446-Driver!$F$204)/(Driver!$G$204-Driver!$F$204)*$BI$1,1)</f>
        <v>4.4017094017094021</v>
      </c>
      <c r="BN446" s="67">
        <f>(CI446-Driver!$F$205)/(Driver!$G$205-Driver!$F$205)*$BI$1</f>
        <v>3.1764705882352939</v>
      </c>
      <c r="BO446" s="67">
        <f>(CK446-Driver!$F$207)/(Driver!$G$207-Driver!$F$207)*$BI$1</f>
        <v>0.32057911065149947</v>
      </c>
      <c r="BP446" s="67">
        <f>(CM446-Driver!$F$208)/(Driver!$G$208-Driver!$F$208)*$BI$1</f>
        <v>0.57777777777777772</v>
      </c>
      <c r="BQ446" s="67">
        <f>(CL446-Driver!$F$209)/(Driver!$G$209-Driver!$F$209)*$BI$1</f>
        <v>0.78125</v>
      </c>
      <c r="BR446" s="28" t="s">
        <v>155</v>
      </c>
      <c r="BS446" s="8" t="s">
        <v>229</v>
      </c>
      <c r="BT446" s="9" t="s">
        <v>477</v>
      </c>
      <c r="BU446" s="10">
        <v>175</v>
      </c>
      <c r="BV446" s="9" t="s">
        <v>158</v>
      </c>
      <c r="BW446" s="10">
        <v>175</v>
      </c>
      <c r="BX446" s="10">
        <v>175.5</v>
      </c>
      <c r="BY446" s="10">
        <v>156</v>
      </c>
      <c r="BZ446" s="10">
        <v>163</v>
      </c>
      <c r="CA446" s="10">
        <v>123</v>
      </c>
      <c r="CB446" s="10">
        <v>75</v>
      </c>
      <c r="CC446" s="10">
        <v>104</v>
      </c>
      <c r="CD446" s="10">
        <v>17</v>
      </c>
      <c r="CE446" s="10">
        <v>1931</v>
      </c>
      <c r="CF446" s="10">
        <v>0.81</v>
      </c>
      <c r="CG446" s="10">
        <v>1565</v>
      </c>
      <c r="CH446" s="10">
        <v>204</v>
      </c>
      <c r="CI446" s="10">
        <v>87</v>
      </c>
      <c r="CJ446" s="10">
        <v>35</v>
      </c>
      <c r="CK446" s="10">
        <v>141</v>
      </c>
      <c r="CL446" s="10">
        <v>5</v>
      </c>
      <c r="CM446" s="10">
        <v>52</v>
      </c>
      <c r="CN446" s="10">
        <v>0.127</v>
      </c>
      <c r="CO446" s="10">
        <v>73</v>
      </c>
      <c r="CP446" s="10">
        <v>49</v>
      </c>
      <c r="CQ446" s="10">
        <v>67</v>
      </c>
      <c r="CR446" s="10">
        <v>9</v>
      </c>
      <c r="CS446" s="10">
        <v>12.7</v>
      </c>
      <c r="CT446" s="9" t="s">
        <v>349</v>
      </c>
      <c r="CU446" s="10"/>
      <c r="CV446" s="10"/>
      <c r="CW446" s="10"/>
      <c r="CX446" t="e">
        <f>INDEX('Data_Price '!AG$2:AG$1266,MATCH(Data!$DN446,'Data_Price '!$AT$2:$AT$1266,0))</f>
        <v>#N/A</v>
      </c>
      <c r="CY446" t="e">
        <f>INDEX('Data_Price '!AH$2:AH$1266,MATCH(Data!$DN446,'Data_Price '!$AT$2:$AT$1266,0))</f>
        <v>#N/A</v>
      </c>
      <c r="CZ446" t="e">
        <f>INDEX('Data_Price '!AI$2:AI$1266,MATCH(Data!$DN446,'Data_Price '!$AT$2:$AT$1266,0))</f>
        <v>#N/A</v>
      </c>
      <c r="DA446" t="e">
        <f>INDEX('Data_Price '!AJ$2:AJ$1266,MATCH(Data!$DN446,'Data_Price '!$AT$2:$AT$1266,0))</f>
        <v>#N/A</v>
      </c>
      <c r="DB446" t="e">
        <f>INDEX('Data_Price '!AK$2:AK$1266,MATCH(Data!$DN446,'Data_Price '!$AT$2:$AT$1266,0))</f>
        <v>#N/A</v>
      </c>
      <c r="DC446" t="e">
        <f>INDEX('Data_Price '!AL$2:AL$1266,MATCH(Data!$DN446,'Data_Price '!$AT$2:$AT$1266,0))</f>
        <v>#N/A</v>
      </c>
      <c r="DD446" t="e">
        <f>INDEX('Data_Price '!AM$2:AM$1266,MATCH(Data!$DN446,'Data_Price '!$AT$2:$AT$1266,0))</f>
        <v>#N/A</v>
      </c>
      <c r="DE446" t="e">
        <f>INDEX('Data_Price '!AN$2:AN$1266,MATCH(Data!$DN446,'Data_Price '!$AT$2:$AT$1266,0))</f>
        <v>#N/A</v>
      </c>
      <c r="DF446" t="e">
        <f>INDEX('Data_Price '!AO$2:AO$1266,MATCH(Data!$DN446,'Data_Price '!$AT$2:$AT$1266,0))</f>
        <v>#N/A</v>
      </c>
      <c r="DG446" t="e">
        <f>INDEX('Data_Price '!AP$2:AP$1266,MATCH(Data!$DN446,'Data_Price '!$AT$2:$AT$1266,0))</f>
        <v>#N/A</v>
      </c>
      <c r="DH446" t="e">
        <f>INDEX('Data_Price '!AQ$2:AQ$1266,MATCH(Data!$DN446,'Data_Price '!$AT$2:$AT$1266,0))</f>
        <v>#N/A</v>
      </c>
      <c r="DI446" t="e">
        <f>INDEX('Data_Price '!AR$2:AR$1266,MATCH(Data!$DN446,'Data_Price '!$AT$2:$AT$1266,0))</f>
        <v>#N/A</v>
      </c>
      <c r="DJ446" s="89" t="e">
        <f t="shared" si="254"/>
        <v>#N/A</v>
      </c>
      <c r="DK446" s="89" t="e">
        <f t="shared" si="255"/>
        <v>#N/A</v>
      </c>
      <c r="DL446" s="89" t="e">
        <f t="shared" si="256"/>
        <v>#N/A</v>
      </c>
      <c r="DM446" s="219" t="str">
        <f t="shared" si="257"/>
        <v>Deacon XTD</v>
      </c>
      <c r="DN446" s="89" t="str">
        <f t="shared" si="258"/>
        <v xml:space="preserve"> VölklDeacon XTD175 Unisex</v>
      </c>
      <c r="DO446" s="221"/>
    </row>
    <row r="447" spans="2:119" ht="15.6" customHeight="1">
      <c r="B447" s="219" t="b">
        <f t="array" ref="B447">IF(OR(ISERROR(K447:P447)),FALSE,TRUE)</f>
        <v>1</v>
      </c>
      <c r="C447" s="43" t="b">
        <f>OR(BR447=Driver!$G$50,Data!BR470=Driver!$H$50)</f>
        <v>1</v>
      </c>
      <c r="D447" s="43" t="b">
        <f>OR(BV447=Driver!$G$51,BV447=Driver!$H$51)</f>
        <v>0</v>
      </c>
      <c r="E447" s="43" t="b">
        <f>AND(BX447&gt;Driver!$F$54,BX447&lt;Driver!$G$54)</f>
        <v>1</v>
      </c>
      <c r="F447" s="43" t="b">
        <f>CL447&gt;Driver!$F$56</f>
        <v>1</v>
      </c>
      <c r="G447" s="43" t="b">
        <f>AND(CB447&gt;Driver!$F$55,CB447&lt;Driver!$G$55)</f>
        <v>0</v>
      </c>
      <c r="H447" s="43" t="b">
        <f t="shared" si="222"/>
        <v>0</v>
      </c>
      <c r="I447" s="43">
        <f t="shared" si="223"/>
        <v>0</v>
      </c>
      <c r="J447" s="43" t="b">
        <f t="array" ref="J447">NOT(OR(($H$9:$H$1273=TRUE)*($I$9:$I$1273&gt;0)*($BT$9:$BT$1273=BT447)*($K$9:$K$1273&gt;K447)))</f>
        <v>1</v>
      </c>
      <c r="K447" s="72">
        <f t="shared" si="224"/>
        <v>0.79670762132633244</v>
      </c>
      <c r="L447" s="72">
        <f t="shared" si="225"/>
        <v>0.80073184363809569</v>
      </c>
      <c r="M447" s="72">
        <f t="shared" si="226"/>
        <v>0.7926833990145693</v>
      </c>
      <c r="N447" s="72">
        <f t="shared" si="227"/>
        <v>0.82387836638177059</v>
      </c>
      <c r="O447" s="72">
        <f t="shared" si="228"/>
        <v>0.61721476935640263</v>
      </c>
      <c r="P447" s="72">
        <f t="shared" si="229"/>
        <v>0.93695706130553491</v>
      </c>
      <c r="Q447" s="72"/>
      <c r="R447" s="72"/>
      <c r="S447" s="72">
        <f t="shared" si="230"/>
        <v>0.42197954387236103</v>
      </c>
      <c r="T447" s="72">
        <f t="shared" si="231"/>
        <v>0.68121149265878556</v>
      </c>
      <c r="U447" s="72">
        <f t="shared" si="232"/>
        <v>0.51</v>
      </c>
      <c r="V447" s="72">
        <f t="shared" si="233"/>
        <v>0.49226750644376571</v>
      </c>
      <c r="W447" s="72">
        <f t="shared" si="234"/>
        <v>0.78114476789929188</v>
      </c>
      <c r="X447" s="72">
        <f t="shared" si="235"/>
        <v>0.19926815636190437</v>
      </c>
      <c r="Y447" s="72">
        <f t="shared" si="236"/>
        <v>0.20731660098543067</v>
      </c>
      <c r="Z447" s="72">
        <f t="shared" si="237"/>
        <v>0.17612163361822947</v>
      </c>
      <c r="AA447" s="72">
        <f t="shared" si="238"/>
        <v>0.38278523064359737</v>
      </c>
      <c r="AB447" s="72">
        <f t="shared" si="239"/>
        <v>6.3042938694465145E-2</v>
      </c>
      <c r="AC447" s="72"/>
      <c r="AD447" s="72"/>
      <c r="AE447" s="72">
        <f t="shared" si="240"/>
        <v>0.57802045612763897</v>
      </c>
      <c r="AF447" s="72">
        <f t="shared" si="241"/>
        <v>0.31878850734121444</v>
      </c>
      <c r="AG447" s="72">
        <f t="shared" si="242"/>
        <v>0.49</v>
      </c>
      <c r="AH447" s="72">
        <f t="shared" si="243"/>
        <v>0.50773249355623429</v>
      </c>
      <c r="AI447" s="72">
        <f t="shared" si="244"/>
        <v>0.21885523210070809</v>
      </c>
      <c r="AJ447" s="72">
        <f>(AV447-Driver!$K$179)/(Driver!$L$179-Driver!$K$179)</f>
        <v>5.4951252920796057E-2</v>
      </c>
      <c r="AK447" s="72">
        <f>(AW447-Driver!$K$180)/(Driver!$L$180-Driver!$K$180)</f>
        <v>0.19629984926873098</v>
      </c>
      <c r="AL447" s="72">
        <f>(AX447-Driver!$K$181)/(Driver!$L$181-Driver!$K$181)</f>
        <v>0.27780939733130966</v>
      </c>
      <c r="AM447" s="72">
        <f>(AY447-Driver!$K$182)/(Driver!$L$182-Driver!$K$182)</f>
        <v>6.4599790453448991E-2</v>
      </c>
      <c r="AN447" s="72">
        <f>(AZ447-Driver!$K$183)/(Driver!$L$183-Driver!$K$183)</f>
        <v>0.19117647058823528</v>
      </c>
      <c r="AO447" s="72"/>
      <c r="AP447" s="72"/>
      <c r="AQ447" s="72">
        <f>(BC447-Driver!$K$188)/(Driver!$L$188-Driver!$K$188)</f>
        <v>4.1979543872361032E-2</v>
      </c>
      <c r="AR447" s="72">
        <f>MIN((BD447-Driver!$K$189)/(Driver!$L$189-Driver!$K$189),100%)</f>
        <v>0.23121149265878557</v>
      </c>
      <c r="AS447" s="72">
        <f>(BE447-Driver!$K$190)/(Driver!$L$190-Driver!$K$190)</f>
        <v>1</v>
      </c>
      <c r="AT447" s="72">
        <f>(BF447-Driver!$K$191)/(Driver!$L$191-Driver!$K$191)</f>
        <v>2.2675064437657163E-3</v>
      </c>
      <c r="AU447" s="72">
        <f>(BG447-Driver!$K$192)/(Driver!$L$192-Driver!$K$192)</f>
        <v>3.1144767899291898E-2</v>
      </c>
      <c r="AV447" s="70">
        <f t="shared" si="245"/>
        <v>1.1565594898928231</v>
      </c>
      <c r="AW447" s="70">
        <f t="shared" si="246"/>
        <v>21.003052326306289</v>
      </c>
      <c r="AX447" s="70">
        <f t="shared" si="247"/>
        <v>3.5002845759817869</v>
      </c>
      <c r="AY447" s="70">
        <f>IFERROR(Driver!$K$19/Data!BH447/Data!BI447*Data!BK447*Data!BL447,"")</f>
        <v>7.908941823217179E-2</v>
      </c>
      <c r="AZ447" s="70">
        <f t="shared" si="248"/>
        <v>17.423678332092329</v>
      </c>
      <c r="BA447" s="70"/>
      <c r="BB447" s="70"/>
      <c r="BC447" s="70">
        <f t="shared" si="249"/>
        <v>21.775081243648025</v>
      </c>
      <c r="BD447" s="70">
        <f t="shared" si="250"/>
        <v>22.182630301877449</v>
      </c>
      <c r="BE447" s="70">
        <f t="shared" si="251"/>
        <v>1</v>
      </c>
      <c r="BF447" s="70">
        <f t="shared" si="252"/>
        <v>0.25609892268898743</v>
      </c>
      <c r="BG447" s="70">
        <f t="shared" si="253"/>
        <v>0.11793395948072385</v>
      </c>
      <c r="BH447" s="67">
        <f>MAX((CE447-Driver!$F$200)/(Driver!$G$200-Driver!$F$200)*$BI$1,1)</f>
        <v>3.5002845759817869</v>
      </c>
      <c r="BI447" s="67">
        <f>MAX($BI$1*(BY447-Driver!$F$201)/(Driver!$G$201-Driver!$F$201),1)</f>
        <v>8.2278481012658222</v>
      </c>
      <c r="BJ447" s="67">
        <f>(CB447-Driver!$F$206)/(Driver!$G$206-Driver!$F$206)*$BI$1</f>
        <v>1.746031746031746</v>
      </c>
      <c r="BK447" s="67">
        <f>(CD447-Driver!$F$203)/(Driver!$G$203-Driver!$F$203)*$BI$1</f>
        <v>1.6513761467889909</v>
      </c>
      <c r="BL447" s="67">
        <f>MAX((CR447-Driver!$F$202)/(Driver!$G$202-Driver!$F$202)*$BI$1,1)</f>
        <v>6.8965517241379315</v>
      </c>
      <c r="BM447" s="67">
        <f>MAX((CH447-Driver!$F$204)/(Driver!$G$204-Driver!$F$204)*$BI$1,1)</f>
        <v>2.6495726495726495</v>
      </c>
      <c r="BN447" s="67">
        <f>(CI447-Driver!$F$205)/(Driver!$G$205-Driver!$F$205)*$BI$1</f>
        <v>2.1176470588235294</v>
      </c>
      <c r="BO447" s="67">
        <f>(CK447-Driver!$F$207)/(Driver!$G$207-Driver!$F$207)*$BI$1</f>
        <v>0.32057911065149947</v>
      </c>
      <c r="BP447" s="67">
        <f>(CM447-Driver!$F$208)/(Driver!$G$208-Driver!$F$208)*$BI$1</f>
        <v>0.75555555555555554</v>
      </c>
      <c r="BQ447" s="67">
        <f>(CL447-Driver!$F$209)/(Driver!$G$209-Driver!$F$209)*$BI$1</f>
        <v>1.09375</v>
      </c>
      <c r="BR447" s="28" t="s">
        <v>155</v>
      </c>
      <c r="BS447" s="8" t="s">
        <v>164</v>
      </c>
      <c r="BT447" s="9" t="s">
        <v>601</v>
      </c>
      <c r="BU447" s="10">
        <v>158</v>
      </c>
      <c r="BV447" s="9" t="s">
        <v>163</v>
      </c>
      <c r="BW447" s="10">
        <v>158</v>
      </c>
      <c r="BX447" s="10">
        <v>158.4</v>
      </c>
      <c r="BY447" s="10">
        <v>138</v>
      </c>
      <c r="BZ447" s="10">
        <v>145</v>
      </c>
      <c r="CA447" s="10">
        <v>127</v>
      </c>
      <c r="CB447" s="10">
        <v>75</v>
      </c>
      <c r="CC447" s="10">
        <v>104</v>
      </c>
      <c r="CD447" s="10">
        <v>13</v>
      </c>
      <c r="CE447" s="10">
        <v>1515</v>
      </c>
      <c r="CF447" s="10">
        <v>0.95</v>
      </c>
      <c r="CG447" s="10">
        <v>1438</v>
      </c>
      <c r="CH447" s="10">
        <v>163</v>
      </c>
      <c r="CI447" s="10">
        <v>69</v>
      </c>
      <c r="CJ447" s="10">
        <v>37</v>
      </c>
      <c r="CK447" s="10">
        <v>141</v>
      </c>
      <c r="CL447" s="10">
        <v>7</v>
      </c>
      <c r="CM447" s="10">
        <v>68</v>
      </c>
      <c r="CN447" s="10">
        <v>0.187</v>
      </c>
      <c r="CO447" s="10">
        <v>88</v>
      </c>
      <c r="CP447" s="10">
        <v>49</v>
      </c>
      <c r="CQ447" s="10">
        <v>53</v>
      </c>
      <c r="CR447" s="10">
        <v>9</v>
      </c>
      <c r="CS447" s="10">
        <v>9.1999999999999993</v>
      </c>
      <c r="CT447" s="9" t="s">
        <v>349</v>
      </c>
      <c r="CU447" s="10"/>
      <c r="CV447" s="10"/>
      <c r="CW447" s="10"/>
      <c r="CX447" t="str">
        <f>INDEX('Data_Price '!AG$2:AG$1266,MATCH(Data!$DN447,'Data_Price '!$AT$2:$AT$1266,0))</f>
        <v>Elan Wildcat 76 LS ELW 9.0 158cm</v>
      </c>
      <c r="CY447" t="str">
        <f>INDEX('Data_Price '!AH$2:AH$1266,MATCH(Data!$DN447,'Data_Price '!$AT$2:$AT$1266,0))</f>
        <v>Sundance Ski and Board Shop</v>
      </c>
      <c r="CZ447">
        <f>INDEX('Data_Price '!AI$2:AI$1266,MATCH(Data!$DN447,'Data_Price '!$AT$2:$AT$1266,0))</f>
        <v>400.85</v>
      </c>
      <c r="DA447" t="str">
        <f>INDEX('Data_Price '!AJ$2:AJ$1266,MATCH(Data!$DN447,'Data_Price '!$AT$2:$AT$1266,0))</f>
        <v>https://tinyurl.com/y8jjczp9</v>
      </c>
      <c r="DB447" t="str">
        <f>INDEX('Data_Price '!AK$2:AK$1266,MATCH(Data!$DN447,'Data_Price '!$AT$2:$AT$1266,0))</f>
        <v>Elan Women's Wildcat 76 C Skis with Bindings 158 cm</v>
      </c>
      <c r="DC447" t="str">
        <f>INDEX('Data_Price '!AL$2:AL$1266,MATCH(Data!$DN447,'Data_Price '!$AT$2:$AT$1266,0))</f>
        <v>Ski World</v>
      </c>
      <c r="DD447">
        <f>INDEX('Data_Price '!AM$2:AM$1266,MATCH(Data!$DN447,'Data_Price '!$AT$2:$AT$1266,0))</f>
        <v>499.99</v>
      </c>
      <c r="DE447" t="str">
        <f>INDEX('Data_Price '!AN$2:AN$1266,MATCH(Data!$DN447,'Data_Price '!$AT$2:$AT$1266,0))</f>
        <v>https://tinyurl.com/y8gjbk7t</v>
      </c>
      <c r="DF447" t="str">
        <f>INDEX('Data_Price '!AO$2:AO$1266,MATCH(Data!$DN447,'Data_Price '!$AT$2:$AT$1266,0))</f>
        <v>Elan Wildcat 76 Skis + PS ELW 9.0 GW Bindings - Women's 2022 158</v>
      </c>
      <c r="DG447" t="str">
        <f>INDEX('Data_Price '!AP$2:AP$1266,MATCH(Data!$DN447,'Data_Price '!$AT$2:$AT$1266,0))</f>
        <v>Winteriscalling.com</v>
      </c>
      <c r="DH447">
        <f>INDEX('Data_Price '!AQ$2:AQ$1266,MATCH(Data!$DN447,'Data_Price '!$AT$2:$AT$1266,0))</f>
        <v>499.99</v>
      </c>
      <c r="DI447" t="str">
        <f>INDEX('Data_Price '!AR$2:AR$1266,MATCH(Data!$DN447,'Data_Price '!$AT$2:$AT$1266,0))</f>
        <v>https://tinyurl.com/ychu26lm</v>
      </c>
      <c r="DJ447" s="89" t="str">
        <f t="shared" si="254"/>
        <v>https://tinyurl.com/y8jjczp9</v>
      </c>
      <c r="DK447" s="89" t="str">
        <f t="shared" si="255"/>
        <v>https://tinyurl.com/y8gjbk7t</v>
      </c>
      <c r="DL447" s="89" t="str">
        <f t="shared" si="256"/>
        <v>https://tinyurl.com/ychu26lm</v>
      </c>
      <c r="DM447" s="219" t="str">
        <f t="shared" si="257"/>
        <v>Wildcat 76</v>
      </c>
      <c r="DN447" s="89" t="str">
        <f t="shared" si="258"/>
        <v xml:space="preserve"> ElanWildcat 76158 Women's</v>
      </c>
      <c r="DO447" s="221"/>
    </row>
    <row r="448" spans="2:119" ht="15.6" customHeight="1">
      <c r="B448" s="219" t="b">
        <f t="array" ref="B448">IF(OR(ISERROR(K448:P448)),FALSE,TRUE)</f>
        <v>1</v>
      </c>
      <c r="C448" s="43" t="b">
        <f>OR(BR448=Driver!$G$50,Data!BR813=Driver!$H$50)</f>
        <v>1</v>
      </c>
      <c r="D448" s="43" t="b">
        <f>OR(BV448=Driver!$G$51,BV448=Driver!$H$51)</f>
        <v>1</v>
      </c>
      <c r="E448" s="43" t="b">
        <f>AND(BX448&gt;Driver!$F$54,BX448&lt;Driver!$G$54)</f>
        <v>0</v>
      </c>
      <c r="F448" s="43" t="b">
        <f>CL448&gt;Driver!$F$56</f>
        <v>1</v>
      </c>
      <c r="G448" s="43" t="b">
        <f>AND(CB448&gt;Driver!$F$55,CB448&lt;Driver!$G$55)</f>
        <v>1</v>
      </c>
      <c r="H448" s="43" t="b">
        <f t="shared" si="222"/>
        <v>0</v>
      </c>
      <c r="I448" s="43">
        <f t="shared" si="223"/>
        <v>0</v>
      </c>
      <c r="J448" s="43" t="b">
        <f t="array" ref="J448">NOT(OR(($H$9:$H$1273=TRUE)*($I$9:$I$1273&gt;0)*($BT$9:$BT$1273=BT448)*($K$9:$K$1273&gt;K448)))</f>
        <v>1</v>
      </c>
      <c r="K448" s="72">
        <f t="shared" si="224"/>
        <v>0.87232692840194548</v>
      </c>
      <c r="L448" s="72">
        <f t="shared" si="225"/>
        <v>0.99024114989867096</v>
      </c>
      <c r="M448" s="72">
        <f t="shared" si="226"/>
        <v>0.75441270690521989</v>
      </c>
      <c r="N448" s="72">
        <f t="shared" si="227"/>
        <v>0.6303666987665173</v>
      </c>
      <c r="O448" s="72">
        <f t="shared" si="228"/>
        <v>0.64607775933641809</v>
      </c>
      <c r="P448" s="72">
        <f t="shared" si="229"/>
        <v>0.9867936626127245</v>
      </c>
      <c r="Q448" s="72"/>
      <c r="R448" s="72"/>
      <c r="S448" s="72">
        <f t="shared" si="230"/>
        <v>0.44412492066226683</v>
      </c>
      <c r="T448" s="72">
        <f t="shared" si="231"/>
        <v>0.48036910824850376</v>
      </c>
      <c r="U448" s="72">
        <f t="shared" si="232"/>
        <v>0.51636190964481066</v>
      </c>
      <c r="V448" s="72">
        <f t="shared" si="233"/>
        <v>0.61895098314925712</v>
      </c>
      <c r="W448" s="72">
        <f t="shared" si="234"/>
        <v>0.82188368952093427</v>
      </c>
      <c r="X448" s="72">
        <f t="shared" si="235"/>
        <v>9.7588501013290696E-3</v>
      </c>
      <c r="Y448" s="72">
        <f t="shared" si="236"/>
        <v>0.24558729309478008</v>
      </c>
      <c r="Z448" s="72">
        <f t="shared" si="237"/>
        <v>0.36963330123348276</v>
      </c>
      <c r="AA448" s="72">
        <f t="shared" si="238"/>
        <v>0.35392224066358191</v>
      </c>
      <c r="AB448" s="72">
        <f t="shared" si="239"/>
        <v>1.3206337387275557E-2</v>
      </c>
      <c r="AC448" s="72"/>
      <c r="AD448" s="72"/>
      <c r="AE448" s="72">
        <f t="shared" si="240"/>
        <v>0.55587507933773317</v>
      </c>
      <c r="AF448" s="72">
        <f t="shared" si="241"/>
        <v>0.51963089175149624</v>
      </c>
      <c r="AG448" s="72">
        <f t="shared" si="242"/>
        <v>0.48363809035518934</v>
      </c>
      <c r="AH448" s="72">
        <f t="shared" si="243"/>
        <v>0.38104901685074288</v>
      </c>
      <c r="AI448" s="72">
        <f t="shared" si="244"/>
        <v>0.1781163104790657</v>
      </c>
      <c r="AJ448" s="72">
        <f>(AV448-Driver!$K$179)/(Driver!$L$179-Driver!$K$179)</f>
        <v>0.24446055918137136</v>
      </c>
      <c r="AK448" s="72">
        <f>(AW448-Driver!$K$180)/(Driver!$L$180-Driver!$K$180)</f>
        <v>0.26113758546087135</v>
      </c>
      <c r="AL448" s="72">
        <f>(AX448-Driver!$K$181)/(Driver!$L$181-Driver!$K$181)</f>
        <v>0.47132106494656295</v>
      </c>
      <c r="AM448" s="72">
        <f>(AY448-Driver!$K$182)/(Driver!$L$182-Driver!$K$182)</f>
        <v>9.346278043346444E-2</v>
      </c>
      <c r="AN448" s="72">
        <f>(AZ448-Driver!$K$183)/(Driver!$L$183-Driver!$K$183)</f>
        <v>0.24101307189542487</v>
      </c>
      <c r="AO448" s="72"/>
      <c r="AP448" s="72"/>
      <c r="AQ448" s="72">
        <f>(BC448-Driver!$K$188)/(Driver!$L$188-Driver!$K$188)</f>
        <v>6.4124920662266771E-2</v>
      </c>
      <c r="AR448" s="72">
        <f>MIN((BD448-Driver!$K$189)/(Driver!$L$189-Driver!$K$189),100%)</f>
        <v>3.0369108248503827E-2</v>
      </c>
      <c r="AS448" s="72">
        <f>(BE448-Driver!$K$190)/(Driver!$L$190-Driver!$K$190)</f>
        <v>2.6361909644810694E-2</v>
      </c>
      <c r="AT448" s="72">
        <f>(BF448-Driver!$K$191)/(Driver!$L$191-Driver!$K$191)</f>
        <v>0.12895098314925713</v>
      </c>
      <c r="AU448" s="72">
        <f>(BG448-Driver!$K$192)/(Driver!$L$192-Driver!$K$192)</f>
        <v>7.1883689520934296E-2</v>
      </c>
      <c r="AV448" s="70">
        <f t="shared" si="245"/>
        <v>5.1451634784968121</v>
      </c>
      <c r="AW448" s="70">
        <f t="shared" si="246"/>
        <v>27.322064239018118</v>
      </c>
      <c r="AX448" s="70">
        <f t="shared" si="247"/>
        <v>5.2418895845190665</v>
      </c>
      <c r="AY448" s="70">
        <f>IFERROR(Driver!$K$19/Data!BH448/Data!BI448*Data!BK448*Data!BL448,"")</f>
        <v>0.11442632985273493</v>
      </c>
      <c r="AZ448" s="70">
        <f t="shared" si="248"/>
        <v>21.965748324646317</v>
      </c>
      <c r="BA448" s="70"/>
      <c r="BB448" s="70"/>
      <c r="BC448" s="70">
        <f t="shared" si="249"/>
        <v>33.262042136733918</v>
      </c>
      <c r="BD448" s="70">
        <f t="shared" si="250"/>
        <v>4.408435153214656</v>
      </c>
      <c r="BE448" s="70">
        <f t="shared" si="251"/>
        <v>2.6535595721366555E-2</v>
      </c>
      <c r="BF448" s="70">
        <f t="shared" si="252"/>
        <v>14.564107614779797</v>
      </c>
      <c r="BG448" s="70">
        <f t="shared" si="253"/>
        <v>0.27219750536267578</v>
      </c>
      <c r="BH448" s="67">
        <f>MAX((CE448-Driver!$F$200)/(Driver!$G$200-Driver!$F$200)*$BI$1,1)</f>
        <v>5.2418895845190665</v>
      </c>
      <c r="BI448" s="67">
        <f>MAX($BI$1*(BY448-Driver!$F$201)/(Driver!$G$201-Driver!$F$201),1)</f>
        <v>6.3291139240506329</v>
      </c>
      <c r="BJ448" s="67">
        <f>(CB448-Driver!$F$206)/(Driver!$G$206-Driver!$F$206)*$BI$1</f>
        <v>5.8730158730158735</v>
      </c>
      <c r="BK448" s="67">
        <f>(CD448-Driver!$F$203)/(Driver!$G$203-Driver!$F$203)*$BI$1</f>
        <v>3.6697247706422016</v>
      </c>
      <c r="BL448" s="67">
        <f>MAX((CR448-Driver!$F$202)/(Driver!$G$202-Driver!$F$202)*$BI$1,1)</f>
        <v>5.1724137931034484</v>
      </c>
      <c r="BM448" s="67">
        <f>MAX((CH448-Driver!$F$204)/(Driver!$G$204-Driver!$F$204)*$BI$1,1)</f>
        <v>3.5042735042735043</v>
      </c>
      <c r="BN448" s="67">
        <f>(CI448-Driver!$F$205)/(Driver!$G$205-Driver!$F$205)*$BI$1</f>
        <v>3.4705882352941178</v>
      </c>
      <c r="BO448" s="67">
        <f>(CK448-Driver!$F$207)/(Driver!$G$207-Driver!$F$207)*$BI$1</f>
        <v>2.8438469493278178</v>
      </c>
      <c r="BP448" s="67">
        <f>(CM448-Driver!$F$208)/(Driver!$G$208-Driver!$F$208)*$BI$1</f>
        <v>3.2</v>
      </c>
      <c r="BQ448" s="67">
        <f>(CL448-Driver!$F$209)/(Driver!$G$209-Driver!$F$209)*$BI$1</f>
        <v>5</v>
      </c>
      <c r="BR448" s="28" t="s">
        <v>155</v>
      </c>
      <c r="BS448" s="8" t="s">
        <v>215</v>
      </c>
      <c r="BT448" s="9" t="s">
        <v>592</v>
      </c>
      <c r="BU448" s="10">
        <v>176</v>
      </c>
      <c r="BV448" s="9" t="s">
        <v>158</v>
      </c>
      <c r="BW448" s="10">
        <v>176</v>
      </c>
      <c r="BX448" s="10">
        <v>174.8</v>
      </c>
      <c r="BY448" s="10">
        <v>108</v>
      </c>
      <c r="BZ448" s="10">
        <v>145</v>
      </c>
      <c r="CA448" s="10">
        <v>134</v>
      </c>
      <c r="CB448" s="10">
        <v>101</v>
      </c>
      <c r="CC448" s="10">
        <v>122</v>
      </c>
      <c r="CD448" s="10">
        <v>17.399999999999999</v>
      </c>
      <c r="CE448" s="10">
        <v>1821</v>
      </c>
      <c r="CF448" s="10">
        <v>1.07</v>
      </c>
      <c r="CG448" s="10">
        <v>1944</v>
      </c>
      <c r="CH448" s="10">
        <v>183</v>
      </c>
      <c r="CI448" s="10">
        <v>92</v>
      </c>
      <c r="CJ448" s="10">
        <v>52</v>
      </c>
      <c r="CK448" s="10">
        <v>385</v>
      </c>
      <c r="CL448" s="10">
        <v>32</v>
      </c>
      <c r="CM448" s="10">
        <v>288</v>
      </c>
      <c r="CN448" s="10">
        <v>0.621</v>
      </c>
      <c r="CO448" s="10">
        <v>142</v>
      </c>
      <c r="CP448" s="10">
        <v>156</v>
      </c>
      <c r="CQ448" s="10">
        <v>243</v>
      </c>
      <c r="CR448" s="10">
        <v>4</v>
      </c>
      <c r="CS448" s="10">
        <v>7.8</v>
      </c>
      <c r="CT448" s="9" t="s">
        <v>188</v>
      </c>
      <c r="CU448" s="9" t="s">
        <v>169</v>
      </c>
      <c r="CV448" s="9" t="s">
        <v>185</v>
      </c>
      <c r="CW448" s="10"/>
      <c r="CX448" t="str">
        <f>INDEX('Data_Price '!AG$2:AG$1266,MATCH(Data!$DN448,'Data_Price '!$AT$2:$AT$1266,0))</f>
        <v>Liberty Origin 101 Skis - 2022 - 176cm</v>
      </c>
      <c r="CY448" t="str">
        <f>INDEX('Data_Price '!AH$2:AH$1266,MATCH(Data!$DN448,'Data_Price '!$AT$2:$AT$1266,0))</f>
        <v>ColoradoSkiShop.com</v>
      </c>
      <c r="CZ448">
        <f>INDEX('Data_Price '!AI$2:AI$1266,MATCH(Data!$DN448,'Data_Price '!$AT$2:$AT$1266,0))</f>
        <v>529.99</v>
      </c>
      <c r="DA448" t="str">
        <f>INDEX('Data_Price '!AJ$2:AJ$1266,MATCH(Data!$DN448,'Data_Price '!$AT$2:$AT$1266,0))</f>
        <v>https://tinyurl.com/yc4pqtjr</v>
      </c>
      <c r="DB448" t="str">
        <f>INDEX('Data_Price '!AK$2:AK$1266,MATCH(Data!$DN448,'Data_Price '!$AT$2:$AT$1266,0))</f>
        <v>Liberty Skis Origin 101 Ski</v>
      </c>
      <c r="DC448" t="str">
        <f>INDEX('Data_Price '!AL$2:AL$1266,MATCH(Data!$DN448,'Data_Price '!$AT$2:$AT$1266,0))</f>
        <v>BobWards.com</v>
      </c>
      <c r="DD448">
        <f>INDEX('Data_Price '!AM$2:AM$1266,MATCH(Data!$DN448,'Data_Price '!$AT$2:$AT$1266,0))</f>
        <v>669.99</v>
      </c>
      <c r="DE448" t="str">
        <f>INDEX('Data_Price '!AN$2:AN$1266,MATCH(Data!$DN448,'Data_Price '!$AT$2:$AT$1266,0))</f>
        <v>https://tinyurl.com/y98k6xt6</v>
      </c>
      <c r="DF448" t="str">
        <f>INDEX('Data_Price '!AO$2:AO$1266,MATCH(Data!$DN448,'Data_Price '!$AT$2:$AT$1266,0))</f>
        <v>Liberty 2022 Origin 101 Flat Ski NA / 176</v>
      </c>
      <c r="DG448" t="str">
        <f>INDEX('Data_Price '!AP$2:AP$1266,MATCH(Data!$DN448,'Data_Price '!$AT$2:$AT$1266,0))</f>
        <v>Cityhome</v>
      </c>
      <c r="DH448">
        <f>INDEX('Data_Price '!AQ$2:AQ$1266,MATCH(Data!$DN448,'Data_Price '!$AT$2:$AT$1266,0))</f>
        <v>669.99</v>
      </c>
      <c r="DI448" t="str">
        <f>INDEX('Data_Price '!AR$2:AR$1266,MATCH(Data!$DN448,'Data_Price '!$AT$2:$AT$1266,0))</f>
        <v>https://tinyurl.com/y9garb7u</v>
      </c>
      <c r="DJ448" s="89" t="str">
        <f t="shared" si="254"/>
        <v>https://tinyurl.com/yc4pqtjr</v>
      </c>
      <c r="DK448" s="89" t="str">
        <f t="shared" si="255"/>
        <v>https://tinyurl.com/y98k6xt6</v>
      </c>
      <c r="DL448" s="89" t="str">
        <f t="shared" si="256"/>
        <v>https://tinyurl.com/y9garb7u</v>
      </c>
      <c r="DM448" s="219" t="str">
        <f t="shared" si="257"/>
        <v>Origin 101</v>
      </c>
      <c r="DN448" s="89" t="str">
        <f t="shared" si="258"/>
        <v xml:space="preserve"> LibertyOrigin 101176 Unisex</v>
      </c>
      <c r="DO448" s="221" t="s">
        <v>593</v>
      </c>
    </row>
    <row r="449" spans="2:119" ht="15.6" customHeight="1">
      <c r="B449" s="219" t="b">
        <f t="array" ref="B449">IF(OR(ISERROR(K449:P449)),FALSE,TRUE)</f>
        <v>1</v>
      </c>
      <c r="C449" s="43" t="b">
        <f>OR(BR449=Driver!$G$50,Data!BR392=Driver!$H$50)</f>
        <v>1</v>
      </c>
      <c r="D449" s="43" t="b">
        <f>OR(BV449=Driver!$G$51,BV449=Driver!$H$51)</f>
        <v>1</v>
      </c>
      <c r="E449" s="43" t="b">
        <f>AND(BX449&gt;Driver!$F$54,BX449&lt;Driver!$G$54)</f>
        <v>0</v>
      </c>
      <c r="F449" s="43" t="b">
        <f>CL449&gt;Driver!$F$56</f>
        <v>1</v>
      </c>
      <c r="G449" s="43" t="b">
        <f>AND(CB449&gt;Driver!$F$55,CB449&lt;Driver!$G$55)</f>
        <v>0</v>
      </c>
      <c r="H449" s="43" t="b">
        <f t="shared" si="222"/>
        <v>0</v>
      </c>
      <c r="I449" s="43">
        <f t="shared" si="223"/>
        <v>0</v>
      </c>
      <c r="J449" s="43" t="b">
        <f t="array" ref="J449">NOT(OR(($H$9:$H$1273=TRUE)*($I$9:$I$1273&gt;0)*($BT$9:$BT$1273=BT449)*($K$9:$K$1273&gt;K449)))</f>
        <v>1</v>
      </c>
      <c r="K449" s="72">
        <f t="shared" si="224"/>
        <v>0.87022892025468213</v>
      </c>
      <c r="L449" s="72">
        <f t="shared" si="225"/>
        <v>0.93287268643883692</v>
      </c>
      <c r="M449" s="72">
        <f t="shared" si="226"/>
        <v>0.80758515407052733</v>
      </c>
      <c r="N449" s="72">
        <f t="shared" si="227"/>
        <v>0.73091687899797231</v>
      </c>
      <c r="O449" s="72">
        <f t="shared" si="228"/>
        <v>0.75680145654859787</v>
      </c>
      <c r="P449" s="72">
        <f t="shared" si="229"/>
        <v>0.93503712666501193</v>
      </c>
      <c r="Q449" s="72"/>
      <c r="R449" s="72"/>
      <c r="S449" s="72">
        <f t="shared" si="230"/>
        <v>0.47505081228657986</v>
      </c>
      <c r="T449" s="72">
        <f t="shared" si="231"/>
        <v>0.47708500011606692</v>
      </c>
      <c r="U449" s="72">
        <f t="shared" si="232"/>
        <v>0.58243948221351816</v>
      </c>
      <c r="V449" s="72">
        <f t="shared" si="233"/>
        <v>0.51283922989930586</v>
      </c>
      <c r="W449" s="72">
        <f t="shared" si="234"/>
        <v>0.83284197033510343</v>
      </c>
      <c r="X449" s="72">
        <f t="shared" si="235"/>
        <v>6.7127313561163082E-2</v>
      </c>
      <c r="Y449" s="72">
        <f t="shared" si="236"/>
        <v>0.19241484592947264</v>
      </c>
      <c r="Z449" s="72">
        <f t="shared" si="237"/>
        <v>0.26908312100202769</v>
      </c>
      <c r="AA449" s="72">
        <f t="shared" si="238"/>
        <v>0.24319854345140215</v>
      </c>
      <c r="AB449" s="72">
        <f t="shared" si="239"/>
        <v>6.4962873334988014E-2</v>
      </c>
      <c r="AC449" s="72"/>
      <c r="AD449" s="72"/>
      <c r="AE449" s="72">
        <f t="shared" si="240"/>
        <v>0.52494918771342014</v>
      </c>
      <c r="AF449" s="72">
        <f t="shared" si="241"/>
        <v>0.52291499988393308</v>
      </c>
      <c r="AG449" s="72">
        <f t="shared" si="242"/>
        <v>0.41756051778648179</v>
      </c>
      <c r="AH449" s="72">
        <f t="shared" si="243"/>
        <v>0.48716077010069414</v>
      </c>
      <c r="AI449" s="72">
        <f t="shared" si="244"/>
        <v>0.16715802966489657</v>
      </c>
      <c r="AJ449" s="72">
        <f>(AV449-Driver!$K$179)/(Driver!$L$179-Driver!$K$179)</f>
        <v>0.18709209572153734</v>
      </c>
      <c r="AK449" s="72">
        <f>(AW449-Driver!$K$180)/(Driver!$L$180-Driver!$K$180)</f>
        <v>0.20484261026106748</v>
      </c>
      <c r="AL449" s="72">
        <f>(AX449-Driver!$K$181)/(Driver!$L$181-Driver!$K$181)</f>
        <v>0.37077088471510788</v>
      </c>
      <c r="AM449" s="72">
        <f>(AY449-Driver!$K$182)/(Driver!$L$182-Driver!$K$182)</f>
        <v>0.20418647764564421</v>
      </c>
      <c r="AN449" s="72">
        <f>(AZ449-Driver!$K$183)/(Driver!$L$183-Driver!$K$183)</f>
        <v>0.18925653594771241</v>
      </c>
      <c r="AO449" s="72"/>
      <c r="AP449" s="72"/>
      <c r="AQ449" s="72">
        <f>(BC449-Driver!$K$188)/(Driver!$L$188-Driver!$K$188)</f>
        <v>9.5050812286579869E-2</v>
      </c>
      <c r="AR449" s="72">
        <f>MIN((BD449-Driver!$K$189)/(Driver!$L$189-Driver!$K$189),100%)</f>
        <v>2.7085000116066949E-2</v>
      </c>
      <c r="AS449" s="72">
        <f>(BE449-Driver!$K$190)/(Driver!$L$190-Driver!$K$190)</f>
        <v>9.243948221351822E-2</v>
      </c>
      <c r="AT449" s="72">
        <f>(BF449-Driver!$K$191)/(Driver!$L$191-Driver!$K$191)</f>
        <v>2.2839229899305886E-2</v>
      </c>
      <c r="AU449" s="72">
        <f>(BG449-Driver!$K$192)/(Driver!$L$192-Driver!$K$192)</f>
        <v>8.2841970335103446E-2</v>
      </c>
      <c r="AV449" s="70">
        <f t="shared" si="245"/>
        <v>3.937728937728938</v>
      </c>
      <c r="AW449" s="70">
        <f t="shared" si="246"/>
        <v>21.835620081572365</v>
      </c>
      <c r="AX449" s="70">
        <f t="shared" si="247"/>
        <v>4.3369379624359707</v>
      </c>
      <c r="AY449" s="70">
        <f>IFERROR(Driver!$K$19/Data!BH449/Data!BI449*Data!BK449*Data!BL449,"")</f>
        <v>0.24998517200311063</v>
      </c>
      <c r="AZ449" s="70">
        <f t="shared" si="248"/>
        <v>17.248696947133283</v>
      </c>
      <c r="BA449" s="70"/>
      <c r="BB449" s="70"/>
      <c r="BC449" s="70">
        <f t="shared" si="249"/>
        <v>49.303517115575737</v>
      </c>
      <c r="BD449" s="70">
        <f t="shared" si="250"/>
        <v>4.117797402589269</v>
      </c>
      <c r="BE449" s="70">
        <f t="shared" si="251"/>
        <v>9.2601380794862589E-2</v>
      </c>
      <c r="BF449" s="70">
        <f t="shared" si="252"/>
        <v>2.5795305624554556</v>
      </c>
      <c r="BG449" s="70">
        <f t="shared" si="253"/>
        <v>0.31369254715253614</v>
      </c>
      <c r="BH449" s="67">
        <f>MAX((CE449-Driver!$F$200)/(Driver!$G$200-Driver!$F$200)*$BI$1,1)</f>
        <v>4.3369379624359707</v>
      </c>
      <c r="BI449" s="67">
        <f>MAX($BI$1*(BY449-Driver!$F$201)/(Driver!$G$201-Driver!$F$201),1)</f>
        <v>7.1518987341772151</v>
      </c>
      <c r="BJ449" s="67">
        <f>(CB449-Driver!$F$206)/(Driver!$G$206-Driver!$F$206)*$BI$1</f>
        <v>4.2857142857142856</v>
      </c>
      <c r="BK449" s="67">
        <f>(CD449-Driver!$F$203)/(Driver!$G$203-Driver!$F$203)*$BI$1</f>
        <v>5.9174311926605512</v>
      </c>
      <c r="BL449" s="67">
        <f>MAX((CR449-Driver!$F$202)/(Driver!$G$202-Driver!$F$202)*$BI$1,1)</f>
        <v>6.5517241379310338</v>
      </c>
      <c r="BM449" s="67">
        <f>MAX((CH449-Driver!$F$204)/(Driver!$G$204-Driver!$F$204)*$BI$1,1)</f>
        <v>3.6752136752136755</v>
      </c>
      <c r="BN449" s="67">
        <f>(CI449-Driver!$F$205)/(Driver!$G$205-Driver!$F$205)*$BI$1</f>
        <v>2.4117647058823528</v>
      </c>
      <c r="BO449" s="67">
        <f>(CK449-Driver!$F$207)/(Driver!$G$207-Driver!$F$207)*$BI$1</f>
        <v>1.4374353671147879</v>
      </c>
      <c r="BP449" s="67">
        <f>(CM449-Driver!$F$208)/(Driver!$G$208-Driver!$F$208)*$BI$1</f>
        <v>2.4777777777777779</v>
      </c>
      <c r="BQ449" s="67">
        <f>(CL449-Driver!$F$209)/(Driver!$G$209-Driver!$F$209)*$BI$1</f>
        <v>5</v>
      </c>
      <c r="BR449" s="28" t="s">
        <v>155</v>
      </c>
      <c r="BS449" s="8" t="s">
        <v>202</v>
      </c>
      <c r="BT449" s="9" t="s">
        <v>602</v>
      </c>
      <c r="BU449" s="10">
        <v>170</v>
      </c>
      <c r="BV449" s="9" t="s">
        <v>158</v>
      </c>
      <c r="BW449" s="10">
        <v>170</v>
      </c>
      <c r="BX449" s="10">
        <v>168.5</v>
      </c>
      <c r="BY449" s="10">
        <v>121</v>
      </c>
      <c r="BZ449" s="10">
        <v>142</v>
      </c>
      <c r="CA449" s="10">
        <v>118</v>
      </c>
      <c r="CB449" s="10">
        <v>91</v>
      </c>
      <c r="CC449" s="10">
        <v>108</v>
      </c>
      <c r="CD449" s="10">
        <v>22.3</v>
      </c>
      <c r="CE449" s="10">
        <v>1662</v>
      </c>
      <c r="CF449" s="10">
        <v>1.01</v>
      </c>
      <c r="CG449" s="10">
        <v>1679</v>
      </c>
      <c r="CH449" s="10">
        <v>187</v>
      </c>
      <c r="CI449" s="10">
        <v>74</v>
      </c>
      <c r="CJ449" s="10">
        <v>50</v>
      </c>
      <c r="CK449" s="10">
        <v>249</v>
      </c>
      <c r="CL449" s="10">
        <v>32</v>
      </c>
      <c r="CM449" s="10">
        <v>223</v>
      </c>
      <c r="CN449" s="10">
        <v>0.63800000000000001</v>
      </c>
      <c r="CO449" s="10">
        <v>132</v>
      </c>
      <c r="CP449" s="10">
        <v>134</v>
      </c>
      <c r="CQ449" s="10">
        <v>118</v>
      </c>
      <c r="CR449" s="10">
        <v>8</v>
      </c>
      <c r="CS449" s="10">
        <v>7.4</v>
      </c>
      <c r="CT449" s="9" t="s">
        <v>188</v>
      </c>
      <c r="CU449" s="10"/>
      <c r="CV449" s="10"/>
      <c r="CW449" s="10"/>
      <c r="CX449" t="str">
        <f>INDEX('Data_Price '!AG$2:AG$1266,MATCH(Data!$DN449,'Data_Price '!$AT$2:$AT$1266,0))</f>
        <v>Dynastar M-Menace 90 Skis with Xpress 11 GW Ski Bindings - Men's 2022</v>
      </c>
      <c r="CY449" t="str">
        <f>INDEX('Data_Price '!AH$2:AH$1266,MATCH(Data!$DN449,'Data_Price '!$AT$2:$AT$1266,0))</f>
        <v>evo.com</v>
      </c>
      <c r="CZ449">
        <f>INDEX('Data_Price '!AI$2:AI$1266,MATCH(Data!$DN449,'Data_Price '!$AT$2:$AT$1266,0))</f>
        <v>449.95</v>
      </c>
      <c r="DA449" t="str">
        <f>INDEX('Data_Price '!AJ$2:AJ$1266,MATCH(Data!$DN449,'Data_Price '!$AT$2:$AT$1266,0))</f>
        <v>https://tinyurl.com/y72qzh8w</v>
      </c>
      <c r="DB449" t="str">
        <f>INDEX('Data_Price '!AK$2:AK$1266,MATCH(Data!$DN449,'Data_Price '!$AT$2:$AT$1266,0))</f>
        <v>Dynastar M-Pro 90 Ski</v>
      </c>
      <c r="DC449" t="str">
        <f>INDEX('Data_Price '!AL$2:AL$1266,MATCH(Data!$DN449,'Data_Price '!$AT$2:$AT$1266,0))</f>
        <v>Next Adventure</v>
      </c>
      <c r="DD449">
        <f>INDEX('Data_Price '!AM$2:AM$1266,MATCH(Data!$DN449,'Data_Price '!$AT$2:$AT$1266,0))</f>
        <v>419.97</v>
      </c>
      <c r="DE449" t="str">
        <f>INDEX('Data_Price '!AN$2:AN$1266,MATCH(Data!$DN449,'Data_Price '!$AT$2:$AT$1266,0))</f>
        <v>https://tinyurl.com/y8knhynz</v>
      </c>
      <c r="DF449" t="str">
        <f>INDEX('Data_Price '!AO$2:AO$1266,MATCH(Data!$DN449,'Data_Price '!$AT$2:$AT$1266,0))</f>
        <v>Dynastar M-Pro 90 W Skis - Women's 2022</v>
      </c>
      <c r="DG449" t="str">
        <f>INDEX('Data_Price '!AP$2:AP$1266,MATCH(Data!$DN449,'Data_Price '!$AT$2:$AT$1266,0))</f>
        <v>SkiEssentials.com</v>
      </c>
      <c r="DH449">
        <f>INDEX('Data_Price '!AQ$2:AQ$1266,MATCH(Data!$DN449,'Data_Price '!$AT$2:$AT$1266,0))</f>
        <v>479.96</v>
      </c>
      <c r="DI449" t="str">
        <f>INDEX('Data_Price '!AR$2:AR$1266,MATCH(Data!$DN449,'Data_Price '!$AT$2:$AT$1266,0))</f>
        <v>https://tinyurl.com/y7k9ymro</v>
      </c>
      <c r="DJ449" s="89" t="str">
        <f t="shared" si="254"/>
        <v>https://tinyurl.com/y72qzh8w</v>
      </c>
      <c r="DK449" s="89" t="str">
        <f t="shared" si="255"/>
        <v>https://tinyurl.com/y8knhynz</v>
      </c>
      <c r="DL449" s="89" t="str">
        <f t="shared" si="256"/>
        <v>https://tinyurl.com/y7k9ymro</v>
      </c>
      <c r="DM449" s="219" t="str">
        <f t="shared" si="257"/>
        <v>M-Menace 90</v>
      </c>
      <c r="DN449" s="89" t="str">
        <f t="shared" si="258"/>
        <v xml:space="preserve"> DynastarM-Menace 90170 Unisex</v>
      </c>
      <c r="DO449" s="221"/>
    </row>
    <row r="450" spans="2:119" ht="15.6" customHeight="1">
      <c r="B450" s="219" t="b">
        <f t="array" ref="B450">IF(OR(ISERROR(K450:P450)),FALSE,TRUE)</f>
        <v>1</v>
      </c>
      <c r="C450" s="43" t="b">
        <f>OR(BR450=Driver!$G$50,Data!BR463=Driver!$H$50)</f>
        <v>1</v>
      </c>
      <c r="D450" s="43" t="b">
        <f>OR(BV450=Driver!$G$51,BV450=Driver!$H$51)</f>
        <v>1</v>
      </c>
      <c r="E450" s="43" t="b">
        <f>AND(BX450&gt;Driver!$F$54,BX450&lt;Driver!$G$54)</f>
        <v>0</v>
      </c>
      <c r="F450" s="43" t="b">
        <f>CL450&gt;Driver!$F$56</f>
        <v>1</v>
      </c>
      <c r="G450" s="43" t="b">
        <f>AND(CB450&gt;Driver!$F$55,CB450&lt;Driver!$G$55)</f>
        <v>0</v>
      </c>
      <c r="H450" s="43" t="b">
        <f t="shared" si="222"/>
        <v>0</v>
      </c>
      <c r="I450" s="43">
        <f t="shared" si="223"/>
        <v>0</v>
      </c>
      <c r="J450" s="43" t="b">
        <f t="array" ref="J450">NOT(OR(($H$9:$H$1273=TRUE)*($I$9:$I$1273&gt;0)*($BT$9:$BT$1273=BT450)*($K$9:$K$1273&gt;K450)))</f>
        <v>1</v>
      </c>
      <c r="K450" s="72">
        <f t="shared" si="224"/>
        <v>0.86264135632126049</v>
      </c>
      <c r="L450" s="72">
        <f t="shared" si="225"/>
        <v>0.95366069707456325</v>
      </c>
      <c r="M450" s="72">
        <f t="shared" si="226"/>
        <v>0.77162201556795773</v>
      </c>
      <c r="N450" s="72">
        <f t="shared" si="227"/>
        <v>0.69423819690096344</v>
      </c>
      <c r="O450" s="72">
        <f t="shared" si="228"/>
        <v>0.66079497150391064</v>
      </c>
      <c r="P450" s="72">
        <f t="shared" si="229"/>
        <v>0.95983287829899888</v>
      </c>
      <c r="Q450" s="72"/>
      <c r="R450" s="72"/>
      <c r="S450" s="72">
        <f t="shared" si="230"/>
        <v>0.44403853420757944</v>
      </c>
      <c r="T450" s="72">
        <f t="shared" si="231"/>
        <v>0.50610152823181342</v>
      </c>
      <c r="U450" s="72">
        <f t="shared" si="232"/>
        <v>0.83167819350681849</v>
      </c>
      <c r="V450" s="72">
        <f t="shared" si="233"/>
        <v>0.51359166327036787</v>
      </c>
      <c r="W450" s="72">
        <f t="shared" si="234"/>
        <v>0.78849120816789564</v>
      </c>
      <c r="X450" s="72">
        <f t="shared" si="235"/>
        <v>4.6339302925436726E-2</v>
      </c>
      <c r="Y450" s="72">
        <f t="shared" si="236"/>
        <v>0.2283779844320423</v>
      </c>
      <c r="Z450" s="72">
        <f t="shared" si="237"/>
        <v>0.3057618030990365</v>
      </c>
      <c r="AA450" s="72">
        <f t="shared" si="238"/>
        <v>0.33920502849608936</v>
      </c>
      <c r="AB450" s="72">
        <f t="shared" si="239"/>
        <v>4.0167121701001091E-2</v>
      </c>
      <c r="AC450" s="72"/>
      <c r="AD450" s="72"/>
      <c r="AE450" s="72">
        <f t="shared" si="240"/>
        <v>0.55596146579242056</v>
      </c>
      <c r="AF450" s="72">
        <f t="shared" si="241"/>
        <v>0.49389847176818658</v>
      </c>
      <c r="AG450" s="72">
        <f t="shared" si="242"/>
        <v>0.16832180649318146</v>
      </c>
      <c r="AH450" s="72">
        <f t="shared" si="243"/>
        <v>0.48640833672963207</v>
      </c>
      <c r="AI450" s="72">
        <f t="shared" si="244"/>
        <v>0.21150879183210439</v>
      </c>
      <c r="AJ450" s="72">
        <f>(AV450-Driver!$K$179)/(Driver!$L$179-Driver!$K$179)</f>
        <v>0.2078801063572637</v>
      </c>
      <c r="AK450" s="72">
        <f>(AW450-Driver!$K$180)/(Driver!$L$180-Driver!$K$180)</f>
        <v>0.23021160703001586</v>
      </c>
      <c r="AL450" s="72">
        <f>(AX450-Driver!$K$181)/(Driver!$L$181-Driver!$K$181)</f>
        <v>0.40744956681211669</v>
      </c>
      <c r="AM450" s="72">
        <f>(AY450-Driver!$K$182)/(Driver!$L$182-Driver!$K$182)</f>
        <v>0.10817999260095702</v>
      </c>
      <c r="AN450" s="72">
        <f>(AZ450-Driver!$K$183)/(Driver!$L$183-Driver!$K$183)</f>
        <v>0.21405228758169934</v>
      </c>
      <c r="AO450" s="72"/>
      <c r="AP450" s="72"/>
      <c r="AQ450" s="72">
        <f>(BC450-Driver!$K$188)/(Driver!$L$188-Driver!$K$188)</f>
        <v>6.4038534207579489E-2</v>
      </c>
      <c r="AR450" s="72">
        <f>MIN((BD450-Driver!$K$189)/(Driver!$L$189-Driver!$K$189),100%)</f>
        <v>5.6101528231813497E-2</v>
      </c>
      <c r="AS450" s="72">
        <f>(BE450-Driver!$K$190)/(Driver!$L$190-Driver!$K$190)</f>
        <v>0.34167819350681855</v>
      </c>
      <c r="AT450" s="72">
        <f>(BF450-Driver!$K$191)/(Driver!$L$191-Driver!$K$191)</f>
        <v>2.3591663270367925E-2</v>
      </c>
      <c r="AU450" s="72">
        <f>(BG450-Driver!$K$192)/(Driver!$L$192-Driver!$K$192)</f>
        <v>3.849120816789562E-2</v>
      </c>
      <c r="AV450" s="70">
        <f t="shared" si="245"/>
        <v>4.3752543752543751</v>
      </c>
      <c r="AW450" s="70">
        <f t="shared" si="246"/>
        <v>24.308053608885508</v>
      </c>
      <c r="AX450" s="70">
        <f t="shared" si="247"/>
        <v>4.6670461013090501</v>
      </c>
      <c r="AY450" s="70">
        <f>IFERROR(Driver!$K$19/Data!BH450/Data!BI450*Data!BK450*Data!BL450,"")</f>
        <v>0.13244458873803575</v>
      </c>
      <c r="AZ450" s="70">
        <f t="shared" si="248"/>
        <v>19.508562918838422</v>
      </c>
      <c r="BA450" s="70"/>
      <c r="BB450" s="70"/>
      <c r="BC450" s="70">
        <f t="shared" si="249"/>
        <v>33.217232882138738</v>
      </c>
      <c r="BD450" s="70">
        <f t="shared" si="250"/>
        <v>6.6857087265873583</v>
      </c>
      <c r="BE450" s="70">
        <f t="shared" si="251"/>
        <v>0.3417956307073694</v>
      </c>
      <c r="BF450" s="70">
        <f t="shared" si="252"/>
        <v>2.6645126255733063</v>
      </c>
      <c r="BG450" s="70">
        <f t="shared" si="253"/>
        <v>0.14575226885989787</v>
      </c>
      <c r="BH450" s="67">
        <f>MAX((CE450-Driver!$F$200)/(Driver!$G$200-Driver!$F$200)*$BI$1,1)</f>
        <v>4.6670461013090501</v>
      </c>
      <c r="BI450" s="67">
        <f>MAX($BI$1*(BY450-Driver!$F$201)/(Driver!$G$201-Driver!$F$201),1)</f>
        <v>8.2911392405063289</v>
      </c>
      <c r="BJ450" s="67">
        <f>(CB450-Driver!$F$206)/(Driver!$G$206-Driver!$F$206)*$BI$1</f>
        <v>4.7619047619047619</v>
      </c>
      <c r="BK450" s="67">
        <f>(CD450-Driver!$F$203)/(Driver!$G$203-Driver!$F$203)*$BI$1</f>
        <v>3.71559633027523</v>
      </c>
      <c r="BL450" s="67">
        <f>MAX((CR450-Driver!$F$202)/(Driver!$G$202-Driver!$F$202)*$BI$1,1)</f>
        <v>6.8965517241379315</v>
      </c>
      <c r="BM450" s="67">
        <f>MAX((CH450-Driver!$F$204)/(Driver!$G$204-Driver!$F$204)*$BI$1,1)</f>
        <v>3.6752136752136755</v>
      </c>
      <c r="BN450" s="67">
        <f>(CI450-Driver!$F$205)/(Driver!$G$205-Driver!$F$205)*$BI$1</f>
        <v>2.3529411764705883</v>
      </c>
      <c r="BO450" s="67">
        <f>(CK450-Driver!$F$207)/(Driver!$G$207-Driver!$F$207)*$BI$1</f>
        <v>1.1271975180972078</v>
      </c>
      <c r="BP450" s="67">
        <f>(CM450-Driver!$F$208)/(Driver!$G$208-Driver!$F$208)*$BI$1</f>
        <v>1.8444444444444443</v>
      </c>
      <c r="BQ450" s="67">
        <f>(CL450-Driver!$F$209)/(Driver!$G$209-Driver!$F$209)*$BI$1</f>
        <v>2.5</v>
      </c>
      <c r="BR450" s="28" t="s">
        <v>155</v>
      </c>
      <c r="BS450" s="8" t="s">
        <v>164</v>
      </c>
      <c r="BT450" s="9" t="s">
        <v>255</v>
      </c>
      <c r="BU450" s="10">
        <v>180</v>
      </c>
      <c r="BV450" s="9" t="s">
        <v>158</v>
      </c>
      <c r="BW450" s="10">
        <v>180</v>
      </c>
      <c r="BX450" s="10">
        <v>177.1</v>
      </c>
      <c r="BY450" s="10">
        <v>139</v>
      </c>
      <c r="BZ450" s="10">
        <v>144</v>
      </c>
      <c r="CA450" s="10">
        <v>136</v>
      </c>
      <c r="CB450" s="10">
        <v>94</v>
      </c>
      <c r="CC450" s="10">
        <v>110</v>
      </c>
      <c r="CD450" s="10">
        <v>17.5</v>
      </c>
      <c r="CE450" s="10">
        <v>1720</v>
      </c>
      <c r="CF450" s="10">
        <v>1.1000000000000001</v>
      </c>
      <c r="CG450" s="10">
        <v>1895</v>
      </c>
      <c r="CH450" s="10">
        <v>187</v>
      </c>
      <c r="CI450" s="10">
        <v>73</v>
      </c>
      <c r="CJ450" s="10">
        <v>44</v>
      </c>
      <c r="CK450" s="10">
        <v>219</v>
      </c>
      <c r="CL450" s="10">
        <v>16</v>
      </c>
      <c r="CM450" s="10">
        <v>166</v>
      </c>
      <c r="CN450" s="10">
        <v>0.35199999999999998</v>
      </c>
      <c r="CO450" s="10">
        <v>172</v>
      </c>
      <c r="CP450" s="10">
        <v>158</v>
      </c>
      <c r="CQ450" s="10">
        <v>47</v>
      </c>
      <c r="CR450" s="10">
        <v>9</v>
      </c>
      <c r="CS450" s="10">
        <v>8.3000000000000007</v>
      </c>
      <c r="CT450" s="9" t="s">
        <v>188</v>
      </c>
      <c r="CU450" s="9" t="s">
        <v>185</v>
      </c>
      <c r="CV450" s="10"/>
      <c r="CW450" s="10"/>
      <c r="CX450" t="str">
        <f>INDEX('Data_Price '!AG$2:AG$1266,MATCH(Data!$DN450,'Data_Price '!$AT$2:$AT$1266,0))</f>
        <v>Elan Ripstick 96 180</v>
      </c>
      <c r="CY450" t="str">
        <f>INDEX('Data_Price '!AH$2:AH$1266,MATCH(Data!$DN450,'Data_Price '!$AT$2:$AT$1266,0))</f>
        <v>Absolute-Snow.co.uk</v>
      </c>
      <c r="CZ450">
        <f>INDEX('Data_Price '!AI$2:AI$1266,MATCH(Data!$DN450,'Data_Price '!$AT$2:$AT$1266,0))</f>
        <v>440</v>
      </c>
      <c r="DA450" t="str">
        <f>INDEX('Data_Price '!AJ$2:AJ$1266,MATCH(Data!$DN450,'Data_Price '!$AT$2:$AT$1266,0))</f>
        <v>https://tinyurl.com/y9oeoaq3</v>
      </c>
      <c r="DB450" t="str">
        <f>INDEX('Data_Price '!AK$2:AK$1266,MATCH(Data!$DN450,'Data_Price '!$AT$2:$AT$1266,0))</f>
        <v>Elan Ripstick 96 - Ski - 2022 180</v>
      </c>
      <c r="DC450" t="str">
        <f>INDEX('Data_Price '!AL$2:AL$1266,MATCH(Data!$DN450,'Data_Price '!$AT$2:$AT$1266,0))</f>
        <v>AJ Motion Sports</v>
      </c>
      <c r="DD450">
        <f>INDEX('Data_Price '!AM$2:AM$1266,MATCH(Data!$DN450,'Data_Price '!$AT$2:$AT$1266,0))</f>
        <v>487.49</v>
      </c>
      <c r="DE450" t="str">
        <f>INDEX('Data_Price '!AN$2:AN$1266,MATCH(Data!$DN450,'Data_Price '!$AT$2:$AT$1266,0))</f>
        <v>https://tinyurl.com/ycvp6afb</v>
      </c>
      <c r="DF450" t="str">
        <f>INDEX('Data_Price '!AO$2:AO$1266,MATCH(Data!$DN450,'Data_Price '!$AT$2:$AT$1266,0))</f>
        <v>Elan Ripstick 96 Flat Ski 2020-2021 | GREEN / 180</v>
      </c>
      <c r="DG450" t="str">
        <f>INDEX('Data_Price '!AP$2:AP$1266,MATCH(Data!$DN450,'Data_Price '!$AT$2:$AT$1266,0))</f>
        <v>Ski Pro  - Snow Ski &amp; Snowboard</v>
      </c>
      <c r="DH450">
        <f>INDEX('Data_Price '!AQ$2:AQ$1266,MATCH(Data!$DN450,'Data_Price '!$AT$2:$AT$1266,0))</f>
        <v>499.95</v>
      </c>
      <c r="DI450" t="str">
        <f>INDEX('Data_Price '!AR$2:AR$1266,MATCH(Data!$DN450,'Data_Price '!$AT$2:$AT$1266,0))</f>
        <v>https://tinyurl.com/y8uskj4y</v>
      </c>
      <c r="DJ450" s="89" t="str">
        <f t="shared" si="254"/>
        <v>https://tinyurl.com/y9oeoaq3</v>
      </c>
      <c r="DK450" s="89" t="str">
        <f t="shared" si="255"/>
        <v>https://tinyurl.com/ycvp6afb</v>
      </c>
      <c r="DL450" s="89" t="str">
        <f t="shared" si="256"/>
        <v>https://tinyurl.com/y8uskj4y</v>
      </c>
      <c r="DM450" s="219" t="str">
        <f t="shared" si="257"/>
        <v>Ripstick 96</v>
      </c>
      <c r="DN450" s="89" t="str">
        <f t="shared" si="258"/>
        <v xml:space="preserve"> ElanRipstick 96180 Unisex</v>
      </c>
      <c r="DO450" s="221" t="s">
        <v>256</v>
      </c>
    </row>
    <row r="451" spans="2:119" ht="15.6" customHeight="1">
      <c r="B451" s="219" t="b">
        <f t="array" ref="B451">IF(OR(ISERROR(K451:P451)),FALSE,TRUE)</f>
        <v>1</v>
      </c>
      <c r="C451" s="43" t="b">
        <f>OR(BR451=Driver!$G$50,Data!BR760=Driver!$H$50)</f>
        <v>1</v>
      </c>
      <c r="D451" s="43" t="b">
        <f>OR(BV451=Driver!$G$51,BV451=Driver!$H$51)</f>
        <v>1</v>
      </c>
      <c r="E451" s="43" t="b">
        <f>AND(BX451&gt;Driver!$F$54,BX451&lt;Driver!$G$54)</f>
        <v>0</v>
      </c>
      <c r="F451" s="43" t="b">
        <f>CL451&gt;Driver!$F$56</f>
        <v>1</v>
      </c>
      <c r="G451" s="43" t="b">
        <f>AND(CB451&gt;Driver!$F$55,CB451&lt;Driver!$G$55)</f>
        <v>0</v>
      </c>
      <c r="H451" s="43" t="b">
        <f t="shared" si="222"/>
        <v>0</v>
      </c>
      <c r="I451" s="43">
        <f t="shared" si="223"/>
        <v>0</v>
      </c>
      <c r="J451" s="43" t="b">
        <f t="array" ref="J451">NOT(OR(($H$9:$H$1273=TRUE)*($I$9:$I$1273&gt;0)*($BT$9:$BT$1273=BT451)*($K$9:$K$1273&gt;K451)))</f>
        <v>1</v>
      </c>
      <c r="K451" s="72">
        <f t="shared" si="224"/>
        <v>0.81845159187034922</v>
      </c>
      <c r="L451" s="72">
        <f t="shared" si="225"/>
        <v>0.84053524384758727</v>
      </c>
      <c r="M451" s="72">
        <f t="shared" si="226"/>
        <v>0.79636793989311105</v>
      </c>
      <c r="N451" s="72">
        <f t="shared" si="227"/>
        <v>0.72143101293840117</v>
      </c>
      <c r="O451" s="72">
        <f t="shared" si="228"/>
        <v>0.66821574543539719</v>
      </c>
      <c r="P451" s="72">
        <f t="shared" si="229"/>
        <v>0.99945706130553491</v>
      </c>
      <c r="Q451" s="72"/>
      <c r="R451" s="72"/>
      <c r="S451" s="72">
        <f t="shared" si="230"/>
        <v>0.4807883107776133</v>
      </c>
      <c r="T451" s="72">
        <f t="shared" si="231"/>
        <v>0.47850036735178003</v>
      </c>
      <c r="U451" s="72">
        <f t="shared" si="232"/>
        <v>0.5697542321455098</v>
      </c>
      <c r="V451" s="72">
        <f t="shared" si="233"/>
        <v>0.5114143824869487</v>
      </c>
      <c r="W451" s="72">
        <f t="shared" si="234"/>
        <v>0.92155267512410366</v>
      </c>
      <c r="X451" s="72">
        <f t="shared" si="235"/>
        <v>0.15946475615241279</v>
      </c>
      <c r="Y451" s="72">
        <f t="shared" si="236"/>
        <v>0.20363206010688892</v>
      </c>
      <c r="Z451" s="72">
        <f t="shared" si="237"/>
        <v>0.27856898706159883</v>
      </c>
      <c r="AA451" s="72">
        <f t="shared" si="238"/>
        <v>0.33178425456460281</v>
      </c>
      <c r="AB451" s="72">
        <f t="shared" si="239"/>
        <v>5.4293869446514487E-4</v>
      </c>
      <c r="AC451" s="72"/>
      <c r="AD451" s="72"/>
      <c r="AE451" s="72">
        <f t="shared" si="240"/>
        <v>0.5192116892223867</v>
      </c>
      <c r="AF451" s="72">
        <f t="shared" si="241"/>
        <v>0.52149963264821997</v>
      </c>
      <c r="AG451" s="72">
        <f t="shared" si="242"/>
        <v>0.43024576785449026</v>
      </c>
      <c r="AH451" s="72">
        <f t="shared" si="243"/>
        <v>0.4885856175130513</v>
      </c>
      <c r="AI451" s="72">
        <f t="shared" si="244"/>
        <v>7.8447324875896313E-2</v>
      </c>
      <c r="AJ451" s="72">
        <f>(AV451-Driver!$K$179)/(Driver!$L$179-Driver!$K$179)</f>
        <v>9.4754653130287636E-2</v>
      </c>
      <c r="AK451" s="72">
        <f>(AW451-Driver!$K$180)/(Driver!$L$180-Driver!$K$180)</f>
        <v>0.26484845596071416</v>
      </c>
      <c r="AL451" s="72">
        <f>(AX451-Driver!$K$181)/(Driver!$L$181-Driver!$K$181)</f>
        <v>0.38025675077467902</v>
      </c>
      <c r="AM451" s="72">
        <f>(AY451-Driver!$K$182)/(Driver!$L$182-Driver!$K$182)</f>
        <v>0.11560076653244353</v>
      </c>
      <c r="AN451" s="72">
        <f>(AZ451-Driver!$K$183)/(Driver!$L$183-Driver!$K$183)</f>
        <v>0.25367647058823528</v>
      </c>
      <c r="AO451" s="72"/>
      <c r="AP451" s="72"/>
      <c r="AQ451" s="72">
        <f>(BC451-Driver!$K$188)/(Driver!$L$188-Driver!$K$188)</f>
        <v>0.10078831077761327</v>
      </c>
      <c r="AR451" s="72">
        <f>MIN((BD451-Driver!$K$189)/(Driver!$L$189-Driver!$K$189),100%)</f>
        <v>2.8500367351780034E-2</v>
      </c>
      <c r="AS451" s="72">
        <f>(BE451-Driver!$K$190)/(Driver!$L$190-Driver!$K$190)</f>
        <v>7.9754232145509751E-2</v>
      </c>
      <c r="AT451" s="72">
        <f>(BF451-Driver!$K$191)/(Driver!$L$191-Driver!$K$191)</f>
        <v>2.1414382486948703E-2</v>
      </c>
      <c r="AU451" s="72">
        <f>(BG451-Driver!$K$192)/(Driver!$L$192-Driver!$K$192)</f>
        <v>0.17155267512410369</v>
      </c>
      <c r="AV451" s="70">
        <f t="shared" si="245"/>
        <v>1.9943019943019942</v>
      </c>
      <c r="AW451" s="70">
        <f t="shared" si="246"/>
        <v>27.683721450885425</v>
      </c>
      <c r="AX451" s="70">
        <f t="shared" si="247"/>
        <v>4.4223107569721112</v>
      </c>
      <c r="AY451" s="70">
        <f>IFERROR(Driver!$K$19/Data!BH451/Data!BI451*Data!BK451*Data!BL451,"")</f>
        <v>0.14152983017541565</v>
      </c>
      <c r="AZ451" s="70">
        <f t="shared" si="248"/>
        <v>23.119880863737897</v>
      </c>
      <c r="BA451" s="70"/>
      <c r="BB451" s="70"/>
      <c r="BC451" s="70">
        <f t="shared" si="249"/>
        <v>52.279597469317167</v>
      </c>
      <c r="BD451" s="70">
        <f t="shared" si="250"/>
        <v>4.2430548950675346</v>
      </c>
      <c r="BE451" s="70">
        <f t="shared" si="251"/>
        <v>7.9918393632687684E-2</v>
      </c>
      <c r="BF451" s="70">
        <f t="shared" si="252"/>
        <v>2.418604057349317</v>
      </c>
      <c r="BG451" s="70">
        <f t="shared" si="253"/>
        <v>0.64960786679536686</v>
      </c>
      <c r="BH451" s="67">
        <f>MAX((CE451-Driver!$F$200)/(Driver!$G$200-Driver!$F$200)*$BI$1,1)</f>
        <v>4.4223107569721112</v>
      </c>
      <c r="BI451" s="67">
        <f>MAX($BI$1*(BY451-Driver!$F$201)/(Driver!$G$201-Driver!$F$201),1)</f>
        <v>7.2784810126582276</v>
      </c>
      <c r="BJ451" s="67">
        <f>(CB451-Driver!$F$206)/(Driver!$G$206-Driver!$F$206)*$BI$1</f>
        <v>3.333333333333333</v>
      </c>
      <c r="BK451" s="67">
        <f>(CD451-Driver!$F$203)/(Driver!$G$203-Driver!$F$203)*$BI$1</f>
        <v>4.1284403669724767</v>
      </c>
      <c r="BL451" s="67">
        <f>MAX((CR451-Driver!$F$202)/(Driver!$G$202-Driver!$F$202)*$BI$1,1)</f>
        <v>5.5172413793103452</v>
      </c>
      <c r="BM451" s="67">
        <f>MAX((CH451-Driver!$F$204)/(Driver!$G$204-Driver!$F$204)*$BI$1,1)</f>
        <v>2.3931623931623931</v>
      </c>
      <c r="BN451" s="67">
        <f>(CI451-Driver!$F$205)/(Driver!$G$205-Driver!$F$205)*$BI$1</f>
        <v>3.1764705882352939</v>
      </c>
      <c r="BO451" s="67">
        <f>(CK451-Driver!$F$207)/(Driver!$G$207-Driver!$F$207)*$BI$1</f>
        <v>1.1375387797311272</v>
      </c>
      <c r="BP451" s="67">
        <f>(CM451-Driver!$F$208)/(Driver!$G$208-Driver!$F$208)*$BI$1</f>
        <v>2.6333333333333329</v>
      </c>
      <c r="BQ451" s="67">
        <f>(CL451-Driver!$F$209)/(Driver!$G$209-Driver!$F$209)*$BI$1</f>
        <v>6.875</v>
      </c>
      <c r="BR451" s="28" t="s">
        <v>155</v>
      </c>
      <c r="BS451" s="8" t="s">
        <v>262</v>
      </c>
      <c r="BT451" s="9" t="s">
        <v>603</v>
      </c>
      <c r="BU451" s="10">
        <v>169</v>
      </c>
      <c r="BV451" s="9" t="s">
        <v>158</v>
      </c>
      <c r="BW451" s="10">
        <v>169</v>
      </c>
      <c r="BX451" s="10">
        <v>169.1</v>
      </c>
      <c r="BY451" s="10">
        <v>123</v>
      </c>
      <c r="BZ451" s="10">
        <v>135</v>
      </c>
      <c r="CA451" s="10">
        <v>111</v>
      </c>
      <c r="CB451" s="10">
        <v>85</v>
      </c>
      <c r="CC451" s="10">
        <v>106</v>
      </c>
      <c r="CD451" s="10">
        <v>18.399999999999999</v>
      </c>
      <c r="CE451" s="10">
        <v>1677</v>
      </c>
      <c r="CF451" s="10">
        <v>0.95</v>
      </c>
      <c r="CG451" s="10">
        <v>1600</v>
      </c>
      <c r="CH451" s="10">
        <v>157</v>
      </c>
      <c r="CI451" s="10">
        <v>87</v>
      </c>
      <c r="CJ451" s="10">
        <v>48</v>
      </c>
      <c r="CK451" s="10">
        <v>220</v>
      </c>
      <c r="CL451" s="10">
        <v>44</v>
      </c>
      <c r="CM451" s="10">
        <v>237</v>
      </c>
      <c r="CN451" s="10">
        <v>0.92800000000000005</v>
      </c>
      <c r="CO451" s="10">
        <v>161</v>
      </c>
      <c r="CP451" s="10">
        <v>183</v>
      </c>
      <c r="CQ451" s="10">
        <v>59</v>
      </c>
      <c r="CR451" s="10">
        <v>5</v>
      </c>
      <c r="CS451" s="10">
        <v>4.7</v>
      </c>
      <c r="CT451" s="9" t="s">
        <v>184</v>
      </c>
      <c r="CU451" s="10"/>
      <c r="CV451" s="10"/>
      <c r="CW451" s="10"/>
      <c r="CX451" t="e">
        <f>INDEX('Data_Price '!AG$2:AG$1266,MATCH(Data!$DN451,'Data_Price '!$AT$2:$AT$1266,0))</f>
        <v>#N/A</v>
      </c>
      <c r="CY451" t="e">
        <f>INDEX('Data_Price '!AH$2:AH$1266,MATCH(Data!$DN451,'Data_Price '!$AT$2:$AT$1266,0))</f>
        <v>#N/A</v>
      </c>
      <c r="CZ451" t="e">
        <f>INDEX('Data_Price '!AI$2:AI$1266,MATCH(Data!$DN451,'Data_Price '!$AT$2:$AT$1266,0))</f>
        <v>#N/A</v>
      </c>
      <c r="DA451" t="e">
        <f>INDEX('Data_Price '!AJ$2:AJ$1266,MATCH(Data!$DN451,'Data_Price '!$AT$2:$AT$1266,0))</f>
        <v>#N/A</v>
      </c>
      <c r="DB451" t="e">
        <f>INDEX('Data_Price '!AK$2:AK$1266,MATCH(Data!$DN451,'Data_Price '!$AT$2:$AT$1266,0))</f>
        <v>#N/A</v>
      </c>
      <c r="DC451" t="e">
        <f>INDEX('Data_Price '!AL$2:AL$1266,MATCH(Data!$DN451,'Data_Price '!$AT$2:$AT$1266,0))</f>
        <v>#N/A</v>
      </c>
      <c r="DD451" t="e">
        <f>INDEX('Data_Price '!AM$2:AM$1266,MATCH(Data!$DN451,'Data_Price '!$AT$2:$AT$1266,0))</f>
        <v>#N/A</v>
      </c>
      <c r="DE451" t="e">
        <f>INDEX('Data_Price '!AN$2:AN$1266,MATCH(Data!$DN451,'Data_Price '!$AT$2:$AT$1266,0))</f>
        <v>#N/A</v>
      </c>
      <c r="DF451" t="e">
        <f>INDEX('Data_Price '!AO$2:AO$1266,MATCH(Data!$DN451,'Data_Price '!$AT$2:$AT$1266,0))</f>
        <v>#N/A</v>
      </c>
      <c r="DG451" t="e">
        <f>INDEX('Data_Price '!AP$2:AP$1266,MATCH(Data!$DN451,'Data_Price '!$AT$2:$AT$1266,0))</f>
        <v>#N/A</v>
      </c>
      <c r="DH451" t="e">
        <f>INDEX('Data_Price '!AQ$2:AQ$1266,MATCH(Data!$DN451,'Data_Price '!$AT$2:$AT$1266,0))</f>
        <v>#N/A</v>
      </c>
      <c r="DI451" t="e">
        <f>INDEX('Data_Price '!AR$2:AR$1266,MATCH(Data!$DN451,'Data_Price '!$AT$2:$AT$1266,0))</f>
        <v>#N/A</v>
      </c>
      <c r="DJ451" s="89" t="e">
        <f t="shared" si="254"/>
        <v>#N/A</v>
      </c>
      <c r="DK451" s="89" t="e">
        <f t="shared" si="255"/>
        <v>#N/A</v>
      </c>
      <c r="DL451" s="89" t="e">
        <f t="shared" si="256"/>
        <v>#N/A</v>
      </c>
      <c r="DM451" s="219" t="str">
        <f t="shared" si="257"/>
        <v>Press</v>
      </c>
      <c r="DN451" s="89" t="str">
        <f t="shared" si="258"/>
        <v xml:space="preserve"> K2Press169 Unisex</v>
      </c>
      <c r="DO451" s="221"/>
    </row>
    <row r="452" spans="2:119" ht="15.6" customHeight="1">
      <c r="B452" s="219" t="b">
        <f t="array" ref="B452">IF(OR(ISERROR(K452:P452)),FALSE,TRUE)</f>
        <v>1</v>
      </c>
      <c r="C452" s="43" t="b">
        <f>OR(BR452=Driver!$G$50,Data!BR216=Driver!$H$50)</f>
        <v>1</v>
      </c>
      <c r="D452" s="43" t="b">
        <f>OR(BV452=Driver!$G$51,BV452=Driver!$H$51)</f>
        <v>1</v>
      </c>
      <c r="E452" s="43" t="b">
        <f>AND(BX452&gt;Driver!$F$54,BX452&lt;Driver!$G$54)</f>
        <v>0</v>
      </c>
      <c r="F452" s="43" t="b">
        <f>CL452&gt;Driver!$F$56</f>
        <v>1</v>
      </c>
      <c r="G452" s="43" t="b">
        <f>AND(CB452&gt;Driver!$F$55,CB452&lt;Driver!$G$55)</f>
        <v>0</v>
      </c>
      <c r="H452" s="43" t="b">
        <f t="shared" si="222"/>
        <v>0</v>
      </c>
      <c r="I452" s="43">
        <f t="shared" si="223"/>
        <v>0</v>
      </c>
      <c r="J452" s="43" t="b">
        <f t="array" ref="J452">NOT(OR(($H$9:$H$1273=TRUE)*($I$9:$I$1273&gt;0)*($BT$9:$BT$1273=BT452)*($K$9:$K$1273&gt;K452)))</f>
        <v>1</v>
      </c>
      <c r="K452" s="72">
        <f t="shared" si="224"/>
        <v>0.83496804506244549</v>
      </c>
      <c r="L452" s="72">
        <f t="shared" si="225"/>
        <v>0.89484190729130653</v>
      </c>
      <c r="M452" s="72">
        <f t="shared" si="226"/>
        <v>0.77509418283358467</v>
      </c>
      <c r="N452" s="72">
        <f t="shared" si="227"/>
        <v>0.70182688974862062</v>
      </c>
      <c r="O452" s="72">
        <f t="shared" si="228"/>
        <v>0.63960317260999711</v>
      </c>
      <c r="P452" s="72">
        <f t="shared" si="229"/>
        <v>0.98385248614213616</v>
      </c>
      <c r="Q452" s="72"/>
      <c r="R452" s="72"/>
      <c r="S452" s="72">
        <f t="shared" si="230"/>
        <v>0.45802257185340267</v>
      </c>
      <c r="T452" s="72">
        <f t="shared" si="231"/>
        <v>0.48820353891868484</v>
      </c>
      <c r="U452" s="72">
        <f t="shared" si="232"/>
        <v>0.59521233811484864</v>
      </c>
      <c r="V452" s="72">
        <f t="shared" si="233"/>
        <v>0.51882788078411823</v>
      </c>
      <c r="W452" s="72">
        <f t="shared" si="234"/>
        <v>0.84646942734814012</v>
      </c>
      <c r="X452" s="72">
        <f t="shared" si="235"/>
        <v>0.10515809270869353</v>
      </c>
      <c r="Y452" s="72">
        <f t="shared" si="236"/>
        <v>0.22490581716641536</v>
      </c>
      <c r="Z452" s="72">
        <f t="shared" si="237"/>
        <v>0.29817311025137944</v>
      </c>
      <c r="AA452" s="72">
        <f t="shared" si="238"/>
        <v>0.36039682739000289</v>
      </c>
      <c r="AB452" s="72">
        <f t="shared" si="239"/>
        <v>1.614751385786381E-2</v>
      </c>
      <c r="AC452" s="72"/>
      <c r="AD452" s="72"/>
      <c r="AE452" s="72">
        <f t="shared" si="240"/>
        <v>0.54197742814659733</v>
      </c>
      <c r="AF452" s="72">
        <f t="shared" si="241"/>
        <v>0.51179646108131516</v>
      </c>
      <c r="AG452" s="72">
        <f t="shared" si="242"/>
        <v>0.40478766188515142</v>
      </c>
      <c r="AH452" s="72">
        <f t="shared" si="243"/>
        <v>0.48117211921588182</v>
      </c>
      <c r="AI452" s="72">
        <f t="shared" si="244"/>
        <v>0.15353057265185982</v>
      </c>
      <c r="AJ452" s="72">
        <f>(AV452-Driver!$K$179)/(Driver!$L$179-Driver!$K$179)</f>
        <v>0.1490613165740069</v>
      </c>
      <c r="AK452" s="72">
        <f>(AW452-Driver!$K$180)/(Driver!$L$180-Driver!$K$180)</f>
        <v>0.25170668173343475</v>
      </c>
      <c r="AL452" s="72">
        <f>(AX452-Driver!$K$181)/(Driver!$L$181-Driver!$K$181)</f>
        <v>0.39986087396445963</v>
      </c>
      <c r="AM452" s="72">
        <f>(AY452-Driver!$K$182)/(Driver!$L$182-Driver!$K$182)</f>
        <v>8.6988193707043485E-2</v>
      </c>
      <c r="AN452" s="72">
        <f>(AZ452-Driver!$K$183)/(Driver!$L$183-Driver!$K$183)</f>
        <v>0.23807189542483662</v>
      </c>
      <c r="AO452" s="72"/>
      <c r="AP452" s="72"/>
      <c r="AQ452" s="72">
        <f>(BC452-Driver!$K$188)/(Driver!$L$188-Driver!$K$188)</f>
        <v>7.8022571853402709E-2</v>
      </c>
      <c r="AR452" s="72">
        <f>MIN((BD452-Driver!$K$189)/(Driver!$L$189-Driver!$K$189),100%)</f>
        <v>3.8203538918684922E-2</v>
      </c>
      <c r="AS452" s="72">
        <f>(BE452-Driver!$K$190)/(Driver!$L$190-Driver!$K$190)</f>
        <v>0.10521233811484858</v>
      </c>
      <c r="AT452" s="72">
        <f>(BF452-Driver!$K$191)/(Driver!$L$191-Driver!$K$191)</f>
        <v>2.8827880784118205E-2</v>
      </c>
      <c r="AU452" s="72">
        <f>(BG452-Driver!$K$192)/(Driver!$L$192-Driver!$K$192)</f>
        <v>9.6469427348140194E-2</v>
      </c>
      <c r="AV452" s="70">
        <f t="shared" si="245"/>
        <v>3.1372948039614701</v>
      </c>
      <c r="AW452" s="70">
        <f t="shared" si="246"/>
        <v>26.402939104471326</v>
      </c>
      <c r="AX452" s="70">
        <f t="shared" si="247"/>
        <v>4.5987478656801368</v>
      </c>
      <c r="AY452" s="70">
        <f>IFERROR(Driver!$K$19/Data!BH452/Data!BI452*Data!BK452*Data!BL452,"")</f>
        <v>0.10649950386936929</v>
      </c>
      <c r="AZ452" s="70">
        <f t="shared" si="248"/>
        <v>21.697691734921818</v>
      </c>
      <c r="BA452" s="70"/>
      <c r="BB452" s="70"/>
      <c r="BC452" s="70">
        <f t="shared" si="249"/>
        <v>40.470850424479771</v>
      </c>
      <c r="BD452" s="70">
        <f t="shared" si="250"/>
        <v>5.1017683857359639</v>
      </c>
      <c r="BE452" s="70">
        <f t="shared" si="251"/>
        <v>0.10537195816246477</v>
      </c>
      <c r="BF452" s="70">
        <f t="shared" si="252"/>
        <v>3.2559066072413949</v>
      </c>
      <c r="BG452" s="70">
        <f t="shared" si="253"/>
        <v>0.36529479278164295</v>
      </c>
      <c r="BH452" s="67">
        <f>MAX((CE452-Driver!$F$200)/(Driver!$G$200-Driver!$F$200)*$BI$1,1)</f>
        <v>4.5987478656801368</v>
      </c>
      <c r="BI452" s="67">
        <f>MAX($BI$1*(BY452-Driver!$F$201)/(Driver!$G$201-Driver!$F$201),1)</f>
        <v>7.8481012658227849</v>
      </c>
      <c r="BJ452" s="67">
        <f>(CB452-Driver!$F$206)/(Driver!$G$206-Driver!$F$206)*$BI$1</f>
        <v>3.9682539682539679</v>
      </c>
      <c r="BK452" s="67">
        <f>(CD452-Driver!$F$203)/(Driver!$G$203-Driver!$F$203)*$BI$1</f>
        <v>3.71559633027523</v>
      </c>
      <c r="BL452" s="67">
        <f>MAX((CR452-Driver!$F$202)/(Driver!$G$202-Driver!$F$202)*$BI$1,1)</f>
        <v>5.1724137931034484</v>
      </c>
      <c r="BM452" s="67">
        <f>MAX((CH452-Driver!$F$204)/(Driver!$G$204-Driver!$F$204)*$BI$1,1)</f>
        <v>3.1623931623931623</v>
      </c>
      <c r="BN452" s="67">
        <f>(CI452-Driver!$F$205)/(Driver!$G$205-Driver!$F$205)*$BI$1</f>
        <v>2.7647058823529411</v>
      </c>
      <c r="BO452" s="67">
        <f>(CK452-Driver!$F$207)/(Driver!$G$207-Driver!$F$207)*$BI$1</f>
        <v>1.3650465356773525</v>
      </c>
      <c r="BP452" s="67">
        <f>(CM452-Driver!$F$208)/(Driver!$G$208-Driver!$F$208)*$BI$1</f>
        <v>2.2333333333333334</v>
      </c>
      <c r="BQ452" s="67">
        <f>(CL452-Driver!$F$209)/(Driver!$G$209-Driver!$F$209)*$BI$1</f>
        <v>5.3125</v>
      </c>
      <c r="BR452" s="28" t="s">
        <v>155</v>
      </c>
      <c r="BS452" s="8" t="s">
        <v>237</v>
      </c>
      <c r="BT452" s="9" t="s">
        <v>604</v>
      </c>
      <c r="BU452" s="10">
        <v>178.3</v>
      </c>
      <c r="BV452" s="9" t="s">
        <v>158</v>
      </c>
      <c r="BW452" s="10">
        <v>178.3</v>
      </c>
      <c r="BX452" s="10">
        <v>176.7</v>
      </c>
      <c r="BY452" s="10">
        <v>132</v>
      </c>
      <c r="BZ452" s="10">
        <v>143</v>
      </c>
      <c r="CA452" s="10">
        <v>120</v>
      </c>
      <c r="CB452" s="10">
        <v>89</v>
      </c>
      <c r="CC452" s="10">
        <v>111</v>
      </c>
      <c r="CD452" s="10">
        <v>17.5</v>
      </c>
      <c r="CE452" s="10">
        <v>1708</v>
      </c>
      <c r="CF452" s="10">
        <v>1.04</v>
      </c>
      <c r="CG452" s="10">
        <v>1782</v>
      </c>
      <c r="CH452" s="10">
        <v>175</v>
      </c>
      <c r="CI452" s="10">
        <v>80</v>
      </c>
      <c r="CJ452" s="10">
        <v>39</v>
      </c>
      <c r="CK452" s="10">
        <v>242</v>
      </c>
      <c r="CL452" s="10">
        <v>34</v>
      </c>
      <c r="CM452" s="10">
        <v>201</v>
      </c>
      <c r="CN452" s="10">
        <v>0.88500000000000001</v>
      </c>
      <c r="CO452" s="10">
        <v>204</v>
      </c>
      <c r="CP452" s="10">
        <v>136</v>
      </c>
      <c r="CQ452" s="10">
        <v>38</v>
      </c>
      <c r="CR452" s="10">
        <v>4</v>
      </c>
      <c r="CS452" s="10">
        <v>6.3</v>
      </c>
      <c r="CT452" s="9" t="s">
        <v>184</v>
      </c>
      <c r="CU452" s="10"/>
      <c r="CV452" s="10"/>
      <c r="CW452" s="10"/>
      <c r="CX452" t="str">
        <f>INDEX('Data_Price '!AG$2:AG$1266,MATCH(Data!$DN452,'Data_Price '!$AT$2:$AT$1266,0))</f>
        <v>Black Crows Captis Skis</v>
      </c>
      <c r="CY452" t="str">
        <f>INDEX('Data_Price '!AH$2:AH$1266,MATCH(Data!$DN452,'Data_Price '!$AT$2:$AT$1266,0))</f>
        <v>Absolute-Snow.co.uk</v>
      </c>
      <c r="CZ452">
        <f>INDEX('Data_Price '!AI$2:AI$1266,MATCH(Data!$DN452,'Data_Price '!$AT$2:$AT$1266,0))</f>
        <v>422.9</v>
      </c>
      <c r="DA452" t="str">
        <f>INDEX('Data_Price '!AJ$2:AJ$1266,MATCH(Data!$DN452,'Data_Price '!$AT$2:$AT$1266,0))</f>
        <v>https://tinyurl.com/y8j4bhqp</v>
      </c>
      <c r="DB452" t="str">
        <f>INDEX('Data_Price '!AK$2:AK$1266,MATCH(Data!$DN452,'Data_Price '!$AT$2:$AT$1266,0))</f>
        <v>Black Crows Captis Skis</v>
      </c>
      <c r="DC452" t="str">
        <f>INDEX('Data_Price '!AL$2:AL$1266,MATCH(Data!$DN452,'Data_Price '!$AT$2:$AT$1266,0))</f>
        <v>! OutdoorXL.com</v>
      </c>
      <c r="DD452">
        <f>INDEX('Data_Price '!AM$2:AM$1266,MATCH(Data!$DN452,'Data_Price '!$AT$2:$AT$1266,0))</f>
        <v>424.95</v>
      </c>
      <c r="DE452" t="str">
        <f>INDEX('Data_Price '!AN$2:AN$1266,MATCH(Data!$DN452,'Data_Price '!$AT$2:$AT$1266,0))</f>
        <v>https://tinyurl.com/yck7wn6a</v>
      </c>
      <c r="DF452" t="str">
        <f>INDEX('Data_Price '!AO$2:AO$1266,MATCH(Data!$DN452,'Data_Price '!$AT$2:$AT$1266,0))</f>
        <v>Black Crows Captis Skis</v>
      </c>
      <c r="DG452" t="str">
        <f>INDEX('Data_Price '!AP$2:AP$1266,MATCH(Data!$DN452,'Data_Price '!$AT$2:$AT$1266,0))</f>
        <v>Teton Wasatch Ski Co.</v>
      </c>
      <c r="DH452">
        <f>INDEX('Data_Price '!AQ$2:AQ$1266,MATCH(Data!$DN452,'Data_Price '!$AT$2:$AT$1266,0))</f>
        <v>455</v>
      </c>
      <c r="DI452" t="str">
        <f>INDEX('Data_Price '!AR$2:AR$1266,MATCH(Data!$DN452,'Data_Price '!$AT$2:$AT$1266,0))</f>
        <v>https://tinyurl.com/ycrozjgq</v>
      </c>
      <c r="DJ452" s="89" t="str">
        <f t="shared" si="254"/>
        <v>https://tinyurl.com/y8j4bhqp</v>
      </c>
      <c r="DK452" s="89" t="str">
        <f t="shared" si="255"/>
        <v>https://tinyurl.com/yck7wn6a</v>
      </c>
      <c r="DL452" s="89" t="str">
        <f t="shared" si="256"/>
        <v>https://tinyurl.com/ycrozjgq</v>
      </c>
      <c r="DM452" s="219" t="str">
        <f t="shared" si="257"/>
        <v>Captis</v>
      </c>
      <c r="DN452" s="89" t="str">
        <f t="shared" si="258"/>
        <v xml:space="preserve"> Black CrowsCaptis178.3 Unisex</v>
      </c>
      <c r="DO452" s="221" t="s">
        <v>605</v>
      </c>
    </row>
    <row r="453" spans="2:119" ht="15.6" customHeight="1">
      <c r="B453" s="219" t="b">
        <f t="array" ref="B453">IF(OR(ISERROR(K453:P453)),FALSE,TRUE)</f>
        <v>1</v>
      </c>
      <c r="C453" s="43" t="b">
        <f>OR(BR453=Driver!$G$50,Data!BR755=Driver!$H$50)</f>
        <v>1</v>
      </c>
      <c r="D453" s="43" t="b">
        <f>OR(BV453=Driver!$G$51,BV453=Driver!$H$51)</f>
        <v>0</v>
      </c>
      <c r="E453" s="43" t="b">
        <f>AND(BX453&gt;Driver!$F$54,BX453&lt;Driver!$G$54)</f>
        <v>1</v>
      </c>
      <c r="F453" s="43" t="b">
        <f>CL453&gt;Driver!$F$56</f>
        <v>1</v>
      </c>
      <c r="G453" s="43" t="b">
        <f>AND(CB453&gt;Driver!$F$55,CB453&lt;Driver!$G$55)</f>
        <v>0</v>
      </c>
      <c r="H453" s="43" t="b">
        <f t="shared" si="222"/>
        <v>0</v>
      </c>
      <c r="I453" s="43">
        <f t="shared" si="223"/>
        <v>0</v>
      </c>
      <c r="J453" s="43" t="b">
        <f t="array" ref="J453">NOT(OR(($H$9:$H$1273=TRUE)*($I$9:$I$1273&gt;0)*($BT$9:$BT$1273=BT453)*($K$9:$K$1273&gt;K453)))</f>
        <v>1</v>
      </c>
      <c r="K453" s="72">
        <f t="shared" si="224"/>
        <v>0.86118373013555649</v>
      </c>
      <c r="L453" s="72">
        <f t="shared" si="225"/>
        <v>0.92127007585145471</v>
      </c>
      <c r="M453" s="72">
        <f t="shared" si="226"/>
        <v>0.80109738441965817</v>
      </c>
      <c r="N453" s="72">
        <f t="shared" si="227"/>
        <v>0.76822795216561923</v>
      </c>
      <c r="O453" s="72">
        <f t="shared" si="228"/>
        <v>0.67061530972246108</v>
      </c>
      <c r="P453" s="72">
        <f t="shared" si="229"/>
        <v>0.9644488913708944</v>
      </c>
      <c r="Q453" s="72"/>
      <c r="R453" s="72"/>
      <c r="S453" s="72">
        <f t="shared" si="230"/>
        <v>0.43621456285226146</v>
      </c>
      <c r="T453" s="72">
        <f t="shared" si="231"/>
        <v>0.47066589683603566</v>
      </c>
      <c r="U453" s="72">
        <f t="shared" si="232"/>
        <v>0.58065020534257461</v>
      </c>
      <c r="V453" s="72">
        <f t="shared" si="233"/>
        <v>0.57207476249462896</v>
      </c>
      <c r="W453" s="72">
        <f t="shared" si="234"/>
        <v>0.81947174447174453</v>
      </c>
      <c r="X453" s="72">
        <f t="shared" si="235"/>
        <v>7.8729924148545266E-2</v>
      </c>
      <c r="Y453" s="72">
        <f t="shared" si="236"/>
        <v>0.19890261558034181</v>
      </c>
      <c r="Z453" s="72">
        <f t="shared" si="237"/>
        <v>0.23177204783438077</v>
      </c>
      <c r="AA453" s="72">
        <f t="shared" si="238"/>
        <v>0.32938469027753892</v>
      </c>
      <c r="AB453" s="72">
        <f t="shared" si="239"/>
        <v>3.5551108629105654E-2</v>
      </c>
      <c r="AC453" s="72"/>
      <c r="AD453" s="72"/>
      <c r="AE453" s="72">
        <f t="shared" si="240"/>
        <v>0.56378543714773854</v>
      </c>
      <c r="AF453" s="72">
        <f t="shared" si="241"/>
        <v>0.52933410316396434</v>
      </c>
      <c r="AG453" s="72">
        <f t="shared" si="242"/>
        <v>0.41934979465742533</v>
      </c>
      <c r="AH453" s="72">
        <f t="shared" si="243"/>
        <v>0.42792523750537104</v>
      </c>
      <c r="AI453" s="72">
        <f t="shared" si="244"/>
        <v>0.18052825552825552</v>
      </c>
      <c r="AJ453" s="72">
        <f>(AV453-Driver!$K$179)/(Driver!$L$179-Driver!$K$179)</f>
        <v>0.17548948513415516</v>
      </c>
      <c r="AK453" s="72">
        <f>(AW453-Driver!$K$180)/(Driver!$L$180-Driver!$K$180)</f>
        <v>0.2278189580127824</v>
      </c>
      <c r="AL453" s="72">
        <f>(AX453-Driver!$K$181)/(Driver!$L$181-Driver!$K$181)</f>
        <v>0.33345981154746096</v>
      </c>
      <c r="AM453" s="72">
        <f>(AY453-Driver!$K$182)/(Driver!$L$182-Driver!$K$182)</f>
        <v>0.11800033081950745</v>
      </c>
      <c r="AN453" s="72">
        <f>(AZ453-Driver!$K$183)/(Driver!$L$183-Driver!$K$183)</f>
        <v>0.21866830065359477</v>
      </c>
      <c r="AO453" s="72"/>
      <c r="AP453" s="72"/>
      <c r="AQ453" s="72">
        <f>(BC453-Driver!$K$188)/(Driver!$L$188-Driver!$K$188)</f>
        <v>5.6214562852261431E-2</v>
      </c>
      <c r="AR453" s="72">
        <f>MIN((BD453-Driver!$K$189)/(Driver!$L$189-Driver!$K$189),100%)</f>
        <v>2.0665896836035706E-2</v>
      </c>
      <c r="AS453" s="72">
        <f>(BE453-Driver!$K$190)/(Driver!$L$190-Driver!$K$190)</f>
        <v>9.0650205342574688E-2</v>
      </c>
      <c r="AT453" s="72">
        <f>(BF453-Driver!$K$191)/(Driver!$L$191-Driver!$K$191)</f>
        <v>8.2074762494628986E-2</v>
      </c>
      <c r="AU453" s="72">
        <f>(BG453-Driver!$K$192)/(Driver!$L$192-Driver!$K$192)</f>
        <v>6.9471744471744465E-2</v>
      </c>
      <c r="AV453" s="70">
        <f t="shared" si="245"/>
        <v>3.6935286935286933</v>
      </c>
      <c r="AW453" s="70">
        <f t="shared" si="246"/>
        <v>24.074868761129068</v>
      </c>
      <c r="AX453" s="70">
        <f t="shared" si="247"/>
        <v>4.0011383039271484</v>
      </c>
      <c r="AY453" s="70">
        <f>IFERROR(Driver!$K$19/Data!BH453/Data!BI453*Data!BK453*Data!BL453,"")</f>
        <v>0.14446761282366338</v>
      </c>
      <c r="AZ453" s="70">
        <f t="shared" si="248"/>
        <v>19.929262844378258</v>
      </c>
      <c r="BA453" s="70"/>
      <c r="BB453" s="70"/>
      <c r="BC453" s="70">
        <f t="shared" si="249"/>
        <v>29.158884548768821</v>
      </c>
      <c r="BD453" s="70">
        <f t="shared" si="250"/>
        <v>3.5497181362844827</v>
      </c>
      <c r="BE453" s="70">
        <f t="shared" si="251"/>
        <v>9.0812423110773671E-2</v>
      </c>
      <c r="BF453" s="70">
        <f t="shared" si="252"/>
        <v>9.2697678159280894</v>
      </c>
      <c r="BG453" s="70">
        <f t="shared" si="253"/>
        <v>0.26306434275184276</v>
      </c>
      <c r="BH453" s="67">
        <f>MAX((CE453-Driver!$F$200)/(Driver!$G$200-Driver!$F$200)*$BI$1,1)</f>
        <v>4.0011383039271484</v>
      </c>
      <c r="BI453" s="67">
        <f>MAX($BI$1*(BY453-Driver!$F$201)/(Driver!$G$201-Driver!$F$201),1)</f>
        <v>6.3924050632911396</v>
      </c>
      <c r="BJ453" s="67">
        <f>(CB453-Driver!$F$206)/(Driver!$G$206-Driver!$F$206)*$BI$1</f>
        <v>5.2380952380952381</v>
      </c>
      <c r="BK453" s="67">
        <f>(CD453-Driver!$F$203)/(Driver!$G$203-Driver!$F$203)*$BI$1</f>
        <v>3.3486238532110093</v>
      </c>
      <c r="BL453" s="67">
        <f>MAX((CR453-Driver!$F$202)/(Driver!$G$202-Driver!$F$202)*$BI$1,1)</f>
        <v>5.5172413793103452</v>
      </c>
      <c r="BM453" s="67">
        <f>MAX((CH453-Driver!$F$204)/(Driver!$G$204-Driver!$F$204)*$BI$1,1)</f>
        <v>2.8205128205128203</v>
      </c>
      <c r="BN453" s="67">
        <f>(CI453-Driver!$F$205)/(Driver!$G$205-Driver!$F$205)*$BI$1</f>
        <v>3.1176470588235294</v>
      </c>
      <c r="BO453" s="67">
        <f>(CK453-Driver!$F$207)/(Driver!$G$207-Driver!$F$207)*$BI$1</f>
        <v>2.4922440537745603</v>
      </c>
      <c r="BP453" s="67">
        <f>(CM453-Driver!$F$208)/(Driver!$G$208-Driver!$F$208)*$BI$1</f>
        <v>2.3777777777777778</v>
      </c>
      <c r="BQ453" s="67">
        <f>(CL453-Driver!$F$209)/(Driver!$G$209-Driver!$F$209)*$BI$1</f>
        <v>2.96875</v>
      </c>
      <c r="BR453" s="28" t="s">
        <v>155</v>
      </c>
      <c r="BS453" s="8" t="s">
        <v>262</v>
      </c>
      <c r="BT453" s="9" t="s">
        <v>606</v>
      </c>
      <c r="BU453" s="10">
        <v>165</v>
      </c>
      <c r="BV453" s="9" t="s">
        <v>385</v>
      </c>
      <c r="BW453" s="10">
        <v>165</v>
      </c>
      <c r="BX453" s="10">
        <v>165.4</v>
      </c>
      <c r="BY453" s="10">
        <v>109</v>
      </c>
      <c r="BZ453" s="10">
        <v>129</v>
      </c>
      <c r="CA453" s="10">
        <v>126</v>
      </c>
      <c r="CB453" s="10">
        <v>97</v>
      </c>
      <c r="CC453" s="10">
        <v>115</v>
      </c>
      <c r="CD453" s="10">
        <v>16.7</v>
      </c>
      <c r="CE453" s="10">
        <v>1603</v>
      </c>
      <c r="CF453" s="10">
        <v>1.1000000000000001</v>
      </c>
      <c r="CG453" s="10">
        <v>1765</v>
      </c>
      <c r="CH453" s="10">
        <v>167</v>
      </c>
      <c r="CI453" s="10">
        <v>86</v>
      </c>
      <c r="CJ453" s="10">
        <v>45</v>
      </c>
      <c r="CK453" s="10">
        <v>351</v>
      </c>
      <c r="CL453" s="10">
        <v>19</v>
      </c>
      <c r="CM453" s="10">
        <v>214</v>
      </c>
      <c r="CN453" s="10">
        <v>0.434</v>
      </c>
      <c r="CO453" s="10">
        <v>197</v>
      </c>
      <c r="CP453" s="10">
        <v>169</v>
      </c>
      <c r="CQ453" s="10">
        <v>154</v>
      </c>
      <c r="CR453" s="10">
        <v>5</v>
      </c>
      <c r="CS453" s="10">
        <v>9.6</v>
      </c>
      <c r="CT453" s="9" t="s">
        <v>188</v>
      </c>
      <c r="CU453" s="9" t="s">
        <v>185</v>
      </c>
      <c r="CV453" s="10"/>
      <c r="CW453" s="10"/>
      <c r="CX453" t="e">
        <f>INDEX('Data_Price '!AG$2:AG$1266,MATCH(Data!$DN453,'Data_Price '!$AT$2:$AT$1266,0))</f>
        <v>#N/A</v>
      </c>
      <c r="CY453" t="e">
        <f>INDEX('Data_Price '!AH$2:AH$1266,MATCH(Data!$DN453,'Data_Price '!$AT$2:$AT$1266,0))</f>
        <v>#N/A</v>
      </c>
      <c r="CZ453" t="e">
        <f>INDEX('Data_Price '!AI$2:AI$1266,MATCH(Data!$DN453,'Data_Price '!$AT$2:$AT$1266,0))</f>
        <v>#N/A</v>
      </c>
      <c r="DA453" t="e">
        <f>INDEX('Data_Price '!AJ$2:AJ$1266,MATCH(Data!$DN453,'Data_Price '!$AT$2:$AT$1266,0))</f>
        <v>#N/A</v>
      </c>
      <c r="DB453" t="e">
        <f>INDEX('Data_Price '!AK$2:AK$1266,MATCH(Data!$DN453,'Data_Price '!$AT$2:$AT$1266,0))</f>
        <v>#N/A</v>
      </c>
      <c r="DC453" t="e">
        <f>INDEX('Data_Price '!AL$2:AL$1266,MATCH(Data!$DN453,'Data_Price '!$AT$2:$AT$1266,0))</f>
        <v>#N/A</v>
      </c>
      <c r="DD453" t="e">
        <f>INDEX('Data_Price '!AM$2:AM$1266,MATCH(Data!$DN453,'Data_Price '!$AT$2:$AT$1266,0))</f>
        <v>#N/A</v>
      </c>
      <c r="DE453" t="e">
        <f>INDEX('Data_Price '!AN$2:AN$1266,MATCH(Data!$DN453,'Data_Price '!$AT$2:$AT$1266,0))</f>
        <v>#N/A</v>
      </c>
      <c r="DF453" t="e">
        <f>INDEX('Data_Price '!AO$2:AO$1266,MATCH(Data!$DN453,'Data_Price '!$AT$2:$AT$1266,0))</f>
        <v>#N/A</v>
      </c>
      <c r="DG453" t="e">
        <f>INDEX('Data_Price '!AP$2:AP$1266,MATCH(Data!$DN453,'Data_Price '!$AT$2:$AT$1266,0))</f>
        <v>#N/A</v>
      </c>
      <c r="DH453" t="e">
        <f>INDEX('Data_Price '!AQ$2:AQ$1266,MATCH(Data!$DN453,'Data_Price '!$AT$2:$AT$1266,0))</f>
        <v>#N/A</v>
      </c>
      <c r="DI453" t="e">
        <f>INDEX('Data_Price '!AR$2:AR$1266,MATCH(Data!$DN453,'Data_Price '!$AT$2:$AT$1266,0))</f>
        <v>#N/A</v>
      </c>
      <c r="DJ453" s="89" t="e">
        <f t="shared" si="254"/>
        <v>#N/A</v>
      </c>
      <c r="DK453" s="89" t="e">
        <f t="shared" si="255"/>
        <v>#N/A</v>
      </c>
      <c r="DL453" s="89" t="e">
        <f t="shared" si="256"/>
        <v>#N/A</v>
      </c>
      <c r="DM453" s="219" t="str">
        <f t="shared" si="257"/>
        <v>Mindbender Team</v>
      </c>
      <c r="DN453" s="89" t="str">
        <f t="shared" si="258"/>
        <v xml:space="preserve"> K2Mindbender Team165 Junior</v>
      </c>
      <c r="DO453" s="221" t="s">
        <v>607</v>
      </c>
    </row>
    <row r="454" spans="2:119" ht="15.6" customHeight="1">
      <c r="B454" s="219" t="b">
        <f t="array" ref="B454">IF(OR(ISERROR(K454:P454)),FALSE,TRUE)</f>
        <v>1</v>
      </c>
      <c r="C454" s="43" t="b">
        <f>OR(BR454=Driver!$G$50,Data!BR491=Driver!$H$50)</f>
        <v>1</v>
      </c>
      <c r="D454" s="43" t="b">
        <f>OR(BV454=Driver!$G$51,BV454=Driver!$H$51)</f>
        <v>0</v>
      </c>
      <c r="E454" s="43" t="b">
        <f>AND(BX454&gt;Driver!$F$54,BX454&lt;Driver!$G$54)</f>
        <v>1</v>
      </c>
      <c r="F454" s="43" t="b">
        <f>CL454&gt;Driver!$F$56</f>
        <v>1</v>
      </c>
      <c r="G454" s="43" t="b">
        <f>AND(CB454&gt;Driver!$F$55,CB454&lt;Driver!$G$55)</f>
        <v>0</v>
      </c>
      <c r="H454" s="43" t="b">
        <f t="shared" si="222"/>
        <v>0</v>
      </c>
      <c r="I454" s="43">
        <f t="shared" si="223"/>
        <v>0</v>
      </c>
      <c r="J454" s="43" t="b">
        <f t="array" ref="J454">NOT(OR(($H$9:$H$1273=TRUE)*($I$9:$I$1273&gt;0)*($BT$9:$BT$1273=BT454)*($K$9:$K$1273&gt;K454)))</f>
        <v>1</v>
      </c>
      <c r="K454" s="72">
        <f t="shared" si="224"/>
        <v>0.86763325668113556</v>
      </c>
      <c r="L454" s="72">
        <f t="shared" si="225"/>
        <v>0.89814542836132505</v>
      </c>
      <c r="M454" s="72">
        <f t="shared" si="226"/>
        <v>0.83712108500094606</v>
      </c>
      <c r="N454" s="72">
        <f t="shared" si="227"/>
        <v>0.88522030023366449</v>
      </c>
      <c r="O454" s="72">
        <f t="shared" si="228"/>
        <v>0.65744569738520742</v>
      </c>
      <c r="P454" s="72">
        <f t="shared" si="229"/>
        <v>0.96869725738396628</v>
      </c>
      <c r="Q454" s="72"/>
      <c r="R454" s="72"/>
      <c r="S454" s="72">
        <f t="shared" si="230"/>
        <v>0.41644780046444629</v>
      </c>
      <c r="T454" s="72">
        <f t="shared" si="231"/>
        <v>0.48362353146656423</v>
      </c>
      <c r="U454" s="72">
        <f t="shared" si="232"/>
        <v>0.82018897212792208</v>
      </c>
      <c r="V454" s="72">
        <f t="shared" si="233"/>
        <v>0.53473171802701458</v>
      </c>
      <c r="W454" s="72">
        <f t="shared" si="234"/>
        <v>0.86274922463447057</v>
      </c>
      <c r="X454" s="72">
        <f t="shared" si="235"/>
        <v>0.10185457163867501</v>
      </c>
      <c r="Y454" s="72">
        <f t="shared" si="236"/>
        <v>0.16287891499905394</v>
      </c>
      <c r="Z454" s="72">
        <f t="shared" si="237"/>
        <v>0.11477969976633549</v>
      </c>
      <c r="AA454" s="72">
        <f t="shared" si="238"/>
        <v>0.34255430261479253</v>
      </c>
      <c r="AB454" s="72">
        <f t="shared" si="239"/>
        <v>3.1302742616033774E-2</v>
      </c>
      <c r="AC454" s="72"/>
      <c r="AD454" s="72"/>
      <c r="AE454" s="72">
        <f t="shared" si="240"/>
        <v>0.58355219953555371</v>
      </c>
      <c r="AF454" s="72">
        <f t="shared" si="241"/>
        <v>0.51637646853343577</v>
      </c>
      <c r="AG454" s="72">
        <f t="shared" si="242"/>
        <v>0.17981102787207787</v>
      </c>
      <c r="AH454" s="72">
        <f t="shared" si="243"/>
        <v>0.46526828197298542</v>
      </c>
      <c r="AI454" s="72">
        <f t="shared" si="244"/>
        <v>0.13725077536552946</v>
      </c>
      <c r="AJ454" s="72">
        <f>(AV454-Driver!$K$179)/(Driver!$L$179-Driver!$K$179)</f>
        <v>0.15236483764402542</v>
      </c>
      <c r="AK454" s="72">
        <f>(AW454-Driver!$K$180)/(Driver!$L$180-Driver!$K$180)</f>
        <v>0.22082255143245302</v>
      </c>
      <c r="AL454" s="72">
        <f>(AX454-Driver!$K$181)/(Driver!$L$181-Driver!$K$181)</f>
        <v>0.21646746347941567</v>
      </c>
      <c r="AM454" s="72">
        <f>(AY454-Driver!$K$182)/(Driver!$L$182-Driver!$K$182)</f>
        <v>0.10483071848225385</v>
      </c>
      <c r="AN454" s="72">
        <f>(AZ454-Driver!$K$183)/(Driver!$L$183-Driver!$K$183)</f>
        <v>0.22291666666666665</v>
      </c>
      <c r="AO454" s="72"/>
      <c r="AP454" s="72"/>
      <c r="AQ454" s="72">
        <f>(BC454-Driver!$K$188)/(Driver!$L$188-Driver!$K$188)</f>
        <v>3.6447800464446262E-2</v>
      </c>
      <c r="AR454" s="72">
        <f>MIN((BD454-Driver!$K$189)/(Driver!$L$189-Driver!$K$189),100%)</f>
        <v>3.3623531466564258E-2</v>
      </c>
      <c r="AS454" s="72">
        <f>(BE454-Driver!$K$190)/(Driver!$L$190-Driver!$K$190)</f>
        <v>0.33018897212792214</v>
      </c>
      <c r="AT454" s="72">
        <f>(BF454-Driver!$K$191)/(Driver!$L$191-Driver!$K$191)</f>
        <v>4.4731718027014568E-2</v>
      </c>
      <c r="AU454" s="72">
        <f>(BG454-Driver!$K$192)/(Driver!$L$192-Driver!$K$192)</f>
        <v>0.11274922463447054</v>
      </c>
      <c r="AV454" s="70">
        <f t="shared" si="245"/>
        <v>3.2068240401573731</v>
      </c>
      <c r="AW454" s="70">
        <f t="shared" si="246"/>
        <v>23.39300694540707</v>
      </c>
      <c r="AX454" s="70">
        <f t="shared" si="247"/>
        <v>2.9482071713147411</v>
      </c>
      <c r="AY454" s="70">
        <f>IFERROR(Driver!$K$19/Data!BH454/Data!BI454*Data!BK454*Data!BL454,"")</f>
        <v>0.12834407788979721</v>
      </c>
      <c r="AZ454" s="70">
        <f t="shared" si="248"/>
        <v>20.316455696202532</v>
      </c>
      <c r="BA454" s="70"/>
      <c r="BB454" s="70"/>
      <c r="BC454" s="70">
        <f t="shared" si="249"/>
        <v>18.905727481906357</v>
      </c>
      <c r="BD454" s="70">
        <f t="shared" si="250"/>
        <v>4.6964458415162831</v>
      </c>
      <c r="BE454" s="70">
        <f t="shared" si="251"/>
        <v>0.33030845887625027</v>
      </c>
      <c r="BF454" s="70">
        <f t="shared" si="252"/>
        <v>5.0521332930463867</v>
      </c>
      <c r="BG454" s="70">
        <f t="shared" si="253"/>
        <v>0.42694049069561368</v>
      </c>
      <c r="BH454" s="67">
        <f>MAX((CE454-Driver!$F$200)/(Driver!$G$200-Driver!$F$200)*$BI$1,1)</f>
        <v>2.9482071713147411</v>
      </c>
      <c r="BI454" s="67">
        <f>MAX($BI$1*(BY454-Driver!$F$201)/(Driver!$G$201-Driver!$F$201),1)</f>
        <v>6.7721518987341769</v>
      </c>
      <c r="BJ454" s="67">
        <f>(CB454-Driver!$F$206)/(Driver!$G$206-Driver!$F$206)*$BI$1</f>
        <v>4.92063492063492</v>
      </c>
      <c r="BK454" s="67">
        <f>(CD454-Driver!$F$203)/(Driver!$G$203-Driver!$F$203)*$BI$1</f>
        <v>2.0642201834862388</v>
      </c>
      <c r="BL454" s="67">
        <f>MAX((CR454-Driver!$F$202)/(Driver!$G$202-Driver!$F$202)*$BI$1,1)</f>
        <v>6.2068965517241379</v>
      </c>
      <c r="BM454" s="67">
        <f>MAX((CH454-Driver!$F$204)/(Driver!$G$204-Driver!$F$204)*$BI$1,1)</f>
        <v>2.6068376068376069</v>
      </c>
      <c r="BN454" s="67">
        <f>(CI454-Driver!$F$205)/(Driver!$G$205-Driver!$F$205)*$BI$1</f>
        <v>3</v>
      </c>
      <c r="BO454" s="67">
        <f>(CK454-Driver!$F$207)/(Driver!$G$207-Driver!$F$207)*$BI$1</f>
        <v>1.2306101344364011</v>
      </c>
      <c r="BP454" s="67">
        <f>(CM454-Driver!$F$208)/(Driver!$G$208-Driver!$F$208)*$BI$1</f>
        <v>1.7222222222222223</v>
      </c>
      <c r="BQ454" s="67">
        <f>(CL454-Driver!$F$209)/(Driver!$G$209-Driver!$F$209)*$BI$1</f>
        <v>3.28125</v>
      </c>
      <c r="BR454" s="28" t="s">
        <v>155</v>
      </c>
      <c r="BS454" s="8" t="s">
        <v>205</v>
      </c>
      <c r="BT454" s="9" t="s">
        <v>249</v>
      </c>
      <c r="BU454" s="10">
        <v>155</v>
      </c>
      <c r="BV454" s="9" t="s">
        <v>163</v>
      </c>
      <c r="BW454" s="10">
        <v>155</v>
      </c>
      <c r="BX454" s="10">
        <v>153.30000000000001</v>
      </c>
      <c r="BY454" s="10">
        <v>115</v>
      </c>
      <c r="BZ454" s="10">
        <v>127</v>
      </c>
      <c r="CA454" s="10">
        <v>126</v>
      </c>
      <c r="CB454" s="10">
        <v>95</v>
      </c>
      <c r="CC454" s="10">
        <v>116</v>
      </c>
      <c r="CD454" s="10">
        <v>13.9</v>
      </c>
      <c r="CE454" s="10">
        <v>1418</v>
      </c>
      <c r="CF454" s="10">
        <v>1.1399999999999999</v>
      </c>
      <c r="CG454" s="10">
        <v>1623</v>
      </c>
      <c r="CH454" s="10">
        <v>162</v>
      </c>
      <c r="CI454" s="10">
        <v>84</v>
      </c>
      <c r="CJ454" s="10">
        <v>52</v>
      </c>
      <c r="CK454" s="10">
        <v>229</v>
      </c>
      <c r="CL454" s="10">
        <v>21</v>
      </c>
      <c r="CM454" s="10">
        <v>155</v>
      </c>
      <c r="CN454" s="10">
        <v>0.39200000000000002</v>
      </c>
      <c r="CO454" s="10">
        <v>172</v>
      </c>
      <c r="CP454" s="10">
        <v>92</v>
      </c>
      <c r="CQ454" s="10">
        <v>57</v>
      </c>
      <c r="CR454" s="10">
        <v>7</v>
      </c>
      <c r="CS454" s="10">
        <v>10.6</v>
      </c>
      <c r="CT454" s="9" t="s">
        <v>188</v>
      </c>
      <c r="CU454" s="9" t="s">
        <v>185</v>
      </c>
      <c r="CV454" s="10"/>
      <c r="CW454" s="10"/>
      <c r="CX454" t="str">
        <f>INDEX('Data_Price '!AG$2:AG$1266,MATCH(Data!$DN454,'Data_Price '!$AT$2:$AT$1266,0))</f>
        <v>Faction Candide 2.0 YTH Skis 155cm 2021</v>
      </c>
      <c r="CY454" t="str">
        <f>INDEX('Data_Price '!AH$2:AH$1266,MATCH(Data!$DN454,'Data_Price '!$AT$2:$AT$1266,0))</f>
        <v>Backcountry Freeskier</v>
      </c>
      <c r="CZ454">
        <f>INDEX('Data_Price '!AI$2:AI$1266,MATCH(Data!$DN454,'Data_Price '!$AT$2:$AT$1266,0))</f>
        <v>299</v>
      </c>
      <c r="DA454" t="str">
        <f>INDEX('Data_Price '!AJ$2:AJ$1266,MATCH(Data!$DN454,'Data_Price '!$AT$2:$AT$1266,0))</f>
        <v>https://tinyurl.com/yc8g92eh</v>
      </c>
      <c r="DB454" t="str">
        <f>INDEX('Data_Price '!AK$2:AK$1266,MATCH(Data!$DN454,'Data_Price '!$AT$2:$AT$1266,0))</f>
        <v>Faction Agent 2.0x Women's Skis 2022</v>
      </c>
      <c r="DC454" t="str">
        <f>INDEX('Data_Price '!AL$2:AL$1266,MATCH(Data!$DN454,'Data_Price '!$AT$2:$AT$1266,0))</f>
        <v>Powder7 Ski Shop</v>
      </c>
      <c r="DD454">
        <f>INDEX('Data_Price '!AM$2:AM$1266,MATCH(Data!$DN454,'Data_Price '!$AT$2:$AT$1266,0))</f>
        <v>619</v>
      </c>
      <c r="DE454" t="str">
        <f>INDEX('Data_Price '!AN$2:AN$1266,MATCH(Data!$DN454,'Data_Price '!$AT$2:$AT$1266,0))</f>
        <v>https://tinyurl.com/ycbuetyd</v>
      </c>
      <c r="DF454" t="str">
        <f>INDEX('Data_Price '!AO$2:AO$1266,MATCH(Data!$DN454,'Data_Price '!$AT$2:$AT$1266,0))</f>
        <v>Faction CT 1.0 Skis JR 2022 155</v>
      </c>
      <c r="DG454" t="str">
        <f>INDEX('Data_Price '!AP$2:AP$1266,MATCH(Data!$DN454,'Data_Price '!$AT$2:$AT$1266,0))</f>
        <v>fullsendskiandoutdoor.com</v>
      </c>
      <c r="DH454">
        <f>INDEX('Data_Price '!AQ$2:AQ$1266,MATCH(Data!$DN454,'Data_Price '!$AT$2:$AT$1266,0))</f>
        <v>359</v>
      </c>
      <c r="DI454" t="str">
        <f>INDEX('Data_Price '!AR$2:AR$1266,MATCH(Data!$DN454,'Data_Price '!$AT$2:$AT$1266,0))</f>
        <v>https://tinyurl.com/y7757w7d</v>
      </c>
      <c r="DJ454" s="89" t="str">
        <f t="shared" si="254"/>
        <v>https://tinyurl.com/yc8g92eh</v>
      </c>
      <c r="DK454" s="89" t="str">
        <f t="shared" si="255"/>
        <v>https://tinyurl.com/ycbuetyd</v>
      </c>
      <c r="DL454" s="89" t="str">
        <f t="shared" si="256"/>
        <v>https://tinyurl.com/y7757w7d</v>
      </c>
      <c r="DM454" s="219" t="str">
        <f t="shared" si="257"/>
        <v>Agent 2.0 X</v>
      </c>
      <c r="DN454" s="89" t="str">
        <f t="shared" si="258"/>
        <v xml:space="preserve"> FactionAgent 2.0 X155 Women's</v>
      </c>
      <c r="DO454" s="221"/>
    </row>
    <row r="455" spans="2:119" ht="15.6" customHeight="1">
      <c r="B455" s="219" t="b">
        <f t="array" ref="B455">IF(OR(ISERROR(K455:P455)),FALSE,TRUE)</f>
        <v>1</v>
      </c>
      <c r="C455" s="43" t="b">
        <f>OR(BR455=Driver!$G$50,Data!BR994=Driver!$H$50)</f>
        <v>1</v>
      </c>
      <c r="D455" s="43" t="b">
        <f>OR(BV455=Driver!$G$51,BV455=Driver!$H$51)</f>
        <v>0</v>
      </c>
      <c r="E455" s="43" t="b">
        <f>AND(BX455&gt;Driver!$F$54,BX455&lt;Driver!$G$54)</f>
        <v>1</v>
      </c>
      <c r="F455" s="43" t="b">
        <f>CL455&gt;Driver!$F$56</f>
        <v>1</v>
      </c>
      <c r="G455" s="43" t="b">
        <f>AND(CB455&gt;Driver!$F$55,CB455&lt;Driver!$G$55)</f>
        <v>0</v>
      </c>
      <c r="H455" s="43" t="b">
        <f t="shared" si="222"/>
        <v>0</v>
      </c>
      <c r="I455" s="43">
        <f t="shared" si="223"/>
        <v>0</v>
      </c>
      <c r="J455" s="43" t="b">
        <f t="array" ref="J455">NOT(OR(($H$9:$H$1273=TRUE)*($I$9:$I$1273&gt;0)*($BT$9:$BT$1273=BT455)*($K$9:$K$1273&gt;K455)))</f>
        <v>1</v>
      </c>
      <c r="K455" s="72">
        <f t="shared" si="224"/>
        <v>0.84957976460418572</v>
      </c>
      <c r="L455" s="72">
        <f t="shared" si="225"/>
        <v>0.89588936519155626</v>
      </c>
      <c r="M455" s="72">
        <f t="shared" si="226"/>
        <v>0.80327016401681517</v>
      </c>
      <c r="N455" s="72">
        <f t="shared" si="227"/>
        <v>0.80427424319199003</v>
      </c>
      <c r="O455" s="72">
        <f t="shared" si="228"/>
        <v>0.63034389343527364</v>
      </c>
      <c r="P455" s="72">
        <f t="shared" si="229"/>
        <v>0.97519235542318194</v>
      </c>
      <c r="Q455" s="72"/>
      <c r="R455" s="72"/>
      <c r="S455" s="72">
        <f t="shared" si="230"/>
        <v>0.41751286305633528</v>
      </c>
      <c r="T455" s="72">
        <f t="shared" si="231"/>
        <v>0.52264643724155624</v>
      </c>
      <c r="U455" s="72">
        <f t="shared" si="232"/>
        <v>0.78500354895782953</v>
      </c>
      <c r="V455" s="72">
        <f t="shared" si="233"/>
        <v>0.56218584607777911</v>
      </c>
      <c r="W455" s="72">
        <f t="shared" si="234"/>
        <v>0.79186633463454026</v>
      </c>
      <c r="X455" s="72">
        <f t="shared" si="235"/>
        <v>0.10411063480844371</v>
      </c>
      <c r="Y455" s="72">
        <f t="shared" si="236"/>
        <v>0.1967298359831848</v>
      </c>
      <c r="Z455" s="72">
        <f t="shared" si="237"/>
        <v>0.19572575680801002</v>
      </c>
      <c r="AA455" s="72">
        <f t="shared" si="238"/>
        <v>0.36965610656472631</v>
      </c>
      <c r="AB455" s="72">
        <f t="shared" si="239"/>
        <v>2.4807644576818055E-2</v>
      </c>
      <c r="AC455" s="72"/>
      <c r="AD455" s="72"/>
      <c r="AE455" s="72">
        <f t="shared" si="240"/>
        <v>0.58248713694366472</v>
      </c>
      <c r="AF455" s="72">
        <f t="shared" si="241"/>
        <v>0.47735356275844382</v>
      </c>
      <c r="AG455" s="72">
        <f t="shared" si="242"/>
        <v>0.21499645104217041</v>
      </c>
      <c r="AH455" s="72">
        <f t="shared" si="243"/>
        <v>0.43781415392222084</v>
      </c>
      <c r="AI455" s="72">
        <f t="shared" si="244"/>
        <v>0.20813366536545969</v>
      </c>
      <c r="AJ455" s="72">
        <f>(AV455-Driver!$K$179)/(Driver!$L$179-Driver!$K$179)</f>
        <v>0.15010877447425672</v>
      </c>
      <c r="AK455" s="72">
        <f>(AW455-Driver!$K$180)/(Driver!$L$180-Driver!$K$180)</f>
        <v>0.23403112076462573</v>
      </c>
      <c r="AL455" s="72">
        <f>(AX455-Driver!$K$181)/(Driver!$L$181-Driver!$K$181)</f>
        <v>0.29741352052109021</v>
      </c>
      <c r="AM455" s="72">
        <f>(AY455-Driver!$K$182)/(Driver!$L$182-Driver!$K$182)</f>
        <v>7.7728914532320059E-2</v>
      </c>
      <c r="AN455" s="72">
        <f>(AZ455-Driver!$K$183)/(Driver!$L$183-Driver!$K$183)</f>
        <v>0.22941176470588237</v>
      </c>
      <c r="AO455" s="72"/>
      <c r="AP455" s="72"/>
      <c r="AQ455" s="72">
        <f>(BC455-Driver!$K$188)/(Driver!$L$188-Driver!$K$188)</f>
        <v>3.7512863056335263E-2</v>
      </c>
      <c r="AR455" s="72">
        <f>MIN((BD455-Driver!$K$189)/(Driver!$L$189-Driver!$K$189),100%)</f>
        <v>7.2646437241556241E-2</v>
      </c>
      <c r="AS455" s="72">
        <f>(BE455-Driver!$K$190)/(Driver!$L$190-Driver!$K$190)</f>
        <v>0.2950035489578296</v>
      </c>
      <c r="AT455" s="72">
        <f>(BF455-Driver!$K$191)/(Driver!$L$191-Driver!$K$191)</f>
        <v>7.2185846077779156E-2</v>
      </c>
      <c r="AU455" s="72">
        <f>(BG455-Driver!$K$192)/(Driver!$L$192-Driver!$K$192)</f>
        <v>4.1866334634540314E-2</v>
      </c>
      <c r="AV455" s="70">
        <f t="shared" si="245"/>
        <v>3.1593406593406597</v>
      </c>
      <c r="AW455" s="70">
        <f t="shared" si="246"/>
        <v>24.680299066657859</v>
      </c>
      <c r="AX455" s="70">
        <f t="shared" si="247"/>
        <v>3.6767216846898121</v>
      </c>
      <c r="AY455" s="70">
        <f>IFERROR(Driver!$K$19/Data!BH455/Data!BI455*Data!BK455*Data!BL455,"")</f>
        <v>9.5163383457247411E-2</v>
      </c>
      <c r="AZ455" s="70">
        <f t="shared" si="248"/>
        <v>20.908413998510799</v>
      </c>
      <c r="BA455" s="70"/>
      <c r="BB455" s="70"/>
      <c r="BC455" s="70">
        <f t="shared" si="249"/>
        <v>19.458182852514199</v>
      </c>
      <c r="BD455" s="70">
        <f t="shared" si="250"/>
        <v>8.1499038581055352</v>
      </c>
      <c r="BE455" s="70">
        <f t="shared" si="251"/>
        <v>0.29512931238962248</v>
      </c>
      <c r="BF455" s="70">
        <f t="shared" si="252"/>
        <v>8.1528841802146594</v>
      </c>
      <c r="BG455" s="70">
        <f t="shared" si="253"/>
        <v>0.15853265076053305</v>
      </c>
      <c r="BH455" s="67">
        <f>MAX((CE455-Driver!$F$200)/(Driver!$G$200-Driver!$F$200)*$BI$1,1)</f>
        <v>3.6767216846898121</v>
      </c>
      <c r="BI455" s="67">
        <f>MAX($BI$1*(BY455-Driver!$F$201)/(Driver!$G$201-Driver!$F$201),1)</f>
        <v>6.8354430379746836</v>
      </c>
      <c r="BJ455" s="67">
        <f>(CB455-Driver!$F$206)/(Driver!$G$206-Driver!$F$206)*$BI$1</f>
        <v>4.2857142857142856</v>
      </c>
      <c r="BK455" s="67">
        <f>(CD455-Driver!$F$203)/(Driver!$G$203-Driver!$F$203)*$BI$1</f>
        <v>1.9266055045871557</v>
      </c>
      <c r="BL455" s="67">
        <f>MAX((CR455-Driver!$F$202)/(Driver!$G$202-Driver!$F$202)*$BI$1,1)</f>
        <v>6.2068965517241379</v>
      </c>
      <c r="BM455" s="67">
        <f>MAX((CH455-Driver!$F$204)/(Driver!$G$204-Driver!$F$204)*$BI$1,1)</f>
        <v>2.9487179487179489</v>
      </c>
      <c r="BN455" s="67">
        <f>(CI455-Driver!$F$205)/(Driver!$G$205-Driver!$F$205)*$BI$1</f>
        <v>3.0588235294117649</v>
      </c>
      <c r="BO455" s="67">
        <f>(CK455-Driver!$F$207)/(Driver!$G$207-Driver!$F$207)*$BI$1</f>
        <v>1.9751809720785938</v>
      </c>
      <c r="BP455" s="67">
        <f>(CM455-Driver!$F$208)/(Driver!$G$208-Driver!$F$208)*$BI$1</f>
        <v>1.8555555555555556</v>
      </c>
      <c r="BQ455" s="67">
        <f>(CL455-Driver!$F$209)/(Driver!$G$209-Driver!$F$209)*$BI$1</f>
        <v>1.71875</v>
      </c>
      <c r="BR455" s="28" t="s">
        <v>155</v>
      </c>
      <c r="BS455" s="8" t="s">
        <v>172</v>
      </c>
      <c r="BT455" s="9" t="s">
        <v>305</v>
      </c>
      <c r="BU455" s="10">
        <v>162</v>
      </c>
      <c r="BV455" s="9" t="s">
        <v>163</v>
      </c>
      <c r="BW455" s="10">
        <v>162</v>
      </c>
      <c r="BX455" s="10">
        <v>162.6</v>
      </c>
      <c r="BY455" s="10">
        <v>116</v>
      </c>
      <c r="BZ455" s="10">
        <v>138</v>
      </c>
      <c r="CA455" s="10">
        <v>126</v>
      </c>
      <c r="CB455" s="10">
        <v>91</v>
      </c>
      <c r="CC455" s="10">
        <v>117</v>
      </c>
      <c r="CD455" s="10">
        <v>13.6</v>
      </c>
      <c r="CE455" s="10">
        <v>1546</v>
      </c>
      <c r="CF455" s="10">
        <v>1.0900000000000001</v>
      </c>
      <c r="CG455" s="10">
        <v>1690</v>
      </c>
      <c r="CH455" s="10">
        <v>170</v>
      </c>
      <c r="CI455" s="10">
        <v>85</v>
      </c>
      <c r="CJ455" s="10">
        <v>51</v>
      </c>
      <c r="CK455" s="10">
        <v>301</v>
      </c>
      <c r="CL455" s="10">
        <v>11</v>
      </c>
      <c r="CM455" s="10">
        <v>167</v>
      </c>
      <c r="CN455" s="10">
        <v>0.22600000000000001</v>
      </c>
      <c r="CO455" s="10">
        <v>138</v>
      </c>
      <c r="CP455" s="10">
        <v>107</v>
      </c>
      <c r="CQ455" s="10">
        <v>163</v>
      </c>
      <c r="CR455" s="10">
        <v>7</v>
      </c>
      <c r="CS455" s="10">
        <v>8.4</v>
      </c>
      <c r="CT455" s="9" t="s">
        <v>188</v>
      </c>
      <c r="CU455" s="9" t="s">
        <v>185</v>
      </c>
      <c r="CV455" s="10"/>
      <c r="CW455" s="10"/>
      <c r="CX455" t="str">
        <f>INDEX('Data_Price '!AG$2:AG$1266,MATCH(Data!$DN455,'Data_Price '!$AT$2:$AT$1266,0))</f>
        <v>Rossignol Blackops W Stargazer 162cm</v>
      </c>
      <c r="CY455" t="str">
        <f>INDEX('Data_Price '!AH$2:AH$1266,MATCH(Data!$DN455,'Data_Price '!$AT$2:$AT$1266,0))</f>
        <v>Sundance Ski and Board Shop</v>
      </c>
      <c r="CZ455">
        <f>INDEX('Data_Price '!AI$2:AI$1266,MATCH(Data!$DN455,'Data_Price '!$AT$2:$AT$1266,0))</f>
        <v>400.85</v>
      </c>
      <c r="DA455" t="str">
        <f>INDEX('Data_Price '!AJ$2:AJ$1266,MATCH(Data!$DN455,'Data_Price '!$AT$2:$AT$1266,0))</f>
        <v>https://tinyurl.com/y725prjp</v>
      </c>
      <c r="DB455" t="str">
        <f>INDEX('Data_Price '!AK$2:AK$1266,MATCH(Data!$DN455,'Data_Price '!$AT$2:$AT$1266,0))</f>
        <v>Rossignol Women's Freeride Skis Blackops W Stargazer</v>
      </c>
      <c r="DC455" t="str">
        <f>INDEX('Data_Price '!AL$2:AL$1266,MATCH(Data!$DN455,'Data_Price '!$AT$2:$AT$1266,0))</f>
        <v>Level Nine Sports</v>
      </c>
      <c r="DD455">
        <f>INDEX('Data_Price '!AM$2:AM$1266,MATCH(Data!$DN455,'Data_Price '!$AT$2:$AT$1266,0))</f>
        <v>479.96</v>
      </c>
      <c r="DE455" t="str">
        <f>INDEX('Data_Price '!AN$2:AN$1266,MATCH(Data!$DN455,'Data_Price '!$AT$2:$AT$1266,0))</f>
        <v>https://tinyurl.com/ydf33dla</v>
      </c>
      <c r="DF455" t="str">
        <f>INDEX('Data_Price '!AO$2:AO$1266,MATCH(Data!$DN455,'Data_Price '!$AT$2:$AT$1266,0))</f>
        <v>Rossignol Blackops W Stargazer Skis</v>
      </c>
      <c r="DG455" t="str">
        <f>INDEX('Data_Price '!AP$2:AP$1266,MATCH(Data!$DN455,'Data_Price '!$AT$2:$AT$1266,0))</f>
        <v>Cole Sport</v>
      </c>
      <c r="DH455">
        <f>INDEX('Data_Price '!AQ$2:AQ$1266,MATCH(Data!$DN455,'Data_Price '!$AT$2:$AT$1266,0))</f>
        <v>479.96</v>
      </c>
      <c r="DI455" t="str">
        <f>INDEX('Data_Price '!AR$2:AR$1266,MATCH(Data!$DN455,'Data_Price '!$AT$2:$AT$1266,0))</f>
        <v>https://tinyurl.com/ycmc9c47</v>
      </c>
      <c r="DJ455" s="89" t="str">
        <f t="shared" si="254"/>
        <v>https://tinyurl.com/y725prjp</v>
      </c>
      <c r="DK455" s="89" t="str">
        <f t="shared" si="255"/>
        <v>https://tinyurl.com/ydf33dla</v>
      </c>
      <c r="DL455" s="89" t="str">
        <f t="shared" si="256"/>
        <v>https://tinyurl.com/ycmc9c47</v>
      </c>
      <c r="DM455" s="219" t="str">
        <f t="shared" si="257"/>
        <v>Blackops Stargazer W</v>
      </c>
      <c r="DN455" s="89" t="str">
        <f t="shared" si="258"/>
        <v xml:space="preserve"> RossignolBlackops Stargazer W162 Women's</v>
      </c>
      <c r="DO455" s="221"/>
    </row>
    <row r="456" spans="2:119" ht="15.6" customHeight="1">
      <c r="B456" s="219" t="b">
        <f t="array" ref="B456">IF(OR(ISERROR(K456:P456)),FALSE,TRUE)</f>
        <v>1</v>
      </c>
      <c r="C456" s="43" t="b">
        <f>OR(BR456=Driver!$G$50,Data!BR734=Driver!$H$50)</f>
        <v>1</v>
      </c>
      <c r="D456" s="43" t="b">
        <f>OR(BV456=Driver!$G$51,BV456=Driver!$H$51)</f>
        <v>0</v>
      </c>
      <c r="E456" s="43" t="b">
        <f>AND(BX456&gt;Driver!$F$54,BX456&lt;Driver!$G$54)</f>
        <v>1</v>
      </c>
      <c r="F456" s="43" t="b">
        <f>CL456&gt;Driver!$F$56</f>
        <v>1</v>
      </c>
      <c r="G456" s="43" t="b">
        <f>AND(CB456&gt;Driver!$F$55,CB456&lt;Driver!$G$55)</f>
        <v>0</v>
      </c>
      <c r="H456" s="43" t="b">
        <f t="shared" si="222"/>
        <v>0</v>
      </c>
      <c r="I456" s="43">
        <f t="shared" si="223"/>
        <v>0</v>
      </c>
      <c r="J456" s="43" t="b">
        <f t="array" ref="J456">NOT(OR(($H$9:$H$1273=TRUE)*($I$9:$I$1273&gt;0)*($BT$9:$BT$1273=BT456)*($K$9:$K$1273&gt;K456)))</f>
        <v>1</v>
      </c>
      <c r="K456" s="72">
        <f t="shared" si="224"/>
        <v>0.82418493047306929</v>
      </c>
      <c r="L456" s="72">
        <f t="shared" si="225"/>
        <v>0.84399991228687488</v>
      </c>
      <c r="M456" s="72">
        <f t="shared" si="226"/>
        <v>0.80436994865926359</v>
      </c>
      <c r="N456" s="72">
        <f t="shared" si="227"/>
        <v>0.77961099143710477</v>
      </c>
      <c r="O456" s="72">
        <f t="shared" si="228"/>
        <v>0.65552872133972651</v>
      </c>
      <c r="P456" s="72">
        <f t="shared" si="229"/>
        <v>0.9779701332009596</v>
      </c>
      <c r="Q456" s="72"/>
      <c r="R456" s="72"/>
      <c r="S456" s="72">
        <f t="shared" si="230"/>
        <v>0.43582782533955877</v>
      </c>
      <c r="T456" s="72">
        <f t="shared" si="231"/>
        <v>0.50264454903093059</v>
      </c>
      <c r="U456" s="72">
        <f t="shared" si="232"/>
        <v>0.78240296398186304</v>
      </c>
      <c r="V456" s="72">
        <f t="shared" si="233"/>
        <v>0.5154666935814749</v>
      </c>
      <c r="W456" s="72">
        <f t="shared" si="234"/>
        <v>0.84345820134967631</v>
      </c>
      <c r="X456" s="72">
        <f t="shared" si="235"/>
        <v>0.15600008771312507</v>
      </c>
      <c r="Y456" s="72">
        <f t="shared" si="236"/>
        <v>0.19563005134073638</v>
      </c>
      <c r="Z456" s="72">
        <f t="shared" si="237"/>
        <v>0.22038900856289523</v>
      </c>
      <c r="AA456" s="72">
        <f t="shared" si="238"/>
        <v>0.34447127866027349</v>
      </c>
      <c r="AB456" s="72">
        <f t="shared" si="239"/>
        <v>2.2029866799040343E-2</v>
      </c>
      <c r="AC456" s="72"/>
      <c r="AD456" s="72"/>
      <c r="AE456" s="72">
        <f t="shared" si="240"/>
        <v>0.56417217466044123</v>
      </c>
      <c r="AF456" s="72">
        <f t="shared" si="241"/>
        <v>0.49735545096906941</v>
      </c>
      <c r="AG456" s="72">
        <f t="shared" si="242"/>
        <v>0.21759703601813701</v>
      </c>
      <c r="AH456" s="72">
        <f t="shared" si="243"/>
        <v>0.4845333064185251</v>
      </c>
      <c r="AI456" s="72">
        <f t="shared" si="244"/>
        <v>0.15654179865032364</v>
      </c>
      <c r="AJ456" s="72">
        <f>(AV456-Driver!$K$179)/(Driver!$L$179-Driver!$K$179)</f>
        <v>9.8219321569575357E-2</v>
      </c>
      <c r="AK456" s="72">
        <f>(AW456-Driver!$K$180)/(Driver!$L$180-Driver!$K$180)</f>
        <v>0.23922272224507279</v>
      </c>
      <c r="AL456" s="72">
        <f>(AX456-Driver!$K$181)/(Driver!$L$181-Driver!$K$181)</f>
        <v>0.32207677227597542</v>
      </c>
      <c r="AM456" s="72">
        <f>(AY456-Driver!$K$182)/(Driver!$L$182-Driver!$K$182)</f>
        <v>0.10291374243677288</v>
      </c>
      <c r="AN456" s="72">
        <f>(AZ456-Driver!$K$183)/(Driver!$L$183-Driver!$K$183)</f>
        <v>0.23218954248366008</v>
      </c>
      <c r="AO456" s="72"/>
      <c r="AP456" s="72"/>
      <c r="AQ456" s="72">
        <f>(BC456-Driver!$K$188)/(Driver!$L$188-Driver!$K$188)</f>
        <v>5.5827825339558733E-2</v>
      </c>
      <c r="AR456" s="72">
        <f>MIN((BD456-Driver!$K$189)/(Driver!$L$189-Driver!$K$189),100%)</f>
        <v>5.2644549030930618E-2</v>
      </c>
      <c r="AS456" s="72">
        <f>(BE456-Driver!$K$190)/(Driver!$L$190-Driver!$K$190)</f>
        <v>0.292402963981863</v>
      </c>
      <c r="AT456" s="72">
        <f>(BF456-Driver!$K$191)/(Driver!$L$191-Driver!$K$191)</f>
        <v>2.5466693581474908E-2</v>
      </c>
      <c r="AU456" s="72">
        <f>(BG456-Driver!$K$192)/(Driver!$L$192-Driver!$K$192)</f>
        <v>9.3458201349676348E-2</v>
      </c>
      <c r="AV456" s="70">
        <f t="shared" si="245"/>
        <v>2.0672229005562337</v>
      </c>
      <c r="AW456" s="70">
        <f t="shared" si="246"/>
        <v>25.186266633196279</v>
      </c>
      <c r="AX456" s="70">
        <f t="shared" si="247"/>
        <v>3.898690950483779</v>
      </c>
      <c r="AY456" s="70">
        <f>IFERROR(Driver!$K$19/Data!BH456/Data!BI456*Data!BK456*Data!BL456,"")</f>
        <v>0.1259971272396809</v>
      </c>
      <c r="AZ456" s="70">
        <f t="shared" si="248"/>
        <v>21.161578555472818</v>
      </c>
      <c r="BA456" s="70"/>
      <c r="BB456" s="70"/>
      <c r="BC456" s="70">
        <f t="shared" si="249"/>
        <v>28.958281112374362</v>
      </c>
      <c r="BD456" s="70">
        <f t="shared" si="250"/>
        <v>6.3797721927139079</v>
      </c>
      <c r="BE456" s="70">
        <f t="shared" si="251"/>
        <v>0.29252919132874478</v>
      </c>
      <c r="BF456" s="70">
        <f t="shared" si="252"/>
        <v>2.8762841263793741</v>
      </c>
      <c r="BG456" s="70">
        <f t="shared" si="253"/>
        <v>0.35389237019694259</v>
      </c>
      <c r="BH456" s="67">
        <f>MAX((CE456-Driver!$F$200)/(Driver!$G$200-Driver!$F$200)*$BI$1,1)</f>
        <v>3.898690950483779</v>
      </c>
      <c r="BI456" s="67">
        <f>MAX($BI$1*(BY456-Driver!$F$201)/(Driver!$G$201-Driver!$F$201),1)</f>
        <v>7.3417721518987342</v>
      </c>
      <c r="BJ456" s="67">
        <f>(CB456-Driver!$F$206)/(Driver!$G$206-Driver!$F$206)*$BI$1</f>
        <v>3.6507936507936507</v>
      </c>
      <c r="BK456" s="67">
        <f>(CD456-Driver!$F$203)/(Driver!$G$203-Driver!$F$203)*$BI$1</f>
        <v>2.6146788990825689</v>
      </c>
      <c r="BL456" s="67">
        <f>MAX((CR456-Driver!$F$202)/(Driver!$G$202-Driver!$F$202)*$BI$1,1)</f>
        <v>6.8965517241379315</v>
      </c>
      <c r="BM456" s="67">
        <f>MAX((CH456-Driver!$F$204)/(Driver!$G$204-Driver!$F$204)*$BI$1,1)</f>
        <v>2.2649572649572649</v>
      </c>
      <c r="BN456" s="67">
        <f>(CI456-Driver!$F$205)/(Driver!$G$205-Driver!$F$205)*$BI$1</f>
        <v>2.8823529411764701</v>
      </c>
      <c r="BO456" s="67">
        <f>(CK456-Driver!$F$207)/(Driver!$G$207-Driver!$F$207)*$BI$1</f>
        <v>1.1168562564632885</v>
      </c>
      <c r="BP456" s="67">
        <f>(CM456-Driver!$F$208)/(Driver!$G$208-Driver!$F$208)*$BI$1</f>
        <v>1.8444444444444443</v>
      </c>
      <c r="BQ456" s="67">
        <f>(CL456-Driver!$F$209)/(Driver!$G$209-Driver!$F$209)*$BI$1</f>
        <v>3.125</v>
      </c>
      <c r="BR456" s="28" t="s">
        <v>155</v>
      </c>
      <c r="BS456" s="8" t="s">
        <v>262</v>
      </c>
      <c r="BT456" s="9" t="s">
        <v>485</v>
      </c>
      <c r="BU456" s="10">
        <v>163</v>
      </c>
      <c r="BV456" s="9" t="s">
        <v>163</v>
      </c>
      <c r="BW456" s="10">
        <v>163</v>
      </c>
      <c r="BX456" s="10">
        <v>162.69999999999999</v>
      </c>
      <c r="BY456" s="10">
        <v>124</v>
      </c>
      <c r="BZ456" s="10">
        <v>139</v>
      </c>
      <c r="CA456" s="10">
        <v>124</v>
      </c>
      <c r="CB456" s="10">
        <v>87</v>
      </c>
      <c r="CC456" s="10">
        <v>111</v>
      </c>
      <c r="CD456" s="10">
        <v>15.1</v>
      </c>
      <c r="CE456" s="10">
        <v>1585</v>
      </c>
      <c r="CF456" s="10">
        <v>1.02</v>
      </c>
      <c r="CG456" s="10">
        <v>1620</v>
      </c>
      <c r="CH456" s="10">
        <v>154</v>
      </c>
      <c r="CI456" s="10">
        <v>82</v>
      </c>
      <c r="CJ456" s="10">
        <v>48</v>
      </c>
      <c r="CK456" s="10">
        <v>218</v>
      </c>
      <c r="CL456" s="10">
        <v>20</v>
      </c>
      <c r="CM456" s="10">
        <v>166</v>
      </c>
      <c r="CN456" s="10">
        <v>0.42499999999999999</v>
      </c>
      <c r="CO456" s="10">
        <v>134</v>
      </c>
      <c r="CP456" s="10">
        <v>101</v>
      </c>
      <c r="CQ456" s="10">
        <v>83</v>
      </c>
      <c r="CR456" s="10">
        <v>9</v>
      </c>
      <c r="CS456" s="10">
        <v>11</v>
      </c>
      <c r="CT456" s="9" t="s">
        <v>188</v>
      </c>
      <c r="CU456" s="10"/>
      <c r="CV456" s="10"/>
      <c r="CW456" s="10"/>
      <c r="CX456" t="e">
        <f>INDEX('Data_Price '!AG$2:AG$1266,MATCH(Data!$DN456,'Data_Price '!$AT$2:$AT$1266,0))</f>
        <v>#N/A</v>
      </c>
      <c r="CY456" t="e">
        <f>INDEX('Data_Price '!AH$2:AH$1266,MATCH(Data!$DN456,'Data_Price '!$AT$2:$AT$1266,0))</f>
        <v>#N/A</v>
      </c>
      <c r="CZ456" t="e">
        <f>INDEX('Data_Price '!AI$2:AI$1266,MATCH(Data!$DN456,'Data_Price '!$AT$2:$AT$1266,0))</f>
        <v>#N/A</v>
      </c>
      <c r="DA456" t="e">
        <f>INDEX('Data_Price '!AJ$2:AJ$1266,MATCH(Data!$DN456,'Data_Price '!$AT$2:$AT$1266,0))</f>
        <v>#N/A</v>
      </c>
      <c r="DB456" t="e">
        <f>INDEX('Data_Price '!AK$2:AK$1266,MATCH(Data!$DN456,'Data_Price '!$AT$2:$AT$1266,0))</f>
        <v>#N/A</v>
      </c>
      <c r="DC456" t="e">
        <f>INDEX('Data_Price '!AL$2:AL$1266,MATCH(Data!$DN456,'Data_Price '!$AT$2:$AT$1266,0))</f>
        <v>#N/A</v>
      </c>
      <c r="DD456" t="e">
        <f>INDEX('Data_Price '!AM$2:AM$1266,MATCH(Data!$DN456,'Data_Price '!$AT$2:$AT$1266,0))</f>
        <v>#N/A</v>
      </c>
      <c r="DE456" t="e">
        <f>INDEX('Data_Price '!AN$2:AN$1266,MATCH(Data!$DN456,'Data_Price '!$AT$2:$AT$1266,0))</f>
        <v>#N/A</v>
      </c>
      <c r="DF456" t="e">
        <f>INDEX('Data_Price '!AO$2:AO$1266,MATCH(Data!$DN456,'Data_Price '!$AT$2:$AT$1266,0))</f>
        <v>#N/A</v>
      </c>
      <c r="DG456" t="e">
        <f>INDEX('Data_Price '!AP$2:AP$1266,MATCH(Data!$DN456,'Data_Price '!$AT$2:$AT$1266,0))</f>
        <v>#N/A</v>
      </c>
      <c r="DH456" t="e">
        <f>INDEX('Data_Price '!AQ$2:AQ$1266,MATCH(Data!$DN456,'Data_Price '!$AT$2:$AT$1266,0))</f>
        <v>#N/A</v>
      </c>
      <c r="DI456" t="e">
        <f>INDEX('Data_Price '!AR$2:AR$1266,MATCH(Data!$DN456,'Data_Price '!$AT$2:$AT$1266,0))</f>
        <v>#N/A</v>
      </c>
      <c r="DJ456" s="89" t="e">
        <f t="shared" si="254"/>
        <v>#N/A</v>
      </c>
      <c r="DK456" s="89" t="e">
        <f t="shared" si="255"/>
        <v>#N/A</v>
      </c>
      <c r="DL456" s="89" t="e">
        <f t="shared" si="256"/>
        <v>#N/A</v>
      </c>
      <c r="DM456" s="219" t="str">
        <f t="shared" si="257"/>
        <v>Mindbender 88 Ti Alliance</v>
      </c>
      <c r="DN456" s="89" t="str">
        <f t="shared" si="258"/>
        <v xml:space="preserve"> K2Mindbender 88 Ti Alliance163 Women's</v>
      </c>
      <c r="DO456" s="221"/>
    </row>
    <row r="457" spans="2:119" ht="15.6" customHeight="1">
      <c r="B457" s="219" t="b">
        <f t="array" ref="B457">IF(OR(ISERROR(K457:P457)),FALSE,TRUE)</f>
        <v>1</v>
      </c>
      <c r="C457" s="43" t="b">
        <f>OR(BR457=Driver!$G$50,Data!BR692=Driver!$H$50)</f>
        <v>1</v>
      </c>
      <c r="D457" s="43" t="b">
        <f>OR(BV457=Driver!$G$51,BV457=Driver!$H$51)</f>
        <v>0</v>
      </c>
      <c r="E457" s="43" t="b">
        <f>AND(BX457&gt;Driver!$F$54,BX457&lt;Driver!$G$54)</f>
        <v>1</v>
      </c>
      <c r="F457" s="43" t="b">
        <f>CL457&gt;Driver!$F$56</f>
        <v>1</v>
      </c>
      <c r="G457" s="43" t="b">
        <f>AND(CB457&gt;Driver!$F$55,CB457&lt;Driver!$G$55)</f>
        <v>0</v>
      </c>
      <c r="H457" s="43" t="b">
        <f t="shared" ref="H457:H520" si="259">AND(B457:G457)</f>
        <v>0</v>
      </c>
      <c r="I457" s="43">
        <f t="shared" ref="I457:I520" si="260">COUNTIFS($H$9:$H$1273,TRUE,$BT$9:$BT$1273,BT457)</f>
        <v>0</v>
      </c>
      <c r="J457" s="43" t="b">
        <f t="array" ref="J457">NOT(OR(($H$9:$H$1273=TRUE)*($I$9:$I$1273&gt;0)*($BT$9:$BT$1273=BT457)*($K$9:$K$1273&gt;K457)))</f>
        <v>1</v>
      </c>
      <c r="K457" s="72">
        <f t="shared" ref="K457:K520" si="261">IFERROR(1-AVERAGE(X457:Y457),"")</f>
        <v>0.86256859801533792</v>
      </c>
      <c r="L457" s="72">
        <f t="shared" ref="L457:L520" si="262">1-X457</f>
        <v>0.96236265501509988</v>
      </c>
      <c r="M457" s="72">
        <f t="shared" ref="M457:M520" si="263">1-Y457</f>
        <v>0.76277454101557585</v>
      </c>
      <c r="N457" s="72">
        <f t="shared" ref="N457:N520" si="264">1-Z457</f>
        <v>0.71068036473755369</v>
      </c>
      <c r="O457" s="72">
        <f t="shared" ref="O457:O520" si="265">1-AA457</f>
        <v>0.63794926889906367</v>
      </c>
      <c r="P457" s="72">
        <f t="shared" ref="P457:P520" si="266">1-AB457</f>
        <v>0.93969398941010995</v>
      </c>
      <c r="Q457" s="72"/>
      <c r="R457" s="72"/>
      <c r="S457" s="72">
        <f t="shared" ref="S457:S520" si="267">1-AE457</f>
        <v>0.4167541020086386</v>
      </c>
      <c r="T457" s="72">
        <f t="shared" ref="T457:T520" si="268">1-AF457</f>
        <v>0.52268999925689263</v>
      </c>
      <c r="U457" s="72">
        <f t="shared" ref="U457:U520" si="269">1-AG457</f>
        <v>0.61125665055411049</v>
      </c>
      <c r="V457" s="72">
        <f t="shared" ref="V457:V520" si="270">1-AH457</f>
        <v>0.58195353733979327</v>
      </c>
      <c r="W457" s="72">
        <f t="shared" ref="W457:W520" si="271">1-AI457</f>
        <v>0.78815446203670381</v>
      </c>
      <c r="X457" s="72">
        <f t="shared" ref="X457:X520" si="272">ABS(AJ457-AJ$1)</f>
        <v>3.7637344984900095E-2</v>
      </c>
      <c r="Y457" s="72">
        <f t="shared" ref="Y457:Y520" si="273">AVERAGE(Z457:AB457)</f>
        <v>0.23722545898442418</v>
      </c>
      <c r="Z457" s="72">
        <f t="shared" ref="Z457:Z520" si="274">ABS(AL457-AL$1)</f>
        <v>0.28931963526244631</v>
      </c>
      <c r="AA457" s="72">
        <f t="shared" ref="AA457:AA520" si="275">ABS(AM457-AM$1)</f>
        <v>0.36205073110093633</v>
      </c>
      <c r="AB457" s="72">
        <f t="shared" ref="AB457:AB520" si="276">ABS(AN457-AN$1)</f>
        <v>6.0306010589889991E-2</v>
      </c>
      <c r="AC457" s="72"/>
      <c r="AD457" s="72"/>
      <c r="AE457" s="72">
        <f t="shared" ref="AE457:AE520" si="277">ABS(AQ$1-AQ457)</f>
        <v>0.5832458979913614</v>
      </c>
      <c r="AF457" s="72">
        <f t="shared" ref="AF457:AF520" si="278">ABS(AR$1-AR457)</f>
        <v>0.47731000074310737</v>
      </c>
      <c r="AG457" s="72">
        <f t="shared" ref="AG457:AG520" si="279">ABS(AS$1-AS457)</f>
        <v>0.38874334944588951</v>
      </c>
      <c r="AH457" s="72">
        <f t="shared" ref="AH457:AH520" si="280">ABS(AT$1-AT457)</f>
        <v>0.41804646266020673</v>
      </c>
      <c r="AI457" s="72">
        <f t="shared" ref="AI457:AI520" si="281">ABS(AU$1-AU457)</f>
        <v>0.21184553796329614</v>
      </c>
      <c r="AJ457" s="72">
        <f>(AV457-Driver!$K$179)/(Driver!$L$179-Driver!$K$179)</f>
        <v>0.21658206429780033</v>
      </c>
      <c r="AK457" s="72">
        <f>(AW457-Driver!$K$180)/(Driver!$L$180-Driver!$K$180)</f>
        <v>0.20957323216713997</v>
      </c>
      <c r="AL457" s="72">
        <f>(AX457-Driver!$K$181)/(Driver!$L$181-Driver!$K$181)</f>
        <v>0.3910073989755265</v>
      </c>
      <c r="AM457" s="72">
        <f>(AY457-Driver!$K$182)/(Driver!$L$182-Driver!$K$182)</f>
        <v>8.5334289996110049E-2</v>
      </c>
      <c r="AN457" s="72">
        <f>(AZ457-Driver!$K$183)/(Driver!$L$183-Driver!$K$183)</f>
        <v>0.19391339869281043</v>
      </c>
      <c r="AO457" s="72"/>
      <c r="AP457" s="72"/>
      <c r="AQ457" s="72">
        <f>(BC457-Driver!$K$188)/(Driver!$L$188-Driver!$K$188)</f>
        <v>3.6754102008638552E-2</v>
      </c>
      <c r="AR457" s="72">
        <f>MIN((BD457-Driver!$K$189)/(Driver!$L$189-Driver!$K$189),100%)</f>
        <v>7.2689999256892665E-2</v>
      </c>
      <c r="AS457" s="72">
        <f>(BE457-Driver!$K$190)/(Driver!$L$190-Driver!$K$190)</f>
        <v>0.12125665055411053</v>
      </c>
      <c r="AT457" s="72">
        <f>(BF457-Driver!$K$191)/(Driver!$L$191-Driver!$K$191)</f>
        <v>9.1953537339793251E-2</v>
      </c>
      <c r="AU457" s="72">
        <f>(BG457-Driver!$K$192)/(Driver!$L$192-Driver!$K$192)</f>
        <v>3.8154462036703848E-2</v>
      </c>
      <c r="AV457" s="70">
        <f t="shared" ref="AV457:AV520" si="282">IFERROR(BM457*BJ457^1/4,"")</f>
        <v>4.5584045584045585</v>
      </c>
      <c r="AW457" s="70">
        <f t="shared" ref="AW457:AW520" si="283">IFERROR(SUM(AX457:AZ457),"")</f>
        <v>22.296661103893424</v>
      </c>
      <c r="AX457" s="70">
        <f t="shared" ref="AX457:AX520" si="284">IFERROR(BH457,"")</f>
        <v>4.5190665907797385</v>
      </c>
      <c r="AY457" s="70">
        <f>IFERROR(Driver!$K$19/Data!BH457/Data!BI457*Data!BK457*Data!BL457,"")</f>
        <v>0.10447463224994794</v>
      </c>
      <c r="AZ457" s="70">
        <f t="shared" ref="AZ457:AZ520" si="285">IFERROR(BI457*BN457,"")</f>
        <v>17.673119880863737</v>
      </c>
      <c r="BA457" s="70"/>
      <c r="BB457" s="70"/>
      <c r="BC457" s="70">
        <f t="shared" ref="BC457:BC520" si="286">IFERROR(BI457*BN457*BK457/BJ457^(1/2),"")</f>
        <v>19.064608222252687</v>
      </c>
      <c r="BD457" s="70">
        <f t="shared" ref="BD457:BD520" si="287">IFERROR(BH457*BM457*BL457/BJ457/BK457,"")</f>
        <v>8.1537590192754852</v>
      </c>
      <c r="BE457" s="70">
        <f t="shared" ref="BE457:BE520" si="288">IFERROR(MIN(BI457/BQ457/BP457/BO457/BH457,$BE$1),"")</f>
        <v>0.12141340847697397</v>
      </c>
      <c r="BF457" s="70">
        <f t="shared" ref="BF457:BF520" si="289">IFERROR(BJ457*BO457*BP457/BK457,"")</f>
        <v>10.385506032368209</v>
      </c>
      <c r="BG457" s="70">
        <f t="shared" ref="BG457:BG520" si="290">IFERROR(1/BM457/BH457*BQ457,"")</f>
        <v>0.14447713318639799</v>
      </c>
      <c r="BH457" s="67">
        <f>MAX((CE457-Driver!$F$200)/(Driver!$G$200-Driver!$F$200)*$BI$1,1)</f>
        <v>4.5190665907797385</v>
      </c>
      <c r="BI457" s="67">
        <f>MAX($BI$1*(BY457-Driver!$F$201)/(Driver!$G$201-Driver!$F$201),1)</f>
        <v>6.3924050632911396</v>
      </c>
      <c r="BJ457" s="67">
        <f>(CB457-Driver!$F$206)/(Driver!$G$206-Driver!$F$206)*$BI$1</f>
        <v>5.0793650793650791</v>
      </c>
      <c r="BK457" s="67">
        <f>(CD457-Driver!$F$203)/(Driver!$G$203-Driver!$F$203)*$BI$1</f>
        <v>2.4311926605504586</v>
      </c>
      <c r="BL457" s="67">
        <f>MAX((CR457-Driver!$F$202)/(Driver!$G$202-Driver!$F$202)*$BI$1,1)</f>
        <v>6.2068965517241379</v>
      </c>
      <c r="BM457" s="67">
        <f>MAX((CH457-Driver!$F$204)/(Driver!$G$204-Driver!$F$204)*$BI$1,1)</f>
        <v>3.5897435897435899</v>
      </c>
      <c r="BN457" s="67">
        <f>(CI457-Driver!$F$205)/(Driver!$G$205-Driver!$F$205)*$BI$1</f>
        <v>2.7647058823529411</v>
      </c>
      <c r="BO457" s="67">
        <f>(CK457-Driver!$F$207)/(Driver!$G$207-Driver!$F$207)*$BI$1</f>
        <v>2.0062047569803516</v>
      </c>
      <c r="BP457" s="67">
        <f>(CM457-Driver!$F$208)/(Driver!$G$208-Driver!$F$208)*$BI$1</f>
        <v>2.4777777777777779</v>
      </c>
      <c r="BQ457" s="67">
        <f>(CL457-Driver!$F$209)/(Driver!$G$209-Driver!$F$209)*$BI$1</f>
        <v>2.34375</v>
      </c>
      <c r="BR457" s="28" t="s">
        <v>155</v>
      </c>
      <c r="BS457" s="8" t="s">
        <v>295</v>
      </c>
      <c r="BT457" s="9" t="s">
        <v>608</v>
      </c>
      <c r="BU457" s="10">
        <v>162</v>
      </c>
      <c r="BV457" s="9" t="s">
        <v>163</v>
      </c>
      <c r="BW457" s="10">
        <v>162</v>
      </c>
      <c r="BX457" s="10">
        <v>161.4</v>
      </c>
      <c r="BY457" s="10">
        <v>109</v>
      </c>
      <c r="BZ457" s="10">
        <v>133</v>
      </c>
      <c r="CA457" s="10">
        <v>130</v>
      </c>
      <c r="CB457" s="10">
        <v>96</v>
      </c>
      <c r="CC457" s="10">
        <v>117</v>
      </c>
      <c r="CD457" s="10">
        <v>14.7</v>
      </c>
      <c r="CE457" s="10">
        <v>1694</v>
      </c>
      <c r="CF457" s="10">
        <v>1.01</v>
      </c>
      <c r="CG457" s="10">
        <v>1716</v>
      </c>
      <c r="CH457" s="10">
        <v>185</v>
      </c>
      <c r="CI457" s="10">
        <v>80</v>
      </c>
      <c r="CJ457" s="10">
        <v>51</v>
      </c>
      <c r="CK457" s="10">
        <v>304</v>
      </c>
      <c r="CL457" s="10">
        <v>15</v>
      </c>
      <c r="CM457" s="10">
        <v>223</v>
      </c>
      <c r="CN457" s="10">
        <v>0.29499999999999998</v>
      </c>
      <c r="CO457" s="10">
        <v>178</v>
      </c>
      <c r="CP457" s="10">
        <v>110</v>
      </c>
      <c r="CQ457" s="10">
        <v>126</v>
      </c>
      <c r="CR457" s="10">
        <v>7</v>
      </c>
      <c r="CS457" s="10">
        <v>8.1999999999999993</v>
      </c>
      <c r="CT457" s="9" t="s">
        <v>188</v>
      </c>
      <c r="CU457" s="10"/>
      <c r="CV457" s="10"/>
      <c r="CW457" s="10"/>
      <c r="CX457" t="str">
        <f>INDEX('Data_Price '!AG$2:AG$1266,MATCH(Data!$DN457,'Data_Price '!$AT$2:$AT$1266,0))</f>
        <v>Icelantic Riveter 95 Women's Skis Â· 2022 Â· 162 cm</v>
      </c>
      <c r="CY457" t="str">
        <f>INDEX('Data_Price '!AH$2:AH$1266,MATCH(Data!$DN457,'Data_Price '!$AT$2:$AT$1266,0))</f>
        <v>Teton Wasatch Ski Co.</v>
      </c>
      <c r="CZ457">
        <f>INDEX('Data_Price '!AI$2:AI$1266,MATCH(Data!$DN457,'Data_Price '!$AT$2:$AT$1266,0))</f>
        <v>509</v>
      </c>
      <c r="DA457" t="str">
        <f>INDEX('Data_Price '!AJ$2:AJ$1266,MATCH(Data!$DN457,'Data_Price '!$AT$2:$AT$1266,0))</f>
        <v>https://tinyurl.com/y7m2o779</v>
      </c>
      <c r="DB457" t="str">
        <f>INDEX('Data_Price '!AK$2:AK$1266,MATCH(Data!$DN457,'Data_Price '!$AT$2:$AT$1266,0))</f>
        <v>Icelantic Riveter 95 Skis - Women's 2022 162cm</v>
      </c>
      <c r="DC457" t="str">
        <f>INDEX('Data_Price '!AL$2:AL$1266,MATCH(Data!$DN457,'Data_Price '!$AT$2:$AT$1266,0))</f>
        <v>Glacier Ski Shop</v>
      </c>
      <c r="DD457">
        <f>INDEX('Data_Price '!AM$2:AM$1266,MATCH(Data!$DN457,'Data_Price '!$AT$2:$AT$1266,0))</f>
        <v>509</v>
      </c>
      <c r="DE457" t="str">
        <f>INDEX('Data_Price '!AN$2:AN$1266,MATCH(Data!$DN457,'Data_Price '!$AT$2:$AT$1266,0))</f>
        <v>https://tinyurl.com/yd2kvzj7</v>
      </c>
      <c r="DF457" t="str">
        <f>INDEX('Data_Price '!AO$2:AO$1266,MATCH(Data!$DN457,'Data_Price '!$AT$2:$AT$1266,0))</f>
        <v>Icelantic Riveter 95 Women's Skis Â· 2022 Â· 162 cm</v>
      </c>
      <c r="DG457" t="str">
        <f>INDEX('Data_Price '!AP$2:AP$1266,MATCH(Data!$DN457,'Data_Price '!$AT$2:$AT$1266,0))</f>
        <v>Curated</v>
      </c>
      <c r="DH457">
        <f>INDEX('Data_Price '!AQ$2:AQ$1266,MATCH(Data!$DN457,'Data_Price '!$AT$2:$AT$1266,0))</f>
        <v>509</v>
      </c>
      <c r="DI457" t="str">
        <f>INDEX('Data_Price '!AR$2:AR$1266,MATCH(Data!$DN457,'Data_Price '!$AT$2:$AT$1266,0))</f>
        <v>https://tinyurl.com/ybffo283</v>
      </c>
      <c r="DJ457" s="89" t="str">
        <f t="shared" ref="DJ457:DJ520" si="291">DA457</f>
        <v>https://tinyurl.com/y7m2o779</v>
      </c>
      <c r="DK457" s="89" t="str">
        <f t="shared" ref="DK457:DK520" si="292">DE457</f>
        <v>https://tinyurl.com/yd2kvzj7</v>
      </c>
      <c r="DL457" s="89" t="str">
        <f t="shared" ref="DL457:DL520" si="293">DI457</f>
        <v>https://tinyurl.com/ybffo283</v>
      </c>
      <c r="DM457" s="219" t="str">
        <f t="shared" ref="DM457:DM520" si="294">IF(LEFT(BT457,1)=" ",RIGHT(BT457,LEN(BT457)-1),BT457)</f>
        <v>Riveter 95</v>
      </c>
      <c r="DN457" s="89" t="str">
        <f t="shared" ref="DN457:DN520" si="295">_xlfn.CONCAT(BS457,DM457,BU457,BV457)</f>
        <v xml:space="preserve"> IcelanticRiveter 95162 Women's</v>
      </c>
      <c r="DO457" s="221" t="s">
        <v>609</v>
      </c>
    </row>
    <row r="458" spans="2:119" ht="15.6" customHeight="1">
      <c r="B458" s="219" t="b">
        <f t="array" ref="B458">IF(OR(ISERROR(K458:P458)),FALSE,TRUE)</f>
        <v>1</v>
      </c>
      <c r="C458" s="43" t="b">
        <f>OR(BR458=Driver!$G$50,Data!BR83=Driver!$H$50)</f>
        <v>1</v>
      </c>
      <c r="D458" s="43" t="b">
        <f>OR(BV458=Driver!$G$51,BV458=Driver!$H$51)</f>
        <v>0</v>
      </c>
      <c r="E458" s="43" t="b">
        <f>AND(BX458&gt;Driver!$F$54,BX458&lt;Driver!$G$54)</f>
        <v>0</v>
      </c>
      <c r="F458" s="43" t="b">
        <f>CL458&gt;Driver!$F$56</f>
        <v>1</v>
      </c>
      <c r="G458" s="43" t="b">
        <f>AND(CB458&gt;Driver!$F$55,CB458&lt;Driver!$G$55)</f>
        <v>0</v>
      </c>
      <c r="H458" s="43" t="b">
        <f t="shared" si="259"/>
        <v>0</v>
      </c>
      <c r="I458" s="43">
        <f t="shared" si="260"/>
        <v>0</v>
      </c>
      <c r="J458" s="43" t="b">
        <f t="array" ref="J458">NOT(OR(($H$9:$H$1273=TRUE)*($I$9:$I$1273&gt;0)*($BT$9:$BT$1273=BT458)*($K$9:$K$1273&gt;K458)))</f>
        <v>1</v>
      </c>
      <c r="K458" s="72">
        <f t="shared" si="261"/>
        <v>0.83854036232666906</v>
      </c>
      <c r="L458" s="72">
        <f t="shared" si="262"/>
        <v>0.82796574904458986</v>
      </c>
      <c r="M458" s="72">
        <f t="shared" si="263"/>
        <v>0.84911497560874827</v>
      </c>
      <c r="N458" s="72">
        <f t="shared" si="264"/>
        <v>0.92948767517833031</v>
      </c>
      <c r="O458" s="72">
        <f t="shared" si="265"/>
        <v>0.66690581622142331</v>
      </c>
      <c r="P458" s="72">
        <f t="shared" si="266"/>
        <v>0.9509514354264913</v>
      </c>
      <c r="Q458" s="72"/>
      <c r="R458" s="72"/>
      <c r="S458" s="72">
        <f t="shared" si="267"/>
        <v>0.44844741299493396</v>
      </c>
      <c r="T458" s="72">
        <f t="shared" si="268"/>
        <v>0.51108791152110478</v>
      </c>
      <c r="U458" s="72">
        <f t="shared" si="269"/>
        <v>0.51</v>
      </c>
      <c r="V458" s="72">
        <f t="shared" si="270"/>
        <v>0.49674440779295759</v>
      </c>
      <c r="W458" s="72">
        <f t="shared" si="271"/>
        <v>0.81311383928571423</v>
      </c>
      <c r="X458" s="72">
        <f t="shared" si="272"/>
        <v>0.17203425095541014</v>
      </c>
      <c r="Y458" s="72">
        <f t="shared" si="273"/>
        <v>0.1508850243912517</v>
      </c>
      <c r="Z458" s="72">
        <f t="shared" si="274"/>
        <v>7.0512324821669706E-2</v>
      </c>
      <c r="AA458" s="72">
        <f t="shared" si="275"/>
        <v>0.33309418377857669</v>
      </c>
      <c r="AB458" s="72">
        <f t="shared" si="276"/>
        <v>4.9048564573508702E-2</v>
      </c>
      <c r="AC458" s="72"/>
      <c r="AD458" s="72"/>
      <c r="AE458" s="72">
        <f t="shared" si="277"/>
        <v>0.55155258700506604</v>
      </c>
      <c r="AF458" s="72">
        <f t="shared" si="278"/>
        <v>0.48891208847889522</v>
      </c>
      <c r="AG458" s="72">
        <f t="shared" si="279"/>
        <v>0.49</v>
      </c>
      <c r="AH458" s="72">
        <f t="shared" si="280"/>
        <v>0.50325559220704241</v>
      </c>
      <c r="AI458" s="72">
        <f t="shared" si="281"/>
        <v>0.18688616071428571</v>
      </c>
      <c r="AJ458" s="72">
        <f>(AV458-Driver!$K$179)/(Driver!$L$179-Driver!$K$179)</f>
        <v>8.2185158327290286E-2</v>
      </c>
      <c r="AK458" s="72">
        <f>(AW458-Driver!$K$180)/(Driver!$L$180-Driver!$K$180)</f>
        <v>0.29199445597116269</v>
      </c>
      <c r="AL458" s="72">
        <f>(AX458-Driver!$K$181)/(Driver!$L$181-Driver!$K$181)</f>
        <v>0.17220008853474988</v>
      </c>
      <c r="AM458" s="72">
        <f>(AY458-Driver!$K$182)/(Driver!$L$182-Driver!$K$182)</f>
        <v>0.11429083731846969</v>
      </c>
      <c r="AN458" s="72">
        <f>(AZ458-Driver!$K$183)/(Driver!$L$183-Driver!$K$183)</f>
        <v>0.30326797385620913</v>
      </c>
      <c r="AO458" s="72"/>
      <c r="AP458" s="72"/>
      <c r="AQ458" s="72">
        <f>(BC458-Driver!$K$188)/(Driver!$L$188-Driver!$K$188)</f>
        <v>6.8447412994933926E-2</v>
      </c>
      <c r="AR458" s="72">
        <f>MIN((BD458-Driver!$K$189)/(Driver!$L$189-Driver!$K$189),100%)</f>
        <v>6.1087911521104793E-2</v>
      </c>
      <c r="AS458" s="72">
        <f>(BE458-Driver!$K$190)/(Driver!$L$190-Driver!$K$190)</f>
        <v>1</v>
      </c>
      <c r="AT458" s="72">
        <f>(BF458-Driver!$K$191)/(Driver!$L$191-Driver!$K$191)</f>
        <v>6.7444077929576197E-3</v>
      </c>
      <c r="AU458" s="72">
        <f>(BG458-Driver!$K$192)/(Driver!$L$192-Driver!$K$192)</f>
        <v>6.3113839285714277E-2</v>
      </c>
      <c r="AV458" s="70">
        <f t="shared" si="282"/>
        <v>1.7297517297517295</v>
      </c>
      <c r="AW458" s="70">
        <f t="shared" si="283"/>
        <v>30.329339689933281</v>
      </c>
      <c r="AX458" s="70">
        <f t="shared" si="284"/>
        <v>2.549800796812749</v>
      </c>
      <c r="AY458" s="70">
        <f>IFERROR(Driver!$K$19/Data!BH458/Data!BI458*Data!BK458*Data!BL458,"")</f>
        <v>0.13992608597235709</v>
      </c>
      <c r="AZ458" s="70">
        <f t="shared" si="285"/>
        <v>27.639612807148175</v>
      </c>
      <c r="BA458" s="70"/>
      <c r="BB458" s="70"/>
      <c r="BC458" s="70">
        <f t="shared" si="286"/>
        <v>35.504148959167559</v>
      </c>
      <c r="BD458" s="70">
        <f t="shared" si="287"/>
        <v>7.1269948123412643</v>
      </c>
      <c r="BE458" s="70">
        <f t="shared" si="288"/>
        <v>1</v>
      </c>
      <c r="BF458" s="70">
        <f t="shared" si="289"/>
        <v>0.76173347806817504</v>
      </c>
      <c r="BG458" s="70">
        <f t="shared" si="290"/>
        <v>0.23898925781249999</v>
      </c>
      <c r="BH458" s="67">
        <f>MAX((CE458-Driver!$F$200)/(Driver!$G$200-Driver!$F$200)*$BI$1,1)</f>
        <v>2.549800796812749</v>
      </c>
      <c r="BI458" s="67">
        <f>MAX($BI$1*(BY458-Driver!$F$201)/(Driver!$G$201-Driver!$F$201),1)</f>
        <v>7.3417721518987342</v>
      </c>
      <c r="BJ458" s="67">
        <f>(CB458-Driver!$F$206)/(Driver!$G$206-Driver!$F$206)*$BI$1</f>
        <v>2.6984126984126982</v>
      </c>
      <c r="BK458" s="67">
        <f>(CD458-Driver!$F$203)/(Driver!$G$203-Driver!$F$203)*$BI$1</f>
        <v>2.1100917431192663</v>
      </c>
      <c r="BL458" s="67">
        <f>MAX((CR458-Driver!$F$202)/(Driver!$G$202-Driver!$F$202)*$BI$1,1)</f>
        <v>6.2068965517241379</v>
      </c>
      <c r="BM458" s="67">
        <f>MAX((CH458-Driver!$F$204)/(Driver!$G$204-Driver!$F$204)*$BI$1,1)</f>
        <v>2.5641025641025639</v>
      </c>
      <c r="BN458" s="67">
        <f>(CI458-Driver!$F$205)/(Driver!$G$205-Driver!$F$205)*$BI$1</f>
        <v>3.7647058823529411</v>
      </c>
      <c r="BO458" s="67">
        <f>(CK458-Driver!$F$207)/(Driver!$G$207-Driver!$F$207)*$BI$1</f>
        <v>0.55842812823164423</v>
      </c>
      <c r="BP458" s="67">
        <f>(CM458-Driver!$F$208)/(Driver!$G$208-Driver!$F$208)*$BI$1</f>
        <v>1.0666666666666667</v>
      </c>
      <c r="BQ458" s="67">
        <f>(CL458-Driver!$F$209)/(Driver!$G$209-Driver!$F$209)*$BI$1</f>
        <v>1.5625</v>
      </c>
      <c r="BR458" s="28" t="s">
        <v>155</v>
      </c>
      <c r="BS458" s="8" t="s">
        <v>182</v>
      </c>
      <c r="BT458" s="9" t="s">
        <v>610</v>
      </c>
      <c r="BU458" s="10">
        <v>150</v>
      </c>
      <c r="BV458" s="9" t="s">
        <v>163</v>
      </c>
      <c r="BW458" s="10">
        <v>150</v>
      </c>
      <c r="BX458" s="10">
        <v>149.69999999999999</v>
      </c>
      <c r="BY458" s="10">
        <v>124</v>
      </c>
      <c r="BZ458" s="10">
        <v>135</v>
      </c>
      <c r="CA458" s="10">
        <v>121</v>
      </c>
      <c r="CB458" s="10">
        <v>81</v>
      </c>
      <c r="CC458" s="10">
        <v>107</v>
      </c>
      <c r="CD458" s="10">
        <v>14</v>
      </c>
      <c r="CE458" s="10">
        <v>1348</v>
      </c>
      <c r="CF458" s="10">
        <v>1.04</v>
      </c>
      <c r="CG458" s="10">
        <v>1398</v>
      </c>
      <c r="CH458" s="10">
        <v>161</v>
      </c>
      <c r="CI458" s="10">
        <v>97</v>
      </c>
      <c r="CJ458" s="10">
        <v>35</v>
      </c>
      <c r="CK458" s="10">
        <v>164</v>
      </c>
      <c r="CL458" s="10">
        <v>10</v>
      </c>
      <c r="CM458" s="10">
        <v>96</v>
      </c>
      <c r="CN458" s="10">
        <v>0.28599999999999998</v>
      </c>
      <c r="CO458" s="10">
        <v>91</v>
      </c>
      <c r="CP458" s="10">
        <v>53</v>
      </c>
      <c r="CQ458" s="10">
        <v>73</v>
      </c>
      <c r="CR458" s="10">
        <v>7</v>
      </c>
      <c r="CS458" s="10">
        <v>8.1999999999999993</v>
      </c>
      <c r="CT458" s="9" t="s">
        <v>188</v>
      </c>
      <c r="CU458" s="10"/>
      <c r="CV458" s="10"/>
      <c r="CW458" s="10"/>
      <c r="CX458" t="str">
        <f>INDEX('Data_Price '!AG$2:AG$1266,MATCH(Data!$DN458,'Data_Price '!$AT$2:$AT$1266,0))</f>
        <v>Armada Reliance 82 Ti Women's Skis 150cm 2022</v>
      </c>
      <c r="CY458" t="str">
        <f>INDEX('Data_Price '!AH$2:AH$1266,MATCH(Data!$DN458,'Data_Price '!$AT$2:$AT$1266,0))</f>
        <v>Powder7 Ski Shop</v>
      </c>
      <c r="CZ458">
        <f>INDEX('Data_Price '!AI$2:AI$1266,MATCH(Data!$DN458,'Data_Price '!$AT$2:$AT$1266,0))</f>
        <v>499.95</v>
      </c>
      <c r="DA458" t="str">
        <f>INDEX('Data_Price '!AJ$2:AJ$1266,MATCH(Data!$DN458,'Data_Price '!$AT$2:$AT$1266,0))</f>
        <v>https://tinyurl.com/y7eq7ovy</v>
      </c>
      <c r="DB458" t="str">
        <f>INDEX('Data_Price '!AK$2:AK$1266,MATCH(Data!$DN458,'Data_Price '!$AT$2:$AT$1266,0))</f>
        <v>Armada Reliance 82 Ti Skis</v>
      </c>
      <c r="DC458" t="str">
        <f>INDEX('Data_Price '!AL$2:AL$1266,MATCH(Data!$DN458,'Data_Price '!$AT$2:$AT$1266,0))</f>
        <v>Cole Sport</v>
      </c>
      <c r="DD458">
        <f>INDEX('Data_Price '!AM$2:AM$1266,MATCH(Data!$DN458,'Data_Price '!$AT$2:$AT$1266,0))</f>
        <v>599.95000000000005</v>
      </c>
      <c r="DE458" t="str">
        <f>INDEX('Data_Price '!AN$2:AN$1266,MATCH(Data!$DN458,'Data_Price '!$AT$2:$AT$1266,0))</f>
        <v>https://tinyurl.com/ybj3w9t7</v>
      </c>
      <c r="DF458" t="str">
        <f>INDEX('Data_Price '!AO$2:AO$1266,MATCH(Data!$DN458,'Data_Price '!$AT$2:$AT$1266,0))</f>
        <v>Armada Reliance 82 Ti Women's Skis 150cm 2022</v>
      </c>
      <c r="DG458" t="str">
        <f>INDEX('Data_Price '!AP$2:AP$1266,MATCH(Data!$DN458,'Data_Price '!$AT$2:$AT$1266,0))</f>
        <v>SkiEssentials.com</v>
      </c>
      <c r="DH458">
        <f>INDEX('Data_Price '!AQ$2:AQ$1266,MATCH(Data!$DN458,'Data_Price '!$AT$2:$AT$1266,0))</f>
        <v>599.95000000000005</v>
      </c>
      <c r="DI458" t="str">
        <f>INDEX('Data_Price '!AR$2:AR$1266,MATCH(Data!$DN458,'Data_Price '!$AT$2:$AT$1266,0))</f>
        <v>https://tinyurl.com/y8r7quue</v>
      </c>
      <c r="DJ458" s="89" t="str">
        <f t="shared" si="291"/>
        <v>https://tinyurl.com/y7eq7ovy</v>
      </c>
      <c r="DK458" s="89" t="str">
        <f t="shared" si="292"/>
        <v>https://tinyurl.com/ybj3w9t7</v>
      </c>
      <c r="DL458" s="89" t="str">
        <f t="shared" si="293"/>
        <v>https://tinyurl.com/y8r7quue</v>
      </c>
      <c r="DM458" s="219" t="str">
        <f t="shared" si="294"/>
        <v>Reliance 82 Ti</v>
      </c>
      <c r="DN458" s="89" t="str">
        <f t="shared" si="295"/>
        <v xml:space="preserve"> ArmadaReliance 82 Ti150 Women's</v>
      </c>
      <c r="DO458" s="221"/>
    </row>
    <row r="459" spans="2:119" ht="15.6" customHeight="1">
      <c r="B459" s="219" t="b">
        <f t="array" ref="B459">IF(OR(ISERROR(K459:P459)),FALSE,TRUE)</f>
        <v>1</v>
      </c>
      <c r="C459" s="43" t="b">
        <f>OR(BR459=Driver!$G$50,Data!BR223=Driver!$H$50)</f>
        <v>1</v>
      </c>
      <c r="D459" s="43" t="b">
        <f>OR(BV459=Driver!$G$51,BV459=Driver!$H$51)</f>
        <v>1</v>
      </c>
      <c r="E459" s="43" t="b">
        <f>AND(BX459&gt;Driver!$F$54,BX459&lt;Driver!$G$54)</f>
        <v>0</v>
      </c>
      <c r="F459" s="43" t="b">
        <f>CL459&gt;Driver!$F$56</f>
        <v>1</v>
      </c>
      <c r="G459" s="43" t="b">
        <f>AND(CB459&gt;Driver!$F$55,CB459&lt;Driver!$G$55)</f>
        <v>0</v>
      </c>
      <c r="H459" s="43" t="b">
        <f t="shared" si="259"/>
        <v>0</v>
      </c>
      <c r="I459" s="43">
        <f t="shared" si="260"/>
        <v>0</v>
      </c>
      <c r="J459" s="43" t="b">
        <f t="array" ref="J459">NOT(OR(($H$9:$H$1273=TRUE)*($I$9:$I$1273&gt;0)*($BT$9:$BT$1273=BT459)*($K$9:$K$1273&gt;K459)))</f>
        <v>1</v>
      </c>
      <c r="K459" s="72">
        <f t="shared" si="261"/>
        <v>0.80747925692414202</v>
      </c>
      <c r="L459" s="72">
        <f t="shared" si="262"/>
        <v>0.8854953598736931</v>
      </c>
      <c r="M459" s="72">
        <f t="shared" si="263"/>
        <v>0.72946315397459083</v>
      </c>
      <c r="N459" s="72">
        <f t="shared" si="264"/>
        <v>0.6765312469230973</v>
      </c>
      <c r="O459" s="72">
        <f t="shared" si="265"/>
        <v>0.6423201782669945</v>
      </c>
      <c r="P459" s="72">
        <f t="shared" si="266"/>
        <v>0.8695380367336808</v>
      </c>
      <c r="Q459" s="72"/>
      <c r="R459" s="72"/>
      <c r="S459" s="72">
        <f t="shared" si="267"/>
        <v>0.5234456577409643</v>
      </c>
      <c r="T459" s="72">
        <f t="shared" si="268"/>
        <v>0.58740468596810114</v>
      </c>
      <c r="U459" s="72">
        <f t="shared" si="269"/>
        <v>0.77699136240441713</v>
      </c>
      <c r="V459" s="72">
        <f t="shared" si="270"/>
        <v>0.50520093762594853</v>
      </c>
      <c r="W459" s="72">
        <f t="shared" si="271"/>
        <v>0.78334316037735852</v>
      </c>
      <c r="X459" s="72">
        <f t="shared" si="272"/>
        <v>0.1145046401263069</v>
      </c>
      <c r="Y459" s="72">
        <f t="shared" si="273"/>
        <v>0.27053684602540912</v>
      </c>
      <c r="Z459" s="72">
        <f t="shared" si="274"/>
        <v>0.32346875307690276</v>
      </c>
      <c r="AA459" s="72">
        <f t="shared" si="275"/>
        <v>0.35767982173300544</v>
      </c>
      <c r="AB459" s="72">
        <f t="shared" si="276"/>
        <v>0.1304619632663192</v>
      </c>
      <c r="AC459" s="72"/>
      <c r="AD459" s="72"/>
      <c r="AE459" s="72">
        <f t="shared" si="277"/>
        <v>0.47655434225903576</v>
      </c>
      <c r="AF459" s="72">
        <f t="shared" si="278"/>
        <v>0.41259531403189886</v>
      </c>
      <c r="AG459" s="72">
        <f t="shared" si="279"/>
        <v>0.22300863759558287</v>
      </c>
      <c r="AH459" s="72">
        <f t="shared" si="280"/>
        <v>0.49479906237405152</v>
      </c>
      <c r="AI459" s="72">
        <f t="shared" si="281"/>
        <v>0.21665683962264151</v>
      </c>
      <c r="AJ459" s="72">
        <f>(AV459-Driver!$K$179)/(Driver!$L$179-Driver!$K$179)</f>
        <v>0.13971476915639353</v>
      </c>
      <c r="AK459" s="72">
        <f>(AW459-Driver!$K$180)/(Driver!$L$180-Driver!$K$180)</f>
        <v>0.39117951654226207</v>
      </c>
      <c r="AL459" s="72">
        <f>(AX459-Driver!$K$181)/(Driver!$L$181-Driver!$K$181)</f>
        <v>0.42515651678998295</v>
      </c>
      <c r="AM459" s="72">
        <f>(AY459-Driver!$K$182)/(Driver!$L$182-Driver!$K$182)</f>
        <v>8.9705199364040922E-2</v>
      </c>
      <c r="AN459" s="72">
        <f>(AZ459-Driver!$K$183)/(Driver!$L$183-Driver!$K$183)</f>
        <v>0.38468137254901963</v>
      </c>
      <c r="AO459" s="72"/>
      <c r="AP459" s="72"/>
      <c r="AQ459" s="72">
        <f>(BC459-Driver!$K$188)/(Driver!$L$188-Driver!$K$188)</f>
        <v>0.14344565774096424</v>
      </c>
      <c r="AR459" s="72">
        <f>MIN((BD459-Driver!$K$189)/(Driver!$L$189-Driver!$K$189),100%)</f>
        <v>0.13740468596810118</v>
      </c>
      <c r="AS459" s="72">
        <f>(BE459-Driver!$K$190)/(Driver!$L$190-Driver!$K$190)</f>
        <v>0.28699136240441714</v>
      </c>
      <c r="AT459" s="72">
        <f>(BF459-Driver!$K$191)/(Driver!$L$191-Driver!$K$191)</f>
        <v>1.5200937625948463E-2</v>
      </c>
      <c r="AU459" s="72">
        <f>(BG459-Driver!$K$192)/(Driver!$L$192-Driver!$K$192)</f>
        <v>3.3343160377358481E-2</v>
      </c>
      <c r="AV459" s="70">
        <f t="shared" si="282"/>
        <v>2.9405779405779406</v>
      </c>
      <c r="AW459" s="70">
        <f t="shared" si="283"/>
        <v>39.995802711629523</v>
      </c>
      <c r="AX459" s="70">
        <f t="shared" si="284"/>
        <v>4.8264086511098467</v>
      </c>
      <c r="AY459" s="70">
        <f>IFERROR(Driver!$K$19/Data!BH459/Data!BI459*Data!BK459*Data!BL459,"")</f>
        <v>0.10982592946977887</v>
      </c>
      <c r="AZ459" s="70">
        <f t="shared" si="285"/>
        <v>35.059568131049893</v>
      </c>
      <c r="BA459" s="70"/>
      <c r="BB459" s="70"/>
      <c r="BC459" s="70">
        <f t="shared" si="286"/>
        <v>74.406259888272317</v>
      </c>
      <c r="BD459" s="70">
        <f t="shared" si="287"/>
        <v>13.880894125577827</v>
      </c>
      <c r="BE459" s="70">
        <f t="shared" si="288"/>
        <v>0.28711855512011014</v>
      </c>
      <c r="BF459" s="70">
        <f t="shared" si="289"/>
        <v>1.7168391122200148</v>
      </c>
      <c r="BG459" s="70">
        <f t="shared" si="290"/>
        <v>0.12625847582547167</v>
      </c>
      <c r="BH459" s="67">
        <f>MAX((CE459-Driver!$F$200)/(Driver!$G$200-Driver!$F$200)*$BI$1,1)</f>
        <v>4.8264086511098467</v>
      </c>
      <c r="BI459" s="67">
        <f>MAX($BI$1*(BY459-Driver!$F$201)/(Driver!$G$201-Driver!$F$201),1)</f>
        <v>8.1645569620253173</v>
      </c>
      <c r="BJ459" s="67">
        <f>(CB459-Driver!$F$206)/(Driver!$G$206-Driver!$F$206)*$BI$1</f>
        <v>2.6984126984126982</v>
      </c>
      <c r="BK459" s="67">
        <f>(CD459-Driver!$F$203)/(Driver!$G$203-Driver!$F$203)*$BI$1</f>
        <v>3.4862385321100922</v>
      </c>
      <c r="BL459" s="67">
        <f>MAX((CR459-Driver!$F$202)/(Driver!$G$202-Driver!$F$202)*$BI$1,1)</f>
        <v>6.2068965517241379</v>
      </c>
      <c r="BM459" s="67">
        <f>MAX((CH459-Driver!$F$204)/(Driver!$G$204-Driver!$F$204)*$BI$1,1)</f>
        <v>4.3589743589743595</v>
      </c>
      <c r="BN459" s="67">
        <f>(CI459-Driver!$F$205)/(Driver!$G$205-Driver!$F$205)*$BI$1</f>
        <v>4.2941176470588234</v>
      </c>
      <c r="BO459" s="67">
        <f>(CK459-Driver!$F$207)/(Driver!$G$207-Driver!$F$207)*$BI$1</f>
        <v>1.3133402275077559</v>
      </c>
      <c r="BP459" s="67">
        <f>(CM459-Driver!$F$208)/(Driver!$G$208-Driver!$F$208)*$BI$1</f>
        <v>1.6888888888888889</v>
      </c>
      <c r="BQ459" s="67">
        <f>(CL459-Driver!$F$209)/(Driver!$G$209-Driver!$F$209)*$BI$1</f>
        <v>2.65625</v>
      </c>
      <c r="BR459" s="28" t="s">
        <v>155</v>
      </c>
      <c r="BS459" s="8" t="s">
        <v>237</v>
      </c>
      <c r="BT459" s="9" t="s">
        <v>323</v>
      </c>
      <c r="BU459" s="10">
        <v>177.3</v>
      </c>
      <c r="BV459" s="9" t="s">
        <v>158</v>
      </c>
      <c r="BW459" s="10">
        <v>177.3</v>
      </c>
      <c r="BX459" s="10">
        <v>176.1</v>
      </c>
      <c r="BY459" s="10">
        <v>137</v>
      </c>
      <c r="BZ459" s="10">
        <v>156</v>
      </c>
      <c r="CA459" s="10">
        <v>123</v>
      </c>
      <c r="CB459" s="10">
        <v>81</v>
      </c>
      <c r="CC459" s="10">
        <v>109</v>
      </c>
      <c r="CD459" s="10">
        <v>17</v>
      </c>
      <c r="CE459" s="10">
        <v>1748</v>
      </c>
      <c r="CF459" s="10">
        <v>0.95</v>
      </c>
      <c r="CG459" s="10">
        <v>1660</v>
      </c>
      <c r="CH459" s="10">
        <v>203</v>
      </c>
      <c r="CI459" s="10">
        <v>106</v>
      </c>
      <c r="CJ459" s="10">
        <v>42</v>
      </c>
      <c r="CK459" s="10">
        <v>237</v>
      </c>
      <c r="CL459" s="10">
        <v>17</v>
      </c>
      <c r="CM459" s="10">
        <v>152</v>
      </c>
      <c r="CN459" s="10">
        <v>0.4</v>
      </c>
      <c r="CO459" s="10">
        <v>112</v>
      </c>
      <c r="CP459" s="10">
        <v>87</v>
      </c>
      <c r="CQ459" s="10">
        <v>125</v>
      </c>
      <c r="CR459" s="10">
        <v>7</v>
      </c>
      <c r="CS459" s="10">
        <v>10.199999999999999</v>
      </c>
      <c r="CT459" s="9" t="s">
        <v>231</v>
      </c>
      <c r="CU459" s="9" t="s">
        <v>188</v>
      </c>
      <c r="CV459" s="10"/>
      <c r="CW459" s="10"/>
      <c r="CX459" t="str">
        <f>INDEX('Data_Price '!AG$2:AG$1266,MATCH(Data!$DN459,'Data_Price '!$AT$2:$AT$1266,0))</f>
        <v>Skis Black Crows Divus</v>
      </c>
      <c r="CY459" t="str">
        <f>INDEX('Data_Price '!AH$2:AH$1266,MATCH(Data!$DN459,'Data_Price '!$AT$2:$AT$1266,0))</f>
        <v>SkatePro.com</v>
      </c>
      <c r="CZ459">
        <f>INDEX('Data_Price '!AI$2:AI$1266,MATCH(Data!$DN459,'Data_Price '!$AT$2:$AT$1266,0))</f>
        <v>519.95000000000005</v>
      </c>
      <c r="DA459" t="str">
        <f>INDEX('Data_Price '!AJ$2:AJ$1266,MATCH(Data!$DN459,'Data_Price '!$AT$2:$AT$1266,0))</f>
        <v>https://tinyurl.com/yb8uwjjn</v>
      </c>
      <c r="DB459" t="str">
        <f>INDEX('Data_Price '!AK$2:AK$1266,MATCH(Data!$DN459,'Data_Price '!$AT$2:$AT$1266,0))</f>
        <v>Skis Black Crows Divus</v>
      </c>
      <c r="DC459" t="str">
        <f>INDEX('Data_Price '!AL$2:AL$1266,MATCH(Data!$DN459,'Data_Price '!$AT$2:$AT$1266,0))</f>
        <v>Next Adventure</v>
      </c>
      <c r="DD459">
        <f>INDEX('Data_Price '!AM$2:AM$1266,MATCH(Data!$DN459,'Data_Price '!$AT$2:$AT$1266,0))</f>
        <v>623.96</v>
      </c>
      <c r="DE459" t="str">
        <f>INDEX('Data_Price '!AN$2:AN$1266,MATCH(Data!$DN459,'Data_Price '!$AT$2:$AT$1266,0))</f>
        <v>https://tinyurl.com/y7vblsjp</v>
      </c>
      <c r="DF459" t="str">
        <f>INDEX('Data_Price '!AO$2:AO$1266,MATCH(Data!$DN459,'Data_Price '!$AT$2:$AT$1266,0))</f>
        <v>Skis Black Crows Divus</v>
      </c>
      <c r="DG459" t="str">
        <f>INDEX('Data_Price '!AP$2:AP$1266,MATCH(Data!$DN459,'Data_Price '!$AT$2:$AT$1266,0))</f>
        <v>Powder7 Ski Shop</v>
      </c>
      <c r="DH459">
        <f>INDEX('Data_Price '!AQ$2:AQ$1266,MATCH(Data!$DN459,'Data_Price '!$AT$2:$AT$1266,0))</f>
        <v>623.96</v>
      </c>
      <c r="DI459" t="str">
        <f>INDEX('Data_Price '!AR$2:AR$1266,MATCH(Data!$DN459,'Data_Price '!$AT$2:$AT$1266,0))</f>
        <v>https://tinyurl.com/yb82mteo</v>
      </c>
      <c r="DJ459" s="89" t="str">
        <f t="shared" si="291"/>
        <v>https://tinyurl.com/yb8uwjjn</v>
      </c>
      <c r="DK459" s="89" t="str">
        <f t="shared" si="292"/>
        <v>https://tinyurl.com/y7vblsjp</v>
      </c>
      <c r="DL459" s="89" t="str">
        <f t="shared" si="293"/>
        <v>https://tinyurl.com/yb82mteo</v>
      </c>
      <c r="DM459" s="219" t="str">
        <f t="shared" si="294"/>
        <v>Divus</v>
      </c>
      <c r="DN459" s="89" t="str">
        <f t="shared" si="295"/>
        <v xml:space="preserve"> Black CrowsDivus177.3 Unisex</v>
      </c>
      <c r="DO459" s="221" t="s">
        <v>324</v>
      </c>
    </row>
    <row r="460" spans="2:119" ht="15.6" customHeight="1">
      <c r="B460" s="219" t="b">
        <f t="array" ref="B460">IF(OR(ISERROR(K460:P460)),FALSE,TRUE)</f>
        <v>1</v>
      </c>
      <c r="C460" s="43" t="b">
        <f>OR(BR460=Driver!$G$50,Data!BR169=Driver!$H$50)</f>
        <v>1</v>
      </c>
      <c r="D460" s="43" t="b">
        <f>OR(BV460=Driver!$G$51,BV460=Driver!$H$51)</f>
        <v>1</v>
      </c>
      <c r="E460" s="43" t="b">
        <f>AND(BX460&gt;Driver!$F$54,BX460&lt;Driver!$G$54)</f>
        <v>1</v>
      </c>
      <c r="F460" s="43" t="b">
        <f>CL460&gt;Driver!$F$56</f>
        <v>1</v>
      </c>
      <c r="G460" s="43" t="b">
        <f>AND(CB460&gt;Driver!$F$55,CB460&lt;Driver!$G$55)</f>
        <v>0</v>
      </c>
      <c r="H460" s="43" t="b">
        <f t="shared" si="259"/>
        <v>0</v>
      </c>
      <c r="I460" s="43">
        <f t="shared" si="260"/>
        <v>0</v>
      </c>
      <c r="J460" s="43" t="b">
        <f t="array" ref="J460">NOT(OR(($H$9:$H$1273=TRUE)*($I$9:$I$1273&gt;0)*($BT$9:$BT$1273=BT460)*($K$9:$K$1273&gt;K460)))</f>
        <v>1</v>
      </c>
      <c r="K460" s="72">
        <f t="shared" si="261"/>
        <v>0.83039389841049371</v>
      </c>
      <c r="L460" s="72">
        <f t="shared" si="262"/>
        <v>0.89919288626157479</v>
      </c>
      <c r="M460" s="72">
        <f t="shared" si="263"/>
        <v>0.76159491055941253</v>
      </c>
      <c r="N460" s="72">
        <f t="shared" si="264"/>
        <v>0.79162642177922837</v>
      </c>
      <c r="O460" s="72">
        <f t="shared" si="265"/>
        <v>0.67129184179277945</v>
      </c>
      <c r="P460" s="72">
        <f t="shared" si="266"/>
        <v>0.82186646810622999</v>
      </c>
      <c r="Q460" s="72"/>
      <c r="R460" s="72"/>
      <c r="S460" s="72">
        <f t="shared" si="267"/>
        <v>0.49570564821453666</v>
      </c>
      <c r="T460" s="72">
        <f t="shared" si="268"/>
        <v>0.48168258245674256</v>
      </c>
      <c r="U460" s="72">
        <f t="shared" si="269"/>
        <v>0.72705517663697905</v>
      </c>
      <c r="V460" s="72">
        <f t="shared" si="270"/>
        <v>0.53586895249908717</v>
      </c>
      <c r="W460" s="72">
        <f t="shared" si="271"/>
        <v>0.79869833068362484</v>
      </c>
      <c r="X460" s="72">
        <f t="shared" si="272"/>
        <v>0.10080711373842519</v>
      </c>
      <c r="Y460" s="72">
        <f t="shared" si="273"/>
        <v>0.23840508944058744</v>
      </c>
      <c r="Z460" s="72">
        <f t="shared" si="274"/>
        <v>0.20837357822077168</v>
      </c>
      <c r="AA460" s="72">
        <f t="shared" si="275"/>
        <v>0.32870815820722055</v>
      </c>
      <c r="AB460" s="72">
        <f t="shared" si="276"/>
        <v>0.17813353189377007</v>
      </c>
      <c r="AC460" s="72"/>
      <c r="AD460" s="72"/>
      <c r="AE460" s="72">
        <f t="shared" si="277"/>
        <v>0.50429435178546334</v>
      </c>
      <c r="AF460" s="72">
        <f t="shared" si="278"/>
        <v>0.51831741754325744</v>
      </c>
      <c r="AG460" s="72">
        <f t="shared" si="279"/>
        <v>0.27294482336302101</v>
      </c>
      <c r="AH460" s="72">
        <f t="shared" si="280"/>
        <v>0.46413104750091289</v>
      </c>
      <c r="AI460" s="72">
        <f t="shared" si="281"/>
        <v>0.20130166931637522</v>
      </c>
      <c r="AJ460" s="72">
        <f>(AV460-Driver!$K$179)/(Driver!$L$179-Driver!$K$179)</f>
        <v>0.15341229554427524</v>
      </c>
      <c r="AK460" s="72">
        <f>(AW460-Driver!$K$180)/(Driver!$L$180-Driver!$K$180)</f>
        <v>0.425495164337438</v>
      </c>
      <c r="AL460" s="72">
        <f>(AX460-Driver!$K$181)/(Driver!$L$181-Driver!$K$181)</f>
        <v>0.31006134193385188</v>
      </c>
      <c r="AM460" s="72">
        <f>(AY460-Driver!$K$182)/(Driver!$L$182-Driver!$K$182)</f>
        <v>0.1186768628898258</v>
      </c>
      <c r="AN460" s="72">
        <f>(AZ460-Driver!$K$183)/(Driver!$L$183-Driver!$K$183)</f>
        <v>0.4323529411764705</v>
      </c>
      <c r="AO460" s="72"/>
      <c r="AP460" s="72"/>
      <c r="AQ460" s="72">
        <f>(BC460-Driver!$K$188)/(Driver!$L$188-Driver!$K$188)</f>
        <v>0.11570564821453667</v>
      </c>
      <c r="AR460" s="72">
        <f>MIN((BD460-Driver!$K$189)/(Driver!$L$189-Driver!$K$189),100%)</f>
        <v>3.168258245674261E-2</v>
      </c>
      <c r="AS460" s="72">
        <f>(BE460-Driver!$K$190)/(Driver!$L$190-Driver!$K$190)</f>
        <v>0.237055176636979</v>
      </c>
      <c r="AT460" s="72">
        <f>(BF460-Driver!$K$191)/(Driver!$L$191-Driver!$K$191)</f>
        <v>4.5868952499087109E-2</v>
      </c>
      <c r="AU460" s="72">
        <f>(BG460-Driver!$K$192)/(Driver!$L$192-Driver!$K$192)</f>
        <v>4.8698330683624794E-2</v>
      </c>
      <c r="AV460" s="70">
        <f t="shared" si="282"/>
        <v>3.2288698955365627</v>
      </c>
      <c r="AW460" s="70">
        <f t="shared" si="283"/>
        <v>43.340166656841198</v>
      </c>
      <c r="AX460" s="70">
        <f t="shared" si="284"/>
        <v>3.790552077404667</v>
      </c>
      <c r="AY460" s="70">
        <f>IFERROR(Driver!$K$19/Data!BH460/Data!BI460*Data!BK460*Data!BL460,"")</f>
        <v>0.14529588993542031</v>
      </c>
      <c r="AZ460" s="70">
        <f t="shared" si="285"/>
        <v>39.40431868950111</v>
      </c>
      <c r="BA460" s="70"/>
      <c r="BB460" s="70"/>
      <c r="BC460" s="70">
        <f t="shared" si="286"/>
        <v>60.017324101496754</v>
      </c>
      <c r="BD460" s="70">
        <f t="shared" si="287"/>
        <v>4.524675293305207</v>
      </c>
      <c r="BE460" s="70">
        <f t="shared" si="288"/>
        <v>0.2371912774061572</v>
      </c>
      <c r="BF460" s="70">
        <f t="shared" si="289"/>
        <v>5.1805759371426383</v>
      </c>
      <c r="BG460" s="70">
        <f t="shared" si="290"/>
        <v>0.18440294614467406</v>
      </c>
      <c r="BH460" s="67">
        <f>MAX((CE460-Driver!$F$200)/(Driver!$G$200-Driver!$F$200)*$BI$1,1)</f>
        <v>3.790552077404667</v>
      </c>
      <c r="BI460" s="67">
        <f>MAX($BI$1*(BY460-Driver!$F$201)/(Driver!$G$201-Driver!$F$201),1)</f>
        <v>6.8354430379746836</v>
      </c>
      <c r="BJ460" s="67">
        <f>(CB460-Driver!$F$206)/(Driver!$G$206-Driver!$F$206)*$BI$1</f>
        <v>4.4444444444444446</v>
      </c>
      <c r="BK460" s="67">
        <f>(CD460-Driver!$F$203)/(Driver!$G$203-Driver!$F$203)*$BI$1</f>
        <v>3.2110091743119265</v>
      </c>
      <c r="BL460" s="67">
        <f>MAX((CR460-Driver!$F$202)/(Driver!$G$202-Driver!$F$202)*$BI$1,1)</f>
        <v>5.8620689655172411</v>
      </c>
      <c r="BM460" s="67">
        <f>MAX((CH460-Driver!$F$204)/(Driver!$G$204-Driver!$F$204)*$BI$1,1)</f>
        <v>2.9059829059829063</v>
      </c>
      <c r="BN460" s="67">
        <f>(CI460-Driver!$F$205)/(Driver!$G$205-Driver!$F$205)*$BI$1</f>
        <v>5.7647058823529402</v>
      </c>
      <c r="BO460" s="67">
        <f>(CK460-Driver!$F$207)/(Driver!$G$207-Driver!$F$207)*$BI$1</f>
        <v>1.8407445708376422</v>
      </c>
      <c r="BP460" s="67">
        <f>(CM460-Driver!$F$208)/(Driver!$G$208-Driver!$F$208)*$BI$1</f>
        <v>2.0333333333333332</v>
      </c>
      <c r="BQ460" s="67">
        <f>(CL460-Driver!$F$209)/(Driver!$G$209-Driver!$F$209)*$BI$1</f>
        <v>2.03125</v>
      </c>
      <c r="BR460" s="28" t="s">
        <v>155</v>
      </c>
      <c r="BS460" s="8" t="s">
        <v>156</v>
      </c>
      <c r="BT460" s="9" t="s">
        <v>611</v>
      </c>
      <c r="BU460" s="10">
        <v>164</v>
      </c>
      <c r="BV460" s="9" t="s">
        <v>158</v>
      </c>
      <c r="BW460" s="10">
        <v>164</v>
      </c>
      <c r="BX460" s="10">
        <v>163.1</v>
      </c>
      <c r="BY460" s="10">
        <v>116</v>
      </c>
      <c r="BZ460" s="10">
        <v>132</v>
      </c>
      <c r="CA460" s="10">
        <v>125</v>
      </c>
      <c r="CB460" s="10">
        <v>92</v>
      </c>
      <c r="CC460" s="10">
        <v>109</v>
      </c>
      <c r="CD460" s="10">
        <v>16.399999999999999</v>
      </c>
      <c r="CE460" s="10">
        <v>1566</v>
      </c>
      <c r="CF460" s="10">
        <v>1.06</v>
      </c>
      <c r="CG460" s="10">
        <v>1663</v>
      </c>
      <c r="CH460" s="10">
        <v>169</v>
      </c>
      <c r="CI460" s="10">
        <v>131</v>
      </c>
      <c r="CJ460" s="10">
        <v>53</v>
      </c>
      <c r="CK460" s="10">
        <v>288</v>
      </c>
      <c r="CL460" s="10">
        <v>13</v>
      </c>
      <c r="CM460" s="10">
        <v>183</v>
      </c>
      <c r="CN460" s="10">
        <v>0.253</v>
      </c>
      <c r="CO460" s="10">
        <v>173</v>
      </c>
      <c r="CP460" s="10">
        <v>140</v>
      </c>
      <c r="CQ460" s="10">
        <v>115</v>
      </c>
      <c r="CR460" s="10">
        <v>6</v>
      </c>
      <c r="CS460" s="10">
        <v>9.3000000000000007</v>
      </c>
      <c r="CT460" s="9" t="s">
        <v>188</v>
      </c>
      <c r="CU460" s="9" t="s">
        <v>185</v>
      </c>
      <c r="CV460" s="10"/>
      <c r="CW460" s="10"/>
      <c r="CX460" t="str">
        <f>INDEX('Data_Price '!AG$2:AG$1266,MATCH(Data!$DN460,'Data_Price '!$AT$2:$AT$1266,0))</f>
        <v>Atomic Maverick 95 Ti</v>
      </c>
      <c r="CY460" t="str">
        <f>INDEX('Data_Price '!AH$2:AH$1266,MATCH(Data!$DN460,'Data_Price '!$AT$2:$AT$1266,0))</f>
        <v>Powder7 Ski Shop</v>
      </c>
      <c r="CZ460">
        <f>INDEX('Data_Price '!AI$2:AI$1266,MATCH(Data!$DN460,'Data_Price '!$AT$2:$AT$1266,0))</f>
        <v>559.92999999999995</v>
      </c>
      <c r="DA460" t="str">
        <f>INDEX('Data_Price '!AJ$2:AJ$1266,MATCH(Data!$DN460,'Data_Price '!$AT$2:$AT$1266,0))</f>
        <v>https://tinyurl.com/y92ecf3n</v>
      </c>
      <c r="DB460" t="str">
        <f>INDEX('Data_Price '!AK$2:AK$1266,MATCH(Data!$DN460,'Data_Price '!$AT$2:$AT$1266,0))</f>
        <v>Atomic Maverick 95 Ti</v>
      </c>
      <c r="DC460" t="str">
        <f>INDEX('Data_Price '!AL$2:AL$1266,MATCH(Data!$DN460,'Data_Price '!$AT$2:$AT$1266,0))</f>
        <v>evo.com</v>
      </c>
      <c r="DD460">
        <f>INDEX('Data_Price '!AM$2:AM$1266,MATCH(Data!$DN460,'Data_Price '!$AT$2:$AT$1266,0))</f>
        <v>559.98</v>
      </c>
      <c r="DE460" t="str">
        <f>INDEX('Data_Price '!AN$2:AN$1266,MATCH(Data!$DN460,'Data_Price '!$AT$2:$AT$1266,0))</f>
        <v>https://tinyurl.com/y7oncme8</v>
      </c>
      <c r="DF460" t="str">
        <f>INDEX('Data_Price '!AO$2:AO$1266,MATCH(Data!$DN460,'Data_Price '!$AT$2:$AT$1266,0))</f>
        <v>Atomic Maverick 95 Ti</v>
      </c>
      <c r="DG460" t="str">
        <f>INDEX('Data_Price '!AP$2:AP$1266,MATCH(Data!$DN460,'Data_Price '!$AT$2:$AT$1266,0))</f>
        <v>SkiEssentials.com</v>
      </c>
      <c r="DH460">
        <f>INDEX('Data_Price '!AQ$2:AQ$1266,MATCH(Data!$DN460,'Data_Price '!$AT$2:$AT$1266,0))</f>
        <v>559.99</v>
      </c>
      <c r="DI460" t="str">
        <f>INDEX('Data_Price '!AR$2:AR$1266,MATCH(Data!$DN460,'Data_Price '!$AT$2:$AT$1266,0))</f>
        <v>https://tinyurl.com/y8v4tvbs</v>
      </c>
      <c r="DJ460" s="89" t="str">
        <f t="shared" si="291"/>
        <v>https://tinyurl.com/y92ecf3n</v>
      </c>
      <c r="DK460" s="89" t="str">
        <f t="shared" si="292"/>
        <v>https://tinyurl.com/y7oncme8</v>
      </c>
      <c r="DL460" s="89" t="str">
        <f t="shared" si="293"/>
        <v>https://tinyurl.com/y8v4tvbs</v>
      </c>
      <c r="DM460" s="219" t="str">
        <f t="shared" si="294"/>
        <v>Maverick 95 Ti</v>
      </c>
      <c r="DN460" s="89" t="str">
        <f t="shared" si="295"/>
        <v xml:space="preserve"> AtomicMaverick 95 Ti164 Unisex</v>
      </c>
      <c r="DO460" s="221" t="s">
        <v>612</v>
      </c>
    </row>
    <row r="461" spans="2:119" ht="15.6" customHeight="1">
      <c r="B461" s="219" t="b">
        <f t="array" ref="B461">IF(OR(ISERROR(K461:P461)),FALSE,TRUE)</f>
        <v>1</v>
      </c>
      <c r="C461" s="43" t="b">
        <f>OR(BR461=Driver!$G$50,Data!BR493=Driver!$H$50)</f>
        <v>1</v>
      </c>
      <c r="D461" s="43" t="b">
        <f>OR(BV461=Driver!$G$51,BV461=Driver!$H$51)</f>
        <v>0</v>
      </c>
      <c r="E461" s="43" t="b">
        <f>AND(BX461&gt;Driver!$F$54,BX461&lt;Driver!$G$54)</f>
        <v>1</v>
      </c>
      <c r="F461" s="43" t="b">
        <f>CL461&gt;Driver!$F$56</f>
        <v>1</v>
      </c>
      <c r="G461" s="43" t="b">
        <f>AND(CB461&gt;Driver!$F$55,CB461&lt;Driver!$G$55)</f>
        <v>0</v>
      </c>
      <c r="H461" s="43" t="b">
        <f t="shared" si="259"/>
        <v>0</v>
      </c>
      <c r="I461" s="43">
        <f t="shared" si="260"/>
        <v>0</v>
      </c>
      <c r="J461" s="43" t="b">
        <f t="array" ref="J461">NOT(OR(($H$9:$H$1273=TRUE)*($I$9:$I$1273&gt;0)*($BT$9:$BT$1273=BT461)*($K$9:$K$1273&gt;K461)))</f>
        <v>1</v>
      </c>
      <c r="K461" s="72">
        <f t="shared" si="261"/>
        <v>0.83887134757025128</v>
      </c>
      <c r="L461" s="72">
        <f t="shared" si="262"/>
        <v>0.89814542836132505</v>
      </c>
      <c r="M461" s="72">
        <f t="shared" si="263"/>
        <v>0.77959726677917762</v>
      </c>
      <c r="N461" s="72">
        <f t="shared" si="264"/>
        <v>0.74419709148137203</v>
      </c>
      <c r="O461" s="72">
        <f t="shared" si="265"/>
        <v>0.62589745147219444</v>
      </c>
      <c r="P461" s="72">
        <f t="shared" si="266"/>
        <v>0.96869725738396628</v>
      </c>
      <c r="Q461" s="72"/>
      <c r="R461" s="72"/>
      <c r="S461" s="72">
        <f t="shared" si="267"/>
        <v>0.41644780046444629</v>
      </c>
      <c r="T461" s="72">
        <f t="shared" si="268"/>
        <v>0.50646951431353326</v>
      </c>
      <c r="U461" s="72">
        <f t="shared" si="269"/>
        <v>0.72076666636240494</v>
      </c>
      <c r="V461" s="72">
        <f t="shared" si="270"/>
        <v>0.53473171802701458</v>
      </c>
      <c r="W461" s="72">
        <f t="shared" si="271"/>
        <v>0.82881794650560825</v>
      </c>
      <c r="X461" s="72">
        <f t="shared" si="272"/>
        <v>0.10185457163867501</v>
      </c>
      <c r="Y461" s="72">
        <f t="shared" si="273"/>
        <v>0.22040273322082241</v>
      </c>
      <c r="Z461" s="72">
        <f t="shared" si="274"/>
        <v>0.25580290851862797</v>
      </c>
      <c r="AA461" s="72">
        <f t="shared" si="275"/>
        <v>0.3741025485278055</v>
      </c>
      <c r="AB461" s="72">
        <f t="shared" si="276"/>
        <v>3.1302742616033774E-2</v>
      </c>
      <c r="AC461" s="72"/>
      <c r="AD461" s="72"/>
      <c r="AE461" s="72">
        <f t="shared" si="277"/>
        <v>0.58355219953555371</v>
      </c>
      <c r="AF461" s="72">
        <f t="shared" si="278"/>
        <v>0.49353048568646674</v>
      </c>
      <c r="AG461" s="72">
        <f t="shared" si="279"/>
        <v>0.27923333363759506</v>
      </c>
      <c r="AH461" s="72">
        <f t="shared" si="280"/>
        <v>0.46526828197298542</v>
      </c>
      <c r="AI461" s="72">
        <f t="shared" si="281"/>
        <v>0.17118205349439175</v>
      </c>
      <c r="AJ461" s="72">
        <f>(AV461-Driver!$K$179)/(Driver!$L$179-Driver!$K$179)</f>
        <v>0.15236483764402542</v>
      </c>
      <c r="AK461" s="72">
        <f>(AW461-Driver!$K$180)/(Driver!$L$180-Driver!$K$180)</f>
        <v>0.23344925772989233</v>
      </c>
      <c r="AL461" s="72">
        <f>(AX461-Driver!$K$181)/(Driver!$L$181-Driver!$K$181)</f>
        <v>0.35749067223170816</v>
      </c>
      <c r="AM461" s="72">
        <f>(AY461-Driver!$K$182)/(Driver!$L$182-Driver!$K$182)</f>
        <v>7.3282472569240878E-2</v>
      </c>
      <c r="AN461" s="72">
        <f>(AZ461-Driver!$K$183)/(Driver!$L$183-Driver!$K$183)</f>
        <v>0.22291666666666665</v>
      </c>
      <c r="AO461" s="72"/>
      <c r="AP461" s="72"/>
      <c r="AQ461" s="72">
        <f>(BC461-Driver!$K$188)/(Driver!$L$188-Driver!$K$188)</f>
        <v>3.6447800464446262E-2</v>
      </c>
      <c r="AR461" s="72">
        <f>MIN((BD461-Driver!$K$189)/(Driver!$L$189-Driver!$K$189),100%)</f>
        <v>5.6469514313533309E-2</v>
      </c>
      <c r="AS461" s="72">
        <f>(BE461-Driver!$K$190)/(Driver!$L$190-Driver!$K$190)</f>
        <v>0.23076666636240495</v>
      </c>
      <c r="AT461" s="72">
        <f>(BF461-Driver!$K$191)/(Driver!$L$191-Driver!$K$191)</f>
        <v>4.4731718027014568E-2</v>
      </c>
      <c r="AU461" s="72">
        <f>(BG461-Driver!$K$192)/(Driver!$L$192-Driver!$K$192)</f>
        <v>7.8817946505608263E-2</v>
      </c>
      <c r="AV461" s="70">
        <f t="shared" si="282"/>
        <v>3.2068240401573731</v>
      </c>
      <c r="AW461" s="70">
        <f t="shared" si="283"/>
        <v>24.623591358092106</v>
      </c>
      <c r="AX461" s="70">
        <f t="shared" si="284"/>
        <v>4.2174160500853732</v>
      </c>
      <c r="AY461" s="70">
        <f>IFERROR(Driver!$K$19/Data!BH461/Data!BI461*Data!BK461*Data!BL461,"")</f>
        <v>8.9719611804203708E-2</v>
      </c>
      <c r="AZ461" s="70">
        <f t="shared" si="285"/>
        <v>20.316455696202532</v>
      </c>
      <c r="BA461" s="70"/>
      <c r="BB461" s="70"/>
      <c r="BC461" s="70">
        <f t="shared" si="286"/>
        <v>18.905727481906357</v>
      </c>
      <c r="BD461" s="70">
        <f t="shared" si="287"/>
        <v>6.7182748427868075</v>
      </c>
      <c r="BE461" s="70">
        <f t="shared" si="288"/>
        <v>0.23090388893103592</v>
      </c>
      <c r="BF461" s="70">
        <f t="shared" si="289"/>
        <v>5.0521332930463867</v>
      </c>
      <c r="BG461" s="70">
        <f t="shared" si="290"/>
        <v>0.29845502588438305</v>
      </c>
      <c r="BH461" s="67">
        <f>MAX((CE461-Driver!$F$200)/(Driver!$G$200-Driver!$F$200)*$BI$1,1)</f>
        <v>4.2174160500853732</v>
      </c>
      <c r="BI461" s="67">
        <f>MAX($BI$1*(BY461-Driver!$F$201)/(Driver!$G$201-Driver!$F$201),1)</f>
        <v>6.7721518987341769</v>
      </c>
      <c r="BJ461" s="67">
        <f>(CB461-Driver!$F$206)/(Driver!$G$206-Driver!$F$206)*$BI$1</f>
        <v>4.92063492063492</v>
      </c>
      <c r="BK461" s="67">
        <f>(CD461-Driver!$F$203)/(Driver!$G$203-Driver!$F$203)*$BI$1</f>
        <v>2.0642201834862388</v>
      </c>
      <c r="BL461" s="67">
        <f>MAX((CR461-Driver!$F$202)/(Driver!$G$202-Driver!$F$202)*$BI$1,1)</f>
        <v>6.2068965517241379</v>
      </c>
      <c r="BM461" s="67">
        <f>MAX((CH461-Driver!$F$204)/(Driver!$G$204-Driver!$F$204)*$BI$1,1)</f>
        <v>2.6068376068376069</v>
      </c>
      <c r="BN461" s="67">
        <f>(CI461-Driver!$F$205)/(Driver!$G$205-Driver!$F$205)*$BI$1</f>
        <v>3</v>
      </c>
      <c r="BO461" s="67">
        <f>(CK461-Driver!$F$207)/(Driver!$G$207-Driver!$F$207)*$BI$1</f>
        <v>1.2306101344364011</v>
      </c>
      <c r="BP461" s="67">
        <f>(CM461-Driver!$F$208)/(Driver!$G$208-Driver!$F$208)*$BI$1</f>
        <v>1.7222222222222223</v>
      </c>
      <c r="BQ461" s="67">
        <f>(CL461-Driver!$F$209)/(Driver!$G$209-Driver!$F$209)*$BI$1</f>
        <v>3.28125</v>
      </c>
      <c r="BR461" s="28" t="s">
        <v>155</v>
      </c>
      <c r="BS461" s="8" t="s">
        <v>205</v>
      </c>
      <c r="BT461" s="9" t="s">
        <v>249</v>
      </c>
      <c r="BU461" s="10">
        <v>171</v>
      </c>
      <c r="BV461" s="9" t="s">
        <v>163</v>
      </c>
      <c r="BW461" s="10">
        <v>171</v>
      </c>
      <c r="BX461" s="10">
        <v>153.30000000000001</v>
      </c>
      <c r="BY461" s="10">
        <v>115</v>
      </c>
      <c r="BZ461" s="10">
        <v>127</v>
      </c>
      <c r="CA461" s="10">
        <v>126</v>
      </c>
      <c r="CB461" s="10">
        <v>95</v>
      </c>
      <c r="CC461" s="10">
        <v>116</v>
      </c>
      <c r="CD461" s="10">
        <v>13.9</v>
      </c>
      <c r="CE461" s="10">
        <v>1641</v>
      </c>
      <c r="CF461" s="10">
        <v>0.99</v>
      </c>
      <c r="CG461" s="10">
        <v>1623</v>
      </c>
      <c r="CH461" s="10">
        <v>162</v>
      </c>
      <c r="CI461" s="10">
        <v>84</v>
      </c>
      <c r="CJ461" s="10">
        <v>52</v>
      </c>
      <c r="CK461" s="10">
        <v>229</v>
      </c>
      <c r="CL461" s="10">
        <v>21</v>
      </c>
      <c r="CM461" s="10">
        <v>155</v>
      </c>
      <c r="CN461" s="10">
        <v>0.39200000000000002</v>
      </c>
      <c r="CO461" s="10">
        <v>172</v>
      </c>
      <c r="CP461" s="10">
        <v>92</v>
      </c>
      <c r="CQ461" s="10">
        <v>57</v>
      </c>
      <c r="CR461" s="10">
        <v>7</v>
      </c>
      <c r="CS461" s="10">
        <v>10.6</v>
      </c>
      <c r="CT461" s="9" t="s">
        <v>188</v>
      </c>
      <c r="CU461" s="10"/>
      <c r="CV461" s="10"/>
      <c r="CW461" s="10"/>
      <c r="CX461" t="str">
        <f>INDEX('Data_Price '!AG$2:AG$1266,MATCH(Data!$DN461,'Data_Price '!$AT$2:$AT$1266,0))</f>
        <v>Faction Agent 2.0 Skis</v>
      </c>
      <c r="CY461" t="str">
        <f>INDEX('Data_Price '!AH$2:AH$1266,MATCH(Data!$DN461,'Data_Price '!$AT$2:$AT$1266,0))</f>
        <v>Gorham Bike and Ski</v>
      </c>
      <c r="CZ461">
        <f>INDEX('Data_Price '!AI$2:AI$1266,MATCH(Data!$DN461,'Data_Price '!$AT$2:$AT$1266,0))</f>
        <v>489.99</v>
      </c>
      <c r="DA461" t="str">
        <f>INDEX('Data_Price '!AJ$2:AJ$1266,MATCH(Data!$DN461,'Data_Price '!$AT$2:$AT$1266,0))</f>
        <v>https://tinyurl.com/y92w2xna</v>
      </c>
      <c r="DB461" t="str">
        <f>INDEX('Data_Price '!AK$2:AK$1266,MATCH(Data!$DN461,'Data_Price '!$AT$2:$AT$1266,0))</f>
        <v>Faction Agent 2.0 Skis</v>
      </c>
      <c r="DC461" t="str">
        <f>INDEX('Data_Price '!AL$2:AL$1266,MATCH(Data!$DN461,'Data_Price '!$AT$2:$AT$1266,0))</f>
        <v>Telemark Pyrenees</v>
      </c>
      <c r="DD461">
        <f>INDEX('Data_Price '!AM$2:AM$1266,MATCH(Data!$DN461,'Data_Price '!$AT$2:$AT$1266,0))</f>
        <v>504.17</v>
      </c>
      <c r="DE461" t="str">
        <f>INDEX('Data_Price '!AN$2:AN$1266,MATCH(Data!$DN461,'Data_Price '!$AT$2:$AT$1266,0))</f>
        <v>https://tinyurl.com/y88hwgvu</v>
      </c>
      <c r="DF461" t="str">
        <f>INDEX('Data_Price '!AO$2:AO$1266,MATCH(Data!$DN461,'Data_Price '!$AT$2:$AT$1266,0))</f>
        <v>Faction Dictator 2.0 x Skis</v>
      </c>
      <c r="DG461" t="str">
        <f>INDEX('Data_Price '!AP$2:AP$1266,MATCH(Data!$DN461,'Data_Price '!$AT$2:$AT$1266,0))</f>
        <v>PRFO Sports</v>
      </c>
      <c r="DH461">
        <f>INDEX('Data_Price '!AQ$2:AQ$1266,MATCH(Data!$DN461,'Data_Price '!$AT$2:$AT$1266,0))</f>
        <v>544.36</v>
      </c>
      <c r="DI461" t="str">
        <f>INDEX('Data_Price '!AR$2:AR$1266,MATCH(Data!$DN461,'Data_Price '!$AT$2:$AT$1266,0))</f>
        <v>https://tinyurl.com/y8ezyexn</v>
      </c>
      <c r="DJ461" s="89" t="str">
        <f t="shared" si="291"/>
        <v>https://tinyurl.com/y92w2xna</v>
      </c>
      <c r="DK461" s="89" t="str">
        <f t="shared" si="292"/>
        <v>https://tinyurl.com/y88hwgvu</v>
      </c>
      <c r="DL461" s="89" t="str">
        <f t="shared" si="293"/>
        <v>https://tinyurl.com/y8ezyexn</v>
      </c>
      <c r="DM461" s="219" t="str">
        <f t="shared" si="294"/>
        <v>Agent 2.0 X</v>
      </c>
      <c r="DN461" s="89" t="str">
        <f t="shared" si="295"/>
        <v xml:space="preserve"> FactionAgent 2.0 X171 Women's</v>
      </c>
      <c r="DO461" s="221"/>
    </row>
    <row r="462" spans="2:119" ht="15.6" customHeight="1">
      <c r="B462" s="219" t="b">
        <f t="array" ref="B462">IF(OR(ISERROR(K462:P462)),FALSE,TRUE)</f>
        <v>1</v>
      </c>
      <c r="C462" s="43" t="b">
        <f>OR(BR462=Driver!$G$50,Data!BR284=Driver!$H$50)</f>
        <v>1</v>
      </c>
      <c r="D462" s="43" t="b">
        <f>OR(BV462=Driver!$G$51,BV462=Driver!$H$51)</f>
        <v>0</v>
      </c>
      <c r="E462" s="43" t="b">
        <f>AND(BX462&gt;Driver!$F$54,BX462&lt;Driver!$G$54)</f>
        <v>1</v>
      </c>
      <c r="F462" s="43" t="b">
        <f>CL462&gt;Driver!$F$56</f>
        <v>1</v>
      </c>
      <c r="G462" s="43" t="b">
        <f>AND(CB462&gt;Driver!$F$55,CB462&lt;Driver!$G$55)</f>
        <v>0</v>
      </c>
      <c r="H462" s="43" t="b">
        <f t="shared" si="259"/>
        <v>0</v>
      </c>
      <c r="I462" s="43">
        <f t="shared" si="260"/>
        <v>0</v>
      </c>
      <c r="J462" s="43" t="b">
        <f t="array" ref="J462">NOT(OR(($H$9:$H$1273=TRUE)*($I$9:$I$1273&gt;0)*($BT$9:$BT$1273=BT462)*($K$9:$K$1273&gt;K462)))</f>
        <v>1</v>
      </c>
      <c r="K462" s="72">
        <f t="shared" si="261"/>
        <v>0.77656360341438102</v>
      </c>
      <c r="L462" s="72">
        <f t="shared" si="262"/>
        <v>0.81684658056501536</v>
      </c>
      <c r="M462" s="72">
        <f t="shared" si="263"/>
        <v>0.73628062626374668</v>
      </c>
      <c r="N462" s="72">
        <f t="shared" si="264"/>
        <v>0.63795539161417425</v>
      </c>
      <c r="O462" s="72">
        <f t="shared" si="265"/>
        <v>0.60261479031266596</v>
      </c>
      <c r="P462" s="72">
        <f t="shared" si="266"/>
        <v>0.96827169686439984</v>
      </c>
      <c r="Q462" s="72"/>
      <c r="R462" s="72"/>
      <c r="S462" s="72">
        <f t="shared" si="267"/>
        <v>0.47620273094179166</v>
      </c>
      <c r="T462" s="72">
        <f t="shared" si="268"/>
        <v>0.6982142217056897</v>
      </c>
      <c r="U462" s="72">
        <f t="shared" si="269"/>
        <v>0.51</v>
      </c>
      <c r="V462" s="72">
        <f t="shared" si="270"/>
        <v>0.49314976689786061</v>
      </c>
      <c r="W462" s="72">
        <f t="shared" si="271"/>
        <v>0.76184975640421182</v>
      </c>
      <c r="X462" s="72">
        <f t="shared" si="272"/>
        <v>0.1831534194349847</v>
      </c>
      <c r="Y462" s="72">
        <f t="shared" si="273"/>
        <v>0.26371937373625332</v>
      </c>
      <c r="Z462" s="72">
        <f t="shared" si="274"/>
        <v>0.36204460838582581</v>
      </c>
      <c r="AA462" s="72">
        <f t="shared" si="275"/>
        <v>0.39738520968733398</v>
      </c>
      <c r="AB462" s="72">
        <f t="shared" si="276"/>
        <v>3.1728303135600211E-2</v>
      </c>
      <c r="AC462" s="72"/>
      <c r="AD462" s="72"/>
      <c r="AE462" s="72">
        <f t="shared" si="277"/>
        <v>0.52379726905820834</v>
      </c>
      <c r="AF462" s="72">
        <f t="shared" si="278"/>
        <v>0.3017857782943103</v>
      </c>
      <c r="AG462" s="72">
        <f t="shared" si="279"/>
        <v>0.49</v>
      </c>
      <c r="AH462" s="72">
        <f t="shared" si="280"/>
        <v>0.50685023310213939</v>
      </c>
      <c r="AI462" s="72">
        <f t="shared" si="281"/>
        <v>0.23815024359578815</v>
      </c>
      <c r="AJ462" s="72">
        <f>(AV462-Driver!$K$179)/(Driver!$L$179-Driver!$K$179)</f>
        <v>7.1065989847715727E-2</v>
      </c>
      <c r="AK462" s="72">
        <f>(AW462-Driver!$K$180)/(Driver!$L$180-Driver!$K$180)</f>
        <v>0.30191170384388444</v>
      </c>
      <c r="AL462" s="72">
        <f>(AX462-Driver!$K$181)/(Driver!$L$181-Driver!$K$181)</f>
        <v>0.463732372098906</v>
      </c>
      <c r="AM462" s="72">
        <f>(AY462-Driver!$K$182)/(Driver!$L$182-Driver!$K$182)</f>
        <v>4.9999811409712387E-2</v>
      </c>
      <c r="AN462" s="72">
        <f>(AZ462-Driver!$K$183)/(Driver!$L$183-Driver!$K$183)</f>
        <v>0.28594771241830064</v>
      </c>
      <c r="AO462" s="72"/>
      <c r="AP462" s="72"/>
      <c r="AQ462" s="72">
        <f>(BC462-Driver!$K$188)/(Driver!$L$188-Driver!$K$188)</f>
        <v>9.6202730941791686E-2</v>
      </c>
      <c r="AR462" s="72">
        <f>MIN((BD462-Driver!$K$189)/(Driver!$L$189-Driver!$K$189),100%)</f>
        <v>0.85178577829431035</v>
      </c>
      <c r="AS462" s="72">
        <f>(BE462-Driver!$K$190)/(Driver!$L$190-Driver!$K$190)</f>
        <v>1</v>
      </c>
      <c r="AT462" s="72">
        <f>(BF462-Driver!$K$191)/(Driver!$L$191-Driver!$K$191)</f>
        <v>3.1497668978606422E-3</v>
      </c>
      <c r="AU462" s="72">
        <f>(BG462-Driver!$K$192)/(Driver!$L$192-Driver!$K$192)</f>
        <v>1.1849756404211848E-2</v>
      </c>
      <c r="AV462" s="70">
        <f t="shared" si="282"/>
        <v>1.4957264957264957</v>
      </c>
      <c r="AW462" s="70">
        <f t="shared" si="283"/>
        <v>31.295863370885627</v>
      </c>
      <c r="AX462" s="70">
        <f t="shared" si="284"/>
        <v>5.1735913488901542</v>
      </c>
      <c r="AY462" s="70">
        <f>IFERROR(Driver!$K$19/Data!BH462/Data!BI462*Data!BK462*Data!BL462,"")</f>
        <v>6.1214687669336375E-2</v>
      </c>
      <c r="AZ462" s="70">
        <f t="shared" si="285"/>
        <v>26.061057334326136</v>
      </c>
      <c r="BA462" s="70"/>
      <c r="BB462" s="70"/>
      <c r="BC462" s="70">
        <f t="shared" si="286"/>
        <v>49.901025330042678</v>
      </c>
      <c r="BD462" s="70">
        <f t="shared" si="287"/>
        <v>77.102354988053563</v>
      </c>
      <c r="BE462" s="70">
        <f t="shared" si="288"/>
        <v>1</v>
      </c>
      <c r="BF462" s="70">
        <f t="shared" si="289"/>
        <v>0.35574404274852389</v>
      </c>
      <c r="BG462" s="70">
        <f t="shared" si="290"/>
        <v>4.4870737073707367E-2</v>
      </c>
      <c r="BH462" s="67">
        <f>MAX((CE462-Driver!$F$200)/(Driver!$G$200-Driver!$F$200)*$BI$1,1)</f>
        <v>5.1735913488901542</v>
      </c>
      <c r="BI462" s="67">
        <f>MAX($BI$1*(BY462-Driver!$F$201)/(Driver!$G$201-Driver!$F$201),1)</f>
        <v>7.9113924050632916</v>
      </c>
      <c r="BJ462" s="67">
        <f>(CB462-Driver!$F$206)/(Driver!$G$206-Driver!$F$206)*$BI$1</f>
        <v>1.1111111111111112</v>
      </c>
      <c r="BK462" s="67">
        <f>(CD462-Driver!$F$203)/(Driver!$G$203-Driver!$F$203)*$BI$1</f>
        <v>2.0183486238532113</v>
      </c>
      <c r="BL462" s="67">
        <f>MAX((CR462-Driver!$F$202)/(Driver!$G$202-Driver!$F$202)*$BI$1,1)</f>
        <v>6.2068965517241379</v>
      </c>
      <c r="BM462" s="67">
        <f>MAX((CH462-Driver!$F$204)/(Driver!$G$204-Driver!$F$204)*$BI$1,1)</f>
        <v>5.3846153846153841</v>
      </c>
      <c r="BN462" s="67">
        <f>(CI462-Driver!$F$205)/(Driver!$G$205-Driver!$F$205)*$BI$1</f>
        <v>3.2941176470588234</v>
      </c>
      <c r="BO462" s="67">
        <f>(CK462-Driver!$F$207)/(Driver!$G$207-Driver!$F$207)*$BI$1</f>
        <v>0.78593588417786964</v>
      </c>
      <c r="BP462" s="67">
        <f>(CM462-Driver!$F$208)/(Driver!$G$208-Driver!$F$208)*$BI$1</f>
        <v>0.82222222222222219</v>
      </c>
      <c r="BQ462" s="67">
        <f>(CL462-Driver!$F$209)/(Driver!$G$209-Driver!$F$209)*$BI$1</f>
        <v>1.25</v>
      </c>
      <c r="BR462" s="28" t="s">
        <v>155</v>
      </c>
      <c r="BS462" s="8" t="s">
        <v>317</v>
      </c>
      <c r="BT462" s="9" t="s">
        <v>613</v>
      </c>
      <c r="BU462" s="10">
        <v>160</v>
      </c>
      <c r="BV462" s="9" t="s">
        <v>163</v>
      </c>
      <c r="BW462" s="10">
        <v>160</v>
      </c>
      <c r="BX462" s="10">
        <v>158.5</v>
      </c>
      <c r="BY462" s="10">
        <v>133</v>
      </c>
      <c r="BZ462" s="10">
        <v>146</v>
      </c>
      <c r="CA462" s="10">
        <v>118</v>
      </c>
      <c r="CB462" s="10">
        <v>71</v>
      </c>
      <c r="CC462" s="10">
        <v>101</v>
      </c>
      <c r="CD462" s="10">
        <v>13.8</v>
      </c>
      <c r="CE462" s="10">
        <v>1809</v>
      </c>
      <c r="CF462" s="10">
        <v>0.74</v>
      </c>
      <c r="CG462" s="10">
        <v>1346</v>
      </c>
      <c r="CH462" s="10">
        <v>227</v>
      </c>
      <c r="CI462" s="10">
        <v>89</v>
      </c>
      <c r="CJ462" s="10">
        <v>34</v>
      </c>
      <c r="CK462" s="10">
        <v>186</v>
      </c>
      <c r="CL462" s="10">
        <v>8</v>
      </c>
      <c r="CM462" s="10">
        <v>74</v>
      </c>
      <c r="CN462" s="10">
        <v>0.249</v>
      </c>
      <c r="CO462" s="10">
        <v>76</v>
      </c>
      <c r="CP462" s="10">
        <v>54</v>
      </c>
      <c r="CQ462" s="10">
        <v>111</v>
      </c>
      <c r="CR462" s="10">
        <v>7</v>
      </c>
      <c r="CS462" s="10">
        <v>10.199999999999999</v>
      </c>
      <c r="CT462" s="9" t="s">
        <v>349</v>
      </c>
      <c r="CU462" s="10"/>
      <c r="CV462" s="10"/>
      <c r="CW462" s="10"/>
      <c r="CX462" t="str">
        <f>INDEX('Data_Price '!AG$2:AG$1266,MATCH(Data!$DN462,'Data_Price '!$AT$2:$AT$1266,0))</f>
        <v>2022 Blizzard Phoenix 7.2 Women's Skis with TLT 10 Bindings</v>
      </c>
      <c r="CY462" t="str">
        <f>INDEX('Data_Price '!AH$2:AH$1266,MATCH(Data!$DN462,'Data_Price '!$AT$2:$AT$1266,0))</f>
        <v>sunandski.com</v>
      </c>
      <c r="CZ462">
        <f>INDEX('Data_Price '!AI$2:AI$1266,MATCH(Data!$DN462,'Data_Price '!$AT$2:$AT$1266,0))</f>
        <v>319.93</v>
      </c>
      <c r="DA462" t="str">
        <f>INDEX('Data_Price '!AJ$2:AJ$1266,MATCH(Data!$DN462,'Data_Price '!$AT$2:$AT$1266,0))</f>
        <v>https://tinyurl.com/y795t99a</v>
      </c>
      <c r="DB462" t="str">
        <f>INDEX('Data_Price '!AK$2:AK$1266,MATCH(Data!$DN462,'Data_Price '!$AT$2:$AT$1266,0))</f>
        <v>Blizzard Quattro 7.2 Skis - Mens - 2020</v>
      </c>
      <c r="DC462" t="str">
        <f>INDEX('Data_Price '!AL$2:AL$1266,MATCH(Data!$DN462,'Data_Price '!$AT$2:$AT$1266,0))</f>
        <v>SportÃ¨que</v>
      </c>
      <c r="DD462">
        <f>INDEX('Data_Price '!AM$2:AM$1266,MATCH(Data!$DN462,'Data_Price '!$AT$2:$AT$1266,0))</f>
        <v>347.55</v>
      </c>
      <c r="DE462" t="str">
        <f>INDEX('Data_Price '!AN$2:AN$1266,MATCH(Data!$DN462,'Data_Price '!$AT$2:$AT$1266,0))</f>
        <v>https://tinyurl.com/yamb33o5</v>
      </c>
      <c r="DF462" t="str">
        <f>INDEX('Data_Price '!AO$2:AO$1266,MATCH(Data!$DN462,'Data_Price '!$AT$2:$AT$1266,0))</f>
        <v>Blizzard Men's Thunderbird SP 7.2 System Alpine Ski 2022 160</v>
      </c>
      <c r="DG462" t="str">
        <f>INDEX('Data_Price '!AP$2:AP$1266,MATCH(Data!$DN462,'Data_Price '!$AT$2:$AT$1266,0))</f>
        <v>Boyne Country Sports</v>
      </c>
      <c r="DH462">
        <f>INDEX('Data_Price '!AQ$2:AQ$1266,MATCH(Data!$DN462,'Data_Price '!$AT$2:$AT$1266,0))</f>
        <v>399.95</v>
      </c>
      <c r="DI462" t="str">
        <f>INDEX('Data_Price '!AR$2:AR$1266,MATCH(Data!$DN462,'Data_Price '!$AT$2:$AT$1266,0))</f>
        <v>https://tinyurl.com/y7ga2m9c</v>
      </c>
      <c r="DJ462" s="89" t="str">
        <f t="shared" si="291"/>
        <v>https://tinyurl.com/y795t99a</v>
      </c>
      <c r="DK462" s="89" t="str">
        <f t="shared" si="292"/>
        <v>https://tinyurl.com/yamb33o5</v>
      </c>
      <c r="DL462" s="89" t="str">
        <f t="shared" si="293"/>
        <v>https://tinyurl.com/y7ga2m9c</v>
      </c>
      <c r="DM462" s="219" t="str">
        <f t="shared" si="294"/>
        <v>Phoenix 7.2</v>
      </c>
      <c r="DN462" s="89" t="str">
        <f t="shared" si="295"/>
        <v xml:space="preserve"> BlizzardPhoenix 7.2160 Women's</v>
      </c>
      <c r="DO462" s="221"/>
    </row>
    <row r="463" spans="2:119" ht="15.6" customHeight="1">
      <c r="B463" s="219" t="b">
        <f t="array" ref="B463">IF(OR(ISERROR(K463:P463)),FALSE,TRUE)</f>
        <v>1</v>
      </c>
      <c r="C463" s="43" t="b">
        <f>OR(BR463=Driver!$G$50,Data!BR817=Driver!$H$50)</f>
        <v>1</v>
      </c>
      <c r="D463" s="43" t="b">
        <f>OR(BV463=Driver!$G$51,BV463=Driver!$H$51)</f>
        <v>1</v>
      </c>
      <c r="E463" s="43" t="b">
        <f>AND(BX463&gt;Driver!$F$54,BX463&lt;Driver!$G$54)</f>
        <v>0</v>
      </c>
      <c r="F463" s="43" t="b">
        <f>CL463&gt;Driver!$F$56</f>
        <v>1</v>
      </c>
      <c r="G463" s="43" t="b">
        <f>AND(CB463&gt;Driver!$F$55,CB463&lt;Driver!$G$55)</f>
        <v>0</v>
      </c>
      <c r="H463" s="43" t="b">
        <f t="shared" si="259"/>
        <v>0</v>
      </c>
      <c r="I463" s="43">
        <f t="shared" si="260"/>
        <v>0</v>
      </c>
      <c r="J463" s="43" t="b">
        <f t="array" ref="J463">NOT(OR(($H$9:$H$1273=TRUE)*($I$9:$I$1273&gt;0)*($BT$9:$BT$1273=BT463)*($K$9:$K$1273&gt;K463)))</f>
        <v>1</v>
      </c>
      <c r="K463" s="72">
        <f t="shared" si="261"/>
        <v>0.87055949748730854</v>
      </c>
      <c r="L463" s="72">
        <f t="shared" si="262"/>
        <v>0.97009772874002131</v>
      </c>
      <c r="M463" s="72">
        <f t="shared" si="263"/>
        <v>0.77102126623459588</v>
      </c>
      <c r="N463" s="72">
        <f t="shared" si="264"/>
        <v>0.6866495040533066</v>
      </c>
      <c r="O463" s="72">
        <f t="shared" si="265"/>
        <v>0.6495879522991943</v>
      </c>
      <c r="P463" s="72">
        <f t="shared" si="266"/>
        <v>0.97682634235128651</v>
      </c>
      <c r="Q463" s="72"/>
      <c r="R463" s="72"/>
      <c r="S463" s="72">
        <f t="shared" si="267"/>
        <v>0.43866491753767445</v>
      </c>
      <c r="T463" s="72">
        <f t="shared" si="268"/>
        <v>0.49690378073004593</v>
      </c>
      <c r="U463" s="72">
        <f t="shared" si="269"/>
        <v>0.5308667004212152</v>
      </c>
      <c r="V463" s="72">
        <f t="shared" si="270"/>
        <v>0.58690266772615662</v>
      </c>
      <c r="W463" s="72">
        <f t="shared" si="271"/>
        <v>0.8203125</v>
      </c>
      <c r="X463" s="72">
        <f t="shared" si="272"/>
        <v>2.9902271259978686E-2</v>
      </c>
      <c r="Y463" s="72">
        <f t="shared" si="273"/>
        <v>0.22897873376540415</v>
      </c>
      <c r="Z463" s="72">
        <f t="shared" si="274"/>
        <v>0.3133504959466934</v>
      </c>
      <c r="AA463" s="72">
        <f t="shared" si="275"/>
        <v>0.35041204770080564</v>
      </c>
      <c r="AB463" s="72">
        <f t="shared" si="276"/>
        <v>2.3173657648713514E-2</v>
      </c>
      <c r="AC463" s="72"/>
      <c r="AD463" s="72"/>
      <c r="AE463" s="72">
        <f t="shared" si="277"/>
        <v>0.56133508246232555</v>
      </c>
      <c r="AF463" s="72">
        <f t="shared" si="278"/>
        <v>0.50309621926995407</v>
      </c>
      <c r="AG463" s="72">
        <f t="shared" si="279"/>
        <v>0.4691332995787848</v>
      </c>
      <c r="AH463" s="72">
        <f t="shared" si="280"/>
        <v>0.41309733227384338</v>
      </c>
      <c r="AI463" s="72">
        <f t="shared" si="281"/>
        <v>0.1796875</v>
      </c>
      <c r="AJ463" s="72">
        <f>(AV463-Driver!$K$179)/(Driver!$L$179-Driver!$K$179)</f>
        <v>0.22431713802272174</v>
      </c>
      <c r="AK463" s="72">
        <f>(AW463-Driver!$K$180)/(Driver!$L$180-Driver!$K$180)</f>
        <v>0.24666315276673109</v>
      </c>
      <c r="AL463" s="72">
        <f>(AX463-Driver!$K$181)/(Driver!$L$181-Driver!$K$181)</f>
        <v>0.41503825965977359</v>
      </c>
      <c r="AM463" s="72">
        <f>(AY463-Driver!$K$182)/(Driver!$L$182-Driver!$K$182)</f>
        <v>9.6972973396240711E-2</v>
      </c>
      <c r="AN463" s="72">
        <f>(AZ463-Driver!$K$183)/(Driver!$L$183-Driver!$K$183)</f>
        <v>0.23104575163398691</v>
      </c>
      <c r="AO463" s="72"/>
      <c r="AP463" s="72"/>
      <c r="AQ463" s="72">
        <f>(BC463-Driver!$K$188)/(Driver!$L$188-Driver!$K$188)</f>
        <v>5.8664917537674388E-2</v>
      </c>
      <c r="AR463" s="72">
        <f>MIN((BD463-Driver!$K$189)/(Driver!$L$189-Driver!$K$189),100%)</f>
        <v>4.6903780730045946E-2</v>
      </c>
      <c r="AS463" s="72">
        <f>(BE463-Driver!$K$190)/(Driver!$L$190-Driver!$K$190)</f>
        <v>4.086670042121518E-2</v>
      </c>
      <c r="AT463" s="72">
        <f>(BF463-Driver!$K$191)/(Driver!$L$191-Driver!$K$191)</f>
        <v>9.6902667726156619E-2</v>
      </c>
      <c r="AU463" s="72">
        <f>(BG463-Driver!$K$192)/(Driver!$L$192-Driver!$K$192)</f>
        <v>7.0312499999999986E-2</v>
      </c>
      <c r="AV463" s="70">
        <f t="shared" si="282"/>
        <v>4.721204721204721</v>
      </c>
      <c r="AW463" s="70">
        <f t="shared" si="283"/>
        <v>25.911402516453148</v>
      </c>
      <c r="AX463" s="70">
        <f t="shared" si="284"/>
        <v>4.7353443369379624</v>
      </c>
      <c r="AY463" s="70">
        <f>IFERROR(Driver!$K$19/Data!BH463/Data!BI463*Data!BK463*Data!BL463,"")</f>
        <v>0.11872385337966793</v>
      </c>
      <c r="AZ463" s="70">
        <f t="shared" si="285"/>
        <v>21.057334326135518</v>
      </c>
      <c r="BA463" s="70"/>
      <c r="BB463" s="70"/>
      <c r="BC463" s="70">
        <f t="shared" si="286"/>
        <v>30.429900558681933</v>
      </c>
      <c r="BD463" s="70">
        <f t="shared" si="287"/>
        <v>5.8717243701251327</v>
      </c>
      <c r="BE463" s="70">
        <f t="shared" si="288"/>
        <v>4.1037799006354903E-2</v>
      </c>
      <c r="BF463" s="70">
        <f t="shared" si="289"/>
        <v>10.944475539899164</v>
      </c>
      <c r="BG463" s="70">
        <f t="shared" si="290"/>
        <v>0.26624797952586204</v>
      </c>
      <c r="BH463" s="67">
        <f>MAX((CE463-Driver!$F$200)/(Driver!$G$200-Driver!$F$200)*$BI$1,1)</f>
        <v>4.7353443369379624</v>
      </c>
      <c r="BI463" s="67">
        <f>MAX($BI$1*(BY463-Driver!$F$201)/(Driver!$G$201-Driver!$F$201),1)</f>
        <v>6.3924050632911396</v>
      </c>
      <c r="BJ463" s="67">
        <f>(CB463-Driver!$F$206)/(Driver!$G$206-Driver!$F$206)*$BI$1</f>
        <v>5.0793650793650791</v>
      </c>
      <c r="BK463" s="67">
        <f>(CD463-Driver!$F$203)/(Driver!$G$203-Driver!$F$203)*$BI$1</f>
        <v>3.2568807339449544</v>
      </c>
      <c r="BL463" s="67">
        <f>MAX((CR463-Driver!$F$202)/(Driver!$G$202-Driver!$F$202)*$BI$1,1)</f>
        <v>5.5172413793103452</v>
      </c>
      <c r="BM463" s="67">
        <f>MAX((CH463-Driver!$F$204)/(Driver!$G$204-Driver!$F$204)*$BI$1,1)</f>
        <v>3.7179487179487181</v>
      </c>
      <c r="BN463" s="67">
        <f>(CI463-Driver!$F$205)/(Driver!$G$205-Driver!$F$205)*$BI$1</f>
        <v>3.2941176470588234</v>
      </c>
      <c r="BO463" s="67">
        <f>(CK463-Driver!$F$207)/(Driver!$G$207-Driver!$F$207)*$BI$1</f>
        <v>2.4198552223371248</v>
      </c>
      <c r="BP463" s="67">
        <f>(CM463-Driver!$F$208)/(Driver!$G$208-Driver!$F$208)*$BI$1</f>
        <v>2.9</v>
      </c>
      <c r="BQ463" s="67">
        <f>(CL463-Driver!$F$209)/(Driver!$G$209-Driver!$F$209)*$BI$1</f>
        <v>4.6875</v>
      </c>
      <c r="BR463" s="28" t="s">
        <v>155</v>
      </c>
      <c r="BS463" s="8" t="s">
        <v>215</v>
      </c>
      <c r="BT463" s="9" t="s">
        <v>281</v>
      </c>
      <c r="BU463" s="10">
        <v>171</v>
      </c>
      <c r="BV463" s="9" t="s">
        <v>158</v>
      </c>
      <c r="BW463" s="10">
        <v>171</v>
      </c>
      <c r="BX463" s="10">
        <v>170</v>
      </c>
      <c r="BY463" s="10">
        <v>109</v>
      </c>
      <c r="BZ463" s="10">
        <v>140</v>
      </c>
      <c r="CA463" s="10">
        <v>130</v>
      </c>
      <c r="CB463" s="10">
        <v>96</v>
      </c>
      <c r="CC463" s="10">
        <v>118</v>
      </c>
      <c r="CD463" s="10">
        <v>16.5</v>
      </c>
      <c r="CE463" s="10">
        <v>1732</v>
      </c>
      <c r="CF463" s="10">
        <v>1.05</v>
      </c>
      <c r="CG463" s="10">
        <v>1813</v>
      </c>
      <c r="CH463" s="10">
        <v>188</v>
      </c>
      <c r="CI463" s="10">
        <v>89</v>
      </c>
      <c r="CJ463" s="10">
        <v>50</v>
      </c>
      <c r="CK463" s="10">
        <v>344</v>
      </c>
      <c r="CL463" s="10">
        <v>30</v>
      </c>
      <c r="CM463" s="10">
        <v>261</v>
      </c>
      <c r="CN463" s="10">
        <v>0.61099999999999999</v>
      </c>
      <c r="CO463" s="10">
        <v>136</v>
      </c>
      <c r="CP463" s="10">
        <v>165</v>
      </c>
      <c r="CQ463" s="10">
        <v>209</v>
      </c>
      <c r="CR463" s="10">
        <v>5</v>
      </c>
      <c r="CS463" s="10">
        <v>8.1</v>
      </c>
      <c r="CT463" s="9" t="s">
        <v>188</v>
      </c>
      <c r="CU463" s="10"/>
      <c r="CV463" s="10"/>
      <c r="CW463" s="10"/>
      <c r="CX463" t="str">
        <f>INDEX('Data_Price '!AG$2:AG$1266,MATCH(Data!$DN463,'Data_Price '!$AT$2:$AT$1266,0))</f>
        <v>Liberty Skis Origin 96 Ski</v>
      </c>
      <c r="CY463" t="str">
        <f>INDEX('Data_Price '!AH$2:AH$1266,MATCH(Data!$DN463,'Data_Price '!$AT$2:$AT$1266,0))</f>
        <v>sunandski.com</v>
      </c>
      <c r="CZ463">
        <f>INDEX('Data_Price '!AI$2:AI$1266,MATCH(Data!$DN463,'Data_Price '!$AT$2:$AT$1266,0))</f>
        <v>503.93</v>
      </c>
      <c r="DA463" t="str">
        <f>INDEX('Data_Price '!AJ$2:AJ$1266,MATCH(Data!$DN463,'Data_Price '!$AT$2:$AT$1266,0))</f>
        <v>https://tinyurl.com/ydgtm9lw</v>
      </c>
      <c r="DB463" t="str">
        <f>INDEX('Data_Price '!AK$2:AK$1266,MATCH(Data!$DN463,'Data_Price '!$AT$2:$AT$1266,0))</f>
        <v>Liberty Skis Men ' S Origin 96 All - Mountain Skis</v>
      </c>
      <c r="DC463" t="str">
        <f>INDEX('Data_Price '!AL$2:AL$1266,MATCH(Data!$DN463,'Data_Price '!$AT$2:$AT$1266,0))</f>
        <v>BobWards.com</v>
      </c>
      <c r="DD463">
        <f>INDEX('Data_Price '!AM$2:AM$1266,MATCH(Data!$DN463,'Data_Price '!$AT$2:$AT$1266,0))</f>
        <v>599.95000000000005</v>
      </c>
      <c r="DE463" t="str">
        <f>INDEX('Data_Price '!AN$2:AN$1266,MATCH(Data!$DN463,'Data_Price '!$AT$2:$AT$1266,0))</f>
        <v>https://tinyurl.com/ycxjpfx7</v>
      </c>
      <c r="DF463" t="str">
        <f>INDEX('Data_Price '!AO$2:AO$1266,MATCH(Data!$DN463,'Data_Price '!$AT$2:$AT$1266,0))</f>
        <v>Liberty Skis Origin 96 Ski</v>
      </c>
      <c r="DG463" t="str">
        <f>INDEX('Data_Price '!AP$2:AP$1266,MATCH(Data!$DN463,'Data_Price '!$AT$2:$AT$1266,0))</f>
        <v>Powder7 Ski Shop</v>
      </c>
      <c r="DH463">
        <f>INDEX('Data_Price '!AQ$2:AQ$1266,MATCH(Data!$DN463,'Data_Price '!$AT$2:$AT$1266,0))</f>
        <v>599.99</v>
      </c>
      <c r="DI463" t="str">
        <f>INDEX('Data_Price '!AR$2:AR$1266,MATCH(Data!$DN463,'Data_Price '!$AT$2:$AT$1266,0))</f>
        <v>https://tinyurl.com/y9je9buz</v>
      </c>
      <c r="DJ463" s="89" t="str">
        <f t="shared" si="291"/>
        <v>https://tinyurl.com/ydgtm9lw</v>
      </c>
      <c r="DK463" s="89" t="str">
        <f t="shared" si="292"/>
        <v>https://tinyurl.com/ycxjpfx7</v>
      </c>
      <c r="DL463" s="89" t="str">
        <f t="shared" si="293"/>
        <v>https://tinyurl.com/y9je9buz</v>
      </c>
      <c r="DM463" s="219" t="str">
        <f t="shared" si="294"/>
        <v>Origin 96</v>
      </c>
      <c r="DN463" s="89" t="str">
        <f t="shared" si="295"/>
        <v xml:space="preserve"> LibertyOrigin 96171 Unisex</v>
      </c>
      <c r="DO463" s="221" t="s">
        <v>282</v>
      </c>
    </row>
    <row r="464" spans="2:119" ht="15.6" customHeight="1">
      <c r="B464" s="219" t="b">
        <f t="array" ref="B464">IF(OR(ISERROR(K464:P464)),FALSE,TRUE)</f>
        <v>1</v>
      </c>
      <c r="C464" s="43" t="b">
        <f>OR(BR464=Driver!$G$50,Data!BR876=Driver!$H$50)</f>
        <v>1</v>
      </c>
      <c r="D464" s="43" t="b">
        <f>OR(BV464=Driver!$G$51,BV464=Driver!$H$51)</f>
        <v>1</v>
      </c>
      <c r="E464" s="43" t="b">
        <f>AND(BX464&gt;Driver!$F$54,BX464&lt;Driver!$G$54)</f>
        <v>0</v>
      </c>
      <c r="F464" s="43" t="b">
        <f>CL464&gt;Driver!$F$56</f>
        <v>1</v>
      </c>
      <c r="G464" s="43" t="b">
        <f>AND(CB464&gt;Driver!$F$55,CB464&lt;Driver!$G$55)</f>
        <v>1</v>
      </c>
      <c r="H464" s="43" t="b">
        <f t="shared" si="259"/>
        <v>0</v>
      </c>
      <c r="I464" s="43">
        <f t="shared" si="260"/>
        <v>0</v>
      </c>
      <c r="J464" s="43" t="b">
        <f t="array" ref="J464">NOT(OR(($H$9:$H$1273=TRUE)*($I$9:$I$1273&gt;0)*($BT$9:$BT$1273=BT464)*($K$9:$K$1273&gt;K464)))</f>
        <v>1</v>
      </c>
      <c r="K464" s="72">
        <f t="shared" si="261"/>
        <v>0.88099813124270432</v>
      </c>
      <c r="L464" s="72">
        <f t="shared" si="262"/>
        <v>0.95279325506466805</v>
      </c>
      <c r="M464" s="72">
        <f t="shared" si="263"/>
        <v>0.80920300742074069</v>
      </c>
      <c r="N464" s="72">
        <f t="shared" si="264"/>
        <v>0.82261358424049424</v>
      </c>
      <c r="O464" s="72">
        <f t="shared" si="265"/>
        <v>0.69646974926521255</v>
      </c>
      <c r="P464" s="72">
        <f t="shared" si="266"/>
        <v>0.90852568875651518</v>
      </c>
      <c r="Q464" s="72"/>
      <c r="R464" s="72"/>
      <c r="S464" s="72">
        <f t="shared" si="267"/>
        <v>0.41966412676796794</v>
      </c>
      <c r="T464" s="72">
        <f t="shared" si="268"/>
        <v>0.45729329379463235</v>
      </c>
      <c r="U464" s="72">
        <f t="shared" si="269"/>
        <v>0.50834816041719733</v>
      </c>
      <c r="V464" s="72">
        <f t="shared" si="270"/>
        <v>0.74350641137264151</v>
      </c>
      <c r="W464" s="72">
        <f t="shared" si="271"/>
        <v>0.85745542949756892</v>
      </c>
      <c r="X464" s="72">
        <f t="shared" si="272"/>
        <v>4.7206744935332001E-2</v>
      </c>
      <c r="Y464" s="72">
        <f t="shared" si="273"/>
        <v>0.19079699257925928</v>
      </c>
      <c r="Z464" s="72">
        <f t="shared" si="274"/>
        <v>0.1773864157595057</v>
      </c>
      <c r="AA464" s="72">
        <f t="shared" si="275"/>
        <v>0.3035302507347874</v>
      </c>
      <c r="AB464" s="72">
        <f t="shared" si="276"/>
        <v>9.1474311243484763E-2</v>
      </c>
      <c r="AC464" s="72"/>
      <c r="AD464" s="72"/>
      <c r="AE464" s="72">
        <f t="shared" si="277"/>
        <v>0.58033587323203206</v>
      </c>
      <c r="AF464" s="72">
        <f t="shared" si="278"/>
        <v>0.54270670620536765</v>
      </c>
      <c r="AG464" s="72">
        <f t="shared" si="279"/>
        <v>0.49165183958280262</v>
      </c>
      <c r="AH464" s="72">
        <f t="shared" si="280"/>
        <v>0.25649358862735849</v>
      </c>
      <c r="AI464" s="72">
        <f t="shared" si="281"/>
        <v>0.14254457050243113</v>
      </c>
      <c r="AJ464" s="72">
        <f>(AV464-Driver!$K$179)/(Driver!$L$179-Driver!$K$179)</f>
        <v>0.30142615421803243</v>
      </c>
      <c r="AK464" s="72">
        <f>(AW464-Driver!$K$180)/(Driver!$L$180-Driver!$K$180)</f>
        <v>0.17082449591837368</v>
      </c>
      <c r="AL464" s="72">
        <f>(AX464-Driver!$K$181)/(Driver!$L$181-Driver!$K$181)</f>
        <v>0.27907417947258589</v>
      </c>
      <c r="AM464" s="72">
        <f>(AY464-Driver!$K$182)/(Driver!$L$182-Driver!$K$182)</f>
        <v>0.14385477036225897</v>
      </c>
      <c r="AN464" s="72">
        <f>(AZ464-Driver!$K$183)/(Driver!$L$183-Driver!$K$183)</f>
        <v>0.16274509803921566</v>
      </c>
      <c r="AO464" s="72"/>
      <c r="AP464" s="72"/>
      <c r="AQ464" s="72">
        <f>(BC464-Driver!$K$188)/(Driver!$L$188-Driver!$K$188)</f>
        <v>3.9664126767967905E-2</v>
      </c>
      <c r="AR464" s="72">
        <f>MIN((BD464-Driver!$K$189)/(Driver!$L$189-Driver!$K$189),100%)</f>
        <v>7.2932937946323818E-3</v>
      </c>
      <c r="AS464" s="72">
        <f>(BE464-Driver!$K$190)/(Driver!$L$190-Driver!$K$190)</f>
        <v>1.834816041719738E-2</v>
      </c>
      <c r="AT464" s="72">
        <f>(BF464-Driver!$K$191)/(Driver!$L$191-Driver!$K$191)</f>
        <v>0.25350641137264152</v>
      </c>
      <c r="AU464" s="72">
        <f>(BG464-Driver!$K$192)/(Driver!$L$192-Driver!$K$192)</f>
        <v>0.10745542949756887</v>
      </c>
      <c r="AV464" s="70">
        <f t="shared" si="282"/>
        <v>6.344118844118845</v>
      </c>
      <c r="AW464" s="70">
        <f t="shared" si="283"/>
        <v>18.520253407719665</v>
      </c>
      <c r="AX464" s="70">
        <f t="shared" si="284"/>
        <v>3.5116676152532729</v>
      </c>
      <c r="AY464" s="70">
        <f>IFERROR(Driver!$K$19/Data!BH464/Data!BI464*Data!BK464*Data!BL464,"")</f>
        <v>0.17612116104420411</v>
      </c>
      <c r="AZ464" s="70">
        <f t="shared" si="285"/>
        <v>14.832464631422187</v>
      </c>
      <c r="BA464" s="70"/>
      <c r="BB464" s="70"/>
      <c r="BC464" s="70">
        <f t="shared" si="286"/>
        <v>20.574058295080743</v>
      </c>
      <c r="BD464" s="70">
        <f t="shared" si="287"/>
        <v>2.3662664619707798</v>
      </c>
      <c r="BE464" s="70">
        <f t="shared" si="288"/>
        <v>1.8523276056416859E-2</v>
      </c>
      <c r="BF464" s="70">
        <f t="shared" si="289"/>
        <v>28.631768181203334</v>
      </c>
      <c r="BG464" s="70">
        <f t="shared" si="290"/>
        <v>0.40689480523109595</v>
      </c>
      <c r="BH464" s="67">
        <f>MAX((CE464-Driver!$F$200)/(Driver!$G$200-Driver!$F$200)*$BI$1,1)</f>
        <v>3.5116676152532729</v>
      </c>
      <c r="BI464" s="67">
        <f>MAX($BI$1*(BY464-Driver!$F$201)/(Driver!$G$201-Driver!$F$201),1)</f>
        <v>5.2531645569620249</v>
      </c>
      <c r="BJ464" s="67">
        <f>(CB464-Driver!$F$206)/(Driver!$G$206-Driver!$F$206)*$BI$1</f>
        <v>6.825396825396826</v>
      </c>
      <c r="BK464" s="67">
        <f>(CD464-Driver!$F$203)/(Driver!$G$203-Driver!$F$203)*$BI$1</f>
        <v>3.623853211009175</v>
      </c>
      <c r="BL464" s="67">
        <f>MAX((CR464-Driver!$F$202)/(Driver!$G$202-Driver!$F$202)*$BI$1,1)</f>
        <v>4.4827586206896548</v>
      </c>
      <c r="BM464" s="67">
        <f>MAX((CH464-Driver!$F$204)/(Driver!$G$204-Driver!$F$204)*$BI$1,1)</f>
        <v>3.7179487179487181</v>
      </c>
      <c r="BN464" s="67">
        <f>(CI464-Driver!$F$205)/(Driver!$G$205-Driver!$F$205)*$BI$1</f>
        <v>2.8235294117647056</v>
      </c>
      <c r="BO464" s="67">
        <f>(CK464-Driver!$F$207)/(Driver!$G$207-Driver!$F$207)*$BI$1</f>
        <v>3.6194415718717683</v>
      </c>
      <c r="BP464" s="67">
        <f>(CM464-Driver!$F$208)/(Driver!$G$208-Driver!$F$208)*$BI$1</f>
        <v>4.2</v>
      </c>
      <c r="BQ464" s="67">
        <f>(CL464-Driver!$F$209)/(Driver!$G$209-Driver!$F$209)*$BI$1</f>
        <v>5.3125</v>
      </c>
      <c r="BR464" s="28" t="s">
        <v>155</v>
      </c>
      <c r="BS464" s="8" t="s">
        <v>208</v>
      </c>
      <c r="BT464" s="9" t="s">
        <v>338</v>
      </c>
      <c r="BU464" s="10">
        <v>175</v>
      </c>
      <c r="BV464" s="9" t="s">
        <v>158</v>
      </c>
      <c r="BW464" s="10">
        <v>175</v>
      </c>
      <c r="BX464" s="10">
        <v>174.6</v>
      </c>
      <c r="BY464" s="10">
        <v>91</v>
      </c>
      <c r="BZ464" s="10">
        <v>141</v>
      </c>
      <c r="CA464" s="10">
        <v>141</v>
      </c>
      <c r="CB464" s="10">
        <v>107</v>
      </c>
      <c r="CC464" s="10">
        <v>127</v>
      </c>
      <c r="CD464" s="10">
        <v>17.3</v>
      </c>
      <c r="CE464" s="10">
        <v>1517</v>
      </c>
      <c r="CF464" s="10">
        <v>1.35</v>
      </c>
      <c r="CG464" s="10">
        <v>2043</v>
      </c>
      <c r="CH464" s="10">
        <v>188</v>
      </c>
      <c r="CI464" s="10">
        <v>81</v>
      </c>
      <c r="CJ464" s="10">
        <v>52</v>
      </c>
      <c r="CK464" s="10">
        <v>460</v>
      </c>
      <c r="CL464" s="10">
        <v>34</v>
      </c>
      <c r="CM464" s="10">
        <v>378</v>
      </c>
      <c r="CN464" s="10">
        <v>0.65400000000000003</v>
      </c>
      <c r="CO464" s="10">
        <v>173</v>
      </c>
      <c r="CP464" s="10">
        <v>168</v>
      </c>
      <c r="CQ464" s="10">
        <v>287</v>
      </c>
      <c r="CR464" s="10">
        <v>2</v>
      </c>
      <c r="CS464" s="10">
        <v>6.4</v>
      </c>
      <c r="CT464" s="9" t="s">
        <v>169</v>
      </c>
      <c r="CU464" s="9" t="s">
        <v>185</v>
      </c>
      <c r="CV464" s="9" t="s">
        <v>198</v>
      </c>
      <c r="CW464" s="10"/>
      <c r="CX464" t="str">
        <f>INDEX('Data_Price '!AG$2:AG$1266,MATCH(Data!$DN464,'Data_Price '!$AT$2:$AT$1266,0))</f>
        <v>Line Vision 108 Skis 2022</v>
      </c>
      <c r="CY464" t="str">
        <f>INDEX('Data_Price '!AH$2:AH$1266,MATCH(Data!$DN464,'Data_Price '!$AT$2:$AT$1266,0))</f>
        <v>Snowcountry.eu</v>
      </c>
      <c r="CZ464">
        <f>INDEX('Data_Price '!AI$2:AI$1266,MATCH(Data!$DN464,'Data_Price '!$AT$2:$AT$1266,0))</f>
        <v>441.67</v>
      </c>
      <c r="DA464" t="str">
        <f>INDEX('Data_Price '!AJ$2:AJ$1266,MATCH(Data!$DN464,'Data_Price '!$AT$2:$AT$1266,0))</f>
        <v>https://tinyurl.com/y86s99zx</v>
      </c>
      <c r="DB464" t="str">
        <f>INDEX('Data_Price '!AK$2:AK$1266,MATCH(Data!$DN464,'Data_Price '!$AT$2:$AT$1266,0))</f>
        <v>Line Vision 108 Skis 2022</v>
      </c>
      <c r="DC464" t="str">
        <f>INDEX('Data_Price '!AL$2:AL$1266,MATCH(Data!$DN464,'Data_Price '!$AT$2:$AT$1266,0))</f>
        <v>! OutdoorXL.com</v>
      </c>
      <c r="DD464">
        <f>INDEX('Data_Price '!AM$2:AM$1266,MATCH(Data!$DN464,'Data_Price '!$AT$2:$AT$1266,0))</f>
        <v>514.95000000000005</v>
      </c>
      <c r="DE464" t="str">
        <f>INDEX('Data_Price '!AN$2:AN$1266,MATCH(Data!$DN464,'Data_Price '!$AT$2:$AT$1266,0))</f>
        <v>https://tinyurl.com/ydyavpzc</v>
      </c>
      <c r="DF464" t="str">
        <f>INDEX('Data_Price '!AO$2:AO$1266,MATCH(Data!$DN464,'Data_Price '!$AT$2:$AT$1266,0))</f>
        <v>Line Vision 108 Skis 2022</v>
      </c>
      <c r="DG464" t="str">
        <f>INDEX('Data_Price '!AP$2:AP$1266,MATCH(Data!$DN464,'Data_Price '!$AT$2:$AT$1266,0))</f>
        <v>REI</v>
      </c>
      <c r="DH464">
        <f>INDEX('Data_Price '!AQ$2:AQ$1266,MATCH(Data!$DN464,'Data_Price '!$AT$2:$AT$1266,0))</f>
        <v>599.92999999999995</v>
      </c>
      <c r="DI464" t="str">
        <f>INDEX('Data_Price '!AR$2:AR$1266,MATCH(Data!$DN464,'Data_Price '!$AT$2:$AT$1266,0))</f>
        <v>https://tinyurl.com/ycpmc7dj</v>
      </c>
      <c r="DJ464" s="89" t="str">
        <f t="shared" si="291"/>
        <v>https://tinyurl.com/y86s99zx</v>
      </c>
      <c r="DK464" s="89" t="str">
        <f t="shared" si="292"/>
        <v>https://tinyurl.com/ydyavpzc</v>
      </c>
      <c r="DL464" s="89" t="str">
        <f t="shared" si="293"/>
        <v>https://tinyurl.com/ycpmc7dj</v>
      </c>
      <c r="DM464" s="219" t="str">
        <f t="shared" si="294"/>
        <v>Vision 108</v>
      </c>
      <c r="DN464" s="89" t="str">
        <f t="shared" si="295"/>
        <v xml:space="preserve"> LineVision 108175 Unisex</v>
      </c>
      <c r="DO464" s="221" t="s">
        <v>339</v>
      </c>
    </row>
    <row r="465" spans="1:119" ht="15.6" customHeight="1">
      <c r="B465" s="219" t="b">
        <f t="array" ref="B465">IF(OR(ISERROR(K465:P465)),FALSE,TRUE)</f>
        <v>1</v>
      </c>
      <c r="C465" s="43" t="b">
        <f>OR(BR465=Driver!$G$50,Data!BR37=Driver!$H$50)</f>
        <v>1</v>
      </c>
      <c r="D465" s="43" t="b">
        <f>OR(BV465=Driver!$G$51,BV465=Driver!$H$51)</f>
        <v>1</v>
      </c>
      <c r="E465" s="43" t="b">
        <f>AND(BX465&gt;Driver!$F$54,BX465&lt;Driver!$G$54)</f>
        <v>1</v>
      </c>
      <c r="F465" s="43" t="b">
        <f>CL465&gt;Driver!$F$56</f>
        <v>1</v>
      </c>
      <c r="G465" s="43" t="b">
        <f>AND(CB465&gt;Driver!$F$55,CB465&lt;Driver!$G$55)</f>
        <v>0</v>
      </c>
      <c r="H465" s="43" t="b">
        <f t="shared" si="259"/>
        <v>0</v>
      </c>
      <c r="I465" s="43">
        <f t="shared" si="260"/>
        <v>0</v>
      </c>
      <c r="J465" s="43" t="b">
        <f t="array" ref="J465">NOT(OR(($H$9:$H$1273=TRUE)*($I$9:$I$1273&gt;0)*($BT$9:$BT$1273=BT465)*($K$9:$K$1273&gt;K465)))</f>
        <v>1</v>
      </c>
      <c r="K465" s="72">
        <f t="shared" si="261"/>
        <v>0.83517403142834012</v>
      </c>
      <c r="L465" s="72">
        <f t="shared" si="262"/>
        <v>0.83441164381535771</v>
      </c>
      <c r="M465" s="72">
        <f t="shared" si="263"/>
        <v>0.83593641904132243</v>
      </c>
      <c r="N465" s="72">
        <f t="shared" si="264"/>
        <v>0.81755445567538976</v>
      </c>
      <c r="O465" s="72">
        <f t="shared" si="265"/>
        <v>0.71310166171167033</v>
      </c>
      <c r="P465" s="72">
        <f t="shared" si="266"/>
        <v>0.97715313973690743</v>
      </c>
      <c r="Q465" s="72"/>
      <c r="R465" s="72"/>
      <c r="S465" s="72">
        <f t="shared" si="267"/>
        <v>0.45484432429284682</v>
      </c>
      <c r="T465" s="72">
        <f t="shared" si="268"/>
        <v>0.48478853159654889</v>
      </c>
      <c r="U465" s="72">
        <f t="shared" si="269"/>
        <v>0.71884539504240563</v>
      </c>
      <c r="V465" s="72">
        <f t="shared" si="270"/>
        <v>0.50286257013899616</v>
      </c>
      <c r="W465" s="72">
        <f t="shared" si="271"/>
        <v>0.97258080000000002</v>
      </c>
      <c r="X465" s="72">
        <f t="shared" si="272"/>
        <v>0.16558835618464224</v>
      </c>
      <c r="Y465" s="72">
        <f t="shared" si="273"/>
        <v>0.16406358095867754</v>
      </c>
      <c r="Z465" s="72">
        <f t="shared" si="274"/>
        <v>0.1824455443246103</v>
      </c>
      <c r="AA465" s="72">
        <f t="shared" si="275"/>
        <v>0.28689833828832972</v>
      </c>
      <c r="AB465" s="72">
        <f t="shared" si="276"/>
        <v>2.28468602630926E-2</v>
      </c>
      <c r="AC465" s="72"/>
      <c r="AD465" s="72"/>
      <c r="AE465" s="72">
        <f t="shared" si="277"/>
        <v>0.54515567570715318</v>
      </c>
      <c r="AF465" s="72">
        <f t="shared" si="278"/>
        <v>0.51521146840345111</v>
      </c>
      <c r="AG465" s="72">
        <f t="shared" si="279"/>
        <v>0.28115460495759431</v>
      </c>
      <c r="AH465" s="72">
        <f t="shared" si="280"/>
        <v>0.49713742986100384</v>
      </c>
      <c r="AI465" s="72">
        <f t="shared" si="281"/>
        <v>2.7419200000000005E-2</v>
      </c>
      <c r="AJ465" s="72">
        <f>(AV465-Driver!$K$179)/(Driver!$L$179-Driver!$K$179)</f>
        <v>8.8631053098058174E-2</v>
      </c>
      <c r="AK465" s="72">
        <f>(AW465-Driver!$K$180)/(Driver!$L$180-Driver!$K$180)</f>
        <v>0.23567799699752745</v>
      </c>
      <c r="AL465" s="72">
        <f>(AX465-Driver!$K$181)/(Driver!$L$181-Driver!$K$181)</f>
        <v>0.28413330803769049</v>
      </c>
      <c r="AM465" s="72">
        <f>(AY465-Driver!$K$182)/(Driver!$L$182-Driver!$K$182)</f>
        <v>0.16048668280871664</v>
      </c>
      <c r="AN465" s="72">
        <f>(AZ465-Driver!$K$183)/(Driver!$L$183-Driver!$K$183)</f>
        <v>0.23137254901960783</v>
      </c>
      <c r="AO465" s="72"/>
      <c r="AP465" s="72"/>
      <c r="AQ465" s="72">
        <f>(BC465-Driver!$K$188)/(Driver!$L$188-Driver!$K$188)</f>
        <v>7.4844324292846764E-2</v>
      </c>
      <c r="AR465" s="72">
        <f>MIN((BD465-Driver!$K$189)/(Driver!$L$189-Driver!$K$189),100%)</f>
        <v>3.4788531596548891E-2</v>
      </c>
      <c r="AS465" s="72">
        <f>(BE465-Driver!$K$190)/(Driver!$L$190-Driver!$K$190)</f>
        <v>0.2288453950424057</v>
      </c>
      <c r="AT465" s="72">
        <f>(BF465-Driver!$K$191)/(Driver!$L$191-Driver!$K$191)</f>
        <v>1.2862570138996172E-2</v>
      </c>
      <c r="AU465" s="72">
        <f>(BG465-Driver!$K$192)/(Driver!$L$192-Driver!$K$192)</f>
        <v>0.2225808</v>
      </c>
      <c r="AV465" s="70">
        <f t="shared" si="282"/>
        <v>1.8654185320851988</v>
      </c>
      <c r="AW465" s="70">
        <f t="shared" si="283"/>
        <v>24.840801748362058</v>
      </c>
      <c r="AX465" s="70">
        <f t="shared" si="284"/>
        <v>3.5571997723392146</v>
      </c>
      <c r="AY465" s="70">
        <f>IFERROR(Driver!$K$19/Data!BH465/Data!BI465*Data!BK465*Data!BL465,"")</f>
        <v>0.19648358436238261</v>
      </c>
      <c r="AZ465" s="70">
        <f t="shared" si="285"/>
        <v>21.087118391660461</v>
      </c>
      <c r="BA465" s="70"/>
      <c r="BB465" s="70"/>
      <c r="BC465" s="70">
        <f t="shared" si="286"/>
        <v>38.822271320000823</v>
      </c>
      <c r="BD465" s="70">
        <f t="shared" si="287"/>
        <v>4.7995462887618414</v>
      </c>
      <c r="BE465" s="70">
        <f t="shared" si="288"/>
        <v>0.22898296034421534</v>
      </c>
      <c r="BF465" s="70">
        <f t="shared" si="289"/>
        <v>1.4527369325301074</v>
      </c>
      <c r="BG465" s="70">
        <f t="shared" si="290"/>
        <v>0.84283290000000011</v>
      </c>
      <c r="BH465" s="67">
        <f>MAX((CE465-Driver!$F$200)/(Driver!$G$200-Driver!$F$200)*$BI$1,1)</f>
        <v>3.5571997723392146</v>
      </c>
      <c r="BI465" s="67">
        <f>MAX($BI$1*(BY465-Driver!$F$201)/(Driver!$G$201-Driver!$F$201),1)</f>
        <v>7.4683544303797467</v>
      </c>
      <c r="BJ465" s="67">
        <f>(CB465-Driver!$F$206)/(Driver!$G$206-Driver!$F$206)*$BI$1</f>
        <v>3.4920634920634921</v>
      </c>
      <c r="BK465" s="67">
        <f>(CD465-Driver!$F$203)/(Driver!$G$203-Driver!$F$203)*$BI$1</f>
        <v>3.4403669724770634</v>
      </c>
      <c r="BL465" s="67">
        <f>MAX((CR465-Driver!$F$202)/(Driver!$G$202-Driver!$F$202)*$BI$1,1)</f>
        <v>7.5862068965517242</v>
      </c>
      <c r="BM465" s="67">
        <f>MAX((CH465-Driver!$F$204)/(Driver!$G$204-Driver!$F$204)*$BI$1,1)</f>
        <v>2.1367521367521367</v>
      </c>
      <c r="BN465" s="67">
        <f>(CI465-Driver!$F$205)/(Driver!$G$205-Driver!$F$205)*$BI$1</f>
        <v>2.8235294117647056</v>
      </c>
      <c r="BO465" s="67">
        <f>(CK465-Driver!$F$207)/(Driver!$G$207-Driver!$F$207)*$BI$1</f>
        <v>0.74457083764219234</v>
      </c>
      <c r="BP465" s="67">
        <f>(CM465-Driver!$F$208)/(Driver!$G$208-Driver!$F$208)*$BI$1</f>
        <v>1.9222222222222221</v>
      </c>
      <c r="BQ465" s="67">
        <f>(CL465-Driver!$F$209)/(Driver!$G$209-Driver!$F$209)*$BI$1</f>
        <v>6.40625</v>
      </c>
      <c r="BR465" s="28" t="s">
        <v>155</v>
      </c>
      <c r="BS465" s="8" t="s">
        <v>182</v>
      </c>
      <c r="BT465" s="9" t="s">
        <v>491</v>
      </c>
      <c r="BU465" s="10">
        <v>163</v>
      </c>
      <c r="BV465" s="9" t="s">
        <v>158</v>
      </c>
      <c r="BW465" s="10">
        <v>163</v>
      </c>
      <c r="BX465" s="10">
        <v>161.19999999999999</v>
      </c>
      <c r="BY465" s="10">
        <v>126</v>
      </c>
      <c r="BZ465" s="10">
        <v>137</v>
      </c>
      <c r="CA465" s="10">
        <v>114</v>
      </c>
      <c r="CB465" s="10">
        <v>86</v>
      </c>
      <c r="CC465" s="10">
        <v>108</v>
      </c>
      <c r="CD465" s="10">
        <v>16.899999999999999</v>
      </c>
      <c r="CE465" s="10">
        <v>1525</v>
      </c>
      <c r="CF465" s="10">
        <v>1.01</v>
      </c>
      <c r="CG465" s="10">
        <v>1537</v>
      </c>
      <c r="CH465" s="10">
        <v>151</v>
      </c>
      <c r="CI465" s="10">
        <v>81</v>
      </c>
      <c r="CJ465" s="10">
        <v>44</v>
      </c>
      <c r="CK465" s="10">
        <v>182</v>
      </c>
      <c r="CL465" s="10">
        <v>41</v>
      </c>
      <c r="CM465" s="10">
        <v>173</v>
      </c>
      <c r="CN465" s="10">
        <v>0.91900000000000004</v>
      </c>
      <c r="CO465" s="10">
        <v>104</v>
      </c>
      <c r="CP465" s="10">
        <v>138</v>
      </c>
      <c r="CQ465" s="10">
        <v>78</v>
      </c>
      <c r="CR465" s="10">
        <v>11</v>
      </c>
      <c r="CS465" s="10">
        <v>3.5</v>
      </c>
      <c r="CT465" s="9" t="s">
        <v>184</v>
      </c>
      <c r="CU465" s="10"/>
      <c r="CV465" s="10"/>
      <c r="CW465" s="10"/>
      <c r="CX465" t="str">
        <f>INDEX('Data_Price '!AG$2:AG$1266,MATCH(Data!$DN465,'Data_Price '!$AT$2:$AT$1266,0))</f>
        <v>Armada ARV 86 Skis</v>
      </c>
      <c r="CY465" t="str">
        <f>INDEX('Data_Price '!AH$2:AH$1266,MATCH(Data!$DN465,'Data_Price '!$AT$2:$AT$1266,0))</f>
        <v>eBay - grassisport</v>
      </c>
      <c r="CZ465">
        <f>INDEX('Data_Price '!AI$2:AI$1266,MATCH(Data!$DN465,'Data_Price '!$AT$2:$AT$1266,0))</f>
        <v>319.32</v>
      </c>
      <c r="DA465" t="str">
        <f>INDEX('Data_Price '!AJ$2:AJ$1266,MATCH(Data!$DN465,'Data_Price '!$AT$2:$AT$1266,0))</f>
        <v>https://tinyurl.com/yc3y7myw</v>
      </c>
      <c r="DB465" t="str">
        <f>INDEX('Data_Price '!AK$2:AK$1266,MATCH(Data!$DN465,'Data_Price '!$AT$2:$AT$1266,0))</f>
        <v>Armada ARW 86 Women's Skis Â· 2022 Â· 163 cm</v>
      </c>
      <c r="DC465" t="str">
        <f>INDEX('Data_Price '!AL$2:AL$1266,MATCH(Data!$DN465,'Data_Price '!$AT$2:$AT$1266,0))</f>
        <v>Powder7 Ski Shop</v>
      </c>
      <c r="DD465">
        <f>INDEX('Data_Price '!AM$2:AM$1266,MATCH(Data!$DN465,'Data_Price '!$AT$2:$AT$1266,0))</f>
        <v>379.95</v>
      </c>
      <c r="DE465" t="str">
        <f>INDEX('Data_Price '!AN$2:AN$1266,MATCH(Data!$DN465,'Data_Price '!$AT$2:$AT$1266,0))</f>
        <v>https://tinyurl.com/ybu886ye</v>
      </c>
      <c r="DF465" t="str">
        <f>INDEX('Data_Price '!AO$2:AO$1266,MATCH(Data!$DN465,'Data_Price '!$AT$2:$AT$1266,0))</f>
        <v>Armada ARW 86 Women's Skis Â· 2022 Â· 163 cm</v>
      </c>
      <c r="DG465" t="str">
        <f>INDEX('Data_Price '!AP$2:AP$1266,MATCH(Data!$DN465,'Data_Price '!$AT$2:$AT$1266,0))</f>
        <v>BlueZone Sports</v>
      </c>
      <c r="DH465">
        <f>INDEX('Data_Price '!AQ$2:AQ$1266,MATCH(Data!$DN465,'Data_Price '!$AT$2:$AT$1266,0))</f>
        <v>399.95</v>
      </c>
      <c r="DI465" t="str">
        <f>INDEX('Data_Price '!AR$2:AR$1266,MATCH(Data!$DN465,'Data_Price '!$AT$2:$AT$1266,0))</f>
        <v>https://tinyurl.com/ycqrct7t</v>
      </c>
      <c r="DJ465" s="89" t="str">
        <f t="shared" si="291"/>
        <v>https://tinyurl.com/yc3y7myw</v>
      </c>
      <c r="DK465" s="89" t="str">
        <f t="shared" si="292"/>
        <v>https://tinyurl.com/ybu886ye</v>
      </c>
      <c r="DL465" s="89" t="str">
        <f t="shared" si="293"/>
        <v>https://tinyurl.com/ycqrct7t</v>
      </c>
      <c r="DM465" s="219" t="str">
        <f t="shared" si="294"/>
        <v>ARV 86</v>
      </c>
      <c r="DN465" s="89" t="str">
        <f t="shared" si="295"/>
        <v xml:space="preserve"> ArmadaARV 86163 Unisex</v>
      </c>
      <c r="DO465" s="221" t="s">
        <v>492</v>
      </c>
    </row>
    <row r="466" spans="1:119" ht="15.6" customHeight="1">
      <c r="B466" s="219" t="b">
        <f t="array" ref="B466">IF(OR(ISERROR(K466:P466)),FALSE,TRUE)</f>
        <v>1</v>
      </c>
      <c r="C466" s="43" t="b">
        <f>OR(BR466=Driver!$G$50,Data!BR225=Driver!$H$50)</f>
        <v>1</v>
      </c>
      <c r="D466" s="43" t="b">
        <f>OR(BV466=Driver!$G$51,BV466=Driver!$H$51)</f>
        <v>1</v>
      </c>
      <c r="E466" s="43" t="b">
        <f>AND(BX466&gt;Driver!$F$54,BX466&lt;Driver!$G$54)</f>
        <v>0</v>
      </c>
      <c r="F466" s="43" t="b">
        <f>CL466&gt;Driver!$F$56</f>
        <v>1</v>
      </c>
      <c r="G466" s="43" t="b">
        <f>AND(CB466&gt;Driver!$F$55,CB466&lt;Driver!$G$55)</f>
        <v>1</v>
      </c>
      <c r="H466" s="43" t="b">
        <f t="shared" si="259"/>
        <v>0</v>
      </c>
      <c r="I466" s="43">
        <f t="shared" si="260"/>
        <v>0</v>
      </c>
      <c r="J466" s="43" t="b">
        <f t="array" ref="J466">NOT(OR(($H$9:$H$1273=TRUE)*($I$9:$I$1273&gt;0)*($BT$9:$BT$1273=BT466)*($K$9:$K$1273&gt;K466)))</f>
        <v>1</v>
      </c>
      <c r="K466" s="72">
        <f t="shared" si="261"/>
        <v>0.79703813411846625</v>
      </c>
      <c r="L466" s="72">
        <f t="shared" si="262"/>
        <v>0.8539293440180159</v>
      </c>
      <c r="M466" s="72">
        <f t="shared" si="263"/>
        <v>0.7401469242189167</v>
      </c>
      <c r="N466" s="72">
        <f t="shared" si="264"/>
        <v>0.59432040774014649</v>
      </c>
      <c r="O466" s="72">
        <f t="shared" si="265"/>
        <v>0.65109140818623201</v>
      </c>
      <c r="P466" s="72">
        <f t="shared" si="266"/>
        <v>0.97502895673037149</v>
      </c>
      <c r="Q466" s="72"/>
      <c r="R466" s="72"/>
      <c r="S466" s="72">
        <f t="shared" si="267"/>
        <v>0.46000374417646794</v>
      </c>
      <c r="T466" s="72">
        <f t="shared" si="268"/>
        <v>0.46631744937736974</v>
      </c>
      <c r="U466" s="72">
        <f t="shared" si="269"/>
        <v>0.58048431879429807</v>
      </c>
      <c r="V466" s="72">
        <f t="shared" si="270"/>
        <v>0.52469876701582385</v>
      </c>
      <c r="W466" s="72">
        <f t="shared" si="271"/>
        <v>0.80460974778459438</v>
      </c>
      <c r="X466" s="72">
        <f t="shared" si="272"/>
        <v>0.1460706559819841</v>
      </c>
      <c r="Y466" s="72">
        <f t="shared" si="273"/>
        <v>0.25985307578108335</v>
      </c>
      <c r="Z466" s="72">
        <f t="shared" si="274"/>
        <v>0.40567959225985351</v>
      </c>
      <c r="AA466" s="72">
        <f t="shared" si="275"/>
        <v>0.34890859181376804</v>
      </c>
      <c r="AB466" s="72">
        <f t="shared" si="276"/>
        <v>2.497104326962854E-2</v>
      </c>
      <c r="AC466" s="72"/>
      <c r="AD466" s="72"/>
      <c r="AE466" s="72">
        <f t="shared" si="277"/>
        <v>0.53999625582353206</v>
      </c>
      <c r="AF466" s="72">
        <f t="shared" si="278"/>
        <v>0.53368255062263026</v>
      </c>
      <c r="AG466" s="72">
        <f t="shared" si="279"/>
        <v>0.41951568120570198</v>
      </c>
      <c r="AH466" s="72">
        <f t="shared" si="280"/>
        <v>0.4753012329841762</v>
      </c>
      <c r="AI466" s="72">
        <f t="shared" si="281"/>
        <v>0.1953902522154056</v>
      </c>
      <c r="AJ466" s="72">
        <f>(AV466-Driver!$K$179)/(Driver!$L$179-Driver!$K$179)</f>
        <v>0.40029006526468452</v>
      </c>
      <c r="AK466" s="72">
        <f>(AW466-Driver!$K$180)/(Driver!$L$180-Driver!$K$180)</f>
        <v>0.25352748689538163</v>
      </c>
      <c r="AL466" s="72">
        <f>(AX466-Driver!$K$181)/(Driver!$L$181-Driver!$K$181)</f>
        <v>0.5073673559729337</v>
      </c>
      <c r="AM466" s="72">
        <f>(AY466-Driver!$K$182)/(Driver!$L$182-Driver!$K$182)</f>
        <v>9.8476429283278308E-2</v>
      </c>
      <c r="AN466" s="72">
        <f>(AZ466-Driver!$K$183)/(Driver!$L$183-Driver!$K$183)</f>
        <v>0.22924836601307189</v>
      </c>
      <c r="AO466" s="72"/>
      <c r="AP466" s="72"/>
      <c r="AQ466" s="72">
        <f>(BC466-Driver!$K$188)/(Driver!$L$188-Driver!$K$188)</f>
        <v>8.0003744176467995E-2</v>
      </c>
      <c r="AR466" s="72">
        <f>MIN((BD466-Driver!$K$189)/(Driver!$L$189-Driver!$K$189),100%)</f>
        <v>1.6317449377369807E-2</v>
      </c>
      <c r="AS466" s="72">
        <f>(BE466-Driver!$K$190)/(Driver!$L$190-Driver!$K$190)</f>
        <v>9.0484318794298024E-2</v>
      </c>
      <c r="AT466" s="72">
        <f>(BF466-Driver!$K$191)/(Driver!$L$191-Driver!$K$191)</f>
        <v>3.4698767015823806E-2</v>
      </c>
      <c r="AU466" s="72">
        <f>(BG466-Driver!$K$192)/(Driver!$L$192-Driver!$K$192)</f>
        <v>5.4609747784594403E-2</v>
      </c>
      <c r="AV466" s="70">
        <f t="shared" si="282"/>
        <v>8.4249084249084252</v>
      </c>
      <c r="AW466" s="70">
        <f t="shared" si="283"/>
        <v>26.580392701478068</v>
      </c>
      <c r="AX466" s="70">
        <f t="shared" si="284"/>
        <v>5.5663062037564028</v>
      </c>
      <c r="AY466" s="70">
        <f>IFERROR(Driver!$K$19/Data!BH466/Data!BI466*Data!BK466*Data!BL466,"")</f>
        <v>0.12056453197334266</v>
      </c>
      <c r="AZ466" s="70">
        <f t="shared" si="285"/>
        <v>20.893521965748324</v>
      </c>
      <c r="BA466" s="70"/>
      <c r="BB466" s="70"/>
      <c r="BC466" s="70">
        <f t="shared" si="286"/>
        <v>41.498498281340282</v>
      </c>
      <c r="BD466" s="70">
        <f t="shared" si="287"/>
        <v>3.164888241185519</v>
      </c>
      <c r="BE466" s="70">
        <f t="shared" si="288"/>
        <v>9.0646566154790081E-2</v>
      </c>
      <c r="BF466" s="70">
        <f t="shared" si="289"/>
        <v>3.9189819618024431</v>
      </c>
      <c r="BG466" s="70">
        <f t="shared" si="290"/>
        <v>0.2067873423653715</v>
      </c>
      <c r="BH466" s="67">
        <f>MAX((CE466-Driver!$F$200)/(Driver!$G$200-Driver!$F$200)*$BI$1,1)</f>
        <v>5.5663062037564028</v>
      </c>
      <c r="BI466" s="67">
        <f>MAX($BI$1*(BY466-Driver!$F$201)/(Driver!$G$201-Driver!$F$201),1)</f>
        <v>7.7215189873417724</v>
      </c>
      <c r="BJ466" s="67">
        <f>(CB466-Driver!$F$206)/(Driver!$G$206-Driver!$F$206)*$BI$1</f>
        <v>7.3015873015873014</v>
      </c>
      <c r="BK466" s="67">
        <f>(CD466-Driver!$F$203)/(Driver!$G$203-Driver!$F$203)*$BI$1</f>
        <v>5.3669724770642215</v>
      </c>
      <c r="BL466" s="67">
        <f>MAX((CR466-Driver!$F$202)/(Driver!$G$202-Driver!$F$202)*$BI$1,1)</f>
        <v>4.8275862068965516</v>
      </c>
      <c r="BM466" s="67">
        <f>MAX((CH466-Driver!$F$204)/(Driver!$G$204-Driver!$F$204)*$BI$1,1)</f>
        <v>4.6153846153846159</v>
      </c>
      <c r="BN466" s="67">
        <f>(CI466-Driver!$F$205)/(Driver!$G$205-Driver!$F$205)*$BI$1</f>
        <v>2.7058823529411762</v>
      </c>
      <c r="BO466" s="67">
        <f>(CK466-Driver!$F$207)/(Driver!$G$207-Driver!$F$207)*$BI$1</f>
        <v>1.1271975180972078</v>
      </c>
      <c r="BP466" s="67">
        <f>(CM466-Driver!$F$208)/(Driver!$G$208-Driver!$F$208)*$BI$1</f>
        <v>2.5555555555555554</v>
      </c>
      <c r="BQ466" s="67">
        <f>(CL466-Driver!$F$209)/(Driver!$G$209-Driver!$F$209)*$BI$1</f>
        <v>5.3125</v>
      </c>
      <c r="BR466" s="28" t="s">
        <v>155</v>
      </c>
      <c r="BS466" s="8" t="s">
        <v>237</v>
      </c>
      <c r="BT466" s="9" t="s">
        <v>486</v>
      </c>
      <c r="BU466" s="10">
        <v>176.7</v>
      </c>
      <c r="BV466" s="9" t="s">
        <v>158</v>
      </c>
      <c r="BW466" s="10">
        <v>176.7</v>
      </c>
      <c r="BX466" s="10">
        <v>174.7</v>
      </c>
      <c r="BY466" s="10">
        <v>130</v>
      </c>
      <c r="BZ466" s="10">
        <v>139</v>
      </c>
      <c r="CA466" s="10">
        <v>138</v>
      </c>
      <c r="CB466" s="10">
        <v>110</v>
      </c>
      <c r="CC466" s="10">
        <v>127</v>
      </c>
      <c r="CD466" s="10">
        <v>21.1</v>
      </c>
      <c r="CE466" s="10">
        <v>1878</v>
      </c>
      <c r="CF466" s="10">
        <v>1.1000000000000001</v>
      </c>
      <c r="CG466" s="10">
        <v>2065</v>
      </c>
      <c r="CH466" s="10">
        <v>209</v>
      </c>
      <c r="CI466" s="10">
        <v>79</v>
      </c>
      <c r="CJ466" s="10">
        <v>44</v>
      </c>
      <c r="CK466" s="10">
        <v>219</v>
      </c>
      <c r="CL466" s="10">
        <v>34</v>
      </c>
      <c r="CM466" s="10">
        <v>230</v>
      </c>
      <c r="CN466" s="10">
        <v>0.78</v>
      </c>
      <c r="CO466" s="10">
        <v>196</v>
      </c>
      <c r="CP466" s="10">
        <v>159</v>
      </c>
      <c r="CQ466" s="10">
        <v>23</v>
      </c>
      <c r="CR466" s="10">
        <v>3</v>
      </c>
      <c r="CS466" s="10">
        <v>8.3000000000000007</v>
      </c>
      <c r="CT466" s="9" t="s">
        <v>169</v>
      </c>
      <c r="CU466" s="9" t="s">
        <v>185</v>
      </c>
      <c r="CV466" s="10"/>
      <c r="CW466" s="10"/>
      <c r="CX466" t="str">
        <f>INDEX('Data_Price '!AG$2:AG$1266,MATCH(Data!$DN466,'Data_Price '!$AT$2:$AT$1266,0))</f>
        <v>2022 Black Crows Ferox Freebird Skis w/ Marker Kingpin 13 Bindings - 176| Ski Essentials</v>
      </c>
      <c r="CY466" t="str">
        <f>INDEX('Data_Price '!AH$2:AH$1266,MATCH(Data!$DN466,'Data_Price '!$AT$2:$AT$1266,0))</f>
        <v>SkiEssentials.com</v>
      </c>
      <c r="CZ466">
        <f>INDEX('Data_Price '!AI$2:AI$1266,MATCH(Data!$DN466,'Data_Price '!$AT$2:$AT$1266,0))</f>
        <v>1210.92</v>
      </c>
      <c r="DA466" t="str">
        <f>INDEX('Data_Price '!AJ$2:AJ$1266,MATCH(Data!$DN466,'Data_Price '!$AT$2:$AT$1266,0))</f>
        <v>https://tinyurl.com/y79vheq6</v>
      </c>
      <c r="DB466" t="str">
        <f>INDEX('Data_Price '!AK$2:AK$1266,MATCH(Data!$DN466,'Data_Price '!$AT$2:$AT$1266,0))</f>
        <v>Skis Black Crows Ferox Freebird</v>
      </c>
      <c r="DC466" t="str">
        <f>INDEX('Data_Price '!AL$2:AL$1266,MATCH(Data!$DN466,'Data_Price '!$AT$2:$AT$1266,0))</f>
        <v>! OutdoorXL.com</v>
      </c>
      <c r="DD466">
        <f>INDEX('Data_Price '!AM$2:AM$1266,MATCH(Data!$DN466,'Data_Price '!$AT$2:$AT$1266,0))</f>
        <v>659.95</v>
      </c>
      <c r="DE466" t="str">
        <f>INDEX('Data_Price '!AN$2:AN$1266,MATCH(Data!$DN466,'Data_Price '!$AT$2:$AT$1266,0))</f>
        <v>https://tinyurl.com/y7ycje9g</v>
      </c>
      <c r="DF466" t="str">
        <f>INDEX('Data_Price '!AO$2:AO$1266,MATCH(Data!$DN466,'Data_Price '!$AT$2:$AT$1266,0))</f>
        <v>Skis Black Crows Ferox Freebird</v>
      </c>
      <c r="DG466" t="str">
        <f>INDEX('Data_Price '!AP$2:AP$1266,MATCH(Data!$DN466,'Data_Price '!$AT$2:$AT$1266,0))</f>
        <v>Backcountry.com</v>
      </c>
      <c r="DH466">
        <f>INDEX('Data_Price '!AQ$2:AQ$1266,MATCH(Data!$DN466,'Data_Price '!$AT$2:$AT$1266,0))</f>
        <v>815.96</v>
      </c>
      <c r="DI466" t="str">
        <f>INDEX('Data_Price '!AR$2:AR$1266,MATCH(Data!$DN466,'Data_Price '!$AT$2:$AT$1266,0))</f>
        <v>https://tinyurl.com/y9rwb6z7</v>
      </c>
      <c r="DJ466" s="89" t="str">
        <f t="shared" si="291"/>
        <v>https://tinyurl.com/y79vheq6</v>
      </c>
      <c r="DK466" s="89" t="str">
        <f t="shared" si="292"/>
        <v>https://tinyurl.com/y7ycje9g</v>
      </c>
      <c r="DL466" s="89" t="str">
        <f t="shared" si="293"/>
        <v>https://tinyurl.com/y9rwb6z7</v>
      </c>
      <c r="DM466" s="219" t="str">
        <f t="shared" si="294"/>
        <v>Ferox Freebird</v>
      </c>
      <c r="DN466" s="89" t="str">
        <f t="shared" si="295"/>
        <v xml:space="preserve"> Black CrowsFerox Freebird176.7 Unisex</v>
      </c>
      <c r="DO466" s="221" t="s">
        <v>487</v>
      </c>
    </row>
    <row r="467" spans="1:119" ht="15.6" customHeight="1">
      <c r="B467" s="219" t="b">
        <f t="array" ref="B467">IF(OR(ISERROR(K467:P467)),FALSE,TRUE)</f>
        <v>1</v>
      </c>
      <c r="C467" s="43" t="b">
        <f>OR(BR467=Driver!$G$50,Data!BR845=Driver!$H$50)</f>
        <v>1</v>
      </c>
      <c r="D467" s="43" t="b">
        <f>OR(BV467=Driver!$G$51,BV467=Driver!$H$51)</f>
        <v>0</v>
      </c>
      <c r="E467" s="43" t="b">
        <f>AND(BX467&gt;Driver!$F$54,BX467&lt;Driver!$G$54)</f>
        <v>0</v>
      </c>
      <c r="F467" s="43" t="b">
        <f>CL467&gt;Driver!$F$56</f>
        <v>1</v>
      </c>
      <c r="G467" s="43" t="b">
        <f>AND(CB467&gt;Driver!$F$55,CB467&lt;Driver!$G$55)</f>
        <v>1</v>
      </c>
      <c r="H467" s="43" t="b">
        <f t="shared" si="259"/>
        <v>0</v>
      </c>
      <c r="I467" s="43">
        <f t="shared" si="260"/>
        <v>0</v>
      </c>
      <c r="J467" s="43" t="b">
        <f t="array" ref="J467">NOT(OR(($H$9:$H$1273=TRUE)*($I$9:$I$1273&gt;0)*($BT$9:$BT$1273=BT467)*($K$9:$K$1273&gt;K467)))</f>
        <v>1</v>
      </c>
      <c r="K467" s="72">
        <f t="shared" si="261"/>
        <v>0.84246448013447439</v>
      </c>
      <c r="L467" s="72">
        <f t="shared" si="262"/>
        <v>0.89975690205401704</v>
      </c>
      <c r="M467" s="72">
        <f t="shared" si="263"/>
        <v>0.78517205821493175</v>
      </c>
      <c r="N467" s="72">
        <f t="shared" si="264"/>
        <v>0.75494773968221951</v>
      </c>
      <c r="O467" s="72">
        <f t="shared" si="265"/>
        <v>0.65442019718645261</v>
      </c>
      <c r="P467" s="72">
        <f t="shared" si="266"/>
        <v>0.94614823777612311</v>
      </c>
      <c r="Q467" s="72"/>
      <c r="R467" s="72"/>
      <c r="S467" s="72">
        <f t="shared" si="267"/>
        <v>0.42543499163294884</v>
      </c>
      <c r="T467" s="72">
        <f t="shared" si="268"/>
        <v>0.45761784158017771</v>
      </c>
      <c r="U467" s="72">
        <f t="shared" si="269"/>
        <v>0.58185772648711431</v>
      </c>
      <c r="V467" s="72">
        <f t="shared" si="270"/>
        <v>0.58464673260448952</v>
      </c>
      <c r="W467" s="72">
        <f t="shared" si="271"/>
        <v>0.85042423046566695</v>
      </c>
      <c r="X467" s="72">
        <f t="shared" si="272"/>
        <v>0.10024309794598299</v>
      </c>
      <c r="Y467" s="72">
        <f t="shared" si="273"/>
        <v>0.21482794178506825</v>
      </c>
      <c r="Z467" s="72">
        <f t="shared" si="274"/>
        <v>0.24505226031778049</v>
      </c>
      <c r="AA467" s="72">
        <f t="shared" si="275"/>
        <v>0.34557980281354739</v>
      </c>
      <c r="AB467" s="72">
        <f t="shared" si="276"/>
        <v>5.3851762223876887E-2</v>
      </c>
      <c r="AC467" s="72"/>
      <c r="AD467" s="72"/>
      <c r="AE467" s="72">
        <f t="shared" si="277"/>
        <v>0.57456500836705116</v>
      </c>
      <c r="AF467" s="72">
        <f t="shared" si="278"/>
        <v>0.54238215841982229</v>
      </c>
      <c r="AG467" s="72">
        <f t="shared" si="279"/>
        <v>0.41814227351288563</v>
      </c>
      <c r="AH467" s="72">
        <f t="shared" si="280"/>
        <v>0.41535326739551048</v>
      </c>
      <c r="AI467" s="72">
        <f t="shared" si="281"/>
        <v>0.14957576953433308</v>
      </c>
      <c r="AJ467" s="72">
        <f>(AV467-Driver!$K$179)/(Driver!$L$179-Driver!$K$179)</f>
        <v>0.15397631133671744</v>
      </c>
      <c r="AK467" s="72">
        <f>(AW467-Driver!$K$180)/(Driver!$L$180-Driver!$K$180)</f>
        <v>0.21172792850103761</v>
      </c>
      <c r="AL467" s="72">
        <f>(AX467-Driver!$K$181)/(Driver!$L$181-Driver!$K$181)</f>
        <v>0.34674002403086068</v>
      </c>
      <c r="AM467" s="72">
        <f>(AY467-Driver!$K$182)/(Driver!$L$182-Driver!$K$182)</f>
        <v>0.10180521828349896</v>
      </c>
      <c r="AN467" s="72">
        <f>(AZ467-Driver!$K$183)/(Driver!$L$183-Driver!$K$183)</f>
        <v>0.20036764705882354</v>
      </c>
      <c r="AO467" s="72"/>
      <c r="AP467" s="72"/>
      <c r="AQ467" s="72">
        <f>(BC467-Driver!$K$188)/(Driver!$L$188-Driver!$K$188)</f>
        <v>4.5434991632948833E-2</v>
      </c>
      <c r="AR467" s="72">
        <f>MIN((BD467-Driver!$K$189)/(Driver!$L$189-Driver!$K$189),100%)</f>
        <v>7.6178415801777047E-3</v>
      </c>
      <c r="AS467" s="72">
        <f>(BE467-Driver!$K$190)/(Driver!$L$190-Driver!$K$190)</f>
        <v>9.1857726487114391E-2</v>
      </c>
      <c r="AT467" s="72">
        <f>(BF467-Driver!$K$191)/(Driver!$L$191-Driver!$K$191)</f>
        <v>9.4646732604489497E-2</v>
      </c>
      <c r="AU467" s="72">
        <f>(BG467-Driver!$K$192)/(Driver!$L$192-Driver!$K$192)</f>
        <v>0.10042423046566692</v>
      </c>
      <c r="AV467" s="70">
        <f t="shared" si="282"/>
        <v>3.2407407407407409</v>
      </c>
      <c r="AW467" s="70">
        <f t="shared" si="283"/>
        <v>22.506655354183522</v>
      </c>
      <c r="AX467" s="70">
        <f t="shared" si="284"/>
        <v>4.1206602162777459</v>
      </c>
      <c r="AY467" s="70">
        <f>IFERROR(Driver!$K$19/Data!BH467/Data!BI467*Data!BK467*Data!BL467,"")</f>
        <v>0.12463996292438916</v>
      </c>
      <c r="AZ467" s="70">
        <f t="shared" si="285"/>
        <v>18.261355174981386</v>
      </c>
      <c r="BA467" s="70"/>
      <c r="BB467" s="70"/>
      <c r="BC467" s="70">
        <f t="shared" si="286"/>
        <v>23.567446018948029</v>
      </c>
      <c r="BD467" s="70">
        <f t="shared" si="287"/>
        <v>2.3949883659268933</v>
      </c>
      <c r="BE467" s="70">
        <f t="shared" si="288"/>
        <v>9.2019728847132415E-2</v>
      </c>
      <c r="BF467" s="70">
        <f t="shared" si="289"/>
        <v>10.689683516748074</v>
      </c>
      <c r="BG467" s="70">
        <f t="shared" si="290"/>
        <v>0.38027020027624309</v>
      </c>
      <c r="BH467" s="67">
        <f>MAX((CE467-Driver!$F$200)/(Driver!$G$200-Driver!$F$200)*$BI$1,1)</f>
        <v>4.1206602162777459</v>
      </c>
      <c r="BI467" s="67">
        <f>MAX($BI$1*(BY467-Driver!$F$201)/(Driver!$G$201-Driver!$F$201),1)</f>
        <v>6.8987341772151902</v>
      </c>
      <c r="BJ467" s="67">
        <f>(CB467-Driver!$F$206)/(Driver!$G$206-Driver!$F$206)*$BI$1</f>
        <v>6.1904761904761907</v>
      </c>
      <c r="BK467" s="67">
        <f>(CD467-Driver!$F$203)/(Driver!$G$203-Driver!$F$203)*$BI$1</f>
        <v>3.2110091743119265</v>
      </c>
      <c r="BL467" s="67">
        <f>MAX((CR467-Driver!$F$202)/(Driver!$G$202-Driver!$F$202)*$BI$1,1)</f>
        <v>5.5172413793103452</v>
      </c>
      <c r="BM467" s="67">
        <f>MAX((CH467-Driver!$F$204)/(Driver!$G$204-Driver!$F$204)*$BI$1,1)</f>
        <v>2.0940170940170941</v>
      </c>
      <c r="BN467" s="67">
        <f>(CI467-Driver!$F$205)/(Driver!$G$205-Driver!$F$205)*$BI$1</f>
        <v>2.6470588235294117</v>
      </c>
      <c r="BO467" s="67">
        <f>(CK467-Driver!$F$207)/(Driver!$G$207-Driver!$F$207)*$BI$1</f>
        <v>2.3991726990692861</v>
      </c>
      <c r="BP467" s="67">
        <f>(CM467-Driver!$F$208)/(Driver!$G$208-Driver!$F$208)*$BI$1</f>
        <v>2.3111111111111109</v>
      </c>
      <c r="BQ467" s="67">
        <f>(CL467-Driver!$F$209)/(Driver!$G$209-Driver!$F$209)*$BI$1</f>
        <v>3.28125</v>
      </c>
      <c r="BR467" s="28" t="s">
        <v>155</v>
      </c>
      <c r="BS467" s="8" t="s">
        <v>208</v>
      </c>
      <c r="BT467" s="9" t="s">
        <v>614</v>
      </c>
      <c r="BU467" s="10">
        <v>172</v>
      </c>
      <c r="BV467" s="9" t="s">
        <v>163</v>
      </c>
      <c r="BW467" s="10">
        <v>172</v>
      </c>
      <c r="BX467" s="10">
        <v>171.7</v>
      </c>
      <c r="BY467" s="10">
        <v>117</v>
      </c>
      <c r="BZ467" s="10">
        <v>134</v>
      </c>
      <c r="CA467" s="10">
        <v>136</v>
      </c>
      <c r="CB467" s="10">
        <v>103</v>
      </c>
      <c r="CC467" s="10">
        <v>121</v>
      </c>
      <c r="CD467" s="10">
        <v>16.399999999999999</v>
      </c>
      <c r="CE467" s="10">
        <v>1624</v>
      </c>
      <c r="CF467" s="10">
        <v>1.2</v>
      </c>
      <c r="CG467" s="10">
        <v>1947</v>
      </c>
      <c r="CH467" s="10">
        <v>150</v>
      </c>
      <c r="CI467" s="10">
        <v>78</v>
      </c>
      <c r="CJ467" s="10">
        <v>53</v>
      </c>
      <c r="CK467" s="10">
        <v>342</v>
      </c>
      <c r="CL467" s="10">
        <v>21</v>
      </c>
      <c r="CM467" s="10">
        <v>208</v>
      </c>
      <c r="CN467" s="10">
        <v>0.38500000000000001</v>
      </c>
      <c r="CO467" s="10">
        <v>184</v>
      </c>
      <c r="CP467" s="10">
        <v>195</v>
      </c>
      <c r="CQ467" s="10">
        <v>158</v>
      </c>
      <c r="CR467" s="10">
        <v>5</v>
      </c>
      <c r="CS467" s="10">
        <v>9.9</v>
      </c>
      <c r="CT467" s="9" t="s">
        <v>188</v>
      </c>
      <c r="CU467" s="9" t="s">
        <v>169</v>
      </c>
      <c r="CV467" s="9" t="s">
        <v>178</v>
      </c>
      <c r="CW467" s="9" t="s">
        <v>185</v>
      </c>
      <c r="CX467" t="str">
        <f>INDEX('Data_Price '!AG$2:AG$1266,MATCH(Data!$DN467,'Data_Price '!$AT$2:$AT$1266,0))</f>
        <v>Line Women's Pandora 104 Ski</v>
      </c>
      <c r="CY467" t="str">
        <f>INDEX('Data_Price '!AH$2:AH$1266,MATCH(Data!$DN467,'Data_Price '!$AT$2:$AT$1266,0))</f>
        <v>PRFO Sports</v>
      </c>
      <c r="CZ467">
        <f>INDEX('Data_Price '!AI$2:AI$1266,MATCH(Data!$DN467,'Data_Price '!$AT$2:$AT$1266,0))</f>
        <v>416.89</v>
      </c>
      <c r="DA467" t="str">
        <f>INDEX('Data_Price '!AJ$2:AJ$1266,MATCH(Data!$DN467,'Data_Price '!$AT$2:$AT$1266,0))</f>
        <v>https://tinyurl.com/yb4q8ual</v>
      </c>
      <c r="DB467" t="str">
        <f>INDEX('Data_Price '!AK$2:AK$1266,MATCH(Data!$DN467,'Data_Price '!$AT$2:$AT$1266,0))</f>
        <v>2022 Line Pandora 104 Women's Skis (172)</v>
      </c>
      <c r="DC467" t="str">
        <f>INDEX('Data_Price '!AL$2:AL$1266,MATCH(Data!$DN467,'Data_Price '!$AT$2:$AT$1266,0))</f>
        <v>Telemark Pyrenees</v>
      </c>
      <c r="DD467">
        <f>INDEX('Data_Price '!AM$2:AM$1266,MATCH(Data!$DN467,'Data_Price '!$AT$2:$AT$1266,0))</f>
        <v>439.98</v>
      </c>
      <c r="DE467" t="str">
        <f>INDEX('Data_Price '!AN$2:AN$1266,MATCH(Data!$DN467,'Data_Price '!$AT$2:$AT$1266,0))</f>
        <v>https://tinyurl.com/y99ud3kq</v>
      </c>
      <c r="DF467" t="str">
        <f>INDEX('Data_Price '!AO$2:AO$1266,MATCH(Data!$DN467,'Data_Price '!$AT$2:$AT$1266,0))</f>
        <v>2022 Line Pandora 104 Women's Skis (172)</v>
      </c>
      <c r="DG467" t="str">
        <f>INDEX('Data_Price '!AP$2:AP$1266,MATCH(Data!$DN467,'Data_Price '!$AT$2:$AT$1266,0))</f>
        <v>Next Adventure</v>
      </c>
      <c r="DH467">
        <f>INDEX('Data_Price '!AQ$2:AQ$1266,MATCH(Data!$DN467,'Data_Price '!$AT$2:$AT$1266,0))</f>
        <v>479.96</v>
      </c>
      <c r="DI467" t="str">
        <f>INDEX('Data_Price '!AR$2:AR$1266,MATCH(Data!$DN467,'Data_Price '!$AT$2:$AT$1266,0))</f>
        <v>https://tinyurl.com/y8qkqppc</v>
      </c>
      <c r="DJ467" s="89" t="str">
        <f t="shared" si="291"/>
        <v>https://tinyurl.com/yb4q8ual</v>
      </c>
      <c r="DK467" s="89" t="str">
        <f t="shared" si="292"/>
        <v>https://tinyurl.com/y99ud3kq</v>
      </c>
      <c r="DL467" s="89" t="str">
        <f t="shared" si="293"/>
        <v>https://tinyurl.com/y8qkqppc</v>
      </c>
      <c r="DM467" s="219" t="str">
        <f t="shared" si="294"/>
        <v>Pandora 104</v>
      </c>
      <c r="DN467" s="89" t="str">
        <f t="shared" si="295"/>
        <v xml:space="preserve"> LinePandora 104172 Women's</v>
      </c>
      <c r="DO467" s="221" t="s">
        <v>615</v>
      </c>
    </row>
    <row r="468" spans="1:119" ht="15.6" customHeight="1">
      <c r="B468" s="219" t="b">
        <f t="array" ref="B468">IF(OR(ISERROR(K468:P468)),FALSE,TRUE)</f>
        <v>1</v>
      </c>
      <c r="C468" s="43" t="b">
        <f>OR(BR468=Driver!$G$50,Data!BR557=Driver!$H$50)</f>
        <v>1</v>
      </c>
      <c r="D468" s="43" t="b">
        <f>OR(BV468=Driver!$G$51,BV468=Driver!$H$51)</f>
        <v>1</v>
      </c>
      <c r="E468" s="43" t="b">
        <f>AND(BX468&gt;Driver!$F$54,BX468&lt;Driver!$G$54)</f>
        <v>0</v>
      </c>
      <c r="F468" s="43" t="b">
        <f>CL468&gt;Driver!$F$56</f>
        <v>1</v>
      </c>
      <c r="G468" s="43" t="b">
        <f>AND(CB468&gt;Driver!$F$55,CB468&lt;Driver!$G$55)</f>
        <v>0</v>
      </c>
      <c r="H468" s="43" t="b">
        <f t="shared" si="259"/>
        <v>0</v>
      </c>
      <c r="I468" s="43">
        <f t="shared" si="260"/>
        <v>0</v>
      </c>
      <c r="J468" s="43" t="b">
        <f t="array" ref="J468">NOT(OR(($H$9:$H$1273=TRUE)*($I$9:$I$1273&gt;0)*($BT$9:$BT$1273=BT468)*($K$9:$K$1273&gt;K468)))</f>
        <v>1</v>
      </c>
      <c r="K468" s="72">
        <f t="shared" si="261"/>
        <v>0.92574881923332697</v>
      </c>
      <c r="L468" s="72">
        <f t="shared" si="262"/>
        <v>0.946892507565257</v>
      </c>
      <c r="M468" s="72">
        <f t="shared" si="263"/>
        <v>0.90460513090139683</v>
      </c>
      <c r="N468" s="72">
        <f t="shared" si="264"/>
        <v>0.91747224483620671</v>
      </c>
      <c r="O468" s="72">
        <f t="shared" si="265"/>
        <v>0.80975373362127256</v>
      </c>
      <c r="P468" s="72">
        <f t="shared" si="266"/>
        <v>0.98658941424671132</v>
      </c>
      <c r="Q468" s="72"/>
      <c r="R468" s="72"/>
      <c r="S468" s="72">
        <f t="shared" si="267"/>
        <v>0.49109237072462542</v>
      </c>
      <c r="T468" s="72">
        <f t="shared" si="268"/>
        <v>0.45008057763677944</v>
      </c>
      <c r="U468" s="72">
        <f t="shared" si="269"/>
        <v>0.51</v>
      </c>
      <c r="V468" s="72">
        <f t="shared" si="270"/>
        <v>0.51161340593325066</v>
      </c>
      <c r="W468" s="72">
        <f t="shared" si="271"/>
        <v>0.7639721627408993</v>
      </c>
      <c r="X468" s="72">
        <f t="shared" si="272"/>
        <v>5.3107492434742998E-2</v>
      </c>
      <c r="Y468" s="72">
        <f t="shared" si="273"/>
        <v>9.5394869098603133E-2</v>
      </c>
      <c r="Z468" s="72">
        <f t="shared" si="274"/>
        <v>8.2527755163793251E-2</v>
      </c>
      <c r="AA468" s="72">
        <f t="shared" si="275"/>
        <v>0.19024626637872749</v>
      </c>
      <c r="AB468" s="72">
        <f t="shared" si="276"/>
        <v>1.3410585753288684E-2</v>
      </c>
      <c r="AC468" s="72"/>
      <c r="AD468" s="72"/>
      <c r="AE468" s="72">
        <f t="shared" si="277"/>
        <v>0.50890762927537458</v>
      </c>
      <c r="AF468" s="72">
        <f t="shared" si="278"/>
        <v>0.54991942236322056</v>
      </c>
      <c r="AG468" s="72">
        <f t="shared" si="279"/>
        <v>0.49</v>
      </c>
      <c r="AH468" s="72">
        <f t="shared" si="280"/>
        <v>0.48838659406674928</v>
      </c>
      <c r="AI468" s="72">
        <f t="shared" si="281"/>
        <v>0.23602783725910065</v>
      </c>
      <c r="AJ468" s="72">
        <f>(AV468-Driver!$K$179)/(Driver!$L$179-Driver!$K$179)</f>
        <v>0.20111191684795743</v>
      </c>
      <c r="AK468" s="72">
        <f>(AW468-Driver!$K$180)/(Driver!$L$180-Driver!$K$180)</f>
        <v>0.23648947543126037</v>
      </c>
      <c r="AL468" s="72">
        <f>(AX468-Driver!$K$181)/(Driver!$L$181-Driver!$K$181)</f>
        <v>0.18421551887687343</v>
      </c>
      <c r="AM468" s="72">
        <f>(AY468-Driver!$K$182)/(Driver!$L$182-Driver!$K$182)</f>
        <v>0.25713875471831887</v>
      </c>
      <c r="AN468" s="72">
        <f>(AZ468-Driver!$K$183)/(Driver!$L$183-Driver!$K$183)</f>
        <v>0.24080882352941174</v>
      </c>
      <c r="AO468" s="72"/>
      <c r="AP468" s="72"/>
      <c r="AQ468" s="72">
        <f>(BC468-Driver!$K$188)/(Driver!$L$188-Driver!$K$188)</f>
        <v>0.11109237072462541</v>
      </c>
      <c r="AR468" s="72">
        <f>MIN((BD468-Driver!$K$189)/(Driver!$L$189-Driver!$K$189),100%)</f>
        <v>8.0577636779540418E-5</v>
      </c>
      <c r="AS468" s="72">
        <f>(BE468-Driver!$K$190)/(Driver!$L$190-Driver!$K$190)</f>
        <v>1</v>
      </c>
      <c r="AT468" s="72">
        <f>(BF468-Driver!$K$191)/(Driver!$L$191-Driver!$K$191)</f>
        <v>2.1613405933250722E-2</v>
      </c>
      <c r="AU468" s="72">
        <f>(BG468-Driver!$K$192)/(Driver!$L$192-Driver!$K$192)</f>
        <v>1.3972162740899361E-2</v>
      </c>
      <c r="AV468" s="70">
        <f t="shared" si="282"/>
        <v>4.2328042328042326</v>
      </c>
      <c r="AW468" s="70">
        <f t="shared" si="283"/>
        <v>24.919887512159725</v>
      </c>
      <c r="AX468" s="70">
        <f t="shared" si="284"/>
        <v>2.6579396698918609</v>
      </c>
      <c r="AY468" s="70">
        <f>IFERROR(Driver!$K$19/Data!BH468/Data!BI468*Data!BK468*Data!BL468,"")</f>
        <v>0.31481455857464263</v>
      </c>
      <c r="AZ468" s="70">
        <f t="shared" si="285"/>
        <v>21.947133283693223</v>
      </c>
      <c r="BA468" s="70"/>
      <c r="BB468" s="70"/>
      <c r="BC468" s="70">
        <f t="shared" si="286"/>
        <v>57.624384996494982</v>
      </c>
      <c r="BD468" s="70">
        <f t="shared" si="287"/>
        <v>1.7279538621775923</v>
      </c>
      <c r="BE468" s="70">
        <f t="shared" si="288"/>
        <v>1</v>
      </c>
      <c r="BF468" s="70">
        <f t="shared" si="289"/>
        <v>2.441082357390286</v>
      </c>
      <c r="BG468" s="70">
        <f t="shared" si="290"/>
        <v>5.2907521413276246E-2</v>
      </c>
      <c r="BH468" s="67">
        <f>MAX((CE468-Driver!$F$200)/(Driver!$G$200-Driver!$F$200)*$BI$1,1)</f>
        <v>2.6579396698918609</v>
      </c>
      <c r="BI468" s="67">
        <f>MAX($BI$1*(BY468-Driver!$F$201)/(Driver!$G$201-Driver!$F$201),1)</f>
        <v>8.2911392405063289</v>
      </c>
      <c r="BJ468" s="67">
        <f>(CB468-Driver!$F$206)/(Driver!$G$206-Driver!$F$206)*$BI$1</f>
        <v>5.0793650793650791</v>
      </c>
      <c r="BK468" s="67">
        <f>(CD468-Driver!$F$203)/(Driver!$G$203-Driver!$F$203)*$BI$1</f>
        <v>5.9174311926605512</v>
      </c>
      <c r="BL468" s="67">
        <f>MAX((CR468-Driver!$F$202)/(Driver!$G$202-Driver!$F$202)*$BI$1,1)</f>
        <v>5.8620689655172411</v>
      </c>
      <c r="BM468" s="67">
        <f>MAX((CH468-Driver!$F$204)/(Driver!$G$204-Driver!$F$204)*$BI$1,1)</f>
        <v>3.333333333333333</v>
      </c>
      <c r="BN468" s="67">
        <f>(CI468-Driver!$F$205)/(Driver!$G$205-Driver!$F$205)*$BI$1</f>
        <v>2.6470588235294117</v>
      </c>
      <c r="BO468" s="67">
        <f>(CK468-Driver!$F$207)/(Driver!$G$207-Driver!$F$207)*$BI$1</f>
        <v>2.047569803516029</v>
      </c>
      <c r="BP468" s="67">
        <f>(CM468-Driver!$F$208)/(Driver!$G$208-Driver!$F$208)*$BI$1</f>
        <v>1.3888888888888888</v>
      </c>
      <c r="BQ468" s="67">
        <f>(CL468-Driver!$F$209)/(Driver!$G$209-Driver!$F$209)*$BI$1</f>
        <v>0.46875</v>
      </c>
      <c r="BR468" s="28" t="s">
        <v>155</v>
      </c>
      <c r="BS468" s="8" t="s">
        <v>245</v>
      </c>
      <c r="BT468" s="9" t="s">
        <v>616</v>
      </c>
      <c r="BU468" s="10">
        <v>183</v>
      </c>
      <c r="BV468" s="9" t="s">
        <v>158</v>
      </c>
      <c r="BW468" s="10">
        <v>183</v>
      </c>
      <c r="BX468" s="10">
        <v>181.9</v>
      </c>
      <c r="BY468" s="10">
        <v>139</v>
      </c>
      <c r="BZ468" s="10">
        <v>156</v>
      </c>
      <c r="CA468" s="10">
        <v>127</v>
      </c>
      <c r="CB468" s="10">
        <v>96</v>
      </c>
      <c r="CC468" s="10">
        <v>114</v>
      </c>
      <c r="CD468" s="10">
        <v>22.3</v>
      </c>
      <c r="CE468" s="10">
        <v>1367</v>
      </c>
      <c r="CF468" s="10">
        <v>1.4</v>
      </c>
      <c r="CG468" s="10">
        <v>1919</v>
      </c>
      <c r="CH468" s="10">
        <v>179</v>
      </c>
      <c r="CI468" s="10">
        <v>78</v>
      </c>
      <c r="CJ468" s="10">
        <v>60</v>
      </c>
      <c r="CK468" s="10">
        <v>308</v>
      </c>
      <c r="CL468" s="10">
        <v>3</v>
      </c>
      <c r="CM468" s="10">
        <v>125</v>
      </c>
      <c r="CN468" s="10">
        <v>5.8000000000000003E-2</v>
      </c>
      <c r="CO468" s="10">
        <v>172</v>
      </c>
      <c r="CP468" s="10">
        <v>91</v>
      </c>
      <c r="CQ468" s="10">
        <v>136</v>
      </c>
      <c r="CR468" s="10">
        <v>6</v>
      </c>
      <c r="CS468" s="10">
        <v>9.6</v>
      </c>
      <c r="CT468" s="9" t="s">
        <v>185</v>
      </c>
      <c r="CU468" s="9" t="s">
        <v>198</v>
      </c>
      <c r="CV468" s="10"/>
      <c r="CW468" s="10"/>
      <c r="CX468" t="str">
        <f>INDEX('Data_Price '!AG$2:AG$1266,MATCH(Data!$DN468,'Data_Price '!$AT$2:$AT$1266,0))</f>
        <v>Fischer Hannibal 96 Kit 183</v>
      </c>
      <c r="CY468" t="str">
        <f>INDEX('Data_Price '!AH$2:AH$1266,MATCH(Data!$DN468,'Data_Price '!$AT$2:$AT$1266,0))</f>
        <v>Ski The Whites</v>
      </c>
      <c r="CZ468">
        <f>INDEX('Data_Price '!AI$2:AI$1266,MATCH(Data!$DN468,'Data_Price '!$AT$2:$AT$1266,0))</f>
        <v>1250</v>
      </c>
      <c r="DA468" t="str">
        <f>INDEX('Data_Price '!AJ$2:AJ$1266,MATCH(Data!$DN468,'Data_Price '!$AT$2:$AT$1266,0))</f>
        <v>https://tinyurl.com/ya8sbg7u</v>
      </c>
      <c r="DB468" t="str">
        <f>INDEX('Data_Price '!AK$2:AK$1266,MATCH(Data!$DN468,'Data_Price '!$AT$2:$AT$1266,0))</f>
        <v>Fischer Hannibal 96 Carbon Skis - 2022 - 183cm</v>
      </c>
      <c r="DC468" t="str">
        <f>INDEX('Data_Price '!AL$2:AL$1266,MATCH(Data!$DN468,'Data_Price '!$AT$2:$AT$1266,0))</f>
        <v>ColoradoSkiShop.com</v>
      </c>
      <c r="DD468">
        <f>INDEX('Data_Price '!AM$2:AM$1266,MATCH(Data!$DN468,'Data_Price '!$AT$2:$AT$1266,0))</f>
        <v>509.99</v>
      </c>
      <c r="DE468" t="str">
        <f>INDEX('Data_Price '!AN$2:AN$1266,MATCH(Data!$DN468,'Data_Price '!$AT$2:$AT$1266,0))</f>
        <v>https://tinyurl.com/yap4ur3b</v>
      </c>
      <c r="DF468" t="str">
        <f>INDEX('Data_Price '!AO$2:AO$1266,MATCH(Data!$DN468,'Data_Price '!$AT$2:$AT$1266,0))</f>
        <v>Fischer Hannibal 96 Carbon Skis Â· 183 cm</v>
      </c>
      <c r="DG468" t="str">
        <f>INDEX('Data_Price '!AP$2:AP$1266,MATCH(Data!$DN468,'Data_Price '!$AT$2:$AT$1266,0))</f>
        <v>Powder7 Ski Shop</v>
      </c>
      <c r="DH468">
        <f>INDEX('Data_Price '!AQ$2:AQ$1266,MATCH(Data!$DN468,'Data_Price '!$AT$2:$AT$1266,0))</f>
        <v>549.99</v>
      </c>
      <c r="DI468" t="str">
        <f>INDEX('Data_Price '!AR$2:AR$1266,MATCH(Data!$DN468,'Data_Price '!$AT$2:$AT$1266,0))</f>
        <v>https://tinyurl.com/y7yovuju</v>
      </c>
      <c r="DJ468" s="89" t="str">
        <f t="shared" si="291"/>
        <v>https://tinyurl.com/ya8sbg7u</v>
      </c>
      <c r="DK468" s="89" t="str">
        <f t="shared" si="292"/>
        <v>https://tinyurl.com/yap4ur3b</v>
      </c>
      <c r="DL468" s="89" t="str">
        <f t="shared" si="293"/>
        <v>https://tinyurl.com/y7yovuju</v>
      </c>
      <c r="DM468" s="219" t="str">
        <f t="shared" si="294"/>
        <v>Hannibal 96</v>
      </c>
      <c r="DN468" s="89" t="str">
        <f t="shared" si="295"/>
        <v xml:space="preserve"> FischerHannibal 96183 Unisex</v>
      </c>
      <c r="DO468" s="221" t="s">
        <v>617</v>
      </c>
    </row>
    <row r="469" spans="1:119" ht="15.6" customHeight="1">
      <c r="B469" s="219" t="b">
        <f t="array" ref="B469">IF(OR(ISERROR(K469:P469)),FALSE,TRUE)</f>
        <v>1</v>
      </c>
      <c r="C469" s="43" t="b">
        <f>OR(BR469=Driver!$G$50,Data!BR1230=Driver!$H$50)</f>
        <v>1</v>
      </c>
      <c r="D469" s="43" t="b">
        <f>OR(BV469=Driver!$G$51,BV469=Driver!$H$51)</f>
        <v>1</v>
      </c>
      <c r="E469" s="43" t="b">
        <f>AND(BX469&gt;Driver!$F$54,BX469&lt;Driver!$G$54)</f>
        <v>0</v>
      </c>
      <c r="F469" s="43" t="b">
        <f>CL469&gt;Driver!$F$56</f>
        <v>1</v>
      </c>
      <c r="G469" s="43" t="b">
        <f>AND(CB469&gt;Driver!$F$55,CB469&lt;Driver!$G$55)</f>
        <v>0</v>
      </c>
      <c r="H469" s="43" t="b">
        <f t="shared" si="259"/>
        <v>0</v>
      </c>
      <c r="I469" s="43">
        <f t="shared" si="260"/>
        <v>0</v>
      </c>
      <c r="J469" s="43" t="b">
        <f t="array" ref="J469">NOT(OR(($H$9:$H$1273=TRUE)*($I$9:$I$1273&gt;0)*($BT$9:$BT$1273=BT469)*($K$9:$K$1273&gt;K469)))</f>
        <v>1</v>
      </c>
      <c r="K469" s="72">
        <f t="shared" si="261"/>
        <v>0.8414875249683107</v>
      </c>
      <c r="L469" s="72">
        <f t="shared" si="262"/>
        <v>0.98959656042159416</v>
      </c>
      <c r="M469" s="72">
        <f t="shared" si="263"/>
        <v>0.69337848951502723</v>
      </c>
      <c r="N469" s="72">
        <f t="shared" si="264"/>
        <v>0.73660839863371508</v>
      </c>
      <c r="O469" s="72">
        <f t="shared" si="265"/>
        <v>0.67239589592278382</v>
      </c>
      <c r="P469" s="72">
        <f t="shared" si="266"/>
        <v>0.6711311739885828</v>
      </c>
      <c r="Q469" s="72"/>
      <c r="R469" s="72"/>
      <c r="S469" s="72">
        <f t="shared" si="267"/>
        <v>0.6187118317816388</v>
      </c>
      <c r="T469" s="72">
        <f t="shared" si="268"/>
        <v>0.45881997659623153</v>
      </c>
      <c r="U469" s="72">
        <f t="shared" si="269"/>
        <v>0.64408959298209667</v>
      </c>
      <c r="V469" s="72">
        <f t="shared" si="270"/>
        <v>0.52882091851196444</v>
      </c>
      <c r="W469" s="72">
        <f t="shared" si="271"/>
        <v>0.79303460316039209</v>
      </c>
      <c r="X469" s="72">
        <f t="shared" si="272"/>
        <v>1.0403439578405893E-2</v>
      </c>
      <c r="Y469" s="72">
        <f t="shared" si="273"/>
        <v>0.30662151048497277</v>
      </c>
      <c r="Z469" s="72">
        <f t="shared" si="274"/>
        <v>0.26339160136628487</v>
      </c>
      <c r="AA469" s="72">
        <f t="shared" si="275"/>
        <v>0.32760410407721618</v>
      </c>
      <c r="AB469" s="72">
        <f t="shared" si="276"/>
        <v>0.32886882601141726</v>
      </c>
      <c r="AC469" s="72"/>
      <c r="AD469" s="72"/>
      <c r="AE469" s="72">
        <f t="shared" si="277"/>
        <v>0.3812881682183612</v>
      </c>
      <c r="AF469" s="72">
        <f t="shared" si="278"/>
        <v>0.54118002340376847</v>
      </c>
      <c r="AG469" s="72">
        <f t="shared" si="279"/>
        <v>0.35591040701790327</v>
      </c>
      <c r="AH469" s="72">
        <f t="shared" si="280"/>
        <v>0.47117908148803556</v>
      </c>
      <c r="AI469" s="72">
        <f t="shared" si="281"/>
        <v>0.20696539683960785</v>
      </c>
      <c r="AJ469" s="72">
        <f>(AV469-Driver!$K$179)/(Driver!$L$179-Driver!$K$179)</f>
        <v>0.24381596970429453</v>
      </c>
      <c r="AK469" s="72">
        <f>(AW469-Driver!$K$180)/(Driver!$L$180-Driver!$K$180)</f>
        <v>0.57155078197659237</v>
      </c>
      <c r="AL469" s="72">
        <f>(AX469-Driver!$K$181)/(Driver!$L$181-Driver!$K$181)</f>
        <v>0.36507936507936506</v>
      </c>
      <c r="AM469" s="72">
        <f>(AY469-Driver!$K$182)/(Driver!$L$182-Driver!$K$182)</f>
        <v>0.11978091701983018</v>
      </c>
      <c r="AN469" s="72">
        <f>(AZ469-Driver!$K$183)/(Driver!$L$183-Driver!$K$183)</f>
        <v>0.58308823529411768</v>
      </c>
      <c r="AO469" s="72"/>
      <c r="AP469" s="72"/>
      <c r="AQ469" s="72">
        <f>(BC469-Driver!$K$188)/(Driver!$L$188-Driver!$K$188)</f>
        <v>0.23871183178163877</v>
      </c>
      <c r="AR469" s="72">
        <f>MIN((BD469-Driver!$K$189)/(Driver!$L$189-Driver!$K$189),100%)</f>
        <v>8.8199765962315886E-3</v>
      </c>
      <c r="AS469" s="72">
        <f>(BE469-Driver!$K$190)/(Driver!$L$190-Driver!$K$190)</f>
        <v>0.15408959298209673</v>
      </c>
      <c r="AT469" s="72">
        <f>(BF469-Driver!$K$191)/(Driver!$L$191-Driver!$K$191)</f>
        <v>3.8820918511964474E-2</v>
      </c>
      <c r="AU469" s="72">
        <f>(BG469-Driver!$K$192)/(Driver!$L$192-Driver!$K$192)</f>
        <v>4.3034603160392135E-2</v>
      </c>
      <c r="AV469" s="70">
        <f t="shared" si="282"/>
        <v>5.1315967982634643</v>
      </c>
      <c r="AW469" s="70">
        <f t="shared" si="283"/>
        <v>57.5745807802044</v>
      </c>
      <c r="AX469" s="70">
        <f t="shared" si="284"/>
        <v>4.2857142857142856</v>
      </c>
      <c r="AY469" s="70">
        <f>IFERROR(Driver!$K$19/Data!BH469/Data!BI469*Data!BK469*Data!BL469,"")</f>
        <v>0.14664758160850391</v>
      </c>
      <c r="AZ469" s="70">
        <f t="shared" si="285"/>
        <v>53.14221891288161</v>
      </c>
      <c r="BA469" s="70"/>
      <c r="BB469" s="70"/>
      <c r="BC469" s="70">
        <f t="shared" si="286"/>
        <v>123.82148664286758</v>
      </c>
      <c r="BD469" s="70">
        <f t="shared" si="287"/>
        <v>2.5013751847904557</v>
      </c>
      <c r="BE469" s="70">
        <f t="shared" si="288"/>
        <v>0.15424049387758154</v>
      </c>
      <c r="BF469" s="70">
        <f t="shared" si="289"/>
        <v>4.3845500135382638</v>
      </c>
      <c r="BG469" s="70">
        <f t="shared" si="290"/>
        <v>0.16295646067415731</v>
      </c>
      <c r="BH469" s="67">
        <f>MAX((CE469-Driver!$F$200)/(Driver!$G$200-Driver!$F$200)*$BI$1,1)</f>
        <v>4.2857142857142856</v>
      </c>
      <c r="BI469" s="67">
        <f>MAX($BI$1*(BY469-Driver!$F$201)/(Driver!$G$201-Driver!$F$201),1)</f>
        <v>7.7215189873417724</v>
      </c>
      <c r="BJ469" s="67">
        <f>(CB469-Driver!$F$206)/(Driver!$G$206-Driver!$F$206)*$BI$1</f>
        <v>5.3968253968253963</v>
      </c>
      <c r="BK469" s="67">
        <f>(CD469-Driver!$F$203)/(Driver!$G$203-Driver!$F$203)*$BI$1</f>
        <v>5.4128440366972477</v>
      </c>
      <c r="BL469" s="67">
        <f>MAX((CR469-Driver!$F$202)/(Driver!$G$202-Driver!$F$202)*$BI$1,1)</f>
        <v>4.4827586206896548</v>
      </c>
      <c r="BM469" s="67">
        <f>MAX((CH469-Driver!$F$204)/(Driver!$G$204-Driver!$F$204)*$BI$1,1)</f>
        <v>3.8034188034188032</v>
      </c>
      <c r="BN469" s="67">
        <f>(CI469-Driver!$F$205)/(Driver!$G$205-Driver!$F$205)*$BI$1</f>
        <v>6.882352941176471</v>
      </c>
      <c r="BO469" s="67">
        <f>(CK469-Driver!$F$207)/(Driver!$G$207-Driver!$F$207)*$BI$1</f>
        <v>1.9027921406411583</v>
      </c>
      <c r="BP469" s="67">
        <f>(CM469-Driver!$F$208)/(Driver!$G$208-Driver!$F$208)*$BI$1</f>
        <v>2.3111111111111109</v>
      </c>
      <c r="BQ469" s="67">
        <f>(CL469-Driver!$F$209)/(Driver!$G$209-Driver!$F$209)*$BI$1</f>
        <v>2.65625</v>
      </c>
      <c r="BR469" s="28" t="s">
        <v>155</v>
      </c>
      <c r="BS469" s="8" t="s">
        <v>229</v>
      </c>
      <c r="BT469" s="9" t="s">
        <v>534</v>
      </c>
      <c r="BU469" s="10">
        <v>178</v>
      </c>
      <c r="BV469" s="9" t="s">
        <v>158</v>
      </c>
      <c r="BW469" s="10">
        <v>178</v>
      </c>
      <c r="BX469" s="10">
        <v>179.8</v>
      </c>
      <c r="BY469" s="10">
        <v>130</v>
      </c>
      <c r="BZ469" s="10">
        <v>151</v>
      </c>
      <c r="CA469" s="10">
        <v>134</v>
      </c>
      <c r="CB469" s="10">
        <v>98</v>
      </c>
      <c r="CC469" s="10">
        <v>116</v>
      </c>
      <c r="CD469" s="10">
        <v>21.2</v>
      </c>
      <c r="CE469" s="10">
        <v>1653</v>
      </c>
      <c r="CF469" s="10">
        <v>1.18</v>
      </c>
      <c r="CG469" s="10">
        <v>1955</v>
      </c>
      <c r="CH469" s="10">
        <v>190</v>
      </c>
      <c r="CI469" s="10">
        <v>150</v>
      </c>
      <c r="CJ469" s="10">
        <v>49</v>
      </c>
      <c r="CK469" s="10">
        <v>294</v>
      </c>
      <c r="CL469" s="10">
        <v>17</v>
      </c>
      <c r="CM469" s="10">
        <v>208</v>
      </c>
      <c r="CN469" s="10">
        <v>0.35399999999999998</v>
      </c>
      <c r="CO469" s="10">
        <v>155</v>
      </c>
      <c r="CP469" s="10">
        <v>129</v>
      </c>
      <c r="CQ469" s="10">
        <v>139</v>
      </c>
      <c r="CR469" s="10">
        <v>2</v>
      </c>
      <c r="CS469" s="10">
        <v>10.5</v>
      </c>
      <c r="CT469" s="9" t="s">
        <v>188</v>
      </c>
      <c r="CU469" s="9" t="s">
        <v>185</v>
      </c>
      <c r="CV469" s="10"/>
      <c r="CW469" s="10"/>
      <c r="CX469" t="e">
        <f>INDEX('Data_Price '!AG$2:AG$1266,MATCH(Data!$DN469,'Data_Price '!$AT$2:$AT$1266,0))</f>
        <v>#N/A</v>
      </c>
      <c r="CY469" t="e">
        <f>INDEX('Data_Price '!AH$2:AH$1266,MATCH(Data!$DN469,'Data_Price '!$AT$2:$AT$1266,0))</f>
        <v>#N/A</v>
      </c>
      <c r="CZ469" t="e">
        <f>INDEX('Data_Price '!AI$2:AI$1266,MATCH(Data!$DN469,'Data_Price '!$AT$2:$AT$1266,0))</f>
        <v>#N/A</v>
      </c>
      <c r="DA469" t="e">
        <f>INDEX('Data_Price '!AJ$2:AJ$1266,MATCH(Data!$DN469,'Data_Price '!$AT$2:$AT$1266,0))</f>
        <v>#N/A</v>
      </c>
      <c r="DB469" t="e">
        <f>INDEX('Data_Price '!AK$2:AK$1266,MATCH(Data!$DN469,'Data_Price '!$AT$2:$AT$1266,0))</f>
        <v>#N/A</v>
      </c>
      <c r="DC469" t="e">
        <f>INDEX('Data_Price '!AL$2:AL$1266,MATCH(Data!$DN469,'Data_Price '!$AT$2:$AT$1266,0))</f>
        <v>#N/A</v>
      </c>
      <c r="DD469" t="e">
        <f>INDEX('Data_Price '!AM$2:AM$1266,MATCH(Data!$DN469,'Data_Price '!$AT$2:$AT$1266,0))</f>
        <v>#N/A</v>
      </c>
      <c r="DE469" t="e">
        <f>INDEX('Data_Price '!AN$2:AN$1266,MATCH(Data!$DN469,'Data_Price '!$AT$2:$AT$1266,0))</f>
        <v>#N/A</v>
      </c>
      <c r="DF469" t="e">
        <f>INDEX('Data_Price '!AO$2:AO$1266,MATCH(Data!$DN469,'Data_Price '!$AT$2:$AT$1266,0))</f>
        <v>#N/A</v>
      </c>
      <c r="DG469" t="e">
        <f>INDEX('Data_Price '!AP$2:AP$1266,MATCH(Data!$DN469,'Data_Price '!$AT$2:$AT$1266,0))</f>
        <v>#N/A</v>
      </c>
      <c r="DH469" t="e">
        <f>INDEX('Data_Price '!AQ$2:AQ$1266,MATCH(Data!$DN469,'Data_Price '!$AT$2:$AT$1266,0))</f>
        <v>#N/A</v>
      </c>
      <c r="DI469" t="e">
        <f>INDEX('Data_Price '!AR$2:AR$1266,MATCH(Data!$DN469,'Data_Price '!$AT$2:$AT$1266,0))</f>
        <v>#N/A</v>
      </c>
      <c r="DJ469" s="89" t="e">
        <f t="shared" si="291"/>
        <v>#N/A</v>
      </c>
      <c r="DK469" s="89" t="e">
        <f t="shared" si="292"/>
        <v>#N/A</v>
      </c>
      <c r="DL469" s="89" t="e">
        <f t="shared" si="293"/>
        <v>#N/A</v>
      </c>
      <c r="DM469" s="219" t="str">
        <f t="shared" si="294"/>
        <v>Mantra V.Werks</v>
      </c>
      <c r="DN469" s="89" t="str">
        <f t="shared" si="295"/>
        <v xml:space="preserve"> VölklMantra V.Werks178 Unisex</v>
      </c>
      <c r="DO469" s="221"/>
    </row>
    <row r="470" spans="1:119" ht="15.6" customHeight="1">
      <c r="B470" s="219" t="b">
        <f t="array" ref="B470">IF(OR(ISERROR(K470:P470)),FALSE,TRUE)</f>
        <v>1</v>
      </c>
      <c r="C470" s="43" t="b">
        <f>OR(BR470=Driver!$G$50,Data!BR256=Driver!$H$50)</f>
        <v>1</v>
      </c>
      <c r="D470" s="43" t="b">
        <f>OR(BV470=Driver!$G$51,BV470=Driver!$H$51)</f>
        <v>0</v>
      </c>
      <c r="E470" s="43" t="b">
        <f>AND(BX470&gt;Driver!$F$54,BX470&lt;Driver!$G$54)</f>
        <v>1</v>
      </c>
      <c r="F470" s="43" t="b">
        <f>CL470&gt;Driver!$F$56</f>
        <v>1</v>
      </c>
      <c r="G470" s="43" t="b">
        <f>AND(CB470&gt;Driver!$F$55,CB470&lt;Driver!$G$55)</f>
        <v>0</v>
      </c>
      <c r="H470" s="43" t="b">
        <f t="shared" si="259"/>
        <v>0</v>
      </c>
      <c r="I470" s="43">
        <f t="shared" si="260"/>
        <v>0</v>
      </c>
      <c r="J470" s="43" t="b">
        <f t="array" ref="J470">NOT(OR(($H$9:$H$1273=TRUE)*($I$9:$I$1273&gt;0)*($BT$9:$BT$1273=BT470)*($K$9:$K$1273&gt;K470)))</f>
        <v>1</v>
      </c>
      <c r="K470" s="72">
        <f t="shared" si="261"/>
        <v>0.82024006113163517</v>
      </c>
      <c r="L470" s="72">
        <f t="shared" si="262"/>
        <v>0.86180669659112119</v>
      </c>
      <c r="M470" s="72">
        <f t="shared" si="263"/>
        <v>0.77867342567214903</v>
      </c>
      <c r="N470" s="72">
        <f t="shared" si="264"/>
        <v>0.72016623079712494</v>
      </c>
      <c r="O470" s="72">
        <f t="shared" si="265"/>
        <v>0.62293293262620553</v>
      </c>
      <c r="P470" s="72">
        <f t="shared" si="266"/>
        <v>0.99292111359311663</v>
      </c>
      <c r="Q470" s="72"/>
      <c r="R470" s="72"/>
      <c r="S470" s="72">
        <f t="shared" si="267"/>
        <v>0.45070596870389268</v>
      </c>
      <c r="T470" s="72">
        <f t="shared" si="268"/>
        <v>0.53570511451072278</v>
      </c>
      <c r="U470" s="72">
        <f t="shared" si="269"/>
        <v>0.85431114325054047</v>
      </c>
      <c r="V470" s="72">
        <f t="shared" si="270"/>
        <v>0.52168328824306065</v>
      </c>
      <c r="W470" s="72">
        <f t="shared" si="271"/>
        <v>0.77177792041078308</v>
      </c>
      <c r="X470" s="72">
        <f t="shared" si="272"/>
        <v>0.13819330340887884</v>
      </c>
      <c r="Y470" s="72">
        <f t="shared" si="273"/>
        <v>0.22132657432785097</v>
      </c>
      <c r="Z470" s="72">
        <f t="shared" si="274"/>
        <v>0.27983376920287506</v>
      </c>
      <c r="AA470" s="72">
        <f t="shared" si="275"/>
        <v>0.37706706737379447</v>
      </c>
      <c r="AB470" s="72">
        <f t="shared" si="276"/>
        <v>7.0788864068834223E-3</v>
      </c>
      <c r="AC470" s="72"/>
      <c r="AD470" s="72"/>
      <c r="AE470" s="72">
        <f t="shared" si="277"/>
        <v>0.54929403129610732</v>
      </c>
      <c r="AF470" s="72">
        <f t="shared" si="278"/>
        <v>0.46429488548927716</v>
      </c>
      <c r="AG470" s="72">
        <f t="shared" si="279"/>
        <v>0.14568885674945953</v>
      </c>
      <c r="AH470" s="72">
        <f t="shared" si="280"/>
        <v>0.47831671175693929</v>
      </c>
      <c r="AI470" s="72">
        <f t="shared" si="281"/>
        <v>0.22822207958921695</v>
      </c>
      <c r="AJ470" s="72">
        <f>(AV470-Driver!$K$179)/(Driver!$L$179-Driver!$K$179)</f>
        <v>0.11602610587382159</v>
      </c>
      <c r="AK470" s="72">
        <f>(AW470-Driver!$K$180)/(Driver!$L$180-Driver!$K$180)</f>
        <v>0.25828427144966859</v>
      </c>
      <c r="AL470" s="72">
        <f>(AX470-Driver!$K$181)/(Driver!$L$181-Driver!$K$181)</f>
        <v>0.38152153291595525</v>
      </c>
      <c r="AM470" s="72">
        <f>(AY470-Driver!$K$182)/(Driver!$L$182-Driver!$K$182)</f>
        <v>7.0317953723251878E-2</v>
      </c>
      <c r="AN470" s="72">
        <f>(AZ470-Driver!$K$183)/(Driver!$L$183-Driver!$K$183)</f>
        <v>0.247140522875817</v>
      </c>
      <c r="AO470" s="72"/>
      <c r="AP470" s="72"/>
      <c r="AQ470" s="72">
        <f>(BC470-Driver!$K$188)/(Driver!$L$188-Driver!$K$188)</f>
        <v>7.0705968703892674E-2</v>
      </c>
      <c r="AR470" s="72">
        <f>MIN((BD470-Driver!$K$189)/(Driver!$L$189-Driver!$K$189),100%)</f>
        <v>8.570511451072288E-2</v>
      </c>
      <c r="AS470" s="72">
        <f>(BE470-Driver!$K$190)/(Driver!$L$190-Driver!$K$190)</f>
        <v>0.36431114325054048</v>
      </c>
      <c r="AT470" s="72">
        <f>(BF470-Driver!$K$191)/(Driver!$L$191-Driver!$K$191)</f>
        <v>3.1683288243060714E-2</v>
      </c>
      <c r="AU470" s="72">
        <f>(BG470-Driver!$K$192)/(Driver!$L$192-Driver!$K$192)</f>
        <v>2.1777920410783049E-2</v>
      </c>
      <c r="AV470" s="70">
        <f t="shared" si="282"/>
        <v>2.4420024420024418</v>
      </c>
      <c r="AW470" s="70">
        <f t="shared" si="283"/>
        <v>27.043983505692275</v>
      </c>
      <c r="AX470" s="70">
        <f t="shared" si="284"/>
        <v>4.4336937962435972</v>
      </c>
      <c r="AY470" s="70">
        <f>IFERROR(Driver!$K$19/Data!BH470/Data!BI470*Data!BK470*Data!BL470,"")</f>
        <v>8.6090156209660651E-2</v>
      </c>
      <c r="AZ470" s="70">
        <f t="shared" si="285"/>
        <v>22.524199553239018</v>
      </c>
      <c r="BA470" s="70"/>
      <c r="BB470" s="70"/>
      <c r="BC470" s="70">
        <f t="shared" si="286"/>
        <v>36.675677506629022</v>
      </c>
      <c r="BD470" s="70">
        <f t="shared" si="287"/>
        <v>9.3055736578198456</v>
      </c>
      <c r="BE470" s="70">
        <f t="shared" si="288"/>
        <v>0.36442454298760174</v>
      </c>
      <c r="BF470" s="70">
        <f t="shared" si="289"/>
        <v>3.5784048193562144</v>
      </c>
      <c r="BG470" s="70">
        <f t="shared" si="290"/>
        <v>8.2465099486521171E-2</v>
      </c>
      <c r="BH470" s="67">
        <f>MAX((CE470-Driver!$F$200)/(Driver!$G$200-Driver!$F$200)*$BI$1,1)</f>
        <v>4.4336937962435972</v>
      </c>
      <c r="BI470" s="67">
        <f>MAX($BI$1*(BY470-Driver!$F$201)/(Driver!$G$201-Driver!$F$201),1)</f>
        <v>6.962025316455696</v>
      </c>
      <c r="BJ470" s="67">
        <f>(CB470-Driver!$F$206)/(Driver!$G$206-Driver!$F$206)*$BI$1</f>
        <v>2.8571428571428568</v>
      </c>
      <c r="BK470" s="67">
        <f>(CD470-Driver!$F$203)/(Driver!$G$203-Driver!$F$203)*$BI$1</f>
        <v>2.7522935779816518</v>
      </c>
      <c r="BL470" s="67">
        <f>MAX((CR470-Driver!$F$202)/(Driver!$G$202-Driver!$F$202)*$BI$1,1)</f>
        <v>4.8275862068965516</v>
      </c>
      <c r="BM470" s="67">
        <f>MAX((CH470-Driver!$F$204)/(Driver!$G$204-Driver!$F$204)*$BI$1,1)</f>
        <v>3.4188034188034191</v>
      </c>
      <c r="BN470" s="67">
        <f>(CI470-Driver!$F$205)/(Driver!$G$205-Driver!$F$205)*$BI$1</f>
        <v>3.2352941176470589</v>
      </c>
      <c r="BO470" s="67">
        <f>(CK470-Driver!$F$207)/(Driver!$G$207-Driver!$F$207)*$BI$1</f>
        <v>2.0682523267838677</v>
      </c>
      <c r="BP470" s="67">
        <f>(CM470-Driver!$F$208)/(Driver!$G$208-Driver!$F$208)*$BI$1</f>
        <v>1.6666666666666665</v>
      </c>
      <c r="BQ470" s="67">
        <f>(CL470-Driver!$F$209)/(Driver!$G$209-Driver!$F$209)*$BI$1</f>
        <v>1.25</v>
      </c>
      <c r="BR470" s="28" t="s">
        <v>155</v>
      </c>
      <c r="BS470" s="8" t="s">
        <v>317</v>
      </c>
      <c r="BT470" s="9" t="s">
        <v>618</v>
      </c>
      <c r="BU470" s="10">
        <v>166</v>
      </c>
      <c r="BV470" s="9" t="s">
        <v>163</v>
      </c>
      <c r="BW470" s="10">
        <v>166</v>
      </c>
      <c r="BX470" s="10">
        <v>163.69999999999999</v>
      </c>
      <c r="BY470" s="10">
        <v>118</v>
      </c>
      <c r="BZ470" s="10">
        <v>142</v>
      </c>
      <c r="CA470" s="10">
        <v>121</v>
      </c>
      <c r="CB470" s="10">
        <v>82</v>
      </c>
      <c r="CC470" s="10">
        <v>104</v>
      </c>
      <c r="CD470" s="10">
        <v>15.4</v>
      </c>
      <c r="CE470" s="10">
        <v>1679</v>
      </c>
      <c r="CF470" s="10">
        <v>0.92</v>
      </c>
      <c r="CG470" s="10">
        <v>1539</v>
      </c>
      <c r="CH470" s="10">
        <v>181</v>
      </c>
      <c r="CI470" s="10">
        <v>88</v>
      </c>
      <c r="CJ470" s="10">
        <v>62</v>
      </c>
      <c r="CK470" s="10">
        <v>310</v>
      </c>
      <c r="CL470" s="10">
        <v>8</v>
      </c>
      <c r="CM470" s="10">
        <v>150</v>
      </c>
      <c r="CN470" s="10">
        <v>0.13600000000000001</v>
      </c>
      <c r="CO470" s="10">
        <v>122</v>
      </c>
      <c r="CP470" s="10">
        <v>94</v>
      </c>
      <c r="CQ470" s="10">
        <v>189</v>
      </c>
      <c r="CR470" s="10">
        <v>3</v>
      </c>
      <c r="CS470" s="10">
        <v>10.5</v>
      </c>
      <c r="CT470" s="9" t="s">
        <v>231</v>
      </c>
      <c r="CU470" s="9" t="s">
        <v>188</v>
      </c>
      <c r="CV470" s="10"/>
      <c r="CW470" s="10"/>
      <c r="CX470" t="str">
        <f>INDEX('Data_Price '!AG$2:AG$1266,MATCH(Data!$DN470,'Data_Price '!$AT$2:$AT$1266,0))</f>
        <v>Blizzard Black Pearl 82 19/20</v>
      </c>
      <c r="CY470" t="str">
        <f>INDEX('Data_Price '!AH$2:AH$1266,MATCH(Data!$DN470,'Data_Price '!$AT$2:$AT$1266,0))</f>
        <v>eBay - grassisport</v>
      </c>
      <c r="CZ470">
        <f>INDEX('Data_Price '!AI$2:AI$1266,MATCH(Data!$DN470,'Data_Price '!$AT$2:$AT$1266,0))</f>
        <v>399.15</v>
      </c>
      <c r="DA470" t="str">
        <f>INDEX('Data_Price '!AJ$2:AJ$1266,MATCH(Data!$DN470,'Data_Price '!$AT$2:$AT$1266,0))</f>
        <v>https://tinyurl.com/y9am538l</v>
      </c>
      <c r="DB470" t="str">
        <f>INDEX('Data_Price '!AK$2:AK$1266,MATCH(Data!$DN470,'Data_Price '!$AT$2:$AT$1266,0))</f>
        <v>Blizzard Women's Black Pearl 82 Ski</v>
      </c>
      <c r="DC470" t="str">
        <f>INDEX('Data_Price '!AL$2:AL$1266,MATCH(Data!$DN470,'Data_Price '!$AT$2:$AT$1266,0))</f>
        <v>Powder7 Ski Shop</v>
      </c>
      <c r="DD470">
        <f>INDEX('Data_Price '!AM$2:AM$1266,MATCH(Data!$DN470,'Data_Price '!$AT$2:$AT$1266,0))</f>
        <v>429.93</v>
      </c>
      <c r="DE470" t="str">
        <f>INDEX('Data_Price '!AN$2:AN$1266,MATCH(Data!$DN470,'Data_Price '!$AT$2:$AT$1266,0))</f>
        <v>https://tinyurl.com/yafr7qvq</v>
      </c>
      <c r="DF470" t="str">
        <f>INDEX('Data_Price '!AO$2:AO$1266,MATCH(Data!$DN470,'Data_Price '!$AT$2:$AT$1266,0))</f>
        <v>Blizzard Women's Black Pearl 82 Ski</v>
      </c>
      <c r="DG470" t="str">
        <f>INDEX('Data_Price '!AP$2:AP$1266,MATCH(Data!$DN470,'Data_Price '!$AT$2:$AT$1266,0))</f>
        <v>SkiEssentials.com</v>
      </c>
      <c r="DH470">
        <f>INDEX('Data_Price '!AQ$2:AQ$1266,MATCH(Data!$DN470,'Data_Price '!$AT$2:$AT$1266,0))</f>
        <v>439.95</v>
      </c>
      <c r="DI470" t="str">
        <f>INDEX('Data_Price '!AR$2:AR$1266,MATCH(Data!$DN470,'Data_Price '!$AT$2:$AT$1266,0))</f>
        <v>https://tinyurl.com/ydfeyg9a</v>
      </c>
      <c r="DJ470" s="89" t="str">
        <f t="shared" si="291"/>
        <v>https://tinyurl.com/y9am538l</v>
      </c>
      <c r="DK470" s="89" t="str">
        <f t="shared" si="292"/>
        <v>https://tinyurl.com/yafr7qvq</v>
      </c>
      <c r="DL470" s="89" t="str">
        <f t="shared" si="293"/>
        <v>https://tinyurl.com/ydfeyg9a</v>
      </c>
      <c r="DM470" s="219" t="str">
        <f t="shared" si="294"/>
        <v>Black Pearl 82</v>
      </c>
      <c r="DN470" s="89" t="str">
        <f t="shared" si="295"/>
        <v xml:space="preserve"> BlizzardBlack Pearl 82166 Women's</v>
      </c>
      <c r="DO470" s="221" t="s">
        <v>619</v>
      </c>
    </row>
    <row r="471" spans="1:119" ht="15.6" customHeight="1">
      <c r="B471" s="219" t="b">
        <f t="array" ref="B471">IF(OR(ISERROR(K471:P471)),FALSE,TRUE)</f>
        <v>1</v>
      </c>
      <c r="C471" s="43" t="b">
        <f>OR(BR471=Driver!$G$50,Data!BR102=Driver!$H$50)</f>
        <v>1</v>
      </c>
      <c r="D471" s="43" t="b">
        <f>OR(BV471=Driver!$G$51,BV471=Driver!$H$51)</f>
        <v>0</v>
      </c>
      <c r="E471" s="43" t="b">
        <f>AND(BX471&gt;Driver!$F$54,BX471&lt;Driver!$G$54)</f>
        <v>1</v>
      </c>
      <c r="F471" s="43" t="b">
        <f>CL471&gt;Driver!$F$56</f>
        <v>1</v>
      </c>
      <c r="G471" s="43" t="b">
        <f>AND(CB471&gt;Driver!$F$55,CB471&lt;Driver!$G$55)</f>
        <v>0</v>
      </c>
      <c r="H471" s="43" t="b">
        <f t="shared" si="259"/>
        <v>0</v>
      </c>
      <c r="I471" s="43">
        <f t="shared" si="260"/>
        <v>0</v>
      </c>
      <c r="J471" s="43" t="b">
        <f t="array" ref="J471">NOT(OR(($H$9:$H$1273=TRUE)*($I$9:$I$1273&gt;0)*($BT$9:$BT$1273=BT471)*($K$9:$K$1273&gt;K471)))</f>
        <v>1</v>
      </c>
      <c r="K471" s="72">
        <f t="shared" si="261"/>
        <v>0.85720254562928644</v>
      </c>
      <c r="L471" s="72">
        <f t="shared" si="262"/>
        <v>0.85745571762085282</v>
      </c>
      <c r="M471" s="72">
        <f t="shared" si="263"/>
        <v>0.85694937363772006</v>
      </c>
      <c r="N471" s="72">
        <f t="shared" si="264"/>
        <v>0.87573443417409325</v>
      </c>
      <c r="O471" s="72">
        <f t="shared" si="265"/>
        <v>0.70376192451519004</v>
      </c>
      <c r="P471" s="72">
        <f t="shared" si="266"/>
        <v>0.99135176222387689</v>
      </c>
      <c r="Q471" s="72"/>
      <c r="R471" s="72"/>
      <c r="S471" s="72">
        <f t="shared" si="267"/>
        <v>0.44757719259374229</v>
      </c>
      <c r="T471" s="72">
        <f t="shared" si="268"/>
        <v>0.45232681958353405</v>
      </c>
      <c r="U471" s="72">
        <f t="shared" si="269"/>
        <v>0.90940085997207354</v>
      </c>
      <c r="V471" s="72">
        <f t="shared" si="270"/>
        <v>0.52034000362508437</v>
      </c>
      <c r="W471" s="72">
        <f t="shared" si="271"/>
        <v>0.87883275261324045</v>
      </c>
      <c r="X471" s="72">
        <f t="shared" si="272"/>
        <v>0.14254428237914712</v>
      </c>
      <c r="Y471" s="72">
        <f t="shared" si="273"/>
        <v>0.14305062636227997</v>
      </c>
      <c r="Z471" s="72">
        <f t="shared" si="274"/>
        <v>0.12426556582590677</v>
      </c>
      <c r="AA471" s="72">
        <f t="shared" si="275"/>
        <v>0.29623807548481002</v>
      </c>
      <c r="AB471" s="72">
        <f t="shared" si="276"/>
        <v>8.6482377761231133E-3</v>
      </c>
      <c r="AC471" s="72"/>
      <c r="AD471" s="72"/>
      <c r="AE471" s="72">
        <f t="shared" si="277"/>
        <v>0.55242280740625771</v>
      </c>
      <c r="AF471" s="72">
        <f t="shared" si="278"/>
        <v>0.54767318041646595</v>
      </c>
      <c r="AG471" s="72">
        <f t="shared" si="279"/>
        <v>9.0599140027926517E-2</v>
      </c>
      <c r="AH471" s="72">
        <f t="shared" si="280"/>
        <v>0.47965999637491563</v>
      </c>
      <c r="AI471" s="72">
        <f t="shared" si="281"/>
        <v>0.1211672473867596</v>
      </c>
      <c r="AJ471" s="72">
        <f>(AV471-Driver!$K$179)/(Driver!$L$179-Driver!$K$179)</f>
        <v>0.1116751269035533</v>
      </c>
      <c r="AK471" s="72">
        <f>(AW471-Driver!$K$180)/(Driver!$L$180-Driver!$K$180)</f>
        <v>0.25964077330992097</v>
      </c>
      <c r="AL471" s="72">
        <f>(AX471-Driver!$K$181)/(Driver!$L$181-Driver!$K$181)</f>
        <v>0.22595332953898695</v>
      </c>
      <c r="AM471" s="72">
        <f>(AY471-Driver!$K$182)/(Driver!$L$182-Driver!$K$182)</f>
        <v>0.15114694561223635</v>
      </c>
      <c r="AN471" s="72">
        <f>(AZ471-Driver!$K$183)/(Driver!$L$183-Driver!$K$183)</f>
        <v>0.26286764705882354</v>
      </c>
      <c r="AO471" s="72"/>
      <c r="AP471" s="72"/>
      <c r="AQ471" s="72">
        <f>(BC471-Driver!$K$188)/(Driver!$L$188-Driver!$K$188)</f>
        <v>6.7577192593742272E-2</v>
      </c>
      <c r="AR471" s="72">
        <f>MIN((BD471-Driver!$K$189)/(Driver!$L$189-Driver!$K$189),100%)</f>
        <v>2.3268195835340882E-3</v>
      </c>
      <c r="AS471" s="72">
        <f>(BE471-Driver!$K$190)/(Driver!$L$190-Driver!$K$190)</f>
        <v>0.41940085997207349</v>
      </c>
      <c r="AT471" s="72">
        <f>(BF471-Driver!$K$191)/(Driver!$L$191-Driver!$K$191)</f>
        <v>3.0340003625084381E-2</v>
      </c>
      <c r="AU471" s="72">
        <f>(BG471-Driver!$K$192)/(Driver!$L$192-Driver!$K$192)</f>
        <v>0.1288327526132404</v>
      </c>
      <c r="AV471" s="70">
        <f t="shared" si="282"/>
        <v>2.3504273504273505</v>
      </c>
      <c r="AW471" s="70">
        <f t="shared" si="283"/>
        <v>27.176186631803112</v>
      </c>
      <c r="AX471" s="70">
        <f t="shared" si="284"/>
        <v>3.0335799658508824</v>
      </c>
      <c r="AY471" s="70">
        <f>IFERROR(Driver!$K$19/Data!BH471/Data!BI471*Data!BK471*Data!BL471,"")</f>
        <v>0.18504895932527365</v>
      </c>
      <c r="AZ471" s="70">
        <f t="shared" si="285"/>
        <v>23.957557706626957</v>
      </c>
      <c r="BA471" s="70"/>
      <c r="BB471" s="70"/>
      <c r="BC471" s="70">
        <f t="shared" si="286"/>
        <v>35.052759587395364</v>
      </c>
      <c r="BD471" s="70">
        <f t="shared" si="287"/>
        <v>1.9267422943601553</v>
      </c>
      <c r="BE471" s="70">
        <f t="shared" si="288"/>
        <v>0.4195044323237328</v>
      </c>
      <c r="BF471" s="70">
        <f t="shared" si="289"/>
        <v>3.426690258864332</v>
      </c>
      <c r="BG471" s="70">
        <f t="shared" si="290"/>
        <v>0.48784298780487806</v>
      </c>
      <c r="BH471" s="67">
        <f>MAX((CE471-Driver!$F$200)/(Driver!$G$200-Driver!$F$200)*$BI$1,1)</f>
        <v>3.0335799658508824</v>
      </c>
      <c r="BI471" s="67">
        <f>MAX($BI$1*(BY471-Driver!$F$201)/(Driver!$G$201-Driver!$F$201),1)</f>
        <v>7.4050632911392409</v>
      </c>
      <c r="BJ471" s="67">
        <f>(CB471-Driver!$F$206)/(Driver!$G$206-Driver!$F$206)*$BI$1</f>
        <v>5.2380952380952381</v>
      </c>
      <c r="BK471" s="67">
        <f>(CD471-Driver!$F$203)/(Driver!$G$203-Driver!$F$203)*$BI$1</f>
        <v>3.3486238532110093</v>
      </c>
      <c r="BL471" s="67">
        <f>MAX((CR471-Driver!$F$202)/(Driver!$G$202-Driver!$F$202)*$BI$1,1)</f>
        <v>6.2068965517241379</v>
      </c>
      <c r="BM471" s="67">
        <f>MAX((CH471-Driver!$F$204)/(Driver!$G$204-Driver!$F$204)*$BI$1,1)</f>
        <v>1.7948717948717949</v>
      </c>
      <c r="BN471" s="67">
        <f>(CI471-Driver!$F$205)/(Driver!$G$205-Driver!$F$205)*$BI$1</f>
        <v>3.2352941176470589</v>
      </c>
      <c r="BO471" s="67">
        <f>(CK471-Driver!$F$207)/(Driver!$G$207-Driver!$F$207)*$BI$1</f>
        <v>1.2719751809720785</v>
      </c>
      <c r="BP471" s="67">
        <f>(CM471-Driver!$F$208)/(Driver!$G$208-Driver!$F$208)*$BI$1</f>
        <v>1.7222222222222223</v>
      </c>
      <c r="BQ471" s="67">
        <f>(CL471-Driver!$F$209)/(Driver!$G$209-Driver!$F$209)*$BI$1</f>
        <v>2.65625</v>
      </c>
      <c r="BR471" s="28" t="s">
        <v>155</v>
      </c>
      <c r="BS471" s="8" t="s">
        <v>182</v>
      </c>
      <c r="BT471" s="9" t="s">
        <v>289</v>
      </c>
      <c r="BU471" s="10">
        <v>164</v>
      </c>
      <c r="BV471" s="9" t="s">
        <v>163</v>
      </c>
      <c r="BW471" s="10">
        <v>164</v>
      </c>
      <c r="BX471" s="10">
        <v>163.69999999999999</v>
      </c>
      <c r="BY471" s="10">
        <v>125</v>
      </c>
      <c r="BZ471" s="10">
        <v>136</v>
      </c>
      <c r="CA471" s="10">
        <v>126</v>
      </c>
      <c r="CB471" s="10">
        <v>97</v>
      </c>
      <c r="CC471" s="10">
        <v>119</v>
      </c>
      <c r="CD471" s="10">
        <v>16.7</v>
      </c>
      <c r="CE471" s="10">
        <v>1433</v>
      </c>
      <c r="CF471" s="10">
        <v>1.22</v>
      </c>
      <c r="CG471" s="10">
        <v>1745</v>
      </c>
      <c r="CH471" s="10">
        <v>143</v>
      </c>
      <c r="CI471" s="10">
        <v>88</v>
      </c>
      <c r="CJ471" s="10">
        <v>37</v>
      </c>
      <c r="CK471" s="10">
        <v>233</v>
      </c>
      <c r="CL471" s="10">
        <v>17</v>
      </c>
      <c r="CM471" s="10">
        <v>155</v>
      </c>
      <c r="CN471" s="10">
        <v>0.45700000000000002</v>
      </c>
      <c r="CO471" s="10">
        <v>177</v>
      </c>
      <c r="CP471" s="10">
        <v>102</v>
      </c>
      <c r="CQ471" s="10">
        <v>57</v>
      </c>
      <c r="CR471" s="10">
        <v>7</v>
      </c>
      <c r="CS471" s="10">
        <v>9.5</v>
      </c>
      <c r="CT471" s="9" t="s">
        <v>188</v>
      </c>
      <c r="CU471" s="9" t="s">
        <v>185</v>
      </c>
      <c r="CV471" s="10"/>
      <c r="CW471" s="10"/>
      <c r="CX471" t="str">
        <f>INDEX('Data_Price '!AG$2:AG$1266,MATCH(Data!$DN471,'Data_Price '!$AT$2:$AT$1266,0))</f>
        <v>Armada Trace 98 Women's Skis 164cm, Black, Ski Only, 2022</v>
      </c>
      <c r="CY471" t="str">
        <f>INDEX('Data_Price '!AH$2:AH$1266,MATCH(Data!$DN471,'Data_Price '!$AT$2:$AT$1266,0))</f>
        <v>Absolute-Snow.co.uk</v>
      </c>
      <c r="CZ471">
        <f>INDEX('Data_Price '!AI$2:AI$1266,MATCH(Data!$DN471,'Data_Price '!$AT$2:$AT$1266,0))</f>
        <v>530.41999999999996</v>
      </c>
      <c r="DA471" t="str">
        <f>INDEX('Data_Price '!AJ$2:AJ$1266,MATCH(Data!$DN471,'Data_Price '!$AT$2:$AT$1266,0))</f>
        <v>https://tinyurl.com/ybeqgvtf</v>
      </c>
      <c r="DB471" t="str">
        <f>INDEX('Data_Price '!AK$2:AK$1266,MATCH(Data!$DN471,'Data_Price '!$AT$2:$AT$1266,0))</f>
        <v>Armada Trace 98 Skis - Women's 2022</v>
      </c>
      <c r="DC471" t="str">
        <f>INDEX('Data_Price '!AL$2:AL$1266,MATCH(Data!$DN471,'Data_Price '!$AT$2:$AT$1266,0))</f>
        <v>REI</v>
      </c>
      <c r="DD471">
        <f>INDEX('Data_Price '!AM$2:AM$1266,MATCH(Data!$DN471,'Data_Price '!$AT$2:$AT$1266,0))</f>
        <v>559.92999999999995</v>
      </c>
      <c r="DE471" t="str">
        <f>INDEX('Data_Price '!AN$2:AN$1266,MATCH(Data!$DN471,'Data_Price '!$AT$2:$AT$1266,0))</f>
        <v>https://tinyurl.com/yd7hlh6t</v>
      </c>
      <c r="DF471" t="str">
        <f>INDEX('Data_Price '!AO$2:AO$1266,MATCH(Data!$DN471,'Data_Price '!$AT$2:$AT$1266,0))</f>
        <v>Armada Trace 98 Skis - Women's 2022</v>
      </c>
      <c r="DG471" t="str">
        <f>INDEX('Data_Price '!AP$2:AP$1266,MATCH(Data!$DN471,'Data_Price '!$AT$2:$AT$1266,0))</f>
        <v>evo.com</v>
      </c>
      <c r="DH471">
        <f>INDEX('Data_Price '!AQ$2:AQ$1266,MATCH(Data!$DN471,'Data_Price '!$AT$2:$AT$1266,0))</f>
        <v>559.96</v>
      </c>
      <c r="DI471" t="str">
        <f>INDEX('Data_Price '!AR$2:AR$1266,MATCH(Data!$DN471,'Data_Price '!$AT$2:$AT$1266,0))</f>
        <v>https://tinyurl.com/y9hbpyon</v>
      </c>
      <c r="DJ471" s="89" t="str">
        <f t="shared" si="291"/>
        <v>https://tinyurl.com/ybeqgvtf</v>
      </c>
      <c r="DK471" s="89" t="str">
        <f t="shared" si="292"/>
        <v>https://tinyurl.com/yd7hlh6t</v>
      </c>
      <c r="DL471" s="89" t="str">
        <f t="shared" si="293"/>
        <v>https://tinyurl.com/y9hbpyon</v>
      </c>
      <c r="DM471" s="219" t="str">
        <f t="shared" si="294"/>
        <v>Trace 98</v>
      </c>
      <c r="DN471" s="89" t="str">
        <f t="shared" si="295"/>
        <v xml:space="preserve"> ArmadaTrace 98164 Women's</v>
      </c>
      <c r="DO471" s="221" t="s">
        <v>290</v>
      </c>
    </row>
    <row r="472" spans="1:119" ht="15.6" customHeight="1">
      <c r="B472" s="219" t="b">
        <f t="array" ref="B472">IF(OR(ISERROR(K472:P472)),FALSE,TRUE)</f>
        <v>1</v>
      </c>
      <c r="C472" s="43" t="b">
        <f>OR(BR472=Driver!$G$50,Data!BR164=Driver!$H$50)</f>
        <v>1</v>
      </c>
      <c r="D472" s="43" t="b">
        <f>OR(BV472=Driver!$G$51,BV472=Driver!$H$51)</f>
        <v>1</v>
      </c>
      <c r="E472" s="43" t="b">
        <f>AND(BX472&gt;Driver!$F$54,BX472&lt;Driver!$G$54)</f>
        <v>0</v>
      </c>
      <c r="F472" s="43" t="b">
        <f>CL472&gt;Driver!$F$56</f>
        <v>1</v>
      </c>
      <c r="G472" s="43" t="b">
        <f>AND(CB472&gt;Driver!$F$55,CB472&lt;Driver!$G$55)</f>
        <v>0</v>
      </c>
      <c r="H472" s="43" t="b">
        <f t="shared" si="259"/>
        <v>0</v>
      </c>
      <c r="I472" s="43">
        <f t="shared" si="260"/>
        <v>0</v>
      </c>
      <c r="J472" s="43" t="b">
        <f t="array" ref="J472">NOT(OR(($H$9:$H$1273=TRUE)*($I$9:$I$1273&gt;0)*($BT$9:$BT$1273=BT472)*($K$9:$K$1273&gt;K472)))</f>
        <v>1</v>
      </c>
      <c r="K472" s="72">
        <f t="shared" si="261"/>
        <v>0.86865363475585311</v>
      </c>
      <c r="L472" s="72">
        <f t="shared" si="262"/>
        <v>0.89999862310792078</v>
      </c>
      <c r="M472" s="72">
        <f t="shared" si="263"/>
        <v>0.83730864640378544</v>
      </c>
      <c r="N472" s="72">
        <f t="shared" si="264"/>
        <v>0.85739509312558893</v>
      </c>
      <c r="O472" s="72">
        <f t="shared" si="265"/>
        <v>0.6683090788978796</v>
      </c>
      <c r="P472" s="72">
        <f t="shared" si="266"/>
        <v>0.98622176718788779</v>
      </c>
      <c r="Q472" s="72"/>
      <c r="R472" s="72"/>
      <c r="S472" s="72">
        <f t="shared" si="267"/>
        <v>0.45881487912397578</v>
      </c>
      <c r="T472" s="72">
        <f t="shared" si="268"/>
        <v>0.48003640168860495</v>
      </c>
      <c r="U472" s="72">
        <f t="shared" si="269"/>
        <v>0.68694570118171561</v>
      </c>
      <c r="V472" s="72">
        <f t="shared" si="270"/>
        <v>0.53140922396293711</v>
      </c>
      <c r="W472" s="72">
        <f t="shared" si="271"/>
        <v>0.80204626334519569</v>
      </c>
      <c r="X472" s="72">
        <f t="shared" si="272"/>
        <v>0.10000137689207919</v>
      </c>
      <c r="Y472" s="72">
        <f t="shared" si="273"/>
        <v>0.16269135359621459</v>
      </c>
      <c r="Z472" s="72">
        <f t="shared" si="274"/>
        <v>0.14260490687441113</v>
      </c>
      <c r="AA472" s="72">
        <f t="shared" si="275"/>
        <v>0.3316909211021204</v>
      </c>
      <c r="AB472" s="72">
        <f t="shared" si="276"/>
        <v>1.3778232812112212E-2</v>
      </c>
      <c r="AC472" s="72"/>
      <c r="AD472" s="72"/>
      <c r="AE472" s="72">
        <f t="shared" si="277"/>
        <v>0.54118512087602422</v>
      </c>
      <c r="AF472" s="72">
        <f t="shared" si="278"/>
        <v>0.51996359831139505</v>
      </c>
      <c r="AG472" s="72">
        <f t="shared" si="279"/>
        <v>0.31305429881828439</v>
      </c>
      <c r="AH472" s="72">
        <f t="shared" si="280"/>
        <v>0.46859077603706289</v>
      </c>
      <c r="AI472" s="72">
        <f t="shared" si="281"/>
        <v>0.19795373665480426</v>
      </c>
      <c r="AJ472" s="72">
        <f>(AV472-Driver!$K$179)/(Driver!$L$179-Driver!$K$179)</f>
        <v>0.15421803239062123</v>
      </c>
      <c r="AK472" s="72">
        <f>(AW472-Driver!$K$180)/(Driver!$L$180-Driver!$K$180)</f>
        <v>0.23991673518165677</v>
      </c>
      <c r="AL472" s="72">
        <f>(AX472-Driver!$K$181)/(Driver!$L$181-Driver!$K$181)</f>
        <v>0.2442926705874913</v>
      </c>
      <c r="AM472" s="72">
        <f>(AY472-Driver!$K$182)/(Driver!$L$182-Driver!$K$182)</f>
        <v>0.11569409999492597</v>
      </c>
      <c r="AN472" s="72">
        <f>(AZ472-Driver!$K$183)/(Driver!$L$183-Driver!$K$183)</f>
        <v>0.24044117647058821</v>
      </c>
      <c r="AO472" s="72"/>
      <c r="AP472" s="72"/>
      <c r="AQ472" s="72">
        <f>(BC472-Driver!$K$188)/(Driver!$L$188-Driver!$K$188)</f>
        <v>7.8814879123975792E-2</v>
      </c>
      <c r="AR472" s="72">
        <f>MIN((BD472-Driver!$K$189)/(Driver!$L$189-Driver!$K$189),100%)</f>
        <v>3.0036401688605038E-2</v>
      </c>
      <c r="AS472" s="72">
        <f>(BE472-Driver!$K$190)/(Driver!$L$190-Driver!$K$190)</f>
        <v>0.19694570118171562</v>
      </c>
      <c r="AT472" s="72">
        <f>(BF472-Driver!$K$191)/(Driver!$L$191-Driver!$K$191)</f>
        <v>4.1409223962937114E-2</v>
      </c>
      <c r="AU472" s="72">
        <f>(BG472-Driver!$K$192)/(Driver!$L$192-Driver!$K$192)</f>
        <v>5.2046263345195729E-2</v>
      </c>
      <c r="AV472" s="70">
        <f t="shared" si="282"/>
        <v>3.2458282458282461</v>
      </c>
      <c r="AW472" s="70">
        <f t="shared" si="283"/>
        <v>25.253904343446592</v>
      </c>
      <c r="AX472" s="70">
        <f t="shared" si="284"/>
        <v>3.1986340352874216</v>
      </c>
      <c r="AY472" s="70">
        <f>IFERROR(Driver!$K$19/Data!BH472/Data!BI472*Data!BK472*Data!BL472,"")</f>
        <v>0.14164409818151158</v>
      </c>
      <c r="AZ472" s="70">
        <f t="shared" si="285"/>
        <v>21.913626209977661</v>
      </c>
      <c r="BA472" s="70"/>
      <c r="BB472" s="70"/>
      <c r="BC472" s="70">
        <f t="shared" si="286"/>
        <v>40.881825713756818</v>
      </c>
      <c r="BD472" s="70">
        <f t="shared" si="287"/>
        <v>4.3789912121847534</v>
      </c>
      <c r="BE472" s="70">
        <f t="shared" si="288"/>
        <v>0.19708895702986365</v>
      </c>
      <c r="BF472" s="70">
        <f t="shared" si="289"/>
        <v>4.6768809303506949</v>
      </c>
      <c r="BG472" s="70">
        <f t="shared" si="290"/>
        <v>0.19708035495152781</v>
      </c>
      <c r="BH472" s="67">
        <f>MAX((CE472-Driver!$F$200)/(Driver!$G$200-Driver!$F$200)*$BI$1,1)</f>
        <v>3.1986340352874216</v>
      </c>
      <c r="BI472" s="67">
        <f>MAX($BI$1*(BY472-Driver!$F$201)/(Driver!$G$201-Driver!$F$201),1)</f>
        <v>6.8987341772151902</v>
      </c>
      <c r="BJ472" s="67">
        <f>(CB472-Driver!$F$206)/(Driver!$G$206-Driver!$F$206)*$BI$1</f>
        <v>3.4920634920634921</v>
      </c>
      <c r="BK472" s="67">
        <f>(CD472-Driver!$F$203)/(Driver!$G$203-Driver!$F$203)*$BI$1</f>
        <v>3.4862385321100922</v>
      </c>
      <c r="BL472" s="67">
        <f>MAX((CR472-Driver!$F$202)/(Driver!$G$202-Driver!$F$202)*$BI$1,1)</f>
        <v>4.4827586206896548</v>
      </c>
      <c r="BM472" s="67">
        <f>MAX((CH472-Driver!$F$204)/(Driver!$G$204-Driver!$F$204)*$BI$1,1)</f>
        <v>3.7179487179487181</v>
      </c>
      <c r="BN472" s="67">
        <f>(CI472-Driver!$F$205)/(Driver!$G$205-Driver!$F$205)*$BI$1</f>
        <v>3.1764705882352939</v>
      </c>
      <c r="BO472" s="67">
        <f>(CK472-Driver!$F$207)/(Driver!$G$207-Driver!$F$207)*$BI$1</f>
        <v>1.9544984488107551</v>
      </c>
      <c r="BP472" s="67">
        <f>(CM472-Driver!$F$208)/(Driver!$G$208-Driver!$F$208)*$BI$1</f>
        <v>2.3888888888888888</v>
      </c>
      <c r="BQ472" s="67">
        <f>(CL472-Driver!$F$209)/(Driver!$G$209-Driver!$F$209)*$BI$1</f>
        <v>2.34375</v>
      </c>
      <c r="BR472" s="28" t="s">
        <v>155</v>
      </c>
      <c r="BS472" s="8" t="s">
        <v>156</v>
      </c>
      <c r="BT472" s="9" t="s">
        <v>267</v>
      </c>
      <c r="BU472" s="10">
        <v>169</v>
      </c>
      <c r="BV472" s="9" t="s">
        <v>158</v>
      </c>
      <c r="BW472" s="10">
        <v>169</v>
      </c>
      <c r="BX472" s="10">
        <v>168.3</v>
      </c>
      <c r="BY472" s="10">
        <v>117</v>
      </c>
      <c r="BZ472" s="10">
        <v>142</v>
      </c>
      <c r="CA472" s="10">
        <v>122</v>
      </c>
      <c r="CB472" s="10">
        <v>86</v>
      </c>
      <c r="CC472" s="10">
        <v>106</v>
      </c>
      <c r="CD472" s="10">
        <v>17</v>
      </c>
      <c r="CE472" s="10">
        <v>1462</v>
      </c>
      <c r="CF472" s="10">
        <v>1.1200000000000001</v>
      </c>
      <c r="CG472" s="10">
        <v>1634</v>
      </c>
      <c r="CH472" s="10">
        <v>188</v>
      </c>
      <c r="CI472" s="10">
        <v>87</v>
      </c>
      <c r="CJ472" s="10">
        <v>50</v>
      </c>
      <c r="CK472" s="10">
        <v>299</v>
      </c>
      <c r="CL472" s="10">
        <v>15</v>
      </c>
      <c r="CM472" s="10">
        <v>215</v>
      </c>
      <c r="CN472" s="10">
        <v>0.29499999999999998</v>
      </c>
      <c r="CO472" s="10">
        <v>166</v>
      </c>
      <c r="CP472" s="10">
        <v>100</v>
      </c>
      <c r="CQ472" s="10">
        <v>133</v>
      </c>
      <c r="CR472" s="10">
        <v>2</v>
      </c>
      <c r="CS472" s="10">
        <v>8.9</v>
      </c>
      <c r="CT472" s="9" t="s">
        <v>188</v>
      </c>
      <c r="CU472" s="9" t="s">
        <v>185</v>
      </c>
      <c r="CV472" s="10"/>
      <c r="CW472" s="10"/>
      <c r="CX472" t="str">
        <f>INDEX('Data_Price '!AG$2:AG$1266,MATCH(Data!$DN472,'Data_Price '!$AT$2:$AT$1266,0))</f>
        <v>Atomic Maverick 86 C Skis</v>
      </c>
      <c r="CY472" t="str">
        <f>INDEX('Data_Price '!AH$2:AH$1266,MATCH(Data!$DN472,'Data_Price '!$AT$2:$AT$1266,0))</f>
        <v>Ski Pro  - Snow Ski &amp; Snowboard</v>
      </c>
      <c r="CZ472">
        <f>INDEX('Data_Price '!AI$2:AI$1266,MATCH(Data!$DN472,'Data_Price '!$AT$2:$AT$1266,0))</f>
        <v>399.95</v>
      </c>
      <c r="DA472" t="str">
        <f>INDEX('Data_Price '!AJ$2:AJ$1266,MATCH(Data!$DN472,'Data_Price '!$AT$2:$AT$1266,0))</f>
        <v>https://tinyurl.com/ycmyzj6w</v>
      </c>
      <c r="DB472" t="str">
        <f>INDEX('Data_Price '!AK$2:AK$1266,MATCH(Data!$DN472,'Data_Price '!$AT$2:$AT$1266,0))</f>
        <v>Atomic Maverick 86 C Skis</v>
      </c>
      <c r="DC472" t="str">
        <f>INDEX('Data_Price '!AL$2:AL$1266,MATCH(Data!$DN472,'Data_Price '!$AT$2:$AT$1266,0))</f>
        <v>Level Nine Sports</v>
      </c>
      <c r="DD472">
        <f>INDEX('Data_Price '!AM$2:AM$1266,MATCH(Data!$DN472,'Data_Price '!$AT$2:$AT$1266,0))</f>
        <v>399.99</v>
      </c>
      <c r="DE472" t="str">
        <f>INDEX('Data_Price '!AN$2:AN$1266,MATCH(Data!$DN472,'Data_Price '!$AT$2:$AT$1266,0))</f>
        <v>https://tinyurl.com/yb3jug5q</v>
      </c>
      <c r="DF472" t="str">
        <f>INDEX('Data_Price '!AO$2:AO$1266,MATCH(Data!$DN472,'Data_Price '!$AT$2:$AT$1266,0))</f>
        <v>Atomic Maverick 86 C Skis 2022 - - 169 cm</v>
      </c>
      <c r="DG472" t="str">
        <f>INDEX('Data_Price '!AP$2:AP$1266,MATCH(Data!$DN472,'Data_Price '!$AT$2:$AT$1266,0))</f>
        <v>Skirack</v>
      </c>
      <c r="DH472">
        <f>INDEX('Data_Price '!AQ$2:AQ$1266,MATCH(Data!$DN472,'Data_Price '!$AT$2:$AT$1266,0))</f>
        <v>399.99</v>
      </c>
      <c r="DI472" t="str">
        <f>INDEX('Data_Price '!AR$2:AR$1266,MATCH(Data!$DN472,'Data_Price '!$AT$2:$AT$1266,0))</f>
        <v>https://tinyurl.com/y7tumpk9</v>
      </c>
      <c r="DJ472" s="89" t="str">
        <f t="shared" si="291"/>
        <v>https://tinyurl.com/ycmyzj6w</v>
      </c>
      <c r="DK472" s="89" t="str">
        <f t="shared" si="292"/>
        <v>https://tinyurl.com/yb3jug5q</v>
      </c>
      <c r="DL472" s="89" t="str">
        <f t="shared" si="293"/>
        <v>https://tinyurl.com/y7tumpk9</v>
      </c>
      <c r="DM472" s="219" t="str">
        <f t="shared" si="294"/>
        <v>Maverick 86 C</v>
      </c>
      <c r="DN472" s="89" t="str">
        <f t="shared" si="295"/>
        <v xml:space="preserve"> AtomicMaverick 86 C169 Unisex</v>
      </c>
      <c r="DO472" s="221" t="s">
        <v>268</v>
      </c>
    </row>
    <row r="473" spans="1:119" ht="15.6" customHeight="1">
      <c r="B473" s="219" t="b">
        <f t="array" ref="B473">IF(OR(ISERROR(K473:P473)),FALSE,TRUE)</f>
        <v>1</v>
      </c>
      <c r="C473" s="43" t="b">
        <f>OR(BR473=Driver!$G$50,Data!BR808=Driver!$H$50)</f>
        <v>1</v>
      </c>
      <c r="D473" s="43" t="b">
        <f>OR(BV473=Driver!$G$51,BV473=Driver!$H$51)</f>
        <v>0</v>
      </c>
      <c r="E473" s="43" t="b">
        <f>AND(BX473&gt;Driver!$F$54,BX473&lt;Driver!$G$54)</f>
        <v>0</v>
      </c>
      <c r="F473" s="43" t="b">
        <f>CL473&gt;Driver!$F$56</f>
        <v>1</v>
      </c>
      <c r="G473" s="43" t="b">
        <f>AND(CB473&gt;Driver!$F$55,CB473&lt;Driver!$G$55)</f>
        <v>1</v>
      </c>
      <c r="H473" s="43" t="b">
        <f t="shared" si="259"/>
        <v>0</v>
      </c>
      <c r="I473" s="43">
        <f t="shared" si="260"/>
        <v>0</v>
      </c>
      <c r="J473" s="43" t="b">
        <f t="array" ref="J473">NOT(OR(($H$9:$H$1273=TRUE)*($I$9:$I$1273&gt;0)*($BT$9:$BT$1273=BT473)*($K$9:$K$1273&gt;K473)))</f>
        <v>1</v>
      </c>
      <c r="K473" s="72">
        <f t="shared" si="261"/>
        <v>0.8599455381376282</v>
      </c>
      <c r="L473" s="72">
        <f t="shared" si="262"/>
        <v>0.95446643392090924</v>
      </c>
      <c r="M473" s="72">
        <f t="shared" si="263"/>
        <v>0.76542464235434726</v>
      </c>
      <c r="N473" s="72">
        <f t="shared" si="264"/>
        <v>0.69234102368904926</v>
      </c>
      <c r="O473" s="72">
        <f t="shared" si="265"/>
        <v>0.65619152834296735</v>
      </c>
      <c r="P473" s="72">
        <f t="shared" si="266"/>
        <v>0.94774137503102507</v>
      </c>
      <c r="Q473" s="72"/>
      <c r="R473" s="72"/>
      <c r="S473" s="72">
        <f t="shared" si="267"/>
        <v>0.42836105880996989</v>
      </c>
      <c r="T473" s="72">
        <f t="shared" si="268"/>
        <v>0.47840610899082958</v>
      </c>
      <c r="U473" s="72">
        <f t="shared" si="269"/>
        <v>0.53857816756563925</v>
      </c>
      <c r="V473" s="72">
        <f t="shared" si="270"/>
        <v>0.59274108073811183</v>
      </c>
      <c r="W473" s="72">
        <f t="shared" si="271"/>
        <v>0.83245443499392469</v>
      </c>
      <c r="X473" s="72">
        <f t="shared" si="272"/>
        <v>4.5533566079090704E-2</v>
      </c>
      <c r="Y473" s="72">
        <f t="shared" si="273"/>
        <v>0.23457535764565277</v>
      </c>
      <c r="Z473" s="72">
        <f t="shared" si="274"/>
        <v>0.30765897631095074</v>
      </c>
      <c r="AA473" s="72">
        <f t="shared" si="275"/>
        <v>0.34380847165703271</v>
      </c>
      <c r="AB473" s="72">
        <f t="shared" si="276"/>
        <v>5.2258624968974959E-2</v>
      </c>
      <c r="AC473" s="72"/>
      <c r="AD473" s="72"/>
      <c r="AE473" s="72">
        <f t="shared" si="277"/>
        <v>0.57163894119003011</v>
      </c>
      <c r="AF473" s="72">
        <f t="shared" si="278"/>
        <v>0.52159389100917042</v>
      </c>
      <c r="AG473" s="72">
        <f t="shared" si="279"/>
        <v>0.46142183243436075</v>
      </c>
      <c r="AH473" s="72">
        <f t="shared" si="280"/>
        <v>0.40725891926188817</v>
      </c>
      <c r="AI473" s="72">
        <f t="shared" si="281"/>
        <v>0.16754556500607534</v>
      </c>
      <c r="AJ473" s="72">
        <f>(AV473-Driver!$K$179)/(Driver!$L$179-Driver!$K$179)</f>
        <v>0.20868584320360972</v>
      </c>
      <c r="AK473" s="72">
        <f>(AW473-Driver!$K$180)/(Driver!$L$180-Driver!$K$180)</f>
        <v>0.21902153315276365</v>
      </c>
      <c r="AL473" s="72">
        <f>(AX473-Driver!$K$181)/(Driver!$L$181-Driver!$K$181)</f>
        <v>0.40934674002403093</v>
      </c>
      <c r="AM473" s="72">
        <f>(AY473-Driver!$K$182)/(Driver!$L$182-Driver!$K$182)</f>
        <v>0.10357654944001365</v>
      </c>
      <c r="AN473" s="72">
        <f>(AZ473-Driver!$K$183)/(Driver!$L$183-Driver!$K$183)</f>
        <v>0.20196078431372547</v>
      </c>
      <c r="AO473" s="72"/>
      <c r="AP473" s="72"/>
      <c r="AQ473" s="72">
        <f>(BC473-Driver!$K$188)/(Driver!$L$188-Driver!$K$188)</f>
        <v>4.8361058809969867E-2</v>
      </c>
      <c r="AR473" s="72">
        <f>MIN((BD473-Driver!$K$189)/(Driver!$L$189-Driver!$K$189),100%)</f>
        <v>2.8406108990829602E-2</v>
      </c>
      <c r="AS473" s="72">
        <f>(BE473-Driver!$K$190)/(Driver!$L$190-Driver!$K$190)</f>
        <v>4.8578167565639256E-2</v>
      </c>
      <c r="AT473" s="72">
        <f>(BF473-Driver!$K$191)/(Driver!$L$191-Driver!$K$191)</f>
        <v>0.10274108073811181</v>
      </c>
      <c r="AU473" s="72">
        <f>(BG473-Driver!$K$192)/(Driver!$L$192-Driver!$K$192)</f>
        <v>8.2454434993924658E-2</v>
      </c>
      <c r="AV473" s="70">
        <f t="shared" si="282"/>
        <v>4.3922127255460595</v>
      </c>
      <c r="AW473" s="70">
        <f t="shared" si="283"/>
        <v>23.217481755405935</v>
      </c>
      <c r="AX473" s="70">
        <f t="shared" si="284"/>
        <v>4.6841206602162782</v>
      </c>
      <c r="AY473" s="70">
        <f>IFERROR(Driver!$K$19/Data!BH473/Data!BI473*Data!BK473*Data!BL473,"")</f>
        <v>0.12680860077417011</v>
      </c>
      <c r="AZ473" s="70">
        <f t="shared" si="285"/>
        <v>18.406552494415486</v>
      </c>
      <c r="BA473" s="70"/>
      <c r="BB473" s="70"/>
      <c r="BC473" s="70">
        <f t="shared" si="286"/>
        <v>25.085217405357838</v>
      </c>
      <c r="BD473" s="70">
        <f t="shared" si="287"/>
        <v>4.2347131971393539</v>
      </c>
      <c r="BE473" s="70">
        <f t="shared" si="288"/>
        <v>4.8747890511836679E-2</v>
      </c>
      <c r="BF473" s="70">
        <f t="shared" si="289"/>
        <v>11.603883272426684</v>
      </c>
      <c r="BG473" s="70">
        <f t="shared" si="290"/>
        <v>0.31222509113001212</v>
      </c>
      <c r="BH473" s="67">
        <f>MAX((CE473-Driver!$F$200)/(Driver!$G$200-Driver!$F$200)*$BI$1,1)</f>
        <v>4.6841206602162782</v>
      </c>
      <c r="BI473" s="67">
        <f>MAX($BI$1*(BY473-Driver!$F$201)/(Driver!$G$201-Driver!$F$201),1)</f>
        <v>6.518987341772152</v>
      </c>
      <c r="BJ473" s="67">
        <f>(CB473-Driver!$F$206)/(Driver!$G$206-Driver!$F$206)*$BI$1</f>
        <v>5.8730158730158735</v>
      </c>
      <c r="BK473" s="67">
        <f>(CD473-Driver!$F$203)/(Driver!$G$203-Driver!$F$203)*$BI$1</f>
        <v>3.3027522935779823</v>
      </c>
      <c r="BL473" s="67">
        <f>MAX((CR473-Driver!$F$202)/(Driver!$G$202-Driver!$F$202)*$BI$1,1)</f>
        <v>5.8620689655172411</v>
      </c>
      <c r="BM473" s="67">
        <f>MAX((CH473-Driver!$F$204)/(Driver!$G$204-Driver!$F$204)*$BI$1,1)</f>
        <v>2.9914529914529915</v>
      </c>
      <c r="BN473" s="67">
        <f>(CI473-Driver!$F$205)/(Driver!$G$205-Driver!$F$205)*$BI$1</f>
        <v>2.8235294117647056</v>
      </c>
      <c r="BO473" s="67">
        <f>(CK473-Driver!$F$207)/(Driver!$G$207-Driver!$F$207)*$BI$1</f>
        <v>2.3681489141675285</v>
      </c>
      <c r="BP473" s="67">
        <f>(CM473-Driver!$F$208)/(Driver!$G$208-Driver!$F$208)*$BI$1</f>
        <v>2.7555555555555555</v>
      </c>
      <c r="BQ473" s="67">
        <f>(CL473-Driver!$F$209)/(Driver!$G$209-Driver!$F$209)*$BI$1</f>
        <v>4.375</v>
      </c>
      <c r="BR473" s="28" t="s">
        <v>155</v>
      </c>
      <c r="BS473" s="8" t="s">
        <v>215</v>
      </c>
      <c r="BT473" s="9" t="s">
        <v>376</v>
      </c>
      <c r="BU473" s="10">
        <v>171</v>
      </c>
      <c r="BV473" s="9" t="s">
        <v>163</v>
      </c>
      <c r="BW473" s="10">
        <v>171</v>
      </c>
      <c r="BX473" s="10">
        <v>170</v>
      </c>
      <c r="BY473" s="10">
        <v>111</v>
      </c>
      <c r="BZ473" s="10">
        <v>141</v>
      </c>
      <c r="CA473" s="10">
        <v>135</v>
      </c>
      <c r="CB473" s="10">
        <v>101</v>
      </c>
      <c r="CC473" s="10">
        <v>122</v>
      </c>
      <c r="CD473" s="10">
        <v>16.600000000000001</v>
      </c>
      <c r="CE473" s="10">
        <v>1723</v>
      </c>
      <c r="CF473" s="10">
        <v>1.1000000000000001</v>
      </c>
      <c r="CG473" s="10">
        <v>1895</v>
      </c>
      <c r="CH473" s="10">
        <v>171</v>
      </c>
      <c r="CI473" s="10">
        <v>81</v>
      </c>
      <c r="CJ473" s="10">
        <v>51</v>
      </c>
      <c r="CK473" s="10">
        <v>339</v>
      </c>
      <c r="CL473" s="10">
        <v>28</v>
      </c>
      <c r="CM473" s="10">
        <v>248</v>
      </c>
      <c r="CN473" s="10">
        <v>0.55000000000000004</v>
      </c>
      <c r="CO473" s="10">
        <v>142</v>
      </c>
      <c r="CP473" s="10">
        <v>148</v>
      </c>
      <c r="CQ473" s="10">
        <v>197</v>
      </c>
      <c r="CR473" s="10">
        <v>6</v>
      </c>
      <c r="CS473" s="10">
        <v>8.3000000000000007</v>
      </c>
      <c r="CT473" s="9" t="s">
        <v>188</v>
      </c>
      <c r="CU473" s="9" t="s">
        <v>169</v>
      </c>
      <c r="CV473" s="9" t="s">
        <v>185</v>
      </c>
      <c r="CW473" s="10"/>
      <c r="CX473" t="str">
        <f>INDEX('Data_Price '!AG$2:AG$1266,MATCH(Data!$DN473,'Data_Price '!$AT$2:$AT$1266,0))</f>
        <v>Liberty Skis Genesis 101 Skis - Women's 2022</v>
      </c>
      <c r="CY473" t="str">
        <f>INDEX('Data_Price '!AH$2:AH$1266,MATCH(Data!$DN473,'Data_Price '!$AT$2:$AT$1266,0))</f>
        <v>Next Adventure</v>
      </c>
      <c r="CZ473">
        <f>INDEX('Data_Price '!AI$2:AI$1266,MATCH(Data!$DN473,'Data_Price '!$AT$2:$AT$1266,0))</f>
        <v>449.99</v>
      </c>
      <c r="DA473" t="str">
        <f>INDEX('Data_Price '!AJ$2:AJ$1266,MATCH(Data!$DN473,'Data_Price '!$AT$2:$AT$1266,0))</f>
        <v>https://tinyurl.com/ydg4fnjk</v>
      </c>
      <c r="DB473" t="str">
        <f>INDEX('Data_Price '!AK$2:AK$1266,MATCH(Data!$DN473,'Data_Price '!$AT$2:$AT$1266,0))</f>
        <v>Liberty Skis Genesis 101 Skis - Women's 2022</v>
      </c>
      <c r="DC473" t="str">
        <f>INDEX('Data_Price '!AL$2:AL$1266,MATCH(Data!$DN473,'Data_Price '!$AT$2:$AT$1266,0))</f>
        <v>SkiEssentials.com</v>
      </c>
      <c r="DD473">
        <f>INDEX('Data_Price '!AM$2:AM$1266,MATCH(Data!$DN473,'Data_Price '!$AT$2:$AT$1266,0))</f>
        <v>449.99</v>
      </c>
      <c r="DE473" t="str">
        <f>INDEX('Data_Price '!AN$2:AN$1266,MATCH(Data!$DN473,'Data_Price '!$AT$2:$AT$1266,0))</f>
        <v>https://tinyurl.com/y8floahf</v>
      </c>
      <c r="DF473" t="str">
        <f>INDEX('Data_Price '!AO$2:AO$1266,MATCH(Data!$DN473,'Data_Price '!$AT$2:$AT$1266,0))</f>
        <v>Liberty Skis Genesis 101 Skis - Women's 2022</v>
      </c>
      <c r="DG473" t="str">
        <f>INDEX('Data_Price '!AP$2:AP$1266,MATCH(Data!$DN473,'Data_Price '!$AT$2:$AT$1266,0))</f>
        <v>Mountain Steals</v>
      </c>
      <c r="DH473">
        <f>INDEX('Data_Price '!AQ$2:AQ$1266,MATCH(Data!$DN473,'Data_Price '!$AT$2:$AT$1266,0))</f>
        <v>479.99</v>
      </c>
      <c r="DI473" t="str">
        <f>INDEX('Data_Price '!AR$2:AR$1266,MATCH(Data!$DN473,'Data_Price '!$AT$2:$AT$1266,0))</f>
        <v>https://tinyurl.com/ydxn62t5</v>
      </c>
      <c r="DJ473" s="89" t="str">
        <f t="shared" si="291"/>
        <v>https://tinyurl.com/ydg4fnjk</v>
      </c>
      <c r="DK473" s="89" t="str">
        <f t="shared" si="292"/>
        <v>https://tinyurl.com/y8floahf</v>
      </c>
      <c r="DL473" s="89" t="str">
        <f t="shared" si="293"/>
        <v>https://tinyurl.com/ydxn62t5</v>
      </c>
      <c r="DM473" s="219" t="str">
        <f t="shared" si="294"/>
        <v>Genesis 101</v>
      </c>
      <c r="DN473" s="89" t="str">
        <f t="shared" si="295"/>
        <v xml:space="preserve"> LibertyGenesis 101171 Women's</v>
      </c>
      <c r="DO473" s="221" t="s">
        <v>620</v>
      </c>
    </row>
    <row r="474" spans="1:119" ht="15.6" customHeight="1">
      <c r="A474" s="219">
        <f>ROW()</f>
        <v>474</v>
      </c>
      <c r="B474" s="219" t="b">
        <f t="array" ref="B474">IF(OR(ISERROR(K474:P474)),FALSE,TRUE)</f>
        <v>1</v>
      </c>
      <c r="C474" s="43" t="b">
        <f>OR(BR474=Driver!$G$50,Data!BR965=Driver!$H$50)</f>
        <v>1</v>
      </c>
      <c r="D474" s="43" t="b">
        <f>OR(BV474=Driver!$G$51,BV474=Driver!$H$51)</f>
        <v>0</v>
      </c>
      <c r="E474" s="43" t="b">
        <f>AND(BX474&gt;Driver!$F$54,BX474&lt;Driver!$G$54)</f>
        <v>1</v>
      </c>
      <c r="F474" s="43" t="b">
        <f>CL474&gt;Driver!$F$56</f>
        <v>1</v>
      </c>
      <c r="G474" s="43" t="b">
        <f>AND(CB474&gt;Driver!$F$55,CB474&lt;Driver!$G$55)</f>
        <v>0</v>
      </c>
      <c r="H474" s="43" t="b">
        <f t="shared" si="259"/>
        <v>0</v>
      </c>
      <c r="I474" s="43">
        <f t="shared" si="260"/>
        <v>0</v>
      </c>
      <c r="J474" s="43" t="b">
        <f t="array" ref="J474">NOT(OR(($H$9:$H$1273=TRUE)*($I$9:$I$1273&gt;0)*($BT$9:$BT$1273=BT474)*($K$9:$K$1273&gt;K474)))</f>
        <v>1</v>
      </c>
      <c r="K474" s="72">
        <f t="shared" si="261"/>
        <v>0.86965774411231067</v>
      </c>
      <c r="L474" s="72">
        <f t="shared" si="262"/>
        <v>0.99098518158146764</v>
      </c>
      <c r="M474" s="72">
        <f t="shared" si="263"/>
        <v>0.7483303066431537</v>
      </c>
      <c r="N474" s="72">
        <f t="shared" si="264"/>
        <v>0.65945668801586899</v>
      </c>
      <c r="O474" s="72">
        <f t="shared" si="265"/>
        <v>0.65300599910147983</v>
      </c>
      <c r="P474" s="72">
        <f t="shared" si="266"/>
        <v>0.93252823281211217</v>
      </c>
      <c r="Q474" s="72"/>
      <c r="R474" s="72"/>
      <c r="S474" s="72">
        <f t="shared" si="267"/>
        <v>0.4332447944327551</v>
      </c>
      <c r="T474" s="72">
        <f t="shared" si="268"/>
        <v>0.56867698005072231</v>
      </c>
      <c r="U474" s="72">
        <f t="shared" si="269"/>
        <v>0.56299984055269225</v>
      </c>
      <c r="V474" s="72">
        <f t="shared" si="270"/>
        <v>0.56174242449505818</v>
      </c>
      <c r="W474" s="72">
        <f t="shared" si="271"/>
        <v>0.81854545454545458</v>
      </c>
      <c r="X474" s="72">
        <f t="shared" si="272"/>
        <v>9.0148184185322999E-3</v>
      </c>
      <c r="Y474" s="72">
        <f t="shared" si="273"/>
        <v>0.25166969335684636</v>
      </c>
      <c r="Z474" s="72">
        <f t="shared" si="274"/>
        <v>0.34054331198413096</v>
      </c>
      <c r="AA474" s="72">
        <f t="shared" si="275"/>
        <v>0.34699400089852017</v>
      </c>
      <c r="AB474" s="72">
        <f t="shared" si="276"/>
        <v>6.7471767187887832E-2</v>
      </c>
      <c r="AC474" s="72"/>
      <c r="AD474" s="72"/>
      <c r="AE474" s="72">
        <f t="shared" si="277"/>
        <v>0.5667552055672449</v>
      </c>
      <c r="AF474" s="72">
        <f t="shared" si="278"/>
        <v>0.43132301994927769</v>
      </c>
      <c r="AG474" s="72">
        <f t="shared" si="279"/>
        <v>0.43700015944730775</v>
      </c>
      <c r="AH474" s="72">
        <f t="shared" si="280"/>
        <v>0.43825757550494177</v>
      </c>
      <c r="AI474" s="72">
        <f t="shared" si="281"/>
        <v>0.18145454545454545</v>
      </c>
      <c r="AJ474" s="72">
        <f>(AV474-Driver!$K$179)/(Driver!$L$179-Driver!$K$179)</f>
        <v>0.26323422770123273</v>
      </c>
      <c r="AK474" s="72">
        <f>(AW474-Driver!$K$180)/(Driver!$L$180-Driver!$K$180)</f>
        <v>0.3339848713846052</v>
      </c>
      <c r="AL474" s="72">
        <f>(AX474-Driver!$K$181)/(Driver!$L$181-Driver!$K$181)</f>
        <v>0.44223107569721115</v>
      </c>
      <c r="AM474" s="72">
        <f>(AY474-Driver!$K$182)/(Driver!$L$182-Driver!$K$182)</f>
        <v>0.10039102019852622</v>
      </c>
      <c r="AN474" s="72">
        <f>(AZ474-Driver!$K$183)/(Driver!$L$183-Driver!$K$183)</f>
        <v>0.32169117647058826</v>
      </c>
      <c r="AO474" s="72"/>
      <c r="AP474" s="72"/>
      <c r="AQ474" s="72">
        <f>(BC474-Driver!$K$188)/(Driver!$L$188-Driver!$K$188)</f>
        <v>5.3244794432755059E-2</v>
      </c>
      <c r="AR474" s="72">
        <f>MIN((BD474-Driver!$K$189)/(Driver!$L$189-Driver!$K$189),100%)</f>
        <v>0.11867698005072233</v>
      </c>
      <c r="AS474" s="72">
        <f>(BE474-Driver!$K$190)/(Driver!$L$190-Driver!$K$190)</f>
        <v>7.2999840552692277E-2</v>
      </c>
      <c r="AT474" s="72">
        <f>(BF474-Driver!$K$191)/(Driver!$L$191-Driver!$K$191)</f>
        <v>7.1742424495058257E-2</v>
      </c>
      <c r="AU474" s="72">
        <f>(BG474-Driver!$K$192)/(Driver!$L$192-Driver!$K$192)</f>
        <v>6.8545454545454548E-2</v>
      </c>
      <c r="AV474" s="70">
        <f t="shared" si="282"/>
        <v>5.5402930402930401</v>
      </c>
      <c r="AW474" s="70">
        <f t="shared" si="283"/>
        <v>34.421677744904201</v>
      </c>
      <c r="AX474" s="70">
        <f t="shared" si="284"/>
        <v>4.9800796812749004</v>
      </c>
      <c r="AY474" s="70">
        <f>IFERROR(Driver!$K$19/Data!BH68/Data!BI68*Data!BK68*Data!BL68,"")</f>
        <v>0.12290856251239952</v>
      </c>
      <c r="AZ474" s="70">
        <f t="shared" si="285"/>
        <v>29.318689501116904</v>
      </c>
      <c r="BA474" s="70"/>
      <c r="BB474" s="70"/>
      <c r="BC474" s="70">
        <f t="shared" si="286"/>
        <v>27.618445024075758</v>
      </c>
      <c r="BD474" s="70">
        <f t="shared" si="287"/>
        <v>12.223525335421112</v>
      </c>
      <c r="BE474" s="70">
        <f t="shared" si="288"/>
        <v>7.3165206947306452E-2</v>
      </c>
      <c r="BF474" s="70">
        <f t="shared" si="289"/>
        <v>8.1028028276592625</v>
      </c>
      <c r="BG474" s="70">
        <f t="shared" si="290"/>
        <v>0.25955681818181819</v>
      </c>
      <c r="BH474" s="67">
        <f>MAX((CE474-Driver!$F$200)/(Driver!$G$200-Driver!$F$200)*$BI$1,1)</f>
        <v>4.9800796812749004</v>
      </c>
      <c r="BI474" s="67">
        <f>MAX($BI$1*(BY474-Driver!$F$201)/(Driver!$G$201-Driver!$F$201),1)</f>
        <v>6.6455696202531644</v>
      </c>
      <c r="BJ474" s="67">
        <f>(CB474-Driver!$F$206)/(Driver!$G$206-Driver!$F$206)*$BI$1</f>
        <v>5.2380952380952381</v>
      </c>
      <c r="BK474" s="67">
        <f>(CD474-Driver!$F$203)/(Driver!$G$203-Driver!$F$203)*$BI$1</f>
        <v>2.1559633027522933</v>
      </c>
      <c r="BL474" s="67">
        <f>MAX((CR474-Driver!$F$202)/(Driver!$G$202-Driver!$F$202)*$BI$1,1)</f>
        <v>6.5517241379310338</v>
      </c>
      <c r="BM474" s="67">
        <f>MAX((CH474-Driver!$F$204)/(Driver!$G$204-Driver!$F$204)*$BI$1,1)</f>
        <v>4.2307692307692308</v>
      </c>
      <c r="BN474" s="67">
        <f>(CI474-Driver!$F$205)/(Driver!$G$205-Driver!$F$205)*$BI$1</f>
        <v>4.4117647058823533</v>
      </c>
      <c r="BO474" s="67">
        <f>(CK474-Driver!$F$207)/(Driver!$G$207-Driver!$F$207)*$BI$1</f>
        <v>1.3340227507755946</v>
      </c>
      <c r="BP474" s="67">
        <f>(CM474-Driver!$F$208)/(Driver!$G$208-Driver!$F$208)*$BI$1</f>
        <v>2.5</v>
      </c>
      <c r="BQ474" s="67">
        <f>(CL474-Driver!$F$209)/(Driver!$G$209-Driver!$F$209)*$BI$1</f>
        <v>5.46875</v>
      </c>
      <c r="BR474" s="28" t="s">
        <v>155</v>
      </c>
      <c r="BS474" s="8" t="s">
        <v>172</v>
      </c>
      <c r="BT474" s="9" t="s">
        <v>543</v>
      </c>
      <c r="BU474" s="10">
        <v>160</v>
      </c>
      <c r="BV474" s="9" t="s">
        <v>163</v>
      </c>
      <c r="BW474" s="10">
        <v>160</v>
      </c>
      <c r="BX474" s="10">
        <v>159.30000000000001</v>
      </c>
      <c r="BY474" s="10">
        <v>113</v>
      </c>
      <c r="BZ474" s="10">
        <v>136</v>
      </c>
      <c r="CA474" s="10">
        <v>130</v>
      </c>
      <c r="CB474" s="10">
        <v>97</v>
      </c>
      <c r="CC474" s="10">
        <v>120</v>
      </c>
      <c r="CD474" s="10">
        <v>14.1</v>
      </c>
      <c r="CE474" s="10">
        <v>1775</v>
      </c>
      <c r="CF474" s="10">
        <v>0.97</v>
      </c>
      <c r="CG474" s="10">
        <v>1726</v>
      </c>
      <c r="CH474" s="10">
        <v>200</v>
      </c>
      <c r="CI474" s="10">
        <v>108</v>
      </c>
      <c r="CJ474" s="10">
        <v>49</v>
      </c>
      <c r="CK474" s="10">
        <v>239</v>
      </c>
      <c r="CL474" s="10">
        <v>35</v>
      </c>
      <c r="CM474" s="10">
        <v>225</v>
      </c>
      <c r="CN474" s="10">
        <v>0.70599999999999996</v>
      </c>
      <c r="CO474" s="10">
        <v>131</v>
      </c>
      <c r="CP474" s="10">
        <v>105</v>
      </c>
      <c r="CQ474" s="10">
        <v>108</v>
      </c>
      <c r="CR474" s="10">
        <v>8</v>
      </c>
      <c r="CS474" s="10">
        <v>4.2</v>
      </c>
      <c r="CT474" s="9" t="s">
        <v>188</v>
      </c>
      <c r="CU474" s="10"/>
      <c r="CV474" s="10"/>
      <c r="CW474" s="10"/>
      <c r="CX474" t="str">
        <f>INDEX('Data_Price '!AG$2:AG$1266,MATCH(Data!$DN474,'Data_Price '!$AT$2:$AT$1266,0))</f>
        <v>Fischer W Ranger 102 FR 163cm</v>
      </c>
      <c r="CY474" t="str">
        <f>INDEX('Data_Price '!AH$2:AH$1266,MATCH(Data!$DN474,'Data_Price '!$AT$2:$AT$1266,0))</f>
        <v>Sundance Ski and Board Shop</v>
      </c>
      <c r="CZ474">
        <f>INDEX('Data_Price '!AI$2:AI$1266,MATCH(Data!$DN474,'Data_Price '!$AT$2:$AT$1266,0))</f>
        <v>521.11</v>
      </c>
      <c r="DA474" t="str">
        <f>INDEX('Data_Price '!AJ$2:AJ$1266,MATCH(Data!$DN474,'Data_Price '!$AT$2:$AT$1266,0))</f>
        <v>https://tinyurl.com/ycbh2zg2</v>
      </c>
      <c r="DB474" t="str">
        <f>INDEX('Data_Price '!AK$2:AK$1266,MATCH(Data!$DN474,'Data_Price '!$AT$2:$AT$1266,0))</f>
        <v>Fischer Ranger 102 FR</v>
      </c>
      <c r="DC474" t="str">
        <f>INDEX('Data_Price '!AL$2:AL$1266,MATCH(Data!$DN474,'Data_Price '!$AT$2:$AT$1266,0))</f>
        <v>SkiEssentials.com</v>
      </c>
      <c r="DD474">
        <f>INDEX('Data_Price '!AM$2:AM$1266,MATCH(Data!$DN474,'Data_Price '!$AT$2:$AT$1266,0))</f>
        <v>479.99</v>
      </c>
      <c r="DE474" t="str">
        <f>INDEX('Data_Price '!AN$2:AN$1266,MATCH(Data!$DN474,'Data_Price '!$AT$2:$AT$1266,0))</f>
        <v>https://tinyurl.com/ycyekznm</v>
      </c>
      <c r="DF474" t="str">
        <f>INDEX('Data_Price '!AO$2:AO$1266,MATCH(Data!$DN474,'Data_Price '!$AT$2:$AT$1266,0))</f>
        <v>Fischer Ranger 102 FR</v>
      </c>
      <c r="DG474" t="str">
        <f>INDEX('Data_Price '!AP$2:AP$1266,MATCH(Data!$DN474,'Data_Price '!$AT$2:$AT$1266,0))</f>
        <v>Moosejaw</v>
      </c>
      <c r="DH474">
        <f>INDEX('Data_Price '!AQ$2:AQ$1266,MATCH(Data!$DN474,'Data_Price '!$AT$2:$AT$1266,0))</f>
        <v>524.99</v>
      </c>
      <c r="DI474" t="str">
        <f>INDEX('Data_Price '!AR$2:AR$1266,MATCH(Data!$DN474,'Data_Price '!$AT$2:$AT$1266,0))</f>
        <v>https://tinyurl.com/ybg7cdh2</v>
      </c>
      <c r="DJ474" s="89" t="str">
        <f t="shared" si="291"/>
        <v>https://tinyurl.com/ycbh2zg2</v>
      </c>
      <c r="DK474" s="89" t="str">
        <f t="shared" si="292"/>
        <v>https://tinyurl.com/ycyekznm</v>
      </c>
      <c r="DL474" s="89" t="str">
        <f t="shared" si="293"/>
        <v>https://tinyurl.com/ybg7cdh2</v>
      </c>
      <c r="DM474" s="219" t="str">
        <f t="shared" si="294"/>
        <v>Blackops Blazer W</v>
      </c>
      <c r="DN474" s="89" t="str">
        <f t="shared" si="295"/>
        <v xml:space="preserve"> RossignolBlackops Blazer W160 Women's</v>
      </c>
      <c r="DO474" s="221"/>
    </row>
    <row r="475" spans="1:119" ht="15.6" customHeight="1">
      <c r="B475" s="219" t="b">
        <f t="array" ref="B475">IF(OR(ISERROR(K475:P475)),FALSE,TRUE)</f>
        <v>1</v>
      </c>
      <c r="C475" s="43" t="b">
        <f>OR(BR475=Driver!$G$50,Data!BR1027=Driver!$H$50)</f>
        <v>1</v>
      </c>
      <c r="D475" s="43" t="b">
        <f>OR(BV475=Driver!$G$51,BV475=Driver!$H$51)</f>
        <v>1</v>
      </c>
      <c r="E475" s="43" t="b">
        <f>AND(BX475&gt;Driver!$F$54,BX475&lt;Driver!$G$54)</f>
        <v>0</v>
      </c>
      <c r="F475" s="43" t="b">
        <f>CL475&gt;Driver!$F$56</f>
        <v>1</v>
      </c>
      <c r="G475" s="43" t="b">
        <f>AND(CB475&gt;Driver!$F$55,CB475&lt;Driver!$G$55)</f>
        <v>0</v>
      </c>
      <c r="H475" s="43" t="b">
        <f t="shared" si="259"/>
        <v>0</v>
      </c>
      <c r="I475" s="43">
        <f t="shared" si="260"/>
        <v>0</v>
      </c>
      <c r="J475" s="43" t="b">
        <f t="array" ref="J475">NOT(OR(($H$9:$H$1273=TRUE)*($I$9:$I$1273&gt;0)*($BT$9:$BT$1273=BT475)*($K$9:$K$1273&gt;K475)))</f>
        <v>1</v>
      </c>
      <c r="K475" s="72">
        <f t="shared" si="261"/>
        <v>0.77813467379484369</v>
      </c>
      <c r="L475" s="72">
        <f t="shared" si="262"/>
        <v>0.84150212806320235</v>
      </c>
      <c r="M475" s="72">
        <f t="shared" si="263"/>
        <v>0.71476721952648492</v>
      </c>
      <c r="N475" s="72">
        <f t="shared" si="264"/>
        <v>0.58356975953929913</v>
      </c>
      <c r="O475" s="72">
        <f t="shared" si="265"/>
        <v>0.61533601916921998</v>
      </c>
      <c r="P475" s="72">
        <f t="shared" si="266"/>
        <v>0.94539587987093576</v>
      </c>
      <c r="Q475" s="72"/>
      <c r="R475" s="72"/>
      <c r="S475" s="72">
        <f t="shared" si="267"/>
        <v>0.50078534344727177</v>
      </c>
      <c r="T475" s="72">
        <f t="shared" si="268"/>
        <v>0.8817072965753604</v>
      </c>
      <c r="U475" s="72">
        <f t="shared" si="269"/>
        <v>0.51</v>
      </c>
      <c r="V475" s="72">
        <f t="shared" si="270"/>
        <v>0.49310059213909674</v>
      </c>
      <c r="W475" s="72">
        <f t="shared" si="271"/>
        <v>0.75516674280493379</v>
      </c>
      <c r="X475" s="72">
        <f t="shared" si="272"/>
        <v>0.15849787193679762</v>
      </c>
      <c r="Y475" s="72">
        <f t="shared" si="273"/>
        <v>0.28523278047351502</v>
      </c>
      <c r="Z475" s="72">
        <f t="shared" si="274"/>
        <v>0.41643024046070087</v>
      </c>
      <c r="AA475" s="72">
        <f t="shared" si="275"/>
        <v>0.38466398083078002</v>
      </c>
      <c r="AB475" s="72">
        <f t="shared" si="276"/>
        <v>5.4604120129064238E-2</v>
      </c>
      <c r="AC475" s="72"/>
      <c r="AD475" s="72"/>
      <c r="AE475" s="72">
        <f t="shared" si="277"/>
        <v>0.49921465655272823</v>
      </c>
      <c r="AF475" s="72">
        <f t="shared" si="278"/>
        <v>0.1182927034246396</v>
      </c>
      <c r="AG475" s="72">
        <f t="shared" si="279"/>
        <v>0.49</v>
      </c>
      <c r="AH475" s="72">
        <f t="shared" si="280"/>
        <v>0.50689940786090326</v>
      </c>
      <c r="AI475" s="72">
        <f t="shared" si="281"/>
        <v>0.24483325719506624</v>
      </c>
      <c r="AJ475" s="72">
        <f>(AV475-Driver!$K$179)/(Driver!$L$179-Driver!$K$179)</f>
        <v>9.5721537345902802E-2</v>
      </c>
      <c r="AK475" s="72">
        <f>(AW475-Driver!$K$180)/(Driver!$L$180-Driver!$K$180)</f>
        <v>0.3284862998450509</v>
      </c>
      <c r="AL475" s="72">
        <f>(AX475-Driver!$K$181)/(Driver!$L$181-Driver!$K$181)</f>
        <v>0.51811800417378107</v>
      </c>
      <c r="AM475" s="72">
        <f>(AY475-Driver!$K$182)/(Driver!$L$182-Driver!$K$182)</f>
        <v>6.2721040266266376E-2</v>
      </c>
      <c r="AN475" s="72">
        <f>(AZ475-Driver!$K$183)/(Driver!$L$183-Driver!$K$183)</f>
        <v>0.30882352941176466</v>
      </c>
      <c r="AO475" s="72"/>
      <c r="AP475" s="72"/>
      <c r="AQ475" s="72">
        <f>(BC475-Driver!$K$188)/(Driver!$L$188-Driver!$K$188)</f>
        <v>0.12078534344727174</v>
      </c>
      <c r="AR475" s="72">
        <f>MIN((BD475-Driver!$K$189)/(Driver!$L$189-Driver!$K$189),100%)</f>
        <v>0.66829270342463964</v>
      </c>
      <c r="AS475" s="72">
        <f>(BE475-Driver!$K$190)/(Driver!$L$190-Driver!$K$190)</f>
        <v>1</v>
      </c>
      <c r="AT475" s="72">
        <f>(BF475-Driver!$K$191)/(Driver!$L$191-Driver!$K$191)</f>
        <v>3.1005921390967702E-3</v>
      </c>
      <c r="AU475" s="72">
        <f>(BG475-Driver!$K$192)/(Driver!$L$192-Driver!$K$192)</f>
        <v>5.1667428049337605E-3</v>
      </c>
      <c r="AV475" s="70">
        <f t="shared" si="282"/>
        <v>2.0146520146520142</v>
      </c>
      <c r="AW475" s="70">
        <f t="shared" si="283"/>
        <v>33.885793226074355</v>
      </c>
      <c r="AX475" s="70">
        <f t="shared" si="284"/>
        <v>5.6630620375640293</v>
      </c>
      <c r="AY475" s="70">
        <f>IFERROR(Driver!$K$19/Data!BH475/Data!BI475*Data!BK475*Data!BL475,"")</f>
        <v>7.6789267438107961E-2</v>
      </c>
      <c r="AZ475" s="70">
        <f t="shared" si="285"/>
        <v>28.145941921072222</v>
      </c>
      <c r="BA475" s="70"/>
      <c r="BB475" s="70"/>
      <c r="BC475" s="70">
        <f t="shared" si="286"/>
        <v>62.652197332184784</v>
      </c>
      <c r="BD475" s="70">
        <f t="shared" si="287"/>
        <v>60.863542992577393</v>
      </c>
      <c r="BE475" s="70">
        <f t="shared" si="288"/>
        <v>1</v>
      </c>
      <c r="BF475" s="70">
        <f t="shared" si="289"/>
        <v>0.35019009921837724</v>
      </c>
      <c r="BG475" s="70">
        <f t="shared" si="290"/>
        <v>1.9564584285061675E-2</v>
      </c>
      <c r="BH475" s="67">
        <f>MAX((CE475-Driver!$F$200)/(Driver!$G$200-Driver!$F$200)*$BI$1,1)</f>
        <v>5.6630620375640293</v>
      </c>
      <c r="BI475" s="67">
        <f>MAX($BI$1*(BY475-Driver!$F$201)/(Driver!$G$201-Driver!$F$201),1)</f>
        <v>8.8607594936708853</v>
      </c>
      <c r="BJ475" s="67">
        <f>(CB475-Driver!$F$206)/(Driver!$G$206-Driver!$F$206)*$BI$1</f>
        <v>1.4285714285714284</v>
      </c>
      <c r="BK475" s="67">
        <f>(CD475-Driver!$F$203)/(Driver!$G$203-Driver!$F$203)*$BI$1</f>
        <v>2.6605504587155959</v>
      </c>
      <c r="BL475" s="67">
        <f>MAX((CR475-Driver!$F$202)/(Driver!$G$202-Driver!$F$202)*$BI$1,1)</f>
        <v>7.2413793103448274</v>
      </c>
      <c r="BM475" s="67">
        <f>MAX((CH475-Driver!$F$204)/(Driver!$G$204-Driver!$F$204)*$BI$1,1)</f>
        <v>5.6410256410256405</v>
      </c>
      <c r="BN475" s="67">
        <f>(CI475-Driver!$F$205)/(Driver!$G$205-Driver!$F$205)*$BI$1</f>
        <v>3.1764705882352939</v>
      </c>
      <c r="BO475" s="67">
        <f>(CK475-Driver!$F$207)/(Driver!$G$207-Driver!$F$207)*$BI$1</f>
        <v>0.88934850051706305</v>
      </c>
      <c r="BP475" s="67">
        <f>(CM475-Driver!$F$208)/(Driver!$G$208-Driver!$F$208)*$BI$1</f>
        <v>0.73333333333333339</v>
      </c>
      <c r="BQ475" s="67">
        <f>(CL475-Driver!$F$209)/(Driver!$G$209-Driver!$F$209)*$BI$1</f>
        <v>0.625</v>
      </c>
      <c r="BR475" s="28" t="s">
        <v>155</v>
      </c>
      <c r="BS475" s="8" t="s">
        <v>172</v>
      </c>
      <c r="BT475" s="9" t="s">
        <v>621</v>
      </c>
      <c r="BU475" s="10">
        <v>175</v>
      </c>
      <c r="BV475" s="9" t="s">
        <v>158</v>
      </c>
      <c r="BW475" s="10">
        <v>175</v>
      </c>
      <c r="BX475" s="10">
        <v>174.4</v>
      </c>
      <c r="BY475" s="10">
        <v>148</v>
      </c>
      <c r="BZ475" s="10">
        <v>161</v>
      </c>
      <c r="CA475" s="10">
        <v>122</v>
      </c>
      <c r="CB475" s="10">
        <v>73</v>
      </c>
      <c r="CC475" s="10">
        <v>108</v>
      </c>
      <c r="CD475" s="10">
        <v>15.2</v>
      </c>
      <c r="CE475" s="10">
        <v>1895</v>
      </c>
      <c r="CF475" s="10">
        <v>0.82</v>
      </c>
      <c r="CG475" s="10">
        <v>1550</v>
      </c>
      <c r="CH475" s="10">
        <v>233</v>
      </c>
      <c r="CI475" s="10">
        <v>87</v>
      </c>
      <c r="CJ475" s="10">
        <v>40</v>
      </c>
      <c r="CK475" s="10">
        <v>196</v>
      </c>
      <c r="CL475" s="10">
        <v>4</v>
      </c>
      <c r="CM475" s="10">
        <v>66</v>
      </c>
      <c r="CN475" s="10">
        <v>0.109</v>
      </c>
      <c r="CO475" s="10">
        <v>73</v>
      </c>
      <c r="CP475" s="10">
        <v>60</v>
      </c>
      <c r="CQ475" s="10">
        <v>122</v>
      </c>
      <c r="CR475" s="10">
        <v>10</v>
      </c>
      <c r="CS475" s="10">
        <v>10.199999999999999</v>
      </c>
      <c r="CT475" s="9" t="s">
        <v>349</v>
      </c>
      <c r="CU475" s="10"/>
      <c r="CV475" s="10"/>
      <c r="CW475" s="10"/>
      <c r="CX475" t="str">
        <f>INDEX('Data_Price '!AG$2:AG$1266,MATCH(Data!$DN475,'Data_Price '!$AT$2:$AT$1266,0))</f>
        <v>Rossignol Hero Elite MT Ti</v>
      </c>
      <c r="CY475" t="str">
        <f>INDEX('Data_Price '!AH$2:AH$1266,MATCH(Data!$DN475,'Data_Price '!$AT$2:$AT$1266,0))</f>
        <v>Suburban Ski and Bike</v>
      </c>
      <c r="CZ475">
        <f>INDEX('Data_Price '!AI$2:AI$1266,MATCH(Data!$DN475,'Data_Price '!$AT$2:$AT$1266,0))</f>
        <v>639.95000000000005</v>
      </c>
      <c r="DA475" t="str">
        <f>INDEX('Data_Price '!AJ$2:AJ$1266,MATCH(Data!$DN475,'Data_Price '!$AT$2:$AT$1266,0))</f>
        <v>https://tinyurl.com/y8927g4x</v>
      </c>
      <c r="DB475" t="str">
        <f>INDEX('Data_Price '!AK$2:AK$1266,MATCH(Data!$DN475,'Data_Price '!$AT$2:$AT$1266,0))</f>
        <v>Rossignol HERO ELITE MT TI + SPX12.GW BI Racing Ski 2022 175</v>
      </c>
      <c r="DC475" t="str">
        <f>INDEX('Data_Price '!AL$2:AL$1266,MATCH(Data!$DN475,'Data_Price '!$AT$2:$AT$1266,0))</f>
        <v>Boyne Country Sports</v>
      </c>
      <c r="DD475">
        <f>INDEX('Data_Price '!AM$2:AM$1266,MATCH(Data!$DN475,'Data_Price '!$AT$2:$AT$1266,0))</f>
        <v>900</v>
      </c>
      <c r="DE475" t="str">
        <f>INDEX('Data_Price '!AN$2:AN$1266,MATCH(Data!$DN475,'Data_Price '!$AT$2:$AT$1266,0))</f>
        <v>https://tinyurl.com/yczho7wx</v>
      </c>
      <c r="DF475" t="str">
        <f>INDEX('Data_Price '!AO$2:AO$1266,MATCH(Data!$DN475,'Data_Price '!$AT$2:$AT$1266,0))</f>
        <v>Rossignol Unisex Racing Skis Hero Athlete GS Â· 175 cm</v>
      </c>
      <c r="DG475" t="str">
        <f>INDEX('Data_Price '!AP$2:AP$1266,MATCH(Data!$DN475,'Data_Price '!$AT$2:$AT$1266,0))</f>
        <v>Gear West Ski &amp; Bike</v>
      </c>
      <c r="DH475">
        <f>INDEX('Data_Price '!AQ$2:AQ$1266,MATCH(Data!$DN475,'Data_Price '!$AT$2:$AT$1266,0))</f>
        <v>1125</v>
      </c>
      <c r="DI475" t="str">
        <f>INDEX('Data_Price '!AR$2:AR$1266,MATCH(Data!$DN475,'Data_Price '!$AT$2:$AT$1266,0))</f>
        <v>https://tinyurl.com/y7oubf3k</v>
      </c>
      <c r="DJ475" s="89" t="str">
        <f t="shared" si="291"/>
        <v>https://tinyurl.com/y8927g4x</v>
      </c>
      <c r="DK475" s="89" t="str">
        <f t="shared" si="292"/>
        <v>https://tinyurl.com/yczho7wx</v>
      </c>
      <c r="DL475" s="89" t="str">
        <f t="shared" si="293"/>
        <v>https://tinyurl.com/y7oubf3k</v>
      </c>
      <c r="DM475" s="219" t="str">
        <f t="shared" si="294"/>
        <v>Hero Elite Multi Turn Ca</v>
      </c>
      <c r="DN475" s="89" t="str">
        <f t="shared" si="295"/>
        <v xml:space="preserve"> RossignolHero Elite Multi Turn Ca175 Unisex</v>
      </c>
      <c r="DO475" s="221"/>
    </row>
    <row r="476" spans="1:119" ht="15.6" customHeight="1">
      <c r="B476" s="219" t="b">
        <f t="array" ref="B476">IF(OR(ISERROR(K476:P476)),FALSE,TRUE)</f>
        <v>1</v>
      </c>
      <c r="C476" s="43" t="b">
        <f>OR(BR476=Driver!$G$50,Data!BR1086=Driver!$H$50)</f>
        <v>1</v>
      </c>
      <c r="D476" s="43" t="b">
        <f>OR(BV476=Driver!$G$51,BV476=Driver!$H$51)</f>
        <v>0</v>
      </c>
      <c r="E476" s="43" t="b">
        <f>AND(BX476&gt;Driver!$F$54,BX476&lt;Driver!$G$54)</f>
        <v>0</v>
      </c>
      <c r="F476" s="43" t="b">
        <f>CL476&gt;Driver!$F$56</f>
        <v>1</v>
      </c>
      <c r="G476" s="43" t="b">
        <f>AND(CB476&gt;Driver!$F$55,CB476&lt;Driver!$G$55)</f>
        <v>0</v>
      </c>
      <c r="H476" s="43" t="b">
        <f t="shared" si="259"/>
        <v>0</v>
      </c>
      <c r="I476" s="43">
        <f t="shared" si="260"/>
        <v>0</v>
      </c>
      <c r="J476" s="43" t="b">
        <f t="array" ref="J476">NOT(OR(($H$9:$H$1273=TRUE)*($I$9:$I$1273&gt;0)*($BT$9:$BT$1273=BT476)*($K$9:$K$1273&gt;K476)))</f>
        <v>1</v>
      </c>
      <c r="K476" s="72">
        <f t="shared" si="261"/>
        <v>0.85072317695591015</v>
      </c>
      <c r="L476" s="72">
        <f t="shared" si="262"/>
        <v>0.93077777063833733</v>
      </c>
      <c r="M476" s="72">
        <f t="shared" si="263"/>
        <v>0.77066858327348287</v>
      </c>
      <c r="N476" s="72">
        <f t="shared" si="264"/>
        <v>0.69297341475968732</v>
      </c>
      <c r="O476" s="72">
        <f t="shared" si="265"/>
        <v>0.63906056787287346</v>
      </c>
      <c r="P476" s="72">
        <f t="shared" si="266"/>
        <v>0.97997176718788781</v>
      </c>
      <c r="Q476" s="72"/>
      <c r="R476" s="72"/>
      <c r="S476" s="72">
        <f t="shared" si="267"/>
        <v>0.43461582085364736</v>
      </c>
      <c r="T476" s="72">
        <f t="shared" si="268"/>
        <v>0.52815043868788403</v>
      </c>
      <c r="U476" s="72">
        <f t="shared" si="269"/>
        <v>0.74904513729000288</v>
      </c>
      <c r="V476" s="72">
        <f t="shared" si="270"/>
        <v>0.53228178099217116</v>
      </c>
      <c r="W476" s="72">
        <f t="shared" si="271"/>
        <v>0.78271986825707673</v>
      </c>
      <c r="X476" s="72">
        <f t="shared" si="272"/>
        <v>6.9222229361662641E-2</v>
      </c>
      <c r="Y476" s="72">
        <f t="shared" si="273"/>
        <v>0.22933141672651711</v>
      </c>
      <c r="Z476" s="72">
        <f t="shared" si="274"/>
        <v>0.30702658524031262</v>
      </c>
      <c r="AA476" s="72">
        <f t="shared" si="275"/>
        <v>0.36093943212712654</v>
      </c>
      <c r="AB476" s="72">
        <f t="shared" si="276"/>
        <v>2.0028232812112218E-2</v>
      </c>
      <c r="AC476" s="72"/>
      <c r="AD476" s="72"/>
      <c r="AE476" s="72">
        <f t="shared" si="277"/>
        <v>0.56538417914635264</v>
      </c>
      <c r="AF476" s="72">
        <f t="shared" si="278"/>
        <v>0.47184956131211597</v>
      </c>
      <c r="AG476" s="72">
        <f t="shared" si="279"/>
        <v>0.25095486270999712</v>
      </c>
      <c r="AH476" s="72">
        <f t="shared" si="280"/>
        <v>0.46771821900782889</v>
      </c>
      <c r="AI476" s="72">
        <f t="shared" si="281"/>
        <v>0.21728013174292327</v>
      </c>
      <c r="AJ476" s="72">
        <f>(AV476-Driver!$K$179)/(Driver!$L$179-Driver!$K$179)</f>
        <v>0.18499717992103779</v>
      </c>
      <c r="AK476" s="72">
        <f>(AW476-Driver!$K$180)/(Driver!$L$180-Driver!$K$180)</f>
        <v>0.24888837654534049</v>
      </c>
      <c r="AL476" s="72">
        <f>(AX476-Driver!$K$181)/(Driver!$L$181-Driver!$K$181)</f>
        <v>0.40871434895339281</v>
      </c>
      <c r="AM476" s="72">
        <f>(AY476-Driver!$K$182)/(Driver!$L$182-Driver!$K$182)</f>
        <v>8.6445588969919843E-2</v>
      </c>
      <c r="AN476" s="72">
        <f>(AZ476-Driver!$K$183)/(Driver!$L$183-Driver!$K$183)</f>
        <v>0.23419117647058821</v>
      </c>
      <c r="AO476" s="72"/>
      <c r="AP476" s="72"/>
      <c r="AQ476" s="72">
        <f>(BC476-Driver!$K$188)/(Driver!$L$188-Driver!$K$188)</f>
        <v>5.4615820853647384E-2</v>
      </c>
      <c r="AR476" s="72">
        <f>MIN((BD476-Driver!$K$189)/(Driver!$L$189-Driver!$K$189),100%)</f>
        <v>7.8150438687884072E-2</v>
      </c>
      <c r="AS476" s="72">
        <f>(BE476-Driver!$K$190)/(Driver!$L$190-Driver!$K$190)</f>
        <v>0.25904513729000289</v>
      </c>
      <c r="AT476" s="72">
        <f>(BF476-Driver!$K$191)/(Driver!$L$191-Driver!$K$191)</f>
        <v>4.2281780992171135E-2</v>
      </c>
      <c r="AU476" s="72">
        <f>(BG476-Driver!$K$192)/(Driver!$L$192-Driver!$K$192)</f>
        <v>3.271986825707672E-2</v>
      </c>
      <c r="AV476" s="70">
        <f t="shared" si="282"/>
        <v>3.8936372269705606</v>
      </c>
      <c r="AW476" s="70">
        <f t="shared" si="283"/>
        <v>26.128270291167141</v>
      </c>
      <c r="AX476" s="70">
        <f t="shared" si="284"/>
        <v>4.6784291405805352</v>
      </c>
      <c r="AY476" s="70">
        <f>IFERROR(Driver!$K$19/Data!BH476/Data!BI476*Data!BK476*Data!BL476,"")</f>
        <v>0.10583519377350212</v>
      </c>
      <c r="AZ476" s="70">
        <f t="shared" si="285"/>
        <v>21.344005956813103</v>
      </c>
      <c r="BA476" s="70"/>
      <c r="BB476" s="70"/>
      <c r="BC476" s="70">
        <f t="shared" si="286"/>
        <v>28.329605959813655</v>
      </c>
      <c r="BD476" s="70">
        <f t="shared" si="287"/>
        <v>8.6369982335920721</v>
      </c>
      <c r="BE476" s="70">
        <f t="shared" si="288"/>
        <v>0.25917731529770816</v>
      </c>
      <c r="BF476" s="70">
        <f t="shared" si="289"/>
        <v>4.7754301167426094</v>
      </c>
      <c r="BG476" s="70">
        <f t="shared" si="290"/>
        <v>0.12389829424069786</v>
      </c>
      <c r="BH476" s="67">
        <f>MAX((CE476-Driver!$F$200)/(Driver!$G$200-Driver!$F$200)*$BI$1,1)</f>
        <v>4.6784291405805352</v>
      </c>
      <c r="BI476" s="67">
        <f>MAX($BI$1*(BY476-Driver!$F$201)/(Driver!$G$201-Driver!$F$201),1)</f>
        <v>7.4050632911392409</v>
      </c>
      <c r="BJ476" s="67">
        <f>(CB476-Driver!$F$206)/(Driver!$G$206-Driver!$F$206)*$BI$1</f>
        <v>4.4444444444444446</v>
      </c>
      <c r="BK476" s="67">
        <f>(CD476-Driver!$F$203)/(Driver!$G$203-Driver!$F$203)*$BI$1</f>
        <v>2.7981651376146792</v>
      </c>
      <c r="BL476" s="67">
        <f>MAX((CR476-Driver!$F$202)/(Driver!$G$202-Driver!$F$202)*$BI$1,1)</f>
        <v>6.5517241379310338</v>
      </c>
      <c r="BM476" s="67">
        <f>MAX((CH476-Driver!$F$204)/(Driver!$G$204-Driver!$F$204)*$BI$1,1)</f>
        <v>3.5042735042735043</v>
      </c>
      <c r="BN476" s="67">
        <f>(CI476-Driver!$F$205)/(Driver!$G$205-Driver!$F$205)*$BI$1</f>
        <v>2.8823529411764701</v>
      </c>
      <c r="BO476" s="67">
        <f>(CK476-Driver!$F$207)/(Driver!$G$207-Driver!$F$207)*$BI$1</f>
        <v>1.8407445708376422</v>
      </c>
      <c r="BP476" s="67">
        <f>(CM476-Driver!$F$208)/(Driver!$G$208-Driver!$F$208)*$BI$1</f>
        <v>1.6333333333333333</v>
      </c>
      <c r="BQ476" s="67">
        <f>(CL476-Driver!$F$209)/(Driver!$G$209-Driver!$F$209)*$BI$1</f>
        <v>2.03125</v>
      </c>
      <c r="BR476" s="28" t="s">
        <v>155</v>
      </c>
      <c r="BS476" s="8" t="s">
        <v>174</v>
      </c>
      <c r="BT476" s="9" t="s">
        <v>622</v>
      </c>
      <c r="BU476" s="10">
        <v>169</v>
      </c>
      <c r="BV476" s="9" t="s">
        <v>163</v>
      </c>
      <c r="BW476" s="10">
        <v>169</v>
      </c>
      <c r="BX476" s="10">
        <v>168.6</v>
      </c>
      <c r="BY476" s="10">
        <v>125</v>
      </c>
      <c r="BZ476" s="10">
        <v>140</v>
      </c>
      <c r="CA476" s="10">
        <v>129</v>
      </c>
      <c r="CB476" s="10">
        <v>92</v>
      </c>
      <c r="CC476" s="10">
        <v>112</v>
      </c>
      <c r="CD476" s="10">
        <v>15.5</v>
      </c>
      <c r="CE476" s="10">
        <v>1722</v>
      </c>
      <c r="CF476" s="10">
        <v>1.02</v>
      </c>
      <c r="CG476" s="10">
        <v>1752</v>
      </c>
      <c r="CH476" s="10">
        <v>183</v>
      </c>
      <c r="CI476" s="10">
        <v>82</v>
      </c>
      <c r="CJ476" s="10">
        <v>56</v>
      </c>
      <c r="CK476" s="10">
        <v>288</v>
      </c>
      <c r="CL476" s="10">
        <v>13</v>
      </c>
      <c r="CM476" s="10">
        <v>147</v>
      </c>
      <c r="CN476" s="10">
        <v>0.23799999999999999</v>
      </c>
      <c r="CO476" s="10">
        <v>156</v>
      </c>
      <c r="CP476" s="10">
        <v>128</v>
      </c>
      <c r="CQ476" s="10">
        <v>132</v>
      </c>
      <c r="CR476" s="10">
        <v>8</v>
      </c>
      <c r="CS476" s="10">
        <v>9.1</v>
      </c>
      <c r="CT476" s="9" t="s">
        <v>188</v>
      </c>
      <c r="CU476" s="10"/>
      <c r="CV476" s="10"/>
      <c r="CW476" s="10"/>
      <c r="CX476" t="str">
        <f>INDEX('Data_Price '!AG$2:AG$1266,MATCH(Data!$DN476,'Data_Price '!$AT$2:$AT$1266,0))</f>
        <v>Salomon QST Lux 92 Skis - Women's 2022</v>
      </c>
      <c r="CY476" t="str">
        <f>INDEX('Data_Price '!AH$2:AH$1266,MATCH(Data!$DN476,'Data_Price '!$AT$2:$AT$1266,0))</f>
        <v>Ski Pro  - Snow Ski &amp; Snowboard</v>
      </c>
      <c r="CZ476">
        <f>INDEX('Data_Price '!AI$2:AI$1266,MATCH(Data!$DN476,'Data_Price '!$AT$2:$AT$1266,0))</f>
        <v>399.95</v>
      </c>
      <c r="DA476" t="str">
        <f>INDEX('Data_Price '!AJ$2:AJ$1266,MATCH(Data!$DN476,'Data_Price '!$AT$2:$AT$1266,0))</f>
        <v>https://tinyurl.com/yabsry6r</v>
      </c>
      <c r="DB476" t="str">
        <f>INDEX('Data_Price '!AK$2:AK$1266,MATCH(Data!$DN476,'Data_Price '!$AT$2:$AT$1266,0))</f>
        <v>Salomon QST Lux 92 Skis</v>
      </c>
      <c r="DC476" t="str">
        <f>INDEX('Data_Price '!AL$2:AL$1266,MATCH(Data!$DN476,'Data_Price '!$AT$2:$AT$1266,0))</f>
        <v>Cole Sport</v>
      </c>
      <c r="DD476">
        <f>INDEX('Data_Price '!AM$2:AM$1266,MATCH(Data!$DN476,'Data_Price '!$AT$2:$AT$1266,0))</f>
        <v>399.99</v>
      </c>
      <c r="DE476" t="str">
        <f>INDEX('Data_Price '!AN$2:AN$1266,MATCH(Data!$DN476,'Data_Price '!$AT$2:$AT$1266,0))</f>
        <v>https://tinyurl.com/y7o945wt</v>
      </c>
      <c r="DF476" t="str">
        <f>INDEX('Data_Price '!AO$2:AO$1266,MATCH(Data!$DN476,'Data_Price '!$AT$2:$AT$1266,0))</f>
        <v>Salomon QST Lux 92 Skis - Women's 2022</v>
      </c>
      <c r="DG476" t="str">
        <f>INDEX('Data_Price '!AP$2:AP$1266,MATCH(Data!$DN476,'Data_Price '!$AT$2:$AT$1266,0))</f>
        <v>Level Nine Sports</v>
      </c>
      <c r="DH476">
        <f>INDEX('Data_Price '!AQ$2:AQ$1266,MATCH(Data!$DN476,'Data_Price '!$AT$2:$AT$1266,0))</f>
        <v>399.99</v>
      </c>
      <c r="DI476" t="str">
        <f>INDEX('Data_Price '!AR$2:AR$1266,MATCH(Data!$DN476,'Data_Price '!$AT$2:$AT$1266,0))</f>
        <v>https://tinyurl.com/y9qegevw</v>
      </c>
      <c r="DJ476" s="89" t="str">
        <f t="shared" si="291"/>
        <v>https://tinyurl.com/yabsry6r</v>
      </c>
      <c r="DK476" s="89" t="str">
        <f t="shared" si="292"/>
        <v>https://tinyurl.com/y7o945wt</v>
      </c>
      <c r="DL476" s="89" t="str">
        <f t="shared" si="293"/>
        <v>https://tinyurl.com/y9qegevw</v>
      </c>
      <c r="DM476" s="219" t="str">
        <f t="shared" si="294"/>
        <v>QST Lux 92</v>
      </c>
      <c r="DN476" s="89" t="str">
        <f t="shared" si="295"/>
        <v xml:space="preserve"> SalomonQST Lux 92169 Women's</v>
      </c>
      <c r="DO476" s="221" t="s">
        <v>623</v>
      </c>
    </row>
    <row r="477" spans="1:119" ht="15.6" customHeight="1">
      <c r="B477" s="219" t="b">
        <f t="array" ref="B477">IF(OR(ISERROR(K477:P477)),FALSE,TRUE)</f>
        <v>1</v>
      </c>
      <c r="C477" s="43" t="b">
        <f>OR(BR477=Driver!$G$50,Data!BR1166=Driver!$H$50)</f>
        <v>1</v>
      </c>
      <c r="D477" s="43" t="b">
        <f>OR(BV477=Driver!$G$51,BV477=Driver!$H$51)</f>
        <v>1</v>
      </c>
      <c r="E477" s="43" t="b">
        <f>AND(BX477&gt;Driver!$F$54,BX477&lt;Driver!$G$54)</f>
        <v>0</v>
      </c>
      <c r="F477" s="43" t="b">
        <f>CL477&gt;Driver!$F$56</f>
        <v>1</v>
      </c>
      <c r="G477" s="43" t="b">
        <f>AND(CB477&gt;Driver!$F$55,CB477&lt;Driver!$G$55)</f>
        <v>0</v>
      </c>
      <c r="H477" s="43" t="b">
        <f t="shared" si="259"/>
        <v>0</v>
      </c>
      <c r="I477" s="43">
        <f t="shared" si="260"/>
        <v>0</v>
      </c>
      <c r="J477" s="43" t="b">
        <f t="array" ref="J477">NOT(OR(($H$9:$H$1273=TRUE)*($I$9:$I$1273&gt;0)*($BT$9:$BT$1273=BT477)*($K$9:$K$1273&gt;K477)))</f>
        <v>1</v>
      </c>
      <c r="K477" s="72">
        <f t="shared" si="261"/>
        <v>0.86296339468137473</v>
      </c>
      <c r="L477" s="72">
        <f t="shared" si="262"/>
        <v>0.89468075992203722</v>
      </c>
      <c r="M477" s="72">
        <f t="shared" si="263"/>
        <v>0.83124602944071224</v>
      </c>
      <c r="N477" s="72">
        <f t="shared" si="264"/>
        <v>0.8441148806421892</v>
      </c>
      <c r="O477" s="72">
        <f t="shared" si="265"/>
        <v>0.65175928362931468</v>
      </c>
      <c r="P477" s="72">
        <f t="shared" si="266"/>
        <v>0.99786392405063284</v>
      </c>
      <c r="Q477" s="72"/>
      <c r="R477" s="72"/>
      <c r="S477" s="72">
        <f t="shared" si="267"/>
        <v>0.46346278392493978</v>
      </c>
      <c r="T477" s="72">
        <f t="shared" si="268"/>
        <v>0.48567295706306901</v>
      </c>
      <c r="U477" s="72">
        <f t="shared" si="269"/>
        <v>0.67042125823133325</v>
      </c>
      <c r="V477" s="72">
        <f t="shared" si="270"/>
        <v>0.52898649740500781</v>
      </c>
      <c r="W477" s="72">
        <f t="shared" si="271"/>
        <v>0.80952167472321845</v>
      </c>
      <c r="X477" s="72">
        <f t="shared" si="272"/>
        <v>0.10531924007796273</v>
      </c>
      <c r="Y477" s="72">
        <f t="shared" si="273"/>
        <v>0.16875397055928776</v>
      </c>
      <c r="Z477" s="72">
        <f t="shared" si="274"/>
        <v>0.15588511935781085</v>
      </c>
      <c r="AA477" s="72">
        <f t="shared" si="275"/>
        <v>0.34824071637068538</v>
      </c>
      <c r="AB477" s="72">
        <f t="shared" si="276"/>
        <v>2.1360759493671E-3</v>
      </c>
      <c r="AC477" s="72"/>
      <c r="AD477" s="72"/>
      <c r="AE477" s="72">
        <f t="shared" si="277"/>
        <v>0.53653721607506022</v>
      </c>
      <c r="AF477" s="72">
        <f t="shared" si="278"/>
        <v>0.51432704293693099</v>
      </c>
      <c r="AG477" s="72">
        <f t="shared" si="279"/>
        <v>0.32957874176866675</v>
      </c>
      <c r="AH477" s="72">
        <f t="shared" si="280"/>
        <v>0.47101350259499219</v>
      </c>
      <c r="AI477" s="72">
        <f t="shared" si="281"/>
        <v>0.19047832527678155</v>
      </c>
      <c r="AJ477" s="72">
        <f>(AV477-Driver!$K$179)/(Driver!$L$179-Driver!$K$179)</f>
        <v>0.1489001692047377</v>
      </c>
      <c r="AK477" s="72">
        <f>(AW477-Driver!$K$180)/(Driver!$L$180-Driver!$K$180)</f>
        <v>0.25182244953696342</v>
      </c>
      <c r="AL477" s="72">
        <f>(AX477-Driver!$K$181)/(Driver!$L$181-Driver!$K$181)</f>
        <v>0.25757288307089105</v>
      </c>
      <c r="AM477" s="72">
        <f>(AY477-Driver!$K$182)/(Driver!$L$182-Driver!$K$182)</f>
        <v>9.9144304726361002E-2</v>
      </c>
      <c r="AN477" s="72">
        <f>(AZ477-Driver!$K$183)/(Driver!$L$183-Driver!$K$183)</f>
        <v>0.25208333333333333</v>
      </c>
      <c r="AO477" s="72"/>
      <c r="AP477" s="72"/>
      <c r="AQ477" s="72">
        <f>(BC477-Driver!$K$188)/(Driver!$L$188-Driver!$K$188)</f>
        <v>8.3462783924939804E-2</v>
      </c>
      <c r="AR477" s="72">
        <f>MIN((BD477-Driver!$K$189)/(Driver!$L$189-Driver!$K$189),100%)</f>
        <v>3.567295706306902E-2</v>
      </c>
      <c r="AS477" s="72">
        <f>(BE477-Driver!$K$190)/(Driver!$L$190-Driver!$K$190)</f>
        <v>0.18042125823133323</v>
      </c>
      <c r="AT477" s="72">
        <f>(BF477-Driver!$K$191)/(Driver!$L$191-Driver!$K$191)</f>
        <v>3.8986497405007842E-2</v>
      </c>
      <c r="AU477" s="72">
        <f>(BG477-Driver!$K$192)/(Driver!$L$192-Driver!$K$192)</f>
        <v>5.9521674723218461E-2</v>
      </c>
      <c r="AV477" s="70">
        <f t="shared" si="282"/>
        <v>3.1339031339031336</v>
      </c>
      <c r="AW477" s="70">
        <f t="shared" si="283"/>
        <v>26.414221702732291</v>
      </c>
      <c r="AX477" s="70">
        <f t="shared" si="284"/>
        <v>3.3181559476380196</v>
      </c>
      <c r="AY477" s="70">
        <f>IFERROR(Driver!$K$19/Data!BH477/Data!BI477*Data!BK477*Data!BL477,"")</f>
        <v>0.12138221079047486</v>
      </c>
      <c r="AZ477" s="70">
        <f t="shared" si="285"/>
        <v>22.974683544303797</v>
      </c>
      <c r="BA477" s="70"/>
      <c r="BB477" s="70"/>
      <c r="BC477" s="70">
        <f t="shared" si="286"/>
        <v>43.292726245726811</v>
      </c>
      <c r="BD477" s="70">
        <f t="shared" si="287"/>
        <v>4.8778163754396768</v>
      </c>
      <c r="BE477" s="70">
        <f t="shared" si="288"/>
        <v>0.18056746185411307</v>
      </c>
      <c r="BF477" s="70">
        <f t="shared" si="289"/>
        <v>4.4032509862499527</v>
      </c>
      <c r="BG477" s="70">
        <f t="shared" si="290"/>
        <v>0.22538703122563544</v>
      </c>
      <c r="BH477" s="67">
        <f>MAX((CE477-Driver!$F$200)/(Driver!$G$200-Driver!$F$200)*$BI$1,1)</f>
        <v>3.3181559476380196</v>
      </c>
      <c r="BI477" s="67">
        <f>MAX($BI$1*(BY477-Driver!$F$201)/(Driver!$G$201-Driver!$F$201),1)</f>
        <v>7.6582278481012658</v>
      </c>
      <c r="BJ477" s="67">
        <f>(CB477-Driver!$F$206)/(Driver!$G$206-Driver!$F$206)*$BI$1</f>
        <v>3.333333333333333</v>
      </c>
      <c r="BK477" s="67">
        <f>(CD477-Driver!$F$203)/(Driver!$G$203-Driver!$F$203)*$BI$1</f>
        <v>3.4403669724770634</v>
      </c>
      <c r="BL477" s="67">
        <f>MAX((CR477-Driver!$F$202)/(Driver!$G$202-Driver!$F$202)*$BI$1,1)</f>
        <v>4.4827586206896548</v>
      </c>
      <c r="BM477" s="67">
        <f>MAX((CH477-Driver!$F$204)/(Driver!$G$204-Driver!$F$204)*$BI$1,1)</f>
        <v>3.7606837606837606</v>
      </c>
      <c r="BN477" s="67">
        <f>(CI477-Driver!$F$205)/(Driver!$G$205-Driver!$F$205)*$BI$1</f>
        <v>3</v>
      </c>
      <c r="BO477" s="67">
        <f>(CK477-Driver!$F$207)/(Driver!$G$207-Driver!$F$207)*$BI$1</f>
        <v>1.9855222337125129</v>
      </c>
      <c r="BP477" s="67">
        <f>(CM477-Driver!$F$208)/(Driver!$G$208-Driver!$F$208)*$BI$1</f>
        <v>2.2888888888888888</v>
      </c>
      <c r="BQ477" s="67">
        <f>(CL477-Driver!$F$209)/(Driver!$G$209-Driver!$F$209)*$BI$1</f>
        <v>2.8125</v>
      </c>
      <c r="BR477" s="28" t="s">
        <v>155</v>
      </c>
      <c r="BS477" s="8" t="s">
        <v>229</v>
      </c>
      <c r="BT477" s="9" t="s">
        <v>624</v>
      </c>
      <c r="BU477" s="10">
        <v>180</v>
      </c>
      <c r="BV477" s="9" t="s">
        <v>158</v>
      </c>
      <c r="BW477" s="10">
        <v>180</v>
      </c>
      <c r="BX477" s="10">
        <v>179.6</v>
      </c>
      <c r="BY477" s="10">
        <v>129</v>
      </c>
      <c r="BZ477" s="10">
        <v>155</v>
      </c>
      <c r="CA477" s="10">
        <v>128</v>
      </c>
      <c r="CB477" s="10">
        <v>85</v>
      </c>
      <c r="CC477" s="10">
        <v>110</v>
      </c>
      <c r="CD477" s="10">
        <v>16.899999999999999</v>
      </c>
      <c r="CE477" s="10">
        <v>1483</v>
      </c>
      <c r="CF477" s="10">
        <v>1.2</v>
      </c>
      <c r="CG477" s="10">
        <v>1780</v>
      </c>
      <c r="CH477" s="10">
        <v>189</v>
      </c>
      <c r="CI477" s="10">
        <v>84</v>
      </c>
      <c r="CJ477" s="10">
        <v>46</v>
      </c>
      <c r="CK477" s="10">
        <v>302</v>
      </c>
      <c r="CL477" s="10">
        <v>18</v>
      </c>
      <c r="CM477" s="10">
        <v>206</v>
      </c>
      <c r="CN477" s="10">
        <v>0.39900000000000002</v>
      </c>
      <c r="CO477" s="10">
        <v>149</v>
      </c>
      <c r="CP477" s="10">
        <v>99</v>
      </c>
      <c r="CQ477" s="10">
        <v>154</v>
      </c>
      <c r="CR477" s="10">
        <v>2</v>
      </c>
      <c r="CS477" s="10">
        <v>11</v>
      </c>
      <c r="CT477" s="9" t="s">
        <v>188</v>
      </c>
      <c r="CU477" s="9" t="s">
        <v>185</v>
      </c>
      <c r="CV477" s="10"/>
      <c r="CW477" s="10"/>
      <c r="CX477" t="e">
        <f>INDEX('Data_Price '!AG$2:AG$1266,MATCH(Data!$DN477,'Data_Price '!$AT$2:$AT$1266,0))</f>
        <v>#N/A</v>
      </c>
      <c r="CY477" t="e">
        <f>INDEX('Data_Price '!AH$2:AH$1266,MATCH(Data!$DN477,'Data_Price '!$AT$2:$AT$1266,0))</f>
        <v>#N/A</v>
      </c>
      <c r="CZ477" t="e">
        <f>INDEX('Data_Price '!AI$2:AI$1266,MATCH(Data!$DN477,'Data_Price '!$AT$2:$AT$1266,0))</f>
        <v>#N/A</v>
      </c>
      <c r="DA477" t="e">
        <f>INDEX('Data_Price '!AJ$2:AJ$1266,MATCH(Data!$DN477,'Data_Price '!$AT$2:$AT$1266,0))</f>
        <v>#N/A</v>
      </c>
      <c r="DB477" t="e">
        <f>INDEX('Data_Price '!AK$2:AK$1266,MATCH(Data!$DN477,'Data_Price '!$AT$2:$AT$1266,0))</f>
        <v>#N/A</v>
      </c>
      <c r="DC477" t="e">
        <f>INDEX('Data_Price '!AL$2:AL$1266,MATCH(Data!$DN477,'Data_Price '!$AT$2:$AT$1266,0))</f>
        <v>#N/A</v>
      </c>
      <c r="DD477" t="e">
        <f>INDEX('Data_Price '!AM$2:AM$1266,MATCH(Data!$DN477,'Data_Price '!$AT$2:$AT$1266,0))</f>
        <v>#N/A</v>
      </c>
      <c r="DE477" t="e">
        <f>INDEX('Data_Price '!AN$2:AN$1266,MATCH(Data!$DN477,'Data_Price '!$AT$2:$AT$1266,0))</f>
        <v>#N/A</v>
      </c>
      <c r="DF477" t="e">
        <f>INDEX('Data_Price '!AO$2:AO$1266,MATCH(Data!$DN477,'Data_Price '!$AT$2:$AT$1266,0))</f>
        <v>#N/A</v>
      </c>
      <c r="DG477" t="e">
        <f>INDEX('Data_Price '!AP$2:AP$1266,MATCH(Data!$DN477,'Data_Price '!$AT$2:$AT$1266,0))</f>
        <v>#N/A</v>
      </c>
      <c r="DH477" t="e">
        <f>INDEX('Data_Price '!AQ$2:AQ$1266,MATCH(Data!$DN477,'Data_Price '!$AT$2:$AT$1266,0))</f>
        <v>#N/A</v>
      </c>
      <c r="DI477" t="e">
        <f>INDEX('Data_Price '!AR$2:AR$1266,MATCH(Data!$DN477,'Data_Price '!$AT$2:$AT$1266,0))</f>
        <v>#N/A</v>
      </c>
      <c r="DJ477" s="89" t="e">
        <f t="shared" si="291"/>
        <v>#N/A</v>
      </c>
      <c r="DK477" s="89" t="e">
        <f t="shared" si="292"/>
        <v>#N/A</v>
      </c>
      <c r="DL477" s="89" t="e">
        <f t="shared" si="293"/>
        <v>#N/A</v>
      </c>
      <c r="DM477" s="219" t="str">
        <f t="shared" si="294"/>
        <v>Blaze 86</v>
      </c>
      <c r="DN477" s="89" t="str">
        <f t="shared" si="295"/>
        <v xml:space="preserve"> VölklBlaze 86180 Unisex</v>
      </c>
      <c r="DO477" s="221" t="s">
        <v>625</v>
      </c>
    </row>
    <row r="478" spans="1:119" ht="15.6" customHeight="1">
      <c r="B478" s="219" t="b">
        <f t="array" ref="B478">IF(OR(ISERROR(K478:P478)),FALSE,TRUE)</f>
        <v>1</v>
      </c>
      <c r="C478" s="43" t="b">
        <f>OR(BR478=Driver!$G$50,Data!BR189=Driver!$H$50)</f>
        <v>1</v>
      </c>
      <c r="D478" s="43" t="b">
        <f>OR(BV478=Driver!$G$51,BV478=Driver!$H$51)</f>
        <v>1</v>
      </c>
      <c r="E478" s="43" t="b">
        <f>AND(BX478&gt;Driver!$F$54,BX478&lt;Driver!$G$54)</f>
        <v>0</v>
      </c>
      <c r="F478" s="43" t="b">
        <f>CL478&gt;Driver!$F$56</f>
        <v>1</v>
      </c>
      <c r="G478" s="43" t="b">
        <f>AND(CB478&gt;Driver!$F$55,CB478&lt;Driver!$G$55)</f>
        <v>0</v>
      </c>
      <c r="H478" s="43" t="b">
        <f t="shared" si="259"/>
        <v>0</v>
      </c>
      <c r="I478" s="43">
        <f t="shared" si="260"/>
        <v>0</v>
      </c>
      <c r="J478" s="43" t="b">
        <f t="array" ref="J478">NOT(OR(($H$9:$H$1273=TRUE)*($I$9:$I$1273&gt;0)*($BT$9:$BT$1273=BT478)*($K$9:$K$1273&gt;K478)))</f>
        <v>1</v>
      </c>
      <c r="K478" s="72">
        <f t="shared" si="261"/>
        <v>0.76694127351237595</v>
      </c>
      <c r="L478" s="72">
        <f t="shared" si="262"/>
        <v>0.81587969634940016</v>
      </c>
      <c r="M478" s="72">
        <f t="shared" si="263"/>
        <v>0.71800285067535174</v>
      </c>
      <c r="N478" s="72">
        <f t="shared" si="264"/>
        <v>0.58736410596312749</v>
      </c>
      <c r="O478" s="72">
        <f t="shared" si="265"/>
        <v>0.62990869691094653</v>
      </c>
      <c r="P478" s="72">
        <f t="shared" si="266"/>
        <v>0.93673574915198143</v>
      </c>
      <c r="Q478" s="72"/>
      <c r="R478" s="72"/>
      <c r="S478" s="72">
        <f t="shared" si="267"/>
        <v>0.51811072619748688</v>
      </c>
      <c r="T478" s="72">
        <f t="shared" si="268"/>
        <v>0.77641722741724239</v>
      </c>
      <c r="U478" s="72">
        <f t="shared" si="269"/>
        <v>0.51</v>
      </c>
      <c r="V478" s="72">
        <f t="shared" si="270"/>
        <v>0.49295089449322627</v>
      </c>
      <c r="W478" s="72">
        <f t="shared" si="271"/>
        <v>0.75788675429727004</v>
      </c>
      <c r="X478" s="72">
        <f t="shared" si="272"/>
        <v>0.18412030365059989</v>
      </c>
      <c r="Y478" s="72">
        <f t="shared" si="273"/>
        <v>0.2819971493246482</v>
      </c>
      <c r="Z478" s="72">
        <f t="shared" si="274"/>
        <v>0.41263589403687251</v>
      </c>
      <c r="AA478" s="72">
        <f t="shared" si="275"/>
        <v>0.37009130308905347</v>
      </c>
      <c r="AB478" s="72">
        <f t="shared" si="276"/>
        <v>6.3264250848018566E-2</v>
      </c>
      <c r="AC478" s="72"/>
      <c r="AD478" s="72"/>
      <c r="AE478" s="72">
        <f t="shared" si="277"/>
        <v>0.48188927380251306</v>
      </c>
      <c r="AF478" s="72">
        <f t="shared" si="278"/>
        <v>0.22358277258275761</v>
      </c>
      <c r="AG478" s="72">
        <f t="shared" si="279"/>
        <v>0.49</v>
      </c>
      <c r="AH478" s="72">
        <f t="shared" si="280"/>
        <v>0.50704910550677373</v>
      </c>
      <c r="AI478" s="72">
        <f t="shared" si="281"/>
        <v>0.24211324570273002</v>
      </c>
      <c r="AJ478" s="72">
        <f>(AV478-Driver!$K$179)/(Driver!$L$179-Driver!$K$179)</f>
        <v>7.0099105632100547E-2</v>
      </c>
      <c r="AK478" s="72">
        <f>(AW478-Driver!$K$180)/(Driver!$L$180-Driver!$K$180)</f>
        <v>0.33641754300827448</v>
      </c>
      <c r="AL478" s="72">
        <f>(AX478-Driver!$K$181)/(Driver!$L$181-Driver!$K$181)</f>
        <v>0.5143236577499527</v>
      </c>
      <c r="AM478" s="72">
        <f>(AY478-Driver!$K$182)/(Driver!$L$182-Driver!$K$182)</f>
        <v>7.7293718007992895E-2</v>
      </c>
      <c r="AN478" s="72">
        <f>(AZ478-Driver!$K$183)/(Driver!$L$183-Driver!$K$183)</f>
        <v>0.31748366013071899</v>
      </c>
      <c r="AO478" s="72"/>
      <c r="AP478" s="72"/>
      <c r="AQ478" s="72">
        <f>(BC478-Driver!$K$188)/(Driver!$L$188-Driver!$K$188)</f>
        <v>0.13811072619748693</v>
      </c>
      <c r="AR478" s="72">
        <f>MIN((BD478-Driver!$K$189)/(Driver!$L$189-Driver!$K$189),100%)</f>
        <v>0.32641722741724244</v>
      </c>
      <c r="AS478" s="72">
        <f>(BE478-Driver!$K$190)/(Driver!$L$190-Driver!$K$190)</f>
        <v>1</v>
      </c>
      <c r="AT478" s="72">
        <f>(BF478-Driver!$K$191)/(Driver!$L$191-Driver!$K$191)</f>
        <v>2.950894493226244E-3</v>
      </c>
      <c r="AU478" s="72">
        <f>(BG478-Driver!$K$192)/(Driver!$L$192-Driver!$K$192)</f>
        <v>7.8867542972699684E-3</v>
      </c>
      <c r="AV478" s="70">
        <f t="shared" si="282"/>
        <v>1.4753764753764753</v>
      </c>
      <c r="AW478" s="70">
        <f t="shared" si="283"/>
        <v>34.658763150294185</v>
      </c>
      <c r="AX478" s="70">
        <f t="shared" si="284"/>
        <v>5.628912919749574</v>
      </c>
      <c r="AY478" s="70">
        <f>IFERROR(Driver!$K$19/Data!BH478/Data!BI478*Data!BK478*Data!BL478,"")</f>
        <v>9.4630573061360732E-2</v>
      </c>
      <c r="AZ478" s="70">
        <f t="shared" si="285"/>
        <v>28.935219657483252</v>
      </c>
      <c r="BA478" s="70"/>
      <c r="BB478" s="70"/>
      <c r="BC478" s="70">
        <f t="shared" si="286"/>
        <v>71.638993808828246</v>
      </c>
      <c r="BD478" s="70">
        <f t="shared" si="287"/>
        <v>30.608169133421075</v>
      </c>
      <c r="BE478" s="70">
        <f t="shared" si="288"/>
        <v>1</v>
      </c>
      <c r="BF478" s="70">
        <f t="shared" si="289"/>
        <v>0.3332828018027848</v>
      </c>
      <c r="BG478" s="70">
        <f t="shared" si="290"/>
        <v>2.986428297479167E-2</v>
      </c>
      <c r="BH478" s="67">
        <f>MAX((CE478-Driver!$F$200)/(Driver!$G$200-Driver!$F$200)*$BI$1,1)</f>
        <v>5.628912919749574</v>
      </c>
      <c r="BI478" s="67">
        <f>MAX($BI$1*(BY478-Driver!$F$201)/(Driver!$G$201-Driver!$F$201),1)</f>
        <v>8.4810126582278489</v>
      </c>
      <c r="BJ478" s="67">
        <f>(CB478-Driver!$F$206)/(Driver!$G$206-Driver!$F$206)*$BI$1</f>
        <v>1.5873015873015872</v>
      </c>
      <c r="BK478" s="67">
        <f>(CD478-Driver!$F$203)/(Driver!$G$203-Driver!$F$203)*$BI$1</f>
        <v>3.1192660550458715</v>
      </c>
      <c r="BL478" s="67">
        <f>MAX((CR478-Driver!$F$202)/(Driver!$G$202-Driver!$F$202)*$BI$1,1)</f>
        <v>7.2413793103448274</v>
      </c>
      <c r="BM478" s="67">
        <f>MAX((CH478-Driver!$F$204)/(Driver!$G$204-Driver!$F$204)*$BI$1,1)</f>
        <v>3.7179487179487181</v>
      </c>
      <c r="BN478" s="67">
        <f>(CI478-Driver!$F$205)/(Driver!$G$205-Driver!$F$205)*$BI$1</f>
        <v>3.4117647058823533</v>
      </c>
      <c r="BO478" s="67">
        <f>(CK478-Driver!$F$207)/(Driver!$G$207-Driver!$F$207)*$BI$1</f>
        <v>0.7755946225439504</v>
      </c>
      <c r="BP478" s="67">
        <f>(CM478-Driver!$F$208)/(Driver!$G$208-Driver!$F$208)*$BI$1</f>
        <v>0.84444444444444444</v>
      </c>
      <c r="BQ478" s="67">
        <f>(CL478-Driver!$F$209)/(Driver!$G$209-Driver!$F$209)*$BI$1</f>
        <v>0.625</v>
      </c>
      <c r="BR478" s="28" t="s">
        <v>155</v>
      </c>
      <c r="BS478" s="8" t="s">
        <v>156</v>
      </c>
      <c r="BT478" s="9" t="s">
        <v>626</v>
      </c>
      <c r="BU478" s="10">
        <v>169</v>
      </c>
      <c r="BV478" s="9" t="s">
        <v>158</v>
      </c>
      <c r="BW478" s="10">
        <v>169</v>
      </c>
      <c r="BX478" s="10">
        <v>168.5</v>
      </c>
      <c r="BY478" s="10">
        <v>142</v>
      </c>
      <c r="BZ478" s="10">
        <v>152</v>
      </c>
      <c r="CA478" s="10">
        <v>115</v>
      </c>
      <c r="CB478" s="10">
        <v>74</v>
      </c>
      <c r="CC478" s="10">
        <v>100</v>
      </c>
      <c r="CD478" s="10">
        <v>16.2</v>
      </c>
      <c r="CE478" s="10">
        <v>1889</v>
      </c>
      <c r="CF478" s="10">
        <v>0.77</v>
      </c>
      <c r="CG478" s="10">
        <v>1464</v>
      </c>
      <c r="CH478" s="10">
        <v>188</v>
      </c>
      <c r="CI478" s="10">
        <v>91</v>
      </c>
      <c r="CJ478" s="10">
        <v>39</v>
      </c>
      <c r="CK478" s="10">
        <v>185</v>
      </c>
      <c r="CL478" s="10">
        <v>4</v>
      </c>
      <c r="CM478" s="10">
        <v>76</v>
      </c>
      <c r="CN478" s="10">
        <v>0.11600000000000001</v>
      </c>
      <c r="CO478" s="10">
        <v>97</v>
      </c>
      <c r="CP478" s="10">
        <v>73</v>
      </c>
      <c r="CQ478" s="10">
        <v>87</v>
      </c>
      <c r="CR478" s="10">
        <v>10</v>
      </c>
      <c r="CS478" s="10">
        <v>10.4</v>
      </c>
      <c r="CT478" s="9" t="s">
        <v>349</v>
      </c>
      <c r="CU478" s="9" t="s">
        <v>231</v>
      </c>
      <c r="CV478" s="10"/>
      <c r="CW478" s="10"/>
      <c r="CX478" t="str">
        <f>INDEX('Data_Price '!AG$2:AG$1266,MATCH(Data!$DN478,'Data_Price '!$AT$2:$AT$1266,0))</f>
        <v>Atomic Vantage 75 C + M 10 GW</v>
      </c>
      <c r="CY478" t="str">
        <f>INDEX('Data_Price '!AH$2:AH$1266,MATCH(Data!$DN478,'Data_Price '!$AT$2:$AT$1266,0))</f>
        <v>evo.com</v>
      </c>
      <c r="CZ478">
        <f>INDEX('Data_Price '!AI$2:AI$1266,MATCH(Data!$DN478,'Data_Price '!$AT$2:$AT$1266,0))</f>
        <v>319.99</v>
      </c>
      <c r="DA478" t="str">
        <f>INDEX('Data_Price '!AJ$2:AJ$1266,MATCH(Data!$DN478,'Data_Price '!$AT$2:$AT$1266,0))</f>
        <v>https://tinyurl.com/y8vqmf8w</v>
      </c>
      <c r="DB478" t="str">
        <f>INDEX('Data_Price '!AK$2:AK$1266,MATCH(Data!$DN478,'Data_Price '!$AT$2:$AT$1266,0))</f>
        <v>Atomic Vantage 75 C + M 10 GW</v>
      </c>
      <c r="DC478" t="str">
        <f>INDEX('Data_Price '!AL$2:AL$1266,MATCH(Data!$DN478,'Data_Price '!$AT$2:$AT$1266,0))</f>
        <v>Curated</v>
      </c>
      <c r="DD478">
        <f>INDEX('Data_Price '!AM$2:AM$1266,MATCH(Data!$DN478,'Data_Price '!$AT$2:$AT$1266,0))</f>
        <v>319.99</v>
      </c>
      <c r="DE478" t="str">
        <f>INDEX('Data_Price '!AN$2:AN$1266,MATCH(Data!$DN478,'Data_Price '!$AT$2:$AT$1266,0))</f>
        <v>https://tinyurl.com/ydh992n5</v>
      </c>
      <c r="DF478" t="str">
        <f>INDEX('Data_Price '!AO$2:AO$1266,MATCH(Data!$DN478,'Data_Price '!$AT$2:$AT$1266,0))</f>
        <v>Atomic Vantage 75 C + M10 GW Skis 2022 - - 169 cm</v>
      </c>
      <c r="DG478" t="str">
        <f>INDEX('Data_Price '!AP$2:AP$1266,MATCH(Data!$DN478,'Data_Price '!$AT$2:$AT$1266,0))</f>
        <v>Skirack</v>
      </c>
      <c r="DH478">
        <f>INDEX('Data_Price '!AQ$2:AQ$1266,MATCH(Data!$DN478,'Data_Price '!$AT$2:$AT$1266,0))</f>
        <v>319.99</v>
      </c>
      <c r="DI478" t="str">
        <f>INDEX('Data_Price '!AR$2:AR$1266,MATCH(Data!$DN478,'Data_Price '!$AT$2:$AT$1266,0))</f>
        <v>https://tinyurl.com/yatfgqew</v>
      </c>
      <c r="DJ478" s="89" t="str">
        <f t="shared" si="291"/>
        <v>https://tinyurl.com/y8vqmf8w</v>
      </c>
      <c r="DK478" s="89" t="str">
        <f t="shared" si="292"/>
        <v>https://tinyurl.com/ydh992n5</v>
      </c>
      <c r="DL478" s="89" t="str">
        <f t="shared" si="293"/>
        <v>https://tinyurl.com/yatfgqew</v>
      </c>
      <c r="DM478" s="219" t="str">
        <f t="shared" si="294"/>
        <v>Vantage 75</v>
      </c>
      <c r="DN478" s="89" t="str">
        <f t="shared" si="295"/>
        <v xml:space="preserve"> AtomicVantage 75169 Unisex</v>
      </c>
      <c r="DO478" s="221" t="s">
        <v>161</v>
      </c>
    </row>
    <row r="479" spans="1:119" ht="15.6" customHeight="1">
      <c r="B479" s="219" t="b">
        <f t="array" ref="B479">IF(OR(ISERROR(K479:P479)),FALSE,TRUE)</f>
        <v>1</v>
      </c>
      <c r="C479" s="43" t="b">
        <f>OR(BR479=Driver!$G$50,Data!BR825=Driver!$H$50)</f>
        <v>1</v>
      </c>
      <c r="D479" s="43" t="b">
        <f>OR(BV479=Driver!$G$51,BV479=Driver!$H$51)</f>
        <v>0</v>
      </c>
      <c r="E479" s="43" t="b">
        <f>AND(BX479&gt;Driver!$F$54,BX479&lt;Driver!$G$54)</f>
        <v>1</v>
      </c>
      <c r="F479" s="43" t="b">
        <f>CL479&gt;Driver!$F$56</f>
        <v>1</v>
      </c>
      <c r="G479" s="43" t="b">
        <f>AND(CB479&gt;Driver!$F$55,CB479&lt;Driver!$G$55)</f>
        <v>0</v>
      </c>
      <c r="H479" s="43" t="b">
        <f t="shared" si="259"/>
        <v>0</v>
      </c>
      <c r="I479" s="43">
        <f t="shared" si="260"/>
        <v>0</v>
      </c>
      <c r="J479" s="43" t="b">
        <f t="array" ref="J479">NOT(OR(($H$9:$H$1273=TRUE)*($I$9:$I$1273&gt;0)*($BT$9:$BT$1273=BT479)*($K$9:$K$1273&gt;K479)))</f>
        <v>1</v>
      </c>
      <c r="K479" s="72">
        <f t="shared" si="261"/>
        <v>0.8103670985206668</v>
      </c>
      <c r="L479" s="72">
        <f t="shared" si="262"/>
        <v>0.82538739113628279</v>
      </c>
      <c r="M479" s="72">
        <f t="shared" si="263"/>
        <v>0.79534680590505091</v>
      </c>
      <c r="N479" s="72">
        <f t="shared" si="264"/>
        <v>0.75494773968221951</v>
      </c>
      <c r="O479" s="72">
        <f t="shared" si="265"/>
        <v>0.63716738639729154</v>
      </c>
      <c r="P479" s="72">
        <f t="shared" si="266"/>
        <v>0.99392529163564158</v>
      </c>
      <c r="Q479" s="72"/>
      <c r="R479" s="72"/>
      <c r="S479" s="72">
        <f t="shared" si="267"/>
        <v>0.43473317817714652</v>
      </c>
      <c r="T479" s="72">
        <f t="shared" si="268"/>
        <v>0.47992986234403689</v>
      </c>
      <c r="U479" s="72">
        <f t="shared" si="269"/>
        <v>0.98983114220841761</v>
      </c>
      <c r="V479" s="72">
        <f t="shared" si="270"/>
        <v>0.51234010573274236</v>
      </c>
      <c r="W479" s="72">
        <f t="shared" si="271"/>
        <v>0.84249600174469319</v>
      </c>
      <c r="X479" s="72">
        <f t="shared" si="272"/>
        <v>0.17461260886371727</v>
      </c>
      <c r="Y479" s="72">
        <f t="shared" si="273"/>
        <v>0.20465319409494911</v>
      </c>
      <c r="Z479" s="72">
        <f t="shared" si="274"/>
        <v>0.24505226031778049</v>
      </c>
      <c r="AA479" s="72">
        <f t="shared" si="275"/>
        <v>0.36283261360270846</v>
      </c>
      <c r="AB479" s="72">
        <f t="shared" si="276"/>
        <v>6.074708364358361E-3</v>
      </c>
      <c r="AC479" s="72"/>
      <c r="AD479" s="72"/>
      <c r="AE479" s="72">
        <f t="shared" si="277"/>
        <v>0.56526682182285348</v>
      </c>
      <c r="AF479" s="72">
        <f t="shared" si="278"/>
        <v>0.52007013765596311</v>
      </c>
      <c r="AG479" s="72">
        <f t="shared" si="279"/>
        <v>1.0168857791582386E-2</v>
      </c>
      <c r="AH479" s="72">
        <f t="shared" si="280"/>
        <v>0.4876598942672577</v>
      </c>
      <c r="AI479" s="72">
        <f t="shared" si="281"/>
        <v>0.15750399825530678</v>
      </c>
      <c r="AJ479" s="72">
        <f>(AV479-Driver!$K$179)/(Driver!$L$179-Driver!$K$179)</f>
        <v>7.9606800418983145E-2</v>
      </c>
      <c r="AK479" s="72">
        <f>(AW479-Driver!$K$180)/(Driver!$L$180-Driver!$K$180)</f>
        <v>0.26755179487058944</v>
      </c>
      <c r="AL479" s="72">
        <f>(AX479-Driver!$K$181)/(Driver!$L$181-Driver!$K$181)</f>
        <v>0.34674002403086068</v>
      </c>
      <c r="AM479" s="72">
        <f>(AY479-Driver!$K$182)/(Driver!$L$182-Driver!$K$182)</f>
        <v>8.45524074943379E-2</v>
      </c>
      <c r="AN479" s="72">
        <f>(AZ479-Driver!$K$183)/(Driver!$L$183-Driver!$K$183)</f>
        <v>0.26029411764705879</v>
      </c>
      <c r="AO479" s="72"/>
      <c r="AP479" s="72"/>
      <c r="AQ479" s="72">
        <f>(BC479-Driver!$K$188)/(Driver!$L$188-Driver!$K$188)</f>
        <v>5.4733178177146506E-2</v>
      </c>
      <c r="AR479" s="72">
        <f>MIN((BD479-Driver!$K$189)/(Driver!$L$189-Driver!$K$189),100%)</f>
        <v>2.9929862344036922E-2</v>
      </c>
      <c r="AS479" s="72">
        <f>(BE479-Driver!$K$190)/(Driver!$L$190-Driver!$K$190)</f>
        <v>0.5201688577915824</v>
      </c>
      <c r="AT479" s="72">
        <f>(BF479-Driver!$K$191)/(Driver!$L$191-Driver!$K$191)</f>
        <v>2.2340105732742286E-2</v>
      </c>
      <c r="AU479" s="72">
        <f>(BG479-Driver!$K$192)/(Driver!$L$192-Driver!$K$192)</f>
        <v>9.2496001744693218E-2</v>
      </c>
      <c r="AV479" s="70">
        <f t="shared" si="282"/>
        <v>1.6754850088183419</v>
      </c>
      <c r="AW479" s="70">
        <f t="shared" si="283"/>
        <v>27.947185781672321</v>
      </c>
      <c r="AX479" s="70">
        <f t="shared" si="284"/>
        <v>4.1206602162777459</v>
      </c>
      <c r="AY479" s="70">
        <f>IFERROR(Driver!$K$19/Data!BH479/Data!BI479*Data!BK479*Data!BL479,"")</f>
        <v>0.10351737477655666</v>
      </c>
      <c r="AZ479" s="70">
        <f t="shared" si="285"/>
        <v>23.723008190618017</v>
      </c>
      <c r="BA479" s="70"/>
      <c r="BB479" s="70"/>
      <c r="BC479" s="70">
        <f t="shared" si="286"/>
        <v>28.390480019367526</v>
      </c>
      <c r="BD479" s="70">
        <f t="shared" si="287"/>
        <v>4.3695626689670233</v>
      </c>
      <c r="BE479" s="70">
        <f t="shared" si="288"/>
        <v>0.52025445426662287</v>
      </c>
      <c r="BF479" s="70">
        <f t="shared" si="289"/>
        <v>2.523157994387824</v>
      </c>
      <c r="BG479" s="70">
        <f t="shared" si="290"/>
        <v>0.35024886867548705</v>
      </c>
      <c r="BH479" s="67">
        <f>MAX((CE479-Driver!$F$200)/(Driver!$G$200-Driver!$F$200)*$BI$1,1)</f>
        <v>4.1206602162777459</v>
      </c>
      <c r="BI479" s="67">
        <f>MAX($BI$1*(BY479-Driver!$F$201)/(Driver!$G$201-Driver!$F$201),1)</f>
        <v>7.4683544303797467</v>
      </c>
      <c r="BJ479" s="67">
        <f>(CB479-Driver!$F$206)/(Driver!$G$206-Driver!$F$206)*$BI$1</f>
        <v>4.1269841269841265</v>
      </c>
      <c r="BK479" s="67">
        <f>(CD479-Driver!$F$203)/(Driver!$G$203-Driver!$F$203)*$BI$1</f>
        <v>2.4311926605504586</v>
      </c>
      <c r="BL479" s="67">
        <f>MAX((CR479-Driver!$F$202)/(Driver!$G$202-Driver!$F$202)*$BI$1,1)</f>
        <v>6.5517241379310338</v>
      </c>
      <c r="BM479" s="67">
        <f>MAX((CH479-Driver!$F$204)/(Driver!$G$204-Driver!$F$204)*$BI$1,1)</f>
        <v>1.6239316239316239</v>
      </c>
      <c r="BN479" s="67">
        <f>(CI479-Driver!$F$205)/(Driver!$G$205-Driver!$F$205)*$BI$1</f>
        <v>3.1764705882352939</v>
      </c>
      <c r="BO479" s="67">
        <f>(CK479-Driver!$F$207)/(Driver!$G$207-Driver!$F$207)*$BI$1</f>
        <v>1.0134436401240952</v>
      </c>
      <c r="BP479" s="67">
        <f>(CM479-Driver!$F$208)/(Driver!$G$208-Driver!$F$208)*$BI$1</f>
        <v>1.4666666666666668</v>
      </c>
      <c r="BQ479" s="67">
        <f>(CL479-Driver!$F$209)/(Driver!$G$209-Driver!$F$209)*$BI$1</f>
        <v>2.34375</v>
      </c>
      <c r="BR479" s="28" t="s">
        <v>155</v>
      </c>
      <c r="BS479" s="8" t="s">
        <v>208</v>
      </c>
      <c r="BT479" s="9" t="s">
        <v>265</v>
      </c>
      <c r="BU479" s="10">
        <v>160</v>
      </c>
      <c r="BV479" s="9" t="s">
        <v>163</v>
      </c>
      <c r="BW479" s="10">
        <v>160</v>
      </c>
      <c r="BX479" s="10">
        <v>159.5</v>
      </c>
      <c r="BY479" s="10">
        <v>126</v>
      </c>
      <c r="BZ479" s="10">
        <v>144</v>
      </c>
      <c r="CA479" s="10">
        <v>139</v>
      </c>
      <c r="CB479" s="10">
        <v>90</v>
      </c>
      <c r="CC479" s="10">
        <v>113</v>
      </c>
      <c r="CD479" s="10">
        <v>14.7</v>
      </c>
      <c r="CE479" s="10">
        <v>1624</v>
      </c>
      <c r="CF479" s="10">
        <v>1.02</v>
      </c>
      <c r="CG479" s="10">
        <v>1664</v>
      </c>
      <c r="CH479" s="10">
        <v>139</v>
      </c>
      <c r="CI479" s="10">
        <v>87</v>
      </c>
      <c r="CJ479" s="10">
        <v>32</v>
      </c>
      <c r="CK479" s="10">
        <v>208</v>
      </c>
      <c r="CL479" s="10">
        <v>15</v>
      </c>
      <c r="CM479" s="10">
        <v>132</v>
      </c>
      <c r="CN479" s="10">
        <v>0.46500000000000002</v>
      </c>
      <c r="CO479" s="10">
        <v>129</v>
      </c>
      <c r="CP479" s="10">
        <v>22</v>
      </c>
      <c r="CQ479" s="10">
        <v>79</v>
      </c>
      <c r="CR479" s="10">
        <v>8</v>
      </c>
      <c r="CS479" s="10">
        <v>6.4</v>
      </c>
      <c r="CT479" s="9" t="s">
        <v>188</v>
      </c>
      <c r="CU479" s="10"/>
      <c r="CV479" s="10"/>
      <c r="CW479" s="10"/>
      <c r="CX479" t="str">
        <f>INDEX('Data_Price '!AG$2:AG$1266,MATCH(Data!$DN479,'Data_Price '!$AT$2:$AT$1266,0))</f>
        <v>'21 Line Blade W Skis 160cm</v>
      </c>
      <c r="CY479" t="str">
        <f>INDEX('Data_Price '!AH$2:AH$1266,MATCH(Data!$DN479,'Data_Price '!$AT$2:$AT$1266,0))</f>
        <v>Al's Ski Equipment Barn</v>
      </c>
      <c r="CZ479">
        <f>INDEX('Data_Price '!AI$2:AI$1266,MATCH(Data!$DN479,'Data_Price '!$AT$2:$AT$1266,0))</f>
        <v>479.95</v>
      </c>
      <c r="DA479" t="str">
        <f>INDEX('Data_Price '!AJ$2:AJ$1266,MATCH(Data!$DN479,'Data_Price '!$AT$2:$AT$1266,0))</f>
        <v>https://www.google.com/url?q=https://www.untracked.com/p7116c18b88lr-Froogle-21_line_blade_womens_allmountain_freeride_skis.html%23chsku721504&amp;sa=U&amp;ved=0ahUKEwjnkuuAvu72AhU9JUQIHXvvCHMQ2SkIgQE&amp;usg=AOvVaw3VoLMYGVTKTj_bJ4ensBSE</v>
      </c>
      <c r="DB479" t="str">
        <f>INDEX('Data_Price '!AK$2:AK$1266,MATCH(Data!$DN479,'Data_Price '!$AT$2:$AT$1266,0))</f>
        <v>Line 2022 Blade W's Skis w Marker Griffon Bindings 160</v>
      </c>
      <c r="DC479" t="str">
        <f>INDEX('Data_Price '!AL$2:AL$1266,MATCH(Data!$DN479,'Data_Price '!$AT$2:$AT$1266,0))</f>
        <v>The Locals Sale</v>
      </c>
      <c r="DD479">
        <f>INDEX('Data_Price '!AM$2:AM$1266,MATCH(Data!$DN479,'Data_Price '!$AT$2:$AT$1266,0))</f>
        <v>540</v>
      </c>
      <c r="DE479" t="str">
        <f>INDEX('Data_Price '!AN$2:AN$1266,MATCH(Data!$DN479,'Data_Price '!$AT$2:$AT$1266,0))</f>
        <v>https://tinyurl.com/y9ao4oof</v>
      </c>
      <c r="DF479" t="str">
        <f>INDEX('Data_Price '!AO$2:AO$1266,MATCH(Data!$DN479,'Data_Price '!$AT$2:$AT$1266,0))</f>
        <v>Line Blade W Skis 2022</v>
      </c>
      <c r="DG479" t="str">
        <f>INDEX('Data_Price '!AP$2:AP$1266,MATCH(Data!$DN479,'Data_Price '!$AT$2:$AT$1266,0))</f>
        <v>Level Nine Sports</v>
      </c>
      <c r="DH479">
        <f>INDEX('Data_Price '!AQ$2:AQ$1266,MATCH(Data!$DN479,'Data_Price '!$AT$2:$AT$1266,0))</f>
        <v>699.95</v>
      </c>
      <c r="DI479" t="str">
        <f>INDEX('Data_Price '!AR$2:AR$1266,MATCH(Data!$DN479,'Data_Price '!$AT$2:$AT$1266,0))</f>
        <v>https://tinyurl.com/y8w6yvjd</v>
      </c>
      <c r="DJ479" s="89" t="str">
        <f t="shared" si="291"/>
        <v>https://www.google.com/url?q=https://www.untracked.com/p7116c18b88lr-Froogle-21_line_blade_womens_allmountain_freeride_skis.html%23chsku721504&amp;sa=U&amp;ved=0ahUKEwjnkuuAvu72AhU9JUQIHXvvCHMQ2SkIgQE&amp;usg=AOvVaw3VoLMYGVTKTj_bJ4ensBSE</v>
      </c>
      <c r="DK479" s="89" t="str">
        <f t="shared" si="292"/>
        <v>https://tinyurl.com/y9ao4oof</v>
      </c>
      <c r="DL479" s="89" t="str">
        <f t="shared" si="293"/>
        <v>https://tinyurl.com/y8w6yvjd</v>
      </c>
      <c r="DM479" s="219" t="str">
        <f t="shared" si="294"/>
        <v>Blade W</v>
      </c>
      <c r="DN479" s="89" t="str">
        <f t="shared" si="295"/>
        <v xml:space="preserve"> LineBlade W160 Women's</v>
      </c>
      <c r="DO479" s="221" t="s">
        <v>266</v>
      </c>
    </row>
    <row r="480" spans="1:119" ht="15.6" customHeight="1">
      <c r="B480" s="219" t="b">
        <f t="array" ref="B480">IF(OR(ISERROR(K480:P480)),FALSE,TRUE)</f>
        <v>1</v>
      </c>
      <c r="C480" s="43" t="b">
        <f>OR(BR480=Driver!$G$50,Data!BR1243=Driver!$H$50)</f>
        <v>1</v>
      </c>
      <c r="D480" s="43" t="b">
        <f>OR(BV480=Driver!$G$51,BV480=Driver!$H$51)</f>
        <v>1</v>
      </c>
      <c r="E480" s="43" t="b">
        <f>AND(BX480&gt;Driver!$F$54,BX480&lt;Driver!$G$54)</f>
        <v>0</v>
      </c>
      <c r="F480" s="43" t="b">
        <f>CL480&gt;Driver!$F$56</f>
        <v>1</v>
      </c>
      <c r="G480" s="43" t="b">
        <f>AND(CB480&gt;Driver!$F$55,CB480&lt;Driver!$G$55)</f>
        <v>0</v>
      </c>
      <c r="H480" s="43" t="b">
        <f t="shared" si="259"/>
        <v>0</v>
      </c>
      <c r="I480" s="43">
        <f t="shared" si="260"/>
        <v>0</v>
      </c>
      <c r="J480" s="43" t="b">
        <f t="array" ref="J480">NOT(OR(($H$9:$H$1273=TRUE)*($I$9:$I$1273&gt;0)*($BT$9:$BT$1273=BT480)*($K$9:$K$1273&gt;K480)))</f>
        <v>1</v>
      </c>
      <c r="K480" s="72">
        <f t="shared" si="261"/>
        <v>0.83117546844912082</v>
      </c>
      <c r="L480" s="72">
        <f t="shared" si="262"/>
        <v>0.96574674976975305</v>
      </c>
      <c r="M480" s="72">
        <f t="shared" si="263"/>
        <v>0.69660418712848848</v>
      </c>
      <c r="N480" s="72">
        <f t="shared" si="264"/>
        <v>0.53044890960570024</v>
      </c>
      <c r="O480" s="72">
        <f t="shared" si="265"/>
        <v>0.65898411177811056</v>
      </c>
      <c r="P480" s="72">
        <f t="shared" si="266"/>
        <v>0.90037954000165454</v>
      </c>
      <c r="Q480" s="72"/>
      <c r="R480" s="72"/>
      <c r="S480" s="72">
        <f t="shared" si="267"/>
        <v>0.53944212977885808</v>
      </c>
      <c r="T480" s="72">
        <f t="shared" si="268"/>
        <v>0.48642527321810414</v>
      </c>
      <c r="U480" s="72">
        <f t="shared" si="269"/>
        <v>0.57069642517492303</v>
      </c>
      <c r="V480" s="72">
        <f t="shared" si="270"/>
        <v>0.51026345385774774</v>
      </c>
      <c r="W480" s="72">
        <f t="shared" si="271"/>
        <v>0.81392824043426448</v>
      </c>
      <c r="X480" s="72">
        <f t="shared" si="272"/>
        <v>3.4253250230246973E-2</v>
      </c>
      <c r="Y480" s="72">
        <f t="shared" si="273"/>
        <v>0.30339581287151152</v>
      </c>
      <c r="Z480" s="72">
        <f t="shared" si="274"/>
        <v>0.46955109039429976</v>
      </c>
      <c r="AA480" s="72">
        <f t="shared" si="275"/>
        <v>0.34101588822188938</v>
      </c>
      <c r="AB480" s="72">
        <f t="shared" si="276"/>
        <v>9.9620459998345401E-2</v>
      </c>
      <c r="AC480" s="72"/>
      <c r="AD480" s="72"/>
      <c r="AE480" s="72">
        <f t="shared" si="277"/>
        <v>0.46055787022114186</v>
      </c>
      <c r="AF480" s="72">
        <f t="shared" si="278"/>
        <v>0.51357472678189586</v>
      </c>
      <c r="AG480" s="72">
        <f t="shared" si="279"/>
        <v>0.42930357482507697</v>
      </c>
      <c r="AH480" s="72">
        <f t="shared" si="280"/>
        <v>0.48973654614225232</v>
      </c>
      <c r="AI480" s="72">
        <f t="shared" si="281"/>
        <v>0.18607175956573546</v>
      </c>
      <c r="AJ480" s="72">
        <f>(AV480-Driver!$K$179)/(Driver!$L$179-Driver!$K$179)</f>
        <v>0.21996615905245345</v>
      </c>
      <c r="AK480" s="72">
        <f>(AW480-Driver!$K$180)/(Driver!$L$180-Driver!$K$180)</f>
        <v>0.37603745036423158</v>
      </c>
      <c r="AL480" s="72">
        <f>(AX480-Driver!$K$181)/(Driver!$L$181-Driver!$K$181)</f>
        <v>0.57123885410737996</v>
      </c>
      <c r="AM480" s="72">
        <f>(AY480-Driver!$K$182)/(Driver!$L$182-Driver!$K$182)</f>
        <v>0.10636913287515698</v>
      </c>
      <c r="AN480" s="72">
        <f>(AZ480-Driver!$K$183)/(Driver!$L$183-Driver!$K$183)</f>
        <v>0.35383986928104583</v>
      </c>
      <c r="AO480" s="72"/>
      <c r="AP480" s="72"/>
      <c r="AQ480" s="72">
        <f>(BC480-Driver!$K$188)/(Driver!$L$188-Driver!$K$188)</f>
        <v>0.15944212977885813</v>
      </c>
      <c r="AR480" s="72">
        <f>MIN((BD480-Driver!$K$189)/(Driver!$L$189-Driver!$K$189),100%)</f>
        <v>3.642527321810414E-2</v>
      </c>
      <c r="AS480" s="72">
        <f>(BE480-Driver!$K$190)/(Driver!$L$190-Driver!$K$190)</f>
        <v>8.069642517492305E-2</v>
      </c>
      <c r="AT480" s="72">
        <f>(BF480-Driver!$K$191)/(Driver!$L$191-Driver!$K$191)</f>
        <v>2.0263453857747683E-2</v>
      </c>
      <c r="AU480" s="72">
        <f>(BG480-Driver!$K$192)/(Driver!$L$192-Driver!$K$192)</f>
        <v>6.3928240434264538E-2</v>
      </c>
      <c r="AV480" s="70">
        <f t="shared" si="282"/>
        <v>4.6296296296296298</v>
      </c>
      <c r="AW480" s="70">
        <f t="shared" si="283"/>
        <v>38.520074190224975</v>
      </c>
      <c r="AX480" s="70">
        <f t="shared" si="284"/>
        <v>6.1411496869664193</v>
      </c>
      <c r="AY480" s="70">
        <f>IFERROR(Driver!$K$19/Data!BH480/Data!BI480*Data!BK480*Data!BL480,"")</f>
        <v>0.13022755612526279</v>
      </c>
      <c r="AZ480" s="70">
        <f t="shared" si="285"/>
        <v>32.24869694713329</v>
      </c>
      <c r="BA480" s="70"/>
      <c r="BB480" s="70"/>
      <c r="BC480" s="70">
        <f t="shared" si="286"/>
        <v>82.703741139997334</v>
      </c>
      <c r="BD480" s="70">
        <f t="shared" si="287"/>
        <v>4.9443950221349375</v>
      </c>
      <c r="BE480" s="70">
        <f t="shared" si="288"/>
        <v>8.0860418585469371E-2</v>
      </c>
      <c r="BF480" s="70">
        <f t="shared" si="289"/>
        <v>2.2886147544123023</v>
      </c>
      <c r="BG480" s="70">
        <f t="shared" si="290"/>
        <v>0.24207310009267846</v>
      </c>
      <c r="BH480" s="67">
        <f>MAX((CE480-Driver!$F$200)/(Driver!$G$200-Driver!$F$200)*$BI$1,1)</f>
        <v>6.1411496869664193</v>
      </c>
      <c r="BI480" s="67">
        <f>MAX($BI$1*(BY480-Driver!$F$201)/(Driver!$G$201-Driver!$F$201),1)</f>
        <v>7.7215189873417724</v>
      </c>
      <c r="BJ480" s="67">
        <f>(CB480-Driver!$F$206)/(Driver!$G$206-Driver!$F$206)*$BI$1</f>
        <v>4.7619047619047619</v>
      </c>
      <c r="BK480" s="67">
        <f>(CD480-Driver!$F$203)/(Driver!$G$203-Driver!$F$203)*$BI$1</f>
        <v>5.5963302752293584</v>
      </c>
      <c r="BL480" s="67">
        <f>MAX((CR480-Driver!$F$202)/(Driver!$G$202-Driver!$F$202)*$BI$1,1)</f>
        <v>5.5172413793103452</v>
      </c>
      <c r="BM480" s="67">
        <f>MAX((CH480-Driver!$F$204)/(Driver!$G$204-Driver!$F$204)*$BI$1,1)</f>
        <v>3.8888888888888888</v>
      </c>
      <c r="BN480" s="67">
        <f>(CI480-Driver!$F$205)/(Driver!$G$205-Driver!$F$205)*$BI$1</f>
        <v>4.1764705882352944</v>
      </c>
      <c r="BO480" s="67">
        <f>(CK480-Driver!$F$207)/(Driver!$G$207-Driver!$F$207)*$BI$1</f>
        <v>1.1582213029989659</v>
      </c>
      <c r="BP480" s="67">
        <f>(CM480-Driver!$F$208)/(Driver!$G$208-Driver!$F$208)*$BI$1</f>
        <v>2.322222222222222</v>
      </c>
      <c r="BQ480" s="67">
        <f>(CL480-Driver!$F$209)/(Driver!$G$209-Driver!$F$209)*$BI$1</f>
        <v>5.78125</v>
      </c>
      <c r="BR480" s="28" t="s">
        <v>155</v>
      </c>
      <c r="BS480" s="8" t="s">
        <v>229</v>
      </c>
      <c r="BT480" s="9" t="s">
        <v>596</v>
      </c>
      <c r="BU480" s="10">
        <v>173</v>
      </c>
      <c r="BV480" s="9" t="s">
        <v>158</v>
      </c>
      <c r="BW480" s="10">
        <v>173</v>
      </c>
      <c r="BX480" s="10">
        <v>173.4</v>
      </c>
      <c r="BY480" s="10">
        <v>130</v>
      </c>
      <c r="BZ480" s="10">
        <v>159</v>
      </c>
      <c r="CA480" s="10">
        <v>128</v>
      </c>
      <c r="CB480" s="10">
        <v>94</v>
      </c>
      <c r="CC480" s="10">
        <v>118</v>
      </c>
      <c r="CD480" s="10">
        <v>21.6</v>
      </c>
      <c r="CE480" s="10">
        <v>1979</v>
      </c>
      <c r="CF480" s="10">
        <v>0.91</v>
      </c>
      <c r="CG480" s="10">
        <v>1806</v>
      </c>
      <c r="CH480" s="10">
        <v>192</v>
      </c>
      <c r="CI480" s="10">
        <v>104</v>
      </c>
      <c r="CJ480" s="10">
        <v>41</v>
      </c>
      <c r="CK480" s="10">
        <v>222</v>
      </c>
      <c r="CL480" s="10">
        <v>37</v>
      </c>
      <c r="CM480" s="10">
        <v>209</v>
      </c>
      <c r="CN480" s="10">
        <v>0.91200000000000003</v>
      </c>
      <c r="CO480" s="10">
        <v>81</v>
      </c>
      <c r="CP480" s="10">
        <v>62</v>
      </c>
      <c r="CQ480" s="10">
        <v>141</v>
      </c>
      <c r="CR480" s="10">
        <v>5</v>
      </c>
      <c r="CS480" s="10">
        <v>0.1</v>
      </c>
      <c r="CT480" s="9" t="s">
        <v>184</v>
      </c>
      <c r="CU480" s="10"/>
      <c r="CV480" s="10"/>
      <c r="CW480" s="10"/>
      <c r="CX480" t="e">
        <f>INDEX('Data_Price '!AG$2:AG$1266,MATCH(Data!$DN480,'Data_Price '!$AT$2:$AT$1266,0))</f>
        <v>#N/A</v>
      </c>
      <c r="CY480" t="e">
        <f>INDEX('Data_Price '!AH$2:AH$1266,MATCH(Data!$DN480,'Data_Price '!$AT$2:$AT$1266,0))</f>
        <v>#N/A</v>
      </c>
      <c r="CZ480" t="e">
        <f>INDEX('Data_Price '!AI$2:AI$1266,MATCH(Data!$DN480,'Data_Price '!$AT$2:$AT$1266,0))</f>
        <v>#N/A</v>
      </c>
      <c r="DA480" t="e">
        <f>INDEX('Data_Price '!AJ$2:AJ$1266,MATCH(Data!$DN480,'Data_Price '!$AT$2:$AT$1266,0))</f>
        <v>#N/A</v>
      </c>
      <c r="DB480" t="e">
        <f>INDEX('Data_Price '!AK$2:AK$1266,MATCH(Data!$DN480,'Data_Price '!$AT$2:$AT$1266,0))</f>
        <v>#N/A</v>
      </c>
      <c r="DC480" t="e">
        <f>INDEX('Data_Price '!AL$2:AL$1266,MATCH(Data!$DN480,'Data_Price '!$AT$2:$AT$1266,0))</f>
        <v>#N/A</v>
      </c>
      <c r="DD480" t="e">
        <f>INDEX('Data_Price '!AM$2:AM$1266,MATCH(Data!$DN480,'Data_Price '!$AT$2:$AT$1266,0))</f>
        <v>#N/A</v>
      </c>
      <c r="DE480" t="e">
        <f>INDEX('Data_Price '!AN$2:AN$1266,MATCH(Data!$DN480,'Data_Price '!$AT$2:$AT$1266,0))</f>
        <v>#N/A</v>
      </c>
      <c r="DF480" t="e">
        <f>INDEX('Data_Price '!AO$2:AO$1266,MATCH(Data!$DN480,'Data_Price '!$AT$2:$AT$1266,0))</f>
        <v>#N/A</v>
      </c>
      <c r="DG480" t="e">
        <f>INDEX('Data_Price '!AP$2:AP$1266,MATCH(Data!$DN480,'Data_Price '!$AT$2:$AT$1266,0))</f>
        <v>#N/A</v>
      </c>
      <c r="DH480" t="e">
        <f>INDEX('Data_Price '!AQ$2:AQ$1266,MATCH(Data!$DN480,'Data_Price '!$AT$2:$AT$1266,0))</f>
        <v>#N/A</v>
      </c>
      <c r="DI480" t="e">
        <f>INDEX('Data_Price '!AR$2:AR$1266,MATCH(Data!$DN480,'Data_Price '!$AT$2:$AT$1266,0))</f>
        <v>#N/A</v>
      </c>
      <c r="DJ480" s="89" t="e">
        <f t="shared" si="291"/>
        <v>#N/A</v>
      </c>
      <c r="DK480" s="89" t="e">
        <f t="shared" si="292"/>
        <v>#N/A</v>
      </c>
      <c r="DL480" s="89" t="e">
        <f t="shared" si="293"/>
        <v>#N/A</v>
      </c>
      <c r="DM480" s="219" t="str">
        <f t="shared" si="294"/>
        <v>Revolt 95</v>
      </c>
      <c r="DN480" s="89" t="str">
        <f t="shared" si="295"/>
        <v xml:space="preserve"> VölklRevolt 95173 Unisex</v>
      </c>
      <c r="DO480" s="221" t="s">
        <v>597</v>
      </c>
    </row>
    <row r="481" spans="2:119" ht="15.6" customHeight="1">
      <c r="B481" s="219" t="b">
        <f t="array" ref="B481">IF(OR(ISERROR(K481:P481)),FALSE,TRUE)</f>
        <v>1</v>
      </c>
      <c r="C481" s="43" t="b">
        <f>OR(BR481=Driver!$G$50,Data!BR553=Driver!$H$50)</f>
        <v>1</v>
      </c>
      <c r="D481" s="43" t="b">
        <f>OR(BV481=Driver!$G$51,BV481=Driver!$H$51)</f>
        <v>1</v>
      </c>
      <c r="E481" s="43" t="b">
        <f>AND(BX481&gt;Driver!$F$54,BX481&lt;Driver!$G$54)</f>
        <v>0</v>
      </c>
      <c r="F481" s="43" t="b">
        <f>CL481&gt;Driver!$F$56</f>
        <v>1</v>
      </c>
      <c r="G481" s="43" t="b">
        <f>AND(CB481&gt;Driver!$F$55,CB481&lt;Driver!$G$55)</f>
        <v>1</v>
      </c>
      <c r="H481" s="43" t="b">
        <f t="shared" si="259"/>
        <v>0</v>
      </c>
      <c r="I481" s="43">
        <f t="shared" si="260"/>
        <v>0</v>
      </c>
      <c r="J481" s="43" t="b">
        <f t="array" ref="J481">NOT(OR(($H$9:$H$1273=TRUE)*($I$9:$I$1273&gt;0)*($BT$9:$BT$1273=BT481)*($K$9:$K$1273&gt;K481)))</f>
        <v>1</v>
      </c>
      <c r="K481" s="72">
        <f t="shared" si="261"/>
        <v>0.72376226024151147</v>
      </c>
      <c r="L481" s="72">
        <f t="shared" si="262"/>
        <v>0.68947845367880078</v>
      </c>
      <c r="M481" s="72">
        <f t="shared" si="263"/>
        <v>0.75804606680422226</v>
      </c>
      <c r="N481" s="72">
        <f t="shared" si="264"/>
        <v>0.71194514687882993</v>
      </c>
      <c r="O481" s="72">
        <f t="shared" si="265"/>
        <v>0.71687887300930642</v>
      </c>
      <c r="P481" s="72">
        <f t="shared" si="266"/>
        <v>0.84531418052453056</v>
      </c>
      <c r="Q481" s="72"/>
      <c r="R481" s="72"/>
      <c r="S481" s="72">
        <f t="shared" si="267"/>
        <v>0.54777884287148182</v>
      </c>
      <c r="T481" s="72">
        <f t="shared" si="268"/>
        <v>0.47462708541282284</v>
      </c>
      <c r="U481" s="72">
        <f t="shared" si="269"/>
        <v>0.63271131749906329</v>
      </c>
      <c r="V481" s="72">
        <f t="shared" si="270"/>
        <v>0.56614994952145326</v>
      </c>
      <c r="W481" s="72">
        <f t="shared" si="271"/>
        <v>0.76182724484104858</v>
      </c>
      <c r="X481" s="72">
        <f t="shared" si="272"/>
        <v>0.31052154632119927</v>
      </c>
      <c r="Y481" s="72">
        <f t="shared" si="273"/>
        <v>0.24195393319577771</v>
      </c>
      <c r="Z481" s="72">
        <f t="shared" si="274"/>
        <v>0.28805485312117007</v>
      </c>
      <c r="AA481" s="72">
        <f t="shared" si="275"/>
        <v>0.28312112699069358</v>
      </c>
      <c r="AB481" s="72">
        <f t="shared" si="276"/>
        <v>0.15468581947546944</v>
      </c>
      <c r="AC481" s="72"/>
      <c r="AD481" s="72"/>
      <c r="AE481" s="72">
        <f t="shared" si="277"/>
        <v>0.45222115712851818</v>
      </c>
      <c r="AF481" s="72">
        <f t="shared" si="278"/>
        <v>0.52537291458717716</v>
      </c>
      <c r="AG481" s="72">
        <f t="shared" si="279"/>
        <v>0.36728868250093671</v>
      </c>
      <c r="AH481" s="72">
        <f t="shared" si="280"/>
        <v>0.4338500504785468</v>
      </c>
      <c r="AI481" s="72">
        <f t="shared" si="281"/>
        <v>0.23817275515895148</v>
      </c>
      <c r="AJ481" s="72">
        <f>(AV481-Driver!$K$179)/(Driver!$L$179-Driver!$K$179)</f>
        <v>0.5647409556038997</v>
      </c>
      <c r="AK481" s="72">
        <f>(AW481-Driver!$K$180)/(Driver!$L$180-Driver!$K$180)</f>
        <v>0.41149886798604962</v>
      </c>
      <c r="AL481" s="72">
        <f>(AX481-Driver!$K$181)/(Driver!$L$181-Driver!$K$181)</f>
        <v>0.38974261683425027</v>
      </c>
      <c r="AM481" s="72">
        <f>(AY481-Driver!$K$182)/(Driver!$L$182-Driver!$K$182)</f>
        <v>0.16426389410635275</v>
      </c>
      <c r="AN481" s="72">
        <f>(AZ481-Driver!$K$183)/(Driver!$L$183-Driver!$K$183)</f>
        <v>0.40890522875816987</v>
      </c>
      <c r="AO481" s="72"/>
      <c r="AP481" s="72"/>
      <c r="AQ481" s="72">
        <f>(BC481-Driver!$K$188)/(Driver!$L$188-Driver!$K$188)</f>
        <v>0.16777884287148184</v>
      </c>
      <c r="AR481" s="72">
        <f>MIN((BD481-Driver!$K$189)/(Driver!$L$189-Driver!$K$189),100%)</f>
        <v>2.4627085412822845E-2</v>
      </c>
      <c r="AS481" s="72">
        <f>(BE481-Driver!$K$190)/(Driver!$L$190-Driver!$K$190)</f>
        <v>0.14271131749906327</v>
      </c>
      <c r="AT481" s="72">
        <f>(BF481-Driver!$K$191)/(Driver!$L$191-Driver!$K$191)</f>
        <v>7.6149949521453222E-2</v>
      </c>
      <c r="AU481" s="72">
        <f>(BG481-Driver!$K$192)/(Driver!$L$192-Driver!$K$192)</f>
        <v>1.1827244841048523E-2</v>
      </c>
      <c r="AV481" s="70">
        <f t="shared" si="282"/>
        <v>11.886107719441053</v>
      </c>
      <c r="AW481" s="70">
        <f t="shared" si="283"/>
        <v>41.976103557596389</v>
      </c>
      <c r="AX481" s="70">
        <f t="shared" si="284"/>
        <v>4.5076835515082525</v>
      </c>
      <c r="AY481" s="70">
        <f>IFERROR(Driver!$K$19/Data!BH481/Data!BI481*Data!BK481*Data!BL481,"")</f>
        <v>0.2011080180017657</v>
      </c>
      <c r="AZ481" s="70">
        <f t="shared" si="285"/>
        <v>37.267311988086369</v>
      </c>
      <c r="BA481" s="70"/>
      <c r="BB481" s="70"/>
      <c r="BC481" s="70">
        <f t="shared" si="286"/>
        <v>87.028052177030418</v>
      </c>
      <c r="BD481" s="70">
        <f t="shared" si="287"/>
        <v>3.9002763065193116</v>
      </c>
      <c r="BE481" s="70">
        <f t="shared" si="288"/>
        <v>0.1428642481508263</v>
      </c>
      <c r="BF481" s="70">
        <f t="shared" si="289"/>
        <v>8.6006018147747874</v>
      </c>
      <c r="BG481" s="70">
        <f t="shared" si="290"/>
        <v>4.4785493934746241E-2</v>
      </c>
      <c r="BH481" s="67">
        <f>MAX((CE481-Driver!$F$200)/(Driver!$G$200-Driver!$F$200)*$BI$1,1)</f>
        <v>4.5076835515082525</v>
      </c>
      <c r="BI481" s="67">
        <f>MAX($BI$1*(BY481-Driver!$F$201)/(Driver!$G$201-Driver!$F$201),1)</f>
        <v>6.962025316455696</v>
      </c>
      <c r="BJ481" s="67">
        <f>(CB481-Driver!$F$206)/(Driver!$G$206-Driver!$F$206)*$BI$1</f>
        <v>6.825396825396826</v>
      </c>
      <c r="BK481" s="67">
        <f>(CD481-Driver!$F$203)/(Driver!$G$203-Driver!$F$203)*$BI$1</f>
        <v>6.1009174311926611</v>
      </c>
      <c r="BL481" s="67">
        <f>MAX((CR481-Driver!$F$202)/(Driver!$G$202-Driver!$F$202)*$BI$1,1)</f>
        <v>5.1724137931034484</v>
      </c>
      <c r="BM481" s="67">
        <f>MAX((CH481-Driver!$F$204)/(Driver!$G$204-Driver!$F$204)*$BI$1,1)</f>
        <v>6.9658119658119659</v>
      </c>
      <c r="BN481" s="67">
        <f>(CI481-Driver!$F$205)/(Driver!$G$205-Driver!$F$205)*$BI$1</f>
        <v>5.3529411764705879</v>
      </c>
      <c r="BO481" s="67">
        <f>(CK481-Driver!$F$207)/(Driver!$G$207-Driver!$F$207)*$BI$1</f>
        <v>3.6608066184074457</v>
      </c>
      <c r="BP481" s="67">
        <f>(CM481-Driver!$F$208)/(Driver!$G$208-Driver!$F$208)*$BI$1</f>
        <v>2.1</v>
      </c>
      <c r="BQ481" s="67">
        <f>(CL481-Driver!$F$209)/(Driver!$G$209-Driver!$F$209)*$BI$1</f>
        <v>1.40625</v>
      </c>
      <c r="BR481" s="28" t="s">
        <v>155</v>
      </c>
      <c r="BS481" s="8" t="s">
        <v>245</v>
      </c>
      <c r="BT481" s="9" t="s">
        <v>275</v>
      </c>
      <c r="BU481" s="10">
        <v>185</v>
      </c>
      <c r="BV481" s="9" t="s">
        <v>158</v>
      </c>
      <c r="BW481" s="10">
        <v>185</v>
      </c>
      <c r="BX481" s="10">
        <v>183.6</v>
      </c>
      <c r="BY481" s="10">
        <v>118</v>
      </c>
      <c r="BZ481" s="10">
        <v>152</v>
      </c>
      <c r="CA481" s="10">
        <v>139</v>
      </c>
      <c r="CB481" s="10">
        <v>107</v>
      </c>
      <c r="CC481" s="10">
        <v>123</v>
      </c>
      <c r="CD481" s="10">
        <v>22.7</v>
      </c>
      <c r="CE481" s="10">
        <v>1692</v>
      </c>
      <c r="CF481" s="10">
        <v>1.26</v>
      </c>
      <c r="CG481" s="10">
        <v>2133</v>
      </c>
      <c r="CH481" s="10">
        <v>264</v>
      </c>
      <c r="CI481" s="10">
        <v>124</v>
      </c>
      <c r="CJ481" s="10">
        <v>69</v>
      </c>
      <c r="CK481" s="10">
        <v>464</v>
      </c>
      <c r="CL481" s="10">
        <v>9</v>
      </c>
      <c r="CM481" s="10">
        <v>189</v>
      </c>
      <c r="CN481" s="10">
        <v>0.13100000000000001</v>
      </c>
      <c r="CO481" s="10">
        <v>185</v>
      </c>
      <c r="CP481" s="10">
        <v>135</v>
      </c>
      <c r="CQ481" s="10">
        <v>280</v>
      </c>
      <c r="CR481" s="10">
        <v>4</v>
      </c>
      <c r="CS481" s="10">
        <v>11.8</v>
      </c>
      <c r="CT481" s="9" t="s">
        <v>178</v>
      </c>
      <c r="CU481" s="9" t="s">
        <v>185</v>
      </c>
      <c r="CV481" s="9" t="s">
        <v>198</v>
      </c>
      <c r="CW481" s="10"/>
      <c r="CX481" t="str">
        <f>INDEX('Data_Price '!AG$2:AG$1266,MATCH(Data!$DN481,'Data_Price '!$AT$2:$AT$1266,0))</f>
        <v>Fischer Hannibal 106 Carbon Ski - 2022</v>
      </c>
      <c r="CY481" t="str">
        <f>INDEX('Data_Price '!AH$2:AH$1266,MATCH(Data!$DN481,'Data_Price '!$AT$2:$AT$1266,0))</f>
        <v>Snowcountry.eu</v>
      </c>
      <c r="CZ481">
        <f>INDEX('Data_Price '!AI$2:AI$1266,MATCH(Data!$DN481,'Data_Price '!$AT$2:$AT$1266,0))</f>
        <v>451.78</v>
      </c>
      <c r="DA481" t="str">
        <f>INDEX('Data_Price '!AJ$2:AJ$1266,MATCH(Data!$DN481,'Data_Price '!$AT$2:$AT$1266,0))</f>
        <v>https://tinyurl.com/ybnd3sze</v>
      </c>
      <c r="DB481" t="str">
        <f>INDEX('Data_Price '!AK$2:AK$1266,MATCH(Data!$DN481,'Data_Price '!$AT$2:$AT$1266,0))</f>
        <v>Fischer Hannibal 106 Carbon Ski - 2022</v>
      </c>
      <c r="DC481" t="str">
        <f>INDEX('Data_Price '!AL$2:AL$1266,MATCH(Data!$DN481,'Data_Price '!$AT$2:$AT$1266,0))</f>
        <v>Snowinn.com</v>
      </c>
      <c r="DD481">
        <f>INDEX('Data_Price '!AM$2:AM$1266,MATCH(Data!$DN481,'Data_Price '!$AT$2:$AT$1266,0))</f>
        <v>511.99</v>
      </c>
      <c r="DE481" t="str">
        <f>INDEX('Data_Price '!AN$2:AN$1266,MATCH(Data!$DN481,'Data_Price '!$AT$2:$AT$1266,0))</f>
        <v>https://tinyurl.com/yakcpd7n</v>
      </c>
      <c r="DF481" t="str">
        <f>INDEX('Data_Price '!AO$2:AO$1266,MATCH(Data!$DN481,'Data_Price '!$AT$2:$AT$1266,0))</f>
        <v>Fischer Hannibal 106 Carbon Ski - 2022</v>
      </c>
      <c r="DG481" t="str">
        <f>INDEX('Data_Price '!AP$2:AP$1266,MATCH(Data!$DN481,'Data_Price '!$AT$2:$AT$1266,0))</f>
        <v>ColoradoSkiShop.com</v>
      </c>
      <c r="DH481">
        <f>INDEX('Data_Price '!AQ$2:AQ$1266,MATCH(Data!$DN481,'Data_Price '!$AT$2:$AT$1266,0))</f>
        <v>539.99</v>
      </c>
      <c r="DI481" t="str">
        <f>INDEX('Data_Price '!AR$2:AR$1266,MATCH(Data!$DN481,'Data_Price '!$AT$2:$AT$1266,0))</f>
        <v>https://tinyurl.com/yazm5wup</v>
      </c>
      <c r="DJ481" s="89" t="str">
        <f t="shared" si="291"/>
        <v>https://tinyurl.com/ybnd3sze</v>
      </c>
      <c r="DK481" s="89" t="str">
        <f t="shared" si="292"/>
        <v>https://tinyurl.com/yakcpd7n</v>
      </c>
      <c r="DL481" s="89" t="str">
        <f t="shared" si="293"/>
        <v>https://tinyurl.com/yazm5wup</v>
      </c>
      <c r="DM481" s="219" t="str">
        <f t="shared" si="294"/>
        <v>Hannibal 106</v>
      </c>
      <c r="DN481" s="89" t="str">
        <f t="shared" si="295"/>
        <v xml:space="preserve"> FischerHannibal 106185 Unisex</v>
      </c>
      <c r="DO481" s="221" t="s">
        <v>276</v>
      </c>
    </row>
    <row r="482" spans="2:119" ht="15.6" customHeight="1">
      <c r="B482" s="219" t="b">
        <f t="array" ref="B482">IF(OR(ISERROR(K482:P482)),FALSE,TRUE)</f>
        <v>1</v>
      </c>
      <c r="C482" s="43" t="b">
        <f>OR(BR482=Driver!$G$50,Data!BR483=Driver!$H$50)</f>
        <v>1</v>
      </c>
      <c r="D482" s="43" t="b">
        <f>OR(BV482=Driver!$G$51,BV482=Driver!$H$51)</f>
        <v>1</v>
      </c>
      <c r="E482" s="43" t="b">
        <f>AND(BX482&gt;Driver!$F$54,BX482&lt;Driver!$G$54)</f>
        <v>1</v>
      </c>
      <c r="F482" s="43" t="b">
        <f>CL482&gt;Driver!$F$56</f>
        <v>1</v>
      </c>
      <c r="G482" s="43" t="b">
        <f>AND(CB482&gt;Driver!$F$55,CB482&lt;Driver!$G$55)</f>
        <v>0</v>
      </c>
      <c r="H482" s="43" t="b">
        <f t="shared" si="259"/>
        <v>0</v>
      </c>
      <c r="I482" s="43">
        <f t="shared" si="260"/>
        <v>0</v>
      </c>
      <c r="J482" s="43" t="b">
        <f t="array" ref="J482">NOT(OR(($H$9:$H$1273=TRUE)*($I$9:$I$1273&gt;0)*($BT$9:$BT$1273=BT482)*($K$9:$K$1273&gt;K482)))</f>
        <v>1</v>
      </c>
      <c r="K482" s="72">
        <f t="shared" si="261"/>
        <v>0.79403989436624778</v>
      </c>
      <c r="L482" s="72">
        <f t="shared" si="262"/>
        <v>0.89806485467669039</v>
      </c>
      <c r="M482" s="72">
        <f t="shared" si="263"/>
        <v>0.69001493405580505</v>
      </c>
      <c r="N482" s="72">
        <f t="shared" si="264"/>
        <v>0.51463913283974816</v>
      </c>
      <c r="O482" s="72">
        <f t="shared" si="265"/>
        <v>0.61000978945673157</v>
      </c>
      <c r="P482" s="72">
        <f t="shared" si="266"/>
        <v>0.94539587987093565</v>
      </c>
      <c r="Q482" s="72"/>
      <c r="R482" s="72"/>
      <c r="S482" s="72">
        <f t="shared" si="267"/>
        <v>0.45225596772655952</v>
      </c>
      <c r="T482" s="72">
        <f t="shared" si="268"/>
        <v>0.67456805940349052</v>
      </c>
      <c r="U482" s="72">
        <f t="shared" si="269"/>
        <v>0.51759401987287168</v>
      </c>
      <c r="V482" s="72">
        <f t="shared" si="270"/>
        <v>0.5041941131328912</v>
      </c>
      <c r="W482" s="72">
        <f t="shared" si="271"/>
        <v>0.76195199275362313</v>
      </c>
      <c r="X482" s="72">
        <f t="shared" si="272"/>
        <v>0.10193514532330958</v>
      </c>
      <c r="Y482" s="72">
        <f t="shared" si="273"/>
        <v>0.30998506594419489</v>
      </c>
      <c r="Z482" s="72">
        <f t="shared" si="274"/>
        <v>0.48536086716025184</v>
      </c>
      <c r="AA482" s="72">
        <f t="shared" si="275"/>
        <v>0.38999021054326843</v>
      </c>
      <c r="AB482" s="72">
        <f t="shared" si="276"/>
        <v>5.4604120129064293E-2</v>
      </c>
      <c r="AC482" s="72"/>
      <c r="AD482" s="72"/>
      <c r="AE482" s="72">
        <f t="shared" si="277"/>
        <v>0.54774403227344048</v>
      </c>
      <c r="AF482" s="72">
        <f t="shared" si="278"/>
        <v>0.32543194059650948</v>
      </c>
      <c r="AG482" s="72">
        <f t="shared" si="279"/>
        <v>0.48240598012712832</v>
      </c>
      <c r="AH482" s="72">
        <f t="shared" si="280"/>
        <v>0.4958058868671088</v>
      </c>
      <c r="AI482" s="72">
        <f t="shared" si="281"/>
        <v>0.23804800724637681</v>
      </c>
      <c r="AJ482" s="72">
        <f>(AV482-Driver!$K$179)/(Driver!$L$179-Driver!$K$179)</f>
        <v>0.15228426395939085</v>
      </c>
      <c r="AK482" s="72">
        <f>(AW482-Driver!$K$180)/(Driver!$L$180-Driver!$K$180)</f>
        <v>0.33478490358673968</v>
      </c>
      <c r="AL482" s="72">
        <f>(AX482-Driver!$K$181)/(Driver!$L$181-Driver!$K$181)</f>
        <v>0.58704863087333203</v>
      </c>
      <c r="AM482" s="72">
        <f>(AY482-Driver!$K$182)/(Driver!$L$182-Driver!$K$182)</f>
        <v>5.7394810553777924E-2</v>
      </c>
      <c r="AN482" s="72">
        <f>(AZ482-Driver!$K$183)/(Driver!$L$183-Driver!$K$183)</f>
        <v>0.30882352941176472</v>
      </c>
      <c r="AO482" s="72"/>
      <c r="AP482" s="72"/>
      <c r="AQ482" s="72">
        <f>(BC482-Driver!$K$188)/(Driver!$L$188-Driver!$K$188)</f>
        <v>7.2255967726559484E-2</v>
      </c>
      <c r="AR482" s="72">
        <f>MIN((BD482-Driver!$K$189)/(Driver!$L$189-Driver!$K$189),100%)</f>
        <v>0.22456805940349053</v>
      </c>
      <c r="AS482" s="72">
        <f>(BE482-Driver!$K$190)/(Driver!$L$190-Driver!$K$190)</f>
        <v>0.99240598012712833</v>
      </c>
      <c r="AT482" s="72">
        <f>(BF482-Driver!$K$191)/(Driver!$L$191-Driver!$K$191)</f>
        <v>1.4194113132891203E-2</v>
      </c>
      <c r="AU482" s="72">
        <f>(BG482-Driver!$K$192)/(Driver!$L$192-Driver!$K$192)</f>
        <v>1.1951992753623188E-2</v>
      </c>
      <c r="AV482" s="70">
        <f t="shared" si="282"/>
        <v>3.2051282051282048</v>
      </c>
      <c r="AW482" s="70">
        <f t="shared" si="283"/>
        <v>34.499647972008674</v>
      </c>
      <c r="AX482" s="70">
        <f t="shared" si="284"/>
        <v>6.2834376778599887</v>
      </c>
      <c r="AY482" s="70">
        <f>IFERROR(Driver!$K$19/Data!BH482/Data!BI482*Data!BK482*Data!BL482,"")</f>
        <v>7.0268373076458709E-2</v>
      </c>
      <c r="AZ482" s="70">
        <f t="shared" si="285"/>
        <v>28.145941921072229</v>
      </c>
      <c r="BA482" s="70"/>
      <c r="BB482" s="70"/>
      <c r="BC482" s="70">
        <f t="shared" si="286"/>
        <v>37.479672775104689</v>
      </c>
      <c r="BD482" s="70">
        <f t="shared" si="287"/>
        <v>21.594698230251012</v>
      </c>
      <c r="BE482" s="70">
        <f t="shared" si="288"/>
        <v>0.99240733481479937</v>
      </c>
      <c r="BF482" s="70">
        <f t="shared" si="289"/>
        <v>1.6031253590715844</v>
      </c>
      <c r="BG482" s="70">
        <f t="shared" si="290"/>
        <v>4.5257869112318841E-2</v>
      </c>
      <c r="BH482" s="67">
        <f>MAX((CE482-Driver!$F$200)/(Driver!$G$200-Driver!$F$200)*$BI$1,1)</f>
        <v>6.2834376778599887</v>
      </c>
      <c r="BI482" s="67">
        <f>MAX($BI$1*(BY482-Driver!$F$201)/(Driver!$G$201-Driver!$F$201),1)</f>
        <v>7.9746835443037973</v>
      </c>
      <c r="BJ482" s="67">
        <f>(CB482-Driver!$F$206)/(Driver!$G$206-Driver!$F$206)*$BI$1</f>
        <v>3.333333333333333</v>
      </c>
      <c r="BK482" s="67">
        <f>(CD482-Driver!$F$203)/(Driver!$G$203-Driver!$F$203)*$BI$1</f>
        <v>2.4311926605504586</v>
      </c>
      <c r="BL482" s="67">
        <f>MAX((CR482-Driver!$F$202)/(Driver!$G$202-Driver!$F$202)*$BI$1,1)</f>
        <v>7.2413793103448274</v>
      </c>
      <c r="BM482" s="67">
        <f>MAX((CH482-Driver!$F$204)/(Driver!$G$204-Driver!$F$204)*$BI$1,1)</f>
        <v>3.8461538461538463</v>
      </c>
      <c r="BN482" s="67">
        <f>(CI482-Driver!$F$205)/(Driver!$G$205-Driver!$F$205)*$BI$1</f>
        <v>3.5294117647058827</v>
      </c>
      <c r="BO482" s="67">
        <f>(CK482-Driver!$F$207)/(Driver!$G$207-Driver!$F$207)*$BI$1</f>
        <v>0.99276111685625645</v>
      </c>
      <c r="BP482" s="67">
        <f>(CM482-Driver!$F$208)/(Driver!$G$208-Driver!$F$208)*$BI$1</f>
        <v>1.1777777777777778</v>
      </c>
      <c r="BQ482" s="67">
        <f>(CL482-Driver!$F$209)/(Driver!$G$209-Driver!$F$209)*$BI$1</f>
        <v>1.09375</v>
      </c>
      <c r="BR482" s="28" t="s">
        <v>155</v>
      </c>
      <c r="BS482" s="8" t="s">
        <v>164</v>
      </c>
      <c r="BT482" s="9" t="s">
        <v>627</v>
      </c>
      <c r="BU482" s="10">
        <v>166</v>
      </c>
      <c r="BV482" s="9" t="s">
        <v>158</v>
      </c>
      <c r="BW482" s="10">
        <v>166</v>
      </c>
      <c r="BX482" s="10">
        <v>165.2</v>
      </c>
      <c r="BY482" s="10">
        <v>134</v>
      </c>
      <c r="BZ482" s="10">
        <v>146</v>
      </c>
      <c r="CA482" s="10">
        <v>127</v>
      </c>
      <c r="CB482" s="10">
        <v>85</v>
      </c>
      <c r="CC482" s="10">
        <v>113</v>
      </c>
      <c r="CD482" s="10">
        <v>14.7</v>
      </c>
      <c r="CE482" s="10">
        <v>2004</v>
      </c>
      <c r="CF482" s="10">
        <v>0.82</v>
      </c>
      <c r="CG482" s="10">
        <v>1638</v>
      </c>
      <c r="CH482" s="10">
        <v>191</v>
      </c>
      <c r="CI482" s="10">
        <v>93</v>
      </c>
      <c r="CJ482" s="10">
        <v>41</v>
      </c>
      <c r="CK482" s="10">
        <v>206</v>
      </c>
      <c r="CL482" s="10">
        <v>7</v>
      </c>
      <c r="CM482" s="10">
        <v>106</v>
      </c>
      <c r="CN482" s="10">
        <v>0.16600000000000001</v>
      </c>
      <c r="CO482" s="10">
        <v>98</v>
      </c>
      <c r="CP482" s="10">
        <v>95</v>
      </c>
      <c r="CQ482" s="10">
        <v>108</v>
      </c>
      <c r="CR482" s="10">
        <v>10</v>
      </c>
      <c r="CS482" s="10">
        <v>8.9</v>
      </c>
      <c r="CT482" s="9" t="s">
        <v>188</v>
      </c>
      <c r="CU482" s="10"/>
      <c r="CV482" s="10"/>
      <c r="CW482" s="10"/>
      <c r="CX482" t="str">
        <f>INDEX('Data_Price '!AG$2:AG$1266,MATCH(Data!$DN482,'Data_Price '!$AT$2:$AT$1266,0))</f>
        <v>Elan Wingman 86 Ti Skis 2022</v>
      </c>
      <c r="CY482" t="str">
        <f>INDEX('Data_Price '!AH$2:AH$1266,MATCH(Data!$DN482,'Data_Price '!$AT$2:$AT$1266,0))</f>
        <v>Gorham Bike and Ski</v>
      </c>
      <c r="CZ482">
        <f>INDEX('Data_Price '!AI$2:AI$1266,MATCH(Data!$DN482,'Data_Price '!$AT$2:$AT$1266,0))</f>
        <v>349.99</v>
      </c>
      <c r="DA482" t="str">
        <f>INDEX('Data_Price '!AJ$2:AJ$1266,MATCH(Data!$DN482,'Data_Price '!$AT$2:$AT$1266,0))</f>
        <v>https://tinyurl.com/y8lavqa4</v>
      </c>
      <c r="DB482" t="str">
        <f>INDEX('Data_Price '!AK$2:AK$1266,MATCH(Data!$DN482,'Data_Price '!$AT$2:$AT$1266,0))</f>
        <v>Elan Wingman 86 Ti Skis 2022</v>
      </c>
      <c r="DC482" t="str">
        <f>INDEX('Data_Price '!AL$2:AL$1266,MATCH(Data!$DN482,'Data_Price '!$AT$2:$AT$1266,0))</f>
        <v>Next Adventure</v>
      </c>
      <c r="DD482">
        <f>INDEX('Data_Price '!AM$2:AM$1266,MATCH(Data!$DN482,'Data_Price '!$AT$2:$AT$1266,0))</f>
        <v>374.99</v>
      </c>
      <c r="DE482" t="str">
        <f>INDEX('Data_Price '!AN$2:AN$1266,MATCH(Data!$DN482,'Data_Price '!$AT$2:$AT$1266,0))</f>
        <v>https://tinyurl.com/ycrc9oz8</v>
      </c>
      <c r="DF482" t="str">
        <f>INDEX('Data_Price '!AO$2:AO$1266,MATCH(Data!$DN482,'Data_Price '!$AT$2:$AT$1266,0))</f>
        <v>Elan Wingman 86 Ti Skis Â· 166 cm</v>
      </c>
      <c r="DG482" t="str">
        <f>INDEX('Data_Price '!AP$2:AP$1266,MATCH(Data!$DN482,'Data_Price '!$AT$2:$AT$1266,0))</f>
        <v>Suburban Ski and Bike</v>
      </c>
      <c r="DH482">
        <f>INDEX('Data_Price '!AQ$2:AQ$1266,MATCH(Data!$DN482,'Data_Price '!$AT$2:$AT$1266,0))</f>
        <v>374.99</v>
      </c>
      <c r="DI482" t="str">
        <f>INDEX('Data_Price '!AR$2:AR$1266,MATCH(Data!$DN482,'Data_Price '!$AT$2:$AT$1266,0))</f>
        <v>https://tinyurl.com/y88yddw3</v>
      </c>
      <c r="DJ482" s="89" t="str">
        <f t="shared" si="291"/>
        <v>https://tinyurl.com/y8lavqa4</v>
      </c>
      <c r="DK482" s="89" t="str">
        <f t="shared" si="292"/>
        <v>https://tinyurl.com/ycrc9oz8</v>
      </c>
      <c r="DL482" s="89" t="str">
        <f t="shared" si="293"/>
        <v>https://tinyurl.com/y88yddw3</v>
      </c>
      <c r="DM482" s="219" t="str">
        <f t="shared" si="294"/>
        <v>Wingman 86 Ti</v>
      </c>
      <c r="DN482" s="89" t="str">
        <f t="shared" si="295"/>
        <v xml:space="preserve"> ElanWingman 86 Ti166 Unisex</v>
      </c>
      <c r="DO482" s="221"/>
    </row>
    <row r="483" spans="2:119" ht="15.6" customHeight="1">
      <c r="B483" s="219" t="b">
        <f t="array" ref="B483">IF(OR(ISERROR(K483:P483)),FALSE,TRUE)</f>
        <v>1</v>
      </c>
      <c r="C483" s="43" t="b">
        <f>OR(BR483=Driver!$G$50,Data!BR828=Driver!$H$50)</f>
        <v>1</v>
      </c>
      <c r="D483" s="43" t="b">
        <f>OR(BV483=Driver!$G$51,BV483=Driver!$H$51)</f>
        <v>1</v>
      </c>
      <c r="E483" s="43" t="b">
        <f>AND(BX483&gt;Driver!$F$54,BX483&lt;Driver!$G$54)</f>
        <v>0</v>
      </c>
      <c r="F483" s="43" t="b">
        <f>CL483&gt;Driver!$F$56</f>
        <v>1</v>
      </c>
      <c r="G483" s="43" t="b">
        <f>AND(CB483&gt;Driver!$F$55,CB483&lt;Driver!$G$55)</f>
        <v>0</v>
      </c>
      <c r="H483" s="43" t="b">
        <f t="shared" si="259"/>
        <v>0</v>
      </c>
      <c r="I483" s="43">
        <f t="shared" si="260"/>
        <v>0</v>
      </c>
      <c r="J483" s="43" t="b">
        <f t="array" ref="J483">NOT(OR(($H$9:$H$1273=TRUE)*($I$9:$I$1273&gt;0)*($BT$9:$BT$1273=BT483)*($K$9:$K$1273&gt;K483)))</f>
        <v>1</v>
      </c>
      <c r="K483" s="72">
        <f t="shared" si="261"/>
        <v>0.84487116214731062</v>
      </c>
      <c r="L483" s="72">
        <f t="shared" si="262"/>
        <v>0.91780540741216698</v>
      </c>
      <c r="M483" s="72">
        <f t="shared" si="263"/>
        <v>0.77193691688245425</v>
      </c>
      <c r="N483" s="72">
        <f t="shared" si="264"/>
        <v>0.65439755945076428</v>
      </c>
      <c r="O483" s="72">
        <f t="shared" si="265"/>
        <v>0.69259338479302435</v>
      </c>
      <c r="P483" s="72">
        <f t="shared" si="266"/>
        <v>0.96881980640357401</v>
      </c>
      <c r="Q483" s="72"/>
      <c r="R483" s="72"/>
      <c r="S483" s="72">
        <f t="shared" si="267"/>
        <v>0.46542054685076717</v>
      </c>
      <c r="T483" s="72">
        <f t="shared" si="268"/>
        <v>0.46632465653950594</v>
      </c>
      <c r="U483" s="72">
        <f t="shared" si="269"/>
        <v>0.6034570156572977</v>
      </c>
      <c r="V483" s="72">
        <f t="shared" si="270"/>
        <v>0.51102318188628093</v>
      </c>
      <c r="W483" s="72">
        <f t="shared" si="271"/>
        <v>0.88228561350091894</v>
      </c>
      <c r="X483" s="72">
        <f t="shared" si="272"/>
        <v>8.2194592587832987E-2</v>
      </c>
      <c r="Y483" s="72">
        <f t="shared" si="273"/>
        <v>0.22806308311754578</v>
      </c>
      <c r="Z483" s="72">
        <f t="shared" si="274"/>
        <v>0.34560244054923567</v>
      </c>
      <c r="AA483" s="72">
        <f t="shared" si="275"/>
        <v>0.30740661520697565</v>
      </c>
      <c r="AB483" s="72">
        <f t="shared" si="276"/>
        <v>3.1180193596425931E-2</v>
      </c>
      <c r="AC483" s="72"/>
      <c r="AD483" s="72"/>
      <c r="AE483" s="72">
        <f t="shared" si="277"/>
        <v>0.53457945314923283</v>
      </c>
      <c r="AF483" s="72">
        <f t="shared" si="278"/>
        <v>0.53367534346049406</v>
      </c>
      <c r="AG483" s="72">
        <f t="shared" si="279"/>
        <v>0.3965429843427023</v>
      </c>
      <c r="AH483" s="72">
        <f t="shared" si="280"/>
        <v>0.48897681811371907</v>
      </c>
      <c r="AI483" s="72">
        <f t="shared" si="281"/>
        <v>0.11771438649908103</v>
      </c>
      <c r="AJ483" s="72">
        <f>(AV483-Driver!$K$179)/(Driver!$L$179-Driver!$K$179)</f>
        <v>0.17202481669486744</v>
      </c>
      <c r="AK483" s="72">
        <f>(AW483-Driver!$K$180)/(Driver!$L$180-Driver!$K$180)</f>
        <v>0.24269439487847197</v>
      </c>
      <c r="AL483" s="72">
        <f>(AX483-Driver!$K$181)/(Driver!$L$181-Driver!$K$181)</f>
        <v>0.44729020426231586</v>
      </c>
      <c r="AM483" s="72">
        <f>(AY483-Driver!$K$182)/(Driver!$L$182-Driver!$K$182)</f>
        <v>0.13997840589007068</v>
      </c>
      <c r="AN483" s="72">
        <f>(AZ483-Driver!$K$183)/(Driver!$L$183-Driver!$K$183)</f>
        <v>0.22303921568627449</v>
      </c>
      <c r="AO483" s="72"/>
      <c r="AP483" s="72"/>
      <c r="AQ483" s="72">
        <f>(BC483-Driver!$K$188)/(Driver!$L$188-Driver!$K$188)</f>
        <v>8.5420546850767151E-2</v>
      </c>
      <c r="AR483" s="72">
        <f>MIN((BD483-Driver!$K$189)/(Driver!$L$189-Driver!$K$189),100%)</f>
        <v>1.6324656539505957E-2</v>
      </c>
      <c r="AS483" s="72">
        <f>(BE483-Driver!$K$190)/(Driver!$L$190-Driver!$K$190)</f>
        <v>0.11345701565729768</v>
      </c>
      <c r="AT483" s="72">
        <f>(BF483-Driver!$K$191)/(Driver!$L$191-Driver!$K$191)</f>
        <v>2.1023181886280919E-2</v>
      </c>
      <c r="AU483" s="72">
        <f>(BG483-Driver!$K$192)/(Driver!$L$192-Driver!$K$192)</f>
        <v>0.13228561350091897</v>
      </c>
      <c r="AV483" s="70">
        <f t="shared" si="282"/>
        <v>3.6206077872744538</v>
      </c>
      <c r="AW483" s="70">
        <f t="shared" si="283"/>
        <v>25.524611893469945</v>
      </c>
      <c r="AX483" s="70">
        <f t="shared" si="284"/>
        <v>5.0256118383608426</v>
      </c>
      <c r="AY483" s="70">
        <f>IFERROR(Driver!$K$19/Data!BH483/Data!BI483*Data!BK483*Data!BL483,"")</f>
        <v>0.17137533433471727</v>
      </c>
      <c r="AZ483" s="70">
        <f t="shared" si="285"/>
        <v>20.327624720774384</v>
      </c>
      <c r="BA483" s="70"/>
      <c r="BB483" s="70"/>
      <c r="BC483" s="70">
        <f t="shared" si="286"/>
        <v>44.308231485500514</v>
      </c>
      <c r="BD483" s="70">
        <f t="shared" si="287"/>
        <v>3.1655260622642327</v>
      </c>
      <c r="BE483" s="70">
        <f t="shared" si="288"/>
        <v>0.1136151649472381</v>
      </c>
      <c r="BF483" s="70">
        <f t="shared" si="289"/>
        <v>2.3744206978436555</v>
      </c>
      <c r="BG483" s="70">
        <f t="shared" si="290"/>
        <v>0.50091772181274707</v>
      </c>
      <c r="BH483" s="67">
        <f>MAX((CE483-Driver!$F$200)/(Driver!$G$200-Driver!$F$200)*$BI$1,1)</f>
        <v>5.0256118383608426</v>
      </c>
      <c r="BI483" s="67">
        <f>MAX($BI$1*(BY483-Driver!$F$201)/(Driver!$G$201-Driver!$F$201),1)</f>
        <v>8.2278481012658222</v>
      </c>
      <c r="BJ483" s="67">
        <f>(CB483-Driver!$F$206)/(Driver!$G$206-Driver!$F$206)*$BI$1</f>
        <v>5.5555555555555554</v>
      </c>
      <c r="BK483" s="67">
        <f>(CD483-Driver!$F$203)/(Driver!$G$203-Driver!$F$203)*$BI$1</f>
        <v>5.1376146788990837</v>
      </c>
      <c r="BL483" s="67">
        <f>MAX((CR483-Driver!$F$202)/(Driver!$G$202-Driver!$F$202)*$BI$1,1)</f>
        <v>6.8965517241379315</v>
      </c>
      <c r="BM483" s="67">
        <f>MAX((CH483-Driver!$F$204)/(Driver!$G$204-Driver!$F$204)*$BI$1,1)</f>
        <v>2.6068376068376069</v>
      </c>
      <c r="BN483" s="67">
        <f>(CI483-Driver!$F$205)/(Driver!$G$205-Driver!$F$205)*$BI$1</f>
        <v>2.4705882352941178</v>
      </c>
      <c r="BO483" s="67">
        <f>(CK483-Driver!$F$207)/(Driver!$G$207-Driver!$F$207)*$BI$1</f>
        <v>1.0134436401240952</v>
      </c>
      <c r="BP483" s="67">
        <f>(CM483-Driver!$F$208)/(Driver!$G$208-Driver!$F$208)*$BI$1</f>
        <v>2.166666666666667</v>
      </c>
      <c r="BQ483" s="67">
        <f>(CL483-Driver!$F$209)/(Driver!$G$209-Driver!$F$209)*$BI$1</f>
        <v>6.5625</v>
      </c>
      <c r="BR483" s="28" t="s">
        <v>155</v>
      </c>
      <c r="BS483" s="8" t="s">
        <v>208</v>
      </c>
      <c r="BT483" s="9" t="s">
        <v>628</v>
      </c>
      <c r="BU483" s="10">
        <v>178</v>
      </c>
      <c r="BV483" s="9" t="s">
        <v>158</v>
      </c>
      <c r="BW483" s="10">
        <v>178</v>
      </c>
      <c r="BX483" s="10">
        <v>178</v>
      </c>
      <c r="BY483" s="10">
        <v>138</v>
      </c>
      <c r="BZ483" s="10">
        <v>155</v>
      </c>
      <c r="CA483" s="10">
        <v>132</v>
      </c>
      <c r="CB483" s="10">
        <v>99</v>
      </c>
      <c r="CC483" s="10">
        <v>121</v>
      </c>
      <c r="CD483" s="10">
        <v>20.6</v>
      </c>
      <c r="CE483" s="10">
        <v>1783</v>
      </c>
      <c r="CF483" s="10">
        <v>1.0900000000000001</v>
      </c>
      <c r="CG483" s="10">
        <v>1948</v>
      </c>
      <c r="CH483" s="10">
        <v>162</v>
      </c>
      <c r="CI483" s="10">
        <v>75</v>
      </c>
      <c r="CJ483" s="10">
        <v>44</v>
      </c>
      <c r="CK483" s="10">
        <v>208</v>
      </c>
      <c r="CL483" s="10">
        <v>42</v>
      </c>
      <c r="CM483" s="10">
        <v>195</v>
      </c>
      <c r="CN483" s="10">
        <v>0.96499999999999997</v>
      </c>
      <c r="CO483" s="10">
        <v>104</v>
      </c>
      <c r="CP483" s="10">
        <v>131</v>
      </c>
      <c r="CQ483" s="10">
        <v>104</v>
      </c>
      <c r="CR483" s="10">
        <v>9</v>
      </c>
      <c r="CS483" s="10">
        <v>4.3</v>
      </c>
      <c r="CT483" s="9" t="s">
        <v>184</v>
      </c>
      <c r="CU483" s="9" t="s">
        <v>185</v>
      </c>
      <c r="CV483" s="10"/>
      <c r="CW483" s="10"/>
      <c r="CX483" t="str">
        <f>INDEX('Data_Price '!AG$2:AG$1266,MATCH(Data!$DN483,'Data_Price '!$AT$2:$AT$1266,0))</f>
        <v>Line Blend Skis 2022</v>
      </c>
      <c r="CY483" t="str">
        <f>INDEX('Data_Price '!AH$2:AH$1266,MATCH(Data!$DN483,'Data_Price '!$AT$2:$AT$1266,0))</f>
        <v>The-House.com</v>
      </c>
      <c r="CZ483">
        <f>INDEX('Data_Price '!AI$2:AI$1266,MATCH(Data!$DN483,'Data_Price '!$AT$2:$AT$1266,0))</f>
        <v>479.95</v>
      </c>
      <c r="DA483" t="str">
        <f>INDEX('Data_Price '!AJ$2:AJ$1266,MATCH(Data!$DN483,'Data_Price '!$AT$2:$AT$1266,0))</f>
        <v>https://tinyurl.com/ycfvkrqb</v>
      </c>
      <c r="DB483" t="str">
        <f>INDEX('Data_Price '!AK$2:AK$1266,MATCH(Data!$DN483,'Data_Price '!$AT$2:$AT$1266,0))</f>
        <v>Line Blend Skis 2022</v>
      </c>
      <c r="DC483" t="str">
        <f>INDEX('Data_Price '!AL$2:AL$1266,MATCH(Data!$DN483,'Data_Price '!$AT$2:$AT$1266,0))</f>
        <v>Next Adventure</v>
      </c>
      <c r="DD483">
        <f>INDEX('Data_Price '!AM$2:AM$1266,MATCH(Data!$DN483,'Data_Price '!$AT$2:$AT$1266,0))</f>
        <v>479.96</v>
      </c>
      <c r="DE483" t="str">
        <f>INDEX('Data_Price '!AN$2:AN$1266,MATCH(Data!$DN483,'Data_Price '!$AT$2:$AT$1266,0))</f>
        <v>https://tinyurl.com/ycpcszfx</v>
      </c>
      <c r="DF483" t="str">
        <f>INDEX('Data_Price '!AO$2:AO$1266,MATCH(Data!$DN483,'Data_Price '!$AT$2:$AT$1266,0))</f>
        <v>Line Blend Skis 2022</v>
      </c>
      <c r="DG483" t="str">
        <f>INDEX('Data_Price '!AP$2:AP$1266,MATCH(Data!$DN483,'Data_Price '!$AT$2:$AT$1266,0))</f>
        <v>Hillcrest Ski &amp; Sports</v>
      </c>
      <c r="DH483">
        <f>INDEX('Data_Price '!AQ$2:AQ$1266,MATCH(Data!$DN483,'Data_Price '!$AT$2:$AT$1266,0))</f>
        <v>479.96</v>
      </c>
      <c r="DI483" t="str">
        <f>INDEX('Data_Price '!AR$2:AR$1266,MATCH(Data!$DN483,'Data_Price '!$AT$2:$AT$1266,0))</f>
        <v>https://tinyurl.com/ybo33ge7</v>
      </c>
      <c r="DJ483" s="89" t="str">
        <f t="shared" si="291"/>
        <v>https://tinyurl.com/ycfvkrqb</v>
      </c>
      <c r="DK483" s="89" t="str">
        <f t="shared" si="292"/>
        <v>https://tinyurl.com/ycpcszfx</v>
      </c>
      <c r="DL483" s="89" t="str">
        <f t="shared" si="293"/>
        <v>https://tinyurl.com/ybo33ge7</v>
      </c>
      <c r="DM483" s="219" t="str">
        <f t="shared" si="294"/>
        <v>Blend</v>
      </c>
      <c r="DN483" s="89" t="str">
        <f t="shared" si="295"/>
        <v xml:space="preserve"> LineBlend178 Unisex</v>
      </c>
      <c r="DO483" s="221" t="s">
        <v>629</v>
      </c>
    </row>
    <row r="484" spans="2:119" ht="15.6" customHeight="1">
      <c r="B484" s="219" t="b">
        <f t="array" ref="B484">IF(OR(ISERROR(K484:P484)),FALSE,TRUE)</f>
        <v>1</v>
      </c>
      <c r="C484" s="43" t="b">
        <f>OR(BR484=Driver!$G$50,Data!BR303=Driver!$H$50)</f>
        <v>1</v>
      </c>
      <c r="D484" s="43" t="b">
        <f>OR(BV484=Driver!$G$51,BV484=Driver!$H$51)</f>
        <v>0</v>
      </c>
      <c r="E484" s="43" t="b">
        <f>AND(BX484&gt;Driver!$F$54,BX484&lt;Driver!$G$54)</f>
        <v>1</v>
      </c>
      <c r="F484" s="43" t="b">
        <f>CL484&gt;Driver!$F$56</f>
        <v>1</v>
      </c>
      <c r="G484" s="43" t="b">
        <f>AND(CB484&gt;Driver!$F$55,CB484&lt;Driver!$G$55)</f>
        <v>0</v>
      </c>
      <c r="H484" s="43" t="b">
        <f t="shared" si="259"/>
        <v>0</v>
      </c>
      <c r="I484" s="43">
        <f t="shared" si="260"/>
        <v>0</v>
      </c>
      <c r="J484" s="43" t="b">
        <f t="array" ref="J484">NOT(OR(($H$9:$H$1273=TRUE)*($I$9:$I$1273&gt;0)*($BT$9:$BT$1273=BT484)*($K$9:$K$1273&gt;K484)))</f>
        <v>1</v>
      </c>
      <c r="K484" s="72">
        <f t="shared" si="261"/>
        <v>0.83601283070566423</v>
      </c>
      <c r="L484" s="72">
        <f t="shared" si="262"/>
        <v>0.92852170746856855</v>
      </c>
      <c r="M484" s="72">
        <f t="shared" si="263"/>
        <v>0.7435039539427597</v>
      </c>
      <c r="N484" s="72">
        <f t="shared" si="264"/>
        <v>0.64427930232055508</v>
      </c>
      <c r="O484" s="72">
        <f t="shared" si="265"/>
        <v>0.61128530212375787</v>
      </c>
      <c r="P484" s="72">
        <f t="shared" si="266"/>
        <v>0.97494725738396626</v>
      </c>
      <c r="Q484" s="72"/>
      <c r="R484" s="72"/>
      <c r="S484" s="72">
        <f t="shared" si="267"/>
        <v>0.42461045858474955</v>
      </c>
      <c r="T484" s="72">
        <f t="shared" si="268"/>
        <v>0.53976802836037874</v>
      </c>
      <c r="U484" s="72">
        <f t="shared" si="269"/>
        <v>0.54814747135864372</v>
      </c>
      <c r="V484" s="72">
        <f t="shared" si="270"/>
        <v>0.5718170225615854</v>
      </c>
      <c r="W484" s="72">
        <f t="shared" si="271"/>
        <v>0.81290322580645158</v>
      </c>
      <c r="X484" s="72">
        <f t="shared" si="272"/>
        <v>7.1478292531431398E-2</v>
      </c>
      <c r="Y484" s="72">
        <f t="shared" si="273"/>
        <v>0.25649604605724025</v>
      </c>
      <c r="Z484" s="72">
        <f t="shared" si="274"/>
        <v>0.35572069767944492</v>
      </c>
      <c r="AA484" s="72">
        <f t="shared" si="275"/>
        <v>0.38871469787624219</v>
      </c>
      <c r="AB484" s="72">
        <f t="shared" si="276"/>
        <v>2.5052742616033741E-2</v>
      </c>
      <c r="AC484" s="72"/>
      <c r="AD484" s="72"/>
      <c r="AE484" s="72">
        <f t="shared" si="277"/>
        <v>0.57538954141525045</v>
      </c>
      <c r="AF484" s="72">
        <f t="shared" si="278"/>
        <v>0.46023197163962126</v>
      </c>
      <c r="AG484" s="72">
        <f t="shared" si="279"/>
        <v>0.45185252864135628</v>
      </c>
      <c r="AH484" s="72">
        <f t="shared" si="280"/>
        <v>0.4281829774384146</v>
      </c>
      <c r="AI484" s="72">
        <f t="shared" si="281"/>
        <v>0.18709677419354839</v>
      </c>
      <c r="AJ484" s="72">
        <f>(AV484-Driver!$K$179)/(Driver!$L$179-Driver!$K$179)</f>
        <v>0.18274111675126903</v>
      </c>
      <c r="AK484" s="72">
        <f>(AW484-Driver!$K$180)/(Driver!$L$180-Driver!$K$180)</f>
        <v>0.24833749581870765</v>
      </c>
      <c r="AL484" s="72">
        <f>(AX484-Driver!$K$181)/(Driver!$L$181-Driver!$K$181)</f>
        <v>0.45740846139252511</v>
      </c>
      <c r="AM484" s="72">
        <f>(AY484-Driver!$K$182)/(Driver!$L$182-Driver!$K$182)</f>
        <v>5.8670323220804156E-2</v>
      </c>
      <c r="AN484" s="72">
        <f>(AZ484-Driver!$K$183)/(Driver!$L$183-Driver!$K$183)</f>
        <v>0.22916666666666669</v>
      </c>
      <c r="AO484" s="72"/>
      <c r="AP484" s="72"/>
      <c r="AQ484" s="72">
        <f>(BC484-Driver!$K$188)/(Driver!$L$188-Driver!$K$188)</f>
        <v>4.4610458584749546E-2</v>
      </c>
      <c r="AR484" s="72">
        <f>MIN((BD484-Driver!$K$189)/(Driver!$L$189-Driver!$K$189),100%)</f>
        <v>8.9768028360378782E-2</v>
      </c>
      <c r="AS484" s="72">
        <f>(BE484-Driver!$K$190)/(Driver!$L$190-Driver!$K$190)</f>
        <v>5.8147471358643718E-2</v>
      </c>
      <c r="AT484" s="72">
        <f>(BF484-Driver!$K$191)/(Driver!$L$191-Driver!$K$191)</f>
        <v>8.1817022561585406E-2</v>
      </c>
      <c r="AU484" s="72">
        <f>(BG484-Driver!$K$192)/(Driver!$L$192-Driver!$K$192)</f>
        <v>6.2903225806451607E-2</v>
      </c>
      <c r="AV484" s="70">
        <f t="shared" si="282"/>
        <v>3.8461538461538463</v>
      </c>
      <c r="AW484" s="70">
        <f t="shared" si="283"/>
        <v>26.074582083056963</v>
      </c>
      <c r="AX484" s="70">
        <f t="shared" si="284"/>
        <v>5.116676152532726</v>
      </c>
      <c r="AY484" s="70">
        <f>IFERROR(Driver!$K$19/Data!BH484/Data!BI484*Data!BK484*Data!BL484,"")</f>
        <v>7.1829981157146908E-2</v>
      </c>
      <c r="AZ484" s="70">
        <f t="shared" si="285"/>
        <v>20.88607594936709</v>
      </c>
      <c r="BA484" s="70"/>
      <c r="BB484" s="70"/>
      <c r="BC484" s="70">
        <f t="shared" si="286"/>
        <v>23.139754994786301</v>
      </c>
      <c r="BD484" s="70">
        <f t="shared" si="287"/>
        <v>9.6651343344570417</v>
      </c>
      <c r="BE484" s="70">
        <f t="shared" si="288"/>
        <v>5.8315487248751567E-2</v>
      </c>
      <c r="BF484" s="70">
        <f t="shared" si="289"/>
        <v>9.240657901216327</v>
      </c>
      <c r="BG484" s="70">
        <f t="shared" si="290"/>
        <v>0.23819174082313682</v>
      </c>
      <c r="BH484" s="67">
        <f>MAX((CE484-Driver!$F$200)/(Driver!$G$200-Driver!$F$200)*$BI$1,1)</f>
        <v>5.116676152532726</v>
      </c>
      <c r="BI484" s="67">
        <f>MAX($BI$1*(BY484-Driver!$F$201)/(Driver!$G$201-Driver!$F$201),1)</f>
        <v>6.4556962025316453</v>
      </c>
      <c r="BJ484" s="67">
        <f>(CB484-Driver!$F$206)/(Driver!$G$206-Driver!$F$206)*$BI$1</f>
        <v>4.2857142857142856</v>
      </c>
      <c r="BK484" s="67">
        <f>(CD484-Driver!$F$203)/(Driver!$G$203-Driver!$F$203)*$BI$1</f>
        <v>2.2935779816513766</v>
      </c>
      <c r="BL484" s="67">
        <f>MAX((CR484-Driver!$F$202)/(Driver!$G$202-Driver!$F$202)*$BI$1,1)</f>
        <v>5.1724137931034484</v>
      </c>
      <c r="BM484" s="67">
        <f>MAX((CH484-Driver!$F$204)/(Driver!$G$204-Driver!$F$204)*$BI$1,1)</f>
        <v>3.5897435897435899</v>
      </c>
      <c r="BN484" s="67">
        <f>(CI484-Driver!$F$205)/(Driver!$G$205-Driver!$F$205)*$BI$1</f>
        <v>3.2352941176470589</v>
      </c>
      <c r="BO484" s="67">
        <f>(CK484-Driver!$F$207)/(Driver!$G$207-Driver!$F$207)*$BI$1</f>
        <v>1.9958634953464323</v>
      </c>
      <c r="BP484" s="67">
        <f>(CM484-Driver!$F$208)/(Driver!$G$208-Driver!$F$208)*$BI$1</f>
        <v>2.4777777777777779</v>
      </c>
      <c r="BQ484" s="67">
        <f>(CL484-Driver!$F$209)/(Driver!$G$209-Driver!$F$209)*$BI$1</f>
        <v>4.375</v>
      </c>
      <c r="BR484" s="28" t="s">
        <v>155</v>
      </c>
      <c r="BS484" s="8" t="s">
        <v>317</v>
      </c>
      <c r="BT484" s="9" t="s">
        <v>571</v>
      </c>
      <c r="BU484" s="10">
        <v>164</v>
      </c>
      <c r="BV484" s="9" t="s">
        <v>163</v>
      </c>
      <c r="BW484" s="10">
        <v>164</v>
      </c>
      <c r="BX484" s="10">
        <v>162.80000000000001</v>
      </c>
      <c r="BY484" s="10">
        <v>110</v>
      </c>
      <c r="BZ484" s="10">
        <v>135</v>
      </c>
      <c r="CA484" s="10">
        <v>124</v>
      </c>
      <c r="CB484" s="10">
        <v>91</v>
      </c>
      <c r="CC484" s="10">
        <v>113</v>
      </c>
      <c r="CD484" s="10">
        <v>14.4</v>
      </c>
      <c r="CE484" s="10">
        <v>1799</v>
      </c>
      <c r="CF484" s="10">
        <v>0.93</v>
      </c>
      <c r="CG484" s="10">
        <v>1673</v>
      </c>
      <c r="CH484" s="10">
        <v>185</v>
      </c>
      <c r="CI484" s="10">
        <v>88</v>
      </c>
      <c r="CJ484" s="10">
        <v>61</v>
      </c>
      <c r="CK484" s="10">
        <v>303</v>
      </c>
      <c r="CL484" s="10">
        <v>28</v>
      </c>
      <c r="CM484" s="10">
        <v>223</v>
      </c>
      <c r="CN484" s="10">
        <v>0.45400000000000001</v>
      </c>
      <c r="CO484" s="10">
        <v>147</v>
      </c>
      <c r="CP484" s="10">
        <v>134</v>
      </c>
      <c r="CQ484" s="10">
        <v>156</v>
      </c>
      <c r="CR484" s="10">
        <v>4</v>
      </c>
      <c r="CS484" s="10">
        <v>7.2</v>
      </c>
      <c r="CT484" s="9" t="s">
        <v>188</v>
      </c>
      <c r="CU484" s="10"/>
      <c r="CV484" s="10"/>
      <c r="CW484" s="10"/>
      <c r="CX484" t="str">
        <f>INDEX('Data_Price '!AG$2:AG$1266,MATCH(Data!$DN484,'Data_Price '!$AT$2:$AT$1266,0))</f>
        <v>Blizzard Sheeva 9 Skis</v>
      </c>
      <c r="CY484" t="str">
        <f>INDEX('Data_Price '!AH$2:AH$1266,MATCH(Data!$DN484,'Data_Price '!$AT$2:$AT$1266,0))</f>
        <v>REI</v>
      </c>
      <c r="CZ484">
        <f>INDEX('Data_Price '!AI$2:AI$1266,MATCH(Data!$DN484,'Data_Price '!$AT$2:$AT$1266,0))</f>
        <v>479.93</v>
      </c>
      <c r="DA484" t="str">
        <f>INDEX('Data_Price '!AJ$2:AJ$1266,MATCH(Data!$DN484,'Data_Price '!$AT$2:$AT$1266,0))</f>
        <v>https://tinyurl.com/y9cnzurn</v>
      </c>
      <c r="DB484" t="str">
        <f>INDEX('Data_Price '!AK$2:AK$1266,MATCH(Data!$DN484,'Data_Price '!$AT$2:$AT$1266,0))</f>
        <v>Blizzard Sheeva 9 Skis</v>
      </c>
      <c r="DC484" t="str">
        <f>INDEX('Data_Price '!AL$2:AL$1266,MATCH(Data!$DN484,'Data_Price '!$AT$2:$AT$1266,0))</f>
        <v>SkiEssentials.com</v>
      </c>
      <c r="DD484">
        <f>INDEX('Data_Price '!AM$2:AM$1266,MATCH(Data!$DN484,'Data_Price '!$AT$2:$AT$1266,0))</f>
        <v>479.95</v>
      </c>
      <c r="DE484" t="str">
        <f>INDEX('Data_Price '!AN$2:AN$1266,MATCH(Data!$DN484,'Data_Price '!$AT$2:$AT$1266,0))</f>
        <v>https://tinyurl.com/yb9o5wtw</v>
      </c>
      <c r="DF484" t="str">
        <f>INDEX('Data_Price '!AO$2:AO$1266,MATCH(Data!$DN484,'Data_Price '!$AT$2:$AT$1266,0))</f>
        <v>Blizzard Sheeva 9 - Winter 2021/2022 164</v>
      </c>
      <c r="DG484" t="str">
        <f>INDEX('Data_Price '!AP$2:AP$1266,MATCH(Data!$DN484,'Data_Price '!$AT$2:$AT$1266,0))</f>
        <v>Equipe Sport</v>
      </c>
      <c r="DH484">
        <f>INDEX('Data_Price '!AQ$2:AQ$1266,MATCH(Data!$DN484,'Data_Price '!$AT$2:$AT$1266,0))</f>
        <v>479.95</v>
      </c>
      <c r="DI484" t="str">
        <f>INDEX('Data_Price '!AR$2:AR$1266,MATCH(Data!$DN484,'Data_Price '!$AT$2:$AT$1266,0))</f>
        <v>https://tinyurl.com/ybktx3sj</v>
      </c>
      <c r="DJ484" s="89" t="str">
        <f t="shared" si="291"/>
        <v>https://tinyurl.com/y9cnzurn</v>
      </c>
      <c r="DK484" s="89" t="str">
        <f t="shared" si="292"/>
        <v>https://tinyurl.com/yb9o5wtw</v>
      </c>
      <c r="DL484" s="89" t="str">
        <f t="shared" si="293"/>
        <v>https://tinyurl.com/ybktx3sj</v>
      </c>
      <c r="DM484" s="219" t="str">
        <f t="shared" si="294"/>
        <v>Sheeva 9</v>
      </c>
      <c r="DN484" s="89" t="str">
        <f t="shared" si="295"/>
        <v xml:space="preserve"> BlizzardSheeva 9164 Women's</v>
      </c>
      <c r="DO484" s="221" t="s">
        <v>572</v>
      </c>
    </row>
    <row r="485" spans="2:119" ht="15.6" customHeight="1">
      <c r="B485" s="219" t="b">
        <f t="array" ref="B485">IF(OR(ISERROR(K485:P485)),FALSE,TRUE)</f>
        <v>1</v>
      </c>
      <c r="C485" s="43" t="b">
        <f>OR(BR485=Driver!$G$50,Data!BR274=Driver!$H$50)</f>
        <v>1</v>
      </c>
      <c r="D485" s="43" t="b">
        <f>OR(BV485=Driver!$G$51,BV485=Driver!$H$51)</f>
        <v>1</v>
      </c>
      <c r="E485" s="43" t="b">
        <f>AND(BX485&gt;Driver!$F$54,BX485&lt;Driver!$G$54)</f>
        <v>1</v>
      </c>
      <c r="F485" s="43" t="b">
        <f>CL485&gt;Driver!$F$56</f>
        <v>1</v>
      </c>
      <c r="G485" s="43" t="b">
        <f>AND(CB485&gt;Driver!$F$55,CB485&lt;Driver!$G$55)</f>
        <v>0</v>
      </c>
      <c r="H485" s="43" t="b">
        <f t="shared" si="259"/>
        <v>0</v>
      </c>
      <c r="I485" s="43">
        <f t="shared" si="260"/>
        <v>0</v>
      </c>
      <c r="J485" s="43" t="b">
        <f t="array" ref="J485">NOT(OR(($H$9:$H$1273=TRUE)*($I$9:$I$1273&gt;0)*($BT$9:$BT$1273=BT485)*($K$9:$K$1273&gt;K485)))</f>
        <v>1</v>
      </c>
      <c r="K485" s="72">
        <f t="shared" si="261"/>
        <v>0.80149096929562003</v>
      </c>
      <c r="L485" s="72">
        <f t="shared" si="262"/>
        <v>0.88227241248830912</v>
      </c>
      <c r="M485" s="72">
        <f t="shared" si="263"/>
        <v>0.72070952610293104</v>
      </c>
      <c r="N485" s="72">
        <f t="shared" si="264"/>
        <v>0.58420215060993719</v>
      </c>
      <c r="O485" s="72">
        <f t="shared" si="265"/>
        <v>0.60965473083445598</v>
      </c>
      <c r="P485" s="72">
        <f t="shared" si="266"/>
        <v>0.96827169686439984</v>
      </c>
      <c r="Q485" s="72"/>
      <c r="R485" s="72"/>
      <c r="S485" s="72">
        <f t="shared" si="267"/>
        <v>0.44413214228483111</v>
      </c>
      <c r="T485" s="72">
        <f t="shared" si="268"/>
        <v>0.59601090947856639</v>
      </c>
      <c r="U485" s="72">
        <f t="shared" si="269"/>
        <v>0.51</v>
      </c>
      <c r="V485" s="72">
        <f t="shared" si="270"/>
        <v>0.50383936862350309</v>
      </c>
      <c r="W485" s="72">
        <f t="shared" si="271"/>
        <v>0.76551582220596304</v>
      </c>
      <c r="X485" s="72">
        <f t="shared" si="272"/>
        <v>0.11772758751169085</v>
      </c>
      <c r="Y485" s="72">
        <f t="shared" si="273"/>
        <v>0.27929047389706896</v>
      </c>
      <c r="Z485" s="72">
        <f t="shared" si="274"/>
        <v>0.41579784939006281</v>
      </c>
      <c r="AA485" s="72">
        <f t="shared" si="275"/>
        <v>0.39034526916554396</v>
      </c>
      <c r="AB485" s="72">
        <f t="shared" si="276"/>
        <v>3.1728303135600211E-2</v>
      </c>
      <c r="AC485" s="72"/>
      <c r="AD485" s="72"/>
      <c r="AE485" s="72">
        <f t="shared" si="277"/>
        <v>0.55586785771516889</v>
      </c>
      <c r="AF485" s="72">
        <f t="shared" si="278"/>
        <v>0.40398909052143361</v>
      </c>
      <c r="AG485" s="72">
        <f t="shared" si="279"/>
        <v>0.49</v>
      </c>
      <c r="AH485" s="72">
        <f t="shared" si="280"/>
        <v>0.49616063137649691</v>
      </c>
      <c r="AI485" s="72">
        <f t="shared" si="281"/>
        <v>0.23448417779403696</v>
      </c>
      <c r="AJ485" s="72">
        <f>(AV485-Driver!$K$179)/(Driver!$L$179-Driver!$K$179)</f>
        <v>0.13649182177100957</v>
      </c>
      <c r="AK485" s="72">
        <f>(AW485-Driver!$K$180)/(Driver!$L$180-Driver!$K$180)</f>
        <v>0.30696407314307478</v>
      </c>
      <c r="AL485" s="72">
        <f>(AX485-Driver!$K$181)/(Driver!$L$181-Driver!$K$181)</f>
        <v>0.51748561310314301</v>
      </c>
      <c r="AM485" s="72">
        <f>(AY485-Driver!$K$182)/(Driver!$L$182-Driver!$K$182)</f>
        <v>5.7039751931502417E-2</v>
      </c>
      <c r="AN485" s="72">
        <f>(AZ485-Driver!$K$183)/(Driver!$L$183-Driver!$K$183)</f>
        <v>0.28594771241830064</v>
      </c>
      <c r="AO485" s="72"/>
      <c r="AP485" s="72"/>
      <c r="AQ485" s="72">
        <f>(BC485-Driver!$K$188)/(Driver!$L$188-Driver!$K$188)</f>
        <v>6.4132142284831065E-2</v>
      </c>
      <c r="AR485" s="72">
        <f>MIN((BD485-Driver!$K$189)/(Driver!$L$189-Driver!$K$189),100%)</f>
        <v>0.14601090947856646</v>
      </c>
      <c r="AS485" s="72">
        <f>(BE485-Driver!$K$190)/(Driver!$L$190-Driver!$K$190)</f>
        <v>1</v>
      </c>
      <c r="AT485" s="72">
        <f>(BF485-Driver!$K$191)/(Driver!$L$191-Driver!$K$191)</f>
        <v>1.3839368623503089E-2</v>
      </c>
      <c r="AU485" s="72">
        <f>(BG485-Driver!$K$192)/(Driver!$L$192-Driver!$K$192)</f>
        <v>1.5515822205963049E-2</v>
      </c>
      <c r="AV485" s="70">
        <f t="shared" si="282"/>
        <v>2.8727445394112059</v>
      </c>
      <c r="AW485" s="70">
        <f t="shared" si="283"/>
        <v>31.78826152763795</v>
      </c>
      <c r="AX485" s="70">
        <f t="shared" si="284"/>
        <v>5.6573705179282872</v>
      </c>
      <c r="AY485" s="70">
        <f>IFERROR(Driver!$K$19/Data!BH485/Data!BI485*Data!BK485*Data!BL485,"")</f>
        <v>6.9833675383525445E-2</v>
      </c>
      <c r="AZ485" s="70">
        <f t="shared" si="285"/>
        <v>26.061057334326136</v>
      </c>
      <c r="BA485" s="70"/>
      <c r="BB485" s="70"/>
      <c r="BC485" s="70">
        <f t="shared" si="286"/>
        <v>33.265788042561923</v>
      </c>
      <c r="BD485" s="70">
        <f t="shared" si="287"/>
        <v>14.642529656928295</v>
      </c>
      <c r="BE485" s="70">
        <f t="shared" si="288"/>
        <v>1</v>
      </c>
      <c r="BF485" s="70">
        <f t="shared" si="289"/>
        <v>1.5630594589574254</v>
      </c>
      <c r="BG485" s="70">
        <f t="shared" si="290"/>
        <v>5.875280089628681E-2</v>
      </c>
      <c r="BH485" s="67">
        <f>MAX((CE485-Driver!$F$200)/(Driver!$G$200-Driver!$F$200)*$BI$1,1)</f>
        <v>5.6573705179282872</v>
      </c>
      <c r="BI485" s="67">
        <f>MAX($BI$1*(BY485-Driver!$F$201)/(Driver!$G$201-Driver!$F$201),1)</f>
        <v>7.9113924050632916</v>
      </c>
      <c r="BJ485" s="67">
        <f>(CB485-Driver!$F$206)/(Driver!$G$206-Driver!$F$206)*$BI$1</f>
        <v>3.4920634920634921</v>
      </c>
      <c r="BK485" s="67">
        <f>(CD485-Driver!$F$203)/(Driver!$G$203-Driver!$F$203)*$BI$1</f>
        <v>2.3853211009174311</v>
      </c>
      <c r="BL485" s="67">
        <f>MAX((CR485-Driver!$F$202)/(Driver!$G$202-Driver!$F$202)*$BI$1,1)</f>
        <v>6.5517241379310338</v>
      </c>
      <c r="BM485" s="67">
        <f>MAX((CH485-Driver!$F$204)/(Driver!$G$204-Driver!$F$204)*$BI$1,1)</f>
        <v>3.2905982905982905</v>
      </c>
      <c r="BN485" s="67">
        <f>(CI485-Driver!$F$205)/(Driver!$G$205-Driver!$F$205)*$BI$1</f>
        <v>3.2941176470588234</v>
      </c>
      <c r="BO485" s="67">
        <f>(CK485-Driver!$F$207)/(Driver!$G$207-Driver!$F$207)*$BI$1</f>
        <v>0.95139607032057916</v>
      </c>
      <c r="BP485" s="67">
        <f>(CM485-Driver!$F$208)/(Driver!$G$208-Driver!$F$208)*$BI$1</f>
        <v>1.1222222222222222</v>
      </c>
      <c r="BQ485" s="67">
        <f>(CL485-Driver!$F$209)/(Driver!$G$209-Driver!$F$209)*$BI$1</f>
        <v>1.09375</v>
      </c>
      <c r="BR485" s="28" t="s">
        <v>155</v>
      </c>
      <c r="BS485" s="8" t="s">
        <v>317</v>
      </c>
      <c r="BT485" s="9" t="s">
        <v>630</v>
      </c>
      <c r="BU485" s="10">
        <v>165</v>
      </c>
      <c r="BV485" s="9" t="s">
        <v>158</v>
      </c>
      <c r="BW485" s="10">
        <v>165</v>
      </c>
      <c r="BX485" s="10">
        <v>163.5</v>
      </c>
      <c r="BY485" s="10">
        <v>133</v>
      </c>
      <c r="BZ485" s="10">
        <v>141</v>
      </c>
      <c r="CA485" s="10">
        <v>128</v>
      </c>
      <c r="CB485" s="10">
        <v>86</v>
      </c>
      <c r="CC485" s="10">
        <v>109</v>
      </c>
      <c r="CD485" s="10">
        <v>14.6</v>
      </c>
      <c r="CE485" s="10">
        <v>1894</v>
      </c>
      <c r="CF485" s="10">
        <v>0.85</v>
      </c>
      <c r="CG485" s="10">
        <v>1618</v>
      </c>
      <c r="CH485" s="10">
        <v>178</v>
      </c>
      <c r="CI485" s="10">
        <v>89</v>
      </c>
      <c r="CJ485" s="10">
        <v>59</v>
      </c>
      <c r="CK485" s="10">
        <v>202</v>
      </c>
      <c r="CL485" s="10">
        <v>7</v>
      </c>
      <c r="CM485" s="10">
        <v>101</v>
      </c>
      <c r="CN485" s="10">
        <v>0.113</v>
      </c>
      <c r="CO485" s="10">
        <v>122</v>
      </c>
      <c r="CP485" s="10">
        <v>103</v>
      </c>
      <c r="CQ485" s="10">
        <v>80</v>
      </c>
      <c r="CR485" s="10">
        <v>8</v>
      </c>
      <c r="CS485" s="10">
        <v>11</v>
      </c>
      <c r="CT485" s="9" t="s">
        <v>188</v>
      </c>
      <c r="CU485" s="10"/>
      <c r="CV485" s="10"/>
      <c r="CW485" s="10"/>
      <c r="CX485" t="str">
        <f>INDEX('Data_Price '!AG$2:AG$1266,MATCH(Data!$DN485,'Data_Price '!$AT$2:$AT$1266,0))</f>
        <v>2022 Blizzard Brahma 88 Demo Skis w/ Marker Griffon 13 ID Demo Bindings - 165| Ski Essentials</v>
      </c>
      <c r="CY485" t="str">
        <f>INDEX('Data_Price '!AH$2:AH$1266,MATCH(Data!$DN485,'Data_Price '!$AT$2:$AT$1266,0))</f>
        <v>SkiEssentials.com</v>
      </c>
      <c r="CZ485">
        <f>INDEX('Data_Price '!AI$2:AI$1266,MATCH(Data!$DN485,'Data_Price '!$AT$2:$AT$1266,0))</f>
        <v>649</v>
      </c>
      <c r="DA485" t="str">
        <f>INDEX('Data_Price '!AJ$2:AJ$1266,MATCH(Data!$DN485,'Data_Price '!$AT$2:$AT$1266,0))</f>
        <v>https://tinyurl.com/ybjoeyfq</v>
      </c>
      <c r="DB485" t="str">
        <f>INDEX('Data_Price '!AK$2:AK$1266,MATCH(Data!$DN485,'Data_Price '!$AT$2:$AT$1266,0))</f>
        <v>2022 Blizzard Brahma 88 snow skis 165</v>
      </c>
      <c r="DC485" t="str">
        <f>INDEX('Data_Price '!AL$2:AL$1266,MATCH(Data!$DN485,'Data_Price '!$AT$2:$AT$1266,0))</f>
        <v>The Pro Shop</v>
      </c>
      <c r="DD485">
        <f>INDEX('Data_Price '!AM$2:AM$1266,MATCH(Data!$DN485,'Data_Price '!$AT$2:$AT$1266,0))</f>
        <v>699</v>
      </c>
      <c r="DE485" t="str">
        <f>INDEX('Data_Price '!AN$2:AN$1266,MATCH(Data!$DN485,'Data_Price '!$AT$2:$AT$1266,0))</f>
        <v>https://tinyurl.com/yccf82wt</v>
      </c>
      <c r="DF485" t="str">
        <f>INDEX('Data_Price '!AO$2:AO$1266,MATCH(Data!$DN485,'Data_Price '!$AT$2:$AT$1266,0))</f>
        <v>Blizzard Brahma 88 Men's Skis 2022 165</v>
      </c>
      <c r="DG485" t="str">
        <f>INDEX('Data_Price '!AP$2:AP$1266,MATCH(Data!$DN485,'Data_Price '!$AT$2:$AT$1266,0))</f>
        <v>Sundown Ski &amp; Patio Greenvale</v>
      </c>
      <c r="DH485">
        <f>INDEX('Data_Price '!AQ$2:AQ$1266,MATCH(Data!$DN485,'Data_Price '!$AT$2:$AT$1266,0))</f>
        <v>840</v>
      </c>
      <c r="DI485" t="str">
        <f>INDEX('Data_Price '!AR$2:AR$1266,MATCH(Data!$DN485,'Data_Price '!$AT$2:$AT$1266,0))</f>
        <v>https://tinyurl.com/y83syy9s</v>
      </c>
      <c r="DJ485" s="89" t="str">
        <f t="shared" si="291"/>
        <v>https://tinyurl.com/ybjoeyfq</v>
      </c>
      <c r="DK485" s="89" t="str">
        <f t="shared" si="292"/>
        <v>https://tinyurl.com/yccf82wt</v>
      </c>
      <c r="DL485" s="89" t="str">
        <f t="shared" si="293"/>
        <v>https://tinyurl.com/y83syy9s</v>
      </c>
      <c r="DM485" s="219" t="str">
        <f t="shared" si="294"/>
        <v>Brahma 88</v>
      </c>
      <c r="DN485" s="89" t="str">
        <f t="shared" si="295"/>
        <v xml:space="preserve"> BlizzardBrahma 88165 Unisex</v>
      </c>
      <c r="DO485" s="221"/>
    </row>
    <row r="486" spans="2:119" ht="15.6" customHeight="1">
      <c r="B486" s="219" t="b">
        <f t="array" ref="B486">IF(OR(ISERROR(K486:P486)),FALSE,TRUE)</f>
        <v>1</v>
      </c>
      <c r="C486" s="43" t="b">
        <f>OR(BR486=Driver!$G$50,Data!BR694=Driver!$H$50)</f>
        <v>1</v>
      </c>
      <c r="D486" s="43" t="b">
        <f>OR(BV486=Driver!$G$51,BV486=Driver!$H$51)</f>
        <v>1</v>
      </c>
      <c r="E486" s="43" t="b">
        <f>AND(BX486&gt;Driver!$F$54,BX486&lt;Driver!$G$54)</f>
        <v>0</v>
      </c>
      <c r="F486" s="43" t="b">
        <f>CL486&gt;Driver!$F$56</f>
        <v>1</v>
      </c>
      <c r="G486" s="43" t="b">
        <f>AND(CB486&gt;Driver!$F$55,CB486&lt;Driver!$G$55)</f>
        <v>0</v>
      </c>
      <c r="H486" s="43" t="b">
        <f t="shared" si="259"/>
        <v>0</v>
      </c>
      <c r="I486" s="43">
        <f t="shared" si="260"/>
        <v>0</v>
      </c>
      <c r="J486" s="43" t="b">
        <f t="array" ref="J486">NOT(OR(($H$9:$H$1273=TRUE)*($I$9:$I$1273&gt;0)*($BT$9:$BT$1273=BT486)*($K$9:$K$1273&gt;K486)))</f>
        <v>1</v>
      </c>
      <c r="K486" s="72">
        <f t="shared" si="261"/>
        <v>0.8060057588799624</v>
      </c>
      <c r="L486" s="72">
        <f t="shared" si="262"/>
        <v>0.90589937060733183</v>
      </c>
      <c r="M486" s="72">
        <f t="shared" si="263"/>
        <v>0.70611214715259307</v>
      </c>
      <c r="N486" s="72">
        <f t="shared" si="264"/>
        <v>0.46720980254189193</v>
      </c>
      <c r="O486" s="72">
        <f t="shared" si="265"/>
        <v>0.66343428349270528</v>
      </c>
      <c r="P486" s="72">
        <f t="shared" si="266"/>
        <v>0.9876923554231819</v>
      </c>
      <c r="Q486" s="72"/>
      <c r="R486" s="72"/>
      <c r="S486" s="72">
        <f t="shared" si="267"/>
        <v>0.49500875597475091</v>
      </c>
      <c r="T486" s="72">
        <f t="shared" si="268"/>
        <v>0.50726725940421602</v>
      </c>
      <c r="U486" s="72">
        <f t="shared" si="269"/>
        <v>0.53804861658405811</v>
      </c>
      <c r="V486" s="72">
        <f t="shared" si="270"/>
        <v>0.51684865314819373</v>
      </c>
      <c r="W486" s="72">
        <f t="shared" si="271"/>
        <v>0.79833051686964629</v>
      </c>
      <c r="X486" s="72">
        <f t="shared" si="272"/>
        <v>9.4100629392668167E-2</v>
      </c>
      <c r="Y486" s="72">
        <f t="shared" si="273"/>
        <v>0.29388785284740698</v>
      </c>
      <c r="Z486" s="72">
        <f t="shared" si="274"/>
        <v>0.53279019745810807</v>
      </c>
      <c r="AA486" s="72">
        <f t="shared" si="275"/>
        <v>0.33656571650729472</v>
      </c>
      <c r="AB486" s="72">
        <f t="shared" si="276"/>
        <v>1.23076445768181E-2</v>
      </c>
      <c r="AC486" s="72"/>
      <c r="AD486" s="72"/>
      <c r="AE486" s="72">
        <f t="shared" si="277"/>
        <v>0.50499124402524909</v>
      </c>
      <c r="AF486" s="72">
        <f t="shared" si="278"/>
        <v>0.49273274059578392</v>
      </c>
      <c r="AG486" s="72">
        <f t="shared" si="279"/>
        <v>0.46195138341594189</v>
      </c>
      <c r="AH486" s="72">
        <f t="shared" si="280"/>
        <v>0.48315134685180633</v>
      </c>
      <c r="AI486" s="72">
        <f t="shared" si="281"/>
        <v>0.20166948313035371</v>
      </c>
      <c r="AJ486" s="72">
        <f>(AV486-Driver!$K$179)/(Driver!$L$179-Driver!$K$179)</f>
        <v>0.34832003867536859</v>
      </c>
      <c r="AK486" s="72">
        <f>(AW486-Driver!$K$180)/(Driver!$L$180-Driver!$K$180)</f>
        <v>0.27726303363391513</v>
      </c>
      <c r="AL486" s="72">
        <f>(AX486-Driver!$K$181)/(Driver!$L$181-Driver!$K$181)</f>
        <v>0.63447796117118826</v>
      </c>
      <c r="AM486" s="72">
        <f>(AY486-Driver!$K$182)/(Driver!$L$182-Driver!$K$182)</f>
        <v>0.11081930458975166</v>
      </c>
      <c r="AN486" s="72">
        <f>(AZ486-Driver!$K$183)/(Driver!$L$183-Driver!$K$183)</f>
        <v>0.24191176470588233</v>
      </c>
      <c r="AO486" s="72"/>
      <c r="AP486" s="72"/>
      <c r="AQ486" s="72">
        <f>(BC486-Driver!$K$188)/(Driver!$L$188-Driver!$K$188)</f>
        <v>0.11500875597475091</v>
      </c>
      <c r="AR486" s="72">
        <f>MIN((BD486-Driver!$K$189)/(Driver!$L$189-Driver!$K$189),100%)</f>
        <v>5.726725940421612E-2</v>
      </c>
      <c r="AS486" s="72">
        <f>(BE486-Driver!$K$190)/(Driver!$L$190-Driver!$K$190)</f>
        <v>4.8048616584058117E-2</v>
      </c>
      <c r="AT486" s="72">
        <f>(BF486-Driver!$K$191)/(Driver!$L$191-Driver!$K$191)</f>
        <v>2.684865314819368E-2</v>
      </c>
      <c r="AU486" s="72">
        <f>(BG486-Driver!$K$192)/(Driver!$L$192-Driver!$K$192)</f>
        <v>4.8330516869646289E-2</v>
      </c>
      <c r="AV486" s="70">
        <f t="shared" si="282"/>
        <v>7.3310948310948305</v>
      </c>
      <c r="AW486" s="70">
        <f t="shared" si="283"/>
        <v>28.893632049487614</v>
      </c>
      <c r="AX486" s="70">
        <f t="shared" si="284"/>
        <v>6.7103016505406945</v>
      </c>
      <c r="AY486" s="70">
        <f>IFERROR(Driver!$K$19/Data!BH486/Data!BI486*Data!BK486*Data!BL486,"")</f>
        <v>0.13567589410701189</v>
      </c>
      <c r="AZ486" s="70">
        <f t="shared" si="285"/>
        <v>22.047654504839908</v>
      </c>
      <c r="BA486" s="70"/>
      <c r="BB486" s="70"/>
      <c r="BC486" s="70">
        <f t="shared" si="286"/>
        <v>59.655841252003626</v>
      </c>
      <c r="BD486" s="70">
        <f t="shared" si="287"/>
        <v>6.788873869791578</v>
      </c>
      <c r="BE486" s="70">
        <f t="shared" si="288"/>
        <v>4.8218433996190302E-2</v>
      </c>
      <c r="BF486" s="70">
        <f t="shared" si="289"/>
        <v>3.0323667506248229</v>
      </c>
      <c r="BG486" s="70">
        <f t="shared" si="290"/>
        <v>0.18301016840510462</v>
      </c>
      <c r="BH486" s="67">
        <f>MAX((CE486-Driver!$F$200)/(Driver!$G$200-Driver!$F$200)*$BI$1,1)</f>
        <v>6.7103016505406945</v>
      </c>
      <c r="BI486" s="67">
        <f>MAX($BI$1*(BY486-Driver!$F$201)/(Driver!$G$201-Driver!$F$201),1)</f>
        <v>7.9746835443037973</v>
      </c>
      <c r="BJ486" s="67">
        <f>(CB486-Driver!$F$206)/(Driver!$G$206-Driver!$F$206)*$BI$1</f>
        <v>5.2380952380952381</v>
      </c>
      <c r="BK486" s="67">
        <f>(CD486-Driver!$F$203)/(Driver!$G$203-Driver!$F$203)*$BI$1</f>
        <v>6.1926605504587151</v>
      </c>
      <c r="BL486" s="67">
        <f>MAX((CR486-Driver!$F$202)/(Driver!$G$202-Driver!$F$202)*$BI$1,1)</f>
        <v>5.8620689655172411</v>
      </c>
      <c r="BM486" s="67">
        <f>MAX((CH486-Driver!$F$204)/(Driver!$G$204-Driver!$F$204)*$BI$1,1)</f>
        <v>5.5982905982905979</v>
      </c>
      <c r="BN486" s="67">
        <f>(CI486-Driver!$F$205)/(Driver!$G$205-Driver!$F$205)*$BI$1</f>
        <v>2.7647058823529411</v>
      </c>
      <c r="BO486" s="67">
        <f>(CK486-Driver!$F$207)/(Driver!$G$207-Driver!$F$207)*$BI$1</f>
        <v>1.344364012409514</v>
      </c>
      <c r="BP486" s="67">
        <f>(CM486-Driver!$F$208)/(Driver!$G$208-Driver!$F$208)*$BI$1</f>
        <v>2.6666666666666665</v>
      </c>
      <c r="BQ486" s="67">
        <f>(CL486-Driver!$F$209)/(Driver!$G$209-Driver!$F$209)*$BI$1</f>
        <v>6.875</v>
      </c>
      <c r="BR486" s="28" t="s">
        <v>155</v>
      </c>
      <c r="BS486" s="8" t="s">
        <v>561</v>
      </c>
      <c r="BT486" s="9" t="s">
        <v>631</v>
      </c>
      <c r="BU486" s="10">
        <v>184</v>
      </c>
      <c r="BV486" s="9" t="s">
        <v>158</v>
      </c>
      <c r="BW486" s="10">
        <v>184</v>
      </c>
      <c r="BX486" s="10">
        <v>181.8</v>
      </c>
      <c r="BY486" s="10">
        <v>134</v>
      </c>
      <c r="BZ486" s="10">
        <v>147</v>
      </c>
      <c r="CA486" s="10">
        <v>119</v>
      </c>
      <c r="CB486" s="10">
        <v>97</v>
      </c>
      <c r="CC486" s="10">
        <v>117</v>
      </c>
      <c r="CD486" s="10">
        <v>22.9</v>
      </c>
      <c r="CE486" s="10">
        <v>2079</v>
      </c>
      <c r="CF486" s="10">
        <v>0.92</v>
      </c>
      <c r="CG486" s="10">
        <v>1918</v>
      </c>
      <c r="CH486" s="10">
        <v>232</v>
      </c>
      <c r="CI486" s="10">
        <v>80</v>
      </c>
      <c r="CJ486" s="10">
        <v>46</v>
      </c>
      <c r="CK486" s="10">
        <v>240</v>
      </c>
      <c r="CL486" s="10">
        <v>44</v>
      </c>
      <c r="CM486" s="10">
        <v>240</v>
      </c>
      <c r="CN486" s="10">
        <v>0.97599999999999998</v>
      </c>
      <c r="CO486" s="10">
        <v>188</v>
      </c>
      <c r="CP486" s="10">
        <v>165</v>
      </c>
      <c r="CQ486" s="10">
        <v>52</v>
      </c>
      <c r="CR486" s="10">
        <v>6</v>
      </c>
      <c r="CS486" s="10">
        <v>3.3</v>
      </c>
      <c r="CT486" s="9" t="s">
        <v>184</v>
      </c>
      <c r="CU486" s="10"/>
      <c r="CV486" s="10"/>
      <c r="CW486" s="10"/>
      <c r="CX486" t="str">
        <f>INDEX('Data_Price '!AG$2:AG$1266,MATCH(Data!$DN486,'Data_Price '!$AT$2:$AT$1266,0))</f>
        <v>The Allplay "RAT ROD" Sam Zahner x J Collab Limited Edition Ski 184cm</v>
      </c>
      <c r="CY486" t="str">
        <f>INDEX('Data_Price '!AH$2:AH$1266,MATCH(Data!$DN486,'Data_Price '!$AT$2:$AT$1266,0))</f>
        <v>J Skis</v>
      </c>
      <c r="CZ486">
        <f>INDEX('Data_Price '!AI$2:AI$1266,MATCH(Data!$DN486,'Data_Price '!$AT$2:$AT$1266,0))</f>
        <v>599</v>
      </c>
      <c r="DA486" t="str">
        <f>INDEX('Data_Price '!AJ$2:AJ$1266,MATCH(Data!$DN486,'Data_Price '!$AT$2:$AT$1266,0))</f>
        <v>https://tinyurl.com/yacb2bt3</v>
      </c>
      <c r="DB486" t="str">
        <f>INDEX('Data_Price '!AK$2:AK$1266,MATCH(Data!$DN486,'Data_Price '!$AT$2:$AT$1266,0))</f>
        <v>Armada ARV 86 Skis 2022</v>
      </c>
      <c r="DC486" t="str">
        <f>INDEX('Data_Price '!AL$2:AL$1266,MATCH(Data!$DN486,'Data_Price '!$AT$2:$AT$1266,0))</f>
        <v>Ski Pro  - Snow Ski &amp; Snowboard</v>
      </c>
      <c r="DD486">
        <f>INDEX('Data_Price '!AM$2:AM$1266,MATCH(Data!$DN486,'Data_Price '!$AT$2:$AT$1266,0))</f>
        <v>319.95</v>
      </c>
      <c r="DE486" t="str">
        <f>INDEX('Data_Price '!AN$2:AN$1266,MATCH(Data!$DN486,'Data_Price '!$AT$2:$AT$1266,0))</f>
        <v>https://tinyurl.com/ya4po3qz</v>
      </c>
      <c r="DF486" t="str">
        <f>INDEX('Data_Price '!AO$2:AO$1266,MATCH(Data!$DN486,'Data_Price '!$AT$2:$AT$1266,0))</f>
        <v>Armada ARV 86 Skis 2022</v>
      </c>
      <c r="DG486" t="str">
        <f>INDEX('Data_Price '!AP$2:AP$1266,MATCH(Data!$DN486,'Data_Price '!$AT$2:$AT$1266,0))</f>
        <v>Next Adventure</v>
      </c>
      <c r="DH486">
        <f>INDEX('Data_Price '!AQ$2:AQ$1266,MATCH(Data!$DN486,'Data_Price '!$AT$2:$AT$1266,0))</f>
        <v>319.95999999999998</v>
      </c>
      <c r="DI486" t="str">
        <f>INDEX('Data_Price '!AR$2:AR$1266,MATCH(Data!$DN486,'Data_Price '!$AT$2:$AT$1266,0))</f>
        <v>https://tinyurl.com/yc755qqt</v>
      </c>
      <c r="DJ486" s="89" t="str">
        <f t="shared" si="291"/>
        <v>https://tinyurl.com/yacb2bt3</v>
      </c>
      <c r="DK486" s="89" t="str">
        <f t="shared" si="292"/>
        <v>https://tinyurl.com/ya4po3qz</v>
      </c>
      <c r="DL486" s="89" t="str">
        <f t="shared" si="293"/>
        <v>https://tinyurl.com/yc755qqt</v>
      </c>
      <c r="DM486" s="219" t="str">
        <f t="shared" si="294"/>
        <v>The Allplay</v>
      </c>
      <c r="DN486" s="89" t="str">
        <f t="shared" si="295"/>
        <v xml:space="preserve"> J SkisThe Allplay184 Unisex</v>
      </c>
      <c r="DO486" s="221"/>
    </row>
    <row r="487" spans="2:119" ht="15.6" customHeight="1">
      <c r="B487" s="219" t="b">
        <f t="array" ref="B487">IF(OR(ISERROR(K487:P487)),FALSE,TRUE)</f>
        <v>1</v>
      </c>
      <c r="C487" s="43" t="b">
        <f>OR(BR487=Driver!$G$50,Data!BR928=Driver!$H$50)</f>
        <v>1</v>
      </c>
      <c r="D487" s="43" t="b">
        <f>OR(BV487=Driver!$G$51,BV487=Driver!$H$51)</f>
        <v>0</v>
      </c>
      <c r="E487" s="43" t="b">
        <f>AND(BX487&gt;Driver!$F$54,BX487&lt;Driver!$G$54)</f>
        <v>0</v>
      </c>
      <c r="F487" s="43" t="b">
        <f>CL487&gt;Driver!$F$56</f>
        <v>1</v>
      </c>
      <c r="G487" s="43" t="b">
        <f>AND(CB487&gt;Driver!$F$55,CB487&lt;Driver!$G$55)</f>
        <v>0</v>
      </c>
      <c r="H487" s="43" t="b">
        <f t="shared" si="259"/>
        <v>0</v>
      </c>
      <c r="I487" s="43">
        <f t="shared" si="260"/>
        <v>0</v>
      </c>
      <c r="J487" s="43" t="b">
        <f t="array" ref="J487">NOT(OR(($H$9:$H$1273=TRUE)*($I$9:$I$1273&gt;0)*($BT$9:$BT$1273=BT487)*($K$9:$K$1273&gt;K487)))</f>
        <v>1</v>
      </c>
      <c r="K487" s="72">
        <f t="shared" si="261"/>
        <v>0.78781761095855518</v>
      </c>
      <c r="L487" s="72">
        <f t="shared" si="262"/>
        <v>0.91806599698715619</v>
      </c>
      <c r="M487" s="72">
        <f t="shared" si="263"/>
        <v>0.65756922492995407</v>
      </c>
      <c r="N487" s="72">
        <f t="shared" si="264"/>
        <v>0.5070504399920911</v>
      </c>
      <c r="O487" s="72">
        <f t="shared" si="265"/>
        <v>0.61074338107062642</v>
      </c>
      <c r="P487" s="72">
        <f t="shared" si="266"/>
        <v>0.8549138537271449</v>
      </c>
      <c r="Q487" s="72"/>
      <c r="R487" s="72"/>
      <c r="S487" s="72">
        <f t="shared" si="267"/>
        <v>0.47922858794178713</v>
      </c>
      <c r="T487" s="72">
        <f t="shared" si="268"/>
        <v>0.62082773353019172</v>
      </c>
      <c r="U487" s="72">
        <f t="shared" si="269"/>
        <v>0.60424509388982628</v>
      </c>
      <c r="V487" s="72">
        <f t="shared" si="270"/>
        <v>0.54287762081525459</v>
      </c>
      <c r="W487" s="72">
        <f t="shared" si="271"/>
        <v>0.76632387962762505</v>
      </c>
      <c r="X487" s="72">
        <f t="shared" si="272"/>
        <v>8.1934003012843815E-2</v>
      </c>
      <c r="Y487" s="72">
        <f t="shared" si="273"/>
        <v>0.34243077507004588</v>
      </c>
      <c r="Z487" s="72">
        <f t="shared" si="274"/>
        <v>0.4929495600079089</v>
      </c>
      <c r="AA487" s="72">
        <f t="shared" si="275"/>
        <v>0.38925661892937352</v>
      </c>
      <c r="AB487" s="72">
        <f t="shared" si="276"/>
        <v>0.1450861462728551</v>
      </c>
      <c r="AC487" s="72"/>
      <c r="AD487" s="72"/>
      <c r="AE487" s="72">
        <f t="shared" si="277"/>
        <v>0.52077141205821287</v>
      </c>
      <c r="AF487" s="72">
        <f t="shared" si="278"/>
        <v>0.37917226646980828</v>
      </c>
      <c r="AG487" s="72">
        <f t="shared" si="279"/>
        <v>0.39575490611017378</v>
      </c>
      <c r="AH487" s="72">
        <f t="shared" si="280"/>
        <v>0.45712237918474541</v>
      </c>
      <c r="AI487" s="72">
        <f t="shared" si="281"/>
        <v>0.23367612037237498</v>
      </c>
      <c r="AJ487" s="72">
        <f>(AV487-Driver!$K$179)/(Driver!$L$179-Driver!$K$179)</f>
        <v>0.33615341229554424</v>
      </c>
      <c r="AK487" s="72">
        <f>(AW487-Driver!$K$180)/(Driver!$L$180-Driver!$K$180)</f>
        <v>0.4201097210117905</v>
      </c>
      <c r="AL487" s="72">
        <f>(AX487-Driver!$K$181)/(Driver!$L$181-Driver!$K$181)</f>
        <v>0.5946373237209891</v>
      </c>
      <c r="AM487" s="72">
        <f>(AY487-Driver!$K$182)/(Driver!$L$182-Driver!$K$182)</f>
        <v>5.812840216767285E-2</v>
      </c>
      <c r="AN487" s="72">
        <f>(AZ487-Driver!$K$183)/(Driver!$L$183-Driver!$K$183)</f>
        <v>0.39930555555555552</v>
      </c>
      <c r="AO487" s="72"/>
      <c r="AP487" s="72"/>
      <c r="AQ487" s="72">
        <f>(BC487-Driver!$K$188)/(Driver!$L$188-Driver!$K$188)</f>
        <v>9.9228587941787141E-2</v>
      </c>
      <c r="AR487" s="72">
        <f>MIN((BD487-Driver!$K$189)/(Driver!$L$189-Driver!$K$189),100%)</f>
        <v>0.17082773353019173</v>
      </c>
      <c r="AS487" s="72">
        <f>(BE487-Driver!$K$190)/(Driver!$L$190-Driver!$K$190)</f>
        <v>0.11424509388982622</v>
      </c>
      <c r="AT487" s="72">
        <f>(BF487-Driver!$K$191)/(Driver!$L$191-Driver!$K$191)</f>
        <v>5.2877620815254614E-2</v>
      </c>
      <c r="AU487" s="72">
        <f>(BG487-Driver!$K$192)/(Driver!$L$192-Driver!$K$192)</f>
        <v>1.6323879627625024E-2</v>
      </c>
      <c r="AV487" s="70">
        <f t="shared" si="282"/>
        <v>7.0750237416904085</v>
      </c>
      <c r="AW487" s="70">
        <f t="shared" si="283"/>
        <v>42.815307484874516</v>
      </c>
      <c r="AX487" s="70">
        <f t="shared" si="284"/>
        <v>6.351735913488902</v>
      </c>
      <c r="AY487" s="70">
        <f>IFERROR(Driver!$K$19/Data!BH487/Data!BI487*Data!BK487*Data!BL487,"")</f>
        <v>7.1166508094477984E-2</v>
      </c>
      <c r="AZ487" s="70">
        <f t="shared" si="285"/>
        <v>36.392405063291136</v>
      </c>
      <c r="BA487" s="70"/>
      <c r="BB487" s="70"/>
      <c r="BC487" s="70">
        <f t="shared" si="286"/>
        <v>51.470558391356917</v>
      </c>
      <c r="BD487" s="70">
        <f t="shared" si="287"/>
        <v>16.838774612686919</v>
      </c>
      <c r="BE487" s="70">
        <f t="shared" si="288"/>
        <v>0.11440310259548014</v>
      </c>
      <c r="BF487" s="70">
        <f t="shared" si="289"/>
        <v>5.9721557847721218</v>
      </c>
      <c r="BG487" s="70">
        <f t="shared" si="290"/>
        <v>6.1812621779605975E-2</v>
      </c>
      <c r="BH487" s="67">
        <f>MAX((CE487-Driver!$F$200)/(Driver!$G$200-Driver!$F$200)*$BI$1,1)</f>
        <v>6.351735913488902</v>
      </c>
      <c r="BI487" s="67">
        <f>MAX($BI$1*(BY487-Driver!$F$201)/(Driver!$G$201-Driver!$F$201),1)</f>
        <v>7.2784810126582276</v>
      </c>
      <c r="BJ487" s="67">
        <f>(CB487-Driver!$F$206)/(Driver!$G$206-Driver!$F$206)*$BI$1</f>
        <v>4.4444444444444446</v>
      </c>
      <c r="BK487" s="67">
        <f>(CD487-Driver!$F$203)/(Driver!$G$203-Driver!$F$203)*$BI$1</f>
        <v>2.9816513761467895</v>
      </c>
      <c r="BL487" s="67">
        <f>MAX((CR487-Driver!$F$202)/(Driver!$G$202-Driver!$F$202)*$BI$1,1)</f>
        <v>5.5172413793103452</v>
      </c>
      <c r="BM487" s="67">
        <f>MAX((CH487-Driver!$F$204)/(Driver!$G$204-Driver!$F$204)*$BI$1,1)</f>
        <v>6.3675213675213671</v>
      </c>
      <c r="BN487" s="67">
        <f>(CI487-Driver!$F$205)/(Driver!$G$205-Driver!$F$205)*$BI$1</f>
        <v>5</v>
      </c>
      <c r="BO487" s="67">
        <f>(CK487-Driver!$F$207)/(Driver!$G$207-Driver!$F$207)*$BI$1</f>
        <v>1.8304033092037229</v>
      </c>
      <c r="BP487" s="67">
        <f>(CM487-Driver!$F$208)/(Driver!$G$208-Driver!$F$208)*$BI$1</f>
        <v>2.1888888888888887</v>
      </c>
      <c r="BQ487" s="67">
        <f>(CL487-Driver!$F$209)/(Driver!$G$209-Driver!$F$209)*$BI$1</f>
        <v>2.5</v>
      </c>
      <c r="BR487" s="28" t="s">
        <v>155</v>
      </c>
      <c r="BS487" s="8" t="s">
        <v>332</v>
      </c>
      <c r="BT487" s="9" t="s">
        <v>528</v>
      </c>
      <c r="BU487" s="10">
        <v>172</v>
      </c>
      <c r="BV487" s="9" t="s">
        <v>163</v>
      </c>
      <c r="BW487" s="10">
        <v>172</v>
      </c>
      <c r="BX487" s="10">
        <v>171.2</v>
      </c>
      <c r="BY487" s="10">
        <v>123</v>
      </c>
      <c r="BZ487" s="10">
        <v>142</v>
      </c>
      <c r="CA487" s="10">
        <v>127</v>
      </c>
      <c r="CB487" s="10">
        <v>92</v>
      </c>
      <c r="CC487" s="10">
        <v>113</v>
      </c>
      <c r="CD487" s="10">
        <v>15.9</v>
      </c>
      <c r="CE487" s="10">
        <v>2016</v>
      </c>
      <c r="CF487" s="10">
        <v>0.88</v>
      </c>
      <c r="CG487" s="10">
        <v>1775</v>
      </c>
      <c r="CH487" s="10">
        <v>250</v>
      </c>
      <c r="CI487" s="10">
        <v>118</v>
      </c>
      <c r="CJ487" s="10">
        <v>61</v>
      </c>
      <c r="CK487" s="10">
        <v>287</v>
      </c>
      <c r="CL487" s="10">
        <v>16</v>
      </c>
      <c r="CM487" s="10">
        <v>197</v>
      </c>
      <c r="CN487" s="10">
        <v>0.25600000000000001</v>
      </c>
      <c r="CO487" s="10">
        <v>137</v>
      </c>
      <c r="CP487" s="10">
        <v>155</v>
      </c>
      <c r="CQ487" s="10">
        <v>150</v>
      </c>
      <c r="CR487" s="10">
        <v>5</v>
      </c>
      <c r="CS487" s="10">
        <v>8.5</v>
      </c>
      <c r="CT487" s="9" t="s">
        <v>188</v>
      </c>
      <c r="CU487" s="10"/>
      <c r="CV487" s="10"/>
      <c r="CW487" s="10"/>
      <c r="CX487" t="str">
        <f>INDEX('Data_Price '!AG$2:AG$1266,MATCH(Data!$DN487,'Data_Price '!$AT$2:$AT$1266,0))</f>
        <v>Nordica Enforcer 88 / Santa Ana 93 Ski Skins - 2022 172 cm</v>
      </c>
      <c r="CY487" t="str">
        <f>INDEX('Data_Price '!AH$2:AH$1266,MATCH(Data!$DN487,'Data_Price '!$AT$2:$AT$1266,0))</f>
        <v>Arlberg Ski &amp; Surf Shops</v>
      </c>
      <c r="CZ487">
        <f>INDEX('Data_Price '!AI$2:AI$1266,MATCH(Data!$DN487,'Data_Price '!$AT$2:$AT$1266,0))</f>
        <v>209.95</v>
      </c>
      <c r="DA487" t="str">
        <f>INDEX('Data_Price '!AJ$2:AJ$1266,MATCH(Data!$DN487,'Data_Price '!$AT$2:$AT$1266,0))</f>
        <v>https://tinyurl.com/y9vl8abk</v>
      </c>
      <c r="DB487" t="str">
        <f>INDEX('Data_Price '!AK$2:AK$1266,MATCH(Data!$DN487,'Data_Price '!$AT$2:$AT$1266,0))</f>
        <v>Nordica Santa Ana 93 Unlimited Ski 2023</v>
      </c>
      <c r="DC487" t="str">
        <f>INDEX('Data_Price '!AL$2:AL$1266,MATCH(Data!$DN487,'Data_Price '!$AT$2:$AT$1266,0))</f>
        <v>Telemark Pyrenees</v>
      </c>
      <c r="DD487">
        <f>INDEX('Data_Price '!AM$2:AM$1266,MATCH(Data!$DN487,'Data_Price '!$AT$2:$AT$1266,0))</f>
        <v>458.32</v>
      </c>
      <c r="DE487" t="str">
        <f>INDEX('Data_Price '!AN$2:AN$1266,MATCH(Data!$DN487,'Data_Price '!$AT$2:$AT$1266,0))</f>
        <v>https://tinyurl.com/y9ba52lk</v>
      </c>
      <c r="DF487" t="str">
        <f>INDEX('Data_Price '!AO$2:AO$1266,MATCH(Data!$DN487,'Data_Price '!$AT$2:$AT$1266,0))</f>
        <v>Nordica Santa Ana 93 Skis - Women's 2022</v>
      </c>
      <c r="DG487" t="str">
        <f>INDEX('Data_Price '!AP$2:AP$1266,MATCH(Data!$DN487,'Data_Price '!$AT$2:$AT$1266,0))</f>
        <v>SkiEssentials.com</v>
      </c>
      <c r="DH487">
        <f>INDEX('Data_Price '!AQ$2:AQ$1266,MATCH(Data!$DN487,'Data_Price '!$AT$2:$AT$1266,0))</f>
        <v>519.99</v>
      </c>
      <c r="DI487" t="str">
        <f>INDEX('Data_Price '!AR$2:AR$1266,MATCH(Data!$DN487,'Data_Price '!$AT$2:$AT$1266,0))</f>
        <v>https://tinyurl.com/y7psgwke</v>
      </c>
      <c r="DJ487" s="89" t="str">
        <f t="shared" si="291"/>
        <v>https://tinyurl.com/y9vl8abk</v>
      </c>
      <c r="DK487" s="89" t="str">
        <f t="shared" si="292"/>
        <v>https://tinyurl.com/y9ba52lk</v>
      </c>
      <c r="DL487" s="89" t="str">
        <f t="shared" si="293"/>
        <v>https://tinyurl.com/y7psgwke</v>
      </c>
      <c r="DM487" s="219" t="str">
        <f t="shared" si="294"/>
        <v>Santa Ana 93</v>
      </c>
      <c r="DN487" s="89" t="str">
        <f t="shared" si="295"/>
        <v xml:space="preserve"> NordicaSanta Ana 93172 Women's</v>
      </c>
      <c r="DO487" s="221" t="s">
        <v>529</v>
      </c>
    </row>
    <row r="488" spans="2:119" ht="15.6" customHeight="1">
      <c r="B488" s="219" t="b">
        <f t="array" ref="B488">IF(OR(ISERROR(K488:P488)),FALSE,TRUE)</f>
        <v>1</v>
      </c>
      <c r="C488" s="43" t="b">
        <f>OR(BR488=Driver!$G$50,Data!BR255=Driver!$H$50)</f>
        <v>1</v>
      </c>
      <c r="D488" s="43" t="b">
        <f>OR(BV488=Driver!$G$51,BV488=Driver!$H$51)</f>
        <v>0</v>
      </c>
      <c r="E488" s="43" t="b">
        <f>AND(BX488&gt;Driver!$F$54,BX488&lt;Driver!$G$54)</f>
        <v>1</v>
      </c>
      <c r="F488" s="43" t="b">
        <f>CL488&gt;Driver!$F$56</f>
        <v>1</v>
      </c>
      <c r="G488" s="43" t="b">
        <f>AND(CB488&gt;Driver!$F$55,CB488&lt;Driver!$G$55)</f>
        <v>0</v>
      </c>
      <c r="H488" s="43" t="b">
        <f t="shared" si="259"/>
        <v>0</v>
      </c>
      <c r="I488" s="43">
        <f t="shared" si="260"/>
        <v>0</v>
      </c>
      <c r="J488" s="43" t="b">
        <f t="array" ref="J488">NOT(OR(($H$9:$H$1273=TRUE)*($I$9:$I$1273&gt;0)*($BT$9:$BT$1273=BT488)*($K$9:$K$1273&gt;K488)))</f>
        <v>1</v>
      </c>
      <c r="K488" s="72">
        <f t="shared" si="261"/>
        <v>0.83645028948094469</v>
      </c>
      <c r="L488" s="72">
        <f t="shared" si="262"/>
        <v>0.87340930717850329</v>
      </c>
      <c r="M488" s="72">
        <f t="shared" si="263"/>
        <v>0.79949127178338597</v>
      </c>
      <c r="N488" s="72">
        <f t="shared" si="264"/>
        <v>0.80111228783879951</v>
      </c>
      <c r="O488" s="72">
        <f t="shared" si="265"/>
        <v>0.62649923744765357</v>
      </c>
      <c r="P488" s="72">
        <f t="shared" si="266"/>
        <v>0.97086229006370484</v>
      </c>
      <c r="Q488" s="72"/>
      <c r="R488" s="72"/>
      <c r="S488" s="72">
        <f t="shared" si="267"/>
        <v>0.43258926856849578</v>
      </c>
      <c r="T488" s="72">
        <f t="shared" si="268"/>
        <v>0.54045973469141717</v>
      </c>
      <c r="U488" s="72">
        <f t="shared" si="269"/>
        <v>0.70894894147181142</v>
      </c>
      <c r="V488" s="72">
        <f t="shared" si="270"/>
        <v>0.54928007890048591</v>
      </c>
      <c r="W488" s="72">
        <f t="shared" si="271"/>
        <v>0.77665217846669465</v>
      </c>
      <c r="X488" s="72">
        <f t="shared" si="272"/>
        <v>0.12659069282149668</v>
      </c>
      <c r="Y488" s="72">
        <f t="shared" si="273"/>
        <v>0.20050872821661403</v>
      </c>
      <c r="Z488" s="72">
        <f t="shared" si="274"/>
        <v>0.19888771216120049</v>
      </c>
      <c r="AA488" s="72">
        <f t="shared" si="275"/>
        <v>0.37350076255234643</v>
      </c>
      <c r="AB488" s="72">
        <f t="shared" si="276"/>
        <v>2.9137709936295192E-2</v>
      </c>
      <c r="AC488" s="72"/>
      <c r="AD488" s="72"/>
      <c r="AE488" s="72">
        <f t="shared" si="277"/>
        <v>0.56741073143150422</v>
      </c>
      <c r="AF488" s="72">
        <f t="shared" si="278"/>
        <v>0.45954026530858283</v>
      </c>
      <c r="AG488" s="72">
        <f t="shared" si="279"/>
        <v>0.29105105852818858</v>
      </c>
      <c r="AH488" s="72">
        <f t="shared" si="280"/>
        <v>0.45071992109951414</v>
      </c>
      <c r="AI488" s="72">
        <f t="shared" si="281"/>
        <v>0.2233478215333054</v>
      </c>
      <c r="AJ488" s="72">
        <f>(AV488-Driver!$K$179)/(Driver!$L$179-Driver!$K$179)</f>
        <v>0.12762871646120375</v>
      </c>
      <c r="AK488" s="72">
        <f>(AW488-Driver!$K$180)/(Driver!$L$180-Driver!$K$180)</f>
        <v>0.23022553271793714</v>
      </c>
      <c r="AL488" s="72">
        <f>(AX488-Driver!$K$181)/(Driver!$L$181-Driver!$K$181)</f>
        <v>0.30057547587428068</v>
      </c>
      <c r="AM488" s="72">
        <f>(AY488-Driver!$K$182)/(Driver!$L$182-Driver!$K$182)</f>
        <v>7.388425854469996E-2</v>
      </c>
      <c r="AN488" s="72">
        <f>(AZ488-Driver!$K$183)/(Driver!$L$183-Driver!$K$183)</f>
        <v>0.22508169934640523</v>
      </c>
      <c r="AO488" s="72"/>
      <c r="AP488" s="72"/>
      <c r="AQ488" s="72">
        <f>(BC488-Driver!$K$188)/(Driver!$L$188-Driver!$K$188)</f>
        <v>5.2589268568495828E-2</v>
      </c>
      <c r="AR488" s="72">
        <f>MIN((BD488-Driver!$K$189)/(Driver!$L$189-Driver!$K$189),100%)</f>
        <v>9.0459734691417243E-2</v>
      </c>
      <c r="AS488" s="72">
        <f>(BE488-Driver!$K$190)/(Driver!$L$190-Driver!$K$190)</f>
        <v>0.2189489414718114</v>
      </c>
      <c r="AT488" s="72">
        <f>(BF488-Driver!$K$191)/(Driver!$L$191-Driver!$K$191)</f>
        <v>5.9280078900485846E-2</v>
      </c>
      <c r="AU488" s="72">
        <f>(BG488-Driver!$K$192)/(Driver!$L$192-Driver!$K$192)</f>
        <v>2.6652178466694595E-2</v>
      </c>
      <c r="AV488" s="70">
        <f t="shared" si="282"/>
        <v>2.686202686202686</v>
      </c>
      <c r="AW488" s="70">
        <f t="shared" si="283"/>
        <v>24.309410790567583</v>
      </c>
      <c r="AX488" s="70">
        <f t="shared" si="284"/>
        <v>3.7051792828685262</v>
      </c>
      <c r="AY488" s="70">
        <f>IFERROR(Driver!$K$19/Data!BH488/Data!BI488*Data!BK488*Data!BL488,"")</f>
        <v>9.0456377393770687E-2</v>
      </c>
      <c r="AZ488" s="70">
        <f t="shared" si="285"/>
        <v>20.513775130305287</v>
      </c>
      <c r="BA488" s="70"/>
      <c r="BB488" s="70"/>
      <c r="BC488" s="70">
        <f t="shared" si="286"/>
        <v>27.278419201142619</v>
      </c>
      <c r="BD488" s="70">
        <f t="shared" si="287"/>
        <v>9.7263491191228511</v>
      </c>
      <c r="BE488" s="70">
        <f t="shared" si="288"/>
        <v>0.21908827218954868</v>
      </c>
      <c r="BF488" s="70">
        <f t="shared" si="289"/>
        <v>6.6952684456852607</v>
      </c>
      <c r="BG488" s="70">
        <f t="shared" si="290"/>
        <v>0.10092214992668622</v>
      </c>
      <c r="BH488" s="67">
        <f>MAX((CE488-Driver!$F$200)/(Driver!$G$200-Driver!$F$200)*$BI$1,1)</f>
        <v>3.7051792828685262</v>
      </c>
      <c r="BI488" s="67">
        <f>MAX($BI$1*(BY488-Driver!$F$201)/(Driver!$G$201-Driver!$F$201),1)</f>
        <v>6.0126582278481013</v>
      </c>
      <c r="BJ488" s="67">
        <f>(CB488-Driver!$F$206)/(Driver!$G$206-Driver!$F$206)*$BI$1</f>
        <v>2.8571428571428568</v>
      </c>
      <c r="BK488" s="67">
        <f>(CD488-Driver!$F$203)/(Driver!$G$203-Driver!$F$203)*$BI$1</f>
        <v>2.2477064220183491</v>
      </c>
      <c r="BL488" s="67">
        <f>MAX((CR488-Driver!$F$202)/(Driver!$G$202-Driver!$F$202)*$BI$1,1)</f>
        <v>4.4827586206896548</v>
      </c>
      <c r="BM488" s="67">
        <f>MAX((CH488-Driver!$F$204)/(Driver!$G$204-Driver!$F$204)*$BI$1,1)</f>
        <v>3.7606837606837606</v>
      </c>
      <c r="BN488" s="67">
        <f>(CI488-Driver!$F$205)/(Driver!$G$205-Driver!$F$205)*$BI$1</f>
        <v>3.4117647058823533</v>
      </c>
      <c r="BO488" s="67">
        <f>(CK488-Driver!$F$207)/(Driver!$G$207-Driver!$F$207)*$BI$1</f>
        <v>1.9751809720785938</v>
      </c>
      <c r="BP488" s="67">
        <f>(CM488-Driver!$F$208)/(Driver!$G$208-Driver!$F$208)*$BI$1</f>
        <v>2.6666666666666665</v>
      </c>
      <c r="BQ488" s="67">
        <f>(CL488-Driver!$F$209)/(Driver!$G$209-Driver!$F$209)*$BI$1</f>
        <v>1.40625</v>
      </c>
      <c r="BR488" s="28" t="s">
        <v>155</v>
      </c>
      <c r="BS488" s="8" t="s">
        <v>317</v>
      </c>
      <c r="BT488" s="9" t="s">
        <v>618</v>
      </c>
      <c r="BU488" s="10">
        <v>159</v>
      </c>
      <c r="BV488" s="9" t="s">
        <v>163</v>
      </c>
      <c r="BW488" s="10">
        <v>159</v>
      </c>
      <c r="BX488" s="10">
        <v>157</v>
      </c>
      <c r="BY488" s="10">
        <v>103</v>
      </c>
      <c r="BZ488" s="10">
        <v>135</v>
      </c>
      <c r="CA488" s="10">
        <v>120</v>
      </c>
      <c r="CB488" s="10">
        <v>82</v>
      </c>
      <c r="CC488" s="10">
        <v>103</v>
      </c>
      <c r="CD488" s="10">
        <v>14.3</v>
      </c>
      <c r="CE488" s="10">
        <v>1551</v>
      </c>
      <c r="CF488" s="10">
        <v>0.95</v>
      </c>
      <c r="CG488" s="10">
        <v>1472</v>
      </c>
      <c r="CH488" s="10">
        <v>189</v>
      </c>
      <c r="CI488" s="10">
        <v>91</v>
      </c>
      <c r="CJ488" s="10">
        <v>59</v>
      </c>
      <c r="CK488" s="10">
        <v>301</v>
      </c>
      <c r="CL488" s="10">
        <v>9</v>
      </c>
      <c r="CM488" s="10">
        <v>240</v>
      </c>
      <c r="CN488" s="10">
        <v>0.158</v>
      </c>
      <c r="CO488" s="10">
        <v>114</v>
      </c>
      <c r="CP488" s="10">
        <v>102</v>
      </c>
      <c r="CQ488" s="10">
        <v>187</v>
      </c>
      <c r="CR488" s="10">
        <v>2</v>
      </c>
      <c r="CS488" s="10">
        <v>10.5</v>
      </c>
      <c r="CT488" s="9" t="s">
        <v>231</v>
      </c>
      <c r="CU488" s="9" t="s">
        <v>188</v>
      </c>
      <c r="CV488" s="10"/>
      <c r="CW488" s="10"/>
      <c r="CX488" t="str">
        <f>INDEX('Data_Price '!AG$2:AG$1266,MATCH(Data!$DN488,'Data_Price '!$AT$2:$AT$1266,0))</f>
        <v>Blizzard Black Pearl 82 2021</v>
      </c>
      <c r="CY488" t="str">
        <f>INDEX('Data_Price '!AH$2:AH$1266,MATCH(Data!$DN488,'Data_Price '!$AT$2:$AT$1266,0))</f>
        <v>Powder7 Ski Shop</v>
      </c>
      <c r="CZ488">
        <f>INDEX('Data_Price '!AI$2:AI$1266,MATCH(Data!$DN488,'Data_Price '!$AT$2:$AT$1266,0))</f>
        <v>489.93</v>
      </c>
      <c r="DA488" t="str">
        <f>INDEX('Data_Price '!AJ$2:AJ$1266,MATCH(Data!$DN488,'Data_Price '!$AT$2:$AT$1266,0))</f>
        <v>https://tinyurl.com/y9gl3hnl</v>
      </c>
      <c r="DB488" t="str">
        <f>INDEX('Data_Price '!AK$2:AK$1266,MATCH(Data!$DN488,'Data_Price '!$AT$2:$AT$1266,0))</f>
        <v>2021 Blizzard Black Pearl 82 ladies snow skis 159</v>
      </c>
      <c r="DC488" t="str">
        <f>INDEX('Data_Price '!AL$2:AL$1266,MATCH(Data!$DN488,'Data_Price '!$AT$2:$AT$1266,0))</f>
        <v>The Pro Shop</v>
      </c>
      <c r="DD488">
        <f>INDEX('Data_Price '!AM$2:AM$1266,MATCH(Data!$DN488,'Data_Price '!$AT$2:$AT$1266,0))</f>
        <v>596</v>
      </c>
      <c r="DE488" t="str">
        <f>INDEX('Data_Price '!AN$2:AN$1266,MATCH(Data!$DN488,'Data_Price '!$AT$2:$AT$1266,0))</f>
        <v>https://tinyurl.com/ydcz74ea</v>
      </c>
      <c r="DF488" t="str">
        <f>INDEX('Data_Price '!AO$2:AO$1266,MATCH(Data!$DN488,'Data_Price '!$AT$2:$AT$1266,0))</f>
        <v>'22 Blizzard Black Pearl 82 Skis 159cm</v>
      </c>
      <c r="DG488" t="str">
        <f>INDEX('Data_Price '!AP$2:AP$1266,MATCH(Data!$DN488,'Data_Price '!$AT$2:$AT$1266,0))</f>
        <v>Al's Ski Equipment Barn</v>
      </c>
      <c r="DH488">
        <f>INDEX('Data_Price '!AQ$2:AQ$1266,MATCH(Data!$DN488,'Data_Price '!$AT$2:$AT$1266,0))</f>
        <v>599</v>
      </c>
      <c r="DI488" t="str">
        <f>INDEX('Data_Price '!AR$2:AR$1266,MATCH(Data!$DN488,'Data_Price '!$AT$2:$AT$1266,0))</f>
        <v>https://tinyurl.com/y7tl63ln</v>
      </c>
      <c r="DJ488" s="89" t="str">
        <f t="shared" si="291"/>
        <v>https://tinyurl.com/y9gl3hnl</v>
      </c>
      <c r="DK488" s="89" t="str">
        <f t="shared" si="292"/>
        <v>https://tinyurl.com/ydcz74ea</v>
      </c>
      <c r="DL488" s="89" t="str">
        <f t="shared" si="293"/>
        <v>https://tinyurl.com/y7tl63ln</v>
      </c>
      <c r="DM488" s="219" t="str">
        <f t="shared" si="294"/>
        <v>Black Pearl 82</v>
      </c>
      <c r="DN488" s="89" t="str">
        <f t="shared" si="295"/>
        <v xml:space="preserve"> BlizzardBlack Pearl 82159 Women's</v>
      </c>
      <c r="DO488" s="221" t="s">
        <v>619</v>
      </c>
    </row>
    <row r="489" spans="2:119" ht="15.6" customHeight="1">
      <c r="B489" s="219" t="b">
        <f t="array" ref="B489">IF(OR(ISERROR(K489:P489)),FALSE,TRUE)</f>
        <v>1</v>
      </c>
      <c r="C489" s="43" t="b">
        <f>OR(BR489=Driver!$G$50,Data!BR1259=Driver!$H$50)</f>
        <v>1</v>
      </c>
      <c r="D489" s="43" t="b">
        <f>OR(BV489=Driver!$G$51,BV489=Driver!$H$51)</f>
        <v>0</v>
      </c>
      <c r="E489" s="43" t="b">
        <f>AND(BX489&gt;Driver!$F$54,BX489&lt;Driver!$G$54)</f>
        <v>1</v>
      </c>
      <c r="F489" s="43" t="b">
        <f>CL489&gt;Driver!$F$56</f>
        <v>1</v>
      </c>
      <c r="G489" s="43" t="b">
        <f>AND(CB489&gt;Driver!$F$55,CB489&lt;Driver!$G$55)</f>
        <v>1</v>
      </c>
      <c r="H489" s="43" t="b">
        <f t="shared" si="259"/>
        <v>0</v>
      </c>
      <c r="I489" s="43">
        <f t="shared" si="260"/>
        <v>0</v>
      </c>
      <c r="J489" s="43" t="b">
        <f t="array" ref="J489">NOT(OR(($H$9:$H$1273=TRUE)*($I$9:$I$1273&gt;0)*($BT$9:$BT$1273=BT489)*($K$9:$K$1273&gt;K489)))</f>
        <v>1</v>
      </c>
      <c r="K489" s="72">
        <f t="shared" si="261"/>
        <v>0.78741147164960879</v>
      </c>
      <c r="L489" s="72">
        <f t="shared" si="262"/>
        <v>0.91137838116248449</v>
      </c>
      <c r="M489" s="72">
        <f t="shared" si="263"/>
        <v>0.66344456213673308</v>
      </c>
      <c r="N489" s="72">
        <f t="shared" si="264"/>
        <v>0.55447977028994733</v>
      </c>
      <c r="O489" s="72">
        <f t="shared" si="265"/>
        <v>0.61692862448461072</v>
      </c>
      <c r="P489" s="72">
        <f t="shared" si="266"/>
        <v>0.81892529163564154</v>
      </c>
      <c r="Q489" s="72"/>
      <c r="R489" s="72"/>
      <c r="S489" s="72">
        <f t="shared" si="267"/>
        <v>0.47265290231554102</v>
      </c>
      <c r="T489" s="72">
        <f t="shared" si="268"/>
        <v>0.52267906618270521</v>
      </c>
      <c r="U489" s="72">
        <f t="shared" si="269"/>
        <v>0.53616988002077659</v>
      </c>
      <c r="V489" s="72">
        <f t="shared" si="270"/>
        <v>0.6094587580007701</v>
      </c>
      <c r="W489" s="72">
        <f t="shared" si="271"/>
        <v>0.77975942864302716</v>
      </c>
      <c r="X489" s="72">
        <f t="shared" si="272"/>
        <v>8.8621618837515459E-2</v>
      </c>
      <c r="Y489" s="72">
        <f t="shared" si="273"/>
        <v>0.33655543786326686</v>
      </c>
      <c r="Z489" s="72">
        <f t="shared" si="274"/>
        <v>0.44552022971005267</v>
      </c>
      <c r="AA489" s="72">
        <f t="shared" si="275"/>
        <v>0.38307137551538928</v>
      </c>
      <c r="AB489" s="72">
        <f t="shared" si="276"/>
        <v>0.18107470836435846</v>
      </c>
      <c r="AC489" s="72"/>
      <c r="AD489" s="72"/>
      <c r="AE489" s="72">
        <f t="shared" si="277"/>
        <v>0.52734709768445898</v>
      </c>
      <c r="AF489" s="72">
        <f t="shared" si="278"/>
        <v>0.47732093381729479</v>
      </c>
      <c r="AG489" s="72">
        <f t="shared" si="279"/>
        <v>0.46383011997922335</v>
      </c>
      <c r="AH489" s="72">
        <f t="shared" si="280"/>
        <v>0.3905412419992299</v>
      </c>
      <c r="AI489" s="72">
        <f t="shared" si="281"/>
        <v>0.22024057135697281</v>
      </c>
      <c r="AJ489" s="72">
        <f>(AV489-Driver!$K$179)/(Driver!$L$179-Driver!$K$179)</f>
        <v>0.34284102812021588</v>
      </c>
      <c r="AK489" s="72">
        <f>(AW489-Driver!$K$180)/(Driver!$L$180-Driver!$K$180)</f>
        <v>0.44946240172478413</v>
      </c>
      <c r="AL489" s="72">
        <f>(AX489-Driver!$K$181)/(Driver!$L$181-Driver!$K$181)</f>
        <v>0.54720799342313287</v>
      </c>
      <c r="AM489" s="72">
        <f>(AY489-Driver!$K$182)/(Driver!$L$182-Driver!$K$182)</f>
        <v>6.4313645581657086E-2</v>
      </c>
      <c r="AN489" s="72">
        <f>(AZ489-Driver!$K$183)/(Driver!$L$183-Driver!$K$183)</f>
        <v>0.43529411764705889</v>
      </c>
      <c r="AO489" s="72"/>
      <c r="AP489" s="72"/>
      <c r="AQ489" s="72">
        <f>(BC489-Driver!$K$188)/(Driver!$L$188-Driver!$K$188)</f>
        <v>9.2652902315540991E-2</v>
      </c>
      <c r="AR489" s="72">
        <f>MIN((BD489-Driver!$K$189)/(Driver!$L$189-Driver!$K$189),100%)</f>
        <v>7.267906618270524E-2</v>
      </c>
      <c r="AS489" s="72">
        <f>(BE489-Driver!$K$190)/(Driver!$L$190-Driver!$K$190)</f>
        <v>4.6169880020776655E-2</v>
      </c>
      <c r="AT489" s="72">
        <f>(BF489-Driver!$K$191)/(Driver!$L$191-Driver!$K$191)</f>
        <v>0.11945875800077012</v>
      </c>
      <c r="AU489" s="72">
        <f>(BG489-Driver!$K$192)/(Driver!$L$192-Driver!$K$192)</f>
        <v>2.9759428643027188E-2</v>
      </c>
      <c r="AV489" s="70">
        <f t="shared" si="282"/>
        <v>7.2157780491113819</v>
      </c>
      <c r="AW489" s="70">
        <f t="shared" si="283"/>
        <v>45.675986311565524</v>
      </c>
      <c r="AX489" s="70">
        <f t="shared" si="284"/>
        <v>5.9248719408081962</v>
      </c>
      <c r="AY489" s="70">
        <f>IFERROR(Driver!$K$19/Data!BH489/Data!BI489*Data!BK489*Data!BL489,"")</f>
        <v>7.8739091531709049E-2</v>
      </c>
      <c r="AZ489" s="70">
        <f t="shared" si="285"/>
        <v>39.672375279225619</v>
      </c>
      <c r="BA489" s="70"/>
      <c r="BB489" s="70"/>
      <c r="BC489" s="70">
        <f t="shared" si="286"/>
        <v>48.059704543598201</v>
      </c>
      <c r="BD489" s="70">
        <f t="shared" si="287"/>
        <v>8.1527914615821597</v>
      </c>
      <c r="BE489" s="70">
        <f t="shared" si="288"/>
        <v>4.634003257836565E-2</v>
      </c>
      <c r="BF489" s="70">
        <f t="shared" si="289"/>
        <v>13.492027470914058</v>
      </c>
      <c r="BG489" s="70">
        <f t="shared" si="290"/>
        <v>0.11268818130560081</v>
      </c>
      <c r="BH489" s="67">
        <f>MAX((CE489-Driver!$F$200)/(Driver!$G$200-Driver!$F$200)*$BI$1,1)</f>
        <v>5.9248719408081962</v>
      </c>
      <c r="BI489" s="67">
        <f>MAX($BI$1*(BY489-Driver!$F$201)/(Driver!$G$201-Driver!$F$201),1)</f>
        <v>6.075949367088608</v>
      </c>
      <c r="BJ489" s="67">
        <f>(CB489-Driver!$F$206)/(Driver!$G$206-Driver!$F$206)*$BI$1</f>
        <v>5.8730158730158735</v>
      </c>
      <c r="BK489" s="67">
        <f>(CD489-Driver!$F$203)/(Driver!$G$203-Driver!$F$203)*$BI$1</f>
        <v>2.9357798165137621</v>
      </c>
      <c r="BL489" s="67">
        <f>MAX((CR489-Driver!$F$202)/(Driver!$G$202-Driver!$F$202)*$BI$1,1)</f>
        <v>4.8275862068965516</v>
      </c>
      <c r="BM489" s="67">
        <f>MAX((CH489-Driver!$F$204)/(Driver!$G$204-Driver!$F$204)*$BI$1,1)</f>
        <v>4.9145299145299139</v>
      </c>
      <c r="BN489" s="67">
        <f>(CI489-Driver!$F$205)/(Driver!$G$205-Driver!$F$205)*$BI$1</f>
        <v>6.5294117647058822</v>
      </c>
      <c r="BO489" s="67">
        <f>(CK489-Driver!$F$207)/(Driver!$G$207-Driver!$F$207)*$BI$1</f>
        <v>2.3991726990692861</v>
      </c>
      <c r="BP489" s="67">
        <f>(CM489-Driver!$F$208)/(Driver!$G$208-Driver!$F$208)*$BI$1</f>
        <v>2.8111111111111109</v>
      </c>
      <c r="BQ489" s="67">
        <f>(CL489-Driver!$F$209)/(Driver!$G$209-Driver!$F$209)*$BI$1</f>
        <v>3.28125</v>
      </c>
      <c r="BR489" s="28" t="s">
        <v>155</v>
      </c>
      <c r="BS489" s="8" t="s">
        <v>229</v>
      </c>
      <c r="BT489" s="9" t="s">
        <v>426</v>
      </c>
      <c r="BU489" s="10">
        <v>163</v>
      </c>
      <c r="BV489" s="9" t="s">
        <v>163</v>
      </c>
      <c r="BW489" s="10">
        <v>163</v>
      </c>
      <c r="BX489" s="10">
        <v>163.5</v>
      </c>
      <c r="BY489" s="10">
        <v>104</v>
      </c>
      <c r="BZ489" s="10">
        <v>140</v>
      </c>
      <c r="CA489" s="10">
        <v>139</v>
      </c>
      <c r="CB489" s="10">
        <v>101</v>
      </c>
      <c r="CC489" s="10">
        <v>123</v>
      </c>
      <c r="CD489" s="10">
        <v>15.8</v>
      </c>
      <c r="CE489" s="10">
        <v>1941</v>
      </c>
      <c r="CF489" s="10">
        <v>0.95</v>
      </c>
      <c r="CG489" s="10">
        <v>1848</v>
      </c>
      <c r="CH489" s="10">
        <v>216</v>
      </c>
      <c r="CI489" s="10">
        <v>144</v>
      </c>
      <c r="CJ489" s="10">
        <v>50</v>
      </c>
      <c r="CK489" s="10">
        <v>342</v>
      </c>
      <c r="CL489" s="10">
        <v>21</v>
      </c>
      <c r="CM489" s="10">
        <v>253</v>
      </c>
      <c r="CN489" s="10">
        <v>0.41199999999999998</v>
      </c>
      <c r="CO489" s="10">
        <v>131</v>
      </c>
      <c r="CP489" s="10">
        <v>101</v>
      </c>
      <c r="CQ489" s="10">
        <v>211</v>
      </c>
      <c r="CR489" s="10">
        <v>3</v>
      </c>
      <c r="CS489" s="10">
        <v>11.4</v>
      </c>
      <c r="CT489" s="9" t="s">
        <v>188</v>
      </c>
      <c r="CU489" s="9" t="s">
        <v>169</v>
      </c>
      <c r="CV489" s="10"/>
      <c r="CW489" s="10"/>
      <c r="CX489" t="e">
        <f>INDEX('Data_Price '!AG$2:AG$1266,MATCH(Data!$DN489,'Data_Price '!$AT$2:$AT$1266,0))</f>
        <v>#N/A</v>
      </c>
      <c r="CY489" t="e">
        <f>INDEX('Data_Price '!AH$2:AH$1266,MATCH(Data!$DN489,'Data_Price '!$AT$2:$AT$1266,0))</f>
        <v>#N/A</v>
      </c>
      <c r="CZ489" t="e">
        <f>INDEX('Data_Price '!AI$2:AI$1266,MATCH(Data!$DN489,'Data_Price '!$AT$2:$AT$1266,0))</f>
        <v>#N/A</v>
      </c>
      <c r="DA489" t="e">
        <f>INDEX('Data_Price '!AJ$2:AJ$1266,MATCH(Data!$DN489,'Data_Price '!$AT$2:$AT$1266,0))</f>
        <v>#N/A</v>
      </c>
      <c r="DB489" t="e">
        <f>INDEX('Data_Price '!AK$2:AK$1266,MATCH(Data!$DN489,'Data_Price '!$AT$2:$AT$1266,0))</f>
        <v>#N/A</v>
      </c>
      <c r="DC489" t="e">
        <f>INDEX('Data_Price '!AL$2:AL$1266,MATCH(Data!$DN489,'Data_Price '!$AT$2:$AT$1266,0))</f>
        <v>#N/A</v>
      </c>
      <c r="DD489" t="e">
        <f>INDEX('Data_Price '!AM$2:AM$1266,MATCH(Data!$DN489,'Data_Price '!$AT$2:$AT$1266,0))</f>
        <v>#N/A</v>
      </c>
      <c r="DE489" t="e">
        <f>INDEX('Data_Price '!AN$2:AN$1266,MATCH(Data!$DN489,'Data_Price '!$AT$2:$AT$1266,0))</f>
        <v>#N/A</v>
      </c>
      <c r="DF489" t="e">
        <f>INDEX('Data_Price '!AO$2:AO$1266,MATCH(Data!$DN489,'Data_Price '!$AT$2:$AT$1266,0))</f>
        <v>#N/A</v>
      </c>
      <c r="DG489" t="e">
        <f>INDEX('Data_Price '!AP$2:AP$1266,MATCH(Data!$DN489,'Data_Price '!$AT$2:$AT$1266,0))</f>
        <v>#N/A</v>
      </c>
      <c r="DH489" t="e">
        <f>INDEX('Data_Price '!AQ$2:AQ$1266,MATCH(Data!$DN489,'Data_Price '!$AT$2:$AT$1266,0))</f>
        <v>#N/A</v>
      </c>
      <c r="DI489" t="e">
        <f>INDEX('Data_Price '!AR$2:AR$1266,MATCH(Data!$DN489,'Data_Price '!$AT$2:$AT$1266,0))</f>
        <v>#N/A</v>
      </c>
      <c r="DJ489" s="89" t="e">
        <f t="shared" si="291"/>
        <v>#N/A</v>
      </c>
      <c r="DK489" s="89" t="e">
        <f t="shared" si="292"/>
        <v>#N/A</v>
      </c>
      <c r="DL489" s="89" t="e">
        <f t="shared" si="293"/>
        <v>#N/A</v>
      </c>
      <c r="DM489" s="219" t="str">
        <f t="shared" si="294"/>
        <v>Secret 102</v>
      </c>
      <c r="DN489" s="89" t="str">
        <f t="shared" si="295"/>
        <v xml:space="preserve"> VölklSecret 102163 Women's</v>
      </c>
      <c r="DO489" s="221" t="s">
        <v>427</v>
      </c>
    </row>
    <row r="490" spans="2:119" ht="15.6" customHeight="1">
      <c r="B490" s="219" t="b">
        <f t="array" ref="B490">IF(OR(ISERROR(K490:P490)),FALSE,TRUE)</f>
        <v>1</v>
      </c>
      <c r="C490" s="43" t="b">
        <f>OR(BR490=Driver!$G$50,Data!BR19=Driver!$H$50)</f>
        <v>1</v>
      </c>
      <c r="D490" s="43" t="b">
        <f>OR(BV490=Driver!$G$51,BV490=Driver!$H$51)</f>
        <v>1</v>
      </c>
      <c r="E490" s="43" t="b">
        <f>AND(BX490&gt;Driver!$F$54,BX490&lt;Driver!$G$54)</f>
        <v>0</v>
      </c>
      <c r="F490" s="43" t="b">
        <f>CL490&gt;Driver!$F$56</f>
        <v>1</v>
      </c>
      <c r="G490" s="43" t="b">
        <f>AND(CB490&gt;Driver!$F$55,CB490&lt;Driver!$G$55)</f>
        <v>1</v>
      </c>
      <c r="H490" s="43" t="b">
        <f t="shared" si="259"/>
        <v>0</v>
      </c>
      <c r="I490" s="43">
        <f t="shared" si="260"/>
        <v>0</v>
      </c>
      <c r="J490" s="43" t="b">
        <f t="array" ref="J490">NOT(OR(($H$9:$H$1273=TRUE)*($I$9:$I$1273&gt;0)*($BT$9:$BT$1273=BT490)*($K$9:$K$1273&gt;K490)))</f>
        <v>1</v>
      </c>
      <c r="K490" s="72">
        <f t="shared" si="261"/>
        <v>0.75194547426725078</v>
      </c>
      <c r="L490" s="72">
        <f t="shared" si="262"/>
        <v>0.84812803872432485</v>
      </c>
      <c r="M490" s="72">
        <f t="shared" si="263"/>
        <v>0.65576290981017671</v>
      </c>
      <c r="N490" s="72">
        <f t="shared" si="264"/>
        <v>0.46025350076487315</v>
      </c>
      <c r="O490" s="72">
        <f t="shared" si="265"/>
        <v>0.63843673441563631</v>
      </c>
      <c r="P490" s="72">
        <f t="shared" si="266"/>
        <v>0.86859849425002067</v>
      </c>
      <c r="Q490" s="72"/>
      <c r="R490" s="72"/>
      <c r="S490" s="72">
        <f t="shared" si="267"/>
        <v>0.50639280506826601</v>
      </c>
      <c r="T490" s="72">
        <f t="shared" si="268"/>
        <v>0.49799045350615356</v>
      </c>
      <c r="U490" s="72">
        <f t="shared" si="269"/>
        <v>0.56083870057105312</v>
      </c>
      <c r="V490" s="72">
        <f t="shared" si="270"/>
        <v>0.55410726135793698</v>
      </c>
      <c r="W490" s="72">
        <f t="shared" si="271"/>
        <v>0.77257247899159665</v>
      </c>
      <c r="X490" s="72">
        <f t="shared" si="272"/>
        <v>0.15187196127567509</v>
      </c>
      <c r="Y490" s="72">
        <f t="shared" si="273"/>
        <v>0.34423709018982329</v>
      </c>
      <c r="Z490" s="72">
        <f t="shared" si="274"/>
        <v>0.53974649923512685</v>
      </c>
      <c r="AA490" s="72">
        <f t="shared" si="275"/>
        <v>0.36156326558436364</v>
      </c>
      <c r="AB490" s="72">
        <f t="shared" si="276"/>
        <v>0.13140150574997933</v>
      </c>
      <c r="AC490" s="72"/>
      <c r="AD490" s="72"/>
      <c r="AE490" s="72">
        <f t="shared" si="277"/>
        <v>0.49360719493173394</v>
      </c>
      <c r="AF490" s="72">
        <f t="shared" si="278"/>
        <v>0.50200954649384644</v>
      </c>
      <c r="AG490" s="72">
        <f t="shared" si="279"/>
        <v>0.43916129942894688</v>
      </c>
      <c r="AH490" s="72">
        <f t="shared" si="280"/>
        <v>0.44589273864206302</v>
      </c>
      <c r="AI490" s="72">
        <f t="shared" si="281"/>
        <v>0.22742752100840335</v>
      </c>
      <c r="AJ490" s="72">
        <f>(AV490-Driver!$K$179)/(Driver!$L$179-Driver!$K$179)</f>
        <v>0.40609137055837552</v>
      </c>
      <c r="AK490" s="72">
        <f>(AW490-Driver!$K$180)/(Driver!$L$180-Driver!$K$180)</f>
        <v>0.41198187757003307</v>
      </c>
      <c r="AL490" s="72">
        <f>(AX490-Driver!$K$181)/(Driver!$L$181-Driver!$K$181)</f>
        <v>0.64143426294820705</v>
      </c>
      <c r="AM490" s="72">
        <f>(AY490-Driver!$K$182)/(Driver!$L$182-Driver!$K$182)</f>
        <v>8.5821755512682729E-2</v>
      </c>
      <c r="AN490" s="72">
        <f>(AZ490-Driver!$K$183)/(Driver!$L$183-Driver!$K$183)</f>
        <v>0.38562091503267976</v>
      </c>
      <c r="AO490" s="72"/>
      <c r="AP490" s="72"/>
      <c r="AQ490" s="72">
        <f>(BC490-Driver!$K$188)/(Driver!$L$188-Driver!$K$188)</f>
        <v>0.12639280506826606</v>
      </c>
      <c r="AR490" s="72">
        <f>MIN((BD490-Driver!$K$189)/(Driver!$L$189-Driver!$K$189),100%)</f>
        <v>4.7990453506153601E-2</v>
      </c>
      <c r="AS490" s="72">
        <f>(BE490-Driver!$K$190)/(Driver!$L$190-Driver!$K$190)</f>
        <v>7.0838700571053112E-2</v>
      </c>
      <c r="AT490" s="72">
        <f>(BF490-Driver!$K$191)/(Driver!$L$191-Driver!$K$191)</f>
        <v>6.4107261357937012E-2</v>
      </c>
      <c r="AU490" s="72">
        <f>(BG490-Driver!$K$192)/(Driver!$L$192-Driver!$K$192)</f>
        <v>2.2572478991596642E-2</v>
      </c>
      <c r="AV490" s="70">
        <f t="shared" si="282"/>
        <v>8.5470085470085451</v>
      </c>
      <c r="AW490" s="70">
        <f t="shared" si="283"/>
        <v>42.023177121455873</v>
      </c>
      <c r="AX490" s="70">
        <f t="shared" si="284"/>
        <v>6.7729083665338639</v>
      </c>
      <c r="AY490" s="70">
        <f>IFERROR(Driver!$K$19/Data!BH490/Data!BI490*Data!BK490*Data!BL490,"")</f>
        <v>0.10507143548790518</v>
      </c>
      <c r="AZ490" s="70">
        <f t="shared" si="285"/>
        <v>35.145197319434104</v>
      </c>
      <c r="BA490" s="70"/>
      <c r="BB490" s="70"/>
      <c r="BC490" s="70">
        <f t="shared" si="286"/>
        <v>65.560826657435285</v>
      </c>
      <c r="BD490" s="70">
        <f t="shared" si="287"/>
        <v>5.9678929853404368</v>
      </c>
      <c r="BE490" s="70">
        <f t="shared" si="288"/>
        <v>7.1004452488715342E-2</v>
      </c>
      <c r="BF490" s="70">
        <f t="shared" si="289"/>
        <v>7.2404647913782707</v>
      </c>
      <c r="BG490" s="70">
        <f t="shared" si="290"/>
        <v>8.5473805147058837E-2</v>
      </c>
      <c r="BH490" s="67">
        <f>MAX((CE490-Driver!$F$200)/(Driver!$G$200-Driver!$F$200)*$BI$1,1)</f>
        <v>6.7729083665338639</v>
      </c>
      <c r="BI490" s="67">
        <f>MAX($BI$1*(BY490-Driver!$F$201)/(Driver!$G$201-Driver!$F$201),1)</f>
        <v>7.4683544303797467</v>
      </c>
      <c r="BJ490" s="67">
        <f>(CB490-Driver!$F$206)/(Driver!$G$206-Driver!$F$206)*$BI$1</f>
        <v>6.6666666666666661</v>
      </c>
      <c r="BK490" s="67">
        <f>(CD490-Driver!$F$203)/(Driver!$G$203-Driver!$F$203)*$BI$1</f>
        <v>4.8165137614678901</v>
      </c>
      <c r="BL490" s="67">
        <f>MAX((CR490-Driver!$F$202)/(Driver!$G$202-Driver!$F$202)*$BI$1,1)</f>
        <v>5.5172413793103452</v>
      </c>
      <c r="BM490" s="67">
        <f>MAX((CH490-Driver!$F$204)/(Driver!$G$204-Driver!$F$204)*$BI$1,1)</f>
        <v>5.1282051282051277</v>
      </c>
      <c r="BN490" s="67">
        <f>(CI490-Driver!$F$205)/(Driver!$G$205-Driver!$F$205)*$BI$1</f>
        <v>4.7058823529411766</v>
      </c>
      <c r="BO490" s="67">
        <f>(CK490-Driver!$F$207)/(Driver!$G$207-Driver!$F$207)*$BI$1</f>
        <v>2.1302998965873838</v>
      </c>
      <c r="BP490" s="67">
        <f>(CM490-Driver!$F$208)/(Driver!$G$208-Driver!$F$208)*$BI$1</f>
        <v>2.4555555555555557</v>
      </c>
      <c r="BQ490" s="67">
        <f>(CL490-Driver!$F$209)/(Driver!$G$209-Driver!$F$209)*$BI$1</f>
        <v>2.96875</v>
      </c>
      <c r="BR490" s="28" t="s">
        <v>155</v>
      </c>
      <c r="BS490" s="8" t="s">
        <v>190</v>
      </c>
      <c r="BT490" s="9" t="s">
        <v>632</v>
      </c>
      <c r="BU490" s="10">
        <v>181</v>
      </c>
      <c r="BV490" s="9" t="s">
        <v>158</v>
      </c>
      <c r="BW490" s="10">
        <v>181</v>
      </c>
      <c r="BX490" s="10">
        <v>179.9</v>
      </c>
      <c r="BY490" s="10">
        <v>126</v>
      </c>
      <c r="BZ490" s="10">
        <v>149</v>
      </c>
      <c r="CA490" s="10">
        <v>138</v>
      </c>
      <c r="CB490" s="10">
        <v>106</v>
      </c>
      <c r="CC490" s="10">
        <v>128</v>
      </c>
      <c r="CD490" s="10">
        <v>19.899999999999999</v>
      </c>
      <c r="CE490" s="10">
        <v>2090</v>
      </c>
      <c r="CF490" s="10">
        <v>1</v>
      </c>
      <c r="CG490" s="10">
        <v>2091</v>
      </c>
      <c r="CH490" s="10">
        <v>221</v>
      </c>
      <c r="CI490" s="10">
        <v>113</v>
      </c>
      <c r="CJ490" s="10">
        <v>58</v>
      </c>
      <c r="CK490" s="10">
        <v>316</v>
      </c>
      <c r="CL490" s="10">
        <v>19</v>
      </c>
      <c r="CM490" s="10">
        <v>221</v>
      </c>
      <c r="CN490" s="10">
        <v>0.32200000000000001</v>
      </c>
      <c r="CO490" s="10">
        <v>169</v>
      </c>
      <c r="CP490" s="10">
        <v>141</v>
      </c>
      <c r="CQ490" s="10">
        <v>147</v>
      </c>
      <c r="CR490" s="10">
        <v>5</v>
      </c>
      <c r="CS490" s="10">
        <v>8.8000000000000007</v>
      </c>
      <c r="CT490" s="9" t="s">
        <v>178</v>
      </c>
      <c r="CU490" s="10"/>
      <c r="CV490" s="10"/>
      <c r="CW490" s="10"/>
      <c r="CX490" t="e">
        <f>INDEX('Data_Price '!AG$2:AG$1266,MATCH(Data!$DN490,'Data_Price '!$AT$2:$AT$1266,0))</f>
        <v>#N/A</v>
      </c>
      <c r="CY490" t="e">
        <f>INDEX('Data_Price '!AH$2:AH$1266,MATCH(Data!$DN490,'Data_Price '!$AT$2:$AT$1266,0))</f>
        <v>#N/A</v>
      </c>
      <c r="CZ490" t="e">
        <f>INDEX('Data_Price '!AI$2:AI$1266,MATCH(Data!$DN490,'Data_Price '!$AT$2:$AT$1266,0))</f>
        <v>#N/A</v>
      </c>
      <c r="DA490" t="e">
        <f>INDEX('Data_Price '!AJ$2:AJ$1266,MATCH(Data!$DN490,'Data_Price '!$AT$2:$AT$1266,0))</f>
        <v>#N/A</v>
      </c>
      <c r="DB490" t="e">
        <f>INDEX('Data_Price '!AK$2:AK$1266,MATCH(Data!$DN490,'Data_Price '!$AT$2:$AT$1266,0))</f>
        <v>#N/A</v>
      </c>
      <c r="DC490" t="e">
        <f>INDEX('Data_Price '!AL$2:AL$1266,MATCH(Data!$DN490,'Data_Price '!$AT$2:$AT$1266,0))</f>
        <v>#N/A</v>
      </c>
      <c r="DD490" t="e">
        <f>INDEX('Data_Price '!AM$2:AM$1266,MATCH(Data!$DN490,'Data_Price '!$AT$2:$AT$1266,0))</f>
        <v>#N/A</v>
      </c>
      <c r="DE490" t="e">
        <f>INDEX('Data_Price '!AN$2:AN$1266,MATCH(Data!$DN490,'Data_Price '!$AT$2:$AT$1266,0))</f>
        <v>#N/A</v>
      </c>
      <c r="DF490" t="e">
        <f>INDEX('Data_Price '!AO$2:AO$1266,MATCH(Data!$DN490,'Data_Price '!$AT$2:$AT$1266,0))</f>
        <v>#N/A</v>
      </c>
      <c r="DG490" t="e">
        <f>INDEX('Data_Price '!AP$2:AP$1266,MATCH(Data!$DN490,'Data_Price '!$AT$2:$AT$1266,0))</f>
        <v>#N/A</v>
      </c>
      <c r="DH490" t="e">
        <f>INDEX('Data_Price '!AQ$2:AQ$1266,MATCH(Data!$DN490,'Data_Price '!$AT$2:$AT$1266,0))</f>
        <v>#N/A</v>
      </c>
      <c r="DI490" t="e">
        <f>INDEX('Data_Price '!AR$2:AR$1266,MATCH(Data!$DN490,'Data_Price '!$AT$2:$AT$1266,0))</f>
        <v>#N/A</v>
      </c>
      <c r="DJ490" s="89" t="e">
        <f t="shared" si="291"/>
        <v>#N/A</v>
      </c>
      <c r="DK490" s="89" t="e">
        <f t="shared" si="292"/>
        <v>#N/A</v>
      </c>
      <c r="DL490" s="89" t="e">
        <f t="shared" si="293"/>
        <v>#N/A</v>
      </c>
      <c r="DM490" s="219" t="str">
        <f t="shared" si="294"/>
        <v>MSP 107</v>
      </c>
      <c r="DN490" s="89" t="str">
        <f t="shared" si="295"/>
        <v xml:space="preserve"> 4FRNTMSP 107181 Unisex</v>
      </c>
      <c r="DO490" s="221"/>
    </row>
    <row r="491" spans="2:119" ht="15.6" customHeight="1">
      <c r="B491" s="219" t="b">
        <f t="array" ref="B491">IF(OR(ISERROR(K491:P491)),FALSE,TRUE)</f>
        <v>1</v>
      </c>
      <c r="C491" s="43" t="b">
        <f>OR(BR491=Driver!$G$50,Data!BR484=Driver!$H$50)</f>
        <v>1</v>
      </c>
      <c r="D491" s="43" t="b">
        <f>OR(BV491=Driver!$G$51,BV491=Driver!$H$51)</f>
        <v>1</v>
      </c>
      <c r="E491" s="43" t="b">
        <f>AND(BX491&gt;Driver!$F$54,BX491&lt;Driver!$G$54)</f>
        <v>0</v>
      </c>
      <c r="F491" s="43" t="b">
        <f>CL491&gt;Driver!$F$56</f>
        <v>1</v>
      </c>
      <c r="G491" s="43" t="b">
        <f>AND(CB491&gt;Driver!$F$55,CB491&lt;Driver!$G$55)</f>
        <v>0</v>
      </c>
      <c r="H491" s="43" t="b">
        <f t="shared" si="259"/>
        <v>0</v>
      </c>
      <c r="I491" s="43">
        <f t="shared" si="260"/>
        <v>0</v>
      </c>
      <c r="J491" s="43" t="b">
        <f t="array" ref="J491">NOT(OR(($H$9:$H$1273=TRUE)*($I$9:$I$1273&gt;0)*($BT$9:$BT$1273=BT491)*($K$9:$K$1273&gt;K491)))</f>
        <v>1</v>
      </c>
      <c r="K491" s="72">
        <f t="shared" si="261"/>
        <v>0.79125362577410141</v>
      </c>
      <c r="L491" s="72">
        <f t="shared" si="262"/>
        <v>0.9217535179592623</v>
      </c>
      <c r="M491" s="72">
        <f t="shared" si="263"/>
        <v>0.66075373358894041</v>
      </c>
      <c r="N491" s="72">
        <f t="shared" si="264"/>
        <v>0.45835632755295874</v>
      </c>
      <c r="O491" s="72">
        <f t="shared" si="265"/>
        <v>0.60171160772201182</v>
      </c>
      <c r="P491" s="72">
        <f t="shared" si="266"/>
        <v>0.92219326549185077</v>
      </c>
      <c r="Q491" s="72"/>
      <c r="R491" s="72"/>
      <c r="S491" s="72">
        <f t="shared" si="267"/>
        <v>0.46941071889430475</v>
      </c>
      <c r="T491" s="72">
        <f t="shared" si="268"/>
        <v>0.64486922672940949</v>
      </c>
      <c r="U491" s="72">
        <f t="shared" si="269"/>
        <v>0.97453499022911771</v>
      </c>
      <c r="V491" s="72">
        <f t="shared" si="270"/>
        <v>0.50865158820997225</v>
      </c>
      <c r="W491" s="72">
        <f t="shared" si="271"/>
        <v>0.76093880972338646</v>
      </c>
      <c r="X491" s="72">
        <f t="shared" si="272"/>
        <v>7.8246482040737669E-2</v>
      </c>
      <c r="Y491" s="72">
        <f t="shared" si="273"/>
        <v>0.33924626641105959</v>
      </c>
      <c r="Z491" s="72">
        <f t="shared" si="274"/>
        <v>0.54164367244704126</v>
      </c>
      <c r="AA491" s="72">
        <f t="shared" si="275"/>
        <v>0.39828839227798818</v>
      </c>
      <c r="AB491" s="72">
        <f t="shared" si="276"/>
        <v>7.7806734508149233E-2</v>
      </c>
      <c r="AC491" s="72"/>
      <c r="AD491" s="72"/>
      <c r="AE491" s="72">
        <f t="shared" si="277"/>
        <v>0.53058928110569525</v>
      </c>
      <c r="AF491" s="72">
        <f t="shared" si="278"/>
        <v>0.35513077327059051</v>
      </c>
      <c r="AG491" s="72">
        <f t="shared" si="279"/>
        <v>2.5465009770882285E-2</v>
      </c>
      <c r="AH491" s="72">
        <f t="shared" si="280"/>
        <v>0.49134841179002769</v>
      </c>
      <c r="AI491" s="72">
        <f t="shared" si="281"/>
        <v>0.23906119027661357</v>
      </c>
      <c r="AJ491" s="72">
        <f>(AV491-Driver!$K$179)/(Driver!$L$179-Driver!$K$179)</f>
        <v>0.17597292724196276</v>
      </c>
      <c r="AK491" s="72">
        <f>(AW491-Driver!$K$180)/(Driver!$L$180-Driver!$K$180)</f>
        <v>0.36157625355041167</v>
      </c>
      <c r="AL491" s="72">
        <f>(AX491-Driver!$K$181)/(Driver!$L$181-Driver!$K$181)</f>
        <v>0.64333143616012145</v>
      </c>
      <c r="AM491" s="72">
        <f>(AY491-Driver!$K$182)/(Driver!$L$182-Driver!$K$182)</f>
        <v>4.9096628819058206E-2</v>
      </c>
      <c r="AN491" s="72">
        <f>(AZ491-Driver!$K$183)/(Driver!$L$183-Driver!$K$183)</f>
        <v>0.33202614379084966</v>
      </c>
      <c r="AO491" s="72"/>
      <c r="AP491" s="72"/>
      <c r="AQ491" s="72">
        <f>(BC491-Driver!$K$188)/(Driver!$L$188-Driver!$K$188)</f>
        <v>8.94107188943047E-2</v>
      </c>
      <c r="AR491" s="72">
        <f>MIN((BD491-Driver!$K$189)/(Driver!$L$189-Driver!$K$189),100%)</f>
        <v>0.19486922672940957</v>
      </c>
      <c r="AS491" s="72">
        <f>(BE491-Driver!$K$190)/(Driver!$L$190-Driver!$K$190)</f>
        <v>0.53546500977088229</v>
      </c>
      <c r="AT491" s="72">
        <f>(BF491-Driver!$K$191)/(Driver!$L$191-Driver!$K$191)</f>
        <v>1.86515882099723E-2</v>
      </c>
      <c r="AU491" s="72">
        <f>(BG491-Driver!$K$192)/(Driver!$L$192-Driver!$K$192)</f>
        <v>1.0938809723386417E-2</v>
      </c>
      <c r="AV491" s="70">
        <f t="shared" si="282"/>
        <v>3.7037037037037037</v>
      </c>
      <c r="AW491" s="70">
        <f t="shared" si="283"/>
        <v>37.110702421479054</v>
      </c>
      <c r="AX491" s="70">
        <f t="shared" si="284"/>
        <v>6.7899829254410928</v>
      </c>
      <c r="AY491" s="70">
        <f>IFERROR(Driver!$K$19/Data!BH491/Data!BI491*Data!BK491*Data!BL491,"")</f>
        <v>6.0108922694700133E-2</v>
      </c>
      <c r="AZ491" s="70">
        <f t="shared" si="285"/>
        <v>30.260610573343261</v>
      </c>
      <c r="BA491" s="70"/>
      <c r="BB491" s="70"/>
      <c r="BC491" s="70">
        <f t="shared" si="286"/>
        <v>46.377961463709454</v>
      </c>
      <c r="BD491" s="70">
        <f t="shared" si="287"/>
        <v>18.966404161812466</v>
      </c>
      <c r="BE491" s="70">
        <f t="shared" si="288"/>
        <v>0.53554787758457512</v>
      </c>
      <c r="BF491" s="70">
        <f t="shared" si="289"/>
        <v>2.1065658534931422</v>
      </c>
      <c r="BG491" s="70">
        <f t="shared" si="290"/>
        <v>4.1421311818943832E-2</v>
      </c>
      <c r="BH491" s="67">
        <f>MAX((CE491-Driver!$F$200)/(Driver!$G$200-Driver!$F$200)*$BI$1,1)</f>
        <v>6.7899829254410928</v>
      </c>
      <c r="BI491" s="67">
        <f>MAX($BI$1*(BY491-Driver!$F$201)/(Driver!$G$201-Driver!$F$201),1)</f>
        <v>8.037974683544304</v>
      </c>
      <c r="BJ491" s="67">
        <f>(CB491-Driver!$F$206)/(Driver!$G$206-Driver!$F$206)*$BI$1</f>
        <v>3.333333333333333</v>
      </c>
      <c r="BK491" s="67">
        <f>(CD491-Driver!$F$203)/(Driver!$G$203-Driver!$F$203)*$BI$1</f>
        <v>2.7981651376146792</v>
      </c>
      <c r="BL491" s="67">
        <f>MAX((CR491-Driver!$F$202)/(Driver!$G$202-Driver!$F$202)*$BI$1,1)</f>
        <v>5.8620689655172411</v>
      </c>
      <c r="BM491" s="67">
        <f>MAX((CH491-Driver!$F$204)/(Driver!$G$204-Driver!$F$204)*$BI$1,1)</f>
        <v>4.4444444444444446</v>
      </c>
      <c r="BN491" s="67">
        <f>(CI491-Driver!$F$205)/(Driver!$G$205-Driver!$F$205)*$BI$1</f>
        <v>3.7647058823529411</v>
      </c>
      <c r="BO491" s="67">
        <f>(CK491-Driver!$F$207)/(Driver!$G$207-Driver!$F$207)*$BI$1</f>
        <v>1.1789038262668046</v>
      </c>
      <c r="BP491" s="67">
        <f>(CM491-Driver!$F$208)/(Driver!$G$208-Driver!$F$208)*$BI$1</f>
        <v>1.5</v>
      </c>
      <c r="BQ491" s="67">
        <f>(CL491-Driver!$F$209)/(Driver!$G$209-Driver!$F$209)*$BI$1</f>
        <v>1.25</v>
      </c>
      <c r="BR491" s="28" t="s">
        <v>155</v>
      </c>
      <c r="BS491" s="8" t="s">
        <v>164</v>
      </c>
      <c r="BT491" s="9" t="s">
        <v>627</v>
      </c>
      <c r="BU491" s="10">
        <v>172</v>
      </c>
      <c r="BV491" s="9" t="s">
        <v>158</v>
      </c>
      <c r="BW491" s="10">
        <v>172</v>
      </c>
      <c r="BX491" s="10">
        <v>171.3</v>
      </c>
      <c r="BY491" s="10">
        <v>135</v>
      </c>
      <c r="BZ491" s="10">
        <v>152</v>
      </c>
      <c r="CA491" s="10">
        <v>128</v>
      </c>
      <c r="CB491" s="10">
        <v>85</v>
      </c>
      <c r="CC491" s="10">
        <v>114</v>
      </c>
      <c r="CD491" s="10">
        <v>15.5</v>
      </c>
      <c r="CE491" s="10">
        <v>2093</v>
      </c>
      <c r="CF491" s="10">
        <v>0.81</v>
      </c>
      <c r="CG491" s="10">
        <v>1700</v>
      </c>
      <c r="CH491" s="10">
        <v>205</v>
      </c>
      <c r="CI491" s="10">
        <v>97</v>
      </c>
      <c r="CJ491" s="10">
        <v>41</v>
      </c>
      <c r="CK491" s="10">
        <v>224</v>
      </c>
      <c r="CL491" s="10">
        <v>8</v>
      </c>
      <c r="CM491" s="10">
        <v>135</v>
      </c>
      <c r="CN491" s="10">
        <v>0.20399999999999999</v>
      </c>
      <c r="CO491" s="10">
        <v>97</v>
      </c>
      <c r="CP491" s="10">
        <v>96</v>
      </c>
      <c r="CQ491" s="10">
        <v>126</v>
      </c>
      <c r="CR491" s="10">
        <v>6</v>
      </c>
      <c r="CS491" s="10">
        <v>9.1999999999999993</v>
      </c>
      <c r="CT491" s="9" t="s">
        <v>188</v>
      </c>
      <c r="CU491" s="10"/>
      <c r="CV491" s="10"/>
      <c r="CW491" s="10"/>
      <c r="CX491" t="str">
        <f>INDEX('Data_Price '!AG$2:AG$1266,MATCH(Data!$DN491,'Data_Price '!$AT$2:$AT$1266,0))</f>
        <v>Elan Wingman 86 Ti Skis 2022</v>
      </c>
      <c r="CY491" t="str">
        <f>INDEX('Data_Price '!AH$2:AH$1266,MATCH(Data!$DN491,'Data_Price '!$AT$2:$AT$1266,0))</f>
        <v>Suburban Ski and Bike</v>
      </c>
      <c r="CZ491">
        <f>INDEX('Data_Price '!AI$2:AI$1266,MATCH(Data!$DN491,'Data_Price '!$AT$2:$AT$1266,0))</f>
        <v>480</v>
      </c>
      <c r="DA491" t="str">
        <f>INDEX('Data_Price '!AJ$2:AJ$1266,MATCH(Data!$DN491,'Data_Price '!$AT$2:$AT$1266,0))</f>
        <v>https://tinyurl.com/y8rrhw5q</v>
      </c>
      <c r="DB491" t="str">
        <f>INDEX('Data_Price '!AK$2:AK$1266,MATCH(Data!$DN491,'Data_Price '!$AT$2:$AT$1266,0))</f>
        <v>Elan Wingman 86 Ti Skis 2023 172</v>
      </c>
      <c r="DC491" t="str">
        <f>INDEX('Data_Price '!AL$2:AL$1266,MATCH(Data!$DN491,'Data_Price '!$AT$2:$AT$1266,0))</f>
        <v>Ski Depot RaceSkis.com</v>
      </c>
      <c r="DD491">
        <f>INDEX('Data_Price '!AM$2:AM$1266,MATCH(Data!$DN491,'Data_Price '!$AT$2:$AT$1266,0))</f>
        <v>499.99</v>
      </c>
      <c r="DE491" t="str">
        <f>INDEX('Data_Price '!AN$2:AN$1266,MATCH(Data!$DN491,'Data_Price '!$AT$2:$AT$1266,0))</f>
        <v>https://tinyurl.com/y8y8e7go</v>
      </c>
      <c r="DF491" t="str">
        <f>INDEX('Data_Price '!AO$2:AO$1266,MATCH(Data!$DN491,'Data_Price '!$AT$2:$AT$1266,0))</f>
        <v>Elan Wingman 86 Ti Fx+emx 11.0 Alpine Skis 172</v>
      </c>
      <c r="DG491" t="str">
        <f>INDEX('Data_Price '!AP$2:AP$1266,MATCH(Data!$DN491,'Data_Price '!$AT$2:$AT$1266,0))</f>
        <v>Snowinn.com</v>
      </c>
      <c r="DH491">
        <f>INDEX('Data_Price '!AQ$2:AQ$1266,MATCH(Data!$DN491,'Data_Price '!$AT$2:$AT$1266,0))</f>
        <v>513.49</v>
      </c>
      <c r="DI491" t="str">
        <f>INDEX('Data_Price '!AR$2:AR$1266,MATCH(Data!$DN491,'Data_Price '!$AT$2:$AT$1266,0))</f>
        <v>https://tinyurl.com/ycso3nh3</v>
      </c>
      <c r="DJ491" s="89" t="str">
        <f t="shared" si="291"/>
        <v>https://tinyurl.com/y8rrhw5q</v>
      </c>
      <c r="DK491" s="89" t="str">
        <f t="shared" si="292"/>
        <v>https://tinyurl.com/y8y8e7go</v>
      </c>
      <c r="DL491" s="89" t="str">
        <f t="shared" si="293"/>
        <v>https://tinyurl.com/ycso3nh3</v>
      </c>
      <c r="DM491" s="219" t="str">
        <f t="shared" si="294"/>
        <v>Wingman 86 Ti</v>
      </c>
      <c r="DN491" s="89" t="str">
        <f t="shared" si="295"/>
        <v xml:space="preserve"> ElanWingman 86 Ti172 Unisex</v>
      </c>
      <c r="DO491" s="221"/>
    </row>
    <row r="492" spans="2:119" ht="15.6" customHeight="1">
      <c r="B492" s="219" t="b">
        <f t="array" ref="B492">IF(OR(ISERROR(K492:P492)),FALSE,TRUE)</f>
        <v>1</v>
      </c>
      <c r="C492" s="43" t="b">
        <f>OR(BR492=Driver!$G$50,Data!BR174=Driver!$H$50)</f>
        <v>1</v>
      </c>
      <c r="D492" s="43" t="b">
        <f>OR(BV492=Driver!$G$51,BV492=Driver!$H$51)</f>
        <v>1</v>
      </c>
      <c r="E492" s="43" t="b">
        <f>AND(BX492&gt;Driver!$F$54,BX492&lt;Driver!$G$54)</f>
        <v>1</v>
      </c>
      <c r="F492" s="43" t="b">
        <f>CL492&gt;Driver!$F$56</f>
        <v>1</v>
      </c>
      <c r="G492" s="43" t="b">
        <f>AND(CB492&gt;Driver!$F$55,CB492&lt;Driver!$G$55)</f>
        <v>0</v>
      </c>
      <c r="H492" s="43" t="b">
        <f t="shared" si="259"/>
        <v>0</v>
      </c>
      <c r="I492" s="43">
        <f t="shared" si="260"/>
        <v>0</v>
      </c>
      <c r="J492" s="43" t="b">
        <f t="array" ref="J492">NOT(OR(($H$9:$H$1273=TRUE)*($I$9:$I$1273&gt;0)*($BT$9:$BT$1273=BT492)*($K$9:$K$1273&gt;K492)))</f>
        <v>1</v>
      </c>
      <c r="K492" s="72">
        <f t="shared" si="261"/>
        <v>0.79119514491744924</v>
      </c>
      <c r="L492" s="72">
        <f t="shared" si="262"/>
        <v>0.78155530669506124</v>
      </c>
      <c r="M492" s="72">
        <f t="shared" si="263"/>
        <v>0.80083498313983714</v>
      </c>
      <c r="N492" s="72">
        <f t="shared" si="264"/>
        <v>0.78719968428476172</v>
      </c>
      <c r="O492" s="72">
        <f t="shared" si="265"/>
        <v>0.61639631336838918</v>
      </c>
      <c r="P492" s="72">
        <f t="shared" si="266"/>
        <v>0.99890895176636052</v>
      </c>
      <c r="Q492" s="72"/>
      <c r="R492" s="72"/>
      <c r="S492" s="72">
        <f t="shared" si="267"/>
        <v>0.47277752287387664</v>
      </c>
      <c r="T492" s="72">
        <f t="shared" si="268"/>
        <v>0.84797083957626684</v>
      </c>
      <c r="U492" s="72">
        <f t="shared" si="269"/>
        <v>0.51</v>
      </c>
      <c r="V492" s="72">
        <f t="shared" si="270"/>
        <v>0.49107147120240169</v>
      </c>
      <c r="W492" s="72">
        <f t="shared" si="271"/>
        <v>0.76703244849604435</v>
      </c>
      <c r="X492" s="72">
        <f t="shared" si="272"/>
        <v>0.21844469330493876</v>
      </c>
      <c r="Y492" s="72">
        <f t="shared" si="273"/>
        <v>0.19916501686016286</v>
      </c>
      <c r="Z492" s="72">
        <f t="shared" si="274"/>
        <v>0.21280031571523828</v>
      </c>
      <c r="AA492" s="72">
        <f t="shared" si="275"/>
        <v>0.38360368663161087</v>
      </c>
      <c r="AB492" s="72">
        <f t="shared" si="276"/>
        <v>1.09104823363948E-3</v>
      </c>
      <c r="AC492" s="72"/>
      <c r="AD492" s="72"/>
      <c r="AE492" s="72">
        <f t="shared" si="277"/>
        <v>0.52722247712612336</v>
      </c>
      <c r="AF492" s="72">
        <f t="shared" si="278"/>
        <v>0.15202916042373316</v>
      </c>
      <c r="AG492" s="72">
        <f t="shared" si="279"/>
        <v>0.49</v>
      </c>
      <c r="AH492" s="72">
        <f t="shared" si="280"/>
        <v>0.50892852879759831</v>
      </c>
      <c r="AI492" s="72">
        <f t="shared" si="281"/>
        <v>0.23296755150395568</v>
      </c>
      <c r="AJ492" s="72">
        <f>(AV492-Driver!$K$179)/(Driver!$L$179-Driver!$K$179)</f>
        <v>3.5774715977761655E-2</v>
      </c>
      <c r="AK492" s="72">
        <f>(AW492-Driver!$K$180)/(Driver!$L$180-Driver!$K$180)</f>
        <v>0.25965200531390092</v>
      </c>
      <c r="AL492" s="72">
        <f>(AX492-Driver!$K$181)/(Driver!$L$181-Driver!$K$181)</f>
        <v>0.31448807942831847</v>
      </c>
      <c r="AM492" s="72">
        <f>(AY492-Driver!$K$182)/(Driver!$L$182-Driver!$K$182)</f>
        <v>6.3781334465435491E-2</v>
      </c>
      <c r="AN492" s="72">
        <f>(AZ492-Driver!$K$183)/(Driver!$L$183-Driver!$K$183)</f>
        <v>0.25531045751633991</v>
      </c>
      <c r="AO492" s="72"/>
      <c r="AP492" s="72"/>
      <c r="AQ492" s="72">
        <f>(BC492-Driver!$K$188)/(Driver!$L$188-Driver!$K$188)</f>
        <v>9.2777522873876583E-2</v>
      </c>
      <c r="AR492" s="72">
        <f>MIN((BD492-Driver!$K$189)/(Driver!$L$189-Driver!$K$189),100%)</f>
        <v>0.39797083957626689</v>
      </c>
      <c r="AS492" s="72">
        <f>(BE492-Driver!$K$190)/(Driver!$L$190-Driver!$K$190)</f>
        <v>1</v>
      </c>
      <c r="AT492" s="72">
        <f>(BF492-Driver!$K$191)/(Driver!$L$191-Driver!$K$191)</f>
        <v>1.0714712024016896E-3</v>
      </c>
      <c r="AU492" s="72">
        <f>(BG492-Driver!$K$192)/(Driver!$L$192-Driver!$K$192)</f>
        <v>1.7032448496044333E-2</v>
      </c>
      <c r="AV492" s="70">
        <f t="shared" si="282"/>
        <v>0.75295075295075287</v>
      </c>
      <c r="AW492" s="70">
        <f t="shared" si="283"/>
        <v>27.177281290116635</v>
      </c>
      <c r="AX492" s="70">
        <f t="shared" si="284"/>
        <v>3.8303927148548662</v>
      </c>
      <c r="AY492" s="70">
        <f>IFERROR(Driver!$K$19/Data!BH492/Data!BI492*Data!BK492*Data!BL492,"")</f>
        <v>7.8087383899146032E-2</v>
      </c>
      <c r="AZ492" s="70">
        <f t="shared" si="285"/>
        <v>23.268801191362623</v>
      </c>
      <c r="BA492" s="70"/>
      <c r="BB492" s="70"/>
      <c r="BC492" s="70">
        <f t="shared" si="286"/>
        <v>48.124346093554934</v>
      </c>
      <c r="BD492" s="70">
        <f t="shared" si="287"/>
        <v>36.940537023996285</v>
      </c>
      <c r="BE492" s="70">
        <f t="shared" si="288"/>
        <v>1</v>
      </c>
      <c r="BF492" s="70">
        <f t="shared" si="289"/>
        <v>0.12101514480004653</v>
      </c>
      <c r="BG492" s="70">
        <f t="shared" si="290"/>
        <v>6.4495715533512701E-2</v>
      </c>
      <c r="BH492" s="67">
        <f>MAX((CE492-Driver!$F$200)/(Driver!$G$200-Driver!$F$200)*$BI$1,1)</f>
        <v>3.8303927148548662</v>
      </c>
      <c r="BI492" s="67">
        <f>MAX($BI$1*(BY492-Driver!$F$201)/(Driver!$G$201-Driver!$F$201),1)</f>
        <v>7.9113924050632916</v>
      </c>
      <c r="BJ492" s="67">
        <f>(CB492-Driver!$F$206)/(Driver!$G$206-Driver!$F$206)*$BI$1</f>
        <v>0.95238095238095233</v>
      </c>
      <c r="BK492" s="67">
        <f>(CD492-Driver!$F$203)/(Driver!$G$203-Driver!$F$203)*$BI$1</f>
        <v>2.0183486238532113</v>
      </c>
      <c r="BL492" s="67">
        <f>MAX((CR492-Driver!$F$202)/(Driver!$G$202-Driver!$F$202)*$BI$1,1)</f>
        <v>5.8620689655172411</v>
      </c>
      <c r="BM492" s="67">
        <f>MAX((CH492-Driver!$F$204)/(Driver!$G$204-Driver!$F$204)*$BI$1,1)</f>
        <v>3.1623931623931623</v>
      </c>
      <c r="BN492" s="67">
        <f>(CI492-Driver!$F$205)/(Driver!$G$205-Driver!$F$205)*$BI$1</f>
        <v>2.9411764705882355</v>
      </c>
      <c r="BO492" s="67">
        <f>(CK492-Driver!$F$207)/(Driver!$G$207-Driver!$F$207)*$BI$1</f>
        <v>0.37228541882109617</v>
      </c>
      <c r="BP492" s="67">
        <f>(CM492-Driver!$F$208)/(Driver!$G$208-Driver!$F$208)*$BI$1</f>
        <v>0.68888888888888888</v>
      </c>
      <c r="BQ492" s="67">
        <f>(CL492-Driver!$F$209)/(Driver!$G$209-Driver!$F$209)*$BI$1</f>
        <v>0.78125</v>
      </c>
      <c r="BR492" s="28" t="s">
        <v>155</v>
      </c>
      <c r="BS492" s="8" t="s">
        <v>156</v>
      </c>
      <c r="BT492" s="9" t="s">
        <v>532</v>
      </c>
      <c r="BU492" s="10">
        <v>156</v>
      </c>
      <c r="BV492" s="9" t="s">
        <v>158</v>
      </c>
      <c r="BW492" s="10">
        <v>156</v>
      </c>
      <c r="BX492" s="10">
        <v>153.4</v>
      </c>
      <c r="BY492" s="10">
        <v>133</v>
      </c>
      <c r="BZ492" s="10">
        <v>140</v>
      </c>
      <c r="CA492" s="10">
        <v>109</v>
      </c>
      <c r="CB492" s="10">
        <v>70</v>
      </c>
      <c r="CC492" s="10">
        <v>97</v>
      </c>
      <c r="CD492" s="10">
        <v>13.8</v>
      </c>
      <c r="CE492" s="10">
        <v>1573</v>
      </c>
      <c r="CF492" s="10">
        <v>0.8</v>
      </c>
      <c r="CG492" s="10">
        <v>1265</v>
      </c>
      <c r="CH492" s="10">
        <v>175</v>
      </c>
      <c r="CI492" s="10">
        <v>83</v>
      </c>
      <c r="CJ492" s="10">
        <v>39</v>
      </c>
      <c r="CK492" s="10">
        <v>146</v>
      </c>
      <c r="CL492" s="10">
        <v>5</v>
      </c>
      <c r="CM492" s="10">
        <v>62</v>
      </c>
      <c r="CN492" s="10">
        <v>0.13100000000000001</v>
      </c>
      <c r="CO492" s="10">
        <v>84</v>
      </c>
      <c r="CP492" s="10">
        <v>53</v>
      </c>
      <c r="CQ492" s="10">
        <v>62</v>
      </c>
      <c r="CR492" s="10">
        <v>6</v>
      </c>
      <c r="CS492" s="10">
        <v>12.4</v>
      </c>
      <c r="CT492" s="9" t="s">
        <v>349</v>
      </c>
      <c r="CU492" s="10"/>
      <c r="CV492" s="10"/>
      <c r="CW492" s="10"/>
      <c r="CX492" t="str">
        <f>INDEX('Data_Price '!AG$2:AG$1266,MATCH(Data!$DN492,'Data_Price '!$AT$2:$AT$1266,0))</f>
        <v>Atomic Redster S7 Skis w Atomic FT 12 GW Bindings  Demo Skis</v>
      </c>
      <c r="CY492" t="str">
        <f>INDEX('Data_Price '!AH$2:AH$1266,MATCH(Data!$DN492,'Data_Price '!$AT$2:$AT$1266,0))</f>
        <v>Powder7 Ski Shop</v>
      </c>
      <c r="CZ492">
        <f>INDEX('Data_Price '!AI$2:AI$1266,MATCH(Data!$DN492,'Data_Price '!$AT$2:$AT$1266,0))</f>
        <v>359.99</v>
      </c>
      <c r="DA492" t="str">
        <f>INDEX('Data_Price '!AJ$2:AJ$1266,MATCH(Data!$DN492,'Data_Price '!$AT$2:$AT$1266,0))</f>
        <v>https://tinyurl.com/y7dzrmcb</v>
      </c>
      <c r="DB492" t="str">
        <f>INDEX('Data_Price '!AK$2:AK$1266,MATCH(Data!$DN492,'Data_Price '!$AT$2:$AT$1266,0))</f>
        <v>Atomic Redster RX EZY2 156 cm Ski + Elan ESR 10 Bindings Sport Snow Winter CBS</v>
      </c>
      <c r="DC492" t="str">
        <f>INDEX('Data_Price '!AL$2:AL$1266,MATCH(Data!$DN492,'Data_Price '!$AT$2:$AT$1266,0))</f>
        <v>Traventuria</v>
      </c>
      <c r="DD492">
        <f>INDEX('Data_Price '!AM$2:AM$1266,MATCH(Data!$DN492,'Data_Price '!$AT$2:$AT$1266,0))</f>
        <v>114.99</v>
      </c>
      <c r="DE492" t="str">
        <f>INDEX('Data_Price '!AN$2:AN$1266,MATCH(Data!$DN492,'Data_Price '!$AT$2:$AT$1266,0))</f>
        <v>https://tinyurl.com/yarol98b</v>
      </c>
      <c r="DF492">
        <f>INDEX('Data_Price '!AO$2:AO$1266,MATCH(Data!$DN492,'Data_Price '!$AT$2:$AT$1266,0))</f>
        <v>0</v>
      </c>
      <c r="DG492">
        <f>INDEX('Data_Price '!AP$2:AP$1266,MATCH(Data!$DN492,'Data_Price '!$AT$2:$AT$1266,0))</f>
        <v>0</v>
      </c>
      <c r="DH492">
        <f>INDEX('Data_Price '!AQ$2:AQ$1266,MATCH(Data!$DN492,'Data_Price '!$AT$2:$AT$1266,0))</f>
        <v>0</v>
      </c>
      <c r="DI492">
        <f>INDEX('Data_Price '!AR$2:AR$1266,MATCH(Data!$DN492,'Data_Price '!$AT$2:$AT$1266,0))</f>
        <v>0</v>
      </c>
      <c r="DJ492" s="89" t="str">
        <f t="shared" si="291"/>
        <v>https://tinyurl.com/y7dzrmcb</v>
      </c>
      <c r="DK492" s="89" t="str">
        <f t="shared" si="292"/>
        <v>https://tinyurl.com/yarol98b</v>
      </c>
      <c r="DL492" s="89">
        <f t="shared" si="293"/>
        <v>0</v>
      </c>
      <c r="DM492" s="219" t="str">
        <f t="shared" si="294"/>
        <v>Redster S7</v>
      </c>
      <c r="DN492" s="89" t="str">
        <f t="shared" si="295"/>
        <v xml:space="preserve"> AtomicRedster S7156 Unisex</v>
      </c>
      <c r="DO492" s="221"/>
    </row>
    <row r="493" spans="2:119" ht="15.6" customHeight="1">
      <c r="B493" s="219" t="b">
        <f t="array" ref="B493">IF(OR(ISERROR(K493:P493)),FALSE,TRUE)</f>
        <v>1</v>
      </c>
      <c r="C493" s="43" t="b">
        <f>OR(BR493=Driver!$G$50,Data!BR413=Driver!$H$50)</f>
        <v>1</v>
      </c>
      <c r="D493" s="43" t="b">
        <f>OR(BV493=Driver!$G$51,BV493=Driver!$H$51)</f>
        <v>1</v>
      </c>
      <c r="E493" s="43" t="b">
        <f>AND(BX493&gt;Driver!$F$54,BX493&lt;Driver!$G$54)</f>
        <v>0</v>
      </c>
      <c r="F493" s="43" t="b">
        <f>CL493&gt;Driver!$F$56</f>
        <v>1</v>
      </c>
      <c r="G493" s="43" t="b">
        <f>AND(CB493&gt;Driver!$F$55,CB493&lt;Driver!$G$55)</f>
        <v>0</v>
      </c>
      <c r="H493" s="43" t="b">
        <f t="shared" si="259"/>
        <v>0</v>
      </c>
      <c r="I493" s="43">
        <f t="shared" si="260"/>
        <v>0</v>
      </c>
      <c r="J493" s="43" t="b">
        <f t="array" ref="J493">NOT(OR(($H$9:$H$1273=TRUE)*($I$9:$I$1273&gt;0)*($BT$9:$BT$1273=BT493)*($K$9:$K$1273&gt;K493)))</f>
        <v>1</v>
      </c>
      <c r="K493" s="72">
        <f t="shared" si="261"/>
        <v>0.88988678330508131</v>
      </c>
      <c r="L493" s="72">
        <f t="shared" si="262"/>
        <v>0.87665112308497273</v>
      </c>
      <c r="M493" s="72">
        <f t="shared" si="263"/>
        <v>0.90312244352518989</v>
      </c>
      <c r="N493" s="72">
        <f t="shared" si="264"/>
        <v>0.93834115016726349</v>
      </c>
      <c r="O493" s="72">
        <f t="shared" si="265"/>
        <v>0.80416715831845775</v>
      </c>
      <c r="P493" s="72">
        <f t="shared" si="266"/>
        <v>0.96685902208984864</v>
      </c>
      <c r="Q493" s="72"/>
      <c r="R493" s="72"/>
      <c r="S493" s="72">
        <f t="shared" si="267"/>
        <v>0.460969202450219</v>
      </c>
      <c r="T493" s="72">
        <f t="shared" si="268"/>
        <v>0.47262602427479738</v>
      </c>
      <c r="U493" s="72">
        <f t="shared" si="269"/>
        <v>0.9774302096407449</v>
      </c>
      <c r="V493" s="72">
        <f t="shared" si="270"/>
        <v>0.52346648869674062</v>
      </c>
      <c r="W493" s="72">
        <f t="shared" si="271"/>
        <v>0.78028087882131492</v>
      </c>
      <c r="X493" s="72">
        <f t="shared" si="272"/>
        <v>0.12334887691502733</v>
      </c>
      <c r="Y493" s="72">
        <f t="shared" si="273"/>
        <v>9.687755647481007E-2</v>
      </c>
      <c r="Z493" s="72">
        <f t="shared" si="274"/>
        <v>6.1658849832736548E-2</v>
      </c>
      <c r="AA493" s="72">
        <f t="shared" si="275"/>
        <v>0.19583284168154225</v>
      </c>
      <c r="AB493" s="72">
        <f t="shared" si="276"/>
        <v>3.3140977910151387E-2</v>
      </c>
      <c r="AC493" s="72"/>
      <c r="AD493" s="72"/>
      <c r="AE493" s="72">
        <f t="shared" si="277"/>
        <v>0.539030797549781</v>
      </c>
      <c r="AF493" s="72">
        <f t="shared" si="278"/>
        <v>0.52737397572520262</v>
      </c>
      <c r="AG493" s="72">
        <f t="shared" si="279"/>
        <v>2.2569790359255104E-2</v>
      </c>
      <c r="AH493" s="72">
        <f t="shared" si="280"/>
        <v>0.47653351130325933</v>
      </c>
      <c r="AI493" s="72">
        <f t="shared" si="281"/>
        <v>0.21971912117868503</v>
      </c>
      <c r="AJ493" s="72">
        <f>(AV493-Driver!$K$179)/(Driver!$L$179-Driver!$K$179)</f>
        <v>0.37756828619772775</v>
      </c>
      <c r="AK493" s="72">
        <f>(AW493-Driver!$K$180)/(Driver!$L$180-Driver!$K$180)</f>
        <v>0.21604112706498982</v>
      </c>
      <c r="AL493" s="72">
        <f>(AX493-Driver!$K$181)/(Driver!$L$181-Driver!$K$181)</f>
        <v>0.16334661354581673</v>
      </c>
      <c r="AM493" s="72">
        <f>(AY493-Driver!$K$182)/(Driver!$L$182-Driver!$K$182)</f>
        <v>0.25155217941550412</v>
      </c>
      <c r="AN493" s="72">
        <f>(AZ493-Driver!$K$183)/(Driver!$L$183-Driver!$K$183)</f>
        <v>0.22107843137254904</v>
      </c>
      <c r="AO493" s="72"/>
      <c r="AP493" s="72"/>
      <c r="AQ493" s="72">
        <f>(BC493-Driver!$K$188)/(Driver!$L$188-Driver!$K$188)</f>
        <v>8.0969202450219047E-2</v>
      </c>
      <c r="AR493" s="72">
        <f>MIN((BD493-Driver!$K$189)/(Driver!$L$189-Driver!$K$189),100%)</f>
        <v>2.2626024274797426E-2</v>
      </c>
      <c r="AS493" s="72">
        <f>(BE493-Driver!$K$190)/(Driver!$L$190-Driver!$K$190)</f>
        <v>0.53256979035925511</v>
      </c>
      <c r="AT493" s="72">
        <f>(BF493-Driver!$K$191)/(Driver!$L$191-Driver!$K$191)</f>
        <v>3.3466488696740668E-2</v>
      </c>
      <c r="AU493" s="72">
        <f>(BG493-Driver!$K$192)/(Driver!$L$192-Driver!$K$192)</f>
        <v>3.0280878821314985E-2</v>
      </c>
      <c r="AV493" s="70">
        <f t="shared" si="282"/>
        <v>7.9466829466829463</v>
      </c>
      <c r="AW493" s="70">
        <f t="shared" si="283"/>
        <v>22.927014773067881</v>
      </c>
      <c r="AX493" s="70">
        <f t="shared" si="284"/>
        <v>2.4701195219123506</v>
      </c>
      <c r="AY493" s="70">
        <f>IFERROR(Driver!$K$19/Data!BH493/Data!BI493*Data!BK493*Data!BL493,"")</f>
        <v>0.30797492353080719</v>
      </c>
      <c r="AZ493" s="70">
        <f t="shared" si="285"/>
        <v>20.148920327624722</v>
      </c>
      <c r="BA493" s="70"/>
      <c r="BB493" s="70"/>
      <c r="BC493" s="70">
        <f t="shared" si="286"/>
        <v>41.999288199691982</v>
      </c>
      <c r="BD493" s="70">
        <f t="shared" si="287"/>
        <v>3.7231859414745898</v>
      </c>
      <c r="BE493" s="70">
        <f t="shared" si="288"/>
        <v>0.53265317464750395</v>
      </c>
      <c r="BF493" s="70">
        <f t="shared" si="289"/>
        <v>3.7798047829071604</v>
      </c>
      <c r="BG493" s="70">
        <f t="shared" si="290"/>
        <v>0.11466272432985007</v>
      </c>
      <c r="BH493" s="67">
        <f>MAX((CE493-Driver!$F$200)/(Driver!$G$200-Driver!$F$200)*$BI$1,1)</f>
        <v>2.4701195219123506</v>
      </c>
      <c r="BI493" s="67">
        <f>MAX($BI$1*(BY493-Driver!$F$201)/(Driver!$G$201-Driver!$F$201),1)</f>
        <v>7.7848101265822782</v>
      </c>
      <c r="BJ493" s="67">
        <f>(CB493-Driver!$F$206)/(Driver!$G$206-Driver!$F$206)*$BI$1</f>
        <v>5.2380952380952381</v>
      </c>
      <c r="BK493" s="67">
        <f>(CD493-Driver!$F$203)/(Driver!$G$203-Driver!$F$203)*$BI$1</f>
        <v>4.7706422018348631</v>
      </c>
      <c r="BL493" s="67">
        <f>MAX((CR493-Driver!$F$202)/(Driver!$G$202-Driver!$F$202)*$BI$1,1)</f>
        <v>6.2068965517241379</v>
      </c>
      <c r="BM493" s="67">
        <f>MAX((CH493-Driver!$F$204)/(Driver!$G$204-Driver!$F$204)*$BI$1,1)</f>
        <v>6.0683760683760681</v>
      </c>
      <c r="BN493" s="67">
        <f>(CI493-Driver!$F$205)/(Driver!$G$205-Driver!$F$205)*$BI$1</f>
        <v>2.5882352941176472</v>
      </c>
      <c r="BO493" s="67">
        <f>(CK493-Driver!$F$207)/(Driver!$G$207-Driver!$F$207)*$BI$1</f>
        <v>2.2130299896587382</v>
      </c>
      <c r="BP493" s="67">
        <f>(CM493-Driver!$F$208)/(Driver!$G$208-Driver!$F$208)*$BI$1</f>
        <v>1.5555555555555556</v>
      </c>
      <c r="BQ493" s="67">
        <f>(CL493-Driver!$F$209)/(Driver!$G$209-Driver!$F$209)*$BI$1</f>
        <v>1.71875</v>
      </c>
      <c r="BR493" s="28" t="s">
        <v>155</v>
      </c>
      <c r="BS493" s="8" t="s">
        <v>202</v>
      </c>
      <c r="BT493" s="9" t="s">
        <v>498</v>
      </c>
      <c r="BU493" s="10">
        <v>178</v>
      </c>
      <c r="BV493" s="9" t="s">
        <v>158</v>
      </c>
      <c r="BW493" s="10">
        <v>178</v>
      </c>
      <c r="BX493" s="10">
        <v>177.2</v>
      </c>
      <c r="BY493" s="10">
        <v>131</v>
      </c>
      <c r="BZ493" s="10">
        <v>145</v>
      </c>
      <c r="CA493" s="10">
        <v>126</v>
      </c>
      <c r="CB493" s="10">
        <v>97</v>
      </c>
      <c r="CC493" s="10">
        <v>116</v>
      </c>
      <c r="CD493" s="10">
        <v>19.8</v>
      </c>
      <c r="CE493" s="10">
        <v>1334</v>
      </c>
      <c r="CF493" s="10">
        <v>1.42</v>
      </c>
      <c r="CG493" s="10">
        <v>1897</v>
      </c>
      <c r="CH493" s="10">
        <v>243</v>
      </c>
      <c r="CI493" s="10">
        <v>77</v>
      </c>
      <c r="CJ493" s="10">
        <v>59</v>
      </c>
      <c r="CK493" s="10">
        <v>324</v>
      </c>
      <c r="CL493" s="10">
        <v>11</v>
      </c>
      <c r="CM493" s="10">
        <v>140</v>
      </c>
      <c r="CN493" s="10">
        <v>0.18099999999999999</v>
      </c>
      <c r="CO493" s="10">
        <v>196</v>
      </c>
      <c r="CP493" s="10">
        <v>126</v>
      </c>
      <c r="CQ493" s="10">
        <v>128</v>
      </c>
      <c r="CR493" s="10">
        <v>7</v>
      </c>
      <c r="CS493" s="10">
        <v>12.2</v>
      </c>
      <c r="CT493" s="9" t="s">
        <v>185</v>
      </c>
      <c r="CU493" s="9" t="s">
        <v>198</v>
      </c>
      <c r="CV493" s="10"/>
      <c r="CW493" s="10"/>
      <c r="CX493" t="str">
        <f>INDEX('Data_Price '!AG$2:AG$1266,MATCH(Data!$DN493,'Data_Price '!$AT$2:$AT$1266,0))</f>
        <v>Dynastar M-Tour 99 Ski 2022</v>
      </c>
      <c r="CY493" t="str">
        <f>INDEX('Data_Price '!AH$2:AH$1266,MATCH(Data!$DN493,'Data_Price '!$AT$2:$AT$1266,0))</f>
        <v>Telemark Pyrenees</v>
      </c>
      <c r="CZ493">
        <f>INDEX('Data_Price '!AI$2:AI$1266,MATCH(Data!$DN493,'Data_Price '!$AT$2:$AT$1266,0))</f>
        <v>546.34</v>
      </c>
      <c r="DA493" t="str">
        <f>INDEX('Data_Price '!AJ$2:AJ$1266,MATCH(Data!$DN493,'Data_Price '!$AT$2:$AT$1266,0))</f>
        <v>https://tinyurl.com/yabxu3ae</v>
      </c>
      <c r="DB493" t="str">
        <f>INDEX('Data_Price '!AK$2:AK$1266,MATCH(Data!$DN493,'Data_Price '!$AT$2:$AT$1266,0))</f>
        <v>Dynastar M-Tour 99 Ski 2022</v>
      </c>
      <c r="DC493" t="str">
        <f>INDEX('Data_Price '!AL$2:AL$1266,MATCH(Data!$DN493,'Data_Price '!$AT$2:$AT$1266,0))</f>
        <v>evo.com</v>
      </c>
      <c r="DD493">
        <f>INDEX('Data_Price '!AM$2:AM$1266,MATCH(Data!$DN493,'Data_Price '!$AT$2:$AT$1266,0))</f>
        <v>639.96</v>
      </c>
      <c r="DE493" t="str">
        <f>INDEX('Data_Price '!AN$2:AN$1266,MATCH(Data!$DN493,'Data_Price '!$AT$2:$AT$1266,0))</f>
        <v>https://tinyurl.com/y9kxmf39</v>
      </c>
      <c r="DF493" t="str">
        <f>INDEX('Data_Price '!AO$2:AO$1266,MATCH(Data!$DN493,'Data_Price '!$AT$2:$AT$1266,0))</f>
        <v>Dynastar M-Tour 99 178 cm</v>
      </c>
      <c r="DG493" t="str">
        <f>INDEX('Data_Price '!AP$2:AP$1266,MATCH(Data!$DN493,'Data_Price '!$AT$2:$AT$1266,0))</f>
        <v>Level Nine Sports</v>
      </c>
      <c r="DH493">
        <f>INDEX('Data_Price '!AQ$2:AQ$1266,MATCH(Data!$DN493,'Data_Price '!$AT$2:$AT$1266,0))</f>
        <v>639.96</v>
      </c>
      <c r="DI493" t="str">
        <f>INDEX('Data_Price '!AR$2:AR$1266,MATCH(Data!$DN493,'Data_Price '!$AT$2:$AT$1266,0))</f>
        <v>https://tinyurl.com/y7lxl6up</v>
      </c>
      <c r="DJ493" s="89" t="str">
        <f t="shared" si="291"/>
        <v>https://tinyurl.com/yabxu3ae</v>
      </c>
      <c r="DK493" s="89" t="str">
        <f t="shared" si="292"/>
        <v>https://tinyurl.com/y9kxmf39</v>
      </c>
      <c r="DL493" s="89" t="str">
        <f t="shared" si="293"/>
        <v>https://tinyurl.com/y7lxl6up</v>
      </c>
      <c r="DM493" s="219" t="str">
        <f t="shared" si="294"/>
        <v>M-Tour 99</v>
      </c>
      <c r="DN493" s="89" t="str">
        <f t="shared" si="295"/>
        <v xml:space="preserve"> DynastarM-Tour 99178 Unisex</v>
      </c>
      <c r="DO493" s="221" t="s">
        <v>499</v>
      </c>
    </row>
    <row r="494" spans="2:119" ht="15.6" customHeight="1">
      <c r="B494" s="219" t="b">
        <f t="array" ref="B494">IF(OR(ISERROR(K494:P494)),FALSE,TRUE)</f>
        <v>1</v>
      </c>
      <c r="C494" s="43" t="b">
        <f>OR(BR494=Driver!$G$50,Data!BR265=Driver!$H$50)</f>
        <v>1</v>
      </c>
      <c r="D494" s="43" t="b">
        <f>OR(BV494=Driver!$G$51,BV494=Driver!$H$51)</f>
        <v>0</v>
      </c>
      <c r="E494" s="43" t="b">
        <f>AND(BX494&gt;Driver!$F$54,BX494&lt;Driver!$G$54)</f>
        <v>1</v>
      </c>
      <c r="F494" s="43" t="b">
        <f>CL494&gt;Driver!$F$56</f>
        <v>1</v>
      </c>
      <c r="G494" s="43" t="b">
        <f>AND(CB494&gt;Driver!$F$55,CB494&lt;Driver!$G$55)</f>
        <v>0</v>
      </c>
      <c r="H494" s="43" t="b">
        <f t="shared" si="259"/>
        <v>0</v>
      </c>
      <c r="I494" s="43">
        <f t="shared" si="260"/>
        <v>0</v>
      </c>
      <c r="J494" s="43" t="b">
        <f t="array" ref="J494">NOT(OR(($H$9:$H$1273=TRUE)*($I$9:$I$1273&gt;0)*($BT$9:$BT$1273=BT494)*($K$9:$K$1273&gt;K494)))</f>
        <v>1</v>
      </c>
      <c r="K494" s="72">
        <f t="shared" si="261"/>
        <v>0.82028749783128252</v>
      </c>
      <c r="L494" s="72">
        <f t="shared" si="262"/>
        <v>0.8850119177658855</v>
      </c>
      <c r="M494" s="72">
        <f t="shared" si="263"/>
        <v>0.75556307789667954</v>
      </c>
      <c r="N494" s="72">
        <f t="shared" si="264"/>
        <v>0.67336929156990688</v>
      </c>
      <c r="O494" s="72">
        <f t="shared" si="265"/>
        <v>0.61061124682766876</v>
      </c>
      <c r="P494" s="72">
        <f t="shared" si="266"/>
        <v>0.98270869529246296</v>
      </c>
      <c r="Q494" s="72"/>
      <c r="R494" s="72"/>
      <c r="S494" s="72">
        <f t="shared" si="267"/>
        <v>0.42236514653745638</v>
      </c>
      <c r="T494" s="72">
        <f t="shared" si="268"/>
        <v>0.49050948838575226</v>
      </c>
      <c r="U494" s="72">
        <f t="shared" si="269"/>
        <v>0.61470487241337168</v>
      </c>
      <c r="V494" s="72">
        <f t="shared" si="270"/>
        <v>0.5202807746835012</v>
      </c>
      <c r="W494" s="72">
        <f t="shared" si="271"/>
        <v>0.77578155529503712</v>
      </c>
      <c r="X494" s="72">
        <f t="shared" si="272"/>
        <v>0.1149880822341145</v>
      </c>
      <c r="Y494" s="72">
        <f t="shared" si="273"/>
        <v>0.24443692210332044</v>
      </c>
      <c r="Z494" s="72">
        <f t="shared" si="274"/>
        <v>0.32663070843009312</v>
      </c>
      <c r="AA494" s="72">
        <f t="shared" si="275"/>
        <v>0.38938875317233118</v>
      </c>
      <c r="AB494" s="72">
        <f t="shared" si="276"/>
        <v>1.7291304707537009E-2</v>
      </c>
      <c r="AC494" s="72"/>
      <c r="AD494" s="72"/>
      <c r="AE494" s="72">
        <f t="shared" si="277"/>
        <v>0.57763485346254362</v>
      </c>
      <c r="AF494" s="72">
        <f t="shared" si="278"/>
        <v>0.50949051161424774</v>
      </c>
      <c r="AG494" s="72">
        <f t="shared" si="279"/>
        <v>0.38529512758662832</v>
      </c>
      <c r="AH494" s="72">
        <f t="shared" si="280"/>
        <v>0.4797192253164988</v>
      </c>
      <c r="AI494" s="72">
        <f t="shared" si="281"/>
        <v>0.22421844470496288</v>
      </c>
      <c r="AJ494" s="72">
        <f>(AV494-Driver!$K$179)/(Driver!$L$179-Driver!$K$179)</f>
        <v>0.13923132704858593</v>
      </c>
      <c r="AK494" s="72">
        <f>(AW494-Driver!$K$180)/(Driver!$L$180-Driver!$K$180)</f>
        <v>0.25290082032361921</v>
      </c>
      <c r="AL494" s="72">
        <f>(AX494-Driver!$K$181)/(Driver!$L$181-Driver!$K$181)</f>
        <v>0.42831847214317331</v>
      </c>
      <c r="AM494" s="72">
        <f>(AY494-Driver!$K$182)/(Driver!$L$182-Driver!$K$182)</f>
        <v>5.7996267924715177E-2</v>
      </c>
      <c r="AN494" s="72">
        <f>(AZ494-Driver!$K$183)/(Driver!$L$183-Driver!$K$183)</f>
        <v>0.23692810457516342</v>
      </c>
      <c r="AO494" s="72"/>
      <c r="AP494" s="72"/>
      <c r="AQ494" s="72">
        <f>(BC494-Driver!$K$188)/(Driver!$L$188-Driver!$K$188)</f>
        <v>4.2365146537456363E-2</v>
      </c>
      <c r="AR494" s="72">
        <f>MIN((BD494-Driver!$K$189)/(Driver!$L$189-Driver!$K$189),100%)</f>
        <v>4.0509488385752322E-2</v>
      </c>
      <c r="AS494" s="72">
        <f>(BE494-Driver!$K$190)/(Driver!$L$190-Driver!$K$190)</f>
        <v>0.89529512758662833</v>
      </c>
      <c r="AT494" s="72">
        <f>(BF494-Driver!$K$191)/(Driver!$L$191-Driver!$K$191)</f>
        <v>3.0280774683501221E-2</v>
      </c>
      <c r="AU494" s="72">
        <f>(BG494-Driver!$K$192)/(Driver!$L$192-Driver!$K$192)</f>
        <v>2.5781555295037121E-2</v>
      </c>
      <c r="AV494" s="70">
        <f t="shared" si="282"/>
        <v>2.9304029304029307</v>
      </c>
      <c r="AW494" s="70">
        <f t="shared" si="283"/>
        <v>26.519318491229118</v>
      </c>
      <c r="AX494" s="70">
        <f t="shared" si="284"/>
        <v>4.8548662492885599</v>
      </c>
      <c r="AY494" s="70">
        <f>IFERROR(Driver!$K$19/Data!BH494/Data!BI494*Data!BK494*Data!BL494,"")</f>
        <v>7.1004736356044845E-2</v>
      </c>
      <c r="AZ494" s="70">
        <f t="shared" si="285"/>
        <v>21.593447505584514</v>
      </c>
      <c r="BA494" s="70"/>
      <c r="BB494" s="70"/>
      <c r="BC494" s="70">
        <f t="shared" si="286"/>
        <v>21.975096026699212</v>
      </c>
      <c r="BD494" s="70">
        <f t="shared" si="287"/>
        <v>5.3058408276707487</v>
      </c>
      <c r="BE494" s="70">
        <f t="shared" si="288"/>
        <v>0.8953138057573633</v>
      </c>
      <c r="BF494" s="70">
        <f t="shared" si="289"/>
        <v>3.420000766019379</v>
      </c>
      <c r="BG494" s="70">
        <f t="shared" si="290"/>
        <v>9.7625415201250482E-2</v>
      </c>
      <c r="BH494" s="67">
        <f>MAX((CE494-Driver!$F$200)/(Driver!$G$200-Driver!$F$200)*$BI$1,1)</f>
        <v>4.8548662492885599</v>
      </c>
      <c r="BI494" s="67">
        <f>MAX($BI$1*(BY494-Driver!$F$201)/(Driver!$G$201-Driver!$F$201),1)</f>
        <v>7.3417721518987342</v>
      </c>
      <c r="BJ494" s="67">
        <f>(CB494-Driver!$F$206)/(Driver!$G$206-Driver!$F$206)*$BI$1</f>
        <v>5.0793650793650791</v>
      </c>
      <c r="BK494" s="67">
        <f>(CD494-Driver!$F$203)/(Driver!$G$203-Driver!$F$203)*$BI$1</f>
        <v>2.2935779816513766</v>
      </c>
      <c r="BL494" s="67">
        <f>MAX((CR494-Driver!$F$202)/(Driver!$G$202-Driver!$F$202)*$BI$1,1)</f>
        <v>5.5172413793103452</v>
      </c>
      <c r="BM494" s="67">
        <f>MAX((CH494-Driver!$F$204)/(Driver!$G$204-Driver!$F$204)*$BI$1,1)</f>
        <v>2.3076923076923079</v>
      </c>
      <c r="BN494" s="67">
        <f>(CI494-Driver!$F$205)/(Driver!$G$205-Driver!$F$205)*$BI$1</f>
        <v>2.9411764705882355</v>
      </c>
      <c r="BO494" s="67">
        <f>(CK494-Driver!$F$207)/(Driver!$G$207-Driver!$F$207)*$BI$1</f>
        <v>1.2409513960703205</v>
      </c>
      <c r="BP494" s="67">
        <f>(CM494-Driver!$F$208)/(Driver!$G$208-Driver!$F$208)*$BI$1</f>
        <v>1.2444444444444445</v>
      </c>
      <c r="BQ494" s="67">
        <f>(CL494-Driver!$F$209)/(Driver!$G$209-Driver!$F$209)*$BI$1</f>
        <v>1.09375</v>
      </c>
      <c r="BR494" s="28" t="s">
        <v>155</v>
      </c>
      <c r="BS494" s="8" t="s">
        <v>317</v>
      </c>
      <c r="BT494" s="9" t="s">
        <v>456</v>
      </c>
      <c r="BU494" s="10">
        <v>159</v>
      </c>
      <c r="BV494" s="9" t="s">
        <v>163</v>
      </c>
      <c r="BW494" s="10">
        <v>159</v>
      </c>
      <c r="BX494" s="10">
        <v>157.69999999999999</v>
      </c>
      <c r="BY494" s="10">
        <v>124</v>
      </c>
      <c r="BZ494" s="10">
        <v>134</v>
      </c>
      <c r="CA494" s="10">
        <v>135</v>
      </c>
      <c r="CB494" s="10">
        <v>96</v>
      </c>
      <c r="CC494" s="10">
        <v>117</v>
      </c>
      <c r="CD494" s="10">
        <v>14.4</v>
      </c>
      <c r="CE494" s="10">
        <v>1753</v>
      </c>
      <c r="CF494" s="10">
        <v>0.97</v>
      </c>
      <c r="CG494" s="10">
        <v>1700</v>
      </c>
      <c r="CH494" s="10">
        <v>155</v>
      </c>
      <c r="CI494" s="10">
        <v>83</v>
      </c>
      <c r="CJ494" s="10">
        <v>59</v>
      </c>
      <c r="CK494" s="10">
        <v>230</v>
      </c>
      <c r="CL494" s="10">
        <v>7</v>
      </c>
      <c r="CM494" s="10">
        <v>112</v>
      </c>
      <c r="CN494" s="10">
        <v>0.126</v>
      </c>
      <c r="CO494" s="10">
        <v>130</v>
      </c>
      <c r="CP494" s="10">
        <v>109</v>
      </c>
      <c r="CQ494" s="10">
        <v>99</v>
      </c>
      <c r="CR494" s="10">
        <v>5</v>
      </c>
      <c r="CS494" s="10">
        <v>11.3</v>
      </c>
      <c r="CT494" s="9" t="s">
        <v>188</v>
      </c>
      <c r="CU494" s="10"/>
      <c r="CV494" s="10"/>
      <c r="CW494" s="10"/>
      <c r="CX494" t="str">
        <f>INDEX('Data_Price '!AG$2:AG$1266,MATCH(Data!$DN494,'Data_Price '!$AT$2:$AT$1266,0))</f>
        <v>Blizzard Black Pearl 97 21/22</v>
      </c>
      <c r="CY494" t="str">
        <f>INDEX('Data_Price '!AH$2:AH$1266,MATCH(Data!$DN494,'Data_Price '!$AT$2:$AT$1266,0))</f>
        <v>Snowcountry.eu</v>
      </c>
      <c r="CZ494">
        <f>INDEX('Data_Price '!AI$2:AI$1266,MATCH(Data!$DN494,'Data_Price '!$AT$2:$AT$1266,0))</f>
        <v>387.23</v>
      </c>
      <c r="DA494" t="str">
        <f>INDEX('Data_Price '!AJ$2:AJ$1266,MATCH(Data!$DN494,'Data_Price '!$AT$2:$AT$1266,0))</f>
        <v>https://tinyurl.com/y88n7p25</v>
      </c>
      <c r="DB494" t="str">
        <f>INDEX('Data_Price '!AK$2:AK$1266,MATCH(Data!$DN494,'Data_Price '!$AT$2:$AT$1266,0))</f>
        <v>2022 Blizzard Black Pearl 97 + Marker Demo Bindings -  159</v>
      </c>
      <c r="DC494" t="str">
        <f>INDEX('Data_Price '!AL$2:AL$1266,MATCH(Data!$DN494,'Data_Price '!$AT$2:$AT$1266,0))</f>
        <v>Ski Town All-Stars</v>
      </c>
      <c r="DD494">
        <f>INDEX('Data_Price '!AM$2:AM$1266,MATCH(Data!$DN494,'Data_Price '!$AT$2:$AT$1266,0))</f>
        <v>599.99</v>
      </c>
      <c r="DE494" t="str">
        <f>INDEX('Data_Price '!AN$2:AN$1266,MATCH(Data!$DN494,'Data_Price '!$AT$2:$AT$1266,0))</f>
        <v>https://tinyurl.com/y97e3nly</v>
      </c>
      <c r="DF494" t="str">
        <f>INDEX('Data_Price '!AO$2:AO$1266,MATCH(Data!$DN494,'Data_Price '!$AT$2:$AT$1266,0))</f>
        <v>2022 Blizzard Black Pearl 97 ladies snow skis 159</v>
      </c>
      <c r="DG494" t="str">
        <f>INDEX('Data_Price '!AP$2:AP$1266,MATCH(Data!$DN494,'Data_Price '!$AT$2:$AT$1266,0))</f>
        <v>The Pro Shop</v>
      </c>
      <c r="DH494">
        <f>INDEX('Data_Price '!AQ$2:AQ$1266,MATCH(Data!$DN494,'Data_Price '!$AT$2:$AT$1266,0))</f>
        <v>699.95</v>
      </c>
      <c r="DI494" t="str">
        <f>INDEX('Data_Price '!AR$2:AR$1266,MATCH(Data!$DN494,'Data_Price '!$AT$2:$AT$1266,0))</f>
        <v>https://tinyurl.com/y7cz7tv6</v>
      </c>
      <c r="DJ494" s="89" t="str">
        <f t="shared" si="291"/>
        <v>https://tinyurl.com/y88n7p25</v>
      </c>
      <c r="DK494" s="89" t="str">
        <f t="shared" si="292"/>
        <v>https://tinyurl.com/y97e3nly</v>
      </c>
      <c r="DL494" s="89" t="str">
        <f t="shared" si="293"/>
        <v>https://tinyurl.com/y7cz7tv6</v>
      </c>
      <c r="DM494" s="219" t="str">
        <f t="shared" si="294"/>
        <v>Black Pearl 97</v>
      </c>
      <c r="DN494" s="89" t="str">
        <f t="shared" si="295"/>
        <v xml:space="preserve"> BlizzardBlack Pearl 97159 Women's</v>
      </c>
      <c r="DO494" s="221" t="s">
        <v>457</v>
      </c>
    </row>
    <row r="495" spans="2:119" ht="15.6" customHeight="1">
      <c r="B495" s="219" t="b">
        <f t="array" ref="B495">IF(OR(ISERROR(K495:P495)),FALSE,TRUE)</f>
        <v>1</v>
      </c>
      <c r="C495" s="43" t="b">
        <f>OR(BR495=Driver!$G$50,Data!BR242=Driver!$H$50)</f>
        <v>1</v>
      </c>
      <c r="D495" s="43" t="b">
        <f>OR(BV495=Driver!$G$51,BV495=Driver!$H$51)</f>
        <v>1</v>
      </c>
      <c r="E495" s="43" t="b">
        <f>AND(BX495&gt;Driver!$F$54,BX495&lt;Driver!$G$54)</f>
        <v>0</v>
      </c>
      <c r="F495" s="43" t="b">
        <f>CL495&gt;Driver!$F$56</f>
        <v>1</v>
      </c>
      <c r="G495" s="43" t="b">
        <f>AND(CB495&gt;Driver!$F$55,CB495&lt;Driver!$G$55)</f>
        <v>0</v>
      </c>
      <c r="H495" s="43" t="b">
        <f t="shared" si="259"/>
        <v>0</v>
      </c>
      <c r="I495" s="43">
        <f t="shared" si="260"/>
        <v>0</v>
      </c>
      <c r="J495" s="43" t="b">
        <f t="array" ref="J495">NOT(OR(($H$9:$H$1273=TRUE)*($I$9:$I$1273&gt;0)*($BT$9:$BT$1273=BT495)*($K$9:$K$1273&gt;K495)))</f>
        <v>1</v>
      </c>
      <c r="K495" s="72">
        <f t="shared" si="261"/>
        <v>0.84062507850283019</v>
      </c>
      <c r="L495" s="72">
        <f t="shared" si="262"/>
        <v>0.89468075992203722</v>
      </c>
      <c r="M495" s="72">
        <f t="shared" si="263"/>
        <v>0.78656939708362306</v>
      </c>
      <c r="N495" s="72">
        <f t="shared" si="264"/>
        <v>0.69360580583032549</v>
      </c>
      <c r="O495" s="72">
        <f t="shared" si="265"/>
        <v>0.68241329797121786</v>
      </c>
      <c r="P495" s="72">
        <f t="shared" si="266"/>
        <v>0.98368908744932571</v>
      </c>
      <c r="Q495" s="72"/>
      <c r="R495" s="72"/>
      <c r="S495" s="72">
        <f t="shared" si="267"/>
        <v>0.47368396853167927</v>
      </c>
      <c r="T495" s="72">
        <f t="shared" si="268"/>
        <v>0.46723787049371579</v>
      </c>
      <c r="U495" s="72">
        <f t="shared" si="269"/>
        <v>0.61313199419879871</v>
      </c>
      <c r="V495" s="72">
        <f t="shared" si="270"/>
        <v>0.53684861207575207</v>
      </c>
      <c r="W495" s="72">
        <f t="shared" si="271"/>
        <v>0.79070147270512681</v>
      </c>
      <c r="X495" s="72">
        <f t="shared" si="272"/>
        <v>0.10531924007796273</v>
      </c>
      <c r="Y495" s="72">
        <f t="shared" si="273"/>
        <v>0.21343060291637697</v>
      </c>
      <c r="Z495" s="72">
        <f t="shared" si="274"/>
        <v>0.30639419416967451</v>
      </c>
      <c r="AA495" s="72">
        <f t="shared" si="275"/>
        <v>0.31758670202878214</v>
      </c>
      <c r="AB495" s="72">
        <f t="shared" si="276"/>
        <v>1.6310912550674267E-2</v>
      </c>
      <c r="AC495" s="72"/>
      <c r="AD495" s="72"/>
      <c r="AE495" s="72">
        <f t="shared" si="277"/>
        <v>0.52631603146832073</v>
      </c>
      <c r="AF495" s="72">
        <f t="shared" si="278"/>
        <v>0.53276212950628421</v>
      </c>
      <c r="AG495" s="72">
        <f t="shared" si="279"/>
        <v>0.38686800580120123</v>
      </c>
      <c r="AH495" s="72">
        <f t="shared" si="280"/>
        <v>0.46315138792424787</v>
      </c>
      <c r="AI495" s="72">
        <f t="shared" si="281"/>
        <v>0.20929852729487322</v>
      </c>
      <c r="AJ495" s="72">
        <f>(AV495-Driver!$K$179)/(Driver!$L$179-Driver!$K$179)</f>
        <v>0.1489001692047377</v>
      </c>
      <c r="AK495" s="72">
        <f>(AW495-Driver!$K$180)/(Driver!$L$180-Driver!$K$180)</f>
        <v>0.2528508577295579</v>
      </c>
      <c r="AL495" s="72">
        <f>(AX495-Driver!$K$181)/(Driver!$L$181-Driver!$K$181)</f>
        <v>0.4080819578827547</v>
      </c>
      <c r="AM495" s="72">
        <f>(AY495-Driver!$K$182)/(Driver!$L$182-Driver!$K$182)</f>
        <v>0.12979831906826422</v>
      </c>
      <c r="AN495" s="72">
        <f>(AZ495-Driver!$K$183)/(Driver!$L$183-Driver!$K$183)</f>
        <v>0.23790849673202616</v>
      </c>
      <c r="AO495" s="72"/>
      <c r="AP495" s="72"/>
      <c r="AQ495" s="72">
        <f>(BC495-Driver!$K$188)/(Driver!$L$188-Driver!$K$188)</f>
        <v>9.3683968531679304E-2</v>
      </c>
      <c r="AR495" s="72">
        <f>MIN((BD495-Driver!$K$189)/(Driver!$L$189-Driver!$K$189),100%)</f>
        <v>1.7237870493715834E-2</v>
      </c>
      <c r="AS495" s="72">
        <f>(BE495-Driver!$K$190)/(Driver!$L$190-Driver!$K$190)</f>
        <v>0.12313199419879876</v>
      </c>
      <c r="AT495" s="72">
        <f>(BF495-Driver!$K$191)/(Driver!$L$191-Driver!$K$191)</f>
        <v>4.6848612075752159E-2</v>
      </c>
      <c r="AU495" s="72">
        <f>(BG495-Driver!$K$192)/(Driver!$L$192-Driver!$K$192)</f>
        <v>4.0701472705126786E-2</v>
      </c>
      <c r="AV495" s="70">
        <f t="shared" si="282"/>
        <v>3.1339031339031336</v>
      </c>
      <c r="AW495" s="70">
        <f t="shared" si="283"/>
        <v>26.514449193724218</v>
      </c>
      <c r="AX495" s="70">
        <f t="shared" si="284"/>
        <v>4.6727376209447922</v>
      </c>
      <c r="AY495" s="70">
        <f>IFERROR(Driver!$K$19/Data!BH495/Data!BI495*Data!BK495*Data!BL495,"")</f>
        <v>0.15891187062008097</v>
      </c>
      <c r="AZ495" s="70">
        <f t="shared" si="285"/>
        <v>21.682799702159347</v>
      </c>
      <c r="BA495" s="70"/>
      <c r="BB495" s="70"/>
      <c r="BC495" s="70">
        <f t="shared" si="286"/>
        <v>48.59452575776519</v>
      </c>
      <c r="BD495" s="70">
        <f t="shared" si="287"/>
        <v>3.2463438790924291</v>
      </c>
      <c r="BE495" s="70">
        <f t="shared" si="288"/>
        <v>0.1232884175814639</v>
      </c>
      <c r="BF495" s="70">
        <f t="shared" si="289"/>
        <v>5.291221603828907</v>
      </c>
      <c r="BG495" s="70">
        <f t="shared" si="290"/>
        <v>0.15412174039419776</v>
      </c>
      <c r="BH495" s="67">
        <f>MAX((CE495-Driver!$F$200)/(Driver!$G$200-Driver!$F$200)*$BI$1,1)</f>
        <v>4.6727376209447922</v>
      </c>
      <c r="BI495" s="67">
        <f>MAX($BI$1*(BY495-Driver!$F$201)/(Driver!$G$201-Driver!$F$201),1)</f>
        <v>6.5822784810126587</v>
      </c>
      <c r="BJ495" s="67">
        <f>(CB495-Driver!$F$206)/(Driver!$G$206-Driver!$F$206)*$BI$1</f>
        <v>4.4444444444444446</v>
      </c>
      <c r="BK495" s="67">
        <f>(CD495-Driver!$F$203)/(Driver!$G$203-Driver!$F$203)*$BI$1</f>
        <v>4.7247706422018352</v>
      </c>
      <c r="BL495" s="67">
        <f>MAX((CR495-Driver!$F$202)/(Driver!$G$202-Driver!$F$202)*$BI$1,1)</f>
        <v>5.1724137931034484</v>
      </c>
      <c r="BM495" s="67">
        <f>MAX((CH495-Driver!$F$204)/(Driver!$G$204-Driver!$F$204)*$BI$1,1)</f>
        <v>2.8205128205128203</v>
      </c>
      <c r="BN495" s="67">
        <f>(CI495-Driver!$F$205)/(Driver!$G$205-Driver!$F$205)*$BI$1</f>
        <v>3.2941176470588234</v>
      </c>
      <c r="BO495" s="67">
        <f>(CK495-Driver!$F$207)/(Driver!$G$207-Driver!$F$207)*$BI$1</f>
        <v>2.0579110651499484</v>
      </c>
      <c r="BP495" s="67">
        <f>(CM495-Driver!$F$208)/(Driver!$G$208-Driver!$F$208)*$BI$1</f>
        <v>2.7333333333333334</v>
      </c>
      <c r="BQ495" s="67">
        <f>(CL495-Driver!$F$209)/(Driver!$G$209-Driver!$F$209)*$BI$1</f>
        <v>2.03125</v>
      </c>
      <c r="BR495" s="28" t="s">
        <v>155</v>
      </c>
      <c r="BS495" s="8" t="s">
        <v>237</v>
      </c>
      <c r="BT495" s="9" t="s">
        <v>363</v>
      </c>
      <c r="BU495" s="10">
        <v>168.2</v>
      </c>
      <c r="BV495" s="9" t="s">
        <v>158</v>
      </c>
      <c r="BW495" s="10">
        <v>168.2</v>
      </c>
      <c r="BX495" s="10">
        <v>167.8</v>
      </c>
      <c r="BY495" s="10">
        <v>112</v>
      </c>
      <c r="BZ495" s="10">
        <v>149</v>
      </c>
      <c r="CA495" s="10">
        <v>128</v>
      </c>
      <c r="CB495" s="10">
        <v>92</v>
      </c>
      <c r="CC495" s="10">
        <v>111</v>
      </c>
      <c r="CD495" s="10">
        <v>19.7</v>
      </c>
      <c r="CE495" s="10">
        <v>1721</v>
      </c>
      <c r="CF495" s="10">
        <v>1</v>
      </c>
      <c r="CG495" s="10">
        <v>1713</v>
      </c>
      <c r="CH495" s="10">
        <v>167</v>
      </c>
      <c r="CI495" s="10">
        <v>89</v>
      </c>
      <c r="CJ495" s="10">
        <v>46</v>
      </c>
      <c r="CK495" s="10">
        <v>309</v>
      </c>
      <c r="CL495" s="10">
        <v>13</v>
      </c>
      <c r="CM495" s="10">
        <v>246</v>
      </c>
      <c r="CN495" s="10">
        <v>0.28000000000000003</v>
      </c>
      <c r="CO495" s="10">
        <v>100</v>
      </c>
      <c r="CP495" s="10">
        <v>89</v>
      </c>
      <c r="CQ495" s="10">
        <v>209</v>
      </c>
      <c r="CR495" s="10">
        <v>4</v>
      </c>
      <c r="CS495" s="10">
        <v>7.9</v>
      </c>
      <c r="CT495" s="9" t="s">
        <v>188</v>
      </c>
      <c r="CU495" s="10"/>
      <c r="CV495" s="10"/>
      <c r="CW495" s="10"/>
      <c r="CX495" t="str">
        <f>INDEX('Data_Price '!AG$2:AG$1266,MATCH(Data!$DN495,'Data_Price '!$AT$2:$AT$1266,0))</f>
        <v>Black Crows Serpo Skis 2022</v>
      </c>
      <c r="CY495" t="str">
        <f>INDEX('Data_Price '!AH$2:AH$1266,MATCH(Data!$DN495,'Data_Price '!$AT$2:$AT$1266,0))</f>
        <v>Varuste.net</v>
      </c>
      <c r="CZ495">
        <f>INDEX('Data_Price '!AI$2:AI$1266,MATCH(Data!$DN495,'Data_Price '!$AT$2:$AT$1266,0))</f>
        <v>445.09</v>
      </c>
      <c r="DA495" t="str">
        <f>INDEX('Data_Price '!AJ$2:AJ$1266,MATCH(Data!$DN495,'Data_Price '!$AT$2:$AT$1266,0))</f>
        <v>https://tinyurl.com/yabgra4w</v>
      </c>
      <c r="DB495" t="str">
        <f>INDEX('Data_Price '!AK$2:AK$1266,MATCH(Data!$DN495,'Data_Price '!$AT$2:$AT$1266,0))</f>
        <v>Black Crows Serpo Skis 2022</v>
      </c>
      <c r="DC495" t="str">
        <f>INDEX('Data_Price '!AL$2:AL$1266,MATCH(Data!$DN495,'Data_Price '!$AT$2:$AT$1266,0))</f>
        <v>Powder7 Ski Shop</v>
      </c>
      <c r="DD495">
        <f>INDEX('Data_Price '!AM$2:AM$1266,MATCH(Data!$DN495,'Data_Price '!$AT$2:$AT$1266,0))</f>
        <v>671.93</v>
      </c>
      <c r="DE495" t="str">
        <f>INDEX('Data_Price '!AN$2:AN$1266,MATCH(Data!$DN495,'Data_Price '!$AT$2:$AT$1266,0))</f>
        <v>https://tinyurl.com/y76p8dul</v>
      </c>
      <c r="DF495" t="str">
        <f>INDEX('Data_Price '!AO$2:AO$1266,MATCH(Data!$DN495,'Data_Price '!$AT$2:$AT$1266,0))</f>
        <v>Black Crows Serpo Skis 2022</v>
      </c>
      <c r="DG495" t="str">
        <f>INDEX('Data_Price '!AP$2:AP$1266,MATCH(Data!$DN495,'Data_Price '!$AT$2:$AT$1266,0))</f>
        <v>SkiEssentials.com</v>
      </c>
      <c r="DH495">
        <f>INDEX('Data_Price '!AQ$2:AQ$1266,MATCH(Data!$DN495,'Data_Price '!$AT$2:$AT$1266,0))</f>
        <v>671.96</v>
      </c>
      <c r="DI495" t="str">
        <f>INDEX('Data_Price '!AR$2:AR$1266,MATCH(Data!$DN495,'Data_Price '!$AT$2:$AT$1266,0))</f>
        <v>https://tinyurl.com/y8ublnsl</v>
      </c>
      <c r="DJ495" s="89" t="str">
        <f t="shared" si="291"/>
        <v>https://tinyurl.com/yabgra4w</v>
      </c>
      <c r="DK495" s="89" t="str">
        <f t="shared" si="292"/>
        <v>https://tinyurl.com/y76p8dul</v>
      </c>
      <c r="DL495" s="89" t="str">
        <f t="shared" si="293"/>
        <v>https://tinyurl.com/y8ublnsl</v>
      </c>
      <c r="DM495" s="219" t="str">
        <f t="shared" si="294"/>
        <v>Serpo</v>
      </c>
      <c r="DN495" s="89" t="str">
        <f t="shared" si="295"/>
        <v xml:space="preserve"> Black CrowsSerpo168.2 Unisex</v>
      </c>
      <c r="DO495" s="221" t="s">
        <v>364</v>
      </c>
    </row>
    <row r="496" spans="2:119" ht="15.6" customHeight="1">
      <c r="B496" s="219" t="b">
        <f t="array" ref="B496">IF(OR(ISERROR(K496:P496)),FALSE,TRUE)</f>
        <v>1</v>
      </c>
      <c r="C496" s="43" t="b">
        <f>OR(BR496=Driver!$G$50,Data!BR1026=Driver!$H$50)</f>
        <v>1</v>
      </c>
      <c r="D496" s="43" t="b">
        <f>OR(BV496=Driver!$G$51,BV496=Driver!$H$51)</f>
        <v>1</v>
      </c>
      <c r="E496" s="43" t="b">
        <f>AND(BX496&gt;Driver!$F$54,BX496&lt;Driver!$G$54)</f>
        <v>0</v>
      </c>
      <c r="F496" s="43" t="b">
        <f>CL496&gt;Driver!$F$56</f>
        <v>1</v>
      </c>
      <c r="G496" s="43" t="b">
        <f>AND(CB496&gt;Driver!$F$55,CB496&lt;Driver!$G$55)</f>
        <v>0</v>
      </c>
      <c r="H496" s="43" t="b">
        <f t="shared" si="259"/>
        <v>0</v>
      </c>
      <c r="I496" s="43">
        <f t="shared" si="260"/>
        <v>0</v>
      </c>
      <c r="J496" s="43" t="b">
        <f t="array" ref="J496">NOT(OR(($H$9:$H$1273=TRUE)*($I$9:$I$1273&gt;0)*($BT$9:$BT$1273=BT496)*($K$9:$K$1273&gt;K496)))</f>
        <v>1</v>
      </c>
      <c r="K496" s="72">
        <f t="shared" si="261"/>
        <v>0.7803659338030341</v>
      </c>
      <c r="L496" s="72">
        <f t="shared" si="262"/>
        <v>0.8240982121821292</v>
      </c>
      <c r="M496" s="72">
        <f t="shared" si="263"/>
        <v>0.73663365542393899</v>
      </c>
      <c r="N496" s="72">
        <f t="shared" si="264"/>
        <v>0.64174973803800273</v>
      </c>
      <c r="O496" s="72">
        <f t="shared" si="265"/>
        <v>0.60919325685961057</v>
      </c>
      <c r="P496" s="72">
        <f t="shared" si="266"/>
        <v>0.95895797137420358</v>
      </c>
      <c r="Q496" s="72"/>
      <c r="R496" s="72"/>
      <c r="S496" s="72">
        <f t="shared" si="267"/>
        <v>0.46959733809902304</v>
      </c>
      <c r="T496" s="72">
        <f t="shared" si="268"/>
        <v>0.87991019377165758</v>
      </c>
      <c r="U496" s="72">
        <f t="shared" si="269"/>
        <v>0.51</v>
      </c>
      <c r="V496" s="72">
        <f t="shared" si="270"/>
        <v>0.49144053350545114</v>
      </c>
      <c r="W496" s="72">
        <f t="shared" si="271"/>
        <v>0.75695828719084535</v>
      </c>
      <c r="X496" s="72">
        <f t="shared" si="272"/>
        <v>0.17590178781787086</v>
      </c>
      <c r="Y496" s="72">
        <f t="shared" si="273"/>
        <v>0.26336634457606101</v>
      </c>
      <c r="Z496" s="72">
        <f t="shared" si="274"/>
        <v>0.35825026196199727</v>
      </c>
      <c r="AA496" s="72">
        <f t="shared" si="275"/>
        <v>0.39080674314038938</v>
      </c>
      <c r="AB496" s="72">
        <f t="shared" si="276"/>
        <v>4.1042028625796367E-2</v>
      </c>
      <c r="AC496" s="72"/>
      <c r="AD496" s="72"/>
      <c r="AE496" s="72">
        <f t="shared" si="277"/>
        <v>0.53040266190097696</v>
      </c>
      <c r="AF496" s="72">
        <f t="shared" si="278"/>
        <v>0.12008980622834242</v>
      </c>
      <c r="AG496" s="72">
        <f t="shared" si="279"/>
        <v>0.49</v>
      </c>
      <c r="AH496" s="72">
        <f t="shared" si="280"/>
        <v>0.50855946649454886</v>
      </c>
      <c r="AI496" s="72">
        <f t="shared" si="281"/>
        <v>0.24304171280915468</v>
      </c>
      <c r="AJ496" s="72">
        <f>(AV496-Driver!$K$179)/(Driver!$L$179-Driver!$K$179)</f>
        <v>7.8317621464829582E-2</v>
      </c>
      <c r="AK496" s="72">
        <f>(AW496-Driver!$K$180)/(Driver!$L$180-Driver!$K$180)</f>
        <v>0.31035373515756071</v>
      </c>
      <c r="AL496" s="72">
        <f>(AX496-Driver!$K$181)/(Driver!$L$181-Driver!$K$181)</f>
        <v>0.45993802567507747</v>
      </c>
      <c r="AM496" s="72">
        <f>(AY496-Driver!$K$182)/(Driver!$L$182-Driver!$K$182)</f>
        <v>5.6578277956656972E-2</v>
      </c>
      <c r="AN496" s="72">
        <f>(AZ496-Driver!$K$183)/(Driver!$L$183-Driver!$K$183)</f>
        <v>0.29526143790849679</v>
      </c>
      <c r="AO496" s="72"/>
      <c r="AP496" s="72"/>
      <c r="AQ496" s="72">
        <f>(BC496-Driver!$K$188)/(Driver!$L$188-Driver!$K$188)</f>
        <v>8.9597338099023066E-2</v>
      </c>
      <c r="AR496" s="72">
        <f>MIN((BD496-Driver!$K$189)/(Driver!$L$189-Driver!$K$189),100%)</f>
        <v>0.67008980622834247</v>
      </c>
      <c r="AS496" s="72">
        <f>(BE496-Driver!$K$190)/(Driver!$L$190-Driver!$K$190)</f>
        <v>1</v>
      </c>
      <c r="AT496" s="72">
        <f>(BF496-Driver!$K$191)/(Driver!$L$191-Driver!$K$191)</f>
        <v>1.4405335054511602E-3</v>
      </c>
      <c r="AU496" s="72">
        <f>(BG496-Driver!$K$192)/(Driver!$L$192-Driver!$K$192)</f>
        <v>6.9582871908453288E-3</v>
      </c>
      <c r="AV496" s="70">
        <f t="shared" si="282"/>
        <v>1.6483516483516483</v>
      </c>
      <c r="AW496" s="70">
        <f t="shared" si="283"/>
        <v>32.118614126410513</v>
      </c>
      <c r="AX496" s="70">
        <f t="shared" si="284"/>
        <v>5.1394422310756971</v>
      </c>
      <c r="AY496" s="70">
        <f>IFERROR(Driver!$K$19/Data!BH496/Data!BI496*Data!BK496*Data!BL496,"")</f>
        <v>6.9268693547769891E-2</v>
      </c>
      <c r="AZ496" s="70">
        <f t="shared" si="285"/>
        <v>26.909903201787049</v>
      </c>
      <c r="BA496" s="70"/>
      <c r="BB496" s="70"/>
      <c r="BC496" s="70">
        <f t="shared" si="286"/>
        <v>46.474762142552535</v>
      </c>
      <c r="BD496" s="70">
        <f t="shared" si="287"/>
        <v>61.022583406427344</v>
      </c>
      <c r="BE496" s="70">
        <f t="shared" si="288"/>
        <v>1</v>
      </c>
      <c r="BF496" s="70">
        <f t="shared" si="289"/>
        <v>0.16269813912006253</v>
      </c>
      <c r="BG496" s="70">
        <f t="shared" si="290"/>
        <v>2.63485142118863E-2</v>
      </c>
      <c r="BH496" s="67">
        <f>MAX((CE496-Driver!$F$200)/(Driver!$G$200-Driver!$F$200)*$BI$1,1)</f>
        <v>5.1394422310756971</v>
      </c>
      <c r="BI496" s="67">
        <f>MAX($BI$1*(BY496-Driver!$F$201)/(Driver!$G$201-Driver!$F$201),1)</f>
        <v>8.7974683544303804</v>
      </c>
      <c r="BJ496" s="67">
        <f>(CB496-Driver!$F$206)/(Driver!$G$206-Driver!$F$206)*$BI$1</f>
        <v>1.4285714285714284</v>
      </c>
      <c r="BK496" s="67">
        <f>(CD496-Driver!$F$203)/(Driver!$G$203-Driver!$F$203)*$BI$1</f>
        <v>2.0642201834862388</v>
      </c>
      <c r="BL496" s="67">
        <f>MAX((CR496-Driver!$F$202)/(Driver!$G$202-Driver!$F$202)*$BI$1,1)</f>
        <v>7.5862068965517242</v>
      </c>
      <c r="BM496" s="67">
        <f>MAX((CH496-Driver!$F$204)/(Driver!$G$204-Driver!$F$204)*$BI$1,1)</f>
        <v>4.6153846153846159</v>
      </c>
      <c r="BN496" s="67">
        <f>(CI496-Driver!$F$205)/(Driver!$G$205-Driver!$F$205)*$BI$1</f>
        <v>3.0588235294117649</v>
      </c>
      <c r="BO496" s="67">
        <f>(CK496-Driver!$F$207)/(Driver!$G$207-Driver!$F$207)*$BI$1</f>
        <v>0.32057911065149947</v>
      </c>
      <c r="BP496" s="67">
        <f>(CM496-Driver!$F$208)/(Driver!$G$208-Driver!$F$208)*$BI$1</f>
        <v>0.73333333333333339</v>
      </c>
      <c r="BQ496" s="67">
        <f>(CL496-Driver!$F$209)/(Driver!$G$209-Driver!$F$209)*$BI$1</f>
        <v>0.625</v>
      </c>
      <c r="BR496" s="28" t="s">
        <v>155</v>
      </c>
      <c r="BS496" s="8" t="s">
        <v>172</v>
      </c>
      <c r="BT496" s="9" t="s">
        <v>621</v>
      </c>
      <c r="BU496" s="10">
        <v>167</v>
      </c>
      <c r="BV496" s="9" t="s">
        <v>158</v>
      </c>
      <c r="BW496" s="10">
        <v>167</v>
      </c>
      <c r="BX496" s="10">
        <v>167.5</v>
      </c>
      <c r="BY496" s="10">
        <v>147</v>
      </c>
      <c r="BZ496" s="10">
        <v>154</v>
      </c>
      <c r="CA496" s="10">
        <v>122</v>
      </c>
      <c r="CB496" s="10">
        <v>73</v>
      </c>
      <c r="CC496" s="10">
        <v>108</v>
      </c>
      <c r="CD496" s="10">
        <v>13.9</v>
      </c>
      <c r="CE496" s="10">
        <v>1803</v>
      </c>
      <c r="CF496" s="10">
        <v>0.83</v>
      </c>
      <c r="CG496" s="10">
        <v>1491</v>
      </c>
      <c r="CH496" s="10">
        <v>209</v>
      </c>
      <c r="CI496" s="10">
        <v>85</v>
      </c>
      <c r="CJ496" s="10">
        <v>39</v>
      </c>
      <c r="CK496" s="10">
        <v>141</v>
      </c>
      <c r="CL496" s="10">
        <v>4</v>
      </c>
      <c r="CM496" s="10">
        <v>66</v>
      </c>
      <c r="CN496" s="10">
        <v>0.111</v>
      </c>
      <c r="CO496" s="10">
        <v>79</v>
      </c>
      <c r="CP496" s="10">
        <v>59</v>
      </c>
      <c r="CQ496" s="10">
        <v>63</v>
      </c>
      <c r="CR496" s="10">
        <v>11</v>
      </c>
      <c r="CS496" s="10">
        <v>10.5</v>
      </c>
      <c r="CT496" s="9" t="s">
        <v>349</v>
      </c>
      <c r="CU496" s="10"/>
      <c r="CV496" s="10"/>
      <c r="CW496" s="10"/>
      <c r="CX496" t="str">
        <f>INDEX('Data_Price '!AG$2:AG$1266,MATCH(Data!$DN496,'Data_Price '!$AT$2:$AT$1266,0))</f>
        <v>Rossignol Hero Elite St Ti + SPX 14 Konect 21/22</v>
      </c>
      <c r="CY496" t="str">
        <f>INDEX('Data_Price '!AH$2:AH$1266,MATCH(Data!$DN496,'Data_Price '!$AT$2:$AT$1266,0))</f>
        <v>Rossignol US</v>
      </c>
      <c r="CZ496">
        <f>INDEX('Data_Price '!AI$2:AI$1266,MATCH(Data!$DN496,'Data_Price '!$AT$2:$AT$1266,0))</f>
        <v>1099.95</v>
      </c>
      <c r="DA496" t="str">
        <f>INDEX('Data_Price '!AJ$2:AJ$1266,MATCH(Data!$DN496,'Data_Price '!$AT$2:$AT$1266,0))</f>
        <v>https://tinyurl.com/ydekfanf</v>
      </c>
      <c r="DB496" t="str">
        <f>INDEX('Data_Price '!AK$2:AK$1266,MATCH(Data!$DN496,'Data_Price '!$AT$2:$AT$1266,0))</f>
        <v>Rossignol Hero Elite St Ti 167cm 13m Radius Spx 12 Binding</v>
      </c>
      <c r="DC496" t="str">
        <f>INDEX('Data_Price '!AL$2:AL$1266,MATCH(Data!$DN496,'Data_Price '!$AT$2:$AT$1266,0))</f>
        <v>eBay</v>
      </c>
      <c r="DD496">
        <f>INDEX('Data_Price '!AM$2:AM$1266,MATCH(Data!$DN496,'Data_Price '!$AT$2:$AT$1266,0))</f>
        <v>575</v>
      </c>
      <c r="DE496" t="str">
        <f>INDEX('Data_Price '!AN$2:AN$1266,MATCH(Data!$DN496,'Data_Price '!$AT$2:$AT$1266,0))</f>
        <v>https://tinyurl.com/y9llkap4</v>
      </c>
      <c r="DF496" t="str">
        <f>INDEX('Data_Price '!AO$2:AO$1266,MATCH(Data!$DN496,'Data_Price '!$AT$2:$AT$1266,0))</f>
        <v>Rossignol Hero Elite MT Ti</v>
      </c>
      <c r="DG496" t="str">
        <f>INDEX('Data_Price '!AP$2:AP$1266,MATCH(Data!$DN496,'Data_Price '!$AT$2:$AT$1266,0))</f>
        <v>Spoke-N-Sport</v>
      </c>
      <c r="DH496">
        <f>INDEX('Data_Price '!AQ$2:AQ$1266,MATCH(Data!$DN496,'Data_Price '!$AT$2:$AT$1266,0))</f>
        <v>629.99</v>
      </c>
      <c r="DI496" t="str">
        <f>INDEX('Data_Price '!AR$2:AR$1266,MATCH(Data!$DN496,'Data_Price '!$AT$2:$AT$1266,0))</f>
        <v>https://tinyurl.com/ybb5lggu</v>
      </c>
      <c r="DJ496" s="89" t="str">
        <f t="shared" si="291"/>
        <v>https://tinyurl.com/ydekfanf</v>
      </c>
      <c r="DK496" s="89" t="str">
        <f t="shared" si="292"/>
        <v>https://tinyurl.com/y9llkap4</v>
      </c>
      <c r="DL496" s="89" t="str">
        <f t="shared" si="293"/>
        <v>https://tinyurl.com/ybb5lggu</v>
      </c>
      <c r="DM496" s="219" t="str">
        <f t="shared" si="294"/>
        <v>Hero Elite Multi Turn Ca</v>
      </c>
      <c r="DN496" s="89" t="str">
        <f t="shared" si="295"/>
        <v xml:space="preserve"> RossignolHero Elite Multi Turn Ca167 Unisex</v>
      </c>
      <c r="DO496" s="221"/>
    </row>
    <row r="497" spans="2:119" ht="15.6" customHeight="1">
      <c r="B497" s="219" t="b">
        <f t="array" ref="B497">IF(OR(ISERROR(K497:P497)),FALSE,TRUE)</f>
        <v>1</v>
      </c>
      <c r="C497" s="43" t="b">
        <f>OR(BR497=Driver!$G$50,Data!BR821=Driver!$H$50)</f>
        <v>1</v>
      </c>
      <c r="D497" s="43" t="b">
        <f>OR(BV497=Driver!$G$51,BV497=Driver!$H$51)</f>
        <v>1</v>
      </c>
      <c r="E497" s="43" t="b">
        <f>AND(BX497&gt;Driver!$F$54,BX497&lt;Driver!$G$54)</f>
        <v>0</v>
      </c>
      <c r="F497" s="43" t="b">
        <f>CL497&gt;Driver!$F$56</f>
        <v>1</v>
      </c>
      <c r="G497" s="43" t="b">
        <f>AND(CB497&gt;Driver!$F$55,CB497&lt;Driver!$G$55)</f>
        <v>0</v>
      </c>
      <c r="H497" s="43" t="b">
        <f t="shared" si="259"/>
        <v>0</v>
      </c>
      <c r="I497" s="43">
        <f t="shared" si="260"/>
        <v>0</v>
      </c>
      <c r="J497" s="43" t="b">
        <f t="array" ref="J497">NOT(OR(($H$9:$H$1273=TRUE)*($I$9:$I$1273&gt;0)*($BT$9:$BT$1273=BT497)*($K$9:$K$1273&gt;K497)))</f>
        <v>1</v>
      </c>
      <c r="K497" s="72">
        <f t="shared" si="261"/>
        <v>0.78922766393438715</v>
      </c>
      <c r="L497" s="72">
        <f t="shared" si="262"/>
        <v>0.87630995982534887</v>
      </c>
      <c r="M497" s="72">
        <f t="shared" si="263"/>
        <v>0.70214536804342553</v>
      </c>
      <c r="N497" s="72">
        <f t="shared" si="264"/>
        <v>0.62277800591886034</v>
      </c>
      <c r="O497" s="72">
        <f t="shared" si="265"/>
        <v>0.59197953860191843</v>
      </c>
      <c r="P497" s="72">
        <f t="shared" si="266"/>
        <v>0.89167855960949782</v>
      </c>
      <c r="Q497" s="72"/>
      <c r="R497" s="72"/>
      <c r="S497" s="72">
        <f t="shared" si="267"/>
        <v>0.42284926895427521</v>
      </c>
      <c r="T497" s="72">
        <f t="shared" si="268"/>
        <v>0.56717425754148065</v>
      </c>
      <c r="U497" s="72">
        <f t="shared" si="269"/>
        <v>0.70921981983486071</v>
      </c>
      <c r="V497" s="72">
        <f t="shared" si="270"/>
        <v>0.53801998374338889</v>
      </c>
      <c r="W497" s="72">
        <f t="shared" si="271"/>
        <v>0.83754912468738829</v>
      </c>
      <c r="X497" s="72">
        <f t="shared" si="272"/>
        <v>0.1236900401746511</v>
      </c>
      <c r="Y497" s="72">
        <f t="shared" si="273"/>
        <v>0.29785463195657447</v>
      </c>
      <c r="Z497" s="72">
        <f t="shared" si="274"/>
        <v>0.37722199408113966</v>
      </c>
      <c r="AA497" s="72">
        <f t="shared" si="275"/>
        <v>0.40802046139808151</v>
      </c>
      <c r="AB497" s="72">
        <f t="shared" si="276"/>
        <v>0.10832144039050223</v>
      </c>
      <c r="AC497" s="72"/>
      <c r="AD497" s="72"/>
      <c r="AE497" s="72">
        <f t="shared" si="277"/>
        <v>0.57715073104572479</v>
      </c>
      <c r="AF497" s="72">
        <f t="shared" si="278"/>
        <v>0.43282574245851935</v>
      </c>
      <c r="AG497" s="72">
        <f t="shared" si="279"/>
        <v>0.29078018016513929</v>
      </c>
      <c r="AH497" s="72">
        <f t="shared" si="280"/>
        <v>0.46198001625661111</v>
      </c>
      <c r="AI497" s="72">
        <f t="shared" si="281"/>
        <v>0.16245087531261165</v>
      </c>
      <c r="AJ497" s="72">
        <f>(AV497-Driver!$K$179)/(Driver!$L$179-Driver!$K$179)</f>
        <v>0.13052936910804933</v>
      </c>
      <c r="AK497" s="72">
        <f>(AW497-Driver!$K$180)/(Driver!$L$180-Driver!$K$180)</f>
        <v>0.374806215862723</v>
      </c>
      <c r="AL497" s="72">
        <f>(AX497-Driver!$K$181)/(Driver!$L$181-Driver!$K$181)</f>
        <v>0.47890975779421985</v>
      </c>
      <c r="AM497" s="72">
        <f>(AY497-Driver!$K$182)/(Driver!$L$182-Driver!$K$182)</f>
        <v>3.9364559698964838E-2</v>
      </c>
      <c r="AN497" s="72">
        <f>(AZ497-Driver!$K$183)/(Driver!$L$183-Driver!$K$183)</f>
        <v>0.36254084967320266</v>
      </c>
      <c r="AO497" s="72"/>
      <c r="AP497" s="72"/>
      <c r="AQ497" s="72">
        <f>(BC497-Driver!$K$188)/(Driver!$L$188-Driver!$K$188)</f>
        <v>4.284926895427521E-2</v>
      </c>
      <c r="AR497" s="72">
        <f>MIN((BD497-Driver!$K$189)/(Driver!$L$189-Driver!$K$189),100%)</f>
        <v>0.11717425754148068</v>
      </c>
      <c r="AS497" s="72">
        <f>(BE497-Driver!$K$190)/(Driver!$L$190-Driver!$K$190)</f>
        <v>0.21921981983486072</v>
      </c>
      <c r="AT497" s="72">
        <f>(BF497-Driver!$K$191)/(Driver!$L$191-Driver!$K$191)</f>
        <v>4.8019983743388915E-2</v>
      </c>
      <c r="AU497" s="72">
        <f>(BG497-Driver!$K$192)/(Driver!$L$192-Driver!$K$192)</f>
        <v>8.7549124687388347E-2</v>
      </c>
      <c r="AV497" s="70">
        <f t="shared" si="282"/>
        <v>2.7472527472527477</v>
      </c>
      <c r="AW497" s="70">
        <f t="shared" si="283"/>
        <v>38.400079478205441</v>
      </c>
      <c r="AX497" s="70">
        <f t="shared" si="284"/>
        <v>5.3101878201479789</v>
      </c>
      <c r="AY497" s="70">
        <f>IFERROR(Driver!$K$19/Data!BH497/Data!BI497*Data!BK497*Data!BL497,"")</f>
        <v>4.8193966322540971E-2</v>
      </c>
      <c r="AZ497" s="70">
        <f t="shared" si="285"/>
        <v>33.041697691734925</v>
      </c>
      <c r="BA497" s="70"/>
      <c r="BB497" s="70"/>
      <c r="BC497" s="70">
        <f t="shared" si="286"/>
        <v>22.226213689867588</v>
      </c>
      <c r="BD497" s="70">
        <f t="shared" si="287"/>
        <v>12.090537056019954</v>
      </c>
      <c r="BE497" s="70">
        <f t="shared" si="288"/>
        <v>0.2193591022309469</v>
      </c>
      <c r="BF497" s="70">
        <f t="shared" si="289"/>
        <v>5.4235198043367649</v>
      </c>
      <c r="BG497" s="70">
        <f t="shared" si="290"/>
        <v>0.33151683637013218</v>
      </c>
      <c r="BH497" s="67">
        <f>MAX((CE497-Driver!$F$200)/(Driver!$G$200-Driver!$F$200)*$BI$1,1)</f>
        <v>5.3101878201479789</v>
      </c>
      <c r="BI497" s="67">
        <f>MAX($BI$1*(BY497-Driver!$F$201)/(Driver!$G$201-Driver!$F$201),1)</f>
        <v>7.9113924050632916</v>
      </c>
      <c r="BJ497" s="67">
        <f>(CB497-Driver!$F$206)/(Driver!$G$206-Driver!$F$206)*$BI$1</f>
        <v>4.7619047619047619</v>
      </c>
      <c r="BK497" s="67">
        <f>(CD497-Driver!$F$203)/(Driver!$G$203-Driver!$F$203)*$BI$1</f>
        <v>1.4678899082568806</v>
      </c>
      <c r="BL497" s="67">
        <f>MAX((CR497-Driver!$F$202)/(Driver!$G$202-Driver!$F$202)*$BI$1,1)</f>
        <v>6.8965517241379315</v>
      </c>
      <c r="BM497" s="67">
        <f>MAX((CH497-Driver!$F$204)/(Driver!$G$204-Driver!$F$204)*$BI$1,1)</f>
        <v>2.3076923076923079</v>
      </c>
      <c r="BN497" s="67">
        <f>(CI497-Driver!$F$205)/(Driver!$G$205-Driver!$F$205)*$BI$1</f>
        <v>4.1764705882352944</v>
      </c>
      <c r="BO497" s="67">
        <f>(CK497-Driver!$F$207)/(Driver!$G$207-Driver!$F$207)*$BI$1</f>
        <v>1.0031023784901758</v>
      </c>
      <c r="BP497" s="67">
        <f>(CM497-Driver!$F$208)/(Driver!$G$208-Driver!$F$208)*$BI$1</f>
        <v>1.6666666666666665</v>
      </c>
      <c r="BQ497" s="67">
        <f>(CL497-Driver!$F$209)/(Driver!$G$209-Driver!$F$209)*$BI$1</f>
        <v>4.0625</v>
      </c>
      <c r="BR497" s="28" t="s">
        <v>155</v>
      </c>
      <c r="BS497" s="8" t="s">
        <v>208</v>
      </c>
      <c r="BT497" s="9" t="s">
        <v>633</v>
      </c>
      <c r="BU497" s="10">
        <v>169</v>
      </c>
      <c r="BV497" s="9" t="s">
        <v>158</v>
      </c>
      <c r="BW497" s="10">
        <v>169</v>
      </c>
      <c r="BX497" s="10">
        <v>168.2</v>
      </c>
      <c r="BY497" s="10">
        <v>133</v>
      </c>
      <c r="BZ497" s="10">
        <v>153</v>
      </c>
      <c r="CA497" s="10">
        <v>153</v>
      </c>
      <c r="CB497" s="10">
        <v>94</v>
      </c>
      <c r="CC497" s="10">
        <v>123</v>
      </c>
      <c r="CD497" s="10">
        <v>12.6</v>
      </c>
      <c r="CE497" s="10">
        <v>1833</v>
      </c>
      <c r="CF497" s="10">
        <v>1.03</v>
      </c>
      <c r="CG497" s="10">
        <v>1892</v>
      </c>
      <c r="CH497" s="10">
        <v>155</v>
      </c>
      <c r="CI497" s="10">
        <v>104</v>
      </c>
      <c r="CJ497" s="10">
        <v>43</v>
      </c>
      <c r="CK497" s="10">
        <v>207</v>
      </c>
      <c r="CL497" s="10">
        <v>26</v>
      </c>
      <c r="CM497" s="10">
        <v>150</v>
      </c>
      <c r="CN497" s="10">
        <v>0.61399999999999999</v>
      </c>
      <c r="CO497" s="10">
        <v>130</v>
      </c>
      <c r="CP497" s="10">
        <v>23</v>
      </c>
      <c r="CQ497" s="10">
        <v>76</v>
      </c>
      <c r="CR497" s="10">
        <v>9</v>
      </c>
      <c r="CS497" s="10">
        <v>5.6</v>
      </c>
      <c r="CT497" s="9" t="s">
        <v>188</v>
      </c>
      <c r="CU497" s="10"/>
      <c r="CV497" s="10"/>
      <c r="CW497" s="10"/>
      <c r="CX497" t="str">
        <f>INDEX('Data_Price '!AG$2:AG$1266,MATCH(Data!$DN497,'Data_Price '!$AT$2:$AT$1266,0))</f>
        <v>Line Skis Blade</v>
      </c>
      <c r="CY497" t="str">
        <f>INDEX('Data_Price '!AH$2:AH$1266,MATCH(Data!$DN497,'Data_Price '!$AT$2:$AT$1266,0))</f>
        <v>Aistriu</v>
      </c>
      <c r="CZ497">
        <f>INDEX('Data_Price '!AI$2:AI$1266,MATCH(Data!$DN497,'Data_Price '!$AT$2:$AT$1266,0))</f>
        <v>749.95</v>
      </c>
      <c r="DA497" t="str">
        <f>INDEX('Data_Price '!AJ$2:AJ$1266,MATCH(Data!$DN497,'Data_Price '!$AT$2:$AT$1266,0))</f>
        <v>https://tinyurl.com/yb2n86hb</v>
      </c>
      <c r="DB497" t="str">
        <f>INDEX('Data_Price '!AK$2:AK$1266,MATCH(Data!$DN497,'Data_Price '!$AT$2:$AT$1266,0))</f>
        <v>Line Skis Blade</v>
      </c>
      <c r="DC497" t="str">
        <f>INDEX('Data_Price '!AL$2:AL$1266,MATCH(Data!$DN497,'Data_Price '!$AT$2:$AT$1266,0))</f>
        <v>LINE Skis</v>
      </c>
      <c r="DD497">
        <f>INDEX('Data_Price '!AM$2:AM$1266,MATCH(Data!$DN497,'Data_Price '!$AT$2:$AT$1266,0))</f>
        <v>749.95</v>
      </c>
      <c r="DE497" t="str">
        <f>INDEX('Data_Price '!AN$2:AN$1266,MATCH(Data!$DN497,'Data_Price '!$AT$2:$AT$1266,0))</f>
        <v>https://tinyurl.com/ycys9x5n</v>
      </c>
      <c r="DF497" t="str">
        <f>INDEX('Data_Price '!AO$2:AO$1266,MATCH(Data!$DN497,'Data_Price '!$AT$2:$AT$1266,0))</f>
        <v>Line Skis Blade</v>
      </c>
      <c r="DG497" t="str">
        <f>INDEX('Data_Price '!AP$2:AP$1266,MATCH(Data!$DN497,'Data_Price '!$AT$2:$AT$1266,0))</f>
        <v>Geiger's</v>
      </c>
      <c r="DH497">
        <f>INDEX('Data_Price '!AQ$2:AQ$1266,MATCH(Data!$DN497,'Data_Price '!$AT$2:$AT$1266,0))</f>
        <v>900</v>
      </c>
      <c r="DI497" t="str">
        <f>INDEX('Data_Price '!AR$2:AR$1266,MATCH(Data!$DN497,'Data_Price '!$AT$2:$AT$1266,0))</f>
        <v>https://tinyurl.com/yawn77wv</v>
      </c>
      <c r="DJ497" s="89" t="str">
        <f t="shared" si="291"/>
        <v>https://tinyurl.com/yb2n86hb</v>
      </c>
      <c r="DK497" s="89" t="str">
        <f t="shared" si="292"/>
        <v>https://tinyurl.com/ycys9x5n</v>
      </c>
      <c r="DL497" s="89" t="str">
        <f t="shared" si="293"/>
        <v>https://tinyurl.com/yawn77wv</v>
      </c>
      <c r="DM497" s="219" t="str">
        <f t="shared" si="294"/>
        <v>Blade</v>
      </c>
      <c r="DN497" s="89" t="str">
        <f t="shared" si="295"/>
        <v xml:space="preserve"> LineBlade169 Unisex</v>
      </c>
      <c r="DO497" s="221" t="s">
        <v>634</v>
      </c>
    </row>
    <row r="498" spans="2:119" ht="15.6" customHeight="1">
      <c r="B498" s="219" t="b">
        <f t="array" ref="B498">IF(OR(ISERROR(K498:P498)),FALSE,TRUE)</f>
        <v>1</v>
      </c>
      <c r="C498" s="43" t="b">
        <f>OR(BR498=Driver!$G$50,Data!BR453=Driver!$H$50)</f>
        <v>1</v>
      </c>
      <c r="D498" s="43" t="b">
        <f>OR(BV498=Driver!$G$51,BV498=Driver!$H$51)</f>
        <v>1</v>
      </c>
      <c r="E498" s="43" t="b">
        <f>AND(BX498&gt;Driver!$F$54,BX498&lt;Driver!$G$54)</f>
        <v>0</v>
      </c>
      <c r="F498" s="43" t="b">
        <f>CL498&gt;Driver!$F$56</f>
        <v>1</v>
      </c>
      <c r="G498" s="43" t="b">
        <f>AND(CB498&gt;Driver!$F$55,CB498&lt;Driver!$G$55)</f>
        <v>0</v>
      </c>
      <c r="H498" s="43" t="b">
        <f t="shared" si="259"/>
        <v>0</v>
      </c>
      <c r="I498" s="43">
        <f t="shared" si="260"/>
        <v>0</v>
      </c>
      <c r="J498" s="43" t="b">
        <f t="array" ref="J498">NOT(OR(($H$9:$H$1273=TRUE)*($I$9:$I$1273&gt;0)*($BT$9:$BT$1273=BT498)*($K$9:$K$1273&gt;K498)))</f>
        <v>1</v>
      </c>
      <c r="K498" s="72">
        <f t="shared" si="261"/>
        <v>0.85685624033587993</v>
      </c>
      <c r="L498" s="72">
        <f t="shared" si="262"/>
        <v>0.91627450740410965</v>
      </c>
      <c r="M498" s="72">
        <f t="shared" si="263"/>
        <v>0.7974379732676502</v>
      </c>
      <c r="N498" s="72">
        <f t="shared" si="264"/>
        <v>0.78972924856731397</v>
      </c>
      <c r="O498" s="72">
        <f t="shared" si="265"/>
        <v>0.65345440731572269</v>
      </c>
      <c r="P498" s="72">
        <f t="shared" si="266"/>
        <v>0.94913026391991395</v>
      </c>
      <c r="Q498" s="72"/>
      <c r="R498" s="72"/>
      <c r="S498" s="72">
        <f t="shared" si="267"/>
        <v>0.44604917595591476</v>
      </c>
      <c r="T498" s="72">
        <f t="shared" si="268"/>
        <v>0.50293089103510846</v>
      </c>
      <c r="U498" s="72">
        <f t="shared" si="269"/>
        <v>0.9586957269265548</v>
      </c>
      <c r="V498" s="72">
        <f t="shared" si="270"/>
        <v>0.50943241678907725</v>
      </c>
      <c r="W498" s="72">
        <f t="shared" si="271"/>
        <v>0.78858939364398517</v>
      </c>
      <c r="X498" s="72">
        <f t="shared" si="272"/>
        <v>8.3725492595890377E-2</v>
      </c>
      <c r="Y498" s="72">
        <f t="shared" si="273"/>
        <v>0.2025620267323498</v>
      </c>
      <c r="Z498" s="72">
        <f t="shared" si="274"/>
        <v>0.21027075143268598</v>
      </c>
      <c r="AA498" s="72">
        <f t="shared" si="275"/>
        <v>0.34654559268427731</v>
      </c>
      <c r="AB498" s="72">
        <f t="shared" si="276"/>
        <v>5.0869736080086075E-2</v>
      </c>
      <c r="AC498" s="72"/>
      <c r="AD498" s="72"/>
      <c r="AE498" s="72">
        <f t="shared" si="277"/>
        <v>0.55395082404408524</v>
      </c>
      <c r="AF498" s="72">
        <f t="shared" si="278"/>
        <v>0.49706910896489154</v>
      </c>
      <c r="AG498" s="72">
        <f t="shared" si="279"/>
        <v>4.1304273073445141E-2</v>
      </c>
      <c r="AH498" s="72">
        <f t="shared" si="280"/>
        <v>0.49056758321092275</v>
      </c>
      <c r="AI498" s="72">
        <f t="shared" si="281"/>
        <v>0.21141060635601483</v>
      </c>
      <c r="AJ498" s="72">
        <f>(AV498-Driver!$K$179)/(Driver!$L$179-Driver!$K$179)</f>
        <v>0.17049391668681005</v>
      </c>
      <c r="AK498" s="72">
        <f>(AW498-Driver!$K$180)/(Driver!$L$180-Driver!$K$180)</f>
        <v>0.21129249967882588</v>
      </c>
      <c r="AL498" s="72">
        <f>(AX498-Driver!$K$181)/(Driver!$L$181-Driver!$K$181)</f>
        <v>0.31195851514576617</v>
      </c>
      <c r="AM498" s="72">
        <f>(AY498-Driver!$K$182)/(Driver!$L$182-Driver!$K$182)</f>
        <v>0.10083942841276906</v>
      </c>
      <c r="AN498" s="72">
        <f>(AZ498-Driver!$K$183)/(Driver!$L$183-Driver!$K$183)</f>
        <v>0.20334967320261435</v>
      </c>
      <c r="AO498" s="72"/>
      <c r="AP498" s="72"/>
      <c r="AQ498" s="72">
        <f>(BC498-Driver!$K$188)/(Driver!$L$188-Driver!$K$188)</f>
        <v>6.6049175955914738E-2</v>
      </c>
      <c r="AR498" s="72">
        <f>MIN((BD498-Driver!$K$189)/(Driver!$L$189-Driver!$K$189),100%)</f>
        <v>5.2930891035108535E-2</v>
      </c>
      <c r="AS498" s="72">
        <f>(BE498-Driver!$K$190)/(Driver!$L$190-Driver!$K$190)</f>
        <v>0.46869572692655487</v>
      </c>
      <c r="AT498" s="72">
        <f>(BF498-Driver!$K$191)/(Driver!$L$191-Driver!$K$191)</f>
        <v>1.9432416789077239E-2</v>
      </c>
      <c r="AU498" s="72">
        <f>(BG498-Driver!$K$192)/(Driver!$L$192-Driver!$K$192)</f>
        <v>3.8589393643985177E-2</v>
      </c>
      <c r="AV498" s="70">
        <f t="shared" si="282"/>
        <v>3.5883869217202546</v>
      </c>
      <c r="AW498" s="70">
        <f t="shared" si="283"/>
        <v>22.464218957167127</v>
      </c>
      <c r="AX498" s="70">
        <f t="shared" si="284"/>
        <v>3.8076266363118956</v>
      </c>
      <c r="AY498" s="70">
        <f>IFERROR(Driver!$K$19/Data!BH498/Data!BI498*Data!BK498*Data!BL498,"")</f>
        <v>0.1234575479587308</v>
      </c>
      <c r="AZ498" s="70">
        <f t="shared" si="285"/>
        <v>18.533134772896499</v>
      </c>
      <c r="BA498" s="70"/>
      <c r="BB498" s="70"/>
      <c r="BC498" s="70">
        <f t="shared" si="286"/>
        <v>34.260166734754897</v>
      </c>
      <c r="BD498" s="70">
        <f t="shared" si="287"/>
        <v>6.405112952715645</v>
      </c>
      <c r="BE498" s="70">
        <f t="shared" si="288"/>
        <v>0.46879050562878688</v>
      </c>
      <c r="BF498" s="70">
        <f t="shared" si="289"/>
        <v>2.1947549558718116</v>
      </c>
      <c r="BG498" s="70">
        <f t="shared" si="290"/>
        <v>0.14612406170793527</v>
      </c>
      <c r="BH498" s="67">
        <f>MAX((CE498-Driver!$F$200)/(Driver!$G$200-Driver!$F$200)*$BI$1,1)</f>
        <v>3.8076266363118956</v>
      </c>
      <c r="BI498" s="67">
        <f>MAX($BI$1*(BY498-Driver!$F$201)/(Driver!$G$201-Driver!$F$201),1)</f>
        <v>8.2911392405063289</v>
      </c>
      <c r="BJ498" s="67">
        <f>(CB498-Driver!$F$206)/(Driver!$G$206-Driver!$F$206)*$BI$1</f>
        <v>3.6507936507936507</v>
      </c>
      <c r="BK498" s="67">
        <f>(CD498-Driver!$F$203)/(Driver!$G$203-Driver!$F$203)*$BI$1</f>
        <v>3.5321100917431201</v>
      </c>
      <c r="BL498" s="67">
        <f>MAX((CR498-Driver!$F$202)/(Driver!$G$202-Driver!$F$202)*$BI$1,1)</f>
        <v>5.5172413793103452</v>
      </c>
      <c r="BM498" s="67">
        <f>MAX((CH498-Driver!$F$204)/(Driver!$G$204-Driver!$F$204)*$BI$1,1)</f>
        <v>3.9316239316239314</v>
      </c>
      <c r="BN498" s="67">
        <f>(CI498-Driver!$F$205)/(Driver!$G$205-Driver!$F$205)*$BI$1</f>
        <v>2.2352941176470589</v>
      </c>
      <c r="BO498" s="67">
        <f>(CK498-Driver!$F$207)/(Driver!$G$207-Driver!$F$207)*$BI$1</f>
        <v>1.2409513960703205</v>
      </c>
      <c r="BP498" s="67">
        <f>(CM498-Driver!$F$208)/(Driver!$G$208-Driver!$F$208)*$BI$1</f>
        <v>1.711111111111111</v>
      </c>
      <c r="BQ498" s="67">
        <f>(CL498-Driver!$F$209)/(Driver!$G$209-Driver!$F$209)*$BI$1</f>
        <v>2.1875</v>
      </c>
      <c r="BR498" s="28" t="s">
        <v>155</v>
      </c>
      <c r="BS498" s="8" t="s">
        <v>164</v>
      </c>
      <c r="BT498" s="9" t="s">
        <v>635</v>
      </c>
      <c r="BU498" s="10">
        <v>180</v>
      </c>
      <c r="BV498" s="9" t="s">
        <v>158</v>
      </c>
      <c r="BW498" s="10">
        <v>180</v>
      </c>
      <c r="BX498" s="10">
        <v>177</v>
      </c>
      <c r="BY498" s="10">
        <v>139</v>
      </c>
      <c r="BZ498" s="10">
        <v>144</v>
      </c>
      <c r="CA498" s="10">
        <v>129</v>
      </c>
      <c r="CB498" s="10">
        <v>87</v>
      </c>
      <c r="CC498" s="10">
        <v>104</v>
      </c>
      <c r="CD498" s="10">
        <v>17.100000000000001</v>
      </c>
      <c r="CE498" s="10">
        <v>1569</v>
      </c>
      <c r="CF498" s="10">
        <v>1.1299999999999999</v>
      </c>
      <c r="CG498" s="10">
        <v>1777</v>
      </c>
      <c r="CH498" s="10">
        <v>193</v>
      </c>
      <c r="CI498" s="10">
        <v>71</v>
      </c>
      <c r="CJ498" s="10">
        <v>50</v>
      </c>
      <c r="CK498" s="10">
        <v>230</v>
      </c>
      <c r="CL498" s="10">
        <v>14</v>
      </c>
      <c r="CM498" s="10">
        <v>154</v>
      </c>
      <c r="CN498" s="10">
        <v>0.28399999999999997</v>
      </c>
      <c r="CO498" s="10">
        <v>161</v>
      </c>
      <c r="CP498" s="10">
        <v>174</v>
      </c>
      <c r="CQ498" s="10">
        <v>69</v>
      </c>
      <c r="CR498" s="10">
        <v>5</v>
      </c>
      <c r="CS498" s="10">
        <v>9.1</v>
      </c>
      <c r="CT498" s="9" t="s">
        <v>188</v>
      </c>
      <c r="CU498" s="9" t="s">
        <v>185</v>
      </c>
      <c r="CV498" s="10"/>
      <c r="CW498" s="10"/>
      <c r="CX498" t="str">
        <f>INDEX('Data_Price '!AG$2:AG$1266,MATCH(Data!$DN498,'Data_Price '!$AT$2:$AT$1266,0))</f>
        <v>Elan Ripstick 88 20/21</v>
      </c>
      <c r="CY498" t="str">
        <f>INDEX('Data_Price '!AH$2:AH$1266,MATCH(Data!$DN498,'Data_Price '!$AT$2:$AT$1266,0))</f>
        <v>Absolute-Snow.co.uk</v>
      </c>
      <c r="CZ498">
        <f>INDEX('Data_Price '!AI$2:AI$1266,MATCH(Data!$DN498,'Data_Price '!$AT$2:$AT$1266,0))</f>
        <v>512.16</v>
      </c>
      <c r="DA498" t="str">
        <f>INDEX('Data_Price '!AJ$2:AJ$1266,MATCH(Data!$DN498,'Data_Price '!$AT$2:$AT$1266,0))</f>
        <v>https://tinyurl.com/ybse28ye</v>
      </c>
      <c r="DB498" t="str">
        <f>INDEX('Data_Price '!AK$2:AK$1266,MATCH(Data!$DN498,'Data_Price '!$AT$2:$AT$1266,0))</f>
        <v>Elan Ripstick 88 Skis 2022 180</v>
      </c>
      <c r="DC498" t="str">
        <f>INDEX('Data_Price '!AL$2:AL$1266,MATCH(Data!$DN498,'Data_Price '!$AT$2:$AT$1266,0))</f>
        <v>Winteriscalling.com</v>
      </c>
      <c r="DD498">
        <f>INDEX('Data_Price '!AM$2:AM$1266,MATCH(Data!$DN498,'Data_Price '!$AT$2:$AT$1266,0))</f>
        <v>599.99</v>
      </c>
      <c r="DE498" t="str">
        <f>INDEX('Data_Price '!AN$2:AN$1266,MATCH(Data!$DN498,'Data_Price '!$AT$2:$AT$1266,0))</f>
        <v>https://tinyurl.com/y8tffrrl</v>
      </c>
      <c r="DF498" t="str">
        <f>INDEX('Data_Price '!AO$2:AO$1266,MATCH(Data!$DN498,'Data_Price '!$AT$2:$AT$1266,0))</f>
        <v>2021 Elan Ripstick 88 Skis w/Tyrolia Attack2 13 GW Bindings</v>
      </c>
      <c r="DG498" t="str">
        <f>INDEX('Data_Price '!AP$2:AP$1266,MATCH(Data!$DN498,'Data_Price '!$AT$2:$AT$1266,0))</f>
        <v>SkiEssentials.com</v>
      </c>
      <c r="DH498">
        <f>INDEX('Data_Price '!AQ$2:AQ$1266,MATCH(Data!$DN498,'Data_Price '!$AT$2:$AT$1266,0))</f>
        <v>624.99</v>
      </c>
      <c r="DI498" t="str">
        <f>INDEX('Data_Price '!AR$2:AR$1266,MATCH(Data!$DN498,'Data_Price '!$AT$2:$AT$1266,0))</f>
        <v>https://tinyurl.com/yafwg22y</v>
      </c>
      <c r="DJ498" s="89" t="str">
        <f t="shared" si="291"/>
        <v>https://tinyurl.com/ybse28ye</v>
      </c>
      <c r="DK498" s="89" t="str">
        <f t="shared" si="292"/>
        <v>https://tinyurl.com/y8tffrrl</v>
      </c>
      <c r="DL498" s="89" t="str">
        <f t="shared" si="293"/>
        <v>https://tinyurl.com/yafwg22y</v>
      </c>
      <c r="DM498" s="219" t="str">
        <f t="shared" si="294"/>
        <v>Ripstick 88</v>
      </c>
      <c r="DN498" s="89" t="str">
        <f t="shared" si="295"/>
        <v xml:space="preserve"> ElanRipstick 88180 Unisex</v>
      </c>
      <c r="DO498" s="221" t="s">
        <v>636</v>
      </c>
    </row>
    <row r="499" spans="2:119" ht="15.6" customHeight="1">
      <c r="B499" s="219" t="b">
        <f t="array" ref="B499">IF(OR(ISERROR(K499:P499)),FALSE,TRUE)</f>
        <v>1</v>
      </c>
      <c r="C499" s="43" t="b">
        <f>OR(BR499=Driver!$G$50,Data!BR921=Driver!$H$50)</f>
        <v>1</v>
      </c>
      <c r="D499" s="43" t="b">
        <f>OR(BV499=Driver!$G$51,BV499=Driver!$H$51)</f>
        <v>0</v>
      </c>
      <c r="E499" s="43" t="b">
        <f>AND(BX499&gt;Driver!$F$54,BX499&lt;Driver!$G$54)</f>
        <v>0</v>
      </c>
      <c r="F499" s="43" t="b">
        <f>CL499&gt;Driver!$F$56</f>
        <v>1</v>
      </c>
      <c r="G499" s="43" t="b">
        <f>AND(CB499&gt;Driver!$F$55,CB499&lt;Driver!$G$55)</f>
        <v>0</v>
      </c>
      <c r="H499" s="43" t="b">
        <f t="shared" si="259"/>
        <v>0</v>
      </c>
      <c r="I499" s="43">
        <f t="shared" si="260"/>
        <v>0</v>
      </c>
      <c r="J499" s="43" t="b">
        <f t="array" ref="J499">NOT(OR(($H$9:$H$1273=TRUE)*($I$9:$I$1273&gt;0)*($BT$9:$BT$1273=BT499)*($K$9:$K$1273&gt;K499)))</f>
        <v>1</v>
      </c>
      <c r="K499" s="72">
        <f t="shared" si="261"/>
        <v>0.81960870841228184</v>
      </c>
      <c r="L499" s="72">
        <f t="shared" si="262"/>
        <v>0.85141269127325803</v>
      </c>
      <c r="M499" s="72">
        <f t="shared" si="263"/>
        <v>0.78780472555130576</v>
      </c>
      <c r="N499" s="72">
        <f t="shared" si="264"/>
        <v>0.77961099143710477</v>
      </c>
      <c r="O499" s="72">
        <f t="shared" si="265"/>
        <v>0.6256042938459182</v>
      </c>
      <c r="P499" s="72">
        <f t="shared" si="266"/>
        <v>0.95819889137089431</v>
      </c>
      <c r="Q499" s="72"/>
      <c r="R499" s="72"/>
      <c r="S499" s="72">
        <f t="shared" si="267"/>
        <v>0.41673744818448188</v>
      </c>
      <c r="T499" s="72">
        <f t="shared" si="268"/>
        <v>0.52217300999496685</v>
      </c>
      <c r="U499" s="72">
        <f t="shared" si="269"/>
        <v>0.7793248121400671</v>
      </c>
      <c r="V499" s="72">
        <f t="shared" si="270"/>
        <v>0.53745538368308199</v>
      </c>
      <c r="W499" s="72">
        <f t="shared" si="271"/>
        <v>0.80648482520169029</v>
      </c>
      <c r="X499" s="72">
        <f t="shared" si="272"/>
        <v>0.14858730872674203</v>
      </c>
      <c r="Y499" s="72">
        <f t="shared" si="273"/>
        <v>0.21219527444869421</v>
      </c>
      <c r="Z499" s="72">
        <f t="shared" si="274"/>
        <v>0.22038900856289523</v>
      </c>
      <c r="AA499" s="72">
        <f t="shared" si="275"/>
        <v>0.3743957061540818</v>
      </c>
      <c r="AB499" s="72">
        <f t="shared" si="276"/>
        <v>4.1801108629105632E-2</v>
      </c>
      <c r="AC499" s="72"/>
      <c r="AD499" s="72"/>
      <c r="AE499" s="72">
        <f t="shared" si="277"/>
        <v>0.58326255181551812</v>
      </c>
      <c r="AF499" s="72">
        <f t="shared" si="278"/>
        <v>0.4778269900050332</v>
      </c>
      <c r="AG499" s="72">
        <f t="shared" si="279"/>
        <v>0.22067518785993284</v>
      </c>
      <c r="AH499" s="72">
        <f t="shared" si="280"/>
        <v>0.46254461631691807</v>
      </c>
      <c r="AI499" s="72">
        <f t="shared" si="281"/>
        <v>0.19351517479830965</v>
      </c>
      <c r="AJ499" s="72">
        <f>(AV499-Driver!$K$179)/(Driver!$L$179-Driver!$K$179)</f>
        <v>0.10563210055595841</v>
      </c>
      <c r="AK499" s="72">
        <f>(AW499-Driver!$K$180)/(Driver!$L$180-Driver!$K$180)</f>
        <v>0.22035760956990058</v>
      </c>
      <c r="AL499" s="72">
        <f>(AX499-Driver!$K$181)/(Driver!$L$181-Driver!$K$181)</f>
        <v>0.32207677227597542</v>
      </c>
      <c r="AM499" s="72">
        <f>(AY499-Driver!$K$182)/(Driver!$L$182-Driver!$K$182)</f>
        <v>7.2989314942964553E-2</v>
      </c>
      <c r="AN499" s="72">
        <f>(AZ499-Driver!$K$183)/(Driver!$L$183-Driver!$K$183)</f>
        <v>0.21241830065359479</v>
      </c>
      <c r="AO499" s="72"/>
      <c r="AP499" s="72"/>
      <c r="AQ499" s="72">
        <f>(BC499-Driver!$K$188)/(Driver!$L$188-Driver!$K$188)</f>
        <v>3.6737448184481901E-2</v>
      </c>
      <c r="AR499" s="72">
        <f>MIN((BD499-Driver!$K$189)/(Driver!$L$189-Driver!$K$189),100%)</f>
        <v>7.2173009994966841E-2</v>
      </c>
      <c r="AS499" s="72">
        <f>(BE499-Driver!$K$190)/(Driver!$L$190-Driver!$K$190)</f>
        <v>0.28932481214006717</v>
      </c>
      <c r="AT499" s="72">
        <f>(BF499-Driver!$K$191)/(Driver!$L$191-Driver!$K$191)</f>
        <v>4.7455383683081921E-2</v>
      </c>
      <c r="AU499" s="72">
        <f>(BG499-Driver!$K$192)/(Driver!$L$192-Driver!$K$192)</f>
        <v>5.6484825201690361E-2</v>
      </c>
      <c r="AV499" s="70">
        <f t="shared" si="282"/>
        <v>2.2232397232397232</v>
      </c>
      <c r="AW499" s="70">
        <f t="shared" si="283"/>
        <v>23.347694241097329</v>
      </c>
      <c r="AX499" s="70">
        <f t="shared" si="284"/>
        <v>3.898690950483779</v>
      </c>
      <c r="AY499" s="70">
        <f>IFERROR(Driver!$K$19/Data!BH499/Data!BI499*Data!BK499*Data!BL499,"")</f>
        <v>8.9360699399848059E-2</v>
      </c>
      <c r="AZ499" s="70">
        <f t="shared" si="285"/>
        <v>19.359642591213703</v>
      </c>
      <c r="BA499" s="70"/>
      <c r="BB499" s="70"/>
      <c r="BC499" s="70">
        <f t="shared" si="286"/>
        <v>19.055969767887127</v>
      </c>
      <c r="BD499" s="70">
        <f t="shared" si="287"/>
        <v>8.1080063856458171</v>
      </c>
      <c r="BE499" s="70">
        <f t="shared" si="288"/>
        <v>0.28945158859459141</v>
      </c>
      <c r="BF499" s="70">
        <f t="shared" si="289"/>
        <v>5.3597521940650044</v>
      </c>
      <c r="BG499" s="70">
        <f t="shared" si="290"/>
        <v>0.21388758163657323</v>
      </c>
      <c r="BH499" s="67">
        <f>MAX((CE499-Driver!$F$200)/(Driver!$G$200-Driver!$F$200)*$BI$1,1)</f>
        <v>3.898690950483779</v>
      </c>
      <c r="BI499" s="67">
        <f>MAX($BI$1*(BY499-Driver!$F$201)/(Driver!$G$201-Driver!$F$201),1)</f>
        <v>6.3291139240506329</v>
      </c>
      <c r="BJ499" s="67">
        <f>(CB499-Driver!$F$206)/(Driver!$G$206-Driver!$F$206)*$BI$1</f>
        <v>3.6507936507936507</v>
      </c>
      <c r="BK499" s="67">
        <f>(CD499-Driver!$F$203)/(Driver!$G$203-Driver!$F$203)*$BI$1</f>
        <v>1.8807339449541285</v>
      </c>
      <c r="BL499" s="67">
        <f>MAX((CR499-Driver!$F$202)/(Driver!$G$202-Driver!$F$202)*$BI$1,1)</f>
        <v>5.8620689655172411</v>
      </c>
      <c r="BM499" s="67">
        <f>MAX((CH499-Driver!$F$204)/(Driver!$G$204-Driver!$F$204)*$BI$1,1)</f>
        <v>2.4358974358974357</v>
      </c>
      <c r="BN499" s="67">
        <f>(CI499-Driver!$F$205)/(Driver!$G$205-Driver!$F$205)*$BI$1</f>
        <v>3.0588235294117649</v>
      </c>
      <c r="BO499" s="67">
        <f>(CK499-Driver!$F$207)/(Driver!$G$207-Driver!$F$207)*$BI$1</f>
        <v>1.3960703205791105</v>
      </c>
      <c r="BP499" s="67">
        <f>(CM499-Driver!$F$208)/(Driver!$G$208-Driver!$F$208)*$BI$1</f>
        <v>1.9777777777777779</v>
      </c>
      <c r="BQ499" s="67">
        <f>(CL499-Driver!$F$209)/(Driver!$G$209-Driver!$F$209)*$BI$1</f>
        <v>2.03125</v>
      </c>
      <c r="BR499" s="28" t="s">
        <v>155</v>
      </c>
      <c r="BS499" s="8" t="s">
        <v>332</v>
      </c>
      <c r="BT499" s="9" t="s">
        <v>563</v>
      </c>
      <c r="BU499" s="10">
        <v>151</v>
      </c>
      <c r="BV499" s="9" t="s">
        <v>163</v>
      </c>
      <c r="BW499" s="10">
        <v>151</v>
      </c>
      <c r="BX499" s="10">
        <v>150.6</v>
      </c>
      <c r="BY499" s="10">
        <v>108</v>
      </c>
      <c r="BZ499" s="10">
        <v>126</v>
      </c>
      <c r="CA499" s="10">
        <v>119</v>
      </c>
      <c r="CB499" s="10">
        <v>87</v>
      </c>
      <c r="CC499" s="10">
        <v>105</v>
      </c>
      <c r="CD499" s="10">
        <v>13.5</v>
      </c>
      <c r="CE499" s="10">
        <v>1585</v>
      </c>
      <c r="CF499" s="10">
        <v>0.93</v>
      </c>
      <c r="CG499" s="10">
        <v>1469</v>
      </c>
      <c r="CH499" s="10">
        <v>158</v>
      </c>
      <c r="CI499" s="10">
        <v>85</v>
      </c>
      <c r="CJ499" s="10">
        <v>51</v>
      </c>
      <c r="CK499" s="10">
        <v>245</v>
      </c>
      <c r="CL499" s="10">
        <v>13</v>
      </c>
      <c r="CM499" s="10">
        <v>178</v>
      </c>
      <c r="CN499" s="10">
        <v>0.26</v>
      </c>
      <c r="CO499" s="10">
        <v>122</v>
      </c>
      <c r="CP499" s="10">
        <v>125</v>
      </c>
      <c r="CQ499" s="10">
        <v>123</v>
      </c>
      <c r="CR499" s="10">
        <v>6</v>
      </c>
      <c r="CS499" s="10">
        <v>7.9</v>
      </c>
      <c r="CT499" s="9" t="s">
        <v>188</v>
      </c>
      <c r="CU499" s="10"/>
      <c r="CV499" s="10"/>
      <c r="CW499" s="10"/>
      <c r="CX499" t="str">
        <f>INDEX('Data_Price '!AG$2:AG$1266,MATCH(Data!$DN499,'Data_Price '!$AT$2:$AT$1266,0))</f>
        <v>Nordica Santa Ana 88 21/22</v>
      </c>
      <c r="CY499" t="str">
        <f>INDEX('Data_Price '!AH$2:AH$1266,MATCH(Data!$DN499,'Data_Price '!$AT$2:$AT$1266,0))</f>
        <v>Varuste.net</v>
      </c>
      <c r="CZ499">
        <f>INDEX('Data_Price '!AI$2:AI$1266,MATCH(Data!$DN499,'Data_Price '!$AT$2:$AT$1266,0))</f>
        <v>363.76</v>
      </c>
      <c r="DA499" t="str">
        <f>INDEX('Data_Price '!AJ$2:AJ$1266,MATCH(Data!$DN499,'Data_Price '!$AT$2:$AT$1266,0))</f>
        <v>https://tinyurl.com/ybudge4m</v>
      </c>
      <c r="DB499" t="str">
        <f>INDEX('Data_Price '!AK$2:AK$1266,MATCH(Data!$DN499,'Data_Price '!$AT$2:$AT$1266,0))</f>
        <v>Nordica Santa Ana 88 Skis 2022 151</v>
      </c>
      <c r="DC499" t="str">
        <f>INDEX('Data_Price '!AL$2:AL$1266,MATCH(Data!$DN499,'Data_Price '!$AT$2:$AT$1266,0))</f>
        <v>Ski Depot RaceSkis.com</v>
      </c>
      <c r="DD499">
        <f>INDEX('Data_Price '!AM$2:AM$1266,MATCH(Data!$DN499,'Data_Price '!$AT$2:$AT$1266,0))</f>
        <v>599.99</v>
      </c>
      <c r="DE499" t="str">
        <f>INDEX('Data_Price '!AN$2:AN$1266,MATCH(Data!$DN499,'Data_Price '!$AT$2:$AT$1266,0))</f>
        <v>https://tinyurl.com/ycrdpwdk</v>
      </c>
      <c r="DF499" t="str">
        <f>INDEX('Data_Price '!AO$2:AO$1266,MATCH(Data!$DN499,'Data_Price '!$AT$2:$AT$1266,0))</f>
        <v>Nordica Santa Ana 88 Women's Skis 151cm 2022</v>
      </c>
      <c r="DG499" t="str">
        <f>INDEX('Data_Price '!AP$2:AP$1266,MATCH(Data!$DN499,'Data_Price '!$AT$2:$AT$1266,0))</f>
        <v>Powder7 Ski Shop</v>
      </c>
      <c r="DH499">
        <f>INDEX('Data_Price '!AQ$2:AQ$1266,MATCH(Data!$DN499,'Data_Price '!$AT$2:$AT$1266,0))</f>
        <v>599.99</v>
      </c>
      <c r="DI499" t="str">
        <f>INDEX('Data_Price '!AR$2:AR$1266,MATCH(Data!$DN499,'Data_Price '!$AT$2:$AT$1266,0))</f>
        <v>https://tinyurl.com/ybodeh2t</v>
      </c>
      <c r="DJ499" s="89" t="str">
        <f t="shared" si="291"/>
        <v>https://tinyurl.com/ybudge4m</v>
      </c>
      <c r="DK499" s="89" t="str">
        <f t="shared" si="292"/>
        <v>https://tinyurl.com/ycrdpwdk</v>
      </c>
      <c r="DL499" s="89" t="str">
        <f t="shared" si="293"/>
        <v>https://tinyurl.com/ybodeh2t</v>
      </c>
      <c r="DM499" s="219" t="str">
        <f t="shared" si="294"/>
        <v>Santa Ana 88</v>
      </c>
      <c r="DN499" s="89" t="str">
        <f t="shared" si="295"/>
        <v xml:space="preserve"> NordicaSanta Ana 88151 Women's</v>
      </c>
      <c r="DO499" s="221" t="s">
        <v>564</v>
      </c>
    </row>
    <row r="500" spans="2:119" ht="15.6" customHeight="1">
      <c r="B500" s="219" t="b">
        <f t="array" ref="B500">IF(OR(ISERROR(K500:P500)),FALSE,TRUE)</f>
        <v>1</v>
      </c>
      <c r="C500" s="43" t="b">
        <f>OR(BR500=Driver!$G$50,Data!BR1147=Driver!$H$50)</f>
        <v>1</v>
      </c>
      <c r="D500" s="43" t="b">
        <f>OR(BV500=Driver!$G$51,BV500=Driver!$H$51)</f>
        <v>1</v>
      </c>
      <c r="E500" s="43" t="b">
        <f>AND(BX500&gt;Driver!$F$54,BX500&lt;Driver!$G$54)</f>
        <v>0</v>
      </c>
      <c r="F500" s="43" t="b">
        <f>CL500&gt;Driver!$F$56</f>
        <v>1</v>
      </c>
      <c r="G500" s="43" t="b">
        <f>AND(CB500&gt;Driver!$F$55,CB500&lt;Driver!$G$55)</f>
        <v>0</v>
      </c>
      <c r="H500" s="43" t="b">
        <f t="shared" si="259"/>
        <v>0</v>
      </c>
      <c r="I500" s="43">
        <f t="shared" si="260"/>
        <v>0</v>
      </c>
      <c r="J500" s="43" t="b">
        <f t="array" ref="J500">NOT(OR(($H$9:$H$1273=TRUE)*($I$9:$I$1273&gt;0)*($BT$9:$BT$1273=BT500)*($K$9:$K$1273&gt;K500)))</f>
        <v>1</v>
      </c>
      <c r="K500" s="72">
        <f t="shared" si="261"/>
        <v>0.81266578253858945</v>
      </c>
      <c r="L500" s="72">
        <f t="shared" si="262"/>
        <v>0.82023067531966842</v>
      </c>
      <c r="M500" s="72">
        <f t="shared" si="263"/>
        <v>0.80510088975751037</v>
      </c>
      <c r="N500" s="72">
        <f t="shared" si="264"/>
        <v>0.85739509312558893</v>
      </c>
      <c r="O500" s="72">
        <f t="shared" si="265"/>
        <v>0.64803384817474075</v>
      </c>
      <c r="P500" s="72">
        <f t="shared" si="266"/>
        <v>0.90987372797220156</v>
      </c>
      <c r="Q500" s="72"/>
      <c r="R500" s="72"/>
      <c r="S500" s="72">
        <f t="shared" si="267"/>
        <v>0.41984194926042584</v>
      </c>
      <c r="T500" s="72">
        <f t="shared" si="268"/>
        <v>0.46956851307954162</v>
      </c>
      <c r="U500" s="72">
        <f t="shared" si="269"/>
        <v>0.68759576478798734</v>
      </c>
      <c r="V500" s="72">
        <f t="shared" si="270"/>
        <v>0.5092910901215203</v>
      </c>
      <c r="W500" s="72">
        <f t="shared" si="271"/>
        <v>0.97557424781624069</v>
      </c>
      <c r="X500" s="72">
        <f t="shared" si="272"/>
        <v>0.17976932468033158</v>
      </c>
      <c r="Y500" s="72">
        <f t="shared" si="273"/>
        <v>0.19489911024248963</v>
      </c>
      <c r="Z500" s="72">
        <f t="shared" si="274"/>
        <v>0.14260490687441113</v>
      </c>
      <c r="AA500" s="72">
        <f t="shared" si="275"/>
        <v>0.35196615182525925</v>
      </c>
      <c r="AB500" s="72">
        <f t="shared" si="276"/>
        <v>9.0126272027798465E-2</v>
      </c>
      <c r="AC500" s="72"/>
      <c r="AD500" s="72"/>
      <c r="AE500" s="72">
        <f t="shared" si="277"/>
        <v>0.58015805073957416</v>
      </c>
      <c r="AF500" s="72">
        <f t="shared" si="278"/>
        <v>0.53043148692045838</v>
      </c>
      <c r="AG500" s="72">
        <f t="shared" si="279"/>
        <v>0.31240423521201266</v>
      </c>
      <c r="AH500" s="72">
        <f t="shared" si="280"/>
        <v>0.4907089098784797</v>
      </c>
      <c r="AI500" s="72">
        <f t="shared" si="281"/>
        <v>2.4425752183759308E-2</v>
      </c>
      <c r="AJ500" s="72">
        <f>(AV500-Driver!$K$179)/(Driver!$L$179-Driver!$K$179)</f>
        <v>7.4450084602368849E-2</v>
      </c>
      <c r="AK500" s="72">
        <f>(AW500-Driver!$K$180)/(Driver!$L$180-Driver!$K$180)</f>
        <v>0.16826470502629029</v>
      </c>
      <c r="AL500" s="72">
        <f>(AX500-Driver!$K$181)/(Driver!$L$181-Driver!$K$181)</f>
        <v>0.2442926705874913</v>
      </c>
      <c r="AM500" s="72">
        <f>(AY500-Driver!$K$182)/(Driver!$L$182-Driver!$K$182)</f>
        <v>9.5418869271787082E-2</v>
      </c>
      <c r="AN500" s="72">
        <f>(AZ500-Driver!$K$183)/(Driver!$L$183-Driver!$K$183)</f>
        <v>0.16409313725490196</v>
      </c>
      <c r="AO500" s="72"/>
      <c r="AP500" s="72"/>
      <c r="AQ500" s="72">
        <f>(BC500-Driver!$K$188)/(Driver!$L$188-Driver!$K$188)</f>
        <v>3.9841949260425828E-2</v>
      </c>
      <c r="AR500" s="72">
        <f>MIN((BD500-Driver!$K$189)/(Driver!$L$189-Driver!$K$189),100%)</f>
        <v>1.9568513079541661E-2</v>
      </c>
      <c r="AS500" s="72">
        <f>(BE500-Driver!$K$190)/(Driver!$L$190-Driver!$K$190)</f>
        <v>0.19759576478798732</v>
      </c>
      <c r="AT500" s="72">
        <f>(BF500-Driver!$K$191)/(Driver!$L$191-Driver!$K$191)</f>
        <v>1.9291090121520318E-2</v>
      </c>
      <c r="AU500" s="72">
        <f>(BG500-Driver!$K$192)/(Driver!$L$192-Driver!$K$192)</f>
        <v>0.27442575218375931</v>
      </c>
      <c r="AV500" s="70">
        <f t="shared" si="282"/>
        <v>1.5669515669515668</v>
      </c>
      <c r="AW500" s="70">
        <f t="shared" si="283"/>
        <v>18.270779103231426</v>
      </c>
      <c r="AX500" s="70">
        <f t="shared" si="284"/>
        <v>3.1986340352874216</v>
      </c>
      <c r="AY500" s="70">
        <f>IFERROR(Driver!$K$19/Data!BH500/Data!BI500*Data!BK500*Data!BL500,"")</f>
        <v>0.11682116623142046</v>
      </c>
      <c r="AZ500" s="70">
        <f t="shared" si="285"/>
        <v>14.955323901712584</v>
      </c>
      <c r="BA500" s="70"/>
      <c r="BB500" s="70"/>
      <c r="BC500" s="70">
        <f t="shared" si="286"/>
        <v>20.666296058120579</v>
      </c>
      <c r="BD500" s="70">
        <f t="shared" si="287"/>
        <v>3.4526016182837171</v>
      </c>
      <c r="BE500" s="70">
        <f t="shared" si="288"/>
        <v>0.19773890467210475</v>
      </c>
      <c r="BF500" s="70">
        <f t="shared" si="289"/>
        <v>2.1787931016472899</v>
      </c>
      <c r="BG500" s="70">
        <f t="shared" si="290"/>
        <v>1.0391509624716921</v>
      </c>
      <c r="BH500" s="67">
        <f>MAX((CE500-Driver!$F$200)/(Driver!$G$200-Driver!$F$200)*$BI$1,1)</f>
        <v>3.1986340352874216</v>
      </c>
      <c r="BI500" s="67">
        <f>MAX($BI$1*(BY500-Driver!$F$201)/(Driver!$G$201-Driver!$F$201),1)</f>
        <v>6.518987341772152</v>
      </c>
      <c r="BJ500" s="67">
        <f>(CB500-Driver!$F$206)/(Driver!$G$206-Driver!$F$206)*$BI$1</f>
        <v>3.333333333333333</v>
      </c>
      <c r="BK500" s="67">
        <f>(CD500-Driver!$F$203)/(Driver!$G$203-Driver!$F$203)*$BI$1</f>
        <v>2.522935779816514</v>
      </c>
      <c r="BL500" s="67">
        <f>MAX((CR500-Driver!$F$202)/(Driver!$G$202-Driver!$F$202)*$BI$1,1)</f>
        <v>4.8275862068965516</v>
      </c>
      <c r="BM500" s="67">
        <f>MAX((CH500-Driver!$F$204)/(Driver!$G$204-Driver!$F$204)*$BI$1,1)</f>
        <v>1.8803418803418803</v>
      </c>
      <c r="BN500" s="67">
        <f>(CI500-Driver!$F$205)/(Driver!$G$205-Driver!$F$205)*$BI$1</f>
        <v>2.2941176470588234</v>
      </c>
      <c r="BO500" s="67">
        <f>(CK500-Driver!$F$207)/(Driver!$G$207-Driver!$F$207)*$BI$1</f>
        <v>0.80661840744570834</v>
      </c>
      <c r="BP500" s="67">
        <f>(CM500-Driver!$F$208)/(Driver!$G$208-Driver!$F$208)*$BI$1</f>
        <v>2.0444444444444447</v>
      </c>
      <c r="BQ500" s="67">
        <f>(CL500-Driver!$F$209)/(Driver!$G$209-Driver!$F$209)*$BI$1</f>
        <v>6.25</v>
      </c>
      <c r="BR500" s="28" t="s">
        <v>155</v>
      </c>
      <c r="BS500" s="8" t="s">
        <v>229</v>
      </c>
      <c r="BT500" s="9" t="s">
        <v>470</v>
      </c>
      <c r="BU500" s="10">
        <v>148</v>
      </c>
      <c r="BV500" s="9" t="s">
        <v>158</v>
      </c>
      <c r="BW500" s="10">
        <v>148</v>
      </c>
      <c r="BX500" s="10">
        <v>148.19999999999999</v>
      </c>
      <c r="BY500" s="10">
        <v>111</v>
      </c>
      <c r="BZ500" s="10">
        <v>133</v>
      </c>
      <c r="CA500" s="10">
        <v>119</v>
      </c>
      <c r="CB500" s="10">
        <v>85</v>
      </c>
      <c r="CC500" s="10">
        <v>109</v>
      </c>
      <c r="CD500" s="10">
        <v>14.9</v>
      </c>
      <c r="CE500" s="10">
        <v>1462</v>
      </c>
      <c r="CF500" s="10">
        <v>0.97</v>
      </c>
      <c r="CG500" s="10">
        <v>1418</v>
      </c>
      <c r="CH500" s="10">
        <v>145</v>
      </c>
      <c r="CI500" s="10">
        <v>72</v>
      </c>
      <c r="CJ500" s="10">
        <v>41</v>
      </c>
      <c r="CK500" s="10">
        <v>188</v>
      </c>
      <c r="CL500" s="10">
        <v>40</v>
      </c>
      <c r="CM500" s="10">
        <v>184</v>
      </c>
      <c r="CN500" s="10">
        <v>0.98699999999999999</v>
      </c>
      <c r="CO500" s="10">
        <v>82</v>
      </c>
      <c r="CP500" s="10">
        <v>70</v>
      </c>
      <c r="CQ500" s="10">
        <v>106</v>
      </c>
      <c r="CR500" s="10">
        <v>3</v>
      </c>
      <c r="CS500" s="10">
        <v>1.6</v>
      </c>
      <c r="CT500" s="9" t="s">
        <v>184</v>
      </c>
      <c r="CU500" s="10"/>
      <c r="CV500" s="10"/>
      <c r="CW500" s="10"/>
      <c r="CX500" t="e">
        <f>INDEX('Data_Price '!AG$2:AG$1266,MATCH(Data!$DN500,'Data_Price '!$AT$2:$AT$1266,0))</f>
        <v>#N/A</v>
      </c>
      <c r="CY500" t="e">
        <f>INDEX('Data_Price '!AH$2:AH$1266,MATCH(Data!$DN500,'Data_Price '!$AT$2:$AT$1266,0))</f>
        <v>#N/A</v>
      </c>
      <c r="CZ500" t="e">
        <f>INDEX('Data_Price '!AI$2:AI$1266,MATCH(Data!$DN500,'Data_Price '!$AT$2:$AT$1266,0))</f>
        <v>#N/A</v>
      </c>
      <c r="DA500" t="e">
        <f>INDEX('Data_Price '!AJ$2:AJ$1266,MATCH(Data!$DN500,'Data_Price '!$AT$2:$AT$1266,0))</f>
        <v>#N/A</v>
      </c>
      <c r="DB500" t="e">
        <f>INDEX('Data_Price '!AK$2:AK$1266,MATCH(Data!$DN500,'Data_Price '!$AT$2:$AT$1266,0))</f>
        <v>#N/A</v>
      </c>
      <c r="DC500" t="e">
        <f>INDEX('Data_Price '!AL$2:AL$1266,MATCH(Data!$DN500,'Data_Price '!$AT$2:$AT$1266,0))</f>
        <v>#N/A</v>
      </c>
      <c r="DD500" t="e">
        <f>INDEX('Data_Price '!AM$2:AM$1266,MATCH(Data!$DN500,'Data_Price '!$AT$2:$AT$1266,0))</f>
        <v>#N/A</v>
      </c>
      <c r="DE500" t="e">
        <f>INDEX('Data_Price '!AN$2:AN$1266,MATCH(Data!$DN500,'Data_Price '!$AT$2:$AT$1266,0))</f>
        <v>#N/A</v>
      </c>
      <c r="DF500" t="e">
        <f>INDEX('Data_Price '!AO$2:AO$1266,MATCH(Data!$DN500,'Data_Price '!$AT$2:$AT$1266,0))</f>
        <v>#N/A</v>
      </c>
      <c r="DG500" t="e">
        <f>INDEX('Data_Price '!AP$2:AP$1266,MATCH(Data!$DN500,'Data_Price '!$AT$2:$AT$1266,0))</f>
        <v>#N/A</v>
      </c>
      <c r="DH500" t="e">
        <f>INDEX('Data_Price '!AQ$2:AQ$1266,MATCH(Data!$DN500,'Data_Price '!$AT$2:$AT$1266,0))</f>
        <v>#N/A</v>
      </c>
      <c r="DI500" t="e">
        <f>INDEX('Data_Price '!AR$2:AR$1266,MATCH(Data!$DN500,'Data_Price '!$AT$2:$AT$1266,0))</f>
        <v>#N/A</v>
      </c>
      <c r="DJ500" s="89" t="e">
        <f t="shared" si="291"/>
        <v>#N/A</v>
      </c>
      <c r="DK500" s="89" t="e">
        <f t="shared" si="292"/>
        <v>#N/A</v>
      </c>
      <c r="DL500" s="89" t="e">
        <f t="shared" si="293"/>
        <v>#N/A</v>
      </c>
      <c r="DM500" s="219" t="str">
        <f t="shared" si="294"/>
        <v>Bash 86</v>
      </c>
      <c r="DN500" s="89" t="str">
        <f t="shared" si="295"/>
        <v xml:space="preserve"> VölklBash 86148 Unisex</v>
      </c>
      <c r="DO500" s="221" t="s">
        <v>471</v>
      </c>
    </row>
    <row r="501" spans="2:119" ht="15.6" customHeight="1">
      <c r="B501" s="219" t="b">
        <f t="array" ref="B501">IF(OR(ISERROR(K501:P501)),FALSE,TRUE)</f>
        <v>1</v>
      </c>
      <c r="C501" s="43" t="b">
        <f>OR(BR501=Driver!$G$50,Data!BR832=Driver!$H$50)</f>
        <v>1</v>
      </c>
      <c r="D501" s="43" t="b">
        <f>OR(BV501=Driver!$G$51,BV501=Driver!$H$51)</f>
        <v>1</v>
      </c>
      <c r="E501" s="43" t="b">
        <f>AND(BX501&gt;Driver!$F$54,BX501&lt;Driver!$G$54)</f>
        <v>0</v>
      </c>
      <c r="F501" s="43" t="b">
        <f>CL501&gt;Driver!$F$56</f>
        <v>1</v>
      </c>
      <c r="G501" s="43" t="b">
        <f>AND(CB501&gt;Driver!$F$55,CB501&lt;Driver!$G$55)</f>
        <v>0</v>
      </c>
      <c r="H501" s="43" t="b">
        <f t="shared" si="259"/>
        <v>0</v>
      </c>
      <c r="I501" s="43">
        <f t="shared" si="260"/>
        <v>0</v>
      </c>
      <c r="J501" s="43" t="b">
        <f t="array" ref="J501">NOT(OR(($H$9:$H$1273=TRUE)*($I$9:$I$1273&gt;0)*($BT$9:$BT$1273=BT501)*($K$9:$K$1273&gt;K501)))</f>
        <v>1</v>
      </c>
      <c r="K501" s="72">
        <f t="shared" si="261"/>
        <v>0.80915357832206158</v>
      </c>
      <c r="L501" s="72">
        <f t="shared" si="262"/>
        <v>0.87872717036438686</v>
      </c>
      <c r="M501" s="72">
        <f t="shared" si="263"/>
        <v>0.73957998627973653</v>
      </c>
      <c r="N501" s="72">
        <f t="shared" si="264"/>
        <v>0.61076257557673674</v>
      </c>
      <c r="O501" s="72">
        <f t="shared" si="265"/>
        <v>0.64052267986212519</v>
      </c>
      <c r="P501" s="72">
        <f t="shared" si="266"/>
        <v>0.96745470340034745</v>
      </c>
      <c r="Q501" s="72"/>
      <c r="R501" s="72"/>
      <c r="S501" s="72">
        <f t="shared" si="267"/>
        <v>0.45943711304375312</v>
      </c>
      <c r="T501" s="72">
        <f t="shared" si="268"/>
        <v>0.49416350765457318</v>
      </c>
      <c r="U501" s="72">
        <f t="shared" si="269"/>
        <v>0.68205729849999264</v>
      </c>
      <c r="V501" s="72">
        <f t="shared" si="270"/>
        <v>0.50739201302622416</v>
      </c>
      <c r="W501" s="72">
        <f t="shared" si="271"/>
        <v>0.86988254392666153</v>
      </c>
      <c r="X501" s="72">
        <f t="shared" si="272"/>
        <v>0.12127282963561317</v>
      </c>
      <c r="Y501" s="72">
        <f t="shared" si="273"/>
        <v>0.26042001372026352</v>
      </c>
      <c r="Z501" s="72">
        <f t="shared" si="274"/>
        <v>0.38923742442326326</v>
      </c>
      <c r="AA501" s="72">
        <f t="shared" si="275"/>
        <v>0.35947732013787481</v>
      </c>
      <c r="AB501" s="72">
        <f t="shared" si="276"/>
        <v>3.2545296599652551E-2</v>
      </c>
      <c r="AC501" s="72"/>
      <c r="AD501" s="72"/>
      <c r="AE501" s="72">
        <f t="shared" si="277"/>
        <v>0.54056288695624688</v>
      </c>
      <c r="AF501" s="72">
        <f t="shared" si="278"/>
        <v>0.50583649234542682</v>
      </c>
      <c r="AG501" s="72">
        <f t="shared" si="279"/>
        <v>0.31794270150000731</v>
      </c>
      <c r="AH501" s="72">
        <f t="shared" si="280"/>
        <v>0.49260798697377589</v>
      </c>
      <c r="AI501" s="72">
        <f t="shared" si="281"/>
        <v>0.13011745607333844</v>
      </c>
      <c r="AJ501" s="72">
        <f>(AV501-Driver!$K$179)/(Driver!$L$179-Driver!$K$179)</f>
        <v>0.13294657964708725</v>
      </c>
      <c r="AK501" s="72">
        <f>(AW501-Driver!$K$180)/(Driver!$L$180-Driver!$K$180)</f>
        <v>0.30566309260626989</v>
      </c>
      <c r="AL501" s="72">
        <f>(AX501-Driver!$K$181)/(Driver!$L$181-Driver!$K$181)</f>
        <v>0.49092518813634345</v>
      </c>
      <c r="AM501" s="72">
        <f>(AY501-Driver!$K$182)/(Driver!$L$182-Driver!$K$182)</f>
        <v>8.7907700959171525E-2</v>
      </c>
      <c r="AN501" s="72">
        <f>(AZ501-Driver!$K$183)/(Driver!$L$183-Driver!$K$183)</f>
        <v>0.28676470588235298</v>
      </c>
      <c r="AO501" s="72"/>
      <c r="AP501" s="72"/>
      <c r="AQ501" s="72">
        <f>(BC501-Driver!$K$188)/(Driver!$L$188-Driver!$K$188)</f>
        <v>7.9437113043753144E-2</v>
      </c>
      <c r="AR501" s="72">
        <f>MIN((BD501-Driver!$K$189)/(Driver!$L$189-Driver!$K$189),100%)</f>
        <v>4.4163507654573178E-2</v>
      </c>
      <c r="AS501" s="72">
        <f>(BE501-Driver!$K$190)/(Driver!$L$190-Driver!$K$190)</f>
        <v>0.1920572984999927</v>
      </c>
      <c r="AT501" s="72">
        <f>(BF501-Driver!$K$191)/(Driver!$L$191-Driver!$K$191)</f>
        <v>1.7392013026224135E-2</v>
      </c>
      <c r="AU501" s="72">
        <f>(BG501-Driver!$K$192)/(Driver!$L$192-Driver!$K$192)</f>
        <v>0.11988254392666156</v>
      </c>
      <c r="AV501" s="70">
        <f t="shared" si="282"/>
        <v>2.7981277981277981</v>
      </c>
      <c r="AW501" s="70">
        <f t="shared" si="283"/>
        <v>31.661469446466047</v>
      </c>
      <c r="AX501" s="70">
        <f t="shared" si="284"/>
        <v>5.4183266932270913</v>
      </c>
      <c r="AY501" s="70">
        <f>IFERROR(Driver!$K$19/Data!BH501/Data!BI501*Data!BK501*Data!BL501,"")</f>
        <v>0.10762525510045841</v>
      </c>
      <c r="AZ501" s="70">
        <f t="shared" si="285"/>
        <v>26.135517498138498</v>
      </c>
      <c r="BA501" s="70"/>
      <c r="BB501" s="70"/>
      <c r="BC501" s="70">
        <f t="shared" si="286"/>
        <v>41.204582773645363</v>
      </c>
      <c r="BD501" s="70">
        <f t="shared" si="287"/>
        <v>5.6292150584223686</v>
      </c>
      <c r="BE501" s="70">
        <f t="shared" si="288"/>
        <v>0.19220142638415783</v>
      </c>
      <c r="BF501" s="70">
        <f t="shared" si="289"/>
        <v>1.9643056855052723</v>
      </c>
      <c r="BG501" s="70">
        <f t="shared" si="290"/>
        <v>0.45395178810160425</v>
      </c>
      <c r="BH501" s="67">
        <f>MAX((CE501-Driver!$F$200)/(Driver!$G$200-Driver!$F$200)*$BI$1,1)</f>
        <v>5.4183266932270913</v>
      </c>
      <c r="BI501" s="67">
        <f>MAX($BI$1*(BY501-Driver!$F$201)/(Driver!$G$201-Driver!$F$201),1)</f>
        <v>8.5443037974683538</v>
      </c>
      <c r="BJ501" s="67">
        <f>(CB501-Driver!$F$206)/(Driver!$G$206-Driver!$F$206)*$BI$1</f>
        <v>4.7619047619047619</v>
      </c>
      <c r="BK501" s="67">
        <f>(CD501-Driver!$F$203)/(Driver!$G$203-Driver!$F$203)*$BI$1</f>
        <v>3.4403669724770634</v>
      </c>
      <c r="BL501" s="67">
        <f>MAX((CR501-Driver!$F$202)/(Driver!$G$202-Driver!$F$202)*$BI$1,1)</f>
        <v>7.2413793103448274</v>
      </c>
      <c r="BM501" s="67">
        <f>MAX((CH501-Driver!$F$204)/(Driver!$G$204-Driver!$F$204)*$BI$1,1)</f>
        <v>2.3504273504273505</v>
      </c>
      <c r="BN501" s="67">
        <f>(CI501-Driver!$F$205)/(Driver!$G$205-Driver!$F$205)*$BI$1</f>
        <v>3.0588235294117649</v>
      </c>
      <c r="BO501" s="67">
        <f>(CK501-Driver!$F$207)/(Driver!$G$207-Driver!$F$207)*$BI$1</f>
        <v>0.71354705274043428</v>
      </c>
      <c r="BP501" s="67">
        <f>(CM501-Driver!$F$208)/(Driver!$G$208-Driver!$F$208)*$BI$1</f>
        <v>1.9888888888888889</v>
      </c>
      <c r="BQ501" s="67">
        <f>(CL501-Driver!$F$209)/(Driver!$G$209-Driver!$F$209)*$BI$1</f>
        <v>5.78125</v>
      </c>
      <c r="BR501" s="28" t="s">
        <v>155</v>
      </c>
      <c r="BS501" s="8" t="s">
        <v>208</v>
      </c>
      <c r="BT501" s="9" t="s">
        <v>637</v>
      </c>
      <c r="BU501" s="10">
        <v>178</v>
      </c>
      <c r="BV501" s="9" t="s">
        <v>158</v>
      </c>
      <c r="BW501" s="10">
        <v>178</v>
      </c>
      <c r="BX501" s="10">
        <v>178.7</v>
      </c>
      <c r="BY501" s="10">
        <v>143</v>
      </c>
      <c r="BZ501" s="10">
        <v>145</v>
      </c>
      <c r="CA501" s="10">
        <v>128</v>
      </c>
      <c r="CB501" s="10">
        <v>94</v>
      </c>
      <c r="CC501" s="10">
        <v>119</v>
      </c>
      <c r="CD501" s="10">
        <v>16.899999999999999</v>
      </c>
      <c r="CE501" s="10">
        <v>1852</v>
      </c>
      <c r="CF501" s="10">
        <v>1.02</v>
      </c>
      <c r="CG501" s="10">
        <v>1884</v>
      </c>
      <c r="CH501" s="10">
        <v>156</v>
      </c>
      <c r="CI501" s="10">
        <v>85</v>
      </c>
      <c r="CJ501" s="10">
        <v>38</v>
      </c>
      <c r="CK501" s="10">
        <v>179</v>
      </c>
      <c r="CL501" s="10">
        <v>37</v>
      </c>
      <c r="CM501" s="10">
        <v>179</v>
      </c>
      <c r="CN501" s="10">
        <v>0.98099999999999998</v>
      </c>
      <c r="CO501" s="10">
        <v>167</v>
      </c>
      <c r="CP501" s="10">
        <v>170</v>
      </c>
      <c r="CQ501" s="10">
        <v>12</v>
      </c>
      <c r="CR501" s="10">
        <v>10</v>
      </c>
      <c r="CS501" s="10">
        <v>4.8</v>
      </c>
      <c r="CT501" s="9" t="s">
        <v>184</v>
      </c>
      <c r="CU501" s="10"/>
      <c r="CV501" s="10"/>
      <c r="CW501" s="10"/>
      <c r="CX501" t="str">
        <f>INDEX('Data_Price '!AG$2:AG$1266,MATCH(Data!$DN501,'Data_Price '!$AT$2:$AT$1266,0))</f>
        <v>Line Skis Chronic Mens Skis 2022 178cm</v>
      </c>
      <c r="CY501" t="str">
        <f>INDEX('Data_Price '!AH$2:AH$1266,MATCH(Data!$DN501,'Data_Price '!$AT$2:$AT$1266,0))</f>
        <v>eBay</v>
      </c>
      <c r="CZ501">
        <f>INDEX('Data_Price '!AI$2:AI$1266,MATCH(Data!$DN501,'Data_Price '!$AT$2:$AT$1266,0))</f>
        <v>449.95</v>
      </c>
      <c r="DA501" t="str">
        <f>INDEX('Data_Price '!AJ$2:AJ$1266,MATCH(Data!$DN501,'Data_Price '!$AT$2:$AT$1266,0))</f>
        <v>https://tinyurl.com/y9ty6u3w</v>
      </c>
      <c r="DB501" t="str">
        <f>INDEX('Data_Price '!AK$2:AK$1266,MATCH(Data!$DN501,'Data_Price '!$AT$2:$AT$1266,0))</f>
        <v>Line Chronic Skis</v>
      </c>
      <c r="DC501" t="str">
        <f>INDEX('Data_Price '!AL$2:AL$1266,MATCH(Data!$DN501,'Data_Price '!$AT$2:$AT$1266,0))</f>
        <v>Powder7 Ski Shop</v>
      </c>
      <c r="DD501">
        <f>INDEX('Data_Price '!AM$2:AM$1266,MATCH(Data!$DN501,'Data_Price '!$AT$2:$AT$1266,0))</f>
        <v>469.99</v>
      </c>
      <c r="DE501" t="str">
        <f>INDEX('Data_Price '!AN$2:AN$1266,MATCH(Data!$DN501,'Data_Price '!$AT$2:$AT$1266,0))</f>
        <v>https://tinyurl.com/yaetmbea</v>
      </c>
      <c r="DF501" t="str">
        <f>INDEX('Data_Price '!AO$2:AO$1266,MATCH(Data!$DN501,'Data_Price '!$AT$2:$AT$1266,0))</f>
        <v>'22 Line Chronic Skis 178cm</v>
      </c>
      <c r="DG501" t="str">
        <f>INDEX('Data_Price '!AP$2:AP$1266,MATCH(Data!$DN501,'Data_Price '!$AT$2:$AT$1266,0))</f>
        <v>Al's Ski Equipment Barn</v>
      </c>
      <c r="DH501">
        <f>INDEX('Data_Price '!AQ$2:AQ$1266,MATCH(Data!$DN501,'Data_Price '!$AT$2:$AT$1266,0))</f>
        <v>499</v>
      </c>
      <c r="DI501" t="str">
        <f>INDEX('Data_Price '!AR$2:AR$1266,MATCH(Data!$DN501,'Data_Price '!$AT$2:$AT$1266,0))</f>
        <v>https://tinyurl.com/y82xkqj3</v>
      </c>
      <c r="DJ501" s="89" t="str">
        <f t="shared" si="291"/>
        <v>https://tinyurl.com/y9ty6u3w</v>
      </c>
      <c r="DK501" s="89" t="str">
        <f t="shared" si="292"/>
        <v>https://tinyurl.com/yaetmbea</v>
      </c>
      <c r="DL501" s="89" t="str">
        <f t="shared" si="293"/>
        <v>https://tinyurl.com/y82xkqj3</v>
      </c>
      <c r="DM501" s="219" t="str">
        <f t="shared" si="294"/>
        <v>Chronic</v>
      </c>
      <c r="DN501" s="89" t="str">
        <f t="shared" si="295"/>
        <v xml:space="preserve"> LineChronic178 Unisex</v>
      </c>
      <c r="DO501" s="221" t="s">
        <v>638</v>
      </c>
    </row>
    <row r="502" spans="2:119" ht="15.6" customHeight="1">
      <c r="B502" s="219" t="b">
        <f t="array" ref="B502">IF(OR(ISERROR(K502:P502)),FALSE,TRUE)</f>
        <v>1</v>
      </c>
      <c r="C502" s="43" t="b">
        <f>OR(BR502=Driver!$G$50,Data!BR315=Driver!$H$50)</f>
        <v>1</v>
      </c>
      <c r="D502" s="43" t="b">
        <f>OR(BV502=Driver!$G$51,BV502=Driver!$H$51)</f>
        <v>1</v>
      </c>
      <c r="E502" s="43" t="b">
        <f>AND(BX502&gt;Driver!$F$54,BX502&lt;Driver!$G$54)</f>
        <v>1</v>
      </c>
      <c r="F502" s="43" t="b">
        <f>CL502&gt;Driver!$F$56</f>
        <v>1</v>
      </c>
      <c r="G502" s="43" t="b">
        <f>AND(CB502&gt;Driver!$F$55,CB502&lt;Driver!$G$55)</f>
        <v>0</v>
      </c>
      <c r="H502" s="43" t="b">
        <f t="shared" si="259"/>
        <v>0</v>
      </c>
      <c r="I502" s="43">
        <f t="shared" si="260"/>
        <v>0</v>
      </c>
      <c r="J502" s="43" t="b">
        <f t="array" ref="J502">NOT(OR(($H$9:$H$1273=TRUE)*($I$9:$I$1273&gt;0)*($BT$9:$BT$1273=BT502)*($K$9:$K$1273&gt;K502)))</f>
        <v>1</v>
      </c>
      <c r="K502" s="72">
        <f t="shared" si="261"/>
        <v>0.77483784613203466</v>
      </c>
      <c r="L502" s="72">
        <f t="shared" si="262"/>
        <v>0.83376705433828091</v>
      </c>
      <c r="M502" s="72">
        <f t="shared" si="263"/>
        <v>0.7159086379257884</v>
      </c>
      <c r="N502" s="72">
        <f t="shared" si="264"/>
        <v>0.63226387197843148</v>
      </c>
      <c r="O502" s="72">
        <f t="shared" si="265"/>
        <v>0.59808903774499123</v>
      </c>
      <c r="P502" s="72">
        <f t="shared" si="266"/>
        <v>0.91737300405394229</v>
      </c>
      <c r="Q502" s="72"/>
      <c r="R502" s="72"/>
      <c r="S502" s="72">
        <f t="shared" si="267"/>
        <v>0.46458763200033859</v>
      </c>
      <c r="T502" s="72">
        <f t="shared" si="268"/>
        <v>0.80985605736109556</v>
      </c>
      <c r="U502" s="72">
        <f t="shared" si="269"/>
        <v>0.51</v>
      </c>
      <c r="V502" s="72">
        <f t="shared" si="270"/>
        <v>0.49135280272591297</v>
      </c>
      <c r="W502" s="72">
        <f t="shared" si="271"/>
        <v>0.76218487394957979</v>
      </c>
      <c r="X502" s="72">
        <f t="shared" si="272"/>
        <v>0.16623294566171906</v>
      </c>
      <c r="Y502" s="72">
        <f t="shared" si="273"/>
        <v>0.28409136207421165</v>
      </c>
      <c r="Z502" s="72">
        <f t="shared" si="274"/>
        <v>0.36773612802156852</v>
      </c>
      <c r="AA502" s="72">
        <f t="shared" si="275"/>
        <v>0.40191096225500877</v>
      </c>
      <c r="AB502" s="72">
        <f t="shared" si="276"/>
        <v>8.2626995946057769E-2</v>
      </c>
      <c r="AC502" s="72"/>
      <c r="AD502" s="72"/>
      <c r="AE502" s="72">
        <f t="shared" si="277"/>
        <v>0.53541236799966141</v>
      </c>
      <c r="AF502" s="72">
        <f t="shared" si="278"/>
        <v>0.19014394263890444</v>
      </c>
      <c r="AG502" s="72">
        <f t="shared" si="279"/>
        <v>0.49</v>
      </c>
      <c r="AH502" s="72">
        <f t="shared" si="280"/>
        <v>0.50864719727408703</v>
      </c>
      <c r="AI502" s="72">
        <f t="shared" si="281"/>
        <v>0.23781512605042016</v>
      </c>
      <c r="AJ502" s="72">
        <f>(AV502-Driver!$K$179)/(Driver!$L$179-Driver!$K$179)</f>
        <v>8.7986463620981364E-2</v>
      </c>
      <c r="AK502" s="72">
        <f>(AW502-Driver!$K$180)/(Driver!$L$180-Driver!$K$180)</f>
        <v>0.34997866222413687</v>
      </c>
      <c r="AL502" s="72">
        <f>(AX502-Driver!$K$181)/(Driver!$L$181-Driver!$K$181)</f>
        <v>0.46942389173464871</v>
      </c>
      <c r="AM502" s="72">
        <f>(AY502-Driver!$K$182)/(Driver!$L$182-Driver!$K$182)</f>
        <v>4.5474058842037597E-2</v>
      </c>
      <c r="AN502" s="72">
        <f>(AZ502-Driver!$K$183)/(Driver!$L$183-Driver!$K$183)</f>
        <v>0.33684640522875819</v>
      </c>
      <c r="AO502" s="72"/>
      <c r="AP502" s="72"/>
      <c r="AQ502" s="72">
        <f>(BC502-Driver!$K$188)/(Driver!$L$188-Driver!$K$188)</f>
        <v>8.45876320003386E-2</v>
      </c>
      <c r="AR502" s="72">
        <f>MIN((BD502-Driver!$K$189)/(Driver!$L$189-Driver!$K$189),100%)</f>
        <v>0.3598560573610956</v>
      </c>
      <c r="AS502" s="72">
        <f>(BE502-Driver!$K$190)/(Driver!$L$190-Driver!$K$190)</f>
        <v>1</v>
      </c>
      <c r="AT502" s="72">
        <f>(BF502-Driver!$K$191)/(Driver!$L$191-Driver!$K$191)</f>
        <v>1.3528027259130113E-3</v>
      </c>
      <c r="AU502" s="72">
        <f>(BG502-Driver!$K$192)/(Driver!$L$192-Driver!$K$192)</f>
        <v>1.2184873949579834E-2</v>
      </c>
      <c r="AV502" s="70">
        <f t="shared" si="282"/>
        <v>1.8518518518518516</v>
      </c>
      <c r="AW502" s="70">
        <f t="shared" si="283"/>
        <v>35.980414381620292</v>
      </c>
      <c r="AX502" s="70">
        <f t="shared" si="284"/>
        <v>5.2248150256118384</v>
      </c>
      <c r="AY502" s="70">
        <f>IFERROR(Driver!$K$19/Data!BH502/Data!BI502*Data!BK502*Data!BL502,"")</f>
        <v>5.5673816172267201E-2</v>
      </c>
      <c r="AZ502" s="70">
        <f t="shared" si="285"/>
        <v>30.69992553983619</v>
      </c>
      <c r="BA502" s="70"/>
      <c r="BB502" s="70"/>
      <c r="BC502" s="70">
        <f t="shared" si="286"/>
        <v>43.876192762253126</v>
      </c>
      <c r="BD502" s="70">
        <f t="shared" si="287"/>
        <v>33.567446333351434</v>
      </c>
      <c r="BE502" s="70">
        <f t="shared" si="288"/>
        <v>1</v>
      </c>
      <c r="BF502" s="70">
        <f t="shared" si="289"/>
        <v>0.15278956391483747</v>
      </c>
      <c r="BG502" s="70">
        <f t="shared" si="290"/>
        <v>4.6139705882352951E-2</v>
      </c>
      <c r="BH502" s="67">
        <f>MAX((CE502-Driver!$F$200)/(Driver!$G$200-Driver!$F$200)*$BI$1,1)</f>
        <v>5.2248150256118384</v>
      </c>
      <c r="BI502" s="67">
        <f>MAX($BI$1*(BY502-Driver!$F$201)/(Driver!$G$201-Driver!$F$201),1)</f>
        <v>8.4177215189873422</v>
      </c>
      <c r="BJ502" s="67">
        <f>(CB502-Driver!$F$206)/(Driver!$G$206-Driver!$F$206)*$BI$1</f>
        <v>1.9047619047619047</v>
      </c>
      <c r="BK502" s="67">
        <f>(CD502-Driver!$F$203)/(Driver!$G$203-Driver!$F$203)*$BI$1</f>
        <v>1.9724770642201834</v>
      </c>
      <c r="BL502" s="67">
        <f>MAX((CR502-Driver!$F$202)/(Driver!$G$202-Driver!$F$202)*$BI$1,1)</f>
        <v>6.2068965517241379</v>
      </c>
      <c r="BM502" s="67">
        <f>MAX((CH502-Driver!$F$204)/(Driver!$G$204-Driver!$F$204)*$BI$1,1)</f>
        <v>3.8888888888888888</v>
      </c>
      <c r="BN502" s="67">
        <f>(CI502-Driver!$F$205)/(Driver!$G$205-Driver!$F$205)*$BI$1</f>
        <v>3.6470588235294117</v>
      </c>
      <c r="BO502" s="67">
        <f>(CK502-Driver!$F$207)/(Driver!$G$207-Driver!$F$207)*$BI$1</f>
        <v>0.27921406411582211</v>
      </c>
      <c r="BP502" s="67">
        <f>(CM502-Driver!$F$208)/(Driver!$G$208-Driver!$F$208)*$BI$1</f>
        <v>0.56666666666666665</v>
      </c>
      <c r="BQ502" s="67">
        <f>(CL502-Driver!$F$209)/(Driver!$G$209-Driver!$F$209)*$BI$1</f>
        <v>0.9375</v>
      </c>
      <c r="BR502" s="28" t="s">
        <v>155</v>
      </c>
      <c r="BS502" s="8" t="s">
        <v>317</v>
      </c>
      <c r="BT502" s="9" t="s">
        <v>639</v>
      </c>
      <c r="BU502" s="10">
        <v>160</v>
      </c>
      <c r="BV502" s="9" t="s">
        <v>158</v>
      </c>
      <c r="BW502" s="10">
        <v>160</v>
      </c>
      <c r="BX502" s="10">
        <v>159.6</v>
      </c>
      <c r="BY502" s="10">
        <v>141</v>
      </c>
      <c r="BZ502" s="10">
        <v>147</v>
      </c>
      <c r="CA502" s="10">
        <v>125</v>
      </c>
      <c r="CB502" s="10">
        <v>76</v>
      </c>
      <c r="CC502" s="10">
        <v>105</v>
      </c>
      <c r="CD502" s="10">
        <v>13.7</v>
      </c>
      <c r="CE502" s="10">
        <v>1818</v>
      </c>
      <c r="CF502" s="10">
        <v>0.8</v>
      </c>
      <c r="CG502" s="10">
        <v>1448</v>
      </c>
      <c r="CH502" s="10">
        <v>192</v>
      </c>
      <c r="CI502" s="10">
        <v>95</v>
      </c>
      <c r="CJ502" s="10">
        <v>37</v>
      </c>
      <c r="CK502" s="10">
        <v>137</v>
      </c>
      <c r="CL502" s="10">
        <v>6</v>
      </c>
      <c r="CM502" s="10">
        <v>51</v>
      </c>
      <c r="CN502" s="10">
        <v>0.16800000000000001</v>
      </c>
      <c r="CO502" s="10">
        <v>76</v>
      </c>
      <c r="CP502" s="10">
        <v>52</v>
      </c>
      <c r="CQ502" s="10">
        <v>61</v>
      </c>
      <c r="CR502" s="10">
        <v>7</v>
      </c>
      <c r="CS502" s="10">
        <v>12.1</v>
      </c>
      <c r="CT502" s="9" t="s">
        <v>349</v>
      </c>
      <c r="CU502" s="10"/>
      <c r="CV502" s="10"/>
      <c r="CW502" s="10"/>
      <c r="CX502" t="str">
        <f>INDEX('Data_Price '!AG$2:AG$1266,MATCH(Data!$DN502,'Data_Price '!$AT$2:$AT$1266,0))</f>
        <v>Blizzard Men's Thunderbird Sport 7.2 Skis with TLT 10 Bindings '22</v>
      </c>
      <c r="CY502" t="str">
        <f>INDEX('Data_Price '!AH$2:AH$1266,MATCH(Data!$DN502,'Data_Price '!$AT$2:$AT$1266,0))</f>
        <v>sunandski.com</v>
      </c>
      <c r="CZ502">
        <f>INDEX('Data_Price '!AI$2:AI$1266,MATCH(Data!$DN502,'Data_Price '!$AT$2:$AT$1266,0))</f>
        <v>319.93</v>
      </c>
      <c r="DA502" t="str">
        <f>INDEX('Data_Price '!AJ$2:AJ$1266,MATCH(Data!$DN502,'Data_Price '!$AT$2:$AT$1266,0))</f>
        <v>https://tinyurl.com/y9ky4yhq</v>
      </c>
      <c r="DB502" t="str">
        <f>INDEX('Data_Price '!AK$2:AK$1266,MATCH(Data!$DN502,'Data_Price '!$AT$2:$AT$1266,0))</f>
        <v>Blizzard Thunderbird 72 Ski + TLT10 - Winter 2021/2022 160</v>
      </c>
      <c r="DC502" t="str">
        <f>INDEX('Data_Price '!AL$2:AL$1266,MATCH(Data!$DN502,'Data_Price '!$AT$2:$AT$1266,0))</f>
        <v>Equipe Sport</v>
      </c>
      <c r="DD502">
        <f>INDEX('Data_Price '!AM$2:AM$1266,MATCH(Data!$DN502,'Data_Price '!$AT$2:$AT$1266,0))</f>
        <v>399</v>
      </c>
      <c r="DE502" t="str">
        <f>INDEX('Data_Price '!AN$2:AN$1266,MATCH(Data!$DN502,'Data_Price '!$AT$2:$AT$1266,0))</f>
        <v>https://tinyurl.com/y8zobwhx</v>
      </c>
      <c r="DF502" t="str">
        <f>INDEX('Data_Price '!AO$2:AO$1266,MATCH(Data!$DN502,'Data_Price '!$AT$2:$AT$1266,0))</f>
        <v>Blizzard Thunderbird SP 7.7 Ski System with TPX 11 Bindings Men's, 160</v>
      </c>
      <c r="DG502" t="str">
        <f>INDEX('Data_Price '!AP$2:AP$1266,MATCH(Data!$DN502,'Data_Price '!$AT$2:$AT$1266,0))</f>
        <v>Stowesports.com</v>
      </c>
      <c r="DH502">
        <f>INDEX('Data_Price '!AQ$2:AQ$1266,MATCH(Data!$DN502,'Data_Price '!$AT$2:$AT$1266,0))</f>
        <v>399.95</v>
      </c>
      <c r="DI502" t="str">
        <f>INDEX('Data_Price '!AR$2:AR$1266,MATCH(Data!$DN502,'Data_Price '!$AT$2:$AT$1266,0))</f>
        <v>https://tinyurl.com/yct25egw</v>
      </c>
      <c r="DJ502" s="89" t="str">
        <f t="shared" si="291"/>
        <v>https://tinyurl.com/y9ky4yhq</v>
      </c>
      <c r="DK502" s="89" t="str">
        <f t="shared" si="292"/>
        <v>https://tinyurl.com/y8zobwhx</v>
      </c>
      <c r="DL502" s="89" t="str">
        <f t="shared" si="293"/>
        <v>https://tinyurl.com/yct25egw</v>
      </c>
      <c r="DM502" s="219" t="str">
        <f t="shared" si="294"/>
        <v>Thunderbird Sport Ti</v>
      </c>
      <c r="DN502" s="89" t="str">
        <f t="shared" si="295"/>
        <v xml:space="preserve"> BlizzardThunderbird Sport Ti160 Unisex</v>
      </c>
      <c r="DO502" s="221" t="s">
        <v>640</v>
      </c>
    </row>
    <row r="503" spans="2:119" ht="15.6" customHeight="1">
      <c r="B503" s="219" t="b">
        <f t="array" ref="B503">IF(OR(ISERROR(K503:P503)),FALSE,TRUE)</f>
        <v>1</v>
      </c>
      <c r="C503" s="43" t="b">
        <f>OR(BR503=Driver!$G$50,Data!BR248=Driver!$H$50)</f>
        <v>1</v>
      </c>
      <c r="D503" s="43" t="b">
        <f>OR(BV503=Driver!$G$51,BV503=Driver!$H$51)</f>
        <v>1</v>
      </c>
      <c r="E503" s="43" t="b">
        <f>AND(BX503&gt;Driver!$F$54,BX503&lt;Driver!$G$54)</f>
        <v>0</v>
      </c>
      <c r="F503" s="43" t="b">
        <f>CL503&gt;Driver!$F$56</f>
        <v>1</v>
      </c>
      <c r="G503" s="43" t="b">
        <f>AND(CB503&gt;Driver!$F$55,CB503&lt;Driver!$G$55)</f>
        <v>1</v>
      </c>
      <c r="H503" s="43" t="b">
        <f t="shared" si="259"/>
        <v>0</v>
      </c>
      <c r="I503" s="43">
        <f t="shared" si="260"/>
        <v>1</v>
      </c>
      <c r="J503" s="43" t="b">
        <f t="array" ref="J503">NOT(OR(($H$9:$H$1273=TRUE)*($I$9:$I$1273&gt;0)*($BT$9:$BT$1273=BT503)*($K$9:$K$1273&gt;K503)))</f>
        <v>0</v>
      </c>
      <c r="K503" s="72">
        <f t="shared" si="261"/>
        <v>0.83465926998199014</v>
      </c>
      <c r="L503" s="72">
        <f t="shared" si="262"/>
        <v>0.93998203920776691</v>
      </c>
      <c r="M503" s="72">
        <f t="shared" si="263"/>
        <v>0.72933650075621337</v>
      </c>
      <c r="N503" s="72">
        <f t="shared" si="264"/>
        <v>0.56206846313760428</v>
      </c>
      <c r="O503" s="72">
        <f t="shared" si="265"/>
        <v>0.64784835691046849</v>
      </c>
      <c r="P503" s="72">
        <f t="shared" si="266"/>
        <v>0.97809268222056756</v>
      </c>
      <c r="Q503" s="72"/>
      <c r="R503" s="72"/>
      <c r="S503" s="72">
        <f t="shared" si="267"/>
        <v>0.44547204128510987</v>
      </c>
      <c r="T503" s="72">
        <f t="shared" si="268"/>
        <v>0.50555540580747671</v>
      </c>
      <c r="U503" s="72">
        <f t="shared" si="269"/>
        <v>0.56805871027274535</v>
      </c>
      <c r="V503" s="72">
        <f t="shared" si="270"/>
        <v>0.55122376650885507</v>
      </c>
      <c r="W503" s="72">
        <f t="shared" si="271"/>
        <v>0.78956851311953358</v>
      </c>
      <c r="X503" s="72">
        <f t="shared" si="272"/>
        <v>6.0017960792233094E-2</v>
      </c>
      <c r="Y503" s="72">
        <f t="shared" si="273"/>
        <v>0.27066349924378658</v>
      </c>
      <c r="Z503" s="72">
        <f t="shared" si="274"/>
        <v>0.43793153686239572</v>
      </c>
      <c r="AA503" s="72">
        <f t="shared" si="275"/>
        <v>0.35215164308953156</v>
      </c>
      <c r="AB503" s="72">
        <f t="shared" si="276"/>
        <v>2.1907317779432472E-2</v>
      </c>
      <c r="AC503" s="72"/>
      <c r="AD503" s="72"/>
      <c r="AE503" s="72">
        <f t="shared" si="277"/>
        <v>0.55452795871489013</v>
      </c>
      <c r="AF503" s="72">
        <f t="shared" si="278"/>
        <v>0.49444459419252329</v>
      </c>
      <c r="AG503" s="72">
        <f t="shared" si="279"/>
        <v>0.43194128972725465</v>
      </c>
      <c r="AH503" s="72">
        <f t="shared" si="280"/>
        <v>0.44877623349114487</v>
      </c>
      <c r="AI503" s="72">
        <f t="shared" si="281"/>
        <v>0.21043148688046648</v>
      </c>
      <c r="AJ503" s="72">
        <f>(AV503-Driver!$K$179)/(Driver!$L$179-Driver!$K$179)</f>
        <v>0.31423737007493352</v>
      </c>
      <c r="AK503" s="72">
        <f>(AW503-Driver!$K$180)/(Driver!$L$180-Driver!$K$180)</f>
        <v>0.25933016761721667</v>
      </c>
      <c r="AL503" s="72">
        <f>(AX503-Driver!$K$181)/(Driver!$L$181-Driver!$K$181)</f>
        <v>0.53961930057547591</v>
      </c>
      <c r="AM503" s="72">
        <f>(AY503-Driver!$K$182)/(Driver!$L$182-Driver!$K$182)</f>
        <v>9.5233378007514802E-2</v>
      </c>
      <c r="AN503" s="72">
        <f>(AZ503-Driver!$K$183)/(Driver!$L$183-Driver!$K$183)</f>
        <v>0.23231209150326795</v>
      </c>
      <c r="AO503" s="72"/>
      <c r="AP503" s="72"/>
      <c r="AQ503" s="72">
        <f>(BC503-Driver!$K$188)/(Driver!$L$188-Driver!$K$188)</f>
        <v>6.5472041285109833E-2</v>
      </c>
      <c r="AR503" s="72">
        <f>MIN((BD503-Driver!$K$189)/(Driver!$L$189-Driver!$K$189),100%)</f>
        <v>5.555540580747674E-2</v>
      </c>
      <c r="AS503" s="72">
        <f>(BE503-Driver!$K$190)/(Driver!$L$190-Driver!$K$190)</f>
        <v>7.805871027274533E-2</v>
      </c>
      <c r="AT503" s="72">
        <f>(BF503-Driver!$K$191)/(Driver!$L$191-Driver!$K$191)</f>
        <v>6.1223766508855117E-2</v>
      </c>
      <c r="AU503" s="72">
        <f>(BG503-Driver!$K$192)/(Driver!$L$192-Driver!$K$192)</f>
        <v>3.9568513119533529E-2</v>
      </c>
      <c r="AV503" s="70">
        <f t="shared" si="282"/>
        <v>6.6137566137566139</v>
      </c>
      <c r="AW503" s="70">
        <f t="shared" si="283"/>
        <v>27.145915354802657</v>
      </c>
      <c r="AX503" s="70">
        <f t="shared" si="284"/>
        <v>5.856573705179283</v>
      </c>
      <c r="AY503" s="70">
        <f>IFERROR(Driver!$K$19/Data!BH503/Data!BI503*Data!BK503*Data!BL503,"")</f>
        <v>0.11659406957869965</v>
      </c>
      <c r="AZ503" s="70">
        <f t="shared" si="285"/>
        <v>21.172747580044675</v>
      </c>
      <c r="BA503" s="70"/>
      <c r="BB503" s="70"/>
      <c r="BC503" s="70">
        <f t="shared" si="286"/>
        <v>33.960802968833256</v>
      </c>
      <c r="BD503" s="70">
        <f t="shared" si="287"/>
        <v>6.6373778597052313</v>
      </c>
      <c r="BE503" s="70">
        <f t="shared" si="288"/>
        <v>7.8223174221941444E-2</v>
      </c>
      <c r="BF503" s="70">
        <f t="shared" si="289"/>
        <v>6.9147943058722916</v>
      </c>
      <c r="BG503" s="70">
        <f t="shared" si="290"/>
        <v>0.14983163265306124</v>
      </c>
      <c r="BH503" s="67">
        <f>MAX((CE503-Driver!$F$200)/(Driver!$G$200-Driver!$F$200)*$BI$1,1)</f>
        <v>5.856573705179283</v>
      </c>
      <c r="BI503" s="67">
        <f>MAX($BI$1*(BY503-Driver!$F$201)/(Driver!$G$201-Driver!$F$201),1)</f>
        <v>7.6582278481012658</v>
      </c>
      <c r="BJ503" s="67">
        <f>(CB503-Driver!$F$206)/(Driver!$G$206-Driver!$F$206)*$BI$1</f>
        <v>6.1904761904761907</v>
      </c>
      <c r="BK503" s="67">
        <f>(CD503-Driver!$F$203)/(Driver!$G$203-Driver!$F$203)*$BI$1</f>
        <v>3.9908256880733957</v>
      </c>
      <c r="BL503" s="67">
        <f>MAX((CR503-Driver!$F$202)/(Driver!$G$202-Driver!$F$202)*$BI$1,1)</f>
        <v>6.5517241379310338</v>
      </c>
      <c r="BM503" s="67">
        <f>MAX((CH503-Driver!$F$204)/(Driver!$G$204-Driver!$F$204)*$BI$1,1)</f>
        <v>4.2735042735042734</v>
      </c>
      <c r="BN503" s="67">
        <f>(CI503-Driver!$F$205)/(Driver!$G$205-Driver!$F$205)*$BI$1</f>
        <v>2.7647058823529411</v>
      </c>
      <c r="BO503" s="67">
        <f>(CK503-Driver!$F$207)/(Driver!$G$207-Driver!$F$207)*$BI$1</f>
        <v>1.892450879007239</v>
      </c>
      <c r="BP503" s="67">
        <f>(CM503-Driver!$F$208)/(Driver!$G$208-Driver!$F$208)*$BI$1</f>
        <v>2.3555555555555556</v>
      </c>
      <c r="BQ503" s="67">
        <f>(CL503-Driver!$F$209)/(Driver!$G$209-Driver!$F$209)*$BI$1</f>
        <v>3.75</v>
      </c>
      <c r="BR503" s="28" t="s">
        <v>155</v>
      </c>
      <c r="BS503" s="8" t="s">
        <v>354</v>
      </c>
      <c r="BT503" s="9" t="s">
        <v>500</v>
      </c>
      <c r="BU503" s="10">
        <v>179</v>
      </c>
      <c r="BV503" s="9" t="s">
        <v>158</v>
      </c>
      <c r="BW503" s="10">
        <v>179</v>
      </c>
      <c r="BX503" s="10">
        <v>179.6</v>
      </c>
      <c r="BY503" s="10">
        <v>129</v>
      </c>
      <c r="BZ503" s="10">
        <v>141</v>
      </c>
      <c r="CA503" s="10">
        <v>135</v>
      </c>
      <c r="CB503" s="10">
        <v>103</v>
      </c>
      <c r="CC503" s="10">
        <v>122</v>
      </c>
      <c r="CD503" s="10">
        <v>18.100000000000001</v>
      </c>
      <c r="CE503" s="10">
        <v>1929</v>
      </c>
      <c r="CF503" s="10">
        <v>1.05</v>
      </c>
      <c r="CG503" s="10">
        <v>2028</v>
      </c>
      <c r="CH503" s="10">
        <v>201</v>
      </c>
      <c r="CI503" s="10">
        <v>80</v>
      </c>
      <c r="CJ503" s="10">
        <v>46</v>
      </c>
      <c r="CK503" s="10">
        <v>293</v>
      </c>
      <c r="CL503" s="10">
        <v>24</v>
      </c>
      <c r="CM503" s="10">
        <v>212</v>
      </c>
      <c r="CN503" s="10">
        <v>0.51900000000000002</v>
      </c>
      <c r="CO503" s="10">
        <v>233</v>
      </c>
      <c r="CP503" s="10">
        <v>151</v>
      </c>
      <c r="CQ503" s="10">
        <v>60</v>
      </c>
      <c r="CR503" s="10">
        <v>8</v>
      </c>
      <c r="CS503" s="10">
        <v>9.1999999999999993</v>
      </c>
      <c r="CT503" s="9" t="s">
        <v>188</v>
      </c>
      <c r="CU503" s="9" t="s">
        <v>169</v>
      </c>
      <c r="CV503" s="9" t="s">
        <v>185</v>
      </c>
      <c r="CW503" s="10"/>
      <c r="CX503" t="str">
        <f>INDEX('Data_Price '!AG$2:AG$1266,MATCH(Data!$DN503,'Data_Price '!$AT$2:$AT$1266,0))</f>
        <v>Black Diamond Impulse 104 Skis</v>
      </c>
      <c r="CY503" t="str">
        <f>INDEX('Data_Price '!AH$2:AH$1266,MATCH(Data!$DN503,'Data_Price '!$AT$2:$AT$1266,0))</f>
        <v>Powder7 Ski Shop</v>
      </c>
      <c r="CZ503">
        <f>INDEX('Data_Price '!AI$2:AI$1266,MATCH(Data!$DN503,'Data_Price '!$AT$2:$AT$1266,0))</f>
        <v>583.96</v>
      </c>
      <c r="DA503" t="str">
        <f>INDEX('Data_Price '!AJ$2:AJ$1266,MATCH(Data!$DN503,'Data_Price '!$AT$2:$AT$1266,0))</f>
        <v>https://tinyurl.com/ycfuu4f4</v>
      </c>
      <c r="DB503" t="str">
        <f>INDEX('Data_Price '!AK$2:AK$1266,MATCH(Data!$DN503,'Data_Price '!$AT$2:$AT$1266,0))</f>
        <v>Black Diamond Impulse 104 Skis</v>
      </c>
      <c r="DC503" t="str">
        <f>INDEX('Data_Price '!AL$2:AL$1266,MATCH(Data!$DN503,'Data_Price '!$AT$2:$AT$1266,0))</f>
        <v>Black Diamond Equipment - US</v>
      </c>
      <c r="DD503">
        <f>INDEX('Data_Price '!AM$2:AM$1266,MATCH(Data!$DN503,'Data_Price '!$AT$2:$AT$1266,0))</f>
        <v>583.96</v>
      </c>
      <c r="DE503" t="str">
        <f>INDEX('Data_Price '!AN$2:AN$1266,MATCH(Data!$DN503,'Data_Price '!$AT$2:$AT$1266,0))</f>
        <v>https://tinyurl.com/yc3uqabz</v>
      </c>
      <c r="DF503" t="str">
        <f>INDEX('Data_Price '!AO$2:AO$1266,MATCH(Data!$DN503,'Data_Price '!$AT$2:$AT$1266,0))</f>
        <v>Black Diamond Impulse 104 Skis</v>
      </c>
      <c r="DG503" t="str">
        <f>INDEX('Data_Price '!AP$2:AP$1266,MATCH(Data!$DN503,'Data_Price '!$AT$2:$AT$1266,0))</f>
        <v>SkatePro.com</v>
      </c>
      <c r="DH503">
        <f>INDEX('Data_Price '!AQ$2:AQ$1266,MATCH(Data!$DN503,'Data_Price '!$AT$2:$AT$1266,0))</f>
        <v>629.95000000000005</v>
      </c>
      <c r="DI503" t="str">
        <f>INDEX('Data_Price '!AR$2:AR$1266,MATCH(Data!$DN503,'Data_Price '!$AT$2:$AT$1266,0))</f>
        <v>https://tinyurl.com/y8nk9dkh</v>
      </c>
      <c r="DJ503" s="89" t="str">
        <f t="shared" si="291"/>
        <v>https://tinyurl.com/ycfuu4f4</v>
      </c>
      <c r="DK503" s="89" t="str">
        <f t="shared" si="292"/>
        <v>https://tinyurl.com/yc3uqabz</v>
      </c>
      <c r="DL503" s="89" t="str">
        <f t="shared" si="293"/>
        <v>https://tinyurl.com/y8nk9dkh</v>
      </c>
      <c r="DM503" s="219" t="str">
        <f t="shared" si="294"/>
        <v>Impulse 104</v>
      </c>
      <c r="DN503" s="89" t="str">
        <f t="shared" si="295"/>
        <v xml:space="preserve"> Black DiamondImpulse 104179 Unisex</v>
      </c>
      <c r="DO503" s="221" t="s">
        <v>501</v>
      </c>
    </row>
    <row r="504" spans="2:119" ht="15.6" customHeight="1">
      <c r="B504" s="219" t="b">
        <f t="array" ref="B504">IF(OR(ISERROR(K504:P504)),FALSE,TRUE)</f>
        <v>1</v>
      </c>
      <c r="C504" s="43" t="b">
        <f>OR(BR504=Driver!$G$50,Data!BR54=Driver!$H$50)</f>
        <v>1</v>
      </c>
      <c r="D504" s="43" t="b">
        <f>OR(BV504=Driver!$G$51,BV504=Driver!$H$51)</f>
        <v>0</v>
      </c>
      <c r="E504" s="43" t="b">
        <f>AND(BX504&gt;Driver!$F$54,BX504&lt;Driver!$G$54)</f>
        <v>1</v>
      </c>
      <c r="F504" s="43" t="b">
        <f>CL504&gt;Driver!$F$56</f>
        <v>1</v>
      </c>
      <c r="G504" s="43" t="b">
        <f>AND(CB504&gt;Driver!$F$55,CB504&lt;Driver!$G$55)</f>
        <v>0</v>
      </c>
      <c r="H504" s="43" t="b">
        <f t="shared" si="259"/>
        <v>0</v>
      </c>
      <c r="I504" s="43">
        <f t="shared" si="260"/>
        <v>0</v>
      </c>
      <c r="J504" s="43" t="b">
        <f t="array" ref="J504">NOT(OR(($H$9:$H$1273=TRUE)*($I$9:$I$1273&gt;0)*($BT$9:$BT$1273=BT504)*($K$9:$K$1273&gt;K504)))</f>
        <v>1</v>
      </c>
      <c r="K504" s="72">
        <f t="shared" si="261"/>
        <v>0.82420500408497355</v>
      </c>
      <c r="L504" s="72">
        <f t="shared" si="262"/>
        <v>0.81177043843303553</v>
      </c>
      <c r="M504" s="72">
        <f t="shared" si="263"/>
        <v>0.83663956973691134</v>
      </c>
      <c r="N504" s="72">
        <f t="shared" si="264"/>
        <v>0.80047989676816145</v>
      </c>
      <c r="O504" s="72">
        <f t="shared" si="265"/>
        <v>0.72060266616971758</v>
      </c>
      <c r="P504" s="72">
        <f t="shared" si="266"/>
        <v>0.9888361462728551</v>
      </c>
      <c r="Q504" s="72"/>
      <c r="R504" s="72"/>
      <c r="S504" s="72">
        <f t="shared" si="267"/>
        <v>0.46476569239759735</v>
      </c>
      <c r="T504" s="72">
        <f t="shared" si="268"/>
        <v>0.47644025975538051</v>
      </c>
      <c r="U504" s="72">
        <f t="shared" si="269"/>
        <v>0.76330309996881374</v>
      </c>
      <c r="V504" s="72">
        <f t="shared" si="270"/>
        <v>0.50018143136114557</v>
      </c>
      <c r="W504" s="72">
        <f t="shared" si="271"/>
        <v>0.99647239263803677</v>
      </c>
      <c r="X504" s="72">
        <f t="shared" si="272"/>
        <v>0.18822956156696441</v>
      </c>
      <c r="Y504" s="72">
        <f t="shared" si="273"/>
        <v>0.16336043026308864</v>
      </c>
      <c r="Z504" s="72">
        <f t="shared" si="274"/>
        <v>0.19952010323183855</v>
      </c>
      <c r="AA504" s="72">
        <f t="shared" si="275"/>
        <v>0.27939733383028242</v>
      </c>
      <c r="AB504" s="72">
        <f t="shared" si="276"/>
        <v>1.1163853727144873E-2</v>
      </c>
      <c r="AC504" s="72"/>
      <c r="AD504" s="72"/>
      <c r="AE504" s="72">
        <f t="shared" si="277"/>
        <v>0.53523430760240265</v>
      </c>
      <c r="AF504" s="72">
        <f t="shared" si="278"/>
        <v>0.52355974024461949</v>
      </c>
      <c r="AG504" s="72">
        <f t="shared" si="279"/>
        <v>0.23669690003118626</v>
      </c>
      <c r="AH504" s="72">
        <f t="shared" si="280"/>
        <v>0.49981856863885443</v>
      </c>
      <c r="AI504" s="72">
        <f t="shared" si="281"/>
        <v>3.5276073619632253E-3</v>
      </c>
      <c r="AJ504" s="72">
        <f>(AV504-Driver!$K$179)/(Driver!$L$179-Driver!$K$179)</f>
        <v>6.5989847715736016E-2</v>
      </c>
      <c r="AK504" s="72">
        <f>(AW504-Driver!$K$180)/(Driver!$L$180-Driver!$K$180)</f>
        <v>0.24827443849979497</v>
      </c>
      <c r="AL504" s="72">
        <f>(AX504-Driver!$K$181)/(Driver!$L$181-Driver!$K$181)</f>
        <v>0.30120786694491875</v>
      </c>
      <c r="AM504" s="72">
        <f>(AY504-Driver!$K$182)/(Driver!$L$182-Driver!$K$182)</f>
        <v>0.16798768726676391</v>
      </c>
      <c r="AN504" s="72">
        <f>(AZ504-Driver!$K$183)/(Driver!$L$183-Driver!$K$183)</f>
        <v>0.24305555555555555</v>
      </c>
      <c r="AO504" s="72"/>
      <c r="AP504" s="72"/>
      <c r="AQ504" s="72">
        <f>(BC504-Driver!$K$188)/(Driver!$L$188-Driver!$K$188)</f>
        <v>8.476569239759732E-2</v>
      </c>
      <c r="AR504" s="72">
        <f>MIN((BD504-Driver!$K$189)/(Driver!$L$189-Driver!$K$189),100%)</f>
        <v>2.6440259755380512E-2</v>
      </c>
      <c r="AS504" s="72">
        <f>(BE504-Driver!$K$190)/(Driver!$L$190-Driver!$K$190)</f>
        <v>0.27330309996881375</v>
      </c>
      <c r="AT504" s="72">
        <f>(BF504-Driver!$K$191)/(Driver!$L$191-Driver!$K$191)</f>
        <v>1.0181431361145587E-2</v>
      </c>
      <c r="AU504" s="72">
        <f>(BG504-Driver!$K$192)/(Driver!$L$192-Driver!$K$192)</f>
        <v>0.25352760736196323</v>
      </c>
      <c r="AV504" s="70">
        <f t="shared" si="282"/>
        <v>1.3888888888888886</v>
      </c>
      <c r="AW504" s="70">
        <f t="shared" si="283"/>
        <v>26.068436588584238</v>
      </c>
      <c r="AX504" s="70">
        <f t="shared" si="284"/>
        <v>3.7108708025042687</v>
      </c>
      <c r="AY504" s="70">
        <f>IFERROR(Driver!$K$19/Data!BH504/Data!BI504*Data!BK504*Data!BL504,"")</f>
        <v>0.20566705190275159</v>
      </c>
      <c r="AZ504" s="70">
        <f t="shared" si="285"/>
        <v>22.151898734177216</v>
      </c>
      <c r="BA504" s="70"/>
      <c r="BB504" s="70"/>
      <c r="BC504" s="70">
        <f t="shared" si="286"/>
        <v>43.968553928167019</v>
      </c>
      <c r="BD504" s="70">
        <f t="shared" si="287"/>
        <v>4.0607390230808385</v>
      </c>
      <c r="BE504" s="70">
        <f t="shared" si="288"/>
        <v>0.27343273451645733</v>
      </c>
      <c r="BF504" s="70">
        <f t="shared" si="289"/>
        <v>1.1499211436378451</v>
      </c>
      <c r="BG504" s="70">
        <f t="shared" si="290"/>
        <v>0.96001725460122711</v>
      </c>
      <c r="BH504" s="67">
        <f>MAX((CE504-Driver!$F$200)/(Driver!$G$200-Driver!$F$200)*$BI$1,1)</f>
        <v>3.7108708025042687</v>
      </c>
      <c r="BI504" s="67">
        <f>MAX($BI$1*(BY504-Driver!$F$201)/(Driver!$G$201-Driver!$F$201),1)</f>
        <v>7.5316455696202533</v>
      </c>
      <c r="BJ504" s="67">
        <f>(CB504-Driver!$F$206)/(Driver!$G$206-Driver!$F$206)*$BI$1</f>
        <v>3.333333333333333</v>
      </c>
      <c r="BK504" s="67">
        <f>(CD504-Driver!$F$203)/(Driver!$G$203-Driver!$F$203)*$BI$1</f>
        <v>3.623853211009175</v>
      </c>
      <c r="BL504" s="67">
        <f>MAX((CR504-Driver!$F$202)/(Driver!$G$202-Driver!$F$202)*$BI$1,1)</f>
        <v>7.931034482758621</v>
      </c>
      <c r="BM504" s="67">
        <f>MAX((CH504-Driver!$F$204)/(Driver!$G$204-Driver!$F$204)*$BI$1,1)</f>
        <v>1.6666666666666665</v>
      </c>
      <c r="BN504" s="67">
        <f>(CI504-Driver!$F$205)/(Driver!$G$205-Driver!$F$205)*$BI$1</f>
        <v>2.9411764705882355</v>
      </c>
      <c r="BO504" s="67">
        <f>(CK504-Driver!$F$207)/(Driver!$G$207-Driver!$F$207)*$BI$1</f>
        <v>0.70320579110651493</v>
      </c>
      <c r="BP504" s="67">
        <f>(CM504-Driver!$F$208)/(Driver!$G$208-Driver!$F$208)*$BI$1</f>
        <v>1.7777777777777779</v>
      </c>
      <c r="BQ504" s="67">
        <f>(CL504-Driver!$F$209)/(Driver!$G$209-Driver!$F$209)*$BI$1</f>
        <v>5.9375</v>
      </c>
      <c r="BR504" s="28" t="s">
        <v>155</v>
      </c>
      <c r="BS504" s="8" t="s">
        <v>182</v>
      </c>
      <c r="BT504" s="9" t="s">
        <v>235</v>
      </c>
      <c r="BU504" s="10">
        <v>163</v>
      </c>
      <c r="BV504" s="9" t="s">
        <v>163</v>
      </c>
      <c r="BW504" s="10">
        <v>163</v>
      </c>
      <c r="BX504" s="10">
        <v>160.9</v>
      </c>
      <c r="BY504" s="10">
        <v>127</v>
      </c>
      <c r="BZ504" s="10">
        <v>137</v>
      </c>
      <c r="CA504" s="10">
        <v>113</v>
      </c>
      <c r="CB504" s="10">
        <v>85</v>
      </c>
      <c r="CC504" s="10">
        <v>107</v>
      </c>
      <c r="CD504" s="10">
        <v>17.3</v>
      </c>
      <c r="CE504" s="10">
        <v>1552</v>
      </c>
      <c r="CF504" s="10">
        <v>0.98</v>
      </c>
      <c r="CG504" s="10">
        <v>1524</v>
      </c>
      <c r="CH504" s="10">
        <v>140</v>
      </c>
      <c r="CI504" s="10">
        <v>83</v>
      </c>
      <c r="CJ504" s="10">
        <v>43</v>
      </c>
      <c r="CK504" s="10">
        <v>178</v>
      </c>
      <c r="CL504" s="10">
        <v>38</v>
      </c>
      <c r="CM504" s="10">
        <v>160</v>
      </c>
      <c r="CN504" s="10">
        <v>0.86599999999999999</v>
      </c>
      <c r="CO504" s="10">
        <v>107</v>
      </c>
      <c r="CP504" s="10">
        <v>127</v>
      </c>
      <c r="CQ504" s="10">
        <v>71</v>
      </c>
      <c r="CR504" s="10">
        <v>12</v>
      </c>
      <c r="CS504" s="10">
        <v>3.8</v>
      </c>
      <c r="CT504" s="9" t="s">
        <v>184</v>
      </c>
      <c r="CU504" s="10"/>
      <c r="CV504" s="10"/>
      <c r="CW504" s="10"/>
      <c r="CX504" t="str">
        <f>INDEX('Data_Price '!AG$2:AG$1266,MATCH(Data!$DN504,'Data_Price '!$AT$2:$AT$1266,0))</f>
        <v>Armada ARW 86 Women's Skis Â· 2022 Â· 163 cm</v>
      </c>
      <c r="CY504" t="str">
        <f>INDEX('Data_Price '!AH$2:AH$1266,MATCH(Data!$DN504,'Data_Price '!$AT$2:$AT$1266,0))</f>
        <v>Powder7 Ski Shop</v>
      </c>
      <c r="CZ504">
        <f>INDEX('Data_Price '!AI$2:AI$1266,MATCH(Data!$DN504,'Data_Price '!$AT$2:$AT$1266,0))</f>
        <v>379.95</v>
      </c>
      <c r="DA504" t="str">
        <f>INDEX('Data_Price '!AJ$2:AJ$1266,MATCH(Data!$DN504,'Data_Price '!$AT$2:$AT$1266,0))</f>
        <v>https://tinyurl.com/ybqe6fgm</v>
      </c>
      <c r="DB504" t="str">
        <f>INDEX('Data_Price '!AK$2:AK$1266,MATCH(Data!$DN504,'Data_Price '!$AT$2:$AT$1266,0))</f>
        <v>Armada ARW 86 Women's Skis Â· 2022 Â· 163 cm</v>
      </c>
      <c r="DC504" t="str">
        <f>INDEX('Data_Price '!AL$2:AL$1266,MATCH(Data!$DN504,'Data_Price '!$AT$2:$AT$1266,0))</f>
        <v>BlueZone Sports</v>
      </c>
      <c r="DD504">
        <f>INDEX('Data_Price '!AM$2:AM$1266,MATCH(Data!$DN504,'Data_Price '!$AT$2:$AT$1266,0))</f>
        <v>399.95</v>
      </c>
      <c r="DE504" t="str">
        <f>INDEX('Data_Price '!AN$2:AN$1266,MATCH(Data!$DN504,'Data_Price '!$AT$2:$AT$1266,0))</f>
        <v>https://tinyurl.com/yatdtu7o</v>
      </c>
      <c r="DF504" t="str">
        <f>INDEX('Data_Price '!AO$2:AO$1266,MATCH(Data!$DN504,'Data_Price '!$AT$2:$AT$1266,0))</f>
        <v>Armada ARW 86 Skis 2022 163</v>
      </c>
      <c r="DG504" t="str">
        <f>INDEX('Data_Price '!AP$2:AP$1266,MATCH(Data!$DN504,'Data_Price '!$AT$2:$AT$1266,0))</f>
        <v>Winteriscalling.com</v>
      </c>
      <c r="DH504">
        <f>INDEX('Data_Price '!AQ$2:AQ$1266,MATCH(Data!$DN504,'Data_Price '!$AT$2:$AT$1266,0))</f>
        <v>399.99</v>
      </c>
      <c r="DI504" t="str">
        <f>INDEX('Data_Price '!AR$2:AR$1266,MATCH(Data!$DN504,'Data_Price '!$AT$2:$AT$1266,0))</f>
        <v>https://tinyurl.com/y8ghscch</v>
      </c>
      <c r="DJ504" s="89" t="str">
        <f t="shared" si="291"/>
        <v>https://tinyurl.com/ybqe6fgm</v>
      </c>
      <c r="DK504" s="89" t="str">
        <f t="shared" si="292"/>
        <v>https://tinyurl.com/yatdtu7o</v>
      </c>
      <c r="DL504" s="89" t="str">
        <f t="shared" si="293"/>
        <v>https://tinyurl.com/y8ghscch</v>
      </c>
      <c r="DM504" s="219" t="str">
        <f t="shared" si="294"/>
        <v>ARW 86</v>
      </c>
      <c r="DN504" s="89" t="str">
        <f t="shared" si="295"/>
        <v xml:space="preserve"> ArmadaARW 86163 Women's</v>
      </c>
      <c r="DO504" s="221" t="s">
        <v>236</v>
      </c>
    </row>
    <row r="505" spans="2:119" ht="15.6" customHeight="1">
      <c r="B505" s="219" t="b">
        <f t="array" ref="B505">IF(OR(ISERROR(K505:P505)),FALSE,TRUE)</f>
        <v>1</v>
      </c>
      <c r="C505" s="43" t="b">
        <f>OR(BR505=Driver!$G$50,Data!BR428=Driver!$H$50)</f>
        <v>1</v>
      </c>
      <c r="D505" s="43" t="b">
        <f>OR(BV505=Driver!$G$51,BV505=Driver!$H$51)</f>
        <v>1</v>
      </c>
      <c r="E505" s="43" t="b">
        <f>AND(BX505&gt;Driver!$F$54,BX505&lt;Driver!$G$54)</f>
        <v>0</v>
      </c>
      <c r="F505" s="43" t="b">
        <f>CL505&gt;Driver!$F$56</f>
        <v>1</v>
      </c>
      <c r="G505" s="43" t="b">
        <f>AND(CB505&gt;Driver!$F$55,CB505&lt;Driver!$G$55)</f>
        <v>0</v>
      </c>
      <c r="H505" s="43" t="b">
        <f t="shared" si="259"/>
        <v>0</v>
      </c>
      <c r="I505" s="43">
        <f t="shared" si="260"/>
        <v>0</v>
      </c>
      <c r="J505" s="43" t="b">
        <f t="array" ref="J505">NOT(OR(($H$9:$H$1273=TRUE)*($I$9:$I$1273&gt;0)*($BT$9:$BT$1273=BT505)*($K$9:$K$1273&gt;K505)))</f>
        <v>1</v>
      </c>
      <c r="K505" s="72">
        <f t="shared" si="261"/>
        <v>0.78888447416774188</v>
      </c>
      <c r="L505" s="72">
        <f t="shared" si="262"/>
        <v>0.86188727027575573</v>
      </c>
      <c r="M505" s="72">
        <f t="shared" si="263"/>
        <v>0.71588167805972791</v>
      </c>
      <c r="N505" s="72">
        <f t="shared" si="264"/>
        <v>0.62657235234268871</v>
      </c>
      <c r="O505" s="72">
        <f t="shared" si="265"/>
        <v>0.62469640980869623</v>
      </c>
      <c r="P505" s="72">
        <f t="shared" si="266"/>
        <v>0.89637627202779846</v>
      </c>
      <c r="Q505" s="72"/>
      <c r="R505" s="72"/>
      <c r="S505" s="72">
        <f t="shared" si="267"/>
        <v>0.52842340155441603</v>
      </c>
      <c r="T505" s="72">
        <f t="shared" si="268"/>
        <v>0.85318134956185088</v>
      </c>
      <c r="U505" s="72">
        <f t="shared" si="269"/>
        <v>0.51</v>
      </c>
      <c r="V505" s="72">
        <f t="shared" si="270"/>
        <v>0.49116172056891216</v>
      </c>
      <c r="W505" s="72">
        <f t="shared" si="271"/>
        <v>0.75977914474171793</v>
      </c>
      <c r="X505" s="72">
        <f t="shared" si="272"/>
        <v>0.13811272972424424</v>
      </c>
      <c r="Y505" s="72">
        <f t="shared" si="273"/>
        <v>0.28411832194027214</v>
      </c>
      <c r="Z505" s="72">
        <f t="shared" si="274"/>
        <v>0.37342764765731123</v>
      </c>
      <c r="AA505" s="72">
        <f t="shared" si="275"/>
        <v>0.37530359019130372</v>
      </c>
      <c r="AB505" s="72">
        <f t="shared" si="276"/>
        <v>0.10362372797220154</v>
      </c>
      <c r="AC505" s="72"/>
      <c r="AD505" s="72"/>
      <c r="AE505" s="72">
        <f t="shared" si="277"/>
        <v>0.47157659844558397</v>
      </c>
      <c r="AF505" s="72">
        <f t="shared" si="278"/>
        <v>0.14681865043814912</v>
      </c>
      <c r="AG505" s="72">
        <f t="shared" si="279"/>
        <v>0.49</v>
      </c>
      <c r="AH505" s="72">
        <f t="shared" si="280"/>
        <v>0.50883827943108784</v>
      </c>
      <c r="AI505" s="72">
        <f t="shared" si="281"/>
        <v>0.24022085525828207</v>
      </c>
      <c r="AJ505" s="72">
        <f>(AV505-Driver!$K$179)/(Driver!$L$179-Driver!$K$179)</f>
        <v>0.11610667955845619</v>
      </c>
      <c r="AK505" s="72">
        <f>(AW505-Driver!$K$180)/(Driver!$L$180-Driver!$K$180)</f>
        <v>0.37047372270919243</v>
      </c>
      <c r="AL505" s="72">
        <f>(AX505-Driver!$K$181)/(Driver!$L$181-Driver!$K$181)</f>
        <v>0.47511541137039143</v>
      </c>
      <c r="AM505" s="72">
        <f>(AY505-Driver!$K$182)/(Driver!$L$182-Driver!$K$182)</f>
        <v>7.2081430905742636E-2</v>
      </c>
      <c r="AN505" s="72">
        <f>(AZ505-Driver!$K$183)/(Driver!$L$183-Driver!$K$183)</f>
        <v>0.35784313725490197</v>
      </c>
      <c r="AO505" s="72"/>
      <c r="AP505" s="72"/>
      <c r="AQ505" s="72">
        <f>(BC505-Driver!$K$188)/(Driver!$L$188-Driver!$K$188)</f>
        <v>0.14842340155441605</v>
      </c>
      <c r="AR505" s="72">
        <f>MIN((BD505-Driver!$K$189)/(Driver!$L$189-Driver!$K$189),100%)</f>
        <v>0.40318134956185092</v>
      </c>
      <c r="AS505" s="72">
        <f>(BE505-Driver!$K$190)/(Driver!$L$190-Driver!$K$190)</f>
        <v>1</v>
      </c>
      <c r="AT505" s="72">
        <f>(BF505-Driver!$K$191)/(Driver!$L$191-Driver!$K$191)</f>
        <v>1.1617205689122266E-3</v>
      </c>
      <c r="AU505" s="72">
        <f>(BG505-Driver!$K$192)/(Driver!$L$192-Driver!$K$192)</f>
        <v>9.7791447417179284E-3</v>
      </c>
      <c r="AV505" s="70">
        <f t="shared" si="282"/>
        <v>2.44369827703161</v>
      </c>
      <c r="AW505" s="70">
        <f t="shared" si="283"/>
        <v>37.977839630599213</v>
      </c>
      <c r="AX505" s="70">
        <f t="shared" si="284"/>
        <v>5.2760387023335227</v>
      </c>
      <c r="AY505" s="70">
        <f>IFERROR(Driver!$K$19/Data!BH505/Data!BI505*Data!BK505*Data!BL505,"")</f>
        <v>8.8249178451836635E-2</v>
      </c>
      <c r="AZ505" s="70">
        <f t="shared" si="285"/>
        <v>32.613551749813851</v>
      </c>
      <c r="BA505" s="70"/>
      <c r="BB505" s="70"/>
      <c r="BC505" s="70">
        <f t="shared" si="286"/>
        <v>76.988250209023349</v>
      </c>
      <c r="BD505" s="70">
        <f t="shared" si="287"/>
        <v>37.401657925243093</v>
      </c>
      <c r="BE505" s="70">
        <f t="shared" si="288"/>
        <v>1</v>
      </c>
      <c r="BF505" s="70">
        <f t="shared" si="289"/>
        <v>0.1312081767097279</v>
      </c>
      <c r="BG505" s="70">
        <f t="shared" si="290"/>
        <v>3.7030080412065521E-2</v>
      </c>
      <c r="BH505" s="67">
        <f>MAX((CE505-Driver!$F$200)/(Driver!$G$200-Driver!$F$200)*$BI$1,1)</f>
        <v>5.2760387023335227</v>
      </c>
      <c r="BI505" s="67">
        <f>MAX($BI$1*(BY505-Driver!$F$201)/(Driver!$G$201-Driver!$F$201),1)</f>
        <v>9.2405063291139236</v>
      </c>
      <c r="BJ505" s="67">
        <f>(CB505-Driver!$F$206)/(Driver!$G$206-Driver!$F$206)*$BI$1</f>
        <v>1.746031746031746</v>
      </c>
      <c r="BK505" s="67">
        <f>(CD505-Driver!$F$203)/(Driver!$G$203-Driver!$F$203)*$BI$1</f>
        <v>3.1192660550458715</v>
      </c>
      <c r="BL505" s="67">
        <f>MAX((CR505-Driver!$F$202)/(Driver!$G$202-Driver!$F$202)*$BI$1,1)</f>
        <v>6.8965517241379315</v>
      </c>
      <c r="BM505" s="67">
        <f>MAX((CH505-Driver!$F$204)/(Driver!$G$204-Driver!$F$204)*$BI$1,1)</f>
        <v>5.5982905982905979</v>
      </c>
      <c r="BN505" s="67">
        <f>(CI505-Driver!$F$205)/(Driver!$G$205-Driver!$F$205)*$BI$1</f>
        <v>3.5294117647058827</v>
      </c>
      <c r="BO505" s="67">
        <f>(CK505-Driver!$F$207)/(Driver!$G$207-Driver!$F$207)*$BI$1</f>
        <v>0.31023784901758011</v>
      </c>
      <c r="BP505" s="67">
        <f>(CM505-Driver!$F$208)/(Driver!$G$208-Driver!$F$208)*$BI$1</f>
        <v>0.75555555555555554</v>
      </c>
      <c r="BQ505" s="67">
        <f>(CL505-Driver!$F$209)/(Driver!$G$209-Driver!$F$209)*$BI$1</f>
        <v>1.09375</v>
      </c>
      <c r="BR505" s="28" t="s">
        <v>155</v>
      </c>
      <c r="BS505" s="8" t="s">
        <v>164</v>
      </c>
      <c r="BT505" s="9" t="s">
        <v>641</v>
      </c>
      <c r="BU505" s="10">
        <v>176</v>
      </c>
      <c r="BV505" s="9" t="s">
        <v>158</v>
      </c>
      <c r="BW505" s="10">
        <v>176</v>
      </c>
      <c r="BX505" s="10">
        <v>174.8</v>
      </c>
      <c r="BY505" s="10">
        <v>154</v>
      </c>
      <c r="BZ505" s="10">
        <v>161</v>
      </c>
      <c r="CA505" s="10">
        <v>126</v>
      </c>
      <c r="CB505" s="10">
        <v>75</v>
      </c>
      <c r="CC505" s="10">
        <v>104</v>
      </c>
      <c r="CD505" s="10">
        <v>16.2</v>
      </c>
      <c r="CE505" s="10">
        <v>1827</v>
      </c>
      <c r="CF505" s="10">
        <v>0.86</v>
      </c>
      <c r="CG505" s="10">
        <v>1572</v>
      </c>
      <c r="CH505" s="10">
        <v>232</v>
      </c>
      <c r="CI505" s="10">
        <v>93</v>
      </c>
      <c r="CJ505" s="10">
        <v>39</v>
      </c>
      <c r="CK505" s="10">
        <v>140</v>
      </c>
      <c r="CL505" s="10">
        <v>7</v>
      </c>
      <c r="CM505" s="10">
        <v>68</v>
      </c>
      <c r="CN505" s="10">
        <v>0.17599999999999999</v>
      </c>
      <c r="CO505" s="10">
        <v>87</v>
      </c>
      <c r="CP505" s="10">
        <v>52</v>
      </c>
      <c r="CQ505" s="10">
        <v>53</v>
      </c>
      <c r="CR505" s="10">
        <v>9</v>
      </c>
      <c r="CS505" s="10">
        <v>10.5</v>
      </c>
      <c r="CT505" s="9" t="s">
        <v>349</v>
      </c>
      <c r="CU505" s="10"/>
      <c r="CV505" s="10"/>
      <c r="CW505" s="10"/>
      <c r="CX505" t="str">
        <f>INDEX('Data_Price '!AG$2:AG$1266,MATCH(Data!$DN505,'Data_Price '!$AT$2:$AT$1266,0))</f>
        <v xml:space="preserve"> 2017 Elan Amphibio 80 Xti Demo Ski with Bindings Size 176 (Option 212149)</v>
      </c>
      <c r="CY505" t="str">
        <f>INDEX('Data_Price '!AH$2:AH$1266,MATCH(Data!$DN505,'Data_Price '!$AT$2:$AT$1266,0))</f>
        <v>SidelineSwap</v>
      </c>
      <c r="CZ505">
        <f>INDEX('Data_Price '!AI$2:AI$1266,MATCH(Data!$DN505,'Data_Price '!$AT$2:$AT$1266,0))</f>
        <v>279.99</v>
      </c>
      <c r="DA505" t="str">
        <f>INDEX('Data_Price '!AJ$2:AJ$1266,MATCH(Data!$DN505,'Data_Price '!$AT$2:$AT$1266,0))</f>
        <v>https://tinyurl.com/ycq3trol</v>
      </c>
      <c r="DB505" t="str">
        <f>INDEX('Data_Price '!AK$2:AK$1266,MATCH(Data!$DN505,'Data_Price '!$AT$2:$AT$1266,0))</f>
        <v>Elan Amphibio 12 C 19/20 blue-yellow 176 Ski Men</v>
      </c>
      <c r="DC505" t="str">
        <f>INDEX('Data_Price '!AL$2:AL$1266,MATCH(Data!$DN505,'Data_Price '!$AT$2:$AT$1266,0))</f>
        <v>! OutdoorXL.com</v>
      </c>
      <c r="DD505">
        <f>INDEX('Data_Price '!AM$2:AM$1266,MATCH(Data!$DN505,'Data_Price '!$AT$2:$AT$1266,0))</f>
        <v>329.95</v>
      </c>
      <c r="DE505" t="str">
        <f>INDEX('Data_Price '!AN$2:AN$1266,MATCH(Data!$DN505,'Data_Price '!$AT$2:$AT$1266,0))</f>
        <v>https://tinyurl.com/y8xzt62f</v>
      </c>
      <c r="DF505" t="str">
        <f>INDEX('Data_Price '!AO$2:AO$1266,MATCH(Data!$DN505,'Data_Price '!$AT$2:$AT$1266,0))</f>
        <v>Elan Amphibio 14 Ti + EMX 11 Fusionx 21/22</v>
      </c>
      <c r="DG505" t="str">
        <f>INDEX('Data_Price '!AP$2:AP$1266,MATCH(Data!$DN505,'Data_Price '!$AT$2:$AT$1266,0))</f>
        <v>Snowcountry.eu</v>
      </c>
      <c r="DH505">
        <f>INDEX('Data_Price '!AQ$2:AQ$1266,MATCH(Data!$DN505,'Data_Price '!$AT$2:$AT$1266,0))</f>
        <v>414</v>
      </c>
      <c r="DI505" t="str">
        <f>INDEX('Data_Price '!AR$2:AR$1266,MATCH(Data!$DN505,'Data_Price '!$AT$2:$AT$1266,0))</f>
        <v>https://tinyurl.com/yb4ta77a</v>
      </c>
      <c r="DJ505" s="89" t="str">
        <f t="shared" si="291"/>
        <v>https://tinyurl.com/ycq3trol</v>
      </c>
      <c r="DK505" s="89" t="str">
        <f t="shared" si="292"/>
        <v>https://tinyurl.com/y8xzt62f</v>
      </c>
      <c r="DL505" s="89" t="str">
        <f t="shared" si="293"/>
        <v>https://tinyurl.com/yb4ta77a</v>
      </c>
      <c r="DM505" s="219" t="str">
        <f t="shared" si="294"/>
        <v>Amphibio STI</v>
      </c>
      <c r="DN505" s="89" t="str">
        <f t="shared" si="295"/>
        <v xml:space="preserve"> ElanAmphibio STI176 Unisex</v>
      </c>
      <c r="DO505" s="221"/>
    </row>
    <row r="506" spans="2:119" ht="15.6" customHeight="1">
      <c r="B506" s="219" t="b">
        <f t="array" ref="B506">IF(OR(ISERROR(K506:P506)),FALSE,TRUE)</f>
        <v>1</v>
      </c>
      <c r="C506" s="43" t="b">
        <f>OR(BR506=Driver!$G$50,Data!BR208=Driver!$H$50)</f>
        <v>1</v>
      </c>
      <c r="D506" s="43" t="b">
        <f>OR(BV506=Driver!$G$51,BV506=Driver!$H$51)</f>
        <v>0</v>
      </c>
      <c r="E506" s="43" t="b">
        <f>AND(BX506&gt;Driver!$F$54,BX506&lt;Driver!$G$54)</f>
        <v>0</v>
      </c>
      <c r="F506" s="43" t="b">
        <f>CL506&gt;Driver!$F$56</f>
        <v>1</v>
      </c>
      <c r="G506" s="43" t="b">
        <f>AND(CB506&gt;Driver!$F$55,CB506&lt;Driver!$G$55)</f>
        <v>0</v>
      </c>
      <c r="H506" s="43" t="b">
        <f t="shared" si="259"/>
        <v>0</v>
      </c>
      <c r="I506" s="43">
        <f t="shared" si="260"/>
        <v>0</v>
      </c>
      <c r="J506" s="43" t="b">
        <f t="array" ref="J506">NOT(OR(($H$9:$H$1273=TRUE)*($I$9:$I$1273&gt;0)*($BT$9:$BT$1273=BT506)*($K$9:$K$1273&gt;K506)))</f>
        <v>1</v>
      </c>
      <c r="K506" s="72">
        <f t="shared" si="261"/>
        <v>0.85179000823787865</v>
      </c>
      <c r="L506" s="72">
        <f t="shared" si="262"/>
        <v>0.93456473381616345</v>
      </c>
      <c r="M506" s="72">
        <f t="shared" si="263"/>
        <v>0.76901528265959374</v>
      </c>
      <c r="N506" s="72">
        <f t="shared" si="264"/>
        <v>0.69487058797160173</v>
      </c>
      <c r="O506" s="72">
        <f t="shared" si="265"/>
        <v>0.67252212027027203</v>
      </c>
      <c r="P506" s="72">
        <f t="shared" si="266"/>
        <v>0.93965313973690745</v>
      </c>
      <c r="Q506" s="72"/>
      <c r="R506" s="72"/>
      <c r="S506" s="72">
        <f t="shared" si="267"/>
        <v>0.4421295002725697</v>
      </c>
      <c r="T506" s="72">
        <f t="shared" si="268"/>
        <v>0.47340152178557138</v>
      </c>
      <c r="U506" s="72">
        <f t="shared" si="269"/>
        <v>0.57204795740309822</v>
      </c>
      <c r="V506" s="72">
        <f t="shared" si="270"/>
        <v>0.52791549549087158</v>
      </c>
      <c r="W506" s="72">
        <f t="shared" si="271"/>
        <v>0.852112676056338</v>
      </c>
      <c r="X506" s="72">
        <f t="shared" si="272"/>
        <v>6.5435266183836549E-2</v>
      </c>
      <c r="Y506" s="72">
        <f t="shared" si="273"/>
        <v>0.23098471734040626</v>
      </c>
      <c r="Z506" s="72">
        <f t="shared" si="274"/>
        <v>0.30512941202839827</v>
      </c>
      <c r="AA506" s="72">
        <f t="shared" si="275"/>
        <v>0.32747787972972803</v>
      </c>
      <c r="AB506" s="72">
        <f t="shared" si="276"/>
        <v>6.0346860263092578E-2</v>
      </c>
      <c r="AC506" s="72"/>
      <c r="AD506" s="72"/>
      <c r="AE506" s="72">
        <f t="shared" si="277"/>
        <v>0.5578704997274303</v>
      </c>
      <c r="AF506" s="72">
        <f t="shared" si="278"/>
        <v>0.52659847821442862</v>
      </c>
      <c r="AG506" s="72">
        <f t="shared" si="279"/>
        <v>0.42795204259690178</v>
      </c>
      <c r="AH506" s="72">
        <f t="shared" si="280"/>
        <v>0.47208450450912842</v>
      </c>
      <c r="AI506" s="72">
        <f t="shared" si="281"/>
        <v>0.14788732394366197</v>
      </c>
      <c r="AJ506" s="72">
        <f>(AV506-Driver!$K$179)/(Driver!$L$179-Driver!$K$179)</f>
        <v>0.18878414309886388</v>
      </c>
      <c r="AK506" s="72">
        <f>(AW506-Driver!$K$180)/(Driver!$L$180-Driver!$K$180)</f>
        <v>0.21142932269242884</v>
      </c>
      <c r="AL506" s="72">
        <f>(AX506-Driver!$K$181)/(Driver!$L$181-Driver!$K$181)</f>
        <v>0.40681717574147847</v>
      </c>
      <c r="AM506" s="72">
        <f>(AY506-Driver!$K$182)/(Driver!$L$182-Driver!$K$182)</f>
        <v>0.11990714136731835</v>
      </c>
      <c r="AN506" s="72">
        <f>(AZ506-Driver!$K$183)/(Driver!$L$183-Driver!$K$183)</f>
        <v>0.19387254901960785</v>
      </c>
      <c r="AO506" s="72"/>
      <c r="AP506" s="72"/>
      <c r="AQ506" s="72">
        <f>(BC506-Driver!$K$188)/(Driver!$L$188-Driver!$K$188)</f>
        <v>6.2129500272569686E-2</v>
      </c>
      <c r="AR506" s="72">
        <f>MIN((BD506-Driver!$K$189)/(Driver!$L$189-Driver!$K$189),100%)</f>
        <v>2.3401521785571408E-2</v>
      </c>
      <c r="AS506" s="72">
        <f>(BE506-Driver!$K$190)/(Driver!$L$190-Driver!$K$190)</f>
        <v>8.204795740309824E-2</v>
      </c>
      <c r="AT506" s="72">
        <f>(BF506-Driver!$K$191)/(Driver!$L$191-Driver!$K$191)</f>
        <v>3.7915495490871573E-2</v>
      </c>
      <c r="AU506" s="72">
        <f>(BG506-Driver!$K$192)/(Driver!$L$192-Driver!$K$192)</f>
        <v>0.10211267605633803</v>
      </c>
      <c r="AV506" s="70">
        <f t="shared" si="282"/>
        <v>3.9733414733414731</v>
      </c>
      <c r="AW506" s="70">
        <f t="shared" si="283"/>
        <v>22.477553572217968</v>
      </c>
      <c r="AX506" s="70">
        <f t="shared" si="284"/>
        <v>4.6613545816733062</v>
      </c>
      <c r="AY506" s="70">
        <f>IFERROR(Driver!$K$19/Data!BH506/Data!BI506*Data!BK506*Data!BL506,"")</f>
        <v>0.14680211787153977</v>
      </c>
      <c r="AZ506" s="70">
        <f t="shared" si="285"/>
        <v>17.669396872673122</v>
      </c>
      <c r="BA506" s="70"/>
      <c r="BB506" s="70"/>
      <c r="BC506" s="70">
        <f t="shared" si="286"/>
        <v>32.227003708660547</v>
      </c>
      <c r="BD506" s="70">
        <f t="shared" si="287"/>
        <v>3.7918160970778079</v>
      </c>
      <c r="BE506" s="70">
        <f t="shared" si="288"/>
        <v>8.2211709715507189E-2</v>
      </c>
      <c r="BF506" s="70">
        <f t="shared" si="289"/>
        <v>4.2822888442625482</v>
      </c>
      <c r="BG506" s="70">
        <f t="shared" si="290"/>
        <v>0.38666373239436624</v>
      </c>
      <c r="BH506" s="67">
        <f>MAX((CE506-Driver!$F$200)/(Driver!$G$200-Driver!$F$200)*$BI$1,1)</f>
        <v>4.6613545816733062</v>
      </c>
      <c r="BI506" s="67">
        <f>MAX($BI$1*(BY506-Driver!$F$201)/(Driver!$G$201-Driver!$F$201),1)</f>
        <v>7.1518987341772151</v>
      </c>
      <c r="BJ506" s="67">
        <f>(CB506-Driver!$F$206)/(Driver!$G$206-Driver!$F$206)*$BI$1</f>
        <v>5.2380952380952381</v>
      </c>
      <c r="BK506" s="67">
        <f>(CD506-Driver!$F$203)/(Driver!$G$203-Driver!$F$203)*$BI$1</f>
        <v>4.1743119266055047</v>
      </c>
      <c r="BL506" s="67">
        <f>MAX((CR506-Driver!$F$202)/(Driver!$G$202-Driver!$F$202)*$BI$1,1)</f>
        <v>5.8620689655172411</v>
      </c>
      <c r="BM506" s="67">
        <f>MAX((CH506-Driver!$F$204)/(Driver!$G$204-Driver!$F$204)*$BI$1,1)</f>
        <v>3.0341880341880341</v>
      </c>
      <c r="BN506" s="67">
        <f>(CI506-Driver!$F$205)/(Driver!$G$205-Driver!$F$205)*$BI$1</f>
        <v>2.4705882352941178</v>
      </c>
      <c r="BO506" s="67">
        <f>(CK506-Driver!$F$207)/(Driver!$G$207-Driver!$F$207)*$BI$1</f>
        <v>1.5511892450879008</v>
      </c>
      <c r="BP506" s="67">
        <f>(CM506-Driver!$F$208)/(Driver!$G$208-Driver!$F$208)*$BI$1</f>
        <v>2.2000000000000002</v>
      </c>
      <c r="BQ506" s="67">
        <f>(CL506-Driver!$F$209)/(Driver!$G$209-Driver!$F$209)*$BI$1</f>
        <v>5.46875</v>
      </c>
      <c r="BR506" s="28" t="s">
        <v>155</v>
      </c>
      <c r="BS506" s="8" t="s">
        <v>237</v>
      </c>
      <c r="BT506" s="9" t="s">
        <v>642</v>
      </c>
      <c r="BU506" s="10">
        <v>168.1</v>
      </c>
      <c r="BV506" s="9" t="s">
        <v>163</v>
      </c>
      <c r="BW506" s="10">
        <v>168.1</v>
      </c>
      <c r="BX506" s="10">
        <v>166.9</v>
      </c>
      <c r="BY506" s="10">
        <v>121</v>
      </c>
      <c r="BZ506" s="10">
        <v>144</v>
      </c>
      <c r="CA506" s="10">
        <v>130</v>
      </c>
      <c r="CB506" s="10">
        <v>97</v>
      </c>
      <c r="CC506" s="10">
        <v>119</v>
      </c>
      <c r="CD506" s="10">
        <v>18.5</v>
      </c>
      <c r="CE506" s="10">
        <v>1719</v>
      </c>
      <c r="CF506" s="10">
        <v>1.05</v>
      </c>
      <c r="CG506" s="10">
        <v>1798</v>
      </c>
      <c r="CH506" s="10">
        <v>172</v>
      </c>
      <c r="CI506" s="10">
        <v>75</v>
      </c>
      <c r="CJ506" s="10">
        <v>49</v>
      </c>
      <c r="CK506" s="10">
        <v>260</v>
      </c>
      <c r="CL506" s="10">
        <v>35</v>
      </c>
      <c r="CM506" s="10">
        <v>198</v>
      </c>
      <c r="CN506" s="10">
        <v>0.70899999999999996</v>
      </c>
      <c r="CO506" s="10">
        <v>122</v>
      </c>
      <c r="CP506" s="10">
        <v>109</v>
      </c>
      <c r="CQ506" s="10">
        <v>139</v>
      </c>
      <c r="CR506" s="10">
        <v>6</v>
      </c>
      <c r="CS506" s="10">
        <v>6.6</v>
      </c>
      <c r="CT506" s="9" t="s">
        <v>188</v>
      </c>
      <c r="CU506" s="10"/>
      <c r="CV506" s="10"/>
      <c r="CW506" s="10"/>
      <c r="CX506" t="str">
        <f>INDEX('Data_Price '!AG$2:AG$1266,MATCH(Data!$DN506,'Data_Price '!$AT$2:$AT$1266,0))</f>
        <v>Black Crows Camox Birdie Skis - Women's - 2022</v>
      </c>
      <c r="CY506" t="str">
        <f>INDEX('Data_Price '!AH$2:AH$1266,MATCH(Data!$DN506,'Data_Price '!$AT$2:$AT$1266,0))</f>
        <v>Basin Sports</v>
      </c>
      <c r="CZ506">
        <f>INDEX('Data_Price '!AI$2:AI$1266,MATCH(Data!$DN506,'Data_Price '!$AT$2:$AT$1266,0))</f>
        <v>569.95000000000005</v>
      </c>
      <c r="DA506" t="str">
        <f>INDEX('Data_Price '!AJ$2:AJ$1266,MATCH(Data!$DN506,'Data_Price '!$AT$2:$AT$1266,0))</f>
        <v>https://tinyurl.com/ybgas9s8</v>
      </c>
      <c r="DB506" t="str">
        <f>INDEX('Data_Price '!AK$2:AK$1266,MATCH(Data!$DN506,'Data_Price '!$AT$2:$AT$1266,0))</f>
        <v>Black Crows Camox Birdie Skis - Women's - 2022</v>
      </c>
      <c r="DC506" t="str">
        <f>INDEX('Data_Price '!AL$2:AL$1266,MATCH(Data!$DN506,'Data_Price '!$AT$2:$AT$1266,0))</f>
        <v>Powder7 Ski Shop</v>
      </c>
      <c r="DD506">
        <f>INDEX('Data_Price '!AM$2:AM$1266,MATCH(Data!$DN506,'Data_Price '!$AT$2:$AT$1266,0))</f>
        <v>575.92999999999995</v>
      </c>
      <c r="DE506" t="str">
        <f>INDEX('Data_Price '!AN$2:AN$1266,MATCH(Data!$DN506,'Data_Price '!$AT$2:$AT$1266,0))</f>
        <v>https://tinyurl.com/y8b54zze</v>
      </c>
      <c r="DF506" t="str">
        <f>INDEX('Data_Price '!AO$2:AO$1266,MATCH(Data!$DN506,'Data_Price '!$AT$2:$AT$1266,0))</f>
        <v>Black Crows Camox Birdie Skis - Women's - 2022</v>
      </c>
      <c r="DG506" t="str">
        <f>INDEX('Data_Price '!AP$2:AP$1266,MATCH(Data!$DN506,'Data_Price '!$AT$2:$AT$1266,0))</f>
        <v>evo.com</v>
      </c>
      <c r="DH506">
        <f>INDEX('Data_Price '!AQ$2:AQ$1266,MATCH(Data!$DN506,'Data_Price '!$AT$2:$AT$1266,0))</f>
        <v>575.96</v>
      </c>
      <c r="DI506" t="str">
        <f>INDEX('Data_Price '!AR$2:AR$1266,MATCH(Data!$DN506,'Data_Price '!$AT$2:$AT$1266,0))</f>
        <v>https://tinyurl.com/ybufncb8</v>
      </c>
      <c r="DJ506" s="89" t="str">
        <f t="shared" si="291"/>
        <v>https://tinyurl.com/ybgas9s8</v>
      </c>
      <c r="DK506" s="89" t="str">
        <f t="shared" si="292"/>
        <v>https://tinyurl.com/y8b54zze</v>
      </c>
      <c r="DL506" s="89" t="str">
        <f t="shared" si="293"/>
        <v>https://tinyurl.com/ybufncb8</v>
      </c>
      <c r="DM506" s="219" t="str">
        <f t="shared" si="294"/>
        <v>Camox Birdie</v>
      </c>
      <c r="DN506" s="89" t="str">
        <f t="shared" si="295"/>
        <v xml:space="preserve"> Black CrowsCamox Birdie168.1 Women's</v>
      </c>
      <c r="DO506" s="221" t="s">
        <v>643</v>
      </c>
    </row>
    <row r="507" spans="2:119" ht="15.6" customHeight="1">
      <c r="B507" s="219" t="b">
        <f t="array" ref="B507">IF(OR(ISERROR(K507:P507)),FALSE,TRUE)</f>
        <v>1</v>
      </c>
      <c r="C507" s="43" t="b">
        <f>OR(BR507=Driver!$G$50,Data!BR816=Driver!$H$50)</f>
        <v>1</v>
      </c>
      <c r="D507" s="43" t="b">
        <f>OR(BV507=Driver!$G$51,BV507=Driver!$H$51)</f>
        <v>1</v>
      </c>
      <c r="E507" s="43" t="b">
        <f>AND(BX507&gt;Driver!$F$54,BX507&lt;Driver!$G$54)</f>
        <v>0</v>
      </c>
      <c r="F507" s="43" t="b">
        <f>CL507&gt;Driver!$F$56</f>
        <v>1</v>
      </c>
      <c r="G507" s="43" t="b">
        <f>AND(CB507&gt;Driver!$F$55,CB507&lt;Driver!$G$55)</f>
        <v>1</v>
      </c>
      <c r="H507" s="43" t="b">
        <f t="shared" si="259"/>
        <v>0</v>
      </c>
      <c r="I507" s="43">
        <f t="shared" si="260"/>
        <v>0</v>
      </c>
      <c r="J507" s="43" t="b">
        <f t="array" ref="J507">NOT(OR(($H$9:$H$1273=TRUE)*($I$9:$I$1273&gt;0)*($BT$9:$BT$1273=BT507)*($K$9:$K$1273&gt;K507)))</f>
        <v>1</v>
      </c>
      <c r="K507" s="72">
        <f t="shared" si="261"/>
        <v>0.77344831964430427</v>
      </c>
      <c r="L507" s="72">
        <f t="shared" si="262"/>
        <v>0.86166441774293734</v>
      </c>
      <c r="M507" s="72">
        <f t="shared" si="263"/>
        <v>0.68523222154567121</v>
      </c>
      <c r="N507" s="72">
        <f t="shared" si="264"/>
        <v>0.4488704614933875</v>
      </c>
      <c r="O507" s="72">
        <f t="shared" si="265"/>
        <v>0.66306431020079493</v>
      </c>
      <c r="P507" s="72">
        <f t="shared" si="266"/>
        <v>0.94376189294283108</v>
      </c>
      <c r="Q507" s="72"/>
      <c r="R507" s="72"/>
      <c r="S507" s="72">
        <f t="shared" si="267"/>
        <v>0.50017007616660003</v>
      </c>
      <c r="T507" s="72">
        <f t="shared" si="268"/>
        <v>0.48308705718414935</v>
      </c>
      <c r="U507" s="72">
        <f t="shared" si="269"/>
        <v>0.50124106645916799</v>
      </c>
      <c r="V507" s="72">
        <f t="shared" si="270"/>
        <v>0.62386989881912203</v>
      </c>
      <c r="W507" s="72">
        <f t="shared" si="271"/>
        <v>0.79842715231788075</v>
      </c>
      <c r="X507" s="72">
        <f t="shared" si="272"/>
        <v>0.13833558225706266</v>
      </c>
      <c r="Y507" s="72">
        <f t="shared" si="273"/>
        <v>0.31476777845432885</v>
      </c>
      <c r="Z507" s="72">
        <f t="shared" si="274"/>
        <v>0.5511295385066125</v>
      </c>
      <c r="AA507" s="72">
        <f t="shared" si="275"/>
        <v>0.33693568979920513</v>
      </c>
      <c r="AB507" s="72">
        <f t="shared" si="276"/>
        <v>5.6238107057168862E-2</v>
      </c>
      <c r="AC507" s="72"/>
      <c r="AD507" s="72"/>
      <c r="AE507" s="72">
        <f t="shared" si="277"/>
        <v>0.49982992383339997</v>
      </c>
      <c r="AF507" s="72">
        <f t="shared" si="278"/>
        <v>0.51691294281585065</v>
      </c>
      <c r="AG507" s="72">
        <f t="shared" si="279"/>
        <v>0.49875893354083206</v>
      </c>
      <c r="AH507" s="72">
        <f t="shared" si="280"/>
        <v>0.37613010118087803</v>
      </c>
      <c r="AI507" s="72">
        <f t="shared" si="281"/>
        <v>0.20157284768211922</v>
      </c>
      <c r="AJ507" s="72">
        <f>(AV507-Driver!$K$179)/(Driver!$L$179-Driver!$K$179)</f>
        <v>0.39255499153976309</v>
      </c>
      <c r="AK507" s="72">
        <f>(AW507-Driver!$K$180)/(Driver!$L$180-Driver!$K$180)</f>
        <v>0.34305293509891827</v>
      </c>
      <c r="AL507" s="72">
        <f>(AX507-Driver!$K$181)/(Driver!$L$181-Driver!$K$181)</f>
        <v>0.6528173022196927</v>
      </c>
      <c r="AM507" s="72">
        <f>(AY507-Driver!$K$182)/(Driver!$L$182-Driver!$K$182)</f>
        <v>0.11044933129784122</v>
      </c>
      <c r="AN507" s="72">
        <f>(AZ507-Driver!$K$183)/(Driver!$L$183-Driver!$K$183)</f>
        <v>0.31045751633986929</v>
      </c>
      <c r="AO507" s="72"/>
      <c r="AP507" s="72"/>
      <c r="AQ507" s="72">
        <f>(BC507-Driver!$K$188)/(Driver!$L$188-Driver!$K$188)</f>
        <v>0.12017007616660003</v>
      </c>
      <c r="AR507" s="72">
        <f>MIN((BD507-Driver!$K$189)/(Driver!$L$189-Driver!$K$189),100%)</f>
        <v>3.3087057184149414E-2</v>
      </c>
      <c r="AS507" s="72">
        <f>(BE507-Driver!$K$190)/(Driver!$L$190-Driver!$K$190)</f>
        <v>1.1241066459167946E-2</v>
      </c>
      <c r="AT507" s="72">
        <f>(BF507-Driver!$K$191)/(Driver!$L$191-Driver!$K$191)</f>
        <v>0.13386989881912198</v>
      </c>
      <c r="AU507" s="72">
        <f>(BG507-Driver!$K$192)/(Driver!$L$192-Driver!$K$192)</f>
        <v>4.8427152317880785E-2</v>
      </c>
      <c r="AV507" s="70">
        <f t="shared" si="282"/>
        <v>8.2621082621082618</v>
      </c>
      <c r="AW507" s="70">
        <f t="shared" si="283"/>
        <v>35.30544090508252</v>
      </c>
      <c r="AX507" s="70">
        <f t="shared" si="284"/>
        <v>6.8753557199772342</v>
      </c>
      <c r="AY507" s="70">
        <f>IFERROR(Driver!$K$19/Data!BH507/Data!BI507*Data!BK507*Data!BL507,"")</f>
        <v>0.13522293640833757</v>
      </c>
      <c r="AZ507" s="70">
        <f t="shared" si="285"/>
        <v>28.294862248696948</v>
      </c>
      <c r="BA507" s="70"/>
      <c r="BB507" s="70"/>
      <c r="BC507" s="70">
        <f t="shared" si="286"/>
        <v>62.333053916431624</v>
      </c>
      <c r="BD507" s="70">
        <f t="shared" si="287"/>
        <v>4.6489688180987496</v>
      </c>
      <c r="BE507" s="70">
        <f t="shared" si="288"/>
        <v>1.1417449923955788E-2</v>
      </c>
      <c r="BF507" s="70">
        <f t="shared" si="289"/>
        <v>15.119664582352641</v>
      </c>
      <c r="BG507" s="70">
        <f t="shared" si="290"/>
        <v>0.18337609185887188</v>
      </c>
      <c r="BH507" s="67">
        <f>MAX((CE507-Driver!$F$200)/(Driver!$G$200-Driver!$F$200)*$BI$1,1)</f>
        <v>6.8753557199772342</v>
      </c>
      <c r="BI507" s="67">
        <f>MAX($BI$1*(BY507-Driver!$F$201)/(Driver!$G$201-Driver!$F$201),1)</f>
        <v>6.3291139240506329</v>
      </c>
      <c r="BJ507" s="67">
        <f>(CB507-Driver!$F$206)/(Driver!$G$206-Driver!$F$206)*$BI$1</f>
        <v>6.6666666666666661</v>
      </c>
      <c r="BK507" s="67">
        <f>(CD507-Driver!$F$203)/(Driver!$G$203-Driver!$F$203)*$BI$1</f>
        <v>5.6880733944954143</v>
      </c>
      <c r="BL507" s="67">
        <f>MAX((CR507-Driver!$F$202)/(Driver!$G$202-Driver!$F$202)*$BI$1,1)</f>
        <v>5.1724137931034484</v>
      </c>
      <c r="BM507" s="67">
        <f>MAX((CH507-Driver!$F$204)/(Driver!$G$204-Driver!$F$204)*$BI$1,1)</f>
        <v>4.9572649572649574</v>
      </c>
      <c r="BN507" s="67">
        <f>(CI507-Driver!$F$205)/(Driver!$G$205-Driver!$F$205)*$BI$1</f>
        <v>4.4705882352941178</v>
      </c>
      <c r="BO507" s="67">
        <f>(CK507-Driver!$F$207)/(Driver!$G$207-Driver!$F$207)*$BI$1</f>
        <v>3.7331954498448812</v>
      </c>
      <c r="BP507" s="67">
        <f>(CM507-Driver!$F$208)/(Driver!$G$208-Driver!$F$208)*$BI$1</f>
        <v>3.4555555555555557</v>
      </c>
      <c r="BQ507" s="67">
        <f>(CL507-Driver!$F$209)/(Driver!$G$209-Driver!$F$209)*$BI$1</f>
        <v>6.25</v>
      </c>
      <c r="BR507" s="28" t="s">
        <v>155</v>
      </c>
      <c r="BS507" s="8" t="s">
        <v>215</v>
      </c>
      <c r="BT507" s="9" t="s">
        <v>590</v>
      </c>
      <c r="BU507" s="10">
        <v>187</v>
      </c>
      <c r="BV507" s="9" t="s">
        <v>158</v>
      </c>
      <c r="BW507" s="10">
        <v>187</v>
      </c>
      <c r="BX507" s="10">
        <v>186.2</v>
      </c>
      <c r="BY507" s="10">
        <v>108</v>
      </c>
      <c r="BZ507" s="10">
        <v>156</v>
      </c>
      <c r="CA507" s="10">
        <v>137</v>
      </c>
      <c r="CB507" s="10">
        <v>106</v>
      </c>
      <c r="CC507" s="10">
        <v>127</v>
      </c>
      <c r="CD507" s="10">
        <v>21.8</v>
      </c>
      <c r="CE507" s="10">
        <v>2108</v>
      </c>
      <c r="CF507" s="10">
        <v>1.02</v>
      </c>
      <c r="CG507" s="10">
        <v>2140</v>
      </c>
      <c r="CH507" s="10">
        <v>217</v>
      </c>
      <c r="CI507" s="10">
        <v>109</v>
      </c>
      <c r="CJ507" s="10">
        <v>56</v>
      </c>
      <c r="CK507" s="10">
        <v>471</v>
      </c>
      <c r="CL507" s="10">
        <v>40</v>
      </c>
      <c r="CM507" s="10">
        <v>311</v>
      </c>
      <c r="CN507" s="10">
        <v>0.72099999999999997</v>
      </c>
      <c r="CO507" s="10">
        <v>142</v>
      </c>
      <c r="CP507" s="10">
        <v>161</v>
      </c>
      <c r="CQ507" s="10">
        <v>328</v>
      </c>
      <c r="CR507" s="10">
        <v>4</v>
      </c>
      <c r="CS507" s="10">
        <v>8.1999999999999993</v>
      </c>
      <c r="CT507" s="9" t="s">
        <v>169</v>
      </c>
      <c r="CU507" s="10"/>
      <c r="CV507" s="10"/>
      <c r="CW507" s="10"/>
      <c r="CX507" t="str">
        <f>INDEX('Data_Price '!AG$2:AG$1266,MATCH(Data!$DN507,'Data_Price '!$AT$2:$AT$1266,0))</f>
        <v>Liberty Skis Men ' S Origin 106 Ski</v>
      </c>
      <c r="CY507" t="str">
        <f>INDEX('Data_Price '!AH$2:AH$1266,MATCH(Data!$DN507,'Data_Price '!$AT$2:$AT$1266,0))</f>
        <v>REI</v>
      </c>
      <c r="CZ507">
        <f>INDEX('Data_Price '!AI$2:AI$1266,MATCH(Data!$DN507,'Data_Price '!$AT$2:$AT$1266,0))</f>
        <v>523.92999999999995</v>
      </c>
      <c r="DA507" t="str">
        <f>INDEX('Data_Price '!AJ$2:AJ$1266,MATCH(Data!$DN507,'Data_Price '!$AT$2:$AT$1266,0))</f>
        <v>https://tinyurl.com/y7ar6u6o</v>
      </c>
      <c r="DB507" t="str">
        <f>INDEX('Data_Price '!AK$2:AK$1266,MATCH(Data!$DN507,'Data_Price '!$AT$2:$AT$1266,0))</f>
        <v>Liberty Skis Men ' S Origin 106 Ski</v>
      </c>
      <c r="DC507" t="str">
        <f>INDEX('Data_Price '!AL$2:AL$1266,MATCH(Data!$DN507,'Data_Price '!$AT$2:$AT$1266,0))</f>
        <v>evo.com</v>
      </c>
      <c r="DD507">
        <f>INDEX('Data_Price '!AM$2:AM$1266,MATCH(Data!$DN507,'Data_Price '!$AT$2:$AT$1266,0))</f>
        <v>524.99</v>
      </c>
      <c r="DE507" t="str">
        <f>INDEX('Data_Price '!AN$2:AN$1266,MATCH(Data!$DN507,'Data_Price '!$AT$2:$AT$1266,0))</f>
        <v>https://tinyurl.com/yd9n749d</v>
      </c>
      <c r="DF507" t="str">
        <f>INDEX('Data_Price '!AO$2:AO$1266,MATCH(Data!$DN507,'Data_Price '!$AT$2:$AT$1266,0))</f>
        <v>Liberty Skis Men ' S Origin 106 Ski</v>
      </c>
      <c r="DG507" t="str">
        <f>INDEX('Data_Price '!AP$2:AP$1266,MATCH(Data!$DN507,'Data_Price '!$AT$2:$AT$1266,0))</f>
        <v>BobWards.com</v>
      </c>
      <c r="DH507">
        <f>INDEX('Data_Price '!AQ$2:AQ$1266,MATCH(Data!$DN507,'Data_Price '!$AT$2:$AT$1266,0))</f>
        <v>699.99</v>
      </c>
      <c r="DI507" t="str">
        <f>INDEX('Data_Price '!AR$2:AR$1266,MATCH(Data!$DN507,'Data_Price '!$AT$2:$AT$1266,0))</f>
        <v>https://tinyurl.com/y88mq5kl</v>
      </c>
      <c r="DJ507" s="89" t="str">
        <f t="shared" si="291"/>
        <v>https://tinyurl.com/y7ar6u6o</v>
      </c>
      <c r="DK507" s="89" t="str">
        <f t="shared" si="292"/>
        <v>https://tinyurl.com/yd9n749d</v>
      </c>
      <c r="DL507" s="89" t="str">
        <f t="shared" si="293"/>
        <v>https://tinyurl.com/y88mq5kl</v>
      </c>
      <c r="DM507" s="219" t="str">
        <f t="shared" si="294"/>
        <v>Origin 106</v>
      </c>
      <c r="DN507" s="89" t="str">
        <f t="shared" si="295"/>
        <v xml:space="preserve"> LibertyOrigin 106187 Unisex</v>
      </c>
      <c r="DO507" s="221" t="s">
        <v>591</v>
      </c>
    </row>
    <row r="508" spans="2:119" ht="15.6" customHeight="1">
      <c r="B508" s="219" t="b">
        <f t="array" ref="B508">IF(OR(ISERROR(K508:P508)),FALSE,TRUE)</f>
        <v>1</v>
      </c>
      <c r="C508" s="43" t="b">
        <f>OR(BR508=Driver!$G$50,Data!BR424=Driver!$H$50)</f>
        <v>1</v>
      </c>
      <c r="D508" s="43" t="b">
        <f>OR(BV508=Driver!$G$51,BV508=Driver!$H$51)</f>
        <v>0</v>
      </c>
      <c r="E508" s="43" t="b">
        <f>AND(BX508&gt;Driver!$F$54,BX508&lt;Driver!$G$54)</f>
        <v>1</v>
      </c>
      <c r="F508" s="43" t="b">
        <f>CL508&gt;Driver!$F$56</f>
        <v>1</v>
      </c>
      <c r="G508" s="43" t="b">
        <f>AND(CB508&gt;Driver!$F$55,CB508&lt;Driver!$G$55)</f>
        <v>0</v>
      </c>
      <c r="H508" s="43" t="b">
        <f t="shared" si="259"/>
        <v>0</v>
      </c>
      <c r="I508" s="43">
        <f t="shared" si="260"/>
        <v>0</v>
      </c>
      <c r="J508" s="43" t="b">
        <f t="array" ref="J508">NOT(OR(($H$9:$H$1273=TRUE)*($I$9:$I$1273&gt;0)*($BT$9:$BT$1273=BT508)*($K$9:$K$1273&gt;K508)))</f>
        <v>1</v>
      </c>
      <c r="K508" s="72">
        <f t="shared" si="261"/>
        <v>0.74851503789249563</v>
      </c>
      <c r="L508" s="72">
        <f t="shared" si="262"/>
        <v>0.76544056976814157</v>
      </c>
      <c r="M508" s="72">
        <f t="shared" si="263"/>
        <v>0.73158950601684969</v>
      </c>
      <c r="N508" s="72">
        <f t="shared" si="264"/>
        <v>0.72206340400903923</v>
      </c>
      <c r="O508" s="72">
        <f t="shared" si="265"/>
        <v>0.60843668515096649</v>
      </c>
      <c r="P508" s="72">
        <f t="shared" si="266"/>
        <v>0.86426842889054345</v>
      </c>
      <c r="Q508" s="72"/>
      <c r="R508" s="72"/>
      <c r="S508" s="72">
        <f t="shared" si="267"/>
        <v>0.60870517576150196</v>
      </c>
      <c r="T508" s="72">
        <f t="shared" si="268"/>
        <v>0.55000000000000004</v>
      </c>
      <c r="U508" s="72">
        <f t="shared" si="269"/>
        <v>0.51</v>
      </c>
      <c r="V508" s="72">
        <f t="shared" si="270"/>
        <v>0.49010990408929844</v>
      </c>
      <c r="W508" s="72">
        <f t="shared" si="271"/>
        <v>0.75537592952509724</v>
      </c>
      <c r="X508" s="72">
        <f t="shared" si="272"/>
        <v>0.23455943023185843</v>
      </c>
      <c r="Y508" s="72">
        <f t="shared" si="273"/>
        <v>0.26841049398315031</v>
      </c>
      <c r="Z508" s="72">
        <f t="shared" si="274"/>
        <v>0.27793659599096082</v>
      </c>
      <c r="AA508" s="72">
        <f t="shared" si="275"/>
        <v>0.39156331484903351</v>
      </c>
      <c r="AB508" s="72">
        <f t="shared" si="276"/>
        <v>0.13573157110945655</v>
      </c>
      <c r="AC508" s="72"/>
      <c r="AD508" s="72"/>
      <c r="AE508" s="72">
        <f t="shared" si="277"/>
        <v>0.39129482423849804</v>
      </c>
      <c r="AF508" s="72">
        <f t="shared" si="278"/>
        <v>0.44999999999999996</v>
      </c>
      <c r="AG508" s="72">
        <f t="shared" si="279"/>
        <v>0.49</v>
      </c>
      <c r="AH508" s="72">
        <f t="shared" si="280"/>
        <v>0.50989009591070156</v>
      </c>
      <c r="AI508" s="72">
        <f t="shared" si="281"/>
        <v>0.24462407047490281</v>
      </c>
      <c r="AJ508" s="72">
        <f>(AV508-Driver!$K$179)/(Driver!$L$179-Driver!$K$179)</f>
        <v>1.9659979050841991E-2</v>
      </c>
      <c r="AK508" s="72">
        <f>(AW508-Driver!$K$180)/(Driver!$L$180-Driver!$K$180)</f>
        <v>0.39147702809857893</v>
      </c>
      <c r="AL508" s="72">
        <f>(AX508-Driver!$K$181)/(Driver!$L$181-Driver!$K$181)</f>
        <v>0.37962435970404101</v>
      </c>
      <c r="AM508" s="72">
        <f>(AY508-Driver!$K$182)/(Driver!$L$182-Driver!$K$182)</f>
        <v>5.5821706248012866E-2</v>
      </c>
      <c r="AN508" s="72">
        <f>(AZ508-Driver!$K$183)/(Driver!$L$183-Driver!$K$183)</f>
        <v>0.38995098039215698</v>
      </c>
      <c r="AO508" s="72"/>
      <c r="AP508" s="72"/>
      <c r="AQ508" s="72">
        <f>(BC508-Driver!$K$188)/(Driver!$L$188-Driver!$K$188)</f>
        <v>0.22870517576150198</v>
      </c>
      <c r="AR508" s="72">
        <f>MIN((BD508-Driver!$K$189)/(Driver!$L$189-Driver!$K$189),100%)</f>
        <v>1</v>
      </c>
      <c r="AS508" s="72">
        <f>(BE508-Driver!$K$190)/(Driver!$L$190-Driver!$K$190)</f>
        <v>1</v>
      </c>
      <c r="AT508" s="72">
        <f>(BF508-Driver!$K$191)/(Driver!$L$191-Driver!$K$191)</f>
        <v>1.0990408929842202E-4</v>
      </c>
      <c r="AU508" s="72">
        <f>(BG508-Driver!$K$192)/(Driver!$L$192-Driver!$K$192)</f>
        <v>5.3759295250971765E-3</v>
      </c>
      <c r="AV508" s="70">
        <f t="shared" si="282"/>
        <v>0.41378374711708044</v>
      </c>
      <c r="AW508" s="70">
        <f t="shared" si="283"/>
        <v>40.024797849013169</v>
      </c>
      <c r="AX508" s="70">
        <f t="shared" si="284"/>
        <v>4.4166192373363691</v>
      </c>
      <c r="AY508" s="70">
        <f>IFERROR(Driver!$K$19/Data!BH508/Data!BI508*Data!BK508*Data!BL508,"")</f>
        <v>6.834242403717912E-2</v>
      </c>
      <c r="AZ508" s="70">
        <f t="shared" si="285"/>
        <v>35.539836187639622</v>
      </c>
      <c r="BA508" s="70"/>
      <c r="BB508" s="70"/>
      <c r="BC508" s="70">
        <f t="shared" si="286"/>
        <v>118.63096460007857</v>
      </c>
      <c r="BD508" s="70">
        <f t="shared" si="287"/>
        <v>252.68108132907975</v>
      </c>
      <c r="BE508" s="70">
        <f t="shared" si="288"/>
        <v>1</v>
      </c>
      <c r="BF508" s="70">
        <f t="shared" si="289"/>
        <v>1.2412894766330503E-2</v>
      </c>
      <c r="BG508" s="70">
        <f t="shared" si="290"/>
        <v>2.0356698654301165E-2</v>
      </c>
      <c r="BH508" s="67">
        <f>MAX((CE508-Driver!$F$200)/(Driver!$G$200-Driver!$F$200)*$BI$1,1)</f>
        <v>4.4166192373363691</v>
      </c>
      <c r="BI508" s="67">
        <f>MAX($BI$1*(BY508-Driver!$F$201)/(Driver!$G$201-Driver!$F$201),1)</f>
        <v>8.1645569620253173</v>
      </c>
      <c r="BJ508" s="67">
        <f>(CB508-Driver!$F$206)/(Driver!$G$206-Driver!$F$206)*$BI$1</f>
        <v>0.31746031746031744</v>
      </c>
      <c r="BK508" s="67">
        <f>(CD508-Driver!$F$203)/(Driver!$G$203-Driver!$F$203)*$BI$1</f>
        <v>1.8807339449541285</v>
      </c>
      <c r="BL508" s="67">
        <f>MAX((CR508-Driver!$F$202)/(Driver!$G$202-Driver!$F$202)*$BI$1,1)</f>
        <v>6.5517241379310338</v>
      </c>
      <c r="BM508" s="67">
        <f>MAX((CH508-Driver!$F$204)/(Driver!$G$204-Driver!$F$204)*$BI$1,1)</f>
        <v>5.2136752136752138</v>
      </c>
      <c r="BN508" s="67">
        <f>(CI508-Driver!$F$205)/(Driver!$G$205-Driver!$F$205)*$BI$1</f>
        <v>4.3529411764705888</v>
      </c>
      <c r="BO508" s="67">
        <f>(CK508-Driver!$F$207)/(Driver!$G$207-Driver!$F$207)*$BI$1</f>
        <v>0.16546018614270941</v>
      </c>
      <c r="BP508" s="67">
        <f>(CM508-Driver!$F$208)/(Driver!$G$208-Driver!$F$208)*$BI$1</f>
        <v>0.44444444444444448</v>
      </c>
      <c r="BQ508" s="67">
        <f>(CL508-Driver!$F$209)/(Driver!$G$209-Driver!$F$209)*$BI$1</f>
        <v>0.46875</v>
      </c>
      <c r="BR508" s="28" t="s">
        <v>155</v>
      </c>
      <c r="BS508" s="8" t="s">
        <v>164</v>
      </c>
      <c r="BT508" s="9" t="s">
        <v>419</v>
      </c>
      <c r="BU508" s="10">
        <v>155</v>
      </c>
      <c r="BV508" s="9" t="s">
        <v>163</v>
      </c>
      <c r="BW508" s="10">
        <v>155</v>
      </c>
      <c r="BX508" s="10">
        <v>153.6</v>
      </c>
      <c r="BY508" s="10">
        <v>137</v>
      </c>
      <c r="BZ508" s="10">
        <v>143</v>
      </c>
      <c r="CA508" s="10">
        <v>110</v>
      </c>
      <c r="CB508" s="10">
        <v>66</v>
      </c>
      <c r="CC508" s="10">
        <v>96</v>
      </c>
      <c r="CD508" s="10">
        <v>13.5</v>
      </c>
      <c r="CE508" s="10">
        <v>1676</v>
      </c>
      <c r="CF508" s="10">
        <v>0.74</v>
      </c>
      <c r="CG508" s="10">
        <v>1233</v>
      </c>
      <c r="CH508" s="10">
        <v>223</v>
      </c>
      <c r="CI508" s="10">
        <v>107</v>
      </c>
      <c r="CJ508" s="10">
        <v>36</v>
      </c>
      <c r="CK508" s="10">
        <v>126</v>
      </c>
      <c r="CL508" s="10">
        <v>3</v>
      </c>
      <c r="CM508" s="10">
        <v>40</v>
      </c>
      <c r="CN508" s="10">
        <v>7.3999999999999996E-2</v>
      </c>
      <c r="CO508" s="10">
        <v>64</v>
      </c>
      <c r="CP508" s="10">
        <v>40</v>
      </c>
      <c r="CQ508" s="10">
        <v>62</v>
      </c>
      <c r="CR508" s="10">
        <v>8</v>
      </c>
      <c r="CS508" s="10">
        <v>10.4</v>
      </c>
      <c r="CT508" s="9" t="s">
        <v>349</v>
      </c>
      <c r="CU508" s="10"/>
      <c r="CV508" s="10"/>
      <c r="CW508" s="10"/>
      <c r="CX508" t="str">
        <f>INDEX('Data_Price '!AG$2:AG$1266,MATCH(Data!$DN508,'Data_Price '!$AT$2:$AT$1266,0))</f>
        <v>Elan Speed Magic FX testski's Red 155 Ski Lady's Ladies / Women</v>
      </c>
      <c r="CY508" t="str">
        <f>INDEX('Data_Price '!AH$2:AH$1266,MATCH(Data!$DN508,'Data_Price '!$AT$2:$AT$1266,0))</f>
        <v>! OutdoorXL.com</v>
      </c>
      <c r="CZ508">
        <f>INDEX('Data_Price '!AI$2:AI$1266,MATCH(Data!$DN508,'Data_Price '!$AT$2:$AT$1266,0))</f>
        <v>404.95</v>
      </c>
      <c r="DA508" t="str">
        <f>INDEX('Data_Price '!AJ$2:AJ$1266,MATCH(Data!$DN508,'Data_Price '!$AT$2:$AT$1266,0))</f>
        <v>https://tinyurl.com/y8rpbxw7</v>
      </c>
      <c r="DB508" t="str">
        <f>INDEX('Data_Price '!AK$2:AK$1266,MATCH(Data!$DN508,'Data_Price '!$AT$2:$AT$1266,0))</f>
        <v>Elan Prodigy (El 10 GW Shift Bindings) Skis Mens 2021 Black / 155cm / Retail</v>
      </c>
      <c r="DC508" t="str">
        <f>INDEX('Data_Price '!AL$2:AL$1266,MATCH(Data!$DN508,'Data_Price '!$AT$2:$AT$1266,0))</f>
        <v>Utah SKI Gear</v>
      </c>
      <c r="DD508">
        <f>INDEX('Data_Price '!AM$2:AM$1266,MATCH(Data!$DN508,'Data_Price '!$AT$2:$AT$1266,0))</f>
        <v>299.99</v>
      </c>
      <c r="DE508" t="str">
        <f>INDEX('Data_Price '!AN$2:AN$1266,MATCH(Data!$DN508,'Data_Price '!$AT$2:$AT$1266,0))</f>
        <v>https://tinyurl.com/y8gkguxk</v>
      </c>
      <c r="DF508" t="str">
        <f>INDEX('Data_Price '!AO$2:AO$1266,MATCH(Data!$DN508,'Data_Price '!$AT$2:$AT$1266,0))</f>
        <v>Elan Prodigy (El 10 GW Shift Bindings) Skis Mens 2021 Black / 155cm / Retail</v>
      </c>
      <c r="DG508" t="str">
        <f>INDEX('Data_Price '!AP$2:AP$1266,MATCH(Data!$DN508,'Data_Price '!$AT$2:$AT$1266,0))</f>
        <v>Level Nine Sports</v>
      </c>
      <c r="DH508">
        <f>INDEX('Data_Price '!AQ$2:AQ$1266,MATCH(Data!$DN508,'Data_Price '!$AT$2:$AT$1266,0))</f>
        <v>369.99</v>
      </c>
      <c r="DI508" t="str">
        <f>INDEX('Data_Price '!AR$2:AR$1266,MATCH(Data!$DN508,'Data_Price '!$AT$2:$AT$1266,0))</f>
        <v>https://tinyurl.com/ycoqj3l5</v>
      </c>
      <c r="DJ508" s="89" t="str">
        <f t="shared" si="291"/>
        <v>https://tinyurl.com/y8rpbxw7</v>
      </c>
      <c r="DK508" s="89" t="str">
        <f t="shared" si="292"/>
        <v>https://tinyurl.com/y8gkguxk</v>
      </c>
      <c r="DL508" s="89" t="str">
        <f t="shared" si="293"/>
        <v>https://tinyurl.com/ycoqj3l5</v>
      </c>
      <c r="DM508" s="219" t="str">
        <f t="shared" si="294"/>
        <v>Ace Speed Magic</v>
      </c>
      <c r="DN508" s="89" t="str">
        <f t="shared" si="295"/>
        <v xml:space="preserve"> ElanAce Speed Magic155 Women's</v>
      </c>
      <c r="DO508" s="221"/>
    </row>
    <row r="509" spans="2:119" ht="15.6" customHeight="1">
      <c r="B509" s="219" t="b">
        <f t="array" ref="B509">IF(OR(ISERROR(K509:P509)),FALSE,TRUE)</f>
        <v>1</v>
      </c>
      <c r="C509" s="43" t="b">
        <f>OR(BR509=Driver!$G$50,Data!BR1143=Driver!$H$50)</f>
        <v>1</v>
      </c>
      <c r="D509" s="43" t="b">
        <f>OR(BV509=Driver!$G$51,BV509=Driver!$H$51)</f>
        <v>1</v>
      </c>
      <c r="E509" s="43" t="b">
        <f>AND(BX509&gt;Driver!$F$54,BX509&lt;Driver!$G$54)</f>
        <v>0</v>
      </c>
      <c r="F509" s="43" t="b">
        <f>CL509&gt;Driver!$F$56</f>
        <v>1</v>
      </c>
      <c r="G509" s="43" t="b">
        <f>AND(CB509&gt;Driver!$F$55,CB509&lt;Driver!$G$55)</f>
        <v>0</v>
      </c>
      <c r="H509" s="43" t="b">
        <f t="shared" si="259"/>
        <v>0</v>
      </c>
      <c r="I509" s="43">
        <f t="shared" si="260"/>
        <v>0</v>
      </c>
      <c r="J509" s="43" t="b">
        <f t="array" ref="J509">NOT(OR(($H$9:$H$1273=TRUE)*($I$9:$I$1273&gt;0)*($BT$9:$BT$1273=BT509)*($K$9:$K$1273&gt;K509)))</f>
        <v>1</v>
      </c>
      <c r="K509" s="72">
        <f t="shared" si="261"/>
        <v>0.83044503844346207</v>
      </c>
      <c r="L509" s="72">
        <f t="shared" si="262"/>
        <v>0.96308781817681122</v>
      </c>
      <c r="M509" s="72">
        <f t="shared" si="263"/>
        <v>0.69780225871011292</v>
      </c>
      <c r="N509" s="72">
        <f t="shared" si="264"/>
        <v>0.64807364874438356</v>
      </c>
      <c r="O509" s="72">
        <f t="shared" si="265"/>
        <v>0.62203692071763372</v>
      </c>
      <c r="P509" s="72">
        <f t="shared" si="266"/>
        <v>0.82329620666832137</v>
      </c>
      <c r="Q509" s="72"/>
      <c r="R509" s="72"/>
      <c r="S509" s="72">
        <f t="shared" si="267"/>
        <v>0.4958638270330008</v>
      </c>
      <c r="T509" s="72">
        <f t="shared" si="268"/>
        <v>0.50108532452360433</v>
      </c>
      <c r="U509" s="72">
        <f t="shared" si="269"/>
        <v>0.51</v>
      </c>
      <c r="V509" s="72">
        <f t="shared" si="270"/>
        <v>0.50206048628949596</v>
      </c>
      <c r="W509" s="72">
        <f t="shared" si="271"/>
        <v>0.76965285554311313</v>
      </c>
      <c r="X509" s="72">
        <f t="shared" si="272"/>
        <v>3.6912181823188756E-2</v>
      </c>
      <c r="Y509" s="72">
        <f t="shared" si="273"/>
        <v>0.30219774128988708</v>
      </c>
      <c r="Z509" s="72">
        <f t="shared" si="274"/>
        <v>0.35192635125561644</v>
      </c>
      <c r="AA509" s="72">
        <f t="shared" si="275"/>
        <v>0.37796307928236622</v>
      </c>
      <c r="AB509" s="72">
        <f t="shared" si="276"/>
        <v>0.17670379333167868</v>
      </c>
      <c r="AC509" s="72"/>
      <c r="AD509" s="72"/>
      <c r="AE509" s="72">
        <f t="shared" si="277"/>
        <v>0.5041361729669992</v>
      </c>
      <c r="AF509" s="72">
        <f t="shared" si="278"/>
        <v>0.49891467547639567</v>
      </c>
      <c r="AG509" s="72">
        <f t="shared" si="279"/>
        <v>0.49</v>
      </c>
      <c r="AH509" s="72">
        <f t="shared" si="280"/>
        <v>0.4979395137105041</v>
      </c>
      <c r="AI509" s="72">
        <f t="shared" si="281"/>
        <v>0.23034714445688689</v>
      </c>
      <c r="AJ509" s="72">
        <f>(AV509-Driver!$K$179)/(Driver!$L$179-Driver!$K$179)</f>
        <v>0.21730722745951167</v>
      </c>
      <c r="AK509" s="72">
        <f>(AW509-Driver!$K$180)/(Driver!$L$180-Driver!$K$180)</f>
        <v>0.43679600389999135</v>
      </c>
      <c r="AL509" s="72">
        <f>(AX509-Driver!$K$181)/(Driver!$L$181-Driver!$K$181)</f>
        <v>0.45361411496869664</v>
      </c>
      <c r="AM509" s="72">
        <f>(AY509-Driver!$K$182)/(Driver!$L$182-Driver!$K$182)</f>
        <v>6.942194181468013E-2</v>
      </c>
      <c r="AN509" s="72">
        <f>(AZ509-Driver!$K$183)/(Driver!$L$183-Driver!$K$183)</f>
        <v>0.43092320261437911</v>
      </c>
      <c r="AO509" s="72"/>
      <c r="AP509" s="72"/>
      <c r="AQ509" s="72">
        <f>(BC509-Driver!$K$188)/(Driver!$L$188-Driver!$K$188)</f>
        <v>0.11586382703300076</v>
      </c>
      <c r="AR509" s="72">
        <f>MIN((BD509-Driver!$K$189)/(Driver!$L$189-Driver!$K$189),100%)</f>
        <v>5.1085324523604356E-2</v>
      </c>
      <c r="AS509" s="72">
        <f>(BE509-Driver!$K$190)/(Driver!$L$190-Driver!$K$190)</f>
        <v>1</v>
      </c>
      <c r="AT509" s="72">
        <f>(BF509-Driver!$K$191)/(Driver!$L$191-Driver!$K$191)</f>
        <v>1.2060486289495895E-2</v>
      </c>
      <c r="AU509" s="72">
        <f>(BG509-Driver!$K$192)/(Driver!$L$192-Driver!$K$192)</f>
        <v>1.96528555431131E-2</v>
      </c>
      <c r="AV509" s="70">
        <f t="shared" si="282"/>
        <v>4.5736670736670728</v>
      </c>
      <c r="AW509" s="70">
        <f t="shared" si="283"/>
        <v>44.441533607837179</v>
      </c>
      <c r="AX509" s="70">
        <f t="shared" si="284"/>
        <v>5.0825270347182698</v>
      </c>
      <c r="AY509" s="70">
        <f>IFERROR(Driver!$K$19/Data!BH509/Data!BI509*Data!BK509*Data!BL509,"")</f>
        <v>8.4993170289418343E-2</v>
      </c>
      <c r="AZ509" s="70">
        <f t="shared" si="285"/>
        <v>39.274013402829489</v>
      </c>
      <c r="BA509" s="70"/>
      <c r="BB509" s="70"/>
      <c r="BC509" s="70">
        <f t="shared" si="286"/>
        <v>60.099372554275384</v>
      </c>
      <c r="BD509" s="70">
        <f t="shared" si="287"/>
        <v>6.2417835865978786</v>
      </c>
      <c r="BE509" s="70">
        <f t="shared" si="288"/>
        <v>1</v>
      </c>
      <c r="BF509" s="70">
        <f t="shared" si="289"/>
        <v>1.3621471966870102</v>
      </c>
      <c r="BG509" s="70">
        <f t="shared" si="290"/>
        <v>7.4418248252693359E-2</v>
      </c>
      <c r="BH509" s="67">
        <f>MAX((CE509-Driver!$F$200)/(Driver!$G$200-Driver!$F$200)*$BI$1,1)</f>
        <v>5.0825270347182698</v>
      </c>
      <c r="BI509" s="67">
        <f>MAX($BI$1*(BY509-Driver!$F$201)/(Driver!$G$201-Driver!$F$201),1)</f>
        <v>8.6708860759493671</v>
      </c>
      <c r="BJ509" s="67">
        <f>(CB509-Driver!$F$206)/(Driver!$G$206-Driver!$F$206)*$BI$1</f>
        <v>4.92063492063492</v>
      </c>
      <c r="BK509" s="67">
        <f>(CD509-Driver!$F$203)/(Driver!$G$203-Driver!$F$203)*$BI$1</f>
        <v>3.3944954128440372</v>
      </c>
      <c r="BL509" s="67">
        <f>MAX((CR509-Driver!$F$202)/(Driver!$G$202-Driver!$F$202)*$BI$1,1)</f>
        <v>5.5172413793103452</v>
      </c>
      <c r="BM509" s="67">
        <f>MAX((CH509-Driver!$F$204)/(Driver!$G$204-Driver!$F$204)*$BI$1,1)</f>
        <v>3.7179487179487181</v>
      </c>
      <c r="BN509" s="67">
        <f>(CI509-Driver!$F$205)/(Driver!$G$205-Driver!$F$205)*$BI$1</f>
        <v>4.5294117647058822</v>
      </c>
      <c r="BO509" s="67">
        <f>(CK509-Driver!$F$207)/(Driver!$G$207-Driver!$F$207)*$BI$1</f>
        <v>0.97207859358841786</v>
      </c>
      <c r="BP509" s="67">
        <f>(CM509-Driver!$F$208)/(Driver!$G$208-Driver!$F$208)*$BI$1</f>
        <v>0.96666666666666667</v>
      </c>
      <c r="BQ509" s="67">
        <f>(CL509-Driver!$F$209)/(Driver!$G$209-Driver!$F$209)*$BI$1</f>
        <v>1.40625</v>
      </c>
      <c r="BR509" s="28" t="s">
        <v>155</v>
      </c>
      <c r="BS509" s="8" t="s">
        <v>213</v>
      </c>
      <c r="BT509" s="9" t="s">
        <v>504</v>
      </c>
      <c r="BU509" s="10">
        <v>175</v>
      </c>
      <c r="BV509" s="9" t="s">
        <v>158</v>
      </c>
      <c r="BW509" s="10">
        <v>175</v>
      </c>
      <c r="BX509" s="10">
        <v>174</v>
      </c>
      <c r="BY509" s="10">
        <v>145</v>
      </c>
      <c r="BZ509" s="10">
        <v>151</v>
      </c>
      <c r="CA509" s="10">
        <v>131</v>
      </c>
      <c r="CB509" s="10">
        <v>95</v>
      </c>
      <c r="CC509" s="10">
        <v>122</v>
      </c>
      <c r="CD509" s="10">
        <v>16.8</v>
      </c>
      <c r="CE509" s="10">
        <v>1793</v>
      </c>
      <c r="CF509" s="10">
        <v>1.04</v>
      </c>
      <c r="CG509" s="10">
        <v>1857</v>
      </c>
      <c r="CH509" s="10">
        <v>188</v>
      </c>
      <c r="CI509" s="10">
        <v>110</v>
      </c>
      <c r="CJ509" s="10">
        <v>44</v>
      </c>
      <c r="CK509" s="10">
        <v>204</v>
      </c>
      <c r="CL509" s="10">
        <v>9</v>
      </c>
      <c r="CM509" s="10">
        <v>87</v>
      </c>
      <c r="CN509" s="10">
        <v>0.20899999999999999</v>
      </c>
      <c r="CO509" s="10">
        <v>168</v>
      </c>
      <c r="CP509" s="10">
        <v>60</v>
      </c>
      <c r="CQ509" s="10">
        <v>36</v>
      </c>
      <c r="CR509" s="10">
        <v>5</v>
      </c>
      <c r="CS509" s="10">
        <v>13.4</v>
      </c>
      <c r="CT509" s="9" t="s">
        <v>188</v>
      </c>
      <c r="CU509" s="10"/>
      <c r="CV509" s="10"/>
      <c r="CW509" s="10"/>
      <c r="CX509" t="e">
        <f>INDEX('Data_Price '!AG$2:AG$1266,MATCH(Data!$DN509,'Data_Price '!$AT$2:$AT$1266,0))</f>
        <v>#N/A</v>
      </c>
      <c r="CY509" t="e">
        <f>INDEX('Data_Price '!AH$2:AH$1266,MATCH(Data!$DN509,'Data_Price '!$AT$2:$AT$1266,0))</f>
        <v>#N/A</v>
      </c>
      <c r="CZ509" t="e">
        <f>INDEX('Data_Price '!AI$2:AI$1266,MATCH(Data!$DN509,'Data_Price '!$AT$2:$AT$1266,0))</f>
        <v>#N/A</v>
      </c>
      <c r="DA509" t="e">
        <f>INDEX('Data_Price '!AJ$2:AJ$1266,MATCH(Data!$DN509,'Data_Price '!$AT$2:$AT$1266,0))</f>
        <v>#N/A</v>
      </c>
      <c r="DB509" t="e">
        <f>INDEX('Data_Price '!AK$2:AK$1266,MATCH(Data!$DN509,'Data_Price '!$AT$2:$AT$1266,0))</f>
        <v>#N/A</v>
      </c>
      <c r="DC509" t="e">
        <f>INDEX('Data_Price '!AL$2:AL$1266,MATCH(Data!$DN509,'Data_Price '!$AT$2:$AT$1266,0))</f>
        <v>#N/A</v>
      </c>
      <c r="DD509" t="e">
        <f>INDEX('Data_Price '!AM$2:AM$1266,MATCH(Data!$DN509,'Data_Price '!$AT$2:$AT$1266,0))</f>
        <v>#N/A</v>
      </c>
      <c r="DE509" t="e">
        <f>INDEX('Data_Price '!AN$2:AN$1266,MATCH(Data!$DN509,'Data_Price '!$AT$2:$AT$1266,0))</f>
        <v>#N/A</v>
      </c>
      <c r="DF509" t="e">
        <f>INDEX('Data_Price '!AO$2:AO$1266,MATCH(Data!$DN509,'Data_Price '!$AT$2:$AT$1266,0))</f>
        <v>#N/A</v>
      </c>
      <c r="DG509" t="e">
        <f>INDEX('Data_Price '!AP$2:AP$1266,MATCH(Data!$DN509,'Data_Price '!$AT$2:$AT$1266,0))</f>
        <v>#N/A</v>
      </c>
      <c r="DH509" t="e">
        <f>INDEX('Data_Price '!AQ$2:AQ$1266,MATCH(Data!$DN509,'Data_Price '!$AT$2:$AT$1266,0))</f>
        <v>#N/A</v>
      </c>
      <c r="DI509" t="e">
        <f>INDEX('Data_Price '!AR$2:AR$1266,MATCH(Data!$DN509,'Data_Price '!$AT$2:$AT$1266,0))</f>
        <v>#N/A</v>
      </c>
      <c r="DJ509" s="89" t="e">
        <f t="shared" si="291"/>
        <v>#N/A</v>
      </c>
      <c r="DK509" s="89" t="e">
        <f t="shared" si="292"/>
        <v>#N/A</v>
      </c>
      <c r="DL509" s="89" t="e">
        <f t="shared" si="293"/>
        <v>#N/A</v>
      </c>
      <c r="DM509" s="219" t="str">
        <f t="shared" si="294"/>
        <v>Stormrider 95</v>
      </c>
      <c r="DN509" s="89" t="str">
        <f t="shared" si="295"/>
        <v xml:space="preserve"> StöckliStormrider 95175 Unisex</v>
      </c>
      <c r="DO509" s="221"/>
    </row>
    <row r="510" spans="2:119" ht="15.6" customHeight="1">
      <c r="B510" s="219" t="b">
        <f t="array" ref="B510">IF(OR(ISERROR(K510:P510)),FALSE,TRUE)</f>
        <v>1</v>
      </c>
      <c r="C510" s="43" t="b">
        <f>OR(BR510=Driver!$G$50,Data!BR759=Driver!$H$50)</f>
        <v>1</v>
      </c>
      <c r="D510" s="43" t="b">
        <f>OR(BV510=Driver!$G$51,BV510=Driver!$H$51)</f>
        <v>1</v>
      </c>
      <c r="E510" s="43" t="b">
        <f>AND(BX510&gt;Driver!$F$54,BX510&lt;Driver!$G$54)</f>
        <v>0</v>
      </c>
      <c r="F510" s="43" t="b">
        <f>CL510&gt;Driver!$F$56</f>
        <v>1</v>
      </c>
      <c r="G510" s="43" t="b">
        <f>AND(CB510&gt;Driver!$F$55,CB510&lt;Driver!$G$55)</f>
        <v>0</v>
      </c>
      <c r="H510" s="43" t="b">
        <f t="shared" si="259"/>
        <v>0</v>
      </c>
      <c r="I510" s="43">
        <f t="shared" si="260"/>
        <v>0</v>
      </c>
      <c r="J510" s="43" t="b">
        <f t="array" ref="J510">NOT(OR(($H$9:$H$1273=TRUE)*($I$9:$I$1273&gt;0)*($BT$9:$BT$1273=BT510)*($K$9:$K$1273&gt;K510)))</f>
        <v>1</v>
      </c>
      <c r="K510" s="72">
        <f t="shared" si="261"/>
        <v>0.8387073297658838</v>
      </c>
      <c r="L510" s="72">
        <f t="shared" si="262"/>
        <v>0.97696536045504756</v>
      </c>
      <c r="M510" s="72">
        <f t="shared" si="263"/>
        <v>0.70044929907672016</v>
      </c>
      <c r="N510" s="72">
        <f t="shared" si="264"/>
        <v>0.45772393648232068</v>
      </c>
      <c r="O510" s="72">
        <f t="shared" si="265"/>
        <v>0.6477378847984725</v>
      </c>
      <c r="P510" s="72">
        <f t="shared" si="266"/>
        <v>0.99588607594936707</v>
      </c>
      <c r="Q510" s="72"/>
      <c r="R510" s="72"/>
      <c r="S510" s="72">
        <f t="shared" si="267"/>
        <v>0.46917031972402423</v>
      </c>
      <c r="T510" s="72">
        <f t="shared" si="268"/>
        <v>0.53013428844536392</v>
      </c>
      <c r="U510" s="72">
        <f t="shared" si="269"/>
        <v>0.50445173913719166</v>
      </c>
      <c r="V510" s="72">
        <f t="shared" si="270"/>
        <v>0.59654893436810696</v>
      </c>
      <c r="W510" s="72">
        <f t="shared" si="271"/>
        <v>0.79992190683145459</v>
      </c>
      <c r="X510" s="72">
        <f t="shared" si="272"/>
        <v>2.303463954495244E-2</v>
      </c>
      <c r="Y510" s="72">
        <f t="shared" si="273"/>
        <v>0.2995507009232799</v>
      </c>
      <c r="Z510" s="72">
        <f t="shared" si="274"/>
        <v>0.54227606351767932</v>
      </c>
      <c r="AA510" s="72">
        <f t="shared" si="275"/>
        <v>0.35226211520152745</v>
      </c>
      <c r="AB510" s="72">
        <f t="shared" si="276"/>
        <v>4.1139240506328778E-3</v>
      </c>
      <c r="AC510" s="72"/>
      <c r="AD510" s="72"/>
      <c r="AE510" s="72">
        <f t="shared" si="277"/>
        <v>0.53082968027597577</v>
      </c>
      <c r="AF510" s="72">
        <f t="shared" si="278"/>
        <v>0.46986571155463608</v>
      </c>
      <c r="AG510" s="72">
        <f t="shared" si="279"/>
        <v>0.49554826086280834</v>
      </c>
      <c r="AH510" s="72">
        <f t="shared" si="280"/>
        <v>0.40345106563189309</v>
      </c>
      <c r="AI510" s="72">
        <f t="shared" si="281"/>
        <v>0.20007809316854544</v>
      </c>
      <c r="AJ510" s="72">
        <f>(AV510-Driver!$K$179)/(Driver!$L$179-Driver!$K$179)</f>
        <v>0.27725404882765287</v>
      </c>
      <c r="AK510" s="72">
        <f>(AW510-Driver!$K$180)/(Driver!$L$180-Driver!$K$180)</f>
        <v>0.29329856901114998</v>
      </c>
      <c r="AL510" s="72">
        <f>(AX510-Driver!$K$181)/(Driver!$L$181-Driver!$K$181)</f>
        <v>0.64396382723075951</v>
      </c>
      <c r="AM510" s="72">
        <f>(AY510-Driver!$K$182)/(Driver!$L$182-Driver!$K$182)</f>
        <v>9.512290589551893E-2</v>
      </c>
      <c r="AN510" s="72">
        <f>(AZ510-Driver!$K$183)/(Driver!$L$183-Driver!$K$183)</f>
        <v>0.2583333333333333</v>
      </c>
      <c r="AO510" s="72"/>
      <c r="AP510" s="72"/>
      <c r="AQ510" s="72">
        <f>(BC510-Driver!$K$188)/(Driver!$L$188-Driver!$K$188)</f>
        <v>8.9170319724024283E-2</v>
      </c>
      <c r="AR510" s="72">
        <f>MIN((BD510-Driver!$K$189)/(Driver!$L$189-Driver!$K$189),100%)</f>
        <v>8.0134288445363938E-2</v>
      </c>
      <c r="AS510" s="72">
        <f>(BE510-Driver!$K$190)/(Driver!$L$190-Driver!$K$190)</f>
        <v>1.4451739137191662E-2</v>
      </c>
      <c r="AT510" s="72">
        <f>(BF510-Driver!$K$191)/(Driver!$L$191-Driver!$K$191)</f>
        <v>0.10654893436810692</v>
      </c>
      <c r="AU510" s="72">
        <f>(BG510-Driver!$K$192)/(Driver!$L$192-Driver!$K$192)</f>
        <v>4.9921906831454567E-2</v>
      </c>
      <c r="AV510" s="70">
        <f t="shared" si="282"/>
        <v>5.8353683353683348</v>
      </c>
      <c r="AW510" s="70">
        <f t="shared" si="283"/>
        <v>30.456437061297109</v>
      </c>
      <c r="AX510" s="70">
        <f t="shared" si="284"/>
        <v>6.7956744450768358</v>
      </c>
      <c r="AY510" s="70">
        <f>IFERROR(Driver!$K$19/Data!BH510/Data!BI510*Data!BK510*Data!BL510,"")</f>
        <v>0.11645881875191981</v>
      </c>
      <c r="AZ510" s="70">
        <f t="shared" si="285"/>
        <v>23.544303797468352</v>
      </c>
      <c r="BA510" s="70"/>
      <c r="BB510" s="70"/>
      <c r="BC510" s="70">
        <f t="shared" si="286"/>
        <v>46.253264742857084</v>
      </c>
      <c r="BD510" s="70">
        <f t="shared" si="287"/>
        <v>8.8125654219552736</v>
      </c>
      <c r="BE510" s="70">
        <f t="shared" si="288"/>
        <v>1.4627549854111407E-2</v>
      </c>
      <c r="BF510" s="70">
        <f t="shared" si="289"/>
        <v>12.03395358824884</v>
      </c>
      <c r="BG510" s="70">
        <f t="shared" si="290"/>
        <v>0.18903618599755534</v>
      </c>
      <c r="BH510" s="67">
        <f>MAX((CE510-Driver!$F$200)/(Driver!$G$200-Driver!$F$200)*$BI$1,1)</f>
        <v>6.7956744450768358</v>
      </c>
      <c r="BI510" s="67">
        <f>MAX($BI$1*(BY510-Driver!$F$201)/(Driver!$G$201-Driver!$F$201),1)</f>
        <v>6.4556962025316453</v>
      </c>
      <c r="BJ510" s="67">
        <f>(CB510-Driver!$F$206)/(Driver!$G$206-Driver!$F$206)*$BI$1</f>
        <v>4.92063492063492</v>
      </c>
      <c r="BK510" s="67">
        <f>(CD510-Driver!$F$203)/(Driver!$G$203-Driver!$F$203)*$BI$1</f>
        <v>4.3577981651376145</v>
      </c>
      <c r="BL510" s="67">
        <f>MAX((CR510-Driver!$F$202)/(Driver!$G$202-Driver!$F$202)*$BI$1,1)</f>
        <v>5.8620689655172411</v>
      </c>
      <c r="BM510" s="67">
        <f>MAX((CH510-Driver!$F$204)/(Driver!$G$204-Driver!$F$204)*$BI$1,1)</f>
        <v>4.7435897435897436</v>
      </c>
      <c r="BN510" s="67">
        <f>(CI510-Driver!$F$205)/(Driver!$G$205-Driver!$F$205)*$BI$1</f>
        <v>3.6470588235294117</v>
      </c>
      <c r="BO510" s="67">
        <f>(CK510-Driver!$F$207)/(Driver!$G$207-Driver!$F$207)*$BI$1</f>
        <v>2.5646328852119957</v>
      </c>
      <c r="BP510" s="67">
        <f>(CM510-Driver!$F$208)/(Driver!$G$208-Driver!$F$208)*$BI$1</f>
        <v>4.1555555555555559</v>
      </c>
      <c r="BQ510" s="67">
        <f>(CL510-Driver!$F$209)/(Driver!$G$209-Driver!$F$209)*$BI$1</f>
        <v>6.09375</v>
      </c>
      <c r="BR510" s="28" t="s">
        <v>155</v>
      </c>
      <c r="BS510" s="8" t="s">
        <v>262</v>
      </c>
      <c r="BT510" s="9" t="s">
        <v>489</v>
      </c>
      <c r="BU510" s="10">
        <v>184</v>
      </c>
      <c r="BV510" s="9" t="s">
        <v>158</v>
      </c>
      <c r="BW510" s="10">
        <v>184</v>
      </c>
      <c r="BX510" s="10">
        <v>182.9</v>
      </c>
      <c r="BY510" s="10">
        <v>110</v>
      </c>
      <c r="BZ510" s="10">
        <v>145</v>
      </c>
      <c r="CA510" s="10">
        <v>124</v>
      </c>
      <c r="CB510" s="10">
        <v>95</v>
      </c>
      <c r="CC510" s="10">
        <v>117</v>
      </c>
      <c r="CD510" s="10">
        <v>18.899999999999999</v>
      </c>
      <c r="CE510" s="10">
        <v>2094</v>
      </c>
      <c r="CF510" s="10">
        <v>0.92</v>
      </c>
      <c r="CG510" s="10">
        <v>1922</v>
      </c>
      <c r="CH510" s="10">
        <v>212</v>
      </c>
      <c r="CI510" s="10">
        <v>95</v>
      </c>
      <c r="CJ510" s="10">
        <v>42</v>
      </c>
      <c r="CK510" s="10">
        <v>358</v>
      </c>
      <c r="CL510" s="10">
        <v>39</v>
      </c>
      <c r="CM510" s="10">
        <v>374</v>
      </c>
      <c r="CN510" s="10">
        <v>0.92500000000000004</v>
      </c>
      <c r="CO510" s="10">
        <v>186</v>
      </c>
      <c r="CP510" s="10">
        <v>190</v>
      </c>
      <c r="CQ510" s="10">
        <v>172</v>
      </c>
      <c r="CR510" s="10">
        <v>6</v>
      </c>
      <c r="CS510" s="10">
        <v>5.9</v>
      </c>
      <c r="CT510" s="9" t="s">
        <v>184</v>
      </c>
      <c r="CU510" s="10"/>
      <c r="CV510" s="10"/>
      <c r="CW510" s="10"/>
      <c r="CX510" t="e">
        <f>INDEX('Data_Price '!AG$2:AG$1266,MATCH(Data!$DN510,'Data_Price '!$AT$2:$AT$1266,0))</f>
        <v>#N/A</v>
      </c>
      <c r="CY510" t="e">
        <f>INDEX('Data_Price '!AH$2:AH$1266,MATCH(Data!$DN510,'Data_Price '!$AT$2:$AT$1266,0))</f>
        <v>#N/A</v>
      </c>
      <c r="CZ510" t="e">
        <f>INDEX('Data_Price '!AI$2:AI$1266,MATCH(Data!$DN510,'Data_Price '!$AT$2:$AT$1266,0))</f>
        <v>#N/A</v>
      </c>
      <c r="DA510" t="e">
        <f>INDEX('Data_Price '!AJ$2:AJ$1266,MATCH(Data!$DN510,'Data_Price '!$AT$2:$AT$1266,0))</f>
        <v>#N/A</v>
      </c>
      <c r="DB510" t="e">
        <f>INDEX('Data_Price '!AK$2:AK$1266,MATCH(Data!$DN510,'Data_Price '!$AT$2:$AT$1266,0))</f>
        <v>#N/A</v>
      </c>
      <c r="DC510" t="e">
        <f>INDEX('Data_Price '!AL$2:AL$1266,MATCH(Data!$DN510,'Data_Price '!$AT$2:$AT$1266,0))</f>
        <v>#N/A</v>
      </c>
      <c r="DD510" t="e">
        <f>INDEX('Data_Price '!AM$2:AM$1266,MATCH(Data!$DN510,'Data_Price '!$AT$2:$AT$1266,0))</f>
        <v>#N/A</v>
      </c>
      <c r="DE510" t="e">
        <f>INDEX('Data_Price '!AN$2:AN$1266,MATCH(Data!$DN510,'Data_Price '!$AT$2:$AT$1266,0))</f>
        <v>#N/A</v>
      </c>
      <c r="DF510" t="e">
        <f>INDEX('Data_Price '!AO$2:AO$1266,MATCH(Data!$DN510,'Data_Price '!$AT$2:$AT$1266,0))</f>
        <v>#N/A</v>
      </c>
      <c r="DG510" t="e">
        <f>INDEX('Data_Price '!AP$2:AP$1266,MATCH(Data!$DN510,'Data_Price '!$AT$2:$AT$1266,0))</f>
        <v>#N/A</v>
      </c>
      <c r="DH510" t="e">
        <f>INDEX('Data_Price '!AQ$2:AQ$1266,MATCH(Data!$DN510,'Data_Price '!$AT$2:$AT$1266,0))</f>
        <v>#N/A</v>
      </c>
      <c r="DI510" t="e">
        <f>INDEX('Data_Price '!AR$2:AR$1266,MATCH(Data!$DN510,'Data_Price '!$AT$2:$AT$1266,0))</f>
        <v>#N/A</v>
      </c>
      <c r="DJ510" s="89" t="e">
        <f t="shared" si="291"/>
        <v>#N/A</v>
      </c>
      <c r="DK510" s="89" t="e">
        <f t="shared" si="292"/>
        <v>#N/A</v>
      </c>
      <c r="DL510" s="89" t="e">
        <f t="shared" si="293"/>
        <v>#N/A</v>
      </c>
      <c r="DM510" s="219" t="str">
        <f t="shared" si="294"/>
        <v>Poacher</v>
      </c>
      <c r="DN510" s="89" t="str">
        <f t="shared" si="295"/>
        <v xml:space="preserve"> K2Poacher184 Unisex</v>
      </c>
      <c r="DO510" s="221" t="s">
        <v>490</v>
      </c>
    </row>
    <row r="511" spans="2:119" ht="15.6" customHeight="1">
      <c r="B511" s="219" t="b">
        <f t="array" ref="B511">IF(OR(ISERROR(K511:P511)),FALSE,TRUE)</f>
        <v>1</v>
      </c>
      <c r="C511" s="43" t="b">
        <f>OR(BR511=Driver!$G$50,Data!BR1137=Driver!$H$50)</f>
        <v>1</v>
      </c>
      <c r="D511" s="43" t="b">
        <f>OR(BV511=Driver!$G$51,BV511=Driver!$H$51)</f>
        <v>0</v>
      </c>
      <c r="E511" s="43" t="b">
        <f>AND(BX511&gt;Driver!$F$54,BX511&lt;Driver!$G$54)</f>
        <v>1</v>
      </c>
      <c r="F511" s="43" t="b">
        <f>CL511&gt;Driver!$F$56</f>
        <v>1</v>
      </c>
      <c r="G511" s="43" t="b">
        <f>AND(CB511&gt;Driver!$F$55,CB511&lt;Driver!$G$55)</f>
        <v>0</v>
      </c>
      <c r="H511" s="43" t="b">
        <f t="shared" si="259"/>
        <v>0</v>
      </c>
      <c r="I511" s="43">
        <f t="shared" si="260"/>
        <v>0</v>
      </c>
      <c r="J511" s="43" t="b">
        <f t="array" ref="J511">NOT(OR(($H$9:$H$1273=TRUE)*($I$9:$I$1273&gt;0)*($BT$9:$BT$1273=BT511)*($K$9:$K$1273&gt;K511)))</f>
        <v>1</v>
      </c>
      <c r="K511" s="72">
        <f t="shared" si="261"/>
        <v>0.8348378628391746</v>
      </c>
      <c r="L511" s="72">
        <f t="shared" si="262"/>
        <v>0.85793915972866042</v>
      </c>
      <c r="M511" s="72">
        <f t="shared" si="263"/>
        <v>0.81173656594968879</v>
      </c>
      <c r="N511" s="72">
        <f t="shared" si="264"/>
        <v>0.81312771818092311</v>
      </c>
      <c r="O511" s="72">
        <f t="shared" si="265"/>
        <v>0.63316413404888294</v>
      </c>
      <c r="P511" s="72">
        <f t="shared" si="266"/>
        <v>0.98891784561926033</v>
      </c>
      <c r="Q511" s="72"/>
      <c r="R511" s="72"/>
      <c r="S511" s="72">
        <f t="shared" si="267"/>
        <v>0.43522118161453127</v>
      </c>
      <c r="T511" s="72">
        <f t="shared" si="268"/>
        <v>0.48838725267432359</v>
      </c>
      <c r="U511" s="72">
        <f t="shared" si="269"/>
        <v>0.51</v>
      </c>
      <c r="V511" s="72">
        <f t="shared" si="270"/>
        <v>0.50069166963256739</v>
      </c>
      <c r="W511" s="72">
        <f t="shared" si="271"/>
        <v>0.7916534810126582</v>
      </c>
      <c r="X511" s="72">
        <f t="shared" si="272"/>
        <v>0.14206084027133956</v>
      </c>
      <c r="Y511" s="72">
        <f t="shared" si="273"/>
        <v>0.18826343405031121</v>
      </c>
      <c r="Z511" s="72">
        <f t="shared" si="274"/>
        <v>0.18687228181907689</v>
      </c>
      <c r="AA511" s="72">
        <f t="shared" si="275"/>
        <v>0.36683586595111706</v>
      </c>
      <c r="AB511" s="72">
        <f t="shared" si="276"/>
        <v>1.1082154380739673E-2</v>
      </c>
      <c r="AC511" s="72"/>
      <c r="AD511" s="72"/>
      <c r="AE511" s="72">
        <f t="shared" si="277"/>
        <v>0.56477881838546873</v>
      </c>
      <c r="AF511" s="72">
        <f t="shared" si="278"/>
        <v>0.51161274732567641</v>
      </c>
      <c r="AG511" s="72">
        <f t="shared" si="279"/>
        <v>0.49</v>
      </c>
      <c r="AH511" s="72">
        <f t="shared" si="280"/>
        <v>0.49930833036743261</v>
      </c>
      <c r="AI511" s="72">
        <f t="shared" si="281"/>
        <v>0.20834651898734177</v>
      </c>
      <c r="AJ511" s="72">
        <f>(AV511-Driver!$K$179)/(Driver!$L$179-Driver!$K$179)</f>
        <v>0.11215856901136087</v>
      </c>
      <c r="AK511" s="72">
        <f>(AW511-Driver!$K$180)/(Driver!$L$180-Driver!$K$180)</f>
        <v>0.24608443518131365</v>
      </c>
      <c r="AL511" s="72">
        <f>(AX511-Driver!$K$181)/(Driver!$L$181-Driver!$K$181)</f>
        <v>0.28856004553215708</v>
      </c>
      <c r="AM511" s="72">
        <f>(AY511-Driver!$K$182)/(Driver!$L$182-Driver!$K$182)</f>
        <v>8.0549155145929335E-2</v>
      </c>
      <c r="AN511" s="72">
        <f>(AZ511-Driver!$K$183)/(Driver!$L$183-Driver!$K$183)</f>
        <v>0.24313725490196075</v>
      </c>
      <c r="AO511" s="72"/>
      <c r="AP511" s="72"/>
      <c r="AQ511" s="72">
        <f>(BC511-Driver!$K$188)/(Driver!$L$188-Driver!$K$188)</f>
        <v>5.5221181614531323E-2</v>
      </c>
      <c r="AR511" s="72">
        <f>MIN((BD511-Driver!$K$189)/(Driver!$L$189-Driver!$K$189),100%)</f>
        <v>3.8387252674323684E-2</v>
      </c>
      <c r="AS511" s="72">
        <f>(BE511-Driver!$K$190)/(Driver!$L$190-Driver!$K$190)</f>
        <v>1</v>
      </c>
      <c r="AT511" s="72">
        <f>(BF511-Driver!$K$191)/(Driver!$L$191-Driver!$K$191)</f>
        <v>1.0691669632567399E-2</v>
      </c>
      <c r="AU511" s="72">
        <f>(BG511-Driver!$K$192)/(Driver!$L$192-Driver!$K$192)</f>
        <v>4.1653481012658221E-2</v>
      </c>
      <c r="AV511" s="70">
        <f t="shared" si="282"/>
        <v>2.3606023606023605</v>
      </c>
      <c r="AW511" s="70">
        <f t="shared" si="283"/>
        <v>25.855001359794752</v>
      </c>
      <c r="AX511" s="70">
        <f t="shared" si="284"/>
        <v>3.5970404097894138</v>
      </c>
      <c r="AY511" s="70">
        <f>IFERROR(Driver!$K$19/Data!BH511/Data!BI511*Data!BK511*Data!BL511,"")</f>
        <v>9.8616199446888E-2</v>
      </c>
      <c r="AZ511" s="70">
        <f t="shared" si="285"/>
        <v>22.15934475055845</v>
      </c>
      <c r="BA511" s="70"/>
      <c r="BB511" s="70"/>
      <c r="BC511" s="70">
        <f t="shared" si="286"/>
        <v>28.643610794883887</v>
      </c>
      <c r="BD511" s="70">
        <f t="shared" si="287"/>
        <v>5.1180267275884814</v>
      </c>
      <c r="BE511" s="70">
        <f t="shared" si="288"/>
        <v>1</v>
      </c>
      <c r="BF511" s="70">
        <f t="shared" si="289"/>
        <v>1.2075489717682064</v>
      </c>
      <c r="BG511" s="70">
        <f t="shared" si="290"/>
        <v>0.15772665116215626</v>
      </c>
      <c r="BH511" s="67">
        <f>MAX((CE511-Driver!$F$200)/(Driver!$G$200-Driver!$F$200)*$BI$1,1)</f>
        <v>3.5970404097894138</v>
      </c>
      <c r="BI511" s="67">
        <f>MAX($BI$1*(BY511-Driver!$F$201)/(Driver!$G$201-Driver!$F$201),1)</f>
        <v>7.8481012658227849</v>
      </c>
      <c r="BJ511" s="67">
        <f>(CB511-Driver!$F$206)/(Driver!$G$206-Driver!$F$206)*$BI$1</f>
        <v>3.8095238095238093</v>
      </c>
      <c r="BK511" s="67">
        <f>(CD511-Driver!$F$203)/(Driver!$G$203-Driver!$F$203)*$BI$1</f>
        <v>2.522935779816514</v>
      </c>
      <c r="BL511" s="67">
        <f>MAX((CR511-Driver!$F$202)/(Driver!$G$202-Driver!$F$202)*$BI$1,1)</f>
        <v>5.5172413793103452</v>
      </c>
      <c r="BM511" s="67">
        <f>MAX((CH511-Driver!$F$204)/(Driver!$G$204-Driver!$F$204)*$BI$1,1)</f>
        <v>2.4786324786324787</v>
      </c>
      <c r="BN511" s="67">
        <f>(CI511-Driver!$F$205)/(Driver!$G$205-Driver!$F$205)*$BI$1</f>
        <v>2.8235294117647056</v>
      </c>
      <c r="BO511" s="67">
        <f>(CK511-Driver!$F$207)/(Driver!$G$207-Driver!$F$207)*$BI$1</f>
        <v>0.8996897621509824</v>
      </c>
      <c r="BP511" s="67">
        <f>(CM511-Driver!$F$208)/(Driver!$G$208-Driver!$F$208)*$BI$1</f>
        <v>0.88888888888888895</v>
      </c>
      <c r="BQ511" s="67">
        <f>(CL511-Driver!$F$209)/(Driver!$G$209-Driver!$F$209)*$BI$1</f>
        <v>1.40625</v>
      </c>
      <c r="BR511" s="28" t="s">
        <v>155</v>
      </c>
      <c r="BS511" s="8" t="s">
        <v>213</v>
      </c>
      <c r="BT511" s="9" t="s">
        <v>644</v>
      </c>
      <c r="BU511" s="10">
        <v>160</v>
      </c>
      <c r="BV511" s="9" t="s">
        <v>163</v>
      </c>
      <c r="BW511" s="10">
        <v>160</v>
      </c>
      <c r="BX511" s="10">
        <v>159.4</v>
      </c>
      <c r="BY511" s="10">
        <v>132</v>
      </c>
      <c r="BZ511" s="10">
        <v>140</v>
      </c>
      <c r="CA511" s="10">
        <v>127</v>
      </c>
      <c r="CB511" s="10">
        <v>88</v>
      </c>
      <c r="CC511" s="10">
        <v>113</v>
      </c>
      <c r="CD511" s="10">
        <v>14.9</v>
      </c>
      <c r="CE511" s="10">
        <v>1532</v>
      </c>
      <c r="CF511" s="10">
        <v>1.04</v>
      </c>
      <c r="CG511" s="10">
        <v>1591</v>
      </c>
      <c r="CH511" s="10">
        <v>159</v>
      </c>
      <c r="CI511" s="10">
        <v>81</v>
      </c>
      <c r="CJ511" s="10">
        <v>43</v>
      </c>
      <c r="CK511" s="10">
        <v>197</v>
      </c>
      <c r="CL511" s="10">
        <v>9</v>
      </c>
      <c r="CM511" s="10">
        <v>80</v>
      </c>
      <c r="CN511" s="10">
        <v>0.20200000000000001</v>
      </c>
      <c r="CO511" s="10">
        <v>134</v>
      </c>
      <c r="CP511" s="10">
        <v>56</v>
      </c>
      <c r="CQ511" s="10">
        <v>62</v>
      </c>
      <c r="CR511" s="10">
        <v>5</v>
      </c>
      <c r="CS511" s="10">
        <v>13.2</v>
      </c>
      <c r="CT511" s="9" t="s">
        <v>188</v>
      </c>
      <c r="CU511" s="10"/>
      <c r="CV511" s="10"/>
      <c r="CW511" s="10"/>
      <c r="CX511" t="e">
        <f>INDEX('Data_Price '!AG$2:AG$1266,MATCH(Data!$DN511,'Data_Price '!$AT$2:$AT$1266,0))</f>
        <v>#N/A</v>
      </c>
      <c r="CY511" t="e">
        <f>INDEX('Data_Price '!AH$2:AH$1266,MATCH(Data!$DN511,'Data_Price '!$AT$2:$AT$1266,0))</f>
        <v>#N/A</v>
      </c>
      <c r="CZ511" t="e">
        <f>INDEX('Data_Price '!AI$2:AI$1266,MATCH(Data!$DN511,'Data_Price '!$AT$2:$AT$1266,0))</f>
        <v>#N/A</v>
      </c>
      <c r="DA511" t="e">
        <f>INDEX('Data_Price '!AJ$2:AJ$1266,MATCH(Data!$DN511,'Data_Price '!$AT$2:$AT$1266,0))</f>
        <v>#N/A</v>
      </c>
      <c r="DB511" t="e">
        <f>INDEX('Data_Price '!AK$2:AK$1266,MATCH(Data!$DN511,'Data_Price '!$AT$2:$AT$1266,0))</f>
        <v>#N/A</v>
      </c>
      <c r="DC511" t="e">
        <f>INDEX('Data_Price '!AL$2:AL$1266,MATCH(Data!$DN511,'Data_Price '!$AT$2:$AT$1266,0))</f>
        <v>#N/A</v>
      </c>
      <c r="DD511" t="e">
        <f>INDEX('Data_Price '!AM$2:AM$1266,MATCH(Data!$DN511,'Data_Price '!$AT$2:$AT$1266,0))</f>
        <v>#N/A</v>
      </c>
      <c r="DE511" t="e">
        <f>INDEX('Data_Price '!AN$2:AN$1266,MATCH(Data!$DN511,'Data_Price '!$AT$2:$AT$1266,0))</f>
        <v>#N/A</v>
      </c>
      <c r="DF511" t="e">
        <f>INDEX('Data_Price '!AO$2:AO$1266,MATCH(Data!$DN511,'Data_Price '!$AT$2:$AT$1266,0))</f>
        <v>#N/A</v>
      </c>
      <c r="DG511" t="e">
        <f>INDEX('Data_Price '!AP$2:AP$1266,MATCH(Data!$DN511,'Data_Price '!$AT$2:$AT$1266,0))</f>
        <v>#N/A</v>
      </c>
      <c r="DH511" t="e">
        <f>INDEX('Data_Price '!AQ$2:AQ$1266,MATCH(Data!$DN511,'Data_Price '!$AT$2:$AT$1266,0))</f>
        <v>#N/A</v>
      </c>
      <c r="DI511" t="e">
        <f>INDEX('Data_Price '!AR$2:AR$1266,MATCH(Data!$DN511,'Data_Price '!$AT$2:$AT$1266,0))</f>
        <v>#N/A</v>
      </c>
      <c r="DJ511" s="89" t="e">
        <f t="shared" si="291"/>
        <v>#N/A</v>
      </c>
      <c r="DK511" s="89" t="e">
        <f t="shared" si="292"/>
        <v>#N/A</v>
      </c>
      <c r="DL511" s="89" t="e">
        <f t="shared" si="293"/>
        <v>#N/A</v>
      </c>
      <c r="DM511" s="219" t="str">
        <f t="shared" si="294"/>
        <v>Nela 88</v>
      </c>
      <c r="DN511" s="89" t="str">
        <f t="shared" si="295"/>
        <v xml:space="preserve"> StöckliNela 88160 Women's</v>
      </c>
      <c r="DO511" s="221" t="s">
        <v>645</v>
      </c>
    </row>
    <row r="512" spans="2:119" ht="15.6" customHeight="1">
      <c r="B512" s="219" t="b">
        <f t="array" ref="B512">IF(OR(ISERROR(K512:P512)),FALSE,TRUE)</f>
        <v>1</v>
      </c>
      <c r="C512" s="43" t="b">
        <f>OR(BR512=Driver!$G$50,Data!BR807=Driver!$H$50)</f>
        <v>1</v>
      </c>
      <c r="D512" s="43" t="b">
        <f>OR(BV512=Driver!$G$51,BV512=Driver!$H$51)</f>
        <v>0</v>
      </c>
      <c r="E512" s="43" t="b">
        <f>AND(BX512&gt;Driver!$F$54,BX512&lt;Driver!$G$54)</f>
        <v>1</v>
      </c>
      <c r="F512" s="43" t="b">
        <f>CL512&gt;Driver!$F$56</f>
        <v>1</v>
      </c>
      <c r="G512" s="43" t="b">
        <f>AND(CB512&gt;Driver!$F$55,CB512&lt;Driver!$G$55)</f>
        <v>0</v>
      </c>
      <c r="H512" s="43" t="b">
        <f t="shared" si="259"/>
        <v>0</v>
      </c>
      <c r="I512" s="43">
        <f t="shared" si="260"/>
        <v>0</v>
      </c>
      <c r="J512" s="43" t="b">
        <f t="array" ref="J512">NOT(OR(($H$9:$H$1273=TRUE)*($I$9:$I$1273&gt;0)*($BT$9:$BT$1273=BT512)*($K$9:$K$1273&gt;K512)))</f>
        <v>1</v>
      </c>
      <c r="K512" s="72">
        <f t="shared" si="261"/>
        <v>0.84425327774423864</v>
      </c>
      <c r="L512" s="72">
        <f t="shared" si="262"/>
        <v>0.93432301276225971</v>
      </c>
      <c r="M512" s="72">
        <f t="shared" si="263"/>
        <v>0.75418354272621757</v>
      </c>
      <c r="N512" s="72">
        <f t="shared" si="264"/>
        <v>0.68159037548820189</v>
      </c>
      <c r="O512" s="72">
        <f t="shared" si="265"/>
        <v>0.62733652471824941</v>
      </c>
      <c r="P512" s="72">
        <f t="shared" si="266"/>
        <v>0.95362372797220152</v>
      </c>
      <c r="Q512" s="72"/>
      <c r="R512" s="72"/>
      <c r="S512" s="72">
        <f t="shared" si="267"/>
        <v>0.41924366714302164</v>
      </c>
      <c r="T512" s="72">
        <f t="shared" si="268"/>
        <v>0.4834327004145178</v>
      </c>
      <c r="U512" s="72">
        <f t="shared" si="269"/>
        <v>0.53233489044641136</v>
      </c>
      <c r="V512" s="72">
        <f t="shared" si="270"/>
        <v>0.62958751563085602</v>
      </c>
      <c r="W512" s="72">
        <f t="shared" si="271"/>
        <v>0.8338928571428571</v>
      </c>
      <c r="X512" s="72">
        <f t="shared" si="272"/>
        <v>6.5676987237740347E-2</v>
      </c>
      <c r="Y512" s="72">
        <f t="shared" si="273"/>
        <v>0.2458164572737824</v>
      </c>
      <c r="Z512" s="72">
        <f t="shared" si="274"/>
        <v>0.31840962451179811</v>
      </c>
      <c r="AA512" s="72">
        <f t="shared" si="275"/>
        <v>0.37266347528175059</v>
      </c>
      <c r="AB512" s="72">
        <f t="shared" si="276"/>
        <v>4.6376272027798482E-2</v>
      </c>
      <c r="AC512" s="72"/>
      <c r="AD512" s="72"/>
      <c r="AE512" s="72">
        <f t="shared" si="277"/>
        <v>0.58075633285697836</v>
      </c>
      <c r="AF512" s="72">
        <f t="shared" si="278"/>
        <v>0.5165672995854822</v>
      </c>
      <c r="AG512" s="72">
        <f t="shared" si="279"/>
        <v>0.46766510955358864</v>
      </c>
      <c r="AH512" s="72">
        <f t="shared" si="280"/>
        <v>0.37041248436914398</v>
      </c>
      <c r="AI512" s="72">
        <f t="shared" si="281"/>
        <v>0.16610714285714287</v>
      </c>
      <c r="AJ512" s="72">
        <f>(AV512-Driver!$K$179)/(Driver!$L$179-Driver!$K$179)</f>
        <v>0.18854242204496008</v>
      </c>
      <c r="AK512" s="72">
        <f>(AW512-Driver!$K$180)/(Driver!$L$180-Driver!$K$180)</f>
        <v>0.22515275481687017</v>
      </c>
      <c r="AL512" s="72">
        <f>(AX512-Driver!$K$181)/(Driver!$L$181-Driver!$K$181)</f>
        <v>0.4200973882248783</v>
      </c>
      <c r="AM512" s="72">
        <f>(AY512-Driver!$K$182)/(Driver!$L$182-Driver!$K$182)</f>
        <v>7.472154581529579E-2</v>
      </c>
      <c r="AN512" s="72">
        <f>(AZ512-Driver!$K$183)/(Driver!$L$183-Driver!$K$183)</f>
        <v>0.20784313725490194</v>
      </c>
      <c r="AO512" s="72"/>
      <c r="AP512" s="72"/>
      <c r="AQ512" s="72">
        <f>(BC512-Driver!$K$188)/(Driver!$L$188-Driver!$K$188)</f>
        <v>3.9243667143021639E-2</v>
      </c>
      <c r="AR512" s="72">
        <f>MIN((BD512-Driver!$K$189)/(Driver!$L$189-Driver!$K$189),100%)</f>
        <v>3.3432700414517895E-2</v>
      </c>
      <c r="AS512" s="72">
        <f>(BE512-Driver!$K$190)/(Driver!$L$190-Driver!$K$190)</f>
        <v>4.2334890446411394E-2</v>
      </c>
      <c r="AT512" s="72">
        <f>(BF512-Driver!$K$191)/(Driver!$L$191-Driver!$K$191)</f>
        <v>0.13958751563085606</v>
      </c>
      <c r="AU512" s="72">
        <f>(BG512-Driver!$K$192)/(Driver!$L$192-Driver!$K$192)</f>
        <v>8.389285714285713E-2</v>
      </c>
      <c r="AV512" s="70">
        <f t="shared" si="282"/>
        <v>3.9682539682539675</v>
      </c>
      <c r="AW512" s="70">
        <f t="shared" si="283"/>
        <v>23.815023634723776</v>
      </c>
      <c r="AX512" s="70">
        <f t="shared" si="284"/>
        <v>4.7808764940239046</v>
      </c>
      <c r="AY512" s="70">
        <f>IFERROR(Driver!$K$19/Data!BH512/Data!BI512*Data!BK512*Data!BL512,"")</f>
        <v>9.1481466835389644E-2</v>
      </c>
      <c r="AZ512" s="70">
        <f t="shared" si="285"/>
        <v>18.942665673864482</v>
      </c>
      <c r="BA512" s="70"/>
      <c r="BB512" s="70"/>
      <c r="BC512" s="70">
        <f t="shared" si="286"/>
        <v>20.355962964633225</v>
      </c>
      <c r="BD512" s="70">
        <f t="shared" si="287"/>
        <v>4.6795576315427958</v>
      </c>
      <c r="BE512" s="70">
        <f t="shared" si="288"/>
        <v>4.250572712297581E-2</v>
      </c>
      <c r="BF512" s="70">
        <f t="shared" si="289"/>
        <v>15.765429232706522</v>
      </c>
      <c r="BG512" s="70">
        <f t="shared" si="290"/>
        <v>0.31767187499999999</v>
      </c>
      <c r="BH512" s="67">
        <f>MAX((CE512-Driver!$F$200)/(Driver!$G$200-Driver!$F$200)*$BI$1,1)</f>
        <v>4.7808764940239046</v>
      </c>
      <c r="BI512" s="67">
        <f>MAX($BI$1*(BY512-Driver!$F$201)/(Driver!$G$201-Driver!$F$201),1)</f>
        <v>6.075949367088608</v>
      </c>
      <c r="BJ512" s="67">
        <f>(CB512-Driver!$F$206)/(Driver!$G$206-Driver!$F$206)*$BI$1</f>
        <v>5.7142857142857135</v>
      </c>
      <c r="BK512" s="67">
        <f>(CD512-Driver!$F$203)/(Driver!$G$203-Driver!$F$203)*$BI$1</f>
        <v>2.5688073394495414</v>
      </c>
      <c r="BL512" s="67">
        <f>MAX((CR512-Driver!$F$202)/(Driver!$G$202-Driver!$F$202)*$BI$1,1)</f>
        <v>5.1724137931034484</v>
      </c>
      <c r="BM512" s="67">
        <f>MAX((CH512-Driver!$F$204)/(Driver!$G$204-Driver!$F$204)*$BI$1,1)</f>
        <v>2.7777777777777777</v>
      </c>
      <c r="BN512" s="67">
        <f>(CI512-Driver!$F$205)/(Driver!$G$205-Driver!$F$205)*$BI$1</f>
        <v>3.1176470588235294</v>
      </c>
      <c r="BO512" s="67">
        <f>(CK512-Driver!$F$207)/(Driver!$G$207-Driver!$F$207)*$BI$1</f>
        <v>2.6577042399172699</v>
      </c>
      <c r="BP512" s="67">
        <f>(CM512-Driver!$F$208)/(Driver!$G$208-Driver!$F$208)*$BI$1</f>
        <v>2.6666666666666665</v>
      </c>
      <c r="BQ512" s="67">
        <f>(CL512-Driver!$F$209)/(Driver!$G$209-Driver!$F$209)*$BI$1</f>
        <v>4.21875</v>
      </c>
      <c r="BR512" s="28" t="s">
        <v>155</v>
      </c>
      <c r="BS512" s="8" t="s">
        <v>215</v>
      </c>
      <c r="BT512" s="9" t="s">
        <v>376</v>
      </c>
      <c r="BU512" s="10">
        <v>165</v>
      </c>
      <c r="BV512" s="9" t="s">
        <v>163</v>
      </c>
      <c r="BW512" s="10">
        <v>165</v>
      </c>
      <c r="BX512" s="10">
        <v>164.4</v>
      </c>
      <c r="BY512" s="10">
        <v>104</v>
      </c>
      <c r="BZ512" s="10">
        <v>135</v>
      </c>
      <c r="CA512" s="10">
        <v>134</v>
      </c>
      <c r="CB512" s="10">
        <v>100</v>
      </c>
      <c r="CC512" s="10">
        <v>121</v>
      </c>
      <c r="CD512" s="10">
        <v>15</v>
      </c>
      <c r="CE512" s="10">
        <v>1740</v>
      </c>
      <c r="CF512" s="10">
        <v>1.05</v>
      </c>
      <c r="CG512" s="10">
        <v>1822</v>
      </c>
      <c r="CH512" s="10">
        <v>166</v>
      </c>
      <c r="CI512" s="10">
        <v>86</v>
      </c>
      <c r="CJ512" s="10">
        <v>53</v>
      </c>
      <c r="CK512" s="10">
        <v>367</v>
      </c>
      <c r="CL512" s="10">
        <v>27</v>
      </c>
      <c r="CM512" s="10">
        <v>240</v>
      </c>
      <c r="CN512" s="10">
        <v>0.51900000000000002</v>
      </c>
      <c r="CO512" s="10">
        <v>140</v>
      </c>
      <c r="CP512" s="10">
        <v>155</v>
      </c>
      <c r="CQ512" s="10">
        <v>228</v>
      </c>
      <c r="CR512" s="10">
        <v>4</v>
      </c>
      <c r="CS512" s="10">
        <v>7.5</v>
      </c>
      <c r="CT512" s="9" t="s">
        <v>188</v>
      </c>
      <c r="CU512" s="9" t="s">
        <v>169</v>
      </c>
      <c r="CV512" s="10"/>
      <c r="CW512" s="10"/>
      <c r="CX512" t="str">
        <f>INDEX('Data_Price '!AG$2:AG$1266,MATCH(Data!$DN512,'Data_Price '!$AT$2:$AT$1266,0))</f>
        <v>Liberty Genesis 101 Women's Skis - 2022 - 165cm</v>
      </c>
      <c r="CY512" t="str">
        <f>INDEX('Data_Price '!AH$2:AH$1266,MATCH(Data!$DN512,'Data_Price '!$AT$2:$AT$1266,0))</f>
        <v>Hillcrest Ski &amp; Sports</v>
      </c>
      <c r="CZ512">
        <f>INDEX('Data_Price '!AI$2:AI$1266,MATCH(Data!$DN512,'Data_Price '!$AT$2:$AT$1266,0))</f>
        <v>479.99</v>
      </c>
      <c r="DA512" t="str">
        <f>INDEX('Data_Price '!AJ$2:AJ$1266,MATCH(Data!$DN512,'Data_Price '!$AT$2:$AT$1266,0))</f>
        <v>https://tinyurl.com/ybedsbmb</v>
      </c>
      <c r="DB512" t="str">
        <f>INDEX('Data_Price '!AK$2:AK$1266,MATCH(Data!$DN512,'Data_Price '!$AT$2:$AT$1266,0))</f>
        <v>Liberty Genesis 101 Women's Skis - 2022 - 165cm</v>
      </c>
      <c r="DC512" t="str">
        <f>INDEX('Data_Price '!AL$2:AL$1266,MATCH(Data!$DN512,'Data_Price '!$AT$2:$AT$1266,0))</f>
        <v>ColoradoSkiShop.com</v>
      </c>
      <c r="DD512">
        <f>INDEX('Data_Price '!AM$2:AM$1266,MATCH(Data!$DN512,'Data_Price '!$AT$2:$AT$1266,0))</f>
        <v>479.99</v>
      </c>
      <c r="DE512" t="str">
        <f>INDEX('Data_Price '!AN$2:AN$1266,MATCH(Data!$DN512,'Data_Price '!$AT$2:$AT$1266,0))</f>
        <v>https://tinyurl.com/y85cqvn5</v>
      </c>
      <c r="DF512" t="str">
        <f>INDEX('Data_Price '!AO$2:AO$1266,MATCH(Data!$DN512,'Data_Price '!$AT$2:$AT$1266,0))</f>
        <v>'22 Liberty Genesis 101 Skis 165cm</v>
      </c>
      <c r="DG512" t="str">
        <f>INDEX('Data_Price '!AP$2:AP$1266,MATCH(Data!$DN512,'Data_Price '!$AT$2:$AT$1266,0))</f>
        <v>Al's Ski Equipment Barn</v>
      </c>
      <c r="DH512">
        <f>INDEX('Data_Price '!AQ$2:AQ$1266,MATCH(Data!$DN512,'Data_Price '!$AT$2:$AT$1266,0))</f>
        <v>599</v>
      </c>
      <c r="DI512" t="str">
        <f>INDEX('Data_Price '!AR$2:AR$1266,MATCH(Data!$DN512,'Data_Price '!$AT$2:$AT$1266,0))</f>
        <v>https://tinyurl.com/y7kcl7hq</v>
      </c>
      <c r="DJ512" s="89" t="str">
        <f t="shared" si="291"/>
        <v>https://tinyurl.com/ybedsbmb</v>
      </c>
      <c r="DK512" s="89" t="str">
        <f t="shared" si="292"/>
        <v>https://tinyurl.com/y85cqvn5</v>
      </c>
      <c r="DL512" s="89" t="str">
        <f t="shared" si="293"/>
        <v>https://tinyurl.com/y7kcl7hq</v>
      </c>
      <c r="DM512" s="219" t="str">
        <f t="shared" si="294"/>
        <v>Genesis 101</v>
      </c>
      <c r="DN512" s="89" t="str">
        <f t="shared" si="295"/>
        <v xml:space="preserve"> LibertyGenesis 101165 Women's</v>
      </c>
      <c r="DO512" s="221" t="s">
        <v>620</v>
      </c>
    </row>
    <row r="513" spans="2:119" ht="15.6" customHeight="1">
      <c r="B513" s="219" t="b">
        <f t="array" ref="B513">IF(OR(ISERROR(K513:P513)),FALSE,TRUE)</f>
        <v>1</v>
      </c>
      <c r="C513" s="43" t="b">
        <f>OR(BR513=Driver!$G$50,Data!BR195=Driver!$H$50)</f>
        <v>1</v>
      </c>
      <c r="D513" s="43" t="b">
        <f>OR(BV513=Driver!$G$51,BV513=Driver!$H$51)</f>
        <v>1</v>
      </c>
      <c r="E513" s="43" t="b">
        <f>AND(BX513&gt;Driver!$F$54,BX513&lt;Driver!$G$54)</f>
        <v>0</v>
      </c>
      <c r="F513" s="43" t="b">
        <f>CL513&gt;Driver!$F$56</f>
        <v>1</v>
      </c>
      <c r="G513" s="43" t="b">
        <f>AND(CB513&gt;Driver!$F$55,CB513&lt;Driver!$G$55)</f>
        <v>0</v>
      </c>
      <c r="H513" s="43" t="b">
        <f t="shared" si="259"/>
        <v>0</v>
      </c>
      <c r="I513" s="43">
        <f t="shared" si="260"/>
        <v>0</v>
      </c>
      <c r="J513" s="43" t="b">
        <f t="array" ref="J513">NOT(OR(($H$9:$H$1273=TRUE)*($I$9:$I$1273&gt;0)*($BT$9:$BT$1273=BT513)*($K$9:$K$1273&gt;K513)))</f>
        <v>1</v>
      </c>
      <c r="K513" s="72">
        <f t="shared" si="261"/>
        <v>0.82219710403205326</v>
      </c>
      <c r="L513" s="72">
        <f t="shared" si="262"/>
        <v>0.95317725496675565</v>
      </c>
      <c r="M513" s="72">
        <f t="shared" si="263"/>
        <v>0.69121695309735065</v>
      </c>
      <c r="N513" s="72">
        <f t="shared" si="264"/>
        <v>0.59179084345759414</v>
      </c>
      <c r="O513" s="72">
        <f t="shared" si="265"/>
        <v>0.62788570459097315</v>
      </c>
      <c r="P513" s="72">
        <f t="shared" si="266"/>
        <v>0.85397431124348466</v>
      </c>
      <c r="Q513" s="72"/>
      <c r="R513" s="72"/>
      <c r="S513" s="72">
        <f t="shared" si="267"/>
        <v>0.53076966784434854</v>
      </c>
      <c r="T513" s="72">
        <f t="shared" si="268"/>
        <v>0.6619200837902075</v>
      </c>
      <c r="U513" s="72">
        <f t="shared" si="269"/>
        <v>0.51</v>
      </c>
      <c r="V513" s="72">
        <f t="shared" si="270"/>
        <v>0.49503563755923885</v>
      </c>
      <c r="W513" s="72">
        <f t="shared" si="271"/>
        <v>0.75604054804665799</v>
      </c>
      <c r="X513" s="72">
        <f t="shared" si="272"/>
        <v>4.6822745033244323E-2</v>
      </c>
      <c r="Y513" s="72">
        <f t="shared" si="273"/>
        <v>0.30878304690264929</v>
      </c>
      <c r="Z513" s="72">
        <f t="shared" si="274"/>
        <v>0.40820915654240586</v>
      </c>
      <c r="AA513" s="72">
        <f t="shared" si="275"/>
        <v>0.3721142954090268</v>
      </c>
      <c r="AB513" s="72">
        <f t="shared" si="276"/>
        <v>0.14602568875651534</v>
      </c>
      <c r="AC513" s="72"/>
      <c r="AD513" s="72"/>
      <c r="AE513" s="72">
        <f t="shared" si="277"/>
        <v>0.46923033215565146</v>
      </c>
      <c r="AF513" s="72">
        <f t="shared" si="278"/>
        <v>0.3380799162097925</v>
      </c>
      <c r="AG513" s="72">
        <f t="shared" si="279"/>
        <v>0.49</v>
      </c>
      <c r="AH513" s="72">
        <f t="shared" si="280"/>
        <v>0.50496436244076115</v>
      </c>
      <c r="AI513" s="72">
        <f t="shared" si="281"/>
        <v>0.24395945195334198</v>
      </c>
      <c r="AJ513" s="72">
        <f>(AV513-Driver!$K$179)/(Driver!$L$179-Driver!$K$179)</f>
        <v>0.2073966642494561</v>
      </c>
      <c r="AK513" s="72">
        <f>(AW513-Driver!$K$180)/(Driver!$L$180-Driver!$K$180)</f>
        <v>0.41337819226239941</v>
      </c>
      <c r="AL513" s="72">
        <f>(AX513-Driver!$K$181)/(Driver!$L$181-Driver!$K$181)</f>
        <v>0.50989692025548605</v>
      </c>
      <c r="AM513" s="72">
        <f>(AY513-Driver!$K$182)/(Driver!$L$182-Driver!$K$182)</f>
        <v>7.5270725688019582E-2</v>
      </c>
      <c r="AN513" s="72">
        <f>(AZ513-Driver!$K$183)/(Driver!$L$183-Driver!$K$183)</f>
        <v>0.40024509803921576</v>
      </c>
      <c r="AO513" s="72"/>
      <c r="AP513" s="72"/>
      <c r="AQ513" s="72">
        <f>(BC513-Driver!$K$188)/(Driver!$L$188-Driver!$K$188)</f>
        <v>0.1507696678443485</v>
      </c>
      <c r="AR513" s="72">
        <f>MIN((BD513-Driver!$K$189)/(Driver!$L$189-Driver!$K$189),100%)</f>
        <v>0.21192008379020758</v>
      </c>
      <c r="AS513" s="72">
        <f>(BE513-Driver!$K$190)/(Driver!$L$190-Driver!$K$190)</f>
        <v>1</v>
      </c>
      <c r="AT513" s="72">
        <f>(BF513-Driver!$K$191)/(Driver!$L$191-Driver!$K$191)</f>
        <v>5.0356375592388643E-3</v>
      </c>
      <c r="AU513" s="72">
        <f>(BG513-Driver!$K$192)/(Driver!$L$192-Driver!$K$192)</f>
        <v>6.0405480466580244E-3</v>
      </c>
      <c r="AV513" s="70">
        <f t="shared" si="282"/>
        <v>4.3650793650793647</v>
      </c>
      <c r="AW513" s="70">
        <f t="shared" si="283"/>
        <v>42.159260360833798</v>
      </c>
      <c r="AX513" s="70">
        <f t="shared" si="284"/>
        <v>5.5890722822993748</v>
      </c>
      <c r="AY513" s="70">
        <f>IFERROR(Driver!$K$19/Data!BH513/Data!BI513*Data!BK513*Data!BL513,"")</f>
        <v>9.2153826859062496E-2</v>
      </c>
      <c r="AZ513" s="70">
        <f t="shared" si="285"/>
        <v>36.478034251675361</v>
      </c>
      <c r="BA513" s="70"/>
      <c r="BB513" s="70"/>
      <c r="BC513" s="70">
        <f t="shared" si="286"/>
        <v>78.205274844589937</v>
      </c>
      <c r="BD513" s="70">
        <f t="shared" si="287"/>
        <v>20.475374799362136</v>
      </c>
      <c r="BE513" s="70">
        <f t="shared" si="288"/>
        <v>1</v>
      </c>
      <c r="BF513" s="70">
        <f t="shared" si="289"/>
        <v>0.56873988495995731</v>
      </c>
      <c r="BG513" s="70">
        <f t="shared" si="290"/>
        <v>2.2873368357711529E-2</v>
      </c>
      <c r="BH513" s="67">
        <f>MAX((CE513-Driver!$F$200)/(Driver!$G$200-Driver!$F$200)*$BI$1,1)</f>
        <v>5.5890722822993748</v>
      </c>
      <c r="BI513" s="67">
        <f>MAX($BI$1*(BY513-Driver!$F$201)/(Driver!$G$201-Driver!$F$201),1)</f>
        <v>8.7341772151898738</v>
      </c>
      <c r="BJ513" s="67">
        <f>(CB513-Driver!$F$206)/(Driver!$G$206-Driver!$F$206)*$BI$1</f>
        <v>2.8571428571428568</v>
      </c>
      <c r="BK513" s="67">
        <f>(CD513-Driver!$F$203)/(Driver!$G$203-Driver!$F$203)*$BI$1</f>
        <v>3.623853211009175</v>
      </c>
      <c r="BL513" s="67">
        <f>MAX((CR513-Driver!$F$202)/(Driver!$G$202-Driver!$F$202)*$BI$1,1)</f>
        <v>6.2068965517241379</v>
      </c>
      <c r="BM513" s="67">
        <f>MAX((CH513-Driver!$F$204)/(Driver!$G$204-Driver!$F$204)*$BI$1,1)</f>
        <v>6.1111111111111116</v>
      </c>
      <c r="BN513" s="67">
        <f>(CI513-Driver!$F$205)/(Driver!$G$205-Driver!$F$205)*$BI$1</f>
        <v>4.1764705882352944</v>
      </c>
      <c r="BO513" s="67">
        <f>(CK513-Driver!$F$207)/(Driver!$G$207-Driver!$F$207)*$BI$1</f>
        <v>0.75491209927611169</v>
      </c>
      <c r="BP513" s="67">
        <f>(CM513-Driver!$F$208)/(Driver!$G$208-Driver!$F$208)*$BI$1</f>
        <v>0.9555555555555556</v>
      </c>
      <c r="BQ513" s="67">
        <f>(CL513-Driver!$F$209)/(Driver!$G$209-Driver!$F$209)*$BI$1</f>
        <v>0.78125</v>
      </c>
      <c r="BR513" s="28" t="s">
        <v>155</v>
      </c>
      <c r="BS513" s="8" t="s">
        <v>156</v>
      </c>
      <c r="BT513" s="9" t="s">
        <v>646</v>
      </c>
      <c r="BU513" s="10">
        <v>174</v>
      </c>
      <c r="BV513" s="9" t="s">
        <v>158</v>
      </c>
      <c r="BW513" s="10">
        <v>174</v>
      </c>
      <c r="BX513" s="10">
        <v>173.3</v>
      </c>
      <c r="BY513" s="10">
        <v>146</v>
      </c>
      <c r="BZ513" s="10">
        <v>156</v>
      </c>
      <c r="CA513" s="10">
        <v>122</v>
      </c>
      <c r="CB513" s="10">
        <v>82</v>
      </c>
      <c r="CC513" s="10">
        <v>108</v>
      </c>
      <c r="CD513" s="10">
        <v>17.3</v>
      </c>
      <c r="CE513" s="10">
        <v>1882</v>
      </c>
      <c r="CF513" s="10">
        <v>0.87</v>
      </c>
      <c r="CG513" s="10">
        <v>1639</v>
      </c>
      <c r="CH513" s="10">
        <v>244</v>
      </c>
      <c r="CI513" s="10">
        <v>104</v>
      </c>
      <c r="CJ513" s="10">
        <v>41</v>
      </c>
      <c r="CK513" s="10">
        <v>183</v>
      </c>
      <c r="CL513" s="10">
        <v>5</v>
      </c>
      <c r="CM513" s="10">
        <v>86</v>
      </c>
      <c r="CN513" s="10">
        <v>0.12</v>
      </c>
      <c r="CO513" s="10">
        <v>101</v>
      </c>
      <c r="CP513" s="10">
        <v>72</v>
      </c>
      <c r="CQ513" s="10">
        <v>82</v>
      </c>
      <c r="CR513" s="10">
        <v>7</v>
      </c>
      <c r="CS513" s="10">
        <v>11.1</v>
      </c>
      <c r="CT513" s="9" t="s">
        <v>349</v>
      </c>
      <c r="CU513" s="9" t="s">
        <v>188</v>
      </c>
      <c r="CV513" s="10"/>
      <c r="CW513" s="10"/>
      <c r="CX513">
        <f>INDEX('Data_Price '!AG$2:AG$1266,MATCH(Data!$DN513,'Data_Price '!$AT$2:$AT$1266,0))</f>
        <v>0</v>
      </c>
      <c r="CY513">
        <f>INDEX('Data_Price '!AH$2:AH$1266,MATCH(Data!$DN513,'Data_Price '!$AT$2:$AT$1266,0))</f>
        <v>0</v>
      </c>
      <c r="CZ513">
        <f>INDEX('Data_Price '!AI$2:AI$1266,MATCH(Data!$DN513,'Data_Price '!$AT$2:$AT$1266,0))</f>
        <v>0</v>
      </c>
      <c r="DA513">
        <f>INDEX('Data_Price '!AJ$2:AJ$1266,MATCH(Data!$DN513,'Data_Price '!$AT$2:$AT$1266,0))</f>
        <v>0</v>
      </c>
      <c r="DB513">
        <f>INDEX('Data_Price '!AK$2:AK$1266,MATCH(Data!$DN513,'Data_Price '!$AT$2:$AT$1266,0))</f>
        <v>0</v>
      </c>
      <c r="DC513">
        <f>INDEX('Data_Price '!AL$2:AL$1266,MATCH(Data!$DN513,'Data_Price '!$AT$2:$AT$1266,0))</f>
        <v>0</v>
      </c>
      <c r="DD513">
        <f>INDEX('Data_Price '!AM$2:AM$1266,MATCH(Data!$DN513,'Data_Price '!$AT$2:$AT$1266,0))</f>
        <v>0</v>
      </c>
      <c r="DE513">
        <f>INDEX('Data_Price '!AN$2:AN$1266,MATCH(Data!$DN513,'Data_Price '!$AT$2:$AT$1266,0))</f>
        <v>0</v>
      </c>
      <c r="DF513">
        <f>INDEX('Data_Price '!AO$2:AO$1266,MATCH(Data!$DN513,'Data_Price '!$AT$2:$AT$1266,0))</f>
        <v>0</v>
      </c>
      <c r="DG513">
        <f>INDEX('Data_Price '!AP$2:AP$1266,MATCH(Data!$DN513,'Data_Price '!$AT$2:$AT$1266,0))</f>
        <v>0</v>
      </c>
      <c r="DH513">
        <f>INDEX('Data_Price '!AQ$2:AQ$1266,MATCH(Data!$DN513,'Data_Price '!$AT$2:$AT$1266,0))</f>
        <v>0</v>
      </c>
      <c r="DI513">
        <f>INDEX('Data_Price '!AR$2:AR$1266,MATCH(Data!$DN513,'Data_Price '!$AT$2:$AT$1266,0))</f>
        <v>0</v>
      </c>
      <c r="DJ513" s="89">
        <f t="shared" si="291"/>
        <v>0</v>
      </c>
      <c r="DK513" s="89">
        <f t="shared" si="292"/>
        <v>0</v>
      </c>
      <c r="DL513" s="89">
        <f t="shared" si="293"/>
        <v>0</v>
      </c>
      <c r="DM513" s="219" t="str">
        <f t="shared" si="294"/>
        <v>Vantage 82 Ti</v>
      </c>
      <c r="DN513" s="89" t="str">
        <f t="shared" si="295"/>
        <v xml:space="preserve"> AtomicVantage 82 Ti174 Unisex</v>
      </c>
      <c r="DO513" s="221"/>
    </row>
    <row r="514" spans="2:119" ht="15.6" customHeight="1">
      <c r="B514" s="219" t="b">
        <f t="array" ref="B514">IF(OR(ISERROR(K514:P514)),FALSE,TRUE)</f>
        <v>1</v>
      </c>
      <c r="C514" s="43" t="b">
        <f>OR(BR514=Driver!$G$50,Data!BR152=Driver!$H$50)</f>
        <v>1</v>
      </c>
      <c r="D514" s="43" t="b">
        <f>OR(BV514=Driver!$G$51,BV514=Driver!$H$51)</f>
        <v>0</v>
      </c>
      <c r="E514" s="43" t="b">
        <f>AND(BX514&gt;Driver!$F$54,BX514&lt;Driver!$G$54)</f>
        <v>1</v>
      </c>
      <c r="F514" s="43" t="b">
        <f>CL514&gt;Driver!$F$56</f>
        <v>1</v>
      </c>
      <c r="G514" s="43" t="b">
        <f>AND(CB514&gt;Driver!$F$55,CB514&lt;Driver!$G$55)</f>
        <v>0</v>
      </c>
      <c r="H514" s="43" t="b">
        <f t="shared" si="259"/>
        <v>0</v>
      </c>
      <c r="I514" s="43">
        <f t="shared" si="260"/>
        <v>0</v>
      </c>
      <c r="J514" s="43" t="b">
        <f t="array" ref="J514">NOT(OR(($H$9:$H$1273=TRUE)*($I$9:$I$1273&gt;0)*($BT$9:$BT$1273=BT514)*($K$9:$K$1273&gt;K514)))</f>
        <v>1</v>
      </c>
      <c r="K514" s="72">
        <f t="shared" si="261"/>
        <v>0.88021261620401481</v>
      </c>
      <c r="L514" s="72">
        <f t="shared" si="262"/>
        <v>0.92481531797537708</v>
      </c>
      <c r="M514" s="72">
        <f t="shared" si="263"/>
        <v>0.83560991443265253</v>
      </c>
      <c r="N514" s="72">
        <f t="shared" si="264"/>
        <v>0.88142595380983602</v>
      </c>
      <c r="O514" s="72">
        <f t="shared" si="265"/>
        <v>0.65870816609108351</v>
      </c>
      <c r="P514" s="72">
        <f t="shared" si="266"/>
        <v>0.96669562339703818</v>
      </c>
      <c r="Q514" s="72"/>
      <c r="R514" s="72"/>
      <c r="S514" s="72">
        <f t="shared" si="267"/>
        <v>0.43907486477894153</v>
      </c>
      <c r="T514" s="72">
        <f t="shared" si="268"/>
        <v>0.49620887656479939</v>
      </c>
      <c r="U514" s="72">
        <f t="shared" si="269"/>
        <v>0.75729926449858875</v>
      </c>
      <c r="V514" s="72">
        <f t="shared" si="270"/>
        <v>0.53417036485670577</v>
      </c>
      <c r="W514" s="72">
        <f t="shared" si="271"/>
        <v>0.79167202025546068</v>
      </c>
      <c r="X514" s="72">
        <f t="shared" si="272"/>
        <v>7.5184682024622917E-2</v>
      </c>
      <c r="Y514" s="72">
        <f t="shared" si="273"/>
        <v>0.16439008556734744</v>
      </c>
      <c r="Z514" s="72">
        <f t="shared" si="274"/>
        <v>0.118574046190164</v>
      </c>
      <c r="AA514" s="72">
        <f t="shared" si="275"/>
        <v>0.34129183390891649</v>
      </c>
      <c r="AB514" s="72">
        <f t="shared" si="276"/>
        <v>3.3304376602961844E-2</v>
      </c>
      <c r="AC514" s="72"/>
      <c r="AD514" s="72"/>
      <c r="AE514" s="72">
        <f t="shared" si="277"/>
        <v>0.56092513522105847</v>
      </c>
      <c r="AF514" s="72">
        <f t="shared" si="278"/>
        <v>0.50379112343520061</v>
      </c>
      <c r="AG514" s="72">
        <f t="shared" si="279"/>
        <v>0.24270073550141119</v>
      </c>
      <c r="AH514" s="72">
        <f t="shared" si="280"/>
        <v>0.46582963514329429</v>
      </c>
      <c r="AI514" s="72">
        <f t="shared" si="281"/>
        <v>0.20832797974453934</v>
      </c>
      <c r="AJ514" s="72">
        <f>(AV514-Driver!$K$179)/(Driver!$L$179-Driver!$K$179)</f>
        <v>0.17903472725807751</v>
      </c>
      <c r="AK514" s="72">
        <f>(AW514-Driver!$K$180)/(Driver!$L$180-Driver!$K$180)</f>
        <v>0.21931696595989175</v>
      </c>
      <c r="AL514" s="72">
        <f>(AX514-Driver!$K$181)/(Driver!$L$181-Driver!$K$181)</f>
        <v>0.22026180990324418</v>
      </c>
      <c r="AM514" s="72">
        <f>(AY514-Driver!$K$182)/(Driver!$L$182-Driver!$K$182)</f>
        <v>0.10609318718812989</v>
      </c>
      <c r="AN514" s="72">
        <f>(AZ514-Driver!$K$183)/(Driver!$L$183-Driver!$K$183)</f>
        <v>0.22091503267973858</v>
      </c>
      <c r="AO514" s="72"/>
      <c r="AP514" s="72"/>
      <c r="AQ514" s="72">
        <f>(BC514-Driver!$K$188)/(Driver!$L$188-Driver!$K$188)</f>
        <v>5.9074864778941534E-2</v>
      </c>
      <c r="AR514" s="72">
        <f>MIN((BD514-Driver!$K$189)/(Driver!$L$189-Driver!$K$189),100%)</f>
        <v>4.6208876564799488E-2</v>
      </c>
      <c r="AS514" s="72">
        <f>(BE514-Driver!$K$190)/(Driver!$L$190-Driver!$K$190)</f>
        <v>0.26729926449858882</v>
      </c>
      <c r="AT514" s="72">
        <f>(BF514-Driver!$K$191)/(Driver!$L$191-Driver!$K$191)</f>
        <v>4.4170364856705724E-2</v>
      </c>
      <c r="AU514" s="72">
        <f>(BG514-Driver!$K$192)/(Driver!$L$192-Driver!$K$192)</f>
        <v>4.167202025546065E-2</v>
      </c>
      <c r="AV514" s="70">
        <f t="shared" si="282"/>
        <v>3.768145434812102</v>
      </c>
      <c r="AW514" s="70">
        <f t="shared" si="283"/>
        <v>23.246274300261543</v>
      </c>
      <c r="AX514" s="70">
        <f t="shared" si="284"/>
        <v>2.9823562891291977</v>
      </c>
      <c r="AY514" s="70">
        <f>IFERROR(Driver!$K$19/Data!BH514/Data!BI514*Data!BK514*Data!BL514,"")</f>
        <v>0.12988971627009521</v>
      </c>
      <c r="AZ514" s="70">
        <f t="shared" si="285"/>
        <v>20.134028294862251</v>
      </c>
      <c r="BA514" s="70"/>
      <c r="BB514" s="70"/>
      <c r="BC514" s="70">
        <f t="shared" si="286"/>
        <v>30.642543042634188</v>
      </c>
      <c r="BD514" s="70">
        <f t="shared" si="287"/>
        <v>5.8102265827981423</v>
      </c>
      <c r="BE514" s="70">
        <f t="shared" si="288"/>
        <v>0.2674299700629042</v>
      </c>
      <c r="BF514" s="70">
        <f t="shared" si="289"/>
        <v>4.9887323961892234</v>
      </c>
      <c r="BG514" s="70">
        <f t="shared" si="290"/>
        <v>0.15779685256216458</v>
      </c>
      <c r="BH514" s="67">
        <f>MAX((CE514-Driver!$F$200)/(Driver!$G$200-Driver!$F$200)*$BI$1,1)</f>
        <v>2.9823562891291977</v>
      </c>
      <c r="BI514" s="67">
        <f>MAX($BI$1*(BY514-Driver!$F$201)/(Driver!$G$201-Driver!$F$201),1)</f>
        <v>6.5822784810126587</v>
      </c>
      <c r="BJ514" s="67">
        <f>(CB514-Driver!$F$206)/(Driver!$G$206-Driver!$F$206)*$BI$1</f>
        <v>3.4920634920634921</v>
      </c>
      <c r="BK514" s="67">
        <f>(CD514-Driver!$F$203)/(Driver!$G$203-Driver!$F$203)*$BI$1</f>
        <v>2.8440366972477067</v>
      </c>
      <c r="BL514" s="67">
        <f>MAX((CR514-Driver!$F$202)/(Driver!$G$202-Driver!$F$202)*$BI$1,1)</f>
        <v>4.4827586206896548</v>
      </c>
      <c r="BM514" s="67">
        <f>MAX((CH514-Driver!$F$204)/(Driver!$G$204-Driver!$F$204)*$BI$1,1)</f>
        <v>4.3162393162393169</v>
      </c>
      <c r="BN514" s="67">
        <f>(CI514-Driver!$F$205)/(Driver!$G$205-Driver!$F$205)*$BI$1</f>
        <v>3.0588235294117649</v>
      </c>
      <c r="BO514" s="67">
        <f>(CK514-Driver!$F$207)/(Driver!$G$207-Driver!$F$207)*$BI$1</f>
        <v>1.7580144777662876</v>
      </c>
      <c r="BP514" s="67">
        <f>(CM514-Driver!$F$208)/(Driver!$G$208-Driver!$F$208)*$BI$1</f>
        <v>2.3111111111111109</v>
      </c>
      <c r="BQ514" s="67">
        <f>(CL514-Driver!$F$209)/(Driver!$G$209-Driver!$F$209)*$BI$1</f>
        <v>2.03125</v>
      </c>
      <c r="BR514" s="28" t="s">
        <v>155</v>
      </c>
      <c r="BS514" s="8" t="s">
        <v>156</v>
      </c>
      <c r="BT514" s="9" t="s">
        <v>647</v>
      </c>
      <c r="BU514" s="10">
        <v>161</v>
      </c>
      <c r="BV514" s="9" t="s">
        <v>163</v>
      </c>
      <c r="BW514" s="10">
        <v>161</v>
      </c>
      <c r="BX514" s="10">
        <v>160.30000000000001</v>
      </c>
      <c r="BY514" s="10">
        <v>112</v>
      </c>
      <c r="BZ514" s="10">
        <v>133</v>
      </c>
      <c r="CA514" s="10">
        <v>122</v>
      </c>
      <c r="CB514" s="10">
        <v>86</v>
      </c>
      <c r="CC514" s="10">
        <v>104</v>
      </c>
      <c r="CD514" s="10">
        <v>15.6</v>
      </c>
      <c r="CE514" s="10">
        <v>1424</v>
      </c>
      <c r="CF514" s="10">
        <v>1.0900000000000001</v>
      </c>
      <c r="CG514" s="10">
        <v>1557</v>
      </c>
      <c r="CH514" s="10">
        <v>202</v>
      </c>
      <c r="CI514" s="10">
        <v>85</v>
      </c>
      <c r="CJ514" s="10">
        <v>45</v>
      </c>
      <c r="CK514" s="10">
        <v>280</v>
      </c>
      <c r="CL514" s="10">
        <v>13</v>
      </c>
      <c r="CM514" s="10">
        <v>208</v>
      </c>
      <c r="CN514" s="10">
        <v>0.28799999999999998</v>
      </c>
      <c r="CO514" s="10">
        <v>166</v>
      </c>
      <c r="CP514" s="10">
        <v>108</v>
      </c>
      <c r="CQ514" s="10">
        <v>114</v>
      </c>
      <c r="CR514" s="10">
        <v>2</v>
      </c>
      <c r="CS514" s="10">
        <v>8.9</v>
      </c>
      <c r="CT514" s="9" t="s">
        <v>188</v>
      </c>
      <c r="CU514" s="9" t="s">
        <v>185</v>
      </c>
      <c r="CV514" s="10"/>
      <c r="CW514" s="10"/>
      <c r="CX514" t="str">
        <f>INDEX('Data_Price '!AG$2:AG$1266,MATCH(Data!$DN514,'Data_Price '!$AT$2:$AT$1266,0))</f>
        <v>Atomic Maven 86 C</v>
      </c>
      <c r="CY514" t="str">
        <f>INDEX('Data_Price '!AH$2:AH$1266,MATCH(Data!$DN514,'Data_Price '!$AT$2:$AT$1266,0))</f>
        <v>Ski Pro  - Snow Ski &amp; Snowboard</v>
      </c>
      <c r="CZ514">
        <f>INDEX('Data_Price '!AI$2:AI$1266,MATCH(Data!$DN514,'Data_Price '!$AT$2:$AT$1266,0))</f>
        <v>399.95</v>
      </c>
      <c r="DA514" t="str">
        <f>INDEX('Data_Price '!AJ$2:AJ$1266,MATCH(Data!$DN514,'Data_Price '!$AT$2:$AT$1266,0))</f>
        <v>https://tinyurl.com/y7eg4yx4</v>
      </c>
      <c r="DB514" t="str">
        <f>INDEX('Data_Price '!AK$2:AK$1266,MATCH(Data!$DN514,'Data_Price '!$AT$2:$AT$1266,0))</f>
        <v>Atomic Maven 86 C</v>
      </c>
      <c r="DC514" t="str">
        <f>INDEX('Data_Price '!AL$2:AL$1266,MATCH(Data!$DN514,'Data_Price '!$AT$2:$AT$1266,0))</f>
        <v>evo.com</v>
      </c>
      <c r="DD514">
        <f>INDEX('Data_Price '!AM$2:AM$1266,MATCH(Data!$DN514,'Data_Price '!$AT$2:$AT$1266,0))</f>
        <v>399.99</v>
      </c>
      <c r="DE514" t="str">
        <f>INDEX('Data_Price '!AN$2:AN$1266,MATCH(Data!$DN514,'Data_Price '!$AT$2:$AT$1266,0))</f>
        <v>https://tinyurl.com/yc6jwrjr</v>
      </c>
      <c r="DF514" t="str">
        <f>INDEX('Data_Price '!AO$2:AO$1266,MATCH(Data!$DN514,'Data_Price '!$AT$2:$AT$1266,0))</f>
        <v>Atomic Maven 86 C</v>
      </c>
      <c r="DG514" t="str">
        <f>INDEX('Data_Price '!AP$2:AP$1266,MATCH(Data!$DN514,'Data_Price '!$AT$2:$AT$1266,0))</f>
        <v>Hillcrest Ski &amp; Sports</v>
      </c>
      <c r="DH514">
        <f>INDEX('Data_Price '!AQ$2:AQ$1266,MATCH(Data!$DN514,'Data_Price '!$AT$2:$AT$1266,0))</f>
        <v>399.99</v>
      </c>
      <c r="DI514" t="str">
        <f>INDEX('Data_Price '!AR$2:AR$1266,MATCH(Data!$DN514,'Data_Price '!$AT$2:$AT$1266,0))</f>
        <v>https://tinyurl.com/y9fcyoop</v>
      </c>
      <c r="DJ514" s="89" t="str">
        <f t="shared" si="291"/>
        <v>https://tinyurl.com/y7eg4yx4</v>
      </c>
      <c r="DK514" s="89" t="str">
        <f t="shared" si="292"/>
        <v>https://tinyurl.com/yc6jwrjr</v>
      </c>
      <c r="DL514" s="89" t="str">
        <f t="shared" si="293"/>
        <v>https://tinyurl.com/y9fcyoop</v>
      </c>
      <c r="DM514" s="219" t="str">
        <f t="shared" si="294"/>
        <v>Maven 86 C</v>
      </c>
      <c r="DN514" s="89" t="str">
        <f t="shared" si="295"/>
        <v xml:space="preserve"> AtomicMaven 86 C161 Women's</v>
      </c>
      <c r="DO514" s="221" t="s">
        <v>648</v>
      </c>
    </row>
    <row r="515" spans="2:119" ht="15.6" customHeight="1">
      <c r="B515" s="219" t="b">
        <f t="array" ref="B515">IF(OR(ISERROR(K515:P515)),FALSE,TRUE)</f>
        <v>1</v>
      </c>
      <c r="C515" s="43" t="b">
        <f>OR(BR515=Driver!$G$50,Data!BR1018=Driver!$H$50)</f>
        <v>1</v>
      </c>
      <c r="D515" s="43" t="b">
        <f>OR(BV515=Driver!$G$51,BV515=Driver!$H$51)</f>
        <v>1</v>
      </c>
      <c r="E515" s="43" t="b">
        <f>AND(BX515&gt;Driver!$F$54,BX515&lt;Driver!$G$54)</f>
        <v>0</v>
      </c>
      <c r="F515" s="43" t="b">
        <f>CL515&gt;Driver!$F$56</f>
        <v>1</v>
      </c>
      <c r="G515" s="43" t="b">
        <f>AND(CB515&gt;Driver!$F$55,CB515&lt;Driver!$G$55)</f>
        <v>0</v>
      </c>
      <c r="H515" s="43" t="b">
        <f t="shared" si="259"/>
        <v>0</v>
      </c>
      <c r="I515" s="43">
        <f t="shared" si="260"/>
        <v>0</v>
      </c>
      <c r="J515" s="43" t="b">
        <f t="array" ref="J515">NOT(OR(($H$9:$H$1273=TRUE)*($I$9:$I$1273&gt;0)*($BT$9:$BT$1273=BT515)*($K$9:$K$1273&gt;K515)))</f>
        <v>1</v>
      </c>
      <c r="K515" s="72">
        <f t="shared" si="261"/>
        <v>0.81749002251904412</v>
      </c>
      <c r="L515" s="72">
        <f t="shared" si="262"/>
        <v>0.89427789149886427</v>
      </c>
      <c r="M515" s="72">
        <f t="shared" si="263"/>
        <v>0.74070215353922397</v>
      </c>
      <c r="N515" s="72">
        <f t="shared" si="264"/>
        <v>0.64427930232055508</v>
      </c>
      <c r="O515" s="72">
        <f t="shared" si="265"/>
        <v>0.60357434535759502</v>
      </c>
      <c r="P515" s="72">
        <f t="shared" si="266"/>
        <v>0.97425281293952182</v>
      </c>
      <c r="Q515" s="72"/>
      <c r="R515" s="72"/>
      <c r="S515" s="72">
        <f t="shared" si="267"/>
        <v>0.42241443775479537</v>
      </c>
      <c r="T515" s="72">
        <f t="shared" si="268"/>
        <v>0.71431339607526723</v>
      </c>
      <c r="U515" s="72">
        <f t="shared" si="269"/>
        <v>0.81365254289458577</v>
      </c>
      <c r="V515" s="72">
        <f t="shared" si="270"/>
        <v>0.52257226850568061</v>
      </c>
      <c r="W515" s="72">
        <f t="shared" si="271"/>
        <v>0.77529098769537741</v>
      </c>
      <c r="X515" s="72">
        <f t="shared" si="272"/>
        <v>0.1057221085011357</v>
      </c>
      <c r="Y515" s="72">
        <f t="shared" si="273"/>
        <v>0.25929784646077603</v>
      </c>
      <c r="Z515" s="72">
        <f t="shared" si="274"/>
        <v>0.35572069767944492</v>
      </c>
      <c r="AA515" s="72">
        <f t="shared" si="275"/>
        <v>0.39642565464240503</v>
      </c>
      <c r="AB515" s="72">
        <f t="shared" si="276"/>
        <v>2.574718706047821E-2</v>
      </c>
      <c r="AC515" s="72"/>
      <c r="AD515" s="72"/>
      <c r="AE515" s="72">
        <f t="shared" si="277"/>
        <v>0.57758556224520463</v>
      </c>
      <c r="AF515" s="72">
        <f t="shared" si="278"/>
        <v>0.28568660392473272</v>
      </c>
      <c r="AG515" s="72">
        <f t="shared" si="279"/>
        <v>0.18634745710541428</v>
      </c>
      <c r="AH515" s="72">
        <f t="shared" si="280"/>
        <v>0.47742773149431939</v>
      </c>
      <c r="AI515" s="72">
        <f t="shared" si="281"/>
        <v>0.22470901230462256</v>
      </c>
      <c r="AJ515" s="72">
        <f>(AV515-Driver!$K$179)/(Driver!$L$179-Driver!$K$179)</f>
        <v>0.14849730078156473</v>
      </c>
      <c r="AK515" s="72">
        <f>(AW515-Driver!$K$180)/(Driver!$L$180-Driver!$K$180)</f>
        <v>0.2475912152816992</v>
      </c>
      <c r="AL515" s="72">
        <f>(AX515-Driver!$K$181)/(Driver!$L$181-Driver!$K$181)</f>
        <v>0.45740846139252511</v>
      </c>
      <c r="AM515" s="72">
        <f>(AY515-Driver!$K$182)/(Driver!$L$182-Driver!$K$182)</f>
        <v>5.095936645464131E-2</v>
      </c>
      <c r="AN515" s="72">
        <f>(AZ515-Driver!$K$183)/(Driver!$L$183-Driver!$K$183)</f>
        <v>0.22847222222222222</v>
      </c>
      <c r="AO515" s="72"/>
      <c r="AP515" s="72"/>
      <c r="AQ515" s="72">
        <f>(BC515-Driver!$K$188)/(Driver!$L$188-Driver!$K$188)</f>
        <v>4.2414437754795406E-2</v>
      </c>
      <c r="AR515" s="72">
        <f>MIN((BD515-Driver!$K$189)/(Driver!$L$189-Driver!$K$189),100%)</f>
        <v>0.26431339607526733</v>
      </c>
      <c r="AS515" s="72">
        <f>(BE515-Driver!$K$190)/(Driver!$L$190-Driver!$K$190)</f>
        <v>0.32365254289458573</v>
      </c>
      <c r="AT515" s="72">
        <f>(BF515-Driver!$K$191)/(Driver!$L$191-Driver!$K$191)</f>
        <v>3.2572268505680603E-2</v>
      </c>
      <c r="AU515" s="72">
        <f>(BG515-Driver!$K$192)/(Driver!$L$192-Driver!$K$192)</f>
        <v>2.5290987695377447E-2</v>
      </c>
      <c r="AV515" s="70">
        <f t="shared" si="282"/>
        <v>3.1254239587572923</v>
      </c>
      <c r="AW515" s="70">
        <f t="shared" si="283"/>
        <v>26.001850432007231</v>
      </c>
      <c r="AX515" s="70">
        <f t="shared" si="284"/>
        <v>5.116676152532726</v>
      </c>
      <c r="AY515" s="70">
        <f>IFERROR(Driver!$K$19/Data!BH515/Data!BI515*Data!BK515*Data!BL515,"")</f>
        <v>6.2389469347921868E-2</v>
      </c>
      <c r="AZ515" s="70">
        <f t="shared" si="285"/>
        <v>20.822784810126581</v>
      </c>
      <c r="BA515" s="70"/>
      <c r="BB515" s="70"/>
      <c r="BC515" s="70">
        <f t="shared" si="286"/>
        <v>22.000663723799956</v>
      </c>
      <c r="BD515" s="70">
        <f t="shared" si="287"/>
        <v>25.112090101133919</v>
      </c>
      <c r="BE515" s="70">
        <f t="shared" si="288"/>
        <v>0.32377319566831847</v>
      </c>
      <c r="BF515" s="70">
        <f t="shared" si="289"/>
        <v>3.6788088945793187</v>
      </c>
      <c r="BG515" s="70">
        <f t="shared" si="290"/>
        <v>9.5767813320642631E-2</v>
      </c>
      <c r="BH515" s="67">
        <f>MAX((CE515-Driver!$F$200)/(Driver!$G$200-Driver!$F$200)*$BI$1,1)</f>
        <v>5.116676152532726</v>
      </c>
      <c r="BI515" s="67">
        <f>MAX($BI$1*(BY515-Driver!$F$201)/(Driver!$G$201-Driver!$F$201),1)</f>
        <v>7.5316455696202533</v>
      </c>
      <c r="BJ515" s="67">
        <f>(CB515-Driver!$F$206)/(Driver!$G$206-Driver!$F$206)*$BI$1</f>
        <v>3.0158730158730158</v>
      </c>
      <c r="BK515" s="67">
        <f>(CD515-Driver!$F$203)/(Driver!$G$203-Driver!$F$203)*$BI$1</f>
        <v>1.834862385321101</v>
      </c>
      <c r="BL515" s="67">
        <f>MAX((CR515-Driver!$F$202)/(Driver!$G$202-Driver!$F$202)*$BI$1,1)</f>
        <v>6.5517241379310338</v>
      </c>
      <c r="BM515" s="67">
        <f>MAX((CH515-Driver!$F$204)/(Driver!$G$204-Driver!$F$204)*$BI$1,1)</f>
        <v>4.1452991452991457</v>
      </c>
      <c r="BN515" s="67">
        <f>(CI515-Driver!$F$205)/(Driver!$G$205-Driver!$F$205)*$BI$1</f>
        <v>2.7647058823529411</v>
      </c>
      <c r="BO515" s="67">
        <f>(CK515-Driver!$F$207)/(Driver!$G$207-Driver!$F$207)*$BI$1</f>
        <v>1.5615305067218201</v>
      </c>
      <c r="BP515" s="67">
        <f>(CM515-Driver!$F$208)/(Driver!$G$208-Driver!$F$208)*$BI$1</f>
        <v>1.4333333333333333</v>
      </c>
      <c r="BQ515" s="67">
        <f>(CL515-Driver!$F$209)/(Driver!$G$209-Driver!$F$209)*$BI$1</f>
        <v>2.03125</v>
      </c>
      <c r="BR515" s="28" t="s">
        <v>155</v>
      </c>
      <c r="BS515" s="8" t="s">
        <v>172</v>
      </c>
      <c r="BT515" s="9" t="s">
        <v>345</v>
      </c>
      <c r="BU515" s="10">
        <v>167</v>
      </c>
      <c r="BV515" s="9" t="s">
        <v>158</v>
      </c>
      <c r="BW515" s="10">
        <v>167</v>
      </c>
      <c r="BX515" s="10">
        <v>166.4</v>
      </c>
      <c r="BY515" s="10">
        <v>127</v>
      </c>
      <c r="BZ515" s="10">
        <v>152</v>
      </c>
      <c r="CA515" s="10">
        <v>131</v>
      </c>
      <c r="CB515" s="10">
        <v>83</v>
      </c>
      <c r="CC515" s="10">
        <v>119</v>
      </c>
      <c r="CD515" s="10">
        <v>13.4</v>
      </c>
      <c r="CE515" s="10">
        <v>1799</v>
      </c>
      <c r="CF515" s="10">
        <v>0.91</v>
      </c>
      <c r="CG515" s="10">
        <v>1643</v>
      </c>
      <c r="CH515" s="10">
        <v>198</v>
      </c>
      <c r="CI515" s="10">
        <v>80</v>
      </c>
      <c r="CJ515" s="10">
        <v>46</v>
      </c>
      <c r="CK515" s="10">
        <v>261</v>
      </c>
      <c r="CL515" s="10">
        <v>13</v>
      </c>
      <c r="CM515" s="10">
        <v>129</v>
      </c>
      <c r="CN515" s="10">
        <v>0.27800000000000002</v>
      </c>
      <c r="CO515" s="10">
        <v>74</v>
      </c>
      <c r="CP515" s="10">
        <v>67</v>
      </c>
      <c r="CQ515" s="10">
        <v>186</v>
      </c>
      <c r="CR515" s="10">
        <v>8</v>
      </c>
      <c r="CS515" s="10">
        <v>6.7</v>
      </c>
      <c r="CT515" s="9" t="s">
        <v>188</v>
      </c>
      <c r="CU515" s="10"/>
      <c r="CV515" s="10"/>
      <c r="CW515" s="10"/>
      <c r="CX515" t="str">
        <f>INDEX('Data_Price '!AG$2:AG$1266,MATCH(Data!$DN515,'Data_Price '!$AT$2:$AT$1266,0))</f>
        <v>Rossignol Experience 86 Basalt Skis w/ Look SPX 12 Konect GW Bindings</v>
      </c>
      <c r="CY515" t="str">
        <f>INDEX('Data_Price '!AH$2:AH$1266,MATCH(Data!$DN515,'Data_Price '!$AT$2:$AT$1266,0))</f>
        <v>The-House.com</v>
      </c>
      <c r="CZ515">
        <f>INDEX('Data_Price '!AI$2:AI$1266,MATCH(Data!$DN515,'Data_Price '!$AT$2:$AT$1266,0))</f>
        <v>639.95000000000005</v>
      </c>
      <c r="DA515" t="str">
        <f>INDEX('Data_Price '!AJ$2:AJ$1266,MATCH(Data!$DN515,'Data_Price '!$AT$2:$AT$1266,0))</f>
        <v>https://tinyurl.com/y8z3qjzz</v>
      </c>
      <c r="DB515" t="str">
        <f>INDEX('Data_Price '!AK$2:AK$1266,MATCH(Data!$DN515,'Data_Price '!$AT$2:$AT$1266,0))</f>
        <v>Rossignol Men's Experience 86 Basalt Skis with Bindings 167 cm</v>
      </c>
      <c r="DC515" t="str">
        <f>INDEX('Data_Price '!AL$2:AL$1266,MATCH(Data!$DN515,'Data_Price '!$AT$2:$AT$1266,0))</f>
        <v>eBay - grassisport</v>
      </c>
      <c r="DD515">
        <f>INDEX('Data_Price '!AM$2:AM$1266,MATCH(Data!$DN515,'Data_Price '!$AT$2:$AT$1266,0))</f>
        <v>737.81</v>
      </c>
      <c r="DE515" t="str">
        <f>INDEX('Data_Price '!AN$2:AN$1266,MATCH(Data!$DN515,'Data_Price '!$AT$2:$AT$1266,0))</f>
        <v>https://tinyurl.com/yb89cz7d</v>
      </c>
      <c r="DF515" t="str">
        <f>INDEX('Data_Price '!AO$2:AO$1266,MATCH(Data!$DN515,'Data_Price '!$AT$2:$AT$1266,0))</f>
        <v>Rossignol Men's Experience 86 Basalt Skis with Bindings 167 cm</v>
      </c>
      <c r="DG515" t="str">
        <f>INDEX('Data_Price '!AP$2:AP$1266,MATCH(Data!$DN515,'Data_Price '!$AT$2:$AT$1266,0))</f>
        <v>Rossignol US</v>
      </c>
      <c r="DH515">
        <f>INDEX('Data_Price '!AQ$2:AQ$1266,MATCH(Data!$DN515,'Data_Price '!$AT$2:$AT$1266,0))</f>
        <v>799.95</v>
      </c>
      <c r="DI515" t="str">
        <f>INDEX('Data_Price '!AR$2:AR$1266,MATCH(Data!$DN515,'Data_Price '!$AT$2:$AT$1266,0))</f>
        <v>https://tinyurl.com/ycqoxl8j</v>
      </c>
      <c r="DJ515" s="89" t="str">
        <f t="shared" si="291"/>
        <v>https://tinyurl.com/y8z3qjzz</v>
      </c>
      <c r="DK515" s="89" t="str">
        <f t="shared" si="292"/>
        <v>https://tinyurl.com/yb89cz7d</v>
      </c>
      <c r="DL515" s="89" t="str">
        <f t="shared" si="293"/>
        <v>https://tinyurl.com/ycqoxl8j</v>
      </c>
      <c r="DM515" s="219" t="str">
        <f t="shared" si="294"/>
        <v>Experience 86 Basalt</v>
      </c>
      <c r="DN515" s="89" t="str">
        <f t="shared" si="295"/>
        <v xml:space="preserve"> RossignolExperience 86 Basalt167 Unisex</v>
      </c>
      <c r="DO515" s="221" t="s">
        <v>346</v>
      </c>
    </row>
    <row r="516" spans="2:119" ht="15.6" customHeight="1">
      <c r="B516" s="219" t="b">
        <f t="array" ref="B516">IF(OR(ISERROR(K516:P516)),FALSE,TRUE)</f>
        <v>1</v>
      </c>
      <c r="C516" s="43" t="b">
        <f>OR(BR516=Driver!$G$50,Data!BR575=Driver!$H$50)</f>
        <v>1</v>
      </c>
      <c r="D516" s="43" t="b">
        <f>OR(BV516=Driver!$G$51,BV516=Driver!$H$51)</f>
        <v>1</v>
      </c>
      <c r="E516" s="43" t="b">
        <f>AND(BX516&gt;Driver!$F$54,BX516&lt;Driver!$G$54)</f>
        <v>0</v>
      </c>
      <c r="F516" s="43" t="b">
        <f>CL516&gt;Driver!$F$56</f>
        <v>1</v>
      </c>
      <c r="G516" s="43" t="b">
        <f>AND(CB516&gt;Driver!$F$55,CB516&lt;Driver!$G$55)</f>
        <v>0</v>
      </c>
      <c r="H516" s="43" t="b">
        <f t="shared" si="259"/>
        <v>0</v>
      </c>
      <c r="I516" s="43">
        <f t="shared" si="260"/>
        <v>0</v>
      </c>
      <c r="J516" s="43" t="b">
        <f t="array" ref="J516">NOT(OR(($H$9:$H$1273=TRUE)*($I$9:$I$1273&gt;0)*($BT$9:$BT$1273=BT516)*($K$9:$K$1273&gt;K516)))</f>
        <v>1</v>
      </c>
      <c r="K516" s="72">
        <f t="shared" si="261"/>
        <v>0.8409390677863734</v>
      </c>
      <c r="L516" s="72">
        <f t="shared" si="262"/>
        <v>0.98816510261925683</v>
      </c>
      <c r="M516" s="72">
        <f t="shared" si="263"/>
        <v>0.69371303295348996</v>
      </c>
      <c r="N516" s="72">
        <f t="shared" si="264"/>
        <v>0.65945668801586899</v>
      </c>
      <c r="O516" s="72">
        <f t="shared" si="265"/>
        <v>0.61672770744425365</v>
      </c>
      <c r="P516" s="72">
        <f t="shared" si="266"/>
        <v>0.80495470340034747</v>
      </c>
      <c r="Q516" s="72"/>
      <c r="R516" s="72"/>
      <c r="S516" s="72">
        <f t="shared" si="267"/>
        <v>0.48872829569557763</v>
      </c>
      <c r="T516" s="72">
        <f t="shared" si="268"/>
        <v>0.56735232450988682</v>
      </c>
      <c r="U516" s="72">
        <f t="shared" si="269"/>
        <v>0.61921233565572376</v>
      </c>
      <c r="V516" s="72">
        <f t="shared" si="270"/>
        <v>0.55404063988626517</v>
      </c>
      <c r="W516" s="72">
        <f t="shared" si="271"/>
        <v>0.77289988751406069</v>
      </c>
      <c r="X516" s="72">
        <f t="shared" si="272"/>
        <v>1.1834897380743226E-2</v>
      </c>
      <c r="Y516" s="72">
        <f t="shared" si="273"/>
        <v>0.30628696704650998</v>
      </c>
      <c r="Z516" s="72">
        <f t="shared" si="274"/>
        <v>0.34054331198413096</v>
      </c>
      <c r="AA516" s="72">
        <f t="shared" si="275"/>
        <v>0.38327229255574641</v>
      </c>
      <c r="AB516" s="72">
        <f t="shared" si="276"/>
        <v>0.19504529659965247</v>
      </c>
      <c r="AC516" s="72"/>
      <c r="AD516" s="72"/>
      <c r="AE516" s="72">
        <f t="shared" si="277"/>
        <v>0.51127170430442237</v>
      </c>
      <c r="AF516" s="72">
        <f t="shared" si="278"/>
        <v>0.43264767549011313</v>
      </c>
      <c r="AG516" s="72">
        <f t="shared" si="279"/>
        <v>0.3807876643442763</v>
      </c>
      <c r="AH516" s="72">
        <f t="shared" si="280"/>
        <v>0.44595936011373477</v>
      </c>
      <c r="AI516" s="72">
        <f t="shared" si="281"/>
        <v>0.22710011248593925</v>
      </c>
      <c r="AJ516" s="72">
        <f>(AV516-Driver!$K$179)/(Driver!$L$179-Driver!$K$179)</f>
        <v>0.26605430666344365</v>
      </c>
      <c r="AK516" s="72">
        <f>(AW516-Driver!$K$180)/(Driver!$L$180-Driver!$K$180)</f>
        <v>0.45283029004419367</v>
      </c>
      <c r="AL516" s="72">
        <f>(AX516-Driver!$K$181)/(Driver!$L$181-Driver!$K$181)</f>
        <v>0.44223107569721115</v>
      </c>
      <c r="AM516" s="72">
        <f>(AY516-Driver!$K$182)/(Driver!$L$182-Driver!$K$182)</f>
        <v>6.4112728541299957E-2</v>
      </c>
      <c r="AN516" s="72">
        <f>(AZ516-Driver!$K$183)/(Driver!$L$183-Driver!$K$183)</f>
        <v>0.4492647058823529</v>
      </c>
      <c r="AO516" s="72"/>
      <c r="AP516" s="72"/>
      <c r="AQ516" s="72">
        <f>(BC516-Driver!$K$188)/(Driver!$L$188-Driver!$K$188)</f>
        <v>0.10872829569557765</v>
      </c>
      <c r="AR516" s="72">
        <f>MIN((BD516-Driver!$K$189)/(Driver!$L$189-Driver!$K$189),100%)</f>
        <v>0.1173523245098869</v>
      </c>
      <c r="AS516" s="72">
        <f>(BE516-Driver!$K$190)/(Driver!$L$190-Driver!$K$190)</f>
        <v>0.12921233565572371</v>
      </c>
      <c r="AT516" s="72">
        <f>(BF516-Driver!$K$191)/(Driver!$L$191-Driver!$K$191)</f>
        <v>6.4040639886265224E-2</v>
      </c>
      <c r="AU516" s="72">
        <f>(BG516-Driver!$K$192)/(Driver!$L$192-Driver!$K$192)</f>
        <v>2.2899887514060739E-2</v>
      </c>
      <c r="AV516" s="70">
        <f t="shared" si="282"/>
        <v>5.5996472663139318</v>
      </c>
      <c r="AW516" s="70">
        <f t="shared" si="283"/>
        <v>46.004216870818325</v>
      </c>
      <c r="AX516" s="70">
        <f t="shared" si="284"/>
        <v>4.9800796812749004</v>
      </c>
      <c r="AY516" s="70">
        <f>IFERROR(Driver!$K$19/Data!BH516/Data!BI516*Data!BK516*Data!BL516,"")</f>
        <v>7.8493109126453006E-2</v>
      </c>
      <c r="AZ516" s="70">
        <f t="shared" si="285"/>
        <v>40.945644080416976</v>
      </c>
      <c r="BA516" s="70"/>
      <c r="BB516" s="70"/>
      <c r="BC516" s="70">
        <f t="shared" si="286"/>
        <v>56.398122844144936</v>
      </c>
      <c r="BD516" s="70">
        <f t="shared" si="287"/>
        <v>12.106295667207908</v>
      </c>
      <c r="BE516" s="70">
        <f t="shared" si="288"/>
        <v>0.12936767437391006</v>
      </c>
      <c r="BF516" s="70">
        <f t="shared" si="289"/>
        <v>7.2329403641952705</v>
      </c>
      <c r="BG516" s="70">
        <f t="shared" si="290"/>
        <v>8.6713582677165349E-2</v>
      </c>
      <c r="BH516" s="67">
        <f>MAX((CE516-Driver!$F$200)/(Driver!$G$200-Driver!$F$200)*$BI$1,1)</f>
        <v>4.9800796812749004</v>
      </c>
      <c r="BI516" s="67">
        <f>MAX($BI$1*(BY516-Driver!$F$201)/(Driver!$G$201-Driver!$F$201),1)</f>
        <v>7.4050632911392409</v>
      </c>
      <c r="BJ516" s="67">
        <f>(CB516-Driver!$F$206)/(Driver!$G$206-Driver!$F$206)*$BI$1</f>
        <v>4.1269841269841265</v>
      </c>
      <c r="BK516" s="67">
        <f>(CD516-Driver!$F$203)/(Driver!$G$203-Driver!$F$203)*$BI$1</f>
        <v>2.7981651376146792</v>
      </c>
      <c r="BL516" s="67">
        <f>MAX((CR516-Driver!$F$202)/(Driver!$G$202-Driver!$F$202)*$BI$1,1)</f>
        <v>5.1724137931034484</v>
      </c>
      <c r="BM516" s="67">
        <f>MAX((CH516-Driver!$F$204)/(Driver!$G$204-Driver!$F$204)*$BI$1,1)</f>
        <v>5.4273504273504267</v>
      </c>
      <c r="BN516" s="67">
        <f>(CI516-Driver!$F$205)/(Driver!$G$205-Driver!$F$205)*$BI$1</f>
        <v>5.5294117647058822</v>
      </c>
      <c r="BO516" s="67">
        <f>(CK516-Driver!$F$207)/(Driver!$G$207-Driver!$F$207)*$BI$1</f>
        <v>2.0062047569803516</v>
      </c>
      <c r="BP516" s="67">
        <f>(CM516-Driver!$F$208)/(Driver!$G$208-Driver!$F$208)*$BI$1</f>
        <v>2.4444444444444442</v>
      </c>
      <c r="BQ516" s="67">
        <f>(CL516-Driver!$F$209)/(Driver!$G$209-Driver!$F$209)*$BI$1</f>
        <v>2.34375</v>
      </c>
      <c r="BR516" s="28" t="s">
        <v>155</v>
      </c>
      <c r="BS516" s="8" t="s">
        <v>245</v>
      </c>
      <c r="BT516" s="9" t="s">
        <v>418</v>
      </c>
      <c r="BU516" s="10">
        <v>178</v>
      </c>
      <c r="BV516" s="9" t="s">
        <v>158</v>
      </c>
      <c r="BW516" s="10">
        <v>178</v>
      </c>
      <c r="BX516" s="10">
        <v>177.5</v>
      </c>
      <c r="BY516" s="10">
        <v>125</v>
      </c>
      <c r="BZ516" s="10">
        <v>151</v>
      </c>
      <c r="CA516" s="10">
        <v>125</v>
      </c>
      <c r="CB516" s="10">
        <v>90</v>
      </c>
      <c r="CC516" s="10">
        <v>116</v>
      </c>
      <c r="CD516" s="10">
        <v>15.5</v>
      </c>
      <c r="CE516" s="10">
        <v>1775</v>
      </c>
      <c r="CF516" s="10">
        <v>1.04</v>
      </c>
      <c r="CG516" s="10">
        <v>1839</v>
      </c>
      <c r="CH516" s="10">
        <v>228</v>
      </c>
      <c r="CI516" s="10">
        <v>127</v>
      </c>
      <c r="CJ516" s="10">
        <v>48</v>
      </c>
      <c r="CK516" s="10">
        <v>304</v>
      </c>
      <c r="CL516" s="10">
        <v>15</v>
      </c>
      <c r="CM516" s="10">
        <v>220</v>
      </c>
      <c r="CN516" s="10">
        <v>0.317</v>
      </c>
      <c r="CO516" s="10">
        <v>135</v>
      </c>
      <c r="CP516" s="10">
        <v>133</v>
      </c>
      <c r="CQ516" s="10">
        <v>170</v>
      </c>
      <c r="CR516" s="10">
        <v>4</v>
      </c>
      <c r="CS516" s="10">
        <v>8.4</v>
      </c>
      <c r="CT516" s="9" t="s">
        <v>188</v>
      </c>
      <c r="CU516" s="10"/>
      <c r="CV516" s="10"/>
      <c r="CW516" s="10"/>
      <c r="CX516" t="str">
        <f>INDEX('Data_Price '!AG$2:AG$1266,MATCH(Data!$DN516,'Data_Price '!$AT$2:$AT$1266,0))</f>
        <v>Fischer Ranger 92 Ti Skis 2021</v>
      </c>
      <c r="CY516" t="str">
        <f>INDEX('Data_Price '!AH$2:AH$1266,MATCH(Data!$DN516,'Data_Price '!$AT$2:$AT$1266,0))</f>
        <v>! OutdoorXL.com</v>
      </c>
      <c r="CZ516">
        <f>INDEX('Data_Price '!AI$2:AI$1266,MATCH(Data!$DN516,'Data_Price '!$AT$2:$AT$1266,0))</f>
        <v>414.95</v>
      </c>
      <c r="DA516" t="str">
        <f>INDEX('Data_Price '!AJ$2:AJ$1266,MATCH(Data!$DN516,'Data_Price '!$AT$2:$AT$1266,0))</f>
        <v>https://tinyurl.com/y7y3u4yx</v>
      </c>
      <c r="DB516" t="str">
        <f>INDEX('Data_Price '!AK$2:AK$1266,MATCH(Data!$DN516,'Data_Price '!$AT$2:$AT$1266,0))</f>
        <v>Fischer Ranger 92 TI Flat Ski 2021-2022 | BLACK/BLUE / 178</v>
      </c>
      <c r="DC516" t="str">
        <f>INDEX('Data_Price '!AL$2:AL$1266,MATCH(Data!$DN516,'Data_Price '!$AT$2:$AT$1266,0))</f>
        <v>Ski Pro  - Snow Ski &amp; Snowboard</v>
      </c>
      <c r="DD516">
        <f>INDEX('Data_Price '!AM$2:AM$1266,MATCH(Data!$DN516,'Data_Price '!$AT$2:$AT$1266,0))</f>
        <v>499.95</v>
      </c>
      <c r="DE516" t="str">
        <f>INDEX('Data_Price '!AN$2:AN$1266,MATCH(Data!$DN516,'Data_Price '!$AT$2:$AT$1266,0))</f>
        <v>https://tinyurl.com/y7veqqsa</v>
      </c>
      <c r="DF516" t="str">
        <f>INDEX('Data_Price '!AO$2:AO$1266,MATCH(Data!$DN516,'Data_Price '!$AT$2:$AT$1266,0))</f>
        <v>Fischer Ranger 92 Ti WS Ski 178</v>
      </c>
      <c r="DG516" t="str">
        <f>INDEX('Data_Price '!AP$2:AP$1266,MATCH(Data!$DN516,'Data_Price '!$AT$2:$AT$1266,0))</f>
        <v>Ski The Whites</v>
      </c>
      <c r="DH516">
        <f>INDEX('Data_Price '!AQ$2:AQ$1266,MATCH(Data!$DN516,'Data_Price '!$AT$2:$AT$1266,0))</f>
        <v>649.95000000000005</v>
      </c>
      <c r="DI516" t="str">
        <f>INDEX('Data_Price '!AR$2:AR$1266,MATCH(Data!$DN516,'Data_Price '!$AT$2:$AT$1266,0))</f>
        <v>https://tinyurl.com/y6u5yorh</v>
      </c>
      <c r="DJ516" s="89" t="str">
        <f t="shared" si="291"/>
        <v>https://tinyurl.com/y7y3u4yx</v>
      </c>
      <c r="DK516" s="89" t="str">
        <f t="shared" si="292"/>
        <v>https://tinyurl.com/y7veqqsa</v>
      </c>
      <c r="DL516" s="89" t="str">
        <f t="shared" si="293"/>
        <v>https://tinyurl.com/y6u5yorh</v>
      </c>
      <c r="DM516" s="219" t="str">
        <f t="shared" si="294"/>
        <v>Ranger 92 Ti</v>
      </c>
      <c r="DN516" s="89" t="str">
        <f t="shared" si="295"/>
        <v xml:space="preserve"> FischerRanger 92 Ti178 Unisex</v>
      </c>
      <c r="DO516" s="221"/>
    </row>
    <row r="517" spans="2:119" ht="15.6" customHeight="1">
      <c r="B517" s="219" t="b">
        <f t="array" ref="B517">IF(OR(ISERROR(K517:P517)),FALSE,TRUE)</f>
        <v>1</v>
      </c>
      <c r="C517" s="43" t="b">
        <f>OR(BR517=Driver!$G$50,Data!BR676=Driver!$H$50)</f>
        <v>1</v>
      </c>
      <c r="D517" s="43" t="b">
        <f>OR(BV517=Driver!$G$51,BV517=Driver!$H$51)</f>
        <v>1</v>
      </c>
      <c r="E517" s="43" t="b">
        <f>AND(BX517&gt;Driver!$F$54,BX517&lt;Driver!$G$54)</f>
        <v>0</v>
      </c>
      <c r="F517" s="43" t="b">
        <f>CL517&gt;Driver!$F$56</f>
        <v>1</v>
      </c>
      <c r="G517" s="43" t="b">
        <f>AND(CB517&gt;Driver!$F$55,CB517&lt;Driver!$G$55)</f>
        <v>0</v>
      </c>
      <c r="H517" s="43" t="b">
        <f t="shared" si="259"/>
        <v>0</v>
      </c>
      <c r="I517" s="43">
        <f t="shared" si="260"/>
        <v>0</v>
      </c>
      <c r="J517" s="43" t="b">
        <f t="array" ref="J517">NOT(OR(($H$9:$H$1273=TRUE)*($I$9:$I$1273&gt;0)*($BT$9:$BT$1273=BT517)*($K$9:$K$1273&gt;K517)))</f>
        <v>1</v>
      </c>
      <c r="K517" s="72">
        <f t="shared" si="261"/>
        <v>0.74846284148109898</v>
      </c>
      <c r="L517" s="72">
        <f t="shared" si="262"/>
        <v>0.78721433314056855</v>
      </c>
      <c r="M517" s="72">
        <f t="shared" si="263"/>
        <v>0.70971134982162942</v>
      </c>
      <c r="N517" s="72">
        <f t="shared" si="264"/>
        <v>0.59748236309333702</v>
      </c>
      <c r="O517" s="72">
        <f t="shared" si="265"/>
        <v>0.66958913983394908</v>
      </c>
      <c r="P517" s="72">
        <f t="shared" si="266"/>
        <v>0.86206254653760239</v>
      </c>
      <c r="Q517" s="72"/>
      <c r="R517" s="72"/>
      <c r="S517" s="72">
        <f t="shared" si="267"/>
        <v>0.52808930997366654</v>
      </c>
      <c r="T517" s="72">
        <f t="shared" si="268"/>
        <v>0.51652469804621215</v>
      </c>
      <c r="U517" s="72">
        <f t="shared" si="269"/>
        <v>0.58048721460391384</v>
      </c>
      <c r="V517" s="72">
        <f t="shared" si="270"/>
        <v>0.52973084345679811</v>
      </c>
      <c r="W517" s="72">
        <f t="shared" si="271"/>
        <v>0.77599120348796391</v>
      </c>
      <c r="X517" s="72">
        <f t="shared" si="272"/>
        <v>0.21278566685943145</v>
      </c>
      <c r="Y517" s="72">
        <f t="shared" si="273"/>
        <v>0.29028865017837052</v>
      </c>
      <c r="Z517" s="72">
        <f t="shared" si="274"/>
        <v>0.40251763690666298</v>
      </c>
      <c r="AA517" s="72">
        <f t="shared" si="275"/>
        <v>0.33041086016605092</v>
      </c>
      <c r="AB517" s="72">
        <f t="shared" si="276"/>
        <v>0.13793745346239761</v>
      </c>
      <c r="AC517" s="72"/>
      <c r="AD517" s="72"/>
      <c r="AE517" s="72">
        <f t="shared" si="277"/>
        <v>0.47191069002633346</v>
      </c>
      <c r="AF517" s="72">
        <f t="shared" si="278"/>
        <v>0.48347530195378785</v>
      </c>
      <c r="AG517" s="72">
        <f t="shared" si="279"/>
        <v>0.41951278539608616</v>
      </c>
      <c r="AH517" s="72">
        <f t="shared" si="280"/>
        <v>0.47026915654320189</v>
      </c>
      <c r="AI517" s="72">
        <f t="shared" si="281"/>
        <v>0.22400879651203615</v>
      </c>
      <c r="AJ517" s="72">
        <f>(AV517-Driver!$K$179)/(Driver!$L$179-Driver!$K$179)</f>
        <v>0.46700507614213188</v>
      </c>
      <c r="AK517" s="72">
        <f>(AW517-Driver!$K$180)/(Driver!$L$180-Driver!$K$180)</f>
        <v>0.40581272470200536</v>
      </c>
      <c r="AL517" s="72">
        <f>(AX517-Driver!$K$181)/(Driver!$L$181-Driver!$K$181)</f>
        <v>0.50420540061974317</v>
      </c>
      <c r="AM517" s="72">
        <f>(AY517-Driver!$K$182)/(Driver!$L$182-Driver!$K$182)</f>
        <v>0.11697416093099545</v>
      </c>
      <c r="AN517" s="72">
        <f>(AZ517-Driver!$K$183)/(Driver!$L$183-Driver!$K$183)</f>
        <v>0.39215686274509803</v>
      </c>
      <c r="AO517" s="72"/>
      <c r="AP517" s="72"/>
      <c r="AQ517" s="72">
        <f>(BC517-Driver!$K$188)/(Driver!$L$188-Driver!$K$188)</f>
        <v>0.14808930997366657</v>
      </c>
      <c r="AR517" s="72">
        <f>MIN((BD517-Driver!$K$189)/(Driver!$L$189-Driver!$K$189),100%)</f>
        <v>6.652469804621218E-2</v>
      </c>
      <c r="AS517" s="72">
        <f>(BE517-Driver!$K$190)/(Driver!$L$190-Driver!$K$190)</f>
        <v>9.048721460391386E-2</v>
      </c>
      <c r="AT517" s="72">
        <f>(BF517-Driver!$K$191)/(Driver!$L$191-Driver!$K$191)</f>
        <v>3.9730843456798129E-2</v>
      </c>
      <c r="AU517" s="72">
        <f>(BG517-Driver!$K$192)/(Driver!$L$192-Driver!$K$192)</f>
        <v>2.599120348796384E-2</v>
      </c>
      <c r="AV517" s="70">
        <f t="shared" si="282"/>
        <v>9.8290598290598279</v>
      </c>
      <c r="AW517" s="70">
        <f t="shared" si="283"/>
        <v>41.421938510211255</v>
      </c>
      <c r="AX517" s="70">
        <f t="shared" si="284"/>
        <v>5.5378486055776888</v>
      </c>
      <c r="AY517" s="70">
        <f>IFERROR(Driver!$K$19/Data!BH517/Data!BI517*Data!BK517*Data!BL517,"")</f>
        <v>0.14321127470058123</v>
      </c>
      <c r="AZ517" s="70">
        <f t="shared" si="285"/>
        <v>35.740878629932986</v>
      </c>
      <c r="BA517" s="70"/>
      <c r="BB517" s="70"/>
      <c r="BC517" s="70">
        <f t="shared" si="286"/>
        <v>76.814954583521612</v>
      </c>
      <c r="BD517" s="70">
        <f t="shared" si="287"/>
        <v>7.608140786397585</v>
      </c>
      <c r="BE517" s="70">
        <f t="shared" si="288"/>
        <v>9.0649461447826069E-2</v>
      </c>
      <c r="BF517" s="70">
        <f t="shared" si="289"/>
        <v>4.4873196434726923</v>
      </c>
      <c r="BG517" s="70">
        <f t="shared" si="290"/>
        <v>9.8419277000759642E-2</v>
      </c>
      <c r="BH517" s="67">
        <f>MAX((CE517-Driver!$F$200)/(Driver!$G$200-Driver!$F$200)*$BI$1,1)</f>
        <v>5.5378486055776888</v>
      </c>
      <c r="BI517" s="67">
        <f>MAX($BI$1*(BY517-Driver!$F$201)/(Driver!$G$201-Driver!$F$201),1)</f>
        <v>7.5949367088607591</v>
      </c>
      <c r="BJ517" s="67">
        <f>(CB517-Driver!$F$206)/(Driver!$G$206-Driver!$F$206)*$BI$1</f>
        <v>5.7142857142857135</v>
      </c>
      <c r="BK517" s="67">
        <f>(CD517-Driver!$F$203)/(Driver!$G$203-Driver!$F$203)*$BI$1</f>
        <v>5.1376146788990837</v>
      </c>
      <c r="BL517" s="67">
        <f>MAX((CR517-Driver!$F$202)/(Driver!$G$202-Driver!$F$202)*$BI$1,1)</f>
        <v>5.8620689655172411</v>
      </c>
      <c r="BM517" s="67">
        <f>MAX((CH517-Driver!$F$204)/(Driver!$G$204-Driver!$F$204)*$BI$1,1)</f>
        <v>6.8803418803418808</v>
      </c>
      <c r="BN517" s="67">
        <f>(CI517-Driver!$F$205)/(Driver!$G$205-Driver!$F$205)*$BI$1</f>
        <v>4.7058823529411766</v>
      </c>
      <c r="BO517" s="67">
        <f>(CK517-Driver!$F$207)/(Driver!$G$207-Driver!$F$207)*$BI$1</f>
        <v>2.1613236814891419</v>
      </c>
      <c r="BP517" s="67">
        <f>(CM517-Driver!$F$208)/(Driver!$G$208-Driver!$F$208)*$BI$1</f>
        <v>1.8666666666666667</v>
      </c>
      <c r="BQ517" s="67">
        <f>(CL517-Driver!$F$209)/(Driver!$G$209-Driver!$F$209)*$BI$1</f>
        <v>3.75</v>
      </c>
      <c r="BR517" s="28" t="s">
        <v>155</v>
      </c>
      <c r="BS517" s="8" t="s">
        <v>295</v>
      </c>
      <c r="BT517" s="9" t="s">
        <v>359</v>
      </c>
      <c r="BU517" s="10">
        <v>178</v>
      </c>
      <c r="BV517" s="9" t="s">
        <v>158</v>
      </c>
      <c r="BW517" s="10">
        <v>178</v>
      </c>
      <c r="BX517" s="10">
        <v>176.2</v>
      </c>
      <c r="BY517" s="10">
        <v>128</v>
      </c>
      <c r="BZ517" s="10">
        <v>142</v>
      </c>
      <c r="CA517" s="10">
        <v>132</v>
      </c>
      <c r="CB517" s="10">
        <v>100</v>
      </c>
      <c r="CC517" s="10">
        <v>117</v>
      </c>
      <c r="CD517" s="10">
        <v>20.6</v>
      </c>
      <c r="CE517" s="10">
        <v>1873</v>
      </c>
      <c r="CF517" s="10">
        <v>1.03</v>
      </c>
      <c r="CG517" s="10">
        <v>1937</v>
      </c>
      <c r="CH517" s="10">
        <v>262</v>
      </c>
      <c r="CI517" s="10">
        <v>113</v>
      </c>
      <c r="CJ517" s="10">
        <v>58</v>
      </c>
      <c r="CK517" s="10">
        <v>319</v>
      </c>
      <c r="CL517" s="10">
        <v>24</v>
      </c>
      <c r="CM517" s="10">
        <v>168</v>
      </c>
      <c r="CN517" s="10">
        <v>0.41399999999999998</v>
      </c>
      <c r="CO517" s="10">
        <v>240</v>
      </c>
      <c r="CP517" s="10">
        <v>101</v>
      </c>
      <c r="CQ517" s="10">
        <v>79</v>
      </c>
      <c r="CR517" s="10">
        <v>6</v>
      </c>
      <c r="CS517" s="10">
        <v>8.8000000000000007</v>
      </c>
      <c r="CT517" s="9" t="s">
        <v>188</v>
      </c>
      <c r="CU517" s="9" t="s">
        <v>169</v>
      </c>
      <c r="CV517" s="10"/>
      <c r="CW517" s="10"/>
      <c r="CX517" t="str">
        <f>INDEX('Data_Price '!AG$2:AG$1266,MATCH(Data!$DN517,'Data_Price '!$AT$2:$AT$1266,0))</f>
        <v>Icelantic Natural 101 Skis Â· 2022 Â· 178 cm</v>
      </c>
      <c r="CY517" t="str">
        <f>INDEX('Data_Price '!AH$2:AH$1266,MATCH(Data!$DN517,'Data_Price '!$AT$2:$AT$1266,0))</f>
        <v>REI</v>
      </c>
      <c r="CZ517">
        <f>INDEX('Data_Price '!AI$2:AI$1266,MATCH(Data!$DN517,'Data_Price '!$AT$2:$AT$1266,0))</f>
        <v>598.92999999999995</v>
      </c>
      <c r="DA517" t="str">
        <f>INDEX('Data_Price '!AJ$2:AJ$1266,MATCH(Data!$DN517,'Data_Price '!$AT$2:$AT$1266,0))</f>
        <v>https://tinyurl.com/y9yyxe3z</v>
      </c>
      <c r="DB517" t="str">
        <f>INDEX('Data_Price '!AK$2:AK$1266,MATCH(Data!$DN517,'Data_Price '!$AT$2:$AT$1266,0))</f>
        <v>Icelantic Natural 101 Skis 2022 178cm</v>
      </c>
      <c r="DC517" t="str">
        <f>INDEX('Data_Price '!AL$2:AL$1266,MATCH(Data!$DN517,'Data_Price '!$AT$2:$AT$1266,0))</f>
        <v>Glacier Ski Shop</v>
      </c>
      <c r="DD517">
        <f>INDEX('Data_Price '!AM$2:AM$1266,MATCH(Data!$DN517,'Data_Price '!$AT$2:$AT$1266,0))</f>
        <v>599</v>
      </c>
      <c r="DE517" t="str">
        <f>INDEX('Data_Price '!AN$2:AN$1266,MATCH(Data!$DN517,'Data_Price '!$AT$2:$AT$1266,0))</f>
        <v>https://tinyurl.com/ybqzd262</v>
      </c>
      <c r="DF517" t="str">
        <f>INDEX('Data_Price '!AO$2:AO$1266,MATCH(Data!$DN517,'Data_Price '!$AT$2:$AT$1266,0))</f>
        <v>Icelantic Natural 101 Skis Â· 2022 Â· 178 cm</v>
      </c>
      <c r="DG517" t="str">
        <f>INDEX('Data_Price '!AP$2:AP$1266,MATCH(Data!$DN517,'Data_Price '!$AT$2:$AT$1266,0))</f>
        <v>evo.com</v>
      </c>
      <c r="DH517">
        <f>INDEX('Data_Price '!AQ$2:AQ$1266,MATCH(Data!$DN517,'Data_Price '!$AT$2:$AT$1266,0))</f>
        <v>599.25</v>
      </c>
      <c r="DI517" t="str">
        <f>INDEX('Data_Price '!AR$2:AR$1266,MATCH(Data!$DN517,'Data_Price '!$AT$2:$AT$1266,0))</f>
        <v>https://tinyurl.com/y9qorfkl</v>
      </c>
      <c r="DJ517" s="89" t="str">
        <f t="shared" si="291"/>
        <v>https://tinyurl.com/y9yyxe3z</v>
      </c>
      <c r="DK517" s="89" t="str">
        <f t="shared" si="292"/>
        <v>https://tinyurl.com/ybqzd262</v>
      </c>
      <c r="DL517" s="89" t="str">
        <f t="shared" si="293"/>
        <v>https://tinyurl.com/y9qorfkl</v>
      </c>
      <c r="DM517" s="219" t="str">
        <f t="shared" si="294"/>
        <v>Natural 101</v>
      </c>
      <c r="DN517" s="89" t="str">
        <f t="shared" si="295"/>
        <v xml:space="preserve"> IcelanticNatural 101178 Unisex</v>
      </c>
      <c r="DO517" s="221" t="s">
        <v>360</v>
      </c>
    </row>
    <row r="518" spans="2:119" ht="15.6" customHeight="1">
      <c r="B518" s="219" t="b">
        <f t="array" ref="B518">IF(OR(ISERROR(K518:P518)),FALSE,TRUE)</f>
        <v>1</v>
      </c>
      <c r="C518" s="43" t="b">
        <f>OR(BR518=Driver!$G$50,Data!BR386=Driver!$H$50)</f>
        <v>1</v>
      </c>
      <c r="D518" s="43" t="b">
        <f>OR(BV518=Driver!$G$51,BV518=Driver!$H$51)</f>
        <v>1</v>
      </c>
      <c r="E518" s="43" t="b">
        <f>AND(BX518&gt;Driver!$F$54,BX518&lt;Driver!$G$54)</f>
        <v>0</v>
      </c>
      <c r="F518" s="43" t="b">
        <f>CL518&gt;Driver!$F$56</f>
        <v>1</v>
      </c>
      <c r="G518" s="43" t="b">
        <f>AND(CB518&gt;Driver!$F$55,CB518&lt;Driver!$G$55)</f>
        <v>0</v>
      </c>
      <c r="H518" s="43" t="b">
        <f t="shared" si="259"/>
        <v>0</v>
      </c>
      <c r="I518" s="43">
        <f t="shared" si="260"/>
        <v>0</v>
      </c>
      <c r="J518" s="43" t="b">
        <f t="array" ref="J518">NOT(OR(($H$9:$H$1273=TRUE)*($I$9:$I$1273&gt;0)*($BT$9:$BT$1273=BT518)*($K$9:$K$1273&gt;K518)))</f>
        <v>1</v>
      </c>
      <c r="K518" s="72">
        <f t="shared" si="261"/>
        <v>0.85364104425436571</v>
      </c>
      <c r="L518" s="72">
        <f t="shared" si="262"/>
        <v>0.95204922338187137</v>
      </c>
      <c r="M518" s="72">
        <f t="shared" si="263"/>
        <v>0.75523286512686016</v>
      </c>
      <c r="N518" s="72">
        <f t="shared" si="264"/>
        <v>0.66388342551033563</v>
      </c>
      <c r="O518" s="72">
        <f t="shared" si="265"/>
        <v>0.63332216085229165</v>
      </c>
      <c r="P518" s="72">
        <f t="shared" si="266"/>
        <v>0.9684930090179531</v>
      </c>
      <c r="Q518" s="72"/>
      <c r="R518" s="72"/>
      <c r="S518" s="72">
        <f t="shared" si="267"/>
        <v>0.42300909676482568</v>
      </c>
      <c r="T518" s="72">
        <f t="shared" si="268"/>
        <v>0.51947370619108413</v>
      </c>
      <c r="U518" s="72">
        <f t="shared" si="269"/>
        <v>0.50920850223308145</v>
      </c>
      <c r="V518" s="72">
        <f t="shared" si="270"/>
        <v>0.65407093028742314</v>
      </c>
      <c r="W518" s="72">
        <f t="shared" si="271"/>
        <v>0.85749711981566823</v>
      </c>
      <c r="X518" s="72">
        <f t="shared" si="272"/>
        <v>4.7950776618128688E-2</v>
      </c>
      <c r="Y518" s="72">
        <f t="shared" si="273"/>
        <v>0.24476713487313986</v>
      </c>
      <c r="Z518" s="72">
        <f t="shared" si="274"/>
        <v>0.33611657448966437</v>
      </c>
      <c r="AA518" s="72">
        <f t="shared" si="275"/>
        <v>0.36667783914770835</v>
      </c>
      <c r="AB518" s="72">
        <f t="shared" si="276"/>
        <v>3.1506990982046845E-2</v>
      </c>
      <c r="AC518" s="72"/>
      <c r="AD518" s="72"/>
      <c r="AE518" s="72">
        <f t="shared" si="277"/>
        <v>0.57699090323517432</v>
      </c>
      <c r="AF518" s="72">
        <f t="shared" si="278"/>
        <v>0.48052629380891587</v>
      </c>
      <c r="AG518" s="72">
        <f t="shared" si="279"/>
        <v>0.49079149776691849</v>
      </c>
      <c r="AH518" s="72">
        <f t="shared" si="280"/>
        <v>0.34592906971257686</v>
      </c>
      <c r="AI518" s="72">
        <f t="shared" si="281"/>
        <v>0.14250288018433183</v>
      </c>
      <c r="AJ518" s="72">
        <f>(AV518-Driver!$K$179)/(Driver!$L$179-Driver!$K$179)</f>
        <v>0.20626863266457174</v>
      </c>
      <c r="AK518" s="72">
        <f>(AW518-Driver!$K$180)/(Driver!$L$180-Driver!$K$180)</f>
        <v>0.2407682229403369</v>
      </c>
      <c r="AL518" s="72">
        <f>(AX518-Driver!$K$181)/(Driver!$L$181-Driver!$K$181)</f>
        <v>0.43780433820274456</v>
      </c>
      <c r="AM518" s="72">
        <f>(AY518-Driver!$K$182)/(Driver!$L$182-Driver!$K$182)</f>
        <v>8.0707181949338042E-2</v>
      </c>
      <c r="AN518" s="72">
        <f>(AZ518-Driver!$K$183)/(Driver!$L$183-Driver!$K$183)</f>
        <v>0.22271241830065358</v>
      </c>
      <c r="AO518" s="72"/>
      <c r="AP518" s="72"/>
      <c r="AQ518" s="72">
        <f>(BC518-Driver!$K$188)/(Driver!$L$188-Driver!$K$188)</f>
        <v>4.3009096764825686E-2</v>
      </c>
      <c r="AR518" s="72">
        <f>MIN((BD518-Driver!$K$189)/(Driver!$L$189-Driver!$K$189),100%)</f>
        <v>6.9473706191084186E-2</v>
      </c>
      <c r="AS518" s="72">
        <f>(BE518-Driver!$K$190)/(Driver!$L$190-Driver!$K$190)</f>
        <v>1.9208502233081494E-2</v>
      </c>
      <c r="AT518" s="72">
        <f>(BF518-Driver!$K$191)/(Driver!$L$191-Driver!$K$191)</f>
        <v>0.16407093028742312</v>
      </c>
      <c r="AU518" s="72">
        <f>(BG518-Driver!$K$192)/(Driver!$L$192-Driver!$K$192)</f>
        <v>0.10749711981566817</v>
      </c>
      <c r="AV518" s="70">
        <f t="shared" si="282"/>
        <v>4.3413376746710082</v>
      </c>
      <c r="AW518" s="70">
        <f t="shared" si="283"/>
        <v>25.336889370479049</v>
      </c>
      <c r="AX518" s="70">
        <f t="shared" si="284"/>
        <v>4.9402390438247012</v>
      </c>
      <c r="AY518" s="70">
        <f>IFERROR(Driver!$K$19/Data!BH518/Data!BI518*Data!BK518*Data!BL518,"")</f>
        <v>9.8809671404907595E-2</v>
      </c>
      <c r="AZ518" s="70">
        <f t="shared" si="285"/>
        <v>20.297840655249441</v>
      </c>
      <c r="BA518" s="70"/>
      <c r="BB518" s="70"/>
      <c r="BC518" s="70">
        <f t="shared" si="286"/>
        <v>22.309117486305034</v>
      </c>
      <c r="BD518" s="70">
        <f t="shared" si="287"/>
        <v>7.8691227818855243</v>
      </c>
      <c r="BE518" s="70">
        <f t="shared" si="288"/>
        <v>1.9383464397004578E-2</v>
      </c>
      <c r="BF518" s="70">
        <f t="shared" si="289"/>
        <v>18.530658912442963</v>
      </c>
      <c r="BG518" s="70">
        <f t="shared" si="290"/>
        <v>0.40705267137096768</v>
      </c>
      <c r="BH518" s="67">
        <f>MAX((CE518-Driver!$F$200)/(Driver!$G$200-Driver!$F$200)*$BI$1,1)</f>
        <v>4.9402390438247012</v>
      </c>
      <c r="BI518" s="67">
        <f>MAX($BI$1*(BY518-Driver!$F$201)/(Driver!$G$201-Driver!$F$201),1)</f>
        <v>5.9493670886075947</v>
      </c>
      <c r="BJ518" s="67">
        <f>(CB518-Driver!$F$206)/(Driver!$G$206-Driver!$F$206)*$BI$1</f>
        <v>5.0793650793650791</v>
      </c>
      <c r="BK518" s="67">
        <f>(CD518-Driver!$F$203)/(Driver!$G$203-Driver!$F$203)*$BI$1</f>
        <v>2.4770642201834865</v>
      </c>
      <c r="BL518" s="67">
        <f>MAX((CR518-Driver!$F$202)/(Driver!$G$202-Driver!$F$202)*$BI$1,1)</f>
        <v>5.8620689655172411</v>
      </c>
      <c r="BM518" s="67">
        <f>MAX((CH518-Driver!$F$204)/(Driver!$G$204-Driver!$F$204)*$BI$1,1)</f>
        <v>3.4188034188034191</v>
      </c>
      <c r="BN518" s="67">
        <f>(CI518-Driver!$F$205)/(Driver!$G$205-Driver!$F$205)*$BI$1</f>
        <v>3.4117647058823533</v>
      </c>
      <c r="BO518" s="67">
        <f>(CK518-Driver!$F$207)/(Driver!$G$207-Driver!$F$207)*$BI$1</f>
        <v>2.3991726990692861</v>
      </c>
      <c r="BP518" s="67">
        <f>(CM518-Driver!$F$208)/(Driver!$G$208-Driver!$F$208)*$BI$1</f>
        <v>3.7666666666666666</v>
      </c>
      <c r="BQ518" s="67">
        <f>(CL518-Driver!$F$209)/(Driver!$G$209-Driver!$F$209)*$BI$1</f>
        <v>6.875</v>
      </c>
      <c r="BR518" s="28" t="s">
        <v>155</v>
      </c>
      <c r="BS518" s="8" t="s">
        <v>202</v>
      </c>
      <c r="BT518" s="9" t="s">
        <v>340</v>
      </c>
      <c r="BU518" s="10">
        <v>171</v>
      </c>
      <c r="BV518" s="9" t="s">
        <v>158</v>
      </c>
      <c r="BW518" s="10">
        <v>171</v>
      </c>
      <c r="BX518" s="10">
        <v>170</v>
      </c>
      <c r="BY518" s="10">
        <v>102</v>
      </c>
      <c r="BZ518" s="10">
        <v>136</v>
      </c>
      <c r="CA518" s="10">
        <v>127</v>
      </c>
      <c r="CB518" s="10">
        <v>96</v>
      </c>
      <c r="CC518" s="10">
        <v>119</v>
      </c>
      <c r="CD518" s="10">
        <v>14.8</v>
      </c>
      <c r="CE518" s="10">
        <v>1768</v>
      </c>
      <c r="CF518" s="10">
        <v>1.03</v>
      </c>
      <c r="CG518" s="10">
        <v>1829</v>
      </c>
      <c r="CH518" s="10">
        <v>181</v>
      </c>
      <c r="CI518" s="10">
        <v>91</v>
      </c>
      <c r="CJ518" s="10">
        <v>57</v>
      </c>
      <c r="CK518" s="10">
        <v>342</v>
      </c>
      <c r="CL518" s="10">
        <v>44</v>
      </c>
      <c r="CM518" s="10">
        <v>339</v>
      </c>
      <c r="CN518" s="10">
        <v>0.76400000000000001</v>
      </c>
      <c r="CO518" s="10">
        <v>199</v>
      </c>
      <c r="CP518" s="10">
        <v>144</v>
      </c>
      <c r="CQ518" s="10">
        <v>143</v>
      </c>
      <c r="CR518" s="10">
        <v>6</v>
      </c>
      <c r="CS518" s="10">
        <v>7.3</v>
      </c>
      <c r="CT518" s="9" t="s">
        <v>188</v>
      </c>
      <c r="CU518" s="10"/>
      <c r="CV518" s="10"/>
      <c r="CW518" s="10"/>
      <c r="CX518" t="str">
        <f>INDEX('Data_Price '!AG$2:AG$1266,MATCH(Data!$DN518,'Data_Price '!$AT$2:$AT$1266,0))</f>
        <v>Dynastar M-Free 99 Skis 2022</v>
      </c>
      <c r="CY518" t="str">
        <f>INDEX('Data_Price '!AH$2:AH$1266,MATCH(Data!$DN518,'Data_Price '!$AT$2:$AT$1266,0))</f>
        <v>Next Adventure</v>
      </c>
      <c r="CZ518">
        <f>INDEX('Data_Price '!AI$2:AI$1266,MATCH(Data!$DN518,'Data_Price '!$AT$2:$AT$1266,0))</f>
        <v>419.97</v>
      </c>
      <c r="DA518" t="str">
        <f>INDEX('Data_Price '!AJ$2:AJ$1266,MATCH(Data!$DN518,'Data_Price '!$AT$2:$AT$1266,0))</f>
        <v>https://tinyurl.com/yccsxbzt</v>
      </c>
      <c r="DB518" t="str">
        <f>INDEX('Data_Price '!AK$2:AK$1266,MATCH(Data!$DN518,'Data_Price '!$AT$2:$AT$1266,0))</f>
        <v>Dynastar M-Free 99 Skis 2022</v>
      </c>
      <c r="DC518" t="str">
        <f>INDEX('Data_Price '!AL$2:AL$1266,MATCH(Data!$DN518,'Data_Price '!$AT$2:$AT$1266,0))</f>
        <v>Christy Sports</v>
      </c>
      <c r="DD518">
        <f>INDEX('Data_Price '!AM$2:AM$1266,MATCH(Data!$DN518,'Data_Price '!$AT$2:$AT$1266,0))</f>
        <v>479.96</v>
      </c>
      <c r="DE518" t="str">
        <f>INDEX('Data_Price '!AN$2:AN$1266,MATCH(Data!$DN518,'Data_Price '!$AT$2:$AT$1266,0))</f>
        <v>https://tinyurl.com/yctwtcj9</v>
      </c>
      <c r="DF518" t="str">
        <f>INDEX('Data_Price '!AO$2:AO$1266,MATCH(Data!$DN518,'Data_Price '!$AT$2:$AT$1266,0))</f>
        <v>Dynastar M-Free 99 Skis 2022</v>
      </c>
      <c r="DG518" t="str">
        <f>INDEX('Data_Price '!AP$2:AP$1266,MATCH(Data!$DN518,'Data_Price '!$AT$2:$AT$1266,0))</f>
        <v>Level Nine Sports</v>
      </c>
      <c r="DH518">
        <f>INDEX('Data_Price '!AQ$2:AQ$1266,MATCH(Data!$DN518,'Data_Price '!$AT$2:$AT$1266,0))</f>
        <v>479.96</v>
      </c>
      <c r="DI518" t="str">
        <f>INDEX('Data_Price '!AR$2:AR$1266,MATCH(Data!$DN518,'Data_Price '!$AT$2:$AT$1266,0))</f>
        <v>https://tinyurl.com/yazre8yx</v>
      </c>
      <c r="DJ518" s="89" t="str">
        <f t="shared" si="291"/>
        <v>https://tinyurl.com/yccsxbzt</v>
      </c>
      <c r="DK518" s="89" t="str">
        <f t="shared" si="292"/>
        <v>https://tinyurl.com/yctwtcj9</v>
      </c>
      <c r="DL518" s="89" t="str">
        <f t="shared" si="293"/>
        <v>https://tinyurl.com/yazre8yx</v>
      </c>
      <c r="DM518" s="219" t="str">
        <f t="shared" si="294"/>
        <v>M-Free 99</v>
      </c>
      <c r="DN518" s="89" t="str">
        <f t="shared" si="295"/>
        <v xml:space="preserve"> DynastarM-Free 99171 Unisex</v>
      </c>
      <c r="DO518" s="221" t="s">
        <v>341</v>
      </c>
    </row>
    <row r="519" spans="2:119" ht="15.6" customHeight="1">
      <c r="B519" s="219" t="b">
        <f t="array" ref="B519">IF(OR(ISERROR(K519:P519)),FALSE,TRUE)</f>
        <v>1</v>
      </c>
      <c r="C519" s="43" t="b">
        <f>OR(BR519=Driver!$G$50,Data!BR979=Driver!$H$50)</f>
        <v>1</v>
      </c>
      <c r="D519" s="43" t="b">
        <f>OR(BV519=Driver!$G$51,BV519=Driver!$H$51)</f>
        <v>1</v>
      </c>
      <c r="E519" s="43" t="b">
        <f>AND(BX519&gt;Driver!$F$54,BX519&lt;Driver!$G$54)</f>
        <v>0</v>
      </c>
      <c r="F519" s="43" t="b">
        <f>CL519&gt;Driver!$F$56</f>
        <v>1</v>
      </c>
      <c r="G519" s="43" t="b">
        <f>AND(CB519&gt;Driver!$F$55,CB519&lt;Driver!$G$55)</f>
        <v>0</v>
      </c>
      <c r="H519" s="43" t="b">
        <f t="shared" si="259"/>
        <v>0</v>
      </c>
      <c r="I519" s="43">
        <f t="shared" si="260"/>
        <v>0</v>
      </c>
      <c r="J519" s="43" t="b">
        <f t="array" ref="J519">NOT(OR(($H$9:$H$1273=TRUE)*($I$9:$I$1273&gt;0)*($BT$9:$BT$1273=BT519)*($K$9:$K$1273&gt;K519)))</f>
        <v>1</v>
      </c>
      <c r="K519" s="72">
        <f t="shared" si="261"/>
        <v>0.7718306122766152</v>
      </c>
      <c r="L519" s="72">
        <f t="shared" si="262"/>
        <v>0.88994578104968136</v>
      </c>
      <c r="M519" s="72">
        <f t="shared" si="263"/>
        <v>0.65371544350354904</v>
      </c>
      <c r="N519" s="72">
        <f t="shared" si="264"/>
        <v>0.50388848463890068</v>
      </c>
      <c r="O519" s="72">
        <f t="shared" si="265"/>
        <v>0.65892078953022271</v>
      </c>
      <c r="P519" s="72">
        <f t="shared" si="266"/>
        <v>0.79833705634152397</v>
      </c>
      <c r="Q519" s="72"/>
      <c r="R519" s="72"/>
      <c r="S519" s="72">
        <f t="shared" si="267"/>
        <v>0.54535988194410878</v>
      </c>
      <c r="T519" s="72">
        <f t="shared" si="268"/>
        <v>0.54817547026709701</v>
      </c>
      <c r="U519" s="72">
        <f t="shared" si="269"/>
        <v>0.55064462515359969</v>
      </c>
      <c r="V519" s="72">
        <f t="shared" si="270"/>
        <v>0.5263065874886258</v>
      </c>
      <c r="W519" s="72">
        <f t="shared" si="271"/>
        <v>0.7886630159463982</v>
      </c>
      <c r="X519" s="72">
        <f t="shared" si="272"/>
        <v>0.11005421895031869</v>
      </c>
      <c r="Y519" s="72">
        <f t="shared" si="273"/>
        <v>0.3462845564964509</v>
      </c>
      <c r="Z519" s="72">
        <f t="shared" si="274"/>
        <v>0.49611151536109932</v>
      </c>
      <c r="AA519" s="72">
        <f t="shared" si="275"/>
        <v>0.34107921046977735</v>
      </c>
      <c r="AB519" s="72">
        <f t="shared" si="276"/>
        <v>0.20166294365847603</v>
      </c>
      <c r="AC519" s="72"/>
      <c r="AD519" s="72"/>
      <c r="AE519" s="72">
        <f t="shared" si="277"/>
        <v>0.45464011805589116</v>
      </c>
      <c r="AF519" s="72">
        <f t="shared" si="278"/>
        <v>0.45182452973290299</v>
      </c>
      <c r="AG519" s="72">
        <f t="shared" si="279"/>
        <v>0.44935537484640026</v>
      </c>
      <c r="AH519" s="72">
        <f t="shared" si="280"/>
        <v>0.4736934125113742</v>
      </c>
      <c r="AI519" s="72">
        <f t="shared" si="281"/>
        <v>0.2113369840536018</v>
      </c>
      <c r="AJ519" s="72">
        <f>(AV519-Driver!$K$179)/(Driver!$L$179-Driver!$K$179)</f>
        <v>0.36427362823301912</v>
      </c>
      <c r="AK519" s="72">
        <f>(AW519-Driver!$K$180)/(Driver!$L$180-Driver!$K$180)</f>
        <v>0.47391506427550284</v>
      </c>
      <c r="AL519" s="72">
        <f>(AX519-Driver!$K$181)/(Driver!$L$181-Driver!$K$181)</f>
        <v>0.59779927907417951</v>
      </c>
      <c r="AM519" s="72">
        <f>(AY519-Driver!$K$182)/(Driver!$L$182-Driver!$K$182)</f>
        <v>0.10630581062726902</v>
      </c>
      <c r="AN519" s="72">
        <f>(AZ519-Driver!$K$183)/(Driver!$L$183-Driver!$K$183)</f>
        <v>0.45588235294117646</v>
      </c>
      <c r="AO519" s="72"/>
      <c r="AP519" s="72"/>
      <c r="AQ519" s="72">
        <f>(BC519-Driver!$K$188)/(Driver!$L$188-Driver!$K$188)</f>
        <v>0.16535988194410883</v>
      </c>
      <c r="AR519" s="72">
        <f>MIN((BD519-Driver!$K$189)/(Driver!$L$189-Driver!$K$189),100%)</f>
        <v>9.8175470267097067E-2</v>
      </c>
      <c r="AS519" s="72">
        <f>(BE519-Driver!$K$190)/(Driver!$L$190-Driver!$K$190)</f>
        <v>6.0644625153599731E-2</v>
      </c>
      <c r="AT519" s="72">
        <f>(BF519-Driver!$K$191)/(Driver!$L$191-Driver!$K$191)</f>
        <v>3.6306587488625794E-2</v>
      </c>
      <c r="AU519" s="72">
        <f>(BG519-Driver!$K$192)/(Driver!$L$192-Driver!$K$192)</f>
        <v>3.8663015946398219E-2</v>
      </c>
      <c r="AV519" s="70">
        <f t="shared" si="282"/>
        <v>7.6668701668701678</v>
      </c>
      <c r="AW519" s="70">
        <f t="shared" si="283"/>
        <v>48.059114949765025</v>
      </c>
      <c r="AX519" s="70">
        <f t="shared" si="284"/>
        <v>6.3801935116676152</v>
      </c>
      <c r="AY519" s="70">
        <f>IFERROR(Driver!$K$19/Data!BH519/Data!BI519*Data!BK519*Data!BL519,"")</f>
        <v>0.13015003080031268</v>
      </c>
      <c r="AZ519" s="70">
        <f t="shared" si="285"/>
        <v>41.548771407297096</v>
      </c>
      <c r="BA519" s="70"/>
      <c r="BB519" s="70"/>
      <c r="BC519" s="70">
        <f t="shared" si="286"/>
        <v>85.773320327658496</v>
      </c>
      <c r="BD519" s="70">
        <f t="shared" si="287"/>
        <v>10.409178046096059</v>
      </c>
      <c r="BE519" s="70">
        <f t="shared" si="288"/>
        <v>6.0812195579577226E-2</v>
      </c>
      <c r="BF519" s="70">
        <f t="shared" si="289"/>
        <v>4.1005739886273211</v>
      </c>
      <c r="BG519" s="70">
        <f t="shared" si="290"/>
        <v>0.14640284271082257</v>
      </c>
      <c r="BH519" s="67">
        <f>MAX((CE519-Driver!$F$200)/(Driver!$G$200-Driver!$F$200)*$BI$1,1)</f>
        <v>6.3801935116676152</v>
      </c>
      <c r="BI519" s="67">
        <f>MAX($BI$1*(BY519-Driver!$F$201)/(Driver!$G$201-Driver!$F$201),1)</f>
        <v>7.8481012658227849</v>
      </c>
      <c r="BJ519" s="67">
        <f>(CB519-Driver!$F$206)/(Driver!$G$206-Driver!$F$206)*$BI$1</f>
        <v>5.2380952380952381</v>
      </c>
      <c r="BK519" s="67">
        <f>(CD519-Driver!$F$203)/(Driver!$G$203-Driver!$F$203)*$BI$1</f>
        <v>4.7247706422018352</v>
      </c>
      <c r="BL519" s="67">
        <f>MAX((CR519-Driver!$F$202)/(Driver!$G$202-Driver!$F$202)*$BI$1,1)</f>
        <v>6.8965517241379315</v>
      </c>
      <c r="BM519" s="67">
        <f>MAX((CH519-Driver!$F$204)/(Driver!$G$204-Driver!$F$204)*$BI$1,1)</f>
        <v>5.8547008547008552</v>
      </c>
      <c r="BN519" s="67">
        <f>(CI519-Driver!$F$205)/(Driver!$G$205-Driver!$F$205)*$BI$1</f>
        <v>5.2941176470588234</v>
      </c>
      <c r="BO519" s="67">
        <f>(CK519-Driver!$F$207)/(Driver!$G$207-Driver!$F$207)*$BI$1</f>
        <v>1.499482936918304</v>
      </c>
      <c r="BP519" s="67">
        <f>(CM519-Driver!$F$208)/(Driver!$G$208-Driver!$F$208)*$BI$1</f>
        <v>2.4666666666666668</v>
      </c>
      <c r="BQ519" s="67">
        <f>(CL519-Driver!$F$209)/(Driver!$G$209-Driver!$F$209)*$BI$1</f>
        <v>5.46875</v>
      </c>
      <c r="BR519" s="28" t="s">
        <v>155</v>
      </c>
      <c r="BS519" s="8" t="s">
        <v>172</v>
      </c>
      <c r="BT519" s="9" t="s">
        <v>331</v>
      </c>
      <c r="BU519" s="10">
        <v>182</v>
      </c>
      <c r="BV519" s="9" t="s">
        <v>158</v>
      </c>
      <c r="BW519" s="10">
        <v>182</v>
      </c>
      <c r="BX519" s="10">
        <v>179.6</v>
      </c>
      <c r="BY519" s="10">
        <v>132</v>
      </c>
      <c r="BZ519" s="10">
        <v>156</v>
      </c>
      <c r="CA519" s="10">
        <v>129</v>
      </c>
      <c r="CB519" s="10">
        <v>97</v>
      </c>
      <c r="CC519" s="10">
        <v>120</v>
      </c>
      <c r="CD519" s="10">
        <v>19.7</v>
      </c>
      <c r="CE519" s="10">
        <v>2021</v>
      </c>
      <c r="CF519" s="10">
        <v>0.96</v>
      </c>
      <c r="CG519" s="10">
        <v>1938</v>
      </c>
      <c r="CH519" s="10">
        <v>238</v>
      </c>
      <c r="CI519" s="10">
        <v>123</v>
      </c>
      <c r="CJ519" s="10">
        <v>52</v>
      </c>
      <c r="CK519" s="10">
        <v>255</v>
      </c>
      <c r="CL519" s="10">
        <v>35</v>
      </c>
      <c r="CM519" s="10">
        <v>222</v>
      </c>
      <c r="CN519" s="10">
        <v>0.66700000000000004</v>
      </c>
      <c r="CO519" s="10">
        <v>137</v>
      </c>
      <c r="CP519" s="10">
        <v>99</v>
      </c>
      <c r="CQ519" s="10">
        <v>118</v>
      </c>
      <c r="CR519" s="10">
        <v>9</v>
      </c>
      <c r="CS519" s="10">
        <v>4.4000000000000004</v>
      </c>
      <c r="CT519" s="9" t="s">
        <v>188</v>
      </c>
      <c r="CU519" s="10"/>
      <c r="CV519" s="10"/>
      <c r="CW519" s="10"/>
      <c r="CX519" t="str">
        <f>INDEX('Data_Price '!AG$2:AG$1266,MATCH(Data!$DN519,'Data_Price '!$AT$2:$AT$1266,0))</f>
        <v>Rossignol Blackops Holyshred 182cm</v>
      </c>
      <c r="CY519" t="str">
        <f>INDEX('Data_Price '!AH$2:AH$1266,MATCH(Data!$DN519,'Data_Price '!$AT$2:$AT$1266,0))</f>
        <v>Sundance Ski and Board Shop</v>
      </c>
      <c r="CZ519">
        <f>INDEX('Data_Price '!AI$2:AI$1266,MATCH(Data!$DN519,'Data_Price '!$AT$2:$AT$1266,0))</f>
        <v>481.02</v>
      </c>
      <c r="DA519" t="str">
        <f>INDEX('Data_Price '!AJ$2:AJ$1266,MATCH(Data!$DN519,'Data_Price '!$AT$2:$AT$1266,0))</f>
        <v>https://tinyurl.com/yb5fwe9o</v>
      </c>
      <c r="DB519" t="str">
        <f>INDEX('Data_Price '!AK$2:AK$1266,MATCH(Data!$DN519,'Data_Price '!$AT$2:$AT$1266,0))</f>
        <v>Rossignol Blackops Holyshred Skis - 2022</v>
      </c>
      <c r="DC519" t="str">
        <f>INDEX('Data_Price '!AL$2:AL$1266,MATCH(Data!$DN519,'Data_Price '!$AT$2:$AT$1266,0))</f>
        <v>Gorham Bike and Ski</v>
      </c>
      <c r="DD519">
        <f>INDEX('Data_Price '!AM$2:AM$1266,MATCH(Data!$DN519,'Data_Price '!$AT$2:$AT$1266,0))</f>
        <v>489.99</v>
      </c>
      <c r="DE519" t="str">
        <f>INDEX('Data_Price '!AN$2:AN$1266,MATCH(Data!$DN519,'Data_Price '!$AT$2:$AT$1266,0))</f>
        <v>https://tinyurl.com/y8bxuvty</v>
      </c>
      <c r="DF519" t="str">
        <f>INDEX('Data_Price '!AO$2:AO$1266,MATCH(Data!$DN519,'Data_Price '!$AT$2:$AT$1266,0))</f>
        <v>Rossignol Blackops Holyshred Skis - 2022</v>
      </c>
      <c r="DG519" t="str">
        <f>INDEX('Data_Price '!AP$2:AP$1266,MATCH(Data!$DN519,'Data_Price '!$AT$2:$AT$1266,0))</f>
        <v>Powder7 Ski Shop</v>
      </c>
      <c r="DH519">
        <f>INDEX('Data_Price '!AQ$2:AQ$1266,MATCH(Data!$DN519,'Data_Price '!$AT$2:$AT$1266,0))</f>
        <v>559.92999999999995</v>
      </c>
      <c r="DI519" t="str">
        <f>INDEX('Data_Price '!AR$2:AR$1266,MATCH(Data!$DN519,'Data_Price '!$AT$2:$AT$1266,0))</f>
        <v>https://tinyurl.com/ybku92x6</v>
      </c>
      <c r="DJ519" s="89" t="str">
        <f t="shared" si="291"/>
        <v>https://tinyurl.com/yb5fwe9o</v>
      </c>
      <c r="DK519" s="89" t="str">
        <f t="shared" si="292"/>
        <v>https://tinyurl.com/y8bxuvty</v>
      </c>
      <c r="DL519" s="89" t="str">
        <f t="shared" si="293"/>
        <v>https://tinyurl.com/ybku92x6</v>
      </c>
      <c r="DM519" s="219" t="str">
        <f t="shared" si="294"/>
        <v>Blackops Holyshred</v>
      </c>
      <c r="DN519" s="89" t="str">
        <f t="shared" si="295"/>
        <v xml:space="preserve"> RossignolBlackops Holyshred182 Unisex</v>
      </c>
      <c r="DO519" s="221"/>
    </row>
    <row r="520" spans="2:119" ht="15.6" customHeight="1">
      <c r="B520" s="219" t="b">
        <f t="array" ref="B520">IF(OR(ISERROR(K520:P520)),FALSE,TRUE)</f>
        <v>1</v>
      </c>
      <c r="C520" s="43" t="b">
        <f>OR(BR520=Driver!$G$50,Data!BR1105=Driver!$H$50)</f>
        <v>1</v>
      </c>
      <c r="D520" s="43" t="b">
        <f>OR(BV520=Driver!$G$51,BV520=Driver!$H$51)</f>
        <v>0</v>
      </c>
      <c r="E520" s="43" t="b">
        <f>AND(BX520&gt;Driver!$F$54,BX520&lt;Driver!$G$54)</f>
        <v>1</v>
      </c>
      <c r="F520" s="43" t="b">
        <f>CL520&gt;Driver!$F$56</f>
        <v>1</v>
      </c>
      <c r="G520" s="43" t="b">
        <f>AND(CB520&gt;Driver!$F$55,CB520&lt;Driver!$G$55)</f>
        <v>0</v>
      </c>
      <c r="H520" s="43" t="b">
        <f t="shared" si="259"/>
        <v>0</v>
      </c>
      <c r="I520" s="43">
        <f t="shared" si="260"/>
        <v>0</v>
      </c>
      <c r="J520" s="43" t="b">
        <f t="array" ref="J520">NOT(OR(($H$9:$H$1273=TRUE)*($I$9:$I$1273&gt;0)*($BT$9:$BT$1273=BT520)*($K$9:$K$1273&gt;K520)))</f>
        <v>1</v>
      </c>
      <c r="K520" s="72">
        <f t="shared" si="261"/>
        <v>0.81713464569817906</v>
      </c>
      <c r="L520" s="72">
        <f t="shared" si="262"/>
        <v>0.80959494894790152</v>
      </c>
      <c r="M520" s="72">
        <f t="shared" si="263"/>
        <v>0.82467434244845672</v>
      </c>
      <c r="N520" s="72">
        <f t="shared" si="264"/>
        <v>0.85676270205495075</v>
      </c>
      <c r="O520" s="72">
        <f t="shared" si="265"/>
        <v>0.69500914633782562</v>
      </c>
      <c r="P520" s="72">
        <f t="shared" si="266"/>
        <v>0.92225117895259368</v>
      </c>
      <c r="Q520" s="72"/>
      <c r="R520" s="72"/>
      <c r="S520" s="72">
        <f t="shared" si="267"/>
        <v>0.43173949421068258</v>
      </c>
      <c r="T520" s="72">
        <f t="shared" si="268"/>
        <v>0.4546809061759407</v>
      </c>
      <c r="U520" s="72">
        <f t="shared" si="269"/>
        <v>0.84836251327202938</v>
      </c>
      <c r="V520" s="72">
        <f t="shared" si="270"/>
        <v>0.5094252768931351</v>
      </c>
      <c r="W520" s="72">
        <f t="shared" si="271"/>
        <v>0.85044404973357013</v>
      </c>
      <c r="X520" s="72">
        <f t="shared" si="272"/>
        <v>0.19040505105209854</v>
      </c>
      <c r="Y520" s="72">
        <f t="shared" si="273"/>
        <v>0.17532565755154331</v>
      </c>
      <c r="Z520" s="72">
        <f t="shared" si="274"/>
        <v>0.14323729794504925</v>
      </c>
      <c r="AA520" s="72">
        <f t="shared" si="275"/>
        <v>0.30499085366217438</v>
      </c>
      <c r="AB520" s="72">
        <f t="shared" si="276"/>
        <v>7.7748821047406297E-2</v>
      </c>
      <c r="AC520" s="72"/>
      <c r="AD520" s="72"/>
      <c r="AE520" s="72">
        <f t="shared" si="277"/>
        <v>0.56826050578931742</v>
      </c>
      <c r="AF520" s="72">
        <f t="shared" si="278"/>
        <v>0.5453190938240593</v>
      </c>
      <c r="AG520" s="72">
        <f t="shared" si="279"/>
        <v>0.15163748672797062</v>
      </c>
      <c r="AH520" s="72">
        <f t="shared" si="280"/>
        <v>0.49057472310686484</v>
      </c>
      <c r="AI520" s="72">
        <f t="shared" si="281"/>
        <v>0.14955595026642984</v>
      </c>
      <c r="AJ520" s="72">
        <f>(AV520-Driver!$K$179)/(Driver!$L$179-Driver!$K$179)</f>
        <v>6.3814358230601873E-2</v>
      </c>
      <c r="AK520" s="72">
        <f>(AW520-Driver!$K$180)/(Driver!$L$180-Driver!$K$180)</f>
        <v>0.18048806544116291</v>
      </c>
      <c r="AL520" s="72">
        <f>(AX520-Driver!$K$181)/(Driver!$L$181-Driver!$K$181)</f>
        <v>0.24492506165812941</v>
      </c>
      <c r="AM520" s="72">
        <f>(AY520-Driver!$K$182)/(Driver!$L$182-Driver!$K$182)</f>
        <v>0.14239416743487196</v>
      </c>
      <c r="AN520" s="72">
        <f>(AZ520-Driver!$K$183)/(Driver!$L$183-Driver!$K$183)</f>
        <v>0.17647058823529413</v>
      </c>
      <c r="AO520" s="72"/>
      <c r="AP520" s="72"/>
      <c r="AQ520" s="72">
        <f>(BC520-Driver!$K$188)/(Driver!$L$188-Driver!$K$188)</f>
        <v>5.1739494210682579E-2</v>
      </c>
      <c r="AR520" s="72">
        <f>MIN((BD520-Driver!$K$189)/(Driver!$L$189-Driver!$K$189),100%)</f>
        <v>4.6809061759407909E-3</v>
      </c>
      <c r="AS520" s="72">
        <f>(BE520-Driver!$K$190)/(Driver!$L$190-Driver!$K$190)</f>
        <v>0.66163748672797063</v>
      </c>
      <c r="AT520" s="72">
        <f>(BF520-Driver!$K$191)/(Driver!$L$191-Driver!$K$191)</f>
        <v>1.9425276893135144E-2</v>
      </c>
      <c r="AU520" s="72">
        <f>(BG520-Driver!$K$192)/(Driver!$L$192-Driver!$K$192)</f>
        <v>0.10044404973357016</v>
      </c>
      <c r="AV520" s="70">
        <f t="shared" si="282"/>
        <v>1.343101343101343</v>
      </c>
      <c r="AW520" s="70">
        <f t="shared" si="283"/>
        <v>19.462053885652242</v>
      </c>
      <c r="AX520" s="70">
        <f t="shared" si="284"/>
        <v>3.2043255549231646</v>
      </c>
      <c r="AY520" s="70">
        <f>IFERROR(Driver!$K$19/Data!BH520/Data!BI520*Data!BK520*Data!BL520,"")</f>
        <v>0.17433294725923079</v>
      </c>
      <c r="AZ520" s="70">
        <f t="shared" si="285"/>
        <v>16.083395383469846</v>
      </c>
      <c r="BA520" s="70"/>
      <c r="BB520" s="70"/>
      <c r="BC520" s="70">
        <f t="shared" si="286"/>
        <v>26.837635334209395</v>
      </c>
      <c r="BD520" s="70">
        <f t="shared" si="287"/>
        <v>2.1350747865935293</v>
      </c>
      <c r="BE520" s="70">
        <f t="shared" si="288"/>
        <v>0.66169784679190602</v>
      </c>
      <c r="BF520" s="70">
        <f t="shared" si="289"/>
        <v>2.1939485547857598</v>
      </c>
      <c r="BG520" s="70">
        <f t="shared" si="290"/>
        <v>0.3803452486678508</v>
      </c>
      <c r="BH520" s="67">
        <f>MAX((CE520-Driver!$F$200)/(Driver!$G$200-Driver!$F$200)*$BI$1,1)</f>
        <v>3.2043255549231646</v>
      </c>
      <c r="BI520" s="67">
        <f>MAX($BI$1*(BY520-Driver!$F$201)/(Driver!$G$201-Driver!$F$201),1)</f>
        <v>6.8354430379746836</v>
      </c>
      <c r="BJ520" s="67">
        <f>(CB520-Driver!$F$206)/(Driver!$G$206-Driver!$F$206)*$BI$1</f>
        <v>3.8095238095238093</v>
      </c>
      <c r="BK520" s="67">
        <f>(CD520-Driver!$F$203)/(Driver!$G$203-Driver!$F$203)*$BI$1</f>
        <v>3.2568807339449544</v>
      </c>
      <c r="BL520" s="67">
        <f>MAX((CR520-Driver!$F$202)/(Driver!$G$202-Driver!$F$202)*$BI$1,1)</f>
        <v>5.8620689655172411</v>
      </c>
      <c r="BM520" s="67">
        <f>MAX((CH520-Driver!$F$204)/(Driver!$G$204-Driver!$F$204)*$BI$1,1)</f>
        <v>1.4102564102564101</v>
      </c>
      <c r="BN520" s="67">
        <f>(CI520-Driver!$F$205)/(Driver!$G$205-Driver!$F$205)*$BI$1</f>
        <v>2.3529411764705883</v>
      </c>
      <c r="BO520" s="67">
        <f>(CK520-Driver!$F$207)/(Driver!$G$207-Driver!$F$207)*$BI$1</f>
        <v>1.0961737331954498</v>
      </c>
      <c r="BP520" s="67">
        <f>(CM520-Driver!$F$208)/(Driver!$G$208-Driver!$F$208)*$BI$1</f>
        <v>1.711111111111111</v>
      </c>
      <c r="BQ520" s="67">
        <f>(CL520-Driver!$F$209)/(Driver!$G$209-Driver!$F$209)*$BI$1</f>
        <v>1.71875</v>
      </c>
      <c r="BR520" s="28" t="s">
        <v>155</v>
      </c>
      <c r="BS520" s="8" t="s">
        <v>174</v>
      </c>
      <c r="BT520" s="9" t="s">
        <v>545</v>
      </c>
      <c r="BU520" s="10">
        <v>154</v>
      </c>
      <c r="BV520" s="9" t="s">
        <v>163</v>
      </c>
      <c r="BW520" s="10">
        <v>154</v>
      </c>
      <c r="BX520" s="10">
        <v>153.19999999999999</v>
      </c>
      <c r="BY520" s="10">
        <v>116</v>
      </c>
      <c r="BZ520" s="10">
        <v>130</v>
      </c>
      <c r="CA520" s="10">
        <v>117</v>
      </c>
      <c r="CB520" s="10">
        <v>88</v>
      </c>
      <c r="CC520" s="10">
        <v>100</v>
      </c>
      <c r="CD520" s="10">
        <v>16.5</v>
      </c>
      <c r="CE520" s="10">
        <v>1463</v>
      </c>
      <c r="CF520" s="10">
        <v>1.02</v>
      </c>
      <c r="CG520" s="10">
        <v>1488</v>
      </c>
      <c r="CH520" s="10">
        <v>134</v>
      </c>
      <c r="CI520" s="10">
        <v>73</v>
      </c>
      <c r="CJ520" s="10">
        <v>55</v>
      </c>
      <c r="CK520" s="10">
        <v>216</v>
      </c>
      <c r="CL520" s="10">
        <v>11</v>
      </c>
      <c r="CM520" s="10">
        <v>154</v>
      </c>
      <c r="CN520" s="10">
        <v>0.20399999999999999</v>
      </c>
      <c r="CO520" s="10">
        <v>150</v>
      </c>
      <c r="CP520" s="10">
        <v>83</v>
      </c>
      <c r="CQ520" s="10">
        <v>66</v>
      </c>
      <c r="CR520" s="10">
        <v>6</v>
      </c>
      <c r="CS520" s="10">
        <v>7.9</v>
      </c>
      <c r="CT520" s="9" t="s">
        <v>188</v>
      </c>
      <c r="CU520" s="10"/>
      <c r="CV520" s="10"/>
      <c r="CW520" s="10"/>
      <c r="CX520" t="str">
        <f>INDEX('Data_Price '!AG$2:AG$1266,MATCH(Data!$DN520,'Data_Price '!$AT$2:$AT$1266,0))</f>
        <v>Salomon STANCE W 88 154cm</v>
      </c>
      <c r="CY520" t="str">
        <f>INDEX('Data_Price '!AH$2:AH$1266,MATCH(Data!$DN520,'Data_Price '!$AT$2:$AT$1266,0))</f>
        <v>Sundance Ski and Board Shop</v>
      </c>
      <c r="CZ520">
        <f>INDEX('Data_Price '!AI$2:AI$1266,MATCH(Data!$DN520,'Data_Price '!$AT$2:$AT$1266,0))</f>
        <v>561.20000000000005</v>
      </c>
      <c r="DA520" t="str">
        <f>INDEX('Data_Price '!AJ$2:AJ$1266,MATCH(Data!$DN520,'Data_Price '!$AT$2:$AT$1266,0))</f>
        <v>https://tinyurl.com/yaongs45</v>
      </c>
      <c r="DB520" t="str">
        <f>INDEX('Data_Price '!AK$2:AK$1266,MATCH(Data!$DN520,'Data_Price '!$AT$2:$AT$1266,0))</f>
        <v>Salomon Stance 88 Skis</v>
      </c>
      <c r="DC520" t="str">
        <f>INDEX('Data_Price '!AL$2:AL$1266,MATCH(Data!$DN520,'Data_Price '!$AT$2:$AT$1266,0))</f>
        <v>The-House.com</v>
      </c>
      <c r="DD520">
        <f>INDEX('Data_Price '!AM$2:AM$1266,MATCH(Data!$DN520,'Data_Price '!$AT$2:$AT$1266,0))</f>
        <v>407.95</v>
      </c>
      <c r="DE520" t="str">
        <f>INDEX('Data_Price '!AN$2:AN$1266,MATCH(Data!$DN520,'Data_Price '!$AT$2:$AT$1266,0))</f>
        <v>https://tinyurl.com/y859nrkz</v>
      </c>
      <c r="DF520" t="str">
        <f>INDEX('Data_Price '!AO$2:AO$1266,MATCH(Data!$DN520,'Data_Price '!$AT$2:$AT$1266,0))</f>
        <v>Salomon Stance 88 Skis</v>
      </c>
      <c r="DG520" t="str">
        <f>INDEX('Data_Price '!AP$2:AP$1266,MATCH(Data!$DN520,'Data_Price '!$AT$2:$AT$1266,0))</f>
        <v>Gorham Bike and Ski</v>
      </c>
      <c r="DH520">
        <f>INDEX('Data_Price '!AQ$2:AQ$1266,MATCH(Data!$DN520,'Data_Price '!$AT$2:$AT$1266,0))</f>
        <v>419.99</v>
      </c>
      <c r="DI520" t="str">
        <f>INDEX('Data_Price '!AR$2:AR$1266,MATCH(Data!$DN520,'Data_Price '!$AT$2:$AT$1266,0))</f>
        <v>https://tinyurl.com/y8rjc2hp</v>
      </c>
      <c r="DJ520" s="89" t="str">
        <f t="shared" si="291"/>
        <v>https://tinyurl.com/yaongs45</v>
      </c>
      <c r="DK520" s="89" t="str">
        <f t="shared" si="292"/>
        <v>https://tinyurl.com/y859nrkz</v>
      </c>
      <c r="DL520" s="89" t="str">
        <f t="shared" si="293"/>
        <v>https://tinyurl.com/y8rjc2hp</v>
      </c>
      <c r="DM520" s="219" t="str">
        <f t="shared" si="294"/>
        <v>Stance 88 W</v>
      </c>
      <c r="DN520" s="89" t="str">
        <f t="shared" si="295"/>
        <v xml:space="preserve"> SalomonStance 88 W154 Women's</v>
      </c>
      <c r="DO520" s="221" t="s">
        <v>546</v>
      </c>
    </row>
    <row r="521" spans="2:119" ht="15.6" customHeight="1">
      <c r="B521" s="219" t="b">
        <f t="array" ref="B521">IF(OR(ISERROR(K521:P521)),FALSE,TRUE)</f>
        <v>1</v>
      </c>
      <c r="C521" s="43" t="b">
        <f>OR(BR521=Driver!$G$50,Data!BR398=Driver!$H$50)</f>
        <v>1</v>
      </c>
      <c r="D521" s="43" t="b">
        <f>OR(BV521=Driver!$G$51,BV521=Driver!$H$51)</f>
        <v>0</v>
      </c>
      <c r="E521" s="43" t="b">
        <f>AND(BX521&gt;Driver!$F$54,BX521&lt;Driver!$G$54)</f>
        <v>1</v>
      </c>
      <c r="F521" s="43" t="b">
        <f>CL521&gt;Driver!$F$56</f>
        <v>1</v>
      </c>
      <c r="G521" s="43" t="b">
        <f>AND(CB521&gt;Driver!$F$55,CB521&lt;Driver!$G$55)</f>
        <v>0</v>
      </c>
      <c r="H521" s="43" t="b">
        <f t="shared" ref="H521:H584" si="296">AND(B521:G521)</f>
        <v>0</v>
      </c>
      <c r="I521" s="43">
        <f t="shared" ref="I521:I584" si="297">COUNTIFS($H$9:$H$1273,TRUE,$BT$9:$BT$1273,BT521)</f>
        <v>0</v>
      </c>
      <c r="J521" s="43" t="b">
        <f t="array" ref="J521">NOT(OR(($H$9:$H$1273=TRUE)*($I$9:$I$1273&gt;0)*($BT$9:$BT$1273=BT521)*($K$9:$K$1273&gt;K521)))</f>
        <v>1</v>
      </c>
      <c r="K521" s="72">
        <f t="shared" ref="K521:K584" si="298">IFERROR(1-AVERAGE(X521:Y521),"")</f>
        <v>0.83116758399407409</v>
      </c>
      <c r="L521" s="72">
        <f t="shared" ref="L521:L584" si="299">1-X521</f>
        <v>0.86615767556138945</v>
      </c>
      <c r="M521" s="72">
        <f t="shared" ref="M521:M584" si="300">1-Y521</f>
        <v>0.79617749242675873</v>
      </c>
      <c r="N521" s="72">
        <f t="shared" ref="N521:N584" si="301">1-Z521</f>
        <v>0.80617141640390422</v>
      </c>
      <c r="O521" s="72">
        <f t="shared" ref="O521:O584" si="302">1-AA521</f>
        <v>0.62722589499567372</v>
      </c>
      <c r="P521" s="72">
        <f t="shared" ref="P521:P584" si="303">1-AB521</f>
        <v>0.95513516588069824</v>
      </c>
      <c r="Q521" s="72"/>
      <c r="R521" s="72"/>
      <c r="S521" s="72">
        <f t="shared" ref="S521:S584" si="304">1-AE521</f>
        <v>0.42392340480090307</v>
      </c>
      <c r="T521" s="72">
        <f t="shared" ref="T521:T584" si="305">1-AF521</f>
        <v>0.59720107009984669</v>
      </c>
      <c r="U521" s="72">
        <f t="shared" ref="U521:U584" si="306">1-AG521</f>
        <v>0.51</v>
      </c>
      <c r="V521" s="72">
        <f t="shared" ref="V521:V584" si="307">1-AH521</f>
        <v>0.50271940008012328</v>
      </c>
      <c r="W521" s="72">
        <f t="shared" ref="W521:W584" si="308">1-AI521</f>
        <v>0.76589405834847946</v>
      </c>
      <c r="X521" s="72">
        <f t="shared" ref="X521:X584" si="309">ABS(AJ521-AJ$1)</f>
        <v>0.13384232443861052</v>
      </c>
      <c r="Y521" s="72">
        <f t="shared" ref="Y521:Y584" si="310">AVERAGE(Z521:AB521)</f>
        <v>0.20382250757324127</v>
      </c>
      <c r="Z521" s="72">
        <f t="shared" ref="Z521:Z584" si="311">ABS(AL521-AL$1)</f>
        <v>0.19382858359609578</v>
      </c>
      <c r="AA521" s="72">
        <f t="shared" ref="AA521:AA584" si="312">ABS(AM521-AM$1)</f>
        <v>0.37277410500432628</v>
      </c>
      <c r="AB521" s="72">
        <f t="shared" ref="AB521:AB584" si="313">ABS(AN521-AN$1)</f>
        <v>4.4864834119301755E-2</v>
      </c>
      <c r="AC521" s="72"/>
      <c r="AD521" s="72"/>
      <c r="AE521" s="72">
        <f t="shared" ref="AE521:AE584" si="314">ABS(AQ$1-AQ521)</f>
        <v>0.57607659519909693</v>
      </c>
      <c r="AF521" s="72">
        <f t="shared" ref="AF521:AF584" si="315">ABS(AR$1-AR521)</f>
        <v>0.40279892990015331</v>
      </c>
      <c r="AG521" s="72">
        <f t="shared" ref="AG521:AG584" si="316">ABS(AS$1-AS521)</f>
        <v>0.49</v>
      </c>
      <c r="AH521" s="72">
        <f t="shared" ref="AH521:AH584" si="317">ABS(AT$1-AT521)</f>
        <v>0.49728059991987672</v>
      </c>
      <c r="AI521" s="72">
        <f t="shared" ref="AI521:AI584" si="318">ABS(AU$1-AU521)</f>
        <v>0.23410594165152054</v>
      </c>
      <c r="AJ521" s="72">
        <f>(AV521-Driver!$K$179)/(Driver!$L$179-Driver!$K$179)</f>
        <v>0.1203770848440899</v>
      </c>
      <c r="AK521" s="72">
        <f>(AW521-Driver!$K$180)/(Driver!$L$180-Driver!$K$180)</f>
        <v>0.21506015266781894</v>
      </c>
      <c r="AL521" s="72">
        <f>(AX521-Driver!$K$181)/(Driver!$L$181-Driver!$K$181)</f>
        <v>0.29551634730917598</v>
      </c>
      <c r="AM521" s="72">
        <f>(AY521-Driver!$K$182)/(Driver!$L$182-Driver!$K$182)</f>
        <v>7.4610916092720109E-2</v>
      </c>
      <c r="AN521" s="72">
        <f>(AZ521-Driver!$K$183)/(Driver!$L$183-Driver!$K$183)</f>
        <v>0.20935457516339867</v>
      </c>
      <c r="AO521" s="72"/>
      <c r="AP521" s="72"/>
      <c r="AQ521" s="72">
        <f>(BC521-Driver!$K$188)/(Driver!$L$188-Driver!$K$188)</f>
        <v>4.3923404800903024E-2</v>
      </c>
      <c r="AR521" s="72">
        <f>MIN((BD521-Driver!$K$189)/(Driver!$L$189-Driver!$K$189),100%)</f>
        <v>0.14720107009984673</v>
      </c>
      <c r="AS521" s="72">
        <f>(BE521-Driver!$K$190)/(Driver!$L$190-Driver!$K$190)</f>
        <v>1</v>
      </c>
      <c r="AT521" s="72">
        <f>(BF521-Driver!$K$191)/(Driver!$L$191-Driver!$K$191)</f>
        <v>1.2719400080123284E-2</v>
      </c>
      <c r="AU521" s="72">
        <f>(BG521-Driver!$K$192)/(Driver!$L$192-Driver!$K$192)</f>
        <v>1.5894058348479449E-2</v>
      </c>
      <c r="AV521" s="70">
        <f t="shared" ref="AV521:AV584" si="319">IFERROR(BM521*BJ521^1/4,"")</f>
        <v>2.5335775335775335</v>
      </c>
      <c r="AW521" s="70">
        <f t="shared" ref="AW521:AW584" si="320">IFERROR(SUM(AX521:AZ521),"")</f>
        <v>22.831410125746167</v>
      </c>
      <c r="AX521" s="70">
        <f t="shared" ref="AX521:AX584" si="321">IFERROR(BH521,"")</f>
        <v>3.659647125782584</v>
      </c>
      <c r="AY521" s="70">
        <f>IFERROR(Driver!$K$19/Data!BH521/Data!BI521*Data!BK521*Data!BL521,"")</f>
        <v>9.1346023046233668E-2</v>
      </c>
      <c r="AZ521" s="70">
        <f t="shared" ref="AZ521:AZ584" si="322">IFERROR(BI521*BN521,"")</f>
        <v>19.080416976917348</v>
      </c>
      <c r="BA521" s="70"/>
      <c r="BB521" s="70"/>
      <c r="BC521" s="70">
        <f t="shared" ref="BC521:BC584" si="323">IFERROR(BI521*BN521*BK521/BJ521^(1/2),"")</f>
        <v>22.783375420784694</v>
      </c>
      <c r="BD521" s="70">
        <f t="shared" ref="BD521:BD584" si="324">IFERROR(BH521*BM521*BL521/BJ521/BK521,"")</f>
        <v>14.747856763071765</v>
      </c>
      <c r="BE521" s="70">
        <f t="shared" ref="BE521:BE584" si="325">IFERROR(MIN(BI521/BQ521/BP521/BO521/BH521,$BE$1),"")</f>
        <v>1</v>
      </c>
      <c r="BF521" s="70">
        <f t="shared" ref="BF521:BF584" si="326">IFERROR(BJ521*BO521*BP521/BK521,"")</f>
        <v>1.436566880207004</v>
      </c>
      <c r="BG521" s="70">
        <f t="shared" ref="BG521:BG584" si="327">IFERROR(1/BM521/BH521*BQ521,"")</f>
        <v>6.0185044220427579E-2</v>
      </c>
      <c r="BH521" s="67">
        <f>MAX((CE521-Driver!$F$200)/(Driver!$G$200-Driver!$F$200)*$BI$1,1)</f>
        <v>3.659647125782584</v>
      </c>
      <c r="BI521" s="67">
        <f>MAX($BI$1*(BY521-Driver!$F$201)/(Driver!$G$201-Driver!$F$201),1)</f>
        <v>7.9113924050632916</v>
      </c>
      <c r="BJ521" s="67">
        <f>(CB521-Driver!$F$206)/(Driver!$G$206-Driver!$F$206)*$BI$1</f>
        <v>2.8571428571428568</v>
      </c>
      <c r="BK521" s="67">
        <f>(CD521-Driver!$F$203)/(Driver!$G$203-Driver!$F$203)*$BI$1</f>
        <v>2.0183486238532113</v>
      </c>
      <c r="BL521" s="67">
        <f>MAX((CR521-Driver!$F$202)/(Driver!$G$202-Driver!$F$202)*$BI$1,1)</f>
        <v>6.5517241379310338</v>
      </c>
      <c r="BM521" s="67">
        <f>MAX((CH521-Driver!$F$204)/(Driver!$G$204-Driver!$F$204)*$BI$1,1)</f>
        <v>3.5470085470085473</v>
      </c>
      <c r="BN521" s="67">
        <f>(CI521-Driver!$F$205)/(Driver!$G$205-Driver!$F$205)*$BI$1</f>
        <v>2.4117647058823528</v>
      </c>
      <c r="BO521" s="67">
        <f>(CK521-Driver!$F$207)/(Driver!$G$207-Driver!$F$207)*$BI$1</f>
        <v>1.4270941054808686</v>
      </c>
      <c r="BP521" s="67">
        <f>(CM521-Driver!$F$208)/(Driver!$G$208-Driver!$F$208)*$BI$1</f>
        <v>0.71111111111111114</v>
      </c>
      <c r="BQ521" s="67">
        <f>(CL521-Driver!$F$209)/(Driver!$G$209-Driver!$F$209)*$BI$1</f>
        <v>0.78125</v>
      </c>
      <c r="BR521" s="28" t="s">
        <v>155</v>
      </c>
      <c r="BS521" s="8" t="s">
        <v>202</v>
      </c>
      <c r="BT521" s="9" t="s">
        <v>649</v>
      </c>
      <c r="BU521" s="10">
        <v>163</v>
      </c>
      <c r="BV521" s="9" t="s">
        <v>163</v>
      </c>
      <c r="BW521" s="10">
        <v>163</v>
      </c>
      <c r="BX521" s="10">
        <v>163.9</v>
      </c>
      <c r="BY521" s="10">
        <v>133</v>
      </c>
      <c r="BZ521" s="10">
        <v>133</v>
      </c>
      <c r="CA521" s="10">
        <v>121</v>
      </c>
      <c r="CB521" s="10">
        <v>82</v>
      </c>
      <c r="CC521" s="10">
        <v>104</v>
      </c>
      <c r="CD521" s="10">
        <v>13.8</v>
      </c>
      <c r="CE521" s="10">
        <v>1543</v>
      </c>
      <c r="CF521" s="10">
        <v>1</v>
      </c>
      <c r="CG521" s="10">
        <v>1551</v>
      </c>
      <c r="CH521" s="10">
        <v>184</v>
      </c>
      <c r="CI521" s="10">
        <v>74</v>
      </c>
      <c r="CJ521" s="10">
        <v>38</v>
      </c>
      <c r="CK521" s="10">
        <v>248</v>
      </c>
      <c r="CL521" s="10">
        <v>5</v>
      </c>
      <c r="CM521" s="10">
        <v>64</v>
      </c>
      <c r="CN521" s="10">
        <v>0.14099999999999999</v>
      </c>
      <c r="CO521" s="10">
        <v>159</v>
      </c>
      <c r="CP521" s="10">
        <v>147</v>
      </c>
      <c r="CQ521" s="10">
        <v>90</v>
      </c>
      <c r="CR521" s="10">
        <v>8</v>
      </c>
      <c r="CS521" s="10">
        <v>6.6</v>
      </c>
      <c r="CT521" s="9" t="s">
        <v>231</v>
      </c>
      <c r="CU521" s="9" t="s">
        <v>188</v>
      </c>
      <c r="CV521" s="10"/>
      <c r="CW521" s="10"/>
      <c r="CX521" t="str">
        <f>INDEX('Data_Price '!AG$2:AG$1266,MATCH(Data!$DN521,'Data_Price '!$AT$2:$AT$1266,0))</f>
        <v>Dynastar M-PRO 84 W 163cm</v>
      </c>
      <c r="CY521" t="str">
        <f>INDEX('Data_Price '!AH$2:AH$1266,MATCH(Data!$DN521,'Data_Price '!$AT$2:$AT$1266,0))</f>
        <v>Sundance Ski and Board Shop</v>
      </c>
      <c r="CZ521">
        <f>INDEX('Data_Price '!AI$2:AI$1266,MATCH(Data!$DN521,'Data_Price '!$AT$2:$AT$1266,0))</f>
        <v>360.77</v>
      </c>
      <c r="DA521" t="str">
        <f>INDEX('Data_Price '!AJ$2:AJ$1266,MATCH(Data!$DN521,'Data_Price '!$AT$2:$AT$1266,0))</f>
        <v>https://tinyurl.com/yb3yh77w</v>
      </c>
      <c r="DB521" t="str">
        <f>INDEX('Data_Price '!AK$2:AK$1266,MATCH(Data!$DN521,'Data_Price '!$AT$2:$AT$1266,0))</f>
        <v>Dynastar M-PRO 84 W - 163</v>
      </c>
      <c r="DC521" t="str">
        <f>INDEX('Data_Price '!AL$2:AL$1266,MATCH(Data!$DN521,'Data_Price '!$AT$2:$AT$1266,0))</f>
        <v>Level Nine Sports</v>
      </c>
      <c r="DD521">
        <f>INDEX('Data_Price '!AM$2:AM$1266,MATCH(Data!$DN521,'Data_Price '!$AT$2:$AT$1266,0))</f>
        <v>399.96</v>
      </c>
      <c r="DE521" t="str">
        <f>INDEX('Data_Price '!AN$2:AN$1266,MATCH(Data!$DN521,'Data_Price '!$AT$2:$AT$1266,0))</f>
        <v>https://tinyurl.com/y7hj83k4</v>
      </c>
      <c r="DF521" t="str">
        <f>INDEX('Data_Price '!AO$2:AO$1266,MATCH(Data!$DN521,'Data_Price '!$AT$2:$AT$1266,0))</f>
        <v>Dynastar M-Pro 84 W Skis</v>
      </c>
      <c r="DG521" t="str">
        <f>INDEX('Data_Price '!AP$2:AP$1266,MATCH(Data!$DN521,'Data_Price '!$AT$2:$AT$1266,0))</f>
        <v>Cole Sport</v>
      </c>
      <c r="DH521">
        <f>INDEX('Data_Price '!AQ$2:AQ$1266,MATCH(Data!$DN521,'Data_Price '!$AT$2:$AT$1266,0))</f>
        <v>399.96</v>
      </c>
      <c r="DI521" t="str">
        <f>INDEX('Data_Price '!AR$2:AR$1266,MATCH(Data!$DN521,'Data_Price '!$AT$2:$AT$1266,0))</f>
        <v>https://tinyurl.com/y9e3ypvr</v>
      </c>
      <c r="DJ521" s="89" t="str">
        <f t="shared" ref="DJ521:DJ584" si="328">DA521</f>
        <v>https://tinyurl.com/yb3yh77w</v>
      </c>
      <c r="DK521" s="89" t="str">
        <f t="shared" ref="DK521:DK584" si="329">DE521</f>
        <v>https://tinyurl.com/y7hj83k4</v>
      </c>
      <c r="DL521" s="89" t="str">
        <f t="shared" ref="DL521:DL584" si="330">DI521</f>
        <v>https://tinyurl.com/y9e3ypvr</v>
      </c>
      <c r="DM521" s="219" t="str">
        <f t="shared" ref="DM521:DM584" si="331">IF(LEFT(BT521,1)=" ",RIGHT(BT521,LEN(BT521)-1),BT521)</f>
        <v>M-Pro 84 W</v>
      </c>
      <c r="DN521" s="89" t="str">
        <f t="shared" ref="DN521:DN584" si="332">_xlfn.CONCAT(BS521,DM521,BU521,BV521)</f>
        <v xml:space="preserve"> DynastarM-Pro 84 W163 Women's</v>
      </c>
      <c r="DO521" s="221" t="s">
        <v>650</v>
      </c>
    </row>
    <row r="522" spans="2:119" ht="15.6" customHeight="1">
      <c r="B522" s="219" t="b">
        <f t="array" ref="B522">IF(OR(ISERROR(K522:P522)),FALSE,TRUE)</f>
        <v>1</v>
      </c>
      <c r="C522" s="43" t="b">
        <f>OR(BR522=Driver!$G$50,Data!BR971=Driver!$H$50)</f>
        <v>1</v>
      </c>
      <c r="D522" s="43" t="b">
        <f>OR(BV522=Driver!$G$51,BV522=Driver!$H$51)</f>
        <v>1</v>
      </c>
      <c r="E522" s="43" t="b">
        <f>AND(BX522&gt;Driver!$F$54,BX522&lt;Driver!$G$54)</f>
        <v>1</v>
      </c>
      <c r="F522" s="43" t="b">
        <f>CL522&gt;Driver!$F$56</f>
        <v>1</v>
      </c>
      <c r="G522" s="43" t="b">
        <f>AND(CB522&gt;Driver!$F$55,CB522&lt;Driver!$G$55)</f>
        <v>0</v>
      </c>
      <c r="H522" s="43" t="b">
        <f t="shared" si="296"/>
        <v>0</v>
      </c>
      <c r="I522" s="43">
        <f t="shared" si="297"/>
        <v>0</v>
      </c>
      <c r="J522" s="43" t="b">
        <f t="array" ref="J522">NOT(OR(($H$9:$H$1273=TRUE)*($I$9:$I$1273&gt;0)*($BT$9:$BT$1273=BT522)*($K$9:$K$1273&gt;K522)))</f>
        <v>1</v>
      </c>
      <c r="K522" s="72">
        <f t="shared" si="298"/>
        <v>0.85858033631224417</v>
      </c>
      <c r="L522" s="72">
        <f t="shared" si="299"/>
        <v>0.92417072849830029</v>
      </c>
      <c r="M522" s="72">
        <f t="shared" si="300"/>
        <v>0.79298994412618806</v>
      </c>
      <c r="N522" s="72">
        <f t="shared" si="301"/>
        <v>0.79858272355624715</v>
      </c>
      <c r="O522" s="72">
        <f t="shared" si="302"/>
        <v>0.62917351156906998</v>
      </c>
      <c r="P522" s="72">
        <f t="shared" si="303"/>
        <v>0.95121359725324728</v>
      </c>
      <c r="Q522" s="72"/>
      <c r="R522" s="72"/>
      <c r="S522" s="72">
        <f t="shared" si="304"/>
        <v>0.41519152881924792</v>
      </c>
      <c r="T522" s="72">
        <f t="shared" si="305"/>
        <v>0.53059316531547418</v>
      </c>
      <c r="U522" s="72">
        <f t="shared" si="306"/>
        <v>0.7416398264216546</v>
      </c>
      <c r="V522" s="72">
        <f t="shared" si="307"/>
        <v>0.56234590840409793</v>
      </c>
      <c r="W522" s="72">
        <f t="shared" si="308"/>
        <v>0.78790355613479801</v>
      </c>
      <c r="X522" s="72">
        <f t="shared" si="309"/>
        <v>7.5829271501699713E-2</v>
      </c>
      <c r="Y522" s="72">
        <f t="shared" si="310"/>
        <v>0.20701005587381191</v>
      </c>
      <c r="Z522" s="72">
        <f t="shared" si="311"/>
        <v>0.20141727644375285</v>
      </c>
      <c r="AA522" s="72">
        <f t="shared" si="312"/>
        <v>0.37082648843093008</v>
      </c>
      <c r="AB522" s="72">
        <f t="shared" si="313"/>
        <v>4.8786402746752749E-2</v>
      </c>
      <c r="AC522" s="72"/>
      <c r="AD522" s="72"/>
      <c r="AE522" s="72">
        <f t="shared" si="314"/>
        <v>0.58480847118075208</v>
      </c>
      <c r="AF522" s="72">
        <f t="shared" si="315"/>
        <v>0.46940683468452582</v>
      </c>
      <c r="AG522" s="72">
        <f t="shared" si="316"/>
        <v>0.2583601735783454</v>
      </c>
      <c r="AH522" s="72">
        <f t="shared" si="317"/>
        <v>0.43765409159590207</v>
      </c>
      <c r="AI522" s="72">
        <f t="shared" si="318"/>
        <v>0.21209644386520202</v>
      </c>
      <c r="AJ522" s="72">
        <f>(AV522-Driver!$K$179)/(Driver!$L$179-Driver!$K$179)</f>
        <v>0.17839013778100071</v>
      </c>
      <c r="AK522" s="72">
        <f>(AW522-Driver!$K$180)/(Driver!$L$180-Driver!$K$180)</f>
        <v>0.21211813093454679</v>
      </c>
      <c r="AL522" s="72">
        <f>(AX522-Driver!$K$181)/(Driver!$L$181-Driver!$K$181)</f>
        <v>0.30310504015683304</v>
      </c>
      <c r="AM522" s="72">
        <f>(AY522-Driver!$K$182)/(Driver!$L$182-Driver!$K$182)</f>
        <v>7.65585326661163E-2</v>
      </c>
      <c r="AN522" s="72">
        <f>(AZ522-Driver!$K$183)/(Driver!$L$183-Driver!$K$183)</f>
        <v>0.20543300653594768</v>
      </c>
      <c r="AO522" s="72"/>
      <c r="AP522" s="72"/>
      <c r="AQ522" s="72">
        <f>(BC522-Driver!$K$188)/(Driver!$L$188-Driver!$K$188)</f>
        <v>3.5191528819247905E-2</v>
      </c>
      <c r="AR522" s="72">
        <f>MIN((BD522-Driver!$K$189)/(Driver!$L$189-Driver!$K$189),100%)</f>
        <v>8.0593165315474197E-2</v>
      </c>
      <c r="AS522" s="72">
        <f>(BE522-Driver!$K$190)/(Driver!$L$190-Driver!$K$190)</f>
        <v>0.25163982642165461</v>
      </c>
      <c r="AT522" s="72">
        <f>(BF522-Driver!$K$191)/(Driver!$L$191-Driver!$K$191)</f>
        <v>7.2345908404097936E-2</v>
      </c>
      <c r="AU522" s="72">
        <f>(BG522-Driver!$K$192)/(Driver!$L$192-Driver!$K$192)</f>
        <v>3.7903556134797983E-2</v>
      </c>
      <c r="AV522" s="70">
        <f t="shared" si="319"/>
        <v>3.7545787545787546</v>
      </c>
      <c r="AW522" s="70">
        <f t="shared" si="320"/>
        <v>22.544684038874284</v>
      </c>
      <c r="AX522" s="70">
        <f t="shared" si="321"/>
        <v>3.7279453614114972</v>
      </c>
      <c r="AY522" s="70">
        <f>IFERROR(Driver!$K$19/Data!BH522/Data!BI522*Data!BK522*Data!BL522,"")</f>
        <v>9.3730486844769353E-2</v>
      </c>
      <c r="AZ522" s="70">
        <f t="shared" si="322"/>
        <v>18.723008190618017</v>
      </c>
      <c r="BA522" s="70"/>
      <c r="BB522" s="70"/>
      <c r="BC522" s="70">
        <f t="shared" si="323"/>
        <v>18.254090646083181</v>
      </c>
      <c r="BD522" s="70">
        <f t="shared" si="324"/>
        <v>8.8531752118783302</v>
      </c>
      <c r="BE522" s="70">
        <f t="shared" si="325"/>
        <v>0.25177332545346848</v>
      </c>
      <c r="BF522" s="70">
        <f t="shared" si="326"/>
        <v>8.1709620954708821</v>
      </c>
      <c r="BG522" s="70">
        <f t="shared" si="327"/>
        <v>0.14352704338112082</v>
      </c>
      <c r="BH522" s="67">
        <f>MAX((CE522-Driver!$F$200)/(Driver!$G$200-Driver!$F$200)*$BI$1,1)</f>
        <v>3.7279453614114972</v>
      </c>
      <c r="BI522" s="67">
        <f>MAX($BI$1*(BY522-Driver!$F$201)/(Driver!$G$201-Driver!$F$201),1)</f>
        <v>6.7721518987341769</v>
      </c>
      <c r="BJ522" s="67">
        <f>(CB522-Driver!$F$206)/(Driver!$G$206-Driver!$F$206)*$BI$1</f>
        <v>4.2857142857142856</v>
      </c>
      <c r="BK522" s="67">
        <f>(CD522-Driver!$F$203)/(Driver!$G$203-Driver!$F$203)*$BI$1</f>
        <v>2.0183486238532113</v>
      </c>
      <c r="BL522" s="67">
        <f>MAX((CR522-Driver!$F$202)/(Driver!$G$202-Driver!$F$202)*$BI$1,1)</f>
        <v>5.8620689655172411</v>
      </c>
      <c r="BM522" s="67">
        <f>MAX((CH522-Driver!$F$204)/(Driver!$G$204-Driver!$F$204)*$BI$1,1)</f>
        <v>3.5042735042735043</v>
      </c>
      <c r="BN522" s="67">
        <f>(CI522-Driver!$F$205)/(Driver!$G$205-Driver!$F$205)*$BI$1</f>
        <v>2.7647058823529411</v>
      </c>
      <c r="BO522" s="67">
        <f>(CK522-Driver!$F$207)/(Driver!$G$207-Driver!$F$207)*$BI$1</f>
        <v>2.0372285418821097</v>
      </c>
      <c r="BP522" s="67">
        <f>(CM522-Driver!$F$208)/(Driver!$G$208-Driver!$F$208)*$BI$1</f>
        <v>1.8888888888888888</v>
      </c>
      <c r="BQ522" s="67">
        <f>(CL522-Driver!$F$209)/(Driver!$G$209-Driver!$F$209)*$BI$1</f>
        <v>1.875</v>
      </c>
      <c r="BR522" s="28" t="s">
        <v>155</v>
      </c>
      <c r="BS522" s="8" t="s">
        <v>172</v>
      </c>
      <c r="BT522" s="9" t="s">
        <v>599</v>
      </c>
      <c r="BU522" s="10">
        <v>164</v>
      </c>
      <c r="BV522" s="9" t="s">
        <v>158</v>
      </c>
      <c r="BW522" s="10">
        <v>164</v>
      </c>
      <c r="BX522" s="10">
        <v>162.6</v>
      </c>
      <c r="BY522" s="10">
        <v>115</v>
      </c>
      <c r="BZ522" s="10">
        <v>137</v>
      </c>
      <c r="CA522" s="10">
        <v>126</v>
      </c>
      <c r="CB522" s="10">
        <v>91</v>
      </c>
      <c r="CC522" s="10">
        <v>116</v>
      </c>
      <c r="CD522" s="10">
        <v>13.8</v>
      </c>
      <c r="CE522" s="10">
        <v>1555</v>
      </c>
      <c r="CF522" s="10">
        <v>1.08</v>
      </c>
      <c r="CG522" s="10">
        <v>1680</v>
      </c>
      <c r="CH522" s="10">
        <v>183</v>
      </c>
      <c r="CI522" s="10">
        <v>80</v>
      </c>
      <c r="CJ522" s="10">
        <v>52</v>
      </c>
      <c r="CK522" s="10">
        <v>307</v>
      </c>
      <c r="CL522" s="10">
        <v>12</v>
      </c>
      <c r="CM522" s="10">
        <v>170</v>
      </c>
      <c r="CN522" s="10">
        <v>0.22500000000000001</v>
      </c>
      <c r="CO522" s="10">
        <v>143</v>
      </c>
      <c r="CP522" s="10">
        <v>109</v>
      </c>
      <c r="CQ522" s="10">
        <v>164</v>
      </c>
      <c r="CR522" s="10">
        <v>6</v>
      </c>
      <c r="CS522" s="10">
        <v>6.2</v>
      </c>
      <c r="CT522" s="9" t="s">
        <v>188</v>
      </c>
      <c r="CU522" s="9" t="s">
        <v>185</v>
      </c>
      <c r="CV522" s="10"/>
      <c r="CW522" s="10"/>
      <c r="CX522" t="str">
        <f>INDEX('Data_Price '!AG$2:AG$1266,MATCH(Data!$DN522,'Data_Price '!$AT$2:$AT$1266,0))</f>
        <v>Rossignol Blackops Escaper Mens Skis</v>
      </c>
      <c r="CY522" t="str">
        <f>INDEX('Data_Price '!AH$2:AH$1266,MATCH(Data!$DN522,'Data_Price '!$AT$2:$AT$1266,0))</f>
        <v>Snowcountry.eu</v>
      </c>
      <c r="CZ522">
        <f>INDEX('Data_Price '!AI$2:AI$1266,MATCH(Data!$DN522,'Data_Price '!$AT$2:$AT$1266,0))</f>
        <v>342.06</v>
      </c>
      <c r="DA522" t="str">
        <f>INDEX('Data_Price '!AJ$2:AJ$1266,MATCH(Data!$DN522,'Data_Price '!$AT$2:$AT$1266,0))</f>
        <v>https://tinyurl.com/yb4w6yj5</v>
      </c>
      <c r="DB522" t="str">
        <f>INDEX('Data_Price '!AK$2:AK$1266,MATCH(Data!$DN522,'Data_Price '!$AT$2:$AT$1266,0))</f>
        <v>Rossignol Men's Blackops Escaper Flat Ski 2020-2021 | BLACK / 164</v>
      </c>
      <c r="DC522" t="str">
        <f>INDEX('Data_Price '!AL$2:AL$1266,MATCH(Data!$DN522,'Data_Price '!$AT$2:$AT$1266,0))</f>
        <v>Ski Pro  - Snow Ski &amp; Snowboard</v>
      </c>
      <c r="DD522">
        <f>INDEX('Data_Price '!AM$2:AM$1266,MATCH(Data!$DN522,'Data_Price '!$AT$2:$AT$1266,0))</f>
        <v>399.95</v>
      </c>
      <c r="DE522" t="str">
        <f>INDEX('Data_Price '!AN$2:AN$1266,MATCH(Data!$DN522,'Data_Price '!$AT$2:$AT$1266,0))</f>
        <v>https://tinyurl.com/ycg4amb3</v>
      </c>
      <c r="DF522" t="str">
        <f>INDEX('Data_Price '!AO$2:AO$1266,MATCH(Data!$DN522,'Data_Price '!$AT$2:$AT$1266,0))</f>
        <v>Rossignol Blackops Escaper Open 164cm</v>
      </c>
      <c r="DG522" t="str">
        <f>INDEX('Data_Price '!AP$2:AP$1266,MATCH(Data!$DN522,'Data_Price '!$AT$2:$AT$1266,0))</f>
        <v>Sundance Ski and Board Shop</v>
      </c>
      <c r="DH522">
        <f>INDEX('Data_Price '!AQ$2:AQ$1266,MATCH(Data!$DN522,'Data_Price '!$AT$2:$AT$1266,0))</f>
        <v>400.85</v>
      </c>
      <c r="DI522" t="str">
        <f>INDEX('Data_Price '!AR$2:AR$1266,MATCH(Data!$DN522,'Data_Price '!$AT$2:$AT$1266,0))</f>
        <v>https://tinyurl.com/y767bzk9</v>
      </c>
      <c r="DJ522" s="89" t="str">
        <f t="shared" si="328"/>
        <v>https://tinyurl.com/yb4w6yj5</v>
      </c>
      <c r="DK522" s="89" t="str">
        <f t="shared" si="329"/>
        <v>https://tinyurl.com/ycg4amb3</v>
      </c>
      <c r="DL522" s="89" t="str">
        <f t="shared" si="330"/>
        <v>https://tinyurl.com/y767bzk9</v>
      </c>
      <c r="DM522" s="219" t="str">
        <f t="shared" si="331"/>
        <v>Blackops Escaper</v>
      </c>
      <c r="DN522" s="89" t="str">
        <f t="shared" si="332"/>
        <v xml:space="preserve"> RossignolBlackops Escaper164 Unisex</v>
      </c>
      <c r="DO522" s="221"/>
    </row>
    <row r="523" spans="2:119" ht="15.6" customHeight="1">
      <c r="B523" s="219" t="b">
        <f t="array" ref="B523">IF(OR(ISERROR(K523:P523)),FALSE,TRUE)</f>
        <v>1</v>
      </c>
      <c r="C523" s="43" t="b">
        <f>OR(BR523=Driver!$G$50,Data!BR1015=Driver!$H$50)</f>
        <v>1</v>
      </c>
      <c r="D523" s="43" t="b">
        <f>OR(BV523=Driver!$G$51,BV523=Driver!$H$51)</f>
        <v>0</v>
      </c>
      <c r="E523" s="43" t="b">
        <f>AND(BX523&gt;Driver!$F$54,BX523&lt;Driver!$G$54)</f>
        <v>0</v>
      </c>
      <c r="F523" s="43" t="b">
        <f>CL523&gt;Driver!$F$56</f>
        <v>1</v>
      </c>
      <c r="G523" s="43" t="b">
        <f>AND(CB523&gt;Driver!$F$55,CB523&lt;Driver!$G$55)</f>
        <v>0</v>
      </c>
      <c r="H523" s="43" t="b">
        <f t="shared" si="296"/>
        <v>0</v>
      </c>
      <c r="I523" s="43">
        <f t="shared" si="297"/>
        <v>0</v>
      </c>
      <c r="J523" s="43" t="b">
        <f t="array" ref="J523">NOT(OR(($H$9:$H$1273=TRUE)*($I$9:$I$1273&gt;0)*($BT$9:$BT$1273=BT523)*($K$9:$K$1273&gt;K523)))</f>
        <v>1</v>
      </c>
      <c r="K523" s="72">
        <f t="shared" si="298"/>
        <v>0.7947221261508931</v>
      </c>
      <c r="L523" s="72">
        <f t="shared" si="299"/>
        <v>0.8244205069206676</v>
      </c>
      <c r="M523" s="72">
        <f t="shared" si="300"/>
        <v>0.76502374538111861</v>
      </c>
      <c r="N523" s="72">
        <f t="shared" si="301"/>
        <v>0.73218166113924854</v>
      </c>
      <c r="O523" s="72">
        <f t="shared" si="302"/>
        <v>0.58569558559399715</v>
      </c>
      <c r="P523" s="72">
        <f t="shared" si="303"/>
        <v>0.97719398941011004</v>
      </c>
      <c r="Q523" s="72"/>
      <c r="R523" s="72"/>
      <c r="S523" s="72">
        <f t="shared" si="304"/>
        <v>0.40223715524416237</v>
      </c>
      <c r="T523" s="72">
        <f t="shared" si="305"/>
        <v>0.80769328590905198</v>
      </c>
      <c r="U523" s="72">
        <f t="shared" si="306"/>
        <v>0.78620572159231417</v>
      </c>
      <c r="V523" s="72">
        <f t="shared" si="307"/>
        <v>0.54998406122199672</v>
      </c>
      <c r="W523" s="72">
        <f t="shared" si="308"/>
        <v>0.80123166522864542</v>
      </c>
      <c r="X523" s="72">
        <f t="shared" si="309"/>
        <v>0.17557949307933246</v>
      </c>
      <c r="Y523" s="72">
        <f t="shared" si="310"/>
        <v>0.23497625461888139</v>
      </c>
      <c r="Z523" s="72">
        <f t="shared" si="311"/>
        <v>0.26781833886075146</v>
      </c>
      <c r="AA523" s="72">
        <f t="shared" si="312"/>
        <v>0.4143044144060028</v>
      </c>
      <c r="AB523" s="72">
        <f t="shared" si="313"/>
        <v>2.2806010589889986E-2</v>
      </c>
      <c r="AC523" s="72"/>
      <c r="AD523" s="72"/>
      <c r="AE523" s="72">
        <f t="shared" si="314"/>
        <v>0.59776284475583763</v>
      </c>
      <c r="AF523" s="72">
        <f t="shared" si="315"/>
        <v>0.19230671409094802</v>
      </c>
      <c r="AG523" s="72">
        <f t="shared" si="316"/>
        <v>0.21379427840768583</v>
      </c>
      <c r="AH523" s="72">
        <f t="shared" si="317"/>
        <v>0.45001593877800328</v>
      </c>
      <c r="AI523" s="72">
        <f t="shared" si="318"/>
        <v>0.19876833477135461</v>
      </c>
      <c r="AJ523" s="72">
        <f>(AV523-Driver!$K$179)/(Driver!$L$179-Driver!$K$179)</f>
        <v>7.8639916203367966E-2</v>
      </c>
      <c r="AK523" s="72">
        <f>(AW523-Driver!$K$180)/(Driver!$L$180-Driver!$K$180)</f>
        <v>0.24199958850645154</v>
      </c>
      <c r="AL523" s="72">
        <f>(AX523-Driver!$K$181)/(Driver!$L$181-Driver!$K$181)</f>
        <v>0.36950610257383165</v>
      </c>
      <c r="AM523" s="72">
        <f>(AY523-Driver!$K$182)/(Driver!$L$182-Driver!$K$182)</f>
        <v>3.3080606691043582E-2</v>
      </c>
      <c r="AN523" s="72">
        <f>(AZ523-Driver!$K$183)/(Driver!$L$183-Driver!$K$183)</f>
        <v>0.23141339869281044</v>
      </c>
      <c r="AO523" s="72"/>
      <c r="AP523" s="72"/>
      <c r="AQ523" s="72">
        <f>(BC523-Driver!$K$188)/(Driver!$L$188-Driver!$K$188)</f>
        <v>2.2237155244162393E-2</v>
      </c>
      <c r="AR523" s="72">
        <f>MIN((BD523-Driver!$K$189)/(Driver!$L$189-Driver!$K$189),100%)</f>
        <v>0.35769328590905203</v>
      </c>
      <c r="AS523" s="72">
        <f>(BE523-Driver!$K$190)/(Driver!$L$190-Driver!$K$190)</f>
        <v>0.29620572159231418</v>
      </c>
      <c r="AT523" s="72">
        <f>(BF523-Driver!$K$191)/(Driver!$L$191-Driver!$K$191)</f>
        <v>5.9984061221996759E-2</v>
      </c>
      <c r="AU523" s="72">
        <f>(BG523-Driver!$K$192)/(Driver!$L$192-Driver!$K$192)</f>
        <v>5.123166522864539E-2</v>
      </c>
      <c r="AV523" s="70">
        <f t="shared" si="319"/>
        <v>1.6551349884683217</v>
      </c>
      <c r="AW523" s="70">
        <f t="shared" si="320"/>
        <v>25.456896855905796</v>
      </c>
      <c r="AX523" s="70">
        <f t="shared" si="321"/>
        <v>4.3255549231644848</v>
      </c>
      <c r="AY523" s="70">
        <f>IFERROR(Driver!$K$19/Data!BH523/Data!BI523*Data!BK523*Data!BL523,"")</f>
        <v>4.0500532890230763E-2</v>
      </c>
      <c r="AZ523" s="70">
        <f t="shared" si="322"/>
        <v>21.09084139985108</v>
      </c>
      <c r="BA523" s="70"/>
      <c r="BB523" s="70"/>
      <c r="BC523" s="70">
        <f t="shared" si="323"/>
        <v>11.534567015342285</v>
      </c>
      <c r="BD523" s="70">
        <f t="shared" si="324"/>
        <v>33.376044892049826</v>
      </c>
      <c r="BE523" s="70">
        <f t="shared" si="325"/>
        <v>0.29633127057004011</v>
      </c>
      <c r="BF523" s="70">
        <f t="shared" si="326"/>
        <v>6.774778303144199</v>
      </c>
      <c r="BG523" s="70">
        <f t="shared" si="327"/>
        <v>0.19399576682484904</v>
      </c>
      <c r="BH523" s="67">
        <f>MAX((CE523-Driver!$F$200)/(Driver!$G$200-Driver!$F$200)*$BI$1,1)</f>
        <v>4.3255549231644848</v>
      </c>
      <c r="BI523" s="67">
        <f>MAX($BI$1*(BY523-Driver!$F$201)/(Driver!$G$201-Driver!$F$201),1)</f>
        <v>6.518987341772152</v>
      </c>
      <c r="BJ523" s="67">
        <f>(CB523-Driver!$F$206)/(Driver!$G$206-Driver!$F$206)*$BI$1</f>
        <v>2.5396825396825395</v>
      </c>
      <c r="BK523" s="67">
        <f>(CD523-Driver!$F$203)/(Driver!$G$203-Driver!$F$203)*$BI$1</f>
        <v>0.87155963302752326</v>
      </c>
      <c r="BL523" s="67">
        <f>MAX((CR523-Driver!$F$202)/(Driver!$G$202-Driver!$F$202)*$BI$1,1)</f>
        <v>6.5517241379310338</v>
      </c>
      <c r="BM523" s="67">
        <f>MAX((CH523-Driver!$F$204)/(Driver!$G$204-Driver!$F$204)*$BI$1,1)</f>
        <v>2.6068376068376069</v>
      </c>
      <c r="BN523" s="67">
        <f>(CI523-Driver!$F$205)/(Driver!$G$205-Driver!$F$205)*$BI$1</f>
        <v>3.2352941176470589</v>
      </c>
      <c r="BO523" s="67">
        <f>(CK523-Driver!$F$207)/(Driver!$G$207-Driver!$F$207)*$BI$1</f>
        <v>1.5615305067218201</v>
      </c>
      <c r="BP523" s="67">
        <f>(CM523-Driver!$F$208)/(Driver!$G$208-Driver!$F$208)*$BI$1</f>
        <v>1.4888888888888887</v>
      </c>
      <c r="BQ523" s="67">
        <f>(CL523-Driver!$F$209)/(Driver!$G$209-Driver!$F$209)*$BI$1</f>
        <v>2.1875</v>
      </c>
      <c r="BR523" s="28" t="s">
        <v>155</v>
      </c>
      <c r="BS523" s="8" t="s">
        <v>172</v>
      </c>
      <c r="BT523" s="9" t="s">
        <v>547</v>
      </c>
      <c r="BU523" s="10">
        <v>151</v>
      </c>
      <c r="BV523" s="9" t="s">
        <v>163</v>
      </c>
      <c r="BW523" s="10">
        <v>151</v>
      </c>
      <c r="BX523" s="10">
        <v>150.4</v>
      </c>
      <c r="BY523" s="10">
        <v>111</v>
      </c>
      <c r="BZ523" s="10">
        <v>136</v>
      </c>
      <c r="CA523" s="10">
        <v>125</v>
      </c>
      <c r="CB523" s="10">
        <v>80</v>
      </c>
      <c r="CC523" s="10">
        <v>113</v>
      </c>
      <c r="CD523" s="10">
        <v>11.3</v>
      </c>
      <c r="CE523" s="10">
        <v>1660</v>
      </c>
      <c r="CF523" s="10">
        <v>0.86</v>
      </c>
      <c r="CG523" s="10">
        <v>1425</v>
      </c>
      <c r="CH523" s="10">
        <v>162</v>
      </c>
      <c r="CI523" s="10">
        <v>88</v>
      </c>
      <c r="CJ523" s="10">
        <v>47</v>
      </c>
      <c r="CK523" s="10">
        <v>261</v>
      </c>
      <c r="CL523" s="10">
        <v>14</v>
      </c>
      <c r="CM523" s="10">
        <v>134</v>
      </c>
      <c r="CN523" s="10">
        <v>0.29099999999999998</v>
      </c>
      <c r="CO523" s="10">
        <v>78</v>
      </c>
      <c r="CP523" s="10">
        <v>63</v>
      </c>
      <c r="CQ523" s="10">
        <v>183</v>
      </c>
      <c r="CR523" s="10">
        <v>8</v>
      </c>
      <c r="CS523" s="10">
        <v>6.6</v>
      </c>
      <c r="CT523" s="9" t="s">
        <v>160</v>
      </c>
      <c r="CU523" s="10"/>
      <c r="CV523" s="10"/>
      <c r="CW523" s="10"/>
      <c r="CX523" t="str">
        <f>INDEX('Data_Price '!AG$2:AG$1266,MATCH(Data!$DN523,'Data_Price '!$AT$2:$AT$1266,0))</f>
        <v>Rossignol Experience W 82 Ti Skis Womens 2022</v>
      </c>
      <c r="CY523" t="str">
        <f>INDEX('Data_Price '!AH$2:AH$1266,MATCH(Data!$DN523,'Data_Price '!$AT$2:$AT$1266,0))</f>
        <v>BlueZone Sports</v>
      </c>
      <c r="CZ523">
        <f>INDEX('Data_Price '!AI$2:AI$1266,MATCH(Data!$DN523,'Data_Price '!$AT$2:$AT$1266,0))</f>
        <v>559.96</v>
      </c>
      <c r="DA523" t="str">
        <f>INDEX('Data_Price '!AJ$2:AJ$1266,MATCH(Data!$DN523,'Data_Price '!$AT$2:$AT$1266,0))</f>
        <v>https://tinyurl.com/ybgcrvb2</v>
      </c>
      <c r="DB523" t="str">
        <f>INDEX('Data_Price '!AK$2:AK$1266,MATCH(Data!$DN523,'Data_Price '!$AT$2:$AT$1266,0))</f>
        <v>Rossignol Women's Experience 82 Ti W Skis with Bindings 151 cm</v>
      </c>
      <c r="DC523" t="str">
        <f>INDEX('Data_Price '!AL$2:AL$1266,MATCH(Data!$DN523,'Data_Price '!$AT$2:$AT$1266,0))</f>
        <v>Aspen Ski and Board</v>
      </c>
      <c r="DD523">
        <f>INDEX('Data_Price '!AM$2:AM$1266,MATCH(Data!$DN523,'Data_Price '!$AT$2:$AT$1266,0))</f>
        <v>719.95</v>
      </c>
      <c r="DE523" t="str">
        <f>INDEX('Data_Price '!AN$2:AN$1266,MATCH(Data!$DN523,'Data_Price '!$AT$2:$AT$1266,0))</f>
        <v>https://tinyurl.com/yd9w96qf</v>
      </c>
      <c r="DF523" t="str">
        <f>INDEX('Data_Price '!AO$2:AO$1266,MATCH(Data!$DN523,'Data_Price '!$AT$2:$AT$1266,0))</f>
        <v>Rossignol Experience W 82 Ti Women's Skis W SPX 12 Konect GW Bindings</v>
      </c>
      <c r="DG523" t="str">
        <f>INDEX('Data_Price '!AP$2:AP$1266,MATCH(Data!$DN523,'Data_Price '!$AT$2:$AT$1266,0))</f>
        <v>The Mountain Air</v>
      </c>
      <c r="DH523">
        <f>INDEX('Data_Price '!AQ$2:AQ$1266,MATCH(Data!$DN523,'Data_Price '!$AT$2:$AT$1266,0))</f>
        <v>719.96</v>
      </c>
      <c r="DI523" t="str">
        <f>INDEX('Data_Price '!AR$2:AR$1266,MATCH(Data!$DN523,'Data_Price '!$AT$2:$AT$1266,0))</f>
        <v>https://tinyurl.com/y78tpcja</v>
      </c>
      <c r="DJ523" s="89" t="str">
        <f t="shared" si="328"/>
        <v>https://tinyurl.com/ybgcrvb2</v>
      </c>
      <c r="DK523" s="89" t="str">
        <f t="shared" si="329"/>
        <v>https://tinyurl.com/yd9w96qf</v>
      </c>
      <c r="DL523" s="89" t="str">
        <f t="shared" si="330"/>
        <v>https://tinyurl.com/y78tpcja</v>
      </c>
      <c r="DM523" s="219" t="str">
        <f t="shared" si="331"/>
        <v>Experience 82 Ti W</v>
      </c>
      <c r="DN523" s="89" t="str">
        <f t="shared" si="332"/>
        <v xml:space="preserve"> RossignolExperience 82 Ti W151 Women's</v>
      </c>
      <c r="DO523" s="221"/>
    </row>
    <row r="524" spans="2:119" ht="15.6" customHeight="1">
      <c r="B524" s="219" t="b">
        <f t="array" ref="B524">IF(OR(ISERROR(K524:P524)),FALSE,TRUE)</f>
        <v>1</v>
      </c>
      <c r="C524" s="43" t="b">
        <f>OR(BR524=Driver!$G$50,Data!BR1067=Driver!$H$50)</f>
        <v>1</v>
      </c>
      <c r="D524" s="43" t="b">
        <f>OR(BV524=Driver!$G$51,BV524=Driver!$H$51)</f>
        <v>1</v>
      </c>
      <c r="E524" s="43" t="b">
        <f>AND(BX524&gt;Driver!$F$54,BX524&lt;Driver!$G$54)</f>
        <v>0</v>
      </c>
      <c r="F524" s="43" t="b">
        <f>CL524&gt;Driver!$F$56</f>
        <v>1</v>
      </c>
      <c r="G524" s="43" t="b">
        <f>AND(CB524&gt;Driver!$F$55,CB524&lt;Driver!$G$55)</f>
        <v>1</v>
      </c>
      <c r="H524" s="43" t="b">
        <f t="shared" si="296"/>
        <v>0</v>
      </c>
      <c r="I524" s="43">
        <f t="shared" si="297"/>
        <v>0</v>
      </c>
      <c r="J524" s="43" t="b">
        <f t="array" ref="J524">NOT(OR(($H$9:$H$1273=TRUE)*($I$9:$I$1273&gt;0)*($BT$9:$BT$1273=BT524)*($K$9:$K$1273&gt;K524)))</f>
        <v>1</v>
      </c>
      <c r="K524" s="72">
        <f t="shared" si="298"/>
        <v>0.75234563177596436</v>
      </c>
      <c r="L524" s="72">
        <f t="shared" si="299"/>
        <v>0.82476167018029134</v>
      </c>
      <c r="M524" s="72">
        <f t="shared" si="300"/>
        <v>0.67992959337163739</v>
      </c>
      <c r="N524" s="72">
        <f t="shared" si="301"/>
        <v>0.43495785793934982</v>
      </c>
      <c r="O524" s="72">
        <f t="shared" si="302"/>
        <v>0.66237621877521513</v>
      </c>
      <c r="P524" s="72">
        <f t="shared" si="303"/>
        <v>0.94245470340034743</v>
      </c>
      <c r="Q524" s="72"/>
      <c r="R524" s="72"/>
      <c r="S524" s="72">
        <f t="shared" si="304"/>
        <v>0.48342402528550588</v>
      </c>
      <c r="T524" s="72">
        <f t="shared" si="305"/>
        <v>0.52241090999622042</v>
      </c>
      <c r="U524" s="72">
        <f t="shared" si="306"/>
        <v>0.52367087152071501</v>
      </c>
      <c r="V524" s="72">
        <f t="shared" si="307"/>
        <v>0.59840381752336125</v>
      </c>
      <c r="W524" s="72">
        <f t="shared" si="308"/>
        <v>0.77121951219512197</v>
      </c>
      <c r="X524" s="72">
        <f t="shared" si="309"/>
        <v>0.17523832981970866</v>
      </c>
      <c r="Y524" s="72">
        <f t="shared" si="310"/>
        <v>0.32007040662836256</v>
      </c>
      <c r="Z524" s="72">
        <f t="shared" si="311"/>
        <v>0.56504214206065018</v>
      </c>
      <c r="AA524" s="72">
        <f t="shared" si="312"/>
        <v>0.33762378122478487</v>
      </c>
      <c r="AB524" s="72">
        <f t="shared" si="313"/>
        <v>5.7545296599652518E-2</v>
      </c>
      <c r="AC524" s="72"/>
      <c r="AD524" s="72"/>
      <c r="AE524" s="72">
        <f t="shared" si="314"/>
        <v>0.51657597471449412</v>
      </c>
      <c r="AF524" s="72">
        <f t="shared" si="315"/>
        <v>0.47758909000377953</v>
      </c>
      <c r="AG524" s="72">
        <f t="shared" si="316"/>
        <v>0.47632912847928499</v>
      </c>
      <c r="AH524" s="72">
        <f t="shared" si="317"/>
        <v>0.4015961824766387</v>
      </c>
      <c r="AI524" s="72">
        <f t="shared" si="318"/>
        <v>0.22878048780487806</v>
      </c>
      <c r="AJ524" s="72">
        <f>(AV524-Driver!$K$179)/(Driver!$L$179-Driver!$K$179)</f>
        <v>0.42945773910240909</v>
      </c>
      <c r="AK524" s="72">
        <f>(AW524-Driver!$K$180)/(Driver!$L$180-Driver!$K$180)</f>
        <v>0.34555149975093979</v>
      </c>
      <c r="AL524" s="72">
        <f>(AX524-Driver!$K$181)/(Driver!$L$181-Driver!$K$181)</f>
        <v>0.66672990577373037</v>
      </c>
      <c r="AM524" s="72">
        <f>(AY524-Driver!$K$182)/(Driver!$L$182-Driver!$K$182)</f>
        <v>0.10976123987226148</v>
      </c>
      <c r="AN524" s="72">
        <f>(AZ524-Driver!$K$183)/(Driver!$L$183-Driver!$K$183)</f>
        <v>0.31176470588235294</v>
      </c>
      <c r="AO524" s="72"/>
      <c r="AP524" s="72"/>
      <c r="AQ524" s="72">
        <f>(BC524-Driver!$K$188)/(Driver!$L$188-Driver!$K$188)</f>
        <v>0.10342402528550583</v>
      </c>
      <c r="AR524" s="72">
        <f>MIN((BD524-Driver!$K$189)/(Driver!$L$189-Driver!$K$189),100%)</f>
        <v>7.2410909996220532E-2</v>
      </c>
      <c r="AS524" s="72">
        <f>(BE524-Driver!$K$190)/(Driver!$L$190-Driver!$K$190)</f>
        <v>3.367087152071499E-2</v>
      </c>
      <c r="AT524" s="72">
        <f>(BF524-Driver!$K$191)/(Driver!$L$191-Driver!$K$191)</f>
        <v>0.10840381752336131</v>
      </c>
      <c r="AU524" s="72">
        <f>(BG524-Driver!$K$192)/(Driver!$L$192-Driver!$K$192)</f>
        <v>2.1219512195121949E-2</v>
      </c>
      <c r="AV524" s="70">
        <f t="shared" si="319"/>
        <v>9.0388007054673718</v>
      </c>
      <c r="AW524" s="70">
        <f t="shared" si="320"/>
        <v>35.548948169957058</v>
      </c>
      <c r="AX524" s="70">
        <f t="shared" si="321"/>
        <v>7.0005691519635738</v>
      </c>
      <c r="AY524" s="70">
        <f>IFERROR(Driver!$K$19/Data!BH524/Data!BI524*Data!BK524*Data!BL524,"")</f>
        <v>0.13438050719676198</v>
      </c>
      <c r="AZ524" s="70">
        <f t="shared" si="322"/>
        <v>28.413998510796723</v>
      </c>
      <c r="BA524" s="70"/>
      <c r="BB524" s="70"/>
      <c r="BC524" s="70">
        <f t="shared" si="323"/>
        <v>53.64676090775103</v>
      </c>
      <c r="BD524" s="70">
        <f t="shared" si="324"/>
        <v>8.1290601142229093</v>
      </c>
      <c r="BE524" s="70">
        <f t="shared" si="325"/>
        <v>3.384325376073806E-2</v>
      </c>
      <c r="BF524" s="70">
        <f t="shared" si="326"/>
        <v>12.24344960934314</v>
      </c>
      <c r="BG524" s="70">
        <f t="shared" si="327"/>
        <v>8.0350609756097563E-2</v>
      </c>
      <c r="BH524" s="67">
        <f>MAX((CE524-Driver!$F$200)/(Driver!$G$200-Driver!$F$200)*$BI$1,1)</f>
        <v>7.0005691519635738</v>
      </c>
      <c r="BI524" s="67">
        <f>MAX($BI$1*(BY524-Driver!$F$201)/(Driver!$G$201-Driver!$F$201),1)</f>
        <v>6.7088607594936711</v>
      </c>
      <c r="BJ524" s="67">
        <f>(CB524-Driver!$F$206)/(Driver!$G$206-Driver!$F$206)*$BI$1</f>
        <v>6.5079365079365079</v>
      </c>
      <c r="BK524" s="67">
        <f>(CD524-Driver!$F$203)/(Driver!$G$203-Driver!$F$203)*$BI$1</f>
        <v>4.8165137614678901</v>
      </c>
      <c r="BL524" s="67">
        <f>MAX((CR524-Driver!$F$202)/(Driver!$G$202-Driver!$F$202)*$BI$1,1)</f>
        <v>6.5517241379310338</v>
      </c>
      <c r="BM524" s="67">
        <f>MAX((CH524-Driver!$F$204)/(Driver!$G$204-Driver!$F$204)*$BI$1,1)</f>
        <v>5.5555555555555554</v>
      </c>
      <c r="BN524" s="67">
        <f>(CI524-Driver!$F$205)/(Driver!$G$205-Driver!$F$205)*$BI$1</f>
        <v>4.2352941176470589</v>
      </c>
      <c r="BO524" s="67">
        <f>(CK524-Driver!$F$207)/(Driver!$G$207-Driver!$F$207)*$BI$1</f>
        <v>2.8024819027921404</v>
      </c>
      <c r="BP524" s="67">
        <f>(CM524-Driver!$F$208)/(Driver!$G$208-Driver!$F$208)*$BI$1</f>
        <v>3.2333333333333329</v>
      </c>
      <c r="BQ524" s="67">
        <f>(CL524-Driver!$F$209)/(Driver!$G$209-Driver!$F$209)*$BI$1</f>
        <v>3.125</v>
      </c>
      <c r="BR524" s="28" t="s">
        <v>155</v>
      </c>
      <c r="BS524" s="8" t="s">
        <v>174</v>
      </c>
      <c r="BT524" s="9" t="s">
        <v>438</v>
      </c>
      <c r="BU524" s="10">
        <v>181</v>
      </c>
      <c r="BV524" s="9" t="s">
        <v>158</v>
      </c>
      <c r="BW524" s="10">
        <v>181</v>
      </c>
      <c r="BX524" s="10">
        <v>180.9</v>
      </c>
      <c r="BY524" s="10">
        <v>114</v>
      </c>
      <c r="BZ524" s="10">
        <v>151</v>
      </c>
      <c r="CA524" s="10">
        <v>138</v>
      </c>
      <c r="CB524" s="10">
        <v>105</v>
      </c>
      <c r="CC524" s="10">
        <v>124</v>
      </c>
      <c r="CD524" s="10">
        <v>19.899999999999999</v>
      </c>
      <c r="CE524" s="10">
        <v>2130</v>
      </c>
      <c r="CF524" s="10">
        <v>0.98</v>
      </c>
      <c r="CG524" s="10">
        <v>2088</v>
      </c>
      <c r="CH524" s="10">
        <v>231</v>
      </c>
      <c r="CI524" s="10">
        <v>105</v>
      </c>
      <c r="CJ524" s="10">
        <v>56</v>
      </c>
      <c r="CK524" s="10">
        <v>381</v>
      </c>
      <c r="CL524" s="10">
        <v>20</v>
      </c>
      <c r="CM524" s="10">
        <v>291</v>
      </c>
      <c r="CN524" s="10">
        <v>0.34799999999999998</v>
      </c>
      <c r="CO524" s="10">
        <v>179</v>
      </c>
      <c r="CP524" s="10">
        <v>115</v>
      </c>
      <c r="CQ524" s="10">
        <v>201</v>
      </c>
      <c r="CR524" s="10">
        <v>8</v>
      </c>
      <c r="CS524" s="10">
        <v>8</v>
      </c>
      <c r="CT524" s="9" t="s">
        <v>188</v>
      </c>
      <c r="CU524" s="9" t="s">
        <v>178</v>
      </c>
      <c r="CV524" s="10"/>
      <c r="CW524" s="10"/>
      <c r="CX524" t="str">
        <f>INDEX('Data_Price '!AG$2:AG$1266,MATCH(Data!$DN524,'Data_Price '!$AT$2:$AT$1266,0))</f>
        <v>Salomon QST Stella 106 Skis 2020-2021 | PINK / BLACK / 181</v>
      </c>
      <c r="CY524" t="str">
        <f>INDEX('Data_Price '!AH$2:AH$1266,MATCH(Data!$DN524,'Data_Price '!$AT$2:$AT$1266,0))</f>
        <v>Ski Pro  - Snow Ski &amp; Snowboard</v>
      </c>
      <c r="CZ524">
        <f>INDEX('Data_Price '!AI$2:AI$1266,MATCH(Data!$DN524,'Data_Price '!$AT$2:$AT$1266,0))</f>
        <v>429.95</v>
      </c>
      <c r="DA524" t="str">
        <f>INDEX('Data_Price '!AJ$2:AJ$1266,MATCH(Data!$DN524,'Data_Price '!$AT$2:$AT$1266,0))</f>
        <v>https://tinyurl.com/ycwfmbvj</v>
      </c>
      <c r="DB524" t="str">
        <f>INDEX('Data_Price '!AK$2:AK$1266,MATCH(Data!$DN524,'Data_Price '!$AT$2:$AT$1266,0))</f>
        <v>Salomon Qst 106 181cm</v>
      </c>
      <c r="DC524" t="str">
        <f>INDEX('Data_Price '!AL$2:AL$1266,MATCH(Data!$DN524,'Data_Price '!$AT$2:$AT$1266,0))</f>
        <v>eBay</v>
      </c>
      <c r="DD524">
        <f>INDEX('Data_Price '!AM$2:AM$1266,MATCH(Data!$DN524,'Data_Price '!$AT$2:$AT$1266,0))</f>
        <v>495</v>
      </c>
      <c r="DE524" t="str">
        <f>INDEX('Data_Price '!AN$2:AN$1266,MATCH(Data!$DN524,'Data_Price '!$AT$2:$AT$1266,0))</f>
        <v>https://tinyurl.com/y8tx7h5c</v>
      </c>
      <c r="DF524" t="str">
        <f>INDEX('Data_Price '!AO$2:AO$1266,MATCH(Data!$DN524,'Data_Price '!$AT$2:$AT$1266,0))</f>
        <v>Salomon QST 106</v>
      </c>
      <c r="DG524" t="str">
        <f>INDEX('Data_Price '!AP$2:AP$1266,MATCH(Data!$DN524,'Data_Price '!$AT$2:$AT$1266,0))</f>
        <v>The-House.com</v>
      </c>
      <c r="DH524">
        <f>INDEX('Data_Price '!AQ$2:AQ$1266,MATCH(Data!$DN524,'Data_Price '!$AT$2:$AT$1266,0))</f>
        <v>537.95000000000005</v>
      </c>
      <c r="DI524" t="str">
        <f>INDEX('Data_Price '!AR$2:AR$1266,MATCH(Data!$DN524,'Data_Price '!$AT$2:$AT$1266,0))</f>
        <v>https://tinyurl.com/y8gzvrwa</v>
      </c>
      <c r="DJ524" s="89" t="str">
        <f t="shared" si="328"/>
        <v>https://tinyurl.com/ycwfmbvj</v>
      </c>
      <c r="DK524" s="89" t="str">
        <f t="shared" si="329"/>
        <v>https://tinyurl.com/y8tx7h5c</v>
      </c>
      <c r="DL524" s="89" t="str">
        <f t="shared" si="330"/>
        <v>https://tinyurl.com/y8gzvrwa</v>
      </c>
      <c r="DM524" s="219" t="str">
        <f t="shared" si="331"/>
        <v>QST 106</v>
      </c>
      <c r="DN524" s="89" t="str">
        <f t="shared" si="332"/>
        <v xml:space="preserve"> SalomonQST 106181 Unisex</v>
      </c>
      <c r="DO524" s="221" t="s">
        <v>439</v>
      </c>
    </row>
    <row r="525" spans="2:119" ht="15.6" customHeight="1">
      <c r="B525" s="219" t="b">
        <f t="array" ref="B525">IF(OR(ISERROR(K525:P525)),FALSE,TRUE)</f>
        <v>1</v>
      </c>
      <c r="C525" s="43" t="b">
        <f>OR(BR525=Driver!$G$50,Data!BR1196=Driver!$H$50)</f>
        <v>1</v>
      </c>
      <c r="D525" s="43" t="b">
        <f>OR(BV525=Driver!$G$51,BV525=Driver!$H$51)</f>
        <v>0</v>
      </c>
      <c r="E525" s="43" t="b">
        <f>AND(BX525&gt;Driver!$F$54,BX525&lt;Driver!$G$54)</f>
        <v>0</v>
      </c>
      <c r="F525" s="43" t="b">
        <f>CL525&gt;Driver!$F$56</f>
        <v>1</v>
      </c>
      <c r="G525" s="43" t="b">
        <f>AND(CB525&gt;Driver!$F$55,CB525&lt;Driver!$G$55)</f>
        <v>0</v>
      </c>
      <c r="H525" s="43" t="b">
        <f t="shared" si="296"/>
        <v>0</v>
      </c>
      <c r="I525" s="43">
        <f t="shared" si="297"/>
        <v>0</v>
      </c>
      <c r="J525" s="43" t="b">
        <f t="array" ref="J525">NOT(OR(($H$9:$H$1273=TRUE)*($I$9:$I$1273&gt;0)*($BT$9:$BT$1273=BT525)*($K$9:$K$1273&gt;K525)))</f>
        <v>1</v>
      </c>
      <c r="K525" s="72">
        <f t="shared" si="298"/>
        <v>0.77591918637326329</v>
      </c>
      <c r="L525" s="72">
        <f t="shared" si="299"/>
        <v>0.79315791728244345</v>
      </c>
      <c r="M525" s="72">
        <f t="shared" si="300"/>
        <v>0.75868045546408336</v>
      </c>
      <c r="N525" s="72">
        <f t="shared" si="301"/>
        <v>0.78783207535539979</v>
      </c>
      <c r="O525" s="72">
        <f t="shared" si="302"/>
        <v>0.5659581120842565</v>
      </c>
      <c r="P525" s="72">
        <f t="shared" si="303"/>
        <v>0.92225117895259368</v>
      </c>
      <c r="Q525" s="72"/>
      <c r="R525" s="72"/>
      <c r="S525" s="72">
        <f t="shared" si="304"/>
        <v>0.39457450541145989</v>
      </c>
      <c r="T525" s="72">
        <f t="shared" si="305"/>
        <v>0.55000000000000004</v>
      </c>
      <c r="U525" s="72">
        <f t="shared" si="306"/>
        <v>0.51</v>
      </c>
      <c r="V525" s="72">
        <f t="shared" si="307"/>
        <v>0.49615711901523474</v>
      </c>
      <c r="W525" s="72">
        <f t="shared" si="308"/>
        <v>0.7654564504373178</v>
      </c>
      <c r="X525" s="72">
        <f t="shared" si="309"/>
        <v>0.20684208271755661</v>
      </c>
      <c r="Y525" s="72">
        <f t="shared" si="310"/>
        <v>0.24131954453591667</v>
      </c>
      <c r="Z525" s="72">
        <f t="shared" si="311"/>
        <v>0.21216792464460021</v>
      </c>
      <c r="AA525" s="72">
        <f t="shared" si="312"/>
        <v>0.43404188791574355</v>
      </c>
      <c r="AB525" s="72">
        <f t="shared" si="313"/>
        <v>7.7748821047406325E-2</v>
      </c>
      <c r="AC525" s="72"/>
      <c r="AD525" s="72"/>
      <c r="AE525" s="72">
        <f t="shared" si="314"/>
        <v>0.60542549458854011</v>
      </c>
      <c r="AF525" s="72">
        <f t="shared" si="315"/>
        <v>0.44999999999999996</v>
      </c>
      <c r="AG525" s="72">
        <f t="shared" si="316"/>
        <v>0.49</v>
      </c>
      <c r="AH525" s="72">
        <f t="shared" si="317"/>
        <v>0.50384288098476526</v>
      </c>
      <c r="AI525" s="72">
        <f t="shared" si="318"/>
        <v>0.23454354956268222</v>
      </c>
      <c r="AJ525" s="72">
        <f>(AV525-Driver!$K$179)/(Driver!$L$179-Driver!$K$179)</f>
        <v>4.7377326565143825E-2</v>
      </c>
      <c r="AK525" s="72">
        <f>(AW525-Driver!$K$180)/(Driver!$L$180-Driver!$K$180)</f>
        <v>0.1852324125942155</v>
      </c>
      <c r="AL525" s="72">
        <f>(AX525-Driver!$K$181)/(Driver!$L$181-Driver!$K$181)</f>
        <v>0.31385568835768041</v>
      </c>
      <c r="AM525" s="72">
        <f>(AY525-Driver!$K$182)/(Driver!$L$182-Driver!$K$182)</f>
        <v>1.334313318130282E-2</v>
      </c>
      <c r="AN525" s="72">
        <f>(AZ525-Driver!$K$183)/(Driver!$L$183-Driver!$K$183)</f>
        <v>0.1764705882352941</v>
      </c>
      <c r="AO525" s="72"/>
      <c r="AP525" s="72"/>
      <c r="AQ525" s="72">
        <f>(BC525-Driver!$K$188)/(Driver!$L$188-Driver!$K$188)</f>
        <v>1.4574505411459878E-2</v>
      </c>
      <c r="AR525" s="72">
        <f>MIN((BD525-Driver!$K$189)/(Driver!$L$189-Driver!$K$189),100%)</f>
        <v>1</v>
      </c>
      <c r="AS525" s="72">
        <f>(BE525-Driver!$K$190)/(Driver!$L$190-Driver!$K$190)</f>
        <v>1</v>
      </c>
      <c r="AT525" s="72">
        <f>(BF525-Driver!$K$191)/(Driver!$L$191-Driver!$K$191)</f>
        <v>6.1571190152347995E-3</v>
      </c>
      <c r="AU525" s="72">
        <f>(BG525-Driver!$K$192)/(Driver!$L$192-Driver!$K$192)</f>
        <v>1.5456450437317779E-2</v>
      </c>
      <c r="AV525" s="70">
        <f t="shared" si="319"/>
        <v>0.9971509971509972</v>
      </c>
      <c r="AW525" s="70">
        <f t="shared" si="320"/>
        <v>19.924432554909572</v>
      </c>
      <c r="AX525" s="70">
        <f t="shared" si="321"/>
        <v>3.8247011952191237</v>
      </c>
      <c r="AY525" s="70">
        <f>IFERROR(Driver!$K$19/Data!BH525/Data!BI525*Data!BK525*Data!BL525,"")</f>
        <v>1.6335976220605293E-2</v>
      </c>
      <c r="AZ525" s="70">
        <f t="shared" si="322"/>
        <v>16.083395383469842</v>
      </c>
      <c r="BA525" s="70"/>
      <c r="BB525" s="70"/>
      <c r="BC525" s="70">
        <f t="shared" si="323"/>
        <v>7.5598972772420812</v>
      </c>
      <c r="BD525" s="70">
        <f t="shared" si="324"/>
        <v>189.64735223561985</v>
      </c>
      <c r="BE525" s="70">
        <f t="shared" si="325"/>
        <v>1</v>
      </c>
      <c r="BF525" s="70">
        <f t="shared" si="326"/>
        <v>0.69540333656155773</v>
      </c>
      <c r="BG525" s="70">
        <f t="shared" si="327"/>
        <v>5.8527981505102029E-2</v>
      </c>
      <c r="BH525" s="67">
        <f>MAX((CE525-Driver!$F$200)/(Driver!$G$200-Driver!$F$200)*$BI$1,1)</f>
        <v>3.8247011952191237</v>
      </c>
      <c r="BI525" s="67">
        <f>MAX($BI$1*(BY525-Driver!$F$201)/(Driver!$G$201-Driver!$F$201),1)</f>
        <v>7.5949367088607591</v>
      </c>
      <c r="BJ525" s="67">
        <f>(CB525-Driver!$F$206)/(Driver!$G$206-Driver!$F$206)*$BI$1</f>
        <v>0.95238095238095233</v>
      </c>
      <c r="BK525" s="67">
        <f>(CD525-Driver!$F$203)/(Driver!$G$203-Driver!$F$203)*$BI$1</f>
        <v>0.45871559633027525</v>
      </c>
      <c r="BL525" s="67">
        <f>MAX((CR525-Driver!$F$202)/(Driver!$G$202-Driver!$F$202)*$BI$1,1)</f>
        <v>5.1724137931034484</v>
      </c>
      <c r="BM525" s="67">
        <f>MAX((CH525-Driver!$F$204)/(Driver!$G$204-Driver!$F$204)*$BI$1,1)</f>
        <v>4.1880341880341883</v>
      </c>
      <c r="BN525" s="67">
        <f>(CI525-Driver!$F$205)/(Driver!$G$205-Driver!$F$205)*$BI$1</f>
        <v>2.1176470588235294</v>
      </c>
      <c r="BO525" s="67">
        <f>(CK525-Driver!$F$207)/(Driver!$G$207-Driver!$F$207)*$BI$1</f>
        <v>0.54808686659772488</v>
      </c>
      <c r="BP525" s="67">
        <f>(CM525-Driver!$F$208)/(Driver!$G$208-Driver!$F$208)*$BI$1</f>
        <v>0.61111111111111105</v>
      </c>
      <c r="BQ525" s="67">
        <f>(CL525-Driver!$F$209)/(Driver!$G$209-Driver!$F$209)*$BI$1</f>
        <v>0.9375</v>
      </c>
      <c r="BR525" s="28" t="s">
        <v>155</v>
      </c>
      <c r="BS525" s="8" t="s">
        <v>229</v>
      </c>
      <c r="BT525" s="9" t="s">
        <v>651</v>
      </c>
      <c r="BU525" s="10">
        <v>150</v>
      </c>
      <c r="BV525" s="9" t="s">
        <v>163</v>
      </c>
      <c r="BW525" s="10">
        <v>150</v>
      </c>
      <c r="BX525" s="10">
        <v>149.30000000000001</v>
      </c>
      <c r="BY525" s="10">
        <v>128</v>
      </c>
      <c r="BZ525" s="10">
        <v>135</v>
      </c>
      <c r="CA525" s="10">
        <v>122</v>
      </c>
      <c r="CB525" s="10">
        <v>70</v>
      </c>
      <c r="CC525" s="10">
        <v>103</v>
      </c>
      <c r="CD525" s="10">
        <v>10.4</v>
      </c>
      <c r="CE525" s="10">
        <v>1572</v>
      </c>
      <c r="CF525" s="10">
        <v>0.82</v>
      </c>
      <c r="CG525" s="10">
        <v>1282</v>
      </c>
      <c r="CH525" s="10">
        <v>199</v>
      </c>
      <c r="CI525" s="10">
        <v>69</v>
      </c>
      <c r="CJ525" s="10">
        <v>41</v>
      </c>
      <c r="CK525" s="10">
        <v>163</v>
      </c>
      <c r="CL525" s="10">
        <v>6</v>
      </c>
      <c r="CM525" s="10">
        <v>55</v>
      </c>
      <c r="CN525" s="10">
        <v>0.14599999999999999</v>
      </c>
      <c r="CO525" s="10">
        <v>70</v>
      </c>
      <c r="CP525" s="10">
        <v>75</v>
      </c>
      <c r="CQ525" s="10">
        <v>93</v>
      </c>
      <c r="CR525" s="10">
        <v>4</v>
      </c>
      <c r="CS525" s="10">
        <v>12.4</v>
      </c>
      <c r="CT525" s="9" t="s">
        <v>349</v>
      </c>
      <c r="CU525" s="10"/>
      <c r="CV525" s="10"/>
      <c r="CW525" s="10"/>
      <c r="CX525" t="e">
        <f>INDEX('Data_Price '!AG$2:AG$1266,MATCH(Data!$DN525,'Data_Price '!$AT$2:$AT$1266,0))</f>
        <v>#N/A</v>
      </c>
      <c r="CY525" t="e">
        <f>INDEX('Data_Price '!AH$2:AH$1266,MATCH(Data!$DN525,'Data_Price '!$AT$2:$AT$1266,0))</f>
        <v>#N/A</v>
      </c>
      <c r="CZ525" t="e">
        <f>INDEX('Data_Price '!AI$2:AI$1266,MATCH(Data!$DN525,'Data_Price '!$AT$2:$AT$1266,0))</f>
        <v>#N/A</v>
      </c>
      <c r="DA525" t="e">
        <f>INDEX('Data_Price '!AJ$2:AJ$1266,MATCH(Data!$DN525,'Data_Price '!$AT$2:$AT$1266,0))</f>
        <v>#N/A</v>
      </c>
      <c r="DB525" t="e">
        <f>INDEX('Data_Price '!AK$2:AK$1266,MATCH(Data!$DN525,'Data_Price '!$AT$2:$AT$1266,0))</f>
        <v>#N/A</v>
      </c>
      <c r="DC525" t="e">
        <f>INDEX('Data_Price '!AL$2:AL$1266,MATCH(Data!$DN525,'Data_Price '!$AT$2:$AT$1266,0))</f>
        <v>#N/A</v>
      </c>
      <c r="DD525" t="e">
        <f>INDEX('Data_Price '!AM$2:AM$1266,MATCH(Data!$DN525,'Data_Price '!$AT$2:$AT$1266,0))</f>
        <v>#N/A</v>
      </c>
      <c r="DE525" t="e">
        <f>INDEX('Data_Price '!AN$2:AN$1266,MATCH(Data!$DN525,'Data_Price '!$AT$2:$AT$1266,0))</f>
        <v>#N/A</v>
      </c>
      <c r="DF525" t="e">
        <f>INDEX('Data_Price '!AO$2:AO$1266,MATCH(Data!$DN525,'Data_Price '!$AT$2:$AT$1266,0))</f>
        <v>#N/A</v>
      </c>
      <c r="DG525" t="e">
        <f>INDEX('Data_Price '!AP$2:AP$1266,MATCH(Data!$DN525,'Data_Price '!$AT$2:$AT$1266,0))</f>
        <v>#N/A</v>
      </c>
      <c r="DH525" t="e">
        <f>INDEX('Data_Price '!AQ$2:AQ$1266,MATCH(Data!$DN525,'Data_Price '!$AT$2:$AT$1266,0))</f>
        <v>#N/A</v>
      </c>
      <c r="DI525" t="e">
        <f>INDEX('Data_Price '!AR$2:AR$1266,MATCH(Data!$DN525,'Data_Price '!$AT$2:$AT$1266,0))</f>
        <v>#N/A</v>
      </c>
      <c r="DJ525" s="89" t="e">
        <f t="shared" si="328"/>
        <v>#N/A</v>
      </c>
      <c r="DK525" s="89" t="e">
        <f t="shared" si="329"/>
        <v>#N/A</v>
      </c>
      <c r="DL525" s="89" t="e">
        <f t="shared" si="330"/>
        <v>#N/A</v>
      </c>
      <c r="DM525" s="219" t="str">
        <f t="shared" si="331"/>
        <v>Flair SC Carbon</v>
      </c>
      <c r="DN525" s="89" t="str">
        <f t="shared" si="332"/>
        <v xml:space="preserve"> VölklFlair SC Carbon150 Women's</v>
      </c>
      <c r="DO525" s="221"/>
    </row>
    <row r="526" spans="2:119" ht="15.6" customHeight="1">
      <c r="B526" s="219" t="b">
        <f t="array" ref="B526">IF(OR(ISERROR(K526:P526)),FALSE,TRUE)</f>
        <v>1</v>
      </c>
      <c r="C526" s="43" t="b">
        <f>OR(BR526=Driver!$G$50,Data!BR988=Driver!$H$50)</f>
        <v>1</v>
      </c>
      <c r="D526" s="43" t="b">
        <f>OR(BV526=Driver!$G$51,BV526=Driver!$H$51)</f>
        <v>1</v>
      </c>
      <c r="E526" s="43" t="b">
        <f>AND(BX526&gt;Driver!$F$54,BX526&lt;Driver!$G$54)</f>
        <v>0</v>
      </c>
      <c r="F526" s="43" t="b">
        <f>CL526&gt;Driver!$F$56</f>
        <v>1</v>
      </c>
      <c r="G526" s="43" t="b">
        <f>AND(CB526&gt;Driver!$F$55,CB526&lt;Driver!$G$55)</f>
        <v>1</v>
      </c>
      <c r="H526" s="43" t="b">
        <f t="shared" si="296"/>
        <v>0</v>
      </c>
      <c r="I526" s="43">
        <f t="shared" si="297"/>
        <v>0</v>
      </c>
      <c r="J526" s="43" t="b">
        <f t="array" ref="J526">NOT(OR(($H$9:$H$1273=TRUE)*($I$9:$I$1273&gt;0)*($BT$9:$BT$1273=BT526)*($K$9:$K$1273&gt;K526)))</f>
        <v>1</v>
      </c>
      <c r="K526" s="72">
        <f t="shared" si="298"/>
        <v>0.76419805042199462</v>
      </c>
      <c r="L526" s="72">
        <f t="shared" si="299"/>
        <v>0.85828032298828427</v>
      </c>
      <c r="M526" s="72">
        <f t="shared" si="300"/>
        <v>0.67011577785570497</v>
      </c>
      <c r="N526" s="72">
        <f t="shared" si="301"/>
        <v>0.483019579307844</v>
      </c>
      <c r="O526" s="72">
        <f t="shared" si="302"/>
        <v>0.62866390053212595</v>
      </c>
      <c r="P526" s="72">
        <f t="shared" si="303"/>
        <v>0.89866385372714486</v>
      </c>
      <c r="Q526" s="72"/>
      <c r="R526" s="72"/>
      <c r="S526" s="72">
        <f t="shared" si="304"/>
        <v>0.48020549452182104</v>
      </c>
      <c r="T526" s="72">
        <f t="shared" si="305"/>
        <v>0.53095716553777783</v>
      </c>
      <c r="U526" s="72">
        <f t="shared" si="306"/>
        <v>0.77315494047193667</v>
      </c>
      <c r="V526" s="72">
        <f t="shared" si="307"/>
        <v>0.52827195549470962</v>
      </c>
      <c r="W526" s="72">
        <f t="shared" si="308"/>
        <v>0.76166749195345385</v>
      </c>
      <c r="X526" s="72">
        <f t="shared" si="309"/>
        <v>0.14171967701171573</v>
      </c>
      <c r="Y526" s="72">
        <f t="shared" si="310"/>
        <v>0.32988422214429508</v>
      </c>
      <c r="Z526" s="72">
        <f t="shared" si="311"/>
        <v>0.516980420692156</v>
      </c>
      <c r="AA526" s="72">
        <f t="shared" si="312"/>
        <v>0.37133609946787399</v>
      </c>
      <c r="AB526" s="72">
        <f t="shared" si="313"/>
        <v>0.10133614627285514</v>
      </c>
      <c r="AC526" s="72"/>
      <c r="AD526" s="72"/>
      <c r="AE526" s="72">
        <f t="shared" si="314"/>
        <v>0.51979450547817896</v>
      </c>
      <c r="AF526" s="72">
        <f t="shared" si="315"/>
        <v>0.46904283446222217</v>
      </c>
      <c r="AG526" s="72">
        <f t="shared" si="316"/>
        <v>0.22684505952806339</v>
      </c>
      <c r="AH526" s="72">
        <f t="shared" si="317"/>
        <v>0.47172804450529038</v>
      </c>
      <c r="AI526" s="72">
        <f t="shared" si="318"/>
        <v>0.23833250804654618</v>
      </c>
      <c r="AJ526" s="72">
        <f>(AV526-Driver!$K$179)/(Driver!$L$179-Driver!$K$179)</f>
        <v>0.39593908629441615</v>
      </c>
      <c r="AK526" s="72">
        <f>(AW526-Driver!$K$180)/(Driver!$L$180-Driver!$K$180)</f>
        <v>0.38164093604416538</v>
      </c>
      <c r="AL526" s="72">
        <f>(AX526-Driver!$K$181)/(Driver!$L$181-Driver!$K$181)</f>
        <v>0.61866818440523619</v>
      </c>
      <c r="AM526" s="72">
        <f>(AY526-Driver!$K$182)/(Driver!$L$182-Driver!$K$182)</f>
        <v>7.6048921629172386E-2</v>
      </c>
      <c r="AN526" s="72">
        <f>(AZ526-Driver!$K$183)/(Driver!$L$183-Driver!$K$183)</f>
        <v>0.35555555555555557</v>
      </c>
      <c r="AO526" s="72"/>
      <c r="AP526" s="72"/>
      <c r="AQ526" s="72">
        <f>(BC526-Driver!$K$188)/(Driver!$L$188-Driver!$K$188)</f>
        <v>0.10020549452182104</v>
      </c>
      <c r="AR526" s="72">
        <f>MIN((BD526-Driver!$K$189)/(Driver!$L$189-Driver!$K$189),100%)</f>
        <v>8.0957165537777903E-2</v>
      </c>
      <c r="AS526" s="72">
        <f>(BE526-Driver!$K$190)/(Driver!$L$190-Driver!$K$190)</f>
        <v>0.28315494047193662</v>
      </c>
      <c r="AT526" s="72">
        <f>(BF526-Driver!$K$191)/(Driver!$L$191-Driver!$K$191)</f>
        <v>3.8271955494709617E-2</v>
      </c>
      <c r="AU526" s="72">
        <f>(BG526-Driver!$K$192)/(Driver!$L$192-Driver!$K$192)</f>
        <v>1.1667491953453825E-2</v>
      </c>
      <c r="AV526" s="70">
        <f t="shared" si="319"/>
        <v>8.3333333333333321</v>
      </c>
      <c r="AW526" s="70">
        <f t="shared" si="320"/>
        <v>39.066183521668663</v>
      </c>
      <c r="AX526" s="70">
        <f t="shared" si="321"/>
        <v>6.5680136596471259</v>
      </c>
      <c r="AY526" s="70">
        <f>IFERROR(Driver!$K$19/Data!BH526/Data!BI526*Data!BK526*Data!BL526,"")</f>
        <v>9.3106570882292169E-2</v>
      </c>
      <c r="AZ526" s="70">
        <f t="shared" si="322"/>
        <v>32.405063291139243</v>
      </c>
      <c r="BA526" s="70"/>
      <c r="BB526" s="70"/>
      <c r="BC526" s="70">
        <f t="shared" si="323"/>
        <v>51.977286625764862</v>
      </c>
      <c r="BD526" s="70">
        <f t="shared" si="324"/>
        <v>8.8853885865819802</v>
      </c>
      <c r="BE526" s="70">
        <f t="shared" si="325"/>
        <v>0.28328281756212159</v>
      </c>
      <c r="BF526" s="70">
        <f t="shared" si="326"/>
        <v>4.3225484974227966</v>
      </c>
      <c r="BG526" s="70">
        <f t="shared" si="327"/>
        <v>4.4180567590987874E-2</v>
      </c>
      <c r="BH526" s="67">
        <f>MAX((CE526-Driver!$F$200)/(Driver!$G$200-Driver!$F$200)*$BI$1,1)</f>
        <v>6.5680136596471259</v>
      </c>
      <c r="BI526" s="67">
        <f>MAX($BI$1*(BY526-Driver!$F$201)/(Driver!$G$201-Driver!$F$201),1)</f>
        <v>8.1012658227848107</v>
      </c>
      <c r="BJ526" s="67">
        <f>(CB526-Driver!$F$206)/(Driver!$G$206-Driver!$F$206)*$BI$1</f>
        <v>6.1904761904761907</v>
      </c>
      <c r="BK526" s="67">
        <f>(CD526-Driver!$F$203)/(Driver!$G$203-Driver!$F$203)*$BI$1</f>
        <v>3.9908256880733957</v>
      </c>
      <c r="BL526" s="67">
        <f>MAX((CR526-Driver!$F$202)/(Driver!$G$202-Driver!$F$202)*$BI$1,1)</f>
        <v>6.2068965517241379</v>
      </c>
      <c r="BM526" s="67">
        <f>MAX((CH526-Driver!$F$204)/(Driver!$G$204-Driver!$F$204)*$BI$1,1)</f>
        <v>5.3846153846153841</v>
      </c>
      <c r="BN526" s="67">
        <f>(CI526-Driver!$F$205)/(Driver!$G$205-Driver!$F$205)*$BI$1</f>
        <v>4</v>
      </c>
      <c r="BO526" s="67">
        <f>(CK526-Driver!$F$207)/(Driver!$G$207-Driver!$F$207)*$BI$1</f>
        <v>1.9441571871768357</v>
      </c>
      <c r="BP526" s="67">
        <f>(CM526-Driver!$F$208)/(Driver!$G$208-Driver!$F$208)*$BI$1</f>
        <v>1.4333333333333333</v>
      </c>
      <c r="BQ526" s="67">
        <f>(CL526-Driver!$F$209)/(Driver!$G$209-Driver!$F$209)*$BI$1</f>
        <v>1.5625</v>
      </c>
      <c r="BR526" s="28" t="s">
        <v>155</v>
      </c>
      <c r="BS526" s="8" t="s">
        <v>172</v>
      </c>
      <c r="BT526" s="9" t="s">
        <v>652</v>
      </c>
      <c r="BU526" s="10">
        <v>180</v>
      </c>
      <c r="BV526" s="9" t="s">
        <v>158</v>
      </c>
      <c r="BW526" s="10">
        <v>180</v>
      </c>
      <c r="BX526" s="10">
        <v>178.2</v>
      </c>
      <c r="BY526" s="10">
        <v>136</v>
      </c>
      <c r="BZ526" s="10">
        <v>153</v>
      </c>
      <c r="CA526" s="10">
        <v>137</v>
      </c>
      <c r="CB526" s="10">
        <v>103</v>
      </c>
      <c r="CC526" s="10">
        <v>127</v>
      </c>
      <c r="CD526" s="10">
        <v>18.100000000000001</v>
      </c>
      <c r="CE526" s="10">
        <v>2054</v>
      </c>
      <c r="CF526" s="10">
        <v>0.99</v>
      </c>
      <c r="CG526" s="10">
        <v>2039</v>
      </c>
      <c r="CH526" s="10">
        <v>227</v>
      </c>
      <c r="CI526" s="10">
        <v>101</v>
      </c>
      <c r="CJ526" s="10">
        <v>49</v>
      </c>
      <c r="CK526" s="10">
        <v>298</v>
      </c>
      <c r="CL526" s="10">
        <v>10</v>
      </c>
      <c r="CM526" s="10">
        <v>129</v>
      </c>
      <c r="CN526" s="10">
        <v>0.20699999999999999</v>
      </c>
      <c r="CO526" s="10">
        <v>144</v>
      </c>
      <c r="CP526" s="10">
        <v>110</v>
      </c>
      <c r="CQ526" s="10">
        <v>154</v>
      </c>
      <c r="CR526" s="10">
        <v>7</v>
      </c>
      <c r="CS526" s="10">
        <v>7.1</v>
      </c>
      <c r="CT526" s="9" t="s">
        <v>188</v>
      </c>
      <c r="CU526" s="9" t="s">
        <v>178</v>
      </c>
      <c r="CV526" s="10"/>
      <c r="CW526" s="10"/>
      <c r="CX526" t="str">
        <f>INDEX('Data_Price '!AG$2:AG$1266,MATCH(Data!$DN526,'Data_Price '!$AT$2:$AT$1266,0))</f>
        <v>Rossignol Blackops Sender Ti Skis 180 cm</v>
      </c>
      <c r="CY526" t="str">
        <f>INDEX('Data_Price '!AH$2:AH$1266,MATCH(Data!$DN526,'Data_Price '!$AT$2:$AT$1266,0))</f>
        <v>The-House.com</v>
      </c>
      <c r="CZ526">
        <f>INDEX('Data_Price '!AI$2:AI$1266,MATCH(Data!$DN526,'Data_Price '!$AT$2:$AT$1266,0))</f>
        <v>436.95</v>
      </c>
      <c r="DA526" t="str">
        <f>INDEX('Data_Price '!AJ$2:AJ$1266,MATCH(Data!$DN526,'Data_Price '!$AT$2:$AT$1266,0))</f>
        <v>https://tinyurl.com/ydcspeqo</v>
      </c>
      <c r="DB526" t="str">
        <f>INDEX('Data_Price '!AK$2:AK$1266,MATCH(Data!$DN526,'Data_Price '!$AT$2:$AT$1266,0))</f>
        <v>Rossignol Blackops Sender TI 180cm</v>
      </c>
      <c r="DC526" t="str">
        <f>INDEX('Data_Price '!AL$2:AL$1266,MATCH(Data!$DN526,'Data_Price '!$AT$2:$AT$1266,0))</f>
        <v>Sundance Ski and Board Shop</v>
      </c>
      <c r="DD526">
        <f>INDEX('Data_Price '!AM$2:AM$1266,MATCH(Data!$DN526,'Data_Price '!$AT$2:$AT$1266,0))</f>
        <v>545.16</v>
      </c>
      <c r="DE526" t="str">
        <f>INDEX('Data_Price '!AN$2:AN$1266,MATCH(Data!$DN526,'Data_Price '!$AT$2:$AT$1266,0))</f>
        <v>https://tinyurl.com/y7thjzvl</v>
      </c>
      <c r="DF526" t="str">
        <f>INDEX('Data_Price '!AO$2:AO$1266,MATCH(Data!$DN526,'Data_Price '!$AT$2:$AT$1266,0))</f>
        <v>Rossignol Blackops Sender TI Skis 2022</v>
      </c>
      <c r="DG526" t="str">
        <f>INDEX('Data_Price '!AP$2:AP$1266,MATCH(Data!$DN526,'Data_Price '!$AT$2:$AT$1266,0))</f>
        <v>Saint Bernard</v>
      </c>
      <c r="DH526">
        <f>INDEX('Data_Price '!AQ$2:AQ$1266,MATCH(Data!$DN526,'Data_Price '!$AT$2:$AT$1266,0))</f>
        <v>631.9</v>
      </c>
      <c r="DI526" t="str">
        <f>INDEX('Data_Price '!AR$2:AR$1266,MATCH(Data!$DN526,'Data_Price '!$AT$2:$AT$1266,0))</f>
        <v>https://tinyurl.com/ych4uep8</v>
      </c>
      <c r="DJ526" s="89" t="str">
        <f t="shared" si="328"/>
        <v>https://tinyurl.com/ydcspeqo</v>
      </c>
      <c r="DK526" s="89" t="str">
        <f t="shared" si="329"/>
        <v>https://tinyurl.com/y7thjzvl</v>
      </c>
      <c r="DL526" s="89" t="str">
        <f t="shared" si="330"/>
        <v>https://tinyurl.com/ych4uep8</v>
      </c>
      <c r="DM526" s="219" t="str">
        <f t="shared" si="331"/>
        <v>Blackops Sender Ti</v>
      </c>
      <c r="DN526" s="89" t="str">
        <f t="shared" si="332"/>
        <v xml:space="preserve"> RossignolBlackops Sender Ti180 Unisex</v>
      </c>
      <c r="DO526" s="221"/>
    </row>
    <row r="527" spans="2:119" ht="15.6" customHeight="1">
      <c r="B527" s="219" t="b">
        <f t="array" ref="B527">IF(OR(ISERROR(K527:P527)),FALSE,TRUE)</f>
        <v>1</v>
      </c>
      <c r="C527" s="43" t="b">
        <f>OR(BR527=Driver!$G$50,Data!BR1031=Driver!$H$50)</f>
        <v>1</v>
      </c>
      <c r="D527" s="43" t="b">
        <f>OR(BV527=Driver!$G$51,BV527=Driver!$H$51)</f>
        <v>1</v>
      </c>
      <c r="E527" s="43" t="b">
        <f>AND(BX527&gt;Driver!$F$54,BX527&lt;Driver!$G$54)</f>
        <v>1</v>
      </c>
      <c r="F527" s="43" t="b">
        <f>CL527&gt;Driver!$F$56</f>
        <v>1</v>
      </c>
      <c r="G527" s="43" t="b">
        <f>AND(CB527&gt;Driver!$F$55,CB527&lt;Driver!$G$55)</f>
        <v>0</v>
      </c>
      <c r="H527" s="43" t="b">
        <f t="shared" si="296"/>
        <v>0</v>
      </c>
      <c r="I527" s="43">
        <f t="shared" si="297"/>
        <v>0</v>
      </c>
      <c r="J527" s="43" t="b">
        <f t="array" ref="J527">NOT(OR(($H$9:$H$1273=TRUE)*($I$9:$I$1273&gt;0)*($BT$9:$BT$1273=BT527)*($K$9:$K$1273&gt;K527)))</f>
        <v>1</v>
      </c>
      <c r="K527" s="72">
        <f t="shared" si="298"/>
        <v>0.75820478923962309</v>
      </c>
      <c r="L527" s="72">
        <f t="shared" si="299"/>
        <v>0.82893263326020505</v>
      </c>
      <c r="M527" s="72">
        <f t="shared" si="300"/>
        <v>0.68747694521904124</v>
      </c>
      <c r="N527" s="72">
        <f t="shared" si="301"/>
        <v>0.53677282031208096</v>
      </c>
      <c r="O527" s="72">
        <f t="shared" si="302"/>
        <v>0.58418370410155807</v>
      </c>
      <c r="P527" s="72">
        <f t="shared" si="303"/>
        <v>0.94147431124348469</v>
      </c>
      <c r="Q527" s="72"/>
      <c r="R527" s="72"/>
      <c r="S527" s="72">
        <f t="shared" si="304"/>
        <v>0.42931292574850666</v>
      </c>
      <c r="T527" s="72">
        <f t="shared" si="305"/>
        <v>0.71999860325705367</v>
      </c>
      <c r="U527" s="72">
        <f t="shared" si="306"/>
        <v>0.51</v>
      </c>
      <c r="V527" s="72">
        <f t="shared" si="307"/>
        <v>0.49274588498106531</v>
      </c>
      <c r="W527" s="72">
        <f t="shared" si="308"/>
        <v>0.75922672786999368</v>
      </c>
      <c r="X527" s="72">
        <f t="shared" si="309"/>
        <v>0.17106736673979495</v>
      </c>
      <c r="Y527" s="72">
        <f t="shared" si="310"/>
        <v>0.31252305478095876</v>
      </c>
      <c r="Z527" s="72">
        <f t="shared" si="311"/>
        <v>0.46322717968791904</v>
      </c>
      <c r="AA527" s="72">
        <f t="shared" si="312"/>
        <v>0.41581629589844193</v>
      </c>
      <c r="AB527" s="72">
        <f t="shared" si="313"/>
        <v>5.8525688756515315E-2</v>
      </c>
      <c r="AC527" s="72"/>
      <c r="AD527" s="72"/>
      <c r="AE527" s="72">
        <f t="shared" si="314"/>
        <v>0.57068707425149334</v>
      </c>
      <c r="AF527" s="72">
        <f t="shared" si="315"/>
        <v>0.28000139674294633</v>
      </c>
      <c r="AG527" s="72">
        <f t="shared" si="316"/>
        <v>0.49</v>
      </c>
      <c r="AH527" s="72">
        <f t="shared" si="317"/>
        <v>0.50725411501893469</v>
      </c>
      <c r="AI527" s="72">
        <f t="shared" si="318"/>
        <v>0.24077327213000632</v>
      </c>
      <c r="AJ527" s="72">
        <f>(AV527-Driver!$K$179)/(Driver!$L$179-Driver!$K$179)</f>
        <v>8.315204254290548E-2</v>
      </c>
      <c r="AK527" s="72">
        <f>(AW527-Driver!$K$180)/(Driver!$L$180-Driver!$K$180)</f>
        <v>0.33608377742584117</v>
      </c>
      <c r="AL527" s="72">
        <f>(AX527-Driver!$K$181)/(Driver!$L$181-Driver!$K$181)</f>
        <v>0.56491494340099924</v>
      </c>
      <c r="AM527" s="72">
        <f>(AY527-Driver!$K$182)/(Driver!$L$182-Driver!$K$182)</f>
        <v>3.156872519860443E-2</v>
      </c>
      <c r="AN527" s="72">
        <f>(AZ527-Driver!$K$183)/(Driver!$L$183-Driver!$K$183)</f>
        <v>0.31274509803921574</v>
      </c>
      <c r="AO527" s="72"/>
      <c r="AP527" s="72"/>
      <c r="AQ527" s="72">
        <f>(BC527-Driver!$K$188)/(Driver!$L$188-Driver!$K$188)</f>
        <v>4.931292574850666E-2</v>
      </c>
      <c r="AR527" s="72">
        <f>MIN((BD527-Driver!$K$189)/(Driver!$L$189-Driver!$K$189),100%)</f>
        <v>0.83000139674294637</v>
      </c>
      <c r="AS527" s="72">
        <f>(BE527-Driver!$K$190)/(Driver!$L$190-Driver!$K$190)</f>
        <v>1</v>
      </c>
      <c r="AT527" s="72">
        <f>(BF527-Driver!$K$191)/(Driver!$L$191-Driver!$K$191)</f>
        <v>2.7458849810652621E-3</v>
      </c>
      <c r="AU527" s="72">
        <f>(BG527-Driver!$K$192)/(Driver!$L$192-Driver!$K$192)</f>
        <v>9.2267278699936887E-3</v>
      </c>
      <c r="AV527" s="70">
        <f t="shared" si="319"/>
        <v>1.7501017501017502</v>
      </c>
      <c r="AW527" s="70">
        <f t="shared" si="320"/>
        <v>34.626234736822141</v>
      </c>
      <c r="AX527" s="70">
        <f t="shared" si="321"/>
        <v>6.0842344906089929</v>
      </c>
      <c r="AY527" s="70">
        <f>IFERROR(Driver!$K$19/Data!BH527/Data!BI527*Data!BK527*Data!BL527,"")</f>
        <v>3.8649538841586506E-2</v>
      </c>
      <c r="AZ527" s="70">
        <f t="shared" si="322"/>
        <v>28.50335070737156</v>
      </c>
      <c r="BA527" s="70"/>
      <c r="BB527" s="70"/>
      <c r="BC527" s="70">
        <f t="shared" si="323"/>
        <v>25.578957403648474</v>
      </c>
      <c r="BD527" s="70">
        <f t="shared" si="324"/>
        <v>75.174475820397902</v>
      </c>
      <c r="BE527" s="70">
        <f t="shared" si="325"/>
        <v>1</v>
      </c>
      <c r="BF527" s="70">
        <f t="shared" si="326"/>
        <v>0.31012841767753863</v>
      </c>
      <c r="BG527" s="70">
        <f t="shared" si="327"/>
        <v>3.4938277731851104E-2</v>
      </c>
      <c r="BH527" s="67">
        <f>MAX((CE527-Driver!$F$200)/(Driver!$G$200-Driver!$F$200)*$BI$1,1)</f>
        <v>6.0842344906089929</v>
      </c>
      <c r="BI527" s="67">
        <f>MAX($BI$1*(BY527-Driver!$F$201)/(Driver!$G$201-Driver!$F$201),1)</f>
        <v>8.3544303797468356</v>
      </c>
      <c r="BJ527" s="67">
        <f>(CB527-Driver!$F$206)/(Driver!$G$206-Driver!$F$206)*$BI$1</f>
        <v>1.9047619047619047</v>
      </c>
      <c r="BK527" s="67">
        <f>(CD527-Driver!$F$203)/(Driver!$G$203-Driver!$F$203)*$BI$1</f>
        <v>1.238532110091743</v>
      </c>
      <c r="BL527" s="67">
        <f>MAX((CR527-Driver!$F$202)/(Driver!$G$202-Driver!$F$202)*$BI$1,1)</f>
        <v>7.931034482758621</v>
      </c>
      <c r="BM527" s="67">
        <f>MAX((CH527-Driver!$F$204)/(Driver!$G$204-Driver!$F$204)*$BI$1,1)</f>
        <v>3.6752136752136755</v>
      </c>
      <c r="BN527" s="67">
        <f>(CI527-Driver!$F$205)/(Driver!$G$205-Driver!$F$205)*$BI$1</f>
        <v>3.4117647058823533</v>
      </c>
      <c r="BO527" s="67">
        <f>(CK527-Driver!$F$207)/(Driver!$G$207-Driver!$F$207)*$BI$1</f>
        <v>0.27921406411582211</v>
      </c>
      <c r="BP527" s="67">
        <f>(CM527-Driver!$F$208)/(Driver!$G$208-Driver!$F$208)*$BI$1</f>
        <v>0.7222222222222221</v>
      </c>
      <c r="BQ527" s="67">
        <f>(CL527-Driver!$F$209)/(Driver!$G$209-Driver!$F$209)*$BI$1</f>
        <v>0.78125</v>
      </c>
      <c r="BR527" s="28" t="s">
        <v>155</v>
      </c>
      <c r="BS527" s="8" t="s">
        <v>172</v>
      </c>
      <c r="BT527" s="9" t="s">
        <v>653</v>
      </c>
      <c r="BU527" s="10">
        <v>160</v>
      </c>
      <c r="BV527" s="9" t="s">
        <v>158</v>
      </c>
      <c r="BW527" s="10">
        <v>160</v>
      </c>
      <c r="BX527" s="10">
        <v>159.69999999999999</v>
      </c>
      <c r="BY527" s="10">
        <v>140</v>
      </c>
      <c r="BZ527" s="10">
        <v>144</v>
      </c>
      <c r="CA527" s="10">
        <v>128</v>
      </c>
      <c r="CB527" s="10">
        <v>76</v>
      </c>
      <c r="CC527" s="10">
        <v>108</v>
      </c>
      <c r="CD527" s="10">
        <v>12.1</v>
      </c>
      <c r="CE527" s="10">
        <v>1969</v>
      </c>
      <c r="CF527" s="10">
        <v>0.75</v>
      </c>
      <c r="CG527" s="10">
        <v>1471</v>
      </c>
      <c r="CH527" s="10">
        <v>187</v>
      </c>
      <c r="CI527" s="10">
        <v>91</v>
      </c>
      <c r="CJ527" s="10">
        <v>39</v>
      </c>
      <c r="CK527" s="10">
        <v>137</v>
      </c>
      <c r="CL527" s="10">
        <v>5</v>
      </c>
      <c r="CM527" s="10">
        <v>65</v>
      </c>
      <c r="CN527" s="10">
        <v>0.11899999999999999</v>
      </c>
      <c r="CO527" s="10">
        <v>91</v>
      </c>
      <c r="CP527" s="10">
        <v>63</v>
      </c>
      <c r="CQ527" s="10">
        <v>46</v>
      </c>
      <c r="CR527" s="10">
        <v>12</v>
      </c>
      <c r="CS527" s="10">
        <v>10</v>
      </c>
      <c r="CT527" s="9" t="s">
        <v>349</v>
      </c>
      <c r="CU527" s="10"/>
      <c r="CV527" s="10"/>
      <c r="CW527" s="10"/>
      <c r="CX527" t="str">
        <f>INDEX('Data_Price '!AG$2:AG$1266,MATCH(Data!$DN527,'Data_Price '!$AT$2:$AT$1266,0))</f>
        <v>Rossignol Hero Elite Plus Ti Skis</v>
      </c>
      <c r="CY527" t="str">
        <f>INDEX('Data_Price '!AH$2:AH$1266,MATCH(Data!$DN527,'Data_Price '!$AT$2:$AT$1266,0))</f>
        <v>The-House.com</v>
      </c>
      <c r="CZ527">
        <f>INDEX('Data_Price '!AI$2:AI$1266,MATCH(Data!$DN527,'Data_Price '!$AT$2:$AT$1266,0))</f>
        <v>999.95</v>
      </c>
      <c r="DA527" t="str">
        <f>INDEX('Data_Price '!AJ$2:AJ$1266,MATCH(Data!$DN527,'Data_Price '!$AT$2:$AT$1266,0))</f>
        <v>https://tinyurl.com/yd3nnfyx</v>
      </c>
      <c r="DB527" t="str">
        <f>INDEX('Data_Price '!AK$2:AK$1266,MATCH(Data!$DN527,'Data_Price '!$AT$2:$AT$1266,0))</f>
        <v>Rossignol Kid's on Piste Skis Hero Jr Multi-Event</v>
      </c>
      <c r="DC527" t="str">
        <f>INDEX('Data_Price '!AL$2:AL$1266,MATCH(Data!$DN527,'Data_Price '!$AT$2:$AT$1266,0))</f>
        <v>BobsSportsChalet.com</v>
      </c>
      <c r="DD527">
        <f>INDEX('Data_Price '!AM$2:AM$1266,MATCH(Data!$DN527,'Data_Price '!$AT$2:$AT$1266,0))</f>
        <v>275</v>
      </c>
      <c r="DE527" t="str">
        <f>INDEX('Data_Price '!AN$2:AN$1266,MATCH(Data!$DN527,'Data_Price '!$AT$2:$AT$1266,0))</f>
        <v>https://tinyurl.com/ybwohjy6</v>
      </c>
      <c r="DF527" t="str">
        <f>INDEX('Data_Price '!AO$2:AO$1266,MATCH(Data!$DN527,'Data_Price '!$AT$2:$AT$1266,0))</f>
        <v>Rossignol Men's All Mountain Skis Experience 82 Ti (konect)</v>
      </c>
      <c r="DG527" t="str">
        <f>INDEX('Data_Price '!AP$2:AP$1266,MATCH(Data!$DN527,'Data_Price '!$AT$2:$AT$1266,0))</f>
        <v>Rossignol US</v>
      </c>
      <c r="DH527">
        <f>INDEX('Data_Price '!AQ$2:AQ$1266,MATCH(Data!$DN527,'Data_Price '!$AT$2:$AT$1266,0))</f>
        <v>899.95</v>
      </c>
      <c r="DI527" t="str">
        <f>INDEX('Data_Price '!AR$2:AR$1266,MATCH(Data!$DN527,'Data_Price '!$AT$2:$AT$1266,0))</f>
        <v>https://tinyurl.com/y8bncbve</v>
      </c>
      <c r="DJ527" s="89" t="str">
        <f t="shared" si="328"/>
        <v>https://tinyurl.com/yd3nnfyx</v>
      </c>
      <c r="DK527" s="89" t="str">
        <f t="shared" si="329"/>
        <v>https://tinyurl.com/ybwohjy6</v>
      </c>
      <c r="DL527" s="89" t="str">
        <f t="shared" si="330"/>
        <v>https://tinyurl.com/y8bncbve</v>
      </c>
      <c r="DM527" s="219" t="str">
        <f t="shared" si="331"/>
        <v>Hero Elite Plus Ti</v>
      </c>
      <c r="DN527" s="89" t="str">
        <f t="shared" si="332"/>
        <v xml:space="preserve"> RossignolHero Elite Plus Ti160 Unisex</v>
      </c>
      <c r="DO527" s="221"/>
    </row>
    <row r="528" spans="2:119" ht="15.6" customHeight="1">
      <c r="B528" s="219" t="b">
        <f t="array" ref="B528">IF(OR(ISERROR(K528:P528)),FALSE,TRUE)</f>
        <v>1</v>
      </c>
      <c r="C528" s="43" t="b">
        <f>OR(BR528=Driver!$G$50,Data!BR681=Driver!$H$50)</f>
        <v>1</v>
      </c>
      <c r="D528" s="43" t="b">
        <f>OR(BV528=Driver!$G$51,BV528=Driver!$H$51)</f>
        <v>1</v>
      </c>
      <c r="E528" s="43" t="b">
        <f>AND(BX528&gt;Driver!$F$54,BX528&lt;Driver!$G$54)</f>
        <v>0</v>
      </c>
      <c r="F528" s="43" t="b">
        <f>CL528&gt;Driver!$F$56</f>
        <v>1</v>
      </c>
      <c r="G528" s="43" t="b">
        <f>AND(CB528&gt;Driver!$F$55,CB528&lt;Driver!$G$55)</f>
        <v>0</v>
      </c>
      <c r="H528" s="43" t="b">
        <f t="shared" si="296"/>
        <v>0</v>
      </c>
      <c r="I528" s="43">
        <f t="shared" si="297"/>
        <v>0</v>
      </c>
      <c r="J528" s="43" t="b">
        <f t="array" ref="J528">NOT(OR(($H$9:$H$1273=TRUE)*($I$9:$I$1273&gt;0)*($BT$9:$BT$1273=BT528)*($K$9:$K$1273&gt;K528)))</f>
        <v>1</v>
      </c>
      <c r="K528" s="72">
        <f t="shared" si="298"/>
        <v>0.83454202252310306</v>
      </c>
      <c r="L528" s="72">
        <f t="shared" si="299"/>
        <v>0.91869171794314752</v>
      </c>
      <c r="M528" s="72">
        <f t="shared" si="300"/>
        <v>0.75039232710305848</v>
      </c>
      <c r="N528" s="72">
        <f t="shared" si="301"/>
        <v>0.69740015225415397</v>
      </c>
      <c r="O528" s="72">
        <f t="shared" si="302"/>
        <v>0.64623153245536891</v>
      </c>
      <c r="P528" s="72">
        <f t="shared" si="303"/>
        <v>0.90754529659965244</v>
      </c>
      <c r="Q528" s="72"/>
      <c r="R528" s="72"/>
      <c r="S528" s="72">
        <f t="shared" si="304"/>
        <v>0.4292228674917753</v>
      </c>
      <c r="T528" s="72">
        <f t="shared" si="305"/>
        <v>0.47399895518724811</v>
      </c>
      <c r="U528" s="72">
        <f t="shared" si="306"/>
        <v>0.50737710531845637</v>
      </c>
      <c r="V528" s="72">
        <f t="shared" si="307"/>
        <v>0.58647561270011983</v>
      </c>
      <c r="W528" s="72">
        <f t="shared" si="308"/>
        <v>0.90752611507212733</v>
      </c>
      <c r="X528" s="72">
        <f t="shared" si="309"/>
        <v>8.1308282056852421E-2</v>
      </c>
      <c r="Y528" s="72">
        <f t="shared" si="310"/>
        <v>0.24960767289694155</v>
      </c>
      <c r="Z528" s="72">
        <f t="shared" si="311"/>
        <v>0.30259984774584603</v>
      </c>
      <c r="AA528" s="72">
        <f t="shared" si="312"/>
        <v>0.35376846754463115</v>
      </c>
      <c r="AB528" s="72">
        <f t="shared" si="313"/>
        <v>9.2454703400347504E-2</v>
      </c>
      <c r="AC528" s="72"/>
      <c r="AD528" s="72"/>
      <c r="AE528" s="72">
        <f t="shared" si="314"/>
        <v>0.5707771325082247</v>
      </c>
      <c r="AF528" s="72">
        <f t="shared" si="315"/>
        <v>0.52600104481275189</v>
      </c>
      <c r="AG528" s="72">
        <f t="shared" si="316"/>
        <v>0.49262289468154358</v>
      </c>
      <c r="AH528" s="72">
        <f t="shared" si="317"/>
        <v>0.41352438729988017</v>
      </c>
      <c r="AI528" s="72">
        <f t="shared" si="318"/>
        <v>9.2473884927872702E-2</v>
      </c>
      <c r="AJ528" s="72">
        <f>(AV528-Driver!$K$179)/(Driver!$L$179-Driver!$K$179)</f>
        <v>0.172911127225848</v>
      </c>
      <c r="AK528" s="72">
        <f>(AW528-Driver!$K$180)/(Driver!$L$180-Driver!$K$180)</f>
        <v>0.18083961527501449</v>
      </c>
      <c r="AL528" s="72">
        <f>(AX528-Driver!$K$181)/(Driver!$L$181-Driver!$K$181)</f>
        <v>0.40428761145892622</v>
      </c>
      <c r="AM528" s="72">
        <f>(AY528-Driver!$K$182)/(Driver!$L$182-Driver!$K$182)</f>
        <v>9.361655355241523E-2</v>
      </c>
      <c r="AN528" s="72">
        <f>(AZ528-Driver!$K$183)/(Driver!$L$183-Driver!$K$183)</f>
        <v>0.16176470588235292</v>
      </c>
      <c r="AO528" s="72"/>
      <c r="AP528" s="72"/>
      <c r="AQ528" s="72">
        <f>(BC528-Driver!$K$188)/(Driver!$L$188-Driver!$K$188)</f>
        <v>4.9222867491775339E-2</v>
      </c>
      <c r="AR528" s="72">
        <f>MIN((BD528-Driver!$K$189)/(Driver!$L$189-Driver!$K$189),100%)</f>
        <v>2.3998955187248164E-2</v>
      </c>
      <c r="AS528" s="72">
        <f>(BE528-Driver!$K$190)/(Driver!$L$190-Driver!$K$190)</f>
        <v>1.7377105318456435E-2</v>
      </c>
      <c r="AT528" s="72">
        <f>(BF528-Driver!$K$191)/(Driver!$L$191-Driver!$K$191)</f>
        <v>9.6475612700119867E-2</v>
      </c>
      <c r="AU528" s="72">
        <f>(BG528-Driver!$K$192)/(Driver!$L$192-Driver!$K$192)</f>
        <v>0.1575261150721273</v>
      </c>
      <c r="AV528" s="70">
        <f t="shared" si="319"/>
        <v>3.6392619725953055</v>
      </c>
      <c r="AW528" s="70">
        <f t="shared" si="320"/>
        <v>19.496315532009493</v>
      </c>
      <c r="AX528" s="70">
        <f t="shared" si="321"/>
        <v>4.638588503130336</v>
      </c>
      <c r="AY528" s="70">
        <f>IFERROR(Driver!$K$19/Data!BH528/Data!BI528*Data!BK528*Data!BL528,"")</f>
        <v>0.11461459403180108</v>
      </c>
      <c r="AZ528" s="70">
        <f t="shared" si="322"/>
        <v>14.743112434847356</v>
      </c>
      <c r="BA528" s="70"/>
      <c r="BB528" s="70"/>
      <c r="BC528" s="70">
        <f t="shared" si="323"/>
        <v>25.532243559807096</v>
      </c>
      <c r="BD528" s="70">
        <f t="shared" si="324"/>
        <v>3.844687894536853</v>
      </c>
      <c r="BE528" s="70">
        <f t="shared" si="325"/>
        <v>1.7552394182975838E-2</v>
      </c>
      <c r="BF528" s="70">
        <f t="shared" si="326"/>
        <v>10.896242674939673</v>
      </c>
      <c r="BG528" s="70">
        <f t="shared" si="327"/>
        <v>0.59649436246062004</v>
      </c>
      <c r="BH528" s="67">
        <f>MAX((CE528-Driver!$F$200)/(Driver!$G$200-Driver!$F$200)*$BI$1,1)</f>
        <v>4.638588503130336</v>
      </c>
      <c r="BI528" s="67">
        <f>MAX($BI$1*(BY528-Driver!$F$201)/(Driver!$G$201-Driver!$F$201),1)</f>
        <v>6.2658227848101262</v>
      </c>
      <c r="BJ528" s="67">
        <f>(CB528-Driver!$F$206)/(Driver!$G$206-Driver!$F$206)*$BI$1</f>
        <v>4.6031746031746028</v>
      </c>
      <c r="BK528" s="67">
        <f>(CD528-Driver!$F$203)/(Driver!$G$203-Driver!$F$203)*$BI$1</f>
        <v>3.71559633027523</v>
      </c>
      <c r="BL528" s="67">
        <f>MAX((CR528-Driver!$F$202)/(Driver!$G$202-Driver!$F$202)*$BI$1,1)</f>
        <v>4.4827586206896548</v>
      </c>
      <c r="BM528" s="67">
        <f>MAX((CH528-Driver!$F$204)/(Driver!$G$204-Driver!$F$204)*$BI$1,1)</f>
        <v>3.1623931623931623</v>
      </c>
      <c r="BN528" s="67">
        <f>(CI528-Driver!$F$205)/(Driver!$G$205-Driver!$F$205)*$BI$1</f>
        <v>2.3529411764705883</v>
      </c>
      <c r="BO528" s="67">
        <f>(CK528-Driver!$F$207)/(Driver!$G$207-Driver!$F$207)*$BI$1</f>
        <v>2.512926577042399</v>
      </c>
      <c r="BP528" s="67">
        <f>(CM528-Driver!$F$208)/(Driver!$G$208-Driver!$F$208)*$BI$1</f>
        <v>3.5</v>
      </c>
      <c r="BQ528" s="67">
        <f>(CL528-Driver!$F$209)/(Driver!$G$209-Driver!$F$209)*$BI$1</f>
        <v>8.75</v>
      </c>
      <c r="BR528" s="28" t="s">
        <v>155</v>
      </c>
      <c r="BS528" s="8" t="s">
        <v>295</v>
      </c>
      <c r="BT528" s="9" t="s">
        <v>654</v>
      </c>
      <c r="BU528" s="10">
        <v>176</v>
      </c>
      <c r="BV528" s="9" t="s">
        <v>158</v>
      </c>
      <c r="BW528" s="10">
        <v>176</v>
      </c>
      <c r="BX528" s="10">
        <v>173.6</v>
      </c>
      <c r="BY528" s="10">
        <v>107</v>
      </c>
      <c r="BZ528" s="10">
        <v>149</v>
      </c>
      <c r="CA528" s="10">
        <v>129</v>
      </c>
      <c r="CB528" s="10">
        <v>93</v>
      </c>
      <c r="CC528" s="10">
        <v>119</v>
      </c>
      <c r="CD528" s="10">
        <v>17.5</v>
      </c>
      <c r="CE528" s="10">
        <v>1715</v>
      </c>
      <c r="CF528" s="10">
        <v>1.06</v>
      </c>
      <c r="CG528" s="10">
        <v>1816</v>
      </c>
      <c r="CH528" s="10">
        <v>175</v>
      </c>
      <c r="CI528" s="10">
        <v>73</v>
      </c>
      <c r="CJ528" s="10">
        <v>58</v>
      </c>
      <c r="CK528" s="10">
        <v>353</v>
      </c>
      <c r="CL528" s="10">
        <v>56</v>
      </c>
      <c r="CM528" s="10">
        <v>315</v>
      </c>
      <c r="CN528" s="10">
        <v>0.96899999999999997</v>
      </c>
      <c r="CO528" s="10">
        <v>121</v>
      </c>
      <c r="CP528" s="10">
        <v>122</v>
      </c>
      <c r="CQ528" s="10">
        <v>233</v>
      </c>
      <c r="CR528" s="10">
        <v>2</v>
      </c>
      <c r="CS528" s="10">
        <v>8.1999999999999993</v>
      </c>
      <c r="CT528" s="9" t="s">
        <v>184</v>
      </c>
      <c r="CU528" s="9" t="s">
        <v>185</v>
      </c>
      <c r="CV528" s="10"/>
      <c r="CW528" s="10"/>
      <c r="CX528" t="str">
        <f>INDEX('Data_Price '!AG$2:AG$1266,MATCH(Data!$DN528,'Data_Price '!$AT$2:$AT$1266,0))</f>
        <v>Icelantic Nomad 95 Skis 2022 176cm</v>
      </c>
      <c r="CY528" t="str">
        <f>INDEX('Data_Price '!AH$2:AH$1266,MATCH(Data!$DN528,'Data_Price '!$AT$2:$AT$1266,0))</f>
        <v>Glacier Ski Shop</v>
      </c>
      <c r="CZ528">
        <f>INDEX('Data_Price '!AI$2:AI$1266,MATCH(Data!$DN528,'Data_Price '!$AT$2:$AT$1266,0))</f>
        <v>525</v>
      </c>
      <c r="DA528" t="str">
        <f>INDEX('Data_Price '!AJ$2:AJ$1266,MATCH(Data!$DN528,'Data_Price '!$AT$2:$AT$1266,0))</f>
        <v>https://tinyurl.com/yc2hg3hb</v>
      </c>
      <c r="DB528" t="str">
        <f>INDEX('Data_Price '!AK$2:AK$1266,MATCH(Data!$DN528,'Data_Price '!$AT$2:$AT$1266,0))</f>
        <v>Icelantic Nomad 95 Skis Â· 2022 Â· 176 cm</v>
      </c>
      <c r="DC528" t="str">
        <f>INDEX('Data_Price '!AL$2:AL$1266,MATCH(Data!$DN528,'Data_Price '!$AT$2:$AT$1266,0))</f>
        <v>Curated</v>
      </c>
      <c r="DD528">
        <f>INDEX('Data_Price '!AM$2:AM$1266,MATCH(Data!$DN528,'Data_Price '!$AT$2:$AT$1266,0))</f>
        <v>561</v>
      </c>
      <c r="DE528" t="str">
        <f>INDEX('Data_Price '!AN$2:AN$1266,MATCH(Data!$DN528,'Data_Price '!$AT$2:$AT$1266,0))</f>
        <v>https://tinyurl.com/yc5hh2yo</v>
      </c>
      <c r="DF528" t="str">
        <f>INDEX('Data_Price '!AO$2:AO$1266,MATCH(Data!$DN528,'Data_Price '!$AT$2:$AT$1266,0))</f>
        <v>Icelantic Nomad 95 Skis Â· 2022 Â· 176 cm</v>
      </c>
      <c r="DG528" t="str">
        <f>INDEX('Data_Price '!AP$2:AP$1266,MATCH(Data!$DN528,'Data_Price '!$AT$2:$AT$1266,0))</f>
        <v>GritrOutdoors</v>
      </c>
      <c r="DH528">
        <f>INDEX('Data_Price '!AQ$2:AQ$1266,MATCH(Data!$DN528,'Data_Price '!$AT$2:$AT$1266,0))</f>
        <v>599</v>
      </c>
      <c r="DI528" t="str">
        <f>INDEX('Data_Price '!AR$2:AR$1266,MATCH(Data!$DN528,'Data_Price '!$AT$2:$AT$1266,0))</f>
        <v>https://tinyurl.com/ya5gtyf2</v>
      </c>
      <c r="DJ528" s="89" t="str">
        <f t="shared" si="328"/>
        <v>https://tinyurl.com/yc2hg3hb</v>
      </c>
      <c r="DK528" s="89" t="str">
        <f t="shared" si="329"/>
        <v>https://tinyurl.com/yc5hh2yo</v>
      </c>
      <c r="DL528" s="89" t="str">
        <f t="shared" si="330"/>
        <v>https://tinyurl.com/ya5gtyf2</v>
      </c>
      <c r="DM528" s="219" t="str">
        <f t="shared" si="331"/>
        <v>Nomad 95</v>
      </c>
      <c r="DN528" s="89" t="str">
        <f t="shared" si="332"/>
        <v xml:space="preserve"> IcelanticNomad 95176 Unisex</v>
      </c>
      <c r="DO528" s="221" t="s">
        <v>655</v>
      </c>
    </row>
    <row r="529" spans="2:119" ht="15.6" customHeight="1">
      <c r="B529" s="219" t="b">
        <f t="array" ref="B529">IF(OR(ISERROR(K529:P529)),FALSE,TRUE)</f>
        <v>1</v>
      </c>
      <c r="C529" s="43" t="b">
        <f>OR(BR529=Driver!$G$50,Data!BR765=Driver!$H$50)</f>
        <v>1</v>
      </c>
      <c r="D529" s="43" t="b">
        <f>OR(BV529=Driver!$G$51,BV529=Driver!$H$51)</f>
        <v>1</v>
      </c>
      <c r="E529" s="43" t="b">
        <f>AND(BX529&gt;Driver!$F$54,BX529&lt;Driver!$G$54)</f>
        <v>0</v>
      </c>
      <c r="F529" s="43" t="b">
        <f>CL529&gt;Driver!$F$56</f>
        <v>1</v>
      </c>
      <c r="G529" s="43" t="b">
        <f>AND(CB529&gt;Driver!$F$55,CB529&lt;Driver!$G$55)</f>
        <v>1</v>
      </c>
      <c r="H529" s="43" t="b">
        <f t="shared" si="296"/>
        <v>0</v>
      </c>
      <c r="I529" s="43">
        <f t="shared" si="297"/>
        <v>0</v>
      </c>
      <c r="J529" s="43" t="b">
        <f t="array" ref="J529">NOT(OR(($H$9:$H$1273=TRUE)*($I$9:$I$1273&gt;0)*($BT$9:$BT$1273=BT529)*($K$9:$K$1273&gt;K529)))</f>
        <v>1</v>
      </c>
      <c r="K529" s="72">
        <f t="shared" si="298"/>
        <v>0.83755208595196273</v>
      </c>
      <c r="L529" s="72">
        <f t="shared" si="299"/>
        <v>0.92096664963400166</v>
      </c>
      <c r="M529" s="72">
        <f t="shared" si="300"/>
        <v>0.7541375222699237</v>
      </c>
      <c r="N529" s="72">
        <f t="shared" si="301"/>
        <v>0.62657235234268871</v>
      </c>
      <c r="O529" s="72">
        <f t="shared" si="302"/>
        <v>0.69790276100468462</v>
      </c>
      <c r="P529" s="72">
        <f t="shared" si="303"/>
        <v>0.93793745346239765</v>
      </c>
      <c r="Q529" s="72"/>
      <c r="R529" s="72"/>
      <c r="S529" s="72">
        <f t="shared" si="304"/>
        <v>0.4452081574320933</v>
      </c>
      <c r="T529" s="72">
        <f t="shared" si="305"/>
        <v>0.46198667099435309</v>
      </c>
      <c r="U529" s="72">
        <f t="shared" si="306"/>
        <v>0.50963877848625783</v>
      </c>
      <c r="V529" s="72">
        <f t="shared" si="307"/>
        <v>0.62207798594542008</v>
      </c>
      <c r="W529" s="72">
        <f t="shared" si="308"/>
        <v>0.82486760812003523</v>
      </c>
      <c r="X529" s="72">
        <f t="shared" si="309"/>
        <v>7.9033350365998289E-2</v>
      </c>
      <c r="Y529" s="72">
        <f t="shared" si="310"/>
        <v>0.24586247773007633</v>
      </c>
      <c r="Z529" s="72">
        <f t="shared" si="311"/>
        <v>0.37342764765731123</v>
      </c>
      <c r="AA529" s="72">
        <f t="shared" si="312"/>
        <v>0.30209723899531543</v>
      </c>
      <c r="AB529" s="72">
        <f t="shared" si="313"/>
        <v>6.2062546537602403E-2</v>
      </c>
      <c r="AC529" s="72"/>
      <c r="AD529" s="72"/>
      <c r="AE529" s="72">
        <f t="shared" si="314"/>
        <v>0.5547918425679067</v>
      </c>
      <c r="AF529" s="72">
        <f t="shared" si="315"/>
        <v>0.53801332900564691</v>
      </c>
      <c r="AG529" s="72">
        <f t="shared" si="316"/>
        <v>0.49036122151374217</v>
      </c>
      <c r="AH529" s="72">
        <f t="shared" si="317"/>
        <v>0.37792201405457992</v>
      </c>
      <c r="AI529" s="72">
        <f t="shared" si="318"/>
        <v>0.17513239187996471</v>
      </c>
      <c r="AJ529" s="72">
        <f>(AV529-Driver!$K$179)/(Driver!$L$179-Driver!$K$179)</f>
        <v>0.33325275964869872</v>
      </c>
      <c r="AK529" s="72">
        <f>(AW529-Driver!$K$180)/(Driver!$L$180-Driver!$K$180)</f>
        <v>0.21645083894286568</v>
      </c>
      <c r="AL529" s="72">
        <f>(AX529-Driver!$K$181)/(Driver!$L$181-Driver!$K$181)</f>
        <v>0.47511541137039143</v>
      </c>
      <c r="AM529" s="72">
        <f>(AY529-Driver!$K$182)/(Driver!$L$182-Driver!$K$182)</f>
        <v>0.14528778210173093</v>
      </c>
      <c r="AN529" s="72">
        <f>(AZ529-Driver!$K$183)/(Driver!$L$183-Driver!$K$183)</f>
        <v>0.19215686274509802</v>
      </c>
      <c r="AO529" s="72"/>
      <c r="AP529" s="72"/>
      <c r="AQ529" s="72">
        <f>(BC529-Driver!$K$188)/(Driver!$L$188-Driver!$K$188)</f>
        <v>6.5208157432093281E-2</v>
      </c>
      <c r="AR529" s="72">
        <f>MIN((BD529-Driver!$K$189)/(Driver!$L$189-Driver!$K$189),100%)</f>
        <v>1.198667099435312E-2</v>
      </c>
      <c r="AS529" s="72">
        <f>(BE529-Driver!$K$190)/(Driver!$L$190-Driver!$K$190)</f>
        <v>1.9638778486257818E-2</v>
      </c>
      <c r="AT529" s="72">
        <f>(BF529-Driver!$K$191)/(Driver!$L$191-Driver!$K$191)</f>
        <v>0.13207798594542008</v>
      </c>
      <c r="AU529" s="72">
        <f>(BG529-Driver!$K$192)/(Driver!$L$192-Driver!$K$192)</f>
        <v>7.4867608120035303E-2</v>
      </c>
      <c r="AV529" s="70">
        <f t="shared" si="319"/>
        <v>7.0139736806403477</v>
      </c>
      <c r="AW529" s="70">
        <f t="shared" si="320"/>
        <v>22.96694482598344</v>
      </c>
      <c r="AX529" s="70">
        <f t="shared" si="321"/>
        <v>5.2760387023335227</v>
      </c>
      <c r="AY529" s="70">
        <f>IFERROR(Driver!$K$19/Data!BH529/Data!BI529*Data!BK529*Data!BL529,"")</f>
        <v>0.17787559498275352</v>
      </c>
      <c r="AZ529" s="70">
        <f t="shared" si="322"/>
        <v>17.513030528667162</v>
      </c>
      <c r="BA529" s="70"/>
      <c r="BB529" s="70"/>
      <c r="BC529" s="70">
        <f t="shared" si="323"/>
        <v>33.823924579782783</v>
      </c>
      <c r="BD529" s="70">
        <f t="shared" si="324"/>
        <v>2.7816220279737611</v>
      </c>
      <c r="BE529" s="70">
        <f t="shared" si="325"/>
        <v>1.9813663893740303E-2</v>
      </c>
      <c r="BF529" s="70">
        <f t="shared" si="326"/>
        <v>14.917280612168431</v>
      </c>
      <c r="BG529" s="70">
        <f t="shared" si="327"/>
        <v>0.28349652471315095</v>
      </c>
      <c r="BH529" s="67">
        <f>MAX((CE529-Driver!$F$200)/(Driver!$G$200-Driver!$F$200)*$BI$1,1)</f>
        <v>5.2760387023335227</v>
      </c>
      <c r="BI529" s="67">
        <f>MAX($BI$1*(BY529-Driver!$F$201)/(Driver!$G$201-Driver!$F$201),1)</f>
        <v>6.2025316455696204</v>
      </c>
      <c r="BJ529" s="67">
        <f>(CB529-Driver!$F$206)/(Driver!$G$206-Driver!$F$206)*$BI$1</f>
        <v>7.4603174603174605</v>
      </c>
      <c r="BK529" s="67">
        <f>(CD529-Driver!$F$203)/(Driver!$G$203-Driver!$F$203)*$BI$1</f>
        <v>5.2752293577981648</v>
      </c>
      <c r="BL529" s="67">
        <f>MAX((CR529-Driver!$F$202)/(Driver!$G$202-Driver!$F$202)*$BI$1,1)</f>
        <v>5.5172413793103452</v>
      </c>
      <c r="BM529" s="67">
        <f>MAX((CH529-Driver!$F$204)/(Driver!$G$204-Driver!$F$204)*$BI$1,1)</f>
        <v>3.7606837606837606</v>
      </c>
      <c r="BN529" s="67">
        <f>(CI529-Driver!$F$205)/(Driver!$G$205-Driver!$F$205)*$BI$1</f>
        <v>2.8235294117647056</v>
      </c>
      <c r="BO529" s="67">
        <f>(CK529-Driver!$F$207)/(Driver!$G$207-Driver!$F$207)*$BI$1</f>
        <v>2.792140641158221</v>
      </c>
      <c r="BP529" s="67">
        <f>(CM529-Driver!$F$208)/(Driver!$G$208-Driver!$F$208)*$BI$1</f>
        <v>3.7777777777777777</v>
      </c>
      <c r="BQ529" s="67">
        <f>(CL529-Driver!$F$209)/(Driver!$G$209-Driver!$F$209)*$BI$1</f>
        <v>5.625</v>
      </c>
      <c r="BR529" s="28" t="s">
        <v>155</v>
      </c>
      <c r="BS529" s="8" t="s">
        <v>262</v>
      </c>
      <c r="BT529" s="9" t="s">
        <v>298</v>
      </c>
      <c r="BU529" s="10">
        <v>177</v>
      </c>
      <c r="BV529" s="9" t="s">
        <v>158</v>
      </c>
      <c r="BW529" s="10">
        <v>177</v>
      </c>
      <c r="BX529" s="10">
        <v>177.5</v>
      </c>
      <c r="BY529" s="10">
        <v>106</v>
      </c>
      <c r="BZ529" s="10">
        <v>133</v>
      </c>
      <c r="CA529" s="10">
        <v>136</v>
      </c>
      <c r="CB529" s="10">
        <v>111</v>
      </c>
      <c r="CC529" s="10">
        <v>126</v>
      </c>
      <c r="CD529" s="10">
        <v>20.9</v>
      </c>
      <c r="CE529" s="10">
        <v>1827</v>
      </c>
      <c r="CF529" s="10">
        <v>1.1499999999999999</v>
      </c>
      <c r="CG529" s="10">
        <v>2109</v>
      </c>
      <c r="CH529" s="10">
        <v>189</v>
      </c>
      <c r="CI529" s="10">
        <v>81</v>
      </c>
      <c r="CJ529" s="10">
        <v>50</v>
      </c>
      <c r="CK529" s="10">
        <v>380</v>
      </c>
      <c r="CL529" s="10">
        <v>36</v>
      </c>
      <c r="CM529" s="10">
        <v>340</v>
      </c>
      <c r="CN529" s="10">
        <v>0.70699999999999996</v>
      </c>
      <c r="CO529" s="10">
        <v>218</v>
      </c>
      <c r="CP529" s="10">
        <v>226</v>
      </c>
      <c r="CQ529" s="10">
        <v>162</v>
      </c>
      <c r="CR529" s="10">
        <v>5</v>
      </c>
      <c r="CS529" s="10">
        <v>5.7</v>
      </c>
      <c r="CT529" s="9" t="s">
        <v>169</v>
      </c>
      <c r="CU529" s="9" t="s">
        <v>185</v>
      </c>
      <c r="CV529" s="10"/>
      <c r="CW529" s="10"/>
      <c r="CX529" t="e">
        <f>INDEX('Data_Price '!AG$2:AG$1266,MATCH(Data!$DN529,'Data_Price '!$AT$2:$AT$1266,0))</f>
        <v>#N/A</v>
      </c>
      <c r="CY529" t="e">
        <f>INDEX('Data_Price '!AH$2:AH$1266,MATCH(Data!$DN529,'Data_Price '!$AT$2:$AT$1266,0))</f>
        <v>#N/A</v>
      </c>
      <c r="CZ529" t="e">
        <f>INDEX('Data_Price '!AI$2:AI$1266,MATCH(Data!$DN529,'Data_Price '!$AT$2:$AT$1266,0))</f>
        <v>#N/A</v>
      </c>
      <c r="DA529" t="e">
        <f>INDEX('Data_Price '!AJ$2:AJ$1266,MATCH(Data!$DN529,'Data_Price '!$AT$2:$AT$1266,0))</f>
        <v>#N/A</v>
      </c>
      <c r="DB529" t="e">
        <f>INDEX('Data_Price '!AK$2:AK$1266,MATCH(Data!$DN529,'Data_Price '!$AT$2:$AT$1266,0))</f>
        <v>#N/A</v>
      </c>
      <c r="DC529" t="e">
        <f>INDEX('Data_Price '!AL$2:AL$1266,MATCH(Data!$DN529,'Data_Price '!$AT$2:$AT$1266,0))</f>
        <v>#N/A</v>
      </c>
      <c r="DD529" t="e">
        <f>INDEX('Data_Price '!AM$2:AM$1266,MATCH(Data!$DN529,'Data_Price '!$AT$2:$AT$1266,0))</f>
        <v>#N/A</v>
      </c>
      <c r="DE529" t="e">
        <f>INDEX('Data_Price '!AN$2:AN$1266,MATCH(Data!$DN529,'Data_Price '!$AT$2:$AT$1266,0))</f>
        <v>#N/A</v>
      </c>
      <c r="DF529" t="e">
        <f>INDEX('Data_Price '!AO$2:AO$1266,MATCH(Data!$DN529,'Data_Price '!$AT$2:$AT$1266,0))</f>
        <v>#N/A</v>
      </c>
      <c r="DG529" t="e">
        <f>INDEX('Data_Price '!AP$2:AP$1266,MATCH(Data!$DN529,'Data_Price '!$AT$2:$AT$1266,0))</f>
        <v>#N/A</v>
      </c>
      <c r="DH529" t="e">
        <f>INDEX('Data_Price '!AQ$2:AQ$1266,MATCH(Data!$DN529,'Data_Price '!$AT$2:$AT$1266,0))</f>
        <v>#N/A</v>
      </c>
      <c r="DI529" t="e">
        <f>INDEX('Data_Price '!AR$2:AR$1266,MATCH(Data!$DN529,'Data_Price '!$AT$2:$AT$1266,0))</f>
        <v>#N/A</v>
      </c>
      <c r="DJ529" s="89" t="e">
        <f t="shared" si="328"/>
        <v>#N/A</v>
      </c>
      <c r="DK529" s="89" t="e">
        <f t="shared" si="329"/>
        <v>#N/A</v>
      </c>
      <c r="DL529" s="89" t="e">
        <f t="shared" si="330"/>
        <v>#N/A</v>
      </c>
      <c r="DM529" s="219" t="str">
        <f t="shared" si="331"/>
        <v>Reckoner 112</v>
      </c>
      <c r="DN529" s="89" t="str">
        <f t="shared" si="332"/>
        <v xml:space="preserve"> K2Reckoner 112177 Unisex</v>
      </c>
      <c r="DO529" s="221" t="s">
        <v>299</v>
      </c>
    </row>
    <row r="530" spans="2:119" ht="15.6" customHeight="1">
      <c r="B530" s="219" t="b">
        <f t="array" ref="B530">IF(OR(ISERROR(K530:P530)),FALSE,TRUE)</f>
        <v>1</v>
      </c>
      <c r="C530" s="43" t="b">
        <f>OR(BR530=Driver!$G$50,Data!BR1106=Driver!$H$50)</f>
        <v>1</v>
      </c>
      <c r="D530" s="43" t="b">
        <f>OR(BV530=Driver!$G$51,BV530=Driver!$H$51)</f>
        <v>0</v>
      </c>
      <c r="E530" s="43" t="b">
        <f>AND(BX530&gt;Driver!$F$54,BX530&lt;Driver!$G$54)</f>
        <v>1</v>
      </c>
      <c r="F530" s="43" t="b">
        <f>CL530&gt;Driver!$F$56</f>
        <v>1</v>
      </c>
      <c r="G530" s="43" t="b">
        <f>AND(CB530&gt;Driver!$F$55,CB530&lt;Driver!$G$55)</f>
        <v>0</v>
      </c>
      <c r="H530" s="43" t="b">
        <f t="shared" si="296"/>
        <v>0</v>
      </c>
      <c r="I530" s="43">
        <f t="shared" si="297"/>
        <v>0</v>
      </c>
      <c r="J530" s="43" t="b">
        <f t="array" ref="J530">NOT(OR(($H$9:$H$1273=TRUE)*($I$9:$I$1273&gt;0)*($BT$9:$BT$1273=BT530)*($K$9:$K$1273&gt;K530)))</f>
        <v>1</v>
      </c>
      <c r="K530" s="72">
        <f t="shared" si="298"/>
        <v>0.82996916255586617</v>
      </c>
      <c r="L530" s="72">
        <f t="shared" si="299"/>
        <v>0.82119755953528362</v>
      </c>
      <c r="M530" s="72">
        <f t="shared" si="300"/>
        <v>0.83874076557644872</v>
      </c>
      <c r="N530" s="72">
        <f t="shared" si="301"/>
        <v>0.81439250032219923</v>
      </c>
      <c r="O530" s="72">
        <f t="shared" si="302"/>
        <v>0.70707044751991288</v>
      </c>
      <c r="P530" s="72">
        <f t="shared" si="303"/>
        <v>0.99475934888723416</v>
      </c>
      <c r="Q530" s="72"/>
      <c r="R530" s="72"/>
      <c r="S530" s="72">
        <f t="shared" si="304"/>
        <v>0.46019520390812663</v>
      </c>
      <c r="T530" s="72">
        <f t="shared" si="305"/>
        <v>0.46472223010249003</v>
      </c>
      <c r="U530" s="72">
        <f t="shared" si="306"/>
        <v>0.68175374697051494</v>
      </c>
      <c r="V530" s="72">
        <f t="shared" si="307"/>
        <v>0.50848245973645623</v>
      </c>
      <c r="W530" s="72">
        <f t="shared" si="308"/>
        <v>0.8052380952380952</v>
      </c>
      <c r="X530" s="72">
        <f t="shared" si="309"/>
        <v>0.17880244046471638</v>
      </c>
      <c r="Y530" s="72">
        <f t="shared" si="310"/>
        <v>0.16125923442355125</v>
      </c>
      <c r="Z530" s="72">
        <f t="shared" si="311"/>
        <v>0.18560749967780077</v>
      </c>
      <c r="AA530" s="72">
        <f t="shared" si="312"/>
        <v>0.29292955248008712</v>
      </c>
      <c r="AB530" s="72">
        <f t="shared" si="313"/>
        <v>5.2406511127658095E-3</v>
      </c>
      <c r="AC530" s="72"/>
      <c r="AD530" s="72"/>
      <c r="AE530" s="72">
        <f t="shared" si="314"/>
        <v>0.53980479609187337</v>
      </c>
      <c r="AF530" s="72">
        <f t="shared" si="315"/>
        <v>0.53527776989750997</v>
      </c>
      <c r="AG530" s="72">
        <f t="shared" si="316"/>
        <v>0.31824625302948506</v>
      </c>
      <c r="AH530" s="72">
        <f t="shared" si="317"/>
        <v>0.49151754026354377</v>
      </c>
      <c r="AI530" s="72">
        <f t="shared" si="318"/>
        <v>0.19476190476190477</v>
      </c>
      <c r="AJ530" s="72">
        <f>(AV530-Driver!$K$179)/(Driver!$L$179-Driver!$K$179)</f>
        <v>7.5416968817984029E-2</v>
      </c>
      <c r="AK530" s="72">
        <f>(AW530-Driver!$K$180)/(Driver!$L$180-Driver!$K$180)</f>
        <v>0.25235878012578888</v>
      </c>
      <c r="AL530" s="72">
        <f>(AX530-Driver!$K$181)/(Driver!$L$181-Driver!$K$181)</f>
        <v>0.28729526339088096</v>
      </c>
      <c r="AM530" s="72">
        <f>(AY530-Driver!$K$182)/(Driver!$L$182-Driver!$K$182)</f>
        <v>0.15445546861695927</v>
      </c>
      <c r="AN530" s="72">
        <f>(AZ530-Driver!$K$183)/(Driver!$L$183-Driver!$K$183)</f>
        <v>0.24897875816993462</v>
      </c>
      <c r="AO530" s="72"/>
      <c r="AP530" s="72"/>
      <c r="AQ530" s="72">
        <f>(BC530-Driver!$K$188)/(Driver!$L$188-Driver!$K$188)</f>
        <v>8.019520390812665E-2</v>
      </c>
      <c r="AR530" s="72">
        <f>MIN((BD530-Driver!$K$189)/(Driver!$L$189-Driver!$K$189),100%)</f>
        <v>1.4722230102490056E-2</v>
      </c>
      <c r="AS530" s="72">
        <f>(BE530-Driver!$K$190)/(Driver!$L$190-Driver!$K$190)</f>
        <v>0.82824625302948507</v>
      </c>
      <c r="AT530" s="72">
        <f>(BF530-Driver!$K$191)/(Driver!$L$191-Driver!$K$191)</f>
        <v>1.8482459736456239E-2</v>
      </c>
      <c r="AU530" s="72">
        <f>(BG530-Driver!$K$192)/(Driver!$L$192-Driver!$K$192)</f>
        <v>5.5238095238095232E-2</v>
      </c>
      <c r="AV530" s="70">
        <f t="shared" si="319"/>
        <v>1.587301587301587</v>
      </c>
      <c r="AW530" s="70">
        <f t="shared" si="320"/>
        <v>26.466491870985799</v>
      </c>
      <c r="AX530" s="70">
        <f t="shared" si="321"/>
        <v>3.5856573705179287</v>
      </c>
      <c r="AY530" s="70">
        <f>IFERROR(Driver!$K$19/Data!BH530/Data!BI530*Data!BK530*Data!BL530,"")</f>
        <v>0.18909957865104146</v>
      </c>
      <c r="AZ530" s="70">
        <f t="shared" si="322"/>
        <v>22.691734921816828</v>
      </c>
      <c r="BA530" s="70"/>
      <c r="BB530" s="70"/>
      <c r="BC530" s="70">
        <f t="shared" si="323"/>
        <v>41.597809775158083</v>
      </c>
      <c r="BD530" s="70">
        <f t="shared" si="324"/>
        <v>3.0237141619199597</v>
      </c>
      <c r="BE530" s="70">
        <f t="shared" si="325"/>
        <v>0.82827689196477383</v>
      </c>
      <c r="BF530" s="70">
        <f t="shared" si="326"/>
        <v>2.0874639806042765</v>
      </c>
      <c r="BG530" s="70">
        <f t="shared" si="327"/>
        <v>0.20916666666666667</v>
      </c>
      <c r="BH530" s="67">
        <f>MAX((CE530-Driver!$F$200)/(Driver!$G$200-Driver!$F$200)*$BI$1,1)</f>
        <v>3.5856573705179287</v>
      </c>
      <c r="BI530" s="67">
        <f>MAX($BI$1*(BY530-Driver!$F$201)/(Driver!$G$201-Driver!$F$201),1)</f>
        <v>7.2784810126582276</v>
      </c>
      <c r="BJ530" s="67">
        <f>(CB530-Driver!$F$206)/(Driver!$G$206-Driver!$F$206)*$BI$1</f>
        <v>3.8095238095238093</v>
      </c>
      <c r="BK530" s="67">
        <f>(CD530-Driver!$F$203)/(Driver!$G$203-Driver!$F$203)*$BI$1</f>
        <v>3.5779816513761471</v>
      </c>
      <c r="BL530" s="67">
        <f>MAX((CR530-Driver!$F$202)/(Driver!$G$202-Driver!$F$202)*$BI$1,1)</f>
        <v>6.8965517241379315</v>
      </c>
      <c r="BM530" s="67">
        <f>MAX((CH530-Driver!$F$204)/(Driver!$G$204-Driver!$F$204)*$BI$1,1)</f>
        <v>1.6666666666666665</v>
      </c>
      <c r="BN530" s="67">
        <f>(CI530-Driver!$F$205)/(Driver!$G$205-Driver!$F$205)*$BI$1</f>
        <v>3.1176470588235294</v>
      </c>
      <c r="BO530" s="67">
        <f>(CK530-Driver!$F$207)/(Driver!$G$207-Driver!$F$207)*$BI$1</f>
        <v>1.1685625646328852</v>
      </c>
      <c r="BP530" s="67">
        <f>(CM530-Driver!$F$208)/(Driver!$G$208-Driver!$F$208)*$BI$1</f>
        <v>1.6777777777777778</v>
      </c>
      <c r="BQ530" s="67">
        <f>(CL530-Driver!$F$209)/(Driver!$G$209-Driver!$F$209)*$BI$1</f>
        <v>1.25</v>
      </c>
      <c r="BR530" s="28" t="s">
        <v>155</v>
      </c>
      <c r="BS530" s="8" t="s">
        <v>174</v>
      </c>
      <c r="BT530" s="9" t="s">
        <v>545</v>
      </c>
      <c r="BU530" s="10">
        <v>161</v>
      </c>
      <c r="BV530" s="9" t="s">
        <v>163</v>
      </c>
      <c r="BW530" s="10">
        <v>161</v>
      </c>
      <c r="BX530" s="10">
        <v>160.1</v>
      </c>
      <c r="BY530" s="10">
        <v>123</v>
      </c>
      <c r="BZ530" s="10">
        <v>136</v>
      </c>
      <c r="CA530" s="10">
        <v>119</v>
      </c>
      <c r="CB530" s="10">
        <v>88</v>
      </c>
      <c r="CC530" s="10">
        <v>101</v>
      </c>
      <c r="CD530" s="10">
        <v>17.2</v>
      </c>
      <c r="CE530" s="10">
        <v>1530</v>
      </c>
      <c r="CF530" s="10">
        <v>1.02</v>
      </c>
      <c r="CG530" s="10">
        <v>1563</v>
      </c>
      <c r="CH530" s="10">
        <v>140</v>
      </c>
      <c r="CI530" s="10">
        <v>86</v>
      </c>
      <c r="CJ530" s="10">
        <v>55</v>
      </c>
      <c r="CK530" s="10">
        <v>223</v>
      </c>
      <c r="CL530" s="10">
        <v>8</v>
      </c>
      <c r="CM530" s="10">
        <v>151</v>
      </c>
      <c r="CN530" s="10">
        <v>0.14699999999999999</v>
      </c>
      <c r="CO530" s="10">
        <v>153</v>
      </c>
      <c r="CP530" s="10">
        <v>87</v>
      </c>
      <c r="CQ530" s="10">
        <v>70</v>
      </c>
      <c r="CR530" s="10">
        <v>9</v>
      </c>
      <c r="CS530" s="10">
        <v>9.3000000000000007</v>
      </c>
      <c r="CT530" s="9" t="s">
        <v>188</v>
      </c>
      <c r="CU530" s="10"/>
      <c r="CV530" s="10"/>
      <c r="CW530" s="10"/>
      <c r="CX530" t="str">
        <f>INDEX('Data_Price '!AG$2:AG$1266,MATCH(Data!$DN530,'Data_Price '!$AT$2:$AT$1266,0))</f>
        <v>Salomon STANCE W 88 161cm</v>
      </c>
      <c r="CY530" t="str">
        <f>INDEX('Data_Price '!AH$2:AH$1266,MATCH(Data!$DN530,'Data_Price '!$AT$2:$AT$1266,0))</f>
        <v>Sundance Ski and Board Shop</v>
      </c>
      <c r="CZ530">
        <f>INDEX('Data_Price '!AI$2:AI$1266,MATCH(Data!$DN530,'Data_Price '!$AT$2:$AT$1266,0))</f>
        <v>561.20000000000005</v>
      </c>
      <c r="DA530" t="str">
        <f>INDEX('Data_Price '!AJ$2:AJ$1266,MATCH(Data!$DN530,'Data_Price '!$AT$2:$AT$1266,0))</f>
        <v>https://tinyurl.com/ycblwsgm</v>
      </c>
      <c r="DB530" t="str">
        <f>INDEX('Data_Price '!AK$2:AK$1266,MATCH(Data!$DN530,'Data_Price '!$AT$2:$AT$1266,0))</f>
        <v>Salomon Stance W 88 Skis</v>
      </c>
      <c r="DC530" t="str">
        <f>INDEX('Data_Price '!AL$2:AL$1266,MATCH(Data!$DN530,'Data_Price '!$AT$2:$AT$1266,0))</f>
        <v>Cole Sport</v>
      </c>
      <c r="DD530">
        <f>INDEX('Data_Price '!AM$2:AM$1266,MATCH(Data!$DN530,'Data_Price '!$AT$2:$AT$1266,0))</f>
        <v>599.99</v>
      </c>
      <c r="DE530" t="str">
        <f>INDEX('Data_Price '!AN$2:AN$1266,MATCH(Data!$DN530,'Data_Price '!$AT$2:$AT$1266,0))</f>
        <v>https://tinyurl.com/y92dtyg8</v>
      </c>
      <c r="DF530" t="str">
        <f>INDEX('Data_Price '!AO$2:AO$1266,MATCH(Data!$DN530,'Data_Price '!$AT$2:$AT$1266,0))</f>
        <v>Salomon Stance 88 Skis</v>
      </c>
      <c r="DG530" t="str">
        <f>INDEX('Data_Price '!AP$2:AP$1266,MATCH(Data!$DN530,'Data_Price '!$AT$2:$AT$1266,0))</f>
        <v>The-House.com</v>
      </c>
      <c r="DH530">
        <f>INDEX('Data_Price '!AQ$2:AQ$1266,MATCH(Data!$DN530,'Data_Price '!$AT$2:$AT$1266,0))</f>
        <v>407.95</v>
      </c>
      <c r="DI530" t="str">
        <f>INDEX('Data_Price '!AR$2:AR$1266,MATCH(Data!$DN530,'Data_Price '!$AT$2:$AT$1266,0))</f>
        <v>https://tinyurl.com/ycbt29hu</v>
      </c>
      <c r="DJ530" s="89" t="str">
        <f t="shared" si="328"/>
        <v>https://tinyurl.com/ycblwsgm</v>
      </c>
      <c r="DK530" s="89" t="str">
        <f t="shared" si="329"/>
        <v>https://tinyurl.com/y92dtyg8</v>
      </c>
      <c r="DL530" s="89" t="str">
        <f t="shared" si="330"/>
        <v>https://tinyurl.com/ycbt29hu</v>
      </c>
      <c r="DM530" s="219" t="str">
        <f t="shared" si="331"/>
        <v>Stance 88 W</v>
      </c>
      <c r="DN530" s="89" t="str">
        <f t="shared" si="332"/>
        <v xml:space="preserve"> SalomonStance 88 W161 Women's</v>
      </c>
      <c r="DO530" s="221" t="s">
        <v>546</v>
      </c>
    </row>
    <row r="531" spans="2:119" ht="15.6" customHeight="1">
      <c r="B531" s="219" t="b">
        <f t="array" ref="B531">IF(OR(ISERROR(K531:P531)),FALSE,TRUE)</f>
        <v>1</v>
      </c>
      <c r="C531" s="43" t="b">
        <f>OR(BR531=Driver!$G$50,Data!BR1165=Driver!$H$50)</f>
        <v>1</v>
      </c>
      <c r="D531" s="43" t="b">
        <f>OR(BV531=Driver!$G$51,BV531=Driver!$H$51)</f>
        <v>1</v>
      </c>
      <c r="E531" s="43" t="b">
        <f>AND(BX531&gt;Driver!$F$54,BX531&lt;Driver!$G$54)</f>
        <v>0</v>
      </c>
      <c r="F531" s="43" t="b">
        <f>CL531&gt;Driver!$F$56</f>
        <v>1</v>
      </c>
      <c r="G531" s="43" t="b">
        <f>AND(CB531&gt;Driver!$F$55,CB531&lt;Driver!$G$55)</f>
        <v>0</v>
      </c>
      <c r="H531" s="43" t="b">
        <f t="shared" si="296"/>
        <v>0</v>
      </c>
      <c r="I531" s="43">
        <f t="shared" si="297"/>
        <v>0</v>
      </c>
      <c r="J531" s="43" t="b">
        <f t="array" ref="J531">NOT(OR(($H$9:$H$1273=TRUE)*($I$9:$I$1273&gt;0)*($BT$9:$BT$1273=BT531)*($K$9:$K$1273&gt;K531)))</f>
        <v>1</v>
      </c>
      <c r="K531" s="72">
        <f t="shared" si="298"/>
        <v>0.8611207449035766</v>
      </c>
      <c r="L531" s="72">
        <f t="shared" si="299"/>
        <v>0.88960461779005762</v>
      </c>
      <c r="M531" s="72">
        <f t="shared" si="300"/>
        <v>0.83263687201709569</v>
      </c>
      <c r="N531" s="72">
        <f t="shared" si="301"/>
        <v>0.86435139490260782</v>
      </c>
      <c r="O531" s="72">
        <f t="shared" si="302"/>
        <v>0.65052372847059536</v>
      </c>
      <c r="P531" s="72">
        <f t="shared" si="303"/>
        <v>0.98303549267808388</v>
      </c>
      <c r="Q531" s="72"/>
      <c r="R531" s="72"/>
      <c r="S531" s="72">
        <f t="shared" si="304"/>
        <v>0.44807944727995097</v>
      </c>
      <c r="T531" s="72">
        <f t="shared" si="305"/>
        <v>0.49307870921172425</v>
      </c>
      <c r="U531" s="72">
        <f t="shared" si="306"/>
        <v>0.75499836880172988</v>
      </c>
      <c r="V531" s="72">
        <f t="shared" si="307"/>
        <v>0.52432291234971085</v>
      </c>
      <c r="W531" s="72">
        <f t="shared" si="308"/>
        <v>0.81157894736842107</v>
      </c>
      <c r="X531" s="72">
        <f t="shared" si="309"/>
        <v>0.11039538220994241</v>
      </c>
      <c r="Y531" s="72">
        <f t="shared" si="310"/>
        <v>0.16736312798290434</v>
      </c>
      <c r="Z531" s="72">
        <f t="shared" si="311"/>
        <v>0.13564860509739224</v>
      </c>
      <c r="AA531" s="72">
        <f t="shared" si="312"/>
        <v>0.34947627152940464</v>
      </c>
      <c r="AB531" s="72">
        <f t="shared" si="313"/>
        <v>1.696450732191615E-2</v>
      </c>
      <c r="AC531" s="72"/>
      <c r="AD531" s="72"/>
      <c r="AE531" s="72">
        <f t="shared" si="314"/>
        <v>0.55192055272004903</v>
      </c>
      <c r="AF531" s="72">
        <f t="shared" si="315"/>
        <v>0.50692129078827575</v>
      </c>
      <c r="AG531" s="72">
        <f t="shared" si="316"/>
        <v>0.24500163119827006</v>
      </c>
      <c r="AH531" s="72">
        <f t="shared" si="317"/>
        <v>0.47567708765028921</v>
      </c>
      <c r="AI531" s="72">
        <f t="shared" si="318"/>
        <v>0.18842105263157896</v>
      </c>
      <c r="AJ531" s="72">
        <f>(AV531-Driver!$K$179)/(Driver!$L$179-Driver!$K$179)</f>
        <v>0.14382402707275802</v>
      </c>
      <c r="AK531" s="72">
        <f>(AW531-Driver!$K$180)/(Driver!$L$180-Driver!$K$180)</f>
        <v>0.23607125692596581</v>
      </c>
      <c r="AL531" s="72">
        <f>(AX531-Driver!$K$181)/(Driver!$L$181-Driver!$K$181)</f>
        <v>0.23733636881047243</v>
      </c>
      <c r="AM531" s="72">
        <f>(AY531-Driver!$K$182)/(Driver!$L$182-Driver!$K$182)</f>
        <v>9.7908749567641729E-2</v>
      </c>
      <c r="AN531" s="72">
        <f>(AZ531-Driver!$K$183)/(Driver!$L$183-Driver!$K$183)</f>
        <v>0.23725490196078428</v>
      </c>
      <c r="AO531" s="72"/>
      <c r="AP531" s="72"/>
      <c r="AQ531" s="72">
        <f>(BC531-Driver!$K$188)/(Driver!$L$188-Driver!$K$188)</f>
        <v>6.8079447279950925E-2</v>
      </c>
      <c r="AR531" s="72">
        <f>MIN((BD531-Driver!$K$189)/(Driver!$L$189-Driver!$K$189),100%)</f>
        <v>4.3078709211724291E-2</v>
      </c>
      <c r="AS531" s="72">
        <f>(BE531-Driver!$K$190)/(Driver!$L$190-Driver!$K$190)</f>
        <v>0.26499836880172994</v>
      </c>
      <c r="AT531" s="72">
        <f>(BF531-Driver!$K$191)/(Driver!$L$191-Driver!$K$191)</f>
        <v>3.4322912349710785E-2</v>
      </c>
      <c r="AU531" s="72">
        <f>(BG531-Driver!$K$192)/(Driver!$L$192-Driver!$K$192)</f>
        <v>6.1578947368421039E-2</v>
      </c>
      <c r="AV531" s="70">
        <f t="shared" si="319"/>
        <v>3.0270655270655267</v>
      </c>
      <c r="AW531" s="70">
        <f t="shared" si="320"/>
        <v>24.879128413025828</v>
      </c>
      <c r="AX531" s="70">
        <f t="shared" si="321"/>
        <v>3.1360273192942518</v>
      </c>
      <c r="AY531" s="70">
        <f>IFERROR(Driver!$K$19/Data!BH531/Data!BI531*Data!BK531*Data!BL531,"")</f>
        <v>0.11986952262212418</v>
      </c>
      <c r="AZ531" s="70">
        <f t="shared" si="322"/>
        <v>21.623231571109454</v>
      </c>
      <c r="BA531" s="70"/>
      <c r="BB531" s="70"/>
      <c r="BC531" s="70">
        <f t="shared" si="323"/>
        <v>35.313282584749729</v>
      </c>
      <c r="BD531" s="70">
        <f t="shared" si="324"/>
        <v>5.5332123183793431</v>
      </c>
      <c r="BE531" s="70">
        <f t="shared" si="325"/>
        <v>0.26512948481993998</v>
      </c>
      <c r="BF531" s="70">
        <f t="shared" si="326"/>
        <v>3.8765318177934507</v>
      </c>
      <c r="BG531" s="70">
        <f t="shared" si="327"/>
        <v>0.23317717785843917</v>
      </c>
      <c r="BH531" s="67">
        <f>MAX((CE531-Driver!$F$200)/(Driver!$G$200-Driver!$F$200)*$BI$1,1)</f>
        <v>3.1360273192942518</v>
      </c>
      <c r="BI531" s="67">
        <f>MAX($BI$1*(BY531-Driver!$F$201)/(Driver!$G$201-Driver!$F$201),1)</f>
        <v>7.6582278481012658</v>
      </c>
      <c r="BJ531" s="67">
        <f>(CB531-Driver!$F$206)/(Driver!$G$206-Driver!$F$206)*$BI$1</f>
        <v>3.333333333333333</v>
      </c>
      <c r="BK531" s="67">
        <f>(CD531-Driver!$F$203)/(Driver!$G$203-Driver!$F$203)*$BI$1</f>
        <v>2.9816513761467895</v>
      </c>
      <c r="BL531" s="67">
        <f>MAX((CR531-Driver!$F$202)/(Driver!$G$202-Driver!$F$202)*$BI$1,1)</f>
        <v>4.8275862068965516</v>
      </c>
      <c r="BM531" s="67">
        <f>MAX((CH531-Driver!$F$204)/(Driver!$G$204-Driver!$F$204)*$BI$1,1)</f>
        <v>3.6324786324786325</v>
      </c>
      <c r="BN531" s="67">
        <f>(CI531-Driver!$F$205)/(Driver!$G$205-Driver!$F$205)*$BI$1</f>
        <v>2.8235294117647056</v>
      </c>
      <c r="BO531" s="67">
        <f>(CK531-Driver!$F$207)/(Driver!$G$207-Driver!$F$207)*$BI$1</f>
        <v>1.6339193381592554</v>
      </c>
      <c r="BP531" s="67">
        <f>(CM531-Driver!$F$208)/(Driver!$G$208-Driver!$F$208)*$BI$1</f>
        <v>2.1222222222222222</v>
      </c>
      <c r="BQ531" s="67">
        <f>(CL531-Driver!$F$209)/(Driver!$G$209-Driver!$F$209)*$BI$1</f>
        <v>2.65625</v>
      </c>
      <c r="BR531" s="28" t="s">
        <v>155</v>
      </c>
      <c r="BS531" s="8" t="s">
        <v>229</v>
      </c>
      <c r="BT531" s="9" t="s">
        <v>624</v>
      </c>
      <c r="BU531" s="10">
        <v>173</v>
      </c>
      <c r="BV531" s="9" t="s">
        <v>158</v>
      </c>
      <c r="BW531" s="10">
        <v>173</v>
      </c>
      <c r="BX531" s="10">
        <v>174.7</v>
      </c>
      <c r="BY531" s="10">
        <v>129</v>
      </c>
      <c r="BZ531" s="10">
        <v>150</v>
      </c>
      <c r="CA531" s="10">
        <v>128</v>
      </c>
      <c r="CB531" s="10">
        <v>85</v>
      </c>
      <c r="CC531" s="10">
        <v>110</v>
      </c>
      <c r="CD531" s="10">
        <v>15.9</v>
      </c>
      <c r="CE531" s="10">
        <v>1451</v>
      </c>
      <c r="CF531" s="10">
        <v>1.19</v>
      </c>
      <c r="CG531" s="10">
        <v>1732</v>
      </c>
      <c r="CH531" s="10">
        <v>186</v>
      </c>
      <c r="CI531" s="10">
        <v>81</v>
      </c>
      <c r="CJ531" s="10">
        <v>46</v>
      </c>
      <c r="CK531" s="10">
        <v>268</v>
      </c>
      <c r="CL531" s="10">
        <v>17</v>
      </c>
      <c r="CM531" s="10">
        <v>191</v>
      </c>
      <c r="CN531" s="10">
        <v>0.38</v>
      </c>
      <c r="CO531" s="10">
        <v>144</v>
      </c>
      <c r="CP531" s="10">
        <v>102</v>
      </c>
      <c r="CQ531" s="10">
        <v>124</v>
      </c>
      <c r="CR531" s="10">
        <v>3</v>
      </c>
      <c r="CS531" s="10">
        <v>11.9</v>
      </c>
      <c r="CT531" s="9" t="s">
        <v>188</v>
      </c>
      <c r="CU531" s="9" t="s">
        <v>185</v>
      </c>
      <c r="CV531" s="10"/>
      <c r="CW531" s="10"/>
      <c r="CX531" t="e">
        <f>INDEX('Data_Price '!AG$2:AG$1266,MATCH(Data!$DN531,'Data_Price '!$AT$2:$AT$1266,0))</f>
        <v>#N/A</v>
      </c>
      <c r="CY531" t="e">
        <f>INDEX('Data_Price '!AH$2:AH$1266,MATCH(Data!$DN531,'Data_Price '!$AT$2:$AT$1266,0))</f>
        <v>#N/A</v>
      </c>
      <c r="CZ531" t="e">
        <f>INDEX('Data_Price '!AI$2:AI$1266,MATCH(Data!$DN531,'Data_Price '!$AT$2:$AT$1266,0))</f>
        <v>#N/A</v>
      </c>
      <c r="DA531" t="e">
        <f>INDEX('Data_Price '!AJ$2:AJ$1266,MATCH(Data!$DN531,'Data_Price '!$AT$2:$AT$1266,0))</f>
        <v>#N/A</v>
      </c>
      <c r="DB531" t="e">
        <f>INDEX('Data_Price '!AK$2:AK$1266,MATCH(Data!$DN531,'Data_Price '!$AT$2:$AT$1266,0))</f>
        <v>#N/A</v>
      </c>
      <c r="DC531" t="e">
        <f>INDEX('Data_Price '!AL$2:AL$1266,MATCH(Data!$DN531,'Data_Price '!$AT$2:$AT$1266,0))</f>
        <v>#N/A</v>
      </c>
      <c r="DD531" t="e">
        <f>INDEX('Data_Price '!AM$2:AM$1266,MATCH(Data!$DN531,'Data_Price '!$AT$2:$AT$1266,0))</f>
        <v>#N/A</v>
      </c>
      <c r="DE531" t="e">
        <f>INDEX('Data_Price '!AN$2:AN$1266,MATCH(Data!$DN531,'Data_Price '!$AT$2:$AT$1266,0))</f>
        <v>#N/A</v>
      </c>
      <c r="DF531" t="e">
        <f>INDEX('Data_Price '!AO$2:AO$1266,MATCH(Data!$DN531,'Data_Price '!$AT$2:$AT$1266,0))</f>
        <v>#N/A</v>
      </c>
      <c r="DG531" t="e">
        <f>INDEX('Data_Price '!AP$2:AP$1266,MATCH(Data!$DN531,'Data_Price '!$AT$2:$AT$1266,0))</f>
        <v>#N/A</v>
      </c>
      <c r="DH531" t="e">
        <f>INDEX('Data_Price '!AQ$2:AQ$1266,MATCH(Data!$DN531,'Data_Price '!$AT$2:$AT$1266,0))</f>
        <v>#N/A</v>
      </c>
      <c r="DI531" t="e">
        <f>INDEX('Data_Price '!AR$2:AR$1266,MATCH(Data!$DN531,'Data_Price '!$AT$2:$AT$1266,0))</f>
        <v>#N/A</v>
      </c>
      <c r="DJ531" s="89" t="e">
        <f t="shared" si="328"/>
        <v>#N/A</v>
      </c>
      <c r="DK531" s="89" t="e">
        <f t="shared" si="329"/>
        <v>#N/A</v>
      </c>
      <c r="DL531" s="89" t="e">
        <f t="shared" si="330"/>
        <v>#N/A</v>
      </c>
      <c r="DM531" s="219" t="str">
        <f t="shared" si="331"/>
        <v>Blaze 86</v>
      </c>
      <c r="DN531" s="89" t="str">
        <f t="shared" si="332"/>
        <v xml:space="preserve"> VölklBlaze 86173 Unisex</v>
      </c>
      <c r="DO531" s="221" t="s">
        <v>625</v>
      </c>
    </row>
    <row r="532" spans="2:119" ht="15.6" customHeight="1">
      <c r="B532" s="219" t="b">
        <f t="array" ref="B532">IF(OR(ISERROR(K532:P532)),FALSE,TRUE)</f>
        <v>1</v>
      </c>
      <c r="C532" s="43" t="b">
        <f>OR(BR532=Driver!$G$50,Data!BR1247=Driver!$H$50)</f>
        <v>1</v>
      </c>
      <c r="D532" s="43" t="b">
        <f>OR(BV532=Driver!$G$51,BV532=Driver!$H$51)</f>
        <v>1</v>
      </c>
      <c r="E532" s="43" t="b">
        <f>AND(BX532&gt;Driver!$F$54,BX532&lt;Driver!$G$54)</f>
        <v>0</v>
      </c>
      <c r="F532" s="43" t="b">
        <f>CL532&gt;Driver!$F$56</f>
        <v>1</v>
      </c>
      <c r="G532" s="43" t="b">
        <f>AND(CB532&gt;Driver!$F$55,CB532&lt;Driver!$G$55)</f>
        <v>0</v>
      </c>
      <c r="H532" s="43" t="b">
        <f t="shared" si="296"/>
        <v>0</v>
      </c>
      <c r="I532" s="43">
        <f t="shared" si="297"/>
        <v>0</v>
      </c>
      <c r="J532" s="43" t="b">
        <f t="array" ref="J532">NOT(OR(($H$9:$H$1273=TRUE)*($I$9:$I$1273&gt;0)*($BT$9:$BT$1273=BT532)*($K$9:$K$1273&gt;K532)))</f>
        <v>1</v>
      </c>
      <c r="K532" s="72">
        <f t="shared" si="298"/>
        <v>0.9025447940717144</v>
      </c>
      <c r="L532" s="72">
        <f t="shared" si="299"/>
        <v>0.91998089689730111</v>
      </c>
      <c r="M532" s="72">
        <f t="shared" si="300"/>
        <v>0.88510869124612757</v>
      </c>
      <c r="N532" s="72">
        <f t="shared" si="301"/>
        <v>0.92379615554258754</v>
      </c>
      <c r="O532" s="72">
        <f t="shared" si="302"/>
        <v>0.73807775885104476</v>
      </c>
      <c r="P532" s="72">
        <f t="shared" si="303"/>
        <v>0.99345215934475051</v>
      </c>
      <c r="Q532" s="72"/>
      <c r="R532" s="72"/>
      <c r="S532" s="72">
        <f t="shared" si="304"/>
        <v>0.48238478676156826</v>
      </c>
      <c r="T532" s="72">
        <f t="shared" si="305"/>
        <v>0.47272647993982808</v>
      </c>
      <c r="U532" s="72">
        <f t="shared" si="306"/>
        <v>0.51</v>
      </c>
      <c r="V532" s="72">
        <f t="shared" si="307"/>
        <v>0.49925353180432253</v>
      </c>
      <c r="W532" s="72">
        <f t="shared" si="308"/>
        <v>0.76579682480562417</v>
      </c>
      <c r="X532" s="72">
        <f t="shared" si="309"/>
        <v>8.0019103102698858E-2</v>
      </c>
      <c r="Y532" s="72">
        <f t="shared" si="310"/>
        <v>0.11489130875387239</v>
      </c>
      <c r="Z532" s="72">
        <f t="shared" si="311"/>
        <v>7.6203844457412448E-2</v>
      </c>
      <c r="AA532" s="72">
        <f t="shared" si="312"/>
        <v>0.26192224114895524</v>
      </c>
      <c r="AB532" s="72">
        <f t="shared" si="313"/>
        <v>6.5478406552494928E-3</v>
      </c>
      <c r="AC532" s="72"/>
      <c r="AD532" s="72"/>
      <c r="AE532" s="72">
        <f t="shared" si="314"/>
        <v>0.51761521323843174</v>
      </c>
      <c r="AF532" s="72">
        <f t="shared" si="315"/>
        <v>0.52727352006017192</v>
      </c>
      <c r="AG532" s="72">
        <f t="shared" si="316"/>
        <v>0.49</v>
      </c>
      <c r="AH532" s="72">
        <f t="shared" si="317"/>
        <v>0.50074646819567747</v>
      </c>
      <c r="AI532" s="72">
        <f t="shared" si="318"/>
        <v>0.23420317519437589</v>
      </c>
      <c r="AJ532" s="72">
        <f>(AV532-Driver!$K$179)/(Driver!$L$179-Driver!$K$179)</f>
        <v>0.17420030618000157</v>
      </c>
      <c r="AK532" s="72">
        <f>(AW532-Driver!$K$180)/(Driver!$L$180-Driver!$K$180)</f>
        <v>0.24142281239060848</v>
      </c>
      <c r="AL532" s="72">
        <f>(AX532-Driver!$K$181)/(Driver!$L$181-Driver!$K$181)</f>
        <v>0.17789160817049263</v>
      </c>
      <c r="AM532" s="72">
        <f>(AY532-Driver!$K$182)/(Driver!$L$182-Driver!$K$182)</f>
        <v>0.18546277994809113</v>
      </c>
      <c r="AN532" s="72">
        <f>(AZ532-Driver!$K$183)/(Driver!$L$183-Driver!$K$183)</f>
        <v>0.24767156862745093</v>
      </c>
      <c r="AO532" s="72"/>
      <c r="AP532" s="72"/>
      <c r="AQ532" s="72">
        <f>(BC532-Driver!$K$188)/(Driver!$L$188-Driver!$K$188)</f>
        <v>0.10238478676156823</v>
      </c>
      <c r="AR532" s="72">
        <f>MIN((BD532-Driver!$K$189)/(Driver!$L$189-Driver!$K$189),100%)</f>
        <v>2.2726479939828081E-2</v>
      </c>
      <c r="AS532" s="72">
        <f>(BE532-Driver!$K$190)/(Driver!$L$190-Driver!$K$190)</f>
        <v>1</v>
      </c>
      <c r="AT532" s="72">
        <f>(BF532-Driver!$K$191)/(Driver!$L$191-Driver!$K$191)</f>
        <v>9.2535318043224964E-3</v>
      </c>
      <c r="AU532" s="72">
        <f>(BG532-Driver!$K$192)/(Driver!$L$192-Driver!$K$192)</f>
        <v>1.5796824805624096E-2</v>
      </c>
      <c r="AV532" s="70">
        <f t="shared" si="319"/>
        <v>3.6663953330619994</v>
      </c>
      <c r="AW532" s="70">
        <f t="shared" si="320"/>
        <v>25.400684912660594</v>
      </c>
      <c r="AX532" s="70">
        <f t="shared" si="321"/>
        <v>2.6010244735344337</v>
      </c>
      <c r="AY532" s="70">
        <f>IFERROR(Driver!$K$19/Data!BH532/Data!BI532*Data!BK532*Data!BL532,"")</f>
        <v>0.2270617794091109</v>
      </c>
      <c r="AZ532" s="70">
        <f t="shared" si="322"/>
        <v>22.572598659717048</v>
      </c>
      <c r="BA532" s="70"/>
      <c r="BB532" s="70"/>
      <c r="BC532" s="70">
        <f t="shared" si="323"/>
        <v>53.107700660715594</v>
      </c>
      <c r="BD532" s="70">
        <f t="shared" si="324"/>
        <v>3.7320760898328973</v>
      </c>
      <c r="BE532" s="70">
        <f t="shared" si="325"/>
        <v>1</v>
      </c>
      <c r="BF532" s="70">
        <f t="shared" si="326"/>
        <v>1.0451214075580058</v>
      </c>
      <c r="BG532" s="70">
        <f t="shared" si="327"/>
        <v>5.9816855998882631E-2</v>
      </c>
      <c r="BH532" s="67">
        <f>MAX((CE532-Driver!$F$200)/(Driver!$G$200-Driver!$F$200)*$BI$1,1)</f>
        <v>2.6010244735344337</v>
      </c>
      <c r="BI532" s="67">
        <f>MAX($BI$1*(BY532-Driver!$F$201)/(Driver!$G$201-Driver!$F$201),1)</f>
        <v>8.924050632911392</v>
      </c>
      <c r="BJ532" s="67">
        <f>(CB532-Driver!$F$206)/(Driver!$G$206-Driver!$F$206)*$BI$1</f>
        <v>3.6507936507936507</v>
      </c>
      <c r="BK532" s="67">
        <f>(CD532-Driver!$F$203)/(Driver!$G$203-Driver!$F$203)*$BI$1</f>
        <v>4.4954128440366974</v>
      </c>
      <c r="BL532" s="67">
        <f>MAX((CR532-Driver!$F$202)/(Driver!$G$202-Driver!$F$202)*$BI$1,1)</f>
        <v>5.8620689655172411</v>
      </c>
      <c r="BM532" s="67">
        <f>MAX((CH532-Driver!$F$204)/(Driver!$G$204-Driver!$F$204)*$BI$1,1)</f>
        <v>4.017094017094017</v>
      </c>
      <c r="BN532" s="67">
        <f>(CI532-Driver!$F$205)/(Driver!$G$205-Driver!$F$205)*$BI$1</f>
        <v>2.5294117647058822</v>
      </c>
      <c r="BO532" s="67">
        <f>(CK532-Driver!$F$207)/(Driver!$G$207-Driver!$F$207)*$BI$1</f>
        <v>1.8097207859358841</v>
      </c>
      <c r="BP532" s="67">
        <f>(CM532-Driver!$F$208)/(Driver!$G$208-Driver!$F$208)*$BI$1</f>
        <v>0.71111111111111114</v>
      </c>
      <c r="BQ532" s="67">
        <f>(CL532-Driver!$F$209)/(Driver!$G$209-Driver!$F$209)*$BI$1</f>
        <v>0.625</v>
      </c>
      <c r="BR532" s="28" t="s">
        <v>155</v>
      </c>
      <c r="BS532" s="8" t="s">
        <v>229</v>
      </c>
      <c r="BT532" s="9" t="s">
        <v>656</v>
      </c>
      <c r="BU532" s="10">
        <v>184</v>
      </c>
      <c r="BV532" s="9" t="s">
        <v>158</v>
      </c>
      <c r="BW532" s="10">
        <v>184</v>
      </c>
      <c r="BX532" s="10">
        <v>184</v>
      </c>
      <c r="BY532" s="10">
        <v>149</v>
      </c>
      <c r="BZ532" s="10">
        <v>163</v>
      </c>
      <c r="CA532" s="10">
        <v>130</v>
      </c>
      <c r="CB532" s="10">
        <v>87</v>
      </c>
      <c r="CC532" s="10">
        <v>111</v>
      </c>
      <c r="CD532" s="10">
        <v>19.2</v>
      </c>
      <c r="CE532" s="10">
        <v>1357</v>
      </c>
      <c r="CF532" s="10">
        <v>1.36</v>
      </c>
      <c r="CG532" s="10">
        <v>1847</v>
      </c>
      <c r="CH532" s="10">
        <v>195</v>
      </c>
      <c r="CI532" s="10">
        <v>76</v>
      </c>
      <c r="CJ532" s="10">
        <v>47</v>
      </c>
      <c r="CK532" s="10">
        <v>285</v>
      </c>
      <c r="CL532" s="10">
        <v>4</v>
      </c>
      <c r="CM532" s="10">
        <v>64</v>
      </c>
      <c r="CN532" s="10">
        <v>8.6999999999999994E-2</v>
      </c>
      <c r="CO532" s="10">
        <v>122</v>
      </c>
      <c r="CP532" s="10">
        <v>90</v>
      </c>
      <c r="CQ532" s="10">
        <v>164</v>
      </c>
      <c r="CR532" s="10">
        <v>6</v>
      </c>
      <c r="CS532" s="10">
        <v>12.5</v>
      </c>
      <c r="CT532" s="9" t="s">
        <v>185</v>
      </c>
      <c r="CU532" s="9" t="s">
        <v>198</v>
      </c>
      <c r="CV532" s="10"/>
      <c r="CW532" s="10"/>
      <c r="CX532" t="e">
        <f>INDEX('Data_Price '!AG$2:AG$1266,MATCH(Data!$DN532,'Data_Price '!$AT$2:$AT$1266,0))</f>
        <v>#N/A</v>
      </c>
      <c r="CY532" t="e">
        <f>INDEX('Data_Price '!AH$2:AH$1266,MATCH(Data!$DN532,'Data_Price '!$AT$2:$AT$1266,0))</f>
        <v>#N/A</v>
      </c>
      <c r="CZ532" t="e">
        <f>INDEX('Data_Price '!AI$2:AI$1266,MATCH(Data!$DN532,'Data_Price '!$AT$2:$AT$1266,0))</f>
        <v>#N/A</v>
      </c>
      <c r="DA532" t="e">
        <f>INDEX('Data_Price '!AJ$2:AJ$1266,MATCH(Data!$DN532,'Data_Price '!$AT$2:$AT$1266,0))</f>
        <v>#N/A</v>
      </c>
      <c r="DB532" t="e">
        <f>INDEX('Data_Price '!AK$2:AK$1266,MATCH(Data!$DN532,'Data_Price '!$AT$2:$AT$1266,0))</f>
        <v>#N/A</v>
      </c>
      <c r="DC532" t="e">
        <f>INDEX('Data_Price '!AL$2:AL$1266,MATCH(Data!$DN532,'Data_Price '!$AT$2:$AT$1266,0))</f>
        <v>#N/A</v>
      </c>
      <c r="DD532" t="e">
        <f>INDEX('Data_Price '!AM$2:AM$1266,MATCH(Data!$DN532,'Data_Price '!$AT$2:$AT$1266,0))</f>
        <v>#N/A</v>
      </c>
      <c r="DE532" t="e">
        <f>INDEX('Data_Price '!AN$2:AN$1266,MATCH(Data!$DN532,'Data_Price '!$AT$2:$AT$1266,0))</f>
        <v>#N/A</v>
      </c>
      <c r="DF532" t="e">
        <f>INDEX('Data_Price '!AO$2:AO$1266,MATCH(Data!$DN532,'Data_Price '!$AT$2:$AT$1266,0))</f>
        <v>#N/A</v>
      </c>
      <c r="DG532" t="e">
        <f>INDEX('Data_Price '!AP$2:AP$1266,MATCH(Data!$DN532,'Data_Price '!$AT$2:$AT$1266,0))</f>
        <v>#N/A</v>
      </c>
      <c r="DH532" t="e">
        <f>INDEX('Data_Price '!AQ$2:AQ$1266,MATCH(Data!$DN532,'Data_Price '!$AT$2:$AT$1266,0))</f>
        <v>#N/A</v>
      </c>
      <c r="DI532" t="e">
        <f>INDEX('Data_Price '!AR$2:AR$1266,MATCH(Data!$DN532,'Data_Price '!$AT$2:$AT$1266,0))</f>
        <v>#N/A</v>
      </c>
      <c r="DJ532" s="89" t="e">
        <f t="shared" si="328"/>
        <v>#N/A</v>
      </c>
      <c r="DK532" s="89" t="e">
        <f t="shared" si="329"/>
        <v>#N/A</v>
      </c>
      <c r="DL532" s="89" t="e">
        <f t="shared" si="330"/>
        <v>#N/A</v>
      </c>
      <c r="DM532" s="219" t="str">
        <f t="shared" si="331"/>
        <v>Rise Above 88</v>
      </c>
      <c r="DN532" s="89" t="str">
        <f t="shared" si="332"/>
        <v xml:space="preserve"> VölklRise Above 88184 Unisex</v>
      </c>
      <c r="DO532" s="221"/>
    </row>
    <row r="533" spans="2:119" ht="15.6" customHeight="1">
      <c r="B533" s="219" t="b">
        <f t="array" ref="B533">IF(OR(ISERROR(K533:P533)),FALSE,TRUE)</f>
        <v>1</v>
      </c>
      <c r="C533" s="43" t="b">
        <f>OR(BR533=Driver!$G$50,Data!BR1149=Driver!$H$50)</f>
        <v>1</v>
      </c>
      <c r="D533" s="43" t="b">
        <f>OR(BV533=Driver!$G$51,BV533=Driver!$H$51)</f>
        <v>1</v>
      </c>
      <c r="E533" s="43" t="b">
        <f>AND(BX533&gt;Driver!$F$54,BX533&lt;Driver!$G$54)</f>
        <v>1</v>
      </c>
      <c r="F533" s="43" t="b">
        <f>CL533&gt;Driver!$F$56</f>
        <v>1</v>
      </c>
      <c r="G533" s="43" t="b">
        <f>AND(CB533&gt;Driver!$F$55,CB533&lt;Driver!$G$55)</f>
        <v>0</v>
      </c>
      <c r="H533" s="43" t="b">
        <f t="shared" si="296"/>
        <v>0</v>
      </c>
      <c r="I533" s="43">
        <f t="shared" si="297"/>
        <v>0</v>
      </c>
      <c r="J533" s="43" t="b">
        <f t="array" ref="J533">NOT(OR(($H$9:$H$1273=TRUE)*($I$9:$I$1273&gt;0)*($BT$9:$BT$1273=BT533)*($K$9:$K$1273&gt;K533)))</f>
        <v>1</v>
      </c>
      <c r="K533" s="72">
        <f t="shared" si="298"/>
        <v>0.81946101105881008</v>
      </c>
      <c r="L533" s="72">
        <f t="shared" si="299"/>
        <v>0.84391933860224033</v>
      </c>
      <c r="M533" s="72">
        <f t="shared" si="300"/>
        <v>0.79500268351537995</v>
      </c>
      <c r="N533" s="72">
        <f t="shared" si="301"/>
        <v>0.76822795216561923</v>
      </c>
      <c r="O533" s="72">
        <f t="shared" si="302"/>
        <v>0.66430016125799241</v>
      </c>
      <c r="P533" s="72">
        <f t="shared" si="303"/>
        <v>0.95247993712252832</v>
      </c>
      <c r="Q533" s="72"/>
      <c r="R533" s="72"/>
      <c r="S533" s="72">
        <f t="shared" si="304"/>
        <v>0.45847386172479188</v>
      </c>
      <c r="T533" s="72">
        <f t="shared" si="305"/>
        <v>0.47169586895987214</v>
      </c>
      <c r="U533" s="72">
        <f t="shared" si="306"/>
        <v>0.57679269075227202</v>
      </c>
      <c r="V533" s="72">
        <f t="shared" si="307"/>
        <v>0.51395256591175387</v>
      </c>
      <c r="W533" s="72">
        <f t="shared" si="308"/>
        <v>0.91642958748221903</v>
      </c>
      <c r="X533" s="72">
        <f t="shared" si="309"/>
        <v>0.15608066139775967</v>
      </c>
      <c r="Y533" s="72">
        <f t="shared" si="310"/>
        <v>0.20499731648462002</v>
      </c>
      <c r="Z533" s="72">
        <f t="shared" si="311"/>
        <v>0.23177204783438077</v>
      </c>
      <c r="AA533" s="72">
        <f t="shared" si="312"/>
        <v>0.33569983874200759</v>
      </c>
      <c r="AB533" s="72">
        <f t="shared" si="313"/>
        <v>4.7520062877471708E-2</v>
      </c>
      <c r="AC533" s="72"/>
      <c r="AD533" s="72"/>
      <c r="AE533" s="72">
        <f t="shared" si="314"/>
        <v>0.54152613827520812</v>
      </c>
      <c r="AF533" s="72">
        <f t="shared" si="315"/>
        <v>0.52830413104012786</v>
      </c>
      <c r="AG533" s="72">
        <f t="shared" si="316"/>
        <v>0.42320730924772798</v>
      </c>
      <c r="AH533" s="72">
        <f t="shared" si="317"/>
        <v>0.48604743408824613</v>
      </c>
      <c r="AI533" s="72">
        <f t="shared" si="318"/>
        <v>8.357041251778094E-2</v>
      </c>
      <c r="AJ533" s="72">
        <f>(AV533-Driver!$K$179)/(Driver!$L$179-Driver!$K$179)</f>
        <v>9.8138747884940772E-2</v>
      </c>
      <c r="AK533" s="72">
        <f>(AW533-Driver!$K$180)/(Driver!$L$180-Driver!$K$180)</f>
        <v>0.21654678618900738</v>
      </c>
      <c r="AL533" s="72">
        <f>(AX533-Driver!$K$181)/(Driver!$L$181-Driver!$K$181)</f>
        <v>0.33345981154746096</v>
      </c>
      <c r="AM533" s="72">
        <f>(AY533-Driver!$K$182)/(Driver!$L$182-Driver!$K$182)</f>
        <v>0.11168518235503878</v>
      </c>
      <c r="AN533" s="72">
        <f>(AZ533-Driver!$K$183)/(Driver!$L$183-Driver!$K$183)</f>
        <v>0.20669934640522872</v>
      </c>
      <c r="AO533" s="72"/>
      <c r="AP533" s="72"/>
      <c r="AQ533" s="72">
        <f>(BC533-Driver!$K$188)/(Driver!$L$188-Driver!$K$188)</f>
        <v>7.8473861724791899E-2</v>
      </c>
      <c r="AR533" s="72">
        <f>MIN((BD533-Driver!$K$189)/(Driver!$L$189-Driver!$K$189),100%)</f>
        <v>2.169586895987221E-2</v>
      </c>
      <c r="AS533" s="72">
        <f>(BE533-Driver!$K$190)/(Driver!$L$190-Driver!$K$190)</f>
        <v>8.6792690752272028E-2</v>
      </c>
      <c r="AT533" s="72">
        <f>(BF533-Driver!$K$191)/(Driver!$L$191-Driver!$K$191)</f>
        <v>2.39525659117539E-2</v>
      </c>
      <c r="AU533" s="72">
        <f>(BG533-Driver!$K$192)/(Driver!$L$192-Driver!$K$192)</f>
        <v>0.16642958748221906</v>
      </c>
      <c r="AV533" s="70">
        <f t="shared" si="319"/>
        <v>2.0655270655270654</v>
      </c>
      <c r="AW533" s="70">
        <f t="shared" si="320"/>
        <v>22.976295735299036</v>
      </c>
      <c r="AX533" s="70">
        <f t="shared" si="321"/>
        <v>4.0011383039271484</v>
      </c>
      <c r="AY533" s="70">
        <f>IFERROR(Driver!$K$19/Data!BH533/Data!BI533*Data!BK533*Data!BL533,"")</f>
        <v>0.13673598684471328</v>
      </c>
      <c r="AZ533" s="70">
        <f t="shared" si="322"/>
        <v>18.838421444527174</v>
      </c>
      <c r="BA533" s="70"/>
      <c r="BB533" s="70"/>
      <c r="BC533" s="70">
        <f t="shared" si="323"/>
        <v>40.70493761808563</v>
      </c>
      <c r="BD533" s="70">
        <f t="shared" si="324"/>
        <v>3.640868844241401</v>
      </c>
      <c r="BE533" s="70">
        <f t="shared" si="325"/>
        <v>8.6955596657655745E-2</v>
      </c>
      <c r="BF533" s="70">
        <f t="shared" si="326"/>
        <v>2.705274043433298</v>
      </c>
      <c r="BG533" s="70">
        <f t="shared" si="327"/>
        <v>0.63020858880659247</v>
      </c>
      <c r="BH533" s="67">
        <f>MAX((CE533-Driver!$F$200)/(Driver!$G$200-Driver!$F$200)*$BI$1,1)</f>
        <v>4.0011383039271484</v>
      </c>
      <c r="BI533" s="67">
        <f>MAX($BI$1*(BY533-Driver!$F$201)/(Driver!$G$201-Driver!$F$201),1)</f>
        <v>6.962025316455696</v>
      </c>
      <c r="BJ533" s="67">
        <f>(CB533-Driver!$F$206)/(Driver!$G$206-Driver!$F$206)*$BI$1</f>
        <v>3.333333333333333</v>
      </c>
      <c r="BK533" s="67">
        <f>(CD533-Driver!$F$203)/(Driver!$G$203-Driver!$F$203)*$BI$1</f>
        <v>3.9449541284403673</v>
      </c>
      <c r="BL533" s="67">
        <f>MAX((CR533-Driver!$F$202)/(Driver!$G$202-Driver!$F$202)*$BI$1,1)</f>
        <v>4.8275862068965516</v>
      </c>
      <c r="BM533" s="67">
        <f>MAX((CH533-Driver!$F$204)/(Driver!$G$204-Driver!$F$204)*$BI$1,1)</f>
        <v>2.4786324786324787</v>
      </c>
      <c r="BN533" s="67">
        <f>(CI533-Driver!$F$205)/(Driver!$G$205-Driver!$F$205)*$BI$1</f>
        <v>2.7058823529411762</v>
      </c>
      <c r="BO533" s="67">
        <f>(CK533-Driver!$F$207)/(Driver!$G$207-Driver!$F$207)*$BI$1</f>
        <v>1.3340227507755946</v>
      </c>
      <c r="BP533" s="67">
        <f>(CM533-Driver!$F$208)/(Driver!$G$208-Driver!$F$208)*$BI$1</f>
        <v>2.4</v>
      </c>
      <c r="BQ533" s="67">
        <f>(CL533-Driver!$F$209)/(Driver!$G$209-Driver!$F$209)*$BI$1</f>
        <v>6.25</v>
      </c>
      <c r="BR533" s="28" t="s">
        <v>155</v>
      </c>
      <c r="BS533" s="8" t="s">
        <v>229</v>
      </c>
      <c r="BT533" s="9" t="s">
        <v>470</v>
      </c>
      <c r="BU533" s="10">
        <v>164</v>
      </c>
      <c r="BV533" s="9" t="s">
        <v>158</v>
      </c>
      <c r="BW533" s="10">
        <v>164</v>
      </c>
      <c r="BX533" s="10">
        <v>163</v>
      </c>
      <c r="BY533" s="10">
        <v>118</v>
      </c>
      <c r="BZ533" s="10">
        <v>148</v>
      </c>
      <c r="CA533" s="10">
        <v>119</v>
      </c>
      <c r="CB533" s="10">
        <v>85</v>
      </c>
      <c r="CC533" s="10">
        <v>109</v>
      </c>
      <c r="CD533" s="10">
        <v>18</v>
      </c>
      <c r="CE533" s="10">
        <v>1603</v>
      </c>
      <c r="CF533" s="10">
        <v>0.97</v>
      </c>
      <c r="CG533" s="10">
        <v>1560</v>
      </c>
      <c r="CH533" s="10">
        <v>159</v>
      </c>
      <c r="CI533" s="10">
        <v>79</v>
      </c>
      <c r="CJ533" s="10">
        <v>42</v>
      </c>
      <c r="CK533" s="10">
        <v>239</v>
      </c>
      <c r="CL533" s="10">
        <v>40</v>
      </c>
      <c r="CM533" s="10">
        <v>216</v>
      </c>
      <c r="CN533" s="10">
        <v>0.96</v>
      </c>
      <c r="CO533" s="10">
        <v>82</v>
      </c>
      <c r="CP533" s="10">
        <v>68</v>
      </c>
      <c r="CQ533" s="10">
        <v>157</v>
      </c>
      <c r="CR533" s="10">
        <v>3</v>
      </c>
      <c r="CS533" s="10">
        <v>1.6</v>
      </c>
      <c r="CT533" s="9" t="s">
        <v>184</v>
      </c>
      <c r="CU533" s="10"/>
      <c r="CV533" s="10"/>
      <c r="CW533" s="10"/>
      <c r="CX533" t="e">
        <f>INDEX('Data_Price '!AG$2:AG$1266,MATCH(Data!$DN533,'Data_Price '!$AT$2:$AT$1266,0))</f>
        <v>#N/A</v>
      </c>
      <c r="CY533" t="e">
        <f>INDEX('Data_Price '!AH$2:AH$1266,MATCH(Data!$DN533,'Data_Price '!$AT$2:$AT$1266,0))</f>
        <v>#N/A</v>
      </c>
      <c r="CZ533" t="e">
        <f>INDEX('Data_Price '!AI$2:AI$1266,MATCH(Data!$DN533,'Data_Price '!$AT$2:$AT$1266,0))</f>
        <v>#N/A</v>
      </c>
      <c r="DA533" t="e">
        <f>INDEX('Data_Price '!AJ$2:AJ$1266,MATCH(Data!$DN533,'Data_Price '!$AT$2:$AT$1266,0))</f>
        <v>#N/A</v>
      </c>
      <c r="DB533" t="e">
        <f>INDEX('Data_Price '!AK$2:AK$1266,MATCH(Data!$DN533,'Data_Price '!$AT$2:$AT$1266,0))</f>
        <v>#N/A</v>
      </c>
      <c r="DC533" t="e">
        <f>INDEX('Data_Price '!AL$2:AL$1266,MATCH(Data!$DN533,'Data_Price '!$AT$2:$AT$1266,0))</f>
        <v>#N/A</v>
      </c>
      <c r="DD533" t="e">
        <f>INDEX('Data_Price '!AM$2:AM$1266,MATCH(Data!$DN533,'Data_Price '!$AT$2:$AT$1266,0))</f>
        <v>#N/A</v>
      </c>
      <c r="DE533" t="e">
        <f>INDEX('Data_Price '!AN$2:AN$1266,MATCH(Data!$DN533,'Data_Price '!$AT$2:$AT$1266,0))</f>
        <v>#N/A</v>
      </c>
      <c r="DF533" t="e">
        <f>INDEX('Data_Price '!AO$2:AO$1266,MATCH(Data!$DN533,'Data_Price '!$AT$2:$AT$1266,0))</f>
        <v>#N/A</v>
      </c>
      <c r="DG533" t="e">
        <f>INDEX('Data_Price '!AP$2:AP$1266,MATCH(Data!$DN533,'Data_Price '!$AT$2:$AT$1266,0))</f>
        <v>#N/A</v>
      </c>
      <c r="DH533" t="e">
        <f>INDEX('Data_Price '!AQ$2:AQ$1266,MATCH(Data!$DN533,'Data_Price '!$AT$2:$AT$1266,0))</f>
        <v>#N/A</v>
      </c>
      <c r="DI533" t="e">
        <f>INDEX('Data_Price '!AR$2:AR$1266,MATCH(Data!$DN533,'Data_Price '!$AT$2:$AT$1266,0))</f>
        <v>#N/A</v>
      </c>
      <c r="DJ533" s="89" t="e">
        <f t="shared" si="328"/>
        <v>#N/A</v>
      </c>
      <c r="DK533" s="89" t="e">
        <f t="shared" si="329"/>
        <v>#N/A</v>
      </c>
      <c r="DL533" s="89" t="e">
        <f t="shared" si="330"/>
        <v>#N/A</v>
      </c>
      <c r="DM533" s="219" t="str">
        <f t="shared" si="331"/>
        <v>Bash 86</v>
      </c>
      <c r="DN533" s="89" t="str">
        <f t="shared" si="332"/>
        <v xml:space="preserve"> VölklBash 86164 Unisex</v>
      </c>
      <c r="DO533" s="221" t="s">
        <v>471</v>
      </c>
    </row>
    <row r="534" spans="2:119" ht="15.6" customHeight="1">
      <c r="B534" s="219" t="b">
        <f t="array" ref="B534">IF(OR(ISERROR(K534:P534)),FALSE,TRUE)</f>
        <v>1</v>
      </c>
      <c r="C534" s="43" t="b">
        <f>OR(BR534=Driver!$G$50,Data!BR842=Driver!$H$50)</f>
        <v>1</v>
      </c>
      <c r="D534" s="43" t="b">
        <f>OR(BV534=Driver!$G$51,BV534=Driver!$H$51)</f>
        <v>1</v>
      </c>
      <c r="E534" s="43" t="b">
        <f>AND(BX534&gt;Driver!$F$54,BX534&lt;Driver!$G$54)</f>
        <v>0</v>
      </c>
      <c r="F534" s="43" t="b">
        <f>CL534&gt;Driver!$F$56</f>
        <v>1</v>
      </c>
      <c r="G534" s="43" t="b">
        <f>AND(CB534&gt;Driver!$F$55,CB534&lt;Driver!$G$55)</f>
        <v>0</v>
      </c>
      <c r="H534" s="43" t="b">
        <f t="shared" si="296"/>
        <v>0</v>
      </c>
      <c r="I534" s="43">
        <f t="shared" si="297"/>
        <v>0</v>
      </c>
      <c r="J534" s="43" t="b">
        <f t="array" ref="J534">NOT(OR(($H$9:$H$1273=TRUE)*($I$9:$I$1273&gt;0)*($BT$9:$BT$1273=BT534)*($K$9:$K$1273&gt;K534)))</f>
        <v>1</v>
      </c>
      <c r="K534" s="72">
        <f t="shared" si="298"/>
        <v>0.80808856462509282</v>
      </c>
      <c r="L534" s="72">
        <f t="shared" si="299"/>
        <v>0.91484304960177232</v>
      </c>
      <c r="M534" s="72">
        <f t="shared" si="300"/>
        <v>0.70133407964841354</v>
      </c>
      <c r="N534" s="72">
        <f t="shared" si="301"/>
        <v>0.50641804892145303</v>
      </c>
      <c r="O534" s="72">
        <f t="shared" si="302"/>
        <v>0.65964673656138983</v>
      </c>
      <c r="P534" s="72">
        <f t="shared" si="303"/>
        <v>0.93793745346239765</v>
      </c>
      <c r="Q534" s="72"/>
      <c r="R534" s="72"/>
      <c r="S534" s="72">
        <f t="shared" si="304"/>
        <v>0.43390776735394643</v>
      </c>
      <c r="T534" s="72">
        <f t="shared" si="305"/>
        <v>0.46679056934372543</v>
      </c>
      <c r="U534" s="72">
        <f t="shared" si="306"/>
        <v>0.49816681293963816</v>
      </c>
      <c r="V534" s="72">
        <f t="shared" si="307"/>
        <v>0.7023484385357136</v>
      </c>
      <c r="W534" s="72">
        <f t="shared" si="308"/>
        <v>0.85312841937730033</v>
      </c>
      <c r="X534" s="72">
        <f t="shared" si="309"/>
        <v>8.5156950398227738E-2</v>
      </c>
      <c r="Y534" s="72">
        <f t="shared" si="310"/>
        <v>0.29866592035158651</v>
      </c>
      <c r="Z534" s="72">
        <f t="shared" si="311"/>
        <v>0.49358195107854697</v>
      </c>
      <c r="AA534" s="72">
        <f t="shared" si="312"/>
        <v>0.34035326343861017</v>
      </c>
      <c r="AB534" s="72">
        <f t="shared" si="313"/>
        <v>6.2062546537602403E-2</v>
      </c>
      <c r="AC534" s="72"/>
      <c r="AD534" s="72"/>
      <c r="AE534" s="72">
        <f t="shared" si="314"/>
        <v>0.56609223264605357</v>
      </c>
      <c r="AF534" s="72">
        <f t="shared" si="315"/>
        <v>0.53320943065627457</v>
      </c>
      <c r="AG534" s="72">
        <f t="shared" si="316"/>
        <v>0.50183318706036184</v>
      </c>
      <c r="AH534" s="72">
        <f t="shared" si="317"/>
        <v>0.2976515614642864</v>
      </c>
      <c r="AI534" s="72">
        <f t="shared" si="318"/>
        <v>0.14687158062269973</v>
      </c>
      <c r="AJ534" s="72">
        <f>(AV534-Driver!$K$179)/(Driver!$L$179-Driver!$K$179)</f>
        <v>0.33937635968092816</v>
      </c>
      <c r="AK534" s="72">
        <f>(AW534-Driver!$K$180)/(Driver!$L$180-Driver!$K$180)</f>
        <v>0.22706610709609318</v>
      </c>
      <c r="AL534" s="72">
        <f>(AX534-Driver!$K$181)/(Driver!$L$181-Driver!$K$181)</f>
        <v>0.59526971479162716</v>
      </c>
      <c r="AM534" s="72">
        <f>(AY534-Driver!$K$182)/(Driver!$L$182-Driver!$K$182)</f>
        <v>0.10703175765843623</v>
      </c>
      <c r="AN534" s="72">
        <f>(AZ534-Driver!$K$183)/(Driver!$L$183-Driver!$K$183)</f>
        <v>0.19215686274509802</v>
      </c>
      <c r="AO534" s="72"/>
      <c r="AP534" s="72"/>
      <c r="AQ534" s="72">
        <f>(BC534-Driver!$K$188)/(Driver!$L$188-Driver!$K$188)</f>
        <v>5.3907767353946368E-2</v>
      </c>
      <c r="AR534" s="72">
        <f>MIN((BD534-Driver!$K$189)/(Driver!$L$189-Driver!$K$189),100%)</f>
        <v>1.6790569343725487E-2</v>
      </c>
      <c r="AS534" s="72">
        <f>(BE534-Driver!$K$190)/(Driver!$L$190-Driver!$K$190)</f>
        <v>8.1668129396382082E-3</v>
      </c>
      <c r="AT534" s="72">
        <f>(BF534-Driver!$K$191)/(Driver!$L$191-Driver!$K$191)</f>
        <v>0.21234843853571361</v>
      </c>
      <c r="AU534" s="72">
        <f>(BG534-Driver!$K$192)/(Driver!$L$192-Driver!$K$192)</f>
        <v>0.10312841937730029</v>
      </c>
      <c r="AV534" s="70">
        <f t="shared" si="319"/>
        <v>7.1428571428571423</v>
      </c>
      <c r="AW534" s="70">
        <f t="shared" si="320"/>
        <v>24.001496768359956</v>
      </c>
      <c r="AX534" s="70">
        <f t="shared" si="321"/>
        <v>6.3574274331246441</v>
      </c>
      <c r="AY534" s="70">
        <f>IFERROR(Driver!$K$19/Data!BH534/Data!BI534*Data!BK534*Data!BL534,"")</f>
        <v>0.1310388065681499</v>
      </c>
      <c r="AZ534" s="70">
        <f t="shared" si="322"/>
        <v>17.513030528667162</v>
      </c>
      <c r="BA534" s="70"/>
      <c r="BB534" s="70"/>
      <c r="BC534" s="70">
        <f t="shared" si="323"/>
        <v>27.962333687210666</v>
      </c>
      <c r="BD534" s="70">
        <f t="shared" si="324"/>
        <v>3.2067585198890223</v>
      </c>
      <c r="BE534" s="70">
        <f t="shared" si="325"/>
        <v>8.3437448166517377E-3</v>
      </c>
      <c r="BF534" s="70">
        <f t="shared" si="326"/>
        <v>23.983264300396321</v>
      </c>
      <c r="BG534" s="70">
        <f t="shared" si="327"/>
        <v>0.39050998458171687</v>
      </c>
      <c r="BH534" s="67">
        <f>MAX((CE534-Driver!$F$200)/(Driver!$G$200-Driver!$F$200)*$BI$1,1)</f>
        <v>6.3574274331246441</v>
      </c>
      <c r="BI534" s="67">
        <f>MAX($BI$1*(BY534-Driver!$F$201)/(Driver!$G$201-Driver!$F$201),1)</f>
        <v>6.075949367088608</v>
      </c>
      <c r="BJ534" s="67">
        <f>(CB534-Driver!$F$206)/(Driver!$G$206-Driver!$F$206)*$BI$1</f>
        <v>8.2539682539682531</v>
      </c>
      <c r="BK534" s="67">
        <f>(CD534-Driver!$F$203)/(Driver!$G$203-Driver!$F$203)*$BI$1</f>
        <v>4.5871559633027523</v>
      </c>
      <c r="BL534" s="67">
        <f>MAX((CR534-Driver!$F$202)/(Driver!$G$202-Driver!$F$202)*$BI$1,1)</f>
        <v>5.5172413793103452</v>
      </c>
      <c r="BM534" s="67">
        <f>MAX((CH534-Driver!$F$204)/(Driver!$G$204-Driver!$F$204)*$BI$1,1)</f>
        <v>3.4615384615384617</v>
      </c>
      <c r="BN534" s="67">
        <f>(CI534-Driver!$F$205)/(Driver!$G$205-Driver!$F$205)*$BI$1</f>
        <v>2.8823529411764701</v>
      </c>
      <c r="BO534" s="67">
        <f>(CK534-Driver!$F$207)/(Driver!$G$207-Driver!$F$207)*$BI$1</f>
        <v>2.9989658738366081</v>
      </c>
      <c r="BP534" s="67">
        <f>(CM534-Driver!$F$208)/(Driver!$G$208-Driver!$F$208)*$BI$1</f>
        <v>4.4444444444444446</v>
      </c>
      <c r="BQ534" s="67">
        <f>(CL534-Driver!$F$209)/(Driver!$G$209-Driver!$F$209)*$BI$1</f>
        <v>8.59375</v>
      </c>
      <c r="BR534" s="28" t="s">
        <v>155</v>
      </c>
      <c r="BS534" s="8" t="s">
        <v>208</v>
      </c>
      <c r="BT534" s="9" t="s">
        <v>657</v>
      </c>
      <c r="BU534" s="10">
        <v>186</v>
      </c>
      <c r="BV534" s="9" t="s">
        <v>158</v>
      </c>
      <c r="BW534" s="10">
        <v>186</v>
      </c>
      <c r="BX534" s="10">
        <v>184.1</v>
      </c>
      <c r="BY534" s="10">
        <v>104</v>
      </c>
      <c r="BZ534" s="10">
        <v>152</v>
      </c>
      <c r="CA534" s="10">
        <v>151</v>
      </c>
      <c r="CB534" s="10">
        <v>116</v>
      </c>
      <c r="CC534" s="10">
        <v>140</v>
      </c>
      <c r="CD534" s="10">
        <v>19.399999999999999</v>
      </c>
      <c r="CE534" s="10">
        <v>2017</v>
      </c>
      <c r="CF534" s="10">
        <v>1.1399999999999999</v>
      </c>
      <c r="CG534" s="10">
        <v>2292</v>
      </c>
      <c r="CH534" s="10">
        <v>182</v>
      </c>
      <c r="CI534" s="10">
        <v>82</v>
      </c>
      <c r="CJ534" s="10">
        <v>57</v>
      </c>
      <c r="CK534" s="10">
        <v>400</v>
      </c>
      <c r="CL534" s="10">
        <v>55</v>
      </c>
      <c r="CM534" s="10">
        <v>400</v>
      </c>
      <c r="CN534" s="10">
        <v>0.96699999999999997</v>
      </c>
      <c r="CO534" s="10">
        <v>170</v>
      </c>
      <c r="CP534" s="10">
        <v>152</v>
      </c>
      <c r="CQ534" s="10">
        <v>229</v>
      </c>
      <c r="CR534" s="10">
        <v>5</v>
      </c>
      <c r="CS534" s="10">
        <v>4.5999999999999996</v>
      </c>
      <c r="CT534" s="9" t="s">
        <v>184</v>
      </c>
      <c r="CU534" s="9" t="s">
        <v>169</v>
      </c>
      <c r="CV534" s="9" t="s">
        <v>185</v>
      </c>
      <c r="CW534" s="10"/>
      <c r="CX534" t="str">
        <f>INDEX('Data_Price '!AG$2:AG$1266,MATCH(Data!$DN534,'Data_Price '!$AT$2:$AT$1266,0))</f>
        <v>Line Outline Skis 186</v>
      </c>
      <c r="CY534" t="str">
        <f>INDEX('Data_Price '!AH$2:AH$1266,MATCH(Data!$DN534,'Data_Price '!$AT$2:$AT$1266,0))</f>
        <v>The Locals Sale</v>
      </c>
      <c r="CZ534">
        <f>INDEX('Data_Price '!AI$2:AI$1266,MATCH(Data!$DN534,'Data_Price '!$AT$2:$AT$1266,0))</f>
        <v>432</v>
      </c>
      <c r="DA534" t="str">
        <f>INDEX('Data_Price '!AJ$2:AJ$1266,MATCH(Data!$DN534,'Data_Price '!$AT$2:$AT$1266,0))</f>
        <v>https://tinyurl.com/y8hqhd2r</v>
      </c>
      <c r="DB534" t="str">
        <f>INDEX('Data_Price '!AK$2:AK$1266,MATCH(Data!$DN534,'Data_Price '!$AT$2:$AT$1266,0))</f>
        <v>'21 Line Outline Skis 186cm</v>
      </c>
      <c r="DC534" t="str">
        <f>INDEX('Data_Price '!AL$2:AL$1266,MATCH(Data!$DN534,'Data_Price '!$AT$2:$AT$1266,0))</f>
        <v>Al's Ski Equipment Barn</v>
      </c>
      <c r="DD534">
        <f>INDEX('Data_Price '!AM$2:AM$1266,MATCH(Data!$DN534,'Data_Price '!$AT$2:$AT$1266,0))</f>
        <v>579.95000000000005</v>
      </c>
      <c r="DE534" t="str">
        <f>INDEX('Data_Price '!AN$2:AN$1266,MATCH(Data!$DN534,'Data_Price '!$AT$2:$AT$1266,0))</f>
        <v>https://tinyurl.com/y8ecbjfv</v>
      </c>
      <c r="DF534" t="str">
        <f>INDEX('Data_Price '!AO$2:AO$1266,MATCH(Data!$DN534,'Data_Price '!$AT$2:$AT$1266,0))</f>
        <v>Line Outline White-Grey 186 Ski Men</v>
      </c>
      <c r="DG534" t="str">
        <f>INDEX('Data_Price '!AP$2:AP$1266,MATCH(Data!$DN534,'Data_Price '!$AT$2:$AT$1266,0))</f>
        <v>! OutdoorXL.com</v>
      </c>
      <c r="DH534">
        <f>INDEX('Data_Price '!AQ$2:AQ$1266,MATCH(Data!$DN534,'Data_Price '!$AT$2:$AT$1266,0))</f>
        <v>659.95</v>
      </c>
      <c r="DI534" t="str">
        <f>INDEX('Data_Price '!AR$2:AR$1266,MATCH(Data!$DN534,'Data_Price '!$AT$2:$AT$1266,0))</f>
        <v>https://tinyurl.com/y9p3bc5d</v>
      </c>
      <c r="DJ534" s="89" t="str">
        <f t="shared" si="328"/>
        <v>https://tinyurl.com/y8hqhd2r</v>
      </c>
      <c r="DK534" s="89" t="str">
        <f t="shared" si="329"/>
        <v>https://tinyurl.com/y8ecbjfv</v>
      </c>
      <c r="DL534" s="89" t="str">
        <f t="shared" si="330"/>
        <v>https://tinyurl.com/y9p3bc5d</v>
      </c>
      <c r="DM534" s="219" t="str">
        <f t="shared" si="331"/>
        <v>Outline</v>
      </c>
      <c r="DN534" s="89" t="str">
        <f t="shared" si="332"/>
        <v xml:space="preserve"> LineOutline186 Unisex</v>
      </c>
      <c r="DO534" s="221"/>
    </row>
    <row r="535" spans="2:119" ht="15.6" customHeight="1">
      <c r="B535" s="219" t="b">
        <f t="array" ref="B535">IF(OR(ISERROR(K535:P535)),FALSE,TRUE)</f>
        <v>1</v>
      </c>
      <c r="C535" s="43" t="b">
        <f>OR(BR535=Driver!$G$50,Data!BR104=Driver!$H$50)</f>
        <v>1</v>
      </c>
      <c r="D535" s="43" t="b">
        <f>OR(BV535=Driver!$G$51,BV535=Driver!$H$51)</f>
        <v>1</v>
      </c>
      <c r="E535" s="43" t="b">
        <f>AND(BX535&gt;Driver!$F$54,BX535&lt;Driver!$G$54)</f>
        <v>1</v>
      </c>
      <c r="F535" s="43" t="b">
        <f>CL535&gt;Driver!$F$56</f>
        <v>1</v>
      </c>
      <c r="G535" s="43" t="b">
        <f>AND(CB535&gt;Driver!$F$55,CB535&lt;Driver!$G$55)</f>
        <v>1</v>
      </c>
      <c r="H535" s="43" t="b">
        <f t="shared" si="296"/>
        <v>1</v>
      </c>
      <c r="I535" s="43">
        <f t="shared" si="297"/>
        <v>1</v>
      </c>
      <c r="J535" s="43" t="b">
        <f t="array" ref="J535">NOT(OR(($H$9:$H$1273=TRUE)*($I$9:$I$1273&gt;0)*($BT$9:$BT$1273=BT535)*($K$9:$K$1273&gt;K535)))</f>
        <v>1</v>
      </c>
      <c r="K535" s="72">
        <f t="shared" si="298"/>
        <v>0.85436097529320909</v>
      </c>
      <c r="L535" s="72">
        <f t="shared" si="299"/>
        <v>0.85664998077450694</v>
      </c>
      <c r="M535" s="72">
        <f t="shared" si="300"/>
        <v>0.85207196981191113</v>
      </c>
      <c r="N535" s="72">
        <f t="shared" si="301"/>
        <v>0.85549791991367463</v>
      </c>
      <c r="O535" s="72">
        <f t="shared" si="302"/>
        <v>0.7127805360596613</v>
      </c>
      <c r="P535" s="72">
        <f t="shared" si="303"/>
        <v>0.98793745346239759</v>
      </c>
      <c r="Q535" s="72"/>
      <c r="R535" s="72"/>
      <c r="S535" s="72">
        <f t="shared" si="304"/>
        <v>0.44125951071819602</v>
      </c>
      <c r="T535" s="72">
        <f t="shared" si="305"/>
        <v>0.44123385069546794</v>
      </c>
      <c r="U535" s="72">
        <f t="shared" si="306"/>
        <v>0.58995224536123758</v>
      </c>
      <c r="V535" s="72">
        <f t="shared" si="307"/>
        <v>0.56249419696492509</v>
      </c>
      <c r="W535" s="72">
        <f t="shared" si="308"/>
        <v>0.97788440265486731</v>
      </c>
      <c r="X535" s="72">
        <f t="shared" si="309"/>
        <v>0.14335001922549312</v>
      </c>
      <c r="Y535" s="72">
        <f t="shared" si="310"/>
        <v>0.14792803018808884</v>
      </c>
      <c r="Z535" s="72">
        <f t="shared" si="311"/>
        <v>0.14450208008632537</v>
      </c>
      <c r="AA535" s="72">
        <f t="shared" si="312"/>
        <v>0.28721946394033876</v>
      </c>
      <c r="AB535" s="72">
        <f t="shared" si="313"/>
        <v>1.2062546537602414E-2</v>
      </c>
      <c r="AC535" s="72"/>
      <c r="AD535" s="72"/>
      <c r="AE535" s="72">
        <f t="shared" si="314"/>
        <v>0.55874048928180398</v>
      </c>
      <c r="AF535" s="72">
        <f t="shared" si="315"/>
        <v>0.55876614930453206</v>
      </c>
      <c r="AG535" s="72">
        <f t="shared" si="316"/>
        <v>0.41004775463876242</v>
      </c>
      <c r="AH535" s="72">
        <f t="shared" si="317"/>
        <v>0.43750580303507486</v>
      </c>
      <c r="AI535" s="72">
        <f t="shared" si="318"/>
        <v>2.2115597345132687E-2</v>
      </c>
      <c r="AJ535" s="72">
        <f>(AV535-Driver!$K$179)/(Driver!$L$179-Driver!$K$179)</f>
        <v>0.11086939005720732</v>
      </c>
      <c r="AK535" s="72">
        <f>(AW535-Driver!$K$180)/(Driver!$L$180-Driver!$K$180)</f>
        <v>0.24225502677847621</v>
      </c>
      <c r="AL535" s="72">
        <f>(AX535-Driver!$K$181)/(Driver!$L$181-Driver!$K$181)</f>
        <v>0.24618984379940556</v>
      </c>
      <c r="AM535" s="72">
        <f>(AY535-Driver!$K$182)/(Driver!$L$182-Driver!$K$182)</f>
        <v>0.16016555715670761</v>
      </c>
      <c r="AN535" s="72">
        <f>(AZ535-Driver!$K$183)/(Driver!$L$183-Driver!$K$183)</f>
        <v>0.24215686274509801</v>
      </c>
      <c r="AO535" s="72"/>
      <c r="AP535" s="72"/>
      <c r="AQ535" s="72">
        <f>(BC535-Driver!$K$188)/(Driver!$L$188-Driver!$K$188)</f>
        <v>6.1259510718195971E-2</v>
      </c>
      <c r="AR535" s="72">
        <f>MIN((BD535-Driver!$K$189)/(Driver!$L$189-Driver!$K$189),100%)</f>
        <v>-8.7661493045320567E-3</v>
      </c>
      <c r="AS535" s="72">
        <f>(BE535-Driver!$K$190)/(Driver!$L$190-Driver!$K$190)</f>
        <v>9.9952245361237618E-2</v>
      </c>
      <c r="AT535" s="72">
        <f>(BF535-Driver!$K$191)/(Driver!$L$191-Driver!$K$191)</f>
        <v>7.2494196964925137E-2</v>
      </c>
      <c r="AU535" s="72">
        <f>(BG535-Driver!$K$192)/(Driver!$L$192-Driver!$K$192)</f>
        <v>0.27211559734513269</v>
      </c>
      <c r="AV535" s="70">
        <f t="shared" si="319"/>
        <v>2.333469000135667</v>
      </c>
      <c r="AW535" s="70">
        <f t="shared" si="320"/>
        <v>25.481791578927943</v>
      </c>
      <c r="AX535" s="70">
        <f t="shared" si="321"/>
        <v>3.2157085941946502</v>
      </c>
      <c r="AY535" s="70">
        <f>IFERROR(Driver!$K$19/Data!BH535/Data!BI535*Data!BK535*Data!BL535,"")</f>
        <v>0.19609043074967666</v>
      </c>
      <c r="AZ535" s="70">
        <f t="shared" si="322"/>
        <v>22.069992553983617</v>
      </c>
      <c r="BA535" s="70"/>
      <c r="BB535" s="70"/>
      <c r="BC535" s="70">
        <f t="shared" si="323"/>
        <v>31.775734078737639</v>
      </c>
      <c r="BD535" s="70">
        <f t="shared" si="324"/>
        <v>0.9450342033440895</v>
      </c>
      <c r="BE535" s="70">
        <f t="shared" si="325"/>
        <v>0.10011280375019618</v>
      </c>
      <c r="BF535" s="70">
        <f t="shared" si="326"/>
        <v>8.1877102466302123</v>
      </c>
      <c r="BG535" s="70">
        <f t="shared" si="327"/>
        <v>1.0304032425331857</v>
      </c>
      <c r="BH535" s="67">
        <f>MAX((CE535-Driver!$F$200)/(Driver!$G$200-Driver!$F$200)*$BI$1,1)</f>
        <v>3.2157085941946502</v>
      </c>
      <c r="BI535" s="67">
        <f>MAX($BI$1*(BY535-Driver!$F$201)/(Driver!$G$201-Driver!$F$201),1)</f>
        <v>6.5822784810126587</v>
      </c>
      <c r="BJ535" s="67">
        <f>(CB535-Driver!$F$206)/(Driver!$G$206-Driver!$F$206)*$BI$1</f>
        <v>6.825396825396826</v>
      </c>
      <c r="BK535" s="67">
        <f>(CD535-Driver!$F$203)/(Driver!$G$203-Driver!$F$203)*$BI$1</f>
        <v>3.7614678899082579</v>
      </c>
      <c r="BL535" s="67">
        <f>MAX((CR535-Driver!$F$202)/(Driver!$G$202-Driver!$F$202)*$BI$1,1)</f>
        <v>5.5172413793103452</v>
      </c>
      <c r="BM535" s="67">
        <f>MAX((CH535-Driver!$F$204)/(Driver!$G$204-Driver!$F$204)*$BI$1,1)</f>
        <v>1.3675213675213675</v>
      </c>
      <c r="BN535" s="67">
        <f>(CI535-Driver!$F$205)/(Driver!$G$205-Driver!$F$205)*$BI$1</f>
        <v>3.3529411764705879</v>
      </c>
      <c r="BO535" s="67">
        <f>(CK535-Driver!$F$207)/(Driver!$G$207-Driver!$F$207)*$BI$1</f>
        <v>2.4612202688728022</v>
      </c>
      <c r="BP535" s="67">
        <f>(CM535-Driver!$F$208)/(Driver!$G$208-Driver!$F$208)*$BI$1</f>
        <v>1.8333333333333333</v>
      </c>
      <c r="BQ535" s="67">
        <f>(CL535-Driver!$F$209)/(Driver!$G$209-Driver!$F$209)*$BI$1</f>
        <v>4.53125</v>
      </c>
      <c r="BR535" s="28" t="s">
        <v>155</v>
      </c>
      <c r="BS535" s="8" t="s">
        <v>182</v>
      </c>
      <c r="BT535" s="9" t="s">
        <v>303</v>
      </c>
      <c r="BU535" s="10">
        <v>164</v>
      </c>
      <c r="BV535" s="9" t="s">
        <v>158</v>
      </c>
      <c r="BW535" s="10">
        <v>164</v>
      </c>
      <c r="BX535" s="10">
        <v>163.19999999999999</v>
      </c>
      <c r="BY535" s="10">
        <v>112</v>
      </c>
      <c r="BZ535" s="10">
        <v>132</v>
      </c>
      <c r="CA535" s="10">
        <v>130</v>
      </c>
      <c r="CB535" s="10">
        <v>107</v>
      </c>
      <c r="CC535" s="10">
        <v>124</v>
      </c>
      <c r="CD535" s="10">
        <v>17.600000000000001</v>
      </c>
      <c r="CE535" s="10">
        <v>1465</v>
      </c>
      <c r="CF535" s="10">
        <v>1.28</v>
      </c>
      <c r="CG535" s="10">
        <v>1880</v>
      </c>
      <c r="CH535" s="10">
        <v>133</v>
      </c>
      <c r="CI535" s="10">
        <v>90</v>
      </c>
      <c r="CJ535" s="10">
        <v>49</v>
      </c>
      <c r="CK535" s="10">
        <v>348</v>
      </c>
      <c r="CL535" s="10">
        <v>29</v>
      </c>
      <c r="CM535" s="10">
        <v>165</v>
      </c>
      <c r="CN535" s="10">
        <v>0.58099999999999996</v>
      </c>
      <c r="CO535" s="10">
        <v>167</v>
      </c>
      <c r="CP535" s="10">
        <v>147</v>
      </c>
      <c r="CQ535" s="10">
        <v>181</v>
      </c>
      <c r="CR535" s="10">
        <v>5</v>
      </c>
      <c r="CS535" s="10">
        <v>9.6</v>
      </c>
      <c r="CT535" s="9" t="s">
        <v>169</v>
      </c>
      <c r="CU535" s="9" t="s">
        <v>185</v>
      </c>
      <c r="CV535" s="9" t="s">
        <v>198</v>
      </c>
      <c r="CW535" s="10"/>
      <c r="CX535" t="str">
        <f>INDEX('Data_Price '!AG$2:AG$1266,MATCH(Data!$DN535,'Data_Price '!$AT$2:$AT$1266,0))</f>
        <v>Armada Tracer 108 Skis 2022 - 164</v>
      </c>
      <c r="CY535" t="str">
        <f>INDEX('Data_Price '!AH$2:AH$1266,MATCH(Data!$DN535,'Data_Price '!$AT$2:$AT$1266,0))</f>
        <v>Snowcountry.eu</v>
      </c>
      <c r="CZ535">
        <f>INDEX('Data_Price '!AI$2:AI$1266,MATCH(Data!$DN535,'Data_Price '!$AT$2:$AT$1266,0))</f>
        <v>423.23</v>
      </c>
      <c r="DA535" t="str">
        <f>INDEX('Data_Price '!AJ$2:AJ$1266,MATCH(Data!$DN535,'Data_Price '!$AT$2:$AT$1266,0))</f>
        <v>https://tinyurl.com/ybzj7u3m</v>
      </c>
      <c r="DB535" t="str">
        <f>INDEX('Data_Price '!AK$2:AK$1266,MATCH(Data!$DN535,'Data_Price '!$AT$2:$AT$1266,0))</f>
        <v>Armada Tracer 108 Skis 2022 - 164</v>
      </c>
      <c r="DC535" t="str">
        <f>INDEX('Data_Price '!AL$2:AL$1266,MATCH(Data!$DN535,'Data_Price '!$AT$2:$AT$1266,0))</f>
        <v>eBay - david110549</v>
      </c>
      <c r="DD535">
        <f>INDEX('Data_Price '!AM$2:AM$1266,MATCH(Data!$DN535,'Data_Price '!$AT$2:$AT$1266,0))</f>
        <v>599.96</v>
      </c>
      <c r="DE535" t="str">
        <f>INDEX('Data_Price '!AN$2:AN$1266,MATCH(Data!$DN535,'Data_Price '!$AT$2:$AT$1266,0))</f>
        <v>https://tinyurl.com/ydyt4ope</v>
      </c>
      <c r="DF535" t="str">
        <f>INDEX('Data_Price '!AO$2:AO$1266,MATCH(Data!$DN535,'Data_Price '!$AT$2:$AT$1266,0))</f>
        <v>Armada Tracer 108 Skis 2022 - 164</v>
      </c>
      <c r="DG535" t="str">
        <f>INDEX('Data_Price '!AP$2:AP$1266,MATCH(Data!$DN535,'Data_Price '!$AT$2:$AT$1266,0))</f>
        <v>SkiEssentials.com</v>
      </c>
      <c r="DH535">
        <f>INDEX('Data_Price '!AQ$2:AQ$1266,MATCH(Data!$DN535,'Data_Price '!$AT$2:$AT$1266,0))</f>
        <v>599.96</v>
      </c>
      <c r="DI535" t="str">
        <f>INDEX('Data_Price '!AR$2:AR$1266,MATCH(Data!$DN535,'Data_Price '!$AT$2:$AT$1266,0))</f>
        <v>https://tinyurl.com/y8cz7flt</v>
      </c>
      <c r="DJ535" s="89" t="str">
        <f t="shared" si="328"/>
        <v>https://tinyurl.com/ybzj7u3m</v>
      </c>
      <c r="DK535" s="89" t="str">
        <f t="shared" si="329"/>
        <v>https://tinyurl.com/ydyt4ope</v>
      </c>
      <c r="DL535" s="89" t="str">
        <f t="shared" si="330"/>
        <v>https://tinyurl.com/y8cz7flt</v>
      </c>
      <c r="DM535" s="219" t="str">
        <f t="shared" si="331"/>
        <v>Tracer 108</v>
      </c>
      <c r="DN535" s="89" t="str">
        <f t="shared" si="332"/>
        <v xml:space="preserve"> ArmadaTracer 108164 Unisex</v>
      </c>
      <c r="DO535" s="221" t="s">
        <v>304</v>
      </c>
    </row>
    <row r="536" spans="2:119" ht="15.6" customHeight="1">
      <c r="B536" s="219" t="b">
        <f t="array" ref="B536">IF(OR(ISERROR(K536:P536)),FALSE,TRUE)</f>
        <v>1</v>
      </c>
      <c r="C536" s="43" t="b">
        <f>OR(BR536=Driver!$G$50,Data!BR923=Driver!$H$50)</f>
        <v>1</v>
      </c>
      <c r="D536" s="43" t="b">
        <f>OR(BV536=Driver!$G$51,BV536=Driver!$H$51)</f>
        <v>0</v>
      </c>
      <c r="E536" s="43" t="b">
        <f>AND(BX536&gt;Driver!$F$54,BX536&lt;Driver!$G$54)</f>
        <v>1</v>
      </c>
      <c r="F536" s="43" t="b">
        <f>CL536&gt;Driver!$F$56</f>
        <v>1</v>
      </c>
      <c r="G536" s="43" t="b">
        <f>AND(CB536&gt;Driver!$F$55,CB536&lt;Driver!$G$55)</f>
        <v>0</v>
      </c>
      <c r="H536" s="43" t="b">
        <f t="shared" si="296"/>
        <v>0</v>
      </c>
      <c r="I536" s="43">
        <f t="shared" si="297"/>
        <v>0</v>
      </c>
      <c r="J536" s="43" t="b">
        <f t="array" ref="J536">NOT(OR(($H$9:$H$1273=TRUE)*($I$9:$I$1273&gt;0)*($BT$9:$BT$1273=BT536)*($K$9:$K$1273&gt;K536)))</f>
        <v>1</v>
      </c>
      <c r="K536" s="72">
        <f t="shared" si="298"/>
        <v>0.82501776473010335</v>
      </c>
      <c r="L536" s="72">
        <f t="shared" si="299"/>
        <v>0.88662339145857749</v>
      </c>
      <c r="M536" s="72">
        <f t="shared" si="300"/>
        <v>0.76341213800162933</v>
      </c>
      <c r="N536" s="72">
        <f t="shared" si="301"/>
        <v>0.65439755945076428</v>
      </c>
      <c r="O536" s="72">
        <f t="shared" si="302"/>
        <v>0.64240375899691338</v>
      </c>
      <c r="P536" s="72">
        <f t="shared" si="303"/>
        <v>0.99343509555721021</v>
      </c>
      <c r="Q536" s="72"/>
      <c r="R536" s="72"/>
      <c r="S536" s="72">
        <f t="shared" si="304"/>
        <v>0.44930350731807289</v>
      </c>
      <c r="T536" s="72">
        <f t="shared" si="305"/>
        <v>0.55111792642046686</v>
      </c>
      <c r="U536" s="72">
        <f t="shared" si="306"/>
        <v>0.76725494777559866</v>
      </c>
      <c r="V536" s="72">
        <f t="shared" si="307"/>
        <v>0.52087595112042273</v>
      </c>
      <c r="W536" s="72">
        <f t="shared" si="308"/>
        <v>0.78033617452464688</v>
      </c>
      <c r="X536" s="72">
        <f t="shared" si="309"/>
        <v>0.11337660854142254</v>
      </c>
      <c r="Y536" s="72">
        <f t="shared" si="310"/>
        <v>0.2365878619983707</v>
      </c>
      <c r="Z536" s="72">
        <f t="shared" si="311"/>
        <v>0.34560244054923567</v>
      </c>
      <c r="AA536" s="72">
        <f t="shared" si="312"/>
        <v>0.35759624100308662</v>
      </c>
      <c r="AB536" s="72">
        <f t="shared" si="313"/>
        <v>6.5649044427897874E-3</v>
      </c>
      <c r="AC536" s="72"/>
      <c r="AD536" s="72"/>
      <c r="AE536" s="72">
        <f t="shared" si="314"/>
        <v>0.55069649268192711</v>
      </c>
      <c r="AF536" s="72">
        <f t="shared" si="315"/>
        <v>0.44888207357953319</v>
      </c>
      <c r="AG536" s="72">
        <f t="shared" si="316"/>
        <v>0.23274505222440134</v>
      </c>
      <c r="AH536" s="72">
        <f t="shared" si="317"/>
        <v>0.47912404887957727</v>
      </c>
      <c r="AI536" s="72">
        <f t="shared" si="318"/>
        <v>0.21966382547535318</v>
      </c>
      <c r="AJ536" s="72">
        <f>(AV536-Driver!$K$179)/(Driver!$L$179-Driver!$K$179)</f>
        <v>0.14084280074127789</v>
      </c>
      <c r="AK536" s="72">
        <f>(AW536-Driver!$K$180)/(Driver!$L$180-Driver!$K$180)</f>
        <v>0.27736145808615303</v>
      </c>
      <c r="AL536" s="72">
        <f>(AX536-Driver!$K$181)/(Driver!$L$181-Driver!$K$181)</f>
        <v>0.44729020426231586</v>
      </c>
      <c r="AM536" s="72">
        <f>(AY536-Driver!$K$182)/(Driver!$L$182-Driver!$K$182)</f>
        <v>8.9788780093959769E-2</v>
      </c>
      <c r="AN536" s="72">
        <f>(AZ536-Driver!$K$183)/(Driver!$L$183-Driver!$K$183)</f>
        <v>0.26078431372549021</v>
      </c>
      <c r="AO536" s="72"/>
      <c r="AP536" s="72"/>
      <c r="AQ536" s="72">
        <f>(BC536-Driver!$K$188)/(Driver!$L$188-Driver!$K$188)</f>
        <v>6.9303507318072902E-2</v>
      </c>
      <c r="AR536" s="72">
        <f>MIN((BD536-Driver!$K$189)/(Driver!$L$189-Driver!$K$189),100%)</f>
        <v>0.10111792642046687</v>
      </c>
      <c r="AS536" s="72">
        <f>(BE536-Driver!$K$190)/(Driver!$L$190-Driver!$K$190)</f>
        <v>0.27725494777559867</v>
      </c>
      <c r="AT536" s="72">
        <f>(BF536-Driver!$K$191)/(Driver!$L$191-Driver!$K$191)</f>
        <v>3.0875951120422733E-2</v>
      </c>
      <c r="AU536" s="72">
        <f>(BG536-Driver!$K$192)/(Driver!$L$192-Driver!$K$192)</f>
        <v>3.0336174524646833E-2</v>
      </c>
      <c r="AV536" s="70">
        <f t="shared" si="319"/>
        <v>2.9643196309862976</v>
      </c>
      <c r="AW536" s="70">
        <f t="shared" si="320"/>
        <v>28.903224384487562</v>
      </c>
      <c r="AX536" s="70">
        <f t="shared" si="321"/>
        <v>5.0256118383608426</v>
      </c>
      <c r="AY536" s="70">
        <f>IFERROR(Driver!$K$19/Data!BH536/Data!BI536*Data!BK536*Data!BL536,"")</f>
        <v>0.10992825722128241</v>
      </c>
      <c r="AZ536" s="70">
        <f t="shared" si="322"/>
        <v>23.767684288905436</v>
      </c>
      <c r="BA536" s="70"/>
      <c r="BB536" s="70"/>
      <c r="BC536" s="70">
        <f t="shared" si="323"/>
        <v>35.948211036050928</v>
      </c>
      <c r="BD536" s="70">
        <f t="shared" si="324"/>
        <v>10.669580201945495</v>
      </c>
      <c r="BE536" s="70">
        <f t="shared" si="325"/>
        <v>0.27738387735807346</v>
      </c>
      <c r="BF536" s="70">
        <f t="shared" si="326"/>
        <v>3.487221763218546</v>
      </c>
      <c r="BG536" s="70">
        <f t="shared" si="327"/>
        <v>0.11487210913750968</v>
      </c>
      <c r="BH536" s="67">
        <f>MAX((CE536-Driver!$F$200)/(Driver!$G$200-Driver!$F$200)*$BI$1,1)</f>
        <v>5.0256118383608426</v>
      </c>
      <c r="BI536" s="67">
        <f>MAX($BI$1*(BY536-Driver!$F$201)/(Driver!$G$201-Driver!$F$201),1)</f>
        <v>7.2151898734177218</v>
      </c>
      <c r="BJ536" s="67">
        <f>(CB536-Driver!$F$206)/(Driver!$G$206-Driver!$F$206)*$BI$1</f>
        <v>3.6507936507936507</v>
      </c>
      <c r="BK536" s="67">
        <f>(CD536-Driver!$F$203)/(Driver!$G$203-Driver!$F$203)*$BI$1</f>
        <v>2.8899082568807337</v>
      </c>
      <c r="BL536" s="67">
        <f>MAX((CR536-Driver!$F$202)/(Driver!$G$202-Driver!$F$202)*$BI$1,1)</f>
        <v>6.8965517241379315</v>
      </c>
      <c r="BM536" s="67">
        <f>MAX((CH536-Driver!$F$204)/(Driver!$G$204-Driver!$F$204)*$BI$1,1)</f>
        <v>3.2478632478632479</v>
      </c>
      <c r="BN536" s="67">
        <f>(CI536-Driver!$F$205)/(Driver!$G$205-Driver!$F$205)*$BI$1</f>
        <v>3.2941176470588234</v>
      </c>
      <c r="BO536" s="67">
        <f>(CK536-Driver!$F$207)/(Driver!$G$207-Driver!$F$207)*$BI$1</f>
        <v>1.4788004136504653</v>
      </c>
      <c r="BP536" s="67">
        <f>(CM536-Driver!$F$208)/(Driver!$G$208-Driver!$F$208)*$BI$1</f>
        <v>1.8666666666666667</v>
      </c>
      <c r="BQ536" s="67">
        <f>(CL536-Driver!$F$209)/(Driver!$G$209-Driver!$F$209)*$BI$1</f>
        <v>1.875</v>
      </c>
      <c r="BR536" s="28" t="s">
        <v>155</v>
      </c>
      <c r="BS536" s="8" t="s">
        <v>332</v>
      </c>
      <c r="BT536" s="9" t="s">
        <v>563</v>
      </c>
      <c r="BU536" s="10">
        <v>165</v>
      </c>
      <c r="BV536" s="9" t="s">
        <v>163</v>
      </c>
      <c r="BW536" s="10">
        <v>165</v>
      </c>
      <c r="BX536" s="10">
        <v>164.5</v>
      </c>
      <c r="BY536" s="10">
        <v>122</v>
      </c>
      <c r="BZ536" s="10">
        <v>138</v>
      </c>
      <c r="CA536" s="10">
        <v>120</v>
      </c>
      <c r="CB536" s="10">
        <v>87</v>
      </c>
      <c r="CC536" s="10">
        <v>106</v>
      </c>
      <c r="CD536" s="10">
        <v>15.7</v>
      </c>
      <c r="CE536" s="10">
        <v>1783</v>
      </c>
      <c r="CF536" s="10">
        <v>0.9</v>
      </c>
      <c r="CG536" s="10">
        <v>1614</v>
      </c>
      <c r="CH536" s="10">
        <v>177</v>
      </c>
      <c r="CI536" s="10">
        <v>89</v>
      </c>
      <c r="CJ536" s="10">
        <v>52</v>
      </c>
      <c r="CK536" s="10">
        <v>253</v>
      </c>
      <c r="CL536" s="10">
        <v>12</v>
      </c>
      <c r="CM536" s="10">
        <v>168</v>
      </c>
      <c r="CN536" s="10">
        <v>0.22900000000000001</v>
      </c>
      <c r="CO536" s="10">
        <v>128</v>
      </c>
      <c r="CP536" s="10">
        <v>141</v>
      </c>
      <c r="CQ536" s="10">
        <v>125</v>
      </c>
      <c r="CR536" s="10">
        <v>9</v>
      </c>
      <c r="CS536" s="10">
        <v>8.3000000000000007</v>
      </c>
      <c r="CT536" s="9" t="s">
        <v>188</v>
      </c>
      <c r="CU536" s="10"/>
      <c r="CV536" s="10"/>
      <c r="CW536" s="10"/>
      <c r="CX536" t="str">
        <f>INDEX('Data_Price '!AG$2:AG$1266,MATCH(Data!$DN536,'Data_Price '!$AT$2:$AT$1266,0))</f>
        <v>Nordica 2022 Santa Ana 88 Women's Skis</v>
      </c>
      <c r="CY536" t="str">
        <f>INDEX('Data_Price '!AH$2:AH$1266,MATCH(Data!$DN536,'Data_Price '!$AT$2:$AT$1266,0))</f>
        <v>AlpineShopVT.com</v>
      </c>
      <c r="CZ536">
        <f>INDEX('Data_Price '!AI$2:AI$1266,MATCH(Data!$DN536,'Data_Price '!$AT$2:$AT$1266,0))</f>
        <v>479.99</v>
      </c>
      <c r="DA536" t="str">
        <f>INDEX('Data_Price '!AJ$2:AJ$1266,MATCH(Data!$DN536,'Data_Price '!$AT$2:$AT$1266,0))</f>
        <v>https://tinyurl.com/y9xk6h3n</v>
      </c>
      <c r="DB536" t="str">
        <f>INDEX('Data_Price '!AK$2:AK$1266,MATCH(Data!$DN536,'Data_Price '!$AT$2:$AT$1266,0))</f>
        <v>Nordica 2022 Santa Ana 88 Women's Skis</v>
      </c>
      <c r="DC536" t="str">
        <f>INDEX('Data_Price '!AL$2:AL$1266,MATCH(Data!$DN536,'Data_Price '!$AT$2:$AT$1266,0))</f>
        <v xml:space="preserve">Aspen East </v>
      </c>
      <c r="DD536">
        <f>INDEX('Data_Price '!AM$2:AM$1266,MATCH(Data!$DN536,'Data_Price '!$AT$2:$AT$1266,0))</f>
        <v>519</v>
      </c>
      <c r="DE536" t="str">
        <f>INDEX('Data_Price '!AN$2:AN$1266,MATCH(Data!$DN536,'Data_Price '!$AT$2:$AT$1266,0))</f>
        <v>https://tinyurl.com/y9mtrpxu</v>
      </c>
      <c r="DF536" t="str">
        <f>INDEX('Data_Price '!AO$2:AO$1266,MATCH(Data!$DN536,'Data_Price '!$AT$2:$AT$1266,0))</f>
        <v>'22 Nordica Santa Ana 88 Skis 165cm</v>
      </c>
      <c r="DG536" t="str">
        <f>INDEX('Data_Price '!AP$2:AP$1266,MATCH(Data!$DN536,'Data_Price '!$AT$2:$AT$1266,0))</f>
        <v>Al's Ski Equipment Barn</v>
      </c>
      <c r="DH536">
        <f>INDEX('Data_Price '!AQ$2:AQ$1266,MATCH(Data!$DN536,'Data_Price '!$AT$2:$AT$1266,0))</f>
        <v>529.95000000000005</v>
      </c>
      <c r="DI536" t="str">
        <f>INDEX('Data_Price '!AR$2:AR$1266,MATCH(Data!$DN536,'Data_Price '!$AT$2:$AT$1266,0))</f>
        <v>https://tinyurl.com/y9tbyh56</v>
      </c>
      <c r="DJ536" s="89" t="str">
        <f t="shared" si="328"/>
        <v>https://tinyurl.com/y9xk6h3n</v>
      </c>
      <c r="DK536" s="89" t="str">
        <f t="shared" si="329"/>
        <v>https://tinyurl.com/y9mtrpxu</v>
      </c>
      <c r="DL536" s="89" t="str">
        <f t="shared" si="330"/>
        <v>https://tinyurl.com/y9tbyh56</v>
      </c>
      <c r="DM536" s="219" t="str">
        <f t="shared" si="331"/>
        <v>Santa Ana 88</v>
      </c>
      <c r="DN536" s="89" t="str">
        <f t="shared" si="332"/>
        <v xml:space="preserve"> NordicaSanta Ana 88165 Women's</v>
      </c>
      <c r="DO536" s="221" t="s">
        <v>564</v>
      </c>
    </row>
    <row r="537" spans="2:119" ht="15.6" customHeight="1">
      <c r="B537" s="219" t="b">
        <f t="array" ref="B537">IF(OR(ISERROR(K537:P537)),FALSE,TRUE)</f>
        <v>1</v>
      </c>
      <c r="C537" s="43" t="b">
        <f>OR(BR537=Driver!$G$50,Data!BR293=Driver!$H$50)</f>
        <v>1</v>
      </c>
      <c r="D537" s="43" t="b">
        <f>OR(BV537=Driver!$G$51,BV537=Driver!$H$51)</f>
        <v>1</v>
      </c>
      <c r="E537" s="43" t="b">
        <f>AND(BX537&gt;Driver!$F$54,BX537&lt;Driver!$G$54)</f>
        <v>1</v>
      </c>
      <c r="F537" s="43" t="b">
        <f>CL537&gt;Driver!$F$56</f>
        <v>1</v>
      </c>
      <c r="G537" s="43" t="b">
        <f>AND(CB537&gt;Driver!$F$55,CB537&lt;Driver!$G$55)</f>
        <v>0</v>
      </c>
      <c r="H537" s="43" t="b">
        <f t="shared" si="296"/>
        <v>0</v>
      </c>
      <c r="I537" s="43">
        <f t="shared" si="297"/>
        <v>0</v>
      </c>
      <c r="J537" s="43" t="b">
        <f t="array" ref="J537">NOT(OR(($H$9:$H$1273=TRUE)*($I$9:$I$1273&gt;0)*($BT$9:$BT$1273=BT537)*($K$9:$K$1273&gt;K537)))</f>
        <v>1</v>
      </c>
      <c r="K537" s="72">
        <f t="shared" si="298"/>
        <v>0.83671375753679411</v>
      </c>
      <c r="L537" s="72">
        <f t="shared" si="299"/>
        <v>0.92852170746856855</v>
      </c>
      <c r="M537" s="72">
        <f t="shared" si="300"/>
        <v>0.74490580760501968</v>
      </c>
      <c r="N537" s="72">
        <f t="shared" si="301"/>
        <v>0.64744125767374539</v>
      </c>
      <c r="O537" s="72">
        <f t="shared" si="302"/>
        <v>0.6104498227900268</v>
      </c>
      <c r="P537" s="72">
        <f t="shared" si="303"/>
        <v>0.97682634235128651</v>
      </c>
      <c r="Q537" s="72"/>
      <c r="R537" s="72"/>
      <c r="S537" s="72">
        <f t="shared" si="304"/>
        <v>0.42677529837888717</v>
      </c>
      <c r="T537" s="72">
        <f t="shared" si="305"/>
        <v>0.52802160761385242</v>
      </c>
      <c r="U537" s="72">
        <f t="shared" si="306"/>
        <v>0.53986667982636005</v>
      </c>
      <c r="V537" s="72">
        <f t="shared" si="307"/>
        <v>0.57246124129860765</v>
      </c>
      <c r="W537" s="72">
        <f t="shared" si="308"/>
        <v>0.82003235858101631</v>
      </c>
      <c r="X537" s="72">
        <f t="shared" si="309"/>
        <v>7.1478292531431398E-2</v>
      </c>
      <c r="Y537" s="72">
        <f t="shared" si="310"/>
        <v>0.25509419239498038</v>
      </c>
      <c r="Z537" s="72">
        <f t="shared" si="311"/>
        <v>0.35255874232625456</v>
      </c>
      <c r="AA537" s="72">
        <f t="shared" si="312"/>
        <v>0.38955017720997315</v>
      </c>
      <c r="AB537" s="72">
        <f t="shared" si="313"/>
        <v>2.3173657648713514E-2</v>
      </c>
      <c r="AC537" s="72"/>
      <c r="AD537" s="72"/>
      <c r="AE537" s="72">
        <f t="shared" si="314"/>
        <v>0.57322470162111283</v>
      </c>
      <c r="AF537" s="72">
        <f t="shared" si="315"/>
        <v>0.47197839238614753</v>
      </c>
      <c r="AG537" s="72">
        <f t="shared" si="316"/>
        <v>0.46013332017363989</v>
      </c>
      <c r="AH537" s="72">
        <f t="shared" si="317"/>
        <v>0.42753875870139241</v>
      </c>
      <c r="AI537" s="72">
        <f t="shared" si="318"/>
        <v>0.17996764141898369</v>
      </c>
      <c r="AJ537" s="72">
        <f>(AV537-Driver!$K$179)/(Driver!$L$179-Driver!$K$179)</f>
        <v>0.18274111675126903</v>
      </c>
      <c r="AK537" s="72">
        <f>(AW537-Driver!$K$180)/(Driver!$L$180-Driver!$K$180)</f>
        <v>0.24979224196791291</v>
      </c>
      <c r="AL537" s="72">
        <f>(AX537-Driver!$K$181)/(Driver!$L$181-Driver!$K$181)</f>
        <v>0.45424650603933475</v>
      </c>
      <c r="AM537" s="72">
        <f>(AY537-Driver!$K$182)/(Driver!$L$182-Driver!$K$182)</f>
        <v>5.7834843887073238E-2</v>
      </c>
      <c r="AN537" s="72">
        <f>(AZ537-Driver!$K$183)/(Driver!$L$183-Driver!$K$183)</f>
        <v>0.23104575163398691</v>
      </c>
      <c r="AO537" s="72"/>
      <c r="AP537" s="72"/>
      <c r="AQ537" s="72">
        <f>(BC537-Driver!$K$188)/(Driver!$L$188-Driver!$K$188)</f>
        <v>4.6775298378887178E-2</v>
      </c>
      <c r="AR537" s="72">
        <f>MIN((BD537-Driver!$K$189)/(Driver!$L$189-Driver!$K$189),100%)</f>
        <v>7.8021607613852517E-2</v>
      </c>
      <c r="AS537" s="72">
        <f>(BE537-Driver!$K$190)/(Driver!$L$190-Driver!$K$190)</f>
        <v>4.9866679826360095E-2</v>
      </c>
      <c r="AT537" s="72">
        <f>(BF537-Driver!$K$191)/(Driver!$L$191-Driver!$K$191)</f>
        <v>8.2461241298607602E-2</v>
      </c>
      <c r="AU537" s="72">
        <f>(BG537-Driver!$K$192)/(Driver!$L$192-Driver!$K$192)</f>
        <v>7.0032358581016294E-2</v>
      </c>
      <c r="AV537" s="70">
        <f t="shared" si="319"/>
        <v>3.8461538461538463</v>
      </c>
      <c r="AW537" s="70">
        <f t="shared" si="320"/>
        <v>26.216359985659217</v>
      </c>
      <c r="AX537" s="70">
        <f t="shared" si="321"/>
        <v>5.0882185543540128</v>
      </c>
      <c r="AY537" s="70">
        <f>IFERROR(Driver!$K$19/Data!BH537/Data!BI537*Data!BK537*Data!BL537,"")</f>
        <v>7.0807105169686912E-2</v>
      </c>
      <c r="AZ537" s="70">
        <f t="shared" si="322"/>
        <v>21.057334326135518</v>
      </c>
      <c r="BA537" s="70"/>
      <c r="BB537" s="70"/>
      <c r="BC537" s="70">
        <f t="shared" si="323"/>
        <v>24.262672445727581</v>
      </c>
      <c r="BD537" s="70">
        <f t="shared" si="324"/>
        <v>8.6255969118154354</v>
      </c>
      <c r="BE537" s="70">
        <f t="shared" si="325"/>
        <v>5.0036172916473026E-2</v>
      </c>
      <c r="BF537" s="70">
        <f t="shared" si="326"/>
        <v>9.3134178816702082</v>
      </c>
      <c r="BG537" s="70">
        <f t="shared" si="327"/>
        <v>0.26518718540268454</v>
      </c>
      <c r="BH537" s="67">
        <f>MAX((CE537-Driver!$F$200)/(Driver!$G$200-Driver!$F$200)*$BI$1,1)</f>
        <v>5.0882185543540128</v>
      </c>
      <c r="BI537" s="67">
        <f>MAX($BI$1*(BY537-Driver!$F$201)/(Driver!$G$201-Driver!$F$201),1)</f>
        <v>6.3924050632911396</v>
      </c>
      <c r="BJ537" s="67">
        <f>(CB537-Driver!$F$206)/(Driver!$G$206-Driver!$F$206)*$BI$1</f>
        <v>4.2857142857142856</v>
      </c>
      <c r="BK537" s="67">
        <f>(CD537-Driver!$F$203)/(Driver!$G$203-Driver!$F$203)*$BI$1</f>
        <v>2.3853211009174311</v>
      </c>
      <c r="BL537" s="67">
        <f>MAX((CR537-Driver!$F$202)/(Driver!$G$202-Driver!$F$202)*$BI$1,1)</f>
        <v>4.8275862068965516</v>
      </c>
      <c r="BM537" s="67">
        <f>MAX((CH537-Driver!$F$204)/(Driver!$G$204-Driver!$F$204)*$BI$1,1)</f>
        <v>3.5897435897435899</v>
      </c>
      <c r="BN537" s="67">
        <f>(CI537-Driver!$F$205)/(Driver!$G$205-Driver!$F$205)*$BI$1</f>
        <v>3.2941176470588234</v>
      </c>
      <c r="BO537" s="67">
        <f>(CK537-Driver!$F$207)/(Driver!$G$207-Driver!$F$207)*$BI$1</f>
        <v>2.0372285418821097</v>
      </c>
      <c r="BP537" s="67">
        <f>(CM537-Driver!$F$208)/(Driver!$G$208-Driver!$F$208)*$BI$1</f>
        <v>2.5444444444444443</v>
      </c>
      <c r="BQ537" s="67">
        <f>(CL537-Driver!$F$209)/(Driver!$G$209-Driver!$F$209)*$BI$1</f>
        <v>4.84375</v>
      </c>
      <c r="BR537" s="28" t="s">
        <v>155</v>
      </c>
      <c r="BS537" s="8" t="s">
        <v>317</v>
      </c>
      <c r="BT537" s="9" t="s">
        <v>463</v>
      </c>
      <c r="BU537" s="10">
        <v>164</v>
      </c>
      <c r="BV537" s="9" t="s">
        <v>158</v>
      </c>
      <c r="BW537" s="10">
        <v>164</v>
      </c>
      <c r="BX537" s="10">
        <v>162.80000000000001</v>
      </c>
      <c r="BY537" s="10">
        <v>109</v>
      </c>
      <c r="BZ537" s="10">
        <v>135</v>
      </c>
      <c r="CA537" s="10">
        <v>123</v>
      </c>
      <c r="CB537" s="10">
        <v>91</v>
      </c>
      <c r="CC537" s="10">
        <v>113</v>
      </c>
      <c r="CD537" s="10">
        <v>14.6</v>
      </c>
      <c r="CE537" s="10">
        <v>1794</v>
      </c>
      <c r="CF537" s="10">
        <v>0.93</v>
      </c>
      <c r="CG537" s="10">
        <v>1671</v>
      </c>
      <c r="CH537" s="10">
        <v>185</v>
      </c>
      <c r="CI537" s="10">
        <v>89</v>
      </c>
      <c r="CJ537" s="10">
        <v>62</v>
      </c>
      <c r="CK537" s="10">
        <v>307</v>
      </c>
      <c r="CL537" s="10">
        <v>31</v>
      </c>
      <c r="CM537" s="10">
        <v>229</v>
      </c>
      <c r="CN537" s="10">
        <v>0.498</v>
      </c>
      <c r="CO537" s="10">
        <v>149</v>
      </c>
      <c r="CP537" s="10">
        <v>134</v>
      </c>
      <c r="CQ537" s="10">
        <v>158</v>
      </c>
      <c r="CR537" s="10">
        <v>3</v>
      </c>
      <c r="CS537" s="10">
        <v>7.2</v>
      </c>
      <c r="CT537" s="9" t="s">
        <v>188</v>
      </c>
      <c r="CU537" s="10"/>
      <c r="CV537" s="10"/>
      <c r="CW537" s="10"/>
      <c r="CX537" t="str">
        <f>INDEX('Data_Price '!AG$2:AG$1266,MATCH(Data!$DN537,'Data_Price '!$AT$2:$AT$1266,0))</f>
        <v>Blizzard Rustler 9 Skis</v>
      </c>
      <c r="CY537" t="str">
        <f>INDEX('Data_Price '!AH$2:AH$1266,MATCH(Data!$DN537,'Data_Price '!$AT$2:$AT$1266,0))</f>
        <v>Snowcountry.eu</v>
      </c>
      <c r="CZ537">
        <f>INDEX('Data_Price '!AI$2:AI$1266,MATCH(Data!$DN537,'Data_Price '!$AT$2:$AT$1266,0))</f>
        <v>322.69</v>
      </c>
      <c r="DA537" t="str">
        <f>INDEX('Data_Price '!AJ$2:AJ$1266,MATCH(Data!$DN537,'Data_Price '!$AT$2:$AT$1266,0))</f>
        <v>https://tinyurl.com/y7ew4t6z</v>
      </c>
      <c r="DB537" t="str">
        <f>INDEX('Data_Price '!AK$2:AK$1266,MATCH(Data!$DN537,'Data_Price '!$AT$2:$AT$1266,0))</f>
        <v>Blizzard Rustler 9 Skis</v>
      </c>
      <c r="DC537" t="str">
        <f>INDEX('Data_Price '!AL$2:AL$1266,MATCH(Data!$DN537,'Data_Price '!$AT$2:$AT$1266,0))</f>
        <v>Powder7 Ski Shop</v>
      </c>
      <c r="DD537">
        <f>INDEX('Data_Price '!AM$2:AM$1266,MATCH(Data!$DN537,'Data_Price '!$AT$2:$AT$1266,0))</f>
        <v>529.92999999999995</v>
      </c>
      <c r="DE537" t="str">
        <f>INDEX('Data_Price '!AN$2:AN$1266,MATCH(Data!$DN537,'Data_Price '!$AT$2:$AT$1266,0))</f>
        <v>https://tinyurl.com/y6ud4x3m</v>
      </c>
      <c r="DF537" t="str">
        <f>INDEX('Data_Price '!AO$2:AO$1266,MATCH(Data!$DN537,'Data_Price '!$AT$2:$AT$1266,0))</f>
        <v>Blizzard Rustler 9 Skis</v>
      </c>
      <c r="DG537" t="str">
        <f>INDEX('Data_Price '!AP$2:AP$1266,MATCH(Data!$DN537,'Data_Price '!$AT$2:$AT$1266,0))</f>
        <v>The-House.com</v>
      </c>
      <c r="DH537">
        <f>INDEX('Data_Price '!AQ$2:AQ$1266,MATCH(Data!$DN537,'Data_Price '!$AT$2:$AT$1266,0))</f>
        <v>599.95000000000005</v>
      </c>
      <c r="DI537" t="str">
        <f>INDEX('Data_Price '!AR$2:AR$1266,MATCH(Data!$DN537,'Data_Price '!$AT$2:$AT$1266,0))</f>
        <v>https://tinyurl.com/y96rwocx</v>
      </c>
      <c r="DJ537" s="89" t="str">
        <f t="shared" si="328"/>
        <v>https://tinyurl.com/y7ew4t6z</v>
      </c>
      <c r="DK537" s="89" t="str">
        <f t="shared" si="329"/>
        <v>https://tinyurl.com/y6ud4x3m</v>
      </c>
      <c r="DL537" s="89" t="str">
        <f t="shared" si="330"/>
        <v>https://tinyurl.com/y96rwocx</v>
      </c>
      <c r="DM537" s="219" t="str">
        <f t="shared" si="331"/>
        <v>Rustler 9</v>
      </c>
      <c r="DN537" s="89" t="str">
        <f t="shared" si="332"/>
        <v xml:space="preserve"> BlizzardRustler 9164 Unisex</v>
      </c>
      <c r="DO537" s="221" t="s">
        <v>464</v>
      </c>
    </row>
    <row r="538" spans="2:119" ht="15.6" customHeight="1">
      <c r="B538" s="219" t="b">
        <f t="array" ref="B538">IF(OR(ISERROR(K538:P538)),FALSE,TRUE)</f>
        <v>1</v>
      </c>
      <c r="C538" s="43" t="b">
        <f>OR(BR538=Driver!$G$50,Data!BR181=Driver!$H$50)</f>
        <v>1</v>
      </c>
      <c r="D538" s="43" t="b">
        <f>OR(BV538=Driver!$G$51,BV538=Driver!$H$51)</f>
        <v>1</v>
      </c>
      <c r="E538" s="43" t="b">
        <f>AND(BX538&gt;Driver!$F$54,BX538&lt;Driver!$G$54)</f>
        <v>1</v>
      </c>
      <c r="F538" s="43" t="b">
        <f>CL538&gt;Driver!$F$56</f>
        <v>1</v>
      </c>
      <c r="G538" s="43" t="b">
        <f>AND(CB538&gt;Driver!$F$55,CB538&lt;Driver!$G$55)</f>
        <v>0</v>
      </c>
      <c r="H538" s="43" t="b">
        <f t="shared" si="296"/>
        <v>0</v>
      </c>
      <c r="I538" s="43">
        <f t="shared" si="297"/>
        <v>0</v>
      </c>
      <c r="J538" s="43" t="b">
        <f t="array" ref="J538">NOT(OR(($H$9:$H$1273=TRUE)*($I$9:$I$1273&gt;0)*($BT$9:$BT$1273=BT538)*($K$9:$K$1273&gt;K538)))</f>
        <v>1</v>
      </c>
      <c r="K538" s="72">
        <f t="shared" si="298"/>
        <v>0.76769365294239877</v>
      </c>
      <c r="L538" s="72">
        <f t="shared" si="299"/>
        <v>0.77156416980037101</v>
      </c>
      <c r="M538" s="72">
        <f t="shared" si="300"/>
        <v>0.76382313608442642</v>
      </c>
      <c r="N538" s="72">
        <f t="shared" si="301"/>
        <v>0.73281405220988671</v>
      </c>
      <c r="O538" s="72">
        <f t="shared" si="302"/>
        <v>0.58527745002866594</v>
      </c>
      <c r="P538" s="72">
        <f t="shared" si="303"/>
        <v>0.97337790601472651</v>
      </c>
      <c r="Q538" s="72"/>
      <c r="R538" s="72"/>
      <c r="S538" s="72">
        <f t="shared" si="304"/>
        <v>0.4409796105289685</v>
      </c>
      <c r="T538" s="72">
        <f t="shared" si="305"/>
        <v>0.62104839650862531</v>
      </c>
      <c r="U538" s="72">
        <f t="shared" si="306"/>
        <v>0.51</v>
      </c>
      <c r="V538" s="72">
        <f t="shared" si="307"/>
        <v>0.49152549165614734</v>
      </c>
      <c r="W538" s="72">
        <f t="shared" si="308"/>
        <v>0.76047739624505928</v>
      </c>
      <c r="X538" s="72">
        <f t="shared" si="309"/>
        <v>0.22843583019962896</v>
      </c>
      <c r="Y538" s="72">
        <f t="shared" si="310"/>
        <v>0.2361768639155736</v>
      </c>
      <c r="Z538" s="72">
        <f t="shared" si="311"/>
        <v>0.26718594779011334</v>
      </c>
      <c r="AA538" s="72">
        <f t="shared" si="312"/>
        <v>0.41472254997133412</v>
      </c>
      <c r="AB538" s="72">
        <f t="shared" si="313"/>
        <v>2.6622093985273432E-2</v>
      </c>
      <c r="AC538" s="72"/>
      <c r="AD538" s="72"/>
      <c r="AE538" s="72">
        <f t="shared" si="314"/>
        <v>0.5590203894710315</v>
      </c>
      <c r="AF538" s="72">
        <f t="shared" si="315"/>
        <v>0.37895160349137469</v>
      </c>
      <c r="AG538" s="72">
        <f t="shared" si="316"/>
        <v>0.49</v>
      </c>
      <c r="AH538" s="72">
        <f t="shared" si="317"/>
        <v>0.50847450834385266</v>
      </c>
      <c r="AI538" s="72">
        <f t="shared" si="318"/>
        <v>0.23952260375494072</v>
      </c>
      <c r="AJ538" s="72">
        <f>(AV538-Driver!$K$179)/(Driver!$L$179-Driver!$K$179)</f>
        <v>2.5783579083071467E-2</v>
      </c>
      <c r="AK538" s="72">
        <f>(AW538-Driver!$K$180)/(Driver!$L$180-Driver!$K$180)</f>
        <v>0.28815892616659045</v>
      </c>
      <c r="AL538" s="72">
        <f>(AX538-Driver!$K$181)/(Driver!$L$181-Driver!$K$181)</f>
        <v>0.36887371150319354</v>
      </c>
      <c r="AM538" s="72">
        <f>(AY538-Driver!$K$182)/(Driver!$L$182-Driver!$K$182)</f>
        <v>3.2662471125712231E-2</v>
      </c>
      <c r="AN538" s="72">
        <f>(AZ538-Driver!$K$183)/(Driver!$L$183-Driver!$K$183)</f>
        <v>0.28084150326797386</v>
      </c>
      <c r="AO538" s="72"/>
      <c r="AP538" s="72"/>
      <c r="AQ538" s="72">
        <f>(BC538-Driver!$K$188)/(Driver!$L$188-Driver!$K$188)</f>
        <v>6.0979610528968484E-2</v>
      </c>
      <c r="AR538" s="72">
        <f>MIN((BD538-Driver!$K$189)/(Driver!$L$189-Driver!$K$189),100%)</f>
        <v>0.92895160349137473</v>
      </c>
      <c r="AS538" s="72">
        <f>(BE538-Driver!$K$190)/(Driver!$L$190-Driver!$K$190)</f>
        <v>1</v>
      </c>
      <c r="AT538" s="72">
        <f>(BF538-Driver!$K$191)/(Driver!$L$191-Driver!$K$191)</f>
        <v>1.5254916561473675E-3</v>
      </c>
      <c r="AU538" s="72">
        <f>(BG538-Driver!$K$192)/(Driver!$L$192-Driver!$K$192)</f>
        <v>1.0477396245059289E-2</v>
      </c>
      <c r="AV538" s="70">
        <f t="shared" si="319"/>
        <v>0.54266720933387602</v>
      </c>
      <c r="AW538" s="70">
        <f t="shared" si="320"/>
        <v>29.95553332422628</v>
      </c>
      <c r="AX538" s="70">
        <f t="shared" si="321"/>
        <v>4.3198634035287418</v>
      </c>
      <c r="AY538" s="70">
        <f>IFERROR(Driver!$K$19/Data!BH538/Data!BI538*Data!BK538*Data!BL538,"")</f>
        <v>3.998861019865381E-2</v>
      </c>
      <c r="AZ538" s="70">
        <f t="shared" si="322"/>
        <v>25.595681310498886</v>
      </c>
      <c r="BA538" s="70"/>
      <c r="BB538" s="70"/>
      <c r="BC538" s="70">
        <f t="shared" si="323"/>
        <v>31.630547904750795</v>
      </c>
      <c r="BD538" s="70">
        <f t="shared" si="324"/>
        <v>83.931393788242232</v>
      </c>
      <c r="BE538" s="70">
        <f t="shared" si="325"/>
        <v>1</v>
      </c>
      <c r="BF538" s="70">
        <f t="shared" si="326"/>
        <v>0.1722935653764103</v>
      </c>
      <c r="BG538" s="70">
        <f t="shared" si="327"/>
        <v>3.9674106040019766E-2</v>
      </c>
      <c r="BH538" s="67">
        <f>MAX((CE538-Driver!$F$200)/(Driver!$G$200-Driver!$F$200)*$BI$1,1)</f>
        <v>4.3198634035287418</v>
      </c>
      <c r="BI538" s="67">
        <f>MAX($BI$1*(BY538-Driver!$F$201)/(Driver!$G$201-Driver!$F$201),1)</f>
        <v>7.9113924050632916</v>
      </c>
      <c r="BJ538" s="67">
        <f>(CB538-Driver!$F$206)/(Driver!$G$206-Driver!$F$206)*$BI$1</f>
        <v>0.79365079365079361</v>
      </c>
      <c r="BK538" s="67">
        <f>(CD538-Driver!$F$203)/(Driver!$G$203-Driver!$F$203)*$BI$1</f>
        <v>1.1009174311926608</v>
      </c>
      <c r="BL538" s="67">
        <f>MAX((CR538-Driver!$F$202)/(Driver!$G$202-Driver!$F$202)*$BI$1,1)</f>
        <v>6.2068965517241379</v>
      </c>
      <c r="BM538" s="67">
        <f>MAX((CH538-Driver!$F$204)/(Driver!$G$204-Driver!$F$204)*$BI$1,1)</f>
        <v>2.7350427350427351</v>
      </c>
      <c r="BN538" s="67">
        <f>(CI538-Driver!$F$205)/(Driver!$G$205-Driver!$F$205)*$BI$1</f>
        <v>3.2352941176470589</v>
      </c>
      <c r="BO538" s="67">
        <f>(CK538-Driver!$F$207)/(Driver!$G$207-Driver!$F$207)*$BI$1</f>
        <v>0.41365046535677352</v>
      </c>
      <c r="BP538" s="67">
        <f>(CM538-Driver!$F$208)/(Driver!$G$208-Driver!$F$208)*$BI$1</f>
        <v>0.57777777777777772</v>
      </c>
      <c r="BQ538" s="67">
        <f>(CL538-Driver!$F$209)/(Driver!$G$209-Driver!$F$209)*$BI$1</f>
        <v>0.46875</v>
      </c>
      <c r="BR538" s="28" t="s">
        <v>155</v>
      </c>
      <c r="BS538" s="8" t="s">
        <v>156</v>
      </c>
      <c r="BT538" s="9" t="s">
        <v>658</v>
      </c>
      <c r="BU538" s="10">
        <v>154</v>
      </c>
      <c r="BV538" s="9" t="s">
        <v>158</v>
      </c>
      <c r="BW538" s="10">
        <v>154</v>
      </c>
      <c r="BX538" s="10">
        <v>153.4</v>
      </c>
      <c r="BY538" s="10">
        <v>133</v>
      </c>
      <c r="BZ538" s="10">
        <v>139</v>
      </c>
      <c r="CA538" s="10">
        <v>117</v>
      </c>
      <c r="CB538" s="10">
        <v>69</v>
      </c>
      <c r="CC538" s="10">
        <v>100</v>
      </c>
      <c r="CD538" s="10">
        <v>11.8</v>
      </c>
      <c r="CE538" s="10">
        <v>1659</v>
      </c>
      <c r="CF538" s="10">
        <v>0.78</v>
      </c>
      <c r="CG538" s="10">
        <v>1290</v>
      </c>
      <c r="CH538" s="10">
        <v>165</v>
      </c>
      <c r="CI538" s="10">
        <v>88</v>
      </c>
      <c r="CJ538" s="10">
        <v>36</v>
      </c>
      <c r="CK538" s="10">
        <v>150</v>
      </c>
      <c r="CL538" s="10">
        <v>3</v>
      </c>
      <c r="CM538" s="10">
        <v>52</v>
      </c>
      <c r="CN538" s="10">
        <v>9.1999999999999998E-2</v>
      </c>
      <c r="CO538" s="10">
        <v>88</v>
      </c>
      <c r="CP538" s="10">
        <v>59</v>
      </c>
      <c r="CQ538" s="10">
        <v>62</v>
      </c>
      <c r="CR538" s="10">
        <v>7</v>
      </c>
      <c r="CS538" s="10">
        <v>12.8</v>
      </c>
      <c r="CT538" s="9" t="s">
        <v>349</v>
      </c>
      <c r="CU538" s="10"/>
      <c r="CV538" s="10"/>
      <c r="CW538" s="10"/>
      <c r="CX538">
        <f>INDEX('Data_Price '!AG$2:AG$1266,MATCH(Data!$DN538,'Data_Price '!$AT$2:$AT$1266,0))</f>
        <v>0</v>
      </c>
      <c r="CY538">
        <f>INDEX('Data_Price '!AH$2:AH$1266,MATCH(Data!$DN538,'Data_Price '!$AT$2:$AT$1266,0))</f>
        <v>0</v>
      </c>
      <c r="CZ538">
        <f>INDEX('Data_Price '!AI$2:AI$1266,MATCH(Data!$DN538,'Data_Price '!$AT$2:$AT$1266,0))</f>
        <v>0</v>
      </c>
      <c r="DA538">
        <f>INDEX('Data_Price '!AJ$2:AJ$1266,MATCH(Data!$DN538,'Data_Price '!$AT$2:$AT$1266,0))</f>
        <v>0</v>
      </c>
      <c r="DB538">
        <f>INDEX('Data_Price '!AK$2:AK$1266,MATCH(Data!$DN538,'Data_Price '!$AT$2:$AT$1266,0))</f>
        <v>0</v>
      </c>
      <c r="DC538">
        <f>INDEX('Data_Price '!AL$2:AL$1266,MATCH(Data!$DN538,'Data_Price '!$AT$2:$AT$1266,0))</f>
        <v>0</v>
      </c>
      <c r="DD538">
        <f>INDEX('Data_Price '!AM$2:AM$1266,MATCH(Data!$DN538,'Data_Price '!$AT$2:$AT$1266,0))</f>
        <v>0</v>
      </c>
      <c r="DE538">
        <f>INDEX('Data_Price '!AN$2:AN$1266,MATCH(Data!$DN538,'Data_Price '!$AT$2:$AT$1266,0))</f>
        <v>0</v>
      </c>
      <c r="DF538">
        <f>INDEX('Data_Price '!AO$2:AO$1266,MATCH(Data!$DN538,'Data_Price '!$AT$2:$AT$1266,0))</f>
        <v>0</v>
      </c>
      <c r="DG538">
        <f>INDEX('Data_Price '!AP$2:AP$1266,MATCH(Data!$DN538,'Data_Price '!$AT$2:$AT$1266,0))</f>
        <v>0</v>
      </c>
      <c r="DH538">
        <f>INDEX('Data_Price '!AQ$2:AQ$1266,MATCH(Data!$DN538,'Data_Price '!$AT$2:$AT$1266,0))</f>
        <v>0</v>
      </c>
      <c r="DI538">
        <f>INDEX('Data_Price '!AR$2:AR$1266,MATCH(Data!$DN538,'Data_Price '!$AT$2:$AT$1266,0))</f>
        <v>0</v>
      </c>
      <c r="DJ538" s="89">
        <f t="shared" si="328"/>
        <v>0</v>
      </c>
      <c r="DK538" s="89">
        <f t="shared" si="329"/>
        <v>0</v>
      </c>
      <c r="DL538" s="89">
        <f t="shared" si="330"/>
        <v>0</v>
      </c>
      <c r="DM538" s="219" t="str">
        <f t="shared" si="331"/>
        <v>Redster X5</v>
      </c>
      <c r="DN538" s="89" t="str">
        <f t="shared" si="332"/>
        <v xml:space="preserve"> AtomicRedster X5154 Unisex</v>
      </c>
      <c r="DO538" s="221"/>
    </row>
    <row r="539" spans="2:119" ht="15.6" customHeight="1">
      <c r="B539" s="219" t="b">
        <f t="array" ref="B539">IF(OR(ISERROR(K539:P539)),FALSE,TRUE)</f>
        <v>1</v>
      </c>
      <c r="C539" s="43" t="b">
        <f>OR(BR539=Driver!$G$50,Data!BR426=Driver!$H$50)</f>
        <v>1</v>
      </c>
      <c r="D539" s="43" t="b">
        <f>OR(BV539=Driver!$G$51,BV539=Driver!$H$51)</f>
        <v>1</v>
      </c>
      <c r="E539" s="43" t="b">
        <f>AND(BX539&gt;Driver!$F$54,BX539&lt;Driver!$G$54)</f>
        <v>0</v>
      </c>
      <c r="F539" s="43" t="b">
        <f>CL539&gt;Driver!$F$56</f>
        <v>1</v>
      </c>
      <c r="G539" s="43" t="b">
        <f>AND(CB539&gt;Driver!$F$55,CB539&lt;Driver!$G$55)</f>
        <v>0</v>
      </c>
      <c r="H539" s="43" t="b">
        <f t="shared" si="296"/>
        <v>0</v>
      </c>
      <c r="I539" s="43">
        <f t="shared" si="297"/>
        <v>0</v>
      </c>
      <c r="J539" s="43" t="b">
        <f t="array" ref="J539">NOT(OR(($H$9:$H$1273=TRUE)*($I$9:$I$1273&gt;0)*($BT$9:$BT$1273=BT539)*($K$9:$K$1273&gt;K539)))</f>
        <v>1</v>
      </c>
      <c r="K539" s="72">
        <f t="shared" si="298"/>
        <v>0.75698839904241888</v>
      </c>
      <c r="L539" s="72">
        <f t="shared" si="299"/>
        <v>0.84061581753222181</v>
      </c>
      <c r="M539" s="72">
        <f t="shared" si="300"/>
        <v>0.67336098055261595</v>
      </c>
      <c r="N539" s="72">
        <f t="shared" si="301"/>
        <v>0.49693218286188179</v>
      </c>
      <c r="O539" s="72">
        <f t="shared" si="302"/>
        <v>0.60716664363091266</v>
      </c>
      <c r="P539" s="72">
        <f t="shared" si="303"/>
        <v>0.9159841151650534</v>
      </c>
      <c r="Q539" s="72"/>
      <c r="R539" s="72"/>
      <c r="S539" s="72">
        <f t="shared" si="304"/>
        <v>0.49140725104588123</v>
      </c>
      <c r="T539" s="72">
        <f t="shared" si="305"/>
        <v>0.98553824068976503</v>
      </c>
      <c r="U539" s="72">
        <f t="shared" si="306"/>
        <v>0.51</v>
      </c>
      <c r="V539" s="72">
        <f t="shared" si="307"/>
        <v>0.49175548885968956</v>
      </c>
      <c r="W539" s="72">
        <f t="shared" si="308"/>
        <v>0.76400630758561472</v>
      </c>
      <c r="X539" s="72">
        <f t="shared" si="309"/>
        <v>0.15938418246777819</v>
      </c>
      <c r="Y539" s="72">
        <f t="shared" si="310"/>
        <v>0.32663901944738405</v>
      </c>
      <c r="Z539" s="72">
        <f t="shared" si="311"/>
        <v>0.50306781713811821</v>
      </c>
      <c r="AA539" s="72">
        <f t="shared" si="312"/>
        <v>0.39283335636908728</v>
      </c>
      <c r="AB539" s="72">
        <f t="shared" si="313"/>
        <v>8.4015884834946652E-2</v>
      </c>
      <c r="AC539" s="72"/>
      <c r="AD539" s="72"/>
      <c r="AE539" s="72">
        <f t="shared" si="314"/>
        <v>0.50859274895411877</v>
      </c>
      <c r="AF539" s="72">
        <f t="shared" si="315"/>
        <v>1.4461759310234967E-2</v>
      </c>
      <c r="AG539" s="72">
        <f t="shared" si="316"/>
        <v>0.49</v>
      </c>
      <c r="AH539" s="72">
        <f t="shared" si="317"/>
        <v>0.50824451114031044</v>
      </c>
      <c r="AI539" s="72">
        <f t="shared" si="318"/>
        <v>0.23599369241438525</v>
      </c>
      <c r="AJ539" s="72">
        <f>(AV539-Driver!$K$179)/(Driver!$L$179-Driver!$K$179)</f>
        <v>9.4835226814922235E-2</v>
      </c>
      <c r="AK539" s="72">
        <f>(AW539-Driver!$K$180)/(Driver!$L$180-Driver!$K$180)</f>
        <v>0.36388895387018833</v>
      </c>
      <c r="AL539" s="72">
        <f>(AX539-Driver!$K$181)/(Driver!$L$181-Driver!$K$181)</f>
        <v>0.6047555808511984</v>
      </c>
      <c r="AM539" s="72">
        <f>(AY539-Driver!$K$182)/(Driver!$L$182-Driver!$K$182)</f>
        <v>5.4551664727959089E-2</v>
      </c>
      <c r="AN539" s="72">
        <f>(AZ539-Driver!$K$183)/(Driver!$L$183-Driver!$K$183)</f>
        <v>0.33823529411764708</v>
      </c>
      <c r="AO539" s="72"/>
      <c r="AP539" s="72"/>
      <c r="AQ539" s="72">
        <f>(BC539-Driver!$K$188)/(Driver!$L$188-Driver!$K$188)</f>
        <v>0.11140725104588121</v>
      </c>
      <c r="AR539" s="72">
        <f>MIN((BD539-Driver!$K$189)/(Driver!$L$189-Driver!$K$189),100%)</f>
        <v>0.56446175931023501</v>
      </c>
      <c r="AS539" s="72">
        <f>(BE539-Driver!$K$190)/(Driver!$L$190-Driver!$K$190)</f>
        <v>1</v>
      </c>
      <c r="AT539" s="72">
        <f>(BF539-Driver!$K$191)/(Driver!$L$191-Driver!$K$191)</f>
        <v>1.7554888596895864E-3</v>
      </c>
      <c r="AU539" s="72">
        <f>(BG539-Driver!$K$192)/(Driver!$L$192-Driver!$K$192)</f>
        <v>1.4006307585614742E-2</v>
      </c>
      <c r="AV539" s="70">
        <f t="shared" si="319"/>
        <v>1.9959978293311627</v>
      </c>
      <c r="AW539" s="70">
        <f t="shared" si="320"/>
        <v>37.336095560250804</v>
      </c>
      <c r="AX539" s="70">
        <f t="shared" si="321"/>
        <v>6.4428002276607854</v>
      </c>
      <c r="AY539" s="70">
        <f>IFERROR(Driver!$K$19/Data!BH539/Data!BI539*Data!BK539*Data!BL539,"")</f>
        <v>6.6787514272817899E-2</v>
      </c>
      <c r="AZ539" s="70">
        <f t="shared" si="322"/>
        <v>30.826507818317204</v>
      </c>
      <c r="BA539" s="70"/>
      <c r="BB539" s="70"/>
      <c r="BC539" s="70">
        <f t="shared" si="323"/>
        <v>57.787715608142847</v>
      </c>
      <c r="BD539" s="70">
        <f t="shared" si="324"/>
        <v>51.674688415999029</v>
      </c>
      <c r="BE539" s="70">
        <f t="shared" si="325"/>
        <v>1</v>
      </c>
      <c r="BF539" s="70">
        <f t="shared" si="326"/>
        <v>0.1982701336946999</v>
      </c>
      <c r="BG539" s="70">
        <f t="shared" si="327"/>
        <v>5.303681557742479E-2</v>
      </c>
      <c r="BH539" s="67">
        <f>MAX((CE539-Driver!$F$200)/(Driver!$G$200-Driver!$F$200)*$BI$1,1)</f>
        <v>6.4428002276607854</v>
      </c>
      <c r="BI539" s="67">
        <f>MAX($BI$1*(BY539-Driver!$F$201)/(Driver!$G$201-Driver!$F$201),1)</f>
        <v>8.7341772151898738</v>
      </c>
      <c r="BJ539" s="67">
        <f>(CB539-Driver!$F$206)/(Driver!$G$206-Driver!$F$206)*$BI$1</f>
        <v>1.746031746031746</v>
      </c>
      <c r="BK539" s="67">
        <f>(CD539-Driver!$F$203)/(Driver!$G$203-Driver!$F$203)*$BI$1</f>
        <v>2.4770642201834865</v>
      </c>
      <c r="BL539" s="67">
        <f>MAX((CR539-Driver!$F$202)/(Driver!$G$202-Driver!$F$202)*$BI$1,1)</f>
        <v>7.5862068965517242</v>
      </c>
      <c r="BM539" s="67">
        <f>MAX((CH539-Driver!$F$204)/(Driver!$G$204-Driver!$F$204)*$BI$1,1)</f>
        <v>4.5726495726495724</v>
      </c>
      <c r="BN539" s="67">
        <f>(CI539-Driver!$F$205)/(Driver!$G$205-Driver!$F$205)*$BI$1</f>
        <v>3.5294117647058827</v>
      </c>
      <c r="BO539" s="67">
        <f>(CK539-Driver!$F$207)/(Driver!$G$207-Driver!$F$207)*$BI$1</f>
        <v>0.35160289555325747</v>
      </c>
      <c r="BP539" s="67">
        <f>(CM539-Driver!$F$208)/(Driver!$G$208-Driver!$F$208)*$BI$1</f>
        <v>0.8</v>
      </c>
      <c r="BQ539" s="67">
        <f>(CL539-Driver!$F$209)/(Driver!$G$209-Driver!$F$209)*$BI$1</f>
        <v>1.5625</v>
      </c>
      <c r="BR539" s="28" t="s">
        <v>155</v>
      </c>
      <c r="BS539" s="8" t="s">
        <v>164</v>
      </c>
      <c r="BT539" s="9" t="s">
        <v>659</v>
      </c>
      <c r="BU539" s="10">
        <v>168</v>
      </c>
      <c r="BV539" s="9" t="s">
        <v>158</v>
      </c>
      <c r="BW539" s="10">
        <v>168</v>
      </c>
      <c r="BX539" s="10">
        <v>167.3</v>
      </c>
      <c r="BY539" s="10">
        <v>146</v>
      </c>
      <c r="BZ539" s="10">
        <v>153</v>
      </c>
      <c r="CA539" s="10">
        <v>124</v>
      </c>
      <c r="CB539" s="10">
        <v>75</v>
      </c>
      <c r="CC539" s="10">
        <v>103</v>
      </c>
      <c r="CD539" s="10">
        <v>14.8</v>
      </c>
      <c r="CE539" s="10">
        <v>2032</v>
      </c>
      <c r="CF539" s="10">
        <v>0.74</v>
      </c>
      <c r="CG539" s="10">
        <v>1498</v>
      </c>
      <c r="CH539" s="10">
        <v>208</v>
      </c>
      <c r="CI539" s="10">
        <v>93</v>
      </c>
      <c r="CJ539" s="10">
        <v>31</v>
      </c>
      <c r="CK539" s="10">
        <v>144</v>
      </c>
      <c r="CL539" s="10">
        <v>10</v>
      </c>
      <c r="CM539" s="10">
        <v>72</v>
      </c>
      <c r="CN539" s="10">
        <v>0.32200000000000001</v>
      </c>
      <c r="CO539" s="10">
        <v>85</v>
      </c>
      <c r="CP539" s="10">
        <v>60</v>
      </c>
      <c r="CQ539" s="10">
        <v>59</v>
      </c>
      <c r="CR539" s="10">
        <v>11</v>
      </c>
      <c r="CS539" s="10">
        <v>9.4</v>
      </c>
      <c r="CT539" s="9" t="s">
        <v>349</v>
      </c>
      <c r="CU539" s="10"/>
      <c r="CV539" s="10"/>
      <c r="CW539" s="10"/>
      <c r="CX539" t="str">
        <f>INDEX('Data_Price '!AG$2:AG$1266,MATCH(Data!$DN539,'Data_Price '!$AT$2:$AT$1266,0))</f>
        <v>Elan Amphibio 14 Ti + EMX 11 Fusionx 21/22</v>
      </c>
      <c r="CY539" t="str">
        <f>INDEX('Data_Price '!AH$2:AH$1266,MATCH(Data!$DN539,'Data_Price '!$AT$2:$AT$1266,0))</f>
        <v>! OutdoorXL.com</v>
      </c>
      <c r="CZ539">
        <f>INDEX('Data_Price '!AI$2:AI$1266,MATCH(Data!$DN539,'Data_Price '!$AT$2:$AT$1266,0))</f>
        <v>424.95</v>
      </c>
      <c r="DA539" t="str">
        <f>INDEX('Data_Price '!AJ$2:AJ$1266,MATCH(Data!$DN539,'Data_Price '!$AT$2:$AT$1266,0))</f>
        <v>https://tinyurl.com/y8utm7ht</v>
      </c>
      <c r="DB539" t="str">
        <f>INDEX('Data_Price '!AK$2:AK$1266,MATCH(Data!$DN539,'Data_Price '!$AT$2:$AT$1266,0))</f>
        <v>Elan Waveflex 78 Ti Skis With Elx 12.0 Bindings Green 168cm 2012</v>
      </c>
      <c r="DC539" t="str">
        <f>INDEX('Data_Price '!AL$2:AL$1266,MATCH(Data!$DN539,'Data_Price '!$AT$2:$AT$1266,0))</f>
        <v>eBay - abuv</v>
      </c>
      <c r="DD539">
        <f>INDEX('Data_Price '!AM$2:AM$1266,MATCH(Data!$DN539,'Data_Price '!$AT$2:$AT$1266,0))</f>
        <v>329.99</v>
      </c>
      <c r="DE539" t="str">
        <f>INDEX('Data_Price '!AN$2:AN$1266,MATCH(Data!$DN539,'Data_Price '!$AT$2:$AT$1266,0))</f>
        <v>https://tinyurl.com/y7safk9l</v>
      </c>
      <c r="DF539" t="str">
        <f>INDEX('Data_Price '!AO$2:AO$1266,MATCH(Data!$DN539,'Data_Price '!$AT$2:$AT$1266,0))</f>
        <v>Elan Wingman 78 TI PS ELS 11.0 168cm</v>
      </c>
      <c r="DG539" t="str">
        <f>INDEX('Data_Price '!AP$2:AP$1266,MATCH(Data!$DN539,'Data_Price '!$AT$2:$AT$1266,0))</f>
        <v>Sundance Ski and Board Shop</v>
      </c>
      <c r="DH539">
        <f>INDEX('Data_Price '!AQ$2:AQ$1266,MATCH(Data!$DN539,'Data_Price '!$AT$2:$AT$1266,0))</f>
        <v>561.20000000000005</v>
      </c>
      <c r="DI539" t="str">
        <f>INDEX('Data_Price '!AR$2:AR$1266,MATCH(Data!$DN539,'Data_Price '!$AT$2:$AT$1266,0))</f>
        <v>https://tinyurl.com/yawktleg</v>
      </c>
      <c r="DJ539" s="89" t="str">
        <f t="shared" si="328"/>
        <v>https://tinyurl.com/y8utm7ht</v>
      </c>
      <c r="DK539" s="89" t="str">
        <f t="shared" si="329"/>
        <v>https://tinyurl.com/y7safk9l</v>
      </c>
      <c r="DL539" s="89" t="str">
        <f t="shared" si="330"/>
        <v>https://tinyurl.com/yawktleg</v>
      </c>
      <c r="DM539" s="219" t="str">
        <f t="shared" si="331"/>
        <v>Amphibio 14 Ti</v>
      </c>
      <c r="DN539" s="89" t="str">
        <f t="shared" si="332"/>
        <v xml:space="preserve"> ElanAmphibio 14 Ti168 Unisex</v>
      </c>
      <c r="DO539" s="221"/>
    </row>
    <row r="540" spans="2:119" ht="15.6" customHeight="1">
      <c r="B540" s="219" t="b">
        <f t="array" ref="B540">IF(OR(ISERROR(K540:P540)),FALSE,TRUE)</f>
        <v>1</v>
      </c>
      <c r="C540" s="43" t="b">
        <f>OR(BR540=Driver!$G$50,Data!BR679=Driver!$H$50)</f>
        <v>1</v>
      </c>
      <c r="D540" s="43" t="b">
        <f>OR(BV540=Driver!$G$51,BV540=Driver!$H$51)</f>
        <v>1</v>
      </c>
      <c r="E540" s="43" t="b">
        <f>AND(BX540&gt;Driver!$F$54,BX540&lt;Driver!$G$54)</f>
        <v>0</v>
      </c>
      <c r="F540" s="43" t="b">
        <f>CL540&gt;Driver!$F$56</f>
        <v>1</v>
      </c>
      <c r="G540" s="43" t="b">
        <f>AND(CB540&gt;Driver!$F$55,CB540&lt;Driver!$G$55)</f>
        <v>1</v>
      </c>
      <c r="H540" s="43" t="b">
        <f t="shared" si="296"/>
        <v>0</v>
      </c>
      <c r="I540" s="43">
        <f t="shared" si="297"/>
        <v>0</v>
      </c>
      <c r="J540" s="43" t="b">
        <f t="array" ref="J540">NOT(OR(($H$9:$H$1273=TRUE)*($I$9:$I$1273&gt;0)*($BT$9:$BT$1273=BT540)*($K$9:$K$1273&gt;K540)))</f>
        <v>1</v>
      </c>
      <c r="K540" s="72">
        <f t="shared" si="298"/>
        <v>0.72702842399415635</v>
      </c>
      <c r="L540" s="72">
        <f t="shared" si="299"/>
        <v>0.76948812252095689</v>
      </c>
      <c r="M540" s="72">
        <f t="shared" si="300"/>
        <v>0.68456872546735581</v>
      </c>
      <c r="N540" s="72">
        <f t="shared" si="301"/>
        <v>0.50325609356826262</v>
      </c>
      <c r="O540" s="72">
        <f t="shared" si="302"/>
        <v>0.62629603302822867</v>
      </c>
      <c r="P540" s="72">
        <f t="shared" si="303"/>
        <v>0.92415404980557625</v>
      </c>
      <c r="Q540" s="72"/>
      <c r="R540" s="72"/>
      <c r="S540" s="72">
        <f t="shared" si="304"/>
        <v>0.47447564601629966</v>
      </c>
      <c r="T540" s="72">
        <f t="shared" si="305"/>
        <v>0.47975825575563036</v>
      </c>
      <c r="U540" s="72">
        <f t="shared" si="306"/>
        <v>0.50145569050085614</v>
      </c>
      <c r="V540" s="72">
        <f t="shared" si="307"/>
        <v>0.63600316115320132</v>
      </c>
      <c r="W540" s="72">
        <f t="shared" si="308"/>
        <v>0.81615140374331552</v>
      </c>
      <c r="X540" s="72">
        <f t="shared" si="309"/>
        <v>0.23051187747904317</v>
      </c>
      <c r="Y540" s="72">
        <f t="shared" si="310"/>
        <v>0.31543127453264413</v>
      </c>
      <c r="Z540" s="72">
        <f t="shared" si="311"/>
        <v>0.49674390643173738</v>
      </c>
      <c r="AA540" s="72">
        <f t="shared" si="312"/>
        <v>0.37370396697177133</v>
      </c>
      <c r="AB540" s="72">
        <f t="shared" si="313"/>
        <v>7.584595019442375E-2</v>
      </c>
      <c r="AC540" s="72"/>
      <c r="AD540" s="72"/>
      <c r="AE540" s="72">
        <f t="shared" si="314"/>
        <v>0.52552435398370034</v>
      </c>
      <c r="AF540" s="72">
        <f t="shared" si="315"/>
        <v>0.52024174424436964</v>
      </c>
      <c r="AG540" s="72">
        <f t="shared" si="316"/>
        <v>0.49854430949914386</v>
      </c>
      <c r="AH540" s="72">
        <f t="shared" si="317"/>
        <v>0.36399683884679868</v>
      </c>
      <c r="AI540" s="72">
        <f t="shared" si="318"/>
        <v>0.18384859625668448</v>
      </c>
      <c r="AJ540" s="72">
        <f>(AV540-Driver!$K$179)/(Driver!$L$179-Driver!$K$179)</f>
        <v>0.4847312867617436</v>
      </c>
      <c r="AK540" s="72">
        <f>(AW540-Driver!$K$180)/(Driver!$L$180-Driver!$K$180)</f>
        <v>0.35590510563922079</v>
      </c>
      <c r="AL540" s="72">
        <f>(AX540-Driver!$K$181)/(Driver!$L$181-Driver!$K$181)</f>
        <v>0.59843167014481757</v>
      </c>
      <c r="AM540" s="72">
        <f>(AY540-Driver!$K$182)/(Driver!$L$182-Driver!$K$182)</f>
        <v>7.3681054125275008E-2</v>
      </c>
      <c r="AN540" s="72">
        <f>(AZ540-Driver!$K$183)/(Driver!$L$183-Driver!$K$183)</f>
        <v>0.33006535947712418</v>
      </c>
      <c r="AO540" s="72"/>
      <c r="AP540" s="72"/>
      <c r="AQ540" s="72">
        <f>(BC540-Driver!$K$188)/(Driver!$L$188-Driver!$K$188)</f>
        <v>9.4475646016299611E-2</v>
      </c>
      <c r="AR540" s="72">
        <f>MIN((BD540-Driver!$K$189)/(Driver!$L$189-Driver!$K$189),100%)</f>
        <v>2.9758255755630389E-2</v>
      </c>
      <c r="AS540" s="72">
        <f>(BE540-Driver!$K$190)/(Driver!$L$190-Driver!$K$190)</f>
        <v>1.1455690500856156E-2</v>
      </c>
      <c r="AT540" s="72">
        <f>(BF540-Driver!$K$191)/(Driver!$L$191-Driver!$K$191)</f>
        <v>0.14600316115320131</v>
      </c>
      <c r="AU540" s="72">
        <f>(BG540-Driver!$K$192)/(Driver!$L$192-Driver!$K$192)</f>
        <v>6.6151403743315504E-2</v>
      </c>
      <c r="AV540" s="70">
        <f t="shared" si="319"/>
        <v>10.202143535476869</v>
      </c>
      <c r="AW540" s="70">
        <f t="shared" si="320"/>
        <v>36.557998806051003</v>
      </c>
      <c r="AX540" s="70">
        <f t="shared" si="321"/>
        <v>6.3858850313033582</v>
      </c>
      <c r="AY540" s="70">
        <f>IFERROR(Driver!$K$19/Data!BH540/Data!BI540*Data!BK540*Data!BL540,"")</f>
        <v>9.0207594554047602E-2</v>
      </c>
      <c r="AZ540" s="70">
        <f t="shared" si="322"/>
        <v>30.081906180193599</v>
      </c>
      <c r="BA540" s="70"/>
      <c r="BB540" s="70"/>
      <c r="BC540" s="70">
        <f t="shared" si="323"/>
        <v>49.005174372690327</v>
      </c>
      <c r="BD540" s="70">
        <f t="shared" si="324"/>
        <v>4.3543757899619271</v>
      </c>
      <c r="BE540" s="70">
        <f t="shared" si="325"/>
        <v>1.1632035679130659E-2</v>
      </c>
      <c r="BF540" s="70">
        <f t="shared" si="326"/>
        <v>16.490031321994699</v>
      </c>
      <c r="BG540" s="70">
        <f t="shared" si="327"/>
        <v>0.25049141460561497</v>
      </c>
      <c r="BH540" s="67">
        <f>MAX((CE540-Driver!$F$200)/(Driver!$G$200-Driver!$F$200)*$BI$1,1)</f>
        <v>6.3858850313033582</v>
      </c>
      <c r="BI540" s="67">
        <f>MAX($BI$1*(BY540-Driver!$F$201)/(Driver!$G$201-Driver!$F$201),1)</f>
        <v>6.3924050632911396</v>
      </c>
      <c r="BJ540" s="67">
        <f>(CB540-Driver!$F$206)/(Driver!$G$206-Driver!$F$206)*$BI$1</f>
        <v>7.4603174603174605</v>
      </c>
      <c r="BK540" s="67">
        <f>(CD540-Driver!$F$203)/(Driver!$G$203-Driver!$F$203)*$BI$1</f>
        <v>4.4495412844036704</v>
      </c>
      <c r="BL540" s="67">
        <f>MAX((CR540-Driver!$F$202)/(Driver!$G$202-Driver!$F$202)*$BI$1,1)</f>
        <v>4.1379310344827589</v>
      </c>
      <c r="BM540" s="67">
        <f>MAX((CH540-Driver!$F$204)/(Driver!$G$204-Driver!$F$204)*$BI$1,1)</f>
        <v>5.4700854700854702</v>
      </c>
      <c r="BN540" s="67">
        <f>(CI540-Driver!$F$205)/(Driver!$G$205-Driver!$F$205)*$BI$1</f>
        <v>4.7058823529411766</v>
      </c>
      <c r="BO540" s="67">
        <f>(CK540-Driver!$F$207)/(Driver!$G$207-Driver!$F$207)*$BI$1</f>
        <v>2.7404343329886243</v>
      </c>
      <c r="BP540" s="67">
        <f>(CM540-Driver!$F$208)/(Driver!$G$208-Driver!$F$208)*$BI$1</f>
        <v>3.5888888888888886</v>
      </c>
      <c r="BQ540" s="67">
        <f>(CL540-Driver!$F$209)/(Driver!$G$209-Driver!$F$209)*$BI$1</f>
        <v>8.75</v>
      </c>
      <c r="BR540" s="28" t="s">
        <v>155</v>
      </c>
      <c r="BS540" s="8" t="s">
        <v>295</v>
      </c>
      <c r="BT540" s="9" t="s">
        <v>475</v>
      </c>
      <c r="BU540" s="10">
        <v>181</v>
      </c>
      <c r="BV540" s="9" t="s">
        <v>158</v>
      </c>
      <c r="BW540" s="10">
        <v>181</v>
      </c>
      <c r="BX540" s="10">
        <v>178.5</v>
      </c>
      <c r="BY540" s="10">
        <v>109</v>
      </c>
      <c r="BZ540" s="10">
        <v>153</v>
      </c>
      <c r="CA540" s="10">
        <v>145</v>
      </c>
      <c r="CB540" s="10">
        <v>111</v>
      </c>
      <c r="CC540" s="10">
        <v>135</v>
      </c>
      <c r="CD540" s="10">
        <v>19.100000000000001</v>
      </c>
      <c r="CE540" s="10">
        <v>2022</v>
      </c>
      <c r="CF540" s="10">
        <v>1.08</v>
      </c>
      <c r="CG540" s="10">
        <v>2176</v>
      </c>
      <c r="CH540" s="10">
        <v>229</v>
      </c>
      <c r="CI540" s="10">
        <v>113</v>
      </c>
      <c r="CJ540" s="10">
        <v>60</v>
      </c>
      <c r="CK540" s="10">
        <v>375</v>
      </c>
      <c r="CL540" s="10">
        <v>56</v>
      </c>
      <c r="CM540" s="10">
        <v>323</v>
      </c>
      <c r="CN540" s="10">
        <v>0.94199999999999995</v>
      </c>
      <c r="CO540" s="10">
        <v>128</v>
      </c>
      <c r="CP540" s="10">
        <v>128</v>
      </c>
      <c r="CQ540" s="10">
        <v>248</v>
      </c>
      <c r="CR540" s="10">
        <v>1</v>
      </c>
      <c r="CS540" s="10">
        <v>9.6999999999999993</v>
      </c>
      <c r="CT540" s="9" t="s">
        <v>184</v>
      </c>
      <c r="CU540" s="9" t="s">
        <v>169</v>
      </c>
      <c r="CV540" s="9" t="s">
        <v>185</v>
      </c>
      <c r="CW540" s="10"/>
      <c r="CX540" t="str">
        <f>INDEX('Data_Price '!AG$2:AG$1266,MATCH(Data!$DN540,'Data_Price '!$AT$2:$AT$1266,0))</f>
        <v>Icelantic Nomad 105 181cm</v>
      </c>
      <c r="CY540" t="str">
        <f>INDEX('Data_Price '!AH$2:AH$1266,MATCH(Data!$DN540,'Data_Price '!$AT$2:$AT$1266,0))</f>
        <v>eBay</v>
      </c>
      <c r="CZ540">
        <f>INDEX('Data_Price '!AI$2:AI$1266,MATCH(Data!$DN540,'Data_Price '!$AT$2:$AT$1266,0))</f>
        <v>300</v>
      </c>
      <c r="DA540" t="str">
        <f>INDEX('Data_Price '!AJ$2:AJ$1266,MATCH(Data!$DN540,'Data_Price '!$AT$2:$AT$1266,0))</f>
        <v>https://tinyurl.com/y84utj3h</v>
      </c>
      <c r="DB540" t="str">
        <f>INDEX('Data_Price '!AK$2:AK$1266,MATCH(Data!$DN540,'Data_Price '!$AT$2:$AT$1266,0))</f>
        <v>Icelantic Rocky Mountain Nomad 105</v>
      </c>
      <c r="DC540" t="str">
        <f>INDEX('Data_Price '!AL$2:AL$1266,MATCH(Data!$DN540,'Data_Price '!$AT$2:$AT$1266,0))</f>
        <v>Aspen Ski and Board</v>
      </c>
      <c r="DD540">
        <f>INDEX('Data_Price '!AM$2:AM$1266,MATCH(Data!$DN540,'Data_Price '!$AT$2:$AT$1266,0))</f>
        <v>561.75</v>
      </c>
      <c r="DE540" t="str">
        <f>INDEX('Data_Price '!AN$2:AN$1266,MATCH(Data!$DN540,'Data_Price '!$AT$2:$AT$1266,0))</f>
        <v>https://tinyurl.com/ya3m3yfo</v>
      </c>
      <c r="DF540" t="str">
        <f>INDEX('Data_Price '!AO$2:AO$1266,MATCH(Data!$DN540,'Data_Price '!$AT$2:$AT$1266,0))</f>
        <v>Icelantic Nomad 105 Skis 2022 181cm</v>
      </c>
      <c r="DG540" t="str">
        <f>INDEX('Data_Price '!AP$2:AP$1266,MATCH(Data!$DN540,'Data_Price '!$AT$2:$AT$1266,0))</f>
        <v>Glacier Ski Shop</v>
      </c>
      <c r="DH540">
        <f>INDEX('Data_Price '!AQ$2:AQ$1266,MATCH(Data!$DN540,'Data_Price '!$AT$2:$AT$1266,0))</f>
        <v>585</v>
      </c>
      <c r="DI540" t="str">
        <f>INDEX('Data_Price '!AR$2:AR$1266,MATCH(Data!$DN540,'Data_Price '!$AT$2:$AT$1266,0))</f>
        <v>https://tinyurl.com/y7hmetyk</v>
      </c>
      <c r="DJ540" s="89" t="str">
        <f t="shared" si="328"/>
        <v>https://tinyurl.com/y84utj3h</v>
      </c>
      <c r="DK540" s="89" t="str">
        <f t="shared" si="329"/>
        <v>https://tinyurl.com/ya3m3yfo</v>
      </c>
      <c r="DL540" s="89" t="str">
        <f t="shared" si="330"/>
        <v>https://tinyurl.com/y7hmetyk</v>
      </c>
      <c r="DM540" s="219" t="str">
        <f t="shared" si="331"/>
        <v>Nomad 105</v>
      </c>
      <c r="DN540" s="89" t="str">
        <f t="shared" si="332"/>
        <v xml:space="preserve"> IcelanticNomad 105181 Unisex</v>
      </c>
      <c r="DO540" s="221" t="s">
        <v>476</v>
      </c>
    </row>
    <row r="541" spans="2:119" ht="15.6" customHeight="1">
      <c r="B541" s="219" t="b">
        <f t="array" ref="B541">IF(OR(ISERROR(K541:P541)),FALSE,TRUE)</f>
        <v>1</v>
      </c>
      <c r="C541" s="43" t="b">
        <f>OR(BR541=Driver!$G$50,Data!BR682=Driver!$H$50)</f>
        <v>1</v>
      </c>
      <c r="D541" s="43" t="b">
        <f>OR(BV541=Driver!$G$51,BV541=Driver!$H$51)</f>
        <v>1</v>
      </c>
      <c r="E541" s="43" t="b">
        <f>AND(BX541&gt;Driver!$F$54,BX541&lt;Driver!$G$54)</f>
        <v>0</v>
      </c>
      <c r="F541" s="43" t="b">
        <f>CL541&gt;Driver!$F$56</f>
        <v>1</v>
      </c>
      <c r="G541" s="43" t="b">
        <f>AND(CB541&gt;Driver!$F$55,CB541&lt;Driver!$G$55)</f>
        <v>0</v>
      </c>
      <c r="H541" s="43" t="b">
        <f t="shared" si="296"/>
        <v>0</v>
      </c>
      <c r="I541" s="43">
        <f t="shared" si="297"/>
        <v>0</v>
      </c>
      <c r="J541" s="43" t="b">
        <f t="array" ref="J541">NOT(OR(($H$9:$H$1273=TRUE)*($I$9:$I$1273&gt;0)*($BT$9:$BT$1273=BT541)*($K$9:$K$1273&gt;K541)))</f>
        <v>1</v>
      </c>
      <c r="K541" s="72">
        <f t="shared" si="298"/>
        <v>0.87531109770250703</v>
      </c>
      <c r="L541" s="72">
        <f t="shared" si="299"/>
        <v>0.97058117084782891</v>
      </c>
      <c r="M541" s="72">
        <f t="shared" si="300"/>
        <v>0.78004102455718516</v>
      </c>
      <c r="N541" s="72">
        <f t="shared" si="301"/>
        <v>0.73091687899797231</v>
      </c>
      <c r="O541" s="72">
        <f t="shared" si="302"/>
        <v>0.67813148630922482</v>
      </c>
      <c r="P541" s="72">
        <f t="shared" si="303"/>
        <v>0.93107470836435846</v>
      </c>
      <c r="Q541" s="72"/>
      <c r="R541" s="72"/>
      <c r="S541" s="72">
        <f t="shared" si="304"/>
        <v>0.44463222934475966</v>
      </c>
      <c r="T541" s="72">
        <f t="shared" si="305"/>
        <v>0.47554701131386656</v>
      </c>
      <c r="U541" s="72">
        <f t="shared" si="306"/>
        <v>0.51585953462262035</v>
      </c>
      <c r="V541" s="72">
        <f t="shared" si="307"/>
        <v>0.56516420089996111</v>
      </c>
      <c r="W541" s="72">
        <f t="shared" si="308"/>
        <v>0.8761614173228347</v>
      </c>
      <c r="X541" s="72">
        <f t="shared" si="309"/>
        <v>2.9418829152171116E-2</v>
      </c>
      <c r="Y541" s="72">
        <f t="shared" si="310"/>
        <v>0.21995897544281484</v>
      </c>
      <c r="Z541" s="72">
        <f t="shared" si="311"/>
        <v>0.26908312100202769</v>
      </c>
      <c r="AA541" s="72">
        <f t="shared" si="312"/>
        <v>0.32186851369077518</v>
      </c>
      <c r="AB541" s="72">
        <f t="shared" si="313"/>
        <v>6.8925291635641595E-2</v>
      </c>
      <c r="AC541" s="72"/>
      <c r="AD541" s="72"/>
      <c r="AE541" s="72">
        <f t="shared" si="314"/>
        <v>0.55536777065524034</v>
      </c>
      <c r="AF541" s="72">
        <f t="shared" si="315"/>
        <v>0.52445298868613344</v>
      </c>
      <c r="AG541" s="72">
        <f t="shared" si="316"/>
        <v>0.48414046537737965</v>
      </c>
      <c r="AH541" s="72">
        <f t="shared" si="317"/>
        <v>0.43483579910003889</v>
      </c>
      <c r="AI541" s="72">
        <f t="shared" si="318"/>
        <v>0.12383858267716535</v>
      </c>
      <c r="AJ541" s="72">
        <f>(AV541-Driver!$K$179)/(Driver!$L$179-Driver!$K$179)</f>
        <v>0.22480058013052931</v>
      </c>
      <c r="AK541" s="72">
        <f>(AW541-Driver!$K$180)/(Driver!$L$180-Driver!$K$180)</f>
        <v>0.2001488624921568</v>
      </c>
      <c r="AL541" s="72">
        <f>(AX541-Driver!$K$181)/(Driver!$L$181-Driver!$K$181)</f>
        <v>0.37077088471510788</v>
      </c>
      <c r="AM541" s="72">
        <f>(AY541-Driver!$K$182)/(Driver!$L$182-Driver!$K$182)</f>
        <v>0.12551650740627115</v>
      </c>
      <c r="AN541" s="72">
        <f>(AZ541-Driver!$K$183)/(Driver!$L$183-Driver!$K$183)</f>
        <v>0.18529411764705883</v>
      </c>
      <c r="AO541" s="72"/>
      <c r="AP541" s="72"/>
      <c r="AQ541" s="72">
        <f>(BC541-Driver!$K$188)/(Driver!$L$188-Driver!$K$188)</f>
        <v>6.4632229344759679E-2</v>
      </c>
      <c r="AR541" s="72">
        <f>MIN((BD541-Driver!$K$189)/(Driver!$L$189-Driver!$K$189),100%)</f>
        <v>2.5547011313866601E-2</v>
      </c>
      <c r="AS541" s="72">
        <f>(BE541-Driver!$K$190)/(Driver!$L$190-Driver!$K$190)</f>
        <v>2.5859534622620351E-2</v>
      </c>
      <c r="AT541" s="72">
        <f>(BF541-Driver!$K$191)/(Driver!$L$191-Driver!$K$191)</f>
        <v>7.516420089996112E-2</v>
      </c>
      <c r="AU541" s="72">
        <f>(BG541-Driver!$K$192)/(Driver!$L$192-Driver!$K$192)</f>
        <v>0.12616141732283465</v>
      </c>
      <c r="AV541" s="70">
        <f t="shared" si="319"/>
        <v>4.7313797313797306</v>
      </c>
      <c r="AW541" s="70">
        <f t="shared" si="320"/>
        <v>21.378172770655816</v>
      </c>
      <c r="AX541" s="70">
        <f t="shared" si="321"/>
        <v>4.3369379624359707</v>
      </c>
      <c r="AY541" s="70">
        <f>IFERROR(Driver!$K$19/Data!BH541/Data!BI541*Data!BK541*Data!BL541,"")</f>
        <v>0.15366965557650755</v>
      </c>
      <c r="AZ541" s="70">
        <f t="shared" si="322"/>
        <v>16.887565152643337</v>
      </c>
      <c r="BA541" s="70"/>
      <c r="BB541" s="70"/>
      <c r="BC541" s="70">
        <f t="shared" si="323"/>
        <v>33.525186677095739</v>
      </c>
      <c r="BD541" s="70">
        <f t="shared" si="324"/>
        <v>3.9816881187494402</v>
      </c>
      <c r="BE541" s="70">
        <f t="shared" si="325"/>
        <v>2.6033310317225701E-2</v>
      </c>
      <c r="BF541" s="70">
        <f t="shared" si="326"/>
        <v>8.4892684332532635</v>
      </c>
      <c r="BG541" s="70">
        <f t="shared" si="327"/>
        <v>0.47772760826771654</v>
      </c>
      <c r="BH541" s="67">
        <f>MAX((CE541-Driver!$F$200)/(Driver!$G$200-Driver!$F$200)*$BI$1,1)</f>
        <v>4.3369379624359707</v>
      </c>
      <c r="BI541" s="67">
        <f>MAX($BI$1*(BY541-Driver!$F$201)/(Driver!$G$201-Driver!$F$201),1)</f>
        <v>6.8354430379746836</v>
      </c>
      <c r="BJ541" s="67">
        <f>(CB541-Driver!$F$206)/(Driver!$G$206-Driver!$F$206)*$BI$1</f>
        <v>4.92063492063492</v>
      </c>
      <c r="BK541" s="67">
        <f>(CD541-Driver!$F$203)/(Driver!$G$203-Driver!$F$203)*$BI$1</f>
        <v>4.4036697247706424</v>
      </c>
      <c r="BL541" s="67">
        <f>MAX((CR541-Driver!$F$202)/(Driver!$G$202-Driver!$F$202)*$BI$1,1)</f>
        <v>5.1724137931034484</v>
      </c>
      <c r="BM541" s="67">
        <f>MAX((CH541-Driver!$F$204)/(Driver!$G$204-Driver!$F$204)*$BI$1,1)</f>
        <v>3.8461538461538463</v>
      </c>
      <c r="BN541" s="67">
        <f>(CI541-Driver!$F$205)/(Driver!$G$205-Driver!$F$205)*$BI$1</f>
        <v>2.4705882352941178</v>
      </c>
      <c r="BO541" s="67">
        <f>(CK541-Driver!$F$207)/(Driver!$G$207-Driver!$F$207)*$BI$1</f>
        <v>2.3578076525336091</v>
      </c>
      <c r="BP541" s="67">
        <f>(CM541-Driver!$F$208)/(Driver!$G$208-Driver!$F$208)*$BI$1</f>
        <v>3.2222222222222223</v>
      </c>
      <c r="BQ541" s="67">
        <f>(CL541-Driver!$F$209)/(Driver!$G$209-Driver!$F$209)*$BI$1</f>
        <v>7.96875</v>
      </c>
      <c r="BR541" s="28" t="s">
        <v>155</v>
      </c>
      <c r="BS541" s="8" t="s">
        <v>295</v>
      </c>
      <c r="BT541" s="9" t="s">
        <v>654</v>
      </c>
      <c r="BU541" s="10">
        <v>181</v>
      </c>
      <c r="BV541" s="9" t="s">
        <v>158</v>
      </c>
      <c r="BW541" s="10">
        <v>181</v>
      </c>
      <c r="BX541" s="10">
        <v>178.6</v>
      </c>
      <c r="BY541" s="10">
        <v>116</v>
      </c>
      <c r="BZ541" s="10">
        <v>155</v>
      </c>
      <c r="CA541" s="10">
        <v>130</v>
      </c>
      <c r="CB541" s="10">
        <v>95</v>
      </c>
      <c r="CC541" s="10">
        <v>120</v>
      </c>
      <c r="CD541" s="10">
        <v>19</v>
      </c>
      <c r="CE541" s="10">
        <v>1662</v>
      </c>
      <c r="CF541" s="10">
        <v>1.1399999999999999</v>
      </c>
      <c r="CG541" s="10">
        <v>1889</v>
      </c>
      <c r="CH541" s="10">
        <v>191</v>
      </c>
      <c r="CI541" s="10">
        <v>75</v>
      </c>
      <c r="CJ541" s="10">
        <v>55</v>
      </c>
      <c r="CK541" s="10">
        <v>338</v>
      </c>
      <c r="CL541" s="10">
        <v>51</v>
      </c>
      <c r="CM541" s="10">
        <v>290</v>
      </c>
      <c r="CN541" s="10">
        <v>0.91400000000000003</v>
      </c>
      <c r="CO541" s="10">
        <v>112</v>
      </c>
      <c r="CP541" s="10">
        <v>128</v>
      </c>
      <c r="CQ541" s="10">
        <v>226</v>
      </c>
      <c r="CR541" s="10">
        <v>4</v>
      </c>
      <c r="CS541" s="10">
        <v>9</v>
      </c>
      <c r="CT541" s="9" t="s">
        <v>184</v>
      </c>
      <c r="CU541" s="9" t="s">
        <v>185</v>
      </c>
      <c r="CV541" s="10"/>
      <c r="CW541" s="10"/>
      <c r="CX541" t="str">
        <f>INDEX('Data_Price '!AG$2:AG$1266,MATCH(Data!$DN541,'Data_Price '!$AT$2:$AT$1266,0))</f>
        <v>Icelantic Nomad 95 Skis 2022 181cm</v>
      </c>
      <c r="CY541" t="str">
        <f>INDEX('Data_Price '!AH$2:AH$1266,MATCH(Data!$DN541,'Data_Price '!$AT$2:$AT$1266,0))</f>
        <v>Glacier Ski Shop</v>
      </c>
      <c r="CZ541">
        <f>INDEX('Data_Price '!AI$2:AI$1266,MATCH(Data!$DN541,'Data_Price '!$AT$2:$AT$1266,0))</f>
        <v>525</v>
      </c>
      <c r="DA541" t="str">
        <f>INDEX('Data_Price '!AJ$2:AJ$1266,MATCH(Data!$DN541,'Data_Price '!$AT$2:$AT$1266,0))</f>
        <v>https://tinyurl.com/ybrj3fw3</v>
      </c>
      <c r="DB541" t="str">
        <f>INDEX('Data_Price '!AK$2:AK$1266,MATCH(Data!$DN541,'Data_Price '!$AT$2:$AT$1266,0))</f>
        <v>Icelantic Nomad 95 Skis Â· 2022 Â· 181 cm</v>
      </c>
      <c r="DC541" t="str">
        <f>INDEX('Data_Price '!AL$2:AL$1266,MATCH(Data!$DN541,'Data_Price '!$AT$2:$AT$1266,0))</f>
        <v>Curated</v>
      </c>
      <c r="DD541">
        <f>INDEX('Data_Price '!AM$2:AM$1266,MATCH(Data!$DN541,'Data_Price '!$AT$2:$AT$1266,0))</f>
        <v>561</v>
      </c>
      <c r="DE541" t="str">
        <f>INDEX('Data_Price '!AN$2:AN$1266,MATCH(Data!$DN541,'Data_Price '!$AT$2:$AT$1266,0))</f>
        <v>https://tinyurl.com/ydxjftr7</v>
      </c>
      <c r="DF541" t="str">
        <f>INDEX('Data_Price '!AO$2:AO$1266,MATCH(Data!$DN541,'Data_Price '!$AT$2:$AT$1266,0))</f>
        <v>Icelantic Nomad 95 Skis Â· 2022 Â· 181 cm</v>
      </c>
      <c r="DG541" t="str">
        <f>INDEX('Data_Price '!AP$2:AP$1266,MATCH(Data!$DN541,'Data_Price '!$AT$2:$AT$1266,0))</f>
        <v>Peter Glenn Ski &amp; Sports</v>
      </c>
      <c r="DH541">
        <f>INDEX('Data_Price '!AQ$2:AQ$1266,MATCH(Data!$DN541,'Data_Price '!$AT$2:$AT$1266,0))</f>
        <v>561.75</v>
      </c>
      <c r="DI541" t="str">
        <f>INDEX('Data_Price '!AR$2:AR$1266,MATCH(Data!$DN541,'Data_Price '!$AT$2:$AT$1266,0))</f>
        <v>https://tinyurl.com/yce9sked</v>
      </c>
      <c r="DJ541" s="89" t="str">
        <f t="shared" si="328"/>
        <v>https://tinyurl.com/ybrj3fw3</v>
      </c>
      <c r="DK541" s="89" t="str">
        <f t="shared" si="329"/>
        <v>https://tinyurl.com/ydxjftr7</v>
      </c>
      <c r="DL541" s="89" t="str">
        <f t="shared" si="330"/>
        <v>https://tinyurl.com/yce9sked</v>
      </c>
      <c r="DM541" s="219" t="str">
        <f t="shared" si="331"/>
        <v>Nomad 95</v>
      </c>
      <c r="DN541" s="89" t="str">
        <f t="shared" si="332"/>
        <v xml:space="preserve"> IcelanticNomad 95181 Unisex</v>
      </c>
      <c r="DO541" s="221" t="s">
        <v>655</v>
      </c>
    </row>
    <row r="542" spans="2:119" ht="15.6" customHeight="1">
      <c r="B542" s="219" t="b">
        <f t="array" ref="B542">IF(OR(ISERROR(K542:P542)),FALSE,TRUE)</f>
        <v>1</v>
      </c>
      <c r="C542" s="43" t="b">
        <f>OR(BR542=Driver!$G$50,Data!BR194=Driver!$H$50)</f>
        <v>1</v>
      </c>
      <c r="D542" s="43" t="b">
        <f>OR(BV542=Driver!$G$51,BV542=Driver!$H$51)</f>
        <v>1</v>
      </c>
      <c r="E542" s="43" t="b">
        <f>AND(BX542&gt;Driver!$F$54,BX542&lt;Driver!$G$54)</f>
        <v>1</v>
      </c>
      <c r="F542" s="43" t="b">
        <f>CL542&gt;Driver!$F$56</f>
        <v>1</v>
      </c>
      <c r="G542" s="43" t="b">
        <f>AND(CB542&gt;Driver!$F$55,CB542&lt;Driver!$G$55)</f>
        <v>0</v>
      </c>
      <c r="H542" s="43" t="b">
        <f t="shared" si="296"/>
        <v>0</v>
      </c>
      <c r="I542" s="43">
        <f t="shared" si="297"/>
        <v>0</v>
      </c>
      <c r="J542" s="43" t="b">
        <f t="array" ref="J542">NOT(OR(($H$9:$H$1273=TRUE)*($I$9:$I$1273&gt;0)*($BT$9:$BT$1273=BT542)*($K$9:$K$1273&gt;K542)))</f>
        <v>1</v>
      </c>
      <c r="K542" s="72">
        <f t="shared" si="298"/>
        <v>0.82656557558685395</v>
      </c>
      <c r="L542" s="72">
        <f t="shared" si="299"/>
        <v>0.84609482808737457</v>
      </c>
      <c r="M542" s="72">
        <f t="shared" si="300"/>
        <v>0.80703632308633344</v>
      </c>
      <c r="N542" s="72">
        <f t="shared" si="301"/>
        <v>0.82956988601751336</v>
      </c>
      <c r="O542" s="72">
        <f t="shared" si="302"/>
        <v>0.63644476703399155</v>
      </c>
      <c r="P542" s="72">
        <f t="shared" si="303"/>
        <v>0.95509431620749563</v>
      </c>
      <c r="Q542" s="72"/>
      <c r="R542" s="72"/>
      <c r="S542" s="72">
        <f t="shared" si="304"/>
        <v>0.43903953870731893</v>
      </c>
      <c r="T542" s="72">
        <f t="shared" si="305"/>
        <v>0.55987434193909835</v>
      </c>
      <c r="U542" s="72">
        <f t="shared" si="306"/>
        <v>0.51</v>
      </c>
      <c r="V542" s="72">
        <f t="shared" si="307"/>
        <v>0.49774578167201489</v>
      </c>
      <c r="W542" s="72">
        <f t="shared" si="308"/>
        <v>0.77023738518430163</v>
      </c>
      <c r="X542" s="72">
        <f t="shared" si="309"/>
        <v>0.15390517191262548</v>
      </c>
      <c r="Y542" s="72">
        <f t="shared" si="310"/>
        <v>0.19296367691366653</v>
      </c>
      <c r="Z542" s="72">
        <f t="shared" si="311"/>
        <v>0.1704301139824867</v>
      </c>
      <c r="AA542" s="72">
        <f t="shared" si="312"/>
        <v>0.36355523296600845</v>
      </c>
      <c r="AB542" s="72">
        <f t="shared" si="313"/>
        <v>4.4905683792504342E-2</v>
      </c>
      <c r="AC542" s="72"/>
      <c r="AD542" s="72"/>
      <c r="AE542" s="72">
        <f t="shared" si="314"/>
        <v>0.56096046129268107</v>
      </c>
      <c r="AF542" s="72">
        <f t="shared" si="315"/>
        <v>0.44012565806090159</v>
      </c>
      <c r="AG542" s="72">
        <f t="shared" si="316"/>
        <v>0.49</v>
      </c>
      <c r="AH542" s="72">
        <f t="shared" si="317"/>
        <v>0.50225421832798511</v>
      </c>
      <c r="AI542" s="72">
        <f t="shared" si="318"/>
        <v>0.22976261481569843</v>
      </c>
      <c r="AJ542" s="72">
        <f>(AV542-Driver!$K$179)/(Driver!$L$179-Driver!$K$179)</f>
        <v>0.10031423737007493</v>
      </c>
      <c r="AK542" s="72">
        <f>(AW542-Driver!$K$180)/(Driver!$L$180-Driver!$K$180)</f>
        <v>0.21297699077966953</v>
      </c>
      <c r="AL542" s="72">
        <f>(AX542-Driver!$K$181)/(Driver!$L$181-Driver!$K$181)</f>
        <v>0.27211787769556689</v>
      </c>
      <c r="AM542" s="72">
        <f>(AY542-Driver!$K$182)/(Driver!$L$182-Driver!$K$182)</f>
        <v>8.3829788131037919E-2</v>
      </c>
      <c r="AN542" s="72">
        <f>(AZ542-Driver!$K$183)/(Driver!$L$183-Driver!$K$183)</f>
        <v>0.20931372549019608</v>
      </c>
      <c r="AO542" s="72"/>
      <c r="AP542" s="72"/>
      <c r="AQ542" s="72">
        <f>(BC542-Driver!$K$188)/(Driver!$L$188-Driver!$K$188)</f>
        <v>5.903953870731897E-2</v>
      </c>
      <c r="AR542" s="72">
        <f>MIN((BD542-Driver!$K$189)/(Driver!$L$189-Driver!$K$189),100%)</f>
        <v>0.10987434193909844</v>
      </c>
      <c r="AS542" s="72">
        <f>(BE542-Driver!$K$190)/(Driver!$L$190-Driver!$K$190)</f>
        <v>1</v>
      </c>
      <c r="AT542" s="72">
        <f>(BF542-Driver!$K$191)/(Driver!$L$191-Driver!$K$191)</f>
        <v>7.7457816720149369E-3</v>
      </c>
      <c r="AU542" s="72">
        <f>(BG542-Driver!$K$192)/(Driver!$L$192-Driver!$K$192)</f>
        <v>2.023738518430156E-2</v>
      </c>
      <c r="AV542" s="70">
        <f t="shared" si="319"/>
        <v>2.1113146113146115</v>
      </c>
      <c r="AW542" s="70">
        <f t="shared" si="320"/>
        <v>22.628387541053904</v>
      </c>
      <c r="AX542" s="70">
        <f t="shared" si="321"/>
        <v>3.4490608992601022</v>
      </c>
      <c r="AY542" s="70">
        <f>IFERROR(Driver!$K$19/Data!BH542/Data!BI542*Data!BK542*Data!BL542,"")</f>
        <v>0.10263267306706921</v>
      </c>
      <c r="AZ542" s="70">
        <f t="shared" si="322"/>
        <v>19.076693968726733</v>
      </c>
      <c r="BA542" s="70"/>
      <c r="BB542" s="70"/>
      <c r="BC542" s="70">
        <f t="shared" si="323"/>
        <v>30.624219163700698</v>
      </c>
      <c r="BD542" s="70">
        <f t="shared" si="324"/>
        <v>11.444507459894188</v>
      </c>
      <c r="BE542" s="70">
        <f t="shared" si="325"/>
        <v>1</v>
      </c>
      <c r="BF542" s="70">
        <f t="shared" si="326"/>
        <v>0.8748316226580426</v>
      </c>
      <c r="BG542" s="70">
        <f t="shared" si="327"/>
        <v>7.6631650363831558E-2</v>
      </c>
      <c r="BH542" s="67">
        <f>MAX((CE542-Driver!$F$200)/(Driver!$G$200-Driver!$F$200)*$BI$1,1)</f>
        <v>3.4490608992601022</v>
      </c>
      <c r="BI542" s="67">
        <f>MAX($BI$1*(BY542-Driver!$F$201)/(Driver!$G$201-Driver!$F$201),1)</f>
        <v>7.7215189873417724</v>
      </c>
      <c r="BJ542" s="67">
        <f>(CB542-Driver!$F$206)/(Driver!$G$206-Driver!$F$206)*$BI$1</f>
        <v>2.3809523809523809</v>
      </c>
      <c r="BK542" s="67">
        <f>(CD542-Driver!$F$203)/(Driver!$G$203-Driver!$F$203)*$BI$1</f>
        <v>2.4770642201834865</v>
      </c>
      <c r="BL542" s="67">
        <f>MAX((CR542-Driver!$F$202)/(Driver!$G$202-Driver!$F$202)*$BI$1,1)</f>
        <v>5.5172413793103452</v>
      </c>
      <c r="BM542" s="67">
        <f>MAX((CH542-Driver!$F$204)/(Driver!$G$204-Driver!$F$204)*$BI$1,1)</f>
        <v>3.5470085470085473</v>
      </c>
      <c r="BN542" s="67">
        <f>(CI542-Driver!$F$205)/(Driver!$G$205-Driver!$F$205)*$BI$1</f>
        <v>2.4705882352941178</v>
      </c>
      <c r="BO542" s="67">
        <f>(CK542-Driver!$F$207)/(Driver!$G$207-Driver!$F$207)*$BI$1</f>
        <v>0.9203722854188211</v>
      </c>
      <c r="BP542" s="67">
        <f>(CM542-Driver!$F$208)/(Driver!$G$208-Driver!$F$208)*$BI$1</f>
        <v>0.98888888888888893</v>
      </c>
      <c r="BQ542" s="67">
        <f>(CL542-Driver!$F$209)/(Driver!$G$209-Driver!$F$209)*$BI$1</f>
        <v>0.9375</v>
      </c>
      <c r="BR542" s="28" t="s">
        <v>155</v>
      </c>
      <c r="BS542" s="8" t="s">
        <v>156</v>
      </c>
      <c r="BT542" s="9" t="s">
        <v>646</v>
      </c>
      <c r="BU542" s="10">
        <v>159</v>
      </c>
      <c r="BV542" s="9" t="s">
        <v>158</v>
      </c>
      <c r="BW542" s="10">
        <v>159</v>
      </c>
      <c r="BX542" s="10">
        <v>158.4</v>
      </c>
      <c r="BY542" s="10">
        <v>130</v>
      </c>
      <c r="BZ542" s="10">
        <v>143</v>
      </c>
      <c r="CA542" s="10">
        <v>118</v>
      </c>
      <c r="CB542" s="10">
        <v>79</v>
      </c>
      <c r="CC542" s="10">
        <v>104</v>
      </c>
      <c r="CD542" s="10">
        <v>14.8</v>
      </c>
      <c r="CE542" s="10">
        <v>1506</v>
      </c>
      <c r="CF542" s="10">
        <v>0.97</v>
      </c>
      <c r="CG542" s="10">
        <v>1456</v>
      </c>
      <c r="CH542" s="10">
        <v>184</v>
      </c>
      <c r="CI542" s="10">
        <v>75</v>
      </c>
      <c r="CJ542" s="10">
        <v>45</v>
      </c>
      <c r="CK542" s="10">
        <v>199</v>
      </c>
      <c r="CL542" s="10">
        <v>6</v>
      </c>
      <c r="CM542" s="10">
        <v>89</v>
      </c>
      <c r="CN542" s="10">
        <v>0.13200000000000001</v>
      </c>
      <c r="CO542" s="10">
        <v>86</v>
      </c>
      <c r="CP542" s="10">
        <v>69</v>
      </c>
      <c r="CQ542" s="10">
        <v>113</v>
      </c>
      <c r="CR542" s="10">
        <v>5</v>
      </c>
      <c r="CS542" s="10">
        <v>11</v>
      </c>
      <c r="CT542" s="9" t="s">
        <v>349</v>
      </c>
      <c r="CU542" s="10"/>
      <c r="CV542" s="10"/>
      <c r="CW542" s="10"/>
      <c r="CX542" t="str">
        <f>INDEX('Data_Price '!AG$2:AG$1266,MATCH(Data!$DN542,'Data_Price '!$AT$2:$AT$1266,0))</f>
        <v>Atomic Vantage 82 Ti Skis w/ M 12 GW Bindings</v>
      </c>
      <c r="CY542" t="str">
        <f>INDEX('Data_Price '!AH$2:AH$1266,MATCH(Data!$DN542,'Data_Price '!$AT$2:$AT$1266,0))</f>
        <v>The-House.com</v>
      </c>
      <c r="CZ542">
        <f>INDEX('Data_Price '!AI$2:AI$1266,MATCH(Data!$DN542,'Data_Price '!$AT$2:$AT$1266,0))</f>
        <v>639.99</v>
      </c>
      <c r="DA542" t="str">
        <f>INDEX('Data_Price '!AJ$2:AJ$1266,MATCH(Data!$DN542,'Data_Price '!$AT$2:$AT$1266,0))</f>
        <v>https://tinyurl.com/yboq4vfv</v>
      </c>
      <c r="DB542" t="str">
        <f>INDEX('Data_Price '!AK$2:AK$1266,MATCH(Data!$DN542,'Data_Price '!$AT$2:$AT$1266,0))</f>
        <v>Atomic Vantage x 80 CTI Skis with Warden 11 Bindings - Women's</v>
      </c>
      <c r="DC542" t="str">
        <f>INDEX('Data_Price '!AL$2:AL$1266,MATCH(Data!$DN542,'Data_Price '!$AT$2:$AT$1266,0))</f>
        <v>Powder7 Ski Shop</v>
      </c>
      <c r="DD542">
        <f>INDEX('Data_Price '!AM$2:AM$1266,MATCH(Data!$DN542,'Data_Price '!$AT$2:$AT$1266,0))</f>
        <v>269.99</v>
      </c>
      <c r="DE542" t="str">
        <f>INDEX('Data_Price '!AN$2:AN$1266,MATCH(Data!$DN542,'Data_Price '!$AT$2:$AT$1266,0))</f>
        <v>https://tinyurl.com/yd3ceeac</v>
      </c>
      <c r="DF542" t="str">
        <f>INDEX('Data_Price '!AO$2:AO$1266,MATCH(Data!$DN542,'Data_Price '!$AT$2:$AT$1266,0))</f>
        <v>'19 Atomic Vantage 107 C 159cm</v>
      </c>
      <c r="DG542" t="str">
        <f>INDEX('Data_Price '!AP$2:AP$1266,MATCH(Data!$DN542,'Data_Price '!$AT$2:$AT$1266,0))</f>
        <v>Al's Ski Equipment Barn</v>
      </c>
      <c r="DH542">
        <f>INDEX('Data_Price '!AQ$2:AQ$1266,MATCH(Data!$DN542,'Data_Price '!$AT$2:$AT$1266,0))</f>
        <v>399.95</v>
      </c>
      <c r="DI542" t="str">
        <f>INDEX('Data_Price '!AR$2:AR$1266,MATCH(Data!$DN542,'Data_Price '!$AT$2:$AT$1266,0))</f>
        <v>https://tinyurl.com/y7zorx7r</v>
      </c>
      <c r="DJ542" s="89" t="str">
        <f t="shared" si="328"/>
        <v>https://tinyurl.com/yboq4vfv</v>
      </c>
      <c r="DK542" s="89" t="str">
        <f t="shared" si="329"/>
        <v>https://tinyurl.com/yd3ceeac</v>
      </c>
      <c r="DL542" s="89" t="str">
        <f t="shared" si="330"/>
        <v>https://tinyurl.com/y7zorx7r</v>
      </c>
      <c r="DM542" s="219" t="str">
        <f t="shared" si="331"/>
        <v>Vantage 82 Ti</v>
      </c>
      <c r="DN542" s="89" t="str">
        <f t="shared" si="332"/>
        <v xml:space="preserve"> AtomicVantage 82 Ti159 Unisex</v>
      </c>
      <c r="DO542" s="221"/>
    </row>
    <row r="543" spans="2:119" ht="15.6" customHeight="1">
      <c r="B543" s="219" t="b">
        <f t="array" ref="B543">IF(OR(ISERROR(K543:P543)),FALSE,TRUE)</f>
        <v>1</v>
      </c>
      <c r="C543" s="43" t="b">
        <f>OR(BR543=Driver!$G$50,Data!BR411=Driver!$H$50)</f>
        <v>1</v>
      </c>
      <c r="D543" s="43" t="b">
        <f>OR(BV543=Driver!$G$51,BV543=Driver!$H$51)</f>
        <v>1</v>
      </c>
      <c r="E543" s="43" t="b">
        <f>AND(BX543&gt;Driver!$F$54,BX543&lt;Driver!$G$54)</f>
        <v>0</v>
      </c>
      <c r="F543" s="43" t="b">
        <f>CL543&gt;Driver!$F$56</f>
        <v>1</v>
      </c>
      <c r="G543" s="43" t="b">
        <f>AND(CB543&gt;Driver!$F$55,CB543&lt;Driver!$G$55)</f>
        <v>0</v>
      </c>
      <c r="H543" s="43" t="b">
        <f t="shared" si="296"/>
        <v>0</v>
      </c>
      <c r="I543" s="43">
        <f t="shared" si="297"/>
        <v>0</v>
      </c>
      <c r="J543" s="43" t="b">
        <f t="array" ref="J543">NOT(OR(($H$9:$H$1273=TRUE)*($I$9:$I$1273&gt;0)*($BT$9:$BT$1273=BT543)*($K$9:$K$1273&gt;K543)))</f>
        <v>1</v>
      </c>
      <c r="K543" s="72">
        <f t="shared" si="298"/>
        <v>0.93337070847737957</v>
      </c>
      <c r="L543" s="72">
        <f t="shared" si="299"/>
        <v>0.98508443408205659</v>
      </c>
      <c r="M543" s="72">
        <f t="shared" si="300"/>
        <v>0.88165698287270255</v>
      </c>
      <c r="N543" s="72">
        <f t="shared" si="301"/>
        <v>0.97754939654682449</v>
      </c>
      <c r="O543" s="72">
        <f t="shared" si="302"/>
        <v>0.7039122031840489</v>
      </c>
      <c r="P543" s="72">
        <f t="shared" si="303"/>
        <v>0.96350934888723416</v>
      </c>
      <c r="Q543" s="72"/>
      <c r="R543" s="72"/>
      <c r="S543" s="72">
        <f t="shared" si="304"/>
        <v>0.43634466786453019</v>
      </c>
      <c r="T543" s="72">
        <f t="shared" si="305"/>
        <v>0.51473908892237397</v>
      </c>
      <c r="U543" s="72">
        <f t="shared" si="306"/>
        <v>0.51</v>
      </c>
      <c r="V543" s="72">
        <f t="shared" si="307"/>
        <v>0.50448407389307115</v>
      </c>
      <c r="W543" s="72">
        <f t="shared" si="308"/>
        <v>0.76689068100358426</v>
      </c>
      <c r="X543" s="72">
        <f t="shared" si="309"/>
        <v>1.4915565917943435E-2</v>
      </c>
      <c r="Y543" s="72">
        <f t="shared" si="310"/>
        <v>0.11834301712729746</v>
      </c>
      <c r="Z543" s="72">
        <f t="shared" si="311"/>
        <v>2.2450603453175455E-2</v>
      </c>
      <c r="AA543" s="72">
        <f t="shared" si="312"/>
        <v>0.2960877968159511</v>
      </c>
      <c r="AB543" s="72">
        <f t="shared" si="313"/>
        <v>3.6490651112765837E-2</v>
      </c>
      <c r="AC543" s="72"/>
      <c r="AD543" s="72"/>
      <c r="AE543" s="72">
        <f t="shared" si="314"/>
        <v>0.56365533213546981</v>
      </c>
      <c r="AF543" s="72">
        <f t="shared" si="315"/>
        <v>0.48526091107762603</v>
      </c>
      <c r="AG543" s="72">
        <f t="shared" si="316"/>
        <v>0.49</v>
      </c>
      <c r="AH543" s="72">
        <f t="shared" si="317"/>
        <v>0.49551592610692879</v>
      </c>
      <c r="AI543" s="72">
        <f t="shared" si="318"/>
        <v>0.23310931899641577</v>
      </c>
      <c r="AJ543" s="72">
        <f>(AV543-Driver!$K$179)/(Driver!$L$179-Driver!$K$179)</f>
        <v>0.23930384336475699</v>
      </c>
      <c r="AK543" s="72">
        <f>(AW543-Driver!$K$180)/(Driver!$L$180-Driver!$K$180)</f>
        <v>0.20802848603779001</v>
      </c>
      <c r="AL543" s="72">
        <f>(AX543-Driver!$K$181)/(Driver!$L$181-Driver!$K$181)</f>
        <v>0.12413836716625563</v>
      </c>
      <c r="AM543" s="72">
        <f>(AY543-Driver!$K$182)/(Driver!$L$182-Driver!$K$182)</f>
        <v>0.15129722428109524</v>
      </c>
      <c r="AN543" s="72">
        <f>(AZ543-Driver!$K$183)/(Driver!$L$183-Driver!$K$183)</f>
        <v>0.21772875816993459</v>
      </c>
      <c r="AO543" s="72"/>
      <c r="AP543" s="72"/>
      <c r="AQ543" s="72">
        <f>(BC543-Driver!$K$188)/(Driver!$L$188-Driver!$K$188)</f>
        <v>5.6344667864530143E-2</v>
      </c>
      <c r="AR543" s="72">
        <f>MIN((BD543-Driver!$K$189)/(Driver!$L$189-Driver!$K$189),100%)</f>
        <v>6.4739088922374038E-2</v>
      </c>
      <c r="AS543" s="72">
        <f>(BE543-Driver!$K$190)/(Driver!$L$190-Driver!$K$190)</f>
        <v>1</v>
      </c>
      <c r="AT543" s="72">
        <f>(BF543-Driver!$K$191)/(Driver!$L$191-Driver!$K$191)</f>
        <v>1.4484073893071213E-2</v>
      </c>
      <c r="AU543" s="72">
        <f>(BG543-Driver!$K$192)/(Driver!$L$192-Driver!$K$192)</f>
        <v>1.6890681003584231E-2</v>
      </c>
      <c r="AV543" s="70">
        <f t="shared" si="319"/>
        <v>5.0366300366300356</v>
      </c>
      <c r="AW543" s="70">
        <f t="shared" si="320"/>
        <v>22.146111905745123</v>
      </c>
      <c r="AX543" s="70">
        <f t="shared" si="321"/>
        <v>2.1172453044963007</v>
      </c>
      <c r="AY543" s="70">
        <f>IFERROR(Driver!$K$19/Data!BH543/Data!BI543*Data!BK543*Data!BL543,"")</f>
        <v>0.18523294525478404</v>
      </c>
      <c r="AZ543" s="70">
        <f t="shared" si="322"/>
        <v>19.84363365599404</v>
      </c>
      <c r="BA543" s="70"/>
      <c r="BB543" s="70"/>
      <c r="BC543" s="70">
        <f t="shared" si="323"/>
        <v>29.226370923107975</v>
      </c>
      <c r="BD543" s="70">
        <f t="shared" si="324"/>
        <v>7.4501175428500579</v>
      </c>
      <c r="BE543" s="70">
        <f t="shared" si="325"/>
        <v>1</v>
      </c>
      <c r="BF543" s="70">
        <f t="shared" si="326"/>
        <v>1.6358743898442851</v>
      </c>
      <c r="BG543" s="70">
        <f t="shared" si="327"/>
        <v>6.3958893369175637E-2</v>
      </c>
      <c r="BH543" s="67">
        <f>MAX((CE543-Driver!$F$200)/(Driver!$G$200-Driver!$F$200)*$BI$1,1)</f>
        <v>2.1172453044963007</v>
      </c>
      <c r="BI543" s="67">
        <f>MAX($BI$1*(BY543-Driver!$F$201)/(Driver!$G$201-Driver!$F$201),1)</f>
        <v>8.2278481012658222</v>
      </c>
      <c r="BJ543" s="67">
        <f>(CB543-Driver!$F$206)/(Driver!$G$206-Driver!$F$206)*$BI$1</f>
        <v>3.4920634920634921</v>
      </c>
      <c r="BK543" s="67">
        <f>(CD543-Driver!$F$203)/(Driver!$G$203-Driver!$F$203)*$BI$1</f>
        <v>2.7522935779816518</v>
      </c>
      <c r="BL543" s="67">
        <f>MAX((CR543-Driver!$F$202)/(Driver!$G$202-Driver!$F$202)*$BI$1,1)</f>
        <v>5.8620689655172411</v>
      </c>
      <c r="BM543" s="67">
        <f>MAX((CH543-Driver!$F$204)/(Driver!$G$204-Driver!$F$204)*$BI$1,1)</f>
        <v>5.7692307692307683</v>
      </c>
      <c r="BN543" s="67">
        <f>(CI543-Driver!$F$205)/(Driver!$G$205-Driver!$F$205)*$BI$1</f>
        <v>2.4117647058823528</v>
      </c>
      <c r="BO543" s="67">
        <f>(CK543-Driver!$F$207)/(Driver!$G$207-Driver!$F$207)*$BI$1</f>
        <v>2.3681489141675285</v>
      </c>
      <c r="BP543" s="67">
        <f>(CM543-Driver!$F$208)/(Driver!$G$208-Driver!$F$208)*$BI$1</f>
        <v>0.5444444444444444</v>
      </c>
      <c r="BQ543" s="67">
        <f>(CL543-Driver!$F$209)/(Driver!$G$209-Driver!$F$209)*$BI$1</f>
        <v>0.78125</v>
      </c>
      <c r="BR543" s="28" t="s">
        <v>155</v>
      </c>
      <c r="BS543" s="8" t="s">
        <v>202</v>
      </c>
      <c r="BT543" s="9" t="s">
        <v>660</v>
      </c>
      <c r="BU543" s="10">
        <v>179</v>
      </c>
      <c r="BV543" s="9" t="s">
        <v>158</v>
      </c>
      <c r="BW543" s="10">
        <v>179</v>
      </c>
      <c r="BX543" s="10">
        <v>176.4</v>
      </c>
      <c r="BY543" s="10">
        <v>138</v>
      </c>
      <c r="BZ543" s="10">
        <v>132</v>
      </c>
      <c r="CA543" s="10">
        <v>127</v>
      </c>
      <c r="CB543" s="10">
        <v>86</v>
      </c>
      <c r="CC543" s="10">
        <v>102</v>
      </c>
      <c r="CD543" s="10">
        <v>15.4</v>
      </c>
      <c r="CE543" s="10">
        <v>1272</v>
      </c>
      <c r="CF543" s="10">
        <v>1.36</v>
      </c>
      <c r="CG543" s="10">
        <v>1734</v>
      </c>
      <c r="CH543" s="10">
        <v>236</v>
      </c>
      <c r="CI543" s="10">
        <v>74</v>
      </c>
      <c r="CJ543" s="10">
        <v>72</v>
      </c>
      <c r="CK543" s="10">
        <v>339</v>
      </c>
      <c r="CL543" s="10">
        <v>5</v>
      </c>
      <c r="CM543" s="10">
        <v>49</v>
      </c>
      <c r="CN543" s="10">
        <v>6.8000000000000005E-2</v>
      </c>
      <c r="CO543" s="10">
        <v>208</v>
      </c>
      <c r="CP543" s="10">
        <v>232</v>
      </c>
      <c r="CQ543" s="10">
        <v>131</v>
      </c>
      <c r="CR543" s="10">
        <v>6</v>
      </c>
      <c r="CS543" s="10">
        <v>12.9</v>
      </c>
      <c r="CT543" s="9" t="s">
        <v>185</v>
      </c>
      <c r="CU543" s="9" t="s">
        <v>198</v>
      </c>
      <c r="CV543" s="10"/>
      <c r="CW543" s="10"/>
      <c r="CX543" t="str">
        <f>INDEX('Data_Price '!AG$2:AG$1266,MATCH(Data!$DN543,'Data_Price '!$AT$2:$AT$1266,0))</f>
        <v>Dynastar M-Free 99 Skis 2022</v>
      </c>
      <c r="CY543" t="str">
        <f>INDEX('Data_Price '!AH$2:AH$1266,MATCH(Data!$DN543,'Data_Price '!$AT$2:$AT$1266,0))</f>
        <v>Snowcountry.eu</v>
      </c>
      <c r="CZ543">
        <f>INDEX('Data_Price '!AI$2:AI$1266,MATCH(Data!$DN543,'Data_Price '!$AT$2:$AT$1266,0))</f>
        <v>367.9</v>
      </c>
      <c r="DA543" t="str">
        <f>INDEX('Data_Price '!AJ$2:AJ$1266,MATCH(Data!$DN543,'Data_Price '!$AT$2:$AT$1266,0))</f>
        <v>https://tinyurl.com/y9e74o9b</v>
      </c>
      <c r="DB543" t="str">
        <f>INDEX('Data_Price '!AK$2:AK$1266,MATCH(Data!$DN543,'Data_Price '!$AT$2:$AT$1266,0))</f>
        <v>Dynastar M-Free 99 Skis 2022</v>
      </c>
      <c r="DC543" t="str">
        <f>INDEX('Data_Price '!AL$2:AL$1266,MATCH(Data!$DN543,'Data_Price '!$AT$2:$AT$1266,0))</f>
        <v>Next Adventure</v>
      </c>
      <c r="DD543">
        <f>INDEX('Data_Price '!AM$2:AM$1266,MATCH(Data!$DN543,'Data_Price '!$AT$2:$AT$1266,0))</f>
        <v>419.97</v>
      </c>
      <c r="DE543" t="str">
        <f>INDEX('Data_Price '!AN$2:AN$1266,MATCH(Data!$DN543,'Data_Price '!$AT$2:$AT$1266,0))</f>
        <v>https://tinyurl.com/yapqe73p</v>
      </c>
      <c r="DF543" t="str">
        <f>INDEX('Data_Price '!AO$2:AO$1266,MATCH(Data!$DN543,'Data_Price '!$AT$2:$AT$1266,0))</f>
        <v>Dynastar Speedzone 4x4 82 Pro + SPX 12 Konect GW 19/20"</v>
      </c>
      <c r="DG543" t="str">
        <f>INDEX('Data_Price '!AP$2:AP$1266,MATCH(Data!$DN543,'Data_Price '!$AT$2:$AT$1266,0))</f>
        <v>Lone Pine Gear Exchange</v>
      </c>
      <c r="DH543">
        <f>INDEX('Data_Price '!AQ$2:AQ$1266,MATCH(Data!$DN543,'Data_Price '!$AT$2:$AT$1266,0))</f>
        <v>459</v>
      </c>
      <c r="DI543" t="str">
        <f>INDEX('Data_Price '!AR$2:AR$1266,MATCH(Data!$DN543,'Data_Price '!$AT$2:$AT$1266,0))</f>
        <v>https://tinyurl.com/y8ekw2zg</v>
      </c>
      <c r="DJ543" s="89" t="str">
        <f t="shared" si="328"/>
        <v>https://tinyurl.com/y9e74o9b</v>
      </c>
      <c r="DK543" s="89" t="str">
        <f t="shared" si="329"/>
        <v>https://tinyurl.com/yapqe73p</v>
      </c>
      <c r="DL543" s="89" t="str">
        <f t="shared" si="330"/>
        <v>https://tinyurl.com/y8ekw2zg</v>
      </c>
      <c r="DM543" s="219" t="str">
        <f t="shared" si="331"/>
        <v>M-Tour 87 Ca</v>
      </c>
      <c r="DN543" s="89" t="str">
        <f t="shared" si="332"/>
        <v xml:space="preserve"> DynastarM-Tour 87 Ca179 Unisex</v>
      </c>
      <c r="DO543" s="221"/>
    </row>
    <row r="544" spans="2:119" ht="15.6" customHeight="1">
      <c r="B544" s="219" t="b">
        <f t="array" ref="B544">IF(OR(ISERROR(K544:P544)),FALSE,TRUE)</f>
        <v>1</v>
      </c>
      <c r="C544" s="43" t="b">
        <f>OR(BR544=Driver!$G$50,Data!BR925=Driver!$H$50)</f>
        <v>1</v>
      </c>
      <c r="D544" s="43" t="b">
        <f>OR(BV544=Driver!$G$51,BV544=Driver!$H$51)</f>
        <v>0</v>
      </c>
      <c r="E544" s="43" t="b">
        <f>AND(BX544&gt;Driver!$F$54,BX544&lt;Driver!$G$54)</f>
        <v>0</v>
      </c>
      <c r="F544" s="43" t="b">
        <f>CL544&gt;Driver!$F$56</f>
        <v>1</v>
      </c>
      <c r="G544" s="43" t="b">
        <f>AND(CB544&gt;Driver!$F$55,CB544&lt;Driver!$G$55)</f>
        <v>0</v>
      </c>
      <c r="H544" s="43" t="b">
        <f t="shared" si="296"/>
        <v>0</v>
      </c>
      <c r="I544" s="43">
        <f t="shared" si="297"/>
        <v>0</v>
      </c>
      <c r="J544" s="43" t="b">
        <f t="array" ref="J544">NOT(OR(($H$9:$H$1273=TRUE)*($I$9:$I$1273&gt;0)*($BT$9:$BT$1273=BT544)*($K$9:$K$1273&gt;K544)))</f>
        <v>1</v>
      </c>
      <c r="K544" s="72">
        <f t="shared" si="298"/>
        <v>0.81480474659655455</v>
      </c>
      <c r="L544" s="72">
        <f t="shared" si="299"/>
        <v>0.85181555969643097</v>
      </c>
      <c r="M544" s="72">
        <f t="shared" si="300"/>
        <v>0.77779393349667814</v>
      </c>
      <c r="N544" s="72">
        <f t="shared" si="301"/>
        <v>0.76569838788306699</v>
      </c>
      <c r="O544" s="72">
        <f t="shared" si="302"/>
        <v>0.61773615522300129</v>
      </c>
      <c r="P544" s="72">
        <f t="shared" si="303"/>
        <v>0.94994725738396624</v>
      </c>
      <c r="Q544" s="72"/>
      <c r="R544" s="72"/>
      <c r="S544" s="72">
        <f t="shared" si="304"/>
        <v>0.40888049711386654</v>
      </c>
      <c r="T544" s="72">
        <f t="shared" si="305"/>
        <v>0.50152667062366763</v>
      </c>
      <c r="U544" s="72">
        <f t="shared" si="306"/>
        <v>0.7005227151868284</v>
      </c>
      <c r="V544" s="72">
        <f t="shared" si="307"/>
        <v>0.56238251760898161</v>
      </c>
      <c r="W544" s="72">
        <f t="shared" si="308"/>
        <v>0.82658220229317769</v>
      </c>
      <c r="X544" s="72">
        <f t="shared" si="309"/>
        <v>0.14818444030356903</v>
      </c>
      <c r="Y544" s="72">
        <f t="shared" si="310"/>
        <v>0.22220606650332186</v>
      </c>
      <c r="Z544" s="72">
        <f t="shared" si="311"/>
        <v>0.23430161211693307</v>
      </c>
      <c r="AA544" s="72">
        <f t="shared" si="312"/>
        <v>0.38226384477699871</v>
      </c>
      <c r="AB544" s="72">
        <f t="shared" si="313"/>
        <v>5.0052742616033763E-2</v>
      </c>
      <c r="AC544" s="72"/>
      <c r="AD544" s="72"/>
      <c r="AE544" s="72">
        <f t="shared" si="314"/>
        <v>0.59111950288613346</v>
      </c>
      <c r="AF544" s="72">
        <f t="shared" si="315"/>
        <v>0.49847332937633243</v>
      </c>
      <c r="AG544" s="72">
        <f t="shared" si="316"/>
        <v>0.2994772848131716</v>
      </c>
      <c r="AH544" s="72">
        <f t="shared" si="317"/>
        <v>0.43761748239101839</v>
      </c>
      <c r="AI544" s="72">
        <f t="shared" si="318"/>
        <v>0.17341779770682236</v>
      </c>
      <c r="AJ544" s="72">
        <f>(AV544-Driver!$K$179)/(Driver!$L$179-Driver!$K$179)</f>
        <v>0.10603496897913141</v>
      </c>
      <c r="AK544" s="72">
        <f>(AW544-Driver!$K$180)/(Driver!$L$180-Driver!$K$180)</f>
        <v>0.21382698561295924</v>
      </c>
      <c r="AL544" s="72">
        <f>(AX544-Driver!$K$181)/(Driver!$L$181-Driver!$K$181)</f>
        <v>0.33598937583001326</v>
      </c>
      <c r="AM544" s="72">
        <f>(AY544-Driver!$K$182)/(Driver!$L$182-Driver!$K$182)</f>
        <v>6.512117632004763E-2</v>
      </c>
      <c r="AN544" s="72">
        <f>(AZ544-Driver!$K$183)/(Driver!$L$183-Driver!$K$183)</f>
        <v>0.20416666666666666</v>
      </c>
      <c r="AO544" s="72"/>
      <c r="AP544" s="72"/>
      <c r="AQ544" s="72">
        <f>(BC544-Driver!$K$188)/(Driver!$L$188-Driver!$K$188)</f>
        <v>2.8880497113866501E-2</v>
      </c>
      <c r="AR544" s="72">
        <f>MIN((BD544-Driver!$K$189)/(Driver!$L$189-Driver!$K$189),100%)</f>
        <v>5.1526670623667614E-2</v>
      </c>
      <c r="AS544" s="72">
        <f>(BE544-Driver!$K$190)/(Driver!$L$190-Driver!$K$190)</f>
        <v>0.21052271518682844</v>
      </c>
      <c r="AT544" s="72">
        <f>(BF544-Driver!$K$191)/(Driver!$L$191-Driver!$K$191)</f>
        <v>7.2382517608981622E-2</v>
      </c>
      <c r="AU544" s="72">
        <f>(BG544-Driver!$K$192)/(Driver!$L$192-Driver!$K$192)</f>
        <v>7.6582202293177637E-2</v>
      </c>
      <c r="AV544" s="70">
        <f t="shared" si="319"/>
        <v>2.2317188983855649</v>
      </c>
      <c r="AW544" s="70">
        <f t="shared" si="320"/>
        <v>22.711227069278397</v>
      </c>
      <c r="AX544" s="70">
        <f t="shared" si="321"/>
        <v>4.0239043824701195</v>
      </c>
      <c r="AY544" s="70">
        <f>IFERROR(Driver!$K$19/Data!BH544/Data!BI544*Data!BK544*Data!BL544,"")</f>
        <v>7.9727750099416433E-2</v>
      </c>
      <c r="AZ544" s="70">
        <f t="shared" si="322"/>
        <v>18.60759493670886</v>
      </c>
      <c r="BA544" s="70"/>
      <c r="BB544" s="70"/>
      <c r="BC544" s="70">
        <f t="shared" si="323"/>
        <v>14.980514626921217</v>
      </c>
      <c r="BD544" s="70">
        <f t="shared" si="324"/>
        <v>6.2808419344344619</v>
      </c>
      <c r="BE544" s="70">
        <f t="shared" si="325"/>
        <v>0.21066354904849374</v>
      </c>
      <c r="BF544" s="70">
        <f t="shared" si="326"/>
        <v>8.1750968479682733</v>
      </c>
      <c r="BG544" s="70">
        <f t="shared" si="327"/>
        <v>0.28998907204550239</v>
      </c>
      <c r="BH544" s="67">
        <f>MAX((CE544-Driver!$F$200)/(Driver!$G$200-Driver!$F$200)*$BI$1,1)</f>
        <v>4.0239043824701195</v>
      </c>
      <c r="BI544" s="67">
        <f>MAX($BI$1*(BY544-Driver!$F$201)/(Driver!$G$201-Driver!$F$201),1)</f>
        <v>6.2025316455696204</v>
      </c>
      <c r="BJ544" s="67">
        <f>(CB544-Driver!$F$206)/(Driver!$G$206-Driver!$F$206)*$BI$1</f>
        <v>4.4444444444444446</v>
      </c>
      <c r="BK544" s="67">
        <f>(CD544-Driver!$F$203)/(Driver!$G$203-Driver!$F$203)*$BI$1</f>
        <v>1.6972477064220182</v>
      </c>
      <c r="BL544" s="67">
        <f>MAX((CR544-Driver!$F$202)/(Driver!$G$202-Driver!$F$202)*$BI$1,1)</f>
        <v>5.8620689655172411</v>
      </c>
      <c r="BM544" s="67">
        <f>MAX((CH544-Driver!$F$204)/(Driver!$G$204-Driver!$F$204)*$BI$1,1)</f>
        <v>2.0085470085470085</v>
      </c>
      <c r="BN544" s="67">
        <f>(CI544-Driver!$F$205)/(Driver!$G$205-Driver!$F$205)*$BI$1</f>
        <v>3</v>
      </c>
      <c r="BO544" s="67">
        <f>(CK544-Driver!$F$207)/(Driver!$G$207-Driver!$F$207)*$BI$1</f>
        <v>1.4788004136504653</v>
      </c>
      <c r="BP544" s="67">
        <f>(CM544-Driver!$F$208)/(Driver!$G$208-Driver!$F$208)*$BI$1</f>
        <v>2.1111111111111112</v>
      </c>
      <c r="BQ544" s="67">
        <f>(CL544-Driver!$F$209)/(Driver!$G$209-Driver!$F$209)*$BI$1</f>
        <v>2.34375</v>
      </c>
      <c r="BR544" s="28" t="s">
        <v>155</v>
      </c>
      <c r="BS544" s="8" t="s">
        <v>332</v>
      </c>
      <c r="BT544" s="9" t="s">
        <v>528</v>
      </c>
      <c r="BU544" s="10">
        <v>151</v>
      </c>
      <c r="BV544" s="9" t="s">
        <v>163</v>
      </c>
      <c r="BW544" s="10">
        <v>151</v>
      </c>
      <c r="BX544" s="10">
        <v>150.30000000000001</v>
      </c>
      <c r="BY544" s="10">
        <v>106</v>
      </c>
      <c r="BZ544" s="10">
        <v>123</v>
      </c>
      <c r="CA544" s="10">
        <v>125</v>
      </c>
      <c r="CB544" s="10">
        <v>92</v>
      </c>
      <c r="CC544" s="10">
        <v>110</v>
      </c>
      <c r="CD544" s="10">
        <v>13.1</v>
      </c>
      <c r="CE544" s="10">
        <v>1607</v>
      </c>
      <c r="CF544" s="10">
        <v>0.96</v>
      </c>
      <c r="CG544" s="10">
        <v>1547</v>
      </c>
      <c r="CH544" s="10">
        <v>148</v>
      </c>
      <c r="CI544" s="10">
        <v>84</v>
      </c>
      <c r="CJ544" s="10">
        <v>53</v>
      </c>
      <c r="CK544" s="10">
        <v>253</v>
      </c>
      <c r="CL544" s="10">
        <v>15</v>
      </c>
      <c r="CM544" s="10">
        <v>190</v>
      </c>
      <c r="CN544" s="10">
        <v>0.28399999999999997</v>
      </c>
      <c r="CO544" s="10">
        <v>127</v>
      </c>
      <c r="CP544" s="10">
        <v>145</v>
      </c>
      <c r="CQ544" s="10">
        <v>127</v>
      </c>
      <c r="CR544" s="10">
        <v>6</v>
      </c>
      <c r="CS544" s="10">
        <v>8.6</v>
      </c>
      <c r="CT544" s="9" t="s">
        <v>188</v>
      </c>
      <c r="CU544" s="10"/>
      <c r="CV544" s="10"/>
      <c r="CW544" s="10"/>
      <c r="CX544" t="str">
        <f>INDEX('Data_Price '!AG$2:AG$1266,MATCH(Data!$DN544,'Data_Price '!$AT$2:$AT$1266,0))</f>
        <v>Nordica Santa Ana 93 Skis - Women's 2022</v>
      </c>
      <c r="CY544" t="str">
        <f>INDEX('Data_Price '!AH$2:AH$1266,MATCH(Data!$DN544,'Data_Price '!$AT$2:$AT$1266,0))</f>
        <v>Fox Chapel Ski and Board</v>
      </c>
      <c r="CZ544">
        <f>INDEX('Data_Price '!AI$2:AI$1266,MATCH(Data!$DN544,'Data_Price '!$AT$2:$AT$1266,0))</f>
        <v>449.97</v>
      </c>
      <c r="DA544" t="str">
        <f>INDEX('Data_Price '!AJ$2:AJ$1266,MATCH(Data!$DN544,'Data_Price '!$AT$2:$AT$1266,0))</f>
        <v>https://tinyurl.com/y8pwskzb</v>
      </c>
      <c r="DB544" t="str">
        <f>INDEX('Data_Price '!AK$2:AK$1266,MATCH(Data!$DN544,'Data_Price '!$AT$2:$AT$1266,0))</f>
        <v>Nordica Santa Ana 93 Skis - Women's 2022</v>
      </c>
      <c r="DC544" t="str">
        <f>INDEX('Data_Price '!AL$2:AL$1266,MATCH(Data!$DN544,'Data_Price '!$AT$2:$AT$1266,0))</f>
        <v>evo.com</v>
      </c>
      <c r="DD544">
        <f>INDEX('Data_Price '!AM$2:AM$1266,MATCH(Data!$DN544,'Data_Price '!$AT$2:$AT$1266,0))</f>
        <v>519.99</v>
      </c>
      <c r="DE544" t="str">
        <f>INDEX('Data_Price '!AN$2:AN$1266,MATCH(Data!$DN544,'Data_Price '!$AT$2:$AT$1266,0))</f>
        <v>https://tinyurl.com/yctmctcq</v>
      </c>
      <c r="DF544" t="str">
        <f>INDEX('Data_Price '!AO$2:AO$1266,MATCH(Data!$DN544,'Data_Price '!$AT$2:$AT$1266,0))</f>
        <v>Nordica Santa Ana 93 Skis - Women's 2022</v>
      </c>
      <c r="DG544" t="str">
        <f>INDEX('Data_Price '!AP$2:AP$1266,MATCH(Data!$DN544,'Data_Price '!$AT$2:$AT$1266,0))</f>
        <v>AlpineShopVT.com</v>
      </c>
      <c r="DH544">
        <f>INDEX('Data_Price '!AQ$2:AQ$1266,MATCH(Data!$DN544,'Data_Price '!$AT$2:$AT$1266,0))</f>
        <v>519.99</v>
      </c>
      <c r="DI544" t="str">
        <f>INDEX('Data_Price '!AR$2:AR$1266,MATCH(Data!$DN544,'Data_Price '!$AT$2:$AT$1266,0))</f>
        <v>https://tinyurl.com/ybyqh2mv</v>
      </c>
      <c r="DJ544" s="89" t="str">
        <f t="shared" si="328"/>
        <v>https://tinyurl.com/y8pwskzb</v>
      </c>
      <c r="DK544" s="89" t="str">
        <f t="shared" si="329"/>
        <v>https://tinyurl.com/yctmctcq</v>
      </c>
      <c r="DL544" s="89" t="str">
        <f t="shared" si="330"/>
        <v>https://tinyurl.com/ybyqh2mv</v>
      </c>
      <c r="DM544" s="219" t="str">
        <f t="shared" si="331"/>
        <v>Santa Ana 93</v>
      </c>
      <c r="DN544" s="89" t="str">
        <f t="shared" si="332"/>
        <v xml:space="preserve"> NordicaSanta Ana 93151 Women's</v>
      </c>
      <c r="DO544" s="221" t="s">
        <v>529</v>
      </c>
    </row>
    <row r="545" spans="1:119" ht="15.6" customHeight="1">
      <c r="B545" s="219" t="b">
        <f t="array" ref="B545">IF(OR(ISERROR(K545:P545)),FALSE,TRUE)</f>
        <v>1</v>
      </c>
      <c r="C545" s="43" t="b">
        <f>OR(BR545=Driver!$G$50,Data!BR41=Driver!$H$50)</f>
        <v>1</v>
      </c>
      <c r="D545" s="43" t="b">
        <f>OR(BV545=Driver!$G$51,BV545=Driver!$H$51)</f>
        <v>1</v>
      </c>
      <c r="E545" s="43" t="b">
        <f>AND(BX545&gt;Driver!$F$54,BX545&lt;Driver!$G$54)</f>
        <v>1</v>
      </c>
      <c r="F545" s="43" t="b">
        <f>CL545&gt;Driver!$F$56</f>
        <v>1</v>
      </c>
      <c r="G545" s="43" t="b">
        <f>AND(CB545&gt;Driver!$F$55,CB545&lt;Driver!$G$55)</f>
        <v>0</v>
      </c>
      <c r="H545" s="43" t="b">
        <f t="shared" si="296"/>
        <v>0</v>
      </c>
      <c r="I545" s="43">
        <f t="shared" si="297"/>
        <v>0</v>
      </c>
      <c r="J545" s="43" t="b">
        <f t="array" ref="J545">NOT(OR(($H$9:$H$1273=TRUE)*($I$9:$I$1273&gt;0)*($BT$9:$BT$1273=BT545)*($K$9:$K$1273&gt;K545)))</f>
        <v>1</v>
      </c>
      <c r="K545" s="72">
        <f t="shared" si="298"/>
        <v>0.82912963333917533</v>
      </c>
      <c r="L545" s="72">
        <f t="shared" si="299"/>
        <v>0.84569195966420152</v>
      </c>
      <c r="M545" s="72">
        <f t="shared" si="300"/>
        <v>0.81256730701414914</v>
      </c>
      <c r="N545" s="72">
        <f t="shared" si="301"/>
        <v>0.75305056647030533</v>
      </c>
      <c r="O545" s="72">
        <f t="shared" si="302"/>
        <v>0.70288220176333926</v>
      </c>
      <c r="P545" s="72">
        <f t="shared" si="303"/>
        <v>0.98176915280880284</v>
      </c>
      <c r="Q545" s="72"/>
      <c r="R545" s="72"/>
      <c r="S545" s="72">
        <f t="shared" si="304"/>
        <v>0.45116809110621547</v>
      </c>
      <c r="T545" s="72">
        <f t="shared" si="305"/>
        <v>0.45997655749255173</v>
      </c>
      <c r="U545" s="72">
        <f t="shared" si="306"/>
        <v>0.57786264046486069</v>
      </c>
      <c r="V545" s="72">
        <f t="shared" si="307"/>
        <v>0.52556760848481132</v>
      </c>
      <c r="W545" s="72">
        <f t="shared" si="308"/>
        <v>0.97752235213204952</v>
      </c>
      <c r="X545" s="72">
        <f t="shared" si="309"/>
        <v>0.15430804033579848</v>
      </c>
      <c r="Y545" s="72">
        <f t="shared" si="310"/>
        <v>0.18743269298585086</v>
      </c>
      <c r="Z545" s="72">
        <f t="shared" si="311"/>
        <v>0.24694943352969467</v>
      </c>
      <c r="AA545" s="72">
        <f t="shared" si="312"/>
        <v>0.29711779823666074</v>
      </c>
      <c r="AB545" s="72">
        <f t="shared" si="313"/>
        <v>1.8230847191197136E-2</v>
      </c>
      <c r="AC545" s="72"/>
      <c r="AD545" s="72"/>
      <c r="AE545" s="72">
        <f t="shared" si="314"/>
        <v>0.54883190889378453</v>
      </c>
      <c r="AF545" s="72">
        <f t="shared" si="315"/>
        <v>0.54002344250744827</v>
      </c>
      <c r="AG545" s="72">
        <f t="shared" si="316"/>
        <v>0.42213735953513931</v>
      </c>
      <c r="AH545" s="72">
        <f t="shared" si="317"/>
        <v>0.47443239151518862</v>
      </c>
      <c r="AI545" s="72">
        <f t="shared" si="318"/>
        <v>2.2477647867950479E-2</v>
      </c>
      <c r="AJ545" s="72">
        <f>(AV545-Driver!$K$179)/(Driver!$L$179-Driver!$K$179)</f>
        <v>9.9911368946901932E-2</v>
      </c>
      <c r="AK545" s="72">
        <f>(AW545-Driver!$K$180)/(Driver!$L$180-Driver!$K$180)</f>
        <v>0.24582302897380445</v>
      </c>
      <c r="AL545" s="72">
        <f>(AX545-Driver!$K$181)/(Driver!$L$181-Driver!$K$181)</f>
        <v>0.34863719724277487</v>
      </c>
      <c r="AM545" s="72">
        <f>(AY545-Driver!$K$182)/(Driver!$L$182-Driver!$K$182)</f>
        <v>0.15026722286038563</v>
      </c>
      <c r="AN545" s="72">
        <f>(AZ545-Driver!$K$183)/(Driver!$L$183-Driver!$K$183)</f>
        <v>0.23598856209150329</v>
      </c>
      <c r="AO545" s="72"/>
      <c r="AP545" s="72"/>
      <c r="AQ545" s="72">
        <f>(BC545-Driver!$K$188)/(Driver!$L$188-Driver!$K$188)</f>
        <v>7.116809110621547E-2</v>
      </c>
      <c r="AR545" s="72">
        <f>MIN((BD545-Driver!$K$189)/(Driver!$L$189-Driver!$K$189),100%)</f>
        <v>9.9765574925517759E-3</v>
      </c>
      <c r="AS545" s="72">
        <f>(BE545-Driver!$K$190)/(Driver!$L$190-Driver!$K$190)</f>
        <v>8.7862640464860711E-2</v>
      </c>
      <c r="AT545" s="72">
        <f>(BF545-Driver!$K$191)/(Driver!$L$191-Driver!$K$191)</f>
        <v>3.5567608484811379E-2</v>
      </c>
      <c r="AU545" s="72">
        <f>(BG545-Driver!$K$192)/(Driver!$L$192-Driver!$K$192)</f>
        <v>0.22752235213204952</v>
      </c>
      <c r="AV545" s="70">
        <f t="shared" si="319"/>
        <v>2.1028354361687693</v>
      </c>
      <c r="AW545" s="70">
        <f t="shared" si="320"/>
        <v>25.829525008578347</v>
      </c>
      <c r="AX545" s="70">
        <f t="shared" si="321"/>
        <v>4.137734775184974</v>
      </c>
      <c r="AY545" s="70">
        <f>IFERROR(Driver!$K$19/Data!BH545/Data!BI545*Data!BK545*Data!BL545,"")</f>
        <v>0.18397191619307315</v>
      </c>
      <c r="AZ545" s="70">
        <f t="shared" si="322"/>
        <v>21.5078183172003</v>
      </c>
      <c r="BA545" s="70"/>
      <c r="BB545" s="70"/>
      <c r="BC545" s="70">
        <f t="shared" si="323"/>
        <v>36.915383609336679</v>
      </c>
      <c r="BD545" s="70">
        <f t="shared" si="324"/>
        <v>2.6037305447747099</v>
      </c>
      <c r="BE545" s="70">
        <f t="shared" si="325"/>
        <v>8.802535550325849E-2</v>
      </c>
      <c r="BF545" s="70">
        <f t="shared" si="326"/>
        <v>4.0171115017678103</v>
      </c>
      <c r="BG545" s="70">
        <f t="shared" si="327"/>
        <v>0.86154476874140307</v>
      </c>
      <c r="BH545" s="67">
        <f>MAX((CE545-Driver!$F$200)/(Driver!$G$200-Driver!$F$200)*$BI$1,1)</f>
        <v>4.137734775184974</v>
      </c>
      <c r="BI545" s="67">
        <f>MAX($BI$1*(BY545-Driver!$F$201)/(Driver!$G$201-Driver!$F$201),1)</f>
        <v>6.8987341772151902</v>
      </c>
      <c r="BJ545" s="67">
        <f>(CB545-Driver!$F$206)/(Driver!$G$206-Driver!$F$206)*$BI$1</f>
        <v>4.92063492063492</v>
      </c>
      <c r="BK545" s="67">
        <f>(CD545-Driver!$F$203)/(Driver!$G$203-Driver!$F$203)*$BI$1</f>
        <v>3.8073394495412844</v>
      </c>
      <c r="BL545" s="67">
        <f>MAX((CR545-Driver!$F$202)/(Driver!$G$202-Driver!$F$202)*$BI$1,1)</f>
        <v>6.8965517241379315</v>
      </c>
      <c r="BM545" s="67">
        <f>MAX((CH545-Driver!$F$204)/(Driver!$G$204-Driver!$F$204)*$BI$1,1)</f>
        <v>1.7094017094017095</v>
      </c>
      <c r="BN545" s="67">
        <f>(CI545-Driver!$F$205)/(Driver!$G$205-Driver!$F$205)*$BI$1</f>
        <v>3.1176470588235294</v>
      </c>
      <c r="BO545" s="67">
        <f>(CK545-Driver!$F$207)/(Driver!$G$207-Driver!$F$207)*$BI$1</f>
        <v>1.3133402275077559</v>
      </c>
      <c r="BP545" s="67">
        <f>(CM545-Driver!$F$208)/(Driver!$G$208-Driver!$F$208)*$BI$1</f>
        <v>2.3666666666666667</v>
      </c>
      <c r="BQ545" s="67">
        <f>(CL545-Driver!$F$209)/(Driver!$G$209-Driver!$F$209)*$BI$1</f>
        <v>6.09375</v>
      </c>
      <c r="BR545" s="28" t="s">
        <v>155</v>
      </c>
      <c r="BS545" s="8" t="s">
        <v>182</v>
      </c>
      <c r="BT545" s="9" t="s">
        <v>505</v>
      </c>
      <c r="BU545" s="10">
        <v>163</v>
      </c>
      <c r="BV545" s="9" t="s">
        <v>158</v>
      </c>
      <c r="BW545" s="10">
        <v>163</v>
      </c>
      <c r="BX545" s="10">
        <v>161.6</v>
      </c>
      <c r="BY545" s="10">
        <v>117</v>
      </c>
      <c r="BZ545" s="10">
        <v>133</v>
      </c>
      <c r="CA545" s="10">
        <v>122</v>
      </c>
      <c r="CB545" s="10">
        <v>95</v>
      </c>
      <c r="CC545" s="10">
        <v>114</v>
      </c>
      <c r="CD545" s="10">
        <v>17.7</v>
      </c>
      <c r="CE545" s="10">
        <v>1627</v>
      </c>
      <c r="CF545" s="10">
        <v>1.03</v>
      </c>
      <c r="CG545" s="10">
        <v>1675</v>
      </c>
      <c r="CH545" s="10">
        <v>141</v>
      </c>
      <c r="CI545" s="10">
        <v>86</v>
      </c>
      <c r="CJ545" s="10">
        <v>48</v>
      </c>
      <c r="CK545" s="10">
        <v>237</v>
      </c>
      <c r="CL545" s="10">
        <v>39</v>
      </c>
      <c r="CM545" s="10">
        <v>213</v>
      </c>
      <c r="CN545" s="10">
        <v>0.81299999999999994</v>
      </c>
      <c r="CO545" s="10">
        <v>133</v>
      </c>
      <c r="CP545" s="10">
        <v>155</v>
      </c>
      <c r="CQ545" s="10">
        <v>104</v>
      </c>
      <c r="CR545" s="10">
        <v>9</v>
      </c>
      <c r="CS545" s="10">
        <v>4.7</v>
      </c>
      <c r="CT545" s="9" t="s">
        <v>188</v>
      </c>
      <c r="CU545" s="9" t="s">
        <v>184</v>
      </c>
      <c r="CV545" s="10"/>
      <c r="CW545" s="10"/>
      <c r="CX545" t="str">
        <f>INDEX('Data_Price '!AG$2:AG$1266,MATCH(Data!$DN545,'Data_Price '!$AT$2:$AT$1266,0))</f>
        <v>Armada ARV 96 Ti Zero Skis 163cm 2020</v>
      </c>
      <c r="CY545" t="str">
        <f>INDEX('Data_Price '!AH$2:AH$1266,MATCH(Data!$DN545,'Data_Price '!$AT$2:$AT$1266,0))</f>
        <v>Powder7 Ski Shop</v>
      </c>
      <c r="CZ545">
        <f>INDEX('Data_Price '!AI$2:AI$1266,MATCH(Data!$DN545,'Data_Price '!$AT$2:$AT$1266,0))</f>
        <v>449.95</v>
      </c>
      <c r="DA545" t="str">
        <f>INDEX('Data_Price '!AJ$2:AJ$1266,MATCH(Data!$DN545,'Data_Price '!$AT$2:$AT$1266,0))</f>
        <v>https://tinyurl.com/yd3xyuwv</v>
      </c>
      <c r="DB545" t="str">
        <f>INDEX('Data_Price '!AK$2:AK$1266,MATCH(Data!$DN545,'Data_Price '!$AT$2:$AT$1266,0))</f>
        <v>Armada ARV 96 Skis 2022</v>
      </c>
      <c r="DC545" t="str">
        <f>INDEX('Data_Price '!AL$2:AL$1266,MATCH(Data!$DN545,'Data_Price '!$AT$2:$AT$1266,0))</f>
        <v>Blue Tomato</v>
      </c>
      <c r="DD545">
        <f>INDEX('Data_Price '!AM$2:AM$1266,MATCH(Data!$DN545,'Data_Price '!$AT$2:$AT$1266,0))</f>
        <v>461.83</v>
      </c>
      <c r="DE545" t="str">
        <f>INDEX('Data_Price '!AN$2:AN$1266,MATCH(Data!$DN545,'Data_Price '!$AT$2:$AT$1266,0))</f>
        <v>https://tinyurl.com/y7ev8nah</v>
      </c>
      <c r="DF545" t="str">
        <f>INDEX('Data_Price '!AO$2:AO$1266,MATCH(Data!$DN545,'Data_Price '!$AT$2:$AT$1266,0))</f>
        <v>ARMADA ARV 96 2022</v>
      </c>
      <c r="DG545" t="str">
        <f>INDEX('Data_Price '!AP$2:AP$1266,MATCH(Data!$DN545,'Data_Price '!$AT$2:$AT$1266,0))</f>
        <v>Eskimo Ski &amp; Board Shop</v>
      </c>
      <c r="DH545">
        <f>INDEX('Data_Price '!AQ$2:AQ$1266,MATCH(Data!$DN545,'Data_Price '!$AT$2:$AT$1266,0))</f>
        <v>499.95</v>
      </c>
      <c r="DI545" t="str">
        <f>INDEX('Data_Price '!AR$2:AR$1266,MATCH(Data!$DN545,'Data_Price '!$AT$2:$AT$1266,0))</f>
        <v>https://tinyurl.com/y7hzfj2w</v>
      </c>
      <c r="DJ545" s="89" t="str">
        <f t="shared" si="328"/>
        <v>https://tinyurl.com/yd3xyuwv</v>
      </c>
      <c r="DK545" s="89" t="str">
        <f t="shared" si="329"/>
        <v>https://tinyurl.com/y7ev8nah</v>
      </c>
      <c r="DL545" s="89" t="str">
        <f t="shared" si="330"/>
        <v>https://tinyurl.com/y7hzfj2w</v>
      </c>
      <c r="DM545" s="219" t="str">
        <f t="shared" si="331"/>
        <v>ARV 96</v>
      </c>
      <c r="DN545" s="89" t="str">
        <f t="shared" si="332"/>
        <v xml:space="preserve"> ArmadaARV 96163 Unisex</v>
      </c>
      <c r="DO545" s="221" t="s">
        <v>506</v>
      </c>
    </row>
    <row r="546" spans="1:119" ht="15.6" customHeight="1">
      <c r="B546" s="219" t="b">
        <f t="array" ref="B546">IF(OR(ISERROR(K546:P546)),FALSE,TRUE)</f>
        <v>1</v>
      </c>
      <c r="C546" s="43" t="b">
        <f>OR(BR546=Driver!$G$50,Data!BR210=Driver!$H$50)</f>
        <v>1</v>
      </c>
      <c r="D546" s="43" t="b">
        <f>OR(BV546=Driver!$G$51,BV546=Driver!$H$51)</f>
        <v>1</v>
      </c>
      <c r="E546" s="43" t="b">
        <f>AND(BX546&gt;Driver!$F$54,BX546&lt;Driver!$G$54)</f>
        <v>1</v>
      </c>
      <c r="F546" s="43" t="b">
        <f>CL546&gt;Driver!$F$56</f>
        <v>1</v>
      </c>
      <c r="G546" s="43" t="b">
        <f>AND(CB546&gt;Driver!$F$55,CB546&lt;Driver!$G$55)</f>
        <v>0</v>
      </c>
      <c r="H546" s="43" t="b">
        <f t="shared" si="296"/>
        <v>0</v>
      </c>
      <c r="I546" s="43">
        <f t="shared" si="297"/>
        <v>0</v>
      </c>
      <c r="J546" s="43" t="b">
        <f t="array" ref="J546">NOT(OR(($H$9:$H$1273=TRUE)*($I$9:$I$1273&gt;0)*($BT$9:$BT$1273=BT546)*($K$9:$K$1273&gt;K546)))</f>
        <v>1</v>
      </c>
      <c r="K546" s="72">
        <f t="shared" si="298"/>
        <v>0.89444778180493634</v>
      </c>
      <c r="L546" s="72">
        <f t="shared" si="299"/>
        <v>0.9106343494796878</v>
      </c>
      <c r="M546" s="72">
        <f t="shared" si="300"/>
        <v>0.87826121413018499</v>
      </c>
      <c r="N546" s="72">
        <f t="shared" si="301"/>
        <v>0.90103007699961657</v>
      </c>
      <c r="O546" s="72">
        <f t="shared" si="302"/>
        <v>0.7400563080069722</v>
      </c>
      <c r="P546" s="72">
        <f t="shared" si="303"/>
        <v>0.99369725738396619</v>
      </c>
      <c r="Q546" s="72"/>
      <c r="R546" s="72"/>
      <c r="S546" s="72">
        <f t="shared" si="304"/>
        <v>0.44575743356898123</v>
      </c>
      <c r="T546" s="72">
        <f t="shared" si="305"/>
        <v>0.46985617983535488</v>
      </c>
      <c r="U546" s="72">
        <f t="shared" si="306"/>
        <v>0.85580667238155517</v>
      </c>
      <c r="V546" s="72">
        <f t="shared" si="307"/>
        <v>0.51846832663377596</v>
      </c>
      <c r="W546" s="72">
        <f t="shared" si="308"/>
        <v>0.81256684491978604</v>
      </c>
      <c r="X546" s="72">
        <f t="shared" si="309"/>
        <v>8.9365650520312256E-2</v>
      </c>
      <c r="Y546" s="72">
        <f t="shared" si="310"/>
        <v>0.12173878586981501</v>
      </c>
      <c r="Z546" s="72">
        <f t="shared" si="311"/>
        <v>9.8969923000383445E-2</v>
      </c>
      <c r="AA546" s="72">
        <f t="shared" si="312"/>
        <v>0.25994369199302786</v>
      </c>
      <c r="AB546" s="72">
        <f t="shared" si="313"/>
        <v>6.3027426160337519E-3</v>
      </c>
      <c r="AC546" s="72"/>
      <c r="AD546" s="72"/>
      <c r="AE546" s="72">
        <f t="shared" si="314"/>
        <v>0.55424256643101877</v>
      </c>
      <c r="AF546" s="72">
        <f t="shared" si="315"/>
        <v>0.53014382016464512</v>
      </c>
      <c r="AG546" s="72">
        <f t="shared" si="316"/>
        <v>0.14419332761844483</v>
      </c>
      <c r="AH546" s="72">
        <f t="shared" si="317"/>
        <v>0.4815316733662241</v>
      </c>
      <c r="AI546" s="72">
        <f t="shared" si="318"/>
        <v>0.18743315508021391</v>
      </c>
      <c r="AJ546" s="72">
        <f>(AV546-Driver!$K$179)/(Driver!$L$179-Driver!$K$179)</f>
        <v>0.16485375876238817</v>
      </c>
      <c r="AK546" s="72">
        <f>(AW546-Driver!$K$180)/(Driver!$L$180-Driver!$K$180)</f>
        <v>0.24377924348794838</v>
      </c>
      <c r="AL546" s="72">
        <f>(AX546-Driver!$K$181)/(Driver!$L$181-Driver!$K$181)</f>
        <v>0.20065768671346362</v>
      </c>
      <c r="AM546" s="72">
        <f>(AY546-Driver!$K$182)/(Driver!$L$182-Driver!$K$182)</f>
        <v>0.18744132910401851</v>
      </c>
      <c r="AN546" s="72">
        <f>(AZ546-Driver!$K$183)/(Driver!$L$183-Driver!$K$183)</f>
        <v>0.24791666666666667</v>
      </c>
      <c r="AO546" s="72"/>
      <c r="AP546" s="72"/>
      <c r="AQ546" s="72">
        <f>(BC546-Driver!$K$188)/(Driver!$L$188-Driver!$K$188)</f>
        <v>6.5757433568981241E-2</v>
      </c>
      <c r="AR546" s="72">
        <f>MIN((BD546-Driver!$K$189)/(Driver!$L$189-Driver!$K$189),100%)</f>
        <v>1.9856179835354881E-2</v>
      </c>
      <c r="AS546" s="72">
        <f>(BE546-Driver!$K$190)/(Driver!$L$190-Driver!$K$190)</f>
        <v>0.65419332761844484</v>
      </c>
      <c r="AT546" s="72">
        <f>(BF546-Driver!$K$191)/(Driver!$L$191-Driver!$K$191)</f>
        <v>2.8468326633775888E-2</v>
      </c>
      <c r="AU546" s="72">
        <f>(BG546-Driver!$K$192)/(Driver!$L$192-Driver!$K$192)</f>
        <v>6.2566844919786105E-2</v>
      </c>
      <c r="AV546" s="70">
        <f t="shared" si="319"/>
        <v>3.469678469678469</v>
      </c>
      <c r="AW546" s="70">
        <f t="shared" si="320"/>
        <v>25.63034000319999</v>
      </c>
      <c r="AX546" s="70">
        <f t="shared" si="321"/>
        <v>2.8059191804211725</v>
      </c>
      <c r="AY546" s="70">
        <f>IFERROR(Driver!$K$19/Data!BH546/Data!BI546*Data!BK546*Data!BL546,"")</f>
        <v>0.22948411391805659</v>
      </c>
      <c r="AZ546" s="70">
        <f t="shared" si="322"/>
        <v>22.594936708860761</v>
      </c>
      <c r="BA546" s="70"/>
      <c r="BB546" s="70"/>
      <c r="BC546" s="70">
        <f t="shared" si="323"/>
        <v>34.108837930492321</v>
      </c>
      <c r="BD546" s="70">
        <f t="shared" si="324"/>
        <v>3.4780596164578572</v>
      </c>
      <c r="BE546" s="70">
        <f t="shared" si="325"/>
        <v>0.65425501563657784</v>
      </c>
      <c r="BF546" s="70">
        <f t="shared" si="326"/>
        <v>3.215297491971099</v>
      </c>
      <c r="BG546" s="70">
        <f t="shared" si="327"/>
        <v>0.2369179881984142</v>
      </c>
      <c r="BH546" s="67">
        <f>MAX((CE546-Driver!$F$200)/(Driver!$G$200-Driver!$F$200)*$BI$1,1)</f>
        <v>2.8059191804211725</v>
      </c>
      <c r="BI546" s="67">
        <f>MAX($BI$1*(BY546-Driver!$F$201)/(Driver!$G$201-Driver!$F$201),1)</f>
        <v>7.5316455696202533</v>
      </c>
      <c r="BJ546" s="67">
        <f>(CB546-Driver!$F$206)/(Driver!$G$206-Driver!$F$206)*$BI$1</f>
        <v>4.92063492063492</v>
      </c>
      <c r="BK546" s="67">
        <f>(CD546-Driver!$F$203)/(Driver!$G$203-Driver!$F$203)*$BI$1</f>
        <v>3.3486238532110093</v>
      </c>
      <c r="BL546" s="67">
        <f>MAX((CR546-Driver!$F$202)/(Driver!$G$202-Driver!$F$202)*$BI$1,1)</f>
        <v>7.2413793103448274</v>
      </c>
      <c r="BM546" s="67">
        <f>MAX((CH546-Driver!$F$204)/(Driver!$G$204-Driver!$F$204)*$BI$1,1)</f>
        <v>2.8205128205128203</v>
      </c>
      <c r="BN546" s="67">
        <f>(CI546-Driver!$F$205)/(Driver!$G$205-Driver!$F$205)*$BI$1</f>
        <v>3</v>
      </c>
      <c r="BO546" s="67">
        <f>(CK546-Driver!$F$207)/(Driver!$G$207-Driver!$F$207)*$BI$1</f>
        <v>1.4167528438469492</v>
      </c>
      <c r="BP546" s="67">
        <f>(CM546-Driver!$F$208)/(Driver!$G$208-Driver!$F$208)*$BI$1</f>
        <v>1.5444444444444443</v>
      </c>
      <c r="BQ546" s="67">
        <f>(CL546-Driver!$F$209)/(Driver!$G$209-Driver!$F$209)*$BI$1</f>
        <v>1.875</v>
      </c>
      <c r="BR546" s="28" t="s">
        <v>155</v>
      </c>
      <c r="BS546" s="8" t="s">
        <v>237</v>
      </c>
      <c r="BT546" s="9" t="s">
        <v>361</v>
      </c>
      <c r="BU546" s="10">
        <v>166.2</v>
      </c>
      <c r="BV546" s="9" t="s">
        <v>158</v>
      </c>
      <c r="BW546" s="10">
        <v>166.2</v>
      </c>
      <c r="BX546" s="10">
        <v>165.4</v>
      </c>
      <c r="BY546" s="10">
        <v>127</v>
      </c>
      <c r="BZ546" s="10">
        <v>139</v>
      </c>
      <c r="CA546" s="10">
        <v>132</v>
      </c>
      <c r="CB546" s="10">
        <v>95</v>
      </c>
      <c r="CC546" s="10">
        <v>114</v>
      </c>
      <c r="CD546" s="10">
        <v>16.7</v>
      </c>
      <c r="CE546" s="10">
        <v>1393</v>
      </c>
      <c r="CF546" s="10">
        <v>1.26</v>
      </c>
      <c r="CG546" s="10">
        <v>1758</v>
      </c>
      <c r="CH546" s="10">
        <v>167</v>
      </c>
      <c r="CI546" s="10">
        <v>84</v>
      </c>
      <c r="CJ546" s="10">
        <v>44</v>
      </c>
      <c r="CK546" s="10">
        <v>247</v>
      </c>
      <c r="CL546" s="10">
        <v>12</v>
      </c>
      <c r="CM546" s="10">
        <v>139</v>
      </c>
      <c r="CN546" s="10">
        <v>0.27700000000000002</v>
      </c>
      <c r="CO546" s="10">
        <v>149</v>
      </c>
      <c r="CP546" s="10">
        <v>119</v>
      </c>
      <c r="CQ546" s="10">
        <v>98</v>
      </c>
      <c r="CR546" s="10">
        <v>10</v>
      </c>
      <c r="CS546" s="10">
        <v>9.1</v>
      </c>
      <c r="CT546" s="9" t="s">
        <v>188</v>
      </c>
      <c r="CU546" s="9" t="s">
        <v>185</v>
      </c>
      <c r="CV546" s="9" t="s">
        <v>198</v>
      </c>
      <c r="CW546" s="10"/>
      <c r="CX546" t="str">
        <f>INDEX('Data_Price '!AG$2:AG$1266,MATCH(Data!$DN546,'Data_Price '!$AT$2:$AT$1266,0))</f>
        <v>Black Crows Camox Freebird Skis - 2022</v>
      </c>
      <c r="CY546" t="str">
        <f>INDEX('Data_Price '!AH$2:AH$1266,MATCH(Data!$DN546,'Data_Price '!$AT$2:$AT$1266,0))</f>
        <v>Ascent Outdoors</v>
      </c>
      <c r="CZ546">
        <f>INDEX('Data_Price '!AI$2:AI$1266,MATCH(Data!$DN546,'Data_Price '!$AT$2:$AT$1266,0))</f>
        <v>514.99</v>
      </c>
      <c r="DA546" t="str">
        <f>INDEX('Data_Price '!AJ$2:AJ$1266,MATCH(Data!$DN546,'Data_Price '!$AT$2:$AT$1266,0))</f>
        <v>https://tinyurl.com/y8ze2qy9</v>
      </c>
      <c r="DB546" t="str">
        <f>INDEX('Data_Price '!AK$2:AK$1266,MATCH(Data!$DN546,'Data_Price '!$AT$2:$AT$1266,0))</f>
        <v>Black Crows Camox Freebird Skis - 2022</v>
      </c>
      <c r="DC546" t="str">
        <f>INDEX('Data_Price '!AL$2:AL$1266,MATCH(Data!$DN546,'Data_Price '!$AT$2:$AT$1266,0))</f>
        <v>Powder7 Ski Shop</v>
      </c>
      <c r="DD546">
        <f>INDEX('Data_Price '!AM$2:AM$1266,MATCH(Data!$DN546,'Data_Price '!$AT$2:$AT$1266,0))</f>
        <v>591.92999999999995</v>
      </c>
      <c r="DE546" t="str">
        <f>INDEX('Data_Price '!AN$2:AN$1266,MATCH(Data!$DN546,'Data_Price '!$AT$2:$AT$1266,0))</f>
        <v>https://tinyurl.com/y7pn8oh6</v>
      </c>
      <c r="DF546" t="str">
        <f>INDEX('Data_Price '!AO$2:AO$1266,MATCH(Data!$DN546,'Data_Price '!$AT$2:$AT$1266,0))</f>
        <v>Black Crows Camox Freebird Skis - 2022</v>
      </c>
      <c r="DG546" t="str">
        <f>INDEX('Data_Price '!AP$2:AP$1266,MATCH(Data!$DN546,'Data_Price '!$AT$2:$AT$1266,0))</f>
        <v>evo.com</v>
      </c>
      <c r="DH546">
        <f>INDEX('Data_Price '!AQ$2:AQ$1266,MATCH(Data!$DN546,'Data_Price '!$AT$2:$AT$1266,0))</f>
        <v>591.96</v>
      </c>
      <c r="DI546" t="str">
        <f>INDEX('Data_Price '!AR$2:AR$1266,MATCH(Data!$DN546,'Data_Price '!$AT$2:$AT$1266,0))</f>
        <v>https://tinyurl.com/y8p9ed8y</v>
      </c>
      <c r="DJ546" s="89" t="str">
        <f t="shared" si="328"/>
        <v>https://tinyurl.com/y8ze2qy9</v>
      </c>
      <c r="DK546" s="89" t="str">
        <f t="shared" si="329"/>
        <v>https://tinyurl.com/y7pn8oh6</v>
      </c>
      <c r="DL546" s="89" t="str">
        <f t="shared" si="330"/>
        <v>https://tinyurl.com/y8p9ed8y</v>
      </c>
      <c r="DM546" s="219" t="str">
        <f t="shared" si="331"/>
        <v>Camox Freebird</v>
      </c>
      <c r="DN546" s="89" t="str">
        <f t="shared" si="332"/>
        <v xml:space="preserve"> Black CrowsCamox Freebird166.2 Unisex</v>
      </c>
      <c r="DO546" s="221" t="s">
        <v>362</v>
      </c>
    </row>
    <row r="547" spans="1:119" ht="15.6" customHeight="1">
      <c r="B547" s="219" t="b">
        <f t="array" ref="B547">IF(OR(ISERROR(K547:P547)),FALSE,TRUE)</f>
        <v>1</v>
      </c>
      <c r="C547" s="43" t="b">
        <f>OR(BR547=Driver!$G$50,Data!BR1017=Driver!$H$50)</f>
        <v>1</v>
      </c>
      <c r="D547" s="43" t="b">
        <f>OR(BV547=Driver!$G$51,BV547=Driver!$H$51)</f>
        <v>1</v>
      </c>
      <c r="E547" s="43" t="b">
        <f>AND(BX547&gt;Driver!$F$54,BX547&lt;Driver!$G$54)</f>
        <v>1</v>
      </c>
      <c r="F547" s="43" t="b">
        <f>CL547&gt;Driver!$F$56</f>
        <v>1</v>
      </c>
      <c r="G547" s="43" t="b">
        <f>AND(CB547&gt;Driver!$F$55,CB547&lt;Driver!$G$55)</f>
        <v>0</v>
      </c>
      <c r="H547" s="43" t="b">
        <f t="shared" si="296"/>
        <v>0</v>
      </c>
      <c r="I547" s="43">
        <f t="shared" si="297"/>
        <v>0</v>
      </c>
      <c r="J547" s="43" t="b">
        <f t="array" ref="J547">NOT(OR(($H$9:$H$1273=TRUE)*($I$9:$I$1273&gt;0)*($BT$9:$BT$1273=BT547)*($K$9:$K$1273&gt;K547)))</f>
        <v>1</v>
      </c>
      <c r="K547" s="72">
        <f t="shared" si="298"/>
        <v>0.80594793884944327</v>
      </c>
      <c r="L547" s="72">
        <f t="shared" si="299"/>
        <v>0.86519079134577437</v>
      </c>
      <c r="M547" s="72">
        <f t="shared" si="300"/>
        <v>0.74670508635311217</v>
      </c>
      <c r="N547" s="72">
        <f t="shared" si="301"/>
        <v>0.73091687899797231</v>
      </c>
      <c r="O547" s="72">
        <f t="shared" si="302"/>
        <v>0.59266615535713651</v>
      </c>
      <c r="P547" s="72">
        <f t="shared" si="303"/>
        <v>0.91653222470422768</v>
      </c>
      <c r="Q547" s="72"/>
      <c r="R547" s="72"/>
      <c r="S547" s="72">
        <f t="shared" si="304"/>
        <v>0.40060433173248333</v>
      </c>
      <c r="T547" s="72">
        <f t="shared" si="305"/>
        <v>0.71244029388943075</v>
      </c>
      <c r="U547" s="72">
        <f t="shared" si="306"/>
        <v>0.82822973559742641</v>
      </c>
      <c r="V547" s="72">
        <f t="shared" si="307"/>
        <v>0.54229529822518729</v>
      </c>
      <c r="W547" s="72">
        <f t="shared" si="308"/>
        <v>0.78710629921259845</v>
      </c>
      <c r="X547" s="72">
        <f t="shared" si="309"/>
        <v>0.13480920865422569</v>
      </c>
      <c r="Y547" s="72">
        <f t="shared" si="310"/>
        <v>0.25329491364688783</v>
      </c>
      <c r="Z547" s="72">
        <f t="shared" si="311"/>
        <v>0.26908312100202769</v>
      </c>
      <c r="AA547" s="72">
        <f t="shared" si="312"/>
        <v>0.40733384464286349</v>
      </c>
      <c r="AB547" s="72">
        <f t="shared" si="313"/>
        <v>8.3467775295772317E-2</v>
      </c>
      <c r="AC547" s="72"/>
      <c r="AD547" s="72"/>
      <c r="AE547" s="72">
        <f t="shared" si="314"/>
        <v>0.59939566826751667</v>
      </c>
      <c r="AF547" s="72">
        <f t="shared" si="315"/>
        <v>0.28755970611056919</v>
      </c>
      <c r="AG547" s="72">
        <f t="shared" si="316"/>
        <v>0.17177026440257359</v>
      </c>
      <c r="AH547" s="72">
        <f t="shared" si="317"/>
        <v>0.45770470177481271</v>
      </c>
      <c r="AI547" s="72">
        <f t="shared" si="318"/>
        <v>0.21289370078740158</v>
      </c>
      <c r="AJ547" s="72">
        <f>(AV547-Driver!$K$179)/(Driver!$L$179-Driver!$K$179)</f>
        <v>0.11941020062847472</v>
      </c>
      <c r="AK547" s="72">
        <f>(AW547-Driver!$K$180)/(Driver!$L$180-Driver!$K$180)</f>
        <v>0.18547573817988292</v>
      </c>
      <c r="AL547" s="72">
        <f>(AX547-Driver!$K$181)/(Driver!$L$181-Driver!$K$181)</f>
        <v>0.37077088471510788</v>
      </c>
      <c r="AM547" s="72">
        <f>(AY547-Driver!$K$182)/(Driver!$L$182-Driver!$K$182)</f>
        <v>4.0051176454182887E-2</v>
      </c>
      <c r="AN547" s="72">
        <f>(AZ547-Driver!$K$183)/(Driver!$L$183-Driver!$K$183)</f>
        <v>0.17075163398692811</v>
      </c>
      <c r="AO547" s="72"/>
      <c r="AP547" s="72"/>
      <c r="AQ547" s="72">
        <f>(BC547-Driver!$K$188)/(Driver!$L$188-Driver!$K$188)</f>
        <v>2.06043317324833E-2</v>
      </c>
      <c r="AR547" s="72">
        <f>MIN((BD547-Driver!$K$189)/(Driver!$L$189-Driver!$K$189),100%)</f>
        <v>0.26244029388943085</v>
      </c>
      <c r="AS547" s="72">
        <f>(BE547-Driver!$K$190)/(Driver!$L$190-Driver!$K$190)</f>
        <v>0.33822973559742642</v>
      </c>
      <c r="AT547" s="72">
        <f>(BF547-Driver!$K$191)/(Driver!$L$191-Driver!$K$191)</f>
        <v>5.2295298225187303E-2</v>
      </c>
      <c r="AU547" s="72">
        <f>(BG547-Driver!$K$192)/(Driver!$L$192-Driver!$K$192)</f>
        <v>3.7106299212598427E-2</v>
      </c>
      <c r="AV547" s="70">
        <f t="shared" si="319"/>
        <v>2.513227513227513</v>
      </c>
      <c r="AW547" s="70">
        <f t="shared" si="320"/>
        <v>19.948146789316887</v>
      </c>
      <c r="AX547" s="70">
        <f t="shared" si="321"/>
        <v>4.3369379624359707</v>
      </c>
      <c r="AY547" s="70">
        <f>IFERROR(Driver!$K$19/Data!BH547/Data!BI547*Data!BK547*Data!BL547,"")</f>
        <v>4.9034590097594678E-2</v>
      </c>
      <c r="AZ547" s="70">
        <f t="shared" si="322"/>
        <v>15.562174236783321</v>
      </c>
      <c r="BA547" s="70"/>
      <c r="BB547" s="70"/>
      <c r="BC547" s="70">
        <f t="shared" si="323"/>
        <v>10.687610108629443</v>
      </c>
      <c r="BD547" s="70">
        <f t="shared" si="324"/>
        <v>24.946323876628071</v>
      </c>
      <c r="BE547" s="70">
        <f t="shared" si="325"/>
        <v>0.33834778796405424</v>
      </c>
      <c r="BF547" s="70">
        <f t="shared" si="326"/>
        <v>5.9063865392717512</v>
      </c>
      <c r="BG547" s="70">
        <f t="shared" si="327"/>
        <v>0.14050812007874017</v>
      </c>
      <c r="BH547" s="67">
        <f>MAX((CE547-Driver!$F$200)/(Driver!$G$200-Driver!$F$200)*$BI$1,1)</f>
        <v>4.3369379624359707</v>
      </c>
      <c r="BI547" s="67">
        <f>MAX($BI$1*(BY547-Driver!$F$201)/(Driver!$G$201-Driver!$F$201),1)</f>
        <v>6.962025316455696</v>
      </c>
      <c r="BJ547" s="67">
        <f>(CB547-Driver!$F$206)/(Driver!$G$206-Driver!$F$206)*$BI$1</f>
        <v>3.0158730158730158</v>
      </c>
      <c r="BK547" s="67">
        <f>(CD547-Driver!$F$203)/(Driver!$G$203-Driver!$F$203)*$BI$1</f>
        <v>1.1926605504587156</v>
      </c>
      <c r="BL547" s="67">
        <f>MAX((CR547-Driver!$F$202)/(Driver!$G$202-Driver!$F$202)*$BI$1,1)</f>
        <v>6.2068965517241379</v>
      </c>
      <c r="BM547" s="67">
        <f>MAX((CH547-Driver!$F$204)/(Driver!$G$204-Driver!$F$204)*$BI$1,1)</f>
        <v>3.333333333333333</v>
      </c>
      <c r="BN547" s="67">
        <f>(CI547-Driver!$F$205)/(Driver!$G$205-Driver!$F$205)*$BI$1</f>
        <v>2.2352941176470589</v>
      </c>
      <c r="BO547" s="67">
        <f>(CK547-Driver!$F$207)/(Driver!$G$207-Driver!$F$207)*$BI$1</f>
        <v>1.592554291623578</v>
      </c>
      <c r="BP547" s="67">
        <f>(CM547-Driver!$F$208)/(Driver!$G$208-Driver!$F$208)*$BI$1</f>
        <v>1.4666666666666668</v>
      </c>
      <c r="BQ547" s="67">
        <f>(CL547-Driver!$F$209)/(Driver!$G$209-Driver!$F$209)*$BI$1</f>
        <v>2.03125</v>
      </c>
      <c r="BR547" s="28" t="s">
        <v>155</v>
      </c>
      <c r="BS547" s="8" t="s">
        <v>172</v>
      </c>
      <c r="BT547" s="9" t="s">
        <v>345</v>
      </c>
      <c r="BU547" s="10">
        <v>158</v>
      </c>
      <c r="BV547" s="9" t="s">
        <v>158</v>
      </c>
      <c r="BW547" s="10">
        <v>158</v>
      </c>
      <c r="BX547" s="10">
        <v>157.5</v>
      </c>
      <c r="BY547" s="10">
        <v>118</v>
      </c>
      <c r="BZ547" s="10">
        <v>143</v>
      </c>
      <c r="CA547" s="10">
        <v>131</v>
      </c>
      <c r="CB547" s="10">
        <v>83</v>
      </c>
      <c r="CC547" s="10">
        <v>118</v>
      </c>
      <c r="CD547" s="10">
        <v>12</v>
      </c>
      <c r="CE547" s="10">
        <v>1662</v>
      </c>
      <c r="CF547" s="10">
        <v>0.94</v>
      </c>
      <c r="CG547" s="10">
        <v>1556</v>
      </c>
      <c r="CH547" s="10">
        <v>179</v>
      </c>
      <c r="CI547" s="10">
        <v>71</v>
      </c>
      <c r="CJ547" s="10">
        <v>48</v>
      </c>
      <c r="CK547" s="10">
        <v>264</v>
      </c>
      <c r="CL547" s="10">
        <v>13</v>
      </c>
      <c r="CM547" s="10">
        <v>132</v>
      </c>
      <c r="CN547" s="10">
        <v>0.28299999999999997</v>
      </c>
      <c r="CO547" s="10">
        <v>79</v>
      </c>
      <c r="CP547" s="10">
        <v>67</v>
      </c>
      <c r="CQ547" s="10">
        <v>185</v>
      </c>
      <c r="CR547" s="10">
        <v>7</v>
      </c>
      <c r="CS547" s="10">
        <v>6.8</v>
      </c>
      <c r="CT547" s="9" t="s">
        <v>188</v>
      </c>
      <c r="CU547" s="10"/>
      <c r="CV547" s="10"/>
      <c r="CW547" s="10"/>
      <c r="CX547" t="str">
        <f>INDEX('Data_Price '!AG$2:AG$1266,MATCH(Data!$DN547,'Data_Price '!$AT$2:$AT$1266,0))</f>
        <v>Rossignol Experience 86 Basalt Mens Skis 158cm</v>
      </c>
      <c r="CY547" t="str">
        <f>INDEX('Data_Price '!AH$2:AH$1266,MATCH(Data!$DN547,'Data_Price '!$AT$2:$AT$1266,0))</f>
        <v>Al's Sporting Goods</v>
      </c>
      <c r="CZ547">
        <f>INDEX('Data_Price '!AI$2:AI$1266,MATCH(Data!$DN547,'Data_Price '!$AT$2:$AT$1266,0))</f>
        <v>279.99</v>
      </c>
      <c r="DA547" t="str">
        <f>INDEX('Data_Price '!AJ$2:AJ$1266,MATCH(Data!$DN547,'Data_Price '!$AT$2:$AT$1266,0))</f>
        <v>https://tinyurl.com/y8yg9624</v>
      </c>
      <c r="DB547" t="str">
        <f>INDEX('Data_Price '!AK$2:AK$1266,MATCH(Data!$DN547,'Data_Price '!$AT$2:$AT$1266,0))</f>
        <v>2022 Rossignol Experience 86 Basalt Snow Skis 158cm Red/gray Free</v>
      </c>
      <c r="DC547" t="str">
        <f>INDEX('Data_Price '!AL$2:AL$1266,MATCH(Data!$DN547,'Data_Price '!$AT$2:$AT$1266,0))</f>
        <v>eBay - klnbnc</v>
      </c>
      <c r="DD547">
        <f>INDEX('Data_Price '!AM$2:AM$1266,MATCH(Data!$DN547,'Data_Price '!$AT$2:$AT$1266,0))</f>
        <v>399</v>
      </c>
      <c r="DE547" t="str">
        <f>INDEX('Data_Price '!AN$2:AN$1266,MATCH(Data!$DN547,'Data_Price '!$AT$2:$AT$1266,0))</f>
        <v>https://tinyurl.com/y7k7td2x</v>
      </c>
      <c r="DF547" t="str">
        <f>INDEX('Data_Price '!AO$2:AO$1266,MATCH(Data!$DN547,'Data_Price '!$AT$2:$AT$1266,0))</f>
        <v>Rossignol Experience 86 Basalt Mens Skis 158cm</v>
      </c>
      <c r="DG547" t="str">
        <f>INDEX('Data_Price '!AP$2:AP$1266,MATCH(Data!$DN547,'Data_Price '!$AT$2:$AT$1266,0))</f>
        <v>UtahSkis</v>
      </c>
      <c r="DH547">
        <f>INDEX('Data_Price '!AQ$2:AQ$1266,MATCH(Data!$DN547,'Data_Price '!$AT$2:$AT$1266,0))</f>
        <v>479.96</v>
      </c>
      <c r="DI547" t="str">
        <f>INDEX('Data_Price '!AR$2:AR$1266,MATCH(Data!$DN547,'Data_Price '!$AT$2:$AT$1266,0))</f>
        <v>https://tinyurl.com/y8fhjzyx</v>
      </c>
      <c r="DJ547" s="89" t="str">
        <f t="shared" si="328"/>
        <v>https://tinyurl.com/y8yg9624</v>
      </c>
      <c r="DK547" s="89" t="str">
        <f t="shared" si="329"/>
        <v>https://tinyurl.com/y7k7td2x</v>
      </c>
      <c r="DL547" s="89" t="str">
        <f t="shared" si="330"/>
        <v>https://tinyurl.com/y8fhjzyx</v>
      </c>
      <c r="DM547" s="219" t="str">
        <f t="shared" si="331"/>
        <v>Experience 86 Basalt</v>
      </c>
      <c r="DN547" s="89" t="str">
        <f t="shared" si="332"/>
        <v xml:space="preserve"> RossignolExperience 86 Basalt158 Unisex</v>
      </c>
      <c r="DO547" s="221" t="s">
        <v>346</v>
      </c>
    </row>
    <row r="548" spans="1:119" ht="15.6" customHeight="1">
      <c r="A548" s="219">
        <f>ROW()</f>
        <v>548</v>
      </c>
      <c r="B548" s="219" t="b">
        <f t="array" ref="B548">IF(OR(ISERROR(K548:P548)),FALSE,TRUE)</f>
        <v>1</v>
      </c>
      <c r="C548" s="43" t="b">
        <f>OR(BR548=Driver!$G$50,Data!BR564=Driver!$H$50)</f>
        <v>1</v>
      </c>
      <c r="D548" s="43" t="b">
        <f>OR(BV548=Driver!$G$51,BV548=Driver!$H$51)</f>
        <v>0</v>
      </c>
      <c r="E548" s="43" t="b">
        <f>AND(BX548&gt;Driver!$F$54,BX548&lt;Driver!$G$54)</f>
        <v>1</v>
      </c>
      <c r="F548" s="43" t="b">
        <f>CL548&gt;Driver!$F$56</f>
        <v>1</v>
      </c>
      <c r="G548" s="43" t="b">
        <f>AND(CB548&gt;Driver!$F$55,CB548&lt;Driver!$G$55)</f>
        <v>0</v>
      </c>
      <c r="H548" s="43" t="b">
        <f t="shared" si="296"/>
        <v>0</v>
      </c>
      <c r="I548" s="43">
        <f t="shared" si="297"/>
        <v>0</v>
      </c>
      <c r="J548" s="43" t="b">
        <f t="array" ref="J548">NOT(OR(($H$9:$H$1273=TRUE)*($I$9:$I$1273&gt;0)*($BT$9:$BT$1273=BT548)*($K$9:$K$1273&gt;K548)))</f>
        <v>1</v>
      </c>
      <c r="K548" s="72">
        <f t="shared" si="298"/>
        <v>0.85830160672199374</v>
      </c>
      <c r="L548" s="72">
        <f t="shared" si="299"/>
        <v>0.9403660391098545</v>
      </c>
      <c r="M548" s="72">
        <f t="shared" si="300"/>
        <v>0.77623717433413286</v>
      </c>
      <c r="N548" s="72">
        <f t="shared" si="301"/>
        <v>0.76443360574179064</v>
      </c>
      <c r="O548" s="72">
        <f t="shared" si="302"/>
        <v>0.62233719582435421</v>
      </c>
      <c r="P548" s="72">
        <f t="shared" si="303"/>
        <v>0.94194072143625385</v>
      </c>
      <c r="Q548" s="72"/>
      <c r="R548" s="72"/>
      <c r="S548" s="72">
        <f t="shared" si="304"/>
        <v>0.40213542055411711</v>
      </c>
      <c r="T548" s="72">
        <f t="shared" si="305"/>
        <v>0.51876373115983598</v>
      </c>
      <c r="U548" s="72">
        <f t="shared" si="306"/>
        <v>0.54205477766795596</v>
      </c>
      <c r="V548" s="72">
        <f t="shared" si="307"/>
        <v>0.68127851846538734</v>
      </c>
      <c r="W548" s="72">
        <f t="shared" si="308"/>
        <v>0.8609707487582019</v>
      </c>
      <c r="X548" s="72">
        <f t="shared" si="309"/>
        <v>5.9633960890145443E-2</v>
      </c>
      <c r="Y548" s="72">
        <f t="shared" si="310"/>
        <v>0.22376282566586711</v>
      </c>
      <c r="Z548" s="72">
        <f t="shared" si="311"/>
        <v>0.2355663942582093</v>
      </c>
      <c r="AA548" s="72">
        <f t="shared" si="312"/>
        <v>0.37766280417564579</v>
      </c>
      <c r="AB548" s="72">
        <f t="shared" si="313"/>
        <v>5.8059278563746208E-2</v>
      </c>
      <c r="AC548" s="72"/>
      <c r="AD548" s="72"/>
      <c r="AE548" s="72">
        <f t="shared" si="314"/>
        <v>0.59786457944588289</v>
      </c>
      <c r="AF548" s="72">
        <f t="shared" si="315"/>
        <v>0.48123626884016402</v>
      </c>
      <c r="AG548" s="72">
        <f t="shared" si="316"/>
        <v>0.45794522233204404</v>
      </c>
      <c r="AH548" s="72">
        <f t="shared" si="317"/>
        <v>0.31872148153461266</v>
      </c>
      <c r="AI548" s="72">
        <f t="shared" si="318"/>
        <v>0.13902925124179805</v>
      </c>
      <c r="AJ548" s="72">
        <f>(AV548-Driver!$K$179)/(Driver!$L$179-Driver!$K$179)</f>
        <v>0.19458544839255498</v>
      </c>
      <c r="AK548" s="72">
        <f>(AW548-Driver!$K$180)/(Driver!$L$180-Driver!$K$180)</f>
        <v>0.20651422294588295</v>
      </c>
      <c r="AL548" s="72">
        <f>(AX548-Driver!$K$181)/(Driver!$L$181-Driver!$K$181)</f>
        <v>0.33725415797128949</v>
      </c>
      <c r="AM548" s="72">
        <f>(AY548-Driver!$K$182)/(Driver!$L$182-Driver!$K$182)</f>
        <v>6.972221692140057E-2</v>
      </c>
      <c r="AN548" s="72">
        <f>(AZ548-Driver!$K$183)/(Driver!$L$183-Driver!$K$183)</f>
        <v>0.19616013071895422</v>
      </c>
      <c r="AO548" s="72"/>
      <c r="AP548" s="72"/>
      <c r="AQ548" s="72">
        <f>(BC548-Driver!$K$188)/(Driver!$L$188-Driver!$K$188)</f>
        <v>2.2135420554117057E-2</v>
      </c>
      <c r="AR548" s="72">
        <f>MIN((BD548-Driver!$K$189)/(Driver!$L$189-Driver!$K$189),100%)</f>
        <v>6.8763731159836056E-2</v>
      </c>
      <c r="AS548" s="72">
        <f>(BE548-Driver!$K$190)/(Driver!$L$190-Driver!$K$190)</f>
        <v>5.2054777667955958E-2</v>
      </c>
      <c r="AT548" s="72">
        <f>(BF548-Driver!$K$191)/(Driver!$L$191-Driver!$K$191)</f>
        <v>0.19127851846538732</v>
      </c>
      <c r="AU548" s="72">
        <f>(BG548-Driver!$K$192)/(Driver!$L$192-Driver!$K$192)</f>
        <v>0.11097074875820197</v>
      </c>
      <c r="AV548" s="70">
        <f t="shared" si="319"/>
        <v>4.0954415954415957</v>
      </c>
      <c r="AW548" s="70">
        <f t="shared" si="320"/>
        <v>21.99853354970282</v>
      </c>
      <c r="AX548" s="70">
        <f t="shared" si="321"/>
        <v>4.0352874217416055</v>
      </c>
      <c r="AY548" s="70">
        <f>IFERROR(Driver!$K$19/Data!BH474/Data!BI474*Data!BK474*Data!BL474,"")</f>
        <v>8.536079661348879E-2</v>
      </c>
      <c r="AZ548" s="70">
        <f t="shared" si="322"/>
        <v>17.877885331347727</v>
      </c>
      <c r="BA548" s="70"/>
      <c r="BB548" s="70"/>
      <c r="BC548" s="70">
        <f t="shared" si="323"/>
        <v>11.481796524367677</v>
      </c>
      <c r="BD548" s="70">
        <f t="shared" si="324"/>
        <v>7.8062912496213803</v>
      </c>
      <c r="BE548" s="70">
        <f t="shared" si="325"/>
        <v>5.2223880426042035E-2</v>
      </c>
      <c r="BF548" s="70">
        <f t="shared" si="326"/>
        <v>21.603564853019066</v>
      </c>
      <c r="BG548" s="70">
        <f t="shared" si="327"/>
        <v>0.42020604648310533</v>
      </c>
      <c r="BH548" s="67">
        <f>MAX((CE548-Driver!$F$200)/(Driver!$G$200-Driver!$F$200)*$BI$1,1)</f>
        <v>4.0352874217416055</v>
      </c>
      <c r="BI548" s="67">
        <f>MAX($BI$1*(BY548-Driver!$F$201)/(Driver!$G$201-Driver!$F$201),1)</f>
        <v>6.2025316455696204</v>
      </c>
      <c r="BJ548" s="67">
        <f>(CB548-Driver!$F$206)/(Driver!$G$206-Driver!$F$206)*$BI$1</f>
        <v>5.5555555555555554</v>
      </c>
      <c r="BK548" s="67">
        <f>(CD548-Driver!$F$203)/(Driver!$G$203-Driver!$F$203)*$BI$1</f>
        <v>1.5137614678899081</v>
      </c>
      <c r="BL548" s="67">
        <f>MAX((CR548-Driver!$F$202)/(Driver!$G$202-Driver!$F$202)*$BI$1,1)</f>
        <v>5.5172413793103452</v>
      </c>
      <c r="BM548" s="67">
        <f>MAX((CH548-Driver!$F$204)/(Driver!$G$204-Driver!$F$204)*$BI$1,1)</f>
        <v>2.9487179487179489</v>
      </c>
      <c r="BN548" s="67">
        <f>(CI548-Driver!$F$205)/(Driver!$G$205-Driver!$F$205)*$BI$1</f>
        <v>2.8823529411764701</v>
      </c>
      <c r="BO548" s="67">
        <f>(CK548-Driver!$F$207)/(Driver!$G$207-Driver!$F$207)*$BI$1</f>
        <v>2.4301964839710442</v>
      </c>
      <c r="BP548" s="67">
        <f>(CM548-Driver!$F$208)/(Driver!$G$208-Driver!$F$208)*$BI$1</f>
        <v>2.4222222222222225</v>
      </c>
      <c r="BQ548" s="67">
        <f>(CL548-Driver!$F$209)/(Driver!$G$209-Driver!$F$209)*$BI$1</f>
        <v>5</v>
      </c>
      <c r="BR548" s="28" t="s">
        <v>155</v>
      </c>
      <c r="BS548" s="8" t="s">
        <v>245</v>
      </c>
      <c r="BT548" s="9" t="s">
        <v>337</v>
      </c>
      <c r="BU548" s="10">
        <v>163</v>
      </c>
      <c r="BV548" s="9" t="s">
        <v>163</v>
      </c>
      <c r="BW548" s="10">
        <v>163</v>
      </c>
      <c r="BX548" s="10">
        <v>162.4</v>
      </c>
      <c r="BY548" s="10">
        <v>106</v>
      </c>
      <c r="BZ548" s="10">
        <v>134</v>
      </c>
      <c r="CA548" s="10">
        <v>134</v>
      </c>
      <c r="CB548" s="10">
        <v>99</v>
      </c>
      <c r="CC548" s="10">
        <v>124</v>
      </c>
      <c r="CD548" s="10">
        <v>12.7</v>
      </c>
      <c r="CE548" s="10">
        <v>1609</v>
      </c>
      <c r="CF548" s="10">
        <v>1.1299999999999999</v>
      </c>
      <c r="CG548" s="10">
        <v>1821</v>
      </c>
      <c r="CH548" s="10">
        <v>170</v>
      </c>
      <c r="CI548" s="10">
        <v>82</v>
      </c>
      <c r="CJ548" s="10">
        <v>51</v>
      </c>
      <c r="CK548" s="10">
        <v>345</v>
      </c>
      <c r="CL548" s="10">
        <v>32</v>
      </c>
      <c r="CM548" s="10">
        <v>218</v>
      </c>
      <c r="CN548" s="10">
        <v>0.623</v>
      </c>
      <c r="CO548" s="10">
        <v>143</v>
      </c>
      <c r="CP548" s="10">
        <v>145</v>
      </c>
      <c r="CQ548" s="10">
        <v>202</v>
      </c>
      <c r="CR548" s="10">
        <v>5</v>
      </c>
      <c r="CS548" s="10">
        <v>9.9</v>
      </c>
      <c r="CT548" s="9" t="s">
        <v>188</v>
      </c>
      <c r="CU548" s="9" t="s">
        <v>185</v>
      </c>
      <c r="CV548" s="10"/>
      <c r="CW548" s="10"/>
      <c r="CX548" t="str">
        <f>INDEX('Data_Price '!AG$2:AG$1266,MATCH(Data!$DN548,'Data_Price '!$AT$2:$AT$1266,0))</f>
        <v>Fischer Ranger FR 102 Skis 2021 - 156</v>
      </c>
      <c r="CY548" t="str">
        <f>INDEX('Data_Price '!AH$2:AH$1266,MATCH(Data!$DN548,'Data_Price '!$AT$2:$AT$1266,0))</f>
        <v>SkiEssentials.com</v>
      </c>
      <c r="CZ548">
        <f>INDEX('Data_Price '!AI$2:AI$1266,MATCH(Data!$DN548,'Data_Price '!$AT$2:$AT$1266,0))</f>
        <v>479.99</v>
      </c>
      <c r="DA548" t="str">
        <f>INDEX('Data_Price '!AJ$2:AJ$1266,MATCH(Data!$DN548,'Data_Price '!$AT$2:$AT$1266,0))</f>
        <v>https://tinyurl.com/ybeedjfo</v>
      </c>
      <c r="DB548" t="str">
        <f>INDEX('Data_Price '!AK$2:AK$1266,MATCH(Data!$DN548,'Data_Price '!$AT$2:$AT$1266,0))</f>
        <v>Fischer 2021 Ranger 102 FR Skis w/Tyrolia Attack2 13 GW Bindings</v>
      </c>
      <c r="DC548" t="str">
        <f>INDEX('Data_Price '!AL$2:AL$1266,MATCH(Data!$DN548,'Data_Price '!$AT$2:$AT$1266,0))</f>
        <v>eBay - david110549</v>
      </c>
      <c r="DD548">
        <f>INDEX('Data_Price '!AM$2:AM$1266,MATCH(Data!$DN548,'Data_Price '!$AT$2:$AT$1266,0))</f>
        <v>654.99</v>
      </c>
      <c r="DE548" t="str">
        <f>INDEX('Data_Price '!AN$2:AN$1266,MATCH(Data!$DN548,'Data_Price '!$AT$2:$AT$1266,0))</f>
        <v>https://tinyurl.com/y873vjqg</v>
      </c>
      <c r="DF548" t="str">
        <f>INDEX('Data_Price '!AO$2:AO$1266,MATCH(Data!$DN548,'Data_Price '!$AT$2:$AT$1266,0))</f>
        <v>Fischer Ranger FR 102 Skis 2021 - 156</v>
      </c>
      <c r="DG548" t="str">
        <f>INDEX('Data_Price '!AP$2:AP$1266,MATCH(Data!$DN548,'Data_Price '!$AT$2:$AT$1266,0))</f>
        <v>eBay</v>
      </c>
      <c r="DH548">
        <f>INDEX('Data_Price '!AQ$2:AQ$1266,MATCH(Data!$DN548,'Data_Price '!$AT$2:$AT$1266,0))</f>
        <v>685</v>
      </c>
      <c r="DI548" t="str">
        <f>INDEX('Data_Price '!AR$2:AR$1266,MATCH(Data!$DN548,'Data_Price '!$AT$2:$AT$1266,0))</f>
        <v>https://tinyurl.com/y7r8z2hv</v>
      </c>
      <c r="DJ548" s="89" t="str">
        <f t="shared" si="328"/>
        <v>https://tinyurl.com/ybeedjfo</v>
      </c>
      <c r="DK548" s="89" t="str">
        <f t="shared" si="329"/>
        <v>https://tinyurl.com/y873vjqg</v>
      </c>
      <c r="DL548" s="89" t="str">
        <f t="shared" si="330"/>
        <v>https://tinyurl.com/y7r8z2hv</v>
      </c>
      <c r="DM548" s="219" t="str">
        <f t="shared" si="331"/>
        <v>Ranger 102 FR W</v>
      </c>
      <c r="DN548" s="89" t="str">
        <f t="shared" si="332"/>
        <v xml:space="preserve"> FischerRanger 102 FR W163 Women's</v>
      </c>
      <c r="DO548" s="221"/>
    </row>
    <row r="549" spans="1:119" ht="15.6" customHeight="1">
      <c r="B549" s="219" t="b">
        <f t="array" ref="B549">IF(OR(ISERROR(K549:P549)),FALSE,TRUE)</f>
        <v>1</v>
      </c>
      <c r="C549" s="43" t="b">
        <f>OR(BR549=Driver!$G$50,Data!BR163=Driver!$H$50)</f>
        <v>1</v>
      </c>
      <c r="D549" s="43" t="b">
        <f>OR(BV549=Driver!$G$51,BV549=Driver!$H$51)</f>
        <v>1</v>
      </c>
      <c r="E549" s="43" t="b">
        <f>AND(BX549&gt;Driver!$F$54,BX549&lt;Driver!$G$54)</f>
        <v>1</v>
      </c>
      <c r="F549" s="43" t="b">
        <f>CL549&gt;Driver!$F$56</f>
        <v>1</v>
      </c>
      <c r="G549" s="43" t="b">
        <f>AND(CB549&gt;Driver!$F$55,CB549&lt;Driver!$G$55)</f>
        <v>0</v>
      </c>
      <c r="H549" s="43" t="b">
        <f t="shared" si="296"/>
        <v>0</v>
      </c>
      <c r="I549" s="43">
        <f t="shared" si="297"/>
        <v>0</v>
      </c>
      <c r="J549" s="43" t="b">
        <f t="array" ref="J549">NOT(OR(($H$9:$H$1273=TRUE)*($I$9:$I$1273&gt;0)*($BT$9:$BT$1273=BT549)*($K$9:$K$1273&gt;K549)))</f>
        <v>1</v>
      </c>
      <c r="K549" s="72">
        <f t="shared" si="298"/>
        <v>0.869367877713348</v>
      </c>
      <c r="L549" s="72">
        <f t="shared" si="299"/>
        <v>0.8858176546122315</v>
      </c>
      <c r="M549" s="72">
        <f t="shared" si="300"/>
        <v>0.85291810081446451</v>
      </c>
      <c r="N549" s="72">
        <f t="shared" si="301"/>
        <v>0.89660333950515003</v>
      </c>
      <c r="O549" s="72">
        <f t="shared" si="302"/>
        <v>0.68687690816865654</v>
      </c>
      <c r="P549" s="72">
        <f t="shared" si="303"/>
        <v>0.97527405476958717</v>
      </c>
      <c r="Q549" s="72"/>
      <c r="R549" s="72"/>
      <c r="S549" s="72">
        <f t="shared" si="304"/>
        <v>0.44136882217605278</v>
      </c>
      <c r="T549" s="72">
        <f t="shared" si="305"/>
        <v>0.49086392762629483</v>
      </c>
      <c r="U549" s="72">
        <f t="shared" si="306"/>
        <v>0.86914071426615902</v>
      </c>
      <c r="V549" s="72">
        <f t="shared" si="307"/>
        <v>0.52931862002911956</v>
      </c>
      <c r="W549" s="72">
        <f t="shared" si="308"/>
        <v>0.79724430379746836</v>
      </c>
      <c r="X549" s="72">
        <f t="shared" si="309"/>
        <v>0.1141823453877685</v>
      </c>
      <c r="Y549" s="72">
        <f t="shared" si="310"/>
        <v>0.14708189918553546</v>
      </c>
      <c r="Z549" s="72">
        <f t="shared" si="311"/>
        <v>0.10339666049485001</v>
      </c>
      <c r="AA549" s="72">
        <f t="shared" si="312"/>
        <v>0.31312309183134351</v>
      </c>
      <c r="AB549" s="72">
        <f t="shared" si="313"/>
        <v>2.4725945230412855E-2</v>
      </c>
      <c r="AC549" s="72"/>
      <c r="AD549" s="72"/>
      <c r="AE549" s="72">
        <f t="shared" si="314"/>
        <v>0.55863117782394722</v>
      </c>
      <c r="AF549" s="72">
        <f t="shared" si="315"/>
        <v>0.50913607237370517</v>
      </c>
      <c r="AG549" s="72">
        <f t="shared" si="316"/>
        <v>0.13085928573384098</v>
      </c>
      <c r="AH549" s="72">
        <f t="shared" si="317"/>
        <v>0.47068137997088039</v>
      </c>
      <c r="AI549" s="72">
        <f t="shared" si="318"/>
        <v>0.20275569620253164</v>
      </c>
      <c r="AJ549" s="72">
        <f>(AV549-Driver!$K$179)/(Driver!$L$179-Driver!$K$179)</f>
        <v>0.14003706389493192</v>
      </c>
      <c r="AK549" s="72">
        <f>(AW549-Driver!$K$180)/(Driver!$L$180-Driver!$K$180)</f>
        <v>0.2262914184368604</v>
      </c>
      <c r="AL549" s="72">
        <f>(AX549-Driver!$K$181)/(Driver!$L$181-Driver!$K$181)</f>
        <v>0.20508442420793019</v>
      </c>
      <c r="AM549" s="72">
        <f>(AY549-Driver!$K$182)/(Driver!$L$182-Driver!$K$182)</f>
        <v>0.13426192926570285</v>
      </c>
      <c r="AN549" s="72">
        <f>(AZ549-Driver!$K$183)/(Driver!$L$183-Driver!$K$183)</f>
        <v>0.22949346405228757</v>
      </c>
      <c r="AO549" s="72"/>
      <c r="AP549" s="72"/>
      <c r="AQ549" s="72">
        <f>(BC549-Driver!$K$188)/(Driver!$L$188-Driver!$K$188)</f>
        <v>6.1368822176052794E-2</v>
      </c>
      <c r="AR549" s="72">
        <f>MIN((BD549-Driver!$K$189)/(Driver!$L$189-Driver!$K$189),100%)</f>
        <v>4.086392762629483E-2</v>
      </c>
      <c r="AS549" s="72">
        <f>(BE549-Driver!$K$190)/(Driver!$L$190-Driver!$K$190)</f>
        <v>0.37914071426615903</v>
      </c>
      <c r="AT549" s="72">
        <f>(BF549-Driver!$K$191)/(Driver!$L$191-Driver!$K$191)</f>
        <v>3.9318620029119608E-2</v>
      </c>
      <c r="AU549" s="72">
        <f>(BG549-Driver!$K$192)/(Driver!$L$192-Driver!$K$192)</f>
        <v>4.724430379746835E-2</v>
      </c>
      <c r="AV549" s="70">
        <f t="shared" si="319"/>
        <v>2.9473612806946146</v>
      </c>
      <c r="AW549" s="70">
        <f t="shared" si="320"/>
        <v>23.925996494077893</v>
      </c>
      <c r="AX549" s="70">
        <f t="shared" si="321"/>
        <v>2.8457598178713717</v>
      </c>
      <c r="AY549" s="70">
        <f>IFERROR(Driver!$K$19/Data!BH549/Data!BI549*Data!BK549*Data!BL549,"")</f>
        <v>0.16437666131448733</v>
      </c>
      <c r="AZ549" s="70">
        <f t="shared" si="322"/>
        <v>20.915860014892033</v>
      </c>
      <c r="BA549" s="70"/>
      <c r="BB549" s="70"/>
      <c r="BC549" s="70">
        <f t="shared" si="323"/>
        <v>31.832434691848899</v>
      </c>
      <c r="BD549" s="70">
        <f t="shared" si="324"/>
        <v>5.3372080724295889</v>
      </c>
      <c r="BE549" s="70">
        <f t="shared" si="325"/>
        <v>0.37925146857466502</v>
      </c>
      <c r="BF549" s="70">
        <f t="shared" si="326"/>
        <v>4.4407619033498866</v>
      </c>
      <c r="BG549" s="70">
        <f t="shared" si="327"/>
        <v>0.17889707278481012</v>
      </c>
      <c r="BH549" s="67">
        <f>MAX((CE549-Driver!$F$200)/(Driver!$G$200-Driver!$F$200)*$BI$1,1)</f>
        <v>2.8457598178713717</v>
      </c>
      <c r="BI549" s="67">
        <f>MAX($BI$1*(BY549-Driver!$F$201)/(Driver!$G$201-Driver!$F$201),1)</f>
        <v>6.7088607594936711</v>
      </c>
      <c r="BJ549" s="67">
        <f>(CB549-Driver!$F$206)/(Driver!$G$206-Driver!$F$206)*$BI$1</f>
        <v>3.4920634920634921</v>
      </c>
      <c r="BK549" s="67">
        <f>(CD549-Driver!$F$203)/(Driver!$G$203-Driver!$F$203)*$BI$1</f>
        <v>2.8440366972477067</v>
      </c>
      <c r="BL549" s="67">
        <f>MAX((CR549-Driver!$F$202)/(Driver!$G$202-Driver!$F$202)*$BI$1,1)</f>
        <v>5.5172413793103452</v>
      </c>
      <c r="BM549" s="67">
        <f>MAX((CH549-Driver!$F$204)/(Driver!$G$204-Driver!$F$204)*$BI$1,1)</f>
        <v>3.3760683760683765</v>
      </c>
      <c r="BN549" s="67">
        <f>(CI549-Driver!$F$205)/(Driver!$G$205-Driver!$F$205)*$BI$1</f>
        <v>3.1176470588235294</v>
      </c>
      <c r="BO549" s="67">
        <f>(CK549-Driver!$F$207)/(Driver!$G$207-Driver!$F$207)*$BI$1</f>
        <v>1.7786970010341261</v>
      </c>
      <c r="BP549" s="67">
        <f>(CM549-Driver!$F$208)/(Driver!$G$208-Driver!$F$208)*$BI$1</f>
        <v>2.0333333333333332</v>
      </c>
      <c r="BQ549" s="67">
        <f>(CL549-Driver!$F$209)/(Driver!$G$209-Driver!$F$209)*$BI$1</f>
        <v>1.71875</v>
      </c>
      <c r="BR549" s="28" t="s">
        <v>155</v>
      </c>
      <c r="BS549" s="8" t="s">
        <v>156</v>
      </c>
      <c r="BT549" s="9" t="s">
        <v>267</v>
      </c>
      <c r="BU549" s="10">
        <v>161</v>
      </c>
      <c r="BV549" s="9" t="s">
        <v>158</v>
      </c>
      <c r="BW549" s="10">
        <v>161</v>
      </c>
      <c r="BX549" s="10">
        <v>160.1</v>
      </c>
      <c r="BY549" s="10">
        <v>114</v>
      </c>
      <c r="BZ549" s="10">
        <v>135</v>
      </c>
      <c r="CA549" s="10">
        <v>121</v>
      </c>
      <c r="CB549" s="10">
        <v>86</v>
      </c>
      <c r="CC549" s="10">
        <v>104</v>
      </c>
      <c r="CD549" s="10">
        <v>15.6</v>
      </c>
      <c r="CE549" s="10">
        <v>1400</v>
      </c>
      <c r="CF549" s="10">
        <v>1.1100000000000001</v>
      </c>
      <c r="CG549" s="10">
        <v>1548</v>
      </c>
      <c r="CH549" s="10">
        <v>180</v>
      </c>
      <c r="CI549" s="10">
        <v>86</v>
      </c>
      <c r="CJ549" s="10">
        <v>48</v>
      </c>
      <c r="CK549" s="10">
        <v>282</v>
      </c>
      <c r="CL549" s="10">
        <v>11</v>
      </c>
      <c r="CM549" s="10">
        <v>183</v>
      </c>
      <c r="CN549" s="10">
        <v>0.22500000000000001</v>
      </c>
      <c r="CO549" s="10">
        <v>153</v>
      </c>
      <c r="CP549" s="10">
        <v>103</v>
      </c>
      <c r="CQ549" s="10">
        <v>128</v>
      </c>
      <c r="CR549" s="10">
        <v>5</v>
      </c>
      <c r="CS549" s="10">
        <v>8.8000000000000007</v>
      </c>
      <c r="CT549" s="9" t="s">
        <v>188</v>
      </c>
      <c r="CU549" s="9" t="s">
        <v>185</v>
      </c>
      <c r="CV549" s="10"/>
      <c r="CW549" s="10"/>
      <c r="CX549" t="str">
        <f>INDEX('Data_Price '!AG$2:AG$1266,MATCH(Data!$DN549,'Data_Price '!$AT$2:$AT$1266,0))</f>
        <v>Atomic MAVERICK 86 C Skis 2022</v>
      </c>
      <c r="CY549" t="str">
        <f>INDEX('Data_Price '!AH$2:AH$1266,MATCH(Data!$DN549,'Data_Price '!$AT$2:$AT$1266,0))</f>
        <v>Level Nine Sports</v>
      </c>
      <c r="CZ549">
        <f>INDEX('Data_Price '!AI$2:AI$1266,MATCH(Data!$DN549,'Data_Price '!$AT$2:$AT$1266,0))</f>
        <v>399.99</v>
      </c>
      <c r="DA549" t="str">
        <f>INDEX('Data_Price '!AJ$2:AJ$1266,MATCH(Data!$DN549,'Data_Price '!$AT$2:$AT$1266,0))</f>
        <v>https://tinyurl.com/yb74u46g</v>
      </c>
      <c r="DB549" t="str">
        <f>INDEX('Data_Price '!AK$2:AK$1266,MATCH(Data!$DN549,'Data_Price '!$AT$2:$AT$1266,0))</f>
        <v>Atomic Maverick 86 C R Skis with M10 Bindings Â· 2022 Â· 161 cm</v>
      </c>
      <c r="DC549" t="str">
        <f>INDEX('Data_Price '!AL$2:AL$1266,MATCH(Data!$DN549,'Data_Price '!$AT$2:$AT$1266,0))</f>
        <v>evo.com</v>
      </c>
      <c r="DD549">
        <f>INDEX('Data_Price '!AM$2:AM$1266,MATCH(Data!$DN549,'Data_Price '!$AT$2:$AT$1266,0))</f>
        <v>479.99</v>
      </c>
      <c r="DE549" t="str">
        <f>INDEX('Data_Price '!AN$2:AN$1266,MATCH(Data!$DN549,'Data_Price '!$AT$2:$AT$1266,0))</f>
        <v>https://tinyurl.com/y8tromq6</v>
      </c>
      <c r="DF549" t="str">
        <f>INDEX('Data_Price '!AO$2:AO$1266,MATCH(Data!$DN549,'Data_Price '!$AT$2:$AT$1266,0))</f>
        <v>Atomic Maverick 86 C R Skis with M10 Bindings Â· 2022 Â· 161 cm</v>
      </c>
      <c r="DG549" t="str">
        <f>INDEX('Data_Price '!AP$2:AP$1266,MATCH(Data!$DN549,'Data_Price '!$AT$2:$AT$1266,0))</f>
        <v>Spoke-N-Sport</v>
      </c>
      <c r="DH549">
        <f>INDEX('Data_Price '!AQ$2:AQ$1266,MATCH(Data!$DN549,'Data_Price '!$AT$2:$AT$1266,0))</f>
        <v>507.49</v>
      </c>
      <c r="DI549" t="str">
        <f>INDEX('Data_Price '!AR$2:AR$1266,MATCH(Data!$DN549,'Data_Price '!$AT$2:$AT$1266,0))</f>
        <v>https://tinyurl.com/ybsj8lvo</v>
      </c>
      <c r="DJ549" s="89" t="str">
        <f t="shared" si="328"/>
        <v>https://tinyurl.com/yb74u46g</v>
      </c>
      <c r="DK549" s="89" t="str">
        <f t="shared" si="329"/>
        <v>https://tinyurl.com/y8tromq6</v>
      </c>
      <c r="DL549" s="89" t="str">
        <f t="shared" si="330"/>
        <v>https://tinyurl.com/ybsj8lvo</v>
      </c>
      <c r="DM549" s="219" t="str">
        <f t="shared" si="331"/>
        <v>Maverick 86 C</v>
      </c>
      <c r="DN549" s="89" t="str">
        <f t="shared" si="332"/>
        <v xml:space="preserve"> AtomicMaverick 86 C161 Unisex</v>
      </c>
      <c r="DO549" s="221" t="s">
        <v>268</v>
      </c>
    </row>
    <row r="550" spans="1:119" ht="15.6" customHeight="1">
      <c r="B550" s="219" t="b">
        <f t="array" ref="B550">IF(OR(ISERROR(K550:P550)),FALSE,TRUE)</f>
        <v>1</v>
      </c>
      <c r="C550" s="43" t="b">
        <f>OR(BR550=Driver!$G$50,Data!BR1021=Driver!$H$50)</f>
        <v>1</v>
      </c>
      <c r="D550" s="43" t="b">
        <f>OR(BV550=Driver!$G$51,BV550=Driver!$H$51)</f>
        <v>0</v>
      </c>
      <c r="E550" s="43" t="b">
        <f>AND(BX550&gt;Driver!$F$54,BX550&lt;Driver!$G$54)</f>
        <v>0</v>
      </c>
      <c r="F550" s="43" t="b">
        <f>CL550&gt;Driver!$F$56</f>
        <v>1</v>
      </c>
      <c r="G550" s="43" t="b">
        <f>AND(CB550&gt;Driver!$F$55,CB550&lt;Driver!$G$55)</f>
        <v>0</v>
      </c>
      <c r="H550" s="43" t="b">
        <f t="shared" si="296"/>
        <v>0</v>
      </c>
      <c r="I550" s="43">
        <f t="shared" si="297"/>
        <v>0</v>
      </c>
      <c r="J550" s="43" t="b">
        <f t="array" ref="J550">NOT(OR(($H$9:$H$1273=TRUE)*($I$9:$I$1273&gt;0)*($BT$9:$BT$1273=BT550)*($K$9:$K$1273&gt;K550)))</f>
        <v>1</v>
      </c>
      <c r="K550" s="72">
        <f t="shared" si="298"/>
        <v>0.82543891014827486</v>
      </c>
      <c r="L550" s="72">
        <f t="shared" si="299"/>
        <v>0.90853943367918821</v>
      </c>
      <c r="M550" s="72">
        <f t="shared" si="300"/>
        <v>0.7423383866173614</v>
      </c>
      <c r="N550" s="72">
        <f t="shared" si="301"/>
        <v>0.6303666987665173</v>
      </c>
      <c r="O550" s="72">
        <f t="shared" si="302"/>
        <v>0.60713493415580788</v>
      </c>
      <c r="P550" s="72">
        <f t="shared" si="303"/>
        <v>0.98951352692975925</v>
      </c>
      <c r="Q550" s="72"/>
      <c r="R550" s="72"/>
      <c r="S550" s="72">
        <f t="shared" si="304"/>
        <v>0.43029154788352741</v>
      </c>
      <c r="T550" s="72">
        <f t="shared" si="305"/>
        <v>0.71883133547806499</v>
      </c>
      <c r="U550" s="72">
        <f t="shared" si="306"/>
        <v>0.81285198080731957</v>
      </c>
      <c r="V550" s="72">
        <f t="shared" si="307"/>
        <v>0.52222140123385552</v>
      </c>
      <c r="W550" s="72">
        <f t="shared" si="308"/>
        <v>0.77370916244718935</v>
      </c>
      <c r="X550" s="72">
        <f t="shared" si="309"/>
        <v>9.1460566320811787E-2</v>
      </c>
      <c r="Y550" s="72">
        <f t="shared" si="310"/>
        <v>0.25766161338263854</v>
      </c>
      <c r="Z550" s="72">
        <f t="shared" si="311"/>
        <v>0.36963330123348276</v>
      </c>
      <c r="AA550" s="72">
        <f t="shared" si="312"/>
        <v>0.39286506584419212</v>
      </c>
      <c r="AB550" s="72">
        <f t="shared" si="313"/>
        <v>1.0486473070240698E-2</v>
      </c>
      <c r="AC550" s="72"/>
      <c r="AD550" s="72"/>
      <c r="AE550" s="72">
        <f t="shared" si="314"/>
        <v>0.56970845211647259</v>
      </c>
      <c r="AF550" s="72">
        <f t="shared" si="315"/>
        <v>0.28116866452193501</v>
      </c>
      <c r="AG550" s="72">
        <f t="shared" si="316"/>
        <v>0.18714801919268043</v>
      </c>
      <c r="AH550" s="72">
        <f t="shared" si="317"/>
        <v>0.47777859876614442</v>
      </c>
      <c r="AI550" s="72">
        <f t="shared" si="318"/>
        <v>0.22629083755281065</v>
      </c>
      <c r="AJ550" s="72">
        <f>(AV550-Driver!$K$179)/(Driver!$L$179-Driver!$K$179)</f>
        <v>0.16275884296188864</v>
      </c>
      <c r="AK550" s="72">
        <f>(AW550-Driver!$K$180)/(Driver!$L$180-Driver!$K$180)</f>
        <v>0.28280485197300598</v>
      </c>
      <c r="AL550" s="72">
        <f>(AX550-Driver!$K$181)/(Driver!$L$181-Driver!$K$181)</f>
        <v>0.47132106494656295</v>
      </c>
      <c r="AM550" s="72">
        <f>(AY550-Driver!$K$182)/(Driver!$L$182-Driver!$K$182)</f>
        <v>5.4519955252854267E-2</v>
      </c>
      <c r="AN550" s="72">
        <f>(AZ550-Driver!$K$183)/(Driver!$L$183-Driver!$K$183)</f>
        <v>0.26470588235294112</v>
      </c>
      <c r="AO550" s="72"/>
      <c r="AP550" s="72"/>
      <c r="AQ550" s="72">
        <f>(BC550-Driver!$K$188)/(Driver!$L$188-Driver!$K$188)</f>
        <v>5.0291547883527431E-2</v>
      </c>
      <c r="AR550" s="72">
        <f>MIN((BD550-Driver!$K$189)/(Driver!$L$189-Driver!$K$189),100%)</f>
        <v>0.26883133547806504</v>
      </c>
      <c r="AS550" s="72">
        <f>(BE550-Driver!$K$190)/(Driver!$L$190-Driver!$K$190)</f>
        <v>0.32285198080731958</v>
      </c>
      <c r="AT550" s="72">
        <f>(BF550-Driver!$K$191)/(Driver!$L$191-Driver!$K$191)</f>
        <v>3.2221401233855571E-2</v>
      </c>
      <c r="AU550" s="72">
        <f>(BG550-Driver!$K$192)/(Driver!$L$192-Driver!$K$192)</f>
        <v>2.3709162447189337E-2</v>
      </c>
      <c r="AV550" s="70">
        <f t="shared" si="319"/>
        <v>3.4255867589200926</v>
      </c>
      <c r="AW550" s="70">
        <f t="shared" si="320"/>
        <v>29.433731352137926</v>
      </c>
      <c r="AX550" s="70">
        <f t="shared" si="321"/>
        <v>5.2418895845190665</v>
      </c>
      <c r="AY550" s="70">
        <f>IFERROR(Driver!$K$19/Data!BH550/Data!BI550*Data!BK550*Data!BL550,"")</f>
        <v>6.6748692414095381E-2</v>
      </c>
      <c r="AZ550" s="70">
        <f t="shared" si="322"/>
        <v>24.125093075204763</v>
      </c>
      <c r="BA550" s="70"/>
      <c r="BB550" s="70"/>
      <c r="BC550" s="70">
        <f t="shared" si="323"/>
        <v>26.086575508354457</v>
      </c>
      <c r="BD550" s="70">
        <f t="shared" si="324"/>
        <v>25.511919732966593</v>
      </c>
      <c r="BE550" s="70">
        <f t="shared" si="325"/>
        <v>0.32297277639231797</v>
      </c>
      <c r="BF550" s="70">
        <f t="shared" si="326"/>
        <v>3.6391809012087739</v>
      </c>
      <c r="BG550" s="70">
        <f t="shared" si="327"/>
        <v>8.9778013835585493E-2</v>
      </c>
      <c r="BH550" s="67">
        <f>MAX((CE550-Driver!$F$200)/(Driver!$G$200-Driver!$F$200)*$BI$1,1)</f>
        <v>5.2418895845190665</v>
      </c>
      <c r="BI550" s="67">
        <f>MAX($BI$1*(BY550-Driver!$F$201)/(Driver!$G$201-Driver!$F$201),1)</f>
        <v>7.5949367088607591</v>
      </c>
      <c r="BJ550" s="67">
        <f>(CB550-Driver!$F$206)/(Driver!$G$206-Driver!$F$206)*$BI$1</f>
        <v>3.1746031746031744</v>
      </c>
      <c r="BK550" s="67">
        <f>(CD550-Driver!$F$203)/(Driver!$G$203-Driver!$F$203)*$BI$1</f>
        <v>1.9266055045871557</v>
      </c>
      <c r="BL550" s="67">
        <f>MAX((CR550-Driver!$F$202)/(Driver!$G$202-Driver!$F$202)*$BI$1,1)</f>
        <v>6.8965517241379315</v>
      </c>
      <c r="BM550" s="67">
        <f>MAX((CH550-Driver!$F$204)/(Driver!$G$204-Driver!$F$204)*$BI$1,1)</f>
        <v>4.3162393162393169</v>
      </c>
      <c r="BN550" s="67">
        <f>(CI550-Driver!$F$205)/(Driver!$G$205-Driver!$F$205)*$BI$1</f>
        <v>3.1764705882352939</v>
      </c>
      <c r="BO550" s="67">
        <f>(CK550-Driver!$F$207)/(Driver!$G$207-Driver!$F$207)*$BI$1</f>
        <v>1.5408479834539814</v>
      </c>
      <c r="BP550" s="67">
        <f>(CM550-Driver!$F$208)/(Driver!$G$208-Driver!$F$208)*$BI$1</f>
        <v>1.4333333333333333</v>
      </c>
      <c r="BQ550" s="67">
        <f>(CL550-Driver!$F$209)/(Driver!$G$209-Driver!$F$209)*$BI$1</f>
        <v>2.03125</v>
      </c>
      <c r="BR550" s="28" t="s">
        <v>155</v>
      </c>
      <c r="BS550" s="8" t="s">
        <v>172</v>
      </c>
      <c r="BT550" s="9" t="s">
        <v>661</v>
      </c>
      <c r="BU550" s="10">
        <v>166</v>
      </c>
      <c r="BV550" s="9" t="s">
        <v>163</v>
      </c>
      <c r="BW550" s="10">
        <v>166</v>
      </c>
      <c r="BX550" s="10">
        <v>166.5</v>
      </c>
      <c r="BY550" s="10">
        <v>128</v>
      </c>
      <c r="BZ550" s="10">
        <v>153</v>
      </c>
      <c r="CA550" s="10">
        <v>131</v>
      </c>
      <c r="CB550" s="10">
        <v>84</v>
      </c>
      <c r="CC550" s="10">
        <v>120</v>
      </c>
      <c r="CD550" s="10">
        <v>13.6</v>
      </c>
      <c r="CE550" s="10">
        <v>1821</v>
      </c>
      <c r="CF550" s="10">
        <v>0.91</v>
      </c>
      <c r="CG550" s="10">
        <v>1657</v>
      </c>
      <c r="CH550" s="10">
        <v>202</v>
      </c>
      <c r="CI550" s="10">
        <v>87</v>
      </c>
      <c r="CJ550" s="10">
        <v>46</v>
      </c>
      <c r="CK550" s="10">
        <v>259</v>
      </c>
      <c r="CL550" s="10">
        <v>13</v>
      </c>
      <c r="CM550" s="10">
        <v>129</v>
      </c>
      <c r="CN550" s="10">
        <v>0.27300000000000002</v>
      </c>
      <c r="CO550" s="10">
        <v>73</v>
      </c>
      <c r="CP550" s="10">
        <v>64</v>
      </c>
      <c r="CQ550" s="10">
        <v>186</v>
      </c>
      <c r="CR550" s="10">
        <v>9</v>
      </c>
      <c r="CS550" s="10">
        <v>6.8</v>
      </c>
      <c r="CT550" s="9" t="s">
        <v>188</v>
      </c>
      <c r="CU550" s="10"/>
      <c r="CV550" s="10"/>
      <c r="CW550" s="10"/>
      <c r="CX550" t="str">
        <f>INDEX('Data_Price '!AG$2:AG$1266,MATCH(Data!$DN550,'Data_Price '!$AT$2:$AT$1266,0))</f>
        <v>Rossignol Experience W 86 Basalt Ski Women's - 2022 166 cm</v>
      </c>
      <c r="CY550" t="str">
        <f>INDEX('Data_Price '!AH$2:AH$1266,MATCH(Data!$DN550,'Data_Price '!$AT$2:$AT$1266,0))</f>
        <v>eBay - klnbnc</v>
      </c>
      <c r="CZ550">
        <f>INDEX('Data_Price '!AI$2:AI$1266,MATCH(Data!$DN550,'Data_Price '!$AT$2:$AT$1266,0))</f>
        <v>375</v>
      </c>
      <c r="DA550" t="str">
        <f>INDEX('Data_Price '!AJ$2:AJ$1266,MATCH(Data!$DN550,'Data_Price '!$AT$2:$AT$1266,0))</f>
        <v>https://tinyurl.com/y7tu2nkv</v>
      </c>
      <c r="DB550" t="str">
        <f>INDEX('Data_Price '!AK$2:AK$1266,MATCH(Data!$DN550,'Data_Price '!$AT$2:$AT$1266,0))</f>
        <v>Rossignol Experience W 86 Basalt Ski Women's - 2022 166 cm</v>
      </c>
      <c r="DC550" t="str">
        <f>INDEX('Data_Price '!AL$2:AL$1266,MATCH(Data!$DN550,'Data_Price '!$AT$2:$AT$1266,0))</f>
        <v>UtahSkis</v>
      </c>
      <c r="DD550">
        <f>INDEX('Data_Price '!AM$2:AM$1266,MATCH(Data!$DN550,'Data_Price '!$AT$2:$AT$1266,0))</f>
        <v>599.95000000000005</v>
      </c>
      <c r="DE550" t="str">
        <f>INDEX('Data_Price '!AN$2:AN$1266,MATCH(Data!$DN550,'Data_Price '!$AT$2:$AT$1266,0))</f>
        <v>https://tinyurl.com/ybs7pbhb</v>
      </c>
      <c r="DF550" t="str">
        <f>INDEX('Data_Price '!AO$2:AO$1266,MATCH(Data!$DN550,'Data_Price '!$AT$2:$AT$1266,0))</f>
        <v>Rossignol Experience W 86 Basalt Ski Women's - 2022 166 cm</v>
      </c>
      <c r="DG550" t="str">
        <f>INDEX('Data_Price '!AP$2:AP$1266,MATCH(Data!$DN550,'Data_Price '!$AT$2:$AT$1266,0))</f>
        <v>Buyr.com</v>
      </c>
      <c r="DH550">
        <f>INDEX('Data_Price '!AQ$2:AQ$1266,MATCH(Data!$DN550,'Data_Price '!$AT$2:$AT$1266,0))</f>
        <v>599.95000000000005</v>
      </c>
      <c r="DI550" t="str">
        <f>INDEX('Data_Price '!AR$2:AR$1266,MATCH(Data!$DN550,'Data_Price '!$AT$2:$AT$1266,0))</f>
        <v>https://tinyurl.com/ya5glooa</v>
      </c>
      <c r="DJ550" s="89" t="str">
        <f t="shared" si="328"/>
        <v>https://tinyurl.com/y7tu2nkv</v>
      </c>
      <c r="DK550" s="89" t="str">
        <f t="shared" si="329"/>
        <v>https://tinyurl.com/ybs7pbhb</v>
      </c>
      <c r="DL550" s="89" t="str">
        <f t="shared" si="330"/>
        <v>https://tinyurl.com/ya5glooa</v>
      </c>
      <c r="DM550" s="219" t="str">
        <f t="shared" si="331"/>
        <v>Experience 86 Basalt W</v>
      </c>
      <c r="DN550" s="89" t="str">
        <f t="shared" si="332"/>
        <v xml:space="preserve"> RossignolExperience 86 Basalt W166 Women's</v>
      </c>
      <c r="DO550" s="221" t="s">
        <v>662</v>
      </c>
    </row>
    <row r="551" spans="1:119" ht="15.6" customHeight="1">
      <c r="B551" s="219" t="b">
        <f t="array" ref="B551">IF(OR(ISERROR(K551:P551)),FALSE,TRUE)</f>
        <v>1</v>
      </c>
      <c r="C551" s="43" t="b">
        <f>OR(BR551=Driver!$G$50,Data!BR938=Driver!$H$50)</f>
        <v>1</v>
      </c>
      <c r="D551" s="43" t="b">
        <f>OR(BV551=Driver!$G$51,BV551=Driver!$H$51)</f>
        <v>1</v>
      </c>
      <c r="E551" s="43" t="b">
        <f>AND(BX551&gt;Driver!$F$54,BX551&lt;Driver!$G$54)</f>
        <v>0</v>
      </c>
      <c r="F551" s="43" t="b">
        <f>CL551&gt;Driver!$F$56</f>
        <v>1</v>
      </c>
      <c r="G551" s="43" t="b">
        <f>AND(CB551&gt;Driver!$F$55,CB551&lt;Driver!$G$55)</f>
        <v>0</v>
      </c>
      <c r="H551" s="43" t="b">
        <f t="shared" si="296"/>
        <v>0</v>
      </c>
      <c r="I551" s="43">
        <f t="shared" si="297"/>
        <v>0</v>
      </c>
      <c r="J551" s="43" t="b">
        <f t="array" ref="J551">NOT(OR(($H$9:$H$1273=TRUE)*($I$9:$I$1273&gt;0)*($BT$9:$BT$1273=BT551)*($K$9:$K$1273&gt;K551)))</f>
        <v>1</v>
      </c>
      <c r="K551" s="72">
        <f t="shared" si="298"/>
        <v>0.82285897367831873</v>
      </c>
      <c r="L551" s="72">
        <f t="shared" si="299"/>
        <v>0.91853057057387844</v>
      </c>
      <c r="M551" s="72">
        <f t="shared" si="300"/>
        <v>0.72718737678275913</v>
      </c>
      <c r="N551" s="72">
        <f t="shared" si="301"/>
        <v>0.5721867202678137</v>
      </c>
      <c r="O551" s="72">
        <f t="shared" si="302"/>
        <v>0.62045756446120337</v>
      </c>
      <c r="P551" s="72">
        <f t="shared" si="303"/>
        <v>0.98891784561926033</v>
      </c>
      <c r="Q551" s="72"/>
      <c r="R551" s="72"/>
      <c r="S551" s="72">
        <f t="shared" si="304"/>
        <v>0.42695343799417507</v>
      </c>
      <c r="T551" s="72">
        <f t="shared" si="305"/>
        <v>0.54302615094996287</v>
      </c>
      <c r="U551" s="72">
        <f t="shared" si="306"/>
        <v>0.63006060034777156</v>
      </c>
      <c r="V551" s="72">
        <f t="shared" si="307"/>
        <v>0.51400106872338525</v>
      </c>
      <c r="W551" s="72">
        <f t="shared" si="308"/>
        <v>0.86748095652045798</v>
      </c>
      <c r="X551" s="72">
        <f t="shared" si="309"/>
        <v>8.146942942612162E-2</v>
      </c>
      <c r="Y551" s="72">
        <f t="shared" si="310"/>
        <v>0.27281262321724087</v>
      </c>
      <c r="Z551" s="72">
        <f t="shared" si="311"/>
        <v>0.4278132797321863</v>
      </c>
      <c r="AA551" s="72">
        <f t="shared" si="312"/>
        <v>0.37954243553879669</v>
      </c>
      <c r="AB551" s="72">
        <f t="shared" si="313"/>
        <v>1.1082154380739673E-2</v>
      </c>
      <c r="AC551" s="72"/>
      <c r="AD551" s="72"/>
      <c r="AE551" s="72">
        <f t="shared" si="314"/>
        <v>0.57304656200582493</v>
      </c>
      <c r="AF551" s="72">
        <f t="shared" si="315"/>
        <v>0.45697384905003713</v>
      </c>
      <c r="AG551" s="72">
        <f t="shared" si="316"/>
        <v>0.36993939965222838</v>
      </c>
      <c r="AH551" s="72">
        <f t="shared" si="317"/>
        <v>0.48599893127661475</v>
      </c>
      <c r="AI551" s="72">
        <f t="shared" si="318"/>
        <v>0.13251904347954208</v>
      </c>
      <c r="AJ551" s="72">
        <f>(AV551-Driver!$K$179)/(Driver!$L$179-Driver!$K$179)</f>
        <v>0.17274997985657881</v>
      </c>
      <c r="AK551" s="72">
        <f>(AW551-Driver!$K$180)/(Driver!$L$180-Driver!$K$180)</f>
        <v>0.26817490831896112</v>
      </c>
      <c r="AL551" s="72">
        <f>(AX551-Driver!$K$181)/(Driver!$L$181-Driver!$K$181)</f>
        <v>0.52950104344526649</v>
      </c>
      <c r="AM551" s="72">
        <f>(AY551-Driver!$K$182)/(Driver!$L$182-Driver!$K$182)</f>
        <v>6.7842585558249666E-2</v>
      </c>
      <c r="AN551" s="72">
        <f>(AZ551-Driver!$K$183)/(Driver!$L$183-Driver!$K$183)</f>
        <v>0.24313725490196075</v>
      </c>
      <c r="AO551" s="72"/>
      <c r="AP551" s="72"/>
      <c r="AQ551" s="72">
        <f>(BC551-Driver!$K$188)/(Driver!$L$188-Driver!$K$188)</f>
        <v>4.6953437994175069E-2</v>
      </c>
      <c r="AR551" s="72">
        <f>MIN((BD551-Driver!$K$189)/(Driver!$L$189-Driver!$K$189),100%)</f>
        <v>9.3026150949962916E-2</v>
      </c>
      <c r="AS551" s="72">
        <f>(BE551-Driver!$K$190)/(Driver!$L$190-Driver!$K$190)</f>
        <v>0.14006060034777162</v>
      </c>
      <c r="AT551" s="72">
        <f>(BF551-Driver!$K$191)/(Driver!$L$191-Driver!$K$191)</f>
        <v>2.4001068723385255E-2</v>
      </c>
      <c r="AU551" s="72">
        <f>(BG551-Driver!$K$192)/(Driver!$L$192-Driver!$K$192)</f>
        <v>0.11748095652045794</v>
      </c>
      <c r="AV551" s="70">
        <f t="shared" si="319"/>
        <v>3.6358703025369685</v>
      </c>
      <c r="AW551" s="70">
        <f t="shared" si="320"/>
        <v>28.00791370856297</v>
      </c>
      <c r="AX551" s="70">
        <f t="shared" si="321"/>
        <v>5.7655093910073987</v>
      </c>
      <c r="AY551" s="70">
        <f>IFERROR(Driver!$K$19/Data!BH551/Data!BI551*Data!BK551*Data!BL551,"")</f>
        <v>8.3059566997122261E-2</v>
      </c>
      <c r="AZ551" s="70">
        <f t="shared" si="322"/>
        <v>22.15934475055845</v>
      </c>
      <c r="BA551" s="70"/>
      <c r="BB551" s="70"/>
      <c r="BC551" s="70">
        <f t="shared" si="323"/>
        <v>24.355074702583924</v>
      </c>
      <c r="BD551" s="70">
        <f t="shared" si="324"/>
        <v>9.9534724105836183</v>
      </c>
      <c r="BE551" s="70">
        <f t="shared" si="325"/>
        <v>0.14021400385763935</v>
      </c>
      <c r="BF551" s="70">
        <f t="shared" si="326"/>
        <v>2.7107520952555229</v>
      </c>
      <c r="BG551" s="70">
        <f t="shared" si="327"/>
        <v>0.4448578461345789</v>
      </c>
      <c r="BH551" s="67">
        <f>MAX((CE551-Driver!$F$200)/(Driver!$G$200-Driver!$F$200)*$BI$1,1)</f>
        <v>5.7655093910073987</v>
      </c>
      <c r="BI551" s="67">
        <f>MAX($BI$1*(BY551-Driver!$F$201)/(Driver!$G$201-Driver!$F$201),1)</f>
        <v>7.8481012658227849</v>
      </c>
      <c r="BJ551" s="67">
        <f>(CB551-Driver!$F$206)/(Driver!$G$206-Driver!$F$206)*$BI$1</f>
        <v>5.0793650793650791</v>
      </c>
      <c r="BK551" s="67">
        <f>(CD551-Driver!$F$203)/(Driver!$G$203-Driver!$F$203)*$BI$1</f>
        <v>2.4770642201834865</v>
      </c>
      <c r="BL551" s="67">
        <f>MAX((CR551-Driver!$F$202)/(Driver!$G$202-Driver!$F$202)*$BI$1,1)</f>
        <v>7.5862068965517242</v>
      </c>
      <c r="BM551" s="67">
        <f>MAX((CH551-Driver!$F$204)/(Driver!$G$204-Driver!$F$204)*$BI$1,1)</f>
        <v>2.8632478632478628</v>
      </c>
      <c r="BN551" s="67">
        <f>(CI551-Driver!$F$205)/(Driver!$G$205-Driver!$F$205)*$BI$1</f>
        <v>2.8235294117647056</v>
      </c>
      <c r="BO551" s="67">
        <f>(CK551-Driver!$F$207)/(Driver!$G$207-Driver!$F$207)*$BI$1</f>
        <v>0.67218200620475699</v>
      </c>
      <c r="BP551" s="67">
        <f>(CM551-Driver!$F$208)/(Driver!$G$208-Driver!$F$208)*$BI$1</f>
        <v>1.9666666666666666</v>
      </c>
      <c r="BQ551" s="67">
        <f>(CL551-Driver!$F$209)/(Driver!$G$209-Driver!$F$209)*$BI$1</f>
        <v>7.34375</v>
      </c>
      <c r="BR551" s="28" t="s">
        <v>155</v>
      </c>
      <c r="BS551" s="8" t="s">
        <v>332</v>
      </c>
      <c r="BT551" s="9" t="s">
        <v>465</v>
      </c>
      <c r="BU551" s="10">
        <v>169</v>
      </c>
      <c r="BV551" s="9" t="s">
        <v>158</v>
      </c>
      <c r="BW551" s="10">
        <v>169</v>
      </c>
      <c r="BX551" s="10">
        <v>167.4</v>
      </c>
      <c r="BY551" s="10">
        <v>132</v>
      </c>
      <c r="BZ551" s="10">
        <v>143</v>
      </c>
      <c r="CA551" s="10">
        <v>134</v>
      </c>
      <c r="CB551" s="10">
        <v>96</v>
      </c>
      <c r="CC551" s="10">
        <v>124</v>
      </c>
      <c r="CD551" s="10">
        <v>14.8</v>
      </c>
      <c r="CE551" s="10">
        <v>1913</v>
      </c>
      <c r="CF551" s="10">
        <v>0.95</v>
      </c>
      <c r="CG551" s="10">
        <v>1821</v>
      </c>
      <c r="CH551" s="10">
        <v>168</v>
      </c>
      <c r="CI551" s="10">
        <v>81</v>
      </c>
      <c r="CJ551" s="10">
        <v>45</v>
      </c>
      <c r="CK551" s="10">
        <v>175</v>
      </c>
      <c r="CL551" s="10">
        <v>47</v>
      </c>
      <c r="CM551" s="10">
        <v>177</v>
      </c>
      <c r="CN551" s="10">
        <v>1.0469999999999999</v>
      </c>
      <c r="CO551" s="10">
        <v>105</v>
      </c>
      <c r="CP551" s="10">
        <v>135</v>
      </c>
      <c r="CQ551" s="10">
        <v>70</v>
      </c>
      <c r="CR551" s="10">
        <v>11</v>
      </c>
      <c r="CS551" s="10">
        <v>6</v>
      </c>
      <c r="CT551" s="9" t="s">
        <v>184</v>
      </c>
      <c r="CU551" s="10"/>
      <c r="CV551" s="10"/>
      <c r="CW551" s="10"/>
      <c r="CX551" t="str">
        <f>INDEX('Data_Price '!AG$2:AG$1266,MATCH(Data!$DN551,'Data_Price '!$AT$2:$AT$1266,0))</f>
        <v>2020 Nordica Soul Rider 97 169cm W/ Salomon Warden 11 Binding</v>
      </c>
      <c r="CY551" t="str">
        <f>INDEX('Data_Price '!AH$2:AH$1266,MATCH(Data!$DN551,'Data_Price '!$AT$2:$AT$1266,0))</f>
        <v>eBay - riverpirate999</v>
      </c>
      <c r="CZ551">
        <f>INDEX('Data_Price '!AI$2:AI$1266,MATCH(Data!$DN551,'Data_Price '!$AT$2:$AT$1266,0))</f>
        <v>398</v>
      </c>
      <c r="DA551" t="str">
        <f>INDEX('Data_Price '!AJ$2:AJ$1266,MATCH(Data!$DN551,'Data_Price '!$AT$2:$AT$1266,0))</f>
        <v>https://tinyurl.com/ycs6agzk</v>
      </c>
      <c r="DB551" t="str">
        <f>INDEX('Data_Price '!AK$2:AK$1266,MATCH(Data!$DN551,'Data_Price '!$AT$2:$AT$1266,0))</f>
        <v>Nordica Soul Rider 97 Skis Â· 2022 Â· 169 cm</v>
      </c>
      <c r="DC551" t="str">
        <f>INDEX('Data_Price '!AL$2:AL$1266,MATCH(Data!$DN551,'Data_Price '!$AT$2:$AT$1266,0))</f>
        <v>Ski Pro  - Snow Ski &amp; Snowboard</v>
      </c>
      <c r="DD551">
        <f>INDEX('Data_Price '!AM$2:AM$1266,MATCH(Data!$DN551,'Data_Price '!$AT$2:$AT$1266,0))</f>
        <v>479.95</v>
      </c>
      <c r="DE551" t="str">
        <f>INDEX('Data_Price '!AN$2:AN$1266,MATCH(Data!$DN551,'Data_Price '!$AT$2:$AT$1266,0))</f>
        <v>https://tinyurl.com/y7txxlnu</v>
      </c>
      <c r="DF551" t="str">
        <f>INDEX('Data_Price '!AO$2:AO$1266,MATCH(Data!$DN551,'Data_Price '!$AT$2:$AT$1266,0))</f>
        <v>Nordica Soul Rider 97 Skis Â· 2022 Â· 169 cm</v>
      </c>
      <c r="DG551" t="str">
        <f>INDEX('Data_Price '!AP$2:AP$1266,MATCH(Data!$DN551,'Data_Price '!$AT$2:$AT$1266,0))</f>
        <v>AlpineShopVT.com</v>
      </c>
      <c r="DH551">
        <f>INDEX('Data_Price '!AQ$2:AQ$1266,MATCH(Data!$DN551,'Data_Price '!$AT$2:$AT$1266,0))</f>
        <v>479.99</v>
      </c>
      <c r="DI551" t="str">
        <f>INDEX('Data_Price '!AR$2:AR$1266,MATCH(Data!$DN551,'Data_Price '!$AT$2:$AT$1266,0))</f>
        <v>https://tinyurl.com/ya8t26j4</v>
      </c>
      <c r="DJ551" s="89" t="str">
        <f t="shared" si="328"/>
        <v>https://tinyurl.com/ycs6agzk</v>
      </c>
      <c r="DK551" s="89" t="str">
        <f t="shared" si="329"/>
        <v>https://tinyurl.com/y7txxlnu</v>
      </c>
      <c r="DL551" s="89" t="str">
        <f t="shared" si="330"/>
        <v>https://tinyurl.com/ya8t26j4</v>
      </c>
      <c r="DM551" s="219" t="str">
        <f t="shared" si="331"/>
        <v>Soul Rider 97</v>
      </c>
      <c r="DN551" s="89" t="str">
        <f t="shared" si="332"/>
        <v xml:space="preserve"> NordicaSoul Rider 97169 Unisex</v>
      </c>
      <c r="DO551" s="221"/>
    </row>
    <row r="552" spans="1:119" ht="15.6" customHeight="1">
      <c r="B552" s="219" t="b">
        <f t="array" ref="B552">IF(OR(ISERROR(K552:P552)),FALSE,TRUE)</f>
        <v>1</v>
      </c>
      <c r="C552" s="43" t="b">
        <f>OR(BR552=Driver!$G$50,Data!BR1201=Driver!$H$50)</f>
        <v>1</v>
      </c>
      <c r="D552" s="43" t="b">
        <f>OR(BV552=Driver!$G$51,BV552=Driver!$H$51)</f>
        <v>1</v>
      </c>
      <c r="E552" s="43" t="b">
        <f>AND(BX552&gt;Driver!$F$54,BX552&lt;Driver!$G$54)</f>
        <v>0</v>
      </c>
      <c r="F552" s="43" t="b">
        <f>CL552&gt;Driver!$F$56</f>
        <v>1</v>
      </c>
      <c r="G552" s="43" t="b">
        <f>AND(CB552&gt;Driver!$F$55,CB552&lt;Driver!$G$55)</f>
        <v>0</v>
      </c>
      <c r="H552" s="43" t="b">
        <f t="shared" si="296"/>
        <v>0</v>
      </c>
      <c r="I552" s="43">
        <f t="shared" si="297"/>
        <v>0</v>
      </c>
      <c r="J552" s="43" t="b">
        <f t="array" ref="J552">NOT(OR(($H$9:$H$1273=TRUE)*($I$9:$I$1273&gt;0)*($BT$9:$BT$1273=BT552)*($K$9:$K$1273&gt;K552)))</f>
        <v>1</v>
      </c>
      <c r="K552" s="72">
        <f t="shared" si="298"/>
        <v>0.83748944335265818</v>
      </c>
      <c r="L552" s="72">
        <f t="shared" si="299"/>
        <v>0.88815429146663483</v>
      </c>
      <c r="M552" s="72">
        <f t="shared" si="300"/>
        <v>0.78682459523868153</v>
      </c>
      <c r="N552" s="72">
        <f t="shared" si="301"/>
        <v>0.76443360574179064</v>
      </c>
      <c r="O552" s="72">
        <f t="shared" si="302"/>
        <v>0.63923017749224831</v>
      </c>
      <c r="P552" s="72">
        <f t="shared" si="303"/>
        <v>0.95681000248200543</v>
      </c>
      <c r="Q552" s="72"/>
      <c r="R552" s="72"/>
      <c r="S552" s="72">
        <f t="shared" si="304"/>
        <v>0.4593319856103304</v>
      </c>
      <c r="T552" s="72">
        <f t="shared" si="305"/>
        <v>0.50305073716175031</v>
      </c>
      <c r="U552" s="72">
        <f t="shared" si="306"/>
        <v>0.79886561142880763</v>
      </c>
      <c r="V552" s="72">
        <f t="shared" si="307"/>
        <v>0.51393066141617849</v>
      </c>
      <c r="W552" s="72">
        <f t="shared" si="308"/>
        <v>0.78087492606579012</v>
      </c>
      <c r="X552" s="72">
        <f t="shared" si="309"/>
        <v>0.11184570853336517</v>
      </c>
      <c r="Y552" s="72">
        <f t="shared" si="310"/>
        <v>0.21317540476131849</v>
      </c>
      <c r="Z552" s="72">
        <f t="shared" si="311"/>
        <v>0.2355663942582093</v>
      </c>
      <c r="AA552" s="72">
        <f t="shared" si="312"/>
        <v>0.36076982250775169</v>
      </c>
      <c r="AB552" s="72">
        <f t="shared" si="313"/>
        <v>4.3189997517994544E-2</v>
      </c>
      <c r="AC552" s="72"/>
      <c r="AD552" s="72"/>
      <c r="AE552" s="72">
        <f t="shared" si="314"/>
        <v>0.5406680143896696</v>
      </c>
      <c r="AF552" s="72">
        <f t="shared" si="315"/>
        <v>0.49694926283824969</v>
      </c>
      <c r="AG552" s="72">
        <f t="shared" si="316"/>
        <v>0.20113438857119237</v>
      </c>
      <c r="AH552" s="72">
        <f t="shared" si="317"/>
        <v>0.48606933858382156</v>
      </c>
      <c r="AI552" s="72">
        <f t="shared" si="318"/>
        <v>0.21912507393420994</v>
      </c>
      <c r="AJ552" s="72">
        <f>(AV552-Driver!$K$179)/(Driver!$L$179-Driver!$K$179)</f>
        <v>0.14237370074933525</v>
      </c>
      <c r="AK552" s="72">
        <f>(AW552-Driver!$K$180)/(Driver!$L$180-Driver!$K$180)</f>
        <v>0.22063153376400968</v>
      </c>
      <c r="AL552" s="72">
        <f>(AX552-Driver!$K$181)/(Driver!$L$181-Driver!$K$181)</f>
        <v>0.33725415797128949</v>
      </c>
      <c r="AM552" s="72">
        <f>(AY552-Driver!$K$182)/(Driver!$L$182-Driver!$K$182)</f>
        <v>8.6615198589294687E-2</v>
      </c>
      <c r="AN552" s="72">
        <f>(AZ552-Driver!$K$183)/(Driver!$L$183-Driver!$K$183)</f>
        <v>0.21102941176470588</v>
      </c>
      <c r="AO552" s="72"/>
      <c r="AP552" s="72"/>
      <c r="AQ552" s="72">
        <f>(BC552-Driver!$K$188)/(Driver!$L$188-Driver!$K$188)</f>
        <v>7.9331985610330405E-2</v>
      </c>
      <c r="AR552" s="72">
        <f>MIN((BD552-Driver!$K$189)/(Driver!$L$189-Driver!$K$189),100%)</f>
        <v>5.3050737161750336E-2</v>
      </c>
      <c r="AS552" s="72">
        <f>(BE552-Driver!$K$190)/(Driver!$L$190-Driver!$K$190)</f>
        <v>0.30886561142880764</v>
      </c>
      <c r="AT552" s="72">
        <f>(BF552-Driver!$K$191)/(Driver!$L$191-Driver!$K$191)</f>
        <v>2.3930661416178452E-2</v>
      </c>
      <c r="AU552" s="72">
        <f>(BG552-Driver!$K$192)/(Driver!$L$192-Driver!$K$192)</f>
        <v>3.0874926065790072E-2</v>
      </c>
      <c r="AV552" s="70">
        <f t="shared" si="319"/>
        <v>2.9965404965404963</v>
      </c>
      <c r="AW552" s="70">
        <f t="shared" si="320"/>
        <v>23.374390581028539</v>
      </c>
      <c r="AX552" s="70">
        <f t="shared" si="321"/>
        <v>4.0352874217416055</v>
      </c>
      <c r="AY552" s="70">
        <f>IFERROR(Driver!$K$19/Data!BH552/Data!BI552*Data!BK552*Data!BL552,"")</f>
        <v>0.10604284655424299</v>
      </c>
      <c r="AZ552" s="70">
        <f t="shared" si="322"/>
        <v>19.23306031273269</v>
      </c>
      <c r="BA552" s="70"/>
      <c r="BB552" s="70"/>
      <c r="BC552" s="70">
        <f t="shared" si="323"/>
        <v>41.150052443094928</v>
      </c>
      <c r="BD552" s="70">
        <f t="shared" si="324"/>
        <v>6.4157191225686736</v>
      </c>
      <c r="BE552" s="70">
        <f t="shared" si="325"/>
        <v>0.30898890202467988</v>
      </c>
      <c r="BF552" s="70">
        <f t="shared" si="326"/>
        <v>2.7028000845458422</v>
      </c>
      <c r="BG552" s="70">
        <f t="shared" si="327"/>
        <v>0.11691216615860595</v>
      </c>
      <c r="BH552" s="67">
        <f>MAX((CE552-Driver!$F$200)/(Driver!$G$200-Driver!$F$200)*$BI$1,1)</f>
        <v>4.0352874217416055</v>
      </c>
      <c r="BI552" s="67">
        <f>MAX($BI$1*(BY552-Driver!$F$201)/(Driver!$G$201-Driver!$F$201),1)</f>
        <v>7.7848101265822782</v>
      </c>
      <c r="BJ552" s="67">
        <f>(CB552-Driver!$F$206)/(Driver!$G$206-Driver!$F$206)*$BI$1</f>
        <v>3.0158730158730158</v>
      </c>
      <c r="BK552" s="67">
        <f>(CD552-Driver!$F$203)/(Driver!$G$203-Driver!$F$203)*$BI$1</f>
        <v>3.71559633027523</v>
      </c>
      <c r="BL552" s="67">
        <f>MAX((CR552-Driver!$F$202)/(Driver!$G$202-Driver!$F$202)*$BI$1,1)</f>
        <v>4.4827586206896548</v>
      </c>
      <c r="BM552" s="67">
        <f>MAX((CH552-Driver!$F$204)/(Driver!$G$204-Driver!$F$204)*$BI$1,1)</f>
        <v>3.974358974358974</v>
      </c>
      <c r="BN552" s="67">
        <f>(CI552-Driver!$F$205)/(Driver!$G$205-Driver!$F$205)*$BI$1</f>
        <v>2.4705882352941178</v>
      </c>
      <c r="BO552" s="67">
        <f>(CK552-Driver!$F$207)/(Driver!$G$207-Driver!$F$207)*$BI$1</f>
        <v>1.8614270941054809</v>
      </c>
      <c r="BP552" s="67">
        <f>(CM552-Driver!$F$208)/(Driver!$G$208-Driver!$F$208)*$BI$1</f>
        <v>1.7888888888888888</v>
      </c>
      <c r="BQ552" s="67">
        <f>(CL552-Driver!$F$209)/(Driver!$G$209-Driver!$F$209)*$BI$1</f>
        <v>1.875</v>
      </c>
      <c r="BR552" s="28" t="s">
        <v>155</v>
      </c>
      <c r="BS552" s="8" t="s">
        <v>229</v>
      </c>
      <c r="BT552" s="9" t="s">
        <v>230</v>
      </c>
      <c r="BU552" s="10">
        <v>175</v>
      </c>
      <c r="BV552" s="9" t="s">
        <v>158</v>
      </c>
      <c r="BW552" s="10">
        <v>175</v>
      </c>
      <c r="BX552" s="10">
        <v>176.1</v>
      </c>
      <c r="BY552" s="10">
        <v>131</v>
      </c>
      <c r="BZ552" s="10">
        <v>152</v>
      </c>
      <c r="CA552" s="10">
        <v>124</v>
      </c>
      <c r="CB552" s="10">
        <v>83</v>
      </c>
      <c r="CC552" s="10">
        <v>106</v>
      </c>
      <c r="CD552" s="10">
        <v>17.5</v>
      </c>
      <c r="CE552" s="10">
        <v>1609</v>
      </c>
      <c r="CF552" s="10">
        <v>1.05</v>
      </c>
      <c r="CG552" s="10">
        <v>1691</v>
      </c>
      <c r="CH552" s="10">
        <v>194</v>
      </c>
      <c r="CI552" s="10">
        <v>75</v>
      </c>
      <c r="CJ552" s="10">
        <v>38</v>
      </c>
      <c r="CK552" s="10">
        <v>290</v>
      </c>
      <c r="CL552" s="10">
        <v>12</v>
      </c>
      <c r="CM552" s="10">
        <v>161</v>
      </c>
      <c r="CN552" s="10">
        <v>0.31900000000000001</v>
      </c>
      <c r="CO552" s="10">
        <v>135</v>
      </c>
      <c r="CP552" s="10">
        <v>106</v>
      </c>
      <c r="CQ552" s="10">
        <v>155</v>
      </c>
      <c r="CR552" s="10">
        <v>2</v>
      </c>
      <c r="CS552" s="10">
        <v>11.7</v>
      </c>
      <c r="CT552" s="9" t="s">
        <v>231</v>
      </c>
      <c r="CU552" s="9" t="s">
        <v>188</v>
      </c>
      <c r="CV552" s="9" t="s">
        <v>185</v>
      </c>
      <c r="CW552" s="10"/>
      <c r="CX552" t="e">
        <f>INDEX('Data_Price '!AG$2:AG$1266,MATCH(Data!$DN552,'Data_Price '!$AT$2:$AT$1266,0))</f>
        <v>#N/A</v>
      </c>
      <c r="CY552" t="e">
        <f>INDEX('Data_Price '!AH$2:AH$1266,MATCH(Data!$DN552,'Data_Price '!$AT$2:$AT$1266,0))</f>
        <v>#N/A</v>
      </c>
      <c r="CZ552" t="e">
        <f>INDEX('Data_Price '!AI$2:AI$1266,MATCH(Data!$DN552,'Data_Price '!$AT$2:$AT$1266,0))</f>
        <v>#N/A</v>
      </c>
      <c r="DA552" t="e">
        <f>INDEX('Data_Price '!AJ$2:AJ$1266,MATCH(Data!$DN552,'Data_Price '!$AT$2:$AT$1266,0))</f>
        <v>#N/A</v>
      </c>
      <c r="DB552" t="e">
        <f>INDEX('Data_Price '!AK$2:AK$1266,MATCH(Data!$DN552,'Data_Price '!$AT$2:$AT$1266,0))</f>
        <v>#N/A</v>
      </c>
      <c r="DC552" t="e">
        <f>INDEX('Data_Price '!AL$2:AL$1266,MATCH(Data!$DN552,'Data_Price '!$AT$2:$AT$1266,0))</f>
        <v>#N/A</v>
      </c>
      <c r="DD552" t="e">
        <f>INDEX('Data_Price '!AM$2:AM$1266,MATCH(Data!$DN552,'Data_Price '!$AT$2:$AT$1266,0))</f>
        <v>#N/A</v>
      </c>
      <c r="DE552" t="e">
        <f>INDEX('Data_Price '!AN$2:AN$1266,MATCH(Data!$DN552,'Data_Price '!$AT$2:$AT$1266,0))</f>
        <v>#N/A</v>
      </c>
      <c r="DF552" t="e">
        <f>INDEX('Data_Price '!AO$2:AO$1266,MATCH(Data!$DN552,'Data_Price '!$AT$2:$AT$1266,0))</f>
        <v>#N/A</v>
      </c>
      <c r="DG552" t="e">
        <f>INDEX('Data_Price '!AP$2:AP$1266,MATCH(Data!$DN552,'Data_Price '!$AT$2:$AT$1266,0))</f>
        <v>#N/A</v>
      </c>
      <c r="DH552" t="e">
        <f>INDEX('Data_Price '!AQ$2:AQ$1266,MATCH(Data!$DN552,'Data_Price '!$AT$2:$AT$1266,0))</f>
        <v>#N/A</v>
      </c>
      <c r="DI552" t="e">
        <f>INDEX('Data_Price '!AR$2:AR$1266,MATCH(Data!$DN552,'Data_Price '!$AT$2:$AT$1266,0))</f>
        <v>#N/A</v>
      </c>
      <c r="DJ552" s="89" t="e">
        <f t="shared" si="328"/>
        <v>#N/A</v>
      </c>
      <c r="DK552" s="89" t="e">
        <f t="shared" si="329"/>
        <v>#N/A</v>
      </c>
      <c r="DL552" s="89" t="e">
        <f t="shared" si="330"/>
        <v>#N/A</v>
      </c>
      <c r="DM552" s="219" t="str">
        <f t="shared" si="331"/>
        <v>Kanjo 84</v>
      </c>
      <c r="DN552" s="89" t="str">
        <f t="shared" si="332"/>
        <v xml:space="preserve"> VölklKanjo 84175 Unisex</v>
      </c>
      <c r="DO552" s="221"/>
    </row>
    <row r="553" spans="1:119" ht="15.6" customHeight="1">
      <c r="B553" s="219" t="b">
        <f t="array" ref="B553">IF(OR(ISERROR(K553:P553)),FALSE,TRUE)</f>
        <v>1</v>
      </c>
      <c r="C553" s="43" t="b">
        <f>OR(BR553=Driver!$G$50,Data!BR508=Driver!$H$50)</f>
        <v>1</v>
      </c>
      <c r="D553" s="43" t="b">
        <f>OR(BV553=Driver!$G$51,BV553=Driver!$H$51)</f>
        <v>1</v>
      </c>
      <c r="E553" s="43" t="b">
        <f>AND(BX553&gt;Driver!$F$54,BX553&lt;Driver!$G$54)</f>
        <v>0</v>
      </c>
      <c r="F553" s="43" t="b">
        <f>CL553&gt;Driver!$F$56</f>
        <v>1</v>
      </c>
      <c r="G553" s="43" t="b">
        <f>AND(CB553&gt;Driver!$F$55,CB553&lt;Driver!$G$55)</f>
        <v>0</v>
      </c>
      <c r="H553" s="43" t="b">
        <f t="shared" si="296"/>
        <v>0</v>
      </c>
      <c r="I553" s="43">
        <f t="shared" si="297"/>
        <v>0</v>
      </c>
      <c r="J553" s="43" t="b">
        <f t="array" ref="J553">NOT(OR(($H$9:$H$1273=TRUE)*($I$9:$I$1273&gt;0)*($BT$9:$BT$1273=BT553)*($K$9:$K$1273&gt;K553)))</f>
        <v>1</v>
      </c>
      <c r="K553" s="72">
        <f t="shared" si="298"/>
        <v>0.82192449992748862</v>
      </c>
      <c r="L553" s="72">
        <f t="shared" si="299"/>
        <v>0.92682966009124201</v>
      </c>
      <c r="M553" s="72">
        <f t="shared" si="300"/>
        <v>0.71701933976373522</v>
      </c>
      <c r="N553" s="72">
        <f t="shared" si="301"/>
        <v>0.7157394933026584</v>
      </c>
      <c r="O553" s="72">
        <f t="shared" si="302"/>
        <v>0.64956316899342881</v>
      </c>
      <c r="P553" s="72">
        <f t="shared" si="303"/>
        <v>0.78575535699511867</v>
      </c>
      <c r="Q553" s="72"/>
      <c r="R553" s="72"/>
      <c r="S553" s="72">
        <f t="shared" si="304"/>
        <v>0.52890052792240505</v>
      </c>
      <c r="T553" s="72">
        <f t="shared" si="305"/>
        <v>0.56087312896807595</v>
      </c>
      <c r="U553" s="72">
        <f t="shared" si="306"/>
        <v>0.75910701854055551</v>
      </c>
      <c r="V553" s="72">
        <f t="shared" si="307"/>
        <v>0.50833200925019095</v>
      </c>
      <c r="W553" s="72">
        <f t="shared" si="308"/>
        <v>0.79034386816009128</v>
      </c>
      <c r="X553" s="72">
        <f t="shared" si="309"/>
        <v>7.3170339908757986E-2</v>
      </c>
      <c r="Y553" s="72">
        <f t="shared" si="310"/>
        <v>0.28298066023626472</v>
      </c>
      <c r="Z553" s="72">
        <f t="shared" si="311"/>
        <v>0.2842605066973416</v>
      </c>
      <c r="AA553" s="72">
        <f t="shared" si="312"/>
        <v>0.35043683100657119</v>
      </c>
      <c r="AB553" s="72">
        <f t="shared" si="313"/>
        <v>0.21424464300488133</v>
      </c>
      <c r="AC553" s="72"/>
      <c r="AD553" s="72"/>
      <c r="AE553" s="72">
        <f t="shared" si="314"/>
        <v>0.47109947207759489</v>
      </c>
      <c r="AF553" s="72">
        <f t="shared" si="315"/>
        <v>0.43912687103192405</v>
      </c>
      <c r="AG553" s="72">
        <f t="shared" si="316"/>
        <v>0.24089298145944449</v>
      </c>
      <c r="AH553" s="72">
        <f t="shared" si="317"/>
        <v>0.49166799074980905</v>
      </c>
      <c r="AI553" s="72">
        <f t="shared" si="318"/>
        <v>0.20965613183990869</v>
      </c>
      <c r="AJ553" s="72">
        <f>(AV553-Driver!$K$179)/(Driver!$L$179-Driver!$K$179)</f>
        <v>0.18104906937394244</v>
      </c>
      <c r="AK553" s="72">
        <f>(AW553-Driver!$K$180)/(Driver!$L$180-Driver!$K$180)</f>
        <v>0.46599963136658124</v>
      </c>
      <c r="AL553" s="72">
        <f>(AX553-Driver!$K$181)/(Driver!$L$181-Driver!$K$181)</f>
        <v>0.38594827041042179</v>
      </c>
      <c r="AM553" s="72">
        <f>(AY553-Driver!$K$182)/(Driver!$L$182-Driver!$K$182)</f>
        <v>9.6948190090475159E-2</v>
      </c>
      <c r="AN553" s="72">
        <f>(AZ553-Driver!$K$183)/(Driver!$L$183-Driver!$K$183)</f>
        <v>0.46846405228758176</v>
      </c>
      <c r="AO553" s="72"/>
      <c r="AP553" s="72"/>
      <c r="AQ553" s="72">
        <f>(BC553-Driver!$K$188)/(Driver!$L$188-Driver!$K$188)</f>
        <v>0.1489005279224051</v>
      </c>
      <c r="AR553" s="72">
        <f>MIN((BD553-Driver!$K$189)/(Driver!$L$189-Driver!$K$189),100%)</f>
        <v>0.11087312896807598</v>
      </c>
      <c r="AS553" s="72">
        <f>(BE553-Driver!$K$190)/(Driver!$L$190-Driver!$K$190)</f>
        <v>0.26910701854055552</v>
      </c>
      <c r="AT553" s="72">
        <f>(BF553-Driver!$K$191)/(Driver!$L$191-Driver!$K$191)</f>
        <v>1.8332009250190937E-2</v>
      </c>
      <c r="AU553" s="72">
        <f>(BG553-Driver!$K$192)/(Driver!$L$192-Driver!$K$192)</f>
        <v>4.0343868160091313E-2</v>
      </c>
      <c r="AV553" s="70">
        <f t="shared" si="319"/>
        <v>3.8105413105413102</v>
      </c>
      <c r="AW553" s="70">
        <f t="shared" si="320"/>
        <v>47.28768587492003</v>
      </c>
      <c r="AX553" s="70">
        <f t="shared" si="321"/>
        <v>4.4735344336937963</v>
      </c>
      <c r="AY553" s="70">
        <f>IFERROR(Driver!$K$19/Data!BH553/Data!BI553*Data!BK553*Data!BL553,"")</f>
        <v>0.11869351121878614</v>
      </c>
      <c r="AZ553" s="70">
        <f t="shared" si="322"/>
        <v>42.69545793000745</v>
      </c>
      <c r="BA553" s="70"/>
      <c r="BB553" s="70"/>
      <c r="BC553" s="70">
        <f t="shared" si="323"/>
        <v>77.235738973027964</v>
      </c>
      <c r="BD553" s="70">
        <f t="shared" si="324"/>
        <v>11.532898342212807</v>
      </c>
      <c r="BE553" s="70">
        <f t="shared" si="325"/>
        <v>0.26923740162189697</v>
      </c>
      <c r="BF553" s="70">
        <f t="shared" si="326"/>
        <v>2.0704716551550972</v>
      </c>
      <c r="BG553" s="70">
        <f t="shared" si="327"/>
        <v>0.15276762145965614</v>
      </c>
      <c r="BH553" s="67">
        <f>MAX((CE553-Driver!$F$200)/(Driver!$G$200-Driver!$F$200)*$BI$1,1)</f>
        <v>4.4735344336937963</v>
      </c>
      <c r="BI553" s="67">
        <f>MAX($BI$1*(BY553-Driver!$F$201)/(Driver!$G$201-Driver!$F$201),1)</f>
        <v>7.7215189873417724</v>
      </c>
      <c r="BJ553" s="67">
        <f>(CB553-Driver!$F$206)/(Driver!$G$206-Driver!$F$206)*$BI$1</f>
        <v>3.333333333333333</v>
      </c>
      <c r="BK553" s="67">
        <f>(CD553-Driver!$F$203)/(Driver!$G$203-Driver!$F$203)*$BI$1</f>
        <v>3.3027522935779823</v>
      </c>
      <c r="BL553" s="67">
        <f>MAX((CR553-Driver!$F$202)/(Driver!$G$202-Driver!$F$202)*$BI$1,1)</f>
        <v>6.2068965517241379</v>
      </c>
      <c r="BM553" s="67">
        <f>MAX((CH553-Driver!$F$204)/(Driver!$G$204-Driver!$F$204)*$BI$1,1)</f>
        <v>4.5726495726495724</v>
      </c>
      <c r="BN553" s="67">
        <f>(CI553-Driver!$F$205)/(Driver!$G$205-Driver!$F$205)*$BI$1</f>
        <v>5.5294117647058822</v>
      </c>
      <c r="BO553" s="67">
        <f>(CK553-Driver!$F$207)/(Driver!$G$207-Driver!$F$207)*$BI$1</f>
        <v>1.1685625646328852</v>
      </c>
      <c r="BP553" s="67">
        <f>(CM553-Driver!$F$208)/(Driver!$G$208-Driver!$F$208)*$BI$1</f>
        <v>1.7555555555555555</v>
      </c>
      <c r="BQ553" s="67">
        <f>(CL553-Driver!$F$209)/(Driver!$G$209-Driver!$F$209)*$BI$1</f>
        <v>3.125</v>
      </c>
      <c r="BR553" s="28" t="s">
        <v>155</v>
      </c>
      <c r="BS553" s="8" t="s">
        <v>205</v>
      </c>
      <c r="BT553" s="9" t="s">
        <v>663</v>
      </c>
      <c r="BU553" s="10">
        <v>170</v>
      </c>
      <c r="BV553" s="9" t="s">
        <v>158</v>
      </c>
      <c r="BW553" s="10">
        <v>170</v>
      </c>
      <c r="BX553" s="10">
        <v>168.5</v>
      </c>
      <c r="BY553" s="10">
        <v>130</v>
      </c>
      <c r="BZ553" s="10">
        <v>144</v>
      </c>
      <c r="CA553" s="10">
        <v>119</v>
      </c>
      <c r="CB553" s="10">
        <v>85</v>
      </c>
      <c r="CC553" s="10">
        <v>109</v>
      </c>
      <c r="CD553" s="10">
        <v>16.600000000000001</v>
      </c>
      <c r="CE553" s="10">
        <v>1686</v>
      </c>
      <c r="CF553" s="10">
        <v>0.97</v>
      </c>
      <c r="CG553" s="10">
        <v>1628</v>
      </c>
      <c r="CH553" s="10">
        <v>208</v>
      </c>
      <c r="CI553" s="10">
        <v>127</v>
      </c>
      <c r="CJ553" s="10">
        <v>49</v>
      </c>
      <c r="CK553" s="10">
        <v>223</v>
      </c>
      <c r="CL553" s="10">
        <v>20</v>
      </c>
      <c r="CM553" s="10">
        <v>158</v>
      </c>
      <c r="CN553" s="10">
        <v>0.41199999999999998</v>
      </c>
      <c r="CO553" s="10">
        <v>154</v>
      </c>
      <c r="CP553" s="10">
        <v>90</v>
      </c>
      <c r="CQ553" s="10">
        <v>69</v>
      </c>
      <c r="CR553" s="10">
        <v>7</v>
      </c>
      <c r="CS553" s="10">
        <v>10.1</v>
      </c>
      <c r="CT553" s="9" t="s">
        <v>231</v>
      </c>
      <c r="CU553" s="9" t="s">
        <v>188</v>
      </c>
      <c r="CV553" s="10"/>
      <c r="CW553" s="10"/>
      <c r="CX553" t="str">
        <f>INDEX('Data_Price '!AG$2:AG$1266,MATCH(Data!$DN553,'Data_Price '!$AT$2:$AT$1266,0))</f>
        <v>Faction Dictator 1.0 Skis</v>
      </c>
      <c r="CY553" t="str">
        <f>INDEX('Data_Price '!AH$2:AH$1266,MATCH(Data!$DN553,'Data_Price '!$AT$2:$AT$1266,0))</f>
        <v>Next Adventure</v>
      </c>
      <c r="CZ553">
        <f>INDEX('Data_Price '!AI$2:AI$1266,MATCH(Data!$DN553,'Data_Price '!$AT$2:$AT$1266,0))</f>
        <v>575.20000000000005</v>
      </c>
      <c r="DA553" t="str">
        <f>INDEX('Data_Price '!AJ$2:AJ$1266,MATCH(Data!$DN553,'Data_Price '!$AT$2:$AT$1266,0))</f>
        <v>https://tinyurl.com/yabwkskl</v>
      </c>
      <c r="DB553" t="str">
        <f>INDEX('Data_Price '!AK$2:AK$1266,MATCH(Data!$DN553,'Data_Price '!$AT$2:$AT$1266,0))</f>
        <v>Faction Agent 1.0 Skis 170 Cm At All Mtn Lightweight</v>
      </c>
      <c r="DC553" t="str">
        <f>INDEX('Data_Price '!AL$2:AL$1266,MATCH(Data!$DN553,'Data_Price '!$AT$2:$AT$1266,0))</f>
        <v>eBay</v>
      </c>
      <c r="DD553">
        <f>INDEX('Data_Price '!AM$2:AM$1266,MATCH(Data!$DN553,'Data_Price '!$AT$2:$AT$1266,0))</f>
        <v>391</v>
      </c>
      <c r="DE553" t="str">
        <f>INDEX('Data_Price '!AN$2:AN$1266,MATCH(Data!$DN553,'Data_Price '!$AT$2:$AT$1266,0))</f>
        <v>https://tinyurl.com/y9wwhyh2</v>
      </c>
      <c r="DF553" t="str">
        <f>INDEX('Data_Price '!AO$2:AO$1266,MATCH(Data!$DN553,'Data_Price '!$AT$2:$AT$1266,0))</f>
        <v>Faction Agent 1.0 Skis 2022 - 170</v>
      </c>
      <c r="DG553" t="str">
        <f>INDEX('Data_Price '!AP$2:AP$1266,MATCH(Data!$DN553,'Data_Price '!$AT$2:$AT$1266,0))</f>
        <v>Telemark Pyrenees</v>
      </c>
      <c r="DH553">
        <f>INDEX('Data_Price '!AQ$2:AQ$1266,MATCH(Data!$DN553,'Data_Price '!$AT$2:$AT$1266,0))</f>
        <v>439.98</v>
      </c>
      <c r="DI553" t="str">
        <f>INDEX('Data_Price '!AR$2:AR$1266,MATCH(Data!$DN553,'Data_Price '!$AT$2:$AT$1266,0))</f>
        <v>https://tinyurl.com/y7j85qgt</v>
      </c>
      <c r="DJ553" s="89" t="str">
        <f t="shared" si="328"/>
        <v>https://tinyurl.com/yabwkskl</v>
      </c>
      <c r="DK553" s="89" t="str">
        <f t="shared" si="329"/>
        <v>https://tinyurl.com/y9wwhyh2</v>
      </c>
      <c r="DL553" s="89" t="str">
        <f t="shared" si="330"/>
        <v>https://tinyurl.com/y7j85qgt</v>
      </c>
      <c r="DM553" s="219" t="str">
        <f t="shared" si="331"/>
        <v>Dictator 1.0</v>
      </c>
      <c r="DN553" s="89" t="str">
        <f t="shared" si="332"/>
        <v xml:space="preserve"> FactionDictator 1.0170 Unisex</v>
      </c>
      <c r="DO553" s="221"/>
    </row>
    <row r="554" spans="1:119" ht="15.6" customHeight="1">
      <c r="B554" s="219" t="b">
        <f t="array" ref="B554">IF(OR(ISERROR(K554:P554)),FALSE,TRUE)</f>
        <v>1</v>
      </c>
      <c r="C554" s="43" t="b">
        <f>OR(BR554=Driver!$G$50,Data!BR533=Driver!$H$50)</f>
        <v>1</v>
      </c>
      <c r="D554" s="43" t="b">
        <f>OR(BV554=Driver!$G$51,BV554=Driver!$H$51)</f>
        <v>0</v>
      </c>
      <c r="E554" s="43" t="b">
        <f>AND(BX554&gt;Driver!$F$54,BX554&lt;Driver!$G$54)</f>
        <v>1</v>
      </c>
      <c r="F554" s="43" t="b">
        <f>CL554&gt;Driver!$F$56</f>
        <v>1</v>
      </c>
      <c r="G554" s="43" t="b">
        <f>AND(CB554&gt;Driver!$F$55,CB554&lt;Driver!$G$55)</f>
        <v>0</v>
      </c>
      <c r="H554" s="43" t="b">
        <f t="shared" si="296"/>
        <v>0</v>
      </c>
      <c r="I554" s="43">
        <f t="shared" si="297"/>
        <v>0</v>
      </c>
      <c r="J554" s="43" t="b">
        <f t="array" ref="J554">NOT(OR(($H$9:$H$1273=TRUE)*($I$9:$I$1273&gt;0)*($BT$9:$BT$1273=BT554)*($K$9:$K$1273&gt;K554)))</f>
        <v>1</v>
      </c>
      <c r="K554" s="72">
        <f t="shared" si="298"/>
        <v>0.81656098235635277</v>
      </c>
      <c r="L554" s="72">
        <f t="shared" si="299"/>
        <v>0.85326588601985376</v>
      </c>
      <c r="M554" s="72">
        <f t="shared" si="300"/>
        <v>0.77985607869285178</v>
      </c>
      <c r="N554" s="72">
        <f t="shared" si="301"/>
        <v>0.78467012000220937</v>
      </c>
      <c r="O554" s="72">
        <f t="shared" si="302"/>
        <v>0.61557177372505945</v>
      </c>
      <c r="P554" s="72">
        <f t="shared" si="303"/>
        <v>0.93932634235128654</v>
      </c>
      <c r="Q554" s="72"/>
      <c r="R554" s="72"/>
      <c r="S554" s="72">
        <f t="shared" si="304"/>
        <v>0.40939133706346487</v>
      </c>
      <c r="T554" s="72">
        <f t="shared" si="305"/>
        <v>0.53548828632014334</v>
      </c>
      <c r="U554" s="72">
        <f t="shared" si="306"/>
        <v>0.57299875737061134</v>
      </c>
      <c r="V554" s="72">
        <f t="shared" si="307"/>
        <v>0.55534824882021283</v>
      </c>
      <c r="W554" s="72">
        <f t="shared" si="308"/>
        <v>0.91850073855243719</v>
      </c>
      <c r="X554" s="72">
        <f t="shared" si="309"/>
        <v>0.14673411398014624</v>
      </c>
      <c r="Y554" s="72">
        <f t="shared" si="310"/>
        <v>0.22014392130714824</v>
      </c>
      <c r="Z554" s="72">
        <f t="shared" si="311"/>
        <v>0.21532987999779063</v>
      </c>
      <c r="AA554" s="72">
        <f t="shared" si="312"/>
        <v>0.38442822627494055</v>
      </c>
      <c r="AB554" s="72">
        <f t="shared" si="313"/>
        <v>6.0673657648713519E-2</v>
      </c>
      <c r="AC554" s="72"/>
      <c r="AD554" s="72"/>
      <c r="AE554" s="72">
        <f t="shared" si="314"/>
        <v>0.59060866293653513</v>
      </c>
      <c r="AF554" s="72">
        <f t="shared" si="315"/>
        <v>0.46451171367985666</v>
      </c>
      <c r="AG554" s="72">
        <f t="shared" si="316"/>
        <v>0.42700124262938866</v>
      </c>
      <c r="AH554" s="72">
        <f t="shared" si="317"/>
        <v>0.44465175117978711</v>
      </c>
      <c r="AI554" s="72">
        <f t="shared" si="318"/>
        <v>8.149926144756281E-2</v>
      </c>
      <c r="AJ554" s="72">
        <f>(AV554-Driver!$K$179)/(Driver!$L$179-Driver!$K$179)</f>
        <v>0.10748529530255418</v>
      </c>
      <c r="AK554" s="72">
        <f>(AW554-Driver!$K$180)/(Driver!$L$180-Driver!$K$180)</f>
        <v>0.20211560753179902</v>
      </c>
      <c r="AL554" s="72">
        <f>(AX554-Driver!$K$181)/(Driver!$L$181-Driver!$K$181)</f>
        <v>0.31701764371087082</v>
      </c>
      <c r="AM554" s="72">
        <f>(AY554-Driver!$K$182)/(Driver!$L$182-Driver!$K$182)</f>
        <v>6.2956794822105783E-2</v>
      </c>
      <c r="AN554" s="72">
        <f>(AZ554-Driver!$K$183)/(Driver!$L$183-Driver!$K$183)</f>
        <v>0.19354575163398691</v>
      </c>
      <c r="AO554" s="72"/>
      <c r="AP554" s="72"/>
      <c r="AQ554" s="72">
        <f>(BC554-Driver!$K$188)/(Driver!$L$188-Driver!$K$188)</f>
        <v>2.9391337063464865E-2</v>
      </c>
      <c r="AR554" s="72">
        <f>MIN((BD554-Driver!$K$189)/(Driver!$L$189-Driver!$K$189),100%)</f>
        <v>8.5488286320143395E-2</v>
      </c>
      <c r="AS554" s="72">
        <f>(BE554-Driver!$K$190)/(Driver!$L$190-Driver!$K$190)</f>
        <v>8.2998757370611367E-2</v>
      </c>
      <c r="AT554" s="72">
        <f>(BF554-Driver!$K$191)/(Driver!$L$191-Driver!$K$191)</f>
        <v>6.5348248820212895E-2</v>
      </c>
      <c r="AU554" s="72">
        <f>(BG554-Driver!$K$192)/(Driver!$L$192-Driver!$K$192)</f>
        <v>0.16850073855243719</v>
      </c>
      <c r="AV554" s="70">
        <f t="shared" si="319"/>
        <v>2.2622439289105958</v>
      </c>
      <c r="AW554" s="70">
        <f t="shared" si="320"/>
        <v>21.569849501902837</v>
      </c>
      <c r="AX554" s="70">
        <f t="shared" si="321"/>
        <v>3.8531587933978373</v>
      </c>
      <c r="AY554" s="70">
        <f>IFERROR(Driver!$K$19/Data!BH554/Data!BI554*Data!BK554*Data!BL554,"")</f>
        <v>7.7077901356825698E-2</v>
      </c>
      <c r="AZ554" s="70">
        <f t="shared" si="322"/>
        <v>17.639612807148175</v>
      </c>
      <c r="BA554" s="70"/>
      <c r="BB554" s="70"/>
      <c r="BC554" s="70">
        <f t="shared" si="323"/>
        <v>15.245490860079604</v>
      </c>
      <c r="BD554" s="70">
        <f t="shared" si="324"/>
        <v>9.2863847471503806</v>
      </c>
      <c r="BE554" s="70">
        <f t="shared" si="325"/>
        <v>8.3162340071007826E-2</v>
      </c>
      <c r="BF554" s="70">
        <f t="shared" si="326"/>
        <v>7.3806256068119804</v>
      </c>
      <c r="BG554" s="70">
        <f t="shared" si="327"/>
        <v>0.63805128800998312</v>
      </c>
      <c r="BH554" s="67">
        <f>MAX((CE554-Driver!$F$200)/(Driver!$G$200-Driver!$F$200)*$BI$1,1)</f>
        <v>3.8531587933978373</v>
      </c>
      <c r="BI554" s="67">
        <f>MAX($BI$1*(BY554-Driver!$F$201)/(Driver!$G$201-Driver!$F$201),1)</f>
        <v>6.518987341772152</v>
      </c>
      <c r="BJ554" s="67">
        <f>(CB554-Driver!$F$206)/(Driver!$G$206-Driver!$F$206)*$BI$1</f>
        <v>3.6507936507936507</v>
      </c>
      <c r="BK554" s="67">
        <f>(CD554-Driver!$F$203)/(Driver!$G$203-Driver!$F$203)*$BI$1</f>
        <v>1.6513761467889909</v>
      </c>
      <c r="BL554" s="67">
        <f>MAX((CR554-Driver!$F$202)/(Driver!$G$202-Driver!$F$202)*$BI$1,1)</f>
        <v>5.8620689655172411</v>
      </c>
      <c r="BM554" s="67">
        <f>MAX((CH554-Driver!$F$204)/(Driver!$G$204-Driver!$F$204)*$BI$1,1)</f>
        <v>2.4786324786324787</v>
      </c>
      <c r="BN554" s="67">
        <f>(CI554-Driver!$F$205)/(Driver!$G$205-Driver!$F$205)*$BI$1</f>
        <v>2.7058823529411762</v>
      </c>
      <c r="BO554" s="67">
        <f>(CK554-Driver!$F$207)/(Driver!$G$207-Driver!$F$207)*$BI$1</f>
        <v>1.5408479834539814</v>
      </c>
      <c r="BP554" s="67">
        <f>(CM554-Driver!$F$208)/(Driver!$G$208-Driver!$F$208)*$BI$1</f>
        <v>2.166666666666667</v>
      </c>
      <c r="BQ554" s="67">
        <f>(CL554-Driver!$F$209)/(Driver!$G$209-Driver!$F$209)*$BI$1</f>
        <v>6.09375</v>
      </c>
      <c r="BR554" s="28" t="s">
        <v>155</v>
      </c>
      <c r="BS554" s="8" t="s">
        <v>205</v>
      </c>
      <c r="BT554" s="9" t="s">
        <v>664</v>
      </c>
      <c r="BU554" s="10">
        <v>158</v>
      </c>
      <c r="BV554" s="9" t="s">
        <v>163</v>
      </c>
      <c r="BW554" s="10">
        <v>158</v>
      </c>
      <c r="BX554" s="10">
        <v>155.9</v>
      </c>
      <c r="BY554" s="10">
        <v>111</v>
      </c>
      <c r="BZ554" s="10">
        <v>129</v>
      </c>
      <c r="CA554" s="10">
        <v>119</v>
      </c>
      <c r="CB554" s="10">
        <v>87</v>
      </c>
      <c r="CC554" s="10">
        <v>112</v>
      </c>
      <c r="CD554" s="10">
        <v>13</v>
      </c>
      <c r="CE554" s="10">
        <v>1577</v>
      </c>
      <c r="CF554" s="10">
        <v>0.98</v>
      </c>
      <c r="CG554" s="10">
        <v>1544</v>
      </c>
      <c r="CH554" s="10">
        <v>159</v>
      </c>
      <c r="CI554" s="10">
        <v>79</v>
      </c>
      <c r="CJ554" s="10">
        <v>53</v>
      </c>
      <c r="CK554" s="10">
        <v>259</v>
      </c>
      <c r="CL554" s="10">
        <v>39</v>
      </c>
      <c r="CM554" s="10">
        <v>195</v>
      </c>
      <c r="CN554" s="10">
        <v>0.73399999999999999</v>
      </c>
      <c r="CO554" s="10">
        <v>145</v>
      </c>
      <c r="CP554" s="10">
        <v>121</v>
      </c>
      <c r="CQ554" s="10">
        <v>113</v>
      </c>
      <c r="CR554" s="10">
        <v>6</v>
      </c>
      <c r="CS554" s="10">
        <v>6.8</v>
      </c>
      <c r="CT554" s="9" t="s">
        <v>188</v>
      </c>
      <c r="CU554" s="10"/>
      <c r="CV554" s="10"/>
      <c r="CW554" s="10"/>
      <c r="CX554" t="str">
        <f>INDEX('Data_Price '!AG$2:AG$1266,MATCH(Data!$DN554,'Data_Price '!$AT$2:$AT$1266,0))</f>
        <v>Faction Prime 1.0</v>
      </c>
      <c r="CY554" t="str">
        <f>INDEX('Data_Price '!AH$2:AH$1266,MATCH(Data!$DN554,'Data_Price '!$AT$2:$AT$1266,0))</f>
        <v>eBay</v>
      </c>
      <c r="CZ554">
        <f>INDEX('Data_Price '!AI$2:AI$1266,MATCH(Data!$DN554,'Data_Price '!$AT$2:$AT$1266,0))</f>
        <v>399</v>
      </c>
      <c r="DA554" t="str">
        <f>INDEX('Data_Price '!AJ$2:AJ$1266,MATCH(Data!$DN554,'Data_Price '!$AT$2:$AT$1266,0))</f>
        <v>https://tinyurl.com/yanwrex4</v>
      </c>
      <c r="DB554" t="str">
        <f>INDEX('Data_Price '!AK$2:AK$1266,MATCH(Data!$DN554,'Data_Price '!$AT$2:$AT$1266,0))</f>
        <v>Faction - Prodigy 1.0x - 158</v>
      </c>
      <c r="DC554" t="str">
        <f>INDEX('Data_Price '!AL$2:AL$1266,MATCH(Data!$DN554,'Data_Price '!$AT$2:$AT$1266,0))</f>
        <v>Gear West Ski &amp; Bike</v>
      </c>
      <c r="DD554">
        <f>INDEX('Data_Price '!AM$2:AM$1266,MATCH(Data!$DN554,'Data_Price '!$AT$2:$AT$1266,0))</f>
        <v>449</v>
      </c>
      <c r="DE554" t="str">
        <f>INDEX('Data_Price '!AN$2:AN$1266,MATCH(Data!$DN554,'Data_Price '!$AT$2:$AT$1266,0))</f>
        <v>https://tinyurl.com/y8crc9es</v>
      </c>
      <c r="DF554">
        <f>INDEX('Data_Price '!AO$2:AO$1266,MATCH(Data!$DN554,'Data_Price '!$AT$2:$AT$1266,0))</f>
        <v>0</v>
      </c>
      <c r="DG554">
        <f>INDEX('Data_Price '!AP$2:AP$1266,MATCH(Data!$DN554,'Data_Price '!$AT$2:$AT$1266,0))</f>
        <v>0</v>
      </c>
      <c r="DH554">
        <f>INDEX('Data_Price '!AQ$2:AQ$1266,MATCH(Data!$DN554,'Data_Price '!$AT$2:$AT$1266,0))</f>
        <v>0</v>
      </c>
      <c r="DI554">
        <f>INDEX('Data_Price '!AR$2:AR$1266,MATCH(Data!$DN554,'Data_Price '!$AT$2:$AT$1266,0))</f>
        <v>0</v>
      </c>
      <c r="DJ554" s="89" t="str">
        <f t="shared" si="328"/>
        <v>https://tinyurl.com/yanwrex4</v>
      </c>
      <c r="DK554" s="89" t="str">
        <f t="shared" si="329"/>
        <v>https://tinyurl.com/y8crc9es</v>
      </c>
      <c r="DL554" s="89">
        <f t="shared" si="330"/>
        <v>0</v>
      </c>
      <c r="DM554" s="219" t="str">
        <f t="shared" si="331"/>
        <v>Prodigy 1.0 X</v>
      </c>
      <c r="DN554" s="89" t="str">
        <f t="shared" si="332"/>
        <v xml:space="preserve"> FactionProdigy 1.0 X158 Women's</v>
      </c>
      <c r="DO554" s="221"/>
    </row>
    <row r="555" spans="1:119" ht="15.6" customHeight="1">
      <c r="B555" s="219" t="b">
        <f t="array" ref="B555">IF(OR(ISERROR(K555:P555)),FALSE,TRUE)</f>
        <v>1</v>
      </c>
      <c r="C555" s="43" t="b">
        <f>OR(BR555=Driver!$G$50,Data!BR257=Driver!$H$50)</f>
        <v>1</v>
      </c>
      <c r="D555" s="43" t="b">
        <f>OR(BV555=Driver!$G$51,BV555=Driver!$H$51)</f>
        <v>0</v>
      </c>
      <c r="E555" s="43" t="b">
        <f>AND(BX555&gt;Driver!$F$54,BX555&lt;Driver!$G$54)</f>
        <v>0</v>
      </c>
      <c r="F555" s="43" t="b">
        <f>CL555&gt;Driver!$F$56</f>
        <v>1</v>
      </c>
      <c r="G555" s="43" t="b">
        <f>AND(CB555&gt;Driver!$F$55,CB555&lt;Driver!$G$55)</f>
        <v>0</v>
      </c>
      <c r="H555" s="43" t="b">
        <f t="shared" si="296"/>
        <v>0</v>
      </c>
      <c r="I555" s="43">
        <f t="shared" si="297"/>
        <v>0</v>
      </c>
      <c r="J555" s="43" t="b">
        <f t="array" ref="J555">NOT(OR(($H$9:$H$1273=TRUE)*($I$9:$I$1273&gt;0)*($BT$9:$BT$1273=BT555)*($K$9:$K$1273&gt;K555)))</f>
        <v>1</v>
      </c>
      <c r="K555" s="72">
        <f t="shared" si="298"/>
        <v>0.80736198263965364</v>
      </c>
      <c r="L555" s="72">
        <f t="shared" si="299"/>
        <v>0.90193239153915106</v>
      </c>
      <c r="M555" s="72">
        <f t="shared" si="300"/>
        <v>0.71279157374015623</v>
      </c>
      <c r="N555" s="72">
        <f t="shared" si="301"/>
        <v>0.65439755945076428</v>
      </c>
      <c r="O555" s="72">
        <f t="shared" si="302"/>
        <v>0.63335252372883366</v>
      </c>
      <c r="P555" s="72">
        <f t="shared" si="303"/>
        <v>0.85062463804087041</v>
      </c>
      <c r="Q555" s="72"/>
      <c r="R555" s="72"/>
      <c r="S555" s="72">
        <f t="shared" si="304"/>
        <v>0.53049836449832499</v>
      </c>
      <c r="T555" s="72">
        <f t="shared" si="305"/>
        <v>0.60295193077291465</v>
      </c>
      <c r="U555" s="72">
        <f t="shared" si="306"/>
        <v>0.51</v>
      </c>
      <c r="V555" s="72">
        <f t="shared" si="307"/>
        <v>0.50019511704533537</v>
      </c>
      <c r="W555" s="72">
        <f t="shared" si="308"/>
        <v>0.76179740120402939</v>
      </c>
      <c r="X555" s="72">
        <f t="shared" si="309"/>
        <v>9.8067608460848887E-2</v>
      </c>
      <c r="Y555" s="72">
        <f t="shared" si="310"/>
        <v>0.28720842625984383</v>
      </c>
      <c r="Z555" s="72">
        <f t="shared" si="311"/>
        <v>0.34560244054923567</v>
      </c>
      <c r="AA555" s="72">
        <f t="shared" si="312"/>
        <v>0.36664747627116634</v>
      </c>
      <c r="AB555" s="72">
        <f t="shared" si="313"/>
        <v>0.14937536195912959</v>
      </c>
      <c r="AC555" s="72"/>
      <c r="AD555" s="72"/>
      <c r="AE555" s="72">
        <f t="shared" si="314"/>
        <v>0.46950163550167501</v>
      </c>
      <c r="AF555" s="72">
        <f t="shared" si="315"/>
        <v>0.39704806922708535</v>
      </c>
      <c r="AG555" s="72">
        <f t="shared" si="316"/>
        <v>0.49</v>
      </c>
      <c r="AH555" s="72">
        <f t="shared" si="317"/>
        <v>0.49980488295466458</v>
      </c>
      <c r="AI555" s="72">
        <f t="shared" si="318"/>
        <v>0.23820259879597067</v>
      </c>
      <c r="AJ555" s="72">
        <f>(AV555-Driver!$K$179)/(Driver!$L$179-Driver!$K$179)</f>
        <v>0.15615180082185154</v>
      </c>
      <c r="AK555" s="72">
        <f>(AW555-Driver!$K$180)/(Driver!$L$180-Driver!$K$180)</f>
        <v>0.41079781370866142</v>
      </c>
      <c r="AL555" s="72">
        <f>(AX555-Driver!$K$181)/(Driver!$L$181-Driver!$K$181)</f>
        <v>0.44729020426231586</v>
      </c>
      <c r="AM555" s="72">
        <f>(AY555-Driver!$K$182)/(Driver!$L$182-Driver!$K$182)</f>
        <v>8.0737544825880025E-2</v>
      </c>
      <c r="AN555" s="72">
        <f>(AZ555-Driver!$K$183)/(Driver!$L$183-Driver!$K$183)</f>
        <v>0.40359477124183002</v>
      </c>
      <c r="AO555" s="72"/>
      <c r="AP555" s="72"/>
      <c r="AQ555" s="72">
        <f>(BC555-Driver!$K$188)/(Driver!$L$188-Driver!$K$188)</f>
        <v>0.15049836449832499</v>
      </c>
      <c r="AR555" s="72">
        <f>MIN((BD555-Driver!$K$189)/(Driver!$L$189-Driver!$K$189),100%)</f>
        <v>0.15295193077291469</v>
      </c>
      <c r="AS555" s="72">
        <f>(BE555-Driver!$K$190)/(Driver!$L$190-Driver!$K$190)</f>
        <v>1</v>
      </c>
      <c r="AT555" s="72">
        <f>(BF555-Driver!$K$191)/(Driver!$L$191-Driver!$K$191)</f>
        <v>1.0195117045335409E-2</v>
      </c>
      <c r="AU555" s="72">
        <f>(BG555-Driver!$K$192)/(Driver!$L$192-Driver!$K$192)</f>
        <v>1.1797401204029325E-2</v>
      </c>
      <c r="AV555" s="70">
        <f t="shared" si="319"/>
        <v>3.2865282865282861</v>
      </c>
      <c r="AW555" s="70">
        <f t="shared" si="320"/>
        <v>41.907779606292074</v>
      </c>
      <c r="AX555" s="70">
        <f t="shared" si="321"/>
        <v>5.0256118383608426</v>
      </c>
      <c r="AY555" s="70">
        <f>IFERROR(Driver!$K$19/Data!BH555/Data!BI555*Data!BK555*Data!BL555,"")</f>
        <v>9.8846844625202962E-2</v>
      </c>
      <c r="AZ555" s="70">
        <f t="shared" si="322"/>
        <v>36.783320923306029</v>
      </c>
      <c r="BA555" s="70"/>
      <c r="BB555" s="70"/>
      <c r="BC555" s="70">
        <f t="shared" si="323"/>
        <v>78.064547912937286</v>
      </c>
      <c r="BD555" s="70">
        <f t="shared" si="324"/>
        <v>15.256797742716136</v>
      </c>
      <c r="BE555" s="70">
        <f t="shared" si="325"/>
        <v>1</v>
      </c>
      <c r="BF555" s="70">
        <f t="shared" si="326"/>
        <v>1.1514668455197126</v>
      </c>
      <c r="BG555" s="70">
        <f t="shared" si="327"/>
        <v>4.4672486886809325E-2</v>
      </c>
      <c r="BH555" s="67">
        <f>MAX((CE555-Driver!$F$200)/(Driver!$G$200-Driver!$F$200)*$BI$1,1)</f>
        <v>5.0256118383608426</v>
      </c>
      <c r="BI555" s="67">
        <f>MAX($BI$1*(BY555-Driver!$F$201)/(Driver!$G$201-Driver!$F$201),1)</f>
        <v>8.2278481012658222</v>
      </c>
      <c r="BJ555" s="67">
        <f>(CB555-Driver!$F$206)/(Driver!$G$206-Driver!$F$206)*$BI$1</f>
        <v>2.6984126984126982</v>
      </c>
      <c r="BK555" s="67">
        <f>(CD555-Driver!$F$203)/(Driver!$G$203-Driver!$F$203)*$BI$1</f>
        <v>3.4862385321100922</v>
      </c>
      <c r="BL555" s="67">
        <f>MAX((CR555-Driver!$F$202)/(Driver!$G$202-Driver!$F$202)*$BI$1,1)</f>
        <v>5.8620689655172411</v>
      </c>
      <c r="BM555" s="67">
        <f>MAX((CH555-Driver!$F$204)/(Driver!$G$204-Driver!$F$204)*$BI$1,1)</f>
        <v>4.8717948717948714</v>
      </c>
      <c r="BN555" s="67">
        <f>(CI555-Driver!$F$205)/(Driver!$G$205-Driver!$F$205)*$BI$1</f>
        <v>4.4705882352941178</v>
      </c>
      <c r="BO555" s="67">
        <f>(CK555-Driver!$F$207)/(Driver!$G$207-Driver!$F$207)*$BI$1</f>
        <v>1.2512926577042398</v>
      </c>
      <c r="BP555" s="67">
        <f>(CM555-Driver!$F$208)/(Driver!$G$208-Driver!$F$208)*$BI$1</f>
        <v>1.1888888888888889</v>
      </c>
      <c r="BQ555" s="67">
        <f>(CL555-Driver!$F$209)/(Driver!$G$209-Driver!$F$209)*$BI$1</f>
        <v>1.09375</v>
      </c>
      <c r="BR555" s="28" t="s">
        <v>155</v>
      </c>
      <c r="BS555" s="8" t="s">
        <v>317</v>
      </c>
      <c r="BT555" s="9" t="s">
        <v>618</v>
      </c>
      <c r="BU555" s="10">
        <v>173</v>
      </c>
      <c r="BV555" s="9" t="s">
        <v>163</v>
      </c>
      <c r="BW555" s="10">
        <v>173</v>
      </c>
      <c r="BX555" s="10">
        <v>171.3</v>
      </c>
      <c r="BY555" s="10">
        <v>138</v>
      </c>
      <c r="BZ555" s="10">
        <v>148</v>
      </c>
      <c r="CA555" s="10">
        <v>121</v>
      </c>
      <c r="CB555" s="10">
        <v>81</v>
      </c>
      <c r="CC555" s="10">
        <v>104</v>
      </c>
      <c r="CD555" s="10">
        <v>17</v>
      </c>
      <c r="CE555" s="10">
        <v>1783</v>
      </c>
      <c r="CF555" s="10">
        <v>0.9</v>
      </c>
      <c r="CG555" s="10">
        <v>1600</v>
      </c>
      <c r="CH555" s="10">
        <v>215</v>
      </c>
      <c r="CI555" s="10">
        <v>109</v>
      </c>
      <c r="CJ555" s="10">
        <v>50</v>
      </c>
      <c r="CK555" s="10">
        <v>231</v>
      </c>
      <c r="CL555" s="10">
        <v>7</v>
      </c>
      <c r="CM555" s="10">
        <v>107</v>
      </c>
      <c r="CN555" s="10">
        <v>0.13500000000000001</v>
      </c>
      <c r="CO555" s="10">
        <v>120</v>
      </c>
      <c r="CP555" s="10">
        <v>109</v>
      </c>
      <c r="CQ555" s="10">
        <v>111</v>
      </c>
      <c r="CR555" s="10">
        <v>6</v>
      </c>
      <c r="CS555" s="10">
        <v>11.4</v>
      </c>
      <c r="CT555" s="9" t="s">
        <v>231</v>
      </c>
      <c r="CU555" s="9" t="s">
        <v>188</v>
      </c>
      <c r="CV555" s="10"/>
      <c r="CW555" s="10"/>
      <c r="CX555" t="str">
        <f>INDEX('Data_Price '!AG$2:AG$1266,MATCH(Data!$DN555,'Data_Price '!$AT$2:$AT$1266,0))</f>
        <v>Blizzard Black Pearl 82 Skis Â· Women's Â· 2022 Â· 173 cm</v>
      </c>
      <c r="CY555" t="str">
        <f>INDEX('Data_Price '!AH$2:AH$1266,MATCH(Data!$DN555,'Data_Price '!$AT$2:$AT$1266,0))</f>
        <v>Powder7 Ski Shop</v>
      </c>
      <c r="CZ555">
        <f>INDEX('Data_Price '!AI$2:AI$1266,MATCH(Data!$DN555,'Data_Price '!$AT$2:$AT$1266,0))</f>
        <v>479.93</v>
      </c>
      <c r="DA555" t="str">
        <f>INDEX('Data_Price '!AJ$2:AJ$1266,MATCH(Data!$DN555,'Data_Price '!$AT$2:$AT$1266,0))</f>
        <v>https://tinyurl.com/yb8zsa3x</v>
      </c>
      <c r="DB555" t="str">
        <f>INDEX('Data_Price '!AK$2:AK$1266,MATCH(Data!$DN555,'Data_Price '!$AT$2:$AT$1266,0))</f>
        <v>Blizzard Black Pearl 82 Skis Â· Women's Â· 2022 Â· 173 cm</v>
      </c>
      <c r="DC555" t="str">
        <f>INDEX('Data_Price '!AL$2:AL$1266,MATCH(Data!$DN555,'Data_Price '!$AT$2:$AT$1266,0))</f>
        <v>eBay - david110549</v>
      </c>
      <c r="DD555">
        <f>INDEX('Data_Price '!AM$2:AM$1266,MATCH(Data!$DN555,'Data_Price '!$AT$2:$AT$1266,0))</f>
        <v>479.95</v>
      </c>
      <c r="DE555" t="str">
        <f>INDEX('Data_Price '!AN$2:AN$1266,MATCH(Data!$DN555,'Data_Price '!$AT$2:$AT$1266,0))</f>
        <v>https://tinyurl.com/y9kb8mzm</v>
      </c>
      <c r="DF555" t="str">
        <f>INDEX('Data_Price '!AO$2:AO$1266,MATCH(Data!$DN555,'Data_Price '!$AT$2:$AT$1266,0))</f>
        <v>Blizzard Black Pearl 82 Skis Â· Women's Â· 2022 Â· 173 cm</v>
      </c>
      <c r="DG555" t="str">
        <f>INDEX('Data_Price '!AP$2:AP$1266,MATCH(Data!$DN555,'Data_Price '!$AT$2:$AT$1266,0))</f>
        <v>Curated</v>
      </c>
      <c r="DH555">
        <f>INDEX('Data_Price '!AQ$2:AQ$1266,MATCH(Data!$DN555,'Data_Price '!$AT$2:$AT$1266,0))</f>
        <v>479.95</v>
      </c>
      <c r="DI555" t="str">
        <f>INDEX('Data_Price '!AR$2:AR$1266,MATCH(Data!$DN555,'Data_Price '!$AT$2:$AT$1266,0))</f>
        <v>https://tinyurl.com/yd7o6khn</v>
      </c>
      <c r="DJ555" s="89" t="str">
        <f t="shared" si="328"/>
        <v>https://tinyurl.com/yb8zsa3x</v>
      </c>
      <c r="DK555" s="89" t="str">
        <f t="shared" si="329"/>
        <v>https://tinyurl.com/y9kb8mzm</v>
      </c>
      <c r="DL555" s="89" t="str">
        <f t="shared" si="330"/>
        <v>https://tinyurl.com/yd7o6khn</v>
      </c>
      <c r="DM555" s="219" t="str">
        <f t="shared" si="331"/>
        <v>Black Pearl 82</v>
      </c>
      <c r="DN555" s="89" t="str">
        <f t="shared" si="332"/>
        <v xml:space="preserve"> BlizzardBlack Pearl 82173 Women's</v>
      </c>
      <c r="DO555" s="221" t="s">
        <v>619</v>
      </c>
    </row>
    <row r="556" spans="1:119" ht="15.6" customHeight="1">
      <c r="B556" s="219" t="b">
        <f t="array" ref="B556">IF(OR(ISERROR(K556:P556)),FALSE,TRUE)</f>
        <v>1</v>
      </c>
      <c r="C556" s="43" t="b">
        <f>OR(BR556=Driver!$G$50,Data!BR117=Driver!$H$50)</f>
        <v>1</v>
      </c>
      <c r="D556" s="43" t="b">
        <f>OR(BV556=Driver!$G$51,BV556=Driver!$H$51)</f>
        <v>1</v>
      </c>
      <c r="E556" s="43" t="b">
        <f>AND(BX556&gt;Driver!$F$54,BX556&lt;Driver!$G$54)</f>
        <v>0</v>
      </c>
      <c r="F556" s="43" t="b">
        <f>CL556&gt;Driver!$F$56</f>
        <v>1</v>
      </c>
      <c r="G556" s="43" t="b">
        <f>AND(CB556&gt;Driver!$F$55,CB556&lt;Driver!$G$55)</f>
        <v>0</v>
      </c>
      <c r="H556" s="43" t="b">
        <f t="shared" si="296"/>
        <v>0</v>
      </c>
      <c r="I556" s="43">
        <f t="shared" si="297"/>
        <v>0</v>
      </c>
      <c r="J556" s="43" t="b">
        <f t="array" ref="J556">NOT(OR(($H$9:$H$1273=TRUE)*($I$9:$I$1273&gt;0)*($BT$9:$BT$1273=BT556)*($K$9:$K$1273&gt;K556)))</f>
        <v>1</v>
      </c>
      <c r="K556" s="72">
        <f t="shared" si="298"/>
        <v>0.92002031395834494</v>
      </c>
      <c r="L556" s="72">
        <f t="shared" si="299"/>
        <v>0.91015090737188009</v>
      </c>
      <c r="M556" s="72">
        <f t="shared" si="300"/>
        <v>0.92988972054480978</v>
      </c>
      <c r="N556" s="72">
        <f t="shared" si="301"/>
        <v>0.99399300527446166</v>
      </c>
      <c r="O556" s="72">
        <f t="shared" si="302"/>
        <v>0.79983093008380313</v>
      </c>
      <c r="P556" s="72">
        <f t="shared" si="303"/>
        <v>0.99584522627616456</v>
      </c>
      <c r="Q556" s="72"/>
      <c r="R556" s="72"/>
      <c r="S556" s="72">
        <f t="shared" si="304"/>
        <v>0.45260922384513746</v>
      </c>
      <c r="T556" s="72">
        <f t="shared" si="305"/>
        <v>0.44539179933624717</v>
      </c>
      <c r="U556" s="72">
        <f t="shared" si="306"/>
        <v>0.93996532685967282</v>
      </c>
      <c r="V556" s="72">
        <f t="shared" si="307"/>
        <v>0.54108502135381209</v>
      </c>
      <c r="W556" s="72">
        <f t="shared" si="308"/>
        <v>0.87105504587155957</v>
      </c>
      <c r="X556" s="72">
        <f t="shared" si="309"/>
        <v>8.9849092628119853E-2</v>
      </c>
      <c r="Y556" s="72">
        <f t="shared" si="310"/>
        <v>7.0110279455190216E-2</v>
      </c>
      <c r="Z556" s="72">
        <f t="shared" si="311"/>
        <v>6.0069947255382977E-3</v>
      </c>
      <c r="AA556" s="72">
        <f t="shared" si="312"/>
        <v>0.20016906991619685</v>
      </c>
      <c r="AB556" s="72">
        <f t="shared" si="313"/>
        <v>4.154773723835492E-3</v>
      </c>
      <c r="AC556" s="72"/>
      <c r="AD556" s="72"/>
      <c r="AE556" s="72">
        <f t="shared" si="314"/>
        <v>0.54739077615486254</v>
      </c>
      <c r="AF556" s="72">
        <f t="shared" si="315"/>
        <v>0.55460820066375283</v>
      </c>
      <c r="AG556" s="72">
        <f t="shared" si="316"/>
        <v>6.0034673140327233E-2</v>
      </c>
      <c r="AH556" s="72">
        <f t="shared" si="317"/>
        <v>0.45891497864618797</v>
      </c>
      <c r="AI556" s="72">
        <f t="shared" si="318"/>
        <v>0.12894495412844037</v>
      </c>
      <c r="AJ556" s="72">
        <f>(AV556-Driver!$K$179)/(Driver!$L$179-Driver!$K$179)</f>
        <v>0.16437031665458057</v>
      </c>
      <c r="AK556" s="72">
        <f>(AW556-Driver!$K$180)/(Driver!$L$180-Driver!$K$180)</f>
        <v>0.24461528660356868</v>
      </c>
      <c r="AL556" s="72">
        <f>(AX556-Driver!$K$181)/(Driver!$L$181-Driver!$K$181)</f>
        <v>9.5680768987541881E-2</v>
      </c>
      <c r="AM556" s="72">
        <f>(AY556-Driver!$K$182)/(Driver!$L$182-Driver!$K$182)</f>
        <v>0.24721595118084952</v>
      </c>
      <c r="AN556" s="72">
        <f>(AZ556-Driver!$K$183)/(Driver!$L$183-Driver!$K$183)</f>
        <v>0.25837418300653592</v>
      </c>
      <c r="AO556" s="72"/>
      <c r="AP556" s="72"/>
      <c r="AQ556" s="72">
        <f>(BC556-Driver!$K$188)/(Driver!$L$188-Driver!$K$188)</f>
        <v>7.2609223845137461E-2</v>
      </c>
      <c r="AR556" s="72">
        <f>MIN((BD556-Driver!$K$189)/(Driver!$L$189-Driver!$K$189),100%)</f>
        <v>-4.6082006637527305E-3</v>
      </c>
      <c r="AS556" s="72">
        <f>(BE556-Driver!$K$190)/(Driver!$L$190-Driver!$K$190)</f>
        <v>0.44996532685967278</v>
      </c>
      <c r="AT556" s="72">
        <f>(BF556-Driver!$K$191)/(Driver!$L$191-Driver!$K$191)</f>
        <v>5.1085021353812023E-2</v>
      </c>
      <c r="AU556" s="72">
        <f>(BG556-Driver!$K$192)/(Driver!$L$192-Driver!$K$192)</f>
        <v>0.12105504587155963</v>
      </c>
      <c r="AV556" s="70">
        <f t="shared" si="319"/>
        <v>3.4595034595034591</v>
      </c>
      <c r="AW556" s="70">
        <f t="shared" si="320"/>
        <v>25.711819812912807</v>
      </c>
      <c r="AX556" s="70">
        <f t="shared" si="321"/>
        <v>1.8611269208878769</v>
      </c>
      <c r="AY556" s="70">
        <f>IFERROR(Driver!$K$19/Data!BH556/Data!BI556*Data!BK556*Data!BL556,"")</f>
        <v>0.30266608636595782</v>
      </c>
      <c r="AZ556" s="70">
        <f t="shared" si="322"/>
        <v>23.548026805658971</v>
      </c>
      <c r="BA556" s="70"/>
      <c r="BB556" s="70"/>
      <c r="BC556" s="70">
        <f t="shared" si="323"/>
        <v>37.66290917960778</v>
      </c>
      <c r="BD556" s="70">
        <f t="shared" si="324"/>
        <v>1.3130052906040233</v>
      </c>
      <c r="BE556" s="70">
        <f t="shared" si="325"/>
        <v>0.45006344685445709</v>
      </c>
      <c r="BF556" s="70">
        <f t="shared" si="326"/>
        <v>5.7696942693261528</v>
      </c>
      <c r="BG556" s="70">
        <f t="shared" si="327"/>
        <v>0.45839162844036702</v>
      </c>
      <c r="BH556" s="67">
        <f>MAX((CE556-Driver!$F$200)/(Driver!$G$200-Driver!$F$200)*$BI$1,1)</f>
        <v>1.8611269208878769</v>
      </c>
      <c r="BI556" s="67">
        <f>MAX($BI$1*(BY556-Driver!$F$201)/(Driver!$G$201-Driver!$F$201),1)</f>
        <v>7.2784810126582276</v>
      </c>
      <c r="BJ556" s="67">
        <f>(CB556-Driver!$F$206)/(Driver!$G$206-Driver!$F$206)*$BI$1</f>
        <v>5.3968253968253963</v>
      </c>
      <c r="BK556" s="67">
        <f>(CD556-Driver!$F$203)/(Driver!$G$203-Driver!$F$203)*$BI$1</f>
        <v>3.71559633027523</v>
      </c>
      <c r="BL556" s="67">
        <f>MAX((CR556-Driver!$F$202)/(Driver!$G$202-Driver!$F$202)*$BI$1,1)</f>
        <v>5.5172413793103452</v>
      </c>
      <c r="BM556" s="67">
        <f>MAX((CH556-Driver!$F$204)/(Driver!$G$204-Driver!$F$204)*$BI$1,1)</f>
        <v>2.5641025641025639</v>
      </c>
      <c r="BN556" s="67">
        <f>(CI556-Driver!$F$205)/(Driver!$G$205-Driver!$F$205)*$BI$1</f>
        <v>3.2352941176470589</v>
      </c>
      <c r="BO556" s="67">
        <f>(CK556-Driver!$F$207)/(Driver!$G$207-Driver!$F$207)*$BI$1</f>
        <v>1.8717683557394003</v>
      </c>
      <c r="BP556" s="67">
        <f>(CM556-Driver!$F$208)/(Driver!$G$208-Driver!$F$208)*$BI$1</f>
        <v>2.1222222222222222</v>
      </c>
      <c r="BQ556" s="67">
        <f>(CL556-Driver!$F$209)/(Driver!$G$209-Driver!$F$209)*$BI$1</f>
        <v>2.1875</v>
      </c>
      <c r="BR556" s="28" t="s">
        <v>155</v>
      </c>
      <c r="BS556" s="8" t="s">
        <v>156</v>
      </c>
      <c r="BT556" s="9" t="s">
        <v>399</v>
      </c>
      <c r="BU556" s="10">
        <v>172</v>
      </c>
      <c r="BV556" s="9" t="s">
        <v>158</v>
      </c>
      <c r="BW556" s="10">
        <v>172</v>
      </c>
      <c r="BX556" s="10">
        <v>171.1</v>
      </c>
      <c r="BY556" s="10">
        <v>123</v>
      </c>
      <c r="BZ556" s="10">
        <v>138</v>
      </c>
      <c r="CA556" s="10">
        <v>127</v>
      </c>
      <c r="CB556" s="10">
        <v>98</v>
      </c>
      <c r="CC556" s="10">
        <v>117</v>
      </c>
      <c r="CD556" s="10">
        <v>17.5</v>
      </c>
      <c r="CE556" s="10">
        <v>1227</v>
      </c>
      <c r="CF556" s="10">
        <v>1.49</v>
      </c>
      <c r="CG556" s="10">
        <v>1825</v>
      </c>
      <c r="CH556" s="10">
        <v>161</v>
      </c>
      <c r="CI556" s="10">
        <v>88</v>
      </c>
      <c r="CJ556" s="10">
        <v>53</v>
      </c>
      <c r="CK556" s="10">
        <v>291</v>
      </c>
      <c r="CL556" s="10">
        <v>14</v>
      </c>
      <c r="CM556" s="10">
        <v>191</v>
      </c>
      <c r="CN556" s="10">
        <v>0.27200000000000002</v>
      </c>
      <c r="CO556" s="10">
        <v>172</v>
      </c>
      <c r="CP556" s="10">
        <v>163</v>
      </c>
      <c r="CQ556" s="10">
        <v>120</v>
      </c>
      <c r="CR556" s="10">
        <v>5</v>
      </c>
      <c r="CS556" s="10">
        <v>7.9</v>
      </c>
      <c r="CT556" s="9" t="s">
        <v>185</v>
      </c>
      <c r="CU556" s="9" t="s">
        <v>198</v>
      </c>
      <c r="CV556" s="10"/>
      <c r="CW556" s="10"/>
      <c r="CX556" t="str">
        <f>INDEX('Data_Price '!AG$2:AG$1266,MATCH(Data!$DN556,'Data_Price '!$AT$2:$AT$1266,0))</f>
        <v>Atomic Backland 100</v>
      </c>
      <c r="CY556" t="str">
        <f>INDEX('Data_Price '!AH$2:AH$1266,MATCH(Data!$DN556,'Data_Price '!$AT$2:$AT$1266,0))</f>
        <v>Telemark Pyrenees</v>
      </c>
      <c r="CZ556">
        <f>INDEX('Data_Price '!AI$2:AI$1266,MATCH(Data!$DN556,'Data_Price '!$AT$2:$AT$1266,0))</f>
        <v>439.98</v>
      </c>
      <c r="DA556" t="str">
        <f>INDEX('Data_Price '!AJ$2:AJ$1266,MATCH(Data!$DN556,'Data_Price '!$AT$2:$AT$1266,0))</f>
        <v>https://tinyurl.com/y76gcoyc</v>
      </c>
      <c r="DB556" t="str">
        <f>INDEX('Data_Price '!AK$2:AK$1266,MATCH(Data!$DN556,'Data_Price '!$AT$2:$AT$1266,0))</f>
        <v>Atomic Backland 100</v>
      </c>
      <c r="DC556" t="str">
        <f>INDEX('Data_Price '!AL$2:AL$1266,MATCH(Data!$DN556,'Data_Price '!$AT$2:$AT$1266,0))</f>
        <v>Gorham Bike and Ski</v>
      </c>
      <c r="DD556">
        <f>INDEX('Data_Price '!AM$2:AM$1266,MATCH(Data!$DN556,'Data_Price '!$AT$2:$AT$1266,0))</f>
        <v>489.99</v>
      </c>
      <c r="DE556" t="str">
        <f>INDEX('Data_Price '!AN$2:AN$1266,MATCH(Data!$DN556,'Data_Price '!$AT$2:$AT$1266,0))</f>
        <v>https://tinyurl.com/yb8885hl</v>
      </c>
      <c r="DF556" t="str">
        <f>INDEX('Data_Price '!AO$2:AO$1266,MATCH(Data!$DN556,'Data_Price '!$AT$2:$AT$1266,0))</f>
        <v>Atomic Backland 100</v>
      </c>
      <c r="DG556" t="str">
        <f>INDEX('Data_Price '!AP$2:AP$1266,MATCH(Data!$DN556,'Data_Price '!$AT$2:$AT$1266,0))</f>
        <v>evo.com</v>
      </c>
      <c r="DH556">
        <f>INDEX('Data_Price '!AQ$2:AQ$1266,MATCH(Data!$DN556,'Data_Price '!$AT$2:$AT$1266,0))</f>
        <v>559.98</v>
      </c>
      <c r="DI556" t="str">
        <f>INDEX('Data_Price '!AR$2:AR$1266,MATCH(Data!$DN556,'Data_Price '!$AT$2:$AT$1266,0))</f>
        <v>https://tinyurl.com/y7ruo8qk</v>
      </c>
      <c r="DJ556" s="89" t="str">
        <f t="shared" si="328"/>
        <v>https://tinyurl.com/y76gcoyc</v>
      </c>
      <c r="DK556" s="89" t="str">
        <f t="shared" si="329"/>
        <v>https://tinyurl.com/yb8885hl</v>
      </c>
      <c r="DL556" s="89" t="str">
        <f t="shared" si="330"/>
        <v>https://tinyurl.com/y7ruo8qk</v>
      </c>
      <c r="DM556" s="219" t="str">
        <f t="shared" si="331"/>
        <v>Backland 100</v>
      </c>
      <c r="DN556" s="89" t="str">
        <f t="shared" si="332"/>
        <v xml:space="preserve"> AtomicBackland 100172 Unisex</v>
      </c>
      <c r="DO556" s="221" t="s">
        <v>400</v>
      </c>
    </row>
    <row r="557" spans="1:119" ht="15.6" customHeight="1">
      <c r="B557" s="219" t="b">
        <f t="array" ref="B557">IF(OR(ISERROR(K557:P557)),FALSE,TRUE)</f>
        <v>1</v>
      </c>
      <c r="C557" s="43" t="b">
        <f>OR(BR557=Driver!$G$50,Data!BR706=Driver!$H$50)</f>
        <v>1</v>
      </c>
      <c r="D557" s="43" t="b">
        <f>OR(BV557=Driver!$G$51,BV557=Driver!$H$51)</f>
        <v>1</v>
      </c>
      <c r="E557" s="43" t="b">
        <f>AND(BX557&gt;Driver!$F$54,BX557&lt;Driver!$G$54)</f>
        <v>0</v>
      </c>
      <c r="F557" s="43" t="b">
        <f>CL557&gt;Driver!$F$56</f>
        <v>1</v>
      </c>
      <c r="G557" s="43" t="b">
        <f>AND(CB557&gt;Driver!$F$55,CB557&lt;Driver!$G$55)</f>
        <v>0</v>
      </c>
      <c r="H557" s="43" t="b">
        <f t="shared" si="296"/>
        <v>0</v>
      </c>
      <c r="I557" s="43">
        <f t="shared" si="297"/>
        <v>0</v>
      </c>
      <c r="J557" s="43" t="b">
        <f t="array" ref="J557">NOT(OR(($H$9:$H$1273=TRUE)*($I$9:$I$1273&gt;0)*($BT$9:$BT$1273=BT557)*($K$9:$K$1273&gt;K557)))</f>
        <v>1</v>
      </c>
      <c r="K557" s="72">
        <f t="shared" si="298"/>
        <v>0.78596228389678546</v>
      </c>
      <c r="L557" s="72">
        <f t="shared" si="299"/>
        <v>0.85471621234327655</v>
      </c>
      <c r="M557" s="72">
        <f t="shared" si="300"/>
        <v>0.71720835545029438</v>
      </c>
      <c r="N557" s="72">
        <f t="shared" si="301"/>
        <v>0.621513223777584</v>
      </c>
      <c r="O557" s="72">
        <f t="shared" si="302"/>
        <v>0.62393164897687314</v>
      </c>
      <c r="P557" s="72">
        <f t="shared" si="303"/>
        <v>0.90618019359642588</v>
      </c>
      <c r="Q557" s="72"/>
      <c r="R557" s="72"/>
      <c r="S557" s="72">
        <f t="shared" si="304"/>
        <v>0.49716688210602633</v>
      </c>
      <c r="T557" s="72">
        <f t="shared" si="305"/>
        <v>0.78754021121934337</v>
      </c>
      <c r="U557" s="72">
        <f t="shared" si="306"/>
        <v>0.51</v>
      </c>
      <c r="V557" s="72">
        <f t="shared" si="307"/>
        <v>0.49168566828004279</v>
      </c>
      <c r="W557" s="72">
        <f t="shared" si="308"/>
        <v>0.76221256684491978</v>
      </c>
      <c r="X557" s="72">
        <f t="shared" si="309"/>
        <v>0.14528378765672351</v>
      </c>
      <c r="Y557" s="72">
        <f t="shared" si="310"/>
        <v>0.28279164454970568</v>
      </c>
      <c r="Z557" s="72">
        <f t="shared" si="311"/>
        <v>0.378486776222416</v>
      </c>
      <c r="AA557" s="72">
        <f t="shared" si="312"/>
        <v>0.37606835102312691</v>
      </c>
      <c r="AB557" s="72">
        <f t="shared" si="313"/>
        <v>9.3819806403574124E-2</v>
      </c>
      <c r="AC557" s="72"/>
      <c r="AD557" s="72"/>
      <c r="AE557" s="72">
        <f t="shared" si="314"/>
        <v>0.50283311789397367</v>
      </c>
      <c r="AF557" s="72">
        <f t="shared" si="315"/>
        <v>0.21245978878065663</v>
      </c>
      <c r="AG557" s="72">
        <f t="shared" si="316"/>
        <v>0.49</v>
      </c>
      <c r="AH557" s="72">
        <f t="shared" si="317"/>
        <v>0.50831433171995721</v>
      </c>
      <c r="AI557" s="72">
        <f t="shared" si="318"/>
        <v>0.23778743315508022</v>
      </c>
      <c r="AJ557" s="72">
        <f>(AV557-Driver!$K$179)/(Driver!$L$179-Driver!$K$179)</f>
        <v>0.10893562162597693</v>
      </c>
      <c r="AK557" s="72">
        <f>(AW557-Driver!$K$180)/(Driver!$L$180-Driver!$K$180)</f>
        <v>0.36176311295804869</v>
      </c>
      <c r="AL557" s="72">
        <f>(AX557-Driver!$K$181)/(Driver!$L$181-Driver!$K$181)</f>
        <v>0.48017453993549619</v>
      </c>
      <c r="AM557" s="72">
        <f>(AY557-Driver!$K$182)/(Driver!$L$182-Driver!$K$182)</f>
        <v>7.1316670073919439E-2</v>
      </c>
      <c r="AN557" s="72">
        <f>(AZ557-Driver!$K$183)/(Driver!$L$183-Driver!$K$183)</f>
        <v>0.34803921568627455</v>
      </c>
      <c r="AO557" s="72"/>
      <c r="AP557" s="72"/>
      <c r="AQ557" s="72">
        <f>(BC557-Driver!$K$188)/(Driver!$L$188-Driver!$K$188)</f>
        <v>0.11716688210602633</v>
      </c>
      <c r="AR557" s="72">
        <f>MIN((BD557-Driver!$K$189)/(Driver!$L$189-Driver!$K$189),100%)</f>
        <v>0.33754021121934341</v>
      </c>
      <c r="AS557" s="72">
        <f>(BE557-Driver!$K$190)/(Driver!$L$190-Driver!$K$190)</f>
        <v>1</v>
      </c>
      <c r="AT557" s="72">
        <f>(BF557-Driver!$K$191)/(Driver!$L$191-Driver!$K$191)</f>
        <v>1.6856682800428409E-3</v>
      </c>
      <c r="AU557" s="72">
        <f>(BG557-Driver!$K$192)/(Driver!$L$192-Driver!$K$192)</f>
        <v>1.2212566844919783E-2</v>
      </c>
      <c r="AV557" s="70">
        <f t="shared" si="319"/>
        <v>2.2927689594356258</v>
      </c>
      <c r="AW557" s="70">
        <f t="shared" si="320"/>
        <v>37.128913526496071</v>
      </c>
      <c r="AX557" s="70">
        <f t="shared" si="321"/>
        <v>5.3215708594194657</v>
      </c>
      <c r="AY557" s="70">
        <f>IFERROR(Driver!$K$19/Data!BH557/Data!BI557*Data!BK557*Data!BL557,"")</f>
        <v>8.731288301107612E-2</v>
      </c>
      <c r="AZ557" s="70">
        <f t="shared" si="322"/>
        <v>31.720029784065527</v>
      </c>
      <c r="BA557" s="70"/>
      <c r="BB557" s="70"/>
      <c r="BC557" s="70">
        <f t="shared" si="323"/>
        <v>60.775276279345647</v>
      </c>
      <c r="BD557" s="70">
        <f t="shared" si="324"/>
        <v>31.592533491145943</v>
      </c>
      <c r="BE557" s="70">
        <f t="shared" si="325"/>
        <v>1</v>
      </c>
      <c r="BF557" s="70">
        <f t="shared" si="326"/>
        <v>0.19038438974093336</v>
      </c>
      <c r="BG557" s="70">
        <f t="shared" si="327"/>
        <v>4.624456885026737E-2</v>
      </c>
      <c r="BH557" s="67">
        <f>MAX((CE557-Driver!$F$200)/(Driver!$G$200-Driver!$F$200)*$BI$1,1)</f>
        <v>5.3215708594194657</v>
      </c>
      <c r="BI557" s="67">
        <f>MAX($BI$1*(BY557-Driver!$F$201)/(Driver!$G$201-Driver!$F$201),1)</f>
        <v>8.9873417721518987</v>
      </c>
      <c r="BJ557" s="67">
        <f>(CB557-Driver!$F$206)/(Driver!$G$206-Driver!$F$206)*$BI$1</f>
        <v>2.0634920634920633</v>
      </c>
      <c r="BK557" s="67">
        <f>(CD557-Driver!$F$203)/(Driver!$G$203-Driver!$F$203)*$BI$1</f>
        <v>2.7522935779816518</v>
      </c>
      <c r="BL557" s="67">
        <f>MAX((CR557-Driver!$F$202)/(Driver!$G$202-Driver!$F$202)*$BI$1,1)</f>
        <v>7.5862068965517242</v>
      </c>
      <c r="BM557" s="67">
        <f>MAX((CH557-Driver!$F$204)/(Driver!$G$204-Driver!$F$204)*$BI$1,1)</f>
        <v>4.4444444444444446</v>
      </c>
      <c r="BN557" s="67">
        <f>(CI557-Driver!$F$205)/(Driver!$G$205-Driver!$F$205)*$BI$1</f>
        <v>3.5294117647058827</v>
      </c>
      <c r="BO557" s="67">
        <f>(CK557-Driver!$F$207)/(Driver!$G$207-Driver!$F$207)*$BI$1</f>
        <v>0.35160289555325747</v>
      </c>
      <c r="BP557" s="67">
        <f>(CM557-Driver!$F$208)/(Driver!$G$208-Driver!$F$208)*$BI$1</f>
        <v>0.7222222222222221</v>
      </c>
      <c r="BQ557" s="67">
        <f>(CL557-Driver!$F$209)/(Driver!$G$209-Driver!$F$209)*$BI$1</f>
        <v>1.09375</v>
      </c>
      <c r="BR557" s="28" t="s">
        <v>155</v>
      </c>
      <c r="BS557" s="8" t="s">
        <v>262</v>
      </c>
      <c r="BT557" s="9" t="s">
        <v>583</v>
      </c>
      <c r="BU557" s="10">
        <v>170</v>
      </c>
      <c r="BV557" s="9" t="s">
        <v>158</v>
      </c>
      <c r="BW557" s="10">
        <v>170</v>
      </c>
      <c r="BX557" s="10">
        <v>170.7</v>
      </c>
      <c r="BY557" s="10">
        <v>150</v>
      </c>
      <c r="BZ557" s="10">
        <v>159</v>
      </c>
      <c r="CA557" s="10">
        <v>124</v>
      </c>
      <c r="CB557" s="10">
        <v>77</v>
      </c>
      <c r="CC557" s="10">
        <v>110</v>
      </c>
      <c r="CD557" s="10">
        <v>15.4</v>
      </c>
      <c r="CE557" s="10">
        <v>1835</v>
      </c>
      <c r="CF557" s="10">
        <v>0.86</v>
      </c>
      <c r="CG557" s="10">
        <v>1572</v>
      </c>
      <c r="CH557" s="10">
        <v>205</v>
      </c>
      <c r="CI557" s="10">
        <v>93</v>
      </c>
      <c r="CJ557" s="10">
        <v>33</v>
      </c>
      <c r="CK557" s="10">
        <v>144</v>
      </c>
      <c r="CL557" s="10">
        <v>7</v>
      </c>
      <c r="CM557" s="10">
        <v>65</v>
      </c>
      <c r="CN557" s="10">
        <v>0.217</v>
      </c>
      <c r="CO557" s="10">
        <v>76</v>
      </c>
      <c r="CP557" s="10">
        <v>44</v>
      </c>
      <c r="CQ557" s="10">
        <v>68</v>
      </c>
      <c r="CR557" s="10">
        <v>11</v>
      </c>
      <c r="CS557" s="10">
        <v>10.7</v>
      </c>
      <c r="CT557" s="9" t="s">
        <v>349</v>
      </c>
      <c r="CU557" s="10"/>
      <c r="CV557" s="10"/>
      <c r="CW557" s="10"/>
      <c r="CX557" t="e">
        <f>INDEX('Data_Price '!AG$2:AG$1266,MATCH(Data!$DN557,'Data_Price '!$AT$2:$AT$1266,0))</f>
        <v>#N/A</v>
      </c>
      <c r="CY557" t="e">
        <f>INDEX('Data_Price '!AH$2:AH$1266,MATCH(Data!$DN557,'Data_Price '!$AT$2:$AT$1266,0))</f>
        <v>#N/A</v>
      </c>
      <c r="CZ557" t="e">
        <f>INDEX('Data_Price '!AI$2:AI$1266,MATCH(Data!$DN557,'Data_Price '!$AT$2:$AT$1266,0))</f>
        <v>#N/A</v>
      </c>
      <c r="DA557" t="e">
        <f>INDEX('Data_Price '!AJ$2:AJ$1266,MATCH(Data!$DN557,'Data_Price '!$AT$2:$AT$1266,0))</f>
        <v>#N/A</v>
      </c>
      <c r="DB557" t="e">
        <f>INDEX('Data_Price '!AK$2:AK$1266,MATCH(Data!$DN557,'Data_Price '!$AT$2:$AT$1266,0))</f>
        <v>#N/A</v>
      </c>
      <c r="DC557" t="e">
        <f>INDEX('Data_Price '!AL$2:AL$1266,MATCH(Data!$DN557,'Data_Price '!$AT$2:$AT$1266,0))</f>
        <v>#N/A</v>
      </c>
      <c r="DD557" t="e">
        <f>INDEX('Data_Price '!AM$2:AM$1266,MATCH(Data!$DN557,'Data_Price '!$AT$2:$AT$1266,0))</f>
        <v>#N/A</v>
      </c>
      <c r="DE557" t="e">
        <f>INDEX('Data_Price '!AN$2:AN$1266,MATCH(Data!$DN557,'Data_Price '!$AT$2:$AT$1266,0))</f>
        <v>#N/A</v>
      </c>
      <c r="DF557" t="e">
        <f>INDEX('Data_Price '!AO$2:AO$1266,MATCH(Data!$DN557,'Data_Price '!$AT$2:$AT$1266,0))</f>
        <v>#N/A</v>
      </c>
      <c r="DG557" t="e">
        <f>INDEX('Data_Price '!AP$2:AP$1266,MATCH(Data!$DN557,'Data_Price '!$AT$2:$AT$1266,0))</f>
        <v>#N/A</v>
      </c>
      <c r="DH557" t="e">
        <f>INDEX('Data_Price '!AQ$2:AQ$1266,MATCH(Data!$DN557,'Data_Price '!$AT$2:$AT$1266,0))</f>
        <v>#N/A</v>
      </c>
      <c r="DI557" t="e">
        <f>INDEX('Data_Price '!AR$2:AR$1266,MATCH(Data!$DN557,'Data_Price '!$AT$2:$AT$1266,0))</f>
        <v>#N/A</v>
      </c>
      <c r="DJ557" s="89" t="e">
        <f t="shared" si="328"/>
        <v>#N/A</v>
      </c>
      <c r="DK557" s="89" t="e">
        <f t="shared" si="329"/>
        <v>#N/A</v>
      </c>
      <c r="DL557" s="89" t="e">
        <f t="shared" si="330"/>
        <v>#N/A</v>
      </c>
      <c r="DM557" s="219" t="str">
        <f t="shared" si="331"/>
        <v>Disruption 78C</v>
      </c>
      <c r="DN557" s="89" t="str">
        <f t="shared" si="332"/>
        <v xml:space="preserve"> K2Disruption 78C170 Unisex</v>
      </c>
      <c r="DO557" s="221" t="s">
        <v>584</v>
      </c>
    </row>
    <row r="558" spans="1:119" ht="15.6" customHeight="1">
      <c r="B558" s="219" t="b">
        <f t="array" ref="B558">IF(OR(ISERROR(K558:P558)),FALSE,TRUE)</f>
        <v>1</v>
      </c>
      <c r="C558" s="43" t="b">
        <f>OR(BR558=Driver!$G$50,Data!BR201=Driver!$H$50)</f>
        <v>1</v>
      </c>
      <c r="D558" s="43" t="b">
        <f>OR(BV558=Driver!$G$51,BV558=Driver!$H$51)</f>
        <v>0</v>
      </c>
      <c r="E558" s="43" t="b">
        <f>AND(BX558&gt;Driver!$F$54,BX558&lt;Driver!$G$54)</f>
        <v>0</v>
      </c>
      <c r="F558" s="43" t="b">
        <f>CL558&gt;Driver!$F$56</f>
        <v>1</v>
      </c>
      <c r="G558" s="43" t="b">
        <f>AND(CB558&gt;Driver!$F$55,CB558&lt;Driver!$G$55)</f>
        <v>1</v>
      </c>
      <c r="H558" s="43" t="b">
        <f t="shared" si="296"/>
        <v>0</v>
      </c>
      <c r="I558" s="43">
        <f t="shared" si="297"/>
        <v>0</v>
      </c>
      <c r="J558" s="43" t="b">
        <f t="array" ref="J558">NOT(OR(($H$9:$H$1273=TRUE)*($I$9:$I$1273&gt;0)*($BT$9:$BT$1273=BT558)*($K$9:$K$1273&gt;K558)))</f>
        <v>1</v>
      </c>
      <c r="K558" s="72">
        <f t="shared" si="298"/>
        <v>0.86237450968047447</v>
      </c>
      <c r="L558" s="72">
        <f t="shared" si="299"/>
        <v>0.97444870771028969</v>
      </c>
      <c r="M558" s="72">
        <f t="shared" si="300"/>
        <v>0.75030031165065914</v>
      </c>
      <c r="N558" s="72">
        <f t="shared" si="301"/>
        <v>0.65629473266267857</v>
      </c>
      <c r="O558" s="72">
        <f t="shared" si="302"/>
        <v>0.67954456582036527</v>
      </c>
      <c r="P558" s="72">
        <f t="shared" si="303"/>
        <v>0.91506163646893357</v>
      </c>
      <c r="Q558" s="72"/>
      <c r="R558" s="72"/>
      <c r="S558" s="72">
        <f t="shared" si="304"/>
        <v>0.43692430292239859</v>
      </c>
      <c r="T558" s="72">
        <f t="shared" si="305"/>
        <v>0.45636174748587111</v>
      </c>
      <c r="U558" s="72">
        <f t="shared" si="306"/>
        <v>0.56338019324206945</v>
      </c>
      <c r="V558" s="72">
        <f t="shared" si="307"/>
        <v>0.53651817246539357</v>
      </c>
      <c r="W558" s="72">
        <f t="shared" si="308"/>
        <v>0.84347107438016522</v>
      </c>
      <c r="X558" s="72">
        <f t="shared" si="309"/>
        <v>2.5551292289710342E-2</v>
      </c>
      <c r="Y558" s="72">
        <f t="shared" si="310"/>
        <v>0.24969968834934086</v>
      </c>
      <c r="Z558" s="72">
        <f t="shared" si="311"/>
        <v>0.34370526733732143</v>
      </c>
      <c r="AA558" s="72">
        <f t="shared" si="312"/>
        <v>0.32045543417963473</v>
      </c>
      <c r="AB558" s="72">
        <f t="shared" si="313"/>
        <v>8.493836353106643E-2</v>
      </c>
      <c r="AC558" s="72"/>
      <c r="AD558" s="72"/>
      <c r="AE558" s="72">
        <f t="shared" si="314"/>
        <v>0.56307569707760141</v>
      </c>
      <c r="AF558" s="72">
        <f t="shared" si="315"/>
        <v>0.54363825251412889</v>
      </c>
      <c r="AG558" s="72">
        <f t="shared" si="316"/>
        <v>0.4366198067579305</v>
      </c>
      <c r="AH558" s="72">
        <f t="shared" si="317"/>
        <v>0.46348182753460637</v>
      </c>
      <c r="AI558" s="72">
        <f t="shared" si="318"/>
        <v>0.15652892561983472</v>
      </c>
      <c r="AJ558" s="72">
        <f>(AV558-Driver!$K$179)/(Driver!$L$179-Driver!$K$179)</f>
        <v>0.22866811699299008</v>
      </c>
      <c r="AK558" s="72">
        <f>(AW558-Driver!$K$180)/(Driver!$L$180-Driver!$K$180)</f>
        <v>0.19208299905511128</v>
      </c>
      <c r="AL558" s="72">
        <f>(AX558-Driver!$K$181)/(Driver!$L$181-Driver!$K$181)</f>
        <v>0.44539303105040162</v>
      </c>
      <c r="AM558" s="72">
        <f>(AY558-Driver!$K$182)/(Driver!$L$182-Driver!$K$182)</f>
        <v>0.1269295869174116</v>
      </c>
      <c r="AN558" s="72">
        <f>(AZ558-Driver!$K$183)/(Driver!$L$183-Driver!$K$183)</f>
        <v>0.169281045751634</v>
      </c>
      <c r="AO558" s="72"/>
      <c r="AP558" s="72"/>
      <c r="AQ558" s="72">
        <f>(BC558-Driver!$K$188)/(Driver!$L$188-Driver!$K$188)</f>
        <v>5.6924302922398556E-2</v>
      </c>
      <c r="AR558" s="72">
        <f>MIN((BD558-Driver!$K$189)/(Driver!$L$189-Driver!$K$189),100%)</f>
        <v>6.361747485871175E-3</v>
      </c>
      <c r="AS558" s="72">
        <f>(BE558-Driver!$K$190)/(Driver!$L$190-Driver!$K$190)</f>
        <v>7.3380193242069527E-2</v>
      </c>
      <c r="AT558" s="72">
        <f>(BF558-Driver!$K$191)/(Driver!$L$191-Driver!$K$191)</f>
        <v>4.6518172465393644E-2</v>
      </c>
      <c r="AU558" s="72">
        <f>(BG558-Driver!$K$192)/(Driver!$L$192-Driver!$K$192)</f>
        <v>9.3471074380165275E-2</v>
      </c>
      <c r="AV558" s="70">
        <f t="shared" si="319"/>
        <v>4.8127798127798131</v>
      </c>
      <c r="AW558" s="70">
        <f t="shared" si="320"/>
        <v>20.592082907895065</v>
      </c>
      <c r="AX558" s="70">
        <f t="shared" si="321"/>
        <v>5.0085372794536145</v>
      </c>
      <c r="AY558" s="70">
        <f>IFERROR(Driver!$K$19/Data!BH558/Data!BI558*Data!BK558*Data!BL558,"")</f>
        <v>0.15539968652037622</v>
      </c>
      <c r="AZ558" s="70">
        <f t="shared" si="322"/>
        <v>15.428145941921073</v>
      </c>
      <c r="BA558" s="70"/>
      <c r="BB558" s="70"/>
      <c r="BC558" s="70">
        <f t="shared" si="323"/>
        <v>29.527031657181869</v>
      </c>
      <c r="BD558" s="70">
        <f t="shared" si="324"/>
        <v>2.2838262642478009</v>
      </c>
      <c r="BE558" s="70">
        <f t="shared" si="325"/>
        <v>7.354549178604497E-2</v>
      </c>
      <c r="BF558" s="70">
        <f t="shared" si="326"/>
        <v>5.2539007713085617</v>
      </c>
      <c r="BG558" s="70">
        <f t="shared" si="327"/>
        <v>0.35394111570247933</v>
      </c>
      <c r="BH558" s="67">
        <f>MAX((CE558-Driver!$F$200)/(Driver!$G$200-Driver!$F$200)*$BI$1,1)</f>
        <v>5.0085372794536145</v>
      </c>
      <c r="BI558" s="67">
        <f>MAX($BI$1*(BY558-Driver!$F$201)/(Driver!$G$201-Driver!$F$201),1)</f>
        <v>7.0886075949367084</v>
      </c>
      <c r="BJ558" s="67">
        <f>(CB558-Driver!$F$206)/(Driver!$G$206-Driver!$F$206)*$BI$1</f>
        <v>6.825396825396826</v>
      </c>
      <c r="BK558" s="67">
        <f>(CD558-Driver!$F$203)/(Driver!$G$203-Driver!$F$203)*$BI$1</f>
        <v>5.0000000000000009</v>
      </c>
      <c r="BL558" s="67">
        <f>MAX((CR558-Driver!$F$202)/(Driver!$G$202-Driver!$F$202)*$BI$1,1)</f>
        <v>5.5172413793103452</v>
      </c>
      <c r="BM558" s="67">
        <f>MAX((CH558-Driver!$F$204)/(Driver!$G$204-Driver!$F$204)*$BI$1,1)</f>
        <v>2.8205128205128203</v>
      </c>
      <c r="BN558" s="67">
        <f>(CI558-Driver!$F$205)/(Driver!$G$205-Driver!$F$205)*$BI$1</f>
        <v>2.1764705882352944</v>
      </c>
      <c r="BO558" s="67">
        <f>(CK558-Driver!$F$207)/(Driver!$G$207-Driver!$F$207)*$BI$1</f>
        <v>1.6339193381592554</v>
      </c>
      <c r="BP558" s="67">
        <f>(CM558-Driver!$F$208)/(Driver!$G$208-Driver!$F$208)*$BI$1</f>
        <v>2.3555555555555556</v>
      </c>
      <c r="BQ558" s="67">
        <f>(CL558-Driver!$F$209)/(Driver!$G$209-Driver!$F$209)*$BI$1</f>
        <v>5</v>
      </c>
      <c r="BR558" s="28" t="s">
        <v>155</v>
      </c>
      <c r="BS558" s="8" t="s">
        <v>237</v>
      </c>
      <c r="BT558" s="9" t="s">
        <v>665</v>
      </c>
      <c r="BU558" s="10">
        <v>169.1</v>
      </c>
      <c r="BV558" s="9" t="s">
        <v>163</v>
      </c>
      <c r="BW558" s="10">
        <v>169.1</v>
      </c>
      <c r="BX558" s="10">
        <v>167.9</v>
      </c>
      <c r="BY558" s="10">
        <v>120</v>
      </c>
      <c r="BZ558" s="10">
        <v>139</v>
      </c>
      <c r="CA558" s="10">
        <v>136</v>
      </c>
      <c r="CB558" s="10">
        <v>107</v>
      </c>
      <c r="CC558" s="10">
        <v>122</v>
      </c>
      <c r="CD558" s="10">
        <v>20.3</v>
      </c>
      <c r="CE558" s="10">
        <v>1780</v>
      </c>
      <c r="CF558" s="10">
        <v>1.0900000000000001</v>
      </c>
      <c r="CG558" s="10">
        <v>1946</v>
      </c>
      <c r="CH558" s="10">
        <v>167</v>
      </c>
      <c r="CI558" s="10">
        <v>70</v>
      </c>
      <c r="CJ558" s="10">
        <v>46</v>
      </c>
      <c r="CK558" s="10">
        <v>268</v>
      </c>
      <c r="CL558" s="10">
        <v>32</v>
      </c>
      <c r="CM558" s="10">
        <v>212</v>
      </c>
      <c r="CN558" s="10">
        <v>0.68700000000000006</v>
      </c>
      <c r="CO558" s="10">
        <v>173</v>
      </c>
      <c r="CP558" s="10">
        <v>117</v>
      </c>
      <c r="CQ558" s="10">
        <v>95</v>
      </c>
      <c r="CR558" s="10">
        <v>5</v>
      </c>
      <c r="CS558" s="10">
        <v>8.4</v>
      </c>
      <c r="CT558" s="9" t="s">
        <v>169</v>
      </c>
      <c r="CU558" s="9" t="s">
        <v>185</v>
      </c>
      <c r="CV558" s="10"/>
      <c r="CW558" s="10"/>
      <c r="CX558" t="str">
        <f>INDEX('Data_Price '!AG$2:AG$1266,MATCH(Data!$DN558,'Data_Price '!$AT$2:$AT$1266,0))</f>
        <v>Black Crows Atris Birdie Skis - Women's - 2022</v>
      </c>
      <c r="CY558" t="str">
        <f>INDEX('Data_Price '!AH$2:AH$1266,MATCH(Data!$DN558,'Data_Price '!$AT$2:$AT$1266,0))</f>
        <v>Telemark Pyrenees</v>
      </c>
      <c r="CZ558">
        <f>INDEX('Data_Price '!AI$2:AI$1266,MATCH(Data!$DN558,'Data_Price '!$AT$2:$AT$1266,0))</f>
        <v>632.55999999999995</v>
      </c>
      <c r="DA558" t="str">
        <f>INDEX('Data_Price '!AJ$2:AJ$1266,MATCH(Data!$DN558,'Data_Price '!$AT$2:$AT$1266,0))</f>
        <v>https://tinyurl.com/yd2fxh7o</v>
      </c>
      <c r="DB558" t="str">
        <f>INDEX('Data_Price '!AK$2:AK$1266,MATCH(Data!$DN558,'Data_Price '!$AT$2:$AT$1266,0))</f>
        <v>Black Crows Atris Birdie Skis - Women's - 2022</v>
      </c>
      <c r="DC558" t="str">
        <f>INDEX('Data_Price '!AL$2:AL$1266,MATCH(Data!$DN558,'Data_Price '!$AT$2:$AT$1266,0))</f>
        <v>Teton Wasatch Ski Co.</v>
      </c>
      <c r="DD558">
        <f>INDEX('Data_Price '!AM$2:AM$1266,MATCH(Data!$DN558,'Data_Price '!$AT$2:$AT$1266,0))</f>
        <v>671</v>
      </c>
      <c r="DE558" t="str">
        <f>INDEX('Data_Price '!AN$2:AN$1266,MATCH(Data!$DN558,'Data_Price '!$AT$2:$AT$1266,0))</f>
        <v>https://tinyurl.com/ya8e3tth</v>
      </c>
      <c r="DF558" t="str">
        <f>INDEX('Data_Price '!AO$2:AO$1266,MATCH(Data!$DN558,'Data_Price '!$AT$2:$AT$1266,0))</f>
        <v>Black Crows Atris Birdie Skis - Women's - 2022</v>
      </c>
      <c r="DG558" t="str">
        <f>INDEX('Data_Price '!AP$2:AP$1266,MATCH(Data!$DN558,'Data_Price '!$AT$2:$AT$1266,0))</f>
        <v>Powder7 Ski Shop</v>
      </c>
      <c r="DH558">
        <f>INDEX('Data_Price '!AQ$2:AQ$1266,MATCH(Data!$DN558,'Data_Price '!$AT$2:$AT$1266,0))</f>
        <v>671.93</v>
      </c>
      <c r="DI558" t="str">
        <f>INDEX('Data_Price '!AR$2:AR$1266,MATCH(Data!$DN558,'Data_Price '!$AT$2:$AT$1266,0))</f>
        <v>https://tinyurl.com/ybpjaen8</v>
      </c>
      <c r="DJ558" s="89" t="str">
        <f t="shared" si="328"/>
        <v>https://tinyurl.com/yd2fxh7o</v>
      </c>
      <c r="DK558" s="89" t="str">
        <f t="shared" si="329"/>
        <v>https://tinyurl.com/ya8e3tth</v>
      </c>
      <c r="DL558" s="89" t="str">
        <f t="shared" si="330"/>
        <v>https://tinyurl.com/ybpjaen8</v>
      </c>
      <c r="DM558" s="219" t="str">
        <f t="shared" si="331"/>
        <v>Atris Birdie</v>
      </c>
      <c r="DN558" s="89" t="str">
        <f t="shared" si="332"/>
        <v xml:space="preserve"> Black CrowsAtris Birdie169.1 Women's</v>
      </c>
      <c r="DO558" s="221" t="s">
        <v>666</v>
      </c>
    </row>
    <row r="559" spans="1:119" ht="15.6" customHeight="1">
      <c r="B559" s="219" t="b">
        <f t="array" ref="B559">IF(OR(ISERROR(K559:P559)),FALSE,TRUE)</f>
        <v>1</v>
      </c>
      <c r="C559" s="43" t="b">
        <f>OR(BR559=Driver!$G$50,Data!BR283=Driver!$H$50)</f>
        <v>1</v>
      </c>
      <c r="D559" s="43" t="b">
        <f>OR(BV559=Driver!$G$51,BV559=Driver!$H$51)</f>
        <v>0</v>
      </c>
      <c r="E559" s="43" t="b">
        <f>AND(BX559&gt;Driver!$F$54,BX559&lt;Driver!$G$54)</f>
        <v>0</v>
      </c>
      <c r="F559" s="43" t="b">
        <f>CL559&gt;Driver!$F$56</f>
        <v>1</v>
      </c>
      <c r="G559" s="43" t="b">
        <f>AND(CB559&gt;Driver!$F$55,CB559&lt;Driver!$G$55)</f>
        <v>0</v>
      </c>
      <c r="H559" s="43" t="b">
        <f t="shared" si="296"/>
        <v>0</v>
      </c>
      <c r="I559" s="43">
        <f t="shared" si="297"/>
        <v>0</v>
      </c>
      <c r="J559" s="43" t="b">
        <f t="array" ref="J559">NOT(OR(($H$9:$H$1273=TRUE)*($I$9:$I$1273&gt;0)*($BT$9:$BT$1273=BT559)*($K$9:$K$1273&gt;K559)))</f>
        <v>1</v>
      </c>
      <c r="K559" s="72">
        <f t="shared" si="298"/>
        <v>0.78749544497879476</v>
      </c>
      <c r="L559" s="72">
        <f t="shared" si="299"/>
        <v>0.80274618575396062</v>
      </c>
      <c r="M559" s="72">
        <f t="shared" si="300"/>
        <v>0.77224470420362878</v>
      </c>
      <c r="N559" s="72">
        <f t="shared" si="301"/>
        <v>0.76506599681242882</v>
      </c>
      <c r="O559" s="72">
        <f t="shared" si="302"/>
        <v>0.59820778651906625</v>
      </c>
      <c r="P559" s="72">
        <f t="shared" si="303"/>
        <v>0.95346032927939106</v>
      </c>
      <c r="Q559" s="72"/>
      <c r="R559" s="72"/>
      <c r="S559" s="72">
        <f t="shared" si="304"/>
        <v>0.42922706236152641</v>
      </c>
      <c r="T559" s="72">
        <f t="shared" si="305"/>
        <v>0.79739680226278031</v>
      </c>
      <c r="U559" s="72">
        <f t="shared" si="306"/>
        <v>0.51</v>
      </c>
      <c r="V559" s="72">
        <f t="shared" si="307"/>
        <v>0.4911701240217079</v>
      </c>
      <c r="W559" s="72">
        <f t="shared" si="308"/>
        <v>0.76897969457962745</v>
      </c>
      <c r="X559" s="72">
        <f t="shared" si="309"/>
        <v>0.19725381424603938</v>
      </c>
      <c r="Y559" s="72">
        <f t="shared" si="310"/>
        <v>0.22775529579637124</v>
      </c>
      <c r="Z559" s="72">
        <f t="shared" si="311"/>
        <v>0.23493400318757118</v>
      </c>
      <c r="AA559" s="72">
        <f t="shared" si="312"/>
        <v>0.40179221348093369</v>
      </c>
      <c r="AB559" s="72">
        <f t="shared" si="313"/>
        <v>4.6539670720608911E-2</v>
      </c>
      <c r="AC559" s="72"/>
      <c r="AD559" s="72"/>
      <c r="AE559" s="72">
        <f t="shared" si="314"/>
        <v>0.57077293763847359</v>
      </c>
      <c r="AF559" s="72">
        <f t="shared" si="315"/>
        <v>0.20260319773721969</v>
      </c>
      <c r="AG559" s="72">
        <f t="shared" si="316"/>
        <v>0.49</v>
      </c>
      <c r="AH559" s="72">
        <f t="shared" si="317"/>
        <v>0.5088298759782921</v>
      </c>
      <c r="AI559" s="72">
        <f t="shared" si="318"/>
        <v>0.23102030542037255</v>
      </c>
      <c r="AJ559" s="72">
        <f>(AV559-Driver!$K$179)/(Driver!$L$179-Driver!$K$179)</f>
        <v>5.6965595036661029E-2</v>
      </c>
      <c r="AK559" s="72">
        <f>(AW559-Driver!$K$180)/(Driver!$L$180-Driver!$K$180)</f>
        <v>0.21692533573976716</v>
      </c>
      <c r="AL559" s="72">
        <f>(AX559-Driver!$K$181)/(Driver!$L$181-Driver!$K$181)</f>
        <v>0.33662176690065138</v>
      </c>
      <c r="AM559" s="72">
        <f>(AY559-Driver!$K$182)/(Driver!$L$182-Driver!$K$182)</f>
        <v>4.5592807616112688E-2</v>
      </c>
      <c r="AN559" s="72">
        <f>(AZ559-Driver!$K$183)/(Driver!$L$183-Driver!$K$183)</f>
        <v>0.20767973856209151</v>
      </c>
      <c r="AO559" s="72"/>
      <c r="AP559" s="72"/>
      <c r="AQ559" s="72">
        <f>(BC559-Driver!$K$188)/(Driver!$L$188-Driver!$K$188)</f>
        <v>4.9227062361526415E-2</v>
      </c>
      <c r="AR559" s="72">
        <f>MIN((BD559-Driver!$K$189)/(Driver!$L$189-Driver!$K$189),100%)</f>
        <v>0.75260319773721973</v>
      </c>
      <c r="AS559" s="72">
        <f>(BE559-Driver!$K$190)/(Driver!$L$190-Driver!$K$190)</f>
        <v>1</v>
      </c>
      <c r="AT559" s="72">
        <f>(BF559-Driver!$K$191)/(Driver!$L$191-Driver!$K$191)</f>
        <v>1.1701240217078771E-3</v>
      </c>
      <c r="AU559" s="72">
        <f>(BG559-Driver!$K$192)/(Driver!$L$192-Driver!$K$192)</f>
        <v>1.8979694579627445E-2</v>
      </c>
      <c r="AV559" s="70">
        <f t="shared" si="319"/>
        <v>1.1989553656220324</v>
      </c>
      <c r="AW559" s="70">
        <f t="shared" si="320"/>
        <v>23.013188743310824</v>
      </c>
      <c r="AX559" s="70">
        <f t="shared" si="321"/>
        <v>4.0295959021058625</v>
      </c>
      <c r="AY559" s="70">
        <f>IFERROR(Driver!$K$19/Data!BH559/Data!BI559*Data!BK559*Data!BL559,"")</f>
        <v>5.5819200102949613E-2</v>
      </c>
      <c r="AZ559" s="70">
        <f t="shared" si="322"/>
        <v>18.927773641102011</v>
      </c>
      <c r="BA559" s="70"/>
      <c r="BB559" s="70"/>
      <c r="BC559" s="70">
        <f t="shared" si="323"/>
        <v>25.534419467909238</v>
      </c>
      <c r="BD559" s="70">
        <f t="shared" si="324"/>
        <v>68.324872349884643</v>
      </c>
      <c r="BE559" s="70">
        <f t="shared" si="325"/>
        <v>1</v>
      </c>
      <c r="BF559" s="70">
        <f t="shared" si="326"/>
        <v>0.13215728766539944</v>
      </c>
      <c r="BG559" s="70">
        <f t="shared" si="327"/>
        <v>7.1869231414666862E-2</v>
      </c>
      <c r="BH559" s="67">
        <f>MAX((CE559-Driver!$F$200)/(Driver!$G$200-Driver!$F$200)*$BI$1,1)</f>
        <v>4.0295959021058625</v>
      </c>
      <c r="BI559" s="67">
        <f>MAX($BI$1*(BY559-Driver!$F$201)/(Driver!$G$201-Driver!$F$201),1)</f>
        <v>7.8481012658227849</v>
      </c>
      <c r="BJ559" s="67">
        <f>(CB559-Driver!$F$206)/(Driver!$G$206-Driver!$F$206)*$BI$1</f>
        <v>1.1111111111111112</v>
      </c>
      <c r="BK559" s="67">
        <f>(CD559-Driver!$F$203)/(Driver!$G$203-Driver!$F$203)*$BI$1</f>
        <v>1.4220183486238533</v>
      </c>
      <c r="BL559" s="67">
        <f>MAX((CR559-Driver!$F$202)/(Driver!$G$202-Driver!$F$202)*$BI$1,1)</f>
        <v>6.2068965517241379</v>
      </c>
      <c r="BM559" s="67">
        <f>MAX((CH559-Driver!$F$204)/(Driver!$G$204-Driver!$F$204)*$BI$1,1)</f>
        <v>4.3162393162393169</v>
      </c>
      <c r="BN559" s="67">
        <f>(CI559-Driver!$F$205)/(Driver!$G$205-Driver!$F$205)*$BI$1</f>
        <v>2.4117647058823528</v>
      </c>
      <c r="BO559" s="67">
        <f>(CK559-Driver!$F$207)/(Driver!$G$207-Driver!$F$207)*$BI$1</f>
        <v>0.23784901758014479</v>
      </c>
      <c r="BP559" s="67">
        <f>(CM559-Driver!$F$208)/(Driver!$G$208-Driver!$F$208)*$BI$1</f>
        <v>0.71111111111111114</v>
      </c>
      <c r="BQ559" s="67">
        <f>(CL559-Driver!$F$209)/(Driver!$G$209-Driver!$F$209)*$BI$1</f>
        <v>1.25</v>
      </c>
      <c r="BR559" s="28" t="s">
        <v>155</v>
      </c>
      <c r="BS559" s="8" t="s">
        <v>317</v>
      </c>
      <c r="BT559" s="9" t="s">
        <v>613</v>
      </c>
      <c r="BU559" s="10">
        <v>153</v>
      </c>
      <c r="BV559" s="9" t="s">
        <v>163</v>
      </c>
      <c r="BW559" s="10">
        <v>153</v>
      </c>
      <c r="BX559" s="10">
        <v>151.4</v>
      </c>
      <c r="BY559" s="10">
        <v>132</v>
      </c>
      <c r="BZ559" s="10">
        <v>139</v>
      </c>
      <c r="CA559" s="10">
        <v>119</v>
      </c>
      <c r="CB559" s="10">
        <v>71</v>
      </c>
      <c r="CC559" s="10">
        <v>101</v>
      </c>
      <c r="CD559" s="10">
        <v>12.5</v>
      </c>
      <c r="CE559" s="10">
        <v>1608</v>
      </c>
      <c r="CF559" s="10">
        <v>0.8</v>
      </c>
      <c r="CG559" s="10">
        <v>1292</v>
      </c>
      <c r="CH559" s="10">
        <v>202</v>
      </c>
      <c r="CI559" s="10">
        <v>74</v>
      </c>
      <c r="CJ559" s="10">
        <v>31</v>
      </c>
      <c r="CK559" s="10">
        <v>133</v>
      </c>
      <c r="CL559" s="10">
        <v>8</v>
      </c>
      <c r="CM559" s="10">
        <v>64</v>
      </c>
      <c r="CN559" s="10">
        <v>0.25900000000000001</v>
      </c>
      <c r="CO559" s="10">
        <v>73</v>
      </c>
      <c r="CP559" s="10">
        <v>51</v>
      </c>
      <c r="CQ559" s="10">
        <v>59</v>
      </c>
      <c r="CR559" s="10">
        <v>7</v>
      </c>
      <c r="CS559" s="10">
        <v>10.199999999999999</v>
      </c>
      <c r="CT559" s="9" t="s">
        <v>349</v>
      </c>
      <c r="CU559" s="10"/>
      <c r="CV559" s="10"/>
      <c r="CW559" s="10"/>
      <c r="CX559" t="str">
        <f>INDEX('Data_Price '!AG$2:AG$1266,MATCH(Data!$DN559,'Data_Price '!$AT$2:$AT$1266,0))</f>
        <v>Blizzard Ski Women's Phoenix 7.2 w/ TLT10 Skis</v>
      </c>
      <c r="CY559" t="str">
        <f>INDEX('Data_Price '!AH$2:AH$1266,MATCH(Data!$DN559,'Data_Price '!$AT$2:$AT$1266,0))</f>
        <v>The-House.com</v>
      </c>
      <c r="CZ559">
        <f>INDEX('Data_Price '!AI$2:AI$1266,MATCH(Data!$DN559,'Data_Price '!$AT$2:$AT$1266,0))</f>
        <v>399.95</v>
      </c>
      <c r="DA559" t="str">
        <f>INDEX('Data_Price '!AJ$2:AJ$1266,MATCH(Data!$DN559,'Data_Price '!$AT$2:$AT$1266,0))</f>
        <v>https://tinyurl.com/ycmyuecj</v>
      </c>
      <c r="DB559" t="str">
        <f>INDEX('Data_Price '!AK$2:AK$1266,MATCH(Data!$DN559,'Data_Price '!$AT$2:$AT$1266,0))</f>
        <v>Blizzard Phoenix 7.2 Anthracite</v>
      </c>
      <c r="DC559" t="str">
        <f>INDEX('Data_Price '!AL$2:AL$1266,MATCH(Data!$DN559,'Data_Price '!$AT$2:$AT$1266,0))</f>
        <v>SportÃ¨que</v>
      </c>
      <c r="DD559">
        <f>INDEX('Data_Price '!AM$2:AM$1266,MATCH(Data!$DN559,'Data_Price '!$AT$2:$AT$1266,0))</f>
        <v>400.85</v>
      </c>
      <c r="DE559" t="str">
        <f>INDEX('Data_Price '!AN$2:AN$1266,MATCH(Data!$DN559,'Data_Price '!$AT$2:$AT$1266,0))</f>
        <v>https://tinyurl.com/yavfh4ej</v>
      </c>
      <c r="DF559" t="str">
        <f>INDEX('Data_Price '!AO$2:AO$1266,MATCH(Data!$DN559,'Data_Price '!$AT$2:$AT$1266,0))</f>
        <v>Blizzard Women's Phoenix 7.7 w/TLT10 Skis 153</v>
      </c>
      <c r="DG559" t="str">
        <f>INDEX('Data_Price '!AP$2:AP$1266,MATCH(Data!$DN559,'Data_Price '!$AT$2:$AT$1266,0))</f>
        <v>sunandski.com</v>
      </c>
      <c r="DH559">
        <f>INDEX('Data_Price '!AQ$2:AQ$1266,MATCH(Data!$DN559,'Data_Price '!$AT$2:$AT$1266,0))</f>
        <v>399.93</v>
      </c>
      <c r="DI559" t="str">
        <f>INDEX('Data_Price '!AR$2:AR$1266,MATCH(Data!$DN559,'Data_Price '!$AT$2:$AT$1266,0))</f>
        <v>https://tinyurl.com/y7egpx2e</v>
      </c>
      <c r="DJ559" s="89" t="str">
        <f t="shared" si="328"/>
        <v>https://tinyurl.com/ycmyuecj</v>
      </c>
      <c r="DK559" s="89" t="str">
        <f t="shared" si="329"/>
        <v>https://tinyurl.com/yavfh4ej</v>
      </c>
      <c r="DL559" s="89" t="str">
        <f t="shared" si="330"/>
        <v>https://tinyurl.com/y7egpx2e</v>
      </c>
      <c r="DM559" s="219" t="str">
        <f t="shared" si="331"/>
        <v>Phoenix 7.2</v>
      </c>
      <c r="DN559" s="89" t="str">
        <f t="shared" si="332"/>
        <v xml:space="preserve"> BlizzardPhoenix 7.2153 Women's</v>
      </c>
      <c r="DO559" s="221"/>
    </row>
    <row r="560" spans="1:119" ht="15.6" customHeight="1">
      <c r="B560" s="219" t="b">
        <f t="array" ref="B560">IF(OR(ISERROR(K560:P560)),FALSE,TRUE)</f>
        <v>1</v>
      </c>
      <c r="C560" s="43" t="b">
        <f>OR(BR560=Driver!$G$50,Data!BR1210=Driver!$H$50)</f>
        <v>1</v>
      </c>
      <c r="D560" s="43" t="b">
        <f>OR(BV560=Driver!$G$51,BV560=Driver!$H$51)</f>
        <v>1</v>
      </c>
      <c r="E560" s="43" t="b">
        <f>AND(BX560&gt;Driver!$F$54,BX560&lt;Driver!$G$54)</f>
        <v>0</v>
      </c>
      <c r="F560" s="43" t="b">
        <f>CL560&gt;Driver!$F$56</f>
        <v>1</v>
      </c>
      <c r="G560" s="43" t="b">
        <f>AND(CB560&gt;Driver!$F$55,CB560&lt;Driver!$G$55)</f>
        <v>0</v>
      </c>
      <c r="H560" s="43" t="b">
        <f t="shared" si="296"/>
        <v>0</v>
      </c>
      <c r="I560" s="43">
        <f t="shared" si="297"/>
        <v>0</v>
      </c>
      <c r="J560" s="43" t="b">
        <f t="array" ref="J560">NOT(OR(($H$9:$H$1273=TRUE)*($I$9:$I$1273&gt;0)*($BT$9:$BT$1273=BT560)*($K$9:$K$1273&gt;K560)))</f>
        <v>1</v>
      </c>
      <c r="K560" s="72">
        <f t="shared" si="298"/>
        <v>0.82894964995223241</v>
      </c>
      <c r="L560" s="72">
        <f t="shared" si="299"/>
        <v>0.98943541305232485</v>
      </c>
      <c r="M560" s="72">
        <f t="shared" si="300"/>
        <v>0.66846388685213987</v>
      </c>
      <c r="N560" s="72">
        <f t="shared" si="301"/>
        <v>0.54436151315973802</v>
      </c>
      <c r="O560" s="72">
        <f t="shared" si="302"/>
        <v>0.6323009341924124</v>
      </c>
      <c r="P560" s="72">
        <f t="shared" si="303"/>
        <v>0.82872921320426907</v>
      </c>
      <c r="Q560" s="72"/>
      <c r="R560" s="72"/>
      <c r="S560" s="72">
        <f t="shared" si="304"/>
        <v>0.52759115813338375</v>
      </c>
      <c r="T560" s="72">
        <f t="shared" si="305"/>
        <v>0.54233814194903673</v>
      </c>
      <c r="U560" s="72">
        <f t="shared" si="306"/>
        <v>0.5209781767399766</v>
      </c>
      <c r="V560" s="72">
        <f t="shared" si="307"/>
        <v>0.59997621385702404</v>
      </c>
      <c r="W560" s="72">
        <f t="shared" si="308"/>
        <v>0.77038113258548457</v>
      </c>
      <c r="X560" s="72">
        <f t="shared" si="309"/>
        <v>1.0564586947675092E-2</v>
      </c>
      <c r="Y560" s="72">
        <f t="shared" si="310"/>
        <v>0.33153611314786013</v>
      </c>
      <c r="Z560" s="72">
        <f t="shared" si="311"/>
        <v>0.45563848684026198</v>
      </c>
      <c r="AA560" s="72">
        <f t="shared" si="312"/>
        <v>0.36769906580758754</v>
      </c>
      <c r="AB560" s="72">
        <f t="shared" si="313"/>
        <v>0.17127078679573093</v>
      </c>
      <c r="AC560" s="72"/>
      <c r="AD560" s="72"/>
      <c r="AE560" s="72">
        <f t="shared" si="314"/>
        <v>0.47240884186661625</v>
      </c>
      <c r="AF560" s="72">
        <f t="shared" si="315"/>
        <v>0.45766185805096332</v>
      </c>
      <c r="AG560" s="72">
        <f t="shared" si="316"/>
        <v>0.4790218232600234</v>
      </c>
      <c r="AH560" s="72">
        <f t="shared" si="317"/>
        <v>0.40002378614297596</v>
      </c>
      <c r="AI560" s="72">
        <f t="shared" si="318"/>
        <v>0.22961886741451548</v>
      </c>
      <c r="AJ560" s="72">
        <f>(AV560-Driver!$K$179)/(Driver!$L$179-Driver!$K$179)</f>
        <v>0.24365482233502533</v>
      </c>
      <c r="AK560" s="72">
        <f>(AW560-Driver!$K$180)/(Driver!$L$180-Driver!$K$180)</f>
        <v>0.44142170280226811</v>
      </c>
      <c r="AL560" s="72">
        <f>(AX560-Driver!$K$181)/(Driver!$L$181-Driver!$K$181)</f>
        <v>0.55732625055334217</v>
      </c>
      <c r="AM560" s="72">
        <f>(AY560-Driver!$K$182)/(Driver!$L$182-Driver!$K$182)</f>
        <v>7.9685955289458807E-2</v>
      </c>
      <c r="AN560" s="72">
        <f>(AZ560-Driver!$K$183)/(Driver!$L$183-Driver!$K$183)</f>
        <v>0.42549019607843136</v>
      </c>
      <c r="AO560" s="72"/>
      <c r="AP560" s="72"/>
      <c r="AQ560" s="72">
        <f>(BC560-Driver!$K$188)/(Driver!$L$188-Driver!$K$188)</f>
        <v>0.14759115813338378</v>
      </c>
      <c r="AR560" s="72">
        <f>MIN((BD560-Driver!$K$189)/(Driver!$L$189-Driver!$K$189),100%)</f>
        <v>9.2338141949036723E-2</v>
      </c>
      <c r="AS560" s="72">
        <f>(BE560-Driver!$K$190)/(Driver!$L$190-Driver!$K$190)</f>
        <v>3.0978176739976594E-2</v>
      </c>
      <c r="AT560" s="72">
        <f>(BF560-Driver!$K$191)/(Driver!$L$191-Driver!$K$191)</f>
        <v>0.10997621385702407</v>
      </c>
      <c r="AU560" s="72">
        <f>(BG560-Driver!$K$192)/(Driver!$L$192-Driver!$K$192)</f>
        <v>2.0381132585484525E-2</v>
      </c>
      <c r="AV560" s="70">
        <f t="shared" si="319"/>
        <v>5.1282051282051277</v>
      </c>
      <c r="AW560" s="70">
        <f t="shared" si="320"/>
        <v>44.892348953725957</v>
      </c>
      <c r="AX560" s="70">
        <f t="shared" si="321"/>
        <v>6.0159362549800797</v>
      </c>
      <c r="AY560" s="70">
        <f>IFERROR(Driver!$K$19/Data!BH560/Data!BI560*Data!BK560*Data!BL560,"")</f>
        <v>9.7559385268589024E-2</v>
      </c>
      <c r="AZ560" s="70">
        <f t="shared" si="322"/>
        <v>38.778853313477292</v>
      </c>
      <c r="BA560" s="70"/>
      <c r="BB560" s="70"/>
      <c r="BC560" s="70">
        <f t="shared" si="323"/>
        <v>76.556559760871508</v>
      </c>
      <c r="BD560" s="70">
        <f t="shared" si="324"/>
        <v>9.8925848330814627</v>
      </c>
      <c r="BE560" s="70">
        <f t="shared" si="325"/>
        <v>3.1151039326440977E-2</v>
      </c>
      <c r="BF560" s="70">
        <f t="shared" si="326"/>
        <v>12.421040728520904</v>
      </c>
      <c r="BG560" s="70">
        <f t="shared" si="327"/>
        <v>7.7175969725638602E-2</v>
      </c>
      <c r="BH560" s="67">
        <f>MAX((CE560-Driver!$F$200)/(Driver!$G$200-Driver!$F$200)*$BI$1,1)</f>
        <v>6.0159362549800797</v>
      </c>
      <c r="BI560" s="67">
        <f>MAX($BI$1*(BY560-Driver!$F$201)/(Driver!$G$201-Driver!$F$201),1)</f>
        <v>5.8860759493670889</v>
      </c>
      <c r="BJ560" s="67">
        <f>(CB560-Driver!$F$206)/(Driver!$G$206-Driver!$F$206)*$BI$1</f>
        <v>3.8095238095238093</v>
      </c>
      <c r="BK560" s="67">
        <f>(CD560-Driver!$F$203)/(Driver!$G$203-Driver!$F$203)*$BI$1</f>
        <v>3.8532110091743128</v>
      </c>
      <c r="BL560" s="67">
        <f>MAX((CR560-Driver!$F$202)/(Driver!$G$202-Driver!$F$202)*$BI$1,1)</f>
        <v>4.4827586206896548</v>
      </c>
      <c r="BM560" s="67">
        <f>MAX((CH560-Driver!$F$204)/(Driver!$G$204-Driver!$F$204)*$BI$1,1)</f>
        <v>5.3846153846153841</v>
      </c>
      <c r="BN560" s="67">
        <f>(CI560-Driver!$F$205)/(Driver!$G$205-Driver!$F$205)*$BI$1</f>
        <v>6.5882352941176467</v>
      </c>
      <c r="BO560" s="67">
        <f>(CK560-Driver!$F$207)/(Driver!$G$207-Driver!$F$207)*$BI$1</f>
        <v>3.185108583247156</v>
      </c>
      <c r="BP560" s="67">
        <f>(CM560-Driver!$F$208)/(Driver!$G$208-Driver!$F$208)*$BI$1</f>
        <v>3.9444444444444442</v>
      </c>
      <c r="BQ560" s="67">
        <f>(CL560-Driver!$F$209)/(Driver!$G$209-Driver!$F$209)*$BI$1</f>
        <v>2.5</v>
      </c>
      <c r="BR560" s="28" t="s">
        <v>155</v>
      </c>
      <c r="BS560" s="8" t="s">
        <v>229</v>
      </c>
      <c r="BT560" s="9" t="s">
        <v>437</v>
      </c>
      <c r="BU560" s="10">
        <v>177</v>
      </c>
      <c r="BV560" s="9" t="s">
        <v>158</v>
      </c>
      <c r="BW560" s="10">
        <v>177</v>
      </c>
      <c r="BX560" s="10">
        <v>178.3</v>
      </c>
      <c r="BY560" s="10">
        <v>101</v>
      </c>
      <c r="BZ560" s="10">
        <v>154</v>
      </c>
      <c r="CA560" s="10">
        <v>128</v>
      </c>
      <c r="CB560" s="10">
        <v>88</v>
      </c>
      <c r="CC560" s="10">
        <v>111</v>
      </c>
      <c r="CD560" s="10">
        <v>17.8</v>
      </c>
      <c r="CE560" s="10">
        <v>1957</v>
      </c>
      <c r="CF560" s="10">
        <v>0.91</v>
      </c>
      <c r="CG560" s="10">
        <v>1790</v>
      </c>
      <c r="CH560" s="10">
        <v>227</v>
      </c>
      <c r="CI560" s="10">
        <v>145</v>
      </c>
      <c r="CJ560" s="10">
        <v>44</v>
      </c>
      <c r="CK560" s="10">
        <v>418</v>
      </c>
      <c r="CL560" s="10">
        <v>16</v>
      </c>
      <c r="CM560" s="10">
        <v>355</v>
      </c>
      <c r="CN560" s="10">
        <v>0.36299999999999999</v>
      </c>
      <c r="CO560" s="10">
        <v>133</v>
      </c>
      <c r="CP560" s="10">
        <v>106</v>
      </c>
      <c r="CQ560" s="10">
        <v>285</v>
      </c>
      <c r="CR560" s="10">
        <v>2</v>
      </c>
      <c r="CS560" s="10">
        <v>11.9</v>
      </c>
      <c r="CT560" s="9" t="s">
        <v>188</v>
      </c>
      <c r="CU560" s="10"/>
      <c r="CV560" s="10"/>
      <c r="CW560" s="10"/>
      <c r="CX560" t="e">
        <f>INDEX('Data_Price '!AG$2:AG$1266,MATCH(Data!$DN560,'Data_Price '!$AT$2:$AT$1266,0))</f>
        <v>#N/A</v>
      </c>
      <c r="CY560" t="e">
        <f>INDEX('Data_Price '!AH$2:AH$1266,MATCH(Data!$DN560,'Data_Price '!$AT$2:$AT$1266,0))</f>
        <v>#N/A</v>
      </c>
      <c r="CZ560" t="e">
        <f>INDEX('Data_Price '!AI$2:AI$1266,MATCH(Data!$DN560,'Data_Price '!$AT$2:$AT$1266,0))</f>
        <v>#N/A</v>
      </c>
      <c r="DA560" t="e">
        <f>INDEX('Data_Price '!AJ$2:AJ$1266,MATCH(Data!$DN560,'Data_Price '!$AT$2:$AT$1266,0))</f>
        <v>#N/A</v>
      </c>
      <c r="DB560" t="e">
        <f>INDEX('Data_Price '!AK$2:AK$1266,MATCH(Data!$DN560,'Data_Price '!$AT$2:$AT$1266,0))</f>
        <v>#N/A</v>
      </c>
      <c r="DC560" t="e">
        <f>INDEX('Data_Price '!AL$2:AL$1266,MATCH(Data!$DN560,'Data_Price '!$AT$2:$AT$1266,0))</f>
        <v>#N/A</v>
      </c>
      <c r="DD560" t="e">
        <f>INDEX('Data_Price '!AM$2:AM$1266,MATCH(Data!$DN560,'Data_Price '!$AT$2:$AT$1266,0))</f>
        <v>#N/A</v>
      </c>
      <c r="DE560" t="e">
        <f>INDEX('Data_Price '!AN$2:AN$1266,MATCH(Data!$DN560,'Data_Price '!$AT$2:$AT$1266,0))</f>
        <v>#N/A</v>
      </c>
      <c r="DF560" t="e">
        <f>INDEX('Data_Price '!AO$2:AO$1266,MATCH(Data!$DN560,'Data_Price '!$AT$2:$AT$1266,0))</f>
        <v>#N/A</v>
      </c>
      <c r="DG560" t="e">
        <f>INDEX('Data_Price '!AP$2:AP$1266,MATCH(Data!$DN560,'Data_Price '!$AT$2:$AT$1266,0))</f>
        <v>#N/A</v>
      </c>
      <c r="DH560" t="e">
        <f>INDEX('Data_Price '!AQ$2:AQ$1266,MATCH(Data!$DN560,'Data_Price '!$AT$2:$AT$1266,0))</f>
        <v>#N/A</v>
      </c>
      <c r="DI560" t="e">
        <f>INDEX('Data_Price '!AR$2:AR$1266,MATCH(Data!$DN560,'Data_Price '!$AT$2:$AT$1266,0))</f>
        <v>#N/A</v>
      </c>
      <c r="DJ560" s="89" t="e">
        <f t="shared" si="328"/>
        <v>#N/A</v>
      </c>
      <c r="DK560" s="89" t="e">
        <f t="shared" si="329"/>
        <v>#N/A</v>
      </c>
      <c r="DL560" s="89" t="e">
        <f t="shared" si="330"/>
        <v>#N/A</v>
      </c>
      <c r="DM560" s="219" t="str">
        <f t="shared" si="331"/>
        <v>Kendo 88</v>
      </c>
      <c r="DN560" s="89" t="str">
        <f t="shared" si="332"/>
        <v xml:space="preserve"> VölklKendo 88177 Unisex</v>
      </c>
      <c r="DO560" s="221"/>
    </row>
    <row r="561" spans="2:119" ht="15.6" customHeight="1">
      <c r="B561" s="219" t="b">
        <f t="array" ref="B561">IF(OR(ISERROR(K561:P561)),FALSE,TRUE)</f>
        <v>1</v>
      </c>
      <c r="C561" s="43" t="b">
        <f>OR(BR561=Driver!$G$50,Data!BR745=Driver!$H$50)</f>
        <v>1</v>
      </c>
      <c r="D561" s="43" t="b">
        <f>OR(BV561=Driver!$G$51,BV561=Driver!$H$51)</f>
        <v>1</v>
      </c>
      <c r="E561" s="43" t="b">
        <f>AND(BX561&gt;Driver!$F$54,BX561&lt;Driver!$G$54)</f>
        <v>0</v>
      </c>
      <c r="F561" s="43" t="b">
        <f>CL561&gt;Driver!$F$56</f>
        <v>1</v>
      </c>
      <c r="G561" s="43" t="b">
        <f>AND(CB561&gt;Driver!$F$55,CB561&lt;Driver!$G$55)</f>
        <v>0</v>
      </c>
      <c r="H561" s="43" t="b">
        <f t="shared" si="296"/>
        <v>0</v>
      </c>
      <c r="I561" s="43">
        <f t="shared" si="297"/>
        <v>0</v>
      </c>
      <c r="J561" s="43" t="b">
        <f t="array" ref="J561">NOT(OR(($H$9:$H$1273=TRUE)*($I$9:$I$1273&gt;0)*($BT$9:$BT$1273=BT561)*($K$9:$K$1273&gt;K561)))</f>
        <v>1</v>
      </c>
      <c r="K561" s="72">
        <f t="shared" si="298"/>
        <v>0.83366786118060665</v>
      </c>
      <c r="L561" s="72">
        <f t="shared" si="299"/>
        <v>0.85656940708987228</v>
      </c>
      <c r="M561" s="72">
        <f t="shared" si="300"/>
        <v>0.81076631527134102</v>
      </c>
      <c r="N561" s="72">
        <f t="shared" si="301"/>
        <v>0.79415598606178062</v>
      </c>
      <c r="O561" s="72">
        <f t="shared" si="302"/>
        <v>0.65813034289115202</v>
      </c>
      <c r="P561" s="72">
        <f t="shared" si="303"/>
        <v>0.98001261686109042</v>
      </c>
      <c r="Q561" s="72"/>
      <c r="R561" s="72"/>
      <c r="S561" s="72">
        <f t="shared" si="304"/>
        <v>0.44254856118713648</v>
      </c>
      <c r="T561" s="72">
        <f t="shared" si="305"/>
        <v>0.48225475428356934</v>
      </c>
      <c r="U561" s="72">
        <f t="shared" si="306"/>
        <v>0.82099564170229922</v>
      </c>
      <c r="V561" s="72">
        <f t="shared" si="307"/>
        <v>0.51873098183859367</v>
      </c>
      <c r="W561" s="72">
        <f t="shared" si="308"/>
        <v>0.82455094754188407</v>
      </c>
      <c r="X561" s="72">
        <f t="shared" si="309"/>
        <v>0.14343059291012772</v>
      </c>
      <c r="Y561" s="72">
        <f t="shared" si="310"/>
        <v>0.18923368472865898</v>
      </c>
      <c r="Z561" s="72">
        <f t="shared" si="311"/>
        <v>0.20584401393821938</v>
      </c>
      <c r="AA561" s="72">
        <f t="shared" si="312"/>
        <v>0.34186965710884798</v>
      </c>
      <c r="AB561" s="72">
        <f t="shared" si="313"/>
        <v>1.9987383138909548E-2</v>
      </c>
      <c r="AC561" s="72"/>
      <c r="AD561" s="72"/>
      <c r="AE561" s="72">
        <f t="shared" si="314"/>
        <v>0.55745143881286352</v>
      </c>
      <c r="AF561" s="72">
        <f t="shared" si="315"/>
        <v>0.51774524571643066</v>
      </c>
      <c r="AG561" s="72">
        <f t="shared" si="316"/>
        <v>0.17900435829770078</v>
      </c>
      <c r="AH561" s="72">
        <f t="shared" si="317"/>
        <v>0.48126901816140633</v>
      </c>
      <c r="AI561" s="72">
        <f t="shared" si="318"/>
        <v>0.17544905245811593</v>
      </c>
      <c r="AJ561" s="72">
        <f>(AV561-Driver!$K$179)/(Driver!$L$179-Driver!$K$179)</f>
        <v>0.11078881637257271</v>
      </c>
      <c r="AK561" s="72">
        <f>(AW561-Driver!$K$180)/(Driver!$L$180-Driver!$K$180)</f>
        <v>0.23982226361459311</v>
      </c>
      <c r="AL561" s="72">
        <f>(AX561-Driver!$K$181)/(Driver!$L$181-Driver!$K$181)</f>
        <v>0.30753177765129958</v>
      </c>
      <c r="AM561" s="72">
        <f>(AY561-Driver!$K$182)/(Driver!$L$182-Driver!$K$182)</f>
        <v>0.1055153639881984</v>
      </c>
      <c r="AN561" s="72">
        <f>(AZ561-Driver!$K$183)/(Driver!$L$183-Driver!$K$183)</f>
        <v>0.23423202614379088</v>
      </c>
      <c r="AO561" s="72"/>
      <c r="AP561" s="72"/>
      <c r="AQ561" s="72">
        <f>(BC561-Driver!$K$188)/(Driver!$L$188-Driver!$K$188)</f>
        <v>6.2548561187136448E-2</v>
      </c>
      <c r="AR561" s="72">
        <f>MIN((BD561-Driver!$K$189)/(Driver!$L$189-Driver!$K$189),100%)</f>
        <v>3.2254754283569345E-2</v>
      </c>
      <c r="AS561" s="72">
        <f>(BE561-Driver!$K$190)/(Driver!$L$190-Driver!$K$190)</f>
        <v>0.33099564170229923</v>
      </c>
      <c r="AT561" s="72">
        <f>(BF561-Driver!$K$191)/(Driver!$L$191-Driver!$K$191)</f>
        <v>2.8730981838593697E-2</v>
      </c>
      <c r="AU561" s="72">
        <f>(BG561-Driver!$K$192)/(Driver!$L$192-Driver!$K$192)</f>
        <v>7.4550947541884086E-2</v>
      </c>
      <c r="AV561" s="70">
        <f t="shared" si="319"/>
        <v>2.3317731651064983</v>
      </c>
      <c r="AW561" s="70">
        <f t="shared" si="320"/>
        <v>25.244697252132998</v>
      </c>
      <c r="AX561" s="70">
        <f t="shared" si="321"/>
        <v>3.7677859988616964</v>
      </c>
      <c r="AY561" s="70">
        <f>IFERROR(Driver!$K$19/Data!BH561/Data!BI561*Data!BK561*Data!BL561,"")</f>
        <v>0.12918228826757613</v>
      </c>
      <c r="AZ561" s="70">
        <f t="shared" si="322"/>
        <v>21.347728965003725</v>
      </c>
      <c r="BA561" s="70"/>
      <c r="BB561" s="70"/>
      <c r="BC561" s="70">
        <f t="shared" si="323"/>
        <v>32.444373518310542</v>
      </c>
      <c r="BD561" s="70">
        <f t="shared" si="324"/>
        <v>4.5753114861508877</v>
      </c>
      <c r="BE561" s="70">
        <f t="shared" si="325"/>
        <v>0.33111498454985477</v>
      </c>
      <c r="BF561" s="70">
        <f t="shared" si="326"/>
        <v>3.2449625520980221</v>
      </c>
      <c r="BG561" s="70">
        <f t="shared" si="327"/>
        <v>0.28229744575666021</v>
      </c>
      <c r="BH561" s="67">
        <f>MAX((CE561-Driver!$F$200)/(Driver!$G$200-Driver!$F$200)*$BI$1,1)</f>
        <v>3.7677859988616964</v>
      </c>
      <c r="BI561" s="67">
        <f>MAX($BI$1*(BY561-Driver!$F$201)/(Driver!$G$201-Driver!$F$201),1)</f>
        <v>7.7215189873417724</v>
      </c>
      <c r="BJ561" s="67">
        <f>(CB561-Driver!$F$206)/(Driver!$G$206-Driver!$F$206)*$BI$1</f>
        <v>3.9682539682539679</v>
      </c>
      <c r="BK561" s="67">
        <f>(CD561-Driver!$F$203)/(Driver!$G$203-Driver!$F$203)*$BI$1</f>
        <v>3.0275229357798166</v>
      </c>
      <c r="BL561" s="67">
        <f>MAX((CR561-Driver!$F$202)/(Driver!$G$202-Driver!$F$202)*$BI$1,1)</f>
        <v>6.2068965517241379</v>
      </c>
      <c r="BM561" s="67">
        <f>MAX((CH561-Driver!$F$204)/(Driver!$G$204-Driver!$F$204)*$BI$1,1)</f>
        <v>2.3504273504273505</v>
      </c>
      <c r="BN561" s="67">
        <f>(CI561-Driver!$F$205)/(Driver!$G$205-Driver!$F$205)*$BI$1</f>
        <v>2.7647058823529411</v>
      </c>
      <c r="BO561" s="67">
        <f>(CK561-Driver!$F$207)/(Driver!$G$207-Driver!$F$207)*$BI$1</f>
        <v>1.3029989658738366</v>
      </c>
      <c r="BP561" s="67">
        <f>(CM561-Driver!$F$208)/(Driver!$G$208-Driver!$F$208)*$BI$1</f>
        <v>1.9</v>
      </c>
      <c r="BQ561" s="67">
        <f>(CL561-Driver!$F$209)/(Driver!$G$209-Driver!$F$209)*$BI$1</f>
        <v>2.5</v>
      </c>
      <c r="BR561" s="28" t="s">
        <v>155</v>
      </c>
      <c r="BS561" s="8" t="s">
        <v>262</v>
      </c>
      <c r="BT561" s="9" t="s">
        <v>327</v>
      </c>
      <c r="BU561" s="10">
        <v>170</v>
      </c>
      <c r="BV561" s="9" t="s">
        <v>158</v>
      </c>
      <c r="BW561" s="10">
        <v>170</v>
      </c>
      <c r="BX561" s="10">
        <v>170.2</v>
      </c>
      <c r="BY561" s="10">
        <v>130</v>
      </c>
      <c r="BZ561" s="10">
        <v>142</v>
      </c>
      <c r="CA561" s="10">
        <v>126</v>
      </c>
      <c r="CB561" s="10">
        <v>89</v>
      </c>
      <c r="CC561" s="10">
        <v>112</v>
      </c>
      <c r="CD561" s="10">
        <v>16</v>
      </c>
      <c r="CE561" s="10">
        <v>1562</v>
      </c>
      <c r="CF561" s="10">
        <v>1.1000000000000001</v>
      </c>
      <c r="CG561" s="10">
        <v>1724</v>
      </c>
      <c r="CH561" s="10">
        <v>156</v>
      </c>
      <c r="CI561" s="10">
        <v>80</v>
      </c>
      <c r="CJ561" s="10">
        <v>49</v>
      </c>
      <c r="CK561" s="10">
        <v>236</v>
      </c>
      <c r="CL561" s="10">
        <v>16</v>
      </c>
      <c r="CM561" s="10">
        <v>171</v>
      </c>
      <c r="CN561" s="10">
        <v>0.32500000000000001</v>
      </c>
      <c r="CO561" s="10">
        <v>155</v>
      </c>
      <c r="CP561" s="10">
        <v>126</v>
      </c>
      <c r="CQ561" s="10">
        <v>81</v>
      </c>
      <c r="CR561" s="10">
        <v>7</v>
      </c>
      <c r="CS561" s="10">
        <v>10.6</v>
      </c>
      <c r="CT561" s="9" t="s">
        <v>188</v>
      </c>
      <c r="CU561" s="9" t="s">
        <v>185</v>
      </c>
      <c r="CV561" s="10"/>
      <c r="CW561" s="10"/>
      <c r="CX561" t="e">
        <f>INDEX('Data_Price '!AG$2:AG$1266,MATCH(Data!$DN561,'Data_Price '!$AT$2:$AT$1266,0))</f>
        <v>#N/A</v>
      </c>
      <c r="CY561" t="e">
        <f>INDEX('Data_Price '!AH$2:AH$1266,MATCH(Data!$DN561,'Data_Price '!$AT$2:$AT$1266,0))</f>
        <v>#N/A</v>
      </c>
      <c r="CZ561" t="e">
        <f>INDEX('Data_Price '!AI$2:AI$1266,MATCH(Data!$DN561,'Data_Price '!$AT$2:$AT$1266,0))</f>
        <v>#N/A</v>
      </c>
      <c r="DA561" t="e">
        <f>INDEX('Data_Price '!AJ$2:AJ$1266,MATCH(Data!$DN561,'Data_Price '!$AT$2:$AT$1266,0))</f>
        <v>#N/A</v>
      </c>
      <c r="DB561" t="e">
        <f>INDEX('Data_Price '!AK$2:AK$1266,MATCH(Data!$DN561,'Data_Price '!$AT$2:$AT$1266,0))</f>
        <v>#N/A</v>
      </c>
      <c r="DC561" t="e">
        <f>INDEX('Data_Price '!AL$2:AL$1266,MATCH(Data!$DN561,'Data_Price '!$AT$2:$AT$1266,0))</f>
        <v>#N/A</v>
      </c>
      <c r="DD561" t="e">
        <f>INDEX('Data_Price '!AM$2:AM$1266,MATCH(Data!$DN561,'Data_Price '!$AT$2:$AT$1266,0))</f>
        <v>#N/A</v>
      </c>
      <c r="DE561" t="e">
        <f>INDEX('Data_Price '!AN$2:AN$1266,MATCH(Data!$DN561,'Data_Price '!$AT$2:$AT$1266,0))</f>
        <v>#N/A</v>
      </c>
      <c r="DF561" t="e">
        <f>INDEX('Data_Price '!AO$2:AO$1266,MATCH(Data!$DN561,'Data_Price '!$AT$2:$AT$1266,0))</f>
        <v>#N/A</v>
      </c>
      <c r="DG561" t="e">
        <f>INDEX('Data_Price '!AP$2:AP$1266,MATCH(Data!$DN561,'Data_Price '!$AT$2:$AT$1266,0))</f>
        <v>#N/A</v>
      </c>
      <c r="DH561" t="e">
        <f>INDEX('Data_Price '!AQ$2:AQ$1266,MATCH(Data!$DN561,'Data_Price '!$AT$2:$AT$1266,0))</f>
        <v>#N/A</v>
      </c>
      <c r="DI561" t="e">
        <f>INDEX('Data_Price '!AR$2:AR$1266,MATCH(Data!$DN561,'Data_Price '!$AT$2:$AT$1266,0))</f>
        <v>#N/A</v>
      </c>
      <c r="DJ561" s="89" t="e">
        <f t="shared" si="328"/>
        <v>#N/A</v>
      </c>
      <c r="DK561" s="89" t="e">
        <f t="shared" si="329"/>
        <v>#N/A</v>
      </c>
      <c r="DL561" s="89" t="e">
        <f t="shared" si="330"/>
        <v>#N/A</v>
      </c>
      <c r="DM561" s="219" t="str">
        <f t="shared" si="331"/>
        <v>Mindbender 90C</v>
      </c>
      <c r="DN561" s="89" t="str">
        <f t="shared" si="332"/>
        <v xml:space="preserve"> K2Mindbender 90C170 Unisex</v>
      </c>
      <c r="DO561" s="221" t="s">
        <v>328</v>
      </c>
    </row>
    <row r="562" spans="2:119" ht="15.6" customHeight="1">
      <c r="B562" s="219" t="b">
        <f t="array" ref="B562">IF(OR(ISERROR(K562:P562)),FALSE,TRUE)</f>
        <v>1</v>
      </c>
      <c r="C562" s="43" t="b">
        <f>OR(BR562=Driver!$G$50,Data!BR1007=Driver!$H$50)</f>
        <v>1</v>
      </c>
      <c r="D562" s="43" t="b">
        <f>OR(BV562=Driver!$G$51,BV562=Driver!$H$51)</f>
        <v>0</v>
      </c>
      <c r="E562" s="43" t="b">
        <f>AND(BX562&gt;Driver!$F$54,BX562&lt;Driver!$G$54)</f>
        <v>1</v>
      </c>
      <c r="F562" s="43" t="b">
        <f>CL562&gt;Driver!$F$56</f>
        <v>1</v>
      </c>
      <c r="G562" s="43" t="b">
        <f>AND(CB562&gt;Driver!$F$55,CB562&lt;Driver!$G$55)</f>
        <v>0</v>
      </c>
      <c r="H562" s="43" t="b">
        <f t="shared" si="296"/>
        <v>0</v>
      </c>
      <c r="I562" s="43">
        <f t="shared" si="297"/>
        <v>0</v>
      </c>
      <c r="J562" s="43" t="b">
        <f t="array" ref="J562">NOT(OR(($H$9:$H$1273=TRUE)*($I$9:$I$1273&gt;0)*($BT$9:$BT$1273=BT562)*($K$9:$K$1273&gt;K562)))</f>
        <v>1</v>
      </c>
      <c r="K562" s="72">
        <f t="shared" si="298"/>
        <v>0.81264100198405731</v>
      </c>
      <c r="L562" s="72">
        <f t="shared" si="299"/>
        <v>0.87083094927019622</v>
      </c>
      <c r="M562" s="72">
        <f t="shared" si="300"/>
        <v>0.75445105469791851</v>
      </c>
      <c r="N562" s="72">
        <f t="shared" si="301"/>
        <v>0.71700427544393452</v>
      </c>
      <c r="O562" s="72">
        <f t="shared" si="302"/>
        <v>0.60383627178873045</v>
      </c>
      <c r="P562" s="72">
        <f t="shared" si="303"/>
        <v>0.94251261686109045</v>
      </c>
      <c r="Q562" s="72"/>
      <c r="R562" s="72"/>
      <c r="S562" s="72">
        <f t="shared" si="304"/>
        <v>0.41283417669572386</v>
      </c>
      <c r="T562" s="72">
        <f t="shared" si="305"/>
        <v>0.78674741974999574</v>
      </c>
      <c r="U562" s="72">
        <f t="shared" si="306"/>
        <v>0.84763137633906527</v>
      </c>
      <c r="V562" s="72">
        <f t="shared" si="307"/>
        <v>0.52247441034949349</v>
      </c>
      <c r="W562" s="72">
        <f t="shared" si="308"/>
        <v>0.77900076267620455</v>
      </c>
      <c r="X562" s="72">
        <f t="shared" si="309"/>
        <v>0.12916905072980381</v>
      </c>
      <c r="Y562" s="72">
        <f t="shared" si="310"/>
        <v>0.24554894530208152</v>
      </c>
      <c r="Z562" s="72">
        <f t="shared" si="311"/>
        <v>0.28299572455606542</v>
      </c>
      <c r="AA562" s="72">
        <f t="shared" si="312"/>
        <v>0.39616372821126961</v>
      </c>
      <c r="AB562" s="72">
        <f t="shared" si="313"/>
        <v>5.7487383138909609E-2</v>
      </c>
      <c r="AC562" s="72"/>
      <c r="AD562" s="72"/>
      <c r="AE562" s="72">
        <f t="shared" si="314"/>
        <v>0.58716582330427614</v>
      </c>
      <c r="AF562" s="72">
        <f t="shared" si="315"/>
        <v>0.21325258025000421</v>
      </c>
      <c r="AG562" s="72">
        <f t="shared" si="316"/>
        <v>0.15236862366093473</v>
      </c>
      <c r="AH562" s="72">
        <f t="shared" si="317"/>
        <v>0.47752558965050651</v>
      </c>
      <c r="AI562" s="72">
        <f t="shared" si="318"/>
        <v>0.22099923732379551</v>
      </c>
      <c r="AJ562" s="72">
        <f>(AV562-Driver!$K$179)/(Driver!$L$179-Driver!$K$179)</f>
        <v>0.12505035855289662</v>
      </c>
      <c r="AK562" s="72">
        <f>(AW562-Driver!$K$180)/(Driver!$L$180-Driver!$K$180)</f>
        <v>0.21119656205764886</v>
      </c>
      <c r="AL562" s="72">
        <f>(AX562-Driver!$K$181)/(Driver!$L$181-Driver!$K$181)</f>
        <v>0.38468348826914561</v>
      </c>
      <c r="AM562" s="72">
        <f>(AY562-Driver!$K$182)/(Driver!$L$182-Driver!$K$182)</f>
        <v>5.1221292885776752E-2</v>
      </c>
      <c r="AN562" s="72">
        <f>(AZ562-Driver!$K$183)/(Driver!$L$183-Driver!$K$183)</f>
        <v>0.19673202614379082</v>
      </c>
      <c r="AO562" s="72"/>
      <c r="AP562" s="72"/>
      <c r="AQ562" s="72">
        <f>(BC562-Driver!$K$188)/(Driver!$L$188-Driver!$K$188)</f>
        <v>3.2834176695723874E-2</v>
      </c>
      <c r="AR562" s="72">
        <f>MIN((BD562-Driver!$K$189)/(Driver!$L$189-Driver!$K$189),100%)</f>
        <v>0.33674741974999584</v>
      </c>
      <c r="AS562" s="72">
        <f>(BE562-Driver!$K$190)/(Driver!$L$190-Driver!$K$190)</f>
        <v>0.35763137633906528</v>
      </c>
      <c r="AT562" s="72">
        <f>(BF562-Driver!$K$191)/(Driver!$L$191-Driver!$K$191)</f>
        <v>3.247441034949352E-2</v>
      </c>
      <c r="AU562" s="72">
        <f>(BG562-Driver!$K$192)/(Driver!$L$192-Driver!$K$192)</f>
        <v>2.9000762676204501E-2</v>
      </c>
      <c r="AV562" s="70">
        <f t="shared" si="319"/>
        <v>2.6319359652692986</v>
      </c>
      <c r="AW562" s="70">
        <f t="shared" si="320"/>
        <v>22.454868985889625</v>
      </c>
      <c r="AX562" s="70">
        <f t="shared" si="321"/>
        <v>4.4621513944223103</v>
      </c>
      <c r="AY562" s="70">
        <f>IFERROR(Driver!$K$19/Data!BH562/Data!BI562*Data!BK562*Data!BL562,"")</f>
        <v>6.2710145450935839E-2</v>
      </c>
      <c r="AZ562" s="70">
        <f t="shared" si="322"/>
        <v>17.930007446016379</v>
      </c>
      <c r="BA562" s="70"/>
      <c r="BB562" s="70"/>
      <c r="BC562" s="70">
        <f t="shared" si="323"/>
        <v>17.031315711565174</v>
      </c>
      <c r="BD562" s="70">
        <f t="shared" si="324"/>
        <v>31.522372850852044</v>
      </c>
      <c r="BE562" s="70">
        <f t="shared" si="325"/>
        <v>0.35774596767135958</v>
      </c>
      <c r="BF562" s="70">
        <f t="shared" si="326"/>
        <v>3.6677565033304447</v>
      </c>
      <c r="BG562" s="70">
        <f t="shared" si="327"/>
        <v>0.10981538797864507</v>
      </c>
      <c r="BH562" s="67">
        <f>MAX((CE562-Driver!$F$200)/(Driver!$G$200-Driver!$F$200)*$BI$1,1)</f>
        <v>4.4621513944223103</v>
      </c>
      <c r="BI562" s="67">
        <f>MAX($BI$1*(BY562-Driver!$F$201)/(Driver!$G$201-Driver!$F$201),1)</f>
        <v>7.0886075949367084</v>
      </c>
      <c r="BJ562" s="67">
        <f>(CB562-Driver!$F$206)/(Driver!$G$206-Driver!$F$206)*$BI$1</f>
        <v>2.5396825396825395</v>
      </c>
      <c r="BK562" s="67">
        <f>(CD562-Driver!$F$203)/(Driver!$G$203-Driver!$F$203)*$BI$1</f>
        <v>1.5137614678899081</v>
      </c>
      <c r="BL562" s="67">
        <f>MAX((CR562-Driver!$F$202)/(Driver!$G$202-Driver!$F$202)*$BI$1,1)</f>
        <v>6.5517241379310338</v>
      </c>
      <c r="BM562" s="67">
        <f>MAX((CH562-Driver!$F$204)/(Driver!$G$204-Driver!$F$204)*$BI$1,1)</f>
        <v>4.1452991452991457</v>
      </c>
      <c r="BN562" s="67">
        <f>(CI562-Driver!$F$205)/(Driver!$G$205-Driver!$F$205)*$BI$1</f>
        <v>2.5294117647058822</v>
      </c>
      <c r="BO562" s="67">
        <f>(CK562-Driver!$F$207)/(Driver!$G$207-Driver!$F$207)*$BI$1</f>
        <v>1.5615305067218201</v>
      </c>
      <c r="BP562" s="67">
        <f>(CM562-Driver!$F$208)/(Driver!$G$208-Driver!$F$208)*$BI$1</f>
        <v>1.4000000000000001</v>
      </c>
      <c r="BQ562" s="67">
        <f>(CL562-Driver!$F$209)/(Driver!$G$209-Driver!$F$209)*$BI$1</f>
        <v>2.03125</v>
      </c>
      <c r="BR562" s="28" t="s">
        <v>155</v>
      </c>
      <c r="BS562" s="8" t="s">
        <v>172</v>
      </c>
      <c r="BT562" s="9" t="s">
        <v>478</v>
      </c>
      <c r="BU562" s="10">
        <v>158</v>
      </c>
      <c r="BV562" s="9" t="s">
        <v>163</v>
      </c>
      <c r="BW562" s="10">
        <v>158</v>
      </c>
      <c r="BX562" s="10">
        <v>158.19999999999999</v>
      </c>
      <c r="BY562" s="10">
        <v>120</v>
      </c>
      <c r="BZ562" s="10">
        <v>144</v>
      </c>
      <c r="CA562" s="10">
        <v>125</v>
      </c>
      <c r="CB562" s="10">
        <v>80</v>
      </c>
      <c r="CC562" s="10">
        <v>114</v>
      </c>
      <c r="CD562" s="10">
        <v>12.7</v>
      </c>
      <c r="CE562" s="10">
        <v>1684</v>
      </c>
      <c r="CF562" s="10">
        <v>0.89</v>
      </c>
      <c r="CG562" s="10">
        <v>1503</v>
      </c>
      <c r="CH562" s="10">
        <v>198</v>
      </c>
      <c r="CI562" s="10">
        <v>76</v>
      </c>
      <c r="CJ562" s="10">
        <v>48</v>
      </c>
      <c r="CK562" s="10">
        <v>261</v>
      </c>
      <c r="CL562" s="10">
        <v>13</v>
      </c>
      <c r="CM562" s="10">
        <v>126</v>
      </c>
      <c r="CN562" s="10">
        <v>0.26600000000000001</v>
      </c>
      <c r="CO562" s="10">
        <v>79</v>
      </c>
      <c r="CP562" s="10">
        <v>63</v>
      </c>
      <c r="CQ562" s="10">
        <v>182</v>
      </c>
      <c r="CR562" s="10">
        <v>8</v>
      </c>
      <c r="CS562" s="10">
        <v>7.1</v>
      </c>
      <c r="CT562" s="9" t="s">
        <v>188</v>
      </c>
      <c r="CU562" s="10"/>
      <c r="CV562" s="10"/>
      <c r="CW562" s="10"/>
      <c r="CX562" t="str">
        <f>INDEX('Data_Price '!AG$2:AG$1266,MATCH(Data!$DN562,'Data_Price '!$AT$2:$AT$1266,0))</f>
        <v>Rossignol Experience 80 Carbon Skis w/ Look Xpress 11 GW Bindings</v>
      </c>
      <c r="CY562" t="str">
        <f>INDEX('Data_Price '!AH$2:AH$1266,MATCH(Data!$DN562,'Data_Price '!$AT$2:$AT$1266,0))</f>
        <v>eBay - top*outdoor*brands</v>
      </c>
      <c r="CZ562">
        <f>INDEX('Data_Price '!AI$2:AI$1266,MATCH(Data!$DN562,'Data_Price '!$AT$2:$AT$1266,0))</f>
        <v>449.99</v>
      </c>
      <c r="DA562" t="str">
        <f>INDEX('Data_Price '!AJ$2:AJ$1266,MATCH(Data!$DN562,'Data_Price '!$AT$2:$AT$1266,0))</f>
        <v>https://tinyurl.com/ybocwxzd</v>
      </c>
      <c r="DB562" t="str">
        <f>INDEX('Data_Price '!AK$2:AK$1266,MATCH(Data!$DN562,'Data_Price '!$AT$2:$AT$1266,0))</f>
        <v>Rossignol Experience 80 Carbon Skis w/ Look Xpress 11 GW Bindings</v>
      </c>
      <c r="DC562" t="str">
        <f>INDEX('Data_Price '!AL$2:AL$1266,MATCH(Data!$DN562,'Data_Price '!$AT$2:$AT$1266,0))</f>
        <v>The-House.com</v>
      </c>
      <c r="DD562">
        <f>INDEX('Data_Price '!AM$2:AM$1266,MATCH(Data!$DN562,'Data_Price '!$AT$2:$AT$1266,0))</f>
        <v>479.95</v>
      </c>
      <c r="DE562" t="str">
        <f>INDEX('Data_Price '!AN$2:AN$1266,MATCH(Data!$DN562,'Data_Price '!$AT$2:$AT$1266,0))</f>
        <v>https://tinyurl.com/ydfrmxlc</v>
      </c>
      <c r="DF562" t="str">
        <f>INDEX('Data_Price '!AO$2:AO$1266,MATCH(Data!$DN562,'Data_Price '!$AT$2:$AT$1266,0))</f>
        <v>Rossignol Men's All Mountain Skis Experience 80 Carbon (xpress)</v>
      </c>
      <c r="DG562" t="str">
        <f>INDEX('Data_Price '!AP$2:AP$1266,MATCH(Data!$DN562,'Data_Price '!$AT$2:$AT$1266,0))</f>
        <v>Rossignol US</v>
      </c>
      <c r="DH562">
        <f>INDEX('Data_Price '!AQ$2:AQ$1266,MATCH(Data!$DN562,'Data_Price '!$AT$2:$AT$1266,0))</f>
        <v>599.95000000000005</v>
      </c>
      <c r="DI562" t="str">
        <f>INDEX('Data_Price '!AR$2:AR$1266,MATCH(Data!$DN562,'Data_Price '!$AT$2:$AT$1266,0))</f>
        <v>https://tinyurl.com/yaxcdshu</v>
      </c>
      <c r="DJ562" s="89" t="str">
        <f t="shared" si="328"/>
        <v>https://tinyurl.com/ybocwxzd</v>
      </c>
      <c r="DK562" s="89" t="str">
        <f t="shared" si="329"/>
        <v>https://tinyurl.com/ydfrmxlc</v>
      </c>
      <c r="DL562" s="89" t="str">
        <f t="shared" si="330"/>
        <v>https://tinyurl.com/yaxcdshu</v>
      </c>
      <c r="DM562" s="219" t="str">
        <f t="shared" si="331"/>
        <v>Experience 80 Carbon W</v>
      </c>
      <c r="DN562" s="89" t="str">
        <f t="shared" si="332"/>
        <v xml:space="preserve"> RossignolExperience 80 Carbon W158 Women's</v>
      </c>
      <c r="DO562" s="221"/>
    </row>
    <row r="563" spans="2:119" ht="15.6" customHeight="1">
      <c r="B563" s="219" t="b">
        <f t="array" ref="B563">IF(OR(ISERROR(K563:P563)),FALSE,TRUE)</f>
        <v>1</v>
      </c>
      <c r="C563" s="43" t="b">
        <f>OR(BR563=Driver!$G$50,Data!BR67=Driver!$H$50)</f>
        <v>1</v>
      </c>
      <c r="D563" s="43" t="b">
        <f>OR(BV563=Driver!$G$51,BV563=Driver!$H$51)</f>
        <v>1</v>
      </c>
      <c r="E563" s="43" t="b">
        <f>AND(BX563&gt;Driver!$F$54,BX563&lt;Driver!$G$54)</f>
        <v>1</v>
      </c>
      <c r="F563" s="43" t="b">
        <f>CL563&gt;Driver!$F$56</f>
        <v>1</v>
      </c>
      <c r="G563" s="43" t="b">
        <f>AND(CB563&gt;Driver!$F$55,CB563&lt;Driver!$G$55)</f>
        <v>0</v>
      </c>
      <c r="H563" s="43" t="b">
        <f t="shared" si="296"/>
        <v>0</v>
      </c>
      <c r="I563" s="43">
        <f t="shared" si="297"/>
        <v>0</v>
      </c>
      <c r="J563" s="43" t="b">
        <f t="array" ref="J563">NOT(OR(($H$9:$H$1273=TRUE)*($I$9:$I$1273&gt;0)*($BT$9:$BT$1273=BT563)*($K$9:$K$1273&gt;K563)))</f>
        <v>1</v>
      </c>
      <c r="K563" s="72">
        <f t="shared" si="298"/>
        <v>0.82584377487545813</v>
      </c>
      <c r="L563" s="72">
        <f t="shared" si="299"/>
        <v>0.89645338098399852</v>
      </c>
      <c r="M563" s="72">
        <f t="shared" si="300"/>
        <v>0.75523416876691762</v>
      </c>
      <c r="N563" s="72">
        <f t="shared" si="301"/>
        <v>0.81059815389837075</v>
      </c>
      <c r="O563" s="72">
        <f t="shared" si="302"/>
        <v>0.66109736142033548</v>
      </c>
      <c r="P563" s="72">
        <f t="shared" si="303"/>
        <v>0.79400699098204686</v>
      </c>
      <c r="Q563" s="72"/>
      <c r="R563" s="72"/>
      <c r="S563" s="72">
        <f t="shared" si="304"/>
        <v>0.51548220017351343</v>
      </c>
      <c r="T563" s="72">
        <f t="shared" si="305"/>
        <v>0.6180313256699127</v>
      </c>
      <c r="U563" s="72">
        <f t="shared" si="306"/>
        <v>0.51</v>
      </c>
      <c r="V563" s="72">
        <f t="shared" si="307"/>
        <v>0.49606042631333747</v>
      </c>
      <c r="W563" s="72">
        <f t="shared" si="308"/>
        <v>0.77424957118353344</v>
      </c>
      <c r="X563" s="72">
        <f t="shared" si="309"/>
        <v>0.10354661901600154</v>
      </c>
      <c r="Y563" s="72">
        <f t="shared" si="310"/>
        <v>0.24476583123308235</v>
      </c>
      <c r="Z563" s="72">
        <f t="shared" si="311"/>
        <v>0.18940184610162925</v>
      </c>
      <c r="AA563" s="72">
        <f t="shared" si="312"/>
        <v>0.33890263857966457</v>
      </c>
      <c r="AB563" s="72">
        <f t="shared" si="313"/>
        <v>0.20599300901795309</v>
      </c>
      <c r="AC563" s="72"/>
      <c r="AD563" s="72"/>
      <c r="AE563" s="72">
        <f t="shared" si="314"/>
        <v>0.48451779982648657</v>
      </c>
      <c r="AF563" s="72">
        <f t="shared" si="315"/>
        <v>0.3819686743300873</v>
      </c>
      <c r="AG563" s="72">
        <f t="shared" si="316"/>
        <v>0.49</v>
      </c>
      <c r="AH563" s="72">
        <f t="shared" si="317"/>
        <v>0.50393957368666253</v>
      </c>
      <c r="AI563" s="72">
        <f t="shared" si="318"/>
        <v>0.22575042881646656</v>
      </c>
      <c r="AJ563" s="72">
        <f>(AV563-Driver!$K$179)/(Driver!$L$179-Driver!$K$179)</f>
        <v>0.15067279026669889</v>
      </c>
      <c r="AK563" s="72">
        <f>(AW563-Driver!$K$180)/(Driver!$L$180-Driver!$K$180)</f>
        <v>0.44966808088319254</v>
      </c>
      <c r="AL563" s="72">
        <f>(AX563-Driver!$K$181)/(Driver!$L$181-Driver!$K$181)</f>
        <v>0.29108960981470944</v>
      </c>
      <c r="AM563" s="72">
        <f>(AY563-Driver!$K$182)/(Driver!$L$182-Driver!$K$182)</f>
        <v>0.10848238251738181</v>
      </c>
      <c r="AN563" s="72">
        <f>(AZ563-Driver!$K$183)/(Driver!$L$183-Driver!$K$183)</f>
        <v>0.46021241830065351</v>
      </c>
      <c r="AO563" s="72"/>
      <c r="AP563" s="72"/>
      <c r="AQ563" s="72">
        <f>(BC563-Driver!$K$188)/(Driver!$L$188-Driver!$K$188)</f>
        <v>0.13548220017351342</v>
      </c>
      <c r="AR563" s="72">
        <f>MIN((BD563-Driver!$K$189)/(Driver!$L$189-Driver!$K$189),100%)</f>
        <v>0.16803132566991272</v>
      </c>
      <c r="AS563" s="72">
        <f>(BE563-Driver!$K$190)/(Driver!$L$190-Driver!$K$190)</f>
        <v>1</v>
      </c>
      <c r="AT563" s="72">
        <f>(BF563-Driver!$K$191)/(Driver!$L$191-Driver!$K$191)</f>
        <v>6.0604263133374565E-3</v>
      </c>
      <c r="AU563" s="72">
        <f>(BG563-Driver!$K$192)/(Driver!$L$192-Driver!$K$192)</f>
        <v>2.4249571183533443E-2</v>
      </c>
      <c r="AV563" s="70">
        <f t="shared" si="319"/>
        <v>3.1712115045448379</v>
      </c>
      <c r="AW563" s="70">
        <f t="shared" si="320"/>
        <v>45.696031568055169</v>
      </c>
      <c r="AX563" s="70">
        <f t="shared" si="321"/>
        <v>3.6198064883323848</v>
      </c>
      <c r="AY563" s="70">
        <f>IFERROR(Driver!$K$19/Data!BH563/Data!BI563*Data!BK563*Data!BL563,"")</f>
        <v>0.13281480422018263</v>
      </c>
      <c r="AZ563" s="70">
        <f t="shared" si="322"/>
        <v>41.9434102755026</v>
      </c>
      <c r="BA563" s="70"/>
      <c r="BB563" s="70"/>
      <c r="BC563" s="70">
        <f t="shared" si="323"/>
        <v>70.275559086976727</v>
      </c>
      <c r="BD563" s="70">
        <f t="shared" si="324"/>
        <v>16.591297471993755</v>
      </c>
      <c r="BE563" s="70">
        <f t="shared" si="325"/>
        <v>1</v>
      </c>
      <c r="BF563" s="70">
        <f t="shared" si="326"/>
        <v>0.68448257518692968</v>
      </c>
      <c r="BG563" s="70">
        <f t="shared" si="327"/>
        <v>9.1824346054888498E-2</v>
      </c>
      <c r="BH563" s="67">
        <f>MAX((CE563-Driver!$F$200)/(Driver!$G$200-Driver!$F$200)*$BI$1,1)</f>
        <v>3.6198064883323848</v>
      </c>
      <c r="BI563" s="67">
        <f>MAX($BI$1*(BY563-Driver!$F$201)/(Driver!$G$201-Driver!$F$201),1)</f>
        <v>8.2911392405063289</v>
      </c>
      <c r="BJ563" s="67">
        <f>(CB563-Driver!$F$206)/(Driver!$G$206-Driver!$F$206)*$BI$1</f>
        <v>2.6984126984126982</v>
      </c>
      <c r="BK563" s="67">
        <f>(CD563-Driver!$F$203)/(Driver!$G$203-Driver!$F$203)*$BI$1</f>
        <v>2.7522935779816518</v>
      </c>
      <c r="BL563" s="67">
        <f>MAX((CR563-Driver!$F$202)/(Driver!$G$202-Driver!$F$202)*$BI$1,1)</f>
        <v>7.2413793103448274</v>
      </c>
      <c r="BM563" s="67">
        <f>MAX((CH563-Driver!$F$204)/(Driver!$G$204-Driver!$F$204)*$BI$1,1)</f>
        <v>4.700854700854701</v>
      </c>
      <c r="BN563" s="67">
        <f>(CI563-Driver!$F$205)/(Driver!$G$205-Driver!$F$205)*$BI$1</f>
        <v>5.0588235294117645</v>
      </c>
      <c r="BO563" s="67">
        <f>(CK563-Driver!$F$207)/(Driver!$G$207-Driver!$F$207)*$BI$1</f>
        <v>0.64115822130299893</v>
      </c>
      <c r="BP563" s="67">
        <f>(CM563-Driver!$F$208)/(Driver!$G$208-Driver!$F$208)*$BI$1</f>
        <v>1.0888888888888888</v>
      </c>
      <c r="BQ563" s="67">
        <f>(CL563-Driver!$F$209)/(Driver!$G$209-Driver!$F$209)*$BI$1</f>
        <v>1.5625</v>
      </c>
      <c r="BR563" s="28" t="s">
        <v>155</v>
      </c>
      <c r="BS563" s="8" t="s">
        <v>182</v>
      </c>
      <c r="BT563" s="9" t="s">
        <v>667</v>
      </c>
      <c r="BU563" s="10">
        <v>166</v>
      </c>
      <c r="BV563" s="9" t="s">
        <v>158</v>
      </c>
      <c r="BW563" s="10">
        <v>166</v>
      </c>
      <c r="BX563" s="10">
        <v>165.6</v>
      </c>
      <c r="BY563" s="10">
        <v>139</v>
      </c>
      <c r="BZ563" s="10">
        <v>148</v>
      </c>
      <c r="CA563" s="10">
        <v>125</v>
      </c>
      <c r="CB563" s="10">
        <v>81</v>
      </c>
      <c r="CC563" s="10">
        <v>108</v>
      </c>
      <c r="CD563" s="10">
        <v>15.4</v>
      </c>
      <c r="CE563" s="10">
        <v>1536</v>
      </c>
      <c r="CF563" s="10">
        <v>1.02</v>
      </c>
      <c r="CG563" s="10">
        <v>1569</v>
      </c>
      <c r="CH563" s="10">
        <v>211</v>
      </c>
      <c r="CI563" s="10">
        <v>119</v>
      </c>
      <c r="CJ563" s="10">
        <v>35</v>
      </c>
      <c r="CK563" s="10">
        <v>172</v>
      </c>
      <c r="CL563" s="10">
        <v>10</v>
      </c>
      <c r="CM563" s="10">
        <v>98</v>
      </c>
      <c r="CN563" s="10">
        <v>0.28199999999999997</v>
      </c>
      <c r="CO563" s="10">
        <v>114</v>
      </c>
      <c r="CP563" s="10">
        <v>58</v>
      </c>
      <c r="CQ563" s="10">
        <v>58</v>
      </c>
      <c r="CR563" s="10">
        <v>10</v>
      </c>
      <c r="CS563" s="10">
        <v>10.199999999999999</v>
      </c>
      <c r="CT563" s="9" t="s">
        <v>231</v>
      </c>
      <c r="CU563" s="9" t="s">
        <v>188</v>
      </c>
      <c r="CV563" s="10"/>
      <c r="CW563" s="10"/>
      <c r="CX563" t="str">
        <f>INDEX('Data_Price '!AG$2:AG$1266,MATCH(Data!$DN563,'Data_Price '!$AT$2:$AT$1266,0))</f>
        <v>Armada Declivity 82 Ti Skis Â· 2022 Â· 166 cm</v>
      </c>
      <c r="CY563" t="str">
        <f>INDEX('Data_Price '!AH$2:AH$1266,MATCH(Data!$DN563,'Data_Price '!$AT$2:$AT$1266,0))</f>
        <v>The-House.com</v>
      </c>
      <c r="CZ563">
        <f>INDEX('Data_Price '!AI$2:AI$1266,MATCH(Data!$DN563,'Data_Price '!$AT$2:$AT$1266,0))</f>
        <v>599.95000000000005</v>
      </c>
      <c r="DA563" t="str">
        <f>INDEX('Data_Price '!AJ$2:AJ$1266,MATCH(Data!$DN563,'Data_Price '!$AT$2:$AT$1266,0))</f>
        <v>https://tinyurl.com/ybxthpyr</v>
      </c>
      <c r="DB563" t="str">
        <f>INDEX('Data_Price '!AK$2:AK$1266,MATCH(Data!$DN563,'Data_Price '!$AT$2:$AT$1266,0))</f>
        <v>Armada Reliance 82 Ti Skis - Women's 2022</v>
      </c>
      <c r="DC563" t="str">
        <f>INDEX('Data_Price '!AL$2:AL$1266,MATCH(Data!$DN563,'Data_Price '!$AT$2:$AT$1266,0))</f>
        <v>Teton Wasatch Ski Co.</v>
      </c>
      <c r="DD563">
        <f>INDEX('Data_Price '!AM$2:AM$1266,MATCH(Data!$DN563,'Data_Price '!$AT$2:$AT$1266,0))</f>
        <v>479</v>
      </c>
      <c r="DE563" t="str">
        <f>INDEX('Data_Price '!AN$2:AN$1266,MATCH(Data!$DN563,'Data_Price '!$AT$2:$AT$1266,0))</f>
        <v>https://tinyurl.com/yc73wjv6</v>
      </c>
      <c r="DF563" t="str">
        <f>INDEX('Data_Price '!AO$2:AO$1266,MATCH(Data!$DN563,'Data_Price '!$AT$2:$AT$1266,0))</f>
        <v>Armada Reliance 82 Ti + EM10 21/22</v>
      </c>
      <c r="DG563" t="str">
        <f>INDEX('Data_Price '!AP$2:AP$1266,MATCH(Data!$DN563,'Data_Price '!$AT$2:$AT$1266,0))</f>
        <v>Snowcountry.eu</v>
      </c>
      <c r="DH563">
        <f>INDEX('Data_Price '!AQ$2:AQ$1266,MATCH(Data!$DN563,'Data_Price '!$AT$2:$AT$1266,0))</f>
        <v>552.30999999999995</v>
      </c>
      <c r="DI563" t="str">
        <f>INDEX('Data_Price '!AR$2:AR$1266,MATCH(Data!$DN563,'Data_Price '!$AT$2:$AT$1266,0))</f>
        <v>https://tinyurl.com/yc68mtq7</v>
      </c>
      <c r="DJ563" s="89" t="str">
        <f t="shared" si="328"/>
        <v>https://tinyurl.com/ybxthpyr</v>
      </c>
      <c r="DK563" s="89" t="str">
        <f t="shared" si="329"/>
        <v>https://tinyurl.com/yc73wjv6</v>
      </c>
      <c r="DL563" s="89" t="str">
        <f t="shared" si="330"/>
        <v>https://tinyurl.com/yc68mtq7</v>
      </c>
      <c r="DM563" s="219" t="str">
        <f t="shared" si="331"/>
        <v>Declivity 82 Ti</v>
      </c>
      <c r="DN563" s="89" t="str">
        <f t="shared" si="332"/>
        <v xml:space="preserve"> ArmadaDeclivity 82 Ti166 Unisex</v>
      </c>
      <c r="DO563" s="221"/>
    </row>
    <row r="564" spans="2:119" ht="15.6" customHeight="1">
      <c r="B564" s="219" t="b">
        <f t="array" ref="B564">IF(OR(ISERROR(K564:P564)),FALSE,TRUE)</f>
        <v>1</v>
      </c>
      <c r="C564" s="43" t="b">
        <f>OR(BR564=Driver!$G$50,Data!BR1009=Driver!$H$50)</f>
        <v>1</v>
      </c>
      <c r="D564" s="43" t="b">
        <f>OR(BV564=Driver!$G$51,BV564=Driver!$H$51)</f>
        <v>1</v>
      </c>
      <c r="E564" s="43" t="b">
        <f>AND(BX564&gt;Driver!$F$54,BX564&lt;Driver!$G$54)</f>
        <v>1</v>
      </c>
      <c r="F564" s="43" t="b">
        <f>CL564&gt;Driver!$F$56</f>
        <v>1</v>
      </c>
      <c r="G564" s="43" t="b">
        <f>AND(CB564&gt;Driver!$F$55,CB564&lt;Driver!$G$55)</f>
        <v>0</v>
      </c>
      <c r="H564" s="43" t="b">
        <f t="shared" si="296"/>
        <v>0</v>
      </c>
      <c r="I564" s="43">
        <f t="shared" si="297"/>
        <v>0</v>
      </c>
      <c r="J564" s="43" t="b">
        <f t="array" ref="J564">NOT(OR(($H$9:$H$1273=TRUE)*($I$9:$I$1273&gt;0)*($BT$9:$BT$1273=BT564)*($K$9:$K$1273&gt;K564)))</f>
        <v>1</v>
      </c>
      <c r="K564" s="72">
        <f t="shared" si="298"/>
        <v>0.8024335604938756</v>
      </c>
      <c r="L564" s="72">
        <f t="shared" si="299"/>
        <v>0.84633654914127832</v>
      </c>
      <c r="M564" s="72">
        <f t="shared" si="300"/>
        <v>0.75853057184647288</v>
      </c>
      <c r="N564" s="72">
        <f t="shared" si="301"/>
        <v>0.7378731807749912</v>
      </c>
      <c r="O564" s="72">
        <f t="shared" si="302"/>
        <v>0.61350657149810817</v>
      </c>
      <c r="P564" s="72">
        <f t="shared" si="303"/>
        <v>0.92421196326631916</v>
      </c>
      <c r="Q564" s="72"/>
      <c r="R564" s="72"/>
      <c r="S564" s="72">
        <f t="shared" si="304"/>
        <v>0.4106822539101691</v>
      </c>
      <c r="T564" s="72">
        <f t="shared" si="305"/>
        <v>0.72488342406847073</v>
      </c>
      <c r="U564" s="72">
        <f t="shared" si="306"/>
        <v>0.91275414317024728</v>
      </c>
      <c r="V564" s="72">
        <f t="shared" si="307"/>
        <v>0.52015752047982633</v>
      </c>
      <c r="W564" s="72">
        <f t="shared" si="308"/>
        <v>0.78475366178428763</v>
      </c>
      <c r="X564" s="72">
        <f t="shared" si="309"/>
        <v>0.15366345085872171</v>
      </c>
      <c r="Y564" s="72">
        <f t="shared" si="310"/>
        <v>0.24146942815352712</v>
      </c>
      <c r="Z564" s="72">
        <f t="shared" si="311"/>
        <v>0.26212681922500874</v>
      </c>
      <c r="AA564" s="72">
        <f t="shared" si="312"/>
        <v>0.38649342850189183</v>
      </c>
      <c r="AB564" s="72">
        <f t="shared" si="313"/>
        <v>7.5788036733680841E-2</v>
      </c>
      <c r="AC564" s="72"/>
      <c r="AD564" s="72"/>
      <c r="AE564" s="72">
        <f t="shared" si="314"/>
        <v>0.5893177460898309</v>
      </c>
      <c r="AF564" s="72">
        <f t="shared" si="315"/>
        <v>0.27511657593152922</v>
      </c>
      <c r="AG564" s="72">
        <f t="shared" si="316"/>
        <v>8.7245856829752777E-2</v>
      </c>
      <c r="AH564" s="72">
        <f t="shared" si="317"/>
        <v>0.47984247952017373</v>
      </c>
      <c r="AI564" s="72">
        <f t="shared" si="318"/>
        <v>0.21524633821571237</v>
      </c>
      <c r="AJ564" s="72">
        <f>(AV564-Driver!$K$179)/(Driver!$L$179-Driver!$K$179)</f>
        <v>0.10055595842397871</v>
      </c>
      <c r="AK564" s="72">
        <f>(AW564-Driver!$K$180)/(Driver!$L$180-Driver!$K$180)</f>
        <v>0.19227690233518888</v>
      </c>
      <c r="AL564" s="72">
        <f>(AX564-Driver!$K$181)/(Driver!$L$181-Driver!$K$181)</f>
        <v>0.36381458293808894</v>
      </c>
      <c r="AM564" s="72">
        <f>(AY564-Driver!$K$182)/(Driver!$L$182-Driver!$K$182)</f>
        <v>6.089159259515451E-2</v>
      </c>
      <c r="AN564" s="72">
        <f>(AZ564-Driver!$K$183)/(Driver!$L$183-Driver!$K$183)</f>
        <v>0.17843137254901958</v>
      </c>
      <c r="AO564" s="72"/>
      <c r="AP564" s="72"/>
      <c r="AQ564" s="72">
        <f>(BC564-Driver!$K$188)/(Driver!$L$188-Driver!$K$188)</f>
        <v>3.0682253910169044E-2</v>
      </c>
      <c r="AR564" s="72">
        <f>MIN((BD564-Driver!$K$189)/(Driver!$L$189-Driver!$K$189),100%)</f>
        <v>0.27488342406847083</v>
      </c>
      <c r="AS564" s="72">
        <f>(BE564-Driver!$K$190)/(Driver!$L$190-Driver!$K$190)</f>
        <v>0.42275414317024723</v>
      </c>
      <c r="AT564" s="72">
        <f>(BF564-Driver!$K$191)/(Driver!$L$191-Driver!$K$191)</f>
        <v>3.0157520479826259E-2</v>
      </c>
      <c r="AU564" s="72">
        <f>(BG564-Driver!$K$192)/(Driver!$L$192-Driver!$K$192)</f>
        <v>3.4753661784287612E-2</v>
      </c>
      <c r="AV564" s="70">
        <f t="shared" si="319"/>
        <v>2.1164021164021163</v>
      </c>
      <c r="AW564" s="70">
        <f t="shared" si="320"/>
        <v>20.610980500696474</v>
      </c>
      <c r="AX564" s="70">
        <f t="shared" si="321"/>
        <v>4.2743312464428005</v>
      </c>
      <c r="AY564" s="70">
        <f>IFERROR(Driver!$K$19/Data!BH564/Data!BI564*Data!BK564*Data!BL564,"")</f>
        <v>7.4549477634165751E-2</v>
      </c>
      <c r="AZ564" s="70">
        <f t="shared" si="322"/>
        <v>16.262099776619507</v>
      </c>
      <c r="BA564" s="70"/>
      <c r="BB564" s="70"/>
      <c r="BC564" s="70">
        <f t="shared" si="323"/>
        <v>15.915098402773383</v>
      </c>
      <c r="BD564" s="70">
        <f t="shared" si="324"/>
        <v>26.047518849551075</v>
      </c>
      <c r="BE564" s="70">
        <f t="shared" si="325"/>
        <v>0.42285711733392678</v>
      </c>
      <c r="BF564" s="70">
        <f t="shared" si="326"/>
        <v>3.4060800696240796</v>
      </c>
      <c r="BG564" s="70">
        <f t="shared" si="327"/>
        <v>0.13159953395472704</v>
      </c>
      <c r="BH564" s="67">
        <f>MAX((CE564-Driver!$F$200)/(Driver!$G$200-Driver!$F$200)*$BI$1,1)</f>
        <v>4.2743312464428005</v>
      </c>
      <c r="BI564" s="67">
        <f>MAX($BI$1*(BY564-Driver!$F$201)/(Driver!$G$201-Driver!$F$201),1)</f>
        <v>7.0886075949367084</v>
      </c>
      <c r="BJ564" s="67">
        <f>(CB564-Driver!$F$206)/(Driver!$G$206-Driver!$F$206)*$BI$1</f>
        <v>2.5396825396825395</v>
      </c>
      <c r="BK564" s="67">
        <f>(CD564-Driver!$F$203)/(Driver!$G$203-Driver!$F$203)*$BI$1</f>
        <v>1.5596330275229362</v>
      </c>
      <c r="BL564" s="67">
        <f>MAX((CR564-Driver!$F$202)/(Driver!$G$202-Driver!$F$202)*$BI$1,1)</f>
        <v>7.2413793103448274</v>
      </c>
      <c r="BM564" s="67">
        <f>MAX((CH564-Driver!$F$204)/(Driver!$G$204-Driver!$F$204)*$BI$1,1)</f>
        <v>3.333333333333333</v>
      </c>
      <c r="BN564" s="67">
        <f>(CI564-Driver!$F$205)/(Driver!$G$205-Driver!$F$205)*$BI$1</f>
        <v>2.2941176470588234</v>
      </c>
      <c r="BO564" s="67">
        <f>(CK564-Driver!$F$207)/(Driver!$G$207-Driver!$F$207)*$BI$1</f>
        <v>1.5305067218200621</v>
      </c>
      <c r="BP564" s="67">
        <f>(CM564-Driver!$F$208)/(Driver!$G$208-Driver!$F$208)*$BI$1</f>
        <v>1.3666666666666667</v>
      </c>
      <c r="BQ564" s="67">
        <f>(CL564-Driver!$F$209)/(Driver!$G$209-Driver!$F$209)*$BI$1</f>
        <v>1.875</v>
      </c>
      <c r="BR564" s="28" t="s">
        <v>155</v>
      </c>
      <c r="BS564" s="8" t="s">
        <v>172</v>
      </c>
      <c r="BT564" s="9" t="s">
        <v>469</v>
      </c>
      <c r="BU564" s="10">
        <v>160</v>
      </c>
      <c r="BV564" s="9" t="s">
        <v>158</v>
      </c>
      <c r="BW564" s="10">
        <v>160</v>
      </c>
      <c r="BX564" s="10">
        <v>158.5</v>
      </c>
      <c r="BY564" s="10">
        <v>120</v>
      </c>
      <c r="BZ564" s="10">
        <v>143</v>
      </c>
      <c r="CA564" s="10">
        <v>124</v>
      </c>
      <c r="CB564" s="10">
        <v>80</v>
      </c>
      <c r="CC564" s="10">
        <v>113</v>
      </c>
      <c r="CD564" s="10">
        <v>12.8</v>
      </c>
      <c r="CE564" s="10">
        <v>1651</v>
      </c>
      <c r="CF564" s="10">
        <v>0.9</v>
      </c>
      <c r="CG564" s="10">
        <v>1493</v>
      </c>
      <c r="CH564" s="10">
        <v>179</v>
      </c>
      <c r="CI564" s="10">
        <v>72</v>
      </c>
      <c r="CJ564" s="10">
        <v>47</v>
      </c>
      <c r="CK564" s="10">
        <v>258</v>
      </c>
      <c r="CL564" s="10">
        <v>12</v>
      </c>
      <c r="CM564" s="10">
        <v>123</v>
      </c>
      <c r="CN564" s="10">
        <v>0.26</v>
      </c>
      <c r="CO564" s="10">
        <v>88</v>
      </c>
      <c r="CP564" s="10">
        <v>63</v>
      </c>
      <c r="CQ564" s="10">
        <v>170</v>
      </c>
      <c r="CR564" s="10">
        <v>10</v>
      </c>
      <c r="CS564" s="10">
        <v>7.1</v>
      </c>
      <c r="CT564" s="9" t="s">
        <v>160</v>
      </c>
      <c r="CU564" s="10"/>
      <c r="CV564" s="10"/>
      <c r="CW564" s="10"/>
      <c r="CX564" t="str">
        <f>INDEX('Data_Price '!AG$2:AG$1266,MATCH(Data!$DN564,'Data_Price '!$AT$2:$AT$1266,0))</f>
        <v>Rossignol Experience 82 Basalt Mens Skis w/NX 12 Konect GW Bindings</v>
      </c>
      <c r="CY564" t="str">
        <f>INDEX('Data_Price '!AH$2:AH$1266,MATCH(Data!$DN564,'Data_Price '!$AT$2:$AT$1266,0))</f>
        <v>Curated</v>
      </c>
      <c r="CZ564">
        <f>INDEX('Data_Price '!AI$2:AI$1266,MATCH(Data!$DN564,'Data_Price '!$AT$2:$AT$1266,0))</f>
        <v>669.95</v>
      </c>
      <c r="DA564" t="str">
        <f>INDEX('Data_Price '!AJ$2:AJ$1266,MATCH(Data!$DN564,'Data_Price '!$AT$2:$AT$1266,0))</f>
        <v>https://tinyurl.com/yabne7lo</v>
      </c>
      <c r="DB564" t="str">
        <f>INDEX('Data_Price '!AK$2:AK$1266,MATCH(Data!$DN564,'Data_Price '!$AT$2:$AT$1266,0))</f>
        <v>Rossignol Experience 82 Ti Konnect Black 160 Ski Men</v>
      </c>
      <c r="DC564" t="str">
        <f>INDEX('Data_Price '!AL$2:AL$1266,MATCH(Data!$DN564,'Data_Price '!$AT$2:$AT$1266,0))</f>
        <v>! OutdoorXL.com</v>
      </c>
      <c r="DD564">
        <f>INDEX('Data_Price '!AM$2:AM$1266,MATCH(Data!$DN564,'Data_Price '!$AT$2:$AT$1266,0))</f>
        <v>469.95</v>
      </c>
      <c r="DE564" t="str">
        <f>INDEX('Data_Price '!AN$2:AN$1266,MATCH(Data!$DN564,'Data_Price '!$AT$2:$AT$1266,0))</f>
        <v>https://tinyurl.com/y8kylqhh</v>
      </c>
      <c r="DF564" t="str">
        <f>INDEX('Data_Price '!AO$2:AO$1266,MATCH(Data!$DN564,'Data_Price '!$AT$2:$AT$1266,0))</f>
        <v>Rossignol Experience 82 Ti Skis Mens 2022 Multicolor 160cm Skis</v>
      </c>
      <c r="DG564" t="str">
        <f>INDEX('Data_Price '!AP$2:AP$1266,MATCH(Data!$DN564,'Data_Price '!$AT$2:$AT$1266,0))</f>
        <v>Aspen Ski and Board</v>
      </c>
      <c r="DH564">
        <f>INDEX('Data_Price '!AQ$2:AQ$1266,MATCH(Data!$DN564,'Data_Price '!$AT$2:$AT$1266,0))</f>
        <v>559.95000000000005</v>
      </c>
      <c r="DI564" t="str">
        <f>INDEX('Data_Price '!AR$2:AR$1266,MATCH(Data!$DN564,'Data_Price '!$AT$2:$AT$1266,0))</f>
        <v>https://tinyurl.com/yaw9g29x</v>
      </c>
      <c r="DJ564" s="89" t="str">
        <f t="shared" si="328"/>
        <v>https://tinyurl.com/yabne7lo</v>
      </c>
      <c r="DK564" s="89" t="str">
        <f t="shared" si="329"/>
        <v>https://tinyurl.com/y8kylqhh</v>
      </c>
      <c r="DL564" s="89" t="str">
        <f t="shared" si="330"/>
        <v>https://tinyurl.com/yaw9g29x</v>
      </c>
      <c r="DM564" s="219" t="str">
        <f t="shared" si="331"/>
        <v>Experience 82 Basalt</v>
      </c>
      <c r="DN564" s="89" t="str">
        <f t="shared" si="332"/>
        <v xml:space="preserve"> RossignolExperience 82 Basalt160 Unisex</v>
      </c>
      <c r="DO564" s="221"/>
    </row>
    <row r="565" spans="2:119" ht="15.6" customHeight="1">
      <c r="B565" s="219" t="b">
        <f t="array" ref="B565">IF(OR(ISERROR(K565:P565)),FALSE,TRUE)</f>
        <v>1</v>
      </c>
      <c r="C565" s="43" t="b">
        <f>OR(BR565=Driver!$G$50,Data!BR100=Driver!$H$50)</f>
        <v>1</v>
      </c>
      <c r="D565" s="43" t="b">
        <f>OR(BV565=Driver!$G$51,BV565=Driver!$H$51)</f>
        <v>0</v>
      </c>
      <c r="E565" s="43" t="b">
        <f>AND(BX565&gt;Driver!$F$54,BX565&lt;Driver!$G$54)</f>
        <v>0</v>
      </c>
      <c r="F565" s="43" t="b">
        <f>CL565&gt;Driver!$F$56</f>
        <v>1</v>
      </c>
      <c r="G565" s="43" t="b">
        <f>AND(CB565&gt;Driver!$F$55,CB565&lt;Driver!$G$55)</f>
        <v>0</v>
      </c>
      <c r="H565" s="43" t="b">
        <f t="shared" si="296"/>
        <v>0</v>
      </c>
      <c r="I565" s="43">
        <f t="shared" si="297"/>
        <v>0</v>
      </c>
      <c r="J565" s="43" t="b">
        <f t="array" ref="J565">NOT(OR(($H$9:$H$1273=TRUE)*($I$9:$I$1273&gt;0)*($BT$9:$BT$1273=BT565)*($K$9:$K$1273&gt;K565)))</f>
        <v>1</v>
      </c>
      <c r="K565" s="72">
        <f t="shared" si="298"/>
        <v>0.92019702809275528</v>
      </c>
      <c r="L565" s="72">
        <f t="shared" si="299"/>
        <v>0.91071492316432234</v>
      </c>
      <c r="M565" s="72">
        <f t="shared" si="300"/>
        <v>0.92967913302118821</v>
      </c>
      <c r="N565" s="72">
        <f t="shared" si="301"/>
        <v>0.99399156438341474</v>
      </c>
      <c r="O565" s="72">
        <f t="shared" si="302"/>
        <v>0.81374309206411621</v>
      </c>
      <c r="P565" s="72">
        <f t="shared" si="303"/>
        <v>0.98130274261603379</v>
      </c>
      <c r="Q565" s="72"/>
      <c r="R565" s="72"/>
      <c r="S565" s="72">
        <f t="shared" si="304"/>
        <v>0.50663563811096435</v>
      </c>
      <c r="T565" s="72">
        <f t="shared" si="305"/>
        <v>0.45431896423784879</v>
      </c>
      <c r="U565" s="72">
        <f t="shared" si="306"/>
        <v>0.51</v>
      </c>
      <c r="V565" s="72">
        <f t="shared" si="307"/>
        <v>0.49846119814357737</v>
      </c>
      <c r="W565" s="72">
        <f t="shared" si="308"/>
        <v>0.81060109112164702</v>
      </c>
      <c r="X565" s="72">
        <f t="shared" si="309"/>
        <v>8.9285076835677657E-2</v>
      </c>
      <c r="Y565" s="72">
        <f t="shared" si="310"/>
        <v>7.0320866978811777E-2</v>
      </c>
      <c r="Z565" s="72">
        <f t="shared" si="311"/>
        <v>6.0084356165852754E-3</v>
      </c>
      <c r="AA565" s="72">
        <f t="shared" si="312"/>
        <v>0.18625690793588384</v>
      </c>
      <c r="AB565" s="72">
        <f t="shared" si="313"/>
        <v>1.8697257383966215E-2</v>
      </c>
      <c r="AC565" s="72"/>
      <c r="AD565" s="72"/>
      <c r="AE565" s="72">
        <f t="shared" si="314"/>
        <v>0.49336436188903565</v>
      </c>
      <c r="AF565" s="72">
        <f t="shared" si="315"/>
        <v>0.54568103576215121</v>
      </c>
      <c r="AG565" s="72">
        <f t="shared" si="316"/>
        <v>0.49</v>
      </c>
      <c r="AH565" s="72">
        <f t="shared" si="317"/>
        <v>0.50153880185642263</v>
      </c>
      <c r="AI565" s="72">
        <f t="shared" si="318"/>
        <v>0.18939890887835292</v>
      </c>
      <c r="AJ565" s="72">
        <f>(AV565-Driver!$K$179)/(Driver!$L$179-Driver!$K$179)</f>
        <v>0.16493433244702277</v>
      </c>
      <c r="AK565" s="72">
        <f>(AW565-Driver!$K$180)/(Driver!$L$180-Driver!$K$180)</f>
        <v>0.25949913003017094</v>
      </c>
      <c r="AL565" s="72">
        <f>(AX565-Driver!$K$181)/(Driver!$L$181-Driver!$K$181)</f>
        <v>0.10769619932966545</v>
      </c>
      <c r="AM565" s="72">
        <f>(AY565-Driver!$K$182)/(Driver!$L$182-Driver!$K$182)</f>
        <v>0.26112811316116252</v>
      </c>
      <c r="AN565" s="72">
        <f>(AZ565-Driver!$K$183)/(Driver!$L$183-Driver!$K$183)</f>
        <v>0.27291666666666664</v>
      </c>
      <c r="AO565" s="72"/>
      <c r="AP565" s="72"/>
      <c r="AQ565" s="72">
        <f>(BC565-Driver!$K$188)/(Driver!$L$188-Driver!$K$188)</f>
        <v>0.12663563811096434</v>
      </c>
      <c r="AR565" s="72">
        <f>MIN((BD565-Driver!$K$189)/(Driver!$L$189-Driver!$K$189),100%)</f>
        <v>4.3189642378488272E-3</v>
      </c>
      <c r="AS565" s="72">
        <f>(BE565-Driver!$K$190)/(Driver!$L$190-Driver!$K$190)</f>
        <v>1</v>
      </c>
      <c r="AT565" s="72">
        <f>(BF565-Driver!$K$191)/(Driver!$L$191-Driver!$K$191)</f>
        <v>8.4611981435773857E-3</v>
      </c>
      <c r="AU565" s="72">
        <f>(BG565-Driver!$K$192)/(Driver!$L$192-Driver!$K$192)</f>
        <v>6.060109112164707E-2</v>
      </c>
      <c r="AV565" s="70">
        <f t="shared" si="319"/>
        <v>3.4713743047076377</v>
      </c>
      <c r="AW565" s="70">
        <f t="shared" si="320"/>
        <v>27.162382239104335</v>
      </c>
      <c r="AX565" s="70">
        <f t="shared" si="321"/>
        <v>1.9692657939669891</v>
      </c>
      <c r="AY565" s="70">
        <f>IFERROR(Driver!$K$19/Data!BH565/Data!BI565*Data!BK565*Data!BL565,"")</f>
        <v>0.31969872361835855</v>
      </c>
      <c r="AZ565" s="70">
        <f t="shared" si="322"/>
        <v>24.873417721518987</v>
      </c>
      <c r="BA565" s="70"/>
      <c r="BB565" s="70"/>
      <c r="BC565" s="70">
        <f t="shared" si="323"/>
        <v>65.686785844830808</v>
      </c>
      <c r="BD565" s="70">
        <f t="shared" si="324"/>
        <v>2.1030435663955558</v>
      </c>
      <c r="BE565" s="70">
        <f t="shared" si="325"/>
        <v>1</v>
      </c>
      <c r="BF565" s="70">
        <f t="shared" si="326"/>
        <v>0.95563288703585181</v>
      </c>
      <c r="BG565" s="70">
        <f t="shared" si="327"/>
        <v>0.22947439030330585</v>
      </c>
      <c r="BH565" s="67">
        <f>MAX((CE565-Driver!$F$200)/(Driver!$G$200-Driver!$F$200)*$BI$1,1)</f>
        <v>1.9692657939669891</v>
      </c>
      <c r="BI565" s="67">
        <f>MAX($BI$1*(BY565-Driver!$F$201)/(Driver!$G$201-Driver!$F$201),1)</f>
        <v>8.2911392405063289</v>
      </c>
      <c r="BJ565" s="67">
        <f>(CB565-Driver!$F$206)/(Driver!$G$206-Driver!$F$206)*$BI$1</f>
        <v>3.6507936507936507</v>
      </c>
      <c r="BK565" s="67">
        <f>(CD565-Driver!$F$203)/(Driver!$G$203-Driver!$F$203)*$BI$1</f>
        <v>5.045871559633027</v>
      </c>
      <c r="BL565" s="67">
        <f>MAX((CR565-Driver!$F$202)/(Driver!$G$202-Driver!$F$202)*$BI$1,1)</f>
        <v>5.1724137931034484</v>
      </c>
      <c r="BM565" s="67">
        <f>MAX((CH565-Driver!$F$204)/(Driver!$G$204-Driver!$F$204)*$BI$1,1)</f>
        <v>3.8034188034188032</v>
      </c>
      <c r="BN565" s="67">
        <f>(CI565-Driver!$F$205)/(Driver!$G$205-Driver!$F$205)*$BI$1</f>
        <v>3</v>
      </c>
      <c r="BO565" s="67">
        <f>(CK565-Driver!$F$207)/(Driver!$G$207-Driver!$F$207)*$BI$1</f>
        <v>0.98241985522233721</v>
      </c>
      <c r="BP565" s="67">
        <f>(CM565-Driver!$F$208)/(Driver!$G$208-Driver!$F$208)*$BI$1</f>
        <v>1.3444444444444446</v>
      </c>
      <c r="BQ565" s="67">
        <f>(CL565-Driver!$F$209)/(Driver!$G$209-Driver!$F$209)*$BI$1</f>
        <v>1.71875</v>
      </c>
      <c r="BR565" s="28" t="s">
        <v>155</v>
      </c>
      <c r="BS565" s="8" t="s">
        <v>182</v>
      </c>
      <c r="BT565" s="9" t="s">
        <v>668</v>
      </c>
      <c r="BU565" s="10">
        <v>172</v>
      </c>
      <c r="BV565" s="9" t="s">
        <v>163</v>
      </c>
      <c r="BW565" s="10">
        <v>172</v>
      </c>
      <c r="BX565" s="10">
        <v>171.2</v>
      </c>
      <c r="BY565" s="10">
        <v>139</v>
      </c>
      <c r="BZ565" s="10">
        <v>144</v>
      </c>
      <c r="CA565" s="10">
        <v>115</v>
      </c>
      <c r="CB565" s="10">
        <v>87</v>
      </c>
      <c r="CC565" s="10">
        <v>107</v>
      </c>
      <c r="CD565" s="10">
        <v>20.399999999999999</v>
      </c>
      <c r="CE565" s="10">
        <v>1246</v>
      </c>
      <c r="CF565" s="10">
        <v>1.32</v>
      </c>
      <c r="CG565" s="10">
        <v>1643</v>
      </c>
      <c r="CH565" s="10">
        <v>190</v>
      </c>
      <c r="CI565" s="10">
        <v>84</v>
      </c>
      <c r="CJ565" s="10">
        <v>42</v>
      </c>
      <c r="CK565" s="10">
        <v>205</v>
      </c>
      <c r="CL565" s="10">
        <v>11</v>
      </c>
      <c r="CM565" s="10">
        <v>121</v>
      </c>
      <c r="CN565" s="10">
        <v>0.253</v>
      </c>
      <c r="CO565" s="10">
        <v>166</v>
      </c>
      <c r="CP565" s="10">
        <v>106</v>
      </c>
      <c r="CQ565" s="10">
        <v>39</v>
      </c>
      <c r="CR565" s="10">
        <v>4</v>
      </c>
      <c r="CS565" s="10">
        <v>7</v>
      </c>
      <c r="CT565" s="9" t="s">
        <v>185</v>
      </c>
      <c r="CU565" s="9" t="s">
        <v>198</v>
      </c>
      <c r="CV565" s="10"/>
      <c r="CW565" s="10"/>
      <c r="CX565" t="str">
        <f>INDEX('Data_Price '!AG$2:AG$1266,MATCH(Data!$DN565,'Data_Price '!$AT$2:$AT$1266,0))</f>
        <v>Armada Women's Trace 88 Ski</v>
      </c>
      <c r="CY565" t="str">
        <f>INDEX('Data_Price '!AH$2:AH$1266,MATCH(Data!$DN565,'Data_Price '!$AT$2:$AT$1266,0))</f>
        <v>Snowcountry.eu</v>
      </c>
      <c r="CZ565">
        <f>INDEX('Data_Price '!AI$2:AI$1266,MATCH(Data!$DN565,'Data_Price '!$AT$2:$AT$1266,0))</f>
        <v>367.9</v>
      </c>
      <c r="DA565" t="str">
        <f>INDEX('Data_Price '!AJ$2:AJ$1266,MATCH(Data!$DN565,'Data_Price '!$AT$2:$AT$1266,0))</f>
        <v>https://www.google.com/url?q=https://www.snowcountry.eu/armada-trace-88-2316.html%3Fartikel_maat%3D65330%26country%3DUS&amp;sa=U&amp;ved=0ahUKEwim8-ahwO72AhXiNX0KHVCKAF8Q2ykIGQ&amp;usg=AOvVaw0NvaoV1vWkomiwSD0_TGy7</v>
      </c>
      <c r="DB565" t="str">
        <f>INDEX('Data_Price '!AK$2:AK$1266,MATCH(Data!$DN565,'Data_Price '!$AT$2:$AT$1266,0))</f>
        <v>Armada Women's Trace 88 Ski</v>
      </c>
      <c r="DC565" t="str">
        <f>INDEX('Data_Price '!AL$2:AL$1266,MATCH(Data!$DN565,'Data_Price '!$AT$2:$AT$1266,0))</f>
        <v>PRFO Sports</v>
      </c>
      <c r="DD565">
        <f>INDEX('Data_Price '!AM$2:AM$1266,MATCH(Data!$DN565,'Data_Price '!$AT$2:$AT$1266,0))</f>
        <v>416.08</v>
      </c>
      <c r="DE565" t="str">
        <f>INDEX('Data_Price '!AN$2:AN$1266,MATCH(Data!$DN565,'Data_Price '!$AT$2:$AT$1266,0))</f>
        <v>https://tinyurl.com/yc8jd3k3</v>
      </c>
      <c r="DF565" t="str">
        <f>INDEX('Data_Price '!AO$2:AO$1266,MATCH(Data!$DN565,'Data_Price '!$AT$2:$AT$1266,0))</f>
        <v>Armada Women's Trace 88 Ski</v>
      </c>
      <c r="DG565" t="str">
        <f>INDEX('Data_Price '!AP$2:AP$1266,MATCH(Data!$DN565,'Data_Price '!$AT$2:$AT$1266,0))</f>
        <v>REI</v>
      </c>
      <c r="DH565">
        <f>INDEX('Data_Price '!AQ$2:AQ$1266,MATCH(Data!$DN565,'Data_Price '!$AT$2:$AT$1266,0))</f>
        <v>479.93</v>
      </c>
      <c r="DI565" t="str">
        <f>INDEX('Data_Price '!AR$2:AR$1266,MATCH(Data!$DN565,'Data_Price '!$AT$2:$AT$1266,0))</f>
        <v>https://tinyurl.com/ya69r7vk</v>
      </c>
      <c r="DJ565" s="89" t="str">
        <f t="shared" si="328"/>
        <v>https://www.google.com/url?q=https://www.snowcountry.eu/armada-trace-88-2316.html%3Fartikel_maat%3D65330%26country%3DUS&amp;sa=U&amp;ved=0ahUKEwim8-ahwO72AhXiNX0KHVCKAF8Q2ykIGQ&amp;usg=AOvVaw0NvaoV1vWkomiwSD0_TGy7</v>
      </c>
      <c r="DK565" s="89" t="str">
        <f t="shared" si="329"/>
        <v>https://tinyurl.com/yc8jd3k3</v>
      </c>
      <c r="DL565" s="89" t="str">
        <f t="shared" si="330"/>
        <v>https://tinyurl.com/ya69r7vk</v>
      </c>
      <c r="DM565" s="219" t="str">
        <f t="shared" si="331"/>
        <v>Trace 88</v>
      </c>
      <c r="DN565" s="89" t="str">
        <f t="shared" si="332"/>
        <v xml:space="preserve"> ArmadaTrace 88172 Women's</v>
      </c>
      <c r="DO565" s="221"/>
    </row>
    <row r="566" spans="2:119" ht="15.6" customHeight="1">
      <c r="B566" s="219" t="b">
        <f t="array" ref="B566">IF(OR(ISERROR(K566:P566)),FALSE,TRUE)</f>
        <v>1</v>
      </c>
      <c r="C566" s="43" t="b">
        <f>OR(BR566=Driver!$G$50,Data!BR82=Driver!$H$50)</f>
        <v>1</v>
      </c>
      <c r="D566" s="43" t="b">
        <f>OR(BV566=Driver!$G$51,BV566=Driver!$H$51)</f>
        <v>0</v>
      </c>
      <c r="E566" s="43" t="b">
        <f>AND(BX566&gt;Driver!$F$54,BX566&lt;Driver!$G$54)</f>
        <v>0</v>
      </c>
      <c r="F566" s="43" t="b">
        <f>CL566&gt;Driver!$F$56</f>
        <v>1</v>
      </c>
      <c r="G566" s="43" t="b">
        <f>AND(CB566&gt;Driver!$F$55,CB566&lt;Driver!$G$55)</f>
        <v>1</v>
      </c>
      <c r="H566" s="43" t="b">
        <f t="shared" si="296"/>
        <v>0</v>
      </c>
      <c r="I566" s="43">
        <f t="shared" si="297"/>
        <v>0</v>
      </c>
      <c r="J566" s="43" t="b">
        <f t="array" ref="J566">NOT(OR(($H$9:$H$1273=TRUE)*($I$9:$I$1273&gt;0)*($BT$9:$BT$1273=BT566)*($K$9:$K$1273&gt;K566)))</f>
        <v>1</v>
      </c>
      <c r="K566" s="72">
        <f t="shared" si="298"/>
        <v>0.79717691753838271</v>
      </c>
      <c r="L566" s="72">
        <f t="shared" si="299"/>
        <v>0.92032206015692486</v>
      </c>
      <c r="M566" s="72">
        <f t="shared" si="300"/>
        <v>0.67403177491984057</v>
      </c>
      <c r="N566" s="72">
        <f t="shared" si="301"/>
        <v>0.59748236309333702</v>
      </c>
      <c r="O566" s="72">
        <f t="shared" si="302"/>
        <v>0.64678244127237305</v>
      </c>
      <c r="P566" s="72">
        <f t="shared" si="303"/>
        <v>0.77783052039381162</v>
      </c>
      <c r="Q566" s="72"/>
      <c r="R566" s="72"/>
      <c r="S566" s="72">
        <f t="shared" si="304"/>
        <v>0.5067499702988737</v>
      </c>
      <c r="T566" s="72">
        <f t="shared" si="305"/>
        <v>0.52160311520073144</v>
      </c>
      <c r="U566" s="72">
        <f t="shared" si="306"/>
        <v>0.64800551892155611</v>
      </c>
      <c r="V566" s="72">
        <f t="shared" si="307"/>
        <v>0.53587366098775657</v>
      </c>
      <c r="W566" s="72">
        <f t="shared" si="308"/>
        <v>0.77646500146821318</v>
      </c>
      <c r="X566" s="72">
        <f t="shared" si="309"/>
        <v>7.9677939843075085E-2</v>
      </c>
      <c r="Y566" s="72">
        <f t="shared" si="310"/>
        <v>0.32596822508015943</v>
      </c>
      <c r="Z566" s="72">
        <f t="shared" si="311"/>
        <v>0.40251763690666298</v>
      </c>
      <c r="AA566" s="72">
        <f t="shared" si="312"/>
        <v>0.353217558727627</v>
      </c>
      <c r="AB566" s="72">
        <f t="shared" si="313"/>
        <v>0.22216947960618838</v>
      </c>
      <c r="AC566" s="72"/>
      <c r="AD566" s="72"/>
      <c r="AE566" s="72">
        <f t="shared" si="314"/>
        <v>0.4932500297011263</v>
      </c>
      <c r="AF566" s="72">
        <f t="shared" si="315"/>
        <v>0.47839688479926862</v>
      </c>
      <c r="AG566" s="72">
        <f t="shared" si="316"/>
        <v>0.35199448107844389</v>
      </c>
      <c r="AH566" s="72">
        <f t="shared" si="317"/>
        <v>0.46412633901224343</v>
      </c>
      <c r="AI566" s="72">
        <f t="shared" si="318"/>
        <v>0.22353499853178682</v>
      </c>
      <c r="AJ566" s="72">
        <f>(AV566-Driver!$K$179)/(Driver!$L$179-Driver!$K$179)</f>
        <v>0.33389734912577551</v>
      </c>
      <c r="AK566" s="72">
        <f>(AW566-Driver!$K$180)/(Driver!$L$180-Driver!$K$180)</f>
        <v>0.48429630858968248</v>
      </c>
      <c r="AL566" s="72">
        <f>(AX566-Driver!$K$181)/(Driver!$L$181-Driver!$K$181)</f>
        <v>0.50420540061974317</v>
      </c>
      <c r="AM566" s="72">
        <f>(AY566-Driver!$K$182)/(Driver!$L$182-Driver!$K$182)</f>
        <v>9.4167462369419377E-2</v>
      </c>
      <c r="AN566" s="72">
        <f>(AZ566-Driver!$K$183)/(Driver!$L$183-Driver!$K$183)</f>
        <v>0.47638888888888881</v>
      </c>
      <c r="AO566" s="72"/>
      <c r="AP566" s="72"/>
      <c r="AQ566" s="72">
        <f>(BC566-Driver!$K$188)/(Driver!$L$188-Driver!$K$188)</f>
        <v>0.12674997029887369</v>
      </c>
      <c r="AR566" s="72">
        <f>MIN((BD566-Driver!$K$189)/(Driver!$L$189-Driver!$K$189),100%)</f>
        <v>7.160311520073144E-2</v>
      </c>
      <c r="AS566" s="72">
        <f>(BE566-Driver!$K$190)/(Driver!$L$190-Driver!$K$190)</f>
        <v>0.15800551892155615</v>
      </c>
      <c r="AT566" s="72">
        <f>(BF566-Driver!$K$191)/(Driver!$L$191-Driver!$K$191)</f>
        <v>4.5873660987756568E-2</v>
      </c>
      <c r="AU566" s="72">
        <f>(BG566-Driver!$K$192)/(Driver!$L$192-Driver!$K$192)</f>
        <v>2.6465001468213182E-2</v>
      </c>
      <c r="AV566" s="70">
        <f t="shared" si="319"/>
        <v>7.0275403608736946</v>
      </c>
      <c r="AW566" s="70">
        <f t="shared" si="320"/>
        <v>49.070859195364164</v>
      </c>
      <c r="AX566" s="70">
        <f t="shared" si="321"/>
        <v>5.5378486055776888</v>
      </c>
      <c r="AY566" s="70">
        <f>IFERROR(Driver!$K$19/Data!BH566/Data!BI566*Data!BK566*Data!BL566,"")</f>
        <v>0.11528907079914029</v>
      </c>
      <c r="AZ566" s="70">
        <f t="shared" si="322"/>
        <v>43.417721518987335</v>
      </c>
      <c r="BA566" s="70"/>
      <c r="BB566" s="70"/>
      <c r="BC566" s="70">
        <f t="shared" si="323"/>
        <v>65.746090745523873</v>
      </c>
      <c r="BD566" s="70">
        <f t="shared" si="324"/>
        <v>8.0575717061498064</v>
      </c>
      <c r="BE566" s="70">
        <f t="shared" si="325"/>
        <v>0.15815572125992897</v>
      </c>
      <c r="BF566" s="70">
        <f t="shared" si="326"/>
        <v>5.1811077278588487</v>
      </c>
      <c r="BG566" s="70">
        <f t="shared" si="327"/>
        <v>0.10021337840441932</v>
      </c>
      <c r="BH566" s="67">
        <f>MAX((CE566-Driver!$F$200)/(Driver!$G$200-Driver!$F$200)*$BI$1,1)</f>
        <v>5.5378486055776888</v>
      </c>
      <c r="BI566" s="67">
        <f>MAX($BI$1*(BY566-Driver!$F$201)/(Driver!$G$201-Driver!$F$201),1)</f>
        <v>7.5316455696202533</v>
      </c>
      <c r="BJ566" s="67">
        <f>(CB566-Driver!$F$206)/(Driver!$G$206-Driver!$F$206)*$BI$1</f>
        <v>5.8730158730158735</v>
      </c>
      <c r="BK566" s="67">
        <f>(CD566-Driver!$F$203)/(Driver!$G$203-Driver!$F$203)*$BI$1</f>
        <v>3.6697247706422016</v>
      </c>
      <c r="BL566" s="67">
        <f>MAX((CR566-Driver!$F$202)/(Driver!$G$202-Driver!$F$202)*$BI$1,1)</f>
        <v>6.5517241379310338</v>
      </c>
      <c r="BM566" s="67">
        <f>MAX((CH566-Driver!$F$204)/(Driver!$G$204-Driver!$F$204)*$BI$1,1)</f>
        <v>4.7863247863247862</v>
      </c>
      <c r="BN566" s="67">
        <f>(CI566-Driver!$F$205)/(Driver!$G$205-Driver!$F$205)*$BI$1</f>
        <v>5.7647058823529402</v>
      </c>
      <c r="BO566" s="67">
        <f>(CK566-Driver!$F$207)/(Driver!$G$207-Driver!$F$207)*$BI$1</f>
        <v>1.8097207859358841</v>
      </c>
      <c r="BP566" s="67">
        <f>(CM566-Driver!$F$208)/(Driver!$G$208-Driver!$F$208)*$BI$1</f>
        <v>1.7888888888888888</v>
      </c>
      <c r="BQ566" s="67">
        <f>(CL566-Driver!$F$209)/(Driver!$G$209-Driver!$F$209)*$BI$1</f>
        <v>2.65625</v>
      </c>
      <c r="BR566" s="28" t="s">
        <v>155</v>
      </c>
      <c r="BS566" s="8" t="s">
        <v>182</v>
      </c>
      <c r="BT566" s="9" t="s">
        <v>287</v>
      </c>
      <c r="BU566" s="10">
        <v>172</v>
      </c>
      <c r="BV566" s="9" t="s">
        <v>163</v>
      </c>
      <c r="BW566" s="10">
        <v>172</v>
      </c>
      <c r="BX566" s="10">
        <v>171.4</v>
      </c>
      <c r="BY566" s="10">
        <v>127</v>
      </c>
      <c r="BZ566" s="10">
        <v>141</v>
      </c>
      <c r="CA566" s="10">
        <v>133</v>
      </c>
      <c r="CB566" s="10">
        <v>101</v>
      </c>
      <c r="CC566" s="10">
        <v>123</v>
      </c>
      <c r="CD566" s="10">
        <v>17.399999999999999</v>
      </c>
      <c r="CE566" s="10">
        <v>1873</v>
      </c>
      <c r="CF566" s="10">
        <v>1.02</v>
      </c>
      <c r="CG566" s="10">
        <v>1917</v>
      </c>
      <c r="CH566" s="10">
        <v>213</v>
      </c>
      <c r="CI566" s="10">
        <v>131</v>
      </c>
      <c r="CJ566" s="10">
        <v>52</v>
      </c>
      <c r="CK566" s="10">
        <v>285</v>
      </c>
      <c r="CL566" s="10">
        <v>17</v>
      </c>
      <c r="CM566" s="10">
        <v>161</v>
      </c>
      <c r="CN566" s="10">
        <v>0.33600000000000002</v>
      </c>
      <c r="CO566" s="10">
        <v>181</v>
      </c>
      <c r="CP566" s="10">
        <v>127</v>
      </c>
      <c r="CQ566" s="10">
        <v>105</v>
      </c>
      <c r="CR566" s="10">
        <v>8</v>
      </c>
      <c r="CS566" s="10">
        <v>8.4</v>
      </c>
      <c r="CT566" s="9" t="s">
        <v>188</v>
      </c>
      <c r="CU566" s="9" t="s">
        <v>178</v>
      </c>
      <c r="CV566" s="10"/>
      <c r="CW566" s="10"/>
      <c r="CX566" t="str">
        <f>INDEX('Data_Price '!AG$2:AG$1266,MATCH(Data!$DN566,'Data_Price '!$AT$2:$AT$1266,0))</f>
        <v>Armada Reliance 102 Ti Ski - 2022 - Women's Black/Orange, 172cm</v>
      </c>
      <c r="CY566" t="str">
        <f>INDEX('Data_Price '!AH$2:AH$1266,MATCH(Data!$DN566,'Data_Price '!$AT$2:$AT$1266,0))</f>
        <v>Ski Pro  - Snow Ski &amp; Snowboard</v>
      </c>
      <c r="CZ566">
        <f>INDEX('Data_Price '!AI$2:AI$1266,MATCH(Data!$DN566,'Data_Price '!$AT$2:$AT$1266,0))</f>
        <v>639.95000000000005</v>
      </c>
      <c r="DA566" t="str">
        <f>INDEX('Data_Price '!AJ$2:AJ$1266,MATCH(Data!$DN566,'Data_Price '!$AT$2:$AT$1266,0))</f>
        <v>https://tinyurl.com/ya2yxkcy</v>
      </c>
      <c r="DB566" t="str">
        <f>INDEX('Data_Price '!AK$2:AK$1266,MATCH(Data!$DN566,'Data_Price '!$AT$2:$AT$1266,0))</f>
        <v>Armada Reliance 102 Ti Ski - 2022 - Women's Black/Orange, 172cm</v>
      </c>
      <c r="DC566" t="str">
        <f>INDEX('Data_Price '!AL$2:AL$1266,MATCH(Data!$DN566,'Data_Price '!$AT$2:$AT$1266,0))</f>
        <v>Backcountry.com</v>
      </c>
      <c r="DD566">
        <f>INDEX('Data_Price '!AM$2:AM$1266,MATCH(Data!$DN566,'Data_Price '!$AT$2:$AT$1266,0))</f>
        <v>799.95</v>
      </c>
      <c r="DE566" t="str">
        <f>INDEX('Data_Price '!AN$2:AN$1266,MATCH(Data!$DN566,'Data_Price '!$AT$2:$AT$1266,0))</f>
        <v>https://tinyurl.com/ybnfmluk</v>
      </c>
      <c r="DF566" t="str">
        <f>INDEX('Data_Price '!AO$2:AO$1266,MATCH(Data!$DN566,'Data_Price '!$AT$2:$AT$1266,0))</f>
        <v>Armada Declivity 102 Ti Skis</v>
      </c>
      <c r="DG566" t="str">
        <f>INDEX('Data_Price '!AP$2:AP$1266,MATCH(Data!$DN566,'Data_Price '!$AT$2:$AT$1266,0))</f>
        <v>Snowcountry.eu</v>
      </c>
      <c r="DH566">
        <f>INDEX('Data_Price '!AQ$2:AQ$1266,MATCH(Data!$DN566,'Data_Price '!$AT$2:$AT$1266,0))</f>
        <v>450.88</v>
      </c>
      <c r="DI566" t="str">
        <f>INDEX('Data_Price '!AR$2:AR$1266,MATCH(Data!$DN566,'Data_Price '!$AT$2:$AT$1266,0))</f>
        <v>https://tinyurl.com/y86yxanu</v>
      </c>
      <c r="DJ566" s="89" t="str">
        <f t="shared" si="328"/>
        <v>https://tinyurl.com/ya2yxkcy</v>
      </c>
      <c r="DK566" s="89" t="str">
        <f t="shared" si="329"/>
        <v>https://tinyurl.com/ybnfmluk</v>
      </c>
      <c r="DL566" s="89" t="str">
        <f t="shared" si="330"/>
        <v>https://tinyurl.com/y86yxanu</v>
      </c>
      <c r="DM566" s="219" t="str">
        <f t="shared" si="331"/>
        <v>Reliance 102 Ti</v>
      </c>
      <c r="DN566" s="89" t="str">
        <f t="shared" si="332"/>
        <v xml:space="preserve"> ArmadaReliance 102 Ti172 Women's</v>
      </c>
      <c r="DO566" s="221" t="s">
        <v>288</v>
      </c>
    </row>
    <row r="567" spans="2:119" ht="15.6" customHeight="1">
      <c r="B567" s="219" t="b">
        <f t="array" ref="B567">IF(OR(ISERROR(K567:P567)),FALSE,TRUE)</f>
        <v>1</v>
      </c>
      <c r="C567" s="43" t="b">
        <f>OR(BR567=Driver!$G$50,Data!BR747=Driver!$H$50)</f>
        <v>1</v>
      </c>
      <c r="D567" s="43" t="b">
        <f>OR(BV567=Driver!$G$51,BV567=Driver!$H$51)</f>
        <v>0</v>
      </c>
      <c r="E567" s="43" t="b">
        <f>AND(BX567&gt;Driver!$F$54,BX567&lt;Driver!$G$54)</f>
        <v>1</v>
      </c>
      <c r="F567" s="43" t="b">
        <f>CL567&gt;Driver!$F$56</f>
        <v>1</v>
      </c>
      <c r="G567" s="43" t="b">
        <f>AND(CB567&gt;Driver!$F$55,CB567&lt;Driver!$G$55)</f>
        <v>0</v>
      </c>
      <c r="H567" s="43" t="b">
        <f t="shared" si="296"/>
        <v>0</v>
      </c>
      <c r="I567" s="43">
        <f t="shared" si="297"/>
        <v>0</v>
      </c>
      <c r="J567" s="43" t="b">
        <f t="array" ref="J567">NOT(OR(($H$9:$H$1273=TRUE)*($I$9:$I$1273&gt;0)*($BT$9:$BT$1273=BT567)*($K$9:$K$1273&gt;K567)))</f>
        <v>1</v>
      </c>
      <c r="K567" s="72">
        <f t="shared" si="298"/>
        <v>0.796523664554036</v>
      </c>
      <c r="L567" s="72">
        <f t="shared" si="299"/>
        <v>0.80988501421258596</v>
      </c>
      <c r="M567" s="72">
        <f t="shared" si="300"/>
        <v>0.78316231489548593</v>
      </c>
      <c r="N567" s="72">
        <f t="shared" si="301"/>
        <v>0.773919471801362</v>
      </c>
      <c r="O567" s="72">
        <f t="shared" si="302"/>
        <v>0.62145354883446302</v>
      </c>
      <c r="P567" s="72">
        <f t="shared" si="303"/>
        <v>0.95411392405063289</v>
      </c>
      <c r="Q567" s="72"/>
      <c r="R567" s="72"/>
      <c r="S567" s="72">
        <f t="shared" si="304"/>
        <v>0.4067434939532083</v>
      </c>
      <c r="T567" s="72">
        <f t="shared" si="305"/>
        <v>0.46079961951252024</v>
      </c>
      <c r="U567" s="72">
        <f t="shared" si="306"/>
        <v>0.69386912734311423</v>
      </c>
      <c r="V567" s="72">
        <f t="shared" si="307"/>
        <v>0.59108510298694139</v>
      </c>
      <c r="W567" s="72">
        <f t="shared" si="308"/>
        <v>0.89625360230547546</v>
      </c>
      <c r="X567" s="72">
        <f t="shared" si="309"/>
        <v>0.19011498578741398</v>
      </c>
      <c r="Y567" s="72">
        <f t="shared" si="310"/>
        <v>0.21683768510451404</v>
      </c>
      <c r="Z567" s="72">
        <f t="shared" si="311"/>
        <v>0.226080528198638</v>
      </c>
      <c r="AA567" s="72">
        <f t="shared" si="312"/>
        <v>0.37854645116553698</v>
      </c>
      <c r="AB567" s="72">
        <f t="shared" si="313"/>
        <v>4.5886075949367083E-2</v>
      </c>
      <c r="AC567" s="72"/>
      <c r="AD567" s="72"/>
      <c r="AE567" s="72">
        <f t="shared" si="314"/>
        <v>0.5932565060467917</v>
      </c>
      <c r="AF567" s="72">
        <f t="shared" si="315"/>
        <v>0.53920038048747976</v>
      </c>
      <c r="AG567" s="72">
        <f t="shared" si="316"/>
        <v>0.30613087265688577</v>
      </c>
      <c r="AH567" s="72">
        <f t="shared" si="317"/>
        <v>0.40891489701305861</v>
      </c>
      <c r="AI567" s="72">
        <f t="shared" si="318"/>
        <v>0.10374639769452451</v>
      </c>
      <c r="AJ567" s="72">
        <f>(AV567-Driver!$K$179)/(Driver!$L$179-Driver!$K$179)</f>
        <v>6.4104423495286431E-2</v>
      </c>
      <c r="AK567" s="72">
        <f>(AW567-Driver!$K$180)/(Driver!$L$180-Driver!$K$180)</f>
        <v>0.21701097808169884</v>
      </c>
      <c r="AL567" s="72">
        <f>(AX567-Driver!$K$181)/(Driver!$L$181-Driver!$K$181)</f>
        <v>0.32776829191171819</v>
      </c>
      <c r="AM567" s="72">
        <f>(AY567-Driver!$K$182)/(Driver!$L$182-Driver!$K$182)</f>
        <v>6.88385699315094E-2</v>
      </c>
      <c r="AN567" s="72">
        <f>(AZ567-Driver!$K$183)/(Driver!$L$183-Driver!$K$183)</f>
        <v>0.20833333333333334</v>
      </c>
      <c r="AO567" s="72"/>
      <c r="AP567" s="72"/>
      <c r="AQ567" s="72">
        <f>(BC567-Driver!$K$188)/(Driver!$L$188-Driver!$K$188)</f>
        <v>2.674349395320829E-2</v>
      </c>
      <c r="AR567" s="72">
        <f>MIN((BD567-Driver!$K$189)/(Driver!$L$189-Driver!$K$189),100%)</f>
        <v>1.0799619512520274E-2</v>
      </c>
      <c r="AS567" s="72">
        <f>(BE567-Driver!$K$190)/(Driver!$L$190-Driver!$K$190)</f>
        <v>0.20386912734311424</v>
      </c>
      <c r="AT567" s="72">
        <f>(BF567-Driver!$K$191)/(Driver!$L$191-Driver!$K$191)</f>
        <v>0.10108510298694141</v>
      </c>
      <c r="AU567" s="72">
        <f>(BG567-Driver!$K$192)/(Driver!$L$192-Driver!$K$192)</f>
        <v>0.14625360230547549</v>
      </c>
      <c r="AV567" s="70">
        <f t="shared" si="319"/>
        <v>1.3492063492063491</v>
      </c>
      <c r="AW567" s="70">
        <f t="shared" si="320"/>
        <v>23.021535348400413</v>
      </c>
      <c r="AX567" s="70">
        <f t="shared" si="321"/>
        <v>3.9499146272054637</v>
      </c>
      <c r="AY567" s="70">
        <f>IFERROR(Driver!$K$19/Data!BH567/Data!BI567*Data!BK567*Data!BL567,"")</f>
        <v>8.4278949043047155E-2</v>
      </c>
      <c r="AZ567" s="70">
        <f t="shared" si="322"/>
        <v>18.9873417721519</v>
      </c>
      <c r="BA567" s="70"/>
      <c r="BB567" s="70"/>
      <c r="BC567" s="70">
        <f t="shared" si="323"/>
        <v>13.87203623128285</v>
      </c>
      <c r="BD567" s="70">
        <f t="shared" si="324"/>
        <v>2.6765700751623194</v>
      </c>
      <c r="BE567" s="70">
        <f t="shared" si="325"/>
        <v>0.20401114812996154</v>
      </c>
      <c r="BF567" s="70">
        <f t="shared" si="326"/>
        <v>11.416852219334123</v>
      </c>
      <c r="BG567" s="70">
        <f t="shared" si="327"/>
        <v>0.55380943804034577</v>
      </c>
      <c r="BH567" s="67">
        <f>MAX((CE567-Driver!$F$200)/(Driver!$G$200-Driver!$F$200)*$BI$1,1)</f>
        <v>3.9499146272054637</v>
      </c>
      <c r="BI567" s="67">
        <f>MAX($BI$1*(BY567-Driver!$F$201)/(Driver!$G$201-Driver!$F$201),1)</f>
        <v>6.3291139240506329</v>
      </c>
      <c r="BJ567" s="67">
        <f>(CB567-Driver!$F$206)/(Driver!$G$206-Driver!$F$206)*$BI$1</f>
        <v>5.3968253968253963</v>
      </c>
      <c r="BK567" s="67">
        <f>(CD567-Driver!$F$203)/(Driver!$G$203-Driver!$F$203)*$BI$1</f>
        <v>1.6972477064220182</v>
      </c>
      <c r="BL567" s="67">
        <f>MAX((CR567-Driver!$F$202)/(Driver!$G$202-Driver!$F$202)*$BI$1,1)</f>
        <v>6.2068965517241379</v>
      </c>
      <c r="BM567" s="67">
        <f>MAX((CH567-Driver!$F$204)/(Driver!$G$204-Driver!$F$204)*$BI$1,1)</f>
        <v>1</v>
      </c>
      <c r="BN567" s="67">
        <f>(CI567-Driver!$F$205)/(Driver!$G$205-Driver!$F$205)*$BI$1</f>
        <v>3</v>
      </c>
      <c r="BO567" s="67">
        <f>(CK567-Driver!$F$207)/(Driver!$G$207-Driver!$F$207)*$BI$1</f>
        <v>1.923474663908997</v>
      </c>
      <c r="BP567" s="67">
        <f>(CM567-Driver!$F$208)/(Driver!$G$208-Driver!$F$208)*$BI$1</f>
        <v>1.8666666666666667</v>
      </c>
      <c r="BQ567" s="67">
        <f>(CL567-Driver!$F$209)/(Driver!$G$209-Driver!$F$209)*$BI$1</f>
        <v>2.1875</v>
      </c>
      <c r="BR567" s="28" t="s">
        <v>155</v>
      </c>
      <c r="BS567" s="8" t="s">
        <v>262</v>
      </c>
      <c r="BT567" s="9" t="s">
        <v>488</v>
      </c>
      <c r="BU567" s="10">
        <v>154</v>
      </c>
      <c r="BV567" s="9" t="s">
        <v>163</v>
      </c>
      <c r="BW567" s="10">
        <v>154</v>
      </c>
      <c r="BX567" s="10">
        <v>154.1</v>
      </c>
      <c r="BY567" s="10">
        <v>108</v>
      </c>
      <c r="BZ567" s="10">
        <v>126</v>
      </c>
      <c r="CA567" s="10">
        <v>133</v>
      </c>
      <c r="CB567" s="10">
        <v>98</v>
      </c>
      <c r="CC567" s="10">
        <v>119</v>
      </c>
      <c r="CD567" s="10">
        <v>13.1</v>
      </c>
      <c r="CE567" s="10">
        <v>1594</v>
      </c>
      <c r="CF567" s="10">
        <v>1.06</v>
      </c>
      <c r="CG567" s="10">
        <v>1683</v>
      </c>
      <c r="CH567" s="10">
        <v>117</v>
      </c>
      <c r="CI567" s="10">
        <v>84</v>
      </c>
      <c r="CJ567" s="10">
        <v>44</v>
      </c>
      <c r="CK567" s="10">
        <v>296</v>
      </c>
      <c r="CL567" s="10">
        <v>14</v>
      </c>
      <c r="CM567" s="10">
        <v>168</v>
      </c>
      <c r="CN567" s="10">
        <v>0.32400000000000001</v>
      </c>
      <c r="CO567" s="10">
        <v>157</v>
      </c>
      <c r="CP567" s="10">
        <v>122</v>
      </c>
      <c r="CQ567" s="10">
        <v>138</v>
      </c>
      <c r="CR567" s="10">
        <v>7</v>
      </c>
      <c r="CS567" s="10">
        <v>9.8000000000000007</v>
      </c>
      <c r="CT567" s="9" t="s">
        <v>188</v>
      </c>
      <c r="CU567" s="9" t="s">
        <v>185</v>
      </c>
      <c r="CV567" s="10"/>
      <c r="CW567" s="10"/>
      <c r="CX567" t="e">
        <f>INDEX('Data_Price '!AG$2:AG$1266,MATCH(Data!$DN567,'Data_Price '!$AT$2:$AT$1266,0))</f>
        <v>#N/A</v>
      </c>
      <c r="CY567" t="e">
        <f>INDEX('Data_Price '!AH$2:AH$1266,MATCH(Data!$DN567,'Data_Price '!$AT$2:$AT$1266,0))</f>
        <v>#N/A</v>
      </c>
      <c r="CZ567" t="e">
        <f>INDEX('Data_Price '!AI$2:AI$1266,MATCH(Data!$DN567,'Data_Price '!$AT$2:$AT$1266,0))</f>
        <v>#N/A</v>
      </c>
      <c r="DA567" t="e">
        <f>INDEX('Data_Price '!AJ$2:AJ$1266,MATCH(Data!$DN567,'Data_Price '!$AT$2:$AT$1266,0))</f>
        <v>#N/A</v>
      </c>
      <c r="DB567" t="e">
        <f>INDEX('Data_Price '!AK$2:AK$1266,MATCH(Data!$DN567,'Data_Price '!$AT$2:$AT$1266,0))</f>
        <v>#N/A</v>
      </c>
      <c r="DC567" t="e">
        <f>INDEX('Data_Price '!AL$2:AL$1266,MATCH(Data!$DN567,'Data_Price '!$AT$2:$AT$1266,0))</f>
        <v>#N/A</v>
      </c>
      <c r="DD567" t="e">
        <f>INDEX('Data_Price '!AM$2:AM$1266,MATCH(Data!$DN567,'Data_Price '!$AT$2:$AT$1266,0))</f>
        <v>#N/A</v>
      </c>
      <c r="DE567" t="e">
        <f>INDEX('Data_Price '!AN$2:AN$1266,MATCH(Data!$DN567,'Data_Price '!$AT$2:$AT$1266,0))</f>
        <v>#N/A</v>
      </c>
      <c r="DF567" t="e">
        <f>INDEX('Data_Price '!AO$2:AO$1266,MATCH(Data!$DN567,'Data_Price '!$AT$2:$AT$1266,0))</f>
        <v>#N/A</v>
      </c>
      <c r="DG567" t="e">
        <f>INDEX('Data_Price '!AP$2:AP$1266,MATCH(Data!$DN567,'Data_Price '!$AT$2:$AT$1266,0))</f>
        <v>#N/A</v>
      </c>
      <c r="DH567" t="e">
        <f>INDEX('Data_Price '!AQ$2:AQ$1266,MATCH(Data!$DN567,'Data_Price '!$AT$2:$AT$1266,0))</f>
        <v>#N/A</v>
      </c>
      <c r="DI567" t="e">
        <f>INDEX('Data_Price '!AR$2:AR$1266,MATCH(Data!$DN567,'Data_Price '!$AT$2:$AT$1266,0))</f>
        <v>#N/A</v>
      </c>
      <c r="DJ567" s="89" t="e">
        <f t="shared" si="328"/>
        <v>#N/A</v>
      </c>
      <c r="DK567" s="89" t="e">
        <f t="shared" si="329"/>
        <v>#N/A</v>
      </c>
      <c r="DL567" s="89" t="e">
        <f t="shared" si="330"/>
        <v>#N/A</v>
      </c>
      <c r="DM567" s="219" t="str">
        <f t="shared" si="331"/>
        <v>Mindbender 98 Ti Alliance</v>
      </c>
      <c r="DN567" s="89" t="str">
        <f t="shared" si="332"/>
        <v xml:space="preserve"> K2Mindbender 98 Ti Alliance154 Women's</v>
      </c>
      <c r="DO567" s="221"/>
    </row>
    <row r="568" spans="2:119" ht="15.6" customHeight="1">
      <c r="B568" s="219" t="b">
        <f t="array" ref="B568">IF(OR(ISERROR(K568:P568)),FALSE,TRUE)</f>
        <v>1</v>
      </c>
      <c r="C568" s="43" t="b">
        <f>OR(BR568=Driver!$G$50,Data!BR285=Driver!$H$50)</f>
        <v>1</v>
      </c>
      <c r="D568" s="43" t="b">
        <f>OR(BV568=Driver!$G$51,BV568=Driver!$H$51)</f>
        <v>0</v>
      </c>
      <c r="E568" s="43" t="b">
        <f>AND(BX568&gt;Driver!$F$54,BX568&lt;Driver!$G$54)</f>
        <v>1</v>
      </c>
      <c r="F568" s="43" t="b">
        <f>CL568&gt;Driver!$F$56</f>
        <v>1</v>
      </c>
      <c r="G568" s="43" t="b">
        <f>AND(CB568&gt;Driver!$F$55,CB568&lt;Driver!$G$55)</f>
        <v>0</v>
      </c>
      <c r="H568" s="43" t="b">
        <f t="shared" si="296"/>
        <v>0</v>
      </c>
      <c r="I568" s="43">
        <f t="shared" si="297"/>
        <v>0</v>
      </c>
      <c r="J568" s="43" t="b">
        <f t="array" ref="J568">NOT(OR(($H$9:$H$1273=TRUE)*($I$9:$I$1273&gt;0)*($BT$9:$BT$1273=BT568)*($K$9:$K$1273&gt;K568)))</f>
        <v>1</v>
      </c>
      <c r="K568" s="72">
        <f t="shared" si="298"/>
        <v>0.77747923991237511</v>
      </c>
      <c r="L568" s="72">
        <f t="shared" si="299"/>
        <v>0.79033783832023241</v>
      </c>
      <c r="M568" s="72">
        <f t="shared" si="300"/>
        <v>0.7646206415045177</v>
      </c>
      <c r="N568" s="72">
        <f t="shared" si="301"/>
        <v>0.71826905758521065</v>
      </c>
      <c r="O568" s="72">
        <f t="shared" si="302"/>
        <v>0.60554757032869</v>
      </c>
      <c r="P568" s="72">
        <f t="shared" si="303"/>
        <v>0.97004529659965244</v>
      </c>
      <c r="Q568" s="72"/>
      <c r="R568" s="72"/>
      <c r="S568" s="72">
        <f t="shared" si="304"/>
        <v>0.45545042755291942</v>
      </c>
      <c r="T568" s="72">
        <f t="shared" si="305"/>
        <v>0.84827017892814394</v>
      </c>
      <c r="U568" s="72">
        <f t="shared" si="306"/>
        <v>0.51</v>
      </c>
      <c r="V568" s="72">
        <f t="shared" si="307"/>
        <v>0.49227383598956509</v>
      </c>
      <c r="W568" s="72">
        <f t="shared" si="308"/>
        <v>0.77196898572307293</v>
      </c>
      <c r="X568" s="72">
        <f t="shared" si="309"/>
        <v>0.20966216167976753</v>
      </c>
      <c r="Y568" s="72">
        <f t="shared" si="310"/>
        <v>0.23537935849548228</v>
      </c>
      <c r="Z568" s="72">
        <f t="shared" si="311"/>
        <v>0.2817309424147893</v>
      </c>
      <c r="AA568" s="72">
        <f t="shared" si="312"/>
        <v>0.39445242967131</v>
      </c>
      <c r="AB568" s="72">
        <f t="shared" si="313"/>
        <v>2.9954703400347504E-2</v>
      </c>
      <c r="AC568" s="72"/>
      <c r="AD568" s="72"/>
      <c r="AE568" s="72">
        <f t="shared" si="314"/>
        <v>0.54454957244708058</v>
      </c>
      <c r="AF568" s="72">
        <f t="shared" si="315"/>
        <v>0.15172982107185612</v>
      </c>
      <c r="AG568" s="72">
        <f t="shared" si="316"/>
        <v>0.49</v>
      </c>
      <c r="AH568" s="72">
        <f t="shared" si="317"/>
        <v>0.50772616401043491</v>
      </c>
      <c r="AI568" s="72">
        <f t="shared" si="318"/>
        <v>0.22803101427692707</v>
      </c>
      <c r="AJ568" s="72">
        <f>(AV568-Driver!$K$179)/(Driver!$L$179-Driver!$K$179)</f>
        <v>4.4557247602932885E-2</v>
      </c>
      <c r="AK568" s="72">
        <f>(AW568-Driver!$K$180)/(Driver!$L$180-Driver!$K$180)</f>
        <v>0.23684861255462039</v>
      </c>
      <c r="AL568" s="72">
        <f>(AX568-Driver!$K$181)/(Driver!$L$181-Driver!$K$181)</f>
        <v>0.38341870612786949</v>
      </c>
      <c r="AM568" s="72">
        <f>(AY568-Driver!$K$182)/(Driver!$L$182-Driver!$K$182)</f>
        <v>5.2932591425736364E-2</v>
      </c>
      <c r="AN568" s="72">
        <f>(AZ568-Driver!$K$183)/(Driver!$L$183-Driver!$K$183)</f>
        <v>0.22426470588235292</v>
      </c>
      <c r="AO568" s="72"/>
      <c r="AP568" s="72"/>
      <c r="AQ568" s="72">
        <f>(BC568-Driver!$K$188)/(Driver!$L$188-Driver!$K$188)</f>
        <v>7.5450427552919475E-2</v>
      </c>
      <c r="AR568" s="72">
        <f>MIN((BD568-Driver!$K$189)/(Driver!$L$189-Driver!$K$189),100%)</f>
        <v>0.39827017892814393</v>
      </c>
      <c r="AS568" s="72">
        <f>(BE568-Driver!$K$190)/(Driver!$L$190-Driver!$K$190)</f>
        <v>1</v>
      </c>
      <c r="AT568" s="72">
        <f>(BF568-Driver!$K$191)/(Driver!$L$191-Driver!$K$191)</f>
        <v>2.2738359895651148E-3</v>
      </c>
      <c r="AU568" s="72">
        <f>(BG568-Driver!$K$192)/(Driver!$L$192-Driver!$K$192)</f>
        <v>2.1968985723072935E-2</v>
      </c>
      <c r="AV568" s="70">
        <f t="shared" si="319"/>
        <v>0.93779677113010462</v>
      </c>
      <c r="AW568" s="70">
        <f t="shared" si="320"/>
        <v>24.954888607109801</v>
      </c>
      <c r="AX568" s="70">
        <f t="shared" si="321"/>
        <v>4.4507683551508253</v>
      </c>
      <c r="AY568" s="70">
        <f>IFERROR(Driver!$K$19/Data!BH568/Data!BI568*Data!BK568*Data!BL568,"")</f>
        <v>6.4805285466049384E-2</v>
      </c>
      <c r="AZ568" s="70">
        <f t="shared" si="322"/>
        <v>20.439314966492926</v>
      </c>
      <c r="BA568" s="70"/>
      <c r="BB568" s="70"/>
      <c r="BC568" s="70">
        <f t="shared" si="323"/>
        <v>39.136661294562039</v>
      </c>
      <c r="BD568" s="70">
        <f t="shared" si="324"/>
        <v>36.967028026239454</v>
      </c>
      <c r="BE568" s="70">
        <f t="shared" si="325"/>
        <v>1</v>
      </c>
      <c r="BF568" s="70">
        <f t="shared" si="326"/>
        <v>0.25681380041945356</v>
      </c>
      <c r="BG568" s="70">
        <f t="shared" si="327"/>
        <v>8.3188594645342992E-2</v>
      </c>
      <c r="BH568" s="67">
        <f>MAX((CE568-Driver!$F$200)/(Driver!$G$200-Driver!$F$200)*$BI$1,1)</f>
        <v>4.4507683551508253</v>
      </c>
      <c r="BI568" s="67">
        <f>MAX($BI$1*(BY568-Driver!$F$201)/(Driver!$G$201-Driver!$F$201),1)</f>
        <v>7.7215189873417724</v>
      </c>
      <c r="BJ568" s="67">
        <f>(CB568-Driver!$F$206)/(Driver!$G$206-Driver!$F$206)*$BI$1</f>
        <v>1.1111111111111112</v>
      </c>
      <c r="BK568" s="67">
        <f>(CD568-Driver!$F$203)/(Driver!$G$203-Driver!$F$203)*$BI$1</f>
        <v>2.0183486238532113</v>
      </c>
      <c r="BL568" s="67">
        <f>MAX((CR568-Driver!$F$202)/(Driver!$G$202-Driver!$F$202)*$BI$1,1)</f>
        <v>5.5172413793103452</v>
      </c>
      <c r="BM568" s="67">
        <f>MAX((CH568-Driver!$F$204)/(Driver!$G$204-Driver!$F$204)*$BI$1,1)</f>
        <v>3.3760683760683765</v>
      </c>
      <c r="BN568" s="67">
        <f>(CI568-Driver!$F$205)/(Driver!$G$205-Driver!$F$205)*$BI$1</f>
        <v>2.6470588235294117</v>
      </c>
      <c r="BO568" s="67">
        <f>(CK568-Driver!$F$207)/(Driver!$G$207-Driver!$F$207)*$BI$1</f>
        <v>0.59979317476732152</v>
      </c>
      <c r="BP568" s="67">
        <f>(CM568-Driver!$F$208)/(Driver!$G$208-Driver!$F$208)*$BI$1</f>
        <v>0.77777777777777779</v>
      </c>
      <c r="BQ568" s="67">
        <f>(CL568-Driver!$F$209)/(Driver!$G$209-Driver!$F$209)*$BI$1</f>
        <v>1.25</v>
      </c>
      <c r="BR568" s="28" t="s">
        <v>155</v>
      </c>
      <c r="BS568" s="8" t="s">
        <v>317</v>
      </c>
      <c r="BT568" s="9" t="s">
        <v>669</v>
      </c>
      <c r="BU568" s="10">
        <v>156</v>
      </c>
      <c r="BV568" s="9" t="s">
        <v>163</v>
      </c>
      <c r="BW568" s="10">
        <v>156</v>
      </c>
      <c r="BX568" s="10">
        <v>154.19999999999999</v>
      </c>
      <c r="BY568" s="10">
        <v>130</v>
      </c>
      <c r="BZ568" s="10">
        <v>142</v>
      </c>
      <c r="CA568" s="10">
        <v>116</v>
      </c>
      <c r="CB568" s="10">
        <v>71</v>
      </c>
      <c r="CC568" s="10">
        <v>99</v>
      </c>
      <c r="CD568" s="10">
        <v>13.8</v>
      </c>
      <c r="CE568" s="10">
        <v>1682</v>
      </c>
      <c r="CF568" s="10">
        <v>0.78</v>
      </c>
      <c r="CG568" s="10">
        <v>1304</v>
      </c>
      <c r="CH568" s="10">
        <v>180</v>
      </c>
      <c r="CI568" s="10">
        <v>78</v>
      </c>
      <c r="CJ568" s="10">
        <v>42</v>
      </c>
      <c r="CK568" s="10">
        <v>168</v>
      </c>
      <c r="CL568" s="10">
        <v>8</v>
      </c>
      <c r="CM568" s="10">
        <v>70</v>
      </c>
      <c r="CN568" s="10">
        <v>0.19700000000000001</v>
      </c>
      <c r="CO568" s="10">
        <v>67</v>
      </c>
      <c r="CP568" s="10">
        <v>52</v>
      </c>
      <c r="CQ568" s="10">
        <v>101</v>
      </c>
      <c r="CR568" s="10">
        <v>5</v>
      </c>
      <c r="CS568" s="10">
        <v>10.1</v>
      </c>
      <c r="CT568" s="9" t="s">
        <v>349</v>
      </c>
      <c r="CU568" s="10"/>
      <c r="CV568" s="10"/>
      <c r="CW568" s="10"/>
      <c r="CX568" t="str">
        <f>INDEX('Data_Price '!AG$2:AG$1266,MATCH(Data!$DN568,'Data_Price '!$AT$2:$AT$1266,0))</f>
        <v>Blizzard Rustler Team Skis - 2022 156cm</v>
      </c>
      <c r="CY568" t="str">
        <f>INDEX('Data_Price '!AH$2:AH$1266,MATCH(Data!$DN568,'Data_Price '!$AT$2:$AT$1266,0))</f>
        <v>Glacier Ski Shop</v>
      </c>
      <c r="CZ568">
        <f>INDEX('Data_Price '!AI$2:AI$1266,MATCH(Data!$DN568,'Data_Price '!$AT$2:$AT$1266,0))</f>
        <v>269</v>
      </c>
      <c r="DA568" t="str">
        <f>INDEX('Data_Price '!AJ$2:AJ$1266,MATCH(Data!$DN568,'Data_Price '!$AT$2:$AT$1266,0))</f>
        <v>https://tinyurl.com/y8lszkkr</v>
      </c>
      <c r="DB568" t="str">
        <f>INDEX('Data_Price '!AK$2:AK$1266,MATCH(Data!$DN568,'Data_Price '!$AT$2:$AT$1266,0))</f>
        <v>Blizzard Alight 8.2 CA Skis with TLX 11 Bindings- Women's 2021</v>
      </c>
      <c r="DC568" t="str">
        <f>INDEX('Data_Price '!AL$2:AL$1266,MATCH(Data!$DN568,'Data_Price '!$AT$2:$AT$1266,0))</f>
        <v>Next Adventure</v>
      </c>
      <c r="DD568">
        <f>INDEX('Data_Price '!AM$2:AM$1266,MATCH(Data!$DN568,'Data_Price '!$AT$2:$AT$1266,0))</f>
        <v>359.97</v>
      </c>
      <c r="DE568" t="str">
        <f>INDEX('Data_Price '!AN$2:AN$1266,MATCH(Data!$DN568,'Data_Price '!$AT$2:$AT$1266,0))</f>
        <v>https://tinyurl.com/ycmp4bw4</v>
      </c>
      <c r="DF568" t="str">
        <f>INDEX('Data_Price '!AO$2:AO$1266,MATCH(Data!$DN568,'Data_Price '!$AT$2:$AT$1266,0))</f>
        <v>2019 Blizzard Sheeva 11</v>
      </c>
      <c r="DG568" t="str">
        <f>INDEX('Data_Price '!AP$2:AP$1266,MATCH(Data!$DN568,'Data_Price '!$AT$2:$AT$1266,0))</f>
        <v>eBay - larsonski</v>
      </c>
      <c r="DH568">
        <f>INDEX('Data_Price '!AQ$2:AQ$1266,MATCH(Data!$DN568,'Data_Price '!$AT$2:$AT$1266,0))</f>
        <v>450</v>
      </c>
      <c r="DI568" t="str">
        <f>INDEX('Data_Price '!AR$2:AR$1266,MATCH(Data!$DN568,'Data_Price '!$AT$2:$AT$1266,0))</f>
        <v>https://tinyurl.com/ycfygykd</v>
      </c>
      <c r="DJ568" s="89" t="str">
        <f t="shared" si="328"/>
        <v>https://tinyurl.com/y8lszkkr</v>
      </c>
      <c r="DK568" s="89" t="str">
        <f t="shared" si="329"/>
        <v>https://tinyurl.com/ycmp4bw4</v>
      </c>
      <c r="DL568" s="89" t="str">
        <f t="shared" si="330"/>
        <v>https://tinyurl.com/ycfygykd</v>
      </c>
      <c r="DM568" s="219" t="str">
        <f t="shared" si="331"/>
        <v>Phoenix S R13 Ti</v>
      </c>
      <c r="DN568" s="89" t="str">
        <f t="shared" si="332"/>
        <v xml:space="preserve"> BlizzardPhoenix S R13 Ti156 Women's</v>
      </c>
      <c r="DO568" s="221"/>
    </row>
    <row r="569" spans="2:119" ht="15.6" customHeight="1">
      <c r="B569" s="219" t="b">
        <f t="array" ref="B569">IF(OR(ISERROR(K569:P569)),FALSE,TRUE)</f>
        <v>1</v>
      </c>
      <c r="C569" s="43" t="b">
        <f>OR(BR569=Driver!$G$50,Data!BR857=Driver!$H$50)</f>
        <v>1</v>
      </c>
      <c r="D569" s="43" t="b">
        <f>OR(BV569=Driver!$G$51,BV569=Driver!$H$51)</f>
        <v>1</v>
      </c>
      <c r="E569" s="43" t="b">
        <f>AND(BX569&gt;Driver!$F$54,BX569&lt;Driver!$G$54)</f>
        <v>0</v>
      </c>
      <c r="F569" s="43" t="b">
        <f>CL569&gt;Driver!$F$56</f>
        <v>0</v>
      </c>
      <c r="G569" s="43" t="b">
        <f>AND(CB569&gt;Driver!$F$55,CB569&lt;Driver!$G$55)</f>
        <v>1</v>
      </c>
      <c r="H569" s="43" t="b">
        <f t="shared" si="296"/>
        <v>0</v>
      </c>
      <c r="I569" s="43">
        <f t="shared" si="297"/>
        <v>0</v>
      </c>
      <c r="J569" s="43" t="b">
        <f t="array" ref="J569">NOT(OR(($H$9:$H$1273=TRUE)*($I$9:$I$1273&gt;0)*($BT$9:$BT$1273=BT569)*($K$9:$K$1273&gt;K569)))</f>
        <v>1</v>
      </c>
      <c r="K569" s="72">
        <f t="shared" si="298"/>
        <v>0.82478252530623808</v>
      </c>
      <c r="L569" s="72">
        <f t="shared" si="299"/>
        <v>0.89403617044496053</v>
      </c>
      <c r="M569" s="72">
        <f t="shared" si="300"/>
        <v>0.75552888016751563</v>
      </c>
      <c r="N569" s="72">
        <f t="shared" si="301"/>
        <v>0.73850557184562937</v>
      </c>
      <c r="O569" s="72">
        <f t="shared" si="302"/>
        <v>0.60476779820105597</v>
      </c>
      <c r="P569" s="72">
        <f t="shared" si="303"/>
        <v>0.92331327045586165</v>
      </c>
      <c r="Q569" s="72"/>
      <c r="R569" s="72"/>
      <c r="S569" s="72">
        <f t="shared" si="304"/>
        <v>0.39930742460287827</v>
      </c>
      <c r="T569" s="72">
        <f t="shared" si="305"/>
        <v>0.48668669525139219</v>
      </c>
      <c r="U569" s="72" t="e">
        <f t="shared" si="306"/>
        <v>#VALUE!</v>
      </c>
      <c r="V569" s="72">
        <f t="shared" si="307"/>
        <v>0.64716153450449998</v>
      </c>
      <c r="W569" s="72">
        <f t="shared" si="308"/>
        <v>0.75</v>
      </c>
      <c r="X569" s="72">
        <f t="shared" si="309"/>
        <v>0.1059638295550395</v>
      </c>
      <c r="Y569" s="72">
        <f t="shared" si="310"/>
        <v>0.24447111983248435</v>
      </c>
      <c r="Z569" s="72">
        <f t="shared" si="311"/>
        <v>0.26149442815437063</v>
      </c>
      <c r="AA569" s="72">
        <f t="shared" si="312"/>
        <v>0.39523220179894403</v>
      </c>
      <c r="AB569" s="72">
        <f t="shared" si="313"/>
        <v>7.6686729544138327E-2</v>
      </c>
      <c r="AC569" s="72"/>
      <c r="AD569" s="72"/>
      <c r="AE569" s="72">
        <f t="shared" si="314"/>
        <v>0.60069257539712173</v>
      </c>
      <c r="AF569" s="72">
        <f t="shared" si="315"/>
        <v>0.51331330474860781</v>
      </c>
      <c r="AG569" s="72" t="e">
        <f t="shared" si="316"/>
        <v>#VALUE!</v>
      </c>
      <c r="AH569" s="72">
        <f t="shared" si="317"/>
        <v>0.35283846549550002</v>
      </c>
      <c r="AI569" s="72">
        <f t="shared" si="318"/>
        <v>0.25</v>
      </c>
      <c r="AJ569" s="72">
        <f>(AV569-Driver!$K$179)/(Driver!$L$179-Driver!$K$179)</f>
        <v>0.14825557972766093</v>
      </c>
      <c r="AK569" s="72">
        <f>(AW569-Driver!$K$180)/(Driver!$L$180-Driver!$K$180)</f>
        <v>0.19126830686388877</v>
      </c>
      <c r="AL569" s="72">
        <f>(AX569-Driver!$K$181)/(Driver!$L$181-Driver!$K$181)</f>
        <v>0.36318219186745082</v>
      </c>
      <c r="AM569" s="72">
        <f>(AY569-Driver!$K$182)/(Driver!$L$182-Driver!$K$182)</f>
        <v>5.2152819298102324E-2</v>
      </c>
      <c r="AN569" s="72">
        <f>(AZ569-Driver!$K$183)/(Driver!$L$183-Driver!$K$183)</f>
        <v>0.1775326797385621</v>
      </c>
      <c r="AO569" s="72"/>
      <c r="AP569" s="72"/>
      <c r="AQ569" s="72">
        <f>(BC569-Driver!$K$188)/(Driver!$L$188-Driver!$K$188)</f>
        <v>1.9307424602878227E-2</v>
      </c>
      <c r="AR569" s="72">
        <f>MIN((BD569-Driver!$K$189)/(Driver!$L$189-Driver!$K$189),100%)</f>
        <v>3.6686695251392266E-2</v>
      </c>
      <c r="AS569" s="72" t="e">
        <f>(BE569-Driver!$K$190)/(Driver!$L$190-Driver!$K$190)</f>
        <v>#VALUE!</v>
      </c>
      <c r="AT569" s="72">
        <f>(BF569-Driver!$K$191)/(Driver!$L$191-Driver!$K$191)</f>
        <v>0.15716153450449996</v>
      </c>
      <c r="AU569" s="72">
        <f>(BG569-Driver!$K$192)/(Driver!$L$192-Driver!$K$192)</f>
        <v>0</v>
      </c>
      <c r="AV569" s="70">
        <f t="shared" si="319"/>
        <v>3.1203364536697866</v>
      </c>
      <c r="AW569" s="70">
        <f t="shared" si="320"/>
        <v>20.512683934953248</v>
      </c>
      <c r="AX569" s="70">
        <f t="shared" si="321"/>
        <v>4.2686397268070575</v>
      </c>
      <c r="AY569" s="70">
        <f>IFERROR(Driver!$K$19/Data!BH569/Data!BI569*Data!BK569*Data!BL569,"")</f>
        <v>6.3850611720278019E-2</v>
      </c>
      <c r="AZ569" s="70">
        <f t="shared" si="322"/>
        <v>16.180193596425912</v>
      </c>
      <c r="BA569" s="70"/>
      <c r="BB569" s="70"/>
      <c r="BC569" s="70">
        <f t="shared" si="323"/>
        <v>10.014895364551197</v>
      </c>
      <c r="BD569" s="70">
        <f t="shared" si="324"/>
        <v>4.9675304088685035</v>
      </c>
      <c r="BE569" s="70" t="str">
        <f t="shared" si="325"/>
        <v/>
      </c>
      <c r="BF569" s="70">
        <f t="shared" si="326"/>
        <v>17.750291200014413</v>
      </c>
      <c r="BG569" s="70">
        <f t="shared" si="327"/>
        <v>0</v>
      </c>
      <c r="BH569" s="67">
        <f>MAX((CE569-Driver!$F$200)/(Driver!$G$200-Driver!$F$200)*$BI$1,1)</f>
        <v>4.2686397268070575</v>
      </c>
      <c r="BI569" s="67">
        <f>MAX($BI$1*(BY569-Driver!$F$201)/(Driver!$G$201-Driver!$F$201),1)</f>
        <v>6.7088607594936711</v>
      </c>
      <c r="BJ569" s="67">
        <f>(CB569-Driver!$F$206)/(Driver!$G$206-Driver!$F$206)*$BI$1</f>
        <v>6.3492063492063489</v>
      </c>
      <c r="BK569" s="67">
        <f>(CD569-Driver!$F$203)/(Driver!$G$203-Driver!$F$203)*$BI$1</f>
        <v>1.5596330275229362</v>
      </c>
      <c r="BL569" s="67">
        <f>MAX((CR569-Driver!$F$202)/(Driver!$G$202-Driver!$F$202)*$BI$1,1)</f>
        <v>5.8620689655172411</v>
      </c>
      <c r="BM569" s="67">
        <f>MAX((CH569-Driver!$F$204)/(Driver!$G$204-Driver!$F$204)*$BI$1,1)</f>
        <v>1.9658119658119657</v>
      </c>
      <c r="BN569" s="67">
        <f>(CI569-Driver!$F$205)/(Driver!$G$205-Driver!$F$205)*$BI$1</f>
        <v>2.4117647058823528</v>
      </c>
      <c r="BO569" s="67">
        <f>(CK569-Driver!$F$207)/(Driver!$G$207-Driver!$F$207)*$BI$1</f>
        <v>2.8231644260599791</v>
      </c>
      <c r="BP569" s="67">
        <f>(CM569-Driver!$F$208)/(Driver!$G$208-Driver!$F$208)*$BI$1</f>
        <v>1.5444444444444443</v>
      </c>
      <c r="BQ569" s="67">
        <f>(CL569-Driver!$F$209)/(Driver!$G$209-Driver!$F$209)*$BI$1</f>
        <v>0</v>
      </c>
      <c r="BR569" s="28" t="s">
        <v>155</v>
      </c>
      <c r="BS569" s="8" t="s">
        <v>208</v>
      </c>
      <c r="BT569" s="9" t="s">
        <v>452</v>
      </c>
      <c r="BU569" s="10">
        <v>166</v>
      </c>
      <c r="BV569" s="9" t="s">
        <v>158</v>
      </c>
      <c r="BW569" s="10">
        <v>166</v>
      </c>
      <c r="BX569" s="10">
        <v>166.2</v>
      </c>
      <c r="BY569" s="10">
        <v>114</v>
      </c>
      <c r="BZ569" s="10">
        <v>136</v>
      </c>
      <c r="CA569" s="10">
        <v>149</v>
      </c>
      <c r="CB569" s="10">
        <v>104</v>
      </c>
      <c r="CC569" s="10">
        <v>128</v>
      </c>
      <c r="CD569" s="10">
        <v>12.8</v>
      </c>
      <c r="CE569" s="10">
        <v>1650</v>
      </c>
      <c r="CF569" s="10">
        <v>1.17</v>
      </c>
      <c r="CG569" s="10">
        <v>1928</v>
      </c>
      <c r="CH569" s="10">
        <v>147</v>
      </c>
      <c r="CI569" s="10">
        <v>74</v>
      </c>
      <c r="CJ569" s="10">
        <v>48</v>
      </c>
      <c r="CK569" s="10">
        <v>383</v>
      </c>
      <c r="CL569" s="10">
        <v>0</v>
      </c>
      <c r="CM569" s="10">
        <v>139</v>
      </c>
      <c r="CN569" s="10">
        <v>8.9999999999999993E-3</v>
      </c>
      <c r="CO569" s="10">
        <v>159</v>
      </c>
      <c r="CP569" s="10">
        <v>146</v>
      </c>
      <c r="CQ569" s="10">
        <v>223</v>
      </c>
      <c r="CR569" s="10">
        <v>6</v>
      </c>
      <c r="CS569" s="10">
        <v>10.4</v>
      </c>
      <c r="CT569" s="9" t="s">
        <v>188</v>
      </c>
      <c r="CU569" s="9" t="s">
        <v>178</v>
      </c>
      <c r="CV569" s="9" t="s">
        <v>185</v>
      </c>
      <c r="CW569" s="10"/>
      <c r="CX569" t="str">
        <f>INDEX('Data_Price '!AG$2:AG$1266,MATCH(Data!$DN569,'Data_Price '!$AT$2:$AT$1266,0))</f>
        <v>Line Sakana Skis 2022</v>
      </c>
      <c r="CY569" t="str">
        <f>INDEX('Data_Price '!AH$2:AH$1266,MATCH(Data!$DN569,'Data_Price '!$AT$2:$AT$1266,0))</f>
        <v>Telemark Pyrenees</v>
      </c>
      <c r="CZ569">
        <f>INDEX('Data_Price '!AI$2:AI$1266,MATCH(Data!$DN569,'Data_Price '!$AT$2:$AT$1266,0))</f>
        <v>476.66</v>
      </c>
      <c r="DA569" t="str">
        <f>INDEX('Data_Price '!AJ$2:AJ$1266,MATCH(Data!$DN569,'Data_Price '!$AT$2:$AT$1266,0))</f>
        <v>https://tinyurl.com/yc7w2xcd</v>
      </c>
      <c r="DB569" t="str">
        <f>INDEX('Data_Price '!AK$2:AK$1266,MATCH(Data!$DN569,'Data_Price '!$AT$2:$AT$1266,0))</f>
        <v>Line SAKANA Skis 2022</v>
      </c>
      <c r="DC569" t="str">
        <f>INDEX('Data_Price '!AL$2:AL$1266,MATCH(Data!$DN569,'Data_Price '!$AT$2:$AT$1266,0))</f>
        <v>PRFO Sports</v>
      </c>
      <c r="DD569">
        <f>INDEX('Data_Price '!AM$2:AM$1266,MATCH(Data!$DN569,'Data_Price '!$AT$2:$AT$1266,0))</f>
        <v>513.09</v>
      </c>
      <c r="DE569" t="str">
        <f>INDEX('Data_Price '!AN$2:AN$1266,MATCH(Data!$DN569,'Data_Price '!$AT$2:$AT$1266,0))</f>
        <v>https://tinyurl.com/y8z7acwn</v>
      </c>
      <c r="DF569" t="str">
        <f>INDEX('Data_Price '!AO$2:AO$1266,MATCH(Data!$DN569,'Data_Price '!$AT$2:$AT$1266,0))</f>
        <v>Line Sakana Skis 2022</v>
      </c>
      <c r="DG569" t="str">
        <f>INDEX('Data_Price '!AP$2:AP$1266,MATCH(Data!$DN569,'Data_Price '!$AT$2:$AT$1266,0))</f>
        <v>REI</v>
      </c>
      <c r="DH569">
        <f>INDEX('Data_Price '!AQ$2:AQ$1266,MATCH(Data!$DN569,'Data_Price '!$AT$2:$AT$1266,0))</f>
        <v>599.92999999999995</v>
      </c>
      <c r="DI569" t="str">
        <f>INDEX('Data_Price '!AR$2:AR$1266,MATCH(Data!$DN569,'Data_Price '!$AT$2:$AT$1266,0))</f>
        <v>https://tinyurl.com/yd4wbzlb</v>
      </c>
      <c r="DJ569" s="89" t="str">
        <f t="shared" si="328"/>
        <v>https://tinyurl.com/yc7w2xcd</v>
      </c>
      <c r="DK569" s="89" t="str">
        <f t="shared" si="329"/>
        <v>https://tinyurl.com/y8z7acwn</v>
      </c>
      <c r="DL569" s="89" t="str">
        <f t="shared" si="330"/>
        <v>https://tinyurl.com/yd4wbzlb</v>
      </c>
      <c r="DM569" s="219" t="str">
        <f t="shared" si="331"/>
        <v>Sakana</v>
      </c>
      <c r="DN569" s="89" t="str">
        <f t="shared" si="332"/>
        <v xml:space="preserve"> LineSakana166 Unisex</v>
      </c>
      <c r="DO569" s="221" t="s">
        <v>453</v>
      </c>
    </row>
    <row r="570" spans="2:119" ht="15.6" customHeight="1">
      <c r="B570" s="219" t="b">
        <f t="array" ref="B570">IF(OR(ISERROR(K570:P570)),FALSE,TRUE)</f>
        <v>1</v>
      </c>
      <c r="C570" s="43" t="b">
        <f>OR(BR570=Driver!$G$50,Data!BR146=Driver!$H$50)</f>
        <v>1</v>
      </c>
      <c r="D570" s="43" t="b">
        <f>OR(BV570=Driver!$G$51,BV570=Driver!$H$51)</f>
        <v>0</v>
      </c>
      <c r="E570" s="43" t="b">
        <f>AND(BX570&gt;Driver!$F$54,BX570&lt;Driver!$G$54)</f>
        <v>1</v>
      </c>
      <c r="F570" s="43" t="b">
        <f>CL570&gt;Driver!$F$56</f>
        <v>1</v>
      </c>
      <c r="G570" s="43" t="b">
        <f>AND(CB570&gt;Driver!$F$55,CB570&lt;Driver!$G$55)</f>
        <v>0</v>
      </c>
      <c r="H570" s="43" t="b">
        <f t="shared" si="296"/>
        <v>0</v>
      </c>
      <c r="I570" s="43">
        <f t="shared" si="297"/>
        <v>0</v>
      </c>
      <c r="J570" s="43" t="b">
        <f t="array" ref="J570">NOT(OR(($H$9:$H$1273=TRUE)*($I$9:$I$1273&gt;0)*($BT$9:$BT$1273=BT570)*($K$9:$K$1273&gt;K570)))</f>
        <v>1</v>
      </c>
      <c r="K570" s="72">
        <f t="shared" si="298"/>
        <v>0.78040641912722108</v>
      </c>
      <c r="L570" s="72">
        <f t="shared" si="299"/>
        <v>0.77736547509406217</v>
      </c>
      <c r="M570" s="72">
        <f t="shared" si="300"/>
        <v>0.78344736316038011</v>
      </c>
      <c r="N570" s="72">
        <f t="shared" si="301"/>
        <v>0.74103513612818173</v>
      </c>
      <c r="O570" s="72">
        <f t="shared" si="302"/>
        <v>0.64048714694938447</v>
      </c>
      <c r="P570" s="72">
        <f t="shared" si="303"/>
        <v>0.96881980640357401</v>
      </c>
      <c r="Q570" s="72"/>
      <c r="R570" s="72"/>
      <c r="S570" s="72">
        <f t="shared" si="304"/>
        <v>0.46614441244899052</v>
      </c>
      <c r="T570" s="72">
        <f t="shared" si="305"/>
        <v>0.67285376578534151</v>
      </c>
      <c r="U570" s="72">
        <f t="shared" si="306"/>
        <v>0.51</v>
      </c>
      <c r="V570" s="72">
        <f t="shared" si="307"/>
        <v>0.49070094385841434</v>
      </c>
      <c r="W570" s="72">
        <f t="shared" si="308"/>
        <v>0.76856431580675166</v>
      </c>
      <c r="X570" s="72">
        <f t="shared" si="309"/>
        <v>0.22263452490593788</v>
      </c>
      <c r="Y570" s="72">
        <f t="shared" si="310"/>
        <v>0.21655263683961992</v>
      </c>
      <c r="Z570" s="72">
        <f t="shared" si="311"/>
        <v>0.25896486387181827</v>
      </c>
      <c r="AA570" s="72">
        <f t="shared" si="312"/>
        <v>0.35951285305061559</v>
      </c>
      <c r="AB570" s="72">
        <f t="shared" si="313"/>
        <v>3.1180193596425931E-2</v>
      </c>
      <c r="AC570" s="72"/>
      <c r="AD570" s="72"/>
      <c r="AE570" s="72">
        <f t="shared" si="314"/>
        <v>0.53385558755100948</v>
      </c>
      <c r="AF570" s="72">
        <f t="shared" si="315"/>
        <v>0.32714623421465855</v>
      </c>
      <c r="AG570" s="72">
        <f t="shared" si="316"/>
        <v>0.49</v>
      </c>
      <c r="AH570" s="72">
        <f t="shared" si="317"/>
        <v>0.50929905614158566</v>
      </c>
      <c r="AI570" s="72">
        <f t="shared" si="318"/>
        <v>0.23143568419324834</v>
      </c>
      <c r="AJ570" s="72">
        <f>(AV570-Driver!$K$179)/(Driver!$L$179-Driver!$K$179)</f>
        <v>3.1584884376762545E-2</v>
      </c>
      <c r="AK570" s="72">
        <f>(AW570-Driver!$K$180)/(Driver!$L$180-Driver!$K$180)</f>
        <v>0.23403913496247961</v>
      </c>
      <c r="AL570" s="72">
        <f>(AX570-Driver!$K$181)/(Driver!$L$181-Driver!$K$181)</f>
        <v>0.36065262758489847</v>
      </c>
      <c r="AM570" s="72">
        <f>(AY570-Driver!$K$182)/(Driver!$L$182-Driver!$K$182)</f>
        <v>8.7872168046430776E-2</v>
      </c>
      <c r="AN570" s="72">
        <f>(AZ570-Driver!$K$183)/(Driver!$L$183-Driver!$K$183)</f>
        <v>0.22303921568627449</v>
      </c>
      <c r="AO570" s="72"/>
      <c r="AP570" s="72"/>
      <c r="AQ570" s="72">
        <f>(BC570-Driver!$K$188)/(Driver!$L$188-Driver!$K$188)</f>
        <v>8.6144412448990557E-2</v>
      </c>
      <c r="AR570" s="72">
        <f>MIN((BD570-Driver!$K$189)/(Driver!$L$189-Driver!$K$189),100%)</f>
        <v>0.2228537657853415</v>
      </c>
      <c r="AS570" s="72">
        <f>(BE570-Driver!$K$190)/(Driver!$L$190-Driver!$K$190)</f>
        <v>1</v>
      </c>
      <c r="AT570" s="72">
        <f>(BF570-Driver!$K$191)/(Driver!$L$191-Driver!$K$191)</f>
        <v>7.0094385841438036E-4</v>
      </c>
      <c r="AU570" s="72">
        <f>(BG570-Driver!$K$192)/(Driver!$L$192-Driver!$K$192)</f>
        <v>1.8564315806751653E-2</v>
      </c>
      <c r="AV570" s="70">
        <f t="shared" si="319"/>
        <v>0.66476733143399813</v>
      </c>
      <c r="AW570" s="70">
        <f t="shared" si="320"/>
        <v>24.681080121251735</v>
      </c>
      <c r="AX570" s="70">
        <f t="shared" si="321"/>
        <v>4.2458736482640864</v>
      </c>
      <c r="AY570" s="70">
        <f>IFERROR(Driver!$K$19/Data!BH570/Data!BI570*Data!BK570*Data!BL570,"")</f>
        <v>0.10758175221326584</v>
      </c>
      <c r="AZ570" s="70">
        <f t="shared" si="322"/>
        <v>20.327624720774384</v>
      </c>
      <c r="BA570" s="70"/>
      <c r="BB570" s="70"/>
      <c r="BC570" s="70">
        <f t="shared" si="323"/>
        <v>44.683705603530996</v>
      </c>
      <c r="BD570" s="70">
        <f t="shared" si="324"/>
        <v>21.442986282593374</v>
      </c>
      <c r="BE570" s="70">
        <f t="shared" si="325"/>
        <v>1</v>
      </c>
      <c r="BF570" s="70">
        <f t="shared" si="326"/>
        <v>7.9166684398596754E-2</v>
      </c>
      <c r="BG570" s="70">
        <f t="shared" si="327"/>
        <v>7.0296342397548825E-2</v>
      </c>
      <c r="BH570" s="67">
        <f>MAX((CE570-Driver!$F$200)/(Driver!$G$200-Driver!$F$200)*$BI$1,1)</f>
        <v>4.2458736482640864</v>
      </c>
      <c r="BI570" s="67">
        <f>MAX($BI$1*(BY570-Driver!$F$201)/(Driver!$G$201-Driver!$F$201),1)</f>
        <v>8.2278481012658222</v>
      </c>
      <c r="BJ570" s="67">
        <f>(CB570-Driver!$F$206)/(Driver!$G$206-Driver!$F$206)*$BI$1</f>
        <v>1.2698412698412698</v>
      </c>
      <c r="BK570" s="67">
        <f>(CD570-Driver!$F$203)/(Driver!$G$203-Driver!$F$203)*$BI$1</f>
        <v>2.4770642201834865</v>
      </c>
      <c r="BL570" s="67">
        <f>MAX((CR570-Driver!$F$202)/(Driver!$G$202-Driver!$F$202)*$BI$1,1)</f>
        <v>7.5862068965517242</v>
      </c>
      <c r="BM570" s="67">
        <f>MAX((CH570-Driver!$F$204)/(Driver!$G$204-Driver!$F$204)*$BI$1,1)</f>
        <v>2.0940170940170941</v>
      </c>
      <c r="BN570" s="67">
        <f>(CI570-Driver!$F$205)/(Driver!$G$205-Driver!$F$205)*$BI$1</f>
        <v>2.4705882352941178</v>
      </c>
      <c r="BO570" s="67">
        <f>(CK570-Driver!$F$207)/(Driver!$G$207-Driver!$F$207)*$BI$1</f>
        <v>0.28955532574974147</v>
      </c>
      <c r="BP570" s="67">
        <f>(CM570-Driver!$F$208)/(Driver!$G$208-Driver!$F$208)*$BI$1</f>
        <v>0.53333333333333333</v>
      </c>
      <c r="BQ570" s="67">
        <f>(CL570-Driver!$F$209)/(Driver!$G$209-Driver!$F$209)*$BI$1</f>
        <v>0.625</v>
      </c>
      <c r="BR570" s="28" t="s">
        <v>155</v>
      </c>
      <c r="BS570" s="8" t="s">
        <v>156</v>
      </c>
      <c r="BT570" s="9" t="s">
        <v>587</v>
      </c>
      <c r="BU570" s="10">
        <v>157</v>
      </c>
      <c r="BV570" s="9" t="s">
        <v>163</v>
      </c>
      <c r="BW570" s="10">
        <v>157</v>
      </c>
      <c r="BX570" s="10">
        <v>156.9</v>
      </c>
      <c r="BY570" s="10">
        <v>138</v>
      </c>
      <c r="BZ570" s="10">
        <v>142</v>
      </c>
      <c r="CA570" s="10">
        <v>112</v>
      </c>
      <c r="CB570" s="10">
        <v>72</v>
      </c>
      <c r="CC570" s="10">
        <v>98</v>
      </c>
      <c r="CD570" s="10">
        <v>14.8</v>
      </c>
      <c r="CE570" s="10">
        <v>1646</v>
      </c>
      <c r="CF570" s="10">
        <v>0.81</v>
      </c>
      <c r="CG570" s="10">
        <v>1328</v>
      </c>
      <c r="CH570" s="10">
        <v>150</v>
      </c>
      <c r="CI570" s="10">
        <v>75</v>
      </c>
      <c r="CJ570" s="10">
        <v>32</v>
      </c>
      <c r="CK570" s="10">
        <v>138</v>
      </c>
      <c r="CL570" s="10">
        <v>4</v>
      </c>
      <c r="CM570" s="10">
        <v>48</v>
      </c>
      <c r="CN570" s="10">
        <v>0.127</v>
      </c>
      <c r="CO570" s="10">
        <v>94</v>
      </c>
      <c r="CP570" s="10">
        <v>54</v>
      </c>
      <c r="CQ570" s="10">
        <v>44</v>
      </c>
      <c r="CR570" s="10">
        <v>11</v>
      </c>
      <c r="CS570" s="10">
        <v>12.4</v>
      </c>
      <c r="CT570" s="9" t="s">
        <v>349</v>
      </c>
      <c r="CU570" s="10"/>
      <c r="CV570" s="10"/>
      <c r="CW570" s="10"/>
      <c r="CX570" t="str">
        <f>INDEX('Data_Price '!AG$2:AG$1266,MATCH(Data!$DN570,'Data_Price '!$AT$2:$AT$1266,0))</f>
        <v>â€˜20/21 Atomic Cloud 9 157 Cm W/ Demo Bindings</v>
      </c>
      <c r="CY570" t="str">
        <f>INDEX('Data_Price '!AH$2:AH$1266,MATCH(Data!$DN570,'Data_Price '!$AT$2:$AT$1266,0))</f>
        <v>eBay</v>
      </c>
      <c r="CZ570">
        <f>INDEX('Data_Price '!AI$2:AI$1266,MATCH(Data!$DN570,'Data_Price '!$AT$2:$AT$1266,0))</f>
        <v>449.99</v>
      </c>
      <c r="DA570" t="str">
        <f>INDEX('Data_Price '!AJ$2:AJ$1266,MATCH(Data!$DN570,'Data_Price '!$AT$2:$AT$1266,0))</f>
        <v>https://tinyurl.com/ybozuvws</v>
      </c>
      <c r="DB570" t="str">
        <f>INDEX('Data_Price '!AK$2:AK$1266,MATCH(Data!$DN570,'Data_Price '!$AT$2:$AT$1266,0))</f>
        <v>Atomic Cloud 9 Skis w/ M 10 GW Bindings</v>
      </c>
      <c r="DC570" t="str">
        <f>INDEX('Data_Price '!AL$2:AL$1266,MATCH(Data!$DN570,'Data_Price '!$AT$2:$AT$1266,0))</f>
        <v>Paragon Sports</v>
      </c>
      <c r="DD570">
        <f>INDEX('Data_Price '!AM$2:AM$1266,MATCH(Data!$DN570,'Data_Price '!$AT$2:$AT$1266,0))</f>
        <v>479.99</v>
      </c>
      <c r="DE570" t="str">
        <f>INDEX('Data_Price '!AN$2:AN$1266,MATCH(Data!$DN570,'Data_Price '!$AT$2:$AT$1266,0))</f>
        <v>https://tinyurl.com/yd9mvufm</v>
      </c>
      <c r="DF570" t="str">
        <f>INDEX('Data_Price '!AO$2:AO$1266,MATCH(Data!$DN570,'Data_Price '!$AT$2:$AT$1266,0))</f>
        <v>Atomic Cloud 9 Skis 2022 w/bindings 157</v>
      </c>
      <c r="DG570" t="str">
        <f>INDEX('Data_Price '!AP$2:AP$1266,MATCH(Data!$DN570,'Data_Price '!$AT$2:$AT$1266,0))</f>
        <v>Ski Depot RaceSkis.com</v>
      </c>
      <c r="DH570">
        <f>INDEX('Data_Price '!AQ$2:AQ$1266,MATCH(Data!$DN570,'Data_Price '!$AT$2:$AT$1266,0))</f>
        <v>599.99</v>
      </c>
      <c r="DI570" t="str">
        <f>INDEX('Data_Price '!AR$2:AR$1266,MATCH(Data!$DN570,'Data_Price '!$AT$2:$AT$1266,0))</f>
        <v>https://tinyurl.com/y8jrc2ph</v>
      </c>
      <c r="DJ570" s="89" t="str">
        <f t="shared" si="328"/>
        <v>https://tinyurl.com/ybozuvws</v>
      </c>
      <c r="DK570" s="89" t="str">
        <f t="shared" si="329"/>
        <v>https://tinyurl.com/yd9mvufm</v>
      </c>
      <c r="DL570" s="89" t="str">
        <f t="shared" si="330"/>
        <v>https://tinyurl.com/y8jrc2ph</v>
      </c>
      <c r="DM570" s="219" t="str">
        <f t="shared" si="331"/>
        <v>Cloud C9</v>
      </c>
      <c r="DN570" s="89" t="str">
        <f t="shared" si="332"/>
        <v xml:space="preserve"> AtomicCloud C9157 Women's</v>
      </c>
      <c r="DO570" s="221" t="s">
        <v>588</v>
      </c>
    </row>
    <row r="571" spans="2:119" ht="15.6" customHeight="1">
      <c r="B571" s="219" t="b">
        <f t="array" ref="B571">IF(OR(ISERROR(K571:P571)),FALSE,TRUE)</f>
        <v>1</v>
      </c>
      <c r="C571" s="43" t="b">
        <f>OR(BR571=Driver!$G$50,Data!BR472=Driver!$H$50)</f>
        <v>1</v>
      </c>
      <c r="D571" s="43" t="b">
        <f>OR(BV571=Driver!$G$51,BV571=Driver!$H$51)</f>
        <v>0</v>
      </c>
      <c r="E571" s="43" t="b">
        <f>AND(BX571&gt;Driver!$F$54,BX571&lt;Driver!$G$54)</f>
        <v>1</v>
      </c>
      <c r="F571" s="43" t="b">
        <f>CL571&gt;Driver!$F$56</f>
        <v>1</v>
      </c>
      <c r="G571" s="43" t="b">
        <f>AND(CB571&gt;Driver!$F$55,CB571&lt;Driver!$G$55)</f>
        <v>0</v>
      </c>
      <c r="H571" s="43" t="b">
        <f t="shared" si="296"/>
        <v>0</v>
      </c>
      <c r="I571" s="43">
        <f t="shared" si="297"/>
        <v>0</v>
      </c>
      <c r="J571" s="43" t="b">
        <f t="array" ref="J571">NOT(OR(($H$9:$H$1273=TRUE)*($I$9:$I$1273&gt;0)*($BT$9:$BT$1273=BT571)*($K$9:$K$1273&gt;K571)))</f>
        <v>1</v>
      </c>
      <c r="K571" s="72">
        <f t="shared" si="298"/>
        <v>0.82150733064969361</v>
      </c>
      <c r="L571" s="72">
        <f t="shared" si="299"/>
        <v>0.89097437042884575</v>
      </c>
      <c r="M571" s="72">
        <f t="shared" si="300"/>
        <v>0.75204029087054147</v>
      </c>
      <c r="N571" s="72">
        <f t="shared" si="301"/>
        <v>0.69044385047713508</v>
      </c>
      <c r="O571" s="72">
        <f t="shared" si="302"/>
        <v>0.58460231377013105</v>
      </c>
      <c r="P571" s="72">
        <f t="shared" si="303"/>
        <v>0.98107470836435839</v>
      </c>
      <c r="Q571" s="72"/>
      <c r="R571" s="72"/>
      <c r="S571" s="72">
        <f t="shared" si="304"/>
        <v>0.41001629430437503</v>
      </c>
      <c r="T571" s="72">
        <f t="shared" si="305"/>
        <v>0.86887339498819394</v>
      </c>
      <c r="U571" s="72">
        <f t="shared" si="306"/>
        <v>0.84704875020024539</v>
      </c>
      <c r="V571" s="72">
        <f t="shared" si="307"/>
        <v>0.51603310183971485</v>
      </c>
      <c r="W571" s="72">
        <f t="shared" si="308"/>
        <v>0.77325140481520394</v>
      </c>
      <c r="X571" s="72">
        <f t="shared" si="309"/>
        <v>0.10902562957115425</v>
      </c>
      <c r="Y571" s="72">
        <f t="shared" si="310"/>
        <v>0.2479597091294585</v>
      </c>
      <c r="Z571" s="72">
        <f t="shared" si="311"/>
        <v>0.30955614952286492</v>
      </c>
      <c r="AA571" s="72">
        <f t="shared" si="312"/>
        <v>0.41539768622986889</v>
      </c>
      <c r="AB571" s="72">
        <f t="shared" si="313"/>
        <v>1.8925291635641633E-2</v>
      </c>
      <c r="AC571" s="72"/>
      <c r="AD571" s="72"/>
      <c r="AE571" s="72">
        <f t="shared" si="314"/>
        <v>0.58998370569562497</v>
      </c>
      <c r="AF571" s="72">
        <f t="shared" si="315"/>
        <v>0.13112660501180612</v>
      </c>
      <c r="AG571" s="72">
        <f t="shared" si="316"/>
        <v>0.15295124979975461</v>
      </c>
      <c r="AH571" s="72">
        <f t="shared" si="317"/>
        <v>0.4839668981602851</v>
      </c>
      <c r="AI571" s="72">
        <f t="shared" si="318"/>
        <v>0.22674859518479601</v>
      </c>
      <c r="AJ571" s="72">
        <f>(AV571-Driver!$K$179)/(Driver!$L$179-Driver!$K$179)</f>
        <v>0.14519377971154618</v>
      </c>
      <c r="AK571" s="72">
        <f>(AW571-Driver!$K$180)/(Driver!$L$180-Driver!$K$180)</f>
        <v>0.24946927957836915</v>
      </c>
      <c r="AL571" s="72">
        <f>(AX571-Driver!$K$181)/(Driver!$L$181-Driver!$K$181)</f>
        <v>0.41124391323594511</v>
      </c>
      <c r="AM571" s="72">
        <f>(AY571-Driver!$K$182)/(Driver!$L$182-Driver!$K$182)</f>
        <v>3.1987334867177475E-2</v>
      </c>
      <c r="AN571" s="72">
        <f>(AZ571-Driver!$K$183)/(Driver!$L$183-Driver!$K$183)</f>
        <v>0.23529411764705879</v>
      </c>
      <c r="AO571" s="72"/>
      <c r="AP571" s="72"/>
      <c r="AQ571" s="72">
        <f>(BC571-Driver!$K$188)/(Driver!$L$188-Driver!$K$188)</f>
        <v>3.0016294304375062E-2</v>
      </c>
      <c r="AR571" s="72">
        <f>MIN((BD571-Driver!$K$189)/(Driver!$L$189-Driver!$K$189),100%)</f>
        <v>0.41887339498819393</v>
      </c>
      <c r="AS571" s="72">
        <f>(BE571-Driver!$K$190)/(Driver!$L$190-Driver!$K$190)</f>
        <v>0.66295124979975462</v>
      </c>
      <c r="AT571" s="72">
        <f>(BF571-Driver!$K$191)/(Driver!$L$191-Driver!$K$191)</f>
        <v>2.6033101839714887E-2</v>
      </c>
      <c r="AU571" s="72">
        <f>(BG571-Driver!$K$192)/(Driver!$L$192-Driver!$K$192)</f>
        <v>2.3251404815203981E-2</v>
      </c>
      <c r="AV571" s="70">
        <f t="shared" si="319"/>
        <v>3.0558947225613888</v>
      </c>
      <c r="AW571" s="70">
        <f t="shared" si="320"/>
        <v>26.184884439060284</v>
      </c>
      <c r="AX571" s="70">
        <f t="shared" si="321"/>
        <v>4.7011952191235062</v>
      </c>
      <c r="AY571" s="70">
        <f>IFERROR(Driver!$K$19/Data!BH571/Data!BI571*Data!BK571*Data!BL571,"")</f>
        <v>3.9162041976990046E-2</v>
      </c>
      <c r="AZ571" s="70">
        <f t="shared" si="322"/>
        <v>21.444527177959788</v>
      </c>
      <c r="BA571" s="70"/>
      <c r="BB571" s="70"/>
      <c r="BC571" s="70">
        <f t="shared" si="323"/>
        <v>15.569660525571976</v>
      </c>
      <c r="BD571" s="70">
        <f t="shared" si="324"/>
        <v>38.790376140815241</v>
      </c>
      <c r="BE571" s="70">
        <f t="shared" si="325"/>
        <v>0.66301137550314504</v>
      </c>
      <c r="BF571" s="70">
        <f t="shared" si="326"/>
        <v>2.9402559599043565</v>
      </c>
      <c r="BG571" s="70">
        <f t="shared" si="327"/>
        <v>8.8044651423089218E-2</v>
      </c>
      <c r="BH571" s="67">
        <f>MAX((CE571-Driver!$F$200)/(Driver!$G$200-Driver!$F$200)*$BI$1,1)</f>
        <v>4.7011952191235062</v>
      </c>
      <c r="BI571" s="67">
        <f>MAX($BI$1*(BY571-Driver!$F$201)/(Driver!$G$201-Driver!$F$201),1)</f>
        <v>7.5949367088607591</v>
      </c>
      <c r="BJ571" s="67">
        <f>(CB571-Driver!$F$206)/(Driver!$G$206-Driver!$F$206)*$BI$1</f>
        <v>2.6984126984126982</v>
      </c>
      <c r="BK571" s="67">
        <f>(CD571-Driver!$F$203)/(Driver!$G$203-Driver!$F$203)*$BI$1</f>
        <v>1.1926605504587156</v>
      </c>
      <c r="BL571" s="67">
        <f>MAX((CR571-Driver!$F$202)/(Driver!$G$202-Driver!$F$202)*$BI$1,1)</f>
        <v>5.8620689655172411</v>
      </c>
      <c r="BM571" s="67">
        <f>MAX((CH571-Driver!$F$204)/(Driver!$G$204-Driver!$F$204)*$BI$1,1)</f>
        <v>4.5299145299145298</v>
      </c>
      <c r="BN571" s="67">
        <f>(CI571-Driver!$F$205)/(Driver!$G$205-Driver!$F$205)*$BI$1</f>
        <v>2.8235294117647056</v>
      </c>
      <c r="BO571" s="67">
        <f>(CK571-Driver!$F$207)/(Driver!$G$207-Driver!$F$207)*$BI$1</f>
        <v>0.80661840744570834</v>
      </c>
      <c r="BP571" s="67">
        <f>(CM571-Driver!$F$208)/(Driver!$G$208-Driver!$F$208)*$BI$1</f>
        <v>1.6111111111111112</v>
      </c>
      <c r="BQ571" s="67">
        <f>(CL571-Driver!$F$209)/(Driver!$G$209-Driver!$F$209)*$BI$1</f>
        <v>1.875</v>
      </c>
      <c r="BR571" s="28" t="s">
        <v>155</v>
      </c>
      <c r="BS571" s="8" t="s">
        <v>164</v>
      </c>
      <c r="BT571" s="9" t="s">
        <v>292</v>
      </c>
      <c r="BU571" s="10">
        <v>158</v>
      </c>
      <c r="BV571" s="9" t="s">
        <v>163</v>
      </c>
      <c r="BW571" s="10">
        <v>158</v>
      </c>
      <c r="BX571" s="10">
        <v>161.69999999999999</v>
      </c>
      <c r="BY571" s="10">
        <v>128</v>
      </c>
      <c r="BZ571" s="10">
        <v>139</v>
      </c>
      <c r="CA571" s="10">
        <v>128</v>
      </c>
      <c r="CB571" s="10">
        <v>81</v>
      </c>
      <c r="CC571" s="10">
        <v>112</v>
      </c>
      <c r="CD571" s="10">
        <v>12</v>
      </c>
      <c r="CE571" s="10">
        <v>1726</v>
      </c>
      <c r="CF571" s="10">
        <v>0.9</v>
      </c>
      <c r="CG571" s="10">
        <v>1560</v>
      </c>
      <c r="CH571" s="10">
        <v>207</v>
      </c>
      <c r="CI571" s="10">
        <v>81</v>
      </c>
      <c r="CJ571" s="10">
        <v>42</v>
      </c>
      <c r="CK571" s="10">
        <v>188</v>
      </c>
      <c r="CL571" s="10">
        <v>12</v>
      </c>
      <c r="CM571" s="10">
        <v>145</v>
      </c>
      <c r="CN571" s="10">
        <v>0.28100000000000003</v>
      </c>
      <c r="CO571" s="10">
        <v>110</v>
      </c>
      <c r="CP571" s="10">
        <v>115</v>
      </c>
      <c r="CQ571" s="10">
        <v>78</v>
      </c>
      <c r="CR571" s="10">
        <v>6</v>
      </c>
      <c r="CS571" s="10">
        <v>7.4</v>
      </c>
      <c r="CT571" s="9" t="s">
        <v>231</v>
      </c>
      <c r="CU571" s="9" t="s">
        <v>188</v>
      </c>
      <c r="CV571" s="10"/>
      <c r="CW571" s="10"/>
      <c r="CX571" t="str">
        <f>INDEX('Data_Price '!AG$2:AG$1266,MATCH(Data!$DN571,'Data_Price '!$AT$2:$AT$1266,0))</f>
        <v>Elan Wildcat 82 C Skis 2022 Womenâ€™s 158cm</v>
      </c>
      <c r="CY571" t="str">
        <f>INDEX('Data_Price '!AH$2:AH$1266,MATCH(Data!$DN571,'Data_Price '!$AT$2:$AT$1266,0))</f>
        <v>eBay</v>
      </c>
      <c r="CZ571">
        <f>INDEX('Data_Price '!AI$2:AI$1266,MATCH(Data!$DN571,'Data_Price '!$AT$2:$AT$1266,0))</f>
        <v>359.99</v>
      </c>
      <c r="DA571" t="str">
        <f>INDEX('Data_Price '!AJ$2:AJ$1266,MATCH(Data!$DN571,'Data_Price '!$AT$2:$AT$1266,0))</f>
        <v>https://tinyurl.com/ybds8n3o</v>
      </c>
      <c r="DB571" t="str">
        <f>INDEX('Data_Price '!AK$2:AK$1266,MATCH(Data!$DN571,'Data_Price '!$AT$2:$AT$1266,0))</f>
        <v>Elan Wildcat 82 C Ps+elw 9.0 Alpine Skis 158</v>
      </c>
      <c r="DC571" t="str">
        <f>INDEX('Data_Price '!AL$2:AL$1266,MATCH(Data!$DN571,'Data_Price '!$AT$2:$AT$1266,0))</f>
        <v>Snowinn.com</v>
      </c>
      <c r="DD571">
        <f>INDEX('Data_Price '!AM$2:AM$1266,MATCH(Data!$DN571,'Data_Price '!$AT$2:$AT$1266,0))</f>
        <v>433.49</v>
      </c>
      <c r="DE571" t="str">
        <f>INDEX('Data_Price '!AN$2:AN$1266,MATCH(Data!$DN571,'Data_Price '!$AT$2:$AT$1266,0))</f>
        <v>https://tinyurl.com/y8chskg9</v>
      </c>
      <c r="DF571" t="str">
        <f>INDEX('Data_Price '!AO$2:AO$1266,MATCH(Data!$DN571,'Data_Price '!$AT$2:$AT$1266,0))</f>
        <v>Elan Wildcat Black Edition 86 C Women's Skis W Elan ELX 11.0 GW Shift</v>
      </c>
      <c r="DG571" t="str">
        <f>INDEX('Data_Price '!AP$2:AP$1266,MATCH(Data!$DN571,'Data_Price '!$AT$2:$AT$1266,0))</f>
        <v>eBay - asogear</v>
      </c>
      <c r="DH571">
        <f>INDEX('Data_Price '!AQ$2:AQ$1266,MATCH(Data!$DN571,'Data_Price '!$AT$2:$AT$1266,0))</f>
        <v>629.99</v>
      </c>
      <c r="DI571" t="str">
        <f>INDEX('Data_Price '!AR$2:AR$1266,MATCH(Data!$DN571,'Data_Price '!$AT$2:$AT$1266,0))</f>
        <v>https://tinyurl.com/y8ak6q53</v>
      </c>
      <c r="DJ571" s="89" t="str">
        <f t="shared" si="328"/>
        <v>https://tinyurl.com/ybds8n3o</v>
      </c>
      <c r="DK571" s="89" t="str">
        <f t="shared" si="329"/>
        <v>https://tinyurl.com/y8chskg9</v>
      </c>
      <c r="DL571" s="89" t="str">
        <f t="shared" si="330"/>
        <v>https://tinyurl.com/y8ak6q53</v>
      </c>
      <c r="DM571" s="219" t="str">
        <f t="shared" si="331"/>
        <v>Wildcat 82 C</v>
      </c>
      <c r="DN571" s="89" t="str">
        <f t="shared" si="332"/>
        <v xml:space="preserve"> ElanWildcat 82 C158 Women's</v>
      </c>
      <c r="DO571" s="221"/>
    </row>
    <row r="572" spans="2:119" ht="15.6" customHeight="1">
      <c r="B572" s="219" t="b">
        <f t="array" ref="B572">IF(OR(ISERROR(K572:P572)),FALSE,TRUE)</f>
        <v>1</v>
      </c>
      <c r="C572" s="43" t="b">
        <f>OR(BR572=Driver!$G$50,Data!BR771=Driver!$H$50)</f>
        <v>1</v>
      </c>
      <c r="D572" s="43" t="b">
        <f>OR(BV572=Driver!$G$51,BV572=Driver!$H$51)</f>
        <v>1</v>
      </c>
      <c r="E572" s="43" t="b">
        <f>AND(BX572&gt;Driver!$F$54,BX572&lt;Driver!$G$54)</f>
        <v>0</v>
      </c>
      <c r="F572" s="43" t="b">
        <f>CL572&gt;Driver!$F$56</f>
        <v>1</v>
      </c>
      <c r="G572" s="43" t="b">
        <f>AND(CB572&gt;Driver!$F$55,CB572&lt;Driver!$G$55)</f>
        <v>0</v>
      </c>
      <c r="H572" s="43" t="b">
        <f t="shared" si="296"/>
        <v>0</v>
      </c>
      <c r="I572" s="43">
        <f t="shared" si="297"/>
        <v>0</v>
      </c>
      <c r="J572" s="43" t="b">
        <f t="array" ref="J572">NOT(OR(($H$9:$H$1273=TRUE)*($I$9:$I$1273&gt;0)*($BT$9:$BT$1273=BT572)*($K$9:$K$1273&gt;K572)))</f>
        <v>1</v>
      </c>
      <c r="K572" s="72">
        <f t="shared" si="298"/>
        <v>0.84446458771157684</v>
      </c>
      <c r="L572" s="72">
        <f t="shared" si="299"/>
        <v>0.89806485467669039</v>
      </c>
      <c r="M572" s="72">
        <f t="shared" si="300"/>
        <v>0.7908643207464634</v>
      </c>
      <c r="N572" s="72">
        <f t="shared" si="301"/>
        <v>0.83399662351197978</v>
      </c>
      <c r="O572" s="72">
        <f t="shared" si="302"/>
        <v>0.61573241467677753</v>
      </c>
      <c r="P572" s="72">
        <f t="shared" si="303"/>
        <v>0.92286392405063289</v>
      </c>
      <c r="Q572" s="72"/>
      <c r="R572" s="72"/>
      <c r="S572" s="72">
        <f t="shared" si="304"/>
        <v>0.40206189951827609</v>
      </c>
      <c r="T572" s="72">
        <f t="shared" si="305"/>
        <v>0.51898861992373524</v>
      </c>
      <c r="U572" s="72">
        <f t="shared" si="306"/>
        <v>0.53204718178614563</v>
      </c>
      <c r="V572" s="72">
        <f t="shared" si="307"/>
        <v>0.63381044533525266</v>
      </c>
      <c r="W572" s="72">
        <f t="shared" si="308"/>
        <v>0.92397925113284041</v>
      </c>
      <c r="X572" s="72">
        <f t="shared" si="309"/>
        <v>0.10193514532330958</v>
      </c>
      <c r="Y572" s="72">
        <f t="shared" si="310"/>
        <v>0.2091356792535366</v>
      </c>
      <c r="Z572" s="72">
        <f t="shared" si="311"/>
        <v>0.16600337648802016</v>
      </c>
      <c r="AA572" s="72">
        <f t="shared" si="312"/>
        <v>0.38426758532322253</v>
      </c>
      <c r="AB572" s="72">
        <f t="shared" si="313"/>
        <v>7.7136075949367083E-2</v>
      </c>
      <c r="AC572" s="72"/>
      <c r="AD572" s="72"/>
      <c r="AE572" s="72">
        <f t="shared" si="314"/>
        <v>0.59793810048172391</v>
      </c>
      <c r="AF572" s="72">
        <f t="shared" si="315"/>
        <v>0.48101138007626471</v>
      </c>
      <c r="AG572" s="72">
        <f t="shared" si="316"/>
        <v>0.46795281821385443</v>
      </c>
      <c r="AH572" s="72">
        <f t="shared" si="317"/>
        <v>0.36618955466474734</v>
      </c>
      <c r="AI572" s="72">
        <f t="shared" si="318"/>
        <v>7.6020748867159538E-2</v>
      </c>
      <c r="AJ572" s="72">
        <f>(AV572-Driver!$K$179)/(Driver!$L$179-Driver!$K$179)</f>
        <v>0.15228426395939085</v>
      </c>
      <c r="AK572" s="72">
        <f>(AW572-Driver!$K$180)/(Driver!$L$180-Driver!$K$180)</f>
        <v>0.182167558252645</v>
      </c>
      <c r="AL572" s="72">
        <f>(AX572-Driver!$K$181)/(Driver!$L$181-Driver!$K$181)</f>
        <v>0.26769114020110035</v>
      </c>
      <c r="AM572" s="72">
        <f>(AY572-Driver!$K$182)/(Driver!$L$182-Driver!$K$182)</f>
        <v>6.3117435773823838E-2</v>
      </c>
      <c r="AN572" s="72">
        <f>(AZ572-Driver!$K$183)/(Driver!$L$183-Driver!$K$183)</f>
        <v>0.17708333333333334</v>
      </c>
      <c r="AO572" s="72"/>
      <c r="AP572" s="72"/>
      <c r="AQ572" s="72">
        <f>(BC572-Driver!$K$188)/(Driver!$L$188-Driver!$K$188)</f>
        <v>2.2061899518276133E-2</v>
      </c>
      <c r="AR572" s="72">
        <f>MIN((BD572-Driver!$K$189)/(Driver!$L$189-Driver!$K$189),100%)</f>
        <v>6.8988619923735325E-2</v>
      </c>
      <c r="AS572" s="72">
        <f>(BE572-Driver!$K$190)/(Driver!$L$190-Driver!$K$190)</f>
        <v>4.2047181786145582E-2</v>
      </c>
      <c r="AT572" s="72">
        <f>(BF572-Driver!$K$191)/(Driver!$L$191-Driver!$K$191)</f>
        <v>0.14381044533525264</v>
      </c>
      <c r="AU572" s="72">
        <f>(BG572-Driver!$K$192)/(Driver!$L$192-Driver!$K$192)</f>
        <v>0.17397925113284046</v>
      </c>
      <c r="AV572" s="70">
        <f t="shared" si="319"/>
        <v>3.2051282051282053</v>
      </c>
      <c r="AW572" s="70">
        <f t="shared" si="320"/>
        <v>19.625735341951383</v>
      </c>
      <c r="AX572" s="70">
        <f t="shared" si="321"/>
        <v>3.409220261809903</v>
      </c>
      <c r="AY572" s="70">
        <f>IFERROR(Driver!$K$19/Data!BH572/Data!BI572*Data!BK572*Data!BL572,"")</f>
        <v>7.727457381236251E-2</v>
      </c>
      <c r="AZ572" s="70">
        <f t="shared" si="322"/>
        <v>16.139240506329116</v>
      </c>
      <c r="BA572" s="70"/>
      <c r="BB572" s="70"/>
      <c r="BC572" s="70">
        <f t="shared" si="323"/>
        <v>11.443660651967042</v>
      </c>
      <c r="BD572" s="70">
        <f t="shared" si="324"/>
        <v>7.8261935067471544</v>
      </c>
      <c r="BE572" s="70">
        <f t="shared" si="325"/>
        <v>4.2218069786696691E-2</v>
      </c>
      <c r="BF572" s="70">
        <f t="shared" si="326"/>
        <v>16.242379475057863</v>
      </c>
      <c r="BG572" s="70">
        <f t="shared" si="327"/>
        <v>0.65879643155258771</v>
      </c>
      <c r="BH572" s="67">
        <f>MAX((CE572-Driver!$F$200)/(Driver!$G$200-Driver!$F$200)*$BI$1,1)</f>
        <v>3.409220261809903</v>
      </c>
      <c r="BI572" s="67">
        <f>MAX($BI$1*(BY572-Driver!$F$201)/(Driver!$G$201-Driver!$F$201),1)</f>
        <v>5.3797468354430382</v>
      </c>
      <c r="BJ572" s="67">
        <f>(CB572-Driver!$F$206)/(Driver!$G$206-Driver!$F$206)*$BI$1</f>
        <v>4.2857142857142856</v>
      </c>
      <c r="BK572" s="67">
        <f>(CD572-Driver!$F$203)/(Driver!$G$203-Driver!$F$203)*$BI$1</f>
        <v>1.4678899082568806</v>
      </c>
      <c r="BL572" s="67">
        <f>MAX((CR572-Driver!$F$202)/(Driver!$G$202-Driver!$F$202)*$BI$1,1)</f>
        <v>4.8275862068965516</v>
      </c>
      <c r="BM572" s="67">
        <f>MAX((CH572-Driver!$F$204)/(Driver!$G$204-Driver!$F$204)*$BI$1,1)</f>
        <v>2.9914529914529915</v>
      </c>
      <c r="BN572" s="67">
        <f>(CI572-Driver!$F$205)/(Driver!$G$205-Driver!$F$205)*$BI$1</f>
        <v>3</v>
      </c>
      <c r="BO572" s="67">
        <f>(CK572-Driver!$F$207)/(Driver!$G$207-Driver!$F$207)*$BI$1</f>
        <v>1.8407445708376422</v>
      </c>
      <c r="BP572" s="67">
        <f>(CM572-Driver!$F$208)/(Driver!$G$208-Driver!$F$208)*$BI$1</f>
        <v>3.0222222222222221</v>
      </c>
      <c r="BQ572" s="67">
        <f>(CL572-Driver!$F$209)/(Driver!$G$209-Driver!$F$209)*$BI$1</f>
        <v>6.71875</v>
      </c>
      <c r="BR572" s="28" t="s">
        <v>155</v>
      </c>
      <c r="BS572" s="8" t="s">
        <v>262</v>
      </c>
      <c r="BT572" s="9" t="s">
        <v>579</v>
      </c>
      <c r="BU572" s="10">
        <v>149</v>
      </c>
      <c r="BV572" s="9" t="s">
        <v>158</v>
      </c>
      <c r="BW572" s="10">
        <v>149</v>
      </c>
      <c r="BX572" s="10">
        <v>148.9</v>
      </c>
      <c r="BY572" s="10">
        <v>93</v>
      </c>
      <c r="BZ572" s="10">
        <v>124</v>
      </c>
      <c r="CA572" s="10">
        <v>124</v>
      </c>
      <c r="CB572" s="10">
        <v>91</v>
      </c>
      <c r="CC572" s="10">
        <v>113</v>
      </c>
      <c r="CD572" s="10">
        <v>12.6</v>
      </c>
      <c r="CE572" s="10">
        <v>1499</v>
      </c>
      <c r="CF572" s="10">
        <v>1.01</v>
      </c>
      <c r="CG572" s="10">
        <v>1518</v>
      </c>
      <c r="CH572" s="10">
        <v>171</v>
      </c>
      <c r="CI572" s="10">
        <v>84</v>
      </c>
      <c r="CJ572" s="10">
        <v>47</v>
      </c>
      <c r="CK572" s="10">
        <v>288</v>
      </c>
      <c r="CL572" s="10">
        <v>43</v>
      </c>
      <c r="CM572" s="10">
        <v>272</v>
      </c>
      <c r="CN572" s="10">
        <v>0.91500000000000004</v>
      </c>
      <c r="CO572" s="10">
        <v>115</v>
      </c>
      <c r="CP572" s="10">
        <v>138</v>
      </c>
      <c r="CQ572" s="10">
        <v>173</v>
      </c>
      <c r="CR572" s="10">
        <v>3</v>
      </c>
      <c r="CS572" s="10">
        <v>4.0999999999999996</v>
      </c>
      <c r="CT572" s="9" t="s">
        <v>184</v>
      </c>
      <c r="CU572" s="10"/>
      <c r="CV572" s="10"/>
      <c r="CW572" s="10"/>
      <c r="CX572" t="e">
        <f>INDEX('Data_Price '!AG$2:AG$1266,MATCH(Data!$DN572,'Data_Price '!$AT$2:$AT$1266,0))</f>
        <v>#N/A</v>
      </c>
      <c r="CY572" t="e">
        <f>INDEX('Data_Price '!AH$2:AH$1266,MATCH(Data!$DN572,'Data_Price '!$AT$2:$AT$1266,0))</f>
        <v>#N/A</v>
      </c>
      <c r="CZ572" t="e">
        <f>INDEX('Data_Price '!AI$2:AI$1266,MATCH(Data!$DN572,'Data_Price '!$AT$2:$AT$1266,0))</f>
        <v>#N/A</v>
      </c>
      <c r="DA572" t="e">
        <f>INDEX('Data_Price '!AJ$2:AJ$1266,MATCH(Data!$DN572,'Data_Price '!$AT$2:$AT$1266,0))</f>
        <v>#N/A</v>
      </c>
      <c r="DB572" t="e">
        <f>INDEX('Data_Price '!AK$2:AK$1266,MATCH(Data!$DN572,'Data_Price '!$AT$2:$AT$1266,0))</f>
        <v>#N/A</v>
      </c>
      <c r="DC572" t="e">
        <f>INDEX('Data_Price '!AL$2:AL$1266,MATCH(Data!$DN572,'Data_Price '!$AT$2:$AT$1266,0))</f>
        <v>#N/A</v>
      </c>
      <c r="DD572" t="e">
        <f>INDEX('Data_Price '!AM$2:AM$1266,MATCH(Data!$DN572,'Data_Price '!$AT$2:$AT$1266,0))</f>
        <v>#N/A</v>
      </c>
      <c r="DE572" t="e">
        <f>INDEX('Data_Price '!AN$2:AN$1266,MATCH(Data!$DN572,'Data_Price '!$AT$2:$AT$1266,0))</f>
        <v>#N/A</v>
      </c>
      <c r="DF572" t="e">
        <f>INDEX('Data_Price '!AO$2:AO$1266,MATCH(Data!$DN572,'Data_Price '!$AT$2:$AT$1266,0))</f>
        <v>#N/A</v>
      </c>
      <c r="DG572" t="e">
        <f>INDEX('Data_Price '!AP$2:AP$1266,MATCH(Data!$DN572,'Data_Price '!$AT$2:$AT$1266,0))</f>
        <v>#N/A</v>
      </c>
      <c r="DH572" t="e">
        <f>INDEX('Data_Price '!AQ$2:AQ$1266,MATCH(Data!$DN572,'Data_Price '!$AT$2:$AT$1266,0))</f>
        <v>#N/A</v>
      </c>
      <c r="DI572" t="e">
        <f>INDEX('Data_Price '!AR$2:AR$1266,MATCH(Data!$DN572,'Data_Price '!$AT$2:$AT$1266,0))</f>
        <v>#N/A</v>
      </c>
      <c r="DJ572" s="89" t="e">
        <f t="shared" si="328"/>
        <v>#N/A</v>
      </c>
      <c r="DK572" s="89" t="e">
        <f t="shared" si="329"/>
        <v>#N/A</v>
      </c>
      <c r="DL572" s="89" t="e">
        <f t="shared" si="330"/>
        <v>#N/A</v>
      </c>
      <c r="DM572" s="219" t="str">
        <f t="shared" si="331"/>
        <v>Reckoner 92</v>
      </c>
      <c r="DN572" s="89" t="str">
        <f t="shared" si="332"/>
        <v xml:space="preserve"> K2Reckoner 92149 Unisex</v>
      </c>
      <c r="DO572" s="221" t="s">
        <v>580</v>
      </c>
    </row>
    <row r="573" spans="2:119" ht="15.6" customHeight="1">
      <c r="B573" s="219" t="b">
        <f t="array" ref="B573">IF(OR(ISERROR(K573:P573)),FALSE,TRUE)</f>
        <v>1</v>
      </c>
      <c r="C573" s="43" t="b">
        <f>OR(BR573=Driver!$G$50,Data!BR776=Driver!$H$50)</f>
        <v>1</v>
      </c>
      <c r="D573" s="43" t="b">
        <f>OR(BV573=Driver!$G$51,BV573=Driver!$H$51)</f>
        <v>0</v>
      </c>
      <c r="E573" s="43" t="b">
        <f>AND(BX573&gt;Driver!$F$54,BX573&lt;Driver!$G$54)</f>
        <v>1</v>
      </c>
      <c r="F573" s="43" t="b">
        <f>CL573&gt;Driver!$F$56</f>
        <v>1</v>
      </c>
      <c r="G573" s="43" t="b">
        <f>AND(CB573&gt;Driver!$F$55,CB573&lt;Driver!$G$55)</f>
        <v>0</v>
      </c>
      <c r="H573" s="43" t="b">
        <f t="shared" si="296"/>
        <v>0</v>
      </c>
      <c r="I573" s="43">
        <f t="shared" si="297"/>
        <v>0</v>
      </c>
      <c r="J573" s="43" t="b">
        <f t="array" ref="J573">NOT(OR(($H$9:$H$1273=TRUE)*($I$9:$I$1273&gt;0)*($BT$9:$BT$1273=BT573)*($K$9:$K$1273&gt;K573)))</f>
        <v>1</v>
      </c>
      <c r="K573" s="72">
        <f t="shared" si="298"/>
        <v>0.83434225913985027</v>
      </c>
      <c r="L573" s="72">
        <f t="shared" si="299"/>
        <v>0.88066093879561713</v>
      </c>
      <c r="M573" s="72">
        <f t="shared" si="300"/>
        <v>0.78802357948408341</v>
      </c>
      <c r="N573" s="72">
        <f t="shared" si="301"/>
        <v>0.79415598606178062</v>
      </c>
      <c r="O573" s="72">
        <f t="shared" si="302"/>
        <v>0.65599690677120925</v>
      </c>
      <c r="P573" s="72">
        <f t="shared" si="303"/>
        <v>0.91391784561926037</v>
      </c>
      <c r="Q573" s="72"/>
      <c r="R573" s="72"/>
      <c r="S573" s="72">
        <f t="shared" si="304"/>
        <v>0.41600326422251555</v>
      </c>
      <c r="T573" s="72">
        <f t="shared" si="305"/>
        <v>0.49171268201064722</v>
      </c>
      <c r="U573" s="72">
        <f t="shared" si="306"/>
        <v>0.54069834208512035</v>
      </c>
      <c r="V573" s="72">
        <f t="shared" si="307"/>
        <v>0.56244527871722394</v>
      </c>
      <c r="W573" s="72">
        <f t="shared" si="308"/>
        <v>0.92773486989572163</v>
      </c>
      <c r="X573" s="72">
        <f t="shared" si="309"/>
        <v>0.11933906120438284</v>
      </c>
      <c r="Y573" s="72">
        <f t="shared" si="310"/>
        <v>0.21197642051591659</v>
      </c>
      <c r="Z573" s="72">
        <f t="shared" si="311"/>
        <v>0.20584401393821938</v>
      </c>
      <c r="AA573" s="72">
        <f t="shared" si="312"/>
        <v>0.34400309322879075</v>
      </c>
      <c r="AB573" s="72">
        <f t="shared" si="313"/>
        <v>8.6082154380739628E-2</v>
      </c>
      <c r="AC573" s="72"/>
      <c r="AD573" s="72"/>
      <c r="AE573" s="72">
        <f t="shared" si="314"/>
        <v>0.58399673577748445</v>
      </c>
      <c r="AF573" s="72">
        <f t="shared" si="315"/>
        <v>0.50828731798935278</v>
      </c>
      <c r="AG573" s="72">
        <f t="shared" si="316"/>
        <v>0.4593016579148797</v>
      </c>
      <c r="AH573" s="72">
        <f t="shared" si="317"/>
        <v>0.43755472128277606</v>
      </c>
      <c r="AI573" s="72">
        <f t="shared" si="318"/>
        <v>7.2265130104278374E-2</v>
      </c>
      <c r="AJ573" s="72">
        <f>(AV573-Driver!$K$179)/(Driver!$L$179-Driver!$K$179)</f>
        <v>0.13488034807831759</v>
      </c>
      <c r="AK573" s="72">
        <f>(AW573-Driver!$K$180)/(Driver!$L$180-Driver!$K$180)</f>
        <v>0.17798653970967968</v>
      </c>
      <c r="AL573" s="72">
        <f>(AX573-Driver!$K$181)/(Driver!$L$181-Driver!$K$181)</f>
        <v>0.30753177765129958</v>
      </c>
      <c r="AM573" s="72">
        <f>(AY573-Driver!$K$182)/(Driver!$L$182-Driver!$K$182)</f>
        <v>0.10338192786825559</v>
      </c>
      <c r="AN573" s="72">
        <f>(AZ573-Driver!$K$183)/(Driver!$L$183-Driver!$K$183)</f>
        <v>0.1681372549019608</v>
      </c>
      <c r="AO573" s="72"/>
      <c r="AP573" s="72"/>
      <c r="AQ573" s="72">
        <f>(BC573-Driver!$K$188)/(Driver!$L$188-Driver!$K$188)</f>
        <v>3.6003264222515506E-2</v>
      </c>
      <c r="AR573" s="72">
        <f>MIN((BD573-Driver!$K$189)/(Driver!$L$189-Driver!$K$189),100%)</f>
        <v>4.1712682010647296E-2</v>
      </c>
      <c r="AS573" s="72">
        <f>(BE573-Driver!$K$190)/(Driver!$L$190-Driver!$K$190)</f>
        <v>5.0698342085120314E-2</v>
      </c>
      <c r="AT573" s="72">
        <f>(BF573-Driver!$K$191)/(Driver!$L$191-Driver!$K$191)</f>
        <v>7.2445278717223921E-2</v>
      </c>
      <c r="AU573" s="72">
        <f>(BG573-Driver!$K$192)/(Driver!$L$192-Driver!$K$192)</f>
        <v>0.17773486989572163</v>
      </c>
      <c r="AV573" s="70">
        <f t="shared" si="319"/>
        <v>2.8388278388278385</v>
      </c>
      <c r="AW573" s="70">
        <f t="shared" si="320"/>
        <v>19.218258037346331</v>
      </c>
      <c r="AX573" s="70">
        <f t="shared" si="321"/>
        <v>3.7677859988616964</v>
      </c>
      <c r="AY573" s="70">
        <f>IFERROR(Driver!$K$19/Data!BH573/Data!BI573*Data!BK573*Data!BL573,"")</f>
        <v>0.12657032590086587</v>
      </c>
      <c r="AZ573" s="70">
        <f t="shared" si="322"/>
        <v>15.323901712583769</v>
      </c>
      <c r="BA573" s="70"/>
      <c r="BB573" s="70"/>
      <c r="BC573" s="70">
        <f t="shared" si="323"/>
        <v>18.675143442851059</v>
      </c>
      <c r="BD573" s="70">
        <f t="shared" si="324"/>
        <v>5.4123213315410039</v>
      </c>
      <c r="BE573" s="70">
        <f t="shared" si="325"/>
        <v>5.0867686816047038E-2</v>
      </c>
      <c r="BF573" s="70">
        <f t="shared" si="326"/>
        <v>8.1821852742225012</v>
      </c>
      <c r="BG573" s="70">
        <f t="shared" si="327"/>
        <v>0.67301760001461841</v>
      </c>
      <c r="BH573" s="67">
        <f>MAX((CE573-Driver!$F$200)/(Driver!$G$200-Driver!$F$200)*$BI$1,1)</f>
        <v>3.7677859988616964</v>
      </c>
      <c r="BI573" s="67">
        <f>MAX($BI$1*(BY573-Driver!$F$201)/(Driver!$G$201-Driver!$F$201),1)</f>
        <v>6.2025316455696204</v>
      </c>
      <c r="BJ573" s="67">
        <f>(CB573-Driver!$F$206)/(Driver!$G$206-Driver!$F$206)*$BI$1</f>
        <v>4.2857142857142856</v>
      </c>
      <c r="BK573" s="67">
        <f>(CD573-Driver!$F$203)/(Driver!$G$203-Driver!$F$203)*$BI$1</f>
        <v>2.522935779816514</v>
      </c>
      <c r="BL573" s="67">
        <f>MAX((CR573-Driver!$F$202)/(Driver!$G$202-Driver!$F$202)*$BI$1,1)</f>
        <v>5.8620689655172411</v>
      </c>
      <c r="BM573" s="67">
        <f>MAX((CH573-Driver!$F$204)/(Driver!$G$204-Driver!$F$204)*$BI$1,1)</f>
        <v>2.6495726495726495</v>
      </c>
      <c r="BN573" s="67">
        <f>(CI573-Driver!$F$205)/(Driver!$G$205-Driver!$F$205)*$BI$1</f>
        <v>2.4705882352941178</v>
      </c>
      <c r="BO573" s="67">
        <f>(CK573-Driver!$F$207)/(Driver!$G$207-Driver!$F$207)*$BI$1</f>
        <v>1.6546018614270941</v>
      </c>
      <c r="BP573" s="67">
        <f>(CM573-Driver!$F$208)/(Driver!$G$208-Driver!$F$208)*$BI$1</f>
        <v>2.911111111111111</v>
      </c>
      <c r="BQ573" s="67">
        <f>(CL573-Driver!$F$209)/(Driver!$G$209-Driver!$F$209)*$BI$1</f>
        <v>6.71875</v>
      </c>
      <c r="BR573" s="28" t="s">
        <v>155</v>
      </c>
      <c r="BS573" s="8" t="s">
        <v>262</v>
      </c>
      <c r="BT573" s="9" t="s">
        <v>670</v>
      </c>
      <c r="BU573" s="10">
        <v>159</v>
      </c>
      <c r="BV573" s="9" t="s">
        <v>163</v>
      </c>
      <c r="BW573" s="10">
        <v>159</v>
      </c>
      <c r="BX573" s="10">
        <v>158.9</v>
      </c>
      <c r="BY573" s="10">
        <v>106</v>
      </c>
      <c r="BZ573" s="10">
        <v>134</v>
      </c>
      <c r="CA573" s="10">
        <v>124</v>
      </c>
      <c r="CB573" s="10">
        <v>91</v>
      </c>
      <c r="CC573" s="10">
        <v>113</v>
      </c>
      <c r="CD573" s="10">
        <v>14.9</v>
      </c>
      <c r="CE573" s="10">
        <v>1562</v>
      </c>
      <c r="CF573" s="10">
        <v>1.04</v>
      </c>
      <c r="CG573" s="10">
        <v>1617</v>
      </c>
      <c r="CH573" s="10">
        <v>163</v>
      </c>
      <c r="CI573" s="10">
        <v>75</v>
      </c>
      <c r="CJ573" s="10">
        <v>48</v>
      </c>
      <c r="CK573" s="10">
        <v>270</v>
      </c>
      <c r="CL573" s="10">
        <v>43</v>
      </c>
      <c r="CM573" s="10">
        <v>262</v>
      </c>
      <c r="CN573" s="10">
        <v>0.89400000000000002</v>
      </c>
      <c r="CO573" s="10">
        <v>116</v>
      </c>
      <c r="CP573" s="10">
        <v>131</v>
      </c>
      <c r="CQ573" s="10">
        <v>154</v>
      </c>
      <c r="CR573" s="10">
        <v>6</v>
      </c>
      <c r="CS573" s="10">
        <v>4.8</v>
      </c>
      <c r="CT573" s="9" t="s">
        <v>184</v>
      </c>
      <c r="CU573" s="10"/>
      <c r="CV573" s="10"/>
      <c r="CW573" s="10"/>
      <c r="CX573" t="e">
        <f>INDEX('Data_Price '!AG$2:AG$1266,MATCH(Data!$DN573,'Data_Price '!$AT$2:$AT$1266,0))</f>
        <v>#N/A</v>
      </c>
      <c r="CY573" t="e">
        <f>INDEX('Data_Price '!AH$2:AH$1266,MATCH(Data!$DN573,'Data_Price '!$AT$2:$AT$1266,0))</f>
        <v>#N/A</v>
      </c>
      <c r="CZ573" t="e">
        <f>INDEX('Data_Price '!AI$2:AI$1266,MATCH(Data!$DN573,'Data_Price '!$AT$2:$AT$1266,0))</f>
        <v>#N/A</v>
      </c>
      <c r="DA573" t="e">
        <f>INDEX('Data_Price '!AJ$2:AJ$1266,MATCH(Data!$DN573,'Data_Price '!$AT$2:$AT$1266,0))</f>
        <v>#N/A</v>
      </c>
      <c r="DB573" t="e">
        <f>INDEX('Data_Price '!AK$2:AK$1266,MATCH(Data!$DN573,'Data_Price '!$AT$2:$AT$1266,0))</f>
        <v>#N/A</v>
      </c>
      <c r="DC573" t="e">
        <f>INDEX('Data_Price '!AL$2:AL$1266,MATCH(Data!$DN573,'Data_Price '!$AT$2:$AT$1266,0))</f>
        <v>#N/A</v>
      </c>
      <c r="DD573" t="e">
        <f>INDEX('Data_Price '!AM$2:AM$1266,MATCH(Data!$DN573,'Data_Price '!$AT$2:$AT$1266,0))</f>
        <v>#N/A</v>
      </c>
      <c r="DE573" t="e">
        <f>INDEX('Data_Price '!AN$2:AN$1266,MATCH(Data!$DN573,'Data_Price '!$AT$2:$AT$1266,0))</f>
        <v>#N/A</v>
      </c>
      <c r="DF573" t="e">
        <f>INDEX('Data_Price '!AO$2:AO$1266,MATCH(Data!$DN573,'Data_Price '!$AT$2:$AT$1266,0))</f>
        <v>#N/A</v>
      </c>
      <c r="DG573" t="e">
        <f>INDEX('Data_Price '!AP$2:AP$1266,MATCH(Data!$DN573,'Data_Price '!$AT$2:$AT$1266,0))</f>
        <v>#N/A</v>
      </c>
      <c r="DH573" t="e">
        <f>INDEX('Data_Price '!AQ$2:AQ$1266,MATCH(Data!$DN573,'Data_Price '!$AT$2:$AT$1266,0))</f>
        <v>#N/A</v>
      </c>
      <c r="DI573" t="e">
        <f>INDEX('Data_Price '!AR$2:AR$1266,MATCH(Data!$DN573,'Data_Price '!$AT$2:$AT$1266,0))</f>
        <v>#N/A</v>
      </c>
      <c r="DJ573" s="89" t="e">
        <f t="shared" si="328"/>
        <v>#N/A</v>
      </c>
      <c r="DK573" s="89" t="e">
        <f t="shared" si="329"/>
        <v>#N/A</v>
      </c>
      <c r="DL573" s="89" t="e">
        <f t="shared" si="330"/>
        <v>#N/A</v>
      </c>
      <c r="DM573" s="219" t="str">
        <f t="shared" si="331"/>
        <v>Reckoner 92 Alliance</v>
      </c>
      <c r="DN573" s="89" t="str">
        <f t="shared" si="332"/>
        <v xml:space="preserve"> K2Reckoner 92 Alliance159 Women's</v>
      </c>
      <c r="DO573" s="221" t="s">
        <v>671</v>
      </c>
    </row>
    <row r="574" spans="2:119" ht="15.6" customHeight="1">
      <c r="B574" s="219" t="b">
        <f t="array" ref="B574">IF(OR(ISERROR(K574:P574)),FALSE,TRUE)</f>
        <v>1</v>
      </c>
      <c r="C574" s="43" t="b">
        <f>OR(BR574=Driver!$G$50,Data!BR1095=Driver!$H$50)</f>
        <v>1</v>
      </c>
      <c r="D574" s="43" t="b">
        <f>OR(BV574=Driver!$G$51,BV574=Driver!$H$51)</f>
        <v>1</v>
      </c>
      <c r="E574" s="43" t="b">
        <f>AND(BX574&gt;Driver!$F$54,BX574&lt;Driver!$G$54)</f>
        <v>1</v>
      </c>
      <c r="F574" s="43" t="b">
        <f>CL574&gt;Driver!$F$56</f>
        <v>1</v>
      </c>
      <c r="G574" s="43" t="b">
        <f>AND(CB574&gt;Driver!$F$55,CB574&lt;Driver!$G$55)</f>
        <v>0</v>
      </c>
      <c r="H574" s="43" t="b">
        <f t="shared" si="296"/>
        <v>0</v>
      </c>
      <c r="I574" s="43">
        <f t="shared" si="297"/>
        <v>0</v>
      </c>
      <c r="J574" s="43" t="b">
        <f t="array" ref="J574">NOT(OR(($H$9:$H$1273=TRUE)*($I$9:$I$1273&gt;0)*($BT$9:$BT$1273=BT574)*($K$9:$K$1273&gt;K574)))</f>
        <v>1</v>
      </c>
      <c r="K574" s="72">
        <f t="shared" si="298"/>
        <v>0.76538605738833443</v>
      </c>
      <c r="L574" s="72">
        <f t="shared" si="299"/>
        <v>0.82264788585870641</v>
      </c>
      <c r="M574" s="72">
        <f t="shared" si="300"/>
        <v>0.70812422891796256</v>
      </c>
      <c r="N574" s="72">
        <f t="shared" si="301"/>
        <v>0.57977541311547065</v>
      </c>
      <c r="O574" s="72">
        <f t="shared" si="302"/>
        <v>0.60075368134918061</v>
      </c>
      <c r="P574" s="72">
        <f t="shared" si="303"/>
        <v>0.94384359228923631</v>
      </c>
      <c r="Q574" s="72"/>
      <c r="R574" s="72"/>
      <c r="S574" s="72">
        <f t="shared" si="304"/>
        <v>0.47209083592990408</v>
      </c>
      <c r="T574" s="72">
        <f t="shared" si="305"/>
        <v>0.87193284465156917</v>
      </c>
      <c r="U574" s="72">
        <f t="shared" si="306"/>
        <v>0.51</v>
      </c>
      <c r="V574" s="72">
        <f t="shared" si="307"/>
        <v>0.49110891508850707</v>
      </c>
      <c r="W574" s="72">
        <f t="shared" si="308"/>
        <v>0.75799436412643961</v>
      </c>
      <c r="X574" s="72">
        <f t="shared" si="309"/>
        <v>0.17735211414129362</v>
      </c>
      <c r="Y574" s="72">
        <f t="shared" si="310"/>
        <v>0.29187577108203744</v>
      </c>
      <c r="Z574" s="72">
        <f t="shared" si="311"/>
        <v>0.42022458688452935</v>
      </c>
      <c r="AA574" s="72">
        <f t="shared" si="312"/>
        <v>0.39924631865081939</v>
      </c>
      <c r="AB574" s="72">
        <f t="shared" si="313"/>
        <v>5.6156407710763634E-2</v>
      </c>
      <c r="AC574" s="72"/>
      <c r="AD574" s="72"/>
      <c r="AE574" s="72">
        <f t="shared" si="314"/>
        <v>0.52790916407009592</v>
      </c>
      <c r="AF574" s="72">
        <f t="shared" si="315"/>
        <v>0.12806715534843083</v>
      </c>
      <c r="AG574" s="72">
        <f t="shared" si="316"/>
        <v>0.49</v>
      </c>
      <c r="AH574" s="72">
        <f t="shared" si="317"/>
        <v>0.50889108491149293</v>
      </c>
      <c r="AI574" s="72">
        <f t="shared" si="318"/>
        <v>0.24200563587356042</v>
      </c>
      <c r="AJ574" s="72">
        <f>(AV574-Driver!$K$179)/(Driver!$L$179-Driver!$K$179)</f>
        <v>7.6867295141406805E-2</v>
      </c>
      <c r="AK574" s="72">
        <f>(AW574-Driver!$K$180)/(Driver!$L$180-Driver!$K$180)</f>
        <v>0.33010513978589695</v>
      </c>
      <c r="AL574" s="72">
        <f>(AX574-Driver!$K$181)/(Driver!$L$181-Driver!$K$181)</f>
        <v>0.52191235059760954</v>
      </c>
      <c r="AM574" s="72">
        <f>(AY574-Driver!$K$182)/(Driver!$L$182-Driver!$K$182)</f>
        <v>4.8138702446226977E-2</v>
      </c>
      <c r="AN574" s="72">
        <f>(AZ574-Driver!$K$183)/(Driver!$L$183-Driver!$K$183)</f>
        <v>0.31037581699346406</v>
      </c>
      <c r="AO574" s="72"/>
      <c r="AP574" s="72"/>
      <c r="AQ574" s="72">
        <f>(BC574-Driver!$K$188)/(Driver!$L$188-Driver!$K$188)</f>
        <v>9.2090835929904052E-2</v>
      </c>
      <c r="AR574" s="72">
        <f>MIN((BD574-Driver!$K$189)/(Driver!$L$189-Driver!$K$189),100%)</f>
        <v>0.67806715534843087</v>
      </c>
      <c r="AS574" s="72">
        <f>(BE574-Driver!$K$190)/(Driver!$L$190-Driver!$K$190)</f>
        <v>1</v>
      </c>
      <c r="AT574" s="72">
        <f>(BF574-Driver!$K$191)/(Driver!$L$191-Driver!$K$191)</f>
        <v>1.1089150885071248E-3</v>
      </c>
      <c r="AU574" s="72">
        <f>(BG574-Driver!$K$192)/(Driver!$L$192-Driver!$K$192)</f>
        <v>7.994364126439597E-3</v>
      </c>
      <c r="AV574" s="70">
        <f t="shared" si="319"/>
        <v>1.6178266178266176</v>
      </c>
      <c r="AW574" s="70">
        <f t="shared" si="320"/>
        <v>34.04356352269091</v>
      </c>
      <c r="AX574" s="70">
        <f t="shared" si="321"/>
        <v>5.6972111553784863</v>
      </c>
      <c r="AY574" s="70">
        <f>IFERROR(Driver!$K$19/Data!BH574/Data!BI574*Data!BK574*Data!BL574,"")</f>
        <v>5.8936134996711069E-2</v>
      </c>
      <c r="AZ574" s="70">
        <f t="shared" si="322"/>
        <v>28.287416232315714</v>
      </c>
      <c r="BA574" s="70"/>
      <c r="BB574" s="70"/>
      <c r="BC574" s="70">
        <f t="shared" si="323"/>
        <v>47.768156801946198</v>
      </c>
      <c r="BD574" s="70">
        <f t="shared" si="324"/>
        <v>61.728564668528946</v>
      </c>
      <c r="BE574" s="70">
        <f t="shared" si="325"/>
        <v>1</v>
      </c>
      <c r="BF574" s="70">
        <f t="shared" si="326"/>
        <v>0.12524416867746749</v>
      </c>
      <c r="BG574" s="70">
        <f t="shared" si="327"/>
        <v>3.0271762435677529E-2</v>
      </c>
      <c r="BH574" s="67">
        <f>MAX((CE574-Driver!$F$200)/(Driver!$G$200-Driver!$F$200)*$BI$1,1)</f>
        <v>5.6972111553784863</v>
      </c>
      <c r="BI574" s="67">
        <f>MAX($BI$1*(BY574-Driver!$F$201)/(Driver!$G$201-Driver!$F$201),1)</f>
        <v>8.2911392405063289</v>
      </c>
      <c r="BJ574" s="67">
        <f>(CB574-Driver!$F$206)/(Driver!$G$206-Driver!$F$206)*$BI$1</f>
        <v>1.4285714285714284</v>
      </c>
      <c r="BK574" s="67">
        <f>(CD574-Driver!$F$203)/(Driver!$G$203-Driver!$F$203)*$BI$1</f>
        <v>2.0183486238532113</v>
      </c>
      <c r="BL574" s="67">
        <f>MAX((CR574-Driver!$F$202)/(Driver!$G$202-Driver!$F$202)*$BI$1,1)</f>
        <v>6.8965517241379315</v>
      </c>
      <c r="BM574" s="67">
        <f>MAX((CH574-Driver!$F$204)/(Driver!$G$204-Driver!$F$204)*$BI$1,1)</f>
        <v>4.5299145299145298</v>
      </c>
      <c r="BN574" s="67">
        <f>(CI574-Driver!$F$205)/(Driver!$G$205-Driver!$F$205)*$BI$1</f>
        <v>3.4117647058823533</v>
      </c>
      <c r="BO574" s="67">
        <f>(CK574-Driver!$F$207)/(Driver!$G$207-Driver!$F$207)*$BI$1</f>
        <v>0.20682523267838676</v>
      </c>
      <c r="BP574" s="67">
        <f>(CM574-Driver!$F$208)/(Driver!$G$208-Driver!$F$208)*$BI$1</f>
        <v>0.85555555555555551</v>
      </c>
      <c r="BQ574" s="67">
        <f>(CL574-Driver!$F$209)/(Driver!$G$209-Driver!$F$209)*$BI$1</f>
        <v>0.78125</v>
      </c>
      <c r="BR574" s="28" t="s">
        <v>155</v>
      </c>
      <c r="BS574" s="8" t="s">
        <v>174</v>
      </c>
      <c r="BT574" s="9" t="s">
        <v>672</v>
      </c>
      <c r="BU574" s="10">
        <v>160</v>
      </c>
      <c r="BV574" s="9" t="s">
        <v>158</v>
      </c>
      <c r="BW574" s="10">
        <v>160</v>
      </c>
      <c r="BX574" s="10">
        <v>159.5</v>
      </c>
      <c r="BY574" s="10">
        <v>139</v>
      </c>
      <c r="BZ574" s="10">
        <v>148</v>
      </c>
      <c r="CA574" s="10">
        <v>119</v>
      </c>
      <c r="CB574" s="10">
        <v>73</v>
      </c>
      <c r="CC574" s="10">
        <v>102</v>
      </c>
      <c r="CD574" s="10">
        <v>13.8</v>
      </c>
      <c r="CE574" s="10">
        <v>1901</v>
      </c>
      <c r="CF574" s="10">
        <v>0.74</v>
      </c>
      <c r="CG574" s="10">
        <v>1404</v>
      </c>
      <c r="CH574" s="10">
        <v>207</v>
      </c>
      <c r="CI574" s="10">
        <v>91</v>
      </c>
      <c r="CJ574" s="10">
        <v>31</v>
      </c>
      <c r="CK574" s="10">
        <v>130</v>
      </c>
      <c r="CL574" s="10">
        <v>5</v>
      </c>
      <c r="CM574" s="10">
        <v>77</v>
      </c>
      <c r="CN574" s="10">
        <v>0.14599999999999999</v>
      </c>
      <c r="CO574" s="10">
        <v>84</v>
      </c>
      <c r="CP574" s="10">
        <v>32</v>
      </c>
      <c r="CQ574" s="10">
        <v>45</v>
      </c>
      <c r="CR574" s="10">
        <v>9</v>
      </c>
      <c r="CS574" s="10">
        <v>11.1</v>
      </c>
      <c r="CT574" s="9" t="s">
        <v>349</v>
      </c>
      <c r="CU574" s="10"/>
      <c r="CV574" s="10"/>
      <c r="CW574" s="10"/>
      <c r="CX574" t="str">
        <f>INDEX('Data_Price '!AG$2:AG$1266,MATCH(Data!$DN574,'Data_Price '!$AT$2:$AT$1266,0))</f>
        <v>Salomon E S/RACE MT + Z12 GW F80 Blue/Yellow / 160cm</v>
      </c>
      <c r="CY574" t="str">
        <f>INDEX('Data_Price '!AH$2:AH$1266,MATCH(Data!$DN574,'Data_Price '!$AT$2:$AT$1266,0))</f>
        <v>Sundance Ski and Board Shop</v>
      </c>
      <c r="CZ574">
        <f>INDEX('Data_Price '!AI$2:AI$1266,MATCH(Data!$DN574,'Data_Price '!$AT$2:$AT$1266,0))</f>
        <v>400.85</v>
      </c>
      <c r="DA574" t="str">
        <f>INDEX('Data_Price '!AJ$2:AJ$1266,MATCH(Data!$DN574,'Data_Price '!$AT$2:$AT$1266,0))</f>
        <v>https://tinyurl.com/ychekgbk</v>
      </c>
      <c r="DB574" t="str">
        <f>INDEX('Data_Price '!AK$2:AK$1266,MATCH(Data!$DN574,'Data_Price '!$AT$2:$AT$1266,0))</f>
        <v xml:space="preserve"> 2021 Salomon Stance 88 Demo Ski with Bindings Size 154 (Option 212150)</v>
      </c>
      <c r="DC574" t="str">
        <f>INDEX('Data_Price '!AL$2:AL$1266,MATCH(Data!$DN574,'Data_Price '!$AT$2:$AT$1266,0))</f>
        <v>SidelineSwap</v>
      </c>
      <c r="DD574">
        <f>INDEX('Data_Price '!AM$2:AM$1266,MATCH(Data!$DN574,'Data_Price '!$AT$2:$AT$1266,0))</f>
        <v>499.99</v>
      </c>
      <c r="DE574" t="str">
        <f>INDEX('Data_Price '!AN$2:AN$1266,MATCH(Data!$DN574,'Data_Price '!$AT$2:$AT$1266,0))</f>
        <v>https://tinyurl.com/y8ywyrer</v>
      </c>
      <c r="DF574">
        <f>INDEX('Data_Price '!AO$2:AO$1266,MATCH(Data!$DN574,'Data_Price '!$AT$2:$AT$1266,0))</f>
        <v>0</v>
      </c>
      <c r="DG574">
        <f>INDEX('Data_Price '!AP$2:AP$1266,MATCH(Data!$DN574,'Data_Price '!$AT$2:$AT$1266,0))</f>
        <v>0</v>
      </c>
      <c r="DH574">
        <f>INDEX('Data_Price '!AQ$2:AQ$1266,MATCH(Data!$DN574,'Data_Price '!$AT$2:$AT$1266,0))</f>
        <v>0</v>
      </c>
      <c r="DI574">
        <f>INDEX('Data_Price '!AR$2:AR$1266,MATCH(Data!$DN574,'Data_Price '!$AT$2:$AT$1266,0))</f>
        <v>0</v>
      </c>
      <c r="DJ574" s="89" t="str">
        <f t="shared" si="328"/>
        <v>https://tinyurl.com/ychekgbk</v>
      </c>
      <c r="DK574" s="89" t="str">
        <f t="shared" si="329"/>
        <v>https://tinyurl.com/y8ywyrer</v>
      </c>
      <c r="DL574" s="89">
        <f t="shared" si="330"/>
        <v>0</v>
      </c>
      <c r="DM574" s="219" t="str">
        <f t="shared" si="331"/>
        <v>S/Max 8</v>
      </c>
      <c r="DN574" s="89" t="str">
        <f t="shared" si="332"/>
        <v xml:space="preserve"> SalomonS/Max 8160 Unisex</v>
      </c>
      <c r="DO574" s="221"/>
    </row>
    <row r="575" spans="2:119" ht="15.6" customHeight="1">
      <c r="B575" s="219" t="b">
        <f t="array" ref="B575">IF(OR(ISERROR(K575:P575)),FALSE,TRUE)</f>
        <v>1</v>
      </c>
      <c r="C575" s="43" t="b">
        <f>OR(BR575=Driver!$G$50,Data!BR1096=Driver!$H$50)</f>
        <v>1</v>
      </c>
      <c r="D575" s="43" t="b">
        <f>OR(BV575=Driver!$G$51,BV575=Driver!$H$51)</f>
        <v>1</v>
      </c>
      <c r="E575" s="43" t="b">
        <f>AND(BX575&gt;Driver!$F$54,BX575&lt;Driver!$G$54)</f>
        <v>1</v>
      </c>
      <c r="F575" s="43" t="b">
        <f>CL575&gt;Driver!$F$56</f>
        <v>1</v>
      </c>
      <c r="G575" s="43" t="b">
        <f>AND(CB575&gt;Driver!$F$55,CB575&lt;Driver!$G$55)</f>
        <v>0</v>
      </c>
      <c r="H575" s="43" t="b">
        <f t="shared" si="296"/>
        <v>0</v>
      </c>
      <c r="I575" s="43">
        <f t="shared" si="297"/>
        <v>0</v>
      </c>
      <c r="J575" s="43" t="b">
        <f t="array" ref="J575">NOT(OR(($H$9:$H$1273=TRUE)*($I$9:$I$1273&gt;0)*($BT$9:$BT$1273=BT575)*($K$9:$K$1273&gt;K575)))</f>
        <v>1</v>
      </c>
      <c r="K575" s="72">
        <f t="shared" si="298"/>
        <v>0.75385207763718343</v>
      </c>
      <c r="L575" s="72">
        <f t="shared" si="299"/>
        <v>0.81394592791816978</v>
      </c>
      <c r="M575" s="72">
        <f t="shared" si="300"/>
        <v>0.69375822735619708</v>
      </c>
      <c r="N575" s="72">
        <f t="shared" si="301"/>
        <v>0.5411995578065476</v>
      </c>
      <c r="O575" s="72">
        <f t="shared" si="302"/>
        <v>0.61044721824731718</v>
      </c>
      <c r="P575" s="72">
        <f t="shared" si="303"/>
        <v>0.92962790601472656</v>
      </c>
      <c r="Q575" s="72"/>
      <c r="R575" s="72"/>
      <c r="S575" s="72">
        <f t="shared" si="304"/>
        <v>0.49163058130503812</v>
      </c>
      <c r="T575" s="72">
        <f t="shared" si="305"/>
        <v>0.91834969858347515</v>
      </c>
      <c r="U575" s="72">
        <f t="shared" si="306"/>
        <v>0.51</v>
      </c>
      <c r="V575" s="72">
        <f t="shared" si="307"/>
        <v>0.4908448876864816</v>
      </c>
      <c r="W575" s="72">
        <f t="shared" si="308"/>
        <v>0.75679769203029212</v>
      </c>
      <c r="X575" s="72">
        <f t="shared" si="309"/>
        <v>0.18605407208183025</v>
      </c>
      <c r="Y575" s="72">
        <f t="shared" si="310"/>
        <v>0.30624177264380287</v>
      </c>
      <c r="Z575" s="72">
        <f t="shared" si="311"/>
        <v>0.4588004421934524</v>
      </c>
      <c r="AA575" s="72">
        <f t="shared" si="312"/>
        <v>0.38955278175268282</v>
      </c>
      <c r="AB575" s="72">
        <f t="shared" si="313"/>
        <v>7.0372093985273443E-2</v>
      </c>
      <c r="AC575" s="72"/>
      <c r="AD575" s="72"/>
      <c r="AE575" s="72">
        <f t="shared" si="314"/>
        <v>0.50836941869496188</v>
      </c>
      <c r="AF575" s="72">
        <f t="shared" si="315"/>
        <v>8.1650301416524851E-2</v>
      </c>
      <c r="AG575" s="72">
        <f t="shared" si="316"/>
        <v>0.49</v>
      </c>
      <c r="AH575" s="72">
        <f t="shared" si="317"/>
        <v>0.5091551123135184</v>
      </c>
      <c r="AI575" s="72">
        <f t="shared" si="318"/>
        <v>0.2432023079697079</v>
      </c>
      <c r="AJ575" s="72">
        <f>(AV575-Driver!$K$179)/(Driver!$L$179-Driver!$K$179)</f>
        <v>6.8165337200870174E-2</v>
      </c>
      <c r="AK575" s="72">
        <f>(AW575-Driver!$K$180)/(Driver!$L$180-Driver!$K$180)</f>
        <v>0.34708314788333305</v>
      </c>
      <c r="AL575" s="72">
        <f>(AX575-Driver!$K$181)/(Driver!$L$181-Driver!$K$181)</f>
        <v>0.56048820590653259</v>
      </c>
      <c r="AM575" s="72">
        <f>(AY575-Driver!$K$182)/(Driver!$L$182-Driver!$K$182)</f>
        <v>5.7832239344363538E-2</v>
      </c>
      <c r="AN575" s="72">
        <f>(AZ575-Driver!$K$183)/(Driver!$L$183-Driver!$K$183)</f>
        <v>0.32459150326797387</v>
      </c>
      <c r="AO575" s="72"/>
      <c r="AP575" s="72"/>
      <c r="AQ575" s="72">
        <f>(BC575-Driver!$K$188)/(Driver!$L$188-Driver!$K$188)</f>
        <v>0.1116305813050381</v>
      </c>
      <c r="AR575" s="72">
        <f>MIN((BD575-Driver!$K$189)/(Driver!$L$189-Driver!$K$189),100%)</f>
        <v>0.6316503014165249</v>
      </c>
      <c r="AS575" s="72">
        <f>(BE575-Driver!$K$190)/(Driver!$L$190-Driver!$K$190)</f>
        <v>1</v>
      </c>
      <c r="AT575" s="72">
        <f>(BF575-Driver!$K$191)/(Driver!$L$191-Driver!$K$191)</f>
        <v>8.4488768648161917E-4</v>
      </c>
      <c r="AU575" s="72">
        <f>(BG575-Driver!$K$192)/(Driver!$L$192-Driver!$K$192)</f>
        <v>6.7976920302921006E-3</v>
      </c>
      <c r="AV575" s="70">
        <f t="shared" si="319"/>
        <v>1.4346764346764345</v>
      </c>
      <c r="AW575" s="70">
        <f t="shared" si="320"/>
        <v>35.698220852241867</v>
      </c>
      <c r="AX575" s="70">
        <f t="shared" si="321"/>
        <v>6.0443938531587937</v>
      </c>
      <c r="AY575" s="70">
        <f>IFERROR(Driver!$K$19/Data!BH575/Data!BI575*Data!BK575*Data!BL575,"")</f>
        <v>7.0803916432289699E-2</v>
      </c>
      <c r="AZ575" s="70">
        <f t="shared" si="322"/>
        <v>29.583023082650783</v>
      </c>
      <c r="BA575" s="70"/>
      <c r="BB575" s="70"/>
      <c r="BC575" s="70">
        <f t="shared" si="323"/>
        <v>57.903558566134294</v>
      </c>
      <c r="BD575" s="70">
        <f t="shared" si="324"/>
        <v>57.620755341353693</v>
      </c>
      <c r="BE575" s="70">
        <f t="shared" si="325"/>
        <v>1</v>
      </c>
      <c r="BF575" s="70">
        <f t="shared" si="326"/>
        <v>9.5424128516165732E-2</v>
      </c>
      <c r="BG575" s="70">
        <f t="shared" si="327"/>
        <v>2.5740398485394875E-2</v>
      </c>
      <c r="BH575" s="67">
        <f>MAX((CE575-Driver!$F$200)/(Driver!$G$200-Driver!$F$200)*$BI$1,1)</f>
        <v>6.0443938531587937</v>
      </c>
      <c r="BI575" s="67">
        <f>MAX($BI$1*(BY575-Driver!$F$201)/(Driver!$G$201-Driver!$F$201),1)</f>
        <v>8.6708860759493671</v>
      </c>
      <c r="BJ575" s="67">
        <f>(CB575-Driver!$F$206)/(Driver!$G$206-Driver!$F$206)*$BI$1</f>
        <v>1.4285714285714284</v>
      </c>
      <c r="BK575" s="67">
        <f>(CD575-Driver!$F$203)/(Driver!$G$203-Driver!$F$203)*$BI$1</f>
        <v>2.3394495412844036</v>
      </c>
      <c r="BL575" s="67">
        <f>MAX((CR575-Driver!$F$202)/(Driver!$G$202-Driver!$F$202)*$BI$1,1)</f>
        <v>7.931034482758621</v>
      </c>
      <c r="BM575" s="67">
        <f>MAX((CH575-Driver!$F$204)/(Driver!$G$204-Driver!$F$204)*$BI$1,1)</f>
        <v>4.017094017094017</v>
      </c>
      <c r="BN575" s="67">
        <f>(CI575-Driver!$F$205)/(Driver!$G$205-Driver!$F$205)*$BI$1</f>
        <v>3.4117647058823533</v>
      </c>
      <c r="BO575" s="67">
        <f>(CK575-Driver!$F$207)/(Driver!$G$207-Driver!$F$207)*$BI$1</f>
        <v>0.20682523267838676</v>
      </c>
      <c r="BP575" s="67">
        <f>(CM575-Driver!$F$208)/(Driver!$G$208-Driver!$F$208)*$BI$1</f>
        <v>0.75555555555555554</v>
      </c>
      <c r="BQ575" s="67">
        <f>(CL575-Driver!$F$209)/(Driver!$G$209-Driver!$F$209)*$BI$1</f>
        <v>0.625</v>
      </c>
      <c r="BR575" s="28" t="s">
        <v>155</v>
      </c>
      <c r="BS575" s="8" t="s">
        <v>174</v>
      </c>
      <c r="BT575" s="9" t="s">
        <v>672</v>
      </c>
      <c r="BU575" s="10">
        <v>165</v>
      </c>
      <c r="BV575" s="9" t="s">
        <v>158</v>
      </c>
      <c r="BW575" s="10">
        <v>165</v>
      </c>
      <c r="BX575" s="10">
        <v>164.4</v>
      </c>
      <c r="BY575" s="10">
        <v>145</v>
      </c>
      <c r="BZ575" s="10">
        <v>152</v>
      </c>
      <c r="CA575" s="10">
        <v>120</v>
      </c>
      <c r="CB575" s="10">
        <v>73</v>
      </c>
      <c r="CC575" s="10">
        <v>103</v>
      </c>
      <c r="CD575" s="10">
        <v>14.5</v>
      </c>
      <c r="CE575" s="10">
        <v>1962</v>
      </c>
      <c r="CF575" s="10">
        <v>0.74</v>
      </c>
      <c r="CG575" s="10">
        <v>1451</v>
      </c>
      <c r="CH575" s="10">
        <v>195</v>
      </c>
      <c r="CI575" s="10">
        <v>91</v>
      </c>
      <c r="CJ575" s="10">
        <v>32</v>
      </c>
      <c r="CK575" s="10">
        <v>130</v>
      </c>
      <c r="CL575" s="10">
        <v>4</v>
      </c>
      <c r="CM575" s="10">
        <v>68</v>
      </c>
      <c r="CN575" s="10">
        <v>0.13800000000000001</v>
      </c>
      <c r="CO575" s="10">
        <v>86</v>
      </c>
      <c r="CP575" s="10">
        <v>35</v>
      </c>
      <c r="CQ575" s="10">
        <v>43</v>
      </c>
      <c r="CR575" s="10">
        <v>12</v>
      </c>
      <c r="CS575" s="10">
        <v>11.1</v>
      </c>
      <c r="CT575" s="9" t="s">
        <v>349</v>
      </c>
      <c r="CU575" s="10"/>
      <c r="CV575" s="10"/>
      <c r="CW575" s="10"/>
      <c r="CX575" t="str">
        <f>INDEX('Data_Price '!AG$2:AG$1266,MATCH(Data!$DN575,'Data_Price '!$AT$2:$AT$1266,0))</f>
        <v>2022 Salomon S/MAX 8 Skis + M11 GW Bindings</v>
      </c>
      <c r="CY575" t="str">
        <f>INDEX('Data_Price '!AH$2:AH$1266,MATCH(Data!$DN575,'Data_Price '!$AT$2:$AT$1266,0))</f>
        <v>Coast Water Sport</v>
      </c>
      <c r="CZ575">
        <f>INDEX('Data_Price '!AI$2:AI$1266,MATCH(Data!$DN575,'Data_Price '!$AT$2:$AT$1266,0))</f>
        <v>382.06</v>
      </c>
      <c r="DA575" t="str">
        <f>INDEX('Data_Price '!AJ$2:AJ$1266,MATCH(Data!$DN575,'Data_Price '!$AT$2:$AT$1266,0))</f>
        <v>https://tinyurl.com/yav4mn5f</v>
      </c>
      <c r="DB575" t="str">
        <f>INDEX('Data_Price '!AK$2:AK$1266,MATCH(Data!$DN575,'Data_Price '!$AT$2:$AT$1266,0))</f>
        <v>Salomon Ski Set E S/Max 8 + M11 GW L80 Skis - Dark Grey/Yellow/Black</v>
      </c>
      <c r="DC575" t="str">
        <f>INDEX('Data_Price '!AL$2:AL$1266,MATCH(Data!$DN575,'Data_Price '!$AT$2:$AT$1266,0))</f>
        <v>Surfdome US</v>
      </c>
      <c r="DD575">
        <f>INDEX('Data_Price '!AM$2:AM$1266,MATCH(Data!$DN575,'Data_Price '!$AT$2:$AT$1266,0))</f>
        <v>453.95</v>
      </c>
      <c r="DE575" t="str">
        <f>INDEX('Data_Price '!AN$2:AN$1266,MATCH(Data!$DN575,'Data_Price '!$AT$2:$AT$1266,0))</f>
        <v>https://tinyurl.com/ybtx8vjc</v>
      </c>
      <c r="DF575" t="str">
        <f>INDEX('Data_Price '!AO$2:AO$1266,MATCH(Data!$DN575,'Data_Price '!$AT$2:$AT$1266,0))</f>
        <v>Salomon Xdr8.4 W12 165 '19</v>
      </c>
      <c r="DG575" t="str">
        <f>INDEX('Data_Price '!AP$2:AP$1266,MATCH(Data!$DN575,'Data_Price '!$AT$2:$AT$1266,0))</f>
        <v>Play It Again Sports</v>
      </c>
      <c r="DH575">
        <f>INDEX('Data_Price '!AQ$2:AQ$1266,MATCH(Data!$DN575,'Data_Price '!$AT$2:$AT$1266,0))</f>
        <v>349.99</v>
      </c>
      <c r="DI575" t="str">
        <f>INDEX('Data_Price '!AR$2:AR$1266,MATCH(Data!$DN575,'Data_Price '!$AT$2:$AT$1266,0))</f>
        <v>https://tinyurl.com/y8l8m3rl</v>
      </c>
      <c r="DJ575" s="89" t="str">
        <f t="shared" si="328"/>
        <v>https://tinyurl.com/yav4mn5f</v>
      </c>
      <c r="DK575" s="89" t="str">
        <f t="shared" si="329"/>
        <v>https://tinyurl.com/ybtx8vjc</v>
      </c>
      <c r="DL575" s="89" t="str">
        <f t="shared" si="330"/>
        <v>https://tinyurl.com/y8l8m3rl</v>
      </c>
      <c r="DM575" s="219" t="str">
        <f t="shared" si="331"/>
        <v>S/Max 8</v>
      </c>
      <c r="DN575" s="89" t="str">
        <f t="shared" si="332"/>
        <v xml:space="preserve"> SalomonS/Max 8165 Unisex</v>
      </c>
      <c r="DO575" s="221"/>
    </row>
    <row r="576" spans="2:119" ht="15.6" customHeight="1">
      <c r="B576" s="219" t="b">
        <f t="array" ref="B576">IF(OR(ISERROR(K576:P576)),FALSE,TRUE)</f>
        <v>1</v>
      </c>
      <c r="C576" s="43" t="b">
        <f>OR(BR576=Driver!$G$50,Data!BR526=Driver!$H$50)</f>
        <v>1</v>
      </c>
      <c r="D576" s="43" t="b">
        <f>OR(BV576=Driver!$G$51,BV576=Driver!$H$51)</f>
        <v>1</v>
      </c>
      <c r="E576" s="43" t="b">
        <f>AND(BX576&gt;Driver!$F$54,BX576&lt;Driver!$G$54)</f>
        <v>0</v>
      </c>
      <c r="F576" s="43" t="b">
        <f>CL576&gt;Driver!$F$56</f>
        <v>1</v>
      </c>
      <c r="G576" s="43" t="b">
        <f>AND(CB576&gt;Driver!$F$55,CB576&lt;Driver!$G$55)</f>
        <v>0</v>
      </c>
      <c r="H576" s="43" t="b">
        <f t="shared" si="296"/>
        <v>0</v>
      </c>
      <c r="I576" s="43">
        <f t="shared" si="297"/>
        <v>0</v>
      </c>
      <c r="J576" s="43" t="b">
        <f t="array" ref="J576">NOT(OR(($H$9:$H$1273=TRUE)*($I$9:$I$1273&gt;0)*($BT$9:$BT$1273=BT576)*($K$9:$K$1273&gt;K576)))</f>
        <v>1</v>
      </c>
      <c r="K576" s="72">
        <f t="shared" si="298"/>
        <v>0.81443587027660258</v>
      </c>
      <c r="L576" s="72">
        <f t="shared" si="299"/>
        <v>0.86664111766919705</v>
      </c>
      <c r="M576" s="72">
        <f t="shared" si="300"/>
        <v>0.762230622884008</v>
      </c>
      <c r="N576" s="72">
        <f t="shared" si="301"/>
        <v>0.66514820765161176</v>
      </c>
      <c r="O576" s="72">
        <f t="shared" si="302"/>
        <v>0.65615522714585772</v>
      </c>
      <c r="P576" s="72">
        <f t="shared" si="303"/>
        <v>0.96538843385455442</v>
      </c>
      <c r="Q576" s="72"/>
      <c r="R576" s="72"/>
      <c r="S576" s="72">
        <f t="shared" si="304"/>
        <v>0.44953893040685278</v>
      </c>
      <c r="T576" s="72">
        <f t="shared" si="305"/>
        <v>0.55132497840387595</v>
      </c>
      <c r="U576" s="72">
        <f t="shared" si="306"/>
        <v>0.55387330024253267</v>
      </c>
      <c r="V576" s="72">
        <f t="shared" si="307"/>
        <v>0.52594695360376975</v>
      </c>
      <c r="W576" s="72">
        <f t="shared" si="308"/>
        <v>0.8414203233256351</v>
      </c>
      <c r="X576" s="72">
        <f t="shared" si="309"/>
        <v>0.13335888233080292</v>
      </c>
      <c r="Y576" s="72">
        <f t="shared" si="310"/>
        <v>0.23776937711599203</v>
      </c>
      <c r="Z576" s="72">
        <f t="shared" si="311"/>
        <v>0.33485179234838824</v>
      </c>
      <c r="AA576" s="72">
        <f t="shared" si="312"/>
        <v>0.34384477285414228</v>
      </c>
      <c r="AB576" s="72">
        <f t="shared" si="313"/>
        <v>3.4611566145445583E-2</v>
      </c>
      <c r="AC576" s="72"/>
      <c r="AD576" s="72"/>
      <c r="AE576" s="72">
        <f t="shared" si="314"/>
        <v>0.55046106959314722</v>
      </c>
      <c r="AF576" s="72">
        <f t="shared" si="315"/>
        <v>0.44867502159612405</v>
      </c>
      <c r="AG576" s="72">
        <f t="shared" si="316"/>
        <v>0.44612669975746727</v>
      </c>
      <c r="AH576" s="72">
        <f t="shared" si="317"/>
        <v>0.47405304639623025</v>
      </c>
      <c r="AI576" s="72">
        <f t="shared" si="318"/>
        <v>0.1585796766743649</v>
      </c>
      <c r="AJ576" s="72">
        <f>(AV576-Driver!$K$179)/(Driver!$L$179-Driver!$K$179)</f>
        <v>0.1208605269518975</v>
      </c>
      <c r="AK576" s="72">
        <f>(AW576-Driver!$K$180)/(Driver!$L$180-Driver!$K$180)</f>
        <v>0.23803499608521111</v>
      </c>
      <c r="AL576" s="72">
        <f>(AX576-Driver!$K$181)/(Driver!$L$181-Driver!$K$181)</f>
        <v>0.43653955606146844</v>
      </c>
      <c r="AM576" s="72">
        <f>(AY576-Driver!$K$182)/(Driver!$L$182-Driver!$K$182)</f>
        <v>0.1035402482429041</v>
      </c>
      <c r="AN576" s="72">
        <f>(AZ576-Driver!$K$183)/(Driver!$L$183-Driver!$K$183)</f>
        <v>0.21960784313725484</v>
      </c>
      <c r="AO576" s="72"/>
      <c r="AP576" s="72"/>
      <c r="AQ576" s="72">
        <f>(BC576-Driver!$K$188)/(Driver!$L$188-Driver!$K$188)</f>
        <v>6.9538930406852745E-2</v>
      </c>
      <c r="AR576" s="72">
        <f>MIN((BD576-Driver!$K$189)/(Driver!$L$189-Driver!$K$189),100%)</f>
        <v>0.10132497840387601</v>
      </c>
      <c r="AS576" s="72">
        <f>(BE576-Driver!$K$190)/(Driver!$L$190-Driver!$K$190)</f>
        <v>6.3873300242532738E-2</v>
      </c>
      <c r="AT576" s="72">
        <f>(BF576-Driver!$K$191)/(Driver!$L$191-Driver!$K$191)</f>
        <v>3.5946953603769753E-2</v>
      </c>
      <c r="AU576" s="72">
        <f>(BG576-Driver!$K$192)/(Driver!$L$192-Driver!$K$192)</f>
        <v>9.1420323325635086E-2</v>
      </c>
      <c r="AV576" s="70">
        <f t="shared" si="319"/>
        <v>2.5437525437525439</v>
      </c>
      <c r="AW576" s="70">
        <f t="shared" si="320"/>
        <v>25.070512194593359</v>
      </c>
      <c r="AX576" s="70">
        <f t="shared" si="321"/>
        <v>4.9288560045532162</v>
      </c>
      <c r="AY576" s="70">
        <f>IFERROR(Driver!$K$19/Data!BH576/Data!BI576*Data!BK576*Data!BL576,"")</f>
        <v>0.12676415727767618</v>
      </c>
      <c r="AZ576" s="70">
        <f t="shared" si="322"/>
        <v>20.014892032762468</v>
      </c>
      <c r="BA576" s="70"/>
      <c r="BB576" s="70"/>
      <c r="BC576" s="70">
        <f t="shared" si="323"/>
        <v>36.070326628835794</v>
      </c>
      <c r="BD576" s="70">
        <f t="shared" si="324"/>
        <v>10.687903935602799</v>
      </c>
      <c r="BE576" s="70">
        <f t="shared" si="325"/>
        <v>6.4040294709214657E-2</v>
      </c>
      <c r="BF576" s="70">
        <f t="shared" si="326"/>
        <v>4.0599558679038665</v>
      </c>
      <c r="BG576" s="70">
        <f t="shared" si="327"/>
        <v>0.34617566397228633</v>
      </c>
      <c r="BH576" s="67">
        <f>MAX((CE576-Driver!$F$200)/(Driver!$G$200-Driver!$F$200)*$BI$1,1)</f>
        <v>4.9288560045532162</v>
      </c>
      <c r="BI576" s="67">
        <f>MAX($BI$1*(BY576-Driver!$F$201)/(Driver!$G$201-Driver!$F$201),1)</f>
        <v>7.0886075949367084</v>
      </c>
      <c r="BJ576" s="67">
        <f>(CB576-Driver!$F$206)/(Driver!$G$206-Driver!$F$206)*$BI$1</f>
        <v>3.1746031746031744</v>
      </c>
      <c r="BK576" s="67">
        <f>(CD576-Driver!$F$203)/(Driver!$G$203-Driver!$F$203)*$BI$1</f>
        <v>3.2110091743119265</v>
      </c>
      <c r="BL576" s="67">
        <f>MAX((CR576-Driver!$F$202)/(Driver!$G$202-Driver!$F$202)*$BI$1,1)</f>
        <v>6.8965517241379315</v>
      </c>
      <c r="BM576" s="67">
        <f>MAX((CH576-Driver!$F$204)/(Driver!$G$204-Driver!$F$204)*$BI$1,1)</f>
        <v>3.2051282051282053</v>
      </c>
      <c r="BN576" s="67">
        <f>(CI576-Driver!$F$205)/(Driver!$G$205-Driver!$F$205)*$BI$1</f>
        <v>2.8235294117647056</v>
      </c>
      <c r="BO576" s="67">
        <f>(CK576-Driver!$F$207)/(Driver!$G$207-Driver!$F$207)*$BI$1</f>
        <v>1.768355739400207</v>
      </c>
      <c r="BP576" s="67">
        <f>(CM576-Driver!$F$208)/(Driver!$G$208-Driver!$F$208)*$BI$1</f>
        <v>2.322222222222222</v>
      </c>
      <c r="BQ576" s="67">
        <f>(CL576-Driver!$F$209)/(Driver!$G$209-Driver!$F$209)*$BI$1</f>
        <v>5.46875</v>
      </c>
      <c r="BR576" s="28" t="s">
        <v>155</v>
      </c>
      <c r="BS576" s="8" t="s">
        <v>205</v>
      </c>
      <c r="BT576" s="9" t="s">
        <v>673</v>
      </c>
      <c r="BU576" s="10">
        <v>171</v>
      </c>
      <c r="BV576" s="9" t="s">
        <v>158</v>
      </c>
      <c r="BW576" s="10">
        <v>171</v>
      </c>
      <c r="BX576" s="10">
        <v>169.5</v>
      </c>
      <c r="BY576" s="10">
        <v>120</v>
      </c>
      <c r="BZ576" s="10">
        <v>143</v>
      </c>
      <c r="CA576" s="10">
        <v>116</v>
      </c>
      <c r="CB576" s="10">
        <v>84</v>
      </c>
      <c r="CC576" s="10">
        <v>108</v>
      </c>
      <c r="CD576" s="10">
        <v>16.399999999999999</v>
      </c>
      <c r="CE576" s="10">
        <v>1766</v>
      </c>
      <c r="CF576" s="10">
        <v>0.91</v>
      </c>
      <c r="CG576" s="10">
        <v>1614</v>
      </c>
      <c r="CH576" s="10">
        <v>176</v>
      </c>
      <c r="CI576" s="10">
        <v>81</v>
      </c>
      <c r="CJ576" s="10">
        <v>47</v>
      </c>
      <c r="CK576" s="10">
        <v>281</v>
      </c>
      <c r="CL576" s="10">
        <v>35</v>
      </c>
      <c r="CM576" s="10">
        <v>209</v>
      </c>
      <c r="CN576" s="10">
        <v>0.745</v>
      </c>
      <c r="CO576" s="10">
        <v>145</v>
      </c>
      <c r="CP576" s="10">
        <v>118</v>
      </c>
      <c r="CQ576" s="10">
        <v>136</v>
      </c>
      <c r="CR576" s="10">
        <v>9</v>
      </c>
      <c r="CS576" s="10">
        <v>6.9</v>
      </c>
      <c r="CT576" s="9" t="s">
        <v>188</v>
      </c>
      <c r="CU576" s="10"/>
      <c r="CV576" s="10"/>
      <c r="CW576" s="10"/>
      <c r="CX576" t="str">
        <f>INDEX('Data_Price '!AG$2:AG$1266,MATCH(Data!$DN576,'Data_Price '!$AT$2:$AT$1266,0))</f>
        <v>19-20 Faction Prodigy 2.0  Men's Demo Skis W/binding Size 171cm</v>
      </c>
      <c r="CY576" t="str">
        <f>INDEX('Data_Price '!AH$2:AH$1266,MATCH(Data!$DN576,'Data_Price '!$AT$2:$AT$1266,0))</f>
        <v>eBay - demo-skis</v>
      </c>
      <c r="CZ576">
        <f>INDEX('Data_Price '!AI$2:AI$1266,MATCH(Data!$DN576,'Data_Price '!$AT$2:$AT$1266,0))</f>
        <v>499</v>
      </c>
      <c r="DA576" t="str">
        <f>INDEX('Data_Price '!AJ$2:AJ$1266,MATCH(Data!$DN576,'Data_Price '!$AT$2:$AT$1266,0))</f>
        <v>https://tinyurl.com/yd6koxon</v>
      </c>
      <c r="DB576" t="str">
        <f>INDEX('Data_Price '!AK$2:AK$1266,MATCH(Data!$DN576,'Data_Price '!$AT$2:$AT$1266,0))</f>
        <v>Faction Prodigy 2.0x Women's Skis 171cm 2022</v>
      </c>
      <c r="DC576" t="str">
        <f>INDEX('Data_Price '!AL$2:AL$1266,MATCH(Data!$DN576,'Data_Price '!$AT$2:$AT$1266,0))</f>
        <v>Powder7 Ski Shop</v>
      </c>
      <c r="DD576">
        <f>INDEX('Data_Price '!AM$2:AM$1266,MATCH(Data!$DN576,'Data_Price '!$AT$2:$AT$1266,0))</f>
        <v>539</v>
      </c>
      <c r="DE576" t="str">
        <f>INDEX('Data_Price '!AN$2:AN$1266,MATCH(Data!$DN576,'Data_Price '!$AT$2:$AT$1266,0))</f>
        <v>https://tinyurl.com/y838gcm9</v>
      </c>
      <c r="DF576" t="str">
        <f>INDEX('Data_Price '!AO$2:AO$1266,MATCH(Data!$DN576,'Data_Price '!$AT$2:$AT$1266,0))</f>
        <v>Faction Prodigy 2.0x Women's Skis 171cm 2022</v>
      </c>
      <c r="DG576" t="str">
        <f>INDEX('Data_Price '!AP$2:AP$1266,MATCH(Data!$DN576,'Data_Price '!$AT$2:$AT$1266,0))</f>
        <v>Next Adventure</v>
      </c>
      <c r="DH576">
        <f>INDEX('Data_Price '!AQ$2:AQ$1266,MATCH(Data!$DN576,'Data_Price '!$AT$2:$AT$1266,0))</f>
        <v>559.20000000000005</v>
      </c>
      <c r="DI576" t="str">
        <f>INDEX('Data_Price '!AR$2:AR$1266,MATCH(Data!$DN576,'Data_Price '!$AT$2:$AT$1266,0))</f>
        <v>https://tinyurl.com/y77e3m3m</v>
      </c>
      <c r="DJ576" s="89" t="str">
        <f t="shared" si="328"/>
        <v>https://tinyurl.com/yd6koxon</v>
      </c>
      <c r="DK576" s="89" t="str">
        <f t="shared" si="329"/>
        <v>https://tinyurl.com/y838gcm9</v>
      </c>
      <c r="DL576" s="89" t="str">
        <f t="shared" si="330"/>
        <v>https://tinyurl.com/y77e3m3m</v>
      </c>
      <c r="DM576" s="219" t="str">
        <f t="shared" si="331"/>
        <v>Prodigy 0.0</v>
      </c>
      <c r="DN576" s="89" t="str">
        <f t="shared" si="332"/>
        <v xml:space="preserve"> FactionProdigy 0.0171 Unisex</v>
      </c>
      <c r="DO576" s="221"/>
    </row>
    <row r="577" spans="2:119" ht="15.6" customHeight="1">
      <c r="B577" s="219" t="b">
        <f t="array" ref="B577">IF(OR(ISERROR(K577:P577)),FALSE,TRUE)</f>
        <v>1</v>
      </c>
      <c r="C577" s="43" t="b">
        <f>OR(BR577=Driver!$G$50,Data!BR1055=Driver!$H$50)</f>
        <v>1</v>
      </c>
      <c r="D577" s="43" t="b">
        <f>OR(BV577=Driver!$G$51,BV577=Driver!$H$51)</f>
        <v>1</v>
      </c>
      <c r="E577" s="43" t="b">
        <f>AND(BX577&gt;Driver!$F$54,BX577&lt;Driver!$G$54)</f>
        <v>0</v>
      </c>
      <c r="F577" s="43" t="b">
        <f>CL577&gt;Driver!$F$56</f>
        <v>1</v>
      </c>
      <c r="G577" s="43" t="b">
        <f>AND(CB577&gt;Driver!$F$55,CB577&lt;Driver!$G$55)</f>
        <v>0</v>
      </c>
      <c r="H577" s="43" t="b">
        <f t="shared" si="296"/>
        <v>0</v>
      </c>
      <c r="I577" s="43">
        <f t="shared" si="297"/>
        <v>0</v>
      </c>
      <c r="J577" s="43" t="b">
        <f t="array" ref="J577">NOT(OR(($H$9:$H$1273=TRUE)*($I$9:$I$1273&gt;0)*($BT$9:$BT$1273=BT577)*($K$9:$K$1273&gt;K577)))</f>
        <v>1</v>
      </c>
      <c r="K577" s="72">
        <f t="shared" si="298"/>
        <v>0.80176446630666309</v>
      </c>
      <c r="L577" s="72">
        <f t="shared" si="299"/>
        <v>0.81829690688843804</v>
      </c>
      <c r="M577" s="72">
        <f t="shared" si="300"/>
        <v>0.78523202572488804</v>
      </c>
      <c r="N577" s="72">
        <f t="shared" si="301"/>
        <v>0.74103513612818173</v>
      </c>
      <c r="O577" s="72">
        <f t="shared" si="302"/>
        <v>0.66332479477362738</v>
      </c>
      <c r="P577" s="72">
        <f t="shared" si="303"/>
        <v>0.95133614627285512</v>
      </c>
      <c r="Q577" s="72"/>
      <c r="R577" s="72"/>
      <c r="S577" s="72">
        <f t="shared" si="304"/>
        <v>0.47336512550715337</v>
      </c>
      <c r="T577" s="72">
        <f t="shared" si="305"/>
        <v>0.72595568546155886</v>
      </c>
      <c r="U577" s="72">
        <f t="shared" si="306"/>
        <v>0.51</v>
      </c>
      <c r="V577" s="72">
        <f t="shared" si="307"/>
        <v>0.49101446021510642</v>
      </c>
      <c r="W577" s="72">
        <f t="shared" si="308"/>
        <v>0.76263404825737269</v>
      </c>
      <c r="X577" s="72">
        <f t="shared" si="309"/>
        <v>0.18170309311156194</v>
      </c>
      <c r="Y577" s="72">
        <f t="shared" si="310"/>
        <v>0.21476797427511193</v>
      </c>
      <c r="Z577" s="72">
        <f t="shared" si="311"/>
        <v>0.25896486387181827</v>
      </c>
      <c r="AA577" s="72">
        <f t="shared" si="312"/>
        <v>0.33667520522637262</v>
      </c>
      <c r="AB577" s="72">
        <f t="shared" si="313"/>
        <v>4.8663853727144879E-2</v>
      </c>
      <c r="AC577" s="72"/>
      <c r="AD577" s="72"/>
      <c r="AE577" s="72">
        <f t="shared" si="314"/>
        <v>0.52663487449284663</v>
      </c>
      <c r="AF577" s="72">
        <f t="shared" si="315"/>
        <v>0.27404431453844114</v>
      </c>
      <c r="AG577" s="72">
        <f t="shared" si="316"/>
        <v>0.49</v>
      </c>
      <c r="AH577" s="72">
        <f t="shared" si="317"/>
        <v>0.50898553978489358</v>
      </c>
      <c r="AI577" s="72">
        <f t="shared" si="318"/>
        <v>0.23736595174262734</v>
      </c>
      <c r="AJ577" s="72">
        <f>(AV577-Driver!$K$179)/(Driver!$L$179-Driver!$K$179)</f>
        <v>7.251631617113849E-2</v>
      </c>
      <c r="AK577" s="72">
        <f>(AW577-Driver!$K$180)/(Driver!$L$180-Driver!$K$180)</f>
        <v>0.21797607619007175</v>
      </c>
      <c r="AL577" s="72">
        <f>(AX577-Driver!$K$181)/(Driver!$L$181-Driver!$K$181)</f>
        <v>0.36065262758489847</v>
      </c>
      <c r="AM577" s="72">
        <f>(AY577-Driver!$K$182)/(Driver!$L$182-Driver!$K$182)</f>
        <v>0.11070981587067374</v>
      </c>
      <c r="AN577" s="72">
        <f>(AZ577-Driver!$K$183)/(Driver!$L$183-Driver!$K$183)</f>
        <v>0.20555555555555555</v>
      </c>
      <c r="AO577" s="72"/>
      <c r="AP577" s="72"/>
      <c r="AQ577" s="72">
        <f>(BC577-Driver!$K$188)/(Driver!$L$188-Driver!$K$188)</f>
        <v>9.336512550715341E-2</v>
      </c>
      <c r="AR577" s="72">
        <f>MIN((BD577-Driver!$K$189)/(Driver!$L$189-Driver!$K$189),100%)</f>
        <v>0.27595568546155891</v>
      </c>
      <c r="AS577" s="72">
        <f>(BE577-Driver!$K$190)/(Driver!$L$190-Driver!$K$190)</f>
        <v>1</v>
      </c>
      <c r="AT577" s="72">
        <f>(BF577-Driver!$K$191)/(Driver!$L$191-Driver!$K$191)</f>
        <v>1.0144602151064513E-3</v>
      </c>
      <c r="AU577" s="72">
        <f>(BG577-Driver!$K$192)/(Driver!$L$192-Driver!$K$192)</f>
        <v>1.2634048257372653E-2</v>
      </c>
      <c r="AV577" s="70">
        <f t="shared" si="319"/>
        <v>1.5262515262515262</v>
      </c>
      <c r="AW577" s="70">
        <f t="shared" si="320"/>
        <v>23.11559271070054</v>
      </c>
      <c r="AX577" s="70">
        <f t="shared" si="321"/>
        <v>4.2458736482640864</v>
      </c>
      <c r="AY577" s="70">
        <f>IFERROR(Driver!$K$19/Data!BH577/Data!BI577*Data!BK577*Data!BL577,"")</f>
        <v>0.13554184724657978</v>
      </c>
      <c r="AZ577" s="70">
        <f t="shared" si="322"/>
        <v>18.734177215189874</v>
      </c>
      <c r="BA577" s="70"/>
      <c r="BB577" s="70"/>
      <c r="BC577" s="70">
        <f t="shared" si="323"/>
        <v>48.429139664382859</v>
      </c>
      <c r="BD577" s="70">
        <f t="shared" si="324"/>
        <v>26.14241208290461</v>
      </c>
      <c r="BE577" s="70">
        <f t="shared" si="325"/>
        <v>1</v>
      </c>
      <c r="BF577" s="70">
        <f t="shared" si="326"/>
        <v>0.11457615430990324</v>
      </c>
      <c r="BG577" s="70">
        <f t="shared" si="327"/>
        <v>4.78405663538874E-2</v>
      </c>
      <c r="BH577" s="67">
        <f>MAX((CE577-Driver!$F$200)/(Driver!$G$200-Driver!$F$200)*$BI$1,1)</f>
        <v>4.2458736482640864</v>
      </c>
      <c r="BI577" s="67">
        <f>MAX($BI$1*(BY577-Driver!$F$201)/(Driver!$G$201-Driver!$F$201),1)</f>
        <v>9.3670886075949369</v>
      </c>
      <c r="BJ577" s="67">
        <f>(CB577-Driver!$F$206)/(Driver!$G$206-Driver!$F$206)*$BI$1</f>
        <v>1.5873015873015872</v>
      </c>
      <c r="BK577" s="67">
        <f>(CD577-Driver!$F$203)/(Driver!$G$203-Driver!$F$203)*$BI$1</f>
        <v>3.2568807339449544</v>
      </c>
      <c r="BL577" s="67">
        <f>MAX((CR577-Driver!$F$202)/(Driver!$G$202-Driver!$F$202)*$BI$1,1)</f>
        <v>8.2758620689655178</v>
      </c>
      <c r="BM577" s="67">
        <f>MAX((CH577-Driver!$F$204)/(Driver!$G$204-Driver!$F$204)*$BI$1,1)</f>
        <v>3.8461538461538463</v>
      </c>
      <c r="BN577" s="67">
        <f>(CI577-Driver!$F$205)/(Driver!$G$205-Driver!$F$205)*$BI$1</f>
        <v>2</v>
      </c>
      <c r="BO577" s="67">
        <f>(CK577-Driver!$F$207)/(Driver!$G$207-Driver!$F$207)*$BI$1</f>
        <v>0.32057911065149947</v>
      </c>
      <c r="BP577" s="67">
        <f>(CM577-Driver!$F$208)/(Driver!$G$208-Driver!$F$208)*$BI$1</f>
        <v>0.73333333333333339</v>
      </c>
      <c r="BQ577" s="67">
        <f>(CL577-Driver!$F$209)/(Driver!$G$209-Driver!$F$209)*$BI$1</f>
        <v>0.78125</v>
      </c>
      <c r="BR577" s="28" t="s">
        <v>155</v>
      </c>
      <c r="BS577" s="8" t="s">
        <v>172</v>
      </c>
      <c r="BT577" s="9" t="s">
        <v>674</v>
      </c>
      <c r="BU577" s="10">
        <v>176</v>
      </c>
      <c r="BV577" s="9" t="s">
        <v>158</v>
      </c>
      <c r="BW577" s="10">
        <v>176</v>
      </c>
      <c r="BX577" s="10">
        <v>176.3</v>
      </c>
      <c r="BY577" s="10">
        <v>156</v>
      </c>
      <c r="BZ577" s="10">
        <v>160</v>
      </c>
      <c r="CA577" s="10">
        <v>121</v>
      </c>
      <c r="CB577" s="10">
        <v>74</v>
      </c>
      <c r="CC577" s="10">
        <v>107</v>
      </c>
      <c r="CD577" s="10">
        <v>16.5</v>
      </c>
      <c r="CE577" s="10">
        <v>1646</v>
      </c>
      <c r="CF577" s="10">
        <v>0.95</v>
      </c>
      <c r="CG577" s="10">
        <v>1563</v>
      </c>
      <c r="CH577" s="10">
        <v>191</v>
      </c>
      <c r="CI577" s="10">
        <v>67</v>
      </c>
      <c r="CJ577" s="10">
        <v>35</v>
      </c>
      <c r="CK577" s="10">
        <v>141</v>
      </c>
      <c r="CL577" s="10">
        <v>5</v>
      </c>
      <c r="CM577" s="10">
        <v>66</v>
      </c>
      <c r="CN577" s="10">
        <v>0.14199999999999999</v>
      </c>
      <c r="CO577" s="10">
        <v>81</v>
      </c>
      <c r="CP577" s="10">
        <v>83</v>
      </c>
      <c r="CQ577" s="10">
        <v>60</v>
      </c>
      <c r="CR577" s="10">
        <v>13</v>
      </c>
      <c r="CS577" s="10">
        <v>8.6999999999999993</v>
      </c>
      <c r="CT577" s="9" t="s">
        <v>349</v>
      </c>
      <c r="CU577" s="10"/>
      <c r="CV577" s="10"/>
      <c r="CW577" s="10"/>
      <c r="CX577" t="str">
        <f>INDEX('Data_Price '!AG$2:AG$1266,MATCH(Data!$DN577,'Data_Price '!$AT$2:$AT$1266,0))</f>
        <v>Skis Rossignol Blackops alpineer</v>
      </c>
      <c r="CY577" t="str">
        <f>INDEX('Data_Price '!AH$2:AH$1266,MATCH(Data!$DN577,'Data_Price '!$AT$2:$AT$1266,0))</f>
        <v>Snowcountry.eu</v>
      </c>
      <c r="CZ577">
        <f>INDEX('Data_Price '!AI$2:AI$1266,MATCH(Data!$DN577,'Data_Price '!$AT$2:$AT$1266,0))</f>
        <v>321.8</v>
      </c>
      <c r="DA577" t="str">
        <f>INDEX('Data_Price '!AJ$2:AJ$1266,MATCH(Data!$DN577,'Data_Price '!$AT$2:$AT$1266,0))</f>
        <v>https://tinyurl.com/yb9yz76q</v>
      </c>
      <c r="DB577" t="str">
        <f>INDEX('Data_Price '!AK$2:AK$1266,MATCH(Data!$DN577,'Data_Price '!$AT$2:$AT$1266,0))</f>
        <v>Skis Rossignol Blackops alpineer</v>
      </c>
      <c r="DC577" t="str">
        <f>INDEX('Data_Price '!AL$2:AL$1266,MATCH(Data!$DN577,'Data_Price '!$AT$2:$AT$1266,0))</f>
        <v>! OutdoorXL.com</v>
      </c>
      <c r="DD577">
        <f>INDEX('Data_Price '!AM$2:AM$1266,MATCH(Data!$DN577,'Data_Price '!$AT$2:$AT$1266,0))</f>
        <v>329.95</v>
      </c>
      <c r="DE577" t="str">
        <f>INDEX('Data_Price '!AN$2:AN$1266,MATCH(Data!$DN577,'Data_Price '!$AT$2:$AT$1266,0))</f>
        <v>https://tinyurl.com/ybcfoxqm</v>
      </c>
      <c r="DF577" t="str">
        <f>INDEX('Data_Price '!AO$2:AO$1266,MATCH(Data!$DN577,'Data_Price '!$AT$2:$AT$1266,0))</f>
        <v>Rossignol Experience 84 Ai Skis</v>
      </c>
      <c r="DG577" t="str">
        <f>INDEX('Data_Price '!AP$2:AP$1266,MATCH(Data!$DN577,'Data_Price '!$AT$2:$AT$1266,0))</f>
        <v>Christy Sports</v>
      </c>
      <c r="DH577">
        <f>INDEX('Data_Price '!AQ$2:AQ$1266,MATCH(Data!$DN577,'Data_Price '!$AT$2:$AT$1266,0))</f>
        <v>350.93</v>
      </c>
      <c r="DI577" t="str">
        <f>INDEX('Data_Price '!AR$2:AR$1266,MATCH(Data!$DN577,'Data_Price '!$AT$2:$AT$1266,0))</f>
        <v>https://tinyurl.com/ybhoxv7k</v>
      </c>
      <c r="DJ577" s="89" t="str">
        <f t="shared" si="328"/>
        <v>https://tinyurl.com/yb9yz76q</v>
      </c>
      <c r="DK577" s="89" t="str">
        <f t="shared" si="329"/>
        <v>https://tinyurl.com/ybcfoxqm</v>
      </c>
      <c r="DL577" s="89" t="str">
        <f t="shared" si="330"/>
        <v>https://tinyurl.com/ybhoxv7k</v>
      </c>
      <c r="DM577" s="219" t="str">
        <f t="shared" si="331"/>
        <v>React 2</v>
      </c>
      <c r="DN577" s="89" t="str">
        <f t="shared" si="332"/>
        <v xml:space="preserve"> RossignolReact 2176 Unisex</v>
      </c>
      <c r="DO577" s="221"/>
    </row>
    <row r="578" spans="2:119" ht="15.6" customHeight="1">
      <c r="B578" s="219" t="b">
        <f t="array" ref="B578">IF(OR(ISERROR(K578:P578)),FALSE,TRUE)</f>
        <v>1</v>
      </c>
      <c r="C578" s="43" t="b">
        <f>OR(BR578=Driver!$G$50,Data!BR1136=Driver!$H$50)</f>
        <v>1</v>
      </c>
      <c r="D578" s="43" t="b">
        <f>OR(BV578=Driver!$G$51,BV578=Driver!$H$51)</f>
        <v>0</v>
      </c>
      <c r="E578" s="43" t="b">
        <f>AND(BX578&gt;Driver!$F$54,BX578&lt;Driver!$G$54)</f>
        <v>0</v>
      </c>
      <c r="F578" s="43" t="b">
        <f>CL578&gt;Driver!$F$56</f>
        <v>1</v>
      </c>
      <c r="G578" s="43" t="b">
        <f>AND(CB578&gt;Driver!$F$55,CB578&lt;Driver!$G$55)</f>
        <v>0</v>
      </c>
      <c r="H578" s="43" t="b">
        <f t="shared" si="296"/>
        <v>0</v>
      </c>
      <c r="I578" s="43">
        <f t="shared" si="297"/>
        <v>0</v>
      </c>
      <c r="J578" s="43" t="b">
        <f t="array" ref="J578">NOT(OR(($H$9:$H$1273=TRUE)*($I$9:$I$1273&gt;0)*($BT$9:$BT$1273=BT578)*($K$9:$K$1273&gt;K578)))</f>
        <v>1</v>
      </c>
      <c r="K578" s="72">
        <f t="shared" si="298"/>
        <v>0.84410256974503906</v>
      </c>
      <c r="L578" s="72">
        <f t="shared" si="299"/>
        <v>0.85600539129743014</v>
      </c>
      <c r="M578" s="72">
        <f t="shared" si="300"/>
        <v>0.83219974819264797</v>
      </c>
      <c r="N578" s="72">
        <f t="shared" si="301"/>
        <v>0.88458790916302643</v>
      </c>
      <c r="O578" s="72">
        <f t="shared" si="302"/>
        <v>0.62315140325640006</v>
      </c>
      <c r="P578" s="72">
        <f t="shared" si="303"/>
        <v>0.98885993215851742</v>
      </c>
      <c r="Q578" s="72"/>
      <c r="R578" s="72"/>
      <c r="S578" s="72">
        <f t="shared" si="304"/>
        <v>0.42054411486869447</v>
      </c>
      <c r="T578" s="72">
        <f t="shared" si="305"/>
        <v>0.49993397206972712</v>
      </c>
      <c r="U578" s="72">
        <f t="shared" si="306"/>
        <v>0.51</v>
      </c>
      <c r="V578" s="72">
        <f t="shared" si="307"/>
        <v>0.50585191978258215</v>
      </c>
      <c r="W578" s="72">
        <f t="shared" si="308"/>
        <v>0.80161241253422577</v>
      </c>
      <c r="X578" s="72">
        <f t="shared" si="309"/>
        <v>0.14399460870256992</v>
      </c>
      <c r="Y578" s="72">
        <f t="shared" si="310"/>
        <v>0.16780025180735203</v>
      </c>
      <c r="Z578" s="72">
        <f t="shared" si="311"/>
        <v>0.11541209083697361</v>
      </c>
      <c r="AA578" s="72">
        <f t="shared" si="312"/>
        <v>0.37684859674359994</v>
      </c>
      <c r="AB578" s="72">
        <f t="shared" si="313"/>
        <v>1.1140067841482582E-2</v>
      </c>
      <c r="AC578" s="72"/>
      <c r="AD578" s="72"/>
      <c r="AE578" s="72">
        <f t="shared" si="314"/>
        <v>0.57945588513130553</v>
      </c>
      <c r="AF578" s="72">
        <f t="shared" si="315"/>
        <v>0.50006602793027288</v>
      </c>
      <c r="AG578" s="72">
        <f t="shared" si="316"/>
        <v>0.49</v>
      </c>
      <c r="AH578" s="72">
        <f t="shared" si="317"/>
        <v>0.49414808021741785</v>
      </c>
      <c r="AI578" s="72">
        <f t="shared" si="318"/>
        <v>0.19838758746577426</v>
      </c>
      <c r="AJ578" s="72">
        <f>(AV578-Driver!$K$179)/(Driver!$L$179-Driver!$K$179)</f>
        <v>0.11022480058013051</v>
      </c>
      <c r="AK578" s="72">
        <f>(AW578-Driver!$K$180)/(Driver!$L$180-Driver!$K$180)</f>
        <v>0.2601407883357244</v>
      </c>
      <c r="AL578" s="72">
        <f>(AX578-Driver!$K$181)/(Driver!$L$181-Driver!$K$181)</f>
        <v>0.21709985455005379</v>
      </c>
      <c r="AM578" s="72">
        <f>(AY578-Driver!$K$182)/(Driver!$L$182-Driver!$K$182)</f>
        <v>7.0536424353446453E-2</v>
      </c>
      <c r="AN578" s="72">
        <f>(AZ578-Driver!$K$183)/(Driver!$L$183-Driver!$K$183)</f>
        <v>0.26535947712418301</v>
      </c>
      <c r="AO578" s="72"/>
      <c r="AP578" s="72"/>
      <c r="AQ578" s="72">
        <f>(BC578-Driver!$K$188)/(Driver!$L$188-Driver!$K$188)</f>
        <v>4.0544114868694497E-2</v>
      </c>
      <c r="AR578" s="72">
        <f>MIN((BD578-Driver!$K$189)/(Driver!$L$189-Driver!$K$189),100%)</f>
        <v>4.9933972069727196E-2</v>
      </c>
      <c r="AS578" s="72">
        <f>(BE578-Driver!$K$190)/(Driver!$L$190-Driver!$K$190)</f>
        <v>1</v>
      </c>
      <c r="AT578" s="72">
        <f>(BF578-Driver!$K$191)/(Driver!$L$191-Driver!$K$191)</f>
        <v>1.5851919782582165E-2</v>
      </c>
      <c r="AU578" s="72">
        <f>(BG578-Driver!$K$192)/(Driver!$L$192-Driver!$K$192)</f>
        <v>5.1612412534225743E-2</v>
      </c>
      <c r="AV578" s="70">
        <f t="shared" si="319"/>
        <v>2.3199023199023197</v>
      </c>
      <c r="AW578" s="70">
        <f t="shared" si="320"/>
        <v>27.224917526651499</v>
      </c>
      <c r="AX578" s="70">
        <f t="shared" si="321"/>
        <v>2.9538986909504841</v>
      </c>
      <c r="AY578" s="70">
        <f>IFERROR(Driver!$K$19/Data!BH578/Data!BI578*Data!BK578*Data!BL578,"")</f>
        <v>8.6357629446363438E-2</v>
      </c>
      <c r="AZ578" s="70">
        <f t="shared" si="322"/>
        <v>24.184661206254653</v>
      </c>
      <c r="BA578" s="70"/>
      <c r="BB578" s="70"/>
      <c r="BC578" s="70">
        <f t="shared" si="323"/>
        <v>21.030514240505656</v>
      </c>
      <c r="BD578" s="70">
        <f t="shared" si="324"/>
        <v>6.1398909345055808</v>
      </c>
      <c r="BE578" s="70">
        <f t="shared" si="325"/>
        <v>1</v>
      </c>
      <c r="BF578" s="70">
        <f t="shared" si="326"/>
        <v>1.7903629734033044</v>
      </c>
      <c r="BG578" s="70">
        <f t="shared" si="327"/>
        <v>0.19543751901429879</v>
      </c>
      <c r="BH578" s="67">
        <f>MAX((CE578-Driver!$F$200)/(Driver!$G$200-Driver!$F$200)*$BI$1,1)</f>
        <v>2.9538986909504841</v>
      </c>
      <c r="BI578" s="67">
        <f>MAX($BI$1*(BY578-Driver!$F$201)/(Driver!$G$201-Driver!$F$201),1)</f>
        <v>7.3417721518987342</v>
      </c>
      <c r="BJ578" s="67">
        <f>(CB578-Driver!$F$206)/(Driver!$G$206-Driver!$F$206)*$BI$1</f>
        <v>3.8095238095238093</v>
      </c>
      <c r="BK578" s="67">
        <f>(CD578-Driver!$F$203)/(Driver!$G$203-Driver!$F$203)*$BI$1</f>
        <v>1.6972477064220182</v>
      </c>
      <c r="BL578" s="67">
        <f>MAX((CR578-Driver!$F$202)/(Driver!$G$202-Driver!$F$202)*$BI$1,1)</f>
        <v>5.5172413793103452</v>
      </c>
      <c r="BM578" s="67">
        <f>MAX((CH578-Driver!$F$204)/(Driver!$G$204-Driver!$F$204)*$BI$1,1)</f>
        <v>2.4358974358974357</v>
      </c>
      <c r="BN578" s="67">
        <f>(CI578-Driver!$F$205)/(Driver!$G$205-Driver!$F$205)*$BI$1</f>
        <v>3.2941176470588234</v>
      </c>
      <c r="BO578" s="67">
        <f>(CK578-Driver!$F$207)/(Driver!$G$207-Driver!$F$207)*$BI$1</f>
        <v>0.9203722854188211</v>
      </c>
      <c r="BP578" s="67">
        <f>(CM578-Driver!$F$208)/(Driver!$G$208-Driver!$F$208)*$BI$1</f>
        <v>0.8666666666666667</v>
      </c>
      <c r="BQ578" s="67">
        <f>(CL578-Driver!$F$209)/(Driver!$G$209-Driver!$F$209)*$BI$1</f>
        <v>1.40625</v>
      </c>
      <c r="BR578" s="28" t="s">
        <v>155</v>
      </c>
      <c r="BS578" s="8" t="s">
        <v>213</v>
      </c>
      <c r="BT578" s="9" t="s">
        <v>644</v>
      </c>
      <c r="BU578" s="10">
        <v>152</v>
      </c>
      <c r="BV578" s="9" t="s">
        <v>163</v>
      </c>
      <c r="BW578" s="10">
        <v>152</v>
      </c>
      <c r="BX578" s="10">
        <v>151.30000000000001</v>
      </c>
      <c r="BY578" s="10">
        <v>124</v>
      </c>
      <c r="BZ578" s="10">
        <v>132</v>
      </c>
      <c r="CA578" s="10">
        <v>127</v>
      </c>
      <c r="CB578" s="10">
        <v>88</v>
      </c>
      <c r="CC578" s="10">
        <v>113</v>
      </c>
      <c r="CD578" s="10">
        <v>13.1</v>
      </c>
      <c r="CE578" s="10">
        <v>1419</v>
      </c>
      <c r="CF578" s="10">
        <v>1.06</v>
      </c>
      <c r="CG578" s="10">
        <v>1510</v>
      </c>
      <c r="CH578" s="10">
        <v>158</v>
      </c>
      <c r="CI578" s="10">
        <v>89</v>
      </c>
      <c r="CJ578" s="10">
        <v>43</v>
      </c>
      <c r="CK578" s="10">
        <v>199</v>
      </c>
      <c r="CL578" s="10">
        <v>9</v>
      </c>
      <c r="CM578" s="10">
        <v>78</v>
      </c>
      <c r="CN578" s="10">
        <v>0.20599999999999999</v>
      </c>
      <c r="CO578" s="10">
        <v>135</v>
      </c>
      <c r="CP578" s="10">
        <v>56</v>
      </c>
      <c r="CQ578" s="10">
        <v>64</v>
      </c>
      <c r="CR578" s="10">
        <v>5</v>
      </c>
      <c r="CS578" s="10">
        <v>12.6</v>
      </c>
      <c r="CT578" s="9" t="s">
        <v>188</v>
      </c>
      <c r="CU578" s="9" t="s">
        <v>185</v>
      </c>
      <c r="CV578" s="10"/>
      <c r="CW578" s="10"/>
      <c r="CX578" t="e">
        <f>INDEX('Data_Price '!AG$2:AG$1266,MATCH(Data!$DN578,'Data_Price '!$AT$2:$AT$1266,0))</f>
        <v>#N/A</v>
      </c>
      <c r="CY578" t="e">
        <f>INDEX('Data_Price '!AH$2:AH$1266,MATCH(Data!$DN578,'Data_Price '!$AT$2:$AT$1266,0))</f>
        <v>#N/A</v>
      </c>
      <c r="CZ578" t="e">
        <f>INDEX('Data_Price '!AI$2:AI$1266,MATCH(Data!$DN578,'Data_Price '!$AT$2:$AT$1266,0))</f>
        <v>#N/A</v>
      </c>
      <c r="DA578" t="e">
        <f>INDEX('Data_Price '!AJ$2:AJ$1266,MATCH(Data!$DN578,'Data_Price '!$AT$2:$AT$1266,0))</f>
        <v>#N/A</v>
      </c>
      <c r="DB578" t="e">
        <f>INDEX('Data_Price '!AK$2:AK$1266,MATCH(Data!$DN578,'Data_Price '!$AT$2:$AT$1266,0))</f>
        <v>#N/A</v>
      </c>
      <c r="DC578" t="e">
        <f>INDEX('Data_Price '!AL$2:AL$1266,MATCH(Data!$DN578,'Data_Price '!$AT$2:$AT$1266,0))</f>
        <v>#N/A</v>
      </c>
      <c r="DD578" t="e">
        <f>INDEX('Data_Price '!AM$2:AM$1266,MATCH(Data!$DN578,'Data_Price '!$AT$2:$AT$1266,0))</f>
        <v>#N/A</v>
      </c>
      <c r="DE578" t="e">
        <f>INDEX('Data_Price '!AN$2:AN$1266,MATCH(Data!$DN578,'Data_Price '!$AT$2:$AT$1266,0))</f>
        <v>#N/A</v>
      </c>
      <c r="DF578" t="e">
        <f>INDEX('Data_Price '!AO$2:AO$1266,MATCH(Data!$DN578,'Data_Price '!$AT$2:$AT$1266,0))</f>
        <v>#N/A</v>
      </c>
      <c r="DG578" t="e">
        <f>INDEX('Data_Price '!AP$2:AP$1266,MATCH(Data!$DN578,'Data_Price '!$AT$2:$AT$1266,0))</f>
        <v>#N/A</v>
      </c>
      <c r="DH578" t="e">
        <f>INDEX('Data_Price '!AQ$2:AQ$1266,MATCH(Data!$DN578,'Data_Price '!$AT$2:$AT$1266,0))</f>
        <v>#N/A</v>
      </c>
      <c r="DI578" t="e">
        <f>INDEX('Data_Price '!AR$2:AR$1266,MATCH(Data!$DN578,'Data_Price '!$AT$2:$AT$1266,0))</f>
        <v>#N/A</v>
      </c>
      <c r="DJ578" s="89" t="e">
        <f t="shared" si="328"/>
        <v>#N/A</v>
      </c>
      <c r="DK578" s="89" t="e">
        <f t="shared" si="329"/>
        <v>#N/A</v>
      </c>
      <c r="DL578" s="89" t="e">
        <f t="shared" si="330"/>
        <v>#N/A</v>
      </c>
      <c r="DM578" s="219" t="str">
        <f t="shared" si="331"/>
        <v>Nela 88</v>
      </c>
      <c r="DN578" s="89" t="str">
        <f t="shared" si="332"/>
        <v xml:space="preserve"> StöckliNela 88152 Women's</v>
      </c>
      <c r="DO578" s="221" t="s">
        <v>645</v>
      </c>
    </row>
    <row r="579" spans="2:119" ht="15.6" customHeight="1">
      <c r="B579" s="219" t="b">
        <f t="array" ref="B579">IF(OR(ISERROR(K579:P579)),FALSE,TRUE)</f>
        <v>1</v>
      </c>
      <c r="C579" s="43" t="b">
        <f>OR(BR579=Driver!$G$50,Data!BR1085=Driver!$H$50)</f>
        <v>1</v>
      </c>
      <c r="D579" s="43" t="b">
        <f>OR(BV579=Driver!$G$51,BV579=Driver!$H$51)</f>
        <v>0</v>
      </c>
      <c r="E579" s="43" t="b">
        <f>AND(BX579&gt;Driver!$F$54,BX579&lt;Driver!$G$54)</f>
        <v>1</v>
      </c>
      <c r="F579" s="43" t="b">
        <f>CL579&gt;Driver!$F$56</f>
        <v>1</v>
      </c>
      <c r="G579" s="43" t="b">
        <f>AND(CB579&gt;Driver!$F$55,CB579&lt;Driver!$G$55)</f>
        <v>0</v>
      </c>
      <c r="H579" s="43" t="b">
        <f t="shared" si="296"/>
        <v>0</v>
      </c>
      <c r="I579" s="43">
        <f t="shared" si="297"/>
        <v>0</v>
      </c>
      <c r="J579" s="43" t="b">
        <f t="array" ref="J579">NOT(OR(($H$9:$H$1273=TRUE)*($I$9:$I$1273&gt;0)*($BT$9:$BT$1273=BT579)*($K$9:$K$1273&gt;K579)))</f>
        <v>1</v>
      </c>
      <c r="K579" s="72">
        <f t="shared" si="298"/>
        <v>0.83836522681803749</v>
      </c>
      <c r="L579" s="72">
        <f t="shared" si="299"/>
        <v>0.90144894943134357</v>
      </c>
      <c r="M579" s="72">
        <f t="shared" si="300"/>
        <v>0.77528150420473141</v>
      </c>
      <c r="N579" s="72">
        <f t="shared" si="301"/>
        <v>0.74040274505754367</v>
      </c>
      <c r="O579" s="72">
        <f t="shared" si="302"/>
        <v>0.63835398729686732</v>
      </c>
      <c r="P579" s="72">
        <f t="shared" si="303"/>
        <v>0.94708778025978324</v>
      </c>
      <c r="Q579" s="72"/>
      <c r="R579" s="72"/>
      <c r="S579" s="72">
        <f t="shared" si="304"/>
        <v>0.41848109237671671</v>
      </c>
      <c r="T579" s="72">
        <f t="shared" si="305"/>
        <v>0.52639565910217589</v>
      </c>
      <c r="U579" s="72">
        <f t="shared" si="306"/>
        <v>0.82207994882365121</v>
      </c>
      <c r="V579" s="72">
        <f t="shared" si="307"/>
        <v>0.53239308455690171</v>
      </c>
      <c r="W579" s="72">
        <f t="shared" si="308"/>
        <v>0.79278854548629296</v>
      </c>
      <c r="X579" s="72">
        <f t="shared" si="309"/>
        <v>9.8551050568656429E-2</v>
      </c>
      <c r="Y579" s="72">
        <f t="shared" si="310"/>
        <v>0.22471849579526859</v>
      </c>
      <c r="Z579" s="72">
        <f t="shared" si="311"/>
        <v>0.25959725494245639</v>
      </c>
      <c r="AA579" s="72">
        <f t="shared" si="312"/>
        <v>0.36164601270313262</v>
      </c>
      <c r="AB579" s="72">
        <f t="shared" si="313"/>
        <v>5.2912219740216759E-2</v>
      </c>
      <c r="AC579" s="72"/>
      <c r="AD579" s="72"/>
      <c r="AE579" s="72">
        <f t="shared" si="314"/>
        <v>0.58151890762328329</v>
      </c>
      <c r="AF579" s="72">
        <f t="shared" si="315"/>
        <v>0.47360434089782416</v>
      </c>
      <c r="AG579" s="72">
        <f t="shared" si="316"/>
        <v>0.17792005117634879</v>
      </c>
      <c r="AH579" s="72">
        <f t="shared" si="317"/>
        <v>0.46760691544309829</v>
      </c>
      <c r="AI579" s="72">
        <f t="shared" si="318"/>
        <v>0.20721145451370701</v>
      </c>
      <c r="AJ579" s="72">
        <f>(AV579-Driver!$K$179)/(Driver!$L$179-Driver!$K$179)</f>
        <v>0.155668358714044</v>
      </c>
      <c r="AK579" s="72">
        <f>(AW579-Driver!$K$180)/(Driver!$L$180-Driver!$K$180)</f>
        <v>0.21374790188864204</v>
      </c>
      <c r="AL579" s="72">
        <f>(AX579-Driver!$K$181)/(Driver!$L$181-Driver!$K$181)</f>
        <v>0.36128501865553658</v>
      </c>
      <c r="AM579" s="72">
        <f>(AY579-Driver!$K$182)/(Driver!$L$182-Driver!$K$182)</f>
        <v>8.573900839391374E-2</v>
      </c>
      <c r="AN579" s="72">
        <f>(AZ579-Driver!$K$183)/(Driver!$L$183-Driver!$K$183)</f>
        <v>0.20130718954248367</v>
      </c>
      <c r="AO579" s="72"/>
      <c r="AP579" s="72"/>
      <c r="AQ579" s="72">
        <f>(BC579-Driver!$K$188)/(Driver!$L$188-Driver!$K$188)</f>
        <v>3.848109237671668E-2</v>
      </c>
      <c r="AR579" s="72">
        <f>MIN((BD579-Driver!$K$189)/(Driver!$L$189-Driver!$K$189),100%)</f>
        <v>7.6395659102175884E-2</v>
      </c>
      <c r="AS579" s="72">
        <f>(BE579-Driver!$K$190)/(Driver!$L$190-Driver!$K$190)</f>
        <v>0.33207994882365122</v>
      </c>
      <c r="AT579" s="72">
        <f>(BF579-Driver!$K$191)/(Driver!$L$191-Driver!$K$191)</f>
        <v>4.2393084556901724E-2</v>
      </c>
      <c r="AU579" s="72">
        <f>(BG579-Driver!$K$192)/(Driver!$L$192-Driver!$K$192)</f>
        <v>4.2788545486292989E-2</v>
      </c>
      <c r="AV579" s="70">
        <f t="shared" si="319"/>
        <v>3.2763532763532766</v>
      </c>
      <c r="AW579" s="70">
        <f t="shared" si="320"/>
        <v>22.703519659590604</v>
      </c>
      <c r="AX579" s="70">
        <f t="shared" si="321"/>
        <v>4.2515651678998294</v>
      </c>
      <c r="AY579" s="70">
        <f>IFERROR(Driver!$K$19/Data!BH579/Data!BI579*Data!BK579*Data!BL579,"")</f>
        <v>0.10497012832517462</v>
      </c>
      <c r="AZ579" s="70">
        <f t="shared" si="322"/>
        <v>18.3469843633656</v>
      </c>
      <c r="BA579" s="70"/>
      <c r="BB579" s="70"/>
      <c r="BC579" s="70">
        <f t="shared" si="323"/>
        <v>19.960410132017074</v>
      </c>
      <c r="BD579" s="70">
        <f t="shared" si="324"/>
        <v>8.4817033495423377</v>
      </c>
      <c r="BE579" s="70">
        <f t="shared" si="325"/>
        <v>0.33219909824302069</v>
      </c>
      <c r="BF579" s="70">
        <f t="shared" si="326"/>
        <v>4.7880010724271322</v>
      </c>
      <c r="BG579" s="70">
        <f t="shared" si="327"/>
        <v>0.16202472935219137</v>
      </c>
      <c r="BH579" s="67">
        <f>MAX((CE579-Driver!$F$200)/(Driver!$G$200-Driver!$F$200)*$BI$1,1)</f>
        <v>4.2515651678998294</v>
      </c>
      <c r="BI579" s="67">
        <f>MAX($BI$1*(BY579-Driver!$F$201)/(Driver!$G$201-Driver!$F$201),1)</f>
        <v>7.0886075949367084</v>
      </c>
      <c r="BJ579" s="67">
        <f>(CB579-Driver!$F$206)/(Driver!$G$206-Driver!$F$206)*$BI$1</f>
        <v>4.4444444444444446</v>
      </c>
      <c r="BK579" s="67">
        <f>(CD579-Driver!$F$203)/(Driver!$G$203-Driver!$F$203)*$BI$1</f>
        <v>2.2935779816513766</v>
      </c>
      <c r="BL579" s="67">
        <f>MAX((CR579-Driver!$F$202)/(Driver!$G$202-Driver!$F$202)*$BI$1,1)</f>
        <v>6.8965517241379315</v>
      </c>
      <c r="BM579" s="67">
        <f>MAX((CH579-Driver!$F$204)/(Driver!$G$204-Driver!$F$204)*$BI$1,1)</f>
        <v>2.9487179487179489</v>
      </c>
      <c r="BN579" s="67">
        <f>(CI579-Driver!$F$205)/(Driver!$G$205-Driver!$F$205)*$BI$1</f>
        <v>2.5882352941176472</v>
      </c>
      <c r="BO579" s="67">
        <f>(CK579-Driver!$F$207)/(Driver!$G$207-Driver!$F$207)*$BI$1</f>
        <v>1.7373319544984489</v>
      </c>
      <c r="BP579" s="67">
        <f>(CM579-Driver!$F$208)/(Driver!$G$208-Driver!$F$208)*$BI$1</f>
        <v>1.4222222222222223</v>
      </c>
      <c r="BQ579" s="67">
        <f>(CL579-Driver!$F$209)/(Driver!$G$209-Driver!$F$209)*$BI$1</f>
        <v>2.03125</v>
      </c>
      <c r="BR579" s="28" t="s">
        <v>155</v>
      </c>
      <c r="BS579" s="8" t="s">
        <v>174</v>
      </c>
      <c r="BT579" s="9" t="s">
        <v>622</v>
      </c>
      <c r="BU579" s="10">
        <v>161</v>
      </c>
      <c r="BV579" s="9" t="s">
        <v>163</v>
      </c>
      <c r="BW579" s="10">
        <v>161</v>
      </c>
      <c r="BX579" s="10">
        <v>160.1</v>
      </c>
      <c r="BY579" s="10">
        <v>120</v>
      </c>
      <c r="BZ579" s="10">
        <v>134</v>
      </c>
      <c r="CA579" s="10">
        <v>128</v>
      </c>
      <c r="CB579" s="10">
        <v>92</v>
      </c>
      <c r="CC579" s="10">
        <v>111</v>
      </c>
      <c r="CD579" s="10">
        <v>14.4</v>
      </c>
      <c r="CE579" s="10">
        <v>1647</v>
      </c>
      <c r="CF579" s="10">
        <v>1.01</v>
      </c>
      <c r="CG579" s="10">
        <v>1660</v>
      </c>
      <c r="CH579" s="10">
        <v>170</v>
      </c>
      <c r="CI579" s="10">
        <v>77</v>
      </c>
      <c r="CJ579" s="10">
        <v>56</v>
      </c>
      <c r="CK579" s="10">
        <v>278</v>
      </c>
      <c r="CL579" s="10">
        <v>13</v>
      </c>
      <c r="CM579" s="10">
        <v>128</v>
      </c>
      <c r="CN579" s="10">
        <v>0.23100000000000001</v>
      </c>
      <c r="CO579" s="10">
        <v>149</v>
      </c>
      <c r="CP579" s="10">
        <v>115</v>
      </c>
      <c r="CQ579" s="10">
        <v>129</v>
      </c>
      <c r="CR579" s="10">
        <v>9</v>
      </c>
      <c r="CS579" s="10">
        <v>8.9</v>
      </c>
      <c r="CT579" s="9" t="s">
        <v>188</v>
      </c>
      <c r="CU579" s="10"/>
      <c r="CV579" s="10"/>
      <c r="CW579" s="10"/>
      <c r="CX579" t="str">
        <f>INDEX('Data_Price '!AG$2:AG$1266,MATCH(Data!$DN579,'Data_Price '!$AT$2:$AT$1266,0))</f>
        <v>Salomon Qst The Lux 92 Skis + Mercury 11 Bindings 161cm Tuned &amp; Waxed</v>
      </c>
      <c r="CY579" t="str">
        <f>INDEX('Data_Price '!AH$2:AH$1266,MATCH(Data!$DN579,'Data_Price '!$AT$2:$AT$1266,0))</f>
        <v>eBay - suburbansports</v>
      </c>
      <c r="CZ579">
        <f>INDEX('Data_Price '!AI$2:AI$1266,MATCH(Data!$DN579,'Data_Price '!$AT$2:$AT$1266,0))</f>
        <v>359.99</v>
      </c>
      <c r="DA579" t="str">
        <f>INDEX('Data_Price '!AJ$2:AJ$1266,MATCH(Data!$DN579,'Data_Price '!$AT$2:$AT$1266,0))</f>
        <v>https://tinyurl.com/y8hys4nt</v>
      </c>
      <c r="DB579" t="str">
        <f>INDEX('Data_Price '!AK$2:AK$1266,MATCH(Data!$DN579,'Data_Price '!$AT$2:$AT$1266,0))</f>
        <v>Salomon QST Lux 92 Womens Ski 2018-2019 Season 161</v>
      </c>
      <c r="DC579" t="str">
        <f>INDEX('Data_Price '!AL$2:AL$1266,MATCH(Data!$DN579,'Data_Price '!$AT$2:$AT$1266,0))</f>
        <v>shop.petersonsskiandcycle.com</v>
      </c>
      <c r="DD579">
        <f>INDEX('Data_Price '!AM$2:AM$1266,MATCH(Data!$DN579,'Data_Price '!$AT$2:$AT$1266,0))</f>
        <v>379.99</v>
      </c>
      <c r="DE579" t="str">
        <f>INDEX('Data_Price '!AN$2:AN$1266,MATCH(Data!$DN579,'Data_Price '!$AT$2:$AT$1266,0))</f>
        <v>https://tinyurl.com/y9uv5v6u</v>
      </c>
      <c r="DF579" t="str">
        <f>INDEX('Data_Price '!AO$2:AO$1266,MATCH(Data!$DN579,'Data_Price '!$AT$2:$AT$1266,0))</f>
        <v>Salomon QST Lux 92 Skis Women's</v>
      </c>
      <c r="DG579" t="str">
        <f>INDEX('Data_Price '!AP$2:AP$1266,MATCH(Data!$DN579,'Data_Price '!$AT$2:$AT$1266,0))</f>
        <v>evo.com</v>
      </c>
      <c r="DH579">
        <f>INDEX('Data_Price '!AQ$2:AQ$1266,MATCH(Data!$DN579,'Data_Price '!$AT$2:$AT$1266,0))</f>
        <v>399.99</v>
      </c>
      <c r="DI579" t="str">
        <f>INDEX('Data_Price '!AR$2:AR$1266,MATCH(Data!$DN579,'Data_Price '!$AT$2:$AT$1266,0))</f>
        <v>https://tinyurl.com/y6wtlju5</v>
      </c>
      <c r="DJ579" s="89" t="str">
        <f t="shared" si="328"/>
        <v>https://tinyurl.com/y8hys4nt</v>
      </c>
      <c r="DK579" s="89" t="str">
        <f t="shared" si="329"/>
        <v>https://tinyurl.com/y9uv5v6u</v>
      </c>
      <c r="DL579" s="89" t="str">
        <f t="shared" si="330"/>
        <v>https://tinyurl.com/y6wtlju5</v>
      </c>
      <c r="DM579" s="219" t="str">
        <f t="shared" si="331"/>
        <v>QST Lux 92</v>
      </c>
      <c r="DN579" s="89" t="str">
        <f t="shared" si="332"/>
        <v xml:space="preserve"> SalomonQST Lux 92161 Women's</v>
      </c>
      <c r="DO579" s="221" t="s">
        <v>623</v>
      </c>
    </row>
    <row r="580" spans="2:119" ht="15.6" customHeight="1">
      <c r="B580" s="219" t="b">
        <f t="array" ref="B580">IF(OR(ISERROR(K580:P580)),FALSE,TRUE)</f>
        <v>1</v>
      </c>
      <c r="C580" s="43" t="b">
        <f>OR(BR580=Driver!$G$50,Data!BR1185=Driver!$H$50)</f>
        <v>1</v>
      </c>
      <c r="D580" s="43" t="b">
        <f>OR(BV580=Driver!$G$51,BV580=Driver!$H$51)</f>
        <v>1</v>
      </c>
      <c r="E580" s="43" t="b">
        <f>AND(BX580&gt;Driver!$F$54,BX580&lt;Driver!$G$54)</f>
        <v>0</v>
      </c>
      <c r="F580" s="43" t="b">
        <f>CL580&gt;Driver!$F$56</f>
        <v>1</v>
      </c>
      <c r="G580" s="43" t="b">
        <f>AND(CB580&gt;Driver!$F$55,CB580&lt;Driver!$G$55)</f>
        <v>0</v>
      </c>
      <c r="H580" s="43" t="b">
        <f t="shared" si="296"/>
        <v>0</v>
      </c>
      <c r="I580" s="43">
        <f t="shared" si="297"/>
        <v>0</v>
      </c>
      <c r="J580" s="43" t="b">
        <f t="array" ref="J580">NOT(OR(($H$9:$H$1273=TRUE)*($I$9:$I$1273&gt;0)*($BT$9:$BT$1273=BT580)*($K$9:$K$1273&gt;K580)))</f>
        <v>1</v>
      </c>
      <c r="K580" s="72">
        <f t="shared" si="298"/>
        <v>0.81332576811365009</v>
      </c>
      <c r="L580" s="72">
        <f t="shared" si="299"/>
        <v>0.9282799864146648</v>
      </c>
      <c r="M580" s="72">
        <f t="shared" si="300"/>
        <v>0.69837154981263527</v>
      </c>
      <c r="N580" s="72">
        <f t="shared" si="301"/>
        <v>0.50072652928571026</v>
      </c>
      <c r="O580" s="72">
        <f t="shared" si="302"/>
        <v>0.60013603113093306</v>
      </c>
      <c r="P580" s="72">
        <f t="shared" si="303"/>
        <v>0.9942520890212625</v>
      </c>
      <c r="Q580" s="72"/>
      <c r="R580" s="72"/>
      <c r="S580" s="72">
        <f t="shared" si="304"/>
        <v>0.47369563014645344</v>
      </c>
      <c r="T580" s="72">
        <f t="shared" si="305"/>
        <v>0.77267005216653639</v>
      </c>
      <c r="U580" s="72">
        <f t="shared" si="306"/>
        <v>0.51</v>
      </c>
      <c r="V580" s="72">
        <f t="shared" si="307"/>
        <v>0.49153135893174793</v>
      </c>
      <c r="W580" s="72">
        <f t="shared" si="308"/>
        <v>0.75698452001458594</v>
      </c>
      <c r="X580" s="72">
        <f t="shared" si="309"/>
        <v>7.1720013585335196E-2</v>
      </c>
      <c r="Y580" s="72">
        <f t="shared" si="310"/>
        <v>0.30162845018736473</v>
      </c>
      <c r="Z580" s="72">
        <f t="shared" si="311"/>
        <v>0.49927347071428974</v>
      </c>
      <c r="AA580" s="72">
        <f t="shared" si="312"/>
        <v>0.39986396886906694</v>
      </c>
      <c r="AB580" s="72">
        <f t="shared" si="313"/>
        <v>5.7479109787374472E-3</v>
      </c>
      <c r="AC580" s="72"/>
      <c r="AD580" s="72"/>
      <c r="AE580" s="72">
        <f t="shared" si="314"/>
        <v>0.52630436985354656</v>
      </c>
      <c r="AF580" s="72">
        <f t="shared" si="315"/>
        <v>0.22732994783346355</v>
      </c>
      <c r="AG580" s="72">
        <f t="shared" si="316"/>
        <v>0.49</v>
      </c>
      <c r="AH580" s="72">
        <f t="shared" si="317"/>
        <v>0.50846864106825207</v>
      </c>
      <c r="AI580" s="72">
        <f t="shared" si="318"/>
        <v>0.24301547998541401</v>
      </c>
      <c r="AJ580" s="72">
        <f>(AV580-Driver!$K$179)/(Driver!$L$179-Driver!$K$179)</f>
        <v>0.18249939569736523</v>
      </c>
      <c r="AK580" s="72">
        <f>(AW580-Driver!$K$180)/(Driver!$L$180-Driver!$K$180)</f>
        <v>0.29025747170326122</v>
      </c>
      <c r="AL580" s="72">
        <f>(AX580-Driver!$K$181)/(Driver!$L$181-Driver!$K$181)</f>
        <v>0.60096123442736993</v>
      </c>
      <c r="AM580" s="72">
        <f>(AY580-Driver!$K$182)/(Driver!$L$182-Driver!$K$182)</f>
        <v>4.7521052227979393E-2</v>
      </c>
      <c r="AN580" s="72">
        <f>(AZ580-Driver!$K$183)/(Driver!$L$183-Driver!$K$183)</f>
        <v>0.25996732026143787</v>
      </c>
      <c r="AO580" s="72"/>
      <c r="AP580" s="72"/>
      <c r="AQ580" s="72">
        <f>(BC580-Driver!$K$188)/(Driver!$L$188-Driver!$K$188)</f>
        <v>9.3695630146453407E-2</v>
      </c>
      <c r="AR580" s="72">
        <f>MIN((BD580-Driver!$K$189)/(Driver!$L$189-Driver!$K$189),100%)</f>
        <v>0.32267005216653649</v>
      </c>
      <c r="AS580" s="72">
        <f>(BE580-Driver!$K$190)/(Driver!$L$190-Driver!$K$190)</f>
        <v>1</v>
      </c>
      <c r="AT580" s="72">
        <f>(BF580-Driver!$K$191)/(Driver!$L$191-Driver!$K$191)</f>
        <v>1.5313589317479343E-3</v>
      </c>
      <c r="AU580" s="72">
        <f>(BG580-Driver!$K$192)/(Driver!$L$192-Driver!$K$192)</f>
        <v>6.9845200145860036E-3</v>
      </c>
      <c r="AV580" s="70">
        <f t="shared" si="319"/>
        <v>3.841066341066341</v>
      </c>
      <c r="AW580" s="70">
        <f t="shared" si="320"/>
        <v>30.160055181779942</v>
      </c>
      <c r="AX580" s="70">
        <f t="shared" si="321"/>
        <v>6.4086511098463292</v>
      </c>
      <c r="AY580" s="70">
        <f>IFERROR(Driver!$K$19/Data!BH580/Data!BI580*Data!BK580*Data!BL580,"")</f>
        <v>5.8179946840537761E-2</v>
      </c>
      <c r="AZ580" s="70">
        <f t="shared" si="322"/>
        <v>23.693224125093074</v>
      </c>
      <c r="BA580" s="70"/>
      <c r="BB580" s="70"/>
      <c r="BC580" s="70">
        <f t="shared" si="323"/>
        <v>48.600574718418748</v>
      </c>
      <c r="BD580" s="70">
        <f t="shared" si="324"/>
        <v>30.276550763335258</v>
      </c>
      <c r="BE580" s="70">
        <f t="shared" si="325"/>
        <v>1</v>
      </c>
      <c r="BF580" s="70">
        <f t="shared" si="326"/>
        <v>0.17295623293555035</v>
      </c>
      <c r="BG580" s="70">
        <f t="shared" si="327"/>
        <v>2.6447848417300881E-2</v>
      </c>
      <c r="BH580" s="67">
        <f>MAX((CE580-Driver!$F$200)/(Driver!$G$200-Driver!$F$200)*$BI$1,1)</f>
        <v>6.4086511098463292</v>
      </c>
      <c r="BI580" s="67">
        <f>MAX($BI$1*(BY580-Driver!$F$201)/(Driver!$G$201-Driver!$F$201),1)</f>
        <v>9.3670886075949369</v>
      </c>
      <c r="BJ580" s="67">
        <f>(CB580-Driver!$F$206)/(Driver!$G$206-Driver!$F$206)*$BI$1</f>
        <v>2.3809523809523809</v>
      </c>
      <c r="BK580" s="67">
        <f>(CD580-Driver!$F$203)/(Driver!$G$203-Driver!$F$203)*$BI$1</f>
        <v>3.1651376146788994</v>
      </c>
      <c r="BL580" s="67">
        <f>MAX((CR580-Driver!$F$202)/(Driver!$G$202-Driver!$F$202)*$BI$1,1)</f>
        <v>5.5172413793103452</v>
      </c>
      <c r="BM580" s="67">
        <f>MAX((CH580-Driver!$F$204)/(Driver!$G$204-Driver!$F$204)*$BI$1,1)</f>
        <v>6.4529914529914532</v>
      </c>
      <c r="BN580" s="67">
        <f>(CI580-Driver!$F$205)/(Driver!$G$205-Driver!$F$205)*$BI$1</f>
        <v>2.5294117647058822</v>
      </c>
      <c r="BO580" s="67">
        <f>(CK580-Driver!$F$207)/(Driver!$G$207-Driver!$F$207)*$BI$1</f>
        <v>0.29989658738366076</v>
      </c>
      <c r="BP580" s="67">
        <f>(CM580-Driver!$F$208)/(Driver!$G$208-Driver!$F$208)*$BI$1</f>
        <v>0.76666666666666661</v>
      </c>
      <c r="BQ580" s="67">
        <f>(CL580-Driver!$F$209)/(Driver!$G$209-Driver!$F$209)*$BI$1</f>
        <v>1.09375</v>
      </c>
      <c r="BR580" s="28" t="s">
        <v>155</v>
      </c>
      <c r="BS580" s="8" t="s">
        <v>229</v>
      </c>
      <c r="BT580" s="9" t="s">
        <v>675</v>
      </c>
      <c r="BU580" s="10">
        <v>177</v>
      </c>
      <c r="BV580" s="9" t="s">
        <v>158</v>
      </c>
      <c r="BW580" s="10">
        <v>177</v>
      </c>
      <c r="BX580" s="10">
        <v>176.9</v>
      </c>
      <c r="BY580" s="10">
        <v>156</v>
      </c>
      <c r="BZ580" s="10">
        <v>163</v>
      </c>
      <c r="CA580" s="10">
        <v>127</v>
      </c>
      <c r="CB580" s="10">
        <v>79</v>
      </c>
      <c r="CC580" s="10">
        <v>110</v>
      </c>
      <c r="CD580" s="10">
        <v>16.3</v>
      </c>
      <c r="CE580" s="10">
        <v>2026</v>
      </c>
      <c r="CF580" s="10">
        <v>0.82</v>
      </c>
      <c r="CG580" s="10">
        <v>1671</v>
      </c>
      <c r="CH580" s="10">
        <v>252</v>
      </c>
      <c r="CI580" s="10">
        <v>76</v>
      </c>
      <c r="CJ580" s="10">
        <v>40</v>
      </c>
      <c r="CK580" s="10">
        <v>139</v>
      </c>
      <c r="CL580" s="10">
        <v>7</v>
      </c>
      <c r="CM580" s="10">
        <v>69</v>
      </c>
      <c r="CN580" s="10">
        <v>0.189</v>
      </c>
      <c r="CO580" s="10">
        <v>70</v>
      </c>
      <c r="CP580" s="10">
        <v>64</v>
      </c>
      <c r="CQ580" s="10">
        <v>69</v>
      </c>
      <c r="CR580" s="10">
        <v>5</v>
      </c>
      <c r="CS580" s="10">
        <v>10.5</v>
      </c>
      <c r="CT580" s="9" t="s">
        <v>349</v>
      </c>
      <c r="CU580" s="10"/>
      <c r="CV580" s="10"/>
      <c r="CW580" s="10"/>
      <c r="CX580" t="e">
        <f>INDEX('Data_Price '!AG$2:AG$1266,MATCH(Data!$DN580,'Data_Price '!$AT$2:$AT$1266,0))</f>
        <v>#N/A</v>
      </c>
      <c r="CY580" t="e">
        <f>INDEX('Data_Price '!AH$2:AH$1266,MATCH(Data!$DN580,'Data_Price '!$AT$2:$AT$1266,0))</f>
        <v>#N/A</v>
      </c>
      <c r="CZ580" t="e">
        <f>INDEX('Data_Price '!AI$2:AI$1266,MATCH(Data!$DN580,'Data_Price '!$AT$2:$AT$1266,0))</f>
        <v>#N/A</v>
      </c>
      <c r="DA580" t="e">
        <f>INDEX('Data_Price '!AJ$2:AJ$1266,MATCH(Data!$DN580,'Data_Price '!$AT$2:$AT$1266,0))</f>
        <v>#N/A</v>
      </c>
      <c r="DB580" t="e">
        <f>INDEX('Data_Price '!AK$2:AK$1266,MATCH(Data!$DN580,'Data_Price '!$AT$2:$AT$1266,0))</f>
        <v>#N/A</v>
      </c>
      <c r="DC580" t="e">
        <f>INDEX('Data_Price '!AL$2:AL$1266,MATCH(Data!$DN580,'Data_Price '!$AT$2:$AT$1266,0))</f>
        <v>#N/A</v>
      </c>
      <c r="DD580" t="e">
        <f>INDEX('Data_Price '!AM$2:AM$1266,MATCH(Data!$DN580,'Data_Price '!$AT$2:$AT$1266,0))</f>
        <v>#N/A</v>
      </c>
      <c r="DE580" t="e">
        <f>INDEX('Data_Price '!AN$2:AN$1266,MATCH(Data!$DN580,'Data_Price '!$AT$2:$AT$1266,0))</f>
        <v>#N/A</v>
      </c>
      <c r="DF580" t="e">
        <f>INDEX('Data_Price '!AO$2:AO$1266,MATCH(Data!$DN580,'Data_Price '!$AT$2:$AT$1266,0))</f>
        <v>#N/A</v>
      </c>
      <c r="DG580" t="e">
        <f>INDEX('Data_Price '!AP$2:AP$1266,MATCH(Data!$DN580,'Data_Price '!$AT$2:$AT$1266,0))</f>
        <v>#N/A</v>
      </c>
      <c r="DH580" t="e">
        <f>INDEX('Data_Price '!AQ$2:AQ$1266,MATCH(Data!$DN580,'Data_Price '!$AT$2:$AT$1266,0))</f>
        <v>#N/A</v>
      </c>
      <c r="DI580" t="e">
        <f>INDEX('Data_Price '!AR$2:AR$1266,MATCH(Data!$DN580,'Data_Price '!$AT$2:$AT$1266,0))</f>
        <v>#N/A</v>
      </c>
      <c r="DJ580" s="89" t="e">
        <f t="shared" si="328"/>
        <v>#N/A</v>
      </c>
      <c r="DK580" s="89" t="e">
        <f t="shared" si="329"/>
        <v>#N/A</v>
      </c>
      <c r="DL580" s="89" t="e">
        <f t="shared" si="330"/>
        <v>#N/A</v>
      </c>
      <c r="DM580" s="219" t="str">
        <f t="shared" si="331"/>
        <v>Deacon 80</v>
      </c>
      <c r="DN580" s="89" t="str">
        <f t="shared" si="332"/>
        <v xml:space="preserve"> VölklDeacon 80177 Unisex</v>
      </c>
      <c r="DO580" s="221"/>
    </row>
    <row r="581" spans="2:119" ht="15.6" customHeight="1">
      <c r="B581" s="219" t="b">
        <f t="array" ref="B581">IF(OR(ISERROR(K581:P581)),FALSE,TRUE)</f>
        <v>1</v>
      </c>
      <c r="C581" s="43" t="b">
        <f>OR(BR581=Driver!$G$50,Data!BR316=Driver!$H$50)</f>
        <v>1</v>
      </c>
      <c r="D581" s="43" t="b">
        <f>OR(BV581=Driver!$G$51,BV581=Driver!$H$51)</f>
        <v>1</v>
      </c>
      <c r="E581" s="43" t="b">
        <f>AND(BX581&gt;Driver!$F$54,BX581&lt;Driver!$G$54)</f>
        <v>1</v>
      </c>
      <c r="F581" s="43" t="b">
        <f>CL581&gt;Driver!$F$56</f>
        <v>1</v>
      </c>
      <c r="G581" s="43" t="b">
        <f>AND(CB581&gt;Driver!$F$55,CB581&lt;Driver!$G$55)</f>
        <v>0</v>
      </c>
      <c r="H581" s="43" t="b">
        <f t="shared" si="296"/>
        <v>0</v>
      </c>
      <c r="I581" s="43">
        <f t="shared" si="297"/>
        <v>0</v>
      </c>
      <c r="J581" s="43" t="b">
        <f t="array" ref="J581">NOT(OR(($H$9:$H$1273=TRUE)*($I$9:$I$1273&gt;0)*($BT$9:$BT$1273=BT581)*($K$9:$K$1273&gt;K581)))</f>
        <v>1</v>
      </c>
      <c r="K581" s="72">
        <f t="shared" si="298"/>
        <v>0.76680310476239999</v>
      </c>
      <c r="L581" s="72">
        <f t="shared" si="299"/>
        <v>0.83795688593928008</v>
      </c>
      <c r="M581" s="72">
        <f t="shared" si="300"/>
        <v>0.6956493235855199</v>
      </c>
      <c r="N581" s="72">
        <f t="shared" si="301"/>
        <v>0.60190910058780356</v>
      </c>
      <c r="O581" s="72">
        <f t="shared" si="302"/>
        <v>0.60030475500370284</v>
      </c>
      <c r="P581" s="72">
        <f t="shared" si="303"/>
        <v>0.8847341151650534</v>
      </c>
      <c r="Q581" s="72"/>
      <c r="R581" s="72"/>
      <c r="S581" s="72">
        <f t="shared" si="304"/>
        <v>0.49493918382360391</v>
      </c>
      <c r="T581" s="72">
        <f t="shared" si="305"/>
        <v>0.82680902648712706</v>
      </c>
      <c r="U581" s="72">
        <f t="shared" si="306"/>
        <v>0.51</v>
      </c>
      <c r="V581" s="72">
        <f t="shared" si="307"/>
        <v>0.49209109702404197</v>
      </c>
      <c r="W581" s="72">
        <f t="shared" si="308"/>
        <v>0.76013198757763978</v>
      </c>
      <c r="X581" s="72">
        <f t="shared" si="309"/>
        <v>0.16204311406071992</v>
      </c>
      <c r="Y581" s="72">
        <f t="shared" si="310"/>
        <v>0.30435067641448005</v>
      </c>
      <c r="Z581" s="72">
        <f t="shared" si="311"/>
        <v>0.39809089941219644</v>
      </c>
      <c r="AA581" s="72">
        <f t="shared" si="312"/>
        <v>0.39969524499629716</v>
      </c>
      <c r="AB581" s="72">
        <f t="shared" si="313"/>
        <v>0.1152658848349466</v>
      </c>
      <c r="AC581" s="72"/>
      <c r="AD581" s="72"/>
      <c r="AE581" s="72">
        <f t="shared" si="314"/>
        <v>0.50506081617639609</v>
      </c>
      <c r="AF581" s="72">
        <f t="shared" si="315"/>
        <v>0.17319097351287299</v>
      </c>
      <c r="AG581" s="72">
        <f t="shared" si="316"/>
        <v>0.49</v>
      </c>
      <c r="AH581" s="72">
        <f t="shared" si="317"/>
        <v>0.50790890297595803</v>
      </c>
      <c r="AI581" s="72">
        <f t="shared" si="318"/>
        <v>0.23986801242236025</v>
      </c>
      <c r="AJ581" s="72">
        <f>(AV581-Driver!$K$179)/(Driver!$L$179-Driver!$K$179)</f>
        <v>9.2176295221980495E-2</v>
      </c>
      <c r="AK581" s="72">
        <f>(AW581-Driver!$K$180)/(Driver!$L$180-Driver!$K$180)</f>
        <v>0.38333211162612402</v>
      </c>
      <c r="AL581" s="72">
        <f>(AX581-Driver!$K$181)/(Driver!$L$181-Driver!$K$181)</f>
        <v>0.49977866312527663</v>
      </c>
      <c r="AM581" s="72">
        <f>(AY581-Driver!$K$182)/(Driver!$L$182-Driver!$K$182)</f>
        <v>4.7689776100749176E-2</v>
      </c>
      <c r="AN581" s="72">
        <f>(AZ581-Driver!$K$183)/(Driver!$L$183-Driver!$K$183)</f>
        <v>0.36948529411764702</v>
      </c>
      <c r="AO581" s="72"/>
      <c r="AP581" s="72"/>
      <c r="AQ581" s="72">
        <f>(BC581-Driver!$K$188)/(Driver!$L$188-Driver!$K$188)</f>
        <v>0.11493918382360385</v>
      </c>
      <c r="AR581" s="72">
        <f>MIN((BD581-Driver!$K$189)/(Driver!$L$189-Driver!$K$189),100%)</f>
        <v>0.37680902648712705</v>
      </c>
      <c r="AS581" s="72">
        <f>(BE581-Driver!$K$190)/(Driver!$L$190-Driver!$K$190)</f>
        <v>1</v>
      </c>
      <c r="AT581" s="72">
        <f>(BF581-Driver!$K$191)/(Driver!$L$191-Driver!$K$191)</f>
        <v>2.0910970240420076E-3</v>
      </c>
      <c r="AU581" s="72">
        <f>(BG581-Driver!$K$192)/(Driver!$L$192-Driver!$K$192)</f>
        <v>1.0131987577639751E-2</v>
      </c>
      <c r="AV581" s="70">
        <f t="shared" si="319"/>
        <v>1.9400352733686068</v>
      </c>
      <c r="AW581" s="70">
        <f t="shared" si="320"/>
        <v>39.231003567470623</v>
      </c>
      <c r="AX581" s="70">
        <f t="shared" si="321"/>
        <v>5.4980079681274896</v>
      </c>
      <c r="AY581" s="70">
        <f>IFERROR(Driver!$K$19/Data!BH581/Data!BI581*Data!BK581*Data!BL581,"")</f>
        <v>5.8386515203152758E-2</v>
      </c>
      <c r="AZ581" s="70">
        <f t="shared" si="322"/>
        <v>33.674609084139981</v>
      </c>
      <c r="BA581" s="70"/>
      <c r="BB581" s="70"/>
      <c r="BC581" s="70">
        <f t="shared" si="323"/>
        <v>59.619753693545903</v>
      </c>
      <c r="BD581" s="70">
        <f t="shared" si="324"/>
        <v>35.067754062121416</v>
      </c>
      <c r="BE581" s="70">
        <f t="shared" si="325"/>
        <v>1</v>
      </c>
      <c r="BF581" s="70">
        <f t="shared" si="326"/>
        <v>0.23617471807751023</v>
      </c>
      <c r="BG581" s="70">
        <f t="shared" si="327"/>
        <v>3.8366168478260868E-2</v>
      </c>
      <c r="BH581" s="67">
        <f>MAX((CE581-Driver!$F$200)/(Driver!$G$200-Driver!$F$200)*$BI$1,1)</f>
        <v>5.4980079681274896</v>
      </c>
      <c r="BI581" s="67">
        <f>MAX($BI$1*(BY581-Driver!$F$201)/(Driver!$G$201-Driver!$F$201),1)</f>
        <v>8.5443037974683538</v>
      </c>
      <c r="BJ581" s="67">
        <f>(CB581-Driver!$F$206)/(Driver!$G$206-Driver!$F$206)*$BI$1</f>
        <v>1.746031746031746</v>
      </c>
      <c r="BK581" s="67">
        <f>(CD581-Driver!$F$203)/(Driver!$G$203-Driver!$F$203)*$BI$1</f>
        <v>2.3394495412844036</v>
      </c>
      <c r="BL581" s="67">
        <f>MAX((CR581-Driver!$F$202)/(Driver!$G$202-Driver!$F$202)*$BI$1,1)</f>
        <v>5.8620689655172411</v>
      </c>
      <c r="BM581" s="67">
        <f>MAX((CH581-Driver!$F$204)/(Driver!$G$204-Driver!$F$204)*$BI$1,1)</f>
        <v>4.4444444444444446</v>
      </c>
      <c r="BN581" s="67">
        <f>(CI581-Driver!$F$205)/(Driver!$G$205-Driver!$F$205)*$BI$1</f>
        <v>3.9411764705882351</v>
      </c>
      <c r="BO581" s="67">
        <f>(CK581-Driver!$F$207)/(Driver!$G$207-Driver!$F$207)*$BI$1</f>
        <v>0.55842812823164423</v>
      </c>
      <c r="BP581" s="67">
        <f>(CM581-Driver!$F$208)/(Driver!$G$208-Driver!$F$208)*$BI$1</f>
        <v>0.56666666666666665</v>
      </c>
      <c r="BQ581" s="67">
        <f>(CL581-Driver!$F$209)/(Driver!$G$209-Driver!$F$209)*$BI$1</f>
        <v>0.9375</v>
      </c>
      <c r="BR581" s="28" t="s">
        <v>155</v>
      </c>
      <c r="BS581" s="8" t="s">
        <v>317</v>
      </c>
      <c r="BT581" s="9" t="s">
        <v>639</v>
      </c>
      <c r="BU581" s="10">
        <v>165</v>
      </c>
      <c r="BV581" s="9" t="s">
        <v>158</v>
      </c>
      <c r="BW581" s="10">
        <v>165</v>
      </c>
      <c r="BX581" s="10">
        <v>164.3</v>
      </c>
      <c r="BY581" s="10">
        <v>143</v>
      </c>
      <c r="BZ581" s="10">
        <v>152</v>
      </c>
      <c r="CA581" s="10">
        <v>124</v>
      </c>
      <c r="CB581" s="10">
        <v>75</v>
      </c>
      <c r="CC581" s="10">
        <v>104</v>
      </c>
      <c r="CD581" s="10">
        <v>14.5</v>
      </c>
      <c r="CE581" s="10">
        <v>1866</v>
      </c>
      <c r="CF581" s="10">
        <v>0.79</v>
      </c>
      <c r="CG581" s="10">
        <v>1470</v>
      </c>
      <c r="CH581" s="10">
        <v>205</v>
      </c>
      <c r="CI581" s="10">
        <v>100</v>
      </c>
      <c r="CJ581" s="10">
        <v>42</v>
      </c>
      <c r="CK581" s="10">
        <v>164</v>
      </c>
      <c r="CL581" s="10">
        <v>6</v>
      </c>
      <c r="CM581" s="10">
        <v>51</v>
      </c>
      <c r="CN581" s="10">
        <v>0.152</v>
      </c>
      <c r="CO581" s="10">
        <v>69</v>
      </c>
      <c r="CP581" s="10">
        <v>58</v>
      </c>
      <c r="CQ581" s="10">
        <v>95</v>
      </c>
      <c r="CR581" s="10">
        <v>6</v>
      </c>
      <c r="CS581" s="10">
        <v>11.7</v>
      </c>
      <c r="CT581" s="9" t="s">
        <v>349</v>
      </c>
      <c r="CU581" s="10"/>
      <c r="CV581" s="10"/>
      <c r="CW581" s="10"/>
      <c r="CX581" t="str">
        <f>INDEX('Data_Price '!AG$2:AG$1266,MATCH(Data!$DN581,'Data_Price '!$AT$2:$AT$1266,0))</f>
        <v>Blizzard Thunderbird Sport R14 Ti 165 cm</v>
      </c>
      <c r="CY581" t="str">
        <f>INDEX('Data_Price '!AH$2:AH$1266,MATCH(Data!$DN581,'Data_Price '!$AT$2:$AT$1266,0))</f>
        <v>SportÃ¨que</v>
      </c>
      <c r="CZ581">
        <f>INDEX('Data_Price '!AI$2:AI$1266,MATCH(Data!$DN581,'Data_Price '!$AT$2:$AT$1266,0))</f>
        <v>641.37</v>
      </c>
      <c r="DA581" t="str">
        <f>INDEX('Data_Price '!AJ$2:AJ$1266,MATCH(Data!$DN581,'Data_Price '!$AT$2:$AT$1266,0))</f>
        <v>https://tinyurl.com/y7pybm57</v>
      </c>
      <c r="DB581" t="str">
        <f>INDEX('Data_Price '!AK$2:AK$1266,MATCH(Data!$DN581,'Data_Price '!$AT$2:$AT$1266,0))</f>
        <v>Blizzard Thunderbird Sport R14 Ti 165 cm</v>
      </c>
      <c r="DC581" t="str">
        <f>INDEX('Data_Price '!AL$2:AL$1266,MATCH(Data!$DN581,'Data_Price '!$AT$2:$AT$1266,0))</f>
        <v>BlueZone Sports</v>
      </c>
      <c r="DD581">
        <f>INDEX('Data_Price '!AM$2:AM$1266,MATCH(Data!$DN581,'Data_Price '!$AT$2:$AT$1266,0))</f>
        <v>699.95</v>
      </c>
      <c r="DE581" t="str">
        <f>INDEX('Data_Price '!AN$2:AN$1266,MATCH(Data!$DN581,'Data_Price '!$AT$2:$AT$1266,0))</f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F581" t="str">
        <f>INDEX('Data_Price '!AO$2:AO$1266,MATCH(Data!$DN581,'Data_Price '!$AT$2:$AT$1266,0))</f>
        <v>Blizzard Thunderbird Sport CA Skis w/ TPC 11 Bindings</v>
      </c>
      <c r="DG581" t="str">
        <f>INDEX('Data_Price '!AP$2:AP$1266,MATCH(Data!$DN581,'Data_Price '!$AT$2:$AT$1266,0))</f>
        <v>The-House.com</v>
      </c>
      <c r="DH581">
        <f>INDEX('Data_Price '!AQ$2:AQ$1266,MATCH(Data!$DN581,'Data_Price '!$AT$2:$AT$1266,0))</f>
        <v>599.95000000000005</v>
      </c>
      <c r="DI581" t="str">
        <f>INDEX('Data_Price '!AR$2:AR$1266,MATCH(Data!$DN581,'Data_Price '!$AT$2:$AT$1266,0))</f>
        <v>https://tinyurl.com/y8aac63t</v>
      </c>
      <c r="DJ581" s="89" t="str">
        <f t="shared" si="328"/>
        <v>https://tinyurl.com/y7pybm57</v>
      </c>
      <c r="DK581" s="89" t="str">
        <f t="shared" si="329"/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L581" s="89" t="str">
        <f t="shared" si="330"/>
        <v>https://tinyurl.com/y8aac63t</v>
      </c>
      <c r="DM581" s="219" t="str">
        <f t="shared" si="331"/>
        <v>Thunderbird Sport Ti</v>
      </c>
      <c r="DN581" s="89" t="str">
        <f t="shared" si="332"/>
        <v xml:space="preserve"> BlizzardThunderbird Sport Ti165 Unisex</v>
      </c>
      <c r="DO581" s="221" t="s">
        <v>640</v>
      </c>
    </row>
    <row r="582" spans="2:119" ht="15.6" customHeight="1">
      <c r="B582" s="219" t="b">
        <f t="array" ref="B582">IF(OR(ISERROR(K582:P582)),FALSE,TRUE)</f>
        <v>1</v>
      </c>
      <c r="C582" s="43" t="b">
        <f>OR(BR582=Driver!$G$50,Data!BR1030=Driver!$H$50)</f>
        <v>1</v>
      </c>
      <c r="D582" s="43" t="b">
        <f>OR(BV582=Driver!$G$51,BV582=Driver!$H$51)</f>
        <v>1</v>
      </c>
      <c r="E582" s="43" t="b">
        <f>AND(BX582&gt;Driver!$F$54,BX582&lt;Driver!$G$54)</f>
        <v>0</v>
      </c>
      <c r="F582" s="43" t="b">
        <f>CL582&gt;Driver!$F$56</f>
        <v>1</v>
      </c>
      <c r="G582" s="43" t="b">
        <f>AND(CB582&gt;Driver!$F$55,CB582&lt;Driver!$G$55)</f>
        <v>0</v>
      </c>
      <c r="H582" s="43" t="b">
        <f t="shared" si="296"/>
        <v>0</v>
      </c>
      <c r="I582" s="43">
        <f t="shared" si="297"/>
        <v>0</v>
      </c>
      <c r="J582" s="43" t="b">
        <f t="array" ref="J582">NOT(OR(($H$9:$H$1273=TRUE)*($I$9:$I$1273&gt;0)*($BT$9:$BT$1273=BT582)*($K$9:$K$1273&gt;K582)))</f>
        <v>1</v>
      </c>
      <c r="K582" s="72">
        <f t="shared" si="298"/>
        <v>0.76794961272690898</v>
      </c>
      <c r="L582" s="72">
        <f t="shared" si="299"/>
        <v>0.83352533328437717</v>
      </c>
      <c r="M582" s="72">
        <f t="shared" si="300"/>
        <v>0.70237389216944079</v>
      </c>
      <c r="N582" s="72">
        <f t="shared" si="301"/>
        <v>0.59305562559887037</v>
      </c>
      <c r="O582" s="72">
        <f t="shared" si="302"/>
        <v>0.61768977888165355</v>
      </c>
      <c r="P582" s="72">
        <f t="shared" si="303"/>
        <v>0.89637627202779846</v>
      </c>
      <c r="Q582" s="72"/>
      <c r="R582" s="72"/>
      <c r="S582" s="72">
        <f t="shared" si="304"/>
        <v>0.52237068260191566</v>
      </c>
      <c r="T582" s="72">
        <f t="shared" si="305"/>
        <v>0.92998019058906278</v>
      </c>
      <c r="U582" s="72">
        <f t="shared" si="306"/>
        <v>0.51</v>
      </c>
      <c r="V582" s="72">
        <f t="shared" si="307"/>
        <v>0.49097144183782537</v>
      </c>
      <c r="W582" s="72">
        <f t="shared" si="308"/>
        <v>0.75715339854950248</v>
      </c>
      <c r="X582" s="72">
        <f t="shared" si="309"/>
        <v>0.16647466671562283</v>
      </c>
      <c r="Y582" s="72">
        <f t="shared" si="310"/>
        <v>0.29762610783055921</v>
      </c>
      <c r="Z582" s="72">
        <f t="shared" si="311"/>
        <v>0.40694437440112963</v>
      </c>
      <c r="AA582" s="72">
        <f t="shared" si="312"/>
        <v>0.38231022111834645</v>
      </c>
      <c r="AB582" s="72">
        <f t="shared" si="313"/>
        <v>0.10362372797220154</v>
      </c>
      <c r="AC582" s="72"/>
      <c r="AD582" s="72"/>
      <c r="AE582" s="72">
        <f t="shared" si="314"/>
        <v>0.47762931739808434</v>
      </c>
      <c r="AF582" s="72">
        <f t="shared" si="315"/>
        <v>7.0019809410937217E-2</v>
      </c>
      <c r="AG582" s="72">
        <f t="shared" si="316"/>
        <v>0.49</v>
      </c>
      <c r="AH582" s="72">
        <f t="shared" si="317"/>
        <v>0.50902855816217463</v>
      </c>
      <c r="AI582" s="72">
        <f t="shared" si="318"/>
        <v>0.24284660145049755</v>
      </c>
      <c r="AJ582" s="72">
        <f>(AV582-Driver!$K$179)/(Driver!$L$179-Driver!$K$179)</f>
        <v>8.774474256707758E-2</v>
      </c>
      <c r="AK582" s="72">
        <f>(AW582-Driver!$K$180)/(Driver!$L$180-Driver!$K$180)</f>
        <v>0.37348086163070371</v>
      </c>
      <c r="AL582" s="72">
        <f>(AX582-Driver!$K$181)/(Driver!$L$181-Driver!$K$181)</f>
        <v>0.50863213811420982</v>
      </c>
      <c r="AM582" s="72">
        <f>(AY582-Driver!$K$182)/(Driver!$L$182-Driver!$K$182)</f>
        <v>6.5074799978699902E-2</v>
      </c>
      <c r="AN582" s="72">
        <f>(AZ582-Driver!$K$183)/(Driver!$L$183-Driver!$K$183)</f>
        <v>0.35784313725490197</v>
      </c>
      <c r="AO582" s="72"/>
      <c r="AP582" s="72"/>
      <c r="AQ582" s="72">
        <f>(BC582-Driver!$K$188)/(Driver!$L$188-Driver!$K$188)</f>
        <v>0.14237068260191563</v>
      </c>
      <c r="AR582" s="72">
        <f>MIN((BD582-Driver!$K$189)/(Driver!$L$189-Driver!$K$189),100%)</f>
        <v>0.62001980941093726</v>
      </c>
      <c r="AS582" s="72">
        <f>(BE582-Driver!$K$190)/(Driver!$L$190-Driver!$K$190)</f>
        <v>1</v>
      </c>
      <c r="AT582" s="72">
        <f>(BF582-Driver!$K$191)/(Driver!$L$191-Driver!$K$191)</f>
        <v>9.7144183782536982E-4</v>
      </c>
      <c r="AU582" s="72">
        <f>(BG582-Driver!$K$192)/(Driver!$L$192-Driver!$K$192)</f>
        <v>7.1533985495024453E-3</v>
      </c>
      <c r="AV582" s="70">
        <f t="shared" si="319"/>
        <v>1.8467643467643466</v>
      </c>
      <c r="AW582" s="70">
        <f t="shared" si="320"/>
        <v>38.27091196446198</v>
      </c>
      <c r="AX582" s="70">
        <f t="shared" si="321"/>
        <v>5.5776892430278879</v>
      </c>
      <c r="AY582" s="70">
        <f>IFERROR(Driver!$K$19/Data!BH582/Data!BI582*Data!BK582*Data!BL582,"")</f>
        <v>7.9670971620242087E-2</v>
      </c>
      <c r="AZ582" s="70">
        <f t="shared" si="322"/>
        <v>32.613551749813851</v>
      </c>
      <c r="BA582" s="70"/>
      <c r="BB582" s="70"/>
      <c r="BC582" s="70">
        <f t="shared" si="323"/>
        <v>73.848662810541882</v>
      </c>
      <c r="BD582" s="70">
        <f t="shared" si="324"/>
        <v>56.591477406871583</v>
      </c>
      <c r="BE582" s="70">
        <f t="shared" si="325"/>
        <v>1</v>
      </c>
      <c r="BF582" s="70">
        <f t="shared" si="326"/>
        <v>0.10971753081721002</v>
      </c>
      <c r="BG582" s="70">
        <f t="shared" si="327"/>
        <v>2.7087330283353011E-2</v>
      </c>
      <c r="BH582" s="67">
        <f>MAX((CE582-Driver!$F$200)/(Driver!$G$200-Driver!$F$200)*$BI$1,1)</f>
        <v>5.5776892430278879</v>
      </c>
      <c r="BI582" s="67">
        <f>MAX($BI$1*(BY582-Driver!$F$201)/(Driver!$G$201-Driver!$F$201),1)</f>
        <v>9.2405063291139236</v>
      </c>
      <c r="BJ582" s="67">
        <f>(CB582-Driver!$F$206)/(Driver!$G$206-Driver!$F$206)*$BI$1</f>
        <v>1.4285714285714284</v>
      </c>
      <c r="BK582" s="67">
        <f>(CD582-Driver!$F$203)/(Driver!$G$203-Driver!$F$203)*$BI$1</f>
        <v>2.7064220183486243</v>
      </c>
      <c r="BL582" s="67">
        <f>MAX((CR582-Driver!$F$202)/(Driver!$G$202-Driver!$F$202)*$BI$1,1)</f>
        <v>7.5862068965517242</v>
      </c>
      <c r="BM582" s="67">
        <f>MAX((CH582-Driver!$F$204)/(Driver!$G$204-Driver!$F$204)*$BI$1,1)</f>
        <v>5.1709401709401712</v>
      </c>
      <c r="BN582" s="67">
        <f>(CI582-Driver!$F$205)/(Driver!$G$205-Driver!$F$205)*$BI$1</f>
        <v>3.5294117647058827</v>
      </c>
      <c r="BO582" s="67">
        <f>(CK582-Driver!$F$207)/(Driver!$G$207-Driver!$F$207)*$BI$1</f>
        <v>0.27921406411582211</v>
      </c>
      <c r="BP582" s="67">
        <f>(CM582-Driver!$F$208)/(Driver!$G$208-Driver!$F$208)*$BI$1</f>
        <v>0.74444444444444435</v>
      </c>
      <c r="BQ582" s="67">
        <f>(CL582-Driver!$F$209)/(Driver!$G$209-Driver!$F$209)*$BI$1</f>
        <v>0.78125</v>
      </c>
      <c r="BR582" s="28" t="s">
        <v>155</v>
      </c>
      <c r="BS582" s="8" t="s">
        <v>172</v>
      </c>
      <c r="BT582" s="9" t="s">
        <v>676</v>
      </c>
      <c r="BU582" s="10">
        <v>175</v>
      </c>
      <c r="BV582" s="9" t="s">
        <v>158</v>
      </c>
      <c r="BW582" s="10">
        <v>175</v>
      </c>
      <c r="BX582" s="10">
        <v>174.6</v>
      </c>
      <c r="BY582" s="10">
        <v>154</v>
      </c>
      <c r="BZ582" s="10">
        <v>161</v>
      </c>
      <c r="CA582" s="10">
        <v>122</v>
      </c>
      <c r="CB582" s="10">
        <v>73</v>
      </c>
      <c r="CC582" s="10">
        <v>108</v>
      </c>
      <c r="CD582" s="10">
        <v>15.3</v>
      </c>
      <c r="CE582" s="10">
        <v>1880</v>
      </c>
      <c r="CF582" s="10">
        <v>0.82</v>
      </c>
      <c r="CG582" s="10">
        <v>1542</v>
      </c>
      <c r="CH582" s="10">
        <v>222</v>
      </c>
      <c r="CI582" s="10">
        <v>93</v>
      </c>
      <c r="CJ582" s="10">
        <v>37</v>
      </c>
      <c r="CK582" s="10">
        <v>137</v>
      </c>
      <c r="CL582" s="10">
        <v>5</v>
      </c>
      <c r="CM582" s="10">
        <v>67</v>
      </c>
      <c r="CN582" s="10">
        <v>0.13</v>
      </c>
      <c r="CO582" s="10">
        <v>75</v>
      </c>
      <c r="CP582" s="10">
        <v>62</v>
      </c>
      <c r="CQ582" s="10">
        <v>62</v>
      </c>
      <c r="CR582" s="10">
        <v>11</v>
      </c>
      <c r="CS582" s="10">
        <v>10.3</v>
      </c>
      <c r="CT582" s="9" t="s">
        <v>349</v>
      </c>
      <c r="CU582" s="10"/>
      <c r="CV582" s="10"/>
      <c r="CW582" s="10"/>
      <c r="CX582" t="str">
        <f>INDEX('Data_Price '!AG$2:AG$1266,MATCH(Data!$DN582,'Data_Price '!$AT$2:$AT$1266,0))</f>
        <v>Rossignol Hero Elite MT Ti</v>
      </c>
      <c r="CY582" t="str">
        <f>INDEX('Data_Price '!AH$2:AH$1266,MATCH(Data!$DN582,'Data_Price '!$AT$2:$AT$1266,0))</f>
        <v>Suburban Ski and Bike</v>
      </c>
      <c r="CZ582">
        <f>INDEX('Data_Price '!AI$2:AI$1266,MATCH(Data!$DN582,'Data_Price '!$AT$2:$AT$1266,0))</f>
        <v>639.95000000000005</v>
      </c>
      <c r="DA582" t="str">
        <f>INDEX('Data_Price '!AJ$2:AJ$1266,MATCH(Data!$DN582,'Data_Price '!$AT$2:$AT$1266,0))</f>
        <v>https://tinyurl.com/y7nchkkb</v>
      </c>
      <c r="DB582" t="str">
        <f>INDEX('Data_Price '!AK$2:AK$1266,MATCH(Data!$DN582,'Data_Price '!$AT$2:$AT$1266,0))</f>
        <v>Rossignol HERO ELITE MT TI + SPX12.GW BI Racing Ski 2022 175</v>
      </c>
      <c r="DC582" t="str">
        <f>INDEX('Data_Price '!AL$2:AL$1266,MATCH(Data!$DN582,'Data_Price '!$AT$2:$AT$1266,0))</f>
        <v>Boyne Country Sports</v>
      </c>
      <c r="DD582">
        <f>INDEX('Data_Price '!AM$2:AM$1266,MATCH(Data!$DN582,'Data_Price '!$AT$2:$AT$1266,0))</f>
        <v>900</v>
      </c>
      <c r="DE582" t="str">
        <f>INDEX('Data_Price '!AN$2:AN$1266,MATCH(Data!$DN582,'Data_Price '!$AT$2:$AT$1266,0))</f>
        <v>https://tinyurl.com/yag3wmo3</v>
      </c>
      <c r="DF582" t="str">
        <f>INDEX('Data_Price '!AO$2:AO$1266,MATCH(Data!$DN582,'Data_Price '!$AT$2:$AT$1266,0))</f>
        <v>Rossignol Unisex Racing Skis Hero Athlete GS Â· 175 cm</v>
      </c>
      <c r="DG582" t="str">
        <f>INDEX('Data_Price '!AP$2:AP$1266,MATCH(Data!$DN582,'Data_Price '!$AT$2:$AT$1266,0))</f>
        <v>Gear West Ski &amp; Bike</v>
      </c>
      <c r="DH582">
        <f>INDEX('Data_Price '!AQ$2:AQ$1266,MATCH(Data!$DN582,'Data_Price '!$AT$2:$AT$1266,0))</f>
        <v>1125</v>
      </c>
      <c r="DI582" t="str">
        <f>INDEX('Data_Price '!AR$2:AR$1266,MATCH(Data!$DN582,'Data_Price '!$AT$2:$AT$1266,0))</f>
        <v>https://tinyurl.com/ycf9bx5q</v>
      </c>
      <c r="DJ582" s="89" t="str">
        <f t="shared" si="328"/>
        <v>https://tinyurl.com/y7nchkkb</v>
      </c>
      <c r="DK582" s="89" t="str">
        <f t="shared" si="329"/>
        <v>https://tinyurl.com/yag3wmo3</v>
      </c>
      <c r="DL582" s="89" t="str">
        <f t="shared" si="330"/>
        <v>https://tinyurl.com/ycf9bx5q</v>
      </c>
      <c r="DM582" s="219" t="str">
        <f t="shared" si="331"/>
        <v>Hero Elite Multi Turn Ti</v>
      </c>
      <c r="DN582" s="89" t="str">
        <f t="shared" si="332"/>
        <v xml:space="preserve"> RossignolHero Elite Multi Turn Ti175 Unisex</v>
      </c>
      <c r="DO582" s="221"/>
    </row>
    <row r="583" spans="2:119" ht="15.6" customHeight="1">
      <c r="B583" s="219" t="b">
        <f t="array" ref="B583">IF(OR(ISERROR(K583:P583)),FALSE,TRUE)</f>
        <v>1</v>
      </c>
      <c r="C583" s="43" t="b">
        <f>OR(BR583=Driver!$G$50,Data!BR657=Driver!$H$50)</f>
        <v>1</v>
      </c>
      <c r="D583" s="43" t="b">
        <f>OR(BV583=Driver!$G$51,BV583=Driver!$H$51)</f>
        <v>1</v>
      </c>
      <c r="E583" s="43" t="b">
        <f>AND(BX583&gt;Driver!$F$54,BX583&lt;Driver!$G$54)</f>
        <v>0</v>
      </c>
      <c r="F583" s="43" t="b">
        <f>CL583&gt;Driver!$F$56</f>
        <v>1</v>
      </c>
      <c r="G583" s="43" t="b">
        <f>AND(CB583&gt;Driver!$F$55,CB583&lt;Driver!$G$55)</f>
        <v>0</v>
      </c>
      <c r="H583" s="43" t="b">
        <f t="shared" si="296"/>
        <v>0</v>
      </c>
      <c r="I583" s="43">
        <f t="shared" si="297"/>
        <v>0</v>
      </c>
      <c r="J583" s="43" t="b">
        <f t="array" ref="J583">NOT(OR(($H$9:$H$1273=TRUE)*($I$9:$I$1273&gt;0)*($BT$9:$BT$1273=BT583)*($K$9:$K$1273&gt;K583)))</f>
        <v>1</v>
      </c>
      <c r="K583" s="72">
        <f t="shared" si="298"/>
        <v>0.75128495376587767</v>
      </c>
      <c r="L583" s="72">
        <f t="shared" si="299"/>
        <v>0.79348021202098185</v>
      </c>
      <c r="M583" s="72">
        <f t="shared" si="300"/>
        <v>0.7090896955107735</v>
      </c>
      <c r="N583" s="72">
        <f t="shared" si="301"/>
        <v>0.60064431844652721</v>
      </c>
      <c r="O583" s="72">
        <f t="shared" si="302"/>
        <v>0.59144130651551108</v>
      </c>
      <c r="P583" s="72">
        <f t="shared" si="303"/>
        <v>0.93518346157028209</v>
      </c>
      <c r="Q583" s="72"/>
      <c r="R583" s="72"/>
      <c r="S583" s="72">
        <f t="shared" si="304"/>
        <v>0.45073810778057621</v>
      </c>
      <c r="T583" s="72">
        <f t="shared" si="305"/>
        <v>0.66716023250409529</v>
      </c>
      <c r="U583" s="72">
        <f t="shared" si="306"/>
        <v>0.51</v>
      </c>
      <c r="V583" s="72">
        <f t="shared" si="307"/>
        <v>0.49136998992603687</v>
      </c>
      <c r="W583" s="72">
        <f t="shared" si="308"/>
        <v>0.76421012955103862</v>
      </c>
      <c r="X583" s="72">
        <f t="shared" si="309"/>
        <v>0.20651978797901821</v>
      </c>
      <c r="Y583" s="72">
        <f t="shared" si="310"/>
        <v>0.29091030448922656</v>
      </c>
      <c r="Z583" s="72">
        <f t="shared" si="311"/>
        <v>0.39935568155347279</v>
      </c>
      <c r="AA583" s="72">
        <f t="shared" si="312"/>
        <v>0.40855869348448898</v>
      </c>
      <c r="AB583" s="72">
        <f t="shared" si="313"/>
        <v>6.4816538429717907E-2</v>
      </c>
      <c r="AC583" s="72"/>
      <c r="AD583" s="72"/>
      <c r="AE583" s="72">
        <f t="shared" si="314"/>
        <v>0.54926189221942379</v>
      </c>
      <c r="AF583" s="72">
        <f t="shared" si="315"/>
        <v>0.33283976749590471</v>
      </c>
      <c r="AG583" s="72">
        <f t="shared" si="316"/>
        <v>0.49</v>
      </c>
      <c r="AH583" s="72">
        <f t="shared" si="317"/>
        <v>0.50863001007396313</v>
      </c>
      <c r="AI583" s="72">
        <f t="shared" si="318"/>
        <v>0.23578987044896135</v>
      </c>
      <c r="AJ583" s="72">
        <f>(AV583-Driver!$K$179)/(Driver!$L$179-Driver!$K$179)</f>
        <v>4.7699621303682209E-2</v>
      </c>
      <c r="AK583" s="72">
        <f>(AW583-Driver!$K$180)/(Driver!$L$180-Driver!$K$180)</f>
        <v>0.3361595555427932</v>
      </c>
      <c r="AL583" s="72">
        <f>(AX583-Driver!$K$181)/(Driver!$L$181-Driver!$K$181)</f>
        <v>0.50104344526655298</v>
      </c>
      <c r="AM583" s="72">
        <f>(AY583-Driver!$K$182)/(Driver!$L$182-Driver!$K$182)</f>
        <v>3.8826327612557374E-2</v>
      </c>
      <c r="AN583" s="72">
        <f>(AZ583-Driver!$K$183)/(Driver!$L$183-Driver!$K$183)</f>
        <v>0.31903594771241833</v>
      </c>
      <c r="AO583" s="72"/>
      <c r="AP583" s="72"/>
      <c r="AQ583" s="72">
        <f>(BC583-Driver!$K$188)/(Driver!$L$188-Driver!$K$188)</f>
        <v>7.0738107780576251E-2</v>
      </c>
      <c r="AR583" s="72">
        <f>MIN((BD583-Driver!$K$189)/(Driver!$L$189-Driver!$K$189),100%)</f>
        <v>0.88283976749590476</v>
      </c>
      <c r="AS583" s="72">
        <f>(BE583-Driver!$K$190)/(Driver!$L$190-Driver!$K$190)</f>
        <v>1</v>
      </c>
      <c r="AT583" s="72">
        <f>(BF583-Driver!$K$191)/(Driver!$L$191-Driver!$K$191)</f>
        <v>1.3699899260368621E-3</v>
      </c>
      <c r="AU583" s="72">
        <f>(BG583-Driver!$K$192)/(Driver!$L$192-Driver!$K$192)</f>
        <v>1.4210129551038638E-2</v>
      </c>
      <c r="AV583" s="70">
        <f t="shared" si="319"/>
        <v>1.0039343372676706</v>
      </c>
      <c r="AW583" s="70">
        <f t="shared" si="320"/>
        <v>34.633619985781536</v>
      </c>
      <c r="AX583" s="70">
        <f t="shared" si="321"/>
        <v>5.5093910073989765</v>
      </c>
      <c r="AY583" s="70">
        <f>IFERROR(Driver!$K$19/Data!BH583/Data!BI583*Data!BK583*Data!BL583,"")</f>
        <v>4.7535009655823461E-2</v>
      </c>
      <c r="AZ583" s="70">
        <f t="shared" si="322"/>
        <v>29.076693968726733</v>
      </c>
      <c r="BA583" s="70"/>
      <c r="BB583" s="70"/>
      <c r="BC583" s="70">
        <f t="shared" si="323"/>
        <v>36.692348269132033</v>
      </c>
      <c r="BD583" s="70">
        <f t="shared" si="324"/>
        <v>79.850578007981767</v>
      </c>
      <c r="BE583" s="70">
        <f t="shared" si="325"/>
        <v>1</v>
      </c>
      <c r="BF583" s="70">
        <f t="shared" si="326"/>
        <v>0.15473073742191176</v>
      </c>
      <c r="BG583" s="70">
        <f t="shared" si="327"/>
        <v>5.3808615562876916E-2</v>
      </c>
      <c r="BH583" s="67">
        <f>MAX((CE583-Driver!$F$200)/(Driver!$G$200-Driver!$F$200)*$BI$1,1)</f>
        <v>5.5093910073989765</v>
      </c>
      <c r="BI583" s="67">
        <f>MAX($BI$1*(BY583-Driver!$F$201)/(Driver!$G$201-Driver!$F$201),1)</f>
        <v>8.9873417721518987</v>
      </c>
      <c r="BJ583" s="67">
        <f>(CB583-Driver!$F$206)/(Driver!$G$206-Driver!$F$206)*$BI$1</f>
        <v>1.2698412698412698</v>
      </c>
      <c r="BK583" s="67">
        <f>(CD583-Driver!$F$203)/(Driver!$G$203-Driver!$F$203)*$BI$1</f>
        <v>1.4220183486238533</v>
      </c>
      <c r="BL583" s="67">
        <f>MAX((CR583-Driver!$F$202)/(Driver!$G$202-Driver!$F$202)*$BI$1,1)</f>
        <v>8.2758620689655178</v>
      </c>
      <c r="BM583" s="67">
        <f>MAX((CH583-Driver!$F$204)/(Driver!$G$204-Driver!$F$204)*$BI$1,1)</f>
        <v>3.1623931623931623</v>
      </c>
      <c r="BN583" s="67">
        <f>(CI583-Driver!$F$205)/(Driver!$G$205-Driver!$F$205)*$BI$1</f>
        <v>3.2352941176470589</v>
      </c>
      <c r="BO583" s="67">
        <f>(CK583-Driver!$F$207)/(Driver!$G$207-Driver!$F$207)*$BI$1</f>
        <v>0.26887280248190282</v>
      </c>
      <c r="BP583" s="67">
        <f>(CM583-Driver!$F$208)/(Driver!$G$208-Driver!$F$208)*$BI$1</f>
        <v>0.64444444444444438</v>
      </c>
      <c r="BQ583" s="67">
        <f>(CL583-Driver!$F$209)/(Driver!$G$209-Driver!$F$209)*$BI$1</f>
        <v>0.9375</v>
      </c>
      <c r="BR583" s="28" t="s">
        <v>155</v>
      </c>
      <c r="BS583" s="8" t="s">
        <v>167</v>
      </c>
      <c r="BT583" s="9" t="s">
        <v>677</v>
      </c>
      <c r="BU583" s="10">
        <v>170</v>
      </c>
      <c r="BV583" s="9" t="s">
        <v>158</v>
      </c>
      <c r="BW583" s="10">
        <v>170</v>
      </c>
      <c r="BX583" s="10">
        <v>169.4</v>
      </c>
      <c r="BY583" s="10">
        <v>150</v>
      </c>
      <c r="BZ583" s="10">
        <v>157</v>
      </c>
      <c r="CA583" s="10">
        <v>130</v>
      </c>
      <c r="CB583" s="10">
        <v>72</v>
      </c>
      <c r="CC583" s="10">
        <v>111</v>
      </c>
      <c r="CD583" s="10">
        <v>12.5</v>
      </c>
      <c r="CE583" s="10">
        <v>1868</v>
      </c>
      <c r="CF583" s="10">
        <v>0.81</v>
      </c>
      <c r="CG583" s="10">
        <v>1522</v>
      </c>
      <c r="CH583" s="10">
        <v>175</v>
      </c>
      <c r="CI583" s="10">
        <v>88</v>
      </c>
      <c r="CJ583" s="10">
        <v>32</v>
      </c>
      <c r="CK583" s="10">
        <v>136</v>
      </c>
      <c r="CL583" s="10">
        <v>6</v>
      </c>
      <c r="CM583" s="10">
        <v>58</v>
      </c>
      <c r="CN583" s="10">
        <v>0.186</v>
      </c>
      <c r="CO583" s="10">
        <v>76</v>
      </c>
      <c r="CP583" s="10">
        <v>49</v>
      </c>
      <c r="CQ583" s="10">
        <v>60</v>
      </c>
      <c r="CR583" s="10">
        <v>13</v>
      </c>
      <c r="CS583" s="10">
        <v>13.4</v>
      </c>
      <c r="CT583" s="9" t="s">
        <v>349</v>
      </c>
      <c r="CU583" s="10"/>
      <c r="CV583" s="10"/>
      <c r="CW583" s="10"/>
      <c r="CX583" t="str">
        <f>INDEX('Data_Price '!AG$2:AG$1266,MATCH(Data!$DN583,'Data_Price '!$AT$2:$AT$1266,0))</f>
        <v>Head V-Shape V4 Skis w/ PR 10 GW Promo Bindings</v>
      </c>
      <c r="CY583" t="str">
        <f>INDEX('Data_Price '!AH$2:AH$1266,MATCH(Data!$DN583,'Data_Price '!$AT$2:$AT$1266,0))</f>
        <v>The-House.com</v>
      </c>
      <c r="CZ583">
        <f>INDEX('Data_Price '!AI$2:AI$1266,MATCH(Data!$DN583,'Data_Price '!$AT$2:$AT$1266,0))</f>
        <v>370</v>
      </c>
      <c r="DA583" t="str">
        <f>INDEX('Data_Price '!AJ$2:AJ$1266,MATCH(Data!$DN583,'Data_Price '!$AT$2:$AT$1266,0))</f>
        <v>https://tinyurl.com/y7ddkbc2</v>
      </c>
      <c r="DB583" t="str">
        <f>INDEX('Data_Price '!AK$2:AK$1266,MATCH(Data!$DN583,'Data_Price '!$AT$2:$AT$1266,0))</f>
        <v>Head V-Shape V4 Skis w/ PR 10 GW Promo Bindings</v>
      </c>
      <c r="DC583" t="str">
        <f>INDEX('Data_Price '!AL$2:AL$1266,MATCH(Data!$DN583,'Data_Price '!$AT$2:$AT$1266,0))</f>
        <v>Ski Country Sports</v>
      </c>
      <c r="DD583">
        <f>INDEX('Data_Price '!AM$2:AM$1266,MATCH(Data!$DN583,'Data_Price '!$AT$2:$AT$1266,0))</f>
        <v>419.98</v>
      </c>
      <c r="DE583" t="str">
        <f>INDEX('Data_Price '!AN$2:AN$1266,MATCH(Data!$DN583,'Data_Price '!$AT$2:$AT$1266,0))</f>
        <v>https://tinyurl.com/y77rn9cp</v>
      </c>
      <c r="DF583" t="str">
        <f>INDEX('Data_Price '!AO$2:AO$1266,MATCH(Data!$DN583,'Data_Price '!$AT$2:$AT$1266,0))</f>
        <v>Head V-shape V4 Xl Skis With Size Adjustable Pr 10 Gw Bindings 2022</v>
      </c>
      <c r="DG583" t="str">
        <f>INDEX('Data_Price '!AP$2:AP$1266,MATCH(Data!$DN583,'Data_Price '!$AT$2:$AT$1266,0))</f>
        <v>eBay - wintersportdeals</v>
      </c>
      <c r="DH583">
        <f>INDEX('Data_Price '!AQ$2:AQ$1266,MATCH(Data!$DN583,'Data_Price '!$AT$2:$AT$1266,0))</f>
        <v>419.99</v>
      </c>
      <c r="DI583" t="str">
        <f>INDEX('Data_Price '!AR$2:AR$1266,MATCH(Data!$DN583,'Data_Price '!$AT$2:$AT$1266,0))</f>
        <v>https://tinyurl.com/y7prtxz4</v>
      </c>
      <c r="DJ583" s="89" t="str">
        <f t="shared" si="328"/>
        <v>https://tinyurl.com/y7ddkbc2</v>
      </c>
      <c r="DK583" s="89" t="str">
        <f t="shared" si="329"/>
        <v>https://tinyurl.com/y77rn9cp</v>
      </c>
      <c r="DL583" s="89" t="str">
        <f t="shared" si="330"/>
        <v>https://tinyurl.com/y7prtxz4</v>
      </c>
      <c r="DM583" s="219" t="str">
        <f t="shared" si="331"/>
        <v>V-Shape V4</v>
      </c>
      <c r="DN583" s="89" t="str">
        <f t="shared" si="332"/>
        <v xml:space="preserve"> HeadV-Shape V4170 Unisex</v>
      </c>
      <c r="DO583" s="221"/>
    </row>
    <row r="584" spans="2:119" ht="15.6" customHeight="1">
      <c r="B584" s="219" t="b">
        <f t="array" ref="B584">IF(OR(ISERROR(K584:P584)),FALSE,TRUE)</f>
        <v>1</v>
      </c>
      <c r="C584" s="43" t="b">
        <f>OR(BR584=Driver!$G$50,Data!BR728=Driver!$H$50)</f>
        <v>1</v>
      </c>
      <c r="D584" s="43" t="b">
        <f>OR(BV584=Driver!$G$51,BV584=Driver!$H$51)</f>
        <v>1</v>
      </c>
      <c r="E584" s="43" t="b">
        <f>AND(BX584&gt;Driver!$F$54,BX584&lt;Driver!$G$54)</f>
        <v>0</v>
      </c>
      <c r="F584" s="43" t="b">
        <f>CL584&gt;Driver!$F$56</f>
        <v>1</v>
      </c>
      <c r="G584" s="43" t="b">
        <f>AND(CB584&gt;Driver!$F$55,CB584&lt;Driver!$G$55)</f>
        <v>0</v>
      </c>
      <c r="H584" s="43" t="b">
        <f t="shared" si="296"/>
        <v>0</v>
      </c>
      <c r="I584" s="43">
        <f t="shared" si="297"/>
        <v>0</v>
      </c>
      <c r="J584" s="43" t="b">
        <f t="array" ref="J584">NOT(OR(($H$9:$H$1273=TRUE)*($I$9:$I$1273&gt;0)*($BT$9:$BT$1273=BT584)*($K$9:$K$1273&gt;K584)))</f>
        <v>1</v>
      </c>
      <c r="K584" s="72">
        <f t="shared" si="298"/>
        <v>0.80387571520571854</v>
      </c>
      <c r="L584" s="72">
        <f t="shared" si="299"/>
        <v>0.91337385475726407</v>
      </c>
      <c r="M584" s="72">
        <f t="shared" si="300"/>
        <v>0.69437757565417291</v>
      </c>
      <c r="N584" s="72">
        <f t="shared" si="301"/>
        <v>0.60380627379971763</v>
      </c>
      <c r="O584" s="72">
        <f t="shared" si="302"/>
        <v>0.61420018113500263</v>
      </c>
      <c r="P584" s="72">
        <f t="shared" si="303"/>
        <v>0.86512627202779846</v>
      </c>
      <c r="Q584" s="72"/>
      <c r="R584" s="72"/>
      <c r="S584" s="72">
        <f t="shared" si="304"/>
        <v>0.46800466519521589</v>
      </c>
      <c r="T584" s="72">
        <f t="shared" si="305"/>
        <v>0.70430632067353072</v>
      </c>
      <c r="U584" s="72">
        <f t="shared" si="306"/>
        <v>0.73116430542285671</v>
      </c>
      <c r="V584" s="72">
        <f t="shared" si="307"/>
        <v>0.5240489737652092</v>
      </c>
      <c r="W584" s="72">
        <f t="shared" si="308"/>
        <v>0.77371495327102802</v>
      </c>
      <c r="X584" s="72">
        <f t="shared" si="309"/>
        <v>8.6626145242735902E-2</v>
      </c>
      <c r="Y584" s="72">
        <f t="shared" si="310"/>
        <v>0.30562242434582709</v>
      </c>
      <c r="Z584" s="72">
        <f t="shared" si="311"/>
        <v>0.39619372620028231</v>
      </c>
      <c r="AA584" s="72">
        <f t="shared" si="312"/>
        <v>0.38579981886499742</v>
      </c>
      <c r="AB584" s="72">
        <f t="shared" si="313"/>
        <v>0.13487372797220154</v>
      </c>
      <c r="AC584" s="72"/>
      <c r="AD584" s="72"/>
      <c r="AE584" s="72">
        <f t="shared" si="314"/>
        <v>0.53199533480478411</v>
      </c>
      <c r="AF584" s="72">
        <f t="shared" si="315"/>
        <v>0.29569367932646928</v>
      </c>
      <c r="AG584" s="72">
        <f t="shared" si="316"/>
        <v>0.26883569457714329</v>
      </c>
      <c r="AH584" s="72">
        <f t="shared" si="317"/>
        <v>0.47595102623479074</v>
      </c>
      <c r="AI584" s="72">
        <f t="shared" si="318"/>
        <v>0.22628504672897198</v>
      </c>
      <c r="AJ584" s="72">
        <f>(AV584-Driver!$K$179)/(Driver!$L$179-Driver!$K$179)</f>
        <v>0.16759326403996452</v>
      </c>
      <c r="AK584" s="72">
        <f>(AW584-Driver!$K$180)/(Driver!$L$180-Driver!$K$180)</f>
        <v>0.40166786379520536</v>
      </c>
      <c r="AL584" s="72">
        <f>(AX584-Driver!$K$181)/(Driver!$L$181-Driver!$K$181)</f>
        <v>0.49788148991336251</v>
      </c>
      <c r="AM584" s="72">
        <f>(AY584-Driver!$K$182)/(Driver!$L$182-Driver!$K$182)</f>
        <v>6.1585202232048934E-2</v>
      </c>
      <c r="AN584" s="72">
        <f>(AZ584-Driver!$K$183)/(Driver!$L$183-Driver!$K$183)</f>
        <v>0.38909313725490197</v>
      </c>
      <c r="AO584" s="72"/>
      <c r="AP584" s="72"/>
      <c r="AQ584" s="72">
        <f>(BC584-Driver!$K$188)/(Driver!$L$188-Driver!$K$188)</f>
        <v>8.8004665195215853E-2</v>
      </c>
      <c r="AR584" s="72">
        <f>MIN((BD584-Driver!$K$189)/(Driver!$L$189-Driver!$K$189),100%)</f>
        <v>0.25430632067353076</v>
      </c>
      <c r="AS584" s="72">
        <f>(BE584-Driver!$K$190)/(Driver!$L$190-Driver!$K$190)</f>
        <v>0.24116430542285675</v>
      </c>
      <c r="AT584" s="72">
        <f>(BF584-Driver!$K$191)/(Driver!$L$191-Driver!$K$191)</f>
        <v>3.4048973765209253E-2</v>
      </c>
      <c r="AU584" s="72">
        <f>(BG584-Driver!$K$192)/(Driver!$L$192-Driver!$K$192)</f>
        <v>2.371495327102803E-2</v>
      </c>
      <c r="AV584" s="70">
        <f t="shared" si="319"/>
        <v>3.5273368606701938</v>
      </c>
      <c r="AW584" s="70">
        <f t="shared" si="320"/>
        <v>41.017985087639765</v>
      </c>
      <c r="AX584" s="70">
        <f t="shared" si="321"/>
        <v>5.4809334092202624</v>
      </c>
      <c r="AY584" s="70">
        <f>IFERROR(Driver!$K$19/Data!BH584/Data!BI584*Data!BK584*Data!BL584,"")</f>
        <v>7.5398662782865861E-2</v>
      </c>
      <c r="AZ584" s="70">
        <f t="shared" si="322"/>
        <v>35.461653015636635</v>
      </c>
      <c r="BA584" s="70"/>
      <c r="BB584" s="70"/>
      <c r="BC584" s="70">
        <f t="shared" si="323"/>
        <v>45.648631635265339</v>
      </c>
      <c r="BD584" s="70">
        <f t="shared" si="324"/>
        <v>24.226481659568616</v>
      </c>
      <c r="BE584" s="70">
        <f t="shared" si="325"/>
        <v>0.24129967316970974</v>
      </c>
      <c r="BF584" s="70">
        <f t="shared" si="326"/>
        <v>3.845592379201479</v>
      </c>
      <c r="BG584" s="70">
        <f t="shared" si="327"/>
        <v>8.9799941588785029E-2</v>
      </c>
      <c r="BH584" s="67">
        <f>MAX((CE584-Driver!$F$200)/(Driver!$G$200-Driver!$F$200)*$BI$1,1)</f>
        <v>5.4809334092202624</v>
      </c>
      <c r="BI584" s="67">
        <f>MAX($BI$1*(BY584-Driver!$F$201)/(Driver!$G$201-Driver!$F$201),1)</f>
        <v>8.037974683544304</v>
      </c>
      <c r="BJ584" s="67">
        <f>(CB584-Driver!$F$206)/(Driver!$G$206-Driver!$F$206)*$BI$1</f>
        <v>3.1746031746031744</v>
      </c>
      <c r="BK584" s="67">
        <f>(CD584-Driver!$F$203)/(Driver!$G$203-Driver!$F$203)*$BI$1</f>
        <v>2.2935779816513766</v>
      </c>
      <c r="BL584" s="67">
        <f>MAX((CR584-Driver!$F$202)/(Driver!$G$202-Driver!$F$202)*$BI$1,1)</f>
        <v>7.2413793103448274</v>
      </c>
      <c r="BM584" s="67">
        <f>MAX((CH584-Driver!$F$204)/(Driver!$G$204-Driver!$F$204)*$BI$1,1)</f>
        <v>4.4444444444444446</v>
      </c>
      <c r="BN584" s="67">
        <f>(CI584-Driver!$F$205)/(Driver!$G$205-Driver!$F$205)*$BI$1</f>
        <v>4.4117647058823533</v>
      </c>
      <c r="BO584" s="67">
        <f>(CK584-Driver!$F$207)/(Driver!$G$207-Driver!$F$207)*$BI$1</f>
        <v>1.6028955532574973</v>
      </c>
      <c r="BP584" s="67">
        <f>(CM584-Driver!$F$208)/(Driver!$G$208-Driver!$F$208)*$BI$1</f>
        <v>1.7333333333333334</v>
      </c>
      <c r="BQ584" s="67">
        <f>(CL584-Driver!$F$209)/(Driver!$G$209-Driver!$F$209)*$BI$1</f>
        <v>2.1875</v>
      </c>
      <c r="BR584" s="28" t="s">
        <v>155</v>
      </c>
      <c r="BS584" s="8" t="s">
        <v>262</v>
      </c>
      <c r="BT584" s="9" t="s">
        <v>539</v>
      </c>
      <c r="BU584" s="10">
        <v>177</v>
      </c>
      <c r="BV584" s="9" t="s">
        <v>158</v>
      </c>
      <c r="BW584" s="10">
        <v>177</v>
      </c>
      <c r="BX584" s="10">
        <v>177.4</v>
      </c>
      <c r="BY584" s="10">
        <v>135</v>
      </c>
      <c r="BZ584" s="10">
        <v>148</v>
      </c>
      <c r="CA584" s="10">
        <v>129</v>
      </c>
      <c r="CB584" s="10">
        <v>84</v>
      </c>
      <c r="CC584" s="10">
        <v>112</v>
      </c>
      <c r="CD584" s="10">
        <v>14.4</v>
      </c>
      <c r="CE584" s="10">
        <v>1863</v>
      </c>
      <c r="CF584" s="10">
        <v>0.94</v>
      </c>
      <c r="CG584" s="10">
        <v>1759</v>
      </c>
      <c r="CH584" s="10">
        <v>205</v>
      </c>
      <c r="CI584" s="10">
        <v>108</v>
      </c>
      <c r="CJ584" s="10">
        <v>45</v>
      </c>
      <c r="CK584" s="10">
        <v>265</v>
      </c>
      <c r="CL584" s="10">
        <v>14</v>
      </c>
      <c r="CM584" s="10">
        <v>156</v>
      </c>
      <c r="CN584" s="10">
        <v>0.307</v>
      </c>
      <c r="CO584" s="10">
        <v>176</v>
      </c>
      <c r="CP584" s="10">
        <v>116</v>
      </c>
      <c r="CQ584" s="10">
        <v>89</v>
      </c>
      <c r="CR584" s="10">
        <v>10</v>
      </c>
      <c r="CS584" s="10">
        <v>11.2</v>
      </c>
      <c r="CT584" s="9" t="s">
        <v>231</v>
      </c>
      <c r="CU584" s="9" t="s">
        <v>188</v>
      </c>
      <c r="CV584" s="10"/>
      <c r="CW584" s="10"/>
      <c r="CX584" t="e">
        <f>INDEX('Data_Price '!AG$2:AG$1266,MATCH(Data!$DN584,'Data_Price '!$AT$2:$AT$1266,0))</f>
        <v>#N/A</v>
      </c>
      <c r="CY584" t="e">
        <f>INDEX('Data_Price '!AH$2:AH$1266,MATCH(Data!$DN584,'Data_Price '!$AT$2:$AT$1266,0))</f>
        <v>#N/A</v>
      </c>
      <c r="CZ584" t="e">
        <f>INDEX('Data_Price '!AI$2:AI$1266,MATCH(Data!$DN584,'Data_Price '!$AT$2:$AT$1266,0))</f>
        <v>#N/A</v>
      </c>
      <c r="DA584" t="e">
        <f>INDEX('Data_Price '!AJ$2:AJ$1266,MATCH(Data!$DN584,'Data_Price '!$AT$2:$AT$1266,0))</f>
        <v>#N/A</v>
      </c>
      <c r="DB584" t="e">
        <f>INDEX('Data_Price '!AK$2:AK$1266,MATCH(Data!$DN584,'Data_Price '!$AT$2:$AT$1266,0))</f>
        <v>#N/A</v>
      </c>
      <c r="DC584" t="e">
        <f>INDEX('Data_Price '!AL$2:AL$1266,MATCH(Data!$DN584,'Data_Price '!$AT$2:$AT$1266,0))</f>
        <v>#N/A</v>
      </c>
      <c r="DD584" t="e">
        <f>INDEX('Data_Price '!AM$2:AM$1266,MATCH(Data!$DN584,'Data_Price '!$AT$2:$AT$1266,0))</f>
        <v>#N/A</v>
      </c>
      <c r="DE584" t="e">
        <f>INDEX('Data_Price '!AN$2:AN$1266,MATCH(Data!$DN584,'Data_Price '!$AT$2:$AT$1266,0))</f>
        <v>#N/A</v>
      </c>
      <c r="DF584" t="e">
        <f>INDEX('Data_Price '!AO$2:AO$1266,MATCH(Data!$DN584,'Data_Price '!$AT$2:$AT$1266,0))</f>
        <v>#N/A</v>
      </c>
      <c r="DG584" t="e">
        <f>INDEX('Data_Price '!AP$2:AP$1266,MATCH(Data!$DN584,'Data_Price '!$AT$2:$AT$1266,0))</f>
        <v>#N/A</v>
      </c>
      <c r="DH584" t="e">
        <f>INDEX('Data_Price '!AQ$2:AQ$1266,MATCH(Data!$DN584,'Data_Price '!$AT$2:$AT$1266,0))</f>
        <v>#N/A</v>
      </c>
      <c r="DI584" t="e">
        <f>INDEX('Data_Price '!AR$2:AR$1266,MATCH(Data!$DN584,'Data_Price '!$AT$2:$AT$1266,0))</f>
        <v>#N/A</v>
      </c>
      <c r="DJ584" s="89" t="e">
        <f t="shared" si="328"/>
        <v>#N/A</v>
      </c>
      <c r="DK584" s="89" t="e">
        <f t="shared" si="329"/>
        <v>#N/A</v>
      </c>
      <c r="DL584" s="89" t="e">
        <f t="shared" si="330"/>
        <v>#N/A</v>
      </c>
      <c r="DM584" s="219" t="str">
        <f t="shared" si="331"/>
        <v>Mindbender 85</v>
      </c>
      <c r="DN584" s="89" t="str">
        <f t="shared" si="332"/>
        <v xml:space="preserve"> K2Mindbender 85177 Unisex</v>
      </c>
      <c r="DO584" s="221" t="s">
        <v>540</v>
      </c>
    </row>
    <row r="585" spans="2:119" ht="15.6" customHeight="1">
      <c r="B585" s="219" t="b">
        <f t="array" ref="B585">IF(OR(ISERROR(K585:P585)),FALSE,TRUE)</f>
        <v>1</v>
      </c>
      <c r="C585" s="43" t="b">
        <f>OR(BR585=Driver!$G$50,Data!BR512=Driver!$H$50)</f>
        <v>1</v>
      </c>
      <c r="D585" s="43" t="b">
        <f>OR(BV585=Driver!$G$51,BV585=Driver!$H$51)</f>
        <v>1</v>
      </c>
      <c r="E585" s="43" t="b">
        <f>AND(BX585&gt;Driver!$F$54,BX585&lt;Driver!$G$54)</f>
        <v>0</v>
      </c>
      <c r="F585" s="43" t="b">
        <f>CL585&gt;Driver!$F$56</f>
        <v>1</v>
      </c>
      <c r="G585" s="43" t="b">
        <f>AND(CB585&gt;Driver!$F$55,CB585&lt;Driver!$G$55)</f>
        <v>0</v>
      </c>
      <c r="H585" s="43" t="b">
        <f t="shared" ref="H585:H648" si="333">AND(B585:G585)</f>
        <v>0</v>
      </c>
      <c r="I585" s="43">
        <f t="shared" ref="I585:I648" si="334">COUNTIFS($H$9:$H$1273,TRUE,$BT$9:$BT$1273,BT585)</f>
        <v>0</v>
      </c>
      <c r="J585" s="43" t="b">
        <f t="array" ref="J585">NOT(OR(($H$9:$H$1273=TRUE)*($I$9:$I$1273&gt;0)*($BT$9:$BT$1273=BT585)*($K$9:$K$1273&gt;K585)))</f>
        <v>1</v>
      </c>
      <c r="K585" s="72">
        <f t="shared" ref="K585:K648" si="335">IFERROR(1-AVERAGE(X585:Y585),"")</f>
        <v>0.81147782804023327</v>
      </c>
      <c r="L585" s="72">
        <f t="shared" ref="L585:L648" si="336">1-X585</f>
        <v>0.94199638132363195</v>
      </c>
      <c r="M585" s="72">
        <f t="shared" ref="M585:M648" si="337">1-Y585</f>
        <v>0.68095927475683471</v>
      </c>
      <c r="N585" s="72">
        <f t="shared" ref="N585:N648" si="338">1-Z585</f>
        <v>0.61329213985928899</v>
      </c>
      <c r="O585" s="72">
        <f t="shared" ref="O585:O648" si="339">1-AA585</f>
        <v>0.65085647120694601</v>
      </c>
      <c r="P585" s="72">
        <f t="shared" ref="P585:P648" si="340">1-AB585</f>
        <v>0.77872921320426913</v>
      </c>
      <c r="Q585" s="72"/>
      <c r="R585" s="72"/>
      <c r="S585" s="72">
        <f t="shared" ref="S585:S648" si="341">1-AE585</f>
        <v>0.52166797624785566</v>
      </c>
      <c r="T585" s="72">
        <f t="shared" ref="T585:T648" si="342">1-AF585</f>
        <v>0.54584040430307779</v>
      </c>
      <c r="U585" s="72">
        <f t="shared" ref="U585:U648" si="343">1-AG585</f>
        <v>0.64472989137848524</v>
      </c>
      <c r="V585" s="72">
        <f t="shared" ref="V585:V648" si="344">1-AH585</f>
        <v>0.52062331481931934</v>
      </c>
      <c r="W585" s="72">
        <f t="shared" ref="W585:W648" si="345">1-AI585</f>
        <v>0.78149620253164565</v>
      </c>
      <c r="X585" s="72">
        <f t="shared" ref="X585:X648" si="346">ABS(AJ585-AJ$1)</f>
        <v>5.8003618676368052E-2</v>
      </c>
      <c r="Y585" s="72">
        <f t="shared" ref="Y585:Y648" si="347">AVERAGE(Z585:AB585)</f>
        <v>0.31904072524316529</v>
      </c>
      <c r="Z585" s="72">
        <f t="shared" ref="Z585:Z648" si="348">ABS(AL585-AL$1)</f>
        <v>0.38670786014071096</v>
      </c>
      <c r="AA585" s="72">
        <f t="shared" ref="AA585:AA648" si="349">ABS(AM585-AM$1)</f>
        <v>0.34914352879305405</v>
      </c>
      <c r="AB585" s="72">
        <f t="shared" ref="AB585:AB648" si="350">ABS(AN585-AN$1)</f>
        <v>0.22127078679573081</v>
      </c>
      <c r="AC585" s="72"/>
      <c r="AD585" s="72"/>
      <c r="AE585" s="72">
        <f t="shared" ref="AE585:AE648" si="351">ABS(AQ$1-AQ585)</f>
        <v>0.47833202375214434</v>
      </c>
      <c r="AF585" s="72">
        <f t="shared" ref="AF585:AF648" si="352">ABS(AR$1-AR585)</f>
        <v>0.45415959569692227</v>
      </c>
      <c r="AG585" s="72">
        <f t="shared" ref="AG585:AG648" si="353">ABS(AS$1-AS585)</f>
        <v>0.35527010862151476</v>
      </c>
      <c r="AH585" s="72">
        <f t="shared" ref="AH585:AH648" si="354">ABS(AT$1-AT585)</f>
        <v>0.47937668518068072</v>
      </c>
      <c r="AI585" s="72">
        <f t="shared" ref="AI585:AI648" si="355">ABS(AU$1-AU585)</f>
        <v>0.21850379746835441</v>
      </c>
      <c r="AJ585" s="72">
        <f>(AV585-Driver!$K$179)/(Driver!$L$179-Driver!$K$179)</f>
        <v>0.31222302795906848</v>
      </c>
      <c r="AK585" s="72">
        <f>(AW585-Driver!$K$180)/(Driver!$L$180-Driver!$K$180)</f>
        <v>0.48204708937198815</v>
      </c>
      <c r="AL585" s="72">
        <f>(AX585-Driver!$K$181)/(Driver!$L$181-Driver!$K$181)</f>
        <v>0.48839562385379115</v>
      </c>
      <c r="AM585" s="72">
        <f>(AY585-Driver!$K$182)/(Driver!$L$182-Driver!$K$182)</f>
        <v>9.8241492303992303E-2</v>
      </c>
      <c r="AN585" s="72">
        <f>(AZ585-Driver!$K$183)/(Driver!$L$183-Driver!$K$183)</f>
        <v>0.47549019607843124</v>
      </c>
      <c r="AO585" s="72"/>
      <c r="AP585" s="72"/>
      <c r="AQ585" s="72">
        <f>(BC585-Driver!$K$188)/(Driver!$L$188-Driver!$K$188)</f>
        <v>0.14166797624785563</v>
      </c>
      <c r="AR585" s="72">
        <f>MIN((BD585-Driver!$K$189)/(Driver!$L$189-Driver!$K$189),100%)</f>
        <v>9.5840404303077761E-2</v>
      </c>
      <c r="AS585" s="72">
        <f>(BE585-Driver!$K$190)/(Driver!$L$190-Driver!$K$190)</f>
        <v>0.15472989137848525</v>
      </c>
      <c r="AT585" s="72">
        <f>(BF585-Driver!$K$191)/(Driver!$L$191-Driver!$K$191)</f>
        <v>3.0623314819319285E-2</v>
      </c>
      <c r="AU585" s="72">
        <f>(BG585-Driver!$K$192)/(Driver!$L$192-Driver!$K$192)</f>
        <v>3.1496202531645576E-2</v>
      </c>
      <c r="AV585" s="70">
        <f t="shared" ref="AV585:AV648" si="356">IFERROR(BM585*BJ585^1/4,"")</f>
        <v>6.5713607380274031</v>
      </c>
      <c r="AW585" s="70">
        <f t="shared" ref="AW585:AW648" si="357">IFERROR(SUM(AX585:AZ585),"")</f>
        <v>48.851652852490126</v>
      </c>
      <c r="AX585" s="70">
        <f t="shared" ref="AX585:AX648" si="358">IFERROR(BH585,"")</f>
        <v>5.3955606146841202</v>
      </c>
      <c r="AY585" s="70">
        <f>IFERROR(Driver!$K$19/Data!BH585/Data!BI585*Data!BK585*Data!BL585,"")</f>
        <v>0.1202768990122676</v>
      </c>
      <c r="AZ585" s="70">
        <f t="shared" ref="AZ585:AZ648" si="359">IFERROR(BI585*BN585,"")</f>
        <v>43.335815338793736</v>
      </c>
      <c r="BA585" s="70"/>
      <c r="BB585" s="70"/>
      <c r="BC585" s="70">
        <f t="shared" ref="BC585:BC648" si="360">IFERROR(BI585*BN585*BK585/BJ585^(1/2),"")</f>
        <v>73.484164139555631</v>
      </c>
      <c r="BD585" s="70">
        <f t="shared" ref="BD585:BD648" si="361">IFERROR(BH585*BM585*BL585/BJ585/BK585,"")</f>
        <v>10.202528845772411</v>
      </c>
      <c r="BE585" s="70">
        <f t="shared" ref="BE585:BE648" si="362">IFERROR(MIN(BI585/BQ585/BP585/BO585/BH585,$BE$1),"")</f>
        <v>0.154880678051943</v>
      </c>
      <c r="BF585" s="70">
        <f t="shared" ref="BF585:BF648" si="363">IFERROR(BJ585*BO585*BP585/BK585,"")</f>
        <v>3.4586882678793778</v>
      </c>
      <c r="BG585" s="70">
        <f t="shared" ref="BG585:BG648" si="364">IFERROR(1/BM585/BH585*BQ585,"")</f>
        <v>0.11926471518987344</v>
      </c>
      <c r="BH585" s="67">
        <f>MAX((CE585-Driver!$F$200)/(Driver!$G$200-Driver!$F$200)*$BI$1,1)</f>
        <v>5.3955606146841202</v>
      </c>
      <c r="BI585" s="67">
        <f>MAX($BI$1*(BY585-Driver!$F$201)/(Driver!$G$201-Driver!$F$201),1)</f>
        <v>7.5949367088607591</v>
      </c>
      <c r="BJ585" s="67">
        <f>(CB585-Driver!$F$206)/(Driver!$G$206-Driver!$F$206)*$BI$1</f>
        <v>4.92063492063492</v>
      </c>
      <c r="BK585" s="67">
        <f>(CD585-Driver!$F$203)/(Driver!$G$203-Driver!$F$203)*$BI$1</f>
        <v>3.7614678899082579</v>
      </c>
      <c r="BL585" s="67">
        <f>MAX((CR585-Driver!$F$202)/(Driver!$G$202-Driver!$F$202)*$BI$1,1)</f>
        <v>6.5517241379310338</v>
      </c>
      <c r="BM585" s="67">
        <f>MAX((CH585-Driver!$F$204)/(Driver!$G$204-Driver!$F$204)*$BI$1,1)</f>
        <v>5.3418803418803416</v>
      </c>
      <c r="BN585" s="67">
        <f>(CI585-Driver!$F$205)/(Driver!$G$205-Driver!$F$205)*$BI$1</f>
        <v>5.7058823529411757</v>
      </c>
      <c r="BO585" s="67">
        <f>(CK585-Driver!$F$207)/(Driver!$G$207-Driver!$F$207)*$BI$1</f>
        <v>1.344364012409514</v>
      </c>
      <c r="BP585" s="67">
        <f>(CM585-Driver!$F$208)/(Driver!$G$208-Driver!$F$208)*$BI$1</f>
        <v>1.9666666666666666</v>
      </c>
      <c r="BQ585" s="67">
        <f>(CL585-Driver!$F$209)/(Driver!$G$209-Driver!$F$209)*$BI$1</f>
        <v>3.4375</v>
      </c>
      <c r="BR585" s="28" t="s">
        <v>155</v>
      </c>
      <c r="BS585" s="8" t="s">
        <v>205</v>
      </c>
      <c r="BT585" s="9" t="s">
        <v>378</v>
      </c>
      <c r="BU585" s="10">
        <v>171</v>
      </c>
      <c r="BV585" s="9" t="s">
        <v>158</v>
      </c>
      <c r="BW585" s="10">
        <v>171</v>
      </c>
      <c r="BX585" s="10">
        <v>169.5</v>
      </c>
      <c r="BY585" s="10">
        <v>128</v>
      </c>
      <c r="BZ585" s="10">
        <v>141</v>
      </c>
      <c r="CA585" s="10">
        <v>126</v>
      </c>
      <c r="CB585" s="10">
        <v>95</v>
      </c>
      <c r="CC585" s="10">
        <v>116</v>
      </c>
      <c r="CD585" s="10">
        <v>17.600000000000001</v>
      </c>
      <c r="CE585" s="10">
        <v>1848</v>
      </c>
      <c r="CF585" s="10">
        <v>0.97</v>
      </c>
      <c r="CG585" s="10">
        <v>1789</v>
      </c>
      <c r="CH585" s="10">
        <v>226</v>
      </c>
      <c r="CI585" s="10">
        <v>130</v>
      </c>
      <c r="CJ585" s="10">
        <v>52</v>
      </c>
      <c r="CK585" s="10">
        <v>240</v>
      </c>
      <c r="CL585" s="10">
        <v>22</v>
      </c>
      <c r="CM585" s="10">
        <v>177</v>
      </c>
      <c r="CN585" s="10">
        <v>0.42</v>
      </c>
      <c r="CO585" s="10">
        <v>176</v>
      </c>
      <c r="CP585" s="10">
        <v>105</v>
      </c>
      <c r="CQ585" s="10">
        <v>64</v>
      </c>
      <c r="CR585" s="10">
        <v>8</v>
      </c>
      <c r="CS585" s="10">
        <v>10.9</v>
      </c>
      <c r="CT585" s="9" t="s">
        <v>188</v>
      </c>
      <c r="CU585" s="10"/>
      <c r="CV585" s="10"/>
      <c r="CW585" s="10"/>
      <c r="CX585" t="str">
        <f>INDEX('Data_Price '!AG$2:AG$1266,MATCH(Data!$DN585,'Data_Price '!$AT$2:$AT$1266,0))</f>
        <v>Faction Dictator 2.0 x Skis</v>
      </c>
      <c r="CY585" t="str">
        <f>INDEX('Data_Price '!AH$2:AH$1266,MATCH(Data!$DN585,'Data_Price '!$AT$2:$AT$1266,0))</f>
        <v>PRFO Sports</v>
      </c>
      <c r="CZ585">
        <f>INDEX('Data_Price '!AI$2:AI$1266,MATCH(Data!$DN585,'Data_Price '!$AT$2:$AT$1266,0))</f>
        <v>544.36</v>
      </c>
      <c r="DA585" t="str">
        <f>INDEX('Data_Price '!AJ$2:AJ$1266,MATCH(Data!$DN585,'Data_Price '!$AT$2:$AT$1266,0))</f>
        <v>https://tinyurl.com/ybds5yos</v>
      </c>
      <c r="DB585" t="str">
        <f>INDEX('Data_Price '!AK$2:AK$1266,MATCH(Data!$DN585,'Data_Price '!$AT$2:$AT$1266,0))</f>
        <v>Faction Dictator 2.0 x Skis</v>
      </c>
      <c r="DC585" t="str">
        <f>INDEX('Data_Price '!AL$2:AL$1266,MATCH(Data!$DN585,'Data_Price '!$AT$2:$AT$1266,0))</f>
        <v>Next Adventure</v>
      </c>
      <c r="DD585">
        <f>INDEX('Data_Price '!AM$2:AM$1266,MATCH(Data!$DN585,'Data_Price '!$AT$2:$AT$1266,0))</f>
        <v>623.20000000000005</v>
      </c>
      <c r="DE585" t="str">
        <f>INDEX('Data_Price '!AN$2:AN$1266,MATCH(Data!$DN585,'Data_Price '!$AT$2:$AT$1266,0))</f>
        <v>https://tinyurl.com/y7vjwaml</v>
      </c>
      <c r="DF585" t="str">
        <f>INDEX('Data_Price '!AO$2:AO$1266,MATCH(Data!$DN585,'Data_Price '!$AT$2:$AT$1266,0))</f>
        <v>Faction Dictator 2.0 Skis</v>
      </c>
      <c r="DG585" t="str">
        <f>INDEX('Data_Price '!AP$2:AP$1266,MATCH(Data!$DN585,'Data_Price '!$AT$2:$AT$1266,0))</f>
        <v>ColoradoSkiShop.com</v>
      </c>
      <c r="DH585">
        <f>INDEX('Data_Price '!AQ$2:AQ$1266,MATCH(Data!$DN585,'Data_Price '!$AT$2:$AT$1266,0))</f>
        <v>699.99</v>
      </c>
      <c r="DI585" t="str">
        <f>INDEX('Data_Price '!AR$2:AR$1266,MATCH(Data!$DN585,'Data_Price '!$AT$2:$AT$1266,0))</f>
        <v>https://tinyurl.com/y9tyo7rd</v>
      </c>
      <c r="DJ585" s="89" t="str">
        <f t="shared" ref="DJ585:DJ648" si="365">DA585</f>
        <v>https://tinyurl.com/ybds5yos</v>
      </c>
      <c r="DK585" s="89" t="str">
        <f t="shared" ref="DK585:DK648" si="366">DE585</f>
        <v>https://tinyurl.com/y7vjwaml</v>
      </c>
      <c r="DL585" s="89" t="str">
        <f t="shared" ref="DL585:DL648" si="367">DI585</f>
        <v>https://tinyurl.com/y9tyo7rd</v>
      </c>
      <c r="DM585" s="219" t="str">
        <f t="shared" ref="DM585:DM648" si="368">IF(LEFT(BT585,1)=" ",RIGHT(BT585,LEN(BT585)-1),BT585)</f>
        <v>Dictator 2.0</v>
      </c>
      <c r="DN585" s="89" t="str">
        <f t="shared" ref="DN585:DN648" si="369">_xlfn.CONCAT(BS585,DM585,BU585,BV585)</f>
        <v xml:space="preserve"> FactionDictator 2.0171 Unisex</v>
      </c>
      <c r="DO585" s="221" t="s">
        <v>379</v>
      </c>
    </row>
    <row r="586" spans="2:119" ht="15.6" customHeight="1">
      <c r="B586" s="219" t="b">
        <f t="array" ref="B586">IF(OR(ISERROR(K586:P586)),FALSE,TRUE)</f>
        <v>1</v>
      </c>
      <c r="C586" s="43" t="b">
        <f>OR(BR586=Driver!$G$50,Data!BR721=Driver!$H$50)</f>
        <v>1</v>
      </c>
      <c r="D586" s="43" t="b">
        <f>OR(BV586=Driver!$G$51,BV586=Driver!$H$51)</f>
        <v>0</v>
      </c>
      <c r="E586" s="43" t="b">
        <f>AND(BX586&gt;Driver!$F$54,BX586&lt;Driver!$G$54)</f>
        <v>1</v>
      </c>
      <c r="F586" s="43" t="b">
        <f>CL586&gt;Driver!$F$56</f>
        <v>1</v>
      </c>
      <c r="G586" s="43" t="b">
        <f>AND(CB586&gt;Driver!$F$55,CB586&lt;Driver!$G$55)</f>
        <v>0</v>
      </c>
      <c r="H586" s="43" t="b">
        <f t="shared" si="333"/>
        <v>0</v>
      </c>
      <c r="I586" s="43">
        <f t="shared" si="334"/>
        <v>0</v>
      </c>
      <c r="J586" s="43" t="b">
        <f t="array" ref="J586">NOT(OR(($H$9:$H$1273=TRUE)*($I$9:$I$1273&gt;0)*($BT$9:$BT$1273=BT586)*($K$9:$K$1273&gt;K586)))</f>
        <v>1</v>
      </c>
      <c r="K586" s="72">
        <f t="shared" si="335"/>
        <v>0.85055978255101972</v>
      </c>
      <c r="L586" s="72">
        <f t="shared" si="336"/>
        <v>0.9109566442182262</v>
      </c>
      <c r="M586" s="72">
        <f t="shared" si="337"/>
        <v>0.79016292088381335</v>
      </c>
      <c r="N586" s="72">
        <f t="shared" si="338"/>
        <v>0.74482948255201031</v>
      </c>
      <c r="O586" s="72">
        <f t="shared" si="339"/>
        <v>0.7199113691206922</v>
      </c>
      <c r="P586" s="72">
        <f t="shared" si="340"/>
        <v>0.90574791097873741</v>
      </c>
      <c r="Q586" s="72"/>
      <c r="R586" s="72"/>
      <c r="S586" s="72">
        <f t="shared" si="341"/>
        <v>0.42393540338953151</v>
      </c>
      <c r="T586" s="72">
        <f t="shared" si="342"/>
        <v>0.44371877809541138</v>
      </c>
      <c r="U586" s="72">
        <f t="shared" si="343"/>
        <v>0.52970992369892511</v>
      </c>
      <c r="V586" s="72">
        <f t="shared" si="344"/>
        <v>0.63890595417150986</v>
      </c>
      <c r="W586" s="72">
        <f t="shared" si="345"/>
        <v>0.878607448912327</v>
      </c>
      <c r="X586" s="72">
        <f t="shared" si="346"/>
        <v>8.9043355781773859E-2</v>
      </c>
      <c r="Y586" s="72">
        <f t="shared" si="347"/>
        <v>0.20983707911618668</v>
      </c>
      <c r="Z586" s="72">
        <f t="shared" si="348"/>
        <v>0.25517051744798974</v>
      </c>
      <c r="AA586" s="72">
        <f t="shared" si="349"/>
        <v>0.2800886308793078</v>
      </c>
      <c r="AB586" s="72">
        <f t="shared" si="350"/>
        <v>9.4252089021262531E-2</v>
      </c>
      <c r="AC586" s="72"/>
      <c r="AD586" s="72"/>
      <c r="AE586" s="72">
        <f t="shared" si="351"/>
        <v>0.57606459661046849</v>
      </c>
      <c r="AF586" s="72">
        <f t="shared" si="352"/>
        <v>0.55628122190458862</v>
      </c>
      <c r="AG586" s="72">
        <f t="shared" si="353"/>
        <v>0.47029007630107483</v>
      </c>
      <c r="AH586" s="72">
        <f t="shared" si="354"/>
        <v>0.3610940458284902</v>
      </c>
      <c r="AI586" s="72">
        <f t="shared" si="355"/>
        <v>0.12139255108767305</v>
      </c>
      <c r="AJ586" s="72">
        <f>(AV586-Driver!$K$179)/(Driver!$L$179-Driver!$K$179)</f>
        <v>0.16517605350092657</v>
      </c>
      <c r="AK586" s="72">
        <f>(AW586-Driver!$K$180)/(Driver!$L$180-Driver!$K$180)</f>
        <v>0.17570442054342009</v>
      </c>
      <c r="AL586" s="72">
        <f>(AX586-Driver!$K$181)/(Driver!$L$181-Driver!$K$181)</f>
        <v>0.35685828116106993</v>
      </c>
      <c r="AM586" s="72">
        <f>(AY586-Driver!$K$182)/(Driver!$L$182-Driver!$K$182)</f>
        <v>0.16729639021773854</v>
      </c>
      <c r="AN586" s="72">
        <f>(AZ586-Driver!$K$183)/(Driver!$L$183-Driver!$K$183)</f>
        <v>0.1599673202614379</v>
      </c>
      <c r="AO586" s="72"/>
      <c r="AP586" s="72"/>
      <c r="AQ586" s="72">
        <f>(BC586-Driver!$K$188)/(Driver!$L$188-Driver!$K$188)</f>
        <v>4.3935403389531558E-2</v>
      </c>
      <c r="AR586" s="72">
        <f>MIN((BD586-Driver!$K$189)/(Driver!$L$189-Driver!$K$189),100%)</f>
        <v>-6.2812219045885994E-3</v>
      </c>
      <c r="AS586" s="72">
        <f>(BE586-Driver!$K$190)/(Driver!$L$190-Driver!$K$190)</f>
        <v>3.9709923698925162E-2</v>
      </c>
      <c r="AT586" s="72">
        <f>(BF586-Driver!$K$191)/(Driver!$L$191-Driver!$K$191)</f>
        <v>0.14890595417150981</v>
      </c>
      <c r="AU586" s="72">
        <f>(BG586-Driver!$K$192)/(Driver!$L$192-Driver!$K$192)</f>
        <v>0.12860744891232695</v>
      </c>
      <c r="AV586" s="70">
        <f t="shared" si="356"/>
        <v>3.476461809795143</v>
      </c>
      <c r="AW586" s="70">
        <f t="shared" si="357"/>
        <v>18.995845302961406</v>
      </c>
      <c r="AX586" s="70">
        <f t="shared" si="358"/>
        <v>4.2117245304496294</v>
      </c>
      <c r="AY586" s="70">
        <f>IFERROR(Driver!$K$19/Data!BH586/Data!BI586*Data!BK586*Data!BL586,"")</f>
        <v>0.20482069805161282</v>
      </c>
      <c r="AZ586" s="70">
        <f t="shared" si="359"/>
        <v>14.579300074460164</v>
      </c>
      <c r="BA586" s="70"/>
      <c r="BB586" s="70"/>
      <c r="BC586" s="70">
        <f t="shared" si="360"/>
        <v>22.78959917211915</v>
      </c>
      <c r="BD586" s="70">
        <f t="shared" si="361"/>
        <v>1.1649458752082738</v>
      </c>
      <c r="BE586" s="70">
        <f t="shared" si="362"/>
        <v>3.9881228640012069E-2</v>
      </c>
      <c r="BF586" s="70">
        <f t="shared" si="363"/>
        <v>16.817881400137512</v>
      </c>
      <c r="BG586" s="70">
        <f t="shared" si="364"/>
        <v>0.48698984426499675</v>
      </c>
      <c r="BH586" s="67">
        <f>MAX((CE586-Driver!$F$200)/(Driver!$G$200-Driver!$F$200)*$BI$1,1)</f>
        <v>4.2117245304496294</v>
      </c>
      <c r="BI586" s="67">
        <f>MAX($BI$1*(BY586-Driver!$F$201)/(Driver!$G$201-Driver!$F$201),1)</f>
        <v>5.6329113924050631</v>
      </c>
      <c r="BJ586" s="67">
        <f>(CB586-Driver!$F$206)/(Driver!$G$206-Driver!$F$206)*$BI$1</f>
        <v>7.9365079365079358</v>
      </c>
      <c r="BK586" s="67">
        <f>(CD586-Driver!$F$203)/(Driver!$G$203-Driver!$F$203)*$BI$1</f>
        <v>4.4036697247706424</v>
      </c>
      <c r="BL586" s="67">
        <f>MAX((CR586-Driver!$F$202)/(Driver!$G$202-Driver!$F$202)*$BI$1,1)</f>
        <v>5.5172413793103452</v>
      </c>
      <c r="BM586" s="67">
        <f>MAX((CH586-Driver!$F$204)/(Driver!$G$204-Driver!$F$204)*$BI$1,1)</f>
        <v>1.7521367521367521</v>
      </c>
      <c r="BN586" s="67">
        <f>(CI586-Driver!$F$205)/(Driver!$G$205-Driver!$F$205)*$BI$1</f>
        <v>2.5882352941176472</v>
      </c>
      <c r="BO586" s="67">
        <f>(CK586-Driver!$F$207)/(Driver!$G$207-Driver!$F$207)*$BI$1</f>
        <v>3.3195449844881075</v>
      </c>
      <c r="BP586" s="67">
        <f>(CM586-Driver!$F$208)/(Driver!$G$208-Driver!$F$208)*$BI$1</f>
        <v>2.8111111111111109</v>
      </c>
      <c r="BQ586" s="67">
        <f>(CL586-Driver!$F$209)/(Driver!$G$209-Driver!$F$209)*$BI$1</f>
        <v>3.59375</v>
      </c>
      <c r="BR586" s="28" t="s">
        <v>155</v>
      </c>
      <c r="BS586" s="8" t="s">
        <v>262</v>
      </c>
      <c r="BT586" s="9" t="s">
        <v>402</v>
      </c>
      <c r="BU586" s="10">
        <v>165</v>
      </c>
      <c r="BV586" s="9" t="s">
        <v>163</v>
      </c>
      <c r="BW586" s="10">
        <v>165</v>
      </c>
      <c r="BX586" s="10">
        <v>165.3</v>
      </c>
      <c r="BY586" s="10">
        <v>97</v>
      </c>
      <c r="BZ586" s="10">
        <v>125</v>
      </c>
      <c r="CA586" s="10">
        <v>138</v>
      </c>
      <c r="CB586" s="10">
        <v>114</v>
      </c>
      <c r="CC586" s="10">
        <v>128</v>
      </c>
      <c r="CD586" s="10">
        <v>19</v>
      </c>
      <c r="CE586" s="10">
        <v>1640</v>
      </c>
      <c r="CF586" s="10">
        <v>1.22</v>
      </c>
      <c r="CG586" s="10">
        <v>1993</v>
      </c>
      <c r="CH586" s="10">
        <v>142</v>
      </c>
      <c r="CI586" s="10">
        <v>77</v>
      </c>
      <c r="CJ586" s="10">
        <v>52</v>
      </c>
      <c r="CK586" s="10">
        <v>431</v>
      </c>
      <c r="CL586" s="10">
        <v>23</v>
      </c>
      <c r="CM586" s="10">
        <v>253</v>
      </c>
      <c r="CN586" s="10">
        <v>0.435</v>
      </c>
      <c r="CO586" s="10">
        <v>203</v>
      </c>
      <c r="CP586" s="10">
        <v>196</v>
      </c>
      <c r="CQ586" s="10">
        <v>228</v>
      </c>
      <c r="CR586" s="10">
        <v>5</v>
      </c>
      <c r="CS586" s="10">
        <v>10.3</v>
      </c>
      <c r="CT586" s="9" t="s">
        <v>169</v>
      </c>
      <c r="CU586" s="9" t="s">
        <v>185</v>
      </c>
      <c r="CV586" s="10"/>
      <c r="CW586" s="10"/>
      <c r="CX586" t="e">
        <f>INDEX('Data_Price '!AG$2:AG$1266,MATCH(Data!$DN586,'Data_Price '!$AT$2:$AT$1266,0))</f>
        <v>#N/A</v>
      </c>
      <c r="CY586" t="e">
        <f>INDEX('Data_Price '!AH$2:AH$1266,MATCH(Data!$DN586,'Data_Price '!$AT$2:$AT$1266,0))</f>
        <v>#N/A</v>
      </c>
      <c r="CZ586" t="e">
        <f>INDEX('Data_Price '!AI$2:AI$1266,MATCH(Data!$DN586,'Data_Price '!$AT$2:$AT$1266,0))</f>
        <v>#N/A</v>
      </c>
      <c r="DA586" t="e">
        <f>INDEX('Data_Price '!AJ$2:AJ$1266,MATCH(Data!$DN586,'Data_Price '!$AT$2:$AT$1266,0))</f>
        <v>#N/A</v>
      </c>
      <c r="DB586" t="e">
        <f>INDEX('Data_Price '!AK$2:AK$1266,MATCH(Data!$DN586,'Data_Price '!$AT$2:$AT$1266,0))</f>
        <v>#N/A</v>
      </c>
      <c r="DC586" t="e">
        <f>INDEX('Data_Price '!AL$2:AL$1266,MATCH(Data!$DN586,'Data_Price '!$AT$2:$AT$1266,0))</f>
        <v>#N/A</v>
      </c>
      <c r="DD586" t="e">
        <f>INDEX('Data_Price '!AM$2:AM$1266,MATCH(Data!$DN586,'Data_Price '!$AT$2:$AT$1266,0))</f>
        <v>#N/A</v>
      </c>
      <c r="DE586" t="e">
        <f>INDEX('Data_Price '!AN$2:AN$1266,MATCH(Data!$DN586,'Data_Price '!$AT$2:$AT$1266,0))</f>
        <v>#N/A</v>
      </c>
      <c r="DF586" t="e">
        <f>INDEX('Data_Price '!AO$2:AO$1266,MATCH(Data!$DN586,'Data_Price '!$AT$2:$AT$1266,0))</f>
        <v>#N/A</v>
      </c>
      <c r="DG586" t="e">
        <f>INDEX('Data_Price '!AP$2:AP$1266,MATCH(Data!$DN586,'Data_Price '!$AT$2:$AT$1266,0))</f>
        <v>#N/A</v>
      </c>
      <c r="DH586" t="e">
        <f>INDEX('Data_Price '!AQ$2:AQ$1266,MATCH(Data!$DN586,'Data_Price '!$AT$2:$AT$1266,0))</f>
        <v>#N/A</v>
      </c>
      <c r="DI586" t="e">
        <f>INDEX('Data_Price '!AR$2:AR$1266,MATCH(Data!$DN586,'Data_Price '!$AT$2:$AT$1266,0))</f>
        <v>#N/A</v>
      </c>
      <c r="DJ586" s="89" t="e">
        <f t="shared" si="365"/>
        <v>#N/A</v>
      </c>
      <c r="DK586" s="89" t="e">
        <f t="shared" si="366"/>
        <v>#N/A</v>
      </c>
      <c r="DL586" s="89" t="e">
        <f t="shared" si="367"/>
        <v>#N/A</v>
      </c>
      <c r="DM586" s="219" t="str">
        <f t="shared" si="368"/>
        <v>Mindbender 115 C Alliance</v>
      </c>
      <c r="DN586" s="89" t="str">
        <f t="shared" si="369"/>
        <v xml:space="preserve"> K2Mindbender 115 C Alliance165 Women's</v>
      </c>
      <c r="DO586" s="221" t="s">
        <v>403</v>
      </c>
    </row>
    <row r="587" spans="2:119" ht="15.6" customHeight="1">
      <c r="B587" s="219" t="b">
        <f t="array" ref="B587">IF(OR(ISERROR(K587:P587)),FALSE,TRUE)</f>
        <v>1</v>
      </c>
      <c r="C587" s="43" t="b">
        <f>OR(BR587=Driver!$G$50,Data!BR188=Driver!$H$50)</f>
        <v>1</v>
      </c>
      <c r="D587" s="43" t="b">
        <f>OR(BV587=Driver!$G$51,BV587=Driver!$H$51)</f>
        <v>1</v>
      </c>
      <c r="E587" s="43" t="b">
        <f>AND(BX587&gt;Driver!$F$54,BX587&lt;Driver!$G$54)</f>
        <v>1</v>
      </c>
      <c r="F587" s="43" t="b">
        <f>CL587&gt;Driver!$F$56</f>
        <v>1</v>
      </c>
      <c r="G587" s="43" t="b">
        <f>AND(CB587&gt;Driver!$F$55,CB587&lt;Driver!$G$55)</f>
        <v>0</v>
      </c>
      <c r="H587" s="43" t="b">
        <f t="shared" si="333"/>
        <v>0</v>
      </c>
      <c r="I587" s="43">
        <f t="shared" si="334"/>
        <v>0</v>
      </c>
      <c r="J587" s="43" t="b">
        <f t="array" ref="J587">NOT(OR(($H$9:$H$1273=TRUE)*($I$9:$I$1273&gt;0)*($BT$9:$BT$1273=BT587)*($K$9:$K$1273&gt;K587)))</f>
        <v>1</v>
      </c>
      <c r="K587" s="72">
        <f t="shared" si="335"/>
        <v>0.77987705858099199</v>
      </c>
      <c r="L587" s="72">
        <f t="shared" si="336"/>
        <v>0.7981534857297885</v>
      </c>
      <c r="M587" s="72">
        <f t="shared" si="337"/>
        <v>0.76160063143219547</v>
      </c>
      <c r="N587" s="72">
        <f t="shared" si="338"/>
        <v>0.66008907908650716</v>
      </c>
      <c r="O587" s="72">
        <f t="shared" si="339"/>
        <v>0.63507673926071206</v>
      </c>
      <c r="P587" s="72">
        <f t="shared" si="340"/>
        <v>0.98963607594936709</v>
      </c>
      <c r="Q587" s="72"/>
      <c r="R587" s="72"/>
      <c r="S587" s="72">
        <f t="shared" si="341"/>
        <v>0.478171990076945</v>
      </c>
      <c r="T587" s="72">
        <f t="shared" si="342"/>
        <v>0.71103168617892032</v>
      </c>
      <c r="U587" s="72">
        <f t="shared" si="343"/>
        <v>0.51</v>
      </c>
      <c r="V587" s="72">
        <f t="shared" si="344"/>
        <v>0.49312462773707422</v>
      </c>
      <c r="W587" s="72">
        <f t="shared" si="345"/>
        <v>0.76194508009153317</v>
      </c>
      <c r="X587" s="72">
        <f t="shared" si="346"/>
        <v>0.20184651427021152</v>
      </c>
      <c r="Y587" s="72">
        <f t="shared" si="347"/>
        <v>0.23839936856780455</v>
      </c>
      <c r="Z587" s="72">
        <f t="shared" si="348"/>
        <v>0.33991092091349284</v>
      </c>
      <c r="AA587" s="72">
        <f t="shared" si="349"/>
        <v>0.36492326073928794</v>
      </c>
      <c r="AB587" s="72">
        <f t="shared" si="350"/>
        <v>1.0363924050632911E-2</v>
      </c>
      <c r="AC587" s="72"/>
      <c r="AD587" s="72"/>
      <c r="AE587" s="72">
        <f t="shared" si="351"/>
        <v>0.521828009923055</v>
      </c>
      <c r="AF587" s="72">
        <f t="shared" si="352"/>
        <v>0.28896831382107968</v>
      </c>
      <c r="AG587" s="72">
        <f t="shared" si="353"/>
        <v>0.49</v>
      </c>
      <c r="AH587" s="72">
        <f t="shared" si="354"/>
        <v>0.50687537226292578</v>
      </c>
      <c r="AI587" s="72">
        <f t="shared" si="355"/>
        <v>0.23805491990846683</v>
      </c>
      <c r="AJ587" s="72">
        <f>(AV587-Driver!$K$179)/(Driver!$L$179-Driver!$K$179)</f>
        <v>5.2372895012488908E-2</v>
      </c>
      <c r="AK587" s="72">
        <f>(AW587-Driver!$K$180)/(Driver!$L$180-Driver!$K$180)</f>
        <v>0.28029649779451127</v>
      </c>
      <c r="AL587" s="72">
        <f>(AX587-Driver!$K$181)/(Driver!$L$181-Driver!$K$181)</f>
        <v>0.44159868462657303</v>
      </c>
      <c r="AM587" s="72">
        <f>(AY587-Driver!$K$182)/(Driver!$L$182-Driver!$K$182)</f>
        <v>8.2461760357758457E-2</v>
      </c>
      <c r="AN587" s="72">
        <f>(AZ587-Driver!$K$183)/(Driver!$L$183-Driver!$K$183)</f>
        <v>0.26458333333333334</v>
      </c>
      <c r="AO587" s="72"/>
      <c r="AP587" s="72"/>
      <c r="AQ587" s="72">
        <f>(BC587-Driver!$K$188)/(Driver!$L$188-Driver!$K$188)</f>
        <v>9.8171990076944965E-2</v>
      </c>
      <c r="AR587" s="72">
        <f>MIN((BD587-Driver!$K$189)/(Driver!$L$189-Driver!$K$189),100%)</f>
        <v>0.26103168617892036</v>
      </c>
      <c r="AS587" s="72">
        <f>(BE587-Driver!$K$190)/(Driver!$L$190-Driver!$K$190)</f>
        <v>1</v>
      </c>
      <c r="AT587" s="72">
        <f>(BF587-Driver!$K$191)/(Driver!$L$191-Driver!$K$191)</f>
        <v>3.1246277370742641E-3</v>
      </c>
      <c r="AU587" s="72">
        <f>(BG587-Driver!$K$192)/(Driver!$L$192-Driver!$K$192)</f>
        <v>1.1945080091533179E-2</v>
      </c>
      <c r="AV587" s="70">
        <f t="shared" si="356"/>
        <v>1.1022927689594355</v>
      </c>
      <c r="AW587" s="70">
        <f t="shared" si="357"/>
        <v>29.189270011164552</v>
      </c>
      <c r="AX587" s="70">
        <f t="shared" si="358"/>
        <v>4.9743881616391574</v>
      </c>
      <c r="AY587" s="70">
        <f>IFERROR(Driver!$K$19/Data!BH587/Data!BI587*Data!BK587*Data!BL587,"")</f>
        <v>0.10095779889248355</v>
      </c>
      <c r="AZ587" s="70">
        <f t="shared" si="359"/>
        <v>24.11392405063291</v>
      </c>
      <c r="BA587" s="70"/>
      <c r="BB587" s="70"/>
      <c r="BC587" s="70">
        <f t="shared" si="360"/>
        <v>50.922493733514088</v>
      </c>
      <c r="BD587" s="70">
        <f t="shared" si="361"/>
        <v>24.821664590153066</v>
      </c>
      <c r="BE587" s="70">
        <f t="shared" si="362"/>
        <v>1</v>
      </c>
      <c r="BF587" s="70">
        <f t="shared" si="363"/>
        <v>0.35290475115030262</v>
      </c>
      <c r="BG587" s="70">
        <f t="shared" si="364"/>
        <v>4.5231693363844389E-2</v>
      </c>
      <c r="BH587" s="67">
        <f>MAX((CE587-Driver!$F$200)/(Driver!$G$200-Driver!$F$200)*$BI$1,1)</f>
        <v>4.9743881616391574</v>
      </c>
      <c r="BI587" s="67">
        <f>MAX($BI$1*(BY587-Driver!$F$201)/(Driver!$G$201-Driver!$F$201),1)</f>
        <v>8.037974683544304</v>
      </c>
      <c r="BJ587" s="67">
        <f>(CB587-Driver!$F$206)/(Driver!$G$206-Driver!$F$206)*$BI$1</f>
        <v>1.5873015873015872</v>
      </c>
      <c r="BK587" s="67">
        <f>(CD587-Driver!$F$203)/(Driver!$G$203-Driver!$F$203)*$BI$1</f>
        <v>2.6605504587155959</v>
      </c>
      <c r="BL587" s="67">
        <f>MAX((CR587-Driver!$F$202)/(Driver!$G$202-Driver!$F$202)*$BI$1,1)</f>
        <v>7.5862068965517242</v>
      </c>
      <c r="BM587" s="67">
        <f>MAX((CH587-Driver!$F$204)/(Driver!$G$204-Driver!$F$204)*$BI$1,1)</f>
        <v>2.7777777777777777</v>
      </c>
      <c r="BN587" s="67">
        <f>(CI587-Driver!$F$205)/(Driver!$G$205-Driver!$F$205)*$BI$1</f>
        <v>3</v>
      </c>
      <c r="BO587" s="67">
        <f>(CK587-Driver!$F$207)/(Driver!$G$207-Driver!$F$207)*$BI$1</f>
        <v>0.68252326783867623</v>
      </c>
      <c r="BP587" s="67">
        <f>(CM587-Driver!$F$208)/(Driver!$G$208-Driver!$F$208)*$BI$1</f>
        <v>0.8666666666666667</v>
      </c>
      <c r="BQ587" s="67">
        <f>(CL587-Driver!$F$209)/(Driver!$G$209-Driver!$F$209)*$BI$1</f>
        <v>0.625</v>
      </c>
      <c r="BR587" s="28" t="s">
        <v>155</v>
      </c>
      <c r="BS587" s="8" t="s">
        <v>156</v>
      </c>
      <c r="BT587" s="9" t="s">
        <v>626</v>
      </c>
      <c r="BU587" s="10">
        <v>161</v>
      </c>
      <c r="BV587" s="9" t="s">
        <v>158</v>
      </c>
      <c r="BW587" s="10">
        <v>161</v>
      </c>
      <c r="BX587" s="10">
        <v>160.5</v>
      </c>
      <c r="BY587" s="10">
        <v>135</v>
      </c>
      <c r="BZ587" s="10">
        <v>143</v>
      </c>
      <c r="CA587" s="10">
        <v>114</v>
      </c>
      <c r="CB587" s="10">
        <v>74</v>
      </c>
      <c r="CC587" s="10">
        <v>99</v>
      </c>
      <c r="CD587" s="10">
        <v>15.2</v>
      </c>
      <c r="CE587" s="10">
        <v>1774</v>
      </c>
      <c r="CF587" s="10">
        <v>0.78</v>
      </c>
      <c r="CG587" s="10">
        <v>1388</v>
      </c>
      <c r="CH587" s="10">
        <v>166</v>
      </c>
      <c r="CI587" s="10">
        <v>84</v>
      </c>
      <c r="CJ587" s="10">
        <v>39</v>
      </c>
      <c r="CK587" s="10">
        <v>176</v>
      </c>
      <c r="CL587" s="10">
        <v>4</v>
      </c>
      <c r="CM587" s="10">
        <v>78</v>
      </c>
      <c r="CN587" s="10">
        <v>0.112</v>
      </c>
      <c r="CO587" s="10">
        <v>100</v>
      </c>
      <c r="CP587" s="10">
        <v>76</v>
      </c>
      <c r="CQ587" s="10">
        <v>76</v>
      </c>
      <c r="CR587" s="10">
        <v>11</v>
      </c>
      <c r="CS587" s="10">
        <v>10.5</v>
      </c>
      <c r="CT587" s="9" t="s">
        <v>349</v>
      </c>
      <c r="CU587" s="9" t="s">
        <v>231</v>
      </c>
      <c r="CV587" s="10"/>
      <c r="CW587" s="10"/>
      <c r="CX587" t="str">
        <f>INDEX('Data_Price '!AG$2:AG$1266,MATCH(Data!$DN587,'Data_Price '!$AT$2:$AT$1266,0))</f>
        <v>Atomic Skis Vantage 75 + M 10 GW Womens - No Color - 161</v>
      </c>
      <c r="CY587" t="str">
        <f>INDEX('Data_Price '!AH$2:AH$1266,MATCH(Data!$DN587,'Data_Price '!$AT$2:$AT$1266,0))</f>
        <v>Level Nine Sports</v>
      </c>
      <c r="CZ587">
        <f>INDEX('Data_Price '!AI$2:AI$1266,MATCH(Data!$DN587,'Data_Price '!$AT$2:$AT$1266,0))</f>
        <v>319.99</v>
      </c>
      <c r="DA587" t="str">
        <f>INDEX('Data_Price '!AJ$2:AJ$1266,MATCH(Data!$DN587,'Data_Price '!$AT$2:$AT$1266,0))</f>
        <v>https://tinyurl.com/ycephkf7</v>
      </c>
      <c r="DB587" t="str">
        <f>INDEX('Data_Price '!AK$2:AK$1266,MATCH(Data!$DN587,'Data_Price '!$AT$2:$AT$1266,0))</f>
        <v>Atomic Vantage 75 C + M 10 GW</v>
      </c>
      <c r="DC587" t="str">
        <f>INDEX('Data_Price '!AL$2:AL$1266,MATCH(Data!$DN587,'Data_Price '!$AT$2:$AT$1266,0))</f>
        <v>SkiEssentials.com</v>
      </c>
      <c r="DD587">
        <f>INDEX('Data_Price '!AM$2:AM$1266,MATCH(Data!$DN587,'Data_Price '!$AT$2:$AT$1266,0))</f>
        <v>319.99</v>
      </c>
      <c r="DE587" t="str">
        <f>INDEX('Data_Price '!AN$2:AN$1266,MATCH(Data!$DN587,'Data_Price '!$AT$2:$AT$1266,0))</f>
        <v>https://tinyurl.com/yb96aymj</v>
      </c>
      <c r="DF587" t="str">
        <f>INDEX('Data_Price '!AO$2:AO$1266,MATCH(Data!$DN587,'Data_Price '!$AT$2:$AT$1266,0))</f>
        <v>Atomic Vantage 75 C + M 10 GW</v>
      </c>
      <c r="DG587" t="str">
        <f>INDEX('Data_Price '!AP$2:AP$1266,MATCH(Data!$DN587,'Data_Price '!$AT$2:$AT$1266,0))</f>
        <v>Spoke-N-Sport</v>
      </c>
      <c r="DH587">
        <f>INDEX('Data_Price '!AQ$2:AQ$1266,MATCH(Data!$DN587,'Data_Price '!$AT$2:$AT$1266,0))</f>
        <v>335.99</v>
      </c>
      <c r="DI587" t="str">
        <f>INDEX('Data_Price '!AR$2:AR$1266,MATCH(Data!$DN587,'Data_Price '!$AT$2:$AT$1266,0))</f>
        <v>https://tinyurl.com/ycdjkpot</v>
      </c>
      <c r="DJ587" s="89" t="str">
        <f t="shared" si="365"/>
        <v>https://tinyurl.com/ycephkf7</v>
      </c>
      <c r="DK587" s="89" t="str">
        <f t="shared" si="366"/>
        <v>https://tinyurl.com/yb96aymj</v>
      </c>
      <c r="DL587" s="89" t="str">
        <f t="shared" si="367"/>
        <v>https://tinyurl.com/ycdjkpot</v>
      </c>
      <c r="DM587" s="219" t="str">
        <f t="shared" si="368"/>
        <v>Vantage 75</v>
      </c>
      <c r="DN587" s="89" t="str">
        <f t="shared" si="369"/>
        <v xml:space="preserve"> AtomicVantage 75161 Unisex</v>
      </c>
      <c r="DO587" s="221" t="s">
        <v>161</v>
      </c>
    </row>
    <row r="588" spans="2:119" ht="15.6" customHeight="1">
      <c r="B588" s="219" t="b">
        <f t="array" ref="B588">IF(OR(ISERROR(K588:P588)),FALSE,TRUE)</f>
        <v>1</v>
      </c>
      <c r="C588" s="43" t="b">
        <f>OR(BR588=Driver!$G$50,Data!BR123=Driver!$H$50)</f>
        <v>1</v>
      </c>
      <c r="D588" s="43" t="b">
        <f>OR(BV588=Driver!$G$51,BV588=Driver!$H$51)</f>
        <v>1</v>
      </c>
      <c r="E588" s="43" t="b">
        <f>AND(BX588&gt;Driver!$F$54,BX588&lt;Driver!$G$54)</f>
        <v>0</v>
      </c>
      <c r="F588" s="43" t="b">
        <f>CL588&gt;Driver!$F$56</f>
        <v>1</v>
      </c>
      <c r="G588" s="43" t="b">
        <f>AND(CB588&gt;Driver!$F$55,CB588&lt;Driver!$G$55)</f>
        <v>1</v>
      </c>
      <c r="H588" s="43" t="b">
        <f t="shared" si="333"/>
        <v>0</v>
      </c>
      <c r="I588" s="43">
        <f t="shared" si="334"/>
        <v>1</v>
      </c>
      <c r="J588" s="43" t="b">
        <f t="array" ref="J588">NOT(OR(($H$9:$H$1273=TRUE)*($I$9:$I$1273&gt;0)*($BT$9:$BT$1273=BT588)*($K$9:$K$1273&gt;K588)))</f>
        <v>1</v>
      </c>
      <c r="K588" s="72">
        <f t="shared" si="335"/>
        <v>0.87962728230722087</v>
      </c>
      <c r="L588" s="72">
        <f t="shared" si="336"/>
        <v>0.93633735487812464</v>
      </c>
      <c r="M588" s="72">
        <f t="shared" si="337"/>
        <v>0.82291720973631721</v>
      </c>
      <c r="N588" s="72">
        <f t="shared" si="338"/>
        <v>0.85233596456048422</v>
      </c>
      <c r="O588" s="72">
        <f t="shared" si="339"/>
        <v>0.69849455105535063</v>
      </c>
      <c r="P588" s="72">
        <f t="shared" si="340"/>
        <v>0.91792111359311657</v>
      </c>
      <c r="Q588" s="72"/>
      <c r="R588" s="72"/>
      <c r="S588" s="72">
        <f t="shared" si="341"/>
        <v>0.41770546980394807</v>
      </c>
      <c r="T588" s="72">
        <f t="shared" si="342"/>
        <v>0.45194020157932713</v>
      </c>
      <c r="U588" s="72">
        <f t="shared" si="343"/>
        <v>0.61505435736040492</v>
      </c>
      <c r="V588" s="72">
        <f t="shared" si="344"/>
        <v>0.6195221748246249</v>
      </c>
      <c r="W588" s="72">
        <f t="shared" si="345"/>
        <v>0.82576076555023925</v>
      </c>
      <c r="X588" s="72">
        <f t="shared" si="346"/>
        <v>6.3662645121875361E-2</v>
      </c>
      <c r="Y588" s="72">
        <f t="shared" si="347"/>
        <v>0.17708279026368282</v>
      </c>
      <c r="Z588" s="72">
        <f t="shared" si="348"/>
        <v>0.14766403543951578</v>
      </c>
      <c r="AA588" s="72">
        <f t="shared" si="349"/>
        <v>0.30150544894464931</v>
      </c>
      <c r="AB588" s="72">
        <f t="shared" si="350"/>
        <v>8.2078886406883433E-2</v>
      </c>
      <c r="AC588" s="72"/>
      <c r="AD588" s="72"/>
      <c r="AE588" s="72">
        <f t="shared" si="351"/>
        <v>0.58229453019605193</v>
      </c>
      <c r="AF588" s="72">
        <f t="shared" si="352"/>
        <v>0.54805979842067287</v>
      </c>
      <c r="AG588" s="72">
        <f t="shared" si="353"/>
        <v>0.38494564263959508</v>
      </c>
      <c r="AH588" s="72">
        <f t="shared" si="354"/>
        <v>0.38047782517537504</v>
      </c>
      <c r="AI588" s="72">
        <f t="shared" si="355"/>
        <v>0.1742392344497608</v>
      </c>
      <c r="AJ588" s="72">
        <f>(AV588-Driver!$K$179)/(Driver!$L$179-Driver!$K$179)</f>
        <v>0.19055676416082507</v>
      </c>
      <c r="AK588" s="72">
        <f>(AW588-Driver!$K$180)/(Driver!$L$180-Driver!$K$180)</f>
        <v>0.17689135753595478</v>
      </c>
      <c r="AL588" s="72">
        <f>(AX588-Driver!$K$181)/(Driver!$L$181-Driver!$K$181)</f>
        <v>0.24935179915259598</v>
      </c>
      <c r="AM588" s="72">
        <f>(AY588-Driver!$K$182)/(Driver!$L$182-Driver!$K$182)</f>
        <v>0.14587957215239705</v>
      </c>
      <c r="AN588" s="72">
        <f>(AZ588-Driver!$K$183)/(Driver!$L$183-Driver!$K$183)</f>
        <v>0.17214052287581699</v>
      </c>
      <c r="AO588" s="72"/>
      <c r="AP588" s="72"/>
      <c r="AQ588" s="72">
        <f>(BC588-Driver!$K$188)/(Driver!$L$188-Driver!$K$188)</f>
        <v>3.7705469803948038E-2</v>
      </c>
      <c r="AR588" s="72">
        <f>MIN((BD588-Driver!$K$189)/(Driver!$L$189-Driver!$K$189),100%)</f>
        <v>1.9402015793271656E-3</v>
      </c>
      <c r="AS588" s="72">
        <f>(BE588-Driver!$K$190)/(Driver!$L$190-Driver!$K$190)</f>
        <v>0.12505435736040493</v>
      </c>
      <c r="AT588" s="72">
        <f>(BF588-Driver!$K$191)/(Driver!$L$191-Driver!$K$191)</f>
        <v>0.12952217482462497</v>
      </c>
      <c r="AU588" s="72">
        <f>(BG588-Driver!$K$192)/(Driver!$L$192-Driver!$K$192)</f>
        <v>7.5760765550239209E-2</v>
      </c>
      <c r="AV588" s="70">
        <f t="shared" si="356"/>
        <v>4.0106498439831775</v>
      </c>
      <c r="AW588" s="70">
        <f t="shared" si="357"/>
        <v>19.111522830215577</v>
      </c>
      <c r="AX588" s="70">
        <f t="shared" si="358"/>
        <v>3.2441661923733638</v>
      </c>
      <c r="AY588" s="70">
        <f>IFERROR(Driver!$K$19/Data!BH588/Data!BI588*Data!BK588*Data!BL588,"")</f>
        <v>0.1786001225778778</v>
      </c>
      <c r="AZ588" s="70">
        <f t="shared" si="359"/>
        <v>15.688756515264334</v>
      </c>
      <c r="BA588" s="70"/>
      <c r="BB588" s="70"/>
      <c r="BC588" s="70">
        <f t="shared" si="360"/>
        <v>19.558089311481332</v>
      </c>
      <c r="BD588" s="70">
        <f t="shared" si="361"/>
        <v>1.8925272860344098</v>
      </c>
      <c r="BE588" s="70">
        <f t="shared" si="362"/>
        <v>0.12521043781511915</v>
      </c>
      <c r="BF588" s="70">
        <f t="shared" si="363"/>
        <v>14.628619701663963</v>
      </c>
      <c r="BG588" s="70">
        <f t="shared" si="364"/>
        <v>0.28687858851674636</v>
      </c>
      <c r="BH588" s="67">
        <f>MAX((CE588-Driver!$F$200)/(Driver!$G$200-Driver!$F$200)*$BI$1,1)</f>
        <v>3.2441661923733638</v>
      </c>
      <c r="BI588" s="67">
        <f>MAX($BI$1*(BY588-Driver!$F$201)/(Driver!$G$201-Driver!$F$201),1)</f>
        <v>6.2025316455696204</v>
      </c>
      <c r="BJ588" s="67">
        <f>(CB588-Driver!$F$206)/(Driver!$G$206-Driver!$F$206)*$BI$1</f>
        <v>6.825396825396826</v>
      </c>
      <c r="BK588" s="67">
        <f>(CD588-Driver!$F$203)/(Driver!$G$203-Driver!$F$203)*$BI$1</f>
        <v>3.2568807339449544</v>
      </c>
      <c r="BL588" s="67">
        <f>MAX((CR588-Driver!$F$202)/(Driver!$G$202-Driver!$F$202)*$BI$1,1)</f>
        <v>5.5172413793103452</v>
      </c>
      <c r="BM588" s="67">
        <f>MAX((CH588-Driver!$F$204)/(Driver!$G$204-Driver!$F$204)*$BI$1,1)</f>
        <v>2.3504273504273505</v>
      </c>
      <c r="BN588" s="67">
        <f>(CI588-Driver!$F$205)/(Driver!$G$205-Driver!$F$205)*$BI$1</f>
        <v>2.5294117647058822</v>
      </c>
      <c r="BO588" s="67">
        <f>(CK588-Driver!$F$207)/(Driver!$G$207-Driver!$F$207)*$BI$1</f>
        <v>2.792140641158221</v>
      </c>
      <c r="BP588" s="67">
        <f>(CM588-Driver!$F$208)/(Driver!$G$208-Driver!$F$208)*$BI$1</f>
        <v>2.5</v>
      </c>
      <c r="BQ588" s="67">
        <f>(CL588-Driver!$F$209)/(Driver!$G$209-Driver!$F$209)*$BI$1</f>
        <v>2.1875</v>
      </c>
      <c r="BR588" s="28" t="s">
        <v>155</v>
      </c>
      <c r="BS588" s="8" t="s">
        <v>156</v>
      </c>
      <c r="BT588" s="9" t="s">
        <v>678</v>
      </c>
      <c r="BU588" s="10">
        <v>167</v>
      </c>
      <c r="BV588" s="9" t="s">
        <v>158</v>
      </c>
      <c r="BW588" s="10">
        <v>167</v>
      </c>
      <c r="BX588" s="10">
        <v>166.7</v>
      </c>
      <c r="BY588" s="10">
        <v>106</v>
      </c>
      <c r="BZ588" s="10">
        <v>127</v>
      </c>
      <c r="CA588" s="10">
        <v>134</v>
      </c>
      <c r="CB588" s="10">
        <v>107</v>
      </c>
      <c r="CC588" s="10">
        <v>121</v>
      </c>
      <c r="CD588" s="10">
        <v>16.5</v>
      </c>
      <c r="CE588" s="10">
        <v>1470</v>
      </c>
      <c r="CF588" s="10">
        <v>1.31</v>
      </c>
      <c r="CG588" s="10">
        <v>1921</v>
      </c>
      <c r="CH588" s="10">
        <v>156</v>
      </c>
      <c r="CI588" s="10">
        <v>76</v>
      </c>
      <c r="CJ588" s="10">
        <v>46</v>
      </c>
      <c r="CK588" s="10">
        <v>380</v>
      </c>
      <c r="CL588" s="10">
        <v>14</v>
      </c>
      <c r="CM588" s="10">
        <v>225</v>
      </c>
      <c r="CN588" s="10">
        <v>0.30599999999999999</v>
      </c>
      <c r="CO588" s="10">
        <v>228</v>
      </c>
      <c r="CP588" s="10">
        <v>166</v>
      </c>
      <c r="CQ588" s="10">
        <v>151</v>
      </c>
      <c r="CR588" s="10">
        <v>5</v>
      </c>
      <c r="CS588" s="10">
        <v>9.6999999999999993</v>
      </c>
      <c r="CT588" s="9" t="s">
        <v>178</v>
      </c>
      <c r="CU588" s="9" t="s">
        <v>185</v>
      </c>
      <c r="CV588" s="9" t="s">
        <v>198</v>
      </c>
      <c r="CW588" s="10"/>
      <c r="CX588" t="str">
        <f>INDEX('Data_Price '!AG$2:AG$1266,MATCH(Data!$DN588,'Data_Price '!$AT$2:$AT$1266,0))</f>
        <v>Atomic Backland W 107 Anthra/Ber / 167cm</v>
      </c>
      <c r="CY588" t="str">
        <f>INDEX('Data_Price '!AH$2:AH$1266,MATCH(Data!$DN588,'Data_Price '!$AT$2:$AT$1266,0))</f>
        <v>Sundance Ski and Board Shop</v>
      </c>
      <c r="CZ588">
        <f>INDEX('Data_Price '!AI$2:AI$1266,MATCH(Data!$DN588,'Data_Price '!$AT$2:$AT$1266,0))</f>
        <v>521.11</v>
      </c>
      <c r="DA588" t="str">
        <f>INDEX('Data_Price '!AJ$2:AJ$1266,MATCH(Data!$DN588,'Data_Price '!$AT$2:$AT$1266,0))</f>
        <v>https://tinyurl.com/y7uknajy</v>
      </c>
      <c r="DB588" t="str">
        <f>INDEX('Data_Price '!AK$2:AK$1266,MATCH(Data!$DN588,'Data_Price '!$AT$2:$AT$1266,0))</f>
        <v>Atomic W Backland 107 Alpine Touring Ski (2022) 167</v>
      </c>
      <c r="DC588" t="str">
        <f>INDEX('Data_Price '!AL$2:AL$1266,MATCH(Data!$DN588,'Data_Price '!$AT$2:$AT$1266,0))</f>
        <v>Cripple Creek Backcountry</v>
      </c>
      <c r="DD588">
        <f>INDEX('Data_Price '!AM$2:AM$1266,MATCH(Data!$DN588,'Data_Price '!$AT$2:$AT$1266,0))</f>
        <v>599</v>
      </c>
      <c r="DE588" t="str">
        <f>INDEX('Data_Price '!AN$2:AN$1266,MATCH(Data!$DN588,'Data_Price '!$AT$2:$AT$1266,0))</f>
        <v>https://tinyurl.com/ycz8y6cl</v>
      </c>
      <c r="DF588" t="str">
        <f>INDEX('Data_Price '!AO$2:AO$1266,MATCH(Data!$DN588,'Data_Price '!$AT$2:$AT$1266,0))</f>
        <v>'22 Atomic Backland 107 W Skis 167cm</v>
      </c>
      <c r="DG588" t="str">
        <f>INDEX('Data_Price '!AP$2:AP$1266,MATCH(Data!$DN588,'Data_Price '!$AT$2:$AT$1266,0))</f>
        <v>Al's Ski Equipment Barn</v>
      </c>
      <c r="DH588">
        <f>INDEX('Data_Price '!AQ$2:AQ$1266,MATCH(Data!$DN588,'Data_Price '!$AT$2:$AT$1266,0))</f>
        <v>649.95000000000005</v>
      </c>
      <c r="DI588" t="str">
        <f>INDEX('Data_Price '!AR$2:AR$1266,MATCH(Data!$DN588,'Data_Price '!$AT$2:$AT$1266,0))</f>
        <v>https://tinyurl.com/y72bx5ky</v>
      </c>
      <c r="DJ588" s="89" t="str">
        <f t="shared" si="365"/>
        <v>https://tinyurl.com/y7uknajy</v>
      </c>
      <c r="DK588" s="89" t="str">
        <f t="shared" si="366"/>
        <v>https://tinyurl.com/ycz8y6cl</v>
      </c>
      <c r="DL588" s="89" t="str">
        <f t="shared" si="367"/>
        <v>https://tinyurl.com/y72bx5ky</v>
      </c>
      <c r="DM588" s="219" t="str">
        <f t="shared" si="368"/>
        <v>Backland 107 W</v>
      </c>
      <c r="DN588" s="89" t="str">
        <f t="shared" si="369"/>
        <v xml:space="preserve"> AtomicBackland 107 W167 Unisex</v>
      </c>
      <c r="DO588" s="221" t="s">
        <v>679</v>
      </c>
    </row>
    <row r="589" spans="2:119" ht="15.6" customHeight="1">
      <c r="B589" s="219" t="b">
        <f t="array" ref="B589">IF(OR(ISERROR(K589:P589)),FALSE,TRUE)</f>
        <v>1</v>
      </c>
      <c r="C589" s="43" t="b">
        <f>OR(BR589=Driver!$G$50,Data!BR1008=Driver!$H$50)</f>
        <v>1</v>
      </c>
      <c r="D589" s="43" t="b">
        <f>OR(BV589=Driver!$G$51,BV589=Driver!$H$51)</f>
        <v>0</v>
      </c>
      <c r="E589" s="43" t="b">
        <f>AND(BX589&gt;Driver!$F$54,BX589&lt;Driver!$G$54)</f>
        <v>0</v>
      </c>
      <c r="F589" s="43" t="b">
        <f>CL589&gt;Driver!$F$56</f>
        <v>1</v>
      </c>
      <c r="G589" s="43" t="b">
        <f>AND(CB589&gt;Driver!$F$55,CB589&lt;Driver!$G$55)</f>
        <v>0</v>
      </c>
      <c r="H589" s="43" t="b">
        <f t="shared" si="333"/>
        <v>0</v>
      </c>
      <c r="I589" s="43">
        <f t="shared" si="334"/>
        <v>0</v>
      </c>
      <c r="J589" s="43" t="b">
        <f t="array" ref="J589">NOT(OR(($H$9:$H$1273=TRUE)*($I$9:$I$1273&gt;0)*($BT$9:$BT$1273=BT589)*($K$9:$K$1273&gt;K589)))</f>
        <v>1</v>
      </c>
      <c r="K589" s="72">
        <f t="shared" si="335"/>
        <v>0.8227902750563163</v>
      </c>
      <c r="L589" s="72">
        <f t="shared" si="336"/>
        <v>0.89145781253665335</v>
      </c>
      <c r="M589" s="72">
        <f t="shared" si="337"/>
        <v>0.75412273757597925</v>
      </c>
      <c r="N589" s="72">
        <f t="shared" si="338"/>
        <v>0.66957494514607829</v>
      </c>
      <c r="O589" s="72">
        <f t="shared" si="339"/>
        <v>0.62826267686455972</v>
      </c>
      <c r="P589" s="72">
        <f t="shared" si="340"/>
        <v>0.96453059071729963</v>
      </c>
      <c r="Q589" s="72"/>
      <c r="R589" s="72"/>
      <c r="S589" s="72">
        <f t="shared" si="341"/>
        <v>0.43421023226916888</v>
      </c>
      <c r="T589" s="72">
        <f t="shared" si="342"/>
        <v>0.78508698688059086</v>
      </c>
      <c r="U589" s="72">
        <f t="shared" si="343"/>
        <v>0.81998590748859157</v>
      </c>
      <c r="V589" s="72">
        <f t="shared" si="344"/>
        <v>0.51298439359346937</v>
      </c>
      <c r="W589" s="72">
        <f t="shared" si="345"/>
        <v>0.77272090411777428</v>
      </c>
      <c r="X589" s="72">
        <f t="shared" si="346"/>
        <v>0.10854218746334665</v>
      </c>
      <c r="Y589" s="72">
        <f t="shared" si="347"/>
        <v>0.24587726242402078</v>
      </c>
      <c r="Z589" s="72">
        <f t="shared" si="348"/>
        <v>0.33042505485392171</v>
      </c>
      <c r="AA589" s="72">
        <f t="shared" si="349"/>
        <v>0.37173732313544028</v>
      </c>
      <c r="AB589" s="72">
        <f t="shared" si="350"/>
        <v>3.5469409282700426E-2</v>
      </c>
      <c r="AC589" s="72"/>
      <c r="AD589" s="72"/>
      <c r="AE589" s="72">
        <f t="shared" si="351"/>
        <v>0.56578976773083112</v>
      </c>
      <c r="AF589" s="72">
        <f t="shared" si="352"/>
        <v>0.21491301311940914</v>
      </c>
      <c r="AG589" s="72">
        <f t="shared" si="353"/>
        <v>0.18001409251140837</v>
      </c>
      <c r="AH589" s="72">
        <f t="shared" si="354"/>
        <v>0.48701560640653063</v>
      </c>
      <c r="AI589" s="72">
        <f t="shared" si="355"/>
        <v>0.22727909588222567</v>
      </c>
      <c r="AJ589" s="72">
        <f>(AV589-Driver!$K$179)/(Driver!$L$179-Driver!$K$179)</f>
        <v>0.14567722181935377</v>
      </c>
      <c r="AK589" s="72">
        <f>(AW589-Driver!$K$180)/(Driver!$L$180-Driver!$K$180)</f>
        <v>0.23647359251529673</v>
      </c>
      <c r="AL589" s="72">
        <f>(AX589-Driver!$K$181)/(Driver!$L$181-Driver!$K$181)</f>
        <v>0.4321128185670019</v>
      </c>
      <c r="AM589" s="72">
        <f>(AY589-Driver!$K$182)/(Driver!$L$182-Driver!$K$182)</f>
        <v>7.5647697961606059E-2</v>
      </c>
      <c r="AN589" s="72">
        <f>(AZ589-Driver!$K$183)/(Driver!$L$183-Driver!$K$183)</f>
        <v>0.21875</v>
      </c>
      <c r="AO589" s="72"/>
      <c r="AP589" s="72"/>
      <c r="AQ589" s="72">
        <f>(BC589-Driver!$K$188)/(Driver!$L$188-Driver!$K$188)</f>
        <v>5.4210232269168872E-2</v>
      </c>
      <c r="AR589" s="72">
        <f>MIN((BD589-Driver!$K$189)/(Driver!$L$189-Driver!$K$189),100%)</f>
        <v>0.33508698688059091</v>
      </c>
      <c r="AS589" s="72">
        <f>(BE589-Driver!$K$190)/(Driver!$L$190-Driver!$K$190)</f>
        <v>0.32998590748859163</v>
      </c>
      <c r="AT589" s="72">
        <f>(BF589-Driver!$K$191)/(Driver!$L$191-Driver!$K$191)</f>
        <v>2.2984393593469352E-2</v>
      </c>
      <c r="AU589" s="72">
        <f>(BG589-Driver!$K$192)/(Driver!$L$192-Driver!$K$192)</f>
        <v>2.2720904117774318E-2</v>
      </c>
      <c r="AV589" s="70">
        <f t="shared" si="356"/>
        <v>3.0660697327363993</v>
      </c>
      <c r="AW589" s="70">
        <f t="shared" si="357"/>
        <v>24.918339581262117</v>
      </c>
      <c r="AX589" s="70">
        <f t="shared" si="358"/>
        <v>4.889015367103017</v>
      </c>
      <c r="AY589" s="70">
        <f>IFERROR(Driver!$K$19/Data!BH589/Data!BI589*Data!BK589*Data!BL589,"")</f>
        <v>9.2615353399602876E-2</v>
      </c>
      <c r="AZ589" s="70">
        <f t="shared" si="359"/>
        <v>19.936708860759495</v>
      </c>
      <c r="BA589" s="70"/>
      <c r="BB589" s="70"/>
      <c r="BC589" s="70">
        <f t="shared" si="360"/>
        <v>28.119224341438557</v>
      </c>
      <c r="BD589" s="70">
        <f t="shared" si="361"/>
        <v>31.375427484022655</v>
      </c>
      <c r="BE589" s="70">
        <f t="shared" si="362"/>
        <v>0.33010543046136587</v>
      </c>
      <c r="BF589" s="70">
        <f t="shared" si="363"/>
        <v>2.5959257818785493</v>
      </c>
      <c r="BG589" s="70">
        <f t="shared" si="364"/>
        <v>8.6035837359761808E-2</v>
      </c>
      <c r="BH589" s="67">
        <f>MAX((CE589-Driver!$F$200)/(Driver!$G$200-Driver!$F$200)*$BI$1,1)</f>
        <v>4.889015367103017</v>
      </c>
      <c r="BI589" s="67">
        <f>MAX($BI$1*(BY589-Driver!$F$201)/(Driver!$G$201-Driver!$F$201),1)</f>
        <v>7.5316455696202533</v>
      </c>
      <c r="BJ589" s="67">
        <f>(CB589-Driver!$F$206)/(Driver!$G$206-Driver!$F$206)*$BI$1</f>
        <v>2.5396825396825395</v>
      </c>
      <c r="BK589" s="67">
        <f>(CD589-Driver!$F$203)/(Driver!$G$203-Driver!$F$203)*$BI$1</f>
        <v>2.2477064220183491</v>
      </c>
      <c r="BL589" s="67">
        <f>MAX((CR589-Driver!$F$202)/(Driver!$G$202-Driver!$F$202)*$BI$1,1)</f>
        <v>7.5862068965517242</v>
      </c>
      <c r="BM589" s="67">
        <f>MAX((CH589-Driver!$F$204)/(Driver!$G$204-Driver!$F$204)*$BI$1,1)</f>
        <v>4.8290598290598288</v>
      </c>
      <c r="BN589" s="67">
        <f>(CI589-Driver!$F$205)/(Driver!$G$205-Driver!$F$205)*$BI$1</f>
        <v>2.6470588235294117</v>
      </c>
      <c r="BO589" s="67">
        <f>(CK589-Driver!$F$207)/(Driver!$G$207-Driver!$F$207)*$BI$1</f>
        <v>1.6028955532574973</v>
      </c>
      <c r="BP589" s="67">
        <f>(CM589-Driver!$F$208)/(Driver!$G$208-Driver!$F$208)*$BI$1</f>
        <v>1.4333333333333333</v>
      </c>
      <c r="BQ589" s="67">
        <f>(CL589-Driver!$F$209)/(Driver!$G$209-Driver!$F$209)*$BI$1</f>
        <v>2.03125</v>
      </c>
      <c r="BR589" s="28" t="s">
        <v>155</v>
      </c>
      <c r="BS589" s="8" t="s">
        <v>172</v>
      </c>
      <c r="BT589" s="9" t="s">
        <v>478</v>
      </c>
      <c r="BU589" s="10">
        <v>166</v>
      </c>
      <c r="BV589" s="9" t="s">
        <v>163</v>
      </c>
      <c r="BW589" s="10">
        <v>166</v>
      </c>
      <c r="BX589" s="10">
        <v>166.6</v>
      </c>
      <c r="BY589" s="10">
        <v>127</v>
      </c>
      <c r="BZ589" s="10">
        <v>152</v>
      </c>
      <c r="CA589" s="10">
        <v>125</v>
      </c>
      <c r="CB589" s="10">
        <v>80</v>
      </c>
      <c r="CC589" s="10">
        <v>113</v>
      </c>
      <c r="CD589" s="10">
        <v>14.3</v>
      </c>
      <c r="CE589" s="10">
        <v>1759</v>
      </c>
      <c r="CF589" s="10">
        <v>0.9</v>
      </c>
      <c r="CG589" s="10">
        <v>1579</v>
      </c>
      <c r="CH589" s="10">
        <v>214</v>
      </c>
      <c r="CI589" s="10">
        <v>78</v>
      </c>
      <c r="CJ589" s="10">
        <v>48</v>
      </c>
      <c r="CK589" s="10">
        <v>265</v>
      </c>
      <c r="CL589" s="10">
        <v>13</v>
      </c>
      <c r="CM589" s="10">
        <v>129</v>
      </c>
      <c r="CN589" s="10">
        <v>0.26400000000000001</v>
      </c>
      <c r="CO589" s="10">
        <v>83</v>
      </c>
      <c r="CP589" s="10">
        <v>65</v>
      </c>
      <c r="CQ589" s="10">
        <v>182</v>
      </c>
      <c r="CR589" s="10">
        <v>11</v>
      </c>
      <c r="CS589" s="10">
        <v>7.5</v>
      </c>
      <c r="CT589" s="9" t="s">
        <v>188</v>
      </c>
      <c r="CU589" s="10"/>
      <c r="CV589" s="10"/>
      <c r="CW589" s="10"/>
      <c r="CX589" t="str">
        <f>INDEX('Data_Price '!AG$2:AG$1266,MATCH(Data!$DN589,'Data_Price '!$AT$2:$AT$1266,0))</f>
        <v>Rossignol Experience 80 Carbon Skis w/ Look Xpress 11 GW Bindings</v>
      </c>
      <c r="CY589" t="str">
        <f>INDEX('Data_Price '!AH$2:AH$1266,MATCH(Data!$DN589,'Data_Price '!$AT$2:$AT$1266,0))</f>
        <v>The-House.com</v>
      </c>
      <c r="CZ589">
        <f>INDEX('Data_Price '!AI$2:AI$1266,MATCH(Data!$DN589,'Data_Price '!$AT$2:$AT$1266,0))</f>
        <v>479.95</v>
      </c>
      <c r="DA589" t="str">
        <f>INDEX('Data_Price '!AJ$2:AJ$1266,MATCH(Data!$DN589,'Data_Price '!$AT$2:$AT$1266,0))</f>
        <v>https://tinyurl.com/y9fvqn33</v>
      </c>
      <c r="DB589" t="str">
        <f>INDEX('Data_Price '!AK$2:AK$1266,MATCH(Data!$DN589,'Data_Price '!$AT$2:$AT$1266,0))</f>
        <v>Rossignol Experience 80 Carbon Skis w/ Look Xpress 11 GW Bindings</v>
      </c>
      <c r="DC589" t="str">
        <f>INDEX('Data_Price '!AL$2:AL$1266,MATCH(Data!$DN589,'Data_Price '!$AT$2:$AT$1266,0))</f>
        <v>Next Adventure</v>
      </c>
      <c r="DD589">
        <f>INDEX('Data_Price '!AM$2:AM$1266,MATCH(Data!$DN589,'Data_Price '!$AT$2:$AT$1266,0))</f>
        <v>599.95000000000005</v>
      </c>
      <c r="DE589" t="str">
        <f>INDEX('Data_Price '!AN$2:AN$1266,MATCH(Data!$DN589,'Data_Price '!$AT$2:$AT$1266,0))</f>
        <v>https://tinyurl.com/ydc4p2k2</v>
      </c>
      <c r="DF589">
        <f>INDEX('Data_Price '!AO$2:AO$1266,MATCH(Data!$DN589,'Data_Price '!$AT$2:$AT$1266,0))</f>
        <v>0</v>
      </c>
      <c r="DG589">
        <f>INDEX('Data_Price '!AP$2:AP$1266,MATCH(Data!$DN589,'Data_Price '!$AT$2:$AT$1266,0))</f>
        <v>0</v>
      </c>
      <c r="DH589">
        <f>INDEX('Data_Price '!AQ$2:AQ$1266,MATCH(Data!$DN589,'Data_Price '!$AT$2:$AT$1266,0))</f>
        <v>0</v>
      </c>
      <c r="DI589">
        <f>INDEX('Data_Price '!AR$2:AR$1266,MATCH(Data!$DN589,'Data_Price '!$AT$2:$AT$1266,0))</f>
        <v>0</v>
      </c>
      <c r="DJ589" s="89" t="str">
        <f t="shared" si="365"/>
        <v>https://tinyurl.com/y9fvqn33</v>
      </c>
      <c r="DK589" s="89" t="str">
        <f t="shared" si="366"/>
        <v>https://tinyurl.com/ydc4p2k2</v>
      </c>
      <c r="DL589" s="89">
        <f t="shared" si="367"/>
        <v>0</v>
      </c>
      <c r="DM589" s="219" t="str">
        <f t="shared" si="368"/>
        <v>Experience 80 Carbon W</v>
      </c>
      <c r="DN589" s="89" t="str">
        <f t="shared" si="369"/>
        <v xml:space="preserve"> RossignolExperience 80 Carbon W166 Women's</v>
      </c>
      <c r="DO589" s="221"/>
    </row>
    <row r="590" spans="2:119" ht="15.6" customHeight="1">
      <c r="B590" s="219" t="b">
        <f t="array" ref="B590">IF(OR(ISERROR(K590:P590)),FALSE,TRUE)</f>
        <v>1</v>
      </c>
      <c r="C590" s="43" t="b">
        <f>OR(BR590=Driver!$G$50,Data!BR113=Driver!$H$50)</f>
        <v>1</v>
      </c>
      <c r="D590" s="43" t="b">
        <f>OR(BV590=Driver!$G$51,BV590=Driver!$H$51)</f>
        <v>1</v>
      </c>
      <c r="E590" s="43" t="b">
        <f>AND(BX590&gt;Driver!$F$54,BX590&lt;Driver!$G$54)</f>
        <v>0</v>
      </c>
      <c r="F590" s="43" t="b">
        <f>CL590&gt;Driver!$F$56</f>
        <v>1</v>
      </c>
      <c r="G590" s="43" t="b">
        <f>AND(CB590&gt;Driver!$F$55,CB590&lt;Driver!$G$55)</f>
        <v>0</v>
      </c>
      <c r="H590" s="43" t="b">
        <f t="shared" si="333"/>
        <v>0</v>
      </c>
      <c r="I590" s="43">
        <f t="shared" si="334"/>
        <v>0</v>
      </c>
      <c r="J590" s="43" t="b">
        <f t="array" ref="J590">NOT(OR(($H$9:$H$1273=TRUE)*($I$9:$I$1273&gt;0)*($BT$9:$BT$1273=BT590)*($K$9:$K$1273&gt;K590)))</f>
        <v>1</v>
      </c>
      <c r="K590" s="72">
        <f t="shared" si="335"/>
        <v>0.84616693449535729</v>
      </c>
      <c r="L590" s="72">
        <f t="shared" si="336"/>
        <v>0.99040229726794016</v>
      </c>
      <c r="M590" s="72">
        <f t="shared" si="337"/>
        <v>0.70193157172277454</v>
      </c>
      <c r="N590" s="72">
        <f t="shared" si="338"/>
        <v>0.70688601831372522</v>
      </c>
      <c r="O590" s="72">
        <f t="shared" si="339"/>
        <v>0.6707513790751658</v>
      </c>
      <c r="P590" s="72">
        <f t="shared" si="340"/>
        <v>0.72815731777943249</v>
      </c>
      <c r="Q590" s="72"/>
      <c r="R590" s="72"/>
      <c r="S590" s="72">
        <f t="shared" si="341"/>
        <v>0.55599517448693514</v>
      </c>
      <c r="T590" s="72">
        <f t="shared" si="342"/>
        <v>0.48861444067747994</v>
      </c>
      <c r="U590" s="72">
        <f t="shared" si="343"/>
        <v>0.71579548759051093</v>
      </c>
      <c r="V590" s="72">
        <f t="shared" si="344"/>
        <v>0.5218947325035459</v>
      </c>
      <c r="W590" s="72">
        <f t="shared" si="345"/>
        <v>0.79149048913043485</v>
      </c>
      <c r="X590" s="72">
        <f t="shared" si="346"/>
        <v>9.5977027320598707E-3</v>
      </c>
      <c r="Y590" s="72">
        <f t="shared" si="347"/>
        <v>0.29806842827722546</v>
      </c>
      <c r="Z590" s="72">
        <f t="shared" si="348"/>
        <v>0.29311398168627478</v>
      </c>
      <c r="AA590" s="72">
        <f t="shared" si="349"/>
        <v>0.3292486209248342</v>
      </c>
      <c r="AB590" s="72">
        <f t="shared" si="350"/>
        <v>0.27184268222056746</v>
      </c>
      <c r="AC590" s="72"/>
      <c r="AD590" s="72"/>
      <c r="AE590" s="72">
        <f t="shared" si="351"/>
        <v>0.44400482551306486</v>
      </c>
      <c r="AF590" s="72">
        <f t="shared" si="352"/>
        <v>0.51138555932252006</v>
      </c>
      <c r="AG590" s="72">
        <f t="shared" si="353"/>
        <v>0.28420451240948907</v>
      </c>
      <c r="AH590" s="72">
        <f t="shared" si="354"/>
        <v>0.47810526749645404</v>
      </c>
      <c r="AI590" s="72">
        <f t="shared" si="355"/>
        <v>0.20850951086956521</v>
      </c>
      <c r="AJ590" s="72">
        <f>(AV590-Driver!$K$179)/(Driver!$L$179-Driver!$K$179)</f>
        <v>0.24462170655064056</v>
      </c>
      <c r="AK590" s="72">
        <f>(AW590-Driver!$K$180)/(Driver!$L$180-Driver!$K$180)</f>
        <v>0.52094654399447493</v>
      </c>
      <c r="AL590" s="72">
        <f>(AX590-Driver!$K$181)/(Driver!$L$181-Driver!$K$181)</f>
        <v>0.39480174539935498</v>
      </c>
      <c r="AM590" s="72">
        <f>(AY590-Driver!$K$182)/(Driver!$L$182-Driver!$K$182)</f>
        <v>0.11813640017221216</v>
      </c>
      <c r="AN590" s="72">
        <f>(AZ590-Driver!$K$183)/(Driver!$L$183-Driver!$K$183)</f>
        <v>0.52606209150326788</v>
      </c>
      <c r="AO590" s="72"/>
      <c r="AP590" s="72"/>
      <c r="AQ590" s="72">
        <f>(BC590-Driver!$K$188)/(Driver!$L$188-Driver!$K$188)</f>
        <v>0.17599517448693511</v>
      </c>
      <c r="AR590" s="72">
        <f>MIN((BD590-Driver!$K$189)/(Driver!$L$189-Driver!$K$189),100%)</f>
        <v>3.8614440677479989E-2</v>
      </c>
      <c r="AS590" s="72">
        <f>(BE590-Driver!$K$190)/(Driver!$L$190-Driver!$K$190)</f>
        <v>0.22579548759051091</v>
      </c>
      <c r="AT590" s="72">
        <f>(BF590-Driver!$K$191)/(Driver!$L$191-Driver!$K$191)</f>
        <v>3.1894732503545985E-2</v>
      </c>
      <c r="AU590" s="72">
        <f>(BG590-Driver!$K$192)/(Driver!$L$192-Driver!$K$192)</f>
        <v>4.1490489130434779E-2</v>
      </c>
      <c r="AV590" s="70">
        <f t="shared" si="356"/>
        <v>5.1485551485551486</v>
      </c>
      <c r="AW590" s="70">
        <f t="shared" si="357"/>
        <v>52.642749389683594</v>
      </c>
      <c r="AX590" s="70">
        <f t="shared" si="358"/>
        <v>4.5532157085941947</v>
      </c>
      <c r="AY590" s="70">
        <f>IFERROR(Driver!$K$19/Data!BH590/Data!BI590*Data!BK590*Data!BL590,"")</f>
        <v>0.14463420231055032</v>
      </c>
      <c r="AZ590" s="70">
        <f t="shared" si="359"/>
        <v>47.944899478778851</v>
      </c>
      <c r="BA590" s="70"/>
      <c r="BB590" s="70"/>
      <c r="BC590" s="70">
        <f t="shared" si="360"/>
        <v>91.289920504976749</v>
      </c>
      <c r="BD590" s="70">
        <f t="shared" si="361"/>
        <v>5.1381324633144931</v>
      </c>
      <c r="BE590" s="70">
        <f t="shared" si="362"/>
        <v>0.22593359696148177</v>
      </c>
      <c r="BF590" s="70">
        <f t="shared" si="363"/>
        <v>3.6022859630980237</v>
      </c>
      <c r="BG590" s="70">
        <f t="shared" si="364"/>
        <v>0.15710945991847827</v>
      </c>
      <c r="BH590" s="67">
        <f>MAX((CE590-Driver!$F$200)/(Driver!$G$200-Driver!$F$200)*$BI$1,1)</f>
        <v>4.5532157085941947</v>
      </c>
      <c r="BI590" s="67">
        <f>MAX($BI$1*(BY590-Driver!$F$201)/(Driver!$G$201-Driver!$F$201),1)</f>
        <v>8.6708860759493671</v>
      </c>
      <c r="BJ590" s="67">
        <f>(CB590-Driver!$F$206)/(Driver!$G$206-Driver!$F$206)*$BI$1</f>
        <v>5.2380952380952381</v>
      </c>
      <c r="BK590" s="67">
        <f>(CD590-Driver!$F$203)/(Driver!$G$203-Driver!$F$203)*$BI$1</f>
        <v>4.3577981651376145</v>
      </c>
      <c r="BL590" s="67">
        <f>MAX((CR590-Driver!$F$202)/(Driver!$G$202-Driver!$F$202)*$BI$1,1)</f>
        <v>6.5517241379310338</v>
      </c>
      <c r="BM590" s="67">
        <f>MAX((CH590-Driver!$F$204)/(Driver!$G$204-Driver!$F$204)*$BI$1,1)</f>
        <v>3.9316239316239314</v>
      </c>
      <c r="BN590" s="67">
        <f>(CI590-Driver!$F$205)/(Driver!$G$205-Driver!$F$205)*$BI$1</f>
        <v>5.5294117647058822</v>
      </c>
      <c r="BO590" s="67">
        <f>(CK590-Driver!$F$207)/(Driver!$G$207-Driver!$F$207)*$BI$1</f>
        <v>1.6752843846949328</v>
      </c>
      <c r="BP590" s="67">
        <f>(CM590-Driver!$F$208)/(Driver!$G$208-Driver!$F$208)*$BI$1</f>
        <v>1.7888888888888888</v>
      </c>
      <c r="BQ590" s="67">
        <f>(CL590-Driver!$F$209)/(Driver!$G$209-Driver!$F$209)*$BI$1</f>
        <v>2.8125</v>
      </c>
      <c r="BR590" s="28" t="s">
        <v>155</v>
      </c>
      <c r="BS590" s="8" t="s">
        <v>182</v>
      </c>
      <c r="BT590" s="9" t="s">
        <v>373</v>
      </c>
      <c r="BU590" s="10">
        <v>188</v>
      </c>
      <c r="BV590" s="9" t="s">
        <v>158</v>
      </c>
      <c r="BW590" s="10">
        <v>188</v>
      </c>
      <c r="BX590" s="10">
        <v>187.8</v>
      </c>
      <c r="BY590" s="10">
        <v>145</v>
      </c>
      <c r="BZ590" s="10">
        <v>159</v>
      </c>
      <c r="CA590" s="10">
        <v>131</v>
      </c>
      <c r="CB590" s="10">
        <v>97</v>
      </c>
      <c r="CC590" s="10">
        <v>122</v>
      </c>
      <c r="CD590" s="10">
        <v>18.899999999999999</v>
      </c>
      <c r="CE590" s="10">
        <v>1700</v>
      </c>
      <c r="CF590" s="10">
        <v>1.2</v>
      </c>
      <c r="CG590" s="10">
        <v>2046</v>
      </c>
      <c r="CH590" s="10">
        <v>193</v>
      </c>
      <c r="CI590" s="10">
        <v>127</v>
      </c>
      <c r="CJ590" s="10">
        <v>50</v>
      </c>
      <c r="CK590" s="10">
        <v>272</v>
      </c>
      <c r="CL590" s="10">
        <v>18</v>
      </c>
      <c r="CM590" s="10">
        <v>161</v>
      </c>
      <c r="CN590" s="10">
        <v>0.36499999999999999</v>
      </c>
      <c r="CO590" s="10">
        <v>177</v>
      </c>
      <c r="CP590" s="10">
        <v>112</v>
      </c>
      <c r="CQ590" s="10">
        <v>95</v>
      </c>
      <c r="CR590" s="10">
        <v>8</v>
      </c>
      <c r="CS590" s="10">
        <v>9.8000000000000007</v>
      </c>
      <c r="CT590" s="9" t="s">
        <v>188</v>
      </c>
      <c r="CU590" s="9" t="s">
        <v>185</v>
      </c>
      <c r="CV590" s="10"/>
      <c r="CW590" s="10"/>
      <c r="CX590" t="str">
        <f>INDEX('Data_Price '!AG$2:AG$1266,MATCH(Data!$DN590,'Data_Price '!$AT$2:$AT$1266,0))</f>
        <v>Armada Tracer 98 Limited Dark Blue-Black-White 188 Ski Men</v>
      </c>
      <c r="CY590" t="str">
        <f>INDEX('Data_Price '!AH$2:AH$1266,MATCH(Data!$DN590,'Data_Price '!$AT$2:$AT$1266,0))</f>
        <v>! OutdoorXL.com</v>
      </c>
      <c r="CZ590">
        <f>INDEX('Data_Price '!AI$2:AI$1266,MATCH(Data!$DN590,'Data_Price '!$AT$2:$AT$1266,0))</f>
        <v>374.95</v>
      </c>
      <c r="DA590" t="str">
        <f>INDEX('Data_Price '!AJ$2:AJ$1266,MATCH(Data!$DN590,'Data_Price '!$AT$2:$AT$1266,0))</f>
        <v>https://tinyurl.com/yafpyps6</v>
      </c>
      <c r="DB590" t="str">
        <f>INDEX('Data_Price '!AK$2:AK$1266,MATCH(Data!$DN590,'Data_Price '!$AT$2:$AT$1266,0))</f>
        <v>2021 Armada Tracer 98 188cm</v>
      </c>
      <c r="DC590" t="str">
        <f>INDEX('Data_Price '!AL$2:AL$1266,MATCH(Data!$DN590,'Data_Price '!$AT$2:$AT$1266,0))</f>
        <v>eBay</v>
      </c>
      <c r="DD590">
        <f>INDEX('Data_Price '!AM$2:AM$1266,MATCH(Data!$DN590,'Data_Price '!$AT$2:$AT$1266,0))</f>
        <v>449</v>
      </c>
      <c r="DE590" t="str">
        <f>INDEX('Data_Price '!AN$2:AN$1266,MATCH(Data!$DN590,'Data_Price '!$AT$2:$AT$1266,0))</f>
        <v>https://tinyurl.com/yclpongl</v>
      </c>
      <c r="DF590" t="str">
        <f>INDEX('Data_Price '!AO$2:AO$1266,MATCH(Data!$DN590,'Data_Price '!$AT$2:$AT$1266,0))</f>
        <v>Armada Tracer 98 Skis 2022</v>
      </c>
      <c r="DG590" t="str">
        <f>INDEX('Data_Price '!AP$2:AP$1266,MATCH(Data!$DN590,'Data_Price '!$AT$2:$AT$1266,0))</f>
        <v>Curated</v>
      </c>
      <c r="DH590">
        <f>INDEX('Data_Price '!AQ$2:AQ$1266,MATCH(Data!$DN590,'Data_Price '!$AT$2:$AT$1266,0))</f>
        <v>559</v>
      </c>
      <c r="DI590" t="str">
        <f>INDEX('Data_Price '!AR$2:AR$1266,MATCH(Data!$DN590,'Data_Price '!$AT$2:$AT$1266,0))</f>
        <v>https://tinyurl.com/y7qephba</v>
      </c>
      <c r="DJ590" s="89" t="str">
        <f t="shared" si="365"/>
        <v>https://tinyurl.com/yafpyps6</v>
      </c>
      <c r="DK590" s="89" t="str">
        <f t="shared" si="366"/>
        <v>https://tinyurl.com/yclpongl</v>
      </c>
      <c r="DL590" s="89" t="str">
        <f t="shared" si="367"/>
        <v>https://tinyurl.com/y7qephba</v>
      </c>
      <c r="DM590" s="219" t="str">
        <f t="shared" si="368"/>
        <v>Tracer 98</v>
      </c>
      <c r="DN590" s="89" t="str">
        <f t="shared" si="369"/>
        <v xml:space="preserve"> ArmadaTracer 98188 Unisex</v>
      </c>
      <c r="DO590" s="221" t="s">
        <v>374</v>
      </c>
    </row>
    <row r="591" spans="2:119" ht="15.6" customHeight="1">
      <c r="B591" s="219" t="b">
        <f t="array" ref="B591">IF(OR(ISERROR(K591:P591)),FALSE,TRUE)</f>
        <v>1</v>
      </c>
      <c r="C591" s="43" t="b">
        <f>OR(BR591=Driver!$G$50,Data!BR1058=Driver!$H$50)</f>
        <v>1</v>
      </c>
      <c r="D591" s="43" t="b">
        <f>OR(BV591=Driver!$G$51,BV591=Driver!$H$51)</f>
        <v>1</v>
      </c>
      <c r="E591" s="43" t="b">
        <f>AND(BX591&gt;Driver!$F$54,BX591&lt;Driver!$G$54)</f>
        <v>0</v>
      </c>
      <c r="F591" s="43" t="b">
        <f>CL591&gt;Driver!$F$56</f>
        <v>1</v>
      </c>
      <c r="G591" s="43" t="b">
        <f>AND(CB591&gt;Driver!$F$55,CB591&lt;Driver!$G$55)</f>
        <v>0</v>
      </c>
      <c r="H591" s="43" t="b">
        <f t="shared" si="333"/>
        <v>0</v>
      </c>
      <c r="I591" s="43">
        <f t="shared" si="334"/>
        <v>0</v>
      </c>
      <c r="J591" s="43" t="b">
        <f t="array" ref="J591">NOT(OR(($H$9:$H$1273=TRUE)*($I$9:$I$1273&gt;0)*($BT$9:$BT$1273=BT591)*($K$9:$K$1273&gt;K591)))</f>
        <v>1</v>
      </c>
      <c r="K591" s="72">
        <f t="shared" si="335"/>
        <v>0.79693979953314176</v>
      </c>
      <c r="L591" s="72">
        <f t="shared" si="336"/>
        <v>0.82264788585870641</v>
      </c>
      <c r="M591" s="72">
        <f t="shared" si="337"/>
        <v>0.771231713207577</v>
      </c>
      <c r="N591" s="72">
        <f t="shared" si="338"/>
        <v>0.68348754870011619</v>
      </c>
      <c r="O591" s="72">
        <f t="shared" si="339"/>
        <v>0.64096294791773367</v>
      </c>
      <c r="P591" s="72">
        <f t="shared" si="340"/>
        <v>0.98924464300488124</v>
      </c>
      <c r="Q591" s="72"/>
      <c r="R591" s="72"/>
      <c r="S591" s="72">
        <f t="shared" si="341"/>
        <v>0.48507289136226817</v>
      </c>
      <c r="T591" s="72">
        <f t="shared" si="342"/>
        <v>0.91172350084392684</v>
      </c>
      <c r="U591" s="72">
        <f t="shared" si="343"/>
        <v>0.51</v>
      </c>
      <c r="V591" s="72">
        <f t="shared" si="344"/>
        <v>0.49097822152450454</v>
      </c>
      <c r="W591" s="72">
        <f t="shared" si="345"/>
        <v>0.75956076283221752</v>
      </c>
      <c r="X591" s="72">
        <f t="shared" si="346"/>
        <v>0.17735211414129362</v>
      </c>
      <c r="Y591" s="72">
        <f t="shared" si="347"/>
        <v>0.22876828679242298</v>
      </c>
      <c r="Z591" s="72">
        <f t="shared" si="348"/>
        <v>0.31651245129988387</v>
      </c>
      <c r="AA591" s="72">
        <f t="shared" si="349"/>
        <v>0.35903705208226633</v>
      </c>
      <c r="AB591" s="72">
        <f t="shared" si="350"/>
        <v>1.0755356995118731E-2</v>
      </c>
      <c r="AC591" s="72"/>
      <c r="AD591" s="72"/>
      <c r="AE591" s="72">
        <f t="shared" si="351"/>
        <v>0.51492710863773183</v>
      </c>
      <c r="AF591" s="72">
        <f t="shared" si="352"/>
        <v>8.8276499156073163E-2</v>
      </c>
      <c r="AG591" s="72">
        <f t="shared" si="353"/>
        <v>0.49</v>
      </c>
      <c r="AH591" s="72">
        <f t="shared" si="354"/>
        <v>0.50902177847549546</v>
      </c>
      <c r="AI591" s="72">
        <f t="shared" si="355"/>
        <v>0.24043923716778251</v>
      </c>
      <c r="AJ591" s="72">
        <f>(AV591-Driver!$K$179)/(Driver!$L$179-Driver!$K$179)</f>
        <v>7.6867295141406805E-2</v>
      </c>
      <c r="AK591" s="72">
        <f>(AW591-Driver!$K$180)/(Driver!$L$180-Driver!$K$180)</f>
        <v>0.25845984830243868</v>
      </c>
      <c r="AL591" s="72">
        <f>(AX591-Driver!$K$181)/(Driver!$L$181-Driver!$K$181)</f>
        <v>0.41820021501296406</v>
      </c>
      <c r="AM591" s="72">
        <f>(AY591-Driver!$K$182)/(Driver!$L$182-Driver!$K$182)</f>
        <v>8.8347969014780023E-2</v>
      </c>
      <c r="AN591" s="72">
        <f>(AZ591-Driver!$K$183)/(Driver!$L$183-Driver!$K$183)</f>
        <v>0.24346405228758169</v>
      </c>
      <c r="AO591" s="72"/>
      <c r="AP591" s="72"/>
      <c r="AQ591" s="72">
        <f>(BC591-Driver!$K$188)/(Driver!$L$188-Driver!$K$188)</f>
        <v>0.10507289136226822</v>
      </c>
      <c r="AR591" s="72">
        <f>MIN((BD591-Driver!$K$189)/(Driver!$L$189-Driver!$K$189),100%)</f>
        <v>0.46172350084392688</v>
      </c>
      <c r="AS591" s="72">
        <f>(BE591-Driver!$K$190)/(Driver!$L$190-Driver!$K$190)</f>
        <v>1</v>
      </c>
      <c r="AT591" s="72">
        <f>(BF591-Driver!$K$191)/(Driver!$L$191-Driver!$K$191)</f>
        <v>9.7822152450449933E-4</v>
      </c>
      <c r="AU591" s="72">
        <f>(BG591-Driver!$K$192)/(Driver!$L$192-Driver!$K$192)</f>
        <v>9.5607628322174881E-3</v>
      </c>
      <c r="AV591" s="70">
        <f t="shared" si="356"/>
        <v>1.6178266178266176</v>
      </c>
      <c r="AW591" s="70">
        <f t="shared" si="357"/>
        <v>27.061095025763905</v>
      </c>
      <c r="AX591" s="70">
        <f t="shared" si="358"/>
        <v>4.7638019351166765</v>
      </c>
      <c r="AY591" s="70">
        <f>IFERROR(Driver!$K$19/Data!BH591/Data!BI591*Data!BK591*Data!BL591,"")</f>
        <v>0.10816427456383232</v>
      </c>
      <c r="AZ591" s="70">
        <f t="shared" si="359"/>
        <v>22.189128816083397</v>
      </c>
      <c r="BA591" s="70"/>
      <c r="BB591" s="70"/>
      <c r="BC591" s="70">
        <f t="shared" si="360"/>
        <v>54.502039204498679</v>
      </c>
      <c r="BD591" s="70">
        <f t="shared" si="361"/>
        <v>42.5825345831528</v>
      </c>
      <c r="BE591" s="70">
        <f t="shared" si="362"/>
        <v>1</v>
      </c>
      <c r="BF591" s="70">
        <f t="shared" si="363"/>
        <v>0.1104832487976231</v>
      </c>
      <c r="BG591" s="70">
        <f t="shared" si="364"/>
        <v>3.6203147190099413E-2</v>
      </c>
      <c r="BH591" s="67">
        <f>MAX((CE591-Driver!$F$200)/(Driver!$G$200-Driver!$F$200)*$BI$1,1)</f>
        <v>4.7638019351166765</v>
      </c>
      <c r="BI591" s="67">
        <f>MAX($BI$1*(BY591-Driver!$F$201)/(Driver!$G$201-Driver!$F$201),1)</f>
        <v>9.4303797468354436</v>
      </c>
      <c r="BJ591" s="67">
        <f>(CB591-Driver!$F$206)/(Driver!$G$206-Driver!$F$206)*$BI$1</f>
        <v>1.4285714285714284</v>
      </c>
      <c r="BK591" s="67">
        <f>(CD591-Driver!$F$203)/(Driver!$G$203-Driver!$F$203)*$BI$1</f>
        <v>2.9357798165137621</v>
      </c>
      <c r="BL591" s="67">
        <f>MAX((CR591-Driver!$F$202)/(Driver!$G$202-Driver!$F$202)*$BI$1,1)</f>
        <v>8.2758620689655178</v>
      </c>
      <c r="BM591" s="67">
        <f>MAX((CH591-Driver!$F$204)/(Driver!$G$204-Driver!$F$204)*$BI$1,1)</f>
        <v>4.5299145299145298</v>
      </c>
      <c r="BN591" s="67">
        <f>(CI591-Driver!$F$205)/(Driver!$G$205-Driver!$F$205)*$BI$1</f>
        <v>2.3529411764705883</v>
      </c>
      <c r="BO591" s="67">
        <f>(CK591-Driver!$F$207)/(Driver!$G$207-Driver!$F$207)*$BI$1</f>
        <v>0.39296794208893482</v>
      </c>
      <c r="BP591" s="67">
        <f>(CM591-Driver!$F$208)/(Driver!$G$208-Driver!$F$208)*$BI$1</f>
        <v>0.57777777777777772</v>
      </c>
      <c r="BQ591" s="67">
        <f>(CL591-Driver!$F$209)/(Driver!$G$209-Driver!$F$209)*$BI$1</f>
        <v>0.78125</v>
      </c>
      <c r="BR591" s="28" t="s">
        <v>155</v>
      </c>
      <c r="BS591" s="8" t="s">
        <v>172</v>
      </c>
      <c r="BT591" s="9" t="s">
        <v>600</v>
      </c>
      <c r="BU591" s="10">
        <v>177</v>
      </c>
      <c r="BV591" s="9" t="s">
        <v>158</v>
      </c>
      <c r="BW591" s="10">
        <v>177</v>
      </c>
      <c r="BX591" s="10">
        <v>176.5</v>
      </c>
      <c r="BY591" s="10">
        <v>157</v>
      </c>
      <c r="BZ591" s="10">
        <v>163</v>
      </c>
      <c r="CA591" s="10">
        <v>122</v>
      </c>
      <c r="CB591" s="10">
        <v>73</v>
      </c>
      <c r="CC591" s="10">
        <v>108</v>
      </c>
      <c r="CD591" s="10">
        <v>15.8</v>
      </c>
      <c r="CE591" s="10">
        <v>1737</v>
      </c>
      <c r="CF591" s="10">
        <v>0.9</v>
      </c>
      <c r="CG591" s="10">
        <v>1558</v>
      </c>
      <c r="CH591" s="10">
        <v>207</v>
      </c>
      <c r="CI591" s="10">
        <v>73</v>
      </c>
      <c r="CJ591" s="10">
        <v>36</v>
      </c>
      <c r="CK591" s="10">
        <v>148</v>
      </c>
      <c r="CL591" s="10">
        <v>5</v>
      </c>
      <c r="CM591" s="10">
        <v>52</v>
      </c>
      <c r="CN591" s="10">
        <v>0.14000000000000001</v>
      </c>
      <c r="CO591" s="10">
        <v>72</v>
      </c>
      <c r="CP591" s="10">
        <v>61</v>
      </c>
      <c r="CQ591" s="10">
        <v>76</v>
      </c>
      <c r="CR591" s="10">
        <v>13</v>
      </c>
      <c r="CS591" s="10">
        <v>9.8000000000000007</v>
      </c>
      <c r="CT591" s="9" t="s">
        <v>349</v>
      </c>
      <c r="CU591" s="10"/>
      <c r="CV591" s="10"/>
      <c r="CW591" s="10"/>
      <c r="CX591" t="str">
        <f>INDEX('Data_Price '!AG$2:AG$1266,MATCH(Data!$DN591,'Data_Price '!$AT$2:$AT$1266,0))</f>
        <v>Rossignol React 6 Compact Mens Skis 177 W/Xpress 11 GW Bindings Black Hot Red</v>
      </c>
      <c r="CY591" t="str">
        <f>INDEX('Data_Price '!AH$2:AH$1266,MATCH(Data!$DN591,'Data_Price '!$AT$2:$AT$1266,0))</f>
        <v>Buyr.com</v>
      </c>
      <c r="CZ591">
        <f>INDEX('Data_Price '!AI$2:AI$1266,MATCH(Data!$DN591,'Data_Price '!$AT$2:$AT$1266,0))</f>
        <v>599.99</v>
      </c>
      <c r="DA591" t="str">
        <f>INDEX('Data_Price '!AJ$2:AJ$1266,MATCH(Data!$DN591,'Data_Price '!$AT$2:$AT$1266,0))</f>
        <v>https://tinyurl.com/ya4olz9o</v>
      </c>
      <c r="DB591" t="str">
        <f>INDEX('Data_Price '!AK$2:AK$1266,MATCH(Data!$DN591,'Data_Price '!$AT$2:$AT$1266,0))</f>
        <v>Rossignol React R6 Compact (xpress)</v>
      </c>
      <c r="DC591" t="str">
        <f>INDEX('Data_Price '!AL$2:AL$1266,MATCH(Data!$DN591,'Data_Price '!$AT$2:$AT$1266,0))</f>
        <v>Spoke-N-Sport</v>
      </c>
      <c r="DD591">
        <f>INDEX('Data_Price '!AM$2:AM$1266,MATCH(Data!$DN591,'Data_Price '!$AT$2:$AT$1266,0))</f>
        <v>419.99</v>
      </c>
      <c r="DE591" t="str">
        <f>INDEX('Data_Price '!AN$2:AN$1266,MATCH(Data!$DN591,'Data_Price '!$AT$2:$AT$1266,0))</f>
        <v>https://tinyurl.com/yayafoms</v>
      </c>
      <c r="DF591" t="str">
        <f>INDEX('Data_Price '!AO$2:AO$1266,MATCH(Data!$DN591,'Data_Price '!$AT$2:$AT$1266,0))</f>
        <v>Rossignol React 2 Skis W Xpress 10 Gw Bindings 2022 - Na</v>
      </c>
      <c r="DG591" t="str">
        <f>INDEX('Data_Price '!AP$2:AP$1266,MATCH(Data!$DN591,'Data_Price '!$AT$2:$AT$1266,0))</f>
        <v>Geiger's</v>
      </c>
      <c r="DH591">
        <f>INDEX('Data_Price '!AQ$2:AQ$1266,MATCH(Data!$DN591,'Data_Price '!$AT$2:$AT$1266,0))</f>
        <v>299.99</v>
      </c>
      <c r="DI591" t="str">
        <f>INDEX('Data_Price '!AR$2:AR$1266,MATCH(Data!$DN591,'Data_Price '!$AT$2:$AT$1266,0))</f>
        <v>https://tinyurl.com/yb38f2rc</v>
      </c>
      <c r="DJ591" s="89" t="str">
        <f t="shared" si="365"/>
        <v>https://tinyurl.com/ya4olz9o</v>
      </c>
      <c r="DK591" s="89" t="str">
        <f t="shared" si="366"/>
        <v>https://tinyurl.com/yayafoms</v>
      </c>
      <c r="DL591" s="89" t="str">
        <f t="shared" si="367"/>
        <v>https://tinyurl.com/yb38f2rc</v>
      </c>
      <c r="DM591" s="219" t="str">
        <f t="shared" si="368"/>
        <v>React 6 Compact</v>
      </c>
      <c r="DN591" s="89" t="str">
        <f t="shared" si="369"/>
        <v xml:space="preserve"> RossignolReact 6 Compact177 Unisex</v>
      </c>
      <c r="DO591" s="221"/>
    </row>
    <row r="592" spans="2:119" ht="15.6" customHeight="1">
      <c r="B592" s="219" t="b">
        <f t="array" ref="B592">IF(OR(ISERROR(K592:P592)),FALSE,TRUE)</f>
        <v>1</v>
      </c>
      <c r="C592" s="43" t="b">
        <f>OR(BR592=Driver!$G$50,Data!BR1174=Driver!$H$50)</f>
        <v>1</v>
      </c>
      <c r="D592" s="43" t="b">
        <f>OR(BV592=Driver!$G$51,BV592=Driver!$H$51)</f>
        <v>1</v>
      </c>
      <c r="E592" s="43" t="b">
        <f>AND(BX592&gt;Driver!$F$54,BX592&lt;Driver!$G$54)</f>
        <v>0</v>
      </c>
      <c r="F592" s="43" t="b">
        <f>CL592&gt;Driver!$F$56</f>
        <v>1</v>
      </c>
      <c r="G592" s="43" t="b">
        <f>AND(CB592&gt;Driver!$F$55,CB592&lt;Driver!$G$55)</f>
        <v>0</v>
      </c>
      <c r="H592" s="43" t="b">
        <f t="shared" si="333"/>
        <v>0</v>
      </c>
      <c r="I592" s="43">
        <f t="shared" si="334"/>
        <v>0</v>
      </c>
      <c r="J592" s="43" t="b">
        <f t="array" ref="J592">NOT(OR(($H$9:$H$1273=TRUE)*($I$9:$I$1273&gt;0)*($BT$9:$BT$1273=BT592)*($K$9:$K$1273&gt;K592)))</f>
        <v>1</v>
      </c>
      <c r="K592" s="72">
        <f t="shared" si="335"/>
        <v>0.85827685724162173</v>
      </c>
      <c r="L592" s="72">
        <f t="shared" si="336"/>
        <v>0.90233525996232411</v>
      </c>
      <c r="M592" s="72">
        <f t="shared" si="337"/>
        <v>0.81421845452091923</v>
      </c>
      <c r="N592" s="72">
        <f t="shared" si="338"/>
        <v>0.80427424319199003</v>
      </c>
      <c r="O592" s="72">
        <f t="shared" si="339"/>
        <v>0.69737994141817417</v>
      </c>
      <c r="P592" s="72">
        <f t="shared" si="340"/>
        <v>0.94100117895259361</v>
      </c>
      <c r="Q592" s="72"/>
      <c r="R592" s="72"/>
      <c r="S592" s="72">
        <f t="shared" si="341"/>
        <v>0.44453664848921659</v>
      </c>
      <c r="T592" s="72">
        <f t="shared" si="342"/>
        <v>0.45704545444626765</v>
      </c>
      <c r="U592" s="72">
        <f t="shared" si="343"/>
        <v>0.51262494706006734</v>
      </c>
      <c r="V592" s="72">
        <f t="shared" si="344"/>
        <v>0.66181847214211831</v>
      </c>
      <c r="W592" s="72">
        <f t="shared" si="345"/>
        <v>0.84015179520354888</v>
      </c>
      <c r="X592" s="72">
        <f t="shared" si="346"/>
        <v>9.766474003767589E-2</v>
      </c>
      <c r="Y592" s="72">
        <f t="shared" si="347"/>
        <v>0.18578154547908074</v>
      </c>
      <c r="Z592" s="72">
        <f t="shared" si="348"/>
        <v>0.19572575680801002</v>
      </c>
      <c r="AA592" s="72">
        <f t="shared" si="349"/>
        <v>0.30262005858182583</v>
      </c>
      <c r="AB592" s="72">
        <f t="shared" si="350"/>
        <v>5.8998821047406336E-2</v>
      </c>
      <c r="AC592" s="72"/>
      <c r="AD592" s="72"/>
      <c r="AE592" s="72">
        <f t="shared" si="351"/>
        <v>0.55546335151078341</v>
      </c>
      <c r="AF592" s="72">
        <f t="shared" si="352"/>
        <v>0.54295454555373235</v>
      </c>
      <c r="AG592" s="72">
        <f t="shared" si="353"/>
        <v>0.48737505293993266</v>
      </c>
      <c r="AH592" s="72">
        <f t="shared" si="354"/>
        <v>0.33818152785788175</v>
      </c>
      <c r="AI592" s="72">
        <f t="shared" si="355"/>
        <v>0.15984820479645118</v>
      </c>
      <c r="AJ592" s="72">
        <f>(AV592-Driver!$K$179)/(Driver!$L$179-Driver!$K$179)</f>
        <v>0.15655466924502454</v>
      </c>
      <c r="AK592" s="72">
        <f>(AW592-Driver!$K$180)/(Driver!$L$180-Driver!$K$180)</f>
        <v>0.20289915694802191</v>
      </c>
      <c r="AL592" s="72">
        <f>(AX592-Driver!$K$181)/(Driver!$L$181-Driver!$K$181)</f>
        <v>0.29741352052109021</v>
      </c>
      <c r="AM592" s="72">
        <f>(AY592-Driver!$K$182)/(Driver!$L$182-Driver!$K$182)</f>
        <v>0.1447649625152205</v>
      </c>
      <c r="AN592" s="72">
        <f>(AZ592-Driver!$K$183)/(Driver!$L$183-Driver!$K$183)</f>
        <v>0.19522058823529409</v>
      </c>
      <c r="AO592" s="72"/>
      <c r="AP592" s="72"/>
      <c r="AQ592" s="72">
        <f>(BC592-Driver!$K$188)/(Driver!$L$188-Driver!$K$188)</f>
        <v>6.4536648489216544E-2</v>
      </c>
      <c r="AR592" s="72">
        <f>MIN((BD592-Driver!$K$189)/(Driver!$L$189-Driver!$K$189),100%)</f>
        <v>7.0454544462676717E-3</v>
      </c>
      <c r="AS592" s="72">
        <f>(BE592-Driver!$K$190)/(Driver!$L$190-Driver!$K$190)</f>
        <v>2.2624947060067322E-2</v>
      </c>
      <c r="AT592" s="72">
        <f>(BF592-Driver!$K$191)/(Driver!$L$191-Driver!$K$191)</f>
        <v>0.17181847214211826</v>
      </c>
      <c r="AU592" s="72">
        <f>(BG592-Driver!$K$192)/(Driver!$L$192-Driver!$K$192)</f>
        <v>9.0151795203548823E-2</v>
      </c>
      <c r="AV592" s="70">
        <f t="shared" si="356"/>
        <v>3.2950074616741278</v>
      </c>
      <c r="AW592" s="70">
        <f t="shared" si="357"/>
        <v>21.646213335467881</v>
      </c>
      <c r="AX592" s="70">
        <f t="shared" si="358"/>
        <v>3.6767216846898121</v>
      </c>
      <c r="AY592" s="70">
        <f>IFERROR(Driver!$K$19/Data!BH592/Data!BI592*Data!BK592*Data!BL592,"")</f>
        <v>0.1772355078145561</v>
      </c>
      <c r="AZ592" s="70">
        <f t="shared" si="359"/>
        <v>17.792256142963513</v>
      </c>
      <c r="BA592" s="70"/>
      <c r="BB592" s="70"/>
      <c r="BC592" s="70">
        <f t="shared" si="360"/>
        <v>33.475608222858185</v>
      </c>
      <c r="BD592" s="70">
        <f t="shared" si="361"/>
        <v>2.3443331187858427</v>
      </c>
      <c r="BE592" s="70">
        <f t="shared" si="362"/>
        <v>2.2799299768686998E-2</v>
      </c>
      <c r="BF592" s="70">
        <f t="shared" si="363"/>
        <v>19.405689335368752</v>
      </c>
      <c r="BG592" s="70">
        <f t="shared" si="364"/>
        <v>0.34137220726861056</v>
      </c>
      <c r="BH592" s="67">
        <f>MAX((CE592-Driver!$F$200)/(Driver!$G$200-Driver!$F$200)*$BI$1,1)</f>
        <v>3.6767216846898121</v>
      </c>
      <c r="BI592" s="67">
        <f>MAX($BI$1*(BY592-Driver!$F$201)/(Driver!$G$201-Driver!$F$201),1)</f>
        <v>5.1265822784810124</v>
      </c>
      <c r="BJ592" s="67">
        <f>(CB592-Driver!$F$206)/(Driver!$G$206-Driver!$F$206)*$BI$1</f>
        <v>4.6031746031746028</v>
      </c>
      <c r="BK592" s="67">
        <f>(CD592-Driver!$F$203)/(Driver!$G$203-Driver!$F$203)*$BI$1</f>
        <v>4.0366972477064227</v>
      </c>
      <c r="BL592" s="67">
        <f>MAX((CR592-Driver!$F$202)/(Driver!$G$202-Driver!$F$202)*$BI$1,1)</f>
        <v>4.1379310344827589</v>
      </c>
      <c r="BM592" s="67">
        <f>MAX((CH592-Driver!$F$204)/(Driver!$G$204-Driver!$F$204)*$BI$1,1)</f>
        <v>2.8632478632478628</v>
      </c>
      <c r="BN592" s="67">
        <f>(CI592-Driver!$F$205)/(Driver!$G$205-Driver!$F$205)*$BI$1</f>
        <v>3.4705882352941178</v>
      </c>
      <c r="BO592" s="67">
        <f>(CK592-Driver!$F$207)/(Driver!$G$207-Driver!$F$207)*$BI$1</f>
        <v>4.095139607032058</v>
      </c>
      <c r="BP592" s="67">
        <f>(CM592-Driver!$F$208)/(Driver!$G$208-Driver!$F$208)*$BI$1</f>
        <v>4.1555555555555559</v>
      </c>
      <c r="BQ592" s="67">
        <f>(CL592-Driver!$F$209)/(Driver!$G$209-Driver!$F$209)*$BI$1</f>
        <v>3.59375</v>
      </c>
      <c r="BR592" s="28" t="s">
        <v>155</v>
      </c>
      <c r="BS592" s="8" t="s">
        <v>229</v>
      </c>
      <c r="BT592" s="9" t="s">
        <v>300</v>
      </c>
      <c r="BU592" s="10">
        <v>179</v>
      </c>
      <c r="BV592" s="9" t="s">
        <v>158</v>
      </c>
      <c r="BW592" s="10">
        <v>179</v>
      </c>
      <c r="BX592" s="10">
        <v>177.1</v>
      </c>
      <c r="BY592" s="10">
        <v>89</v>
      </c>
      <c r="BZ592" s="10">
        <v>155</v>
      </c>
      <c r="CA592" s="10">
        <v>133</v>
      </c>
      <c r="CB592" s="10">
        <v>93</v>
      </c>
      <c r="CC592" s="10">
        <v>115</v>
      </c>
      <c r="CD592" s="10">
        <v>18.2</v>
      </c>
      <c r="CE592" s="10">
        <v>1546</v>
      </c>
      <c r="CF592" s="10">
        <v>1.21</v>
      </c>
      <c r="CG592" s="10">
        <v>1878</v>
      </c>
      <c r="CH592" s="10">
        <v>168</v>
      </c>
      <c r="CI592" s="10">
        <v>92</v>
      </c>
      <c r="CJ592" s="10">
        <v>39</v>
      </c>
      <c r="CK592" s="10">
        <v>506</v>
      </c>
      <c r="CL592" s="10">
        <v>23</v>
      </c>
      <c r="CM592" s="10">
        <v>374</v>
      </c>
      <c r="CN592" s="10">
        <v>0.58099999999999996</v>
      </c>
      <c r="CO592" s="10">
        <v>118</v>
      </c>
      <c r="CP592" s="10">
        <v>102</v>
      </c>
      <c r="CQ592" s="10">
        <v>388</v>
      </c>
      <c r="CR592" s="10">
        <v>1</v>
      </c>
      <c r="CS592" s="10">
        <v>12.5</v>
      </c>
      <c r="CT592" s="9" t="s">
        <v>188</v>
      </c>
      <c r="CU592" s="9" t="s">
        <v>185</v>
      </c>
      <c r="CV592" s="10"/>
      <c r="CW592" s="10"/>
      <c r="CX592" t="e">
        <f>INDEX('Data_Price '!AG$2:AG$1266,MATCH(Data!$DN592,'Data_Price '!$AT$2:$AT$1266,0))</f>
        <v>#N/A</v>
      </c>
      <c r="CY592" t="e">
        <f>INDEX('Data_Price '!AH$2:AH$1266,MATCH(Data!$DN592,'Data_Price '!$AT$2:$AT$1266,0))</f>
        <v>#N/A</v>
      </c>
      <c r="CZ592" t="e">
        <f>INDEX('Data_Price '!AI$2:AI$1266,MATCH(Data!$DN592,'Data_Price '!$AT$2:$AT$1266,0))</f>
        <v>#N/A</v>
      </c>
      <c r="DA592" t="e">
        <f>INDEX('Data_Price '!AJ$2:AJ$1266,MATCH(Data!$DN592,'Data_Price '!$AT$2:$AT$1266,0))</f>
        <v>#N/A</v>
      </c>
      <c r="DB592" t="e">
        <f>INDEX('Data_Price '!AK$2:AK$1266,MATCH(Data!$DN592,'Data_Price '!$AT$2:$AT$1266,0))</f>
        <v>#N/A</v>
      </c>
      <c r="DC592" t="e">
        <f>INDEX('Data_Price '!AL$2:AL$1266,MATCH(Data!$DN592,'Data_Price '!$AT$2:$AT$1266,0))</f>
        <v>#N/A</v>
      </c>
      <c r="DD592" t="e">
        <f>INDEX('Data_Price '!AM$2:AM$1266,MATCH(Data!$DN592,'Data_Price '!$AT$2:$AT$1266,0))</f>
        <v>#N/A</v>
      </c>
      <c r="DE592" t="e">
        <f>INDEX('Data_Price '!AN$2:AN$1266,MATCH(Data!$DN592,'Data_Price '!$AT$2:$AT$1266,0))</f>
        <v>#N/A</v>
      </c>
      <c r="DF592" t="e">
        <f>INDEX('Data_Price '!AO$2:AO$1266,MATCH(Data!$DN592,'Data_Price '!$AT$2:$AT$1266,0))</f>
        <v>#N/A</v>
      </c>
      <c r="DG592" t="e">
        <f>INDEX('Data_Price '!AP$2:AP$1266,MATCH(Data!$DN592,'Data_Price '!$AT$2:$AT$1266,0))</f>
        <v>#N/A</v>
      </c>
      <c r="DH592" t="e">
        <f>INDEX('Data_Price '!AQ$2:AQ$1266,MATCH(Data!$DN592,'Data_Price '!$AT$2:$AT$1266,0))</f>
        <v>#N/A</v>
      </c>
      <c r="DI592" t="e">
        <f>INDEX('Data_Price '!AR$2:AR$1266,MATCH(Data!$DN592,'Data_Price '!$AT$2:$AT$1266,0))</f>
        <v>#N/A</v>
      </c>
      <c r="DJ592" s="89" t="e">
        <f t="shared" si="365"/>
        <v>#N/A</v>
      </c>
      <c r="DK592" s="89" t="e">
        <f t="shared" si="366"/>
        <v>#N/A</v>
      </c>
      <c r="DL592" s="89" t="e">
        <f t="shared" si="367"/>
        <v>#N/A</v>
      </c>
      <c r="DM592" s="219" t="str">
        <f t="shared" si="368"/>
        <v>Blaze 94</v>
      </c>
      <c r="DN592" s="89" t="str">
        <f t="shared" si="369"/>
        <v xml:space="preserve"> VölklBlaze 94179 Unisex</v>
      </c>
      <c r="DO592" s="221" t="s">
        <v>301</v>
      </c>
    </row>
    <row r="593" spans="2:119" ht="15.6" customHeight="1">
      <c r="B593" s="219" t="b">
        <f t="array" ref="B593">IF(OR(ISERROR(K593:P593)),FALSE,TRUE)</f>
        <v>1</v>
      </c>
      <c r="C593" s="43" t="b">
        <f>OR(BR593=Driver!$G$50,Data!BR214=Driver!$H$50)</f>
        <v>1</v>
      </c>
      <c r="D593" s="43" t="b">
        <f>OR(BV593=Driver!$G$51,BV593=Driver!$H$51)</f>
        <v>1</v>
      </c>
      <c r="E593" s="43" t="b">
        <f>AND(BX593&gt;Driver!$F$54,BX593&lt;Driver!$G$54)</f>
        <v>0</v>
      </c>
      <c r="F593" s="43" t="b">
        <f>CL593&gt;Driver!$F$56</f>
        <v>1</v>
      </c>
      <c r="G593" s="43" t="b">
        <f>AND(CB593&gt;Driver!$F$55,CB593&lt;Driver!$G$55)</f>
        <v>0</v>
      </c>
      <c r="H593" s="43" t="b">
        <f t="shared" si="333"/>
        <v>0</v>
      </c>
      <c r="I593" s="43">
        <f t="shared" si="334"/>
        <v>0</v>
      </c>
      <c r="J593" s="43" t="b">
        <f t="array" ref="J593">NOT(OR(($H$9:$H$1273=TRUE)*($I$9:$I$1273&gt;0)*($BT$9:$BT$1273=BT593)*($K$9:$K$1273&gt;K593)))</f>
        <v>1</v>
      </c>
      <c r="K593" s="72">
        <f t="shared" si="335"/>
        <v>0.77807916907472707</v>
      </c>
      <c r="L593" s="72">
        <f t="shared" si="336"/>
        <v>0.8545739334950927</v>
      </c>
      <c r="M593" s="72">
        <f t="shared" si="337"/>
        <v>0.70158440465436156</v>
      </c>
      <c r="N593" s="72">
        <f t="shared" si="338"/>
        <v>0.70435645403117286</v>
      </c>
      <c r="O593" s="72">
        <f t="shared" si="339"/>
        <v>0.64429826568189086</v>
      </c>
      <c r="P593" s="72">
        <f t="shared" si="340"/>
        <v>0.75609849425002063</v>
      </c>
      <c r="Q593" s="72"/>
      <c r="R593" s="72"/>
      <c r="S593" s="72">
        <f t="shared" si="341"/>
        <v>0.52660070770647316</v>
      </c>
      <c r="T593" s="72">
        <f t="shared" si="342"/>
        <v>0.54391404542823429</v>
      </c>
      <c r="U593" s="72">
        <f t="shared" si="343"/>
        <v>0.75246390952154973</v>
      </c>
      <c r="V593" s="72">
        <f t="shared" si="344"/>
        <v>0.53074236177033585</v>
      </c>
      <c r="W593" s="72">
        <f t="shared" si="345"/>
        <v>0.7671443563432836</v>
      </c>
      <c r="X593" s="72">
        <f t="shared" si="346"/>
        <v>0.1454260665049073</v>
      </c>
      <c r="Y593" s="72">
        <f t="shared" si="347"/>
        <v>0.2984155953456385</v>
      </c>
      <c r="Z593" s="72">
        <f t="shared" si="348"/>
        <v>0.29564354596882714</v>
      </c>
      <c r="AA593" s="72">
        <f t="shared" si="349"/>
        <v>0.35570173431810914</v>
      </c>
      <c r="AB593" s="72">
        <f t="shared" si="350"/>
        <v>0.24390150574997932</v>
      </c>
      <c r="AC593" s="72"/>
      <c r="AD593" s="72"/>
      <c r="AE593" s="72">
        <f t="shared" si="351"/>
        <v>0.47339929229352684</v>
      </c>
      <c r="AF593" s="72">
        <f t="shared" si="352"/>
        <v>0.45608595457176576</v>
      </c>
      <c r="AG593" s="72">
        <f t="shared" si="353"/>
        <v>0.24753609047845032</v>
      </c>
      <c r="AH593" s="72">
        <f t="shared" si="354"/>
        <v>0.46925763822966415</v>
      </c>
      <c r="AI593" s="72">
        <f t="shared" si="355"/>
        <v>0.2328556436567164</v>
      </c>
      <c r="AJ593" s="72">
        <f>(AV593-Driver!$K$179)/(Driver!$L$179-Driver!$K$179)</f>
        <v>0.39964547578760773</v>
      </c>
      <c r="AK593" s="72">
        <f>(AW593-Driver!$K$180)/(Driver!$L$180-Driver!$K$180)</f>
        <v>0.49471847192551949</v>
      </c>
      <c r="AL593" s="72">
        <f>(AX593-Driver!$K$181)/(Driver!$L$181-Driver!$K$181)</f>
        <v>0.39733130968190733</v>
      </c>
      <c r="AM593" s="72">
        <f>(AY593-Driver!$K$182)/(Driver!$L$182-Driver!$K$182)</f>
        <v>9.1683286778937237E-2</v>
      </c>
      <c r="AN593" s="72">
        <f>(AZ593-Driver!$K$183)/(Driver!$L$183-Driver!$K$183)</f>
        <v>0.49812091503267975</v>
      </c>
      <c r="AO593" s="72"/>
      <c r="AP593" s="72"/>
      <c r="AQ593" s="72">
        <f>(BC593-Driver!$K$188)/(Driver!$L$188-Driver!$K$188)</f>
        <v>0.14660070770647315</v>
      </c>
      <c r="AR593" s="72">
        <f>MIN((BD593-Driver!$K$189)/(Driver!$L$189-Driver!$K$189),100%)</f>
        <v>9.3914045428234297E-2</v>
      </c>
      <c r="AS593" s="72">
        <f>(BE593-Driver!$K$190)/(Driver!$L$190-Driver!$K$190)</f>
        <v>0.26246390952154969</v>
      </c>
      <c r="AT593" s="72">
        <f>(BF593-Driver!$K$191)/(Driver!$L$191-Driver!$K$191)</f>
        <v>4.0742361770335855E-2</v>
      </c>
      <c r="AU593" s="72">
        <f>(BG593-Driver!$K$192)/(Driver!$L$192-Driver!$K$192)</f>
        <v>1.7144356343283582E-2</v>
      </c>
      <c r="AV593" s="70">
        <f t="shared" si="356"/>
        <v>8.4113417446750773</v>
      </c>
      <c r="AW593" s="70">
        <f t="shared" si="357"/>
        <v>50.086591362203229</v>
      </c>
      <c r="AX593" s="70">
        <f t="shared" si="358"/>
        <v>4.5759817871371657</v>
      </c>
      <c r="AY593" s="70">
        <f>IFERROR(Driver!$K$19/Data!BH593/Data!BI593*Data!BK593*Data!BL593,"")</f>
        <v>0.11224769866993232</v>
      </c>
      <c r="AZ593" s="70">
        <f t="shared" si="359"/>
        <v>45.39836187639613</v>
      </c>
      <c r="BA593" s="70"/>
      <c r="BB593" s="70"/>
      <c r="BC593" s="70">
        <f t="shared" si="360"/>
        <v>76.042806238933309</v>
      </c>
      <c r="BD593" s="70">
        <f t="shared" si="361"/>
        <v>10.032049498654715</v>
      </c>
      <c r="BE593" s="70">
        <f t="shared" si="362"/>
        <v>0.26259547765876878</v>
      </c>
      <c r="BF593" s="70">
        <f t="shared" si="363"/>
        <v>4.6015635306684359</v>
      </c>
      <c r="BG593" s="70">
        <f t="shared" si="364"/>
        <v>6.4919470032649251E-2</v>
      </c>
      <c r="BH593" s="67">
        <f>MAX((CE593-Driver!$F$200)/(Driver!$G$200-Driver!$F$200)*$BI$1,1)</f>
        <v>4.5759817871371657</v>
      </c>
      <c r="BI593" s="67">
        <f>MAX($BI$1*(BY593-Driver!$F$201)/(Driver!$G$201-Driver!$F$201),1)</f>
        <v>8.4810126582278489</v>
      </c>
      <c r="BJ593" s="67">
        <f>(CB593-Driver!$F$206)/(Driver!$G$206-Driver!$F$206)*$BI$1</f>
        <v>4.92063492063492</v>
      </c>
      <c r="BK593" s="67">
        <f>(CD593-Driver!$F$203)/(Driver!$G$203-Driver!$F$203)*$BI$1</f>
        <v>3.71559633027523</v>
      </c>
      <c r="BL593" s="67">
        <f>MAX((CR593-Driver!$F$202)/(Driver!$G$202-Driver!$F$202)*$BI$1,1)</f>
        <v>5.8620689655172411</v>
      </c>
      <c r="BM593" s="67">
        <f>MAX((CH593-Driver!$F$204)/(Driver!$G$204-Driver!$F$204)*$BI$1,1)</f>
        <v>6.8376068376068382</v>
      </c>
      <c r="BN593" s="67">
        <f>(CI593-Driver!$F$205)/(Driver!$G$205-Driver!$F$205)*$BI$1</f>
        <v>5.3529411764705879</v>
      </c>
      <c r="BO593" s="67">
        <f>(CK593-Driver!$F$207)/(Driver!$G$207-Driver!$F$207)*$BI$1</f>
        <v>1.8614270941054809</v>
      </c>
      <c r="BP593" s="67">
        <f>(CM593-Driver!$F$208)/(Driver!$G$208-Driver!$F$208)*$BI$1</f>
        <v>1.8666666666666667</v>
      </c>
      <c r="BQ593" s="67">
        <f>(CL593-Driver!$F$209)/(Driver!$G$209-Driver!$F$209)*$BI$1</f>
        <v>2.03125</v>
      </c>
      <c r="BR593" s="28" t="s">
        <v>155</v>
      </c>
      <c r="BS593" s="8" t="s">
        <v>237</v>
      </c>
      <c r="BT593" s="9" t="s">
        <v>361</v>
      </c>
      <c r="BU593" s="10">
        <v>188.3</v>
      </c>
      <c r="BV593" s="9" t="s">
        <v>158</v>
      </c>
      <c r="BW593" s="10">
        <v>188.3</v>
      </c>
      <c r="BX593" s="10">
        <v>187.7</v>
      </c>
      <c r="BY593" s="10">
        <v>142</v>
      </c>
      <c r="BZ593" s="10">
        <v>154</v>
      </c>
      <c r="CA593" s="10">
        <v>135</v>
      </c>
      <c r="CB593" s="10">
        <v>95</v>
      </c>
      <c r="CC593" s="10">
        <v>117</v>
      </c>
      <c r="CD593" s="10">
        <v>17.5</v>
      </c>
      <c r="CE593" s="10">
        <v>1704</v>
      </c>
      <c r="CF593" s="10">
        <v>1.19</v>
      </c>
      <c r="CG593" s="10">
        <v>2028</v>
      </c>
      <c r="CH593" s="10">
        <v>261</v>
      </c>
      <c r="CI593" s="10">
        <v>124</v>
      </c>
      <c r="CJ593" s="10">
        <v>48</v>
      </c>
      <c r="CK593" s="10">
        <v>290</v>
      </c>
      <c r="CL593" s="10">
        <v>13</v>
      </c>
      <c r="CM593" s="10">
        <v>168</v>
      </c>
      <c r="CN593" s="10">
        <v>0.26400000000000001</v>
      </c>
      <c r="CO593" s="10">
        <v>205</v>
      </c>
      <c r="CP593" s="10">
        <v>131</v>
      </c>
      <c r="CQ593" s="10">
        <v>85</v>
      </c>
      <c r="CR593" s="10">
        <v>6</v>
      </c>
      <c r="CS593" s="10">
        <v>8.9</v>
      </c>
      <c r="CT593" s="9" t="s">
        <v>188</v>
      </c>
      <c r="CU593" s="9" t="s">
        <v>185</v>
      </c>
      <c r="CV593" s="10"/>
      <c r="CW593" s="10"/>
      <c r="CX593" t="str">
        <f>INDEX('Data_Price '!AG$2:AG$1266,MATCH(Data!$DN593,'Data_Price '!$AT$2:$AT$1266,0))</f>
        <v>Skis Black Crows Camox Freebird</v>
      </c>
      <c r="CY593" t="str">
        <f>INDEX('Data_Price '!AH$2:AH$1266,MATCH(Data!$DN593,'Data_Price '!$AT$2:$AT$1266,0))</f>
        <v>Ascent Outdoors</v>
      </c>
      <c r="CZ593">
        <f>INDEX('Data_Price '!AI$2:AI$1266,MATCH(Data!$DN593,'Data_Price '!$AT$2:$AT$1266,0))</f>
        <v>514.99</v>
      </c>
      <c r="DA593" t="str">
        <f>INDEX('Data_Price '!AJ$2:AJ$1266,MATCH(Data!$DN593,'Data_Price '!$AT$2:$AT$1266,0))</f>
        <v>https://tinyurl.com/ydcw5jtx</v>
      </c>
      <c r="DB593" t="str">
        <f>INDEX('Data_Price '!AK$2:AK$1266,MATCH(Data!$DN593,'Data_Price '!$AT$2:$AT$1266,0))</f>
        <v>Skis Black Crows Camox Freebird</v>
      </c>
      <c r="DC593" t="str">
        <f>INDEX('Data_Price '!AL$2:AL$1266,MATCH(Data!$DN593,'Data_Price '!$AT$2:$AT$1266,0))</f>
        <v>Powder7 Ski Shop</v>
      </c>
      <c r="DD593">
        <f>INDEX('Data_Price '!AM$2:AM$1266,MATCH(Data!$DN593,'Data_Price '!$AT$2:$AT$1266,0))</f>
        <v>591.92999999999995</v>
      </c>
      <c r="DE593" t="str">
        <f>INDEX('Data_Price '!AN$2:AN$1266,MATCH(Data!$DN593,'Data_Price '!$AT$2:$AT$1266,0))</f>
        <v>https://tinyurl.com/y84pptf4</v>
      </c>
      <c r="DF593" t="str">
        <f>INDEX('Data_Price '!AO$2:AO$1266,MATCH(Data!$DN593,'Data_Price '!$AT$2:$AT$1266,0))</f>
        <v>Skis Black Crows Camox Freebird</v>
      </c>
      <c r="DG593" t="str">
        <f>INDEX('Data_Price '!AP$2:AP$1266,MATCH(Data!$DN593,'Data_Price '!$AT$2:$AT$1266,0))</f>
        <v>SkiEssentials.com</v>
      </c>
      <c r="DH593">
        <f>INDEX('Data_Price '!AQ$2:AQ$1266,MATCH(Data!$DN593,'Data_Price '!$AT$2:$AT$1266,0))</f>
        <v>591.96</v>
      </c>
      <c r="DI593" t="str">
        <f>INDEX('Data_Price '!AR$2:AR$1266,MATCH(Data!$DN593,'Data_Price '!$AT$2:$AT$1266,0))</f>
        <v>https://tinyurl.com/ybc37t4c</v>
      </c>
      <c r="DJ593" s="89" t="str">
        <f t="shared" si="365"/>
        <v>https://tinyurl.com/ydcw5jtx</v>
      </c>
      <c r="DK593" s="89" t="str">
        <f t="shared" si="366"/>
        <v>https://tinyurl.com/y84pptf4</v>
      </c>
      <c r="DL593" s="89" t="str">
        <f t="shared" si="367"/>
        <v>https://tinyurl.com/ybc37t4c</v>
      </c>
      <c r="DM593" s="219" t="str">
        <f t="shared" si="368"/>
        <v>Camox Freebird</v>
      </c>
      <c r="DN593" s="89" t="str">
        <f t="shared" si="369"/>
        <v xml:space="preserve"> Black CrowsCamox Freebird188.3 Unisex</v>
      </c>
      <c r="DO593" s="221" t="s">
        <v>362</v>
      </c>
    </row>
    <row r="594" spans="2:119" ht="15.6" customHeight="1">
      <c r="B594" s="219" t="b">
        <f t="array" ref="B594">IF(OR(ISERROR(K594:P594)),FALSE,TRUE)</f>
        <v>1</v>
      </c>
      <c r="C594" s="43" t="b">
        <f>OR(BR594=Driver!$G$50,Data!BR1187=Driver!$H$50)</f>
        <v>1</v>
      </c>
      <c r="D594" s="43" t="b">
        <f>OR(BV594=Driver!$G$51,BV594=Driver!$H$51)</f>
        <v>1</v>
      </c>
      <c r="E594" s="43" t="b">
        <f>AND(BX594&gt;Driver!$F$54,BX594&lt;Driver!$G$54)</f>
        <v>1</v>
      </c>
      <c r="F594" s="43" t="b">
        <f>CL594&gt;Driver!$F$56</f>
        <v>1</v>
      </c>
      <c r="G594" s="43" t="b">
        <f>AND(CB594&gt;Driver!$F$55,CB594&lt;Driver!$G$55)</f>
        <v>0</v>
      </c>
      <c r="H594" s="43" t="b">
        <f t="shared" si="333"/>
        <v>0</v>
      </c>
      <c r="I594" s="43">
        <f t="shared" si="334"/>
        <v>0</v>
      </c>
      <c r="J594" s="43" t="b">
        <f t="array" ref="J594">NOT(OR(($H$9:$H$1273=TRUE)*($I$9:$I$1273&gt;0)*($BT$9:$BT$1273=BT594)*($K$9:$K$1273&gt;K594)))</f>
        <v>1</v>
      </c>
      <c r="K594" s="72">
        <f t="shared" si="335"/>
        <v>0.77650019175473739</v>
      </c>
      <c r="L594" s="72">
        <f t="shared" si="336"/>
        <v>0.79718660151417331</v>
      </c>
      <c r="M594" s="72">
        <f t="shared" si="337"/>
        <v>0.75581378199530158</v>
      </c>
      <c r="N594" s="72">
        <f t="shared" si="338"/>
        <v>0.67842842013501148</v>
      </c>
      <c r="O594" s="72">
        <f t="shared" si="339"/>
        <v>0.60961305408784194</v>
      </c>
      <c r="P594" s="72">
        <f t="shared" si="340"/>
        <v>0.97939987176305121</v>
      </c>
      <c r="Q594" s="72"/>
      <c r="R594" s="72"/>
      <c r="S594" s="72">
        <f t="shared" si="341"/>
        <v>0.44697416628729547</v>
      </c>
      <c r="T594" s="72">
        <f t="shared" si="342"/>
        <v>0.66499145082587563</v>
      </c>
      <c r="U594" s="72">
        <f t="shared" si="343"/>
        <v>0.51</v>
      </c>
      <c r="V594" s="72">
        <f t="shared" si="344"/>
        <v>0.49151270848547723</v>
      </c>
      <c r="W594" s="72">
        <f t="shared" si="345"/>
        <v>0.76730769230769225</v>
      </c>
      <c r="X594" s="72">
        <f t="shared" si="346"/>
        <v>0.20281339848582669</v>
      </c>
      <c r="Y594" s="72">
        <f t="shared" si="347"/>
        <v>0.24418621800469845</v>
      </c>
      <c r="Z594" s="72">
        <f t="shared" si="348"/>
        <v>0.32157157986498847</v>
      </c>
      <c r="AA594" s="72">
        <f t="shared" si="349"/>
        <v>0.39038694591215806</v>
      </c>
      <c r="AB594" s="72">
        <f t="shared" si="350"/>
        <v>2.0600128236948789E-2</v>
      </c>
      <c r="AC594" s="72"/>
      <c r="AD594" s="72"/>
      <c r="AE594" s="72">
        <f t="shared" si="351"/>
        <v>0.55302583371270453</v>
      </c>
      <c r="AF594" s="72">
        <f t="shared" si="352"/>
        <v>0.33500854917412443</v>
      </c>
      <c r="AG594" s="72">
        <f t="shared" si="353"/>
        <v>0.49</v>
      </c>
      <c r="AH594" s="72">
        <f t="shared" si="354"/>
        <v>0.50848729151452277</v>
      </c>
      <c r="AI594" s="72">
        <f t="shared" si="355"/>
        <v>0.2326923076923077</v>
      </c>
      <c r="AJ594" s="72">
        <f>(AV594-Driver!$K$179)/(Driver!$L$179-Driver!$K$179)</f>
        <v>5.1406010796873736E-2</v>
      </c>
      <c r="AK594" s="72">
        <f>(AW594-Driver!$K$180)/(Driver!$L$180-Driver!$K$180)</f>
        <v>0.24932682096584</v>
      </c>
      <c r="AL594" s="72">
        <f>(AX594-Driver!$K$181)/(Driver!$L$181-Driver!$K$181)</f>
        <v>0.42325934357806866</v>
      </c>
      <c r="AM594" s="72">
        <f>(AY594-Driver!$K$182)/(Driver!$L$182-Driver!$K$182)</f>
        <v>5.6998075184888329E-2</v>
      </c>
      <c r="AN594" s="72">
        <f>(AZ594-Driver!$K$183)/(Driver!$L$183-Driver!$K$183)</f>
        <v>0.23361928104575164</v>
      </c>
      <c r="AO594" s="72"/>
      <c r="AP594" s="72"/>
      <c r="AQ594" s="72">
        <f>(BC594-Driver!$K$188)/(Driver!$L$188-Driver!$K$188)</f>
        <v>6.6974166287295453E-2</v>
      </c>
      <c r="AR594" s="72">
        <f>MIN((BD594-Driver!$K$189)/(Driver!$L$189-Driver!$K$189),100%)</f>
        <v>0.21499145082587562</v>
      </c>
      <c r="AS594" s="72">
        <f>(BE594-Driver!$K$190)/(Driver!$L$190-Driver!$K$190)</f>
        <v>1</v>
      </c>
      <c r="AT594" s="72">
        <f>(BF594-Driver!$K$191)/(Driver!$L$191-Driver!$K$191)</f>
        <v>1.512708485477197E-3</v>
      </c>
      <c r="AU594" s="72">
        <f>(BG594-Driver!$K$192)/(Driver!$L$192-Driver!$K$192)</f>
        <v>1.7307692307692305E-2</v>
      </c>
      <c r="AV594" s="70">
        <f t="shared" si="356"/>
        <v>1.0819427486094153</v>
      </c>
      <c r="AW594" s="70">
        <f t="shared" si="357"/>
        <v>26.1710005849576</v>
      </c>
      <c r="AX594" s="70">
        <f t="shared" si="358"/>
        <v>4.8093340922026178</v>
      </c>
      <c r="AY594" s="70">
        <f>IFERROR(Driver!$K$19/Data!BH594/Data!BI594*Data!BK594*Data!BL594,"")</f>
        <v>6.978265061052881E-2</v>
      </c>
      <c r="AZ594" s="70">
        <f t="shared" si="359"/>
        <v>21.291883842144454</v>
      </c>
      <c r="BA594" s="70"/>
      <c r="BB594" s="70"/>
      <c r="BC594" s="70">
        <f t="shared" si="360"/>
        <v>34.739965650070531</v>
      </c>
      <c r="BD594" s="70">
        <f t="shared" si="361"/>
        <v>20.747185339878399</v>
      </c>
      <c r="BE594" s="70">
        <f t="shared" si="362"/>
        <v>1</v>
      </c>
      <c r="BF594" s="70">
        <f t="shared" si="363"/>
        <v>0.17084979605607123</v>
      </c>
      <c r="BG594" s="70">
        <f t="shared" si="364"/>
        <v>6.5537964190981429E-2</v>
      </c>
      <c r="BH594" s="67">
        <f>MAX((CE594-Driver!$F$200)/(Driver!$G$200-Driver!$F$200)*$BI$1,1)</f>
        <v>4.8093340922026178</v>
      </c>
      <c r="BI594" s="67">
        <f>MAX($BI$1*(BY594-Driver!$F$201)/(Driver!$G$201-Driver!$F$201),1)</f>
        <v>8.4177215189873422</v>
      </c>
      <c r="BJ594" s="67">
        <f>(CB594-Driver!$F$206)/(Driver!$G$206-Driver!$F$206)*$BI$1</f>
        <v>1.746031746031746</v>
      </c>
      <c r="BK594" s="67">
        <f>(CD594-Driver!$F$203)/(Driver!$G$203-Driver!$F$203)*$BI$1</f>
        <v>2.1559633027522933</v>
      </c>
      <c r="BL594" s="67">
        <f>MAX((CR594-Driver!$F$202)/(Driver!$G$202-Driver!$F$202)*$BI$1,1)</f>
        <v>6.5517241379310338</v>
      </c>
      <c r="BM594" s="67">
        <f>MAX((CH594-Driver!$F$204)/(Driver!$G$204-Driver!$F$204)*$BI$1,1)</f>
        <v>2.4786324786324787</v>
      </c>
      <c r="BN594" s="67">
        <f>(CI594-Driver!$F$205)/(Driver!$G$205-Driver!$F$205)*$BI$1</f>
        <v>2.5294117647058822</v>
      </c>
      <c r="BO594" s="67">
        <f>(CK594-Driver!$F$207)/(Driver!$G$207-Driver!$F$207)*$BI$1</f>
        <v>0.35160289555325747</v>
      </c>
      <c r="BP594" s="67">
        <f>(CM594-Driver!$F$208)/(Driver!$G$208-Driver!$F$208)*$BI$1</f>
        <v>0.6</v>
      </c>
      <c r="BQ594" s="67">
        <f>(CL594-Driver!$F$209)/(Driver!$G$209-Driver!$F$209)*$BI$1</f>
        <v>0.78125</v>
      </c>
      <c r="BR594" s="28" t="s">
        <v>155</v>
      </c>
      <c r="BS594" s="8" t="s">
        <v>229</v>
      </c>
      <c r="BT594" s="9" t="s">
        <v>477</v>
      </c>
      <c r="BU594" s="10">
        <v>161</v>
      </c>
      <c r="BV594" s="9" t="s">
        <v>158</v>
      </c>
      <c r="BW594" s="10">
        <v>161</v>
      </c>
      <c r="BX594" s="10">
        <v>160.5</v>
      </c>
      <c r="BY594" s="10">
        <v>141</v>
      </c>
      <c r="BZ594" s="10">
        <v>148</v>
      </c>
      <c r="CA594" s="10">
        <v>123</v>
      </c>
      <c r="CB594" s="10">
        <v>75</v>
      </c>
      <c r="CC594" s="10">
        <v>104</v>
      </c>
      <c r="CD594" s="10">
        <v>14.1</v>
      </c>
      <c r="CE594" s="10">
        <v>1745</v>
      </c>
      <c r="CF594" s="10">
        <v>0.82</v>
      </c>
      <c r="CG594" s="10">
        <v>1428</v>
      </c>
      <c r="CH594" s="10">
        <v>159</v>
      </c>
      <c r="CI594" s="10">
        <v>76</v>
      </c>
      <c r="CJ594" s="10">
        <v>35</v>
      </c>
      <c r="CK594" s="10">
        <v>144</v>
      </c>
      <c r="CL594" s="10">
        <v>5</v>
      </c>
      <c r="CM594" s="10">
        <v>54</v>
      </c>
      <c r="CN594" s="10">
        <v>0.129</v>
      </c>
      <c r="CO594" s="10">
        <v>74</v>
      </c>
      <c r="CP594" s="10">
        <v>51</v>
      </c>
      <c r="CQ594" s="10">
        <v>71</v>
      </c>
      <c r="CR594" s="10">
        <v>8</v>
      </c>
      <c r="CS594" s="10">
        <v>12.7</v>
      </c>
      <c r="CT594" s="9" t="s">
        <v>349</v>
      </c>
      <c r="CU594" s="10"/>
      <c r="CV594" s="10"/>
      <c r="CW594" s="10"/>
      <c r="CX594" t="e">
        <f>INDEX('Data_Price '!AG$2:AG$1266,MATCH(Data!$DN594,'Data_Price '!$AT$2:$AT$1266,0))</f>
        <v>#N/A</v>
      </c>
      <c r="CY594" t="e">
        <f>INDEX('Data_Price '!AH$2:AH$1266,MATCH(Data!$DN594,'Data_Price '!$AT$2:$AT$1266,0))</f>
        <v>#N/A</v>
      </c>
      <c r="CZ594" t="e">
        <f>INDEX('Data_Price '!AI$2:AI$1266,MATCH(Data!$DN594,'Data_Price '!$AT$2:$AT$1266,0))</f>
        <v>#N/A</v>
      </c>
      <c r="DA594" t="e">
        <f>INDEX('Data_Price '!AJ$2:AJ$1266,MATCH(Data!$DN594,'Data_Price '!$AT$2:$AT$1266,0))</f>
        <v>#N/A</v>
      </c>
      <c r="DB594" t="e">
        <f>INDEX('Data_Price '!AK$2:AK$1266,MATCH(Data!$DN594,'Data_Price '!$AT$2:$AT$1266,0))</f>
        <v>#N/A</v>
      </c>
      <c r="DC594" t="e">
        <f>INDEX('Data_Price '!AL$2:AL$1266,MATCH(Data!$DN594,'Data_Price '!$AT$2:$AT$1266,0))</f>
        <v>#N/A</v>
      </c>
      <c r="DD594" t="e">
        <f>INDEX('Data_Price '!AM$2:AM$1266,MATCH(Data!$DN594,'Data_Price '!$AT$2:$AT$1266,0))</f>
        <v>#N/A</v>
      </c>
      <c r="DE594" t="e">
        <f>INDEX('Data_Price '!AN$2:AN$1266,MATCH(Data!$DN594,'Data_Price '!$AT$2:$AT$1266,0))</f>
        <v>#N/A</v>
      </c>
      <c r="DF594" t="e">
        <f>INDEX('Data_Price '!AO$2:AO$1266,MATCH(Data!$DN594,'Data_Price '!$AT$2:$AT$1266,0))</f>
        <v>#N/A</v>
      </c>
      <c r="DG594" t="e">
        <f>INDEX('Data_Price '!AP$2:AP$1266,MATCH(Data!$DN594,'Data_Price '!$AT$2:$AT$1266,0))</f>
        <v>#N/A</v>
      </c>
      <c r="DH594" t="e">
        <f>INDEX('Data_Price '!AQ$2:AQ$1266,MATCH(Data!$DN594,'Data_Price '!$AT$2:$AT$1266,0))</f>
        <v>#N/A</v>
      </c>
      <c r="DI594" t="e">
        <f>INDEX('Data_Price '!AR$2:AR$1266,MATCH(Data!$DN594,'Data_Price '!$AT$2:$AT$1266,0))</f>
        <v>#N/A</v>
      </c>
      <c r="DJ594" s="89" t="e">
        <f t="shared" si="365"/>
        <v>#N/A</v>
      </c>
      <c r="DK594" s="89" t="e">
        <f t="shared" si="366"/>
        <v>#N/A</v>
      </c>
      <c r="DL594" s="89" t="e">
        <f t="shared" si="367"/>
        <v>#N/A</v>
      </c>
      <c r="DM594" s="219" t="str">
        <f t="shared" si="368"/>
        <v>Deacon XTD</v>
      </c>
      <c r="DN594" s="89" t="str">
        <f t="shared" si="369"/>
        <v xml:space="preserve"> VölklDeacon XTD161 Unisex</v>
      </c>
      <c r="DO594" s="221"/>
    </row>
    <row r="595" spans="2:119" ht="15.6" customHeight="1">
      <c r="B595" s="219" t="b">
        <f t="array" ref="B595">IF(OR(ISERROR(K595:P595)),FALSE,TRUE)</f>
        <v>1</v>
      </c>
      <c r="C595" s="43" t="b">
        <f>OR(BR595=Driver!$G$50,Data!BR1010=Driver!$H$50)</f>
        <v>1</v>
      </c>
      <c r="D595" s="43" t="b">
        <f>OR(BV595=Driver!$G$51,BV595=Driver!$H$51)</f>
        <v>1</v>
      </c>
      <c r="E595" s="43" t="b">
        <f>AND(BX595&gt;Driver!$F$54,BX595&lt;Driver!$G$54)</f>
        <v>0</v>
      </c>
      <c r="F595" s="43" t="b">
        <f>CL595&gt;Driver!$F$56</f>
        <v>1</v>
      </c>
      <c r="G595" s="43" t="b">
        <f>AND(CB595&gt;Driver!$F$55,CB595&lt;Driver!$G$55)</f>
        <v>0</v>
      </c>
      <c r="H595" s="43" t="b">
        <f t="shared" si="333"/>
        <v>0</v>
      </c>
      <c r="I595" s="43">
        <f t="shared" si="334"/>
        <v>0</v>
      </c>
      <c r="J595" s="43" t="b">
        <f t="array" ref="J595">NOT(OR(($H$9:$H$1273=TRUE)*($I$9:$I$1273&gt;0)*($BT$9:$BT$1273=BT595)*($K$9:$K$1273&gt;K595)))</f>
        <v>1</v>
      </c>
      <c r="K595" s="72">
        <f t="shared" si="335"/>
        <v>0.82023738276953917</v>
      </c>
      <c r="L595" s="72">
        <f t="shared" si="336"/>
        <v>0.87598766508681047</v>
      </c>
      <c r="M595" s="72">
        <f t="shared" si="337"/>
        <v>0.76448710045226786</v>
      </c>
      <c r="N595" s="72">
        <f t="shared" si="338"/>
        <v>0.68032559334692577</v>
      </c>
      <c r="O595" s="72">
        <f t="shared" si="339"/>
        <v>0.62715903886120605</v>
      </c>
      <c r="P595" s="72">
        <f t="shared" si="340"/>
        <v>0.98597666914867199</v>
      </c>
      <c r="Q595" s="72"/>
      <c r="R595" s="72"/>
      <c r="S595" s="72">
        <f t="shared" si="341"/>
        <v>0.44073975604388671</v>
      </c>
      <c r="T595" s="72">
        <f t="shared" si="342"/>
        <v>0.72111782467865537</v>
      </c>
      <c r="U595" s="72">
        <f t="shared" si="343"/>
        <v>0.8398277076955557</v>
      </c>
      <c r="V595" s="72">
        <f t="shared" si="344"/>
        <v>0.51185893422465245</v>
      </c>
      <c r="W595" s="72">
        <f t="shared" si="345"/>
        <v>0.77593365631099931</v>
      </c>
      <c r="X595" s="72">
        <f t="shared" si="346"/>
        <v>0.1240123349131895</v>
      </c>
      <c r="Y595" s="72">
        <f t="shared" si="347"/>
        <v>0.23551289954773211</v>
      </c>
      <c r="Z595" s="72">
        <f t="shared" si="348"/>
        <v>0.31967440665307423</v>
      </c>
      <c r="AA595" s="72">
        <f t="shared" si="349"/>
        <v>0.372840961138794</v>
      </c>
      <c r="AB595" s="72">
        <f t="shared" si="350"/>
        <v>1.4023330851327953E-2</v>
      </c>
      <c r="AC595" s="72"/>
      <c r="AD595" s="72"/>
      <c r="AE595" s="72">
        <f t="shared" si="351"/>
        <v>0.55926024395611329</v>
      </c>
      <c r="AF595" s="72">
        <f t="shared" si="352"/>
        <v>0.27888217532134463</v>
      </c>
      <c r="AG595" s="72">
        <f t="shared" si="353"/>
        <v>0.1601722923044443</v>
      </c>
      <c r="AH595" s="72">
        <f t="shared" si="354"/>
        <v>0.48814106577534755</v>
      </c>
      <c r="AI595" s="72">
        <f t="shared" si="355"/>
        <v>0.22406634368900075</v>
      </c>
      <c r="AJ595" s="72">
        <f>(AV595-Driver!$K$179)/(Driver!$L$179-Driver!$K$179)</f>
        <v>0.13020707436951093</v>
      </c>
      <c r="AK595" s="72">
        <f>(AW595-Driver!$K$180)/(Driver!$L$180-Driver!$K$180)</f>
        <v>0.25552237132192601</v>
      </c>
      <c r="AL595" s="72">
        <f>(AX595-Driver!$K$181)/(Driver!$L$181-Driver!$K$181)</f>
        <v>0.42136217036615442</v>
      </c>
      <c r="AM595" s="72">
        <f>(AY595-Driver!$K$182)/(Driver!$L$182-Driver!$K$182)</f>
        <v>7.4544059958252362E-2</v>
      </c>
      <c r="AN595" s="72">
        <f>(AZ595-Driver!$K$183)/(Driver!$L$183-Driver!$K$183)</f>
        <v>0.24019607843137247</v>
      </c>
      <c r="AO595" s="72"/>
      <c r="AP595" s="72"/>
      <c r="AQ595" s="72">
        <f>(BC595-Driver!$K$188)/(Driver!$L$188-Driver!$K$188)</f>
        <v>6.0739756043886664E-2</v>
      </c>
      <c r="AR595" s="72">
        <f>MIN((BD595-Driver!$K$189)/(Driver!$L$189-Driver!$K$189),100%)</f>
        <v>0.27111782467865542</v>
      </c>
      <c r="AS595" s="72">
        <f>(BE595-Driver!$K$190)/(Driver!$L$190-Driver!$K$190)</f>
        <v>0.34982770769555571</v>
      </c>
      <c r="AT595" s="72">
        <f>(BF595-Driver!$K$191)/(Driver!$L$191-Driver!$K$191)</f>
        <v>2.1858934224652449E-2</v>
      </c>
      <c r="AU595" s="72">
        <f>(BG595-Driver!$K$192)/(Driver!$L$192-Driver!$K$192)</f>
        <v>2.5933656310999264E-2</v>
      </c>
      <c r="AV595" s="70">
        <f t="shared" si="356"/>
        <v>2.7404694071360742</v>
      </c>
      <c r="AW595" s="70">
        <f t="shared" si="357"/>
        <v>26.774811865319037</v>
      </c>
      <c r="AX595" s="70">
        <f t="shared" si="358"/>
        <v>4.7922595332953897</v>
      </c>
      <c r="AY595" s="70">
        <f>IFERROR(Driver!$K$19/Data!BH595/Data!BI595*Data!BK595*Data!BL595,"")</f>
        <v>9.1264171189699914E-2</v>
      </c>
      <c r="AZ595" s="70">
        <f t="shared" si="359"/>
        <v>21.891288160833948</v>
      </c>
      <c r="BA595" s="70"/>
      <c r="BB595" s="70"/>
      <c r="BC595" s="70">
        <f t="shared" si="360"/>
        <v>31.506133715897526</v>
      </c>
      <c r="BD595" s="70">
        <f t="shared" si="361"/>
        <v>25.714269975799713</v>
      </c>
      <c r="BE595" s="70">
        <f t="shared" si="362"/>
        <v>0.34994369111450196</v>
      </c>
      <c r="BF595" s="70">
        <f t="shared" si="363"/>
        <v>2.4688130529702397</v>
      </c>
      <c r="BG595" s="70">
        <f t="shared" si="364"/>
        <v>9.8201366677641622E-2</v>
      </c>
      <c r="BH595" s="67">
        <f>MAX((CE595-Driver!$F$200)/(Driver!$G$200-Driver!$F$200)*$BI$1,1)</f>
        <v>4.7922595332953897</v>
      </c>
      <c r="BI595" s="67">
        <f>MAX($BI$1*(BY595-Driver!$F$201)/(Driver!$G$201-Driver!$F$201),1)</f>
        <v>7.5949367088607591</v>
      </c>
      <c r="BJ595" s="67">
        <f>(CB595-Driver!$F$206)/(Driver!$G$206-Driver!$F$206)*$BI$1</f>
        <v>2.5396825396825395</v>
      </c>
      <c r="BK595" s="67">
        <f>(CD595-Driver!$F$203)/(Driver!$G$203-Driver!$F$203)*$BI$1</f>
        <v>2.2935779816513766</v>
      </c>
      <c r="BL595" s="67">
        <f>MAX((CR595-Driver!$F$202)/(Driver!$G$202-Driver!$F$202)*$BI$1,1)</f>
        <v>7.2413793103448274</v>
      </c>
      <c r="BM595" s="67">
        <f>MAX((CH595-Driver!$F$204)/(Driver!$G$204-Driver!$F$204)*$BI$1,1)</f>
        <v>4.3162393162393169</v>
      </c>
      <c r="BN595" s="67">
        <f>(CI595-Driver!$F$205)/(Driver!$G$205-Driver!$F$205)*$BI$1</f>
        <v>2.8823529411764701</v>
      </c>
      <c r="BO595" s="67">
        <f>(CK595-Driver!$F$207)/(Driver!$G$207-Driver!$F$207)*$BI$1</f>
        <v>1.5201654601861427</v>
      </c>
      <c r="BP595" s="67">
        <f>(CM595-Driver!$F$208)/(Driver!$G$208-Driver!$F$208)*$BI$1</f>
        <v>1.4666666666666668</v>
      </c>
      <c r="BQ595" s="67">
        <f>(CL595-Driver!$F$209)/(Driver!$G$209-Driver!$F$209)*$BI$1</f>
        <v>2.03125</v>
      </c>
      <c r="BR595" s="28" t="s">
        <v>155</v>
      </c>
      <c r="BS595" s="8" t="s">
        <v>172</v>
      </c>
      <c r="BT595" s="9" t="s">
        <v>469</v>
      </c>
      <c r="BU595" s="10">
        <v>168</v>
      </c>
      <c r="BV595" s="9" t="s">
        <v>158</v>
      </c>
      <c r="BW595" s="10">
        <v>168</v>
      </c>
      <c r="BX595" s="10">
        <v>166.7</v>
      </c>
      <c r="BY595" s="10">
        <v>128</v>
      </c>
      <c r="BZ595" s="10">
        <v>152</v>
      </c>
      <c r="CA595" s="10">
        <v>125</v>
      </c>
      <c r="CB595" s="10">
        <v>80</v>
      </c>
      <c r="CC595" s="10">
        <v>113</v>
      </c>
      <c r="CD595" s="10">
        <v>14.4</v>
      </c>
      <c r="CE595" s="10">
        <v>1742</v>
      </c>
      <c r="CF595" s="10">
        <v>0.9</v>
      </c>
      <c r="CG595" s="10">
        <v>1572</v>
      </c>
      <c r="CH595" s="10">
        <v>202</v>
      </c>
      <c r="CI595" s="10">
        <v>82</v>
      </c>
      <c r="CJ595" s="10">
        <v>47</v>
      </c>
      <c r="CK595" s="10">
        <v>257</v>
      </c>
      <c r="CL595" s="10">
        <v>13</v>
      </c>
      <c r="CM595" s="10">
        <v>132</v>
      </c>
      <c r="CN595" s="10">
        <v>0.26900000000000002</v>
      </c>
      <c r="CO595" s="10">
        <v>83</v>
      </c>
      <c r="CP595" s="10">
        <v>60</v>
      </c>
      <c r="CQ595" s="10">
        <v>175</v>
      </c>
      <c r="CR595" s="10">
        <v>10</v>
      </c>
      <c r="CS595" s="10">
        <v>7.5</v>
      </c>
      <c r="CT595" s="9" t="s">
        <v>160</v>
      </c>
      <c r="CU595" s="10"/>
      <c r="CV595" s="10"/>
      <c r="CW595" s="10"/>
      <c r="CX595" t="str">
        <f>INDEX('Data_Price '!AG$2:AG$1266,MATCH(Data!$DN595,'Data_Price '!$AT$2:$AT$1266,0))</f>
        <v>Rossignol Men's Experience 82 Basalt Skis with Bindings 168 cm</v>
      </c>
      <c r="CY595" t="str">
        <f>INDEX('Data_Price '!AH$2:AH$1266,MATCH(Data!$DN595,'Data_Price '!$AT$2:$AT$1266,0))</f>
        <v>eBay - grassisport</v>
      </c>
      <c r="CZ595">
        <f>INDEX('Data_Price '!AI$2:AI$1266,MATCH(Data!$DN595,'Data_Price '!$AT$2:$AT$1266,0))</f>
        <v>615.84</v>
      </c>
      <c r="DA595" t="str">
        <f>INDEX('Data_Price '!AJ$2:AJ$1266,MATCH(Data!$DN595,'Data_Price '!$AT$2:$AT$1266,0))</f>
        <v>https://tinyurl.com/y9mtqruv</v>
      </c>
      <c r="DB595" t="str">
        <f>INDEX('Data_Price '!AK$2:AK$1266,MATCH(Data!$DN595,'Data_Price '!$AT$2:$AT$1266,0))</f>
        <v>Rossignol Experience 82 Ti Konnect Black 168 Ski Men</v>
      </c>
      <c r="DC595" t="str">
        <f>INDEX('Data_Price '!AL$2:AL$1266,MATCH(Data!$DN595,'Data_Price '!$AT$2:$AT$1266,0))</f>
        <v>! OutdoorXL.com</v>
      </c>
      <c r="DD595">
        <f>INDEX('Data_Price '!AM$2:AM$1266,MATCH(Data!$DN595,'Data_Price '!$AT$2:$AT$1266,0))</f>
        <v>469.95</v>
      </c>
      <c r="DE595" t="str">
        <f>INDEX('Data_Price '!AN$2:AN$1266,MATCH(Data!$DN595,'Data_Price '!$AT$2:$AT$1266,0))</f>
        <v>https://tinyurl.com/ydfegwqq</v>
      </c>
      <c r="DF595" t="str">
        <f>INDEX('Data_Price '!AO$2:AO$1266,MATCH(Data!$DN595,'Data_Price '!$AT$2:$AT$1266,0))</f>
        <v>Rossignol Men's All Mountain Skis Experience 82 Ti (Open)</v>
      </c>
      <c r="DG595" t="str">
        <f>INDEX('Data_Price '!AP$2:AP$1266,MATCH(Data!$DN595,'Data_Price '!$AT$2:$AT$1266,0))</f>
        <v>Aspen Ski and Board</v>
      </c>
      <c r="DH595">
        <f>INDEX('Data_Price '!AQ$2:AQ$1266,MATCH(Data!$DN595,'Data_Price '!$AT$2:$AT$1266,0))</f>
        <v>559.95000000000005</v>
      </c>
      <c r="DI595" t="str">
        <f>INDEX('Data_Price '!AR$2:AR$1266,MATCH(Data!$DN595,'Data_Price '!$AT$2:$AT$1266,0))</f>
        <v>https://tinyurl.com/yccl7vha</v>
      </c>
      <c r="DJ595" s="89" t="str">
        <f t="shared" si="365"/>
        <v>https://tinyurl.com/y9mtqruv</v>
      </c>
      <c r="DK595" s="89" t="str">
        <f t="shared" si="366"/>
        <v>https://tinyurl.com/ydfegwqq</v>
      </c>
      <c r="DL595" s="89" t="str">
        <f t="shared" si="367"/>
        <v>https://tinyurl.com/yccl7vha</v>
      </c>
      <c r="DM595" s="219" t="str">
        <f t="shared" si="368"/>
        <v>Experience 82 Basalt</v>
      </c>
      <c r="DN595" s="89" t="str">
        <f t="shared" si="369"/>
        <v xml:space="preserve"> RossignolExperience 82 Basalt168 Unisex</v>
      </c>
      <c r="DO595" s="221"/>
    </row>
    <row r="596" spans="2:119" ht="15.6" customHeight="1">
      <c r="B596" s="219" t="b">
        <f t="array" ref="B596">IF(OR(ISERROR(K596:P596)),FALSE,TRUE)</f>
        <v>1</v>
      </c>
      <c r="C596" s="43" t="b">
        <f>OR(BR596=Driver!$G$50,Data!BR571=Driver!$H$50)</f>
        <v>1</v>
      </c>
      <c r="D596" s="43" t="b">
        <f>OR(BV596=Driver!$G$51,BV596=Driver!$H$51)</f>
        <v>1</v>
      </c>
      <c r="E596" s="43" t="b">
        <f>AND(BX596&gt;Driver!$F$54,BX596&lt;Driver!$G$54)</f>
        <v>0</v>
      </c>
      <c r="F596" s="43" t="b">
        <f>CL596&gt;Driver!$F$56</f>
        <v>1</v>
      </c>
      <c r="G596" s="43" t="b">
        <f>AND(CB596&gt;Driver!$F$55,CB596&lt;Driver!$G$55)</f>
        <v>0</v>
      </c>
      <c r="H596" s="43" t="b">
        <f t="shared" si="333"/>
        <v>0</v>
      </c>
      <c r="I596" s="43">
        <f t="shared" si="334"/>
        <v>0</v>
      </c>
      <c r="J596" s="43" t="b">
        <f t="array" ref="J596">NOT(OR(($H$9:$H$1273=TRUE)*($I$9:$I$1273&gt;0)*($BT$9:$BT$1273=BT596)*($K$9:$K$1273&gt;K596)))</f>
        <v>1</v>
      </c>
      <c r="K596" s="72">
        <f t="shared" si="335"/>
        <v>0.67574887625197522</v>
      </c>
      <c r="L596" s="72">
        <f t="shared" si="336"/>
        <v>0.67408887991359245</v>
      </c>
      <c r="M596" s="72">
        <f t="shared" si="337"/>
        <v>0.67740887259035776</v>
      </c>
      <c r="N596" s="72">
        <f t="shared" si="338"/>
        <v>0.45140002577593996</v>
      </c>
      <c r="O596" s="72">
        <f t="shared" si="339"/>
        <v>0.65160718271243323</v>
      </c>
      <c r="P596" s="72">
        <f t="shared" si="340"/>
        <v>0.92921940928270041</v>
      </c>
      <c r="Q596" s="72"/>
      <c r="R596" s="72"/>
      <c r="S596" s="72">
        <f t="shared" si="341"/>
        <v>0.48041977222625187</v>
      </c>
      <c r="T596" s="72">
        <f t="shared" si="342"/>
        <v>0.50577723216036696</v>
      </c>
      <c r="U596" s="72">
        <f t="shared" si="343"/>
        <v>0.51526117062226962</v>
      </c>
      <c r="V596" s="72">
        <f t="shared" si="344"/>
        <v>0.59149408909713808</v>
      </c>
      <c r="W596" s="72">
        <f t="shared" si="345"/>
        <v>0.78718334717607974</v>
      </c>
      <c r="X596" s="72">
        <f t="shared" si="346"/>
        <v>0.32591112008640749</v>
      </c>
      <c r="Y596" s="72">
        <f t="shared" si="347"/>
        <v>0.32259112740964219</v>
      </c>
      <c r="Z596" s="72">
        <f t="shared" si="348"/>
        <v>0.54859997422406004</v>
      </c>
      <c r="AA596" s="72">
        <f t="shared" si="349"/>
        <v>0.34839281728756682</v>
      </c>
      <c r="AB596" s="72">
        <f t="shared" si="350"/>
        <v>7.0780590717299585E-2</v>
      </c>
      <c r="AC596" s="72"/>
      <c r="AD596" s="72"/>
      <c r="AE596" s="72">
        <f t="shared" si="351"/>
        <v>0.51958022777374813</v>
      </c>
      <c r="AF596" s="72">
        <f t="shared" si="352"/>
        <v>0.49422276783963304</v>
      </c>
      <c r="AG596" s="72">
        <f t="shared" si="353"/>
        <v>0.48473882937773044</v>
      </c>
      <c r="AH596" s="72">
        <f t="shared" si="354"/>
        <v>0.40850591090286198</v>
      </c>
      <c r="AI596" s="72">
        <f t="shared" si="355"/>
        <v>0.21281665282392026</v>
      </c>
      <c r="AJ596" s="72">
        <f>(AV596-Driver!$K$179)/(Driver!$L$179-Driver!$K$179)</f>
        <v>0.58013052936910792</v>
      </c>
      <c r="AK596" s="72">
        <f>(AW596-Driver!$K$180)/(Driver!$L$180-Driver!$K$180)</f>
        <v>0.35627490263348649</v>
      </c>
      <c r="AL596" s="72">
        <f>(AX596-Driver!$K$181)/(Driver!$L$181-Driver!$K$181)</f>
        <v>0.65028773793714023</v>
      </c>
      <c r="AM596" s="72">
        <f>(AY596-Driver!$K$182)/(Driver!$L$182-Driver!$K$182)</f>
        <v>9.899220380947954E-2</v>
      </c>
      <c r="AN596" s="72">
        <f>(AZ596-Driver!$K$183)/(Driver!$L$183-Driver!$K$183)</f>
        <v>0.32500000000000001</v>
      </c>
      <c r="AO596" s="72"/>
      <c r="AP596" s="72"/>
      <c r="AQ596" s="72">
        <f>(BC596-Driver!$K$188)/(Driver!$L$188-Driver!$K$188)</f>
        <v>0.10041977222625185</v>
      </c>
      <c r="AR596" s="72">
        <f>MIN((BD596-Driver!$K$189)/(Driver!$L$189-Driver!$K$189),100%)</f>
        <v>5.5777232160367028E-2</v>
      </c>
      <c r="AS596" s="72">
        <f>(BE596-Driver!$K$190)/(Driver!$L$190-Driver!$K$190)</f>
        <v>2.5261170622269576E-2</v>
      </c>
      <c r="AT596" s="72">
        <f>(BF596-Driver!$K$191)/(Driver!$L$191-Driver!$K$191)</f>
        <v>0.10149408909713802</v>
      </c>
      <c r="AU596" s="72">
        <f>(BG596-Driver!$K$192)/(Driver!$L$192-Driver!$K$192)</f>
        <v>3.7183347176079733E-2</v>
      </c>
      <c r="AV596" s="70">
        <f t="shared" si="356"/>
        <v>12.210012210012209</v>
      </c>
      <c r="AW596" s="70">
        <f t="shared" si="357"/>
        <v>36.594038799876905</v>
      </c>
      <c r="AX596" s="70">
        <f t="shared" si="358"/>
        <v>6.8525896414342622</v>
      </c>
      <c r="AY596" s="70">
        <f>IFERROR(Driver!$K$19/Data!BH596/Data!BI596*Data!BK596*Data!BL596,"")</f>
        <v>0.1211959938856785</v>
      </c>
      <c r="AZ596" s="70">
        <f t="shared" si="359"/>
        <v>29.620253164556964</v>
      </c>
      <c r="BA596" s="70"/>
      <c r="BB596" s="70"/>
      <c r="BC596" s="70">
        <f t="shared" si="360"/>
        <v>52.08843396068756</v>
      </c>
      <c r="BD596" s="70">
        <f t="shared" si="361"/>
        <v>6.6570090988829822</v>
      </c>
      <c r="BE596" s="70">
        <f t="shared" si="362"/>
        <v>2.5435053058277715E-2</v>
      </c>
      <c r="BF596" s="70">
        <f t="shared" si="363"/>
        <v>11.463044327190788</v>
      </c>
      <c r="BG596" s="70">
        <f t="shared" si="364"/>
        <v>0.14079987281976744</v>
      </c>
      <c r="BH596" s="67">
        <f>MAX((CE596-Driver!$F$200)/(Driver!$G$200-Driver!$F$200)*$BI$1,1)</f>
        <v>6.8525896414342622</v>
      </c>
      <c r="BI596" s="67">
        <f>MAX($BI$1*(BY596-Driver!$F$201)/(Driver!$G$201-Driver!$F$201),1)</f>
        <v>7.4050632911392409</v>
      </c>
      <c r="BJ596" s="67">
        <f>(CB596-Driver!$F$206)/(Driver!$G$206-Driver!$F$206)*$BI$1</f>
        <v>7.9365079365079358</v>
      </c>
      <c r="BK596" s="67">
        <f>(CD596-Driver!$F$203)/(Driver!$G$203-Driver!$F$203)*$BI$1</f>
        <v>4.954128440366973</v>
      </c>
      <c r="BL596" s="67">
        <f>MAX((CR596-Driver!$F$202)/(Driver!$G$202-Driver!$F$202)*$BI$1,1)</f>
        <v>6.2068965517241379</v>
      </c>
      <c r="BM596" s="67">
        <f>MAX((CH596-Driver!$F$204)/(Driver!$G$204-Driver!$F$204)*$BI$1,1)</f>
        <v>6.1538461538461542</v>
      </c>
      <c r="BN596" s="67">
        <f>(CI596-Driver!$F$205)/(Driver!$G$205-Driver!$F$205)*$BI$1</f>
        <v>4</v>
      </c>
      <c r="BO596" s="67">
        <f>(CK596-Driver!$F$207)/(Driver!$G$207-Driver!$F$207)*$BI$1</f>
        <v>3.0093071354705274</v>
      </c>
      <c r="BP596" s="67">
        <f>(CM596-Driver!$F$208)/(Driver!$G$208-Driver!$F$208)*$BI$1</f>
        <v>2.3777777777777778</v>
      </c>
      <c r="BQ596" s="67">
        <f>(CL596-Driver!$F$209)/(Driver!$G$209-Driver!$F$209)*$BI$1</f>
        <v>5.9375</v>
      </c>
      <c r="BR596" s="28" t="s">
        <v>155</v>
      </c>
      <c r="BS596" s="8" t="s">
        <v>245</v>
      </c>
      <c r="BT596" s="9" t="s">
        <v>462</v>
      </c>
      <c r="BU596" s="10">
        <v>188</v>
      </c>
      <c r="BV596" s="9" t="s">
        <v>158</v>
      </c>
      <c r="BW596" s="10">
        <v>188</v>
      </c>
      <c r="BX596" s="10">
        <v>186.8</v>
      </c>
      <c r="BY596" s="10">
        <v>125</v>
      </c>
      <c r="BZ596" s="10">
        <v>152</v>
      </c>
      <c r="CA596" s="10">
        <v>144</v>
      </c>
      <c r="CB596" s="10">
        <v>114</v>
      </c>
      <c r="CC596" s="10">
        <v>134</v>
      </c>
      <c r="CD596" s="10">
        <v>20.2</v>
      </c>
      <c r="CE596" s="10">
        <v>2104</v>
      </c>
      <c r="CF596" s="10">
        <v>1.1000000000000001</v>
      </c>
      <c r="CG596" s="10">
        <v>2309</v>
      </c>
      <c r="CH596" s="10">
        <v>245</v>
      </c>
      <c r="CI596" s="10">
        <v>101</v>
      </c>
      <c r="CJ596" s="10">
        <v>51</v>
      </c>
      <c r="CK596" s="10">
        <v>401</v>
      </c>
      <c r="CL596" s="10">
        <v>38</v>
      </c>
      <c r="CM596" s="10">
        <v>214</v>
      </c>
      <c r="CN596" s="10">
        <v>0.73799999999999999</v>
      </c>
      <c r="CO596" s="10">
        <v>173</v>
      </c>
      <c r="CP596" s="10">
        <v>175</v>
      </c>
      <c r="CQ596" s="10">
        <v>228</v>
      </c>
      <c r="CR596" s="10">
        <v>7</v>
      </c>
      <c r="CS596" s="10">
        <v>9.3000000000000007</v>
      </c>
      <c r="CT596" s="9" t="s">
        <v>169</v>
      </c>
      <c r="CU596" s="9" t="s">
        <v>185</v>
      </c>
      <c r="CV596" s="10"/>
      <c r="CW596" s="10"/>
      <c r="CX596" t="str">
        <f>INDEX('Data_Price '!AG$2:AG$1266,MATCH(Data!$DN596,'Data_Price '!$AT$2:$AT$1266,0))</f>
        <v>Fischer Ranger 99 Ti Skis</v>
      </c>
      <c r="CY596" t="str">
        <f>INDEX('Data_Price '!AH$2:AH$1266,MATCH(Data!$DN596,'Data_Price '!$AT$2:$AT$1266,0))</f>
        <v>Gear West Ski &amp; Bike</v>
      </c>
      <c r="CZ596">
        <f>INDEX('Data_Price '!AI$2:AI$1266,MATCH(Data!$DN596,'Data_Price '!$AT$2:$AT$1266,0))</f>
        <v>429</v>
      </c>
      <c r="DA596" t="str">
        <f>INDEX('Data_Price '!AJ$2:AJ$1266,MATCH(Data!$DN596,'Data_Price '!$AT$2:$AT$1266,0))</f>
        <v>https://tinyurl.com/ybdnvf2f</v>
      </c>
      <c r="DB596" t="str">
        <f>INDEX('Data_Price '!AK$2:AK$1266,MATCH(Data!$DN596,'Data_Price '!$AT$2:$AT$1266,0))</f>
        <v>Fischer Ranger 99 Ti Skis with Tyrolia Attack 13 Demo Bindings 188cm (1101042)</v>
      </c>
      <c r="DC596" t="str">
        <f>INDEX('Data_Price '!AL$2:AL$1266,MATCH(Data!$DN596,'Data_Price '!$AT$2:$AT$1266,0))</f>
        <v>SidelineSwap</v>
      </c>
      <c r="DD596">
        <f>INDEX('Data_Price '!AM$2:AM$1266,MATCH(Data!$DN596,'Data_Price '!$AT$2:$AT$1266,0))</f>
        <v>499</v>
      </c>
      <c r="DE596" t="str">
        <f>INDEX('Data_Price '!AN$2:AN$1266,MATCH(Data!$DN596,'Data_Price '!$AT$2:$AT$1266,0))</f>
        <v>https://tinyurl.com/ydct9ph5</v>
      </c>
      <c r="DF596" t="str">
        <f>INDEX('Data_Price '!AO$2:AO$1266,MATCH(Data!$DN596,'Data_Price '!$AT$2:$AT$1266,0))</f>
        <v>Fischer Ranger 99 Ti Ski 2022</v>
      </c>
      <c r="DG596" t="str">
        <f>INDEX('Data_Price '!AP$2:AP$1266,MATCH(Data!$DN596,'Data_Price '!$AT$2:$AT$1266,0))</f>
        <v>Level Nine Sports</v>
      </c>
      <c r="DH596">
        <f>INDEX('Data_Price '!AQ$2:AQ$1266,MATCH(Data!$DN596,'Data_Price '!$AT$2:$AT$1266,0))</f>
        <v>499.99</v>
      </c>
      <c r="DI596" t="str">
        <f>INDEX('Data_Price '!AR$2:AR$1266,MATCH(Data!$DN596,'Data_Price '!$AT$2:$AT$1266,0))</f>
        <v>https://tinyurl.com/ydh5p99x</v>
      </c>
      <c r="DJ596" s="89" t="str">
        <f t="shared" si="365"/>
        <v>https://tinyurl.com/ybdnvf2f</v>
      </c>
      <c r="DK596" s="89" t="str">
        <f t="shared" si="366"/>
        <v>https://tinyurl.com/ydct9ph5</v>
      </c>
      <c r="DL596" s="89" t="str">
        <f t="shared" si="367"/>
        <v>https://tinyurl.com/ydh5p99x</v>
      </c>
      <c r="DM596" s="219" t="str">
        <f t="shared" si="368"/>
        <v>Ranger 115 FR Big Stix</v>
      </c>
      <c r="DN596" s="89" t="str">
        <f t="shared" si="369"/>
        <v xml:space="preserve"> FischerRanger 115 FR Big Stix188 Unisex</v>
      </c>
      <c r="DO596" s="221"/>
    </row>
    <row r="597" spans="2:119" ht="15.6" customHeight="1">
      <c r="B597" s="219" t="b">
        <f t="array" ref="B597">IF(OR(ISERROR(K597:P597)),FALSE,TRUE)</f>
        <v>1</v>
      </c>
      <c r="C597" s="43" t="b">
        <f>OR(BR597=Driver!$G$50,Data!BR170=Driver!$H$50)</f>
        <v>1</v>
      </c>
      <c r="D597" s="43" t="b">
        <f>OR(BV597=Driver!$G$51,BV597=Driver!$H$51)</f>
        <v>1</v>
      </c>
      <c r="E597" s="43" t="b">
        <f>AND(BX597&gt;Driver!$F$54,BX597&lt;Driver!$G$54)</f>
        <v>0</v>
      </c>
      <c r="F597" s="43" t="b">
        <f>CL597&gt;Driver!$F$56</f>
        <v>1</v>
      </c>
      <c r="G597" s="43" t="b">
        <f>AND(CB597&gt;Driver!$F$55,CB597&lt;Driver!$G$55)</f>
        <v>0</v>
      </c>
      <c r="H597" s="43" t="b">
        <f t="shared" si="333"/>
        <v>0</v>
      </c>
      <c r="I597" s="43">
        <f t="shared" si="334"/>
        <v>0</v>
      </c>
      <c r="J597" s="43" t="b">
        <f t="array" ref="J597">NOT(OR(($H$9:$H$1273=TRUE)*($I$9:$I$1273&gt;0)*($BT$9:$BT$1273=BT597)*($K$9:$K$1273&gt;K597)))</f>
        <v>1</v>
      </c>
      <c r="K597" s="72">
        <f t="shared" si="335"/>
        <v>0.84457503595115169</v>
      </c>
      <c r="L597" s="72">
        <f t="shared" si="336"/>
        <v>0.9841175498664414</v>
      </c>
      <c r="M597" s="72">
        <f t="shared" si="337"/>
        <v>0.70503252203586197</v>
      </c>
      <c r="N597" s="72">
        <f t="shared" si="338"/>
        <v>0.70751840938436339</v>
      </c>
      <c r="O597" s="72">
        <f t="shared" si="339"/>
        <v>0.67027151214640468</v>
      </c>
      <c r="P597" s="72">
        <f t="shared" si="340"/>
        <v>0.73730764457681808</v>
      </c>
      <c r="Q597" s="72"/>
      <c r="R597" s="72"/>
      <c r="S597" s="72">
        <f t="shared" si="341"/>
        <v>0.54117312543645335</v>
      </c>
      <c r="T597" s="72">
        <f t="shared" si="342"/>
        <v>0.50988213569678986</v>
      </c>
      <c r="U597" s="72">
        <f t="shared" si="343"/>
        <v>0.64892658742826981</v>
      </c>
      <c r="V597" s="72">
        <f t="shared" si="344"/>
        <v>0.53555454569977234</v>
      </c>
      <c r="W597" s="72">
        <f t="shared" si="345"/>
        <v>0.78122469263049399</v>
      </c>
      <c r="X597" s="72">
        <f t="shared" si="346"/>
        <v>1.5882450133558546E-2</v>
      </c>
      <c r="Y597" s="72">
        <f t="shared" si="347"/>
        <v>0.29496747796413797</v>
      </c>
      <c r="Z597" s="72">
        <f t="shared" si="348"/>
        <v>0.29248159061563667</v>
      </c>
      <c r="AA597" s="72">
        <f t="shared" si="349"/>
        <v>0.32972848785359532</v>
      </c>
      <c r="AB597" s="72">
        <f t="shared" si="350"/>
        <v>0.26269235542318187</v>
      </c>
      <c r="AC597" s="72"/>
      <c r="AD597" s="72"/>
      <c r="AE597" s="72">
        <f t="shared" si="351"/>
        <v>0.45882687456354665</v>
      </c>
      <c r="AF597" s="72">
        <f t="shared" si="352"/>
        <v>0.49011786430321014</v>
      </c>
      <c r="AG597" s="72">
        <f t="shared" si="353"/>
        <v>0.35107341257173019</v>
      </c>
      <c r="AH597" s="72">
        <f t="shared" si="354"/>
        <v>0.46444545430022771</v>
      </c>
      <c r="AI597" s="72">
        <f t="shared" si="355"/>
        <v>0.21877530736950601</v>
      </c>
      <c r="AJ597" s="72">
        <f>(AV597-Driver!$K$179)/(Driver!$L$179-Driver!$K$179)</f>
        <v>0.23833695914914188</v>
      </c>
      <c r="AK597" s="72">
        <f>(AW597-Driver!$K$180)/(Driver!$L$180-Driver!$K$180)</f>
        <v>0.51232513341300434</v>
      </c>
      <c r="AL597" s="72">
        <f>(AX597-Driver!$K$181)/(Driver!$L$181-Driver!$K$181)</f>
        <v>0.39416935432871686</v>
      </c>
      <c r="AM597" s="72">
        <f>(AY597-Driver!$K$182)/(Driver!$L$182-Driver!$K$182)</f>
        <v>0.11765653324345107</v>
      </c>
      <c r="AN597" s="72">
        <f>(AZ597-Driver!$K$183)/(Driver!$L$183-Driver!$K$183)</f>
        <v>0.51691176470588229</v>
      </c>
      <c r="AO597" s="72"/>
      <c r="AP597" s="72"/>
      <c r="AQ597" s="72">
        <f>(BC597-Driver!$K$188)/(Driver!$L$188-Driver!$K$188)</f>
        <v>0.16117312543645337</v>
      </c>
      <c r="AR597" s="72">
        <f>MIN((BD597-Driver!$K$189)/(Driver!$L$189-Driver!$K$189),100%)</f>
        <v>5.9882135696789893E-2</v>
      </c>
      <c r="AS597" s="72">
        <f>(BE597-Driver!$K$190)/(Driver!$L$190-Driver!$K$190)</f>
        <v>0.15892658742826982</v>
      </c>
      <c r="AT597" s="72">
        <f>(BF597-Driver!$K$191)/(Driver!$L$191-Driver!$K$191)</f>
        <v>4.5554545699772298E-2</v>
      </c>
      <c r="AU597" s="72">
        <f>(BG597-Driver!$K$192)/(Driver!$L$192-Driver!$K$192)</f>
        <v>3.1224692630493992E-2</v>
      </c>
      <c r="AV597" s="70">
        <f t="shared" si="356"/>
        <v>5.0162800162800165</v>
      </c>
      <c r="AW597" s="70">
        <f t="shared" si="357"/>
        <v>51.802516535050145</v>
      </c>
      <c r="AX597" s="70">
        <f t="shared" si="358"/>
        <v>4.5475241889584517</v>
      </c>
      <c r="AY597" s="70">
        <f>IFERROR(Driver!$K$19/Data!BH597/Data!BI597*Data!BK597*Data!BL597,"")</f>
        <v>0.14404670201127423</v>
      </c>
      <c r="AZ597" s="70">
        <f t="shared" si="359"/>
        <v>47.110945644080417</v>
      </c>
      <c r="BA597" s="70"/>
      <c r="BB597" s="70"/>
      <c r="BC597" s="70">
        <f t="shared" si="360"/>
        <v>83.60162062127857</v>
      </c>
      <c r="BD597" s="70">
        <f t="shared" si="361"/>
        <v>7.0202857883977323</v>
      </c>
      <c r="BE597" s="70">
        <f t="shared" si="362"/>
        <v>0.1590766254583881</v>
      </c>
      <c r="BF597" s="70">
        <f t="shared" si="363"/>
        <v>5.145065897992807</v>
      </c>
      <c r="BG597" s="70">
        <f t="shared" si="364"/>
        <v>0.11823660549952145</v>
      </c>
      <c r="BH597" s="67">
        <f>MAX((CE597-Driver!$F$200)/(Driver!$G$200-Driver!$F$200)*$BI$1,1)</f>
        <v>4.5475241889584517</v>
      </c>
      <c r="BI597" s="67">
        <f>MAX($BI$1*(BY597-Driver!$F$201)/(Driver!$G$201-Driver!$F$201),1)</f>
        <v>7.2151898734177218</v>
      </c>
      <c r="BJ597" s="67">
        <f>(CB597-Driver!$F$206)/(Driver!$G$206-Driver!$F$206)*$BI$1</f>
        <v>4.6031746031746028</v>
      </c>
      <c r="BK597" s="67">
        <f>(CD597-Driver!$F$203)/(Driver!$G$203-Driver!$F$203)*$BI$1</f>
        <v>3.8073394495412844</v>
      </c>
      <c r="BL597" s="67">
        <f>MAX((CR597-Driver!$F$202)/(Driver!$G$202-Driver!$F$202)*$BI$1,1)</f>
        <v>6.2068965517241379</v>
      </c>
      <c r="BM597" s="67">
        <f>MAX((CH597-Driver!$F$204)/(Driver!$G$204-Driver!$F$204)*$BI$1,1)</f>
        <v>4.3589743589743595</v>
      </c>
      <c r="BN597" s="67">
        <f>(CI597-Driver!$F$205)/(Driver!$G$205-Driver!$F$205)*$BI$1</f>
        <v>6.5294117647058822</v>
      </c>
      <c r="BO597" s="67">
        <f>(CK597-Driver!$F$207)/(Driver!$G$207-Driver!$F$207)*$BI$1</f>
        <v>1.9441571871768357</v>
      </c>
      <c r="BP597" s="67">
        <f>(CM597-Driver!$F$208)/(Driver!$G$208-Driver!$F$208)*$BI$1</f>
        <v>2.1888888888888887</v>
      </c>
      <c r="BQ597" s="67">
        <f>(CL597-Driver!$F$209)/(Driver!$G$209-Driver!$F$209)*$BI$1</f>
        <v>2.34375</v>
      </c>
      <c r="BR597" s="28" t="s">
        <v>155</v>
      </c>
      <c r="BS597" s="8" t="s">
        <v>156</v>
      </c>
      <c r="BT597" s="9" t="s">
        <v>611</v>
      </c>
      <c r="BU597" s="10">
        <v>172</v>
      </c>
      <c r="BV597" s="9" t="s">
        <v>158</v>
      </c>
      <c r="BW597" s="10">
        <v>172</v>
      </c>
      <c r="BX597" s="10">
        <v>171.3</v>
      </c>
      <c r="BY597" s="10">
        <v>122</v>
      </c>
      <c r="BZ597" s="10">
        <v>141</v>
      </c>
      <c r="CA597" s="10">
        <v>126</v>
      </c>
      <c r="CB597" s="10">
        <v>93</v>
      </c>
      <c r="CC597" s="10">
        <v>111</v>
      </c>
      <c r="CD597" s="10">
        <v>17.7</v>
      </c>
      <c r="CE597" s="10">
        <v>1699</v>
      </c>
      <c r="CF597" s="10">
        <v>1.04</v>
      </c>
      <c r="CG597" s="10">
        <v>1768</v>
      </c>
      <c r="CH597" s="10">
        <v>203</v>
      </c>
      <c r="CI597" s="10">
        <v>144</v>
      </c>
      <c r="CJ597" s="10">
        <v>55</v>
      </c>
      <c r="CK597" s="10">
        <v>298</v>
      </c>
      <c r="CL597" s="10">
        <v>15</v>
      </c>
      <c r="CM597" s="10">
        <v>197</v>
      </c>
      <c r="CN597" s="10">
        <v>0.26700000000000002</v>
      </c>
      <c r="CO597" s="10">
        <v>171</v>
      </c>
      <c r="CP597" s="10">
        <v>136</v>
      </c>
      <c r="CQ597" s="10">
        <v>127</v>
      </c>
      <c r="CR597" s="10">
        <v>7</v>
      </c>
      <c r="CS597" s="10">
        <v>8.9</v>
      </c>
      <c r="CT597" s="9" t="s">
        <v>188</v>
      </c>
      <c r="CU597" s="10"/>
      <c r="CV597" s="10"/>
      <c r="CW597" s="10"/>
      <c r="CX597" t="str">
        <f>INDEX('Data_Price '!AG$2:AG$1266,MATCH(Data!$DN597,'Data_Price '!$AT$2:$AT$1266,0))</f>
        <v>Atomic Maverick 95 TI - 172 (Brand New)</v>
      </c>
      <c r="CY597" t="str">
        <f>INDEX('Data_Price '!AH$2:AH$1266,MATCH(Data!$DN597,'Data_Price '!$AT$2:$AT$1266,0))</f>
        <v>Geartrade.com</v>
      </c>
      <c r="CZ597">
        <f>INDEX('Data_Price '!AI$2:AI$1266,MATCH(Data!$DN597,'Data_Price '!$AT$2:$AT$1266,0))</f>
        <v>485</v>
      </c>
      <c r="DA597" t="str">
        <f>INDEX('Data_Price '!AJ$2:AJ$1266,MATCH(Data!$DN597,'Data_Price '!$AT$2:$AT$1266,0))</f>
        <v>https://tinyurl.com/y9km6p6m</v>
      </c>
      <c r="DB597" t="str">
        <f>INDEX('Data_Price '!AK$2:AK$1266,MATCH(Data!$DN597,'Data_Price '!$AT$2:$AT$1266,0))</f>
        <v xml:space="preserve"> Atomic 22 Maverick 95 Ti 172Cm Demo</v>
      </c>
      <c r="DC597" t="str">
        <f>INDEX('Data_Price '!AL$2:AL$1266,MATCH(Data!$DN597,'Data_Price '!$AT$2:$AT$1266,0))</f>
        <v>Play It Again Sports</v>
      </c>
      <c r="DD597">
        <f>INDEX('Data_Price '!AM$2:AM$1266,MATCH(Data!$DN597,'Data_Price '!$AT$2:$AT$1266,0))</f>
        <v>549.91</v>
      </c>
      <c r="DE597" t="str">
        <f>INDEX('Data_Price '!AN$2:AN$1266,MATCH(Data!$DN597,'Data_Price '!$AT$2:$AT$1266,0))</f>
        <v>https://tinyurl.com/ybf3unry</v>
      </c>
      <c r="DF597" t="str">
        <f>INDEX('Data_Price '!AO$2:AO$1266,MATCH(Data!$DN597,'Data_Price '!$AT$2:$AT$1266,0))</f>
        <v>Atomic Maverick 95 Ti</v>
      </c>
      <c r="DG597" t="str">
        <f>INDEX('Data_Price '!AP$2:AP$1266,MATCH(Data!$DN597,'Data_Price '!$AT$2:$AT$1266,0))</f>
        <v>evo.com</v>
      </c>
      <c r="DH597">
        <f>INDEX('Data_Price '!AQ$2:AQ$1266,MATCH(Data!$DN597,'Data_Price '!$AT$2:$AT$1266,0))</f>
        <v>559.98</v>
      </c>
      <c r="DI597" t="str">
        <f>INDEX('Data_Price '!AR$2:AR$1266,MATCH(Data!$DN597,'Data_Price '!$AT$2:$AT$1266,0))</f>
        <v>https://tinyurl.com/ycjvd9vr</v>
      </c>
      <c r="DJ597" s="89" t="str">
        <f t="shared" si="365"/>
        <v>https://tinyurl.com/y9km6p6m</v>
      </c>
      <c r="DK597" s="89" t="str">
        <f t="shared" si="366"/>
        <v>https://tinyurl.com/ybf3unry</v>
      </c>
      <c r="DL597" s="89" t="str">
        <f t="shared" si="367"/>
        <v>https://tinyurl.com/ycjvd9vr</v>
      </c>
      <c r="DM597" s="219" t="str">
        <f t="shared" si="368"/>
        <v>Maverick 95 Ti</v>
      </c>
      <c r="DN597" s="89" t="str">
        <f t="shared" si="369"/>
        <v xml:space="preserve"> AtomicMaverick 95 Ti172 Unisex</v>
      </c>
      <c r="DO597" s="221" t="s">
        <v>612</v>
      </c>
    </row>
    <row r="598" spans="2:119" ht="15.6" customHeight="1">
      <c r="B598" s="219" t="b">
        <f t="array" ref="B598">IF(OR(ISERROR(K598:P598)),FALSE,TRUE)</f>
        <v>1</v>
      </c>
      <c r="C598" s="43" t="b">
        <f>OR(BR598=Driver!$G$50,Data!BR326=Driver!$H$50)</f>
        <v>1</v>
      </c>
      <c r="D598" s="43" t="b">
        <f>OR(BV598=Driver!$G$51,BV598=Driver!$H$51)</f>
        <v>1</v>
      </c>
      <c r="E598" s="43" t="b">
        <f>AND(BX598&gt;Driver!$F$54,BX598&lt;Driver!$G$54)</f>
        <v>0</v>
      </c>
      <c r="F598" s="43" t="b">
        <f>CL598&gt;Driver!$F$56</f>
        <v>1</v>
      </c>
      <c r="G598" s="43" t="b">
        <f>AND(CB598&gt;Driver!$F$55,CB598&lt;Driver!$G$55)</f>
        <v>0</v>
      </c>
      <c r="H598" s="43" t="b">
        <f t="shared" si="333"/>
        <v>0</v>
      </c>
      <c r="I598" s="43">
        <f t="shared" si="334"/>
        <v>0</v>
      </c>
      <c r="J598" s="43" t="b">
        <f t="array" ref="J598">NOT(OR(($H$9:$H$1273=TRUE)*($I$9:$I$1273&gt;0)*($BT$9:$BT$1273=BT598)*($K$9:$K$1273&gt;K598)))</f>
        <v>1</v>
      </c>
      <c r="K598" s="72">
        <f t="shared" si="335"/>
        <v>0.95704273324233646</v>
      </c>
      <c r="L598" s="72">
        <f t="shared" si="336"/>
        <v>0.94479759176475742</v>
      </c>
      <c r="M598" s="72">
        <f t="shared" si="337"/>
        <v>0.96928787471991551</v>
      </c>
      <c r="N598" s="72">
        <f t="shared" si="338"/>
        <v>0.94593128390596737</v>
      </c>
      <c r="O598" s="72">
        <f t="shared" si="339"/>
        <v>0.98821057306589144</v>
      </c>
      <c r="P598" s="72">
        <f t="shared" si="340"/>
        <v>0.97372176718788783</v>
      </c>
      <c r="Q598" s="72"/>
      <c r="R598" s="72"/>
      <c r="S598" s="72">
        <f t="shared" si="341"/>
        <v>0.51329493517182889</v>
      </c>
      <c r="T598" s="72">
        <f t="shared" si="342"/>
        <v>0.45716627467300597</v>
      </c>
      <c r="U598" s="72">
        <f t="shared" si="343"/>
        <v>0.51</v>
      </c>
      <c r="V598" s="72">
        <f t="shared" si="344"/>
        <v>0.50387001600447889</v>
      </c>
      <c r="W598" s="72">
        <f t="shared" si="345"/>
        <v>0.80199203187251</v>
      </c>
      <c r="X598" s="72">
        <f t="shared" si="346"/>
        <v>5.5202408235242556E-2</v>
      </c>
      <c r="Y598" s="72">
        <f t="shared" si="347"/>
        <v>3.0712125280084445E-2</v>
      </c>
      <c r="Z598" s="72">
        <f t="shared" si="348"/>
        <v>5.4068716094032583E-2</v>
      </c>
      <c r="AA598" s="72">
        <f t="shared" si="349"/>
        <v>1.178942693410856E-2</v>
      </c>
      <c r="AB598" s="72">
        <f t="shared" si="350"/>
        <v>2.6278232812112196E-2</v>
      </c>
      <c r="AC598" s="72"/>
      <c r="AD598" s="72"/>
      <c r="AE598" s="72">
        <f t="shared" si="351"/>
        <v>0.48670506482817111</v>
      </c>
      <c r="AF598" s="72">
        <f t="shared" si="352"/>
        <v>0.54283372532699403</v>
      </c>
      <c r="AG598" s="72">
        <f t="shared" si="353"/>
        <v>0.49</v>
      </c>
      <c r="AH598" s="72">
        <f t="shared" si="354"/>
        <v>0.49612998399552105</v>
      </c>
      <c r="AI598" s="72">
        <f t="shared" si="355"/>
        <v>0.19800796812749005</v>
      </c>
      <c r="AJ598" s="72">
        <f>(AV598-Driver!$K$179)/(Driver!$L$179-Driver!$K$179)</f>
        <v>0.19901700104745787</v>
      </c>
      <c r="AK598" s="72">
        <f>(AW598-Driver!$K$180)/(Driver!$L$180-Driver!$K$180)</f>
        <v>0.21408380207014632</v>
      </c>
      <c r="AL598" s="72">
        <f>(AX598-Driver!$K$181)/(Driver!$L$181-Driver!$K$181)</f>
        <v>4.7619047619047596E-2</v>
      </c>
      <c r="AM598" s="72">
        <f>(AY598-Driver!$K$182)/(Driver!$L$182-Driver!$K$182)</f>
        <v>0.4355955941629378</v>
      </c>
      <c r="AN598" s="72">
        <f>(AZ598-Driver!$K$183)/(Driver!$L$183-Driver!$K$183)</f>
        <v>0.22794117647058823</v>
      </c>
      <c r="AO598" s="72"/>
      <c r="AP598" s="72"/>
      <c r="AQ598" s="72">
        <f>(BC598-Driver!$K$188)/(Driver!$L$188-Driver!$K$188)</f>
        <v>0.13329493517182886</v>
      </c>
      <c r="AR598" s="72">
        <f>MIN((BD598-Driver!$K$189)/(Driver!$L$189-Driver!$K$189),100%)</f>
        <v>7.1662746730059906E-3</v>
      </c>
      <c r="AS598" s="72">
        <f>(BE598-Driver!$K$190)/(Driver!$L$190-Driver!$K$190)</f>
        <v>1</v>
      </c>
      <c r="AT598" s="72">
        <f>(BF598-Driver!$K$191)/(Driver!$L$191-Driver!$K$191)</f>
        <v>1.387001600447894E-2</v>
      </c>
      <c r="AU598" s="72">
        <f>(BG598-Driver!$K$192)/(Driver!$L$192-Driver!$K$192)</f>
        <v>5.1992031872509954E-2</v>
      </c>
      <c r="AV598" s="70">
        <f t="shared" si="356"/>
        <v>4.1887125220458552</v>
      </c>
      <c r="AW598" s="70">
        <f t="shared" si="357"/>
        <v>22.736256108656587</v>
      </c>
      <c r="AX598" s="70">
        <f t="shared" si="358"/>
        <v>1.4285714285714284</v>
      </c>
      <c r="AY598" s="70">
        <f>IFERROR(Driver!$K$19/Data!BH598/Data!BI598*Data!BK598*Data!BL598,"")</f>
        <v>0.53329897643661184</v>
      </c>
      <c r="AZ598" s="70">
        <f t="shared" si="359"/>
        <v>20.774385703648548</v>
      </c>
      <c r="BA598" s="70"/>
      <c r="BB598" s="70"/>
      <c r="BC598" s="70">
        <f t="shared" si="360"/>
        <v>69.141009524983346</v>
      </c>
      <c r="BD598" s="70">
        <f t="shared" si="361"/>
        <v>2.35502549477141</v>
      </c>
      <c r="BE598" s="70">
        <f t="shared" si="362"/>
        <v>1</v>
      </c>
      <c r="BF598" s="70">
        <f t="shared" si="363"/>
        <v>1.5665208653286107</v>
      </c>
      <c r="BG598" s="70">
        <f t="shared" si="364"/>
        <v>0.19687499999999999</v>
      </c>
      <c r="BH598" s="67">
        <f>MAX((CE598-Driver!$F$200)/(Driver!$G$200-Driver!$F$200)*$BI$1,1)</f>
        <v>1.4285714285714284</v>
      </c>
      <c r="BI598" s="67">
        <f>MAX($BI$1*(BY598-Driver!$F$201)/(Driver!$G$201-Driver!$F$201),1)</f>
        <v>7.8481012658227849</v>
      </c>
      <c r="BJ598" s="67">
        <f>(CB598-Driver!$F$206)/(Driver!$G$206-Driver!$F$206)*$BI$1</f>
        <v>3.0158730158730158</v>
      </c>
      <c r="BK598" s="67">
        <f>(CD598-Driver!$F$203)/(Driver!$G$203-Driver!$F$203)*$BI$1</f>
        <v>5.7798165137614692</v>
      </c>
      <c r="BL598" s="67">
        <f>MAX((CR598-Driver!$F$202)/(Driver!$G$202-Driver!$F$202)*$BI$1,1)</f>
        <v>5.1724137931034484</v>
      </c>
      <c r="BM598" s="67">
        <f>MAX((CH598-Driver!$F$204)/(Driver!$G$204-Driver!$F$204)*$BI$1,1)</f>
        <v>5.5555555555555554</v>
      </c>
      <c r="BN598" s="67">
        <f>(CI598-Driver!$F$205)/(Driver!$G$205-Driver!$F$205)*$BI$1</f>
        <v>2.6470588235294117</v>
      </c>
      <c r="BO598" s="67">
        <f>(CK598-Driver!$F$207)/(Driver!$G$207-Driver!$F$207)*$BI$1</f>
        <v>1.468459152016546</v>
      </c>
      <c r="BP598" s="67">
        <f>(CM598-Driver!$F$208)/(Driver!$G$208-Driver!$F$208)*$BI$1</f>
        <v>2.0444444444444447</v>
      </c>
      <c r="BQ598" s="67">
        <f>(CL598-Driver!$F$209)/(Driver!$G$209-Driver!$F$209)*$BI$1</f>
        <v>1.5625</v>
      </c>
      <c r="BR598" s="28" t="s">
        <v>155</v>
      </c>
      <c r="BS598" s="8" t="s">
        <v>317</v>
      </c>
      <c r="BT598" s="9" t="s">
        <v>680</v>
      </c>
      <c r="BU598" s="10">
        <v>178</v>
      </c>
      <c r="BV598" s="9" t="s">
        <v>158</v>
      </c>
      <c r="BW598" s="10">
        <v>178</v>
      </c>
      <c r="BX598" s="10">
        <v>176</v>
      </c>
      <c r="BY598" s="10">
        <v>132</v>
      </c>
      <c r="BZ598" s="10">
        <v>149</v>
      </c>
      <c r="CA598" s="10">
        <v>117</v>
      </c>
      <c r="CB598" s="10">
        <v>83</v>
      </c>
      <c r="CC598" s="10">
        <v>100</v>
      </c>
      <c r="CD598" s="10">
        <v>22</v>
      </c>
      <c r="CE598" s="10">
        <v>1151</v>
      </c>
      <c r="CF598" s="10">
        <v>1.42</v>
      </c>
      <c r="CG598" s="10">
        <v>1635</v>
      </c>
      <c r="CH598" s="10">
        <v>231</v>
      </c>
      <c r="CI598" s="10">
        <v>78</v>
      </c>
      <c r="CJ598" s="10">
        <v>54</v>
      </c>
      <c r="CK598" s="10">
        <v>252</v>
      </c>
      <c r="CL598" s="10">
        <v>10</v>
      </c>
      <c r="CM598" s="10">
        <v>184</v>
      </c>
      <c r="CN598" s="10">
        <v>0.17599999999999999</v>
      </c>
      <c r="CO598" s="10">
        <v>133</v>
      </c>
      <c r="CP598" s="10">
        <v>132</v>
      </c>
      <c r="CQ598" s="10">
        <v>118</v>
      </c>
      <c r="CR598" s="10">
        <v>4</v>
      </c>
      <c r="CS598" s="10">
        <v>10.5</v>
      </c>
      <c r="CT598" s="9" t="s">
        <v>185</v>
      </c>
      <c r="CU598" s="9" t="s">
        <v>198</v>
      </c>
      <c r="CV598" s="10"/>
      <c r="CW598" s="10"/>
      <c r="CX598" t="str">
        <f>INDEX('Data_Price '!AG$2:AG$1266,MATCH(Data!$DN598,'Data_Price '!$AT$2:$AT$1266,0))</f>
        <v>Blizzard Zero G 85 Ski 2022</v>
      </c>
      <c r="CY598" t="str">
        <f>INDEX('Data_Price '!AH$2:AH$1266,MATCH(Data!$DN598,'Data_Price '!$AT$2:$AT$1266,0))</f>
        <v>Telemark Pyrenees</v>
      </c>
      <c r="CZ598">
        <f>INDEX('Data_Price '!AI$2:AI$1266,MATCH(Data!$DN598,'Data_Price '!$AT$2:$AT$1266,0))</f>
        <v>384.97</v>
      </c>
      <c r="DA598" t="str">
        <f>INDEX('Data_Price '!AJ$2:AJ$1266,MATCH(Data!$DN598,'Data_Price '!$AT$2:$AT$1266,0))</f>
        <v>https://tinyurl.com/ybc24dhj</v>
      </c>
      <c r="DB598" t="str">
        <f>INDEX('Data_Price '!AK$2:AK$1266,MATCH(Data!$DN598,'Data_Price '!$AT$2:$AT$1266,0))</f>
        <v>Blizzard Zero G 85 Ski 2022</v>
      </c>
      <c r="DC598" t="str">
        <f>INDEX('Data_Price '!AL$2:AL$1266,MATCH(Data!$DN598,'Data_Price '!$AT$2:$AT$1266,0))</f>
        <v>Snowcountry.eu</v>
      </c>
      <c r="DD598">
        <f>INDEX('Data_Price '!AM$2:AM$1266,MATCH(Data!$DN598,'Data_Price '!$AT$2:$AT$1266,0))</f>
        <v>387.23</v>
      </c>
      <c r="DE598" t="str">
        <f>INDEX('Data_Price '!AN$2:AN$1266,MATCH(Data!$DN598,'Data_Price '!$AT$2:$AT$1266,0))</f>
        <v>https://tinyurl.com/ydyj5j9c</v>
      </c>
      <c r="DF598" t="str">
        <f>INDEX('Data_Price '!AO$2:AO$1266,MATCH(Data!$DN598,'Data_Price '!$AT$2:$AT$1266,0))</f>
        <v>Blizzard Zero G 85 Backcountry Touring Ski 2022 178 / Grey</v>
      </c>
      <c r="DG598" t="str">
        <f>INDEX('Data_Price '!AP$2:AP$1266,MATCH(Data!$DN598,'Data_Price '!$AT$2:$AT$1266,0))</f>
        <v>Ski The Whites</v>
      </c>
      <c r="DH598">
        <f>INDEX('Data_Price '!AQ$2:AQ$1266,MATCH(Data!$DN598,'Data_Price '!$AT$2:$AT$1266,0))</f>
        <v>479.99</v>
      </c>
      <c r="DI598" t="str">
        <f>INDEX('Data_Price '!AR$2:AR$1266,MATCH(Data!$DN598,'Data_Price '!$AT$2:$AT$1266,0))</f>
        <v>https://tinyurl.com/y8ahltst</v>
      </c>
      <c r="DJ598" s="89" t="str">
        <f t="shared" si="365"/>
        <v>https://tinyurl.com/ybc24dhj</v>
      </c>
      <c r="DK598" s="89" t="str">
        <f t="shared" si="366"/>
        <v>https://tinyurl.com/ydyj5j9c</v>
      </c>
      <c r="DL598" s="89" t="str">
        <f t="shared" si="367"/>
        <v>https://tinyurl.com/y8ahltst</v>
      </c>
      <c r="DM598" s="219" t="str">
        <f t="shared" si="368"/>
        <v>Zero G 85</v>
      </c>
      <c r="DN598" s="89" t="str">
        <f t="shared" si="369"/>
        <v xml:space="preserve"> BlizzardZero G 85178 Unisex</v>
      </c>
      <c r="DO598" s="221"/>
    </row>
    <row r="599" spans="2:119" ht="15.6" customHeight="1">
      <c r="B599" s="219" t="b">
        <f t="array" ref="B599">IF(OR(ISERROR(K599:P599)),FALSE,TRUE)</f>
        <v>1</v>
      </c>
      <c r="C599" s="43" t="b">
        <f>OR(BR599=Driver!$G$50,Data!BR954=Driver!$H$50)</f>
        <v>1</v>
      </c>
      <c r="D599" s="43" t="b">
        <f>OR(BV599=Driver!$G$51,BV599=Driver!$H$51)</f>
        <v>1</v>
      </c>
      <c r="E599" s="43" t="b">
        <f>AND(BX599&gt;Driver!$F$54,BX599&lt;Driver!$G$54)</f>
        <v>0</v>
      </c>
      <c r="F599" s="43" t="b">
        <f>CL599&gt;Driver!$F$56</f>
        <v>1</v>
      </c>
      <c r="G599" s="43" t="b">
        <f>AND(CB599&gt;Driver!$F$55,CB599&lt;Driver!$G$55)</f>
        <v>0</v>
      </c>
      <c r="H599" s="43" t="b">
        <f t="shared" si="333"/>
        <v>0</v>
      </c>
      <c r="I599" s="43">
        <f t="shared" si="334"/>
        <v>0</v>
      </c>
      <c r="J599" s="43" t="b">
        <f t="array" ref="J599">NOT(OR(($H$9:$H$1273=TRUE)*($I$9:$I$1273&gt;0)*($BT$9:$BT$1273=BT599)*($K$9:$K$1273&gt;K599)))</f>
        <v>1</v>
      </c>
      <c r="K599" s="72">
        <f t="shared" si="335"/>
        <v>0.85685864372696319</v>
      </c>
      <c r="L599" s="72">
        <f t="shared" si="336"/>
        <v>0.93643679708384464</v>
      </c>
      <c r="M599" s="72">
        <f t="shared" si="337"/>
        <v>0.77728049037008173</v>
      </c>
      <c r="N599" s="72">
        <f t="shared" si="338"/>
        <v>0.76949273430689535</v>
      </c>
      <c r="O599" s="72">
        <f t="shared" si="339"/>
        <v>0.72906814608605042</v>
      </c>
      <c r="P599" s="72">
        <f t="shared" si="340"/>
        <v>0.83328059071729954</v>
      </c>
      <c r="Q599" s="72"/>
      <c r="R599" s="72"/>
      <c r="S599" s="72">
        <f t="shared" si="341"/>
        <v>0.41460752676971924</v>
      </c>
      <c r="T599" s="72">
        <f t="shared" si="342"/>
        <v>0.47970732966923058</v>
      </c>
      <c r="U599" s="72">
        <f t="shared" si="343"/>
        <v>0.55409611924160518</v>
      </c>
      <c r="V599" s="72">
        <f t="shared" si="344"/>
        <v>0.54923724967923837</v>
      </c>
      <c r="W599" s="72">
        <f t="shared" si="345"/>
        <v>0.81050285306704706</v>
      </c>
      <c r="X599" s="72">
        <f t="shared" si="346"/>
        <v>6.3563202916155359E-2</v>
      </c>
      <c r="Y599" s="72">
        <f t="shared" si="347"/>
        <v>0.22271950962991824</v>
      </c>
      <c r="Z599" s="72">
        <f t="shared" si="348"/>
        <v>0.23050726569310465</v>
      </c>
      <c r="AA599" s="72">
        <f t="shared" si="349"/>
        <v>0.27093185391394958</v>
      </c>
      <c r="AB599" s="72">
        <f t="shared" si="350"/>
        <v>0.16671940928270043</v>
      </c>
      <c r="AC599" s="72"/>
      <c r="AD599" s="72"/>
      <c r="AE599" s="72">
        <f t="shared" si="351"/>
        <v>0.58539247323028076</v>
      </c>
      <c r="AF599" s="72">
        <f t="shared" si="352"/>
        <v>0.52029267033076942</v>
      </c>
      <c r="AG599" s="72">
        <f t="shared" si="353"/>
        <v>0.44590388075839482</v>
      </c>
      <c r="AH599" s="72">
        <f t="shared" si="354"/>
        <v>0.45076275032076168</v>
      </c>
      <c r="AI599" s="72">
        <f t="shared" si="355"/>
        <v>0.18949714693295294</v>
      </c>
      <c r="AJ599" s="72">
        <f>(AV599-Driver!$K$179)/(Driver!$L$179-Driver!$K$179)</f>
        <v>0.31778261219885579</v>
      </c>
      <c r="AK599" s="72">
        <f>(AW599-Driver!$K$180)/(Driver!$L$180-Driver!$K$180)</f>
        <v>0.10577363019977983</v>
      </c>
      <c r="AL599" s="72">
        <f>(AX599-Driver!$K$181)/(Driver!$L$181-Driver!$K$181)</f>
        <v>0.33219502940618484</v>
      </c>
      <c r="AM599" s="72">
        <f>(AY599-Driver!$K$182)/(Driver!$L$182-Driver!$K$182)</f>
        <v>0.17645316718309681</v>
      </c>
      <c r="AN599" s="72">
        <f>(AZ599-Driver!$K$183)/(Driver!$L$183-Driver!$K$183)</f>
        <v>8.7499999999999994E-2</v>
      </c>
      <c r="AO599" s="72"/>
      <c r="AP599" s="72"/>
      <c r="AQ599" s="72">
        <f>(BC599-Driver!$K$188)/(Driver!$L$188-Driver!$K$188)</f>
        <v>3.4607526769719281E-2</v>
      </c>
      <c r="AR599" s="72">
        <f>MIN((BD599-Driver!$K$189)/(Driver!$L$189-Driver!$K$189),100%)</f>
        <v>2.9707329669230613E-2</v>
      </c>
      <c r="AS599" s="72">
        <f>(BE599-Driver!$K$190)/(Driver!$L$190-Driver!$K$190)</f>
        <v>6.4096119241605201E-2</v>
      </c>
      <c r="AT599" s="72">
        <f>(BF599-Driver!$K$191)/(Driver!$L$191-Driver!$K$191)</f>
        <v>5.9237249679238303E-2</v>
      </c>
      <c r="AU599" s="72">
        <f>(BG599-Driver!$K$192)/(Driver!$L$192-Driver!$K$192)</f>
        <v>6.0502853067047058E-2</v>
      </c>
      <c r="AV599" s="70">
        <f t="shared" si="356"/>
        <v>6.6883733550400208</v>
      </c>
      <c r="AW599" s="70">
        <f t="shared" si="357"/>
        <v>12.180470134135225</v>
      </c>
      <c r="AX599" s="70">
        <f t="shared" si="358"/>
        <v>3.9897552646556633</v>
      </c>
      <c r="AY599" s="70">
        <f>IFERROR(Driver!$K$19/Data!BH599/Data!BI599*Data!BK599*Data!BL599,"")</f>
        <v>0.21603132517576429</v>
      </c>
      <c r="AZ599" s="70">
        <f t="shared" si="359"/>
        <v>7.9746835443037973</v>
      </c>
      <c r="BA599" s="70"/>
      <c r="BB599" s="70"/>
      <c r="BC599" s="70">
        <f t="shared" si="360"/>
        <v>17.9511647230763</v>
      </c>
      <c r="BD599" s="70">
        <f t="shared" si="361"/>
        <v>4.3498689215512325</v>
      </c>
      <c r="BE599" s="70">
        <f t="shared" si="362"/>
        <v>6.4263073959885619E-2</v>
      </c>
      <c r="BF599" s="70">
        <f t="shared" si="363"/>
        <v>6.6904311860376593</v>
      </c>
      <c r="BG599" s="70">
        <f t="shared" si="364"/>
        <v>0.2291023983594864</v>
      </c>
      <c r="BH599" s="67">
        <f>MAX((CE599-Driver!$F$200)/(Driver!$G$200-Driver!$F$200)*$BI$1,1)</f>
        <v>3.9897552646556633</v>
      </c>
      <c r="BI599" s="67">
        <f>MAX($BI$1*(BY599-Driver!$F$201)/(Driver!$G$201-Driver!$F$201),1)</f>
        <v>7.5316455696202533</v>
      </c>
      <c r="BJ599" s="67">
        <f>(CB599-Driver!$F$206)/(Driver!$G$206-Driver!$F$206)*$BI$1</f>
        <v>5.3968253968253963</v>
      </c>
      <c r="BK599" s="67">
        <f>(CD599-Driver!$F$203)/(Driver!$G$203-Driver!$F$203)*$BI$1</f>
        <v>5.2293577981651387</v>
      </c>
      <c r="BL599" s="67">
        <f>MAX((CR599-Driver!$F$202)/(Driver!$G$202-Driver!$F$202)*$BI$1,1)</f>
        <v>6.2068965517241379</v>
      </c>
      <c r="BM599" s="67">
        <f>MAX((CH599-Driver!$F$204)/(Driver!$G$204-Driver!$F$204)*$BI$1,1)</f>
        <v>4.9572649572649574</v>
      </c>
      <c r="BN599" s="67">
        <f>(CI599-Driver!$F$205)/(Driver!$G$205-Driver!$F$205)*$BI$1</f>
        <v>1.0588235294117647</v>
      </c>
      <c r="BO599" s="67">
        <f>(CK599-Driver!$F$207)/(Driver!$G$207-Driver!$F$207)*$BI$1</f>
        <v>2.688728024819028</v>
      </c>
      <c r="BP599" s="67">
        <f>(CM599-Driver!$F$208)/(Driver!$G$208-Driver!$F$208)*$BI$1</f>
        <v>2.411111111111111</v>
      </c>
      <c r="BQ599" s="67">
        <f>(CL599-Driver!$F$209)/(Driver!$G$209-Driver!$F$209)*$BI$1</f>
        <v>4.53125</v>
      </c>
      <c r="BR599" s="28" t="s">
        <v>155</v>
      </c>
      <c r="BS599" s="8" t="s">
        <v>227</v>
      </c>
      <c r="BT599" s="9" t="s">
        <v>681</v>
      </c>
      <c r="BU599" s="10">
        <v>188</v>
      </c>
      <c r="BV599" s="9" t="s">
        <v>158</v>
      </c>
      <c r="BW599" s="10">
        <v>188</v>
      </c>
      <c r="BX599" s="10">
        <v>186.1</v>
      </c>
      <c r="BY599" s="10">
        <v>127</v>
      </c>
      <c r="BZ599" s="10">
        <v>154</v>
      </c>
      <c r="CA599" s="10">
        <v>130</v>
      </c>
      <c r="CB599" s="10">
        <v>98</v>
      </c>
      <c r="CC599" s="10">
        <v>120</v>
      </c>
      <c r="CD599" s="10">
        <v>20.8</v>
      </c>
      <c r="CE599" s="10">
        <v>1601</v>
      </c>
      <c r="CF599" s="10">
        <v>1.27</v>
      </c>
      <c r="CG599" s="10">
        <v>2033</v>
      </c>
      <c r="CH599" s="10">
        <v>217</v>
      </c>
      <c r="CI599" s="10">
        <v>51</v>
      </c>
      <c r="CJ599" s="10">
        <v>69</v>
      </c>
      <c r="CK599" s="10">
        <v>370</v>
      </c>
      <c r="CL599" s="10">
        <v>29</v>
      </c>
      <c r="CM599" s="10">
        <v>217</v>
      </c>
      <c r="CN599" s="10">
        <v>0.41299999999999998</v>
      </c>
      <c r="CO599" s="10">
        <v>185</v>
      </c>
      <c r="CP599" s="10">
        <v>137</v>
      </c>
      <c r="CQ599" s="10">
        <v>185</v>
      </c>
      <c r="CR599" s="10">
        <v>7</v>
      </c>
      <c r="CS599" s="10">
        <v>11.8</v>
      </c>
      <c r="CT599" s="9" t="s">
        <v>188</v>
      </c>
      <c r="CU599" s="9" t="s">
        <v>185</v>
      </c>
      <c r="CV599" s="9" t="s">
        <v>198</v>
      </c>
      <c r="CW599" s="10"/>
      <c r="CX599">
        <f>INDEX('Data_Price '!AG$2:AG$1266,MATCH(Data!$DN599,'Data_Price '!$AT$2:$AT$1266,0))</f>
        <v>0</v>
      </c>
      <c r="CY599">
        <f>INDEX('Data_Price '!AH$2:AH$1266,MATCH(Data!$DN599,'Data_Price '!$AT$2:$AT$1266,0))</f>
        <v>0</v>
      </c>
      <c r="CZ599">
        <f>INDEX('Data_Price '!AI$2:AI$1266,MATCH(Data!$DN599,'Data_Price '!$AT$2:$AT$1266,0))</f>
        <v>0</v>
      </c>
      <c r="DA599">
        <f>INDEX('Data_Price '!AJ$2:AJ$1266,MATCH(Data!$DN599,'Data_Price '!$AT$2:$AT$1266,0))</f>
        <v>0</v>
      </c>
      <c r="DB599">
        <f>INDEX('Data_Price '!AK$2:AK$1266,MATCH(Data!$DN599,'Data_Price '!$AT$2:$AT$1266,0))</f>
        <v>0</v>
      </c>
      <c r="DC599">
        <f>INDEX('Data_Price '!AL$2:AL$1266,MATCH(Data!$DN599,'Data_Price '!$AT$2:$AT$1266,0))</f>
        <v>0</v>
      </c>
      <c r="DD599">
        <f>INDEX('Data_Price '!AM$2:AM$1266,MATCH(Data!$DN599,'Data_Price '!$AT$2:$AT$1266,0))</f>
        <v>0</v>
      </c>
      <c r="DE599">
        <f>INDEX('Data_Price '!AN$2:AN$1266,MATCH(Data!$DN599,'Data_Price '!$AT$2:$AT$1266,0))</f>
        <v>0</v>
      </c>
      <c r="DF599">
        <f>INDEX('Data_Price '!AO$2:AO$1266,MATCH(Data!$DN599,'Data_Price '!$AT$2:$AT$1266,0))</f>
        <v>0</v>
      </c>
      <c r="DG599">
        <f>INDEX('Data_Price '!AP$2:AP$1266,MATCH(Data!$DN599,'Data_Price '!$AT$2:$AT$1266,0))</f>
        <v>0</v>
      </c>
      <c r="DH599">
        <f>INDEX('Data_Price '!AQ$2:AQ$1266,MATCH(Data!$DN599,'Data_Price '!$AT$2:$AT$1266,0))</f>
        <v>0</v>
      </c>
      <c r="DI599">
        <f>INDEX('Data_Price '!AR$2:AR$1266,MATCH(Data!$DN599,'Data_Price '!$AT$2:$AT$1266,0))</f>
        <v>0</v>
      </c>
      <c r="DJ599" s="89">
        <f t="shared" si="365"/>
        <v>0</v>
      </c>
      <c r="DK599" s="89">
        <f t="shared" si="366"/>
        <v>0</v>
      </c>
      <c r="DL599" s="89">
        <f t="shared" si="367"/>
        <v>0</v>
      </c>
      <c r="DM599" s="219" t="str">
        <f t="shared" si="368"/>
        <v>Chinook 99</v>
      </c>
      <c r="DN599" s="89" t="str">
        <f t="shared" si="369"/>
        <v xml:space="preserve"> RaccoonChinook 99188 Unisex</v>
      </c>
      <c r="DO599" s="221"/>
    </row>
    <row r="600" spans="2:119" ht="15.6" customHeight="1">
      <c r="B600" s="219" t="b">
        <f t="array" ref="B600">IF(OR(ISERROR(K600:P600)),FALSE,TRUE)</f>
        <v>1</v>
      </c>
      <c r="C600" s="43" t="b">
        <f>OR(BR600=Driver!$G$50,Data!BR1264=Driver!$H$50)</f>
        <v>1</v>
      </c>
      <c r="D600" s="43" t="b">
        <f>OR(BV600=Driver!$G$51,BV600=Driver!$H$51)</f>
        <v>0</v>
      </c>
      <c r="E600" s="43" t="b">
        <f>AND(BX600&gt;Driver!$F$54,BX600&lt;Driver!$G$54)</f>
        <v>1</v>
      </c>
      <c r="F600" s="43" t="b">
        <f>CL600&gt;Driver!$F$56</f>
        <v>1</v>
      </c>
      <c r="G600" s="43" t="b">
        <f>AND(CB600&gt;Driver!$F$55,CB600&lt;Driver!$G$55)</f>
        <v>0</v>
      </c>
      <c r="H600" s="43" t="b">
        <f t="shared" si="333"/>
        <v>0</v>
      </c>
      <c r="I600" s="43">
        <f t="shared" si="334"/>
        <v>0</v>
      </c>
      <c r="J600" s="43" t="b">
        <f t="array" ref="J600">NOT(OR(($H$9:$H$1273=TRUE)*($I$9:$I$1273&gt;0)*($BT$9:$BT$1273=BT600)*($K$9:$K$1273&gt;K600)))</f>
        <v>1</v>
      </c>
      <c r="K600" s="72">
        <f t="shared" si="335"/>
        <v>0.8169575671814111</v>
      </c>
      <c r="L600" s="72">
        <f t="shared" si="336"/>
        <v>0.94310554438743088</v>
      </c>
      <c r="M600" s="72">
        <f t="shared" si="337"/>
        <v>0.69080958997539132</v>
      </c>
      <c r="N600" s="72">
        <f t="shared" si="338"/>
        <v>0.63795539161417425</v>
      </c>
      <c r="O600" s="72">
        <f t="shared" si="339"/>
        <v>0.60868534157831888</v>
      </c>
      <c r="P600" s="72">
        <f t="shared" si="340"/>
        <v>0.82578803673368084</v>
      </c>
      <c r="Q600" s="72"/>
      <c r="R600" s="72"/>
      <c r="S600" s="72">
        <f t="shared" si="341"/>
        <v>0.4640603697132738</v>
      </c>
      <c r="T600" s="72">
        <f t="shared" si="342"/>
        <v>0.51430891271344059</v>
      </c>
      <c r="U600" s="72">
        <f t="shared" si="343"/>
        <v>0.70016659186801089</v>
      </c>
      <c r="V600" s="72">
        <f t="shared" si="344"/>
        <v>0.53665364193790688</v>
      </c>
      <c r="W600" s="72">
        <f t="shared" si="345"/>
        <v>0.78779922296027072</v>
      </c>
      <c r="X600" s="72">
        <f t="shared" si="346"/>
        <v>5.6894455612569089E-2</v>
      </c>
      <c r="Y600" s="72">
        <f t="shared" si="347"/>
        <v>0.30919041002460868</v>
      </c>
      <c r="Z600" s="72">
        <f t="shared" si="348"/>
        <v>0.36204460838582581</v>
      </c>
      <c r="AA600" s="72">
        <f t="shared" si="349"/>
        <v>0.39131465842168112</v>
      </c>
      <c r="AB600" s="72">
        <f t="shared" si="350"/>
        <v>0.17421196326631916</v>
      </c>
      <c r="AC600" s="72"/>
      <c r="AD600" s="72"/>
      <c r="AE600" s="72">
        <f t="shared" si="351"/>
        <v>0.5359396302867262</v>
      </c>
      <c r="AF600" s="72">
        <f t="shared" si="352"/>
        <v>0.48569108728655941</v>
      </c>
      <c r="AG600" s="72">
        <f t="shared" si="353"/>
        <v>0.29983340813198917</v>
      </c>
      <c r="AH600" s="72">
        <f t="shared" si="354"/>
        <v>0.46334635806209312</v>
      </c>
      <c r="AI600" s="72">
        <f t="shared" si="355"/>
        <v>0.21220077703972931</v>
      </c>
      <c r="AJ600" s="72">
        <f>(AV600-Driver!$K$179)/(Driver!$L$179-Driver!$K$179)</f>
        <v>0.19732495367013134</v>
      </c>
      <c r="AK600" s="72">
        <f>(AW600-Driver!$K$180)/(Driver!$L$180-Driver!$K$180)</f>
        <v>0.43523241593436524</v>
      </c>
      <c r="AL600" s="72">
        <f>(AX600-Driver!$K$181)/(Driver!$L$181-Driver!$K$181)</f>
        <v>0.463732372098906</v>
      </c>
      <c r="AM600" s="72">
        <f>(AY600-Driver!$K$182)/(Driver!$L$182-Driver!$K$182)</f>
        <v>5.6070362675365269E-2</v>
      </c>
      <c r="AN600" s="72">
        <f>(AZ600-Driver!$K$183)/(Driver!$L$183-Driver!$K$183)</f>
        <v>0.42843137254901958</v>
      </c>
      <c r="AO600" s="72"/>
      <c r="AP600" s="72"/>
      <c r="AQ600" s="72">
        <f>(BC600-Driver!$K$188)/(Driver!$L$188-Driver!$K$188)</f>
        <v>8.4060369713273755E-2</v>
      </c>
      <c r="AR600" s="72">
        <f>MIN((BD600-Driver!$K$189)/(Driver!$L$189-Driver!$K$189),100%)</f>
        <v>6.4308912713440664E-2</v>
      </c>
      <c r="AS600" s="72">
        <f>(BE600-Driver!$K$190)/(Driver!$L$190-Driver!$K$190)</f>
        <v>0.21016659186801084</v>
      </c>
      <c r="AT600" s="72">
        <f>(BF600-Driver!$K$191)/(Driver!$L$191-Driver!$K$191)</f>
        <v>4.6653641937906894E-2</v>
      </c>
      <c r="AU600" s="72">
        <f>(BG600-Driver!$K$192)/(Driver!$L$192-Driver!$K$192)</f>
        <v>3.7799222960270697E-2</v>
      </c>
      <c r="AV600" s="70">
        <f t="shared" si="356"/>
        <v>4.15309998643332</v>
      </c>
      <c r="AW600" s="70">
        <f t="shared" si="357"/>
        <v>44.289148105788115</v>
      </c>
      <c r="AX600" s="70">
        <f t="shared" si="358"/>
        <v>5.1735913488901542</v>
      </c>
      <c r="AY600" s="70">
        <f>IFERROR(Driver!$K$19/Data!BH600/Data!BI600*Data!BK600*Data!BL600,"")</f>
        <v>6.8646853696175666E-2</v>
      </c>
      <c r="AZ600" s="70">
        <f t="shared" si="359"/>
        <v>39.046909903201787</v>
      </c>
      <c r="BA600" s="70"/>
      <c r="BB600" s="70"/>
      <c r="BC600" s="70">
        <f t="shared" si="360"/>
        <v>43.602698148484635</v>
      </c>
      <c r="BD600" s="70">
        <f t="shared" si="361"/>
        <v>7.4120477105865934</v>
      </c>
      <c r="BE600" s="70">
        <f t="shared" si="362"/>
        <v>0.21030748925806789</v>
      </c>
      <c r="BF600" s="70">
        <f t="shared" si="363"/>
        <v>5.2692010965020248</v>
      </c>
      <c r="BG600" s="70">
        <f t="shared" si="364"/>
        <v>0.14313197142499057</v>
      </c>
      <c r="BH600" s="67">
        <f>MAX((CE600-Driver!$F$200)/(Driver!$G$200-Driver!$F$200)*$BI$1,1)</f>
        <v>5.1735913488901542</v>
      </c>
      <c r="BI600" s="67">
        <f>MAX($BI$1*(BY600-Driver!$F$201)/(Driver!$G$201-Driver!$F$201),1)</f>
        <v>7.2151898734177218</v>
      </c>
      <c r="BJ600" s="67">
        <f>(CB600-Driver!$F$206)/(Driver!$G$206-Driver!$F$206)*$BI$1</f>
        <v>4.92063492063492</v>
      </c>
      <c r="BK600" s="67">
        <f>(CD600-Driver!$F$203)/(Driver!$G$203-Driver!$F$203)*$BI$1</f>
        <v>2.4770642201834865</v>
      </c>
      <c r="BL600" s="67">
        <f>MAX((CR600-Driver!$F$202)/(Driver!$G$202-Driver!$F$202)*$BI$1,1)</f>
        <v>5.1724137931034484</v>
      </c>
      <c r="BM600" s="67">
        <f>MAX((CH600-Driver!$F$204)/(Driver!$G$204-Driver!$F$204)*$BI$1,1)</f>
        <v>3.3760683760683765</v>
      </c>
      <c r="BN600" s="67">
        <f>(CI600-Driver!$F$205)/(Driver!$G$205-Driver!$F$205)*$BI$1</f>
        <v>5.4117647058823524</v>
      </c>
      <c r="BO600" s="67">
        <f>(CK600-Driver!$F$207)/(Driver!$G$207-Driver!$F$207)*$BI$1</f>
        <v>1.3960703205791105</v>
      </c>
      <c r="BP600" s="67">
        <f>(CM600-Driver!$F$208)/(Driver!$G$208-Driver!$F$208)*$BI$1</f>
        <v>1.9</v>
      </c>
      <c r="BQ600" s="67">
        <f>(CL600-Driver!$F$209)/(Driver!$G$209-Driver!$F$209)*$BI$1</f>
        <v>2.5</v>
      </c>
      <c r="BR600" s="28" t="s">
        <v>155</v>
      </c>
      <c r="BS600" s="8" t="s">
        <v>229</v>
      </c>
      <c r="BT600" s="9" t="s">
        <v>319</v>
      </c>
      <c r="BU600" s="10">
        <v>163</v>
      </c>
      <c r="BV600" s="9" t="s">
        <v>163</v>
      </c>
      <c r="BW600" s="10">
        <v>163</v>
      </c>
      <c r="BX600" s="10">
        <v>163.19999999999999</v>
      </c>
      <c r="BY600" s="10">
        <v>122</v>
      </c>
      <c r="BZ600" s="10">
        <v>140</v>
      </c>
      <c r="CA600" s="10">
        <v>135</v>
      </c>
      <c r="CB600" s="10">
        <v>95</v>
      </c>
      <c r="CC600" s="10">
        <v>118</v>
      </c>
      <c r="CD600" s="10">
        <v>14.8</v>
      </c>
      <c r="CE600" s="10">
        <v>1809</v>
      </c>
      <c r="CF600" s="10">
        <v>0.97</v>
      </c>
      <c r="CG600" s="10">
        <v>1757</v>
      </c>
      <c r="CH600" s="10">
        <v>180</v>
      </c>
      <c r="CI600" s="10">
        <v>125</v>
      </c>
      <c r="CJ600" s="10">
        <v>43</v>
      </c>
      <c r="CK600" s="10">
        <v>245</v>
      </c>
      <c r="CL600" s="10">
        <v>16</v>
      </c>
      <c r="CM600" s="10">
        <v>171</v>
      </c>
      <c r="CN600" s="10">
        <v>0.36199999999999999</v>
      </c>
      <c r="CO600" s="10">
        <v>130</v>
      </c>
      <c r="CP600" s="10">
        <v>103</v>
      </c>
      <c r="CQ600" s="10">
        <v>115</v>
      </c>
      <c r="CR600" s="10">
        <v>4</v>
      </c>
      <c r="CS600" s="10">
        <v>11.6</v>
      </c>
      <c r="CT600" s="9" t="s">
        <v>188</v>
      </c>
      <c r="CU600" s="10"/>
      <c r="CV600" s="10"/>
      <c r="CW600" s="10"/>
      <c r="CX600" t="e">
        <f>INDEX('Data_Price '!AG$2:AG$1266,MATCH(Data!$DN600,'Data_Price '!$AT$2:$AT$1266,0))</f>
        <v>#N/A</v>
      </c>
      <c r="CY600" t="e">
        <f>INDEX('Data_Price '!AH$2:AH$1266,MATCH(Data!$DN600,'Data_Price '!$AT$2:$AT$1266,0))</f>
        <v>#N/A</v>
      </c>
      <c r="CZ600" t="e">
        <f>INDEX('Data_Price '!AI$2:AI$1266,MATCH(Data!$DN600,'Data_Price '!$AT$2:$AT$1266,0))</f>
        <v>#N/A</v>
      </c>
      <c r="DA600" t="e">
        <f>INDEX('Data_Price '!AJ$2:AJ$1266,MATCH(Data!$DN600,'Data_Price '!$AT$2:$AT$1266,0))</f>
        <v>#N/A</v>
      </c>
      <c r="DB600" t="e">
        <f>INDEX('Data_Price '!AK$2:AK$1266,MATCH(Data!$DN600,'Data_Price '!$AT$2:$AT$1266,0))</f>
        <v>#N/A</v>
      </c>
      <c r="DC600" t="e">
        <f>INDEX('Data_Price '!AL$2:AL$1266,MATCH(Data!$DN600,'Data_Price '!$AT$2:$AT$1266,0))</f>
        <v>#N/A</v>
      </c>
      <c r="DD600" t="e">
        <f>INDEX('Data_Price '!AM$2:AM$1266,MATCH(Data!$DN600,'Data_Price '!$AT$2:$AT$1266,0))</f>
        <v>#N/A</v>
      </c>
      <c r="DE600" t="e">
        <f>INDEX('Data_Price '!AN$2:AN$1266,MATCH(Data!$DN600,'Data_Price '!$AT$2:$AT$1266,0))</f>
        <v>#N/A</v>
      </c>
      <c r="DF600" t="e">
        <f>INDEX('Data_Price '!AO$2:AO$1266,MATCH(Data!$DN600,'Data_Price '!$AT$2:$AT$1266,0))</f>
        <v>#N/A</v>
      </c>
      <c r="DG600" t="e">
        <f>INDEX('Data_Price '!AP$2:AP$1266,MATCH(Data!$DN600,'Data_Price '!$AT$2:$AT$1266,0))</f>
        <v>#N/A</v>
      </c>
      <c r="DH600" t="e">
        <f>INDEX('Data_Price '!AQ$2:AQ$1266,MATCH(Data!$DN600,'Data_Price '!$AT$2:$AT$1266,0))</f>
        <v>#N/A</v>
      </c>
      <c r="DI600" t="e">
        <f>INDEX('Data_Price '!AR$2:AR$1266,MATCH(Data!$DN600,'Data_Price '!$AT$2:$AT$1266,0))</f>
        <v>#N/A</v>
      </c>
      <c r="DJ600" s="89" t="e">
        <f t="shared" si="365"/>
        <v>#N/A</v>
      </c>
      <c r="DK600" s="89" t="e">
        <f t="shared" si="366"/>
        <v>#N/A</v>
      </c>
      <c r="DL600" s="89" t="e">
        <f t="shared" si="367"/>
        <v>#N/A</v>
      </c>
      <c r="DM600" s="219" t="str">
        <f t="shared" si="368"/>
        <v>Secret 96</v>
      </c>
      <c r="DN600" s="89" t="str">
        <f t="shared" si="369"/>
        <v xml:space="preserve"> VölklSecret 96163 Women's</v>
      </c>
      <c r="DO600" s="221" t="s">
        <v>320</v>
      </c>
    </row>
    <row r="601" spans="2:119" ht="15.6" customHeight="1">
      <c r="B601" s="219" t="b">
        <f t="array" ref="B601">IF(OR(ISERROR(K601:P601)),FALSE,TRUE)</f>
        <v>1</v>
      </c>
      <c r="C601" s="43" t="b">
        <f>OR(BR601=Driver!$G$50,Data!BR1073=Driver!$H$50)</f>
        <v>1</v>
      </c>
      <c r="D601" s="43" t="b">
        <f>OR(BV601=Driver!$G$51,BV601=Driver!$H$51)</f>
        <v>1</v>
      </c>
      <c r="E601" s="43" t="b">
        <f>AND(BX601&gt;Driver!$F$54,BX601&lt;Driver!$G$54)</f>
        <v>0</v>
      </c>
      <c r="F601" s="43" t="b">
        <f>CL601&gt;Driver!$F$56</f>
        <v>1</v>
      </c>
      <c r="G601" s="43" t="b">
        <f>AND(CB601&gt;Driver!$F$55,CB601&lt;Driver!$G$55)</f>
        <v>0</v>
      </c>
      <c r="H601" s="43" t="b">
        <f t="shared" si="333"/>
        <v>0</v>
      </c>
      <c r="I601" s="43">
        <f t="shared" si="334"/>
        <v>0</v>
      </c>
      <c r="J601" s="43" t="b">
        <f t="array" ref="J601">NOT(OR(($H$9:$H$1273=TRUE)*($I$9:$I$1273&gt;0)*($BT$9:$BT$1273=BT601)*($K$9:$K$1273&gt;K601)))</f>
        <v>1</v>
      </c>
      <c r="K601" s="72">
        <f t="shared" si="335"/>
        <v>0.80298620445871272</v>
      </c>
      <c r="L601" s="72">
        <f t="shared" si="336"/>
        <v>0.93877343393824786</v>
      </c>
      <c r="M601" s="72">
        <f t="shared" si="337"/>
        <v>0.66719897497917757</v>
      </c>
      <c r="N601" s="72">
        <f t="shared" si="338"/>
        <v>0.51590391498102428</v>
      </c>
      <c r="O601" s="72">
        <f t="shared" si="339"/>
        <v>0.63894909086988627</v>
      </c>
      <c r="P601" s="72">
        <f t="shared" si="340"/>
        <v>0.84674391908662194</v>
      </c>
      <c r="Q601" s="72"/>
      <c r="R601" s="72"/>
      <c r="S601" s="72">
        <f t="shared" si="341"/>
        <v>0.5132588351093107</v>
      </c>
      <c r="T601" s="72">
        <f t="shared" si="342"/>
        <v>0.62313151949462764</v>
      </c>
      <c r="U601" s="72">
        <f t="shared" si="343"/>
        <v>0.76064072186102138</v>
      </c>
      <c r="V601" s="72">
        <f t="shared" si="344"/>
        <v>0.51839954172586922</v>
      </c>
      <c r="W601" s="72">
        <f t="shared" si="345"/>
        <v>0.76167876588021777</v>
      </c>
      <c r="X601" s="72">
        <f t="shared" si="346"/>
        <v>6.1226566061752086E-2</v>
      </c>
      <c r="Y601" s="72">
        <f t="shared" si="347"/>
        <v>0.33280102502082248</v>
      </c>
      <c r="Z601" s="72">
        <f t="shared" si="348"/>
        <v>0.48409608501897572</v>
      </c>
      <c r="AA601" s="72">
        <f t="shared" si="349"/>
        <v>0.36105090913011367</v>
      </c>
      <c r="AB601" s="72">
        <f t="shared" si="350"/>
        <v>0.15325608091337806</v>
      </c>
      <c r="AC601" s="72"/>
      <c r="AD601" s="72"/>
      <c r="AE601" s="72">
        <f t="shared" si="351"/>
        <v>0.4867411648906893</v>
      </c>
      <c r="AF601" s="72">
        <f t="shared" si="352"/>
        <v>0.37686848050537236</v>
      </c>
      <c r="AG601" s="72">
        <f t="shared" si="353"/>
        <v>0.23935927813897867</v>
      </c>
      <c r="AH601" s="72">
        <f t="shared" si="354"/>
        <v>0.48160045827413078</v>
      </c>
      <c r="AI601" s="72">
        <f t="shared" si="355"/>
        <v>0.2383212341197822</v>
      </c>
      <c r="AJ601" s="72">
        <f>(AV601-Driver!$K$179)/(Driver!$L$179-Driver!$K$179)</f>
        <v>0.31544597534445251</v>
      </c>
      <c r="AK601" s="72">
        <f>(AW601-Driver!$K$180)/(Driver!$L$180-Driver!$K$180)</f>
        <v>0.42728662171963538</v>
      </c>
      <c r="AL601" s="72">
        <f>(AX601-Driver!$K$181)/(Driver!$L$181-Driver!$K$181)</f>
        <v>0.58578384873205591</v>
      </c>
      <c r="AM601" s="72">
        <f>(AY601-Driver!$K$182)/(Driver!$L$182-Driver!$K$182)</f>
        <v>8.6334111966932678E-2</v>
      </c>
      <c r="AN601" s="72">
        <f>(AZ601-Driver!$K$183)/(Driver!$L$183-Driver!$K$183)</f>
        <v>0.40747549019607848</v>
      </c>
      <c r="AO601" s="72"/>
      <c r="AP601" s="72"/>
      <c r="AQ601" s="72">
        <f>(BC601-Driver!$K$188)/(Driver!$L$188-Driver!$K$188)</f>
        <v>0.13325883510931066</v>
      </c>
      <c r="AR601" s="72">
        <f>MIN((BD601-Driver!$K$189)/(Driver!$L$189-Driver!$K$189),100%)</f>
        <v>0.17313151949462766</v>
      </c>
      <c r="AS601" s="72">
        <f>(BE601-Driver!$K$190)/(Driver!$L$190-Driver!$K$190)</f>
        <v>0.27064072186102134</v>
      </c>
      <c r="AT601" s="72">
        <f>(BF601-Driver!$K$191)/(Driver!$L$191-Driver!$K$191)</f>
        <v>2.8399541725869209E-2</v>
      </c>
      <c r="AU601" s="72">
        <f>(BG601-Driver!$K$192)/(Driver!$L$192-Driver!$K$192)</f>
        <v>1.1678765880217783E-2</v>
      </c>
      <c r="AV601" s="70">
        <f t="shared" si="356"/>
        <v>6.6391941391941396</v>
      </c>
      <c r="AW601" s="70">
        <f t="shared" si="357"/>
        <v>43.514760052663569</v>
      </c>
      <c r="AX601" s="70">
        <f t="shared" si="358"/>
        <v>6.2720546385885036</v>
      </c>
      <c r="AY601" s="70">
        <f>IFERROR(Driver!$K$19/Data!BH601/Data!BI601*Data!BK601*Data!BL601,"")</f>
        <v>0.10569871266031841</v>
      </c>
      <c r="AZ601" s="70">
        <f t="shared" si="359"/>
        <v>37.137006701414748</v>
      </c>
      <c r="BA601" s="70"/>
      <c r="BB601" s="70"/>
      <c r="BC601" s="70">
        <f t="shared" si="360"/>
        <v>69.122284171591588</v>
      </c>
      <c r="BD601" s="70">
        <f t="shared" si="361"/>
        <v>17.042655588472318</v>
      </c>
      <c r="BE601" s="70">
        <f t="shared" si="362"/>
        <v>0.27077083134695301</v>
      </c>
      <c r="BF601" s="70">
        <f t="shared" si="363"/>
        <v>3.2075287198643672</v>
      </c>
      <c r="BG601" s="70">
        <f t="shared" si="364"/>
        <v>4.4223257869703977E-2</v>
      </c>
      <c r="BH601" s="67">
        <f>MAX((CE601-Driver!$F$200)/(Driver!$G$200-Driver!$F$200)*$BI$1,1)</f>
        <v>6.2720546385885036</v>
      </c>
      <c r="BI601" s="67">
        <f>MAX($BI$1*(BY601-Driver!$F$201)/(Driver!$G$201-Driver!$F$201),1)</f>
        <v>8.4177215189873422</v>
      </c>
      <c r="BJ601" s="67">
        <f>(CB601-Driver!$F$206)/(Driver!$G$206-Driver!$F$206)*$BI$1</f>
        <v>4.2857142857142856</v>
      </c>
      <c r="BK601" s="67">
        <f>(CD601-Driver!$F$203)/(Driver!$G$203-Driver!$F$203)*$BI$1</f>
        <v>3.8532110091743128</v>
      </c>
      <c r="BL601" s="67">
        <f>MAX((CR601-Driver!$F$202)/(Driver!$G$202-Driver!$F$202)*$BI$1,1)</f>
        <v>7.2413793103448274</v>
      </c>
      <c r="BM601" s="67">
        <f>MAX((CH601-Driver!$F$204)/(Driver!$G$204-Driver!$F$204)*$BI$1,1)</f>
        <v>6.1965811965811968</v>
      </c>
      <c r="BN601" s="67">
        <f>(CI601-Driver!$F$205)/(Driver!$G$205-Driver!$F$205)*$BI$1</f>
        <v>4.4117647058823533</v>
      </c>
      <c r="BO601" s="67">
        <f>(CK601-Driver!$F$207)/(Driver!$G$207-Driver!$F$207)*$BI$1</f>
        <v>1.8407445708376422</v>
      </c>
      <c r="BP601" s="67">
        <f>(CM601-Driver!$F$208)/(Driver!$G$208-Driver!$F$208)*$BI$1</f>
        <v>1.5666666666666669</v>
      </c>
      <c r="BQ601" s="67">
        <f>(CL601-Driver!$F$209)/(Driver!$G$209-Driver!$F$209)*$BI$1</f>
        <v>1.71875</v>
      </c>
      <c r="BR601" s="28" t="s">
        <v>155</v>
      </c>
      <c r="BS601" s="8" t="s">
        <v>174</v>
      </c>
      <c r="BT601" s="9" t="s">
        <v>283</v>
      </c>
      <c r="BU601" s="10">
        <v>185</v>
      </c>
      <c r="BV601" s="9" t="s">
        <v>158</v>
      </c>
      <c r="BW601" s="10">
        <v>185</v>
      </c>
      <c r="BX601" s="10">
        <v>184.3</v>
      </c>
      <c r="BY601" s="10">
        <v>141</v>
      </c>
      <c r="BZ601" s="10">
        <v>156</v>
      </c>
      <c r="CA601" s="10">
        <v>132</v>
      </c>
      <c r="CB601" s="10">
        <v>91</v>
      </c>
      <c r="CC601" s="10">
        <v>115</v>
      </c>
      <c r="CD601" s="10">
        <v>17.8</v>
      </c>
      <c r="CE601" s="10">
        <v>2002</v>
      </c>
      <c r="CF601" s="10">
        <v>0.97</v>
      </c>
      <c r="CG601" s="10">
        <v>1932</v>
      </c>
      <c r="CH601" s="10">
        <v>246</v>
      </c>
      <c r="CI601" s="10">
        <v>108</v>
      </c>
      <c r="CJ601" s="10">
        <v>49</v>
      </c>
      <c r="CK601" s="10">
        <v>288</v>
      </c>
      <c r="CL601" s="10">
        <v>11</v>
      </c>
      <c r="CM601" s="10">
        <v>141</v>
      </c>
      <c r="CN601" s="10">
        <v>0.23100000000000001</v>
      </c>
      <c r="CO601" s="10">
        <v>149</v>
      </c>
      <c r="CP601" s="10">
        <v>130</v>
      </c>
      <c r="CQ601" s="10">
        <v>139</v>
      </c>
      <c r="CR601" s="10">
        <v>10</v>
      </c>
      <c r="CS601" s="10">
        <v>10.3</v>
      </c>
      <c r="CT601" s="9" t="s">
        <v>188</v>
      </c>
      <c r="CU601" s="10"/>
      <c r="CV601" s="10"/>
      <c r="CW601" s="10"/>
      <c r="CX601" t="str">
        <f>INDEX('Data_Price '!AG$2:AG$1266,MATCH(Data!$DN601,'Data_Price '!$AT$2:$AT$1266,0))</f>
        <v>Salomon QST 92 Skis</v>
      </c>
      <c r="CY601" t="str">
        <f>INDEX('Data_Price '!AH$2:AH$1266,MATCH(Data!$DN601,'Data_Price '!$AT$2:$AT$1266,0))</f>
        <v>REI</v>
      </c>
      <c r="CZ601">
        <f>INDEX('Data_Price '!AI$2:AI$1266,MATCH(Data!$DN601,'Data_Price '!$AT$2:$AT$1266,0))</f>
        <v>399.93</v>
      </c>
      <c r="DA601" t="str">
        <f>INDEX('Data_Price '!AJ$2:AJ$1266,MATCH(Data!$DN601,'Data_Price '!$AT$2:$AT$1266,0))</f>
        <v>https://tinyurl.com/y9l2fed4</v>
      </c>
      <c r="DB601" t="str">
        <f>INDEX('Data_Price '!AK$2:AK$1266,MATCH(Data!$DN601,'Data_Price '!$AT$2:$AT$1266,0))</f>
        <v>Salomon QST 92 Skis</v>
      </c>
      <c r="DC601" t="str">
        <f>INDEX('Data_Price '!AL$2:AL$1266,MATCH(Data!$DN601,'Data_Price '!$AT$2:$AT$1266,0))</f>
        <v>Level Nine Sports</v>
      </c>
      <c r="DD601">
        <f>INDEX('Data_Price '!AM$2:AM$1266,MATCH(Data!$DN601,'Data_Price '!$AT$2:$AT$1266,0))</f>
        <v>399.99</v>
      </c>
      <c r="DE601" t="str">
        <f>INDEX('Data_Price '!AN$2:AN$1266,MATCH(Data!$DN601,'Data_Price '!$AT$2:$AT$1266,0))</f>
        <v>https://tinyurl.com/y9ogl8xx</v>
      </c>
      <c r="DF601" t="str">
        <f>INDEX('Data_Price '!AO$2:AO$1266,MATCH(Data!$DN601,'Data_Price '!$AT$2:$AT$1266,0))</f>
        <v>Salomon QST 92 Skis - 2022 - 185cm</v>
      </c>
      <c r="DG601" t="str">
        <f>INDEX('Data_Price '!AP$2:AP$1266,MATCH(Data!$DN601,'Data_Price '!$AT$2:$AT$1266,0))</f>
        <v>ColoradoSkiShop.com</v>
      </c>
      <c r="DH601">
        <f>INDEX('Data_Price '!AQ$2:AQ$1266,MATCH(Data!$DN601,'Data_Price '!$AT$2:$AT$1266,0))</f>
        <v>399.99</v>
      </c>
      <c r="DI601" t="str">
        <f>INDEX('Data_Price '!AR$2:AR$1266,MATCH(Data!$DN601,'Data_Price '!$AT$2:$AT$1266,0))</f>
        <v>https://tinyurl.com/yb4cc9yt</v>
      </c>
      <c r="DJ601" s="89" t="str">
        <f t="shared" si="365"/>
        <v>https://tinyurl.com/y9l2fed4</v>
      </c>
      <c r="DK601" s="89" t="str">
        <f t="shared" si="366"/>
        <v>https://tinyurl.com/y9ogl8xx</v>
      </c>
      <c r="DL601" s="89" t="str">
        <f t="shared" si="367"/>
        <v>https://tinyurl.com/yb4cc9yt</v>
      </c>
      <c r="DM601" s="219" t="str">
        <f t="shared" si="368"/>
        <v>QST 92</v>
      </c>
      <c r="DN601" s="89" t="str">
        <f t="shared" si="369"/>
        <v xml:space="preserve"> SalomonQST 92185 Unisex</v>
      </c>
      <c r="DO601" s="221" t="s">
        <v>284</v>
      </c>
    </row>
    <row r="602" spans="2:119" ht="15.6" customHeight="1">
      <c r="B602" s="219" t="b">
        <f t="array" ref="B602">IF(OR(ISERROR(K602:P602)),FALSE,TRUE)</f>
        <v>1</v>
      </c>
      <c r="C602" s="43" t="b">
        <f>OR(BR602=Driver!$G$50,Data!BR379=Driver!$H$50)</f>
        <v>1</v>
      </c>
      <c r="D602" s="43" t="b">
        <f>OR(BV602=Driver!$G$51,BV602=Driver!$H$51)</f>
        <v>1</v>
      </c>
      <c r="E602" s="43" t="b">
        <f>AND(BX602&gt;Driver!$F$54,BX602&lt;Driver!$G$54)</f>
        <v>0</v>
      </c>
      <c r="F602" s="43" t="b">
        <f>CL602&gt;Driver!$F$56</f>
        <v>1</v>
      </c>
      <c r="G602" s="43" t="b">
        <f>AND(CB602&gt;Driver!$F$55,CB602&lt;Driver!$G$55)</f>
        <v>0</v>
      </c>
      <c r="H602" s="43" t="b">
        <f t="shared" si="333"/>
        <v>0</v>
      </c>
      <c r="I602" s="43">
        <f t="shared" si="334"/>
        <v>0</v>
      </c>
      <c r="J602" s="43" t="b">
        <f t="array" ref="J602">NOT(OR(($H$9:$H$1273=TRUE)*($I$9:$I$1273&gt;0)*($BT$9:$BT$1273=BT602)*($K$9:$K$1273&gt;K602)))</f>
        <v>1</v>
      </c>
      <c r="K602" s="72">
        <f t="shared" si="335"/>
        <v>0.82402016141688939</v>
      </c>
      <c r="L602" s="72">
        <f t="shared" si="336"/>
        <v>0.92304269691341589</v>
      </c>
      <c r="M602" s="72">
        <f t="shared" si="337"/>
        <v>0.72499762592036288</v>
      </c>
      <c r="N602" s="72">
        <f t="shared" si="338"/>
        <v>0.54183194887718567</v>
      </c>
      <c r="O602" s="72">
        <f t="shared" si="339"/>
        <v>0.63915393790185604</v>
      </c>
      <c r="P602" s="72">
        <f t="shared" si="340"/>
        <v>0.99400699098204692</v>
      </c>
      <c r="Q602" s="72"/>
      <c r="R602" s="72"/>
      <c r="S602" s="72">
        <f t="shared" si="341"/>
        <v>0.50241749207039699</v>
      </c>
      <c r="T602" s="72">
        <f t="shared" si="342"/>
        <v>0.54740874198042011</v>
      </c>
      <c r="U602" s="72">
        <f t="shared" si="343"/>
        <v>0.83453243955361567</v>
      </c>
      <c r="V602" s="72">
        <f t="shared" si="344"/>
        <v>0.4995070174529338</v>
      </c>
      <c r="W602" s="72">
        <f t="shared" si="345"/>
        <v>0.76162882357981321</v>
      </c>
      <c r="X602" s="72">
        <f t="shared" si="346"/>
        <v>7.6957303086584078E-2</v>
      </c>
      <c r="Y602" s="72">
        <f t="shared" si="347"/>
        <v>0.27500237407963712</v>
      </c>
      <c r="Z602" s="72">
        <f t="shared" si="348"/>
        <v>0.45816805112281433</v>
      </c>
      <c r="AA602" s="72">
        <f t="shared" si="349"/>
        <v>0.3608460620981439</v>
      </c>
      <c r="AB602" s="72">
        <f t="shared" si="350"/>
        <v>5.9930090179530771E-3</v>
      </c>
      <c r="AC602" s="72"/>
      <c r="AD602" s="72"/>
      <c r="AE602" s="72">
        <f t="shared" si="351"/>
        <v>0.49758250792960296</v>
      </c>
      <c r="AF602" s="72">
        <f t="shared" si="352"/>
        <v>0.45259125801957995</v>
      </c>
      <c r="AG602" s="72">
        <f t="shared" si="353"/>
        <v>0.16546756044638433</v>
      </c>
      <c r="AH602" s="72">
        <f t="shared" si="354"/>
        <v>0.5004929825470662</v>
      </c>
      <c r="AI602" s="72">
        <f t="shared" si="355"/>
        <v>0.23837117642018679</v>
      </c>
      <c r="AJ602" s="72">
        <f>(AV602-Driver!$K$179)/(Driver!$L$179-Driver!$K$179)</f>
        <v>0.17726210619611635</v>
      </c>
      <c r="AK602" s="72">
        <f>(AW602-Driver!$K$180)/(Driver!$L$180-Driver!$K$180)</f>
        <v>0.28718087954223093</v>
      </c>
      <c r="AL602" s="72">
        <f>(AX602-Driver!$K$181)/(Driver!$L$181-Driver!$K$181)</f>
        <v>0.55985581483589453</v>
      </c>
      <c r="AM602" s="72">
        <f>(AY602-Driver!$K$182)/(Driver!$L$182-Driver!$K$182)</f>
        <v>8.653895899890246E-2</v>
      </c>
      <c r="AN602" s="72">
        <f>(AZ602-Driver!$K$183)/(Driver!$L$183-Driver!$K$183)</f>
        <v>0.2602124183006535</v>
      </c>
      <c r="AO602" s="72"/>
      <c r="AP602" s="72"/>
      <c r="AQ602" s="72">
        <f>(BC602-Driver!$K$188)/(Driver!$L$188-Driver!$K$188)</f>
        <v>0.12241749207039702</v>
      </c>
      <c r="AR602" s="72">
        <f>MIN((BD602-Driver!$K$189)/(Driver!$L$189-Driver!$K$189),100%)</f>
        <v>9.7408741980420099E-2</v>
      </c>
      <c r="AS602" s="72">
        <f>(BE602-Driver!$K$190)/(Driver!$L$190-Driver!$K$190)</f>
        <v>0.67546756044638434</v>
      </c>
      <c r="AT602" s="72">
        <f>(BF602-Driver!$K$191)/(Driver!$L$191-Driver!$K$191)</f>
        <v>9.5070174529337942E-3</v>
      </c>
      <c r="AU602" s="72">
        <f>(BG602-Driver!$K$192)/(Driver!$L$192-Driver!$K$192)</f>
        <v>1.162882357981321E-2</v>
      </c>
      <c r="AV602" s="70">
        <f t="shared" si="356"/>
        <v>3.7308370641703976</v>
      </c>
      <c r="AW602" s="70">
        <f t="shared" si="357"/>
        <v>29.860214014307733</v>
      </c>
      <c r="AX602" s="70">
        <f t="shared" si="358"/>
        <v>6.0387023335230507</v>
      </c>
      <c r="AY602" s="70">
        <f>IFERROR(Driver!$K$19/Data!BH602/Data!BI602*Data!BK602*Data!BL602,"")</f>
        <v>0.10594950654790465</v>
      </c>
      <c r="AZ602" s="70">
        <f t="shared" si="359"/>
        <v>23.715562174236776</v>
      </c>
      <c r="BA602" s="70"/>
      <c r="BB602" s="70"/>
      <c r="BC602" s="70">
        <f t="shared" si="360"/>
        <v>63.498804169513015</v>
      </c>
      <c r="BD602" s="70">
        <f t="shared" si="361"/>
        <v>10.341323951287281</v>
      </c>
      <c r="BE602" s="70">
        <f t="shared" si="362"/>
        <v>0.67552545338083247</v>
      </c>
      <c r="BF602" s="70">
        <f t="shared" si="363"/>
        <v>1.073750830731182</v>
      </c>
      <c r="BG602" s="70">
        <f t="shared" si="364"/>
        <v>4.40341444606289E-2</v>
      </c>
      <c r="BH602" s="67">
        <f>MAX((CE602-Driver!$F$200)/(Driver!$G$200-Driver!$F$200)*$BI$1,1)</f>
        <v>6.0387023335230507</v>
      </c>
      <c r="BI602" s="67">
        <f>MAX($BI$1*(BY602-Driver!$F$201)/(Driver!$G$201-Driver!$F$201),1)</f>
        <v>8.2278481012658222</v>
      </c>
      <c r="BJ602" s="67">
        <f>(CB602-Driver!$F$206)/(Driver!$G$206-Driver!$F$206)*$BI$1</f>
        <v>3.1746031746031744</v>
      </c>
      <c r="BK602" s="67">
        <f>(CD602-Driver!$F$203)/(Driver!$G$203-Driver!$F$203)*$BI$1</f>
        <v>4.7706422018348631</v>
      </c>
      <c r="BL602" s="67">
        <f>MAX((CR602-Driver!$F$202)/(Driver!$G$202-Driver!$F$202)*$BI$1,1)</f>
        <v>5.5172413793103452</v>
      </c>
      <c r="BM602" s="67">
        <f>MAX((CH602-Driver!$F$204)/(Driver!$G$204-Driver!$F$204)*$BI$1,1)</f>
        <v>4.700854700854701</v>
      </c>
      <c r="BN602" s="67">
        <f>(CI602-Driver!$F$205)/(Driver!$G$205-Driver!$F$205)*$BI$1</f>
        <v>2.8823529411764701</v>
      </c>
      <c r="BO602" s="67">
        <f>(CK602-Driver!$F$207)/(Driver!$G$207-Driver!$F$207)*$BI$1</f>
        <v>1.5615305067218201</v>
      </c>
      <c r="BP602" s="67">
        <f>(CM602-Driver!$F$208)/(Driver!$G$208-Driver!$F$208)*$BI$1</f>
        <v>1.0333333333333332</v>
      </c>
      <c r="BQ602" s="67">
        <f>(CL602-Driver!$F$209)/(Driver!$G$209-Driver!$F$209)*$BI$1</f>
        <v>1.25</v>
      </c>
      <c r="BR602" s="28" t="s">
        <v>155</v>
      </c>
      <c r="BS602" s="8" t="s">
        <v>329</v>
      </c>
      <c r="BT602" s="9" t="s">
        <v>682</v>
      </c>
      <c r="BU602" s="10">
        <v>174</v>
      </c>
      <c r="BV602" s="9" t="s">
        <v>158</v>
      </c>
      <c r="BW602" s="10">
        <v>174</v>
      </c>
      <c r="BX602" s="10">
        <v>173.4</v>
      </c>
      <c r="BY602" s="10">
        <v>138</v>
      </c>
      <c r="BZ602" s="10">
        <v>146</v>
      </c>
      <c r="CA602" s="10">
        <v>115</v>
      </c>
      <c r="CB602" s="10">
        <v>84</v>
      </c>
      <c r="CC602" s="10">
        <v>104</v>
      </c>
      <c r="CD602" s="10">
        <v>19.8</v>
      </c>
      <c r="CE602" s="10">
        <v>1961</v>
      </c>
      <c r="CF602" s="10">
        <v>0.84</v>
      </c>
      <c r="CG602" s="10">
        <v>1638</v>
      </c>
      <c r="CH602" s="10">
        <v>211</v>
      </c>
      <c r="CI602" s="10">
        <v>82</v>
      </c>
      <c r="CJ602" s="10">
        <v>50</v>
      </c>
      <c r="CK602" s="10">
        <v>261</v>
      </c>
      <c r="CL602" s="10">
        <v>8</v>
      </c>
      <c r="CM602" s="10">
        <v>93</v>
      </c>
      <c r="CN602" s="10">
        <v>0.16500000000000001</v>
      </c>
      <c r="CO602" s="10">
        <v>196</v>
      </c>
      <c r="CP602" s="10">
        <v>83</v>
      </c>
      <c r="CQ602" s="10">
        <v>65</v>
      </c>
      <c r="CR602" s="10">
        <v>5</v>
      </c>
      <c r="CS602" s="10">
        <v>11.8</v>
      </c>
      <c r="CT602" s="9" t="s">
        <v>349</v>
      </c>
      <c r="CU602" s="9" t="s">
        <v>231</v>
      </c>
      <c r="CV602" s="9" t="s">
        <v>188</v>
      </c>
      <c r="CW602" s="10"/>
      <c r="CX602" t="str">
        <f>INDEX('Data_Price '!AG$2:AG$1266,MATCH(Data!$DN602,'Data_Price '!$AT$2:$AT$1266,0))</f>
        <v>Dynafit Seven Summits Ski Blue, Mens/Womens Backcountry Skis, Size 174 cm - Color Blue - Red</v>
      </c>
      <c r="CY602" t="str">
        <f>INDEX('Data_Price '!AH$2:AH$1266,MATCH(Data!$DN602,'Data_Price '!$AT$2:$AT$1266,0))</f>
        <v>eXXpozed.com</v>
      </c>
      <c r="CZ602">
        <f>INDEX('Data_Price '!AI$2:AI$1266,MATCH(Data!$DN602,'Data_Price '!$AT$2:$AT$1266,0))</f>
        <v>397.04</v>
      </c>
      <c r="DA602" t="str">
        <f>INDEX('Data_Price '!AJ$2:AJ$1266,MATCH(Data!$DN602,'Data_Price '!$AT$2:$AT$1266,0))</f>
        <v>https://tinyurl.com/yd3oqxhr</v>
      </c>
      <c r="DB602" t="str">
        <f>INDEX('Data_Price '!AK$2:AK$1266,MATCH(Data!$DN602,'Data_Price '!$AT$2:$AT$1266,0))</f>
        <v>Dynafit Seven Summits Set Ski Grey/Red, 174cm</v>
      </c>
      <c r="DC602" t="str">
        <f>INDEX('Data_Price '!AL$2:AL$1266,MATCH(Data!$DN602,'Data_Price '!$AT$2:$AT$1266,0))</f>
        <v>Next Adventure</v>
      </c>
      <c r="DD602">
        <f>INDEX('Data_Price '!AM$2:AM$1266,MATCH(Data!$DN602,'Data_Price '!$AT$2:$AT$1266,0))</f>
        <v>594.97</v>
      </c>
      <c r="DE602" t="str">
        <f>INDEX('Data_Price '!AN$2:AN$1266,MATCH(Data!$DN602,'Data_Price '!$AT$2:$AT$1266,0))</f>
        <v>https://tinyurl.com/ybra7q2r</v>
      </c>
      <c r="DF602" t="str">
        <f>INDEX('Data_Price '!AO$2:AO$1266,MATCH(Data!$DN602,'Data_Price '!$AT$2:$AT$1266,0))</f>
        <v>Dynafit Seven Summits+ Touring Skis 174</v>
      </c>
      <c r="DG602" t="str">
        <f>INDEX('Data_Price '!AP$2:AP$1266,MATCH(Data!$DN602,'Data_Price '!$AT$2:$AT$1266,0))</f>
        <v>Snowinn.com</v>
      </c>
      <c r="DH602">
        <f>INDEX('Data_Price '!AQ$2:AQ$1266,MATCH(Data!$DN602,'Data_Price '!$AT$2:$AT$1266,0))</f>
        <v>353.49</v>
      </c>
      <c r="DI602" t="str">
        <f>INDEX('Data_Price '!AR$2:AR$1266,MATCH(Data!$DN602,'Data_Price '!$AT$2:$AT$1266,0))</f>
        <v>https://tinyurl.com/y8esxjgp</v>
      </c>
      <c r="DJ602" s="89" t="str">
        <f t="shared" si="365"/>
        <v>https://tinyurl.com/yd3oqxhr</v>
      </c>
      <c r="DK602" s="89" t="str">
        <f t="shared" si="366"/>
        <v>https://tinyurl.com/ybra7q2r</v>
      </c>
      <c r="DL602" s="89" t="str">
        <f t="shared" si="367"/>
        <v>https://tinyurl.com/y8esxjgp</v>
      </c>
      <c r="DM602" s="219" t="str">
        <f t="shared" si="368"/>
        <v>Seven Summits</v>
      </c>
      <c r="DN602" s="89" t="str">
        <f t="shared" si="369"/>
        <v xml:space="preserve"> DynafitSeven Summits174 Unisex</v>
      </c>
      <c r="DO602" s="221" t="s">
        <v>683</v>
      </c>
    </row>
    <row r="603" spans="2:119" ht="15.6" customHeight="1">
      <c r="B603" s="219" t="b">
        <f t="array" ref="B603">IF(OR(ISERROR(K603:P603)),FALSE,TRUE)</f>
        <v>1</v>
      </c>
      <c r="C603" s="43" t="b">
        <f>OR(BR603=Driver!$G$50,Data!BR1111=Driver!$H$50)</f>
        <v>1</v>
      </c>
      <c r="D603" s="43" t="b">
        <f>OR(BV603=Driver!$G$51,BV603=Driver!$H$51)</f>
        <v>1</v>
      </c>
      <c r="E603" s="43" t="b">
        <f>AND(BX603&gt;Driver!$F$54,BX603&lt;Driver!$G$54)</f>
        <v>0</v>
      </c>
      <c r="F603" s="43" t="b">
        <f>CL603&gt;Driver!$F$56</f>
        <v>1</v>
      </c>
      <c r="G603" s="43" t="b">
        <f>AND(CB603&gt;Driver!$F$55,CB603&lt;Driver!$G$55)</f>
        <v>0</v>
      </c>
      <c r="H603" s="43" t="b">
        <f t="shared" si="333"/>
        <v>0</v>
      </c>
      <c r="I603" s="43">
        <f t="shared" si="334"/>
        <v>0</v>
      </c>
      <c r="J603" s="43" t="b">
        <f t="array" ref="J603">NOT(OR(($H$9:$H$1273=TRUE)*($I$9:$I$1273&gt;0)*($BT$9:$BT$1273=BT603)*($K$9:$K$1273&gt;K603)))</f>
        <v>1</v>
      </c>
      <c r="K603" s="72">
        <f t="shared" si="335"/>
        <v>0.82467171804169448</v>
      </c>
      <c r="L603" s="72">
        <f t="shared" si="336"/>
        <v>0.94060776016375836</v>
      </c>
      <c r="M603" s="72">
        <f t="shared" si="337"/>
        <v>0.70873567591963083</v>
      </c>
      <c r="N603" s="72">
        <f t="shared" si="338"/>
        <v>0.60443866487035591</v>
      </c>
      <c r="O603" s="72">
        <f t="shared" si="339"/>
        <v>0.6638724830176006</v>
      </c>
      <c r="P603" s="72">
        <f t="shared" si="340"/>
        <v>0.85789587987093574</v>
      </c>
      <c r="Q603" s="72"/>
      <c r="R603" s="72"/>
      <c r="S603" s="72">
        <f t="shared" si="341"/>
        <v>0.515361133101091</v>
      </c>
      <c r="T603" s="72">
        <f t="shared" si="342"/>
        <v>0.49758802462545504</v>
      </c>
      <c r="U603" s="72">
        <f t="shared" si="343"/>
        <v>0.99382361401810315</v>
      </c>
      <c r="V603" s="72">
        <f t="shared" si="344"/>
        <v>0.51336339157293609</v>
      </c>
      <c r="W603" s="72">
        <f t="shared" si="345"/>
        <v>0.76808731808731812</v>
      </c>
      <c r="X603" s="72">
        <f t="shared" si="346"/>
        <v>5.93922398362417E-2</v>
      </c>
      <c r="Y603" s="72">
        <f t="shared" si="347"/>
        <v>0.29126432408036923</v>
      </c>
      <c r="Z603" s="72">
        <f t="shared" si="348"/>
        <v>0.39556133512964409</v>
      </c>
      <c r="AA603" s="72">
        <f t="shared" si="349"/>
        <v>0.3361275169823994</v>
      </c>
      <c r="AB603" s="72">
        <f t="shared" si="350"/>
        <v>0.14210412012906426</v>
      </c>
      <c r="AC603" s="72"/>
      <c r="AD603" s="72"/>
      <c r="AE603" s="72">
        <f t="shared" si="351"/>
        <v>0.48463886689890895</v>
      </c>
      <c r="AF603" s="72">
        <f t="shared" si="352"/>
        <v>0.50241197537454496</v>
      </c>
      <c r="AG603" s="72">
        <f t="shared" si="353"/>
        <v>6.1763859818968481E-3</v>
      </c>
      <c r="AH603" s="72">
        <f t="shared" si="354"/>
        <v>0.48663660842706385</v>
      </c>
      <c r="AI603" s="72">
        <f t="shared" si="355"/>
        <v>0.23191268191268191</v>
      </c>
      <c r="AJ603" s="72">
        <f>(AV603-Driver!$K$179)/(Driver!$L$179-Driver!$K$179)</f>
        <v>0.19482716944645873</v>
      </c>
      <c r="AK603" s="72">
        <f>(AW603-Driver!$K$180)/(Driver!$L$180-Driver!$K$180)</f>
        <v>0.4089950030803115</v>
      </c>
      <c r="AL603" s="72">
        <f>(AX603-Driver!$K$181)/(Driver!$L$181-Driver!$K$181)</f>
        <v>0.49724909884272428</v>
      </c>
      <c r="AM603" s="72">
        <f>(AY603-Driver!$K$182)/(Driver!$L$182-Driver!$K$182)</f>
        <v>0.11125750411464699</v>
      </c>
      <c r="AN603" s="72">
        <f>(AZ603-Driver!$K$183)/(Driver!$L$183-Driver!$K$183)</f>
        <v>0.39632352941176469</v>
      </c>
      <c r="AO603" s="72"/>
      <c r="AP603" s="72"/>
      <c r="AQ603" s="72">
        <f>(BC603-Driver!$K$188)/(Driver!$L$188-Driver!$K$188)</f>
        <v>0.13536113310109105</v>
      </c>
      <c r="AR603" s="72">
        <f>MIN((BD603-Driver!$K$189)/(Driver!$L$189-Driver!$K$189),100%)</f>
        <v>4.7588024625455055E-2</v>
      </c>
      <c r="AS603" s="72">
        <f>(BE603-Driver!$K$190)/(Driver!$L$190-Driver!$K$190)</f>
        <v>0.50382361401810316</v>
      </c>
      <c r="AT603" s="72">
        <f>(BF603-Driver!$K$191)/(Driver!$L$191-Driver!$K$191)</f>
        <v>2.336339157293613E-2</v>
      </c>
      <c r="AU603" s="72">
        <f>(BG603-Driver!$K$192)/(Driver!$L$192-Driver!$K$192)</f>
        <v>1.8087318087318088E-2</v>
      </c>
      <c r="AV603" s="70">
        <f t="shared" si="356"/>
        <v>4.1005291005290996</v>
      </c>
      <c r="AW603" s="70">
        <f t="shared" si="357"/>
        <v>41.732079736032148</v>
      </c>
      <c r="AX603" s="70">
        <f t="shared" si="358"/>
        <v>5.4752418895845185</v>
      </c>
      <c r="AY603" s="70">
        <f>IFERROR(Driver!$K$19/Data!BH603/Data!BI603*Data!BK603*Data!BL603,"")</f>
        <v>0.13621238107160291</v>
      </c>
      <c r="AZ603" s="70">
        <f t="shared" si="359"/>
        <v>36.120625465376023</v>
      </c>
      <c r="BA603" s="70"/>
      <c r="BB603" s="70"/>
      <c r="BC603" s="70">
        <f t="shared" si="360"/>
        <v>70.212760754866608</v>
      </c>
      <c r="BD603" s="70">
        <f t="shared" si="361"/>
        <v>5.9322787424603982</v>
      </c>
      <c r="BE603" s="70">
        <f t="shared" si="362"/>
        <v>0.50391212630065918</v>
      </c>
      <c r="BF603" s="70">
        <f t="shared" si="363"/>
        <v>2.6387309410478226</v>
      </c>
      <c r="BG603" s="70">
        <f t="shared" si="364"/>
        <v>6.8490124740124753E-2</v>
      </c>
      <c r="BH603" s="67">
        <f>MAX((CE603-Driver!$F$200)/(Driver!$G$200-Driver!$F$200)*$BI$1,1)</f>
        <v>5.4752418895845185</v>
      </c>
      <c r="BI603" s="67">
        <f>MAX($BI$1*(BY603-Driver!$F$201)/(Driver!$G$201-Driver!$F$201),1)</f>
        <v>7.9746835443037973</v>
      </c>
      <c r="BJ603" s="67">
        <f>(CB603-Driver!$F$206)/(Driver!$G$206-Driver!$F$206)*$BI$1</f>
        <v>4.92063492063492</v>
      </c>
      <c r="BK603" s="67">
        <f>(CD603-Driver!$F$203)/(Driver!$G$203-Driver!$F$203)*$BI$1</f>
        <v>4.3119266055045884</v>
      </c>
      <c r="BL603" s="67">
        <f>MAX((CR603-Driver!$F$202)/(Driver!$G$202-Driver!$F$202)*$BI$1,1)</f>
        <v>6.8965517241379315</v>
      </c>
      <c r="BM603" s="67">
        <f>MAX((CH603-Driver!$F$204)/(Driver!$G$204-Driver!$F$204)*$BI$1,1)</f>
        <v>3.333333333333333</v>
      </c>
      <c r="BN603" s="67">
        <f>(CI603-Driver!$F$205)/(Driver!$G$205-Driver!$F$205)*$BI$1</f>
        <v>4.5294117647058822</v>
      </c>
      <c r="BO603" s="67">
        <f>(CK603-Driver!$F$207)/(Driver!$G$207-Driver!$F$207)*$BI$1</f>
        <v>1.2099276111685624</v>
      </c>
      <c r="BP603" s="67">
        <f>(CM603-Driver!$F$208)/(Driver!$G$208-Driver!$F$208)*$BI$1</f>
        <v>1.9111111111111112</v>
      </c>
      <c r="BQ603" s="67">
        <f>(CL603-Driver!$F$209)/(Driver!$G$209-Driver!$F$209)*$BI$1</f>
        <v>1.25</v>
      </c>
      <c r="BR603" s="28" t="s">
        <v>155</v>
      </c>
      <c r="BS603" s="8" t="s">
        <v>174</v>
      </c>
      <c r="BT603" s="9" t="s">
        <v>516</v>
      </c>
      <c r="BU603" s="10">
        <v>176</v>
      </c>
      <c r="BV603" s="9" t="s">
        <v>158</v>
      </c>
      <c r="BW603" s="10">
        <v>176</v>
      </c>
      <c r="BX603" s="10">
        <v>174.3</v>
      </c>
      <c r="BY603" s="10">
        <v>134</v>
      </c>
      <c r="BZ603" s="10">
        <v>145</v>
      </c>
      <c r="CA603" s="10">
        <v>130</v>
      </c>
      <c r="CB603" s="10">
        <v>95</v>
      </c>
      <c r="CC603" s="10">
        <v>112</v>
      </c>
      <c r="CD603" s="10">
        <v>18.8</v>
      </c>
      <c r="CE603" s="10">
        <v>1862</v>
      </c>
      <c r="CF603" s="10">
        <v>1</v>
      </c>
      <c r="CG603" s="10">
        <v>1853</v>
      </c>
      <c r="CH603" s="10">
        <v>179</v>
      </c>
      <c r="CI603" s="10">
        <v>110</v>
      </c>
      <c r="CJ603" s="10">
        <v>48</v>
      </c>
      <c r="CK603" s="10">
        <v>227</v>
      </c>
      <c r="CL603" s="10">
        <v>8</v>
      </c>
      <c r="CM603" s="10">
        <v>172</v>
      </c>
      <c r="CN603" s="10">
        <v>0.16500000000000001</v>
      </c>
      <c r="CO603" s="10">
        <v>165</v>
      </c>
      <c r="CP603" s="10">
        <v>132</v>
      </c>
      <c r="CQ603" s="10">
        <v>63</v>
      </c>
      <c r="CR603" s="10">
        <v>9</v>
      </c>
      <c r="CS603" s="10">
        <v>10</v>
      </c>
      <c r="CT603" s="9" t="s">
        <v>188</v>
      </c>
      <c r="CU603" s="10"/>
      <c r="CV603" s="10"/>
      <c r="CW603" s="10"/>
      <c r="CX603" t="str">
        <f>INDEX('Data_Price '!AG$2:AG$1266,MATCH(Data!$DN603,'Data_Price '!$AT$2:$AT$1266,0))</f>
        <v>Salomon N Stance 96 176cm</v>
      </c>
      <c r="CY603" t="str">
        <f>INDEX('Data_Price '!AH$2:AH$1266,MATCH(Data!$DN603,'Data_Price '!$AT$2:$AT$1266,0))</f>
        <v>Sundance Ski and Board Shop</v>
      </c>
      <c r="CZ603">
        <f>INDEX('Data_Price '!AI$2:AI$1266,MATCH(Data!$DN603,'Data_Price '!$AT$2:$AT$1266,0))</f>
        <v>481.02</v>
      </c>
      <c r="DA603" t="str">
        <f>INDEX('Data_Price '!AJ$2:AJ$1266,MATCH(Data!$DN603,'Data_Price '!$AT$2:$AT$1266,0))</f>
        <v>https://tinyurl.com/y8ojsenq</v>
      </c>
      <c r="DB603" t="str">
        <f>INDEX('Data_Price '!AK$2:AK$1266,MATCH(Data!$DN603,'Data_Price '!$AT$2:$AT$1266,0))</f>
        <v>Salomon Stance 96 Skis</v>
      </c>
      <c r="DC603" t="str">
        <f>INDEX('Data_Price '!AL$2:AL$1266,MATCH(Data!$DN603,'Data_Price '!$AT$2:$AT$1266,0))</f>
        <v>Gorham Bike and Ski</v>
      </c>
      <c r="DD603">
        <f>INDEX('Data_Price '!AM$2:AM$1266,MATCH(Data!$DN603,'Data_Price '!$AT$2:$AT$1266,0))</f>
        <v>489.99</v>
      </c>
      <c r="DE603" t="str">
        <f>INDEX('Data_Price '!AN$2:AN$1266,MATCH(Data!$DN603,'Data_Price '!$AT$2:$AT$1266,0))</f>
        <v>https://tinyurl.com/ycol4fu4</v>
      </c>
      <c r="DF603" t="str">
        <f>INDEX('Data_Price '!AO$2:AO$1266,MATCH(Data!$DN603,'Data_Price '!$AT$2:$AT$1266,0))</f>
        <v>Salomon Stance 96 Skis</v>
      </c>
      <c r="DG603" t="str">
        <f>INDEX('Data_Price '!AP$2:AP$1266,MATCH(Data!$DN603,'Data_Price '!$AT$2:$AT$1266,0))</f>
        <v>Backcountry.com</v>
      </c>
      <c r="DH603">
        <f>INDEX('Data_Price '!AQ$2:AQ$1266,MATCH(Data!$DN603,'Data_Price '!$AT$2:$AT$1266,0))</f>
        <v>559.96</v>
      </c>
      <c r="DI603" t="str">
        <f>INDEX('Data_Price '!AR$2:AR$1266,MATCH(Data!$DN603,'Data_Price '!$AT$2:$AT$1266,0))</f>
        <v>https://tinyurl.com/y7f5a78q</v>
      </c>
      <c r="DJ603" s="89" t="str">
        <f t="shared" si="365"/>
        <v>https://tinyurl.com/y8ojsenq</v>
      </c>
      <c r="DK603" s="89" t="str">
        <f t="shared" si="366"/>
        <v>https://tinyurl.com/ycol4fu4</v>
      </c>
      <c r="DL603" s="89" t="str">
        <f t="shared" si="367"/>
        <v>https://tinyurl.com/y7f5a78q</v>
      </c>
      <c r="DM603" s="219" t="str">
        <f t="shared" si="368"/>
        <v>Stance 96</v>
      </c>
      <c r="DN603" s="89" t="str">
        <f t="shared" si="369"/>
        <v xml:space="preserve"> SalomonStance 96176 Unisex</v>
      </c>
      <c r="DO603" s="221" t="s">
        <v>517</v>
      </c>
    </row>
    <row r="604" spans="2:119" ht="15.6" customHeight="1">
      <c r="B604" s="219" t="b">
        <f t="array" ref="B604">IF(OR(ISERROR(K604:P604)),FALSE,TRUE)</f>
        <v>1</v>
      </c>
      <c r="C604" s="43" t="b">
        <f>OR(BR604=Driver!$G$50,Data!BR620=Driver!$H$50)</f>
        <v>1</v>
      </c>
      <c r="D604" s="43" t="b">
        <f>OR(BV604=Driver!$G$51,BV604=Driver!$H$51)</f>
        <v>1</v>
      </c>
      <c r="E604" s="43" t="b">
        <f>AND(BX604&gt;Driver!$F$54,BX604&lt;Driver!$G$54)</f>
        <v>1</v>
      </c>
      <c r="F604" s="43" t="b">
        <f>CL604&gt;Driver!$F$56</f>
        <v>1</v>
      </c>
      <c r="G604" s="43" t="b">
        <f>AND(CB604&gt;Driver!$F$55,CB604&lt;Driver!$G$55)</f>
        <v>0</v>
      </c>
      <c r="H604" s="43" t="b">
        <f t="shared" si="333"/>
        <v>0</v>
      </c>
      <c r="I604" s="43">
        <f t="shared" si="334"/>
        <v>0</v>
      </c>
      <c r="J604" s="43" t="b">
        <f t="array" ref="J604">NOT(OR(($H$9:$H$1273=TRUE)*($I$9:$I$1273&gt;0)*($BT$9:$BT$1273=BT604)*($K$9:$K$1273&gt;K604)))</f>
        <v>1</v>
      </c>
      <c r="K604" s="72">
        <f t="shared" si="335"/>
        <v>0.8641394391933408</v>
      </c>
      <c r="L604" s="72">
        <f t="shared" si="336"/>
        <v>0.90708910735576542</v>
      </c>
      <c r="M604" s="72">
        <f t="shared" si="337"/>
        <v>0.82118977103091617</v>
      </c>
      <c r="N604" s="72">
        <f t="shared" si="338"/>
        <v>0.89027942879876909</v>
      </c>
      <c r="O604" s="72">
        <f t="shared" si="339"/>
        <v>0.60532792102766042</v>
      </c>
      <c r="P604" s="72">
        <f t="shared" si="340"/>
        <v>0.96796196326631911</v>
      </c>
      <c r="Q604" s="72"/>
      <c r="R604" s="72"/>
      <c r="S604" s="72">
        <f t="shared" si="341"/>
        <v>0.40491533727765683</v>
      </c>
      <c r="T604" s="72">
        <f t="shared" si="342"/>
        <v>0.59952636166282325</v>
      </c>
      <c r="U604" s="72">
        <f t="shared" si="343"/>
        <v>0.74789726209107543</v>
      </c>
      <c r="V604" s="72">
        <f t="shared" si="344"/>
        <v>0.53789863268745797</v>
      </c>
      <c r="W604" s="72">
        <f t="shared" si="345"/>
        <v>0.79021008403361348</v>
      </c>
      <c r="X604" s="72">
        <f t="shared" si="346"/>
        <v>9.291089264423455E-2</v>
      </c>
      <c r="Y604" s="72">
        <f t="shared" si="347"/>
        <v>0.1788102289690838</v>
      </c>
      <c r="Z604" s="72">
        <f t="shared" si="348"/>
        <v>0.10972057120123087</v>
      </c>
      <c r="AA604" s="72">
        <f t="shared" si="349"/>
        <v>0.39467207897233958</v>
      </c>
      <c r="AB604" s="72">
        <f t="shared" si="350"/>
        <v>3.2038036733680858E-2</v>
      </c>
      <c r="AC604" s="72"/>
      <c r="AD604" s="72"/>
      <c r="AE604" s="72">
        <f t="shared" si="351"/>
        <v>0.59508466272234317</v>
      </c>
      <c r="AF604" s="72">
        <f t="shared" si="352"/>
        <v>0.40047363833717675</v>
      </c>
      <c r="AG604" s="72">
        <f t="shared" si="353"/>
        <v>0.25210273790892457</v>
      </c>
      <c r="AH604" s="72">
        <f t="shared" si="354"/>
        <v>0.46210136731254203</v>
      </c>
      <c r="AI604" s="72">
        <f t="shared" si="355"/>
        <v>0.20978991596638658</v>
      </c>
      <c r="AJ604" s="72">
        <f>(AV604-Driver!$K$179)/(Driver!$L$179-Driver!$K$179)</f>
        <v>0.16130851663846588</v>
      </c>
      <c r="AK604" s="72">
        <f>(AW604-Driver!$K$180)/(Driver!$L$180-Driver!$K$180)</f>
        <v>0.21901302881346088</v>
      </c>
      <c r="AL604" s="72">
        <f>(AX604-Driver!$K$181)/(Driver!$L$181-Driver!$K$181)</f>
        <v>0.21140833491431105</v>
      </c>
      <c r="AM604" s="72">
        <f>(AY604-Driver!$K$182)/(Driver!$L$182-Driver!$K$182)</f>
        <v>5.2712942124706813E-2</v>
      </c>
      <c r="AN604" s="72">
        <f>(AZ604-Driver!$K$183)/(Driver!$L$183-Driver!$K$183)</f>
        <v>0.22218137254901957</v>
      </c>
      <c r="AO604" s="72"/>
      <c r="AP604" s="72"/>
      <c r="AQ604" s="72">
        <f>(BC604-Driver!$K$188)/(Driver!$L$188-Driver!$K$188)</f>
        <v>2.4915337277656859E-2</v>
      </c>
      <c r="AR604" s="72">
        <f>MIN((BD604-Driver!$K$189)/(Driver!$L$189-Driver!$K$189),100%)</f>
        <v>0.14952636166282332</v>
      </c>
      <c r="AS604" s="72">
        <f>(BE604-Driver!$K$190)/(Driver!$L$190-Driver!$K$190)</f>
        <v>0.76210273790892458</v>
      </c>
      <c r="AT604" s="72">
        <f>(BF604-Driver!$K$191)/(Driver!$L$191-Driver!$K$191)</f>
        <v>4.7898632687457948E-2</v>
      </c>
      <c r="AU604" s="72">
        <f>(BG604-Driver!$K$192)/(Driver!$L$192-Driver!$K$192)</f>
        <v>4.0210084033613439E-2</v>
      </c>
      <c r="AV604" s="70">
        <f t="shared" si="356"/>
        <v>3.3950617283950617</v>
      </c>
      <c r="AW604" s="70">
        <f t="shared" si="357"/>
        <v>23.216652932184768</v>
      </c>
      <c r="AX604" s="70">
        <f t="shared" si="358"/>
        <v>2.9026750142287994</v>
      </c>
      <c r="AY604" s="70">
        <f>IFERROR(Driver!$K$19/Data!BH604/Data!BI604*Data!BK604*Data!BL604,"")</f>
        <v>6.4536369184563167E-2</v>
      </c>
      <c r="AZ604" s="70">
        <f t="shared" si="359"/>
        <v>20.249441548771404</v>
      </c>
      <c r="BA604" s="70"/>
      <c r="BB604" s="70"/>
      <c r="BC604" s="70">
        <f t="shared" si="360"/>
        <v>12.923758654535304</v>
      </c>
      <c r="BD604" s="70">
        <f t="shared" si="361"/>
        <v>14.953640946222347</v>
      </c>
      <c r="BE604" s="70">
        <f t="shared" si="362"/>
        <v>0.76214517610283394</v>
      </c>
      <c r="BF604" s="70">
        <f t="shared" si="363"/>
        <v>5.4098140551087806</v>
      </c>
      <c r="BG604" s="70">
        <f t="shared" si="364"/>
        <v>0.1522610294117647</v>
      </c>
      <c r="BH604" s="67">
        <f>MAX((CE604-Driver!$F$200)/(Driver!$G$200-Driver!$F$200)*$BI$1,1)</f>
        <v>2.9026750142287994</v>
      </c>
      <c r="BI604" s="67">
        <f>MAX($BI$1*(BY604-Driver!$F$201)/(Driver!$G$201-Driver!$F$201),1)</f>
        <v>7.0253164556962027</v>
      </c>
      <c r="BJ604" s="67">
        <f>(CB604-Driver!$F$206)/(Driver!$G$206-Driver!$F$206)*$BI$1</f>
        <v>3.4920634920634921</v>
      </c>
      <c r="BK604" s="67">
        <f>(CD604-Driver!$F$203)/(Driver!$G$203-Driver!$F$203)*$BI$1</f>
        <v>1.1926605504587156</v>
      </c>
      <c r="BL604" s="67">
        <f>MAX((CR604-Driver!$F$202)/(Driver!$G$202-Driver!$F$202)*$BI$1,1)</f>
        <v>5.5172413793103452</v>
      </c>
      <c r="BM604" s="67">
        <f>MAX((CH604-Driver!$F$204)/(Driver!$G$204-Driver!$F$204)*$BI$1,1)</f>
        <v>3.8888888888888888</v>
      </c>
      <c r="BN604" s="67">
        <f>(CI604-Driver!$F$205)/(Driver!$G$205-Driver!$F$205)*$BI$1</f>
        <v>2.8823529411764701</v>
      </c>
      <c r="BO604" s="67">
        <f>(CK604-Driver!$F$207)/(Driver!$G$207-Driver!$F$207)*$BI$1</f>
        <v>1.2409513960703205</v>
      </c>
      <c r="BP604" s="67">
        <f>(CM604-Driver!$F$208)/(Driver!$G$208-Driver!$F$208)*$BI$1</f>
        <v>1.4888888888888887</v>
      </c>
      <c r="BQ604" s="67">
        <f>(CL604-Driver!$F$209)/(Driver!$G$209-Driver!$F$209)*$BI$1</f>
        <v>1.71875</v>
      </c>
      <c r="BR604" s="28" t="s">
        <v>155</v>
      </c>
      <c r="BS604" s="8" t="s">
        <v>167</v>
      </c>
      <c r="BT604" s="9" t="s">
        <v>200</v>
      </c>
      <c r="BU604" s="10">
        <v>156</v>
      </c>
      <c r="BV604" s="9" t="s">
        <v>158</v>
      </c>
      <c r="BW604" s="10">
        <v>156</v>
      </c>
      <c r="BX604" s="10">
        <v>155.4</v>
      </c>
      <c r="BY604" s="10">
        <v>119</v>
      </c>
      <c r="BZ604" s="10">
        <v>126</v>
      </c>
      <c r="CA604" s="10">
        <v>124</v>
      </c>
      <c r="CB604" s="10">
        <v>86</v>
      </c>
      <c r="CC604" s="10">
        <v>107</v>
      </c>
      <c r="CD604" s="10">
        <v>12</v>
      </c>
      <c r="CE604" s="10">
        <v>1410</v>
      </c>
      <c r="CF604" s="10">
        <v>1.0900000000000001</v>
      </c>
      <c r="CG604" s="10">
        <v>1534</v>
      </c>
      <c r="CH604" s="10">
        <v>192</v>
      </c>
      <c r="CI604" s="10">
        <v>82</v>
      </c>
      <c r="CJ604" s="10">
        <v>50</v>
      </c>
      <c r="CK604" s="10">
        <v>230</v>
      </c>
      <c r="CL604" s="10">
        <v>11</v>
      </c>
      <c r="CM604" s="10">
        <v>134</v>
      </c>
      <c r="CN604" s="10">
        <v>0.224</v>
      </c>
      <c r="CO604" s="10">
        <v>143</v>
      </c>
      <c r="CP604" s="10">
        <v>155</v>
      </c>
      <c r="CQ604" s="10">
        <v>87</v>
      </c>
      <c r="CR604" s="10">
        <v>5</v>
      </c>
      <c r="CS604" s="10">
        <v>8.6</v>
      </c>
      <c r="CT604" s="9" t="s">
        <v>188</v>
      </c>
      <c r="CU604" s="9" t="s">
        <v>185</v>
      </c>
      <c r="CV604" s="10"/>
      <c r="CW604" s="10"/>
      <c r="CX604" t="str">
        <f>INDEX('Data_Price '!AG$2:AG$1266,MATCH(Data!$DN604,'Data_Price '!$AT$2:$AT$1266,0))</f>
        <v>Head Kore 93 Anth/Yw / 156cm</v>
      </c>
      <c r="CY604" t="str">
        <f>INDEX('Data_Price '!AH$2:AH$1266,MATCH(Data!$DN604,'Data_Price '!$AT$2:$AT$1266,0))</f>
        <v>Sundance Ski and Board Shop</v>
      </c>
      <c r="CZ604">
        <f>INDEX('Data_Price '!AI$2:AI$1266,MATCH(Data!$DN604,'Data_Price '!$AT$2:$AT$1266,0))</f>
        <v>481.02</v>
      </c>
      <c r="DA604" t="str">
        <f>INDEX('Data_Price '!AJ$2:AJ$1266,MATCH(Data!$DN604,'Data_Price '!$AT$2:$AT$1266,0))</f>
        <v>https://tinyurl.com/y72z9tcy</v>
      </c>
      <c r="DB604" t="str">
        <f>INDEX('Data_Price '!AK$2:AK$1266,MATCH(Data!$DN604,'Data_Price '!$AT$2:$AT$1266,0))</f>
        <v>Head Kore 93</v>
      </c>
      <c r="DC604" t="str">
        <f>INDEX('Data_Price '!AL$2:AL$1266,MATCH(Data!$DN604,'Data_Price '!$AT$2:$AT$1266,0))</f>
        <v>evo.com</v>
      </c>
      <c r="DD604">
        <f>INDEX('Data_Price '!AM$2:AM$1266,MATCH(Data!$DN604,'Data_Price '!$AT$2:$AT$1266,0))</f>
        <v>489</v>
      </c>
      <c r="DE604" t="str">
        <f>INDEX('Data_Price '!AN$2:AN$1266,MATCH(Data!$DN604,'Data_Price '!$AT$2:$AT$1266,0))</f>
        <v>https://tinyurl.com/yaoxjvh9</v>
      </c>
      <c r="DF604" t="str">
        <f>INDEX('Data_Price '!AO$2:AO$1266,MATCH(Data!$DN604,'Data_Price '!$AT$2:$AT$1266,0))</f>
        <v>Head Kore 93 Incl Attack 14 GW binding Anthracite-Yellow 156 Ski Men</v>
      </c>
      <c r="DG604" t="str">
        <f>INDEX('Data_Price '!AP$2:AP$1266,MATCH(Data!$DN604,'Data_Price '!$AT$2:$AT$1266,0))</f>
        <v>! OutdoorXL.com</v>
      </c>
      <c r="DH604">
        <f>INDEX('Data_Price '!AQ$2:AQ$1266,MATCH(Data!$DN604,'Data_Price '!$AT$2:$AT$1266,0))</f>
        <v>554.95000000000005</v>
      </c>
      <c r="DI604" t="str">
        <f>INDEX('Data_Price '!AR$2:AR$1266,MATCH(Data!$DN604,'Data_Price '!$AT$2:$AT$1266,0))</f>
        <v>https://tinyurl.com/y7xrng23</v>
      </c>
      <c r="DJ604" s="89" t="str">
        <f t="shared" si="365"/>
        <v>https://tinyurl.com/y72z9tcy</v>
      </c>
      <c r="DK604" s="89" t="str">
        <f t="shared" si="366"/>
        <v>https://tinyurl.com/yaoxjvh9</v>
      </c>
      <c r="DL604" s="89" t="str">
        <f t="shared" si="367"/>
        <v>https://tinyurl.com/y7xrng23</v>
      </c>
      <c r="DM604" s="219" t="str">
        <f t="shared" si="368"/>
        <v>Kore 93</v>
      </c>
      <c r="DN604" s="89" t="str">
        <f t="shared" si="369"/>
        <v xml:space="preserve"> HeadKore 93156 Unisex</v>
      </c>
      <c r="DO604" s="221" t="s">
        <v>201</v>
      </c>
    </row>
    <row r="605" spans="2:119" ht="15.6" customHeight="1">
      <c r="B605" s="219" t="b">
        <f t="array" ref="B605">IF(OR(ISERROR(K605:P605)),FALSE,TRUE)</f>
        <v>1</v>
      </c>
      <c r="C605" s="43" t="b">
        <f>OR(BR605=Driver!$G$50,Data!BR305=Driver!$H$50)</f>
        <v>1</v>
      </c>
      <c r="D605" s="43" t="b">
        <f>OR(BV605=Driver!$G$51,BV605=Driver!$H$51)</f>
        <v>1</v>
      </c>
      <c r="E605" s="43" t="b">
        <f>AND(BX605&gt;Driver!$F$54,BX605&lt;Driver!$G$54)</f>
        <v>1</v>
      </c>
      <c r="F605" s="43" t="b">
        <f>CL605&gt;Driver!$F$56</f>
        <v>1</v>
      </c>
      <c r="G605" s="43" t="b">
        <f>AND(CB605&gt;Driver!$F$55,CB605&lt;Driver!$G$55)</f>
        <v>0</v>
      </c>
      <c r="H605" s="43" t="b">
        <f t="shared" si="333"/>
        <v>0</v>
      </c>
      <c r="I605" s="43">
        <f t="shared" si="334"/>
        <v>0</v>
      </c>
      <c r="J605" s="43" t="b">
        <f t="array" ref="J605">NOT(OR(($H$9:$H$1273=TRUE)*($I$9:$I$1273&gt;0)*($BT$9:$BT$1273=BT605)*($K$9:$K$1273&gt;K605)))</f>
        <v>1</v>
      </c>
      <c r="K605" s="72">
        <f t="shared" si="335"/>
        <v>0.85272478405093355</v>
      </c>
      <c r="L605" s="72">
        <f t="shared" si="336"/>
        <v>0.92465417060610788</v>
      </c>
      <c r="M605" s="72">
        <f t="shared" si="337"/>
        <v>0.78079539749575921</v>
      </c>
      <c r="N605" s="72">
        <f t="shared" si="338"/>
        <v>0.70562123617244898</v>
      </c>
      <c r="O605" s="72">
        <f t="shared" si="339"/>
        <v>0.73510201265635255</v>
      </c>
      <c r="P605" s="72">
        <f t="shared" si="340"/>
        <v>0.90166294365847599</v>
      </c>
      <c r="Q605" s="72"/>
      <c r="R605" s="72"/>
      <c r="S605" s="72">
        <f t="shared" si="341"/>
        <v>0.42600413704373319</v>
      </c>
      <c r="T605" s="72">
        <f t="shared" si="342"/>
        <v>0.43796099261184174</v>
      </c>
      <c r="U605" s="72">
        <f t="shared" si="343"/>
        <v>0.52321040558729393</v>
      </c>
      <c r="V605" s="72">
        <f t="shared" si="344"/>
        <v>0.69757133389540793</v>
      </c>
      <c r="W605" s="72">
        <f t="shared" si="345"/>
        <v>0.83575689155489652</v>
      </c>
      <c r="X605" s="72">
        <f t="shared" si="346"/>
        <v>7.5345829393892144E-2</v>
      </c>
      <c r="Y605" s="72">
        <f t="shared" si="347"/>
        <v>0.21920460250424081</v>
      </c>
      <c r="Z605" s="72">
        <f t="shared" si="348"/>
        <v>0.29437876382755102</v>
      </c>
      <c r="AA605" s="72">
        <f t="shared" si="349"/>
        <v>0.26489798734364739</v>
      </c>
      <c r="AB605" s="72">
        <f t="shared" si="350"/>
        <v>9.8337056341523954E-2</v>
      </c>
      <c r="AC605" s="72"/>
      <c r="AD605" s="72"/>
      <c r="AE605" s="72">
        <f t="shared" si="351"/>
        <v>0.57399586295626681</v>
      </c>
      <c r="AF605" s="72">
        <f t="shared" si="352"/>
        <v>0.56203900738815826</v>
      </c>
      <c r="AG605" s="72">
        <f t="shared" si="353"/>
        <v>0.47678959441270607</v>
      </c>
      <c r="AH605" s="72">
        <f t="shared" si="354"/>
        <v>0.30242866610459207</v>
      </c>
      <c r="AI605" s="72">
        <f t="shared" si="355"/>
        <v>0.16424310844510348</v>
      </c>
      <c r="AJ605" s="72">
        <f>(AV605-Driver!$K$179)/(Driver!$L$179-Driver!$K$179)</f>
        <v>0.17887357988880828</v>
      </c>
      <c r="AK605" s="72">
        <f>(AW605-Driver!$K$180)/(Driver!$L$180-Driver!$K$180)</f>
        <v>0.17569591724777453</v>
      </c>
      <c r="AL605" s="72">
        <f>(AX605-Driver!$K$181)/(Driver!$L$181-Driver!$K$181)</f>
        <v>0.39606652754063121</v>
      </c>
      <c r="AM605" s="72">
        <f>(AY605-Driver!$K$182)/(Driver!$L$182-Driver!$K$182)</f>
        <v>0.18248703375339898</v>
      </c>
      <c r="AN605" s="72">
        <f>(AZ605-Driver!$K$183)/(Driver!$L$183-Driver!$K$183)</f>
        <v>0.15588235294117647</v>
      </c>
      <c r="AO605" s="72"/>
      <c r="AP605" s="72"/>
      <c r="AQ605" s="72">
        <f>(BC605-Driver!$K$188)/(Driver!$L$188-Driver!$K$188)</f>
        <v>4.6004137043733184E-2</v>
      </c>
      <c r="AR605" s="72">
        <f>MIN((BD605-Driver!$K$189)/(Driver!$L$189-Driver!$K$189),100%)</f>
        <v>-1.2039007388158184E-2</v>
      </c>
      <c r="AS605" s="72">
        <f>(BE605-Driver!$K$190)/(Driver!$L$190-Driver!$K$190)</f>
        <v>3.3210405587293941E-2</v>
      </c>
      <c r="AT605" s="72">
        <f>(BF605-Driver!$K$191)/(Driver!$L$191-Driver!$K$191)</f>
        <v>0.20757133389540794</v>
      </c>
      <c r="AU605" s="72">
        <f>(BG605-Driver!$K$192)/(Driver!$L$192-Driver!$K$192)</f>
        <v>8.5756891554896533E-2</v>
      </c>
      <c r="AV605" s="70">
        <f t="shared" si="356"/>
        <v>3.7647537647537646</v>
      </c>
      <c r="AW605" s="70">
        <f t="shared" si="357"/>
        <v>18.995016581453882</v>
      </c>
      <c r="AX605" s="70">
        <f t="shared" si="358"/>
        <v>4.5645987478656807</v>
      </c>
      <c r="AY605" s="70">
        <f>IFERROR(Driver!$K$19/Data!BH605/Data!BI605*Data!BK605*Data!BL605,"")</f>
        <v>0.22341857818983765</v>
      </c>
      <c r="AZ605" s="70">
        <f t="shared" si="359"/>
        <v>14.206999255398364</v>
      </c>
      <c r="BA605" s="70"/>
      <c r="BB605" s="70"/>
      <c r="BC605" s="70">
        <f t="shared" si="360"/>
        <v>23.862665700156576</v>
      </c>
      <c r="BD605" s="70">
        <f t="shared" si="361"/>
        <v>0.65539206210454692</v>
      </c>
      <c r="BE605" s="70">
        <f t="shared" si="362"/>
        <v>3.3382869969256768E-2</v>
      </c>
      <c r="BF605" s="70">
        <f t="shared" si="363"/>
        <v>23.443723892333317</v>
      </c>
      <c r="BG605" s="70">
        <f t="shared" si="364"/>
        <v>0.32473029840938195</v>
      </c>
      <c r="BH605" s="67">
        <f>MAX((CE605-Driver!$F$200)/(Driver!$G$200-Driver!$F$200)*$BI$1,1)</f>
        <v>4.5645987478656807</v>
      </c>
      <c r="BI605" s="67">
        <f>MAX($BI$1*(BY605-Driver!$F$201)/(Driver!$G$201-Driver!$F$201),1)</f>
        <v>4.556962025316456</v>
      </c>
      <c r="BJ605" s="67">
        <f>(CB605-Driver!$F$206)/(Driver!$G$206-Driver!$F$206)*$BI$1</f>
        <v>9.5238095238095237</v>
      </c>
      <c r="BK605" s="67">
        <f>(CD605-Driver!$F$203)/(Driver!$G$203-Driver!$F$203)*$BI$1</f>
        <v>5.1834862385321099</v>
      </c>
      <c r="BL605" s="67">
        <f>MAX((CR605-Driver!$F$202)/(Driver!$G$202-Driver!$F$202)*$BI$1,1)</f>
        <v>4.4827586206896548</v>
      </c>
      <c r="BM605" s="67">
        <f>MAX((CH605-Driver!$F$204)/(Driver!$G$204-Driver!$F$204)*$BI$1,1)</f>
        <v>1.5811965811965811</v>
      </c>
      <c r="BN605" s="67">
        <f>(CI605-Driver!$F$205)/(Driver!$G$205-Driver!$F$205)*$BI$1</f>
        <v>3.1176470588235294</v>
      </c>
      <c r="BO605" s="67">
        <f>(CK605-Driver!$F$207)/(Driver!$G$207-Driver!$F$207)*$BI$1</f>
        <v>3.9193381592554295</v>
      </c>
      <c r="BP605" s="67">
        <f>(CM605-Driver!$F$208)/(Driver!$G$208-Driver!$F$208)*$BI$1</f>
        <v>3.2555555555555555</v>
      </c>
      <c r="BQ605" s="67">
        <f>(CL605-Driver!$F$209)/(Driver!$G$209-Driver!$F$209)*$BI$1</f>
        <v>2.34375</v>
      </c>
      <c r="BR605" s="28" t="s">
        <v>155</v>
      </c>
      <c r="BS605" s="8" t="s">
        <v>317</v>
      </c>
      <c r="BT605" s="9" t="s">
        <v>684</v>
      </c>
      <c r="BU605" s="10">
        <v>159</v>
      </c>
      <c r="BV605" s="9" t="s">
        <v>158</v>
      </c>
      <c r="BW605" s="10">
        <v>159</v>
      </c>
      <c r="BX605" s="10">
        <v>158.30000000000001</v>
      </c>
      <c r="BY605" s="10">
        <v>80</v>
      </c>
      <c r="BZ605" s="10">
        <v>108</v>
      </c>
      <c r="CA605" s="10">
        <v>145</v>
      </c>
      <c r="CB605" s="10">
        <v>124</v>
      </c>
      <c r="CC605" s="10">
        <v>129</v>
      </c>
      <c r="CD605" s="10">
        <v>20.7</v>
      </c>
      <c r="CE605" s="10">
        <v>1702</v>
      </c>
      <c r="CF605" s="10">
        <v>1.2</v>
      </c>
      <c r="CG605" s="10">
        <v>2044</v>
      </c>
      <c r="CH605" s="10">
        <v>138</v>
      </c>
      <c r="CI605" s="10">
        <v>86</v>
      </c>
      <c r="CJ605" s="10">
        <v>53</v>
      </c>
      <c r="CK605" s="10">
        <v>489</v>
      </c>
      <c r="CL605" s="10">
        <v>15</v>
      </c>
      <c r="CM605" s="10">
        <v>293</v>
      </c>
      <c r="CN605" s="10">
        <v>0.27900000000000003</v>
      </c>
      <c r="CO605" s="10">
        <v>272</v>
      </c>
      <c r="CP605" s="10">
        <v>231</v>
      </c>
      <c r="CQ605" s="10">
        <v>217</v>
      </c>
      <c r="CR605" s="10">
        <v>2</v>
      </c>
      <c r="CS605" s="10">
        <v>10.8</v>
      </c>
      <c r="CT605" s="9" t="s">
        <v>178</v>
      </c>
      <c r="CU605" s="9" t="s">
        <v>185</v>
      </c>
      <c r="CV605" s="10"/>
      <c r="CW605" s="10"/>
      <c r="CX605" t="str">
        <f>INDEX('Data_Price '!AG$2:AG$1266,MATCH(Data!$DN605,'Data_Price '!$AT$2:$AT$1266,0))</f>
        <v>Blizzard Spur Ski - 2022 Green/Blue, 159cm</v>
      </c>
      <c r="CY605" t="str">
        <f>INDEX('Data_Price '!AH$2:AH$1266,MATCH(Data!$DN605,'Data_Price '!$AT$2:$AT$1266,0))</f>
        <v>Steep &amp; Cheap</v>
      </c>
      <c r="CZ605">
        <f>INDEX('Data_Price '!AI$2:AI$1266,MATCH(Data!$DN605,'Data_Price '!$AT$2:$AT$1266,0))</f>
        <v>639.96</v>
      </c>
      <c r="DA605" t="str">
        <f>INDEX('Data_Price '!AJ$2:AJ$1266,MATCH(Data!$DN605,'Data_Price '!$AT$2:$AT$1266,0))</f>
        <v>https://tinyurl.com/y79vb25d</v>
      </c>
      <c r="DB605" t="str">
        <f>INDEX('Data_Price '!AK$2:AK$1266,MATCH(Data!$DN605,'Data_Price '!$AT$2:$AT$1266,0))</f>
        <v>Blizzard Spur Ski - 2022 Green/Blue, 159cm</v>
      </c>
      <c r="DC605" t="str">
        <f>INDEX('Data_Price '!AL$2:AL$1266,MATCH(Data!$DN605,'Data_Price '!$AT$2:$AT$1266,0))</f>
        <v>Backcountry.com</v>
      </c>
      <c r="DD605">
        <f>INDEX('Data_Price '!AM$2:AM$1266,MATCH(Data!$DN605,'Data_Price '!$AT$2:$AT$1266,0))</f>
        <v>639.96</v>
      </c>
      <c r="DE605" t="str">
        <f>INDEX('Data_Price '!AN$2:AN$1266,MATCH(Data!$DN605,'Data_Price '!$AT$2:$AT$1266,0))</f>
        <v>https://tinyurl.com/ybl4e7ab</v>
      </c>
      <c r="DF605" t="str">
        <f>INDEX('Data_Price '!AO$2:AO$1266,MATCH(Data!$DN605,'Data_Price '!$AT$2:$AT$1266,0))</f>
        <v>Blizzard Spur Ski - 2022 Green/Blue, 159cm</v>
      </c>
      <c r="DG605" t="str">
        <f>INDEX('Data_Price '!AP$2:AP$1266,MATCH(Data!$DN605,'Data_Price '!$AT$2:$AT$1266,0))</f>
        <v>eBay - backcountry</v>
      </c>
      <c r="DH605">
        <f>INDEX('Data_Price '!AQ$2:AQ$1266,MATCH(Data!$DN605,'Data_Price '!$AT$2:$AT$1266,0))</f>
        <v>639.96</v>
      </c>
      <c r="DI605" t="str">
        <f>INDEX('Data_Price '!AR$2:AR$1266,MATCH(Data!$DN605,'Data_Price '!$AT$2:$AT$1266,0))</f>
        <v>https://tinyurl.com/y8scw56j</v>
      </c>
      <c r="DJ605" s="89" t="str">
        <f t="shared" si="365"/>
        <v>https://tinyurl.com/y79vb25d</v>
      </c>
      <c r="DK605" s="89" t="str">
        <f t="shared" si="366"/>
        <v>https://tinyurl.com/ybl4e7ab</v>
      </c>
      <c r="DL605" s="89" t="str">
        <f t="shared" si="367"/>
        <v>https://tinyurl.com/y8scw56j</v>
      </c>
      <c r="DM605" s="219" t="str">
        <f t="shared" si="368"/>
        <v>Spur</v>
      </c>
      <c r="DN605" s="89" t="str">
        <f t="shared" si="369"/>
        <v xml:space="preserve"> BlizzardSpur159 Unisex</v>
      </c>
      <c r="DO605" s="221" t="s">
        <v>685</v>
      </c>
    </row>
    <row r="606" spans="2:119" ht="15.6" customHeight="1">
      <c r="B606" s="219" t="b">
        <f t="array" ref="B606">IF(OR(ISERROR(K606:P606)),FALSE,TRUE)</f>
        <v>1</v>
      </c>
      <c r="C606" s="43" t="b">
        <f>OR(BR606=Driver!$G$50,Data!BR319=Driver!$H$50)</f>
        <v>1</v>
      </c>
      <c r="D606" s="43" t="b">
        <f>OR(BV606=Driver!$G$51,BV606=Driver!$H$51)</f>
        <v>1</v>
      </c>
      <c r="E606" s="43" t="b">
        <f>AND(BX606&gt;Driver!$F$54,BX606&lt;Driver!$G$54)</f>
        <v>0</v>
      </c>
      <c r="F606" s="43" t="b">
        <f>CL606&gt;Driver!$F$56</f>
        <v>1</v>
      </c>
      <c r="G606" s="43" t="b">
        <f>AND(CB606&gt;Driver!$F$55,CB606&lt;Driver!$G$55)</f>
        <v>1</v>
      </c>
      <c r="H606" s="43" t="b">
        <f t="shared" si="333"/>
        <v>0</v>
      </c>
      <c r="I606" s="43">
        <f t="shared" si="334"/>
        <v>1</v>
      </c>
      <c r="J606" s="43" t="b">
        <f t="array" ref="J606">NOT(OR(($H$9:$H$1273=TRUE)*($I$9:$I$1273&gt;0)*($BT$9:$BT$1273=BT606)*($K$9:$K$1273&gt;K606)))</f>
        <v>1</v>
      </c>
      <c r="K606" s="72">
        <f t="shared" si="335"/>
        <v>0.92176616214342921</v>
      </c>
      <c r="L606" s="72">
        <f t="shared" si="336"/>
        <v>0.98478100786460354</v>
      </c>
      <c r="M606" s="72">
        <f t="shared" si="337"/>
        <v>0.85875131642225488</v>
      </c>
      <c r="N606" s="72">
        <f t="shared" si="338"/>
        <v>0.88648508237494072</v>
      </c>
      <c r="O606" s="72">
        <f t="shared" si="339"/>
        <v>0.79709285133792318</v>
      </c>
      <c r="P606" s="72">
        <f t="shared" si="340"/>
        <v>0.89267601555390086</v>
      </c>
      <c r="Q606" s="72"/>
      <c r="R606" s="72"/>
      <c r="S606" s="72">
        <f t="shared" si="341"/>
        <v>0.43784886400374223</v>
      </c>
      <c r="T606" s="72">
        <f t="shared" si="342"/>
        <v>0.45258928219598837</v>
      </c>
      <c r="U606" s="72">
        <f t="shared" si="343"/>
        <v>0.74057758548488029</v>
      </c>
      <c r="V606" s="72">
        <f t="shared" si="344"/>
        <v>0.52439660984454284</v>
      </c>
      <c r="W606" s="72">
        <f t="shared" si="345"/>
        <v>0.8172502642706132</v>
      </c>
      <c r="X606" s="72">
        <f t="shared" si="346"/>
        <v>1.5218992135396403E-2</v>
      </c>
      <c r="Y606" s="72">
        <f t="shared" si="347"/>
        <v>0.14124868357774509</v>
      </c>
      <c r="Z606" s="72">
        <f t="shared" si="348"/>
        <v>0.11351491762505929</v>
      </c>
      <c r="AA606" s="72">
        <f t="shared" si="349"/>
        <v>0.20290714866207685</v>
      </c>
      <c r="AB606" s="72">
        <f t="shared" si="350"/>
        <v>0.10732398444609911</v>
      </c>
      <c r="AC606" s="72"/>
      <c r="AD606" s="72"/>
      <c r="AE606" s="72">
        <f t="shared" si="351"/>
        <v>0.56215113599625777</v>
      </c>
      <c r="AF606" s="72">
        <f t="shared" si="352"/>
        <v>0.54741071780401163</v>
      </c>
      <c r="AG606" s="72">
        <f t="shared" si="353"/>
        <v>0.25942241451511971</v>
      </c>
      <c r="AH606" s="72">
        <f t="shared" si="354"/>
        <v>0.47560339015545716</v>
      </c>
      <c r="AI606" s="72">
        <f t="shared" si="355"/>
        <v>0.18274973572938685</v>
      </c>
      <c r="AJ606" s="72">
        <f>(AV606-Driver!$K$179)/(Driver!$L$179-Driver!$K$179)</f>
        <v>0.26943840141809683</v>
      </c>
      <c r="AK606" s="72">
        <f>(AW606-Driver!$K$180)/(Driver!$L$180-Driver!$K$180)</f>
        <v>0.15136830749528984</v>
      </c>
      <c r="AL606" s="72">
        <f>(AX606-Driver!$K$181)/(Driver!$L$181-Driver!$K$181)</f>
        <v>0.21520268133813947</v>
      </c>
      <c r="AM606" s="72">
        <f>(AY606-Driver!$K$182)/(Driver!$L$182-Driver!$K$182)</f>
        <v>0.24447787243496952</v>
      </c>
      <c r="AN606" s="72">
        <f>(AZ606-Driver!$K$183)/(Driver!$L$183-Driver!$K$183)</f>
        <v>0.14689542483660131</v>
      </c>
      <c r="AO606" s="72"/>
      <c r="AP606" s="72"/>
      <c r="AQ606" s="72">
        <f>(BC606-Driver!$K$188)/(Driver!$L$188-Driver!$K$188)</f>
        <v>5.7848864003742249E-2</v>
      </c>
      <c r="AR606" s="72">
        <f>MIN((BD606-Driver!$K$189)/(Driver!$L$189-Driver!$K$189),100%)</f>
        <v>2.5892821959884495E-3</v>
      </c>
      <c r="AS606" s="72">
        <f>(BE606-Driver!$K$190)/(Driver!$L$190-Driver!$K$190)</f>
        <v>0.25057758548488029</v>
      </c>
      <c r="AT606" s="72">
        <f>(BF606-Driver!$K$191)/(Driver!$L$191-Driver!$K$191)</f>
        <v>3.439660984454284E-2</v>
      </c>
      <c r="AU606" s="72">
        <f>(BG606-Driver!$K$192)/(Driver!$L$192-Driver!$K$192)</f>
        <v>6.7250264270613133E-2</v>
      </c>
      <c r="AV606" s="70">
        <f t="shared" si="356"/>
        <v>5.670872337539004</v>
      </c>
      <c r="AW606" s="70">
        <f t="shared" si="357"/>
        <v>16.624075446522806</v>
      </c>
      <c r="AX606" s="70">
        <f t="shared" si="358"/>
        <v>2.9368241320432551</v>
      </c>
      <c r="AY606" s="70">
        <f>IFERROR(Driver!$K$19/Data!BH606/Data!BI606*Data!BK606*Data!BL606,"")</f>
        <v>0.29931386101715313</v>
      </c>
      <c r="AZ606" s="70">
        <f t="shared" si="359"/>
        <v>13.387937453462397</v>
      </c>
      <c r="BA606" s="70"/>
      <c r="BB606" s="70"/>
      <c r="BC606" s="70">
        <f t="shared" si="360"/>
        <v>30.006607917519204</v>
      </c>
      <c r="BD606" s="70">
        <f t="shared" si="361"/>
        <v>1.9499697705061358</v>
      </c>
      <c r="BE606" s="70">
        <f t="shared" si="362"/>
        <v>0.25071127400852122</v>
      </c>
      <c r="BF606" s="70">
        <f t="shared" si="363"/>
        <v>3.8848554320805269</v>
      </c>
      <c r="BG606" s="70">
        <f t="shared" si="364"/>
        <v>0.25465240155919672</v>
      </c>
      <c r="BH606" s="67">
        <f>MAX((CE606-Driver!$F$200)/(Driver!$G$200-Driver!$F$200)*$BI$1,1)</f>
        <v>2.9368241320432551</v>
      </c>
      <c r="BI606" s="67">
        <f>MAX($BI$1*(BY606-Driver!$F$201)/(Driver!$G$201-Driver!$F$201),1)</f>
        <v>7.3417721518987342</v>
      </c>
      <c r="BJ606" s="67">
        <f>(CB606-Driver!$F$206)/(Driver!$G$206-Driver!$F$206)*$BI$1</f>
        <v>6.0317460317460316</v>
      </c>
      <c r="BK606" s="67">
        <f>(CD606-Driver!$F$203)/(Driver!$G$203-Driver!$F$203)*$BI$1</f>
        <v>5.5045871559633035</v>
      </c>
      <c r="BL606" s="67">
        <f>MAX((CR606-Driver!$F$202)/(Driver!$G$202-Driver!$F$202)*$BI$1,1)</f>
        <v>5.8620689655172411</v>
      </c>
      <c r="BM606" s="67">
        <f>MAX((CH606-Driver!$F$204)/(Driver!$G$204-Driver!$F$204)*$BI$1,1)</f>
        <v>3.7606837606837606</v>
      </c>
      <c r="BN606" s="67">
        <f>(CI606-Driver!$F$205)/(Driver!$G$205-Driver!$F$205)*$BI$1</f>
        <v>1.8235294117647058</v>
      </c>
      <c r="BO606" s="67">
        <f>(CK606-Driver!$F$207)/(Driver!$G$207-Driver!$F$207)*$BI$1</f>
        <v>1.9338159255429164</v>
      </c>
      <c r="BP606" s="67">
        <f>(CM606-Driver!$F$208)/(Driver!$G$208-Driver!$F$208)*$BI$1</f>
        <v>1.8333333333333333</v>
      </c>
      <c r="BQ606" s="67">
        <f>(CL606-Driver!$F$209)/(Driver!$G$209-Driver!$F$209)*$BI$1</f>
        <v>2.8125</v>
      </c>
      <c r="BR606" s="28" t="s">
        <v>155</v>
      </c>
      <c r="BS606" s="8" t="s">
        <v>317</v>
      </c>
      <c r="BT606" s="9" t="s">
        <v>432</v>
      </c>
      <c r="BU606" s="10">
        <v>172</v>
      </c>
      <c r="BV606" s="9" t="s">
        <v>158</v>
      </c>
      <c r="BW606" s="10">
        <v>172</v>
      </c>
      <c r="BX606" s="10">
        <v>169.8</v>
      </c>
      <c r="BY606" s="10">
        <v>124</v>
      </c>
      <c r="BZ606" s="10">
        <v>139</v>
      </c>
      <c r="CA606" s="10">
        <v>130</v>
      </c>
      <c r="CB606" s="10">
        <v>102</v>
      </c>
      <c r="CC606" s="10">
        <v>116</v>
      </c>
      <c r="CD606" s="10">
        <v>21.4</v>
      </c>
      <c r="CE606" s="10">
        <v>1416</v>
      </c>
      <c r="CF606" s="10">
        <v>1.32</v>
      </c>
      <c r="CG606" s="10">
        <v>1874</v>
      </c>
      <c r="CH606" s="10">
        <v>189</v>
      </c>
      <c r="CI606" s="10">
        <v>64</v>
      </c>
      <c r="CJ606" s="10">
        <v>54</v>
      </c>
      <c r="CK606" s="10">
        <v>297</v>
      </c>
      <c r="CL606" s="10">
        <v>18</v>
      </c>
      <c r="CM606" s="10">
        <v>165</v>
      </c>
      <c r="CN606" s="10">
        <v>0.33200000000000002</v>
      </c>
      <c r="CO606" s="10">
        <v>160</v>
      </c>
      <c r="CP606" s="10">
        <v>148</v>
      </c>
      <c r="CQ606" s="10">
        <v>137</v>
      </c>
      <c r="CR606" s="10">
        <v>6</v>
      </c>
      <c r="CS606" s="10">
        <v>9.8000000000000007</v>
      </c>
      <c r="CT606" s="9" t="s">
        <v>178</v>
      </c>
      <c r="CU606" s="9" t="s">
        <v>185</v>
      </c>
      <c r="CV606" s="9" t="s">
        <v>198</v>
      </c>
      <c r="CW606" s="10"/>
      <c r="CX606" t="str">
        <f>INDEX('Data_Price '!AG$2:AG$1266,MATCH(Data!$DN606,'Data_Price '!$AT$2:$AT$1266,0))</f>
        <v>2022 Blizzard Zero G 105 Skis with Marker Kingpin 13 Bindings (172)</v>
      </c>
      <c r="CY606" t="str">
        <f>INDEX('Data_Price '!AH$2:AH$1266,MATCH(Data!$DN606,'Data_Price '!$AT$2:$AT$1266,0))</f>
        <v>SkiEssentials.com</v>
      </c>
      <c r="CZ606">
        <f>INDEX('Data_Price '!AI$2:AI$1266,MATCH(Data!$DN606,'Data_Price '!$AT$2:$AT$1266,0))</f>
        <v>1125</v>
      </c>
      <c r="DA606" t="str">
        <f>INDEX('Data_Price '!AJ$2:AJ$1266,MATCH(Data!$DN606,'Data_Price '!$AT$2:$AT$1266,0))</f>
        <v>https://tinyurl.com/yalgg6re</v>
      </c>
      <c r="DB606" t="str">
        <f>INDEX('Data_Price '!AK$2:AK$1266,MATCH(Data!$DN606,'Data_Price '!$AT$2:$AT$1266,0))</f>
        <v>Blizzard Zero G 105 21/22</v>
      </c>
      <c r="DC606" t="str">
        <f>INDEX('Data_Price '!AL$2:AL$1266,MATCH(Data!$DN606,'Data_Price '!$AT$2:$AT$1266,0))</f>
        <v>Snowcountry.eu</v>
      </c>
      <c r="DD606">
        <f>INDEX('Data_Price '!AM$2:AM$1266,MATCH(Data!$DN606,'Data_Price '!$AT$2:$AT$1266,0))</f>
        <v>516.33000000000004</v>
      </c>
      <c r="DE606" t="str">
        <f>INDEX('Data_Price '!AN$2:AN$1266,MATCH(Data!$DN606,'Data_Price '!$AT$2:$AT$1266,0))</f>
        <v>https://tinyurl.com/y845m2v6</v>
      </c>
      <c r="DF606" t="str">
        <f>INDEX('Data_Price '!AO$2:AO$1266,MATCH(Data!$DN606,'Data_Price '!$AT$2:$AT$1266,0))</f>
        <v>Blizzard Zero G 105 21/22</v>
      </c>
      <c r="DG606" t="str">
        <f>INDEX('Data_Price '!AP$2:AP$1266,MATCH(Data!$DN606,'Data_Price '!$AT$2:$AT$1266,0))</f>
        <v>Telemark Pyrenees</v>
      </c>
      <c r="DH606">
        <f>INDEX('Data_Price '!AQ$2:AQ$1266,MATCH(Data!$DN606,'Data_Price '!$AT$2:$AT$1266,0))</f>
        <v>531.66999999999996</v>
      </c>
      <c r="DI606" t="str">
        <f>INDEX('Data_Price '!AR$2:AR$1266,MATCH(Data!$DN606,'Data_Price '!$AT$2:$AT$1266,0))</f>
        <v>https://tinyurl.com/y7za6lks</v>
      </c>
      <c r="DJ606" s="89" t="str">
        <f t="shared" si="365"/>
        <v>https://tinyurl.com/yalgg6re</v>
      </c>
      <c r="DK606" s="89" t="str">
        <f t="shared" si="366"/>
        <v>https://tinyurl.com/y845m2v6</v>
      </c>
      <c r="DL606" s="89" t="str">
        <f t="shared" si="367"/>
        <v>https://tinyurl.com/y7za6lks</v>
      </c>
      <c r="DM606" s="219" t="str">
        <f t="shared" si="368"/>
        <v>Zero G 105</v>
      </c>
      <c r="DN606" s="89" t="str">
        <f t="shared" si="369"/>
        <v xml:space="preserve"> BlizzardZero G 105172 Unisex</v>
      </c>
      <c r="DO606" s="221" t="s">
        <v>433</v>
      </c>
    </row>
    <row r="607" spans="2:119" ht="15.6" customHeight="1">
      <c r="B607" s="219" t="b">
        <f t="array" ref="B607">IF(OR(ISERROR(K607:P607)),FALSE,TRUE)</f>
        <v>1</v>
      </c>
      <c r="C607" s="43" t="b">
        <f>OR(BR607=Driver!$G$50,Data!BR685=Driver!$H$50)</f>
        <v>1</v>
      </c>
      <c r="D607" s="43" t="b">
        <f>OR(BV607=Driver!$G$51,BV607=Driver!$H$51)</f>
        <v>1</v>
      </c>
      <c r="E607" s="43" t="b">
        <f>AND(BX607&gt;Driver!$F$54,BX607&lt;Driver!$G$54)</f>
        <v>0</v>
      </c>
      <c r="F607" s="43" t="b">
        <f>CL607&gt;Driver!$F$56</f>
        <v>1</v>
      </c>
      <c r="G607" s="43" t="b">
        <f>AND(CB607&gt;Driver!$F$55,CB607&lt;Driver!$G$55)</f>
        <v>1</v>
      </c>
      <c r="H607" s="43" t="b">
        <f t="shared" si="333"/>
        <v>0</v>
      </c>
      <c r="I607" s="43">
        <f t="shared" si="334"/>
        <v>0</v>
      </c>
      <c r="J607" s="43" t="b">
        <f t="array" ref="J607">NOT(OR(($H$9:$H$1273=TRUE)*($I$9:$I$1273&gt;0)*($BT$9:$BT$1273=BT607)*($K$9:$K$1273&gt;K607)))</f>
        <v>1</v>
      </c>
      <c r="K607" s="72">
        <f t="shared" si="335"/>
        <v>0.64919935747142266</v>
      </c>
      <c r="L607" s="72">
        <f t="shared" si="336"/>
        <v>0.58771388998530294</v>
      </c>
      <c r="M607" s="72">
        <f t="shared" si="337"/>
        <v>0.71068482495754237</v>
      </c>
      <c r="N607" s="72">
        <f t="shared" si="338"/>
        <v>0.57914302204483259</v>
      </c>
      <c r="O607" s="72">
        <f t="shared" si="339"/>
        <v>0.64705805661698945</v>
      </c>
      <c r="P607" s="72">
        <f t="shared" si="340"/>
        <v>0.90585339621080507</v>
      </c>
      <c r="Q607" s="72"/>
      <c r="R607" s="72"/>
      <c r="S607" s="72">
        <f t="shared" si="341"/>
        <v>0.48074187800378476</v>
      </c>
      <c r="T607" s="72">
        <f t="shared" si="342"/>
        <v>0.50032409859767646</v>
      </c>
      <c r="U607" s="72">
        <f t="shared" si="343"/>
        <v>0.50518883700406958</v>
      </c>
      <c r="V607" s="72">
        <f t="shared" si="344"/>
        <v>0.61844203890001936</v>
      </c>
      <c r="W607" s="72">
        <f t="shared" si="345"/>
        <v>0.80290980538922152</v>
      </c>
      <c r="X607" s="72">
        <f t="shared" si="346"/>
        <v>0.412286110014697</v>
      </c>
      <c r="Y607" s="72">
        <f t="shared" si="347"/>
        <v>0.28931517504245763</v>
      </c>
      <c r="Z607" s="72">
        <f t="shared" si="348"/>
        <v>0.42085697795516741</v>
      </c>
      <c r="AA607" s="72">
        <f t="shared" si="349"/>
        <v>0.3529419433830106</v>
      </c>
      <c r="AB607" s="72">
        <f t="shared" si="350"/>
        <v>9.4146603789194983E-2</v>
      </c>
      <c r="AC607" s="72"/>
      <c r="AD607" s="72"/>
      <c r="AE607" s="72">
        <f t="shared" si="351"/>
        <v>0.51925812199621524</v>
      </c>
      <c r="AF607" s="72">
        <f t="shared" si="352"/>
        <v>0.49967590140232349</v>
      </c>
      <c r="AG607" s="72">
        <f t="shared" si="353"/>
        <v>0.49481116299593048</v>
      </c>
      <c r="AH607" s="72">
        <f t="shared" si="354"/>
        <v>0.38155796109998064</v>
      </c>
      <c r="AI607" s="72">
        <f t="shared" si="355"/>
        <v>0.19709019461077845</v>
      </c>
      <c r="AJ607" s="72">
        <f>(AV607-Driver!$K$179)/(Driver!$L$179-Driver!$K$179)</f>
        <v>0.66650551929739743</v>
      </c>
      <c r="AK607" s="72">
        <f>(AW607-Driver!$K$180)/(Driver!$L$180-Driver!$K$180)</f>
        <v>0.3662719847041469</v>
      </c>
      <c r="AL607" s="72">
        <f>(AX607-Driver!$K$181)/(Driver!$L$181-Driver!$K$181)</f>
        <v>0.5225447416682476</v>
      </c>
      <c r="AM607" s="72">
        <f>(AY607-Driver!$K$182)/(Driver!$L$182-Driver!$K$182)</f>
        <v>9.4443077714035775E-2</v>
      </c>
      <c r="AN607" s="72">
        <f>(AZ607-Driver!$K$183)/(Driver!$L$183-Driver!$K$183)</f>
        <v>0.34836601307189541</v>
      </c>
      <c r="AO607" s="72"/>
      <c r="AP607" s="72"/>
      <c r="AQ607" s="72">
        <f>(BC607-Driver!$K$188)/(Driver!$L$188-Driver!$K$188)</f>
        <v>0.10074187800378472</v>
      </c>
      <c r="AR607" s="72">
        <f>MIN((BD607-Driver!$K$189)/(Driver!$L$189-Driver!$K$189),100%)</f>
        <v>5.0324098597676566E-2</v>
      </c>
      <c r="AS607" s="72">
        <f>(BE607-Driver!$K$190)/(Driver!$L$190-Driver!$K$190)</f>
        <v>1.5188837004069519E-2</v>
      </c>
      <c r="AT607" s="72">
        <f>(BF607-Driver!$K$191)/(Driver!$L$191-Driver!$K$191)</f>
        <v>0.12844203890001937</v>
      </c>
      <c r="AU607" s="72">
        <f>(BG607-Driver!$K$192)/(Driver!$L$192-Driver!$K$192)</f>
        <v>5.2909805389221555E-2</v>
      </c>
      <c r="AV607" s="70">
        <f t="shared" si="356"/>
        <v>14.027947361280695</v>
      </c>
      <c r="AW607" s="70">
        <f t="shared" si="357"/>
        <v>37.568343030821332</v>
      </c>
      <c r="AX607" s="70">
        <f t="shared" si="358"/>
        <v>5.7029026750142284</v>
      </c>
      <c r="AY607" s="70">
        <f>IFERROR(Driver!$K$19/Data!BH607/Data!BI607*Data!BK607*Data!BL607,"")</f>
        <v>0.11562650621663252</v>
      </c>
      <c r="AZ607" s="70">
        <f t="shared" si="359"/>
        <v>31.74981384959047</v>
      </c>
      <c r="BA607" s="70"/>
      <c r="BB607" s="70"/>
      <c r="BC607" s="70">
        <f t="shared" si="360"/>
        <v>52.255512466736889</v>
      </c>
      <c r="BD607" s="70">
        <f t="shared" si="361"/>
        <v>6.1744164409657962</v>
      </c>
      <c r="BE607" s="70">
        <f t="shared" si="362"/>
        <v>1.5364516231026202E-2</v>
      </c>
      <c r="BF607" s="70">
        <f t="shared" si="363"/>
        <v>14.506625937364104</v>
      </c>
      <c r="BG607" s="70">
        <f t="shared" si="364"/>
        <v>0.20035027601047906</v>
      </c>
      <c r="BH607" s="67">
        <f>MAX((CE607-Driver!$F$200)/(Driver!$G$200-Driver!$F$200)*$BI$1,1)</f>
        <v>5.7029026750142284</v>
      </c>
      <c r="BI607" s="67">
        <f>MAX($BI$1*(BY607-Driver!$F$201)/(Driver!$G$201-Driver!$F$201),1)</f>
        <v>6.5822784810126587</v>
      </c>
      <c r="BJ607" s="67">
        <f>(CB607-Driver!$F$206)/(Driver!$G$206-Driver!$F$206)*$BI$1</f>
        <v>7.4603174603174605</v>
      </c>
      <c r="BK607" s="67">
        <f>(CD607-Driver!$F$203)/(Driver!$G$203-Driver!$F$203)*$BI$1</f>
        <v>4.4954128440366974</v>
      </c>
      <c r="BL607" s="67">
        <f>MAX((CR607-Driver!$F$202)/(Driver!$G$202-Driver!$F$202)*$BI$1,1)</f>
        <v>4.8275862068965516</v>
      </c>
      <c r="BM607" s="67">
        <f>MAX((CH607-Driver!$F$204)/(Driver!$G$204-Driver!$F$204)*$BI$1,1)</f>
        <v>7.5213675213675213</v>
      </c>
      <c r="BN607" s="67">
        <f>(CI607-Driver!$F$205)/(Driver!$G$205-Driver!$F$205)*$BI$1</f>
        <v>4.8235294117647056</v>
      </c>
      <c r="BO607" s="67">
        <f>(CK607-Driver!$F$207)/(Driver!$G$207-Driver!$F$207)*$BI$1</f>
        <v>2.5542916235780764</v>
      </c>
      <c r="BP607" s="67">
        <f>(CM607-Driver!$F$208)/(Driver!$G$208-Driver!$F$208)*$BI$1</f>
        <v>3.4222222222222221</v>
      </c>
      <c r="BQ607" s="67">
        <f>(CL607-Driver!$F$209)/(Driver!$G$209-Driver!$F$209)*$BI$1</f>
        <v>8.59375</v>
      </c>
      <c r="BR607" s="28" t="s">
        <v>155</v>
      </c>
      <c r="BS607" s="8" t="s">
        <v>295</v>
      </c>
      <c r="BT607" s="9" t="s">
        <v>458</v>
      </c>
      <c r="BU607" s="10">
        <v>181</v>
      </c>
      <c r="BV607" s="9" t="s">
        <v>158</v>
      </c>
      <c r="BW607" s="10">
        <v>181</v>
      </c>
      <c r="BX607" s="10">
        <v>178.5</v>
      </c>
      <c r="BY607" s="10">
        <v>112</v>
      </c>
      <c r="BZ607" s="10">
        <v>153</v>
      </c>
      <c r="CA607" s="10">
        <v>145</v>
      </c>
      <c r="CB607" s="10">
        <v>111</v>
      </c>
      <c r="CC607" s="10">
        <v>135</v>
      </c>
      <c r="CD607" s="10">
        <v>19.2</v>
      </c>
      <c r="CE607" s="10">
        <v>1902</v>
      </c>
      <c r="CF607" s="10">
        <v>1.1399999999999999</v>
      </c>
      <c r="CG607" s="10">
        <v>2166</v>
      </c>
      <c r="CH607" s="10">
        <v>277</v>
      </c>
      <c r="CI607" s="10">
        <v>115</v>
      </c>
      <c r="CJ607" s="10">
        <v>56</v>
      </c>
      <c r="CK607" s="10">
        <v>357</v>
      </c>
      <c r="CL607" s="10">
        <v>55</v>
      </c>
      <c r="CM607" s="10">
        <v>308</v>
      </c>
      <c r="CN607" s="10">
        <v>0.96799999999999997</v>
      </c>
      <c r="CO607" s="10">
        <v>127</v>
      </c>
      <c r="CP607" s="10">
        <v>130</v>
      </c>
      <c r="CQ607" s="10">
        <v>230</v>
      </c>
      <c r="CR607" s="10">
        <v>3</v>
      </c>
      <c r="CS607" s="10">
        <v>9.4</v>
      </c>
      <c r="CT607" s="9" t="s">
        <v>184</v>
      </c>
      <c r="CU607" s="9" t="s">
        <v>169</v>
      </c>
      <c r="CV607" s="9" t="s">
        <v>185</v>
      </c>
      <c r="CW607" s="10"/>
      <c r="CX607" t="str">
        <f>INDEX('Data_Price '!AG$2:AG$1266,MATCH(Data!$DN607,'Data_Price '!$AT$2:$AT$1266,0))</f>
        <v>Icelantic Nomad 105 Lite Skis Â· 2022 Â· 181 cm</v>
      </c>
      <c r="CY607" t="str">
        <f>INDEX('Data_Price '!AH$2:AH$1266,MATCH(Data!$DN607,'Data_Price '!$AT$2:$AT$1266,0))</f>
        <v>REI</v>
      </c>
      <c r="CZ607">
        <f>INDEX('Data_Price '!AI$2:AI$1266,MATCH(Data!$DN607,'Data_Price '!$AT$2:$AT$1266,0))</f>
        <v>598.92999999999995</v>
      </c>
      <c r="DA607" t="str">
        <f>INDEX('Data_Price '!AJ$2:AJ$1266,MATCH(Data!$DN607,'Data_Price '!$AT$2:$AT$1266,0))</f>
        <v>https://tinyurl.com/ybokccm9</v>
      </c>
      <c r="DB607" t="str">
        <f>INDEX('Data_Price '!AK$2:AK$1266,MATCH(Data!$DN607,'Data_Price '!$AT$2:$AT$1266,0))</f>
        <v>Icelantic Nomad 105 Lite Skis Â· 2022 Â· 181 cm</v>
      </c>
      <c r="DC607" t="str">
        <f>INDEX('Data_Price '!AL$2:AL$1266,MATCH(Data!$DN607,'Data_Price '!$AT$2:$AT$1266,0))</f>
        <v>Bentgate Mountaineering</v>
      </c>
      <c r="DD607">
        <f>INDEX('Data_Price '!AM$2:AM$1266,MATCH(Data!$DN607,'Data_Price '!$AT$2:$AT$1266,0))</f>
        <v>599.25</v>
      </c>
      <c r="DE607" t="str">
        <f>INDEX('Data_Price '!AN$2:AN$1266,MATCH(Data!$DN607,'Data_Price '!$AT$2:$AT$1266,0))</f>
        <v>https://tinyurl.com/y995eoc5</v>
      </c>
      <c r="DF607" t="str">
        <f>INDEX('Data_Price '!AO$2:AO$1266,MATCH(Data!$DN607,'Data_Price '!$AT$2:$AT$1266,0))</f>
        <v>Icelantic Nomad 105 Lite Skis Â· 2022 Â· 181 cm</v>
      </c>
      <c r="DG607" t="str">
        <f>INDEX('Data_Price '!AP$2:AP$1266,MATCH(Data!$DN607,'Data_Price '!$AT$2:$AT$1266,0))</f>
        <v>DreamRuns.com</v>
      </c>
      <c r="DH607">
        <f>INDEX('Data_Price '!AQ$2:AQ$1266,MATCH(Data!$DN607,'Data_Price '!$AT$2:$AT$1266,0))</f>
        <v>599.25</v>
      </c>
      <c r="DI607" t="str">
        <f>INDEX('Data_Price '!AR$2:AR$1266,MATCH(Data!$DN607,'Data_Price '!$AT$2:$AT$1266,0))</f>
        <v>https://tinyurl.com/y84egsog</v>
      </c>
      <c r="DJ607" s="89" t="str">
        <f t="shared" si="365"/>
        <v>https://tinyurl.com/ybokccm9</v>
      </c>
      <c r="DK607" s="89" t="str">
        <f t="shared" si="366"/>
        <v>https://tinyurl.com/y995eoc5</v>
      </c>
      <c r="DL607" s="89" t="str">
        <f t="shared" si="367"/>
        <v>https://tinyurl.com/y84egsog</v>
      </c>
      <c r="DM607" s="219" t="str">
        <f t="shared" si="368"/>
        <v>Nomad Lite 105</v>
      </c>
      <c r="DN607" s="89" t="str">
        <f t="shared" si="369"/>
        <v xml:space="preserve"> IcelanticNomad Lite 105181 Unisex</v>
      </c>
      <c r="DO607" s="221" t="s">
        <v>459</v>
      </c>
    </row>
    <row r="608" spans="2:119" ht="15.6" customHeight="1">
      <c r="B608" s="219" t="b">
        <f t="array" ref="B608">IF(OR(ISERROR(K608:P608)),FALSE,TRUE)</f>
        <v>1</v>
      </c>
      <c r="C608" s="43" t="b">
        <f>OR(BR608=Driver!$G$50,Data!BR335=Driver!$H$50)</f>
        <v>1</v>
      </c>
      <c r="D608" s="43" t="b">
        <f>OR(BV608=Driver!$G$51,BV608=Driver!$H$51)</f>
        <v>1</v>
      </c>
      <c r="E608" s="43" t="b">
        <f>AND(BX608&gt;Driver!$F$54,BX608&lt;Driver!$G$54)</f>
        <v>0</v>
      </c>
      <c r="F608" s="43" t="b">
        <f>CL608&gt;Driver!$F$56</f>
        <v>1</v>
      </c>
      <c r="G608" s="43" t="b">
        <f>AND(CB608&gt;Driver!$F$55,CB608&lt;Driver!$G$55)</f>
        <v>1</v>
      </c>
      <c r="H608" s="43" t="b">
        <f t="shared" si="333"/>
        <v>0</v>
      </c>
      <c r="I608" s="43">
        <f t="shared" si="334"/>
        <v>0</v>
      </c>
      <c r="J608" s="43" t="b">
        <f t="array" ref="J608">NOT(OR(($H$9:$H$1273=TRUE)*($I$9:$I$1273&gt;0)*($BT$9:$BT$1273=BT608)*($K$9:$K$1273&gt;K608)))</f>
        <v>1</v>
      </c>
      <c r="K608" s="72">
        <f t="shared" si="335"/>
        <v>0.73169967034118799</v>
      </c>
      <c r="L608" s="72">
        <f t="shared" si="336"/>
        <v>0.79801120688160476</v>
      </c>
      <c r="M608" s="72">
        <f t="shared" si="337"/>
        <v>0.66538813380077144</v>
      </c>
      <c r="N608" s="72">
        <f t="shared" si="338"/>
        <v>0.49124066322613913</v>
      </c>
      <c r="O608" s="72">
        <f t="shared" si="339"/>
        <v>0.62586772758628484</v>
      </c>
      <c r="P608" s="72">
        <f t="shared" si="340"/>
        <v>0.87905601058989014</v>
      </c>
      <c r="Q608" s="72"/>
      <c r="R608" s="72"/>
      <c r="S608" s="72">
        <f t="shared" si="341"/>
        <v>0.48711370302628398</v>
      </c>
      <c r="T608" s="72">
        <f t="shared" si="342"/>
        <v>0.5309560843556318</v>
      </c>
      <c r="U608" s="72">
        <f t="shared" si="343"/>
        <v>0.50704034377091878</v>
      </c>
      <c r="V608" s="72">
        <f t="shared" si="344"/>
        <v>0.61067326887609874</v>
      </c>
      <c r="W608" s="72">
        <f t="shared" si="345"/>
        <v>0.7949049756189378</v>
      </c>
      <c r="X608" s="72">
        <f t="shared" si="346"/>
        <v>0.20198879311839529</v>
      </c>
      <c r="Y608" s="72">
        <f t="shared" si="347"/>
        <v>0.33461186619922861</v>
      </c>
      <c r="Z608" s="72">
        <f t="shared" si="348"/>
        <v>0.50875933677386087</v>
      </c>
      <c r="AA608" s="72">
        <f t="shared" si="349"/>
        <v>0.37413227241371516</v>
      </c>
      <c r="AB608" s="72">
        <f t="shared" si="350"/>
        <v>0.12094398941010992</v>
      </c>
      <c r="AC608" s="72"/>
      <c r="AD608" s="72"/>
      <c r="AE608" s="72">
        <f t="shared" si="351"/>
        <v>0.51288629697371602</v>
      </c>
      <c r="AF608" s="72">
        <f t="shared" si="352"/>
        <v>0.46904391564436815</v>
      </c>
      <c r="AG608" s="72">
        <f t="shared" si="353"/>
        <v>0.49295965622908117</v>
      </c>
      <c r="AH608" s="72">
        <f t="shared" si="354"/>
        <v>0.3893267311239012</v>
      </c>
      <c r="AI608" s="72">
        <f t="shared" si="355"/>
        <v>0.2050950243810622</v>
      </c>
      <c r="AJ608" s="72">
        <f>(AV608-Driver!$K$179)/(Driver!$L$179-Driver!$K$179)</f>
        <v>0.45620820240109572</v>
      </c>
      <c r="AK608" s="72">
        <f>(AW608-Driver!$K$180)/(Driver!$L$180-Driver!$K$180)</f>
        <v>0.39918301287982988</v>
      </c>
      <c r="AL608" s="72">
        <f>(AX608-Driver!$K$181)/(Driver!$L$181-Driver!$K$181)</f>
        <v>0.61044710048694106</v>
      </c>
      <c r="AM608" s="72">
        <f>(AY608-Driver!$K$182)/(Driver!$L$182-Driver!$K$182)</f>
        <v>7.3252748683331217E-2</v>
      </c>
      <c r="AN608" s="72">
        <f>(AZ608-Driver!$K$183)/(Driver!$L$183-Driver!$K$183)</f>
        <v>0.37516339869281035</v>
      </c>
      <c r="AO608" s="72"/>
      <c r="AP608" s="72"/>
      <c r="AQ608" s="72">
        <f>(BC608-Driver!$K$188)/(Driver!$L$188-Driver!$K$188)</f>
        <v>0.10711370302628404</v>
      </c>
      <c r="AR608" s="72">
        <f>MIN((BD608-Driver!$K$189)/(Driver!$L$189-Driver!$K$189),100%)</f>
        <v>8.095608435563191E-2</v>
      </c>
      <c r="AS608" s="72">
        <f>(BE608-Driver!$K$190)/(Driver!$L$190-Driver!$K$190)</f>
        <v>1.7040343770918846E-2</v>
      </c>
      <c r="AT608" s="72">
        <f>(BF608-Driver!$K$191)/(Driver!$L$191-Driver!$K$191)</f>
        <v>0.1206732688760988</v>
      </c>
      <c r="AU608" s="72">
        <f>(BG608-Driver!$K$192)/(Driver!$L$192-Driver!$K$192)</f>
        <v>4.4904975618937817E-2</v>
      </c>
      <c r="AV608" s="70">
        <f t="shared" si="356"/>
        <v>9.6018179351512671</v>
      </c>
      <c r="AW608" s="70">
        <f t="shared" si="357"/>
        <v>40.775814347917454</v>
      </c>
      <c r="AX608" s="70">
        <f t="shared" si="358"/>
        <v>6.4940239043824697</v>
      </c>
      <c r="AY608" s="70">
        <f>IFERROR(Driver!$K$19/Data!BH608/Data!BI608*Data!BK608*Data!BL608,"")</f>
        <v>8.9683220899098706E-2</v>
      </c>
      <c r="AZ608" s="70">
        <f t="shared" si="359"/>
        <v>34.192107222635883</v>
      </c>
      <c r="BA608" s="70"/>
      <c r="BB608" s="70"/>
      <c r="BC608" s="70">
        <f t="shared" si="360"/>
        <v>55.560622402116202</v>
      </c>
      <c r="BD608" s="70">
        <f t="shared" si="361"/>
        <v>8.8852929038778008</v>
      </c>
      <c r="BE608" s="70">
        <f t="shared" si="362"/>
        <v>1.7215692709907918E-2</v>
      </c>
      <c r="BF608" s="70">
        <f t="shared" si="363"/>
        <v>13.629197941860632</v>
      </c>
      <c r="BG608" s="70">
        <f t="shared" si="364"/>
        <v>0.1700388839708486</v>
      </c>
      <c r="BH608" s="67">
        <f>MAX((CE608-Driver!$F$200)/(Driver!$G$200-Driver!$F$200)*$BI$1,1)</f>
        <v>6.4940239043824697</v>
      </c>
      <c r="BI608" s="67">
        <f>MAX($BI$1*(BY608-Driver!$F$201)/(Driver!$G$201-Driver!$F$201),1)</f>
        <v>7.0886075949367084</v>
      </c>
      <c r="BJ608" s="67">
        <f>(CB608-Driver!$F$206)/(Driver!$G$206-Driver!$F$206)*$BI$1</f>
        <v>6.0317460317460316</v>
      </c>
      <c r="BK608" s="67">
        <f>(CD608-Driver!$F$203)/(Driver!$G$203-Driver!$F$203)*$BI$1</f>
        <v>3.9908256880733957</v>
      </c>
      <c r="BL608" s="67">
        <f>MAX((CR608-Driver!$F$202)/(Driver!$G$202-Driver!$F$202)*$BI$1,1)</f>
        <v>5.1724137931034484</v>
      </c>
      <c r="BM608" s="67">
        <f>MAX((CH608-Driver!$F$204)/(Driver!$G$204-Driver!$F$204)*$BI$1,1)</f>
        <v>6.3675213675213671</v>
      </c>
      <c r="BN608" s="67">
        <f>(CI608-Driver!$F$205)/(Driver!$G$205-Driver!$F$205)*$BI$1</f>
        <v>4.8235294117647056</v>
      </c>
      <c r="BO608" s="67">
        <f>(CK608-Driver!$F$207)/(Driver!$G$207-Driver!$F$207)*$BI$1</f>
        <v>2.4819027921406409</v>
      </c>
      <c r="BP608" s="67">
        <f>(CM608-Driver!$F$208)/(Driver!$G$208-Driver!$F$208)*$BI$1</f>
        <v>3.6333333333333333</v>
      </c>
      <c r="BQ608" s="67">
        <f>(CL608-Driver!$F$209)/(Driver!$G$209-Driver!$F$209)*$BI$1</f>
        <v>7.03125</v>
      </c>
      <c r="BR608" s="28" t="s">
        <v>155</v>
      </c>
      <c r="BS608" s="8" t="s">
        <v>218</v>
      </c>
      <c r="BT608" s="9" t="s">
        <v>398</v>
      </c>
      <c r="BU608" s="10">
        <v>189</v>
      </c>
      <c r="BV608" s="9" t="s">
        <v>158</v>
      </c>
      <c r="BW608" s="10">
        <v>189</v>
      </c>
      <c r="BX608" s="10">
        <v>187.4</v>
      </c>
      <c r="BY608" s="10">
        <v>120</v>
      </c>
      <c r="BZ608" s="10">
        <v>145</v>
      </c>
      <c r="CA608" s="10">
        <v>134</v>
      </c>
      <c r="CB608" s="10">
        <v>102</v>
      </c>
      <c r="CC608" s="10">
        <v>122</v>
      </c>
      <c r="CD608" s="10">
        <v>18.100000000000001</v>
      </c>
      <c r="CE608" s="10">
        <v>2041</v>
      </c>
      <c r="CF608" s="10">
        <v>1.04</v>
      </c>
      <c r="CG608" s="10">
        <v>2132</v>
      </c>
      <c r="CH608" s="10">
        <v>250</v>
      </c>
      <c r="CI608" s="10">
        <v>115</v>
      </c>
      <c r="CJ608" s="10">
        <v>61</v>
      </c>
      <c r="CK608" s="10">
        <v>350</v>
      </c>
      <c r="CL608" s="10">
        <v>45</v>
      </c>
      <c r="CM608" s="10">
        <v>327</v>
      </c>
      <c r="CN608" s="10">
        <v>0.74099999999999999</v>
      </c>
      <c r="CO608" s="10">
        <v>243</v>
      </c>
      <c r="CP608" s="10">
        <v>180</v>
      </c>
      <c r="CQ608" s="10">
        <v>107</v>
      </c>
      <c r="CR608" s="10">
        <v>4</v>
      </c>
      <c r="CS608" s="10">
        <v>7.2</v>
      </c>
      <c r="CT608" s="9" t="s">
        <v>188</v>
      </c>
      <c r="CU608" s="9" t="s">
        <v>169</v>
      </c>
      <c r="CV608" s="10"/>
      <c r="CW608" s="10"/>
      <c r="CX608" t="str">
        <f>INDEX('Data_Price '!AG$2:AG$1266,MATCH(Data!$DN608,'Data_Price '!$AT$2:$AT$1266,0))</f>
        <v>DPS Koala 103 Foundation Skis 2022</v>
      </c>
      <c r="CY608" t="str">
        <f>INDEX('Data_Price '!AH$2:AH$1266,MATCH(Data!$DN608,'Data_Price '!$AT$2:$AT$1266,0))</f>
        <v>Level Nine Sports</v>
      </c>
      <c r="CZ608">
        <f>INDEX('Data_Price '!AI$2:AI$1266,MATCH(Data!$DN608,'Data_Price '!$AT$2:$AT$1266,0))</f>
        <v>559.20000000000005</v>
      </c>
      <c r="DA608" t="str">
        <f>INDEX('Data_Price '!AJ$2:AJ$1266,MATCH(Data!$DN608,'Data_Price '!$AT$2:$AT$1266,0))</f>
        <v>https://tinyurl.com/y977puxw</v>
      </c>
      <c r="DB608" t="str">
        <f>INDEX('Data_Price '!AK$2:AK$1266,MATCH(Data!$DN608,'Data_Price '!$AT$2:$AT$1266,0))</f>
        <v>DPS Skis Koala Foundation F119 Ski</v>
      </c>
      <c r="DC608" t="str">
        <f>INDEX('Data_Price '!AL$2:AL$1266,MATCH(Data!$DN608,'Data_Price '!$AT$2:$AT$1266,0))</f>
        <v>Powder7 Ski Shop</v>
      </c>
      <c r="DD608">
        <f>INDEX('Data_Price '!AM$2:AM$1266,MATCH(Data!$DN608,'Data_Price '!$AT$2:$AT$1266,0))</f>
        <v>469.93</v>
      </c>
      <c r="DE608" t="str">
        <f>INDEX('Data_Price '!AN$2:AN$1266,MATCH(Data!$DN608,'Data_Price '!$AT$2:$AT$1266,0))</f>
        <v>https://tinyurl.com/yd249oag</v>
      </c>
      <c r="DF608" t="str">
        <f>INDEX('Data_Price '!AO$2:AO$1266,MATCH(Data!$DN608,'Data_Price '!$AT$2:$AT$1266,0))</f>
        <v>DPS Skis Koala Foundation F119 Ski</v>
      </c>
      <c r="DG608" t="str">
        <f>INDEX('Data_Price '!AP$2:AP$1266,MATCH(Data!$DN608,'Data_Price '!$AT$2:$AT$1266,0))</f>
        <v>Next Adventure</v>
      </c>
      <c r="DH608">
        <f>INDEX('Data_Price '!AQ$2:AQ$1266,MATCH(Data!$DN608,'Data_Price '!$AT$2:$AT$1266,0))</f>
        <v>479.4</v>
      </c>
      <c r="DI608" t="str">
        <f>INDEX('Data_Price '!AR$2:AR$1266,MATCH(Data!$DN608,'Data_Price '!$AT$2:$AT$1266,0))</f>
        <v>https://tinyurl.com/yacrxfqk</v>
      </c>
      <c r="DJ608" s="89" t="str">
        <f t="shared" si="365"/>
        <v>https://tinyurl.com/y977puxw</v>
      </c>
      <c r="DK608" s="89" t="str">
        <f t="shared" si="366"/>
        <v>https://tinyurl.com/yd249oag</v>
      </c>
      <c r="DL608" s="89" t="str">
        <f t="shared" si="367"/>
        <v>https://tinyurl.com/yacrxfqk</v>
      </c>
      <c r="DM608" s="219" t="str">
        <f t="shared" si="368"/>
        <v>Foundation 103 Koala</v>
      </c>
      <c r="DN608" s="89" t="str">
        <f t="shared" si="369"/>
        <v xml:space="preserve"> DPSFoundation 103 Koala189 Unisex</v>
      </c>
      <c r="DO608" s="221"/>
    </row>
    <row r="609" spans="2:119" ht="15.6" customHeight="1">
      <c r="B609" s="219" t="b">
        <f t="array" ref="B609">IF(OR(ISERROR(K609:P609)),FALSE,TRUE)</f>
        <v>1</v>
      </c>
      <c r="C609" s="43" t="b">
        <f>OR(BR609=Driver!$G$50,Data!BR93=Driver!$H$50)</f>
        <v>1</v>
      </c>
      <c r="D609" s="43" t="b">
        <f>OR(BV609=Driver!$G$51,BV609=Driver!$H$51)</f>
        <v>1</v>
      </c>
      <c r="E609" s="43" t="b">
        <f>AND(BX609&gt;Driver!$F$54,BX609&lt;Driver!$G$54)</f>
        <v>0</v>
      </c>
      <c r="F609" s="43" t="b">
        <f>CL609&gt;Driver!$F$56</f>
        <v>1</v>
      </c>
      <c r="G609" s="43" t="b">
        <f>AND(CB609&gt;Driver!$F$55,CB609&lt;Driver!$G$55)</f>
        <v>0</v>
      </c>
      <c r="H609" s="43" t="b">
        <f t="shared" si="333"/>
        <v>0</v>
      </c>
      <c r="I609" s="43">
        <f t="shared" si="334"/>
        <v>0</v>
      </c>
      <c r="J609" s="43" t="b">
        <f t="array" ref="J609">NOT(OR(($H$9:$H$1273=TRUE)*($I$9:$I$1273&gt;0)*($BT$9:$BT$1273=BT609)*($K$9:$K$1273&gt;K609)))</f>
        <v>1</v>
      </c>
      <c r="K609" s="72">
        <f t="shared" si="335"/>
        <v>0.83234746671521265</v>
      </c>
      <c r="L609" s="72">
        <f t="shared" si="336"/>
        <v>0.99958769731628427</v>
      </c>
      <c r="M609" s="72">
        <f t="shared" si="337"/>
        <v>0.66510723611414102</v>
      </c>
      <c r="N609" s="72">
        <f t="shared" si="338"/>
        <v>0.40017634905425514</v>
      </c>
      <c r="O609" s="72">
        <f t="shared" si="339"/>
        <v>0.61335242059370265</v>
      </c>
      <c r="P609" s="72">
        <f t="shared" si="340"/>
        <v>0.98179293869446516</v>
      </c>
      <c r="Q609" s="72"/>
      <c r="R609" s="72"/>
      <c r="S609" s="72">
        <f t="shared" si="341"/>
        <v>0.44241474523400759</v>
      </c>
      <c r="T609" s="72">
        <f t="shared" si="342"/>
        <v>0.55251972874696709</v>
      </c>
      <c r="U609" s="72">
        <f t="shared" si="343"/>
        <v>0.51949635362443392</v>
      </c>
      <c r="V609" s="72">
        <f t="shared" si="344"/>
        <v>0.5773891293629495</v>
      </c>
      <c r="W609" s="72">
        <f t="shared" si="345"/>
        <v>0.80867704280155639</v>
      </c>
      <c r="X609" s="72">
        <f t="shared" si="346"/>
        <v>4.1230268371567069E-4</v>
      </c>
      <c r="Y609" s="72">
        <f t="shared" si="347"/>
        <v>0.33489276388585898</v>
      </c>
      <c r="Z609" s="72">
        <f t="shared" si="348"/>
        <v>0.59982365094574486</v>
      </c>
      <c r="AA609" s="72">
        <f t="shared" si="349"/>
        <v>0.38664757940629729</v>
      </c>
      <c r="AB609" s="72">
        <f t="shared" si="350"/>
        <v>1.8207061305534844E-2</v>
      </c>
      <c r="AC609" s="72"/>
      <c r="AD609" s="72"/>
      <c r="AE609" s="72">
        <f t="shared" si="351"/>
        <v>0.55758525476599241</v>
      </c>
      <c r="AF609" s="72">
        <f t="shared" si="352"/>
        <v>0.44748027125303291</v>
      </c>
      <c r="AG609" s="72">
        <f t="shared" si="353"/>
        <v>0.48050364637556608</v>
      </c>
      <c r="AH609" s="72">
        <f t="shared" si="354"/>
        <v>0.4226108706370505</v>
      </c>
      <c r="AI609" s="72">
        <f t="shared" si="355"/>
        <v>0.19132295719844358</v>
      </c>
      <c r="AJ609" s="72">
        <f>(AV609-Driver!$K$179)/(Driver!$L$179-Driver!$K$179)</f>
        <v>0.25380710659898476</v>
      </c>
      <c r="AK609" s="72">
        <f>(AW609-Driver!$K$180)/(Driver!$L$180-Driver!$K$180)</f>
        <v>0.31136022116382234</v>
      </c>
      <c r="AL609" s="72">
        <f>(AX609-Driver!$K$181)/(Driver!$L$181-Driver!$K$181)</f>
        <v>0.70151141465882505</v>
      </c>
      <c r="AM609" s="72">
        <f>(AY609-Driver!$K$182)/(Driver!$L$182-Driver!$K$182)</f>
        <v>6.0737441690749065E-2</v>
      </c>
      <c r="AN609" s="72">
        <f>(AZ609-Driver!$K$183)/(Driver!$L$183-Driver!$K$183)</f>
        <v>0.27242647058823527</v>
      </c>
      <c r="AO609" s="72"/>
      <c r="AP609" s="72"/>
      <c r="AQ609" s="72">
        <f>(BC609-Driver!$K$188)/(Driver!$L$188-Driver!$K$188)</f>
        <v>6.2414745234007613E-2</v>
      </c>
      <c r="AR609" s="72">
        <f>MIN((BD609-Driver!$K$189)/(Driver!$L$189-Driver!$K$189),100%)</f>
        <v>0.10251972874696713</v>
      </c>
      <c r="AS609" s="72">
        <f>(BE609-Driver!$K$190)/(Driver!$L$190-Driver!$K$190)</f>
        <v>2.9496353624433945E-2</v>
      </c>
      <c r="AT609" s="72">
        <f>(BF609-Driver!$K$191)/(Driver!$L$191-Driver!$K$191)</f>
        <v>8.7389129362949541E-2</v>
      </c>
      <c r="AU609" s="72">
        <f>(BG609-Driver!$K$192)/(Driver!$L$192-Driver!$K$192)</f>
        <v>5.867704280155641E-2</v>
      </c>
      <c r="AV609" s="70">
        <f t="shared" si="356"/>
        <v>5.3418803418803416</v>
      </c>
      <c r="AW609" s="70">
        <f t="shared" si="357"/>
        <v>32.216705106093976</v>
      </c>
      <c r="AX609" s="70">
        <f t="shared" si="358"/>
        <v>7.313602731929425</v>
      </c>
      <c r="AY609" s="70">
        <f>IFERROR(Driver!$K$19/Data!BH609/Data!BI609*Data!BK609*Data!BL609,"")</f>
        <v>7.4360750932982791E-2</v>
      </c>
      <c r="AZ609" s="70">
        <f t="shared" si="359"/>
        <v>24.828741623231569</v>
      </c>
      <c r="BA609" s="70"/>
      <c r="BB609" s="70"/>
      <c r="BC609" s="70">
        <f t="shared" si="360"/>
        <v>32.374962253149199</v>
      </c>
      <c r="BD609" s="70">
        <f t="shared" si="361"/>
        <v>10.793637223994024</v>
      </c>
      <c r="BE609" s="70">
        <f t="shared" si="362"/>
        <v>2.9669480551463512E-2</v>
      </c>
      <c r="BF609" s="70">
        <f t="shared" si="363"/>
        <v>9.8699882181646021</v>
      </c>
      <c r="BG609" s="70">
        <f t="shared" si="364"/>
        <v>0.22218871595330739</v>
      </c>
      <c r="BH609" s="67">
        <f>MAX((CE609-Driver!$F$200)/(Driver!$G$200-Driver!$F$200)*$BI$1,1)</f>
        <v>7.313602731929425</v>
      </c>
      <c r="BI609" s="67">
        <f>MAX($BI$1*(BY609-Driver!$F$201)/(Driver!$G$201-Driver!$F$201),1)</f>
        <v>7.4050632911392409</v>
      </c>
      <c r="BJ609" s="67">
        <f>(CB609-Driver!$F$206)/(Driver!$G$206-Driver!$F$206)*$BI$1</f>
        <v>5.5555555555555554</v>
      </c>
      <c r="BK609" s="67">
        <f>(CD609-Driver!$F$203)/(Driver!$G$203-Driver!$F$203)*$BI$1</f>
        <v>3.0733944954128449</v>
      </c>
      <c r="BL609" s="67">
        <f>MAX((CR609-Driver!$F$202)/(Driver!$G$202-Driver!$F$202)*$BI$1,1)</f>
        <v>6.5517241379310338</v>
      </c>
      <c r="BM609" s="67">
        <f>MAX((CH609-Driver!$F$204)/(Driver!$G$204-Driver!$F$204)*$BI$1,1)</f>
        <v>3.8461538461538463</v>
      </c>
      <c r="BN609" s="67">
        <f>(CI609-Driver!$F$205)/(Driver!$G$205-Driver!$F$205)*$BI$1</f>
        <v>3.3529411764705879</v>
      </c>
      <c r="BO609" s="67">
        <f>(CK609-Driver!$F$207)/(Driver!$G$207-Driver!$F$207)*$BI$1</f>
        <v>2.047569803516029</v>
      </c>
      <c r="BP609" s="67">
        <f>(CM609-Driver!$F$208)/(Driver!$G$208-Driver!$F$208)*$BI$1</f>
        <v>2.6666666666666665</v>
      </c>
      <c r="BQ609" s="67">
        <f>(CL609-Driver!$F$209)/(Driver!$G$209-Driver!$F$209)*$BI$1</f>
        <v>6.25</v>
      </c>
      <c r="BR609" s="28" t="s">
        <v>155</v>
      </c>
      <c r="BS609" s="8" t="s">
        <v>182</v>
      </c>
      <c r="BT609" s="9" t="s">
        <v>686</v>
      </c>
      <c r="BU609" s="10">
        <v>180</v>
      </c>
      <c r="BV609" s="9" t="s">
        <v>158</v>
      </c>
      <c r="BW609" s="10">
        <v>180</v>
      </c>
      <c r="BX609" s="10">
        <v>179.4</v>
      </c>
      <c r="BY609" s="10">
        <v>125</v>
      </c>
      <c r="BZ609" s="10">
        <v>149</v>
      </c>
      <c r="CA609" s="10">
        <v>138</v>
      </c>
      <c r="CB609" s="10">
        <v>99</v>
      </c>
      <c r="CC609" s="10">
        <v>120</v>
      </c>
      <c r="CD609" s="10">
        <v>16.100000000000001</v>
      </c>
      <c r="CE609" s="10">
        <v>2185</v>
      </c>
      <c r="CF609" s="10">
        <v>0.92</v>
      </c>
      <c r="CG609" s="10">
        <v>2019</v>
      </c>
      <c r="CH609" s="10">
        <v>191</v>
      </c>
      <c r="CI609" s="10">
        <v>90</v>
      </c>
      <c r="CJ609" s="10">
        <v>61</v>
      </c>
      <c r="CK609" s="10">
        <v>308</v>
      </c>
      <c r="CL609" s="10">
        <v>40</v>
      </c>
      <c r="CM609" s="10">
        <v>240</v>
      </c>
      <c r="CN609" s="10">
        <v>0.64800000000000002</v>
      </c>
      <c r="CO609" s="10">
        <v>197</v>
      </c>
      <c r="CP609" s="10">
        <v>112</v>
      </c>
      <c r="CQ609" s="10">
        <v>112</v>
      </c>
      <c r="CR609" s="10">
        <v>8</v>
      </c>
      <c r="CS609" s="10">
        <v>9.4</v>
      </c>
      <c r="CT609" s="9" t="s">
        <v>188</v>
      </c>
      <c r="CU609" s="10"/>
      <c r="CV609" s="10"/>
      <c r="CW609" s="10"/>
      <c r="CX609" t="str">
        <f>INDEX('Data_Price '!AG$2:AG$1266,MATCH(Data!$DN609,'Data_Price '!$AT$2:$AT$1266,0))</f>
        <v>Armada Stranger Skis - 2022 180 cm</v>
      </c>
      <c r="CY609" t="str">
        <f>INDEX('Data_Price '!AH$2:AH$1266,MATCH(Data!$DN609,'Data_Price '!$AT$2:$AT$1266,0))</f>
        <v>Hillcrest Ski &amp; Sports</v>
      </c>
      <c r="CZ609">
        <f>INDEX('Data_Price '!AI$2:AI$1266,MATCH(Data!$DN609,'Data_Price '!$AT$2:$AT$1266,0))</f>
        <v>559.96</v>
      </c>
      <c r="DA609" t="str">
        <f>INDEX('Data_Price '!AJ$2:AJ$1266,MATCH(Data!$DN609,'Data_Price '!$AT$2:$AT$1266,0))</f>
        <v>https://tinyurl.com/y9rtg99b</v>
      </c>
      <c r="DB609" t="str">
        <f>INDEX('Data_Price '!AK$2:AK$1266,MATCH(Data!$DN609,'Data_Price '!$AT$2:$AT$1266,0))</f>
        <v>Armada Stranger Skis - 2022 180cm</v>
      </c>
      <c r="DC609" t="str">
        <f>INDEX('Data_Price '!AL$2:AL$1266,MATCH(Data!$DN609,'Data_Price '!$AT$2:$AT$1266,0))</f>
        <v>Glacier Ski Shop</v>
      </c>
      <c r="DD609">
        <f>INDEX('Data_Price '!AM$2:AM$1266,MATCH(Data!$DN609,'Data_Price '!$AT$2:$AT$1266,0))</f>
        <v>629</v>
      </c>
      <c r="DE609" t="str">
        <f>INDEX('Data_Price '!AN$2:AN$1266,MATCH(Data!$DN609,'Data_Price '!$AT$2:$AT$1266,0))</f>
        <v>https://tinyurl.com/ya4anwvx</v>
      </c>
      <c r="DF609" t="str">
        <f>INDEX('Data_Price '!AO$2:AO$1266,MATCH(Data!$DN609,'Data_Price '!$AT$2:$AT$1266,0))</f>
        <v>Armada Stranger Ski 180 cm</v>
      </c>
      <c r="DG609" t="str">
        <f>INDEX('Data_Price '!AP$2:AP$1266,MATCH(Data!$DN609,'Data_Price '!$AT$2:$AT$1266,0))</f>
        <v>Gravity Coalition</v>
      </c>
      <c r="DH609">
        <f>INDEX('Data_Price '!AQ$2:AQ$1266,MATCH(Data!$DN609,'Data_Price '!$AT$2:$AT$1266,0))</f>
        <v>649.95000000000005</v>
      </c>
      <c r="DI609" t="str">
        <f>INDEX('Data_Price '!AR$2:AR$1266,MATCH(Data!$DN609,'Data_Price '!$AT$2:$AT$1266,0))</f>
        <v>https://tinyurl.com/ya2k4jl2</v>
      </c>
      <c r="DJ609" s="89" t="str">
        <f t="shared" si="365"/>
        <v>https://tinyurl.com/y9rtg99b</v>
      </c>
      <c r="DK609" s="89" t="str">
        <f t="shared" si="366"/>
        <v>https://tinyurl.com/ya4anwvx</v>
      </c>
      <c r="DL609" s="89" t="str">
        <f t="shared" si="367"/>
        <v>https://tinyurl.com/ya2k4jl2</v>
      </c>
      <c r="DM609" s="219" t="str">
        <f t="shared" si="368"/>
        <v>Stranger</v>
      </c>
      <c r="DN609" s="89" t="str">
        <f t="shared" si="369"/>
        <v xml:space="preserve"> ArmadaStranger180 Unisex</v>
      </c>
      <c r="DO609" s="221" t="s">
        <v>687</v>
      </c>
    </row>
    <row r="610" spans="2:119" ht="15.6" customHeight="1">
      <c r="B610" s="219" t="b">
        <f t="array" ref="B610">IF(OR(ISERROR(K610:P610)),FALSE,TRUE)</f>
        <v>1</v>
      </c>
      <c r="C610" s="43" t="b">
        <f>OR(BR610=Driver!$G$50,Data!BR84=Driver!$H$50)</f>
        <v>1</v>
      </c>
      <c r="D610" s="43" t="b">
        <f>OR(BV610=Driver!$G$51,BV610=Driver!$H$51)</f>
        <v>0</v>
      </c>
      <c r="E610" s="43" t="b">
        <f>AND(BX610&gt;Driver!$F$54,BX610&lt;Driver!$G$54)</f>
        <v>1</v>
      </c>
      <c r="F610" s="43" t="b">
        <f>CL610&gt;Driver!$F$56</f>
        <v>1</v>
      </c>
      <c r="G610" s="43" t="b">
        <f>AND(CB610&gt;Driver!$F$55,CB610&lt;Driver!$G$55)</f>
        <v>0</v>
      </c>
      <c r="H610" s="43" t="b">
        <f t="shared" si="333"/>
        <v>0</v>
      </c>
      <c r="I610" s="43">
        <f t="shared" si="334"/>
        <v>0</v>
      </c>
      <c r="J610" s="43" t="b">
        <f t="array" ref="J610">NOT(OR(($H$9:$H$1273=TRUE)*($I$9:$I$1273&gt;0)*($BT$9:$BT$1273=BT610)*($K$9:$K$1273&gt;K610)))</f>
        <v>1</v>
      </c>
      <c r="K610" s="72">
        <f t="shared" si="335"/>
        <v>0.81933471796243706</v>
      </c>
      <c r="L610" s="72">
        <f t="shared" si="336"/>
        <v>0.88823486515126948</v>
      </c>
      <c r="M610" s="72">
        <f t="shared" si="337"/>
        <v>0.75043457077360476</v>
      </c>
      <c r="N610" s="72">
        <f t="shared" si="338"/>
        <v>0.81249532711028505</v>
      </c>
      <c r="O610" s="72">
        <f t="shared" si="339"/>
        <v>0.65721969488207721</v>
      </c>
      <c r="P610" s="72">
        <f t="shared" si="340"/>
        <v>0.78158869032845213</v>
      </c>
      <c r="Q610" s="72"/>
      <c r="R610" s="72"/>
      <c r="S610" s="72">
        <f t="shared" si="341"/>
        <v>0.51913803089007193</v>
      </c>
      <c r="T610" s="72">
        <f t="shared" si="342"/>
        <v>0.59856860831618386</v>
      </c>
      <c r="U610" s="72">
        <f t="shared" si="343"/>
        <v>0.51</v>
      </c>
      <c r="V610" s="72">
        <f t="shared" si="344"/>
        <v>0.49684640655278933</v>
      </c>
      <c r="W610" s="72">
        <f t="shared" si="345"/>
        <v>0.77577014218009477</v>
      </c>
      <c r="X610" s="72">
        <f t="shared" si="346"/>
        <v>0.11176513484873057</v>
      </c>
      <c r="Y610" s="72">
        <f t="shared" si="347"/>
        <v>0.24956542922639521</v>
      </c>
      <c r="Z610" s="72">
        <f t="shared" si="348"/>
        <v>0.18750467288971495</v>
      </c>
      <c r="AA610" s="72">
        <f t="shared" si="349"/>
        <v>0.34278030511792279</v>
      </c>
      <c r="AB610" s="72">
        <f t="shared" si="350"/>
        <v>0.21841130967154787</v>
      </c>
      <c r="AC610" s="72"/>
      <c r="AD610" s="72"/>
      <c r="AE610" s="72">
        <f t="shared" si="351"/>
        <v>0.48086196910992807</v>
      </c>
      <c r="AF610" s="72">
        <f t="shared" si="352"/>
        <v>0.40143139168381614</v>
      </c>
      <c r="AG610" s="72">
        <f t="shared" si="353"/>
        <v>0.49</v>
      </c>
      <c r="AH610" s="72">
        <f t="shared" si="354"/>
        <v>0.50315359344721067</v>
      </c>
      <c r="AI610" s="72">
        <f t="shared" si="355"/>
        <v>0.22422985781990523</v>
      </c>
      <c r="AJ610" s="72">
        <f>(AV610-Driver!$K$179)/(Driver!$L$179-Driver!$K$179)</f>
        <v>0.14245427443396985</v>
      </c>
      <c r="AK610" s="72">
        <f>(AW610-Driver!$K$180)/(Driver!$L$180-Driver!$K$180)</f>
        <v>0.46105721984857301</v>
      </c>
      <c r="AL610" s="72">
        <f>(AX610-Driver!$K$181)/(Driver!$L$181-Driver!$K$181)</f>
        <v>0.28919243660279514</v>
      </c>
      <c r="AM610" s="72">
        <f>(AY610-Driver!$K$182)/(Driver!$L$182-Driver!$K$182)</f>
        <v>0.10460471597912357</v>
      </c>
      <c r="AN610" s="72">
        <f>(AZ610-Driver!$K$183)/(Driver!$L$183-Driver!$K$183)</f>
        <v>0.4726307189542483</v>
      </c>
      <c r="AO610" s="72"/>
      <c r="AP610" s="72"/>
      <c r="AQ610" s="72">
        <f>(BC610-Driver!$K$188)/(Driver!$L$188-Driver!$K$188)</f>
        <v>0.13913803089007193</v>
      </c>
      <c r="AR610" s="72">
        <f>MIN((BD610-Driver!$K$189)/(Driver!$L$189-Driver!$K$189),100%)</f>
        <v>0.14856860831618393</v>
      </c>
      <c r="AS610" s="72">
        <f>(BE610-Driver!$K$190)/(Driver!$L$190-Driver!$K$190)</f>
        <v>1</v>
      </c>
      <c r="AT610" s="72">
        <f>(BF610-Driver!$K$191)/(Driver!$L$191-Driver!$K$191)</f>
        <v>6.8464065527893848E-3</v>
      </c>
      <c r="AU610" s="72">
        <f>(BG610-Driver!$K$192)/(Driver!$L$192-Driver!$K$192)</f>
        <v>2.5770142180094782E-2</v>
      </c>
      <c r="AV610" s="70">
        <f t="shared" si="356"/>
        <v>2.998236331569665</v>
      </c>
      <c r="AW610" s="70">
        <f t="shared" si="357"/>
        <v>46.806004078268963</v>
      </c>
      <c r="AX610" s="70">
        <f t="shared" si="358"/>
        <v>3.6027319294251563</v>
      </c>
      <c r="AY610" s="70">
        <f>IFERROR(Driver!$K$19/Data!BH610/Data!BI610*Data!BK610*Data!BL610,"")</f>
        <v>0.12806738339332716</v>
      </c>
      <c r="AZ610" s="70">
        <f t="shared" si="359"/>
        <v>43.075204765450479</v>
      </c>
      <c r="BA610" s="70"/>
      <c r="BB610" s="70"/>
      <c r="BC610" s="70">
        <f t="shared" si="360"/>
        <v>72.171863894578451</v>
      </c>
      <c r="BD610" s="70">
        <f t="shared" si="361"/>
        <v>14.868881472083272</v>
      </c>
      <c r="BE610" s="70">
        <f t="shared" si="362"/>
        <v>1</v>
      </c>
      <c r="BF610" s="70">
        <f t="shared" si="363"/>
        <v>0.77325352140932935</v>
      </c>
      <c r="BG610" s="70">
        <f t="shared" si="364"/>
        <v>9.7582197867298576E-2</v>
      </c>
      <c r="BH610" s="67">
        <f>MAX((CE610-Driver!$F$200)/(Driver!$G$200-Driver!$F$200)*$BI$1,1)</f>
        <v>3.6027319294251563</v>
      </c>
      <c r="BI610" s="67">
        <f>MAX($BI$1*(BY610-Driver!$F$201)/(Driver!$G$201-Driver!$F$201),1)</f>
        <v>8.2278481012658222</v>
      </c>
      <c r="BJ610" s="67">
        <f>(CB610-Driver!$F$206)/(Driver!$G$206-Driver!$F$206)*$BI$1</f>
        <v>2.6984126984126982</v>
      </c>
      <c r="BK610" s="67">
        <f>(CD610-Driver!$F$203)/(Driver!$G$203-Driver!$F$203)*$BI$1</f>
        <v>2.7522935779816518</v>
      </c>
      <c r="BL610" s="67">
        <f>MAX((CR610-Driver!$F$202)/(Driver!$G$202-Driver!$F$202)*$BI$1,1)</f>
        <v>6.8965517241379315</v>
      </c>
      <c r="BM610" s="67">
        <f>MAX((CH610-Driver!$F$204)/(Driver!$G$204-Driver!$F$204)*$BI$1,1)</f>
        <v>4.4444444444444446</v>
      </c>
      <c r="BN610" s="67">
        <f>(CI610-Driver!$F$205)/(Driver!$G$205-Driver!$F$205)*$BI$1</f>
        <v>5.2352941176470589</v>
      </c>
      <c r="BO610" s="67">
        <f>(CK610-Driver!$F$207)/(Driver!$G$207-Driver!$F$207)*$BI$1</f>
        <v>0.68252326783867623</v>
      </c>
      <c r="BP610" s="67">
        <f>(CM610-Driver!$F$208)/(Driver!$G$208-Driver!$F$208)*$BI$1</f>
        <v>1.1555555555555554</v>
      </c>
      <c r="BQ610" s="67">
        <f>(CL610-Driver!$F$209)/(Driver!$G$209-Driver!$F$209)*$BI$1</f>
        <v>1.5625</v>
      </c>
      <c r="BR610" s="28" t="s">
        <v>155</v>
      </c>
      <c r="BS610" s="8" t="s">
        <v>182</v>
      </c>
      <c r="BT610" s="9" t="s">
        <v>610</v>
      </c>
      <c r="BU610" s="10">
        <v>166</v>
      </c>
      <c r="BV610" s="9" t="s">
        <v>163</v>
      </c>
      <c r="BW610" s="10">
        <v>166</v>
      </c>
      <c r="BX610" s="10">
        <v>165.5</v>
      </c>
      <c r="BY610" s="10">
        <v>138</v>
      </c>
      <c r="BZ610" s="10">
        <v>149</v>
      </c>
      <c r="CA610" s="10">
        <v>125</v>
      </c>
      <c r="CB610" s="10">
        <v>81</v>
      </c>
      <c r="CC610" s="10">
        <v>108</v>
      </c>
      <c r="CD610" s="10">
        <v>15.4</v>
      </c>
      <c r="CE610" s="10">
        <v>1533</v>
      </c>
      <c r="CF610" s="10">
        <v>1.02</v>
      </c>
      <c r="CG610" s="10">
        <v>1569</v>
      </c>
      <c r="CH610" s="10">
        <v>205</v>
      </c>
      <c r="CI610" s="10">
        <v>122</v>
      </c>
      <c r="CJ610" s="10">
        <v>36</v>
      </c>
      <c r="CK610" s="10">
        <v>176</v>
      </c>
      <c r="CL610" s="10">
        <v>10</v>
      </c>
      <c r="CM610" s="10">
        <v>104</v>
      </c>
      <c r="CN610" s="10">
        <v>0.26900000000000002</v>
      </c>
      <c r="CO610" s="10">
        <v>112</v>
      </c>
      <c r="CP610" s="10">
        <v>55</v>
      </c>
      <c r="CQ610" s="10">
        <v>64</v>
      </c>
      <c r="CR610" s="10">
        <v>9</v>
      </c>
      <c r="CS610" s="10">
        <v>10.3</v>
      </c>
      <c r="CT610" s="9" t="s">
        <v>231</v>
      </c>
      <c r="CU610" s="9" t="s">
        <v>188</v>
      </c>
      <c r="CV610" s="10"/>
      <c r="CW610" s="10"/>
      <c r="CX610" t="str">
        <f>INDEX('Data_Price '!AG$2:AG$1266,MATCH(Data!$DN610,'Data_Price '!$AT$2:$AT$1266,0))</f>
        <v>Armada Reliance 82 Ti Skis - Women's 2022</v>
      </c>
      <c r="CY610" t="str">
        <f>INDEX('Data_Price '!AH$2:AH$1266,MATCH(Data!$DN610,'Data_Price '!$AT$2:$AT$1266,0))</f>
        <v>Teton Wasatch Ski Co.</v>
      </c>
      <c r="CZ610">
        <f>INDEX('Data_Price '!AI$2:AI$1266,MATCH(Data!$DN610,'Data_Price '!$AT$2:$AT$1266,0))</f>
        <v>479</v>
      </c>
      <c r="DA610" t="str">
        <f>INDEX('Data_Price '!AJ$2:AJ$1266,MATCH(Data!$DN610,'Data_Price '!$AT$2:$AT$1266,0))</f>
        <v>https://tinyurl.com/ybmgha5t</v>
      </c>
      <c r="DB610" t="str">
        <f>INDEX('Data_Price '!AK$2:AK$1266,MATCH(Data!$DN610,'Data_Price '!$AT$2:$AT$1266,0))</f>
        <v>Armada Reliance 82 Ti + EM10 21/22</v>
      </c>
      <c r="DC610" t="str">
        <f>INDEX('Data_Price '!AL$2:AL$1266,MATCH(Data!$DN610,'Data_Price '!$AT$2:$AT$1266,0))</f>
        <v>Snowcountry.eu</v>
      </c>
      <c r="DD610">
        <f>INDEX('Data_Price '!AM$2:AM$1266,MATCH(Data!$DN610,'Data_Price '!$AT$2:$AT$1266,0))</f>
        <v>552.30999999999995</v>
      </c>
      <c r="DE610" t="str">
        <f>INDEX('Data_Price '!AN$2:AN$1266,MATCH(Data!$DN610,'Data_Price '!$AT$2:$AT$1266,0))</f>
        <v>https://tinyurl.com/ydfeo9hz</v>
      </c>
      <c r="DF610" t="str">
        <f>INDEX('Data_Price '!AO$2:AO$1266,MATCH(Data!$DN610,'Data_Price '!$AT$2:$AT$1266,0))</f>
        <v>Armada Reliance 82 Ti Skis - Women's 2022</v>
      </c>
      <c r="DG610" t="str">
        <f>INDEX('Data_Price '!AP$2:AP$1266,MATCH(Data!$DN610,'Data_Price '!$AT$2:$AT$1266,0))</f>
        <v>Powder7 Ski Shop</v>
      </c>
      <c r="DH610">
        <f>INDEX('Data_Price '!AQ$2:AQ$1266,MATCH(Data!$DN610,'Data_Price '!$AT$2:$AT$1266,0))</f>
        <v>589.99</v>
      </c>
      <c r="DI610" t="str">
        <f>INDEX('Data_Price '!AR$2:AR$1266,MATCH(Data!$DN610,'Data_Price '!$AT$2:$AT$1266,0))</f>
        <v>https://tinyurl.com/ycrsmeu9</v>
      </c>
      <c r="DJ610" s="89" t="str">
        <f t="shared" si="365"/>
        <v>https://tinyurl.com/ybmgha5t</v>
      </c>
      <c r="DK610" s="89" t="str">
        <f t="shared" si="366"/>
        <v>https://tinyurl.com/ydfeo9hz</v>
      </c>
      <c r="DL610" s="89" t="str">
        <f t="shared" si="367"/>
        <v>https://tinyurl.com/ycrsmeu9</v>
      </c>
      <c r="DM610" s="219" t="str">
        <f t="shared" si="368"/>
        <v>Reliance 82 Ti</v>
      </c>
      <c r="DN610" s="89" t="str">
        <f t="shared" si="369"/>
        <v xml:space="preserve"> ArmadaReliance 82 Ti166 Women's</v>
      </c>
      <c r="DO610" s="221"/>
    </row>
    <row r="611" spans="2:119" ht="15.6" customHeight="1">
      <c r="B611" s="219" t="b">
        <f t="array" ref="B611">IF(OR(ISERROR(K611:P611)),FALSE,TRUE)</f>
        <v>1</v>
      </c>
      <c r="C611" s="43" t="b">
        <f>OR(BR611=Driver!$G$50,Data!BR260=Driver!$H$50)</f>
        <v>1</v>
      </c>
      <c r="D611" s="43" t="b">
        <f>OR(BV611=Driver!$G$51,BV611=Driver!$H$51)</f>
        <v>0</v>
      </c>
      <c r="E611" s="43" t="b">
        <f>AND(BX611&gt;Driver!$F$54,BX611&lt;Driver!$G$54)</f>
        <v>1</v>
      </c>
      <c r="F611" s="43" t="b">
        <f>CL611&gt;Driver!$F$56</f>
        <v>1</v>
      </c>
      <c r="G611" s="43" t="b">
        <f>AND(CB611&gt;Driver!$F$55,CB611&lt;Driver!$G$55)</f>
        <v>0</v>
      </c>
      <c r="H611" s="43" t="b">
        <f t="shared" si="333"/>
        <v>0</v>
      </c>
      <c r="I611" s="43">
        <f t="shared" si="334"/>
        <v>0</v>
      </c>
      <c r="J611" s="43" t="b">
        <f t="array" ref="J611">NOT(OR(($H$9:$H$1273=TRUE)*($I$9:$I$1273&gt;0)*($BT$9:$BT$1273=BT611)*($K$9:$K$1273&gt;K611)))</f>
        <v>1</v>
      </c>
      <c r="K611" s="72">
        <f t="shared" si="335"/>
        <v>0.80069510837321878</v>
      </c>
      <c r="L611" s="72">
        <f t="shared" si="336"/>
        <v>0.83441164381535771</v>
      </c>
      <c r="M611" s="72">
        <f t="shared" si="337"/>
        <v>0.76697857293107996</v>
      </c>
      <c r="N611" s="72">
        <f t="shared" si="338"/>
        <v>0.73597600756307702</v>
      </c>
      <c r="O611" s="72">
        <f t="shared" si="339"/>
        <v>0.62154840155861479</v>
      </c>
      <c r="P611" s="72">
        <f t="shared" si="340"/>
        <v>0.94341130967154796</v>
      </c>
      <c r="Q611" s="72"/>
      <c r="R611" s="72"/>
      <c r="S611" s="72">
        <f t="shared" si="341"/>
        <v>0.418357716200084</v>
      </c>
      <c r="T611" s="72">
        <f t="shared" si="342"/>
        <v>0.52473049650331416</v>
      </c>
      <c r="U611" s="72">
        <f t="shared" si="343"/>
        <v>0.51</v>
      </c>
      <c r="V611" s="72">
        <f t="shared" si="344"/>
        <v>0.50857203949501018</v>
      </c>
      <c r="W611" s="72">
        <f t="shared" si="345"/>
        <v>0.78149999999999997</v>
      </c>
      <c r="X611" s="72">
        <f t="shared" si="346"/>
        <v>0.16558835618464224</v>
      </c>
      <c r="Y611" s="72">
        <f t="shared" si="347"/>
        <v>0.23302142706892007</v>
      </c>
      <c r="Z611" s="72">
        <f t="shared" si="348"/>
        <v>0.26402399243692298</v>
      </c>
      <c r="AA611" s="72">
        <f t="shared" si="349"/>
        <v>0.37845159844138526</v>
      </c>
      <c r="AB611" s="72">
        <f t="shared" si="350"/>
        <v>5.6588690328452068E-2</v>
      </c>
      <c r="AC611" s="72"/>
      <c r="AD611" s="72"/>
      <c r="AE611" s="72">
        <f t="shared" si="351"/>
        <v>0.581642283799916</v>
      </c>
      <c r="AF611" s="72">
        <f t="shared" si="352"/>
        <v>0.47526950349668579</v>
      </c>
      <c r="AG611" s="72">
        <f t="shared" si="353"/>
        <v>0.49</v>
      </c>
      <c r="AH611" s="72">
        <f t="shared" si="354"/>
        <v>0.49142796050498988</v>
      </c>
      <c r="AI611" s="72">
        <f t="shared" si="355"/>
        <v>0.2185</v>
      </c>
      <c r="AJ611" s="72">
        <f>(AV611-Driver!$K$179)/(Driver!$L$179-Driver!$K$179)</f>
        <v>8.8631053098058174E-2</v>
      </c>
      <c r="AK611" s="72">
        <f>(AW611-Driver!$K$180)/(Driver!$L$180-Driver!$K$180)</f>
        <v>0.21050750744907074</v>
      </c>
      <c r="AL611" s="72">
        <f>(AX611-Driver!$K$181)/(Driver!$L$181-Driver!$K$181)</f>
        <v>0.36571175615000318</v>
      </c>
      <c r="AM611" s="72">
        <f>(AY611-Driver!$K$182)/(Driver!$L$182-Driver!$K$182)</f>
        <v>6.8933422655661089E-2</v>
      </c>
      <c r="AN611" s="72">
        <f>(AZ611-Driver!$K$183)/(Driver!$L$183-Driver!$K$183)</f>
        <v>0.19763071895424836</v>
      </c>
      <c r="AO611" s="72"/>
      <c r="AP611" s="72"/>
      <c r="AQ611" s="72">
        <f>(BC611-Driver!$K$188)/(Driver!$L$188-Driver!$K$188)</f>
        <v>3.8357716200083991E-2</v>
      </c>
      <c r="AR611" s="72">
        <f>MIN((BD611-Driver!$K$189)/(Driver!$L$189-Driver!$K$189),100%)</f>
        <v>7.4730496503314273E-2</v>
      </c>
      <c r="AS611" s="72">
        <f>(BE611-Driver!$K$190)/(Driver!$L$190-Driver!$K$190)</f>
        <v>1</v>
      </c>
      <c r="AT611" s="72">
        <f>(BF611-Driver!$K$191)/(Driver!$L$191-Driver!$K$191)</f>
        <v>1.8572039495010122E-2</v>
      </c>
      <c r="AU611" s="72">
        <f>(BG611-Driver!$K$192)/(Driver!$L$192-Driver!$K$192)</f>
        <v>3.15E-2</v>
      </c>
      <c r="AV611" s="70">
        <f t="shared" si="356"/>
        <v>1.8654185320851988</v>
      </c>
      <c r="AW611" s="70">
        <f t="shared" si="357"/>
        <v>22.387714508638737</v>
      </c>
      <c r="AX611" s="70">
        <f t="shared" si="358"/>
        <v>4.2914058053500286</v>
      </c>
      <c r="AY611" s="70">
        <f>IFERROR(Driver!$K$19/Data!BH611/Data!BI611*Data!BK611*Data!BL611,"")</f>
        <v>8.4395077078730188E-2</v>
      </c>
      <c r="AZ611" s="70">
        <f t="shared" si="359"/>
        <v>18.011913626209978</v>
      </c>
      <c r="BA611" s="70"/>
      <c r="BB611" s="70"/>
      <c r="BC611" s="70">
        <f t="shared" si="360"/>
        <v>19.896414051500432</v>
      </c>
      <c r="BD611" s="70">
        <f t="shared" si="361"/>
        <v>8.3343394100366197</v>
      </c>
      <c r="BE611" s="70">
        <f t="shared" si="362"/>
        <v>1</v>
      </c>
      <c r="BF611" s="70">
        <f t="shared" si="363"/>
        <v>2.0975813849995162</v>
      </c>
      <c r="BG611" s="70">
        <f t="shared" si="364"/>
        <v>0.11927909482758621</v>
      </c>
      <c r="BH611" s="67">
        <f>MAX((CE611-Driver!$F$200)/(Driver!$G$200-Driver!$F$200)*$BI$1,1)</f>
        <v>4.2914058053500286</v>
      </c>
      <c r="BI611" s="67">
        <f>MAX($BI$1*(BY611-Driver!$F$201)/(Driver!$G$201-Driver!$F$201),1)</f>
        <v>7.4683544303797467</v>
      </c>
      <c r="BJ611" s="67">
        <f>(CB611-Driver!$F$206)/(Driver!$G$206-Driver!$F$206)*$BI$1</f>
        <v>3.4920634920634921</v>
      </c>
      <c r="BK611" s="67">
        <f>(CD611-Driver!$F$203)/(Driver!$G$203-Driver!$F$203)*$BI$1</f>
        <v>2.0642201834862388</v>
      </c>
      <c r="BL611" s="67">
        <f>MAX((CR611-Driver!$F$202)/(Driver!$G$202-Driver!$F$202)*$BI$1,1)</f>
        <v>6.5517241379310338</v>
      </c>
      <c r="BM611" s="67">
        <f>MAX((CH611-Driver!$F$204)/(Driver!$G$204-Driver!$F$204)*$BI$1,1)</f>
        <v>2.1367521367521367</v>
      </c>
      <c r="BN611" s="67">
        <f>(CI611-Driver!$F$205)/(Driver!$G$205-Driver!$F$205)*$BI$1</f>
        <v>2.4117647058823528</v>
      </c>
      <c r="BO611" s="67">
        <f>(CK611-Driver!$F$207)/(Driver!$G$207-Driver!$F$207)*$BI$1</f>
        <v>1.1271975180972078</v>
      </c>
      <c r="BP611" s="67">
        <f>(CM611-Driver!$F$208)/(Driver!$G$208-Driver!$F$208)*$BI$1</f>
        <v>1.1000000000000001</v>
      </c>
      <c r="BQ611" s="67">
        <f>(CL611-Driver!$F$209)/(Driver!$G$209-Driver!$F$209)*$BI$1</f>
        <v>1.09375</v>
      </c>
      <c r="BR611" s="28" t="s">
        <v>155</v>
      </c>
      <c r="BS611" s="8" t="s">
        <v>317</v>
      </c>
      <c r="BT611" s="9" t="s">
        <v>502</v>
      </c>
      <c r="BU611" s="10">
        <v>159</v>
      </c>
      <c r="BV611" s="9" t="s">
        <v>163</v>
      </c>
      <c r="BW611" s="10">
        <v>159</v>
      </c>
      <c r="BX611" s="10">
        <v>157.80000000000001</v>
      </c>
      <c r="BY611" s="10">
        <v>126</v>
      </c>
      <c r="BZ611" s="10">
        <v>134</v>
      </c>
      <c r="CA611" s="10">
        <v>126</v>
      </c>
      <c r="CB611" s="10">
        <v>86</v>
      </c>
      <c r="CC611" s="10">
        <v>108</v>
      </c>
      <c r="CD611" s="10">
        <v>13.9</v>
      </c>
      <c r="CE611" s="10">
        <v>1654</v>
      </c>
      <c r="CF611" s="10">
        <v>0.94</v>
      </c>
      <c r="CG611" s="10">
        <v>1549</v>
      </c>
      <c r="CH611" s="10">
        <v>151</v>
      </c>
      <c r="CI611" s="10">
        <v>74</v>
      </c>
      <c r="CJ611" s="10">
        <v>59</v>
      </c>
      <c r="CK611" s="10">
        <v>219</v>
      </c>
      <c r="CL611" s="10">
        <v>7</v>
      </c>
      <c r="CM611" s="10">
        <v>99</v>
      </c>
      <c r="CN611" s="10">
        <v>0.126</v>
      </c>
      <c r="CO611" s="10">
        <v>124</v>
      </c>
      <c r="CP611" s="10">
        <v>112</v>
      </c>
      <c r="CQ611" s="10">
        <v>95</v>
      </c>
      <c r="CR611" s="10">
        <v>8</v>
      </c>
      <c r="CS611" s="10">
        <v>11.4</v>
      </c>
      <c r="CT611" s="9" t="s">
        <v>188</v>
      </c>
      <c r="CU611" s="10"/>
      <c r="CV611" s="10"/>
      <c r="CW611" s="10"/>
      <c r="CX611" t="str">
        <f>INDEX('Data_Price '!AG$2:AG$1266,MATCH(Data!$DN611,'Data_Price '!$AT$2:$AT$1266,0))</f>
        <v>17-18 Blizzard Black Pearl 88  Women's Demo Skis W/binding</v>
      </c>
      <c r="CY611" t="str">
        <f>INDEX('Data_Price '!AH$2:AH$1266,MATCH(Data!$DN611,'Data_Price '!$AT$2:$AT$1266,0))</f>
        <v>eBay - demo-skis</v>
      </c>
      <c r="CZ611">
        <f>INDEX('Data_Price '!AI$2:AI$1266,MATCH(Data!$DN611,'Data_Price '!$AT$2:$AT$1266,0))</f>
        <v>299</v>
      </c>
      <c r="DA611" t="str">
        <f>INDEX('Data_Price '!AJ$2:AJ$1266,MATCH(Data!$DN611,'Data_Price '!$AT$2:$AT$1266,0))</f>
        <v>https://tinyurl.com/yaewqcjt</v>
      </c>
      <c r="DB611" t="str">
        <f>INDEX('Data_Price '!AK$2:AK$1266,MATCH(Data!$DN611,'Data_Price '!$AT$2:$AT$1266,0))</f>
        <v>Blizzard Black Pearl 88 (Flat)</v>
      </c>
      <c r="DC611" t="str">
        <f>INDEX('Data_Price '!AL$2:AL$1266,MATCH(Data!$DN611,'Data_Price '!$AT$2:$AT$1266,0))</f>
        <v>Telemark Pyrenees</v>
      </c>
      <c r="DD611">
        <f>INDEX('Data_Price '!AM$2:AM$1266,MATCH(Data!$DN611,'Data_Price '!$AT$2:$AT$1266,0))</f>
        <v>347.48</v>
      </c>
      <c r="DE611" t="str">
        <f>INDEX('Data_Price '!AN$2:AN$1266,MATCH(Data!$DN611,'Data_Price '!$AT$2:$AT$1266,0))</f>
        <v>https://tinyurl.com/ybxe3vro</v>
      </c>
      <c r="DF611" t="str">
        <f>INDEX('Data_Price '!AO$2:AO$1266,MATCH(Data!$DN611,'Data_Price '!$AT$2:$AT$1266,0))</f>
        <v>Blizzard Black Pearl 88 (Flat)</v>
      </c>
      <c r="DG611" t="str">
        <f>INDEX('Data_Price '!AP$2:AP$1266,MATCH(Data!$DN611,'Data_Price '!$AT$2:$AT$1266,0))</f>
        <v>Snowcountry.eu</v>
      </c>
      <c r="DH611">
        <f>INDEX('Data_Price '!AQ$2:AQ$1266,MATCH(Data!$DN611,'Data_Price '!$AT$2:$AT$1266,0))</f>
        <v>354.97</v>
      </c>
      <c r="DI611" t="str">
        <f>INDEX('Data_Price '!AR$2:AR$1266,MATCH(Data!$DN611,'Data_Price '!$AT$2:$AT$1266,0))</f>
        <v>https://tinyurl.com/ydxeowed</v>
      </c>
      <c r="DJ611" s="89" t="str">
        <f t="shared" si="365"/>
        <v>https://tinyurl.com/yaewqcjt</v>
      </c>
      <c r="DK611" s="89" t="str">
        <f t="shared" si="366"/>
        <v>https://tinyurl.com/ybxe3vro</v>
      </c>
      <c r="DL611" s="89" t="str">
        <f t="shared" si="367"/>
        <v>https://tinyurl.com/ydxeowed</v>
      </c>
      <c r="DM611" s="219" t="str">
        <f t="shared" si="368"/>
        <v>Black Pearl 88</v>
      </c>
      <c r="DN611" s="89" t="str">
        <f t="shared" si="369"/>
        <v xml:space="preserve"> BlizzardBlack Pearl 88159 Women's</v>
      </c>
      <c r="DO611" s="221" t="s">
        <v>503</v>
      </c>
    </row>
    <row r="612" spans="2:119" ht="15.6" customHeight="1">
      <c r="B612" s="219" t="b">
        <f t="array" ref="B612">IF(OR(ISERROR(K612:P612)),FALSE,TRUE)</f>
        <v>1</v>
      </c>
      <c r="C612" s="43" t="b">
        <f>OR(BR612=Driver!$G$50,Data!BR1244=Driver!$H$50)</f>
        <v>1</v>
      </c>
      <c r="D612" s="43" t="b">
        <f>OR(BV612=Driver!$G$51,BV612=Driver!$H$51)</f>
        <v>1</v>
      </c>
      <c r="E612" s="43" t="b">
        <f>AND(BX612&gt;Driver!$F$54,BX612&lt;Driver!$G$54)</f>
        <v>0</v>
      </c>
      <c r="F612" s="43" t="b">
        <f>CL612&gt;Driver!$F$56</f>
        <v>1</v>
      </c>
      <c r="G612" s="43" t="b">
        <f>AND(CB612&gt;Driver!$F$55,CB612&lt;Driver!$G$55)</f>
        <v>0</v>
      </c>
      <c r="H612" s="43" t="b">
        <f t="shared" si="333"/>
        <v>0</v>
      </c>
      <c r="I612" s="43">
        <f t="shared" si="334"/>
        <v>0</v>
      </c>
      <c r="J612" s="43" t="b">
        <f t="array" ref="J612">NOT(OR(($H$9:$H$1273=TRUE)*($I$9:$I$1273&gt;0)*($BT$9:$BT$1273=BT612)*($K$9:$K$1273&gt;K612)))</f>
        <v>1</v>
      </c>
      <c r="K612" s="72">
        <f t="shared" si="335"/>
        <v>0.83107941973689592</v>
      </c>
      <c r="L612" s="72">
        <f t="shared" si="336"/>
        <v>0.99316067106660177</v>
      </c>
      <c r="M612" s="72">
        <f t="shared" si="337"/>
        <v>0.66899816840718995</v>
      </c>
      <c r="N612" s="72">
        <f t="shared" si="338"/>
        <v>0.49566740072060567</v>
      </c>
      <c r="O612" s="72">
        <f t="shared" si="339"/>
        <v>0.66564527691761033</v>
      </c>
      <c r="P612" s="72">
        <f t="shared" si="340"/>
        <v>0.84568182758335408</v>
      </c>
      <c r="Q612" s="72"/>
      <c r="R612" s="72"/>
      <c r="S612" s="72">
        <f t="shared" si="341"/>
        <v>0.59728562531297791</v>
      </c>
      <c r="T612" s="72">
        <f t="shared" si="342"/>
        <v>0.49328579678057349</v>
      </c>
      <c r="U612" s="72">
        <f t="shared" si="343"/>
        <v>0.62776292204913997</v>
      </c>
      <c r="V612" s="72">
        <f t="shared" si="344"/>
        <v>0.500754716175839</v>
      </c>
      <c r="W612" s="72">
        <f t="shared" si="345"/>
        <v>0.80125293944738396</v>
      </c>
      <c r="X612" s="72">
        <f t="shared" si="346"/>
        <v>6.8393289333982255E-3</v>
      </c>
      <c r="Y612" s="72">
        <f t="shared" si="347"/>
        <v>0.33100183159280999</v>
      </c>
      <c r="Z612" s="72">
        <f t="shared" si="348"/>
        <v>0.50433259927939433</v>
      </c>
      <c r="AA612" s="72">
        <f t="shared" si="349"/>
        <v>0.33435472308238967</v>
      </c>
      <c r="AB612" s="72">
        <f t="shared" si="350"/>
        <v>0.15431817241664592</v>
      </c>
      <c r="AC612" s="72"/>
      <c r="AD612" s="72"/>
      <c r="AE612" s="72">
        <f t="shared" si="351"/>
        <v>0.40271437468702209</v>
      </c>
      <c r="AF612" s="72">
        <f t="shared" si="352"/>
        <v>0.50671420321942651</v>
      </c>
      <c r="AG612" s="72">
        <f t="shared" si="353"/>
        <v>0.37223707795086003</v>
      </c>
      <c r="AH612" s="72">
        <f t="shared" si="354"/>
        <v>0.49924528382416106</v>
      </c>
      <c r="AI612" s="72">
        <f t="shared" si="355"/>
        <v>0.19874706055261609</v>
      </c>
      <c r="AJ612" s="72">
        <f>(AV612-Driver!$K$179)/(Driver!$L$179-Driver!$K$179)</f>
        <v>0.26105873821609865</v>
      </c>
      <c r="AK612" s="72">
        <f>(AW612-Driver!$K$180)/(Driver!$L$180-Driver!$K$180)</f>
        <v>0.43048398043605435</v>
      </c>
      <c r="AL612" s="72">
        <f>(AX612-Driver!$K$181)/(Driver!$L$181-Driver!$K$181)</f>
        <v>0.60602036299247453</v>
      </c>
      <c r="AM612" s="72">
        <f>(AY612-Driver!$K$182)/(Driver!$L$182-Driver!$K$182)</f>
        <v>0.11303029801465671</v>
      </c>
      <c r="AN612" s="72">
        <f>(AZ612-Driver!$K$183)/(Driver!$L$183-Driver!$K$183)</f>
        <v>0.40853758169934634</v>
      </c>
      <c r="AO612" s="72"/>
      <c r="AP612" s="72"/>
      <c r="AQ612" s="72">
        <f>(BC612-Driver!$K$188)/(Driver!$L$188-Driver!$K$188)</f>
        <v>0.2172856253129779</v>
      </c>
      <c r="AR612" s="72">
        <f>MIN((BD612-Driver!$K$189)/(Driver!$L$189-Driver!$K$189),100%)</f>
        <v>4.3285796780573559E-2</v>
      </c>
      <c r="AS612" s="72">
        <f>(BE612-Driver!$K$190)/(Driver!$L$190-Driver!$K$190)</f>
        <v>0.13776292204913995</v>
      </c>
      <c r="AT612" s="72">
        <f>(BF612-Driver!$K$191)/(Driver!$L$191-Driver!$K$191)</f>
        <v>1.0754716175838945E-2</v>
      </c>
      <c r="AU612" s="72">
        <f>(BG612-Driver!$K$192)/(Driver!$L$192-Driver!$K$192)</f>
        <v>5.1252939447383891E-2</v>
      </c>
      <c r="AV612" s="70">
        <f t="shared" si="356"/>
        <v>5.4945054945054954</v>
      </c>
      <c r="AW612" s="70">
        <f t="shared" si="357"/>
        <v>43.826370991058937</v>
      </c>
      <c r="AX612" s="70">
        <f t="shared" si="358"/>
        <v>6.4541832669322705</v>
      </c>
      <c r="AY612" s="70">
        <f>IFERROR(Driver!$K$19/Data!BH612/Data!BI612*Data!BK612*Data!BL612,"")</f>
        <v>0.13838280975586228</v>
      </c>
      <c r="AZ612" s="70">
        <f t="shared" si="359"/>
        <v>37.233804914370808</v>
      </c>
      <c r="BA612" s="70"/>
      <c r="BB612" s="70"/>
      <c r="BC612" s="70">
        <f t="shared" si="360"/>
        <v>112.70756439500236</v>
      </c>
      <c r="BD612" s="70">
        <f t="shared" si="361"/>
        <v>5.5515392012850446</v>
      </c>
      <c r="BE612" s="70">
        <f t="shared" si="362"/>
        <v>0.13791673543895466</v>
      </c>
      <c r="BF612" s="70">
        <f t="shared" si="363"/>
        <v>1.214669635903693</v>
      </c>
      <c r="BG612" s="70">
        <f t="shared" si="364"/>
        <v>0.19407632458847737</v>
      </c>
      <c r="BH612" s="67">
        <f>MAX((CE612-Driver!$F$200)/(Driver!$G$200-Driver!$F$200)*$BI$1,1)</f>
        <v>6.4541832669322705</v>
      </c>
      <c r="BI612" s="67">
        <f>MAX($BI$1*(BY612-Driver!$F$201)/(Driver!$G$201-Driver!$F$201),1)</f>
        <v>8.6708860759493671</v>
      </c>
      <c r="BJ612" s="67">
        <f>(CB612-Driver!$F$206)/(Driver!$G$206-Driver!$F$206)*$BI$1</f>
        <v>4.7619047619047619</v>
      </c>
      <c r="BK612" s="67">
        <f>(CD612-Driver!$F$203)/(Driver!$G$203-Driver!$F$203)*$BI$1</f>
        <v>6.6055045871559646</v>
      </c>
      <c r="BL612" s="67">
        <f>MAX((CR612-Driver!$F$202)/(Driver!$G$202-Driver!$F$202)*$BI$1,1)</f>
        <v>5.8620689655172411</v>
      </c>
      <c r="BM612" s="67">
        <f>MAX((CH612-Driver!$F$204)/(Driver!$G$204-Driver!$F$204)*$BI$1,1)</f>
        <v>4.6153846153846159</v>
      </c>
      <c r="BN612" s="67">
        <f>(CI612-Driver!$F$205)/(Driver!$G$205-Driver!$F$205)*$BI$1</f>
        <v>4.2941176470588234</v>
      </c>
      <c r="BO612" s="67">
        <f>(CK612-Driver!$F$207)/(Driver!$G$207-Driver!$F$207)*$BI$1</f>
        <v>0.97207859358841786</v>
      </c>
      <c r="BP612" s="67">
        <f>(CM612-Driver!$F$208)/(Driver!$G$208-Driver!$F$208)*$BI$1</f>
        <v>1.7333333333333334</v>
      </c>
      <c r="BQ612" s="67">
        <f>(CL612-Driver!$F$209)/(Driver!$G$209-Driver!$F$209)*$BI$1</f>
        <v>5.78125</v>
      </c>
      <c r="BR612" s="28" t="s">
        <v>155</v>
      </c>
      <c r="BS612" s="8" t="s">
        <v>229</v>
      </c>
      <c r="BT612" s="9" t="s">
        <v>596</v>
      </c>
      <c r="BU612" s="10">
        <v>181</v>
      </c>
      <c r="BV612" s="9" t="s">
        <v>158</v>
      </c>
      <c r="BW612" s="10">
        <v>181</v>
      </c>
      <c r="BX612" s="10">
        <v>181.3</v>
      </c>
      <c r="BY612" s="10">
        <v>145</v>
      </c>
      <c r="BZ612" s="10">
        <v>166</v>
      </c>
      <c r="CA612" s="10">
        <v>128</v>
      </c>
      <c r="CB612" s="10">
        <v>94</v>
      </c>
      <c r="CC612" s="10">
        <v>118</v>
      </c>
      <c r="CD612" s="10">
        <v>23.8</v>
      </c>
      <c r="CE612" s="10">
        <v>2034</v>
      </c>
      <c r="CF612" s="10">
        <v>0.93</v>
      </c>
      <c r="CG612" s="10">
        <v>1886</v>
      </c>
      <c r="CH612" s="10">
        <v>209</v>
      </c>
      <c r="CI612" s="10">
        <v>106</v>
      </c>
      <c r="CJ612" s="10">
        <v>38</v>
      </c>
      <c r="CK612" s="10">
        <v>204</v>
      </c>
      <c r="CL612" s="10">
        <v>37</v>
      </c>
      <c r="CM612" s="10">
        <v>156</v>
      </c>
      <c r="CN612" s="10">
        <v>0.96</v>
      </c>
      <c r="CO612" s="10">
        <v>83</v>
      </c>
      <c r="CP612" s="10">
        <v>72</v>
      </c>
      <c r="CQ612" s="10">
        <v>120</v>
      </c>
      <c r="CR612" s="10">
        <v>6</v>
      </c>
      <c r="CS612" s="10">
        <v>0.2</v>
      </c>
      <c r="CT612" s="9" t="s">
        <v>184</v>
      </c>
      <c r="CU612" s="10"/>
      <c r="CV612" s="10"/>
      <c r="CW612" s="10"/>
      <c r="CX612" t="e">
        <f>INDEX('Data_Price '!AG$2:AG$1266,MATCH(Data!$DN612,'Data_Price '!$AT$2:$AT$1266,0))</f>
        <v>#N/A</v>
      </c>
      <c r="CY612" t="e">
        <f>INDEX('Data_Price '!AH$2:AH$1266,MATCH(Data!$DN612,'Data_Price '!$AT$2:$AT$1266,0))</f>
        <v>#N/A</v>
      </c>
      <c r="CZ612" t="e">
        <f>INDEX('Data_Price '!AI$2:AI$1266,MATCH(Data!$DN612,'Data_Price '!$AT$2:$AT$1266,0))</f>
        <v>#N/A</v>
      </c>
      <c r="DA612" t="e">
        <f>INDEX('Data_Price '!AJ$2:AJ$1266,MATCH(Data!$DN612,'Data_Price '!$AT$2:$AT$1266,0))</f>
        <v>#N/A</v>
      </c>
      <c r="DB612" t="e">
        <f>INDEX('Data_Price '!AK$2:AK$1266,MATCH(Data!$DN612,'Data_Price '!$AT$2:$AT$1266,0))</f>
        <v>#N/A</v>
      </c>
      <c r="DC612" t="e">
        <f>INDEX('Data_Price '!AL$2:AL$1266,MATCH(Data!$DN612,'Data_Price '!$AT$2:$AT$1266,0))</f>
        <v>#N/A</v>
      </c>
      <c r="DD612" t="e">
        <f>INDEX('Data_Price '!AM$2:AM$1266,MATCH(Data!$DN612,'Data_Price '!$AT$2:$AT$1266,0))</f>
        <v>#N/A</v>
      </c>
      <c r="DE612" t="e">
        <f>INDEX('Data_Price '!AN$2:AN$1266,MATCH(Data!$DN612,'Data_Price '!$AT$2:$AT$1266,0))</f>
        <v>#N/A</v>
      </c>
      <c r="DF612" t="e">
        <f>INDEX('Data_Price '!AO$2:AO$1266,MATCH(Data!$DN612,'Data_Price '!$AT$2:$AT$1266,0))</f>
        <v>#N/A</v>
      </c>
      <c r="DG612" t="e">
        <f>INDEX('Data_Price '!AP$2:AP$1266,MATCH(Data!$DN612,'Data_Price '!$AT$2:$AT$1266,0))</f>
        <v>#N/A</v>
      </c>
      <c r="DH612" t="e">
        <f>INDEX('Data_Price '!AQ$2:AQ$1266,MATCH(Data!$DN612,'Data_Price '!$AT$2:$AT$1266,0))</f>
        <v>#N/A</v>
      </c>
      <c r="DI612" t="e">
        <f>INDEX('Data_Price '!AR$2:AR$1266,MATCH(Data!$DN612,'Data_Price '!$AT$2:$AT$1266,0))</f>
        <v>#N/A</v>
      </c>
      <c r="DJ612" s="89" t="e">
        <f t="shared" si="365"/>
        <v>#N/A</v>
      </c>
      <c r="DK612" s="89" t="e">
        <f t="shared" si="366"/>
        <v>#N/A</v>
      </c>
      <c r="DL612" s="89" t="e">
        <f t="shared" si="367"/>
        <v>#N/A</v>
      </c>
      <c r="DM612" s="219" t="str">
        <f t="shared" si="368"/>
        <v>Revolt 95</v>
      </c>
      <c r="DN612" s="89" t="str">
        <f t="shared" si="369"/>
        <v xml:space="preserve"> VölklRevolt 95181 Unisex</v>
      </c>
      <c r="DO612" s="221" t="s">
        <v>597</v>
      </c>
    </row>
    <row r="613" spans="2:119" ht="15.6" customHeight="1">
      <c r="B613" s="219" t="b">
        <f t="array" ref="B613">IF(OR(ISERROR(K613:P613)),FALSE,TRUE)</f>
        <v>1</v>
      </c>
      <c r="C613" s="43" t="b">
        <f>OR(BR613=Driver!$G$50,Data!BR1005=Driver!$H$50)</f>
        <v>1</v>
      </c>
      <c r="D613" s="43" t="b">
        <f>OR(BV613=Driver!$G$51,BV613=Driver!$H$51)</f>
        <v>1</v>
      </c>
      <c r="E613" s="43" t="b">
        <f>AND(BX613&gt;Driver!$F$54,BX613&lt;Driver!$G$54)</f>
        <v>0</v>
      </c>
      <c r="F613" s="43" t="b">
        <f>CL613&gt;Driver!$F$56</f>
        <v>1</v>
      </c>
      <c r="G613" s="43" t="b">
        <f>AND(CB613&gt;Driver!$F$55,CB613&lt;Driver!$G$55)</f>
        <v>0</v>
      </c>
      <c r="H613" s="43" t="b">
        <f t="shared" si="333"/>
        <v>0</v>
      </c>
      <c r="I613" s="43">
        <f t="shared" si="334"/>
        <v>0</v>
      </c>
      <c r="J613" s="43" t="b">
        <f t="array" ref="J613">NOT(OR(($H$9:$H$1273=TRUE)*($I$9:$I$1273&gt;0)*($BT$9:$BT$1273=BT613)*($K$9:$K$1273&gt;K613)))</f>
        <v>1</v>
      </c>
      <c r="K613" s="72">
        <f t="shared" si="335"/>
        <v>0.83778453659970986</v>
      </c>
      <c r="L613" s="72">
        <f t="shared" si="336"/>
        <v>0.94302497070279623</v>
      </c>
      <c r="M613" s="72">
        <f t="shared" si="337"/>
        <v>0.73254410249662349</v>
      </c>
      <c r="N613" s="72">
        <f t="shared" si="338"/>
        <v>0.62467517913077453</v>
      </c>
      <c r="O613" s="72">
        <f t="shared" si="339"/>
        <v>0.62644124352414909</v>
      </c>
      <c r="P613" s="72">
        <f t="shared" si="340"/>
        <v>0.94651588483494664</v>
      </c>
      <c r="Q613" s="72"/>
      <c r="R613" s="72"/>
      <c r="S613" s="72">
        <f t="shared" si="341"/>
        <v>0.44801984966114683</v>
      </c>
      <c r="T613" s="72">
        <f t="shared" si="342"/>
        <v>0.74153277148319896</v>
      </c>
      <c r="U613" s="72">
        <f t="shared" si="343"/>
        <v>0.75163522875318067</v>
      </c>
      <c r="V613" s="72">
        <f t="shared" si="344"/>
        <v>0.50796710411491053</v>
      </c>
      <c r="W613" s="72">
        <f t="shared" si="345"/>
        <v>0.76788425047438325</v>
      </c>
      <c r="X613" s="72">
        <f t="shared" si="346"/>
        <v>5.6975029297203716E-2</v>
      </c>
      <c r="Y613" s="72">
        <f t="shared" si="347"/>
        <v>0.26745589750337656</v>
      </c>
      <c r="Z613" s="72">
        <f t="shared" si="348"/>
        <v>0.37532482086922553</v>
      </c>
      <c r="AA613" s="72">
        <f t="shared" si="349"/>
        <v>0.37355875647585085</v>
      </c>
      <c r="AB613" s="72">
        <f t="shared" si="350"/>
        <v>5.3484115165053414E-2</v>
      </c>
      <c r="AC613" s="72"/>
      <c r="AD613" s="72"/>
      <c r="AE613" s="72">
        <f t="shared" si="351"/>
        <v>0.55198015033885317</v>
      </c>
      <c r="AF613" s="72">
        <f t="shared" si="352"/>
        <v>0.25846722851680098</v>
      </c>
      <c r="AG613" s="72">
        <f t="shared" si="353"/>
        <v>0.24836477124681938</v>
      </c>
      <c r="AH613" s="72">
        <f t="shared" si="354"/>
        <v>0.49203289588508942</v>
      </c>
      <c r="AI613" s="72">
        <f t="shared" si="355"/>
        <v>0.2321157495256167</v>
      </c>
      <c r="AJ613" s="72">
        <f>(AV613-Driver!$K$179)/(Driver!$L$179-Driver!$K$179)</f>
        <v>0.19724437998549671</v>
      </c>
      <c r="AK613" s="72">
        <f>(AW613-Driver!$K$180)/(Driver!$L$180-Driver!$K$180)</f>
        <v>0.22375049392448554</v>
      </c>
      <c r="AL613" s="72">
        <f>(AX613-Driver!$K$181)/(Driver!$L$181-Driver!$K$181)</f>
        <v>0.47701258458230572</v>
      </c>
      <c r="AM613" s="72">
        <f>(AY613-Driver!$K$182)/(Driver!$L$182-Driver!$K$182)</f>
        <v>7.38262646211955E-2</v>
      </c>
      <c r="AN613" s="72">
        <f>(AZ613-Driver!$K$183)/(Driver!$L$183-Driver!$K$183)</f>
        <v>0.20073529411764701</v>
      </c>
      <c r="AO613" s="72"/>
      <c r="AP613" s="72"/>
      <c r="AQ613" s="72">
        <f>(BC613-Driver!$K$188)/(Driver!$L$188-Driver!$K$188)</f>
        <v>6.8019849661146811E-2</v>
      </c>
      <c r="AR613" s="72">
        <f>MIN((BD613-Driver!$K$189)/(Driver!$L$189-Driver!$K$189),100%)</f>
        <v>0.29153277148319906</v>
      </c>
      <c r="AS613" s="72">
        <f>(BE613-Driver!$K$190)/(Driver!$L$190-Driver!$K$190)</f>
        <v>0.26163522875318063</v>
      </c>
      <c r="AT613" s="72">
        <f>(BF613-Driver!$K$191)/(Driver!$L$191-Driver!$K$191)</f>
        <v>1.796710411491061E-2</v>
      </c>
      <c r="AU613" s="72">
        <f>(BG613-Driver!$K$192)/(Driver!$L$192-Driver!$K$192)</f>
        <v>1.7884250474383301E-2</v>
      </c>
      <c r="AV613" s="70">
        <f t="shared" si="356"/>
        <v>4.1514041514041509</v>
      </c>
      <c r="AW613" s="70">
        <f t="shared" si="357"/>
        <v>23.678360885465381</v>
      </c>
      <c r="AX613" s="70">
        <f t="shared" si="358"/>
        <v>5.2931132612407517</v>
      </c>
      <c r="AY613" s="70">
        <f>IFERROR(Driver!$K$19/Data!BH613/Data!BI613*Data!BK613*Data!BL613,"")</f>
        <v>9.0385375527684539E-2</v>
      </c>
      <c r="AZ613" s="70">
        <f t="shared" si="359"/>
        <v>18.294862248696944</v>
      </c>
      <c r="BA613" s="70"/>
      <c r="BB613" s="70"/>
      <c r="BC613" s="70">
        <f t="shared" si="360"/>
        <v>35.282368885560111</v>
      </c>
      <c r="BD613" s="70">
        <f t="shared" si="361"/>
        <v>27.520956594856564</v>
      </c>
      <c r="BE613" s="70">
        <f t="shared" si="362"/>
        <v>0.26176694471772155</v>
      </c>
      <c r="BF613" s="70">
        <f t="shared" si="363"/>
        <v>2.0292581837288495</v>
      </c>
      <c r="BG613" s="70">
        <f t="shared" si="364"/>
        <v>6.772118121442125E-2</v>
      </c>
      <c r="BH613" s="67">
        <f>MAX((CE613-Driver!$F$200)/(Driver!$G$200-Driver!$F$200)*$BI$1,1)</f>
        <v>5.2931132612407517</v>
      </c>
      <c r="BI613" s="67">
        <f>MAX($BI$1*(BY613-Driver!$F$201)/(Driver!$G$201-Driver!$F$201),1)</f>
        <v>7.9746835443037973</v>
      </c>
      <c r="BJ613" s="67">
        <f>(CB613-Driver!$F$206)/(Driver!$G$206-Driver!$F$206)*$BI$1</f>
        <v>2.5396825396825395</v>
      </c>
      <c r="BK613" s="67">
        <f>(CD613-Driver!$F$203)/(Driver!$G$203-Driver!$F$203)*$BI$1</f>
        <v>3.0733944954128449</v>
      </c>
      <c r="BL613" s="67">
        <f>MAX((CR613-Driver!$F$202)/(Driver!$G$202-Driver!$F$202)*$BI$1,1)</f>
        <v>6.2068965517241379</v>
      </c>
      <c r="BM613" s="67">
        <f>MAX((CH613-Driver!$F$204)/(Driver!$G$204-Driver!$F$204)*$BI$1,1)</f>
        <v>6.5384615384615383</v>
      </c>
      <c r="BN613" s="67">
        <f>(CI613-Driver!$F$205)/(Driver!$G$205-Driver!$F$205)*$BI$1</f>
        <v>2.2941176470588234</v>
      </c>
      <c r="BO613" s="67">
        <f>(CK613-Driver!$F$207)/(Driver!$G$207-Driver!$F$207)*$BI$1</f>
        <v>1.6132368148914167</v>
      </c>
      <c r="BP613" s="67">
        <f>(CM613-Driver!$F$208)/(Driver!$G$208-Driver!$F$208)*$BI$1</f>
        <v>1.5222222222222224</v>
      </c>
      <c r="BQ613" s="67">
        <f>(CL613-Driver!$F$209)/(Driver!$G$209-Driver!$F$209)*$BI$1</f>
        <v>2.34375</v>
      </c>
      <c r="BR613" s="28" t="s">
        <v>155</v>
      </c>
      <c r="BS613" s="8" t="s">
        <v>172</v>
      </c>
      <c r="BT613" s="9" t="s">
        <v>533</v>
      </c>
      <c r="BU613" s="10">
        <v>174</v>
      </c>
      <c r="BV613" s="9" t="s">
        <v>158</v>
      </c>
      <c r="BW613" s="10">
        <v>174</v>
      </c>
      <c r="BX613" s="10">
        <v>174.4</v>
      </c>
      <c r="BY613" s="10">
        <v>134</v>
      </c>
      <c r="BZ613" s="10">
        <v>160</v>
      </c>
      <c r="CA613" s="10">
        <v>125</v>
      </c>
      <c r="CB613" s="10">
        <v>80</v>
      </c>
      <c r="CC613" s="10">
        <v>113</v>
      </c>
      <c r="CD613" s="10">
        <v>16.100000000000001</v>
      </c>
      <c r="CE613" s="10">
        <v>1830</v>
      </c>
      <c r="CF613" s="10">
        <v>0.9</v>
      </c>
      <c r="CG613" s="10">
        <v>1643</v>
      </c>
      <c r="CH613" s="10">
        <v>254</v>
      </c>
      <c r="CI613" s="10">
        <v>72</v>
      </c>
      <c r="CJ613" s="10">
        <v>50</v>
      </c>
      <c r="CK613" s="10">
        <v>266</v>
      </c>
      <c r="CL613" s="10">
        <v>15</v>
      </c>
      <c r="CM613" s="10">
        <v>137</v>
      </c>
      <c r="CN613" s="10">
        <v>0.30599999999999999</v>
      </c>
      <c r="CO613" s="10">
        <v>84</v>
      </c>
      <c r="CP613" s="10">
        <v>62</v>
      </c>
      <c r="CQ613" s="10">
        <v>182</v>
      </c>
      <c r="CR613" s="10">
        <v>7</v>
      </c>
      <c r="CS613" s="10">
        <v>6.4</v>
      </c>
      <c r="CT613" s="9" t="s">
        <v>160</v>
      </c>
      <c r="CU613" s="10"/>
      <c r="CV613" s="10"/>
      <c r="CW613" s="10"/>
      <c r="CX613" t="str">
        <f>INDEX('Data_Price '!AG$2:AG$1266,MATCH(Data!$DN613,'Data_Price '!$AT$2:$AT$1266,0))</f>
        <v>Rossignol Experience 80 Carbon Skis w/ Look Xpress 11 GW Bindings</v>
      </c>
      <c r="CY613" t="str">
        <f>INDEX('Data_Price '!AH$2:AH$1266,MATCH(Data!$DN613,'Data_Price '!$AT$2:$AT$1266,0))</f>
        <v>The-House.com</v>
      </c>
      <c r="CZ613">
        <f>INDEX('Data_Price '!AI$2:AI$1266,MATCH(Data!$DN613,'Data_Price '!$AT$2:$AT$1266,0))</f>
        <v>479.95</v>
      </c>
      <c r="DA613" t="str">
        <f>INDEX('Data_Price '!AJ$2:AJ$1266,MATCH(Data!$DN613,'Data_Price '!$AT$2:$AT$1266,0))</f>
        <v>https://tinyurl.com/ybv2kq7d</v>
      </c>
      <c r="DB613" t="str">
        <f>INDEX('Data_Price '!AK$2:AK$1266,MATCH(Data!$DN613,'Data_Price '!$AT$2:$AT$1266,0))</f>
        <v>Rossignol Experience 80 Carbon Skis w/ Look Xpress 11 GW Bindings</v>
      </c>
      <c r="DC613" t="str">
        <f>INDEX('Data_Price '!AL$2:AL$1266,MATCH(Data!$DN613,'Data_Price '!$AT$2:$AT$1266,0))</f>
        <v>WinterMen.com</v>
      </c>
      <c r="DD613">
        <f>INDEX('Data_Price '!AM$2:AM$1266,MATCH(Data!$DN613,'Data_Price '!$AT$2:$AT$1266,0))</f>
        <v>599.95000000000005</v>
      </c>
      <c r="DE613" t="str">
        <f>INDEX('Data_Price '!AN$2:AN$1266,MATCH(Data!$DN613,'Data_Price '!$AT$2:$AT$1266,0))</f>
        <v>https://tinyurl.com/ybar635g</v>
      </c>
      <c r="DF613" t="str">
        <f>INDEX('Data_Price '!AO$2:AO$1266,MATCH(Data!$DN613,'Data_Price '!$AT$2:$AT$1266,0))</f>
        <v>Rossignol Experience 80 Carbon Skis w/ Look Xpress 11 GW Bindings</v>
      </c>
      <c r="DG613" t="str">
        <f>INDEX('Data_Price '!AP$2:AP$1266,MATCH(Data!$DN613,'Data_Price '!$AT$2:$AT$1266,0))</f>
        <v>Buckman's Ski and Snowboard Shop</v>
      </c>
      <c r="DH613">
        <f>INDEX('Data_Price '!AQ$2:AQ$1266,MATCH(Data!$DN613,'Data_Price '!$AT$2:$AT$1266,0))</f>
        <v>599.95000000000005</v>
      </c>
      <c r="DI613" t="str">
        <f>INDEX('Data_Price '!AR$2:AR$1266,MATCH(Data!$DN613,'Data_Price '!$AT$2:$AT$1266,0))</f>
        <v>https://tinyurl.com/yas29atm</v>
      </c>
      <c r="DJ613" s="89" t="str">
        <f t="shared" si="365"/>
        <v>https://tinyurl.com/ybv2kq7d</v>
      </c>
      <c r="DK613" s="89" t="str">
        <f t="shared" si="366"/>
        <v>https://tinyurl.com/ybar635g</v>
      </c>
      <c r="DL613" s="89" t="str">
        <f t="shared" si="367"/>
        <v>https://tinyurl.com/yas29atm</v>
      </c>
      <c r="DM613" s="219" t="str">
        <f t="shared" si="368"/>
        <v>Experience 80 Carbon</v>
      </c>
      <c r="DN613" s="89" t="str">
        <f t="shared" si="369"/>
        <v xml:space="preserve"> RossignolExperience 80 Carbon174 Unisex</v>
      </c>
      <c r="DO613" s="221"/>
    </row>
    <row r="614" spans="2:119" ht="15.6" customHeight="1">
      <c r="B614" s="219" t="b">
        <f t="array" ref="B614">IF(OR(ISERROR(K614:P614)),FALSE,TRUE)</f>
        <v>1</v>
      </c>
      <c r="C614" s="43" t="b">
        <f>OR(BR614=Driver!$G$50,Data!BR481=Driver!$H$50)</f>
        <v>1</v>
      </c>
      <c r="D614" s="43" t="b">
        <f>OR(BV614=Driver!$G$51,BV614=Driver!$H$51)</f>
        <v>1</v>
      </c>
      <c r="E614" s="43" t="b">
        <f>AND(BX614&gt;Driver!$F$54,BX614&lt;Driver!$G$54)</f>
        <v>0</v>
      </c>
      <c r="F614" s="43" t="b">
        <f>CL614&gt;Driver!$F$56</f>
        <v>1</v>
      </c>
      <c r="G614" s="43" t="b">
        <f>AND(CB614&gt;Driver!$F$55,CB614&lt;Driver!$G$55)</f>
        <v>0</v>
      </c>
      <c r="H614" s="43" t="b">
        <f t="shared" si="333"/>
        <v>0</v>
      </c>
      <c r="I614" s="43">
        <f t="shared" si="334"/>
        <v>0</v>
      </c>
      <c r="J614" s="43" t="b">
        <f t="array" ref="J614">NOT(OR(($H$9:$H$1273=TRUE)*($I$9:$I$1273&gt;0)*($BT$9:$BT$1273=BT614)*($K$9:$K$1273&gt;K614)))</f>
        <v>1</v>
      </c>
      <c r="K614" s="72">
        <f t="shared" si="335"/>
        <v>0.797760565122135</v>
      </c>
      <c r="L614" s="72">
        <f t="shared" si="336"/>
        <v>0.92344556533658895</v>
      </c>
      <c r="M614" s="72">
        <f t="shared" si="337"/>
        <v>0.67207556490768106</v>
      </c>
      <c r="N614" s="72">
        <f t="shared" si="338"/>
        <v>0.46657741147125376</v>
      </c>
      <c r="O614" s="72">
        <f t="shared" si="339"/>
        <v>0.6063367367141872</v>
      </c>
      <c r="P614" s="72">
        <f t="shared" si="340"/>
        <v>0.94331254653760233</v>
      </c>
      <c r="Q614" s="72"/>
      <c r="R614" s="72"/>
      <c r="S614" s="72">
        <f t="shared" si="341"/>
        <v>0.46235102880605639</v>
      </c>
      <c r="T614" s="72">
        <f t="shared" si="342"/>
        <v>0.67373716512438919</v>
      </c>
      <c r="U614" s="72">
        <f t="shared" si="343"/>
        <v>0.88402301150863483</v>
      </c>
      <c r="V614" s="72">
        <f t="shared" si="344"/>
        <v>0.50665836888512927</v>
      </c>
      <c r="W614" s="72">
        <f t="shared" si="345"/>
        <v>0.76095399515738493</v>
      </c>
      <c r="X614" s="72">
        <f t="shared" si="346"/>
        <v>7.6554434663411108E-2</v>
      </c>
      <c r="Y614" s="72">
        <f t="shared" si="347"/>
        <v>0.32792443509231889</v>
      </c>
      <c r="Z614" s="72">
        <f t="shared" si="348"/>
        <v>0.53342258852874624</v>
      </c>
      <c r="AA614" s="72">
        <f t="shared" si="349"/>
        <v>0.3936632632858128</v>
      </c>
      <c r="AB614" s="72">
        <f t="shared" si="350"/>
        <v>5.6687453462397674E-2</v>
      </c>
      <c r="AC614" s="72"/>
      <c r="AD614" s="72"/>
      <c r="AE614" s="72">
        <f t="shared" si="351"/>
        <v>0.53764897119394361</v>
      </c>
      <c r="AF614" s="72">
        <f t="shared" si="352"/>
        <v>0.32626283487561081</v>
      </c>
      <c r="AG614" s="72">
        <f t="shared" si="353"/>
        <v>0.11597698849136517</v>
      </c>
      <c r="AH614" s="72">
        <f t="shared" si="354"/>
        <v>0.49334163111487073</v>
      </c>
      <c r="AI614" s="72">
        <f t="shared" si="355"/>
        <v>0.23904600484261501</v>
      </c>
      <c r="AJ614" s="72">
        <f>(AV614-Driver!$K$179)/(Driver!$L$179-Driver!$K$179)</f>
        <v>0.17766497461928932</v>
      </c>
      <c r="AK614" s="72">
        <f>(AW614-Driver!$K$180)/(Driver!$L$180-Driver!$K$180)</f>
        <v>0.34112534294579466</v>
      </c>
      <c r="AL614" s="72">
        <f>(AX614-Driver!$K$181)/(Driver!$L$181-Driver!$K$181)</f>
        <v>0.63511035224182644</v>
      </c>
      <c r="AM614" s="72">
        <f>(AY614-Driver!$K$182)/(Driver!$L$182-Driver!$K$182)</f>
        <v>5.3721757811233554E-2</v>
      </c>
      <c r="AN614" s="72">
        <f>(AZ614-Driver!$K$183)/(Driver!$L$183-Driver!$K$183)</f>
        <v>0.3109068627450981</v>
      </c>
      <c r="AO614" s="72"/>
      <c r="AP614" s="72"/>
      <c r="AQ614" s="72">
        <f>(BC614-Driver!$K$188)/(Driver!$L$188-Driver!$K$188)</f>
        <v>8.2351028806056353E-2</v>
      </c>
      <c r="AR614" s="72">
        <f>MIN((BD614-Driver!$K$189)/(Driver!$L$189-Driver!$K$189),100%)</f>
        <v>0.22373716512438921</v>
      </c>
      <c r="AS614" s="72">
        <f>(BE614-Driver!$K$190)/(Driver!$L$190-Driver!$K$190)</f>
        <v>0.62597698849136518</v>
      </c>
      <c r="AT614" s="72">
        <f>(BF614-Driver!$K$191)/(Driver!$L$191-Driver!$K$191)</f>
        <v>1.6658368885129258E-2</v>
      </c>
      <c r="AU614" s="72">
        <f>(BG614-Driver!$K$192)/(Driver!$L$192-Driver!$K$192)</f>
        <v>1.0953995157384986E-2</v>
      </c>
      <c r="AV614" s="70">
        <f t="shared" si="356"/>
        <v>3.7393162393162389</v>
      </c>
      <c r="AW614" s="70">
        <f t="shared" si="357"/>
        <v>35.117579969556608</v>
      </c>
      <c r="AX614" s="70">
        <f t="shared" si="358"/>
        <v>6.7159931701764375</v>
      </c>
      <c r="AY614" s="70">
        <f>IFERROR(Driver!$K$19/Data!BH614/Data!BI614*Data!BK614*Data!BL614,"")</f>
        <v>6.5771460586421249E-2</v>
      </c>
      <c r="AZ614" s="70">
        <f t="shared" si="359"/>
        <v>28.335815338793751</v>
      </c>
      <c r="BA614" s="70"/>
      <c r="BB614" s="70"/>
      <c r="BC614" s="70">
        <f t="shared" si="360"/>
        <v>42.71605113676577</v>
      </c>
      <c r="BD614" s="70">
        <f t="shared" si="361"/>
        <v>21.521165558808089</v>
      </c>
      <c r="BE614" s="70">
        <f t="shared" si="362"/>
        <v>0.62604370998681003</v>
      </c>
      <c r="BF614" s="70">
        <f t="shared" si="363"/>
        <v>1.8814457339104009</v>
      </c>
      <c r="BG614" s="70">
        <f t="shared" si="364"/>
        <v>4.1478813559322029E-2</v>
      </c>
      <c r="BH614" s="67">
        <f>MAX((CE614-Driver!$F$200)/(Driver!$G$200-Driver!$F$200)*$BI$1,1)</f>
        <v>6.7159931701764375</v>
      </c>
      <c r="BI614" s="67">
        <f>MAX($BI$1*(BY614-Driver!$F$201)/(Driver!$G$201-Driver!$F$201),1)</f>
        <v>8.1645569620253173</v>
      </c>
      <c r="BJ614" s="67">
        <f>(CB614-Driver!$F$206)/(Driver!$G$206-Driver!$F$206)*$BI$1</f>
        <v>3.333333333333333</v>
      </c>
      <c r="BK614" s="67">
        <f>(CD614-Driver!$F$203)/(Driver!$G$203-Driver!$F$203)*$BI$1</f>
        <v>2.7522935779816518</v>
      </c>
      <c r="BL614" s="67">
        <f>MAX((CR614-Driver!$F$202)/(Driver!$G$202-Driver!$F$202)*$BI$1,1)</f>
        <v>6.5517241379310338</v>
      </c>
      <c r="BM614" s="67">
        <f>MAX((CH614-Driver!$F$204)/(Driver!$G$204-Driver!$F$204)*$BI$1,1)</f>
        <v>4.4871794871794872</v>
      </c>
      <c r="BN614" s="67">
        <f>(CI614-Driver!$F$205)/(Driver!$G$205-Driver!$F$205)*$BI$1</f>
        <v>3.4705882352941178</v>
      </c>
      <c r="BO614" s="67">
        <f>(CK614-Driver!$F$207)/(Driver!$G$207-Driver!$F$207)*$BI$1</f>
        <v>1.0754912099276113</v>
      </c>
      <c r="BP614" s="67">
        <f>(CM614-Driver!$F$208)/(Driver!$G$208-Driver!$F$208)*$BI$1</f>
        <v>1.4444444444444442</v>
      </c>
      <c r="BQ614" s="67">
        <f>(CL614-Driver!$F$209)/(Driver!$G$209-Driver!$F$209)*$BI$1</f>
        <v>1.25</v>
      </c>
      <c r="BR614" s="28" t="s">
        <v>155</v>
      </c>
      <c r="BS614" s="8" t="s">
        <v>164</v>
      </c>
      <c r="BT614" s="9" t="s">
        <v>688</v>
      </c>
      <c r="BU614" s="10">
        <v>172</v>
      </c>
      <c r="BV614" s="9" t="s">
        <v>158</v>
      </c>
      <c r="BW614" s="10">
        <v>172</v>
      </c>
      <c r="BX614" s="10">
        <v>171.4</v>
      </c>
      <c r="BY614" s="10">
        <v>137</v>
      </c>
      <c r="BZ614" s="10">
        <v>152</v>
      </c>
      <c r="CA614" s="10">
        <v>128</v>
      </c>
      <c r="CB614" s="10">
        <v>85</v>
      </c>
      <c r="CC614" s="10">
        <v>114</v>
      </c>
      <c r="CD614" s="10">
        <v>15.4</v>
      </c>
      <c r="CE614" s="10">
        <v>2080</v>
      </c>
      <c r="CF614" s="10">
        <v>0.82</v>
      </c>
      <c r="CG614" s="10">
        <v>1700</v>
      </c>
      <c r="CH614" s="10">
        <v>206</v>
      </c>
      <c r="CI614" s="10">
        <v>92</v>
      </c>
      <c r="CJ614" s="10">
        <v>42</v>
      </c>
      <c r="CK614" s="10">
        <v>214</v>
      </c>
      <c r="CL614" s="10">
        <v>8</v>
      </c>
      <c r="CM614" s="10">
        <v>130</v>
      </c>
      <c r="CN614" s="10">
        <v>0.20200000000000001</v>
      </c>
      <c r="CO614" s="10">
        <v>102</v>
      </c>
      <c r="CP614" s="10">
        <v>93</v>
      </c>
      <c r="CQ614" s="10">
        <v>112</v>
      </c>
      <c r="CR614" s="10">
        <v>8</v>
      </c>
      <c r="CS614" s="10">
        <v>8.9</v>
      </c>
      <c r="CT614" s="9" t="s">
        <v>188</v>
      </c>
      <c r="CU614" s="10"/>
      <c r="CV614" s="10"/>
      <c r="CW614" s="10"/>
      <c r="CX614" t="str">
        <f>INDEX('Data_Price '!AG$2:AG$1266,MATCH(Data!$DN614,'Data_Price '!$AT$2:$AT$1266,0))</f>
        <v>Elan 2021 Wingman 86 CTI 172cm Skis w/FX EMX 12.0 Bindings</v>
      </c>
      <c r="CY614" t="str">
        <f>INDEX('Data_Price '!AH$2:AH$1266,MATCH(Data!$DN614,'Data_Price '!$AT$2:$AT$1266,0))</f>
        <v>Next Adventure</v>
      </c>
      <c r="CZ614">
        <f>INDEX('Data_Price '!AI$2:AI$1266,MATCH(Data!$DN614,'Data_Price '!$AT$2:$AT$1266,0))</f>
        <v>349.99</v>
      </c>
      <c r="DA614" t="str">
        <f>INDEX('Data_Price '!AJ$2:AJ$1266,MATCH(Data!$DN614,'Data_Price '!$AT$2:$AT$1266,0))</f>
        <v>https://tinyurl.com/y88szoea</v>
      </c>
      <c r="DB614" t="str">
        <f>INDEX('Data_Price '!AK$2:AK$1266,MATCH(Data!$DN614,'Data_Price '!$AT$2:$AT$1266,0))</f>
        <v>Elan Wingman 86 CTI Skis 2022</v>
      </c>
      <c r="DC614" t="str">
        <f>INDEX('Data_Price '!AL$2:AL$1266,MATCH(Data!$DN614,'Data_Price '!$AT$2:$AT$1266,0))</f>
        <v>Christy Sports</v>
      </c>
      <c r="DD614">
        <f>INDEX('Data_Price '!AM$2:AM$1266,MATCH(Data!$DN614,'Data_Price '!$AT$2:$AT$1266,0))</f>
        <v>649.99</v>
      </c>
      <c r="DE614" t="str">
        <f>INDEX('Data_Price '!AN$2:AN$1266,MATCH(Data!$DN614,'Data_Price '!$AT$2:$AT$1266,0))</f>
        <v>https://tinyurl.com/y89nsej9</v>
      </c>
      <c r="DF614" t="str">
        <f>INDEX('Data_Price '!AO$2:AO$1266,MATCH(Data!$DN614,'Data_Price '!$AT$2:$AT$1266,0))</f>
        <v>Elan Wingman 86 CTi Skis 2023 172</v>
      </c>
      <c r="DG614" t="str">
        <f>INDEX('Data_Price '!AP$2:AP$1266,MATCH(Data!$DN614,'Data_Price '!$AT$2:$AT$1266,0))</f>
        <v>Ski Depot RaceSkis.com</v>
      </c>
      <c r="DH614">
        <f>INDEX('Data_Price '!AQ$2:AQ$1266,MATCH(Data!$DN614,'Data_Price '!$AT$2:$AT$1266,0))</f>
        <v>649.99</v>
      </c>
      <c r="DI614" t="str">
        <f>INDEX('Data_Price '!AR$2:AR$1266,MATCH(Data!$DN614,'Data_Price '!$AT$2:$AT$1266,0))</f>
        <v>https://tinyurl.com/y9x9v7nv</v>
      </c>
      <c r="DJ614" s="89" t="str">
        <f t="shared" si="365"/>
        <v>https://tinyurl.com/y88szoea</v>
      </c>
      <c r="DK614" s="89" t="str">
        <f t="shared" si="366"/>
        <v>https://tinyurl.com/y89nsej9</v>
      </c>
      <c r="DL614" s="89" t="str">
        <f t="shared" si="367"/>
        <v>https://tinyurl.com/y9x9v7nv</v>
      </c>
      <c r="DM614" s="219" t="str">
        <f t="shared" si="368"/>
        <v>Wingman 86 CTi</v>
      </c>
      <c r="DN614" s="89" t="str">
        <f t="shared" si="369"/>
        <v xml:space="preserve"> ElanWingman 86 CTi172 Unisex</v>
      </c>
      <c r="DO614" s="221"/>
    </row>
    <row r="615" spans="2:119" ht="15.6" customHeight="1">
      <c r="B615" s="219" t="b">
        <f t="array" ref="B615">IF(OR(ISERROR(K615:P615)),FALSE,TRUE)</f>
        <v>1</v>
      </c>
      <c r="C615" s="43" t="b">
        <f>OR(BR615=Driver!$G$50,Data!BR627=Driver!$H$50)</f>
        <v>1</v>
      </c>
      <c r="D615" s="43" t="b">
        <f>OR(BV615=Driver!$G$51,BV615=Driver!$H$51)</f>
        <v>0</v>
      </c>
      <c r="E615" s="43" t="b">
        <f>AND(BX615&gt;Driver!$F$54,BX615&lt;Driver!$G$54)</f>
        <v>0</v>
      </c>
      <c r="F615" s="43" t="b">
        <f>CL615&gt;Driver!$F$56</f>
        <v>1</v>
      </c>
      <c r="G615" s="43" t="b">
        <f>AND(CB615&gt;Driver!$F$55,CB615&lt;Driver!$G$55)</f>
        <v>0</v>
      </c>
      <c r="H615" s="43" t="b">
        <f t="shared" si="333"/>
        <v>0</v>
      </c>
      <c r="I615" s="43">
        <f t="shared" si="334"/>
        <v>0</v>
      </c>
      <c r="J615" s="43" t="b">
        <f t="array" ref="J615">NOT(OR(($H$9:$H$1273=TRUE)*($I$9:$I$1273&gt;0)*($BT$9:$BT$1273=BT615)*($K$9:$K$1273&gt;K615)))</f>
        <v>1</v>
      </c>
      <c r="K615" s="72">
        <f t="shared" si="335"/>
        <v>0.74967556854181339</v>
      </c>
      <c r="L615" s="72">
        <f t="shared" si="336"/>
        <v>0.80220103848260371</v>
      </c>
      <c r="M615" s="72">
        <f t="shared" si="337"/>
        <v>0.69715009860102306</v>
      </c>
      <c r="N615" s="72">
        <f t="shared" si="338"/>
        <v>0.69613537011287785</v>
      </c>
      <c r="O615" s="72">
        <f t="shared" si="339"/>
        <v>0.64170826150553006</v>
      </c>
      <c r="P615" s="72">
        <f t="shared" si="340"/>
        <v>0.75360666418466127</v>
      </c>
      <c r="Q615" s="72"/>
      <c r="R615" s="72"/>
      <c r="S615" s="72">
        <f t="shared" si="341"/>
        <v>0.5137366026313499</v>
      </c>
      <c r="T615" s="72">
        <f t="shared" si="342"/>
        <v>0.5444915892464397</v>
      </c>
      <c r="U615" s="72">
        <f t="shared" si="343"/>
        <v>0.83261614873985801</v>
      </c>
      <c r="V615" s="72">
        <f t="shared" si="344"/>
        <v>0.5216827396146928</v>
      </c>
      <c r="W615" s="72">
        <f t="shared" si="345"/>
        <v>0.76761878268610217</v>
      </c>
      <c r="X615" s="72">
        <f t="shared" si="346"/>
        <v>0.19779896151739623</v>
      </c>
      <c r="Y615" s="72">
        <f t="shared" si="347"/>
        <v>0.30284990139897694</v>
      </c>
      <c r="Z615" s="72">
        <f t="shared" si="348"/>
        <v>0.30386462988712215</v>
      </c>
      <c r="AA615" s="72">
        <f t="shared" si="349"/>
        <v>0.35829173849446999</v>
      </c>
      <c r="AB615" s="72">
        <f t="shared" si="350"/>
        <v>0.24639333581533879</v>
      </c>
      <c r="AC615" s="72"/>
      <c r="AD615" s="72"/>
      <c r="AE615" s="72">
        <f t="shared" si="351"/>
        <v>0.48626339736865015</v>
      </c>
      <c r="AF615" s="72">
        <f t="shared" si="352"/>
        <v>0.4555084107535603</v>
      </c>
      <c r="AG615" s="72">
        <f t="shared" si="353"/>
        <v>0.16738385126014194</v>
      </c>
      <c r="AH615" s="72">
        <f t="shared" si="354"/>
        <v>0.47831726038530714</v>
      </c>
      <c r="AI615" s="72">
        <f t="shared" si="355"/>
        <v>0.23238121731389785</v>
      </c>
      <c r="AJ615" s="72">
        <f>(AV615-Driver!$K$179)/(Driver!$L$179-Driver!$K$179)</f>
        <v>0.45201837080009666</v>
      </c>
      <c r="AK615" s="72">
        <f>(AW615-Driver!$K$180)/(Driver!$L$180-Driver!$K$180)</f>
        <v>0.49777537526137139</v>
      </c>
      <c r="AL615" s="72">
        <f>(AX615-Driver!$K$181)/(Driver!$L$181-Driver!$K$181)</f>
        <v>0.40555239360020234</v>
      </c>
      <c r="AM615" s="72">
        <f>(AY615-Driver!$K$182)/(Driver!$L$182-Driver!$K$182)</f>
        <v>8.9093282602576387E-2</v>
      </c>
      <c r="AN615" s="72">
        <f>(AZ615-Driver!$K$183)/(Driver!$L$183-Driver!$K$183)</f>
        <v>0.50061274509803921</v>
      </c>
      <c r="AO615" s="72"/>
      <c r="AP615" s="72"/>
      <c r="AQ615" s="72">
        <f>(BC615-Driver!$K$188)/(Driver!$L$188-Driver!$K$188)</f>
        <v>0.13373660263134984</v>
      </c>
      <c r="AR615" s="72">
        <f>MIN((BD615-Driver!$K$189)/(Driver!$L$189-Driver!$K$189),100%)</f>
        <v>9.4491589246439717E-2</v>
      </c>
      <c r="AS615" s="72">
        <f>(BE615-Driver!$K$190)/(Driver!$L$190-Driver!$K$190)</f>
        <v>0.34261614873985807</v>
      </c>
      <c r="AT615" s="72">
        <f>(BF615-Driver!$K$191)/(Driver!$L$191-Driver!$K$191)</f>
        <v>3.1682739614692867E-2</v>
      </c>
      <c r="AU615" s="72">
        <f>(BG615-Driver!$K$192)/(Driver!$L$192-Driver!$K$192)</f>
        <v>1.7618782686102147E-2</v>
      </c>
      <c r="AV615" s="70">
        <f t="shared" si="356"/>
        <v>9.5136345136345142</v>
      </c>
      <c r="AW615" s="70">
        <f t="shared" si="357"/>
        <v>50.384513679201063</v>
      </c>
      <c r="AX615" s="70">
        <f t="shared" si="358"/>
        <v>4.6499715424018211</v>
      </c>
      <c r="AY615" s="70">
        <f>IFERROR(Driver!$K$19/Data!BH615/Data!BI615*Data!BK615*Data!BL615,"")</f>
        <v>0.1090767607754064</v>
      </c>
      <c r="AZ615" s="70">
        <f t="shared" si="359"/>
        <v>45.625465376023833</v>
      </c>
      <c r="BA615" s="70"/>
      <c r="BB615" s="70"/>
      <c r="BC615" s="70">
        <f t="shared" si="360"/>
        <v>69.370105506659243</v>
      </c>
      <c r="BD615" s="70">
        <f t="shared" si="361"/>
        <v>10.083161103218803</v>
      </c>
      <c r="BE615" s="70">
        <f t="shared" si="362"/>
        <v>0.34273341861975248</v>
      </c>
      <c r="BF615" s="70">
        <f t="shared" si="363"/>
        <v>3.5783428556363983</v>
      </c>
      <c r="BG615" s="70">
        <f t="shared" si="364"/>
        <v>6.6715950817848008E-2</v>
      </c>
      <c r="BH615" s="67">
        <f>MAX((CE615-Driver!$F$200)/(Driver!$G$200-Driver!$F$200)*$BI$1,1)</f>
        <v>4.6499715424018211</v>
      </c>
      <c r="BI615" s="67">
        <f>MAX($BI$1*(BY615-Driver!$F$201)/(Driver!$G$201-Driver!$F$201),1)</f>
        <v>8.1645569620253173</v>
      </c>
      <c r="BJ615" s="67">
        <f>(CB615-Driver!$F$206)/(Driver!$G$206-Driver!$F$206)*$BI$1</f>
        <v>5.3968253968253963</v>
      </c>
      <c r="BK615" s="67">
        <f>(CD615-Driver!$F$203)/(Driver!$G$203-Driver!$F$203)*$BI$1</f>
        <v>3.5321100917431201</v>
      </c>
      <c r="BL615" s="67">
        <f>MAX((CR615-Driver!$F$202)/(Driver!$G$202-Driver!$F$202)*$BI$1,1)</f>
        <v>5.8620689655172411</v>
      </c>
      <c r="BM615" s="67">
        <f>MAX((CH615-Driver!$F$204)/(Driver!$G$204-Driver!$F$204)*$BI$1,1)</f>
        <v>7.051282051282052</v>
      </c>
      <c r="BN615" s="67">
        <f>(CI615-Driver!$F$205)/(Driver!$G$205-Driver!$F$205)*$BI$1</f>
        <v>5.5882352941176467</v>
      </c>
      <c r="BO615" s="67">
        <f>(CK615-Driver!$F$207)/(Driver!$G$207-Driver!$F$207)*$BI$1</f>
        <v>1.3340227507755946</v>
      </c>
      <c r="BP615" s="67">
        <f>(CM615-Driver!$F$208)/(Driver!$G$208-Driver!$F$208)*$BI$1</f>
        <v>1.7555555555555555</v>
      </c>
      <c r="BQ615" s="67">
        <f>(CL615-Driver!$F$209)/(Driver!$G$209-Driver!$F$209)*$BI$1</f>
        <v>2.1875</v>
      </c>
      <c r="BR615" s="28" t="s">
        <v>155</v>
      </c>
      <c r="BS615" s="8" t="s">
        <v>167</v>
      </c>
      <c r="BT615" s="9" t="s">
        <v>234</v>
      </c>
      <c r="BU615" s="10">
        <v>177</v>
      </c>
      <c r="BV615" s="9" t="s">
        <v>163</v>
      </c>
      <c r="BW615" s="10">
        <v>177</v>
      </c>
      <c r="BX615" s="10">
        <v>176.6</v>
      </c>
      <c r="BY615" s="10">
        <v>137</v>
      </c>
      <c r="BZ615" s="10">
        <v>144</v>
      </c>
      <c r="CA615" s="10">
        <v>132</v>
      </c>
      <c r="CB615" s="10">
        <v>98</v>
      </c>
      <c r="CC615" s="10">
        <v>118</v>
      </c>
      <c r="CD615" s="10">
        <v>17.100000000000001</v>
      </c>
      <c r="CE615" s="10">
        <v>1717</v>
      </c>
      <c r="CF615" s="10">
        <v>1.1200000000000001</v>
      </c>
      <c r="CG615" s="10">
        <v>1928</v>
      </c>
      <c r="CH615" s="10">
        <v>266</v>
      </c>
      <c r="CI615" s="10">
        <v>128</v>
      </c>
      <c r="CJ615" s="10">
        <v>53</v>
      </c>
      <c r="CK615" s="10">
        <v>239</v>
      </c>
      <c r="CL615" s="10">
        <v>14</v>
      </c>
      <c r="CM615" s="10">
        <v>158</v>
      </c>
      <c r="CN615" s="10">
        <v>0.26800000000000002</v>
      </c>
      <c r="CO615" s="10">
        <v>182</v>
      </c>
      <c r="CP615" s="10">
        <v>149</v>
      </c>
      <c r="CQ615" s="10">
        <v>57</v>
      </c>
      <c r="CR615" s="10">
        <v>6</v>
      </c>
      <c r="CS615" s="10">
        <v>8.9</v>
      </c>
      <c r="CT615" s="9" t="s">
        <v>188</v>
      </c>
      <c r="CU615" s="9" t="s">
        <v>185</v>
      </c>
      <c r="CV615" s="10"/>
      <c r="CW615" s="10"/>
      <c r="CX615" t="str">
        <f>INDEX('Data_Price '!AG$2:AG$1266,MATCH(Data!$DN615,'Data_Price '!$AT$2:$AT$1266,0))</f>
        <v>Head Kore 97 W Skis Womens 2022</v>
      </c>
      <c r="CY615" t="str">
        <f>INDEX('Data_Price '!AH$2:AH$1266,MATCH(Data!$DN615,'Data_Price '!$AT$2:$AT$1266,0))</f>
        <v>Snowcountry.eu</v>
      </c>
      <c r="CZ615">
        <f>INDEX('Data_Price '!AI$2:AI$1266,MATCH(Data!$DN615,'Data_Price '!$AT$2:$AT$1266,0))</f>
        <v>414</v>
      </c>
      <c r="DA615" t="str">
        <f>INDEX('Data_Price '!AJ$2:AJ$1266,MATCH(Data!$DN615,'Data_Price '!$AT$2:$AT$1266,0))</f>
        <v>https://tinyurl.com/y94s8h93</v>
      </c>
      <c r="DB615" t="str">
        <f>INDEX('Data_Price '!AK$2:AK$1266,MATCH(Data!$DN615,'Data_Price '!$AT$2:$AT$1266,0))</f>
        <v>Head Kore 97 W Skis Womens 2022</v>
      </c>
      <c r="DC615" t="str">
        <f>INDEX('Data_Price '!AL$2:AL$1266,MATCH(Data!$DN615,'Data_Price '!$AT$2:$AT$1266,0))</f>
        <v>! OutdoorXL.com</v>
      </c>
      <c r="DD615">
        <f>INDEX('Data_Price '!AM$2:AM$1266,MATCH(Data!$DN615,'Data_Price '!$AT$2:$AT$1266,0))</f>
        <v>424.95</v>
      </c>
      <c r="DE615" t="str">
        <f>INDEX('Data_Price '!AN$2:AN$1266,MATCH(Data!$DN615,'Data_Price '!$AT$2:$AT$1266,0))</f>
        <v>https://tinyurl.com/y8lzm6dm</v>
      </c>
      <c r="DF615" t="str">
        <f>INDEX('Data_Price '!AO$2:AO$1266,MATCH(Data!$DN615,'Data_Price '!$AT$2:$AT$1266,0))</f>
        <v>Head Kore 97 W Skis Womens 2022</v>
      </c>
      <c r="DG615" t="str">
        <f>INDEX('Data_Price '!AP$2:AP$1266,MATCH(Data!$DN615,'Data_Price '!$AT$2:$AT$1266,0))</f>
        <v>Teton Wasatch Ski Co.</v>
      </c>
      <c r="DH615">
        <f>INDEX('Data_Price '!AQ$2:AQ$1266,MATCH(Data!$DN615,'Data_Price '!$AT$2:$AT$1266,0))</f>
        <v>519</v>
      </c>
      <c r="DI615" t="str">
        <f>INDEX('Data_Price '!AR$2:AR$1266,MATCH(Data!$DN615,'Data_Price '!$AT$2:$AT$1266,0))</f>
        <v>https://tinyurl.com/yd8os74q</v>
      </c>
      <c r="DJ615" s="89" t="str">
        <f t="shared" si="365"/>
        <v>https://tinyurl.com/y94s8h93</v>
      </c>
      <c r="DK615" s="89" t="str">
        <f t="shared" si="366"/>
        <v>https://tinyurl.com/y8lzm6dm</v>
      </c>
      <c r="DL615" s="89" t="str">
        <f t="shared" si="367"/>
        <v>https://tinyurl.com/yd8os74q</v>
      </c>
      <c r="DM615" s="219" t="str">
        <f t="shared" si="368"/>
        <v>Kore 97 W</v>
      </c>
      <c r="DN615" s="89" t="str">
        <f t="shared" si="369"/>
        <v xml:space="preserve"> HeadKore 97 W177 Women's</v>
      </c>
      <c r="DO615" s="221"/>
    </row>
    <row r="616" spans="2:119" ht="15.6" customHeight="1">
      <c r="B616" s="219" t="b">
        <f t="array" ref="B616">IF(OR(ISERROR(K616:P616)),FALSE,TRUE)</f>
        <v>1</v>
      </c>
      <c r="C616" s="43" t="b">
        <f>OR(BR616=Driver!$G$50,Data!BR161=Driver!$H$50)</f>
        <v>1</v>
      </c>
      <c r="D616" s="43" t="b">
        <f>OR(BV616=Driver!$G$51,BV616=Driver!$H$51)</f>
        <v>1</v>
      </c>
      <c r="E616" s="43" t="b">
        <f>AND(BX616&gt;Driver!$F$54,BX616&lt;Driver!$G$54)</f>
        <v>0</v>
      </c>
      <c r="F616" s="43" t="b">
        <f>CL616&gt;Driver!$F$56</f>
        <v>1</v>
      </c>
      <c r="G616" s="43" t="b">
        <f>AND(CB616&gt;Driver!$F$55,CB616&lt;Driver!$G$55)</f>
        <v>0</v>
      </c>
      <c r="H616" s="43" t="b">
        <f t="shared" si="333"/>
        <v>0</v>
      </c>
      <c r="I616" s="43">
        <f t="shared" si="334"/>
        <v>0</v>
      </c>
      <c r="J616" s="43" t="b">
        <f t="array" ref="J616">NOT(OR(($H$9:$H$1273=TRUE)*($I$9:$I$1273&gt;0)*($BT$9:$BT$1273=BT616)*($K$9:$K$1273&gt;K616)))</f>
        <v>1</v>
      </c>
      <c r="K616" s="72">
        <f t="shared" si="335"/>
        <v>0.79208889157295848</v>
      </c>
      <c r="L616" s="72">
        <f t="shared" si="336"/>
        <v>0.88001634931854045</v>
      </c>
      <c r="M616" s="72">
        <f t="shared" si="337"/>
        <v>0.7041614338273765</v>
      </c>
      <c r="N616" s="72">
        <f t="shared" si="338"/>
        <v>0.52981651853506206</v>
      </c>
      <c r="O616" s="72">
        <f t="shared" si="339"/>
        <v>0.62183072660554339</v>
      </c>
      <c r="P616" s="72">
        <f t="shared" si="340"/>
        <v>0.96083705634152405</v>
      </c>
      <c r="Q616" s="72"/>
      <c r="R616" s="72"/>
      <c r="S616" s="72">
        <f t="shared" si="341"/>
        <v>0.4706874507126293</v>
      </c>
      <c r="T616" s="72">
        <f t="shared" si="342"/>
        <v>0.71353798824678638</v>
      </c>
      <c r="U616" s="72">
        <f t="shared" si="343"/>
        <v>0.85573255483733757</v>
      </c>
      <c r="V616" s="72">
        <f t="shared" si="344"/>
        <v>0.49900258004506393</v>
      </c>
      <c r="W616" s="72">
        <f t="shared" si="345"/>
        <v>0.78526360544217688</v>
      </c>
      <c r="X616" s="72">
        <f t="shared" si="346"/>
        <v>0.11998365068145961</v>
      </c>
      <c r="Y616" s="72">
        <f t="shared" si="347"/>
        <v>0.2958385661726235</v>
      </c>
      <c r="Z616" s="72">
        <f t="shared" si="348"/>
        <v>0.47018348146493794</v>
      </c>
      <c r="AA616" s="72">
        <f t="shared" si="349"/>
        <v>0.37816927339445661</v>
      </c>
      <c r="AB616" s="72">
        <f t="shared" si="350"/>
        <v>3.9162943658476002E-2</v>
      </c>
      <c r="AC616" s="72"/>
      <c r="AD616" s="72"/>
      <c r="AE616" s="72">
        <f t="shared" si="351"/>
        <v>0.5293125492873707</v>
      </c>
      <c r="AF616" s="72">
        <f t="shared" si="352"/>
        <v>0.28646201175321362</v>
      </c>
      <c r="AG616" s="72">
        <f t="shared" si="353"/>
        <v>0.14426744516266238</v>
      </c>
      <c r="AH616" s="72">
        <f t="shared" si="354"/>
        <v>0.50099741995493607</v>
      </c>
      <c r="AI616" s="72">
        <f t="shared" si="355"/>
        <v>0.21473639455782312</v>
      </c>
      <c r="AJ616" s="72">
        <f>(AV616-Driver!$K$179)/(Driver!$L$179-Driver!$K$179)</f>
        <v>0.13423575860124082</v>
      </c>
      <c r="AK616" s="72">
        <f>(AW616-Driver!$K$180)/(Driver!$L$180-Driver!$K$180)</f>
        <v>0.31909191067600468</v>
      </c>
      <c r="AL616" s="72">
        <f>(AX616-Driver!$K$181)/(Driver!$L$181-Driver!$K$181)</f>
        <v>0.57187124517801813</v>
      </c>
      <c r="AM616" s="72">
        <f>(AY616-Driver!$K$182)/(Driver!$L$182-Driver!$K$182)</f>
        <v>6.9215747702589786E-2</v>
      </c>
      <c r="AN616" s="72">
        <f>(AZ616-Driver!$K$183)/(Driver!$L$183-Driver!$K$183)</f>
        <v>0.29338235294117643</v>
      </c>
      <c r="AO616" s="72"/>
      <c r="AP616" s="72"/>
      <c r="AQ616" s="72">
        <f>(BC616-Driver!$K$188)/(Driver!$L$188-Driver!$K$188)</f>
        <v>9.0687450712629333E-2</v>
      </c>
      <c r="AR616" s="72">
        <f>MIN((BD616-Driver!$K$189)/(Driver!$L$189-Driver!$K$189),100%)</f>
        <v>0.26353798824678643</v>
      </c>
      <c r="AS616" s="72">
        <f>(BE616-Driver!$K$190)/(Driver!$L$190-Driver!$K$190)</f>
        <v>0.36573255483733763</v>
      </c>
      <c r="AT616" s="72">
        <f>(BF616-Driver!$K$191)/(Driver!$L$191-Driver!$K$191)</f>
        <v>9.0025800450639695E-3</v>
      </c>
      <c r="AU616" s="72">
        <f>(BG616-Driver!$K$192)/(Driver!$L$192-Driver!$K$192)</f>
        <v>3.5263605442176868E-2</v>
      </c>
      <c r="AV616" s="70">
        <f t="shared" si="356"/>
        <v>2.825261158594492</v>
      </c>
      <c r="AW616" s="70">
        <f t="shared" si="357"/>
        <v>32.97022675879461</v>
      </c>
      <c r="AX616" s="70">
        <f t="shared" si="358"/>
        <v>6.1468412066021632</v>
      </c>
      <c r="AY616" s="70">
        <f>IFERROR(Driver!$K$19/Data!BH616/Data!BI616*Data!BK616*Data!BL616,"")</f>
        <v>8.4740727173834615E-2</v>
      </c>
      <c r="AZ616" s="70">
        <f t="shared" si="359"/>
        <v>26.738644825018614</v>
      </c>
      <c r="BA616" s="70"/>
      <c r="BB616" s="70"/>
      <c r="BC616" s="70">
        <f t="shared" si="360"/>
        <v>47.040211133570047</v>
      </c>
      <c r="BD616" s="70">
        <f t="shared" si="361"/>
        <v>25.043467882254728</v>
      </c>
      <c r="BE616" s="70">
        <f t="shared" si="362"/>
        <v>0.36584570101057046</v>
      </c>
      <c r="BF616" s="70">
        <f t="shared" si="363"/>
        <v>1.0167781693856448</v>
      </c>
      <c r="BG616" s="70">
        <f t="shared" si="364"/>
        <v>0.13353050595238095</v>
      </c>
      <c r="BH616" s="67">
        <f>MAX((CE616-Driver!$F$200)/(Driver!$G$200-Driver!$F$200)*$BI$1,1)</f>
        <v>6.1468412066021632</v>
      </c>
      <c r="BI616" s="67">
        <f>MAX($BI$1*(BY616-Driver!$F$201)/(Driver!$G$201-Driver!$F$201),1)</f>
        <v>8.4177215189873422</v>
      </c>
      <c r="BJ616" s="67">
        <f>(CB616-Driver!$F$206)/(Driver!$G$206-Driver!$F$206)*$BI$1</f>
        <v>2.6984126984126982</v>
      </c>
      <c r="BK616" s="67">
        <f>(CD616-Driver!$F$203)/(Driver!$G$203-Driver!$F$203)*$BI$1</f>
        <v>2.8899082568807337</v>
      </c>
      <c r="BL616" s="67">
        <f>MAX((CR616-Driver!$F$202)/(Driver!$G$202-Driver!$F$202)*$BI$1,1)</f>
        <v>7.5862068965517242</v>
      </c>
      <c r="BM616" s="67">
        <f>MAX((CH616-Driver!$F$204)/(Driver!$G$204-Driver!$F$204)*$BI$1,1)</f>
        <v>4.1880341880341883</v>
      </c>
      <c r="BN616" s="67">
        <f>(CI616-Driver!$F$205)/(Driver!$G$205-Driver!$F$205)*$BI$1</f>
        <v>3.1764705882352939</v>
      </c>
      <c r="BO616" s="67">
        <f>(CK616-Driver!$F$207)/(Driver!$G$207-Driver!$F$207)*$BI$1</f>
        <v>0.8376421923474664</v>
      </c>
      <c r="BP616" s="67">
        <f>(CM616-Driver!$F$208)/(Driver!$G$208-Driver!$F$208)*$BI$1</f>
        <v>1.3</v>
      </c>
      <c r="BQ616" s="67">
        <f>(CL616-Driver!$F$209)/(Driver!$G$209-Driver!$F$209)*$BI$1</f>
        <v>3.4375</v>
      </c>
      <c r="BR616" s="28" t="s">
        <v>155</v>
      </c>
      <c r="BS616" s="8" t="s">
        <v>156</v>
      </c>
      <c r="BT616" s="9" t="s">
        <v>689</v>
      </c>
      <c r="BU616" s="10">
        <v>173</v>
      </c>
      <c r="BV616" s="9" t="s">
        <v>158</v>
      </c>
      <c r="BW616" s="10">
        <v>173</v>
      </c>
      <c r="BX616" s="10">
        <v>171.9</v>
      </c>
      <c r="BY616" s="10">
        <v>141</v>
      </c>
      <c r="BZ616" s="10">
        <v>151</v>
      </c>
      <c r="CA616" s="10">
        <v>122</v>
      </c>
      <c r="CB616" s="10">
        <v>81</v>
      </c>
      <c r="CC616" s="10">
        <v>106</v>
      </c>
      <c r="CD616" s="10">
        <v>15.7</v>
      </c>
      <c r="CE616" s="10">
        <v>1980</v>
      </c>
      <c r="CF616" s="10">
        <v>0.82</v>
      </c>
      <c r="CG616" s="10">
        <v>1626</v>
      </c>
      <c r="CH616" s="10">
        <v>199</v>
      </c>
      <c r="CI616" s="10">
        <v>87</v>
      </c>
      <c r="CJ616" s="10">
        <v>41</v>
      </c>
      <c r="CK616" s="10">
        <v>191</v>
      </c>
      <c r="CL616" s="10">
        <v>22</v>
      </c>
      <c r="CM616" s="10">
        <v>117</v>
      </c>
      <c r="CN616" s="10">
        <v>0.54100000000000004</v>
      </c>
      <c r="CO616" s="10">
        <v>116</v>
      </c>
      <c r="CP616" s="10">
        <v>92</v>
      </c>
      <c r="CQ616" s="10">
        <v>75</v>
      </c>
      <c r="CR616" s="10">
        <v>11</v>
      </c>
      <c r="CS616" s="10">
        <v>8.3000000000000007</v>
      </c>
      <c r="CT616" s="9" t="s">
        <v>188</v>
      </c>
      <c r="CU616" s="10"/>
      <c r="CV616" s="10"/>
      <c r="CW616" s="10"/>
      <c r="CX616" t="str">
        <f>INDEX('Data_Price '!AG$2:AG$1266,MATCH(Data!$DN616,'Data_Price '!$AT$2:$AT$1266,0))</f>
        <v>Atomic 2022 Maverick 83 R AW Skis w/ M10 GW Bindings</v>
      </c>
      <c r="CY616" t="str">
        <f>INDEX('Data_Price '!AH$2:AH$1266,MATCH(Data!$DN616,'Data_Price '!$AT$2:$AT$1266,0))</f>
        <v>evo.com</v>
      </c>
      <c r="CZ616">
        <f>INDEX('Data_Price '!AI$2:AI$1266,MATCH(Data!$DN616,'Data_Price '!$AT$2:$AT$1266,0))</f>
        <v>399.99</v>
      </c>
      <c r="DA616" t="str">
        <f>INDEX('Data_Price '!AJ$2:AJ$1266,MATCH(Data!$DN616,'Data_Price '!$AT$2:$AT$1266,0))</f>
        <v>https://tinyurl.com/yad7ekht</v>
      </c>
      <c r="DB616" t="str">
        <f>INDEX('Data_Price '!AK$2:AK$1266,MATCH(Data!$DN616,'Data_Price '!$AT$2:$AT$1266,0))</f>
        <v>Atomic 2022 Maverick 83 R AW Skis w/ M10 GW Bindings</v>
      </c>
      <c r="DC616" t="str">
        <f>INDEX('Data_Price '!AL$2:AL$1266,MATCH(Data!$DN616,'Data_Price '!$AT$2:$AT$1266,0))</f>
        <v>The-House.com</v>
      </c>
      <c r="DD616">
        <f>INDEX('Data_Price '!AM$2:AM$1266,MATCH(Data!$DN616,'Data_Price '!$AT$2:$AT$1266,0))</f>
        <v>499.99</v>
      </c>
      <c r="DE616" t="str">
        <f>INDEX('Data_Price '!AN$2:AN$1266,MATCH(Data!$DN616,'Data_Price '!$AT$2:$AT$1266,0))</f>
        <v>https://tinyurl.com/yck3e8ba</v>
      </c>
      <c r="DF616" t="str">
        <f>INDEX('Data_Price '!AO$2:AO$1266,MATCH(Data!$DN616,'Data_Price '!$AT$2:$AT$1266,0))</f>
        <v>22 Maverick 83 R Aw + M 10 Red | Grey / 173</v>
      </c>
      <c r="DG616" t="str">
        <f>INDEX('Data_Price '!AP$2:AP$1266,MATCH(Data!$DN616,'Data_Price '!$AT$2:$AT$1266,0))</f>
        <v>Sporthaus</v>
      </c>
      <c r="DH616">
        <f>INDEX('Data_Price '!AQ$2:AQ$1266,MATCH(Data!$DN616,'Data_Price '!$AT$2:$AT$1266,0))</f>
        <v>399.95</v>
      </c>
      <c r="DI616" t="str">
        <f>INDEX('Data_Price '!AR$2:AR$1266,MATCH(Data!$DN616,'Data_Price '!$AT$2:$AT$1266,0))</f>
        <v>https://tinyurl.com/y8zbzqsy</v>
      </c>
      <c r="DJ616" s="89" t="str">
        <f t="shared" si="365"/>
        <v>https://tinyurl.com/yad7ekht</v>
      </c>
      <c r="DK616" s="89" t="str">
        <f t="shared" si="366"/>
        <v>https://tinyurl.com/yck3e8ba</v>
      </c>
      <c r="DL616" s="89" t="str">
        <f t="shared" si="367"/>
        <v>https://tinyurl.com/y8zbzqsy</v>
      </c>
      <c r="DM616" s="219" t="str">
        <f t="shared" si="368"/>
        <v>Maverick 83</v>
      </c>
      <c r="DN616" s="89" t="str">
        <f t="shared" si="369"/>
        <v xml:space="preserve"> AtomicMaverick 83173 Unisex</v>
      </c>
      <c r="DO616" s="221" t="s">
        <v>690</v>
      </c>
    </row>
    <row r="617" spans="2:119" ht="15.6" customHeight="1">
      <c r="B617" s="219" t="b">
        <f t="array" ref="B617">IF(OR(ISERROR(K617:P617)),FALSE,TRUE)</f>
        <v>1</v>
      </c>
      <c r="C617" s="43" t="b">
        <f>OR(BR617=Driver!$G$50,Data!BR515=Driver!$H$50)</f>
        <v>1</v>
      </c>
      <c r="D617" s="43" t="b">
        <f>OR(BV617=Driver!$G$51,BV617=Driver!$H$51)</f>
        <v>1</v>
      </c>
      <c r="E617" s="43" t="b">
        <f>AND(BX617&gt;Driver!$F$54,BX617&lt;Driver!$G$54)</f>
        <v>0</v>
      </c>
      <c r="F617" s="43" t="b">
        <f>CL617&gt;Driver!$F$56</f>
        <v>1</v>
      </c>
      <c r="G617" s="43" t="b">
        <f>AND(CB617&gt;Driver!$F$55,CB617&lt;Driver!$G$55)</f>
        <v>1</v>
      </c>
      <c r="H617" s="43" t="b">
        <f t="shared" si="333"/>
        <v>0</v>
      </c>
      <c r="I617" s="43">
        <f t="shared" si="334"/>
        <v>0</v>
      </c>
      <c r="J617" s="43" t="b">
        <f t="array" ref="J617">NOT(OR(($H$9:$H$1273=TRUE)*($I$9:$I$1273&gt;0)*($BT$9:$BT$1273=BT617)*($K$9:$K$1273&gt;K617)))</f>
        <v>1</v>
      </c>
      <c r="K617" s="72">
        <f t="shared" si="335"/>
        <v>0.77998563965644097</v>
      </c>
      <c r="L617" s="72">
        <f t="shared" si="336"/>
        <v>0.88535308102550925</v>
      </c>
      <c r="M617" s="72">
        <f t="shared" si="337"/>
        <v>0.67461819828737268</v>
      </c>
      <c r="N617" s="72">
        <f t="shared" si="338"/>
        <v>0.58167258632738483</v>
      </c>
      <c r="O617" s="72">
        <f t="shared" si="339"/>
        <v>0.64658188029778429</v>
      </c>
      <c r="P617" s="72">
        <f t="shared" si="340"/>
        <v>0.79560012823694881</v>
      </c>
      <c r="Q617" s="72"/>
      <c r="R617" s="72"/>
      <c r="S617" s="72">
        <f t="shared" si="341"/>
        <v>0.51600296825830827</v>
      </c>
      <c r="T617" s="72">
        <f t="shared" si="342"/>
        <v>0.48378476797619174</v>
      </c>
      <c r="U617" s="72">
        <f t="shared" si="343"/>
        <v>0.55729614035608888</v>
      </c>
      <c r="V617" s="72">
        <f t="shared" si="344"/>
        <v>0.56093943822337511</v>
      </c>
      <c r="W617" s="72">
        <f t="shared" si="345"/>
        <v>0.7843099042120939</v>
      </c>
      <c r="X617" s="72">
        <f t="shared" si="346"/>
        <v>0.11464691897449075</v>
      </c>
      <c r="Y617" s="72">
        <f t="shared" si="347"/>
        <v>0.32538180171262737</v>
      </c>
      <c r="Z617" s="72">
        <f t="shared" si="348"/>
        <v>0.41832741367261517</v>
      </c>
      <c r="AA617" s="72">
        <f t="shared" si="349"/>
        <v>0.35341811970221576</v>
      </c>
      <c r="AB617" s="72">
        <f t="shared" si="350"/>
        <v>0.20439987176305119</v>
      </c>
      <c r="AC617" s="72"/>
      <c r="AD617" s="72"/>
      <c r="AE617" s="72">
        <f t="shared" si="351"/>
        <v>0.48399703174169173</v>
      </c>
      <c r="AF617" s="72">
        <f t="shared" si="352"/>
        <v>0.51621523202380826</v>
      </c>
      <c r="AG617" s="72">
        <f t="shared" si="353"/>
        <v>0.44270385964391112</v>
      </c>
      <c r="AH617" s="72">
        <f t="shared" si="354"/>
        <v>0.43906056177662489</v>
      </c>
      <c r="AI617" s="72">
        <f t="shared" si="355"/>
        <v>0.2156900957879061</v>
      </c>
      <c r="AJ617" s="72">
        <f>(AV617-Driver!$K$179)/(Driver!$L$179-Driver!$K$179)</f>
        <v>0.36886632825719118</v>
      </c>
      <c r="AK617" s="72">
        <f>(AW617-Driver!$K$180)/(Driver!$L$180-Driver!$K$180)</f>
        <v>0.46913641338021084</v>
      </c>
      <c r="AL617" s="72">
        <f>(AX617-Driver!$K$181)/(Driver!$L$181-Driver!$K$181)</f>
        <v>0.52001517738569536</v>
      </c>
      <c r="AM617" s="72">
        <f>(AY617-Driver!$K$182)/(Driver!$L$182-Driver!$K$182)</f>
        <v>9.3966901394830618E-2</v>
      </c>
      <c r="AN617" s="72">
        <f>(AZ617-Driver!$K$183)/(Driver!$L$183-Driver!$K$183)</f>
        <v>0.45861928104575161</v>
      </c>
      <c r="AO617" s="72"/>
      <c r="AP617" s="72"/>
      <c r="AQ617" s="72">
        <f>(BC617-Driver!$K$188)/(Driver!$L$188-Driver!$K$188)</f>
        <v>0.13600296825830829</v>
      </c>
      <c r="AR617" s="72">
        <f>MIN((BD617-Driver!$K$189)/(Driver!$L$189-Driver!$K$189),100%)</f>
        <v>3.3784767976191753E-2</v>
      </c>
      <c r="AS617" s="72">
        <f>(BE617-Driver!$K$190)/(Driver!$L$190-Driver!$K$190)</f>
        <v>6.7296140356088871E-2</v>
      </c>
      <c r="AT617" s="72">
        <f>(BF617-Driver!$K$191)/(Driver!$L$191-Driver!$K$191)</f>
        <v>7.0939438223375118E-2</v>
      </c>
      <c r="AU617" s="72">
        <f>(BG617-Driver!$K$192)/(Driver!$L$192-Driver!$K$192)</f>
        <v>3.4309904212093907E-2</v>
      </c>
      <c r="AV617" s="70">
        <f t="shared" si="356"/>
        <v>7.7635327635327638</v>
      </c>
      <c r="AW617" s="70">
        <f t="shared" si="357"/>
        <v>47.593393076864388</v>
      </c>
      <c r="AX617" s="70">
        <f t="shared" si="358"/>
        <v>5.6801365964712582</v>
      </c>
      <c r="AY617" s="70">
        <f>IFERROR(Driver!$K$19/Data!BH617/Data!BI617*Data!BK617*Data!BL617,"")</f>
        <v>0.1150435243246245</v>
      </c>
      <c r="AZ617" s="70">
        <f t="shared" si="359"/>
        <v>41.798212956068504</v>
      </c>
      <c r="BA617" s="70"/>
      <c r="BB617" s="70"/>
      <c r="BC617" s="70">
        <f t="shared" si="360"/>
        <v>70.545685112880818</v>
      </c>
      <c r="BD617" s="70">
        <f t="shared" si="361"/>
        <v>4.7107149869241267</v>
      </c>
      <c r="BE617" s="70">
        <f t="shared" si="362"/>
        <v>6.7462524226620232E-2</v>
      </c>
      <c r="BF617" s="70">
        <f t="shared" si="363"/>
        <v>8.0121111695704847</v>
      </c>
      <c r="BG617" s="70">
        <f t="shared" si="364"/>
        <v>0.12991918469967456</v>
      </c>
      <c r="BH617" s="67">
        <f>MAX((CE617-Driver!$F$200)/(Driver!$G$200-Driver!$F$200)*$BI$1,1)</f>
        <v>5.6801365964712582</v>
      </c>
      <c r="BI617" s="67">
        <f>MAX($BI$1*(BY617-Driver!$F$201)/(Driver!$G$201-Driver!$F$201),1)</f>
        <v>6.8987341772151902</v>
      </c>
      <c r="BJ617" s="67">
        <f>(CB617-Driver!$F$206)/(Driver!$G$206-Driver!$F$206)*$BI$1</f>
        <v>6.6666666666666661</v>
      </c>
      <c r="BK617" s="67">
        <f>(CD617-Driver!$F$203)/(Driver!$G$203-Driver!$F$203)*$BI$1</f>
        <v>4.3577981651376145</v>
      </c>
      <c r="BL617" s="67">
        <f>MAX((CR617-Driver!$F$202)/(Driver!$G$202-Driver!$F$202)*$BI$1,1)</f>
        <v>5.1724137931034484</v>
      </c>
      <c r="BM617" s="67">
        <f>MAX((CH617-Driver!$F$204)/(Driver!$G$204-Driver!$F$204)*$BI$1,1)</f>
        <v>4.6581196581196584</v>
      </c>
      <c r="BN617" s="67">
        <f>(CI617-Driver!$F$205)/(Driver!$G$205-Driver!$F$205)*$BI$1</f>
        <v>6.0588235294117645</v>
      </c>
      <c r="BO617" s="67">
        <f>(CK617-Driver!$F$207)/(Driver!$G$207-Driver!$F$207)*$BI$1</f>
        <v>2.2233712512926576</v>
      </c>
      <c r="BP617" s="67">
        <f>(CM617-Driver!$F$208)/(Driver!$G$208-Driver!$F$208)*$BI$1</f>
        <v>2.3555555555555556</v>
      </c>
      <c r="BQ617" s="67">
        <f>(CL617-Driver!$F$209)/(Driver!$G$209-Driver!$F$209)*$BI$1</f>
        <v>3.4375</v>
      </c>
      <c r="BR617" s="28" t="s">
        <v>155</v>
      </c>
      <c r="BS617" s="8" t="s">
        <v>205</v>
      </c>
      <c r="BT617" s="9" t="s">
        <v>691</v>
      </c>
      <c r="BU617" s="10">
        <v>172</v>
      </c>
      <c r="BV617" s="9" t="s">
        <v>158</v>
      </c>
      <c r="BW617" s="10">
        <v>172</v>
      </c>
      <c r="BX617" s="10">
        <v>170.3</v>
      </c>
      <c r="BY617" s="10">
        <v>117</v>
      </c>
      <c r="BZ617" s="10">
        <v>139</v>
      </c>
      <c r="CA617" s="10">
        <v>133</v>
      </c>
      <c r="CB617" s="10">
        <v>106</v>
      </c>
      <c r="CC617" s="10">
        <v>124</v>
      </c>
      <c r="CD617" s="10">
        <v>18.899999999999999</v>
      </c>
      <c r="CE617" s="10">
        <v>1898</v>
      </c>
      <c r="CF617" s="10">
        <v>1.03</v>
      </c>
      <c r="CG617" s="10">
        <v>1959</v>
      </c>
      <c r="CH617" s="10">
        <v>210</v>
      </c>
      <c r="CI617" s="10">
        <v>136</v>
      </c>
      <c r="CJ617" s="10">
        <v>63</v>
      </c>
      <c r="CK617" s="10">
        <v>325</v>
      </c>
      <c r="CL617" s="10">
        <v>22</v>
      </c>
      <c r="CM617" s="10">
        <v>212</v>
      </c>
      <c r="CN617" s="10">
        <v>0.35399999999999998</v>
      </c>
      <c r="CO617" s="10">
        <v>186</v>
      </c>
      <c r="CP617" s="10">
        <v>124</v>
      </c>
      <c r="CQ617" s="10">
        <v>138</v>
      </c>
      <c r="CR617" s="10">
        <v>4</v>
      </c>
      <c r="CS617" s="10">
        <v>10.8</v>
      </c>
      <c r="CT617" s="9" t="s">
        <v>169</v>
      </c>
      <c r="CU617" s="9" t="s">
        <v>178</v>
      </c>
      <c r="CV617" s="10"/>
      <c r="CW617" s="10"/>
      <c r="CX617" t="str">
        <f>INDEX('Data_Price '!AG$2:AG$1266,MATCH(Data!$DN617,'Data_Price '!$AT$2:$AT$1266,0))</f>
        <v>Faction Dictator 3.0 Skis</v>
      </c>
      <c r="CY617" t="str">
        <f>INDEX('Data_Price '!AH$2:AH$1266,MATCH(Data!$DN617,'Data_Price '!$AT$2:$AT$1266,0))</f>
        <v>Snowcountry.eu</v>
      </c>
      <c r="CZ617">
        <f>INDEX('Data_Price '!AI$2:AI$1266,MATCH(Data!$DN617,'Data_Price '!$AT$2:$AT$1266,0))</f>
        <v>460.11</v>
      </c>
      <c r="DA617" t="str">
        <f>INDEX('Data_Price '!AJ$2:AJ$1266,MATCH(Data!$DN617,'Data_Price '!$AT$2:$AT$1266,0))</f>
        <v>https://tinyurl.com/ycrfj88l</v>
      </c>
      <c r="DB617" t="str">
        <f>INDEX('Data_Price '!AK$2:AK$1266,MATCH(Data!$DN617,'Data_Price '!$AT$2:$AT$1266,0))</f>
        <v>Faction Dictator 3.0 Skis</v>
      </c>
      <c r="DC617" t="str">
        <f>INDEX('Data_Price '!AL$2:AL$1266,MATCH(Data!$DN617,'Data_Price '!$AT$2:$AT$1266,0))</f>
        <v>Aspen Ski and Board</v>
      </c>
      <c r="DD617">
        <f>INDEX('Data_Price '!AM$2:AM$1266,MATCH(Data!$DN617,'Data_Price '!$AT$2:$AT$1266,0))</f>
        <v>575.20000000000005</v>
      </c>
      <c r="DE617" t="str">
        <f>INDEX('Data_Price '!AN$2:AN$1266,MATCH(Data!$DN617,'Data_Price '!$AT$2:$AT$1266,0))</f>
        <v>https://tinyurl.com/y8xs6fd8</v>
      </c>
      <c r="DF617" t="str">
        <f>INDEX('Data_Price '!AO$2:AO$1266,MATCH(Data!$DN617,'Data_Price '!$AT$2:$AT$1266,0))</f>
        <v>Faction Dictator 3.0 Skis</v>
      </c>
      <c r="DG617" t="str">
        <f>INDEX('Data_Price '!AP$2:AP$1266,MATCH(Data!$DN617,'Data_Price '!$AT$2:$AT$1266,0))</f>
        <v>Saint Bernard</v>
      </c>
      <c r="DH617">
        <f>INDEX('Data_Price '!AQ$2:AQ$1266,MATCH(Data!$DN617,'Data_Price '!$AT$2:$AT$1266,0))</f>
        <v>575.9</v>
      </c>
      <c r="DI617" t="str">
        <f>INDEX('Data_Price '!AR$2:AR$1266,MATCH(Data!$DN617,'Data_Price '!$AT$2:$AT$1266,0))</f>
        <v>https://tinyurl.com/yapobrcy</v>
      </c>
      <c r="DJ617" s="89" t="str">
        <f t="shared" si="365"/>
        <v>https://tinyurl.com/ycrfj88l</v>
      </c>
      <c r="DK617" s="89" t="str">
        <f t="shared" si="366"/>
        <v>https://tinyurl.com/y8xs6fd8</v>
      </c>
      <c r="DL617" s="89" t="str">
        <f t="shared" si="367"/>
        <v>https://tinyurl.com/yapobrcy</v>
      </c>
      <c r="DM617" s="219" t="str">
        <f t="shared" si="368"/>
        <v>Dictator 3.0</v>
      </c>
      <c r="DN617" s="89" t="str">
        <f t="shared" si="369"/>
        <v xml:space="preserve"> FactionDictator 3.0172 Unisex</v>
      </c>
      <c r="DO617" s="221" t="s">
        <v>692</v>
      </c>
    </row>
    <row r="618" spans="2:119" ht="15.6" customHeight="1">
      <c r="B618" s="219" t="b">
        <f t="array" ref="B618">IF(OR(ISERROR(K618:P618)),FALSE,TRUE)</f>
        <v>1</v>
      </c>
      <c r="C618" s="43" t="b">
        <f>OR(BR618=Driver!$G$50,Data!BR477=Driver!$H$50)</f>
        <v>1</v>
      </c>
      <c r="D618" s="43" t="b">
        <f>OR(BV618=Driver!$G$51,BV618=Driver!$H$51)</f>
        <v>1</v>
      </c>
      <c r="E618" s="43" t="b">
        <f>AND(BX618&gt;Driver!$F$54,BX618&lt;Driver!$G$54)</f>
        <v>0</v>
      </c>
      <c r="F618" s="43" t="b">
        <f>CL618&gt;Driver!$F$56</f>
        <v>1</v>
      </c>
      <c r="G618" s="43" t="b">
        <f>AND(CB618&gt;Driver!$F$55,CB618&lt;Driver!$G$55)</f>
        <v>0</v>
      </c>
      <c r="H618" s="43" t="b">
        <f t="shared" si="333"/>
        <v>0</v>
      </c>
      <c r="I618" s="43">
        <f t="shared" si="334"/>
        <v>0</v>
      </c>
      <c r="J618" s="43" t="b">
        <f t="array" ref="J618">NOT(OR(($H$9:$H$1273=TRUE)*($I$9:$I$1273&gt;0)*($BT$9:$BT$1273=BT618)*($K$9:$K$1273&gt;K618)))</f>
        <v>1</v>
      </c>
      <c r="K618" s="72">
        <f t="shared" si="335"/>
        <v>0.77084637537148304</v>
      </c>
      <c r="L618" s="72">
        <f t="shared" si="336"/>
        <v>0.83263902275339663</v>
      </c>
      <c r="M618" s="72">
        <f t="shared" si="337"/>
        <v>0.70905372798956945</v>
      </c>
      <c r="N618" s="72">
        <f t="shared" si="338"/>
        <v>0.5721867202678137</v>
      </c>
      <c r="O618" s="72">
        <f t="shared" si="339"/>
        <v>0.61080407402603731</v>
      </c>
      <c r="P618" s="72">
        <f t="shared" si="340"/>
        <v>0.94417038967485722</v>
      </c>
      <c r="Q618" s="72"/>
      <c r="R618" s="72"/>
      <c r="S618" s="72">
        <f t="shared" si="341"/>
        <v>0.48212331345872439</v>
      </c>
      <c r="T618" s="72">
        <f t="shared" si="342"/>
        <v>0.88737540230542722</v>
      </c>
      <c r="U618" s="72">
        <f t="shared" si="343"/>
        <v>0.51</v>
      </c>
      <c r="V618" s="72">
        <f t="shared" si="344"/>
        <v>0.49110435165192889</v>
      </c>
      <c r="W618" s="72">
        <f t="shared" si="345"/>
        <v>0.76708906662368803</v>
      </c>
      <c r="X618" s="72">
        <f t="shared" si="346"/>
        <v>0.16736097724660343</v>
      </c>
      <c r="Y618" s="72">
        <f t="shared" si="347"/>
        <v>0.29094627201043055</v>
      </c>
      <c r="Z618" s="72">
        <f t="shared" si="348"/>
        <v>0.4278132797321863</v>
      </c>
      <c r="AA618" s="72">
        <f t="shared" si="349"/>
        <v>0.38919592597396269</v>
      </c>
      <c r="AB618" s="72">
        <f t="shared" si="350"/>
        <v>5.582961032514272E-2</v>
      </c>
      <c r="AC618" s="72"/>
      <c r="AD618" s="72"/>
      <c r="AE618" s="72">
        <f t="shared" si="351"/>
        <v>0.51787668654127561</v>
      </c>
      <c r="AF618" s="72">
        <f t="shared" si="352"/>
        <v>0.11262459769457278</v>
      </c>
      <c r="AG618" s="72">
        <f t="shared" si="353"/>
        <v>0.49</v>
      </c>
      <c r="AH618" s="72">
        <f t="shared" si="354"/>
        <v>0.50889564834807111</v>
      </c>
      <c r="AI618" s="72">
        <f t="shared" si="355"/>
        <v>0.23291093337631202</v>
      </c>
      <c r="AJ618" s="72">
        <f>(AV618-Driver!$K$179)/(Driver!$L$179-Driver!$K$179)</f>
        <v>8.6858432036097014E-2</v>
      </c>
      <c r="AK618" s="72">
        <f>(AW618-Driver!$K$180)/(Driver!$L$180-Driver!$K$180)</f>
        <v>0.3306265787706969</v>
      </c>
      <c r="AL618" s="72">
        <f>(AX618-Driver!$K$181)/(Driver!$L$181-Driver!$K$181)</f>
        <v>0.52950104344526649</v>
      </c>
      <c r="AM618" s="72">
        <f>(AY618-Driver!$K$182)/(Driver!$L$182-Driver!$K$182)</f>
        <v>5.8189095123083685E-2</v>
      </c>
      <c r="AN618" s="72">
        <f>(AZ618-Driver!$K$183)/(Driver!$L$183-Driver!$K$183)</f>
        <v>0.31004901960784315</v>
      </c>
      <c r="AO618" s="72"/>
      <c r="AP618" s="72"/>
      <c r="AQ618" s="72">
        <f>(BC618-Driver!$K$188)/(Driver!$L$188-Driver!$K$188)</f>
        <v>0.10212331345872444</v>
      </c>
      <c r="AR618" s="72">
        <f>MIN((BD618-Driver!$K$189)/(Driver!$L$189-Driver!$K$189),100%)</f>
        <v>0.43737540230542726</v>
      </c>
      <c r="AS618" s="72">
        <f>(BE618-Driver!$K$190)/(Driver!$L$190-Driver!$K$190)</f>
        <v>1</v>
      </c>
      <c r="AT618" s="72">
        <f>(BF618-Driver!$K$191)/(Driver!$L$191-Driver!$K$191)</f>
        <v>1.1043516519289066E-3</v>
      </c>
      <c r="AU618" s="72">
        <f>(BG618-Driver!$K$192)/(Driver!$L$192-Driver!$K$192)</f>
        <v>1.7089066623687969E-2</v>
      </c>
      <c r="AV618" s="70">
        <f t="shared" si="356"/>
        <v>1.8281101614434949</v>
      </c>
      <c r="AW618" s="70">
        <f t="shared" si="357"/>
        <v>34.094382372179098</v>
      </c>
      <c r="AX618" s="70">
        <f t="shared" si="358"/>
        <v>5.7655093910073987</v>
      </c>
      <c r="AY618" s="70">
        <f>IFERROR(Driver!$K$19/Data!BH618/Data!BI618*Data!BK618*Data!BL618,"")</f>
        <v>7.1240814380930925E-2</v>
      </c>
      <c r="AZ618" s="70">
        <f t="shared" si="359"/>
        <v>28.257632166790767</v>
      </c>
      <c r="BA618" s="70"/>
      <c r="BB618" s="70"/>
      <c r="BC618" s="70">
        <f t="shared" si="360"/>
        <v>52.972072640797606</v>
      </c>
      <c r="BD618" s="70">
        <f t="shared" si="361"/>
        <v>40.427771004773334</v>
      </c>
      <c r="BE618" s="70">
        <f t="shared" si="362"/>
        <v>1</v>
      </c>
      <c r="BF618" s="70">
        <f t="shared" si="363"/>
        <v>0.12472876057591417</v>
      </c>
      <c r="BG618" s="70">
        <f t="shared" si="364"/>
        <v>6.4710107883232254E-2</v>
      </c>
      <c r="BH618" s="67">
        <f>MAX((CE618-Driver!$F$200)/(Driver!$G$200-Driver!$F$200)*$BI$1,1)</f>
        <v>5.7655093910073987</v>
      </c>
      <c r="BI618" s="67">
        <f>MAX($BI$1*(BY618-Driver!$F$201)/(Driver!$G$201-Driver!$F$201),1)</f>
        <v>8.7341772151898738</v>
      </c>
      <c r="BJ618" s="67">
        <f>(CB618-Driver!$F$206)/(Driver!$G$206-Driver!$F$206)*$BI$1</f>
        <v>1.746031746031746</v>
      </c>
      <c r="BK618" s="67">
        <f>(CD618-Driver!$F$203)/(Driver!$G$203-Driver!$F$203)*$BI$1</f>
        <v>2.4770642201834865</v>
      </c>
      <c r="BL618" s="67">
        <f>MAX((CR618-Driver!$F$202)/(Driver!$G$202-Driver!$F$202)*$BI$1,1)</f>
        <v>7.2413793103448274</v>
      </c>
      <c r="BM618" s="67">
        <f>MAX((CH618-Driver!$F$204)/(Driver!$G$204-Driver!$F$204)*$BI$1,1)</f>
        <v>4.1880341880341883</v>
      </c>
      <c r="BN618" s="67">
        <f>(CI618-Driver!$F$205)/(Driver!$G$205-Driver!$F$205)*$BI$1</f>
        <v>3.2352941176470589</v>
      </c>
      <c r="BO618" s="67">
        <f>(CK618-Driver!$F$207)/(Driver!$G$207-Driver!$F$207)*$BI$1</f>
        <v>0.22750775594622544</v>
      </c>
      <c r="BP618" s="67">
        <f>(CM618-Driver!$F$208)/(Driver!$G$208-Driver!$F$208)*$BI$1</f>
        <v>0.77777777777777779</v>
      </c>
      <c r="BQ618" s="67">
        <f>(CL618-Driver!$F$209)/(Driver!$G$209-Driver!$F$209)*$BI$1</f>
        <v>1.5625</v>
      </c>
      <c r="BR618" s="28" t="s">
        <v>155</v>
      </c>
      <c r="BS618" s="8" t="s">
        <v>164</v>
      </c>
      <c r="BT618" s="9" t="s">
        <v>693</v>
      </c>
      <c r="BU618" s="10">
        <v>168</v>
      </c>
      <c r="BV618" s="9" t="s">
        <v>158</v>
      </c>
      <c r="BW618" s="10">
        <v>168</v>
      </c>
      <c r="BX618" s="10">
        <v>166.3</v>
      </c>
      <c r="BY618" s="10">
        <v>146</v>
      </c>
      <c r="BZ618" s="10">
        <v>153</v>
      </c>
      <c r="CA618" s="10">
        <v>124</v>
      </c>
      <c r="CB618" s="10">
        <v>75</v>
      </c>
      <c r="CC618" s="10">
        <v>103</v>
      </c>
      <c r="CD618" s="10">
        <v>14.8</v>
      </c>
      <c r="CE618" s="10">
        <v>1913</v>
      </c>
      <c r="CF618" s="10">
        <v>0.78</v>
      </c>
      <c r="CG618" s="10">
        <v>1490</v>
      </c>
      <c r="CH618" s="10">
        <v>199</v>
      </c>
      <c r="CI618" s="10">
        <v>88</v>
      </c>
      <c r="CJ618" s="10">
        <v>28</v>
      </c>
      <c r="CK618" s="10">
        <v>132</v>
      </c>
      <c r="CL618" s="10">
        <v>10</v>
      </c>
      <c r="CM618" s="10">
        <v>70</v>
      </c>
      <c r="CN618" s="10">
        <v>0.35299999999999998</v>
      </c>
      <c r="CO618" s="10">
        <v>76</v>
      </c>
      <c r="CP618" s="10">
        <v>56</v>
      </c>
      <c r="CQ618" s="10">
        <v>56</v>
      </c>
      <c r="CR618" s="10">
        <v>10</v>
      </c>
      <c r="CS618" s="10">
        <v>9</v>
      </c>
      <c r="CT618" s="9" t="s">
        <v>349</v>
      </c>
      <c r="CU618" s="10"/>
      <c r="CV618" s="10"/>
      <c r="CW618" s="10"/>
      <c r="CX618" t="str">
        <f>INDEX('Data_Price '!AG$2:AG$1266,MATCH(Data!$DN618,'Data_Price '!$AT$2:$AT$1266,0))</f>
        <v>Elan Wingman 78 Ti Skis with Bindings</v>
      </c>
      <c r="CY618" t="str">
        <f>INDEX('Data_Price '!AH$2:AH$1266,MATCH(Data!$DN618,'Data_Price '!$AT$2:$AT$1266,0))</f>
        <v>! OutdoorXL.com</v>
      </c>
      <c r="CZ618">
        <f>INDEX('Data_Price '!AI$2:AI$1266,MATCH(Data!$DN618,'Data_Price '!$AT$2:$AT$1266,0))</f>
        <v>374.95</v>
      </c>
      <c r="DA618" t="str">
        <f>INDEX('Data_Price '!AJ$2:AJ$1266,MATCH(Data!$DN618,'Data_Price '!$AT$2:$AT$1266,0))</f>
        <v>https://tinyurl.com/y9x79n2s</v>
      </c>
      <c r="DB618" t="str">
        <f>INDEX('Data_Price '!AK$2:AK$1266,MATCH(Data!$DN618,'Data_Price '!$AT$2:$AT$1266,0))</f>
        <v>Elan Wingman 78 TI PS ELS 11.0 168cm</v>
      </c>
      <c r="DC618" t="str">
        <f>INDEX('Data_Price '!AL$2:AL$1266,MATCH(Data!$DN618,'Data_Price '!$AT$2:$AT$1266,0))</f>
        <v>Sundance Ski and Board Shop</v>
      </c>
      <c r="DD618">
        <f>INDEX('Data_Price '!AM$2:AM$1266,MATCH(Data!$DN618,'Data_Price '!$AT$2:$AT$1266,0))</f>
        <v>561.20000000000005</v>
      </c>
      <c r="DE618" t="str">
        <f>INDEX('Data_Price '!AN$2:AN$1266,MATCH(Data!$DN618,'Data_Price '!$AT$2:$AT$1266,0))</f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F618" t="str">
        <f>INDEX('Data_Price '!AO$2:AO$1266,MATCH(Data!$DN618,'Data_Price '!$AT$2:$AT$1266,0))</f>
        <v>Elan Wingman 78 Ti System Skis w/ ELS 11 GW Bindings</v>
      </c>
      <c r="DG618" t="str">
        <f>INDEX('Data_Price '!AP$2:AP$1266,MATCH(Data!$DN618,'Data_Price '!$AT$2:$AT$1266,0))</f>
        <v>The-House.com</v>
      </c>
      <c r="DH618">
        <f>INDEX('Data_Price '!AQ$2:AQ$1266,MATCH(Data!$DN618,'Data_Price '!$AT$2:$AT$1266,0))</f>
        <v>599.99</v>
      </c>
      <c r="DI618" t="str">
        <f>INDEX('Data_Price '!AR$2:AR$1266,MATCH(Data!$DN618,'Data_Price '!$AT$2:$AT$1266,0))</f>
        <v>https://tinyurl.com/y8bbqa84</v>
      </c>
      <c r="DJ618" s="89" t="str">
        <f t="shared" si="365"/>
        <v>https://tinyurl.com/y9x79n2s</v>
      </c>
      <c r="DK618" s="89" t="str">
        <f t="shared" si="366"/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L618" s="89" t="str">
        <f t="shared" si="367"/>
        <v>https://tinyurl.com/y8bbqa84</v>
      </c>
      <c r="DM618" s="219" t="str">
        <f t="shared" si="368"/>
        <v>Wingman 78 Ti</v>
      </c>
      <c r="DN618" s="89" t="str">
        <f t="shared" si="369"/>
        <v xml:space="preserve"> ElanWingman 78 Ti168 Unisex</v>
      </c>
      <c r="DO618" s="221"/>
    </row>
    <row r="619" spans="2:119" ht="15.6" customHeight="1">
      <c r="B619" s="219" t="b">
        <f t="array" ref="B619">IF(OR(ISERROR(K619:P619)),FALSE,TRUE)</f>
        <v>1</v>
      </c>
      <c r="C619" s="43" t="b">
        <f>OR(BR619=Driver!$G$50,Data!BR895=Driver!$H$50)</f>
        <v>1</v>
      </c>
      <c r="D619" s="43" t="b">
        <f>OR(BV619=Driver!$G$51,BV619=Driver!$H$51)</f>
        <v>1</v>
      </c>
      <c r="E619" s="43" t="b">
        <f>AND(BX619&gt;Driver!$F$54,BX619&lt;Driver!$G$54)</f>
        <v>1</v>
      </c>
      <c r="F619" s="43" t="b">
        <f>CL619&gt;Driver!$F$56</f>
        <v>1</v>
      </c>
      <c r="G619" s="43" t="b">
        <f>AND(CB619&gt;Driver!$F$55,CB619&lt;Driver!$G$55)</f>
        <v>1</v>
      </c>
      <c r="H619" s="43" t="b">
        <f t="shared" si="333"/>
        <v>1</v>
      </c>
      <c r="I619" s="43">
        <f t="shared" si="334"/>
        <v>1</v>
      </c>
      <c r="J619" s="43" t="b">
        <f t="array" ref="J619">NOT(OR(($H$9:$H$1273=TRUE)*($I$9:$I$1273&gt;0)*($BT$9:$BT$1273=BT619)*($K$9:$K$1273&gt;K619)))</f>
        <v>1</v>
      </c>
      <c r="K619" s="72">
        <f t="shared" si="335"/>
        <v>0.83765014276977223</v>
      </c>
      <c r="L619" s="72">
        <f t="shared" si="336"/>
        <v>0.99968713952200428</v>
      </c>
      <c r="M619" s="72">
        <f t="shared" si="337"/>
        <v>0.6756131460175403</v>
      </c>
      <c r="N619" s="72">
        <f t="shared" si="338"/>
        <v>0.55195020600739497</v>
      </c>
      <c r="O619" s="72">
        <f t="shared" si="339"/>
        <v>0.64068616263180633</v>
      </c>
      <c r="P619" s="72">
        <f t="shared" si="340"/>
        <v>0.83420306941341948</v>
      </c>
      <c r="Q619" s="72"/>
      <c r="R619" s="72"/>
      <c r="S619" s="72">
        <f t="shared" si="341"/>
        <v>0.47252091367397298</v>
      </c>
      <c r="T619" s="72">
        <f t="shared" si="342"/>
        <v>0.51364258234464022</v>
      </c>
      <c r="U619" s="72">
        <f t="shared" si="343"/>
        <v>0.54982846037388833</v>
      </c>
      <c r="V619" s="72">
        <f t="shared" si="344"/>
        <v>0.56551183697929475</v>
      </c>
      <c r="W619" s="72">
        <f t="shared" si="345"/>
        <v>0.80611908559276979</v>
      </c>
      <c r="X619" s="72">
        <f t="shared" si="346"/>
        <v>3.1286047799572447E-4</v>
      </c>
      <c r="Y619" s="72">
        <f t="shared" si="347"/>
        <v>0.3243868539824597</v>
      </c>
      <c r="Z619" s="72">
        <f t="shared" si="348"/>
        <v>0.44804979399260503</v>
      </c>
      <c r="AA619" s="72">
        <f t="shared" si="349"/>
        <v>0.35931383736819361</v>
      </c>
      <c r="AB619" s="72">
        <f t="shared" si="350"/>
        <v>0.16579693058658052</v>
      </c>
      <c r="AC619" s="72"/>
      <c r="AD619" s="72"/>
      <c r="AE619" s="72">
        <f t="shared" si="351"/>
        <v>0.52747908632602702</v>
      </c>
      <c r="AF619" s="72">
        <f t="shared" si="352"/>
        <v>0.48635741765535973</v>
      </c>
      <c r="AG619" s="72">
        <f t="shared" si="353"/>
        <v>0.45017153962611162</v>
      </c>
      <c r="AH619" s="72">
        <f t="shared" si="354"/>
        <v>0.43448816302070525</v>
      </c>
      <c r="AI619" s="72">
        <f t="shared" si="355"/>
        <v>0.19388091440723021</v>
      </c>
      <c r="AJ619" s="72">
        <f>(AV619-Driver!$K$179)/(Driver!$L$179-Driver!$K$179)</f>
        <v>0.25453226976069615</v>
      </c>
      <c r="AK619" s="72">
        <f>(AW619-Driver!$K$180)/(Driver!$L$180-Driver!$K$180)</f>
        <v>0.43570733977257264</v>
      </c>
      <c r="AL619" s="72">
        <f>(AX619-Driver!$K$181)/(Driver!$L$181-Driver!$K$181)</f>
        <v>0.54973755770568522</v>
      </c>
      <c r="AM619" s="72">
        <f>(AY619-Driver!$K$182)/(Driver!$L$182-Driver!$K$182)</f>
        <v>8.8071183728852753E-2</v>
      </c>
      <c r="AN619" s="72">
        <f>(AZ619-Driver!$K$183)/(Driver!$L$183-Driver!$K$183)</f>
        <v>0.42001633986928094</v>
      </c>
      <c r="AO619" s="72"/>
      <c r="AP619" s="72"/>
      <c r="AQ619" s="72">
        <f>(BC619-Driver!$K$188)/(Driver!$L$188-Driver!$K$188)</f>
        <v>9.2520913673972999E-2</v>
      </c>
      <c r="AR619" s="72">
        <f>MIN((BD619-Driver!$K$189)/(Driver!$L$189-Driver!$K$189),100%)</f>
        <v>6.3642582344640319E-2</v>
      </c>
      <c r="AS619" s="72">
        <f>(BE619-Driver!$K$190)/(Driver!$L$190-Driver!$K$190)</f>
        <v>5.9828460373888406E-2</v>
      </c>
      <c r="AT619" s="72">
        <f>(BF619-Driver!$K$191)/(Driver!$L$191-Driver!$K$191)</f>
        <v>7.5511836979294727E-2</v>
      </c>
      <c r="AU619" s="72">
        <f>(BG619-Driver!$K$192)/(Driver!$L$192-Driver!$K$192)</f>
        <v>5.6119085592769791E-2</v>
      </c>
      <c r="AV619" s="70">
        <f t="shared" si="356"/>
        <v>5.3571428571428577</v>
      </c>
      <c r="AW619" s="70">
        <f t="shared" si="357"/>
        <v>44.335433642074733</v>
      </c>
      <c r="AX619" s="70">
        <f t="shared" si="358"/>
        <v>5.9476380193511673</v>
      </c>
      <c r="AY619" s="70">
        <f>IFERROR(Driver!$K$19/Data!BH619/Data!BI619*Data!BK619*Data!BL619,"")</f>
        <v>0.10782540678909878</v>
      </c>
      <c r="AZ619" s="70">
        <f t="shared" si="359"/>
        <v>38.279970215934469</v>
      </c>
      <c r="BA619" s="70"/>
      <c r="BB619" s="70"/>
      <c r="BC619" s="70">
        <f t="shared" si="360"/>
        <v>47.99124111764673</v>
      </c>
      <c r="BD619" s="70">
        <f t="shared" si="361"/>
        <v>7.353078653615313</v>
      </c>
      <c r="BE619" s="70">
        <f t="shared" si="362"/>
        <v>5.9996176394476276E-2</v>
      </c>
      <c r="BF619" s="70">
        <f t="shared" si="363"/>
        <v>8.528531486132314</v>
      </c>
      <c r="BG619" s="70">
        <f t="shared" si="364"/>
        <v>0.21250265816055286</v>
      </c>
      <c r="BH619" s="67">
        <f>MAX((CE619-Driver!$F$200)/(Driver!$G$200-Driver!$F$200)*$BI$1,1)</f>
        <v>5.9476380193511673</v>
      </c>
      <c r="BI619" s="67">
        <f>MAX($BI$1*(BY619-Driver!$F$201)/(Driver!$G$201-Driver!$F$201),1)</f>
        <v>6.7088607594936711</v>
      </c>
      <c r="BJ619" s="67">
        <f>(CB619-Driver!$F$206)/(Driver!$G$206-Driver!$F$206)*$BI$1</f>
        <v>6.1904761904761907</v>
      </c>
      <c r="BK619" s="67">
        <f>(CD619-Driver!$F$203)/(Driver!$G$203-Driver!$F$203)*$BI$1</f>
        <v>3.1192660550458715</v>
      </c>
      <c r="BL619" s="67">
        <f>MAX((CR619-Driver!$F$202)/(Driver!$G$202-Driver!$F$202)*$BI$1,1)</f>
        <v>6.8965517241379315</v>
      </c>
      <c r="BM619" s="67">
        <f>MAX((CH619-Driver!$F$204)/(Driver!$G$204-Driver!$F$204)*$BI$1,1)</f>
        <v>3.4615384615384617</v>
      </c>
      <c r="BN619" s="67">
        <f>(CI619-Driver!$F$205)/(Driver!$G$205-Driver!$F$205)*$BI$1</f>
        <v>5.7058823529411757</v>
      </c>
      <c r="BO619" s="67">
        <f>(CK619-Driver!$F$207)/(Driver!$G$207-Driver!$F$207)*$BI$1</f>
        <v>1.7580144777662876</v>
      </c>
      <c r="BP619" s="67">
        <f>(CM619-Driver!$F$208)/(Driver!$G$208-Driver!$F$208)*$BI$1</f>
        <v>2.4444444444444442</v>
      </c>
      <c r="BQ619" s="67">
        <f>(CL619-Driver!$F$209)/(Driver!$G$209-Driver!$F$209)*$BI$1</f>
        <v>4.375</v>
      </c>
      <c r="BR619" s="28" t="s">
        <v>155</v>
      </c>
      <c r="BS619" s="8" t="s">
        <v>332</v>
      </c>
      <c r="BT619" s="9" t="s">
        <v>694</v>
      </c>
      <c r="BU619" s="10">
        <v>165</v>
      </c>
      <c r="BV619" s="9" t="s">
        <v>158</v>
      </c>
      <c r="BW619" s="10">
        <v>165</v>
      </c>
      <c r="BX619" s="10">
        <v>164.2</v>
      </c>
      <c r="BY619" s="10">
        <v>114</v>
      </c>
      <c r="BZ619" s="10">
        <v>135</v>
      </c>
      <c r="CA619" s="10">
        <v>133</v>
      </c>
      <c r="CB619" s="10">
        <v>103</v>
      </c>
      <c r="CC619" s="10">
        <v>123</v>
      </c>
      <c r="CD619" s="10">
        <v>16.2</v>
      </c>
      <c r="CE619" s="10">
        <v>1945</v>
      </c>
      <c r="CF619" s="10">
        <v>0.95</v>
      </c>
      <c r="CG619" s="10">
        <v>1851</v>
      </c>
      <c r="CH619" s="10">
        <v>182</v>
      </c>
      <c r="CI619" s="10">
        <v>130</v>
      </c>
      <c r="CJ619" s="10">
        <v>47</v>
      </c>
      <c r="CK619" s="10">
        <v>280</v>
      </c>
      <c r="CL619" s="10">
        <v>28</v>
      </c>
      <c r="CM619" s="10">
        <v>220</v>
      </c>
      <c r="CN619" s="10">
        <v>0.59599999999999997</v>
      </c>
      <c r="CO619" s="10">
        <v>146</v>
      </c>
      <c r="CP619" s="10">
        <v>145</v>
      </c>
      <c r="CQ619" s="10">
        <v>134</v>
      </c>
      <c r="CR619" s="10">
        <v>9</v>
      </c>
      <c r="CS619" s="10">
        <v>8.4</v>
      </c>
      <c r="CT619" s="9" t="s">
        <v>188</v>
      </c>
      <c r="CU619" s="9" t="s">
        <v>169</v>
      </c>
      <c r="CV619" s="10"/>
      <c r="CW619" s="10"/>
      <c r="CX619" t="str">
        <f>INDEX('Data_Price '!AG$2:AG$1266,MATCH(Data!$DN619,'Data_Price '!$AT$2:$AT$1266,0))</f>
        <v>Nordica Enforcer 104 free GREY/BLUE/WHITE / 165cm</v>
      </c>
      <c r="CY619" t="str">
        <f>INDEX('Data_Price '!AH$2:AH$1266,MATCH(Data!$DN619,'Data_Price '!$AT$2:$AT$1266,0))</f>
        <v>Sundance Ski and Board Shop</v>
      </c>
      <c r="CZ619">
        <f>INDEX('Data_Price '!AI$2:AI$1266,MATCH(Data!$DN619,'Data_Price '!$AT$2:$AT$1266,0))</f>
        <v>561.20000000000005</v>
      </c>
      <c r="DA619" t="str">
        <f>INDEX('Data_Price '!AJ$2:AJ$1266,MATCH(Data!$DN619,'Data_Price '!$AT$2:$AT$1266,0))</f>
        <v>https://tinyurl.com/yaafc8up</v>
      </c>
      <c r="DB619" t="str">
        <f>INDEX('Data_Price '!AK$2:AK$1266,MATCH(Data!$DN619,'Data_Price '!$AT$2:$AT$1266,0))</f>
        <v>Nordica Enforcer 104 Free Skis 2022</v>
      </c>
      <c r="DC619" t="str">
        <f>INDEX('Data_Price '!AL$2:AL$1266,MATCH(Data!$DN619,'Data_Price '!$AT$2:$AT$1266,0))</f>
        <v>Ski Pro  - Snow Ski &amp; Snowboard</v>
      </c>
      <c r="DD619">
        <f>INDEX('Data_Price '!AM$2:AM$1266,MATCH(Data!$DN619,'Data_Price '!$AT$2:$AT$1266,0))</f>
        <v>639.95000000000005</v>
      </c>
      <c r="DE619" t="str">
        <f>INDEX('Data_Price '!AN$2:AN$1266,MATCH(Data!$DN619,'Data_Price '!$AT$2:$AT$1266,0))</f>
        <v>https://tinyurl.com/ybvftfds</v>
      </c>
      <c r="DF619" t="str">
        <f>INDEX('Data_Price '!AO$2:AO$1266,MATCH(Data!$DN619,'Data_Price '!$AT$2:$AT$1266,0))</f>
        <v>Nordica Enforcer 104 Free Skis 2022</v>
      </c>
      <c r="DG619" t="str">
        <f>INDEX('Data_Price '!AP$2:AP$1266,MATCH(Data!$DN619,'Data_Price '!$AT$2:$AT$1266,0))</f>
        <v>Basin Sports</v>
      </c>
      <c r="DH619">
        <f>INDEX('Data_Price '!AQ$2:AQ$1266,MATCH(Data!$DN619,'Data_Price '!$AT$2:$AT$1266,0))</f>
        <v>639.99</v>
      </c>
      <c r="DI619" t="str">
        <f>INDEX('Data_Price '!AR$2:AR$1266,MATCH(Data!$DN619,'Data_Price '!$AT$2:$AT$1266,0))</f>
        <v>https://tinyurl.com/ycwplhel</v>
      </c>
      <c r="DJ619" s="89" t="str">
        <f t="shared" si="365"/>
        <v>https://tinyurl.com/yaafc8up</v>
      </c>
      <c r="DK619" s="89" t="str">
        <f t="shared" si="366"/>
        <v>https://tinyurl.com/ybvftfds</v>
      </c>
      <c r="DL619" s="89" t="str">
        <f t="shared" si="367"/>
        <v>https://tinyurl.com/ycwplhel</v>
      </c>
      <c r="DM619" s="219" t="str">
        <f t="shared" si="368"/>
        <v>Enforcer 104 Free</v>
      </c>
      <c r="DN619" s="89" t="str">
        <f t="shared" si="369"/>
        <v xml:space="preserve"> NordicaEnforcer 104 Free165 Unisex</v>
      </c>
      <c r="DO619" s="221" t="s">
        <v>695</v>
      </c>
    </row>
    <row r="620" spans="2:119" ht="15.6" customHeight="1">
      <c r="B620" s="219" t="b">
        <f t="array" ref="B620">IF(OR(ISERROR(K620:P620)),FALSE,TRUE)</f>
        <v>1</v>
      </c>
      <c r="C620" s="43" t="b">
        <f>OR(BR620=Driver!$G$50,Data!BR454=Driver!$H$50)</f>
        <v>1</v>
      </c>
      <c r="D620" s="43" t="b">
        <f>OR(BV620=Driver!$G$51,BV620=Driver!$H$51)</f>
        <v>1</v>
      </c>
      <c r="E620" s="43" t="b">
        <f>AND(BX620&gt;Driver!$F$54,BX620&lt;Driver!$G$54)</f>
        <v>0</v>
      </c>
      <c r="F620" s="43" t="b">
        <f>CL620&gt;Driver!$F$56</f>
        <v>1</v>
      </c>
      <c r="G620" s="43" t="b">
        <f>AND(CB620&gt;Driver!$F$55,CB620&lt;Driver!$G$55)</f>
        <v>0</v>
      </c>
      <c r="H620" s="43" t="b">
        <f t="shared" si="333"/>
        <v>0</v>
      </c>
      <c r="I620" s="43">
        <f t="shared" si="334"/>
        <v>0</v>
      </c>
      <c r="J620" s="43" t="b">
        <f t="array" ref="J620">NOT(OR(($H$9:$H$1273=TRUE)*($I$9:$I$1273&gt;0)*($BT$9:$BT$1273=BT620)*($K$9:$K$1273&gt;K620)))</f>
        <v>1</v>
      </c>
      <c r="K620" s="72">
        <f t="shared" si="335"/>
        <v>0.83312661490324258</v>
      </c>
      <c r="L620" s="72">
        <f t="shared" si="336"/>
        <v>0.88477019671198165</v>
      </c>
      <c r="M620" s="72">
        <f t="shared" si="337"/>
        <v>0.78148303309450351</v>
      </c>
      <c r="N620" s="72">
        <f t="shared" si="338"/>
        <v>0.73028448792733425</v>
      </c>
      <c r="O620" s="72">
        <f t="shared" si="339"/>
        <v>0.67132519710946492</v>
      </c>
      <c r="P620" s="72">
        <f t="shared" si="340"/>
        <v>0.94283941424671136</v>
      </c>
      <c r="Q620" s="72"/>
      <c r="R620" s="72"/>
      <c r="S620" s="72">
        <f t="shared" si="341"/>
        <v>0.45813703707290077</v>
      </c>
      <c r="T620" s="72">
        <f t="shared" si="342"/>
        <v>0.49256781681711226</v>
      </c>
      <c r="U620" s="72">
        <f t="shared" si="343"/>
        <v>0.79304932582730514</v>
      </c>
      <c r="V620" s="72">
        <f t="shared" si="344"/>
        <v>0.5093161323801001</v>
      </c>
      <c r="W620" s="72">
        <f t="shared" si="345"/>
        <v>0.79743381389252943</v>
      </c>
      <c r="X620" s="72">
        <f t="shared" si="346"/>
        <v>0.1152298032880183</v>
      </c>
      <c r="Y620" s="72">
        <f t="shared" si="347"/>
        <v>0.21851696690549649</v>
      </c>
      <c r="Z620" s="72">
        <f t="shared" si="348"/>
        <v>0.2697155120726657</v>
      </c>
      <c r="AA620" s="72">
        <f t="shared" si="349"/>
        <v>0.32867480289053508</v>
      </c>
      <c r="AB620" s="72">
        <f t="shared" si="350"/>
        <v>5.7160585753288667E-2</v>
      </c>
      <c r="AC620" s="72"/>
      <c r="AD620" s="72"/>
      <c r="AE620" s="72">
        <f t="shared" si="351"/>
        <v>0.54186296292709923</v>
      </c>
      <c r="AF620" s="72">
        <f t="shared" si="352"/>
        <v>0.50743218318288774</v>
      </c>
      <c r="AG620" s="72">
        <f t="shared" si="353"/>
        <v>0.20695067417269486</v>
      </c>
      <c r="AH620" s="72">
        <f t="shared" si="354"/>
        <v>0.49068386761989996</v>
      </c>
      <c r="AI620" s="72">
        <f t="shared" si="355"/>
        <v>0.20256618610747051</v>
      </c>
      <c r="AJ620" s="72">
        <f>(AV620-Driver!$K$179)/(Driver!$L$179-Driver!$K$179)</f>
        <v>0.13898960599468213</v>
      </c>
      <c r="AK620" s="72">
        <f>(AW620-Driver!$K$180)/(Driver!$L$180-Driver!$K$180)</f>
        <v>0.21112359521383903</v>
      </c>
      <c r="AL620" s="72">
        <f>(AX620-Driver!$K$181)/(Driver!$L$181-Driver!$K$181)</f>
        <v>0.37140327578574589</v>
      </c>
      <c r="AM620" s="72">
        <f>(AY620-Driver!$K$182)/(Driver!$L$182-Driver!$K$182)</f>
        <v>0.11871021820651131</v>
      </c>
      <c r="AN620" s="72">
        <f>(AZ620-Driver!$K$183)/(Driver!$L$183-Driver!$K$183)</f>
        <v>0.19705882352941176</v>
      </c>
      <c r="AO620" s="72"/>
      <c r="AP620" s="72"/>
      <c r="AQ620" s="72">
        <f>(BC620-Driver!$K$188)/(Driver!$L$188-Driver!$K$188)</f>
        <v>7.813703707290072E-2</v>
      </c>
      <c r="AR620" s="72">
        <f>MIN((BD620-Driver!$K$189)/(Driver!$L$189-Driver!$K$189),100%)</f>
        <v>4.2567816817112303E-2</v>
      </c>
      <c r="AS620" s="72">
        <f>(BE620-Driver!$K$190)/(Driver!$L$190-Driver!$K$190)</f>
        <v>0.30304932582730515</v>
      </c>
      <c r="AT620" s="72">
        <f>(BF620-Driver!$K$191)/(Driver!$L$191-Driver!$K$191)</f>
        <v>1.9316132380100048E-2</v>
      </c>
      <c r="AU620" s="72">
        <f>(BG620-Driver!$K$192)/(Driver!$L$192-Driver!$K$192)</f>
        <v>4.7433813892529479E-2</v>
      </c>
      <c r="AV620" s="70">
        <f t="shared" si="356"/>
        <v>2.9253154253154254</v>
      </c>
      <c r="AW620" s="70">
        <f t="shared" si="357"/>
        <v>22.447757720408347</v>
      </c>
      <c r="AX620" s="70">
        <f t="shared" si="358"/>
        <v>4.3426294820717128</v>
      </c>
      <c r="AY620" s="70">
        <f>IFERROR(Driver!$K$19/Data!BH620/Data!BI620*Data!BK620*Data!BL620,"")</f>
        <v>0.14533672679530932</v>
      </c>
      <c r="AZ620" s="70">
        <f t="shared" si="359"/>
        <v>17.959791511541326</v>
      </c>
      <c r="BA620" s="70"/>
      <c r="BB620" s="70"/>
      <c r="BC620" s="70">
        <f t="shared" si="360"/>
        <v>40.530224329582687</v>
      </c>
      <c r="BD620" s="70">
        <f t="shared" si="361"/>
        <v>5.4879992467039393</v>
      </c>
      <c r="BE620" s="70">
        <f t="shared" si="362"/>
        <v>0.30317365398306362</v>
      </c>
      <c r="BF620" s="70">
        <f t="shared" si="363"/>
        <v>2.1816214488220469</v>
      </c>
      <c r="BG620" s="70">
        <f t="shared" si="364"/>
        <v>0.17961467889908256</v>
      </c>
      <c r="BH620" s="67">
        <f>MAX((CE620-Driver!$F$200)/(Driver!$G$200-Driver!$F$200)*$BI$1,1)</f>
        <v>4.3426294820717128</v>
      </c>
      <c r="BI620" s="67">
        <f>MAX($BI$1*(BY620-Driver!$F$201)/(Driver!$G$201-Driver!$F$201),1)</f>
        <v>8.4810126582278489</v>
      </c>
      <c r="BJ620" s="67">
        <f>(CB620-Driver!$F$206)/(Driver!$G$206-Driver!$F$206)*$BI$1</f>
        <v>3.6507936507936507</v>
      </c>
      <c r="BK620" s="67">
        <f>(CD620-Driver!$F$203)/(Driver!$G$203-Driver!$F$203)*$BI$1</f>
        <v>4.3119266055045884</v>
      </c>
      <c r="BL620" s="67">
        <f>MAX((CR620-Driver!$F$202)/(Driver!$G$202-Driver!$F$202)*$BI$1,1)</f>
        <v>6.2068965517241379</v>
      </c>
      <c r="BM620" s="67">
        <f>MAX((CH620-Driver!$F$204)/(Driver!$G$204-Driver!$F$204)*$BI$1,1)</f>
        <v>3.2051282051282053</v>
      </c>
      <c r="BN620" s="67">
        <f>(CI620-Driver!$F$205)/(Driver!$G$205-Driver!$F$205)*$BI$1</f>
        <v>2.1176470588235294</v>
      </c>
      <c r="BO620" s="67">
        <f>(CK620-Driver!$F$207)/(Driver!$G$207-Driver!$F$207)*$BI$1</f>
        <v>1.1892450879007239</v>
      </c>
      <c r="BP620" s="67">
        <f>(CM620-Driver!$F$208)/(Driver!$G$208-Driver!$F$208)*$BI$1</f>
        <v>2.166666666666667</v>
      </c>
      <c r="BQ620" s="67">
        <f>(CL620-Driver!$F$209)/(Driver!$G$209-Driver!$F$209)*$BI$1</f>
        <v>2.5</v>
      </c>
      <c r="BR620" s="28" t="s">
        <v>155</v>
      </c>
      <c r="BS620" s="8" t="s">
        <v>164</v>
      </c>
      <c r="BT620" s="9" t="s">
        <v>635</v>
      </c>
      <c r="BU620" s="10">
        <v>188</v>
      </c>
      <c r="BV620" s="9" t="s">
        <v>158</v>
      </c>
      <c r="BW620" s="10">
        <v>188</v>
      </c>
      <c r="BX620" s="10">
        <v>184.3</v>
      </c>
      <c r="BY620" s="10">
        <v>142</v>
      </c>
      <c r="BZ620" s="10">
        <v>153</v>
      </c>
      <c r="CA620" s="10">
        <v>129</v>
      </c>
      <c r="CB620" s="10">
        <v>87</v>
      </c>
      <c r="CC620" s="10">
        <v>104</v>
      </c>
      <c r="CD620" s="10">
        <v>18.8</v>
      </c>
      <c r="CE620" s="10">
        <v>1663</v>
      </c>
      <c r="CF620" s="10">
        <v>1.1100000000000001</v>
      </c>
      <c r="CG620" s="10">
        <v>1848</v>
      </c>
      <c r="CH620" s="10">
        <v>176</v>
      </c>
      <c r="CI620" s="10">
        <v>69</v>
      </c>
      <c r="CJ620" s="10">
        <v>49</v>
      </c>
      <c r="CK620" s="10">
        <v>225</v>
      </c>
      <c r="CL620" s="10">
        <v>16</v>
      </c>
      <c r="CM620" s="10">
        <v>195</v>
      </c>
      <c r="CN620" s="10">
        <v>0.32100000000000001</v>
      </c>
      <c r="CO620" s="10">
        <v>147</v>
      </c>
      <c r="CP620" s="10">
        <v>166</v>
      </c>
      <c r="CQ620" s="10">
        <v>77</v>
      </c>
      <c r="CR620" s="10">
        <v>7</v>
      </c>
      <c r="CS620" s="10">
        <v>9.5</v>
      </c>
      <c r="CT620" s="9" t="s">
        <v>188</v>
      </c>
      <c r="CU620" s="9" t="s">
        <v>185</v>
      </c>
      <c r="CV620" s="10"/>
      <c r="CW620" s="10"/>
      <c r="CX620" t="str">
        <f>INDEX('Data_Price '!AG$2:AG$1266,MATCH(Data!$DN620,'Data_Price '!$AT$2:$AT$1266,0))</f>
        <v>Elan Ripstick 88 188 2021</v>
      </c>
      <c r="CY620" t="str">
        <f>INDEX('Data_Price '!AH$2:AH$1266,MATCH(Data!$DN620,'Data_Price '!$AT$2:$AT$1266,0))</f>
        <v>Snowcountry.eu</v>
      </c>
      <c r="CZ620">
        <f>INDEX('Data_Price '!AI$2:AI$1266,MATCH(Data!$DN620,'Data_Price '!$AT$2:$AT$1266,0))</f>
        <v>345.77</v>
      </c>
      <c r="DA620" t="str">
        <f>INDEX('Data_Price '!AJ$2:AJ$1266,MATCH(Data!$DN620,'Data_Price '!$AT$2:$AT$1266,0))</f>
        <v>https://tinyurl.com/y8dlrkto</v>
      </c>
      <c r="DB620" t="str">
        <f>INDEX('Data_Price '!AK$2:AK$1266,MATCH(Data!$DN620,'Data_Price '!$AT$2:$AT$1266,0))</f>
        <v>Elan Ripstick 88 188 2021</v>
      </c>
      <c r="DC620" t="str">
        <f>INDEX('Data_Price '!AL$2:AL$1266,MATCH(Data!$DN620,'Data_Price '!$AT$2:$AT$1266,0))</f>
        <v>! OutdoorXL.com</v>
      </c>
      <c r="DD620">
        <f>INDEX('Data_Price '!AM$2:AM$1266,MATCH(Data!$DN620,'Data_Price '!$AT$2:$AT$1266,0))</f>
        <v>424.95</v>
      </c>
      <c r="DE620" t="str">
        <f>INDEX('Data_Price '!AN$2:AN$1266,MATCH(Data!$DN620,'Data_Price '!$AT$2:$AT$1266,0))</f>
        <v>https://tinyurl.com/y7hgrppp</v>
      </c>
      <c r="DF620" t="str">
        <f>INDEX('Data_Price '!AO$2:AO$1266,MATCH(Data!$DN620,'Data_Price '!$AT$2:$AT$1266,0))</f>
        <v>Elan Ripstick 88 188 2021</v>
      </c>
      <c r="DG620" t="str">
        <f>INDEX('Data_Price '!AP$2:AP$1266,MATCH(Data!$DN620,'Data_Price '!$AT$2:$AT$1266,0))</f>
        <v>Absolute-Snow.co.uk</v>
      </c>
      <c r="DH620">
        <f>INDEX('Data_Price '!AQ$2:AQ$1266,MATCH(Data!$DN620,'Data_Price '!$AT$2:$AT$1266,0))</f>
        <v>512.16</v>
      </c>
      <c r="DI620" t="str">
        <f>INDEX('Data_Price '!AR$2:AR$1266,MATCH(Data!$DN620,'Data_Price '!$AT$2:$AT$1266,0))</f>
        <v>https://tinyurl.com/y8zqjrqz</v>
      </c>
      <c r="DJ620" s="89" t="str">
        <f t="shared" si="365"/>
        <v>https://tinyurl.com/y8dlrkto</v>
      </c>
      <c r="DK620" s="89" t="str">
        <f t="shared" si="366"/>
        <v>https://tinyurl.com/y7hgrppp</v>
      </c>
      <c r="DL620" s="89" t="str">
        <f t="shared" si="367"/>
        <v>https://tinyurl.com/y8zqjrqz</v>
      </c>
      <c r="DM620" s="219" t="str">
        <f t="shared" si="368"/>
        <v>Ripstick 88</v>
      </c>
      <c r="DN620" s="89" t="str">
        <f t="shared" si="369"/>
        <v xml:space="preserve"> ElanRipstick 88188 Unisex</v>
      </c>
      <c r="DO620" s="221" t="s">
        <v>636</v>
      </c>
    </row>
    <row r="621" spans="2:119" ht="15.6" customHeight="1">
      <c r="B621" s="219" t="b">
        <f t="array" ref="B621">IF(OR(ISERROR(K621:P621)),FALSE,TRUE)</f>
        <v>1</v>
      </c>
      <c r="C621" s="43" t="b">
        <f>OR(BR621=Driver!$G$50,Data!BR86=Driver!$H$50)</f>
        <v>1</v>
      </c>
      <c r="D621" s="43" t="b">
        <f>OR(BV621=Driver!$G$51,BV621=Driver!$H$51)</f>
        <v>0</v>
      </c>
      <c r="E621" s="43" t="b">
        <f>AND(BX621&gt;Driver!$F$54,BX621&lt;Driver!$G$54)</f>
        <v>0</v>
      </c>
      <c r="F621" s="43" t="b">
        <f>CL621&gt;Driver!$F$56</f>
        <v>1</v>
      </c>
      <c r="G621" s="43" t="b">
        <f>AND(CB621&gt;Driver!$F$55,CB621&lt;Driver!$G$55)</f>
        <v>0</v>
      </c>
      <c r="H621" s="43" t="b">
        <f t="shared" si="333"/>
        <v>0</v>
      </c>
      <c r="I621" s="43">
        <f t="shared" si="334"/>
        <v>0</v>
      </c>
      <c r="J621" s="43" t="b">
        <f t="array" ref="J621">NOT(OR(($H$9:$H$1273=TRUE)*($I$9:$I$1273&gt;0)*($BT$9:$BT$1273=BT621)*($K$9:$K$1273&gt;K621)))</f>
        <v>1</v>
      </c>
      <c r="K621" s="72">
        <f t="shared" si="335"/>
        <v>0.88102281531748317</v>
      </c>
      <c r="L621" s="72">
        <f t="shared" si="336"/>
        <v>0.88847658620517322</v>
      </c>
      <c r="M621" s="72">
        <f t="shared" si="337"/>
        <v>0.87356904442979311</v>
      </c>
      <c r="N621" s="72">
        <f t="shared" si="338"/>
        <v>0.93138484839024449</v>
      </c>
      <c r="O621" s="72">
        <f t="shared" si="339"/>
        <v>0.69713646542366525</v>
      </c>
      <c r="P621" s="72">
        <f t="shared" si="340"/>
        <v>0.99218581947546958</v>
      </c>
      <c r="Q621" s="72"/>
      <c r="R621" s="72"/>
      <c r="S621" s="72">
        <f t="shared" si="341"/>
        <v>0.44756106324658385</v>
      </c>
      <c r="T621" s="72">
        <f t="shared" si="342"/>
        <v>0.47828692657264715</v>
      </c>
      <c r="U621" s="72">
        <f t="shared" si="343"/>
        <v>0.51</v>
      </c>
      <c r="V621" s="72">
        <f t="shared" si="344"/>
        <v>0.49826251413858647</v>
      </c>
      <c r="W621" s="72">
        <f t="shared" si="345"/>
        <v>0.79456004669487812</v>
      </c>
      <c r="X621" s="72">
        <f t="shared" si="346"/>
        <v>0.11152341379482678</v>
      </c>
      <c r="Y621" s="72">
        <f t="shared" si="347"/>
        <v>0.12643095557020689</v>
      </c>
      <c r="Z621" s="72">
        <f t="shared" si="348"/>
        <v>6.8615151609755468E-2</v>
      </c>
      <c r="AA621" s="72">
        <f t="shared" si="349"/>
        <v>0.30286353457633475</v>
      </c>
      <c r="AB621" s="72">
        <f t="shared" si="350"/>
        <v>7.8141805245304785E-3</v>
      </c>
      <c r="AC621" s="72"/>
      <c r="AD621" s="72"/>
      <c r="AE621" s="72">
        <f t="shared" si="351"/>
        <v>0.55243893675341615</v>
      </c>
      <c r="AF621" s="72">
        <f t="shared" si="352"/>
        <v>0.52171307342735285</v>
      </c>
      <c r="AG621" s="72">
        <f t="shared" si="353"/>
        <v>0.49</v>
      </c>
      <c r="AH621" s="72">
        <f t="shared" si="354"/>
        <v>0.50173748586141353</v>
      </c>
      <c r="AI621" s="72">
        <f t="shared" si="355"/>
        <v>0.20543995330512185</v>
      </c>
      <c r="AJ621" s="72">
        <f>(AV621-Driver!$K$179)/(Driver!$L$179-Driver!$K$179)</f>
        <v>0.14269599548787365</v>
      </c>
      <c r="AK621" s="72">
        <f>(AW621-Driver!$K$180)/(Driver!$L$180-Driver!$K$180)</f>
        <v>0.23902348362528783</v>
      </c>
      <c r="AL621" s="72">
        <f>(AX621-Driver!$K$181)/(Driver!$L$181-Driver!$K$181)</f>
        <v>0.17030291532283565</v>
      </c>
      <c r="AM621" s="72">
        <f>(AY621-Driver!$K$182)/(Driver!$L$182-Driver!$K$182)</f>
        <v>0.14452148652071162</v>
      </c>
      <c r="AN621" s="72">
        <f>(AZ621-Driver!$K$183)/(Driver!$L$183-Driver!$K$183)</f>
        <v>0.24640522875816995</v>
      </c>
      <c r="AO621" s="72"/>
      <c r="AP621" s="72"/>
      <c r="AQ621" s="72">
        <f>(BC621-Driver!$K$188)/(Driver!$L$188-Driver!$K$188)</f>
        <v>6.7561063246583813E-2</v>
      </c>
      <c r="AR621" s="72">
        <f>MIN((BD621-Driver!$K$189)/(Driver!$L$189-Driver!$K$189),100%)</f>
        <v>2.8286926572647218E-2</v>
      </c>
      <c r="AS621" s="72">
        <f>(BE621-Driver!$K$190)/(Driver!$L$190-Driver!$K$190)</f>
        <v>1</v>
      </c>
      <c r="AT621" s="72">
        <f>(BF621-Driver!$K$191)/(Driver!$L$191-Driver!$K$191)</f>
        <v>8.262514138586495E-3</v>
      </c>
      <c r="AU621" s="72">
        <f>(BG621-Driver!$K$192)/(Driver!$L$192-Driver!$K$192)</f>
        <v>4.4560046694878147E-2</v>
      </c>
      <c r="AV621" s="70">
        <f t="shared" si="356"/>
        <v>3.0033238366571697</v>
      </c>
      <c r="AW621" s="70">
        <f t="shared" si="357"/>
        <v>25.166849064264468</v>
      </c>
      <c r="AX621" s="70">
        <f t="shared" si="358"/>
        <v>2.5327262379055209</v>
      </c>
      <c r="AY621" s="70">
        <f>IFERROR(Driver!$K$19/Data!BH621/Data!BI621*Data!BK621*Data!BL621,"")</f>
        <v>0.17693742055105199</v>
      </c>
      <c r="AZ621" s="70">
        <f t="shared" si="359"/>
        <v>22.457185405807895</v>
      </c>
      <c r="BA621" s="70"/>
      <c r="BB621" s="70"/>
      <c r="BC621" s="70">
        <f t="shared" si="360"/>
        <v>35.044393182894872</v>
      </c>
      <c r="BD621" s="70">
        <f t="shared" si="361"/>
        <v>4.2241657643089621</v>
      </c>
      <c r="BE621" s="70">
        <f t="shared" si="362"/>
        <v>1</v>
      </c>
      <c r="BF621" s="70">
        <f t="shared" si="363"/>
        <v>0.93319292450626457</v>
      </c>
      <c r="BG621" s="70">
        <f t="shared" si="364"/>
        <v>0.16873276302349335</v>
      </c>
      <c r="BH621" s="67">
        <f>MAX((CE621-Driver!$F$200)/(Driver!$G$200-Driver!$F$200)*$BI$1,1)</f>
        <v>2.5327262379055209</v>
      </c>
      <c r="BI621" s="67">
        <f>MAX($BI$1*(BY621-Driver!$F$201)/(Driver!$G$201-Driver!$F$201),1)</f>
        <v>7.3417721518987342</v>
      </c>
      <c r="BJ621" s="67">
        <f>(CB621-Driver!$F$206)/(Driver!$G$206-Driver!$F$206)*$BI$1</f>
        <v>3.6507936507936507</v>
      </c>
      <c r="BK621" s="67">
        <f>(CD621-Driver!$F$203)/(Driver!$G$203-Driver!$F$203)*$BI$1</f>
        <v>2.9816513761467895</v>
      </c>
      <c r="BL621" s="67">
        <f>MAX((CR621-Driver!$F$202)/(Driver!$G$202-Driver!$F$202)*$BI$1,1)</f>
        <v>5.5172413793103452</v>
      </c>
      <c r="BM621" s="67">
        <f>MAX((CH621-Driver!$F$204)/(Driver!$G$204-Driver!$F$204)*$BI$1,1)</f>
        <v>3.2905982905982905</v>
      </c>
      <c r="BN621" s="67">
        <f>(CI621-Driver!$F$205)/(Driver!$G$205-Driver!$F$205)*$BI$1</f>
        <v>3.0588235294117649</v>
      </c>
      <c r="BO621" s="67">
        <f>(CK621-Driver!$F$207)/(Driver!$G$207-Driver!$F$207)*$BI$1</f>
        <v>0.69286452947259558</v>
      </c>
      <c r="BP621" s="67">
        <f>(CM621-Driver!$F$208)/(Driver!$G$208-Driver!$F$208)*$BI$1</f>
        <v>1.1000000000000001</v>
      </c>
      <c r="BQ621" s="67">
        <f>(CL621-Driver!$F$209)/(Driver!$G$209-Driver!$F$209)*$BI$1</f>
        <v>1.40625</v>
      </c>
      <c r="BR621" s="28" t="s">
        <v>155</v>
      </c>
      <c r="BS621" s="8" t="s">
        <v>182</v>
      </c>
      <c r="BT621" s="9" t="s">
        <v>244</v>
      </c>
      <c r="BU621" s="10">
        <v>152</v>
      </c>
      <c r="BV621" s="9" t="s">
        <v>163</v>
      </c>
      <c r="BW621" s="10">
        <v>152</v>
      </c>
      <c r="BX621" s="10">
        <v>152</v>
      </c>
      <c r="BY621" s="10">
        <v>124</v>
      </c>
      <c r="BZ621" s="10">
        <v>134</v>
      </c>
      <c r="CA621" s="10">
        <v>124</v>
      </c>
      <c r="CB621" s="10">
        <v>87</v>
      </c>
      <c r="CC621" s="10">
        <v>106</v>
      </c>
      <c r="CD621" s="10">
        <v>15.9</v>
      </c>
      <c r="CE621" s="10">
        <v>1345</v>
      </c>
      <c r="CF621" s="10">
        <v>1.1100000000000001</v>
      </c>
      <c r="CG621" s="10">
        <v>1488</v>
      </c>
      <c r="CH621" s="10">
        <v>178</v>
      </c>
      <c r="CI621" s="10">
        <v>85</v>
      </c>
      <c r="CJ621" s="10">
        <v>41</v>
      </c>
      <c r="CK621" s="10">
        <v>177</v>
      </c>
      <c r="CL621" s="10">
        <v>9</v>
      </c>
      <c r="CM621" s="10">
        <v>99</v>
      </c>
      <c r="CN621" s="10">
        <v>0.218</v>
      </c>
      <c r="CO621" s="10">
        <v>110</v>
      </c>
      <c r="CP621" s="10">
        <v>66</v>
      </c>
      <c r="CQ621" s="10">
        <v>67</v>
      </c>
      <c r="CR621" s="10">
        <v>5</v>
      </c>
      <c r="CS621" s="10">
        <v>10.6</v>
      </c>
      <c r="CT621" s="9" t="s">
        <v>188</v>
      </c>
      <c r="CU621" s="9" t="s">
        <v>185</v>
      </c>
      <c r="CV621" s="10"/>
      <c r="CW621" s="10"/>
      <c r="CX621" t="str">
        <f>INDEX('Data_Price '!AG$2:AG$1266,MATCH(Data!$DN621,'Data_Price '!$AT$2:$AT$1266,0))</f>
        <v>Armada Reliance 88 C Skis - Women's 2022</v>
      </c>
      <c r="CY621" t="str">
        <f>INDEX('Data_Price '!AH$2:AH$1266,MATCH(Data!$DN621,'Data_Price '!$AT$2:$AT$1266,0))</f>
        <v>Snowcountry.eu</v>
      </c>
      <c r="CZ621">
        <f>INDEX('Data_Price '!AI$2:AI$1266,MATCH(Data!$DN621,'Data_Price '!$AT$2:$AT$1266,0))</f>
        <v>367.9</v>
      </c>
      <c r="DA621" t="str">
        <f>INDEX('Data_Price '!AJ$2:AJ$1266,MATCH(Data!$DN621,'Data_Price '!$AT$2:$AT$1266,0))</f>
        <v>https://tinyurl.com/y8c33nef</v>
      </c>
      <c r="DB621" t="str">
        <f>INDEX('Data_Price '!AK$2:AK$1266,MATCH(Data!$DN621,'Data_Price '!$AT$2:$AT$1266,0))</f>
        <v>Armada Reliance 88 C Skis - Women's 2022</v>
      </c>
      <c r="DC621" t="str">
        <f>INDEX('Data_Price '!AL$2:AL$1266,MATCH(Data!$DN621,'Data_Price '!$AT$2:$AT$1266,0))</f>
        <v>Next Adventure</v>
      </c>
      <c r="DD621">
        <f>INDEX('Data_Price '!AM$2:AM$1266,MATCH(Data!$DN621,'Data_Price '!$AT$2:$AT$1266,0))</f>
        <v>479.96</v>
      </c>
      <c r="DE621" t="str">
        <f>INDEX('Data_Price '!AN$2:AN$1266,MATCH(Data!$DN621,'Data_Price '!$AT$2:$AT$1266,0))</f>
        <v>https://tinyurl.com/y7lv5pc9</v>
      </c>
      <c r="DF621" t="str">
        <f>INDEX('Data_Price '!AO$2:AO$1266,MATCH(Data!$DN621,'Data_Price '!$AT$2:$AT$1266,0))</f>
        <v>Armada Reliance 88 C Skis - Women's 2022</v>
      </c>
      <c r="DG621" t="str">
        <f>INDEX('Data_Price '!AP$2:AP$1266,MATCH(Data!$DN621,'Data_Price '!$AT$2:$AT$1266,0))</f>
        <v>Ski Pro  - Snow Ski &amp; Snowboard</v>
      </c>
      <c r="DH621">
        <f>INDEX('Data_Price '!AQ$2:AQ$1266,MATCH(Data!$DN621,'Data_Price '!$AT$2:$AT$1266,0))</f>
        <v>499.95</v>
      </c>
      <c r="DI621" t="str">
        <f>INDEX('Data_Price '!AR$2:AR$1266,MATCH(Data!$DN621,'Data_Price '!$AT$2:$AT$1266,0))</f>
        <v>https://tinyurl.com/ycz4elmj</v>
      </c>
      <c r="DJ621" s="89" t="str">
        <f t="shared" si="365"/>
        <v>https://tinyurl.com/y8c33nef</v>
      </c>
      <c r="DK621" s="89" t="str">
        <f t="shared" si="366"/>
        <v>https://tinyurl.com/y7lv5pc9</v>
      </c>
      <c r="DL621" s="89" t="str">
        <f t="shared" si="367"/>
        <v>https://tinyurl.com/ycz4elmj</v>
      </c>
      <c r="DM621" s="219" t="str">
        <f t="shared" si="368"/>
        <v>Reliance 88 Ca</v>
      </c>
      <c r="DN621" s="89" t="str">
        <f t="shared" si="369"/>
        <v xml:space="preserve"> ArmadaReliance 88 Ca152 Women's</v>
      </c>
      <c r="DO621" s="221"/>
    </row>
    <row r="622" spans="2:119" ht="15.6" customHeight="1">
      <c r="B622" s="219" t="b">
        <f t="array" ref="B622">IF(OR(ISERROR(K622:P622)),FALSE,TRUE)</f>
        <v>1</v>
      </c>
      <c r="C622" s="43" t="b">
        <f>OR(BR622=Driver!$G$50,Data!BR630=Driver!$H$50)</f>
        <v>1</v>
      </c>
      <c r="D622" s="43" t="b">
        <f>OR(BV622=Driver!$G$51,BV622=Driver!$H$51)</f>
        <v>1</v>
      </c>
      <c r="E622" s="43" t="b">
        <f>AND(BX622&gt;Driver!$F$54,BX622&lt;Driver!$G$54)</f>
        <v>0</v>
      </c>
      <c r="F622" s="43" t="b">
        <f>CL622&gt;Driver!$F$56</f>
        <v>1</v>
      </c>
      <c r="G622" s="43" t="b">
        <f>AND(CB622&gt;Driver!$F$55,CB622&lt;Driver!$G$55)</f>
        <v>0</v>
      </c>
      <c r="H622" s="43" t="b">
        <f t="shared" si="333"/>
        <v>0</v>
      </c>
      <c r="I622" s="43">
        <f t="shared" si="334"/>
        <v>0</v>
      </c>
      <c r="J622" s="43" t="b">
        <f t="array" ref="J622">NOT(OR(($H$9:$H$1273=TRUE)*($I$9:$I$1273&gt;0)*($BT$9:$BT$1273=BT622)*($K$9:$K$1273&gt;K622)))</f>
        <v>1</v>
      </c>
      <c r="K622" s="72">
        <f t="shared" si="335"/>
        <v>0.76441896455747327</v>
      </c>
      <c r="L622" s="72">
        <f t="shared" si="336"/>
        <v>0.82137757542563816</v>
      </c>
      <c r="M622" s="72">
        <f t="shared" si="337"/>
        <v>0.70746035368930849</v>
      </c>
      <c r="N622" s="72">
        <f t="shared" si="338"/>
        <v>0.71384232009074422</v>
      </c>
      <c r="O622" s="72">
        <f t="shared" si="339"/>
        <v>0.64966246894938262</v>
      </c>
      <c r="P622" s="72">
        <f t="shared" si="340"/>
        <v>0.75887627202779839</v>
      </c>
      <c r="Q622" s="72"/>
      <c r="R622" s="72"/>
      <c r="S622" s="72">
        <f t="shared" si="341"/>
        <v>0.51920307483733397</v>
      </c>
      <c r="T622" s="72">
        <f t="shared" si="342"/>
        <v>0.53071565576084878</v>
      </c>
      <c r="U622" s="72">
        <f t="shared" si="343"/>
        <v>0.81140852998360047</v>
      </c>
      <c r="V622" s="72">
        <f t="shared" si="344"/>
        <v>0.51908821397558036</v>
      </c>
      <c r="W622" s="72">
        <f t="shared" si="345"/>
        <v>0.77177407710449053</v>
      </c>
      <c r="X622" s="72">
        <f t="shared" si="346"/>
        <v>0.17862242457436184</v>
      </c>
      <c r="Y622" s="72">
        <f t="shared" si="347"/>
        <v>0.29253964631069157</v>
      </c>
      <c r="Z622" s="72">
        <f t="shared" si="348"/>
        <v>0.28615767990925584</v>
      </c>
      <c r="AA622" s="72">
        <f t="shared" si="349"/>
        <v>0.35033753105061743</v>
      </c>
      <c r="AB622" s="72">
        <f t="shared" si="350"/>
        <v>0.24112372797220155</v>
      </c>
      <c r="AC622" s="72"/>
      <c r="AD622" s="72"/>
      <c r="AE622" s="72">
        <f t="shared" si="351"/>
        <v>0.48079692516266609</v>
      </c>
      <c r="AF622" s="72">
        <f t="shared" si="352"/>
        <v>0.46928434423915122</v>
      </c>
      <c r="AG622" s="72">
        <f t="shared" si="353"/>
        <v>0.18859147001639948</v>
      </c>
      <c r="AH622" s="72">
        <f t="shared" si="354"/>
        <v>0.48091178602441964</v>
      </c>
      <c r="AI622" s="72">
        <f t="shared" si="355"/>
        <v>0.22822592289550947</v>
      </c>
      <c r="AJ622" s="72">
        <f>(AV622-Driver!$K$179)/(Driver!$L$179-Driver!$K$179)</f>
        <v>0.43284183385706226</v>
      </c>
      <c r="AK622" s="72">
        <f>(AW622-Driver!$K$180)/(Driver!$L$180-Driver!$K$180)</f>
        <v>0.49131221452517065</v>
      </c>
      <c r="AL622" s="72">
        <f>(AX622-Driver!$K$181)/(Driver!$L$181-Driver!$K$181)</f>
        <v>0.38784544362233603</v>
      </c>
      <c r="AM622" s="72">
        <f>(AY622-Driver!$K$182)/(Driver!$L$182-Driver!$K$182)</f>
        <v>9.7047490046428916E-2</v>
      </c>
      <c r="AN622" s="72">
        <f>(AZ622-Driver!$K$183)/(Driver!$L$183-Driver!$K$183)</f>
        <v>0.49534313725490198</v>
      </c>
      <c r="AO622" s="72"/>
      <c r="AP622" s="72"/>
      <c r="AQ622" s="72">
        <f>(BC622-Driver!$K$188)/(Driver!$L$188-Driver!$K$188)</f>
        <v>0.13920307483733391</v>
      </c>
      <c r="AR622" s="72">
        <f>MIN((BD622-Driver!$K$189)/(Driver!$L$189-Driver!$K$189),100%)</f>
        <v>8.0715655760848812E-2</v>
      </c>
      <c r="AS622" s="72">
        <f>(BE622-Driver!$K$190)/(Driver!$L$190-Driver!$K$190)</f>
        <v>0.32140852998360053</v>
      </c>
      <c r="AT622" s="72">
        <f>(BF622-Driver!$K$191)/(Driver!$L$191-Driver!$K$191)</f>
        <v>2.9088213975580392E-2</v>
      </c>
      <c r="AU622" s="72">
        <f>(BG622-Driver!$K$192)/(Driver!$L$192-Driver!$K$192)</f>
        <v>2.1774077104490537E-2</v>
      </c>
      <c r="AV622" s="70">
        <f t="shared" si="356"/>
        <v>9.110025776692444</v>
      </c>
      <c r="AW622" s="70">
        <f t="shared" si="357"/>
        <v>49.754621396028249</v>
      </c>
      <c r="AX622" s="70">
        <f t="shared" si="358"/>
        <v>4.4906089926010244</v>
      </c>
      <c r="AY622" s="70">
        <f>IFERROR(Driver!$K$19/Data!BH622/Data!BI622*Data!BK622*Data!BL622,"")</f>
        <v>0.1188150839931208</v>
      </c>
      <c r="AZ622" s="70">
        <f t="shared" si="359"/>
        <v>45.145197319434104</v>
      </c>
      <c r="BA622" s="70"/>
      <c r="BB622" s="70"/>
      <c r="BC622" s="70">
        <f t="shared" si="360"/>
        <v>72.205602642201413</v>
      </c>
      <c r="BD622" s="70">
        <f t="shared" si="361"/>
        <v>8.8640153992537574</v>
      </c>
      <c r="BE622" s="70">
        <f t="shared" si="362"/>
        <v>0.32152958306397916</v>
      </c>
      <c r="BF622" s="70">
        <f t="shared" si="363"/>
        <v>3.2853094122728681</v>
      </c>
      <c r="BG622" s="70">
        <f t="shared" si="364"/>
        <v>8.2450546277133357E-2</v>
      </c>
      <c r="BH622" s="67">
        <f>MAX((CE622-Driver!$F$200)/(Driver!$G$200-Driver!$F$200)*$BI$1,1)</f>
        <v>4.4906089926010244</v>
      </c>
      <c r="BI622" s="67">
        <f>MAX($BI$1*(BY622-Driver!$F$201)/(Driver!$G$201-Driver!$F$201),1)</f>
        <v>8.1645569620253173</v>
      </c>
      <c r="BJ622" s="67">
        <f>(CB622-Driver!$F$206)/(Driver!$G$206-Driver!$F$206)*$BI$1</f>
        <v>5.3968253968253963</v>
      </c>
      <c r="BK622" s="67">
        <f>(CD622-Driver!$F$203)/(Driver!$G$203-Driver!$F$203)*$BI$1</f>
        <v>3.71559633027523</v>
      </c>
      <c r="BL622" s="67">
        <f>MAX((CR622-Driver!$F$202)/(Driver!$G$202-Driver!$F$202)*$BI$1,1)</f>
        <v>5.8620689655172411</v>
      </c>
      <c r="BM622" s="67">
        <f>MAX((CH622-Driver!$F$204)/(Driver!$G$204-Driver!$F$204)*$BI$1,1)</f>
        <v>6.752136752136753</v>
      </c>
      <c r="BN622" s="67">
        <f>(CI622-Driver!$F$205)/(Driver!$G$205-Driver!$F$205)*$BI$1</f>
        <v>5.5294117647058822</v>
      </c>
      <c r="BO622" s="67">
        <f>(CK622-Driver!$F$207)/(Driver!$G$207-Driver!$F$207)*$BI$1</f>
        <v>1.3133402275077559</v>
      </c>
      <c r="BP622" s="67">
        <f>(CM622-Driver!$F$208)/(Driver!$G$208-Driver!$F$208)*$BI$1</f>
        <v>1.7222222222222223</v>
      </c>
      <c r="BQ622" s="67">
        <f>(CL622-Driver!$F$209)/(Driver!$G$209-Driver!$F$209)*$BI$1</f>
        <v>2.5</v>
      </c>
      <c r="BR622" s="28" t="s">
        <v>155</v>
      </c>
      <c r="BS622" s="8" t="s">
        <v>167</v>
      </c>
      <c r="BT622" s="9" t="s">
        <v>240</v>
      </c>
      <c r="BU622" s="10">
        <v>177</v>
      </c>
      <c r="BV622" s="9" t="s">
        <v>158</v>
      </c>
      <c r="BW622" s="10">
        <v>177</v>
      </c>
      <c r="BX622" s="10">
        <v>176.7</v>
      </c>
      <c r="BY622" s="10">
        <v>137</v>
      </c>
      <c r="BZ622" s="10">
        <v>139</v>
      </c>
      <c r="CA622" s="10">
        <v>133</v>
      </c>
      <c r="CB622" s="10">
        <v>98</v>
      </c>
      <c r="CC622" s="10">
        <v>119</v>
      </c>
      <c r="CD622" s="10">
        <v>17.5</v>
      </c>
      <c r="CE622" s="10">
        <v>1689</v>
      </c>
      <c r="CF622" s="10">
        <v>1.1399999999999999</v>
      </c>
      <c r="CG622" s="10">
        <v>1933</v>
      </c>
      <c r="CH622" s="10">
        <v>259</v>
      </c>
      <c r="CI622" s="10">
        <v>127</v>
      </c>
      <c r="CJ622" s="10">
        <v>53</v>
      </c>
      <c r="CK622" s="10">
        <v>237</v>
      </c>
      <c r="CL622" s="10">
        <v>16</v>
      </c>
      <c r="CM622" s="10">
        <v>155</v>
      </c>
      <c r="CN622" s="10">
        <v>0.308</v>
      </c>
      <c r="CO622" s="10">
        <v>201</v>
      </c>
      <c r="CP622" s="10">
        <v>173</v>
      </c>
      <c r="CQ622" s="10">
        <v>35</v>
      </c>
      <c r="CR622" s="10">
        <v>6</v>
      </c>
      <c r="CS622" s="10">
        <v>9.9</v>
      </c>
      <c r="CT622" s="9" t="s">
        <v>188</v>
      </c>
      <c r="CU622" s="9" t="s">
        <v>185</v>
      </c>
      <c r="CV622" s="10"/>
      <c r="CW622" s="10"/>
      <c r="CX622" t="str">
        <f>INDEX('Data_Price '!AG$2:AG$1266,MATCH(Data!$DN622,'Data_Price '!$AT$2:$AT$1266,0))</f>
        <v>Head Kore 99 Skis</v>
      </c>
      <c r="CY622" t="str">
        <f>INDEX('Data_Price '!AH$2:AH$1266,MATCH(Data!$DN622,'Data_Price '!$AT$2:$AT$1266,0))</f>
        <v>Telemark Pyrenees</v>
      </c>
      <c r="CZ622">
        <f>INDEX('Data_Price '!AI$2:AI$1266,MATCH(Data!$DN622,'Data_Price '!$AT$2:$AT$1266,0))</f>
        <v>412.48</v>
      </c>
      <c r="DA622" t="str">
        <f>INDEX('Data_Price '!AJ$2:AJ$1266,MATCH(Data!$DN622,'Data_Price '!$AT$2:$AT$1266,0))</f>
        <v>https://tinyurl.com/ych7cjpz</v>
      </c>
      <c r="DB622" t="str">
        <f>INDEX('Data_Price '!AK$2:AK$1266,MATCH(Data!$DN622,'Data_Price '!$AT$2:$AT$1266,0))</f>
        <v>Head Kore 99 Skis</v>
      </c>
      <c r="DC622" t="str">
        <f>INDEX('Data_Price '!AL$2:AL$1266,MATCH(Data!$DN622,'Data_Price '!$AT$2:$AT$1266,0))</f>
        <v>UtahSkis</v>
      </c>
      <c r="DD622">
        <f>INDEX('Data_Price '!AM$2:AM$1266,MATCH(Data!$DN622,'Data_Price '!$AT$2:$AT$1266,0))</f>
        <v>419</v>
      </c>
      <c r="DE622" t="str">
        <f>INDEX('Data_Price '!AN$2:AN$1266,MATCH(Data!$DN622,'Data_Price '!$AT$2:$AT$1266,0))</f>
        <v>https://tinyurl.com/y8ztmvt5</v>
      </c>
      <c r="DF622" t="str">
        <f>INDEX('Data_Price '!AO$2:AO$1266,MATCH(Data!$DN622,'Data_Price '!$AT$2:$AT$1266,0))</f>
        <v>Head Kore 99 Ski 2022</v>
      </c>
      <c r="DG622" t="str">
        <f>INDEX('Data_Price '!AP$2:AP$1266,MATCH(Data!$DN622,'Data_Price '!$AT$2:$AT$1266,0))</f>
        <v>Gorham Bike and Ski</v>
      </c>
      <c r="DH622">
        <f>INDEX('Data_Price '!AQ$2:AQ$1266,MATCH(Data!$DN622,'Data_Price '!$AT$2:$AT$1266,0))</f>
        <v>489.99</v>
      </c>
      <c r="DI622" t="str">
        <f>INDEX('Data_Price '!AR$2:AR$1266,MATCH(Data!$DN622,'Data_Price '!$AT$2:$AT$1266,0))</f>
        <v>https://tinyurl.com/ybr2elnc</v>
      </c>
      <c r="DJ622" s="89" t="str">
        <f t="shared" si="365"/>
        <v>https://tinyurl.com/ych7cjpz</v>
      </c>
      <c r="DK622" s="89" t="str">
        <f t="shared" si="366"/>
        <v>https://tinyurl.com/y8ztmvt5</v>
      </c>
      <c r="DL622" s="89" t="str">
        <f t="shared" si="367"/>
        <v>https://tinyurl.com/ybr2elnc</v>
      </c>
      <c r="DM622" s="219" t="str">
        <f t="shared" si="368"/>
        <v>Kore 99</v>
      </c>
      <c r="DN622" s="89" t="str">
        <f t="shared" si="369"/>
        <v xml:space="preserve"> HeadKore 99177 Unisex</v>
      </c>
      <c r="DO622" s="221" t="s">
        <v>241</v>
      </c>
    </row>
    <row r="623" spans="2:119" ht="15.6" customHeight="1">
      <c r="B623" s="219" t="b">
        <f t="array" ref="B623">IF(OR(ISERROR(K623:P623)),FALSE,TRUE)</f>
        <v>1</v>
      </c>
      <c r="C623" s="43" t="b">
        <f>OR(BR623=Driver!$G$50,Data!BR238=Driver!$H$50)</f>
        <v>1</v>
      </c>
      <c r="D623" s="43" t="b">
        <f>OR(BV623=Driver!$G$51,BV623=Driver!$H$51)</f>
        <v>1</v>
      </c>
      <c r="E623" s="43" t="b">
        <f>AND(BX623&gt;Driver!$F$54,BX623&lt;Driver!$G$54)</f>
        <v>0</v>
      </c>
      <c r="F623" s="43" t="b">
        <f>CL623&gt;Driver!$F$56</f>
        <v>1</v>
      </c>
      <c r="G623" s="43" t="b">
        <f>AND(CB623&gt;Driver!$F$55,CB623&lt;Driver!$G$55)</f>
        <v>0</v>
      </c>
      <c r="H623" s="43" t="b">
        <f t="shared" si="333"/>
        <v>0</v>
      </c>
      <c r="I623" s="43">
        <f t="shared" si="334"/>
        <v>0</v>
      </c>
      <c r="J623" s="43" t="b">
        <f t="array" ref="J623">NOT(OR(($H$9:$H$1273=TRUE)*($I$9:$I$1273&gt;0)*($BT$9:$BT$1273=BT623)*($K$9:$K$1273&gt;K623)))</f>
        <v>1</v>
      </c>
      <c r="K623" s="72">
        <f t="shared" si="335"/>
        <v>0.82450291098004458</v>
      </c>
      <c r="L623" s="72">
        <f t="shared" si="336"/>
        <v>0.94592562334964181</v>
      </c>
      <c r="M623" s="72">
        <f t="shared" si="337"/>
        <v>0.70308019861044735</v>
      </c>
      <c r="N623" s="72">
        <f t="shared" si="338"/>
        <v>0.64301452017927885</v>
      </c>
      <c r="O623" s="72">
        <f t="shared" si="339"/>
        <v>0.67221908467001656</v>
      </c>
      <c r="P623" s="72">
        <f t="shared" si="340"/>
        <v>0.79400699098204686</v>
      </c>
      <c r="Q623" s="72"/>
      <c r="R623" s="72"/>
      <c r="S623" s="72">
        <f t="shared" si="341"/>
        <v>0.61877928341136912</v>
      </c>
      <c r="T623" s="72">
        <f t="shared" si="342"/>
        <v>0.50218816764348406</v>
      </c>
      <c r="U623" s="72">
        <f t="shared" si="343"/>
        <v>0.76388183074063853</v>
      </c>
      <c r="V623" s="72">
        <f t="shared" si="344"/>
        <v>0.50352172334906631</v>
      </c>
      <c r="W623" s="72">
        <f t="shared" si="345"/>
        <v>0.77789493155752865</v>
      </c>
      <c r="X623" s="72">
        <f t="shared" si="346"/>
        <v>5.4074376650358164E-2</v>
      </c>
      <c r="Y623" s="72">
        <f t="shared" si="347"/>
        <v>0.2969198013895526</v>
      </c>
      <c r="Z623" s="72">
        <f t="shared" si="348"/>
        <v>0.35698547982072115</v>
      </c>
      <c r="AA623" s="72">
        <f t="shared" si="349"/>
        <v>0.32778091532998344</v>
      </c>
      <c r="AB623" s="72">
        <f t="shared" si="350"/>
        <v>0.20599300901795309</v>
      </c>
      <c r="AC623" s="72"/>
      <c r="AD623" s="72"/>
      <c r="AE623" s="72">
        <f t="shared" si="351"/>
        <v>0.38122071658863088</v>
      </c>
      <c r="AF623" s="72">
        <f t="shared" si="352"/>
        <v>0.49781183235651599</v>
      </c>
      <c r="AG623" s="72">
        <f t="shared" si="353"/>
        <v>0.23611816925936147</v>
      </c>
      <c r="AH623" s="72">
        <f t="shared" si="354"/>
        <v>0.49647827665093375</v>
      </c>
      <c r="AI623" s="72">
        <f t="shared" si="355"/>
        <v>0.22210506844247133</v>
      </c>
      <c r="AJ623" s="72">
        <f>(AV623-Driver!$K$179)/(Driver!$L$179-Driver!$K$179)</f>
        <v>0.20014503263234226</v>
      </c>
      <c r="AK623" s="72">
        <f>(AW623-Driver!$K$180)/(Driver!$L$180-Driver!$K$180)</f>
        <v>0.46528358261444075</v>
      </c>
      <c r="AL623" s="72">
        <f>(AX623-Driver!$K$181)/(Driver!$L$181-Driver!$K$181)</f>
        <v>0.45867324353380134</v>
      </c>
      <c r="AM623" s="72">
        <f>(AY623-Driver!$K$182)/(Driver!$L$182-Driver!$K$182)</f>
        <v>0.11960410576706293</v>
      </c>
      <c r="AN623" s="72">
        <f>(AZ623-Driver!$K$183)/(Driver!$L$183-Driver!$K$183)</f>
        <v>0.46021241830065351</v>
      </c>
      <c r="AO623" s="72"/>
      <c r="AP623" s="72"/>
      <c r="AQ623" s="72">
        <f>(BC623-Driver!$K$188)/(Driver!$L$188-Driver!$K$188)</f>
        <v>0.23877928341136909</v>
      </c>
      <c r="AR623" s="72">
        <f>MIN((BD623-Driver!$K$189)/(Driver!$L$189-Driver!$K$189),100%)</f>
        <v>5.2188167643484044E-2</v>
      </c>
      <c r="AS623" s="72">
        <f>(BE623-Driver!$K$190)/(Driver!$L$190-Driver!$K$190)</f>
        <v>0.27388183074063854</v>
      </c>
      <c r="AT623" s="72">
        <f>(BF623-Driver!$K$191)/(Driver!$L$191-Driver!$K$191)</f>
        <v>1.3521723349066248E-2</v>
      </c>
      <c r="AU623" s="72">
        <f>(BG623-Driver!$K$192)/(Driver!$L$192-Driver!$K$192)</f>
        <v>2.7894931557528667E-2</v>
      </c>
      <c r="AV623" s="70">
        <f t="shared" si="356"/>
        <v>4.2124542124542126</v>
      </c>
      <c r="AW623" s="70">
        <f t="shared" si="357"/>
        <v>47.217900579186541</v>
      </c>
      <c r="AX623" s="70">
        <f t="shared" si="358"/>
        <v>5.128059191804212</v>
      </c>
      <c r="AY623" s="70">
        <f>IFERROR(Driver!$K$19/Data!BH623/Data!BI623*Data!BK623*Data!BL623,"")</f>
        <v>0.14643111187973071</v>
      </c>
      <c r="AZ623" s="70">
        <f t="shared" si="359"/>
        <v>41.9434102755026</v>
      </c>
      <c r="BA623" s="70"/>
      <c r="BB623" s="70"/>
      <c r="BC623" s="70">
        <f t="shared" si="360"/>
        <v>123.85647427212481</v>
      </c>
      <c r="BD623" s="70">
        <f t="shared" si="361"/>
        <v>6.3393832485848538</v>
      </c>
      <c r="BE623" s="70">
        <f t="shared" si="362"/>
        <v>0.27401136204922633</v>
      </c>
      <c r="BF623" s="70">
        <f t="shared" si="363"/>
        <v>1.5271836567941359</v>
      </c>
      <c r="BG623" s="70">
        <f t="shared" si="364"/>
        <v>0.10562800591934886</v>
      </c>
      <c r="BH623" s="67">
        <f>MAX((CE623-Driver!$F$200)/(Driver!$G$200-Driver!$F$200)*$BI$1,1)</f>
        <v>5.128059191804212</v>
      </c>
      <c r="BI623" s="67">
        <f>MAX($BI$1*(BY623-Driver!$F$201)/(Driver!$G$201-Driver!$F$201),1)</f>
        <v>8.2911392405063289</v>
      </c>
      <c r="BJ623" s="67">
        <f>(CB623-Driver!$F$206)/(Driver!$G$206-Driver!$F$206)*$BI$1</f>
        <v>3.6507936507936507</v>
      </c>
      <c r="BK623" s="67">
        <f>(CD623-Driver!$F$203)/(Driver!$G$203-Driver!$F$203)*$BI$1</f>
        <v>5.6422018348623855</v>
      </c>
      <c r="BL623" s="67">
        <f>MAX((CR623-Driver!$F$202)/(Driver!$G$202-Driver!$F$202)*$BI$1,1)</f>
        <v>5.5172413793103452</v>
      </c>
      <c r="BM623" s="67">
        <f>MAX((CH623-Driver!$F$204)/(Driver!$G$204-Driver!$F$204)*$BI$1,1)</f>
        <v>4.6153846153846159</v>
      </c>
      <c r="BN623" s="67">
        <f>(CI623-Driver!$F$205)/(Driver!$G$205-Driver!$F$205)*$BI$1</f>
        <v>5.0588235294117645</v>
      </c>
      <c r="BO623" s="67">
        <f>(CK623-Driver!$F$207)/(Driver!$G$207-Driver!$F$207)*$BI$1</f>
        <v>1.2719751809720785</v>
      </c>
      <c r="BP623" s="67">
        <f>(CM623-Driver!$F$208)/(Driver!$G$208-Driver!$F$208)*$BI$1</f>
        <v>1.8555555555555556</v>
      </c>
      <c r="BQ623" s="67">
        <f>(CL623-Driver!$F$209)/(Driver!$G$209-Driver!$F$209)*$BI$1</f>
        <v>2.5</v>
      </c>
      <c r="BR623" s="28" t="s">
        <v>155</v>
      </c>
      <c r="BS623" s="8" t="s">
        <v>237</v>
      </c>
      <c r="BT623" s="9" t="s">
        <v>371</v>
      </c>
      <c r="BU623" s="10">
        <v>179.1</v>
      </c>
      <c r="BV623" s="9" t="s">
        <v>158</v>
      </c>
      <c r="BW623" s="10">
        <v>179.1</v>
      </c>
      <c r="BX623" s="10">
        <v>178.6</v>
      </c>
      <c r="BY623" s="10">
        <v>139</v>
      </c>
      <c r="BZ623" s="10">
        <v>159</v>
      </c>
      <c r="CA623" s="10">
        <v>123</v>
      </c>
      <c r="CB623" s="10">
        <v>87</v>
      </c>
      <c r="CC623" s="10">
        <v>108</v>
      </c>
      <c r="CD623" s="10">
        <v>21.7</v>
      </c>
      <c r="CE623" s="10">
        <v>1801</v>
      </c>
      <c r="CF623" s="10">
        <v>0.97</v>
      </c>
      <c r="CG623" s="10">
        <v>1747</v>
      </c>
      <c r="CH623" s="10">
        <v>209</v>
      </c>
      <c r="CI623" s="10">
        <v>119</v>
      </c>
      <c r="CJ623" s="10">
        <v>44</v>
      </c>
      <c r="CK623" s="10">
        <v>233</v>
      </c>
      <c r="CL623" s="10">
        <v>16</v>
      </c>
      <c r="CM623" s="10">
        <v>167</v>
      </c>
      <c r="CN623" s="10">
        <v>0.36399999999999999</v>
      </c>
      <c r="CO623" s="10">
        <v>111</v>
      </c>
      <c r="CP623" s="10">
        <v>90</v>
      </c>
      <c r="CQ623" s="10">
        <v>122</v>
      </c>
      <c r="CR623" s="10">
        <v>5</v>
      </c>
      <c r="CS623" s="10">
        <v>9.6999999999999993</v>
      </c>
      <c r="CT623" s="9" t="s">
        <v>188</v>
      </c>
      <c r="CU623" s="10"/>
      <c r="CV623" s="10"/>
      <c r="CW623" s="10"/>
      <c r="CX623" t="str">
        <f>INDEX('Data_Price '!AG$2:AG$1266,MATCH(Data!$DN623,'Data_Price '!$AT$2:$AT$1266,0))</f>
        <v>Black Crows Orb Freebird Skis</v>
      </c>
      <c r="CY623" t="str">
        <f>INDEX('Data_Price '!AH$2:AH$1266,MATCH(Data!$DN623,'Data_Price '!$AT$2:$AT$1266,0))</f>
        <v>! OutdoorXL.com</v>
      </c>
      <c r="CZ623">
        <f>INDEX('Data_Price '!AI$2:AI$1266,MATCH(Data!$DN623,'Data_Price '!$AT$2:$AT$1266,0))</f>
        <v>514.95000000000005</v>
      </c>
      <c r="DA623" t="str">
        <f>INDEX('Data_Price '!AJ$2:AJ$1266,MATCH(Data!$DN623,'Data_Price '!$AT$2:$AT$1266,0))</f>
        <v>https://tinyurl.com/ybh3hcf3</v>
      </c>
      <c r="DB623" t="str">
        <f>INDEX('Data_Price '!AK$2:AK$1266,MATCH(Data!$DN623,'Data_Price '!$AT$2:$AT$1266,0))</f>
        <v>Black Crows Orb Freebird Skis</v>
      </c>
      <c r="DC623" t="str">
        <f>INDEX('Data_Price '!AL$2:AL$1266,MATCH(Data!$DN623,'Data_Price '!$AT$2:$AT$1266,0))</f>
        <v>Backcountry.com</v>
      </c>
      <c r="DD623">
        <f>INDEX('Data_Price '!AM$2:AM$1266,MATCH(Data!$DN623,'Data_Price '!$AT$2:$AT$1266,0))</f>
        <v>583.91999999999996</v>
      </c>
      <c r="DE623" t="str">
        <f>INDEX('Data_Price '!AN$2:AN$1266,MATCH(Data!$DN623,'Data_Price '!$AT$2:$AT$1266,0))</f>
        <v>https://tinyurl.com/y7egc7qs</v>
      </c>
      <c r="DF623" t="str">
        <f>INDEX('Data_Price '!AO$2:AO$1266,MATCH(Data!$DN623,'Data_Price '!$AT$2:$AT$1266,0))</f>
        <v>Black Crows Orb Freebird Skis</v>
      </c>
      <c r="DG623" t="str">
        <f>INDEX('Data_Price '!AP$2:AP$1266,MATCH(Data!$DN623,'Data_Price '!$AT$2:$AT$1266,0))</f>
        <v>Powder7 Ski Shop</v>
      </c>
      <c r="DH623">
        <f>INDEX('Data_Price '!AQ$2:AQ$1266,MATCH(Data!$DN623,'Data_Price '!$AT$2:$AT$1266,0))</f>
        <v>583.96</v>
      </c>
      <c r="DI623" t="str">
        <f>INDEX('Data_Price '!AR$2:AR$1266,MATCH(Data!$DN623,'Data_Price '!$AT$2:$AT$1266,0))</f>
        <v>https://tinyurl.com/y9vlt9du</v>
      </c>
      <c r="DJ623" s="89" t="str">
        <f t="shared" si="365"/>
        <v>https://tinyurl.com/ybh3hcf3</v>
      </c>
      <c r="DK623" s="89" t="str">
        <f t="shared" si="366"/>
        <v>https://tinyurl.com/y7egc7qs</v>
      </c>
      <c r="DL623" s="89" t="str">
        <f t="shared" si="367"/>
        <v>https://tinyurl.com/y9vlt9du</v>
      </c>
      <c r="DM623" s="219" t="str">
        <f t="shared" si="368"/>
        <v>Orb</v>
      </c>
      <c r="DN623" s="89" t="str">
        <f t="shared" si="369"/>
        <v xml:space="preserve"> Black CrowsOrb179.1 Unisex</v>
      </c>
      <c r="DO623" s="221" t="s">
        <v>372</v>
      </c>
    </row>
    <row r="624" spans="2:119" ht="15.6" customHeight="1">
      <c r="B624" s="219" t="b">
        <f t="array" ref="B624">IF(OR(ISERROR(K624:P624)),FALSE,TRUE)</f>
        <v>1</v>
      </c>
      <c r="C624" s="43" t="b">
        <f>OR(BR624=Driver!$G$50,Data!BR775=Driver!$H$50)</f>
        <v>1</v>
      </c>
      <c r="D624" s="43" t="b">
        <f>OR(BV624=Driver!$G$51,BV624=Driver!$H$51)</f>
        <v>0</v>
      </c>
      <c r="E624" s="43" t="b">
        <f>AND(BX624&gt;Driver!$F$54,BX624&lt;Driver!$G$54)</f>
        <v>0</v>
      </c>
      <c r="F624" s="43" t="b">
        <f>CL624&gt;Driver!$F$56</f>
        <v>1</v>
      </c>
      <c r="G624" s="43" t="b">
        <f>AND(CB624&gt;Driver!$F$55,CB624&lt;Driver!$G$55)</f>
        <v>0</v>
      </c>
      <c r="H624" s="43" t="b">
        <f t="shared" si="333"/>
        <v>0</v>
      </c>
      <c r="I624" s="43">
        <f t="shared" si="334"/>
        <v>0</v>
      </c>
      <c r="J624" s="43" t="b">
        <f t="array" ref="J624">NOT(OR(($H$9:$H$1273=TRUE)*($I$9:$I$1273&gt;0)*($BT$9:$BT$1273=BT624)*($K$9:$K$1273&gt;K624)))</f>
        <v>1</v>
      </c>
      <c r="K624" s="72">
        <f t="shared" si="335"/>
        <v>0.83607389149291089</v>
      </c>
      <c r="L624" s="72">
        <f t="shared" si="336"/>
        <v>0.88283642828075126</v>
      </c>
      <c r="M624" s="72">
        <f t="shared" si="337"/>
        <v>0.78931135470507041</v>
      </c>
      <c r="N624" s="72">
        <f t="shared" si="338"/>
        <v>0.81755445567538976</v>
      </c>
      <c r="O624" s="72">
        <f t="shared" si="339"/>
        <v>0.60974607654605117</v>
      </c>
      <c r="P624" s="72">
        <f t="shared" si="340"/>
        <v>0.94063353189377019</v>
      </c>
      <c r="Q624" s="72"/>
      <c r="R624" s="72"/>
      <c r="S624" s="72">
        <f t="shared" si="341"/>
        <v>0.40427572334536954</v>
      </c>
      <c r="T624" s="72">
        <f t="shared" si="342"/>
        <v>0.51359994421470767</v>
      </c>
      <c r="U624" s="72">
        <f t="shared" si="343"/>
        <v>0.55029417207694176</v>
      </c>
      <c r="V624" s="72">
        <f t="shared" si="344"/>
        <v>0.59687169165487419</v>
      </c>
      <c r="W624" s="72">
        <f t="shared" si="345"/>
        <v>0.92665142857142857</v>
      </c>
      <c r="X624" s="72">
        <f t="shared" si="346"/>
        <v>0.11716357171924868</v>
      </c>
      <c r="Y624" s="72">
        <f t="shared" si="347"/>
        <v>0.21068864529492962</v>
      </c>
      <c r="Z624" s="72">
        <f t="shared" si="348"/>
        <v>0.1824455443246103</v>
      </c>
      <c r="AA624" s="72">
        <f t="shared" si="349"/>
        <v>0.39025392345394877</v>
      </c>
      <c r="AB624" s="72">
        <f t="shared" si="350"/>
        <v>5.9366468106229864E-2</v>
      </c>
      <c r="AC624" s="72"/>
      <c r="AD624" s="72"/>
      <c r="AE624" s="72">
        <f t="shared" si="351"/>
        <v>0.59572427665463046</v>
      </c>
      <c r="AF624" s="72">
        <f t="shared" si="352"/>
        <v>0.48640005578529238</v>
      </c>
      <c r="AG624" s="72">
        <f t="shared" si="353"/>
        <v>0.44970582792305824</v>
      </c>
      <c r="AH624" s="72">
        <f t="shared" si="354"/>
        <v>0.40312830834512581</v>
      </c>
      <c r="AI624" s="72">
        <f t="shared" si="355"/>
        <v>7.334857142857143E-2</v>
      </c>
      <c r="AJ624" s="72">
        <f>(AV624-Driver!$K$179)/(Driver!$L$179-Driver!$K$179)</f>
        <v>0.13705583756345174</v>
      </c>
      <c r="AK624" s="72">
        <f>(AW624-Driver!$K$180)/(Driver!$L$180-Driver!$K$180)</f>
        <v>0.20022809162175445</v>
      </c>
      <c r="AL624" s="72">
        <f>(AX624-Driver!$K$181)/(Driver!$L$181-Driver!$K$181)</f>
        <v>0.28413330803769049</v>
      </c>
      <c r="AM624" s="72">
        <f>(AY624-Driver!$K$182)/(Driver!$L$182-Driver!$K$182)</f>
        <v>5.7131097643097616E-2</v>
      </c>
      <c r="AN624" s="72">
        <f>(AZ624-Driver!$K$183)/(Driver!$L$183-Driver!$K$183)</f>
        <v>0.19485294117647056</v>
      </c>
      <c r="AO624" s="72"/>
      <c r="AP624" s="72"/>
      <c r="AQ624" s="72">
        <f>(BC624-Driver!$K$188)/(Driver!$L$188-Driver!$K$188)</f>
        <v>2.4275723345369583E-2</v>
      </c>
      <c r="AR624" s="72">
        <f>MIN((BD624-Driver!$K$189)/(Driver!$L$189-Driver!$K$189),100%)</f>
        <v>6.359994421470766E-2</v>
      </c>
      <c r="AS624" s="72">
        <f>(BE624-Driver!$K$190)/(Driver!$L$190-Driver!$K$190)</f>
        <v>6.0294172076941786E-2</v>
      </c>
      <c r="AT624" s="72">
        <f>(BF624-Driver!$K$191)/(Driver!$L$191-Driver!$K$191)</f>
        <v>0.1068716916548742</v>
      </c>
      <c r="AU624" s="72">
        <f>(BG624-Driver!$K$192)/(Driver!$L$192-Driver!$K$192)</f>
        <v>0.17665142857142857</v>
      </c>
      <c r="AV624" s="70">
        <f t="shared" si="356"/>
        <v>2.8846153846153841</v>
      </c>
      <c r="AW624" s="70">
        <f t="shared" si="357"/>
        <v>21.385894351376614</v>
      </c>
      <c r="AX624" s="70">
        <f t="shared" si="358"/>
        <v>3.5571997723392146</v>
      </c>
      <c r="AY624" s="70">
        <f>IFERROR(Driver!$K$19/Data!BH624/Data!BI624*Data!BK624*Data!BL624,"")</f>
        <v>6.9945509789447774E-2</v>
      </c>
      <c r="AZ624" s="70">
        <f t="shared" si="359"/>
        <v>17.758749069247951</v>
      </c>
      <c r="BA624" s="70"/>
      <c r="BB624" s="70"/>
      <c r="BC624" s="70">
        <f t="shared" si="360"/>
        <v>12.591986461333974</v>
      </c>
      <c r="BD624" s="70">
        <f t="shared" si="361"/>
        <v>7.349305254666568</v>
      </c>
      <c r="BE624" s="70">
        <f t="shared" si="362"/>
        <v>6.0461805019803638E-2</v>
      </c>
      <c r="BF624" s="70">
        <f t="shared" si="363"/>
        <v>12.070406756290934</v>
      </c>
      <c r="BG624" s="70">
        <f t="shared" si="364"/>
        <v>0.66891500000000004</v>
      </c>
      <c r="BH624" s="67">
        <f>MAX((CE624-Driver!$F$200)/(Driver!$G$200-Driver!$F$200)*$BI$1,1)</f>
        <v>3.5571997723392146</v>
      </c>
      <c r="BI624" s="67">
        <f>MAX($BI$1*(BY624-Driver!$F$201)/(Driver!$G$201-Driver!$F$201),1)</f>
        <v>5.6962025316455698</v>
      </c>
      <c r="BJ624" s="67">
        <f>(CB624-Driver!$F$206)/(Driver!$G$206-Driver!$F$206)*$BI$1</f>
        <v>4.2857142857142856</v>
      </c>
      <c r="BK624" s="67">
        <f>(CD624-Driver!$F$203)/(Driver!$G$203-Driver!$F$203)*$BI$1</f>
        <v>1.4678899082568806</v>
      </c>
      <c r="BL624" s="67">
        <f>MAX((CR624-Driver!$F$202)/(Driver!$G$202-Driver!$F$202)*$BI$1,1)</f>
        <v>4.8275862068965516</v>
      </c>
      <c r="BM624" s="67">
        <f>MAX((CH624-Driver!$F$204)/(Driver!$G$204-Driver!$F$204)*$BI$1,1)</f>
        <v>2.6923076923076921</v>
      </c>
      <c r="BN624" s="67">
        <f>(CI624-Driver!$F$205)/(Driver!$G$205-Driver!$F$205)*$BI$1</f>
        <v>3.1176470588235294</v>
      </c>
      <c r="BO624" s="67">
        <f>(CK624-Driver!$F$207)/(Driver!$G$207-Driver!$F$207)*$BI$1</f>
        <v>1.4477766287487073</v>
      </c>
      <c r="BP624" s="67">
        <f>(CM624-Driver!$F$208)/(Driver!$G$208-Driver!$F$208)*$BI$1</f>
        <v>2.8555555555555556</v>
      </c>
      <c r="BQ624" s="67">
        <f>(CL624-Driver!$F$209)/(Driver!$G$209-Driver!$F$209)*$BI$1</f>
        <v>6.40625</v>
      </c>
      <c r="BR624" s="28" t="s">
        <v>155</v>
      </c>
      <c r="BS624" s="8" t="s">
        <v>262</v>
      </c>
      <c r="BT624" s="9" t="s">
        <v>670</v>
      </c>
      <c r="BU624" s="10">
        <v>149</v>
      </c>
      <c r="BV624" s="9" t="s">
        <v>163</v>
      </c>
      <c r="BW624" s="10">
        <v>149</v>
      </c>
      <c r="BX624" s="10">
        <v>148.9</v>
      </c>
      <c r="BY624" s="10">
        <v>98</v>
      </c>
      <c r="BZ624" s="10">
        <v>123</v>
      </c>
      <c r="CA624" s="10">
        <v>124</v>
      </c>
      <c r="CB624" s="10">
        <v>91</v>
      </c>
      <c r="CC624" s="10">
        <v>113</v>
      </c>
      <c r="CD624" s="10">
        <v>12.6</v>
      </c>
      <c r="CE624" s="10">
        <v>1525</v>
      </c>
      <c r="CF624" s="10">
        <v>0.99</v>
      </c>
      <c r="CG624" s="10">
        <v>1516</v>
      </c>
      <c r="CH624" s="10">
        <v>164</v>
      </c>
      <c r="CI624" s="10">
        <v>86</v>
      </c>
      <c r="CJ624" s="10">
        <v>47</v>
      </c>
      <c r="CK624" s="10">
        <v>250</v>
      </c>
      <c r="CL624" s="10">
        <v>41</v>
      </c>
      <c r="CM624" s="10">
        <v>257</v>
      </c>
      <c r="CN624" s="10">
        <v>0.88100000000000001</v>
      </c>
      <c r="CO624" s="10">
        <v>120</v>
      </c>
      <c r="CP624" s="10">
        <v>142</v>
      </c>
      <c r="CQ624" s="10">
        <v>129</v>
      </c>
      <c r="CR624" s="10">
        <v>3</v>
      </c>
      <c r="CS624" s="10">
        <v>4</v>
      </c>
      <c r="CT624" s="9" t="s">
        <v>184</v>
      </c>
      <c r="CU624" s="10"/>
      <c r="CV624" s="10"/>
      <c r="CW624" s="10"/>
      <c r="CX624" t="e">
        <f>INDEX('Data_Price '!AG$2:AG$1266,MATCH(Data!$DN624,'Data_Price '!$AT$2:$AT$1266,0))</f>
        <v>#N/A</v>
      </c>
      <c r="CY624" t="e">
        <f>INDEX('Data_Price '!AH$2:AH$1266,MATCH(Data!$DN624,'Data_Price '!$AT$2:$AT$1266,0))</f>
        <v>#N/A</v>
      </c>
      <c r="CZ624" t="e">
        <f>INDEX('Data_Price '!AI$2:AI$1266,MATCH(Data!$DN624,'Data_Price '!$AT$2:$AT$1266,0))</f>
        <v>#N/A</v>
      </c>
      <c r="DA624" t="e">
        <f>INDEX('Data_Price '!AJ$2:AJ$1266,MATCH(Data!$DN624,'Data_Price '!$AT$2:$AT$1266,0))</f>
        <v>#N/A</v>
      </c>
      <c r="DB624" t="e">
        <f>INDEX('Data_Price '!AK$2:AK$1266,MATCH(Data!$DN624,'Data_Price '!$AT$2:$AT$1266,0))</f>
        <v>#N/A</v>
      </c>
      <c r="DC624" t="e">
        <f>INDEX('Data_Price '!AL$2:AL$1266,MATCH(Data!$DN624,'Data_Price '!$AT$2:$AT$1266,0))</f>
        <v>#N/A</v>
      </c>
      <c r="DD624" t="e">
        <f>INDEX('Data_Price '!AM$2:AM$1266,MATCH(Data!$DN624,'Data_Price '!$AT$2:$AT$1266,0))</f>
        <v>#N/A</v>
      </c>
      <c r="DE624" t="e">
        <f>INDEX('Data_Price '!AN$2:AN$1266,MATCH(Data!$DN624,'Data_Price '!$AT$2:$AT$1266,0))</f>
        <v>#N/A</v>
      </c>
      <c r="DF624" t="e">
        <f>INDEX('Data_Price '!AO$2:AO$1266,MATCH(Data!$DN624,'Data_Price '!$AT$2:$AT$1266,0))</f>
        <v>#N/A</v>
      </c>
      <c r="DG624" t="e">
        <f>INDEX('Data_Price '!AP$2:AP$1266,MATCH(Data!$DN624,'Data_Price '!$AT$2:$AT$1266,0))</f>
        <v>#N/A</v>
      </c>
      <c r="DH624" t="e">
        <f>INDEX('Data_Price '!AQ$2:AQ$1266,MATCH(Data!$DN624,'Data_Price '!$AT$2:$AT$1266,0))</f>
        <v>#N/A</v>
      </c>
      <c r="DI624" t="e">
        <f>INDEX('Data_Price '!AR$2:AR$1266,MATCH(Data!$DN624,'Data_Price '!$AT$2:$AT$1266,0))</f>
        <v>#N/A</v>
      </c>
      <c r="DJ624" s="89" t="e">
        <f t="shared" si="365"/>
        <v>#N/A</v>
      </c>
      <c r="DK624" s="89" t="e">
        <f t="shared" si="366"/>
        <v>#N/A</v>
      </c>
      <c r="DL624" s="89" t="e">
        <f t="shared" si="367"/>
        <v>#N/A</v>
      </c>
      <c r="DM624" s="219" t="str">
        <f t="shared" si="368"/>
        <v>Reckoner 92 Alliance</v>
      </c>
      <c r="DN624" s="89" t="str">
        <f t="shared" si="369"/>
        <v xml:space="preserve"> K2Reckoner 92 Alliance149 Women's</v>
      </c>
      <c r="DO624" s="221" t="s">
        <v>671</v>
      </c>
    </row>
    <row r="625" spans="2:119" ht="15.6" customHeight="1">
      <c r="B625" s="219" t="b">
        <f t="array" ref="B625">IF(OR(ISERROR(K625:P625)),FALSE,TRUE)</f>
        <v>1</v>
      </c>
      <c r="C625" s="43" t="b">
        <f>OR(BR625=Driver!$G$50,Data!BR135=Driver!$H$50)</f>
        <v>1</v>
      </c>
      <c r="D625" s="43" t="b">
        <f>OR(BV625=Driver!$G$51,BV625=Driver!$H$51)</f>
        <v>1</v>
      </c>
      <c r="E625" s="43" t="b">
        <f>AND(BX625&gt;Driver!$F$54,BX625&lt;Driver!$G$54)</f>
        <v>0</v>
      </c>
      <c r="F625" s="43" t="b">
        <f>CL625&gt;Driver!$F$56</f>
        <v>1</v>
      </c>
      <c r="G625" s="43" t="b">
        <f>AND(CB625&gt;Driver!$F$55,CB625&lt;Driver!$G$55)</f>
        <v>0</v>
      </c>
      <c r="H625" s="43" t="b">
        <f t="shared" si="333"/>
        <v>0</v>
      </c>
      <c r="I625" s="43">
        <f t="shared" si="334"/>
        <v>0</v>
      </c>
      <c r="J625" s="43" t="b">
        <f t="array" ref="J625">NOT(OR(($H$9:$H$1273=TRUE)*($I$9:$I$1273&gt;0)*($BT$9:$BT$1273=BT625)*($K$9:$K$1273&gt;K625)))</f>
        <v>1</v>
      </c>
      <c r="K625" s="72">
        <f t="shared" si="335"/>
        <v>0.75297523572276603</v>
      </c>
      <c r="L625" s="72">
        <f t="shared" si="336"/>
        <v>0.7401593013139629</v>
      </c>
      <c r="M625" s="72">
        <f t="shared" si="337"/>
        <v>0.76579117013156905</v>
      </c>
      <c r="N625" s="72">
        <f t="shared" si="338"/>
        <v>0.65692712373331674</v>
      </c>
      <c r="O625" s="72">
        <f t="shared" si="339"/>
        <v>0.67906122078069231</v>
      </c>
      <c r="P625" s="72">
        <f t="shared" si="340"/>
        <v>0.96138516588069822</v>
      </c>
      <c r="Q625" s="72"/>
      <c r="R625" s="72"/>
      <c r="S625" s="72">
        <f t="shared" si="341"/>
        <v>0.4352842724946363</v>
      </c>
      <c r="T625" s="72">
        <f t="shared" si="342"/>
        <v>0.46906093184494846</v>
      </c>
      <c r="U625" s="72">
        <f t="shared" si="343"/>
        <v>0.50161076686155326</v>
      </c>
      <c r="V625" s="72">
        <f t="shared" si="344"/>
        <v>0.70549092638024691</v>
      </c>
      <c r="W625" s="72">
        <f t="shared" si="345"/>
        <v>0.83651877133105801</v>
      </c>
      <c r="X625" s="72">
        <f t="shared" si="346"/>
        <v>0.25984069868603704</v>
      </c>
      <c r="Y625" s="72">
        <f t="shared" si="347"/>
        <v>0.23420882986843092</v>
      </c>
      <c r="Z625" s="72">
        <f t="shared" si="348"/>
        <v>0.34307287626668331</v>
      </c>
      <c r="AA625" s="72">
        <f t="shared" si="349"/>
        <v>0.32093877921930763</v>
      </c>
      <c r="AB625" s="72">
        <f t="shared" si="350"/>
        <v>3.8614834119301722E-2</v>
      </c>
      <c r="AC625" s="72"/>
      <c r="AD625" s="72"/>
      <c r="AE625" s="72">
        <f t="shared" si="351"/>
        <v>0.5647157275053637</v>
      </c>
      <c r="AF625" s="72">
        <f t="shared" si="352"/>
        <v>0.53093906815505154</v>
      </c>
      <c r="AG625" s="72">
        <f t="shared" si="353"/>
        <v>0.49838923313844674</v>
      </c>
      <c r="AH625" s="72">
        <f t="shared" si="354"/>
        <v>0.29450907361975304</v>
      </c>
      <c r="AI625" s="72">
        <f t="shared" si="355"/>
        <v>0.16348122866894199</v>
      </c>
      <c r="AJ625" s="72">
        <f>(AV625-Driver!$K$179)/(Driver!$L$179-Driver!$K$179)</f>
        <v>0.51406010796873747</v>
      </c>
      <c r="AK625" s="72">
        <f>(AW625-Driver!$K$180)/(Driver!$L$180-Driver!$K$180)</f>
        <v>0.23533825538572881</v>
      </c>
      <c r="AL625" s="72">
        <f>(AX625-Driver!$K$181)/(Driver!$L$181-Driver!$K$181)</f>
        <v>0.44476063997976351</v>
      </c>
      <c r="AM625" s="72">
        <f>(AY625-Driver!$K$182)/(Driver!$L$182-Driver!$K$182)</f>
        <v>0.12644624187773873</v>
      </c>
      <c r="AN625" s="72">
        <f>(AZ625-Driver!$K$183)/(Driver!$L$183-Driver!$K$183)</f>
        <v>0.2156045751633987</v>
      </c>
      <c r="AO625" s="72"/>
      <c r="AP625" s="72"/>
      <c r="AQ625" s="72">
        <f>(BC625-Driver!$K$188)/(Driver!$L$188-Driver!$K$188)</f>
        <v>5.5284272494636286E-2</v>
      </c>
      <c r="AR625" s="72">
        <f>MIN((BD625-Driver!$K$189)/(Driver!$L$189-Driver!$K$189),100%)</f>
        <v>1.9060931844948462E-2</v>
      </c>
      <c r="AS625" s="72">
        <f>(BE625-Driver!$K$190)/(Driver!$L$190-Driver!$K$190)</f>
        <v>1.1610766861553243E-2</v>
      </c>
      <c r="AT625" s="72">
        <f>(BF625-Driver!$K$191)/(Driver!$L$191-Driver!$K$191)</f>
        <v>0.21549092638024697</v>
      </c>
      <c r="AU625" s="72">
        <f>(BG625-Driver!$K$192)/(Driver!$L$192-Driver!$K$192)</f>
        <v>8.6518771331058009E-2</v>
      </c>
      <c r="AV625" s="70">
        <f t="shared" si="356"/>
        <v>10.819427486094154</v>
      </c>
      <c r="AW625" s="70">
        <f t="shared" si="357"/>
        <v>24.807690917875355</v>
      </c>
      <c r="AX625" s="70">
        <f t="shared" si="358"/>
        <v>5.0028457598178715</v>
      </c>
      <c r="AY625" s="70">
        <f>IFERROR(Driver!$K$19/Data!BH625/Data!BI625*Data!BK625*Data!BL625,"")</f>
        <v>0.15480792797557599</v>
      </c>
      <c r="AZ625" s="70">
        <f t="shared" si="359"/>
        <v>19.650037230081907</v>
      </c>
      <c r="BA625" s="70"/>
      <c r="BB625" s="70"/>
      <c r="BC625" s="70">
        <f t="shared" si="360"/>
        <v>28.676336472995015</v>
      </c>
      <c r="BD625" s="70">
        <f t="shared" si="361"/>
        <v>3.4076815784029475</v>
      </c>
      <c r="BE625" s="70">
        <f t="shared" si="362"/>
        <v>1.1787084375950456E-2</v>
      </c>
      <c r="BF625" s="70">
        <f t="shared" si="363"/>
        <v>24.338186225209771</v>
      </c>
      <c r="BG625" s="70">
        <f t="shared" si="364"/>
        <v>0.32761526126868307</v>
      </c>
      <c r="BH625" s="67">
        <f>MAX((CE625-Driver!$F$200)/(Driver!$G$200-Driver!$F$200)*$BI$1,1)</f>
        <v>5.0028457598178715</v>
      </c>
      <c r="BI625" s="67">
        <f>MAX($BI$1*(BY625-Driver!$F$201)/(Driver!$G$201-Driver!$F$201),1)</f>
        <v>5.7594936708860756</v>
      </c>
      <c r="BJ625" s="67">
        <f>(CB625-Driver!$F$206)/(Driver!$G$206-Driver!$F$206)*$BI$1</f>
        <v>8.7301587301587311</v>
      </c>
      <c r="BK625" s="67">
        <f>(CD625-Driver!$F$203)/(Driver!$G$203-Driver!$F$203)*$BI$1</f>
        <v>4.3119266055045884</v>
      </c>
      <c r="BL625" s="67">
        <f>MAX((CR625-Driver!$F$202)/(Driver!$G$202-Driver!$F$202)*$BI$1,1)</f>
        <v>5.1724137931034484</v>
      </c>
      <c r="BM625" s="67">
        <f>MAX((CH625-Driver!$F$204)/(Driver!$G$204-Driver!$F$204)*$BI$1,1)</f>
        <v>4.9572649572649574</v>
      </c>
      <c r="BN625" s="67">
        <f>(CI625-Driver!$F$205)/(Driver!$G$205-Driver!$F$205)*$BI$1</f>
        <v>3.4117647058823533</v>
      </c>
      <c r="BO625" s="67">
        <f>(CK625-Driver!$F$207)/(Driver!$G$207-Driver!$F$207)*$BI$1</f>
        <v>2.9886246122026887</v>
      </c>
      <c r="BP625" s="67">
        <f>(CM625-Driver!$F$208)/(Driver!$G$208-Driver!$F$208)*$BI$1</f>
        <v>4.0222222222222221</v>
      </c>
      <c r="BQ625" s="67">
        <f>(CL625-Driver!$F$209)/(Driver!$G$209-Driver!$F$209)*$BI$1</f>
        <v>8.125</v>
      </c>
      <c r="BR625" s="28" t="s">
        <v>155</v>
      </c>
      <c r="BS625" s="8" t="s">
        <v>156</v>
      </c>
      <c r="BT625" s="9" t="s">
        <v>696</v>
      </c>
      <c r="BU625" s="10">
        <v>176</v>
      </c>
      <c r="BV625" s="9" t="s">
        <v>158</v>
      </c>
      <c r="BW625" s="10">
        <v>176</v>
      </c>
      <c r="BX625" s="10">
        <v>174.7</v>
      </c>
      <c r="BY625" s="10">
        <v>99</v>
      </c>
      <c r="BZ625" s="10">
        <v>123</v>
      </c>
      <c r="CA625" s="10">
        <v>141</v>
      </c>
      <c r="CB625" s="10">
        <v>119</v>
      </c>
      <c r="CC625" s="10">
        <v>132</v>
      </c>
      <c r="CD625" s="10">
        <v>18.8</v>
      </c>
      <c r="CE625" s="10">
        <v>1779</v>
      </c>
      <c r="CF625" s="10">
        <v>1.21</v>
      </c>
      <c r="CG625" s="10">
        <v>2159</v>
      </c>
      <c r="CH625" s="10">
        <v>217</v>
      </c>
      <c r="CI625" s="10">
        <v>91</v>
      </c>
      <c r="CJ625" s="10">
        <v>55</v>
      </c>
      <c r="CK625" s="10">
        <v>399</v>
      </c>
      <c r="CL625" s="10">
        <v>52</v>
      </c>
      <c r="CM625" s="10">
        <v>362</v>
      </c>
      <c r="CN625" s="10">
        <v>0.95799999999999996</v>
      </c>
      <c r="CO625" s="10">
        <v>215</v>
      </c>
      <c r="CP625" s="10">
        <v>302</v>
      </c>
      <c r="CQ625" s="10">
        <v>184</v>
      </c>
      <c r="CR625" s="10">
        <v>4</v>
      </c>
      <c r="CS625" s="10">
        <v>3.1</v>
      </c>
      <c r="CT625" s="9" t="s">
        <v>184</v>
      </c>
      <c r="CU625" s="9" t="s">
        <v>169</v>
      </c>
      <c r="CV625" s="9" t="s">
        <v>185</v>
      </c>
      <c r="CW625" s="10"/>
      <c r="CX625" t="str">
        <f>INDEX('Data_Price '!AG$2:AG$1266,MATCH(Data!$DN625,'Data_Price '!$AT$2:$AT$1266,0))</f>
        <v>Atomic Bent Chetler 120 Skis</v>
      </c>
      <c r="CY625" t="str">
        <f>INDEX('Data_Price '!AH$2:AH$1266,MATCH(Data!$DN625,'Data_Price '!$AT$2:$AT$1266,0))</f>
        <v>Telemark Pyrenees</v>
      </c>
      <c r="CZ625">
        <f>INDEX('Data_Price '!AI$2:AI$1266,MATCH(Data!$DN625,'Data_Price '!$AT$2:$AT$1266,0))</f>
        <v>494.99</v>
      </c>
      <c r="DA625" t="str">
        <f>INDEX('Data_Price '!AJ$2:AJ$1266,MATCH(Data!$DN625,'Data_Price '!$AT$2:$AT$1266,0))</f>
        <v>https://tinyurl.com/yazkkxqg</v>
      </c>
      <c r="DB625" t="str">
        <f>INDEX('Data_Price '!AK$2:AK$1266,MATCH(Data!$DN625,'Data_Price '!$AT$2:$AT$1266,0))</f>
        <v>Atomic Bent Chetler 120 Skis</v>
      </c>
      <c r="DC625" t="str">
        <f>INDEX('Data_Price '!AL$2:AL$1266,MATCH(Data!$DN625,'Data_Price '!$AT$2:$AT$1266,0))</f>
        <v>REI</v>
      </c>
      <c r="DD625">
        <f>INDEX('Data_Price '!AM$2:AM$1266,MATCH(Data!$DN625,'Data_Price '!$AT$2:$AT$1266,0))</f>
        <v>599.92999999999995</v>
      </c>
      <c r="DE625" t="str">
        <f>INDEX('Data_Price '!AN$2:AN$1266,MATCH(Data!$DN625,'Data_Price '!$AT$2:$AT$1266,0))</f>
        <v>https://tinyurl.com/ybpg94qj</v>
      </c>
      <c r="DF625" t="str">
        <f>INDEX('Data_Price '!AO$2:AO$1266,MATCH(Data!$DN625,'Data_Price '!$AT$2:$AT$1266,0))</f>
        <v>Atomic Bent Chetler 120 Skis</v>
      </c>
      <c r="DG625" t="str">
        <f>INDEX('Data_Price '!AP$2:AP$1266,MATCH(Data!$DN625,'Data_Price '!$AT$2:$AT$1266,0))</f>
        <v>Curated</v>
      </c>
      <c r="DH625">
        <f>INDEX('Data_Price '!AQ$2:AQ$1266,MATCH(Data!$DN625,'Data_Price '!$AT$2:$AT$1266,0))</f>
        <v>599.99</v>
      </c>
      <c r="DI625" t="str">
        <f>INDEX('Data_Price '!AR$2:AR$1266,MATCH(Data!$DN625,'Data_Price '!$AT$2:$AT$1266,0))</f>
        <v>https://tinyurl.com/ybf6onwv</v>
      </c>
      <c r="DJ625" s="89" t="str">
        <f t="shared" si="365"/>
        <v>https://tinyurl.com/yazkkxqg</v>
      </c>
      <c r="DK625" s="89" t="str">
        <f t="shared" si="366"/>
        <v>https://tinyurl.com/ybpg94qj</v>
      </c>
      <c r="DL625" s="89" t="str">
        <f t="shared" si="367"/>
        <v>https://tinyurl.com/ybf6onwv</v>
      </c>
      <c r="DM625" s="219" t="str">
        <f t="shared" si="368"/>
        <v>Bent Chetler 120</v>
      </c>
      <c r="DN625" s="89" t="str">
        <f t="shared" si="369"/>
        <v xml:space="preserve"> AtomicBent Chetler 120176 Unisex</v>
      </c>
      <c r="DO625" s="221" t="s">
        <v>697</v>
      </c>
    </row>
    <row r="626" spans="2:119" ht="15.6" customHeight="1">
      <c r="B626" s="219" t="b">
        <f t="array" ref="B626">IF(OR(ISERROR(K626:P626)),FALSE,TRUE)</f>
        <v>1</v>
      </c>
      <c r="C626" s="43" t="b">
        <f>OR(BR626=Driver!$G$50,Data!BR1183=Driver!$H$50)</f>
        <v>1</v>
      </c>
      <c r="D626" s="43" t="b">
        <f>OR(BV626=Driver!$G$51,BV626=Driver!$H$51)</f>
        <v>1</v>
      </c>
      <c r="E626" s="43" t="b">
        <f>AND(BX626&gt;Driver!$F$54,BX626&lt;Driver!$G$54)</f>
        <v>0</v>
      </c>
      <c r="F626" s="43" t="b">
        <f>CL626&gt;Driver!$F$56</f>
        <v>1</v>
      </c>
      <c r="G626" s="43" t="b">
        <f>AND(CB626&gt;Driver!$F$55,CB626&lt;Driver!$G$55)</f>
        <v>0</v>
      </c>
      <c r="H626" s="43" t="b">
        <f t="shared" si="333"/>
        <v>0</v>
      </c>
      <c r="I626" s="43">
        <f t="shared" si="334"/>
        <v>0</v>
      </c>
      <c r="J626" s="43" t="b">
        <f t="array" ref="J626">NOT(OR(($H$9:$H$1273=TRUE)*($I$9:$I$1273&gt;0)*($BT$9:$BT$1273=BT626)*($K$9:$K$1273&gt;K626)))</f>
        <v>1</v>
      </c>
      <c r="K626" s="72">
        <f t="shared" si="335"/>
        <v>0.79703764134723798</v>
      </c>
      <c r="L626" s="72">
        <f t="shared" si="336"/>
        <v>0.88235298617294378</v>
      </c>
      <c r="M626" s="72">
        <f t="shared" si="337"/>
        <v>0.71172229652153218</v>
      </c>
      <c r="N626" s="72">
        <f t="shared" si="338"/>
        <v>0.60886540236482256</v>
      </c>
      <c r="O626" s="72">
        <f t="shared" si="339"/>
        <v>0.59314344550208209</v>
      </c>
      <c r="P626" s="72">
        <f t="shared" si="340"/>
        <v>0.93315804169769168</v>
      </c>
      <c r="Q626" s="72"/>
      <c r="R626" s="72"/>
      <c r="S626" s="72">
        <f t="shared" si="341"/>
        <v>0.4289371664300301</v>
      </c>
      <c r="T626" s="72">
        <f t="shared" si="342"/>
        <v>0.71147916657234966</v>
      </c>
      <c r="U626" s="72">
        <f t="shared" si="343"/>
        <v>0.51</v>
      </c>
      <c r="V626" s="72">
        <f t="shared" si="344"/>
        <v>0.49154614446626133</v>
      </c>
      <c r="W626" s="72">
        <f t="shared" si="345"/>
        <v>0.76100449427790395</v>
      </c>
      <c r="X626" s="72">
        <f t="shared" si="346"/>
        <v>0.11764701382705625</v>
      </c>
      <c r="Y626" s="72">
        <f t="shared" si="347"/>
        <v>0.28827770347846787</v>
      </c>
      <c r="Z626" s="72">
        <f t="shared" si="348"/>
        <v>0.39113459763517749</v>
      </c>
      <c r="AA626" s="72">
        <f t="shared" si="349"/>
        <v>0.40685655449791797</v>
      </c>
      <c r="AB626" s="72">
        <f t="shared" si="350"/>
        <v>6.6841958302308269E-2</v>
      </c>
      <c r="AC626" s="72"/>
      <c r="AD626" s="72"/>
      <c r="AE626" s="72">
        <f t="shared" si="351"/>
        <v>0.5710628335699699</v>
      </c>
      <c r="AF626" s="72">
        <f t="shared" si="352"/>
        <v>0.28852083342765034</v>
      </c>
      <c r="AG626" s="72">
        <f t="shared" si="353"/>
        <v>0.49</v>
      </c>
      <c r="AH626" s="72">
        <f t="shared" si="354"/>
        <v>0.50845385553373867</v>
      </c>
      <c r="AI626" s="72">
        <f t="shared" si="355"/>
        <v>0.2389955057220961</v>
      </c>
      <c r="AJ626" s="72">
        <f>(AV626-Driver!$K$179)/(Driver!$L$179-Driver!$K$179)</f>
        <v>0.13657239545564417</v>
      </c>
      <c r="AK626" s="72">
        <f>(AW626-Driver!$K$180)/(Driver!$L$180-Driver!$K$180)</f>
        <v>0.21230051270163428</v>
      </c>
      <c r="AL626" s="72">
        <f>(AX626-Driver!$K$181)/(Driver!$L$181-Driver!$K$181)</f>
        <v>0.49282236134825769</v>
      </c>
      <c r="AM626" s="72">
        <f>(AY626-Driver!$K$182)/(Driver!$L$182-Driver!$K$182)</f>
        <v>4.0528466599128385E-2</v>
      </c>
      <c r="AN626" s="72">
        <f>(AZ626-Driver!$K$183)/(Driver!$L$183-Driver!$K$183)</f>
        <v>0.18737745098039216</v>
      </c>
      <c r="AO626" s="72"/>
      <c r="AP626" s="72"/>
      <c r="AQ626" s="72">
        <f>(BC626-Driver!$K$188)/(Driver!$L$188-Driver!$K$188)</f>
        <v>4.8937166430030085E-2</v>
      </c>
      <c r="AR626" s="72">
        <f>MIN((BD626-Driver!$K$189)/(Driver!$L$189-Driver!$K$189),100%)</f>
        <v>0.26147916657234971</v>
      </c>
      <c r="AS626" s="72">
        <f>(BE626-Driver!$K$190)/(Driver!$L$190-Driver!$K$190)</f>
        <v>1</v>
      </c>
      <c r="AT626" s="72">
        <f>(BF626-Driver!$K$191)/(Driver!$L$191-Driver!$K$191)</f>
        <v>1.546144466261363E-3</v>
      </c>
      <c r="AU626" s="72">
        <f>(BG626-Driver!$K$192)/(Driver!$L$192-Driver!$K$192)</f>
        <v>1.1004494277903907E-2</v>
      </c>
      <c r="AV626" s="70">
        <f t="shared" si="356"/>
        <v>2.8744403744403741</v>
      </c>
      <c r="AW626" s="70">
        <f t="shared" si="357"/>
        <v>22.562458758143816</v>
      </c>
      <c r="AX626" s="70">
        <f t="shared" si="358"/>
        <v>5.4354012521343193</v>
      </c>
      <c r="AY626" s="70">
        <f>IFERROR(Driver!$K$19/Data!BH626/Data!BI626*Data!BK626*Data!BL626,"")</f>
        <v>4.9618935644642398E-2</v>
      </c>
      <c r="AZ626" s="70">
        <f t="shared" si="359"/>
        <v>17.077438570364855</v>
      </c>
      <c r="BA626" s="70"/>
      <c r="BB626" s="70"/>
      <c r="BC626" s="70">
        <f t="shared" si="360"/>
        <v>25.384048432918274</v>
      </c>
      <c r="BD626" s="70">
        <f t="shared" si="361"/>
        <v>24.861265812083225</v>
      </c>
      <c r="BE626" s="70">
        <f t="shared" si="362"/>
        <v>1</v>
      </c>
      <c r="BF626" s="70">
        <f t="shared" si="363"/>
        <v>0.1746261551845833</v>
      </c>
      <c r="BG626" s="70">
        <f t="shared" si="364"/>
        <v>4.167003544456286E-2</v>
      </c>
      <c r="BH626" s="67">
        <f>MAX((CE626-Driver!$F$200)/(Driver!$G$200-Driver!$F$200)*$BI$1,1)</f>
        <v>5.4354012521343193</v>
      </c>
      <c r="BI626" s="67">
        <f>MAX($BI$1*(BY626-Driver!$F$201)/(Driver!$G$201-Driver!$F$201),1)</f>
        <v>8.7974683544303804</v>
      </c>
      <c r="BJ626" s="67">
        <f>(CB626-Driver!$F$206)/(Driver!$G$206-Driver!$F$206)*$BI$1</f>
        <v>2.3809523809523809</v>
      </c>
      <c r="BK626" s="67">
        <f>(CD626-Driver!$F$203)/(Driver!$G$203-Driver!$F$203)*$BI$1</f>
        <v>2.2935779816513766</v>
      </c>
      <c r="BL626" s="67">
        <f>MAX((CR626-Driver!$F$202)/(Driver!$G$202-Driver!$F$202)*$BI$1,1)</f>
        <v>5.1724137931034484</v>
      </c>
      <c r="BM626" s="67">
        <f>MAX((CH626-Driver!$F$204)/(Driver!$G$204-Driver!$F$204)*$BI$1,1)</f>
        <v>4.8290598290598288</v>
      </c>
      <c r="BN626" s="67">
        <f>(CI626-Driver!$F$205)/(Driver!$G$205-Driver!$F$205)*$BI$1</f>
        <v>1.9411764705882353</v>
      </c>
      <c r="BO626" s="67">
        <f>(CK626-Driver!$F$207)/(Driver!$G$207-Driver!$F$207)*$BI$1</f>
        <v>0.24819027921406411</v>
      </c>
      <c r="BP626" s="67">
        <f>(CM626-Driver!$F$208)/(Driver!$G$208-Driver!$F$208)*$BI$1</f>
        <v>0.67777777777777781</v>
      </c>
      <c r="BQ626" s="67">
        <f>(CL626-Driver!$F$209)/(Driver!$G$209-Driver!$F$209)*$BI$1</f>
        <v>1.09375</v>
      </c>
      <c r="BR626" s="28" t="s">
        <v>155</v>
      </c>
      <c r="BS626" s="8" t="s">
        <v>229</v>
      </c>
      <c r="BT626" s="9" t="s">
        <v>675</v>
      </c>
      <c r="BU626" s="10">
        <v>167</v>
      </c>
      <c r="BV626" s="9" t="s">
        <v>158</v>
      </c>
      <c r="BW626" s="10">
        <v>167</v>
      </c>
      <c r="BX626" s="10">
        <v>166.9</v>
      </c>
      <c r="BY626" s="10">
        <v>147</v>
      </c>
      <c r="BZ626" s="10">
        <v>153</v>
      </c>
      <c r="CA626" s="10">
        <v>127</v>
      </c>
      <c r="CB626" s="10">
        <v>79</v>
      </c>
      <c r="CC626" s="10">
        <v>110</v>
      </c>
      <c r="CD626" s="10">
        <v>14.4</v>
      </c>
      <c r="CE626" s="10">
        <v>1855</v>
      </c>
      <c r="CF626" s="10">
        <v>0.85</v>
      </c>
      <c r="CG626" s="10">
        <v>1579</v>
      </c>
      <c r="CH626" s="10">
        <v>214</v>
      </c>
      <c r="CI626" s="10">
        <v>66</v>
      </c>
      <c r="CJ626" s="10">
        <v>40</v>
      </c>
      <c r="CK626" s="10">
        <v>134</v>
      </c>
      <c r="CL626" s="10">
        <v>7</v>
      </c>
      <c r="CM626" s="10">
        <v>61</v>
      </c>
      <c r="CN626" s="10">
        <v>0.17499999999999999</v>
      </c>
      <c r="CO626" s="10">
        <v>73</v>
      </c>
      <c r="CP626" s="10">
        <v>63</v>
      </c>
      <c r="CQ626" s="10">
        <v>61</v>
      </c>
      <c r="CR626" s="10">
        <v>4</v>
      </c>
      <c r="CS626" s="10">
        <v>10</v>
      </c>
      <c r="CT626" s="9" t="s">
        <v>349</v>
      </c>
      <c r="CU626" s="10"/>
      <c r="CV626" s="10"/>
      <c r="CW626" s="10"/>
      <c r="CX626" t="e">
        <f>INDEX('Data_Price '!AG$2:AG$1266,MATCH(Data!$DN626,'Data_Price '!$AT$2:$AT$1266,0))</f>
        <v>#N/A</v>
      </c>
      <c r="CY626" t="e">
        <f>INDEX('Data_Price '!AH$2:AH$1266,MATCH(Data!$DN626,'Data_Price '!$AT$2:$AT$1266,0))</f>
        <v>#N/A</v>
      </c>
      <c r="CZ626" t="e">
        <f>INDEX('Data_Price '!AI$2:AI$1266,MATCH(Data!$DN626,'Data_Price '!$AT$2:$AT$1266,0))</f>
        <v>#N/A</v>
      </c>
      <c r="DA626" t="e">
        <f>INDEX('Data_Price '!AJ$2:AJ$1266,MATCH(Data!$DN626,'Data_Price '!$AT$2:$AT$1266,0))</f>
        <v>#N/A</v>
      </c>
      <c r="DB626" t="e">
        <f>INDEX('Data_Price '!AK$2:AK$1266,MATCH(Data!$DN626,'Data_Price '!$AT$2:$AT$1266,0))</f>
        <v>#N/A</v>
      </c>
      <c r="DC626" t="e">
        <f>INDEX('Data_Price '!AL$2:AL$1266,MATCH(Data!$DN626,'Data_Price '!$AT$2:$AT$1266,0))</f>
        <v>#N/A</v>
      </c>
      <c r="DD626" t="e">
        <f>INDEX('Data_Price '!AM$2:AM$1266,MATCH(Data!$DN626,'Data_Price '!$AT$2:$AT$1266,0))</f>
        <v>#N/A</v>
      </c>
      <c r="DE626" t="e">
        <f>INDEX('Data_Price '!AN$2:AN$1266,MATCH(Data!$DN626,'Data_Price '!$AT$2:$AT$1266,0))</f>
        <v>#N/A</v>
      </c>
      <c r="DF626" t="e">
        <f>INDEX('Data_Price '!AO$2:AO$1266,MATCH(Data!$DN626,'Data_Price '!$AT$2:$AT$1266,0))</f>
        <v>#N/A</v>
      </c>
      <c r="DG626" t="e">
        <f>INDEX('Data_Price '!AP$2:AP$1266,MATCH(Data!$DN626,'Data_Price '!$AT$2:$AT$1266,0))</f>
        <v>#N/A</v>
      </c>
      <c r="DH626" t="e">
        <f>INDEX('Data_Price '!AQ$2:AQ$1266,MATCH(Data!$DN626,'Data_Price '!$AT$2:$AT$1266,0))</f>
        <v>#N/A</v>
      </c>
      <c r="DI626" t="e">
        <f>INDEX('Data_Price '!AR$2:AR$1266,MATCH(Data!$DN626,'Data_Price '!$AT$2:$AT$1266,0))</f>
        <v>#N/A</v>
      </c>
      <c r="DJ626" s="89" t="e">
        <f t="shared" si="365"/>
        <v>#N/A</v>
      </c>
      <c r="DK626" s="89" t="e">
        <f t="shared" si="366"/>
        <v>#N/A</v>
      </c>
      <c r="DL626" s="89" t="e">
        <f t="shared" si="367"/>
        <v>#N/A</v>
      </c>
      <c r="DM626" s="219" t="str">
        <f t="shared" si="368"/>
        <v>Deacon 80</v>
      </c>
      <c r="DN626" s="89" t="str">
        <f t="shared" si="369"/>
        <v xml:space="preserve"> VölklDeacon 80167 Unisex</v>
      </c>
      <c r="DO626" s="221"/>
    </row>
    <row r="627" spans="2:119" ht="15.6" customHeight="1">
      <c r="B627" s="219" t="b">
        <f t="array" ref="B627">IF(OR(ISERROR(K627:P627)),FALSE,TRUE)</f>
        <v>1</v>
      </c>
      <c r="C627" s="43" t="b">
        <f>OR(BR627=Driver!$G$50,Data!BR855=Driver!$H$50)</f>
        <v>1</v>
      </c>
      <c r="D627" s="43" t="b">
        <f>OR(BV627=Driver!$G$51,BV627=Driver!$H$51)</f>
        <v>0</v>
      </c>
      <c r="E627" s="43" t="b">
        <f>AND(BX627&gt;Driver!$F$54,BX627&lt;Driver!$G$54)</f>
        <v>0</v>
      </c>
      <c r="F627" s="43" t="b">
        <f>CL627&gt;Driver!$F$56</f>
        <v>1</v>
      </c>
      <c r="G627" s="43" t="b">
        <f>AND(CB627&gt;Driver!$F$55,CB627&lt;Driver!$G$55)</f>
        <v>0</v>
      </c>
      <c r="H627" s="43" t="b">
        <f t="shared" si="333"/>
        <v>0</v>
      </c>
      <c r="I627" s="43">
        <f t="shared" si="334"/>
        <v>0</v>
      </c>
      <c r="J627" s="43" t="b">
        <f t="array" ref="J627">NOT(OR(($H$9:$H$1273=TRUE)*($I$9:$I$1273&gt;0)*($BT$9:$BT$1273=BT627)*($K$9:$K$1273&gt;K627)))</f>
        <v>1</v>
      </c>
      <c r="K627" s="72">
        <f t="shared" si="335"/>
        <v>0.83591088619844589</v>
      </c>
      <c r="L627" s="72">
        <f t="shared" si="336"/>
        <v>0.85560252287425709</v>
      </c>
      <c r="M627" s="72">
        <f t="shared" si="337"/>
        <v>0.81621924952263469</v>
      </c>
      <c r="N627" s="72">
        <f t="shared" si="338"/>
        <v>0.80870098068645646</v>
      </c>
      <c r="O627" s="72">
        <f t="shared" si="339"/>
        <v>0.67130036017068384</v>
      </c>
      <c r="P627" s="72">
        <f t="shared" si="340"/>
        <v>0.96865640771076367</v>
      </c>
      <c r="Q627" s="72"/>
      <c r="R627" s="72"/>
      <c r="S627" s="72">
        <f t="shared" si="341"/>
        <v>0.43777103624960634</v>
      </c>
      <c r="T627" s="72">
        <f t="shared" si="342"/>
        <v>0.46767307165726035</v>
      </c>
      <c r="U627" s="72">
        <f t="shared" si="343"/>
        <v>0.89819417348391217</v>
      </c>
      <c r="V627" s="72">
        <f t="shared" si="344"/>
        <v>0.52111099928296023</v>
      </c>
      <c r="W627" s="72">
        <f t="shared" si="345"/>
        <v>0.82908300869044049</v>
      </c>
      <c r="X627" s="72">
        <f t="shared" si="346"/>
        <v>0.14439747712574291</v>
      </c>
      <c r="Y627" s="72">
        <f t="shared" si="347"/>
        <v>0.18378075047736531</v>
      </c>
      <c r="Z627" s="72">
        <f t="shared" si="348"/>
        <v>0.19129901931354348</v>
      </c>
      <c r="AA627" s="72">
        <f t="shared" si="349"/>
        <v>0.32869963982931616</v>
      </c>
      <c r="AB627" s="72">
        <f t="shared" si="350"/>
        <v>3.1343592289236361E-2</v>
      </c>
      <c r="AC627" s="72"/>
      <c r="AD627" s="72"/>
      <c r="AE627" s="72">
        <f t="shared" si="351"/>
        <v>0.56222896375039366</v>
      </c>
      <c r="AF627" s="72">
        <f t="shared" si="352"/>
        <v>0.53232692834273965</v>
      </c>
      <c r="AG627" s="72">
        <f t="shared" si="353"/>
        <v>0.10180582651608783</v>
      </c>
      <c r="AH627" s="72">
        <f t="shared" si="354"/>
        <v>0.47888900071703977</v>
      </c>
      <c r="AI627" s="72">
        <f t="shared" si="355"/>
        <v>0.17091699130955948</v>
      </c>
      <c r="AJ627" s="72">
        <f>(AV627-Driver!$K$179)/(Driver!$L$179-Driver!$K$179)</f>
        <v>0.10982193215695753</v>
      </c>
      <c r="AK627" s="72">
        <f>(AW627-Driver!$K$180)/(Driver!$L$180-Driver!$K$180)</f>
        <v>0.22802469911121734</v>
      </c>
      <c r="AL627" s="72">
        <f>(AX627-Driver!$K$181)/(Driver!$L$181-Driver!$K$181)</f>
        <v>0.29298678302662368</v>
      </c>
      <c r="AM627" s="72">
        <f>(AY627-Driver!$K$182)/(Driver!$L$182-Driver!$K$182)</f>
        <v>0.11868538126773018</v>
      </c>
      <c r="AN627" s="72">
        <f>(AZ627-Driver!$K$183)/(Driver!$L$183-Driver!$K$183)</f>
        <v>0.22287581699346407</v>
      </c>
      <c r="AO627" s="72"/>
      <c r="AP627" s="72"/>
      <c r="AQ627" s="72">
        <f>(BC627-Driver!$K$188)/(Driver!$L$188-Driver!$K$188)</f>
        <v>5.7771036249606299E-2</v>
      </c>
      <c r="AR627" s="72">
        <f>MIN((BD627-Driver!$K$189)/(Driver!$L$189-Driver!$K$189),100%)</f>
        <v>1.7673071657260439E-2</v>
      </c>
      <c r="AS627" s="72">
        <f>(BE627-Driver!$K$190)/(Driver!$L$190-Driver!$K$190)</f>
        <v>0.40819417348391218</v>
      </c>
      <c r="AT627" s="72">
        <f>(BF627-Driver!$K$191)/(Driver!$L$191-Driver!$K$191)</f>
        <v>3.1110999282960215E-2</v>
      </c>
      <c r="AU627" s="72">
        <f>(BG627-Driver!$K$192)/(Driver!$L$192-Driver!$K$192)</f>
        <v>7.9083008690440521E-2</v>
      </c>
      <c r="AV627" s="70">
        <f t="shared" si="356"/>
        <v>2.3114231447564779</v>
      </c>
      <c r="AW627" s="70">
        <f t="shared" si="357"/>
        <v>24.094920054223142</v>
      </c>
      <c r="AX627" s="70">
        <f t="shared" si="358"/>
        <v>3.6368810472396129</v>
      </c>
      <c r="AY627" s="70">
        <f>IFERROR(Driver!$K$19/Data!BH627/Data!BI627*Data!BK627*Data!BL627,"")</f>
        <v>0.14530631897161392</v>
      </c>
      <c r="AZ627" s="70">
        <f t="shared" si="359"/>
        <v>20.312732688011916</v>
      </c>
      <c r="BA627" s="70"/>
      <c r="BB627" s="70"/>
      <c r="BC627" s="70">
        <f t="shared" si="360"/>
        <v>29.966238120399115</v>
      </c>
      <c r="BD627" s="70">
        <f t="shared" si="361"/>
        <v>3.284858410935295</v>
      </c>
      <c r="BE627" s="70">
        <f t="shared" si="362"/>
        <v>0.40829974498230437</v>
      </c>
      <c r="BF627" s="70">
        <f t="shared" si="363"/>
        <v>3.5137688018703557</v>
      </c>
      <c r="BG627" s="70">
        <f t="shared" si="364"/>
        <v>0.29945872040755173</v>
      </c>
      <c r="BH627" s="67">
        <f>MAX((CE627-Driver!$F$200)/(Driver!$G$200-Driver!$F$200)*$BI$1,1)</f>
        <v>3.6368810472396129</v>
      </c>
      <c r="BI627" s="67">
        <f>MAX($BI$1*(BY627-Driver!$F$201)/(Driver!$G$201-Driver!$F$201),1)</f>
        <v>7.8481012658227849</v>
      </c>
      <c r="BJ627" s="67">
        <f>(CB627-Driver!$F$206)/(Driver!$G$206-Driver!$F$206)*$BI$1</f>
        <v>4.6031746031746028</v>
      </c>
      <c r="BK627" s="67">
        <f>(CD627-Driver!$F$203)/(Driver!$G$203-Driver!$F$203)*$BI$1</f>
        <v>3.1651376146788994</v>
      </c>
      <c r="BL627" s="67">
        <f>MAX((CR627-Driver!$F$202)/(Driver!$G$202-Driver!$F$202)*$BI$1,1)</f>
        <v>6.5517241379310338</v>
      </c>
      <c r="BM627" s="67">
        <f>MAX((CH627-Driver!$F$204)/(Driver!$G$204-Driver!$F$204)*$BI$1,1)</f>
        <v>2.0085470085470085</v>
      </c>
      <c r="BN627" s="67">
        <f>(CI627-Driver!$F$205)/(Driver!$G$205-Driver!$F$205)*$BI$1</f>
        <v>2.5882352941176472</v>
      </c>
      <c r="BO627" s="67">
        <f>(CK627-Driver!$F$207)/(Driver!$G$207-Driver!$F$207)*$BI$1</f>
        <v>1.6856256463288521</v>
      </c>
      <c r="BP627" s="67">
        <f>(CM627-Driver!$F$208)/(Driver!$G$208-Driver!$F$208)*$BI$1</f>
        <v>1.4333333333333333</v>
      </c>
      <c r="BQ627" s="67">
        <f>(CL627-Driver!$F$209)/(Driver!$G$209-Driver!$F$209)*$BI$1</f>
        <v>2.1875</v>
      </c>
      <c r="BR627" s="28" t="s">
        <v>155</v>
      </c>
      <c r="BS627" s="8" t="s">
        <v>208</v>
      </c>
      <c r="BT627" s="9" t="s">
        <v>698</v>
      </c>
      <c r="BU627" s="10">
        <v>172</v>
      </c>
      <c r="BV627" s="9" t="s">
        <v>163</v>
      </c>
      <c r="BW627" s="10">
        <v>172</v>
      </c>
      <c r="BX627" s="10">
        <v>172</v>
      </c>
      <c r="BY627" s="10">
        <v>132</v>
      </c>
      <c r="BZ627" s="10">
        <v>144</v>
      </c>
      <c r="CA627" s="10">
        <v>131</v>
      </c>
      <c r="CB627" s="10">
        <v>93</v>
      </c>
      <c r="CC627" s="10">
        <v>116</v>
      </c>
      <c r="CD627" s="10">
        <v>16.3</v>
      </c>
      <c r="CE627" s="10">
        <v>1539</v>
      </c>
      <c r="CF627" s="10">
        <v>1.18</v>
      </c>
      <c r="CG627" s="10">
        <v>1809</v>
      </c>
      <c r="CH627" s="10">
        <v>148</v>
      </c>
      <c r="CI627" s="10">
        <v>77</v>
      </c>
      <c r="CJ627" s="10">
        <v>47</v>
      </c>
      <c r="CK627" s="10">
        <v>273</v>
      </c>
      <c r="CL627" s="10">
        <v>14</v>
      </c>
      <c r="CM627" s="10">
        <v>129</v>
      </c>
      <c r="CN627" s="10">
        <v>0.29799999999999999</v>
      </c>
      <c r="CO627" s="10">
        <v>144</v>
      </c>
      <c r="CP627" s="10">
        <v>133</v>
      </c>
      <c r="CQ627" s="10">
        <v>129</v>
      </c>
      <c r="CR627" s="10">
        <v>8</v>
      </c>
      <c r="CS627" s="10">
        <v>9.6</v>
      </c>
      <c r="CT627" s="9" t="s">
        <v>188</v>
      </c>
      <c r="CU627" s="9" t="s">
        <v>185</v>
      </c>
      <c r="CV627" s="10"/>
      <c r="CW627" s="10"/>
      <c r="CX627" t="str">
        <f>INDEX('Data_Price '!AG$2:AG$1266,MATCH(Data!$DN627,'Data_Price '!$AT$2:$AT$1266,0))</f>
        <v>Line Pandora 94 Skis 2022</v>
      </c>
      <c r="CY627" t="str">
        <f>INDEX('Data_Price '!AH$2:AH$1266,MATCH(Data!$DN627,'Data_Price '!$AT$2:$AT$1266,0))</f>
        <v>! OutdoorXL.com</v>
      </c>
      <c r="CZ627">
        <f>INDEX('Data_Price '!AI$2:AI$1266,MATCH(Data!$DN627,'Data_Price '!$AT$2:$AT$1266,0))</f>
        <v>374.95</v>
      </c>
      <c r="DA627" t="str">
        <f>INDEX('Data_Price '!AJ$2:AJ$1266,MATCH(Data!$DN627,'Data_Price '!$AT$2:$AT$1266,0))</f>
        <v>https://tinyurl.com/y8ymr9cv</v>
      </c>
      <c r="DB627" t="str">
        <f>INDEX('Data_Price '!AK$2:AK$1266,MATCH(Data!$DN627,'Data_Price '!$AT$2:$AT$1266,0))</f>
        <v>Line Pandora 94 Skis 2022</v>
      </c>
      <c r="DC627" t="str">
        <f>INDEX('Data_Price '!AL$2:AL$1266,MATCH(Data!$DN627,'Data_Price '!$AT$2:$AT$1266,0))</f>
        <v>BlueZone Sports</v>
      </c>
      <c r="DD627">
        <f>INDEX('Data_Price '!AM$2:AM$1266,MATCH(Data!$DN627,'Data_Price '!$AT$2:$AT$1266,0))</f>
        <v>399.96</v>
      </c>
      <c r="DE627" t="str">
        <f>INDEX('Data_Price '!AN$2:AN$1266,MATCH(Data!$DN627,'Data_Price '!$AT$2:$AT$1266,0))</f>
        <v>https://tinyurl.com/y7ww7t3x</v>
      </c>
      <c r="DF627" t="str">
        <f>INDEX('Data_Price '!AO$2:AO$1266,MATCH(Data!$DN627,'Data_Price '!$AT$2:$AT$1266,0))</f>
        <v>'22 Line Pandora 94 Skis 172cm</v>
      </c>
      <c r="DG627" t="str">
        <f>INDEX('Data_Price '!AP$2:AP$1266,MATCH(Data!$DN627,'Data_Price '!$AT$2:$AT$1266,0))</f>
        <v>Al's Ski Equipment Barn</v>
      </c>
      <c r="DH627">
        <f>INDEX('Data_Price '!AQ$2:AQ$1266,MATCH(Data!$DN627,'Data_Price '!$AT$2:$AT$1266,0))</f>
        <v>469.95</v>
      </c>
      <c r="DI627" t="str">
        <f>INDEX('Data_Price '!AR$2:AR$1266,MATCH(Data!$DN627,'Data_Price '!$AT$2:$AT$1266,0))</f>
        <v>https://tinyurl.com/ybd9opry</v>
      </c>
      <c r="DJ627" s="89" t="str">
        <f t="shared" si="365"/>
        <v>https://tinyurl.com/y8ymr9cv</v>
      </c>
      <c r="DK627" s="89" t="str">
        <f t="shared" si="366"/>
        <v>https://tinyurl.com/y7ww7t3x</v>
      </c>
      <c r="DL627" s="89" t="str">
        <f t="shared" si="367"/>
        <v>https://tinyurl.com/ybd9opry</v>
      </c>
      <c r="DM627" s="219" t="str">
        <f t="shared" si="368"/>
        <v>Pandora 94</v>
      </c>
      <c r="DN627" s="89" t="str">
        <f t="shared" si="369"/>
        <v xml:space="preserve"> LinePandora 94172 Women's</v>
      </c>
      <c r="DO627" s="221" t="s">
        <v>699</v>
      </c>
    </row>
    <row r="628" spans="2:119" ht="15.6" customHeight="1">
      <c r="B628" s="219" t="b">
        <f t="array" ref="B628">IF(OR(ISERROR(K628:P628)),FALSE,TRUE)</f>
        <v>1</v>
      </c>
      <c r="C628" s="43" t="b">
        <f>OR(BR628=Driver!$G$50,Data!BR1078=Driver!$H$50)</f>
        <v>1</v>
      </c>
      <c r="D628" s="43" t="b">
        <f>OR(BV628=Driver!$G$51,BV628=Driver!$H$51)</f>
        <v>1</v>
      </c>
      <c r="E628" s="43" t="b">
        <f>AND(BX628&gt;Driver!$F$54,BX628&lt;Driver!$G$54)</f>
        <v>0</v>
      </c>
      <c r="F628" s="43" t="b">
        <f>CL628&gt;Driver!$F$56</f>
        <v>1</v>
      </c>
      <c r="G628" s="43" t="b">
        <f>AND(CB628&gt;Driver!$F$55,CB628&lt;Driver!$G$55)</f>
        <v>0</v>
      </c>
      <c r="H628" s="43" t="b">
        <f t="shared" si="333"/>
        <v>0</v>
      </c>
      <c r="I628" s="43">
        <f t="shared" si="334"/>
        <v>0</v>
      </c>
      <c r="J628" s="43" t="b">
        <f t="array" ref="J628">NOT(OR(($H$9:$H$1273=TRUE)*($I$9:$I$1273&gt;0)*($BT$9:$BT$1273=BT628)*($K$9:$K$1273&gt;K628)))</f>
        <v>1</v>
      </c>
      <c r="K628" s="72">
        <f t="shared" si="335"/>
        <v>0.7429354345034096</v>
      </c>
      <c r="L628" s="72">
        <f t="shared" si="336"/>
        <v>0.83781460709109634</v>
      </c>
      <c r="M628" s="72">
        <f t="shared" si="337"/>
        <v>0.64805626191572285</v>
      </c>
      <c r="N628" s="72">
        <f t="shared" si="338"/>
        <v>0.46341545611806334</v>
      </c>
      <c r="O628" s="72">
        <f t="shared" si="339"/>
        <v>0.61366627328758128</v>
      </c>
      <c r="P628" s="72">
        <f t="shared" si="340"/>
        <v>0.86708705634152394</v>
      </c>
      <c r="Q628" s="72"/>
      <c r="R628" s="72"/>
      <c r="S628" s="72">
        <f t="shared" si="341"/>
        <v>0.45924450153406859</v>
      </c>
      <c r="T628" s="72">
        <f t="shared" si="342"/>
        <v>0.66429787654574457</v>
      </c>
      <c r="U628" s="72">
        <f t="shared" si="343"/>
        <v>0.54447952586222004</v>
      </c>
      <c r="V628" s="72">
        <f t="shared" si="344"/>
        <v>0.58870567465508106</v>
      </c>
      <c r="W628" s="72">
        <f t="shared" si="345"/>
        <v>0.77166305796135903</v>
      </c>
      <c r="X628" s="72">
        <f t="shared" si="346"/>
        <v>0.16218539290890371</v>
      </c>
      <c r="Y628" s="72">
        <f t="shared" si="347"/>
        <v>0.35194373808427715</v>
      </c>
      <c r="Z628" s="72">
        <f t="shared" si="348"/>
        <v>0.53658454388193666</v>
      </c>
      <c r="AA628" s="72">
        <f t="shared" si="349"/>
        <v>0.38633372671241867</v>
      </c>
      <c r="AB628" s="72">
        <f t="shared" si="350"/>
        <v>0.13291294365847606</v>
      </c>
      <c r="AC628" s="72"/>
      <c r="AD628" s="72"/>
      <c r="AE628" s="72">
        <f t="shared" si="351"/>
        <v>0.54075549846593141</v>
      </c>
      <c r="AF628" s="72">
        <f t="shared" si="352"/>
        <v>0.33570212345425549</v>
      </c>
      <c r="AG628" s="72">
        <f t="shared" si="353"/>
        <v>0.45552047413777996</v>
      </c>
      <c r="AH628" s="72">
        <f t="shared" si="354"/>
        <v>0.41129432534491894</v>
      </c>
      <c r="AI628" s="72">
        <f t="shared" si="355"/>
        <v>0.22833694203864091</v>
      </c>
      <c r="AJ628" s="72">
        <f>(AV628-Driver!$K$179)/(Driver!$L$179-Driver!$K$179)</f>
        <v>0.41640480219160414</v>
      </c>
      <c r="AK628" s="72">
        <f>(AW628-Driver!$K$180)/(Driver!$L$180-Driver!$K$180)</f>
        <v>0.41279214016627896</v>
      </c>
      <c r="AL628" s="72">
        <f>(AX628-Driver!$K$181)/(Driver!$L$181-Driver!$K$181)</f>
        <v>0.63827230759501685</v>
      </c>
      <c r="AM628" s="72">
        <f>(AY628-Driver!$K$182)/(Driver!$L$182-Driver!$K$182)</f>
        <v>6.1051294384627711E-2</v>
      </c>
      <c r="AN628" s="72">
        <f>(AZ628-Driver!$K$183)/(Driver!$L$183-Driver!$K$183)</f>
        <v>0.38713235294117648</v>
      </c>
      <c r="AO628" s="72"/>
      <c r="AP628" s="72"/>
      <c r="AQ628" s="72">
        <f>(BC628-Driver!$K$188)/(Driver!$L$188-Driver!$K$188)</f>
        <v>7.9244501534068604E-2</v>
      </c>
      <c r="AR628" s="72">
        <f>MIN((BD628-Driver!$K$189)/(Driver!$L$189-Driver!$K$189),100%)</f>
        <v>0.21429787654574456</v>
      </c>
      <c r="AS628" s="72">
        <f>(BE628-Driver!$K$190)/(Driver!$L$190-Driver!$K$190)</f>
        <v>5.4479525862220039E-2</v>
      </c>
      <c r="AT628" s="72">
        <f>(BF628-Driver!$K$191)/(Driver!$L$191-Driver!$K$191)</f>
        <v>9.8705674655081066E-2</v>
      </c>
      <c r="AU628" s="72">
        <f>(BG628-Driver!$K$192)/(Driver!$L$192-Driver!$K$192)</f>
        <v>2.1663057961359089E-2</v>
      </c>
      <c r="AV628" s="70">
        <f t="shared" si="356"/>
        <v>8.7640754307420963</v>
      </c>
      <c r="AW628" s="70">
        <f t="shared" si="357"/>
        <v>42.102144391117015</v>
      </c>
      <c r="AX628" s="70">
        <f t="shared" si="358"/>
        <v>6.7444507683551516</v>
      </c>
      <c r="AY628" s="70">
        <f>IFERROR(Driver!$K$19/Data!BH628/Data!BI628*Data!BK628*Data!BL628,"")</f>
        <v>7.474500027489589E-2</v>
      </c>
      <c r="AZ628" s="70">
        <f t="shared" si="359"/>
        <v>35.28294862248697</v>
      </c>
      <c r="BA628" s="70"/>
      <c r="BB628" s="70"/>
      <c r="BC628" s="70">
        <f t="shared" si="360"/>
        <v>41.104673844558498</v>
      </c>
      <c r="BD628" s="70">
        <f t="shared" si="361"/>
        <v>20.685805245027705</v>
      </c>
      <c r="BE628" s="70">
        <f t="shared" si="362"/>
        <v>5.4648196072519965E-2</v>
      </c>
      <c r="BF628" s="70">
        <f t="shared" si="363"/>
        <v>11.148112505680611</v>
      </c>
      <c r="BG628" s="70">
        <f t="shared" si="364"/>
        <v>8.2030156978680865E-2</v>
      </c>
      <c r="BH628" s="67">
        <f>MAX((CE628-Driver!$F$200)/(Driver!$G$200-Driver!$F$200)*$BI$1,1)</f>
        <v>6.7444507683551516</v>
      </c>
      <c r="BI628" s="67">
        <f>MAX($BI$1*(BY628-Driver!$F$201)/(Driver!$G$201-Driver!$F$201),1)</f>
        <v>7.4050632911392409</v>
      </c>
      <c r="BJ628" s="67">
        <f>(CB628-Driver!$F$206)/(Driver!$G$206-Driver!$F$206)*$BI$1</f>
        <v>5.3968253968253963</v>
      </c>
      <c r="BK628" s="67">
        <f>(CD628-Driver!$F$203)/(Driver!$G$203-Driver!$F$203)*$BI$1</f>
        <v>2.7064220183486243</v>
      </c>
      <c r="BL628" s="67">
        <f>MAX((CR628-Driver!$F$202)/(Driver!$G$202-Driver!$F$202)*$BI$1,1)</f>
        <v>6.8965517241379315</v>
      </c>
      <c r="BM628" s="67">
        <f>MAX((CH628-Driver!$F$204)/(Driver!$G$204-Driver!$F$204)*$BI$1,1)</f>
        <v>6.4957264957264957</v>
      </c>
      <c r="BN628" s="67">
        <f>(CI628-Driver!$F$205)/(Driver!$G$205-Driver!$F$205)*$BI$1</f>
        <v>4.7647058823529411</v>
      </c>
      <c r="BO628" s="67">
        <f>(CK628-Driver!$F$207)/(Driver!$G$207-Driver!$F$207)*$BI$1</f>
        <v>1.9131334022750777</v>
      </c>
      <c r="BP628" s="67">
        <f>(CM628-Driver!$F$208)/(Driver!$G$208-Driver!$F$208)*$BI$1</f>
        <v>2.9222222222222221</v>
      </c>
      <c r="BQ628" s="67">
        <f>(CL628-Driver!$F$209)/(Driver!$G$209-Driver!$F$209)*$BI$1</f>
        <v>3.59375</v>
      </c>
      <c r="BR628" s="28" t="s">
        <v>155</v>
      </c>
      <c r="BS628" s="8" t="s">
        <v>174</v>
      </c>
      <c r="BT628" s="9" t="s">
        <v>544</v>
      </c>
      <c r="BU628" s="10">
        <v>181</v>
      </c>
      <c r="BV628" s="9" t="s">
        <v>158</v>
      </c>
      <c r="BW628" s="10">
        <v>181</v>
      </c>
      <c r="BX628" s="10">
        <v>180.4</v>
      </c>
      <c r="BY628" s="10">
        <v>125</v>
      </c>
      <c r="BZ628" s="10">
        <v>144</v>
      </c>
      <c r="CA628" s="10">
        <v>136</v>
      </c>
      <c r="CB628" s="10">
        <v>98</v>
      </c>
      <c r="CC628" s="10">
        <v>119</v>
      </c>
      <c r="CD628" s="10">
        <v>15.3</v>
      </c>
      <c r="CE628" s="10">
        <v>2085</v>
      </c>
      <c r="CF628" s="10">
        <v>0.96</v>
      </c>
      <c r="CG628" s="10">
        <v>2011</v>
      </c>
      <c r="CH628" s="10">
        <v>253</v>
      </c>
      <c r="CI628" s="10">
        <v>114</v>
      </c>
      <c r="CJ628" s="10">
        <v>55</v>
      </c>
      <c r="CK628" s="10">
        <v>295</v>
      </c>
      <c r="CL628" s="10">
        <v>23</v>
      </c>
      <c r="CM628" s="10">
        <v>263</v>
      </c>
      <c r="CN628" s="10">
        <v>0.41899999999999998</v>
      </c>
      <c r="CO628" s="10">
        <v>208</v>
      </c>
      <c r="CP628" s="10">
        <v>156</v>
      </c>
      <c r="CQ628" s="10">
        <v>87</v>
      </c>
      <c r="CR628" s="10">
        <v>9</v>
      </c>
      <c r="CS628" s="10">
        <v>9.8000000000000007</v>
      </c>
      <c r="CT628" s="9" t="s">
        <v>188</v>
      </c>
      <c r="CU628" s="10"/>
      <c r="CV628" s="10"/>
      <c r="CW628" s="10"/>
      <c r="CX628" t="str">
        <f>INDEX('Data_Price '!AG$2:AG$1266,MATCH(Data!$DN628,'Data_Price '!$AT$2:$AT$1266,0))</f>
        <v>Salomon QST Lumen 99 - Women's Purple/Light Pink / 181</v>
      </c>
      <c r="CY628" t="str">
        <f>INDEX('Data_Price '!AH$2:AH$1266,MATCH(Data!$DN628,'Data_Price '!$AT$2:$AT$1266,0))</f>
        <v>Gravity Coalition</v>
      </c>
      <c r="CZ628">
        <f>INDEX('Data_Price '!AI$2:AI$1266,MATCH(Data!$DN628,'Data_Price '!$AT$2:$AT$1266,0))</f>
        <v>459.95</v>
      </c>
      <c r="DA628" t="str">
        <f>INDEX('Data_Price '!AJ$2:AJ$1266,MATCH(Data!$DN628,'Data_Price '!$AT$2:$AT$1266,0))</f>
        <v>https://tinyurl.com/y8dynrcq</v>
      </c>
      <c r="DB628" t="str">
        <f>INDEX('Data_Price '!AK$2:AK$1266,MATCH(Data!$DN628,'Data_Price '!$AT$2:$AT$1266,0))</f>
        <v>Salomon QST 99 Dark Blue/Beige / 181cm</v>
      </c>
      <c r="DC628" t="str">
        <f>INDEX('Data_Price '!AL$2:AL$1266,MATCH(Data!$DN628,'Data_Price '!$AT$2:$AT$1266,0))</f>
        <v>Sundance Ski and Board Shop</v>
      </c>
      <c r="DD628">
        <f>INDEX('Data_Price '!AM$2:AM$1266,MATCH(Data!$DN628,'Data_Price '!$AT$2:$AT$1266,0))</f>
        <v>481.02</v>
      </c>
      <c r="DE628" t="str">
        <f>INDEX('Data_Price '!AN$2:AN$1266,MATCH(Data!$DN628,'Data_Price '!$AT$2:$AT$1266,0))</f>
        <v>https://tinyurl.com/ybvgwvxl</v>
      </c>
      <c r="DF628" t="str">
        <f>INDEX('Data_Price '!AO$2:AO$1266,MATCH(Data!$DN628,'Data_Price '!$AT$2:$AT$1266,0))</f>
        <v>Salomon QST 99 Skis</v>
      </c>
      <c r="DG628" t="str">
        <f>INDEX('Data_Price '!AP$2:AP$1266,MATCH(Data!$DN628,'Data_Price '!$AT$2:$AT$1266,0))</f>
        <v>Powder7 Ski Shop</v>
      </c>
      <c r="DH628">
        <f>INDEX('Data_Price '!AQ$2:AQ$1266,MATCH(Data!$DN628,'Data_Price '!$AT$2:$AT$1266,0))</f>
        <v>559.92999999999995</v>
      </c>
      <c r="DI628" t="str">
        <f>INDEX('Data_Price '!AR$2:AR$1266,MATCH(Data!$DN628,'Data_Price '!$AT$2:$AT$1266,0))</f>
        <v>https://tinyurl.com/yd2jnhhj</v>
      </c>
      <c r="DJ628" s="89" t="str">
        <f t="shared" si="365"/>
        <v>https://tinyurl.com/y8dynrcq</v>
      </c>
      <c r="DK628" s="89" t="str">
        <f t="shared" si="366"/>
        <v>https://tinyurl.com/ybvgwvxl</v>
      </c>
      <c r="DL628" s="89" t="str">
        <f t="shared" si="367"/>
        <v>https://tinyurl.com/yd2jnhhj</v>
      </c>
      <c r="DM628" s="219" t="str">
        <f t="shared" si="368"/>
        <v>QST 99</v>
      </c>
      <c r="DN628" s="89" t="str">
        <f t="shared" si="369"/>
        <v xml:space="preserve"> SalomonQST 99181 Unisex</v>
      </c>
      <c r="DO628" s="221" t="s">
        <v>176</v>
      </c>
    </row>
    <row r="629" spans="2:119" ht="15.6" customHeight="1">
      <c r="B629" s="219" t="b">
        <f t="array" ref="B629">IF(OR(ISERROR(K629:P629)),FALSE,TRUE)</f>
        <v>1</v>
      </c>
      <c r="C629" s="43" t="b">
        <f>OR(BR629=Driver!$G$50,Data!BR718=Driver!$H$50)</f>
        <v>1</v>
      </c>
      <c r="D629" s="43" t="b">
        <f>OR(BV629=Driver!$G$51,BV629=Driver!$H$51)</f>
        <v>1</v>
      </c>
      <c r="E629" s="43" t="b">
        <f>AND(BX629&gt;Driver!$F$54,BX629&lt;Driver!$G$54)</f>
        <v>0</v>
      </c>
      <c r="F629" s="43" t="b">
        <f>CL629&gt;Driver!$F$56</f>
        <v>1</v>
      </c>
      <c r="G629" s="43" t="b">
        <f>AND(CB629&gt;Driver!$F$55,CB629&lt;Driver!$G$55)</f>
        <v>1</v>
      </c>
      <c r="H629" s="43" t="b">
        <f t="shared" si="333"/>
        <v>0</v>
      </c>
      <c r="I629" s="43">
        <f t="shared" si="334"/>
        <v>0</v>
      </c>
      <c r="J629" s="43" t="b">
        <f t="array" ref="J629">NOT(OR(($H$9:$H$1273=TRUE)*($I$9:$I$1273&gt;0)*($BT$9:$BT$1273=BT629)*($K$9:$K$1273&gt;K629)))</f>
        <v>1</v>
      </c>
      <c r="K629" s="72">
        <f t="shared" si="335"/>
        <v>0.77397133526383166</v>
      </c>
      <c r="L629" s="72">
        <f t="shared" si="336"/>
        <v>0.87657054940033796</v>
      </c>
      <c r="M629" s="72">
        <f t="shared" si="337"/>
        <v>0.67137212112732536</v>
      </c>
      <c r="N629" s="72">
        <f t="shared" si="338"/>
        <v>0.54372912208909996</v>
      </c>
      <c r="O629" s="72">
        <f t="shared" si="339"/>
        <v>0.67478711305592731</v>
      </c>
      <c r="P629" s="72">
        <f t="shared" si="340"/>
        <v>0.79560012823694881</v>
      </c>
      <c r="Q629" s="72"/>
      <c r="R629" s="72"/>
      <c r="S629" s="72">
        <f t="shared" si="341"/>
        <v>0.54412441392780353</v>
      </c>
      <c r="T629" s="72">
        <f t="shared" si="342"/>
        <v>0.47870376131008407</v>
      </c>
      <c r="U629" s="72">
        <f t="shared" si="343"/>
        <v>0.52109567337574259</v>
      </c>
      <c r="V629" s="72">
        <f t="shared" si="344"/>
        <v>0.59485638870399982</v>
      </c>
      <c r="W629" s="72">
        <f t="shared" si="345"/>
        <v>0.78530635958446782</v>
      </c>
      <c r="X629" s="72">
        <f t="shared" si="346"/>
        <v>0.12342945059966204</v>
      </c>
      <c r="Y629" s="72">
        <f t="shared" si="347"/>
        <v>0.32862787887267469</v>
      </c>
      <c r="Z629" s="72">
        <f t="shared" si="348"/>
        <v>0.45627087791090004</v>
      </c>
      <c r="AA629" s="72">
        <f t="shared" si="349"/>
        <v>0.32521288694407274</v>
      </c>
      <c r="AB629" s="72">
        <f t="shared" si="350"/>
        <v>0.20439987176305119</v>
      </c>
      <c r="AC629" s="72"/>
      <c r="AD629" s="72"/>
      <c r="AE629" s="72">
        <f t="shared" si="351"/>
        <v>0.45587558607219647</v>
      </c>
      <c r="AF629" s="72">
        <f t="shared" si="352"/>
        <v>0.52129623868991593</v>
      </c>
      <c r="AG629" s="72">
        <f t="shared" si="353"/>
        <v>0.47890432662425736</v>
      </c>
      <c r="AH629" s="72">
        <f t="shared" si="354"/>
        <v>0.40514361129600018</v>
      </c>
      <c r="AI629" s="72">
        <f t="shared" si="355"/>
        <v>0.21469364041553216</v>
      </c>
      <c r="AJ629" s="72">
        <f>(AV629-Driver!$K$179)/(Driver!$L$179-Driver!$K$179)</f>
        <v>0.37764885988236246</v>
      </c>
      <c r="AK629" s="72">
        <f>(AW629-Driver!$K$180)/(Driver!$L$180-Driver!$K$180)</f>
        <v>0.47299468542640422</v>
      </c>
      <c r="AL629" s="72">
        <f>(AX629-Driver!$K$181)/(Driver!$L$181-Driver!$K$181)</f>
        <v>0.55795864162398023</v>
      </c>
      <c r="AM629" s="72">
        <f>(AY629-Driver!$K$182)/(Driver!$L$182-Driver!$K$182)</f>
        <v>0.12217213415297362</v>
      </c>
      <c r="AN629" s="72">
        <f>(AZ629-Driver!$K$183)/(Driver!$L$183-Driver!$K$183)</f>
        <v>0.45861928104575161</v>
      </c>
      <c r="AO629" s="72"/>
      <c r="AP629" s="72"/>
      <c r="AQ629" s="72">
        <f>(BC629-Driver!$K$188)/(Driver!$L$188-Driver!$K$188)</f>
        <v>0.16412441392780353</v>
      </c>
      <c r="AR629" s="72">
        <f>MIN((BD629-Driver!$K$189)/(Driver!$L$189-Driver!$K$189),100%)</f>
        <v>2.8703761310084109E-2</v>
      </c>
      <c r="AS629" s="72">
        <f>(BE629-Driver!$K$190)/(Driver!$L$190-Driver!$K$190)</f>
        <v>3.1095673375742667E-2</v>
      </c>
      <c r="AT629" s="72">
        <f>(BF629-Driver!$K$191)/(Driver!$L$191-Driver!$K$191)</f>
        <v>0.10485638870399985</v>
      </c>
      <c r="AU629" s="72">
        <f>(BG629-Driver!$K$192)/(Driver!$L$192-Driver!$K$192)</f>
        <v>3.5306359584467838E-2</v>
      </c>
      <c r="AV629" s="70">
        <f t="shared" si="356"/>
        <v>7.9483787817121163</v>
      </c>
      <c r="AW629" s="70">
        <f t="shared" si="357"/>
        <v>47.969415875534125</v>
      </c>
      <c r="AX629" s="70">
        <f t="shared" si="358"/>
        <v>6.0216277746158218</v>
      </c>
      <c r="AY629" s="70">
        <f>IFERROR(Driver!$K$19/Data!BH629/Data!BI629*Data!BK629*Data!BL629,"")</f>
        <v>0.14957514484980261</v>
      </c>
      <c r="AZ629" s="70">
        <f t="shared" si="359"/>
        <v>41.798212956068504</v>
      </c>
      <c r="BA629" s="70"/>
      <c r="BB629" s="70"/>
      <c r="BC629" s="70">
        <f t="shared" si="360"/>
        <v>85.132474478766625</v>
      </c>
      <c r="BD629" s="70">
        <f t="shared" si="361"/>
        <v>4.2610548999846767</v>
      </c>
      <c r="BE629" s="70">
        <f t="shared" si="362"/>
        <v>3.126851500212971E-2</v>
      </c>
      <c r="BF629" s="70">
        <f t="shared" si="363"/>
        <v>11.842792446294212</v>
      </c>
      <c r="BG629" s="70">
        <f t="shared" si="364"/>
        <v>0.13369240040928879</v>
      </c>
      <c r="BH629" s="67">
        <f>MAX((CE629-Driver!$F$200)/(Driver!$G$200-Driver!$F$200)*$BI$1,1)</f>
        <v>6.0216277746158218</v>
      </c>
      <c r="BI629" s="67">
        <f>MAX($BI$1*(BY629-Driver!$F$201)/(Driver!$G$201-Driver!$F$201),1)</f>
        <v>6.518987341772152</v>
      </c>
      <c r="BJ629" s="67">
        <f>(CB629-Driver!$F$206)/(Driver!$G$206-Driver!$F$206)*$BI$1</f>
        <v>6.825396825396826</v>
      </c>
      <c r="BK629" s="67">
        <f>(CD629-Driver!$F$203)/(Driver!$G$203-Driver!$F$203)*$BI$1</f>
        <v>5.3211009174311927</v>
      </c>
      <c r="BL629" s="67">
        <f>MAX((CR629-Driver!$F$202)/(Driver!$G$202-Driver!$F$202)*$BI$1,1)</f>
        <v>5.5172413793103452</v>
      </c>
      <c r="BM629" s="67">
        <f>MAX((CH629-Driver!$F$204)/(Driver!$G$204-Driver!$F$204)*$BI$1,1)</f>
        <v>4.6581196581196584</v>
      </c>
      <c r="BN629" s="67">
        <f>(CI629-Driver!$F$205)/(Driver!$G$205-Driver!$F$205)*$BI$1</f>
        <v>6.4117647058823533</v>
      </c>
      <c r="BO629" s="67">
        <f>(CK629-Driver!$F$207)/(Driver!$G$207-Driver!$F$207)*$BI$1</f>
        <v>2.9782833505687694</v>
      </c>
      <c r="BP629" s="67">
        <f>(CM629-Driver!$F$208)/(Driver!$G$208-Driver!$F$208)*$BI$1</f>
        <v>3.1</v>
      </c>
      <c r="BQ629" s="67">
        <f>(CL629-Driver!$F$209)/(Driver!$G$209-Driver!$F$209)*$BI$1</f>
        <v>3.75</v>
      </c>
      <c r="BR629" s="28" t="s">
        <v>155</v>
      </c>
      <c r="BS629" s="8" t="s">
        <v>262</v>
      </c>
      <c r="BT629" s="9" t="s">
        <v>405</v>
      </c>
      <c r="BU629" s="10">
        <v>179</v>
      </c>
      <c r="BV629" s="9" t="s">
        <v>158</v>
      </c>
      <c r="BW629" s="10">
        <v>179</v>
      </c>
      <c r="BX629" s="10">
        <v>179.1</v>
      </c>
      <c r="BY629" s="10">
        <v>111</v>
      </c>
      <c r="BZ629" s="10">
        <v>143</v>
      </c>
      <c r="CA629" s="10">
        <v>136</v>
      </c>
      <c r="CB629" s="10">
        <v>107</v>
      </c>
      <c r="CC629" s="10">
        <v>124</v>
      </c>
      <c r="CD629" s="10">
        <v>21</v>
      </c>
      <c r="CE629" s="10">
        <v>1958</v>
      </c>
      <c r="CF629" s="10">
        <v>1.06</v>
      </c>
      <c r="CG629" s="10">
        <v>2083</v>
      </c>
      <c r="CH629" s="10">
        <v>210</v>
      </c>
      <c r="CI629" s="10">
        <v>142</v>
      </c>
      <c r="CJ629" s="10">
        <v>47</v>
      </c>
      <c r="CK629" s="10">
        <v>398</v>
      </c>
      <c r="CL629" s="10">
        <v>24</v>
      </c>
      <c r="CM629" s="10">
        <v>279</v>
      </c>
      <c r="CN629" s="10">
        <v>0.52300000000000002</v>
      </c>
      <c r="CO629" s="10">
        <v>183</v>
      </c>
      <c r="CP629" s="10">
        <v>175</v>
      </c>
      <c r="CQ629" s="10">
        <v>216</v>
      </c>
      <c r="CR629" s="10">
        <v>5</v>
      </c>
      <c r="CS629" s="10">
        <v>10</v>
      </c>
      <c r="CT629" s="9" t="s">
        <v>169</v>
      </c>
      <c r="CU629" s="9" t="s">
        <v>185</v>
      </c>
      <c r="CV629" s="10"/>
      <c r="CW629" s="10"/>
      <c r="CX629" t="e">
        <f>INDEX('Data_Price '!AG$2:AG$1266,MATCH(Data!$DN629,'Data_Price '!$AT$2:$AT$1266,0))</f>
        <v>#N/A</v>
      </c>
      <c r="CY629" t="e">
        <f>INDEX('Data_Price '!AH$2:AH$1266,MATCH(Data!$DN629,'Data_Price '!$AT$2:$AT$1266,0))</f>
        <v>#N/A</v>
      </c>
      <c r="CZ629" t="e">
        <f>INDEX('Data_Price '!AI$2:AI$1266,MATCH(Data!$DN629,'Data_Price '!$AT$2:$AT$1266,0))</f>
        <v>#N/A</v>
      </c>
      <c r="DA629" t="e">
        <f>INDEX('Data_Price '!AJ$2:AJ$1266,MATCH(Data!$DN629,'Data_Price '!$AT$2:$AT$1266,0))</f>
        <v>#N/A</v>
      </c>
      <c r="DB629" t="e">
        <f>INDEX('Data_Price '!AK$2:AK$1266,MATCH(Data!$DN629,'Data_Price '!$AT$2:$AT$1266,0))</f>
        <v>#N/A</v>
      </c>
      <c r="DC629" t="e">
        <f>INDEX('Data_Price '!AL$2:AL$1266,MATCH(Data!$DN629,'Data_Price '!$AT$2:$AT$1266,0))</f>
        <v>#N/A</v>
      </c>
      <c r="DD629" t="e">
        <f>INDEX('Data_Price '!AM$2:AM$1266,MATCH(Data!$DN629,'Data_Price '!$AT$2:$AT$1266,0))</f>
        <v>#N/A</v>
      </c>
      <c r="DE629" t="e">
        <f>INDEX('Data_Price '!AN$2:AN$1266,MATCH(Data!$DN629,'Data_Price '!$AT$2:$AT$1266,0))</f>
        <v>#N/A</v>
      </c>
      <c r="DF629" t="e">
        <f>INDEX('Data_Price '!AO$2:AO$1266,MATCH(Data!$DN629,'Data_Price '!$AT$2:$AT$1266,0))</f>
        <v>#N/A</v>
      </c>
      <c r="DG629" t="e">
        <f>INDEX('Data_Price '!AP$2:AP$1266,MATCH(Data!$DN629,'Data_Price '!$AT$2:$AT$1266,0))</f>
        <v>#N/A</v>
      </c>
      <c r="DH629" t="e">
        <f>INDEX('Data_Price '!AQ$2:AQ$1266,MATCH(Data!$DN629,'Data_Price '!$AT$2:$AT$1266,0))</f>
        <v>#N/A</v>
      </c>
      <c r="DI629" t="e">
        <f>INDEX('Data_Price '!AR$2:AR$1266,MATCH(Data!$DN629,'Data_Price '!$AT$2:$AT$1266,0))</f>
        <v>#N/A</v>
      </c>
      <c r="DJ629" s="89" t="e">
        <f t="shared" si="365"/>
        <v>#N/A</v>
      </c>
      <c r="DK629" s="89" t="e">
        <f t="shared" si="366"/>
        <v>#N/A</v>
      </c>
      <c r="DL629" s="89" t="e">
        <f t="shared" si="367"/>
        <v>#N/A</v>
      </c>
      <c r="DM629" s="219" t="str">
        <f t="shared" si="368"/>
        <v>Mindbender 108 Ti</v>
      </c>
      <c r="DN629" s="89" t="str">
        <f t="shared" si="369"/>
        <v xml:space="preserve"> K2Mindbender 108 Ti179 Unisex</v>
      </c>
      <c r="DO629" s="221" t="s">
        <v>406</v>
      </c>
    </row>
    <row r="630" spans="2:119" ht="15.6" customHeight="1">
      <c r="B630" s="219" t="b">
        <f t="array" ref="B630">IF(OR(ISERROR(K630:P630)),FALSE,TRUE)</f>
        <v>1</v>
      </c>
      <c r="C630" s="43" t="b">
        <f>OR(BR630=Driver!$G$50,Data!BR778=Driver!$H$50)</f>
        <v>1</v>
      </c>
      <c r="D630" s="43" t="b">
        <f>OR(BV630=Driver!$G$51,BV630=Driver!$H$51)</f>
        <v>1</v>
      </c>
      <c r="E630" s="43" t="b">
        <f>AND(BX630&gt;Driver!$F$54,BX630&lt;Driver!$G$54)</f>
        <v>1</v>
      </c>
      <c r="F630" s="43" t="b">
        <f>CL630&gt;Driver!$F$56</f>
        <v>1</v>
      </c>
      <c r="G630" s="43" t="b">
        <f>AND(CB630&gt;Driver!$F$55,CB630&lt;Driver!$G$55)</f>
        <v>0</v>
      </c>
      <c r="H630" s="43" t="b">
        <f t="shared" si="333"/>
        <v>0</v>
      </c>
      <c r="I630" s="43">
        <f t="shared" si="334"/>
        <v>0</v>
      </c>
      <c r="J630" s="43" t="b">
        <f t="array" ref="J630">NOT(OR(($H$9:$H$1273=TRUE)*($I$9:$I$1273&gt;0)*($BT$9:$BT$1273=BT630)*($K$9:$K$1273&gt;K630)))</f>
        <v>1</v>
      </c>
      <c r="K630" s="72">
        <f t="shared" si="335"/>
        <v>0.80821671925125249</v>
      </c>
      <c r="L630" s="72">
        <f t="shared" si="336"/>
        <v>0.84399991228687488</v>
      </c>
      <c r="M630" s="72">
        <f t="shared" si="337"/>
        <v>0.77243352621563011</v>
      </c>
      <c r="N630" s="72">
        <f t="shared" si="338"/>
        <v>0.73344644328052466</v>
      </c>
      <c r="O630" s="72">
        <f t="shared" si="339"/>
        <v>0.62667648582553659</v>
      </c>
      <c r="P630" s="72">
        <f t="shared" si="340"/>
        <v>0.95717764954082896</v>
      </c>
      <c r="Q630" s="72"/>
      <c r="R630" s="72"/>
      <c r="S630" s="72">
        <f t="shared" si="341"/>
        <v>0.42458637297248925</v>
      </c>
      <c r="T630" s="72">
        <f t="shared" si="342"/>
        <v>0.5124011206415231</v>
      </c>
      <c r="U630" s="72">
        <f t="shared" si="343"/>
        <v>0.64900466456915329</v>
      </c>
      <c r="V630" s="72">
        <f t="shared" si="344"/>
        <v>0.51173030007438558</v>
      </c>
      <c r="W630" s="72">
        <f t="shared" si="345"/>
        <v>0.93580674067805047</v>
      </c>
      <c r="X630" s="72">
        <f t="shared" si="346"/>
        <v>0.15600008771312507</v>
      </c>
      <c r="Y630" s="72">
        <f t="shared" si="347"/>
        <v>0.22756647378436992</v>
      </c>
      <c r="Z630" s="72">
        <f t="shared" si="348"/>
        <v>0.26655355671947534</v>
      </c>
      <c r="AA630" s="72">
        <f t="shared" si="349"/>
        <v>0.37332351417446341</v>
      </c>
      <c r="AB630" s="72">
        <f t="shared" si="350"/>
        <v>4.2822350459171044E-2</v>
      </c>
      <c r="AC630" s="72"/>
      <c r="AD630" s="72"/>
      <c r="AE630" s="72">
        <f t="shared" si="351"/>
        <v>0.57541362702751075</v>
      </c>
      <c r="AF630" s="72">
        <f t="shared" si="352"/>
        <v>0.48759887935847696</v>
      </c>
      <c r="AG630" s="72">
        <f t="shared" si="353"/>
        <v>0.35099533543084671</v>
      </c>
      <c r="AH630" s="72">
        <f t="shared" si="354"/>
        <v>0.48826969992561436</v>
      </c>
      <c r="AI630" s="72">
        <f t="shared" si="355"/>
        <v>6.4193259321949553E-2</v>
      </c>
      <c r="AJ630" s="72">
        <f>(AV630-Driver!$K$179)/(Driver!$L$179-Driver!$K$179)</f>
        <v>9.8219321569575357E-2</v>
      </c>
      <c r="AK630" s="72">
        <f>(AW630-Driver!$K$180)/(Driver!$L$180-Driver!$K$180)</f>
        <v>0.22367919991626753</v>
      </c>
      <c r="AL630" s="72">
        <f>(AX630-Driver!$K$181)/(Driver!$L$181-Driver!$K$181)</f>
        <v>0.36824132043255553</v>
      </c>
      <c r="AM630" s="72">
        <f>(AY630-Driver!$K$182)/(Driver!$L$182-Driver!$K$182)</f>
        <v>7.4061506922582981E-2</v>
      </c>
      <c r="AN630" s="72">
        <f>(AZ630-Driver!$K$183)/(Driver!$L$183-Driver!$K$183)</f>
        <v>0.21139705882352938</v>
      </c>
      <c r="AO630" s="72"/>
      <c r="AP630" s="72"/>
      <c r="AQ630" s="72">
        <f>(BC630-Driver!$K$188)/(Driver!$L$188-Driver!$K$188)</f>
        <v>4.4586372972489186E-2</v>
      </c>
      <c r="AR630" s="72">
        <f>MIN((BD630-Driver!$K$189)/(Driver!$L$189-Driver!$K$189),100%)</f>
        <v>6.240112064152311E-2</v>
      </c>
      <c r="AS630" s="72">
        <f>(BE630-Driver!$K$190)/(Driver!$L$190-Driver!$K$190)</f>
        <v>0.15900466456915333</v>
      </c>
      <c r="AT630" s="72">
        <f>(BF630-Driver!$K$191)/(Driver!$L$191-Driver!$K$191)</f>
        <v>2.1730300074385624E-2</v>
      </c>
      <c r="AU630" s="72">
        <f>(BG630-Driver!$K$192)/(Driver!$L$192-Driver!$K$192)</f>
        <v>0.18580674067805045</v>
      </c>
      <c r="AV630" s="70">
        <f t="shared" si="356"/>
        <v>2.0672229005562337</v>
      </c>
      <c r="AW630" s="70">
        <f t="shared" si="357"/>
        <v>23.671412652635357</v>
      </c>
      <c r="AX630" s="70">
        <f t="shared" si="358"/>
        <v>4.3141718838929997</v>
      </c>
      <c r="AY630" s="70">
        <f>IFERROR(Driver!$K$19/Data!BH630/Data!BI630*Data!BK630*Data!BL630,"")</f>
        <v>9.0673382294111135E-2</v>
      </c>
      <c r="AZ630" s="70">
        <f t="shared" si="359"/>
        <v>19.266567386448248</v>
      </c>
      <c r="BA630" s="70"/>
      <c r="BB630" s="70"/>
      <c r="BC630" s="70">
        <f t="shared" si="360"/>
        <v>23.127261620266392</v>
      </c>
      <c r="BD630" s="70">
        <f t="shared" si="361"/>
        <v>7.2432114926294124</v>
      </c>
      <c r="BE630" s="70">
        <f t="shared" si="362"/>
        <v>0.15915468867118848</v>
      </c>
      <c r="BF630" s="70">
        <f t="shared" si="363"/>
        <v>2.4542847294036534</v>
      </c>
      <c r="BG630" s="70">
        <f t="shared" si="364"/>
        <v>0.70358285209339366</v>
      </c>
      <c r="BH630" s="67">
        <f>MAX((CE630-Driver!$F$200)/(Driver!$G$200-Driver!$F$200)*$BI$1,1)</f>
        <v>4.3141718838929997</v>
      </c>
      <c r="BI630" s="67">
        <f>MAX($BI$1*(BY630-Driver!$F$201)/(Driver!$G$201-Driver!$F$201),1)</f>
        <v>7.2784810126582276</v>
      </c>
      <c r="BJ630" s="67">
        <f>(CB630-Driver!$F$206)/(Driver!$G$206-Driver!$F$206)*$BI$1</f>
        <v>3.6507936507936507</v>
      </c>
      <c r="BK630" s="67">
        <f>(CD630-Driver!$F$203)/(Driver!$G$203-Driver!$F$203)*$BI$1</f>
        <v>2.2935779816513766</v>
      </c>
      <c r="BL630" s="67">
        <f>MAX((CR630-Driver!$F$202)/(Driver!$G$202-Driver!$F$202)*$BI$1,1)</f>
        <v>6.2068965517241379</v>
      </c>
      <c r="BM630" s="67">
        <f>MAX((CH630-Driver!$F$204)/(Driver!$G$204-Driver!$F$204)*$BI$1,1)</f>
        <v>2.2649572649572649</v>
      </c>
      <c r="BN630" s="67">
        <f>(CI630-Driver!$F$205)/(Driver!$G$205-Driver!$F$205)*$BI$1</f>
        <v>2.6470588235294117</v>
      </c>
      <c r="BO630" s="67">
        <f>(CK630-Driver!$F$207)/(Driver!$G$207-Driver!$F$207)*$BI$1</f>
        <v>0.73422957600827299</v>
      </c>
      <c r="BP630" s="67">
        <f>(CM630-Driver!$F$208)/(Driver!$G$208-Driver!$F$208)*$BI$1</f>
        <v>2.1</v>
      </c>
      <c r="BQ630" s="67">
        <f>(CL630-Driver!$F$209)/(Driver!$G$209-Driver!$F$209)*$BI$1</f>
        <v>6.875</v>
      </c>
      <c r="BR630" s="28" t="s">
        <v>155</v>
      </c>
      <c r="BS630" s="8" t="s">
        <v>262</v>
      </c>
      <c r="BT630" s="9" t="s">
        <v>496</v>
      </c>
      <c r="BU630" s="10">
        <v>159</v>
      </c>
      <c r="BV630" s="9" t="s">
        <v>158</v>
      </c>
      <c r="BW630" s="10">
        <v>159</v>
      </c>
      <c r="BX630" s="10">
        <v>159.9</v>
      </c>
      <c r="BY630" s="10">
        <v>123</v>
      </c>
      <c r="BZ630" s="10">
        <v>128</v>
      </c>
      <c r="CA630" s="10">
        <v>116</v>
      </c>
      <c r="CB630" s="10">
        <v>87</v>
      </c>
      <c r="CC630" s="10">
        <v>110</v>
      </c>
      <c r="CD630" s="10">
        <v>14.4</v>
      </c>
      <c r="CE630" s="10">
        <v>1658</v>
      </c>
      <c r="CF630" s="10">
        <v>0.94</v>
      </c>
      <c r="CG630" s="10">
        <v>1557</v>
      </c>
      <c r="CH630" s="10">
        <v>154</v>
      </c>
      <c r="CI630" s="10">
        <v>78</v>
      </c>
      <c r="CJ630" s="10">
        <v>46</v>
      </c>
      <c r="CK630" s="10">
        <v>181</v>
      </c>
      <c r="CL630" s="10">
        <v>44</v>
      </c>
      <c r="CM630" s="10">
        <v>189</v>
      </c>
      <c r="CN630" s="10">
        <v>0.95099999999999996</v>
      </c>
      <c r="CO630" s="10">
        <v>162</v>
      </c>
      <c r="CP630" s="10">
        <v>159</v>
      </c>
      <c r="CQ630" s="10">
        <v>19</v>
      </c>
      <c r="CR630" s="10">
        <v>7</v>
      </c>
      <c r="CS630" s="10">
        <v>3.7</v>
      </c>
      <c r="CT630" s="9" t="s">
        <v>184</v>
      </c>
      <c r="CU630" s="10"/>
      <c r="CV630" s="10"/>
      <c r="CW630" s="10"/>
      <c r="CX630" t="e">
        <f>INDEX('Data_Price '!AG$2:AG$1266,MATCH(Data!$DN630,'Data_Price '!$AT$2:$AT$1266,0))</f>
        <v>#N/A</v>
      </c>
      <c r="CY630" t="e">
        <f>INDEX('Data_Price '!AH$2:AH$1266,MATCH(Data!$DN630,'Data_Price '!$AT$2:$AT$1266,0))</f>
        <v>#N/A</v>
      </c>
      <c r="CZ630" t="e">
        <f>INDEX('Data_Price '!AI$2:AI$1266,MATCH(Data!$DN630,'Data_Price '!$AT$2:$AT$1266,0))</f>
        <v>#N/A</v>
      </c>
      <c r="DA630" t="e">
        <f>INDEX('Data_Price '!AJ$2:AJ$1266,MATCH(Data!$DN630,'Data_Price '!$AT$2:$AT$1266,0))</f>
        <v>#N/A</v>
      </c>
      <c r="DB630" t="e">
        <f>INDEX('Data_Price '!AK$2:AK$1266,MATCH(Data!$DN630,'Data_Price '!$AT$2:$AT$1266,0))</f>
        <v>#N/A</v>
      </c>
      <c r="DC630" t="e">
        <f>INDEX('Data_Price '!AL$2:AL$1266,MATCH(Data!$DN630,'Data_Price '!$AT$2:$AT$1266,0))</f>
        <v>#N/A</v>
      </c>
      <c r="DD630" t="e">
        <f>INDEX('Data_Price '!AM$2:AM$1266,MATCH(Data!$DN630,'Data_Price '!$AT$2:$AT$1266,0))</f>
        <v>#N/A</v>
      </c>
      <c r="DE630" t="e">
        <f>INDEX('Data_Price '!AN$2:AN$1266,MATCH(Data!$DN630,'Data_Price '!$AT$2:$AT$1266,0))</f>
        <v>#N/A</v>
      </c>
      <c r="DF630" t="e">
        <f>INDEX('Data_Price '!AO$2:AO$1266,MATCH(Data!$DN630,'Data_Price '!$AT$2:$AT$1266,0))</f>
        <v>#N/A</v>
      </c>
      <c r="DG630" t="e">
        <f>INDEX('Data_Price '!AP$2:AP$1266,MATCH(Data!$DN630,'Data_Price '!$AT$2:$AT$1266,0))</f>
        <v>#N/A</v>
      </c>
      <c r="DH630" t="e">
        <f>INDEX('Data_Price '!AQ$2:AQ$1266,MATCH(Data!$DN630,'Data_Price '!$AT$2:$AT$1266,0))</f>
        <v>#N/A</v>
      </c>
      <c r="DI630" t="e">
        <f>INDEX('Data_Price '!AR$2:AR$1266,MATCH(Data!$DN630,'Data_Price '!$AT$2:$AT$1266,0))</f>
        <v>#N/A</v>
      </c>
      <c r="DJ630" s="89" t="e">
        <f t="shared" si="365"/>
        <v>#N/A</v>
      </c>
      <c r="DK630" s="89" t="e">
        <f t="shared" si="366"/>
        <v>#N/A</v>
      </c>
      <c r="DL630" s="89" t="e">
        <f t="shared" si="367"/>
        <v>#N/A</v>
      </c>
      <c r="DM630" s="219" t="str">
        <f t="shared" si="368"/>
        <v>Sight</v>
      </c>
      <c r="DN630" s="89" t="str">
        <f t="shared" si="369"/>
        <v xml:space="preserve"> K2Sight159 Unisex</v>
      </c>
      <c r="DO630" s="221" t="s">
        <v>497</v>
      </c>
    </row>
    <row r="631" spans="2:119" ht="15.6" customHeight="1">
      <c r="B631" s="219" t="b">
        <f t="array" ref="B631">IF(OR(ISERROR(K631:P631)),FALSE,TRUE)</f>
        <v>1</v>
      </c>
      <c r="C631" s="43" t="b">
        <f>OR(BR631=Driver!$G$50,Data!BR438=Driver!$H$50)</f>
        <v>1</v>
      </c>
      <c r="D631" s="43" t="b">
        <f>OR(BV631=Driver!$G$51,BV631=Driver!$H$51)</f>
        <v>0</v>
      </c>
      <c r="E631" s="43" t="b">
        <f>AND(BX631&gt;Driver!$F$54,BX631&lt;Driver!$G$54)</f>
        <v>1</v>
      </c>
      <c r="F631" s="43" t="b">
        <f>CL631&gt;Driver!$F$56</f>
        <v>1</v>
      </c>
      <c r="G631" s="43" t="b">
        <f>AND(CB631&gt;Driver!$F$55,CB631&lt;Driver!$G$55)</f>
        <v>0</v>
      </c>
      <c r="H631" s="43" t="b">
        <f t="shared" si="333"/>
        <v>0</v>
      </c>
      <c r="I631" s="43">
        <f t="shared" si="334"/>
        <v>0</v>
      </c>
      <c r="J631" s="43" t="b">
        <f t="array" ref="J631">NOT(OR(($H$9:$H$1273=TRUE)*($I$9:$I$1273&gt;0)*($BT$9:$BT$1273=BT631)*($K$9:$K$1273&gt;K631)))</f>
        <v>1</v>
      </c>
      <c r="K631" s="72">
        <f t="shared" si="335"/>
        <v>0.78746731954914373</v>
      </c>
      <c r="L631" s="72">
        <f t="shared" si="336"/>
        <v>0.8240982121821292</v>
      </c>
      <c r="M631" s="72">
        <f t="shared" si="337"/>
        <v>0.75083642691615826</v>
      </c>
      <c r="N631" s="72">
        <f t="shared" si="338"/>
        <v>0.66072147015714511</v>
      </c>
      <c r="O631" s="72">
        <f t="shared" si="339"/>
        <v>0.60172617412239626</v>
      </c>
      <c r="P631" s="72">
        <f t="shared" si="340"/>
        <v>0.99006163646893353</v>
      </c>
      <c r="Q631" s="72"/>
      <c r="R631" s="72"/>
      <c r="S631" s="72">
        <f t="shared" si="341"/>
        <v>0.43278347629123892</v>
      </c>
      <c r="T631" s="72">
        <f t="shared" si="342"/>
        <v>0.86587911088268665</v>
      </c>
      <c r="U631" s="72">
        <f t="shared" si="343"/>
        <v>0.51</v>
      </c>
      <c r="V631" s="72">
        <f t="shared" si="344"/>
        <v>0.49236340204191476</v>
      </c>
      <c r="W631" s="72">
        <f t="shared" si="345"/>
        <v>0.77399134529718716</v>
      </c>
      <c r="X631" s="72">
        <f t="shared" si="346"/>
        <v>0.17590178781787086</v>
      </c>
      <c r="Y631" s="72">
        <f t="shared" si="347"/>
        <v>0.24916357308384171</v>
      </c>
      <c r="Z631" s="72">
        <f t="shared" si="348"/>
        <v>0.33927852984285484</v>
      </c>
      <c r="AA631" s="72">
        <f t="shared" si="349"/>
        <v>0.39827382587760374</v>
      </c>
      <c r="AB631" s="72">
        <f t="shared" si="350"/>
        <v>9.9383635310665019E-3</v>
      </c>
      <c r="AC631" s="72"/>
      <c r="AD631" s="72"/>
      <c r="AE631" s="72">
        <f t="shared" si="351"/>
        <v>0.56721652370876108</v>
      </c>
      <c r="AF631" s="72">
        <f t="shared" si="352"/>
        <v>0.13412088911731335</v>
      </c>
      <c r="AG631" s="72">
        <f t="shared" si="353"/>
        <v>0.49</v>
      </c>
      <c r="AH631" s="72">
        <f t="shared" si="354"/>
        <v>0.50763659795808524</v>
      </c>
      <c r="AI631" s="72">
        <f t="shared" si="355"/>
        <v>0.22600865470281278</v>
      </c>
      <c r="AJ631" s="72">
        <f>(AV631-Driver!$K$179)/(Driver!$L$179-Driver!$K$179)</f>
        <v>7.8317621464829582E-2</v>
      </c>
      <c r="AK631" s="72">
        <f>(AW631-Driver!$K$180)/(Driver!$L$180-Driver!$K$180)</f>
        <v>0.26083333543650483</v>
      </c>
      <c r="AL631" s="72">
        <f>(AX631-Driver!$K$181)/(Driver!$L$181-Driver!$K$181)</f>
        <v>0.44096629355593503</v>
      </c>
      <c r="AM631" s="72">
        <f>(AY631-Driver!$K$182)/(Driver!$L$182-Driver!$K$182)</f>
        <v>4.911119521944262E-2</v>
      </c>
      <c r="AN631" s="72">
        <f>(AZ631-Driver!$K$183)/(Driver!$L$183-Driver!$K$183)</f>
        <v>0.24428104575163392</v>
      </c>
      <c r="AO631" s="72"/>
      <c r="AP631" s="72"/>
      <c r="AQ631" s="72">
        <f>(BC631-Driver!$K$188)/(Driver!$L$188-Driver!$K$188)</f>
        <v>5.2783476291238918E-2</v>
      </c>
      <c r="AR631" s="72">
        <f>MIN((BD631-Driver!$K$189)/(Driver!$L$189-Driver!$K$189),100%)</f>
        <v>0.4158791108826867</v>
      </c>
      <c r="AS631" s="72">
        <f>(BE631-Driver!$K$190)/(Driver!$L$190-Driver!$K$190)</f>
        <v>1</v>
      </c>
      <c r="AT631" s="72">
        <f>(BF631-Driver!$K$191)/(Driver!$L$191-Driver!$K$191)</f>
        <v>2.3634020419147994E-3</v>
      </c>
      <c r="AU631" s="72">
        <f>(BG631-Driver!$K$192)/(Driver!$L$192-Driver!$K$192)</f>
        <v>2.3991345297187217E-2</v>
      </c>
      <c r="AV631" s="70">
        <f t="shared" si="356"/>
        <v>1.6483516483516483</v>
      </c>
      <c r="AW631" s="70">
        <f t="shared" si="357"/>
        <v>27.292412378214131</v>
      </c>
      <c r="AX631" s="70">
        <f t="shared" si="358"/>
        <v>4.9686966420034153</v>
      </c>
      <c r="AY631" s="70">
        <f>IFERROR(Driver!$K$19/Data!BH631/Data!BI631*Data!BK631*Data!BL631,"")</f>
        <v>6.0126756314965051E-2</v>
      </c>
      <c r="AZ631" s="70">
        <f t="shared" si="359"/>
        <v>22.263588979895751</v>
      </c>
      <c r="BA631" s="70"/>
      <c r="BB631" s="70"/>
      <c r="BC631" s="70">
        <f t="shared" si="360"/>
        <v>27.379156097039644</v>
      </c>
      <c r="BD631" s="70">
        <f t="shared" si="361"/>
        <v>38.525387303035338</v>
      </c>
      <c r="BE631" s="70">
        <f t="shared" si="362"/>
        <v>1</v>
      </c>
      <c r="BF631" s="70">
        <f t="shared" si="363"/>
        <v>0.26692965679522035</v>
      </c>
      <c r="BG631" s="70">
        <f t="shared" si="364"/>
        <v>9.0846538118874873E-2</v>
      </c>
      <c r="BH631" s="67">
        <f>MAX((CE631-Driver!$F$200)/(Driver!$G$200-Driver!$F$200)*$BI$1,1)</f>
        <v>4.9686966420034153</v>
      </c>
      <c r="BI631" s="67">
        <f>MAX($BI$1*(BY631-Driver!$F$201)/(Driver!$G$201-Driver!$F$201),1)</f>
        <v>8.2278481012658222</v>
      </c>
      <c r="BJ631" s="67">
        <f>(CB631-Driver!$F$206)/(Driver!$G$206-Driver!$F$206)*$BI$1</f>
        <v>1.9047619047619047</v>
      </c>
      <c r="BK631" s="67">
        <f>(CD631-Driver!$F$203)/(Driver!$G$203-Driver!$F$203)*$BI$1</f>
        <v>1.6972477064220182</v>
      </c>
      <c r="BL631" s="67">
        <f>MAX((CR631-Driver!$F$202)/(Driver!$G$202-Driver!$F$202)*$BI$1,1)</f>
        <v>7.2413793103448274</v>
      </c>
      <c r="BM631" s="67">
        <f>MAX((CH631-Driver!$F$204)/(Driver!$G$204-Driver!$F$204)*$BI$1,1)</f>
        <v>3.4615384615384617</v>
      </c>
      <c r="BN631" s="67">
        <f>(CI631-Driver!$F$205)/(Driver!$G$205-Driver!$F$205)*$BI$1</f>
        <v>2.7058823529411762</v>
      </c>
      <c r="BO631" s="67">
        <f>(CK631-Driver!$F$207)/(Driver!$G$207-Driver!$F$207)*$BI$1</f>
        <v>0.31023784901758011</v>
      </c>
      <c r="BP631" s="67">
        <f>(CM631-Driver!$F$208)/(Driver!$G$208-Driver!$F$208)*$BI$1</f>
        <v>0.76666666666666661</v>
      </c>
      <c r="BQ631" s="67">
        <f>(CL631-Driver!$F$209)/(Driver!$G$209-Driver!$F$209)*$BI$1</f>
        <v>1.5625</v>
      </c>
      <c r="BR631" s="28" t="s">
        <v>155</v>
      </c>
      <c r="BS631" s="8" t="s">
        <v>164</v>
      </c>
      <c r="BT631" s="9" t="s">
        <v>700</v>
      </c>
      <c r="BU631" s="10">
        <v>158</v>
      </c>
      <c r="BV631" s="9" t="s">
        <v>163</v>
      </c>
      <c r="BW631" s="10">
        <v>158</v>
      </c>
      <c r="BX631" s="10">
        <v>159.1</v>
      </c>
      <c r="BY631" s="10">
        <v>138</v>
      </c>
      <c r="BZ631" s="10">
        <v>144</v>
      </c>
      <c r="CA631" s="10">
        <v>125</v>
      </c>
      <c r="CB631" s="10">
        <v>76</v>
      </c>
      <c r="CC631" s="10">
        <v>105</v>
      </c>
      <c r="CD631" s="10">
        <v>13.1</v>
      </c>
      <c r="CE631" s="10">
        <v>1773</v>
      </c>
      <c r="CF631" s="10">
        <v>0.82</v>
      </c>
      <c r="CG631" s="10">
        <v>1451</v>
      </c>
      <c r="CH631" s="10">
        <v>182</v>
      </c>
      <c r="CI631" s="10">
        <v>79</v>
      </c>
      <c r="CJ631" s="10">
        <v>32</v>
      </c>
      <c r="CK631" s="10">
        <v>140</v>
      </c>
      <c r="CL631" s="10">
        <v>10</v>
      </c>
      <c r="CM631" s="10">
        <v>69</v>
      </c>
      <c r="CN631" s="10">
        <v>0.30199999999999999</v>
      </c>
      <c r="CO631" s="10">
        <v>92</v>
      </c>
      <c r="CP631" s="10">
        <v>62</v>
      </c>
      <c r="CQ631" s="10">
        <v>48</v>
      </c>
      <c r="CR631" s="10">
        <v>10</v>
      </c>
      <c r="CS631" s="10">
        <v>8.6999999999999993</v>
      </c>
      <c r="CT631" s="9" t="s">
        <v>349</v>
      </c>
      <c r="CU631" s="10"/>
      <c r="CV631" s="10"/>
      <c r="CW631" s="10"/>
      <c r="CX631" t="str">
        <f>INDEX('Data_Price '!AG$2:AG$1266,MATCH(Data!$DN631,'Data_Price '!$AT$2:$AT$1266,0))</f>
        <v>Elan Insomnia 14 Ti + ELW 9 Shift 21/22</v>
      </c>
      <c r="CY631" t="str">
        <f>INDEX('Data_Price '!AH$2:AH$1266,MATCH(Data!$DN631,'Data_Price '!$AT$2:$AT$1266,0))</f>
        <v>Snowcountry.eu</v>
      </c>
      <c r="CZ631">
        <f>INDEX('Data_Price '!AI$2:AI$1266,MATCH(Data!$DN631,'Data_Price '!$AT$2:$AT$1266,0))</f>
        <v>386.34</v>
      </c>
      <c r="DA631" t="str">
        <f>INDEX('Data_Price '!AJ$2:AJ$1266,MATCH(Data!$DN631,'Data_Price '!$AT$2:$AT$1266,0))</f>
        <v>https://tinyurl.com/y7lzzwb3</v>
      </c>
      <c r="DB631" t="str">
        <f>INDEX('Data_Price '!AK$2:AK$1266,MATCH(Data!$DN631,'Data_Price '!$AT$2:$AT$1266,0))</f>
        <v>Snow skiing with mounts Elan 2020-21 insomnia elite Ti PS + elx11.0 (CM: 158) Kant Kant Kaht</v>
      </c>
      <c r="DC631" t="str">
        <f>INDEX('Data_Price '!AL$2:AL$1266,MATCH(Data!$DN631,'Data_Price '!$AT$2:$AT$1266,0))</f>
        <v>AliExpress.com</v>
      </c>
      <c r="DD631">
        <f>INDEX('Data_Price '!AM$2:AM$1266,MATCH(Data!$DN631,'Data_Price '!$AT$2:$AT$1266,0))</f>
        <v>816.48</v>
      </c>
      <c r="DE631" t="str">
        <f>INDEX('Data_Price '!AN$2:AN$1266,MATCH(Data!$DN631,'Data_Price '!$AT$2:$AT$1266,0))</f>
        <v>https://tinyurl.com/yc6cvalz</v>
      </c>
      <c r="DF631" t="str">
        <f>INDEX('Data_Price '!AO$2:AO$1266,MATCH(Data!$DN631,'Data_Price '!$AT$2:$AT$1266,0))</f>
        <v>Elan Insomnia Black Edition 158 Ski Lady's Ladies / Women</v>
      </c>
      <c r="DG631" t="str">
        <f>INDEX('Data_Price '!AP$2:AP$1266,MATCH(Data!$DN631,'Data_Price '!$AT$2:$AT$1266,0))</f>
        <v>! OutdoorXL.com</v>
      </c>
      <c r="DH631">
        <f>INDEX('Data_Price '!AQ$2:AQ$1266,MATCH(Data!$DN631,'Data_Price '!$AT$2:$AT$1266,0))</f>
        <v>514.95000000000005</v>
      </c>
      <c r="DI631" t="str">
        <f>INDEX('Data_Price '!AR$2:AR$1266,MATCH(Data!$DN631,'Data_Price '!$AT$2:$AT$1266,0))</f>
        <v>https://tinyurl.com/y7649bkl</v>
      </c>
      <c r="DJ631" s="89" t="str">
        <f t="shared" si="365"/>
        <v>https://tinyurl.com/y7lzzwb3</v>
      </c>
      <c r="DK631" s="89" t="str">
        <f t="shared" si="366"/>
        <v>https://tinyurl.com/yc6cvalz</v>
      </c>
      <c r="DL631" s="89" t="str">
        <f t="shared" si="367"/>
        <v>https://tinyurl.com/y7649bkl</v>
      </c>
      <c r="DM631" s="219" t="str">
        <f t="shared" si="368"/>
        <v>Insomnia 14 Ti</v>
      </c>
      <c r="DN631" s="89" t="str">
        <f t="shared" si="369"/>
        <v xml:space="preserve"> ElanInsomnia 14 Ti158 Women's</v>
      </c>
      <c r="DO631" s="221"/>
    </row>
    <row r="632" spans="2:119" ht="15.6" customHeight="1">
      <c r="B632" s="219" t="b">
        <f t="array" ref="B632">IF(OR(ISERROR(K632:P632)),FALSE,TRUE)</f>
        <v>1</v>
      </c>
      <c r="C632" s="43" t="b">
        <f>OR(BR632=Driver!$G$50,Data!BR1032=Driver!$H$50)</f>
        <v>1</v>
      </c>
      <c r="D632" s="43" t="b">
        <f>OR(BV632=Driver!$G$51,BV632=Driver!$H$51)</f>
        <v>1</v>
      </c>
      <c r="E632" s="43" t="b">
        <f>AND(BX632&gt;Driver!$F$54,BX632&lt;Driver!$G$54)</f>
        <v>0</v>
      </c>
      <c r="F632" s="43" t="b">
        <f>CL632&gt;Driver!$F$56</f>
        <v>1</v>
      </c>
      <c r="G632" s="43" t="b">
        <f>AND(CB632&gt;Driver!$F$55,CB632&lt;Driver!$G$55)</f>
        <v>0</v>
      </c>
      <c r="H632" s="43" t="b">
        <f t="shared" si="333"/>
        <v>0</v>
      </c>
      <c r="I632" s="43">
        <f t="shared" si="334"/>
        <v>0</v>
      </c>
      <c r="J632" s="43" t="b">
        <f t="array" ref="J632">NOT(OR(($H$9:$H$1273=TRUE)*($I$9:$I$1273&gt;0)*($BT$9:$BT$1273=BT632)*($K$9:$K$1273&gt;K632)))</f>
        <v>1</v>
      </c>
      <c r="K632" s="72">
        <f t="shared" si="335"/>
        <v>0.76075806273441693</v>
      </c>
      <c r="L632" s="72">
        <f t="shared" si="336"/>
        <v>0.85310473865058456</v>
      </c>
      <c r="M632" s="72">
        <f t="shared" si="337"/>
        <v>0.6684113868182493</v>
      </c>
      <c r="N632" s="72">
        <f t="shared" si="338"/>
        <v>0.48491675251975819</v>
      </c>
      <c r="O632" s="72">
        <f t="shared" si="339"/>
        <v>0.59628590714902119</v>
      </c>
      <c r="P632" s="72">
        <f t="shared" si="340"/>
        <v>0.92403150078596841</v>
      </c>
      <c r="Q632" s="72"/>
      <c r="R632" s="72"/>
      <c r="S632" s="72">
        <f t="shared" si="341"/>
        <v>0.45713076721722579</v>
      </c>
      <c r="T632" s="72">
        <f t="shared" si="342"/>
        <v>0.73797744697686984</v>
      </c>
      <c r="U632" s="72">
        <f t="shared" si="343"/>
        <v>0.51</v>
      </c>
      <c r="V632" s="72">
        <f t="shared" si="344"/>
        <v>0.49232872168586495</v>
      </c>
      <c r="W632" s="72">
        <f t="shared" si="345"/>
        <v>0.75531148002911686</v>
      </c>
      <c r="X632" s="72">
        <f t="shared" si="346"/>
        <v>0.14689526134941544</v>
      </c>
      <c r="Y632" s="72">
        <f t="shared" si="347"/>
        <v>0.33158861318175076</v>
      </c>
      <c r="Z632" s="72">
        <f t="shared" si="348"/>
        <v>0.51508324748024181</v>
      </c>
      <c r="AA632" s="72">
        <f t="shared" si="349"/>
        <v>0.40371409285097876</v>
      </c>
      <c r="AB632" s="72">
        <f t="shared" si="350"/>
        <v>7.5968499214031593E-2</v>
      </c>
      <c r="AC632" s="72"/>
      <c r="AD632" s="72"/>
      <c r="AE632" s="72">
        <f t="shared" si="351"/>
        <v>0.54286923278277421</v>
      </c>
      <c r="AF632" s="72">
        <f t="shared" si="352"/>
        <v>0.26202255302313016</v>
      </c>
      <c r="AG632" s="72">
        <f t="shared" si="353"/>
        <v>0.49</v>
      </c>
      <c r="AH632" s="72">
        <f t="shared" si="354"/>
        <v>0.50767127831413505</v>
      </c>
      <c r="AI632" s="72">
        <f t="shared" si="355"/>
        <v>0.24468851997088314</v>
      </c>
      <c r="AJ632" s="72">
        <f>(AV632-Driver!$K$179)/(Driver!$L$179-Driver!$K$179)</f>
        <v>0.10732414793328499</v>
      </c>
      <c r="AK632" s="72">
        <f>(AW632-Driver!$K$180)/(Driver!$L$180-Driver!$K$180)</f>
        <v>0.35733629152098484</v>
      </c>
      <c r="AL632" s="72">
        <f>(AX632-Driver!$K$181)/(Driver!$L$181-Driver!$K$181)</f>
        <v>0.61677101119332201</v>
      </c>
      <c r="AM632" s="72">
        <f>(AY632-Driver!$K$182)/(Driver!$L$182-Driver!$K$182)</f>
        <v>4.3670928246067595E-2</v>
      </c>
      <c r="AN632" s="72">
        <f>(AZ632-Driver!$K$183)/(Driver!$L$183-Driver!$K$183)</f>
        <v>0.33018790849673202</v>
      </c>
      <c r="AO632" s="72"/>
      <c r="AP632" s="72"/>
      <c r="AQ632" s="72">
        <f>(BC632-Driver!$K$188)/(Driver!$L$188-Driver!$K$188)</f>
        <v>7.7130767217225768E-2</v>
      </c>
      <c r="AR632" s="72">
        <f>MIN((BD632-Driver!$K$189)/(Driver!$L$189-Driver!$K$189),100%)</f>
        <v>0.8120225530231302</v>
      </c>
      <c r="AS632" s="72">
        <f>(BE632-Driver!$K$190)/(Driver!$L$190-Driver!$K$190)</f>
        <v>1</v>
      </c>
      <c r="AT632" s="72">
        <f>(BF632-Driver!$K$191)/(Driver!$L$191-Driver!$K$191)</f>
        <v>2.3287216858649627E-3</v>
      </c>
      <c r="AU632" s="72">
        <f>(BG632-Driver!$K$192)/(Driver!$L$192-Driver!$K$192)</f>
        <v>5.3114800291168655E-3</v>
      </c>
      <c r="AV632" s="70">
        <f t="shared" si="356"/>
        <v>2.2588522588522588</v>
      </c>
      <c r="AW632" s="70">
        <f t="shared" si="357"/>
        <v>36.697480551825905</v>
      </c>
      <c r="AX632" s="70">
        <f t="shared" si="358"/>
        <v>6.5509391007398978</v>
      </c>
      <c r="AY632" s="70">
        <f>IFERROR(Driver!$K$19/Data!BH632/Data!BI632*Data!BK632*Data!BL632,"")</f>
        <v>5.346624632055598E-2</v>
      </c>
      <c r="AZ632" s="70">
        <f t="shared" si="359"/>
        <v>30.093075204765452</v>
      </c>
      <c r="BA632" s="70"/>
      <c r="BB632" s="70"/>
      <c r="BC632" s="70">
        <f t="shared" si="360"/>
        <v>40.008265159969547</v>
      </c>
      <c r="BD632" s="70">
        <f t="shared" si="361"/>
        <v>73.583380007820182</v>
      </c>
      <c r="BE632" s="70">
        <f t="shared" si="362"/>
        <v>1</v>
      </c>
      <c r="BF632" s="70">
        <f t="shared" si="363"/>
        <v>0.26301275422268178</v>
      </c>
      <c r="BG632" s="70">
        <f t="shared" si="364"/>
        <v>2.0112651748186064E-2</v>
      </c>
      <c r="BH632" s="67">
        <f>MAX((CE632-Driver!$F$200)/(Driver!$G$200-Driver!$F$200)*$BI$1,1)</f>
        <v>6.5509391007398978</v>
      </c>
      <c r="BI632" s="67">
        <f>MAX($BI$1*(BY632-Driver!$F$201)/(Driver!$G$201-Driver!$F$201),1)</f>
        <v>8.6708860759493671</v>
      </c>
      <c r="BJ632" s="67">
        <f>(CB632-Driver!$F$206)/(Driver!$G$206-Driver!$F$206)*$BI$1</f>
        <v>1.9047619047619047</v>
      </c>
      <c r="BK632" s="67">
        <f>(CD632-Driver!$F$203)/(Driver!$G$203-Driver!$F$203)*$BI$1</f>
        <v>1.834862385321101</v>
      </c>
      <c r="BL632" s="67">
        <f>MAX((CR632-Driver!$F$202)/(Driver!$G$202-Driver!$F$202)*$BI$1,1)</f>
        <v>8.2758620689655178</v>
      </c>
      <c r="BM632" s="67">
        <f>MAX((CH632-Driver!$F$204)/(Driver!$G$204-Driver!$F$204)*$BI$1,1)</f>
        <v>4.7435897435897436</v>
      </c>
      <c r="BN632" s="67">
        <f>(CI632-Driver!$F$205)/(Driver!$G$205-Driver!$F$205)*$BI$1</f>
        <v>3.4705882352941178</v>
      </c>
      <c r="BO632" s="67">
        <f>(CK632-Driver!$F$207)/(Driver!$G$207-Driver!$F$207)*$BI$1</f>
        <v>0.36194415718717682</v>
      </c>
      <c r="BP632" s="67">
        <f>(CM632-Driver!$F$208)/(Driver!$G$208-Driver!$F$208)*$BI$1</f>
        <v>0.70000000000000007</v>
      </c>
      <c r="BQ632" s="67">
        <f>(CL632-Driver!$F$209)/(Driver!$G$209-Driver!$F$209)*$BI$1</f>
        <v>0.625</v>
      </c>
      <c r="BR632" s="28" t="s">
        <v>155</v>
      </c>
      <c r="BS632" s="8" t="s">
        <v>172</v>
      </c>
      <c r="BT632" s="9" t="s">
        <v>653</v>
      </c>
      <c r="BU632" s="10">
        <v>167</v>
      </c>
      <c r="BV632" s="9" t="s">
        <v>158</v>
      </c>
      <c r="BW632" s="10">
        <v>167</v>
      </c>
      <c r="BX632" s="10">
        <v>166.3</v>
      </c>
      <c r="BY632" s="10">
        <v>145</v>
      </c>
      <c r="BZ632" s="10">
        <v>151</v>
      </c>
      <c r="CA632" s="10">
        <v>128</v>
      </c>
      <c r="CB632" s="10">
        <v>76</v>
      </c>
      <c r="CC632" s="10">
        <v>108</v>
      </c>
      <c r="CD632" s="10">
        <v>13.4</v>
      </c>
      <c r="CE632" s="10">
        <v>2051</v>
      </c>
      <c r="CF632" s="10">
        <v>0.74</v>
      </c>
      <c r="CG632" s="10">
        <v>1528</v>
      </c>
      <c r="CH632" s="10">
        <v>212</v>
      </c>
      <c r="CI632" s="10">
        <v>92</v>
      </c>
      <c r="CJ632" s="10">
        <v>40</v>
      </c>
      <c r="CK632" s="10">
        <v>145</v>
      </c>
      <c r="CL632" s="10">
        <v>4</v>
      </c>
      <c r="CM632" s="10">
        <v>63</v>
      </c>
      <c r="CN632" s="10">
        <v>0.10299999999999999</v>
      </c>
      <c r="CO632" s="10">
        <v>90</v>
      </c>
      <c r="CP632" s="10">
        <v>61</v>
      </c>
      <c r="CQ632" s="10">
        <v>55</v>
      </c>
      <c r="CR632" s="10">
        <v>13</v>
      </c>
      <c r="CS632" s="10">
        <v>10.1</v>
      </c>
      <c r="CT632" s="9" t="s">
        <v>349</v>
      </c>
      <c r="CU632" s="10"/>
      <c r="CV632" s="10"/>
      <c r="CW632" s="10"/>
      <c r="CX632" t="str">
        <f>INDEX('Data_Price '!AG$2:AG$1266,MATCH(Data!$DN632,'Data_Price '!$AT$2:$AT$1266,0))</f>
        <v>Rossignol Hero Elite Plus Ti Mens Skis W/SPX 12 Konect GW Bindings</v>
      </c>
      <c r="CY632" t="str">
        <f>INDEX('Data_Price '!AH$2:AH$1266,MATCH(Data!$DN632,'Data_Price '!$AT$2:$AT$1266,0))</f>
        <v>The-House.com</v>
      </c>
      <c r="CZ632">
        <f>INDEX('Data_Price '!AI$2:AI$1266,MATCH(Data!$DN632,'Data_Price '!$AT$2:$AT$1266,0))</f>
        <v>799.95</v>
      </c>
      <c r="DA632" t="str">
        <f>INDEX('Data_Price '!AJ$2:AJ$1266,MATCH(Data!$DN632,'Data_Price '!$AT$2:$AT$1266,0))</f>
        <v>https://tinyurl.com/yagabde4</v>
      </c>
      <c r="DB632" t="str">
        <f>INDEX('Data_Price '!AK$2:AK$1266,MATCH(Data!$DN632,'Data_Price '!$AT$2:$AT$1266,0))</f>
        <v>Rossignol Hero Elite Plus Ti Mens Skis W/SPX 12 Konect GW Bindings</v>
      </c>
      <c r="DC632" t="str">
        <f>INDEX('Data_Price '!AL$2:AL$1266,MATCH(Data!$DN632,'Data_Price '!$AT$2:$AT$1266,0))</f>
        <v>Buyr.com</v>
      </c>
      <c r="DD632">
        <f>INDEX('Data_Price '!AM$2:AM$1266,MATCH(Data!$DN632,'Data_Price '!$AT$2:$AT$1266,0))</f>
        <v>999.95</v>
      </c>
      <c r="DE632" t="str">
        <f>INDEX('Data_Price '!AN$2:AN$1266,MATCH(Data!$DN632,'Data_Price '!$AT$2:$AT$1266,0))</f>
        <v>https://tinyurl.com/y93sp7eo</v>
      </c>
      <c r="DF632" t="str">
        <f>INDEX('Data_Price '!AO$2:AO$1266,MATCH(Data!$DN632,'Data_Price '!$AT$2:$AT$1266,0))</f>
        <v>Rossignol Hero Elite St Ti + SPX 14 Konect 21/22</v>
      </c>
      <c r="DG632" t="str">
        <f>INDEX('Data_Price '!AP$2:AP$1266,MATCH(Data!$DN632,'Data_Price '!$AT$2:$AT$1266,0))</f>
        <v>Rossignol US</v>
      </c>
      <c r="DH632">
        <f>INDEX('Data_Price '!AQ$2:AQ$1266,MATCH(Data!$DN632,'Data_Price '!$AT$2:$AT$1266,0))</f>
        <v>1099.95</v>
      </c>
      <c r="DI632" t="str">
        <f>INDEX('Data_Price '!AR$2:AR$1266,MATCH(Data!$DN632,'Data_Price '!$AT$2:$AT$1266,0))</f>
        <v>https://tinyurl.com/yd3uy8l2</v>
      </c>
      <c r="DJ632" s="89" t="str">
        <f t="shared" si="365"/>
        <v>https://tinyurl.com/yagabde4</v>
      </c>
      <c r="DK632" s="89" t="str">
        <f t="shared" si="366"/>
        <v>https://tinyurl.com/y93sp7eo</v>
      </c>
      <c r="DL632" s="89" t="str">
        <f t="shared" si="367"/>
        <v>https://tinyurl.com/yd3uy8l2</v>
      </c>
      <c r="DM632" s="219" t="str">
        <f t="shared" si="368"/>
        <v>Hero Elite Plus Ti</v>
      </c>
      <c r="DN632" s="89" t="str">
        <f t="shared" si="369"/>
        <v xml:space="preserve"> RossignolHero Elite Plus Ti167 Unisex</v>
      </c>
      <c r="DO632" s="221"/>
    </row>
    <row r="633" spans="2:119" ht="15.6" customHeight="1">
      <c r="B633" s="219" t="b">
        <f t="array" ref="B633">IF(OR(ISERROR(K633:P633)),FALSE,TRUE)</f>
        <v>1</v>
      </c>
      <c r="C633" s="43" t="b">
        <f>OR(BR633=Driver!$G$50,Data!BR1013=Driver!$H$50)</f>
        <v>1</v>
      </c>
      <c r="D633" s="43" t="b">
        <f>OR(BV633=Driver!$G$51,BV633=Driver!$H$51)</f>
        <v>0</v>
      </c>
      <c r="E633" s="43" t="b">
        <f>AND(BX633&gt;Driver!$F$54,BX633&lt;Driver!$G$54)</f>
        <v>1</v>
      </c>
      <c r="F633" s="43" t="b">
        <f>CL633&gt;Driver!$F$56</f>
        <v>1</v>
      </c>
      <c r="G633" s="43" t="b">
        <f>AND(CB633&gt;Driver!$F$55,CB633&lt;Driver!$G$55)</f>
        <v>0</v>
      </c>
      <c r="H633" s="43" t="b">
        <f t="shared" si="333"/>
        <v>0</v>
      </c>
      <c r="I633" s="43">
        <f t="shared" si="334"/>
        <v>0</v>
      </c>
      <c r="J633" s="43" t="b">
        <f t="array" ref="J633">NOT(OR(($H$9:$H$1273=TRUE)*($I$9:$I$1273&gt;0)*($BT$9:$BT$1273=BT633)*($K$9:$K$1273&gt;K633)))</f>
        <v>1</v>
      </c>
      <c r="K633" s="72">
        <f t="shared" si="335"/>
        <v>0.80921503362824265</v>
      </c>
      <c r="L633" s="72">
        <f t="shared" si="336"/>
        <v>0.85020408600373898</v>
      </c>
      <c r="M633" s="72">
        <f t="shared" si="337"/>
        <v>0.76822598125274633</v>
      </c>
      <c r="N633" s="72">
        <f t="shared" si="338"/>
        <v>0.74166752719881979</v>
      </c>
      <c r="O633" s="72">
        <f t="shared" si="339"/>
        <v>0.60865139446957062</v>
      </c>
      <c r="P633" s="72">
        <f t="shared" si="340"/>
        <v>0.95435902208984857</v>
      </c>
      <c r="Q633" s="72"/>
      <c r="R633" s="72"/>
      <c r="S633" s="72">
        <f t="shared" si="341"/>
        <v>0.41586620615048608</v>
      </c>
      <c r="T633" s="72">
        <f t="shared" si="342"/>
        <v>0.70488499388828885</v>
      </c>
      <c r="U633" s="72">
        <f t="shared" si="343"/>
        <v>0.82868619736715465</v>
      </c>
      <c r="V633" s="72">
        <f t="shared" si="344"/>
        <v>0.52223163691801244</v>
      </c>
      <c r="W633" s="72">
        <f t="shared" si="345"/>
        <v>0.78935868754660699</v>
      </c>
      <c r="X633" s="72">
        <f t="shared" si="346"/>
        <v>0.14979591399626097</v>
      </c>
      <c r="Y633" s="72">
        <f t="shared" si="347"/>
        <v>0.23177401874725367</v>
      </c>
      <c r="Z633" s="72">
        <f t="shared" si="348"/>
        <v>0.25833247280118021</v>
      </c>
      <c r="AA633" s="72">
        <f t="shared" si="349"/>
        <v>0.39134860553042944</v>
      </c>
      <c r="AB633" s="72">
        <f t="shared" si="350"/>
        <v>4.5640977910151426E-2</v>
      </c>
      <c r="AC633" s="72"/>
      <c r="AD633" s="72"/>
      <c r="AE633" s="72">
        <f t="shared" si="351"/>
        <v>0.58413379384951392</v>
      </c>
      <c r="AF633" s="72">
        <f t="shared" si="352"/>
        <v>0.2951150061117111</v>
      </c>
      <c r="AG633" s="72">
        <f t="shared" si="353"/>
        <v>0.17131380263284535</v>
      </c>
      <c r="AH633" s="72">
        <f t="shared" si="354"/>
        <v>0.4777683630819875</v>
      </c>
      <c r="AI633" s="72">
        <f t="shared" si="355"/>
        <v>0.21064131245339301</v>
      </c>
      <c r="AJ633" s="72">
        <f>(AV633-Driver!$K$179)/(Driver!$L$179-Driver!$K$179)</f>
        <v>0.10442349528643945</v>
      </c>
      <c r="AK633" s="72">
        <f>(AW633-Driver!$K$180)/(Driver!$L$180-Driver!$K$180)</f>
        <v>0.22005771894326254</v>
      </c>
      <c r="AL633" s="72">
        <f>(AX633-Driver!$K$181)/(Driver!$L$181-Driver!$K$181)</f>
        <v>0.36002023651426041</v>
      </c>
      <c r="AM633" s="72">
        <f>(AY633-Driver!$K$182)/(Driver!$L$182-Driver!$K$182)</f>
        <v>5.6036415566616905E-2</v>
      </c>
      <c r="AN633" s="72">
        <f>(AZ633-Driver!$K$183)/(Driver!$L$183-Driver!$K$183)</f>
        <v>0.208578431372549</v>
      </c>
      <c r="AO633" s="72"/>
      <c r="AP633" s="72"/>
      <c r="AQ633" s="72">
        <f>(BC633-Driver!$K$188)/(Driver!$L$188-Driver!$K$188)</f>
        <v>3.5866206150486066E-2</v>
      </c>
      <c r="AR633" s="72">
        <f>MIN((BD633-Driver!$K$189)/(Driver!$L$189-Driver!$K$189),100%)</f>
        <v>0.25488499388828895</v>
      </c>
      <c r="AS633" s="72">
        <f>(BE633-Driver!$K$190)/(Driver!$L$190-Driver!$K$190)</f>
        <v>0.33868619736715466</v>
      </c>
      <c r="AT633" s="72">
        <f>(BF633-Driver!$K$191)/(Driver!$L$191-Driver!$K$191)</f>
        <v>3.22316369180125E-2</v>
      </c>
      <c r="AU633" s="72">
        <f>(BG633-Driver!$K$192)/(Driver!$L$192-Driver!$K$192)</f>
        <v>3.9358687546606999E-2</v>
      </c>
      <c r="AV633" s="70">
        <f t="shared" si="356"/>
        <v>2.197802197802198</v>
      </c>
      <c r="AW633" s="70">
        <f t="shared" si="357"/>
        <v>23.318467242230177</v>
      </c>
      <c r="AX633" s="70">
        <f t="shared" si="358"/>
        <v>4.2401821286283434</v>
      </c>
      <c r="AY633" s="70">
        <f>IFERROR(Driver!$K$19/Data!BH633/Data!BI633*Data!BK633*Data!BL633,"")</f>
        <v>6.8605292306228013E-2</v>
      </c>
      <c r="AZ633" s="70">
        <f t="shared" si="359"/>
        <v>19.009679821295606</v>
      </c>
      <c r="BA633" s="70"/>
      <c r="BB633" s="70"/>
      <c r="BC633" s="70">
        <f t="shared" si="360"/>
        <v>18.60405046807713</v>
      </c>
      <c r="BD633" s="70">
        <f t="shared" si="361"/>
        <v>24.277693213726455</v>
      </c>
      <c r="BE633" s="70">
        <f t="shared" si="362"/>
        <v>0.33880416830614046</v>
      </c>
      <c r="BF633" s="70">
        <f t="shared" si="363"/>
        <v>3.6403369498245488</v>
      </c>
      <c r="BG633" s="70">
        <f t="shared" si="364"/>
        <v>0.14903709917971661</v>
      </c>
      <c r="BH633" s="67">
        <f>MAX((CE633-Driver!$F$200)/(Driver!$G$200-Driver!$F$200)*$BI$1,1)</f>
        <v>4.2401821286283434</v>
      </c>
      <c r="BI633" s="67">
        <f>MAX($BI$1*(BY633-Driver!$F$201)/(Driver!$G$201-Driver!$F$201),1)</f>
        <v>7.0253164556962027</v>
      </c>
      <c r="BJ633" s="67">
        <f>(CB633-Driver!$F$206)/(Driver!$G$206-Driver!$F$206)*$BI$1</f>
        <v>2.5396825396825395</v>
      </c>
      <c r="BK633" s="67">
        <f>(CD633-Driver!$F$203)/(Driver!$G$203-Driver!$F$203)*$BI$1</f>
        <v>1.5596330275229362</v>
      </c>
      <c r="BL633" s="67">
        <f>MAX((CR633-Driver!$F$202)/(Driver!$G$202-Driver!$F$202)*$BI$1,1)</f>
        <v>6.5517241379310338</v>
      </c>
      <c r="BM633" s="67">
        <f>MAX((CH633-Driver!$F$204)/(Driver!$G$204-Driver!$F$204)*$BI$1,1)</f>
        <v>3.4615384615384617</v>
      </c>
      <c r="BN633" s="67">
        <f>(CI633-Driver!$F$205)/(Driver!$G$205-Driver!$F$205)*$BI$1</f>
        <v>2.7058823529411762</v>
      </c>
      <c r="BO633" s="67">
        <f>(CK633-Driver!$F$207)/(Driver!$G$207-Driver!$F$207)*$BI$1</f>
        <v>1.5718717683557393</v>
      </c>
      <c r="BP633" s="67">
        <f>(CM633-Driver!$F$208)/(Driver!$G$208-Driver!$F$208)*$BI$1</f>
        <v>1.4222222222222223</v>
      </c>
      <c r="BQ633" s="67">
        <f>(CL633-Driver!$F$209)/(Driver!$G$209-Driver!$F$209)*$BI$1</f>
        <v>2.1875</v>
      </c>
      <c r="BR633" s="28" t="s">
        <v>155</v>
      </c>
      <c r="BS633" s="8" t="s">
        <v>172</v>
      </c>
      <c r="BT633" s="9" t="s">
        <v>701</v>
      </c>
      <c r="BU633" s="10">
        <v>159</v>
      </c>
      <c r="BV633" s="9" t="s">
        <v>163</v>
      </c>
      <c r="BW633" s="10">
        <v>159</v>
      </c>
      <c r="BX633" s="10">
        <v>158.4</v>
      </c>
      <c r="BY633" s="10">
        <v>119</v>
      </c>
      <c r="BZ633" s="10">
        <v>144</v>
      </c>
      <c r="CA633" s="10">
        <v>125</v>
      </c>
      <c r="CB633" s="10">
        <v>80</v>
      </c>
      <c r="CC633" s="10">
        <v>113</v>
      </c>
      <c r="CD633" s="10">
        <v>12.8</v>
      </c>
      <c r="CE633" s="10">
        <v>1645</v>
      </c>
      <c r="CF633" s="10">
        <v>0.91</v>
      </c>
      <c r="CG633" s="10">
        <v>1501</v>
      </c>
      <c r="CH633" s="10">
        <v>182</v>
      </c>
      <c r="CI633" s="10">
        <v>79</v>
      </c>
      <c r="CJ633" s="10">
        <v>47</v>
      </c>
      <c r="CK633" s="10">
        <v>262</v>
      </c>
      <c r="CL633" s="10">
        <v>14</v>
      </c>
      <c r="CM633" s="10">
        <v>128</v>
      </c>
      <c r="CN633" s="10">
        <v>0.29099999999999998</v>
      </c>
      <c r="CO633" s="10">
        <v>84</v>
      </c>
      <c r="CP633" s="10">
        <v>65</v>
      </c>
      <c r="CQ633" s="10">
        <v>178</v>
      </c>
      <c r="CR633" s="10">
        <v>8</v>
      </c>
      <c r="CS633" s="10">
        <v>7</v>
      </c>
      <c r="CT633" s="9" t="s">
        <v>188</v>
      </c>
      <c r="CU633" s="10"/>
      <c r="CV633" s="10"/>
      <c r="CW633" s="10"/>
      <c r="CX633" t="str">
        <f>INDEX('Data_Price '!AG$2:AG$1266,MATCH(Data!$DN633,'Data_Price '!$AT$2:$AT$1266,0))</f>
        <v>Rossignol Experience W 82 Basalt Women's Skis w Look Xpress 11 Demo Bindings  Demo</v>
      </c>
      <c r="CY633" t="str">
        <f>INDEX('Data_Price '!AH$2:AH$1266,MATCH(Data!$DN633,'Data_Price '!$AT$2:$AT$1266,0))</f>
        <v>Powder7 Ski Shop</v>
      </c>
      <c r="CZ633">
        <f>INDEX('Data_Price '!AI$2:AI$1266,MATCH(Data!$DN633,'Data_Price '!$AT$2:$AT$1266,0))</f>
        <v>599.99</v>
      </c>
      <c r="DA633" t="str">
        <f>INDEX('Data_Price '!AJ$2:AJ$1266,MATCH(Data!$DN633,'Data_Price '!$AT$2:$AT$1266,0))</f>
        <v>https://tinyurl.com/ycgw6n4h</v>
      </c>
      <c r="DB633" t="str">
        <f>INDEX('Data_Price '!AK$2:AK$1266,MATCH(Data!$DN633,'Data_Price '!$AT$2:$AT$1266,0))</f>
        <v>Rossignol Experience W 82 Basalt W XP11 159cm</v>
      </c>
      <c r="DC633" t="str">
        <f>INDEX('Data_Price '!AL$2:AL$1266,MATCH(Data!$DN633,'Data_Price '!$AT$2:$AT$1266,0))</f>
        <v>Sundance Ski and Board Shop</v>
      </c>
      <c r="DD633">
        <f>INDEX('Data_Price '!AM$2:AM$1266,MATCH(Data!$DN633,'Data_Price '!$AT$2:$AT$1266,0))</f>
        <v>641.37</v>
      </c>
      <c r="DE633" t="str">
        <f>INDEX('Data_Price '!AN$2:AN$1266,MATCH(Data!$DN633,'Data_Price '!$AT$2:$AT$1266,0))</f>
        <v>https://tinyurl.com/y9r47tyy</v>
      </c>
      <c r="DF633" t="str">
        <f>INDEX('Data_Price '!AO$2:AO$1266,MATCH(Data!$DN633,'Data_Price '!$AT$2:$AT$1266,0))</f>
        <v>Rossignol Experience W 82 Ti Skis Womens 2022</v>
      </c>
      <c r="DG633" t="str">
        <f>INDEX('Data_Price '!AP$2:AP$1266,MATCH(Data!$DN633,'Data_Price '!$AT$2:$AT$1266,0))</f>
        <v>BlueZone Sports</v>
      </c>
      <c r="DH633">
        <f>INDEX('Data_Price '!AQ$2:AQ$1266,MATCH(Data!$DN633,'Data_Price '!$AT$2:$AT$1266,0))</f>
        <v>559.96</v>
      </c>
      <c r="DI633" t="str">
        <f>INDEX('Data_Price '!AR$2:AR$1266,MATCH(Data!$DN633,'Data_Price '!$AT$2:$AT$1266,0))</f>
        <v>https://tinyurl.com/y7fazfcy</v>
      </c>
      <c r="DJ633" s="89" t="str">
        <f t="shared" si="365"/>
        <v>https://tinyurl.com/ycgw6n4h</v>
      </c>
      <c r="DK633" s="89" t="str">
        <f t="shared" si="366"/>
        <v>https://tinyurl.com/y9r47tyy</v>
      </c>
      <c r="DL633" s="89" t="str">
        <f t="shared" si="367"/>
        <v>https://tinyurl.com/y7fazfcy</v>
      </c>
      <c r="DM633" s="219" t="str">
        <f t="shared" si="368"/>
        <v>Experience 82 Basalt W</v>
      </c>
      <c r="DN633" s="89" t="str">
        <f t="shared" si="369"/>
        <v xml:space="preserve"> RossignolExperience 82 Basalt W159 Women's</v>
      </c>
      <c r="DO633" s="221"/>
    </row>
    <row r="634" spans="2:119" ht="15.6" customHeight="1">
      <c r="B634" s="219" t="b">
        <f t="array" ref="B634">IF(OR(ISERROR(K634:P634)),FALSE,TRUE)</f>
        <v>1</v>
      </c>
      <c r="C634" s="43" t="b">
        <f>OR(BR634=Driver!$G$50,Data!BR733=Driver!$H$50)</f>
        <v>1</v>
      </c>
      <c r="D634" s="43" t="b">
        <f>OR(BV634=Driver!$G$51,BV634=Driver!$H$51)</f>
        <v>0</v>
      </c>
      <c r="E634" s="43" t="b">
        <f>AND(BX634&gt;Driver!$F$54,BX634&lt;Driver!$G$54)</f>
        <v>1</v>
      </c>
      <c r="F634" s="43" t="b">
        <f>CL634&gt;Driver!$F$56</f>
        <v>1</v>
      </c>
      <c r="G634" s="43" t="b">
        <f>AND(CB634&gt;Driver!$F$55,CB634&lt;Driver!$G$55)</f>
        <v>0</v>
      </c>
      <c r="H634" s="43" t="b">
        <f t="shared" si="333"/>
        <v>0</v>
      </c>
      <c r="I634" s="43">
        <f t="shared" si="334"/>
        <v>0</v>
      </c>
      <c r="J634" s="43" t="b">
        <f t="array" ref="J634">NOT(OR(($H$9:$H$1273=TRUE)*($I$9:$I$1273&gt;0)*($BT$9:$BT$1273=BT634)*($K$9:$K$1273&gt;K634)))</f>
        <v>1</v>
      </c>
      <c r="K634" s="72">
        <f t="shared" si="335"/>
        <v>0.81007517662252926</v>
      </c>
      <c r="L634" s="72">
        <f t="shared" si="336"/>
        <v>0.80322962786176821</v>
      </c>
      <c r="M634" s="72">
        <f t="shared" si="337"/>
        <v>0.8169207253832903</v>
      </c>
      <c r="N634" s="72">
        <f t="shared" si="338"/>
        <v>0.83905575207708449</v>
      </c>
      <c r="O634" s="72">
        <f t="shared" si="339"/>
        <v>0.6325925000221535</v>
      </c>
      <c r="P634" s="72">
        <f t="shared" si="340"/>
        <v>0.97911392405063291</v>
      </c>
      <c r="Q634" s="72"/>
      <c r="R634" s="72"/>
      <c r="S634" s="72">
        <f t="shared" si="341"/>
        <v>0.42035467385187708</v>
      </c>
      <c r="T634" s="72">
        <f t="shared" si="342"/>
        <v>0.4760736685916509</v>
      </c>
      <c r="U634" s="72">
        <f t="shared" si="343"/>
        <v>0.92084693249424188</v>
      </c>
      <c r="V634" s="72">
        <f t="shared" si="344"/>
        <v>0.51988326533051998</v>
      </c>
      <c r="W634" s="72">
        <f t="shared" si="345"/>
        <v>0.91667758310135905</v>
      </c>
      <c r="X634" s="72">
        <f t="shared" si="346"/>
        <v>0.19677037213823181</v>
      </c>
      <c r="Y634" s="72">
        <f t="shared" si="347"/>
        <v>0.1830792746167097</v>
      </c>
      <c r="Z634" s="72">
        <f t="shared" si="348"/>
        <v>0.16094424792291551</v>
      </c>
      <c r="AA634" s="72">
        <f t="shared" si="349"/>
        <v>0.3674074999778465</v>
      </c>
      <c r="AB634" s="72">
        <f t="shared" si="350"/>
        <v>2.0886075949367117E-2</v>
      </c>
      <c r="AC634" s="72"/>
      <c r="AD634" s="72"/>
      <c r="AE634" s="72">
        <f t="shared" si="351"/>
        <v>0.57964532614812292</v>
      </c>
      <c r="AF634" s="72">
        <f t="shared" si="352"/>
        <v>0.5239263314083491</v>
      </c>
      <c r="AG634" s="72">
        <f t="shared" si="353"/>
        <v>7.9153067505758179E-2</v>
      </c>
      <c r="AH634" s="72">
        <f t="shared" si="354"/>
        <v>0.48011673466948002</v>
      </c>
      <c r="AI634" s="72">
        <f t="shared" si="355"/>
        <v>8.3322416898640922E-2</v>
      </c>
      <c r="AJ634" s="72">
        <f>(AV634-Driver!$K$179)/(Driver!$L$179-Driver!$K$179)</f>
        <v>5.7449037144468612E-2</v>
      </c>
      <c r="AK634" s="72">
        <f>(AW634-Driver!$K$180)/(Driver!$L$180-Driver!$K$180)</f>
        <v>0.23451469066560116</v>
      </c>
      <c r="AL634" s="72">
        <f>(AX634-Driver!$K$181)/(Driver!$L$181-Driver!$K$181)</f>
        <v>0.2626320116359957</v>
      </c>
      <c r="AM634" s="72">
        <f>(AY634-Driver!$K$182)/(Driver!$L$182-Driver!$K$182)</f>
        <v>7.9977521119199868E-2</v>
      </c>
      <c r="AN634" s="72">
        <f>(AZ634-Driver!$K$183)/(Driver!$L$183-Driver!$K$183)</f>
        <v>0.23333333333333331</v>
      </c>
      <c r="AO634" s="72"/>
      <c r="AP634" s="72"/>
      <c r="AQ634" s="72">
        <f>(BC634-Driver!$K$188)/(Driver!$L$188-Driver!$K$188)</f>
        <v>4.0354673851877049E-2</v>
      </c>
      <c r="AR634" s="72">
        <f>MIN((BD634-Driver!$K$189)/(Driver!$L$189-Driver!$K$189),100%)</f>
        <v>2.6073668591651E-2</v>
      </c>
      <c r="AS634" s="72">
        <f>(BE634-Driver!$K$190)/(Driver!$L$190-Driver!$K$190)</f>
        <v>0.43084693249424183</v>
      </c>
      <c r="AT634" s="72">
        <f>(BF634-Driver!$K$191)/(Driver!$L$191-Driver!$K$191)</f>
        <v>2.9883265330519999E-2</v>
      </c>
      <c r="AU634" s="72">
        <f>(BG634-Driver!$K$192)/(Driver!$L$192-Driver!$K$192)</f>
        <v>0.16667758310135908</v>
      </c>
      <c r="AV634" s="70">
        <f t="shared" si="356"/>
        <v>1.2091303757970424</v>
      </c>
      <c r="AW634" s="70">
        <f t="shared" si="357"/>
        <v>24.727427238373128</v>
      </c>
      <c r="AX634" s="70">
        <f t="shared" si="358"/>
        <v>3.3636881047239613</v>
      </c>
      <c r="AY634" s="70">
        <f>IFERROR(Driver!$K$19/Data!BH634/Data!BI634*Data!BK634*Data!BL634,"")</f>
        <v>9.7916348839039269E-2</v>
      </c>
      <c r="AZ634" s="70">
        <f t="shared" si="359"/>
        <v>21.265822784810126</v>
      </c>
      <c r="BA634" s="70"/>
      <c r="BB634" s="70"/>
      <c r="BC634" s="70">
        <f t="shared" si="360"/>
        <v>20.93224986810986</v>
      </c>
      <c r="BD634" s="70">
        <f t="shared" si="361"/>
        <v>4.0282963546518822</v>
      </c>
      <c r="BE634" s="70">
        <f t="shared" si="362"/>
        <v>0.43094846299539424</v>
      </c>
      <c r="BF634" s="70">
        <f t="shared" si="363"/>
        <v>3.3751048772614083</v>
      </c>
      <c r="BG634" s="70">
        <f t="shared" si="364"/>
        <v>0.63114765842475851</v>
      </c>
      <c r="BH634" s="67">
        <f>MAX((CE634-Driver!$F$200)/(Driver!$G$200-Driver!$F$200)*$BI$1,1)</f>
        <v>3.3636881047239613</v>
      </c>
      <c r="BI634" s="67">
        <f>MAX($BI$1*(BY634-Driver!$F$201)/(Driver!$G$201-Driver!$F$201),1)</f>
        <v>7.0886075949367084</v>
      </c>
      <c r="BJ634" s="67">
        <f>(CB634-Driver!$F$206)/(Driver!$G$206-Driver!$F$206)*$BI$1</f>
        <v>3.6507936507936507</v>
      </c>
      <c r="BK634" s="67">
        <f>(CD634-Driver!$F$203)/(Driver!$G$203-Driver!$F$203)*$BI$1</f>
        <v>1.8807339449541285</v>
      </c>
      <c r="BL634" s="67">
        <f>MAX((CR634-Driver!$F$202)/(Driver!$G$202-Driver!$F$202)*$BI$1,1)</f>
        <v>6.2068965517241379</v>
      </c>
      <c r="BM634" s="67">
        <f>MAX((CH634-Driver!$F$204)/(Driver!$G$204-Driver!$F$204)*$BI$1,1)</f>
        <v>1.3247863247863247</v>
      </c>
      <c r="BN634" s="67">
        <f>(CI634-Driver!$F$205)/(Driver!$G$205-Driver!$F$205)*$BI$1</f>
        <v>3</v>
      </c>
      <c r="BO634" s="67">
        <f>(CK634-Driver!$F$207)/(Driver!$G$207-Driver!$F$207)*$BI$1</f>
        <v>1.0031023784901758</v>
      </c>
      <c r="BP634" s="67">
        <f>(CM634-Driver!$F$208)/(Driver!$G$208-Driver!$F$208)*$BI$1</f>
        <v>1.7333333333333334</v>
      </c>
      <c r="BQ634" s="67">
        <f>(CL634-Driver!$F$209)/(Driver!$G$209-Driver!$F$209)*$BI$1</f>
        <v>2.8125</v>
      </c>
      <c r="BR634" s="28" t="s">
        <v>155</v>
      </c>
      <c r="BS634" s="8" t="s">
        <v>262</v>
      </c>
      <c r="BT634" s="9" t="s">
        <v>485</v>
      </c>
      <c r="BU634" s="10">
        <v>156</v>
      </c>
      <c r="BV634" s="9" t="s">
        <v>163</v>
      </c>
      <c r="BW634" s="10">
        <v>156</v>
      </c>
      <c r="BX634" s="10">
        <v>155.9</v>
      </c>
      <c r="BY634" s="10">
        <v>120</v>
      </c>
      <c r="BZ634" s="10">
        <v>132</v>
      </c>
      <c r="CA634" s="10">
        <v>125</v>
      </c>
      <c r="CB634" s="10">
        <v>87</v>
      </c>
      <c r="CC634" s="10">
        <v>111</v>
      </c>
      <c r="CD634" s="10">
        <v>13.5</v>
      </c>
      <c r="CE634" s="10">
        <v>1491</v>
      </c>
      <c r="CF634" s="10">
        <v>1.04</v>
      </c>
      <c r="CG634" s="10">
        <v>1548</v>
      </c>
      <c r="CH634" s="10">
        <v>132</v>
      </c>
      <c r="CI634" s="10">
        <v>84</v>
      </c>
      <c r="CJ634" s="10">
        <v>46</v>
      </c>
      <c r="CK634" s="10">
        <v>207</v>
      </c>
      <c r="CL634" s="10">
        <v>18</v>
      </c>
      <c r="CM634" s="10">
        <v>156</v>
      </c>
      <c r="CN634" s="10">
        <v>0.40100000000000002</v>
      </c>
      <c r="CO634" s="10">
        <v>146</v>
      </c>
      <c r="CP634" s="10">
        <v>98</v>
      </c>
      <c r="CQ634" s="10">
        <v>60</v>
      </c>
      <c r="CR634" s="10">
        <v>7</v>
      </c>
      <c r="CS634" s="10">
        <v>11</v>
      </c>
      <c r="CT634" s="9" t="s">
        <v>188</v>
      </c>
      <c r="CU634" s="10"/>
      <c r="CV634" s="10"/>
      <c r="CW634" s="10"/>
      <c r="CX634" t="e">
        <f>INDEX('Data_Price '!AG$2:AG$1266,MATCH(Data!$DN634,'Data_Price '!$AT$2:$AT$1266,0))</f>
        <v>#N/A</v>
      </c>
      <c r="CY634" t="e">
        <f>INDEX('Data_Price '!AH$2:AH$1266,MATCH(Data!$DN634,'Data_Price '!$AT$2:$AT$1266,0))</f>
        <v>#N/A</v>
      </c>
      <c r="CZ634" t="e">
        <f>INDEX('Data_Price '!AI$2:AI$1266,MATCH(Data!$DN634,'Data_Price '!$AT$2:$AT$1266,0))</f>
        <v>#N/A</v>
      </c>
      <c r="DA634" t="e">
        <f>INDEX('Data_Price '!AJ$2:AJ$1266,MATCH(Data!$DN634,'Data_Price '!$AT$2:$AT$1266,0))</f>
        <v>#N/A</v>
      </c>
      <c r="DB634" t="e">
        <f>INDEX('Data_Price '!AK$2:AK$1266,MATCH(Data!$DN634,'Data_Price '!$AT$2:$AT$1266,0))</f>
        <v>#N/A</v>
      </c>
      <c r="DC634" t="e">
        <f>INDEX('Data_Price '!AL$2:AL$1266,MATCH(Data!$DN634,'Data_Price '!$AT$2:$AT$1266,0))</f>
        <v>#N/A</v>
      </c>
      <c r="DD634" t="e">
        <f>INDEX('Data_Price '!AM$2:AM$1266,MATCH(Data!$DN634,'Data_Price '!$AT$2:$AT$1266,0))</f>
        <v>#N/A</v>
      </c>
      <c r="DE634" t="e">
        <f>INDEX('Data_Price '!AN$2:AN$1266,MATCH(Data!$DN634,'Data_Price '!$AT$2:$AT$1266,0))</f>
        <v>#N/A</v>
      </c>
      <c r="DF634" t="e">
        <f>INDEX('Data_Price '!AO$2:AO$1266,MATCH(Data!$DN634,'Data_Price '!$AT$2:$AT$1266,0))</f>
        <v>#N/A</v>
      </c>
      <c r="DG634" t="e">
        <f>INDEX('Data_Price '!AP$2:AP$1266,MATCH(Data!$DN634,'Data_Price '!$AT$2:$AT$1266,0))</f>
        <v>#N/A</v>
      </c>
      <c r="DH634" t="e">
        <f>INDEX('Data_Price '!AQ$2:AQ$1266,MATCH(Data!$DN634,'Data_Price '!$AT$2:$AT$1266,0))</f>
        <v>#N/A</v>
      </c>
      <c r="DI634" t="e">
        <f>INDEX('Data_Price '!AR$2:AR$1266,MATCH(Data!$DN634,'Data_Price '!$AT$2:$AT$1266,0))</f>
        <v>#N/A</v>
      </c>
      <c r="DJ634" s="89" t="e">
        <f t="shared" si="365"/>
        <v>#N/A</v>
      </c>
      <c r="DK634" s="89" t="e">
        <f t="shared" si="366"/>
        <v>#N/A</v>
      </c>
      <c r="DL634" s="89" t="e">
        <f t="shared" si="367"/>
        <v>#N/A</v>
      </c>
      <c r="DM634" s="219" t="str">
        <f t="shared" si="368"/>
        <v>Mindbender 88 Ti Alliance</v>
      </c>
      <c r="DN634" s="89" t="str">
        <f t="shared" si="369"/>
        <v xml:space="preserve"> K2Mindbender 88 Ti Alliance156 Women's</v>
      </c>
      <c r="DO634" s="221"/>
    </row>
    <row r="635" spans="2:119" ht="15.6" customHeight="1">
      <c r="B635" s="219" t="b">
        <f t="array" ref="B635">IF(OR(ISERROR(K635:P635)),FALSE,TRUE)</f>
        <v>1</v>
      </c>
      <c r="C635" s="43" t="b">
        <f>OR(BR635=Driver!$G$50,Data!BR1127=Driver!$H$50)</f>
        <v>1</v>
      </c>
      <c r="D635" s="43" t="b">
        <f>OR(BV635=Driver!$G$51,BV635=Driver!$H$51)</f>
        <v>1</v>
      </c>
      <c r="E635" s="43" t="b">
        <f>AND(BX635&gt;Driver!$F$54,BX635&lt;Driver!$G$54)</f>
        <v>1</v>
      </c>
      <c r="F635" s="43" t="b">
        <f>CL635&gt;Driver!$F$56</f>
        <v>1</v>
      </c>
      <c r="G635" s="43" t="b">
        <f>AND(CB635&gt;Driver!$F$55,CB635&lt;Driver!$G$55)</f>
        <v>0</v>
      </c>
      <c r="H635" s="43" t="b">
        <f t="shared" si="333"/>
        <v>0</v>
      </c>
      <c r="I635" s="43">
        <f t="shared" si="334"/>
        <v>0</v>
      </c>
      <c r="J635" s="43" t="b">
        <f t="array" ref="J635">NOT(OR(($H$9:$H$1273=TRUE)*($I$9:$I$1273&gt;0)*($BT$9:$BT$1273=BT635)*($K$9:$K$1273&gt;K635)))</f>
        <v>1</v>
      </c>
      <c r="K635" s="72">
        <f t="shared" si="335"/>
        <v>0.83693592735639522</v>
      </c>
      <c r="L635" s="72">
        <f t="shared" si="336"/>
        <v>0.8291743543141088</v>
      </c>
      <c r="M635" s="72">
        <f t="shared" si="337"/>
        <v>0.84469750039868152</v>
      </c>
      <c r="N635" s="72">
        <f t="shared" si="338"/>
        <v>0.84727683599537951</v>
      </c>
      <c r="O635" s="72">
        <f t="shared" si="339"/>
        <v>0.69336350585591444</v>
      </c>
      <c r="P635" s="72">
        <f t="shared" si="340"/>
        <v>0.99345215934475051</v>
      </c>
      <c r="Q635" s="72"/>
      <c r="R635" s="72"/>
      <c r="S635" s="72">
        <f t="shared" si="341"/>
        <v>0.4604451895983751</v>
      </c>
      <c r="T635" s="72">
        <f t="shared" si="342"/>
        <v>0.46687581979661785</v>
      </c>
      <c r="U635" s="72">
        <f t="shared" si="343"/>
        <v>0.51</v>
      </c>
      <c r="V635" s="72">
        <f t="shared" si="344"/>
        <v>0.49652479145975237</v>
      </c>
      <c r="W635" s="72">
        <f t="shared" si="345"/>
        <v>0.80870242214532873</v>
      </c>
      <c r="X635" s="72">
        <f t="shared" si="346"/>
        <v>0.17082564568589115</v>
      </c>
      <c r="Y635" s="72">
        <f t="shared" si="347"/>
        <v>0.15530249960131848</v>
      </c>
      <c r="Z635" s="72">
        <f t="shared" si="348"/>
        <v>0.15272316400462044</v>
      </c>
      <c r="AA635" s="72">
        <f t="shared" si="349"/>
        <v>0.30663649414408556</v>
      </c>
      <c r="AB635" s="72">
        <f t="shared" si="350"/>
        <v>6.5478406552494373E-3</v>
      </c>
      <c r="AC635" s="72"/>
      <c r="AD635" s="72"/>
      <c r="AE635" s="72">
        <f t="shared" si="351"/>
        <v>0.5395548104016249</v>
      </c>
      <c r="AF635" s="72">
        <f t="shared" si="352"/>
        <v>0.53312418020338215</v>
      </c>
      <c r="AG635" s="72">
        <f t="shared" si="353"/>
        <v>0.49</v>
      </c>
      <c r="AH635" s="72">
        <f t="shared" si="354"/>
        <v>0.50347520854024763</v>
      </c>
      <c r="AI635" s="72">
        <f t="shared" si="355"/>
        <v>0.19129757785467127</v>
      </c>
      <c r="AJ635" s="72">
        <f>(AV635-Driver!$K$179)/(Driver!$L$179-Driver!$K$179)</f>
        <v>8.3393763596809278E-2</v>
      </c>
      <c r="AK635" s="72">
        <f>(AW635-Driver!$K$180)/(Driver!$L$180-Driver!$K$180)</f>
        <v>0.24792740605146321</v>
      </c>
      <c r="AL635" s="72">
        <f>(AX635-Driver!$K$181)/(Driver!$L$181-Driver!$K$181)</f>
        <v>0.25441092771770063</v>
      </c>
      <c r="AM635" s="72">
        <f>(AY635-Driver!$K$182)/(Driver!$L$182-Driver!$K$182)</f>
        <v>0.14074852695296081</v>
      </c>
      <c r="AN635" s="72">
        <f>(AZ635-Driver!$K$183)/(Driver!$L$183-Driver!$K$183)</f>
        <v>0.24767156862745099</v>
      </c>
      <c r="AO635" s="72"/>
      <c r="AP635" s="72"/>
      <c r="AQ635" s="72">
        <f>(BC635-Driver!$K$188)/(Driver!$L$188-Driver!$K$188)</f>
        <v>8.0445189598375072E-2</v>
      </c>
      <c r="AR635" s="72">
        <f>MIN((BD635-Driver!$K$189)/(Driver!$L$189-Driver!$K$189),100%)</f>
        <v>1.6875819796617925E-2</v>
      </c>
      <c r="AS635" s="72">
        <f>(BE635-Driver!$K$190)/(Driver!$L$190-Driver!$K$190)</f>
        <v>1</v>
      </c>
      <c r="AT635" s="72">
        <f>(BF635-Driver!$K$191)/(Driver!$L$191-Driver!$K$191)</f>
        <v>6.5247914597523953E-3</v>
      </c>
      <c r="AU635" s="72">
        <f>(BG635-Driver!$K$192)/(Driver!$L$192-Driver!$K$192)</f>
        <v>5.8702422145328718E-2</v>
      </c>
      <c r="AV635" s="70">
        <f t="shared" si="356"/>
        <v>1.7551892551892552</v>
      </c>
      <c r="AW635" s="70">
        <f t="shared" si="357"/>
        <v>26.034615201474001</v>
      </c>
      <c r="AX635" s="70">
        <f t="shared" si="358"/>
        <v>3.2896983494593055</v>
      </c>
      <c r="AY635" s="70">
        <f>IFERROR(Driver!$K$19/Data!BH635/Data!BI635*Data!BK635*Data!BL635,"")</f>
        <v>0.17231819229764231</v>
      </c>
      <c r="AZ635" s="70">
        <f t="shared" si="359"/>
        <v>22.572598659717052</v>
      </c>
      <c r="BA635" s="70"/>
      <c r="BB635" s="70"/>
      <c r="BC635" s="70">
        <f t="shared" si="360"/>
        <v>41.727479090562269</v>
      </c>
      <c r="BD635" s="70">
        <f t="shared" si="361"/>
        <v>3.2143030339151388</v>
      </c>
      <c r="BE635" s="70">
        <f t="shared" si="362"/>
        <v>1</v>
      </c>
      <c r="BF635" s="70">
        <f t="shared" si="363"/>
        <v>0.73692935612470734</v>
      </c>
      <c r="BG635" s="70">
        <f t="shared" si="364"/>
        <v>0.22228481833910035</v>
      </c>
      <c r="BH635" s="67">
        <f>MAX((CE635-Driver!$F$200)/(Driver!$G$200-Driver!$F$200)*$BI$1,1)</f>
        <v>3.2896983494593055</v>
      </c>
      <c r="BI635" s="67">
        <f>MAX($BI$1*(BY635-Driver!$F$201)/(Driver!$G$201-Driver!$F$201),1)</f>
        <v>8.1645569620253173</v>
      </c>
      <c r="BJ635" s="67">
        <f>(CB635-Driver!$F$206)/(Driver!$G$206-Driver!$F$206)*$BI$1</f>
        <v>3.6507936507936507</v>
      </c>
      <c r="BK635" s="67">
        <f>(CD635-Driver!$F$203)/(Driver!$G$203-Driver!$F$203)*$BI$1</f>
        <v>3.5321100917431201</v>
      </c>
      <c r="BL635" s="67">
        <f>MAX((CR635-Driver!$F$202)/(Driver!$G$202-Driver!$F$202)*$BI$1,1)</f>
        <v>6.5517241379310338</v>
      </c>
      <c r="BM635" s="67">
        <f>MAX((CH635-Driver!$F$204)/(Driver!$G$204-Driver!$F$204)*$BI$1,1)</f>
        <v>1.9230769230769231</v>
      </c>
      <c r="BN635" s="67">
        <f>(CI635-Driver!$F$205)/(Driver!$G$205-Driver!$F$205)*$BI$1</f>
        <v>2.7647058823529411</v>
      </c>
      <c r="BO635" s="67">
        <f>(CK635-Driver!$F$207)/(Driver!$G$207-Driver!$F$207)*$BI$1</f>
        <v>0.8790072388831438</v>
      </c>
      <c r="BP635" s="67">
        <f>(CM635-Driver!$F$208)/(Driver!$G$208-Driver!$F$208)*$BI$1</f>
        <v>0.81111111111111112</v>
      </c>
      <c r="BQ635" s="67">
        <f>(CL635-Driver!$F$209)/(Driver!$G$209-Driver!$F$209)*$BI$1</f>
        <v>1.40625</v>
      </c>
      <c r="BR635" s="28" t="s">
        <v>155</v>
      </c>
      <c r="BS635" s="8" t="s">
        <v>213</v>
      </c>
      <c r="BT635" s="9" t="s">
        <v>214</v>
      </c>
      <c r="BU635" s="10">
        <v>165</v>
      </c>
      <c r="BV635" s="9" t="s">
        <v>158</v>
      </c>
      <c r="BW635" s="10">
        <v>165</v>
      </c>
      <c r="BX635" s="10">
        <v>164.2</v>
      </c>
      <c r="BY635" s="10">
        <v>137</v>
      </c>
      <c r="BZ635" s="10">
        <v>144</v>
      </c>
      <c r="CA635" s="10">
        <v>123</v>
      </c>
      <c r="CB635" s="10">
        <v>87</v>
      </c>
      <c r="CC635" s="10">
        <v>111</v>
      </c>
      <c r="CD635" s="10">
        <v>17.100000000000001</v>
      </c>
      <c r="CE635" s="10">
        <v>1478</v>
      </c>
      <c r="CF635" s="10">
        <v>1.0900000000000001</v>
      </c>
      <c r="CG635" s="10">
        <v>1613</v>
      </c>
      <c r="CH635" s="10">
        <v>146</v>
      </c>
      <c r="CI635" s="10">
        <v>80</v>
      </c>
      <c r="CJ635" s="10">
        <v>40</v>
      </c>
      <c r="CK635" s="10">
        <v>195</v>
      </c>
      <c r="CL635" s="10">
        <v>9</v>
      </c>
      <c r="CM635" s="10">
        <v>73</v>
      </c>
      <c r="CN635" s="10">
        <v>0.223</v>
      </c>
      <c r="CO635" s="10">
        <v>140</v>
      </c>
      <c r="CP635" s="10">
        <v>59</v>
      </c>
      <c r="CQ635" s="10">
        <v>56</v>
      </c>
      <c r="CR635" s="10">
        <v>8</v>
      </c>
      <c r="CS635" s="10">
        <v>13.4</v>
      </c>
      <c r="CT635" s="9" t="s">
        <v>188</v>
      </c>
      <c r="CU635" s="9" t="s">
        <v>185</v>
      </c>
      <c r="CV635" s="10"/>
      <c r="CW635" s="10"/>
      <c r="CX635" t="e">
        <f>INDEX('Data_Price '!AG$2:AG$1266,MATCH(Data!$DN635,'Data_Price '!$AT$2:$AT$1266,0))</f>
        <v>#N/A</v>
      </c>
      <c r="CY635" t="e">
        <f>INDEX('Data_Price '!AH$2:AH$1266,MATCH(Data!$DN635,'Data_Price '!$AT$2:$AT$1266,0))</f>
        <v>#N/A</v>
      </c>
      <c r="CZ635" t="e">
        <f>INDEX('Data_Price '!AI$2:AI$1266,MATCH(Data!$DN635,'Data_Price '!$AT$2:$AT$1266,0))</f>
        <v>#N/A</v>
      </c>
      <c r="DA635" t="e">
        <f>INDEX('Data_Price '!AJ$2:AJ$1266,MATCH(Data!$DN635,'Data_Price '!$AT$2:$AT$1266,0))</f>
        <v>#N/A</v>
      </c>
      <c r="DB635" t="e">
        <f>INDEX('Data_Price '!AK$2:AK$1266,MATCH(Data!$DN635,'Data_Price '!$AT$2:$AT$1266,0))</f>
        <v>#N/A</v>
      </c>
      <c r="DC635" t="e">
        <f>INDEX('Data_Price '!AL$2:AL$1266,MATCH(Data!$DN635,'Data_Price '!$AT$2:$AT$1266,0))</f>
        <v>#N/A</v>
      </c>
      <c r="DD635" t="e">
        <f>INDEX('Data_Price '!AM$2:AM$1266,MATCH(Data!$DN635,'Data_Price '!$AT$2:$AT$1266,0))</f>
        <v>#N/A</v>
      </c>
      <c r="DE635" t="e">
        <f>INDEX('Data_Price '!AN$2:AN$1266,MATCH(Data!$DN635,'Data_Price '!$AT$2:$AT$1266,0))</f>
        <v>#N/A</v>
      </c>
      <c r="DF635" t="e">
        <f>INDEX('Data_Price '!AO$2:AO$1266,MATCH(Data!$DN635,'Data_Price '!$AT$2:$AT$1266,0))</f>
        <v>#N/A</v>
      </c>
      <c r="DG635" t="e">
        <f>INDEX('Data_Price '!AP$2:AP$1266,MATCH(Data!$DN635,'Data_Price '!$AT$2:$AT$1266,0))</f>
        <v>#N/A</v>
      </c>
      <c r="DH635" t="e">
        <f>INDEX('Data_Price '!AQ$2:AQ$1266,MATCH(Data!$DN635,'Data_Price '!$AT$2:$AT$1266,0))</f>
        <v>#N/A</v>
      </c>
      <c r="DI635" t="e">
        <f>INDEX('Data_Price '!AR$2:AR$1266,MATCH(Data!$DN635,'Data_Price '!$AT$2:$AT$1266,0))</f>
        <v>#N/A</v>
      </c>
      <c r="DJ635" s="89" t="e">
        <f t="shared" si="365"/>
        <v>#N/A</v>
      </c>
      <c r="DK635" s="89" t="e">
        <f t="shared" si="366"/>
        <v>#N/A</v>
      </c>
      <c r="DL635" s="89" t="e">
        <f t="shared" si="367"/>
        <v>#N/A</v>
      </c>
      <c r="DM635" s="219" t="str">
        <f t="shared" si="368"/>
        <v>Edge 88</v>
      </c>
      <c r="DN635" s="89" t="str">
        <f t="shared" si="369"/>
        <v xml:space="preserve"> StöckliEdge 88165 Unisex</v>
      </c>
      <c r="DO635" s="221"/>
    </row>
    <row r="636" spans="2:119" ht="15.6" customHeight="1">
      <c r="B636" s="219" t="b">
        <f t="array" ref="B636">IF(OR(ISERROR(K636:P636)),FALSE,TRUE)</f>
        <v>1</v>
      </c>
      <c r="C636" s="43" t="b">
        <f>OR(BR636=Driver!$G$50,Data!BR1075=Driver!$H$50)</f>
        <v>1</v>
      </c>
      <c r="D636" s="43" t="b">
        <f>OR(BV636=Driver!$G$51,BV636=Driver!$H$51)</f>
        <v>1</v>
      </c>
      <c r="E636" s="43" t="b">
        <f>AND(BX636&gt;Driver!$F$54,BX636&lt;Driver!$G$54)</f>
        <v>0</v>
      </c>
      <c r="F636" s="43" t="b">
        <f>CL636&gt;Driver!$F$56</f>
        <v>1</v>
      </c>
      <c r="G636" s="43" t="b">
        <f>AND(CB636&gt;Driver!$F$55,CB636&lt;Driver!$G$55)</f>
        <v>0</v>
      </c>
      <c r="H636" s="43" t="b">
        <f t="shared" si="333"/>
        <v>0</v>
      </c>
      <c r="I636" s="43">
        <f t="shared" si="334"/>
        <v>0</v>
      </c>
      <c r="J636" s="43" t="b">
        <f t="array" ref="J636">NOT(OR(($H$9:$H$1273=TRUE)*($I$9:$I$1273&gt;0)*($BT$9:$BT$1273=BT636)*($K$9:$K$1273&gt;K636)))</f>
        <v>1</v>
      </c>
      <c r="K636" s="72">
        <f t="shared" si="335"/>
        <v>0.83833219159632066</v>
      </c>
      <c r="L636" s="72">
        <f t="shared" si="336"/>
        <v>0.98242550248911487</v>
      </c>
      <c r="M636" s="72">
        <f t="shared" si="337"/>
        <v>0.69423888070352657</v>
      </c>
      <c r="N636" s="72">
        <f t="shared" si="338"/>
        <v>0.52538978104059553</v>
      </c>
      <c r="O636" s="72">
        <f t="shared" si="339"/>
        <v>0.60035345989516831</v>
      </c>
      <c r="P636" s="72">
        <f t="shared" si="340"/>
        <v>0.95697340117481589</v>
      </c>
      <c r="Q636" s="72"/>
      <c r="R636" s="72"/>
      <c r="S636" s="72">
        <f t="shared" si="341"/>
        <v>0.40974947244496795</v>
      </c>
      <c r="T636" s="72">
        <f t="shared" si="342"/>
        <v>0.59272561105965993</v>
      </c>
      <c r="U636" s="72">
        <f t="shared" si="343"/>
        <v>0.50769146206012994</v>
      </c>
      <c r="V636" s="72">
        <f t="shared" si="344"/>
        <v>0.79023506382967579</v>
      </c>
      <c r="W636" s="72">
        <f t="shared" si="345"/>
        <v>0.80085484221080594</v>
      </c>
      <c r="X636" s="72">
        <f t="shared" si="346"/>
        <v>1.7574497510885134E-2</v>
      </c>
      <c r="Y636" s="72">
        <f t="shared" si="347"/>
        <v>0.30576111929647343</v>
      </c>
      <c r="Z636" s="72">
        <f t="shared" si="348"/>
        <v>0.47461021895940447</v>
      </c>
      <c r="AA636" s="72">
        <f t="shared" si="349"/>
        <v>0.39964654010483169</v>
      </c>
      <c r="AB636" s="72">
        <f t="shared" si="350"/>
        <v>4.3026598825184087E-2</v>
      </c>
      <c r="AC636" s="72"/>
      <c r="AD636" s="72"/>
      <c r="AE636" s="72">
        <f t="shared" si="351"/>
        <v>0.59025052755503205</v>
      </c>
      <c r="AF636" s="72">
        <f t="shared" si="352"/>
        <v>0.40727438894034013</v>
      </c>
      <c r="AG636" s="72">
        <f t="shared" si="353"/>
        <v>0.49230853793987006</v>
      </c>
      <c r="AH636" s="72">
        <f t="shared" si="354"/>
        <v>0.20976493617032421</v>
      </c>
      <c r="AI636" s="72">
        <f t="shared" si="355"/>
        <v>0.19914515778919406</v>
      </c>
      <c r="AJ636" s="72">
        <f>(AV636-Driver!$K$179)/(Driver!$L$179-Driver!$K$179)</f>
        <v>0.23664491177181529</v>
      </c>
      <c r="AK636" s="72">
        <f>(AW636-Driver!$K$180)/(Driver!$L$180-Driver!$K$180)</f>
        <v>0.2423708577561586</v>
      </c>
      <c r="AL636" s="72">
        <f>(AX636-Driver!$K$181)/(Driver!$L$181-Driver!$K$181)</f>
        <v>0.57629798267248467</v>
      </c>
      <c r="AM636" s="72">
        <f>(AY636-Driver!$K$182)/(Driver!$L$182-Driver!$K$182)</f>
        <v>4.7738480992214657E-2</v>
      </c>
      <c r="AN636" s="72">
        <f>(AZ636-Driver!$K$183)/(Driver!$L$183-Driver!$K$183)</f>
        <v>0.21119281045751634</v>
      </c>
      <c r="AO636" s="72"/>
      <c r="AP636" s="72"/>
      <c r="AQ636" s="72">
        <f>(BC636-Driver!$K$188)/(Driver!$L$188-Driver!$K$188)</f>
        <v>2.9749472444967909E-2</v>
      </c>
      <c r="AR636" s="72">
        <f>MIN((BD636-Driver!$K$189)/(Driver!$L$189-Driver!$K$189),100%)</f>
        <v>0.14272561105965992</v>
      </c>
      <c r="AS636" s="72">
        <f>(BE636-Driver!$K$190)/(Driver!$L$190-Driver!$K$190)</f>
        <v>1.7691462060129972E-2</v>
      </c>
      <c r="AT636" s="72">
        <f>(BF636-Driver!$K$191)/(Driver!$L$191-Driver!$K$191)</f>
        <v>0.3002350638296758</v>
      </c>
      <c r="AU636" s="72">
        <f>(BG636-Driver!$K$192)/(Driver!$L$192-Driver!$K$192)</f>
        <v>5.0854842210805939E-2</v>
      </c>
      <c r="AV636" s="70">
        <f t="shared" si="356"/>
        <v>4.9806674806674804</v>
      </c>
      <c r="AW636" s="70">
        <f t="shared" si="357"/>
        <v>25.493080334069965</v>
      </c>
      <c r="AX636" s="70">
        <f t="shared" si="358"/>
        <v>6.1866818440523623</v>
      </c>
      <c r="AY636" s="70">
        <f>IFERROR(Driver!$K$19/Data!BH636/Data!BI636*Data!BK636*Data!BL636,"")</f>
        <v>5.8446144522443538E-2</v>
      </c>
      <c r="AZ636" s="70">
        <f t="shared" si="359"/>
        <v>19.247952345495161</v>
      </c>
      <c r="BA636" s="70"/>
      <c r="BB636" s="70"/>
      <c r="BC636" s="70">
        <f t="shared" si="360"/>
        <v>15.431258172182012</v>
      </c>
      <c r="BD636" s="70">
        <f t="shared" si="361"/>
        <v>14.351786568059406</v>
      </c>
      <c r="BE636" s="70">
        <f t="shared" si="362"/>
        <v>1.7866694846944895E-2</v>
      </c>
      <c r="BF636" s="70">
        <f t="shared" si="363"/>
        <v>33.909441188862075</v>
      </c>
      <c r="BG636" s="70">
        <f t="shared" si="364"/>
        <v>0.1925688744922113</v>
      </c>
      <c r="BH636" s="67">
        <f>MAX((CE636-Driver!$F$200)/(Driver!$G$200-Driver!$F$200)*$BI$1,1)</f>
        <v>6.1866818440523623</v>
      </c>
      <c r="BI636" s="67">
        <f>MAX($BI$1*(BY636-Driver!$F$201)/(Driver!$G$201-Driver!$F$201),1)</f>
        <v>5.9493670886075947</v>
      </c>
      <c r="BJ636" s="67">
        <f>(CB636-Driver!$F$206)/(Driver!$G$206-Driver!$F$206)*$BI$1</f>
        <v>5.2380952380952381</v>
      </c>
      <c r="BK636" s="67">
        <f>(CD636-Driver!$F$203)/(Driver!$G$203-Driver!$F$203)*$BI$1</f>
        <v>1.834862385321101</v>
      </c>
      <c r="BL636" s="67">
        <f>MAX((CR636-Driver!$F$202)/(Driver!$G$202-Driver!$F$202)*$BI$1,1)</f>
        <v>5.8620689655172411</v>
      </c>
      <c r="BM636" s="67">
        <f>MAX((CH636-Driver!$F$204)/(Driver!$G$204-Driver!$F$204)*$BI$1,1)</f>
        <v>3.8034188034188032</v>
      </c>
      <c r="BN636" s="67">
        <f>(CI636-Driver!$F$205)/(Driver!$G$205-Driver!$F$205)*$BI$1</f>
        <v>3.2352941176470589</v>
      </c>
      <c r="BO636" s="67">
        <f>(CK636-Driver!$F$207)/(Driver!$G$207-Driver!$F$207)*$BI$1</f>
        <v>2.936918304033092</v>
      </c>
      <c r="BP636" s="67">
        <f>(CM636-Driver!$F$208)/(Driver!$G$208-Driver!$F$208)*$BI$1</f>
        <v>4.0444444444444443</v>
      </c>
      <c r="BQ636" s="67">
        <f>(CL636-Driver!$F$209)/(Driver!$G$209-Driver!$F$209)*$BI$1</f>
        <v>4.53125</v>
      </c>
      <c r="BR636" s="28" t="s">
        <v>155</v>
      </c>
      <c r="BS636" s="8" t="s">
        <v>174</v>
      </c>
      <c r="BT636" s="9" t="s">
        <v>573</v>
      </c>
      <c r="BU636" s="10">
        <v>176</v>
      </c>
      <c r="BV636" s="9" t="s">
        <v>158</v>
      </c>
      <c r="BW636" s="10">
        <v>176</v>
      </c>
      <c r="BX636" s="10">
        <v>177.6</v>
      </c>
      <c r="BY636" s="10">
        <v>102</v>
      </c>
      <c r="BZ636" s="10">
        <v>134</v>
      </c>
      <c r="CA636" s="10">
        <v>131</v>
      </c>
      <c r="CB636" s="10">
        <v>97</v>
      </c>
      <c r="CC636" s="10">
        <v>119</v>
      </c>
      <c r="CD636" s="10">
        <v>13.4</v>
      </c>
      <c r="CE636" s="10">
        <v>1987</v>
      </c>
      <c r="CF636" s="10">
        <v>0.98</v>
      </c>
      <c r="CG636" s="10">
        <v>1941</v>
      </c>
      <c r="CH636" s="10">
        <v>190</v>
      </c>
      <c r="CI636" s="10">
        <v>88</v>
      </c>
      <c r="CJ636" s="10">
        <v>57</v>
      </c>
      <c r="CK636" s="10">
        <v>394</v>
      </c>
      <c r="CL636" s="10">
        <v>29</v>
      </c>
      <c r="CM636" s="10">
        <v>364</v>
      </c>
      <c r="CN636" s="10">
        <v>0.50700000000000001</v>
      </c>
      <c r="CO636" s="10">
        <v>248</v>
      </c>
      <c r="CP636" s="10">
        <v>186</v>
      </c>
      <c r="CQ636" s="10">
        <v>146</v>
      </c>
      <c r="CR636" s="10">
        <v>6</v>
      </c>
      <c r="CS636" s="10">
        <v>8.6</v>
      </c>
      <c r="CT636" s="9" t="s">
        <v>188</v>
      </c>
      <c r="CU636" s="10"/>
      <c r="CV636" s="10"/>
      <c r="CW636" s="10"/>
      <c r="CX636" t="str">
        <f>INDEX('Data_Price '!AG$2:AG$1266,MATCH(Data!$DN636,'Data_Price '!$AT$2:$AT$1266,0))</f>
        <v>Salomon QST 98 Skis</v>
      </c>
      <c r="CY636" t="str">
        <f>INDEX('Data_Price '!AH$2:AH$1266,MATCH(Data!$DN636,'Data_Price '!$AT$2:$AT$1266,0))</f>
        <v>eBay - grassisport</v>
      </c>
      <c r="CZ636">
        <f>INDEX('Data_Price '!AI$2:AI$1266,MATCH(Data!$DN636,'Data_Price '!$AT$2:$AT$1266,0))</f>
        <v>501.79</v>
      </c>
      <c r="DA636" t="str">
        <f>INDEX('Data_Price '!AJ$2:AJ$1266,MATCH(Data!$DN636,'Data_Price '!$AT$2:$AT$1266,0))</f>
        <v>https://tinyurl.com/y84cmmqg</v>
      </c>
      <c r="DB636" t="str">
        <f>INDEX('Data_Price '!AK$2:AK$1266,MATCH(Data!$DN636,'Data_Price '!$AT$2:$AT$1266,0))</f>
        <v>Salomon Qst 98 Skis 2022 176cm</v>
      </c>
      <c r="DC636" t="str">
        <f>INDEX('Data_Price '!AL$2:AL$1266,MATCH(Data!$DN636,'Data_Price '!$AT$2:$AT$1266,0))</f>
        <v>eBay</v>
      </c>
      <c r="DD636">
        <f>INDEX('Data_Price '!AM$2:AM$1266,MATCH(Data!$DN636,'Data_Price '!$AT$2:$AT$1266,0))</f>
        <v>539.99</v>
      </c>
      <c r="DE636" t="str">
        <f>INDEX('Data_Price '!AN$2:AN$1266,MATCH(Data!$DN636,'Data_Price '!$AT$2:$AT$1266,0))</f>
        <v>https://tinyurl.com/y8q862l7</v>
      </c>
      <c r="DF636" t="str">
        <f>INDEX('Data_Price '!AO$2:AO$1266,MATCH(Data!$DN636,'Data_Price '!$AT$2:$AT$1266,0))</f>
        <v>Salomon QST 98 Skis</v>
      </c>
      <c r="DG636" t="str">
        <f>INDEX('Data_Price '!AP$2:AP$1266,MATCH(Data!$DN636,'Data_Price '!$AT$2:$AT$1266,0))</f>
        <v>The-House.com</v>
      </c>
      <c r="DH636">
        <f>INDEX('Data_Price '!AQ$2:AQ$1266,MATCH(Data!$DN636,'Data_Price '!$AT$2:$AT$1266,0))</f>
        <v>575.95000000000005</v>
      </c>
      <c r="DI636" t="str">
        <f>INDEX('Data_Price '!AR$2:AR$1266,MATCH(Data!$DN636,'Data_Price '!$AT$2:$AT$1266,0))</f>
        <v>https://tinyurl.com/ycvsc5qs</v>
      </c>
      <c r="DJ636" s="89" t="str">
        <f t="shared" si="365"/>
        <v>https://tinyurl.com/y84cmmqg</v>
      </c>
      <c r="DK636" s="89" t="str">
        <f t="shared" si="366"/>
        <v>https://tinyurl.com/y8q862l7</v>
      </c>
      <c r="DL636" s="89" t="str">
        <f t="shared" si="367"/>
        <v>https://tinyurl.com/ycvsc5qs</v>
      </c>
      <c r="DM636" s="219" t="str">
        <f t="shared" si="368"/>
        <v>QST 98</v>
      </c>
      <c r="DN636" s="89" t="str">
        <f t="shared" si="369"/>
        <v xml:space="preserve"> SalomonQST 98176 Unisex</v>
      </c>
      <c r="DO636" s="221" t="s">
        <v>574</v>
      </c>
    </row>
    <row r="637" spans="2:119" ht="15.6" customHeight="1">
      <c r="B637" s="219" t="b">
        <f t="array" ref="B637">IF(OR(ISERROR(K637:P637)),FALSE,TRUE)</f>
        <v>1</v>
      </c>
      <c r="C637" s="43" t="b">
        <f>OR(BR637=Driver!$G$50,Data!BR184=Driver!$H$50)</f>
        <v>1</v>
      </c>
      <c r="D637" s="43" t="b">
        <f>OR(BV637=Driver!$G$51,BV637=Driver!$H$51)</f>
        <v>1</v>
      </c>
      <c r="E637" s="43" t="b">
        <f>AND(BX637&gt;Driver!$F$54,BX637&lt;Driver!$G$54)</f>
        <v>1</v>
      </c>
      <c r="F637" s="43" t="b">
        <f>CL637&gt;Driver!$F$56</f>
        <v>1</v>
      </c>
      <c r="G637" s="43" t="b">
        <f>AND(CB637&gt;Driver!$F$55,CB637&lt;Driver!$G$55)</f>
        <v>0</v>
      </c>
      <c r="H637" s="43" t="b">
        <f t="shared" si="333"/>
        <v>0</v>
      </c>
      <c r="I637" s="43">
        <f t="shared" si="334"/>
        <v>0</v>
      </c>
      <c r="J637" s="43" t="b">
        <f t="array" ref="J637">NOT(OR(($H$9:$H$1273=TRUE)*($I$9:$I$1273&gt;0)*($BT$9:$BT$1273=BT637)*($K$9:$K$1273&gt;K637)))</f>
        <v>1</v>
      </c>
      <c r="K637" s="72">
        <f t="shared" si="335"/>
        <v>0.78608817380881324</v>
      </c>
      <c r="L637" s="72">
        <f t="shared" si="336"/>
        <v>0.80516339629299849</v>
      </c>
      <c r="M637" s="72">
        <f t="shared" si="337"/>
        <v>0.76701295132462799</v>
      </c>
      <c r="N637" s="72">
        <f t="shared" si="338"/>
        <v>0.73028448792733425</v>
      </c>
      <c r="O637" s="72">
        <f t="shared" si="339"/>
        <v>0.60389534395670119</v>
      </c>
      <c r="P637" s="72">
        <f t="shared" si="340"/>
        <v>0.96685902208984853</v>
      </c>
      <c r="Q637" s="72"/>
      <c r="R637" s="72"/>
      <c r="S637" s="72">
        <f t="shared" si="341"/>
        <v>0.42854557509342261</v>
      </c>
      <c r="T637" s="72">
        <f t="shared" si="342"/>
        <v>0.76661077937764488</v>
      </c>
      <c r="U637" s="72">
        <f t="shared" si="343"/>
        <v>0.51</v>
      </c>
      <c r="V637" s="72">
        <f t="shared" si="344"/>
        <v>0.49182433156006955</v>
      </c>
      <c r="W637" s="72">
        <f t="shared" si="345"/>
        <v>0.76659298527024122</v>
      </c>
      <c r="X637" s="72">
        <f t="shared" si="346"/>
        <v>0.19483660370700145</v>
      </c>
      <c r="Y637" s="72">
        <f t="shared" si="347"/>
        <v>0.23298704867537198</v>
      </c>
      <c r="Z637" s="72">
        <f t="shared" si="348"/>
        <v>0.2697155120726657</v>
      </c>
      <c r="AA637" s="72">
        <f t="shared" si="349"/>
        <v>0.39610465604329875</v>
      </c>
      <c r="AB637" s="72">
        <f t="shared" si="350"/>
        <v>3.3140977910151442E-2</v>
      </c>
      <c r="AC637" s="72"/>
      <c r="AD637" s="72"/>
      <c r="AE637" s="72">
        <f t="shared" si="351"/>
        <v>0.57145442490657739</v>
      </c>
      <c r="AF637" s="72">
        <f t="shared" si="352"/>
        <v>0.23338922062235518</v>
      </c>
      <c r="AG637" s="72">
        <f t="shared" si="353"/>
        <v>0.49</v>
      </c>
      <c r="AH637" s="72">
        <f t="shared" si="354"/>
        <v>0.50817566843993045</v>
      </c>
      <c r="AI637" s="72">
        <f t="shared" si="355"/>
        <v>0.2334070147297588</v>
      </c>
      <c r="AJ637" s="72">
        <f>(AV637-Driver!$K$179)/(Driver!$L$179-Driver!$K$179)</f>
        <v>5.9382805575698965E-2</v>
      </c>
      <c r="AK637" s="72">
        <f>(AW637-Driver!$K$180)/(Driver!$L$180-Driver!$K$180)</f>
        <v>0.23273860833028795</v>
      </c>
      <c r="AL637" s="72">
        <f>(AX637-Driver!$K$181)/(Driver!$L$181-Driver!$K$181)</f>
        <v>0.37140327578574589</v>
      </c>
      <c r="AM637" s="72">
        <f>(AY637-Driver!$K$182)/(Driver!$L$182-Driver!$K$182)</f>
        <v>5.1280365053747633E-2</v>
      </c>
      <c r="AN637" s="72">
        <f>(AZ637-Driver!$K$183)/(Driver!$L$183-Driver!$K$183)</f>
        <v>0.22107843137254898</v>
      </c>
      <c r="AO637" s="72"/>
      <c r="AP637" s="72"/>
      <c r="AQ637" s="72">
        <f>(BC637-Driver!$K$188)/(Driver!$L$188-Driver!$K$188)</f>
        <v>4.8545575093422631E-2</v>
      </c>
      <c r="AR637" s="72">
        <f>MIN((BD637-Driver!$K$189)/(Driver!$L$189-Driver!$K$189),100%)</f>
        <v>0.31661077937764487</v>
      </c>
      <c r="AS637" s="72">
        <f>(BE637-Driver!$K$190)/(Driver!$L$190-Driver!$K$190)</f>
        <v>1</v>
      </c>
      <c r="AT637" s="72">
        <f>(BF637-Driver!$K$191)/(Driver!$L$191-Driver!$K$191)</f>
        <v>1.8243315600695706E-3</v>
      </c>
      <c r="AU637" s="72">
        <f>(BG637-Driver!$K$192)/(Driver!$L$192-Driver!$K$192)</f>
        <v>1.6592985270241195E-2</v>
      </c>
      <c r="AV637" s="70">
        <f t="shared" si="356"/>
        <v>1.249830416497083</v>
      </c>
      <c r="AW637" s="70">
        <f t="shared" si="357"/>
        <v>24.554332277106397</v>
      </c>
      <c r="AX637" s="70">
        <f t="shared" si="358"/>
        <v>4.3426294820717128</v>
      </c>
      <c r="AY637" s="70">
        <f>IFERROR(Driver!$K$19/Data!BH637/Data!BI637*Data!BK637*Data!BL637,"")</f>
        <v>6.2782467409965986E-2</v>
      </c>
      <c r="AZ637" s="70">
        <f t="shared" si="359"/>
        <v>20.148920327624719</v>
      </c>
      <c r="BA637" s="70"/>
      <c r="BB637" s="70"/>
      <c r="BC637" s="70">
        <f t="shared" si="360"/>
        <v>25.180927284321179</v>
      </c>
      <c r="BD637" s="70">
        <f t="shared" si="361"/>
        <v>29.740315857914425</v>
      </c>
      <c r="BE637" s="70">
        <f t="shared" si="362"/>
        <v>1</v>
      </c>
      <c r="BF637" s="70">
        <f t="shared" si="363"/>
        <v>0.20604543305527642</v>
      </c>
      <c r="BG637" s="70">
        <f t="shared" si="364"/>
        <v>6.2831627413391766E-2</v>
      </c>
      <c r="BH637" s="67">
        <f>MAX((CE637-Driver!$F$200)/(Driver!$G$200-Driver!$F$200)*$BI$1,1)</f>
        <v>4.3426294820717128</v>
      </c>
      <c r="BI637" s="67">
        <f>MAX($BI$1*(BY637-Driver!$F$201)/(Driver!$G$201-Driver!$F$201),1)</f>
        <v>8.3544303797468356</v>
      </c>
      <c r="BJ637" s="67">
        <f>(CB637-Driver!$F$206)/(Driver!$G$206-Driver!$F$206)*$BI$1</f>
        <v>1.746031746031746</v>
      </c>
      <c r="BK637" s="67">
        <f>(CD637-Driver!$F$203)/(Driver!$G$203-Driver!$F$203)*$BI$1</f>
        <v>1.6513761467889909</v>
      </c>
      <c r="BL637" s="67">
        <f>MAX((CR637-Driver!$F$202)/(Driver!$G$202-Driver!$F$202)*$BI$1,1)</f>
        <v>6.8965517241379315</v>
      </c>
      <c r="BM637" s="67">
        <f>MAX((CH637-Driver!$F$204)/(Driver!$G$204-Driver!$F$204)*$BI$1,1)</f>
        <v>2.8632478632478628</v>
      </c>
      <c r="BN637" s="67">
        <f>(CI637-Driver!$F$205)/(Driver!$G$205-Driver!$F$205)*$BI$1</f>
        <v>2.4117647058823528</v>
      </c>
      <c r="BO637" s="67">
        <f>(CK637-Driver!$F$207)/(Driver!$G$207-Driver!$F$207)*$BI$1</f>
        <v>0.33092037228541882</v>
      </c>
      <c r="BP637" s="67">
        <f>(CM637-Driver!$F$208)/(Driver!$G$208-Driver!$F$208)*$BI$1</f>
        <v>0.58888888888888891</v>
      </c>
      <c r="BQ637" s="67">
        <f>(CL637-Driver!$F$209)/(Driver!$G$209-Driver!$F$209)*$BI$1</f>
        <v>0.78125</v>
      </c>
      <c r="BR637" s="28" t="s">
        <v>155</v>
      </c>
      <c r="BS637" s="8" t="s">
        <v>156</v>
      </c>
      <c r="BT637" s="9" t="s">
        <v>589</v>
      </c>
      <c r="BU637" s="10">
        <v>160</v>
      </c>
      <c r="BV637" s="9" t="s">
        <v>158</v>
      </c>
      <c r="BW637" s="10">
        <v>160</v>
      </c>
      <c r="BX637" s="10">
        <v>159.30000000000001</v>
      </c>
      <c r="BY637" s="10">
        <v>140</v>
      </c>
      <c r="BZ637" s="10">
        <v>145</v>
      </c>
      <c r="CA637" s="10">
        <v>123</v>
      </c>
      <c r="CB637" s="10">
        <v>75</v>
      </c>
      <c r="CC637" s="10">
        <v>106</v>
      </c>
      <c r="CD637" s="10">
        <v>13</v>
      </c>
      <c r="CE637" s="10">
        <v>1663</v>
      </c>
      <c r="CF637" s="10">
        <v>0.86</v>
      </c>
      <c r="CG637" s="10">
        <v>1425</v>
      </c>
      <c r="CH637" s="10">
        <v>168</v>
      </c>
      <c r="CI637" s="10">
        <v>74</v>
      </c>
      <c r="CJ637" s="10">
        <v>38</v>
      </c>
      <c r="CK637" s="10">
        <v>142</v>
      </c>
      <c r="CL637" s="10">
        <v>5</v>
      </c>
      <c r="CM637" s="10">
        <v>53</v>
      </c>
      <c r="CN637" s="10">
        <v>0.129</v>
      </c>
      <c r="CO637" s="10">
        <v>89</v>
      </c>
      <c r="CP637" s="10">
        <v>54</v>
      </c>
      <c r="CQ637" s="10">
        <v>54</v>
      </c>
      <c r="CR637" s="10">
        <v>9</v>
      </c>
      <c r="CS637" s="10">
        <v>12.6</v>
      </c>
      <c r="CT637" s="9" t="s">
        <v>349</v>
      </c>
      <c r="CU637" s="10"/>
      <c r="CV637" s="10"/>
      <c r="CW637" s="10"/>
      <c r="CX637" t="str">
        <f>INDEX('Data_Price '!AG$2:AG$1266,MATCH(Data!$DN637,'Data_Price '!$AT$2:$AT$1266,0))</f>
        <v>Atomic Redster X7 WB + F12 GW 21/22</v>
      </c>
      <c r="CY637" t="str">
        <f>INDEX('Data_Price '!AH$2:AH$1266,MATCH(Data!$DN637,'Data_Price '!$AT$2:$AT$1266,0))</f>
        <v>SportÃ¨que</v>
      </c>
      <c r="CZ637">
        <f>INDEX('Data_Price '!AI$2:AI$1266,MATCH(Data!$DN637,'Data_Price '!$AT$2:$AT$1266,0))</f>
        <v>456.97</v>
      </c>
      <c r="DA637" t="str">
        <f>INDEX('Data_Price '!AJ$2:AJ$1266,MATCH(Data!$DN637,'Data_Price '!$AT$2:$AT$1266,0))</f>
        <v>https://tinyurl.com/y98y8e7v</v>
      </c>
      <c r="DB637" t="str">
        <f>INDEX('Data_Price '!AK$2:AK$1266,MATCH(Data!$DN637,'Data_Price '!$AT$2:$AT$1266,0))</f>
        <v>2021 Atomic Redster X7 Wb Green Skis W/ F 12 Gw Bindings</v>
      </c>
      <c r="DC637" t="str">
        <f>INDEX('Data_Price '!AL$2:AL$1266,MATCH(Data!$DN637,'Data_Price '!$AT$2:$AT$1266,0))</f>
        <v>eBay - asogear</v>
      </c>
      <c r="DD637">
        <f>INDEX('Data_Price '!AM$2:AM$1266,MATCH(Data!$DN637,'Data_Price '!$AT$2:$AT$1266,0))</f>
        <v>499.99</v>
      </c>
      <c r="DE637" t="str">
        <f>INDEX('Data_Price '!AN$2:AN$1266,MATCH(Data!$DN637,'Data_Price '!$AT$2:$AT$1266,0))</f>
        <v>https://tinyurl.com/y7neuybo</v>
      </c>
      <c r="DF637" t="str">
        <f>INDEX('Data_Price '!AO$2:AO$1266,MATCH(Data!$DN637,'Data_Price '!$AT$2:$AT$1266,0))</f>
        <v>Atomic 2022 Redster X9i WB REVO S+ X 12 GW BLACK/SILVER / 160</v>
      </c>
      <c r="DG637" t="str">
        <f>INDEX('Data_Price '!AP$2:AP$1266,MATCH(Data!$DN637,'Data_Price '!$AT$2:$AT$1266,0))</f>
        <v>Cityhome</v>
      </c>
      <c r="DH637">
        <f>INDEX('Data_Price '!AQ$2:AQ$1266,MATCH(Data!$DN637,'Data_Price '!$AT$2:$AT$1266,0))</f>
        <v>999.99</v>
      </c>
      <c r="DI637" t="str">
        <f>INDEX('Data_Price '!AR$2:AR$1266,MATCH(Data!$DN637,'Data_Price '!$AT$2:$AT$1266,0))</f>
        <v>https://tinyurl.com/yc4c6c7p</v>
      </c>
      <c r="DJ637" s="89" t="str">
        <f t="shared" si="365"/>
        <v>https://tinyurl.com/y98y8e7v</v>
      </c>
      <c r="DK637" s="89" t="str">
        <f t="shared" si="366"/>
        <v>https://tinyurl.com/y7neuybo</v>
      </c>
      <c r="DL637" s="89" t="str">
        <f t="shared" si="367"/>
        <v>https://tinyurl.com/yc4c6c7p</v>
      </c>
      <c r="DM637" s="219" t="str">
        <f t="shared" si="368"/>
        <v>Redster X7 WB</v>
      </c>
      <c r="DN637" s="89" t="str">
        <f t="shared" si="369"/>
        <v xml:space="preserve"> AtomicRedster X7 WB160 Unisex</v>
      </c>
      <c r="DO637" s="221"/>
    </row>
    <row r="638" spans="2:119" ht="15.6" customHeight="1">
      <c r="B638" s="219" t="b">
        <f t="array" ref="B638">IF(OR(ISERROR(K638:P638)),FALSE,TRUE)</f>
        <v>1</v>
      </c>
      <c r="C638" s="43" t="b">
        <f>OR(BR638=Driver!$G$50,Data!BR741=Driver!$H$50)</f>
        <v>1</v>
      </c>
      <c r="D638" s="43" t="b">
        <f>OR(BV638=Driver!$G$51,BV638=Driver!$H$51)</f>
        <v>1</v>
      </c>
      <c r="E638" s="43" t="b">
        <f>AND(BX638&gt;Driver!$F$54,BX638&lt;Driver!$G$54)</f>
        <v>0</v>
      </c>
      <c r="F638" s="43" t="b">
        <f>CL638&gt;Driver!$F$56</f>
        <v>1</v>
      </c>
      <c r="G638" s="43" t="b">
        <f>AND(CB638&gt;Driver!$F$55,CB638&lt;Driver!$G$55)</f>
        <v>0</v>
      </c>
      <c r="H638" s="43" t="b">
        <f t="shared" si="333"/>
        <v>0</v>
      </c>
      <c r="I638" s="43">
        <f t="shared" si="334"/>
        <v>0</v>
      </c>
      <c r="J638" s="43" t="b">
        <f t="array" ref="J638">NOT(OR(($H$9:$H$1273=TRUE)*($I$9:$I$1273&gt;0)*($BT$9:$BT$1273=BT638)*($K$9:$K$1273&gt;K638)))</f>
        <v>1</v>
      </c>
      <c r="K638" s="72">
        <f t="shared" si="335"/>
        <v>0.79250481725740873</v>
      </c>
      <c r="L638" s="72">
        <f t="shared" si="336"/>
        <v>0.92505703902928083</v>
      </c>
      <c r="M638" s="72">
        <f t="shared" si="337"/>
        <v>0.65995259548553653</v>
      </c>
      <c r="N638" s="72">
        <f t="shared" si="338"/>
        <v>0.57661345776228023</v>
      </c>
      <c r="O638" s="72">
        <f t="shared" si="339"/>
        <v>0.64575694555541974</v>
      </c>
      <c r="P638" s="72">
        <f t="shared" si="340"/>
        <v>0.75748738313890962</v>
      </c>
      <c r="Q638" s="72"/>
      <c r="R638" s="72"/>
      <c r="S638" s="72">
        <f t="shared" si="341"/>
        <v>0.55686094733997893</v>
      </c>
      <c r="T638" s="72">
        <f t="shared" si="342"/>
        <v>0.531201107965664</v>
      </c>
      <c r="U638" s="72">
        <f t="shared" si="343"/>
        <v>0.71522987134841531</v>
      </c>
      <c r="V638" s="72">
        <f t="shared" si="344"/>
        <v>0.5105721350744874</v>
      </c>
      <c r="W638" s="72">
        <f t="shared" si="345"/>
        <v>0.78221178546697345</v>
      </c>
      <c r="X638" s="72">
        <f t="shared" si="346"/>
        <v>7.4942960970719175E-2</v>
      </c>
      <c r="Y638" s="72">
        <f t="shared" si="347"/>
        <v>0.34004740451446347</v>
      </c>
      <c r="Z638" s="72">
        <f t="shared" si="348"/>
        <v>0.42338654223771977</v>
      </c>
      <c r="AA638" s="72">
        <f t="shared" si="349"/>
        <v>0.35424305444458021</v>
      </c>
      <c r="AB638" s="72">
        <f t="shared" si="350"/>
        <v>0.24251261686109038</v>
      </c>
      <c r="AC638" s="72"/>
      <c r="AD638" s="72"/>
      <c r="AE638" s="72">
        <f t="shared" si="351"/>
        <v>0.44313905266002107</v>
      </c>
      <c r="AF638" s="72">
        <f t="shared" si="352"/>
        <v>0.46879889203433595</v>
      </c>
      <c r="AG638" s="72">
        <f t="shared" si="353"/>
        <v>0.28477012865158463</v>
      </c>
      <c r="AH638" s="72">
        <f t="shared" si="354"/>
        <v>0.48942786492551266</v>
      </c>
      <c r="AI638" s="72">
        <f t="shared" si="355"/>
        <v>0.21778821453302655</v>
      </c>
      <c r="AJ638" s="72">
        <f>(AV638-Driver!$K$179)/(Driver!$L$179-Driver!$K$179)</f>
        <v>0.17927644831198125</v>
      </c>
      <c r="AK638" s="72">
        <f>(AW638-Driver!$K$180)/(Driver!$L$180-Driver!$K$180)</f>
        <v>0.50523460701937328</v>
      </c>
      <c r="AL638" s="72">
        <f>(AX638-Driver!$K$181)/(Driver!$L$181-Driver!$K$181)</f>
        <v>0.52507430595079996</v>
      </c>
      <c r="AM638" s="72">
        <f>(AY638-Driver!$K$182)/(Driver!$L$182-Driver!$K$182)</f>
        <v>9.3141966652466157E-2</v>
      </c>
      <c r="AN638" s="72">
        <f>(AZ638-Driver!$K$183)/(Driver!$L$183-Driver!$K$183)</f>
        <v>0.49673202614379081</v>
      </c>
      <c r="AO638" s="72"/>
      <c r="AP638" s="72"/>
      <c r="AQ638" s="72">
        <f>(BC638-Driver!$K$188)/(Driver!$L$188-Driver!$K$188)</f>
        <v>0.1768609473399789</v>
      </c>
      <c r="AR638" s="72">
        <f>MIN((BD638-Driver!$K$189)/(Driver!$L$189-Driver!$K$189),100%)</f>
        <v>8.1201107965664113E-2</v>
      </c>
      <c r="AS638" s="72">
        <f>(BE638-Driver!$K$190)/(Driver!$L$190-Driver!$K$190)</f>
        <v>0.22522987134841538</v>
      </c>
      <c r="AT638" s="72">
        <f>(BF638-Driver!$K$191)/(Driver!$L$191-Driver!$K$191)</f>
        <v>2.0572135074487338E-2</v>
      </c>
      <c r="AU638" s="72">
        <f>(BG638-Driver!$K$192)/(Driver!$L$192-Driver!$K$192)</f>
        <v>3.2211785466973439E-2</v>
      </c>
      <c r="AV638" s="70">
        <f t="shared" si="356"/>
        <v>3.7732329398996058</v>
      </c>
      <c r="AW638" s="70">
        <f t="shared" si="357"/>
        <v>51.111481909535513</v>
      </c>
      <c r="AX638" s="70">
        <f t="shared" si="358"/>
        <v>5.7256687535571995</v>
      </c>
      <c r="AY638" s="70">
        <f>IFERROR(Driver!$K$19/Data!BH638/Data!BI638*Data!BK638*Data!BL638,"")</f>
        <v>0.11403355806319945</v>
      </c>
      <c r="AZ638" s="70">
        <f t="shared" si="359"/>
        <v>45.271779597915113</v>
      </c>
      <c r="BA638" s="70"/>
      <c r="BB638" s="70"/>
      <c r="BC638" s="70">
        <f t="shared" si="360"/>
        <v>91.73900290260579</v>
      </c>
      <c r="BD638" s="70">
        <f t="shared" si="361"/>
        <v>8.9069770592095043</v>
      </c>
      <c r="BE638" s="70">
        <f t="shared" si="362"/>
        <v>0.22536808161895755</v>
      </c>
      <c r="BF638" s="70">
        <f t="shared" si="363"/>
        <v>2.3234781292347644</v>
      </c>
      <c r="BG638" s="70">
        <f t="shared" si="364"/>
        <v>0.12197436867558693</v>
      </c>
      <c r="BH638" s="67">
        <f>MAX((CE638-Driver!$F$200)/(Driver!$G$200-Driver!$F$200)*$BI$1,1)</f>
        <v>5.7256687535571995</v>
      </c>
      <c r="BI638" s="67">
        <f>MAX($BI$1*(BY638-Driver!$F$201)/(Driver!$G$201-Driver!$F$201),1)</f>
        <v>8.1012658227848107</v>
      </c>
      <c r="BJ638" s="67">
        <f>(CB638-Driver!$F$206)/(Driver!$G$206-Driver!$F$206)*$BI$1</f>
        <v>3.9682539682539679</v>
      </c>
      <c r="BK638" s="67">
        <f>(CD638-Driver!$F$203)/(Driver!$G$203-Driver!$F$203)*$BI$1</f>
        <v>4.0366972477064227</v>
      </c>
      <c r="BL638" s="67">
        <f>MAX((CR638-Driver!$F$202)/(Driver!$G$202-Driver!$F$202)*$BI$1,1)</f>
        <v>6.5517241379310338</v>
      </c>
      <c r="BM638" s="67">
        <f>MAX((CH638-Driver!$F$204)/(Driver!$G$204-Driver!$F$204)*$BI$1,1)</f>
        <v>3.8034188034188032</v>
      </c>
      <c r="BN638" s="67">
        <f>(CI638-Driver!$F$205)/(Driver!$G$205-Driver!$F$205)*$BI$1</f>
        <v>5.5882352941176467</v>
      </c>
      <c r="BO638" s="67">
        <f>(CK638-Driver!$F$207)/(Driver!$G$207-Driver!$F$207)*$BI$1</f>
        <v>1.1375387797311272</v>
      </c>
      <c r="BP638" s="67">
        <f>(CM638-Driver!$F$208)/(Driver!$G$208-Driver!$F$208)*$BI$1</f>
        <v>2.0777777777777779</v>
      </c>
      <c r="BQ638" s="67">
        <f>(CL638-Driver!$F$209)/(Driver!$G$209-Driver!$F$209)*$BI$1</f>
        <v>2.65625</v>
      </c>
      <c r="BR638" s="28" t="s">
        <v>155</v>
      </c>
      <c r="BS638" s="8" t="s">
        <v>262</v>
      </c>
      <c r="BT638" s="9" t="s">
        <v>474</v>
      </c>
      <c r="BU638" s="10">
        <v>177</v>
      </c>
      <c r="BV638" s="9" t="s">
        <v>158</v>
      </c>
      <c r="BW638" s="10">
        <v>177</v>
      </c>
      <c r="BX638" s="10">
        <v>176.9</v>
      </c>
      <c r="BY638" s="10">
        <v>136</v>
      </c>
      <c r="BZ638" s="10">
        <v>152</v>
      </c>
      <c r="CA638" s="10">
        <v>127</v>
      </c>
      <c r="CB638" s="10">
        <v>89</v>
      </c>
      <c r="CC638" s="10">
        <v>113</v>
      </c>
      <c r="CD638" s="10">
        <v>18.2</v>
      </c>
      <c r="CE638" s="10">
        <v>1906</v>
      </c>
      <c r="CF638" s="10">
        <v>0.94</v>
      </c>
      <c r="CG638" s="10">
        <v>1794</v>
      </c>
      <c r="CH638" s="10">
        <v>190</v>
      </c>
      <c r="CI638" s="10">
        <v>128</v>
      </c>
      <c r="CJ638" s="10">
        <v>41</v>
      </c>
      <c r="CK638" s="10">
        <v>220</v>
      </c>
      <c r="CL638" s="10">
        <v>17</v>
      </c>
      <c r="CM638" s="10">
        <v>187</v>
      </c>
      <c r="CN638" s="10">
        <v>0.42599999999999999</v>
      </c>
      <c r="CO638" s="10">
        <v>142</v>
      </c>
      <c r="CP638" s="10">
        <v>103</v>
      </c>
      <c r="CQ638" s="10">
        <v>78</v>
      </c>
      <c r="CR638" s="10">
        <v>8</v>
      </c>
      <c r="CS638" s="10">
        <v>11.1</v>
      </c>
      <c r="CT638" s="9" t="s">
        <v>188</v>
      </c>
      <c r="CU638" s="10"/>
      <c r="CV638" s="10"/>
      <c r="CW638" s="10"/>
      <c r="CX638" t="e">
        <f>INDEX('Data_Price '!AG$2:AG$1266,MATCH(Data!$DN638,'Data_Price '!$AT$2:$AT$1266,0))</f>
        <v>#N/A</v>
      </c>
      <c r="CY638" t="e">
        <f>INDEX('Data_Price '!AH$2:AH$1266,MATCH(Data!$DN638,'Data_Price '!$AT$2:$AT$1266,0))</f>
        <v>#N/A</v>
      </c>
      <c r="CZ638" t="e">
        <f>INDEX('Data_Price '!AI$2:AI$1266,MATCH(Data!$DN638,'Data_Price '!$AT$2:$AT$1266,0))</f>
        <v>#N/A</v>
      </c>
      <c r="DA638" t="e">
        <f>INDEX('Data_Price '!AJ$2:AJ$1266,MATCH(Data!$DN638,'Data_Price '!$AT$2:$AT$1266,0))</f>
        <v>#N/A</v>
      </c>
      <c r="DB638" t="e">
        <f>INDEX('Data_Price '!AK$2:AK$1266,MATCH(Data!$DN638,'Data_Price '!$AT$2:$AT$1266,0))</f>
        <v>#N/A</v>
      </c>
      <c r="DC638" t="e">
        <f>INDEX('Data_Price '!AL$2:AL$1266,MATCH(Data!$DN638,'Data_Price '!$AT$2:$AT$1266,0))</f>
        <v>#N/A</v>
      </c>
      <c r="DD638" t="e">
        <f>INDEX('Data_Price '!AM$2:AM$1266,MATCH(Data!$DN638,'Data_Price '!$AT$2:$AT$1266,0))</f>
        <v>#N/A</v>
      </c>
      <c r="DE638" t="e">
        <f>INDEX('Data_Price '!AN$2:AN$1266,MATCH(Data!$DN638,'Data_Price '!$AT$2:$AT$1266,0))</f>
        <v>#N/A</v>
      </c>
      <c r="DF638" t="e">
        <f>INDEX('Data_Price '!AO$2:AO$1266,MATCH(Data!$DN638,'Data_Price '!$AT$2:$AT$1266,0))</f>
        <v>#N/A</v>
      </c>
      <c r="DG638" t="e">
        <f>INDEX('Data_Price '!AP$2:AP$1266,MATCH(Data!$DN638,'Data_Price '!$AT$2:$AT$1266,0))</f>
        <v>#N/A</v>
      </c>
      <c r="DH638" t="e">
        <f>INDEX('Data_Price '!AQ$2:AQ$1266,MATCH(Data!$DN638,'Data_Price '!$AT$2:$AT$1266,0))</f>
        <v>#N/A</v>
      </c>
      <c r="DI638" t="e">
        <f>INDEX('Data_Price '!AR$2:AR$1266,MATCH(Data!$DN638,'Data_Price '!$AT$2:$AT$1266,0))</f>
        <v>#N/A</v>
      </c>
      <c r="DJ638" s="89" t="e">
        <f t="shared" si="365"/>
        <v>#N/A</v>
      </c>
      <c r="DK638" s="89" t="e">
        <f t="shared" si="366"/>
        <v>#N/A</v>
      </c>
      <c r="DL638" s="89" t="e">
        <f t="shared" si="367"/>
        <v>#N/A</v>
      </c>
      <c r="DM638" s="219" t="str">
        <f t="shared" si="368"/>
        <v>Mindbender 90 Ti</v>
      </c>
      <c r="DN638" s="89" t="str">
        <f t="shared" si="369"/>
        <v xml:space="preserve"> K2Mindbender 90 Ti177 Unisex</v>
      </c>
      <c r="DO638" s="221"/>
    </row>
    <row r="639" spans="2:119" ht="15.6" customHeight="1">
      <c r="B639" s="219" t="b">
        <f t="array" ref="B639">IF(OR(ISERROR(K639:P639)),FALSE,TRUE)</f>
        <v>1</v>
      </c>
      <c r="C639" s="43" t="b">
        <f>OR(BR639=Driver!$G$50,Data!BR611=Driver!$H$50)</f>
        <v>1</v>
      </c>
      <c r="D639" s="43" t="b">
        <f>OR(BV639=Driver!$G$51,BV639=Driver!$H$51)</f>
        <v>1</v>
      </c>
      <c r="E639" s="43" t="b">
        <f>AND(BX639&gt;Driver!$F$54,BX639&lt;Driver!$G$54)</f>
        <v>0</v>
      </c>
      <c r="F639" s="43" t="b">
        <f>CL639&gt;Driver!$F$56</f>
        <v>1</v>
      </c>
      <c r="G639" s="43" t="b">
        <f>AND(CB639&gt;Driver!$F$55,CB639&lt;Driver!$G$55)</f>
        <v>0</v>
      </c>
      <c r="H639" s="43" t="b">
        <f t="shared" si="333"/>
        <v>0</v>
      </c>
      <c r="I639" s="43">
        <f t="shared" si="334"/>
        <v>0</v>
      </c>
      <c r="J639" s="43" t="b">
        <f t="array" ref="J639">NOT(OR(($H$9:$H$1273=TRUE)*($I$9:$I$1273&gt;0)*($BT$9:$BT$1273=BT639)*($K$9:$K$1273&gt;K639)))</f>
        <v>1</v>
      </c>
      <c r="K639" s="72">
        <f t="shared" si="335"/>
        <v>0.7733589198043811</v>
      </c>
      <c r="L639" s="72">
        <f t="shared" si="336"/>
        <v>0.82699886482897478</v>
      </c>
      <c r="M639" s="72">
        <f t="shared" si="337"/>
        <v>0.71971897477978741</v>
      </c>
      <c r="N639" s="72">
        <f t="shared" si="338"/>
        <v>0.56459802742015675</v>
      </c>
      <c r="O639" s="72">
        <f t="shared" si="339"/>
        <v>0.6026181754829516</v>
      </c>
      <c r="P639" s="72">
        <f t="shared" si="340"/>
        <v>0.99194072143625378</v>
      </c>
      <c r="Q639" s="72"/>
      <c r="R639" s="72"/>
      <c r="S639" s="72">
        <f t="shared" si="341"/>
        <v>0.43190574403112081</v>
      </c>
      <c r="T639" s="72">
        <f t="shared" si="342"/>
        <v>0.85278793303852796</v>
      </c>
      <c r="U639" s="72">
        <f t="shared" si="343"/>
        <v>0.51</v>
      </c>
      <c r="V639" s="72">
        <f t="shared" si="344"/>
        <v>0.50135958715736817</v>
      </c>
      <c r="W639" s="72">
        <f t="shared" si="345"/>
        <v>0.76839024390243904</v>
      </c>
      <c r="X639" s="72">
        <f t="shared" si="346"/>
        <v>0.17300113517102528</v>
      </c>
      <c r="Y639" s="72">
        <f t="shared" si="347"/>
        <v>0.28028102522021264</v>
      </c>
      <c r="Z639" s="72">
        <f t="shared" si="348"/>
        <v>0.43540197257984325</v>
      </c>
      <c r="AA639" s="72">
        <f t="shared" si="349"/>
        <v>0.39738182451704845</v>
      </c>
      <c r="AB639" s="72">
        <f t="shared" si="350"/>
        <v>8.0592785637462194E-3</v>
      </c>
      <c r="AC639" s="72"/>
      <c r="AD639" s="72"/>
      <c r="AE639" s="72">
        <f t="shared" si="351"/>
        <v>0.56809425596887919</v>
      </c>
      <c r="AF639" s="72">
        <f t="shared" si="352"/>
        <v>0.14721206696147199</v>
      </c>
      <c r="AG639" s="72">
        <f t="shared" si="353"/>
        <v>0.49</v>
      </c>
      <c r="AH639" s="72">
        <f t="shared" si="354"/>
        <v>0.49864041284263189</v>
      </c>
      <c r="AI639" s="72">
        <f t="shared" si="355"/>
        <v>0.23160975609756099</v>
      </c>
      <c r="AJ639" s="72">
        <f>(AV639-Driver!$K$179)/(Driver!$L$179-Driver!$K$179)</f>
        <v>8.1218274111675134E-2</v>
      </c>
      <c r="AK639" s="72">
        <f>(AW639-Driver!$K$180)/(Driver!$L$180-Driver!$K$180)</f>
        <v>0.27147845715882535</v>
      </c>
      <c r="AL639" s="72">
        <f>(AX639-Driver!$K$181)/(Driver!$L$181-Driver!$K$181)</f>
        <v>0.53708973629292345</v>
      </c>
      <c r="AM639" s="72">
        <f>(AY639-Driver!$K$182)/(Driver!$L$182-Driver!$K$182)</f>
        <v>5.0003196579997924E-2</v>
      </c>
      <c r="AN639" s="72">
        <f>(AZ639-Driver!$K$183)/(Driver!$L$183-Driver!$K$183)</f>
        <v>0.24616013071895421</v>
      </c>
      <c r="AO639" s="72"/>
      <c r="AP639" s="72"/>
      <c r="AQ639" s="72">
        <f>(BC639-Driver!$K$188)/(Driver!$L$188-Driver!$K$188)</f>
        <v>5.1905744031120811E-2</v>
      </c>
      <c r="AR639" s="72">
        <f>MIN((BD639-Driver!$K$189)/(Driver!$L$189-Driver!$K$189),100%)</f>
        <v>0.40278793303852806</v>
      </c>
      <c r="AS639" s="72">
        <f>(BE639-Driver!$K$190)/(Driver!$L$190-Driver!$K$190)</f>
        <v>1</v>
      </c>
      <c r="AT639" s="72">
        <f>(BF639-Driver!$K$191)/(Driver!$L$191-Driver!$K$191)</f>
        <v>1.1359587157368147E-2</v>
      </c>
      <c r="AU639" s="72">
        <f>(BG639-Driver!$K$192)/(Driver!$L$192-Driver!$K$192)</f>
        <v>1.8390243902439023E-2</v>
      </c>
      <c r="AV639" s="70">
        <f t="shared" si="356"/>
        <v>1.7094017094017095</v>
      </c>
      <c r="AW639" s="70">
        <f t="shared" si="357"/>
        <v>28.329873815428297</v>
      </c>
      <c r="AX639" s="70">
        <f t="shared" si="358"/>
        <v>5.833807626636311</v>
      </c>
      <c r="AY639" s="70">
        <f>IFERROR(Driver!$K$19/Data!BH639/Data!BI639*Data!BK639*Data!BL639,"")</f>
        <v>6.1218832127803206E-2</v>
      </c>
      <c r="AZ639" s="70">
        <f t="shared" si="359"/>
        <v>22.434847356664182</v>
      </c>
      <c r="BA639" s="70"/>
      <c r="BB639" s="70"/>
      <c r="BC639" s="70">
        <f t="shared" si="360"/>
        <v>26.923870271820704</v>
      </c>
      <c r="BD639" s="70">
        <f t="shared" si="361"/>
        <v>37.36684126002185</v>
      </c>
      <c r="BE639" s="70">
        <f t="shared" si="362"/>
        <v>1</v>
      </c>
      <c r="BF639" s="70">
        <f t="shared" si="363"/>
        <v>1.2829855638082686</v>
      </c>
      <c r="BG639" s="70">
        <f t="shared" si="364"/>
        <v>6.9637195121951226E-2</v>
      </c>
      <c r="BH639" s="67">
        <f>MAX((CE639-Driver!$F$200)/(Driver!$G$200-Driver!$F$200)*$BI$1,1)</f>
        <v>5.833807626636311</v>
      </c>
      <c r="BI639" s="67">
        <f>MAX($BI$1*(BY639-Driver!$F$201)/(Driver!$G$201-Driver!$F$201),1)</f>
        <v>8.2911392405063289</v>
      </c>
      <c r="BJ639" s="67">
        <f>(CB639-Driver!$F$206)/(Driver!$G$206-Driver!$F$206)*$BI$1</f>
        <v>2.2222222222222223</v>
      </c>
      <c r="BK639" s="67">
        <f>(CD639-Driver!$F$203)/(Driver!$G$203-Driver!$F$203)*$BI$1</f>
        <v>1.7889908256880738</v>
      </c>
      <c r="BL639" s="67">
        <f>MAX((CR639-Driver!$F$202)/(Driver!$G$202-Driver!$F$202)*$BI$1,1)</f>
        <v>8.2758620689655178</v>
      </c>
      <c r="BM639" s="67">
        <f>MAX((CH639-Driver!$F$204)/(Driver!$G$204-Driver!$F$204)*$BI$1,1)</f>
        <v>3.0769230769230771</v>
      </c>
      <c r="BN639" s="67">
        <f>(CI639-Driver!$F$205)/(Driver!$G$205-Driver!$F$205)*$BI$1</f>
        <v>2.7058823529411762</v>
      </c>
      <c r="BO639" s="67">
        <f>(CK639-Driver!$F$207)/(Driver!$G$207-Driver!$F$207)*$BI$1</f>
        <v>0.9203722854188211</v>
      </c>
      <c r="BP639" s="67">
        <f>(CM639-Driver!$F$208)/(Driver!$G$208-Driver!$F$208)*$BI$1</f>
        <v>1.1222222222222222</v>
      </c>
      <c r="BQ639" s="67">
        <f>(CL639-Driver!$F$209)/(Driver!$G$209-Driver!$F$209)*$BI$1</f>
        <v>1.25</v>
      </c>
      <c r="BR639" s="28" t="s">
        <v>155</v>
      </c>
      <c r="BS639" s="8" t="s">
        <v>167</v>
      </c>
      <c r="BT639" s="9" t="s">
        <v>702</v>
      </c>
      <c r="BU639" s="10">
        <v>170</v>
      </c>
      <c r="BV639" s="9" t="s">
        <v>158</v>
      </c>
      <c r="BW639" s="10">
        <v>170</v>
      </c>
      <c r="BX639" s="10">
        <v>169.2</v>
      </c>
      <c r="BY639" s="10">
        <v>139</v>
      </c>
      <c r="BZ639" s="10">
        <v>144</v>
      </c>
      <c r="CA639" s="10">
        <v>125</v>
      </c>
      <c r="CB639" s="10">
        <v>78</v>
      </c>
      <c r="CC639" s="10">
        <v>104</v>
      </c>
      <c r="CD639" s="10">
        <v>13.3</v>
      </c>
      <c r="CE639" s="10">
        <v>1925</v>
      </c>
      <c r="CF639" s="10">
        <v>0.82</v>
      </c>
      <c r="CG639" s="10">
        <v>1581</v>
      </c>
      <c r="CH639" s="10">
        <v>173</v>
      </c>
      <c r="CI639" s="10">
        <v>79</v>
      </c>
      <c r="CJ639" s="10">
        <v>41</v>
      </c>
      <c r="CK639" s="10">
        <v>199</v>
      </c>
      <c r="CL639" s="10">
        <v>8</v>
      </c>
      <c r="CM639" s="10">
        <v>101</v>
      </c>
      <c r="CN639" s="10">
        <v>0.19</v>
      </c>
      <c r="CO639" s="10">
        <v>129</v>
      </c>
      <c r="CP639" s="10">
        <v>121</v>
      </c>
      <c r="CQ639" s="10">
        <v>70</v>
      </c>
      <c r="CR639" s="10">
        <v>13</v>
      </c>
      <c r="CS639" s="10">
        <v>11.7</v>
      </c>
      <c r="CT639" s="9" t="s">
        <v>349</v>
      </c>
      <c r="CU639" s="9" t="s">
        <v>231</v>
      </c>
      <c r="CV639" s="10"/>
      <c r="CW639" s="10"/>
      <c r="CX639" t="str">
        <f>INDEX('Data_Price '!AG$2:AG$1266,MATCH(Data!$DN639,'Data_Price '!$AT$2:$AT$1266,0))</f>
        <v>Head Kore 80 X LYT-PR + PRW 11 GW 170cm</v>
      </c>
      <c r="CY639" t="str">
        <f>INDEX('Data_Price '!AH$2:AH$1266,MATCH(Data!$DN639,'Data_Price '!$AT$2:$AT$1266,0))</f>
        <v>Sundance Ski and Board Shop</v>
      </c>
      <c r="CZ639">
        <f>INDEX('Data_Price '!AI$2:AI$1266,MATCH(Data!$DN639,'Data_Price '!$AT$2:$AT$1266,0))</f>
        <v>416.89</v>
      </c>
      <c r="DA639" t="str">
        <f>INDEX('Data_Price '!AJ$2:AJ$1266,MATCH(Data!$DN639,'Data_Price '!$AT$2:$AT$1266,0))</f>
        <v>https://tinyurl.com/y9n35zkw</v>
      </c>
      <c r="DB639" t="str">
        <f>INDEX('Data_Price '!AK$2:AK$1266,MATCH(Data!$DN639,'Data_Price '!$AT$2:$AT$1266,0))</f>
        <v>Head Men's Kore 80 x LYT-PR Alpine Skis with PRW 11 GW Binding</v>
      </c>
      <c r="DC639" t="str">
        <f>INDEX('Data_Price '!AL$2:AL$1266,MATCH(Data!$DN639,'Data_Price '!$AT$2:$AT$1266,0))</f>
        <v>GritrOutdoors</v>
      </c>
      <c r="DD639">
        <f>INDEX('Data_Price '!AM$2:AM$1266,MATCH(Data!$DN639,'Data_Price '!$AT$2:$AT$1266,0))</f>
        <v>549</v>
      </c>
      <c r="DE639" t="str">
        <f>INDEX('Data_Price '!AN$2:AN$1266,MATCH(Data!$DN639,'Data_Price '!$AT$2:$AT$1266,0))</f>
        <v>https://tinyurl.com/yaevmux3</v>
      </c>
      <c r="DF639" t="str">
        <f>INDEX('Data_Price '!AO$2:AO$1266,MATCH(Data!$DN639,'Data_Price '!$AT$2:$AT$1266,0))</f>
        <v>Head Men's Kore 80 x LYT-PR Alpine Skis with PRW 11 GW Binding</v>
      </c>
      <c r="DG639" t="str">
        <f>INDEX('Data_Price '!AP$2:AP$1266,MATCH(Data!$DN639,'Data_Price '!$AT$2:$AT$1266,0))</f>
        <v>Buyr.com</v>
      </c>
      <c r="DH639">
        <f>INDEX('Data_Price '!AQ$2:AQ$1266,MATCH(Data!$DN639,'Data_Price '!$AT$2:$AT$1266,0))</f>
        <v>599</v>
      </c>
      <c r="DI639" t="str">
        <f>INDEX('Data_Price '!AR$2:AR$1266,MATCH(Data!$DN639,'Data_Price '!$AT$2:$AT$1266,0))</f>
        <v>https://tinyurl.com/y83q7per</v>
      </c>
      <c r="DJ639" s="89" t="str">
        <f t="shared" si="365"/>
        <v>https://tinyurl.com/y9n35zkw</v>
      </c>
      <c r="DK639" s="89" t="str">
        <f t="shared" si="366"/>
        <v>https://tinyurl.com/yaevmux3</v>
      </c>
      <c r="DL639" s="89" t="str">
        <f t="shared" si="367"/>
        <v>https://tinyurl.com/y83q7per</v>
      </c>
      <c r="DM639" s="219" t="str">
        <f t="shared" si="368"/>
        <v>Kore 80 X</v>
      </c>
      <c r="DN639" s="89" t="str">
        <f t="shared" si="369"/>
        <v xml:space="preserve"> HeadKore 80 X170 Unisex</v>
      </c>
      <c r="DO639" s="221"/>
    </row>
    <row r="640" spans="2:119" ht="15.6" customHeight="1">
      <c r="B640" s="219" t="b">
        <f t="array" ref="B640">IF(OR(ISERROR(K640:P640)),FALSE,TRUE)</f>
        <v>1</v>
      </c>
      <c r="C640" s="43" t="b">
        <f>OR(BR640=Driver!$G$50,Data!BR1028=Driver!$H$50)</f>
        <v>1</v>
      </c>
      <c r="D640" s="43" t="b">
        <f>OR(BV640=Driver!$G$51,BV640=Driver!$H$51)</f>
        <v>1</v>
      </c>
      <c r="E640" s="43" t="b">
        <f>AND(BX640&gt;Driver!$F$54,BX640&lt;Driver!$G$54)</f>
        <v>1</v>
      </c>
      <c r="F640" s="43" t="b">
        <f>CL640&gt;Driver!$F$56</f>
        <v>1</v>
      </c>
      <c r="G640" s="43" t="b">
        <f>AND(CB640&gt;Driver!$F$55,CB640&lt;Driver!$G$55)</f>
        <v>0</v>
      </c>
      <c r="H640" s="43" t="b">
        <f t="shared" si="333"/>
        <v>0</v>
      </c>
      <c r="I640" s="43">
        <f t="shared" si="334"/>
        <v>0</v>
      </c>
      <c r="J640" s="43" t="b">
        <f t="array" ref="J640">NOT(OR(($H$9:$H$1273=TRUE)*($I$9:$I$1273&gt;0)*($BT$9:$BT$1273=BT640)*($K$9:$K$1273&gt;K640)))</f>
        <v>1</v>
      </c>
      <c r="K640" s="72">
        <f t="shared" si="335"/>
        <v>0.78138736666810726</v>
      </c>
      <c r="L640" s="72">
        <f t="shared" si="336"/>
        <v>0.8059691331393446</v>
      </c>
      <c r="M640" s="72">
        <f t="shared" si="337"/>
        <v>0.75680560019686993</v>
      </c>
      <c r="N640" s="72">
        <f t="shared" si="338"/>
        <v>0.71510710223202034</v>
      </c>
      <c r="O640" s="72">
        <f t="shared" si="339"/>
        <v>0.59682485927527684</v>
      </c>
      <c r="P640" s="72">
        <f t="shared" si="340"/>
        <v>0.95848483908331261</v>
      </c>
      <c r="Q640" s="72"/>
      <c r="R640" s="72"/>
      <c r="S640" s="72">
        <f t="shared" si="341"/>
        <v>0.42016151234546262</v>
      </c>
      <c r="T640" s="72">
        <f t="shared" si="342"/>
        <v>0.82719196516589677</v>
      </c>
      <c r="U640" s="72">
        <f t="shared" si="343"/>
        <v>0.51</v>
      </c>
      <c r="V640" s="72">
        <f t="shared" si="344"/>
        <v>0.4944130294338549</v>
      </c>
      <c r="W640" s="72">
        <f t="shared" si="345"/>
        <v>0.76038869582523227</v>
      </c>
      <c r="X640" s="72">
        <f t="shared" si="346"/>
        <v>0.19403086686065546</v>
      </c>
      <c r="Y640" s="72">
        <f t="shared" si="347"/>
        <v>0.2431943998031301</v>
      </c>
      <c r="Z640" s="72">
        <f t="shared" si="348"/>
        <v>0.28489289776797971</v>
      </c>
      <c r="AA640" s="72">
        <f t="shared" si="349"/>
        <v>0.40317514072472316</v>
      </c>
      <c r="AB640" s="72">
        <f t="shared" si="350"/>
        <v>4.151516091668736E-2</v>
      </c>
      <c r="AC640" s="72"/>
      <c r="AD640" s="72"/>
      <c r="AE640" s="72">
        <f t="shared" si="351"/>
        <v>0.57983848765453738</v>
      </c>
      <c r="AF640" s="72">
        <f t="shared" si="352"/>
        <v>0.17280803483410323</v>
      </c>
      <c r="AG640" s="72">
        <f t="shared" si="353"/>
        <v>0.49</v>
      </c>
      <c r="AH640" s="72">
        <f t="shared" si="354"/>
        <v>0.5055869705661451</v>
      </c>
      <c r="AI640" s="72">
        <f t="shared" si="355"/>
        <v>0.2396113041747677</v>
      </c>
      <c r="AJ640" s="72">
        <f>(AV640-Driver!$K$179)/(Driver!$L$179-Driver!$K$179)</f>
        <v>6.0188542422044952E-2</v>
      </c>
      <c r="AK640" s="72">
        <f>(AW640-Driver!$K$180)/(Driver!$L$180-Driver!$K$180)</f>
        <v>0.22622020061628209</v>
      </c>
      <c r="AL640" s="72">
        <f>(AX640-Driver!$K$181)/(Driver!$L$181-Driver!$K$181)</f>
        <v>0.38658066148105991</v>
      </c>
      <c r="AM640" s="72">
        <f>(AY640-Driver!$K$182)/(Driver!$L$182-Driver!$K$182)</f>
        <v>4.42098803723232E-2</v>
      </c>
      <c r="AN640" s="72">
        <f>(AZ640-Driver!$K$183)/(Driver!$L$183-Driver!$K$183)</f>
        <v>0.21270424836601307</v>
      </c>
      <c r="AO640" s="72"/>
      <c r="AP640" s="72"/>
      <c r="AQ640" s="72">
        <f>(BC640-Driver!$K$188)/(Driver!$L$188-Driver!$K$188)</f>
        <v>4.0161512345462592E-2</v>
      </c>
      <c r="AR640" s="72">
        <f>MIN((BD640-Driver!$K$189)/(Driver!$L$189-Driver!$K$189),100%)</f>
        <v>0.72280803483410327</v>
      </c>
      <c r="AS640" s="72">
        <f>(BE640-Driver!$K$190)/(Driver!$L$190-Driver!$K$190)</f>
        <v>1</v>
      </c>
      <c r="AT640" s="72">
        <f>(BF640-Driver!$K$191)/(Driver!$L$191-Driver!$K$191)</f>
        <v>4.4130294338548849E-3</v>
      </c>
      <c r="AU640" s="72">
        <f>(BG640-Driver!$K$192)/(Driver!$L$192-Driver!$K$192)</f>
        <v>1.0388695825232309E-2</v>
      </c>
      <c r="AV640" s="70">
        <f t="shared" si="356"/>
        <v>1.2667887667887667</v>
      </c>
      <c r="AW640" s="70">
        <f t="shared" si="357"/>
        <v>23.919055686408452</v>
      </c>
      <c r="AX640" s="70">
        <f t="shared" si="358"/>
        <v>4.4792259533295393</v>
      </c>
      <c r="AY640" s="70">
        <f>IFERROR(Driver!$K$19/Data!BH640/Data!BI640*Data!BK640*Data!BL640,"")</f>
        <v>5.4126084530886763E-2</v>
      </c>
      <c r="AZ640" s="70">
        <f t="shared" si="359"/>
        <v>19.385703648548027</v>
      </c>
      <c r="BA640" s="70"/>
      <c r="BB640" s="70"/>
      <c r="BC640" s="70">
        <f t="shared" si="360"/>
        <v>20.832055651895676</v>
      </c>
      <c r="BD640" s="70">
        <f t="shared" si="361"/>
        <v>65.688053226863516</v>
      </c>
      <c r="BE640" s="70">
        <f t="shared" si="362"/>
        <v>1</v>
      </c>
      <c r="BF640" s="70">
        <f t="shared" si="363"/>
        <v>0.49842067126747269</v>
      </c>
      <c r="BG640" s="70">
        <f t="shared" si="364"/>
        <v>3.9338229665804247E-2</v>
      </c>
      <c r="BH640" s="67">
        <f>MAX((CE640-Driver!$F$200)/(Driver!$G$200-Driver!$F$200)*$BI$1,1)</f>
        <v>4.4792259533295393</v>
      </c>
      <c r="BI640" s="67">
        <f>MAX($BI$1*(BY640-Driver!$F$201)/(Driver!$G$201-Driver!$F$201),1)</f>
        <v>8.037974683544304</v>
      </c>
      <c r="BJ640" s="67">
        <f>(CB640-Driver!$F$206)/(Driver!$G$206-Driver!$F$206)*$BI$1</f>
        <v>1.4285714285714284</v>
      </c>
      <c r="BK640" s="67">
        <f>(CD640-Driver!$F$203)/(Driver!$G$203-Driver!$F$203)*$BI$1</f>
        <v>1.2844036697247705</v>
      </c>
      <c r="BL640" s="67">
        <f>MAX((CR640-Driver!$F$202)/(Driver!$G$202-Driver!$F$202)*$BI$1,1)</f>
        <v>7.5862068965517242</v>
      </c>
      <c r="BM640" s="67">
        <f>MAX((CH640-Driver!$F$204)/(Driver!$G$204-Driver!$F$204)*$BI$1,1)</f>
        <v>3.5470085470085473</v>
      </c>
      <c r="BN640" s="67">
        <f>(CI640-Driver!$F$205)/(Driver!$G$205-Driver!$F$205)*$BI$1</f>
        <v>2.4117647058823528</v>
      </c>
      <c r="BO640" s="67">
        <f>(CK640-Driver!$F$207)/(Driver!$G$207-Driver!$F$207)*$BI$1</f>
        <v>0.62047569803516023</v>
      </c>
      <c r="BP640" s="67">
        <f>(CM640-Driver!$F$208)/(Driver!$G$208-Driver!$F$208)*$BI$1</f>
        <v>0.7222222222222221</v>
      </c>
      <c r="BQ640" s="67">
        <f>(CL640-Driver!$F$209)/(Driver!$G$209-Driver!$F$209)*$BI$1</f>
        <v>0.625</v>
      </c>
      <c r="BR640" s="28" t="s">
        <v>155</v>
      </c>
      <c r="BS640" s="8" t="s">
        <v>172</v>
      </c>
      <c r="BT640" s="9" t="s">
        <v>676</v>
      </c>
      <c r="BU640" s="10">
        <v>159</v>
      </c>
      <c r="BV640" s="9" t="s">
        <v>158</v>
      </c>
      <c r="BW640" s="10">
        <v>159</v>
      </c>
      <c r="BX640" s="10">
        <v>158.6</v>
      </c>
      <c r="BY640" s="10">
        <v>135</v>
      </c>
      <c r="BZ640" s="10">
        <v>145</v>
      </c>
      <c r="CA640" s="10">
        <v>122</v>
      </c>
      <c r="CB640" s="10">
        <v>73</v>
      </c>
      <c r="CC640" s="10">
        <v>109</v>
      </c>
      <c r="CD640" s="10">
        <v>12.2</v>
      </c>
      <c r="CE640" s="10">
        <v>1687</v>
      </c>
      <c r="CF640" s="10">
        <v>0.84</v>
      </c>
      <c r="CG640" s="10">
        <v>1412</v>
      </c>
      <c r="CH640" s="10">
        <v>184</v>
      </c>
      <c r="CI640" s="10">
        <v>74</v>
      </c>
      <c r="CJ640" s="10">
        <v>41</v>
      </c>
      <c r="CK640" s="10">
        <v>170</v>
      </c>
      <c r="CL640" s="10">
        <v>4</v>
      </c>
      <c r="CM640" s="10">
        <v>65</v>
      </c>
      <c r="CN640" s="10">
        <v>0.104</v>
      </c>
      <c r="CO640" s="10">
        <v>79</v>
      </c>
      <c r="CP640" s="10">
        <v>61</v>
      </c>
      <c r="CQ640" s="10">
        <v>91</v>
      </c>
      <c r="CR640" s="10">
        <v>11</v>
      </c>
      <c r="CS640" s="10">
        <v>10.199999999999999</v>
      </c>
      <c r="CT640" s="9" t="s">
        <v>349</v>
      </c>
      <c r="CU640" s="10"/>
      <c r="CV640" s="10"/>
      <c r="CW640" s="10"/>
      <c r="CX640" t="str">
        <f>INDEX('Data_Price '!AG$2:AG$1266,MATCH(Data!$DN640,'Data_Price '!$AT$2:$AT$1266,0))</f>
        <v>Rossignol Hero Elite MT Ti + SPX12.GW Bi Racing Skis Â· 2022 Â· 159 cm</v>
      </c>
      <c r="CY640" t="str">
        <f>INDEX('Data_Price '!AH$2:AH$1266,MATCH(Data!$DN640,'Data_Price '!$AT$2:$AT$1266,0))</f>
        <v>eBay - asogear</v>
      </c>
      <c r="CZ640">
        <f>INDEX('Data_Price '!AI$2:AI$1266,MATCH(Data!$DN640,'Data_Price '!$AT$2:$AT$1266,0))</f>
        <v>699.99</v>
      </c>
      <c r="DA640" t="str">
        <f>INDEX('Data_Price '!AJ$2:AJ$1266,MATCH(Data!$DN640,'Data_Price '!$AT$2:$AT$1266,0))</f>
        <v>https://tinyurl.com/y7tqf8ru</v>
      </c>
      <c r="DB640" t="str">
        <f>INDEX('Data_Price '!AK$2:AK$1266,MATCH(Data!$DN640,'Data_Price '!$AT$2:$AT$1266,0))</f>
        <v>Rossignol Hero Elite MT Ti + SPX12.GW Bi Racing Skis Â· 2022 Â· 159 cm</v>
      </c>
      <c r="DC640" t="str">
        <f>INDEX('Data_Price '!AL$2:AL$1266,MATCH(Data!$DN640,'Data_Price '!$AT$2:$AT$1266,0))</f>
        <v>Suburban Ski and Bike</v>
      </c>
      <c r="DD640">
        <f>INDEX('Data_Price '!AM$2:AM$1266,MATCH(Data!$DN640,'Data_Price '!$AT$2:$AT$1266,0))</f>
        <v>799.95</v>
      </c>
      <c r="DE640" t="str">
        <f>INDEX('Data_Price '!AN$2:AN$1266,MATCH(Data!$DN640,'Data_Price '!$AT$2:$AT$1266,0))</f>
        <v>https://tinyurl.com/yashw8xf</v>
      </c>
      <c r="DF640" t="str">
        <f>INDEX('Data_Price '!AO$2:AO$1266,MATCH(Data!$DN640,'Data_Price '!$AT$2:$AT$1266,0))</f>
        <v>Rossignol HERO ELITE MT TI + SPX12.GW BI Racing Ski 2022 159</v>
      </c>
      <c r="DG640" t="str">
        <f>INDEX('Data_Price '!AP$2:AP$1266,MATCH(Data!$DN640,'Data_Price '!$AT$2:$AT$1266,0))</f>
        <v>Boyne Country Sports</v>
      </c>
      <c r="DH640">
        <f>INDEX('Data_Price '!AQ$2:AQ$1266,MATCH(Data!$DN640,'Data_Price '!$AT$2:$AT$1266,0))</f>
        <v>900</v>
      </c>
      <c r="DI640" t="str">
        <f>INDEX('Data_Price '!AR$2:AR$1266,MATCH(Data!$DN640,'Data_Price '!$AT$2:$AT$1266,0))</f>
        <v>https://tinyurl.com/ydcng9kh</v>
      </c>
      <c r="DJ640" s="89" t="str">
        <f t="shared" si="365"/>
        <v>https://tinyurl.com/y7tqf8ru</v>
      </c>
      <c r="DK640" s="89" t="str">
        <f t="shared" si="366"/>
        <v>https://tinyurl.com/yashw8xf</v>
      </c>
      <c r="DL640" s="89" t="str">
        <f t="shared" si="367"/>
        <v>https://tinyurl.com/ydcng9kh</v>
      </c>
      <c r="DM640" s="219" t="str">
        <f t="shared" si="368"/>
        <v>Hero Elite Multi Turn Ti</v>
      </c>
      <c r="DN640" s="89" t="str">
        <f t="shared" si="369"/>
        <v xml:space="preserve"> RossignolHero Elite Multi Turn Ti159 Unisex</v>
      </c>
      <c r="DO640" s="221"/>
    </row>
    <row r="641" spans="2:119" ht="15.6" customHeight="1">
      <c r="B641" s="219" t="b">
        <f t="array" ref="B641">IF(OR(ISERROR(K641:P641)),FALSE,TRUE)</f>
        <v>1</v>
      </c>
      <c r="C641" s="43" t="b">
        <f>OR(BR641=Driver!$G$50,Data!BR150=Driver!$H$50)</f>
        <v>1</v>
      </c>
      <c r="D641" s="43" t="b">
        <f>OR(BV641=Driver!$G$51,BV641=Driver!$H$51)</f>
        <v>0</v>
      </c>
      <c r="E641" s="43" t="b">
        <f>AND(BX641&gt;Driver!$F$54,BX641&lt;Driver!$G$54)</f>
        <v>1</v>
      </c>
      <c r="F641" s="43" t="b">
        <f>CL641&gt;Driver!$F$56</f>
        <v>1</v>
      </c>
      <c r="G641" s="43" t="b">
        <f>AND(CB641&gt;Driver!$F$55,CB641&lt;Driver!$G$55)</f>
        <v>0</v>
      </c>
      <c r="H641" s="43" t="b">
        <f t="shared" si="333"/>
        <v>0</v>
      </c>
      <c r="I641" s="43">
        <f t="shared" si="334"/>
        <v>0</v>
      </c>
      <c r="J641" s="43" t="b">
        <f t="array" ref="J641">NOT(OR(($H$9:$H$1273=TRUE)*($I$9:$I$1273&gt;0)*($BT$9:$BT$1273=BT641)*($K$9:$K$1273&gt;K641)))</f>
        <v>1</v>
      </c>
      <c r="K641" s="72">
        <f t="shared" si="335"/>
        <v>0.87561389114341659</v>
      </c>
      <c r="L641" s="72">
        <f t="shared" si="336"/>
        <v>0.90531648629380435</v>
      </c>
      <c r="M641" s="72">
        <f t="shared" si="337"/>
        <v>0.84591129599302883</v>
      </c>
      <c r="N641" s="72">
        <f t="shared" si="338"/>
        <v>0.89470616629323574</v>
      </c>
      <c r="O641" s="72">
        <f t="shared" si="339"/>
        <v>0.68707556234110023</v>
      </c>
      <c r="P641" s="72">
        <f t="shared" si="340"/>
        <v>0.95595215934475053</v>
      </c>
      <c r="Q641" s="72"/>
      <c r="R641" s="72"/>
      <c r="S641" s="72">
        <f t="shared" si="341"/>
        <v>0.43982788888917601</v>
      </c>
      <c r="T641" s="72">
        <f t="shared" si="342"/>
        <v>0.49142650178031055</v>
      </c>
      <c r="U641" s="72">
        <f t="shared" si="343"/>
        <v>0.82767735055028124</v>
      </c>
      <c r="V641" s="72">
        <f t="shared" si="344"/>
        <v>0.52742969796625583</v>
      </c>
      <c r="W641" s="72">
        <f t="shared" si="345"/>
        <v>0.7949701789264414</v>
      </c>
      <c r="X641" s="72">
        <f t="shared" si="346"/>
        <v>9.468351370619571E-2</v>
      </c>
      <c r="Y641" s="72">
        <f t="shared" si="347"/>
        <v>0.15408870400697117</v>
      </c>
      <c r="Z641" s="72">
        <f t="shared" si="348"/>
        <v>0.10529383370676425</v>
      </c>
      <c r="AA641" s="72">
        <f t="shared" si="349"/>
        <v>0.31292443765889977</v>
      </c>
      <c r="AB641" s="72">
        <f t="shared" si="350"/>
        <v>4.4047840655249498E-2</v>
      </c>
      <c r="AC641" s="72"/>
      <c r="AD641" s="72"/>
      <c r="AE641" s="72">
        <f t="shared" si="351"/>
        <v>0.56017211111082399</v>
      </c>
      <c r="AF641" s="72">
        <f t="shared" si="352"/>
        <v>0.50857349821968945</v>
      </c>
      <c r="AG641" s="72">
        <f t="shared" si="353"/>
        <v>0.1723226494497187</v>
      </c>
      <c r="AH641" s="72">
        <f t="shared" si="354"/>
        <v>0.47257030203374417</v>
      </c>
      <c r="AI641" s="72">
        <f t="shared" si="355"/>
        <v>0.20502982107355866</v>
      </c>
      <c r="AJ641" s="72">
        <f>(AV641-Driver!$K$179)/(Driver!$L$179-Driver!$K$179)</f>
        <v>0.15953589557650472</v>
      </c>
      <c r="AK641" s="72">
        <f>(AW641-Driver!$K$180)/(Driver!$L$180-Driver!$K$180)</f>
        <v>0.20840012474485503</v>
      </c>
      <c r="AL641" s="72">
        <f>(AX641-Driver!$K$181)/(Driver!$L$181-Driver!$K$181)</f>
        <v>0.20698159741984443</v>
      </c>
      <c r="AM641" s="72">
        <f>(AY641-Driver!$K$182)/(Driver!$L$182-Driver!$K$182)</f>
        <v>0.13446058343814662</v>
      </c>
      <c r="AN641" s="72">
        <f>(AZ641-Driver!$K$183)/(Driver!$L$183-Driver!$K$183)</f>
        <v>0.21017156862745093</v>
      </c>
      <c r="AO641" s="72"/>
      <c r="AP641" s="72"/>
      <c r="AQ641" s="72">
        <f>(BC641-Driver!$K$188)/(Driver!$L$188-Driver!$K$188)</f>
        <v>5.9827888889176041E-2</v>
      </c>
      <c r="AR641" s="72">
        <f>MIN((BD641-Driver!$K$189)/(Driver!$L$189-Driver!$K$189),100%)</f>
        <v>4.1426501780310564E-2</v>
      </c>
      <c r="AS641" s="72">
        <f>(BE641-Driver!$K$190)/(Driver!$L$190-Driver!$K$190)</f>
        <v>0.33767735055028131</v>
      </c>
      <c r="AT641" s="72">
        <f>(BF641-Driver!$K$191)/(Driver!$L$191-Driver!$K$191)</f>
        <v>3.7429697966255851E-2</v>
      </c>
      <c r="AU641" s="72">
        <f>(BG641-Driver!$K$192)/(Driver!$L$192-Driver!$K$192)</f>
        <v>4.4970178926441347E-2</v>
      </c>
      <c r="AV641" s="70">
        <f t="shared" si="356"/>
        <v>3.3577533577533578</v>
      </c>
      <c r="AW641" s="70">
        <f t="shared" si="357"/>
        <v>22.182331390802549</v>
      </c>
      <c r="AX641" s="70">
        <f t="shared" si="358"/>
        <v>2.8628343767785998</v>
      </c>
      <c r="AY641" s="70">
        <f>IFERROR(Driver!$K$19/Data!BH641/Data!BI641*Data!BK641*Data!BL641,"")</f>
        <v>0.16461987329424282</v>
      </c>
      <c r="AZ641" s="70">
        <f t="shared" si="359"/>
        <v>19.154877140729706</v>
      </c>
      <c r="BA641" s="70"/>
      <c r="BB641" s="70"/>
      <c r="BC641" s="70">
        <f t="shared" si="360"/>
        <v>31.033141883551512</v>
      </c>
      <c r="BD641" s="70">
        <f t="shared" si="361"/>
        <v>5.3869948882375658</v>
      </c>
      <c r="BE641" s="70">
        <f t="shared" si="362"/>
        <v>0.3377955014561842</v>
      </c>
      <c r="BF641" s="70">
        <f t="shared" si="363"/>
        <v>4.2274214267779708</v>
      </c>
      <c r="BG641" s="70">
        <f t="shared" si="364"/>
        <v>0.17028578528827037</v>
      </c>
      <c r="BH641" s="67">
        <f>MAX((CE641-Driver!$F$200)/(Driver!$G$200-Driver!$F$200)*$BI$1,1)</f>
        <v>2.8628343767785998</v>
      </c>
      <c r="BI641" s="67">
        <f>MAX($BI$1*(BY641-Driver!$F$201)/(Driver!$G$201-Driver!$F$201),1)</f>
        <v>6.6455696202531644</v>
      </c>
      <c r="BJ641" s="67">
        <f>(CB641-Driver!$F$206)/(Driver!$G$206-Driver!$F$206)*$BI$1</f>
        <v>3.4920634920634921</v>
      </c>
      <c r="BK641" s="67">
        <f>(CD641-Driver!$F$203)/(Driver!$G$203-Driver!$F$203)*$BI$1</f>
        <v>3.0275229357798166</v>
      </c>
      <c r="BL641" s="67">
        <f>MAX((CR641-Driver!$F$202)/(Driver!$G$202-Driver!$F$202)*$BI$1,1)</f>
        <v>5.1724137931034484</v>
      </c>
      <c r="BM641" s="67">
        <f>MAX((CH641-Driver!$F$204)/(Driver!$G$204-Driver!$F$204)*$BI$1,1)</f>
        <v>3.8461538461538463</v>
      </c>
      <c r="BN641" s="67">
        <f>(CI641-Driver!$F$205)/(Driver!$G$205-Driver!$F$205)*$BI$1</f>
        <v>2.8823529411764701</v>
      </c>
      <c r="BO641" s="67">
        <f>(CK641-Driver!$F$207)/(Driver!$G$207-Driver!$F$207)*$BI$1</f>
        <v>1.7269906928645296</v>
      </c>
      <c r="BP641" s="67">
        <f>(CM641-Driver!$F$208)/(Driver!$G$208-Driver!$F$208)*$BI$1</f>
        <v>2.1222222222222222</v>
      </c>
      <c r="BQ641" s="67">
        <f>(CL641-Driver!$F$209)/(Driver!$G$209-Driver!$F$209)*$BI$1</f>
        <v>1.875</v>
      </c>
      <c r="BR641" s="28" t="s">
        <v>155</v>
      </c>
      <c r="BS641" s="8" t="s">
        <v>156</v>
      </c>
      <c r="BT641" s="9" t="s">
        <v>703</v>
      </c>
      <c r="BU641" s="10">
        <v>161</v>
      </c>
      <c r="BV641" s="9" t="s">
        <v>163</v>
      </c>
      <c r="BW641" s="10">
        <v>161</v>
      </c>
      <c r="BX641" s="10">
        <v>160.19999999999999</v>
      </c>
      <c r="BY641" s="10">
        <v>113</v>
      </c>
      <c r="BZ641" s="10">
        <v>133</v>
      </c>
      <c r="CA641" s="10">
        <v>121</v>
      </c>
      <c r="CB641" s="10">
        <v>86</v>
      </c>
      <c r="CC641" s="10">
        <v>104</v>
      </c>
      <c r="CD641" s="10">
        <v>16</v>
      </c>
      <c r="CE641" s="10">
        <v>1403</v>
      </c>
      <c r="CF641" s="10">
        <v>1.1100000000000001</v>
      </c>
      <c r="CG641" s="10">
        <v>1551</v>
      </c>
      <c r="CH641" s="10">
        <v>191</v>
      </c>
      <c r="CI641" s="10">
        <v>82</v>
      </c>
      <c r="CJ641" s="10">
        <v>48</v>
      </c>
      <c r="CK641" s="10">
        <v>277</v>
      </c>
      <c r="CL641" s="10">
        <v>12</v>
      </c>
      <c r="CM641" s="10">
        <v>191</v>
      </c>
      <c r="CN641" s="10">
        <v>0.255</v>
      </c>
      <c r="CO641" s="10">
        <v>166</v>
      </c>
      <c r="CP641" s="10">
        <v>104</v>
      </c>
      <c r="CQ641" s="10">
        <v>111</v>
      </c>
      <c r="CR641" s="10">
        <v>4</v>
      </c>
      <c r="CS641" s="10">
        <v>8.6999999999999993</v>
      </c>
      <c r="CT641" s="9" t="s">
        <v>188</v>
      </c>
      <c r="CU641" s="9" t="s">
        <v>185</v>
      </c>
      <c r="CV641" s="10"/>
      <c r="CW641" s="10"/>
      <c r="CX641" t="str">
        <f>INDEX('Data_Price '!AG$2:AG$1266,MATCH(Data!$DN641,'Data_Price '!$AT$2:$AT$1266,0))</f>
        <v>Atomic Maven 86 Berry / 161cm</v>
      </c>
      <c r="CY641" t="str">
        <f>INDEX('Data_Price '!AH$2:AH$1266,MATCH(Data!$DN641,'Data_Price '!$AT$2:$AT$1266,0))</f>
        <v>Sundance Ski and Board Shop</v>
      </c>
      <c r="CZ641">
        <f>INDEX('Data_Price '!AI$2:AI$1266,MATCH(Data!$DN641,'Data_Price '!$AT$2:$AT$1266,0))</f>
        <v>320.68</v>
      </c>
      <c r="DA641" t="str">
        <f>INDEX('Data_Price '!AJ$2:AJ$1266,MATCH(Data!$DN641,'Data_Price '!$AT$2:$AT$1266,0))</f>
        <v>https://tinyurl.com/yb7sjnvn</v>
      </c>
      <c r="DB641" t="str">
        <f>INDEX('Data_Price '!AK$2:AK$1266,MATCH(Data!$DN641,'Data_Price '!$AT$2:$AT$1266,0))</f>
        <v>Atomic Maven 86 R Women's Skis with M10 GW Bindings Â· 2022 Â· 161 cm</v>
      </c>
      <c r="DC641" t="str">
        <f>INDEX('Data_Price '!AL$2:AL$1266,MATCH(Data!$DN641,'Data_Price '!$AT$2:$AT$1266,0))</f>
        <v>evo.com</v>
      </c>
      <c r="DD641">
        <f>INDEX('Data_Price '!AM$2:AM$1266,MATCH(Data!$DN641,'Data_Price '!$AT$2:$AT$1266,0))</f>
        <v>399.99</v>
      </c>
      <c r="DE641" t="str">
        <f>INDEX('Data_Price '!AN$2:AN$1266,MATCH(Data!$DN641,'Data_Price '!$AT$2:$AT$1266,0))</f>
        <v>https://tinyurl.com/y7uz3pp2</v>
      </c>
      <c r="DF641" t="str">
        <f>INDEX('Data_Price '!AO$2:AO$1266,MATCH(Data!$DN641,'Data_Price '!$AT$2:$AT$1266,0))</f>
        <v>2022 Atomic Maven 86 Women's Skis w/ Tyrolia Attack 11 GW Bindings - 161| Ski Essentials</v>
      </c>
      <c r="DG641" t="str">
        <f>INDEX('Data_Price '!AP$2:AP$1266,MATCH(Data!$DN641,'Data_Price '!$AT$2:$AT$1266,0))</f>
        <v>SkiEssentials.com</v>
      </c>
      <c r="DH641">
        <f>INDEX('Data_Price '!AQ$2:AQ$1266,MATCH(Data!$DN641,'Data_Price '!$AT$2:$AT$1266,0))</f>
        <v>469.99</v>
      </c>
      <c r="DI641" t="str">
        <f>INDEX('Data_Price '!AR$2:AR$1266,MATCH(Data!$DN641,'Data_Price '!$AT$2:$AT$1266,0))</f>
        <v>https://tinyurl.com/y9lzlupz</v>
      </c>
      <c r="DJ641" s="89" t="str">
        <f t="shared" si="365"/>
        <v>https://tinyurl.com/yb7sjnvn</v>
      </c>
      <c r="DK641" s="89" t="str">
        <f t="shared" si="366"/>
        <v>https://tinyurl.com/y7uz3pp2</v>
      </c>
      <c r="DL641" s="89" t="str">
        <f t="shared" si="367"/>
        <v>https://tinyurl.com/y9lzlupz</v>
      </c>
      <c r="DM641" s="219" t="str">
        <f t="shared" si="368"/>
        <v>Maven 86</v>
      </c>
      <c r="DN641" s="89" t="str">
        <f t="shared" si="369"/>
        <v xml:space="preserve"> AtomicMaven 86161 Women's</v>
      </c>
      <c r="DO641" s="221" t="s">
        <v>648</v>
      </c>
    </row>
    <row r="642" spans="2:119" ht="15.6" customHeight="1">
      <c r="B642" s="219" t="b">
        <f t="array" ref="B642">IF(OR(ISERROR(K642:P642)),FALSE,TRUE)</f>
        <v>1</v>
      </c>
      <c r="C642" s="43" t="b">
        <f>OR(BR642=Driver!$G$50,Data!BR202=Driver!$H$50)</f>
        <v>1</v>
      </c>
      <c r="D642" s="43" t="b">
        <f>OR(BV642=Driver!$G$51,BV642=Driver!$H$51)</f>
        <v>1</v>
      </c>
      <c r="E642" s="43" t="b">
        <f>AND(BX642&gt;Driver!$F$54,BX642&lt;Driver!$G$54)</f>
        <v>0</v>
      </c>
      <c r="F642" s="43" t="b">
        <f>CL642&gt;Driver!$F$56</f>
        <v>1</v>
      </c>
      <c r="G642" s="43" t="b">
        <f>AND(CB642&gt;Driver!$F$55,CB642&lt;Driver!$G$55)</f>
        <v>0</v>
      </c>
      <c r="H642" s="43" t="b">
        <f t="shared" si="333"/>
        <v>0</v>
      </c>
      <c r="I642" s="43">
        <f t="shared" si="334"/>
        <v>0</v>
      </c>
      <c r="J642" s="43" t="b">
        <f t="array" ref="J642">NOT(OR(($H$9:$H$1273=TRUE)*($I$9:$I$1273&gt;0)*($BT$9:$BT$1273=BT642)*($K$9:$K$1273&gt;K642)))</f>
        <v>1</v>
      </c>
      <c r="K642" s="72">
        <f t="shared" si="335"/>
        <v>0.82177070514356843</v>
      </c>
      <c r="L642" s="72">
        <f t="shared" si="336"/>
        <v>0.84891490704958539</v>
      </c>
      <c r="M642" s="72">
        <f t="shared" si="337"/>
        <v>0.79462650323755146</v>
      </c>
      <c r="N642" s="72">
        <f t="shared" si="338"/>
        <v>0.70941558259627757</v>
      </c>
      <c r="O642" s="72">
        <f t="shared" si="339"/>
        <v>0.72435327103960012</v>
      </c>
      <c r="P642" s="72">
        <f t="shared" si="340"/>
        <v>0.95011065607677669</v>
      </c>
      <c r="Q642" s="72"/>
      <c r="R642" s="72"/>
      <c r="S642" s="72">
        <f t="shared" si="341"/>
        <v>0.44795749330059709</v>
      </c>
      <c r="T642" s="72">
        <f t="shared" si="342"/>
        <v>0.4653695301506855</v>
      </c>
      <c r="U642" s="72">
        <f t="shared" si="343"/>
        <v>0.6796235765555303</v>
      </c>
      <c r="V642" s="72">
        <f t="shared" si="344"/>
        <v>0.51089507181621208</v>
      </c>
      <c r="W642" s="72">
        <f t="shared" si="345"/>
        <v>0.90451790201005022</v>
      </c>
      <c r="X642" s="72">
        <f t="shared" si="346"/>
        <v>0.15108509295041456</v>
      </c>
      <c r="Y642" s="72">
        <f t="shared" si="347"/>
        <v>0.20537349676244854</v>
      </c>
      <c r="Z642" s="72">
        <f t="shared" si="348"/>
        <v>0.29058441740372243</v>
      </c>
      <c r="AA642" s="72">
        <f t="shared" si="349"/>
        <v>0.27564672896039982</v>
      </c>
      <c r="AB642" s="72">
        <f t="shared" si="350"/>
        <v>4.9889343923223306E-2</v>
      </c>
      <c r="AC642" s="72"/>
      <c r="AD642" s="72"/>
      <c r="AE642" s="72">
        <f t="shared" si="351"/>
        <v>0.55204250669940291</v>
      </c>
      <c r="AF642" s="72">
        <f t="shared" si="352"/>
        <v>0.5346304698493145</v>
      </c>
      <c r="AG642" s="72">
        <f t="shared" si="353"/>
        <v>0.3203764234444697</v>
      </c>
      <c r="AH642" s="72">
        <f t="shared" si="354"/>
        <v>0.48910492818378792</v>
      </c>
      <c r="AI642" s="72">
        <f t="shared" si="355"/>
        <v>9.5482097989949777E-2</v>
      </c>
      <c r="AJ642" s="72">
        <f>(AV642-Driver!$K$179)/(Driver!$L$179-Driver!$K$179)</f>
        <v>0.10313431633228587</v>
      </c>
      <c r="AK642" s="72">
        <f>(AW642-Driver!$K$180)/(Driver!$L$180-Driver!$K$180)</f>
        <v>0.22051666406343584</v>
      </c>
      <c r="AL642" s="72">
        <f>(AX642-Driver!$K$181)/(Driver!$L$181-Driver!$K$181)</f>
        <v>0.39227218111680262</v>
      </c>
      <c r="AM642" s="72">
        <f>(AY642-Driver!$K$182)/(Driver!$L$182-Driver!$K$182)</f>
        <v>0.17173829213664654</v>
      </c>
      <c r="AN642" s="72">
        <f>(AZ642-Driver!$K$183)/(Driver!$L$183-Driver!$K$183)</f>
        <v>0.20433006535947712</v>
      </c>
      <c r="AO642" s="72"/>
      <c r="AP642" s="72"/>
      <c r="AQ642" s="72">
        <f>(BC642-Driver!$K$188)/(Driver!$L$188-Driver!$K$188)</f>
        <v>6.7957493300597124E-2</v>
      </c>
      <c r="AR642" s="72">
        <f>MIN((BD642-Driver!$K$189)/(Driver!$L$189-Driver!$K$189),100%)</f>
        <v>1.53695301506855E-2</v>
      </c>
      <c r="AS642" s="72">
        <f>(BE642-Driver!$K$190)/(Driver!$L$190-Driver!$K$190)</f>
        <v>0.18962357655553033</v>
      </c>
      <c r="AT642" s="72">
        <f>(BF642-Driver!$K$191)/(Driver!$L$191-Driver!$K$191)</f>
        <v>2.0895071816212085E-2</v>
      </c>
      <c r="AU642" s="72">
        <f>(BG642-Driver!$K$192)/(Driver!$L$192-Driver!$K$192)</f>
        <v>0.15451790201005022</v>
      </c>
      <c r="AV642" s="70">
        <f t="shared" si="356"/>
        <v>2.1706688373355041</v>
      </c>
      <c r="AW642" s="70">
        <f t="shared" si="357"/>
        <v>23.363195510858528</v>
      </c>
      <c r="AX642" s="70">
        <f t="shared" si="358"/>
        <v>4.5304496300512236</v>
      </c>
      <c r="AY642" s="70">
        <f>IFERROR(Driver!$K$19/Data!BH642/Data!BI642*Data!BK642*Data!BL642,"")</f>
        <v>0.21025891133597255</v>
      </c>
      <c r="AZ642" s="70">
        <f t="shared" si="359"/>
        <v>18.622486969471332</v>
      </c>
      <c r="BA642" s="70"/>
      <c r="BB642" s="70"/>
      <c r="BC642" s="70">
        <f t="shared" si="360"/>
        <v>35.250024207848604</v>
      </c>
      <c r="BD642" s="70">
        <f t="shared" si="361"/>
        <v>3.0809990692374396</v>
      </c>
      <c r="BE642" s="70">
        <f t="shared" si="362"/>
        <v>0.18976813858829764</v>
      </c>
      <c r="BF642" s="70">
        <f t="shared" si="363"/>
        <v>2.359951565453561</v>
      </c>
      <c r="BG642" s="70">
        <f t="shared" si="364"/>
        <v>0.5851033487751256</v>
      </c>
      <c r="BH642" s="67">
        <f>MAX((CE642-Driver!$F$200)/(Driver!$G$200-Driver!$F$200)*$BI$1,1)</f>
        <v>4.5304496300512236</v>
      </c>
      <c r="BI642" s="67">
        <f>MAX($BI$1*(BY642-Driver!$F$201)/(Driver!$G$201-Driver!$F$201),1)</f>
        <v>7.7215189873417724</v>
      </c>
      <c r="BJ642" s="67">
        <f>(CB642-Driver!$F$206)/(Driver!$G$206-Driver!$F$206)*$BI$1</f>
        <v>5.0793650793650791</v>
      </c>
      <c r="BK642" s="67">
        <f>(CD642-Driver!$F$203)/(Driver!$G$203-Driver!$F$203)*$BI$1</f>
        <v>4.2660550458715596</v>
      </c>
      <c r="BL642" s="67">
        <f>MAX((CR642-Driver!$F$202)/(Driver!$G$202-Driver!$F$202)*$BI$1,1)</f>
        <v>8.6206896551724128</v>
      </c>
      <c r="BM642" s="67">
        <f>MAX((CH642-Driver!$F$204)/(Driver!$G$204-Driver!$F$204)*$BI$1,1)</f>
        <v>1.7094017094017095</v>
      </c>
      <c r="BN642" s="67">
        <f>(CI642-Driver!$F$205)/(Driver!$G$205-Driver!$F$205)*$BI$1</f>
        <v>2.4117647058823528</v>
      </c>
      <c r="BO642" s="67">
        <f>(CK642-Driver!$F$207)/(Driver!$G$207-Driver!$F$207)*$BI$1</f>
        <v>1.1892450879007239</v>
      </c>
      <c r="BP642" s="67">
        <f>(CM642-Driver!$F$208)/(Driver!$G$208-Driver!$F$208)*$BI$1</f>
        <v>1.6666666666666665</v>
      </c>
      <c r="BQ642" s="67">
        <f>(CL642-Driver!$F$209)/(Driver!$G$209-Driver!$F$209)*$BI$1</f>
        <v>4.53125</v>
      </c>
      <c r="BR642" s="28" t="s">
        <v>155</v>
      </c>
      <c r="BS642" s="8" t="s">
        <v>237</v>
      </c>
      <c r="BT642" s="9" t="s">
        <v>507</v>
      </c>
      <c r="BU642" s="10">
        <v>168.1</v>
      </c>
      <c r="BV642" s="9" t="s">
        <v>158</v>
      </c>
      <c r="BW642" s="10">
        <v>168.1</v>
      </c>
      <c r="BX642" s="10">
        <v>167.5</v>
      </c>
      <c r="BY642" s="10">
        <v>130</v>
      </c>
      <c r="BZ642" s="10">
        <v>144</v>
      </c>
      <c r="CA642" s="10">
        <v>127</v>
      </c>
      <c r="CB642" s="10">
        <v>96</v>
      </c>
      <c r="CC642" s="10">
        <v>116</v>
      </c>
      <c r="CD642" s="10">
        <v>18.7</v>
      </c>
      <c r="CE642" s="10">
        <v>1696</v>
      </c>
      <c r="CF642" s="10">
        <v>1.04</v>
      </c>
      <c r="CG642" s="10">
        <v>1772</v>
      </c>
      <c r="CH642" s="10">
        <v>141</v>
      </c>
      <c r="CI642" s="10">
        <v>74</v>
      </c>
      <c r="CJ642" s="10">
        <v>46</v>
      </c>
      <c r="CK642" s="10">
        <v>225</v>
      </c>
      <c r="CL642" s="10">
        <v>29</v>
      </c>
      <c r="CM642" s="10">
        <v>150</v>
      </c>
      <c r="CN642" s="10">
        <v>0.63200000000000001</v>
      </c>
      <c r="CO642" s="10">
        <v>128</v>
      </c>
      <c r="CP642" s="10">
        <v>112</v>
      </c>
      <c r="CQ642" s="10">
        <v>97</v>
      </c>
      <c r="CR642" s="10">
        <v>14</v>
      </c>
      <c r="CS642" s="10">
        <v>6.2</v>
      </c>
      <c r="CT642" s="9" t="s">
        <v>188</v>
      </c>
      <c r="CU642" s="10"/>
      <c r="CV642" s="10"/>
      <c r="CW642" s="10"/>
      <c r="CX642" t="str">
        <f>INDEX('Data_Price '!AG$2:AG$1266,MATCH(Data!$DN642,'Data_Price '!$AT$2:$AT$1266,0))</f>
        <v>Skis Black Crows Camox</v>
      </c>
      <c r="CY642" t="str">
        <f>INDEX('Data_Price '!AH$2:AH$1266,MATCH(Data!$DN642,'Data_Price '!$AT$2:$AT$1266,0))</f>
        <v>Teton Wasatch Ski Co.</v>
      </c>
      <c r="CZ642">
        <f>INDEX('Data_Price '!AI$2:AI$1266,MATCH(Data!$DN642,'Data_Price '!$AT$2:$AT$1266,0))</f>
        <v>575</v>
      </c>
      <c r="DA642" t="str">
        <f>INDEX('Data_Price '!AJ$2:AJ$1266,MATCH(Data!$DN642,'Data_Price '!$AT$2:$AT$1266,0))</f>
        <v>https://tinyurl.com/y9oguhht</v>
      </c>
      <c r="DB642" t="str">
        <f>INDEX('Data_Price '!AK$2:AK$1266,MATCH(Data!$DN642,'Data_Price '!$AT$2:$AT$1266,0))</f>
        <v>Skis Black Crows Camox</v>
      </c>
      <c r="DC642" t="str">
        <f>INDEX('Data_Price '!AL$2:AL$1266,MATCH(Data!$DN642,'Data_Price '!$AT$2:$AT$1266,0))</f>
        <v>SkiEssentials.com</v>
      </c>
      <c r="DD642">
        <f>INDEX('Data_Price '!AM$2:AM$1266,MATCH(Data!$DN642,'Data_Price '!$AT$2:$AT$1266,0))</f>
        <v>575.96</v>
      </c>
      <c r="DE642" t="str">
        <f>INDEX('Data_Price '!AN$2:AN$1266,MATCH(Data!$DN642,'Data_Price '!$AT$2:$AT$1266,0))</f>
        <v>https://tinyurl.com/ycmd4qzf</v>
      </c>
      <c r="DF642" t="str">
        <f>INDEX('Data_Price '!AO$2:AO$1266,MATCH(Data!$DN642,'Data_Price '!$AT$2:$AT$1266,0))</f>
        <v>Skis Black Crows Camox</v>
      </c>
      <c r="DG642" t="str">
        <f>INDEX('Data_Price '!AP$2:AP$1266,MATCH(Data!$DN642,'Data_Price '!$AT$2:$AT$1266,0))</f>
        <v>evo.com</v>
      </c>
      <c r="DH642">
        <f>INDEX('Data_Price '!AQ$2:AQ$1266,MATCH(Data!$DN642,'Data_Price '!$AT$2:$AT$1266,0))</f>
        <v>575.96</v>
      </c>
      <c r="DI642" t="str">
        <f>INDEX('Data_Price '!AR$2:AR$1266,MATCH(Data!$DN642,'Data_Price '!$AT$2:$AT$1266,0))</f>
        <v>https://tinyurl.com/yavqogkf</v>
      </c>
      <c r="DJ642" s="89" t="str">
        <f t="shared" si="365"/>
        <v>https://tinyurl.com/y9oguhht</v>
      </c>
      <c r="DK642" s="89" t="str">
        <f t="shared" si="366"/>
        <v>https://tinyurl.com/ycmd4qzf</v>
      </c>
      <c r="DL642" s="89" t="str">
        <f t="shared" si="367"/>
        <v>https://tinyurl.com/yavqogkf</v>
      </c>
      <c r="DM642" s="219" t="str">
        <f t="shared" si="368"/>
        <v>Camox</v>
      </c>
      <c r="DN642" s="89" t="str">
        <f t="shared" si="369"/>
        <v xml:space="preserve"> Black CrowsCamox168.1 Unisex</v>
      </c>
      <c r="DO642" s="221" t="s">
        <v>508</v>
      </c>
    </row>
    <row r="643" spans="2:119" ht="15.6" customHeight="1">
      <c r="B643" s="219" t="b">
        <f t="array" ref="B643">IF(OR(ISERROR(K643:P643)),FALSE,TRUE)</f>
        <v>1</v>
      </c>
      <c r="C643" s="43" t="b">
        <f>OR(BR643=Driver!$G$50,Data!BR659=Driver!$H$50)</f>
        <v>1</v>
      </c>
      <c r="D643" s="43" t="b">
        <f>OR(BV643=Driver!$G$51,BV643=Driver!$H$51)</f>
        <v>1</v>
      </c>
      <c r="E643" s="43" t="b">
        <f>AND(BX643&gt;Driver!$F$54,BX643&lt;Driver!$G$54)</f>
        <v>1</v>
      </c>
      <c r="F643" s="43" t="b">
        <f>CL643&gt;Driver!$F$56</f>
        <v>1</v>
      </c>
      <c r="G643" s="43" t="b">
        <f>AND(CB643&gt;Driver!$F$55,CB643&lt;Driver!$G$55)</f>
        <v>0</v>
      </c>
      <c r="H643" s="43" t="b">
        <f t="shared" si="333"/>
        <v>0</v>
      </c>
      <c r="I643" s="43">
        <f t="shared" si="334"/>
        <v>0</v>
      </c>
      <c r="J643" s="43" t="b">
        <f t="array" ref="J643">NOT(OR(($H$9:$H$1273=TRUE)*($I$9:$I$1273&gt;0)*($BT$9:$BT$1273=BT643)*($K$9:$K$1273&gt;K643)))</f>
        <v>1</v>
      </c>
      <c r="K643" s="72">
        <f t="shared" si="335"/>
        <v>0.77183986757899614</v>
      </c>
      <c r="L643" s="72">
        <f t="shared" si="336"/>
        <v>0.81700772793428444</v>
      </c>
      <c r="M643" s="72">
        <f t="shared" si="337"/>
        <v>0.72667200722370784</v>
      </c>
      <c r="N643" s="72">
        <f t="shared" si="338"/>
        <v>0.59179084345759414</v>
      </c>
      <c r="O643" s="72">
        <f t="shared" si="339"/>
        <v>0.59319694540141699</v>
      </c>
      <c r="P643" s="72">
        <f t="shared" si="340"/>
        <v>0.99502823281211228</v>
      </c>
      <c r="Q643" s="72"/>
      <c r="R643" s="72"/>
      <c r="S643" s="72">
        <f t="shared" si="341"/>
        <v>0.42362816120673341</v>
      </c>
      <c r="T643" s="72">
        <f t="shared" si="342"/>
        <v>0.987705949000245</v>
      </c>
      <c r="U643" s="72">
        <f t="shared" si="343"/>
        <v>0.51</v>
      </c>
      <c r="V643" s="72">
        <f t="shared" si="344"/>
        <v>0.49252011221595549</v>
      </c>
      <c r="W643" s="72">
        <f t="shared" si="345"/>
        <v>0.76778408410207266</v>
      </c>
      <c r="X643" s="72">
        <f t="shared" si="346"/>
        <v>0.1829922720657155</v>
      </c>
      <c r="Y643" s="72">
        <f t="shared" si="347"/>
        <v>0.27332799277629216</v>
      </c>
      <c r="Z643" s="72">
        <f t="shared" si="348"/>
        <v>0.40820915654240586</v>
      </c>
      <c r="AA643" s="72">
        <f t="shared" si="349"/>
        <v>0.40680305459858296</v>
      </c>
      <c r="AB643" s="72">
        <f t="shared" si="350"/>
        <v>4.9717671878877767E-3</v>
      </c>
      <c r="AC643" s="72"/>
      <c r="AD643" s="72"/>
      <c r="AE643" s="72">
        <f t="shared" si="351"/>
        <v>0.57637183879326659</v>
      </c>
      <c r="AF643" s="72">
        <f t="shared" si="352"/>
        <v>1.2294050999755002E-2</v>
      </c>
      <c r="AG643" s="72">
        <f t="shared" si="353"/>
        <v>0.49</v>
      </c>
      <c r="AH643" s="72">
        <f t="shared" si="354"/>
        <v>0.50747988778404451</v>
      </c>
      <c r="AI643" s="72">
        <f t="shared" si="355"/>
        <v>0.23221591589792739</v>
      </c>
      <c r="AJ643" s="72">
        <f>(AV643-Driver!$K$179)/(Driver!$L$179-Driver!$K$179)</f>
        <v>7.1227137216984926E-2</v>
      </c>
      <c r="AK643" s="72">
        <f>(AW643-Driver!$K$180)/(Driver!$L$180-Driver!$K$180)</f>
        <v>0.28103500094778766</v>
      </c>
      <c r="AL643" s="72">
        <f>(AX643-Driver!$K$181)/(Driver!$L$181-Driver!$K$181)</f>
        <v>0.50989692025548605</v>
      </c>
      <c r="AM643" s="72">
        <f>(AY643-Driver!$K$182)/(Driver!$L$182-Driver!$K$182)</f>
        <v>4.0581966498463427E-2</v>
      </c>
      <c r="AN643" s="72">
        <f>(AZ643-Driver!$K$183)/(Driver!$L$183-Driver!$K$183)</f>
        <v>0.2591911764705882</v>
      </c>
      <c r="AO643" s="72"/>
      <c r="AP643" s="72"/>
      <c r="AQ643" s="72">
        <f>(BC643-Driver!$K$188)/(Driver!$L$188-Driver!$K$188)</f>
        <v>4.3628161206733393E-2</v>
      </c>
      <c r="AR643" s="72">
        <f>MIN((BD643-Driver!$K$189)/(Driver!$L$189-Driver!$K$189),100%)</f>
        <v>0.53770594900024504</v>
      </c>
      <c r="AS643" s="72">
        <f>(BE643-Driver!$K$190)/(Driver!$L$190-Driver!$K$190)</f>
        <v>1</v>
      </c>
      <c r="AT643" s="72">
        <f>(BF643-Driver!$K$191)/(Driver!$L$191-Driver!$K$191)</f>
        <v>2.520112215955452E-3</v>
      </c>
      <c r="AU643" s="72">
        <f>(BG643-Driver!$K$192)/(Driver!$L$192-Driver!$K$192)</f>
        <v>1.7784084102072596E-2</v>
      </c>
      <c r="AV643" s="70">
        <f t="shared" si="356"/>
        <v>1.4991181657848325</v>
      </c>
      <c r="AW643" s="70">
        <f t="shared" si="357"/>
        <v>29.261243687254964</v>
      </c>
      <c r="AX643" s="70">
        <f t="shared" si="358"/>
        <v>5.5890722822993748</v>
      </c>
      <c r="AY643" s="70">
        <f>IFERROR(Driver!$K$19/Data!BH643/Data!BI643*Data!BK643*Data!BL643,"")</f>
        <v>4.9684435484257779E-2</v>
      </c>
      <c r="AZ643" s="70">
        <f t="shared" si="359"/>
        <v>23.622486969471332</v>
      </c>
      <c r="BA643" s="70"/>
      <c r="BB643" s="70"/>
      <c r="BC643" s="70">
        <f t="shared" si="360"/>
        <v>22.630230515988739</v>
      </c>
      <c r="BD643" s="70">
        <f t="shared" si="361"/>
        <v>49.30684661205548</v>
      </c>
      <c r="BE643" s="70">
        <f t="shared" si="362"/>
        <v>1</v>
      </c>
      <c r="BF643" s="70">
        <f t="shared" si="363"/>
        <v>0.28462897000182991</v>
      </c>
      <c r="BG643" s="70">
        <f t="shared" si="364"/>
        <v>6.7341887429615416E-2</v>
      </c>
      <c r="BH643" s="67">
        <f>MAX((CE643-Driver!$F$200)/(Driver!$G$200-Driver!$F$200)*$BI$1,1)</f>
        <v>5.5890722822993748</v>
      </c>
      <c r="BI643" s="67">
        <f>MAX($BI$1*(BY643-Driver!$F$201)/(Driver!$G$201-Driver!$F$201),1)</f>
        <v>8.5443037974683538</v>
      </c>
      <c r="BJ643" s="67">
        <f>(CB643-Driver!$F$206)/(Driver!$G$206-Driver!$F$206)*$BI$1</f>
        <v>2.0634920634920633</v>
      </c>
      <c r="BK643" s="67">
        <f>(CD643-Driver!$F$203)/(Driver!$G$203-Driver!$F$203)*$BI$1</f>
        <v>1.3761467889908259</v>
      </c>
      <c r="BL643" s="67">
        <f>MAX((CR643-Driver!$F$202)/(Driver!$G$202-Driver!$F$202)*$BI$1,1)</f>
        <v>8.6206896551724128</v>
      </c>
      <c r="BM643" s="67">
        <f>MAX((CH643-Driver!$F$204)/(Driver!$G$204-Driver!$F$204)*$BI$1,1)</f>
        <v>2.9059829059829063</v>
      </c>
      <c r="BN643" s="67">
        <f>(CI643-Driver!$F$205)/(Driver!$G$205-Driver!$F$205)*$BI$1</f>
        <v>2.7647058823529411</v>
      </c>
      <c r="BO643" s="67">
        <f>(CK643-Driver!$F$207)/(Driver!$G$207-Driver!$F$207)*$BI$1</f>
        <v>0.28955532574974147</v>
      </c>
      <c r="BP643" s="67">
        <f>(CM643-Driver!$F$208)/(Driver!$G$208-Driver!$F$208)*$BI$1</f>
        <v>0.65555555555555567</v>
      </c>
      <c r="BQ643" s="67">
        <f>(CL643-Driver!$F$209)/(Driver!$G$209-Driver!$F$209)*$BI$1</f>
        <v>1.09375</v>
      </c>
      <c r="BR643" s="28" t="s">
        <v>155</v>
      </c>
      <c r="BS643" s="8" t="s">
        <v>167</v>
      </c>
      <c r="BT643" s="9" t="s">
        <v>704</v>
      </c>
      <c r="BU643" s="10">
        <v>163</v>
      </c>
      <c r="BV643" s="9" t="s">
        <v>158</v>
      </c>
      <c r="BW643" s="10">
        <v>163</v>
      </c>
      <c r="BX643" s="10">
        <v>162.4</v>
      </c>
      <c r="BY643" s="10">
        <v>143</v>
      </c>
      <c r="BZ643" s="10">
        <v>149</v>
      </c>
      <c r="CA643" s="10">
        <v>131</v>
      </c>
      <c r="CB643" s="10">
        <v>77</v>
      </c>
      <c r="CC643" s="10">
        <v>111</v>
      </c>
      <c r="CD643" s="10">
        <v>12.4</v>
      </c>
      <c r="CE643" s="10">
        <v>1882</v>
      </c>
      <c r="CF643" s="10">
        <v>0.8</v>
      </c>
      <c r="CG643" s="10">
        <v>1514</v>
      </c>
      <c r="CH643" s="10">
        <v>169</v>
      </c>
      <c r="CI643" s="10">
        <v>80</v>
      </c>
      <c r="CJ643" s="10">
        <v>34</v>
      </c>
      <c r="CK643" s="10">
        <v>138</v>
      </c>
      <c r="CL643" s="10">
        <v>7</v>
      </c>
      <c r="CM643" s="10">
        <v>59</v>
      </c>
      <c r="CN643" s="10">
        <v>0.20899999999999999</v>
      </c>
      <c r="CO643" s="10">
        <v>86</v>
      </c>
      <c r="CP643" s="10">
        <v>51</v>
      </c>
      <c r="CQ643" s="10">
        <v>52</v>
      </c>
      <c r="CR643" s="10">
        <v>14</v>
      </c>
      <c r="CS643" s="10">
        <v>12.5</v>
      </c>
      <c r="CT643" s="9" t="s">
        <v>349</v>
      </c>
      <c r="CU643" s="10"/>
      <c r="CV643" s="10"/>
      <c r="CW643" s="10"/>
      <c r="CX643" t="str">
        <f>INDEX('Data_Price '!AG$2:AG$1266,MATCH(Data!$DN643,'Data_Price '!$AT$2:$AT$1266,0))</f>
        <v>Head V-Shape V6 Skis with PR 11 GW Bindings</v>
      </c>
      <c r="CY643" t="str">
        <f>INDEX('Data_Price '!AH$2:AH$1266,MATCH(Data!$DN643,'Data_Price '!$AT$2:$AT$1266,0))</f>
        <v>The-House.com</v>
      </c>
      <c r="CZ643">
        <f>INDEX('Data_Price '!AI$2:AI$1266,MATCH(Data!$DN643,'Data_Price '!$AT$2:$AT$1266,0))</f>
        <v>450</v>
      </c>
      <c r="DA643" t="str">
        <f>INDEX('Data_Price '!AJ$2:AJ$1266,MATCH(Data!$DN643,'Data_Price '!$AT$2:$AT$1266,0))</f>
        <v>https://tinyurl.com/yd7rfcqa</v>
      </c>
      <c r="DB643" t="str">
        <f>INDEX('Data_Price '!AK$2:AK$1266,MATCH(Data!$DN643,'Data_Price '!$AT$2:$AT$1266,0))</f>
        <v xml:space="preserve"> Head V Shape V6 LYT Skis D by GalacticSnowSports</v>
      </c>
      <c r="DC643" t="str">
        <f>INDEX('Data_Price '!AL$2:AL$1266,MATCH(Data!$DN643,'Data_Price '!$AT$2:$AT$1266,0))</f>
        <v>GalacticSnowSports</v>
      </c>
      <c r="DD643">
        <f>INDEX('Data_Price '!AM$2:AM$1266,MATCH(Data!$DN643,'Data_Price '!$AT$2:$AT$1266,0))</f>
        <v>199.99</v>
      </c>
      <c r="DE643" t="str">
        <f>INDEX('Data_Price '!AN$2:AN$1266,MATCH(Data!$DN643,'Data_Price '!$AT$2:$AT$1266,0))</f>
        <v>https://tinyurl.com/yaqbc559</v>
      </c>
      <c r="DF643" t="str">
        <f>INDEX('Data_Price '!AO$2:AO$1266,MATCH(Data!$DN643,'Data_Price '!$AT$2:$AT$1266,0))</f>
        <v>Head V-shape Lyt V10r Snow Skis 163cm W-bindings (clearance Price)</v>
      </c>
      <c r="DG643" t="str">
        <f>INDEX('Data_Price '!AP$2:AP$1266,MATCH(Data!$DN643,'Data_Price '!$AT$2:$AT$1266,0))</f>
        <v>eBay - proskiguy</v>
      </c>
      <c r="DH643">
        <f>INDEX('Data_Price '!AQ$2:AQ$1266,MATCH(Data!$DN643,'Data_Price '!$AT$2:$AT$1266,0))</f>
        <v>727</v>
      </c>
      <c r="DI643" t="str">
        <f>INDEX('Data_Price '!AR$2:AR$1266,MATCH(Data!$DN643,'Data_Price '!$AT$2:$AT$1266,0))</f>
        <v>https://tinyurl.com/y9p8mh5o</v>
      </c>
      <c r="DJ643" s="89" t="str">
        <f t="shared" si="365"/>
        <v>https://tinyurl.com/yd7rfcqa</v>
      </c>
      <c r="DK643" s="89" t="str">
        <f t="shared" si="366"/>
        <v>https://tinyurl.com/yaqbc559</v>
      </c>
      <c r="DL643" s="89" t="str">
        <f t="shared" si="367"/>
        <v>https://tinyurl.com/y9p8mh5o</v>
      </c>
      <c r="DM643" s="219" t="str">
        <f t="shared" si="368"/>
        <v>V-Shape V6</v>
      </c>
      <c r="DN643" s="89" t="str">
        <f t="shared" si="369"/>
        <v xml:space="preserve"> HeadV-Shape V6163 Unisex</v>
      </c>
      <c r="DO643" s="221" t="s">
        <v>705</v>
      </c>
    </row>
    <row r="644" spans="2:119" ht="15.6" customHeight="1">
      <c r="B644" s="219" t="b">
        <f t="array" ref="B644">IF(OR(ISERROR(K644:P644)),FALSE,TRUE)</f>
        <v>1</v>
      </c>
      <c r="C644" s="43" t="b">
        <f>OR(BR644=Driver!$G$50,Data!BR633=Driver!$H$50)</f>
        <v>1</v>
      </c>
      <c r="D644" s="43" t="b">
        <f>OR(BV644=Driver!$G$51,BV644=Driver!$H$51)</f>
        <v>1</v>
      </c>
      <c r="E644" s="43" t="b">
        <f>AND(BX644&gt;Driver!$F$54,BX644&lt;Driver!$G$54)</f>
        <v>0</v>
      </c>
      <c r="F644" s="43" t="b">
        <f>CL644&gt;Driver!$F$56</f>
        <v>1</v>
      </c>
      <c r="G644" s="43" t="b">
        <f>AND(CB644&gt;Driver!$F$55,CB644&lt;Driver!$G$55)</f>
        <v>0</v>
      </c>
      <c r="H644" s="43" t="b">
        <f t="shared" si="333"/>
        <v>0</v>
      </c>
      <c r="I644" s="43">
        <f t="shared" si="334"/>
        <v>0</v>
      </c>
      <c r="J644" s="43" t="b">
        <f t="array" ref="J644">NOT(OR(($H$9:$H$1273=TRUE)*($I$9:$I$1273&gt;0)*($BT$9:$BT$1273=BT644)*($K$9:$K$1273&gt;K644)))</f>
        <v>1</v>
      </c>
      <c r="K644" s="72">
        <f t="shared" si="335"/>
        <v>0.83596645563867233</v>
      </c>
      <c r="L644" s="72">
        <f t="shared" si="336"/>
        <v>0.91417959160361006</v>
      </c>
      <c r="M644" s="72">
        <f t="shared" si="337"/>
        <v>0.75775331967373449</v>
      </c>
      <c r="N644" s="72">
        <f t="shared" si="338"/>
        <v>0.64364691124991702</v>
      </c>
      <c r="O644" s="72">
        <f t="shared" si="339"/>
        <v>0.67676546358993472</v>
      </c>
      <c r="P644" s="72">
        <f t="shared" si="340"/>
        <v>0.95284758418135196</v>
      </c>
      <c r="Q644" s="72"/>
      <c r="R644" s="72"/>
      <c r="S644" s="72">
        <f t="shared" si="341"/>
        <v>0.47321867576867793</v>
      </c>
      <c r="T644" s="72">
        <f t="shared" si="342"/>
        <v>0.58437407443386435</v>
      </c>
      <c r="U644" s="72">
        <f t="shared" si="343"/>
        <v>0.96338020609785924</v>
      </c>
      <c r="V644" s="72">
        <f t="shared" si="344"/>
        <v>0.49371119093832638</v>
      </c>
      <c r="W644" s="72">
        <f t="shared" si="345"/>
        <v>0.81340454545454544</v>
      </c>
      <c r="X644" s="72">
        <f t="shared" si="346"/>
        <v>8.5820408396389908E-2</v>
      </c>
      <c r="Y644" s="72">
        <f t="shared" si="347"/>
        <v>0.24224668032626551</v>
      </c>
      <c r="Z644" s="72">
        <f t="shared" si="348"/>
        <v>0.35635308875008304</v>
      </c>
      <c r="AA644" s="72">
        <f t="shared" si="349"/>
        <v>0.32323453641006533</v>
      </c>
      <c r="AB644" s="72">
        <f t="shared" si="350"/>
        <v>4.7152415818648097E-2</v>
      </c>
      <c r="AC644" s="72"/>
      <c r="AD644" s="72"/>
      <c r="AE644" s="72">
        <f t="shared" si="351"/>
        <v>0.52678132423132207</v>
      </c>
      <c r="AF644" s="72">
        <f t="shared" si="352"/>
        <v>0.41562592556613559</v>
      </c>
      <c r="AG644" s="72">
        <f t="shared" si="353"/>
        <v>3.6619793902140763E-2</v>
      </c>
      <c r="AH644" s="72">
        <f t="shared" si="354"/>
        <v>0.50628880906167362</v>
      </c>
      <c r="AI644" s="72">
        <f t="shared" si="355"/>
        <v>0.18659545454545456</v>
      </c>
      <c r="AJ644" s="72">
        <f>(AV644-Driver!$K$179)/(Driver!$L$179-Driver!$K$179)</f>
        <v>0.16839900088631052</v>
      </c>
      <c r="AK644" s="72">
        <f>(AW644-Driver!$K$180)/(Driver!$L$180-Driver!$K$180)</f>
        <v>0.22855182791099163</v>
      </c>
      <c r="AL644" s="72">
        <f>(AX644-Driver!$K$181)/(Driver!$L$181-Driver!$K$181)</f>
        <v>0.45804085246316323</v>
      </c>
      <c r="AM644" s="72">
        <f>(AY644-Driver!$K$182)/(Driver!$L$182-Driver!$K$182)</f>
        <v>0.12415048468698105</v>
      </c>
      <c r="AN644" s="72">
        <f>(AZ644-Driver!$K$183)/(Driver!$L$183-Driver!$K$183)</f>
        <v>0.20706699346405233</v>
      </c>
      <c r="AO644" s="72"/>
      <c r="AP644" s="72"/>
      <c r="AQ644" s="72">
        <f>(BC644-Driver!$K$188)/(Driver!$L$188-Driver!$K$188)</f>
        <v>9.3218675768677914E-2</v>
      </c>
      <c r="AR644" s="72">
        <f>MIN((BD644-Driver!$K$189)/(Driver!$L$189-Driver!$K$189),100%)</f>
        <v>0.13437407443386445</v>
      </c>
      <c r="AS644" s="72">
        <f>(BE644-Driver!$K$190)/(Driver!$L$190-Driver!$K$190)</f>
        <v>0.47338020609785925</v>
      </c>
      <c r="AT644" s="72">
        <f>(BF644-Driver!$K$191)/(Driver!$L$191-Driver!$K$191)</f>
        <v>3.711190938326349E-3</v>
      </c>
      <c r="AU644" s="72">
        <f>(BG644-Driver!$K$192)/(Driver!$L$192-Driver!$K$192)</f>
        <v>6.340454545454545E-2</v>
      </c>
      <c r="AV644" s="70">
        <f t="shared" si="356"/>
        <v>3.5442952109618777</v>
      </c>
      <c r="AW644" s="70">
        <f t="shared" si="357"/>
        <v>24.146293426597467</v>
      </c>
      <c r="AX644" s="70">
        <f t="shared" si="358"/>
        <v>5.122367672168469</v>
      </c>
      <c r="AY644" s="70">
        <f>IFERROR(Driver!$K$19/Data!BH644/Data!BI644*Data!BK644*Data!BL644,"")</f>
        <v>0.15199723618625524</v>
      </c>
      <c r="AZ644" s="70">
        <f t="shared" si="359"/>
        <v>18.871928518242743</v>
      </c>
      <c r="BA644" s="70"/>
      <c r="BB644" s="70"/>
      <c r="BC644" s="70">
        <f t="shared" si="360"/>
        <v>48.353175166933553</v>
      </c>
      <c r="BD644" s="70">
        <f t="shared" si="361"/>
        <v>13.61269037472376</v>
      </c>
      <c r="BE644" s="70">
        <f t="shared" si="362"/>
        <v>0.47347414914173314</v>
      </c>
      <c r="BF644" s="70">
        <f t="shared" si="363"/>
        <v>0.41915294389201352</v>
      </c>
      <c r="BG644" s="70">
        <f t="shared" si="364"/>
        <v>0.2400900568181818</v>
      </c>
      <c r="BH644" s="67">
        <f>MAX((CE644-Driver!$F$200)/(Driver!$G$200-Driver!$F$200)*$BI$1,1)</f>
        <v>5.122367672168469</v>
      </c>
      <c r="BI644" s="67">
        <f>MAX($BI$1*(BY644-Driver!$F$201)/(Driver!$G$201-Driver!$F$201),1)</f>
        <v>8.6708860759493671</v>
      </c>
      <c r="BJ644" s="67">
        <f>(CB644-Driver!$F$206)/(Driver!$G$206-Driver!$F$206)*$BI$1</f>
        <v>3.0158730158730158</v>
      </c>
      <c r="BK644" s="67">
        <f>(CD644-Driver!$F$203)/(Driver!$G$203-Driver!$F$203)*$BI$1</f>
        <v>4.4495412844036704</v>
      </c>
      <c r="BL644" s="67">
        <f>MAX((CR644-Driver!$F$202)/(Driver!$G$202-Driver!$F$202)*$BI$1,1)</f>
        <v>7.5862068965517242</v>
      </c>
      <c r="BM644" s="67">
        <f>MAX((CH644-Driver!$F$204)/(Driver!$G$204-Driver!$F$204)*$BI$1,1)</f>
        <v>4.700854700854701</v>
      </c>
      <c r="BN644" s="67">
        <f>(CI644-Driver!$F$205)/(Driver!$G$205-Driver!$F$205)*$BI$1</f>
        <v>2.1764705882352944</v>
      </c>
      <c r="BO644" s="67">
        <f>(CK644-Driver!$F$207)/(Driver!$G$207-Driver!$F$207)*$BI$1</f>
        <v>0.40330920372285417</v>
      </c>
      <c r="BP644" s="67">
        <f>(CM644-Driver!$F$208)/(Driver!$G$208-Driver!$F$208)*$BI$1</f>
        <v>1.5333333333333332</v>
      </c>
      <c r="BQ644" s="67">
        <f>(CL644-Driver!$F$209)/(Driver!$G$209-Driver!$F$209)*$BI$1</f>
        <v>5.78125</v>
      </c>
      <c r="BR644" s="28" t="s">
        <v>155</v>
      </c>
      <c r="BS644" s="8" t="s">
        <v>167</v>
      </c>
      <c r="BT644" s="9" t="s">
        <v>706</v>
      </c>
      <c r="BU644" s="10">
        <v>176</v>
      </c>
      <c r="BV644" s="9" t="s">
        <v>158</v>
      </c>
      <c r="BW644" s="10">
        <v>176</v>
      </c>
      <c r="BX644" s="10">
        <v>174.1</v>
      </c>
      <c r="BY644" s="10">
        <v>145</v>
      </c>
      <c r="BZ644" s="10">
        <v>155</v>
      </c>
      <c r="CA644" s="10">
        <v>120</v>
      </c>
      <c r="CB644" s="10">
        <v>83</v>
      </c>
      <c r="CC644" s="10">
        <v>109</v>
      </c>
      <c r="CD644" s="10">
        <v>19.100000000000001</v>
      </c>
      <c r="CE644" s="10">
        <v>1800</v>
      </c>
      <c r="CF644" s="10">
        <v>0.91</v>
      </c>
      <c r="CG644" s="10">
        <v>1639</v>
      </c>
      <c r="CH644" s="10">
        <v>211</v>
      </c>
      <c r="CI644" s="10">
        <v>70</v>
      </c>
      <c r="CJ644" s="10">
        <v>46</v>
      </c>
      <c r="CK644" s="10">
        <v>149</v>
      </c>
      <c r="CL644" s="10">
        <v>37</v>
      </c>
      <c r="CM644" s="10">
        <v>138</v>
      </c>
      <c r="CN644" s="10">
        <v>0.8</v>
      </c>
      <c r="CO644" s="10">
        <v>93</v>
      </c>
      <c r="CP644" s="10">
        <v>94</v>
      </c>
      <c r="CQ644" s="10">
        <v>55</v>
      </c>
      <c r="CR644" s="10">
        <v>11</v>
      </c>
      <c r="CS644" s="10">
        <v>5.5</v>
      </c>
      <c r="CT644" s="9" t="s">
        <v>188</v>
      </c>
      <c r="CU644" s="9" t="s">
        <v>184</v>
      </c>
      <c r="CV644" s="10"/>
      <c r="CW644" s="10"/>
      <c r="CX644" t="str">
        <f>INDEX('Data_Price '!AG$2:AG$1266,MATCH(Data!$DN644,'Data_Price '!$AT$2:$AT$1266,0))</f>
        <v>2022 Head Oblivion 84 Twin Tip Park and Pipe Snow Skis 176</v>
      </c>
      <c r="CY644" t="str">
        <f>INDEX('Data_Price '!AH$2:AH$1266,MATCH(Data!$DN644,'Data_Price '!$AT$2:$AT$1266,0))</f>
        <v>The Pro Shop</v>
      </c>
      <c r="CZ644">
        <f>INDEX('Data_Price '!AI$2:AI$1266,MATCH(Data!$DN644,'Data_Price '!$AT$2:$AT$1266,0))</f>
        <v>399</v>
      </c>
      <c r="DA644" t="str">
        <f>INDEX('Data_Price '!AJ$2:AJ$1266,MATCH(Data!$DN644,'Data_Price '!$AT$2:$AT$1266,0))</f>
        <v>https://tinyurl.com/y8g8k2ss</v>
      </c>
      <c r="DB644" t="str">
        <f>INDEX('Data_Price '!AK$2:AK$1266,MATCH(Data!$DN644,'Data_Price '!$AT$2:$AT$1266,0))</f>
        <v>Head Oblivion 84 Skis 2022 - 176</v>
      </c>
      <c r="DC644" t="str">
        <f>INDEX('Data_Price '!AL$2:AL$1266,MATCH(Data!$DN644,'Data_Price '!$AT$2:$AT$1266,0))</f>
        <v>evo.com</v>
      </c>
      <c r="DD644">
        <f>INDEX('Data_Price '!AM$2:AM$1266,MATCH(Data!$DN644,'Data_Price '!$AT$2:$AT$1266,0))</f>
        <v>399</v>
      </c>
      <c r="DE644" t="str">
        <f>INDEX('Data_Price '!AN$2:AN$1266,MATCH(Data!$DN644,'Data_Price '!$AT$2:$AT$1266,0))</f>
        <v>https://tinyurl.com/ya9dtg8p</v>
      </c>
      <c r="DF644" t="str">
        <f>INDEX('Data_Price '!AO$2:AO$1266,MATCH(Data!$DN644,'Data_Price '!$AT$2:$AT$1266,0))</f>
        <v>Head Oblivion 84 Skis 2022 - 176</v>
      </c>
      <c r="DG644" t="str">
        <f>INDEX('Data_Price '!AP$2:AP$1266,MATCH(Data!$DN644,'Data_Price '!$AT$2:$AT$1266,0))</f>
        <v>BobsSportsChalet.com</v>
      </c>
      <c r="DH644">
        <f>INDEX('Data_Price '!AQ$2:AQ$1266,MATCH(Data!$DN644,'Data_Price '!$AT$2:$AT$1266,0))</f>
        <v>399</v>
      </c>
      <c r="DI644" t="str">
        <f>INDEX('Data_Price '!AR$2:AR$1266,MATCH(Data!$DN644,'Data_Price '!$AT$2:$AT$1266,0))</f>
        <v>https://tinyurl.com/y8jmptfo</v>
      </c>
      <c r="DJ644" s="89" t="str">
        <f t="shared" si="365"/>
        <v>https://tinyurl.com/y8g8k2ss</v>
      </c>
      <c r="DK644" s="89" t="str">
        <f t="shared" si="366"/>
        <v>https://tinyurl.com/ya9dtg8p</v>
      </c>
      <c r="DL644" s="89" t="str">
        <f t="shared" si="367"/>
        <v>https://tinyurl.com/y8jmptfo</v>
      </c>
      <c r="DM644" s="219" t="str">
        <f t="shared" si="368"/>
        <v>Oblivion 84</v>
      </c>
      <c r="DN644" s="89" t="str">
        <f t="shared" si="369"/>
        <v xml:space="preserve"> HeadOblivion 84176 Unisex</v>
      </c>
      <c r="DO644" s="221" t="s">
        <v>707</v>
      </c>
    </row>
    <row r="645" spans="2:119" ht="15.6" customHeight="1">
      <c r="B645" s="219" t="b">
        <f t="array" ref="B645">IF(OR(ISERROR(K645:P645)),FALSE,TRUE)</f>
        <v>1</v>
      </c>
      <c r="C645" s="43" t="b">
        <f>OR(BR645=Driver!$G$50,Data!BR1172=Driver!$H$50)</f>
        <v>1</v>
      </c>
      <c r="D645" s="43" t="b">
        <f>OR(BV645=Driver!$G$51,BV645=Driver!$H$51)</f>
        <v>1</v>
      </c>
      <c r="E645" s="43" t="b">
        <f>AND(BX645&gt;Driver!$F$54,BX645&lt;Driver!$G$54)</f>
        <v>1</v>
      </c>
      <c r="F645" s="43" t="b">
        <f>CL645&gt;Driver!$F$56</f>
        <v>1</v>
      </c>
      <c r="G645" s="43" t="b">
        <f>AND(CB645&gt;Driver!$F$55,CB645&lt;Driver!$G$55)</f>
        <v>0</v>
      </c>
      <c r="H645" s="43" t="b">
        <f t="shared" si="333"/>
        <v>0</v>
      </c>
      <c r="I645" s="43">
        <f t="shared" si="334"/>
        <v>0</v>
      </c>
      <c r="J645" s="43" t="b">
        <f t="array" ref="J645">NOT(OR(($H$9:$H$1273=TRUE)*($I$9:$I$1273&gt;0)*($BT$9:$BT$1273=BT645)*($K$9:$K$1273&gt;K645)))</f>
        <v>1</v>
      </c>
      <c r="K645" s="72">
        <f t="shared" si="335"/>
        <v>0.87625296747885306</v>
      </c>
      <c r="L645" s="72">
        <f t="shared" si="336"/>
        <v>0.93504817592397105</v>
      </c>
      <c r="M645" s="72">
        <f t="shared" si="337"/>
        <v>0.81745775903373508</v>
      </c>
      <c r="N645" s="72">
        <f t="shared" si="338"/>
        <v>0.866248568114522</v>
      </c>
      <c r="O645" s="72">
        <f t="shared" si="339"/>
        <v>0.66571176532820719</v>
      </c>
      <c r="P645" s="72">
        <f t="shared" si="340"/>
        <v>0.92041294365847603</v>
      </c>
      <c r="Q645" s="72"/>
      <c r="R645" s="72"/>
      <c r="S645" s="72">
        <f t="shared" si="341"/>
        <v>0.41542554857362624</v>
      </c>
      <c r="T645" s="72">
        <f t="shared" si="342"/>
        <v>0.47482756717176278</v>
      </c>
      <c r="U645" s="72">
        <f t="shared" si="343"/>
        <v>0.52278673079457538</v>
      </c>
      <c r="V645" s="72">
        <f t="shared" si="344"/>
        <v>0.72154714218003491</v>
      </c>
      <c r="W645" s="72">
        <f t="shared" si="345"/>
        <v>0.83026155717761552</v>
      </c>
      <c r="X645" s="72">
        <f t="shared" si="346"/>
        <v>6.4951824076028924E-2</v>
      </c>
      <c r="Y645" s="72">
        <f t="shared" si="347"/>
        <v>0.18254224096626492</v>
      </c>
      <c r="Z645" s="72">
        <f t="shared" si="348"/>
        <v>0.13375143188547794</v>
      </c>
      <c r="AA645" s="72">
        <f t="shared" si="349"/>
        <v>0.33428823467179281</v>
      </c>
      <c r="AB645" s="72">
        <f t="shared" si="350"/>
        <v>7.9587056341523965E-2</v>
      </c>
      <c r="AC645" s="72"/>
      <c r="AD645" s="72"/>
      <c r="AE645" s="72">
        <f t="shared" si="351"/>
        <v>0.58457445142637376</v>
      </c>
      <c r="AF645" s="72">
        <f t="shared" si="352"/>
        <v>0.52517243282823722</v>
      </c>
      <c r="AG645" s="72">
        <f t="shared" si="353"/>
        <v>0.47721326920542462</v>
      </c>
      <c r="AH645" s="72">
        <f t="shared" si="354"/>
        <v>0.27845285781996509</v>
      </c>
      <c r="AI645" s="72">
        <f t="shared" si="355"/>
        <v>0.16973844282238443</v>
      </c>
      <c r="AJ645" s="72">
        <f>(AV645-Driver!$K$179)/(Driver!$L$179-Driver!$K$179)</f>
        <v>0.1892675852066715</v>
      </c>
      <c r="AK645" s="72">
        <f>(AW645-Driver!$K$180)/(Driver!$L$180-Driver!$K$180)</f>
        <v>0.17752500085890122</v>
      </c>
      <c r="AL645" s="72">
        <f>(AX645-Driver!$K$181)/(Driver!$L$181-Driver!$K$181)</f>
        <v>0.23543919559855814</v>
      </c>
      <c r="AM645" s="72">
        <f>(AY645-Driver!$K$182)/(Driver!$L$182-Driver!$K$182)</f>
        <v>0.11309678642525357</v>
      </c>
      <c r="AN645" s="72">
        <f>(AZ645-Driver!$K$183)/(Driver!$L$183-Driver!$K$183)</f>
        <v>0.17463235294117646</v>
      </c>
      <c r="AO645" s="72"/>
      <c r="AP645" s="72"/>
      <c r="AQ645" s="72">
        <f>(BC645-Driver!$K$188)/(Driver!$L$188-Driver!$K$188)</f>
        <v>3.5425548573626196E-2</v>
      </c>
      <c r="AR645" s="72">
        <f>MIN((BD645-Driver!$K$189)/(Driver!$L$189-Driver!$K$189),100%)</f>
        <v>2.4827567171762766E-2</v>
      </c>
      <c r="AS645" s="72">
        <f>(BE645-Driver!$K$190)/(Driver!$L$190-Driver!$K$190)</f>
        <v>3.2786730794575371E-2</v>
      </c>
      <c r="AT645" s="72">
        <f>(BF645-Driver!$K$191)/(Driver!$L$191-Driver!$K$191)</f>
        <v>0.23154714218003494</v>
      </c>
      <c r="AU645" s="72">
        <f>(BG645-Driver!$K$192)/(Driver!$L$192-Driver!$K$192)</f>
        <v>8.0261557177615558E-2</v>
      </c>
      <c r="AV645" s="70">
        <f t="shared" si="356"/>
        <v>3.9835164835164836</v>
      </c>
      <c r="AW645" s="70">
        <f t="shared" si="357"/>
        <v>19.173276986687718</v>
      </c>
      <c r="AX645" s="70">
        <f t="shared" si="358"/>
        <v>3.1189527603870233</v>
      </c>
      <c r="AY645" s="70">
        <f>IFERROR(Driver!$K$19/Data!BH645/Data!BI645*Data!BK645*Data!BL645,"")</f>
        <v>0.13846421140865986</v>
      </c>
      <c r="AZ645" s="70">
        <f t="shared" si="359"/>
        <v>15.915860014892033</v>
      </c>
      <c r="BA645" s="70"/>
      <c r="BB645" s="70"/>
      <c r="BC645" s="70">
        <f t="shared" si="360"/>
        <v>18.375478319558137</v>
      </c>
      <c r="BD645" s="70">
        <f t="shared" si="361"/>
        <v>3.9180185869528379</v>
      </c>
      <c r="BE645" s="70">
        <f t="shared" si="362"/>
        <v>3.2959270755352557E-2</v>
      </c>
      <c r="BF645" s="70">
        <f t="shared" si="363"/>
        <v>26.151622998495721</v>
      </c>
      <c r="BG645" s="70">
        <f t="shared" si="364"/>
        <v>0.30392145681265204</v>
      </c>
      <c r="BH645" s="67">
        <f>MAX((CE645-Driver!$F$200)/(Driver!$G$200-Driver!$F$200)*$BI$1,1)</f>
        <v>3.1189527603870233</v>
      </c>
      <c r="BI645" s="67">
        <f>MAX($BI$1*(BY645-Driver!$F$201)/(Driver!$G$201-Driver!$F$201),1)</f>
        <v>4.7468354430379751</v>
      </c>
      <c r="BJ645" s="67">
        <f>(CB645-Driver!$F$206)/(Driver!$G$206-Driver!$F$206)*$BI$1</f>
        <v>4.6031746031746028</v>
      </c>
      <c r="BK645" s="67">
        <f>(CD645-Driver!$F$203)/(Driver!$G$203-Driver!$F$203)*$BI$1</f>
        <v>2.4770642201834865</v>
      </c>
      <c r="BL645" s="67">
        <f>MAX((CR645-Driver!$F$202)/(Driver!$G$202-Driver!$F$202)*$BI$1,1)</f>
        <v>4.1379310344827589</v>
      </c>
      <c r="BM645" s="67">
        <f>MAX((CH645-Driver!$F$204)/(Driver!$G$204-Driver!$F$204)*$BI$1,1)</f>
        <v>3.4615384615384617</v>
      </c>
      <c r="BN645" s="67">
        <f>(CI645-Driver!$F$205)/(Driver!$G$205-Driver!$F$205)*$BI$1</f>
        <v>3.3529411764705879</v>
      </c>
      <c r="BO645" s="67">
        <f>(CK645-Driver!$F$207)/(Driver!$G$207-Driver!$F$207)*$BI$1</f>
        <v>3.6711478800413651</v>
      </c>
      <c r="BP645" s="67">
        <f>(CM645-Driver!$F$208)/(Driver!$G$208-Driver!$F$208)*$BI$1</f>
        <v>3.8333333333333335</v>
      </c>
      <c r="BQ645" s="67">
        <f>(CL645-Driver!$F$209)/(Driver!$G$209-Driver!$F$209)*$BI$1</f>
        <v>3.28125</v>
      </c>
      <c r="BR645" s="28" t="s">
        <v>155</v>
      </c>
      <c r="BS645" s="8" t="s">
        <v>229</v>
      </c>
      <c r="BT645" s="9" t="s">
        <v>300</v>
      </c>
      <c r="BU645" s="10">
        <v>165</v>
      </c>
      <c r="BV645" s="9" t="s">
        <v>158</v>
      </c>
      <c r="BW645" s="10">
        <v>165</v>
      </c>
      <c r="BX645" s="10">
        <v>164.4</v>
      </c>
      <c r="BY645" s="10">
        <v>83</v>
      </c>
      <c r="BZ645" s="10">
        <v>140</v>
      </c>
      <c r="CA645" s="10">
        <v>133</v>
      </c>
      <c r="CB645" s="10">
        <v>93</v>
      </c>
      <c r="CC645" s="10">
        <v>116</v>
      </c>
      <c r="CD645" s="10">
        <v>14.8</v>
      </c>
      <c r="CE645" s="10">
        <v>1448</v>
      </c>
      <c r="CF645" s="10">
        <v>1.2</v>
      </c>
      <c r="CG645" s="10">
        <v>1744</v>
      </c>
      <c r="CH645" s="10">
        <v>182</v>
      </c>
      <c r="CI645" s="10">
        <v>90</v>
      </c>
      <c r="CJ645" s="10">
        <v>48</v>
      </c>
      <c r="CK645" s="10">
        <v>465</v>
      </c>
      <c r="CL645" s="10">
        <v>21</v>
      </c>
      <c r="CM645" s="10">
        <v>345</v>
      </c>
      <c r="CN645" s="10">
        <v>0.442</v>
      </c>
      <c r="CO645" s="10">
        <v>139</v>
      </c>
      <c r="CP645" s="10">
        <v>103</v>
      </c>
      <c r="CQ645" s="10">
        <v>326</v>
      </c>
      <c r="CR645" s="10">
        <v>1</v>
      </c>
      <c r="CS645" s="10">
        <v>12</v>
      </c>
      <c r="CT645" s="9" t="s">
        <v>188</v>
      </c>
      <c r="CU645" s="9" t="s">
        <v>185</v>
      </c>
      <c r="CV645" s="10"/>
      <c r="CW645" s="10"/>
      <c r="CX645" t="e">
        <f>INDEX('Data_Price '!AG$2:AG$1266,MATCH(Data!$DN645,'Data_Price '!$AT$2:$AT$1266,0))</f>
        <v>#N/A</v>
      </c>
      <c r="CY645" t="e">
        <f>INDEX('Data_Price '!AH$2:AH$1266,MATCH(Data!$DN645,'Data_Price '!$AT$2:$AT$1266,0))</f>
        <v>#N/A</v>
      </c>
      <c r="CZ645" t="e">
        <f>INDEX('Data_Price '!AI$2:AI$1266,MATCH(Data!$DN645,'Data_Price '!$AT$2:$AT$1266,0))</f>
        <v>#N/A</v>
      </c>
      <c r="DA645" t="e">
        <f>INDEX('Data_Price '!AJ$2:AJ$1266,MATCH(Data!$DN645,'Data_Price '!$AT$2:$AT$1266,0))</f>
        <v>#N/A</v>
      </c>
      <c r="DB645" t="e">
        <f>INDEX('Data_Price '!AK$2:AK$1266,MATCH(Data!$DN645,'Data_Price '!$AT$2:$AT$1266,0))</f>
        <v>#N/A</v>
      </c>
      <c r="DC645" t="e">
        <f>INDEX('Data_Price '!AL$2:AL$1266,MATCH(Data!$DN645,'Data_Price '!$AT$2:$AT$1266,0))</f>
        <v>#N/A</v>
      </c>
      <c r="DD645" t="e">
        <f>INDEX('Data_Price '!AM$2:AM$1266,MATCH(Data!$DN645,'Data_Price '!$AT$2:$AT$1266,0))</f>
        <v>#N/A</v>
      </c>
      <c r="DE645" t="e">
        <f>INDEX('Data_Price '!AN$2:AN$1266,MATCH(Data!$DN645,'Data_Price '!$AT$2:$AT$1266,0))</f>
        <v>#N/A</v>
      </c>
      <c r="DF645" t="e">
        <f>INDEX('Data_Price '!AO$2:AO$1266,MATCH(Data!$DN645,'Data_Price '!$AT$2:$AT$1266,0))</f>
        <v>#N/A</v>
      </c>
      <c r="DG645" t="e">
        <f>INDEX('Data_Price '!AP$2:AP$1266,MATCH(Data!$DN645,'Data_Price '!$AT$2:$AT$1266,0))</f>
        <v>#N/A</v>
      </c>
      <c r="DH645" t="e">
        <f>INDEX('Data_Price '!AQ$2:AQ$1266,MATCH(Data!$DN645,'Data_Price '!$AT$2:$AT$1266,0))</f>
        <v>#N/A</v>
      </c>
      <c r="DI645" t="e">
        <f>INDEX('Data_Price '!AR$2:AR$1266,MATCH(Data!$DN645,'Data_Price '!$AT$2:$AT$1266,0))</f>
        <v>#N/A</v>
      </c>
      <c r="DJ645" s="89" t="e">
        <f t="shared" si="365"/>
        <v>#N/A</v>
      </c>
      <c r="DK645" s="89" t="e">
        <f t="shared" si="366"/>
        <v>#N/A</v>
      </c>
      <c r="DL645" s="89" t="e">
        <f t="shared" si="367"/>
        <v>#N/A</v>
      </c>
      <c r="DM645" s="219" t="str">
        <f t="shared" si="368"/>
        <v>Blaze 94</v>
      </c>
      <c r="DN645" s="89" t="str">
        <f t="shared" si="369"/>
        <v xml:space="preserve"> VölklBlaze 94165 Unisex</v>
      </c>
      <c r="DO645" s="221" t="s">
        <v>301</v>
      </c>
    </row>
    <row r="646" spans="2:119" ht="15.6" customHeight="1">
      <c r="B646" s="219" t="b">
        <f t="array" ref="B646">IF(OR(ISERROR(K646:P646)),FALSE,TRUE)</f>
        <v>1</v>
      </c>
      <c r="C646" s="43" t="b">
        <f>OR(BR646=Driver!$G$50,Data!BR768=Driver!$H$50)</f>
        <v>1</v>
      </c>
      <c r="D646" s="43" t="b">
        <f>OR(BV646=Driver!$G$51,BV646=Driver!$H$51)</f>
        <v>1</v>
      </c>
      <c r="E646" s="43" t="b">
        <f>AND(BX646&gt;Driver!$F$54,BX646&lt;Driver!$G$54)</f>
        <v>0</v>
      </c>
      <c r="F646" s="43" t="b">
        <f>CL646&gt;Driver!$F$56</f>
        <v>1</v>
      </c>
      <c r="G646" s="43" t="b">
        <f>AND(CB646&gt;Driver!$F$55,CB646&lt;Driver!$G$55)</f>
        <v>0</v>
      </c>
      <c r="H646" s="43" t="b">
        <f t="shared" si="333"/>
        <v>0</v>
      </c>
      <c r="I646" s="43">
        <f t="shared" si="334"/>
        <v>0</v>
      </c>
      <c r="J646" s="43" t="b">
        <f t="array" ref="J646">NOT(OR(($H$9:$H$1273=TRUE)*($I$9:$I$1273&gt;0)*($BT$9:$BT$1273=BT646)*($K$9:$K$1273&gt;K646)))</f>
        <v>1</v>
      </c>
      <c r="K646" s="72">
        <f t="shared" si="335"/>
        <v>0.83003083496489616</v>
      </c>
      <c r="L646" s="72">
        <f t="shared" si="336"/>
        <v>0.94111007079265141</v>
      </c>
      <c r="M646" s="72">
        <f t="shared" si="337"/>
        <v>0.71895159913714091</v>
      </c>
      <c r="N646" s="72">
        <f t="shared" si="338"/>
        <v>0.49756457393251996</v>
      </c>
      <c r="O646" s="72">
        <f t="shared" si="339"/>
        <v>0.69475963276160346</v>
      </c>
      <c r="P646" s="72">
        <f t="shared" si="340"/>
        <v>0.96453059071729963</v>
      </c>
      <c r="Q646" s="72"/>
      <c r="R646" s="72"/>
      <c r="S646" s="72">
        <f t="shared" si="341"/>
        <v>0.45379635366675275</v>
      </c>
      <c r="T646" s="72">
        <f t="shared" si="342"/>
        <v>0.45064037528086665</v>
      </c>
      <c r="U646" s="72">
        <f t="shared" si="343"/>
        <v>0.49657834545553781</v>
      </c>
      <c r="V646" s="72">
        <f t="shared" si="344"/>
        <v>0.70304297612995514</v>
      </c>
      <c r="W646" s="72">
        <f t="shared" si="345"/>
        <v>0.86641791044776117</v>
      </c>
      <c r="X646" s="72">
        <f t="shared" si="346"/>
        <v>5.8889929207348646E-2</v>
      </c>
      <c r="Y646" s="72">
        <f t="shared" si="347"/>
        <v>0.28104840086285904</v>
      </c>
      <c r="Z646" s="72">
        <f t="shared" si="348"/>
        <v>0.50243542606748004</v>
      </c>
      <c r="AA646" s="72">
        <f t="shared" si="349"/>
        <v>0.30524036723839654</v>
      </c>
      <c r="AB646" s="72">
        <f t="shared" si="350"/>
        <v>3.5469409282700426E-2</v>
      </c>
      <c r="AC646" s="72"/>
      <c r="AD646" s="72"/>
      <c r="AE646" s="72">
        <f t="shared" si="351"/>
        <v>0.54620364633324725</v>
      </c>
      <c r="AF646" s="72">
        <f t="shared" si="352"/>
        <v>0.54935962471913335</v>
      </c>
      <c r="AG646" s="72">
        <f t="shared" si="353"/>
        <v>0.50342165454446219</v>
      </c>
      <c r="AH646" s="72">
        <f t="shared" si="354"/>
        <v>0.29695702387004486</v>
      </c>
      <c r="AI646" s="72">
        <f t="shared" si="355"/>
        <v>0.1335820895522388</v>
      </c>
      <c r="AJ646" s="72">
        <f>(AV646-Driver!$K$179)/(Driver!$L$179-Driver!$K$179)</f>
        <v>0.31310933849004907</v>
      </c>
      <c r="AK646" s="72">
        <f>(AW646-Driver!$K$180)/(Driver!$L$180-Driver!$K$180)</f>
        <v>0.25319352378316967</v>
      </c>
      <c r="AL646" s="72">
        <f>(AX646-Driver!$K$181)/(Driver!$L$181-Driver!$K$181)</f>
        <v>0.60412318978056023</v>
      </c>
      <c r="AM646" s="72">
        <f>(AY646-Driver!$K$182)/(Driver!$L$182-Driver!$K$182)</f>
        <v>0.1421446538586498</v>
      </c>
      <c r="AN646" s="72">
        <f>(AZ646-Driver!$K$183)/(Driver!$L$183-Driver!$K$183)</f>
        <v>0.21875</v>
      </c>
      <c r="AO646" s="72"/>
      <c r="AP646" s="72"/>
      <c r="AQ646" s="72">
        <f>(BC646-Driver!$K$188)/(Driver!$L$188-Driver!$K$188)</f>
        <v>7.3796353666752787E-2</v>
      </c>
      <c r="AR646" s="72">
        <f>MIN((BD646-Driver!$K$189)/(Driver!$L$189-Driver!$K$189),100%)</f>
        <v>6.4037528086663929E-4</v>
      </c>
      <c r="AS646" s="72">
        <f>(BE646-Driver!$K$190)/(Driver!$L$190-Driver!$K$190)</f>
        <v>6.5783454555377822E-3</v>
      </c>
      <c r="AT646" s="72">
        <f>(BF646-Driver!$K$191)/(Driver!$L$191-Driver!$K$191)</f>
        <v>0.21304297612995515</v>
      </c>
      <c r="AU646" s="72">
        <f>(BG646-Driver!$K$192)/(Driver!$L$192-Driver!$K$192)</f>
        <v>0.1164179104477612</v>
      </c>
      <c r="AV646" s="70">
        <f t="shared" si="356"/>
        <v>6.5900149233482557</v>
      </c>
      <c r="AW646" s="70">
        <f t="shared" si="357"/>
        <v>26.547845036978806</v>
      </c>
      <c r="AX646" s="70">
        <f t="shared" si="358"/>
        <v>6.4371087080250424</v>
      </c>
      <c r="AY646" s="70">
        <f>IFERROR(Driver!$K$19/Data!BH646/Data!BI646*Data!BK646*Data!BL646,"")</f>
        <v>0.17402746819426915</v>
      </c>
      <c r="AZ646" s="70">
        <f t="shared" si="359"/>
        <v>19.936708860759495</v>
      </c>
      <c r="BA646" s="70"/>
      <c r="BB646" s="70"/>
      <c r="BC646" s="70">
        <f t="shared" si="360"/>
        <v>38.278681670872274</v>
      </c>
      <c r="BD646" s="70">
        <f t="shared" si="361"/>
        <v>1.7774949617765692</v>
      </c>
      <c r="BE646" s="70">
        <f t="shared" si="362"/>
        <v>6.7555606972715121E-3</v>
      </c>
      <c r="BF646" s="70">
        <f t="shared" si="363"/>
        <v>24.061707442263149</v>
      </c>
      <c r="BG646" s="70">
        <f t="shared" si="364"/>
        <v>0.44083247555326821</v>
      </c>
      <c r="BH646" s="67">
        <f>MAX((CE646-Driver!$F$200)/(Driver!$G$200-Driver!$F$200)*$BI$1,1)</f>
        <v>6.4371087080250424</v>
      </c>
      <c r="BI646" s="67">
        <f>MAX($BI$1*(BY646-Driver!$F$201)/(Driver!$G$201-Driver!$F$201),1)</f>
        <v>5.3797468354430382</v>
      </c>
      <c r="BJ646" s="67">
        <f>(CB646-Driver!$F$206)/(Driver!$G$206-Driver!$F$206)*$BI$1</f>
        <v>9.2063492063492056</v>
      </c>
      <c r="BK646" s="67">
        <f>(CD646-Driver!$F$203)/(Driver!$G$203-Driver!$F$203)*$BI$1</f>
        <v>5.8256880733944971</v>
      </c>
      <c r="BL646" s="67">
        <f>MAX((CR646-Driver!$F$202)/(Driver!$G$202-Driver!$F$202)*$BI$1,1)</f>
        <v>5.1724137931034484</v>
      </c>
      <c r="BM646" s="67">
        <f>MAX((CH646-Driver!$F$204)/(Driver!$G$204-Driver!$F$204)*$BI$1,1)</f>
        <v>2.8632478632478628</v>
      </c>
      <c r="BN646" s="67">
        <f>(CI646-Driver!$F$205)/(Driver!$G$205-Driver!$F$205)*$BI$1</f>
        <v>3.7058823529411766</v>
      </c>
      <c r="BO646" s="67">
        <f>(CK646-Driver!$F$207)/(Driver!$G$207-Driver!$F$207)*$BI$1</f>
        <v>3.391933815925543</v>
      </c>
      <c r="BP646" s="67">
        <f>(CM646-Driver!$F$208)/(Driver!$G$208-Driver!$F$208)*$BI$1</f>
        <v>4.4888888888888889</v>
      </c>
      <c r="BQ646" s="67">
        <f>(CL646-Driver!$F$209)/(Driver!$G$209-Driver!$F$209)*$BI$1</f>
        <v>8.125</v>
      </c>
      <c r="BR646" s="28" t="s">
        <v>155</v>
      </c>
      <c r="BS646" s="8" t="s">
        <v>262</v>
      </c>
      <c r="BT646" s="9" t="s">
        <v>708</v>
      </c>
      <c r="BU646" s="10">
        <v>177</v>
      </c>
      <c r="BV646" s="9" t="s">
        <v>158</v>
      </c>
      <c r="BW646" s="10">
        <v>177</v>
      </c>
      <c r="BX646" s="10">
        <v>177.3</v>
      </c>
      <c r="BY646" s="10">
        <v>93</v>
      </c>
      <c r="BZ646" s="10">
        <v>132</v>
      </c>
      <c r="CA646" s="10">
        <v>144</v>
      </c>
      <c r="CB646" s="10">
        <v>122</v>
      </c>
      <c r="CC646" s="10">
        <v>135</v>
      </c>
      <c r="CD646" s="10">
        <v>22.1</v>
      </c>
      <c r="CE646" s="10">
        <v>2031</v>
      </c>
      <c r="CF646" s="10">
        <v>1.1200000000000001</v>
      </c>
      <c r="CG646" s="10">
        <v>2267</v>
      </c>
      <c r="CH646" s="10">
        <v>168</v>
      </c>
      <c r="CI646" s="10">
        <v>96</v>
      </c>
      <c r="CJ646" s="10">
        <v>65</v>
      </c>
      <c r="CK646" s="10">
        <v>438</v>
      </c>
      <c r="CL646" s="10">
        <v>52</v>
      </c>
      <c r="CM646" s="10">
        <v>404</v>
      </c>
      <c r="CN646" s="10">
        <v>0.79300000000000004</v>
      </c>
      <c r="CO646" s="10">
        <v>221</v>
      </c>
      <c r="CP646" s="10">
        <v>236</v>
      </c>
      <c r="CQ646" s="10">
        <v>217</v>
      </c>
      <c r="CR646" s="10">
        <v>4</v>
      </c>
      <c r="CS646" s="10">
        <v>4.2</v>
      </c>
      <c r="CT646" s="9" t="s">
        <v>169</v>
      </c>
      <c r="CU646" s="9" t="s">
        <v>185</v>
      </c>
      <c r="CV646" s="10"/>
      <c r="CW646" s="10"/>
      <c r="CX646" t="e">
        <f>INDEX('Data_Price '!AG$2:AG$1266,MATCH(Data!$DN646,'Data_Price '!$AT$2:$AT$1266,0))</f>
        <v>#N/A</v>
      </c>
      <c r="CY646" t="e">
        <f>INDEX('Data_Price '!AH$2:AH$1266,MATCH(Data!$DN646,'Data_Price '!$AT$2:$AT$1266,0))</f>
        <v>#N/A</v>
      </c>
      <c r="CZ646" t="e">
        <f>INDEX('Data_Price '!AI$2:AI$1266,MATCH(Data!$DN646,'Data_Price '!$AT$2:$AT$1266,0))</f>
        <v>#N/A</v>
      </c>
      <c r="DA646" t="e">
        <f>INDEX('Data_Price '!AJ$2:AJ$1266,MATCH(Data!$DN646,'Data_Price '!$AT$2:$AT$1266,0))</f>
        <v>#N/A</v>
      </c>
      <c r="DB646" t="e">
        <f>INDEX('Data_Price '!AK$2:AK$1266,MATCH(Data!$DN646,'Data_Price '!$AT$2:$AT$1266,0))</f>
        <v>#N/A</v>
      </c>
      <c r="DC646" t="e">
        <f>INDEX('Data_Price '!AL$2:AL$1266,MATCH(Data!$DN646,'Data_Price '!$AT$2:$AT$1266,0))</f>
        <v>#N/A</v>
      </c>
      <c r="DD646" t="e">
        <f>INDEX('Data_Price '!AM$2:AM$1266,MATCH(Data!$DN646,'Data_Price '!$AT$2:$AT$1266,0))</f>
        <v>#N/A</v>
      </c>
      <c r="DE646" t="e">
        <f>INDEX('Data_Price '!AN$2:AN$1266,MATCH(Data!$DN646,'Data_Price '!$AT$2:$AT$1266,0))</f>
        <v>#N/A</v>
      </c>
      <c r="DF646" t="e">
        <f>INDEX('Data_Price '!AO$2:AO$1266,MATCH(Data!$DN646,'Data_Price '!$AT$2:$AT$1266,0))</f>
        <v>#N/A</v>
      </c>
      <c r="DG646" t="e">
        <f>INDEX('Data_Price '!AP$2:AP$1266,MATCH(Data!$DN646,'Data_Price '!$AT$2:$AT$1266,0))</f>
        <v>#N/A</v>
      </c>
      <c r="DH646" t="e">
        <f>INDEX('Data_Price '!AQ$2:AQ$1266,MATCH(Data!$DN646,'Data_Price '!$AT$2:$AT$1266,0))</f>
        <v>#N/A</v>
      </c>
      <c r="DI646" t="e">
        <f>INDEX('Data_Price '!AR$2:AR$1266,MATCH(Data!$DN646,'Data_Price '!$AT$2:$AT$1266,0))</f>
        <v>#N/A</v>
      </c>
      <c r="DJ646" s="89" t="e">
        <f t="shared" si="365"/>
        <v>#N/A</v>
      </c>
      <c r="DK646" s="89" t="e">
        <f t="shared" si="366"/>
        <v>#N/A</v>
      </c>
      <c r="DL646" s="89" t="e">
        <f t="shared" si="367"/>
        <v>#N/A</v>
      </c>
      <c r="DM646" s="219" t="str">
        <f t="shared" si="368"/>
        <v>Reckoner 122</v>
      </c>
      <c r="DN646" s="89" t="str">
        <f t="shared" si="369"/>
        <v xml:space="preserve"> K2Reckoner 122177 Unisex</v>
      </c>
      <c r="DO646" s="221" t="s">
        <v>709</v>
      </c>
    </row>
    <row r="647" spans="2:119" ht="15.6" customHeight="1">
      <c r="B647" s="219" t="b">
        <f t="array" ref="B647">IF(OR(ISERROR(K647:P647)),FALSE,TRUE)</f>
        <v>1</v>
      </c>
      <c r="C647" s="43" t="b">
        <f>OR(BR647=Driver!$G$50,Data!BR219=Driver!$H$50)</f>
        <v>1</v>
      </c>
      <c r="D647" s="43" t="b">
        <f>OR(BV647=Driver!$G$51,BV647=Driver!$H$51)</f>
        <v>1</v>
      </c>
      <c r="E647" s="43" t="b">
        <f>AND(BX647&gt;Driver!$F$54,BX647&lt;Driver!$G$54)</f>
        <v>0</v>
      </c>
      <c r="F647" s="43" t="b">
        <f>CL647&gt;Driver!$F$56</f>
        <v>1</v>
      </c>
      <c r="G647" s="43" t="b">
        <f>AND(CB647&gt;Driver!$F$55,CB647&lt;Driver!$G$55)</f>
        <v>1</v>
      </c>
      <c r="H647" s="43" t="b">
        <f t="shared" si="333"/>
        <v>0</v>
      </c>
      <c r="I647" s="43">
        <f t="shared" si="334"/>
        <v>0</v>
      </c>
      <c r="J647" s="43" t="b">
        <f t="array" ref="J647">NOT(OR(($H$9:$H$1273=TRUE)*($I$9:$I$1273&gt;0)*($BT$9:$BT$1273=BT647)*($K$9:$K$1273&gt;K647)))</f>
        <v>1</v>
      </c>
      <c r="K647" s="72">
        <f t="shared" si="335"/>
        <v>0.75593159472988136</v>
      </c>
      <c r="L647" s="72">
        <f t="shared" si="336"/>
        <v>0.82806519125030986</v>
      </c>
      <c r="M647" s="72">
        <f t="shared" si="337"/>
        <v>0.68379799820945286</v>
      </c>
      <c r="N647" s="72">
        <f t="shared" si="338"/>
        <v>0.54878825065420456</v>
      </c>
      <c r="O647" s="72">
        <f t="shared" si="339"/>
        <v>0.66252032161955809</v>
      </c>
      <c r="P647" s="72">
        <f t="shared" si="340"/>
        <v>0.84008542235459571</v>
      </c>
      <c r="Q647" s="72"/>
      <c r="R647" s="72"/>
      <c r="S647" s="72">
        <f t="shared" si="341"/>
        <v>0.53177633164614801</v>
      </c>
      <c r="T647" s="72">
        <f t="shared" si="342"/>
        <v>0.50098689417601627</v>
      </c>
      <c r="U647" s="72">
        <f t="shared" si="343"/>
        <v>0.64947943583849022</v>
      </c>
      <c r="V647" s="72">
        <f t="shared" si="344"/>
        <v>0.50947526813294619</v>
      </c>
      <c r="W647" s="72">
        <f t="shared" si="345"/>
        <v>0.75751495016611292</v>
      </c>
      <c r="X647" s="72">
        <f t="shared" si="346"/>
        <v>0.17193480874969014</v>
      </c>
      <c r="Y647" s="72">
        <f t="shared" si="347"/>
        <v>0.31620200179054719</v>
      </c>
      <c r="Z647" s="72">
        <f t="shared" si="348"/>
        <v>0.45121174934579544</v>
      </c>
      <c r="AA647" s="72">
        <f t="shared" si="349"/>
        <v>0.33747967838044196</v>
      </c>
      <c r="AB647" s="72">
        <f t="shared" si="350"/>
        <v>0.15991457764540423</v>
      </c>
      <c r="AC647" s="72"/>
      <c r="AD647" s="72"/>
      <c r="AE647" s="72">
        <f t="shared" si="351"/>
        <v>0.46822366835385199</v>
      </c>
      <c r="AF647" s="72">
        <f t="shared" si="352"/>
        <v>0.49901310582398373</v>
      </c>
      <c r="AG647" s="72">
        <f t="shared" si="353"/>
        <v>0.35052056416150978</v>
      </c>
      <c r="AH647" s="72">
        <f t="shared" si="354"/>
        <v>0.49052473186705381</v>
      </c>
      <c r="AI647" s="72">
        <f t="shared" si="355"/>
        <v>0.24248504983388705</v>
      </c>
      <c r="AJ647" s="72">
        <f>(AV647-Driver!$K$179)/(Driver!$L$179-Driver!$K$179)</f>
        <v>0.42615421803239056</v>
      </c>
      <c r="AK647" s="72">
        <f>(AW647-Driver!$K$180)/(Driver!$L$180-Driver!$K$180)</f>
        <v>0.43077270323427458</v>
      </c>
      <c r="AL647" s="72">
        <f>(AX647-Driver!$K$181)/(Driver!$L$181-Driver!$K$181)</f>
        <v>0.55289951305887564</v>
      </c>
      <c r="AM647" s="72">
        <f>(AY647-Driver!$K$182)/(Driver!$L$182-Driver!$K$182)</f>
        <v>0.10990534271660442</v>
      </c>
      <c r="AN647" s="72">
        <f>(AZ647-Driver!$K$183)/(Driver!$L$183-Driver!$K$183)</f>
        <v>0.41413398692810466</v>
      </c>
      <c r="AO647" s="72"/>
      <c r="AP647" s="72"/>
      <c r="AQ647" s="72">
        <f>(BC647-Driver!$K$188)/(Driver!$L$188-Driver!$K$188)</f>
        <v>0.15177633164614798</v>
      </c>
      <c r="AR647" s="72">
        <f>MIN((BD647-Driver!$K$189)/(Driver!$L$189-Driver!$K$189),100%)</f>
        <v>5.0986894176016297E-2</v>
      </c>
      <c r="AS647" s="72">
        <f>(BE647-Driver!$K$190)/(Driver!$L$190-Driver!$K$190)</f>
        <v>0.86052056416150979</v>
      </c>
      <c r="AT647" s="72">
        <f>(BF647-Driver!$K$191)/(Driver!$L$191-Driver!$K$191)</f>
        <v>1.9475268132946207E-2</v>
      </c>
      <c r="AU647" s="72">
        <f>(BG647-Driver!$K$192)/(Driver!$L$192-Driver!$K$192)</f>
        <v>7.514950166112957E-3</v>
      </c>
      <c r="AV647" s="70">
        <f t="shared" si="356"/>
        <v>8.9692714692714688</v>
      </c>
      <c r="AW647" s="70">
        <f t="shared" si="357"/>
        <v>43.854509586089748</v>
      </c>
      <c r="AX647" s="70">
        <f t="shared" si="358"/>
        <v>5.9760956175298805</v>
      </c>
      <c r="AY647" s="70">
        <f>IFERROR(Driver!$K$19/Data!BH647/Data!BI647*Data!BK647*Data!BL647,"")</f>
        <v>0.13455693207437666</v>
      </c>
      <c r="AZ647" s="70">
        <f t="shared" si="359"/>
        <v>37.743857036485487</v>
      </c>
      <c r="BA647" s="70"/>
      <c r="BB647" s="70"/>
      <c r="BC647" s="70">
        <f t="shared" si="360"/>
        <v>78.72743835679654</v>
      </c>
      <c r="BD647" s="70">
        <f t="shared" si="361"/>
        <v>6.2330726752445909</v>
      </c>
      <c r="BE647" s="70">
        <f t="shared" si="362"/>
        <v>0.86054544572295544</v>
      </c>
      <c r="BF647" s="70">
        <f t="shared" si="363"/>
        <v>2.1995947141140828</v>
      </c>
      <c r="BG647" s="70">
        <f t="shared" si="364"/>
        <v>2.8456395348837212E-2</v>
      </c>
      <c r="BH647" s="67">
        <f>MAX((CE647-Driver!$F$200)/(Driver!$G$200-Driver!$F$200)*$BI$1,1)</f>
        <v>5.9760956175298805</v>
      </c>
      <c r="BI647" s="67">
        <f>MAX($BI$1*(BY647-Driver!$F$201)/(Driver!$G$201-Driver!$F$201),1)</f>
        <v>8.6708860759493671</v>
      </c>
      <c r="BJ647" s="67">
        <f>(CB647-Driver!$F$206)/(Driver!$G$206-Driver!$F$206)*$BI$1</f>
        <v>6.5079365079365079</v>
      </c>
      <c r="BK647" s="67">
        <f>(CD647-Driver!$F$203)/(Driver!$G$203-Driver!$F$203)*$BI$1</f>
        <v>5.3211009174311927</v>
      </c>
      <c r="BL647" s="67">
        <f>MAX((CR647-Driver!$F$202)/(Driver!$G$202-Driver!$F$202)*$BI$1,1)</f>
        <v>6.5517241379310338</v>
      </c>
      <c r="BM647" s="67">
        <f>MAX((CH647-Driver!$F$204)/(Driver!$G$204-Driver!$F$204)*$BI$1,1)</f>
        <v>5.5128205128205128</v>
      </c>
      <c r="BN647" s="67">
        <f>(CI647-Driver!$F$205)/(Driver!$G$205-Driver!$F$205)*$BI$1</f>
        <v>4.3529411764705888</v>
      </c>
      <c r="BO647" s="67">
        <f>(CK647-Driver!$F$207)/(Driver!$G$207-Driver!$F$207)*$BI$1</f>
        <v>1.7786970010341261</v>
      </c>
      <c r="BP647" s="67">
        <f>(CM647-Driver!$F$208)/(Driver!$G$208-Driver!$F$208)*$BI$1</f>
        <v>1.0111111111111111</v>
      </c>
      <c r="BQ647" s="67">
        <f>(CL647-Driver!$F$209)/(Driver!$G$209-Driver!$F$209)*$BI$1</f>
        <v>0.9375</v>
      </c>
      <c r="BR647" s="28" t="s">
        <v>155</v>
      </c>
      <c r="BS647" s="8" t="s">
        <v>237</v>
      </c>
      <c r="BT647" s="9" t="s">
        <v>443</v>
      </c>
      <c r="BU647" s="10">
        <v>183.4</v>
      </c>
      <c r="BV647" s="9" t="s">
        <v>158</v>
      </c>
      <c r="BW647" s="10">
        <v>183.4</v>
      </c>
      <c r="BX647" s="10">
        <v>182.6</v>
      </c>
      <c r="BY647" s="10">
        <v>145</v>
      </c>
      <c r="BZ647" s="10">
        <v>148</v>
      </c>
      <c r="CA647" s="10">
        <v>141</v>
      </c>
      <c r="CB647" s="10">
        <v>105</v>
      </c>
      <c r="CC647" s="10">
        <v>118</v>
      </c>
      <c r="CD647" s="10">
        <v>21</v>
      </c>
      <c r="CE647" s="10">
        <v>1950</v>
      </c>
      <c r="CF647" s="10">
        <v>1.08</v>
      </c>
      <c r="CG647" s="10">
        <v>2112</v>
      </c>
      <c r="CH647" s="10">
        <v>230</v>
      </c>
      <c r="CI647" s="10">
        <v>107</v>
      </c>
      <c r="CJ647" s="10">
        <v>46</v>
      </c>
      <c r="CK647" s="10">
        <v>282</v>
      </c>
      <c r="CL647" s="10">
        <v>6</v>
      </c>
      <c r="CM647" s="10">
        <v>91</v>
      </c>
      <c r="CN647" s="10">
        <v>0.129</v>
      </c>
      <c r="CO647" s="10">
        <v>192</v>
      </c>
      <c r="CP647" s="10">
        <v>155</v>
      </c>
      <c r="CQ647" s="10">
        <v>90</v>
      </c>
      <c r="CR647" s="10">
        <v>8</v>
      </c>
      <c r="CS647" s="10">
        <v>10.4</v>
      </c>
      <c r="CT647" s="9" t="s">
        <v>178</v>
      </c>
      <c r="CU647" s="9" t="s">
        <v>185</v>
      </c>
      <c r="CV647" s="10"/>
      <c r="CW647" s="10"/>
      <c r="CX647" t="str">
        <f>INDEX('Data_Price '!AG$2:AG$1266,MATCH(Data!$DN647,'Data_Price '!$AT$2:$AT$1266,0))</f>
        <v>2022 Black Crows Corvus Freebird Skis w/ Marker Kingpin 13 Bindings - 183| Ski Essentials</v>
      </c>
      <c r="CY647" t="str">
        <f>INDEX('Data_Price '!AH$2:AH$1266,MATCH(Data!$DN647,'Data_Price '!$AT$2:$AT$1266,0))</f>
        <v>SkiEssentials.com</v>
      </c>
      <c r="CZ647">
        <f>INDEX('Data_Price '!AI$2:AI$1266,MATCH(Data!$DN647,'Data_Price '!$AT$2:$AT$1266,0))</f>
        <v>1114.96</v>
      </c>
      <c r="DA647" t="str">
        <f>INDEX('Data_Price '!AJ$2:AJ$1266,MATCH(Data!$DN647,'Data_Price '!$AT$2:$AT$1266,0))</f>
        <v>https://tinyurl.com/ybcgxabz</v>
      </c>
      <c r="DB647" t="str">
        <f>INDEX('Data_Price '!AK$2:AK$1266,MATCH(Data!$DN647,'Data_Price '!$AT$2:$AT$1266,0))</f>
        <v>Black Crows Corvus Freebird Skis Â· 2021 Â· 183 cm</v>
      </c>
      <c r="DC647" t="str">
        <f>INDEX('Data_Price '!AL$2:AL$1266,MATCH(Data!$DN647,'Data_Price '!$AT$2:$AT$1266,0))</f>
        <v>Powder7 Ski Shop</v>
      </c>
      <c r="DD647">
        <f>INDEX('Data_Price '!AM$2:AM$1266,MATCH(Data!$DN647,'Data_Price '!$AT$2:$AT$1266,0))</f>
        <v>720.93</v>
      </c>
      <c r="DE647" t="str">
        <f>INDEX('Data_Price '!AN$2:AN$1266,MATCH(Data!$DN647,'Data_Price '!$AT$2:$AT$1266,0))</f>
        <v>https://tinyurl.com/ycx224vr</v>
      </c>
      <c r="DF647" t="str">
        <f>INDEX('Data_Price '!AO$2:AO$1266,MATCH(Data!$DN647,'Data_Price '!$AT$2:$AT$1266,0))</f>
        <v>Black Crows Corvus Freebird Skis 2022 183</v>
      </c>
      <c r="DG647" t="str">
        <f>INDEX('Data_Price '!AP$2:AP$1266,MATCH(Data!$DN647,'Data_Price '!$AT$2:$AT$1266,0))</f>
        <v>Winteriscalling.com</v>
      </c>
      <c r="DH647">
        <f>INDEX('Data_Price '!AQ$2:AQ$1266,MATCH(Data!$DN647,'Data_Price '!$AT$2:$AT$1266,0))</f>
        <v>799.99</v>
      </c>
      <c r="DI647" t="str">
        <f>INDEX('Data_Price '!AR$2:AR$1266,MATCH(Data!$DN647,'Data_Price '!$AT$2:$AT$1266,0))</f>
        <v>https://tinyurl.com/yddbvy36</v>
      </c>
      <c r="DJ647" s="89" t="str">
        <f t="shared" si="365"/>
        <v>https://tinyurl.com/ybcgxabz</v>
      </c>
      <c r="DK647" s="89" t="str">
        <f t="shared" si="366"/>
        <v>https://tinyurl.com/ycx224vr</v>
      </c>
      <c r="DL647" s="89" t="str">
        <f t="shared" si="367"/>
        <v>https://tinyurl.com/yddbvy36</v>
      </c>
      <c r="DM647" s="219" t="str">
        <f t="shared" si="368"/>
        <v>Corvus Freebird</v>
      </c>
      <c r="DN647" s="89" t="str">
        <f t="shared" si="369"/>
        <v xml:space="preserve"> Black CrowsCorvus Freebird183.4 Unisex</v>
      </c>
      <c r="DO647" s="221" t="s">
        <v>444</v>
      </c>
    </row>
    <row r="648" spans="2:119" ht="15.6" customHeight="1">
      <c r="B648" s="219" t="b">
        <f t="array" ref="B648">IF(OR(ISERROR(K648:P648)),FALSE,TRUE)</f>
        <v>1</v>
      </c>
      <c r="C648" s="43" t="b">
        <f>OR(BR648=Driver!$G$50,Data!BR371=Driver!$H$50)</f>
        <v>1</v>
      </c>
      <c r="D648" s="43" t="b">
        <f>OR(BV648=Driver!$G$51,BV648=Driver!$H$51)</f>
        <v>1</v>
      </c>
      <c r="E648" s="43" t="b">
        <f>AND(BX648&gt;Driver!$F$54,BX648&lt;Driver!$G$54)</f>
        <v>0</v>
      </c>
      <c r="F648" s="43" t="b">
        <f>CL648&gt;Driver!$F$56</f>
        <v>1</v>
      </c>
      <c r="G648" s="43" t="b">
        <f>AND(CB648&gt;Driver!$F$55,CB648&lt;Driver!$G$55)</f>
        <v>0</v>
      </c>
      <c r="H648" s="43" t="b">
        <f t="shared" si="333"/>
        <v>0</v>
      </c>
      <c r="I648" s="43">
        <f t="shared" si="334"/>
        <v>0</v>
      </c>
      <c r="J648" s="43" t="b">
        <f t="array" ref="J648">NOT(OR(($H$9:$H$1273=TRUE)*($I$9:$I$1273&gt;0)*($BT$9:$BT$1273=BT648)*($K$9:$K$1273&gt;K648)))</f>
        <v>1</v>
      </c>
      <c r="K648" s="72">
        <f t="shared" si="335"/>
        <v>0.95135172866242712</v>
      </c>
      <c r="L648" s="72">
        <f t="shared" si="336"/>
        <v>0.96697422356035734</v>
      </c>
      <c r="M648" s="72">
        <f t="shared" si="337"/>
        <v>0.9357292337644969</v>
      </c>
      <c r="N648" s="72">
        <f t="shared" si="338"/>
        <v>0.96806497137830039</v>
      </c>
      <c r="O648" s="72">
        <f t="shared" si="339"/>
        <v>0.85290096272730276</v>
      </c>
      <c r="P648" s="72">
        <f t="shared" si="340"/>
        <v>0.98622176718788779</v>
      </c>
      <c r="Q648" s="72"/>
      <c r="R648" s="72"/>
      <c r="S648" s="72">
        <f t="shared" si="341"/>
        <v>0.46823914606569361</v>
      </c>
      <c r="T648" s="72">
        <f t="shared" si="342"/>
        <v>0.47380853502554632</v>
      </c>
      <c r="U648" s="72">
        <f t="shared" si="343"/>
        <v>0.95597195389153522</v>
      </c>
      <c r="V648" s="72">
        <f t="shared" si="344"/>
        <v>0.52964845881457223</v>
      </c>
      <c r="W648" s="72">
        <f t="shared" si="345"/>
        <v>0.78826979472140768</v>
      </c>
      <c r="X648" s="72">
        <f t="shared" si="346"/>
        <v>3.3025776439642607E-2</v>
      </c>
      <c r="Y648" s="72">
        <f t="shared" si="347"/>
        <v>6.4270766235503041E-2</v>
      </c>
      <c r="Z648" s="72">
        <f t="shared" si="348"/>
        <v>3.1935028621699654E-2</v>
      </c>
      <c r="AA648" s="72">
        <f t="shared" si="349"/>
        <v>0.14709903727269724</v>
      </c>
      <c r="AB648" s="72">
        <f t="shared" si="350"/>
        <v>1.3778232812112212E-2</v>
      </c>
      <c r="AC648" s="72"/>
      <c r="AD648" s="72"/>
      <c r="AE648" s="72">
        <f t="shared" si="351"/>
        <v>0.53176085393430639</v>
      </c>
      <c r="AF648" s="72">
        <f t="shared" si="352"/>
        <v>0.52619146497445368</v>
      </c>
      <c r="AG648" s="72">
        <f t="shared" si="353"/>
        <v>4.402804610846478E-2</v>
      </c>
      <c r="AH648" s="72">
        <f t="shared" si="354"/>
        <v>0.47035154118542777</v>
      </c>
      <c r="AI648" s="72">
        <f t="shared" si="355"/>
        <v>0.21173020527859238</v>
      </c>
      <c r="AJ648" s="72">
        <f>(AV648-Driver!$K$179)/(Driver!$L$179-Driver!$K$179)</f>
        <v>0.28724518572234303</v>
      </c>
      <c r="AK648" s="72">
        <f>(AW648-Driver!$K$180)/(Driver!$L$180-Driver!$K$180)</f>
        <v>0.22611743705404994</v>
      </c>
      <c r="AL648" s="72">
        <f>(AX648-Driver!$K$181)/(Driver!$L$181-Driver!$K$181)</f>
        <v>6.9752735091380524E-2</v>
      </c>
      <c r="AM648" s="72">
        <f>(AY648-Driver!$K$182)/(Driver!$L$182-Driver!$K$182)</f>
        <v>0.30028598382434912</v>
      </c>
      <c r="AN648" s="72">
        <f>(AZ648-Driver!$K$183)/(Driver!$L$183-Driver!$K$183)</f>
        <v>0.24044117647058821</v>
      </c>
      <c r="AO648" s="72"/>
      <c r="AP648" s="72"/>
      <c r="AQ648" s="72">
        <f>(BC648-Driver!$K$188)/(Driver!$L$188-Driver!$K$188)</f>
        <v>8.8239146065693566E-2</v>
      </c>
      <c r="AR648" s="72">
        <f>MIN((BD648-Driver!$K$189)/(Driver!$L$189-Driver!$K$189),100%)</f>
        <v>2.380853502554638E-2</v>
      </c>
      <c r="AS648" s="72">
        <f>(BE648-Driver!$K$190)/(Driver!$L$190-Driver!$K$190)</f>
        <v>0.55402804610846479</v>
      </c>
      <c r="AT648" s="72">
        <f>(BF648-Driver!$K$191)/(Driver!$L$191-Driver!$K$191)</f>
        <v>3.9648458814572241E-2</v>
      </c>
      <c r="AU648" s="72">
        <f>(BG648-Driver!$K$192)/(Driver!$L$192-Driver!$K$192)</f>
        <v>3.8269794721407617E-2</v>
      </c>
      <c r="AV648" s="70">
        <f t="shared" si="356"/>
        <v>6.0456518789852121</v>
      </c>
      <c r="AW648" s="70">
        <f t="shared" si="357"/>
        <v>23.909040466691135</v>
      </c>
      <c r="AX648" s="70">
        <f t="shared" si="358"/>
        <v>1.6277746158224247</v>
      </c>
      <c r="AY648" s="70">
        <f>IFERROR(Driver!$K$19/Data!BH648/Data!BI648*Data!BK648*Data!BL648,"")</f>
        <v>0.36763964089105078</v>
      </c>
      <c r="AZ648" s="70">
        <f t="shared" si="359"/>
        <v>21.913626209977661</v>
      </c>
      <c r="BA648" s="70"/>
      <c r="BB648" s="70"/>
      <c r="BC648" s="70">
        <f t="shared" si="360"/>
        <v>45.770258492866695</v>
      </c>
      <c r="BD648" s="70">
        <f t="shared" si="361"/>
        <v>3.8278360476308069</v>
      </c>
      <c r="BE648" s="70">
        <f t="shared" si="362"/>
        <v>0.55410760248541091</v>
      </c>
      <c r="BF648" s="70">
        <f t="shared" si="363"/>
        <v>4.4780148769181469</v>
      </c>
      <c r="BG648" s="70">
        <f t="shared" si="364"/>
        <v>0.14491385630498532</v>
      </c>
      <c r="BH648" s="67">
        <f>MAX((CE648-Driver!$F$200)/(Driver!$G$200-Driver!$F$200)*$BI$1,1)</f>
        <v>1.6277746158224247</v>
      </c>
      <c r="BI648" s="67">
        <f>MAX($BI$1*(BY648-Driver!$F$201)/(Driver!$G$201-Driver!$F$201),1)</f>
        <v>6.8987341772151902</v>
      </c>
      <c r="BJ648" s="67">
        <f>(CB648-Driver!$F$206)/(Driver!$G$206-Driver!$F$206)*$BI$1</f>
        <v>3.6507936507936507</v>
      </c>
      <c r="BK648" s="67">
        <f>(CD648-Driver!$F$203)/(Driver!$G$203-Driver!$F$203)*$BI$1</f>
        <v>3.9908256880733957</v>
      </c>
      <c r="BL648" s="67">
        <f>MAX((CR648-Driver!$F$202)/(Driver!$G$202-Driver!$F$202)*$BI$1,1)</f>
        <v>5.1724137931034484</v>
      </c>
      <c r="BM648" s="67">
        <f>MAX((CH648-Driver!$F$204)/(Driver!$G$204-Driver!$F$204)*$BI$1,1)</f>
        <v>6.6239316239316235</v>
      </c>
      <c r="BN648" s="67">
        <f>(CI648-Driver!$F$205)/(Driver!$G$205-Driver!$F$205)*$BI$1</f>
        <v>3.1764705882352939</v>
      </c>
      <c r="BO648" s="67">
        <f>(CK648-Driver!$F$207)/(Driver!$G$207-Driver!$F$207)*$BI$1</f>
        <v>2.4612202688728022</v>
      </c>
      <c r="BP648" s="67">
        <f>(CM648-Driver!$F$208)/(Driver!$G$208-Driver!$F$208)*$BI$1</f>
        <v>1.9888888888888889</v>
      </c>
      <c r="BQ648" s="67">
        <f>(CL648-Driver!$F$209)/(Driver!$G$209-Driver!$F$209)*$BI$1</f>
        <v>1.5625</v>
      </c>
      <c r="BR648" s="28" t="s">
        <v>155</v>
      </c>
      <c r="BS648" s="8" t="s">
        <v>329</v>
      </c>
      <c r="BT648" s="9" t="s">
        <v>520</v>
      </c>
      <c r="BU648" s="10">
        <v>172</v>
      </c>
      <c r="BV648" s="9" t="s">
        <v>158</v>
      </c>
      <c r="BW648" s="10">
        <v>172</v>
      </c>
      <c r="BX648" s="10">
        <v>169.7</v>
      </c>
      <c r="BY648" s="10">
        <v>117</v>
      </c>
      <c r="BZ648" s="10">
        <v>146</v>
      </c>
      <c r="CA648" s="10">
        <v>122</v>
      </c>
      <c r="CB648" s="10">
        <v>87</v>
      </c>
      <c r="CC648" s="10">
        <v>110</v>
      </c>
      <c r="CD648" s="10">
        <v>18.100000000000001</v>
      </c>
      <c r="CE648" s="10">
        <v>1186</v>
      </c>
      <c r="CF648" s="10">
        <v>1.39</v>
      </c>
      <c r="CG648" s="10">
        <v>1652</v>
      </c>
      <c r="CH648" s="10">
        <v>256</v>
      </c>
      <c r="CI648" s="10">
        <v>87</v>
      </c>
      <c r="CJ648" s="10">
        <v>60</v>
      </c>
      <c r="CK648" s="10">
        <v>348</v>
      </c>
      <c r="CL648" s="10">
        <v>10</v>
      </c>
      <c r="CM648" s="10">
        <v>179</v>
      </c>
      <c r="CN648" s="10">
        <v>0.16500000000000001</v>
      </c>
      <c r="CO648" s="10">
        <v>136</v>
      </c>
      <c r="CP648" s="10">
        <v>104</v>
      </c>
      <c r="CQ648" s="10">
        <v>213</v>
      </c>
      <c r="CR648" s="10">
        <v>4</v>
      </c>
      <c r="CS648" s="10">
        <v>12.6</v>
      </c>
      <c r="CT648" s="9" t="s">
        <v>185</v>
      </c>
      <c r="CU648" s="9" t="s">
        <v>198</v>
      </c>
      <c r="CV648" s="10"/>
      <c r="CW648" s="10"/>
      <c r="CX648" t="str">
        <f>INDEX('Data_Price '!AG$2:AG$1266,MATCH(Data!$DN648,'Data_Price '!$AT$2:$AT$1266,0))</f>
        <v>Dynafit Blacklight 88</v>
      </c>
      <c r="CY648" t="str">
        <f>INDEX('Data_Price '!AH$2:AH$1266,MATCH(Data!$DN648,'Data_Price '!$AT$2:$AT$1266,0))</f>
        <v>evo.com</v>
      </c>
      <c r="CZ648">
        <f>INDEX('Data_Price '!AI$2:AI$1266,MATCH(Data!$DN648,'Data_Price '!$AT$2:$AT$1266,0))</f>
        <v>559.96</v>
      </c>
      <c r="DA648" t="str">
        <f>INDEX('Data_Price '!AJ$2:AJ$1266,MATCH(Data!$DN648,'Data_Price '!$AT$2:$AT$1266,0))</f>
        <v>https://tinyurl.com/ydbx4bmh</v>
      </c>
      <c r="DB648" t="str">
        <f>INDEX('Data_Price '!AK$2:AK$1266,MATCH(Data!$DN648,'Data_Price '!$AT$2:$AT$1266,0))</f>
        <v>Dynafit Blacklight 88</v>
      </c>
      <c r="DC648" t="str">
        <f>INDEX('Data_Price '!AL$2:AL$1266,MATCH(Data!$DN648,'Data_Price '!$AT$2:$AT$1266,0))</f>
        <v>Ascent Outdoors</v>
      </c>
      <c r="DD648">
        <f>INDEX('Data_Price '!AM$2:AM$1266,MATCH(Data!$DN648,'Data_Price '!$AT$2:$AT$1266,0))</f>
        <v>559.96</v>
      </c>
      <c r="DE648" t="str">
        <f>INDEX('Data_Price '!AN$2:AN$1266,MATCH(Data!$DN648,'Data_Price '!$AT$2:$AT$1266,0))</f>
        <v>https://tinyurl.com/y973hlqr</v>
      </c>
      <c r="DF648" t="str">
        <f>INDEX('Data_Price '!AO$2:AO$1266,MATCH(Data!$DN648,'Data_Price '!$AT$2:$AT$1266,0))</f>
        <v>Dynafit Blacklight 88</v>
      </c>
      <c r="DG648" t="str">
        <f>INDEX('Data_Price '!AP$2:AP$1266,MATCH(Data!$DN648,'Data_Price '!$AT$2:$AT$1266,0))</f>
        <v>Curated</v>
      </c>
      <c r="DH648">
        <f>INDEX('Data_Price '!AQ$2:AQ$1266,MATCH(Data!$DN648,'Data_Price '!$AT$2:$AT$1266,0))</f>
        <v>559.99</v>
      </c>
      <c r="DI648" t="str">
        <f>INDEX('Data_Price '!AR$2:AR$1266,MATCH(Data!$DN648,'Data_Price '!$AT$2:$AT$1266,0))</f>
        <v>https://tinyurl.com/yb2rn5ll</v>
      </c>
      <c r="DJ648" s="89" t="str">
        <f t="shared" si="365"/>
        <v>https://tinyurl.com/ydbx4bmh</v>
      </c>
      <c r="DK648" s="89" t="str">
        <f t="shared" si="366"/>
        <v>https://tinyurl.com/y973hlqr</v>
      </c>
      <c r="DL648" s="89" t="str">
        <f t="shared" si="367"/>
        <v>https://tinyurl.com/yb2rn5ll</v>
      </c>
      <c r="DM648" s="219" t="str">
        <f t="shared" si="368"/>
        <v>Blacklight 88</v>
      </c>
      <c r="DN648" s="89" t="str">
        <f t="shared" si="369"/>
        <v xml:space="preserve"> DynafitBlacklight 88172 Unisex</v>
      </c>
      <c r="DO648" s="221" t="s">
        <v>521</v>
      </c>
    </row>
    <row r="649" spans="2:119" ht="15.6" customHeight="1">
      <c r="B649" s="219" t="b">
        <f t="array" ref="B649">IF(OR(ISERROR(K649:P649)),FALSE,TRUE)</f>
        <v>1</v>
      </c>
      <c r="C649" s="43" t="b">
        <f>OR(BR649=Driver!$G$50,Data!BR450=Driver!$H$50)</f>
        <v>1</v>
      </c>
      <c r="D649" s="43" t="b">
        <f>OR(BV649=Driver!$G$51,BV649=Driver!$H$51)</f>
        <v>1</v>
      </c>
      <c r="E649" s="43" t="b">
        <f>AND(BX649&gt;Driver!$F$54,BX649&lt;Driver!$G$54)</f>
        <v>0</v>
      </c>
      <c r="F649" s="43" t="b">
        <f>CL649&gt;Driver!$F$56</f>
        <v>1</v>
      </c>
      <c r="G649" s="43" t="b">
        <f>AND(CB649&gt;Driver!$F$55,CB649&lt;Driver!$G$55)</f>
        <v>0</v>
      </c>
      <c r="H649" s="43" t="b">
        <f t="shared" ref="H649:H712" si="370">AND(B649:G649)</f>
        <v>0</v>
      </c>
      <c r="I649" s="43">
        <f t="shared" ref="I649:I712" si="371">COUNTIFS($H$9:$H$1273,TRUE,$BT$9:$BT$1273,BT649)</f>
        <v>0</v>
      </c>
      <c r="J649" s="43" t="b">
        <f t="array" ref="J649">NOT(OR(($H$9:$H$1273=TRUE)*($I$9:$I$1273&gt;0)*($BT$9:$BT$1273=BT649)*($K$9:$K$1273&gt;K649)))</f>
        <v>1</v>
      </c>
      <c r="K649" s="72">
        <f t="shared" ref="K649:K712" si="372">IFERROR(1-AVERAGE(X649:Y649),"")</f>
        <v>0.6837684746000201</v>
      </c>
      <c r="L649" s="72">
        <f t="shared" ref="L649:L712" si="373">1-X649</f>
        <v>0.69020361684051212</v>
      </c>
      <c r="M649" s="72">
        <f t="shared" ref="M649:M712" si="374">1-Y649</f>
        <v>0.67733333235952808</v>
      </c>
      <c r="N649" s="72">
        <f t="shared" ref="N649:N712" si="375">1-Z649</f>
        <v>0.50262370249762456</v>
      </c>
      <c r="O649" s="72">
        <f t="shared" ref="O649:O712" si="376">1-AA649</f>
        <v>0.63769773497146209</v>
      </c>
      <c r="P649" s="72">
        <f t="shared" ref="P649:P712" si="377">1-AB649</f>
        <v>0.89167855960949782</v>
      </c>
      <c r="Q649" s="72"/>
      <c r="R649" s="72"/>
      <c r="S649" s="72">
        <f t="shared" ref="S649:S712" si="378">1-AE649</f>
        <v>0.49513093788334261</v>
      </c>
      <c r="T649" s="72">
        <f t="shared" ref="T649:T712" si="379">1-AF649</f>
        <v>0.48586264304540538</v>
      </c>
      <c r="U649" s="72">
        <f t="shared" ref="U649:U712" si="380">1-AG649</f>
        <v>0.55896720514444009</v>
      </c>
      <c r="V649" s="72">
        <f t="shared" ref="V649:V712" si="381">1-AH649</f>
        <v>0.55082303322576753</v>
      </c>
      <c r="W649" s="72">
        <f t="shared" ref="W649:W712" si="382">1-AI649</f>
        <v>0.77805559089174403</v>
      </c>
      <c r="X649" s="72">
        <f t="shared" ref="X649:X712" si="383">ABS(AJ649-AJ$1)</f>
        <v>0.30979638315948782</v>
      </c>
      <c r="Y649" s="72">
        <f t="shared" ref="Y649:Y712" si="384">AVERAGE(Z649:AB649)</f>
        <v>0.32266666764047186</v>
      </c>
      <c r="Z649" s="72">
        <f t="shared" ref="Z649:Z712" si="385">ABS(AL649-AL$1)</f>
        <v>0.49737629750237544</v>
      </c>
      <c r="AA649" s="72">
        <f t="shared" ref="AA649:AA712" si="386">ABS(AM649-AM$1)</f>
        <v>0.36230226502853791</v>
      </c>
      <c r="AB649" s="72">
        <f t="shared" ref="AB649:AB712" si="387">ABS(AN649-AN$1)</f>
        <v>0.10832144039050223</v>
      </c>
      <c r="AC649" s="72"/>
      <c r="AD649" s="72"/>
      <c r="AE649" s="72">
        <f t="shared" ref="AE649:AE712" si="388">ABS(AQ$1-AQ649)</f>
        <v>0.50486906211665739</v>
      </c>
      <c r="AF649" s="72">
        <f t="shared" ref="AF649:AF712" si="389">ABS(AR$1-AR649)</f>
        <v>0.51413735695459462</v>
      </c>
      <c r="AG649" s="72">
        <f t="shared" ref="AG649:AG712" si="390">ABS(AS$1-AS649)</f>
        <v>0.44103279485555991</v>
      </c>
      <c r="AH649" s="72">
        <f t="shared" ref="AH649:AH712" si="391">ABS(AT$1-AT649)</f>
        <v>0.44917696677423241</v>
      </c>
      <c r="AI649" s="72">
        <f t="shared" ref="AI649:AI712" si="392">ABS(AU$1-AU649)</f>
        <v>0.22194440910825594</v>
      </c>
      <c r="AJ649" s="72">
        <f>(AV649-Driver!$K$179)/(Driver!$L$179-Driver!$K$179)</f>
        <v>0.56401579244218825</v>
      </c>
      <c r="AK649" s="72">
        <f>(AW649-Driver!$K$180)/(Driver!$L$180-Driver!$K$180)</f>
        <v>0.38647638554889741</v>
      </c>
      <c r="AL649" s="72">
        <f>(AX649-Driver!$K$181)/(Driver!$L$181-Driver!$K$181)</f>
        <v>0.59906406121545563</v>
      </c>
      <c r="AM649" s="72">
        <f>(AY649-Driver!$K$182)/(Driver!$L$182-Driver!$K$182)</f>
        <v>8.5082756068508486E-2</v>
      </c>
      <c r="AN649" s="72">
        <f>(AZ649-Driver!$K$183)/(Driver!$L$183-Driver!$K$183)</f>
        <v>0.36254084967320266</v>
      </c>
      <c r="AO649" s="72"/>
      <c r="AP649" s="72"/>
      <c r="AQ649" s="72">
        <f>(BC649-Driver!$K$188)/(Driver!$L$188-Driver!$K$188)</f>
        <v>0.11513093788334261</v>
      </c>
      <c r="AR649" s="72">
        <f>MIN((BD649-Driver!$K$189)/(Driver!$L$189-Driver!$K$189),100%)</f>
        <v>3.5862643045405436E-2</v>
      </c>
      <c r="AS649" s="72">
        <f>(BE649-Driver!$K$190)/(Driver!$L$190-Driver!$K$190)</f>
        <v>6.896720514444013E-2</v>
      </c>
      <c r="AT649" s="72">
        <f>(BF649-Driver!$K$191)/(Driver!$L$191-Driver!$K$191)</f>
        <v>6.0823033225767612E-2</v>
      </c>
      <c r="AU649" s="72">
        <f>(BG649-Driver!$K$192)/(Driver!$L$192-Driver!$K$192)</f>
        <v>2.8055590891744052E-2</v>
      </c>
      <c r="AV649" s="70">
        <f t="shared" ref="AV649:AV712" si="393">IFERROR(BM649*BJ649^1/4,"")</f>
        <v>11.870845204178536</v>
      </c>
      <c r="AW649" s="70">
        <f t="shared" ref="AW649:AW712" si="394">IFERROR(SUM(AX649:AZ649),"")</f>
        <v>39.537440922346107</v>
      </c>
      <c r="AX649" s="70">
        <f t="shared" ref="AX649:AX712" si="395">IFERROR(BH649,"")</f>
        <v>6.3915765509391012</v>
      </c>
      <c r="AY649" s="70">
        <f>IFERROR(Driver!$K$19/Data!BH649/Data!BI649*Data!BK649*Data!BL649,"")</f>
        <v>0.10416667967208321</v>
      </c>
      <c r="AZ649" s="70">
        <f t="shared" ref="AZ649:AZ712" si="396">IFERROR(BI649*BN649,"")</f>
        <v>33.041697691734925</v>
      </c>
      <c r="BA649" s="70"/>
      <c r="BB649" s="70"/>
      <c r="BC649" s="70">
        <f t="shared" ref="BC649:BC712" si="397">IFERROR(BI649*BN649*BK649/BJ649^(1/2),"")</f>
        <v>59.71921785738499</v>
      </c>
      <c r="BD649" s="70">
        <f t="shared" ref="BD649:BD712" si="398">IFERROR(BH649*BM649*BL649/BJ649/BK649,"")</f>
        <v>4.8946032487727775</v>
      </c>
      <c r="BE649" s="70">
        <f t="shared" ref="BE649:BE712" si="399">IFERROR(MIN(BI649/BQ649/BP649/BO649/BH649,$BE$1),"")</f>
        <v>6.9133290915821891E-2</v>
      </c>
      <c r="BF649" s="70">
        <f t="shared" ref="BF649:BF712" si="400">IFERROR(BJ649*BO649*BP649/BK649,"")</f>
        <v>6.8695342968582072</v>
      </c>
      <c r="BG649" s="70">
        <f t="shared" ref="BG649:BG712" si="401">IFERROR(1/BM649/BH649*BQ649,"")</f>
        <v>0.10623636464826358</v>
      </c>
      <c r="BH649" s="67">
        <f>MAX((CE649-Driver!$F$200)/(Driver!$G$200-Driver!$F$200)*$BI$1,1)</f>
        <v>6.3915765509391012</v>
      </c>
      <c r="BI649" s="67">
        <f>MAX($BI$1*(BY649-Driver!$F$201)/(Driver!$G$201-Driver!$F$201),1)</f>
        <v>7.9113924050632916</v>
      </c>
      <c r="BJ649" s="67">
        <f>(CB649-Driver!$F$206)/(Driver!$G$206-Driver!$F$206)*$BI$1</f>
        <v>7.9365079365079358</v>
      </c>
      <c r="BK649" s="67">
        <f>(CD649-Driver!$F$203)/(Driver!$G$203-Driver!$F$203)*$BI$1</f>
        <v>5.0917431192660558</v>
      </c>
      <c r="BL649" s="67">
        <f>MAX((CR649-Driver!$F$202)/(Driver!$G$202-Driver!$F$202)*$BI$1,1)</f>
        <v>5.1724137931034484</v>
      </c>
      <c r="BM649" s="67">
        <f>MAX((CH649-Driver!$F$204)/(Driver!$G$204-Driver!$F$204)*$BI$1,1)</f>
        <v>5.982905982905983</v>
      </c>
      <c r="BN649" s="67">
        <f>(CI649-Driver!$F$205)/(Driver!$G$205-Driver!$F$205)*$BI$1</f>
        <v>4.1764705882352944</v>
      </c>
      <c r="BO649" s="67">
        <f>(CK649-Driver!$F$207)/(Driver!$G$207-Driver!$F$207)*$BI$1</f>
        <v>1.7786970010341261</v>
      </c>
      <c r="BP649" s="67">
        <f>(CM649-Driver!$F$208)/(Driver!$G$208-Driver!$F$208)*$BI$1</f>
        <v>2.4777777777777779</v>
      </c>
      <c r="BQ649" s="67">
        <f>(CL649-Driver!$F$209)/(Driver!$G$209-Driver!$F$209)*$BI$1</f>
        <v>4.0625</v>
      </c>
      <c r="BR649" s="28" t="s">
        <v>155</v>
      </c>
      <c r="BS649" s="8" t="s">
        <v>164</v>
      </c>
      <c r="BT649" s="9" t="s">
        <v>710</v>
      </c>
      <c r="BU649" s="10">
        <v>185</v>
      </c>
      <c r="BV649" s="9" t="s">
        <v>158</v>
      </c>
      <c r="BW649" s="10">
        <v>185</v>
      </c>
      <c r="BX649" s="10">
        <v>183.4</v>
      </c>
      <c r="BY649" s="10">
        <v>133</v>
      </c>
      <c r="BZ649" s="10">
        <v>145</v>
      </c>
      <c r="CA649" s="10">
        <v>145</v>
      </c>
      <c r="CB649" s="10">
        <v>114</v>
      </c>
      <c r="CC649" s="10">
        <v>131</v>
      </c>
      <c r="CD649" s="10">
        <v>20.5</v>
      </c>
      <c r="CE649" s="10">
        <v>2023</v>
      </c>
      <c r="CF649" s="10">
        <v>1.1200000000000001</v>
      </c>
      <c r="CG649" s="10">
        <v>2266</v>
      </c>
      <c r="CH649" s="10">
        <v>241</v>
      </c>
      <c r="CI649" s="10">
        <v>104</v>
      </c>
      <c r="CJ649" s="10">
        <v>41</v>
      </c>
      <c r="CK649" s="10">
        <v>282</v>
      </c>
      <c r="CL649" s="10">
        <v>26</v>
      </c>
      <c r="CM649" s="10">
        <v>223</v>
      </c>
      <c r="CN649" s="10">
        <v>0.61699999999999999</v>
      </c>
      <c r="CO649" s="10">
        <v>186</v>
      </c>
      <c r="CP649" s="10">
        <v>198</v>
      </c>
      <c r="CQ649" s="10">
        <v>95</v>
      </c>
      <c r="CR649" s="10">
        <v>4</v>
      </c>
      <c r="CS649" s="10">
        <v>6</v>
      </c>
      <c r="CT649" s="9" t="s">
        <v>169</v>
      </c>
      <c r="CU649" s="9" t="s">
        <v>185</v>
      </c>
      <c r="CV649" s="10"/>
      <c r="CW649" s="10"/>
      <c r="CX649" t="str">
        <f>INDEX('Data_Price '!AG$2:AG$1266,MATCH(Data!$DN649,'Data_Price '!$AT$2:$AT$1266,0))</f>
        <v>Elan Ripstick 116 Skis Â· 2022 Â· 185 cm</v>
      </c>
      <c r="CY649" t="str">
        <f>INDEX('Data_Price '!AH$2:AH$1266,MATCH(Data!$DN649,'Data_Price '!$AT$2:$AT$1266,0))</f>
        <v>! OutdoorXL.com</v>
      </c>
      <c r="CZ649">
        <f>INDEX('Data_Price '!AI$2:AI$1266,MATCH(Data!$DN649,'Data_Price '!$AT$2:$AT$1266,0))</f>
        <v>514.95000000000005</v>
      </c>
      <c r="DA649" t="str">
        <f>INDEX('Data_Price '!AJ$2:AJ$1266,MATCH(Data!$DN649,'Data_Price '!$AT$2:$AT$1266,0))</f>
        <v>https://tinyurl.com/y9bdx5zm</v>
      </c>
      <c r="DB649" t="str">
        <f>INDEX('Data_Price '!AK$2:AK$1266,MATCH(Data!$DN649,'Data_Price '!$AT$2:$AT$1266,0))</f>
        <v>Elan Ripstick 116 Flat Ski 2020-2021 | ORANGE / 185</v>
      </c>
      <c r="DC649" t="str">
        <f>INDEX('Data_Price '!AL$2:AL$1266,MATCH(Data!$DN649,'Data_Price '!$AT$2:$AT$1266,0))</f>
        <v>Ski Pro  - Snow Ski &amp; Snowboard</v>
      </c>
      <c r="DD649">
        <f>INDEX('Data_Price '!AM$2:AM$1266,MATCH(Data!$DN649,'Data_Price '!$AT$2:$AT$1266,0))</f>
        <v>549.95000000000005</v>
      </c>
      <c r="DE649" t="str">
        <f>INDEX('Data_Price '!AN$2:AN$1266,MATCH(Data!$DN649,'Data_Price '!$AT$2:$AT$1266,0))</f>
        <v>https://tinyurl.com/y9k9zako</v>
      </c>
      <c r="DF649" t="str">
        <f>INDEX('Data_Price '!AO$2:AO$1266,MATCH(Data!$DN649,'Data_Price '!$AT$2:$AT$1266,0))</f>
        <v>Elan Ripstick 116 Skis Â· 2022 Â· 185 cm</v>
      </c>
      <c r="DG649" t="str">
        <f>INDEX('Data_Price '!AP$2:AP$1266,MATCH(Data!$DN649,'Data_Price '!$AT$2:$AT$1266,0))</f>
        <v>Snowinn.com</v>
      </c>
      <c r="DH649">
        <f>INDEX('Data_Price '!AQ$2:AQ$1266,MATCH(Data!$DN649,'Data_Price '!$AT$2:$AT$1266,0))</f>
        <v>549.99</v>
      </c>
      <c r="DI649" t="str">
        <f>INDEX('Data_Price '!AR$2:AR$1266,MATCH(Data!$DN649,'Data_Price '!$AT$2:$AT$1266,0))</f>
        <v>https://tinyurl.com/ybmzfa3v</v>
      </c>
      <c r="DJ649" s="89" t="str">
        <f t="shared" ref="DJ649:DJ712" si="402">DA649</f>
        <v>https://tinyurl.com/y9bdx5zm</v>
      </c>
      <c r="DK649" s="89" t="str">
        <f t="shared" ref="DK649:DK712" si="403">DE649</f>
        <v>https://tinyurl.com/y9k9zako</v>
      </c>
      <c r="DL649" s="89" t="str">
        <f t="shared" ref="DL649:DL712" si="404">DI649</f>
        <v>https://tinyurl.com/ybmzfa3v</v>
      </c>
      <c r="DM649" s="219" t="str">
        <f t="shared" ref="DM649:DM712" si="405">IF(LEFT(BT649,1)=" ",RIGHT(BT649,LEN(BT649)-1),BT649)</f>
        <v>Ripstick 116</v>
      </c>
      <c r="DN649" s="89" t="str">
        <f t="shared" ref="DN649:DN712" si="406">_xlfn.CONCAT(BS649,DM649,BU649,BV649)</f>
        <v xml:space="preserve"> ElanRipstick 116185 Unisex</v>
      </c>
      <c r="DO649" s="221"/>
    </row>
    <row r="650" spans="2:119" ht="15.6" customHeight="1">
      <c r="B650" s="219" t="b">
        <f t="array" ref="B650">IF(OR(ISERROR(K650:P650)),FALSE,TRUE)</f>
        <v>1</v>
      </c>
      <c r="C650" s="43" t="b">
        <f>OR(BR650=Driver!$G$50,Data!BR732=Driver!$H$50)</f>
        <v>1</v>
      </c>
      <c r="D650" s="43" t="b">
        <f>OR(BV650=Driver!$G$51,BV650=Driver!$H$51)</f>
        <v>0</v>
      </c>
      <c r="E650" s="43" t="b">
        <f>AND(BX650&gt;Driver!$F$54,BX650&lt;Driver!$G$54)</f>
        <v>0</v>
      </c>
      <c r="F650" s="43" t="b">
        <f>CL650&gt;Driver!$F$56</f>
        <v>1</v>
      </c>
      <c r="G650" s="43" t="b">
        <f>AND(CB650&gt;Driver!$F$55,CB650&lt;Driver!$G$55)</f>
        <v>0</v>
      </c>
      <c r="H650" s="43" t="b">
        <f t="shared" si="370"/>
        <v>0</v>
      </c>
      <c r="I650" s="43">
        <f t="shared" si="371"/>
        <v>0</v>
      </c>
      <c r="J650" s="43" t="b">
        <f t="array" ref="J650">NOT(OR(($H$9:$H$1273=TRUE)*($I$9:$I$1273&gt;0)*($BT$9:$BT$1273=BT650)*($K$9:$K$1273&gt;K650)))</f>
        <v>1</v>
      </c>
      <c r="K650" s="72">
        <f t="shared" si="372"/>
        <v>0.82574774525309613</v>
      </c>
      <c r="L650" s="72">
        <f t="shared" si="373"/>
        <v>0.81733002267282284</v>
      </c>
      <c r="M650" s="72">
        <f t="shared" si="374"/>
        <v>0.83416546783336942</v>
      </c>
      <c r="N650" s="72">
        <f t="shared" si="375"/>
        <v>0.89597094843451197</v>
      </c>
      <c r="O650" s="72">
        <f t="shared" si="376"/>
        <v>0.61826120421757791</v>
      </c>
      <c r="P650" s="72">
        <f t="shared" si="377"/>
        <v>0.9882642508480185</v>
      </c>
      <c r="Q650" s="72"/>
      <c r="R650" s="72"/>
      <c r="S650" s="72">
        <f t="shared" si="378"/>
        <v>0.40703570753825813</v>
      </c>
      <c r="T650" s="72">
        <f t="shared" si="379"/>
        <v>0.4975767313054652</v>
      </c>
      <c r="U650" s="72">
        <f t="shared" si="380"/>
        <v>0.95371188844346133</v>
      </c>
      <c r="V650" s="72">
        <f t="shared" si="381"/>
        <v>0.52879286166412087</v>
      </c>
      <c r="W650" s="72">
        <f t="shared" si="382"/>
        <v>0.92388736041430652</v>
      </c>
      <c r="X650" s="72">
        <f t="shared" si="383"/>
        <v>0.1826699773271771</v>
      </c>
      <c r="Y650" s="72">
        <f t="shared" si="384"/>
        <v>0.16583453216663055</v>
      </c>
      <c r="Z650" s="72">
        <f t="shared" si="385"/>
        <v>0.10402905156548807</v>
      </c>
      <c r="AA650" s="72">
        <f t="shared" si="386"/>
        <v>0.38173879578242204</v>
      </c>
      <c r="AB650" s="72">
        <f t="shared" si="387"/>
        <v>1.1735749151981473E-2</v>
      </c>
      <c r="AC650" s="72"/>
      <c r="AD650" s="72"/>
      <c r="AE650" s="72">
        <f t="shared" si="388"/>
        <v>0.59296429246174187</v>
      </c>
      <c r="AF650" s="72">
        <f t="shared" si="389"/>
        <v>0.5024232686945348</v>
      </c>
      <c r="AG650" s="72">
        <f t="shared" si="390"/>
        <v>4.6288111556538669E-2</v>
      </c>
      <c r="AH650" s="72">
        <f t="shared" si="391"/>
        <v>0.47120713833587913</v>
      </c>
      <c r="AI650" s="72">
        <f t="shared" si="392"/>
        <v>7.6112639585693503E-2</v>
      </c>
      <c r="AJ650" s="72">
        <f>(AV650-Driver!$K$179)/(Driver!$L$179-Driver!$K$179)</f>
        <v>7.154943195552331E-2</v>
      </c>
      <c r="AK650" s="72">
        <f>(AW650-Driver!$K$180)/(Driver!$L$180-Driver!$K$180)</f>
        <v>0.23763571303911876</v>
      </c>
      <c r="AL650" s="72">
        <f>(AX650-Driver!$K$181)/(Driver!$L$181-Driver!$K$181)</f>
        <v>0.20571681527856825</v>
      </c>
      <c r="AM650" s="72">
        <f>(AY650-Driver!$K$182)/(Driver!$L$182-Driver!$K$182)</f>
        <v>6.5646225314624343E-2</v>
      </c>
      <c r="AN650" s="72">
        <f>(AZ650-Driver!$K$183)/(Driver!$L$183-Driver!$K$183)</f>
        <v>0.24248366013071895</v>
      </c>
      <c r="AO650" s="72"/>
      <c r="AP650" s="72"/>
      <c r="AQ650" s="72">
        <f>(BC650-Driver!$K$188)/(Driver!$L$188-Driver!$K$188)</f>
        <v>2.7035707538258076E-2</v>
      </c>
      <c r="AR650" s="72">
        <f>MIN((BD650-Driver!$K$189)/(Driver!$L$189-Driver!$K$189),100%)</f>
        <v>4.7576731305465282E-2</v>
      </c>
      <c r="AS650" s="72">
        <f>(BE650-Driver!$K$190)/(Driver!$L$190-Driver!$K$190)</f>
        <v>0.55628811155653868</v>
      </c>
      <c r="AT650" s="72">
        <f>(BF650-Driver!$K$191)/(Driver!$L$191-Driver!$K$191)</f>
        <v>3.8792861664120867E-2</v>
      </c>
      <c r="AU650" s="72">
        <f>(BG650-Driver!$K$192)/(Driver!$L$192-Driver!$K$192)</f>
        <v>0.1738873604143065</v>
      </c>
      <c r="AV650" s="70">
        <f t="shared" si="393"/>
        <v>1.5059015059015057</v>
      </c>
      <c r="AW650" s="70">
        <f t="shared" si="394"/>
        <v>25.031598523743956</v>
      </c>
      <c r="AX650" s="70">
        <f t="shared" si="395"/>
        <v>2.8514513375071142</v>
      </c>
      <c r="AY650" s="70">
        <f>IFERROR(Driver!$K$19/Data!BH650/Data!BI650*Data!BK650*Data!BL650,"")</f>
        <v>8.0370566728278151E-2</v>
      </c>
      <c r="AZ650" s="70">
        <f t="shared" si="396"/>
        <v>22.099776619508564</v>
      </c>
      <c r="BA650" s="70"/>
      <c r="BB650" s="70"/>
      <c r="BC650" s="70">
        <f t="shared" si="397"/>
        <v>14.023609449284061</v>
      </c>
      <c r="BD650" s="70">
        <f t="shared" si="398"/>
        <v>5.9312793036518823</v>
      </c>
      <c r="BE650" s="70">
        <f t="shared" si="399"/>
        <v>0.55636726476324694</v>
      </c>
      <c r="BF650" s="70">
        <f t="shared" si="400"/>
        <v>4.3813811896848396</v>
      </c>
      <c r="BG650" s="70">
        <f t="shared" si="401"/>
        <v>0.65844847467227707</v>
      </c>
      <c r="BH650" s="67">
        <f>MAX((CE650-Driver!$F$200)/(Driver!$G$200-Driver!$F$200)*$BI$1,1)</f>
        <v>2.8514513375071142</v>
      </c>
      <c r="BI650" s="67">
        <f>MAX($BI$1*(BY650-Driver!$F$201)/(Driver!$G$201-Driver!$F$201),1)</f>
        <v>6.7088607594936711</v>
      </c>
      <c r="BJ650" s="67">
        <f>(CB650-Driver!$F$206)/(Driver!$G$206-Driver!$F$206)*$BI$1</f>
        <v>3.8095238095238093</v>
      </c>
      <c r="BK650" s="67">
        <f>(CD650-Driver!$F$203)/(Driver!$G$203-Driver!$F$203)*$BI$1</f>
        <v>1.238532110091743</v>
      </c>
      <c r="BL650" s="67">
        <f>MAX((CR650-Driver!$F$202)/(Driver!$G$202-Driver!$F$202)*$BI$1,1)</f>
        <v>6.2068965517241379</v>
      </c>
      <c r="BM650" s="67">
        <f>MAX((CH650-Driver!$F$204)/(Driver!$G$204-Driver!$F$204)*$BI$1,1)</f>
        <v>1.5811965811965811</v>
      </c>
      <c r="BN650" s="67">
        <f>(CI650-Driver!$F$205)/(Driver!$G$205-Driver!$F$205)*$BI$1</f>
        <v>3.2941176470588234</v>
      </c>
      <c r="BO650" s="67">
        <f>(CK650-Driver!$F$207)/(Driver!$G$207-Driver!$F$207)*$BI$1</f>
        <v>0.79627714581178899</v>
      </c>
      <c r="BP650" s="67">
        <f>(CM650-Driver!$F$208)/(Driver!$G$208-Driver!$F$208)*$BI$1</f>
        <v>1.7888888888888888</v>
      </c>
      <c r="BQ650" s="67">
        <f>(CL650-Driver!$F$209)/(Driver!$G$209-Driver!$F$209)*$BI$1</f>
        <v>2.96875</v>
      </c>
      <c r="BR650" s="28" t="s">
        <v>155</v>
      </c>
      <c r="BS650" s="8" t="s">
        <v>262</v>
      </c>
      <c r="BT650" s="9" t="s">
        <v>485</v>
      </c>
      <c r="BU650" s="10">
        <v>149</v>
      </c>
      <c r="BV650" s="9" t="s">
        <v>163</v>
      </c>
      <c r="BW650" s="10">
        <v>149</v>
      </c>
      <c r="BX650" s="10">
        <v>149.1</v>
      </c>
      <c r="BY650" s="10">
        <v>114</v>
      </c>
      <c r="BZ650" s="10">
        <v>125</v>
      </c>
      <c r="CA650" s="10">
        <v>125</v>
      </c>
      <c r="CB650" s="10">
        <v>88</v>
      </c>
      <c r="CC650" s="10">
        <v>111</v>
      </c>
      <c r="CD650" s="10">
        <v>12.1</v>
      </c>
      <c r="CE650" s="10">
        <v>1401</v>
      </c>
      <c r="CF650" s="10">
        <v>1.07</v>
      </c>
      <c r="CG650" s="10">
        <v>1493</v>
      </c>
      <c r="CH650" s="10">
        <v>138</v>
      </c>
      <c r="CI650" s="10">
        <v>89</v>
      </c>
      <c r="CJ650" s="10">
        <v>43</v>
      </c>
      <c r="CK650" s="10">
        <v>187</v>
      </c>
      <c r="CL650" s="10">
        <v>19</v>
      </c>
      <c r="CM650" s="10">
        <v>161</v>
      </c>
      <c r="CN650" s="10">
        <v>0.43099999999999999</v>
      </c>
      <c r="CO650" s="10">
        <v>144</v>
      </c>
      <c r="CP650" s="10">
        <v>93</v>
      </c>
      <c r="CQ650" s="10">
        <v>43</v>
      </c>
      <c r="CR650" s="10">
        <v>7</v>
      </c>
      <c r="CS650" s="10">
        <v>10.1</v>
      </c>
      <c r="CT650" s="9" t="s">
        <v>188</v>
      </c>
      <c r="CU650" s="9" t="s">
        <v>185</v>
      </c>
      <c r="CV650" s="10"/>
      <c r="CW650" s="10"/>
      <c r="CX650" t="e">
        <f>INDEX('Data_Price '!AG$2:AG$1266,MATCH(Data!$DN650,'Data_Price '!$AT$2:$AT$1266,0))</f>
        <v>#N/A</v>
      </c>
      <c r="CY650" t="e">
        <f>INDEX('Data_Price '!AH$2:AH$1266,MATCH(Data!$DN650,'Data_Price '!$AT$2:$AT$1266,0))</f>
        <v>#N/A</v>
      </c>
      <c r="CZ650" t="e">
        <f>INDEX('Data_Price '!AI$2:AI$1266,MATCH(Data!$DN650,'Data_Price '!$AT$2:$AT$1266,0))</f>
        <v>#N/A</v>
      </c>
      <c r="DA650" t="e">
        <f>INDEX('Data_Price '!AJ$2:AJ$1266,MATCH(Data!$DN650,'Data_Price '!$AT$2:$AT$1266,0))</f>
        <v>#N/A</v>
      </c>
      <c r="DB650" t="e">
        <f>INDEX('Data_Price '!AK$2:AK$1266,MATCH(Data!$DN650,'Data_Price '!$AT$2:$AT$1266,0))</f>
        <v>#N/A</v>
      </c>
      <c r="DC650" t="e">
        <f>INDEX('Data_Price '!AL$2:AL$1266,MATCH(Data!$DN650,'Data_Price '!$AT$2:$AT$1266,0))</f>
        <v>#N/A</v>
      </c>
      <c r="DD650" t="e">
        <f>INDEX('Data_Price '!AM$2:AM$1266,MATCH(Data!$DN650,'Data_Price '!$AT$2:$AT$1266,0))</f>
        <v>#N/A</v>
      </c>
      <c r="DE650" t="e">
        <f>INDEX('Data_Price '!AN$2:AN$1266,MATCH(Data!$DN650,'Data_Price '!$AT$2:$AT$1266,0))</f>
        <v>#N/A</v>
      </c>
      <c r="DF650" t="e">
        <f>INDEX('Data_Price '!AO$2:AO$1266,MATCH(Data!$DN650,'Data_Price '!$AT$2:$AT$1266,0))</f>
        <v>#N/A</v>
      </c>
      <c r="DG650" t="e">
        <f>INDEX('Data_Price '!AP$2:AP$1266,MATCH(Data!$DN650,'Data_Price '!$AT$2:$AT$1266,0))</f>
        <v>#N/A</v>
      </c>
      <c r="DH650" t="e">
        <f>INDEX('Data_Price '!AQ$2:AQ$1266,MATCH(Data!$DN650,'Data_Price '!$AT$2:$AT$1266,0))</f>
        <v>#N/A</v>
      </c>
      <c r="DI650" t="e">
        <f>INDEX('Data_Price '!AR$2:AR$1266,MATCH(Data!$DN650,'Data_Price '!$AT$2:$AT$1266,0))</f>
        <v>#N/A</v>
      </c>
      <c r="DJ650" s="89" t="e">
        <f t="shared" si="402"/>
        <v>#N/A</v>
      </c>
      <c r="DK650" s="89" t="e">
        <f t="shared" si="403"/>
        <v>#N/A</v>
      </c>
      <c r="DL650" s="89" t="e">
        <f t="shared" si="404"/>
        <v>#N/A</v>
      </c>
      <c r="DM650" s="219" t="str">
        <f t="shared" si="405"/>
        <v>Mindbender 88 Ti Alliance</v>
      </c>
      <c r="DN650" s="89" t="str">
        <f t="shared" si="406"/>
        <v xml:space="preserve"> K2Mindbender 88 Ti Alliance149 Women's</v>
      </c>
      <c r="DO650" s="221"/>
    </row>
    <row r="651" spans="2:119" ht="15.6" customHeight="1">
      <c r="B651" s="219" t="b">
        <f t="array" ref="B651">IF(OR(ISERROR(K651:P651)),FALSE,TRUE)</f>
        <v>1</v>
      </c>
      <c r="C651" s="43" t="b">
        <f>OR(BR651=Driver!$G$50,Data!BR999=Driver!$H$50)</f>
        <v>1</v>
      </c>
      <c r="D651" s="43" t="b">
        <f>OR(BV651=Driver!$G$51,BV651=Driver!$H$51)</f>
        <v>1</v>
      </c>
      <c r="E651" s="43" t="b">
        <f>AND(BX651&gt;Driver!$F$54,BX651&lt;Driver!$G$54)</f>
        <v>0</v>
      </c>
      <c r="F651" s="43" t="b">
        <f>CL651&gt;Driver!$F$56</f>
        <v>1</v>
      </c>
      <c r="G651" s="43" t="b">
        <f>AND(CB651&gt;Driver!$F$55,CB651&lt;Driver!$G$55)</f>
        <v>0</v>
      </c>
      <c r="H651" s="43" t="b">
        <f t="shared" si="370"/>
        <v>0</v>
      </c>
      <c r="I651" s="43">
        <f t="shared" si="371"/>
        <v>0</v>
      </c>
      <c r="J651" s="43" t="b">
        <f t="array" ref="J651">NOT(OR(($H$9:$H$1273=TRUE)*($I$9:$I$1273&gt;0)*($BT$9:$BT$1273=BT651)*($K$9:$K$1273&gt;K651)))</f>
        <v>1</v>
      </c>
      <c r="K651" s="72">
        <f t="shared" si="372"/>
        <v>0.77896020274925526</v>
      </c>
      <c r="L651" s="72">
        <f t="shared" si="373"/>
        <v>0.79605856992928892</v>
      </c>
      <c r="M651" s="72">
        <f t="shared" si="374"/>
        <v>0.76186183556922171</v>
      </c>
      <c r="N651" s="72">
        <f t="shared" si="375"/>
        <v>0.7619040414592384</v>
      </c>
      <c r="O651" s="72">
        <f t="shared" si="376"/>
        <v>0.64064597257034284</v>
      </c>
      <c r="P651" s="72">
        <f t="shared" si="377"/>
        <v>0.8830354926780839</v>
      </c>
      <c r="Q651" s="72"/>
      <c r="R651" s="72"/>
      <c r="S651" s="72">
        <f t="shared" si="378"/>
        <v>0.41927628824274421</v>
      </c>
      <c r="T651" s="72">
        <f t="shared" si="379"/>
        <v>0.63573404719278381</v>
      </c>
      <c r="U651" s="72">
        <f t="shared" si="380"/>
        <v>0.51</v>
      </c>
      <c r="V651" s="72">
        <f t="shared" si="381"/>
        <v>0.49193462037598445</v>
      </c>
      <c r="W651" s="72">
        <f t="shared" si="382"/>
        <v>0.77287868162692841</v>
      </c>
      <c r="X651" s="72">
        <f t="shared" si="383"/>
        <v>0.20394143007071108</v>
      </c>
      <c r="Y651" s="72">
        <f t="shared" si="384"/>
        <v>0.23813816443077829</v>
      </c>
      <c r="Z651" s="72">
        <f t="shared" si="385"/>
        <v>0.23809595854076154</v>
      </c>
      <c r="AA651" s="72">
        <f t="shared" si="386"/>
        <v>0.35935402742965716</v>
      </c>
      <c r="AB651" s="72">
        <f t="shared" si="387"/>
        <v>0.11696450732191613</v>
      </c>
      <c r="AC651" s="72"/>
      <c r="AD651" s="72"/>
      <c r="AE651" s="72">
        <f t="shared" si="388"/>
        <v>0.58072371175725579</v>
      </c>
      <c r="AF651" s="72">
        <f t="shared" si="389"/>
        <v>0.36426595280721619</v>
      </c>
      <c r="AG651" s="72">
        <f t="shared" si="390"/>
        <v>0.49</v>
      </c>
      <c r="AH651" s="72">
        <f t="shared" si="391"/>
        <v>0.50806537962401555</v>
      </c>
      <c r="AI651" s="72">
        <f t="shared" si="392"/>
        <v>0.22712131837307153</v>
      </c>
      <c r="AJ651" s="72">
        <f>(AV651-Driver!$K$179)/(Driver!$L$179-Driver!$K$179)</f>
        <v>5.0277979211989357E-2</v>
      </c>
      <c r="AK651" s="72">
        <f>(AW651-Driver!$K$180)/(Driver!$L$180-Driver!$K$180)</f>
        <v>0.15189223908989652</v>
      </c>
      <c r="AL651" s="72">
        <f>(AX651-Driver!$K$181)/(Driver!$L$181-Driver!$K$181)</f>
        <v>0.33978372225384174</v>
      </c>
      <c r="AM651" s="72">
        <f>(AY651-Driver!$K$182)/(Driver!$L$182-Driver!$K$182)</f>
        <v>8.8030993667389187E-2</v>
      </c>
      <c r="AN651" s="72">
        <f>(AZ651-Driver!$K$183)/(Driver!$L$183-Driver!$K$183)</f>
        <v>0.1372549019607843</v>
      </c>
      <c r="AO651" s="72"/>
      <c r="AP651" s="72"/>
      <c r="AQ651" s="72">
        <f>(BC651-Driver!$K$188)/(Driver!$L$188-Driver!$K$188)</f>
        <v>3.9276288242744185E-2</v>
      </c>
      <c r="AR651" s="72">
        <f>MIN((BD651-Driver!$K$189)/(Driver!$L$189-Driver!$K$189),100%)</f>
        <v>0.18573404719278386</v>
      </c>
      <c r="AS651" s="72">
        <f>(BE651-Driver!$K$190)/(Driver!$L$190-Driver!$K$190)</f>
        <v>1</v>
      </c>
      <c r="AT651" s="72">
        <f>(BF651-Driver!$K$191)/(Driver!$L$191-Driver!$K$191)</f>
        <v>1.9346203759844417E-3</v>
      </c>
      <c r="AU651" s="72">
        <f>(BG651-Driver!$K$192)/(Driver!$L$192-Driver!$K$192)</f>
        <v>2.2878681626928469E-2</v>
      </c>
      <c r="AV651" s="70">
        <f t="shared" si="393"/>
        <v>1.0582010582010581</v>
      </c>
      <c r="AW651" s="70">
        <f t="shared" si="394"/>
        <v>16.675137222923428</v>
      </c>
      <c r="AX651" s="70">
        <f t="shared" si="395"/>
        <v>4.0580535002845757</v>
      </c>
      <c r="AY651" s="70">
        <f>IFERROR(Driver!$K$19/Data!BH651/Data!BI651*Data!BK651*Data!BL651,"")</f>
        <v>0.10777620216231042</v>
      </c>
      <c r="AZ651" s="70">
        <f t="shared" si="396"/>
        <v>12.509307520476543</v>
      </c>
      <c r="BA651" s="70"/>
      <c r="BB651" s="70"/>
      <c r="BC651" s="70">
        <f t="shared" si="397"/>
        <v>20.372883755837517</v>
      </c>
      <c r="BD651" s="70">
        <f t="shared" si="398"/>
        <v>18.157956959401421</v>
      </c>
      <c r="BE651" s="70">
        <f t="shared" si="399"/>
        <v>1</v>
      </c>
      <c r="BF651" s="70">
        <f t="shared" si="400"/>
        <v>0.21850177999007739</v>
      </c>
      <c r="BG651" s="70">
        <f t="shared" si="401"/>
        <v>8.6633283660589061E-2</v>
      </c>
      <c r="BH651" s="67">
        <f>MAX((CE651-Driver!$F$200)/(Driver!$G$200-Driver!$F$200)*$BI$1,1)</f>
        <v>4.0580535002845757</v>
      </c>
      <c r="BI651" s="67">
        <f>MAX($BI$1*(BY651-Driver!$F$201)/(Driver!$G$201-Driver!$F$201),1)</f>
        <v>8.8607594936708853</v>
      </c>
      <c r="BJ651" s="67">
        <f>(CB651-Driver!$F$206)/(Driver!$G$206-Driver!$F$206)*$BI$1</f>
        <v>1.9047619047619047</v>
      </c>
      <c r="BK651" s="67">
        <f>(CD651-Driver!$F$203)/(Driver!$G$203-Driver!$F$203)*$BI$1</f>
        <v>2.2477064220183491</v>
      </c>
      <c r="BL651" s="67">
        <f>MAX((CR651-Driver!$F$202)/(Driver!$G$202-Driver!$F$202)*$BI$1,1)</f>
        <v>8.6206896551724128</v>
      </c>
      <c r="BM651" s="67">
        <f>MAX((CH651-Driver!$F$204)/(Driver!$G$204-Driver!$F$204)*$BI$1,1)</f>
        <v>2.2222222222222223</v>
      </c>
      <c r="BN651" s="67">
        <f>(CI651-Driver!$F$205)/(Driver!$G$205-Driver!$F$205)*$BI$1</f>
        <v>1.4117647058823528</v>
      </c>
      <c r="BO651" s="67">
        <f>(CK651-Driver!$F$207)/(Driver!$G$207-Driver!$F$207)*$BI$1</f>
        <v>0.34126163391933811</v>
      </c>
      <c r="BP651" s="67">
        <f>(CM651-Driver!$F$208)/(Driver!$G$208-Driver!$F$208)*$BI$1</f>
        <v>0.75555555555555554</v>
      </c>
      <c r="BQ651" s="67">
        <f>(CL651-Driver!$F$209)/(Driver!$G$209-Driver!$F$209)*$BI$1</f>
        <v>0.78125</v>
      </c>
      <c r="BR651" s="28" t="s">
        <v>155</v>
      </c>
      <c r="BS651" s="8" t="s">
        <v>172</v>
      </c>
      <c r="BT651" s="9" t="s">
        <v>711</v>
      </c>
      <c r="BU651" s="10">
        <v>168</v>
      </c>
      <c r="BV651" s="9" t="s">
        <v>158</v>
      </c>
      <c r="BW651" s="10">
        <v>168</v>
      </c>
      <c r="BX651" s="10">
        <v>168.6</v>
      </c>
      <c r="BY651" s="10">
        <v>148</v>
      </c>
      <c r="BZ651" s="10">
        <v>154</v>
      </c>
      <c r="CA651" s="10">
        <v>123</v>
      </c>
      <c r="CB651" s="10">
        <v>76</v>
      </c>
      <c r="CC651" s="10">
        <v>109</v>
      </c>
      <c r="CD651" s="10">
        <v>14.3</v>
      </c>
      <c r="CE651" s="10">
        <v>1613</v>
      </c>
      <c r="CF651" s="10">
        <v>0.95</v>
      </c>
      <c r="CG651" s="10">
        <v>1537</v>
      </c>
      <c r="CH651" s="10">
        <v>153</v>
      </c>
      <c r="CI651" s="10">
        <v>57</v>
      </c>
      <c r="CJ651" s="10">
        <v>35</v>
      </c>
      <c r="CK651" s="10">
        <v>143</v>
      </c>
      <c r="CL651" s="10">
        <v>5</v>
      </c>
      <c r="CM651" s="10">
        <v>68</v>
      </c>
      <c r="CN651" s="10">
        <v>0.155</v>
      </c>
      <c r="CO651" s="10">
        <v>69</v>
      </c>
      <c r="CP651" s="10">
        <v>82</v>
      </c>
      <c r="CQ651" s="10">
        <v>74</v>
      </c>
      <c r="CR651" s="10">
        <v>14</v>
      </c>
      <c r="CS651" s="10">
        <v>8.6999999999999993</v>
      </c>
      <c r="CT651" s="9" t="s">
        <v>349</v>
      </c>
      <c r="CU651" s="10"/>
      <c r="CV651" s="10"/>
      <c r="CW651" s="10"/>
      <c r="CX651" t="str">
        <f>INDEX('Data_Price '!AG$2:AG$1266,MATCH(Data!$DN651,'Data_Price '!$AT$2:$AT$1266,0))</f>
        <v>Rossignol Experience 76 Skis w/ Look Xpress 10 GW Bindings</v>
      </c>
      <c r="CY651" t="str">
        <f>INDEX('Data_Price '!AH$2:AH$1266,MATCH(Data!$DN651,'Data_Price '!$AT$2:$AT$1266,0))</f>
        <v>The-House.com</v>
      </c>
      <c r="CZ651">
        <f>INDEX('Data_Price '!AI$2:AI$1266,MATCH(Data!$DN651,'Data_Price '!$AT$2:$AT$1266,0))</f>
        <v>319.95</v>
      </c>
      <c r="DA651" t="str">
        <f>INDEX('Data_Price '!AJ$2:AJ$1266,MATCH(Data!$DN651,'Data_Price '!$AT$2:$AT$1266,0))</f>
        <v>https://tinyurl.com/yd7mg8jp</v>
      </c>
      <c r="DB651" t="str">
        <f>INDEX('Data_Price '!AK$2:AK$1266,MATCH(Data!$DN651,'Data_Price '!$AT$2:$AT$1266,0))</f>
        <v>Rossignol Experience 74 Blue 168 Ski Men</v>
      </c>
      <c r="DC651" t="str">
        <f>INDEX('Data_Price '!AL$2:AL$1266,MATCH(Data!$DN651,'Data_Price '!$AT$2:$AT$1266,0))</f>
        <v>! OutdoorXL.com</v>
      </c>
      <c r="DD651">
        <f>INDEX('Data_Price '!AM$2:AM$1266,MATCH(Data!$DN651,'Data_Price '!$AT$2:$AT$1266,0))</f>
        <v>234.95</v>
      </c>
      <c r="DE651" t="str">
        <f>INDEX('Data_Price '!AN$2:AN$1266,MATCH(Data!$DN651,'Data_Price '!$AT$2:$AT$1266,0))</f>
        <v>https://tinyurl.com/y8p6ujmw</v>
      </c>
      <c r="DF651" t="str">
        <f>INDEX('Data_Price '!AO$2:AO$1266,MATCH(Data!$DN651,'Data_Price '!$AT$2:$AT$1266,0))</f>
        <v xml:space="preserve"> Rossignol Experience 77 168 cm Mens Downhill Ski Combo</v>
      </c>
      <c r="DG651" t="str">
        <f>INDEX('Data_Price '!AP$2:AP$1266,MATCH(Data!$DN651,'Data_Price '!$AT$2:$AT$1266,0))</f>
        <v>Play It Again Sports</v>
      </c>
      <c r="DH651">
        <f>INDEX('Data_Price '!AQ$2:AQ$1266,MATCH(Data!$DN651,'Data_Price '!$AT$2:$AT$1266,0))</f>
        <v>299.99</v>
      </c>
      <c r="DI651" t="str">
        <f>INDEX('Data_Price '!AR$2:AR$1266,MATCH(Data!$DN651,'Data_Price '!$AT$2:$AT$1266,0))</f>
        <v>https://tinyurl.com/yazqbs5c</v>
      </c>
      <c r="DJ651" s="89" t="str">
        <f t="shared" si="402"/>
        <v>https://tinyurl.com/yd7mg8jp</v>
      </c>
      <c r="DK651" s="89" t="str">
        <f t="shared" si="403"/>
        <v>https://tinyurl.com/y8p6ujmw</v>
      </c>
      <c r="DL651" s="89" t="str">
        <f t="shared" si="404"/>
        <v>https://tinyurl.com/yazqbs5c</v>
      </c>
      <c r="DM651" s="219" t="str">
        <f t="shared" si="405"/>
        <v>Experience 76</v>
      </c>
      <c r="DN651" s="89" t="str">
        <f t="shared" si="406"/>
        <v xml:space="preserve"> RossignolExperience 76168 Unisex</v>
      </c>
      <c r="DO651" s="221" t="s">
        <v>712</v>
      </c>
    </row>
    <row r="652" spans="2:119" ht="15.6" customHeight="1">
      <c r="B652" s="219" t="b">
        <f t="array" ref="B652">IF(OR(ISERROR(K652:P652)),FALSE,TRUE)</f>
        <v>1</v>
      </c>
      <c r="C652" s="43" t="b">
        <f>OR(BR652=Driver!$G$50,Data!BR1014=Driver!$H$50)</f>
        <v>1</v>
      </c>
      <c r="D652" s="43" t="b">
        <f>OR(BV652=Driver!$G$51,BV652=Driver!$H$51)</f>
        <v>1</v>
      </c>
      <c r="E652" s="43" t="b">
        <f>AND(BX652&gt;Driver!$F$54,BX652&lt;Driver!$G$54)</f>
        <v>1</v>
      </c>
      <c r="F652" s="43" t="b">
        <f>CL652&gt;Driver!$F$56</f>
        <v>1</v>
      </c>
      <c r="G652" s="43" t="b">
        <f>AND(CB652&gt;Driver!$F$55,CB652&lt;Driver!$G$55)</f>
        <v>0</v>
      </c>
      <c r="H652" s="43" t="b">
        <f t="shared" si="370"/>
        <v>0</v>
      </c>
      <c r="I652" s="43">
        <f t="shared" si="371"/>
        <v>0</v>
      </c>
      <c r="J652" s="43" t="b">
        <f t="array" ref="J652">NOT(OR(($H$9:$H$1273=TRUE)*($I$9:$I$1273&gt;0)*($BT$9:$BT$1273=BT652)*($K$9:$K$1273&gt;K652)))</f>
        <v>1</v>
      </c>
      <c r="K652" s="72">
        <f t="shared" si="372"/>
        <v>0.79620356154102245</v>
      </c>
      <c r="L652" s="72">
        <f t="shared" si="373"/>
        <v>0.82554853850555188</v>
      </c>
      <c r="M652" s="72">
        <f t="shared" si="374"/>
        <v>0.76685858457649292</v>
      </c>
      <c r="N652" s="72">
        <f t="shared" si="375"/>
        <v>0.70498884510181092</v>
      </c>
      <c r="O652" s="72">
        <f t="shared" si="376"/>
        <v>0.60041906300840764</v>
      </c>
      <c r="P652" s="72">
        <f t="shared" si="377"/>
        <v>0.99516784561926031</v>
      </c>
      <c r="Q652" s="72"/>
      <c r="R652" s="72"/>
      <c r="S652" s="72">
        <f t="shared" si="378"/>
        <v>0.42298725195040776</v>
      </c>
      <c r="T652" s="72">
        <f t="shared" si="379"/>
        <v>0.68139923830028282</v>
      </c>
      <c r="U652" s="72">
        <f t="shared" si="380"/>
        <v>0.78767641448929993</v>
      </c>
      <c r="V652" s="72">
        <f t="shared" si="381"/>
        <v>0.52286101047270184</v>
      </c>
      <c r="W652" s="72">
        <f t="shared" si="382"/>
        <v>0.79481489867542177</v>
      </c>
      <c r="X652" s="72">
        <f t="shared" si="383"/>
        <v>0.17445146149444807</v>
      </c>
      <c r="Y652" s="72">
        <f t="shared" si="384"/>
        <v>0.23314141542350705</v>
      </c>
      <c r="Z652" s="72">
        <f t="shared" si="385"/>
        <v>0.29501115489818902</v>
      </c>
      <c r="AA652" s="72">
        <f t="shared" si="386"/>
        <v>0.39958093699159242</v>
      </c>
      <c r="AB652" s="72">
        <f t="shared" si="387"/>
        <v>4.8321543807396394E-3</v>
      </c>
      <c r="AC652" s="72"/>
      <c r="AD652" s="72"/>
      <c r="AE652" s="72">
        <f t="shared" si="388"/>
        <v>0.57701274804959224</v>
      </c>
      <c r="AF652" s="72">
        <f t="shared" si="389"/>
        <v>0.31860076169971718</v>
      </c>
      <c r="AG652" s="72">
        <f t="shared" si="390"/>
        <v>0.21232358551070007</v>
      </c>
      <c r="AH652" s="72">
        <f t="shared" si="391"/>
        <v>0.47713898952729822</v>
      </c>
      <c r="AI652" s="72">
        <f t="shared" si="392"/>
        <v>0.20518510132457829</v>
      </c>
      <c r="AJ652" s="72">
        <f>(AV652-Driver!$K$179)/(Driver!$L$179-Driver!$K$179)</f>
        <v>7.9767947788252344E-2</v>
      </c>
      <c r="AK652" s="72">
        <f>(AW652-Driver!$K$180)/(Driver!$L$180-Driver!$K$180)</f>
        <v>0.261504073373649</v>
      </c>
      <c r="AL652" s="72">
        <f>(AX652-Driver!$K$181)/(Driver!$L$181-Driver!$K$181)</f>
        <v>0.39669891861126921</v>
      </c>
      <c r="AM652" s="72">
        <f>(AY652-Driver!$K$182)/(Driver!$L$182-Driver!$K$182)</f>
        <v>4.7804084105453962E-2</v>
      </c>
      <c r="AN652" s="72">
        <f>(AZ652-Driver!$K$183)/(Driver!$L$183-Driver!$K$183)</f>
        <v>0.24938725490196079</v>
      </c>
      <c r="AO652" s="72"/>
      <c r="AP652" s="72"/>
      <c r="AQ652" s="72">
        <f>(BC652-Driver!$K$188)/(Driver!$L$188-Driver!$K$188)</f>
        <v>4.2987251950407708E-2</v>
      </c>
      <c r="AR652" s="72">
        <f>MIN((BD652-Driver!$K$189)/(Driver!$L$189-Driver!$K$189),100%)</f>
        <v>0.23139923830028283</v>
      </c>
      <c r="AS652" s="72">
        <f>(BE652-Driver!$K$190)/(Driver!$L$190-Driver!$K$190)</f>
        <v>0.29767641448929993</v>
      </c>
      <c r="AT652" s="72">
        <f>(BF652-Driver!$K$191)/(Driver!$L$191-Driver!$K$191)</f>
        <v>3.286101047270177E-2</v>
      </c>
      <c r="AU652" s="72">
        <f>(BG652-Driver!$K$192)/(Driver!$L$192-Driver!$K$192)</f>
        <v>4.481489867542171E-2</v>
      </c>
      <c r="AV652" s="70">
        <f t="shared" si="393"/>
        <v>1.6788766788766787</v>
      </c>
      <c r="AW652" s="70">
        <f t="shared" si="394"/>
        <v>27.35778173353156</v>
      </c>
      <c r="AX652" s="70">
        <f t="shared" si="395"/>
        <v>4.5702902675014228</v>
      </c>
      <c r="AY652" s="70">
        <f>IFERROR(Driver!$K$19/Data!BH652/Data!BI652*Data!BK652*Data!BL652,"")</f>
        <v>5.852646230712822E-2</v>
      </c>
      <c r="AZ652" s="70">
        <f t="shared" si="396"/>
        <v>22.728965003723008</v>
      </c>
      <c r="BA652" s="70"/>
      <c r="BB652" s="70"/>
      <c r="BC652" s="70">
        <f t="shared" si="397"/>
        <v>22.297786429203743</v>
      </c>
      <c r="BD652" s="70">
        <f t="shared" si="398"/>
        <v>22.199245458484366</v>
      </c>
      <c r="BE652" s="70">
        <f t="shared" si="399"/>
        <v>0.29780170111196641</v>
      </c>
      <c r="BF652" s="70">
        <f t="shared" si="400"/>
        <v>3.7114202712272348</v>
      </c>
      <c r="BG652" s="70">
        <f t="shared" si="401"/>
        <v>0.16969779519981887</v>
      </c>
      <c r="BH652" s="67">
        <f>MAX((CE652-Driver!$F$200)/(Driver!$G$200-Driver!$F$200)*$BI$1,1)</f>
        <v>4.5702902675014228</v>
      </c>
      <c r="BI652" s="67">
        <f>MAX($BI$1*(BY652-Driver!$F$201)/(Driver!$G$201-Driver!$F$201),1)</f>
        <v>7.0253164556962027</v>
      </c>
      <c r="BJ652" s="67">
        <f>(CB652-Driver!$F$206)/(Driver!$G$206-Driver!$F$206)*$BI$1</f>
        <v>2.3809523809523809</v>
      </c>
      <c r="BK652" s="67">
        <f>(CD652-Driver!$F$203)/(Driver!$G$203-Driver!$F$203)*$BI$1</f>
        <v>1.5137614678899081</v>
      </c>
      <c r="BL652" s="67">
        <f>MAX((CR652-Driver!$F$202)/(Driver!$G$202-Driver!$F$202)*$BI$1,1)</f>
        <v>6.2068965517241379</v>
      </c>
      <c r="BM652" s="67">
        <f>MAX((CH652-Driver!$F$204)/(Driver!$G$204-Driver!$F$204)*$BI$1,1)</f>
        <v>2.8205128205128203</v>
      </c>
      <c r="BN652" s="67">
        <f>(CI652-Driver!$F$205)/(Driver!$G$205-Driver!$F$205)*$BI$1</f>
        <v>3.2352941176470589</v>
      </c>
      <c r="BO652" s="67">
        <f>(CK652-Driver!$F$207)/(Driver!$G$207-Driver!$F$207)*$BI$1</f>
        <v>1.5615305067218201</v>
      </c>
      <c r="BP652" s="67">
        <f>(CM652-Driver!$F$208)/(Driver!$G$208-Driver!$F$208)*$BI$1</f>
        <v>1.5111111111111111</v>
      </c>
      <c r="BQ652" s="67">
        <f>(CL652-Driver!$F$209)/(Driver!$G$209-Driver!$F$209)*$BI$1</f>
        <v>2.1875</v>
      </c>
      <c r="BR652" s="28" t="s">
        <v>155</v>
      </c>
      <c r="BS652" s="8" t="s">
        <v>172</v>
      </c>
      <c r="BT652" s="9" t="s">
        <v>713</v>
      </c>
      <c r="BU652" s="10">
        <v>160</v>
      </c>
      <c r="BV652" s="9" t="s">
        <v>158</v>
      </c>
      <c r="BW652" s="10">
        <v>160</v>
      </c>
      <c r="BX652" s="10">
        <v>158.4</v>
      </c>
      <c r="BY652" s="10">
        <v>119</v>
      </c>
      <c r="BZ652" s="10">
        <v>144</v>
      </c>
      <c r="CA652" s="10">
        <v>125</v>
      </c>
      <c r="CB652" s="10">
        <v>79</v>
      </c>
      <c r="CC652" s="10">
        <v>113</v>
      </c>
      <c r="CD652" s="10">
        <v>12.7</v>
      </c>
      <c r="CE652" s="10">
        <v>1703</v>
      </c>
      <c r="CF652" s="10">
        <v>0.88</v>
      </c>
      <c r="CG652" s="10">
        <v>1490</v>
      </c>
      <c r="CH652" s="10">
        <v>167</v>
      </c>
      <c r="CI652" s="10">
        <v>88</v>
      </c>
      <c r="CJ652" s="10">
        <v>49</v>
      </c>
      <c r="CK652" s="10">
        <v>261</v>
      </c>
      <c r="CL652" s="10">
        <v>14</v>
      </c>
      <c r="CM652" s="10">
        <v>136</v>
      </c>
      <c r="CN652" s="10">
        <v>0.29099999999999998</v>
      </c>
      <c r="CO652" s="10">
        <v>80</v>
      </c>
      <c r="CP652" s="10">
        <v>63</v>
      </c>
      <c r="CQ652" s="10">
        <v>182</v>
      </c>
      <c r="CR652" s="10">
        <v>7</v>
      </c>
      <c r="CS652" s="10">
        <v>7</v>
      </c>
      <c r="CT652" s="9" t="s">
        <v>160</v>
      </c>
      <c r="CU652" s="10"/>
      <c r="CV652" s="10"/>
      <c r="CW652" s="10"/>
      <c r="CX652" t="str">
        <f>INDEX('Data_Price '!AG$2:AG$1266,MATCH(Data!$DN652,'Data_Price '!$AT$2:$AT$1266,0))</f>
        <v>Rossignol Experience 82 Ti Konnect Black 160 Ski Men</v>
      </c>
      <c r="CY652" t="str">
        <f>INDEX('Data_Price '!AH$2:AH$1266,MATCH(Data!$DN652,'Data_Price '!$AT$2:$AT$1266,0))</f>
        <v>! OutdoorXL.com</v>
      </c>
      <c r="CZ652">
        <f>INDEX('Data_Price '!AI$2:AI$1266,MATCH(Data!$DN652,'Data_Price '!$AT$2:$AT$1266,0))</f>
        <v>469.95</v>
      </c>
      <c r="DA652" t="str">
        <f>INDEX('Data_Price '!AJ$2:AJ$1266,MATCH(Data!$DN652,'Data_Price '!$AT$2:$AT$1266,0))</f>
        <v>https://tinyurl.com/y7jw6bbo</v>
      </c>
      <c r="DB652" t="str">
        <f>INDEX('Data_Price '!AK$2:AK$1266,MATCH(Data!$DN652,'Data_Price '!$AT$2:$AT$1266,0))</f>
        <v>Rossignol Men's All Mountain Skis Experience 82 Ti (konect)</v>
      </c>
      <c r="DC652" t="str">
        <f>INDEX('Data_Price '!AL$2:AL$1266,MATCH(Data!$DN652,'Data_Price '!$AT$2:$AT$1266,0))</f>
        <v>Snowcountry.eu</v>
      </c>
      <c r="DD652">
        <f>INDEX('Data_Price '!AM$2:AM$1266,MATCH(Data!$DN652,'Data_Price '!$AT$2:$AT$1266,0))</f>
        <v>506.21</v>
      </c>
      <c r="DE652" t="str">
        <f>INDEX('Data_Price '!AN$2:AN$1266,MATCH(Data!$DN652,'Data_Price '!$AT$2:$AT$1266,0))</f>
        <v>https://tinyurl.com/ycajz5mo</v>
      </c>
      <c r="DF652" t="str">
        <f>INDEX('Data_Price '!AO$2:AO$1266,MATCH(Data!$DN652,'Data_Price '!$AT$2:$AT$1266,0))</f>
        <v>Rossignol Experience 82 Ti Skis Mens 2022 Multicolor 160cm Skis</v>
      </c>
      <c r="DG652" t="str">
        <f>INDEX('Data_Price '!AP$2:AP$1266,MATCH(Data!$DN652,'Data_Price '!$AT$2:$AT$1266,0))</f>
        <v>Aspen Ski and Board</v>
      </c>
      <c r="DH652">
        <f>INDEX('Data_Price '!AQ$2:AQ$1266,MATCH(Data!$DN652,'Data_Price '!$AT$2:$AT$1266,0))</f>
        <v>559.95000000000005</v>
      </c>
      <c r="DI652" t="str">
        <f>INDEX('Data_Price '!AR$2:AR$1266,MATCH(Data!$DN652,'Data_Price '!$AT$2:$AT$1266,0))</f>
        <v>https://tinyurl.com/y7864v9d</v>
      </c>
      <c r="DJ652" s="89" t="str">
        <f t="shared" si="402"/>
        <v>https://tinyurl.com/y7jw6bbo</v>
      </c>
      <c r="DK652" s="89" t="str">
        <f t="shared" si="403"/>
        <v>https://tinyurl.com/ycajz5mo</v>
      </c>
      <c r="DL652" s="89" t="str">
        <f t="shared" si="404"/>
        <v>https://tinyurl.com/y7864v9d</v>
      </c>
      <c r="DM652" s="219" t="str">
        <f t="shared" si="405"/>
        <v>Experience 82 Ti</v>
      </c>
      <c r="DN652" s="89" t="str">
        <f t="shared" si="406"/>
        <v xml:space="preserve"> RossignolExperience 82 Ti160 Unisex</v>
      </c>
      <c r="DO652" s="221"/>
    </row>
    <row r="653" spans="2:119" ht="15.6" customHeight="1">
      <c r="B653" s="219" t="b">
        <f t="array" ref="B653">IF(OR(ISERROR(K653:P653)),FALSE,TRUE)</f>
        <v>1</v>
      </c>
      <c r="C653" s="43" t="b">
        <f>OR(BR653=Driver!$G$50,Data!BR507=Driver!$H$50)</f>
        <v>1</v>
      </c>
      <c r="D653" s="43" t="b">
        <f>OR(BV653=Driver!$G$51,BV653=Driver!$H$51)</f>
        <v>1</v>
      </c>
      <c r="E653" s="43" t="b">
        <f>AND(BX653&gt;Driver!$F$54,BX653&lt;Driver!$G$54)</f>
        <v>0</v>
      </c>
      <c r="F653" s="43" t="b">
        <f>CL653&gt;Driver!$F$56</f>
        <v>1</v>
      </c>
      <c r="G653" s="43" t="b">
        <f>AND(CB653&gt;Driver!$F$55,CB653&lt;Driver!$G$55)</f>
        <v>1</v>
      </c>
      <c r="H653" s="43" t="b">
        <f t="shared" si="370"/>
        <v>0</v>
      </c>
      <c r="I653" s="43">
        <f t="shared" si="371"/>
        <v>0</v>
      </c>
      <c r="J653" s="43" t="b">
        <f t="array" ref="J653">NOT(OR(($H$9:$H$1273=TRUE)*($I$9:$I$1273&gt;0)*($BT$9:$BT$1273=BT653)*($K$9:$K$1273&gt;K653)))</f>
        <v>1</v>
      </c>
      <c r="K653" s="72">
        <f t="shared" si="372"/>
        <v>0.71814415135257492</v>
      </c>
      <c r="L653" s="72">
        <f t="shared" si="373"/>
        <v>0.73919241709834771</v>
      </c>
      <c r="M653" s="72">
        <f t="shared" si="374"/>
        <v>0.69709588560680213</v>
      </c>
      <c r="N653" s="72">
        <f t="shared" si="375"/>
        <v>0.51274195962783387</v>
      </c>
      <c r="O653" s="72">
        <f t="shared" si="376"/>
        <v>0.67604197418438172</v>
      </c>
      <c r="P653" s="72">
        <f t="shared" si="377"/>
        <v>0.90250372300819071</v>
      </c>
      <c r="Q653" s="72"/>
      <c r="R653" s="72"/>
      <c r="S653" s="72">
        <f t="shared" si="378"/>
        <v>0.50973284426998378</v>
      </c>
      <c r="T653" s="72">
        <f t="shared" si="379"/>
        <v>0.48392261633844302</v>
      </c>
      <c r="U653" s="72">
        <f t="shared" si="380"/>
        <v>0.50319439138529853</v>
      </c>
      <c r="V653" s="72">
        <f t="shared" si="381"/>
        <v>0.60184904822872509</v>
      </c>
      <c r="W653" s="72">
        <f t="shared" si="382"/>
        <v>0.80859636537541846</v>
      </c>
      <c r="X653" s="72">
        <f t="shared" si="383"/>
        <v>0.26080758290165224</v>
      </c>
      <c r="Y653" s="72">
        <f t="shared" si="384"/>
        <v>0.30290411439319792</v>
      </c>
      <c r="Z653" s="72">
        <f t="shared" si="385"/>
        <v>0.48725804037216613</v>
      </c>
      <c r="AA653" s="72">
        <f t="shared" si="386"/>
        <v>0.32395802581561828</v>
      </c>
      <c r="AB653" s="72">
        <f t="shared" si="387"/>
        <v>9.7496276991809294E-2</v>
      </c>
      <c r="AC653" s="72"/>
      <c r="AD653" s="72"/>
      <c r="AE653" s="72">
        <f t="shared" si="388"/>
        <v>0.49026715573001628</v>
      </c>
      <c r="AF653" s="72">
        <f t="shared" si="389"/>
        <v>0.51607738366155698</v>
      </c>
      <c r="AG653" s="72">
        <f t="shared" si="390"/>
        <v>0.49680560861470152</v>
      </c>
      <c r="AH653" s="72">
        <f t="shared" si="391"/>
        <v>0.39815095177127496</v>
      </c>
      <c r="AI653" s="72">
        <f t="shared" si="392"/>
        <v>0.19140363462458154</v>
      </c>
      <c r="AJ653" s="72">
        <f>(AV653-Driver!$K$179)/(Driver!$L$179-Driver!$K$179)</f>
        <v>0.51502699218435266</v>
      </c>
      <c r="AK653" s="72">
        <f>(AW653-Driver!$K$180)/(Driver!$L$180-Driver!$K$180)</f>
        <v>0.37590046986981901</v>
      </c>
      <c r="AL653" s="72">
        <f>(AX653-Driver!$K$181)/(Driver!$L$181-Driver!$K$181)</f>
        <v>0.58894580408524633</v>
      </c>
      <c r="AM653" s="72">
        <f>(AY653-Driver!$K$182)/(Driver!$L$182-Driver!$K$182)</f>
        <v>0.1234269952814281</v>
      </c>
      <c r="AN653" s="72">
        <f>(AZ653-Driver!$K$183)/(Driver!$L$183-Driver!$K$183)</f>
        <v>0.35171568627450972</v>
      </c>
      <c r="AO653" s="72"/>
      <c r="AP653" s="72"/>
      <c r="AQ653" s="72">
        <f>(BC653-Driver!$K$188)/(Driver!$L$188-Driver!$K$188)</f>
        <v>0.12973284426998372</v>
      </c>
      <c r="AR653" s="72">
        <f>MIN((BD653-Driver!$K$189)/(Driver!$L$189-Driver!$K$189),100%)</f>
        <v>3.3922616338443075E-2</v>
      </c>
      <c r="AS653" s="72">
        <f>(BE653-Driver!$K$190)/(Driver!$L$190-Driver!$K$190)</f>
        <v>1.3194391385298498E-2</v>
      </c>
      <c r="AT653" s="72">
        <f>(BF653-Driver!$K$191)/(Driver!$L$191-Driver!$K$191)</f>
        <v>0.11184904822872503</v>
      </c>
      <c r="AU653" s="72">
        <f>(BG653-Driver!$K$192)/(Driver!$L$192-Driver!$K$192)</f>
        <v>5.8596365375418451E-2</v>
      </c>
      <c r="AV653" s="70">
        <f t="shared" si="393"/>
        <v>10.839777506444175</v>
      </c>
      <c r="AW653" s="70">
        <f t="shared" si="394"/>
        <v>38.506724227273814</v>
      </c>
      <c r="AX653" s="70">
        <f t="shared" si="395"/>
        <v>6.3005122367672168</v>
      </c>
      <c r="AY653" s="70">
        <f>IFERROR(Driver!$K$19/Data!BH653/Data!BI653*Data!BK653*Data!BL653,"")</f>
        <v>0.1511114692854546</v>
      </c>
      <c r="AZ653" s="70">
        <f t="shared" si="396"/>
        <v>32.055100521221142</v>
      </c>
      <c r="BA653" s="70"/>
      <c r="BB653" s="70"/>
      <c r="BC653" s="70">
        <f t="shared" si="397"/>
        <v>67.293328210942065</v>
      </c>
      <c r="BD653" s="70">
        <f t="shared" si="398"/>
        <v>4.7229143227305244</v>
      </c>
      <c r="BE653" s="70">
        <f t="shared" si="399"/>
        <v>1.3370426398905127E-2</v>
      </c>
      <c r="BF653" s="70">
        <f t="shared" si="400"/>
        <v>12.632564213398409</v>
      </c>
      <c r="BG653" s="70">
        <f t="shared" si="401"/>
        <v>0.22188321975131514</v>
      </c>
      <c r="BH653" s="67">
        <f>MAX((CE653-Driver!$F$200)/(Driver!$G$200-Driver!$F$200)*$BI$1,1)</f>
        <v>6.3005122367672168</v>
      </c>
      <c r="BI653" s="67">
        <f>MAX($BI$1*(BY653-Driver!$F$201)/(Driver!$G$201-Driver!$F$201),1)</f>
        <v>6.6455696202531644</v>
      </c>
      <c r="BJ653" s="67">
        <f>(CB653-Driver!$F$206)/(Driver!$G$206-Driver!$F$206)*$BI$1</f>
        <v>7.4603174603174605</v>
      </c>
      <c r="BK653" s="67">
        <f>(CD653-Driver!$F$203)/(Driver!$G$203-Driver!$F$203)*$BI$1</f>
        <v>5.7339449541284404</v>
      </c>
      <c r="BL653" s="67">
        <f>MAX((CR653-Driver!$F$202)/(Driver!$G$202-Driver!$F$202)*$BI$1,1)</f>
        <v>5.5172413793103452</v>
      </c>
      <c r="BM653" s="67">
        <f>MAX((CH653-Driver!$F$204)/(Driver!$G$204-Driver!$F$204)*$BI$1,1)</f>
        <v>5.8119658119658126</v>
      </c>
      <c r="BN653" s="67">
        <f>(CI653-Driver!$F$205)/(Driver!$G$205-Driver!$F$205)*$BI$1</f>
        <v>4.8235294117647056</v>
      </c>
      <c r="BO653" s="67">
        <f>(CK653-Driver!$F$207)/(Driver!$G$207-Driver!$F$207)*$BI$1</f>
        <v>2.688728024819028</v>
      </c>
      <c r="BP653" s="67">
        <f>(CM653-Driver!$F$208)/(Driver!$G$208-Driver!$F$208)*$BI$1</f>
        <v>3.6111111111111112</v>
      </c>
      <c r="BQ653" s="67">
        <f>(CL653-Driver!$F$209)/(Driver!$G$209-Driver!$F$209)*$BI$1</f>
        <v>8.125</v>
      </c>
      <c r="BR653" s="28" t="s">
        <v>155</v>
      </c>
      <c r="BS653" s="8" t="s">
        <v>205</v>
      </c>
      <c r="BT653" s="9" t="s">
        <v>242</v>
      </c>
      <c r="BU653" s="10">
        <v>184</v>
      </c>
      <c r="BV653" s="9" t="s">
        <v>158</v>
      </c>
      <c r="BW653" s="10">
        <v>184</v>
      </c>
      <c r="BX653" s="10">
        <v>182.3</v>
      </c>
      <c r="BY653" s="10">
        <v>113</v>
      </c>
      <c r="BZ653" s="10">
        <v>153</v>
      </c>
      <c r="CA653" s="10">
        <v>139</v>
      </c>
      <c r="CB653" s="10">
        <v>111</v>
      </c>
      <c r="CC653" s="10">
        <v>133</v>
      </c>
      <c r="CD653" s="10">
        <v>21.9</v>
      </c>
      <c r="CE653" s="10">
        <v>2007</v>
      </c>
      <c r="CF653" s="10">
        <v>1.0900000000000001</v>
      </c>
      <c r="CG653" s="10">
        <v>2189</v>
      </c>
      <c r="CH653" s="10">
        <v>237</v>
      </c>
      <c r="CI653" s="10">
        <v>115</v>
      </c>
      <c r="CJ653" s="10">
        <v>57</v>
      </c>
      <c r="CK653" s="10">
        <v>370</v>
      </c>
      <c r="CL653" s="10">
        <v>52</v>
      </c>
      <c r="CM653" s="10">
        <v>325</v>
      </c>
      <c r="CN653" s="10">
        <v>0.92200000000000004</v>
      </c>
      <c r="CO653" s="10">
        <v>158</v>
      </c>
      <c r="CP653" s="10">
        <v>132</v>
      </c>
      <c r="CQ653" s="10">
        <v>212</v>
      </c>
      <c r="CR653" s="10">
        <v>5</v>
      </c>
      <c r="CS653" s="10">
        <v>6.1</v>
      </c>
      <c r="CT653" s="9" t="s">
        <v>184</v>
      </c>
      <c r="CU653" s="9" t="s">
        <v>169</v>
      </c>
      <c r="CV653" s="9" t="s">
        <v>185</v>
      </c>
      <c r="CW653" s="10"/>
      <c r="CX653" t="str">
        <f>INDEX('Data_Price '!AG$2:AG$1266,MATCH(Data!$DN653,'Data_Price '!$AT$2:$AT$1266,0))</f>
        <v>Faction Ct 3.0 Skis</v>
      </c>
      <c r="CY653" t="str">
        <f>INDEX('Data_Price '!AH$2:AH$1266,MATCH(Data!$DN653,'Data_Price '!$AT$2:$AT$1266,0))</f>
        <v>Powder7 Ski Shop</v>
      </c>
      <c r="CZ653">
        <f>INDEX('Data_Price '!AI$2:AI$1266,MATCH(Data!$DN653,'Data_Price '!$AT$2:$AT$1266,0))</f>
        <v>639.92999999999995</v>
      </c>
      <c r="DA653" t="str">
        <f>INDEX('Data_Price '!AJ$2:AJ$1266,MATCH(Data!$DN653,'Data_Price '!$AT$2:$AT$1266,0))</f>
        <v>https://tinyurl.com/y8ptyymo</v>
      </c>
      <c r="DB653" t="str">
        <f>INDEX('Data_Price '!AK$2:AK$1266,MATCH(Data!$DN653,'Data_Price '!$AT$2:$AT$1266,0))</f>
        <v>Faction Ct 3.0 Skis</v>
      </c>
      <c r="DC653" t="str">
        <f>INDEX('Data_Price '!AL$2:AL$1266,MATCH(Data!$DN653,'Data_Price '!$AT$2:$AT$1266,0))</f>
        <v>Blue Tomato</v>
      </c>
      <c r="DD653">
        <f>INDEX('Data_Price '!AM$2:AM$1266,MATCH(Data!$DN653,'Data_Price '!$AT$2:$AT$1266,0))</f>
        <v>646.58000000000004</v>
      </c>
      <c r="DE653" t="str">
        <f>INDEX('Data_Price '!AN$2:AN$1266,MATCH(Data!$DN653,'Data_Price '!$AT$2:$AT$1266,0))</f>
        <v>https://tinyurl.com/y9boggx2</v>
      </c>
      <c r="DF653" t="str">
        <f>INDEX('Data_Price '!AO$2:AO$1266,MATCH(Data!$DN653,'Data_Price '!$AT$2:$AT$1266,0))</f>
        <v>Faction CT 1.0 21/22</v>
      </c>
      <c r="DG653" t="str">
        <f>INDEX('Data_Price '!AP$2:AP$1266,MATCH(Data!$DN653,'Data_Price '!$AT$2:$AT$1266,0))</f>
        <v>PRFO Sports</v>
      </c>
      <c r="DH653">
        <f>INDEX('Data_Price '!AQ$2:AQ$1266,MATCH(Data!$DN653,'Data_Price '!$AT$2:$AT$1266,0))</f>
        <v>448.15</v>
      </c>
      <c r="DI653" t="str">
        <f>INDEX('Data_Price '!AR$2:AR$1266,MATCH(Data!$DN653,'Data_Price '!$AT$2:$AT$1266,0))</f>
        <v>https://tinyurl.com/ybdyjyr6</v>
      </c>
      <c r="DJ653" s="89" t="str">
        <f t="shared" si="402"/>
        <v>https://tinyurl.com/y8ptyymo</v>
      </c>
      <c r="DK653" s="89" t="str">
        <f t="shared" si="403"/>
        <v>https://tinyurl.com/y9boggx2</v>
      </c>
      <c r="DL653" s="89" t="str">
        <f t="shared" si="404"/>
        <v>https://tinyurl.com/ybdyjyr6</v>
      </c>
      <c r="DM653" s="219" t="str">
        <f t="shared" si="405"/>
        <v>CT 3.0</v>
      </c>
      <c r="DN653" s="89" t="str">
        <f t="shared" si="406"/>
        <v xml:space="preserve"> FactionCT 3.0184 Unisex</v>
      </c>
      <c r="DO653" s="221" t="s">
        <v>243</v>
      </c>
    </row>
    <row r="654" spans="2:119" ht="15.6" customHeight="1">
      <c r="B654" s="219" t="b">
        <f t="array" ref="B654">IF(OR(ISERROR(K654:P654)),FALSE,TRUE)</f>
        <v>1</v>
      </c>
      <c r="C654" s="43" t="b">
        <f>OR(BR654=Driver!$G$50,Data!BR1240=Driver!$H$50)</f>
        <v>1</v>
      </c>
      <c r="D654" s="43" t="b">
        <f>OR(BV654=Driver!$G$51,BV654=Driver!$H$51)</f>
        <v>1</v>
      </c>
      <c r="E654" s="43" t="b">
        <f>AND(BX654&gt;Driver!$F$54,BX654&lt;Driver!$G$54)</f>
        <v>0</v>
      </c>
      <c r="F654" s="43" t="b">
        <f>CL654&gt;Driver!$F$56</f>
        <v>1</v>
      </c>
      <c r="G654" s="43" t="b">
        <f>AND(CB654&gt;Driver!$F$55,CB654&lt;Driver!$G$55)</f>
        <v>0</v>
      </c>
      <c r="H654" s="43" t="b">
        <f t="shared" si="370"/>
        <v>0</v>
      </c>
      <c r="I654" s="43">
        <f t="shared" si="371"/>
        <v>0</v>
      </c>
      <c r="J654" s="43" t="b">
        <f t="array" ref="J654">NOT(OR(($H$9:$H$1273=TRUE)*($I$9:$I$1273&gt;0)*($BT$9:$BT$1273=BT654)*($K$9:$K$1273&gt;K654)))</f>
        <v>1</v>
      </c>
      <c r="K654" s="72">
        <f t="shared" si="372"/>
        <v>0.83239980018411242</v>
      </c>
      <c r="L654" s="72">
        <f t="shared" si="373"/>
        <v>0.98153919195813422</v>
      </c>
      <c r="M654" s="72">
        <f t="shared" si="374"/>
        <v>0.68326040841009061</v>
      </c>
      <c r="N654" s="72">
        <f t="shared" si="375"/>
        <v>0.57345150240908993</v>
      </c>
      <c r="O654" s="72">
        <f t="shared" si="376"/>
        <v>0.65021488870188038</v>
      </c>
      <c r="P654" s="72">
        <f t="shared" si="377"/>
        <v>0.82611483411930176</v>
      </c>
      <c r="Q654" s="72"/>
      <c r="R654" s="72"/>
      <c r="S654" s="72">
        <f t="shared" si="378"/>
        <v>0.57572284126750861</v>
      </c>
      <c r="T654" s="72">
        <f t="shared" si="379"/>
        <v>0.55814040321343783</v>
      </c>
      <c r="U654" s="72">
        <f t="shared" si="380"/>
        <v>0.66589026987658073</v>
      </c>
      <c r="V654" s="72">
        <f t="shared" si="381"/>
        <v>0.49793111746889451</v>
      </c>
      <c r="W654" s="72">
        <f t="shared" si="382"/>
        <v>0.8029907855692644</v>
      </c>
      <c r="X654" s="72">
        <f t="shared" si="383"/>
        <v>1.8460808041865728E-2</v>
      </c>
      <c r="Y654" s="72">
        <f t="shared" si="384"/>
        <v>0.31673959158990933</v>
      </c>
      <c r="Z654" s="72">
        <f t="shared" si="385"/>
        <v>0.42654849759091007</v>
      </c>
      <c r="AA654" s="72">
        <f t="shared" si="386"/>
        <v>0.34978511129811962</v>
      </c>
      <c r="AB654" s="72">
        <f t="shared" si="387"/>
        <v>0.17388516588069824</v>
      </c>
      <c r="AC654" s="72"/>
      <c r="AD654" s="72"/>
      <c r="AE654" s="72">
        <f t="shared" si="388"/>
        <v>0.42427715873249139</v>
      </c>
      <c r="AF654" s="72">
        <f t="shared" si="389"/>
        <v>0.44185959678656211</v>
      </c>
      <c r="AG654" s="72">
        <f t="shared" si="390"/>
        <v>0.33410973012341932</v>
      </c>
      <c r="AH654" s="72">
        <f t="shared" si="391"/>
        <v>0.50206888253110549</v>
      </c>
      <c r="AI654" s="72">
        <f t="shared" si="392"/>
        <v>0.19700921443073557</v>
      </c>
      <c r="AJ654" s="72">
        <f>(AV654-Driver!$K$179)/(Driver!$L$179-Driver!$K$179)</f>
        <v>0.2357586012408347</v>
      </c>
      <c r="AK654" s="72">
        <f>(AW654-Driver!$K$180)/(Driver!$L$180-Driver!$K$180)</f>
        <v>0.44140523068570503</v>
      </c>
      <c r="AL654" s="72">
        <f>(AX654-Driver!$K$181)/(Driver!$L$181-Driver!$K$181)</f>
        <v>0.52823626130399026</v>
      </c>
      <c r="AM654" s="72">
        <f>(AY654-Driver!$K$182)/(Driver!$L$182-Driver!$K$182)</f>
        <v>9.7599909798926715E-2</v>
      </c>
      <c r="AN654" s="72">
        <f>(AZ654-Driver!$K$183)/(Driver!$L$183-Driver!$K$183)</f>
        <v>0.42810457516339867</v>
      </c>
      <c r="AO654" s="72"/>
      <c r="AP654" s="72"/>
      <c r="AQ654" s="72">
        <f>(BC654-Driver!$K$188)/(Driver!$L$188-Driver!$K$188)</f>
        <v>0.19572284126750861</v>
      </c>
      <c r="AR654" s="72">
        <f>MIN((BD654-Driver!$K$189)/(Driver!$L$189-Driver!$K$189),100%)</f>
        <v>0.10814040321343793</v>
      </c>
      <c r="AS654" s="72">
        <f>(BE654-Driver!$K$190)/(Driver!$L$190-Driver!$K$190)</f>
        <v>0.17589026987658068</v>
      </c>
      <c r="AT654" s="72">
        <f>(BF654-Driver!$K$191)/(Driver!$L$191-Driver!$K$191)</f>
        <v>7.9311174688944767E-3</v>
      </c>
      <c r="AU654" s="72">
        <f>(BG654-Driver!$K$192)/(Driver!$L$192-Driver!$K$192)</f>
        <v>5.2990785569264419E-2</v>
      </c>
      <c r="AV654" s="70">
        <f t="shared" si="393"/>
        <v>4.9620132953466278</v>
      </c>
      <c r="AW654" s="70">
        <f t="shared" si="394"/>
        <v>44.890743600009081</v>
      </c>
      <c r="AX654" s="70">
        <f t="shared" si="395"/>
        <v>5.7541263517359127</v>
      </c>
      <c r="AY654" s="70">
        <f>IFERROR(Driver!$K$19/Data!BH654/Data!BI654*Data!BK654*Data!BL654,"")</f>
        <v>0.11949141059632387</v>
      </c>
      <c r="AZ654" s="70">
        <f t="shared" si="396"/>
        <v>39.017125837676844</v>
      </c>
      <c r="BA654" s="70"/>
      <c r="BB654" s="70"/>
      <c r="BC654" s="70">
        <f t="shared" si="397"/>
        <v>101.5227984085747</v>
      </c>
      <c r="BD654" s="70">
        <f t="shared" si="398"/>
        <v>11.291056955030854</v>
      </c>
      <c r="BE654" s="70">
        <f t="shared" si="399"/>
        <v>0.17603728177668457</v>
      </c>
      <c r="BF654" s="70">
        <f t="shared" si="400"/>
        <v>0.89576399885792224</v>
      </c>
      <c r="BG654" s="70">
        <f t="shared" si="401"/>
        <v>0.20065691863189136</v>
      </c>
      <c r="BH654" s="67">
        <f>MAX((CE654-Driver!$F$200)/(Driver!$G$200-Driver!$F$200)*$BI$1,1)</f>
        <v>5.7541263517359127</v>
      </c>
      <c r="BI654" s="67">
        <f>MAX($BI$1*(BY654-Driver!$F$201)/(Driver!$G$201-Driver!$F$201),1)</f>
        <v>8.2911392405063289</v>
      </c>
      <c r="BJ654" s="67">
        <f>(CB654-Driver!$F$206)/(Driver!$G$206-Driver!$F$206)*$BI$1</f>
        <v>3.4920634920634921</v>
      </c>
      <c r="BK654" s="67">
        <f>(CD654-Driver!$F$203)/(Driver!$G$203-Driver!$F$203)*$BI$1</f>
        <v>4.862385321100918</v>
      </c>
      <c r="BL654" s="67">
        <f>MAX((CR654-Driver!$F$202)/(Driver!$G$202-Driver!$F$202)*$BI$1,1)</f>
        <v>5.8620689655172411</v>
      </c>
      <c r="BM654" s="67">
        <f>MAX((CH654-Driver!$F$204)/(Driver!$G$204-Driver!$F$204)*$BI$1,1)</f>
        <v>5.6837606837606831</v>
      </c>
      <c r="BN654" s="67">
        <f>(CI654-Driver!$F$205)/(Driver!$G$205-Driver!$F$205)*$BI$1</f>
        <v>4.7058823529411766</v>
      </c>
      <c r="BO654" s="67">
        <f>(CK654-Driver!$F$207)/(Driver!$G$207-Driver!$F$207)*$BI$1</f>
        <v>0.67218200620475699</v>
      </c>
      <c r="BP654" s="67">
        <f>(CM654-Driver!$F$208)/(Driver!$G$208-Driver!$F$208)*$BI$1</f>
        <v>1.8555555555555556</v>
      </c>
      <c r="BQ654" s="67">
        <f>(CL654-Driver!$F$209)/(Driver!$G$209-Driver!$F$209)*$BI$1</f>
        <v>6.5625</v>
      </c>
      <c r="BR654" s="28" t="s">
        <v>155</v>
      </c>
      <c r="BS654" s="8" t="s">
        <v>229</v>
      </c>
      <c r="BT654" s="9" t="s">
        <v>575</v>
      </c>
      <c r="BU654" s="10">
        <v>177</v>
      </c>
      <c r="BV654" s="9" t="s">
        <v>158</v>
      </c>
      <c r="BW654" s="10">
        <v>177</v>
      </c>
      <c r="BX654" s="10">
        <v>173.4</v>
      </c>
      <c r="BY654" s="10">
        <v>139</v>
      </c>
      <c r="BZ654" s="10">
        <v>152</v>
      </c>
      <c r="CA654" s="10">
        <v>115</v>
      </c>
      <c r="CB654" s="10">
        <v>86</v>
      </c>
      <c r="CC654" s="10">
        <v>114</v>
      </c>
      <c r="CD654" s="10">
        <v>20</v>
      </c>
      <c r="CE654" s="10">
        <v>1911</v>
      </c>
      <c r="CF654" s="10">
        <v>0.87</v>
      </c>
      <c r="CG654" s="10">
        <v>1670</v>
      </c>
      <c r="CH654" s="10">
        <v>234</v>
      </c>
      <c r="CI654" s="10">
        <v>113</v>
      </c>
      <c r="CJ654" s="10">
        <v>45</v>
      </c>
      <c r="CK654" s="10">
        <v>175</v>
      </c>
      <c r="CL654" s="10">
        <v>42</v>
      </c>
      <c r="CM654" s="10">
        <v>167</v>
      </c>
      <c r="CN654" s="10">
        <v>0.94099999999999995</v>
      </c>
      <c r="CO654" s="10">
        <v>103</v>
      </c>
      <c r="CP654" s="10">
        <v>108</v>
      </c>
      <c r="CQ654" s="10">
        <v>72</v>
      </c>
      <c r="CR654" s="10">
        <v>6</v>
      </c>
      <c r="CS654" s="10">
        <v>0.5</v>
      </c>
      <c r="CT654" s="9" t="s">
        <v>184</v>
      </c>
      <c r="CU654" s="10"/>
      <c r="CV654" s="10"/>
      <c r="CW654" s="10"/>
      <c r="CX654" t="e">
        <f>INDEX('Data_Price '!AG$2:AG$1266,MATCH(Data!$DN654,'Data_Price '!$AT$2:$AT$1266,0))</f>
        <v>#N/A</v>
      </c>
      <c r="CY654" t="e">
        <f>INDEX('Data_Price '!AH$2:AH$1266,MATCH(Data!$DN654,'Data_Price '!$AT$2:$AT$1266,0))</f>
        <v>#N/A</v>
      </c>
      <c r="CZ654" t="e">
        <f>INDEX('Data_Price '!AI$2:AI$1266,MATCH(Data!$DN654,'Data_Price '!$AT$2:$AT$1266,0))</f>
        <v>#N/A</v>
      </c>
      <c r="DA654" t="e">
        <f>INDEX('Data_Price '!AJ$2:AJ$1266,MATCH(Data!$DN654,'Data_Price '!$AT$2:$AT$1266,0))</f>
        <v>#N/A</v>
      </c>
      <c r="DB654" t="e">
        <f>INDEX('Data_Price '!AK$2:AK$1266,MATCH(Data!$DN654,'Data_Price '!$AT$2:$AT$1266,0))</f>
        <v>#N/A</v>
      </c>
      <c r="DC654" t="e">
        <f>INDEX('Data_Price '!AL$2:AL$1266,MATCH(Data!$DN654,'Data_Price '!$AT$2:$AT$1266,0))</f>
        <v>#N/A</v>
      </c>
      <c r="DD654" t="e">
        <f>INDEX('Data_Price '!AM$2:AM$1266,MATCH(Data!$DN654,'Data_Price '!$AT$2:$AT$1266,0))</f>
        <v>#N/A</v>
      </c>
      <c r="DE654" t="e">
        <f>INDEX('Data_Price '!AN$2:AN$1266,MATCH(Data!$DN654,'Data_Price '!$AT$2:$AT$1266,0))</f>
        <v>#N/A</v>
      </c>
      <c r="DF654" t="e">
        <f>INDEX('Data_Price '!AO$2:AO$1266,MATCH(Data!$DN654,'Data_Price '!$AT$2:$AT$1266,0))</f>
        <v>#N/A</v>
      </c>
      <c r="DG654" t="e">
        <f>INDEX('Data_Price '!AP$2:AP$1266,MATCH(Data!$DN654,'Data_Price '!$AT$2:$AT$1266,0))</f>
        <v>#N/A</v>
      </c>
      <c r="DH654" t="e">
        <f>INDEX('Data_Price '!AQ$2:AQ$1266,MATCH(Data!$DN654,'Data_Price '!$AT$2:$AT$1266,0))</f>
        <v>#N/A</v>
      </c>
      <c r="DI654" t="e">
        <f>INDEX('Data_Price '!AR$2:AR$1266,MATCH(Data!$DN654,'Data_Price '!$AT$2:$AT$1266,0))</f>
        <v>#N/A</v>
      </c>
      <c r="DJ654" s="89" t="e">
        <f t="shared" si="402"/>
        <v>#N/A</v>
      </c>
      <c r="DK654" s="89" t="e">
        <f t="shared" si="403"/>
        <v>#N/A</v>
      </c>
      <c r="DL654" s="89" t="e">
        <f t="shared" si="404"/>
        <v>#N/A</v>
      </c>
      <c r="DM654" s="219" t="str">
        <f t="shared" si="405"/>
        <v>Revolt 87</v>
      </c>
      <c r="DN654" s="89" t="str">
        <f t="shared" si="406"/>
        <v xml:space="preserve"> VölklRevolt 87177 Unisex</v>
      </c>
      <c r="DO654" s="221" t="s">
        <v>576</v>
      </c>
    </row>
    <row r="655" spans="2:119" ht="15.6" customHeight="1">
      <c r="B655" s="219" t="b">
        <f t="array" ref="B655">IF(OR(ISERROR(K655:P655)),FALSE,TRUE)</f>
        <v>1</v>
      </c>
      <c r="C655" s="43" t="b">
        <f>OR(BR655=Driver!$G$50,Data!BR439=Driver!$H$50)</f>
        <v>1</v>
      </c>
      <c r="D655" s="43" t="b">
        <f>OR(BV655=Driver!$G$51,BV655=Driver!$H$51)</f>
        <v>0</v>
      </c>
      <c r="E655" s="43" t="b">
        <f>AND(BX655&gt;Driver!$F$54,BX655&lt;Driver!$G$54)</f>
        <v>0</v>
      </c>
      <c r="F655" s="43" t="b">
        <f>CL655&gt;Driver!$F$56</f>
        <v>1</v>
      </c>
      <c r="G655" s="43" t="b">
        <f>AND(CB655&gt;Driver!$F$55,CB655&lt;Driver!$G$55)</f>
        <v>0</v>
      </c>
      <c r="H655" s="43" t="b">
        <f t="shared" si="370"/>
        <v>0</v>
      </c>
      <c r="I655" s="43">
        <f t="shared" si="371"/>
        <v>0</v>
      </c>
      <c r="J655" s="43" t="b">
        <f t="array" ref="J655">NOT(OR(($H$9:$H$1273=TRUE)*($I$9:$I$1273&gt;0)*($BT$9:$BT$1273=BT655)*($K$9:$K$1273&gt;K655)))</f>
        <v>1</v>
      </c>
      <c r="K655" s="72">
        <f t="shared" si="372"/>
        <v>0.77396320276997721</v>
      </c>
      <c r="L655" s="72">
        <f t="shared" si="373"/>
        <v>0.7986369278375961</v>
      </c>
      <c r="M655" s="72">
        <f t="shared" si="374"/>
        <v>0.74928947770235843</v>
      </c>
      <c r="N655" s="72">
        <f t="shared" si="375"/>
        <v>0.71320992902010605</v>
      </c>
      <c r="O655" s="72">
        <f t="shared" si="376"/>
        <v>0.58814261925202249</v>
      </c>
      <c r="P655" s="72">
        <f t="shared" si="377"/>
        <v>0.94651588483494664</v>
      </c>
      <c r="Q655" s="72"/>
      <c r="R655" s="72"/>
      <c r="S655" s="72">
        <f t="shared" si="378"/>
        <v>0.4216364660170121</v>
      </c>
      <c r="T655" s="72">
        <f t="shared" si="379"/>
        <v>0.95160086153705237</v>
      </c>
      <c r="U655" s="72">
        <f t="shared" si="380"/>
        <v>0.51</v>
      </c>
      <c r="V655" s="72">
        <f t="shared" si="381"/>
        <v>0.49123722633629607</v>
      </c>
      <c r="W655" s="72">
        <f t="shared" si="382"/>
        <v>0.7604754553874653</v>
      </c>
      <c r="X655" s="72">
        <f t="shared" si="383"/>
        <v>0.20136307216240393</v>
      </c>
      <c r="Y655" s="72">
        <f t="shared" si="384"/>
        <v>0.25071052229764157</v>
      </c>
      <c r="Z655" s="72">
        <f t="shared" si="385"/>
        <v>0.28679007097989395</v>
      </c>
      <c r="AA655" s="72">
        <f t="shared" si="386"/>
        <v>0.41185738074797745</v>
      </c>
      <c r="AB655" s="72">
        <f t="shared" si="387"/>
        <v>5.3484115165053414E-2</v>
      </c>
      <c r="AC655" s="72"/>
      <c r="AD655" s="72"/>
      <c r="AE655" s="72">
        <f t="shared" si="388"/>
        <v>0.5783635339829879</v>
      </c>
      <c r="AF655" s="72">
        <f t="shared" si="389"/>
        <v>4.8399138462947633E-2</v>
      </c>
      <c r="AG655" s="72">
        <f t="shared" si="390"/>
        <v>0.49</v>
      </c>
      <c r="AH655" s="72">
        <f t="shared" si="391"/>
        <v>0.50876277366370393</v>
      </c>
      <c r="AI655" s="72">
        <f t="shared" si="392"/>
        <v>0.23952454461253472</v>
      </c>
      <c r="AJ655" s="72">
        <f>(AV655-Driver!$K$179)/(Driver!$L$179-Driver!$K$179)</f>
        <v>5.2856337120296505E-2</v>
      </c>
      <c r="AK655" s="72">
        <f>(AW655-Driver!$K$180)/(Driver!$L$180-Driver!$K$180)</f>
        <v>0.21509349050256812</v>
      </c>
      <c r="AL655" s="72">
        <f>(AX655-Driver!$K$181)/(Driver!$L$181-Driver!$K$181)</f>
        <v>0.38847783469297414</v>
      </c>
      <c r="AM655" s="72">
        <f>(AY655-Driver!$K$182)/(Driver!$L$182-Driver!$K$182)</f>
        <v>3.5527640349068919E-2</v>
      </c>
      <c r="AN655" s="72">
        <f>(AZ655-Driver!$K$183)/(Driver!$L$183-Driver!$K$183)</f>
        <v>0.20073529411764701</v>
      </c>
      <c r="AO655" s="72"/>
      <c r="AP655" s="72"/>
      <c r="AQ655" s="72">
        <f>(BC655-Driver!$K$188)/(Driver!$L$188-Driver!$K$188)</f>
        <v>4.1636466017012097E-2</v>
      </c>
      <c r="AR655" s="72">
        <f>MIN((BD655-Driver!$K$189)/(Driver!$L$189-Driver!$K$189),100%)</f>
        <v>0.59839913846294768</v>
      </c>
      <c r="AS655" s="72">
        <f>(BE655-Driver!$K$190)/(Driver!$L$190-Driver!$K$190)</f>
        <v>1</v>
      </c>
      <c r="AT655" s="72">
        <f>(BF655-Driver!$K$191)/(Driver!$L$191-Driver!$K$191)</f>
        <v>1.2372263362960723E-3</v>
      </c>
      <c r="AU655" s="72">
        <f>(BG655-Driver!$K$192)/(Driver!$L$192-Driver!$K$192)</f>
        <v>1.0475455387465265E-2</v>
      </c>
      <c r="AV655" s="70">
        <f t="shared" si="393"/>
        <v>1.1124677791344457</v>
      </c>
      <c r="AW655" s="70">
        <f t="shared" si="394"/>
        <v>22.83465919314574</v>
      </c>
      <c r="AX655" s="70">
        <f t="shared" si="395"/>
        <v>4.4963005122367674</v>
      </c>
      <c r="AY655" s="70">
        <f>IFERROR(Driver!$K$19/Data!BH655/Data!BI655*Data!BK655*Data!BL655,"")</f>
        <v>4.3496432212028549E-2</v>
      </c>
      <c r="AZ655" s="70">
        <f t="shared" si="396"/>
        <v>18.294862248696944</v>
      </c>
      <c r="BA655" s="70"/>
      <c r="BB655" s="70"/>
      <c r="BC655" s="70">
        <f t="shared" si="397"/>
        <v>21.597124375039979</v>
      </c>
      <c r="BD655" s="70">
        <f t="shared" si="398"/>
        <v>54.67808633753652</v>
      </c>
      <c r="BE655" s="70">
        <f t="shared" si="399"/>
        <v>1</v>
      </c>
      <c r="BF655" s="70">
        <f t="shared" si="400"/>
        <v>0.13973602267769558</v>
      </c>
      <c r="BG655" s="70">
        <f t="shared" si="401"/>
        <v>3.96667567150355E-2</v>
      </c>
      <c r="BH655" s="67">
        <f>MAX((CE655-Driver!$F$200)/(Driver!$G$200-Driver!$F$200)*$BI$1,1)</f>
        <v>4.4963005122367674</v>
      </c>
      <c r="BI655" s="67">
        <f>MAX($BI$1*(BY655-Driver!$F$201)/(Driver!$G$201-Driver!$F$201),1)</f>
        <v>7.9746835443037973</v>
      </c>
      <c r="BJ655" s="67">
        <f>(CB655-Driver!$F$206)/(Driver!$G$206-Driver!$F$206)*$BI$1</f>
        <v>1.2698412698412698</v>
      </c>
      <c r="BK655" s="67">
        <f>(CD655-Driver!$F$203)/(Driver!$G$203-Driver!$F$203)*$BI$1</f>
        <v>1.3302752293577984</v>
      </c>
      <c r="BL655" s="67">
        <f>MAX((CR655-Driver!$F$202)/(Driver!$G$202-Driver!$F$202)*$BI$1,1)</f>
        <v>5.8620689655172411</v>
      </c>
      <c r="BM655" s="67">
        <f>MAX((CH655-Driver!$F$204)/(Driver!$G$204-Driver!$F$204)*$BI$1,1)</f>
        <v>3.5042735042735043</v>
      </c>
      <c r="BN655" s="67">
        <f>(CI655-Driver!$F$205)/(Driver!$G$205-Driver!$F$205)*$BI$1</f>
        <v>2.2941176470588234</v>
      </c>
      <c r="BO655" s="67">
        <f>(CK655-Driver!$F$207)/(Driver!$G$207-Driver!$F$207)*$BI$1</f>
        <v>0.26887280248190282</v>
      </c>
      <c r="BP655" s="67">
        <f>(CM655-Driver!$F$208)/(Driver!$G$208-Driver!$F$208)*$BI$1</f>
        <v>0.5444444444444444</v>
      </c>
      <c r="BQ655" s="67">
        <f>(CL655-Driver!$F$209)/(Driver!$G$209-Driver!$F$209)*$BI$1</f>
        <v>0.625</v>
      </c>
      <c r="BR655" s="28" t="s">
        <v>155</v>
      </c>
      <c r="BS655" s="8" t="s">
        <v>164</v>
      </c>
      <c r="BT655" s="9" t="s">
        <v>714</v>
      </c>
      <c r="BU655" s="10">
        <v>152</v>
      </c>
      <c r="BV655" s="9" t="s">
        <v>163</v>
      </c>
      <c r="BW655" s="10">
        <v>152</v>
      </c>
      <c r="BX655" s="10">
        <v>152.80000000000001</v>
      </c>
      <c r="BY655" s="10">
        <v>134</v>
      </c>
      <c r="BZ655" s="10">
        <v>142</v>
      </c>
      <c r="CA655" s="10">
        <v>121</v>
      </c>
      <c r="CB655" s="10">
        <v>72</v>
      </c>
      <c r="CC655" s="10">
        <v>103</v>
      </c>
      <c r="CD655" s="10">
        <v>12.3</v>
      </c>
      <c r="CE655" s="10">
        <v>1690</v>
      </c>
      <c r="CF655" s="10">
        <v>0.79</v>
      </c>
      <c r="CG655" s="10">
        <v>1337</v>
      </c>
      <c r="CH655" s="10">
        <v>183</v>
      </c>
      <c r="CI655" s="10">
        <v>72</v>
      </c>
      <c r="CJ655" s="10">
        <v>41</v>
      </c>
      <c r="CK655" s="10">
        <v>136</v>
      </c>
      <c r="CL655" s="10">
        <v>4</v>
      </c>
      <c r="CM655" s="10">
        <v>49</v>
      </c>
      <c r="CN655" s="10">
        <v>9.6000000000000002E-2</v>
      </c>
      <c r="CO655" s="10">
        <v>74</v>
      </c>
      <c r="CP655" s="10">
        <v>39</v>
      </c>
      <c r="CQ655" s="10">
        <v>63</v>
      </c>
      <c r="CR655" s="10">
        <v>6</v>
      </c>
      <c r="CS655" s="10">
        <v>10.1</v>
      </c>
      <c r="CT655" s="9" t="s">
        <v>349</v>
      </c>
      <c r="CU655" s="10"/>
      <c r="CV655" s="10"/>
      <c r="CW655" s="10"/>
      <c r="CX655" t="str">
        <f>INDEX('Data_Price '!AG$2:AG$1266,MATCH(Data!$DN655,'Data_Price '!$AT$2:$AT$1266,0))</f>
        <v>Elan Insomnia Elite Ti 152</v>
      </c>
      <c r="CY655" t="str">
        <f>INDEX('Data_Price '!AH$2:AH$1266,MATCH(Data!$DN655,'Data_Price '!$AT$2:$AT$1266,0))</f>
        <v>Winteriscalling.com</v>
      </c>
      <c r="CZ655">
        <f>INDEX('Data_Price '!AI$2:AI$1266,MATCH(Data!$DN655,'Data_Price '!$AT$2:$AT$1266,0))</f>
        <v>899.99</v>
      </c>
      <c r="DA655" t="str">
        <f>INDEX('Data_Price '!AJ$2:AJ$1266,MATCH(Data!$DN655,'Data_Price '!$AT$2:$AT$1266,0))</f>
        <v>https://tinyurl.com/y7k7jhnh</v>
      </c>
      <c r="DB655" t="str">
        <f>INDEX('Data_Price '!AK$2:AK$1266,MATCH(Data!$DN655,'Data_Price '!$AT$2:$AT$1266,0))</f>
        <v>Elan Amphibio 14 Ti + EMX 11 Fusionx 21/22</v>
      </c>
      <c r="DC655" t="str">
        <f>INDEX('Data_Price '!AL$2:AL$1266,MATCH(Data!$DN655,'Data_Price '!$AT$2:$AT$1266,0))</f>
        <v>Snowcountry.eu</v>
      </c>
      <c r="DD655">
        <f>INDEX('Data_Price '!AM$2:AM$1266,MATCH(Data!$DN655,'Data_Price '!$AT$2:$AT$1266,0))</f>
        <v>414</v>
      </c>
      <c r="DE655" t="str">
        <f>INDEX('Data_Price '!AN$2:AN$1266,MATCH(Data!$DN655,'Data_Price '!$AT$2:$AT$1266,0))</f>
        <v>https://tinyurl.com/y77yzstk</v>
      </c>
      <c r="DF655" t="str">
        <f>INDEX('Data_Price '!AO$2:AO$1266,MATCH(Data!$DN655,'Data_Price '!$AT$2:$AT$1266,0))</f>
        <v>Elan Amphibio 14 Ti + EMX 11 Fusionx 21/22</v>
      </c>
      <c r="DG655" t="str">
        <f>INDEX('Data_Price '!AP$2:AP$1266,MATCH(Data!$DN655,'Data_Price '!$AT$2:$AT$1266,0))</f>
        <v>! OutdoorXL.com</v>
      </c>
      <c r="DH655">
        <f>INDEX('Data_Price '!AQ$2:AQ$1266,MATCH(Data!$DN655,'Data_Price '!$AT$2:$AT$1266,0))</f>
        <v>424.95</v>
      </c>
      <c r="DI655" t="str">
        <f>INDEX('Data_Price '!AR$2:AR$1266,MATCH(Data!$DN655,'Data_Price '!$AT$2:$AT$1266,0))</f>
        <v>https://tinyurl.com/y9nmdbu2</v>
      </c>
      <c r="DJ655" s="89" t="str">
        <f t="shared" si="402"/>
        <v>https://tinyurl.com/y7k7jhnh</v>
      </c>
      <c r="DK655" s="89" t="str">
        <f t="shared" si="403"/>
        <v>https://tinyurl.com/y77yzstk</v>
      </c>
      <c r="DL655" s="89" t="str">
        <f t="shared" si="404"/>
        <v>https://tinyurl.com/y9nmdbu2</v>
      </c>
      <c r="DM655" s="219" t="str">
        <f t="shared" si="405"/>
        <v>Insomnia 16 Ti</v>
      </c>
      <c r="DN655" s="89" t="str">
        <f t="shared" si="406"/>
        <v xml:space="preserve"> ElanInsomnia 16 Ti152 Women's</v>
      </c>
      <c r="DO655" s="221"/>
    </row>
    <row r="656" spans="2:119" ht="15.6" customHeight="1">
      <c r="B656" s="219" t="b">
        <f t="array" ref="B656">IF(OR(ISERROR(K656:P656)),FALSE,TRUE)</f>
        <v>1</v>
      </c>
      <c r="C656" s="43" t="b">
        <f>OR(BR656=Driver!$G$50,Data!BR1154=Driver!$H$50)</f>
        <v>1</v>
      </c>
      <c r="D656" s="43" t="b">
        <f>OR(BV656=Driver!$G$51,BV656=Driver!$H$51)</f>
        <v>0</v>
      </c>
      <c r="E656" s="43" t="b">
        <f>AND(BX656&gt;Driver!$F$54,BX656&lt;Driver!$G$54)</f>
        <v>1</v>
      </c>
      <c r="F656" s="43" t="b">
        <f>CL656&gt;Driver!$F$56</f>
        <v>1</v>
      </c>
      <c r="G656" s="43" t="b">
        <f>AND(CB656&gt;Driver!$F$55,CB656&lt;Driver!$G$55)</f>
        <v>0</v>
      </c>
      <c r="H656" s="43" t="b">
        <f t="shared" si="370"/>
        <v>0</v>
      </c>
      <c r="I656" s="43">
        <f t="shared" si="371"/>
        <v>0</v>
      </c>
      <c r="J656" s="43" t="b">
        <f t="array" ref="J656">NOT(OR(($H$9:$H$1273=TRUE)*($I$9:$I$1273&gt;0)*($BT$9:$BT$1273=BT656)*($K$9:$K$1273&gt;K656)))</f>
        <v>1</v>
      </c>
      <c r="K656" s="72">
        <f t="shared" si="372"/>
        <v>0.8300909883406915</v>
      </c>
      <c r="L656" s="72">
        <f t="shared" si="373"/>
        <v>0.86986406505458103</v>
      </c>
      <c r="M656" s="72">
        <f t="shared" si="374"/>
        <v>0.79031791162680209</v>
      </c>
      <c r="N656" s="72">
        <f t="shared" si="375"/>
        <v>0.77012512537753341</v>
      </c>
      <c r="O656" s="72">
        <f t="shared" si="376"/>
        <v>0.66754801878557335</v>
      </c>
      <c r="P656" s="72">
        <f t="shared" si="377"/>
        <v>0.93328059071729952</v>
      </c>
      <c r="Q656" s="72"/>
      <c r="R656" s="72"/>
      <c r="S656" s="72">
        <f t="shared" si="378"/>
        <v>0.45116553547167293</v>
      </c>
      <c r="T656" s="72">
        <f t="shared" si="379"/>
        <v>0.4733816213212797</v>
      </c>
      <c r="U656" s="72">
        <f t="shared" si="380"/>
        <v>0.54570106658836792</v>
      </c>
      <c r="V656" s="72">
        <f t="shared" si="381"/>
        <v>0.52554336886067365</v>
      </c>
      <c r="W656" s="72">
        <f t="shared" si="382"/>
        <v>0.8884897959183673</v>
      </c>
      <c r="X656" s="72">
        <f t="shared" si="383"/>
        <v>0.13013593494541897</v>
      </c>
      <c r="Y656" s="72">
        <f t="shared" si="384"/>
        <v>0.20968208837319791</v>
      </c>
      <c r="Z656" s="72">
        <f t="shared" si="385"/>
        <v>0.22987487462246653</v>
      </c>
      <c r="AA656" s="72">
        <f t="shared" si="386"/>
        <v>0.33245198121442665</v>
      </c>
      <c r="AB656" s="72">
        <f t="shared" si="387"/>
        <v>6.6719409282700454E-2</v>
      </c>
      <c r="AC656" s="72"/>
      <c r="AD656" s="72"/>
      <c r="AE656" s="72">
        <f t="shared" si="388"/>
        <v>0.54883446452832707</v>
      </c>
      <c r="AF656" s="72">
        <f t="shared" si="389"/>
        <v>0.5266183786787203</v>
      </c>
      <c r="AG656" s="72">
        <f t="shared" si="390"/>
        <v>0.45429893341163213</v>
      </c>
      <c r="AH656" s="72">
        <f t="shared" si="391"/>
        <v>0.4744566311393264</v>
      </c>
      <c r="AI656" s="72">
        <f t="shared" si="392"/>
        <v>0.11151020408163267</v>
      </c>
      <c r="AJ656" s="72">
        <f>(AV656-Driver!$K$179)/(Driver!$L$179-Driver!$K$179)</f>
        <v>0.12408347433728144</v>
      </c>
      <c r="AK656" s="72">
        <f>(AW656-Driver!$K$180)/(Driver!$L$180-Driver!$K$180)</f>
        <v>0.19845800446601722</v>
      </c>
      <c r="AL656" s="72">
        <f>(AX656-Driver!$K$181)/(Driver!$L$181-Driver!$K$181)</f>
        <v>0.33156263833554672</v>
      </c>
      <c r="AM656" s="72">
        <f>(AY656-Driver!$K$182)/(Driver!$L$182-Driver!$K$182)</f>
        <v>0.1149330398826197</v>
      </c>
      <c r="AN656" s="72">
        <f>(AZ656-Driver!$K$183)/(Driver!$L$183-Driver!$K$183)</f>
        <v>0.18749999999999997</v>
      </c>
      <c r="AO656" s="72"/>
      <c r="AP656" s="72"/>
      <c r="AQ656" s="72">
        <f>(BC656-Driver!$K$188)/(Driver!$L$188-Driver!$K$188)</f>
        <v>7.1165535471672967E-2</v>
      </c>
      <c r="AR656" s="72">
        <f>MIN((BD656-Driver!$K$189)/(Driver!$L$189-Driver!$K$189),100%)</f>
        <v>2.3381621321279779E-2</v>
      </c>
      <c r="AS656" s="72">
        <f>(BE656-Driver!$K$190)/(Driver!$L$190-Driver!$K$190)</f>
        <v>5.5701066588367862E-2</v>
      </c>
      <c r="AT656" s="72">
        <f>(BF656-Driver!$K$191)/(Driver!$L$191-Driver!$K$191)</f>
        <v>3.5543368860673608E-2</v>
      </c>
      <c r="AU656" s="72">
        <f>(BG656-Driver!$K$192)/(Driver!$L$192-Driver!$K$192)</f>
        <v>0.13848979591836733</v>
      </c>
      <c r="AV656" s="70">
        <f t="shared" si="393"/>
        <v>2.6115859449192782</v>
      </c>
      <c r="AW656" s="70">
        <f t="shared" si="394"/>
        <v>21.213383673482255</v>
      </c>
      <c r="AX656" s="70">
        <f t="shared" si="395"/>
        <v>3.9840637450199203</v>
      </c>
      <c r="AY656" s="70">
        <f>IFERROR(Driver!$K$19/Data!BH656/Data!BI656*Data!BK656*Data!BL656,"")</f>
        <v>0.14071233352562793</v>
      </c>
      <c r="AZ656" s="70">
        <f t="shared" si="396"/>
        <v>17.088607594936708</v>
      </c>
      <c r="BA656" s="70"/>
      <c r="BB656" s="70"/>
      <c r="BC656" s="70">
        <f t="shared" si="397"/>
        <v>36.914057983932999</v>
      </c>
      <c r="BD656" s="70">
        <f t="shared" si="398"/>
        <v>3.7900549412495352</v>
      </c>
      <c r="BE656" s="70">
        <f t="shared" si="399"/>
        <v>5.5869518889551273E-2</v>
      </c>
      <c r="BF656" s="70">
        <f t="shared" si="400"/>
        <v>4.0143738065144463</v>
      </c>
      <c r="BG656" s="70">
        <f t="shared" si="401"/>
        <v>0.52441071428571429</v>
      </c>
      <c r="BH656" s="67">
        <f>MAX((CE656-Driver!$F$200)/(Driver!$G$200-Driver!$F$200)*$BI$1,1)</f>
        <v>3.9840637450199203</v>
      </c>
      <c r="BI656" s="67">
        <f>MAX($BI$1*(BY656-Driver!$F$201)/(Driver!$G$201-Driver!$F$201),1)</f>
        <v>6.4556962025316453</v>
      </c>
      <c r="BJ656" s="67">
        <f>(CB656-Driver!$F$206)/(Driver!$G$206-Driver!$F$206)*$BI$1</f>
        <v>3.4920634920634921</v>
      </c>
      <c r="BK656" s="67">
        <f>(CD656-Driver!$F$203)/(Driver!$G$203-Driver!$F$203)*$BI$1</f>
        <v>4.0366972477064227</v>
      </c>
      <c r="BL656" s="67">
        <f>MAX((CR656-Driver!$F$202)/(Driver!$G$202-Driver!$F$202)*$BI$1,1)</f>
        <v>4.4827586206896548</v>
      </c>
      <c r="BM656" s="67">
        <f>MAX((CH656-Driver!$F$204)/(Driver!$G$204-Driver!$F$204)*$BI$1,1)</f>
        <v>2.9914529914529915</v>
      </c>
      <c r="BN656" s="67">
        <f>(CI656-Driver!$F$205)/(Driver!$G$205-Driver!$F$205)*$BI$1</f>
        <v>2.6470588235294117</v>
      </c>
      <c r="BO656" s="67">
        <f>(CK656-Driver!$F$207)/(Driver!$G$207-Driver!$F$207)*$BI$1</f>
        <v>1.6442605997931747</v>
      </c>
      <c r="BP656" s="67">
        <f>(CM656-Driver!$F$208)/(Driver!$G$208-Driver!$F$208)*$BI$1</f>
        <v>2.822222222222222</v>
      </c>
      <c r="BQ656" s="67">
        <f>(CL656-Driver!$F$209)/(Driver!$G$209-Driver!$F$209)*$BI$1</f>
        <v>6.25</v>
      </c>
      <c r="BR656" s="28" t="s">
        <v>155</v>
      </c>
      <c r="BS656" s="8" t="s">
        <v>229</v>
      </c>
      <c r="BT656" s="9" t="s">
        <v>445</v>
      </c>
      <c r="BU656" s="10">
        <v>164</v>
      </c>
      <c r="BV656" s="9" t="s">
        <v>163</v>
      </c>
      <c r="BW656" s="10">
        <v>164</v>
      </c>
      <c r="BX656" s="10">
        <v>162.5</v>
      </c>
      <c r="BY656" s="10">
        <v>110</v>
      </c>
      <c r="BZ656" s="10">
        <v>147</v>
      </c>
      <c r="CA656" s="10">
        <v>120</v>
      </c>
      <c r="CB656" s="10">
        <v>86</v>
      </c>
      <c r="CC656" s="10">
        <v>110</v>
      </c>
      <c r="CD656" s="10">
        <v>18.2</v>
      </c>
      <c r="CE656" s="10">
        <v>1600</v>
      </c>
      <c r="CF656" s="10">
        <v>0.98</v>
      </c>
      <c r="CG656" s="10">
        <v>1562</v>
      </c>
      <c r="CH656" s="10">
        <v>171</v>
      </c>
      <c r="CI656" s="10">
        <v>78</v>
      </c>
      <c r="CJ656" s="10">
        <v>41</v>
      </c>
      <c r="CK656" s="10">
        <v>269</v>
      </c>
      <c r="CL656" s="10">
        <v>40</v>
      </c>
      <c r="CM656" s="10">
        <v>254</v>
      </c>
      <c r="CN656" s="10">
        <v>0.97299999999999998</v>
      </c>
      <c r="CO656" s="10">
        <v>78</v>
      </c>
      <c r="CP656" s="10">
        <v>76</v>
      </c>
      <c r="CQ656" s="10">
        <v>191</v>
      </c>
      <c r="CR656" s="10">
        <v>2</v>
      </c>
      <c r="CS656" s="10">
        <v>2.2000000000000002</v>
      </c>
      <c r="CT656" s="9" t="s">
        <v>184</v>
      </c>
      <c r="CU656" s="10"/>
      <c r="CV656" s="10"/>
      <c r="CW656" s="10"/>
      <c r="CX656" t="e">
        <f>INDEX('Data_Price '!AG$2:AG$1266,MATCH(Data!$DN656,'Data_Price '!$AT$2:$AT$1266,0))</f>
        <v>#N/A</v>
      </c>
      <c r="CY656" t="e">
        <f>INDEX('Data_Price '!AH$2:AH$1266,MATCH(Data!$DN656,'Data_Price '!$AT$2:$AT$1266,0))</f>
        <v>#N/A</v>
      </c>
      <c r="CZ656" t="e">
        <f>INDEX('Data_Price '!AI$2:AI$1266,MATCH(Data!$DN656,'Data_Price '!$AT$2:$AT$1266,0))</f>
        <v>#N/A</v>
      </c>
      <c r="DA656" t="e">
        <f>INDEX('Data_Price '!AJ$2:AJ$1266,MATCH(Data!$DN656,'Data_Price '!$AT$2:$AT$1266,0))</f>
        <v>#N/A</v>
      </c>
      <c r="DB656" t="e">
        <f>INDEX('Data_Price '!AK$2:AK$1266,MATCH(Data!$DN656,'Data_Price '!$AT$2:$AT$1266,0))</f>
        <v>#N/A</v>
      </c>
      <c r="DC656" t="e">
        <f>INDEX('Data_Price '!AL$2:AL$1266,MATCH(Data!$DN656,'Data_Price '!$AT$2:$AT$1266,0))</f>
        <v>#N/A</v>
      </c>
      <c r="DD656" t="e">
        <f>INDEX('Data_Price '!AM$2:AM$1266,MATCH(Data!$DN656,'Data_Price '!$AT$2:$AT$1266,0))</f>
        <v>#N/A</v>
      </c>
      <c r="DE656" t="e">
        <f>INDEX('Data_Price '!AN$2:AN$1266,MATCH(Data!$DN656,'Data_Price '!$AT$2:$AT$1266,0))</f>
        <v>#N/A</v>
      </c>
      <c r="DF656" t="e">
        <f>INDEX('Data_Price '!AO$2:AO$1266,MATCH(Data!$DN656,'Data_Price '!$AT$2:$AT$1266,0))</f>
        <v>#N/A</v>
      </c>
      <c r="DG656" t="e">
        <f>INDEX('Data_Price '!AP$2:AP$1266,MATCH(Data!$DN656,'Data_Price '!$AT$2:$AT$1266,0))</f>
        <v>#N/A</v>
      </c>
      <c r="DH656" t="e">
        <f>INDEX('Data_Price '!AQ$2:AQ$1266,MATCH(Data!$DN656,'Data_Price '!$AT$2:$AT$1266,0))</f>
        <v>#N/A</v>
      </c>
      <c r="DI656" t="e">
        <f>INDEX('Data_Price '!AR$2:AR$1266,MATCH(Data!$DN656,'Data_Price '!$AT$2:$AT$1266,0))</f>
        <v>#N/A</v>
      </c>
      <c r="DJ656" s="89" t="e">
        <f t="shared" si="402"/>
        <v>#N/A</v>
      </c>
      <c r="DK656" s="89" t="e">
        <f t="shared" si="403"/>
        <v>#N/A</v>
      </c>
      <c r="DL656" s="89" t="e">
        <f t="shared" si="404"/>
        <v>#N/A</v>
      </c>
      <c r="DM656" s="219" t="str">
        <f t="shared" si="405"/>
        <v>Bash 86 W</v>
      </c>
      <c r="DN656" s="89" t="str">
        <f t="shared" si="406"/>
        <v xml:space="preserve"> VölklBash 86 W164 Women's</v>
      </c>
      <c r="DO656" s="221" t="s">
        <v>446</v>
      </c>
    </row>
    <row r="657" spans="2:119" ht="15.6" customHeight="1">
      <c r="B657" s="219" t="b">
        <f t="array" ref="B657">IF(OR(ISERROR(K657:P657)),FALSE,TRUE)</f>
        <v>1</v>
      </c>
      <c r="C657" s="43" t="b">
        <f>OR(BR657=Driver!$G$50,Data!BR140=Driver!$H$50)</f>
        <v>1</v>
      </c>
      <c r="D657" s="43" t="b">
        <f>OR(BV657=Driver!$G$51,BV657=Driver!$H$51)</f>
        <v>0</v>
      </c>
      <c r="E657" s="43" t="b">
        <f>AND(BX657&gt;Driver!$F$54,BX657&lt;Driver!$G$54)</f>
        <v>1</v>
      </c>
      <c r="F657" s="43" t="b">
        <f>CL657&gt;Driver!$F$56</f>
        <v>1</v>
      </c>
      <c r="G657" s="43" t="b">
        <f>AND(CB657&gt;Driver!$F$55,CB657&lt;Driver!$G$55)</f>
        <v>0</v>
      </c>
      <c r="H657" s="43" t="b">
        <f t="shared" si="370"/>
        <v>0</v>
      </c>
      <c r="I657" s="43">
        <f t="shared" si="371"/>
        <v>0</v>
      </c>
      <c r="J657" s="43" t="b">
        <f t="array" ref="J657">NOT(OR(($H$9:$H$1273=TRUE)*($I$9:$I$1273&gt;0)*($BT$9:$BT$1273=BT657)*($K$9:$K$1273&gt;K657)))</f>
        <v>1</v>
      </c>
      <c r="K657" s="72">
        <f t="shared" si="372"/>
        <v>0.79089236596452528</v>
      </c>
      <c r="L657" s="72">
        <f t="shared" si="373"/>
        <v>0.80943380157863221</v>
      </c>
      <c r="M657" s="72">
        <f t="shared" si="374"/>
        <v>0.77235093035041835</v>
      </c>
      <c r="N657" s="72">
        <f t="shared" si="375"/>
        <v>0.80553902533326616</v>
      </c>
      <c r="O657" s="72">
        <f t="shared" si="376"/>
        <v>0.59579853447781361</v>
      </c>
      <c r="P657" s="72">
        <f t="shared" si="377"/>
        <v>0.9157152312401754</v>
      </c>
      <c r="Q657" s="72"/>
      <c r="R657" s="72"/>
      <c r="S657" s="72">
        <f t="shared" si="378"/>
        <v>0.41913645960487056</v>
      </c>
      <c r="T657" s="72">
        <f t="shared" si="379"/>
        <v>0.68807788192547659</v>
      </c>
      <c r="U657" s="72">
        <f t="shared" si="380"/>
        <v>0.51</v>
      </c>
      <c r="V657" s="72">
        <f t="shared" si="381"/>
        <v>0.49225010019281734</v>
      </c>
      <c r="W657" s="72">
        <f t="shared" si="382"/>
        <v>0.76667289095054647</v>
      </c>
      <c r="X657" s="72">
        <f t="shared" si="383"/>
        <v>0.19056619842136774</v>
      </c>
      <c r="Y657" s="72">
        <f t="shared" si="384"/>
        <v>0.22764906964958165</v>
      </c>
      <c r="Z657" s="72">
        <f t="shared" si="385"/>
        <v>0.1944609746667339</v>
      </c>
      <c r="AA657" s="72">
        <f t="shared" si="386"/>
        <v>0.40420146552218644</v>
      </c>
      <c r="AB657" s="72">
        <f t="shared" si="387"/>
        <v>8.428476875982463E-2</v>
      </c>
      <c r="AC657" s="72"/>
      <c r="AD657" s="72"/>
      <c r="AE657" s="72">
        <f t="shared" si="388"/>
        <v>0.58086354039512944</v>
      </c>
      <c r="AF657" s="72">
        <f t="shared" si="389"/>
        <v>0.31192211807452341</v>
      </c>
      <c r="AG657" s="72">
        <f t="shared" si="390"/>
        <v>0.49</v>
      </c>
      <c r="AH657" s="72">
        <f t="shared" si="391"/>
        <v>0.50774989980718266</v>
      </c>
      <c r="AI657" s="72">
        <f t="shared" si="392"/>
        <v>0.23332710904945358</v>
      </c>
      <c r="AJ657" s="72">
        <f>(AV657-Driver!$K$179)/(Driver!$L$179-Driver!$K$179)</f>
        <v>6.3653210861332687E-2</v>
      </c>
      <c r="AK657" s="72">
        <f>(AW657-Driver!$K$180)/(Driver!$L$180-Driver!$K$180)</f>
        <v>0.17785996566510412</v>
      </c>
      <c r="AL657" s="72">
        <f>(AX657-Driver!$K$181)/(Driver!$L$181-Driver!$K$181)</f>
        <v>0.29614873837981409</v>
      </c>
      <c r="AM657" s="72">
        <f>(AY657-Driver!$K$182)/(Driver!$L$182-Driver!$K$182)</f>
        <v>4.3183555574859915E-2</v>
      </c>
      <c r="AN657" s="72">
        <f>(AZ657-Driver!$K$183)/(Driver!$L$183-Driver!$K$183)</f>
        <v>0.1699346405228758</v>
      </c>
      <c r="AO657" s="72"/>
      <c r="AP657" s="72"/>
      <c r="AQ657" s="72">
        <f>(BC657-Driver!$K$188)/(Driver!$L$188-Driver!$K$188)</f>
        <v>3.9136459604870499E-2</v>
      </c>
      <c r="AR657" s="72">
        <f>MIN((BD657-Driver!$K$189)/(Driver!$L$189-Driver!$K$189),100%)</f>
        <v>0.23807788192547666</v>
      </c>
      <c r="AS657" s="72">
        <f>(BE657-Driver!$K$190)/(Driver!$L$190-Driver!$K$190)</f>
        <v>1</v>
      </c>
      <c r="AT657" s="72">
        <f>(BF657-Driver!$K$191)/(Driver!$L$191-Driver!$K$191)</f>
        <v>2.2501001928173681E-3</v>
      </c>
      <c r="AU657" s="72">
        <f>(BG657-Driver!$K$192)/(Driver!$L$192-Driver!$K$192)</f>
        <v>1.6672890950546422E-2</v>
      </c>
      <c r="AV657" s="70">
        <f t="shared" si="393"/>
        <v>1.3397096730430065</v>
      </c>
      <c r="AW657" s="70">
        <f t="shared" si="394"/>
        <v>19.205922275142314</v>
      </c>
      <c r="AX657" s="70">
        <f t="shared" si="395"/>
        <v>3.665338645418327</v>
      </c>
      <c r="AY657" s="70">
        <f>IFERROR(Driver!$K$19/Data!BH657/Data!BI657*Data!BK657*Data!BL657,"")</f>
        <v>5.2869556753027867E-2</v>
      </c>
      <c r="AZ657" s="70">
        <f t="shared" si="396"/>
        <v>15.487714072970959</v>
      </c>
      <c r="BA657" s="70"/>
      <c r="BB657" s="70"/>
      <c r="BC657" s="70">
        <f t="shared" si="397"/>
        <v>20.300353669299515</v>
      </c>
      <c r="BD657" s="70">
        <f t="shared" si="398"/>
        <v>22.790293585457761</v>
      </c>
      <c r="BE657" s="70">
        <f t="shared" si="399"/>
        <v>1</v>
      </c>
      <c r="BF657" s="70">
        <f t="shared" si="400"/>
        <v>0.2541330089302053</v>
      </c>
      <c r="BG657" s="70">
        <f t="shared" si="401"/>
        <v>6.3134201293340658E-2</v>
      </c>
      <c r="BH657" s="67">
        <f>MAX((CE657-Driver!$F$200)/(Driver!$G$200-Driver!$F$200)*$BI$1,1)</f>
        <v>3.665338645418327</v>
      </c>
      <c r="BI657" s="67">
        <f>MAX($BI$1*(BY657-Driver!$F$201)/(Driver!$G$201-Driver!$F$201),1)</f>
        <v>8.2278481012658222</v>
      </c>
      <c r="BJ657" s="67">
        <f>(CB657-Driver!$F$206)/(Driver!$G$206-Driver!$F$206)*$BI$1</f>
        <v>1.5873015873015872</v>
      </c>
      <c r="BK657" s="67">
        <f>(CD657-Driver!$F$203)/(Driver!$G$203-Driver!$F$203)*$BI$1</f>
        <v>1.6513761467889909</v>
      </c>
      <c r="BL657" s="67">
        <f>MAX((CR657-Driver!$F$202)/(Driver!$G$202-Driver!$F$202)*$BI$1,1)</f>
        <v>4.8275862068965516</v>
      </c>
      <c r="BM657" s="67">
        <f>MAX((CH657-Driver!$F$204)/(Driver!$G$204-Driver!$F$204)*$BI$1,1)</f>
        <v>3.3760683760683765</v>
      </c>
      <c r="BN657" s="67">
        <f>(CI657-Driver!$F$205)/(Driver!$G$205-Driver!$F$205)*$BI$1</f>
        <v>1.8823529411764706</v>
      </c>
      <c r="BO657" s="67">
        <f>(CK657-Driver!$F$207)/(Driver!$G$207-Driver!$F$207)*$BI$1</f>
        <v>0.40330920372285417</v>
      </c>
      <c r="BP657" s="67">
        <f>(CM657-Driver!$F$208)/(Driver!$G$208-Driver!$F$208)*$BI$1</f>
        <v>0.65555555555555567</v>
      </c>
      <c r="BQ657" s="67">
        <f>(CL657-Driver!$F$209)/(Driver!$G$209-Driver!$F$209)*$BI$1</f>
        <v>0.78125</v>
      </c>
      <c r="BR657" s="28" t="s">
        <v>155</v>
      </c>
      <c r="BS657" s="8" t="s">
        <v>156</v>
      </c>
      <c r="BT657" s="9" t="s">
        <v>715</v>
      </c>
      <c r="BU657" s="10">
        <v>160</v>
      </c>
      <c r="BV657" s="9" t="s">
        <v>163</v>
      </c>
      <c r="BW657" s="10">
        <v>160</v>
      </c>
      <c r="BX657" s="10">
        <v>159.30000000000001</v>
      </c>
      <c r="BY657" s="10">
        <v>138</v>
      </c>
      <c r="BZ657" s="10">
        <v>145</v>
      </c>
      <c r="CA657" s="10">
        <v>122</v>
      </c>
      <c r="CB657" s="10">
        <v>74</v>
      </c>
      <c r="CC657" s="10">
        <v>106</v>
      </c>
      <c r="CD657" s="10">
        <v>13</v>
      </c>
      <c r="CE657" s="10">
        <v>1544</v>
      </c>
      <c r="CF657" s="10">
        <v>0.92</v>
      </c>
      <c r="CG657" s="10">
        <v>1425</v>
      </c>
      <c r="CH657" s="10">
        <v>180</v>
      </c>
      <c r="CI657" s="10">
        <v>65</v>
      </c>
      <c r="CJ657" s="10">
        <v>39</v>
      </c>
      <c r="CK657" s="10">
        <v>149</v>
      </c>
      <c r="CL657" s="10">
        <v>5</v>
      </c>
      <c r="CM657" s="10">
        <v>59</v>
      </c>
      <c r="CN657" s="10">
        <v>0.121</v>
      </c>
      <c r="CO657" s="10">
        <v>83</v>
      </c>
      <c r="CP657" s="10">
        <v>56</v>
      </c>
      <c r="CQ657" s="10">
        <v>66</v>
      </c>
      <c r="CR657" s="10">
        <v>3</v>
      </c>
      <c r="CS657" s="10">
        <v>13.2</v>
      </c>
      <c r="CT657" s="9" t="s">
        <v>349</v>
      </c>
      <c r="CU657" s="10"/>
      <c r="CV657" s="10"/>
      <c r="CW657" s="10"/>
      <c r="CX657" t="str">
        <f>INDEX('Data_Price '!AG$2:AG$1266,MATCH(Data!$DN657,'Data_Price '!$AT$2:$AT$1266,0))</f>
        <v>Atomic Women's Cloud 11 Skis with M 10 GW Bindings 160</v>
      </c>
      <c r="CY657" t="str">
        <f>INDEX('Data_Price '!AH$2:AH$1266,MATCH(Data!$DN657,'Data_Price '!$AT$2:$AT$1266,0))</f>
        <v>eBay - asogear</v>
      </c>
      <c r="CZ657">
        <f>INDEX('Data_Price '!AI$2:AI$1266,MATCH(Data!$DN657,'Data_Price '!$AT$2:$AT$1266,0))</f>
        <v>509.99</v>
      </c>
      <c r="DA657" t="str">
        <f>INDEX('Data_Price '!AJ$2:AJ$1266,MATCH(Data!$DN657,'Data_Price '!$AT$2:$AT$1266,0))</f>
        <v>https://tinyurl.com/y7voq4wz</v>
      </c>
      <c r="DB657" t="str">
        <f>INDEX('Data_Price '!AK$2:AK$1266,MATCH(Data!$DN657,'Data_Price '!$AT$2:$AT$1266,0))</f>
        <v>Atomic Women's Cloud 11 Skis with M 10 GW Bindings 160</v>
      </c>
      <c r="DC657" t="str">
        <f>INDEX('Data_Price '!AL$2:AL$1266,MATCH(Data!$DN657,'Data_Price '!$AT$2:$AT$1266,0))</f>
        <v>The-House.com</v>
      </c>
      <c r="DD657">
        <f>INDEX('Data_Price '!AM$2:AM$1266,MATCH(Data!$DN657,'Data_Price '!$AT$2:$AT$1266,0))</f>
        <v>559.99</v>
      </c>
      <c r="DE657" t="str">
        <f>INDEX('Data_Price '!AN$2:AN$1266,MATCH(Data!$DN657,'Data_Price '!$AT$2:$AT$1266,0))</f>
        <v>https://tinyurl.com/ya8kqoac</v>
      </c>
      <c r="DF657" t="str">
        <f>INDEX('Data_Price '!AO$2:AO$1266,MATCH(Data!$DN657,'Data_Price '!$AT$2:$AT$1266,0))</f>
        <v>Atomic Women's Cloud 11 Skis with M 10 GW Bindings 160</v>
      </c>
      <c r="DG657" t="str">
        <f>INDEX('Data_Price '!AP$2:AP$1266,MATCH(Data!$DN657,'Data_Price '!$AT$2:$AT$1266,0))</f>
        <v>WinterWomen.com</v>
      </c>
      <c r="DH657">
        <f>INDEX('Data_Price '!AQ$2:AQ$1266,MATCH(Data!$DN657,'Data_Price '!$AT$2:$AT$1266,0))</f>
        <v>699.95</v>
      </c>
      <c r="DI657" t="str">
        <f>INDEX('Data_Price '!AR$2:AR$1266,MATCH(Data!$DN657,'Data_Price '!$AT$2:$AT$1266,0))</f>
        <v>https://tinyurl.com/ya9u89hr</v>
      </c>
      <c r="DJ657" s="89" t="str">
        <f t="shared" si="402"/>
        <v>https://tinyurl.com/y7voq4wz</v>
      </c>
      <c r="DK657" s="89" t="str">
        <f t="shared" si="403"/>
        <v>https://tinyurl.com/ya8kqoac</v>
      </c>
      <c r="DL657" s="89" t="str">
        <f t="shared" si="404"/>
        <v>https://tinyurl.com/ya9u89hr</v>
      </c>
      <c r="DM657" s="219" t="str">
        <f t="shared" si="405"/>
        <v>Cloud C11 WB</v>
      </c>
      <c r="DN657" s="89" t="str">
        <f t="shared" si="406"/>
        <v xml:space="preserve"> AtomicCloud C11 WB160 Women's</v>
      </c>
      <c r="DO657" s="221"/>
    </row>
    <row r="658" spans="2:119" ht="15.6" customHeight="1">
      <c r="B658" s="219" t="b">
        <f t="array" ref="B658">IF(OR(ISERROR(K658:P658)),FALSE,TRUE)</f>
        <v>1</v>
      </c>
      <c r="C658" s="43" t="b">
        <f>OR(BR658=Driver!$G$50,Data!BR1190=Driver!$H$50)</f>
        <v>1</v>
      </c>
      <c r="D658" s="43" t="b">
        <f>OR(BV658=Driver!$G$51,BV658=Driver!$H$51)</f>
        <v>0</v>
      </c>
      <c r="E658" s="43" t="b">
        <f>AND(BX658&gt;Driver!$F$54,BX658&lt;Driver!$G$54)</f>
        <v>0</v>
      </c>
      <c r="F658" s="43" t="b">
        <f>CL658&gt;Driver!$F$56</f>
        <v>1</v>
      </c>
      <c r="G658" s="43" t="b">
        <f>AND(CB658&gt;Driver!$F$55,CB658&lt;Driver!$G$55)</f>
        <v>0</v>
      </c>
      <c r="H658" s="43" t="b">
        <f t="shared" si="370"/>
        <v>0</v>
      </c>
      <c r="I658" s="43">
        <f t="shared" si="371"/>
        <v>0</v>
      </c>
      <c r="J658" s="43" t="b">
        <f t="array" ref="J658">NOT(OR(($H$9:$H$1273=TRUE)*($I$9:$I$1273&gt;0)*($BT$9:$BT$1273=BT658)*($K$9:$K$1273&gt;K658)))</f>
        <v>1</v>
      </c>
      <c r="K658" s="72">
        <f t="shared" si="372"/>
        <v>0.76470439220970909</v>
      </c>
      <c r="L658" s="72">
        <f t="shared" si="373"/>
        <v>0.79170759095902055</v>
      </c>
      <c r="M658" s="72">
        <f t="shared" si="374"/>
        <v>0.73770119346039764</v>
      </c>
      <c r="N658" s="72">
        <f t="shared" si="375"/>
        <v>0.74925622004647685</v>
      </c>
      <c r="O658" s="72">
        <f t="shared" si="376"/>
        <v>0.57852428595728567</v>
      </c>
      <c r="P658" s="72">
        <f t="shared" si="377"/>
        <v>0.8853230743774303</v>
      </c>
      <c r="Q658" s="72"/>
      <c r="R658" s="72"/>
      <c r="S658" s="72">
        <f t="shared" si="378"/>
        <v>0.39696122311828608</v>
      </c>
      <c r="T658" s="72">
        <f t="shared" si="379"/>
        <v>0.9171316402628118</v>
      </c>
      <c r="U658" s="72">
        <f t="shared" si="380"/>
        <v>0.51</v>
      </c>
      <c r="V658" s="72">
        <f t="shared" si="381"/>
        <v>0.49137479531440653</v>
      </c>
      <c r="W658" s="72">
        <f t="shared" si="382"/>
        <v>0.77030229051482735</v>
      </c>
      <c r="X658" s="72">
        <f t="shared" si="383"/>
        <v>0.2082924090409794</v>
      </c>
      <c r="Y658" s="72">
        <f t="shared" si="384"/>
        <v>0.26229880653960241</v>
      </c>
      <c r="Z658" s="72">
        <f t="shared" si="385"/>
        <v>0.25074377995352315</v>
      </c>
      <c r="AA658" s="72">
        <f t="shared" si="386"/>
        <v>0.42147571404271439</v>
      </c>
      <c r="AB658" s="72">
        <f t="shared" si="387"/>
        <v>0.1146769256225697</v>
      </c>
      <c r="AC658" s="72"/>
      <c r="AD658" s="72"/>
      <c r="AE658" s="72">
        <f t="shared" si="388"/>
        <v>0.60303877688171392</v>
      </c>
      <c r="AF658" s="72">
        <f t="shared" si="389"/>
        <v>8.2868359737188202E-2</v>
      </c>
      <c r="AG658" s="72">
        <f t="shared" si="390"/>
        <v>0.49</v>
      </c>
      <c r="AH658" s="72">
        <f t="shared" si="391"/>
        <v>0.50862520468559347</v>
      </c>
      <c r="AI658" s="72">
        <f t="shared" si="392"/>
        <v>0.22969770948517268</v>
      </c>
      <c r="AJ658" s="72">
        <f>(AV658-Driver!$K$179)/(Driver!$L$179-Driver!$K$179)</f>
        <v>4.5927000241721042E-2</v>
      </c>
      <c r="AK658" s="72">
        <f>(AW658-Driver!$K$180)/(Driver!$L$180-Driver!$K$180)</f>
        <v>0.1544190834360652</v>
      </c>
      <c r="AL658" s="72">
        <f>(AX658-Driver!$K$181)/(Driver!$L$181-Driver!$K$181)</f>
        <v>0.35243154366660334</v>
      </c>
      <c r="AM658" s="72">
        <f>(AY658-Driver!$K$182)/(Driver!$L$182-Driver!$K$182)</f>
        <v>2.5909307054331993E-2</v>
      </c>
      <c r="AN658" s="72">
        <f>(AZ658-Driver!$K$183)/(Driver!$L$183-Driver!$K$183)</f>
        <v>0.13954248366013072</v>
      </c>
      <c r="AO658" s="72"/>
      <c r="AP658" s="72"/>
      <c r="AQ658" s="72">
        <f>(BC658-Driver!$K$188)/(Driver!$L$188-Driver!$K$188)</f>
        <v>1.6961223118286028E-2</v>
      </c>
      <c r="AR658" s="72">
        <f>MIN((BD658-Driver!$K$189)/(Driver!$L$189-Driver!$K$189),100%)</f>
        <v>0.46713164026281184</v>
      </c>
      <c r="AS658" s="72">
        <f>(BE658-Driver!$K$190)/(Driver!$L$190-Driver!$K$190)</f>
        <v>1</v>
      </c>
      <c r="AT658" s="72">
        <f>(BF658-Driver!$K$191)/(Driver!$L$191-Driver!$K$191)</f>
        <v>1.3747953144064942E-3</v>
      </c>
      <c r="AU658" s="72">
        <f>(BG658-Driver!$K$192)/(Driver!$L$192-Driver!$K$192)</f>
        <v>2.0302290514827317E-2</v>
      </c>
      <c r="AV658" s="70">
        <f t="shared" si="393"/>
        <v>0.96662596662596645</v>
      </c>
      <c r="AW658" s="70">
        <f t="shared" si="394"/>
        <v>16.921400594576184</v>
      </c>
      <c r="AX658" s="70">
        <f t="shared" si="395"/>
        <v>4.1718838929994302</v>
      </c>
      <c r="AY658" s="70">
        <f>IFERROR(Driver!$K$19/Data!BH658/Data!BI658*Data!BK658*Data!BL658,"")</f>
        <v>3.1720722425600645E-2</v>
      </c>
      <c r="AZ658" s="70">
        <f t="shared" si="396"/>
        <v>12.717795979151154</v>
      </c>
      <c r="BA658" s="70"/>
      <c r="BB658" s="70"/>
      <c r="BC658" s="70">
        <f t="shared" si="397"/>
        <v>8.7979043439651186</v>
      </c>
      <c r="BD658" s="70">
        <f t="shared" si="398"/>
        <v>43.061145339068105</v>
      </c>
      <c r="BE658" s="70">
        <f t="shared" si="399"/>
        <v>1</v>
      </c>
      <c r="BF658" s="70">
        <f t="shared" si="400"/>
        <v>0.15527347227849772</v>
      </c>
      <c r="BG658" s="70">
        <f t="shared" si="401"/>
        <v>7.6877423350326726E-2</v>
      </c>
      <c r="BH658" s="67">
        <f>MAX((CE658-Driver!$F$200)/(Driver!$G$200-Driver!$F$200)*$BI$1,1)</f>
        <v>4.1718838929994302</v>
      </c>
      <c r="BI658" s="67">
        <f>MAX($BI$1*(BY658-Driver!$F$201)/(Driver!$G$201-Driver!$F$201),1)</f>
        <v>7.7215189873417724</v>
      </c>
      <c r="BJ658" s="67">
        <f>(CB658-Driver!$F$206)/(Driver!$G$206-Driver!$F$206)*$BI$1</f>
        <v>1.5873015873015872</v>
      </c>
      <c r="BK658" s="67">
        <f>(CD658-Driver!$F$203)/(Driver!$G$203-Driver!$F$203)*$BI$1</f>
        <v>0.87155963302752326</v>
      </c>
      <c r="BL658" s="67">
        <f>MAX((CR658-Driver!$F$202)/(Driver!$G$202-Driver!$F$202)*$BI$1,1)</f>
        <v>5.8620689655172411</v>
      </c>
      <c r="BM658" s="67">
        <f>MAX((CH658-Driver!$F$204)/(Driver!$G$204-Driver!$F$204)*$BI$1,1)</f>
        <v>2.4358974358974357</v>
      </c>
      <c r="BN658" s="67">
        <f>(CI658-Driver!$F$205)/(Driver!$G$205-Driver!$F$205)*$BI$1</f>
        <v>1.6470588235294117</v>
      </c>
      <c r="BO658" s="67">
        <f>(CK658-Driver!$F$207)/(Driver!$G$207-Driver!$F$207)*$BI$1</f>
        <v>0.14477766287487073</v>
      </c>
      <c r="BP658" s="67">
        <f>(CM658-Driver!$F$208)/(Driver!$G$208-Driver!$F$208)*$BI$1</f>
        <v>0.58888888888888891</v>
      </c>
      <c r="BQ658" s="67">
        <f>(CL658-Driver!$F$209)/(Driver!$G$209-Driver!$F$209)*$BI$1</f>
        <v>0.78125</v>
      </c>
      <c r="BR658" s="28" t="s">
        <v>155</v>
      </c>
      <c r="BS658" s="8" t="s">
        <v>229</v>
      </c>
      <c r="BT658" s="9" t="s">
        <v>716</v>
      </c>
      <c r="BU658" s="10">
        <v>147</v>
      </c>
      <c r="BV658" s="9" t="s">
        <v>163</v>
      </c>
      <c r="BW658" s="10">
        <v>147</v>
      </c>
      <c r="BX658" s="10">
        <v>148</v>
      </c>
      <c r="BY658" s="10">
        <v>130</v>
      </c>
      <c r="BZ658" s="10">
        <v>136</v>
      </c>
      <c r="CA658" s="10">
        <v>125</v>
      </c>
      <c r="CB658" s="10">
        <v>74</v>
      </c>
      <c r="CC658" s="10">
        <v>104</v>
      </c>
      <c r="CD658" s="10">
        <v>11.3</v>
      </c>
      <c r="CE658" s="10">
        <v>1633</v>
      </c>
      <c r="CF658" s="10">
        <v>0.81</v>
      </c>
      <c r="CG658" s="10">
        <v>1324</v>
      </c>
      <c r="CH658" s="10">
        <v>158</v>
      </c>
      <c r="CI658" s="10">
        <v>61</v>
      </c>
      <c r="CJ658" s="10">
        <v>33</v>
      </c>
      <c r="CK658" s="10">
        <v>124</v>
      </c>
      <c r="CL658" s="10">
        <v>5</v>
      </c>
      <c r="CM658" s="10">
        <v>53</v>
      </c>
      <c r="CN658" s="10">
        <v>0.16300000000000001</v>
      </c>
      <c r="CO658" s="10">
        <v>65</v>
      </c>
      <c r="CP658" s="10">
        <v>57</v>
      </c>
      <c r="CQ658" s="10">
        <v>59</v>
      </c>
      <c r="CR658" s="10">
        <v>6</v>
      </c>
      <c r="CS658" s="10">
        <v>11.4</v>
      </c>
      <c r="CT658" s="9" t="s">
        <v>349</v>
      </c>
      <c r="CU658" s="10"/>
      <c r="CV658" s="10"/>
      <c r="CW658" s="10"/>
      <c r="CX658" t="e">
        <f>INDEX('Data_Price '!AG$2:AG$1266,MATCH(Data!$DN658,'Data_Price '!$AT$2:$AT$1266,0))</f>
        <v>#N/A</v>
      </c>
      <c r="CY658" t="e">
        <f>INDEX('Data_Price '!AH$2:AH$1266,MATCH(Data!$DN658,'Data_Price '!$AT$2:$AT$1266,0))</f>
        <v>#N/A</v>
      </c>
      <c r="CZ658" t="e">
        <f>INDEX('Data_Price '!AI$2:AI$1266,MATCH(Data!$DN658,'Data_Price '!$AT$2:$AT$1266,0))</f>
        <v>#N/A</v>
      </c>
      <c r="DA658" t="e">
        <f>INDEX('Data_Price '!AJ$2:AJ$1266,MATCH(Data!$DN658,'Data_Price '!$AT$2:$AT$1266,0))</f>
        <v>#N/A</v>
      </c>
      <c r="DB658" t="e">
        <f>INDEX('Data_Price '!AK$2:AK$1266,MATCH(Data!$DN658,'Data_Price '!$AT$2:$AT$1266,0))</f>
        <v>#N/A</v>
      </c>
      <c r="DC658" t="e">
        <f>INDEX('Data_Price '!AL$2:AL$1266,MATCH(Data!$DN658,'Data_Price '!$AT$2:$AT$1266,0))</f>
        <v>#N/A</v>
      </c>
      <c r="DD658" t="e">
        <f>INDEX('Data_Price '!AM$2:AM$1266,MATCH(Data!$DN658,'Data_Price '!$AT$2:$AT$1266,0))</f>
        <v>#N/A</v>
      </c>
      <c r="DE658" t="e">
        <f>INDEX('Data_Price '!AN$2:AN$1266,MATCH(Data!$DN658,'Data_Price '!$AT$2:$AT$1266,0))</f>
        <v>#N/A</v>
      </c>
      <c r="DF658" t="e">
        <f>INDEX('Data_Price '!AO$2:AO$1266,MATCH(Data!$DN658,'Data_Price '!$AT$2:$AT$1266,0))</f>
        <v>#N/A</v>
      </c>
      <c r="DG658" t="e">
        <f>INDEX('Data_Price '!AP$2:AP$1266,MATCH(Data!$DN658,'Data_Price '!$AT$2:$AT$1266,0))</f>
        <v>#N/A</v>
      </c>
      <c r="DH658" t="e">
        <f>INDEX('Data_Price '!AQ$2:AQ$1266,MATCH(Data!$DN658,'Data_Price '!$AT$2:$AT$1266,0))</f>
        <v>#N/A</v>
      </c>
      <c r="DI658" t="e">
        <f>INDEX('Data_Price '!AR$2:AR$1266,MATCH(Data!$DN658,'Data_Price '!$AT$2:$AT$1266,0))</f>
        <v>#N/A</v>
      </c>
      <c r="DJ658" s="89" t="e">
        <f t="shared" si="402"/>
        <v>#N/A</v>
      </c>
      <c r="DK658" s="89" t="e">
        <f t="shared" si="403"/>
        <v>#N/A</v>
      </c>
      <c r="DL658" s="89" t="e">
        <f t="shared" si="404"/>
        <v>#N/A</v>
      </c>
      <c r="DM658" s="219" t="str">
        <f t="shared" si="405"/>
        <v>Flair 75</v>
      </c>
      <c r="DN658" s="89" t="str">
        <f t="shared" si="406"/>
        <v xml:space="preserve"> VölklFlair 75147 Women's</v>
      </c>
      <c r="DO658" s="221"/>
    </row>
    <row r="659" spans="2:119" ht="15.6" customHeight="1">
      <c r="B659" s="219" t="b">
        <f t="array" ref="B659">IF(OR(ISERROR(K659:P659)),FALSE,TRUE)</f>
        <v>1</v>
      </c>
      <c r="C659" s="43" t="b">
        <f>OR(BR659=Driver!$G$50,Data!BR1084=Driver!$H$50)</f>
        <v>1</v>
      </c>
      <c r="D659" s="43" t="b">
        <f>OR(BV659=Driver!$G$51,BV659=Driver!$H$51)</f>
        <v>0</v>
      </c>
      <c r="E659" s="43" t="b">
        <f>AND(BX659&gt;Driver!$F$54,BX659&lt;Driver!$G$54)</f>
        <v>0</v>
      </c>
      <c r="F659" s="43" t="b">
        <f>CL659&gt;Driver!$F$56</f>
        <v>1</v>
      </c>
      <c r="G659" s="43" t="b">
        <f>AND(CB659&gt;Driver!$F$55,CB659&lt;Driver!$G$55)</f>
        <v>0</v>
      </c>
      <c r="H659" s="43" t="b">
        <f t="shared" si="370"/>
        <v>0</v>
      </c>
      <c r="I659" s="43">
        <f t="shared" si="371"/>
        <v>0</v>
      </c>
      <c r="J659" s="43" t="b">
        <f t="array" ref="J659">NOT(OR(($H$9:$H$1273=TRUE)*($I$9:$I$1273&gt;0)*($BT$9:$BT$1273=BT659)*($K$9:$K$1273&gt;K659)))</f>
        <v>1</v>
      </c>
      <c r="K659" s="72">
        <f t="shared" si="372"/>
        <v>0.83170138143904238</v>
      </c>
      <c r="L659" s="72">
        <f t="shared" si="373"/>
        <v>0.87888831773365605</v>
      </c>
      <c r="M659" s="72">
        <f t="shared" si="374"/>
        <v>0.78451444514442881</v>
      </c>
      <c r="N659" s="72">
        <f t="shared" si="375"/>
        <v>0.78024338250774283</v>
      </c>
      <c r="O659" s="72">
        <f t="shared" si="376"/>
        <v>0.63082818573765576</v>
      </c>
      <c r="P659" s="72">
        <f t="shared" si="377"/>
        <v>0.94247176718788772</v>
      </c>
      <c r="Q659" s="72"/>
      <c r="R659" s="72"/>
      <c r="S659" s="72">
        <f t="shared" si="378"/>
        <v>0.40857502220847342</v>
      </c>
      <c r="T659" s="72">
        <f t="shared" si="379"/>
        <v>0.5342275598181272</v>
      </c>
      <c r="U659" s="72">
        <f t="shared" si="380"/>
        <v>0.94817246020123014</v>
      </c>
      <c r="V659" s="72">
        <f t="shared" si="381"/>
        <v>0.53218805847831552</v>
      </c>
      <c r="W659" s="72">
        <f t="shared" si="382"/>
        <v>0.80464986619090095</v>
      </c>
      <c r="X659" s="72">
        <f t="shared" si="383"/>
        <v>0.12111168226634397</v>
      </c>
      <c r="Y659" s="72">
        <f t="shared" si="384"/>
        <v>0.21548555485557119</v>
      </c>
      <c r="Z659" s="72">
        <f t="shared" si="385"/>
        <v>0.21975661749225717</v>
      </c>
      <c r="AA659" s="72">
        <f t="shared" si="386"/>
        <v>0.36917181426234424</v>
      </c>
      <c r="AB659" s="72">
        <f t="shared" si="387"/>
        <v>5.7528232812112223E-2</v>
      </c>
      <c r="AC659" s="72"/>
      <c r="AD659" s="72"/>
      <c r="AE659" s="72">
        <f t="shared" si="388"/>
        <v>0.59142497779152658</v>
      </c>
      <c r="AF659" s="72">
        <f t="shared" si="389"/>
        <v>0.46577244018187275</v>
      </c>
      <c r="AG659" s="72">
        <f t="shared" si="390"/>
        <v>5.1827539798769862E-2</v>
      </c>
      <c r="AH659" s="72">
        <f t="shared" si="391"/>
        <v>0.46781194152168448</v>
      </c>
      <c r="AI659" s="72">
        <f t="shared" si="392"/>
        <v>0.19535013380909902</v>
      </c>
      <c r="AJ659" s="72">
        <f>(AV659-Driver!$K$179)/(Driver!$L$179-Driver!$K$179)</f>
        <v>0.13310772701635645</v>
      </c>
      <c r="AK659" s="72">
        <f>(AW659-Driver!$K$180)/(Driver!$L$180-Driver!$K$180)</f>
        <v>0.20565751911697971</v>
      </c>
      <c r="AL659" s="72">
        <f>(AX659-Driver!$K$181)/(Driver!$L$181-Driver!$K$181)</f>
        <v>0.32144438120533736</v>
      </c>
      <c r="AM659" s="72">
        <f>(AY659-Driver!$K$182)/(Driver!$L$182-Driver!$K$182)</f>
        <v>7.8213206834702134E-2</v>
      </c>
      <c r="AN659" s="72">
        <f>(AZ659-Driver!$K$183)/(Driver!$L$183-Driver!$K$183)</f>
        <v>0.1966911764705882</v>
      </c>
      <c r="AO659" s="72"/>
      <c r="AP659" s="72"/>
      <c r="AQ659" s="72">
        <f>(BC659-Driver!$K$188)/(Driver!$L$188-Driver!$K$188)</f>
        <v>2.85750222084734E-2</v>
      </c>
      <c r="AR659" s="72">
        <f>MIN((BD659-Driver!$K$189)/(Driver!$L$189-Driver!$K$189),100%)</f>
        <v>8.4227559818127309E-2</v>
      </c>
      <c r="AS659" s="72">
        <f>(BE659-Driver!$K$190)/(Driver!$L$190-Driver!$K$190)</f>
        <v>0.45817246020123015</v>
      </c>
      <c r="AT659" s="72">
        <f>(BF659-Driver!$K$191)/(Driver!$L$191-Driver!$K$191)</f>
        <v>4.2188058478315527E-2</v>
      </c>
      <c r="AU659" s="72">
        <f>(BG659-Driver!$K$192)/(Driver!$L$192-Driver!$K$192)</f>
        <v>5.4649866190900974E-2</v>
      </c>
      <c r="AV659" s="70">
        <f t="shared" si="393"/>
        <v>2.8015194681861351</v>
      </c>
      <c r="AW659" s="70">
        <f t="shared" si="394"/>
        <v>21.915040170408037</v>
      </c>
      <c r="AX659" s="70">
        <f t="shared" si="395"/>
        <v>3.8929994308480365</v>
      </c>
      <c r="AY659" s="70">
        <f>IFERROR(Driver!$K$19/Data!BH659/Data!BI659*Data!BK659*Data!BL659,"")</f>
        <v>9.5756301734239616E-2</v>
      </c>
      <c r="AZ659" s="70">
        <f t="shared" si="396"/>
        <v>17.92628443782576</v>
      </c>
      <c r="BA659" s="70"/>
      <c r="BB659" s="70"/>
      <c r="BC659" s="70">
        <f t="shared" si="397"/>
        <v>14.822062669866726</v>
      </c>
      <c r="BD659" s="70">
        <f t="shared" si="398"/>
        <v>9.1748126855971339</v>
      </c>
      <c r="BE659" s="70">
        <f t="shared" si="399"/>
        <v>0.45826911613580151</v>
      </c>
      <c r="BF659" s="70">
        <f t="shared" si="400"/>
        <v>4.7648448172405438</v>
      </c>
      <c r="BG659" s="70">
        <f t="shared" si="401"/>
        <v>0.20693925624442461</v>
      </c>
      <c r="BH659" s="67">
        <f>MAX((CE659-Driver!$F$200)/(Driver!$G$200-Driver!$F$200)*$BI$1,1)</f>
        <v>3.8929994308480365</v>
      </c>
      <c r="BI659" s="67">
        <f>MAX($BI$1*(BY659-Driver!$F$201)/(Driver!$G$201-Driver!$F$201),1)</f>
        <v>6.7721518987341769</v>
      </c>
      <c r="BJ659" s="67">
        <f>(CB659-Driver!$F$206)/(Driver!$G$206-Driver!$F$206)*$BI$1</f>
        <v>4.4444444444444446</v>
      </c>
      <c r="BK659" s="67">
        <f>(CD659-Driver!$F$203)/(Driver!$G$203-Driver!$F$203)*$BI$1</f>
        <v>1.7431192660550456</v>
      </c>
      <c r="BL659" s="67">
        <f>MAX((CR659-Driver!$F$202)/(Driver!$G$202-Driver!$F$202)*$BI$1,1)</f>
        <v>7.2413793103448274</v>
      </c>
      <c r="BM659" s="67">
        <f>MAX((CH659-Driver!$F$204)/(Driver!$G$204-Driver!$F$204)*$BI$1,1)</f>
        <v>2.5213675213675213</v>
      </c>
      <c r="BN659" s="67">
        <f>(CI659-Driver!$F$205)/(Driver!$G$205-Driver!$F$205)*$BI$1</f>
        <v>2.6470588235294117</v>
      </c>
      <c r="BO659" s="67">
        <f>(CK659-Driver!$F$207)/(Driver!$G$207-Driver!$F$207)*$BI$1</f>
        <v>1.5718717683557393</v>
      </c>
      <c r="BP659" s="67">
        <f>(CM659-Driver!$F$208)/(Driver!$G$208-Driver!$F$208)*$BI$1</f>
        <v>1.1888888888888889</v>
      </c>
      <c r="BQ659" s="67">
        <f>(CL659-Driver!$F$209)/(Driver!$G$209-Driver!$F$209)*$BI$1</f>
        <v>2.03125</v>
      </c>
      <c r="BR659" s="28" t="s">
        <v>155</v>
      </c>
      <c r="BS659" s="8" t="s">
        <v>174</v>
      </c>
      <c r="BT659" s="9" t="s">
        <v>622</v>
      </c>
      <c r="BU659" s="10">
        <v>153</v>
      </c>
      <c r="BV659" s="9" t="s">
        <v>163</v>
      </c>
      <c r="BW659" s="10">
        <v>153</v>
      </c>
      <c r="BX659" s="10">
        <v>152.19999999999999</v>
      </c>
      <c r="BY659" s="10">
        <v>115</v>
      </c>
      <c r="BZ659" s="10">
        <v>128</v>
      </c>
      <c r="CA659" s="10">
        <v>127</v>
      </c>
      <c r="CB659" s="10">
        <v>92</v>
      </c>
      <c r="CC659" s="10">
        <v>110</v>
      </c>
      <c r="CD659" s="10">
        <v>13.2</v>
      </c>
      <c r="CE659" s="10">
        <v>1584</v>
      </c>
      <c r="CF659" s="10">
        <v>1</v>
      </c>
      <c r="CG659" s="10">
        <v>1576</v>
      </c>
      <c r="CH659" s="10">
        <v>160</v>
      </c>
      <c r="CI659" s="10">
        <v>78</v>
      </c>
      <c r="CJ659" s="10">
        <v>55</v>
      </c>
      <c r="CK659" s="10">
        <v>262</v>
      </c>
      <c r="CL659" s="10">
        <v>13</v>
      </c>
      <c r="CM659" s="10">
        <v>107</v>
      </c>
      <c r="CN659" s="10">
        <v>0.24</v>
      </c>
      <c r="CO659" s="10">
        <v>136</v>
      </c>
      <c r="CP659" s="10">
        <v>106</v>
      </c>
      <c r="CQ659" s="10">
        <v>125</v>
      </c>
      <c r="CR659" s="10">
        <v>10</v>
      </c>
      <c r="CS659" s="10">
        <v>7.7</v>
      </c>
      <c r="CT659" s="9" t="s">
        <v>188</v>
      </c>
      <c r="CU659" s="10"/>
      <c r="CV659" s="10"/>
      <c r="CW659" s="10"/>
      <c r="CX659" t="str">
        <f>INDEX('Data_Price '!AG$2:AG$1266,MATCH(Data!$DN659,'Data_Price '!$AT$2:$AT$1266,0))</f>
        <v>Salomon QST Lux 92 Skis 153 W/ Bindings - Sports &amp; outdoors</v>
      </c>
      <c r="CY659" t="str">
        <f>INDEX('Data_Price '!AH$2:AH$1266,MATCH(Data!$DN659,'Data_Price '!$AT$2:$AT$1266,0))</f>
        <v>Mercari</v>
      </c>
      <c r="CZ659">
        <f>INDEX('Data_Price '!AI$2:AI$1266,MATCH(Data!$DN659,'Data_Price '!$AT$2:$AT$1266,0))</f>
        <v>325</v>
      </c>
      <c r="DA659" t="str">
        <f>INDEX('Data_Price '!AJ$2:AJ$1266,MATCH(Data!$DN659,'Data_Price '!$AT$2:$AT$1266,0))</f>
        <v>https://tinyurl.com/yats2syc</v>
      </c>
      <c r="DB659" t="str">
        <f>INDEX('Data_Price '!AK$2:AK$1266,MATCH(Data!$DN659,'Data_Price '!$AT$2:$AT$1266,0))</f>
        <v>Salomon Other | Salomon Qst Lux 92 153 Skis W Bindings | Color: Black | Size: 153 | Kll86's Closet</v>
      </c>
      <c r="DC659" t="str">
        <f>INDEX('Data_Price '!AL$2:AL$1266,MATCH(Data!$DN659,'Data_Price '!$AT$2:$AT$1266,0))</f>
        <v>Poshmark</v>
      </c>
      <c r="DD659">
        <f>INDEX('Data_Price '!AM$2:AM$1266,MATCH(Data!$DN659,'Data_Price '!$AT$2:$AT$1266,0))</f>
        <v>375</v>
      </c>
      <c r="DE659" t="str">
        <f>INDEX('Data_Price '!AN$2:AN$1266,MATCH(Data!$DN659,'Data_Price '!$AT$2:$AT$1266,0))</f>
        <v>https://tinyurl.com/y7o878m2</v>
      </c>
      <c r="DF659" t="str">
        <f>INDEX('Data_Price '!AO$2:AO$1266,MATCH(Data!$DN659,'Data_Price '!$AT$2:$AT$1266,0))</f>
        <v>Salomon QST Lux 92 Skis</v>
      </c>
      <c r="DG659" t="str">
        <f>INDEX('Data_Price '!AP$2:AP$1266,MATCH(Data!$DN659,'Data_Price '!$AT$2:$AT$1266,0))</f>
        <v>Ski Pro  - Snow Ski &amp; Snowboard</v>
      </c>
      <c r="DH659">
        <f>INDEX('Data_Price '!AQ$2:AQ$1266,MATCH(Data!$DN659,'Data_Price '!$AT$2:$AT$1266,0))</f>
        <v>399.95</v>
      </c>
      <c r="DI659" t="str">
        <f>INDEX('Data_Price '!AR$2:AR$1266,MATCH(Data!$DN659,'Data_Price '!$AT$2:$AT$1266,0))</f>
        <v>https://tinyurl.com/y8ommkht</v>
      </c>
      <c r="DJ659" s="89" t="str">
        <f t="shared" si="402"/>
        <v>https://tinyurl.com/yats2syc</v>
      </c>
      <c r="DK659" s="89" t="str">
        <f t="shared" si="403"/>
        <v>https://tinyurl.com/y7o878m2</v>
      </c>
      <c r="DL659" s="89" t="str">
        <f t="shared" si="404"/>
        <v>https://tinyurl.com/y8ommkht</v>
      </c>
      <c r="DM659" s="219" t="str">
        <f t="shared" si="405"/>
        <v>QST Lux 92</v>
      </c>
      <c r="DN659" s="89" t="str">
        <f t="shared" si="406"/>
        <v xml:space="preserve"> SalomonQST Lux 92153 Women's</v>
      </c>
      <c r="DO659" s="221" t="s">
        <v>623</v>
      </c>
    </row>
    <row r="660" spans="2:119" ht="15.6" customHeight="1">
      <c r="B660" s="219" t="b">
        <f t="array" ref="B660">IF(OR(ISERROR(K660:P660)),FALSE,TRUE)</f>
        <v>1</v>
      </c>
      <c r="C660" s="43" t="b">
        <f>OR(BR660=Driver!$G$50,Data!BR452=Driver!$H$50)</f>
        <v>1</v>
      </c>
      <c r="D660" s="43" t="b">
        <f>OR(BV660=Driver!$G$51,BV660=Driver!$H$51)</f>
        <v>1</v>
      </c>
      <c r="E660" s="43" t="b">
        <f>AND(BX660&gt;Driver!$F$54,BX660&lt;Driver!$G$54)</f>
        <v>0</v>
      </c>
      <c r="F660" s="43" t="b">
        <f>CL660&gt;Driver!$F$56</f>
        <v>1</v>
      </c>
      <c r="G660" s="43" t="b">
        <f>AND(CB660&gt;Driver!$F$55,CB660&lt;Driver!$G$55)</f>
        <v>0</v>
      </c>
      <c r="H660" s="43" t="b">
        <f t="shared" si="370"/>
        <v>0</v>
      </c>
      <c r="I660" s="43">
        <f t="shared" si="371"/>
        <v>0</v>
      </c>
      <c r="J660" s="43" t="b">
        <f t="array" ref="J660">NOT(OR(($H$9:$H$1273=TRUE)*($I$9:$I$1273&gt;0)*($BT$9:$BT$1273=BT660)*($K$9:$K$1273&gt;K660)))</f>
        <v>1</v>
      </c>
      <c r="K660" s="72">
        <f t="shared" si="372"/>
        <v>0.84093743393458897</v>
      </c>
      <c r="L660" s="72">
        <f t="shared" si="373"/>
        <v>0.89588936519155626</v>
      </c>
      <c r="M660" s="72">
        <f t="shared" si="374"/>
        <v>0.78598550267762157</v>
      </c>
      <c r="N660" s="72">
        <f t="shared" si="375"/>
        <v>0.80870098068645646</v>
      </c>
      <c r="O660" s="72">
        <f t="shared" si="376"/>
        <v>0.63680826996244189</v>
      </c>
      <c r="P660" s="72">
        <f t="shared" si="377"/>
        <v>0.91244725738396626</v>
      </c>
      <c r="Q660" s="72"/>
      <c r="R660" s="72"/>
      <c r="S660" s="72">
        <f t="shared" si="378"/>
        <v>0.42218258590788538</v>
      </c>
      <c r="T660" s="72">
        <f t="shared" si="379"/>
        <v>0.50378290116825752</v>
      </c>
      <c r="U660" s="72">
        <f t="shared" si="380"/>
        <v>0.79932327938423642</v>
      </c>
      <c r="V660" s="72">
        <f t="shared" si="381"/>
        <v>0.52170317830734669</v>
      </c>
      <c r="W660" s="72">
        <f t="shared" si="382"/>
        <v>0.80244305338202049</v>
      </c>
      <c r="X660" s="72">
        <f t="shared" si="383"/>
        <v>0.10411063480844374</v>
      </c>
      <c r="Y660" s="72">
        <f t="shared" si="384"/>
        <v>0.21401449732237843</v>
      </c>
      <c r="Z660" s="72">
        <f t="shared" si="385"/>
        <v>0.19129901931354348</v>
      </c>
      <c r="AA660" s="72">
        <f t="shared" si="386"/>
        <v>0.36319173003755811</v>
      </c>
      <c r="AB660" s="72">
        <f t="shared" si="387"/>
        <v>8.7552742616033769E-2</v>
      </c>
      <c r="AC660" s="72"/>
      <c r="AD660" s="72"/>
      <c r="AE660" s="72">
        <f t="shared" si="388"/>
        <v>0.57781741409211462</v>
      </c>
      <c r="AF660" s="72">
        <f t="shared" si="389"/>
        <v>0.49621709883174242</v>
      </c>
      <c r="AG660" s="72">
        <f t="shared" si="390"/>
        <v>0.20067672061576353</v>
      </c>
      <c r="AH660" s="72">
        <f t="shared" si="391"/>
        <v>0.47829682169265336</v>
      </c>
      <c r="AI660" s="72">
        <f t="shared" si="392"/>
        <v>0.19755694661797948</v>
      </c>
      <c r="AJ660" s="72">
        <f>(AV660-Driver!$K$179)/(Driver!$L$179-Driver!$K$179)</f>
        <v>0.15010877447425669</v>
      </c>
      <c r="AK660" s="72">
        <f>(AW660-Driver!$K$180)/(Driver!$L$180-Driver!$K$180)</f>
        <v>0.17502707701324319</v>
      </c>
      <c r="AL660" s="72">
        <f>(AX660-Driver!$K$181)/(Driver!$L$181-Driver!$K$181)</f>
        <v>0.29298678302662368</v>
      </c>
      <c r="AM660" s="72">
        <f>(AY660-Driver!$K$182)/(Driver!$L$182-Driver!$K$182)</f>
        <v>8.4193291059488237E-2</v>
      </c>
      <c r="AN660" s="72">
        <f>(AZ660-Driver!$K$183)/(Driver!$L$183-Driver!$K$183)</f>
        <v>0.16666666666666666</v>
      </c>
      <c r="AO660" s="72"/>
      <c r="AP660" s="72"/>
      <c r="AQ660" s="72">
        <f>(BC660-Driver!$K$188)/(Driver!$L$188-Driver!$K$188)</f>
        <v>4.2182585907885421E-2</v>
      </c>
      <c r="AR660" s="72">
        <f>MIN((BD660-Driver!$K$189)/(Driver!$L$189-Driver!$K$189),100%)</f>
        <v>5.3782901168257617E-2</v>
      </c>
      <c r="AS660" s="72">
        <f>(BE660-Driver!$K$190)/(Driver!$L$190-Driver!$K$190)</f>
        <v>0.30932327938423648</v>
      </c>
      <c r="AT660" s="72">
        <f>(BF660-Driver!$K$191)/(Driver!$L$191-Driver!$K$191)</f>
        <v>3.1703178307346633E-2</v>
      </c>
      <c r="AU660" s="72">
        <f>(BG660-Driver!$K$192)/(Driver!$L$192-Driver!$K$192)</f>
        <v>5.2443053382020509E-2</v>
      </c>
      <c r="AV660" s="70">
        <f t="shared" si="393"/>
        <v>3.1593406593406592</v>
      </c>
      <c r="AW660" s="70">
        <f t="shared" si="394"/>
        <v>18.929832174071429</v>
      </c>
      <c r="AX660" s="70">
        <f t="shared" si="395"/>
        <v>3.6368810472396129</v>
      </c>
      <c r="AY660" s="70">
        <f>IFERROR(Driver!$K$19/Data!BH660/Data!BI660*Data!BK660*Data!BL660,"")</f>
        <v>0.10307770911029822</v>
      </c>
      <c r="AZ660" s="70">
        <f t="shared" si="396"/>
        <v>15.189873417721518</v>
      </c>
      <c r="BA660" s="70"/>
      <c r="BB660" s="70"/>
      <c r="BC660" s="70">
        <f t="shared" si="397"/>
        <v>21.880400558999856</v>
      </c>
      <c r="BD660" s="70">
        <f t="shared" si="398"/>
        <v>6.4805143398267147</v>
      </c>
      <c r="BE660" s="70">
        <f t="shared" si="399"/>
        <v>0.30944648833729671</v>
      </c>
      <c r="BF660" s="70">
        <f t="shared" si="400"/>
        <v>3.5806512623816991</v>
      </c>
      <c r="BG660" s="70">
        <f t="shared" si="401"/>
        <v>0.1985828551556251</v>
      </c>
      <c r="BH660" s="67">
        <f>MAX((CE660-Driver!$F$200)/(Driver!$G$200-Driver!$F$200)*$BI$1,1)</f>
        <v>3.6368810472396129</v>
      </c>
      <c r="BI660" s="67">
        <f>MAX($BI$1*(BY660-Driver!$F$201)/(Driver!$G$201-Driver!$F$201),1)</f>
        <v>7.5949367088607591</v>
      </c>
      <c r="BJ660" s="67">
        <f>(CB660-Driver!$F$206)/(Driver!$G$206-Driver!$F$206)*$BI$1</f>
        <v>3.6507936507936507</v>
      </c>
      <c r="BK660" s="67">
        <f>(CD660-Driver!$F$203)/(Driver!$G$203-Driver!$F$203)*$BI$1</f>
        <v>2.7522935779816518</v>
      </c>
      <c r="BL660" s="67">
        <f>MAX((CR660-Driver!$F$202)/(Driver!$G$202-Driver!$F$202)*$BI$1,1)</f>
        <v>5.1724137931034484</v>
      </c>
      <c r="BM660" s="67">
        <f>MAX((CH660-Driver!$F$204)/(Driver!$G$204-Driver!$F$204)*$BI$1,1)</f>
        <v>3.4615384615384617</v>
      </c>
      <c r="BN660" s="67">
        <f>(CI660-Driver!$F$205)/(Driver!$G$205-Driver!$F$205)*$BI$1</f>
        <v>2</v>
      </c>
      <c r="BO660" s="67">
        <f>(CK660-Driver!$F$207)/(Driver!$G$207-Driver!$F$207)*$BI$1</f>
        <v>1.2719751809720785</v>
      </c>
      <c r="BP660" s="67">
        <f>(CM660-Driver!$F$208)/(Driver!$G$208-Driver!$F$208)*$BI$1</f>
        <v>2.1222222222222222</v>
      </c>
      <c r="BQ660" s="67">
        <f>(CL660-Driver!$F$209)/(Driver!$G$209-Driver!$F$209)*$BI$1</f>
        <v>2.5</v>
      </c>
      <c r="BR660" s="28" t="s">
        <v>155</v>
      </c>
      <c r="BS660" s="8" t="s">
        <v>164</v>
      </c>
      <c r="BT660" s="9" t="s">
        <v>635</v>
      </c>
      <c r="BU660" s="10">
        <v>172</v>
      </c>
      <c r="BV660" s="9" t="s">
        <v>158</v>
      </c>
      <c r="BW660" s="10">
        <v>172</v>
      </c>
      <c r="BX660" s="10">
        <v>170.4</v>
      </c>
      <c r="BY660" s="10">
        <v>128</v>
      </c>
      <c r="BZ660" s="10">
        <v>138</v>
      </c>
      <c r="CA660" s="10">
        <v>129</v>
      </c>
      <c r="CB660" s="10">
        <v>87</v>
      </c>
      <c r="CC660" s="10">
        <v>104</v>
      </c>
      <c r="CD660" s="10">
        <v>15.4</v>
      </c>
      <c r="CE660" s="10">
        <v>1539</v>
      </c>
      <c r="CF660" s="10">
        <v>1.1100000000000001</v>
      </c>
      <c r="CG660" s="10">
        <v>1713</v>
      </c>
      <c r="CH660" s="10">
        <v>182</v>
      </c>
      <c r="CI660" s="10">
        <v>67</v>
      </c>
      <c r="CJ660" s="10">
        <v>49</v>
      </c>
      <c r="CK660" s="10">
        <v>233</v>
      </c>
      <c r="CL660" s="10">
        <v>16</v>
      </c>
      <c r="CM660" s="10">
        <v>191</v>
      </c>
      <c r="CN660" s="10">
        <v>0.32400000000000001</v>
      </c>
      <c r="CO660" s="10">
        <v>152</v>
      </c>
      <c r="CP660" s="10">
        <v>167</v>
      </c>
      <c r="CQ660" s="10">
        <v>81</v>
      </c>
      <c r="CR660" s="10">
        <v>4</v>
      </c>
      <c r="CS660" s="10">
        <v>9.3000000000000007</v>
      </c>
      <c r="CT660" s="9" t="s">
        <v>188</v>
      </c>
      <c r="CU660" s="9" t="s">
        <v>185</v>
      </c>
      <c r="CV660" s="10"/>
      <c r="CW660" s="10"/>
      <c r="CX660" t="str">
        <f>INDEX('Data_Price '!AG$2:AG$1266,MATCH(Data!$DN660,'Data_Price '!$AT$2:$AT$1266,0))</f>
        <v>Elan Ripstick 88 Skis</v>
      </c>
      <c r="CY660" t="str">
        <f>INDEX('Data_Price '!AH$2:AH$1266,MATCH(Data!$DN660,'Data_Price '!$AT$2:$AT$1266,0))</f>
        <v>Powder7 Ski Shop</v>
      </c>
      <c r="CZ660">
        <f>INDEX('Data_Price '!AI$2:AI$1266,MATCH(Data!$DN660,'Data_Price '!$AT$2:$AT$1266,0))</f>
        <v>499.95</v>
      </c>
      <c r="DA660" t="str">
        <f>INDEX('Data_Price '!AJ$2:AJ$1266,MATCH(Data!$DN660,'Data_Price '!$AT$2:$AT$1266,0))</f>
        <v>https://tinyurl.com/y7bgbeul</v>
      </c>
      <c r="DB660" t="str">
        <f>INDEX('Data_Price '!AK$2:AK$1266,MATCH(Data!$DN660,'Data_Price '!$AT$2:$AT$1266,0))</f>
        <v>Elan Ripstick 88 Skis</v>
      </c>
      <c r="DC660" t="str">
        <f>INDEX('Data_Price '!AL$2:AL$1266,MATCH(Data!$DN660,'Data_Price '!$AT$2:$AT$1266,0))</f>
        <v>Sage to Summit</v>
      </c>
      <c r="DD660">
        <f>INDEX('Data_Price '!AM$2:AM$1266,MATCH(Data!$DN660,'Data_Price '!$AT$2:$AT$1266,0))</f>
        <v>599.99</v>
      </c>
      <c r="DE660" t="str">
        <f>INDEX('Data_Price '!AN$2:AN$1266,MATCH(Data!$DN660,'Data_Price '!$AT$2:$AT$1266,0))</f>
        <v>https://tinyurl.com/y9j7kpty</v>
      </c>
      <c r="DF660" t="str">
        <f>INDEX('Data_Price '!AO$2:AO$1266,MATCH(Data!$DN660,'Data_Price '!$AT$2:$AT$1266,0))</f>
        <v>Elan Ripstick 88 Skis</v>
      </c>
      <c r="DG660" t="str">
        <f>INDEX('Data_Price '!AP$2:AP$1266,MATCH(Data!$DN660,'Data_Price '!$AT$2:$AT$1266,0))</f>
        <v>Geiger's</v>
      </c>
      <c r="DH660">
        <f>INDEX('Data_Price '!AQ$2:AQ$1266,MATCH(Data!$DN660,'Data_Price '!$AT$2:$AT$1266,0))</f>
        <v>750</v>
      </c>
      <c r="DI660" t="str">
        <f>INDEX('Data_Price '!AR$2:AR$1266,MATCH(Data!$DN660,'Data_Price '!$AT$2:$AT$1266,0))</f>
        <v>https://tinyurl.com/ycpmq2da</v>
      </c>
      <c r="DJ660" s="89" t="str">
        <f t="shared" si="402"/>
        <v>https://tinyurl.com/y7bgbeul</v>
      </c>
      <c r="DK660" s="89" t="str">
        <f t="shared" si="403"/>
        <v>https://tinyurl.com/y9j7kpty</v>
      </c>
      <c r="DL660" s="89" t="str">
        <f t="shared" si="404"/>
        <v>https://tinyurl.com/ycpmq2da</v>
      </c>
      <c r="DM660" s="219" t="str">
        <f t="shared" si="405"/>
        <v>Ripstick 88</v>
      </c>
      <c r="DN660" s="89" t="str">
        <f t="shared" si="406"/>
        <v xml:space="preserve"> ElanRipstick 88172 Unisex</v>
      </c>
      <c r="DO660" s="221" t="s">
        <v>636</v>
      </c>
    </row>
    <row r="661" spans="2:119" ht="15.6" customHeight="1">
      <c r="B661" s="219" t="b">
        <f t="array" ref="B661">IF(OR(ISERROR(K661:P661)),FALSE,TRUE)</f>
        <v>1</v>
      </c>
      <c r="C661" s="43" t="b">
        <f>OR(BR661=Driver!$G$50,Data!BR474=Driver!$H$50)</f>
        <v>1</v>
      </c>
      <c r="D661" s="43" t="b">
        <f>OR(BV661=Driver!$G$51,BV661=Driver!$H$51)</f>
        <v>0</v>
      </c>
      <c r="E661" s="43" t="b">
        <f>AND(BX661&gt;Driver!$F$54,BX661&lt;Driver!$G$54)</f>
        <v>1</v>
      </c>
      <c r="F661" s="43" t="b">
        <f>CL661&gt;Driver!$F$56</f>
        <v>1</v>
      </c>
      <c r="G661" s="43" t="b">
        <f>AND(CB661&gt;Driver!$F$55,CB661&lt;Driver!$G$55)</f>
        <v>0</v>
      </c>
      <c r="H661" s="43" t="b">
        <f t="shared" si="370"/>
        <v>0</v>
      </c>
      <c r="I661" s="43">
        <f t="shared" si="371"/>
        <v>0</v>
      </c>
      <c r="J661" s="43" t="b">
        <f t="array" ref="J661">NOT(OR(($H$9:$H$1273=TRUE)*($I$9:$I$1273&gt;0)*($BT$9:$BT$1273=BT661)*($K$9:$K$1273&gt;K661)))</f>
        <v>1</v>
      </c>
      <c r="K661" s="72">
        <f t="shared" si="372"/>
        <v>0.8046200543444223</v>
      </c>
      <c r="L661" s="72">
        <f t="shared" si="373"/>
        <v>0.87042808084702317</v>
      </c>
      <c r="M661" s="72">
        <f t="shared" si="374"/>
        <v>0.73881202784182132</v>
      </c>
      <c r="N661" s="72">
        <f t="shared" si="375"/>
        <v>0.68348754870011619</v>
      </c>
      <c r="O661" s="72">
        <f t="shared" si="376"/>
        <v>0.58471696371589155</v>
      </c>
      <c r="P661" s="72">
        <f t="shared" si="377"/>
        <v>0.94823157110945644</v>
      </c>
      <c r="Q661" s="72"/>
      <c r="R661" s="72"/>
      <c r="S661" s="72">
        <f t="shared" si="378"/>
        <v>0.405826519891056</v>
      </c>
      <c r="T661" s="72">
        <f t="shared" si="379"/>
        <v>0.8118583993002515</v>
      </c>
      <c r="U661" s="72">
        <f t="shared" si="380"/>
        <v>0.81602593330608408</v>
      </c>
      <c r="V661" s="72">
        <f t="shared" si="381"/>
        <v>0.51632772934064186</v>
      </c>
      <c r="W661" s="72">
        <f t="shared" si="382"/>
        <v>0.77450076804915513</v>
      </c>
      <c r="X661" s="72">
        <f t="shared" si="383"/>
        <v>0.12957191915297683</v>
      </c>
      <c r="Y661" s="72">
        <f t="shared" si="384"/>
        <v>0.26118797215817863</v>
      </c>
      <c r="Z661" s="72">
        <f t="shared" si="385"/>
        <v>0.31651245129988387</v>
      </c>
      <c r="AA661" s="72">
        <f t="shared" si="386"/>
        <v>0.4152830362841084</v>
      </c>
      <c r="AB661" s="72">
        <f t="shared" si="387"/>
        <v>5.1768428890543561E-2</v>
      </c>
      <c r="AC661" s="72"/>
      <c r="AD661" s="72"/>
      <c r="AE661" s="72">
        <f t="shared" si="388"/>
        <v>0.594173480108944</v>
      </c>
      <c r="AF661" s="72">
        <f t="shared" si="389"/>
        <v>0.18814160069974856</v>
      </c>
      <c r="AG661" s="72">
        <f t="shared" si="390"/>
        <v>0.18397406669391592</v>
      </c>
      <c r="AH661" s="72">
        <f t="shared" si="391"/>
        <v>0.48367227065935819</v>
      </c>
      <c r="AI661" s="72">
        <f t="shared" si="392"/>
        <v>0.22549923195084487</v>
      </c>
      <c r="AJ661" s="72">
        <f>(AV661-Driver!$K$179)/(Driver!$L$179-Driver!$K$179)</f>
        <v>0.12464749012972361</v>
      </c>
      <c r="AK661" s="72">
        <f>(AW661-Driver!$K$180)/(Driver!$L$180-Driver!$K$180)</f>
        <v>0.2193996535185431</v>
      </c>
      <c r="AL661" s="72">
        <f>(AX661-Driver!$K$181)/(Driver!$L$181-Driver!$K$181)</f>
        <v>0.41820021501296406</v>
      </c>
      <c r="AM661" s="72">
        <f>(AY661-Driver!$K$182)/(Driver!$L$182-Driver!$K$182)</f>
        <v>3.210198481293796E-2</v>
      </c>
      <c r="AN661" s="72">
        <f>(AZ661-Driver!$K$183)/(Driver!$L$183-Driver!$K$183)</f>
        <v>0.20245098039215687</v>
      </c>
      <c r="AO661" s="72"/>
      <c r="AP661" s="72"/>
      <c r="AQ661" s="72">
        <f>(BC661-Driver!$K$188)/(Driver!$L$188-Driver!$K$188)</f>
        <v>2.5826519891056048E-2</v>
      </c>
      <c r="AR661" s="72">
        <f>MIN((BD661-Driver!$K$189)/(Driver!$L$189-Driver!$K$189),100%)</f>
        <v>0.36185839930025149</v>
      </c>
      <c r="AS661" s="72">
        <f>(BE661-Driver!$K$190)/(Driver!$L$190-Driver!$K$190)</f>
        <v>0.69397406669391593</v>
      </c>
      <c r="AT661" s="72">
        <f>(BF661-Driver!$K$191)/(Driver!$L$191-Driver!$K$191)</f>
        <v>2.6327729340641814E-2</v>
      </c>
      <c r="AU661" s="72">
        <f>(BG661-Driver!$K$192)/(Driver!$L$192-Driver!$K$192)</f>
        <v>2.4500768049155144E-2</v>
      </c>
      <c r="AV661" s="70">
        <f t="shared" si="393"/>
        <v>2.6234567901234565</v>
      </c>
      <c r="AW661" s="70">
        <f t="shared" si="394"/>
        <v>23.254332935538422</v>
      </c>
      <c r="AX661" s="70">
        <f t="shared" si="395"/>
        <v>4.7638019351166765</v>
      </c>
      <c r="AY661" s="70">
        <f>IFERROR(Driver!$K$19/Data!BH661/Data!BI661*Data!BK661*Data!BL661,"")</f>
        <v>3.9302407718843052E-2</v>
      </c>
      <c r="AZ661" s="70">
        <f t="shared" si="396"/>
        <v>18.451228592702904</v>
      </c>
      <c r="BA661" s="70"/>
      <c r="BB661" s="70"/>
      <c r="BC661" s="70">
        <f t="shared" si="397"/>
        <v>13.396395410544223</v>
      </c>
      <c r="BD661" s="70">
        <f t="shared" si="398"/>
        <v>33.744650047026752</v>
      </c>
      <c r="BE661" s="70">
        <f t="shared" si="399"/>
        <v>0.69402865827594917</v>
      </c>
      <c r="BF661" s="70">
        <f t="shared" si="400"/>
        <v>2.9735320662587119</v>
      </c>
      <c r="BG661" s="70">
        <f t="shared" si="401"/>
        <v>9.27755376344086E-2</v>
      </c>
      <c r="BH661" s="67">
        <f>MAX((CE661-Driver!$F$200)/(Driver!$G$200-Driver!$F$200)*$BI$1,1)</f>
        <v>4.7638019351166765</v>
      </c>
      <c r="BI661" s="67">
        <f>MAX($BI$1*(BY661-Driver!$F$201)/(Driver!$G$201-Driver!$F$201),1)</f>
        <v>7.4683544303797467</v>
      </c>
      <c r="BJ661" s="67">
        <f>(CB661-Driver!$F$206)/(Driver!$G$206-Driver!$F$206)*$BI$1</f>
        <v>2.6984126984126982</v>
      </c>
      <c r="BK661" s="67">
        <f>(CD661-Driver!$F$203)/(Driver!$G$203-Driver!$F$203)*$BI$1</f>
        <v>1.1926605504587156</v>
      </c>
      <c r="BL661" s="67">
        <f>MAX((CR661-Driver!$F$202)/(Driver!$G$202-Driver!$F$202)*$BI$1,1)</f>
        <v>5.8620689655172411</v>
      </c>
      <c r="BM661" s="67">
        <f>MAX((CH661-Driver!$F$204)/(Driver!$G$204-Driver!$F$204)*$BI$1,1)</f>
        <v>3.8888888888888888</v>
      </c>
      <c r="BN661" s="67">
        <f>(CI661-Driver!$F$205)/(Driver!$G$205-Driver!$F$205)*$BI$1</f>
        <v>2.4705882352941178</v>
      </c>
      <c r="BO661" s="67">
        <f>(CK661-Driver!$F$207)/(Driver!$G$207-Driver!$F$207)*$BI$1</f>
        <v>0.88934850051706305</v>
      </c>
      <c r="BP661" s="67">
        <f>(CM661-Driver!$F$208)/(Driver!$G$208-Driver!$F$208)*$BI$1</f>
        <v>1.4777777777777779</v>
      </c>
      <c r="BQ661" s="67">
        <f>(CL661-Driver!$F$209)/(Driver!$G$209-Driver!$F$209)*$BI$1</f>
        <v>1.71875</v>
      </c>
      <c r="BR661" s="28" t="s">
        <v>155</v>
      </c>
      <c r="BS661" s="8" t="s">
        <v>164</v>
      </c>
      <c r="BT661" s="9" t="s">
        <v>484</v>
      </c>
      <c r="BU661" s="10">
        <v>158</v>
      </c>
      <c r="BV661" s="9" t="s">
        <v>163</v>
      </c>
      <c r="BW661" s="10">
        <v>158</v>
      </c>
      <c r="BX661" s="10">
        <v>159.30000000000001</v>
      </c>
      <c r="BY661" s="10">
        <v>126</v>
      </c>
      <c r="BZ661" s="10">
        <v>139</v>
      </c>
      <c r="CA661" s="10">
        <v>129</v>
      </c>
      <c r="CB661" s="10">
        <v>81</v>
      </c>
      <c r="CC661" s="10">
        <v>112</v>
      </c>
      <c r="CD661" s="10">
        <v>12</v>
      </c>
      <c r="CE661" s="10">
        <v>1737</v>
      </c>
      <c r="CF661" s="10">
        <v>0.89</v>
      </c>
      <c r="CG661" s="10">
        <v>1543</v>
      </c>
      <c r="CH661" s="10">
        <v>192</v>
      </c>
      <c r="CI661" s="10">
        <v>75</v>
      </c>
      <c r="CJ661" s="10">
        <v>45</v>
      </c>
      <c r="CK661" s="10">
        <v>196</v>
      </c>
      <c r="CL661" s="10">
        <v>11</v>
      </c>
      <c r="CM661" s="10">
        <v>133</v>
      </c>
      <c r="CN661" s="10">
        <v>0.24</v>
      </c>
      <c r="CO661" s="10">
        <v>110</v>
      </c>
      <c r="CP661" s="10">
        <v>94</v>
      </c>
      <c r="CQ661" s="10">
        <v>86</v>
      </c>
      <c r="CR661" s="10">
        <v>6</v>
      </c>
      <c r="CS661" s="10">
        <v>8.4</v>
      </c>
      <c r="CT661" s="9" t="s">
        <v>231</v>
      </c>
      <c r="CU661" s="9" t="s">
        <v>188</v>
      </c>
      <c r="CV661" s="10"/>
      <c r="CW661" s="10"/>
      <c r="CX661" t="str">
        <f>INDEX('Data_Price '!AG$2:AG$1266,MATCH(Data!$DN661,'Data_Price '!$AT$2:$AT$1266,0))</f>
        <v>Elan Wildcat 82 CX + ELW 11 Shift 21/22</v>
      </c>
      <c r="CY661" t="str">
        <f>INDEX('Data_Price '!AH$2:AH$1266,MATCH(Data!$DN661,'Data_Price '!$AT$2:$AT$1266,0))</f>
        <v>Snowcountry.eu</v>
      </c>
      <c r="CZ661">
        <f>INDEX('Data_Price '!AI$2:AI$1266,MATCH(Data!$DN661,'Data_Price '!$AT$2:$AT$1266,0))</f>
        <v>414</v>
      </c>
      <c r="DA661" t="str">
        <f>INDEX('Data_Price '!AJ$2:AJ$1266,MATCH(Data!$DN661,'Data_Price '!$AT$2:$AT$1266,0))</f>
        <v>https://tinyurl.com/y9x9gquk</v>
      </c>
      <c r="DB661" t="str">
        <f>INDEX('Data_Price '!AK$2:AK$1266,MATCH(Data!$DN661,'Data_Price '!$AT$2:$AT$1266,0))</f>
        <v>Elan Wildcat 82 C Skis 2022 Womenâ€™s 158cm</v>
      </c>
      <c r="DC661" t="str">
        <f>INDEX('Data_Price '!AL$2:AL$1266,MATCH(Data!$DN661,'Data_Price '!$AT$2:$AT$1266,0))</f>
        <v>eBay</v>
      </c>
      <c r="DD661">
        <f>INDEX('Data_Price '!AM$2:AM$1266,MATCH(Data!$DN661,'Data_Price '!$AT$2:$AT$1266,0))</f>
        <v>359.99</v>
      </c>
      <c r="DE661" t="str">
        <f>INDEX('Data_Price '!AN$2:AN$1266,MATCH(Data!$DN661,'Data_Price '!$AT$2:$AT$1266,0))</f>
        <v>https://tinyurl.com/y9r67n5y</v>
      </c>
      <c r="DF661" t="str">
        <f>INDEX('Data_Price '!AO$2:AO$1266,MATCH(Data!$DN661,'Data_Price '!$AT$2:$AT$1266,0))</f>
        <v>Elan Wildcat 82C Flat Skis (Women's) 158</v>
      </c>
      <c r="DG661" t="str">
        <f>INDEX('Data_Price '!AP$2:AP$1266,MATCH(Data!$DN661,'Data_Price '!$AT$2:$AT$1266,0))</f>
        <v>shop.petersonsskiandcycle.com</v>
      </c>
      <c r="DH661">
        <f>INDEX('Data_Price '!AQ$2:AQ$1266,MATCH(Data!$DN661,'Data_Price '!$AT$2:$AT$1266,0))</f>
        <v>399.99</v>
      </c>
      <c r="DI661" t="str">
        <f>INDEX('Data_Price '!AR$2:AR$1266,MATCH(Data!$DN661,'Data_Price '!$AT$2:$AT$1266,0))</f>
        <v>https://tinyurl.com/ycbboop3</v>
      </c>
      <c r="DJ661" s="89" t="str">
        <f t="shared" si="402"/>
        <v>https://tinyurl.com/y9x9gquk</v>
      </c>
      <c r="DK661" s="89" t="str">
        <f t="shared" si="403"/>
        <v>https://tinyurl.com/y9r67n5y</v>
      </c>
      <c r="DL661" s="89" t="str">
        <f t="shared" si="404"/>
        <v>https://tinyurl.com/ycbboop3</v>
      </c>
      <c r="DM661" s="219" t="str">
        <f t="shared" si="405"/>
        <v>Wildcat 82 CX</v>
      </c>
      <c r="DN661" s="89" t="str">
        <f t="shared" si="406"/>
        <v xml:space="preserve"> ElanWildcat 82 CX158 Women's</v>
      </c>
      <c r="DO661" s="221"/>
    </row>
    <row r="662" spans="2:119" ht="15.6" customHeight="1">
      <c r="B662" s="219" t="b">
        <f t="array" ref="B662">IF(OR(ISERROR(K662:P662)),FALSE,TRUE)</f>
        <v>1</v>
      </c>
      <c r="C662" s="43" t="b">
        <f>OR(BR662=Driver!$G$50,Data!BR656=Driver!$H$50)</f>
        <v>1</v>
      </c>
      <c r="D662" s="43" t="b">
        <f>OR(BV662=Driver!$G$51,BV662=Driver!$H$51)</f>
        <v>1</v>
      </c>
      <c r="E662" s="43" t="b">
        <f>AND(BX662&gt;Driver!$F$54,BX662&lt;Driver!$G$54)</f>
        <v>1</v>
      </c>
      <c r="F662" s="43" t="b">
        <f>CL662&gt;Driver!$F$56</f>
        <v>1</v>
      </c>
      <c r="G662" s="43" t="b">
        <f>AND(CB662&gt;Driver!$F$55,CB662&lt;Driver!$G$55)</f>
        <v>0</v>
      </c>
      <c r="H662" s="43" t="b">
        <f t="shared" si="370"/>
        <v>0</v>
      </c>
      <c r="I662" s="43">
        <f t="shared" si="371"/>
        <v>0</v>
      </c>
      <c r="J662" s="43" t="b">
        <f t="array" ref="J662">NOT(OR(($H$9:$H$1273=TRUE)*($I$9:$I$1273&gt;0)*($BT$9:$BT$1273=BT662)*($K$9:$K$1273&gt;K662)))</f>
        <v>1</v>
      </c>
      <c r="K662" s="72">
        <f t="shared" si="372"/>
        <v>0.76126327951577188</v>
      </c>
      <c r="L662" s="72">
        <f t="shared" si="373"/>
        <v>0.78252219091067643</v>
      </c>
      <c r="M662" s="72">
        <f t="shared" si="374"/>
        <v>0.74000436812086723</v>
      </c>
      <c r="N662" s="72">
        <f t="shared" si="375"/>
        <v>0.64617647553246926</v>
      </c>
      <c r="O662" s="72">
        <f t="shared" si="376"/>
        <v>0.57989427340695054</v>
      </c>
      <c r="P662" s="72">
        <f t="shared" si="377"/>
        <v>0.99394235542318188</v>
      </c>
      <c r="Q662" s="72"/>
      <c r="R662" s="72"/>
      <c r="S662" s="72">
        <f t="shared" si="378"/>
        <v>0.41549907106414441</v>
      </c>
      <c r="T662" s="72">
        <f t="shared" si="379"/>
        <v>0.61386357590880647</v>
      </c>
      <c r="U662" s="72">
        <f t="shared" si="380"/>
        <v>0.51</v>
      </c>
      <c r="V662" s="72">
        <f t="shared" si="381"/>
        <v>0.49224740124604105</v>
      </c>
      <c r="W662" s="72">
        <f t="shared" si="382"/>
        <v>0.77325246710526319</v>
      </c>
      <c r="X662" s="72">
        <f t="shared" si="383"/>
        <v>0.2174778090893236</v>
      </c>
      <c r="Y662" s="72">
        <f t="shared" si="384"/>
        <v>0.25999563187913277</v>
      </c>
      <c r="Z662" s="72">
        <f t="shared" si="385"/>
        <v>0.35382352446753068</v>
      </c>
      <c r="AA662" s="72">
        <f t="shared" si="386"/>
        <v>0.42010572659304951</v>
      </c>
      <c r="AB662" s="72">
        <f t="shared" si="387"/>
        <v>6.0576445768180942E-3</v>
      </c>
      <c r="AC662" s="72"/>
      <c r="AD662" s="72"/>
      <c r="AE662" s="72">
        <f t="shared" si="388"/>
        <v>0.58450092893585559</v>
      </c>
      <c r="AF662" s="72">
        <f t="shared" si="389"/>
        <v>0.38613642409119353</v>
      </c>
      <c r="AG662" s="72">
        <f t="shared" si="390"/>
        <v>0.49</v>
      </c>
      <c r="AH662" s="72">
        <f t="shared" si="391"/>
        <v>0.50775259875395895</v>
      </c>
      <c r="AI662" s="72">
        <f t="shared" si="392"/>
        <v>0.22674753289473684</v>
      </c>
      <c r="AJ662" s="72">
        <f>(AV662-Driver!$K$179)/(Driver!$L$179-Driver!$K$179)</f>
        <v>3.6741600193376835E-2</v>
      </c>
      <c r="AK662" s="72">
        <f>(AW662-Driver!$K$180)/(Driver!$L$180-Driver!$K$180)</f>
        <v>0.26553133790657085</v>
      </c>
      <c r="AL662" s="72">
        <f>(AX662-Driver!$K$181)/(Driver!$L$181-Driver!$K$181)</f>
        <v>0.45551128818061087</v>
      </c>
      <c r="AM662" s="72">
        <f>(AY662-Driver!$K$182)/(Driver!$L$182-Driver!$K$182)</f>
        <v>2.7279294503996878E-2</v>
      </c>
      <c r="AN662" s="72">
        <f>(AZ662-Driver!$K$183)/(Driver!$L$183-Driver!$K$183)</f>
        <v>0.24816176470588233</v>
      </c>
      <c r="AO662" s="72"/>
      <c r="AP662" s="72"/>
      <c r="AQ662" s="72">
        <f>(BC662-Driver!$K$188)/(Driver!$L$188-Driver!$K$188)</f>
        <v>3.5499071064144461E-2</v>
      </c>
      <c r="AR662" s="72">
        <f>MIN((BD662-Driver!$K$189)/(Driver!$L$189-Driver!$K$189),100%)</f>
        <v>0.93613642409119358</v>
      </c>
      <c r="AS662" s="72">
        <f>(BE662-Driver!$K$190)/(Driver!$L$190-Driver!$K$190)</f>
        <v>1</v>
      </c>
      <c r="AT662" s="72">
        <f>(BF662-Driver!$K$191)/(Driver!$L$191-Driver!$K$191)</f>
        <v>2.2474012460411072E-3</v>
      </c>
      <c r="AU662" s="72">
        <f>(BG662-Driver!$K$192)/(Driver!$L$192-Driver!$K$192)</f>
        <v>2.3252467105263158E-2</v>
      </c>
      <c r="AV662" s="70">
        <f t="shared" si="393"/>
        <v>0.77330077330077318</v>
      </c>
      <c r="AW662" s="70">
        <f t="shared" si="394"/>
        <v>27.750274347458756</v>
      </c>
      <c r="AX662" s="70">
        <f t="shared" si="395"/>
        <v>5.0996015936254979</v>
      </c>
      <c r="AY662" s="70">
        <f>IFERROR(Driver!$K$19/Data!BH662/Data!BI662*Data!BK662*Data!BL662,"")</f>
        <v>3.3397995828793048E-2</v>
      </c>
      <c r="AZ662" s="70">
        <f t="shared" si="396"/>
        <v>22.617274758004466</v>
      </c>
      <c r="BA662" s="70"/>
      <c r="BB662" s="70"/>
      <c r="BC662" s="70">
        <f t="shared" si="397"/>
        <v>18.413614946510023</v>
      </c>
      <c r="BD662" s="70">
        <f t="shared" si="398"/>
        <v>84.567237680577421</v>
      </c>
      <c r="BE662" s="70">
        <f t="shared" si="399"/>
        <v>1</v>
      </c>
      <c r="BF662" s="70">
        <f t="shared" si="400"/>
        <v>0.25382818185300088</v>
      </c>
      <c r="BG662" s="70">
        <f t="shared" si="401"/>
        <v>8.8048673930921056E-2</v>
      </c>
      <c r="BH662" s="67">
        <f>MAX((CE662-Driver!$F$200)/(Driver!$G$200-Driver!$F$200)*$BI$1,1)</f>
        <v>5.0996015936254979</v>
      </c>
      <c r="BI662" s="67">
        <f>MAX($BI$1*(BY662-Driver!$F$201)/(Driver!$G$201-Driver!$F$201),1)</f>
        <v>8.5443037974683538</v>
      </c>
      <c r="BJ662" s="67">
        <f>(CB662-Driver!$F$206)/(Driver!$G$206-Driver!$F$206)*$BI$1</f>
        <v>1.2698412698412698</v>
      </c>
      <c r="BK662" s="67">
        <f>(CD662-Driver!$F$203)/(Driver!$G$203-Driver!$F$203)*$BI$1</f>
        <v>0.91743119266055051</v>
      </c>
      <c r="BL662" s="67">
        <f>MAX((CR662-Driver!$F$202)/(Driver!$G$202-Driver!$F$202)*$BI$1,1)</f>
        <v>7.931034482758621</v>
      </c>
      <c r="BM662" s="67">
        <f>MAX((CH662-Driver!$F$204)/(Driver!$G$204-Driver!$F$204)*$BI$1,1)</f>
        <v>2.4358974358974357</v>
      </c>
      <c r="BN662" s="67">
        <f>(CI662-Driver!$F$205)/(Driver!$G$205-Driver!$F$205)*$BI$1</f>
        <v>2.6470588235294117</v>
      </c>
      <c r="BO662" s="67">
        <f>(CK662-Driver!$F$207)/(Driver!$G$207-Driver!$F$207)*$BI$1</f>
        <v>0.28955532574974147</v>
      </c>
      <c r="BP662" s="67">
        <f>(CM662-Driver!$F$208)/(Driver!$G$208-Driver!$F$208)*$BI$1</f>
        <v>0.63333333333333341</v>
      </c>
      <c r="BQ662" s="67">
        <f>(CL662-Driver!$F$209)/(Driver!$G$209-Driver!$F$209)*$BI$1</f>
        <v>1.09375</v>
      </c>
      <c r="BR662" s="28" t="s">
        <v>155</v>
      </c>
      <c r="BS662" s="8" t="s">
        <v>167</v>
      </c>
      <c r="BT662" s="9" t="s">
        <v>677</v>
      </c>
      <c r="BU662" s="10">
        <v>163</v>
      </c>
      <c r="BV662" s="9" t="s">
        <v>158</v>
      </c>
      <c r="BW662" s="10">
        <v>163</v>
      </c>
      <c r="BX662" s="10">
        <v>162.6</v>
      </c>
      <c r="BY662" s="10">
        <v>143</v>
      </c>
      <c r="BZ662" s="10">
        <v>150</v>
      </c>
      <c r="CA662" s="10">
        <v>130</v>
      </c>
      <c r="CB662" s="10">
        <v>72</v>
      </c>
      <c r="CC662" s="10">
        <v>111</v>
      </c>
      <c r="CD662" s="10">
        <v>11.4</v>
      </c>
      <c r="CE662" s="10">
        <v>1796</v>
      </c>
      <c r="CF662" s="10">
        <v>0.82</v>
      </c>
      <c r="CG662" s="10">
        <v>1468</v>
      </c>
      <c r="CH662" s="10">
        <v>158</v>
      </c>
      <c r="CI662" s="10">
        <v>78</v>
      </c>
      <c r="CJ662" s="10">
        <v>33</v>
      </c>
      <c r="CK662" s="10">
        <v>138</v>
      </c>
      <c r="CL662" s="10">
        <v>7</v>
      </c>
      <c r="CM662" s="10">
        <v>57</v>
      </c>
      <c r="CN662" s="10">
        <v>0.214</v>
      </c>
      <c r="CO662" s="10">
        <v>83</v>
      </c>
      <c r="CP662" s="10">
        <v>48</v>
      </c>
      <c r="CQ662" s="10">
        <v>55</v>
      </c>
      <c r="CR662" s="10">
        <v>12</v>
      </c>
      <c r="CS662" s="10">
        <v>12.8</v>
      </c>
      <c r="CT662" s="9" t="s">
        <v>349</v>
      </c>
      <c r="CU662" s="10"/>
      <c r="CV662" s="10"/>
      <c r="CW662" s="10"/>
      <c r="CX662" t="str">
        <f>INDEX('Data_Price '!AG$2:AG$1266,MATCH(Data!$DN662,'Data_Price '!$AT$2:$AT$1266,0))</f>
        <v>Head V-Shape V4 Skis with PR 10 GW Bindings</v>
      </c>
      <c r="CY662" t="str">
        <f>INDEX('Data_Price '!AH$2:AH$1266,MATCH(Data!$DN662,'Data_Price '!$AT$2:$AT$1266,0))</f>
        <v>Gorham Bike and Ski</v>
      </c>
      <c r="CZ662">
        <f>INDEX('Data_Price '!AI$2:AI$1266,MATCH(Data!$DN662,'Data_Price '!$AT$2:$AT$1266,0))</f>
        <v>349.99</v>
      </c>
      <c r="DA662" t="str">
        <f>INDEX('Data_Price '!AJ$2:AJ$1266,MATCH(Data!$DN662,'Data_Price '!$AT$2:$AT$1266,0))</f>
        <v>https://tinyurl.com/yd67aylk</v>
      </c>
      <c r="DB662" t="str">
        <f>INDEX('Data_Price '!AK$2:AK$1266,MATCH(Data!$DN662,'Data_Price '!$AT$2:$AT$1266,0))</f>
        <v>Head V-Shape V4 Skis with PR 10 GW Bindings</v>
      </c>
      <c r="DC662" t="str">
        <f>INDEX('Data_Price '!AL$2:AL$1266,MATCH(Data!$DN662,'Data_Price '!$AT$2:$AT$1266,0))</f>
        <v>Ski Country Sports</v>
      </c>
      <c r="DD662">
        <f>INDEX('Data_Price '!AM$2:AM$1266,MATCH(Data!$DN662,'Data_Price '!$AT$2:$AT$1266,0))</f>
        <v>419.98</v>
      </c>
      <c r="DE662" t="str">
        <f>INDEX('Data_Price '!AN$2:AN$1266,MATCH(Data!$DN662,'Data_Price '!$AT$2:$AT$1266,0))</f>
        <v>https://tinyurl.com/yaeb4mmr</v>
      </c>
      <c r="DF662" t="str">
        <f>INDEX('Data_Price '!AO$2:AO$1266,MATCH(Data!$DN662,'Data_Price '!$AT$2:$AT$1266,0))</f>
        <v>Head V-Shape V4 Skis with PR 10 GW Bindings</v>
      </c>
      <c r="DG662" t="str">
        <f>INDEX('Data_Price '!AP$2:AP$1266,MATCH(Data!$DN662,'Data_Price '!$AT$2:$AT$1266,0))</f>
        <v>eBay</v>
      </c>
      <c r="DH662">
        <f>INDEX('Data_Price '!AQ$2:AQ$1266,MATCH(Data!$DN662,'Data_Price '!$AT$2:$AT$1266,0))</f>
        <v>499</v>
      </c>
      <c r="DI662" t="str">
        <f>INDEX('Data_Price '!AR$2:AR$1266,MATCH(Data!$DN662,'Data_Price '!$AT$2:$AT$1266,0))</f>
        <v>https://tinyurl.com/yd4gnlbm</v>
      </c>
      <c r="DJ662" s="89" t="str">
        <f t="shared" si="402"/>
        <v>https://tinyurl.com/yd67aylk</v>
      </c>
      <c r="DK662" s="89" t="str">
        <f t="shared" si="403"/>
        <v>https://tinyurl.com/yaeb4mmr</v>
      </c>
      <c r="DL662" s="89" t="str">
        <f t="shared" si="404"/>
        <v>https://tinyurl.com/yd4gnlbm</v>
      </c>
      <c r="DM662" s="219" t="str">
        <f t="shared" si="405"/>
        <v>V-Shape V4</v>
      </c>
      <c r="DN662" s="89" t="str">
        <f t="shared" si="406"/>
        <v xml:space="preserve"> HeadV-Shape V4163 Unisex</v>
      </c>
      <c r="DO662" s="221"/>
    </row>
    <row r="663" spans="2:119" ht="15.6" customHeight="1">
      <c r="B663" s="219" t="b">
        <f t="array" ref="B663">IF(OR(ISERROR(K663:P663)),FALSE,TRUE)</f>
        <v>1</v>
      </c>
      <c r="C663" s="43" t="b">
        <f>OR(BR663=Driver!$G$50,Data!BR302=Driver!$H$50)</f>
        <v>1</v>
      </c>
      <c r="D663" s="43" t="b">
        <f>OR(BV663=Driver!$G$51,BV663=Driver!$H$51)</f>
        <v>0</v>
      </c>
      <c r="E663" s="43" t="b">
        <f>AND(BX663&gt;Driver!$F$54,BX663&lt;Driver!$G$54)</f>
        <v>1</v>
      </c>
      <c r="F663" s="43" t="b">
        <f>CL663&gt;Driver!$F$56</f>
        <v>1</v>
      </c>
      <c r="G663" s="43" t="b">
        <f>AND(CB663&gt;Driver!$F$55,CB663&lt;Driver!$G$55)</f>
        <v>0</v>
      </c>
      <c r="H663" s="43" t="b">
        <f t="shared" si="370"/>
        <v>0</v>
      </c>
      <c r="I663" s="43">
        <f t="shared" si="371"/>
        <v>0</v>
      </c>
      <c r="J663" s="43" t="b">
        <f t="array" ref="J663">NOT(OR(($H$9:$H$1273=TRUE)*($I$9:$I$1273&gt;0)*($BT$9:$BT$1273=BT663)*($K$9:$K$1273&gt;K663)))</f>
        <v>1</v>
      </c>
      <c r="K663" s="72">
        <f t="shared" si="372"/>
        <v>0.81686191289962895</v>
      </c>
      <c r="L663" s="72">
        <f t="shared" si="373"/>
        <v>0.87630995982534887</v>
      </c>
      <c r="M663" s="72">
        <f t="shared" si="374"/>
        <v>0.75741386597390903</v>
      </c>
      <c r="N663" s="72">
        <f t="shared" si="375"/>
        <v>0.71384232009074422</v>
      </c>
      <c r="O663" s="72">
        <f t="shared" si="376"/>
        <v>0.61654025574113447</v>
      </c>
      <c r="P663" s="72">
        <f t="shared" si="377"/>
        <v>0.94185902208984862</v>
      </c>
      <c r="Q663" s="72"/>
      <c r="R663" s="72"/>
      <c r="S663" s="72">
        <f t="shared" si="378"/>
        <v>0.41435243869627769</v>
      </c>
      <c r="T663" s="72">
        <f t="shared" si="379"/>
        <v>0.50662645250179483</v>
      </c>
      <c r="U663" s="72">
        <f t="shared" si="380"/>
        <v>0.55615675213101301</v>
      </c>
      <c r="V663" s="72">
        <f t="shared" si="381"/>
        <v>0.57571808023199267</v>
      </c>
      <c r="W663" s="72">
        <f t="shared" si="382"/>
        <v>0.85034220532319393</v>
      </c>
      <c r="X663" s="72">
        <f t="shared" si="383"/>
        <v>0.12369004017465116</v>
      </c>
      <c r="Y663" s="72">
        <f t="shared" si="384"/>
        <v>0.24258613402609094</v>
      </c>
      <c r="Z663" s="72">
        <f t="shared" si="385"/>
        <v>0.28615767990925584</v>
      </c>
      <c r="AA663" s="72">
        <f t="shared" si="386"/>
        <v>0.38345974425886553</v>
      </c>
      <c r="AB663" s="72">
        <f t="shared" si="387"/>
        <v>5.8140977910151381E-2</v>
      </c>
      <c r="AC663" s="72"/>
      <c r="AD663" s="72"/>
      <c r="AE663" s="72">
        <f t="shared" si="388"/>
        <v>0.58564756130372231</v>
      </c>
      <c r="AF663" s="72">
        <f t="shared" si="389"/>
        <v>0.49337354749820517</v>
      </c>
      <c r="AG663" s="72">
        <f t="shared" si="390"/>
        <v>0.44384324786898699</v>
      </c>
      <c r="AH663" s="72">
        <f t="shared" si="391"/>
        <v>0.42428191976800733</v>
      </c>
      <c r="AI663" s="72">
        <f t="shared" si="392"/>
        <v>0.14965779467680607</v>
      </c>
      <c r="AJ663" s="72">
        <f>(AV663-Driver!$K$179)/(Driver!$L$179-Driver!$K$179)</f>
        <v>0.13052936910804927</v>
      </c>
      <c r="AK663" s="72">
        <f>(AW663-Driver!$K$180)/(Driver!$L$180-Driver!$K$180)</f>
        <v>0.21103693505332552</v>
      </c>
      <c r="AL663" s="72">
        <f>(AX663-Driver!$K$181)/(Driver!$L$181-Driver!$K$181)</f>
        <v>0.38784544362233603</v>
      </c>
      <c r="AM663" s="72">
        <f>(AY663-Driver!$K$182)/(Driver!$L$182-Driver!$K$182)</f>
        <v>6.392527683818082E-2</v>
      </c>
      <c r="AN663" s="72">
        <f>(AZ663-Driver!$K$183)/(Driver!$L$183-Driver!$K$183)</f>
        <v>0.19607843137254904</v>
      </c>
      <c r="AO663" s="72"/>
      <c r="AP663" s="72"/>
      <c r="AQ663" s="72">
        <f>(BC663-Driver!$K$188)/(Driver!$L$188-Driver!$K$188)</f>
        <v>3.4352438696277722E-2</v>
      </c>
      <c r="AR663" s="72">
        <f>MIN((BD663-Driver!$K$189)/(Driver!$L$189-Driver!$K$189),100%)</f>
        <v>5.6626452501794849E-2</v>
      </c>
      <c r="AS663" s="72">
        <f>(BE663-Driver!$K$190)/(Driver!$L$190-Driver!$K$190)</f>
        <v>6.6156752131013047E-2</v>
      </c>
      <c r="AT663" s="72">
        <f>(BF663-Driver!$K$191)/(Driver!$L$191-Driver!$K$191)</f>
        <v>8.5718080231992649E-2</v>
      </c>
      <c r="AU663" s="72">
        <f>(BG663-Driver!$K$192)/(Driver!$L$192-Driver!$K$192)</f>
        <v>0.10034220532319392</v>
      </c>
      <c r="AV663" s="70">
        <f t="shared" si="393"/>
        <v>2.7472527472527468</v>
      </c>
      <c r="AW663" s="70">
        <f t="shared" si="394"/>
        <v>22.439311919879167</v>
      </c>
      <c r="AX663" s="70">
        <f t="shared" si="395"/>
        <v>4.4906089926010244</v>
      </c>
      <c r="AY663" s="70">
        <f>IFERROR(Driver!$K$19/Data!BH663/Data!BI663*Data!BK663*Data!BL663,"")</f>
        <v>7.826361231164515E-2</v>
      </c>
      <c r="AZ663" s="70">
        <f t="shared" si="396"/>
        <v>17.870439314966497</v>
      </c>
      <c r="BA663" s="70"/>
      <c r="BB663" s="70"/>
      <c r="BC663" s="70">
        <f t="shared" si="397"/>
        <v>17.818848766038649</v>
      </c>
      <c r="BD663" s="70">
        <f t="shared" si="398"/>
        <v>6.7321635943699389</v>
      </c>
      <c r="BE663" s="70">
        <f t="shared" si="399"/>
        <v>6.6323339255579414E-2</v>
      </c>
      <c r="BF663" s="70">
        <f t="shared" si="400"/>
        <v>9.6812549586075924</v>
      </c>
      <c r="BG663" s="70">
        <f t="shared" si="401"/>
        <v>0.37995960076045632</v>
      </c>
      <c r="BH663" s="67">
        <f>MAX((CE663-Driver!$F$200)/(Driver!$G$200-Driver!$F$200)*$BI$1,1)</f>
        <v>4.4906089926010244</v>
      </c>
      <c r="BI663" s="67">
        <f>MAX($BI$1*(BY663-Driver!$F$201)/(Driver!$G$201-Driver!$F$201),1)</f>
        <v>6.075949367088608</v>
      </c>
      <c r="BJ663" s="67">
        <f>(CB663-Driver!$F$206)/(Driver!$G$206-Driver!$F$206)*$BI$1</f>
        <v>4.2857142857142856</v>
      </c>
      <c r="BK663" s="67">
        <f>(CD663-Driver!$F$203)/(Driver!$G$203-Driver!$F$203)*$BI$1</f>
        <v>2.0642201834862388</v>
      </c>
      <c r="BL663" s="67">
        <f>MAX((CR663-Driver!$F$202)/(Driver!$G$202-Driver!$F$202)*$BI$1,1)</f>
        <v>5.1724137931034484</v>
      </c>
      <c r="BM663" s="67">
        <f>MAX((CH663-Driver!$F$204)/(Driver!$G$204-Driver!$F$204)*$BI$1,1)</f>
        <v>2.5641025641025639</v>
      </c>
      <c r="BN663" s="67">
        <f>(CI663-Driver!$F$205)/(Driver!$G$205-Driver!$F$205)*$BI$1</f>
        <v>2.9411764705882355</v>
      </c>
      <c r="BO663" s="67">
        <f>(CK663-Driver!$F$207)/(Driver!$G$207-Driver!$F$207)*$BI$1</f>
        <v>2.0372285418821097</v>
      </c>
      <c r="BP663" s="67">
        <f>(CM663-Driver!$F$208)/(Driver!$G$208-Driver!$F$208)*$BI$1</f>
        <v>2.2888888888888888</v>
      </c>
      <c r="BQ663" s="67">
        <f>(CL663-Driver!$F$209)/(Driver!$G$209-Driver!$F$209)*$BI$1</f>
        <v>4.375</v>
      </c>
      <c r="BR663" s="28" t="s">
        <v>155</v>
      </c>
      <c r="BS663" s="8" t="s">
        <v>317</v>
      </c>
      <c r="BT663" s="9" t="s">
        <v>571</v>
      </c>
      <c r="BU663" s="10">
        <v>157</v>
      </c>
      <c r="BV663" s="9" t="s">
        <v>163</v>
      </c>
      <c r="BW663" s="10">
        <v>157</v>
      </c>
      <c r="BX663" s="10">
        <v>155.69999999999999</v>
      </c>
      <c r="BY663" s="10">
        <v>104</v>
      </c>
      <c r="BZ663" s="10">
        <v>127</v>
      </c>
      <c r="CA663" s="10">
        <v>122</v>
      </c>
      <c r="CB663" s="10">
        <v>91</v>
      </c>
      <c r="CC663" s="10">
        <v>112</v>
      </c>
      <c r="CD663" s="10">
        <v>13.9</v>
      </c>
      <c r="CE663" s="10">
        <v>1689</v>
      </c>
      <c r="CF663" s="10">
        <v>0.94</v>
      </c>
      <c r="CG663" s="10">
        <v>1585</v>
      </c>
      <c r="CH663" s="10">
        <v>161</v>
      </c>
      <c r="CI663" s="10">
        <v>83</v>
      </c>
      <c r="CJ663" s="10">
        <v>63</v>
      </c>
      <c r="CK663" s="10">
        <v>307</v>
      </c>
      <c r="CL663" s="10">
        <v>28</v>
      </c>
      <c r="CM663" s="10">
        <v>206</v>
      </c>
      <c r="CN663" s="10">
        <v>0.442</v>
      </c>
      <c r="CO663" s="10">
        <v>146</v>
      </c>
      <c r="CP663" s="10">
        <v>137</v>
      </c>
      <c r="CQ663" s="10">
        <v>160</v>
      </c>
      <c r="CR663" s="10">
        <v>4</v>
      </c>
      <c r="CS663" s="10">
        <v>6.3</v>
      </c>
      <c r="CT663" s="9" t="s">
        <v>188</v>
      </c>
      <c r="CU663" s="10"/>
      <c r="CV663" s="10"/>
      <c r="CW663" s="10"/>
      <c r="CX663" t="str">
        <f>INDEX('Data_Price '!AG$2:AG$1266,MATCH(Data!$DN663,'Data_Price '!$AT$2:$AT$1266,0))</f>
        <v>Blizzard Sheeva 9 Skis</v>
      </c>
      <c r="CY663" t="str">
        <f>INDEX('Data_Price '!AH$2:AH$1266,MATCH(Data!$DN663,'Data_Price '!$AT$2:$AT$1266,0))</f>
        <v>REI</v>
      </c>
      <c r="CZ663">
        <f>INDEX('Data_Price '!AI$2:AI$1266,MATCH(Data!$DN663,'Data_Price '!$AT$2:$AT$1266,0))</f>
        <v>479.93</v>
      </c>
      <c r="DA663" t="str">
        <f>INDEX('Data_Price '!AJ$2:AJ$1266,MATCH(Data!$DN663,'Data_Price '!$AT$2:$AT$1266,0))</f>
        <v>https://tinyurl.com/yb3sh7qz</v>
      </c>
      <c r="DB663" t="str">
        <f>INDEX('Data_Price '!AK$2:AK$1266,MATCH(Data!$DN663,'Data_Price '!$AT$2:$AT$1266,0))</f>
        <v>Blizzard Sheeva 9 Skis</v>
      </c>
      <c r="DC663" t="str">
        <f>INDEX('Data_Price '!AL$2:AL$1266,MATCH(Data!$DN663,'Data_Price '!$AT$2:$AT$1266,0))</f>
        <v>AlpineShopVT.com</v>
      </c>
      <c r="DD663">
        <f>INDEX('Data_Price '!AM$2:AM$1266,MATCH(Data!$DN663,'Data_Price '!$AT$2:$AT$1266,0))</f>
        <v>479.95</v>
      </c>
      <c r="DE663" t="str">
        <f>INDEX('Data_Price '!AN$2:AN$1266,MATCH(Data!$DN663,'Data_Price '!$AT$2:$AT$1266,0))</f>
        <v>https://tinyurl.com/y7bhtgvv</v>
      </c>
      <c r="DF663" t="str">
        <f>INDEX('Data_Price '!AO$2:AO$1266,MATCH(Data!$DN663,'Data_Price '!$AT$2:$AT$1266,0))</f>
        <v>Blizzard Sheeva 9 Skis - 2022 - Women's 157 cm</v>
      </c>
      <c r="DG663" t="str">
        <f>INDEX('Data_Price '!AP$2:AP$1266,MATCH(Data!$DN663,'Data_Price '!$AT$2:$AT$1266,0))</f>
        <v>Arlberg Ski &amp; Surf Shops</v>
      </c>
      <c r="DH663">
        <f>INDEX('Data_Price '!AQ$2:AQ$1266,MATCH(Data!$DN663,'Data_Price '!$AT$2:$AT$1266,0))</f>
        <v>479.95</v>
      </c>
      <c r="DI663" t="str">
        <f>INDEX('Data_Price '!AR$2:AR$1266,MATCH(Data!$DN663,'Data_Price '!$AT$2:$AT$1266,0))</f>
        <v>https://tinyurl.com/ybuxg4d4</v>
      </c>
      <c r="DJ663" s="89" t="str">
        <f t="shared" si="402"/>
        <v>https://tinyurl.com/yb3sh7qz</v>
      </c>
      <c r="DK663" s="89" t="str">
        <f t="shared" si="403"/>
        <v>https://tinyurl.com/y7bhtgvv</v>
      </c>
      <c r="DL663" s="89" t="str">
        <f t="shared" si="404"/>
        <v>https://tinyurl.com/ybuxg4d4</v>
      </c>
      <c r="DM663" s="219" t="str">
        <f t="shared" si="405"/>
        <v>Sheeva 9</v>
      </c>
      <c r="DN663" s="89" t="str">
        <f t="shared" si="406"/>
        <v xml:space="preserve"> BlizzardSheeva 9157 Women's</v>
      </c>
      <c r="DO663" s="221" t="s">
        <v>572</v>
      </c>
    </row>
    <row r="664" spans="2:119" ht="15.6" customHeight="1">
      <c r="B664" s="219" t="b">
        <f t="array" ref="B664">IF(OR(ISERROR(K664:P664)),FALSE,TRUE)</f>
        <v>1</v>
      </c>
      <c r="C664" s="43" t="b">
        <f>OR(BR664=Driver!$G$50,Data!BR1181=Driver!$H$50)</f>
        <v>1</v>
      </c>
      <c r="D664" s="43" t="b">
        <f>OR(BV664=Driver!$G$51,BV664=Driver!$H$51)</f>
        <v>1</v>
      </c>
      <c r="E664" s="43" t="b">
        <f>AND(BX664&gt;Driver!$F$54,BX664&lt;Driver!$G$54)</f>
        <v>0</v>
      </c>
      <c r="F664" s="43" t="b">
        <f>CL664&gt;Driver!$F$56</f>
        <v>1</v>
      </c>
      <c r="G664" s="43" t="b">
        <f>AND(CB664&gt;Driver!$F$55,CB664&lt;Driver!$G$55)</f>
        <v>0</v>
      </c>
      <c r="H664" s="43" t="b">
        <f t="shared" si="370"/>
        <v>0</v>
      </c>
      <c r="I664" s="43">
        <f t="shared" si="371"/>
        <v>0</v>
      </c>
      <c r="J664" s="43" t="b">
        <f t="array" ref="J664">NOT(OR(($H$9:$H$1273=TRUE)*($I$9:$I$1273&gt;0)*($BT$9:$BT$1273=BT664)*($K$9:$K$1273&gt;K664)))</f>
        <v>1</v>
      </c>
      <c r="K664" s="72">
        <f t="shared" si="372"/>
        <v>0.80576587038012759</v>
      </c>
      <c r="L664" s="72">
        <f t="shared" si="373"/>
        <v>0.84504737018712472</v>
      </c>
      <c r="M664" s="72">
        <f t="shared" si="374"/>
        <v>0.76648437057313057</v>
      </c>
      <c r="N664" s="72">
        <f t="shared" si="375"/>
        <v>0.69613537011287785</v>
      </c>
      <c r="O664" s="72">
        <f t="shared" si="376"/>
        <v>0.63531492866699191</v>
      </c>
      <c r="P664" s="72">
        <f t="shared" si="377"/>
        <v>0.96800281293952184</v>
      </c>
      <c r="Q664" s="72"/>
      <c r="R664" s="72"/>
      <c r="S664" s="72">
        <f t="shared" si="378"/>
        <v>0.45329096181200756</v>
      </c>
      <c r="T664" s="72">
        <f t="shared" si="379"/>
        <v>0.66066926411064186</v>
      </c>
      <c r="U664" s="72">
        <f t="shared" si="380"/>
        <v>0.51</v>
      </c>
      <c r="V664" s="72">
        <f t="shared" si="381"/>
        <v>0.4942918447724225</v>
      </c>
      <c r="W664" s="72">
        <f t="shared" si="382"/>
        <v>0.76179829197730053</v>
      </c>
      <c r="X664" s="72">
        <f t="shared" si="383"/>
        <v>0.15495262981287528</v>
      </c>
      <c r="Y664" s="72">
        <f t="shared" si="384"/>
        <v>0.23351562942686946</v>
      </c>
      <c r="Z664" s="72">
        <f t="shared" si="385"/>
        <v>0.30386462988712215</v>
      </c>
      <c r="AA664" s="72">
        <f t="shared" si="386"/>
        <v>0.36468507133300809</v>
      </c>
      <c r="AB664" s="72">
        <f t="shared" si="387"/>
        <v>3.1997187060478188E-2</v>
      </c>
      <c r="AC664" s="72"/>
      <c r="AD664" s="72"/>
      <c r="AE664" s="72">
        <f t="shared" si="388"/>
        <v>0.54670903818799244</v>
      </c>
      <c r="AF664" s="72">
        <f t="shared" si="389"/>
        <v>0.33933073588935814</v>
      </c>
      <c r="AG664" s="72">
        <f t="shared" si="390"/>
        <v>0.49</v>
      </c>
      <c r="AH664" s="72">
        <f t="shared" si="391"/>
        <v>0.5057081552275775</v>
      </c>
      <c r="AI664" s="72">
        <f t="shared" si="392"/>
        <v>0.23820170802269947</v>
      </c>
      <c r="AJ664" s="72">
        <f>(AV664-Driver!$K$179)/(Driver!$L$179-Driver!$K$179)</f>
        <v>9.9266779469825164E-2</v>
      </c>
      <c r="AK664" s="72">
        <f>(AW664-Driver!$K$180)/(Driver!$L$180-Driver!$K$180)</f>
        <v>0.23735648742193238</v>
      </c>
      <c r="AL664" s="72">
        <f>(AX664-Driver!$K$181)/(Driver!$L$181-Driver!$K$181)</f>
        <v>0.40555239360020234</v>
      </c>
      <c r="AM664" s="72">
        <f>(AY664-Driver!$K$182)/(Driver!$L$182-Driver!$K$182)</f>
        <v>8.2699949764038244E-2</v>
      </c>
      <c r="AN664" s="72">
        <f>(AZ664-Driver!$K$183)/(Driver!$L$183-Driver!$K$183)</f>
        <v>0.22222222222222224</v>
      </c>
      <c r="AO664" s="72"/>
      <c r="AP664" s="72"/>
      <c r="AQ664" s="72">
        <f>(BC664-Driver!$K$188)/(Driver!$L$188-Driver!$K$188)</f>
        <v>7.3290961812007505E-2</v>
      </c>
      <c r="AR664" s="72">
        <f>MIN((BD664-Driver!$K$189)/(Driver!$L$189-Driver!$K$189),100%)</f>
        <v>0.21066926411064194</v>
      </c>
      <c r="AS664" s="72">
        <f>(BE664-Driver!$K$190)/(Driver!$L$190-Driver!$K$190)</f>
        <v>1</v>
      </c>
      <c r="AT664" s="72">
        <f>(BF664-Driver!$K$191)/(Driver!$L$191-Driver!$K$191)</f>
        <v>4.2918447724224771E-3</v>
      </c>
      <c r="AU664" s="72">
        <f>(BG664-Driver!$K$192)/(Driver!$L$192-Driver!$K$192)</f>
        <v>1.1798291977300545E-2</v>
      </c>
      <c r="AV664" s="70">
        <f t="shared" si="393"/>
        <v>2.0892687559354228</v>
      </c>
      <c r="AW664" s="70">
        <f t="shared" si="394"/>
        <v>25.004385513158478</v>
      </c>
      <c r="AX664" s="70">
        <f t="shared" si="395"/>
        <v>4.6499715424018211</v>
      </c>
      <c r="AY664" s="70">
        <f>IFERROR(Driver!$K$19/Data!BH664/Data!BI664*Data!BK664*Data!BL664,"")</f>
        <v>0.10124941379462955</v>
      </c>
      <c r="AZ664" s="70">
        <f t="shared" si="396"/>
        <v>20.253164556962027</v>
      </c>
      <c r="BA664" s="70"/>
      <c r="BB664" s="70"/>
      <c r="BC664" s="70">
        <f t="shared" si="397"/>
        <v>38.016531402388722</v>
      </c>
      <c r="BD664" s="70">
        <f t="shared" si="398"/>
        <v>20.364679474041903</v>
      </c>
      <c r="BE664" s="70">
        <f t="shared" si="399"/>
        <v>1</v>
      </c>
      <c r="BF664" s="70">
        <f t="shared" si="400"/>
        <v>0.48473371512911301</v>
      </c>
      <c r="BG664" s="70">
        <f t="shared" si="401"/>
        <v>4.4675859922666074E-2</v>
      </c>
      <c r="BH664" s="67">
        <f>MAX((CE664-Driver!$F$200)/(Driver!$G$200-Driver!$F$200)*$BI$1,1)</f>
        <v>4.6499715424018211</v>
      </c>
      <c r="BI664" s="67">
        <f>MAX($BI$1*(BY664-Driver!$F$201)/(Driver!$G$201-Driver!$F$201),1)</f>
        <v>8.6075949367088604</v>
      </c>
      <c r="BJ664" s="67">
        <f>(CB664-Driver!$F$206)/(Driver!$G$206-Driver!$F$206)*$BI$1</f>
        <v>2.2222222222222223</v>
      </c>
      <c r="BK664" s="67">
        <f>(CD664-Driver!$F$203)/(Driver!$G$203-Driver!$F$203)*$BI$1</f>
        <v>2.7981651376146792</v>
      </c>
      <c r="BL664" s="67">
        <f>MAX((CR664-Driver!$F$202)/(Driver!$G$202-Driver!$F$202)*$BI$1,1)</f>
        <v>7.2413793103448274</v>
      </c>
      <c r="BM664" s="67">
        <f>MAX((CH664-Driver!$F$204)/(Driver!$G$204-Driver!$F$204)*$BI$1,1)</f>
        <v>3.7606837606837606</v>
      </c>
      <c r="BN664" s="67">
        <f>(CI664-Driver!$F$205)/(Driver!$G$205-Driver!$F$205)*$BI$1</f>
        <v>2.3529411764705883</v>
      </c>
      <c r="BO664" s="67">
        <f>(CK664-Driver!$F$207)/(Driver!$G$207-Driver!$F$207)*$BI$1</f>
        <v>0.66184074457083764</v>
      </c>
      <c r="BP664" s="67">
        <f>(CM664-Driver!$F$208)/(Driver!$G$208-Driver!$F$208)*$BI$1</f>
        <v>0.92222222222222217</v>
      </c>
      <c r="BQ664" s="67">
        <f>(CL664-Driver!$F$209)/(Driver!$G$209-Driver!$F$209)*$BI$1</f>
        <v>0.78125</v>
      </c>
      <c r="BR664" s="28" t="s">
        <v>155</v>
      </c>
      <c r="BS664" s="8" t="s">
        <v>229</v>
      </c>
      <c r="BT664" s="9" t="s">
        <v>348</v>
      </c>
      <c r="BU664" s="10">
        <v>170</v>
      </c>
      <c r="BV664" s="9" t="s">
        <v>158</v>
      </c>
      <c r="BW664" s="10">
        <v>170</v>
      </c>
      <c r="BX664" s="10">
        <v>169.3</v>
      </c>
      <c r="BY664" s="10">
        <v>144</v>
      </c>
      <c r="BZ664" s="10">
        <v>157</v>
      </c>
      <c r="CA664" s="10">
        <v>128</v>
      </c>
      <c r="CB664" s="10">
        <v>78</v>
      </c>
      <c r="CC664" s="10">
        <v>108</v>
      </c>
      <c r="CD664" s="10">
        <v>15.5</v>
      </c>
      <c r="CE664" s="10">
        <v>1717</v>
      </c>
      <c r="CF664" s="10">
        <v>0.91</v>
      </c>
      <c r="CG664" s="10">
        <v>1568</v>
      </c>
      <c r="CH664" s="10">
        <v>189</v>
      </c>
      <c r="CI664" s="10">
        <v>73</v>
      </c>
      <c r="CJ664" s="10">
        <v>35</v>
      </c>
      <c r="CK664" s="10">
        <v>174</v>
      </c>
      <c r="CL664" s="10">
        <v>5</v>
      </c>
      <c r="CM664" s="10">
        <v>83</v>
      </c>
      <c r="CN664" s="10">
        <v>0.13600000000000001</v>
      </c>
      <c r="CO664" s="10">
        <v>69</v>
      </c>
      <c r="CP664" s="10">
        <v>51</v>
      </c>
      <c r="CQ664" s="10">
        <v>105</v>
      </c>
      <c r="CR664" s="10">
        <v>10</v>
      </c>
      <c r="CS664" s="10">
        <v>11.4</v>
      </c>
      <c r="CT664" s="9" t="s">
        <v>349</v>
      </c>
      <c r="CU664" s="10"/>
      <c r="CV664" s="10"/>
      <c r="CW664" s="10"/>
      <c r="CX664" t="e">
        <f>INDEX('Data_Price '!AG$2:AG$1266,MATCH(Data!$DN664,'Data_Price '!$AT$2:$AT$1266,0))</f>
        <v>#N/A</v>
      </c>
      <c r="CY664" t="e">
        <f>INDEX('Data_Price '!AH$2:AH$1266,MATCH(Data!$DN664,'Data_Price '!$AT$2:$AT$1266,0))</f>
        <v>#N/A</v>
      </c>
      <c r="CZ664" t="e">
        <f>INDEX('Data_Price '!AI$2:AI$1266,MATCH(Data!$DN664,'Data_Price '!$AT$2:$AT$1266,0))</f>
        <v>#N/A</v>
      </c>
      <c r="DA664" t="e">
        <f>INDEX('Data_Price '!AJ$2:AJ$1266,MATCH(Data!$DN664,'Data_Price '!$AT$2:$AT$1266,0))</f>
        <v>#N/A</v>
      </c>
      <c r="DB664" t="e">
        <f>INDEX('Data_Price '!AK$2:AK$1266,MATCH(Data!$DN664,'Data_Price '!$AT$2:$AT$1266,0))</f>
        <v>#N/A</v>
      </c>
      <c r="DC664" t="e">
        <f>INDEX('Data_Price '!AL$2:AL$1266,MATCH(Data!$DN664,'Data_Price '!$AT$2:$AT$1266,0))</f>
        <v>#N/A</v>
      </c>
      <c r="DD664" t="e">
        <f>INDEX('Data_Price '!AM$2:AM$1266,MATCH(Data!$DN664,'Data_Price '!$AT$2:$AT$1266,0))</f>
        <v>#N/A</v>
      </c>
      <c r="DE664" t="e">
        <f>INDEX('Data_Price '!AN$2:AN$1266,MATCH(Data!$DN664,'Data_Price '!$AT$2:$AT$1266,0))</f>
        <v>#N/A</v>
      </c>
      <c r="DF664" t="e">
        <f>INDEX('Data_Price '!AO$2:AO$1266,MATCH(Data!$DN664,'Data_Price '!$AT$2:$AT$1266,0))</f>
        <v>#N/A</v>
      </c>
      <c r="DG664" t="e">
        <f>INDEX('Data_Price '!AP$2:AP$1266,MATCH(Data!$DN664,'Data_Price '!$AT$2:$AT$1266,0))</f>
        <v>#N/A</v>
      </c>
      <c r="DH664" t="e">
        <f>INDEX('Data_Price '!AQ$2:AQ$1266,MATCH(Data!$DN664,'Data_Price '!$AT$2:$AT$1266,0))</f>
        <v>#N/A</v>
      </c>
      <c r="DI664" t="e">
        <f>INDEX('Data_Price '!AR$2:AR$1266,MATCH(Data!$DN664,'Data_Price '!$AT$2:$AT$1266,0))</f>
        <v>#N/A</v>
      </c>
      <c r="DJ664" s="89" t="e">
        <f t="shared" si="402"/>
        <v>#N/A</v>
      </c>
      <c r="DK664" s="89" t="e">
        <f t="shared" si="403"/>
        <v>#N/A</v>
      </c>
      <c r="DL664" s="89" t="e">
        <f t="shared" si="404"/>
        <v>#N/A</v>
      </c>
      <c r="DM664" s="219" t="str">
        <f t="shared" si="405"/>
        <v>Deacon 79</v>
      </c>
      <c r="DN664" s="89" t="str">
        <f t="shared" si="406"/>
        <v xml:space="preserve"> VölklDeacon 79170 Unisex</v>
      </c>
      <c r="DO664" s="221"/>
    </row>
    <row r="665" spans="2:119" ht="15.6" customHeight="1">
      <c r="B665" s="219" t="b">
        <f t="array" ref="B665">IF(OR(ISERROR(K665:P665)),FALSE,TRUE)</f>
        <v>1</v>
      </c>
      <c r="C665" s="43" t="b">
        <f>OR(BR665=Driver!$G$50,Data!BR441=Driver!$H$50)</f>
        <v>1</v>
      </c>
      <c r="D665" s="43" t="b">
        <f>OR(BV665=Driver!$G$51,BV665=Driver!$H$51)</f>
        <v>0</v>
      </c>
      <c r="E665" s="43" t="b">
        <f>AND(BX665&gt;Driver!$F$54,BX665&lt;Driver!$G$54)</f>
        <v>1</v>
      </c>
      <c r="F665" s="43" t="b">
        <f>CL665&gt;Driver!$F$56</f>
        <v>1</v>
      </c>
      <c r="G665" s="43" t="b">
        <f>AND(CB665&gt;Driver!$F$55,CB665&lt;Driver!$G$55)</f>
        <v>0</v>
      </c>
      <c r="H665" s="43" t="b">
        <f t="shared" si="370"/>
        <v>0</v>
      </c>
      <c r="I665" s="43">
        <f t="shared" si="371"/>
        <v>0</v>
      </c>
      <c r="J665" s="43" t="b">
        <f t="array" ref="J665">NOT(OR(($H$9:$H$1273=TRUE)*($I$9:$I$1273&gt;0)*($BT$9:$BT$1273=BT665)*($K$9:$K$1273&gt;K665)))</f>
        <v>1</v>
      </c>
      <c r="K665" s="72">
        <f t="shared" si="372"/>
        <v>0.78463263920315751</v>
      </c>
      <c r="L665" s="72">
        <f t="shared" si="373"/>
        <v>0.82264788585870641</v>
      </c>
      <c r="M665" s="72">
        <f t="shared" si="374"/>
        <v>0.7466173925476085</v>
      </c>
      <c r="N665" s="72">
        <f t="shared" si="375"/>
        <v>0.63542582733162201</v>
      </c>
      <c r="O665" s="72">
        <f t="shared" si="376"/>
        <v>0.61139975148601944</v>
      </c>
      <c r="P665" s="72">
        <f t="shared" si="377"/>
        <v>0.99302659882518407</v>
      </c>
      <c r="Q665" s="72"/>
      <c r="R665" s="72"/>
      <c r="S665" s="72">
        <f t="shared" si="378"/>
        <v>0.47158839005677911</v>
      </c>
      <c r="T665" s="72">
        <f t="shared" si="379"/>
        <v>0.96887171563672925</v>
      </c>
      <c r="U665" s="72">
        <f t="shared" si="380"/>
        <v>0.51</v>
      </c>
      <c r="V665" s="72">
        <f t="shared" si="381"/>
        <v>0.4907847706780204</v>
      </c>
      <c r="W665" s="72">
        <f t="shared" si="382"/>
        <v>0.75525894314823616</v>
      </c>
      <c r="X665" s="72">
        <f t="shared" si="383"/>
        <v>0.17735211414129362</v>
      </c>
      <c r="Y665" s="72">
        <f t="shared" si="384"/>
        <v>0.2533826074523915</v>
      </c>
      <c r="Z665" s="72">
        <f t="shared" si="385"/>
        <v>0.36457417266837805</v>
      </c>
      <c r="AA665" s="72">
        <f t="shared" si="386"/>
        <v>0.38860024851398056</v>
      </c>
      <c r="AB665" s="72">
        <f t="shared" si="387"/>
        <v>6.9734011748159297E-3</v>
      </c>
      <c r="AC665" s="72"/>
      <c r="AD665" s="72"/>
      <c r="AE665" s="72">
        <f t="shared" si="388"/>
        <v>0.52841160994322089</v>
      </c>
      <c r="AF665" s="72">
        <f t="shared" si="389"/>
        <v>3.1128284363270753E-2</v>
      </c>
      <c r="AG665" s="72">
        <f t="shared" si="390"/>
        <v>0.49</v>
      </c>
      <c r="AH665" s="72">
        <f t="shared" si="391"/>
        <v>0.5092152293219796</v>
      </c>
      <c r="AI665" s="72">
        <f t="shared" si="392"/>
        <v>0.24474105685176384</v>
      </c>
      <c r="AJ665" s="72">
        <f>(AV665-Driver!$K$179)/(Driver!$L$179-Driver!$K$179)</f>
        <v>7.6867295141406805E-2</v>
      </c>
      <c r="AK665" s="72">
        <f>(AW665-Driver!$K$180)/(Driver!$L$180-Driver!$K$180)</f>
        <v>0.27910596354732525</v>
      </c>
      <c r="AL665" s="72">
        <f>(AX665-Driver!$K$181)/(Driver!$L$181-Driver!$K$181)</f>
        <v>0.46626193638145824</v>
      </c>
      <c r="AM665" s="72">
        <f>(AY665-Driver!$K$182)/(Driver!$L$182-Driver!$K$182)</f>
        <v>5.8784772583065817E-2</v>
      </c>
      <c r="AN665" s="72">
        <f>(AZ665-Driver!$K$183)/(Driver!$L$183-Driver!$K$183)</f>
        <v>0.26119281045751636</v>
      </c>
      <c r="AO665" s="72"/>
      <c r="AP665" s="72"/>
      <c r="AQ665" s="72">
        <f>(BC665-Driver!$K$188)/(Driver!$L$188-Driver!$K$188)</f>
        <v>9.1588390056779087E-2</v>
      </c>
      <c r="AR665" s="72">
        <f>MIN((BD665-Driver!$K$189)/(Driver!$L$189-Driver!$K$189),100%)</f>
        <v>0.51887171563672929</v>
      </c>
      <c r="AS665" s="72">
        <f>(BE665-Driver!$K$190)/(Driver!$L$190-Driver!$K$190)</f>
        <v>1</v>
      </c>
      <c r="AT665" s="72">
        <f>(BF665-Driver!$K$191)/(Driver!$L$191-Driver!$K$191)</f>
        <v>7.8477067802042719E-4</v>
      </c>
      <c r="AU665" s="72">
        <f>(BG665-Driver!$K$192)/(Driver!$L$192-Driver!$K$192)</f>
        <v>5.2589431482361693E-3</v>
      </c>
      <c r="AV665" s="70">
        <f t="shared" si="393"/>
        <v>1.6178266178266176</v>
      </c>
      <c r="AW665" s="70">
        <f t="shared" si="394"/>
        <v>29.073241899569688</v>
      </c>
      <c r="AX665" s="70">
        <f t="shared" si="395"/>
        <v>5.1963574274331243</v>
      </c>
      <c r="AY665" s="70">
        <f>IFERROR(Driver!$K$19/Data!BH665/Data!BI665*Data!BK665*Data!BL665,"")</f>
        <v>7.1970101324949007E-2</v>
      </c>
      <c r="AZ665" s="70">
        <f t="shared" si="396"/>
        <v>23.804914370811616</v>
      </c>
      <c r="BA665" s="70"/>
      <c r="BB665" s="70"/>
      <c r="BC665" s="70">
        <f t="shared" si="397"/>
        <v>47.507534634609236</v>
      </c>
      <c r="BD665" s="70">
        <f t="shared" si="398"/>
        <v>47.640050331671112</v>
      </c>
      <c r="BE665" s="70">
        <f t="shared" si="399"/>
        <v>1</v>
      </c>
      <c r="BF665" s="70">
        <f t="shared" si="400"/>
        <v>8.8634334756361649E-2</v>
      </c>
      <c r="BG665" s="70">
        <f t="shared" si="401"/>
        <v>1.991371360226498E-2</v>
      </c>
      <c r="BH665" s="67">
        <f>MAX((CE665-Driver!$F$200)/(Driver!$G$200-Driver!$F$200)*$BI$1,1)</f>
        <v>5.1963574274331243</v>
      </c>
      <c r="BI665" s="67">
        <f>MAX($BI$1*(BY665-Driver!$F$201)/(Driver!$G$201-Driver!$F$201),1)</f>
        <v>8.7974683544303804</v>
      </c>
      <c r="BJ665" s="67">
        <f>(CB665-Driver!$F$206)/(Driver!$G$206-Driver!$F$206)*$BI$1</f>
        <v>1.4285714285714284</v>
      </c>
      <c r="BK665" s="67">
        <f>(CD665-Driver!$F$203)/(Driver!$G$203-Driver!$F$203)*$BI$1</f>
        <v>2.3853211009174311</v>
      </c>
      <c r="BL665" s="67">
        <f>MAX((CR665-Driver!$F$202)/(Driver!$G$202-Driver!$F$202)*$BI$1,1)</f>
        <v>6.8965517241379315</v>
      </c>
      <c r="BM665" s="67">
        <f>MAX((CH665-Driver!$F$204)/(Driver!$G$204-Driver!$F$204)*$BI$1,1)</f>
        <v>4.5299145299145298</v>
      </c>
      <c r="BN665" s="67">
        <f>(CI665-Driver!$F$205)/(Driver!$G$205-Driver!$F$205)*$BI$1</f>
        <v>2.7058823529411762</v>
      </c>
      <c r="BO665" s="67">
        <f>(CK665-Driver!$F$207)/(Driver!$G$207-Driver!$F$207)*$BI$1</f>
        <v>0.28955532574974147</v>
      </c>
      <c r="BP665" s="67">
        <f>(CM665-Driver!$F$208)/(Driver!$G$208-Driver!$F$208)*$BI$1</f>
        <v>0.51111111111111118</v>
      </c>
      <c r="BQ665" s="67">
        <f>(CL665-Driver!$F$209)/(Driver!$G$209-Driver!$F$209)*$BI$1</f>
        <v>0.46875</v>
      </c>
      <c r="BR665" s="28" t="s">
        <v>155</v>
      </c>
      <c r="BS665" s="8" t="s">
        <v>164</v>
      </c>
      <c r="BT665" s="9" t="s">
        <v>714</v>
      </c>
      <c r="BU665" s="10">
        <v>164</v>
      </c>
      <c r="BV665" s="9" t="s">
        <v>163</v>
      </c>
      <c r="BW665" s="10">
        <v>164</v>
      </c>
      <c r="BX665" s="10">
        <v>164.9</v>
      </c>
      <c r="BY665" s="10">
        <v>147</v>
      </c>
      <c r="BZ665" s="10">
        <v>153</v>
      </c>
      <c r="CA665" s="10">
        <v>121</v>
      </c>
      <c r="CB665" s="10">
        <v>73</v>
      </c>
      <c r="CC665" s="10">
        <v>104</v>
      </c>
      <c r="CD665" s="10">
        <v>14.6</v>
      </c>
      <c r="CE665" s="10">
        <v>1813</v>
      </c>
      <c r="CF665" s="10">
        <v>0.8</v>
      </c>
      <c r="CG665" s="10">
        <v>1444</v>
      </c>
      <c r="CH665" s="10">
        <v>207</v>
      </c>
      <c r="CI665" s="10">
        <v>79</v>
      </c>
      <c r="CJ665" s="10">
        <v>41</v>
      </c>
      <c r="CK665" s="10">
        <v>138</v>
      </c>
      <c r="CL665" s="10">
        <v>3</v>
      </c>
      <c r="CM665" s="10">
        <v>46</v>
      </c>
      <c r="CN665" s="10">
        <v>6.9000000000000006E-2</v>
      </c>
      <c r="CO665" s="10">
        <v>82</v>
      </c>
      <c r="CP665" s="10">
        <v>38</v>
      </c>
      <c r="CQ665" s="10">
        <v>56</v>
      </c>
      <c r="CR665" s="10">
        <v>9</v>
      </c>
      <c r="CS665" s="10">
        <v>9.6</v>
      </c>
      <c r="CT665" s="9" t="s">
        <v>349</v>
      </c>
      <c r="CU665" s="10"/>
      <c r="CV665" s="10"/>
      <c r="CW665" s="10"/>
      <c r="CX665" t="str">
        <f>INDEX('Data_Price '!AG$2:AG$1266,MATCH(Data!$DN665,'Data_Price '!$AT$2:$AT$1266,0))</f>
        <v>Elan Insomnia 16 Ti Blue 164 Ski Lady's Ladies / Women</v>
      </c>
      <c r="CY665" t="str">
        <f>INDEX('Data_Price '!AH$2:AH$1266,MATCH(Data!$DN665,'Data_Price '!$AT$2:$AT$1266,0))</f>
        <v>Snowcountry.eu</v>
      </c>
      <c r="CZ665">
        <f>INDEX('Data_Price '!AI$2:AI$1266,MATCH(Data!$DN665,'Data_Price '!$AT$2:$AT$1266,0))</f>
        <v>450.88</v>
      </c>
      <c r="DA665" t="str">
        <f>INDEX('Data_Price '!AJ$2:AJ$1266,MATCH(Data!$DN665,'Data_Price '!$AT$2:$AT$1266,0))</f>
        <v>https://tinyurl.com/y8wbb9dq</v>
      </c>
      <c r="DB665" t="str">
        <f>INDEX('Data_Price '!AK$2:AK$1266,MATCH(Data!$DN665,'Data_Price '!$AT$2:$AT$1266,0))</f>
        <v>Elan Insomnia Elite Ti 164</v>
      </c>
      <c r="DC665" t="str">
        <f>INDEX('Data_Price '!AL$2:AL$1266,MATCH(Data!$DN665,'Data_Price '!$AT$2:$AT$1266,0))</f>
        <v>Winteriscalling.com</v>
      </c>
      <c r="DD665">
        <f>INDEX('Data_Price '!AM$2:AM$1266,MATCH(Data!$DN665,'Data_Price '!$AT$2:$AT$1266,0))</f>
        <v>899.99</v>
      </c>
      <c r="DE665" t="str">
        <f>INDEX('Data_Price '!AN$2:AN$1266,MATCH(Data!$DN665,'Data_Price '!$AT$2:$AT$1266,0))</f>
        <v>https://tinyurl.com/ya886v96</v>
      </c>
      <c r="DF665" t="str">
        <f>INDEX('Data_Price '!AO$2:AO$1266,MATCH(Data!$DN665,'Data_Price '!$AT$2:$AT$1266,0))</f>
        <v>Elan Insomnia Black Edition 164 Ski Lady's Ladies / Women</v>
      </c>
      <c r="DG665" t="str">
        <f>INDEX('Data_Price '!AP$2:AP$1266,MATCH(Data!$DN665,'Data_Price '!$AT$2:$AT$1266,0))</f>
        <v>! OutdoorXL.com</v>
      </c>
      <c r="DH665">
        <f>INDEX('Data_Price '!AQ$2:AQ$1266,MATCH(Data!$DN665,'Data_Price '!$AT$2:$AT$1266,0))</f>
        <v>514.95000000000005</v>
      </c>
      <c r="DI665" t="str">
        <f>INDEX('Data_Price '!AR$2:AR$1266,MATCH(Data!$DN665,'Data_Price '!$AT$2:$AT$1266,0))</f>
        <v>https://tinyurl.com/yc3z7kyh</v>
      </c>
      <c r="DJ665" s="89" t="str">
        <f t="shared" si="402"/>
        <v>https://tinyurl.com/y8wbb9dq</v>
      </c>
      <c r="DK665" s="89" t="str">
        <f t="shared" si="403"/>
        <v>https://tinyurl.com/ya886v96</v>
      </c>
      <c r="DL665" s="89" t="str">
        <f t="shared" si="404"/>
        <v>https://tinyurl.com/yc3z7kyh</v>
      </c>
      <c r="DM665" s="219" t="str">
        <f t="shared" si="405"/>
        <v>Insomnia 16 Ti</v>
      </c>
      <c r="DN665" s="89" t="str">
        <f t="shared" si="406"/>
        <v xml:space="preserve"> ElanInsomnia 16 Ti164 Women's</v>
      </c>
      <c r="DO665" s="221"/>
    </row>
    <row r="666" spans="2:119" ht="15.6" customHeight="1">
      <c r="B666" s="219" t="b">
        <f t="array" ref="B666">IF(OR(ISERROR(K666:P666)),FALSE,TRUE)</f>
        <v>1</v>
      </c>
      <c r="C666" s="43" t="b">
        <f>OR(BR666=Driver!$G$50,Data!BR153=Driver!$H$50)</f>
        <v>1</v>
      </c>
      <c r="D666" s="43" t="b">
        <f>OR(BV666=Driver!$G$51,BV666=Driver!$H$51)</f>
        <v>0</v>
      </c>
      <c r="E666" s="43" t="b">
        <f>AND(BX666&gt;Driver!$F$54,BX666&lt;Driver!$G$54)</f>
        <v>1</v>
      </c>
      <c r="F666" s="43" t="b">
        <f>CL666&gt;Driver!$F$56</f>
        <v>1</v>
      </c>
      <c r="G666" s="43" t="b">
        <f>AND(CB666&gt;Driver!$F$55,CB666&lt;Driver!$G$55)</f>
        <v>0</v>
      </c>
      <c r="H666" s="43" t="b">
        <f t="shared" si="370"/>
        <v>0</v>
      </c>
      <c r="I666" s="43">
        <f t="shared" si="371"/>
        <v>0</v>
      </c>
      <c r="J666" s="43" t="b">
        <f t="array" ref="J666">NOT(OR(($H$9:$H$1273=TRUE)*($I$9:$I$1273&gt;0)*($BT$9:$BT$1273=BT666)*($K$9:$K$1273&gt;K666)))</f>
        <v>1</v>
      </c>
      <c r="K666" s="72">
        <f t="shared" si="372"/>
        <v>0.87100832159467201</v>
      </c>
      <c r="L666" s="72">
        <f t="shared" si="373"/>
        <v>0.90370501260111236</v>
      </c>
      <c r="M666" s="72">
        <f t="shared" si="374"/>
        <v>0.83831163058823177</v>
      </c>
      <c r="N666" s="72">
        <f t="shared" si="375"/>
        <v>0.89217660201068338</v>
      </c>
      <c r="O666" s="72">
        <f t="shared" si="376"/>
        <v>0.66696952910207163</v>
      </c>
      <c r="P666" s="72">
        <f t="shared" si="377"/>
        <v>0.95578876065194007</v>
      </c>
      <c r="Q666" s="72"/>
      <c r="R666" s="72"/>
      <c r="S666" s="72">
        <f t="shared" si="378"/>
        <v>0.42496165816106823</v>
      </c>
      <c r="T666" s="72">
        <f t="shared" si="379"/>
        <v>0.47179966887269187</v>
      </c>
      <c r="U666" s="72">
        <f t="shared" si="380"/>
        <v>0.69347040153113948</v>
      </c>
      <c r="V666" s="72">
        <f t="shared" si="381"/>
        <v>0.55829508799059757</v>
      </c>
      <c r="W666" s="72">
        <f t="shared" si="382"/>
        <v>0.82170329670329667</v>
      </c>
      <c r="X666" s="72">
        <f t="shared" si="383"/>
        <v>9.6294987398887671E-2</v>
      </c>
      <c r="Y666" s="72">
        <f t="shared" si="384"/>
        <v>0.16168836941176826</v>
      </c>
      <c r="Z666" s="72">
        <f t="shared" si="385"/>
        <v>0.10782339798931657</v>
      </c>
      <c r="AA666" s="72">
        <f t="shared" si="386"/>
        <v>0.33303047089792837</v>
      </c>
      <c r="AB666" s="72">
        <f t="shared" si="387"/>
        <v>4.42112393480599E-2</v>
      </c>
      <c r="AC666" s="72"/>
      <c r="AD666" s="72"/>
      <c r="AE666" s="72">
        <f t="shared" si="388"/>
        <v>0.57503834183893177</v>
      </c>
      <c r="AF666" s="72">
        <f t="shared" si="389"/>
        <v>0.52820033112730813</v>
      </c>
      <c r="AG666" s="72">
        <f t="shared" si="390"/>
        <v>0.30652959846886052</v>
      </c>
      <c r="AH666" s="72">
        <f t="shared" si="391"/>
        <v>0.44170491200940243</v>
      </c>
      <c r="AI666" s="72">
        <f t="shared" si="392"/>
        <v>0.1782967032967033</v>
      </c>
      <c r="AJ666" s="72">
        <f>(AV666-Driver!$K$179)/(Driver!$L$179-Driver!$K$179)</f>
        <v>0.15792442188381275</v>
      </c>
      <c r="AK666" s="72">
        <f>(AW666-Driver!$K$180)/(Driver!$L$180-Driver!$K$180)</f>
        <v>0.20822834213001085</v>
      </c>
      <c r="AL666" s="72">
        <f>(AX666-Driver!$K$181)/(Driver!$L$181-Driver!$K$181)</f>
        <v>0.20951116170239675</v>
      </c>
      <c r="AM666" s="72">
        <f>(AY666-Driver!$K$182)/(Driver!$L$182-Driver!$K$182)</f>
        <v>0.11435455019911799</v>
      </c>
      <c r="AN666" s="72">
        <f>(AZ666-Driver!$K$183)/(Driver!$L$183-Driver!$K$183)</f>
        <v>0.21000816993464053</v>
      </c>
      <c r="AO666" s="72"/>
      <c r="AP666" s="72"/>
      <c r="AQ666" s="72">
        <f>(BC666-Driver!$K$188)/(Driver!$L$188-Driver!$K$188)</f>
        <v>4.4961658161068278E-2</v>
      </c>
      <c r="AR666" s="72">
        <f>MIN((BD666-Driver!$K$189)/(Driver!$L$189-Driver!$K$189),100%)</f>
        <v>2.1799668872691871E-2</v>
      </c>
      <c r="AS666" s="72">
        <f>(BE666-Driver!$K$190)/(Driver!$L$190-Driver!$K$190)</f>
        <v>0.20347040153113949</v>
      </c>
      <c r="AT666" s="72">
        <f>(BF666-Driver!$K$191)/(Driver!$L$191-Driver!$K$191)</f>
        <v>6.8295087990597553E-2</v>
      </c>
      <c r="AU666" s="72">
        <f>(BG666-Driver!$K$192)/(Driver!$L$192-Driver!$K$192)</f>
        <v>7.1703296703296698E-2</v>
      </c>
      <c r="AV666" s="70">
        <f t="shared" si="393"/>
        <v>3.3238366571699909</v>
      </c>
      <c r="AW666" s="70">
        <f t="shared" si="394"/>
        <v>22.16558965283717</v>
      </c>
      <c r="AX666" s="70">
        <f t="shared" si="395"/>
        <v>2.8856004553215708</v>
      </c>
      <c r="AY666" s="70">
        <f>IFERROR(Driver!$K$19/Data!BH666/Data!BI666*Data!BK666*Data!BL666,"")</f>
        <v>0.14000408954835941</v>
      </c>
      <c r="AZ666" s="70">
        <f t="shared" si="396"/>
        <v>19.139985107967238</v>
      </c>
      <c r="BA666" s="70"/>
      <c r="BB666" s="70"/>
      <c r="BC666" s="70">
        <f t="shared" si="397"/>
        <v>23.321924656522672</v>
      </c>
      <c r="BD666" s="70">
        <f t="shared" si="398"/>
        <v>3.6500549526033788</v>
      </c>
      <c r="BE666" s="70">
        <f t="shared" si="399"/>
        <v>0.20361249344618382</v>
      </c>
      <c r="BF666" s="70">
        <f t="shared" si="400"/>
        <v>7.713450388390064</v>
      </c>
      <c r="BG666" s="70">
        <f t="shared" si="401"/>
        <v>0.27151442307692308</v>
      </c>
      <c r="BH666" s="67">
        <f>MAX((CE666-Driver!$F$200)/(Driver!$G$200-Driver!$F$200)*$BI$1,1)</f>
        <v>2.8856004553215708</v>
      </c>
      <c r="BI666" s="67">
        <f>MAX($BI$1*(BY666-Driver!$F$201)/(Driver!$G$201-Driver!$F$201),1)</f>
        <v>6.1392405063291138</v>
      </c>
      <c r="BJ666" s="67">
        <f>(CB666-Driver!$F$206)/(Driver!$G$206-Driver!$F$206)*$BI$1</f>
        <v>4.4444444444444446</v>
      </c>
      <c r="BK666" s="67">
        <f>(CD666-Driver!$F$203)/(Driver!$G$203-Driver!$F$203)*$BI$1</f>
        <v>2.5688073394495414</v>
      </c>
      <c r="BL666" s="67">
        <f>MAX((CR666-Driver!$F$202)/(Driver!$G$202-Driver!$F$202)*$BI$1,1)</f>
        <v>4.8275862068965516</v>
      </c>
      <c r="BM666" s="67">
        <f>MAX((CH666-Driver!$F$204)/(Driver!$G$204-Driver!$F$204)*$BI$1,1)</f>
        <v>2.9914529914529915</v>
      </c>
      <c r="BN666" s="67">
        <f>(CI666-Driver!$F$205)/(Driver!$G$205-Driver!$F$205)*$BI$1</f>
        <v>3.1176470588235294</v>
      </c>
      <c r="BO666" s="67">
        <f>(CK666-Driver!$F$207)/(Driver!$G$207-Driver!$F$207)*$BI$1</f>
        <v>2.0062047569803516</v>
      </c>
      <c r="BP666" s="67">
        <f>(CM666-Driver!$F$208)/(Driver!$G$208-Driver!$F$208)*$BI$1</f>
        <v>2.2222222222222223</v>
      </c>
      <c r="BQ666" s="67">
        <f>(CL666-Driver!$F$209)/(Driver!$G$209-Driver!$F$209)*$BI$1</f>
        <v>2.34375</v>
      </c>
      <c r="BR666" s="28" t="s">
        <v>155</v>
      </c>
      <c r="BS666" s="8" t="s">
        <v>156</v>
      </c>
      <c r="BT666" s="9" t="s">
        <v>247</v>
      </c>
      <c r="BU666" s="10">
        <v>156</v>
      </c>
      <c r="BV666" s="9" t="s">
        <v>163</v>
      </c>
      <c r="BW666" s="10">
        <v>156</v>
      </c>
      <c r="BX666" s="10">
        <v>155.19999999999999</v>
      </c>
      <c r="BY666" s="10">
        <v>105</v>
      </c>
      <c r="BZ666" s="10">
        <v>126</v>
      </c>
      <c r="CA666" s="10">
        <v>124</v>
      </c>
      <c r="CB666" s="10">
        <v>92</v>
      </c>
      <c r="CC666" s="10">
        <v>108</v>
      </c>
      <c r="CD666" s="10">
        <v>15</v>
      </c>
      <c r="CE666" s="10">
        <v>1407</v>
      </c>
      <c r="CF666" s="10">
        <v>1.1299999999999999</v>
      </c>
      <c r="CG666" s="10">
        <v>1583</v>
      </c>
      <c r="CH666" s="10">
        <v>171</v>
      </c>
      <c r="CI666" s="10">
        <v>86</v>
      </c>
      <c r="CJ666" s="10">
        <v>51</v>
      </c>
      <c r="CK666" s="10">
        <v>304</v>
      </c>
      <c r="CL666" s="10">
        <v>15</v>
      </c>
      <c r="CM666" s="10">
        <v>200</v>
      </c>
      <c r="CN666" s="10">
        <v>0.28599999999999998</v>
      </c>
      <c r="CO666" s="10">
        <v>167</v>
      </c>
      <c r="CP666" s="10">
        <v>125</v>
      </c>
      <c r="CQ666" s="10">
        <v>137</v>
      </c>
      <c r="CR666" s="10">
        <v>3</v>
      </c>
      <c r="CS666" s="10">
        <v>8.6</v>
      </c>
      <c r="CT666" s="9" t="s">
        <v>188</v>
      </c>
      <c r="CU666" s="9" t="s">
        <v>185</v>
      </c>
      <c r="CV666" s="10"/>
      <c r="CW666" s="10"/>
      <c r="CX666" t="str">
        <f>INDEX('Data_Price '!AG$2:AG$1266,MATCH(Data!$DN666,'Data_Price '!$AT$2:$AT$1266,0))</f>
        <v>Atomic Maven 93 C Skis</v>
      </c>
      <c r="CY666" t="str">
        <f>INDEX('Data_Price '!AH$2:AH$1266,MATCH(Data!$DN666,'Data_Price '!$AT$2:$AT$1266,0))</f>
        <v>evo.com</v>
      </c>
      <c r="CZ666">
        <f>INDEX('Data_Price '!AI$2:AI$1266,MATCH(Data!$DN666,'Data_Price '!$AT$2:$AT$1266,0))</f>
        <v>519.99</v>
      </c>
      <c r="DA666" t="str">
        <f>INDEX('Data_Price '!AJ$2:AJ$1266,MATCH(Data!$DN666,'Data_Price '!$AT$2:$AT$1266,0))</f>
        <v>https://tinyurl.com/yctu8umb</v>
      </c>
      <c r="DB666" t="str">
        <f>INDEX('Data_Price '!AK$2:AK$1266,MATCH(Data!$DN666,'Data_Price '!$AT$2:$AT$1266,0))</f>
        <v>Atomic Maven 93 C Skis</v>
      </c>
      <c r="DC666" t="str">
        <f>INDEX('Data_Price '!AL$2:AL$1266,MATCH(Data!$DN666,'Data_Price '!$AT$2:$AT$1266,0))</f>
        <v>SkiEssentials.com</v>
      </c>
      <c r="DD666">
        <f>INDEX('Data_Price '!AM$2:AM$1266,MATCH(Data!$DN666,'Data_Price '!$AT$2:$AT$1266,0))</f>
        <v>519.99</v>
      </c>
      <c r="DE666" t="str">
        <f>INDEX('Data_Price '!AN$2:AN$1266,MATCH(Data!$DN666,'Data_Price '!$AT$2:$AT$1266,0))</f>
        <v>https://tinyurl.com/y98xrxek</v>
      </c>
      <c r="DF666" t="str">
        <f>INDEX('Data_Price '!AO$2:AO$1266,MATCH(Data!$DN666,'Data_Price '!$AT$2:$AT$1266,0))</f>
        <v>Atomic Maven 93 C Skis</v>
      </c>
      <c r="DG666" t="str">
        <f>INDEX('Data_Price '!AP$2:AP$1266,MATCH(Data!$DN666,'Data_Price '!$AT$2:$AT$1266,0))</f>
        <v>Level Nine Sports</v>
      </c>
      <c r="DH666">
        <f>INDEX('Data_Price '!AQ$2:AQ$1266,MATCH(Data!$DN666,'Data_Price '!$AT$2:$AT$1266,0))</f>
        <v>519.99</v>
      </c>
      <c r="DI666" t="str">
        <f>INDEX('Data_Price '!AR$2:AR$1266,MATCH(Data!$DN666,'Data_Price '!$AT$2:$AT$1266,0))</f>
        <v>https://tinyurl.com/yajk3g9y</v>
      </c>
      <c r="DJ666" s="89" t="str">
        <f t="shared" si="402"/>
        <v>https://tinyurl.com/yctu8umb</v>
      </c>
      <c r="DK666" s="89" t="str">
        <f t="shared" si="403"/>
        <v>https://tinyurl.com/y98xrxek</v>
      </c>
      <c r="DL666" s="89" t="str">
        <f t="shared" si="404"/>
        <v>https://tinyurl.com/yajk3g9y</v>
      </c>
      <c r="DM666" s="219" t="str">
        <f t="shared" si="405"/>
        <v>Maven 93 C</v>
      </c>
      <c r="DN666" s="89" t="str">
        <f t="shared" si="406"/>
        <v xml:space="preserve"> AtomicMaven 93 C156 Women's</v>
      </c>
      <c r="DO666" s="221" t="s">
        <v>248</v>
      </c>
    </row>
    <row r="667" spans="2:119" ht="15.6" customHeight="1">
      <c r="B667" s="219" t="b">
        <f t="array" ref="B667">IF(OR(ISERROR(K667:P667)),FALSE,TRUE)</f>
        <v>1</v>
      </c>
      <c r="C667" s="43" t="b">
        <f>OR(BR667=Driver!$G$50,Data!BR110=Driver!$H$50)</f>
        <v>1</v>
      </c>
      <c r="D667" s="43" t="b">
        <f>OR(BV667=Driver!$G$51,BV667=Driver!$H$51)</f>
        <v>1</v>
      </c>
      <c r="E667" s="43" t="b">
        <f>AND(BX667&gt;Driver!$F$54,BX667&lt;Driver!$G$54)</f>
        <v>1</v>
      </c>
      <c r="F667" s="43" t="b">
        <f>CL667&gt;Driver!$F$56</f>
        <v>1</v>
      </c>
      <c r="G667" s="43" t="b">
        <f>AND(CB667&gt;Driver!$F$55,CB667&lt;Driver!$G$55)</f>
        <v>0</v>
      </c>
      <c r="H667" s="43" t="b">
        <f t="shared" si="370"/>
        <v>0</v>
      </c>
      <c r="I667" s="43">
        <f t="shared" si="371"/>
        <v>0</v>
      </c>
      <c r="J667" s="43" t="b">
        <f t="array" ref="J667">NOT(OR(($H$9:$H$1273=TRUE)*($I$9:$I$1273&gt;0)*($BT$9:$BT$1273=BT667)*($K$9:$K$1273&gt;K667)))</f>
        <v>1</v>
      </c>
      <c r="K667" s="72">
        <f t="shared" si="372"/>
        <v>0.8563441738346409</v>
      </c>
      <c r="L667" s="72">
        <f t="shared" si="373"/>
        <v>0.84681999124908591</v>
      </c>
      <c r="M667" s="72">
        <f t="shared" si="374"/>
        <v>0.86586835642019599</v>
      </c>
      <c r="N667" s="72">
        <f t="shared" si="375"/>
        <v>0.88458790916302643</v>
      </c>
      <c r="O667" s="72">
        <f t="shared" si="376"/>
        <v>0.71870715761555615</v>
      </c>
      <c r="P667" s="72">
        <f t="shared" si="377"/>
        <v>0.99431000248200552</v>
      </c>
      <c r="Q667" s="72"/>
      <c r="R667" s="72"/>
      <c r="S667" s="72">
        <f t="shared" si="378"/>
        <v>0.44476638533019186</v>
      </c>
      <c r="T667" s="72">
        <f t="shared" si="379"/>
        <v>0.45052793685067161</v>
      </c>
      <c r="U667" s="72">
        <f t="shared" si="380"/>
        <v>0.96056369708718714</v>
      </c>
      <c r="V667" s="72">
        <f t="shared" si="381"/>
        <v>0.51910894971455468</v>
      </c>
      <c r="W667" s="72">
        <f t="shared" si="382"/>
        <v>0.88763310009126861</v>
      </c>
      <c r="X667" s="72">
        <f t="shared" si="383"/>
        <v>0.15318000875091412</v>
      </c>
      <c r="Y667" s="72">
        <f t="shared" si="384"/>
        <v>0.13413164357980401</v>
      </c>
      <c r="Z667" s="72">
        <f t="shared" si="385"/>
        <v>0.11541209083697361</v>
      </c>
      <c r="AA667" s="72">
        <f t="shared" si="386"/>
        <v>0.28129284238444385</v>
      </c>
      <c r="AB667" s="72">
        <f t="shared" si="387"/>
        <v>5.6899975179945383E-3</v>
      </c>
      <c r="AC667" s="72"/>
      <c r="AD667" s="72"/>
      <c r="AE667" s="72">
        <f t="shared" si="388"/>
        <v>0.55523361466980814</v>
      </c>
      <c r="AF667" s="72">
        <f t="shared" si="389"/>
        <v>0.54947206314932839</v>
      </c>
      <c r="AG667" s="72">
        <f t="shared" si="390"/>
        <v>3.9436302912812859E-2</v>
      </c>
      <c r="AH667" s="72">
        <f t="shared" si="391"/>
        <v>0.48089105028544527</v>
      </c>
      <c r="AI667" s="72">
        <f t="shared" si="392"/>
        <v>0.11236689990873136</v>
      </c>
      <c r="AJ667" s="72">
        <f>(AV667-Driver!$K$179)/(Driver!$L$179-Driver!$K$179)</f>
        <v>0.10103940053178631</v>
      </c>
      <c r="AK667" s="72">
        <f>(AW667-Driver!$K$180)/(Driver!$L$180-Driver!$K$180)</f>
        <v>0.24560244254542121</v>
      </c>
      <c r="AL667" s="72">
        <f>(AX667-Driver!$K$181)/(Driver!$L$181-Driver!$K$181)</f>
        <v>0.21709985455005379</v>
      </c>
      <c r="AM667" s="72">
        <f>(AY667-Driver!$K$182)/(Driver!$L$182-Driver!$K$182)</f>
        <v>0.16609217871260254</v>
      </c>
      <c r="AN667" s="72">
        <f>(AZ667-Driver!$K$183)/(Driver!$L$183-Driver!$K$183)</f>
        <v>0.24852941176470589</v>
      </c>
      <c r="AO667" s="72"/>
      <c r="AP667" s="72"/>
      <c r="AQ667" s="72">
        <f>(BC667-Driver!$K$188)/(Driver!$L$188-Driver!$K$188)</f>
        <v>6.4766385330191842E-2</v>
      </c>
      <c r="AR667" s="72">
        <f>MIN((BD667-Driver!$K$189)/(Driver!$L$189-Driver!$K$189),100%)</f>
        <v>5.2793685067167547E-4</v>
      </c>
      <c r="AS667" s="72">
        <f>(BE667-Driver!$K$190)/(Driver!$L$190-Driver!$K$190)</f>
        <v>0.47056369708718715</v>
      </c>
      <c r="AT667" s="72">
        <f>(BF667-Driver!$K$191)/(Driver!$L$191-Driver!$K$191)</f>
        <v>2.910894971455473E-2</v>
      </c>
      <c r="AU667" s="72">
        <f>(BG667-Driver!$K$192)/(Driver!$L$192-Driver!$K$192)</f>
        <v>0.13763310009126864</v>
      </c>
      <c r="AV667" s="70">
        <f t="shared" si="393"/>
        <v>2.1265771265771267</v>
      </c>
      <c r="AW667" s="70">
        <f t="shared" si="394"/>
        <v>25.808026906537808</v>
      </c>
      <c r="AX667" s="70">
        <f t="shared" si="395"/>
        <v>2.9538986909504841</v>
      </c>
      <c r="AY667" s="70">
        <f>IFERROR(Driver!$K$19/Data!BH667/Data!BI667*Data!BK667*Data!BL667,"")</f>
        <v>0.20334638386729165</v>
      </c>
      <c r="AZ667" s="70">
        <f t="shared" si="396"/>
        <v>22.650781831720032</v>
      </c>
      <c r="BA667" s="70"/>
      <c r="BB667" s="70"/>
      <c r="BC667" s="70">
        <f t="shared" si="397"/>
        <v>33.594774319376683</v>
      </c>
      <c r="BD667" s="70">
        <f t="shared" si="398"/>
        <v>1.7675443599334242</v>
      </c>
      <c r="BE667" s="70">
        <f t="shared" si="399"/>
        <v>0.47065814256456739</v>
      </c>
      <c r="BF667" s="70">
        <f t="shared" si="400"/>
        <v>3.2876513683132087</v>
      </c>
      <c r="BG667" s="70">
        <f t="shared" si="401"/>
        <v>0.52116671737146336</v>
      </c>
      <c r="BH667" s="67">
        <f>MAX((CE667-Driver!$F$200)/(Driver!$G$200-Driver!$F$200)*$BI$1,1)</f>
        <v>2.9538986909504841</v>
      </c>
      <c r="BI667" s="67">
        <f>MAX($BI$1*(BY667-Driver!$F$201)/(Driver!$G$201-Driver!$F$201),1)</f>
        <v>7.4050632911392409</v>
      </c>
      <c r="BJ667" s="67">
        <f>(CB667-Driver!$F$206)/(Driver!$G$206-Driver!$F$206)*$BI$1</f>
        <v>5.2380952380952381</v>
      </c>
      <c r="BK667" s="67">
        <f>(CD667-Driver!$F$203)/(Driver!$G$203-Driver!$F$203)*$BI$1</f>
        <v>3.3944954128440372</v>
      </c>
      <c r="BL667" s="67">
        <f>MAX((CR667-Driver!$F$202)/(Driver!$G$202-Driver!$F$202)*$BI$1,1)</f>
        <v>6.5517241379310338</v>
      </c>
      <c r="BM667" s="67">
        <f>MAX((CH667-Driver!$F$204)/(Driver!$G$204-Driver!$F$204)*$BI$1,1)</f>
        <v>1.6239316239316239</v>
      </c>
      <c r="BN667" s="67">
        <f>(CI667-Driver!$F$205)/(Driver!$G$205-Driver!$F$205)*$BI$1</f>
        <v>3.0588235294117649</v>
      </c>
      <c r="BO667" s="67">
        <f>(CK667-Driver!$F$207)/(Driver!$G$207-Driver!$F$207)*$BI$1</f>
        <v>1.3133402275077559</v>
      </c>
      <c r="BP667" s="67">
        <f>(CM667-Driver!$F$208)/(Driver!$G$208-Driver!$F$208)*$BI$1</f>
        <v>1.6222222222222222</v>
      </c>
      <c r="BQ667" s="67">
        <f>(CL667-Driver!$F$209)/(Driver!$G$209-Driver!$F$209)*$BI$1</f>
        <v>2.5</v>
      </c>
      <c r="BR667" s="28" t="s">
        <v>155</v>
      </c>
      <c r="BS667" s="8" t="s">
        <v>182</v>
      </c>
      <c r="BT667" s="9" t="s">
        <v>373</v>
      </c>
      <c r="BU667" s="10">
        <v>164</v>
      </c>
      <c r="BV667" s="9" t="s">
        <v>158</v>
      </c>
      <c r="BW667" s="10">
        <v>164</v>
      </c>
      <c r="BX667" s="10">
        <v>163.69999999999999</v>
      </c>
      <c r="BY667" s="10">
        <v>125</v>
      </c>
      <c r="BZ667" s="10">
        <v>137</v>
      </c>
      <c r="CA667" s="10">
        <v>126</v>
      </c>
      <c r="CB667" s="10">
        <v>97</v>
      </c>
      <c r="CC667" s="10">
        <v>119</v>
      </c>
      <c r="CD667" s="10">
        <v>16.8</v>
      </c>
      <c r="CE667" s="10">
        <v>1419</v>
      </c>
      <c r="CF667" s="10">
        <v>1.23</v>
      </c>
      <c r="CG667" s="10">
        <v>1749</v>
      </c>
      <c r="CH667" s="10">
        <v>139</v>
      </c>
      <c r="CI667" s="10">
        <v>85</v>
      </c>
      <c r="CJ667" s="10">
        <v>37</v>
      </c>
      <c r="CK667" s="10">
        <v>237</v>
      </c>
      <c r="CL667" s="10">
        <v>16</v>
      </c>
      <c r="CM667" s="10">
        <v>146</v>
      </c>
      <c r="CN667" s="10">
        <v>0.42199999999999999</v>
      </c>
      <c r="CO667" s="10">
        <v>172</v>
      </c>
      <c r="CP667" s="10">
        <v>99</v>
      </c>
      <c r="CQ667" s="10">
        <v>65</v>
      </c>
      <c r="CR667" s="10">
        <v>8</v>
      </c>
      <c r="CS667" s="10">
        <v>9.3000000000000007</v>
      </c>
      <c r="CT667" s="9" t="s">
        <v>188</v>
      </c>
      <c r="CU667" s="9" t="s">
        <v>185</v>
      </c>
      <c r="CV667" s="10"/>
      <c r="CW667" s="10"/>
      <c r="CX667" t="str">
        <f>INDEX('Data_Price '!AG$2:AG$1266,MATCH(Data!$DN667,'Data_Price '!$AT$2:$AT$1266,0))</f>
        <v>Armada Tracer 98 Limited Dark Blue-Black-White 164 Ski Men</v>
      </c>
      <c r="CY667" t="str">
        <f>INDEX('Data_Price '!AH$2:AH$1266,MATCH(Data!$DN667,'Data_Price '!$AT$2:$AT$1266,0))</f>
        <v>! OutdoorXL.com</v>
      </c>
      <c r="CZ667">
        <f>INDEX('Data_Price '!AI$2:AI$1266,MATCH(Data!$DN667,'Data_Price '!$AT$2:$AT$1266,0))</f>
        <v>374.95</v>
      </c>
      <c r="DA667" t="str">
        <f>INDEX('Data_Price '!AJ$2:AJ$1266,MATCH(Data!$DN667,'Data_Price '!$AT$2:$AT$1266,0))</f>
        <v>https://tinyurl.com/ybunfp8u</v>
      </c>
      <c r="DB667" t="str">
        <f>INDEX('Data_Price '!AK$2:AK$1266,MATCH(Data!$DN667,'Data_Price '!$AT$2:$AT$1266,0))</f>
        <v>Armada - Tracer 98 - 164 Blue</v>
      </c>
      <c r="DC667" t="str">
        <f>INDEX('Data_Price '!AL$2:AL$1266,MATCH(Data!$DN667,'Data_Price '!$AT$2:$AT$1266,0))</f>
        <v>Snowcountry.eu</v>
      </c>
      <c r="DD667">
        <f>INDEX('Data_Price '!AM$2:AM$1266,MATCH(Data!$DN667,'Data_Price '!$AT$2:$AT$1266,0))</f>
        <v>414</v>
      </c>
      <c r="DE667" t="str">
        <f>INDEX('Data_Price '!AN$2:AN$1266,MATCH(Data!$DN667,'Data_Price '!$AT$2:$AT$1266,0))</f>
        <v>https://tinyurl.com/y9zmnuzm</v>
      </c>
      <c r="DF667" t="str">
        <f>INDEX('Data_Price '!AO$2:AO$1266,MATCH(Data!$DN667,'Data_Price '!$AT$2:$AT$1266,0))</f>
        <v>Armada Tracer 98 Skis with Warden MNC 13 Bindings Mens Blue Resin 164cm</v>
      </c>
      <c r="DG667" t="str">
        <f>INDEX('Data_Price '!AP$2:AP$1266,MATCH(Data!$DN667,'Data_Price '!$AT$2:$AT$1266,0))</f>
        <v>BobsSportsChalet.com</v>
      </c>
      <c r="DH667">
        <f>INDEX('Data_Price '!AQ$2:AQ$1266,MATCH(Data!$DN667,'Data_Price '!$AT$2:$AT$1266,0))</f>
        <v>899.95</v>
      </c>
      <c r="DI667" t="str">
        <f>INDEX('Data_Price '!AR$2:AR$1266,MATCH(Data!$DN667,'Data_Price '!$AT$2:$AT$1266,0))</f>
        <v>https://tinyurl.com/y7yh6svk</v>
      </c>
      <c r="DJ667" s="89" t="str">
        <f t="shared" si="402"/>
        <v>https://tinyurl.com/ybunfp8u</v>
      </c>
      <c r="DK667" s="89" t="str">
        <f t="shared" si="403"/>
        <v>https://tinyurl.com/y9zmnuzm</v>
      </c>
      <c r="DL667" s="89" t="str">
        <f t="shared" si="404"/>
        <v>https://tinyurl.com/y7yh6svk</v>
      </c>
      <c r="DM667" s="219" t="str">
        <f t="shared" si="405"/>
        <v>Tracer 98</v>
      </c>
      <c r="DN667" s="89" t="str">
        <f t="shared" si="406"/>
        <v xml:space="preserve"> ArmadaTracer 98164 Unisex</v>
      </c>
      <c r="DO667" s="221" t="s">
        <v>374</v>
      </c>
    </row>
    <row r="668" spans="2:119" ht="15.6" customHeight="1">
      <c r="B668" s="219" t="b">
        <f t="array" ref="B668">IF(OR(ISERROR(K668:P668)),FALSE,TRUE)</f>
        <v>1</v>
      </c>
      <c r="C668" s="43" t="b">
        <f>OR(BR668=Driver!$G$50,Data!BR432=Driver!$H$50)</f>
        <v>1</v>
      </c>
      <c r="D668" s="43" t="b">
        <f>OR(BV668=Driver!$G$51,BV668=Driver!$H$51)</f>
        <v>1</v>
      </c>
      <c r="E668" s="43" t="b">
        <f>AND(BX668&gt;Driver!$F$54,BX668&lt;Driver!$G$54)</f>
        <v>0</v>
      </c>
      <c r="F668" s="43" t="b">
        <f>CL668&gt;Driver!$F$56</f>
        <v>1</v>
      </c>
      <c r="G668" s="43" t="b">
        <f>AND(CB668&gt;Driver!$F$55,CB668&lt;Driver!$G$55)</f>
        <v>0</v>
      </c>
      <c r="H668" s="43" t="b">
        <f t="shared" si="370"/>
        <v>0</v>
      </c>
      <c r="I668" s="43">
        <f t="shared" si="371"/>
        <v>0</v>
      </c>
      <c r="J668" s="43" t="b">
        <f t="array" ref="J668">NOT(OR(($H$9:$H$1273=TRUE)*($I$9:$I$1273&gt;0)*($BT$9:$BT$1273=BT668)*($K$9:$K$1273&gt;K668)))</f>
        <v>1</v>
      </c>
      <c r="K668" s="72">
        <f t="shared" si="372"/>
        <v>0.78664896456704836</v>
      </c>
      <c r="L668" s="72">
        <f t="shared" si="373"/>
        <v>0.83618426487731889</v>
      </c>
      <c r="M668" s="72">
        <f t="shared" si="374"/>
        <v>0.73711366425677771</v>
      </c>
      <c r="N668" s="72">
        <f t="shared" si="375"/>
        <v>0.62973430769587913</v>
      </c>
      <c r="O668" s="72">
        <f t="shared" si="376"/>
        <v>0.60804831657937697</v>
      </c>
      <c r="P668" s="72">
        <f t="shared" si="377"/>
        <v>0.97355836849507726</v>
      </c>
      <c r="Q668" s="72"/>
      <c r="R668" s="72"/>
      <c r="S668" s="72">
        <f t="shared" si="378"/>
        <v>0.45919303411704804</v>
      </c>
      <c r="T668" s="72">
        <f t="shared" si="379"/>
        <v>0.7624415833560283</v>
      </c>
      <c r="U668" s="72">
        <f t="shared" si="380"/>
        <v>0.51</v>
      </c>
      <c r="V668" s="72">
        <f t="shared" si="381"/>
        <v>0.49230781565648818</v>
      </c>
      <c r="W668" s="72">
        <f t="shared" si="382"/>
        <v>0.7680394283526859</v>
      </c>
      <c r="X668" s="72">
        <f t="shared" si="383"/>
        <v>0.16381573512268111</v>
      </c>
      <c r="Y668" s="72">
        <f t="shared" si="384"/>
        <v>0.26288633574322223</v>
      </c>
      <c r="Z668" s="72">
        <f t="shared" si="385"/>
        <v>0.37026569230412087</v>
      </c>
      <c r="AA668" s="72">
        <f t="shared" si="386"/>
        <v>0.39195168342062303</v>
      </c>
      <c r="AB668" s="72">
        <f t="shared" si="387"/>
        <v>2.644163150492268E-2</v>
      </c>
      <c r="AC668" s="72"/>
      <c r="AD668" s="72"/>
      <c r="AE668" s="72">
        <f t="shared" si="388"/>
        <v>0.54080696588295196</v>
      </c>
      <c r="AF668" s="72">
        <f t="shared" si="389"/>
        <v>0.2375584166439717</v>
      </c>
      <c r="AG668" s="72">
        <f t="shared" si="390"/>
        <v>0.49</v>
      </c>
      <c r="AH668" s="72">
        <f t="shared" si="391"/>
        <v>0.50769218434351182</v>
      </c>
      <c r="AI668" s="72">
        <f t="shared" si="392"/>
        <v>0.23196057164731404</v>
      </c>
      <c r="AJ668" s="72">
        <f>(AV668-Driver!$K$179)/(Driver!$L$179-Driver!$K$179)</f>
        <v>9.0403674160019334E-2</v>
      </c>
      <c r="AK668" s="72">
        <f>(AW668-Driver!$K$180)/(Driver!$L$180-Driver!$K$180)</f>
        <v>0.24834118596045718</v>
      </c>
      <c r="AL668" s="72">
        <f>(AX668-Driver!$K$181)/(Driver!$L$181-Driver!$K$181)</f>
        <v>0.47195345601720107</v>
      </c>
      <c r="AM668" s="72">
        <f>(AY668-Driver!$K$182)/(Driver!$L$182-Driver!$K$182)</f>
        <v>5.5433337676423354E-2</v>
      </c>
      <c r="AN668" s="72">
        <f>(AZ668-Driver!$K$183)/(Driver!$L$183-Driver!$K$183)</f>
        <v>0.22777777777777775</v>
      </c>
      <c r="AO668" s="72"/>
      <c r="AP668" s="72"/>
      <c r="AQ668" s="72">
        <f>(BC668-Driver!$K$188)/(Driver!$L$188-Driver!$K$188)</f>
        <v>7.9193034117048006E-2</v>
      </c>
      <c r="AR668" s="72">
        <f>MIN((BD668-Driver!$K$189)/(Driver!$L$189-Driver!$K$189),100%)</f>
        <v>0.31244158335602834</v>
      </c>
      <c r="AS668" s="72">
        <f>(BE668-Driver!$K$190)/(Driver!$L$190-Driver!$K$190)</f>
        <v>1</v>
      </c>
      <c r="AT668" s="72">
        <f>(BF668-Driver!$K$191)/(Driver!$L$191-Driver!$K$191)</f>
        <v>2.3078156564882066E-3</v>
      </c>
      <c r="AU668" s="72">
        <f>(BG668-Driver!$K$192)/(Driver!$L$192-Driver!$K$192)</f>
        <v>1.8039428352685974E-2</v>
      </c>
      <c r="AV668" s="70">
        <f t="shared" si="393"/>
        <v>1.9027269027269029</v>
      </c>
      <c r="AW668" s="70">
        <f t="shared" si="394"/>
        <v>26.074941720068438</v>
      </c>
      <c r="AX668" s="70">
        <f t="shared" si="395"/>
        <v>5.2475811041548095</v>
      </c>
      <c r="AY668" s="70">
        <f>IFERROR(Driver!$K$19/Data!BH668/Data!BI668*Data!BK668*Data!BL668,"")</f>
        <v>6.7866945027555886E-2</v>
      </c>
      <c r="AZ668" s="70">
        <f t="shared" si="396"/>
        <v>20.759493670886073</v>
      </c>
      <c r="BA668" s="70"/>
      <c r="BB668" s="70"/>
      <c r="BC668" s="70">
        <f t="shared" si="397"/>
        <v>41.077977337554238</v>
      </c>
      <c r="BD668" s="70">
        <f t="shared" si="398"/>
        <v>29.371349397379579</v>
      </c>
      <c r="BE668" s="70">
        <f t="shared" si="399"/>
        <v>1</v>
      </c>
      <c r="BF668" s="70">
        <f t="shared" si="400"/>
        <v>0.26065156507774601</v>
      </c>
      <c r="BG668" s="70">
        <f t="shared" si="401"/>
        <v>6.8308783654459609E-2</v>
      </c>
      <c r="BH668" s="67">
        <f>MAX((CE668-Driver!$F$200)/(Driver!$G$200-Driver!$F$200)*$BI$1,1)</f>
        <v>5.2475811041548095</v>
      </c>
      <c r="BI668" s="67">
        <f>MAX($BI$1*(BY668-Driver!$F$201)/(Driver!$G$201-Driver!$F$201),1)</f>
        <v>8.6075949367088604</v>
      </c>
      <c r="BJ668" s="67">
        <f>(CB668-Driver!$F$206)/(Driver!$G$206-Driver!$F$206)*$BI$1</f>
        <v>1.746031746031746</v>
      </c>
      <c r="BK668" s="67">
        <f>(CD668-Driver!$F$203)/(Driver!$G$203-Driver!$F$203)*$BI$1</f>
        <v>2.6146788990825689</v>
      </c>
      <c r="BL668" s="67">
        <f>MAX((CR668-Driver!$F$202)/(Driver!$G$202-Driver!$F$202)*$BI$1,1)</f>
        <v>5.8620689655172411</v>
      </c>
      <c r="BM668" s="67">
        <f>MAX((CH668-Driver!$F$204)/(Driver!$G$204-Driver!$F$204)*$BI$1,1)</f>
        <v>4.3589743589743595</v>
      </c>
      <c r="BN668" s="67">
        <f>(CI668-Driver!$F$205)/(Driver!$G$205-Driver!$F$205)*$BI$1</f>
        <v>2.4117647058823528</v>
      </c>
      <c r="BO668" s="67">
        <f>(CK668-Driver!$F$207)/(Driver!$G$207-Driver!$F$207)*$BI$1</f>
        <v>0.44467425025853152</v>
      </c>
      <c r="BP668" s="67">
        <f>(CM668-Driver!$F$208)/(Driver!$G$208-Driver!$F$208)*$BI$1</f>
        <v>0.87777777777777777</v>
      </c>
      <c r="BQ668" s="67">
        <f>(CL668-Driver!$F$209)/(Driver!$G$209-Driver!$F$209)*$BI$1</f>
        <v>1.5625</v>
      </c>
      <c r="BR668" s="28" t="s">
        <v>155</v>
      </c>
      <c r="BS668" s="8" t="s">
        <v>164</v>
      </c>
      <c r="BT668" s="9" t="s">
        <v>717</v>
      </c>
      <c r="BU668" s="10">
        <v>168</v>
      </c>
      <c r="BV668" s="9" t="s">
        <v>158</v>
      </c>
      <c r="BW668" s="10">
        <v>168</v>
      </c>
      <c r="BX668" s="10">
        <v>167.4</v>
      </c>
      <c r="BY668" s="10">
        <v>144</v>
      </c>
      <c r="BZ668" s="10">
        <v>153</v>
      </c>
      <c r="CA668" s="10">
        <v>126</v>
      </c>
      <c r="CB668" s="10">
        <v>75</v>
      </c>
      <c r="CC668" s="10">
        <v>101</v>
      </c>
      <c r="CD668" s="10">
        <v>15.1</v>
      </c>
      <c r="CE668" s="10">
        <v>1822</v>
      </c>
      <c r="CF668" s="10">
        <v>0.83</v>
      </c>
      <c r="CG668" s="10">
        <v>1504</v>
      </c>
      <c r="CH668" s="10">
        <v>203</v>
      </c>
      <c r="CI668" s="10">
        <v>74</v>
      </c>
      <c r="CJ668" s="10">
        <v>34</v>
      </c>
      <c r="CK668" s="10">
        <v>153</v>
      </c>
      <c r="CL668" s="10">
        <v>10</v>
      </c>
      <c r="CM668" s="10">
        <v>79</v>
      </c>
      <c r="CN668" s="10">
        <v>0.29599999999999999</v>
      </c>
      <c r="CO668" s="10">
        <v>86</v>
      </c>
      <c r="CP668" s="10">
        <v>58</v>
      </c>
      <c r="CQ668" s="10">
        <v>68</v>
      </c>
      <c r="CR668" s="10">
        <v>6</v>
      </c>
      <c r="CS668" s="10">
        <v>11.1</v>
      </c>
      <c r="CT668" s="9" t="s">
        <v>349</v>
      </c>
      <c r="CU668" s="10"/>
      <c r="CV668" s="10"/>
      <c r="CW668" s="10"/>
      <c r="CX668" t="str">
        <f>INDEX('Data_Price '!AG$2:AG$1266,MATCH(Data!$DN668,'Data_Price '!$AT$2:$AT$1266,0))</f>
        <v>Elan Element Green Black-Green 168 Ski Men</v>
      </c>
      <c r="CY668" t="str">
        <f>INDEX('Data_Price '!AH$2:AH$1266,MATCH(Data!$DN668,'Data_Price '!$AT$2:$AT$1266,0))</f>
        <v>eBay - grassisport</v>
      </c>
      <c r="CZ668">
        <f>INDEX('Data_Price '!AI$2:AI$1266,MATCH(Data!$DN668,'Data_Price '!$AT$2:$AT$1266,0))</f>
        <v>296.51</v>
      </c>
      <c r="DA668" t="str">
        <f>INDEX('Data_Price '!AJ$2:AJ$1266,MATCH(Data!$DN668,'Data_Price '!$AT$2:$AT$1266,0))</f>
        <v>https://tinyurl.com/y8ngzg3q</v>
      </c>
      <c r="DB668" t="str">
        <f>INDEX('Data_Price '!AK$2:AK$1266,MATCH(Data!$DN668,'Data_Price '!$AT$2:$AT$1266,0))</f>
        <v>Elan Element LS EL 10.0 Orange / 168cm</v>
      </c>
      <c r="DC668" t="str">
        <f>INDEX('Data_Price '!AL$2:AL$1266,MATCH(Data!$DN668,'Data_Price '!$AT$2:$AT$1266,0))</f>
        <v>Sundance Ski and Board Shop</v>
      </c>
      <c r="DD668">
        <f>INDEX('Data_Price '!AM$2:AM$1266,MATCH(Data!$DN668,'Data_Price '!$AT$2:$AT$1266,0))</f>
        <v>424.9</v>
      </c>
      <c r="DE668" t="str">
        <f>INDEX('Data_Price '!AN$2:AN$1266,MATCH(Data!$DN668,'Data_Price '!$AT$2:$AT$1266,0))</f>
        <v>https://tinyurl.com/y7m6qe3x</v>
      </c>
      <c r="DF668" t="str">
        <f>INDEX('Data_Price '!AO$2:AO$1266,MATCH(Data!$DN668,'Data_Price '!$AT$2:$AT$1266,0))</f>
        <v>Elan Element Black Blue Light Shift Ski with Bindings 168</v>
      </c>
      <c r="DG668" t="str">
        <f>INDEX('Data_Price '!AP$2:AP$1266,MATCH(Data!$DN668,'Data_Price '!$AT$2:$AT$1266,0))</f>
        <v>shop.petersonsskiandcycle.com</v>
      </c>
      <c r="DH668">
        <f>INDEX('Data_Price '!AQ$2:AQ$1266,MATCH(Data!$DN668,'Data_Price '!$AT$2:$AT$1266,0))</f>
        <v>449.99</v>
      </c>
      <c r="DI668" t="str">
        <f>INDEX('Data_Price '!AR$2:AR$1266,MATCH(Data!$DN668,'Data_Price '!$AT$2:$AT$1266,0))</f>
        <v>https://tinyurl.com/y7nucrcv</v>
      </c>
      <c r="DJ668" s="89" t="str">
        <f t="shared" si="402"/>
        <v>https://tinyurl.com/y8ngzg3q</v>
      </c>
      <c r="DK668" s="89" t="str">
        <f t="shared" si="403"/>
        <v>https://tinyurl.com/y7m6qe3x</v>
      </c>
      <c r="DL668" s="89" t="str">
        <f t="shared" si="404"/>
        <v>https://tinyurl.com/y7nucrcv</v>
      </c>
      <c r="DM668" s="219" t="str">
        <f t="shared" si="405"/>
        <v>Element</v>
      </c>
      <c r="DN668" s="89" t="str">
        <f t="shared" si="406"/>
        <v xml:space="preserve"> ElanElement168 Unisex</v>
      </c>
      <c r="DO668" s="221"/>
    </row>
    <row r="669" spans="2:119" ht="15.6" customHeight="1">
      <c r="B669" s="219" t="b">
        <f t="array" ref="B669">IF(OR(ISERROR(K669:P669)),FALSE,TRUE)</f>
        <v>1</v>
      </c>
      <c r="C669" s="43" t="b">
        <f>OR(BR669=Driver!$G$50,Data!BR360=Driver!$H$50)</f>
        <v>1</v>
      </c>
      <c r="D669" s="43" t="b">
        <f>OR(BV669=Driver!$G$51,BV669=Driver!$H$51)</f>
        <v>1</v>
      </c>
      <c r="E669" s="43" t="b">
        <f>AND(BX669&gt;Driver!$F$54,BX669&lt;Driver!$G$54)</f>
        <v>0</v>
      </c>
      <c r="F669" s="43" t="b">
        <f>CL669&gt;Driver!$F$56</f>
        <v>1</v>
      </c>
      <c r="G669" s="43" t="b">
        <f>AND(CB669&gt;Driver!$F$55,CB669&lt;Driver!$G$55)</f>
        <v>0</v>
      </c>
      <c r="H669" s="43" t="b">
        <f t="shared" si="370"/>
        <v>0</v>
      </c>
      <c r="I669" s="43">
        <f t="shared" si="371"/>
        <v>1</v>
      </c>
      <c r="J669" s="43" t="b">
        <f t="array" ref="J669">NOT(OR(($H$9:$H$1273=TRUE)*($I$9:$I$1273&gt;0)*($BT$9:$BT$1273=BT669)*($K$9:$K$1273&gt;K669)))</f>
        <v>1</v>
      </c>
      <c r="K669" s="72">
        <f t="shared" si="372"/>
        <v>0.91405343429194252</v>
      </c>
      <c r="L669" s="72">
        <f t="shared" si="373"/>
        <v>0.98556787618986419</v>
      </c>
      <c r="M669" s="72">
        <f t="shared" si="374"/>
        <v>0.84253899239402075</v>
      </c>
      <c r="N669" s="72">
        <f t="shared" si="375"/>
        <v>0.91557507162429252</v>
      </c>
      <c r="O669" s="72">
        <f t="shared" si="376"/>
        <v>0.70090183771628722</v>
      </c>
      <c r="P669" s="72">
        <f t="shared" si="377"/>
        <v>0.9111400678414826</v>
      </c>
      <c r="Q669" s="72"/>
      <c r="R669" s="72"/>
      <c r="S669" s="72">
        <f t="shared" si="378"/>
        <v>0.40752202880216781</v>
      </c>
      <c r="T669" s="72">
        <f t="shared" si="379"/>
        <v>0.45134945307551055</v>
      </c>
      <c r="U669" s="72">
        <f t="shared" si="380"/>
        <v>0.53135912510206051</v>
      </c>
      <c r="V669" s="72">
        <f t="shared" si="381"/>
        <v>0.74869571604607721</v>
      </c>
      <c r="W669" s="72">
        <f t="shared" si="382"/>
        <v>0.93630061770761841</v>
      </c>
      <c r="X669" s="72">
        <f t="shared" si="383"/>
        <v>1.4432123810135811E-2</v>
      </c>
      <c r="Y669" s="72">
        <f t="shared" si="384"/>
        <v>0.15746100760597923</v>
      </c>
      <c r="Z669" s="72">
        <f t="shared" si="385"/>
        <v>8.4424928375707489E-2</v>
      </c>
      <c r="AA669" s="72">
        <f t="shared" si="386"/>
        <v>0.29909816228371272</v>
      </c>
      <c r="AB669" s="72">
        <f t="shared" si="387"/>
        <v>8.8859932158517424E-2</v>
      </c>
      <c r="AC669" s="72"/>
      <c r="AD669" s="72"/>
      <c r="AE669" s="72">
        <f t="shared" si="388"/>
        <v>0.59247797119783219</v>
      </c>
      <c r="AF669" s="72">
        <f t="shared" si="389"/>
        <v>0.54865054692448945</v>
      </c>
      <c r="AG669" s="72">
        <f t="shared" si="390"/>
        <v>0.46864087489793949</v>
      </c>
      <c r="AH669" s="72">
        <f t="shared" si="391"/>
        <v>0.25130428395392274</v>
      </c>
      <c r="AI669" s="72">
        <f t="shared" si="392"/>
        <v>6.369938229238159E-2</v>
      </c>
      <c r="AJ669" s="72">
        <f>(AV669-Driver!$K$179)/(Driver!$L$179-Driver!$K$179)</f>
        <v>0.23978728547256462</v>
      </c>
      <c r="AK669" s="72">
        <f>(AW669-Driver!$K$180)/(Driver!$L$180-Driver!$K$180)</f>
        <v>0.16474034248072147</v>
      </c>
      <c r="AL669" s="72">
        <f>(AX669-Driver!$K$181)/(Driver!$L$181-Driver!$K$181)</f>
        <v>0.18611269208878767</v>
      </c>
      <c r="AM669" s="72">
        <f>(AY669-Driver!$K$182)/(Driver!$L$182-Driver!$K$182)</f>
        <v>0.14828685881333364</v>
      </c>
      <c r="AN669" s="72">
        <f>(AZ669-Driver!$K$183)/(Driver!$L$183-Driver!$K$183)</f>
        <v>0.165359477124183</v>
      </c>
      <c r="AO669" s="72"/>
      <c r="AP669" s="72"/>
      <c r="AQ669" s="72">
        <f>(BC669-Driver!$K$188)/(Driver!$L$188-Driver!$K$188)</f>
        <v>2.7522028802167829E-2</v>
      </c>
      <c r="AR669" s="72">
        <f>MIN((BD669-Driver!$K$189)/(Driver!$L$189-Driver!$K$189),100%)</f>
        <v>1.3494530755105937E-3</v>
      </c>
      <c r="AS669" s="72">
        <f>(BE669-Driver!$K$190)/(Driver!$L$190-Driver!$K$190)</f>
        <v>4.1359125102060502E-2</v>
      </c>
      <c r="AT669" s="72">
        <f>(BF669-Driver!$K$191)/(Driver!$L$191-Driver!$K$191)</f>
        <v>0.25869571604607727</v>
      </c>
      <c r="AU669" s="72">
        <f>(BG669-Driver!$K$192)/(Driver!$L$192-Driver!$K$192)</f>
        <v>0.18630061770761841</v>
      </c>
      <c r="AV669" s="70">
        <f t="shared" si="393"/>
        <v>5.046805046805046</v>
      </c>
      <c r="AW669" s="70">
        <f t="shared" si="394"/>
        <v>17.92729874413671</v>
      </c>
      <c r="AX669" s="70">
        <f t="shared" si="395"/>
        <v>2.675014228799089</v>
      </c>
      <c r="AY669" s="70">
        <f>IFERROR(Driver!$K$19/Data!BH669/Data!BI669*Data!BK669*Data!BL669,"")</f>
        <v>0.18154735971587968</v>
      </c>
      <c r="AZ669" s="70">
        <f t="shared" si="396"/>
        <v>15.070737155621742</v>
      </c>
      <c r="BA669" s="70"/>
      <c r="BB669" s="70"/>
      <c r="BC669" s="70">
        <f t="shared" si="397"/>
        <v>14.275867669724628</v>
      </c>
      <c r="BD669" s="70">
        <f t="shared" si="398"/>
        <v>1.8402470901910528</v>
      </c>
      <c r="BE669" s="70">
        <f t="shared" si="399"/>
        <v>4.1530135844179639E-2</v>
      </c>
      <c r="BF669" s="70">
        <f t="shared" si="400"/>
        <v>29.217863687139253</v>
      </c>
      <c r="BG669" s="70">
        <f t="shared" si="401"/>
        <v>0.70545298558682235</v>
      </c>
      <c r="BH669" s="67">
        <f>MAX((CE669-Driver!$F$200)/(Driver!$G$200-Driver!$F$200)*$BI$1,1)</f>
        <v>2.675014228799089</v>
      </c>
      <c r="BI669" s="67">
        <f>MAX($BI$1*(BY669-Driver!$F$201)/(Driver!$G$201-Driver!$F$201),1)</f>
        <v>5.5696202531645573</v>
      </c>
      <c r="BJ669" s="67">
        <f>(CB669-Driver!$F$206)/(Driver!$G$206-Driver!$F$206)*$BI$1</f>
        <v>7.6190476190476186</v>
      </c>
      <c r="BK669" s="67">
        <f>(CD669-Driver!$F$203)/(Driver!$G$203-Driver!$F$203)*$BI$1</f>
        <v>2.6146788990825689</v>
      </c>
      <c r="BL669" s="67">
        <f>MAX((CR669-Driver!$F$202)/(Driver!$G$202-Driver!$F$202)*$BI$1,1)</f>
        <v>5.1724137931034484</v>
      </c>
      <c r="BM669" s="67">
        <f>MAX((CH669-Driver!$F$204)/(Driver!$G$204-Driver!$F$204)*$BI$1,1)</f>
        <v>2.6495726495726495</v>
      </c>
      <c r="BN669" s="67">
        <f>(CI669-Driver!$F$205)/(Driver!$G$205-Driver!$F$205)*$BI$1</f>
        <v>2.7058823529411762</v>
      </c>
      <c r="BO669" s="67">
        <f>(CK669-Driver!$F$207)/(Driver!$G$207-Driver!$F$207)*$BI$1</f>
        <v>2.9782833505687694</v>
      </c>
      <c r="BP669" s="67">
        <f>(CM669-Driver!$F$208)/(Driver!$G$208-Driver!$F$208)*$BI$1</f>
        <v>3.3666666666666667</v>
      </c>
      <c r="BQ669" s="67">
        <f>(CL669-Driver!$F$209)/(Driver!$G$209-Driver!$F$209)*$BI$1</f>
        <v>5</v>
      </c>
      <c r="BR669" s="28" t="s">
        <v>155</v>
      </c>
      <c r="BS669" s="8" t="s">
        <v>218</v>
      </c>
      <c r="BT669" s="9" t="s">
        <v>294</v>
      </c>
      <c r="BU669" s="10">
        <v>168</v>
      </c>
      <c r="BV669" s="9" t="s">
        <v>158</v>
      </c>
      <c r="BW669" s="10">
        <v>168</v>
      </c>
      <c r="BX669" s="10">
        <v>166.2</v>
      </c>
      <c r="BY669" s="10">
        <v>96</v>
      </c>
      <c r="BZ669" s="10">
        <v>112</v>
      </c>
      <c r="CA669" s="10">
        <v>136</v>
      </c>
      <c r="CB669" s="10">
        <v>112</v>
      </c>
      <c r="CC669" s="10">
        <v>124</v>
      </c>
      <c r="CD669" s="10">
        <v>15.1</v>
      </c>
      <c r="CE669" s="10">
        <v>1370</v>
      </c>
      <c r="CF669" s="10">
        <v>1.45</v>
      </c>
      <c r="CG669" s="10">
        <v>1988</v>
      </c>
      <c r="CH669" s="10">
        <v>163</v>
      </c>
      <c r="CI669" s="10">
        <v>79</v>
      </c>
      <c r="CJ669" s="10">
        <v>59</v>
      </c>
      <c r="CK669" s="10">
        <v>398</v>
      </c>
      <c r="CL669" s="10">
        <v>32</v>
      </c>
      <c r="CM669" s="10">
        <v>303</v>
      </c>
      <c r="CN669" s="10">
        <v>0.54800000000000004</v>
      </c>
      <c r="CO669" s="10">
        <v>296</v>
      </c>
      <c r="CP669" s="10">
        <v>242</v>
      </c>
      <c r="CQ669" s="10">
        <v>102</v>
      </c>
      <c r="CR669" s="10">
        <v>4</v>
      </c>
      <c r="CS669" s="10">
        <v>13.7</v>
      </c>
      <c r="CT669" s="9" t="s">
        <v>169</v>
      </c>
      <c r="CU669" s="9" t="s">
        <v>185</v>
      </c>
      <c r="CV669" s="9" t="s">
        <v>198</v>
      </c>
      <c r="CW669" s="10"/>
      <c r="CX669" t="str">
        <f>INDEX('Data_Price '!AG$2:AG$1266,MATCH(Data!$DN669,'Data_Price '!$AT$2:$AT$1266,0))</f>
        <v>DPS Pagoda Tour 112 RP Skis 168cm</v>
      </c>
      <c r="CY669" t="str">
        <f>INDEX('Data_Price '!AH$2:AH$1266,MATCH(Data!$DN669,'Data_Price '!$AT$2:$AT$1266,0))</f>
        <v>Skimo &amp; SkyRun</v>
      </c>
      <c r="CZ669">
        <f>INDEX('Data_Price '!AI$2:AI$1266,MATCH(Data!$DN669,'Data_Price '!$AT$2:$AT$1266,0))</f>
        <v>1029</v>
      </c>
      <c r="DA669" t="str">
        <f>INDEX('Data_Price '!AJ$2:AJ$1266,MATCH(Data!$DN669,'Data_Price '!$AT$2:$AT$1266,0))</f>
        <v>https://tinyurl.com/y7d9c34u</v>
      </c>
      <c r="DB669" t="str">
        <f>INDEX('Data_Price '!AK$2:AK$1266,MATCH(Data!$DN669,'Data_Price '!$AT$2:$AT$1266,0))</f>
        <v>DPS Pagoda Tour 112 RP SE Ski 168 / Early Riser Orange</v>
      </c>
      <c r="DC669" t="str">
        <f>INDEX('Data_Price '!AL$2:AL$1266,MATCH(Data!$DN669,'Data_Price '!$AT$2:$AT$1266,0))</f>
        <v>Cripple Creek Backcountry</v>
      </c>
      <c r="DD669">
        <f>INDEX('Data_Price '!AM$2:AM$1266,MATCH(Data!$DN669,'Data_Price '!$AT$2:$AT$1266,0))</f>
        <v>1029</v>
      </c>
      <c r="DE669" t="str">
        <f>INDEX('Data_Price '!AN$2:AN$1266,MATCH(Data!$DN669,'Data_Price '!$AT$2:$AT$1266,0))</f>
        <v>https://tinyurl.com/y7sk4xb8</v>
      </c>
      <c r="DF669" t="str">
        <f>INDEX('Data_Price '!AO$2:AO$1266,MATCH(Data!$DN669,'Data_Price '!$AT$2:$AT$1266,0))</f>
        <v>DPS Pagoda Tour 112 RP Skis 168cm</v>
      </c>
      <c r="DG669" t="str">
        <f>INDEX('Data_Price '!AP$2:AP$1266,MATCH(Data!$DN669,'Data_Price '!$AT$2:$AT$1266,0))</f>
        <v>REI</v>
      </c>
      <c r="DH669">
        <f>INDEX('Data_Price '!AQ$2:AQ$1266,MATCH(Data!$DN669,'Data_Price '!$AT$2:$AT$1266,0))</f>
        <v>1038.93</v>
      </c>
      <c r="DI669" t="str">
        <f>INDEX('Data_Price '!AR$2:AR$1266,MATCH(Data!$DN669,'Data_Price '!$AT$2:$AT$1266,0))</f>
        <v>https://tinyurl.com/y95tvuv7</v>
      </c>
      <c r="DJ669" s="89" t="str">
        <f t="shared" si="402"/>
        <v>https://tinyurl.com/y7d9c34u</v>
      </c>
      <c r="DK669" s="89" t="str">
        <f t="shared" si="403"/>
        <v>https://tinyurl.com/y7sk4xb8</v>
      </c>
      <c r="DL669" s="89" t="str">
        <f t="shared" si="404"/>
        <v>https://tinyurl.com/y95tvuv7</v>
      </c>
      <c r="DM669" s="219" t="str">
        <f t="shared" si="405"/>
        <v>Pagoda Tour 112 RP</v>
      </c>
      <c r="DN669" s="89" t="str">
        <f t="shared" si="406"/>
        <v xml:space="preserve"> DPSPagoda Tour 112 RP168 Unisex</v>
      </c>
      <c r="DO669" s="221" t="s">
        <v>274</v>
      </c>
    </row>
    <row r="670" spans="2:119" ht="15.6" customHeight="1">
      <c r="B670" s="219" t="b">
        <f t="array" ref="B670">IF(OR(ISERROR(K670:P670)),FALSE,TRUE)</f>
        <v>1</v>
      </c>
      <c r="C670" s="43" t="b">
        <f>OR(BR670=Driver!$G$50,Data!BR762=Driver!$H$50)</f>
        <v>1</v>
      </c>
      <c r="D670" s="43" t="b">
        <f>OR(BV670=Driver!$G$51,BV670=Driver!$H$51)</f>
        <v>1</v>
      </c>
      <c r="E670" s="43" t="b">
        <f>AND(BX670&gt;Driver!$F$54,BX670&lt;Driver!$G$54)</f>
        <v>0</v>
      </c>
      <c r="F670" s="43" t="b">
        <f>CL670&gt;Driver!$F$56</f>
        <v>1</v>
      </c>
      <c r="G670" s="43" t="b">
        <f>AND(CB670&gt;Driver!$F$55,CB670&lt;Driver!$G$55)</f>
        <v>1</v>
      </c>
      <c r="H670" s="43" t="b">
        <f t="shared" si="370"/>
        <v>0</v>
      </c>
      <c r="I670" s="43">
        <f t="shared" si="371"/>
        <v>1</v>
      </c>
      <c r="J670" s="43" t="b">
        <f t="array" ref="J670">NOT(OR(($H$9:$H$1273=TRUE)*($I$9:$I$1273&gt;0)*($BT$9:$BT$1273=BT670)*($K$9:$K$1273&gt;K670)))</f>
        <v>1</v>
      </c>
      <c r="K670" s="72">
        <f t="shared" si="372"/>
        <v>0.85558658746367477</v>
      </c>
      <c r="L670" s="72">
        <f t="shared" si="373"/>
        <v>0.96639133924682985</v>
      </c>
      <c r="M670" s="72">
        <f t="shared" si="374"/>
        <v>0.74478183568051981</v>
      </c>
      <c r="N670" s="72">
        <f t="shared" si="375"/>
        <v>0.68917906833585896</v>
      </c>
      <c r="O670" s="72">
        <f t="shared" si="376"/>
        <v>0.65657539047206082</v>
      </c>
      <c r="P670" s="72">
        <f t="shared" si="377"/>
        <v>0.88859104823363944</v>
      </c>
      <c r="Q670" s="72"/>
      <c r="R670" s="72"/>
      <c r="S670" s="72">
        <f t="shared" si="378"/>
        <v>0.41277218191066667</v>
      </c>
      <c r="T670" s="72">
        <f t="shared" si="379"/>
        <v>0.48053664500969961</v>
      </c>
      <c r="U670" s="72">
        <f t="shared" si="380"/>
        <v>0.50627391985249581</v>
      </c>
      <c r="V670" s="72">
        <f t="shared" si="381"/>
        <v>0.64795787536227845</v>
      </c>
      <c r="W670" s="72">
        <f t="shared" si="382"/>
        <v>0.88844007050528784</v>
      </c>
      <c r="X670" s="72">
        <f t="shared" si="383"/>
        <v>3.3608660753170178E-2</v>
      </c>
      <c r="Y670" s="72">
        <f t="shared" si="384"/>
        <v>0.25521816431948025</v>
      </c>
      <c r="Z670" s="72">
        <f t="shared" si="385"/>
        <v>0.31082093166414104</v>
      </c>
      <c r="AA670" s="72">
        <f t="shared" si="386"/>
        <v>0.34342460952793913</v>
      </c>
      <c r="AB670" s="72">
        <f t="shared" si="387"/>
        <v>0.11140895176636054</v>
      </c>
      <c r="AC670" s="72"/>
      <c r="AD670" s="72"/>
      <c r="AE670" s="72">
        <f t="shared" si="388"/>
        <v>0.58722781808933333</v>
      </c>
      <c r="AF670" s="72">
        <f t="shared" si="389"/>
        <v>0.51946335499030039</v>
      </c>
      <c r="AG670" s="72">
        <f t="shared" si="390"/>
        <v>0.49372608014750419</v>
      </c>
      <c r="AH670" s="72">
        <f t="shared" si="391"/>
        <v>0.35204212463772155</v>
      </c>
      <c r="AI670" s="72">
        <f t="shared" si="392"/>
        <v>0.11155992949471213</v>
      </c>
      <c r="AJ670" s="72">
        <f>(AV670-Driver!$K$179)/(Driver!$L$179-Driver!$K$179)</f>
        <v>0.22061074852953025</v>
      </c>
      <c r="AK670" s="72">
        <f>(AW670-Driver!$K$180)/(Driver!$L$180-Driver!$K$180)</f>
        <v>0.16400356710572317</v>
      </c>
      <c r="AL670" s="72">
        <f>(AX670-Driver!$K$181)/(Driver!$L$181-Driver!$K$181)</f>
        <v>0.41250869537722124</v>
      </c>
      <c r="AM670" s="72">
        <f>(AY670-Driver!$K$182)/(Driver!$L$182-Driver!$K$182)</f>
        <v>0.10396041156910722</v>
      </c>
      <c r="AN670" s="72">
        <f>(AZ670-Driver!$K$183)/(Driver!$L$183-Driver!$K$183)</f>
        <v>0.14281045751633989</v>
      </c>
      <c r="AO670" s="72"/>
      <c r="AP670" s="72"/>
      <c r="AQ670" s="72">
        <f>(BC670-Driver!$K$188)/(Driver!$L$188-Driver!$K$188)</f>
        <v>3.2772181910666609E-2</v>
      </c>
      <c r="AR670" s="72">
        <f>MIN((BD670-Driver!$K$189)/(Driver!$L$189-Driver!$K$189),100%)</f>
        <v>3.0536645009699642E-2</v>
      </c>
      <c r="AS670" s="72">
        <f>(BE670-Driver!$K$190)/(Driver!$L$190-Driver!$K$190)</f>
        <v>1.6273919852495797E-2</v>
      </c>
      <c r="AT670" s="72">
        <f>(BF670-Driver!$K$191)/(Driver!$L$191-Driver!$K$191)</f>
        <v>0.15795787536227843</v>
      </c>
      <c r="AU670" s="72">
        <f>(BG670-Driver!$K$192)/(Driver!$L$192-Driver!$K$192)</f>
        <v>0.13844007050528787</v>
      </c>
      <c r="AV670" s="70">
        <f t="shared" si="393"/>
        <v>4.6431963098629767</v>
      </c>
      <c r="AW670" s="70">
        <f t="shared" si="394"/>
        <v>17.855493455349173</v>
      </c>
      <c r="AX670" s="70">
        <f t="shared" si="395"/>
        <v>4.7125782583949913</v>
      </c>
      <c r="AY670" s="70">
        <f>IFERROR(Driver!$K$19/Data!BH670/Data!BI670*Data!BK670*Data!BL670,"")</f>
        <v>0.12727856255358563</v>
      </c>
      <c r="AZ670" s="70">
        <f t="shared" si="396"/>
        <v>13.015636634400597</v>
      </c>
      <c r="BA670" s="70"/>
      <c r="BB670" s="70"/>
      <c r="BC670" s="70">
        <f t="shared" si="397"/>
        <v>16.99915858557522</v>
      </c>
      <c r="BD670" s="70">
        <f t="shared" si="398"/>
        <v>4.4232618597229107</v>
      </c>
      <c r="BE670" s="70">
        <f t="shared" si="399"/>
        <v>1.6449405512885446E-2</v>
      </c>
      <c r="BF670" s="70">
        <f t="shared" si="400"/>
        <v>17.84023230528933</v>
      </c>
      <c r="BG670" s="70">
        <f t="shared" si="401"/>
        <v>0.52422242215041126</v>
      </c>
      <c r="BH670" s="67">
        <f>MAX((CE670-Driver!$F$200)/(Driver!$G$200-Driver!$F$200)*$BI$1,1)</f>
        <v>4.7125782583949913</v>
      </c>
      <c r="BI670" s="67">
        <f>MAX($BI$1*(BY670-Driver!$F$201)/(Driver!$G$201-Driver!$F$201),1)</f>
        <v>5.8227848101265822</v>
      </c>
      <c r="BJ670" s="67">
        <f>(CB670-Driver!$F$206)/(Driver!$G$206-Driver!$F$206)*$BI$1</f>
        <v>5.8730158730158735</v>
      </c>
      <c r="BK670" s="67">
        <f>(CD670-Driver!$F$203)/(Driver!$G$203-Driver!$F$203)*$BI$1</f>
        <v>3.1651376146788994</v>
      </c>
      <c r="BL670" s="67">
        <f>MAX((CR670-Driver!$F$202)/(Driver!$G$202-Driver!$F$202)*$BI$1,1)</f>
        <v>5.5172413793103452</v>
      </c>
      <c r="BM670" s="67">
        <f>MAX((CH670-Driver!$F$204)/(Driver!$G$204-Driver!$F$204)*$BI$1,1)</f>
        <v>3.1623931623931623</v>
      </c>
      <c r="BN670" s="67">
        <f>(CI670-Driver!$F$205)/(Driver!$G$205-Driver!$F$205)*$BI$1</f>
        <v>2.2352941176470589</v>
      </c>
      <c r="BO670" s="67">
        <f>(CK670-Driver!$F$207)/(Driver!$G$207-Driver!$F$207)*$BI$1</f>
        <v>2.3578076525336091</v>
      </c>
      <c r="BP670" s="67">
        <f>(CM670-Driver!$F$208)/(Driver!$G$208-Driver!$F$208)*$BI$1</f>
        <v>4.0777777777777775</v>
      </c>
      <c r="BQ670" s="67">
        <f>(CL670-Driver!$F$209)/(Driver!$G$209-Driver!$F$209)*$BI$1</f>
        <v>7.8125</v>
      </c>
      <c r="BR670" s="28" t="s">
        <v>155</v>
      </c>
      <c r="BS670" s="8" t="s">
        <v>262</v>
      </c>
      <c r="BT670" s="9" t="s">
        <v>511</v>
      </c>
      <c r="BU670" s="10">
        <v>170</v>
      </c>
      <c r="BV670" s="9" t="s">
        <v>158</v>
      </c>
      <c r="BW670" s="10">
        <v>170</v>
      </c>
      <c r="BX670" s="10">
        <v>170.2</v>
      </c>
      <c r="BY670" s="10">
        <v>100</v>
      </c>
      <c r="BZ670" s="10">
        <v>140</v>
      </c>
      <c r="CA670" s="10">
        <v>133</v>
      </c>
      <c r="CB670" s="10">
        <v>101</v>
      </c>
      <c r="CC670" s="10">
        <v>126</v>
      </c>
      <c r="CD670" s="10">
        <v>16.3</v>
      </c>
      <c r="CE670" s="10">
        <v>1728</v>
      </c>
      <c r="CF670" s="10">
        <v>1.1100000000000001</v>
      </c>
      <c r="CG670" s="10">
        <v>1911</v>
      </c>
      <c r="CH670" s="10">
        <v>175</v>
      </c>
      <c r="CI670" s="10">
        <v>71</v>
      </c>
      <c r="CJ670" s="10">
        <v>52</v>
      </c>
      <c r="CK670" s="10">
        <v>338</v>
      </c>
      <c r="CL670" s="10">
        <v>50</v>
      </c>
      <c r="CM670" s="10">
        <v>367</v>
      </c>
      <c r="CN670" s="10">
        <v>0.95899999999999996</v>
      </c>
      <c r="CO670" s="10">
        <v>147</v>
      </c>
      <c r="CP670" s="10">
        <v>150</v>
      </c>
      <c r="CQ670" s="10">
        <v>191</v>
      </c>
      <c r="CR670" s="10">
        <v>5</v>
      </c>
      <c r="CS670" s="10">
        <v>4.2</v>
      </c>
      <c r="CT670" s="9" t="s">
        <v>184</v>
      </c>
      <c r="CU670" s="9" t="s">
        <v>169</v>
      </c>
      <c r="CV670" s="9" t="s">
        <v>185</v>
      </c>
      <c r="CW670" s="10"/>
      <c r="CX670" t="e">
        <f>INDEX('Data_Price '!AG$2:AG$1266,MATCH(Data!$DN670,'Data_Price '!$AT$2:$AT$1266,0))</f>
        <v>#N/A</v>
      </c>
      <c r="CY670" t="e">
        <f>INDEX('Data_Price '!AH$2:AH$1266,MATCH(Data!$DN670,'Data_Price '!$AT$2:$AT$1266,0))</f>
        <v>#N/A</v>
      </c>
      <c r="CZ670" t="e">
        <f>INDEX('Data_Price '!AI$2:AI$1266,MATCH(Data!$DN670,'Data_Price '!$AT$2:$AT$1266,0))</f>
        <v>#N/A</v>
      </c>
      <c r="DA670" t="e">
        <f>INDEX('Data_Price '!AJ$2:AJ$1266,MATCH(Data!$DN670,'Data_Price '!$AT$2:$AT$1266,0))</f>
        <v>#N/A</v>
      </c>
      <c r="DB670" t="e">
        <f>INDEX('Data_Price '!AK$2:AK$1266,MATCH(Data!$DN670,'Data_Price '!$AT$2:$AT$1266,0))</f>
        <v>#N/A</v>
      </c>
      <c r="DC670" t="e">
        <f>INDEX('Data_Price '!AL$2:AL$1266,MATCH(Data!$DN670,'Data_Price '!$AT$2:$AT$1266,0))</f>
        <v>#N/A</v>
      </c>
      <c r="DD670" t="e">
        <f>INDEX('Data_Price '!AM$2:AM$1266,MATCH(Data!$DN670,'Data_Price '!$AT$2:$AT$1266,0))</f>
        <v>#N/A</v>
      </c>
      <c r="DE670" t="e">
        <f>INDEX('Data_Price '!AN$2:AN$1266,MATCH(Data!$DN670,'Data_Price '!$AT$2:$AT$1266,0))</f>
        <v>#N/A</v>
      </c>
      <c r="DF670" t="e">
        <f>INDEX('Data_Price '!AO$2:AO$1266,MATCH(Data!$DN670,'Data_Price '!$AT$2:$AT$1266,0))</f>
        <v>#N/A</v>
      </c>
      <c r="DG670" t="e">
        <f>INDEX('Data_Price '!AP$2:AP$1266,MATCH(Data!$DN670,'Data_Price '!$AT$2:$AT$1266,0))</f>
        <v>#N/A</v>
      </c>
      <c r="DH670" t="e">
        <f>INDEX('Data_Price '!AQ$2:AQ$1266,MATCH(Data!$DN670,'Data_Price '!$AT$2:$AT$1266,0))</f>
        <v>#N/A</v>
      </c>
      <c r="DI670" t="e">
        <f>INDEX('Data_Price '!AR$2:AR$1266,MATCH(Data!$DN670,'Data_Price '!$AT$2:$AT$1266,0))</f>
        <v>#N/A</v>
      </c>
      <c r="DJ670" s="89" t="e">
        <f t="shared" si="402"/>
        <v>#N/A</v>
      </c>
      <c r="DK670" s="89" t="e">
        <f t="shared" si="403"/>
        <v>#N/A</v>
      </c>
      <c r="DL670" s="89" t="e">
        <f t="shared" si="404"/>
        <v>#N/A</v>
      </c>
      <c r="DM670" s="219" t="str">
        <f t="shared" si="405"/>
        <v>Reckoner 102</v>
      </c>
      <c r="DN670" s="89" t="str">
        <f t="shared" si="406"/>
        <v xml:space="preserve"> K2Reckoner 102170 Unisex</v>
      </c>
      <c r="DO670" s="221" t="s">
        <v>512</v>
      </c>
    </row>
    <row r="671" spans="2:119" ht="15.6" customHeight="1">
      <c r="B671" s="219" t="b">
        <f t="array" ref="B671">IF(OR(ISERROR(K671:P671)),FALSE,TRUE)</f>
        <v>1</v>
      </c>
      <c r="C671" s="43" t="b">
        <f>OR(BR671=Driver!$G$50,Data!BR156=Driver!$H$50)</f>
        <v>1</v>
      </c>
      <c r="D671" s="43" t="b">
        <f>OR(BV671=Driver!$G$51,BV671=Driver!$H$51)</f>
        <v>1</v>
      </c>
      <c r="E671" s="43" t="b">
        <f>AND(BX671&gt;Driver!$F$54,BX671&lt;Driver!$G$54)</f>
        <v>0</v>
      </c>
      <c r="F671" s="43" t="b">
        <f>CL671&gt;Driver!$F$56</f>
        <v>1</v>
      </c>
      <c r="G671" s="43" t="b">
        <f>AND(CB671&gt;Driver!$F$55,CB671&lt;Driver!$G$55)</f>
        <v>0</v>
      </c>
      <c r="H671" s="43" t="b">
        <f t="shared" si="370"/>
        <v>0</v>
      </c>
      <c r="I671" s="43">
        <f t="shared" si="371"/>
        <v>0</v>
      </c>
      <c r="J671" s="43" t="b">
        <f t="array" ref="J671">NOT(OR(($H$9:$H$1273=TRUE)*($I$9:$I$1273&gt;0)*($BT$9:$BT$1273=BT671)*($K$9:$K$1273&gt;K671)))</f>
        <v>1</v>
      </c>
      <c r="K671" s="72">
        <f t="shared" si="372"/>
        <v>0.84477410856065782</v>
      </c>
      <c r="L671" s="72">
        <f t="shared" si="373"/>
        <v>0.97478987096991343</v>
      </c>
      <c r="M671" s="72">
        <f t="shared" si="374"/>
        <v>0.71475834615140221</v>
      </c>
      <c r="N671" s="72">
        <f t="shared" si="375"/>
        <v>0.75178578432902909</v>
      </c>
      <c r="O671" s="72">
        <f t="shared" si="376"/>
        <v>0.68312278601894794</v>
      </c>
      <c r="P671" s="72">
        <f t="shared" si="377"/>
        <v>0.70936646810622994</v>
      </c>
      <c r="Q671" s="72"/>
      <c r="R671" s="72"/>
      <c r="S671" s="72">
        <f t="shared" si="378"/>
        <v>0.5387874757669473</v>
      </c>
      <c r="T671" s="72">
        <f t="shared" si="379"/>
        <v>0.49155374181454581</v>
      </c>
      <c r="U671" s="72">
        <f t="shared" si="380"/>
        <v>0.64238683922862783</v>
      </c>
      <c r="V671" s="72">
        <f t="shared" si="381"/>
        <v>0.54322323042786147</v>
      </c>
      <c r="W671" s="72">
        <f t="shared" si="382"/>
        <v>0.78878600823045264</v>
      </c>
      <c r="X671" s="72">
        <f t="shared" si="383"/>
        <v>2.5210129030086625E-2</v>
      </c>
      <c r="Y671" s="72">
        <f t="shared" si="384"/>
        <v>0.28524165384859773</v>
      </c>
      <c r="Z671" s="72">
        <f t="shared" si="385"/>
        <v>0.24821421567097091</v>
      </c>
      <c r="AA671" s="72">
        <f t="shared" si="386"/>
        <v>0.31687721398105212</v>
      </c>
      <c r="AB671" s="72">
        <f t="shared" si="387"/>
        <v>0.29063353189377011</v>
      </c>
      <c r="AC671" s="72"/>
      <c r="AD671" s="72"/>
      <c r="AE671" s="72">
        <f t="shared" si="388"/>
        <v>0.4612125242330527</v>
      </c>
      <c r="AF671" s="72">
        <f t="shared" si="389"/>
        <v>0.50844625818545419</v>
      </c>
      <c r="AG671" s="72">
        <f t="shared" si="390"/>
        <v>0.35761316077137217</v>
      </c>
      <c r="AH671" s="72">
        <f t="shared" si="391"/>
        <v>0.45677676957213847</v>
      </c>
      <c r="AI671" s="72">
        <f t="shared" si="392"/>
        <v>0.21121399176954733</v>
      </c>
      <c r="AJ671" s="72">
        <f>(AV671-Driver!$K$179)/(Driver!$L$179-Driver!$K$179)</f>
        <v>0.27942953831278705</v>
      </c>
      <c r="AK671" s="72">
        <f>(AW671-Driver!$K$180)/(Driver!$L$180-Driver!$K$180)</f>
        <v>0.53452798907473675</v>
      </c>
      <c r="AL671" s="72">
        <f>(AX671-Driver!$K$181)/(Driver!$L$181-Driver!$K$181)</f>
        <v>0.3499019793840511</v>
      </c>
      <c r="AM671" s="72">
        <f>(AY671-Driver!$K$182)/(Driver!$L$182-Driver!$K$182)</f>
        <v>0.13050780711599425</v>
      </c>
      <c r="AN671" s="72">
        <f>(AZ671-Driver!$K$183)/(Driver!$L$183-Driver!$K$183)</f>
        <v>0.54485294117647054</v>
      </c>
      <c r="AO671" s="72"/>
      <c r="AP671" s="72"/>
      <c r="AQ671" s="72">
        <f>(BC671-Driver!$K$188)/(Driver!$L$188-Driver!$K$188)</f>
        <v>0.15878747576694729</v>
      </c>
      <c r="AR671" s="72">
        <f>MIN((BD671-Driver!$K$189)/(Driver!$L$189-Driver!$K$189),100%)</f>
        <v>4.1553741814545853E-2</v>
      </c>
      <c r="AS671" s="72">
        <f>(BE671-Driver!$K$190)/(Driver!$L$190-Driver!$K$190)</f>
        <v>0.15238683922862781</v>
      </c>
      <c r="AT671" s="72">
        <f>(BF671-Driver!$K$191)/(Driver!$L$191-Driver!$K$191)</f>
        <v>5.3223230427861541E-2</v>
      </c>
      <c r="AU671" s="72">
        <f>(BG671-Driver!$K$192)/(Driver!$L$192-Driver!$K$192)</f>
        <v>3.8786008230452661E-2</v>
      </c>
      <c r="AV671" s="70">
        <f t="shared" si="393"/>
        <v>5.8811558811558813</v>
      </c>
      <c r="AW671" s="70">
        <f t="shared" si="394"/>
        <v>53.966381556600908</v>
      </c>
      <c r="AX671" s="70">
        <f t="shared" si="395"/>
        <v>4.14911781445646</v>
      </c>
      <c r="AY671" s="70">
        <f>IFERROR(Driver!$K$19/Data!BH671/Data!BI671*Data!BK671*Data!BL671,"")</f>
        <v>0.15978049568130437</v>
      </c>
      <c r="AZ671" s="70">
        <f t="shared" si="396"/>
        <v>49.657483246463144</v>
      </c>
      <c r="BA671" s="70"/>
      <c r="BB671" s="70"/>
      <c r="BC671" s="70">
        <f t="shared" si="397"/>
        <v>82.364167552938326</v>
      </c>
      <c r="BD671" s="70">
        <f t="shared" si="398"/>
        <v>5.3982554058113887</v>
      </c>
      <c r="BE671" s="70">
        <f t="shared" si="399"/>
        <v>0.15253804387621692</v>
      </c>
      <c r="BF671" s="70">
        <f t="shared" si="400"/>
        <v>6.0111899624711276</v>
      </c>
      <c r="BG671" s="70">
        <f t="shared" si="401"/>
        <v>0.1468685699588477</v>
      </c>
      <c r="BH671" s="67">
        <f>MAX((CE671-Driver!$F$200)/(Driver!$G$200-Driver!$F$200)*$BI$1,1)</f>
        <v>4.14911781445646</v>
      </c>
      <c r="BI671" s="67">
        <f>MAX($BI$1*(BY671-Driver!$F$201)/(Driver!$G$201-Driver!$F$201),1)</f>
        <v>7.2151898734177218</v>
      </c>
      <c r="BJ671" s="67">
        <f>(CB671-Driver!$F$206)/(Driver!$G$206-Driver!$F$206)*$BI$1</f>
        <v>5.3968253968253963</v>
      </c>
      <c r="BK671" s="67">
        <f>(CD671-Driver!$F$203)/(Driver!$G$203-Driver!$F$203)*$BI$1</f>
        <v>3.8532110091743128</v>
      </c>
      <c r="BL671" s="67">
        <f>MAX((CR671-Driver!$F$202)/(Driver!$G$202-Driver!$F$202)*$BI$1,1)</f>
        <v>6.2068965517241379</v>
      </c>
      <c r="BM671" s="67">
        <f>MAX((CH671-Driver!$F$204)/(Driver!$G$204-Driver!$F$204)*$BI$1,1)</f>
        <v>4.3589743589743595</v>
      </c>
      <c r="BN671" s="67">
        <f>(CI671-Driver!$F$205)/(Driver!$G$205-Driver!$F$205)*$BI$1</f>
        <v>6.882352941176471</v>
      </c>
      <c r="BO671" s="67">
        <f>(CK671-Driver!$F$207)/(Driver!$G$207-Driver!$F$207)*$BI$1</f>
        <v>1.9027921406411583</v>
      </c>
      <c r="BP671" s="67">
        <f>(CM671-Driver!$F$208)/(Driver!$G$208-Driver!$F$208)*$BI$1</f>
        <v>2.2555555555555555</v>
      </c>
      <c r="BQ671" s="67">
        <f>(CL671-Driver!$F$209)/(Driver!$G$209-Driver!$F$209)*$BI$1</f>
        <v>2.65625</v>
      </c>
      <c r="BR671" s="28" t="s">
        <v>155</v>
      </c>
      <c r="BS671" s="8" t="s">
        <v>156</v>
      </c>
      <c r="BT671" s="9" t="s">
        <v>718</v>
      </c>
      <c r="BU671" s="10">
        <v>172</v>
      </c>
      <c r="BV671" s="9" t="s">
        <v>158</v>
      </c>
      <c r="BW671" s="10">
        <v>172</v>
      </c>
      <c r="BX671" s="10">
        <v>171.4</v>
      </c>
      <c r="BY671" s="10">
        <v>122</v>
      </c>
      <c r="BZ671" s="10">
        <v>136</v>
      </c>
      <c r="CA671" s="10">
        <v>127</v>
      </c>
      <c r="CB671" s="10">
        <v>98</v>
      </c>
      <c r="CC671" s="10">
        <v>117</v>
      </c>
      <c r="CD671" s="10">
        <v>17.8</v>
      </c>
      <c r="CE671" s="10">
        <v>1629</v>
      </c>
      <c r="CF671" s="10">
        <v>1.1200000000000001</v>
      </c>
      <c r="CG671" s="10">
        <v>1830</v>
      </c>
      <c r="CH671" s="10">
        <v>203</v>
      </c>
      <c r="CI671" s="10">
        <v>150</v>
      </c>
      <c r="CJ671" s="10">
        <v>56</v>
      </c>
      <c r="CK671" s="10">
        <v>294</v>
      </c>
      <c r="CL671" s="10">
        <v>17</v>
      </c>
      <c r="CM671" s="10">
        <v>203</v>
      </c>
      <c r="CN671" s="10">
        <v>0.31</v>
      </c>
      <c r="CO671" s="10">
        <v>189</v>
      </c>
      <c r="CP671" s="10">
        <v>164</v>
      </c>
      <c r="CQ671" s="10">
        <v>105</v>
      </c>
      <c r="CR671" s="10">
        <v>7</v>
      </c>
      <c r="CS671" s="10">
        <v>9.8000000000000007</v>
      </c>
      <c r="CT671" s="9" t="s">
        <v>188</v>
      </c>
      <c r="CU671" s="9" t="s">
        <v>185</v>
      </c>
      <c r="CV671" s="10"/>
      <c r="CW671" s="10"/>
      <c r="CX671" t="str">
        <f>INDEX('Data_Price '!AG$2:AG$1266,MATCH(Data!$DN671,'Data_Price '!$AT$2:$AT$1266,0))</f>
        <v>Atomic Maverick 100 Ti Skis 2022</v>
      </c>
      <c r="CY671" t="str">
        <f>INDEX('Data_Price '!AH$2:AH$1266,MATCH(Data!$DN671,'Data_Price '!$AT$2:$AT$1266,0))</f>
        <v>Gorham Bike and Ski</v>
      </c>
      <c r="CZ671">
        <f>INDEX('Data_Price '!AI$2:AI$1266,MATCH(Data!$DN671,'Data_Price '!$AT$2:$AT$1266,0))</f>
        <v>524.99</v>
      </c>
      <c r="DA671" t="str">
        <f>INDEX('Data_Price '!AJ$2:AJ$1266,MATCH(Data!$DN671,'Data_Price '!$AT$2:$AT$1266,0))</f>
        <v>https://tinyurl.com/y94m9ofr</v>
      </c>
      <c r="DB671" t="str">
        <f>INDEX('Data_Price '!AK$2:AK$1266,MATCH(Data!$DN671,'Data_Price '!$AT$2:$AT$1266,0))</f>
        <v>Atomic Maverick 100 Ti Bk/Darkgreen / 172cm</v>
      </c>
      <c r="DC671" t="str">
        <f>INDEX('Data_Price '!AL$2:AL$1266,MATCH(Data!$DN671,'Data_Price '!$AT$2:$AT$1266,0))</f>
        <v>Sundance Ski and Board Shop</v>
      </c>
      <c r="DD671">
        <f>INDEX('Data_Price '!AM$2:AM$1266,MATCH(Data!$DN671,'Data_Price '!$AT$2:$AT$1266,0))</f>
        <v>561.20000000000005</v>
      </c>
      <c r="DE671" t="str">
        <f>INDEX('Data_Price '!AN$2:AN$1266,MATCH(Data!$DN671,'Data_Price '!$AT$2:$AT$1266,0))</f>
        <v>https://tinyurl.com/y82zzokk</v>
      </c>
      <c r="DF671" t="str">
        <f>INDEX('Data_Price '!AO$2:AO$1266,MATCH(Data!$DN671,'Data_Price '!$AT$2:$AT$1266,0))</f>
        <v>Atomic Maverick 100 Ti Skis 2022</v>
      </c>
      <c r="DG671" t="str">
        <f>INDEX('Data_Price '!AP$2:AP$1266,MATCH(Data!$DN671,'Data_Price '!$AT$2:$AT$1266,0))</f>
        <v>Ski Pro  - Snow Ski &amp; Snowboard</v>
      </c>
      <c r="DH671">
        <f>INDEX('Data_Price '!AQ$2:AQ$1266,MATCH(Data!$DN671,'Data_Price '!$AT$2:$AT$1266,0))</f>
        <v>599.95000000000005</v>
      </c>
      <c r="DI671" t="str">
        <f>INDEX('Data_Price '!AR$2:AR$1266,MATCH(Data!$DN671,'Data_Price '!$AT$2:$AT$1266,0))</f>
        <v>https://tinyurl.com/ycus75fd</v>
      </c>
      <c r="DJ671" s="89" t="str">
        <f t="shared" si="402"/>
        <v>https://tinyurl.com/y94m9ofr</v>
      </c>
      <c r="DK671" s="89" t="str">
        <f t="shared" si="403"/>
        <v>https://tinyurl.com/y82zzokk</v>
      </c>
      <c r="DL671" s="89" t="str">
        <f t="shared" si="404"/>
        <v>https://tinyurl.com/ycus75fd</v>
      </c>
      <c r="DM671" s="219" t="str">
        <f t="shared" si="405"/>
        <v>Maverick 100 Ti</v>
      </c>
      <c r="DN671" s="89" t="str">
        <f t="shared" si="406"/>
        <v xml:space="preserve"> AtomicMaverick 100 Ti172 Unisex</v>
      </c>
      <c r="DO671" s="221" t="s">
        <v>719</v>
      </c>
    </row>
    <row r="672" spans="2:119" ht="15.6" customHeight="1">
      <c r="B672" s="219" t="b">
        <f t="array" ref="B672">IF(OR(ISERROR(K672:P672)),FALSE,TRUE)</f>
        <v>1</v>
      </c>
      <c r="C672" s="43" t="b">
        <f>OR(BR672=Driver!$G$50,Data!BR963=Driver!$H$50)</f>
        <v>1</v>
      </c>
      <c r="D672" s="43" t="b">
        <f>OR(BV672=Driver!$G$51,BV672=Driver!$H$51)</f>
        <v>1</v>
      </c>
      <c r="E672" s="43" t="b">
        <f>AND(BX672&gt;Driver!$F$54,BX672&lt;Driver!$G$54)</f>
        <v>0</v>
      </c>
      <c r="F672" s="43" t="b">
        <f>CL672&gt;Driver!$F$56</f>
        <v>1</v>
      </c>
      <c r="G672" s="43" t="b">
        <f>AND(CB672&gt;Driver!$F$55,CB672&lt;Driver!$G$55)</f>
        <v>0</v>
      </c>
      <c r="H672" s="43" t="b">
        <f t="shared" si="370"/>
        <v>0</v>
      </c>
      <c r="I672" s="43">
        <f t="shared" si="371"/>
        <v>0</v>
      </c>
      <c r="J672" s="43" t="b">
        <f t="array" ref="J672">NOT(OR(($H$9:$H$1273=TRUE)*($I$9:$I$1273&gt;0)*($BT$9:$BT$1273=BT672)*($K$9:$K$1273&gt;K672)))</f>
        <v>1</v>
      </c>
      <c r="K672" s="72">
        <f t="shared" si="372"/>
        <v>0.94964660369002074</v>
      </c>
      <c r="L672" s="72">
        <f t="shared" si="373"/>
        <v>0.99072459200647844</v>
      </c>
      <c r="M672" s="72">
        <f t="shared" si="374"/>
        <v>0.90856861537356304</v>
      </c>
      <c r="N672" s="72">
        <f t="shared" si="375"/>
        <v>0.96932831262852948</v>
      </c>
      <c r="O672" s="72">
        <f t="shared" si="376"/>
        <v>0.77571132185982739</v>
      </c>
      <c r="P672" s="72">
        <f t="shared" si="377"/>
        <v>0.98066621163233225</v>
      </c>
      <c r="Q672" s="72"/>
      <c r="R672" s="72"/>
      <c r="S672" s="72">
        <f t="shared" si="378"/>
        <v>0.44803988620627688</v>
      </c>
      <c r="T672" s="72">
        <f t="shared" si="379"/>
        <v>0.46177831887854304</v>
      </c>
      <c r="U672" s="72">
        <f t="shared" si="380"/>
        <v>0.99793926640386821</v>
      </c>
      <c r="V672" s="72">
        <f t="shared" si="381"/>
        <v>0.53186748792402083</v>
      </c>
      <c r="W672" s="72">
        <f t="shared" si="382"/>
        <v>0.80566097060833908</v>
      </c>
      <c r="X672" s="72">
        <f t="shared" si="383"/>
        <v>9.2754079935215006E-3</v>
      </c>
      <c r="Y672" s="72">
        <f t="shared" si="384"/>
        <v>9.1431384626436948E-2</v>
      </c>
      <c r="Z672" s="72">
        <f t="shared" si="385"/>
        <v>3.0671687371470482E-2</v>
      </c>
      <c r="AA672" s="72">
        <f t="shared" si="386"/>
        <v>0.22428867814017261</v>
      </c>
      <c r="AB672" s="72">
        <f t="shared" si="387"/>
        <v>1.9333788367667748E-2</v>
      </c>
      <c r="AC672" s="72"/>
      <c r="AD672" s="72"/>
      <c r="AE672" s="72">
        <f t="shared" si="388"/>
        <v>0.55196011379372312</v>
      </c>
      <c r="AF672" s="72">
        <f t="shared" si="389"/>
        <v>0.53822168112145696</v>
      </c>
      <c r="AG672" s="72">
        <f t="shared" si="390"/>
        <v>2.0607335961317919E-3</v>
      </c>
      <c r="AH672" s="72">
        <f t="shared" si="391"/>
        <v>0.46813251207597917</v>
      </c>
      <c r="AI672" s="72">
        <f t="shared" si="392"/>
        <v>0.19433902939166098</v>
      </c>
      <c r="AJ672" s="72">
        <f>(AV672-Driver!$K$179)/(Driver!$L$179-Driver!$K$179)</f>
        <v>0.24494400128917893</v>
      </c>
      <c r="AK672" s="72">
        <f>(AW672-Driver!$K$180)/(Driver!$L$180-Driver!$K$180)</f>
        <v>0.2257339745219866</v>
      </c>
      <c r="AL672" s="72">
        <f>(AX672-Driver!$K$181)/(Driver!$L$181-Driver!$K$181)</f>
        <v>0.13235945108455066</v>
      </c>
      <c r="AM672" s="72">
        <f>(AY672-Driver!$K$182)/(Driver!$L$182-Driver!$K$182)</f>
        <v>0.22309634295687375</v>
      </c>
      <c r="AN672" s="72">
        <f>(AZ672-Driver!$K$183)/(Driver!$L$183-Driver!$K$183)</f>
        <v>0.23488562091503268</v>
      </c>
      <c r="AO672" s="72"/>
      <c r="AP672" s="72"/>
      <c r="AQ672" s="72">
        <f>(BC672-Driver!$K$188)/(Driver!$L$188-Driver!$K$188)</f>
        <v>6.8039886206276892E-2</v>
      </c>
      <c r="AR672" s="72">
        <f>MIN((BD672-Driver!$K$189)/(Driver!$L$189-Driver!$K$189),100%)</f>
        <v>1.1778318878543102E-2</v>
      </c>
      <c r="AS672" s="72">
        <f>(BE672-Driver!$K$190)/(Driver!$L$190-Driver!$K$190)</f>
        <v>0.5120607335961318</v>
      </c>
      <c r="AT672" s="72">
        <f>(BF672-Driver!$K$191)/(Driver!$L$191-Driver!$K$191)</f>
        <v>4.1867487924020834E-2</v>
      </c>
      <c r="AU672" s="72">
        <f>(BG672-Driver!$K$192)/(Driver!$L$192-Driver!$K$192)</f>
        <v>5.5660970608339029E-2</v>
      </c>
      <c r="AV672" s="70">
        <f t="shared" si="393"/>
        <v>5.1553384886718217</v>
      </c>
      <c r="AW672" s="70">
        <f t="shared" si="394"/>
        <v>23.871668645117872</v>
      </c>
      <c r="AX672" s="70">
        <f t="shared" si="395"/>
        <v>2.191235059760956</v>
      </c>
      <c r="AY672" s="70">
        <f>IFERROR(Driver!$K$19/Data!BH672/Data!BI672*Data!BK672*Data!BL672,"")</f>
        <v>0.27313648930330509</v>
      </c>
      <c r="AZ672" s="70">
        <f t="shared" si="396"/>
        <v>21.407297096053611</v>
      </c>
      <c r="BA672" s="70"/>
      <c r="BB672" s="70"/>
      <c r="BC672" s="70">
        <f t="shared" si="397"/>
        <v>35.292761980810887</v>
      </c>
      <c r="BD672" s="70">
        <f t="shared" si="398"/>
        <v>2.7631832349026784</v>
      </c>
      <c r="BE672" s="70">
        <f t="shared" si="399"/>
        <v>0.5121477764692679</v>
      </c>
      <c r="BF672" s="70">
        <f t="shared" si="400"/>
        <v>4.7286386252685642</v>
      </c>
      <c r="BG672" s="70">
        <f t="shared" si="401"/>
        <v>0.21076794258373208</v>
      </c>
      <c r="BH672" s="67">
        <f>MAX((CE672-Driver!$F$200)/(Driver!$G$200-Driver!$F$200)*$BI$1,1)</f>
        <v>2.191235059760956</v>
      </c>
      <c r="BI672" s="67">
        <f>MAX($BI$1*(BY672-Driver!$F$201)/(Driver!$G$201-Driver!$F$201),1)</f>
        <v>7.2784810126582276</v>
      </c>
      <c r="BJ672" s="67">
        <f>(CB672-Driver!$F$206)/(Driver!$G$206-Driver!$F$206)*$BI$1</f>
        <v>5.0793650793650791</v>
      </c>
      <c r="BK672" s="67">
        <f>(CD672-Driver!$F$203)/(Driver!$G$203-Driver!$F$203)*$BI$1</f>
        <v>3.71559633027523</v>
      </c>
      <c r="BL672" s="67">
        <f>MAX((CR672-Driver!$F$202)/(Driver!$G$202-Driver!$F$202)*$BI$1,1)</f>
        <v>5.8620689655172411</v>
      </c>
      <c r="BM672" s="67">
        <f>MAX((CH672-Driver!$F$204)/(Driver!$G$204-Driver!$F$204)*$BI$1,1)</f>
        <v>4.0598290598290596</v>
      </c>
      <c r="BN672" s="67">
        <f>(CI672-Driver!$F$205)/(Driver!$G$205-Driver!$F$205)*$BI$1</f>
        <v>2.9411764705882355</v>
      </c>
      <c r="BO672" s="67">
        <f>(CK672-Driver!$F$207)/(Driver!$G$207-Driver!$F$207)*$BI$1</f>
        <v>2.1923474663908995</v>
      </c>
      <c r="BP672" s="67">
        <f>(CM672-Driver!$F$208)/(Driver!$G$208-Driver!$F$208)*$BI$1</f>
        <v>1.5777777777777777</v>
      </c>
      <c r="BQ672" s="67">
        <f>(CL672-Driver!$F$209)/(Driver!$G$209-Driver!$F$209)*$BI$1</f>
        <v>1.875</v>
      </c>
      <c r="BR672" s="28" t="s">
        <v>155</v>
      </c>
      <c r="BS672" s="8" t="s">
        <v>172</v>
      </c>
      <c r="BT672" s="9" t="s">
        <v>531</v>
      </c>
      <c r="BU672" s="10">
        <v>169</v>
      </c>
      <c r="BV672" s="9" t="s">
        <v>158</v>
      </c>
      <c r="BW672" s="10">
        <v>169</v>
      </c>
      <c r="BX672" s="10">
        <v>169.2</v>
      </c>
      <c r="BY672" s="10">
        <v>123</v>
      </c>
      <c r="BZ672" s="10">
        <v>137</v>
      </c>
      <c r="CA672" s="10">
        <v>126</v>
      </c>
      <c r="CB672" s="10">
        <v>96</v>
      </c>
      <c r="CC672" s="10">
        <v>115</v>
      </c>
      <c r="CD672" s="10">
        <v>17.5</v>
      </c>
      <c r="CE672" s="10">
        <v>1285</v>
      </c>
      <c r="CF672" s="10">
        <v>1.4</v>
      </c>
      <c r="CG672" s="10">
        <v>1798</v>
      </c>
      <c r="CH672" s="10">
        <v>196</v>
      </c>
      <c r="CI672" s="10">
        <v>83</v>
      </c>
      <c r="CJ672" s="10">
        <v>58</v>
      </c>
      <c r="CK672" s="10">
        <v>322</v>
      </c>
      <c r="CL672" s="10">
        <v>12</v>
      </c>
      <c r="CM672" s="10">
        <v>142</v>
      </c>
      <c r="CN672" s="10">
        <v>0.21299999999999999</v>
      </c>
      <c r="CO672" s="10">
        <v>195</v>
      </c>
      <c r="CP672" s="10">
        <v>123</v>
      </c>
      <c r="CQ672" s="10">
        <v>126</v>
      </c>
      <c r="CR672" s="10">
        <v>6</v>
      </c>
      <c r="CS672" s="10">
        <v>12.1</v>
      </c>
      <c r="CT672" s="9" t="s">
        <v>185</v>
      </c>
      <c r="CU672" s="9" t="s">
        <v>198</v>
      </c>
      <c r="CV672" s="10"/>
      <c r="CW672" s="10"/>
      <c r="CX672" t="str">
        <f>INDEX('Data_Price '!AG$2:AG$1266,MATCH(Data!$DN672,'Data_Price '!$AT$2:$AT$1266,0))</f>
        <v>Rossignol Blackops Alpineer 96 Skis - 2022</v>
      </c>
      <c r="CY672" t="str">
        <f>INDEX('Data_Price '!AH$2:AH$1266,MATCH(Data!$DN672,'Data_Price '!$AT$2:$AT$1266,0))</f>
        <v>Backcountry.com</v>
      </c>
      <c r="CZ672">
        <f>INDEX('Data_Price '!AI$2:AI$1266,MATCH(Data!$DN672,'Data_Price '!$AT$2:$AT$1266,0))</f>
        <v>524.96</v>
      </c>
      <c r="DA672" t="str">
        <f>INDEX('Data_Price '!AJ$2:AJ$1266,MATCH(Data!$DN672,'Data_Price '!$AT$2:$AT$1266,0))</f>
        <v>https://tinyurl.com/y9uw43u2</v>
      </c>
      <c r="DB672" t="str">
        <f>INDEX('Data_Price '!AK$2:AK$1266,MATCH(Data!$DN672,'Data_Price '!$AT$2:$AT$1266,0))</f>
        <v>Rossignol Blackops Alpineer 96 Skis - 2022</v>
      </c>
      <c r="DC672" t="str">
        <f>INDEX('Data_Price '!AL$2:AL$1266,MATCH(Data!$DN672,'Data_Price '!$AT$2:$AT$1266,0))</f>
        <v>Powder7 Ski Shop</v>
      </c>
      <c r="DD672">
        <f>INDEX('Data_Price '!AM$2:AM$1266,MATCH(Data!$DN672,'Data_Price '!$AT$2:$AT$1266,0))</f>
        <v>559.95000000000005</v>
      </c>
      <c r="DE672" t="str">
        <f>INDEX('Data_Price '!AN$2:AN$1266,MATCH(Data!$DN672,'Data_Price '!$AT$2:$AT$1266,0))</f>
        <v>https://tinyurl.com/yc297l8j</v>
      </c>
      <c r="DF672" t="str">
        <f>INDEX('Data_Price '!AO$2:AO$1266,MATCH(Data!$DN672,'Data_Price '!$AT$2:$AT$1266,0))</f>
        <v>Rossignol Blackops Alpineer 96 Skis - 2022</v>
      </c>
      <c r="DG672" t="str">
        <f>INDEX('Data_Price '!AP$2:AP$1266,MATCH(Data!$DN672,'Data_Price '!$AT$2:$AT$1266,0))</f>
        <v>evo.com</v>
      </c>
      <c r="DH672">
        <f>INDEX('Data_Price '!AQ$2:AQ$1266,MATCH(Data!$DN672,'Data_Price '!$AT$2:$AT$1266,0))</f>
        <v>559.96</v>
      </c>
      <c r="DI672" t="str">
        <f>INDEX('Data_Price '!AR$2:AR$1266,MATCH(Data!$DN672,'Data_Price '!$AT$2:$AT$1266,0))</f>
        <v>https://tinyurl.com/yauweknd</v>
      </c>
      <c r="DJ672" s="89" t="str">
        <f t="shared" si="402"/>
        <v>https://tinyurl.com/y9uw43u2</v>
      </c>
      <c r="DK672" s="89" t="str">
        <f t="shared" si="403"/>
        <v>https://tinyurl.com/yc297l8j</v>
      </c>
      <c r="DL672" s="89" t="str">
        <f t="shared" si="404"/>
        <v>https://tinyurl.com/yauweknd</v>
      </c>
      <c r="DM672" s="219" t="str">
        <f t="shared" si="405"/>
        <v>Blackops Alpineer 96</v>
      </c>
      <c r="DN672" s="89" t="str">
        <f t="shared" si="406"/>
        <v xml:space="preserve"> RossignolBlackops Alpineer 96169 Unisex</v>
      </c>
      <c r="DO672" s="221"/>
    </row>
    <row r="673" spans="2:119" ht="15.6" customHeight="1">
      <c r="B673" s="219" t="b">
        <f t="array" ref="B673">IF(OR(ISERROR(K673:P673)),FALSE,TRUE)</f>
        <v>1</v>
      </c>
      <c r="C673" s="43" t="b">
        <f>OR(BR673=Driver!$G$50,Data!BR1253=Driver!$H$50)</f>
        <v>1</v>
      </c>
      <c r="D673" s="43" t="b">
        <f>OR(BV673=Driver!$G$51,BV673=Driver!$H$51)</f>
        <v>1</v>
      </c>
      <c r="E673" s="43" t="b">
        <f>AND(BX673&gt;Driver!$F$54,BX673&lt;Driver!$G$54)</f>
        <v>0</v>
      </c>
      <c r="F673" s="43" t="b">
        <f>CL673&gt;Driver!$F$56</f>
        <v>1</v>
      </c>
      <c r="G673" s="43" t="b">
        <f>AND(CB673&gt;Driver!$F$55,CB673&lt;Driver!$G$55)</f>
        <v>0</v>
      </c>
      <c r="H673" s="43" t="b">
        <f t="shared" si="370"/>
        <v>0</v>
      </c>
      <c r="I673" s="43">
        <f t="shared" si="371"/>
        <v>0</v>
      </c>
      <c r="J673" s="43" t="b">
        <f t="array" ref="J673">NOT(OR(($H$9:$H$1273=TRUE)*($I$9:$I$1273&gt;0)*($BT$9:$BT$1273=BT673)*($K$9:$K$1273&gt;K673)))</f>
        <v>1</v>
      </c>
      <c r="K673" s="72">
        <f t="shared" si="372"/>
        <v>0.90327539378574884</v>
      </c>
      <c r="L673" s="72">
        <f t="shared" si="373"/>
        <v>0.93400071802372131</v>
      </c>
      <c r="M673" s="72">
        <f t="shared" si="374"/>
        <v>0.87255006954777636</v>
      </c>
      <c r="N673" s="72">
        <f t="shared" si="375"/>
        <v>0.93012006624896837</v>
      </c>
      <c r="O673" s="72">
        <f t="shared" si="376"/>
        <v>0.71789334252673442</v>
      </c>
      <c r="P673" s="72">
        <f t="shared" si="377"/>
        <v>0.9696367998676263</v>
      </c>
      <c r="Q673" s="72"/>
      <c r="R673" s="72"/>
      <c r="S673" s="72">
        <f t="shared" si="378"/>
        <v>0.44644608017619536</v>
      </c>
      <c r="T673" s="72">
        <f t="shared" si="379"/>
        <v>0.45774020590980924</v>
      </c>
      <c r="U673" s="72">
        <f t="shared" si="380"/>
        <v>0.51</v>
      </c>
      <c r="V673" s="72">
        <f t="shared" si="381"/>
        <v>0.50282600584297399</v>
      </c>
      <c r="W673" s="72">
        <f t="shared" si="382"/>
        <v>0.77599521927001924</v>
      </c>
      <c r="X673" s="72">
        <f t="shared" si="383"/>
        <v>6.5999281976278745E-2</v>
      </c>
      <c r="Y673" s="72">
        <f t="shared" si="384"/>
        <v>0.12744993045222364</v>
      </c>
      <c r="Z673" s="72">
        <f t="shared" si="385"/>
        <v>6.9879933751031645E-2</v>
      </c>
      <c r="AA673" s="72">
        <f t="shared" si="386"/>
        <v>0.28210665747326563</v>
      </c>
      <c r="AB673" s="72">
        <f t="shared" si="387"/>
        <v>3.0363200132373647E-2</v>
      </c>
      <c r="AC673" s="72"/>
      <c r="AD673" s="72"/>
      <c r="AE673" s="72">
        <f t="shared" si="388"/>
        <v>0.55355391982380464</v>
      </c>
      <c r="AF673" s="72">
        <f t="shared" si="389"/>
        <v>0.54225979409019076</v>
      </c>
      <c r="AG673" s="72">
        <f t="shared" si="390"/>
        <v>0.49</v>
      </c>
      <c r="AH673" s="72">
        <f t="shared" si="391"/>
        <v>0.49717399415702601</v>
      </c>
      <c r="AI673" s="72">
        <f t="shared" si="392"/>
        <v>0.2240047807299807</v>
      </c>
      <c r="AJ673" s="72">
        <f>(AV673-Driver!$K$179)/(Driver!$L$179-Driver!$K$179)</f>
        <v>0.18822012730642168</v>
      </c>
      <c r="AK673" s="72">
        <f>(AW673-Driver!$K$180)/(Driver!$L$180-Driver!$K$180)</f>
        <v>0.2183141827730754</v>
      </c>
      <c r="AL673" s="72">
        <f>(AX673-Driver!$K$181)/(Driver!$L$181-Driver!$K$181)</f>
        <v>0.17156769746411182</v>
      </c>
      <c r="AM673" s="72">
        <f>(AY673-Driver!$K$182)/(Driver!$L$182-Driver!$K$182)</f>
        <v>0.16527836362378073</v>
      </c>
      <c r="AN673" s="72">
        <f>(AZ673-Driver!$K$183)/(Driver!$L$183-Driver!$K$183)</f>
        <v>0.22385620915032678</v>
      </c>
      <c r="AO673" s="72"/>
      <c r="AP673" s="72"/>
      <c r="AQ673" s="72">
        <f>(BC673-Driver!$K$188)/(Driver!$L$188-Driver!$K$188)</f>
        <v>6.6446080176195341E-2</v>
      </c>
      <c r="AR673" s="72">
        <f>MIN((BD673-Driver!$K$189)/(Driver!$L$189-Driver!$K$189),100%)</f>
        <v>7.7402059098092306E-3</v>
      </c>
      <c r="AS673" s="72">
        <f>(BE673-Driver!$K$190)/(Driver!$L$190-Driver!$K$190)</f>
        <v>1</v>
      </c>
      <c r="AT673" s="72">
        <f>(BF673-Driver!$K$191)/(Driver!$L$191-Driver!$K$191)</f>
        <v>1.2826005842973982E-2</v>
      </c>
      <c r="AU673" s="72">
        <f>(BG673-Driver!$K$192)/(Driver!$L$192-Driver!$K$192)</f>
        <v>2.5995219270019302E-2</v>
      </c>
      <c r="AV673" s="70">
        <f t="shared" si="393"/>
        <v>3.9614706281372944</v>
      </c>
      <c r="AW673" s="70">
        <f t="shared" si="394"/>
        <v>23.148544193143341</v>
      </c>
      <c r="AX673" s="70">
        <f t="shared" si="395"/>
        <v>2.5441092771770064</v>
      </c>
      <c r="AY673" s="70">
        <f>IFERROR(Driver!$K$19/Data!BH673/Data!BI673*Data!BK673*Data!BL673,"")</f>
        <v>0.20235003137958721</v>
      </c>
      <c r="AZ673" s="70">
        <f t="shared" si="396"/>
        <v>20.402084884586746</v>
      </c>
      <c r="BA673" s="70"/>
      <c r="BB673" s="70"/>
      <c r="BC673" s="70">
        <f t="shared" si="397"/>
        <v>34.466043713047817</v>
      </c>
      <c r="BD673" s="70">
        <f t="shared" si="398"/>
        <v>2.405817392282521</v>
      </c>
      <c r="BE673" s="70">
        <f t="shared" si="399"/>
        <v>1</v>
      </c>
      <c r="BF673" s="70">
        <f t="shared" si="400"/>
        <v>1.4486072521731188</v>
      </c>
      <c r="BG673" s="70">
        <f t="shared" si="401"/>
        <v>9.8434483313413618E-2</v>
      </c>
      <c r="BH673" s="67">
        <f>MAX((CE673-Driver!$F$200)/(Driver!$G$200-Driver!$F$200)*$BI$1,1)</f>
        <v>2.5441092771770064</v>
      </c>
      <c r="BI673" s="67">
        <f>MAX($BI$1*(BY673-Driver!$F$201)/(Driver!$G$201-Driver!$F$201),1)</f>
        <v>8.6708860759493671</v>
      </c>
      <c r="BJ673" s="67">
        <f>(CB673-Driver!$F$206)/(Driver!$G$206-Driver!$F$206)*$BI$1</f>
        <v>5.0793650793650791</v>
      </c>
      <c r="BK673" s="67">
        <f>(CD673-Driver!$F$203)/(Driver!$G$203-Driver!$F$203)*$BI$1</f>
        <v>3.8073394495412844</v>
      </c>
      <c r="BL673" s="67">
        <f>MAX((CR673-Driver!$F$202)/(Driver!$G$202-Driver!$F$202)*$BI$1,1)</f>
        <v>5.8620689655172411</v>
      </c>
      <c r="BM673" s="67">
        <f>MAX((CH673-Driver!$F$204)/(Driver!$G$204-Driver!$F$204)*$BI$1,1)</f>
        <v>3.1196581196581197</v>
      </c>
      <c r="BN673" s="67">
        <f>(CI673-Driver!$F$205)/(Driver!$G$205-Driver!$F$205)*$BI$1</f>
        <v>2.3529411764705883</v>
      </c>
      <c r="BO673" s="67">
        <f>(CK673-Driver!$F$207)/(Driver!$G$207-Driver!$F$207)*$BI$1</f>
        <v>1.5511892450879008</v>
      </c>
      <c r="BP673" s="67">
        <f>(CM673-Driver!$F$208)/(Driver!$G$208-Driver!$F$208)*$BI$1</f>
        <v>0.70000000000000007</v>
      </c>
      <c r="BQ673" s="67">
        <f>(CL673-Driver!$F$209)/(Driver!$G$209-Driver!$F$209)*$BI$1</f>
        <v>0.78125</v>
      </c>
      <c r="BR673" s="28" t="s">
        <v>155</v>
      </c>
      <c r="BS673" s="8" t="s">
        <v>229</v>
      </c>
      <c r="BT673" s="9" t="s">
        <v>461</v>
      </c>
      <c r="BU673" s="10">
        <v>177</v>
      </c>
      <c r="BV673" s="9" t="s">
        <v>158</v>
      </c>
      <c r="BW673" s="10">
        <v>177</v>
      </c>
      <c r="BX673" s="10">
        <v>176.9</v>
      </c>
      <c r="BY673" s="10">
        <v>145</v>
      </c>
      <c r="BZ673" s="10">
        <v>154</v>
      </c>
      <c r="CA673" s="10">
        <v>138</v>
      </c>
      <c r="CB673" s="10">
        <v>96</v>
      </c>
      <c r="CC673" s="10">
        <v>119</v>
      </c>
      <c r="CD673" s="10">
        <v>17.7</v>
      </c>
      <c r="CE673" s="10">
        <v>1347</v>
      </c>
      <c r="CF673" s="10">
        <v>1.43</v>
      </c>
      <c r="CG673" s="10">
        <v>1921</v>
      </c>
      <c r="CH673" s="10">
        <v>174</v>
      </c>
      <c r="CI673" s="10">
        <v>73</v>
      </c>
      <c r="CJ673" s="10">
        <v>36</v>
      </c>
      <c r="CK673" s="10">
        <v>260</v>
      </c>
      <c r="CL673" s="10">
        <v>5</v>
      </c>
      <c r="CM673" s="10">
        <v>63</v>
      </c>
      <c r="CN673" s="10">
        <v>0.13</v>
      </c>
      <c r="CO673" s="10">
        <v>130</v>
      </c>
      <c r="CP673" s="10">
        <v>96</v>
      </c>
      <c r="CQ673" s="10">
        <v>130</v>
      </c>
      <c r="CR673" s="10">
        <v>6</v>
      </c>
      <c r="CS673" s="10">
        <v>11.8</v>
      </c>
      <c r="CT673" s="9" t="s">
        <v>185</v>
      </c>
      <c r="CU673" s="9" t="s">
        <v>198</v>
      </c>
      <c r="CV673" s="10"/>
      <c r="CW673" s="10"/>
      <c r="CX673" t="e">
        <f>INDEX('Data_Price '!AG$2:AG$1266,MATCH(Data!$DN673,'Data_Price '!$AT$2:$AT$1266,0))</f>
        <v>#N/A</v>
      </c>
      <c r="CY673" t="e">
        <f>INDEX('Data_Price '!AH$2:AH$1266,MATCH(Data!$DN673,'Data_Price '!$AT$2:$AT$1266,0))</f>
        <v>#N/A</v>
      </c>
      <c r="CZ673" t="e">
        <f>INDEX('Data_Price '!AI$2:AI$1266,MATCH(Data!$DN673,'Data_Price '!$AT$2:$AT$1266,0))</f>
        <v>#N/A</v>
      </c>
      <c r="DA673" t="e">
        <f>INDEX('Data_Price '!AJ$2:AJ$1266,MATCH(Data!$DN673,'Data_Price '!$AT$2:$AT$1266,0))</f>
        <v>#N/A</v>
      </c>
      <c r="DB673" t="e">
        <f>INDEX('Data_Price '!AK$2:AK$1266,MATCH(Data!$DN673,'Data_Price '!$AT$2:$AT$1266,0))</f>
        <v>#N/A</v>
      </c>
      <c r="DC673" t="e">
        <f>INDEX('Data_Price '!AL$2:AL$1266,MATCH(Data!$DN673,'Data_Price '!$AT$2:$AT$1266,0))</f>
        <v>#N/A</v>
      </c>
      <c r="DD673" t="e">
        <f>INDEX('Data_Price '!AM$2:AM$1266,MATCH(Data!$DN673,'Data_Price '!$AT$2:$AT$1266,0))</f>
        <v>#N/A</v>
      </c>
      <c r="DE673" t="e">
        <f>INDEX('Data_Price '!AN$2:AN$1266,MATCH(Data!$DN673,'Data_Price '!$AT$2:$AT$1266,0))</f>
        <v>#N/A</v>
      </c>
      <c r="DF673" t="e">
        <f>INDEX('Data_Price '!AO$2:AO$1266,MATCH(Data!$DN673,'Data_Price '!$AT$2:$AT$1266,0))</f>
        <v>#N/A</v>
      </c>
      <c r="DG673" t="e">
        <f>INDEX('Data_Price '!AP$2:AP$1266,MATCH(Data!$DN673,'Data_Price '!$AT$2:$AT$1266,0))</f>
        <v>#N/A</v>
      </c>
      <c r="DH673" t="e">
        <f>INDEX('Data_Price '!AQ$2:AQ$1266,MATCH(Data!$DN673,'Data_Price '!$AT$2:$AT$1266,0))</f>
        <v>#N/A</v>
      </c>
      <c r="DI673" t="e">
        <f>INDEX('Data_Price '!AR$2:AR$1266,MATCH(Data!$DN673,'Data_Price '!$AT$2:$AT$1266,0))</f>
        <v>#N/A</v>
      </c>
      <c r="DJ673" s="89" t="e">
        <f t="shared" si="402"/>
        <v>#N/A</v>
      </c>
      <c r="DK673" s="89" t="e">
        <f t="shared" si="403"/>
        <v>#N/A</v>
      </c>
      <c r="DL673" s="89" t="e">
        <f t="shared" si="404"/>
        <v>#N/A</v>
      </c>
      <c r="DM673" s="219" t="str">
        <f t="shared" si="405"/>
        <v>Rise Beyond 96</v>
      </c>
      <c r="DN673" s="89" t="str">
        <f t="shared" si="406"/>
        <v xml:space="preserve"> VölklRise Beyond 96177 Unisex</v>
      </c>
      <c r="DO673" s="221"/>
    </row>
    <row r="674" spans="2:119" ht="15.6" customHeight="1">
      <c r="B674" s="219" t="b">
        <f t="array" ref="B674">IF(OR(ISERROR(K674:P674)),FALSE,TRUE)</f>
        <v>1</v>
      </c>
      <c r="C674" s="43" t="b">
        <f>OR(BR674=Driver!$G$50,Data!BR291=Driver!$H$50)</f>
        <v>1</v>
      </c>
      <c r="D674" s="43" t="b">
        <f>OR(BV674=Driver!$G$51,BV674=Driver!$H$51)</f>
        <v>1</v>
      </c>
      <c r="E674" s="43" t="b">
        <f>AND(BX674&gt;Driver!$F$54,BX674&lt;Driver!$G$54)</f>
        <v>0</v>
      </c>
      <c r="F674" s="43" t="b">
        <f>CL674&gt;Driver!$F$56</f>
        <v>1</v>
      </c>
      <c r="G674" s="43" t="b">
        <f>AND(CB674&gt;Driver!$F$55,CB674&lt;Driver!$G$55)</f>
        <v>1</v>
      </c>
      <c r="H674" s="43" t="b">
        <f t="shared" si="370"/>
        <v>0</v>
      </c>
      <c r="I674" s="43">
        <f t="shared" si="371"/>
        <v>0</v>
      </c>
      <c r="J674" s="43" t="b">
        <f t="array" ref="J674">NOT(OR(($H$9:$H$1273=TRUE)*($I$9:$I$1273&gt;0)*($BT$9:$BT$1273=BT674)*($K$9:$K$1273&gt;K674)))</f>
        <v>1</v>
      </c>
      <c r="K674" s="72">
        <f t="shared" si="372"/>
        <v>0.74296004416861861</v>
      </c>
      <c r="L674" s="72">
        <f t="shared" si="373"/>
        <v>0.81114471747704409</v>
      </c>
      <c r="M674" s="72">
        <f t="shared" si="374"/>
        <v>0.67477537086019312</v>
      </c>
      <c r="N674" s="72">
        <f t="shared" si="375"/>
        <v>0.48238718823720594</v>
      </c>
      <c r="O674" s="72">
        <f t="shared" si="376"/>
        <v>0.66639598564890812</v>
      </c>
      <c r="P674" s="72">
        <f t="shared" si="377"/>
        <v>0.87554293869446509</v>
      </c>
      <c r="Q674" s="72"/>
      <c r="R674" s="72"/>
      <c r="S674" s="72">
        <f t="shared" si="378"/>
        <v>0.50403363973842996</v>
      </c>
      <c r="T674" s="72">
        <f t="shared" si="379"/>
        <v>0.48787087617865843</v>
      </c>
      <c r="U674" s="72">
        <f t="shared" si="380"/>
        <v>0.51443180551882017</v>
      </c>
      <c r="V674" s="72">
        <f t="shared" si="381"/>
        <v>0.60950479629235754</v>
      </c>
      <c r="W674" s="72">
        <f t="shared" si="382"/>
        <v>0.78515151515151516</v>
      </c>
      <c r="X674" s="72">
        <f t="shared" si="383"/>
        <v>0.18885528252295586</v>
      </c>
      <c r="Y674" s="72">
        <f t="shared" si="384"/>
        <v>0.32522462913980693</v>
      </c>
      <c r="Z674" s="72">
        <f t="shared" si="385"/>
        <v>0.51761281176279406</v>
      </c>
      <c r="AA674" s="72">
        <f t="shared" si="386"/>
        <v>0.33360401435109194</v>
      </c>
      <c r="AB674" s="72">
        <f t="shared" si="387"/>
        <v>0.12445706130553486</v>
      </c>
      <c r="AC674" s="72"/>
      <c r="AD674" s="72"/>
      <c r="AE674" s="72">
        <f t="shared" si="388"/>
        <v>0.49596636026157009</v>
      </c>
      <c r="AF674" s="72">
        <f t="shared" si="389"/>
        <v>0.51212912382134157</v>
      </c>
      <c r="AG674" s="72">
        <f t="shared" si="390"/>
        <v>0.48556819448117977</v>
      </c>
      <c r="AH674" s="72">
        <f t="shared" si="391"/>
        <v>0.39049520370764246</v>
      </c>
      <c r="AI674" s="72">
        <f t="shared" si="392"/>
        <v>0.21484848484848484</v>
      </c>
      <c r="AJ674" s="72">
        <f>(AV674-Driver!$K$179)/(Driver!$L$179-Driver!$K$179)</f>
        <v>0.44307469180565628</v>
      </c>
      <c r="AK674" s="72">
        <f>(AW674-Driver!$K$180)/(Driver!$L$180-Driver!$K$180)</f>
        <v>0.40379499639236049</v>
      </c>
      <c r="AL674" s="72">
        <f>(AX674-Driver!$K$181)/(Driver!$L$181-Driver!$K$181)</f>
        <v>0.61930057547587425</v>
      </c>
      <c r="AM674" s="72">
        <f>(AY674-Driver!$K$182)/(Driver!$L$182-Driver!$K$182)</f>
        <v>0.11378100674595443</v>
      </c>
      <c r="AN674" s="72">
        <f>(AZ674-Driver!$K$183)/(Driver!$L$183-Driver!$K$183)</f>
        <v>0.37867647058823528</v>
      </c>
      <c r="AO674" s="72"/>
      <c r="AP674" s="72"/>
      <c r="AQ674" s="72">
        <f>(BC674-Driver!$K$188)/(Driver!$L$188-Driver!$K$188)</f>
        <v>0.1240336397384299</v>
      </c>
      <c r="AR674" s="72">
        <f>MIN((BD674-Driver!$K$189)/(Driver!$L$189-Driver!$K$189),100%)</f>
        <v>3.7870876178658482E-2</v>
      </c>
      <c r="AS674" s="72">
        <f>(BE674-Driver!$K$190)/(Driver!$L$190-Driver!$K$190)</f>
        <v>2.443180551882022E-2</v>
      </c>
      <c r="AT674" s="72">
        <f>(BF674-Driver!$K$191)/(Driver!$L$191-Driver!$K$191)</f>
        <v>0.11950479629235757</v>
      </c>
      <c r="AU674" s="72">
        <f>(BG674-Driver!$K$192)/(Driver!$L$192-Driver!$K$192)</f>
        <v>3.5151515151515149E-2</v>
      </c>
      <c r="AV674" s="70">
        <f t="shared" si="393"/>
        <v>9.325396825396826</v>
      </c>
      <c r="AW674" s="70">
        <f t="shared" si="394"/>
        <v>41.225293007544749</v>
      </c>
      <c r="AX674" s="70">
        <f t="shared" si="395"/>
        <v>6.573705179282868</v>
      </c>
      <c r="AY674" s="70">
        <f>IFERROR(Driver!$K$19/Data!BH674/Data!BI674*Data!BK674*Data!BL674,"")</f>
        <v>0.13930190123283748</v>
      </c>
      <c r="AZ674" s="70">
        <f t="shared" si="396"/>
        <v>34.512285927029041</v>
      </c>
      <c r="BA674" s="70"/>
      <c r="BB674" s="70"/>
      <c r="BC674" s="70">
        <f t="shared" si="397"/>
        <v>64.337111200197981</v>
      </c>
      <c r="BD674" s="70">
        <f t="shared" si="398"/>
        <v>5.0723283226871203</v>
      </c>
      <c r="BE674" s="70">
        <f t="shared" si="399"/>
        <v>2.4605835904227911E-2</v>
      </c>
      <c r="BF674" s="70">
        <f t="shared" si="400"/>
        <v>13.497227172511556</v>
      </c>
      <c r="BG674" s="70">
        <f t="shared" si="401"/>
        <v>0.13310606060606062</v>
      </c>
      <c r="BH674" s="67">
        <f>MAX((CE674-Driver!$F$200)/(Driver!$G$200-Driver!$F$200)*$BI$1,1)</f>
        <v>6.573705179282868</v>
      </c>
      <c r="BI674" s="67">
        <f>MAX($BI$1*(BY674-Driver!$F$201)/(Driver!$G$201-Driver!$F$201),1)</f>
        <v>6.518987341772152</v>
      </c>
      <c r="BJ674" s="67">
        <f>(CB674-Driver!$F$206)/(Driver!$G$206-Driver!$F$206)*$BI$1</f>
        <v>7.4603174603174605</v>
      </c>
      <c r="BK674" s="67">
        <f>(CD674-Driver!$F$203)/(Driver!$G$203-Driver!$F$203)*$BI$1</f>
        <v>5.0917431192660558</v>
      </c>
      <c r="BL674" s="67">
        <f>MAX((CR674-Driver!$F$202)/(Driver!$G$202-Driver!$F$202)*$BI$1,1)</f>
        <v>5.8620689655172411</v>
      </c>
      <c r="BM674" s="67">
        <f>MAX((CH674-Driver!$F$204)/(Driver!$G$204-Driver!$F$204)*$BI$1,1)</f>
        <v>5</v>
      </c>
      <c r="BN674" s="67">
        <f>(CI674-Driver!$F$205)/(Driver!$G$205-Driver!$F$205)*$BI$1</f>
        <v>5.2941176470588234</v>
      </c>
      <c r="BO674" s="67">
        <f>(CK674-Driver!$F$207)/(Driver!$G$207-Driver!$F$207)*$BI$1</f>
        <v>2.7094105480868662</v>
      </c>
      <c r="BP674" s="67">
        <f>(CM674-Driver!$F$208)/(Driver!$G$208-Driver!$F$208)*$BI$1</f>
        <v>3.4000000000000004</v>
      </c>
      <c r="BQ674" s="67">
        <f>(CL674-Driver!$F$209)/(Driver!$G$209-Driver!$F$209)*$BI$1</f>
        <v>4.375</v>
      </c>
      <c r="BR674" s="28" t="s">
        <v>155</v>
      </c>
      <c r="BS674" s="8" t="s">
        <v>317</v>
      </c>
      <c r="BT674" s="9" t="s">
        <v>559</v>
      </c>
      <c r="BU674" s="10">
        <v>180</v>
      </c>
      <c r="BV674" s="9" t="s">
        <v>158</v>
      </c>
      <c r="BW674" s="10">
        <v>180</v>
      </c>
      <c r="BX674" s="10">
        <v>178.8</v>
      </c>
      <c r="BY674" s="10">
        <v>111</v>
      </c>
      <c r="BZ674" s="10">
        <v>147</v>
      </c>
      <c r="CA674" s="10">
        <v>139</v>
      </c>
      <c r="CB674" s="10">
        <v>111</v>
      </c>
      <c r="CC674" s="10">
        <v>129</v>
      </c>
      <c r="CD674" s="10">
        <v>20.5</v>
      </c>
      <c r="CE674" s="10">
        <v>2055</v>
      </c>
      <c r="CF674" s="10">
        <v>1.05</v>
      </c>
      <c r="CG674" s="10">
        <v>2150</v>
      </c>
      <c r="CH674" s="10">
        <v>218</v>
      </c>
      <c r="CI674" s="10">
        <v>123</v>
      </c>
      <c r="CJ674" s="10">
        <v>57</v>
      </c>
      <c r="CK674" s="10">
        <v>372</v>
      </c>
      <c r="CL674" s="10">
        <v>28</v>
      </c>
      <c r="CM674" s="10">
        <v>306</v>
      </c>
      <c r="CN674" s="10">
        <v>0.49299999999999999</v>
      </c>
      <c r="CO674" s="10">
        <v>168</v>
      </c>
      <c r="CP674" s="10">
        <v>150</v>
      </c>
      <c r="CQ674" s="10">
        <v>204</v>
      </c>
      <c r="CR674" s="10">
        <v>6</v>
      </c>
      <c r="CS674" s="10">
        <v>9.4</v>
      </c>
      <c r="CT674" s="9" t="s">
        <v>169</v>
      </c>
      <c r="CU674" s="10"/>
      <c r="CV674" s="10"/>
      <c r="CW674" s="10"/>
      <c r="CX674" t="str">
        <f>INDEX('Data_Price '!AG$2:AG$1266,MATCH(Data!$DN674,'Data_Price '!$AT$2:$AT$1266,0))</f>
        <v>Blizzard Rustler 11 180</v>
      </c>
      <c r="CY674" t="str">
        <f>INDEX('Data_Price '!AH$2:AH$1266,MATCH(Data!$DN674,'Data_Price '!$AT$2:$AT$1266,0))</f>
        <v>Telemark Pyrenees</v>
      </c>
      <c r="CZ674">
        <f>INDEX('Data_Price '!AI$2:AI$1266,MATCH(Data!$DN674,'Data_Price '!$AT$2:$AT$1266,0))</f>
        <v>412.48</v>
      </c>
      <c r="DA674" t="str">
        <f>INDEX('Data_Price '!AJ$2:AJ$1266,MATCH(Data!$DN674,'Data_Price '!$AT$2:$AT$1266,0))</f>
        <v>https://tinyurl.com/yar9eya7</v>
      </c>
      <c r="DB674" t="str">
        <f>INDEX('Data_Price '!AK$2:AK$1266,MATCH(Data!$DN674,'Data_Price '!$AT$2:$AT$1266,0))</f>
        <v>Blizzard Rustler 11 Skis - 2022 180cm</v>
      </c>
      <c r="DC674" t="str">
        <f>INDEX('Data_Price '!AL$2:AL$1266,MATCH(Data!$DN674,'Data_Price '!$AT$2:$AT$1266,0))</f>
        <v>Glacier Ski Shop</v>
      </c>
      <c r="DD674">
        <f>INDEX('Data_Price '!AM$2:AM$1266,MATCH(Data!$DN674,'Data_Price '!$AT$2:$AT$1266,0))</f>
        <v>674</v>
      </c>
      <c r="DE674" t="str">
        <f>INDEX('Data_Price '!AN$2:AN$1266,MATCH(Data!$DN674,'Data_Price '!$AT$2:$AT$1266,0))</f>
        <v>https://tinyurl.com/ycqb7l7q</v>
      </c>
      <c r="DF674" t="str">
        <f>INDEX('Data_Price '!AO$2:AO$1266,MATCH(Data!$DN674,'Data_Price '!$AT$2:$AT$1266,0))</f>
        <v>'23 Blizzard Rustler 11 Skis 180cm</v>
      </c>
      <c r="DG674" t="str">
        <f>INDEX('Data_Price '!AP$2:AP$1266,MATCH(Data!$DN674,'Data_Price '!$AT$2:$AT$1266,0))</f>
        <v>Al's Ski Equipment Barn</v>
      </c>
      <c r="DH674">
        <f>INDEX('Data_Price '!AQ$2:AQ$1266,MATCH(Data!$DN674,'Data_Price '!$AT$2:$AT$1266,0))</f>
        <v>799.95</v>
      </c>
      <c r="DI674" t="str">
        <f>INDEX('Data_Price '!AR$2:AR$1266,MATCH(Data!$DN674,'Data_Price '!$AT$2:$AT$1266,0))</f>
        <v>https://tinyurl.com/yd36k6vv</v>
      </c>
      <c r="DJ674" s="89" t="str">
        <f t="shared" si="402"/>
        <v>https://tinyurl.com/yar9eya7</v>
      </c>
      <c r="DK674" s="89" t="str">
        <f t="shared" si="403"/>
        <v>https://tinyurl.com/ycqb7l7q</v>
      </c>
      <c r="DL674" s="89" t="str">
        <f t="shared" si="404"/>
        <v>https://tinyurl.com/yd36k6vv</v>
      </c>
      <c r="DM674" s="219" t="str">
        <f t="shared" si="405"/>
        <v>Rustler 11</v>
      </c>
      <c r="DN674" s="89" t="str">
        <f t="shared" si="406"/>
        <v xml:space="preserve"> BlizzardRustler 11180 Unisex</v>
      </c>
      <c r="DO674" s="221" t="s">
        <v>560</v>
      </c>
    </row>
    <row r="675" spans="2:119" ht="15.6" customHeight="1">
      <c r="B675" s="219" t="b">
        <f t="array" ref="B675">IF(OR(ISERROR(K675:P675)),FALSE,TRUE)</f>
        <v>1</v>
      </c>
      <c r="C675" s="43" t="b">
        <f>OR(BR675=Driver!$G$50,Data!BR993=Driver!$H$50)</f>
        <v>1</v>
      </c>
      <c r="D675" s="43" t="b">
        <f>OR(BV675=Driver!$G$51,BV675=Driver!$H$51)</f>
        <v>1</v>
      </c>
      <c r="E675" s="43" t="b">
        <f>AND(BX675&gt;Driver!$F$54,BX675&lt;Driver!$G$54)</f>
        <v>1</v>
      </c>
      <c r="F675" s="43" t="b">
        <f>CL675&gt;Driver!$F$56</f>
        <v>1</v>
      </c>
      <c r="G675" s="43" t="b">
        <f>AND(CB675&gt;Driver!$F$55,CB675&lt;Driver!$G$55)</f>
        <v>0</v>
      </c>
      <c r="H675" s="43" t="b">
        <f t="shared" si="370"/>
        <v>0</v>
      </c>
      <c r="I675" s="43">
        <f t="shared" si="371"/>
        <v>0</v>
      </c>
      <c r="J675" s="43" t="b">
        <f t="array" ref="J675">NOT(OR(($H$9:$H$1273=TRUE)*($I$9:$I$1273&gt;0)*($BT$9:$BT$1273=BT675)*($K$9:$K$1273&gt;K675)))</f>
        <v>1</v>
      </c>
      <c r="K675" s="72">
        <f t="shared" si="372"/>
        <v>0.83384305781689039</v>
      </c>
      <c r="L675" s="72">
        <f t="shared" si="373"/>
        <v>0.85455506497400735</v>
      </c>
      <c r="M675" s="72">
        <f t="shared" si="374"/>
        <v>0.81313105065977342</v>
      </c>
      <c r="N675" s="72">
        <f t="shared" si="375"/>
        <v>0.78783207535539979</v>
      </c>
      <c r="O675" s="72">
        <f t="shared" si="376"/>
        <v>0.77281479963211108</v>
      </c>
      <c r="P675" s="72">
        <f t="shared" si="377"/>
        <v>0.87874627699180941</v>
      </c>
      <c r="Q675" s="72"/>
      <c r="R675" s="72"/>
      <c r="S675" s="72">
        <f t="shared" si="378"/>
        <v>0.44132979938831296</v>
      </c>
      <c r="T675" s="72">
        <f t="shared" si="379"/>
        <v>0.46204354155277505</v>
      </c>
      <c r="U675" s="72">
        <f t="shared" si="380"/>
        <v>0.60686619176021117</v>
      </c>
      <c r="V675" s="72">
        <f t="shared" si="381"/>
        <v>0.5128020858076765</v>
      </c>
      <c r="W675" s="72">
        <f t="shared" si="382"/>
        <v>0.88090277777777781</v>
      </c>
      <c r="X675" s="72">
        <f t="shared" si="383"/>
        <v>0.14544493502599268</v>
      </c>
      <c r="Y675" s="72">
        <f t="shared" si="384"/>
        <v>0.18686894934022658</v>
      </c>
      <c r="Z675" s="72">
        <f t="shared" si="385"/>
        <v>0.21216792464460021</v>
      </c>
      <c r="AA675" s="72">
        <f t="shared" si="386"/>
        <v>0.22718520036788895</v>
      </c>
      <c r="AB675" s="72">
        <f t="shared" si="387"/>
        <v>0.12125372300819062</v>
      </c>
      <c r="AC675" s="72"/>
      <c r="AD675" s="72"/>
      <c r="AE675" s="72">
        <f t="shared" si="388"/>
        <v>0.55867020061168704</v>
      </c>
      <c r="AF675" s="72">
        <f t="shared" si="389"/>
        <v>0.53795645844722495</v>
      </c>
      <c r="AG675" s="72">
        <f t="shared" si="390"/>
        <v>0.39313380823978883</v>
      </c>
      <c r="AH675" s="72">
        <f t="shared" si="391"/>
        <v>0.48719791419232356</v>
      </c>
      <c r="AI675" s="72">
        <f t="shared" si="392"/>
        <v>0.11909722222222224</v>
      </c>
      <c r="AJ675" s="72">
        <f>(AV675-Driver!$K$179)/(Driver!$L$179-Driver!$K$179)</f>
        <v>0.10877447425670775</v>
      </c>
      <c r="AK675" s="72">
        <f>(AW675-Driver!$K$180)/(Driver!$L$180-Driver!$K$180)</f>
        <v>0.14714711811159231</v>
      </c>
      <c r="AL675" s="72">
        <f>(AX675-Driver!$K$181)/(Driver!$L$181-Driver!$K$181)</f>
        <v>0.31385568835768041</v>
      </c>
      <c r="AM675" s="72">
        <f>(AY675-Driver!$K$182)/(Driver!$L$182-Driver!$K$182)</f>
        <v>0.22019982072915742</v>
      </c>
      <c r="AN675" s="72">
        <f>(AZ675-Driver!$K$183)/(Driver!$L$183-Driver!$K$183)</f>
        <v>0.1329656862745098</v>
      </c>
      <c r="AO675" s="72"/>
      <c r="AP675" s="72"/>
      <c r="AQ675" s="72">
        <f>(BC675-Driver!$K$188)/(Driver!$L$188-Driver!$K$188)</f>
        <v>6.1329799388313004E-2</v>
      </c>
      <c r="AR675" s="72">
        <f>MIN((BD675-Driver!$K$189)/(Driver!$L$189-Driver!$K$189),100%)</f>
        <v>1.2043541552775041E-2</v>
      </c>
      <c r="AS675" s="72">
        <f>(BE675-Driver!$K$190)/(Driver!$L$190-Driver!$K$190)</f>
        <v>0.11686619176021121</v>
      </c>
      <c r="AT675" s="72">
        <f>(BF675-Driver!$K$191)/(Driver!$L$191-Driver!$K$191)</f>
        <v>2.2802085807676439E-2</v>
      </c>
      <c r="AU675" s="72">
        <f>(BG675-Driver!$K$192)/(Driver!$L$192-Driver!$K$192)</f>
        <v>0.13090277777777776</v>
      </c>
      <c r="AV675" s="70">
        <f t="shared" si="393"/>
        <v>2.2893772893772892</v>
      </c>
      <c r="AW675" s="70">
        <f t="shared" si="394"/>
        <v>16.212683137538537</v>
      </c>
      <c r="AX675" s="70">
        <f t="shared" si="395"/>
        <v>3.8247011952191237</v>
      </c>
      <c r="AY675" s="70">
        <f>IFERROR(Driver!$K$19/Data!BH675/Data!BI675*Data!BK675*Data!BL675,"")</f>
        <v>0.26959028185776052</v>
      </c>
      <c r="AZ675" s="70">
        <f t="shared" si="396"/>
        <v>12.118391660461652</v>
      </c>
      <c r="BA675" s="70"/>
      <c r="BB675" s="70"/>
      <c r="BC675" s="70">
        <f t="shared" si="397"/>
        <v>31.812193300566253</v>
      </c>
      <c r="BD675" s="70">
        <f t="shared" si="398"/>
        <v>2.7866549716254343</v>
      </c>
      <c r="BE675" s="70">
        <f t="shared" si="399"/>
        <v>0.11702373289150678</v>
      </c>
      <c r="BF675" s="70">
        <f t="shared" si="400"/>
        <v>2.5753353982579221</v>
      </c>
      <c r="BG675" s="70">
        <f t="shared" si="401"/>
        <v>0.49568142361111106</v>
      </c>
      <c r="BH675" s="67">
        <f>MAX((CE675-Driver!$F$200)/(Driver!$G$200-Driver!$F$200)*$BI$1,1)</f>
        <v>3.8247011952191237</v>
      </c>
      <c r="BI675" s="67">
        <f>MAX($BI$1*(BY675-Driver!$F$201)/(Driver!$G$201-Driver!$F$201),1)</f>
        <v>6.6455696202531644</v>
      </c>
      <c r="BJ675" s="67">
        <f>(CB675-Driver!$F$206)/(Driver!$G$206-Driver!$F$206)*$BI$1</f>
        <v>3.9682539682539679</v>
      </c>
      <c r="BK675" s="67">
        <f>(CD675-Driver!$F$203)/(Driver!$G$203-Driver!$F$203)*$BI$1</f>
        <v>5.2293577981651387</v>
      </c>
      <c r="BL675" s="67">
        <f>MAX((CR675-Driver!$F$202)/(Driver!$G$202-Driver!$F$202)*$BI$1,1)</f>
        <v>6.5517241379310338</v>
      </c>
      <c r="BM675" s="67">
        <f>MAX((CH675-Driver!$F$204)/(Driver!$G$204-Driver!$F$204)*$BI$1,1)</f>
        <v>2.3076923076923079</v>
      </c>
      <c r="BN675" s="67">
        <f>(CI675-Driver!$F$205)/(Driver!$G$205-Driver!$F$205)*$BI$1</f>
        <v>1.8235294117647058</v>
      </c>
      <c r="BO675" s="67">
        <f>(CK675-Driver!$F$207)/(Driver!$G$207-Driver!$F$207)*$BI$1</f>
        <v>1.468459152016546</v>
      </c>
      <c r="BP675" s="67">
        <f>(CM675-Driver!$F$208)/(Driver!$G$208-Driver!$F$208)*$BI$1</f>
        <v>2.3111111111111109</v>
      </c>
      <c r="BQ675" s="67">
        <f>(CL675-Driver!$F$209)/(Driver!$G$209-Driver!$F$209)*$BI$1</f>
        <v>4.375</v>
      </c>
      <c r="BR675" s="28" t="s">
        <v>155</v>
      </c>
      <c r="BS675" s="8" t="s">
        <v>172</v>
      </c>
      <c r="BT675" s="9" t="s">
        <v>720</v>
      </c>
      <c r="BU675" s="10">
        <v>160</v>
      </c>
      <c r="BV675" s="9" t="s">
        <v>158</v>
      </c>
      <c r="BW675" s="10">
        <v>160</v>
      </c>
      <c r="BX675" s="10">
        <v>158.69999999999999</v>
      </c>
      <c r="BY675" s="10">
        <v>113</v>
      </c>
      <c r="BZ675" s="10">
        <v>133</v>
      </c>
      <c r="CA675" s="10">
        <v>117</v>
      </c>
      <c r="CB675" s="10">
        <v>89</v>
      </c>
      <c r="CC675" s="10">
        <v>107</v>
      </c>
      <c r="CD675" s="10">
        <v>20.8</v>
      </c>
      <c r="CE675" s="10">
        <v>1572</v>
      </c>
      <c r="CF675" s="10">
        <v>0.98</v>
      </c>
      <c r="CG675" s="10">
        <v>1540</v>
      </c>
      <c r="CH675" s="10">
        <v>155</v>
      </c>
      <c r="CI675" s="10">
        <v>64</v>
      </c>
      <c r="CJ675" s="10">
        <v>46</v>
      </c>
      <c r="CK675" s="10">
        <v>252</v>
      </c>
      <c r="CL675" s="10">
        <v>28</v>
      </c>
      <c r="CM675" s="10">
        <v>208</v>
      </c>
      <c r="CN675" s="10">
        <v>0.61099999999999999</v>
      </c>
      <c r="CO675" s="10">
        <v>131</v>
      </c>
      <c r="CP675" s="10">
        <v>127</v>
      </c>
      <c r="CQ675" s="10">
        <v>121</v>
      </c>
      <c r="CR675" s="10">
        <v>8</v>
      </c>
      <c r="CS675" s="10">
        <v>5</v>
      </c>
      <c r="CT675" s="9" t="s">
        <v>188</v>
      </c>
      <c r="CU675" s="10"/>
      <c r="CV675" s="10"/>
      <c r="CW675" s="10"/>
      <c r="CX675" t="str">
        <f>INDEX('Data_Price '!AG$2:AG$1266,MATCH(Data!$DN675,'Data_Price '!$AT$2:$AT$1266,0))</f>
        <v>Rossignol Blackops Smasher Skis w/ Xpress 10 GW Bindings 2021 - 160cm</v>
      </c>
      <c r="CY675" t="str">
        <f>INDEX('Data_Price '!AH$2:AH$1266,MATCH(Data!$DN675,'Data_Price '!$AT$2:$AT$1266,0))</f>
        <v>! OutdoorXL.com</v>
      </c>
      <c r="CZ675">
        <f>INDEX('Data_Price '!AI$2:AI$1266,MATCH(Data!$DN675,'Data_Price '!$AT$2:$AT$1266,0))</f>
        <v>359.95</v>
      </c>
      <c r="DA675" t="str">
        <f>INDEX('Data_Price '!AJ$2:AJ$1266,MATCH(Data!$DN675,'Data_Price '!$AT$2:$AT$1266,0))</f>
        <v>https://tinyurl.com/y79skswz</v>
      </c>
      <c r="DB675" t="str">
        <f>INDEX('Data_Price '!AK$2:AK$1266,MATCH(Data!$DN675,'Data_Price '!$AT$2:$AT$1266,0))</f>
        <v>Rossignol Blackops Smasher Skis w/ Xpress 10 GW Bindings 2021 - 160cm</v>
      </c>
      <c r="DC675" t="str">
        <f>INDEX('Data_Price '!AL$2:AL$1266,MATCH(Data!$DN675,'Data_Price '!$AT$2:$AT$1266,0))</f>
        <v>ColoradoSkiShop.com</v>
      </c>
      <c r="DD675">
        <f>INDEX('Data_Price '!AM$2:AM$1266,MATCH(Data!$DN675,'Data_Price '!$AT$2:$AT$1266,0))</f>
        <v>359.95</v>
      </c>
      <c r="DE675" t="str">
        <f>INDEX('Data_Price '!AN$2:AN$1266,MATCH(Data!$DN675,'Data_Price '!$AT$2:$AT$1266,0))</f>
        <v>https://tinyurl.com/yayoq7vb</v>
      </c>
      <c r="DF675" t="str">
        <f>INDEX('Data_Price '!AO$2:AO$1266,MATCH(Data!$DN675,'Data_Price '!$AT$2:$AT$1266,0))</f>
        <v>BLACKOPS SMASHER '22</v>
      </c>
      <c r="DG675" t="str">
        <f>INDEX('Data_Price '!AP$2:AP$1266,MATCH(Data!$DN675,'Data_Price '!$AT$2:$AT$1266,0))</f>
        <v>Vertical Drop</v>
      </c>
      <c r="DH675">
        <f>INDEX('Data_Price '!AQ$2:AQ$1266,MATCH(Data!$DN675,'Data_Price '!$AT$2:$AT$1266,0))</f>
        <v>244.97</v>
      </c>
      <c r="DI675" t="str">
        <f>INDEX('Data_Price '!AR$2:AR$1266,MATCH(Data!$DN675,'Data_Price '!$AT$2:$AT$1266,0))</f>
        <v>https://tinyurl.com/y7usrzma</v>
      </c>
      <c r="DJ675" s="89" t="str">
        <f t="shared" si="402"/>
        <v>https://tinyurl.com/y79skswz</v>
      </c>
      <c r="DK675" s="89" t="str">
        <f t="shared" si="403"/>
        <v>https://tinyurl.com/yayoq7vb</v>
      </c>
      <c r="DL675" s="89" t="str">
        <f t="shared" si="404"/>
        <v>https://tinyurl.com/y7usrzma</v>
      </c>
      <c r="DM675" s="219" t="str">
        <f t="shared" si="405"/>
        <v>Blackops Smasher</v>
      </c>
      <c r="DN675" s="89" t="str">
        <f t="shared" si="406"/>
        <v xml:space="preserve"> RossignolBlackops Smasher160 Unisex</v>
      </c>
      <c r="DO675" s="221"/>
    </row>
    <row r="676" spans="2:119" ht="15.6" customHeight="1">
      <c r="B676" s="219" t="b">
        <f t="array" ref="B676">IF(OR(ISERROR(K676:P676)),FALSE,TRUE)</f>
        <v>1</v>
      </c>
      <c r="C676" s="43" t="b">
        <f>OR(BR676=Driver!$G$50,Data!BR478=Driver!$H$50)</f>
        <v>1</v>
      </c>
      <c r="D676" s="43" t="b">
        <f>OR(BV676=Driver!$G$51,BV676=Driver!$H$51)</f>
        <v>1</v>
      </c>
      <c r="E676" s="43" t="b">
        <f>AND(BX676&gt;Driver!$F$54,BX676&lt;Driver!$G$54)</f>
        <v>0</v>
      </c>
      <c r="F676" s="43" t="b">
        <f>CL676&gt;Driver!$F$56</f>
        <v>1</v>
      </c>
      <c r="G676" s="43" t="b">
        <f>AND(CB676&gt;Driver!$F$55,CB676&lt;Driver!$G$55)</f>
        <v>0</v>
      </c>
      <c r="H676" s="43" t="b">
        <f t="shared" si="370"/>
        <v>0</v>
      </c>
      <c r="I676" s="43">
        <f t="shared" si="371"/>
        <v>0</v>
      </c>
      <c r="J676" s="43" t="b">
        <f t="array" ref="J676">NOT(OR(($H$9:$H$1273=TRUE)*($I$9:$I$1273&gt;0)*($BT$9:$BT$1273=BT676)*($K$9:$K$1273&gt;K676)))</f>
        <v>1</v>
      </c>
      <c r="K676" s="72">
        <f t="shared" si="372"/>
        <v>0.76036104403477556</v>
      </c>
      <c r="L676" s="72">
        <f t="shared" si="373"/>
        <v>0.86857488610042743</v>
      </c>
      <c r="M676" s="72">
        <f t="shared" si="374"/>
        <v>0.65214720196912368</v>
      </c>
      <c r="N676" s="72">
        <f t="shared" si="375"/>
        <v>0.49124066322613913</v>
      </c>
      <c r="O676" s="72">
        <f t="shared" si="376"/>
        <v>0.62531976869264927</v>
      </c>
      <c r="P676" s="72">
        <f t="shared" si="377"/>
        <v>0.83988117398858275</v>
      </c>
      <c r="Q676" s="72"/>
      <c r="R676" s="72"/>
      <c r="S676" s="72">
        <f t="shared" si="378"/>
        <v>0.54453959324549617</v>
      </c>
      <c r="T676" s="72">
        <f t="shared" si="379"/>
        <v>0.99159345364184925</v>
      </c>
      <c r="U676" s="72">
        <f t="shared" si="380"/>
        <v>0.51</v>
      </c>
      <c r="V676" s="72">
        <f t="shared" si="381"/>
        <v>0.49070759343742831</v>
      </c>
      <c r="W676" s="72">
        <f t="shared" si="382"/>
        <v>0.76053675805861687</v>
      </c>
      <c r="X676" s="72">
        <f t="shared" si="383"/>
        <v>0.13142511389957259</v>
      </c>
      <c r="Y676" s="72">
        <f t="shared" si="384"/>
        <v>0.34785279803087632</v>
      </c>
      <c r="Z676" s="72">
        <f t="shared" si="385"/>
        <v>0.50875933677386087</v>
      </c>
      <c r="AA676" s="72">
        <f t="shared" si="386"/>
        <v>0.37468023130735079</v>
      </c>
      <c r="AB676" s="72">
        <f t="shared" si="387"/>
        <v>0.16011882601141719</v>
      </c>
      <c r="AC676" s="72"/>
      <c r="AD676" s="72"/>
      <c r="AE676" s="72">
        <f t="shared" si="388"/>
        <v>0.45546040675450383</v>
      </c>
      <c r="AF676" s="72">
        <f t="shared" si="389"/>
        <v>8.406546358150746E-3</v>
      </c>
      <c r="AG676" s="72">
        <f t="shared" si="390"/>
        <v>0.49</v>
      </c>
      <c r="AH676" s="72">
        <f t="shared" si="391"/>
        <v>0.50929240656257169</v>
      </c>
      <c r="AI676" s="72">
        <f t="shared" si="392"/>
        <v>0.2394632419413831</v>
      </c>
      <c r="AJ676" s="72">
        <f>(AV676-Driver!$K$179)/(Driver!$L$179-Driver!$K$179)</f>
        <v>0.12279429538312783</v>
      </c>
      <c r="AK676" s="72">
        <f>(AW676-Driver!$K$180)/(Driver!$L$180-Driver!$K$180)</f>
        <v>0.43581071359996254</v>
      </c>
      <c r="AL676" s="72">
        <f>(AX676-Driver!$K$181)/(Driver!$L$181-Driver!$K$181)</f>
        <v>0.61044710048694106</v>
      </c>
      <c r="AM676" s="72">
        <f>(AY676-Driver!$K$182)/(Driver!$L$182-Driver!$K$182)</f>
        <v>7.2704789789695592E-2</v>
      </c>
      <c r="AN676" s="72">
        <f>(AZ676-Driver!$K$183)/(Driver!$L$183-Driver!$K$183)</f>
        <v>0.41433823529411762</v>
      </c>
      <c r="AO676" s="72"/>
      <c r="AP676" s="72"/>
      <c r="AQ676" s="72">
        <f>(BC676-Driver!$K$188)/(Driver!$L$188-Driver!$K$188)</f>
        <v>0.16453959324549614</v>
      </c>
      <c r="AR676" s="72">
        <f>MIN((BD676-Driver!$K$189)/(Driver!$L$189-Driver!$K$189),100%)</f>
        <v>0.55840654635815079</v>
      </c>
      <c r="AS676" s="72">
        <f>(BE676-Driver!$K$190)/(Driver!$L$190-Driver!$K$190)</f>
        <v>1</v>
      </c>
      <c r="AT676" s="72">
        <f>(BF676-Driver!$K$191)/(Driver!$L$191-Driver!$K$191)</f>
        <v>7.0759343742835587E-4</v>
      </c>
      <c r="AU676" s="72">
        <f>(BG676-Driver!$K$192)/(Driver!$L$192-Driver!$K$192)</f>
        <v>1.0536758058616905E-2</v>
      </c>
      <c r="AV676" s="70">
        <f t="shared" si="393"/>
        <v>2.5844525844525839</v>
      </c>
      <c r="AW676" s="70">
        <f t="shared" si="394"/>
        <v>44.345508337539172</v>
      </c>
      <c r="AX676" s="70">
        <f t="shared" si="395"/>
        <v>6.4940239043824697</v>
      </c>
      <c r="AY676" s="70">
        <f>IFERROR(Driver!$K$19/Data!BH676/Data!BI676*Data!BK676*Data!BL676,"")</f>
        <v>8.9012355718134761E-2</v>
      </c>
      <c r="AZ676" s="70">
        <f t="shared" si="396"/>
        <v>37.762472077438566</v>
      </c>
      <c r="BA676" s="70"/>
      <c r="BB676" s="70"/>
      <c r="BC676" s="70">
        <f t="shared" si="397"/>
        <v>85.347830877133575</v>
      </c>
      <c r="BD676" s="70">
        <f t="shared" si="398"/>
        <v>51.138812798942041</v>
      </c>
      <c r="BE676" s="70">
        <f t="shared" si="399"/>
        <v>1</v>
      </c>
      <c r="BF676" s="70">
        <f t="shared" si="400"/>
        <v>7.9917707632288781E-2</v>
      </c>
      <c r="BG676" s="70">
        <f t="shared" si="401"/>
        <v>3.9898887734892037E-2</v>
      </c>
      <c r="BH676" s="67">
        <f>MAX((CE676-Driver!$F$200)/(Driver!$G$200-Driver!$F$200)*$BI$1,1)</f>
        <v>6.4940239043824697</v>
      </c>
      <c r="BI676" s="67">
        <f>MAX($BI$1*(BY676-Driver!$F$201)/(Driver!$G$201-Driver!$F$201),1)</f>
        <v>9.3037974683544302</v>
      </c>
      <c r="BJ676" s="67">
        <f>(CB676-Driver!$F$206)/(Driver!$G$206-Driver!$F$206)*$BI$1</f>
        <v>1.9047619047619047</v>
      </c>
      <c r="BK676" s="67">
        <f>(CD676-Driver!$F$203)/(Driver!$G$203-Driver!$F$203)*$BI$1</f>
        <v>3.1192660550458715</v>
      </c>
      <c r="BL676" s="67">
        <f>MAX((CR676-Driver!$F$202)/(Driver!$G$202-Driver!$F$202)*$BI$1,1)</f>
        <v>8.6206896551724128</v>
      </c>
      <c r="BM676" s="67">
        <f>MAX((CH676-Driver!$F$204)/(Driver!$G$204-Driver!$F$204)*$BI$1,1)</f>
        <v>5.4273504273504267</v>
      </c>
      <c r="BN676" s="67">
        <f>(CI676-Driver!$F$205)/(Driver!$G$205-Driver!$F$205)*$BI$1</f>
        <v>4.0588235294117645</v>
      </c>
      <c r="BO676" s="67">
        <f>(CK676-Driver!$F$207)/(Driver!$G$207-Driver!$F$207)*$BI$1</f>
        <v>0.17580144777662873</v>
      </c>
      <c r="BP676" s="67">
        <f>(CM676-Driver!$F$208)/(Driver!$G$208-Driver!$F$208)*$BI$1</f>
        <v>0.74444444444444435</v>
      </c>
      <c r="BQ676" s="67">
        <f>(CL676-Driver!$F$209)/(Driver!$G$209-Driver!$F$209)*$BI$1</f>
        <v>1.40625</v>
      </c>
      <c r="BR676" s="28" t="s">
        <v>155</v>
      </c>
      <c r="BS676" s="8" t="s">
        <v>164</v>
      </c>
      <c r="BT676" s="9" t="s">
        <v>693</v>
      </c>
      <c r="BU676" s="10">
        <v>176</v>
      </c>
      <c r="BV676" s="9" t="s">
        <v>158</v>
      </c>
      <c r="BW676" s="10">
        <v>176</v>
      </c>
      <c r="BX676" s="10">
        <v>174</v>
      </c>
      <c r="BY676" s="10">
        <v>155</v>
      </c>
      <c r="BZ676" s="10">
        <v>160</v>
      </c>
      <c r="CA676" s="10">
        <v>125</v>
      </c>
      <c r="CB676" s="10">
        <v>76</v>
      </c>
      <c r="CC676" s="10">
        <v>105</v>
      </c>
      <c r="CD676" s="10">
        <v>16.2</v>
      </c>
      <c r="CE676" s="10">
        <v>2041</v>
      </c>
      <c r="CF676" s="10">
        <v>0.77</v>
      </c>
      <c r="CG676" s="10">
        <v>1576</v>
      </c>
      <c r="CH676" s="10">
        <v>228</v>
      </c>
      <c r="CI676" s="10">
        <v>102</v>
      </c>
      <c r="CJ676" s="10">
        <v>27</v>
      </c>
      <c r="CK676" s="10">
        <v>127</v>
      </c>
      <c r="CL676" s="10">
        <v>9</v>
      </c>
      <c r="CM676" s="10">
        <v>67</v>
      </c>
      <c r="CN676" s="10">
        <v>0.33400000000000002</v>
      </c>
      <c r="CO676" s="10">
        <v>79</v>
      </c>
      <c r="CP676" s="10">
        <v>60</v>
      </c>
      <c r="CQ676" s="10">
        <v>49</v>
      </c>
      <c r="CR676" s="10">
        <v>14</v>
      </c>
      <c r="CS676" s="10">
        <v>9.1999999999999993</v>
      </c>
      <c r="CT676" s="9" t="s">
        <v>349</v>
      </c>
      <c r="CU676" s="10"/>
      <c r="CV676" s="10"/>
      <c r="CW676" s="10"/>
      <c r="CX676" t="str">
        <f>INDEX('Data_Price '!AG$2:AG$1266,MATCH(Data!$DN676,'Data_Price '!$AT$2:$AT$1266,0))</f>
        <v>Elan Wingman 78 TI PS ELS 11.0 176cm</v>
      </c>
      <c r="CY676" t="str">
        <f>INDEX('Data_Price '!AH$2:AH$1266,MATCH(Data!$DN676,'Data_Price '!$AT$2:$AT$1266,0))</f>
        <v>Sundance Ski and Board Shop</v>
      </c>
      <c r="CZ676">
        <f>INDEX('Data_Price '!AI$2:AI$1266,MATCH(Data!$DN676,'Data_Price '!$AT$2:$AT$1266,0))</f>
        <v>561.20000000000005</v>
      </c>
      <c r="DA676" t="str">
        <f>INDEX('Data_Price '!AJ$2:AJ$1266,MATCH(Data!$DN676,'Data_Price '!$AT$2:$AT$1266,0))</f>
        <v>https://tinyurl.com/yamg54rq</v>
      </c>
      <c r="DB676" t="str">
        <f>INDEX('Data_Price '!AK$2:AK$1266,MATCH(Data!$DN676,'Data_Price '!$AT$2:$AT$1266,0))</f>
        <v>Elan Wingman 78 Ti with ELS 11GW Binding Men's, 176</v>
      </c>
      <c r="DC676" t="str">
        <f>INDEX('Data_Price '!AL$2:AL$1266,MATCH(Data!$DN676,'Data_Price '!$AT$2:$AT$1266,0))</f>
        <v>Peter Glenn Ski &amp; Sports</v>
      </c>
      <c r="DD676">
        <f>INDEX('Data_Price '!AM$2:AM$1266,MATCH(Data!$DN676,'Data_Price '!$AT$2:$AT$1266,0))</f>
        <v>599.99</v>
      </c>
      <c r="DE676" t="str">
        <f>INDEX('Data_Price '!AN$2:AN$1266,MATCH(Data!$DN676,'Data_Price '!$AT$2:$AT$1266,0))</f>
        <v>https://tinyurl.com/ycflez7n</v>
      </c>
      <c r="DF676" t="str">
        <f>INDEX('Data_Price '!AO$2:AO$1266,MATCH(Data!$DN676,'Data_Price '!$AT$2:$AT$1266,0))</f>
        <v>Elan Wingman 78 C Skis 2023 w/bindings 176</v>
      </c>
      <c r="DG676" t="str">
        <f>INDEX('Data_Price '!AP$2:AP$1266,MATCH(Data!$DN676,'Data_Price '!$AT$2:$AT$1266,0))</f>
        <v>Ski Depot RaceSkis.com</v>
      </c>
      <c r="DH676">
        <f>INDEX('Data_Price '!AQ$2:AQ$1266,MATCH(Data!$DN676,'Data_Price '!$AT$2:$AT$1266,0))</f>
        <v>499.99</v>
      </c>
      <c r="DI676" t="str">
        <f>INDEX('Data_Price '!AR$2:AR$1266,MATCH(Data!$DN676,'Data_Price '!$AT$2:$AT$1266,0))</f>
        <v>https://tinyurl.com/y94yhyqk</v>
      </c>
      <c r="DJ676" s="89" t="str">
        <f t="shared" si="402"/>
        <v>https://tinyurl.com/yamg54rq</v>
      </c>
      <c r="DK676" s="89" t="str">
        <f t="shared" si="403"/>
        <v>https://tinyurl.com/ycflez7n</v>
      </c>
      <c r="DL676" s="89" t="str">
        <f t="shared" si="404"/>
        <v>https://tinyurl.com/y94yhyqk</v>
      </c>
      <c r="DM676" s="219" t="str">
        <f t="shared" si="405"/>
        <v>Wingman 78 Ti</v>
      </c>
      <c r="DN676" s="89" t="str">
        <f t="shared" si="406"/>
        <v xml:space="preserve"> ElanWingman 78 Ti176 Unisex</v>
      </c>
      <c r="DO676" s="221"/>
    </row>
    <row r="677" spans="2:119" ht="15.6" customHeight="1">
      <c r="B677" s="219" t="b">
        <f t="array" ref="B677">IF(OR(ISERROR(K677:P677)),FALSE,TRUE)</f>
        <v>1</v>
      </c>
      <c r="C677" s="43" t="b">
        <f>OR(BR677=Driver!$G$50,Data!BR52=Driver!$H$50)</f>
        <v>1</v>
      </c>
      <c r="D677" s="43" t="b">
        <f>OR(BV677=Driver!$G$51,BV677=Driver!$H$51)</f>
        <v>0</v>
      </c>
      <c r="E677" s="43" t="b">
        <f>AND(BX677&gt;Driver!$F$54,BX677&lt;Driver!$G$54)</f>
        <v>1</v>
      </c>
      <c r="F677" s="43" t="b">
        <f>CL677&gt;Driver!$F$56</f>
        <v>1</v>
      </c>
      <c r="G677" s="43" t="b">
        <f>AND(CB677&gt;Driver!$F$55,CB677&lt;Driver!$G$55)</f>
        <v>0</v>
      </c>
      <c r="H677" s="43" t="b">
        <f t="shared" si="370"/>
        <v>0</v>
      </c>
      <c r="I677" s="43">
        <f t="shared" si="371"/>
        <v>0</v>
      </c>
      <c r="J677" s="43" t="b">
        <f t="array" ref="J677">NOT(OR(($H$9:$H$1273=TRUE)*($I$9:$I$1273&gt;0)*($BT$9:$BT$1273=BT677)*($K$9:$K$1273&gt;K677)))</f>
        <v>1</v>
      </c>
      <c r="K677" s="72">
        <f t="shared" si="372"/>
        <v>0.79194571761751309</v>
      </c>
      <c r="L677" s="72">
        <f t="shared" si="373"/>
        <v>0.82869091220630131</v>
      </c>
      <c r="M677" s="72">
        <f t="shared" si="374"/>
        <v>0.75520052302872487</v>
      </c>
      <c r="N677" s="72">
        <f t="shared" si="375"/>
        <v>0.73281405220988671</v>
      </c>
      <c r="O677" s="72">
        <f t="shared" si="376"/>
        <v>0.64452326602826937</v>
      </c>
      <c r="P677" s="72">
        <f t="shared" si="377"/>
        <v>0.88826425084801852</v>
      </c>
      <c r="Q677" s="72"/>
      <c r="R677" s="72"/>
      <c r="S677" s="72">
        <f t="shared" si="378"/>
        <v>0.41333714489817985</v>
      </c>
      <c r="T677" s="72">
        <f t="shared" si="379"/>
        <v>0.51754131987915131</v>
      </c>
      <c r="U677" s="72">
        <f t="shared" si="380"/>
        <v>0.57160716730871108</v>
      </c>
      <c r="V677" s="72">
        <f t="shared" si="381"/>
        <v>0.53100893534856541</v>
      </c>
      <c r="W677" s="72">
        <f t="shared" si="382"/>
        <v>0.91877873679115907</v>
      </c>
      <c r="X677" s="72">
        <f t="shared" si="383"/>
        <v>0.17130908779369874</v>
      </c>
      <c r="Y677" s="72">
        <f t="shared" si="384"/>
        <v>0.24479947697127513</v>
      </c>
      <c r="Z677" s="72">
        <f t="shared" si="385"/>
        <v>0.26718594779011334</v>
      </c>
      <c r="AA677" s="72">
        <f t="shared" si="386"/>
        <v>0.35547673397173057</v>
      </c>
      <c r="AB677" s="72">
        <f t="shared" si="387"/>
        <v>0.11173574915198148</v>
      </c>
      <c r="AC677" s="72"/>
      <c r="AD677" s="72"/>
      <c r="AE677" s="72">
        <f t="shared" si="388"/>
        <v>0.58666285510182015</v>
      </c>
      <c r="AF677" s="72">
        <f t="shared" si="389"/>
        <v>0.48245868012084869</v>
      </c>
      <c r="AG677" s="72">
        <f t="shared" si="390"/>
        <v>0.42839283269128886</v>
      </c>
      <c r="AH677" s="72">
        <f t="shared" si="391"/>
        <v>0.46899106465143459</v>
      </c>
      <c r="AI677" s="72">
        <f t="shared" si="392"/>
        <v>8.1221263208840877E-2</v>
      </c>
      <c r="AJ677" s="72">
        <f>(AV677-Driver!$K$179)/(Driver!$L$179-Driver!$K$179)</f>
        <v>8.2910321489001682E-2</v>
      </c>
      <c r="AK677" s="72">
        <f>(AW677-Driver!$K$180)/(Driver!$L$180-Driver!$K$180)</f>
        <v>0.15951701439339869</v>
      </c>
      <c r="AL677" s="72">
        <f>(AX677-Driver!$K$181)/(Driver!$L$181-Driver!$K$181)</f>
        <v>0.36887371150319354</v>
      </c>
      <c r="AM677" s="72">
        <f>(AY677-Driver!$K$182)/(Driver!$L$182-Driver!$K$182)</f>
        <v>9.1908287125315791E-2</v>
      </c>
      <c r="AN677" s="72">
        <f>(AZ677-Driver!$K$183)/(Driver!$L$183-Driver!$K$183)</f>
        <v>0.14248366013071895</v>
      </c>
      <c r="AO677" s="72"/>
      <c r="AP677" s="72"/>
      <c r="AQ677" s="72">
        <f>(BC677-Driver!$K$188)/(Driver!$L$188-Driver!$K$188)</f>
        <v>3.3337144898179821E-2</v>
      </c>
      <c r="AR677" s="72">
        <f>MIN((BD677-Driver!$K$189)/(Driver!$L$189-Driver!$K$189),100%)</f>
        <v>6.7541319879151379E-2</v>
      </c>
      <c r="AS677" s="72">
        <f>(BE677-Driver!$K$190)/(Driver!$L$190-Driver!$K$190)</f>
        <v>8.1607167308711134E-2</v>
      </c>
      <c r="AT677" s="72">
        <f>(BF677-Driver!$K$191)/(Driver!$L$191-Driver!$K$191)</f>
        <v>4.1008935348565395E-2</v>
      </c>
      <c r="AU677" s="72">
        <f>(BG677-Driver!$K$192)/(Driver!$L$192-Driver!$K$192)</f>
        <v>0.16877873679115912</v>
      </c>
      <c r="AV677" s="70">
        <f t="shared" si="393"/>
        <v>1.745014245014245</v>
      </c>
      <c r="AW677" s="70">
        <f t="shared" si="394"/>
        <v>17.418239138631918</v>
      </c>
      <c r="AX677" s="70">
        <f t="shared" si="395"/>
        <v>4.3198634035287418</v>
      </c>
      <c r="AY677" s="70">
        <f>IFERROR(Driver!$K$19/Data!BH677/Data!BI677*Data!BK677*Data!BL677,"")</f>
        <v>0.11252316622752355</v>
      </c>
      <c r="AZ677" s="70">
        <f t="shared" si="396"/>
        <v>12.985852568875652</v>
      </c>
      <c r="BA677" s="70"/>
      <c r="BB677" s="70"/>
      <c r="BC677" s="70">
        <f t="shared" si="397"/>
        <v>17.292208814757291</v>
      </c>
      <c r="BD677" s="70">
        <f t="shared" si="398"/>
        <v>7.6981100172654076</v>
      </c>
      <c r="BE677" s="70">
        <f t="shared" si="399"/>
        <v>8.1770998253111626E-2</v>
      </c>
      <c r="BF677" s="70">
        <f t="shared" si="400"/>
        <v>4.6316711435440832</v>
      </c>
      <c r="BG677" s="70">
        <f t="shared" si="401"/>
        <v>0.63910396668548841</v>
      </c>
      <c r="BH677" s="67">
        <f>MAX((CE677-Driver!$F$200)/(Driver!$G$200-Driver!$F$200)*$BI$1,1)</f>
        <v>4.3198634035287418</v>
      </c>
      <c r="BI677" s="67">
        <f>MAX($BI$1*(BY677-Driver!$F$201)/(Driver!$G$201-Driver!$F$201),1)</f>
        <v>6.8987341772151902</v>
      </c>
      <c r="BJ677" s="67">
        <f>(CB677-Driver!$F$206)/(Driver!$G$206-Driver!$F$206)*$BI$1</f>
        <v>3.333333333333333</v>
      </c>
      <c r="BK677" s="67">
        <f>(CD677-Driver!$F$203)/(Driver!$G$203-Driver!$F$203)*$BI$1</f>
        <v>2.4311926605504586</v>
      </c>
      <c r="BL677" s="67">
        <f>MAX((CR677-Driver!$F$202)/(Driver!$G$202-Driver!$F$202)*$BI$1,1)</f>
        <v>6.8965517241379315</v>
      </c>
      <c r="BM677" s="67">
        <f>MAX((CH677-Driver!$F$204)/(Driver!$G$204-Driver!$F$204)*$BI$1,1)</f>
        <v>2.0940170940170941</v>
      </c>
      <c r="BN677" s="67">
        <f>(CI677-Driver!$F$205)/(Driver!$G$205-Driver!$F$205)*$BI$1</f>
        <v>1.8823529411764706</v>
      </c>
      <c r="BO677" s="67">
        <f>(CK677-Driver!$F$207)/(Driver!$G$207-Driver!$F$207)*$BI$1</f>
        <v>1.4477766287487073</v>
      </c>
      <c r="BP677" s="67">
        <f>(CM677-Driver!$F$208)/(Driver!$G$208-Driver!$F$208)*$BI$1</f>
        <v>2.3333333333333335</v>
      </c>
      <c r="BQ677" s="67">
        <f>(CL677-Driver!$F$209)/(Driver!$G$209-Driver!$F$209)*$BI$1</f>
        <v>5.78125</v>
      </c>
      <c r="BR677" s="28" t="s">
        <v>155</v>
      </c>
      <c r="BS677" s="8" t="s">
        <v>182</v>
      </c>
      <c r="BT677" s="9" t="s">
        <v>721</v>
      </c>
      <c r="BU677" s="10">
        <v>164</v>
      </c>
      <c r="BV677" s="9" t="s">
        <v>163</v>
      </c>
      <c r="BW677" s="10">
        <v>164</v>
      </c>
      <c r="BX677" s="10">
        <v>162.5</v>
      </c>
      <c r="BY677" s="10">
        <v>117</v>
      </c>
      <c r="BZ677" s="10">
        <v>134</v>
      </c>
      <c r="CA677" s="10">
        <v>117</v>
      </c>
      <c r="CB677" s="10">
        <v>85</v>
      </c>
      <c r="CC677" s="10">
        <v>109</v>
      </c>
      <c r="CD677" s="10">
        <v>14.7</v>
      </c>
      <c r="CE677" s="10">
        <v>1659</v>
      </c>
      <c r="CF677" s="10">
        <v>0.94</v>
      </c>
      <c r="CG677" s="10">
        <v>1566</v>
      </c>
      <c r="CH677" s="10">
        <v>150</v>
      </c>
      <c r="CI677" s="10">
        <v>65</v>
      </c>
      <c r="CJ677" s="10">
        <v>44</v>
      </c>
      <c r="CK677" s="10">
        <v>250</v>
      </c>
      <c r="CL677" s="10">
        <v>37</v>
      </c>
      <c r="CM677" s="10">
        <v>210</v>
      </c>
      <c r="CN677" s="10">
        <v>0.83299999999999996</v>
      </c>
      <c r="CO677" s="10">
        <v>158</v>
      </c>
      <c r="CP677" s="10">
        <v>123</v>
      </c>
      <c r="CQ677" s="10">
        <v>92</v>
      </c>
      <c r="CR677" s="10">
        <v>9</v>
      </c>
      <c r="CS677" s="10">
        <v>9.9</v>
      </c>
      <c r="CT677" s="9" t="s">
        <v>188</v>
      </c>
      <c r="CU677" s="9" t="s">
        <v>184</v>
      </c>
      <c r="CV677" s="10"/>
      <c r="CW677" s="10"/>
      <c r="CX677" t="str">
        <f>INDEX('Data_Price '!AG$2:AG$1266,MATCH(Data!$DN677,'Data_Price '!$AT$2:$AT$1266,0))</f>
        <v>Armada ARW 84 Skis 2022</v>
      </c>
      <c r="CY677" t="str">
        <f>INDEX('Data_Price '!AH$2:AH$1266,MATCH(Data!$DN677,'Data_Price '!$AT$2:$AT$1266,0))</f>
        <v>Next Adventure</v>
      </c>
      <c r="CZ677">
        <f>INDEX('Data_Price '!AI$2:AI$1266,MATCH(Data!$DN677,'Data_Price '!$AT$2:$AT$1266,0))</f>
        <v>279.95999999999998</v>
      </c>
      <c r="DA677" t="str">
        <f>INDEX('Data_Price '!AJ$2:AJ$1266,MATCH(Data!$DN677,'Data_Price '!$AT$2:$AT$1266,0))</f>
        <v>https://tinyurl.com/yb4ncbhx</v>
      </c>
      <c r="DB677" t="str">
        <f>INDEX('Data_Price '!AK$2:AK$1266,MATCH(Data!$DN677,'Data_Price '!$AT$2:$AT$1266,0))</f>
        <v>Armada ARV 84 Ski 2022 - 164</v>
      </c>
      <c r="DC677" t="str">
        <f>INDEX('Data_Price '!AL$2:AL$1266,MATCH(Data!$DN677,'Data_Price '!$AT$2:$AT$1266,0))</f>
        <v>! OutdoorXL.com</v>
      </c>
      <c r="DD677">
        <f>INDEX('Data_Price '!AM$2:AM$1266,MATCH(Data!$DN677,'Data_Price '!$AT$2:$AT$1266,0))</f>
        <v>284.95</v>
      </c>
      <c r="DE677" t="str">
        <f>INDEX('Data_Price '!AN$2:AN$1266,MATCH(Data!$DN677,'Data_Price '!$AT$2:$AT$1266,0))</f>
        <v>https://tinyurl.com/y8oraqlq</v>
      </c>
      <c r="DF677" t="str">
        <f>INDEX('Data_Price '!AO$2:AO$1266,MATCH(Data!$DN677,'Data_Price '!$AT$2:$AT$1266,0))</f>
        <v>Armada ARV 84 Ski 2022 - 164</v>
      </c>
      <c r="DG677" t="str">
        <f>INDEX('Data_Price '!AP$2:AP$1266,MATCH(Data!$DN677,'Data_Price '!$AT$2:$AT$1266,0))</f>
        <v>Absolute-Snow.co.uk</v>
      </c>
      <c r="DH677">
        <f>INDEX('Data_Price '!AQ$2:AQ$1266,MATCH(Data!$DN677,'Data_Price '!$AT$2:$AT$1266,0))</f>
        <v>301.3</v>
      </c>
      <c r="DI677" t="str">
        <f>INDEX('Data_Price '!AR$2:AR$1266,MATCH(Data!$DN677,'Data_Price '!$AT$2:$AT$1266,0))</f>
        <v>https://tinyurl.com/ya48twl6</v>
      </c>
      <c r="DJ677" s="89" t="str">
        <f t="shared" si="402"/>
        <v>https://tinyurl.com/yb4ncbhx</v>
      </c>
      <c r="DK677" s="89" t="str">
        <f t="shared" si="403"/>
        <v>https://tinyurl.com/y8oraqlq</v>
      </c>
      <c r="DL677" s="89" t="str">
        <f t="shared" si="404"/>
        <v>https://tinyurl.com/ya48twl6</v>
      </c>
      <c r="DM677" s="219" t="str">
        <f t="shared" si="405"/>
        <v>ARW 84</v>
      </c>
      <c r="DN677" s="89" t="str">
        <f t="shared" si="406"/>
        <v xml:space="preserve"> ArmadaARW 84164 Women's</v>
      </c>
      <c r="DO677" s="221" t="s">
        <v>722</v>
      </c>
    </row>
    <row r="678" spans="2:119" ht="15.6" customHeight="1">
      <c r="B678" s="219" t="b">
        <f t="array" ref="B678">IF(OR(ISERROR(K678:P678)),FALSE,TRUE)</f>
        <v>1</v>
      </c>
      <c r="C678" s="43" t="b">
        <f>OR(BR678=Driver!$G$50,Data!BR873=Driver!$H$50)</f>
        <v>1</v>
      </c>
      <c r="D678" s="43" t="b">
        <f>OR(BV678=Driver!$G$51,BV678=Driver!$H$51)</f>
        <v>1</v>
      </c>
      <c r="E678" s="43" t="b">
        <f>AND(BX678&gt;Driver!$F$54,BX678&lt;Driver!$G$54)</f>
        <v>1</v>
      </c>
      <c r="F678" s="43" t="b">
        <f>CL678&gt;Driver!$F$56</f>
        <v>1</v>
      </c>
      <c r="G678" s="43" t="b">
        <f>AND(CB678&gt;Driver!$F$55,CB678&lt;Driver!$G$55)</f>
        <v>0</v>
      </c>
      <c r="H678" s="43" t="b">
        <f t="shared" si="370"/>
        <v>0</v>
      </c>
      <c r="I678" s="43">
        <f t="shared" si="371"/>
        <v>0</v>
      </c>
      <c r="J678" s="43" t="b">
        <f t="array" ref="J678">NOT(OR(($H$9:$H$1273=TRUE)*($I$9:$I$1273&gt;0)*($BT$9:$BT$1273=BT678)*($K$9:$K$1273&gt;K678)))</f>
        <v>1</v>
      </c>
      <c r="K678" s="72">
        <f t="shared" si="372"/>
        <v>0.83735427530288531</v>
      </c>
      <c r="L678" s="72">
        <f t="shared" si="373"/>
        <v>0.87066980190092691</v>
      </c>
      <c r="M678" s="72">
        <f t="shared" si="374"/>
        <v>0.80403874870484371</v>
      </c>
      <c r="N678" s="72">
        <f t="shared" si="375"/>
        <v>0.82198119316985618</v>
      </c>
      <c r="O678" s="72">
        <f t="shared" si="376"/>
        <v>0.66910936418815981</v>
      </c>
      <c r="P678" s="72">
        <f t="shared" si="377"/>
        <v>0.92102568875651525</v>
      </c>
      <c r="Q678" s="72"/>
      <c r="R678" s="72"/>
      <c r="S678" s="72">
        <f t="shared" si="378"/>
        <v>0.42892401411306369</v>
      </c>
      <c r="T678" s="72">
        <f t="shared" si="379"/>
        <v>0.47681339582174065</v>
      </c>
      <c r="U678" s="72">
        <f t="shared" si="380"/>
        <v>0.59684548105087509</v>
      </c>
      <c r="V678" s="72">
        <f t="shared" si="381"/>
        <v>0.52551742529856149</v>
      </c>
      <c r="W678" s="72">
        <f t="shared" si="382"/>
        <v>0.91382320701534603</v>
      </c>
      <c r="X678" s="72">
        <f t="shared" si="383"/>
        <v>0.12933019809907303</v>
      </c>
      <c r="Y678" s="72">
        <f t="shared" si="384"/>
        <v>0.19596125129515626</v>
      </c>
      <c r="Z678" s="72">
        <f t="shared" si="385"/>
        <v>0.17801880683014376</v>
      </c>
      <c r="AA678" s="72">
        <f t="shared" si="386"/>
        <v>0.33089063581184025</v>
      </c>
      <c r="AB678" s="72">
        <f t="shared" si="387"/>
        <v>7.8974311243484752E-2</v>
      </c>
      <c r="AC678" s="72"/>
      <c r="AD678" s="72"/>
      <c r="AE678" s="72">
        <f t="shared" si="388"/>
        <v>0.57107598588693631</v>
      </c>
      <c r="AF678" s="72">
        <f t="shared" si="389"/>
        <v>0.52318660417825935</v>
      </c>
      <c r="AG678" s="72">
        <f t="shared" si="390"/>
        <v>0.40315451894912491</v>
      </c>
      <c r="AH678" s="72">
        <f t="shared" si="391"/>
        <v>0.47448257470143845</v>
      </c>
      <c r="AI678" s="72">
        <f t="shared" si="392"/>
        <v>8.6176792984653944E-2</v>
      </c>
      <c r="AJ678" s="72">
        <f>(AV678-Driver!$K$179)/(Driver!$L$179-Driver!$K$179)</f>
        <v>0.1248892111836274</v>
      </c>
      <c r="AK678" s="72">
        <f>(AW678-Driver!$K$180)/(Driver!$L$180-Driver!$K$180)</f>
        <v>0.18222863855660887</v>
      </c>
      <c r="AL678" s="72">
        <f>(AX678-Driver!$K$181)/(Driver!$L$181-Driver!$K$181)</f>
        <v>0.27970657054322395</v>
      </c>
      <c r="AM678" s="72">
        <f>(AY678-Driver!$K$182)/(Driver!$L$182-Driver!$K$182)</f>
        <v>0.1164943852852061</v>
      </c>
      <c r="AN678" s="72">
        <f>(AZ678-Driver!$K$183)/(Driver!$L$183-Driver!$K$183)</f>
        <v>0.17524509803921567</v>
      </c>
      <c r="AO678" s="72"/>
      <c r="AP678" s="72"/>
      <c r="AQ678" s="72">
        <f>(BC678-Driver!$K$188)/(Driver!$L$188-Driver!$K$188)</f>
        <v>4.892401411306365E-2</v>
      </c>
      <c r="AR678" s="72">
        <f>MIN((BD678-Driver!$K$189)/(Driver!$L$189-Driver!$K$189),100%)</f>
        <v>2.6813395821740693E-2</v>
      </c>
      <c r="AS678" s="72">
        <f>(BE678-Driver!$K$190)/(Driver!$L$190-Driver!$K$190)</f>
        <v>0.1068454810508751</v>
      </c>
      <c r="AT678" s="72">
        <f>(BF678-Driver!$K$191)/(Driver!$L$191-Driver!$K$191)</f>
        <v>3.5517425298561535E-2</v>
      </c>
      <c r="AU678" s="72">
        <f>(BG678-Driver!$K$192)/(Driver!$L$192-Driver!$K$192)</f>
        <v>0.16382320701534606</v>
      </c>
      <c r="AV678" s="70">
        <f t="shared" si="393"/>
        <v>2.6285442952109617</v>
      </c>
      <c r="AW678" s="70">
        <f t="shared" si="394"/>
        <v>19.631688158799214</v>
      </c>
      <c r="AX678" s="70">
        <f t="shared" si="395"/>
        <v>3.5173591348890154</v>
      </c>
      <c r="AY678" s="70">
        <f>IFERROR(Driver!$K$19/Data!BH678/Data!BI678*Data!BK678*Data!BL678,"")</f>
        <v>0.14262388615889876</v>
      </c>
      <c r="AZ678" s="70">
        <f t="shared" si="396"/>
        <v>15.971705137751302</v>
      </c>
      <c r="BA678" s="70"/>
      <c r="BB678" s="70"/>
      <c r="BC678" s="70">
        <f t="shared" si="397"/>
        <v>25.37722623467436</v>
      </c>
      <c r="BD678" s="70">
        <f t="shared" si="398"/>
        <v>4.0937609037957277</v>
      </c>
      <c r="BE678" s="70">
        <f t="shared" si="399"/>
        <v>0.10700480976417331</v>
      </c>
      <c r="BF678" s="70">
        <f t="shared" si="400"/>
        <v>4.0114436634377268</v>
      </c>
      <c r="BG678" s="70">
        <f t="shared" si="401"/>
        <v>0.62033916966802383</v>
      </c>
      <c r="BH678" s="67">
        <f>MAX((CE678-Driver!$F$200)/(Driver!$G$200-Driver!$F$200)*$BI$1,1)</f>
        <v>3.5173591348890154</v>
      </c>
      <c r="BI678" s="67">
        <f>MAX($BI$1*(BY678-Driver!$F$201)/(Driver!$G$201-Driver!$F$201),1)</f>
        <v>6.962025316455696</v>
      </c>
      <c r="BJ678" s="67">
        <f>(CB678-Driver!$F$206)/(Driver!$G$206-Driver!$F$206)*$BI$1</f>
        <v>3.9682539682539679</v>
      </c>
      <c r="BK678" s="67">
        <f>(CD678-Driver!$F$203)/(Driver!$G$203-Driver!$F$203)*$BI$1</f>
        <v>3.1651376146788994</v>
      </c>
      <c r="BL678" s="67">
        <f>MAX((CR678-Driver!$F$202)/(Driver!$G$202-Driver!$F$202)*$BI$1,1)</f>
        <v>5.5172413793103452</v>
      </c>
      <c r="BM678" s="67">
        <f>MAX((CH678-Driver!$F$204)/(Driver!$G$204-Driver!$F$204)*$BI$1,1)</f>
        <v>2.6495726495726495</v>
      </c>
      <c r="BN678" s="67">
        <f>(CI678-Driver!$F$205)/(Driver!$G$205-Driver!$F$205)*$BI$1</f>
        <v>2.2941176470588234</v>
      </c>
      <c r="BO678" s="67">
        <f>(CK678-Driver!$F$207)/(Driver!$G$207-Driver!$F$207)*$BI$1</f>
        <v>1.2306101344364011</v>
      </c>
      <c r="BP678" s="67">
        <f>(CM678-Driver!$F$208)/(Driver!$G$208-Driver!$F$208)*$BI$1</f>
        <v>2.6</v>
      </c>
      <c r="BQ678" s="67">
        <f>(CL678-Driver!$F$209)/(Driver!$G$209-Driver!$F$209)*$BI$1</f>
        <v>5.78125</v>
      </c>
      <c r="BR678" s="28" t="s">
        <v>155</v>
      </c>
      <c r="BS678" s="8" t="s">
        <v>208</v>
      </c>
      <c r="BT678" s="9" t="s">
        <v>530</v>
      </c>
      <c r="BU678" s="10">
        <v>164</v>
      </c>
      <c r="BV678" s="9" t="s">
        <v>158</v>
      </c>
      <c r="BW678" s="10">
        <v>164</v>
      </c>
      <c r="BX678" s="10">
        <v>164.1</v>
      </c>
      <c r="BY678" s="10">
        <v>118</v>
      </c>
      <c r="BZ678" s="10">
        <v>138</v>
      </c>
      <c r="CA678" s="10">
        <v>117</v>
      </c>
      <c r="CB678" s="10">
        <v>89</v>
      </c>
      <c r="CC678" s="10">
        <v>116</v>
      </c>
      <c r="CD678" s="10">
        <v>16.3</v>
      </c>
      <c r="CE678" s="10">
        <v>1518</v>
      </c>
      <c r="CF678" s="10">
        <v>1.07</v>
      </c>
      <c r="CG678" s="10">
        <v>1627</v>
      </c>
      <c r="CH678" s="10">
        <v>163</v>
      </c>
      <c r="CI678" s="10">
        <v>72</v>
      </c>
      <c r="CJ678" s="10">
        <v>38</v>
      </c>
      <c r="CK678" s="10">
        <v>229</v>
      </c>
      <c r="CL678" s="10">
        <v>37</v>
      </c>
      <c r="CM678" s="10">
        <v>234</v>
      </c>
      <c r="CN678" s="10">
        <v>0.98599999999999999</v>
      </c>
      <c r="CO678" s="10">
        <v>123</v>
      </c>
      <c r="CP678" s="10">
        <v>134</v>
      </c>
      <c r="CQ678" s="10">
        <v>106</v>
      </c>
      <c r="CR678" s="10">
        <v>5</v>
      </c>
      <c r="CS678" s="10">
        <v>2.4</v>
      </c>
      <c r="CT678" s="9" t="s">
        <v>184</v>
      </c>
      <c r="CU678" s="9" t="s">
        <v>185</v>
      </c>
      <c r="CV678" s="10"/>
      <c r="CW678" s="10"/>
      <c r="CX678" t="str">
        <f>INDEX('Data_Price '!AG$2:AG$1266,MATCH(Data!$DN678,'Data_Price '!$AT$2:$AT$1266,0))</f>
        <v>Line Skis Tom Wallisch Pro</v>
      </c>
      <c r="CY678" t="str">
        <f>INDEX('Data_Price '!AH$2:AH$1266,MATCH(Data!$DN678,'Data_Price '!$AT$2:$AT$1266,0))</f>
        <v>PRFO Sports</v>
      </c>
      <c r="CZ678">
        <f>INDEX('Data_Price '!AI$2:AI$1266,MATCH(Data!$DN678,'Data_Price '!$AT$2:$AT$1266,0))</f>
        <v>320.68</v>
      </c>
      <c r="DA678" t="str">
        <f>INDEX('Data_Price '!AJ$2:AJ$1266,MATCH(Data!$DN678,'Data_Price '!$AT$2:$AT$1266,0))</f>
        <v>https://tinyurl.com/yawy3yzd</v>
      </c>
      <c r="DB678" t="str">
        <f>INDEX('Data_Price '!AK$2:AK$1266,MATCH(Data!$DN678,'Data_Price '!$AT$2:$AT$1266,0))</f>
        <v>Line Skis Tom Wallisch Pro</v>
      </c>
      <c r="DC678" t="str">
        <f>INDEX('Data_Price '!AL$2:AL$1266,MATCH(Data!$DN678,'Data_Price '!$AT$2:$AT$1266,0))</f>
        <v>Pinewski's Ski and Board Shop</v>
      </c>
      <c r="DD678">
        <f>INDEX('Data_Price '!AM$2:AM$1266,MATCH(Data!$DN678,'Data_Price '!$AT$2:$AT$1266,0))</f>
        <v>449.95</v>
      </c>
      <c r="DE678" t="str">
        <f>INDEX('Data_Price '!AN$2:AN$1266,MATCH(Data!$DN678,'Data_Price '!$AT$2:$AT$1266,0))</f>
        <v>https://tinyurl.com/ya7cl47h</v>
      </c>
      <c r="DF678" t="str">
        <f>INDEX('Data_Price '!AO$2:AO$1266,MATCH(Data!$DN678,'Data_Price '!$AT$2:$AT$1266,0))</f>
        <v>Line 2022 Chronic Skis</v>
      </c>
      <c r="DG678" t="str">
        <f>INDEX('Data_Price '!AP$2:AP$1266,MATCH(Data!$DN678,'Data_Price '!$AT$2:$AT$1266,0))</f>
        <v>eBay - david110549</v>
      </c>
      <c r="DH678">
        <f>INDEX('Data_Price '!AQ$2:AQ$1266,MATCH(Data!$DN678,'Data_Price '!$AT$2:$AT$1266,0))</f>
        <v>499.95</v>
      </c>
      <c r="DI678" t="str">
        <f>INDEX('Data_Price '!AR$2:AR$1266,MATCH(Data!$DN678,'Data_Price '!$AT$2:$AT$1266,0))</f>
        <v>https://tinyurl.com/yccp3pp8</v>
      </c>
      <c r="DJ678" s="89" t="str">
        <f t="shared" si="402"/>
        <v>https://tinyurl.com/yawy3yzd</v>
      </c>
      <c r="DK678" s="89" t="str">
        <f t="shared" si="403"/>
        <v>https://tinyurl.com/ya7cl47h</v>
      </c>
      <c r="DL678" s="89" t="str">
        <f t="shared" si="404"/>
        <v>https://tinyurl.com/yccp3pp8</v>
      </c>
      <c r="DM678" s="219" t="str">
        <f t="shared" si="405"/>
        <v>Tom Wallisch Pro</v>
      </c>
      <c r="DN678" s="89" t="str">
        <f t="shared" si="406"/>
        <v xml:space="preserve"> LineTom Wallisch Pro164 Unisex</v>
      </c>
      <c r="DO678" s="221"/>
    </row>
    <row r="679" spans="2:119" ht="15.6" customHeight="1">
      <c r="B679" s="219" t="b">
        <f t="array" ref="B679">IF(OR(ISERROR(K679:P679)),FALSE,TRUE)</f>
        <v>1</v>
      </c>
      <c r="C679" s="43" t="b">
        <f>OR(BR679=Driver!$G$50,Data!BR773=Driver!$H$50)</f>
        <v>1</v>
      </c>
      <c r="D679" s="43" t="b">
        <f>OR(BV679=Driver!$G$51,BV679=Driver!$H$51)</f>
        <v>1</v>
      </c>
      <c r="E679" s="43" t="b">
        <f>AND(BX679&gt;Driver!$F$54,BX679&lt;Driver!$G$54)</f>
        <v>0</v>
      </c>
      <c r="F679" s="43" t="b">
        <f>CL679&gt;Driver!$F$56</f>
        <v>1</v>
      </c>
      <c r="G679" s="43" t="b">
        <f>AND(CB679&gt;Driver!$F$55,CB679&lt;Driver!$G$55)</f>
        <v>0</v>
      </c>
      <c r="H679" s="43" t="b">
        <f t="shared" si="370"/>
        <v>0</v>
      </c>
      <c r="I679" s="43">
        <f t="shared" si="371"/>
        <v>0</v>
      </c>
      <c r="J679" s="43" t="b">
        <f t="array" ref="J679">NOT(OR(($H$9:$H$1273=TRUE)*($I$9:$I$1273&gt;0)*($BT$9:$BT$1273=BT679)*($K$9:$K$1273&gt;K679)))</f>
        <v>1</v>
      </c>
      <c r="K679" s="72">
        <f t="shared" si="372"/>
        <v>0.81186794786833072</v>
      </c>
      <c r="L679" s="72">
        <f t="shared" si="373"/>
        <v>0.84802859651860485</v>
      </c>
      <c r="M679" s="72">
        <f t="shared" si="374"/>
        <v>0.77570729921805659</v>
      </c>
      <c r="N679" s="72">
        <f t="shared" si="375"/>
        <v>0.72649014150350577</v>
      </c>
      <c r="O679" s="72">
        <f t="shared" si="376"/>
        <v>0.67041489092356032</v>
      </c>
      <c r="P679" s="72">
        <f t="shared" si="377"/>
        <v>0.93021686522710345</v>
      </c>
      <c r="Q679" s="72"/>
      <c r="R679" s="72"/>
      <c r="S679" s="72">
        <f t="shared" si="378"/>
        <v>0.43600878859105607</v>
      </c>
      <c r="T679" s="72">
        <f t="shared" si="379"/>
        <v>0.46852974398512026</v>
      </c>
      <c r="U679" s="72">
        <f t="shared" si="380"/>
        <v>0.52858014792488328</v>
      </c>
      <c r="V679" s="72">
        <f t="shared" si="381"/>
        <v>0.54909908127738305</v>
      </c>
      <c r="W679" s="72">
        <f t="shared" si="382"/>
        <v>0.96122347342500625</v>
      </c>
      <c r="X679" s="72">
        <f t="shared" si="383"/>
        <v>0.15197140348139515</v>
      </c>
      <c r="Y679" s="72">
        <f t="shared" si="384"/>
        <v>0.22429270078194344</v>
      </c>
      <c r="Z679" s="72">
        <f t="shared" si="385"/>
        <v>0.27350985849649423</v>
      </c>
      <c r="AA679" s="72">
        <f t="shared" si="386"/>
        <v>0.32958510907643962</v>
      </c>
      <c r="AB679" s="72">
        <f t="shared" si="387"/>
        <v>6.9783134772896521E-2</v>
      </c>
      <c r="AC679" s="72"/>
      <c r="AD679" s="72"/>
      <c r="AE679" s="72">
        <f t="shared" si="388"/>
        <v>0.56399121140894393</v>
      </c>
      <c r="AF679" s="72">
        <f t="shared" si="389"/>
        <v>0.53147025601487974</v>
      </c>
      <c r="AG679" s="72">
        <f t="shared" si="390"/>
        <v>0.47141985207511666</v>
      </c>
      <c r="AH679" s="72">
        <f t="shared" si="391"/>
        <v>0.45090091872261695</v>
      </c>
      <c r="AI679" s="72">
        <f t="shared" si="392"/>
        <v>3.8776526574993808E-2</v>
      </c>
      <c r="AJ679" s="72">
        <f>(AV679-Driver!$K$179)/(Driver!$L$179-Driver!$K$179)</f>
        <v>0.10224800580130528</v>
      </c>
      <c r="AK679" s="72">
        <f>(AW679-Driver!$K$180)/(Driver!$L$180-Driver!$K$180)</f>
        <v>0.19965850225941179</v>
      </c>
      <c r="AL679" s="72">
        <f>(AX679-Driver!$K$181)/(Driver!$L$181-Driver!$K$181)</f>
        <v>0.37519762220957442</v>
      </c>
      <c r="AM679" s="72">
        <f>(AY679-Driver!$K$182)/(Driver!$L$182-Driver!$K$182)</f>
        <v>0.11779991202060676</v>
      </c>
      <c r="AN679" s="72">
        <f>(AZ679-Driver!$K$183)/(Driver!$L$183-Driver!$K$183)</f>
        <v>0.1844362745098039</v>
      </c>
      <c r="AO679" s="72"/>
      <c r="AP679" s="72"/>
      <c r="AQ679" s="72">
        <f>(BC679-Driver!$K$188)/(Driver!$L$188-Driver!$K$188)</f>
        <v>5.6008788591056118E-2</v>
      </c>
      <c r="AR679" s="72">
        <f>MIN((BD679-Driver!$K$189)/(Driver!$L$189-Driver!$K$189),100%)</f>
        <v>1.8529743985120334E-2</v>
      </c>
      <c r="AS679" s="72">
        <f>(BE679-Driver!$K$190)/(Driver!$L$190-Driver!$K$190)</f>
        <v>3.8580147924883353E-2</v>
      </c>
      <c r="AT679" s="72">
        <f>(BF679-Driver!$K$191)/(Driver!$L$191-Driver!$K$191)</f>
        <v>5.9099081277383038E-2</v>
      </c>
      <c r="AU679" s="72">
        <f>(BG679-Driver!$K$192)/(Driver!$L$192-Driver!$K$192)</f>
        <v>0.21122347342500619</v>
      </c>
      <c r="AV679" s="70">
        <f t="shared" si="393"/>
        <v>2.1520146520146519</v>
      </c>
      <c r="AW679" s="70">
        <f t="shared" si="394"/>
        <v>21.330382820941139</v>
      </c>
      <c r="AX679" s="70">
        <f t="shared" si="395"/>
        <v>4.3767785998861699</v>
      </c>
      <c r="AY679" s="70">
        <f>IFERROR(Driver!$K$19/Data!BH679/Data!BI679*Data!BK679*Data!BL679,"")</f>
        <v>0.14422224041461093</v>
      </c>
      <c r="AZ679" s="70">
        <f t="shared" si="396"/>
        <v>16.809381980640357</v>
      </c>
      <c r="BA679" s="70"/>
      <c r="BB679" s="70"/>
      <c r="BC679" s="70">
        <f t="shared" si="397"/>
        <v>29.05214800896217</v>
      </c>
      <c r="BD679" s="70">
        <f t="shared" si="398"/>
        <v>3.3606723940173517</v>
      </c>
      <c r="BE679" s="70">
        <f t="shared" si="399"/>
        <v>3.8751654405252176E-2</v>
      </c>
      <c r="BF679" s="70">
        <f t="shared" si="400"/>
        <v>6.6748260357360669</v>
      </c>
      <c r="BG679" s="70">
        <f t="shared" si="401"/>
        <v>0.79982681639598252</v>
      </c>
      <c r="BH679" s="67">
        <f>MAX((CE679-Driver!$F$200)/(Driver!$G$200-Driver!$F$200)*$BI$1,1)</f>
        <v>4.3767785998861699</v>
      </c>
      <c r="BI679" s="67">
        <f>MAX($BI$1*(BY679-Driver!$F$201)/(Driver!$G$201-Driver!$F$201),1)</f>
        <v>6.6455696202531644</v>
      </c>
      <c r="BJ679" s="67">
        <f>(CB679-Driver!$F$206)/(Driver!$G$206-Driver!$F$206)*$BI$1</f>
        <v>4.2857142857142856</v>
      </c>
      <c r="BK679" s="67">
        <f>(CD679-Driver!$F$203)/(Driver!$G$203-Driver!$F$203)*$BI$1</f>
        <v>3.5779816513761471</v>
      </c>
      <c r="BL679" s="67">
        <f>MAX((CR679-Driver!$F$202)/(Driver!$G$202-Driver!$F$202)*$BI$1,1)</f>
        <v>5.8620689655172411</v>
      </c>
      <c r="BM679" s="67">
        <f>MAX((CH679-Driver!$F$204)/(Driver!$G$204-Driver!$F$204)*$BI$1,1)</f>
        <v>2.0085470085470085</v>
      </c>
      <c r="BN679" s="67">
        <f>(CI679-Driver!$F$205)/(Driver!$G$205-Driver!$F$205)*$BI$1</f>
        <v>2.5294117647058822</v>
      </c>
      <c r="BO679" s="67">
        <f>(CK679-Driver!$F$207)/(Driver!$G$207-Driver!$F$207)*$BI$1</f>
        <v>1.8304033092037229</v>
      </c>
      <c r="BP679" s="67">
        <f>(CM679-Driver!$F$208)/(Driver!$G$208-Driver!$F$208)*$BI$1</f>
        <v>3.0444444444444447</v>
      </c>
      <c r="BQ679" s="67">
        <f>(CL679-Driver!$F$209)/(Driver!$G$209-Driver!$F$209)*$BI$1</f>
        <v>7.03125</v>
      </c>
      <c r="BR679" s="28" t="s">
        <v>155</v>
      </c>
      <c r="BS679" s="8" t="s">
        <v>262</v>
      </c>
      <c r="BT679" s="9" t="s">
        <v>579</v>
      </c>
      <c r="BU679" s="10">
        <v>169</v>
      </c>
      <c r="BV679" s="9" t="s">
        <v>158</v>
      </c>
      <c r="BW679" s="10">
        <v>169</v>
      </c>
      <c r="BX679" s="10">
        <v>169</v>
      </c>
      <c r="BY679" s="10">
        <v>113</v>
      </c>
      <c r="BZ679" s="10">
        <v>142</v>
      </c>
      <c r="CA679" s="10">
        <v>124</v>
      </c>
      <c r="CB679" s="10">
        <v>91</v>
      </c>
      <c r="CC679" s="10">
        <v>113</v>
      </c>
      <c r="CD679" s="10">
        <v>17.2</v>
      </c>
      <c r="CE679" s="10">
        <v>1669</v>
      </c>
      <c r="CF679" s="10">
        <v>1.03</v>
      </c>
      <c r="CG679" s="10">
        <v>1717</v>
      </c>
      <c r="CH679" s="10">
        <v>148</v>
      </c>
      <c r="CI679" s="10">
        <v>76</v>
      </c>
      <c r="CJ679" s="10">
        <v>51</v>
      </c>
      <c r="CK679" s="10">
        <v>287</v>
      </c>
      <c r="CL679" s="10">
        <v>45</v>
      </c>
      <c r="CM679" s="10">
        <v>274</v>
      </c>
      <c r="CN679" s="10">
        <v>0.88600000000000001</v>
      </c>
      <c r="CO679" s="10">
        <v>121</v>
      </c>
      <c r="CP679" s="10">
        <v>150</v>
      </c>
      <c r="CQ679" s="10">
        <v>167</v>
      </c>
      <c r="CR679" s="10">
        <v>6</v>
      </c>
      <c r="CS679" s="10">
        <v>4.8</v>
      </c>
      <c r="CT679" s="9" t="s">
        <v>184</v>
      </c>
      <c r="CU679" s="10"/>
      <c r="CV679" s="10"/>
      <c r="CW679" s="10"/>
      <c r="CX679" t="e">
        <f>INDEX('Data_Price '!AG$2:AG$1266,MATCH(Data!$DN679,'Data_Price '!$AT$2:$AT$1266,0))</f>
        <v>#N/A</v>
      </c>
      <c r="CY679" t="e">
        <f>INDEX('Data_Price '!AH$2:AH$1266,MATCH(Data!$DN679,'Data_Price '!$AT$2:$AT$1266,0))</f>
        <v>#N/A</v>
      </c>
      <c r="CZ679" t="e">
        <f>INDEX('Data_Price '!AI$2:AI$1266,MATCH(Data!$DN679,'Data_Price '!$AT$2:$AT$1266,0))</f>
        <v>#N/A</v>
      </c>
      <c r="DA679" t="e">
        <f>INDEX('Data_Price '!AJ$2:AJ$1266,MATCH(Data!$DN679,'Data_Price '!$AT$2:$AT$1266,0))</f>
        <v>#N/A</v>
      </c>
      <c r="DB679" t="e">
        <f>INDEX('Data_Price '!AK$2:AK$1266,MATCH(Data!$DN679,'Data_Price '!$AT$2:$AT$1266,0))</f>
        <v>#N/A</v>
      </c>
      <c r="DC679" t="e">
        <f>INDEX('Data_Price '!AL$2:AL$1266,MATCH(Data!$DN679,'Data_Price '!$AT$2:$AT$1266,0))</f>
        <v>#N/A</v>
      </c>
      <c r="DD679" t="e">
        <f>INDEX('Data_Price '!AM$2:AM$1266,MATCH(Data!$DN679,'Data_Price '!$AT$2:$AT$1266,0))</f>
        <v>#N/A</v>
      </c>
      <c r="DE679" t="e">
        <f>INDEX('Data_Price '!AN$2:AN$1266,MATCH(Data!$DN679,'Data_Price '!$AT$2:$AT$1266,0))</f>
        <v>#N/A</v>
      </c>
      <c r="DF679" t="e">
        <f>INDEX('Data_Price '!AO$2:AO$1266,MATCH(Data!$DN679,'Data_Price '!$AT$2:$AT$1266,0))</f>
        <v>#N/A</v>
      </c>
      <c r="DG679" t="e">
        <f>INDEX('Data_Price '!AP$2:AP$1266,MATCH(Data!$DN679,'Data_Price '!$AT$2:$AT$1266,0))</f>
        <v>#N/A</v>
      </c>
      <c r="DH679" t="e">
        <f>INDEX('Data_Price '!AQ$2:AQ$1266,MATCH(Data!$DN679,'Data_Price '!$AT$2:$AT$1266,0))</f>
        <v>#N/A</v>
      </c>
      <c r="DI679" t="e">
        <f>INDEX('Data_Price '!AR$2:AR$1266,MATCH(Data!$DN679,'Data_Price '!$AT$2:$AT$1266,0))</f>
        <v>#N/A</v>
      </c>
      <c r="DJ679" s="89" t="e">
        <f t="shared" si="402"/>
        <v>#N/A</v>
      </c>
      <c r="DK679" s="89" t="e">
        <f t="shared" si="403"/>
        <v>#N/A</v>
      </c>
      <c r="DL679" s="89" t="e">
        <f t="shared" si="404"/>
        <v>#N/A</v>
      </c>
      <c r="DM679" s="219" t="str">
        <f t="shared" si="405"/>
        <v>Reckoner 92</v>
      </c>
      <c r="DN679" s="89" t="str">
        <f t="shared" si="406"/>
        <v xml:space="preserve"> K2Reckoner 92169 Unisex</v>
      </c>
      <c r="DO679" s="221" t="s">
        <v>580</v>
      </c>
    </row>
    <row r="680" spans="2:119" ht="15.6" customHeight="1">
      <c r="B680" s="219" t="b">
        <f t="array" ref="B680">IF(OR(ISERROR(K680:P680)),FALSE,TRUE)</f>
        <v>1</v>
      </c>
      <c r="C680" s="43" t="b">
        <f>OR(BR680=Driver!$G$50,Data!BR583=Driver!$H$50)</f>
        <v>1</v>
      </c>
      <c r="D680" s="43" t="b">
        <f>OR(BV680=Driver!$G$51,BV680=Driver!$H$51)</f>
        <v>0</v>
      </c>
      <c r="E680" s="43" t="b">
        <f>AND(BX680&gt;Driver!$F$54,BX680&lt;Driver!$G$54)</f>
        <v>1</v>
      </c>
      <c r="F680" s="43" t="b">
        <f>CL680&gt;Driver!$F$56</f>
        <v>1</v>
      </c>
      <c r="G680" s="43" t="b">
        <f>AND(CB680&gt;Driver!$F$55,CB680&lt;Driver!$G$55)</f>
        <v>0</v>
      </c>
      <c r="H680" s="43" t="b">
        <f t="shared" si="370"/>
        <v>0</v>
      </c>
      <c r="I680" s="43">
        <f t="shared" si="371"/>
        <v>0</v>
      </c>
      <c r="J680" s="43" t="b">
        <f t="array" ref="J680">NOT(OR(($H$9:$H$1273=TRUE)*($I$9:$I$1273&gt;0)*($BT$9:$BT$1273=BT680)*($K$9:$K$1273&gt;K680)))</f>
        <v>1</v>
      </c>
      <c r="K680" s="72">
        <f t="shared" si="372"/>
        <v>0.84145383416610953</v>
      </c>
      <c r="L680" s="72">
        <f t="shared" si="373"/>
        <v>0.87872717036438686</v>
      </c>
      <c r="M680" s="72">
        <f t="shared" si="374"/>
        <v>0.80418049796783231</v>
      </c>
      <c r="N680" s="72">
        <f t="shared" si="375"/>
        <v>0.86245422169069352</v>
      </c>
      <c r="O680" s="72">
        <f t="shared" si="376"/>
        <v>0.60414328280269347</v>
      </c>
      <c r="P680" s="72">
        <f t="shared" si="377"/>
        <v>0.94594398941011004</v>
      </c>
      <c r="Q680" s="72"/>
      <c r="R680" s="72"/>
      <c r="S680" s="72">
        <f t="shared" si="378"/>
        <v>0.40429590241755464</v>
      </c>
      <c r="T680" s="72">
        <f t="shared" si="379"/>
        <v>0.51304743758470517</v>
      </c>
      <c r="U680" s="72">
        <f t="shared" si="380"/>
        <v>0.55463687611749024</v>
      </c>
      <c r="V680" s="72">
        <f t="shared" si="381"/>
        <v>0.62405551292175021</v>
      </c>
      <c r="W680" s="72">
        <f t="shared" si="382"/>
        <v>0.921672957006892</v>
      </c>
      <c r="X680" s="72">
        <f t="shared" si="383"/>
        <v>0.1212728296356132</v>
      </c>
      <c r="Y680" s="72">
        <f t="shared" si="384"/>
        <v>0.19581950203216766</v>
      </c>
      <c r="Z680" s="72">
        <f t="shared" si="385"/>
        <v>0.13754577830930648</v>
      </c>
      <c r="AA680" s="72">
        <f t="shared" si="386"/>
        <v>0.39585671719730653</v>
      </c>
      <c r="AB680" s="72">
        <f t="shared" si="387"/>
        <v>5.4056010589889958E-2</v>
      </c>
      <c r="AC680" s="72"/>
      <c r="AD680" s="72"/>
      <c r="AE680" s="72">
        <f t="shared" si="388"/>
        <v>0.59570409758244536</v>
      </c>
      <c r="AF680" s="72">
        <f t="shared" si="389"/>
        <v>0.48695256241529478</v>
      </c>
      <c r="AG680" s="72">
        <f t="shared" si="390"/>
        <v>0.44536312388250976</v>
      </c>
      <c r="AH680" s="72">
        <f t="shared" si="391"/>
        <v>0.37594448707824979</v>
      </c>
      <c r="AI680" s="72">
        <f t="shared" si="392"/>
        <v>7.8327042993107998E-2</v>
      </c>
      <c r="AJ680" s="72">
        <f>(AV680-Driver!$K$179)/(Driver!$L$179-Driver!$K$179)</f>
        <v>0.13294657964708723</v>
      </c>
      <c r="AK680" s="72">
        <f>(AW680-Driver!$K$180)/(Driver!$L$180-Driver!$K$180)</f>
        <v>0.20097747119291853</v>
      </c>
      <c r="AL680" s="72">
        <f>(AX680-Driver!$K$181)/(Driver!$L$181-Driver!$K$181)</f>
        <v>0.23923354202238667</v>
      </c>
      <c r="AM680" s="72">
        <f>(AY680-Driver!$K$182)/(Driver!$L$182-Driver!$K$182)</f>
        <v>5.1528303899739822E-2</v>
      </c>
      <c r="AN680" s="72">
        <f>(AZ680-Driver!$K$183)/(Driver!$L$183-Driver!$K$183)</f>
        <v>0.20016339869281047</v>
      </c>
      <c r="AO680" s="72"/>
      <c r="AP680" s="72"/>
      <c r="AQ680" s="72">
        <f>(BC680-Driver!$K$188)/(Driver!$L$188-Driver!$K$188)</f>
        <v>2.4295902417554673E-2</v>
      </c>
      <c r="AR680" s="72">
        <f>MIN((BD680-Driver!$K$189)/(Driver!$L$189-Driver!$K$189),100%)</f>
        <v>6.3047437584705282E-2</v>
      </c>
      <c r="AS680" s="72">
        <f>(BE680-Driver!$K$190)/(Driver!$L$190-Driver!$K$190)</f>
        <v>6.4636876117490263E-2</v>
      </c>
      <c r="AT680" s="72">
        <f>(BF680-Driver!$K$191)/(Driver!$L$191-Driver!$K$191)</f>
        <v>0.13405551292175025</v>
      </c>
      <c r="AU680" s="72">
        <f>(BG680-Driver!$K$192)/(Driver!$L$192-Driver!$K$192)</f>
        <v>0.171672957006892</v>
      </c>
      <c r="AV680" s="70">
        <f t="shared" si="393"/>
        <v>2.7981277981277977</v>
      </c>
      <c r="AW680" s="70">
        <f t="shared" si="394"/>
        <v>21.458928030765048</v>
      </c>
      <c r="AX680" s="70">
        <f t="shared" si="395"/>
        <v>3.1531018782014799</v>
      </c>
      <c r="AY680" s="70">
        <f>IFERROR(Driver!$K$19/Data!BH680/Data!BI680*Data!BK680*Data!BL680,"")</f>
        <v>6.3086018535272015E-2</v>
      </c>
      <c r="AZ680" s="70">
        <f t="shared" si="396"/>
        <v>18.242740134028296</v>
      </c>
      <c r="BA680" s="70"/>
      <c r="BB680" s="70"/>
      <c r="BC680" s="70">
        <f t="shared" si="397"/>
        <v>12.602453486359014</v>
      </c>
      <c r="BD680" s="70">
        <f t="shared" si="398"/>
        <v>7.3004093968951764</v>
      </c>
      <c r="BE680" s="70">
        <f t="shared" si="399"/>
        <v>6.4803734370830507E-2</v>
      </c>
      <c r="BF680" s="70">
        <f t="shared" si="400"/>
        <v>15.14062839123163</v>
      </c>
      <c r="BG680" s="70">
        <f t="shared" si="401"/>
        <v>0.65006333073514933</v>
      </c>
      <c r="BH680" s="67">
        <f>MAX((CE680-Driver!$F$200)/(Driver!$G$200-Driver!$F$200)*$BI$1,1)</f>
        <v>3.1531018782014799</v>
      </c>
      <c r="BI680" s="67">
        <f>MAX($BI$1*(BY680-Driver!$F$201)/(Driver!$G$201-Driver!$F$201),1)</f>
        <v>6.2025316455696204</v>
      </c>
      <c r="BJ680" s="67">
        <f>(CB680-Driver!$F$206)/(Driver!$G$206-Driver!$F$206)*$BI$1</f>
        <v>3.9682539682539679</v>
      </c>
      <c r="BK680" s="67">
        <f>(CD680-Driver!$F$203)/(Driver!$G$203-Driver!$F$203)*$BI$1</f>
        <v>1.3761467889908259</v>
      </c>
      <c r="BL680" s="67">
        <f>MAX((CR680-Driver!$F$202)/(Driver!$G$202-Driver!$F$202)*$BI$1,1)</f>
        <v>4.4827586206896548</v>
      </c>
      <c r="BM680" s="67">
        <f>MAX((CH680-Driver!$F$204)/(Driver!$G$204-Driver!$F$204)*$BI$1,1)</f>
        <v>2.8205128205128203</v>
      </c>
      <c r="BN680" s="67">
        <f>(CI680-Driver!$F$205)/(Driver!$G$205-Driver!$F$205)*$BI$1</f>
        <v>2.9411764705882355</v>
      </c>
      <c r="BO680" s="67">
        <f>(CK680-Driver!$F$207)/(Driver!$G$207-Driver!$F$207)*$BI$1</f>
        <v>2.3164426059979317</v>
      </c>
      <c r="BP680" s="67">
        <f>(CM680-Driver!$F$208)/(Driver!$G$208-Driver!$F$208)*$BI$1</f>
        <v>2.2666666666666666</v>
      </c>
      <c r="BQ680" s="67">
        <f>(CL680-Driver!$F$209)/(Driver!$G$209-Driver!$F$209)*$BI$1</f>
        <v>5.78125</v>
      </c>
      <c r="BR680" s="28" t="s">
        <v>155</v>
      </c>
      <c r="BS680" s="8" t="s">
        <v>245</v>
      </c>
      <c r="BT680" s="9" t="s">
        <v>246</v>
      </c>
      <c r="BU680" s="10">
        <v>161</v>
      </c>
      <c r="BV680" s="9" t="s">
        <v>163</v>
      </c>
      <c r="BW680" s="10">
        <v>161</v>
      </c>
      <c r="BX680" s="10">
        <v>160.1</v>
      </c>
      <c r="BY680" s="10">
        <v>106</v>
      </c>
      <c r="BZ680" s="10">
        <v>131</v>
      </c>
      <c r="CA680" s="10">
        <v>123</v>
      </c>
      <c r="CB680" s="10">
        <v>89</v>
      </c>
      <c r="CC680" s="10">
        <v>114</v>
      </c>
      <c r="CD680" s="10">
        <v>12.4</v>
      </c>
      <c r="CE680" s="10">
        <v>1454</v>
      </c>
      <c r="CF680" s="10">
        <v>1.1299999999999999</v>
      </c>
      <c r="CG680" s="10">
        <v>1638</v>
      </c>
      <c r="CH680" s="10">
        <v>167</v>
      </c>
      <c r="CI680" s="10">
        <v>83</v>
      </c>
      <c r="CJ680" s="10">
        <v>50</v>
      </c>
      <c r="CK680" s="10">
        <v>334</v>
      </c>
      <c r="CL680" s="10">
        <v>37</v>
      </c>
      <c r="CM680" s="10">
        <v>204</v>
      </c>
      <c r="CN680" s="10">
        <v>0.746</v>
      </c>
      <c r="CO680" s="10">
        <v>142</v>
      </c>
      <c r="CP680" s="10">
        <v>145</v>
      </c>
      <c r="CQ680" s="10">
        <v>192</v>
      </c>
      <c r="CR680" s="10">
        <v>2</v>
      </c>
      <c r="CS680" s="10">
        <v>8.1</v>
      </c>
      <c r="CT680" s="9" t="s">
        <v>188</v>
      </c>
      <c r="CU680" s="9" t="s">
        <v>185</v>
      </c>
      <c r="CV680" s="10"/>
      <c r="CW680" s="10"/>
      <c r="CX680" t="str">
        <f>INDEX('Data_Price '!AG$2:AG$1266,MATCH(Data!$DN680,'Data_Price '!$AT$2:$AT$1266,0))</f>
        <v>Fischer Ranger 94 FR 21/22</v>
      </c>
      <c r="CY680" t="str">
        <f>INDEX('Data_Price '!AH$2:AH$1266,MATCH(Data!$DN680,'Data_Price '!$AT$2:$AT$1266,0))</f>
        <v>! OutdoorXL.com</v>
      </c>
      <c r="CZ680">
        <f>INDEX('Data_Price '!AI$2:AI$1266,MATCH(Data!$DN680,'Data_Price '!$AT$2:$AT$1266,0))</f>
        <v>359.95</v>
      </c>
      <c r="DA680" t="str">
        <f>INDEX('Data_Price '!AJ$2:AJ$1266,MATCH(Data!$DN680,'Data_Price '!$AT$2:$AT$1266,0))</f>
        <v>https://tinyurl.com/y97e2w68</v>
      </c>
      <c r="DB680" t="str">
        <f>INDEX('Data_Price '!AK$2:AK$1266,MATCH(Data!$DN680,'Data_Price '!$AT$2:$AT$1266,0))</f>
        <v xml:space="preserve"> 2020 Fischer Ranger 94 FR Demo Ski with Bindings Size 161 (Option 211770)</v>
      </c>
      <c r="DC680" t="str">
        <f>INDEX('Data_Price '!AL$2:AL$1266,MATCH(Data!$DN680,'Data_Price '!$AT$2:$AT$1266,0))</f>
        <v>SidelineSwap</v>
      </c>
      <c r="DD680">
        <f>INDEX('Data_Price '!AM$2:AM$1266,MATCH(Data!$DN680,'Data_Price '!$AT$2:$AT$1266,0))</f>
        <v>389.99</v>
      </c>
      <c r="DE680" t="str">
        <f>INDEX('Data_Price '!AN$2:AN$1266,MATCH(Data!$DN680,'Data_Price '!$AT$2:$AT$1266,0))</f>
        <v>https://tinyurl.com/y9veakdd</v>
      </c>
      <c r="DF680" t="str">
        <f>INDEX('Data_Price '!AO$2:AO$1266,MATCH(Data!$DN680,'Data_Price '!$AT$2:$AT$1266,0))</f>
        <v>Ranger 94 Fr 161</v>
      </c>
      <c r="DG680" t="str">
        <f>INDEX('Data_Price '!AP$2:AP$1266,MATCH(Data!$DN680,'Data_Price '!$AT$2:$AT$1266,0))</f>
        <v>Pro Ski and Mountain Service</v>
      </c>
      <c r="DH680">
        <f>INDEX('Data_Price '!AQ$2:AQ$1266,MATCH(Data!$DN680,'Data_Price '!$AT$2:$AT$1266,0))</f>
        <v>699.99</v>
      </c>
      <c r="DI680" t="str">
        <f>INDEX('Data_Price '!AR$2:AR$1266,MATCH(Data!$DN680,'Data_Price '!$AT$2:$AT$1266,0))</f>
        <v>https://tinyurl.com/ycljtj28</v>
      </c>
      <c r="DJ680" s="89" t="str">
        <f t="shared" si="402"/>
        <v>https://tinyurl.com/y97e2w68</v>
      </c>
      <c r="DK680" s="89" t="str">
        <f t="shared" si="403"/>
        <v>https://tinyurl.com/y9veakdd</v>
      </c>
      <c r="DL680" s="89" t="str">
        <f t="shared" si="404"/>
        <v>https://tinyurl.com/ycljtj28</v>
      </c>
      <c r="DM680" s="219" t="str">
        <f t="shared" si="405"/>
        <v>Ranger 94 FR W</v>
      </c>
      <c r="DN680" s="89" t="str">
        <f t="shared" si="406"/>
        <v xml:space="preserve"> FischerRanger 94 FR W161 Women's</v>
      </c>
      <c r="DO680" s="221"/>
    </row>
    <row r="681" spans="2:119" ht="15.6" customHeight="1">
      <c r="B681" s="219" t="b">
        <f t="array" ref="B681">IF(OR(ISERROR(K681:P681)),FALSE,TRUE)</f>
        <v>1</v>
      </c>
      <c r="C681" s="43" t="b">
        <f>OR(BR681=Driver!$G$50,Data!BR440=Driver!$H$50)</f>
        <v>1</v>
      </c>
      <c r="D681" s="43" t="b">
        <f>OR(BV681=Driver!$G$51,BV681=Driver!$H$51)</f>
        <v>0</v>
      </c>
      <c r="E681" s="43" t="b">
        <f>AND(BX681&gt;Driver!$F$54,BX681&lt;Driver!$G$54)</f>
        <v>1</v>
      </c>
      <c r="F681" s="43" t="b">
        <f>CL681&gt;Driver!$F$56</f>
        <v>1</v>
      </c>
      <c r="G681" s="43" t="b">
        <f>AND(CB681&gt;Driver!$F$55,CB681&lt;Driver!$G$55)</f>
        <v>0</v>
      </c>
      <c r="H681" s="43" t="b">
        <f t="shared" si="370"/>
        <v>0</v>
      </c>
      <c r="I681" s="43">
        <f t="shared" si="371"/>
        <v>0</v>
      </c>
      <c r="J681" s="43" t="b">
        <f t="array" ref="J681">NOT(OR(($H$9:$H$1273=TRUE)*($I$9:$I$1273&gt;0)*($BT$9:$BT$1273=BT681)*($K$9:$K$1273&gt;K681)))</f>
        <v>1</v>
      </c>
      <c r="K681" s="72">
        <f t="shared" si="372"/>
        <v>0.77815198736959523</v>
      </c>
      <c r="L681" s="72">
        <f t="shared" si="373"/>
        <v>0.80741945946276727</v>
      </c>
      <c r="M681" s="72">
        <f t="shared" si="374"/>
        <v>0.74888451527642319</v>
      </c>
      <c r="N681" s="72">
        <f t="shared" si="375"/>
        <v>0.67336929156990688</v>
      </c>
      <c r="O681" s="72">
        <f t="shared" si="376"/>
        <v>0.60103307530676886</v>
      </c>
      <c r="P681" s="72">
        <f t="shared" si="377"/>
        <v>0.97225117895259372</v>
      </c>
      <c r="Q681" s="72"/>
      <c r="R681" s="72"/>
      <c r="S681" s="72">
        <f t="shared" si="378"/>
        <v>0.44108684036413748</v>
      </c>
      <c r="T681" s="72">
        <f t="shared" si="379"/>
        <v>0.92863161957130813</v>
      </c>
      <c r="U681" s="72">
        <f t="shared" si="380"/>
        <v>0.51</v>
      </c>
      <c r="V681" s="72">
        <f t="shared" si="381"/>
        <v>0.49106455848496688</v>
      </c>
      <c r="W681" s="72">
        <f t="shared" si="382"/>
        <v>0.75701951589545546</v>
      </c>
      <c r="X681" s="72">
        <f t="shared" si="383"/>
        <v>0.19258054053723273</v>
      </c>
      <c r="Y681" s="72">
        <f t="shared" si="384"/>
        <v>0.25111548472357687</v>
      </c>
      <c r="Z681" s="72">
        <f t="shared" si="385"/>
        <v>0.32663070843009312</v>
      </c>
      <c r="AA681" s="72">
        <f t="shared" si="386"/>
        <v>0.39896692469323114</v>
      </c>
      <c r="AB681" s="72">
        <f t="shared" si="387"/>
        <v>2.7748821047406308E-2</v>
      </c>
      <c r="AC681" s="72"/>
      <c r="AD681" s="72"/>
      <c r="AE681" s="72">
        <f t="shared" si="388"/>
        <v>0.55891315963586252</v>
      </c>
      <c r="AF681" s="72">
        <f t="shared" si="389"/>
        <v>7.1368380428691869E-2</v>
      </c>
      <c r="AG681" s="72">
        <f t="shared" si="390"/>
        <v>0.49</v>
      </c>
      <c r="AH681" s="72">
        <f t="shared" si="391"/>
        <v>0.50893544151503312</v>
      </c>
      <c r="AI681" s="72">
        <f t="shared" si="392"/>
        <v>0.24298048410454451</v>
      </c>
      <c r="AJ681" s="72">
        <f>(AV681-Driver!$K$179)/(Driver!$L$179-Driver!$K$179)</f>
        <v>6.1638868745467715E-2</v>
      </c>
      <c r="AK681" s="72">
        <f>(AW681-Driver!$K$180)/(Driver!$L$180-Driver!$K$180)</f>
        <v>0.24300108798869685</v>
      </c>
      <c r="AL681" s="72">
        <f>(AX681-Driver!$K$181)/(Driver!$L$181-Driver!$K$181)</f>
        <v>0.42831847214317331</v>
      </c>
      <c r="AM681" s="72">
        <f>(AY681-Driver!$K$182)/(Driver!$L$182-Driver!$K$182)</f>
        <v>4.8418096403815246E-2</v>
      </c>
      <c r="AN681" s="72">
        <f>(AZ681-Driver!$K$183)/(Driver!$L$183-Driver!$K$183)</f>
        <v>0.22647058823529412</v>
      </c>
      <c r="AO681" s="72"/>
      <c r="AP681" s="72"/>
      <c r="AQ681" s="72">
        <f>(BC681-Driver!$K$188)/(Driver!$L$188-Driver!$K$188)</f>
        <v>6.1086840364137453E-2</v>
      </c>
      <c r="AR681" s="72">
        <f>MIN((BD681-Driver!$K$189)/(Driver!$L$189-Driver!$K$189),100%)</f>
        <v>0.47863161957130818</v>
      </c>
      <c r="AS681" s="72">
        <f>(BE681-Driver!$K$190)/(Driver!$L$190-Driver!$K$190)</f>
        <v>1</v>
      </c>
      <c r="AT681" s="72">
        <f>(BF681-Driver!$K$191)/(Driver!$L$191-Driver!$K$191)</f>
        <v>1.0645584849668401E-3</v>
      </c>
      <c r="AU681" s="72">
        <f>(BG681-Driver!$K$192)/(Driver!$L$192-Driver!$K$192)</f>
        <v>7.0195158954554845E-3</v>
      </c>
      <c r="AV681" s="70">
        <f t="shared" si="393"/>
        <v>1.2973137973137971</v>
      </c>
      <c r="AW681" s="70">
        <f t="shared" si="394"/>
        <v>25.554501854638772</v>
      </c>
      <c r="AX681" s="70">
        <f t="shared" si="395"/>
        <v>4.8548662492885599</v>
      </c>
      <c r="AY681" s="70">
        <f>IFERROR(Driver!$K$19/Data!BH681/Data!BI681*Data!BK681*Data!BL681,"")</f>
        <v>5.9278196563910167E-2</v>
      </c>
      <c r="AZ681" s="70">
        <f t="shared" si="396"/>
        <v>20.640357408786301</v>
      </c>
      <c r="BA681" s="70"/>
      <c r="BB681" s="70"/>
      <c r="BC681" s="70">
        <f t="shared" si="397"/>
        <v>31.686168765702661</v>
      </c>
      <c r="BD681" s="70">
        <f t="shared" si="398"/>
        <v>44.078873131112452</v>
      </c>
      <c r="BE681" s="70">
        <f t="shared" si="399"/>
        <v>1</v>
      </c>
      <c r="BF681" s="70">
        <f t="shared" si="400"/>
        <v>0.12023440193036881</v>
      </c>
      <c r="BG681" s="70">
        <f t="shared" si="401"/>
        <v>2.6580365147231222E-2</v>
      </c>
      <c r="BH681" s="67">
        <f>MAX((CE681-Driver!$F$200)/(Driver!$G$200-Driver!$F$200)*$BI$1,1)</f>
        <v>4.8548662492885599</v>
      </c>
      <c r="BI681" s="67">
        <f>MAX($BI$1*(BY681-Driver!$F$201)/(Driver!$G$201-Driver!$F$201),1)</f>
        <v>8.3544303797468356</v>
      </c>
      <c r="BJ681" s="67">
        <f>(CB681-Driver!$F$206)/(Driver!$G$206-Driver!$F$206)*$BI$1</f>
        <v>1.4285714285714284</v>
      </c>
      <c r="BK681" s="67">
        <f>(CD681-Driver!$F$203)/(Driver!$G$203-Driver!$F$203)*$BI$1</f>
        <v>1.834862385321101</v>
      </c>
      <c r="BL681" s="67">
        <f>MAX((CR681-Driver!$F$202)/(Driver!$G$202-Driver!$F$202)*$BI$1,1)</f>
        <v>6.5517241379310338</v>
      </c>
      <c r="BM681" s="67">
        <f>MAX((CH681-Driver!$F$204)/(Driver!$G$204-Driver!$F$204)*$BI$1,1)</f>
        <v>3.6324786324786325</v>
      </c>
      <c r="BN681" s="67">
        <f>(CI681-Driver!$F$205)/(Driver!$G$205-Driver!$F$205)*$BI$1</f>
        <v>2.4705882352941178</v>
      </c>
      <c r="BO681" s="67">
        <f>(CK681-Driver!$F$207)/(Driver!$G$207-Driver!$F$207)*$BI$1</f>
        <v>0.28955532574974147</v>
      </c>
      <c r="BP681" s="67">
        <f>(CM681-Driver!$F$208)/(Driver!$G$208-Driver!$F$208)*$BI$1</f>
        <v>0.53333333333333333</v>
      </c>
      <c r="BQ681" s="67">
        <f>(CL681-Driver!$F$209)/(Driver!$G$209-Driver!$F$209)*$BI$1</f>
        <v>0.46875</v>
      </c>
      <c r="BR681" s="28" t="s">
        <v>155</v>
      </c>
      <c r="BS681" s="8" t="s">
        <v>164</v>
      </c>
      <c r="BT681" s="9" t="s">
        <v>714</v>
      </c>
      <c r="BU681" s="10">
        <v>158</v>
      </c>
      <c r="BV681" s="9" t="s">
        <v>163</v>
      </c>
      <c r="BW681" s="10">
        <v>158</v>
      </c>
      <c r="BX681" s="10">
        <v>159</v>
      </c>
      <c r="BY681" s="10">
        <v>140</v>
      </c>
      <c r="BZ681" s="10">
        <v>147</v>
      </c>
      <c r="CA681" s="10">
        <v>122</v>
      </c>
      <c r="CB681" s="10">
        <v>73</v>
      </c>
      <c r="CC681" s="10">
        <v>104</v>
      </c>
      <c r="CD681" s="10">
        <v>13.4</v>
      </c>
      <c r="CE681" s="10">
        <v>1753</v>
      </c>
      <c r="CF681" s="10">
        <v>0.8</v>
      </c>
      <c r="CG681" s="10">
        <v>1395</v>
      </c>
      <c r="CH681" s="10">
        <v>186</v>
      </c>
      <c r="CI681" s="10">
        <v>75</v>
      </c>
      <c r="CJ681" s="10">
        <v>41</v>
      </c>
      <c r="CK681" s="10">
        <v>138</v>
      </c>
      <c r="CL681" s="10">
        <v>3</v>
      </c>
      <c r="CM681" s="10">
        <v>48</v>
      </c>
      <c r="CN681" s="10">
        <v>7.5999999999999998E-2</v>
      </c>
      <c r="CO681" s="10">
        <v>78</v>
      </c>
      <c r="CP681" s="10">
        <v>38</v>
      </c>
      <c r="CQ681" s="10">
        <v>60</v>
      </c>
      <c r="CR681" s="10">
        <v>8</v>
      </c>
      <c r="CS681" s="10">
        <v>9.8000000000000007</v>
      </c>
      <c r="CT681" s="9" t="s">
        <v>349</v>
      </c>
      <c r="CU681" s="10"/>
      <c r="CV681" s="10"/>
      <c r="CW681" s="10"/>
      <c r="CX681" t="str">
        <f>INDEX('Data_Price '!AG$2:AG$1266,MATCH(Data!$DN681,'Data_Price '!$AT$2:$AT$1266,0))</f>
        <v>Elan Insomnia 16 Ti Blue 158 Ski Lady's Ladies / Women</v>
      </c>
      <c r="CY681" t="str">
        <f>INDEX('Data_Price '!AH$2:AH$1266,MATCH(Data!$DN681,'Data_Price '!$AT$2:$AT$1266,0))</f>
        <v>! OutdoorXL.com</v>
      </c>
      <c r="CZ681">
        <f>INDEX('Data_Price '!AI$2:AI$1266,MATCH(Data!$DN681,'Data_Price '!$AT$2:$AT$1266,0))</f>
        <v>564.95000000000005</v>
      </c>
      <c r="DA681" t="str">
        <f>INDEX('Data_Price '!AJ$2:AJ$1266,MATCH(Data!$DN681,'Data_Price '!$AT$2:$AT$1266,0))</f>
        <v>https://tinyurl.com/y6wtt293</v>
      </c>
      <c r="DB681" t="str">
        <f>INDEX('Data_Price '!AK$2:AK$1266,MATCH(Data!$DN681,'Data_Price '!$AT$2:$AT$1266,0))</f>
        <v>Snow skiing with mounts Elan 2020-21 insomnia elite Ti PS + elx11.0 (CM: 158) Kant Kant Kaht</v>
      </c>
      <c r="DC681" t="str">
        <f>INDEX('Data_Price '!AL$2:AL$1266,MATCH(Data!$DN681,'Data_Price '!$AT$2:$AT$1266,0))</f>
        <v>AliExpress.com</v>
      </c>
      <c r="DD681">
        <f>INDEX('Data_Price '!AM$2:AM$1266,MATCH(Data!$DN681,'Data_Price '!$AT$2:$AT$1266,0))</f>
        <v>816.48</v>
      </c>
      <c r="DE681" t="str">
        <f>INDEX('Data_Price '!AN$2:AN$1266,MATCH(Data!$DN681,'Data_Price '!$AT$2:$AT$1266,0))</f>
        <v>https://tinyurl.com/y9cbppyr</v>
      </c>
      <c r="DF681" t="str">
        <f>INDEX('Data_Price '!AO$2:AO$1266,MATCH(Data!$DN681,'Data_Price '!$AT$2:$AT$1266,0))</f>
        <v>Elan Insomnia 158</v>
      </c>
      <c r="DG681" t="str">
        <f>INDEX('Data_Price '!AP$2:AP$1266,MATCH(Data!$DN681,'Data_Price '!$AT$2:$AT$1266,0))</f>
        <v>Winteriscalling.com</v>
      </c>
      <c r="DH681">
        <f>INDEX('Data_Price '!AQ$2:AQ$1266,MATCH(Data!$DN681,'Data_Price '!$AT$2:$AT$1266,0))</f>
        <v>649.99</v>
      </c>
      <c r="DI681" t="str">
        <f>INDEX('Data_Price '!AR$2:AR$1266,MATCH(Data!$DN681,'Data_Price '!$AT$2:$AT$1266,0))</f>
        <v>https://tinyurl.com/y8eubbnd</v>
      </c>
      <c r="DJ681" s="89" t="str">
        <f t="shared" si="402"/>
        <v>https://tinyurl.com/y6wtt293</v>
      </c>
      <c r="DK681" s="89" t="str">
        <f t="shared" si="403"/>
        <v>https://tinyurl.com/y9cbppyr</v>
      </c>
      <c r="DL681" s="89" t="str">
        <f t="shared" si="404"/>
        <v>https://tinyurl.com/y8eubbnd</v>
      </c>
      <c r="DM681" s="219" t="str">
        <f t="shared" si="405"/>
        <v>Insomnia 16 Ti</v>
      </c>
      <c r="DN681" s="89" t="str">
        <f t="shared" si="406"/>
        <v xml:space="preserve"> ElanInsomnia 16 Ti158 Women's</v>
      </c>
      <c r="DO681" s="221"/>
    </row>
    <row r="682" spans="2:119" ht="15.6" customHeight="1">
      <c r="B682" s="219" t="b">
        <f t="array" ref="B682">IF(OR(ISERROR(K682:P682)),FALSE,TRUE)</f>
        <v>1</v>
      </c>
      <c r="C682" s="43" t="b">
        <f>OR(BR682=Driver!$G$50,Data!BR716=Driver!$H$50)</f>
        <v>1</v>
      </c>
      <c r="D682" s="43" t="b">
        <f>OR(BV682=Driver!$G$51,BV682=Driver!$H$51)</f>
        <v>0</v>
      </c>
      <c r="E682" s="43" t="b">
        <f>AND(BX682&gt;Driver!$F$54,BX682&lt;Driver!$G$54)</f>
        <v>0</v>
      </c>
      <c r="F682" s="43" t="b">
        <f>CL682&gt;Driver!$F$56</f>
        <v>1</v>
      </c>
      <c r="G682" s="43" t="b">
        <f>AND(CB682&gt;Driver!$F$55,CB682&lt;Driver!$G$55)</f>
        <v>1</v>
      </c>
      <c r="H682" s="43" t="b">
        <f t="shared" si="370"/>
        <v>0</v>
      </c>
      <c r="I682" s="43">
        <f t="shared" si="371"/>
        <v>0</v>
      </c>
      <c r="J682" s="43" t="b">
        <f t="array" ref="J682">NOT(OR(($H$9:$H$1273=TRUE)*($I$9:$I$1273&gt;0)*($BT$9:$BT$1273=BT682)*($K$9:$K$1273&gt;K682)))</f>
        <v>1</v>
      </c>
      <c r="K682" s="72">
        <f t="shared" si="372"/>
        <v>0.84910676810331054</v>
      </c>
      <c r="L682" s="72">
        <f t="shared" si="373"/>
        <v>0.9406883338483929</v>
      </c>
      <c r="M682" s="72">
        <f t="shared" si="374"/>
        <v>0.75752520235822818</v>
      </c>
      <c r="N682" s="72">
        <f t="shared" si="375"/>
        <v>0.7157394933026584</v>
      </c>
      <c r="O682" s="72">
        <f t="shared" si="376"/>
        <v>0.64634964070178524</v>
      </c>
      <c r="P682" s="72">
        <f t="shared" si="377"/>
        <v>0.91048647307024078</v>
      </c>
      <c r="Q682" s="72"/>
      <c r="R682" s="72"/>
      <c r="S682" s="72">
        <f t="shared" si="378"/>
        <v>0.41018160234746837</v>
      </c>
      <c r="T682" s="72">
        <f t="shared" si="379"/>
        <v>0.47370604733648003</v>
      </c>
      <c r="U682" s="72">
        <f t="shared" si="380"/>
        <v>0.53996046282916077</v>
      </c>
      <c r="V682" s="72">
        <f t="shared" si="381"/>
        <v>0.66070099892402823</v>
      </c>
      <c r="W682" s="72">
        <f t="shared" si="382"/>
        <v>0.83048259800750424</v>
      </c>
      <c r="X682" s="72">
        <f t="shared" si="383"/>
        <v>5.9311666151607073E-2</v>
      </c>
      <c r="Y682" s="72">
        <f t="shared" si="384"/>
        <v>0.24247479764177185</v>
      </c>
      <c r="Z682" s="72">
        <f t="shared" si="385"/>
        <v>0.2842605066973416</v>
      </c>
      <c r="AA682" s="72">
        <f t="shared" si="386"/>
        <v>0.35365035929821476</v>
      </c>
      <c r="AB682" s="72">
        <f t="shared" si="387"/>
        <v>8.9513526929759224E-2</v>
      </c>
      <c r="AC682" s="72"/>
      <c r="AD682" s="72"/>
      <c r="AE682" s="72">
        <f t="shared" si="388"/>
        <v>0.58981839765253163</v>
      </c>
      <c r="AF682" s="72">
        <f t="shared" si="389"/>
        <v>0.52629395266351997</v>
      </c>
      <c r="AG682" s="72">
        <f t="shared" si="390"/>
        <v>0.46003953717083923</v>
      </c>
      <c r="AH682" s="72">
        <f t="shared" si="391"/>
        <v>0.33929900107597172</v>
      </c>
      <c r="AI682" s="72">
        <f t="shared" si="392"/>
        <v>0.16951740199249579</v>
      </c>
      <c r="AJ682" s="72">
        <f>(AV682-Driver!$K$179)/(Driver!$L$179-Driver!$K$179)</f>
        <v>0.19490774313109335</v>
      </c>
      <c r="AK682" s="72">
        <f>(AW682-Driver!$K$180)/(Driver!$L$180-Driver!$K$180)</f>
        <v>0.18189798102100882</v>
      </c>
      <c r="AL682" s="72">
        <f>(AX682-Driver!$K$181)/(Driver!$L$181-Driver!$K$181)</f>
        <v>0.38594827041042179</v>
      </c>
      <c r="AM682" s="72">
        <f>(AY682-Driver!$K$182)/(Driver!$L$182-Driver!$K$182)</f>
        <v>9.3734661798831595E-2</v>
      </c>
      <c r="AN682" s="72">
        <f>(AZ682-Driver!$K$183)/(Driver!$L$183-Driver!$K$183)</f>
        <v>0.1647058823529412</v>
      </c>
      <c r="AO682" s="72"/>
      <c r="AP682" s="72"/>
      <c r="AQ682" s="72">
        <f>(BC682-Driver!$K$188)/(Driver!$L$188-Driver!$K$188)</f>
        <v>3.0181602347468361E-2</v>
      </c>
      <c r="AR682" s="72">
        <f>MIN((BD682-Driver!$K$189)/(Driver!$L$189-Driver!$K$189),100%)</f>
        <v>2.3706047336480074E-2</v>
      </c>
      <c r="AS682" s="72">
        <f>(BE682-Driver!$K$190)/(Driver!$L$190-Driver!$K$190)</f>
        <v>4.9960462829160758E-2</v>
      </c>
      <c r="AT682" s="72">
        <f>(BF682-Driver!$K$191)/(Driver!$L$191-Driver!$K$191)</f>
        <v>0.17070099892402829</v>
      </c>
      <c r="AU682" s="72">
        <f>(BG682-Driver!$K$192)/(Driver!$L$192-Driver!$K$192)</f>
        <v>8.0482598007504208E-2</v>
      </c>
      <c r="AV682" s="70">
        <f t="shared" si="393"/>
        <v>4.1022249355582687</v>
      </c>
      <c r="AW682" s="70">
        <f t="shared" si="394"/>
        <v>19.599462652031168</v>
      </c>
      <c r="AX682" s="70">
        <f t="shared" si="395"/>
        <v>4.4735344336937963</v>
      </c>
      <c r="AY682" s="70">
        <f>IFERROR(Driver!$K$19/Data!BH682/Data!BI682*Data!BK682*Data!BL682,"")</f>
        <v>0.1147591937655142</v>
      </c>
      <c r="AZ682" s="70">
        <f t="shared" si="396"/>
        <v>15.011169024571856</v>
      </c>
      <c r="BA682" s="70"/>
      <c r="BB682" s="70"/>
      <c r="BC682" s="70">
        <f t="shared" si="397"/>
        <v>15.655406956727342</v>
      </c>
      <c r="BD682" s="70">
        <f t="shared" si="398"/>
        <v>3.8187660687458775</v>
      </c>
      <c r="BE682" s="70">
        <f t="shared" si="399"/>
        <v>5.0129939189441558E-2</v>
      </c>
      <c r="BF682" s="70">
        <f t="shared" si="400"/>
        <v>19.279478586079165</v>
      </c>
      <c r="BG682" s="70">
        <f t="shared" si="401"/>
        <v>0.30475845840341576</v>
      </c>
      <c r="BH682" s="67">
        <f>MAX((CE682-Driver!$F$200)/(Driver!$G$200-Driver!$F$200)*$BI$1,1)</f>
        <v>4.4735344336937963</v>
      </c>
      <c r="BI682" s="67">
        <f>MAX($BI$1*(BY682-Driver!$F$201)/(Driver!$G$201-Driver!$F$201),1)</f>
        <v>6.075949367088608</v>
      </c>
      <c r="BJ682" s="67">
        <f>(CB682-Driver!$F$206)/(Driver!$G$206-Driver!$F$206)*$BI$1</f>
        <v>6.5079365079365079</v>
      </c>
      <c r="BK682" s="67">
        <f>(CD682-Driver!$F$203)/(Driver!$G$203-Driver!$F$203)*$BI$1</f>
        <v>2.6605504587155959</v>
      </c>
      <c r="BL682" s="67">
        <f>MAX((CR682-Driver!$F$202)/(Driver!$G$202-Driver!$F$202)*$BI$1,1)</f>
        <v>5.8620689655172411</v>
      </c>
      <c r="BM682" s="67">
        <f>MAX((CH682-Driver!$F$204)/(Driver!$G$204-Driver!$F$204)*$BI$1,1)</f>
        <v>2.5213675213675213</v>
      </c>
      <c r="BN682" s="67">
        <f>(CI682-Driver!$F$205)/(Driver!$G$205-Driver!$F$205)*$BI$1</f>
        <v>2.4705882352941178</v>
      </c>
      <c r="BO682" s="67">
        <f>(CK682-Driver!$F$207)/(Driver!$G$207-Driver!$F$207)*$BI$1</f>
        <v>2.7817993795243017</v>
      </c>
      <c r="BP682" s="67">
        <f>(CM682-Driver!$F$208)/(Driver!$G$208-Driver!$F$208)*$BI$1</f>
        <v>2.833333333333333</v>
      </c>
      <c r="BQ682" s="67">
        <f>(CL682-Driver!$F$209)/(Driver!$G$209-Driver!$F$209)*$BI$1</f>
        <v>3.4375</v>
      </c>
      <c r="BR682" s="28" t="s">
        <v>155</v>
      </c>
      <c r="BS682" s="8" t="s">
        <v>262</v>
      </c>
      <c r="BT682" s="9" t="s">
        <v>723</v>
      </c>
      <c r="BU682" s="10">
        <v>167</v>
      </c>
      <c r="BV682" s="9" t="s">
        <v>163</v>
      </c>
      <c r="BW682" s="10">
        <v>167</v>
      </c>
      <c r="BX682" s="10">
        <v>167.8</v>
      </c>
      <c r="BY682" s="10">
        <v>104</v>
      </c>
      <c r="BZ682" s="10">
        <v>129</v>
      </c>
      <c r="CA682" s="10">
        <v>138</v>
      </c>
      <c r="CB682" s="10">
        <v>105</v>
      </c>
      <c r="CC682" s="10">
        <v>123</v>
      </c>
      <c r="CD682" s="10">
        <v>15.2</v>
      </c>
      <c r="CE682" s="10">
        <v>1686</v>
      </c>
      <c r="CF682" s="10">
        <v>1.1499999999999999</v>
      </c>
      <c r="CG682" s="10">
        <v>1940</v>
      </c>
      <c r="CH682" s="10">
        <v>160</v>
      </c>
      <c r="CI682" s="10">
        <v>75</v>
      </c>
      <c r="CJ682" s="10">
        <v>46</v>
      </c>
      <c r="CK682" s="10">
        <v>379</v>
      </c>
      <c r="CL682" s="10">
        <v>22</v>
      </c>
      <c r="CM682" s="10">
        <v>255</v>
      </c>
      <c r="CN682" s="10">
        <v>0.48099999999999998</v>
      </c>
      <c r="CO682" s="10">
        <v>190</v>
      </c>
      <c r="CP682" s="10">
        <v>195</v>
      </c>
      <c r="CQ682" s="10">
        <v>189</v>
      </c>
      <c r="CR682" s="10">
        <v>6</v>
      </c>
      <c r="CS682" s="10">
        <v>9.9</v>
      </c>
      <c r="CT682" s="9" t="s">
        <v>169</v>
      </c>
      <c r="CU682" s="9" t="s">
        <v>185</v>
      </c>
      <c r="CV682" s="10"/>
      <c r="CW682" s="10"/>
      <c r="CX682" t="e">
        <f>INDEX('Data_Price '!AG$2:AG$1266,MATCH(Data!$DN682,'Data_Price '!$AT$2:$AT$1266,0))</f>
        <v>#N/A</v>
      </c>
      <c r="CY682" t="e">
        <f>INDEX('Data_Price '!AH$2:AH$1266,MATCH(Data!$DN682,'Data_Price '!$AT$2:$AT$1266,0))</f>
        <v>#N/A</v>
      </c>
      <c r="CZ682" t="e">
        <f>INDEX('Data_Price '!AI$2:AI$1266,MATCH(Data!$DN682,'Data_Price '!$AT$2:$AT$1266,0))</f>
        <v>#N/A</v>
      </c>
      <c r="DA682" t="e">
        <f>INDEX('Data_Price '!AJ$2:AJ$1266,MATCH(Data!$DN682,'Data_Price '!$AT$2:$AT$1266,0))</f>
        <v>#N/A</v>
      </c>
      <c r="DB682" t="e">
        <f>INDEX('Data_Price '!AK$2:AK$1266,MATCH(Data!$DN682,'Data_Price '!$AT$2:$AT$1266,0))</f>
        <v>#N/A</v>
      </c>
      <c r="DC682" t="e">
        <f>INDEX('Data_Price '!AL$2:AL$1266,MATCH(Data!$DN682,'Data_Price '!$AT$2:$AT$1266,0))</f>
        <v>#N/A</v>
      </c>
      <c r="DD682" t="e">
        <f>INDEX('Data_Price '!AM$2:AM$1266,MATCH(Data!$DN682,'Data_Price '!$AT$2:$AT$1266,0))</f>
        <v>#N/A</v>
      </c>
      <c r="DE682" t="e">
        <f>INDEX('Data_Price '!AN$2:AN$1266,MATCH(Data!$DN682,'Data_Price '!$AT$2:$AT$1266,0))</f>
        <v>#N/A</v>
      </c>
      <c r="DF682" t="e">
        <f>INDEX('Data_Price '!AO$2:AO$1266,MATCH(Data!$DN682,'Data_Price '!$AT$2:$AT$1266,0))</f>
        <v>#N/A</v>
      </c>
      <c r="DG682" t="e">
        <f>INDEX('Data_Price '!AP$2:AP$1266,MATCH(Data!$DN682,'Data_Price '!$AT$2:$AT$1266,0))</f>
        <v>#N/A</v>
      </c>
      <c r="DH682" t="e">
        <f>INDEX('Data_Price '!AQ$2:AQ$1266,MATCH(Data!$DN682,'Data_Price '!$AT$2:$AT$1266,0))</f>
        <v>#N/A</v>
      </c>
      <c r="DI682" t="e">
        <f>INDEX('Data_Price '!AR$2:AR$1266,MATCH(Data!$DN682,'Data_Price '!$AT$2:$AT$1266,0))</f>
        <v>#N/A</v>
      </c>
      <c r="DJ682" s="89" t="e">
        <f t="shared" si="402"/>
        <v>#N/A</v>
      </c>
      <c r="DK682" s="89" t="e">
        <f t="shared" si="403"/>
        <v>#N/A</v>
      </c>
      <c r="DL682" s="89" t="e">
        <f t="shared" si="404"/>
        <v>#N/A</v>
      </c>
      <c r="DM682" s="219" t="str">
        <f t="shared" si="405"/>
        <v>Mindbender 106 C Alliance</v>
      </c>
      <c r="DN682" s="89" t="str">
        <f t="shared" si="406"/>
        <v xml:space="preserve"> K2Mindbender 106 C Alliance167 Women's</v>
      </c>
      <c r="DO682" s="221"/>
    </row>
    <row r="683" spans="2:119" ht="15.6" customHeight="1">
      <c r="B683" s="219" t="b">
        <f t="array" ref="B683">IF(OR(ISERROR(K683:P683)),FALSE,TRUE)</f>
        <v>1</v>
      </c>
      <c r="C683" s="43" t="b">
        <f>OR(BR683=Driver!$G$50,Data!BR950=Driver!$H$50)</f>
        <v>1</v>
      </c>
      <c r="D683" s="43" t="b">
        <f>OR(BV683=Driver!$G$51,BV683=Driver!$H$51)</f>
        <v>1</v>
      </c>
      <c r="E683" s="43" t="b">
        <f>AND(BX683&gt;Driver!$F$54,BX683&lt;Driver!$G$54)</f>
        <v>0</v>
      </c>
      <c r="F683" s="43" t="b">
        <f>CL683&gt;Driver!$F$56</f>
        <v>1</v>
      </c>
      <c r="G683" s="43" t="b">
        <f>AND(CB683&gt;Driver!$F$55,CB683&lt;Driver!$G$55)</f>
        <v>1</v>
      </c>
      <c r="H683" s="43" t="b">
        <f t="shared" si="370"/>
        <v>0</v>
      </c>
      <c r="I683" s="43">
        <f t="shared" si="371"/>
        <v>0</v>
      </c>
      <c r="J683" s="43" t="b">
        <f t="array" ref="J683">NOT(OR(($H$9:$H$1273=TRUE)*($I$9:$I$1273&gt;0)*($BT$9:$BT$1273=BT683)*($K$9:$K$1273&gt;K683)))</f>
        <v>1</v>
      </c>
      <c r="K683" s="72">
        <f t="shared" si="372"/>
        <v>0.79877551982584283</v>
      </c>
      <c r="L683" s="72">
        <f t="shared" si="373"/>
        <v>0.83942608078378811</v>
      </c>
      <c r="M683" s="72">
        <f t="shared" si="374"/>
        <v>0.75812495886789755</v>
      </c>
      <c r="N683" s="72">
        <f t="shared" si="375"/>
        <v>0.71826905758521065</v>
      </c>
      <c r="O683" s="72">
        <f t="shared" si="376"/>
        <v>0.69561934594824137</v>
      </c>
      <c r="P683" s="72">
        <f t="shared" si="377"/>
        <v>0.86048647307024073</v>
      </c>
      <c r="Q683" s="72"/>
      <c r="R683" s="72"/>
      <c r="S683" s="72">
        <f t="shared" si="378"/>
        <v>0.41988056667874296</v>
      </c>
      <c r="T683" s="72">
        <f t="shared" si="379"/>
        <v>0.46854201523779515</v>
      </c>
      <c r="U683" s="72">
        <f t="shared" si="380"/>
        <v>0.53982443747309339</v>
      </c>
      <c r="V683" s="72">
        <f t="shared" si="381"/>
        <v>0.57395367311339018</v>
      </c>
      <c r="W683" s="72">
        <f t="shared" si="382"/>
        <v>0.80562659846547313</v>
      </c>
      <c r="X683" s="72">
        <f t="shared" si="383"/>
        <v>0.16057391921621184</v>
      </c>
      <c r="Y683" s="72">
        <f t="shared" si="384"/>
        <v>0.24187504113210243</v>
      </c>
      <c r="Z683" s="72">
        <f t="shared" si="385"/>
        <v>0.2817309424147893</v>
      </c>
      <c r="AA683" s="72">
        <f t="shared" si="386"/>
        <v>0.30438065405175863</v>
      </c>
      <c r="AB683" s="72">
        <f t="shared" si="387"/>
        <v>0.13951352692975927</v>
      </c>
      <c r="AC683" s="72"/>
      <c r="AD683" s="72"/>
      <c r="AE683" s="72">
        <f t="shared" si="388"/>
        <v>0.58011943332125704</v>
      </c>
      <c r="AF683" s="72">
        <f t="shared" si="389"/>
        <v>0.53145798476220485</v>
      </c>
      <c r="AG683" s="72">
        <f t="shared" si="390"/>
        <v>0.46017556252690667</v>
      </c>
      <c r="AH683" s="72">
        <f t="shared" si="391"/>
        <v>0.42604632688660982</v>
      </c>
      <c r="AI683" s="72">
        <f t="shared" si="392"/>
        <v>0.19437340153452687</v>
      </c>
      <c r="AJ683" s="72">
        <f>(AV683-Driver!$K$179)/(Driver!$L$179-Driver!$K$179)</f>
        <v>0.41479332849891226</v>
      </c>
      <c r="AK683" s="72">
        <f>(AW683-Driver!$K$180)/(Driver!$L$180-Driver!$K$180)</f>
        <v>0.13552551942874119</v>
      </c>
      <c r="AL683" s="72">
        <f>(AX683-Driver!$K$181)/(Driver!$L$181-Driver!$K$181)</f>
        <v>0.38341870612786949</v>
      </c>
      <c r="AM683" s="72">
        <f>(AY683-Driver!$K$182)/(Driver!$L$182-Driver!$K$182)</f>
        <v>0.14300436704528774</v>
      </c>
      <c r="AN683" s="72">
        <f>(AZ683-Driver!$K$183)/(Driver!$L$183-Driver!$K$183)</f>
        <v>0.11470588235294117</v>
      </c>
      <c r="AO683" s="72"/>
      <c r="AP683" s="72"/>
      <c r="AQ683" s="72">
        <f>(BC683-Driver!$K$188)/(Driver!$L$188-Driver!$K$188)</f>
        <v>3.9880566678742985E-2</v>
      </c>
      <c r="AR683" s="72">
        <f>MIN((BD683-Driver!$K$189)/(Driver!$L$189-Driver!$K$189),100%)</f>
        <v>1.8542015237795143E-2</v>
      </c>
      <c r="AS683" s="72">
        <f>(BE683-Driver!$K$190)/(Driver!$L$190-Driver!$K$190)</f>
        <v>4.9824437473093335E-2</v>
      </c>
      <c r="AT683" s="72">
        <f>(BF683-Driver!$K$191)/(Driver!$L$191-Driver!$K$191)</f>
        <v>8.395367311339022E-2</v>
      </c>
      <c r="AU683" s="72">
        <f>(BG683-Driver!$K$192)/(Driver!$L$192-Driver!$K$192)</f>
        <v>5.5626598465473145E-2</v>
      </c>
      <c r="AV683" s="70">
        <f t="shared" si="393"/>
        <v>8.7301587301587311</v>
      </c>
      <c r="AW683" s="70">
        <f t="shared" si="394"/>
        <v>15.080055368054595</v>
      </c>
      <c r="AX683" s="70">
        <f t="shared" si="395"/>
        <v>4.4507683551508253</v>
      </c>
      <c r="AY683" s="70">
        <f>IFERROR(Driver!$K$19/Data!BH683/Data!BI683*Data!BK683*Data!BL683,"")</f>
        <v>0.17508001364837117</v>
      </c>
      <c r="AZ683" s="70">
        <f t="shared" si="396"/>
        <v>10.454206999255398</v>
      </c>
      <c r="BA683" s="70"/>
      <c r="BB683" s="70"/>
      <c r="BC683" s="70">
        <f t="shared" si="397"/>
        <v>20.686327181465625</v>
      </c>
      <c r="BD683" s="70">
        <f t="shared" si="398"/>
        <v>3.3617583781356992</v>
      </c>
      <c r="BE683" s="70">
        <f t="shared" si="399"/>
        <v>4.9993938098766628E-2</v>
      </c>
      <c r="BF683" s="70">
        <f t="shared" si="400"/>
        <v>9.4819775702230018</v>
      </c>
      <c r="BG683" s="70">
        <f t="shared" si="401"/>
        <v>0.21063778772378519</v>
      </c>
      <c r="BH683" s="67">
        <f>MAX((CE683-Driver!$F$200)/(Driver!$G$200-Driver!$F$200)*$BI$1,1)</f>
        <v>4.4507683551508253</v>
      </c>
      <c r="BI683" s="67">
        <f>MAX($BI$1*(BY683-Driver!$F$201)/(Driver!$G$201-Driver!$F$201),1)</f>
        <v>7.4050632911392409</v>
      </c>
      <c r="BJ683" s="67">
        <f>(CB683-Driver!$F$206)/(Driver!$G$206-Driver!$F$206)*$BI$1</f>
        <v>6.9841269841269842</v>
      </c>
      <c r="BK683" s="67">
        <f>(CD683-Driver!$F$203)/(Driver!$G$203-Driver!$F$203)*$BI$1</f>
        <v>5.2293577981651387</v>
      </c>
      <c r="BL683" s="67">
        <f>MAX((CR683-Driver!$F$202)/(Driver!$G$202-Driver!$F$202)*$BI$1,1)</f>
        <v>5.5172413793103452</v>
      </c>
      <c r="BM683" s="67">
        <f>MAX((CH683-Driver!$F$204)/(Driver!$G$204-Driver!$F$204)*$BI$1,1)</f>
        <v>5</v>
      </c>
      <c r="BN683" s="67">
        <f>(CI683-Driver!$F$205)/(Driver!$G$205-Driver!$F$205)*$BI$1</f>
        <v>1.4117647058823528</v>
      </c>
      <c r="BO683" s="67">
        <f>(CK683-Driver!$F$207)/(Driver!$G$207-Driver!$F$207)*$BI$1</f>
        <v>2.8024819027921404</v>
      </c>
      <c r="BP683" s="67">
        <f>(CM683-Driver!$F$208)/(Driver!$G$208-Driver!$F$208)*$BI$1</f>
        <v>2.5333333333333337</v>
      </c>
      <c r="BQ683" s="67">
        <f>(CL683-Driver!$F$209)/(Driver!$G$209-Driver!$F$209)*$BI$1</f>
        <v>4.6875</v>
      </c>
      <c r="BR683" s="28" t="s">
        <v>155</v>
      </c>
      <c r="BS683" s="8" t="s">
        <v>227</v>
      </c>
      <c r="BT683" s="9" t="s">
        <v>724</v>
      </c>
      <c r="BU683" s="10">
        <v>188</v>
      </c>
      <c r="BV683" s="9" t="s">
        <v>158</v>
      </c>
      <c r="BW683" s="10">
        <v>188</v>
      </c>
      <c r="BX683" s="10">
        <v>186.2</v>
      </c>
      <c r="BY683" s="10">
        <v>125</v>
      </c>
      <c r="BZ683" s="10">
        <v>154</v>
      </c>
      <c r="CA683" s="10">
        <v>138</v>
      </c>
      <c r="CB683" s="10">
        <v>108</v>
      </c>
      <c r="CC683" s="10">
        <v>128</v>
      </c>
      <c r="CD683" s="10">
        <v>20.8</v>
      </c>
      <c r="CE683" s="10">
        <v>1682</v>
      </c>
      <c r="CF683" s="10">
        <v>1.31</v>
      </c>
      <c r="CG683" s="10">
        <v>2205</v>
      </c>
      <c r="CH683" s="10">
        <v>218</v>
      </c>
      <c r="CI683" s="10">
        <v>57</v>
      </c>
      <c r="CJ683" s="10">
        <v>71</v>
      </c>
      <c r="CK683" s="10">
        <v>381</v>
      </c>
      <c r="CL683" s="10">
        <v>30</v>
      </c>
      <c r="CM683" s="10">
        <v>228</v>
      </c>
      <c r="CN683" s="10">
        <v>0.41799999999999998</v>
      </c>
      <c r="CO683" s="10">
        <v>175</v>
      </c>
      <c r="CP683" s="10">
        <v>142</v>
      </c>
      <c r="CQ683" s="10">
        <v>206</v>
      </c>
      <c r="CR683" s="10">
        <v>5</v>
      </c>
      <c r="CS683" s="10">
        <v>11.8</v>
      </c>
      <c r="CT683" s="9" t="s">
        <v>169</v>
      </c>
      <c r="CU683" s="9" t="s">
        <v>185</v>
      </c>
      <c r="CV683" s="9" t="s">
        <v>198</v>
      </c>
      <c r="CW683" s="10"/>
      <c r="CX683">
        <f>INDEX('Data_Price '!AG$2:AG$1266,MATCH(Data!$DN683,'Data_Price '!$AT$2:$AT$1266,0))</f>
        <v>0</v>
      </c>
      <c r="CY683">
        <f>INDEX('Data_Price '!AH$2:AH$1266,MATCH(Data!$DN683,'Data_Price '!$AT$2:$AT$1266,0))</f>
        <v>0</v>
      </c>
      <c r="CZ683">
        <f>INDEX('Data_Price '!AI$2:AI$1266,MATCH(Data!$DN683,'Data_Price '!$AT$2:$AT$1266,0))</f>
        <v>0</v>
      </c>
      <c r="DA683">
        <f>INDEX('Data_Price '!AJ$2:AJ$1266,MATCH(Data!$DN683,'Data_Price '!$AT$2:$AT$1266,0))</f>
        <v>0</v>
      </c>
      <c r="DB683">
        <f>INDEX('Data_Price '!AK$2:AK$1266,MATCH(Data!$DN683,'Data_Price '!$AT$2:$AT$1266,0))</f>
        <v>0</v>
      </c>
      <c r="DC683">
        <f>INDEX('Data_Price '!AL$2:AL$1266,MATCH(Data!$DN683,'Data_Price '!$AT$2:$AT$1266,0))</f>
        <v>0</v>
      </c>
      <c r="DD683">
        <f>INDEX('Data_Price '!AM$2:AM$1266,MATCH(Data!$DN683,'Data_Price '!$AT$2:$AT$1266,0))</f>
        <v>0</v>
      </c>
      <c r="DE683">
        <f>INDEX('Data_Price '!AN$2:AN$1266,MATCH(Data!$DN683,'Data_Price '!$AT$2:$AT$1266,0))</f>
        <v>0</v>
      </c>
      <c r="DF683">
        <f>INDEX('Data_Price '!AO$2:AO$1266,MATCH(Data!$DN683,'Data_Price '!$AT$2:$AT$1266,0))</f>
        <v>0</v>
      </c>
      <c r="DG683">
        <f>INDEX('Data_Price '!AP$2:AP$1266,MATCH(Data!$DN683,'Data_Price '!$AT$2:$AT$1266,0))</f>
        <v>0</v>
      </c>
      <c r="DH683">
        <f>INDEX('Data_Price '!AQ$2:AQ$1266,MATCH(Data!$DN683,'Data_Price '!$AT$2:$AT$1266,0))</f>
        <v>0</v>
      </c>
      <c r="DI683">
        <f>INDEX('Data_Price '!AR$2:AR$1266,MATCH(Data!$DN683,'Data_Price '!$AT$2:$AT$1266,0))</f>
        <v>0</v>
      </c>
      <c r="DJ683" s="89">
        <f t="shared" si="402"/>
        <v>0</v>
      </c>
      <c r="DK683" s="89">
        <f t="shared" si="403"/>
        <v>0</v>
      </c>
      <c r="DL683" s="89">
        <f t="shared" si="404"/>
        <v>0</v>
      </c>
      <c r="DM683" s="219" t="str">
        <f t="shared" si="405"/>
        <v>Chinook 108</v>
      </c>
      <c r="DN683" s="89" t="str">
        <f t="shared" si="406"/>
        <v xml:space="preserve"> RaccoonChinook 108188 Unisex</v>
      </c>
      <c r="DO683" s="221"/>
    </row>
    <row r="684" spans="2:119" ht="15.6" customHeight="1">
      <c r="B684" s="219" t="b">
        <f t="array" ref="B684">IF(OR(ISERROR(K684:P684)),FALSE,TRUE)</f>
        <v>1</v>
      </c>
      <c r="C684" s="43" t="b">
        <f>OR(BR684=Driver!$G$50,Data!BR1195=Driver!$H$50)</f>
        <v>1</v>
      </c>
      <c r="D684" s="43" t="b">
        <f>OR(BV684=Driver!$G$51,BV684=Driver!$H$51)</f>
        <v>0</v>
      </c>
      <c r="E684" s="43" t="b">
        <f>AND(BX684&gt;Driver!$F$54,BX684&lt;Driver!$G$54)</f>
        <v>1</v>
      </c>
      <c r="F684" s="43" t="b">
        <f>CL684&gt;Driver!$F$56</f>
        <v>1</v>
      </c>
      <c r="G684" s="43" t="b">
        <f>AND(CB684&gt;Driver!$F$55,CB684&lt;Driver!$G$55)</f>
        <v>0</v>
      </c>
      <c r="H684" s="43" t="b">
        <f t="shared" si="370"/>
        <v>0</v>
      </c>
      <c r="I684" s="43">
        <f t="shared" si="371"/>
        <v>0</v>
      </c>
      <c r="J684" s="43" t="b">
        <f t="array" ref="J684">NOT(OR(($H$9:$H$1273=TRUE)*($I$9:$I$1273&gt;0)*($BT$9:$BT$1273=BT684)*($K$9:$K$1273&gt;K684)))</f>
        <v>1</v>
      </c>
      <c r="K684" s="72">
        <f t="shared" si="372"/>
        <v>0.79838455700847488</v>
      </c>
      <c r="L684" s="72">
        <f t="shared" si="373"/>
        <v>0.83159156485314678</v>
      </c>
      <c r="M684" s="72">
        <f t="shared" si="374"/>
        <v>0.76517754916380309</v>
      </c>
      <c r="N684" s="72">
        <f t="shared" si="375"/>
        <v>0.75115339325839092</v>
      </c>
      <c r="O684" s="72">
        <f t="shared" si="376"/>
        <v>0.6126918007706208</v>
      </c>
      <c r="P684" s="72">
        <f t="shared" si="377"/>
        <v>0.93168745346239756</v>
      </c>
      <c r="Q684" s="72"/>
      <c r="R684" s="72"/>
      <c r="S684" s="72">
        <f t="shared" si="378"/>
        <v>0.42563990882007474</v>
      </c>
      <c r="T684" s="72">
        <f t="shared" si="379"/>
        <v>0.58366012620598717</v>
      </c>
      <c r="U684" s="72">
        <f t="shared" si="380"/>
        <v>0.51</v>
      </c>
      <c r="V684" s="72">
        <f t="shared" si="381"/>
        <v>0.50034088599252236</v>
      </c>
      <c r="W684" s="72">
        <f t="shared" si="382"/>
        <v>0.7696392050935752</v>
      </c>
      <c r="X684" s="72">
        <f t="shared" si="383"/>
        <v>0.16840843514685322</v>
      </c>
      <c r="Y684" s="72">
        <f t="shared" si="384"/>
        <v>0.23482245083619691</v>
      </c>
      <c r="Z684" s="72">
        <f t="shared" si="385"/>
        <v>0.24884660674160902</v>
      </c>
      <c r="AA684" s="72">
        <f t="shared" si="386"/>
        <v>0.3873081992293792</v>
      </c>
      <c r="AB684" s="72">
        <f t="shared" si="387"/>
        <v>6.8312546537602381E-2</v>
      </c>
      <c r="AC684" s="72"/>
      <c r="AD684" s="72"/>
      <c r="AE684" s="72">
        <f t="shared" si="388"/>
        <v>0.57436009117992526</v>
      </c>
      <c r="AF684" s="72">
        <f t="shared" si="389"/>
        <v>0.41633987379401283</v>
      </c>
      <c r="AG684" s="72">
        <f t="shared" si="390"/>
        <v>0.49</v>
      </c>
      <c r="AH684" s="72">
        <f t="shared" si="391"/>
        <v>0.49965911400747764</v>
      </c>
      <c r="AI684" s="72">
        <f t="shared" si="392"/>
        <v>0.23036079490642486</v>
      </c>
      <c r="AJ684" s="72">
        <f>(AV684-Driver!$K$179)/(Driver!$L$179-Driver!$K$179)</f>
        <v>8.5810974135847221E-2</v>
      </c>
      <c r="AK684" s="72">
        <f>(AW684-Driver!$K$180)/(Driver!$L$180-Driver!$K$180)</f>
        <v>0.19803103345134526</v>
      </c>
      <c r="AL684" s="72">
        <f>(AX684-Driver!$K$181)/(Driver!$L$181-Driver!$K$181)</f>
        <v>0.35053437045468921</v>
      </c>
      <c r="AM684" s="72">
        <f>(AY684-Driver!$K$182)/(Driver!$L$182-Driver!$K$182)</f>
        <v>6.0076821867667142E-2</v>
      </c>
      <c r="AN684" s="72">
        <f>(AZ684-Driver!$K$183)/(Driver!$L$183-Driver!$K$183)</f>
        <v>0.18590686274509804</v>
      </c>
      <c r="AO684" s="72"/>
      <c r="AP684" s="72"/>
      <c r="AQ684" s="72">
        <f>(BC684-Driver!$K$188)/(Driver!$L$188-Driver!$K$188)</f>
        <v>4.5639908820074751E-2</v>
      </c>
      <c r="AR684" s="72">
        <f>MIN((BD684-Driver!$K$189)/(Driver!$L$189-Driver!$K$189),100%)</f>
        <v>0.13366012620598719</v>
      </c>
      <c r="AS684" s="72">
        <f>(BE684-Driver!$K$190)/(Driver!$L$190-Driver!$K$190)</f>
        <v>1</v>
      </c>
      <c r="AT684" s="72">
        <f>(BF684-Driver!$K$191)/(Driver!$L$191-Driver!$K$191)</f>
        <v>1.0340885992522373E-2</v>
      </c>
      <c r="AU684" s="72">
        <f>(BG684-Driver!$K$192)/(Driver!$L$192-Driver!$K$192)</f>
        <v>1.9639205093575147E-2</v>
      </c>
      <c r="AV684" s="70">
        <f t="shared" si="393"/>
        <v>1.806064306064306</v>
      </c>
      <c r="AW684" s="70">
        <f t="shared" si="394"/>
        <v>21.171771564754408</v>
      </c>
      <c r="AX684" s="70">
        <f t="shared" si="395"/>
        <v>4.154809334092203</v>
      </c>
      <c r="AY684" s="70">
        <f>IFERROR(Driver!$K$19/Data!BH684/Data!BI684*Data!BK684*Data!BL684,"")</f>
        <v>7.35519551595996E-2</v>
      </c>
      <c r="AZ684" s="70">
        <f t="shared" si="396"/>
        <v>16.943410275502607</v>
      </c>
      <c r="BA684" s="70"/>
      <c r="BB684" s="70"/>
      <c r="BC684" s="70">
        <f t="shared" si="397"/>
        <v>23.673737988471416</v>
      </c>
      <c r="BD684" s="70">
        <f t="shared" si="398"/>
        <v>13.549507221598025</v>
      </c>
      <c r="BE684" s="70">
        <f t="shared" si="399"/>
        <v>1</v>
      </c>
      <c r="BF684" s="70">
        <f t="shared" si="400"/>
        <v>1.1679304240196671</v>
      </c>
      <c r="BG684" s="70">
        <f t="shared" si="401"/>
        <v>7.4366558942697281E-2</v>
      </c>
      <c r="BH684" s="67">
        <f>MAX((CE684-Driver!$F$200)/(Driver!$G$200-Driver!$F$200)*$BI$1,1)</f>
        <v>4.154809334092203</v>
      </c>
      <c r="BI684" s="67">
        <f>MAX($BI$1*(BY684-Driver!$F$201)/(Driver!$G$201-Driver!$F$201),1)</f>
        <v>7.7848101265822782</v>
      </c>
      <c r="BJ684" s="67">
        <f>(CB684-Driver!$F$206)/(Driver!$G$206-Driver!$F$206)*$BI$1</f>
        <v>2.3809523809523809</v>
      </c>
      <c r="BK684" s="67">
        <f>(CD684-Driver!$F$203)/(Driver!$G$203-Driver!$F$203)*$BI$1</f>
        <v>2.1559633027522933</v>
      </c>
      <c r="BL684" s="67">
        <f>MAX((CR684-Driver!$F$202)/(Driver!$G$202-Driver!$F$202)*$BI$1,1)</f>
        <v>5.5172413793103452</v>
      </c>
      <c r="BM684" s="67">
        <f>MAX((CH684-Driver!$F$204)/(Driver!$G$204-Driver!$F$204)*$BI$1,1)</f>
        <v>3.0341880341880341</v>
      </c>
      <c r="BN684" s="67">
        <f>(CI684-Driver!$F$205)/(Driver!$G$205-Driver!$F$205)*$BI$1</f>
        <v>2.1764705882352944</v>
      </c>
      <c r="BO684" s="67">
        <f>(CK684-Driver!$F$207)/(Driver!$G$207-Driver!$F$207)*$BI$1</f>
        <v>0.80661840744570834</v>
      </c>
      <c r="BP684" s="67">
        <f>(CM684-Driver!$F$208)/(Driver!$G$208-Driver!$F$208)*$BI$1</f>
        <v>1.3111111111111113</v>
      </c>
      <c r="BQ684" s="67">
        <f>(CL684-Driver!$F$209)/(Driver!$G$209-Driver!$F$209)*$BI$1</f>
        <v>0.9375</v>
      </c>
      <c r="BR684" s="28" t="s">
        <v>155</v>
      </c>
      <c r="BS684" s="8" t="s">
        <v>229</v>
      </c>
      <c r="BT684" s="9" t="s">
        <v>725</v>
      </c>
      <c r="BU684" s="10">
        <v>163</v>
      </c>
      <c r="BV684" s="9" t="s">
        <v>163</v>
      </c>
      <c r="BW684" s="10">
        <v>163</v>
      </c>
      <c r="BX684" s="10">
        <v>162.1</v>
      </c>
      <c r="BY684" s="10">
        <v>131</v>
      </c>
      <c r="BZ684" s="10">
        <v>150</v>
      </c>
      <c r="CA684" s="10">
        <v>128</v>
      </c>
      <c r="CB684" s="10">
        <v>79</v>
      </c>
      <c r="CC684" s="10">
        <v>109</v>
      </c>
      <c r="CD684" s="10">
        <v>14.1</v>
      </c>
      <c r="CE684" s="10">
        <v>1630</v>
      </c>
      <c r="CF684" s="10">
        <v>0.93</v>
      </c>
      <c r="CG684" s="10">
        <v>1512</v>
      </c>
      <c r="CH684" s="10">
        <v>172</v>
      </c>
      <c r="CI684" s="10">
        <v>70</v>
      </c>
      <c r="CJ684" s="10">
        <v>37</v>
      </c>
      <c r="CK684" s="10">
        <v>188</v>
      </c>
      <c r="CL684" s="10">
        <v>6</v>
      </c>
      <c r="CM684" s="10">
        <v>118</v>
      </c>
      <c r="CN684" s="10">
        <v>0.17299999999999999</v>
      </c>
      <c r="CO684" s="10">
        <v>72</v>
      </c>
      <c r="CP684" s="10">
        <v>49</v>
      </c>
      <c r="CQ684" s="10">
        <v>116</v>
      </c>
      <c r="CR684" s="10">
        <v>5</v>
      </c>
      <c r="CS684" s="10">
        <v>10.9</v>
      </c>
      <c r="CT684" s="9" t="s">
        <v>160</v>
      </c>
      <c r="CU684" s="10"/>
      <c r="CV684" s="10"/>
      <c r="CW684" s="10"/>
      <c r="CX684" t="e">
        <f>INDEX('Data_Price '!AG$2:AG$1266,MATCH(Data!$DN684,'Data_Price '!$AT$2:$AT$1266,0))</f>
        <v>#N/A</v>
      </c>
      <c r="CY684" t="e">
        <f>INDEX('Data_Price '!AH$2:AH$1266,MATCH(Data!$DN684,'Data_Price '!$AT$2:$AT$1266,0))</f>
        <v>#N/A</v>
      </c>
      <c r="CZ684" t="e">
        <f>INDEX('Data_Price '!AI$2:AI$1266,MATCH(Data!$DN684,'Data_Price '!$AT$2:$AT$1266,0))</f>
        <v>#N/A</v>
      </c>
      <c r="DA684" t="e">
        <f>INDEX('Data_Price '!AJ$2:AJ$1266,MATCH(Data!$DN684,'Data_Price '!$AT$2:$AT$1266,0))</f>
        <v>#N/A</v>
      </c>
      <c r="DB684" t="e">
        <f>INDEX('Data_Price '!AK$2:AK$1266,MATCH(Data!$DN684,'Data_Price '!$AT$2:$AT$1266,0))</f>
        <v>#N/A</v>
      </c>
      <c r="DC684" t="e">
        <f>INDEX('Data_Price '!AL$2:AL$1266,MATCH(Data!$DN684,'Data_Price '!$AT$2:$AT$1266,0))</f>
        <v>#N/A</v>
      </c>
      <c r="DD684" t="e">
        <f>INDEX('Data_Price '!AM$2:AM$1266,MATCH(Data!$DN684,'Data_Price '!$AT$2:$AT$1266,0))</f>
        <v>#N/A</v>
      </c>
      <c r="DE684" t="e">
        <f>INDEX('Data_Price '!AN$2:AN$1266,MATCH(Data!$DN684,'Data_Price '!$AT$2:$AT$1266,0))</f>
        <v>#N/A</v>
      </c>
      <c r="DF684" t="e">
        <f>INDEX('Data_Price '!AO$2:AO$1266,MATCH(Data!$DN684,'Data_Price '!$AT$2:$AT$1266,0))</f>
        <v>#N/A</v>
      </c>
      <c r="DG684" t="e">
        <f>INDEX('Data_Price '!AP$2:AP$1266,MATCH(Data!$DN684,'Data_Price '!$AT$2:$AT$1266,0))</f>
        <v>#N/A</v>
      </c>
      <c r="DH684" t="e">
        <f>INDEX('Data_Price '!AQ$2:AQ$1266,MATCH(Data!$DN684,'Data_Price '!$AT$2:$AT$1266,0))</f>
        <v>#N/A</v>
      </c>
      <c r="DI684" t="e">
        <f>INDEX('Data_Price '!AR$2:AR$1266,MATCH(Data!$DN684,'Data_Price '!$AT$2:$AT$1266,0))</f>
        <v>#N/A</v>
      </c>
      <c r="DJ684" s="89" t="e">
        <f t="shared" si="402"/>
        <v>#N/A</v>
      </c>
      <c r="DK684" s="89" t="e">
        <f t="shared" si="403"/>
        <v>#N/A</v>
      </c>
      <c r="DL684" s="89" t="e">
        <f t="shared" si="404"/>
        <v>#N/A</v>
      </c>
      <c r="DM684" s="219" t="str">
        <f t="shared" si="405"/>
        <v>Flair 79</v>
      </c>
      <c r="DN684" s="89" t="str">
        <f t="shared" si="406"/>
        <v xml:space="preserve"> VölklFlair 79163 Women's</v>
      </c>
      <c r="DO684" s="221"/>
    </row>
    <row r="685" spans="2:119" ht="15.6" customHeight="1">
      <c r="B685" s="219" t="b">
        <f t="array" ref="B685">IF(OR(ISERROR(K685:P685)),FALSE,TRUE)</f>
        <v>1</v>
      </c>
      <c r="C685" s="43" t="b">
        <f>OR(BR685=Driver!$G$50,Data!BR1211=Driver!$H$50)</f>
        <v>1</v>
      </c>
      <c r="D685" s="43" t="b">
        <f>OR(BV685=Driver!$G$51,BV685=Driver!$H$51)</f>
        <v>1</v>
      </c>
      <c r="E685" s="43" t="b">
        <f>AND(BX685&gt;Driver!$F$54,BX685&lt;Driver!$G$54)</f>
        <v>0</v>
      </c>
      <c r="F685" s="43" t="b">
        <f>CL685&gt;Driver!$F$56</f>
        <v>1</v>
      </c>
      <c r="G685" s="43" t="b">
        <f>AND(CB685&gt;Driver!$F$55,CB685&lt;Driver!$G$55)</f>
        <v>0</v>
      </c>
      <c r="H685" s="43" t="b">
        <f t="shared" si="370"/>
        <v>0</v>
      </c>
      <c r="I685" s="43">
        <f t="shared" si="371"/>
        <v>0</v>
      </c>
      <c r="J685" s="43" t="b">
        <f t="array" ref="J685">NOT(OR(($H$9:$H$1273=TRUE)*($I$9:$I$1273&gt;0)*($BT$9:$BT$1273=BT685)*($K$9:$K$1273&gt;K685)))</f>
        <v>1</v>
      </c>
      <c r="K685" s="72">
        <f t="shared" si="372"/>
        <v>0.80978498186620018</v>
      </c>
      <c r="L685" s="72">
        <f t="shared" si="373"/>
        <v>0.94592562334964181</v>
      </c>
      <c r="M685" s="72">
        <f t="shared" si="374"/>
        <v>0.67364434038275856</v>
      </c>
      <c r="N685" s="72">
        <f t="shared" si="375"/>
        <v>0.55574455243122356</v>
      </c>
      <c r="O685" s="72">
        <f t="shared" si="376"/>
        <v>0.6378481444016717</v>
      </c>
      <c r="P685" s="72">
        <f t="shared" si="377"/>
        <v>0.82734032431538018</v>
      </c>
      <c r="Q685" s="72"/>
      <c r="R685" s="72"/>
      <c r="S685" s="72">
        <f t="shared" si="378"/>
        <v>0.55466657763696103</v>
      </c>
      <c r="T685" s="72">
        <f t="shared" si="379"/>
        <v>0.52220784838334833</v>
      </c>
      <c r="U685" s="72">
        <f t="shared" si="380"/>
        <v>0.54120390559792297</v>
      </c>
      <c r="V685" s="72">
        <f t="shared" si="381"/>
        <v>0.54919374588404746</v>
      </c>
      <c r="W685" s="72">
        <f t="shared" si="382"/>
        <v>0.77721366698748795</v>
      </c>
      <c r="X685" s="72">
        <f t="shared" si="383"/>
        <v>5.4074376650358164E-2</v>
      </c>
      <c r="Y685" s="72">
        <f t="shared" si="384"/>
        <v>0.3263556596172415</v>
      </c>
      <c r="Z685" s="72">
        <f t="shared" si="385"/>
        <v>0.44425544756877644</v>
      </c>
      <c r="AA685" s="72">
        <f t="shared" si="386"/>
        <v>0.3621518555983283</v>
      </c>
      <c r="AB685" s="72">
        <f t="shared" si="387"/>
        <v>0.17265967568461982</v>
      </c>
      <c r="AC685" s="72"/>
      <c r="AD685" s="72"/>
      <c r="AE685" s="72">
        <f t="shared" si="388"/>
        <v>0.44533342236303897</v>
      </c>
      <c r="AF685" s="72">
        <f t="shared" si="389"/>
        <v>0.47779215161665167</v>
      </c>
      <c r="AG685" s="72">
        <f t="shared" si="390"/>
        <v>0.45879609440207708</v>
      </c>
      <c r="AH685" s="72">
        <f t="shared" si="391"/>
        <v>0.4508062541159526</v>
      </c>
      <c r="AI685" s="72">
        <f t="shared" si="392"/>
        <v>0.22278633301251202</v>
      </c>
      <c r="AJ685" s="72">
        <f>(AV685-Driver!$K$179)/(Driver!$L$179-Driver!$K$179)</f>
        <v>0.20014503263234226</v>
      </c>
      <c r="AK685" s="72">
        <f>(AW685-Driver!$K$180)/(Driver!$L$180-Driver!$K$180)</f>
        <v>0.44173903018713095</v>
      </c>
      <c r="AL685" s="72">
        <f>(AX685-Driver!$K$181)/(Driver!$L$181-Driver!$K$181)</f>
        <v>0.54594321128185663</v>
      </c>
      <c r="AM685" s="72">
        <f>(AY685-Driver!$K$182)/(Driver!$L$182-Driver!$K$182)</f>
        <v>8.5233165498718039E-2</v>
      </c>
      <c r="AN685" s="72">
        <f>(AZ685-Driver!$K$183)/(Driver!$L$183-Driver!$K$183)</f>
        <v>0.42687908496732024</v>
      </c>
      <c r="AO685" s="72"/>
      <c r="AP685" s="72"/>
      <c r="AQ685" s="72">
        <f>(BC685-Driver!$K$188)/(Driver!$L$188-Driver!$K$188)</f>
        <v>0.174666577636961</v>
      </c>
      <c r="AR685" s="72">
        <f>MIN((BD685-Driver!$K$189)/(Driver!$L$189-Driver!$K$189),100%)</f>
        <v>7.2207848383348386E-2</v>
      </c>
      <c r="AS685" s="72">
        <f>(BE685-Driver!$K$190)/(Driver!$L$190-Driver!$K$190)</f>
        <v>5.1203905597922934E-2</v>
      </c>
      <c r="AT685" s="72">
        <f>(BF685-Driver!$K$191)/(Driver!$L$191-Driver!$K$191)</f>
        <v>5.919374588404739E-2</v>
      </c>
      <c r="AU685" s="72">
        <f>(BG685-Driver!$K$192)/(Driver!$L$192-Driver!$K$192)</f>
        <v>2.7213666987487967E-2</v>
      </c>
      <c r="AV685" s="70">
        <f t="shared" si="393"/>
        <v>4.2124542124542126</v>
      </c>
      <c r="AW685" s="70">
        <f t="shared" si="394"/>
        <v>44.92327531918751</v>
      </c>
      <c r="AX685" s="70">
        <f t="shared" si="395"/>
        <v>5.9134889015367094</v>
      </c>
      <c r="AY685" s="70">
        <f>IFERROR(Driver!$K$19/Data!BH685/Data!BI685*Data!BK685*Data!BL685,"")</f>
        <v>0.10435082569250223</v>
      </c>
      <c r="AZ685" s="70">
        <f t="shared" si="396"/>
        <v>38.905435591958302</v>
      </c>
      <c r="BA685" s="70"/>
      <c r="BB685" s="70"/>
      <c r="BC685" s="70">
        <f t="shared" si="397"/>
        <v>90.600768082639718</v>
      </c>
      <c r="BD685" s="70">
        <f t="shared" si="398"/>
        <v>8.111089521287612</v>
      </c>
      <c r="BE685" s="70">
        <f t="shared" si="399"/>
        <v>5.1373160142009336E-2</v>
      </c>
      <c r="BF685" s="70">
        <f t="shared" si="400"/>
        <v>6.6855177380023045</v>
      </c>
      <c r="BG685" s="70">
        <f t="shared" si="401"/>
        <v>0.10304830365736285</v>
      </c>
      <c r="BH685" s="67">
        <f>MAX((CE685-Driver!$F$200)/(Driver!$G$200-Driver!$F$200)*$BI$1,1)</f>
        <v>5.9134889015367094</v>
      </c>
      <c r="BI685" s="67">
        <f>MAX($BI$1*(BY685-Driver!$F$201)/(Driver!$G$201-Driver!$F$201),1)</f>
        <v>6.962025316455696</v>
      </c>
      <c r="BJ685" s="67">
        <f>(CB685-Driver!$F$206)/(Driver!$G$206-Driver!$F$206)*$BI$1</f>
        <v>3.6507936507936507</v>
      </c>
      <c r="BK685" s="67">
        <f>(CD685-Driver!$F$203)/(Driver!$G$203-Driver!$F$203)*$BI$1</f>
        <v>4.4495412844036704</v>
      </c>
      <c r="BL685" s="67">
        <f>MAX((CR685-Driver!$F$202)/(Driver!$G$202-Driver!$F$202)*$BI$1,1)</f>
        <v>4.8275862068965516</v>
      </c>
      <c r="BM685" s="67">
        <f>MAX((CH685-Driver!$F$204)/(Driver!$G$204-Driver!$F$204)*$BI$1,1)</f>
        <v>4.6153846153846159</v>
      </c>
      <c r="BN685" s="67">
        <f>(CI685-Driver!$F$205)/(Driver!$G$205-Driver!$F$205)*$BI$1</f>
        <v>5.5882352941176467</v>
      </c>
      <c r="BO685" s="67">
        <f>(CK685-Driver!$F$207)/(Driver!$G$207-Driver!$F$207)*$BI$1</f>
        <v>2.3061013443640124</v>
      </c>
      <c r="BP685" s="67">
        <f>(CM685-Driver!$F$208)/(Driver!$G$208-Driver!$F$208)*$BI$1</f>
        <v>3.5333333333333332</v>
      </c>
      <c r="BQ685" s="67">
        <f>(CL685-Driver!$F$209)/(Driver!$G$209-Driver!$F$209)*$BI$1</f>
        <v>2.8125</v>
      </c>
      <c r="BR685" s="28" t="s">
        <v>155</v>
      </c>
      <c r="BS685" s="8" t="s">
        <v>229</v>
      </c>
      <c r="BT685" s="9" t="s">
        <v>437</v>
      </c>
      <c r="BU685" s="10">
        <v>184</v>
      </c>
      <c r="BV685" s="9" t="s">
        <v>158</v>
      </c>
      <c r="BW685" s="10">
        <v>184</v>
      </c>
      <c r="BX685" s="10">
        <v>183.4</v>
      </c>
      <c r="BY685" s="10">
        <v>118</v>
      </c>
      <c r="BZ685" s="10">
        <v>160</v>
      </c>
      <c r="CA685" s="10">
        <v>128</v>
      </c>
      <c r="CB685" s="10">
        <v>87</v>
      </c>
      <c r="CC685" s="10">
        <v>110</v>
      </c>
      <c r="CD685" s="10">
        <v>19.100000000000001</v>
      </c>
      <c r="CE685" s="10">
        <v>1939</v>
      </c>
      <c r="CF685" s="10">
        <v>0.95</v>
      </c>
      <c r="CG685" s="10">
        <v>1837</v>
      </c>
      <c r="CH685" s="10">
        <v>209</v>
      </c>
      <c r="CI685" s="10">
        <v>128</v>
      </c>
      <c r="CJ685" s="10">
        <v>44</v>
      </c>
      <c r="CK685" s="10">
        <v>333</v>
      </c>
      <c r="CL685" s="10">
        <v>18</v>
      </c>
      <c r="CM685" s="10">
        <v>318</v>
      </c>
      <c r="CN685" s="10">
        <v>0.40600000000000003</v>
      </c>
      <c r="CO685" s="10">
        <v>127</v>
      </c>
      <c r="CP685" s="10">
        <v>103</v>
      </c>
      <c r="CQ685" s="10">
        <v>206</v>
      </c>
      <c r="CR685" s="10">
        <v>3</v>
      </c>
      <c r="CS685" s="10">
        <v>11.7</v>
      </c>
      <c r="CT685" s="9" t="s">
        <v>188</v>
      </c>
      <c r="CU685" s="10"/>
      <c r="CV685" s="10"/>
      <c r="CW685" s="10"/>
      <c r="CX685" t="e">
        <f>INDEX('Data_Price '!AG$2:AG$1266,MATCH(Data!$DN685,'Data_Price '!$AT$2:$AT$1266,0))</f>
        <v>#N/A</v>
      </c>
      <c r="CY685" t="e">
        <f>INDEX('Data_Price '!AH$2:AH$1266,MATCH(Data!$DN685,'Data_Price '!$AT$2:$AT$1266,0))</f>
        <v>#N/A</v>
      </c>
      <c r="CZ685" t="e">
        <f>INDEX('Data_Price '!AI$2:AI$1266,MATCH(Data!$DN685,'Data_Price '!$AT$2:$AT$1266,0))</f>
        <v>#N/A</v>
      </c>
      <c r="DA685" t="e">
        <f>INDEX('Data_Price '!AJ$2:AJ$1266,MATCH(Data!$DN685,'Data_Price '!$AT$2:$AT$1266,0))</f>
        <v>#N/A</v>
      </c>
      <c r="DB685" t="e">
        <f>INDEX('Data_Price '!AK$2:AK$1266,MATCH(Data!$DN685,'Data_Price '!$AT$2:$AT$1266,0))</f>
        <v>#N/A</v>
      </c>
      <c r="DC685" t="e">
        <f>INDEX('Data_Price '!AL$2:AL$1266,MATCH(Data!$DN685,'Data_Price '!$AT$2:$AT$1266,0))</f>
        <v>#N/A</v>
      </c>
      <c r="DD685" t="e">
        <f>INDEX('Data_Price '!AM$2:AM$1266,MATCH(Data!$DN685,'Data_Price '!$AT$2:$AT$1266,0))</f>
        <v>#N/A</v>
      </c>
      <c r="DE685" t="e">
        <f>INDEX('Data_Price '!AN$2:AN$1266,MATCH(Data!$DN685,'Data_Price '!$AT$2:$AT$1266,0))</f>
        <v>#N/A</v>
      </c>
      <c r="DF685" t="e">
        <f>INDEX('Data_Price '!AO$2:AO$1266,MATCH(Data!$DN685,'Data_Price '!$AT$2:$AT$1266,0))</f>
        <v>#N/A</v>
      </c>
      <c r="DG685" t="e">
        <f>INDEX('Data_Price '!AP$2:AP$1266,MATCH(Data!$DN685,'Data_Price '!$AT$2:$AT$1266,0))</f>
        <v>#N/A</v>
      </c>
      <c r="DH685" t="e">
        <f>INDEX('Data_Price '!AQ$2:AQ$1266,MATCH(Data!$DN685,'Data_Price '!$AT$2:$AT$1266,0))</f>
        <v>#N/A</v>
      </c>
      <c r="DI685" t="e">
        <f>INDEX('Data_Price '!AR$2:AR$1266,MATCH(Data!$DN685,'Data_Price '!$AT$2:$AT$1266,0))</f>
        <v>#N/A</v>
      </c>
      <c r="DJ685" s="89" t="e">
        <f t="shared" si="402"/>
        <v>#N/A</v>
      </c>
      <c r="DK685" s="89" t="e">
        <f t="shared" si="403"/>
        <v>#N/A</v>
      </c>
      <c r="DL685" s="89" t="e">
        <f t="shared" si="404"/>
        <v>#N/A</v>
      </c>
      <c r="DM685" s="219" t="str">
        <f t="shared" si="405"/>
        <v>Kendo 88</v>
      </c>
      <c r="DN685" s="89" t="str">
        <f t="shared" si="406"/>
        <v xml:space="preserve"> VölklKendo 88184 Unisex</v>
      </c>
      <c r="DO685" s="221"/>
    </row>
    <row r="686" spans="2:119" ht="15.6" customHeight="1">
      <c r="B686" s="219" t="b">
        <f t="array" ref="B686">IF(OR(ISERROR(K686:P686)),FALSE,TRUE)</f>
        <v>1</v>
      </c>
      <c r="C686" s="43" t="b">
        <f>OR(BR686=Driver!$G$50,Data!BR528=Driver!$H$50)</f>
        <v>1</v>
      </c>
      <c r="D686" s="43" t="b">
        <f>OR(BV686=Driver!$G$51,BV686=Driver!$H$51)</f>
        <v>1</v>
      </c>
      <c r="E686" s="43" t="b">
        <f>AND(BX686&gt;Driver!$F$54,BX686&lt;Driver!$G$54)</f>
        <v>1</v>
      </c>
      <c r="F686" s="43" t="b">
        <f>CL686&gt;Driver!$F$56</f>
        <v>1</v>
      </c>
      <c r="G686" s="43" t="b">
        <f>AND(CB686&gt;Driver!$F$55,CB686&lt;Driver!$G$55)</f>
        <v>0</v>
      </c>
      <c r="H686" s="43" t="b">
        <f t="shared" si="370"/>
        <v>0</v>
      </c>
      <c r="I686" s="43">
        <f t="shared" si="371"/>
        <v>0</v>
      </c>
      <c r="J686" s="43" t="b">
        <f t="array" ref="J686">NOT(OR(($H$9:$H$1273=TRUE)*($I$9:$I$1273&gt;0)*($BT$9:$BT$1273=BT686)*($K$9:$K$1273&gt;K686)))</f>
        <v>1</v>
      </c>
      <c r="K686" s="72">
        <f t="shared" si="372"/>
        <v>0.82701105533625308</v>
      </c>
      <c r="L686" s="72">
        <f t="shared" si="373"/>
        <v>0.87365102823240715</v>
      </c>
      <c r="M686" s="72">
        <f t="shared" si="374"/>
        <v>0.78037108244009901</v>
      </c>
      <c r="N686" s="72">
        <f t="shared" si="375"/>
        <v>0.77834620929582865</v>
      </c>
      <c r="O686" s="72">
        <f t="shared" si="376"/>
        <v>0.6522397152810252</v>
      </c>
      <c r="P686" s="72">
        <f t="shared" si="377"/>
        <v>0.91052732274344339</v>
      </c>
      <c r="Q686" s="72"/>
      <c r="R686" s="72"/>
      <c r="S686" s="72">
        <f t="shared" si="378"/>
        <v>0.41613710451902819</v>
      </c>
      <c r="T686" s="72">
        <f t="shared" si="379"/>
        <v>0.53373195137374174</v>
      </c>
      <c r="U686" s="72">
        <f t="shared" si="380"/>
        <v>0.57858575607601048</v>
      </c>
      <c r="V686" s="72">
        <f t="shared" si="381"/>
        <v>0.53537344753475247</v>
      </c>
      <c r="W686" s="72">
        <f t="shared" si="382"/>
        <v>0.8859977216631858</v>
      </c>
      <c r="X686" s="72">
        <f t="shared" si="383"/>
        <v>0.12634897176759288</v>
      </c>
      <c r="Y686" s="72">
        <f t="shared" si="384"/>
        <v>0.21962891755990097</v>
      </c>
      <c r="Z686" s="72">
        <f t="shared" si="385"/>
        <v>0.22165379070417141</v>
      </c>
      <c r="AA686" s="72">
        <f t="shared" si="386"/>
        <v>0.3477602847189748</v>
      </c>
      <c r="AB686" s="72">
        <f t="shared" si="387"/>
        <v>8.947267725655661E-2</v>
      </c>
      <c r="AC686" s="72"/>
      <c r="AD686" s="72"/>
      <c r="AE686" s="72">
        <f t="shared" si="388"/>
        <v>0.58386289548097181</v>
      </c>
      <c r="AF686" s="72">
        <f t="shared" si="389"/>
        <v>0.4662680486262582</v>
      </c>
      <c r="AG686" s="72">
        <f t="shared" si="390"/>
        <v>0.42141424392398952</v>
      </c>
      <c r="AH686" s="72">
        <f t="shared" si="391"/>
        <v>0.46462655246524753</v>
      </c>
      <c r="AI686" s="72">
        <f t="shared" si="392"/>
        <v>0.11400227833681414</v>
      </c>
      <c r="AJ686" s="72">
        <f>(AV686-Driver!$K$179)/(Driver!$L$179-Driver!$K$179)</f>
        <v>0.12787043751510754</v>
      </c>
      <c r="AK686" s="72">
        <f>(AW686-Driver!$K$180)/(Driver!$L$180-Driver!$K$180)</f>
        <v>0.17622865324594633</v>
      </c>
      <c r="AL686" s="72">
        <f>(AX686-Driver!$K$181)/(Driver!$L$181-Driver!$K$181)</f>
        <v>0.3233415544172516</v>
      </c>
      <c r="AM686" s="72">
        <f>(AY686-Driver!$K$182)/(Driver!$L$182-Driver!$K$182)</f>
        <v>9.9624736378071552E-2</v>
      </c>
      <c r="AN686" s="72">
        <f>(AZ686-Driver!$K$183)/(Driver!$L$183-Driver!$K$183)</f>
        <v>0.16474673202614382</v>
      </c>
      <c r="AO686" s="72"/>
      <c r="AP686" s="72"/>
      <c r="AQ686" s="72">
        <f>(BC686-Driver!$K$188)/(Driver!$L$188-Driver!$K$188)</f>
        <v>3.6137104519028185E-2</v>
      </c>
      <c r="AR686" s="72">
        <f>MIN((BD686-Driver!$K$189)/(Driver!$L$189-Driver!$K$189),100%)</f>
        <v>8.3731951373741842E-2</v>
      </c>
      <c r="AS686" s="72">
        <f>(BE686-Driver!$K$190)/(Driver!$L$190-Driver!$K$190)</f>
        <v>8.8585756076010505E-2</v>
      </c>
      <c r="AT686" s="72">
        <f>(BF686-Driver!$K$191)/(Driver!$L$191-Driver!$K$191)</f>
        <v>4.5373447534752469E-2</v>
      </c>
      <c r="AU686" s="72">
        <f>(BG686-Driver!$K$192)/(Driver!$L$192-Driver!$K$192)</f>
        <v>0.13599772166318586</v>
      </c>
      <c r="AV686" s="70">
        <f t="shared" si="393"/>
        <v>2.6912901912901912</v>
      </c>
      <c r="AW686" s="70">
        <f t="shared" si="394"/>
        <v>19.046936424996879</v>
      </c>
      <c r="AX686" s="70">
        <f t="shared" si="395"/>
        <v>3.9100739897552645</v>
      </c>
      <c r="AY686" s="70">
        <f>IFERROR(Driver!$K$19/Data!BH686/Data!BI686*Data!BK686*Data!BL686,"")</f>
        <v>0.12197040247913815</v>
      </c>
      <c r="AZ686" s="70">
        <f t="shared" si="396"/>
        <v>15.014892032762475</v>
      </c>
      <c r="BA686" s="70"/>
      <c r="BB686" s="70"/>
      <c r="BC686" s="70">
        <f t="shared" si="397"/>
        <v>18.744567335094832</v>
      </c>
      <c r="BD686" s="70">
        <f t="shared" si="398"/>
        <v>9.1309522164352188</v>
      </c>
      <c r="BE686" s="70">
        <f t="shared" si="399"/>
        <v>8.8748342118722276E-2</v>
      </c>
      <c r="BF686" s="70">
        <f t="shared" si="400"/>
        <v>5.1246121325404328</v>
      </c>
      <c r="BG686" s="70">
        <f t="shared" si="401"/>
        <v>0.51497413138408954</v>
      </c>
      <c r="BH686" s="67">
        <f>MAX((CE686-Driver!$F$200)/(Driver!$G$200-Driver!$F$200)*$BI$1,1)</f>
        <v>3.9100739897552645</v>
      </c>
      <c r="BI686" s="67">
        <f>MAX($BI$1*(BY686-Driver!$F$201)/(Driver!$G$201-Driver!$F$201),1)</f>
        <v>6.8987341772151902</v>
      </c>
      <c r="BJ686" s="67">
        <f>(CB686-Driver!$F$206)/(Driver!$G$206-Driver!$F$206)*$BI$1</f>
        <v>3.6507936507936507</v>
      </c>
      <c r="BK686" s="67">
        <f>(CD686-Driver!$F$203)/(Driver!$G$203-Driver!$F$203)*$BI$1</f>
        <v>2.3853211009174311</v>
      </c>
      <c r="BL686" s="67">
        <f>MAX((CR686-Driver!$F$202)/(Driver!$G$202-Driver!$F$202)*$BI$1,1)</f>
        <v>6.8965517241379315</v>
      </c>
      <c r="BM686" s="67">
        <f>MAX((CH686-Driver!$F$204)/(Driver!$G$204-Driver!$F$204)*$BI$1,1)</f>
        <v>2.9487179487179489</v>
      </c>
      <c r="BN686" s="67">
        <f>(CI686-Driver!$F$205)/(Driver!$G$205-Driver!$F$205)*$BI$1</f>
        <v>2.1764705882352944</v>
      </c>
      <c r="BO686" s="67">
        <f>(CK686-Driver!$F$207)/(Driver!$G$207-Driver!$F$207)*$BI$1</f>
        <v>1.6028955532574973</v>
      </c>
      <c r="BP686" s="67">
        <f>(CM686-Driver!$F$208)/(Driver!$G$208-Driver!$F$208)*$BI$1</f>
        <v>2.088888888888889</v>
      </c>
      <c r="BQ686" s="67">
        <f>(CL686-Driver!$F$209)/(Driver!$G$209-Driver!$F$209)*$BI$1</f>
        <v>5.9375</v>
      </c>
      <c r="BR686" s="28" t="s">
        <v>155</v>
      </c>
      <c r="BS686" s="8" t="s">
        <v>205</v>
      </c>
      <c r="BT686" s="9" t="s">
        <v>535</v>
      </c>
      <c r="BU686" s="10">
        <v>164</v>
      </c>
      <c r="BV686" s="9" t="s">
        <v>158</v>
      </c>
      <c r="BW686" s="10">
        <v>164</v>
      </c>
      <c r="BX686" s="10">
        <v>161.9</v>
      </c>
      <c r="BY686" s="10">
        <v>117</v>
      </c>
      <c r="BZ686" s="10">
        <v>136</v>
      </c>
      <c r="CA686" s="10">
        <v>119</v>
      </c>
      <c r="CB686" s="10">
        <v>87</v>
      </c>
      <c r="CC686" s="10">
        <v>112</v>
      </c>
      <c r="CD686" s="10">
        <v>14.6</v>
      </c>
      <c r="CE686" s="10">
        <v>1587</v>
      </c>
      <c r="CF686" s="10">
        <v>1.01</v>
      </c>
      <c r="CG686" s="10">
        <v>1604</v>
      </c>
      <c r="CH686" s="10">
        <v>170</v>
      </c>
      <c r="CI686" s="10">
        <v>70</v>
      </c>
      <c r="CJ686" s="10">
        <v>53</v>
      </c>
      <c r="CK686" s="10">
        <v>265</v>
      </c>
      <c r="CL686" s="10">
        <v>38</v>
      </c>
      <c r="CM686" s="10">
        <v>188</v>
      </c>
      <c r="CN686" s="10">
        <v>0.70499999999999996</v>
      </c>
      <c r="CO686" s="10">
        <v>134</v>
      </c>
      <c r="CP686" s="10">
        <v>126</v>
      </c>
      <c r="CQ686" s="10">
        <v>131</v>
      </c>
      <c r="CR686" s="10">
        <v>9</v>
      </c>
      <c r="CS686" s="10">
        <v>6.5</v>
      </c>
      <c r="CT686" s="9" t="s">
        <v>188</v>
      </c>
      <c r="CU686" s="10"/>
      <c r="CV686" s="10"/>
      <c r="CW686" s="10"/>
      <c r="CX686" t="str">
        <f>INDEX('Data_Price '!AG$2:AG$1266,MATCH(Data!$DN686,'Data_Price '!$AT$2:$AT$1266,0))</f>
        <v>Faction - Prodigy 1.0 - 164</v>
      </c>
      <c r="CY686" t="str">
        <f>INDEX('Data_Price '!AH$2:AH$1266,MATCH(Data!$DN686,'Data_Price '!$AT$2:$AT$1266,0))</f>
        <v>Gear West Ski &amp; Bike</v>
      </c>
      <c r="CZ686">
        <f>INDEX('Data_Price '!AI$2:AI$1266,MATCH(Data!$DN686,'Data_Price '!$AT$2:$AT$1266,0))</f>
        <v>449</v>
      </c>
      <c r="DA686" t="str">
        <f>INDEX('Data_Price '!AJ$2:AJ$1266,MATCH(Data!$DN686,'Data_Price '!$AT$2:$AT$1266,0))</f>
        <v>https://tinyurl.com/yd6zohu2</v>
      </c>
      <c r="DB686" t="str">
        <f>INDEX('Data_Price '!AK$2:AK$1266,MATCH(Data!$DN686,'Data_Price '!$AT$2:$AT$1266,0))</f>
        <v>Faction Prodigy 0.0 with M10 GW Binding Skis</v>
      </c>
      <c r="DC686" t="str">
        <f>INDEX('Data_Price '!AL$2:AL$1266,MATCH(Data!$DN686,'Data_Price '!$AT$2:$AT$1266,0))</f>
        <v>Backcountry.com</v>
      </c>
      <c r="DD686">
        <f>INDEX('Data_Price '!AM$2:AM$1266,MATCH(Data!$DN686,'Data_Price '!$AT$2:$AT$1266,0))</f>
        <v>314.27</v>
      </c>
      <c r="DE686" t="str">
        <f>INDEX('Data_Price '!AN$2:AN$1266,MATCH(Data!$DN686,'Data_Price '!$AT$2:$AT$1266,0))</f>
        <v>https://tinyurl.com/y7fv26po</v>
      </c>
      <c r="DF686" t="str">
        <f>INDEX('Data_Price '!AO$2:AO$1266,MATCH(Data!$DN686,'Data_Price '!$AT$2:$AT$1266,0))</f>
        <v>Faction Ct 1.0 Ski, 164</v>
      </c>
      <c r="DG686" t="str">
        <f>INDEX('Data_Price '!AP$2:AP$1266,MATCH(Data!$DN686,'Data_Price '!$AT$2:$AT$1266,0))</f>
        <v>Snowcountry.eu</v>
      </c>
      <c r="DH686">
        <f>INDEX('Data_Price '!AQ$2:AQ$1266,MATCH(Data!$DN686,'Data_Price '!$AT$2:$AT$1266,0))</f>
        <v>391.87</v>
      </c>
      <c r="DI686" t="str">
        <f>INDEX('Data_Price '!AR$2:AR$1266,MATCH(Data!$DN686,'Data_Price '!$AT$2:$AT$1266,0))</f>
        <v>https://tinyurl.com/y9e83r2f</v>
      </c>
      <c r="DJ686" s="89" t="str">
        <f t="shared" si="402"/>
        <v>https://tinyurl.com/yd6zohu2</v>
      </c>
      <c r="DK686" s="89" t="str">
        <f t="shared" si="403"/>
        <v>https://tinyurl.com/y7fv26po</v>
      </c>
      <c r="DL686" s="89" t="str">
        <f t="shared" si="404"/>
        <v>https://tinyurl.com/y9e83r2f</v>
      </c>
      <c r="DM686" s="219" t="str">
        <f t="shared" si="405"/>
        <v>Prodigy 1.0</v>
      </c>
      <c r="DN686" s="89" t="str">
        <f t="shared" si="406"/>
        <v xml:space="preserve"> FactionProdigy 1.0164 Unisex</v>
      </c>
      <c r="DO686" s="221"/>
    </row>
    <row r="687" spans="2:119" ht="15.6" customHeight="1">
      <c r="B687" s="219" t="b">
        <f t="array" ref="B687">IF(OR(ISERROR(K687:P687)),FALSE,TRUE)</f>
        <v>1</v>
      </c>
      <c r="C687" s="43" t="b">
        <f>OR(BR687=Driver!$G$50,Data!BR1200=Driver!$H$50)</f>
        <v>1</v>
      </c>
      <c r="D687" s="43" t="b">
        <f>OR(BV687=Driver!$G$51,BV687=Driver!$H$51)</f>
        <v>1</v>
      </c>
      <c r="E687" s="43" t="b">
        <f>AND(BX687&gt;Driver!$F$54,BX687&lt;Driver!$G$54)</f>
        <v>0</v>
      </c>
      <c r="F687" s="43" t="b">
        <f>CL687&gt;Driver!$F$56</f>
        <v>1</v>
      </c>
      <c r="G687" s="43" t="b">
        <f>AND(CB687&gt;Driver!$F$55,CB687&lt;Driver!$G$55)</f>
        <v>0</v>
      </c>
      <c r="H687" s="43" t="b">
        <f t="shared" si="370"/>
        <v>0</v>
      </c>
      <c r="I687" s="43">
        <f t="shared" si="371"/>
        <v>0</v>
      </c>
      <c r="J687" s="43" t="b">
        <f t="array" ref="J687">NOT(OR(($H$9:$H$1273=TRUE)*($I$9:$I$1273&gt;0)*($BT$9:$BT$1273=BT687)*($K$9:$K$1273&gt;K687)))</f>
        <v>1</v>
      </c>
      <c r="K687" s="72">
        <f t="shared" si="372"/>
        <v>0.83876372136149757</v>
      </c>
      <c r="L687" s="72">
        <f t="shared" si="373"/>
        <v>0.87437619139411848</v>
      </c>
      <c r="M687" s="72">
        <f t="shared" si="374"/>
        <v>0.80315125132887677</v>
      </c>
      <c r="N687" s="72">
        <f t="shared" si="375"/>
        <v>0.83652618779453225</v>
      </c>
      <c r="O687" s="72">
        <f t="shared" si="376"/>
        <v>0.63972867482120366</v>
      </c>
      <c r="P687" s="72">
        <f t="shared" si="377"/>
        <v>0.9331988913708944</v>
      </c>
      <c r="Q687" s="72"/>
      <c r="R687" s="72"/>
      <c r="S687" s="72">
        <f t="shared" si="378"/>
        <v>0.43566885475959272</v>
      </c>
      <c r="T687" s="72">
        <f t="shared" si="379"/>
        <v>0.50545282600141928</v>
      </c>
      <c r="U687" s="72">
        <f t="shared" si="380"/>
        <v>0.91829468613616538</v>
      </c>
      <c r="V687" s="72">
        <f t="shared" si="381"/>
        <v>0.50753587495690278</v>
      </c>
      <c r="W687" s="72">
        <f t="shared" si="382"/>
        <v>0.79412665066026411</v>
      </c>
      <c r="X687" s="72">
        <f t="shared" si="383"/>
        <v>0.12562380860588149</v>
      </c>
      <c r="Y687" s="72">
        <f t="shared" si="384"/>
        <v>0.19684874867112323</v>
      </c>
      <c r="Z687" s="72">
        <f t="shared" si="385"/>
        <v>0.16347381220546781</v>
      </c>
      <c r="AA687" s="72">
        <f t="shared" si="386"/>
        <v>0.36027132517879634</v>
      </c>
      <c r="AB687" s="72">
        <f t="shared" si="387"/>
        <v>6.6801108629105654E-2</v>
      </c>
      <c r="AC687" s="72"/>
      <c r="AD687" s="72"/>
      <c r="AE687" s="72">
        <f t="shared" si="388"/>
        <v>0.56433114524040728</v>
      </c>
      <c r="AF687" s="72">
        <f t="shared" si="389"/>
        <v>0.49454717399858078</v>
      </c>
      <c r="AG687" s="72">
        <f t="shared" si="390"/>
        <v>8.1705313863834617E-2</v>
      </c>
      <c r="AH687" s="72">
        <f t="shared" si="391"/>
        <v>0.49246412504309722</v>
      </c>
      <c r="AI687" s="72">
        <f t="shared" si="392"/>
        <v>0.20587334933973589</v>
      </c>
      <c r="AJ687" s="72">
        <f>(AV687-Driver!$K$179)/(Driver!$L$179-Driver!$K$179)</f>
        <v>0.12859560067681894</v>
      </c>
      <c r="AK687" s="72">
        <f>(AW687-Driver!$K$180)/(Driver!$L$180-Driver!$K$180)</f>
        <v>0.19190021434076346</v>
      </c>
      <c r="AL687" s="72">
        <f>(AX687-Driver!$K$181)/(Driver!$L$181-Driver!$K$181)</f>
        <v>0.265161575918548</v>
      </c>
      <c r="AM687" s="72">
        <f>(AY687-Driver!$K$182)/(Driver!$L$182-Driver!$K$182)</f>
        <v>8.7113695918250009E-2</v>
      </c>
      <c r="AN687" s="72">
        <f>(AZ687-Driver!$K$183)/(Driver!$L$183-Driver!$K$183)</f>
        <v>0.18741830065359477</v>
      </c>
      <c r="AO687" s="72"/>
      <c r="AP687" s="72"/>
      <c r="AQ687" s="72">
        <f>(BC687-Driver!$K$188)/(Driver!$L$188-Driver!$K$188)</f>
        <v>5.5668854759592726E-2</v>
      </c>
      <c r="AR687" s="72">
        <f>MIN((BD687-Driver!$K$189)/(Driver!$L$189-Driver!$K$189),100%)</f>
        <v>5.5452826001419257E-2</v>
      </c>
      <c r="AS687" s="72">
        <f>(BE687-Driver!$K$190)/(Driver!$L$190-Driver!$K$190)</f>
        <v>0.59170531386383463</v>
      </c>
      <c r="AT687" s="72">
        <f>(BF687-Driver!$K$191)/(Driver!$L$191-Driver!$K$191)</f>
        <v>1.7535874956902776E-2</v>
      </c>
      <c r="AU687" s="72">
        <f>(BG687-Driver!$K$192)/(Driver!$L$192-Driver!$K$192)</f>
        <v>4.4126650660264111E-2</v>
      </c>
      <c r="AV687" s="70">
        <f t="shared" si="393"/>
        <v>2.7065527065527064</v>
      </c>
      <c r="AW687" s="70">
        <f t="shared" si="394"/>
        <v>20.574268917844538</v>
      </c>
      <c r="AX687" s="70">
        <f t="shared" si="395"/>
        <v>3.3864541832669319</v>
      </c>
      <c r="AY687" s="70">
        <f>IFERROR(Driver!$K$19/Data!BH687/Data!BI687*Data!BK687*Data!BL687,"")</f>
        <v>0.10665315602213173</v>
      </c>
      <c r="AZ687" s="70">
        <f t="shared" si="396"/>
        <v>17.081161578555474</v>
      </c>
      <c r="BA687" s="70"/>
      <c r="BB687" s="70"/>
      <c r="BC687" s="70">
        <f t="shared" si="397"/>
        <v>28.875821967400451</v>
      </c>
      <c r="BD687" s="70">
        <f t="shared" si="398"/>
        <v>6.6282997286298047</v>
      </c>
      <c r="BE687" s="70">
        <f t="shared" si="399"/>
        <v>0.59177814904028891</v>
      </c>
      <c r="BF687" s="70">
        <f t="shared" si="400"/>
        <v>1.9805538798881608</v>
      </c>
      <c r="BG687" s="70">
        <f t="shared" si="401"/>
        <v>0.1670916491596639</v>
      </c>
      <c r="BH687" s="67">
        <f>MAX((CE687-Driver!$F$200)/(Driver!$G$200-Driver!$F$200)*$BI$1,1)</f>
        <v>3.3864541832669319</v>
      </c>
      <c r="BI687" s="67">
        <f>MAX($BI$1*(BY687-Driver!$F$201)/(Driver!$G$201-Driver!$F$201),1)</f>
        <v>7.8481012658227849</v>
      </c>
      <c r="BJ687" s="67">
        <f>(CB687-Driver!$F$206)/(Driver!$G$206-Driver!$F$206)*$BI$1</f>
        <v>3.0158730158730158</v>
      </c>
      <c r="BK687" s="67">
        <f>(CD687-Driver!$F$203)/(Driver!$G$203-Driver!$F$203)*$BI$1</f>
        <v>2.9357798165137621</v>
      </c>
      <c r="BL687" s="67">
        <f>MAX((CR687-Driver!$F$202)/(Driver!$G$202-Driver!$F$202)*$BI$1,1)</f>
        <v>4.8275862068965516</v>
      </c>
      <c r="BM687" s="67">
        <f>MAX((CH687-Driver!$F$204)/(Driver!$G$204-Driver!$F$204)*$BI$1,1)</f>
        <v>3.5897435897435899</v>
      </c>
      <c r="BN687" s="67">
        <f>(CI687-Driver!$F$205)/(Driver!$G$205-Driver!$F$205)*$BI$1</f>
        <v>2.1764705882352944</v>
      </c>
      <c r="BO687" s="67">
        <f>(CK687-Driver!$F$207)/(Driver!$G$207-Driver!$F$207)*$BI$1</f>
        <v>1.2306101344364011</v>
      </c>
      <c r="BP687" s="67">
        <f>(CM687-Driver!$F$208)/(Driver!$G$208-Driver!$F$208)*$BI$1</f>
        <v>1.5666666666666669</v>
      </c>
      <c r="BQ687" s="67">
        <f>(CL687-Driver!$F$209)/(Driver!$G$209-Driver!$F$209)*$BI$1</f>
        <v>2.03125</v>
      </c>
      <c r="BR687" s="28" t="s">
        <v>155</v>
      </c>
      <c r="BS687" s="8" t="s">
        <v>229</v>
      </c>
      <c r="BT687" s="9" t="s">
        <v>230</v>
      </c>
      <c r="BU687" s="10">
        <v>168</v>
      </c>
      <c r="BV687" s="9" t="s">
        <v>158</v>
      </c>
      <c r="BW687" s="10">
        <v>168</v>
      </c>
      <c r="BX687" s="10">
        <v>168.7</v>
      </c>
      <c r="BY687" s="10">
        <v>132</v>
      </c>
      <c r="BZ687" s="10">
        <v>145</v>
      </c>
      <c r="CA687" s="10">
        <v>124</v>
      </c>
      <c r="CB687" s="10">
        <v>83</v>
      </c>
      <c r="CC687" s="10">
        <v>106</v>
      </c>
      <c r="CD687" s="10">
        <v>15.8</v>
      </c>
      <c r="CE687" s="10">
        <v>1495</v>
      </c>
      <c r="CF687" s="10">
        <v>1.0900000000000001</v>
      </c>
      <c r="CG687" s="10">
        <v>1623</v>
      </c>
      <c r="CH687" s="10">
        <v>185</v>
      </c>
      <c r="CI687" s="10">
        <v>70</v>
      </c>
      <c r="CJ687" s="10">
        <v>36</v>
      </c>
      <c r="CK687" s="10">
        <v>229</v>
      </c>
      <c r="CL687" s="10">
        <v>13</v>
      </c>
      <c r="CM687" s="10">
        <v>141</v>
      </c>
      <c r="CN687" s="10">
        <v>0.34799999999999998</v>
      </c>
      <c r="CO687" s="10">
        <v>134</v>
      </c>
      <c r="CP687" s="10">
        <v>107</v>
      </c>
      <c r="CQ687" s="10">
        <v>95</v>
      </c>
      <c r="CR687" s="10">
        <v>3</v>
      </c>
      <c r="CS687" s="10">
        <v>11.6</v>
      </c>
      <c r="CT687" s="9" t="s">
        <v>231</v>
      </c>
      <c r="CU687" s="9" t="s">
        <v>188</v>
      </c>
      <c r="CV687" s="9" t="s">
        <v>185</v>
      </c>
      <c r="CW687" s="10"/>
      <c r="CX687" t="e">
        <f>INDEX('Data_Price '!AG$2:AG$1266,MATCH(Data!$DN687,'Data_Price '!$AT$2:$AT$1266,0))</f>
        <v>#N/A</v>
      </c>
      <c r="CY687" t="e">
        <f>INDEX('Data_Price '!AH$2:AH$1266,MATCH(Data!$DN687,'Data_Price '!$AT$2:$AT$1266,0))</f>
        <v>#N/A</v>
      </c>
      <c r="CZ687" t="e">
        <f>INDEX('Data_Price '!AI$2:AI$1266,MATCH(Data!$DN687,'Data_Price '!$AT$2:$AT$1266,0))</f>
        <v>#N/A</v>
      </c>
      <c r="DA687" t="e">
        <f>INDEX('Data_Price '!AJ$2:AJ$1266,MATCH(Data!$DN687,'Data_Price '!$AT$2:$AT$1266,0))</f>
        <v>#N/A</v>
      </c>
      <c r="DB687" t="e">
        <f>INDEX('Data_Price '!AK$2:AK$1266,MATCH(Data!$DN687,'Data_Price '!$AT$2:$AT$1266,0))</f>
        <v>#N/A</v>
      </c>
      <c r="DC687" t="e">
        <f>INDEX('Data_Price '!AL$2:AL$1266,MATCH(Data!$DN687,'Data_Price '!$AT$2:$AT$1266,0))</f>
        <v>#N/A</v>
      </c>
      <c r="DD687" t="e">
        <f>INDEX('Data_Price '!AM$2:AM$1266,MATCH(Data!$DN687,'Data_Price '!$AT$2:$AT$1266,0))</f>
        <v>#N/A</v>
      </c>
      <c r="DE687" t="e">
        <f>INDEX('Data_Price '!AN$2:AN$1266,MATCH(Data!$DN687,'Data_Price '!$AT$2:$AT$1266,0))</f>
        <v>#N/A</v>
      </c>
      <c r="DF687" t="e">
        <f>INDEX('Data_Price '!AO$2:AO$1266,MATCH(Data!$DN687,'Data_Price '!$AT$2:$AT$1266,0))</f>
        <v>#N/A</v>
      </c>
      <c r="DG687" t="e">
        <f>INDEX('Data_Price '!AP$2:AP$1266,MATCH(Data!$DN687,'Data_Price '!$AT$2:$AT$1266,0))</f>
        <v>#N/A</v>
      </c>
      <c r="DH687" t="e">
        <f>INDEX('Data_Price '!AQ$2:AQ$1266,MATCH(Data!$DN687,'Data_Price '!$AT$2:$AT$1266,0))</f>
        <v>#N/A</v>
      </c>
      <c r="DI687" t="e">
        <f>INDEX('Data_Price '!AR$2:AR$1266,MATCH(Data!$DN687,'Data_Price '!$AT$2:$AT$1266,0))</f>
        <v>#N/A</v>
      </c>
      <c r="DJ687" s="89" t="e">
        <f t="shared" si="402"/>
        <v>#N/A</v>
      </c>
      <c r="DK687" s="89" t="e">
        <f t="shared" si="403"/>
        <v>#N/A</v>
      </c>
      <c r="DL687" s="89" t="e">
        <f t="shared" si="404"/>
        <v>#N/A</v>
      </c>
      <c r="DM687" s="219" t="str">
        <f t="shared" si="405"/>
        <v>Kanjo 84</v>
      </c>
      <c r="DN687" s="89" t="str">
        <f t="shared" si="406"/>
        <v xml:space="preserve"> VölklKanjo 84168 Unisex</v>
      </c>
      <c r="DO687" s="221"/>
    </row>
    <row r="688" spans="2:119" ht="15.6" customHeight="1">
      <c r="B688" s="219" t="b">
        <f t="array" ref="B688">IF(OR(ISERROR(K688:P688)),FALSE,TRUE)</f>
        <v>1</v>
      </c>
      <c r="C688" s="43" t="b">
        <f>OR(BR688=Driver!$G$50,Data!BR1215=Driver!$H$50)</f>
        <v>1</v>
      </c>
      <c r="D688" s="43" t="b">
        <f>OR(BV688=Driver!$G$51,BV688=Driver!$H$51)</f>
        <v>0</v>
      </c>
      <c r="E688" s="43" t="b">
        <f>AND(BX688&gt;Driver!$F$54,BX688&lt;Driver!$G$54)</f>
        <v>0</v>
      </c>
      <c r="F688" s="43" t="b">
        <f>CL688&gt;Driver!$F$56</f>
        <v>1</v>
      </c>
      <c r="G688" s="43" t="b">
        <f>AND(CB688&gt;Driver!$F$55,CB688&lt;Driver!$G$55)</f>
        <v>0</v>
      </c>
      <c r="H688" s="43" t="b">
        <f t="shared" si="370"/>
        <v>0</v>
      </c>
      <c r="I688" s="43">
        <f t="shared" si="371"/>
        <v>0</v>
      </c>
      <c r="J688" s="43" t="b">
        <f t="array" ref="J688">NOT(OR(($H$9:$H$1273=TRUE)*($I$9:$I$1273&gt;0)*($BT$9:$BT$1273=BT688)*($K$9:$K$1273&gt;K688)))</f>
        <v>1</v>
      </c>
      <c r="K688" s="72">
        <f t="shared" si="372"/>
        <v>0.79630168083567954</v>
      </c>
      <c r="L688" s="72">
        <f t="shared" si="373"/>
        <v>0.90886172841772661</v>
      </c>
      <c r="M688" s="72">
        <f t="shared" si="374"/>
        <v>0.68374163325363235</v>
      </c>
      <c r="N688" s="72">
        <f t="shared" si="375"/>
        <v>0.6164540952124794</v>
      </c>
      <c r="O688" s="72">
        <f t="shared" si="376"/>
        <v>0.61743865016767796</v>
      </c>
      <c r="P688" s="72">
        <f t="shared" si="377"/>
        <v>0.81733215438073969</v>
      </c>
      <c r="Q688" s="72"/>
      <c r="R688" s="72"/>
      <c r="S688" s="72">
        <f t="shared" si="378"/>
        <v>0.50900323913373535</v>
      </c>
      <c r="T688" s="72">
        <f t="shared" si="379"/>
        <v>0.52447859128685159</v>
      </c>
      <c r="U688" s="72">
        <f t="shared" si="380"/>
        <v>0.63462587658498015</v>
      </c>
      <c r="V688" s="72">
        <f t="shared" si="381"/>
        <v>0.53023204290224313</v>
      </c>
      <c r="W688" s="72">
        <f t="shared" si="382"/>
        <v>0.78066554998553939</v>
      </c>
      <c r="X688" s="72">
        <f t="shared" si="383"/>
        <v>9.1138271582273389E-2</v>
      </c>
      <c r="Y688" s="72">
        <f t="shared" si="384"/>
        <v>0.31625836674636765</v>
      </c>
      <c r="Z688" s="72">
        <f t="shared" si="385"/>
        <v>0.3835459047875206</v>
      </c>
      <c r="AA688" s="72">
        <f t="shared" si="386"/>
        <v>0.38256134983232204</v>
      </c>
      <c r="AB688" s="72">
        <f t="shared" si="387"/>
        <v>0.18266784561926031</v>
      </c>
      <c r="AC688" s="72"/>
      <c r="AD688" s="72"/>
      <c r="AE688" s="72">
        <f t="shared" si="388"/>
        <v>0.49099676086626465</v>
      </c>
      <c r="AF688" s="72">
        <f t="shared" si="389"/>
        <v>0.47552140871314841</v>
      </c>
      <c r="AG688" s="72">
        <f t="shared" si="390"/>
        <v>0.36537412341501985</v>
      </c>
      <c r="AH688" s="72">
        <f t="shared" si="391"/>
        <v>0.46976795709775687</v>
      </c>
      <c r="AI688" s="72">
        <f t="shared" si="392"/>
        <v>0.21933445001446061</v>
      </c>
      <c r="AJ688" s="72">
        <f>(AV688-Driver!$K$179)/(Driver!$L$179-Driver!$K$179)</f>
        <v>0.16308113770042704</v>
      </c>
      <c r="AK688" s="72">
        <f>(AW688-Driver!$K$180)/(Driver!$L$180-Driver!$K$180)</f>
        <v>0.44523551894116131</v>
      </c>
      <c r="AL688" s="72">
        <f>(AX688-Driver!$K$181)/(Driver!$L$181-Driver!$K$181)</f>
        <v>0.48523366850060079</v>
      </c>
      <c r="AM688" s="72">
        <f>(AY688-Driver!$K$182)/(Driver!$L$182-Driver!$K$182)</f>
        <v>6.4823671264724311E-2</v>
      </c>
      <c r="AN688" s="72">
        <f>(AZ688-Driver!$K$183)/(Driver!$L$183-Driver!$K$183)</f>
        <v>0.43688725490196073</v>
      </c>
      <c r="AO688" s="72"/>
      <c r="AP688" s="72"/>
      <c r="AQ688" s="72">
        <f>(BC688-Driver!$K$188)/(Driver!$L$188-Driver!$K$188)</f>
        <v>0.12900323913373535</v>
      </c>
      <c r="AR688" s="72">
        <f>MIN((BD688-Driver!$K$189)/(Driver!$L$189-Driver!$K$189),100%)</f>
        <v>7.4478591286851609E-2</v>
      </c>
      <c r="AS688" s="72">
        <f>(BE688-Driver!$K$190)/(Driver!$L$190-Driver!$K$190)</f>
        <v>0.14462587658498013</v>
      </c>
      <c r="AT688" s="72">
        <f>(BF688-Driver!$K$191)/(Driver!$L$191-Driver!$K$191)</f>
        <v>4.0232042902243144E-2</v>
      </c>
      <c r="AU688" s="72">
        <f>(BG688-Driver!$K$192)/(Driver!$L$192-Driver!$K$192)</f>
        <v>3.066554998553938E-2</v>
      </c>
      <c r="AV688" s="70">
        <f t="shared" si="393"/>
        <v>3.4323700990367656</v>
      </c>
      <c r="AW688" s="70">
        <f t="shared" si="394"/>
        <v>45.264039130309882</v>
      </c>
      <c r="AX688" s="70">
        <f t="shared" si="395"/>
        <v>5.367103016505407</v>
      </c>
      <c r="AY688" s="70">
        <f>IFERROR(Driver!$K$19/Data!BH688/Data!BI688*Data!BK688*Data!BL688,"")</f>
        <v>7.936351514475963E-2</v>
      </c>
      <c r="AZ688" s="70">
        <f t="shared" si="396"/>
        <v>39.817572598659716</v>
      </c>
      <c r="BA688" s="70"/>
      <c r="BB688" s="70"/>
      <c r="BC688" s="70">
        <f t="shared" si="397"/>
        <v>66.914876954637421</v>
      </c>
      <c r="BD688" s="70">
        <f t="shared" si="398"/>
        <v>8.3120462447293058</v>
      </c>
      <c r="BE688" s="70">
        <f t="shared" si="399"/>
        <v>0.14477846570095151</v>
      </c>
      <c r="BF688" s="70">
        <f t="shared" si="400"/>
        <v>4.5439265997103204</v>
      </c>
      <c r="BG688" s="70">
        <f t="shared" si="401"/>
        <v>0.11611933475127736</v>
      </c>
      <c r="BH688" s="67">
        <f>MAX((CE688-Driver!$F$200)/(Driver!$G$200-Driver!$F$200)*$BI$1,1)</f>
        <v>5.367103016505407</v>
      </c>
      <c r="BI688" s="67">
        <f>MAX($BI$1*(BY688-Driver!$F$201)/(Driver!$G$201-Driver!$F$201),1)</f>
        <v>7.2784810126582276</v>
      </c>
      <c r="BJ688" s="67">
        <f>(CB688-Driver!$F$206)/(Driver!$G$206-Driver!$F$206)*$BI$1</f>
        <v>3.6507936507936507</v>
      </c>
      <c r="BK688" s="67">
        <f>(CD688-Driver!$F$203)/(Driver!$G$203-Driver!$F$203)*$BI$1</f>
        <v>3.2110091743119265</v>
      </c>
      <c r="BL688" s="67">
        <f>MAX((CR688-Driver!$F$202)/(Driver!$G$202-Driver!$F$202)*$BI$1,1)</f>
        <v>4.8275862068965516</v>
      </c>
      <c r="BM688" s="67">
        <f>MAX((CH688-Driver!$F$204)/(Driver!$G$204-Driver!$F$204)*$BI$1,1)</f>
        <v>3.7606837606837606</v>
      </c>
      <c r="BN688" s="67">
        <f>(CI688-Driver!$F$205)/(Driver!$G$205-Driver!$F$205)*$BI$1</f>
        <v>5.4705882352941178</v>
      </c>
      <c r="BO688" s="67">
        <f>(CK688-Driver!$F$207)/(Driver!$G$207-Driver!$F$207)*$BI$1</f>
        <v>1.923474663908997</v>
      </c>
      <c r="BP688" s="67">
        <f>(CM688-Driver!$F$208)/(Driver!$G$208-Driver!$F$208)*$BI$1</f>
        <v>2.0777777777777779</v>
      </c>
      <c r="BQ688" s="67">
        <f>(CL688-Driver!$F$209)/(Driver!$G$209-Driver!$F$209)*$BI$1</f>
        <v>2.34375</v>
      </c>
      <c r="BR688" s="28" t="s">
        <v>155</v>
      </c>
      <c r="BS688" s="8" t="s">
        <v>229</v>
      </c>
      <c r="BT688" s="9" t="s">
        <v>311</v>
      </c>
      <c r="BU688" s="10">
        <v>170</v>
      </c>
      <c r="BV688" s="9" t="s">
        <v>163</v>
      </c>
      <c r="BW688" s="10">
        <v>170</v>
      </c>
      <c r="BX688" s="10">
        <v>171.2</v>
      </c>
      <c r="BY688" s="10">
        <v>123</v>
      </c>
      <c r="BZ688" s="10">
        <v>148</v>
      </c>
      <c r="CA688" s="10">
        <v>128</v>
      </c>
      <c r="CB688" s="10">
        <v>87</v>
      </c>
      <c r="CC688" s="10">
        <v>110</v>
      </c>
      <c r="CD688" s="10">
        <v>16.399999999999999</v>
      </c>
      <c r="CE688" s="10">
        <v>1843</v>
      </c>
      <c r="CF688" s="10">
        <v>0.93</v>
      </c>
      <c r="CG688" s="10">
        <v>1713</v>
      </c>
      <c r="CH688" s="10">
        <v>189</v>
      </c>
      <c r="CI688" s="10">
        <v>126</v>
      </c>
      <c r="CJ688" s="10">
        <v>45</v>
      </c>
      <c r="CK688" s="10">
        <v>296</v>
      </c>
      <c r="CL688" s="10">
        <v>15</v>
      </c>
      <c r="CM688" s="10">
        <v>187</v>
      </c>
      <c r="CN688" s="10">
        <v>0.32100000000000001</v>
      </c>
      <c r="CO688" s="10">
        <v>134</v>
      </c>
      <c r="CP688" s="10">
        <v>102</v>
      </c>
      <c r="CQ688" s="10">
        <v>163</v>
      </c>
      <c r="CR688" s="10">
        <v>3</v>
      </c>
      <c r="CS688" s="10">
        <v>11.3</v>
      </c>
      <c r="CT688" s="9" t="s">
        <v>188</v>
      </c>
      <c r="CU688" s="10"/>
      <c r="CV688" s="10"/>
      <c r="CW688" s="10"/>
      <c r="CX688" t="e">
        <f>INDEX('Data_Price '!AG$2:AG$1266,MATCH(Data!$DN688,'Data_Price '!$AT$2:$AT$1266,0))</f>
        <v>#N/A</v>
      </c>
      <c r="CY688" t="e">
        <f>INDEX('Data_Price '!AH$2:AH$1266,MATCH(Data!$DN688,'Data_Price '!$AT$2:$AT$1266,0))</f>
        <v>#N/A</v>
      </c>
      <c r="CZ688" t="e">
        <f>INDEX('Data_Price '!AI$2:AI$1266,MATCH(Data!$DN688,'Data_Price '!$AT$2:$AT$1266,0))</f>
        <v>#N/A</v>
      </c>
      <c r="DA688" t="e">
        <f>INDEX('Data_Price '!AJ$2:AJ$1266,MATCH(Data!$DN688,'Data_Price '!$AT$2:$AT$1266,0))</f>
        <v>#N/A</v>
      </c>
      <c r="DB688" t="e">
        <f>INDEX('Data_Price '!AK$2:AK$1266,MATCH(Data!$DN688,'Data_Price '!$AT$2:$AT$1266,0))</f>
        <v>#N/A</v>
      </c>
      <c r="DC688" t="e">
        <f>INDEX('Data_Price '!AL$2:AL$1266,MATCH(Data!$DN688,'Data_Price '!$AT$2:$AT$1266,0))</f>
        <v>#N/A</v>
      </c>
      <c r="DD688" t="e">
        <f>INDEX('Data_Price '!AM$2:AM$1266,MATCH(Data!$DN688,'Data_Price '!$AT$2:$AT$1266,0))</f>
        <v>#N/A</v>
      </c>
      <c r="DE688" t="e">
        <f>INDEX('Data_Price '!AN$2:AN$1266,MATCH(Data!$DN688,'Data_Price '!$AT$2:$AT$1266,0))</f>
        <v>#N/A</v>
      </c>
      <c r="DF688" t="e">
        <f>INDEX('Data_Price '!AO$2:AO$1266,MATCH(Data!$DN688,'Data_Price '!$AT$2:$AT$1266,0))</f>
        <v>#N/A</v>
      </c>
      <c r="DG688" t="e">
        <f>INDEX('Data_Price '!AP$2:AP$1266,MATCH(Data!$DN688,'Data_Price '!$AT$2:$AT$1266,0))</f>
        <v>#N/A</v>
      </c>
      <c r="DH688" t="e">
        <f>INDEX('Data_Price '!AQ$2:AQ$1266,MATCH(Data!$DN688,'Data_Price '!$AT$2:$AT$1266,0))</f>
        <v>#N/A</v>
      </c>
      <c r="DI688" t="e">
        <f>INDEX('Data_Price '!AR$2:AR$1266,MATCH(Data!$DN688,'Data_Price '!$AT$2:$AT$1266,0))</f>
        <v>#N/A</v>
      </c>
      <c r="DJ688" s="89" t="e">
        <f t="shared" si="402"/>
        <v>#N/A</v>
      </c>
      <c r="DK688" s="89" t="e">
        <f t="shared" si="403"/>
        <v>#N/A</v>
      </c>
      <c r="DL688" s="89" t="e">
        <f t="shared" si="404"/>
        <v>#N/A</v>
      </c>
      <c r="DM688" s="219" t="str">
        <f t="shared" si="405"/>
        <v>Kenja 88</v>
      </c>
      <c r="DN688" s="89" t="str">
        <f t="shared" si="406"/>
        <v xml:space="preserve"> VölklKenja 88170 Women's</v>
      </c>
      <c r="DO688" s="221" t="s">
        <v>312</v>
      </c>
    </row>
    <row r="689" spans="2:119" ht="15.6" customHeight="1">
      <c r="B689" s="219" t="b">
        <f t="array" ref="B689">IF(OR(ISERROR(K689:P689)),FALSE,TRUE)</f>
        <v>1</v>
      </c>
      <c r="C689" s="43" t="b">
        <f>OR(BR689=Driver!$G$50,Data!BR920=Driver!$H$50)</f>
        <v>1</v>
      </c>
      <c r="D689" s="43" t="b">
        <f>OR(BV689=Driver!$G$51,BV689=Driver!$H$51)</f>
        <v>0</v>
      </c>
      <c r="E689" s="43" t="b">
        <f>AND(BX689&gt;Driver!$F$54,BX689&lt;Driver!$G$54)</f>
        <v>1</v>
      </c>
      <c r="F689" s="43" t="b">
        <f>CL689&gt;Driver!$F$56</f>
        <v>1</v>
      </c>
      <c r="G689" s="43" t="b">
        <f>AND(CB689&gt;Driver!$F$55,CB689&lt;Driver!$G$55)</f>
        <v>0</v>
      </c>
      <c r="H689" s="43" t="b">
        <f t="shared" si="370"/>
        <v>0</v>
      </c>
      <c r="I689" s="43">
        <f t="shared" si="371"/>
        <v>0</v>
      </c>
      <c r="J689" s="43" t="b">
        <f t="array" ref="J689">NOT(OR(($H$9:$H$1273=TRUE)*($I$9:$I$1273&gt;0)*($BT$9:$BT$1273=BT689)*($K$9:$K$1273&gt;K689)))</f>
        <v>1</v>
      </c>
      <c r="K689" s="72">
        <f t="shared" si="372"/>
        <v>0.8159778252014287</v>
      </c>
      <c r="L689" s="72">
        <f t="shared" si="373"/>
        <v>0.8422272912249138</v>
      </c>
      <c r="M689" s="72">
        <f t="shared" si="374"/>
        <v>0.7897283591779436</v>
      </c>
      <c r="N689" s="72">
        <f t="shared" si="375"/>
        <v>0.79542076820305674</v>
      </c>
      <c r="O689" s="72">
        <f t="shared" si="376"/>
        <v>0.63067979704484689</v>
      </c>
      <c r="P689" s="72">
        <f t="shared" si="377"/>
        <v>0.94308451228592705</v>
      </c>
      <c r="Q689" s="72"/>
      <c r="R689" s="72"/>
      <c r="S689" s="72">
        <f t="shared" si="378"/>
        <v>0.43402665084473468</v>
      </c>
      <c r="T689" s="72">
        <f t="shared" si="379"/>
        <v>0.49814548857726515</v>
      </c>
      <c r="U689" s="72">
        <f t="shared" si="380"/>
        <v>0.77391983572334522</v>
      </c>
      <c r="V689" s="72">
        <f t="shared" si="381"/>
        <v>0.51533768051302398</v>
      </c>
      <c r="W689" s="72">
        <f t="shared" si="382"/>
        <v>0.8193614718614719</v>
      </c>
      <c r="X689" s="72">
        <f t="shared" si="383"/>
        <v>0.15777270877508623</v>
      </c>
      <c r="Y689" s="72">
        <f t="shared" si="384"/>
        <v>0.2102716408220564</v>
      </c>
      <c r="Z689" s="72">
        <f t="shared" si="385"/>
        <v>0.20457923179694321</v>
      </c>
      <c r="AA689" s="72">
        <f t="shared" si="386"/>
        <v>0.36932020295515311</v>
      </c>
      <c r="AB689" s="72">
        <f t="shared" si="387"/>
        <v>5.6915487714072954E-2</v>
      </c>
      <c r="AC689" s="72"/>
      <c r="AD689" s="72"/>
      <c r="AE689" s="72">
        <f t="shared" si="388"/>
        <v>0.56597334915526532</v>
      </c>
      <c r="AF689" s="72">
        <f t="shared" si="389"/>
        <v>0.50185451142273485</v>
      </c>
      <c r="AG689" s="72">
        <f t="shared" si="390"/>
        <v>0.22608016427665478</v>
      </c>
      <c r="AH689" s="72">
        <f t="shared" si="391"/>
        <v>0.48466231948697602</v>
      </c>
      <c r="AI689" s="72">
        <f t="shared" si="392"/>
        <v>0.18063852813852815</v>
      </c>
      <c r="AJ689" s="72">
        <f>(AV689-Driver!$K$179)/(Driver!$L$179-Driver!$K$179)</f>
        <v>9.6446700507614197E-2</v>
      </c>
      <c r="AK689" s="72">
        <f>(AW689-Driver!$K$180)/(Driver!$L$180-Driver!$K$180)</f>
        <v>0.20482708646380782</v>
      </c>
      <c r="AL689" s="72">
        <f>(AX689-Driver!$K$181)/(Driver!$L$181-Driver!$K$181)</f>
        <v>0.3062669955100234</v>
      </c>
      <c r="AM689" s="72">
        <f>(AY689-Driver!$K$182)/(Driver!$L$182-Driver!$K$182)</f>
        <v>7.8064818141893241E-2</v>
      </c>
      <c r="AN689" s="72">
        <f>(AZ689-Driver!$K$183)/(Driver!$L$183-Driver!$K$183)</f>
        <v>0.19730392156862747</v>
      </c>
      <c r="AO689" s="72"/>
      <c r="AP689" s="72"/>
      <c r="AQ689" s="72">
        <f>(BC689-Driver!$K$188)/(Driver!$L$188-Driver!$K$188)</f>
        <v>5.4026650844734708E-2</v>
      </c>
      <c r="AR689" s="72">
        <f>MIN((BD689-Driver!$K$189)/(Driver!$L$189-Driver!$K$189),100%)</f>
        <v>4.8145488577265194E-2</v>
      </c>
      <c r="AS689" s="72">
        <f>(BE689-Driver!$K$190)/(Driver!$L$190-Driver!$K$190)</f>
        <v>0.28391983572334523</v>
      </c>
      <c r="AT689" s="72">
        <f>(BF689-Driver!$K$191)/(Driver!$L$191-Driver!$K$191)</f>
        <v>2.5337680513023982E-2</v>
      </c>
      <c r="AU689" s="72">
        <f>(BG689-Driver!$K$192)/(Driver!$L$192-Driver!$K$192)</f>
        <v>6.936147186147186E-2</v>
      </c>
      <c r="AV689" s="70">
        <f t="shared" si="393"/>
        <v>2.0299145299145298</v>
      </c>
      <c r="AW689" s="70">
        <f t="shared" si="394"/>
        <v>21.834107149974574</v>
      </c>
      <c r="AX689" s="70">
        <f t="shared" si="395"/>
        <v>3.7564029595902104</v>
      </c>
      <c r="AY689" s="70">
        <f>IFERROR(Driver!$K$19/Data!BH689/Data!BI689*Data!BK689*Data!BL689,"")</f>
        <v>9.5574629699328853E-2</v>
      </c>
      <c r="AZ689" s="70">
        <f t="shared" si="396"/>
        <v>17.982129560685035</v>
      </c>
      <c r="BA689" s="70"/>
      <c r="BB689" s="70"/>
      <c r="BC689" s="70">
        <f t="shared" si="397"/>
        <v>28.023999380347195</v>
      </c>
      <c r="BD689" s="70">
        <f t="shared" si="398"/>
        <v>5.9816133144279222</v>
      </c>
      <c r="BE689" s="70">
        <f t="shared" si="399"/>
        <v>0.28404757636482664</v>
      </c>
      <c r="BF689" s="70">
        <f t="shared" si="400"/>
        <v>2.8617130066659451</v>
      </c>
      <c r="BG689" s="70">
        <f t="shared" si="401"/>
        <v>0.26264678030303035</v>
      </c>
      <c r="BH689" s="67">
        <f>MAX((CE689-Driver!$F$200)/(Driver!$G$200-Driver!$F$200)*$BI$1,1)</f>
        <v>3.7564029595902104</v>
      </c>
      <c r="BI689" s="67">
        <f>MAX($BI$1*(BY689-Driver!$F$201)/(Driver!$G$201-Driver!$F$201),1)</f>
        <v>7.2784810126582276</v>
      </c>
      <c r="BJ689" s="67">
        <f>(CB689-Driver!$F$206)/(Driver!$G$206-Driver!$F$206)*$BI$1</f>
        <v>3.0158730158730158</v>
      </c>
      <c r="BK689" s="67">
        <f>(CD689-Driver!$F$203)/(Driver!$G$203-Driver!$F$203)*$BI$1</f>
        <v>2.7064220183486243</v>
      </c>
      <c r="BL689" s="67">
        <f>MAX((CR689-Driver!$F$202)/(Driver!$G$202-Driver!$F$202)*$BI$1,1)</f>
        <v>4.8275862068965516</v>
      </c>
      <c r="BM689" s="67">
        <f>MAX((CH689-Driver!$F$204)/(Driver!$G$204-Driver!$F$204)*$BI$1,1)</f>
        <v>2.6923076923076921</v>
      </c>
      <c r="BN689" s="67">
        <f>(CI689-Driver!$F$205)/(Driver!$G$205-Driver!$F$205)*$BI$1</f>
        <v>2.4705882352941178</v>
      </c>
      <c r="BO689" s="67">
        <f>(CK689-Driver!$F$207)/(Driver!$G$207-Driver!$F$207)*$BI$1</f>
        <v>1.5408479834539814</v>
      </c>
      <c r="BP689" s="67">
        <f>(CM689-Driver!$F$208)/(Driver!$G$208-Driver!$F$208)*$BI$1</f>
        <v>1.6666666666666665</v>
      </c>
      <c r="BQ689" s="67">
        <f>(CL689-Driver!$F$209)/(Driver!$G$209-Driver!$F$209)*$BI$1</f>
        <v>2.65625</v>
      </c>
      <c r="BR689" s="28" t="s">
        <v>155</v>
      </c>
      <c r="BS689" s="8" t="s">
        <v>332</v>
      </c>
      <c r="BT689" s="9" t="s">
        <v>726</v>
      </c>
      <c r="BU689" s="10">
        <v>165</v>
      </c>
      <c r="BV689" s="9" t="s">
        <v>163</v>
      </c>
      <c r="BW689" s="10">
        <v>165</v>
      </c>
      <c r="BX689" s="10">
        <v>164.1</v>
      </c>
      <c r="BY689" s="10">
        <v>123</v>
      </c>
      <c r="BZ689" s="10">
        <v>139</v>
      </c>
      <c r="CA689" s="10">
        <v>121</v>
      </c>
      <c r="CB689" s="10">
        <v>83</v>
      </c>
      <c r="CC689" s="10">
        <v>105</v>
      </c>
      <c r="CD689" s="10">
        <v>15.3</v>
      </c>
      <c r="CE689" s="10">
        <v>1560</v>
      </c>
      <c r="CF689" s="10">
        <v>1.01</v>
      </c>
      <c r="CG689" s="10">
        <v>1572</v>
      </c>
      <c r="CH689" s="10">
        <v>164</v>
      </c>
      <c r="CI689" s="10">
        <v>75</v>
      </c>
      <c r="CJ689" s="10">
        <v>58</v>
      </c>
      <c r="CK689" s="10">
        <v>259</v>
      </c>
      <c r="CL689" s="10">
        <v>17</v>
      </c>
      <c r="CM689" s="10">
        <v>150</v>
      </c>
      <c r="CN689" s="10">
        <v>0.28599999999999998</v>
      </c>
      <c r="CO689" s="10">
        <v>142</v>
      </c>
      <c r="CP689" s="10">
        <v>104</v>
      </c>
      <c r="CQ689" s="10">
        <v>117</v>
      </c>
      <c r="CR689" s="10">
        <v>3</v>
      </c>
      <c r="CS689" s="10">
        <v>10.4</v>
      </c>
      <c r="CT689" s="9" t="s">
        <v>231</v>
      </c>
      <c r="CU689" s="9" t="s">
        <v>188</v>
      </c>
      <c r="CV689" s="10"/>
      <c r="CW689" s="10"/>
      <c r="CX689" t="str">
        <f>INDEX('Data_Price '!AG$2:AG$1266,MATCH(Data!$DN689,'Data_Price '!$AT$2:$AT$1266,0))</f>
        <v>Nordica Santa Ana 84 WHITE/BLUE / 165cm</v>
      </c>
      <c r="CY689" t="str">
        <f>INDEX('Data_Price '!AH$2:AH$1266,MATCH(Data!$DN689,'Data_Price '!$AT$2:$AT$1266,0))</f>
        <v>Sundance Ski and Board Shop</v>
      </c>
      <c r="CZ689">
        <f>INDEX('Data_Price '!AI$2:AI$1266,MATCH(Data!$DN689,'Data_Price '!$AT$2:$AT$1266,0))</f>
        <v>400.85</v>
      </c>
      <c r="DA689" t="str">
        <f>INDEX('Data_Price '!AJ$2:AJ$1266,MATCH(Data!$DN689,'Data_Price '!$AT$2:$AT$1266,0))</f>
        <v>https://tinyurl.com/ybqkbw73</v>
      </c>
      <c r="DB689" t="str">
        <f>INDEX('Data_Price '!AK$2:AK$1266,MATCH(Data!$DN689,'Data_Price '!$AT$2:$AT$1266,0))</f>
        <v>Nordica Santa Ana 84 Skis - Women's 2022</v>
      </c>
      <c r="DC689" t="str">
        <f>INDEX('Data_Price '!AL$2:AL$1266,MATCH(Data!$DN689,'Data_Price '!$AT$2:$AT$1266,0))</f>
        <v>BlueZone Sports</v>
      </c>
      <c r="DD689">
        <f>INDEX('Data_Price '!AM$2:AM$1266,MATCH(Data!$DN689,'Data_Price '!$AT$2:$AT$1266,0))</f>
        <v>412.49</v>
      </c>
      <c r="DE689" t="str">
        <f>INDEX('Data_Price '!AN$2:AN$1266,MATCH(Data!$DN689,'Data_Price '!$AT$2:$AT$1266,0))</f>
        <v>https://tinyurl.com/y8oxhbc6</v>
      </c>
      <c r="DF689" t="str">
        <f>INDEX('Data_Price '!AO$2:AO$1266,MATCH(Data!$DN689,'Data_Price '!$AT$2:$AT$1266,0))</f>
        <v>Nordica Santa Ana 84 Alpine Skis 2022 - - 165 cm</v>
      </c>
      <c r="DG689" t="str">
        <f>INDEX('Data_Price '!AP$2:AP$1266,MATCH(Data!$DN689,'Data_Price '!$AT$2:$AT$1266,0))</f>
        <v>Skirack</v>
      </c>
      <c r="DH689">
        <f>INDEX('Data_Price '!AQ$2:AQ$1266,MATCH(Data!$DN689,'Data_Price '!$AT$2:$AT$1266,0))</f>
        <v>439.96</v>
      </c>
      <c r="DI689" t="str">
        <f>INDEX('Data_Price '!AR$2:AR$1266,MATCH(Data!$DN689,'Data_Price '!$AT$2:$AT$1266,0))</f>
        <v>https://tinyurl.com/y94a2nn7</v>
      </c>
      <c r="DJ689" s="89" t="str">
        <f t="shared" si="402"/>
        <v>https://tinyurl.com/ybqkbw73</v>
      </c>
      <c r="DK689" s="89" t="str">
        <f t="shared" si="403"/>
        <v>https://tinyurl.com/y8oxhbc6</v>
      </c>
      <c r="DL689" s="89" t="str">
        <f t="shared" si="404"/>
        <v>https://tinyurl.com/y94a2nn7</v>
      </c>
      <c r="DM689" s="219" t="str">
        <f t="shared" si="405"/>
        <v>Santa Ana 84</v>
      </c>
      <c r="DN689" s="89" t="str">
        <f t="shared" si="406"/>
        <v xml:space="preserve"> NordicaSanta Ana 84165 Women's</v>
      </c>
      <c r="DO689" s="221"/>
    </row>
    <row r="690" spans="2:119" ht="15.6" customHeight="1">
      <c r="B690" s="219" t="b">
        <f t="array" ref="B690">IF(OR(ISERROR(K690:P690)),FALSE,TRUE)</f>
        <v>1</v>
      </c>
      <c r="C690" s="43" t="b">
        <f>OR(BR690=Driver!$G$50,Data!BR1148=Driver!$H$50)</f>
        <v>1</v>
      </c>
      <c r="D690" s="43" t="b">
        <f>OR(BV690=Driver!$G$51,BV690=Driver!$H$51)</f>
        <v>1</v>
      </c>
      <c r="E690" s="43" t="b">
        <f>AND(BX690&gt;Driver!$F$54,BX690&lt;Driver!$G$54)</f>
        <v>1</v>
      </c>
      <c r="F690" s="43" t="b">
        <f>CL690&gt;Driver!$F$56</f>
        <v>1</v>
      </c>
      <c r="G690" s="43" t="b">
        <f>AND(CB690&gt;Driver!$F$55,CB690&lt;Driver!$G$55)</f>
        <v>0</v>
      </c>
      <c r="H690" s="43" t="b">
        <f t="shared" si="370"/>
        <v>0</v>
      </c>
      <c r="I690" s="43">
        <f t="shared" si="371"/>
        <v>0</v>
      </c>
      <c r="J690" s="43" t="b">
        <f t="array" ref="J690">NOT(OR(($H$9:$H$1273=TRUE)*($I$9:$I$1273&gt;0)*($BT$9:$BT$1273=BT690)*($K$9:$K$1273&gt;K690)))</f>
        <v>1</v>
      </c>
      <c r="K690" s="72">
        <f t="shared" si="372"/>
        <v>0.81405710605374992</v>
      </c>
      <c r="L690" s="72">
        <f t="shared" si="373"/>
        <v>0.83715114909293409</v>
      </c>
      <c r="M690" s="72">
        <f t="shared" si="374"/>
        <v>0.79096306301456576</v>
      </c>
      <c r="N690" s="72">
        <f t="shared" si="375"/>
        <v>0.79795033248560909</v>
      </c>
      <c r="O690" s="72">
        <f t="shared" si="376"/>
        <v>0.65758963838980822</v>
      </c>
      <c r="P690" s="72">
        <f t="shared" si="377"/>
        <v>0.91734921816827997</v>
      </c>
      <c r="Q690" s="72"/>
      <c r="R690" s="72"/>
      <c r="S690" s="72">
        <f t="shared" si="378"/>
        <v>0.43453280583136566</v>
      </c>
      <c r="T690" s="72">
        <f t="shared" si="379"/>
        <v>0.47324769657510091</v>
      </c>
      <c r="U690" s="72">
        <f t="shared" si="380"/>
        <v>0.5983087732112885</v>
      </c>
      <c r="V690" s="72">
        <f t="shared" si="381"/>
        <v>0.51406345742060466</v>
      </c>
      <c r="W690" s="72">
        <f t="shared" si="382"/>
        <v>0.93677591463414633</v>
      </c>
      <c r="X690" s="72">
        <f t="shared" si="383"/>
        <v>0.16284885090706591</v>
      </c>
      <c r="Y690" s="72">
        <f t="shared" si="384"/>
        <v>0.20903693698543424</v>
      </c>
      <c r="Z690" s="72">
        <f t="shared" si="385"/>
        <v>0.20204966751439091</v>
      </c>
      <c r="AA690" s="72">
        <f t="shared" si="386"/>
        <v>0.34241036161019178</v>
      </c>
      <c r="AB690" s="72">
        <f t="shared" si="387"/>
        <v>8.2650781831720033E-2</v>
      </c>
      <c r="AC690" s="72"/>
      <c r="AD690" s="72"/>
      <c r="AE690" s="72">
        <f t="shared" si="388"/>
        <v>0.56546719416863434</v>
      </c>
      <c r="AF690" s="72">
        <f t="shared" si="389"/>
        <v>0.52675230342489909</v>
      </c>
      <c r="AG690" s="72">
        <f t="shared" si="390"/>
        <v>0.4016912267887115</v>
      </c>
      <c r="AH690" s="72">
        <f t="shared" si="391"/>
        <v>0.48593654257939539</v>
      </c>
      <c r="AI690" s="72">
        <f t="shared" si="392"/>
        <v>6.3224085365853694E-2</v>
      </c>
      <c r="AJ690" s="72">
        <f>(AV690-Driver!$K$179)/(Driver!$L$179-Driver!$K$179)</f>
        <v>9.1370558375634514E-2</v>
      </c>
      <c r="AK690" s="72">
        <f>(AW690-Driver!$K$180)/(Driver!$L$180-Driver!$K$180)</f>
        <v>0.1808650214231862</v>
      </c>
      <c r="AL690" s="72">
        <f>(AX690-Driver!$K$181)/(Driver!$L$181-Driver!$K$181)</f>
        <v>0.3037374312274711</v>
      </c>
      <c r="AM690" s="72">
        <f>(AY690-Driver!$K$182)/(Driver!$L$182-Driver!$K$182)</f>
        <v>0.10497465948685458</v>
      </c>
      <c r="AN690" s="72">
        <f>(AZ690-Driver!$K$183)/(Driver!$L$183-Driver!$K$183)</f>
        <v>0.17156862745098039</v>
      </c>
      <c r="AO690" s="72"/>
      <c r="AP690" s="72"/>
      <c r="AQ690" s="72">
        <f>(BC690-Driver!$K$188)/(Driver!$L$188-Driver!$K$188)</f>
        <v>5.4532805831365654E-2</v>
      </c>
      <c r="AR690" s="72">
        <f>MIN((BD690-Driver!$K$189)/(Driver!$L$189-Driver!$K$189),100%)</f>
        <v>2.3247696575100989E-2</v>
      </c>
      <c r="AS690" s="72">
        <f>(BE690-Driver!$K$190)/(Driver!$L$190-Driver!$K$190)</f>
        <v>0.10830877321128851</v>
      </c>
      <c r="AT690" s="72">
        <f>(BF690-Driver!$K$191)/(Driver!$L$191-Driver!$K$191)</f>
        <v>2.4063457420604614E-2</v>
      </c>
      <c r="AU690" s="72">
        <f>(BG690-Driver!$K$192)/(Driver!$L$192-Driver!$K$192)</f>
        <v>0.18677591463414631</v>
      </c>
      <c r="AV690" s="70">
        <f t="shared" si="393"/>
        <v>1.9230769230769231</v>
      </c>
      <c r="AW690" s="70">
        <f t="shared" si="394"/>
        <v>19.498791586270201</v>
      </c>
      <c r="AX690" s="70">
        <f t="shared" si="395"/>
        <v>3.7336368810472398</v>
      </c>
      <c r="AY690" s="70">
        <f>IFERROR(Driver!$K$19/Data!BH690/Data!BI690*Data!BK690*Data!BL690,"")</f>
        <v>0.12852030462727912</v>
      </c>
      <c r="AZ690" s="70">
        <f t="shared" si="396"/>
        <v>15.636634400595682</v>
      </c>
      <c r="BA690" s="70"/>
      <c r="BB690" s="70"/>
      <c r="BC690" s="70">
        <f t="shared" si="397"/>
        <v>28.28654549064505</v>
      </c>
      <c r="BD690" s="70">
        <f t="shared" si="398"/>
        <v>3.7782028385133204</v>
      </c>
      <c r="BE690" s="70">
        <f t="shared" si="399"/>
        <v>0.10846784088973535</v>
      </c>
      <c r="BF690" s="70">
        <f t="shared" si="400"/>
        <v>2.717798460301045</v>
      </c>
      <c r="BG690" s="70">
        <f t="shared" si="401"/>
        <v>0.70725276295731698</v>
      </c>
      <c r="BH690" s="67">
        <f>MAX((CE690-Driver!$F$200)/(Driver!$G$200-Driver!$F$200)*$BI$1,1)</f>
        <v>3.7336368810472398</v>
      </c>
      <c r="BI690" s="67">
        <f>MAX($BI$1*(BY690-Driver!$F$201)/(Driver!$G$201-Driver!$F$201),1)</f>
        <v>6.6455696202531644</v>
      </c>
      <c r="BJ690" s="67">
        <f>(CB690-Driver!$F$206)/(Driver!$G$206-Driver!$F$206)*$BI$1</f>
        <v>3.333333333333333</v>
      </c>
      <c r="BK690" s="67">
        <f>(CD690-Driver!$F$203)/(Driver!$G$203-Driver!$F$203)*$BI$1</f>
        <v>3.3027522935779823</v>
      </c>
      <c r="BL690" s="67">
        <f>MAX((CR690-Driver!$F$202)/(Driver!$G$202-Driver!$F$202)*$BI$1,1)</f>
        <v>4.8275862068965516</v>
      </c>
      <c r="BM690" s="67">
        <f>MAX((CH690-Driver!$F$204)/(Driver!$G$204-Driver!$F$204)*$BI$1,1)</f>
        <v>2.3076923076923079</v>
      </c>
      <c r="BN690" s="67">
        <f>(CI690-Driver!$F$205)/(Driver!$G$205-Driver!$F$205)*$BI$1</f>
        <v>2.3529411764705883</v>
      </c>
      <c r="BO690" s="67">
        <f>(CK690-Driver!$F$207)/(Driver!$G$207-Driver!$F$207)*$BI$1</f>
        <v>1.2823164426059979</v>
      </c>
      <c r="BP690" s="67">
        <f>(CM690-Driver!$F$208)/(Driver!$G$208-Driver!$F$208)*$BI$1</f>
        <v>2.1</v>
      </c>
      <c r="BQ690" s="67">
        <f>(CL690-Driver!$F$209)/(Driver!$G$209-Driver!$F$209)*$BI$1</f>
        <v>6.09375</v>
      </c>
      <c r="BR690" s="28" t="s">
        <v>155</v>
      </c>
      <c r="BS690" s="8" t="s">
        <v>229</v>
      </c>
      <c r="BT690" s="9" t="s">
        <v>470</v>
      </c>
      <c r="BU690" s="10">
        <v>156</v>
      </c>
      <c r="BV690" s="9" t="s">
        <v>158</v>
      </c>
      <c r="BW690" s="10">
        <v>156</v>
      </c>
      <c r="BX690" s="10">
        <v>155.5</v>
      </c>
      <c r="BY690" s="10">
        <v>113</v>
      </c>
      <c r="BZ690" s="10">
        <v>141</v>
      </c>
      <c r="CA690" s="10">
        <v>119</v>
      </c>
      <c r="CB690" s="10">
        <v>85</v>
      </c>
      <c r="CC690" s="10">
        <v>109</v>
      </c>
      <c r="CD690" s="10">
        <v>16.600000000000001</v>
      </c>
      <c r="CE690" s="10">
        <v>1556</v>
      </c>
      <c r="CF690" s="10">
        <v>0.96</v>
      </c>
      <c r="CG690" s="10">
        <v>1487</v>
      </c>
      <c r="CH690" s="10">
        <v>155</v>
      </c>
      <c r="CI690" s="10">
        <v>73</v>
      </c>
      <c r="CJ690" s="10">
        <v>41</v>
      </c>
      <c r="CK690" s="10">
        <v>234</v>
      </c>
      <c r="CL690" s="10">
        <v>39</v>
      </c>
      <c r="CM690" s="10">
        <v>189</v>
      </c>
      <c r="CN690" s="10">
        <v>0.96299999999999997</v>
      </c>
      <c r="CO690" s="10">
        <v>79</v>
      </c>
      <c r="CP690" s="10">
        <v>71</v>
      </c>
      <c r="CQ690" s="10">
        <v>155</v>
      </c>
      <c r="CR690" s="10">
        <v>3</v>
      </c>
      <c r="CS690" s="10">
        <v>1.3</v>
      </c>
      <c r="CT690" s="9" t="s">
        <v>184</v>
      </c>
      <c r="CU690" s="10"/>
      <c r="CV690" s="10"/>
      <c r="CW690" s="10"/>
      <c r="CX690" t="e">
        <f>INDEX('Data_Price '!AG$2:AG$1266,MATCH(Data!$DN690,'Data_Price '!$AT$2:$AT$1266,0))</f>
        <v>#N/A</v>
      </c>
      <c r="CY690" t="e">
        <f>INDEX('Data_Price '!AH$2:AH$1266,MATCH(Data!$DN690,'Data_Price '!$AT$2:$AT$1266,0))</f>
        <v>#N/A</v>
      </c>
      <c r="CZ690" t="e">
        <f>INDEX('Data_Price '!AI$2:AI$1266,MATCH(Data!$DN690,'Data_Price '!$AT$2:$AT$1266,0))</f>
        <v>#N/A</v>
      </c>
      <c r="DA690" t="e">
        <f>INDEX('Data_Price '!AJ$2:AJ$1266,MATCH(Data!$DN690,'Data_Price '!$AT$2:$AT$1266,0))</f>
        <v>#N/A</v>
      </c>
      <c r="DB690" t="e">
        <f>INDEX('Data_Price '!AK$2:AK$1266,MATCH(Data!$DN690,'Data_Price '!$AT$2:$AT$1266,0))</f>
        <v>#N/A</v>
      </c>
      <c r="DC690" t="e">
        <f>INDEX('Data_Price '!AL$2:AL$1266,MATCH(Data!$DN690,'Data_Price '!$AT$2:$AT$1266,0))</f>
        <v>#N/A</v>
      </c>
      <c r="DD690" t="e">
        <f>INDEX('Data_Price '!AM$2:AM$1266,MATCH(Data!$DN690,'Data_Price '!$AT$2:$AT$1266,0))</f>
        <v>#N/A</v>
      </c>
      <c r="DE690" t="e">
        <f>INDEX('Data_Price '!AN$2:AN$1266,MATCH(Data!$DN690,'Data_Price '!$AT$2:$AT$1266,0))</f>
        <v>#N/A</v>
      </c>
      <c r="DF690" t="e">
        <f>INDEX('Data_Price '!AO$2:AO$1266,MATCH(Data!$DN690,'Data_Price '!$AT$2:$AT$1266,0))</f>
        <v>#N/A</v>
      </c>
      <c r="DG690" t="e">
        <f>INDEX('Data_Price '!AP$2:AP$1266,MATCH(Data!$DN690,'Data_Price '!$AT$2:$AT$1266,0))</f>
        <v>#N/A</v>
      </c>
      <c r="DH690" t="e">
        <f>INDEX('Data_Price '!AQ$2:AQ$1266,MATCH(Data!$DN690,'Data_Price '!$AT$2:$AT$1266,0))</f>
        <v>#N/A</v>
      </c>
      <c r="DI690" t="e">
        <f>INDEX('Data_Price '!AR$2:AR$1266,MATCH(Data!$DN690,'Data_Price '!$AT$2:$AT$1266,0))</f>
        <v>#N/A</v>
      </c>
      <c r="DJ690" s="89" t="e">
        <f t="shared" si="402"/>
        <v>#N/A</v>
      </c>
      <c r="DK690" s="89" t="e">
        <f t="shared" si="403"/>
        <v>#N/A</v>
      </c>
      <c r="DL690" s="89" t="e">
        <f t="shared" si="404"/>
        <v>#N/A</v>
      </c>
      <c r="DM690" s="219" t="str">
        <f t="shared" si="405"/>
        <v>Bash 86</v>
      </c>
      <c r="DN690" s="89" t="str">
        <f t="shared" si="406"/>
        <v xml:space="preserve"> VölklBash 86156 Unisex</v>
      </c>
      <c r="DO690" s="221" t="s">
        <v>471</v>
      </c>
    </row>
    <row r="691" spans="2:119" ht="15.6" customHeight="1">
      <c r="B691" s="219" t="b">
        <f t="array" ref="B691">IF(OR(ISERROR(K691:P691)),FALSE,TRUE)</f>
        <v>1</v>
      </c>
      <c r="C691" s="43" t="b">
        <f>OR(BR691=Driver!$G$50,Data!BR751=Driver!$H$50)</f>
        <v>1</v>
      </c>
      <c r="D691" s="43" t="b">
        <f>OR(BV691=Driver!$G$51,BV691=Driver!$H$51)</f>
        <v>1</v>
      </c>
      <c r="E691" s="43" t="b">
        <f>AND(BX691&gt;Driver!$F$54,BX691&lt;Driver!$G$54)</f>
        <v>0</v>
      </c>
      <c r="F691" s="43" t="b">
        <f>CL691&gt;Driver!$F$56</f>
        <v>1</v>
      </c>
      <c r="G691" s="43" t="b">
        <f>AND(CB691&gt;Driver!$F$55,CB691&lt;Driver!$G$55)</f>
        <v>0</v>
      </c>
      <c r="H691" s="43" t="b">
        <f t="shared" si="370"/>
        <v>0</v>
      </c>
      <c r="I691" s="43">
        <f t="shared" si="371"/>
        <v>0</v>
      </c>
      <c r="J691" s="43" t="b">
        <f t="array" ref="J691">NOT(OR(($H$9:$H$1273=TRUE)*($I$9:$I$1273&gt;0)*($BT$9:$BT$1273=BT691)*($K$9:$K$1273&gt;K691)))</f>
        <v>1</v>
      </c>
      <c r="K691" s="72">
        <f t="shared" si="372"/>
        <v>0.81104030552185868</v>
      </c>
      <c r="L691" s="72">
        <f t="shared" si="373"/>
        <v>0.96939143409939521</v>
      </c>
      <c r="M691" s="72">
        <f t="shared" si="374"/>
        <v>0.65268917694432216</v>
      </c>
      <c r="N691" s="72">
        <f t="shared" si="375"/>
        <v>0.49756457393251996</v>
      </c>
      <c r="O691" s="72">
        <f t="shared" si="376"/>
        <v>0.63165119467656994</v>
      </c>
      <c r="P691" s="72">
        <f t="shared" si="377"/>
        <v>0.82885176222387691</v>
      </c>
      <c r="Q691" s="72"/>
      <c r="R691" s="72"/>
      <c r="S691" s="72">
        <f t="shared" si="378"/>
        <v>0.49781825042994521</v>
      </c>
      <c r="T691" s="72">
        <f t="shared" si="379"/>
        <v>0.52495708348000714</v>
      </c>
      <c r="U691" s="72">
        <f t="shared" si="380"/>
        <v>0.59102040078961293</v>
      </c>
      <c r="V691" s="72">
        <f t="shared" si="381"/>
        <v>0.55421972181974466</v>
      </c>
      <c r="W691" s="72">
        <f t="shared" si="382"/>
        <v>0.7722772277227723</v>
      </c>
      <c r="X691" s="72">
        <f t="shared" si="383"/>
        <v>3.0608565900604734E-2</v>
      </c>
      <c r="Y691" s="72">
        <f t="shared" si="384"/>
        <v>0.34731082305567779</v>
      </c>
      <c r="Z691" s="72">
        <f t="shared" si="385"/>
        <v>0.50243542606748004</v>
      </c>
      <c r="AA691" s="72">
        <f t="shared" si="386"/>
        <v>0.36834880532343006</v>
      </c>
      <c r="AB691" s="72">
        <f t="shared" si="387"/>
        <v>0.17114823777612309</v>
      </c>
      <c r="AC691" s="72"/>
      <c r="AD691" s="72"/>
      <c r="AE691" s="72">
        <f t="shared" si="388"/>
        <v>0.50218174957005479</v>
      </c>
      <c r="AF691" s="72">
        <f t="shared" si="389"/>
        <v>0.47504291651999286</v>
      </c>
      <c r="AG691" s="72">
        <f t="shared" si="390"/>
        <v>0.40897959921038707</v>
      </c>
      <c r="AH691" s="72">
        <f t="shared" si="391"/>
        <v>0.4457802781802554</v>
      </c>
      <c r="AI691" s="72">
        <f t="shared" si="392"/>
        <v>0.22772277227722773</v>
      </c>
      <c r="AJ691" s="72">
        <f>(AV691-Driver!$K$179)/(Driver!$L$179-Driver!$K$179)</f>
        <v>0.28482797518330516</v>
      </c>
      <c r="AK691" s="72">
        <f>(AW691-Driver!$K$180)/(Driver!$L$180-Driver!$K$180)</f>
        <v>0.44562047908240682</v>
      </c>
      <c r="AL691" s="72">
        <f>(AX691-Driver!$K$181)/(Driver!$L$181-Driver!$K$181)</f>
        <v>0.60412318978056023</v>
      </c>
      <c r="AM691" s="72">
        <f>(AY691-Driver!$K$182)/(Driver!$L$182-Driver!$K$182)</f>
        <v>7.9036215773616303E-2</v>
      </c>
      <c r="AN691" s="72">
        <f>(AZ691-Driver!$K$183)/(Driver!$L$183-Driver!$K$183)</f>
        <v>0.42536764705882352</v>
      </c>
      <c r="AO691" s="72"/>
      <c r="AP691" s="72"/>
      <c r="AQ691" s="72">
        <f>(BC691-Driver!$K$188)/(Driver!$L$188-Driver!$K$188)</f>
        <v>0.11781825042994523</v>
      </c>
      <c r="AR691" s="72">
        <f>MIN((BD691-Driver!$K$189)/(Driver!$L$189-Driver!$K$189),100%)</f>
        <v>7.4957083480007208E-2</v>
      </c>
      <c r="AS691" s="72">
        <f>(BE691-Driver!$K$190)/(Driver!$L$190-Driver!$K$190)</f>
        <v>0.10102040078961294</v>
      </c>
      <c r="AT691" s="72">
        <f>(BF691-Driver!$K$191)/(Driver!$L$191-Driver!$K$191)</f>
        <v>6.4219721819744599E-2</v>
      </c>
      <c r="AU691" s="72">
        <f>(BG691-Driver!$K$192)/(Driver!$L$192-Driver!$K$192)</f>
        <v>2.2277227722772269E-2</v>
      </c>
      <c r="AV691" s="70">
        <f t="shared" si="393"/>
        <v>5.9947768281101625</v>
      </c>
      <c r="AW691" s="70">
        <f t="shared" si="394"/>
        <v>45.301556907168113</v>
      </c>
      <c r="AX691" s="70">
        <f t="shared" si="395"/>
        <v>6.4371087080250424</v>
      </c>
      <c r="AY691" s="70">
        <f>IFERROR(Driver!$K$19/Data!BH691/Data!BI691*Data!BK691*Data!BL691,"")</f>
        <v>9.6763910237637224E-2</v>
      </c>
      <c r="AZ691" s="70">
        <f t="shared" si="396"/>
        <v>38.767684288905436</v>
      </c>
      <c r="BA691" s="70"/>
      <c r="BB691" s="70"/>
      <c r="BC691" s="70">
        <f t="shared" si="397"/>
        <v>61.113145557201506</v>
      </c>
      <c r="BD691" s="70">
        <f t="shared" si="398"/>
        <v>8.3543919559855802</v>
      </c>
      <c r="BE691" s="70">
        <f t="shared" si="399"/>
        <v>0.10118076863166568</v>
      </c>
      <c r="BF691" s="70">
        <f t="shared" si="400"/>
        <v>7.2531664104599782</v>
      </c>
      <c r="BG691" s="70">
        <f t="shared" si="401"/>
        <v>8.435579549334242E-2</v>
      </c>
      <c r="BH691" s="67">
        <f>MAX((CE691-Driver!$F$200)/(Driver!$G$200-Driver!$F$200)*$BI$1,1)</f>
        <v>6.4371087080250424</v>
      </c>
      <c r="BI691" s="67">
        <f>MAX($BI$1*(BY691-Driver!$F$201)/(Driver!$G$201-Driver!$F$201),1)</f>
        <v>7.4050632911392409</v>
      </c>
      <c r="BJ691" s="67">
        <f>(CB691-Driver!$F$206)/(Driver!$G$206-Driver!$F$206)*$BI$1</f>
        <v>5.5555555555555554</v>
      </c>
      <c r="BK691" s="67">
        <f>(CD691-Driver!$F$203)/(Driver!$G$203-Driver!$F$203)*$BI$1</f>
        <v>3.71559633027523</v>
      </c>
      <c r="BL691" s="67">
        <f>MAX((CR691-Driver!$F$202)/(Driver!$G$202-Driver!$F$202)*$BI$1,1)</f>
        <v>6.2068965517241379</v>
      </c>
      <c r="BM691" s="67">
        <f>MAX((CH691-Driver!$F$204)/(Driver!$G$204-Driver!$F$204)*$BI$1,1)</f>
        <v>4.3162393162393169</v>
      </c>
      <c r="BN691" s="67">
        <f>(CI691-Driver!$F$205)/(Driver!$G$205-Driver!$F$205)*$BI$1</f>
        <v>5.2352941176470589</v>
      </c>
      <c r="BO691" s="67">
        <f>(CK691-Driver!$F$207)/(Driver!$G$207-Driver!$F$207)*$BI$1</f>
        <v>2.1613236814891419</v>
      </c>
      <c r="BP691" s="67">
        <f>(CM691-Driver!$F$208)/(Driver!$G$208-Driver!$F$208)*$BI$1</f>
        <v>2.2444444444444445</v>
      </c>
      <c r="BQ691" s="67">
        <f>(CL691-Driver!$F$209)/(Driver!$G$209-Driver!$F$209)*$BI$1</f>
        <v>2.34375</v>
      </c>
      <c r="BR691" s="28" t="s">
        <v>155</v>
      </c>
      <c r="BS691" s="8" t="s">
        <v>262</v>
      </c>
      <c r="BT691" s="9" t="s">
        <v>522</v>
      </c>
      <c r="BU691" s="10">
        <v>177</v>
      </c>
      <c r="BV691" s="9" t="s">
        <v>158</v>
      </c>
      <c r="BW691" s="10">
        <v>177</v>
      </c>
      <c r="BX691" s="10">
        <v>176.9</v>
      </c>
      <c r="BY691" s="10">
        <v>125</v>
      </c>
      <c r="BZ691" s="10">
        <v>150</v>
      </c>
      <c r="CA691" s="10">
        <v>137</v>
      </c>
      <c r="CB691" s="10">
        <v>99</v>
      </c>
      <c r="CC691" s="10">
        <v>122</v>
      </c>
      <c r="CD691" s="10">
        <v>17.5</v>
      </c>
      <c r="CE691" s="10">
        <v>2031</v>
      </c>
      <c r="CF691" s="10">
        <v>0.96</v>
      </c>
      <c r="CG691" s="10">
        <v>1957</v>
      </c>
      <c r="CH691" s="10">
        <v>202</v>
      </c>
      <c r="CI691" s="10">
        <v>122</v>
      </c>
      <c r="CJ691" s="10">
        <v>49</v>
      </c>
      <c r="CK691" s="10">
        <v>319</v>
      </c>
      <c r="CL691" s="10">
        <v>15</v>
      </c>
      <c r="CM691" s="10">
        <v>202</v>
      </c>
      <c r="CN691" s="10">
        <v>0.29399999999999998</v>
      </c>
      <c r="CO691" s="10">
        <v>152</v>
      </c>
      <c r="CP691" s="10">
        <v>122</v>
      </c>
      <c r="CQ691" s="10">
        <v>167</v>
      </c>
      <c r="CR691" s="10">
        <v>7</v>
      </c>
      <c r="CS691" s="10">
        <v>11</v>
      </c>
      <c r="CT691" s="9" t="s">
        <v>188</v>
      </c>
      <c r="CU691" s="10"/>
      <c r="CV691" s="10"/>
      <c r="CW691" s="10"/>
      <c r="CX691" t="e">
        <f>INDEX('Data_Price '!AG$2:AG$1266,MATCH(Data!$DN691,'Data_Price '!$AT$2:$AT$1266,0))</f>
        <v>#N/A</v>
      </c>
      <c r="CY691" t="e">
        <f>INDEX('Data_Price '!AH$2:AH$1266,MATCH(Data!$DN691,'Data_Price '!$AT$2:$AT$1266,0))</f>
        <v>#N/A</v>
      </c>
      <c r="CZ691" t="e">
        <f>INDEX('Data_Price '!AI$2:AI$1266,MATCH(Data!$DN691,'Data_Price '!$AT$2:$AT$1266,0))</f>
        <v>#N/A</v>
      </c>
      <c r="DA691" t="e">
        <f>INDEX('Data_Price '!AJ$2:AJ$1266,MATCH(Data!$DN691,'Data_Price '!$AT$2:$AT$1266,0))</f>
        <v>#N/A</v>
      </c>
      <c r="DB691" t="e">
        <f>INDEX('Data_Price '!AK$2:AK$1266,MATCH(Data!$DN691,'Data_Price '!$AT$2:$AT$1266,0))</f>
        <v>#N/A</v>
      </c>
      <c r="DC691" t="e">
        <f>INDEX('Data_Price '!AL$2:AL$1266,MATCH(Data!$DN691,'Data_Price '!$AT$2:$AT$1266,0))</f>
        <v>#N/A</v>
      </c>
      <c r="DD691" t="e">
        <f>INDEX('Data_Price '!AM$2:AM$1266,MATCH(Data!$DN691,'Data_Price '!$AT$2:$AT$1266,0))</f>
        <v>#N/A</v>
      </c>
      <c r="DE691" t="e">
        <f>INDEX('Data_Price '!AN$2:AN$1266,MATCH(Data!$DN691,'Data_Price '!$AT$2:$AT$1266,0))</f>
        <v>#N/A</v>
      </c>
      <c r="DF691" t="e">
        <f>INDEX('Data_Price '!AO$2:AO$1266,MATCH(Data!$DN691,'Data_Price '!$AT$2:$AT$1266,0))</f>
        <v>#N/A</v>
      </c>
      <c r="DG691" t="e">
        <f>INDEX('Data_Price '!AP$2:AP$1266,MATCH(Data!$DN691,'Data_Price '!$AT$2:$AT$1266,0))</f>
        <v>#N/A</v>
      </c>
      <c r="DH691" t="e">
        <f>INDEX('Data_Price '!AQ$2:AQ$1266,MATCH(Data!$DN691,'Data_Price '!$AT$2:$AT$1266,0))</f>
        <v>#N/A</v>
      </c>
      <c r="DI691" t="e">
        <f>INDEX('Data_Price '!AR$2:AR$1266,MATCH(Data!$DN691,'Data_Price '!$AT$2:$AT$1266,0))</f>
        <v>#N/A</v>
      </c>
      <c r="DJ691" s="89" t="e">
        <f t="shared" si="402"/>
        <v>#N/A</v>
      </c>
      <c r="DK691" s="89" t="e">
        <f t="shared" si="403"/>
        <v>#N/A</v>
      </c>
      <c r="DL691" s="89" t="e">
        <f t="shared" si="404"/>
        <v>#N/A</v>
      </c>
      <c r="DM691" s="219" t="str">
        <f t="shared" si="405"/>
        <v>Mindbender 99 Ti</v>
      </c>
      <c r="DN691" s="89" t="str">
        <f t="shared" si="406"/>
        <v xml:space="preserve"> K2Mindbender 99 Ti177 Unisex</v>
      </c>
      <c r="DO691" s="221"/>
    </row>
    <row r="692" spans="2:119" ht="15.6" customHeight="1">
      <c r="B692" s="219" t="b">
        <f t="array" ref="B692">IF(OR(ISERROR(K692:P692)),FALSE,TRUE)</f>
        <v>1</v>
      </c>
      <c r="C692" s="43" t="b">
        <f>OR(BR692=Driver!$G$50,Data!BR953=Driver!$H$50)</f>
        <v>1</v>
      </c>
      <c r="D692" s="43" t="b">
        <f>OR(BV692=Driver!$G$51,BV692=Driver!$H$51)</f>
        <v>1</v>
      </c>
      <c r="E692" s="43" t="b">
        <f>AND(BX692&gt;Driver!$F$54,BX692&lt;Driver!$G$54)</f>
        <v>0</v>
      </c>
      <c r="F692" s="43" t="b">
        <f>CL692&gt;Driver!$F$56</f>
        <v>1</v>
      </c>
      <c r="G692" s="43" t="b">
        <f>AND(CB692&gt;Driver!$F$55,CB692&lt;Driver!$G$55)</f>
        <v>0</v>
      </c>
      <c r="H692" s="43" t="b">
        <f t="shared" si="370"/>
        <v>0</v>
      </c>
      <c r="I692" s="43">
        <f t="shared" si="371"/>
        <v>0</v>
      </c>
      <c r="J692" s="43" t="b">
        <f t="array" ref="J692">NOT(OR(($H$9:$H$1273=TRUE)*($I$9:$I$1273&gt;0)*($BT$9:$BT$1273=BT692)*($K$9:$K$1273&gt;K692)))</f>
        <v>1</v>
      </c>
      <c r="K692" s="72">
        <f t="shared" si="372"/>
        <v>0.86013877813122974</v>
      </c>
      <c r="L692" s="72">
        <f t="shared" si="373"/>
        <v>0.91580993381738751</v>
      </c>
      <c r="M692" s="72">
        <f t="shared" si="374"/>
        <v>0.80446762244507197</v>
      </c>
      <c r="N692" s="72">
        <f t="shared" si="375"/>
        <v>0.84537966278346532</v>
      </c>
      <c r="O692" s="72">
        <f t="shared" si="376"/>
        <v>0.72702202559915696</v>
      </c>
      <c r="P692" s="72">
        <f t="shared" si="377"/>
        <v>0.84100117895259374</v>
      </c>
      <c r="Q692" s="72"/>
      <c r="R692" s="72"/>
      <c r="S692" s="72">
        <f t="shared" si="378"/>
        <v>0.41190950235723367</v>
      </c>
      <c r="T692" s="72">
        <f t="shared" si="379"/>
        <v>0.47288643674014996</v>
      </c>
      <c r="U692" s="72">
        <f t="shared" si="380"/>
        <v>0.55605882931479922</v>
      </c>
      <c r="V692" s="72">
        <f t="shared" si="381"/>
        <v>0.56246923548928651</v>
      </c>
      <c r="W692" s="72">
        <f t="shared" si="382"/>
        <v>0.82543244406196215</v>
      </c>
      <c r="X692" s="72">
        <f t="shared" si="383"/>
        <v>8.4190066182612544E-2</v>
      </c>
      <c r="Y692" s="72">
        <f t="shared" si="384"/>
        <v>0.19553237755492803</v>
      </c>
      <c r="Z692" s="72">
        <f t="shared" si="385"/>
        <v>0.15462033721653468</v>
      </c>
      <c r="AA692" s="72">
        <f t="shared" si="386"/>
        <v>0.27297797440084304</v>
      </c>
      <c r="AB692" s="72">
        <f t="shared" si="387"/>
        <v>0.15899882104740631</v>
      </c>
      <c r="AC692" s="72"/>
      <c r="AD692" s="72"/>
      <c r="AE692" s="72">
        <f t="shared" si="388"/>
        <v>0.58809049764276633</v>
      </c>
      <c r="AF692" s="72">
        <f t="shared" si="389"/>
        <v>0.52711356325985004</v>
      </c>
      <c r="AG692" s="72">
        <f t="shared" si="390"/>
        <v>0.44394117068520078</v>
      </c>
      <c r="AH692" s="72">
        <f t="shared" si="391"/>
        <v>0.43753076451071349</v>
      </c>
      <c r="AI692" s="72">
        <f t="shared" si="392"/>
        <v>0.17456755593803785</v>
      </c>
      <c r="AJ692" s="72">
        <f>(AV692-Driver!$K$179)/(Driver!$L$179-Driver!$K$179)</f>
        <v>0.33840947546531297</v>
      </c>
      <c r="AK692" s="72">
        <f>(AW692-Driver!$K$180)/(Driver!$L$180-Driver!$K$180)</f>
        <v>0.10595997682429723</v>
      </c>
      <c r="AL692" s="72">
        <f>(AX692-Driver!$K$181)/(Driver!$L$181-Driver!$K$181)</f>
        <v>0.25630810092961487</v>
      </c>
      <c r="AM692" s="72">
        <f>(AY692-Driver!$K$182)/(Driver!$L$182-Driver!$K$182)</f>
        <v>0.17440704669620333</v>
      </c>
      <c r="AN692" s="72">
        <f>(AZ692-Driver!$K$183)/(Driver!$L$183-Driver!$K$183)</f>
        <v>9.5220588235294112E-2</v>
      </c>
      <c r="AO692" s="72"/>
      <c r="AP692" s="72"/>
      <c r="AQ692" s="72">
        <f>(BC692-Driver!$K$188)/(Driver!$L$188-Driver!$K$188)</f>
        <v>3.1909502357233686E-2</v>
      </c>
      <c r="AR692" s="72">
        <f>MIN((BD692-Driver!$K$189)/(Driver!$L$189-Driver!$K$189),100%)</f>
        <v>2.2886436740150028E-2</v>
      </c>
      <c r="AS692" s="72">
        <f>(BE692-Driver!$K$190)/(Driver!$L$190-Driver!$K$190)</f>
        <v>6.6058829314799214E-2</v>
      </c>
      <c r="AT692" s="72">
        <f>(BF692-Driver!$K$191)/(Driver!$L$191-Driver!$K$191)</f>
        <v>7.2469235489286493E-2</v>
      </c>
      <c r="AU692" s="72">
        <f>(BG692-Driver!$K$192)/(Driver!$L$192-Driver!$K$192)</f>
        <v>7.5432444061962145E-2</v>
      </c>
      <c r="AV692" s="70">
        <f t="shared" si="393"/>
        <v>7.1225071225071215</v>
      </c>
      <c r="AW692" s="70">
        <f t="shared" si="394"/>
        <v>12.198631263893514</v>
      </c>
      <c r="AX692" s="70">
        <f t="shared" si="395"/>
        <v>3.3067729083665336</v>
      </c>
      <c r="AY692" s="70">
        <f>IFERROR(Driver!$K$19/Data!BH692/Data!BI692*Data!BK692*Data!BL692,"")</f>
        <v>0.2135262631963768</v>
      </c>
      <c r="AZ692" s="70">
        <f t="shared" si="396"/>
        <v>8.6783320923306029</v>
      </c>
      <c r="BA692" s="70"/>
      <c r="BB692" s="70"/>
      <c r="BC692" s="70">
        <f t="shared" si="397"/>
        <v>16.551680703958603</v>
      </c>
      <c r="BD692" s="70">
        <f t="shared" si="398"/>
        <v>3.7462319832347108</v>
      </c>
      <c r="BE692" s="70">
        <f t="shared" si="399"/>
        <v>6.6225433907693823E-2</v>
      </c>
      <c r="BF692" s="70">
        <f t="shared" si="400"/>
        <v>8.1848910233211196</v>
      </c>
      <c r="BG692" s="70">
        <f t="shared" si="401"/>
        <v>0.28563535391566269</v>
      </c>
      <c r="BH692" s="67">
        <f>MAX((CE692-Driver!$F$200)/(Driver!$G$200-Driver!$F$200)*$BI$1,1)</f>
        <v>3.3067729083665336</v>
      </c>
      <c r="BI692" s="67">
        <f>MAX($BI$1*(BY692-Driver!$F$201)/(Driver!$G$201-Driver!$F$201),1)</f>
        <v>7.0253164556962027</v>
      </c>
      <c r="BJ692" s="67">
        <f>(CB692-Driver!$F$206)/(Driver!$G$206-Driver!$F$206)*$BI$1</f>
        <v>5.5555555555555554</v>
      </c>
      <c r="BK692" s="67">
        <f>(CD692-Driver!$F$203)/(Driver!$G$203-Driver!$F$203)*$BI$1</f>
        <v>4.4954128440366974</v>
      </c>
      <c r="BL692" s="67">
        <f>MAX((CR692-Driver!$F$202)/(Driver!$G$202-Driver!$F$202)*$BI$1,1)</f>
        <v>5.5172413793103452</v>
      </c>
      <c r="BM692" s="67">
        <f>MAX((CH692-Driver!$F$204)/(Driver!$G$204-Driver!$F$204)*$BI$1,1)</f>
        <v>5.1282051282051277</v>
      </c>
      <c r="BN692" s="67">
        <f>(CI692-Driver!$F$205)/(Driver!$G$205-Driver!$F$205)*$BI$1</f>
        <v>1.2352941176470589</v>
      </c>
      <c r="BO692" s="67">
        <f>(CK692-Driver!$F$207)/(Driver!$G$207-Driver!$F$207)*$BI$1</f>
        <v>2.2750775594622543</v>
      </c>
      <c r="BP692" s="67">
        <f>(CM692-Driver!$F$208)/(Driver!$G$208-Driver!$F$208)*$BI$1</f>
        <v>2.911111111111111</v>
      </c>
      <c r="BQ692" s="67">
        <f>(CL692-Driver!$F$209)/(Driver!$G$209-Driver!$F$209)*$BI$1</f>
        <v>4.84375</v>
      </c>
      <c r="BR692" s="28" t="s">
        <v>155</v>
      </c>
      <c r="BS692" s="8" t="s">
        <v>227</v>
      </c>
      <c r="BT692" s="9" t="s">
        <v>681</v>
      </c>
      <c r="BU692" s="10">
        <v>180</v>
      </c>
      <c r="BV692" s="9" t="s">
        <v>158</v>
      </c>
      <c r="BW692" s="10">
        <v>180</v>
      </c>
      <c r="BX692" s="10">
        <v>178.2</v>
      </c>
      <c r="BY692" s="10">
        <v>119</v>
      </c>
      <c r="BZ692" s="10">
        <v>149</v>
      </c>
      <c r="CA692" s="10">
        <v>130</v>
      </c>
      <c r="CB692" s="10">
        <v>99</v>
      </c>
      <c r="CC692" s="10">
        <v>120</v>
      </c>
      <c r="CD692" s="10">
        <v>19.2</v>
      </c>
      <c r="CE692" s="10">
        <v>1481</v>
      </c>
      <c r="CF692" s="10">
        <v>1.32</v>
      </c>
      <c r="CG692" s="10">
        <v>1952</v>
      </c>
      <c r="CH692" s="10">
        <v>221</v>
      </c>
      <c r="CI692" s="10">
        <v>54</v>
      </c>
      <c r="CJ692" s="10">
        <v>75</v>
      </c>
      <c r="CK692" s="10">
        <v>330</v>
      </c>
      <c r="CL692" s="10">
        <v>31</v>
      </c>
      <c r="CM692" s="10">
        <v>262</v>
      </c>
      <c r="CN692" s="10">
        <v>0.41699999999999998</v>
      </c>
      <c r="CO692" s="10">
        <v>157</v>
      </c>
      <c r="CP692" s="10">
        <v>131</v>
      </c>
      <c r="CQ692" s="10">
        <v>173</v>
      </c>
      <c r="CR692" s="10">
        <v>5</v>
      </c>
      <c r="CS692" s="10">
        <v>11.5</v>
      </c>
      <c r="CT692" s="9" t="s">
        <v>185</v>
      </c>
      <c r="CU692" s="9" t="s">
        <v>198</v>
      </c>
      <c r="CV692" s="10"/>
      <c r="CW692" s="10"/>
      <c r="CX692">
        <f>INDEX('Data_Price '!AG$2:AG$1266,MATCH(Data!$DN692,'Data_Price '!$AT$2:$AT$1266,0))</f>
        <v>0</v>
      </c>
      <c r="CY692">
        <f>INDEX('Data_Price '!AH$2:AH$1266,MATCH(Data!$DN692,'Data_Price '!$AT$2:$AT$1266,0))</f>
        <v>0</v>
      </c>
      <c r="CZ692">
        <f>INDEX('Data_Price '!AI$2:AI$1266,MATCH(Data!$DN692,'Data_Price '!$AT$2:$AT$1266,0))</f>
        <v>0</v>
      </c>
      <c r="DA692">
        <f>INDEX('Data_Price '!AJ$2:AJ$1266,MATCH(Data!$DN692,'Data_Price '!$AT$2:$AT$1266,0))</f>
        <v>0</v>
      </c>
      <c r="DB692">
        <f>INDEX('Data_Price '!AK$2:AK$1266,MATCH(Data!$DN692,'Data_Price '!$AT$2:$AT$1266,0))</f>
        <v>0</v>
      </c>
      <c r="DC692">
        <f>INDEX('Data_Price '!AL$2:AL$1266,MATCH(Data!$DN692,'Data_Price '!$AT$2:$AT$1266,0))</f>
        <v>0</v>
      </c>
      <c r="DD692">
        <f>INDEX('Data_Price '!AM$2:AM$1266,MATCH(Data!$DN692,'Data_Price '!$AT$2:$AT$1266,0))</f>
        <v>0</v>
      </c>
      <c r="DE692">
        <f>INDEX('Data_Price '!AN$2:AN$1266,MATCH(Data!$DN692,'Data_Price '!$AT$2:$AT$1266,0))</f>
        <v>0</v>
      </c>
      <c r="DF692">
        <f>INDEX('Data_Price '!AO$2:AO$1266,MATCH(Data!$DN692,'Data_Price '!$AT$2:$AT$1266,0))</f>
        <v>0</v>
      </c>
      <c r="DG692">
        <f>INDEX('Data_Price '!AP$2:AP$1266,MATCH(Data!$DN692,'Data_Price '!$AT$2:$AT$1266,0))</f>
        <v>0</v>
      </c>
      <c r="DH692">
        <f>INDEX('Data_Price '!AQ$2:AQ$1266,MATCH(Data!$DN692,'Data_Price '!$AT$2:$AT$1266,0))</f>
        <v>0</v>
      </c>
      <c r="DI692">
        <f>INDEX('Data_Price '!AR$2:AR$1266,MATCH(Data!$DN692,'Data_Price '!$AT$2:$AT$1266,0))</f>
        <v>0</v>
      </c>
      <c r="DJ692" s="89">
        <f t="shared" si="402"/>
        <v>0</v>
      </c>
      <c r="DK692" s="89">
        <f t="shared" si="403"/>
        <v>0</v>
      </c>
      <c r="DL692" s="89">
        <f t="shared" si="404"/>
        <v>0</v>
      </c>
      <c r="DM692" s="219" t="str">
        <f t="shared" si="405"/>
        <v>Chinook 99</v>
      </c>
      <c r="DN692" s="89" t="str">
        <f t="shared" si="406"/>
        <v xml:space="preserve"> RaccoonChinook 99180 Unisex</v>
      </c>
      <c r="DO692" s="221"/>
    </row>
    <row r="693" spans="2:119" ht="15.6" customHeight="1">
      <c r="B693" s="219" t="b">
        <f t="array" ref="B693">IF(OR(ISERROR(K693:P693)),FALSE,TRUE)</f>
        <v>1</v>
      </c>
      <c r="C693" s="43" t="b">
        <f>OR(BR693=Driver!$G$50,Data!BR777=Driver!$H$50)</f>
        <v>1</v>
      </c>
      <c r="D693" s="43" t="b">
        <f>OR(BV693=Driver!$G$51,BV693=Driver!$H$51)</f>
        <v>0</v>
      </c>
      <c r="E693" s="43" t="b">
        <f>AND(BX693&gt;Driver!$F$54,BX693&lt;Driver!$G$54)</f>
        <v>0</v>
      </c>
      <c r="F693" s="43" t="b">
        <f>CL693&gt;Driver!$F$56</f>
        <v>1</v>
      </c>
      <c r="G693" s="43" t="b">
        <f>AND(CB693&gt;Driver!$F$55,CB693&lt;Driver!$G$55)</f>
        <v>0</v>
      </c>
      <c r="H693" s="43" t="b">
        <f t="shared" si="370"/>
        <v>0</v>
      </c>
      <c r="I693" s="43">
        <f t="shared" si="371"/>
        <v>0</v>
      </c>
      <c r="J693" s="43" t="b">
        <f t="array" ref="J693">NOT(OR(($H$9:$H$1273=TRUE)*($I$9:$I$1273&gt;0)*($BT$9:$BT$1273=BT693)*($K$9:$K$1273&gt;K693)))</f>
        <v>1</v>
      </c>
      <c r="K693" s="72">
        <f t="shared" si="372"/>
        <v>0.82233595971183426</v>
      </c>
      <c r="L693" s="72">
        <f t="shared" si="373"/>
        <v>0.86325702291454398</v>
      </c>
      <c r="M693" s="72">
        <f t="shared" si="374"/>
        <v>0.78141489650912455</v>
      </c>
      <c r="N693" s="72">
        <f t="shared" si="375"/>
        <v>0.71953383972648677</v>
      </c>
      <c r="O693" s="72">
        <f t="shared" si="376"/>
        <v>0.6741099976456788</v>
      </c>
      <c r="P693" s="72">
        <f t="shared" si="377"/>
        <v>0.95060085215520806</v>
      </c>
      <c r="Q693" s="72"/>
      <c r="R693" s="72"/>
      <c r="S693" s="72">
        <f t="shared" si="378"/>
        <v>0.44379375097153195</v>
      </c>
      <c r="T693" s="72">
        <f t="shared" si="379"/>
        <v>0.47624137182502546</v>
      </c>
      <c r="U693" s="72">
        <f t="shared" si="380"/>
        <v>0.5452306387439243</v>
      </c>
      <c r="V693" s="72">
        <f t="shared" si="381"/>
        <v>0.53640809645402321</v>
      </c>
      <c r="W693" s="72">
        <f t="shared" si="382"/>
        <v>0.91111111111111109</v>
      </c>
      <c r="X693" s="72">
        <f t="shared" si="383"/>
        <v>0.13674297708545605</v>
      </c>
      <c r="Y693" s="72">
        <f t="shared" si="384"/>
        <v>0.21858510349087545</v>
      </c>
      <c r="Z693" s="72">
        <f t="shared" si="385"/>
        <v>0.28046616027351318</v>
      </c>
      <c r="AA693" s="72">
        <f t="shared" si="386"/>
        <v>0.32589000235432125</v>
      </c>
      <c r="AB693" s="72">
        <f t="shared" si="387"/>
        <v>4.9399147844791963E-2</v>
      </c>
      <c r="AC693" s="72"/>
      <c r="AD693" s="72"/>
      <c r="AE693" s="72">
        <f t="shared" si="388"/>
        <v>0.55620624902846805</v>
      </c>
      <c r="AF693" s="72">
        <f t="shared" si="389"/>
        <v>0.52375862817497454</v>
      </c>
      <c r="AG693" s="72">
        <f t="shared" si="390"/>
        <v>0.4547693612560757</v>
      </c>
      <c r="AH693" s="72">
        <f t="shared" si="391"/>
        <v>0.46359190354597679</v>
      </c>
      <c r="AI693" s="72">
        <f t="shared" si="392"/>
        <v>8.8888888888888934E-2</v>
      </c>
      <c r="AJ693" s="72">
        <f>(AV693-Driver!$K$179)/(Driver!$L$179-Driver!$K$179)</f>
        <v>0.11747643219724438</v>
      </c>
      <c r="AK693" s="72">
        <f>(AW693-Driver!$K$180)/(Driver!$L$180-Driver!$K$180)</f>
        <v>0.21940952026279487</v>
      </c>
      <c r="AL693" s="72">
        <f>(AX693-Driver!$K$181)/(Driver!$L$181-Driver!$K$181)</f>
        <v>0.38215392398659337</v>
      </c>
      <c r="AM693" s="72">
        <f>(AY693-Driver!$K$182)/(Driver!$L$182-Driver!$K$182)</f>
        <v>0.12149501874272513</v>
      </c>
      <c r="AN693" s="72">
        <f>(AZ693-Driver!$K$183)/(Driver!$L$183-Driver!$K$183)</f>
        <v>0.20482026143790846</v>
      </c>
      <c r="AO693" s="72"/>
      <c r="AP693" s="72"/>
      <c r="AQ693" s="72">
        <f>(BC693-Driver!$K$188)/(Driver!$L$188-Driver!$K$188)</f>
        <v>6.3793750971532004E-2</v>
      </c>
      <c r="AR693" s="72">
        <f>MIN((BD693-Driver!$K$189)/(Driver!$L$189-Driver!$K$189),100%)</f>
        <v>2.6241371825025454E-2</v>
      </c>
      <c r="AS693" s="72">
        <f>(BE693-Driver!$K$190)/(Driver!$L$190-Driver!$K$190)</f>
        <v>5.5230638743924289E-2</v>
      </c>
      <c r="AT693" s="72">
        <f>(BF693-Driver!$K$191)/(Driver!$L$191-Driver!$K$191)</f>
        <v>4.6408096454023197E-2</v>
      </c>
      <c r="AU693" s="72">
        <f>(BG693-Driver!$K$192)/(Driver!$L$192-Driver!$K$192)</f>
        <v>0.16111111111111107</v>
      </c>
      <c r="AV693" s="70">
        <f t="shared" si="393"/>
        <v>2.4725274725274726</v>
      </c>
      <c r="AW693" s="70">
        <f t="shared" si="394"/>
        <v>23.255294537194004</v>
      </c>
      <c r="AX693" s="70">
        <f t="shared" si="395"/>
        <v>4.4393853158793402</v>
      </c>
      <c r="AY693" s="70">
        <f>IFERROR(Driver!$K$19/Data!BH693/Data!BI693*Data!BK693*Data!BL693,"")</f>
        <v>0.14874615355591936</v>
      </c>
      <c r="AZ693" s="70">
        <f t="shared" si="396"/>
        <v>18.667163067758747</v>
      </c>
      <c r="BA693" s="70"/>
      <c r="BB693" s="70"/>
      <c r="BC693" s="70">
        <f t="shared" si="397"/>
        <v>33.090262115895456</v>
      </c>
      <c r="BD693" s="70">
        <f t="shared" si="398"/>
        <v>4.0431377936529751</v>
      </c>
      <c r="BE693" s="70">
        <f t="shared" si="399"/>
        <v>5.5399174964140256E-2</v>
      </c>
      <c r="BF693" s="70">
        <f t="shared" si="400"/>
        <v>5.2414684591520171</v>
      </c>
      <c r="BG693" s="70">
        <f t="shared" si="401"/>
        <v>0.61006944444444433</v>
      </c>
      <c r="BH693" s="67">
        <f>MAX((CE693-Driver!$F$200)/(Driver!$G$200-Driver!$F$200)*$BI$1,1)</f>
        <v>4.4393853158793402</v>
      </c>
      <c r="BI693" s="67">
        <f>MAX($BI$1*(BY693-Driver!$F$201)/(Driver!$G$201-Driver!$F$201),1)</f>
        <v>6.8987341772151902</v>
      </c>
      <c r="BJ693" s="67">
        <f>(CB693-Driver!$F$206)/(Driver!$G$206-Driver!$F$206)*$BI$1</f>
        <v>4.2857142857142856</v>
      </c>
      <c r="BK693" s="67">
        <f>(CD693-Driver!$F$203)/(Driver!$G$203-Driver!$F$203)*$BI$1</f>
        <v>3.6697247706422016</v>
      </c>
      <c r="BL693" s="67">
        <f>MAX((CR693-Driver!$F$202)/(Driver!$G$202-Driver!$F$202)*$BI$1,1)</f>
        <v>6.2068965517241379</v>
      </c>
      <c r="BM693" s="67">
        <f>MAX((CH693-Driver!$F$204)/(Driver!$G$204-Driver!$F$204)*$BI$1,1)</f>
        <v>2.3076923076923079</v>
      </c>
      <c r="BN693" s="67">
        <f>(CI693-Driver!$F$205)/(Driver!$G$205-Driver!$F$205)*$BI$1</f>
        <v>2.7058823529411762</v>
      </c>
      <c r="BO693" s="67">
        <f>(CK693-Driver!$F$207)/(Driver!$G$207-Driver!$F$207)*$BI$1</f>
        <v>1.6028955532574973</v>
      </c>
      <c r="BP693" s="67">
        <f>(CM693-Driver!$F$208)/(Driver!$G$208-Driver!$F$208)*$BI$1</f>
        <v>2.8000000000000003</v>
      </c>
      <c r="BQ693" s="67">
        <f>(CL693-Driver!$F$209)/(Driver!$G$209-Driver!$F$209)*$BI$1</f>
        <v>6.25</v>
      </c>
      <c r="BR693" s="28" t="s">
        <v>155</v>
      </c>
      <c r="BS693" s="8" t="s">
        <v>262</v>
      </c>
      <c r="BT693" s="9" t="s">
        <v>670</v>
      </c>
      <c r="BU693" s="10">
        <v>169</v>
      </c>
      <c r="BV693" s="9" t="s">
        <v>163</v>
      </c>
      <c r="BW693" s="10">
        <v>169</v>
      </c>
      <c r="BX693" s="10">
        <v>168.9</v>
      </c>
      <c r="BY693" s="10">
        <v>117</v>
      </c>
      <c r="BZ693" s="10">
        <v>143</v>
      </c>
      <c r="CA693" s="10">
        <v>123</v>
      </c>
      <c r="CB693" s="10">
        <v>91</v>
      </c>
      <c r="CC693" s="10">
        <v>113</v>
      </c>
      <c r="CD693" s="10">
        <v>17.399999999999999</v>
      </c>
      <c r="CE693" s="10">
        <v>1680</v>
      </c>
      <c r="CF693" s="10">
        <v>1.02</v>
      </c>
      <c r="CG693" s="10">
        <v>1716</v>
      </c>
      <c r="CH693" s="10">
        <v>155</v>
      </c>
      <c r="CI693" s="10">
        <v>79</v>
      </c>
      <c r="CJ693" s="10">
        <v>49</v>
      </c>
      <c r="CK693" s="10">
        <v>265</v>
      </c>
      <c r="CL693" s="10">
        <v>40</v>
      </c>
      <c r="CM693" s="10">
        <v>252</v>
      </c>
      <c r="CN693" s="10">
        <v>0.83099999999999996</v>
      </c>
      <c r="CO693" s="10">
        <v>118</v>
      </c>
      <c r="CP693" s="10">
        <v>142</v>
      </c>
      <c r="CQ693" s="10">
        <v>147</v>
      </c>
      <c r="CR693" s="10">
        <v>7</v>
      </c>
      <c r="CS693" s="10">
        <v>4.8</v>
      </c>
      <c r="CT693" s="9" t="s">
        <v>188</v>
      </c>
      <c r="CU693" s="9" t="s">
        <v>184</v>
      </c>
      <c r="CV693" s="10"/>
      <c r="CW693" s="10"/>
      <c r="CX693" t="e">
        <f>INDEX('Data_Price '!AG$2:AG$1266,MATCH(Data!$DN693,'Data_Price '!$AT$2:$AT$1266,0))</f>
        <v>#N/A</v>
      </c>
      <c r="CY693" t="e">
        <f>INDEX('Data_Price '!AH$2:AH$1266,MATCH(Data!$DN693,'Data_Price '!$AT$2:$AT$1266,0))</f>
        <v>#N/A</v>
      </c>
      <c r="CZ693" t="e">
        <f>INDEX('Data_Price '!AI$2:AI$1266,MATCH(Data!$DN693,'Data_Price '!$AT$2:$AT$1266,0))</f>
        <v>#N/A</v>
      </c>
      <c r="DA693" t="e">
        <f>INDEX('Data_Price '!AJ$2:AJ$1266,MATCH(Data!$DN693,'Data_Price '!$AT$2:$AT$1266,0))</f>
        <v>#N/A</v>
      </c>
      <c r="DB693" t="e">
        <f>INDEX('Data_Price '!AK$2:AK$1266,MATCH(Data!$DN693,'Data_Price '!$AT$2:$AT$1266,0))</f>
        <v>#N/A</v>
      </c>
      <c r="DC693" t="e">
        <f>INDEX('Data_Price '!AL$2:AL$1266,MATCH(Data!$DN693,'Data_Price '!$AT$2:$AT$1266,0))</f>
        <v>#N/A</v>
      </c>
      <c r="DD693" t="e">
        <f>INDEX('Data_Price '!AM$2:AM$1266,MATCH(Data!$DN693,'Data_Price '!$AT$2:$AT$1266,0))</f>
        <v>#N/A</v>
      </c>
      <c r="DE693" t="e">
        <f>INDEX('Data_Price '!AN$2:AN$1266,MATCH(Data!$DN693,'Data_Price '!$AT$2:$AT$1266,0))</f>
        <v>#N/A</v>
      </c>
      <c r="DF693" t="e">
        <f>INDEX('Data_Price '!AO$2:AO$1266,MATCH(Data!$DN693,'Data_Price '!$AT$2:$AT$1266,0))</f>
        <v>#N/A</v>
      </c>
      <c r="DG693" t="e">
        <f>INDEX('Data_Price '!AP$2:AP$1266,MATCH(Data!$DN693,'Data_Price '!$AT$2:$AT$1266,0))</f>
        <v>#N/A</v>
      </c>
      <c r="DH693" t="e">
        <f>INDEX('Data_Price '!AQ$2:AQ$1266,MATCH(Data!$DN693,'Data_Price '!$AT$2:$AT$1266,0))</f>
        <v>#N/A</v>
      </c>
      <c r="DI693" t="e">
        <f>INDEX('Data_Price '!AR$2:AR$1266,MATCH(Data!$DN693,'Data_Price '!$AT$2:$AT$1266,0))</f>
        <v>#N/A</v>
      </c>
      <c r="DJ693" s="89" t="e">
        <f t="shared" si="402"/>
        <v>#N/A</v>
      </c>
      <c r="DK693" s="89" t="e">
        <f t="shared" si="403"/>
        <v>#N/A</v>
      </c>
      <c r="DL693" s="89" t="e">
        <f t="shared" si="404"/>
        <v>#N/A</v>
      </c>
      <c r="DM693" s="219" t="str">
        <f t="shared" si="405"/>
        <v>Reckoner 92 Alliance</v>
      </c>
      <c r="DN693" s="89" t="str">
        <f t="shared" si="406"/>
        <v xml:space="preserve"> K2Reckoner 92 Alliance169 Women's</v>
      </c>
      <c r="DO693" s="221" t="s">
        <v>671</v>
      </c>
    </row>
    <row r="694" spans="2:119" ht="15.6" customHeight="1">
      <c r="B694" s="219" t="b">
        <f t="array" ref="B694">IF(OR(ISERROR(K694:P694)),FALSE,TRUE)</f>
        <v>1</v>
      </c>
      <c r="C694" s="43" t="b">
        <f>OR(BR694=Driver!$G$50,Data!BR1020=Driver!$H$50)</f>
        <v>1</v>
      </c>
      <c r="D694" s="43" t="b">
        <f>OR(BV694=Driver!$G$51,BV694=Driver!$H$51)</f>
        <v>0</v>
      </c>
      <c r="E694" s="43" t="b">
        <f>AND(BX694&gt;Driver!$F$54,BX694&lt;Driver!$G$54)</f>
        <v>0</v>
      </c>
      <c r="F694" s="43" t="b">
        <f>CL694&gt;Driver!$F$56</f>
        <v>1</v>
      </c>
      <c r="G694" s="43" t="b">
        <f>AND(CB694&gt;Driver!$F$55,CB694&lt;Driver!$G$55)</f>
        <v>0</v>
      </c>
      <c r="H694" s="43" t="b">
        <f t="shared" si="370"/>
        <v>0</v>
      </c>
      <c r="I694" s="43">
        <f t="shared" si="371"/>
        <v>0</v>
      </c>
      <c r="J694" s="43" t="b">
        <f t="array" ref="J694">NOT(OR(($H$9:$H$1273=TRUE)*($I$9:$I$1273&gt;0)*($BT$9:$BT$1273=BT694)*($K$9:$K$1273&gt;K694)))</f>
        <v>1</v>
      </c>
      <c r="K694" s="72">
        <f t="shared" si="372"/>
        <v>0.80516986254852174</v>
      </c>
      <c r="L694" s="72">
        <f t="shared" si="373"/>
        <v>0.86986406505458103</v>
      </c>
      <c r="M694" s="72">
        <f t="shared" si="374"/>
        <v>0.74047566004246246</v>
      </c>
      <c r="N694" s="72">
        <f t="shared" si="375"/>
        <v>0.73597600756307702</v>
      </c>
      <c r="O694" s="72">
        <f t="shared" si="376"/>
        <v>0.57051188511498441</v>
      </c>
      <c r="P694" s="72">
        <f t="shared" si="377"/>
        <v>0.91493908744932573</v>
      </c>
      <c r="Q694" s="72"/>
      <c r="R694" s="72"/>
      <c r="S694" s="72">
        <f t="shared" si="378"/>
        <v>0.38765201718789266</v>
      </c>
      <c r="T694" s="72">
        <f t="shared" si="379"/>
        <v>0.85154707317552558</v>
      </c>
      <c r="U694" s="72">
        <f t="shared" si="380"/>
        <v>0.81324141106227299</v>
      </c>
      <c r="V694" s="72">
        <f t="shared" si="381"/>
        <v>0.62896290223406437</v>
      </c>
      <c r="W694" s="72">
        <f t="shared" si="382"/>
        <v>0.78798701298701301</v>
      </c>
      <c r="X694" s="72">
        <f t="shared" si="383"/>
        <v>0.13013593494541897</v>
      </c>
      <c r="Y694" s="72">
        <f t="shared" si="384"/>
        <v>0.2595243399575376</v>
      </c>
      <c r="Z694" s="72">
        <f t="shared" si="385"/>
        <v>0.26402399243692298</v>
      </c>
      <c r="AA694" s="72">
        <f t="shared" si="386"/>
        <v>0.42948811488501554</v>
      </c>
      <c r="AB694" s="72">
        <f t="shared" si="387"/>
        <v>8.5060912550674272E-2</v>
      </c>
      <c r="AC694" s="72"/>
      <c r="AD694" s="72"/>
      <c r="AE694" s="72">
        <f t="shared" si="388"/>
        <v>0.61234798281210734</v>
      </c>
      <c r="AF694" s="72">
        <f t="shared" si="389"/>
        <v>0.14845292682447442</v>
      </c>
      <c r="AG694" s="72">
        <f t="shared" si="390"/>
        <v>0.18675858893772701</v>
      </c>
      <c r="AH694" s="72">
        <f t="shared" si="391"/>
        <v>0.37103709776593569</v>
      </c>
      <c r="AI694" s="72">
        <f t="shared" si="392"/>
        <v>0.21201298701298701</v>
      </c>
      <c r="AJ694" s="72">
        <f>(AV694-Driver!$K$179)/(Driver!$L$179-Driver!$K$179)</f>
        <v>0.12408347433728144</v>
      </c>
      <c r="AK694" s="72">
        <f>(AW694-Driver!$K$180)/(Driver!$L$180-Driver!$K$180)</f>
        <v>0.183240406148729</v>
      </c>
      <c r="AL694" s="72">
        <f>(AX694-Driver!$K$181)/(Driver!$L$181-Driver!$K$181)</f>
        <v>0.36571175615000318</v>
      </c>
      <c r="AM694" s="72">
        <f>(AY694-Driver!$K$182)/(Driver!$L$182-Driver!$K$182)</f>
        <v>1.7896906212030824E-2</v>
      </c>
      <c r="AN694" s="72">
        <f>(AZ694-Driver!$K$183)/(Driver!$L$183-Driver!$K$183)</f>
        <v>0.16915849673202615</v>
      </c>
      <c r="AO694" s="72"/>
      <c r="AP694" s="72"/>
      <c r="AQ694" s="72">
        <f>(BC694-Driver!$K$188)/(Driver!$L$188-Driver!$K$188)</f>
        <v>7.6520171878926785E-3</v>
      </c>
      <c r="AR694" s="72">
        <f>MIN((BD694-Driver!$K$189)/(Driver!$L$189-Driver!$K$189),100%)</f>
        <v>0.69845292682447446</v>
      </c>
      <c r="AS694" s="72">
        <f>(BE694-Driver!$K$190)/(Driver!$L$190-Driver!$K$190)</f>
        <v>0.323241411062273</v>
      </c>
      <c r="AT694" s="72">
        <f>(BF694-Driver!$K$191)/(Driver!$L$191-Driver!$K$191)</f>
        <v>0.13896290223406432</v>
      </c>
      <c r="AU694" s="72">
        <f>(BG694-Driver!$K$192)/(Driver!$L$192-Driver!$K$192)</f>
        <v>3.7987012987012979E-2</v>
      </c>
      <c r="AV694" s="70">
        <f t="shared" si="393"/>
        <v>2.6115859449192782</v>
      </c>
      <c r="AW694" s="70">
        <f t="shared" si="394"/>
        <v>19.730293875824199</v>
      </c>
      <c r="AX694" s="70">
        <f t="shared" si="395"/>
        <v>4.2914058053500286</v>
      </c>
      <c r="AY694" s="70">
        <f>IFERROR(Driver!$K$19/Data!BH694/Data!BI694*Data!BK694*Data!BL694,"")</f>
        <v>2.1911153124950851E-2</v>
      </c>
      <c r="AZ694" s="70">
        <f t="shared" si="396"/>
        <v>15.416976917349219</v>
      </c>
      <c r="BA694" s="70"/>
      <c r="BB694" s="70"/>
      <c r="BC694" s="70">
        <f t="shared" si="397"/>
        <v>3.9691545113203937</v>
      </c>
      <c r="BD694" s="70">
        <f t="shared" si="398"/>
        <v>63.532669322709161</v>
      </c>
      <c r="BE694" s="70">
        <f t="shared" si="399"/>
        <v>0.32336213717729712</v>
      </c>
      <c r="BF694" s="70">
        <f t="shared" si="400"/>
        <v>15.694883537696359</v>
      </c>
      <c r="BG694" s="70">
        <f t="shared" si="401"/>
        <v>0.14384306426332286</v>
      </c>
      <c r="BH694" s="67">
        <f>MAX((CE694-Driver!$F$200)/(Driver!$G$200-Driver!$F$200)*$BI$1,1)</f>
        <v>4.2914058053500286</v>
      </c>
      <c r="BI694" s="67">
        <f>MAX($BI$1*(BY694-Driver!$F$201)/(Driver!$G$201-Driver!$F$201),1)</f>
        <v>6.3924050632911396</v>
      </c>
      <c r="BJ694" s="67">
        <f>(CB694-Driver!$F$206)/(Driver!$G$206-Driver!$F$206)*$BI$1</f>
        <v>3.1746031746031744</v>
      </c>
      <c r="BK694" s="67">
        <f>(CD694-Driver!$F$203)/(Driver!$G$203-Driver!$F$203)*$BI$1</f>
        <v>0.45871559633027525</v>
      </c>
      <c r="BL694" s="67">
        <f>MAX((CR694-Driver!$F$202)/(Driver!$G$202-Driver!$F$202)*$BI$1,1)</f>
        <v>6.5517241379310338</v>
      </c>
      <c r="BM694" s="67">
        <f>MAX((CH694-Driver!$F$204)/(Driver!$G$204-Driver!$F$204)*$BI$1,1)</f>
        <v>3.2905982905982905</v>
      </c>
      <c r="BN694" s="67">
        <f>(CI694-Driver!$F$205)/(Driver!$G$205-Driver!$F$205)*$BI$1</f>
        <v>2.4117647058823528</v>
      </c>
      <c r="BO694" s="67">
        <f>(CK694-Driver!$F$207)/(Driver!$G$207-Driver!$F$207)*$BI$1</f>
        <v>1.5822130299896586</v>
      </c>
      <c r="BP694" s="67">
        <f>(CM694-Driver!$F$208)/(Driver!$G$208-Driver!$F$208)*$BI$1</f>
        <v>1.4333333333333333</v>
      </c>
      <c r="BQ694" s="67">
        <f>(CL694-Driver!$F$209)/(Driver!$G$209-Driver!$F$209)*$BI$1</f>
        <v>2.03125</v>
      </c>
      <c r="BR694" s="28" t="s">
        <v>155</v>
      </c>
      <c r="BS694" s="8" t="s">
        <v>172</v>
      </c>
      <c r="BT694" s="9" t="s">
        <v>661</v>
      </c>
      <c r="BU694" s="10">
        <v>148</v>
      </c>
      <c r="BV694" s="9" t="s">
        <v>163</v>
      </c>
      <c r="BW694" s="10">
        <v>148</v>
      </c>
      <c r="BX694" s="10">
        <v>148.4</v>
      </c>
      <c r="BY694" s="10">
        <v>109</v>
      </c>
      <c r="BZ694" s="10">
        <v>134</v>
      </c>
      <c r="CA694" s="10">
        <v>131</v>
      </c>
      <c r="CB694" s="10">
        <v>84</v>
      </c>
      <c r="CC694" s="10">
        <v>119</v>
      </c>
      <c r="CD694" s="10">
        <v>10.4</v>
      </c>
      <c r="CE694" s="10">
        <v>1654</v>
      </c>
      <c r="CF694" s="10">
        <v>0.89</v>
      </c>
      <c r="CG694" s="10">
        <v>1474</v>
      </c>
      <c r="CH694" s="10">
        <v>178</v>
      </c>
      <c r="CI694" s="10">
        <v>74</v>
      </c>
      <c r="CJ694" s="10">
        <v>51</v>
      </c>
      <c r="CK694" s="10">
        <v>263</v>
      </c>
      <c r="CL694" s="10">
        <v>13</v>
      </c>
      <c r="CM694" s="10">
        <v>129</v>
      </c>
      <c r="CN694" s="10">
        <v>0.26400000000000001</v>
      </c>
      <c r="CO694" s="10">
        <v>78</v>
      </c>
      <c r="CP694" s="10">
        <v>66</v>
      </c>
      <c r="CQ694" s="10">
        <v>185</v>
      </c>
      <c r="CR694" s="10">
        <v>8</v>
      </c>
      <c r="CS694" s="10">
        <v>6.4</v>
      </c>
      <c r="CT694" s="9" t="s">
        <v>188</v>
      </c>
      <c r="CU694" s="10"/>
      <c r="CV694" s="10"/>
      <c r="CW694" s="10"/>
      <c r="CX694" t="str">
        <f>INDEX('Data_Price '!AG$2:AG$1266,MATCH(Data!$DN694,'Data_Price '!$AT$2:$AT$1266,0))</f>
        <v>Rossignol Experience W 86 Basalt Skis Womens 2022</v>
      </c>
      <c r="CY694" t="str">
        <f>INDEX('Data_Price '!AH$2:AH$1266,MATCH(Data!$DN694,'Data_Price '!$AT$2:$AT$1266,0))</f>
        <v>BlueZone Sports</v>
      </c>
      <c r="CZ694">
        <f>INDEX('Data_Price '!AI$2:AI$1266,MATCH(Data!$DN694,'Data_Price '!$AT$2:$AT$1266,0))</f>
        <v>479.96</v>
      </c>
      <c r="DA694" t="str">
        <f>INDEX('Data_Price '!AJ$2:AJ$1266,MATCH(Data!$DN694,'Data_Price '!$AT$2:$AT$1266,0))</f>
        <v>https://tinyurl.com/y9pp34ko</v>
      </c>
      <c r="DB694" t="str">
        <f>INDEX('Data_Price '!AK$2:AK$1266,MATCH(Data!$DN694,'Data_Price '!$AT$2:$AT$1266,0))</f>
        <v>Rossignol Experience W 86 Basalt Skis</v>
      </c>
      <c r="DC694" t="str">
        <f>INDEX('Data_Price '!AL$2:AL$1266,MATCH(Data!$DN694,'Data_Price '!$AT$2:$AT$1266,0))</f>
        <v>Cole Sport</v>
      </c>
      <c r="DD694">
        <f>INDEX('Data_Price '!AM$2:AM$1266,MATCH(Data!$DN694,'Data_Price '!$AT$2:$AT$1266,0))</f>
        <v>599.95000000000005</v>
      </c>
      <c r="DE694" t="str">
        <f>INDEX('Data_Price '!AN$2:AN$1266,MATCH(Data!$DN694,'Data_Price '!$AT$2:$AT$1266,0))</f>
        <v>https://tinyurl.com/ybabehgv</v>
      </c>
      <c r="DF694" t="str">
        <f>INDEX('Data_Price '!AO$2:AO$1266,MATCH(Data!$DN694,'Data_Price '!$AT$2:$AT$1266,0))</f>
        <v>2022 Rossignol Experience 86 Basalt Womenâ€™s Purple Snow Skis 148cm</v>
      </c>
      <c r="DG694" t="str">
        <f>INDEX('Data_Price '!AP$2:AP$1266,MATCH(Data!$DN694,'Data_Price '!$AT$2:$AT$1266,0))</f>
        <v>eBay - klnbnc</v>
      </c>
      <c r="DH694">
        <f>INDEX('Data_Price '!AQ$2:AQ$1266,MATCH(Data!$DN694,'Data_Price '!$AT$2:$AT$1266,0))</f>
        <v>375</v>
      </c>
      <c r="DI694" t="str">
        <f>INDEX('Data_Price '!AR$2:AR$1266,MATCH(Data!$DN694,'Data_Price '!$AT$2:$AT$1266,0))</f>
        <v>https://tinyurl.com/yc87xpus</v>
      </c>
      <c r="DJ694" s="89" t="str">
        <f t="shared" si="402"/>
        <v>https://tinyurl.com/y9pp34ko</v>
      </c>
      <c r="DK694" s="89" t="str">
        <f t="shared" si="403"/>
        <v>https://tinyurl.com/ybabehgv</v>
      </c>
      <c r="DL694" s="89" t="str">
        <f t="shared" si="404"/>
        <v>https://tinyurl.com/yc87xpus</v>
      </c>
      <c r="DM694" s="219" t="str">
        <f t="shared" si="405"/>
        <v>Experience 86 Basalt W</v>
      </c>
      <c r="DN694" s="89" t="str">
        <f t="shared" si="406"/>
        <v xml:space="preserve"> RossignolExperience 86 Basalt W148 Women's</v>
      </c>
      <c r="DO694" s="221" t="s">
        <v>662</v>
      </c>
    </row>
    <row r="695" spans="2:119" ht="15.6" customHeight="1">
      <c r="B695" s="219" t="b">
        <f t="array" ref="B695">IF(OR(ISERROR(K695:P695)),FALSE,TRUE)</f>
        <v>1</v>
      </c>
      <c r="C695" s="43" t="b">
        <f>OR(BR695=Driver!$G$50,Data!BR919=Driver!$H$50)</f>
        <v>1</v>
      </c>
      <c r="D695" s="43" t="b">
        <f>OR(BV695=Driver!$G$51,BV695=Driver!$H$51)</f>
        <v>0</v>
      </c>
      <c r="E695" s="43" t="b">
        <f>AND(BX695&gt;Driver!$F$54,BX695&lt;Driver!$G$54)</f>
        <v>1</v>
      </c>
      <c r="F695" s="43" t="b">
        <f>CL695&gt;Driver!$F$56</f>
        <v>1</v>
      </c>
      <c r="G695" s="43" t="b">
        <f>AND(CB695&gt;Driver!$F$55,CB695&lt;Driver!$G$55)</f>
        <v>0</v>
      </c>
      <c r="H695" s="43" t="b">
        <f t="shared" si="370"/>
        <v>0</v>
      </c>
      <c r="I695" s="43">
        <f t="shared" si="371"/>
        <v>0</v>
      </c>
      <c r="J695" s="43" t="b">
        <f t="array" ref="J695">NOT(OR(($H$9:$H$1273=TRUE)*($I$9:$I$1273&gt;0)*($BT$9:$BT$1273=BT695)*($K$9:$K$1273&gt;K695)))</f>
        <v>1</v>
      </c>
      <c r="K695" s="72">
        <f t="shared" si="372"/>
        <v>0.82817223828751529</v>
      </c>
      <c r="L695" s="72">
        <f t="shared" si="373"/>
        <v>0.85753629130548747</v>
      </c>
      <c r="M695" s="72">
        <f t="shared" si="374"/>
        <v>0.79880818526954311</v>
      </c>
      <c r="N695" s="72">
        <f t="shared" si="375"/>
        <v>0.81502489139283729</v>
      </c>
      <c r="O695" s="72">
        <f t="shared" si="376"/>
        <v>0.62891972729326351</v>
      </c>
      <c r="P695" s="72">
        <f t="shared" si="377"/>
        <v>0.95247993712252832</v>
      </c>
      <c r="Q695" s="72"/>
      <c r="R695" s="72"/>
      <c r="S695" s="72">
        <f t="shared" si="378"/>
        <v>0.42412830561329418</v>
      </c>
      <c r="T695" s="72">
        <f t="shared" si="379"/>
        <v>0.53996576004968833</v>
      </c>
      <c r="U695" s="72">
        <f t="shared" si="380"/>
        <v>0.84554322124221049</v>
      </c>
      <c r="V695" s="72">
        <f t="shared" si="381"/>
        <v>0.51952331450544675</v>
      </c>
      <c r="W695" s="72">
        <f t="shared" si="382"/>
        <v>0.80542065030380905</v>
      </c>
      <c r="X695" s="72">
        <f t="shared" si="383"/>
        <v>0.14246370869451253</v>
      </c>
      <c r="Y695" s="72">
        <f t="shared" si="384"/>
        <v>0.20119181473045691</v>
      </c>
      <c r="Z695" s="72">
        <f t="shared" si="385"/>
        <v>0.18497510860716265</v>
      </c>
      <c r="AA695" s="72">
        <f t="shared" si="386"/>
        <v>0.37108027270673649</v>
      </c>
      <c r="AB695" s="72">
        <f t="shared" si="387"/>
        <v>4.7520062877471708E-2</v>
      </c>
      <c r="AC695" s="72"/>
      <c r="AD695" s="72"/>
      <c r="AE695" s="72">
        <f t="shared" si="388"/>
        <v>0.57587169438670582</v>
      </c>
      <c r="AF695" s="72">
        <f t="shared" si="389"/>
        <v>0.46003423995031173</v>
      </c>
      <c r="AG695" s="72">
        <f t="shared" si="390"/>
        <v>0.15445677875778946</v>
      </c>
      <c r="AH695" s="72">
        <f t="shared" si="391"/>
        <v>0.48047668549455319</v>
      </c>
      <c r="AI695" s="72">
        <f t="shared" si="392"/>
        <v>0.19457934969619095</v>
      </c>
      <c r="AJ695" s="72">
        <f>(AV695-Driver!$K$179)/(Driver!$L$179-Driver!$K$179)</f>
        <v>0.11175570058818789</v>
      </c>
      <c r="AK695" s="72">
        <f>(AW695-Driver!$K$180)/(Driver!$L$180-Driver!$K$180)</f>
        <v>0.21178078896285146</v>
      </c>
      <c r="AL695" s="72">
        <f>(AX695-Driver!$K$181)/(Driver!$L$181-Driver!$K$181)</f>
        <v>0.28666287232024285</v>
      </c>
      <c r="AM695" s="72">
        <f>(AY695-Driver!$K$182)/(Driver!$L$182-Driver!$K$182)</f>
        <v>7.6304748390309873E-2</v>
      </c>
      <c r="AN695" s="72">
        <f>(AZ695-Driver!$K$183)/(Driver!$L$183-Driver!$K$183)</f>
        <v>0.20669934640522872</v>
      </c>
      <c r="AO695" s="72"/>
      <c r="AP695" s="72"/>
      <c r="AQ695" s="72">
        <f>(BC695-Driver!$K$188)/(Driver!$L$188-Driver!$K$188)</f>
        <v>4.4128305613294193E-2</v>
      </c>
      <c r="AR695" s="72">
        <f>MIN((BD695-Driver!$K$189)/(Driver!$L$189-Driver!$K$189),100%)</f>
        <v>8.9965760049688329E-2</v>
      </c>
      <c r="AS695" s="72">
        <f>(BE695-Driver!$K$190)/(Driver!$L$190-Driver!$K$190)</f>
        <v>0.35554322124221055</v>
      </c>
      <c r="AT695" s="72">
        <f>(BF695-Driver!$K$191)/(Driver!$L$191-Driver!$K$191)</f>
        <v>2.9523314505446843E-2</v>
      </c>
      <c r="AU695" s="72">
        <f>(BG695-Driver!$K$192)/(Driver!$L$192-Driver!$K$192)</f>
        <v>5.5420650303809049E-2</v>
      </c>
      <c r="AV695" s="70">
        <f t="shared" si="393"/>
        <v>2.3521231854565188</v>
      </c>
      <c r="AW695" s="70">
        <f t="shared" si="394"/>
        <v>22.511807074578623</v>
      </c>
      <c r="AX695" s="70">
        <f t="shared" si="395"/>
        <v>3.5799658508821857</v>
      </c>
      <c r="AY695" s="70">
        <f>IFERROR(Driver!$K$19/Data!BH695/Data!BI695*Data!BK695*Data!BL695,"")</f>
        <v>9.3419779169262779E-2</v>
      </c>
      <c r="AZ695" s="70">
        <f t="shared" si="396"/>
        <v>18.838421444527174</v>
      </c>
      <c r="BA695" s="70"/>
      <c r="BB695" s="70"/>
      <c r="BC695" s="70">
        <f t="shared" si="397"/>
        <v>22.889658896619331</v>
      </c>
      <c r="BD695" s="70">
        <f t="shared" si="398"/>
        <v>9.6826332386011149</v>
      </c>
      <c r="BE695" s="70">
        <f t="shared" si="399"/>
        <v>0.35565818507787095</v>
      </c>
      <c r="BF695" s="70">
        <f t="shared" si="400"/>
        <v>3.3344509603670613</v>
      </c>
      <c r="BG695" s="70">
        <f t="shared" si="401"/>
        <v>0.20985793660300109</v>
      </c>
      <c r="BH695" s="67">
        <f>MAX((CE695-Driver!$F$200)/(Driver!$G$200-Driver!$F$200)*$BI$1,1)</f>
        <v>3.5799658508821857</v>
      </c>
      <c r="BI695" s="67">
        <f>MAX($BI$1*(BY695-Driver!$F$201)/(Driver!$G$201-Driver!$F$201),1)</f>
        <v>6.962025316455696</v>
      </c>
      <c r="BJ695" s="67">
        <f>(CB695-Driver!$F$206)/(Driver!$G$206-Driver!$F$206)*$BI$1</f>
        <v>3.0158730158730158</v>
      </c>
      <c r="BK695" s="67">
        <f>(CD695-Driver!$F$203)/(Driver!$G$203-Driver!$F$203)*$BI$1</f>
        <v>2.1100917431192663</v>
      </c>
      <c r="BL695" s="67">
        <f>MAX((CR695-Driver!$F$202)/(Driver!$G$202-Driver!$F$202)*$BI$1,1)</f>
        <v>5.5172413793103452</v>
      </c>
      <c r="BM695" s="67">
        <f>MAX((CH695-Driver!$F$204)/(Driver!$G$204-Driver!$F$204)*$BI$1,1)</f>
        <v>3.1196581196581197</v>
      </c>
      <c r="BN695" s="67">
        <f>(CI695-Driver!$F$205)/(Driver!$G$205-Driver!$F$205)*$BI$1</f>
        <v>2.7058823529411762</v>
      </c>
      <c r="BO695" s="67">
        <f>(CK695-Driver!$F$207)/(Driver!$G$207-Driver!$F$207)*$BI$1</f>
        <v>1.4891416752843847</v>
      </c>
      <c r="BP695" s="67">
        <f>(CM695-Driver!$F$208)/(Driver!$G$208-Driver!$F$208)*$BI$1</f>
        <v>1.5666666666666669</v>
      </c>
      <c r="BQ695" s="67">
        <f>(CL695-Driver!$F$209)/(Driver!$G$209-Driver!$F$209)*$BI$1</f>
        <v>2.34375</v>
      </c>
      <c r="BR695" s="28" t="s">
        <v>155</v>
      </c>
      <c r="BS695" s="8" t="s">
        <v>332</v>
      </c>
      <c r="BT695" s="9" t="s">
        <v>726</v>
      </c>
      <c r="BU695" s="10">
        <v>158</v>
      </c>
      <c r="BV695" s="9" t="s">
        <v>163</v>
      </c>
      <c r="BW695" s="10">
        <v>158</v>
      </c>
      <c r="BX695" s="10">
        <v>157.19999999999999</v>
      </c>
      <c r="BY695" s="10">
        <v>118</v>
      </c>
      <c r="BZ695" s="10">
        <v>133</v>
      </c>
      <c r="CA695" s="10">
        <v>120</v>
      </c>
      <c r="CB695" s="10">
        <v>83</v>
      </c>
      <c r="CC695" s="10">
        <v>105</v>
      </c>
      <c r="CD695" s="10">
        <v>14</v>
      </c>
      <c r="CE695" s="10">
        <v>1529</v>
      </c>
      <c r="CF695" s="10">
        <v>0.98</v>
      </c>
      <c r="CG695" s="10">
        <v>1505</v>
      </c>
      <c r="CH695" s="10">
        <v>174</v>
      </c>
      <c r="CI695" s="10">
        <v>79</v>
      </c>
      <c r="CJ695" s="10">
        <v>59</v>
      </c>
      <c r="CK695" s="10">
        <v>254</v>
      </c>
      <c r="CL695" s="10">
        <v>15</v>
      </c>
      <c r="CM695" s="10">
        <v>141</v>
      </c>
      <c r="CN695" s="10">
        <v>0.26300000000000001</v>
      </c>
      <c r="CO695" s="10">
        <v>141</v>
      </c>
      <c r="CP695" s="10">
        <v>98</v>
      </c>
      <c r="CQ695" s="10">
        <v>113</v>
      </c>
      <c r="CR695" s="10">
        <v>5</v>
      </c>
      <c r="CS695" s="10">
        <v>10.1</v>
      </c>
      <c r="CT695" s="9" t="s">
        <v>231</v>
      </c>
      <c r="CU695" s="9" t="s">
        <v>188</v>
      </c>
      <c r="CV695" s="10"/>
      <c r="CW695" s="10"/>
      <c r="CX695" t="str">
        <f>INDEX('Data_Price '!AG$2:AG$1266,MATCH(Data!$DN695,'Data_Price '!$AT$2:$AT$1266,0))</f>
        <v>Nordica Santa Ana 84 WHITE/BLUE / 158cm</v>
      </c>
      <c r="CY695" t="str">
        <f>INDEX('Data_Price '!AH$2:AH$1266,MATCH(Data!$DN695,'Data_Price '!$AT$2:$AT$1266,0))</f>
        <v>Sundance Ski and Board Shop</v>
      </c>
      <c r="CZ695">
        <f>INDEX('Data_Price '!AI$2:AI$1266,MATCH(Data!$DN695,'Data_Price '!$AT$2:$AT$1266,0))</f>
        <v>400.85</v>
      </c>
      <c r="DA695" t="str">
        <f>INDEX('Data_Price '!AJ$2:AJ$1266,MATCH(Data!$DN695,'Data_Price '!$AT$2:$AT$1266,0))</f>
        <v>https://tinyurl.com/ycvfgeh5</v>
      </c>
      <c r="DB695" t="str">
        <f>INDEX('Data_Price '!AK$2:AK$1266,MATCH(Data!$DN695,'Data_Price '!$AT$2:$AT$1266,0))</f>
        <v>Nordica Santa Ana 84 Alpine Skis 2022 - - 158 cm</v>
      </c>
      <c r="DC695" t="str">
        <f>INDEX('Data_Price '!AL$2:AL$1266,MATCH(Data!$DN695,'Data_Price '!$AT$2:$AT$1266,0))</f>
        <v>Skirack</v>
      </c>
      <c r="DD695">
        <f>INDEX('Data_Price '!AM$2:AM$1266,MATCH(Data!$DN695,'Data_Price '!$AT$2:$AT$1266,0))</f>
        <v>439.96</v>
      </c>
      <c r="DE695" t="str">
        <f>INDEX('Data_Price '!AN$2:AN$1266,MATCH(Data!$DN695,'Data_Price '!$AT$2:$AT$1266,0))</f>
        <v>https://tinyurl.com/y83wqvgq</v>
      </c>
      <c r="DF695" t="str">
        <f>INDEX('Data_Price '!AO$2:AO$1266,MATCH(Data!$DN695,'Data_Price '!$AT$2:$AT$1266,0))</f>
        <v>Nordica Santa Ana 84 Skis - Women's 2022</v>
      </c>
      <c r="DG695" t="str">
        <f>INDEX('Data_Price '!AP$2:AP$1266,MATCH(Data!$DN695,'Data_Price '!$AT$2:$AT$1266,0))</f>
        <v>Hillcrest Ski &amp; Sports</v>
      </c>
      <c r="DH695">
        <f>INDEX('Data_Price '!AQ$2:AQ$1266,MATCH(Data!$DN695,'Data_Price '!$AT$2:$AT$1266,0))</f>
        <v>439.99</v>
      </c>
      <c r="DI695" t="str">
        <f>INDEX('Data_Price '!AR$2:AR$1266,MATCH(Data!$DN695,'Data_Price '!$AT$2:$AT$1266,0))</f>
        <v>https://tinyurl.com/ya2oxdtx</v>
      </c>
      <c r="DJ695" s="89" t="str">
        <f t="shared" si="402"/>
        <v>https://tinyurl.com/ycvfgeh5</v>
      </c>
      <c r="DK695" s="89" t="str">
        <f t="shared" si="403"/>
        <v>https://tinyurl.com/y83wqvgq</v>
      </c>
      <c r="DL695" s="89" t="str">
        <f t="shared" si="404"/>
        <v>https://tinyurl.com/ya2oxdtx</v>
      </c>
      <c r="DM695" s="219" t="str">
        <f t="shared" si="405"/>
        <v>Santa Ana 84</v>
      </c>
      <c r="DN695" s="89" t="str">
        <f t="shared" si="406"/>
        <v xml:space="preserve"> NordicaSanta Ana 84158 Women's</v>
      </c>
      <c r="DO695" s="221"/>
    </row>
    <row r="696" spans="2:119" ht="15.6" customHeight="1">
      <c r="B696" s="219" t="b">
        <f t="array" ref="B696">IF(OR(ISERROR(K696:P696)),FALSE,TRUE)</f>
        <v>1</v>
      </c>
      <c r="C696" s="43" t="b">
        <f>OR(BR696=Driver!$G$50,Data!BR136=Driver!$H$50)</f>
        <v>1</v>
      </c>
      <c r="D696" s="43" t="b">
        <f>OR(BV696=Driver!$G$51,BV696=Driver!$H$51)</f>
        <v>1</v>
      </c>
      <c r="E696" s="43" t="b">
        <f>AND(BX696&gt;Driver!$F$54,BX696&lt;Driver!$G$54)</f>
        <v>0</v>
      </c>
      <c r="F696" s="43" t="b">
        <f>CL696&gt;Driver!$F$56</f>
        <v>1</v>
      </c>
      <c r="G696" s="43" t="b">
        <f>AND(CB696&gt;Driver!$F$55,CB696&lt;Driver!$G$55)</f>
        <v>0</v>
      </c>
      <c r="H696" s="43" t="b">
        <f t="shared" si="370"/>
        <v>0</v>
      </c>
      <c r="I696" s="43">
        <f t="shared" si="371"/>
        <v>0</v>
      </c>
      <c r="J696" s="43" t="b">
        <f t="array" ref="J696">NOT(OR(($H$9:$H$1273=TRUE)*($I$9:$I$1273&gt;0)*($BT$9:$BT$1273=BT696)*($K$9:$K$1273&gt;K696)))</f>
        <v>1</v>
      </c>
      <c r="K696" s="72">
        <f t="shared" si="372"/>
        <v>0.66820727221847143</v>
      </c>
      <c r="L696" s="72">
        <f t="shared" si="373"/>
        <v>0.57176030042765258</v>
      </c>
      <c r="M696" s="72">
        <f t="shared" si="374"/>
        <v>0.76465424400929027</v>
      </c>
      <c r="N696" s="72">
        <f t="shared" si="375"/>
        <v>0.6335286541197076</v>
      </c>
      <c r="O696" s="72">
        <f t="shared" si="376"/>
        <v>0.68930290391958049</v>
      </c>
      <c r="P696" s="72">
        <f t="shared" si="377"/>
        <v>0.97113117398858284</v>
      </c>
      <c r="Q696" s="72"/>
      <c r="R696" s="72"/>
      <c r="S696" s="72">
        <f t="shared" si="378"/>
        <v>0.46339909722792638</v>
      </c>
      <c r="T696" s="72">
        <f t="shared" si="379"/>
        <v>0.48001214924932634</v>
      </c>
      <c r="U696" s="72">
        <f t="shared" si="380"/>
        <v>0.50216869902731021</v>
      </c>
      <c r="V696" s="72">
        <f t="shared" si="381"/>
        <v>0.67342814816088648</v>
      </c>
      <c r="W696" s="72">
        <f t="shared" si="382"/>
        <v>0.81374021720637435</v>
      </c>
      <c r="X696" s="72">
        <f t="shared" si="383"/>
        <v>0.42823969957234748</v>
      </c>
      <c r="Y696" s="72">
        <f t="shared" si="384"/>
        <v>0.2353457559907097</v>
      </c>
      <c r="Z696" s="72">
        <f t="shared" si="385"/>
        <v>0.3664713458802924</v>
      </c>
      <c r="AA696" s="72">
        <f t="shared" si="386"/>
        <v>0.31069709608041951</v>
      </c>
      <c r="AB696" s="72">
        <f t="shared" si="387"/>
        <v>2.8868826011417159E-2</v>
      </c>
      <c r="AC696" s="72"/>
      <c r="AD696" s="72"/>
      <c r="AE696" s="72">
        <f t="shared" si="388"/>
        <v>0.53660090277207362</v>
      </c>
      <c r="AF696" s="72">
        <f t="shared" si="389"/>
        <v>0.51998785075067366</v>
      </c>
      <c r="AG696" s="72">
        <f t="shared" si="390"/>
        <v>0.49783130097268979</v>
      </c>
      <c r="AH696" s="72">
        <f t="shared" si="391"/>
        <v>0.32657185183911352</v>
      </c>
      <c r="AI696" s="72">
        <f t="shared" si="392"/>
        <v>0.18625978279362559</v>
      </c>
      <c r="AJ696" s="72">
        <f>(AV696-Driver!$K$179)/(Driver!$L$179-Driver!$K$179)</f>
        <v>0.6824591088550479</v>
      </c>
      <c r="AK696" s="72">
        <f>(AW696-Driver!$K$180)/(Driver!$L$180-Driver!$K$180)</f>
        <v>0.30073543502090389</v>
      </c>
      <c r="AL696" s="72">
        <f>(AX696-Driver!$K$181)/(Driver!$L$181-Driver!$K$181)</f>
        <v>0.46815910959337259</v>
      </c>
      <c r="AM696" s="72">
        <f>(AY696-Driver!$K$182)/(Driver!$L$182-Driver!$K$182)</f>
        <v>0.13668792501662685</v>
      </c>
      <c r="AN696" s="72">
        <f>(AZ696-Driver!$K$183)/(Driver!$L$183-Driver!$K$183)</f>
        <v>0.28308823529411759</v>
      </c>
      <c r="AO696" s="72"/>
      <c r="AP696" s="72"/>
      <c r="AQ696" s="72">
        <f>(BC696-Driver!$K$188)/(Driver!$L$188-Driver!$K$188)</f>
        <v>8.3399097227926364E-2</v>
      </c>
      <c r="AR696" s="72">
        <f>MIN((BD696-Driver!$K$189)/(Driver!$L$189-Driver!$K$189),100%)</f>
        <v>3.0012149249326419E-2</v>
      </c>
      <c r="AS696" s="72">
        <f>(BE696-Driver!$K$190)/(Driver!$L$190-Driver!$K$190)</f>
        <v>1.2168699027310199E-2</v>
      </c>
      <c r="AT696" s="72">
        <f>(BF696-Driver!$K$191)/(Driver!$L$191-Driver!$K$191)</f>
        <v>0.18342814816088648</v>
      </c>
      <c r="AU696" s="72">
        <f>(BG696-Driver!$K$192)/(Driver!$L$192-Driver!$K$192)</f>
        <v>6.3740217206374405E-2</v>
      </c>
      <c r="AV696" s="70">
        <f t="shared" si="393"/>
        <v>14.363722697056032</v>
      </c>
      <c r="AW696" s="70">
        <f t="shared" si="394"/>
        <v>31.181225551284108</v>
      </c>
      <c r="AX696" s="70">
        <f t="shared" si="395"/>
        <v>5.2134319863403533</v>
      </c>
      <c r="AY696" s="70">
        <f>IFERROR(Driver!$K$19/Data!BH696/Data!BI696*Data!BK696*Data!BL696,"")</f>
        <v>0.16734680396088747</v>
      </c>
      <c r="AZ696" s="70">
        <f t="shared" si="396"/>
        <v>25.800446760982869</v>
      </c>
      <c r="BA696" s="70"/>
      <c r="BB696" s="70"/>
      <c r="BC696" s="70">
        <f t="shared" si="397"/>
        <v>43.259691513243204</v>
      </c>
      <c r="BD696" s="70">
        <f t="shared" si="398"/>
        <v>4.3768449142813752</v>
      </c>
      <c r="BE696" s="70">
        <f t="shared" si="399"/>
        <v>1.2344917012888834E-2</v>
      </c>
      <c r="BF696" s="70">
        <f t="shared" si="400"/>
        <v>20.716920679098472</v>
      </c>
      <c r="BG696" s="70">
        <f t="shared" si="401"/>
        <v>0.24136112420603412</v>
      </c>
      <c r="BH696" s="67">
        <f>MAX((CE696-Driver!$F$200)/(Driver!$G$200-Driver!$F$200)*$BI$1,1)</f>
        <v>5.2134319863403533</v>
      </c>
      <c r="BI696" s="67">
        <f>MAX($BI$1*(BY696-Driver!$F$201)/(Driver!$G$201-Driver!$F$201),1)</f>
        <v>6.2658227848101262</v>
      </c>
      <c r="BJ696" s="67">
        <f>(CB696-Driver!$F$206)/(Driver!$G$206-Driver!$F$206)*$BI$1</f>
        <v>8.7301587301587311</v>
      </c>
      <c r="BK696" s="67">
        <f>(CD696-Driver!$F$203)/(Driver!$G$203-Driver!$F$203)*$BI$1</f>
        <v>4.954128440366973</v>
      </c>
      <c r="BL696" s="67">
        <f>MAX((CR696-Driver!$F$202)/(Driver!$G$202-Driver!$F$202)*$BI$1,1)</f>
        <v>5.5172413793103452</v>
      </c>
      <c r="BM696" s="67">
        <f>MAX((CH696-Driver!$F$204)/(Driver!$G$204-Driver!$F$204)*$BI$1,1)</f>
        <v>6.5811965811965809</v>
      </c>
      <c r="BN696" s="67">
        <f>(CI696-Driver!$F$205)/(Driver!$G$205-Driver!$F$205)*$BI$1</f>
        <v>4.117647058823529</v>
      </c>
      <c r="BO696" s="67">
        <f>(CK696-Driver!$F$207)/(Driver!$G$207-Driver!$F$207)*$BI$1</f>
        <v>2.9472595656670113</v>
      </c>
      <c r="BP696" s="67">
        <f>(CM696-Driver!$F$208)/(Driver!$G$208-Driver!$F$208)*$BI$1</f>
        <v>3.9888888888888889</v>
      </c>
      <c r="BQ696" s="67">
        <f>(CL696-Driver!$F$209)/(Driver!$G$209-Driver!$F$209)*$BI$1</f>
        <v>8.28125</v>
      </c>
      <c r="BR696" s="28" t="s">
        <v>155</v>
      </c>
      <c r="BS696" s="8" t="s">
        <v>156</v>
      </c>
      <c r="BT696" s="9" t="s">
        <v>696</v>
      </c>
      <c r="BU696" s="10">
        <v>184</v>
      </c>
      <c r="BV696" s="9" t="s">
        <v>158</v>
      </c>
      <c r="BW696" s="10">
        <v>184</v>
      </c>
      <c r="BX696" s="10">
        <v>182.6</v>
      </c>
      <c r="BY696" s="10">
        <v>107</v>
      </c>
      <c r="BZ696" s="10">
        <v>137</v>
      </c>
      <c r="CA696" s="10">
        <v>142</v>
      </c>
      <c r="CB696" s="10">
        <v>119</v>
      </c>
      <c r="CC696" s="10">
        <v>133</v>
      </c>
      <c r="CD696" s="10">
        <v>20.2</v>
      </c>
      <c r="CE696" s="10">
        <v>1816</v>
      </c>
      <c r="CF696" s="10">
        <v>1.25</v>
      </c>
      <c r="CG696" s="10">
        <v>2262</v>
      </c>
      <c r="CH696" s="10">
        <v>255</v>
      </c>
      <c r="CI696" s="10">
        <v>103</v>
      </c>
      <c r="CJ696" s="10">
        <v>54</v>
      </c>
      <c r="CK696" s="10">
        <v>395</v>
      </c>
      <c r="CL696" s="10">
        <v>53</v>
      </c>
      <c r="CM696" s="10">
        <v>359</v>
      </c>
      <c r="CN696" s="10">
        <v>0.98799999999999999</v>
      </c>
      <c r="CO696" s="10">
        <v>204</v>
      </c>
      <c r="CP696" s="10">
        <v>255</v>
      </c>
      <c r="CQ696" s="10">
        <v>191</v>
      </c>
      <c r="CR696" s="10">
        <v>5</v>
      </c>
      <c r="CS696" s="10">
        <v>3.9</v>
      </c>
      <c r="CT696" s="9" t="s">
        <v>184</v>
      </c>
      <c r="CU696" s="9" t="s">
        <v>169</v>
      </c>
      <c r="CV696" s="9" t="s">
        <v>185</v>
      </c>
      <c r="CW696" s="10"/>
      <c r="CX696" t="str">
        <f>INDEX('Data_Price '!AG$2:AG$1266,MATCH(Data!$DN696,'Data_Price '!$AT$2:$AT$1266,0))</f>
        <v>Atomic Bent Chetler 120 Skis</v>
      </c>
      <c r="CY696" t="str">
        <f>INDEX('Data_Price '!AH$2:AH$1266,MATCH(Data!$DN696,'Data_Price '!$AT$2:$AT$1266,0))</f>
        <v>Telemark Pyrenees</v>
      </c>
      <c r="CZ696">
        <f>INDEX('Data_Price '!AI$2:AI$1266,MATCH(Data!$DN696,'Data_Price '!$AT$2:$AT$1266,0))</f>
        <v>494.99</v>
      </c>
      <c r="DA696" t="str">
        <f>INDEX('Data_Price '!AJ$2:AJ$1266,MATCH(Data!$DN696,'Data_Price '!$AT$2:$AT$1266,0))</f>
        <v>https://tinyurl.com/ycrfotel</v>
      </c>
      <c r="DB696" t="str">
        <f>INDEX('Data_Price '!AK$2:AK$1266,MATCH(Data!$DN696,'Data_Price '!$AT$2:$AT$1266,0))</f>
        <v>Atomic Bent Chetler 120 Skis</v>
      </c>
      <c r="DC696" t="str">
        <f>INDEX('Data_Price '!AL$2:AL$1266,MATCH(Data!$DN696,'Data_Price '!$AT$2:$AT$1266,0))</f>
        <v>Powder7 Ski Shop</v>
      </c>
      <c r="DD696">
        <f>INDEX('Data_Price '!AM$2:AM$1266,MATCH(Data!$DN696,'Data_Price '!$AT$2:$AT$1266,0))</f>
        <v>599.92999999999995</v>
      </c>
      <c r="DE696" t="str">
        <f>INDEX('Data_Price '!AN$2:AN$1266,MATCH(Data!$DN696,'Data_Price '!$AT$2:$AT$1266,0))</f>
        <v>https://tinyurl.com/y8kj48yz</v>
      </c>
      <c r="DF696" t="str">
        <f>INDEX('Data_Price '!AO$2:AO$1266,MATCH(Data!$DN696,'Data_Price '!$AT$2:$AT$1266,0))</f>
        <v>Atomic Bent Chetler 120 Skis</v>
      </c>
      <c r="DG696" t="str">
        <f>INDEX('Data_Price '!AP$2:AP$1266,MATCH(Data!$DN696,'Data_Price '!$AT$2:$AT$1266,0))</f>
        <v>evo.com</v>
      </c>
      <c r="DH696">
        <f>INDEX('Data_Price '!AQ$2:AQ$1266,MATCH(Data!$DN696,'Data_Price '!$AT$2:$AT$1266,0))</f>
        <v>599.99</v>
      </c>
      <c r="DI696" t="str">
        <f>INDEX('Data_Price '!AR$2:AR$1266,MATCH(Data!$DN696,'Data_Price '!$AT$2:$AT$1266,0))</f>
        <v>https://tinyurl.com/y8rbrak7</v>
      </c>
      <c r="DJ696" s="89" t="str">
        <f t="shared" si="402"/>
        <v>https://tinyurl.com/ycrfotel</v>
      </c>
      <c r="DK696" s="89" t="str">
        <f t="shared" si="403"/>
        <v>https://tinyurl.com/y8kj48yz</v>
      </c>
      <c r="DL696" s="89" t="str">
        <f t="shared" si="404"/>
        <v>https://tinyurl.com/y8rbrak7</v>
      </c>
      <c r="DM696" s="219" t="str">
        <f t="shared" si="405"/>
        <v>Bent Chetler 120</v>
      </c>
      <c r="DN696" s="89" t="str">
        <f t="shared" si="406"/>
        <v xml:space="preserve"> AtomicBent Chetler 120184 Unisex</v>
      </c>
      <c r="DO696" s="221" t="s">
        <v>697</v>
      </c>
    </row>
    <row r="697" spans="2:119" ht="15.6" customHeight="1">
      <c r="B697" s="219" t="b">
        <f t="array" ref="B697">IF(OR(ISERROR(K697:P697)),FALSE,TRUE)</f>
        <v>1</v>
      </c>
      <c r="C697" s="43" t="b">
        <f>OR(BR697=Driver!$G$50,Data!BR811=Driver!$H$50)</f>
        <v>1</v>
      </c>
      <c r="D697" s="43" t="b">
        <f>OR(BV697=Driver!$G$51,BV697=Driver!$H$51)</f>
        <v>0</v>
      </c>
      <c r="E697" s="43" t="b">
        <f>AND(BX697&gt;Driver!$F$54,BX697&lt;Driver!$G$54)</f>
        <v>1</v>
      </c>
      <c r="F697" s="43" t="b">
        <f>CL697&gt;Driver!$F$56</f>
        <v>1</v>
      </c>
      <c r="G697" s="43" t="b">
        <f>AND(CB697&gt;Driver!$F$55,CB697&lt;Driver!$G$55)</f>
        <v>0</v>
      </c>
      <c r="H697" s="43" t="b">
        <f t="shared" si="370"/>
        <v>0</v>
      </c>
      <c r="I697" s="43">
        <f t="shared" si="371"/>
        <v>0</v>
      </c>
      <c r="J697" s="43" t="b">
        <f t="array" ref="J697">NOT(OR(($H$9:$H$1273=TRUE)*($I$9:$I$1273&gt;0)*($BT$9:$BT$1273=BT697)*($K$9:$K$1273&gt;K697)))</f>
        <v>1</v>
      </c>
      <c r="K697" s="72">
        <f t="shared" si="372"/>
        <v>0.84391001970285018</v>
      </c>
      <c r="L697" s="72">
        <f t="shared" si="373"/>
        <v>0.8966145283532676</v>
      </c>
      <c r="M697" s="72">
        <f t="shared" si="374"/>
        <v>0.79120551105243275</v>
      </c>
      <c r="N697" s="72">
        <f t="shared" si="375"/>
        <v>0.79921511462688533</v>
      </c>
      <c r="O697" s="72">
        <f t="shared" si="376"/>
        <v>0.65031200428370173</v>
      </c>
      <c r="P697" s="72">
        <f t="shared" si="377"/>
        <v>0.92408941424671132</v>
      </c>
      <c r="Q697" s="72"/>
      <c r="R697" s="72"/>
      <c r="S697" s="72">
        <f t="shared" si="378"/>
        <v>0.41820120286908291</v>
      </c>
      <c r="T697" s="72">
        <f t="shared" si="379"/>
        <v>0.5004010319523422</v>
      </c>
      <c r="U697" s="72">
        <f t="shared" si="380"/>
        <v>0.5655071055145221</v>
      </c>
      <c r="V697" s="72">
        <f t="shared" si="381"/>
        <v>0.58798741404653254</v>
      </c>
      <c r="W697" s="72">
        <f t="shared" si="382"/>
        <v>0.82565940366972468</v>
      </c>
      <c r="X697" s="72">
        <f t="shared" si="383"/>
        <v>0.10338547164673234</v>
      </c>
      <c r="Y697" s="72">
        <f t="shared" si="384"/>
        <v>0.20879448894756722</v>
      </c>
      <c r="Z697" s="72">
        <f t="shared" si="385"/>
        <v>0.20078488537311467</v>
      </c>
      <c r="AA697" s="72">
        <f t="shared" si="386"/>
        <v>0.34968799571629827</v>
      </c>
      <c r="AB697" s="72">
        <f t="shared" si="387"/>
        <v>7.5910585753288656E-2</v>
      </c>
      <c r="AC697" s="72"/>
      <c r="AD697" s="72"/>
      <c r="AE697" s="72">
        <f t="shared" si="388"/>
        <v>0.58179879713091709</v>
      </c>
      <c r="AF697" s="72">
        <f t="shared" si="389"/>
        <v>0.49959896804765785</v>
      </c>
      <c r="AG697" s="72">
        <f t="shared" si="390"/>
        <v>0.4344928944854779</v>
      </c>
      <c r="AH697" s="72">
        <f t="shared" si="391"/>
        <v>0.41201258595346746</v>
      </c>
      <c r="AI697" s="72">
        <f t="shared" si="392"/>
        <v>0.17434059633027527</v>
      </c>
      <c r="AJ697" s="72">
        <f>(AV697-Driver!$K$179)/(Driver!$L$179-Driver!$K$179)</f>
        <v>0.15083393763596809</v>
      </c>
      <c r="AK697" s="72">
        <f>(AW697-Driver!$K$180)/(Driver!$L$180-Driver!$K$180)</f>
        <v>0.18695993481642909</v>
      </c>
      <c r="AL697" s="72">
        <f>(AX697-Driver!$K$181)/(Driver!$L$181-Driver!$K$181)</f>
        <v>0.30247264908619487</v>
      </c>
      <c r="AM697" s="72">
        <f>(AY697-Driver!$K$182)/(Driver!$L$182-Driver!$K$182)</f>
        <v>9.7697025380748065E-2</v>
      </c>
      <c r="AN697" s="72">
        <f>(AZ697-Driver!$K$183)/(Driver!$L$183-Driver!$K$183)</f>
        <v>0.17830882352941177</v>
      </c>
      <c r="AO697" s="72"/>
      <c r="AP697" s="72"/>
      <c r="AQ697" s="72">
        <f>(BC697-Driver!$K$188)/(Driver!$L$188-Driver!$K$188)</f>
        <v>3.8201202869082913E-2</v>
      </c>
      <c r="AR697" s="72">
        <f>MIN((BD697-Driver!$K$189)/(Driver!$L$189-Driver!$K$189),100%)</f>
        <v>5.0401031952342169E-2</v>
      </c>
      <c r="AS697" s="72">
        <f>(BE697-Driver!$K$190)/(Driver!$L$190-Driver!$K$190)</f>
        <v>7.5507105514522083E-2</v>
      </c>
      <c r="AT697" s="72">
        <f>(BF697-Driver!$K$191)/(Driver!$L$191-Driver!$K$191)</f>
        <v>9.7987414046532578E-2</v>
      </c>
      <c r="AU697" s="72">
        <f>(BG697-Driver!$K$192)/(Driver!$L$192-Driver!$K$192)</f>
        <v>7.5659403669724748E-2</v>
      </c>
      <c r="AV697" s="70">
        <f t="shared" si="393"/>
        <v>3.1746031746031744</v>
      </c>
      <c r="AW697" s="70">
        <f t="shared" si="394"/>
        <v>20.092794902868373</v>
      </c>
      <c r="AX697" s="70">
        <f t="shared" si="395"/>
        <v>3.7222538417757538</v>
      </c>
      <c r="AY697" s="70">
        <f>IFERROR(Driver!$K$19/Data!BH697/Data!BI697*Data!BK697*Data!BL697,"")</f>
        <v>0.11961030904496611</v>
      </c>
      <c r="AZ697" s="70">
        <f t="shared" si="396"/>
        <v>16.250930752047655</v>
      </c>
      <c r="BA697" s="70"/>
      <c r="BB697" s="70"/>
      <c r="BC697" s="70">
        <f t="shared" si="397"/>
        <v>19.815229498647149</v>
      </c>
      <c r="BD697" s="70">
        <f t="shared" si="398"/>
        <v>6.1812249065358644</v>
      </c>
      <c r="BE697" s="70">
        <f t="shared" si="399"/>
        <v>7.5672024641287541E-2</v>
      </c>
      <c r="BF697" s="70">
        <f t="shared" si="400"/>
        <v>11.066990016011422</v>
      </c>
      <c r="BG697" s="70">
        <f t="shared" si="401"/>
        <v>0.28649476777522931</v>
      </c>
      <c r="BH697" s="67">
        <f>MAX((CE697-Driver!$F$200)/(Driver!$G$200-Driver!$F$200)*$BI$1,1)</f>
        <v>3.7222538417757538</v>
      </c>
      <c r="BI697" s="67">
        <f>MAX($BI$1*(BY697-Driver!$F$201)/(Driver!$G$201-Driver!$F$201),1)</f>
        <v>6.1392405063291138</v>
      </c>
      <c r="BJ697" s="67">
        <f>(CB697-Driver!$F$206)/(Driver!$G$206-Driver!$F$206)*$BI$1</f>
        <v>4.1269841269841265</v>
      </c>
      <c r="BK697" s="67">
        <f>(CD697-Driver!$F$203)/(Driver!$G$203-Driver!$F$203)*$BI$1</f>
        <v>2.4770642201834865</v>
      </c>
      <c r="BL697" s="67">
        <f>MAX((CR697-Driver!$F$202)/(Driver!$G$202-Driver!$F$202)*$BI$1,1)</f>
        <v>5.5172413793103452</v>
      </c>
      <c r="BM697" s="67">
        <f>MAX((CH697-Driver!$F$204)/(Driver!$G$204-Driver!$F$204)*$BI$1,1)</f>
        <v>3.0769230769230771</v>
      </c>
      <c r="BN697" s="67">
        <f>(CI697-Driver!$F$205)/(Driver!$G$205-Driver!$F$205)*$BI$1</f>
        <v>2.6470588235294117</v>
      </c>
      <c r="BO697" s="67">
        <f>(CK697-Driver!$F$207)/(Driver!$G$207-Driver!$F$207)*$BI$1</f>
        <v>2.4301964839710442</v>
      </c>
      <c r="BP697" s="67">
        <f>(CM697-Driver!$F$208)/(Driver!$G$208-Driver!$F$208)*$BI$1</f>
        <v>2.7333333333333334</v>
      </c>
      <c r="BQ697" s="67">
        <f>(CL697-Driver!$F$209)/(Driver!$G$209-Driver!$F$209)*$BI$1</f>
        <v>3.28125</v>
      </c>
      <c r="BR697" s="28" t="s">
        <v>155</v>
      </c>
      <c r="BS697" s="8" t="s">
        <v>215</v>
      </c>
      <c r="BT697" s="9" t="s">
        <v>727</v>
      </c>
      <c r="BU697" s="10">
        <v>165</v>
      </c>
      <c r="BV697" s="9" t="s">
        <v>163</v>
      </c>
      <c r="BW697" s="10">
        <v>165</v>
      </c>
      <c r="BX697" s="10">
        <v>164.5</v>
      </c>
      <c r="BY697" s="10">
        <v>105</v>
      </c>
      <c r="BZ697" s="10">
        <v>136</v>
      </c>
      <c r="CA697" s="10">
        <v>125</v>
      </c>
      <c r="CB697" s="10">
        <v>90</v>
      </c>
      <c r="CC697" s="10">
        <v>111</v>
      </c>
      <c r="CD697" s="10">
        <v>14.8</v>
      </c>
      <c r="CE697" s="10">
        <v>1554</v>
      </c>
      <c r="CF697" s="10">
        <v>1.06</v>
      </c>
      <c r="CG697" s="10">
        <v>1649</v>
      </c>
      <c r="CH697" s="10">
        <v>173</v>
      </c>
      <c r="CI697" s="10">
        <v>78</v>
      </c>
      <c r="CJ697" s="10">
        <v>43</v>
      </c>
      <c r="CK697" s="10">
        <v>345</v>
      </c>
      <c r="CL697" s="10">
        <v>21</v>
      </c>
      <c r="CM697" s="10">
        <v>246</v>
      </c>
      <c r="CN697" s="10">
        <v>0.48399999999999999</v>
      </c>
      <c r="CO697" s="10">
        <v>133</v>
      </c>
      <c r="CP697" s="10">
        <v>152</v>
      </c>
      <c r="CQ697" s="10">
        <v>213</v>
      </c>
      <c r="CR697" s="10">
        <v>5</v>
      </c>
      <c r="CS697" s="10">
        <v>7.7</v>
      </c>
      <c r="CT697" s="9" t="s">
        <v>188</v>
      </c>
      <c r="CU697" s="9" t="s">
        <v>185</v>
      </c>
      <c r="CV697" s="10"/>
      <c r="CW697" s="10"/>
      <c r="CX697" t="str">
        <f>INDEX('Data_Price '!AG$2:AG$1266,MATCH(Data!$DN697,'Data_Price '!$AT$2:$AT$1266,0))</f>
        <v>'21 Liberty Genesis 90 Skis 165cm</v>
      </c>
      <c r="CY697" t="str">
        <f>INDEX('Data_Price '!AH$2:AH$1266,MATCH(Data!$DN697,'Data_Price '!$AT$2:$AT$1266,0))</f>
        <v>Al's Ski Equipment Barn</v>
      </c>
      <c r="CZ697">
        <f>INDEX('Data_Price '!AI$2:AI$1266,MATCH(Data!$DN697,'Data_Price '!$AT$2:$AT$1266,0))</f>
        <v>399.95</v>
      </c>
      <c r="DA697" t="str">
        <f>INDEX('Data_Price '!AJ$2:AJ$1266,MATCH(Data!$DN697,'Data_Price '!$AT$2:$AT$1266,0))</f>
        <v>https://tinyurl.com/y8977nyn</v>
      </c>
      <c r="DB697" t="str">
        <f>INDEX('Data_Price '!AK$2:AK$1266,MATCH(Data!$DN697,'Data_Price '!$AT$2:$AT$1266,0))</f>
        <v>Liberty Genesis 90 Women's Skis - 2021 - 165cm</v>
      </c>
      <c r="DC697" t="str">
        <f>INDEX('Data_Price '!AL$2:AL$1266,MATCH(Data!$DN697,'Data_Price '!$AT$2:$AT$1266,0))</f>
        <v>ColoradoSkiShop.com</v>
      </c>
      <c r="DD697">
        <f>INDEX('Data_Price '!AM$2:AM$1266,MATCH(Data!$DN697,'Data_Price '!$AT$2:$AT$1266,0))</f>
        <v>499.95</v>
      </c>
      <c r="DE697" t="str">
        <f>INDEX('Data_Price '!AN$2:AN$1266,MATCH(Data!$DN697,'Data_Price '!$AT$2:$AT$1266,0))</f>
        <v>https://tinyurl.com/ycomqbvg</v>
      </c>
      <c r="DF697" t="str">
        <f>INDEX('Data_Price '!AO$2:AO$1266,MATCH(Data!$DN697,'Data_Price '!$AT$2:$AT$1266,0))</f>
        <v>2020 Liberty Evolv 90</v>
      </c>
      <c r="DG697" t="str">
        <f>INDEX('Data_Price '!AP$2:AP$1266,MATCH(Data!$DN697,'Data_Price '!$AT$2:$AT$1266,0))</f>
        <v>eBay - larsonski</v>
      </c>
      <c r="DH697">
        <f>INDEX('Data_Price '!AQ$2:AQ$1266,MATCH(Data!$DN697,'Data_Price '!$AT$2:$AT$1266,0))</f>
        <v>425</v>
      </c>
      <c r="DI697" t="str">
        <f>INDEX('Data_Price '!AR$2:AR$1266,MATCH(Data!$DN697,'Data_Price '!$AT$2:$AT$1266,0))</f>
        <v>https://tinyurl.com/y8t8jw2c</v>
      </c>
      <c r="DJ697" s="89" t="str">
        <f t="shared" si="402"/>
        <v>https://tinyurl.com/y8977nyn</v>
      </c>
      <c r="DK697" s="89" t="str">
        <f t="shared" si="403"/>
        <v>https://tinyurl.com/ycomqbvg</v>
      </c>
      <c r="DL697" s="89" t="str">
        <f t="shared" si="404"/>
        <v>https://tinyurl.com/y8t8jw2c</v>
      </c>
      <c r="DM697" s="219" t="str">
        <f t="shared" si="405"/>
        <v>Genesis 90</v>
      </c>
      <c r="DN697" s="89" t="str">
        <f t="shared" si="406"/>
        <v xml:space="preserve"> LibertyGenesis 90165 Women's</v>
      </c>
      <c r="DO697" s="221"/>
    </row>
    <row r="698" spans="2:119" ht="15.6" customHeight="1">
      <c r="B698" s="219" t="b">
        <f t="array" ref="B698">IF(OR(ISERROR(K698:P698)),FALSE,TRUE)</f>
        <v>1</v>
      </c>
      <c r="C698" s="43" t="b">
        <f>OR(BR698=Driver!$G$50,Data!BR960=Driver!$H$50)</f>
        <v>1</v>
      </c>
      <c r="D698" s="43" t="b">
        <f>OR(BV698=Driver!$G$51,BV698=Driver!$H$51)</f>
        <v>0</v>
      </c>
      <c r="E698" s="43" t="b">
        <f>AND(BX698&gt;Driver!$F$54,BX698&lt;Driver!$G$54)</f>
        <v>1</v>
      </c>
      <c r="F698" s="43" t="b">
        <f>CL698&gt;Driver!$F$56</f>
        <v>1</v>
      </c>
      <c r="G698" s="43" t="b">
        <f>AND(CB698&gt;Driver!$F$55,CB698&lt;Driver!$G$55)</f>
        <v>0</v>
      </c>
      <c r="H698" s="43" t="b">
        <f t="shared" si="370"/>
        <v>0</v>
      </c>
      <c r="I698" s="43">
        <f t="shared" si="371"/>
        <v>0</v>
      </c>
      <c r="J698" s="43" t="b">
        <f t="array" ref="J698">NOT(OR(($H$9:$H$1273=TRUE)*($I$9:$I$1273&gt;0)*($BT$9:$BT$1273=BT698)*($K$9:$K$1273&gt;K698)))</f>
        <v>1</v>
      </c>
      <c r="K698" s="72">
        <f t="shared" si="372"/>
        <v>0.85011534759664753</v>
      </c>
      <c r="L698" s="72">
        <f t="shared" si="373"/>
        <v>0.88960461779005762</v>
      </c>
      <c r="M698" s="72">
        <f t="shared" si="374"/>
        <v>0.81062607740323755</v>
      </c>
      <c r="N698" s="72">
        <f t="shared" si="375"/>
        <v>0.83020227708815142</v>
      </c>
      <c r="O698" s="72">
        <f t="shared" si="376"/>
        <v>0.69118948205132047</v>
      </c>
      <c r="P698" s="72">
        <f t="shared" si="377"/>
        <v>0.91048647307024078</v>
      </c>
      <c r="Q698" s="72"/>
      <c r="R698" s="72"/>
      <c r="S698" s="72">
        <f t="shared" si="378"/>
        <v>0.41717201819000416</v>
      </c>
      <c r="T698" s="72">
        <f t="shared" si="379"/>
        <v>0.46011085456223366</v>
      </c>
      <c r="U698" s="72">
        <f t="shared" si="380"/>
        <v>0.5580584319737345</v>
      </c>
      <c r="V698" s="72">
        <f t="shared" si="381"/>
        <v>0.59343713520019237</v>
      </c>
      <c r="W698" s="72">
        <f t="shared" si="382"/>
        <v>0.89295576081672334</v>
      </c>
      <c r="X698" s="72">
        <f t="shared" si="383"/>
        <v>0.11039538220994241</v>
      </c>
      <c r="Y698" s="72">
        <f t="shared" si="384"/>
        <v>0.18937392259676247</v>
      </c>
      <c r="Z698" s="72">
        <f t="shared" si="385"/>
        <v>0.16979772291184864</v>
      </c>
      <c r="AA698" s="72">
        <f t="shared" si="386"/>
        <v>0.30881051794867959</v>
      </c>
      <c r="AB698" s="72">
        <f t="shared" si="387"/>
        <v>8.9513526929759224E-2</v>
      </c>
      <c r="AC698" s="72"/>
      <c r="AD698" s="72"/>
      <c r="AE698" s="72">
        <f t="shared" si="388"/>
        <v>0.58282798180999584</v>
      </c>
      <c r="AF698" s="72">
        <f t="shared" si="389"/>
        <v>0.53988914543776634</v>
      </c>
      <c r="AG698" s="72">
        <f t="shared" si="390"/>
        <v>0.44194156802626555</v>
      </c>
      <c r="AH698" s="72">
        <f t="shared" si="391"/>
        <v>0.40656286479980758</v>
      </c>
      <c r="AI698" s="72">
        <f t="shared" si="392"/>
        <v>0.10704423918327666</v>
      </c>
      <c r="AJ698" s="72">
        <f>(AV698-Driver!$K$179)/(Driver!$L$179-Driver!$K$179)</f>
        <v>0.14382402707275802</v>
      </c>
      <c r="AK698" s="72">
        <f>(AW698-Driver!$K$180)/(Driver!$L$180-Driver!$K$180)</f>
        <v>0.17189101294935383</v>
      </c>
      <c r="AL698" s="72">
        <f>(AX698-Driver!$K$181)/(Driver!$L$181-Driver!$K$181)</f>
        <v>0.27148548662492883</v>
      </c>
      <c r="AM698" s="72">
        <f>(AY698-Driver!$K$182)/(Driver!$L$182-Driver!$K$182)</f>
        <v>0.13857450314836678</v>
      </c>
      <c r="AN698" s="72">
        <f>(AZ698-Driver!$K$183)/(Driver!$L$183-Driver!$K$183)</f>
        <v>0.1647058823529412</v>
      </c>
      <c r="AO698" s="72"/>
      <c r="AP698" s="72"/>
      <c r="AQ698" s="72">
        <f>(BC698-Driver!$K$188)/(Driver!$L$188-Driver!$K$188)</f>
        <v>3.7172018190004166E-2</v>
      </c>
      <c r="AR698" s="72">
        <f>MIN((BD698-Driver!$K$189)/(Driver!$L$189-Driver!$K$189),100%)</f>
        <v>1.0110854562233753E-2</v>
      </c>
      <c r="AS698" s="72">
        <f>(BE698-Driver!$K$190)/(Driver!$L$190-Driver!$K$190)</f>
        <v>6.8058431973734443E-2</v>
      </c>
      <c r="AT698" s="72">
        <f>(BF698-Driver!$K$191)/(Driver!$L$191-Driver!$K$191)</f>
        <v>0.10343713520019242</v>
      </c>
      <c r="AU698" s="72">
        <f>(BG698-Driver!$K$192)/(Driver!$L$192-Driver!$K$192)</f>
        <v>0.14295576081672334</v>
      </c>
      <c r="AV698" s="70">
        <f t="shared" si="393"/>
        <v>3.0270655270655271</v>
      </c>
      <c r="AW698" s="70">
        <f t="shared" si="394"/>
        <v>18.624194942690938</v>
      </c>
      <c r="AX698" s="70">
        <f t="shared" si="395"/>
        <v>3.4433693796243596</v>
      </c>
      <c r="AY698" s="70">
        <f>IFERROR(Driver!$K$19/Data!BH698/Data!BI698*Data!BK698*Data!BL698,"")</f>
        <v>0.16965653849472265</v>
      </c>
      <c r="AZ698" s="70">
        <f t="shared" si="396"/>
        <v>15.011169024571856</v>
      </c>
      <c r="BA698" s="70"/>
      <c r="BB698" s="70"/>
      <c r="BC698" s="70">
        <f t="shared" si="397"/>
        <v>19.281384250833192</v>
      </c>
      <c r="BD698" s="70">
        <f t="shared" si="398"/>
        <v>2.6156155974812383</v>
      </c>
      <c r="BE698" s="70">
        <f t="shared" si="399"/>
        <v>6.8224679860021176E-2</v>
      </c>
      <c r="BF698" s="70">
        <f t="shared" si="400"/>
        <v>11.682497733859334</v>
      </c>
      <c r="BG698" s="70">
        <f t="shared" si="401"/>
        <v>0.54132170636849775</v>
      </c>
      <c r="BH698" s="67">
        <f>MAX((CE698-Driver!$F$200)/(Driver!$G$200-Driver!$F$200)*$BI$1,1)</f>
        <v>3.4433693796243596</v>
      </c>
      <c r="BI698" s="67">
        <f>MAX($BI$1*(BY698-Driver!$F$201)/(Driver!$G$201-Driver!$F$201),1)</f>
        <v>6.075949367088608</v>
      </c>
      <c r="BJ698" s="67">
        <f>(CB698-Driver!$F$206)/(Driver!$G$206-Driver!$F$206)*$BI$1</f>
        <v>5.5555555555555554</v>
      </c>
      <c r="BK698" s="67">
        <f>(CD698-Driver!$F$203)/(Driver!$G$203-Driver!$F$203)*$BI$1</f>
        <v>3.0275229357798166</v>
      </c>
      <c r="BL698" s="67">
        <f>MAX((CR698-Driver!$F$202)/(Driver!$G$202-Driver!$F$202)*$BI$1,1)</f>
        <v>5.8620689655172411</v>
      </c>
      <c r="BM698" s="67">
        <f>MAX((CH698-Driver!$F$204)/(Driver!$G$204-Driver!$F$204)*$BI$1,1)</f>
        <v>2.1794871794871797</v>
      </c>
      <c r="BN698" s="67">
        <f>(CI698-Driver!$F$205)/(Driver!$G$205-Driver!$F$205)*$BI$1</f>
        <v>2.4705882352941178</v>
      </c>
      <c r="BO698" s="67">
        <f>(CK698-Driver!$F$207)/(Driver!$G$207-Driver!$F$207)*$BI$1</f>
        <v>2.6163391933815925</v>
      </c>
      <c r="BP698" s="67">
        <f>(CM698-Driver!$F$208)/(Driver!$G$208-Driver!$F$208)*$BI$1</f>
        <v>2.4333333333333336</v>
      </c>
      <c r="BQ698" s="67">
        <f>(CL698-Driver!$F$209)/(Driver!$G$209-Driver!$F$209)*$BI$1</f>
        <v>4.0625</v>
      </c>
      <c r="BR698" s="28" t="s">
        <v>155</v>
      </c>
      <c r="BS698" s="8" t="s">
        <v>227</v>
      </c>
      <c r="BT698" s="9" t="s">
        <v>728</v>
      </c>
      <c r="BU698" s="10">
        <v>164</v>
      </c>
      <c r="BV698" s="9" t="s">
        <v>163</v>
      </c>
      <c r="BW698" s="10">
        <v>164</v>
      </c>
      <c r="BX698" s="10">
        <v>162.30000000000001</v>
      </c>
      <c r="BY698" s="10">
        <v>104</v>
      </c>
      <c r="BZ698" s="10">
        <v>136</v>
      </c>
      <c r="CA698" s="10">
        <v>129</v>
      </c>
      <c r="CB698" s="10">
        <v>99</v>
      </c>
      <c r="CC698" s="10">
        <v>120</v>
      </c>
      <c r="CD698" s="10">
        <v>16</v>
      </c>
      <c r="CE698" s="10">
        <v>1505</v>
      </c>
      <c r="CF698" s="10">
        <v>1.18</v>
      </c>
      <c r="CG698" s="10">
        <v>1776</v>
      </c>
      <c r="CH698" s="10">
        <v>152</v>
      </c>
      <c r="CI698" s="10">
        <v>75</v>
      </c>
      <c r="CJ698" s="10">
        <v>64</v>
      </c>
      <c r="CK698" s="10">
        <v>363</v>
      </c>
      <c r="CL698" s="10">
        <v>26</v>
      </c>
      <c r="CM698" s="10">
        <v>219</v>
      </c>
      <c r="CN698" s="10">
        <v>0.41099999999999998</v>
      </c>
      <c r="CO698" s="10">
        <v>151</v>
      </c>
      <c r="CP698" s="10">
        <v>114</v>
      </c>
      <c r="CQ698" s="10">
        <v>212</v>
      </c>
      <c r="CR698" s="10">
        <v>6</v>
      </c>
      <c r="CS698" s="10">
        <v>10.6</v>
      </c>
      <c r="CT698" s="9" t="s">
        <v>188</v>
      </c>
      <c r="CU698" s="9" t="s">
        <v>185</v>
      </c>
      <c r="CV698" s="10"/>
      <c r="CW698" s="10"/>
      <c r="CX698">
        <f>INDEX('Data_Price '!AG$2:AG$1266,MATCH(Data!$DN698,'Data_Price '!$AT$2:$AT$1266,0))</f>
        <v>0</v>
      </c>
      <c r="CY698">
        <f>INDEX('Data_Price '!AH$2:AH$1266,MATCH(Data!$DN698,'Data_Price '!$AT$2:$AT$1266,0))</f>
        <v>0</v>
      </c>
      <c r="CZ698">
        <f>INDEX('Data_Price '!AI$2:AI$1266,MATCH(Data!$DN698,'Data_Price '!$AT$2:$AT$1266,0))</f>
        <v>0</v>
      </c>
      <c r="DA698">
        <f>INDEX('Data_Price '!AJ$2:AJ$1266,MATCH(Data!$DN698,'Data_Price '!$AT$2:$AT$1266,0))</f>
        <v>0</v>
      </c>
      <c r="DB698">
        <f>INDEX('Data_Price '!AK$2:AK$1266,MATCH(Data!$DN698,'Data_Price '!$AT$2:$AT$1266,0))</f>
        <v>0</v>
      </c>
      <c r="DC698">
        <f>INDEX('Data_Price '!AL$2:AL$1266,MATCH(Data!$DN698,'Data_Price '!$AT$2:$AT$1266,0))</f>
        <v>0</v>
      </c>
      <c r="DD698">
        <f>INDEX('Data_Price '!AM$2:AM$1266,MATCH(Data!$DN698,'Data_Price '!$AT$2:$AT$1266,0))</f>
        <v>0</v>
      </c>
      <c r="DE698">
        <f>INDEX('Data_Price '!AN$2:AN$1266,MATCH(Data!$DN698,'Data_Price '!$AT$2:$AT$1266,0))</f>
        <v>0</v>
      </c>
      <c r="DF698">
        <f>INDEX('Data_Price '!AO$2:AO$1266,MATCH(Data!$DN698,'Data_Price '!$AT$2:$AT$1266,0))</f>
        <v>0</v>
      </c>
      <c r="DG698">
        <f>INDEX('Data_Price '!AP$2:AP$1266,MATCH(Data!$DN698,'Data_Price '!$AT$2:$AT$1266,0))</f>
        <v>0</v>
      </c>
      <c r="DH698">
        <f>INDEX('Data_Price '!AQ$2:AQ$1266,MATCH(Data!$DN698,'Data_Price '!$AT$2:$AT$1266,0))</f>
        <v>0</v>
      </c>
      <c r="DI698">
        <f>INDEX('Data_Price '!AR$2:AR$1266,MATCH(Data!$DN698,'Data_Price '!$AT$2:$AT$1266,0))</f>
        <v>0</v>
      </c>
      <c r="DJ698" s="89">
        <f t="shared" si="402"/>
        <v>0</v>
      </c>
      <c r="DK698" s="89">
        <f t="shared" si="403"/>
        <v>0</v>
      </c>
      <c r="DL698" s="89">
        <f t="shared" si="404"/>
        <v>0</v>
      </c>
      <c r="DM698" s="219" t="str">
        <f t="shared" si="405"/>
        <v>Le Grizzly 99 W</v>
      </c>
      <c r="DN698" s="89" t="str">
        <f t="shared" si="406"/>
        <v xml:space="preserve"> RaccoonLe Grizzly 99 W164 Women's</v>
      </c>
      <c r="DO698" s="221"/>
    </row>
    <row r="699" spans="2:119" ht="15.6" customHeight="1">
      <c r="B699" s="219" t="b">
        <f t="array" ref="B699">IF(OR(ISERROR(K699:P699)),FALSE,TRUE)</f>
        <v>1</v>
      </c>
      <c r="C699" s="43" t="b">
        <f>OR(BR699=Driver!$G$50,Data!BR476=Driver!$H$50)</f>
        <v>1</v>
      </c>
      <c r="D699" s="43" t="b">
        <f>OR(BV699=Driver!$G$51,BV699=Driver!$H$51)</f>
        <v>1</v>
      </c>
      <c r="E699" s="43" t="b">
        <f>AND(BX699&gt;Driver!$F$54,BX699&lt;Driver!$G$54)</f>
        <v>1</v>
      </c>
      <c r="F699" s="43" t="b">
        <f>CL699&gt;Driver!$F$56</f>
        <v>1</v>
      </c>
      <c r="G699" s="43" t="b">
        <f>AND(CB699&gt;Driver!$F$55,CB699&lt;Driver!$G$55)</f>
        <v>0</v>
      </c>
      <c r="H699" s="43" t="b">
        <f t="shared" si="370"/>
        <v>0</v>
      </c>
      <c r="I699" s="43">
        <f t="shared" si="371"/>
        <v>0</v>
      </c>
      <c r="J699" s="43" t="b">
        <f t="array" ref="J699">NOT(OR(($H$9:$H$1273=TRUE)*($I$9:$I$1273&gt;0)*($BT$9:$BT$1273=BT699)*($K$9:$K$1273&gt;K699)))</f>
        <v>1</v>
      </c>
      <c r="K699" s="72">
        <f t="shared" si="372"/>
        <v>0.78193266441967002</v>
      </c>
      <c r="L699" s="72">
        <f t="shared" si="373"/>
        <v>0.81829690688843804</v>
      </c>
      <c r="M699" s="72">
        <f t="shared" si="374"/>
        <v>0.745568421950902</v>
      </c>
      <c r="N699" s="72">
        <f t="shared" si="375"/>
        <v>0.63858778268481231</v>
      </c>
      <c r="O699" s="72">
        <f t="shared" si="376"/>
        <v>0.59880003466950715</v>
      </c>
      <c r="P699" s="72">
        <f t="shared" si="377"/>
        <v>0.99931744849838677</v>
      </c>
      <c r="Q699" s="72"/>
      <c r="R699" s="72"/>
      <c r="S699" s="72">
        <f t="shared" si="378"/>
        <v>0.43656701571987067</v>
      </c>
      <c r="T699" s="72">
        <f t="shared" si="379"/>
        <v>0.81932203587872454</v>
      </c>
      <c r="U699" s="72">
        <f t="shared" si="380"/>
        <v>0.51</v>
      </c>
      <c r="V699" s="72">
        <f t="shared" si="381"/>
        <v>0.49224117575782489</v>
      </c>
      <c r="W699" s="72">
        <f t="shared" si="382"/>
        <v>0.77740308370044053</v>
      </c>
      <c r="X699" s="72">
        <f t="shared" si="383"/>
        <v>0.18170309311156194</v>
      </c>
      <c r="Y699" s="72">
        <f t="shared" si="384"/>
        <v>0.25443157804909794</v>
      </c>
      <c r="Z699" s="72">
        <f t="shared" si="385"/>
        <v>0.36141221731518769</v>
      </c>
      <c r="AA699" s="72">
        <f t="shared" si="386"/>
        <v>0.40119996533049285</v>
      </c>
      <c r="AB699" s="72">
        <f t="shared" si="387"/>
        <v>6.8255150161322664E-4</v>
      </c>
      <c r="AC699" s="72"/>
      <c r="AD699" s="72"/>
      <c r="AE699" s="72">
        <f t="shared" si="388"/>
        <v>0.56343298428012933</v>
      </c>
      <c r="AF699" s="72">
        <f t="shared" si="389"/>
        <v>0.18067796412127551</v>
      </c>
      <c r="AG699" s="72">
        <f t="shared" si="390"/>
        <v>0.49</v>
      </c>
      <c r="AH699" s="72">
        <f t="shared" si="391"/>
        <v>0.50775882424217511</v>
      </c>
      <c r="AI699" s="72">
        <f t="shared" si="392"/>
        <v>0.22259691629955947</v>
      </c>
      <c r="AJ699" s="72">
        <f>(AV699-Driver!$K$179)/(Driver!$L$179-Driver!$K$179)</f>
        <v>7.251631617113849E-2</v>
      </c>
      <c r="AK699" s="72">
        <f>(AW699-Driver!$K$180)/(Driver!$L$180-Driver!$K$180)</f>
        <v>0.27277276134691808</v>
      </c>
      <c r="AL699" s="72">
        <f>(AX699-Driver!$K$181)/(Driver!$L$181-Driver!$K$181)</f>
        <v>0.46309998102826788</v>
      </c>
      <c r="AM699" s="72">
        <f>(AY699-Driver!$K$182)/(Driver!$L$182-Driver!$K$182)</f>
        <v>4.6185055766553539E-2</v>
      </c>
      <c r="AN699" s="72">
        <f>(AZ699-Driver!$K$183)/(Driver!$L$183-Driver!$K$183)</f>
        <v>0.25490196078431365</v>
      </c>
      <c r="AO699" s="72"/>
      <c r="AP699" s="72"/>
      <c r="AQ699" s="72">
        <f>(BC699-Driver!$K$188)/(Driver!$L$188-Driver!$K$188)</f>
        <v>5.6567015719870606E-2</v>
      </c>
      <c r="AR699" s="72">
        <f>MIN((BD699-Driver!$K$189)/(Driver!$L$189-Driver!$K$189),100%)</f>
        <v>0.36932203587872453</v>
      </c>
      <c r="AS699" s="72">
        <f>(BE699-Driver!$K$190)/(Driver!$L$190-Driver!$K$190)</f>
        <v>1</v>
      </c>
      <c r="AT699" s="72">
        <f>(BF699-Driver!$K$191)/(Driver!$L$191-Driver!$K$191)</f>
        <v>2.2411757578249271E-3</v>
      </c>
      <c r="AU699" s="72">
        <f>(BG699-Driver!$K$192)/(Driver!$L$192-Driver!$K$192)</f>
        <v>2.7403083700440527E-2</v>
      </c>
      <c r="AV699" s="70">
        <f t="shared" si="393"/>
        <v>1.5262515262515262</v>
      </c>
      <c r="AW699" s="70">
        <f t="shared" si="394"/>
        <v>28.45601522725973</v>
      </c>
      <c r="AX699" s="70">
        <f t="shared" si="395"/>
        <v>5.1678998292544112</v>
      </c>
      <c r="AY699" s="70">
        <f>IFERROR(Driver!$K$19/Data!BH699/Data!BI699*Data!BK699*Data!BL699,"")</f>
        <v>5.6544288548881966E-2</v>
      </c>
      <c r="AZ699" s="70">
        <f t="shared" si="396"/>
        <v>23.231571109456436</v>
      </c>
      <c r="BA699" s="70"/>
      <c r="BB699" s="70"/>
      <c r="BC699" s="70">
        <f t="shared" si="397"/>
        <v>29.341704301410285</v>
      </c>
      <c r="BD699" s="70">
        <f t="shared" si="398"/>
        <v>34.40516865944015</v>
      </c>
      <c r="BE699" s="70">
        <f t="shared" si="399"/>
        <v>1</v>
      </c>
      <c r="BF699" s="70">
        <f t="shared" si="400"/>
        <v>0.25312505669551338</v>
      </c>
      <c r="BG699" s="70">
        <f t="shared" si="401"/>
        <v>0.10376555616740088</v>
      </c>
      <c r="BH699" s="67">
        <f>MAX((CE699-Driver!$F$200)/(Driver!$G$200-Driver!$F$200)*$BI$1,1)</f>
        <v>5.1678998292544112</v>
      </c>
      <c r="BI699" s="67">
        <f>MAX($BI$1*(BY699-Driver!$F$201)/(Driver!$G$201-Driver!$F$201),1)</f>
        <v>8.2278481012658222</v>
      </c>
      <c r="BJ699" s="67">
        <f>(CB699-Driver!$F$206)/(Driver!$G$206-Driver!$F$206)*$BI$1</f>
        <v>1.9047619047619047</v>
      </c>
      <c r="BK699" s="67">
        <f>(CD699-Driver!$F$203)/(Driver!$G$203-Driver!$F$203)*$BI$1</f>
        <v>1.7431192660550456</v>
      </c>
      <c r="BL699" s="67">
        <f>MAX((CR699-Driver!$F$202)/(Driver!$G$202-Driver!$F$202)*$BI$1,1)</f>
        <v>6.8965517241379315</v>
      </c>
      <c r="BM699" s="67">
        <f>MAX((CH699-Driver!$F$204)/(Driver!$G$204-Driver!$F$204)*$BI$1,1)</f>
        <v>3.2051282051282053</v>
      </c>
      <c r="BN699" s="67">
        <f>(CI699-Driver!$F$205)/(Driver!$G$205-Driver!$F$205)*$BI$1</f>
        <v>2.8235294117647056</v>
      </c>
      <c r="BO699" s="67">
        <f>(CK699-Driver!$F$207)/(Driver!$G$207-Driver!$F$207)*$BI$1</f>
        <v>0.28955532574974147</v>
      </c>
      <c r="BP699" s="67">
        <f>(CM699-Driver!$F$208)/(Driver!$G$208-Driver!$F$208)*$BI$1</f>
        <v>0.8</v>
      </c>
      <c r="BQ699" s="67">
        <f>(CL699-Driver!$F$209)/(Driver!$G$209-Driver!$F$209)*$BI$1</f>
        <v>1.71875</v>
      </c>
      <c r="BR699" s="28" t="s">
        <v>155</v>
      </c>
      <c r="BS699" s="8" t="s">
        <v>164</v>
      </c>
      <c r="BT699" s="9" t="s">
        <v>693</v>
      </c>
      <c r="BU699" s="10">
        <v>160</v>
      </c>
      <c r="BV699" s="9" t="s">
        <v>158</v>
      </c>
      <c r="BW699" s="10">
        <v>160</v>
      </c>
      <c r="BX699" s="10">
        <v>158.5</v>
      </c>
      <c r="BY699" s="10">
        <v>138</v>
      </c>
      <c r="BZ699" s="10">
        <v>144</v>
      </c>
      <c r="CA699" s="10">
        <v>125</v>
      </c>
      <c r="CB699" s="10">
        <v>76</v>
      </c>
      <c r="CC699" s="10">
        <v>105</v>
      </c>
      <c r="CD699" s="10">
        <v>13.2</v>
      </c>
      <c r="CE699" s="10">
        <v>1808</v>
      </c>
      <c r="CF699" s="10">
        <v>0.8</v>
      </c>
      <c r="CG699" s="10">
        <v>1443</v>
      </c>
      <c r="CH699" s="10">
        <v>176</v>
      </c>
      <c r="CI699" s="10">
        <v>81</v>
      </c>
      <c r="CJ699" s="10">
        <v>29</v>
      </c>
      <c r="CK699" s="10">
        <v>138</v>
      </c>
      <c r="CL699" s="10">
        <v>11</v>
      </c>
      <c r="CM699" s="10">
        <v>72</v>
      </c>
      <c r="CN699" s="10">
        <v>0.36899999999999999</v>
      </c>
      <c r="CO699" s="10">
        <v>86</v>
      </c>
      <c r="CP699" s="10">
        <v>60</v>
      </c>
      <c r="CQ699" s="10">
        <v>52</v>
      </c>
      <c r="CR699" s="10">
        <v>9</v>
      </c>
      <c r="CS699" s="10">
        <v>8.9</v>
      </c>
      <c r="CT699" s="9" t="s">
        <v>349</v>
      </c>
      <c r="CU699" s="10"/>
      <c r="CV699" s="10"/>
      <c r="CW699" s="10"/>
      <c r="CX699" t="str">
        <f>INDEX('Data_Price '!AG$2:AG$1266,MATCH(Data!$DN699,'Data_Price '!$AT$2:$AT$1266,0))</f>
        <v>Elan Wingman 78 TI PS ELS 11.0 160cm</v>
      </c>
      <c r="CY699" t="str">
        <f>INDEX('Data_Price '!AH$2:AH$1266,MATCH(Data!$DN699,'Data_Price '!$AT$2:$AT$1266,0))</f>
        <v>Sundance Ski and Board Shop</v>
      </c>
      <c r="CZ699">
        <f>INDEX('Data_Price '!AI$2:AI$1266,MATCH(Data!$DN699,'Data_Price '!$AT$2:$AT$1266,0))</f>
        <v>561.20000000000005</v>
      </c>
      <c r="DA699" t="str">
        <f>INDEX('Data_Price '!AJ$2:AJ$1266,MATCH(Data!$DN699,'Data_Price '!$AT$2:$AT$1266,0))</f>
        <v>https://tinyurl.com/y72m5njw</v>
      </c>
      <c r="DB699" t="str">
        <f>INDEX('Data_Price '!AK$2:AK$1266,MATCH(Data!$DN699,'Data_Price '!$AT$2:$AT$1266,0))</f>
        <v>Elan Wingman 78 Ti System Skis w/ ELS 11 GW Bindings</v>
      </c>
      <c r="DC699" t="str">
        <f>INDEX('Data_Price '!AL$2:AL$1266,MATCH(Data!$DN699,'Data_Price '!$AT$2:$AT$1266,0))</f>
        <v>The-House.com</v>
      </c>
      <c r="DD699">
        <f>INDEX('Data_Price '!AM$2:AM$1266,MATCH(Data!$DN699,'Data_Price '!$AT$2:$AT$1266,0))</f>
        <v>599.99</v>
      </c>
      <c r="DE699" t="str">
        <f>INDEX('Data_Price '!AN$2:AN$1266,MATCH(Data!$DN699,'Data_Price '!$AT$2:$AT$1266,0))</f>
        <v>https://tinyurl.com/y87d3j7l</v>
      </c>
      <c r="DF699" t="str">
        <f>INDEX('Data_Price '!AO$2:AO$1266,MATCH(Data!$DN699,'Data_Price '!$AT$2:$AT$1266,0))</f>
        <v>Elan Wingman 82 Ti Skis 2023 160</v>
      </c>
      <c r="DG699" t="str">
        <f>INDEX('Data_Price '!AP$2:AP$1266,MATCH(Data!$DN699,'Data_Price '!$AT$2:$AT$1266,0))</f>
        <v>Ski Depot RaceSkis.com</v>
      </c>
      <c r="DH699">
        <f>INDEX('Data_Price '!AQ$2:AQ$1266,MATCH(Data!$DN699,'Data_Price '!$AT$2:$AT$1266,0))</f>
        <v>399.99</v>
      </c>
      <c r="DI699" t="str">
        <f>INDEX('Data_Price '!AR$2:AR$1266,MATCH(Data!$DN699,'Data_Price '!$AT$2:$AT$1266,0))</f>
        <v>https://tinyurl.com/yahn9xkv</v>
      </c>
      <c r="DJ699" s="89" t="str">
        <f t="shared" si="402"/>
        <v>https://tinyurl.com/y72m5njw</v>
      </c>
      <c r="DK699" s="89" t="str">
        <f t="shared" si="403"/>
        <v>https://tinyurl.com/y87d3j7l</v>
      </c>
      <c r="DL699" s="89" t="str">
        <f t="shared" si="404"/>
        <v>https://tinyurl.com/yahn9xkv</v>
      </c>
      <c r="DM699" s="219" t="str">
        <f t="shared" si="405"/>
        <v>Wingman 78 Ti</v>
      </c>
      <c r="DN699" s="89" t="str">
        <f t="shared" si="406"/>
        <v xml:space="preserve"> ElanWingman 78 Ti160 Unisex</v>
      </c>
      <c r="DO699" s="221"/>
    </row>
    <row r="700" spans="2:119" ht="15.6" customHeight="1">
      <c r="B700" s="219" t="b">
        <f t="array" ref="B700">IF(OR(ISERROR(K700:P700)),FALSE,TRUE)</f>
        <v>1</v>
      </c>
      <c r="C700" s="43" t="b">
        <f>OR(BR700=Driver!$G$50,Data!BR215=Driver!$H$50)</f>
        <v>1</v>
      </c>
      <c r="D700" s="43" t="b">
        <f>OR(BV700=Driver!$G$51,BV700=Driver!$H$51)</f>
        <v>1</v>
      </c>
      <c r="E700" s="43" t="b">
        <f>AND(BX700&gt;Driver!$F$54,BX700&lt;Driver!$G$54)</f>
        <v>0</v>
      </c>
      <c r="F700" s="43" t="b">
        <f>CL700&gt;Driver!$F$56</f>
        <v>1</v>
      </c>
      <c r="G700" s="43" t="b">
        <f>AND(CB700&gt;Driver!$F$55,CB700&lt;Driver!$G$55)</f>
        <v>0</v>
      </c>
      <c r="H700" s="43" t="b">
        <f t="shared" si="370"/>
        <v>0</v>
      </c>
      <c r="I700" s="43">
        <f t="shared" si="371"/>
        <v>0</v>
      </c>
      <c r="J700" s="43" t="b">
        <f t="array" ref="J700">NOT(OR(($H$9:$H$1273=TRUE)*($I$9:$I$1273&gt;0)*($BT$9:$BT$1273=BT700)*($K$9:$K$1273&gt;K700)))</f>
        <v>1</v>
      </c>
      <c r="K700" s="72">
        <f t="shared" si="372"/>
        <v>0.80649600506700225</v>
      </c>
      <c r="L700" s="72">
        <f t="shared" si="373"/>
        <v>0.83844032804708757</v>
      </c>
      <c r="M700" s="72">
        <f t="shared" si="374"/>
        <v>0.77455168208691683</v>
      </c>
      <c r="N700" s="72">
        <f t="shared" si="375"/>
        <v>0.74862382897583868</v>
      </c>
      <c r="O700" s="72">
        <f t="shared" si="376"/>
        <v>0.65694670499898489</v>
      </c>
      <c r="P700" s="72">
        <f t="shared" si="377"/>
        <v>0.91808451228592702</v>
      </c>
      <c r="Q700" s="72"/>
      <c r="R700" s="72"/>
      <c r="S700" s="72">
        <f t="shared" si="378"/>
        <v>0.43507434826790747</v>
      </c>
      <c r="T700" s="72">
        <f t="shared" si="379"/>
        <v>0.46393286862079552</v>
      </c>
      <c r="U700" s="72">
        <f t="shared" si="380"/>
        <v>0.55770599175964486</v>
      </c>
      <c r="V700" s="72">
        <f t="shared" si="381"/>
        <v>0.53521887024563419</v>
      </c>
      <c r="W700" s="72">
        <f t="shared" si="382"/>
        <v>0.9208358014453264</v>
      </c>
      <c r="X700" s="72">
        <f t="shared" si="383"/>
        <v>0.16155967195291238</v>
      </c>
      <c r="Y700" s="72">
        <f t="shared" si="384"/>
        <v>0.22544831791308317</v>
      </c>
      <c r="Z700" s="72">
        <f t="shared" si="385"/>
        <v>0.25137617102416138</v>
      </c>
      <c r="AA700" s="72">
        <f t="shared" si="386"/>
        <v>0.34305329500101511</v>
      </c>
      <c r="AB700" s="72">
        <f t="shared" si="387"/>
        <v>8.1915487714072976E-2</v>
      </c>
      <c r="AC700" s="72"/>
      <c r="AD700" s="72"/>
      <c r="AE700" s="72">
        <f t="shared" si="388"/>
        <v>0.56492565173209253</v>
      </c>
      <c r="AF700" s="72">
        <f t="shared" si="389"/>
        <v>0.53606713137920448</v>
      </c>
      <c r="AG700" s="72">
        <f t="shared" si="390"/>
        <v>0.44229400824035514</v>
      </c>
      <c r="AH700" s="72">
        <f t="shared" si="391"/>
        <v>0.46478112975436586</v>
      </c>
      <c r="AI700" s="72">
        <f t="shared" si="392"/>
        <v>7.9164198554673659E-2</v>
      </c>
      <c r="AJ700" s="72">
        <f>(AV700-Driver!$K$179)/(Driver!$L$179-Driver!$K$179)</f>
        <v>9.2659737329788064E-2</v>
      </c>
      <c r="AK700" s="72">
        <f>(AW700-Driver!$K$180)/(Driver!$L$180-Driver!$K$180)</f>
        <v>0.1860996971827561</v>
      </c>
      <c r="AL700" s="72">
        <f>(AX700-Driver!$K$181)/(Driver!$L$181-Driver!$K$181)</f>
        <v>0.35306393473724157</v>
      </c>
      <c r="AM700" s="72">
        <f>(AY700-Driver!$K$182)/(Driver!$L$182-Driver!$K$182)</f>
        <v>0.10433172609603125</v>
      </c>
      <c r="AN700" s="72">
        <f>(AZ700-Driver!$K$183)/(Driver!$L$183-Driver!$K$183)</f>
        <v>0.17230392156862745</v>
      </c>
      <c r="AO700" s="72"/>
      <c r="AP700" s="72"/>
      <c r="AQ700" s="72">
        <f>(BC700-Driver!$K$188)/(Driver!$L$188-Driver!$K$188)</f>
        <v>5.5074348267907497E-2</v>
      </c>
      <c r="AR700" s="72">
        <f>MIN((BD700-Driver!$K$189)/(Driver!$L$189-Driver!$K$189),100%)</f>
        <v>1.3932868620795607E-2</v>
      </c>
      <c r="AS700" s="72">
        <f>(BE700-Driver!$K$190)/(Driver!$L$190-Driver!$K$190)</f>
        <v>6.7705991759644882E-2</v>
      </c>
      <c r="AT700" s="72">
        <f>(BF700-Driver!$K$191)/(Driver!$L$191-Driver!$K$191)</f>
        <v>4.5218870245634125E-2</v>
      </c>
      <c r="AU700" s="72">
        <f>(BG700-Driver!$K$192)/(Driver!$L$192-Driver!$K$192)</f>
        <v>0.17083580144532634</v>
      </c>
      <c r="AV700" s="70">
        <f t="shared" si="393"/>
        <v>1.9502102835436166</v>
      </c>
      <c r="AW700" s="70">
        <f t="shared" si="394"/>
        <v>20.008957122986082</v>
      </c>
      <c r="AX700" s="70">
        <f t="shared" si="395"/>
        <v>4.1775754126351741</v>
      </c>
      <c r="AY700" s="70">
        <f>IFERROR(Driver!$K$19/Data!BH700/Data!BI700*Data!BK700*Data!BL700,"")</f>
        <v>0.12773316232410251</v>
      </c>
      <c r="AZ700" s="70">
        <f t="shared" si="396"/>
        <v>15.703648548026806</v>
      </c>
      <c r="BA700" s="70"/>
      <c r="BB700" s="70"/>
      <c r="BC700" s="70">
        <f t="shared" si="397"/>
        <v>28.567447317221244</v>
      </c>
      <c r="BD700" s="70">
        <f t="shared" si="398"/>
        <v>2.9538570694557831</v>
      </c>
      <c r="BE700" s="70">
        <f t="shared" si="399"/>
        <v>6.7872302517298935E-2</v>
      </c>
      <c r="BF700" s="70">
        <f t="shared" si="400"/>
        <v>5.1071537137014333</v>
      </c>
      <c r="BG700" s="70">
        <f t="shared" si="401"/>
        <v>0.64689332573154834</v>
      </c>
      <c r="BH700" s="67">
        <f>MAX((CE700-Driver!$F$200)/(Driver!$G$200-Driver!$F$200)*$BI$1,1)</f>
        <v>4.1775754126351741</v>
      </c>
      <c r="BI700" s="67">
        <f>MAX($BI$1*(BY700-Driver!$F$201)/(Driver!$G$201-Driver!$F$201),1)</f>
        <v>7.0253164556962027</v>
      </c>
      <c r="BJ700" s="67">
        <f>(CB700-Driver!$F$206)/(Driver!$G$206-Driver!$F$206)*$BI$1</f>
        <v>3.9682539682539679</v>
      </c>
      <c r="BK700" s="67">
        <f>(CD700-Driver!$F$203)/(Driver!$G$203-Driver!$F$203)*$BI$1</f>
        <v>3.623853211009175</v>
      </c>
      <c r="BL700" s="67">
        <f>MAX((CR700-Driver!$F$202)/(Driver!$G$202-Driver!$F$202)*$BI$1,1)</f>
        <v>5.1724137931034484</v>
      </c>
      <c r="BM700" s="67">
        <f>MAX((CH700-Driver!$F$204)/(Driver!$G$204-Driver!$F$204)*$BI$1,1)</f>
        <v>1.9658119658119657</v>
      </c>
      <c r="BN700" s="67">
        <f>(CI700-Driver!$F$205)/(Driver!$G$205-Driver!$F$205)*$BI$1</f>
        <v>2.2352941176470589</v>
      </c>
      <c r="BO700" s="67">
        <f>(CK700-Driver!$F$207)/(Driver!$G$207-Driver!$F$207)*$BI$1</f>
        <v>2.1199586349534645</v>
      </c>
      <c r="BP700" s="67">
        <f>(CM700-Driver!$F$208)/(Driver!$G$208-Driver!$F$208)*$BI$1</f>
        <v>2.2000000000000002</v>
      </c>
      <c r="BQ700" s="67">
        <f>(CL700-Driver!$F$209)/(Driver!$G$209-Driver!$F$209)*$BI$1</f>
        <v>5.3125</v>
      </c>
      <c r="BR700" s="28" t="s">
        <v>155</v>
      </c>
      <c r="BS700" s="8" t="s">
        <v>237</v>
      </c>
      <c r="BT700" s="9" t="s">
        <v>604</v>
      </c>
      <c r="BU700" s="10">
        <v>171.1</v>
      </c>
      <c r="BV700" s="9" t="s">
        <v>158</v>
      </c>
      <c r="BW700" s="10">
        <v>171.1</v>
      </c>
      <c r="BX700" s="10">
        <v>169.9</v>
      </c>
      <c r="BY700" s="10">
        <v>119</v>
      </c>
      <c r="BZ700" s="10">
        <v>137</v>
      </c>
      <c r="CA700" s="10">
        <v>118</v>
      </c>
      <c r="CB700" s="10">
        <v>89</v>
      </c>
      <c r="CC700" s="10">
        <v>110</v>
      </c>
      <c r="CD700" s="10">
        <v>17.3</v>
      </c>
      <c r="CE700" s="10">
        <v>1634</v>
      </c>
      <c r="CF700" s="10">
        <v>1.04</v>
      </c>
      <c r="CG700" s="10">
        <v>1703</v>
      </c>
      <c r="CH700" s="10">
        <v>147</v>
      </c>
      <c r="CI700" s="10">
        <v>71</v>
      </c>
      <c r="CJ700" s="10">
        <v>41</v>
      </c>
      <c r="CK700" s="10">
        <v>315</v>
      </c>
      <c r="CL700" s="10">
        <v>34</v>
      </c>
      <c r="CM700" s="10">
        <v>198</v>
      </c>
      <c r="CN700" s="10">
        <v>0.81899999999999995</v>
      </c>
      <c r="CO700" s="10">
        <v>207</v>
      </c>
      <c r="CP700" s="10">
        <v>120</v>
      </c>
      <c r="CQ700" s="10">
        <v>108</v>
      </c>
      <c r="CR700" s="10">
        <v>4</v>
      </c>
      <c r="CS700" s="10">
        <v>6.5</v>
      </c>
      <c r="CT700" s="9" t="s">
        <v>188</v>
      </c>
      <c r="CU700" s="9" t="s">
        <v>184</v>
      </c>
      <c r="CV700" s="10"/>
      <c r="CW700" s="10"/>
      <c r="CX700" t="str">
        <f>INDEX('Data_Price '!AG$2:AG$1266,MATCH(Data!$DN700,'Data_Price '!$AT$2:$AT$1266,0))</f>
        <v>Black Crows Women's Captis Birdie Skis 2022</v>
      </c>
      <c r="CY700" t="str">
        <f>INDEX('Data_Price '!AH$2:AH$1266,MATCH(Data!$DN700,'Data_Price '!$AT$2:$AT$1266,0))</f>
        <v>Teton Wasatch Ski Co.</v>
      </c>
      <c r="CZ700">
        <f>INDEX('Data_Price '!AI$2:AI$1266,MATCH(Data!$DN700,'Data_Price '!$AT$2:$AT$1266,0))</f>
        <v>455</v>
      </c>
      <c r="DA700" t="str">
        <f>INDEX('Data_Price '!AJ$2:AJ$1266,MATCH(Data!$DN700,'Data_Price '!$AT$2:$AT$1266,0))</f>
        <v>https://tinyurl.com/y97pqjbd</v>
      </c>
      <c r="DB700" t="str">
        <f>INDEX('Data_Price '!AK$2:AK$1266,MATCH(Data!$DN700,'Data_Price '!$AT$2:$AT$1266,0))</f>
        <v>Black Crows Captis Skis</v>
      </c>
      <c r="DC700" t="str">
        <f>INDEX('Data_Price '!AL$2:AL$1266,MATCH(Data!$DN700,'Data_Price '!$AT$2:$AT$1266,0))</f>
        <v>Powder7 Ski Shop</v>
      </c>
      <c r="DD700">
        <f>INDEX('Data_Price '!AM$2:AM$1266,MATCH(Data!$DN700,'Data_Price '!$AT$2:$AT$1266,0))</f>
        <v>455.96</v>
      </c>
      <c r="DE700" t="str">
        <f>INDEX('Data_Price '!AN$2:AN$1266,MATCH(Data!$DN700,'Data_Price '!$AT$2:$AT$1266,0))</f>
        <v>https://tinyurl.com/yccvhal7</v>
      </c>
      <c r="DF700" t="str">
        <f>INDEX('Data_Price '!AO$2:AO$1266,MATCH(Data!$DN700,'Data_Price '!$AT$2:$AT$1266,0))</f>
        <v>Black Crows Women's Captis Birdie Skis 2022</v>
      </c>
      <c r="DG700" t="str">
        <f>INDEX('Data_Price '!AP$2:AP$1266,MATCH(Data!$DN700,'Data_Price '!$AT$2:$AT$1266,0))</f>
        <v>evo.com</v>
      </c>
      <c r="DH700">
        <f>INDEX('Data_Price '!AQ$2:AQ$1266,MATCH(Data!$DN700,'Data_Price '!$AT$2:$AT$1266,0))</f>
        <v>455.96</v>
      </c>
      <c r="DI700" t="str">
        <f>INDEX('Data_Price '!AR$2:AR$1266,MATCH(Data!$DN700,'Data_Price '!$AT$2:$AT$1266,0))</f>
        <v>https://tinyurl.com/y77p5zoo</v>
      </c>
      <c r="DJ700" s="89" t="str">
        <f t="shared" si="402"/>
        <v>https://tinyurl.com/y97pqjbd</v>
      </c>
      <c r="DK700" s="89" t="str">
        <f t="shared" si="403"/>
        <v>https://tinyurl.com/yccvhal7</v>
      </c>
      <c r="DL700" s="89" t="str">
        <f t="shared" si="404"/>
        <v>https://tinyurl.com/y77p5zoo</v>
      </c>
      <c r="DM700" s="219" t="str">
        <f t="shared" si="405"/>
        <v>Captis</v>
      </c>
      <c r="DN700" s="89" t="str">
        <f t="shared" si="406"/>
        <v xml:space="preserve"> Black CrowsCaptis171.1 Unisex</v>
      </c>
      <c r="DO700" s="221" t="s">
        <v>605</v>
      </c>
    </row>
    <row r="701" spans="2:119" ht="15.6" customHeight="1">
      <c r="B701" s="219" t="b">
        <f t="array" ref="B701">IF(OR(ISERROR(K701:P701)),FALSE,TRUE)</f>
        <v>1</v>
      </c>
      <c r="C701" s="43" t="b">
        <f>OR(BR701=Driver!$G$50,Data!BR833=Driver!$H$50)</f>
        <v>1</v>
      </c>
      <c r="D701" s="43" t="b">
        <f>OR(BV701=Driver!$G$51,BV701=Driver!$H$51)</f>
        <v>1</v>
      </c>
      <c r="E701" s="43" t="b">
        <f>AND(BX701&gt;Driver!$F$54,BX701&lt;Driver!$G$54)</f>
        <v>0</v>
      </c>
      <c r="F701" s="43" t="b">
        <f>CL701&gt;Driver!$F$56</f>
        <v>1</v>
      </c>
      <c r="G701" s="43" t="b">
        <f>AND(CB701&gt;Driver!$F$55,CB701&lt;Driver!$G$55)</f>
        <v>0</v>
      </c>
      <c r="H701" s="43" t="b">
        <f t="shared" si="370"/>
        <v>0</v>
      </c>
      <c r="I701" s="43">
        <f t="shared" si="371"/>
        <v>0</v>
      </c>
      <c r="J701" s="43" t="b">
        <f t="array" ref="J701">NOT(OR(($H$9:$H$1273=TRUE)*($I$9:$I$1273&gt;0)*($BT$9:$BT$1273=BT701)*($K$9:$K$1273&gt;K701)))</f>
        <v>1</v>
      </c>
      <c r="K701" s="72">
        <f t="shared" si="372"/>
        <v>0.80110692565606634</v>
      </c>
      <c r="L701" s="72">
        <f t="shared" si="373"/>
        <v>0.93432301276225971</v>
      </c>
      <c r="M701" s="72">
        <f t="shared" si="374"/>
        <v>0.66789083854987308</v>
      </c>
      <c r="N701" s="72">
        <f t="shared" si="375"/>
        <v>0.52855173639378594</v>
      </c>
      <c r="O701" s="72">
        <f t="shared" si="376"/>
        <v>0.64410398435221783</v>
      </c>
      <c r="P701" s="72">
        <f t="shared" si="377"/>
        <v>0.83101679490361546</v>
      </c>
      <c r="Q701" s="72"/>
      <c r="R701" s="72"/>
      <c r="S701" s="72">
        <f t="shared" si="378"/>
        <v>0.52380456065386904</v>
      </c>
      <c r="T701" s="72">
        <f t="shared" si="379"/>
        <v>0.51413654682704635</v>
      </c>
      <c r="U701" s="72">
        <f t="shared" si="380"/>
        <v>0.64649098207005573</v>
      </c>
      <c r="V701" s="72">
        <f t="shared" si="381"/>
        <v>0.50545593452552784</v>
      </c>
      <c r="W701" s="72">
        <f t="shared" si="382"/>
        <v>0.8263863216266174</v>
      </c>
      <c r="X701" s="72">
        <f t="shared" si="383"/>
        <v>6.5676987237740347E-2</v>
      </c>
      <c r="Y701" s="72">
        <f t="shared" si="384"/>
        <v>0.33210916145012692</v>
      </c>
      <c r="Z701" s="72">
        <f t="shared" si="385"/>
        <v>0.47144826360621406</v>
      </c>
      <c r="AA701" s="72">
        <f t="shared" si="386"/>
        <v>0.35589601564778217</v>
      </c>
      <c r="AB701" s="72">
        <f t="shared" si="387"/>
        <v>0.16898320509638454</v>
      </c>
      <c r="AC701" s="72"/>
      <c r="AD701" s="72"/>
      <c r="AE701" s="72">
        <f t="shared" si="388"/>
        <v>0.47619543934613096</v>
      </c>
      <c r="AF701" s="72">
        <f t="shared" si="389"/>
        <v>0.48586345317295365</v>
      </c>
      <c r="AG701" s="72">
        <f t="shared" si="390"/>
        <v>0.35350901792994427</v>
      </c>
      <c r="AH701" s="72">
        <f t="shared" si="391"/>
        <v>0.49454406547447211</v>
      </c>
      <c r="AI701" s="72">
        <f t="shared" si="392"/>
        <v>0.17361367837338262</v>
      </c>
      <c r="AJ701" s="72">
        <f>(AV701-Driver!$K$179)/(Driver!$L$179-Driver!$K$179)</f>
        <v>0.18854242204496008</v>
      </c>
      <c r="AK701" s="72">
        <f>(AW701-Driver!$K$180)/(Driver!$L$180-Driver!$K$180)</f>
        <v>0.44089070939421343</v>
      </c>
      <c r="AL701" s="72">
        <f>(AX701-Driver!$K$181)/(Driver!$L$181-Driver!$K$181)</f>
        <v>0.57313602731929425</v>
      </c>
      <c r="AM701" s="72">
        <f>(AY701-Driver!$K$182)/(Driver!$L$182-Driver!$K$182)</f>
        <v>9.1489005449264221E-2</v>
      </c>
      <c r="AN701" s="72">
        <f>(AZ701-Driver!$K$183)/(Driver!$L$183-Driver!$K$183)</f>
        <v>0.42320261437908496</v>
      </c>
      <c r="AO701" s="72"/>
      <c r="AP701" s="72"/>
      <c r="AQ701" s="72">
        <f>(BC701-Driver!$K$188)/(Driver!$L$188-Driver!$K$188)</f>
        <v>0.14380456065386901</v>
      </c>
      <c r="AR701" s="72">
        <f>MIN((BD701-Driver!$K$189)/(Driver!$L$189-Driver!$K$189),100%)</f>
        <v>6.413654682704642E-2</v>
      </c>
      <c r="AS701" s="72">
        <f>(BE701-Driver!$K$190)/(Driver!$L$190-Driver!$K$190)</f>
        <v>0.15649098207005574</v>
      </c>
      <c r="AT701" s="72">
        <f>(BF701-Driver!$K$191)/(Driver!$L$191-Driver!$K$191)</f>
        <v>1.5455934525527879E-2</v>
      </c>
      <c r="AU701" s="72">
        <f>(BG701-Driver!$K$192)/(Driver!$L$192-Driver!$K$192)</f>
        <v>7.6386321626617376E-2</v>
      </c>
      <c r="AV701" s="70">
        <f t="shared" si="393"/>
        <v>3.9682539682539679</v>
      </c>
      <c r="AW701" s="70">
        <f t="shared" si="394"/>
        <v>44.840598941030791</v>
      </c>
      <c r="AX701" s="70">
        <f t="shared" si="395"/>
        <v>6.1582242458736483</v>
      </c>
      <c r="AY701" s="70">
        <f>IFERROR(Driver!$K$19/Data!BH701/Data!BI701*Data!BK701*Data!BL701,"")</f>
        <v>0.11200984035445861</v>
      </c>
      <c r="AZ701" s="70">
        <f t="shared" si="396"/>
        <v>38.570364854802683</v>
      </c>
      <c r="BA701" s="70"/>
      <c r="BB701" s="70"/>
      <c r="BC701" s="70">
        <f t="shared" si="397"/>
        <v>74.592425324248595</v>
      </c>
      <c r="BD701" s="70">
        <f t="shared" si="398"/>
        <v>7.3967936350549808</v>
      </c>
      <c r="BE701" s="70">
        <f t="shared" si="399"/>
        <v>0.15664145458475603</v>
      </c>
      <c r="BF701" s="70">
        <f t="shared" si="400"/>
        <v>1.7456392205729012</v>
      </c>
      <c r="BG701" s="70">
        <f t="shared" si="401"/>
        <v>0.28924734288354903</v>
      </c>
      <c r="BH701" s="67">
        <f>MAX((CE701-Driver!$F$200)/(Driver!$G$200-Driver!$F$200)*$BI$1,1)</f>
        <v>6.1582242458736483</v>
      </c>
      <c r="BI701" s="67">
        <f>MAX($BI$1*(BY701-Driver!$F$201)/(Driver!$G$201-Driver!$F$201),1)</f>
        <v>8.8607594936708853</v>
      </c>
      <c r="BJ701" s="67">
        <f>(CB701-Driver!$F$206)/(Driver!$G$206-Driver!$F$206)*$BI$1</f>
        <v>4.7619047619047619</v>
      </c>
      <c r="BK701" s="67">
        <f>(CD701-Driver!$F$203)/(Driver!$G$203-Driver!$F$203)*$BI$1</f>
        <v>4.2201834862385326</v>
      </c>
      <c r="BL701" s="67">
        <f>MAX((CR701-Driver!$F$202)/(Driver!$G$202-Driver!$F$202)*$BI$1,1)</f>
        <v>7.2413793103448274</v>
      </c>
      <c r="BM701" s="67">
        <f>MAX((CH701-Driver!$F$204)/(Driver!$G$204-Driver!$F$204)*$BI$1,1)</f>
        <v>3.333333333333333</v>
      </c>
      <c r="BN701" s="67">
        <f>(CI701-Driver!$F$205)/(Driver!$G$205-Driver!$F$205)*$BI$1</f>
        <v>4.3529411764705888</v>
      </c>
      <c r="BO701" s="67">
        <f>(CK701-Driver!$F$207)/(Driver!$G$207-Driver!$F$207)*$BI$1</f>
        <v>0.70320579110651493</v>
      </c>
      <c r="BP701" s="67">
        <f>(CM701-Driver!$F$208)/(Driver!$G$208-Driver!$F$208)*$BI$1</f>
        <v>2.2000000000000002</v>
      </c>
      <c r="BQ701" s="67">
        <f>(CL701-Driver!$F$209)/(Driver!$G$209-Driver!$F$209)*$BI$1</f>
        <v>5.9375</v>
      </c>
      <c r="BR701" s="28" t="s">
        <v>155</v>
      </c>
      <c r="BS701" s="8" t="s">
        <v>208</v>
      </c>
      <c r="BT701" s="9" t="s">
        <v>637</v>
      </c>
      <c r="BU701" s="10">
        <v>185</v>
      </c>
      <c r="BV701" s="9" t="s">
        <v>158</v>
      </c>
      <c r="BW701" s="10">
        <v>185</v>
      </c>
      <c r="BX701" s="10">
        <v>185.3</v>
      </c>
      <c r="BY701" s="10">
        <v>148</v>
      </c>
      <c r="BZ701" s="10">
        <v>151</v>
      </c>
      <c r="CA701" s="10">
        <v>128</v>
      </c>
      <c r="CB701" s="10">
        <v>94</v>
      </c>
      <c r="CC701" s="10">
        <v>119</v>
      </c>
      <c r="CD701" s="10">
        <v>18.600000000000001</v>
      </c>
      <c r="CE701" s="10">
        <v>1982</v>
      </c>
      <c r="CF701" s="10">
        <v>0.99</v>
      </c>
      <c r="CG701" s="10">
        <v>1954</v>
      </c>
      <c r="CH701" s="10">
        <v>179</v>
      </c>
      <c r="CI701" s="10">
        <v>107</v>
      </c>
      <c r="CJ701" s="10">
        <v>37</v>
      </c>
      <c r="CK701" s="10">
        <v>178</v>
      </c>
      <c r="CL701" s="10">
        <v>38</v>
      </c>
      <c r="CM701" s="10">
        <v>198</v>
      </c>
      <c r="CN701" s="10">
        <v>1.026</v>
      </c>
      <c r="CO701" s="10">
        <v>164</v>
      </c>
      <c r="CP701" s="10">
        <v>176</v>
      </c>
      <c r="CQ701" s="10">
        <v>14</v>
      </c>
      <c r="CR701" s="10">
        <v>10</v>
      </c>
      <c r="CS701" s="10">
        <v>5.2</v>
      </c>
      <c r="CT701" s="9" t="s">
        <v>184</v>
      </c>
      <c r="CU701" s="10"/>
      <c r="CV701" s="10"/>
      <c r="CW701" s="10"/>
      <c r="CX701" t="str">
        <f>INDEX('Data_Price '!AG$2:AG$1266,MATCH(Data!$DN701,'Data_Price '!$AT$2:$AT$1266,0))</f>
        <v>Line Chronic Skis</v>
      </c>
      <c r="CY701" t="str">
        <f>INDEX('Data_Price '!AH$2:AH$1266,MATCH(Data!$DN701,'Data_Price '!$AT$2:$AT$1266,0))</f>
        <v>LINE Skis</v>
      </c>
      <c r="CZ701">
        <f>INDEX('Data_Price '!AI$2:AI$1266,MATCH(Data!$DN701,'Data_Price '!$AT$2:$AT$1266,0))</f>
        <v>499.95</v>
      </c>
      <c r="DA701" t="str">
        <f>INDEX('Data_Price '!AJ$2:AJ$1266,MATCH(Data!$DN701,'Data_Price '!$AT$2:$AT$1266,0))</f>
        <v>https://tinyurl.com/ybju34zp</v>
      </c>
      <c r="DB701" t="str">
        <f>INDEX('Data_Price '!AK$2:AK$1266,MATCH(Data!$DN701,'Data_Price '!$AT$2:$AT$1266,0))</f>
        <v>Line Blend Skis 2022 - - 185 cm</v>
      </c>
      <c r="DC701" t="str">
        <f>INDEX('Data_Price '!AL$2:AL$1266,MATCH(Data!$DN701,'Data_Price '!$AT$2:$AT$1266,0))</f>
        <v>Skirack</v>
      </c>
      <c r="DD701">
        <f>INDEX('Data_Price '!AM$2:AM$1266,MATCH(Data!$DN701,'Data_Price '!$AT$2:$AT$1266,0))</f>
        <v>599.95000000000005</v>
      </c>
      <c r="DE701" t="str">
        <f>INDEX('Data_Price '!AN$2:AN$1266,MATCH(Data!$DN701,'Data_Price '!$AT$2:$AT$1266,0))</f>
        <v>https://tinyurl.com/yc4u8so4</v>
      </c>
      <c r="DF701" t="str">
        <f>INDEX('Data_Price '!AO$2:AO$1266,MATCH(Data!$DN701,'Data_Price '!$AT$2:$AT$1266,0))</f>
        <v>Line Blade Optic 104 Skis 185cm 2023</v>
      </c>
      <c r="DG701" t="str">
        <f>INDEX('Data_Price '!AP$2:AP$1266,MATCH(Data!$DN701,'Data_Price '!$AT$2:$AT$1266,0))</f>
        <v>Powder7 Ski Shop</v>
      </c>
      <c r="DH701">
        <f>INDEX('Data_Price '!AQ$2:AQ$1266,MATCH(Data!$DN701,'Data_Price '!$AT$2:$AT$1266,0))</f>
        <v>749.95</v>
      </c>
      <c r="DI701" t="str">
        <f>INDEX('Data_Price '!AR$2:AR$1266,MATCH(Data!$DN701,'Data_Price '!$AT$2:$AT$1266,0))</f>
        <v>https://tinyurl.com/y7653svu</v>
      </c>
      <c r="DJ701" s="89" t="str">
        <f t="shared" si="402"/>
        <v>https://tinyurl.com/ybju34zp</v>
      </c>
      <c r="DK701" s="89" t="str">
        <f t="shared" si="403"/>
        <v>https://tinyurl.com/yc4u8so4</v>
      </c>
      <c r="DL701" s="89" t="str">
        <f t="shared" si="404"/>
        <v>https://tinyurl.com/y7653svu</v>
      </c>
      <c r="DM701" s="219" t="str">
        <f t="shared" si="405"/>
        <v>Chronic</v>
      </c>
      <c r="DN701" s="89" t="str">
        <f t="shared" si="406"/>
        <v xml:space="preserve"> LineChronic185 Unisex</v>
      </c>
      <c r="DO701" s="221" t="s">
        <v>638</v>
      </c>
    </row>
    <row r="702" spans="2:119" ht="15.6" customHeight="1">
      <c r="B702" s="219" t="b">
        <f t="array" ref="B702">IF(OR(ISERROR(K702:P702)),FALSE,TRUE)</f>
        <v>1</v>
      </c>
      <c r="C702" s="43" t="b">
        <f>OR(BR702=Driver!$G$50,Data!BR714=Driver!$H$50)</f>
        <v>1</v>
      </c>
      <c r="D702" s="43" t="b">
        <f>OR(BV702=Driver!$G$51,BV702=Driver!$H$51)</f>
        <v>0</v>
      </c>
      <c r="E702" s="43" t="b">
        <f>AND(BX702&gt;Driver!$F$54,BX702&lt;Driver!$G$54)</f>
        <v>0</v>
      </c>
      <c r="F702" s="43" t="b">
        <f>CL702&gt;Driver!$F$56</f>
        <v>1</v>
      </c>
      <c r="G702" s="43" t="b">
        <f>AND(CB702&gt;Driver!$F$55,CB702&lt;Driver!$G$55)</f>
        <v>0</v>
      </c>
      <c r="H702" s="43" t="b">
        <f t="shared" si="370"/>
        <v>0</v>
      </c>
      <c r="I702" s="43">
        <f t="shared" si="371"/>
        <v>0</v>
      </c>
      <c r="J702" s="43" t="b">
        <f t="array" ref="J702">NOT(OR(($H$9:$H$1273=TRUE)*($I$9:$I$1273&gt;0)*($BT$9:$BT$1273=BT702)*($K$9:$K$1273&gt;K702)))</f>
        <v>1</v>
      </c>
      <c r="K702" s="72">
        <f t="shared" si="372"/>
        <v>0.81604759049426945</v>
      </c>
      <c r="L702" s="72">
        <f t="shared" si="373"/>
        <v>0.87921061247219445</v>
      </c>
      <c r="M702" s="72">
        <f t="shared" si="374"/>
        <v>0.75288456851634444</v>
      </c>
      <c r="N702" s="72">
        <f t="shared" si="375"/>
        <v>0.65250038623885009</v>
      </c>
      <c r="O702" s="72">
        <f t="shared" si="376"/>
        <v>0.63978449329876597</v>
      </c>
      <c r="P702" s="72">
        <f t="shared" si="377"/>
        <v>0.96636882601141716</v>
      </c>
      <c r="Q702" s="72"/>
      <c r="R702" s="72"/>
      <c r="S702" s="72">
        <f t="shared" si="378"/>
        <v>0.45071786461027852</v>
      </c>
      <c r="T702" s="72">
        <f t="shared" si="379"/>
        <v>0.51130677760538112</v>
      </c>
      <c r="U702" s="72">
        <f t="shared" si="380"/>
        <v>0.57390161943281792</v>
      </c>
      <c r="V702" s="72">
        <f t="shared" si="381"/>
        <v>0.51214911979412914</v>
      </c>
      <c r="W702" s="72">
        <f t="shared" si="382"/>
        <v>0.87765237020316023</v>
      </c>
      <c r="X702" s="72">
        <f t="shared" si="383"/>
        <v>0.12078938752780558</v>
      </c>
      <c r="Y702" s="72">
        <f t="shared" si="384"/>
        <v>0.24711543148365558</v>
      </c>
      <c r="Z702" s="72">
        <f t="shared" si="385"/>
        <v>0.34749961376114991</v>
      </c>
      <c r="AA702" s="72">
        <f t="shared" si="386"/>
        <v>0.36021550670123403</v>
      </c>
      <c r="AB702" s="72">
        <f t="shared" si="387"/>
        <v>3.3631173988582785E-2</v>
      </c>
      <c r="AC702" s="72"/>
      <c r="AD702" s="72"/>
      <c r="AE702" s="72">
        <f t="shared" si="388"/>
        <v>0.54928213538972148</v>
      </c>
      <c r="AF702" s="72">
        <f t="shared" si="389"/>
        <v>0.48869322239461888</v>
      </c>
      <c r="AG702" s="72">
        <f t="shared" si="390"/>
        <v>0.42609838056718213</v>
      </c>
      <c r="AH702" s="72">
        <f t="shared" si="391"/>
        <v>0.48785088020587086</v>
      </c>
      <c r="AI702" s="72">
        <f t="shared" si="392"/>
        <v>0.12234762979683975</v>
      </c>
      <c r="AJ702" s="72">
        <f>(AV702-Driver!$K$179)/(Driver!$L$179-Driver!$K$179)</f>
        <v>0.13343002175489485</v>
      </c>
      <c r="AK702" s="72">
        <f>(AW702-Driver!$K$180)/(Driver!$L$180-Driver!$K$180)</f>
        <v>0.23991414719380638</v>
      </c>
      <c r="AL702" s="72">
        <f>(AX702-Driver!$K$181)/(Driver!$L$181-Driver!$K$181)</f>
        <v>0.4491873774742301</v>
      </c>
      <c r="AM702" s="72">
        <f>(AY702-Driver!$K$182)/(Driver!$L$182-Driver!$K$182)</f>
        <v>8.7169514395812359E-2</v>
      </c>
      <c r="AN702" s="72">
        <f>(AZ702-Driver!$K$183)/(Driver!$L$183-Driver!$K$183)</f>
        <v>0.22058823529411764</v>
      </c>
      <c r="AO702" s="72"/>
      <c r="AP702" s="72"/>
      <c r="AQ702" s="72">
        <f>(BC702-Driver!$K$188)/(Driver!$L$188-Driver!$K$188)</f>
        <v>7.0717864610278486E-2</v>
      </c>
      <c r="AR702" s="72">
        <f>MIN((BD702-Driver!$K$189)/(Driver!$L$189-Driver!$K$189),100%)</f>
        <v>6.1306777605381196E-2</v>
      </c>
      <c r="AS702" s="72">
        <f>(BE702-Driver!$K$190)/(Driver!$L$190-Driver!$K$190)</f>
        <v>8.3901619432817875E-2</v>
      </c>
      <c r="AT702" s="72">
        <f>(BF702-Driver!$K$191)/(Driver!$L$191-Driver!$K$191)</f>
        <v>2.2149119794129157E-2</v>
      </c>
      <c r="AU702" s="72">
        <f>(BG702-Driver!$K$192)/(Driver!$L$192-Driver!$K$192)</f>
        <v>0.12765237020316025</v>
      </c>
      <c r="AV702" s="70">
        <f t="shared" si="393"/>
        <v>2.8083028083028085</v>
      </c>
      <c r="AW702" s="70">
        <f t="shared" si="394"/>
        <v>25.253652121098668</v>
      </c>
      <c r="AX702" s="70">
        <f t="shared" si="395"/>
        <v>5.0426863972680707</v>
      </c>
      <c r="AY702" s="70">
        <f>IFERROR(Driver!$K$19/Data!BH702/Data!BI702*Data!BK702*Data!BL702,"")</f>
        <v>0.10672149449329431</v>
      </c>
      <c r="AZ702" s="70">
        <f t="shared" si="396"/>
        <v>20.104244229337304</v>
      </c>
      <c r="BA702" s="70"/>
      <c r="BB702" s="70"/>
      <c r="BC702" s="70">
        <f t="shared" si="397"/>
        <v>36.681847995970344</v>
      </c>
      <c r="BD702" s="70">
        <f t="shared" si="398"/>
        <v>7.1463640729919726</v>
      </c>
      <c r="BE702" s="70">
        <f t="shared" si="399"/>
        <v>8.4065041072784577E-2</v>
      </c>
      <c r="BF702" s="70">
        <f t="shared" si="400"/>
        <v>2.5015874743736277</v>
      </c>
      <c r="BG702" s="70">
        <f t="shared" si="401"/>
        <v>0.48337330699774261</v>
      </c>
      <c r="BH702" s="67">
        <f>MAX((CE702-Driver!$F$200)/(Driver!$G$200-Driver!$F$200)*$BI$1,1)</f>
        <v>5.0426863972680707</v>
      </c>
      <c r="BI702" s="67">
        <f>MAX($BI$1*(BY702-Driver!$F$201)/(Driver!$G$201-Driver!$F$201),1)</f>
        <v>7.5949367088607591</v>
      </c>
      <c r="BJ702" s="67">
        <f>(CB702-Driver!$F$206)/(Driver!$G$206-Driver!$F$206)*$BI$1</f>
        <v>3.6507936507936507</v>
      </c>
      <c r="BK702" s="67">
        <f>(CD702-Driver!$F$203)/(Driver!$G$203-Driver!$F$203)*$BI$1</f>
        <v>3.4862385321100922</v>
      </c>
      <c r="BL702" s="67">
        <f>MAX((CR702-Driver!$F$202)/(Driver!$G$202-Driver!$F$202)*$BI$1,1)</f>
        <v>5.8620689655172411</v>
      </c>
      <c r="BM702" s="67">
        <f>MAX((CH702-Driver!$F$204)/(Driver!$G$204-Driver!$F$204)*$BI$1,1)</f>
        <v>3.0769230769230771</v>
      </c>
      <c r="BN702" s="67">
        <f>(CI702-Driver!$F$205)/(Driver!$G$205-Driver!$F$205)*$BI$1</f>
        <v>2.6470588235294117</v>
      </c>
      <c r="BO702" s="67">
        <f>(CK702-Driver!$F$207)/(Driver!$G$207-Driver!$F$207)*$BI$1</f>
        <v>1.0237849017580145</v>
      </c>
      <c r="BP702" s="67">
        <f>(CM702-Driver!$F$208)/(Driver!$G$208-Driver!$F$208)*$BI$1</f>
        <v>2.3333333333333335</v>
      </c>
      <c r="BQ702" s="67">
        <f>(CL702-Driver!$F$209)/(Driver!$G$209-Driver!$F$209)*$BI$1</f>
        <v>7.5</v>
      </c>
      <c r="BR702" s="28" t="s">
        <v>155</v>
      </c>
      <c r="BS702" s="8" t="s">
        <v>262</v>
      </c>
      <c r="BT702" s="9" t="s">
        <v>569</v>
      </c>
      <c r="BU702" s="10">
        <v>169</v>
      </c>
      <c r="BV702" s="9" t="s">
        <v>163</v>
      </c>
      <c r="BW702" s="10">
        <v>169</v>
      </c>
      <c r="BX702" s="10">
        <v>169.8</v>
      </c>
      <c r="BY702" s="10">
        <v>128</v>
      </c>
      <c r="BZ702" s="10">
        <v>139</v>
      </c>
      <c r="CA702" s="10">
        <v>116</v>
      </c>
      <c r="CB702" s="10">
        <v>87</v>
      </c>
      <c r="CC702" s="10">
        <v>110</v>
      </c>
      <c r="CD702" s="10">
        <v>17</v>
      </c>
      <c r="CE702" s="10">
        <v>1786</v>
      </c>
      <c r="CF702" s="10">
        <v>0.93</v>
      </c>
      <c r="CG702" s="10">
        <v>1659</v>
      </c>
      <c r="CH702" s="10">
        <v>173</v>
      </c>
      <c r="CI702" s="10">
        <v>78</v>
      </c>
      <c r="CJ702" s="10">
        <v>49</v>
      </c>
      <c r="CK702" s="10">
        <v>209</v>
      </c>
      <c r="CL702" s="10">
        <v>48</v>
      </c>
      <c r="CM702" s="10">
        <v>210</v>
      </c>
      <c r="CN702" s="10">
        <v>0.97199999999999998</v>
      </c>
      <c r="CO702" s="10">
        <v>160</v>
      </c>
      <c r="CP702" s="10">
        <v>149</v>
      </c>
      <c r="CQ702" s="10">
        <v>49</v>
      </c>
      <c r="CR702" s="10">
        <v>6</v>
      </c>
      <c r="CS702" s="10">
        <v>3.8</v>
      </c>
      <c r="CT702" s="9" t="s">
        <v>184</v>
      </c>
      <c r="CU702" s="10"/>
      <c r="CV702" s="10"/>
      <c r="CW702" s="10"/>
      <c r="CX702" t="e">
        <f>INDEX('Data_Price '!AG$2:AG$1266,MATCH(Data!$DN702,'Data_Price '!$AT$2:$AT$1266,0))</f>
        <v>#N/A</v>
      </c>
      <c r="CY702" t="e">
        <f>INDEX('Data_Price '!AH$2:AH$1266,MATCH(Data!$DN702,'Data_Price '!$AT$2:$AT$1266,0))</f>
        <v>#N/A</v>
      </c>
      <c r="CZ702" t="e">
        <f>INDEX('Data_Price '!AI$2:AI$1266,MATCH(Data!$DN702,'Data_Price '!$AT$2:$AT$1266,0))</f>
        <v>#N/A</v>
      </c>
      <c r="DA702" t="e">
        <f>INDEX('Data_Price '!AJ$2:AJ$1266,MATCH(Data!$DN702,'Data_Price '!$AT$2:$AT$1266,0))</f>
        <v>#N/A</v>
      </c>
      <c r="DB702" t="e">
        <f>INDEX('Data_Price '!AK$2:AK$1266,MATCH(Data!$DN702,'Data_Price '!$AT$2:$AT$1266,0))</f>
        <v>#N/A</v>
      </c>
      <c r="DC702" t="e">
        <f>INDEX('Data_Price '!AL$2:AL$1266,MATCH(Data!$DN702,'Data_Price '!$AT$2:$AT$1266,0))</f>
        <v>#N/A</v>
      </c>
      <c r="DD702" t="e">
        <f>INDEX('Data_Price '!AM$2:AM$1266,MATCH(Data!$DN702,'Data_Price '!$AT$2:$AT$1266,0))</f>
        <v>#N/A</v>
      </c>
      <c r="DE702" t="e">
        <f>INDEX('Data_Price '!AN$2:AN$1266,MATCH(Data!$DN702,'Data_Price '!$AT$2:$AT$1266,0))</f>
        <v>#N/A</v>
      </c>
      <c r="DF702" t="e">
        <f>INDEX('Data_Price '!AO$2:AO$1266,MATCH(Data!$DN702,'Data_Price '!$AT$2:$AT$1266,0))</f>
        <v>#N/A</v>
      </c>
      <c r="DG702" t="e">
        <f>INDEX('Data_Price '!AP$2:AP$1266,MATCH(Data!$DN702,'Data_Price '!$AT$2:$AT$1266,0))</f>
        <v>#N/A</v>
      </c>
      <c r="DH702" t="e">
        <f>INDEX('Data_Price '!AQ$2:AQ$1266,MATCH(Data!$DN702,'Data_Price '!$AT$2:$AT$1266,0))</f>
        <v>#N/A</v>
      </c>
      <c r="DI702" t="e">
        <f>INDEX('Data_Price '!AR$2:AR$1266,MATCH(Data!$DN702,'Data_Price '!$AT$2:$AT$1266,0))</f>
        <v>#N/A</v>
      </c>
      <c r="DJ702" s="89" t="e">
        <f t="shared" si="402"/>
        <v>#N/A</v>
      </c>
      <c r="DK702" s="89" t="e">
        <f t="shared" si="403"/>
        <v>#N/A</v>
      </c>
      <c r="DL702" s="89" t="e">
        <f t="shared" si="404"/>
        <v>#N/A</v>
      </c>
      <c r="DM702" s="219" t="str">
        <f t="shared" si="405"/>
        <v>Midnight</v>
      </c>
      <c r="DN702" s="89" t="str">
        <f t="shared" si="406"/>
        <v xml:space="preserve"> K2Midnight169 Women's</v>
      </c>
      <c r="DO702" s="221"/>
    </row>
    <row r="703" spans="2:119" ht="15.6" customHeight="1">
      <c r="B703" s="219" t="b">
        <f t="array" ref="B703">IF(OR(ISERROR(K703:P703)),FALSE,TRUE)</f>
        <v>1</v>
      </c>
      <c r="C703" s="43" t="b">
        <f>OR(BR703=Driver!$G$50,Data!BR1029=Driver!$H$50)</f>
        <v>1</v>
      </c>
      <c r="D703" s="43" t="b">
        <f>OR(BV703=Driver!$G$51,BV703=Driver!$H$51)</f>
        <v>1</v>
      </c>
      <c r="E703" s="43" t="b">
        <f>AND(BX703&gt;Driver!$F$54,BX703&lt;Driver!$G$54)</f>
        <v>0</v>
      </c>
      <c r="F703" s="43" t="b">
        <f>CL703&gt;Driver!$F$56</f>
        <v>1</v>
      </c>
      <c r="G703" s="43" t="b">
        <f>AND(CB703&gt;Driver!$F$55,CB703&lt;Driver!$G$55)</f>
        <v>0</v>
      </c>
      <c r="H703" s="43" t="b">
        <f t="shared" si="370"/>
        <v>0</v>
      </c>
      <c r="I703" s="43">
        <f t="shared" si="371"/>
        <v>0</v>
      </c>
      <c r="J703" s="43" t="b">
        <f t="array" ref="J703">NOT(OR(($H$9:$H$1273=TRUE)*($I$9:$I$1273&gt;0)*($BT$9:$BT$1273=BT703)*($K$9:$K$1273&gt;K703)))</f>
        <v>1</v>
      </c>
      <c r="K703" s="72">
        <f t="shared" si="372"/>
        <v>0.77826499111033132</v>
      </c>
      <c r="L703" s="72">
        <f t="shared" si="373"/>
        <v>0.81612141740330391</v>
      </c>
      <c r="M703" s="72">
        <f t="shared" si="374"/>
        <v>0.74040856481735862</v>
      </c>
      <c r="N703" s="72">
        <f t="shared" si="375"/>
        <v>0.63542582733162201</v>
      </c>
      <c r="O703" s="72">
        <f t="shared" si="376"/>
        <v>0.60721698882145514</v>
      </c>
      <c r="P703" s="72">
        <f t="shared" si="377"/>
        <v>0.97858287829899893</v>
      </c>
      <c r="Q703" s="72"/>
      <c r="R703" s="72"/>
      <c r="S703" s="72">
        <f t="shared" si="378"/>
        <v>0.45221392292938356</v>
      </c>
      <c r="T703" s="72">
        <f t="shared" si="379"/>
        <v>0.98473768460091193</v>
      </c>
      <c r="U703" s="72">
        <f t="shared" si="380"/>
        <v>0.51</v>
      </c>
      <c r="V703" s="72">
        <f t="shared" si="381"/>
        <v>0.49121774029595067</v>
      </c>
      <c r="W703" s="72">
        <f t="shared" si="382"/>
        <v>0.75957814387823086</v>
      </c>
      <c r="X703" s="72">
        <f t="shared" si="383"/>
        <v>0.18387858259669609</v>
      </c>
      <c r="Y703" s="72">
        <f t="shared" si="384"/>
        <v>0.25959143518264133</v>
      </c>
      <c r="Z703" s="72">
        <f t="shared" si="385"/>
        <v>0.36457417266837805</v>
      </c>
      <c r="AA703" s="72">
        <f t="shared" si="386"/>
        <v>0.39278301117854486</v>
      </c>
      <c r="AB703" s="72">
        <f t="shared" si="387"/>
        <v>2.1417121701001074E-2</v>
      </c>
      <c r="AC703" s="72"/>
      <c r="AD703" s="72"/>
      <c r="AE703" s="72">
        <f t="shared" si="388"/>
        <v>0.54778607707061644</v>
      </c>
      <c r="AF703" s="72">
        <f t="shared" si="389"/>
        <v>1.5262315399088067E-2</v>
      </c>
      <c r="AG703" s="72">
        <f t="shared" si="390"/>
        <v>0.49</v>
      </c>
      <c r="AH703" s="72">
        <f t="shared" si="391"/>
        <v>0.50878225970404933</v>
      </c>
      <c r="AI703" s="72">
        <f t="shared" si="392"/>
        <v>0.24042185612176917</v>
      </c>
      <c r="AJ703" s="72">
        <f>(AV703-Driver!$K$179)/(Driver!$L$179-Driver!$K$179)</f>
        <v>7.0340826686004332E-2</v>
      </c>
      <c r="AK703" s="72">
        <f>(AW703-Driver!$K$180)/(Driver!$L$180-Driver!$K$180)</f>
        <v>0.25250385042987666</v>
      </c>
      <c r="AL703" s="72">
        <f>(AX703-Driver!$K$181)/(Driver!$L$181-Driver!$K$181)</f>
        <v>0.46626193638145824</v>
      </c>
      <c r="AM703" s="72">
        <f>(AY703-Driver!$K$182)/(Driver!$L$182-Driver!$K$182)</f>
        <v>5.4602009918501525E-2</v>
      </c>
      <c r="AN703" s="72">
        <f>(AZ703-Driver!$K$183)/(Driver!$L$183-Driver!$K$183)</f>
        <v>0.23280228758169935</v>
      </c>
      <c r="AO703" s="72"/>
      <c r="AP703" s="72"/>
      <c r="AQ703" s="72">
        <f>(BC703-Driver!$K$188)/(Driver!$L$188-Driver!$K$188)</f>
        <v>7.2213922929383528E-2</v>
      </c>
      <c r="AR703" s="72">
        <f>MIN((BD703-Driver!$K$189)/(Driver!$L$189-Driver!$K$189),100%)</f>
        <v>0.56526231539908811</v>
      </c>
      <c r="AS703" s="72">
        <f>(BE703-Driver!$K$190)/(Driver!$L$190-Driver!$K$190)</f>
        <v>1</v>
      </c>
      <c r="AT703" s="72">
        <f>(BF703-Driver!$K$191)/(Driver!$L$191-Driver!$K$191)</f>
        <v>1.2177402959506814E-3</v>
      </c>
      <c r="AU703" s="72">
        <f>(BG703-Driver!$K$192)/(Driver!$L$192-Driver!$K$192)</f>
        <v>9.5781438782308222E-3</v>
      </c>
      <c r="AV703" s="70">
        <f t="shared" si="393"/>
        <v>1.4804639804639803</v>
      </c>
      <c r="AW703" s="70">
        <f t="shared" si="394"/>
        <v>26.480630257572813</v>
      </c>
      <c r="AX703" s="70">
        <f t="shared" si="395"/>
        <v>5.1963574274331243</v>
      </c>
      <c r="AY703" s="70">
        <f>IFERROR(Driver!$K$19/Data!BH703/Data!BI703*Data!BK703*Data!BL703,"")</f>
        <v>6.6849151807596874E-2</v>
      </c>
      <c r="AZ703" s="70">
        <f t="shared" si="396"/>
        <v>21.217423678332093</v>
      </c>
      <c r="BA703" s="70"/>
      <c r="BB703" s="70"/>
      <c r="BC703" s="70">
        <f t="shared" si="397"/>
        <v>37.457863846518826</v>
      </c>
      <c r="BD703" s="70">
        <f t="shared" si="398"/>
        <v>51.745536211361078</v>
      </c>
      <c r="BE703" s="70">
        <f t="shared" si="399"/>
        <v>1</v>
      </c>
      <c r="BF703" s="70">
        <f t="shared" si="400"/>
        <v>0.13753521131786495</v>
      </c>
      <c r="BG703" s="70">
        <f t="shared" si="401"/>
        <v>3.6268962918214562E-2</v>
      </c>
      <c r="BH703" s="67">
        <f>MAX((CE703-Driver!$F$200)/(Driver!$G$200-Driver!$F$200)*$BI$1,1)</f>
        <v>5.1963574274331243</v>
      </c>
      <c r="BI703" s="67">
        <f>MAX($BI$1*(BY703-Driver!$F$201)/(Driver!$G$201-Driver!$F$201),1)</f>
        <v>8.7974683544303804</v>
      </c>
      <c r="BJ703" s="67">
        <f>(CB703-Driver!$F$206)/(Driver!$G$206-Driver!$F$206)*$BI$1</f>
        <v>1.4285714285714284</v>
      </c>
      <c r="BK703" s="67">
        <f>(CD703-Driver!$F$203)/(Driver!$G$203-Driver!$F$203)*$BI$1</f>
        <v>2.1100917431192663</v>
      </c>
      <c r="BL703" s="67">
        <f>MAX((CR703-Driver!$F$202)/(Driver!$G$202-Driver!$F$202)*$BI$1,1)</f>
        <v>7.2413793103448274</v>
      </c>
      <c r="BM703" s="67">
        <f>MAX((CH703-Driver!$F$204)/(Driver!$G$204-Driver!$F$204)*$BI$1,1)</f>
        <v>4.1452991452991457</v>
      </c>
      <c r="BN703" s="67">
        <f>(CI703-Driver!$F$205)/(Driver!$G$205-Driver!$F$205)*$BI$1</f>
        <v>2.4117647058823528</v>
      </c>
      <c r="BO703" s="67">
        <f>(CK703-Driver!$F$207)/(Driver!$G$207-Driver!$F$207)*$BI$1</f>
        <v>0.26887280248190282</v>
      </c>
      <c r="BP703" s="67">
        <f>(CM703-Driver!$F$208)/(Driver!$G$208-Driver!$F$208)*$BI$1</f>
        <v>0.75555555555555554</v>
      </c>
      <c r="BQ703" s="67">
        <f>(CL703-Driver!$F$209)/(Driver!$G$209-Driver!$F$209)*$BI$1</f>
        <v>0.78125</v>
      </c>
      <c r="BR703" s="28" t="s">
        <v>155</v>
      </c>
      <c r="BS703" s="8" t="s">
        <v>172</v>
      </c>
      <c r="BT703" s="9" t="s">
        <v>676</v>
      </c>
      <c r="BU703" s="10">
        <v>167</v>
      </c>
      <c r="BV703" s="9" t="s">
        <v>158</v>
      </c>
      <c r="BW703" s="10">
        <v>167</v>
      </c>
      <c r="BX703" s="10">
        <v>167.5</v>
      </c>
      <c r="BY703" s="10">
        <v>147</v>
      </c>
      <c r="BZ703" s="10">
        <v>154</v>
      </c>
      <c r="CA703" s="10">
        <v>122</v>
      </c>
      <c r="CB703" s="10">
        <v>73</v>
      </c>
      <c r="CC703" s="10">
        <v>108</v>
      </c>
      <c r="CD703" s="10">
        <v>14</v>
      </c>
      <c r="CE703" s="10">
        <v>1813</v>
      </c>
      <c r="CF703" s="10">
        <v>0.82</v>
      </c>
      <c r="CG703" s="10">
        <v>1492</v>
      </c>
      <c r="CH703" s="10">
        <v>198</v>
      </c>
      <c r="CI703" s="10">
        <v>74</v>
      </c>
      <c r="CJ703" s="10">
        <v>38</v>
      </c>
      <c r="CK703" s="10">
        <v>136</v>
      </c>
      <c r="CL703" s="10">
        <v>5</v>
      </c>
      <c r="CM703" s="10">
        <v>68</v>
      </c>
      <c r="CN703" s="10">
        <v>0.13100000000000001</v>
      </c>
      <c r="CO703" s="10">
        <v>79</v>
      </c>
      <c r="CP703" s="10">
        <v>59</v>
      </c>
      <c r="CQ703" s="10">
        <v>57</v>
      </c>
      <c r="CR703" s="10">
        <v>10</v>
      </c>
      <c r="CS703" s="10">
        <v>10.199999999999999</v>
      </c>
      <c r="CT703" s="9" t="s">
        <v>349</v>
      </c>
      <c r="CU703" s="10"/>
      <c r="CV703" s="10"/>
      <c r="CW703" s="10"/>
      <c r="CX703" t="str">
        <f>INDEX('Data_Price '!AG$2:AG$1266,MATCH(Data!$DN703,'Data_Price '!$AT$2:$AT$1266,0))</f>
        <v>Rossignol Hero Elite St Ti + SPX 14 Konect 21/22</v>
      </c>
      <c r="CY703" t="str">
        <f>INDEX('Data_Price '!AH$2:AH$1266,MATCH(Data!$DN703,'Data_Price '!$AT$2:$AT$1266,0))</f>
        <v>Rossignol US</v>
      </c>
      <c r="CZ703">
        <f>INDEX('Data_Price '!AI$2:AI$1266,MATCH(Data!$DN703,'Data_Price '!$AT$2:$AT$1266,0))</f>
        <v>1099.95</v>
      </c>
      <c r="DA703" t="str">
        <f>INDEX('Data_Price '!AJ$2:AJ$1266,MATCH(Data!$DN703,'Data_Price '!$AT$2:$AT$1266,0))</f>
        <v>https://tinyurl.com/y7ryb8ny</v>
      </c>
      <c r="DB703" t="str">
        <f>INDEX('Data_Price '!AK$2:AK$1266,MATCH(Data!$DN703,'Data_Price '!$AT$2:$AT$1266,0))</f>
        <v>Rossignol Hero Elite St Ti 167cm 13m Radius Spx 12 Binding</v>
      </c>
      <c r="DC703" t="str">
        <f>INDEX('Data_Price '!AL$2:AL$1266,MATCH(Data!$DN703,'Data_Price '!$AT$2:$AT$1266,0))</f>
        <v>eBay</v>
      </c>
      <c r="DD703">
        <f>INDEX('Data_Price '!AM$2:AM$1266,MATCH(Data!$DN703,'Data_Price '!$AT$2:$AT$1266,0))</f>
        <v>575</v>
      </c>
      <c r="DE703" t="str">
        <f>INDEX('Data_Price '!AN$2:AN$1266,MATCH(Data!$DN703,'Data_Price '!$AT$2:$AT$1266,0))</f>
        <v>https://tinyurl.com/yc2xby9b</v>
      </c>
      <c r="DF703" t="str">
        <f>INDEX('Data_Price '!AO$2:AO$1266,MATCH(Data!$DN703,'Data_Price '!$AT$2:$AT$1266,0))</f>
        <v>Rossignol Hero Elite MT Ti</v>
      </c>
      <c r="DG703" t="str">
        <f>INDEX('Data_Price '!AP$2:AP$1266,MATCH(Data!$DN703,'Data_Price '!$AT$2:$AT$1266,0))</f>
        <v>Spoke-N-Sport</v>
      </c>
      <c r="DH703">
        <f>INDEX('Data_Price '!AQ$2:AQ$1266,MATCH(Data!$DN703,'Data_Price '!$AT$2:$AT$1266,0))</f>
        <v>629.99</v>
      </c>
      <c r="DI703" t="str">
        <f>INDEX('Data_Price '!AR$2:AR$1266,MATCH(Data!$DN703,'Data_Price '!$AT$2:$AT$1266,0))</f>
        <v>https://tinyurl.com/yc6vxr4u</v>
      </c>
      <c r="DJ703" s="89" t="str">
        <f t="shared" si="402"/>
        <v>https://tinyurl.com/y7ryb8ny</v>
      </c>
      <c r="DK703" s="89" t="str">
        <f t="shared" si="403"/>
        <v>https://tinyurl.com/yc2xby9b</v>
      </c>
      <c r="DL703" s="89" t="str">
        <f t="shared" si="404"/>
        <v>https://tinyurl.com/yc6vxr4u</v>
      </c>
      <c r="DM703" s="219" t="str">
        <f t="shared" si="405"/>
        <v>Hero Elite Multi Turn Ti</v>
      </c>
      <c r="DN703" s="89" t="str">
        <f t="shared" si="406"/>
        <v xml:space="preserve"> RossignolHero Elite Multi Turn Ti167 Unisex</v>
      </c>
      <c r="DO703" s="221"/>
    </row>
    <row r="704" spans="2:119" ht="15.6" customHeight="1">
      <c r="B704" s="219" t="b">
        <f t="array" ref="B704">IF(OR(ISERROR(K704:P704)),FALSE,TRUE)</f>
        <v>1</v>
      </c>
      <c r="C704" s="43" t="b">
        <f>OR(BR704=Driver!$G$50,Data!BR601=Driver!$H$50)</f>
        <v>1</v>
      </c>
      <c r="D704" s="43" t="b">
        <f>OR(BV704=Driver!$G$51,BV704=Driver!$H$51)</f>
        <v>1</v>
      </c>
      <c r="E704" s="43" t="b">
        <f>AND(BX704&gt;Driver!$F$54,BX704&lt;Driver!$G$54)</f>
        <v>0</v>
      </c>
      <c r="F704" s="43" t="b">
        <f>CL704&gt;Driver!$F$56</f>
        <v>1</v>
      </c>
      <c r="G704" s="43" t="b">
        <f>AND(CB704&gt;Driver!$F$55,CB704&lt;Driver!$G$55)</f>
        <v>1</v>
      </c>
      <c r="H704" s="43" t="b">
        <f t="shared" si="370"/>
        <v>0</v>
      </c>
      <c r="I704" s="43">
        <f t="shared" si="371"/>
        <v>0</v>
      </c>
      <c r="J704" s="43" t="b">
        <f t="array" ref="J704">NOT(OR(($H$9:$H$1273=TRUE)*($I$9:$I$1273&gt;0)*($BT$9:$BT$1273=BT704)*($K$9:$K$1273&gt;K704)))</f>
        <v>1</v>
      </c>
      <c r="K704" s="72">
        <f t="shared" si="372"/>
        <v>0.74992065009470432</v>
      </c>
      <c r="L704" s="72">
        <f t="shared" si="373"/>
        <v>0.78882580683326053</v>
      </c>
      <c r="M704" s="72">
        <f t="shared" si="374"/>
        <v>0.71101549335614811</v>
      </c>
      <c r="N704" s="72">
        <f t="shared" si="375"/>
        <v>0.7157394933026584</v>
      </c>
      <c r="O704" s="72">
        <f t="shared" si="376"/>
        <v>0.65720522454190888</v>
      </c>
      <c r="P704" s="72">
        <f t="shared" si="377"/>
        <v>0.76010176222387704</v>
      </c>
      <c r="Q704" s="72"/>
      <c r="R704" s="72"/>
      <c r="S704" s="72">
        <f t="shared" si="378"/>
        <v>0.5032393151723773</v>
      </c>
      <c r="T704" s="72">
        <f t="shared" si="379"/>
        <v>0.53286088198664006</v>
      </c>
      <c r="U704" s="72">
        <f t="shared" si="380"/>
        <v>0.6885192883373894</v>
      </c>
      <c r="V704" s="72">
        <f t="shared" si="381"/>
        <v>0.53189234778804695</v>
      </c>
      <c r="W704" s="72">
        <f t="shared" si="382"/>
        <v>0.77981995781438329</v>
      </c>
      <c r="X704" s="72">
        <f t="shared" si="383"/>
        <v>0.21117419316673952</v>
      </c>
      <c r="Y704" s="72">
        <f t="shared" si="384"/>
        <v>0.28898450664385189</v>
      </c>
      <c r="Z704" s="72">
        <f t="shared" si="385"/>
        <v>0.2842605066973416</v>
      </c>
      <c r="AA704" s="72">
        <f t="shared" si="386"/>
        <v>0.34279477545809117</v>
      </c>
      <c r="AB704" s="72">
        <f t="shared" si="387"/>
        <v>0.23989823777612301</v>
      </c>
      <c r="AC704" s="72"/>
      <c r="AD704" s="72"/>
      <c r="AE704" s="72">
        <f t="shared" si="388"/>
        <v>0.49676068482762276</v>
      </c>
      <c r="AF704" s="72">
        <f t="shared" si="389"/>
        <v>0.46713911801336</v>
      </c>
      <c r="AG704" s="72">
        <f t="shared" si="390"/>
        <v>0.31148071166261065</v>
      </c>
      <c r="AH704" s="72">
        <f t="shared" si="391"/>
        <v>0.46810765221195305</v>
      </c>
      <c r="AI704" s="72">
        <f t="shared" si="392"/>
        <v>0.22018004218561671</v>
      </c>
      <c r="AJ704" s="72">
        <f>(AV704-Driver!$K$179)/(Driver!$L$179-Driver!$K$179)</f>
        <v>0.46539360244943995</v>
      </c>
      <c r="AK704" s="72">
        <f>(AW704-Driver!$K$180)/(Driver!$L$180-Driver!$K$180)</f>
        <v>0.49008574604263422</v>
      </c>
      <c r="AL704" s="72">
        <f>(AX704-Driver!$K$181)/(Driver!$L$181-Driver!$K$181)</f>
        <v>0.38594827041042179</v>
      </c>
      <c r="AM704" s="72">
        <f>(AY704-Driver!$K$182)/(Driver!$L$182-Driver!$K$182)</f>
        <v>0.10459024563895518</v>
      </c>
      <c r="AN704" s="72">
        <f>(AZ704-Driver!$K$183)/(Driver!$L$183-Driver!$K$183)</f>
        <v>0.49411764705882344</v>
      </c>
      <c r="AO704" s="72"/>
      <c r="AP704" s="72"/>
      <c r="AQ704" s="72">
        <f>(BC704-Driver!$K$188)/(Driver!$L$188-Driver!$K$188)</f>
        <v>0.12323931517237725</v>
      </c>
      <c r="AR704" s="72">
        <f>MIN((BD704-Driver!$K$189)/(Driver!$L$189-Driver!$K$189),100%)</f>
        <v>8.2860881986640045E-2</v>
      </c>
      <c r="AS704" s="72">
        <f>(BE704-Driver!$K$190)/(Driver!$L$190-Driver!$K$190)</f>
        <v>0.19851928833738935</v>
      </c>
      <c r="AT704" s="72">
        <f>(BF704-Driver!$K$191)/(Driver!$L$191-Driver!$K$191)</f>
        <v>4.1892347788046951E-2</v>
      </c>
      <c r="AU704" s="72">
        <f>(BG704-Driver!$K$192)/(Driver!$L$192-Driver!$K$192)</f>
        <v>2.9819957814383281E-2</v>
      </c>
      <c r="AV704" s="70">
        <f t="shared" si="393"/>
        <v>9.795143128476461</v>
      </c>
      <c r="AW704" s="70">
        <f t="shared" si="394"/>
        <v>49.635091174788776</v>
      </c>
      <c r="AX704" s="70">
        <f t="shared" si="395"/>
        <v>4.4735344336937963</v>
      </c>
      <c r="AY704" s="70">
        <f>IFERROR(Driver!$K$19/Data!BH704/Data!BI704*Data!BK704*Data!BL704,"")</f>
        <v>0.12804966737942824</v>
      </c>
      <c r="AZ704" s="70">
        <f t="shared" si="396"/>
        <v>45.033507073715555</v>
      </c>
      <c r="BA704" s="70"/>
      <c r="BB704" s="70"/>
      <c r="BC704" s="70">
        <f t="shared" si="397"/>
        <v>63.925089525731671</v>
      </c>
      <c r="BD704" s="70">
        <f t="shared" si="398"/>
        <v>9.053864119120334</v>
      </c>
      <c r="BE704" s="70">
        <f t="shared" si="399"/>
        <v>0.19866226347530028</v>
      </c>
      <c r="BF704" s="70">
        <f t="shared" si="400"/>
        <v>4.7314463722598843</v>
      </c>
      <c r="BG704" s="70">
        <f t="shared" si="401"/>
        <v>0.11291738336179187</v>
      </c>
      <c r="BH704" s="67">
        <f>MAX((CE704-Driver!$F$200)/(Driver!$G$200-Driver!$F$200)*$BI$1,1)</f>
        <v>4.4735344336937963</v>
      </c>
      <c r="BI704" s="67">
        <f>MAX($BI$1*(BY704-Driver!$F$201)/(Driver!$G$201-Driver!$F$201),1)</f>
        <v>7.9746835443037973</v>
      </c>
      <c r="BJ704" s="67">
        <f>(CB704-Driver!$F$206)/(Driver!$G$206-Driver!$F$206)*$BI$1</f>
        <v>6.0317460317460316</v>
      </c>
      <c r="BK704" s="67">
        <f>(CD704-Driver!$F$203)/(Driver!$G$203-Driver!$F$203)*$BI$1</f>
        <v>3.4862385321100922</v>
      </c>
      <c r="BL704" s="67">
        <f>MAX((CR704-Driver!$F$202)/(Driver!$G$202-Driver!$F$202)*$BI$1,1)</f>
        <v>6.5517241379310338</v>
      </c>
      <c r="BM704" s="67">
        <f>MAX((CH704-Driver!$F$204)/(Driver!$G$204-Driver!$F$204)*$BI$1,1)</f>
        <v>6.4957264957264957</v>
      </c>
      <c r="BN704" s="67">
        <f>(CI704-Driver!$F$205)/(Driver!$G$205-Driver!$F$205)*$BI$1</f>
        <v>5.6470588235294112</v>
      </c>
      <c r="BO704" s="67">
        <f>(CK704-Driver!$F$207)/(Driver!$G$207-Driver!$F$207)*$BI$1</f>
        <v>1.4064115822130299</v>
      </c>
      <c r="BP704" s="67">
        <f>(CM704-Driver!$F$208)/(Driver!$G$208-Driver!$F$208)*$BI$1</f>
        <v>1.9444444444444444</v>
      </c>
      <c r="BQ704" s="67">
        <f>(CL704-Driver!$F$209)/(Driver!$G$209-Driver!$F$209)*$BI$1</f>
        <v>3.28125</v>
      </c>
      <c r="BR704" s="28" t="s">
        <v>155</v>
      </c>
      <c r="BS704" s="8" t="s">
        <v>167</v>
      </c>
      <c r="BT704" s="9" t="s">
        <v>168</v>
      </c>
      <c r="BU704" s="10">
        <v>177</v>
      </c>
      <c r="BV704" s="9" t="s">
        <v>158</v>
      </c>
      <c r="BW704" s="10">
        <v>177</v>
      </c>
      <c r="BX704" s="10">
        <v>176.6</v>
      </c>
      <c r="BY704" s="10">
        <v>134</v>
      </c>
      <c r="BZ704" s="10">
        <v>137</v>
      </c>
      <c r="CA704" s="10">
        <v>132</v>
      </c>
      <c r="CB704" s="10">
        <v>102</v>
      </c>
      <c r="CC704" s="10">
        <v>121</v>
      </c>
      <c r="CD704" s="10">
        <v>17</v>
      </c>
      <c r="CE704" s="10">
        <v>1686</v>
      </c>
      <c r="CF704" s="10">
        <v>1.18</v>
      </c>
      <c r="CG704" s="10">
        <v>1988</v>
      </c>
      <c r="CH704" s="10">
        <v>253</v>
      </c>
      <c r="CI704" s="10">
        <v>129</v>
      </c>
      <c r="CJ704" s="10">
        <v>52</v>
      </c>
      <c r="CK704" s="10">
        <v>246</v>
      </c>
      <c r="CL704" s="10">
        <v>21</v>
      </c>
      <c r="CM704" s="10">
        <v>175</v>
      </c>
      <c r="CN704" s="10">
        <v>0.39300000000000002</v>
      </c>
      <c r="CO704" s="10">
        <v>231</v>
      </c>
      <c r="CP704" s="10">
        <v>167</v>
      </c>
      <c r="CQ704" s="10">
        <v>16</v>
      </c>
      <c r="CR704" s="10">
        <v>8</v>
      </c>
      <c r="CS704" s="10">
        <v>10</v>
      </c>
      <c r="CT704" s="9" t="s">
        <v>188</v>
      </c>
      <c r="CU704" s="9" t="s">
        <v>169</v>
      </c>
      <c r="CV704" s="9" t="s">
        <v>178</v>
      </c>
      <c r="CW704" s="9" t="s">
        <v>185</v>
      </c>
      <c r="CX704" t="str">
        <f>INDEX('Data_Price '!AG$2:AG$1266,MATCH(Data!$DN704,'Data_Price '!$AT$2:$AT$1266,0))</f>
        <v>Head Kore 105 Skis</v>
      </c>
      <c r="CY704" t="str">
        <f>INDEX('Data_Price '!AH$2:AH$1266,MATCH(Data!$DN704,'Data_Price '!$AT$2:$AT$1266,0))</f>
        <v>Telemark Pyrenees</v>
      </c>
      <c r="CZ704">
        <f>INDEX('Data_Price '!AI$2:AI$1266,MATCH(Data!$DN704,'Data_Price '!$AT$2:$AT$1266,0))</f>
        <v>430.82</v>
      </c>
      <c r="DA704" t="str">
        <f>INDEX('Data_Price '!AJ$2:AJ$1266,MATCH(Data!$DN704,'Data_Price '!$AT$2:$AT$1266,0))</f>
        <v>https://tinyurl.com/y9u92lsb</v>
      </c>
      <c r="DB704" t="str">
        <f>INDEX('Data_Price '!AK$2:AK$1266,MATCH(Data!$DN704,'Data_Price '!$AT$2:$AT$1266,0))</f>
        <v>Head Kore 105 Skis</v>
      </c>
      <c r="DC704" t="str">
        <f>INDEX('Data_Price '!AL$2:AL$1266,MATCH(Data!$DN704,'Data_Price '!$AT$2:$AT$1266,0))</f>
        <v>UtahSkis</v>
      </c>
      <c r="DD704">
        <f>INDEX('Data_Price '!AM$2:AM$1266,MATCH(Data!$DN704,'Data_Price '!$AT$2:$AT$1266,0))</f>
        <v>449</v>
      </c>
      <c r="DE704" t="str">
        <f>INDEX('Data_Price '!AN$2:AN$1266,MATCH(Data!$DN704,'Data_Price '!$AT$2:$AT$1266,0))</f>
        <v>https://tinyurl.com/y8a3s5h7</v>
      </c>
      <c r="DF704" t="str">
        <f>INDEX('Data_Price '!AO$2:AO$1266,MATCH(Data!$DN704,'Data_Price '!$AT$2:$AT$1266,0))</f>
        <v>Head Kore 105 Anth/Ge / 177cm</v>
      </c>
      <c r="DG704" t="str">
        <f>INDEX('Data_Price '!AP$2:AP$1266,MATCH(Data!$DN704,'Data_Price '!$AT$2:$AT$1266,0))</f>
        <v>Sundance Ski and Board Shop</v>
      </c>
      <c r="DH704">
        <f>INDEX('Data_Price '!AQ$2:AQ$1266,MATCH(Data!$DN704,'Data_Price '!$AT$2:$AT$1266,0))</f>
        <v>521.11</v>
      </c>
      <c r="DI704" t="str">
        <f>INDEX('Data_Price '!AR$2:AR$1266,MATCH(Data!$DN704,'Data_Price '!$AT$2:$AT$1266,0))</f>
        <v>https://tinyurl.com/y8p3wv56</v>
      </c>
      <c r="DJ704" s="89" t="str">
        <f t="shared" si="402"/>
        <v>https://tinyurl.com/y9u92lsb</v>
      </c>
      <c r="DK704" s="89" t="str">
        <f t="shared" si="403"/>
        <v>https://tinyurl.com/y8a3s5h7</v>
      </c>
      <c r="DL704" s="89" t="str">
        <f t="shared" si="404"/>
        <v>https://tinyurl.com/y8p3wv56</v>
      </c>
      <c r="DM704" s="219" t="str">
        <f t="shared" si="405"/>
        <v>Kore 105</v>
      </c>
      <c r="DN704" s="89" t="str">
        <f t="shared" si="406"/>
        <v xml:space="preserve"> HeadKore 105177 Unisex</v>
      </c>
      <c r="DO704" s="221" t="s">
        <v>170</v>
      </c>
    </row>
    <row r="705" spans="2:119" ht="15.6" customHeight="1">
      <c r="B705" s="219" t="b">
        <f t="array" ref="B705">IF(OR(ISERROR(K705:P705)),FALSE,TRUE)</f>
        <v>1</v>
      </c>
      <c r="C705" s="43" t="b">
        <f>OR(BR705=Driver!$G$50,Data!BR563=Driver!$H$50)</f>
        <v>1</v>
      </c>
      <c r="D705" s="43" t="b">
        <f>OR(BV705=Driver!$G$51,BV705=Driver!$H$51)</f>
        <v>0</v>
      </c>
      <c r="E705" s="43" t="b">
        <f>AND(BX705&gt;Driver!$F$54,BX705&lt;Driver!$G$54)</f>
        <v>1</v>
      </c>
      <c r="F705" s="43" t="b">
        <f>CL705&gt;Driver!$F$56</f>
        <v>1</v>
      </c>
      <c r="G705" s="43" t="b">
        <f>AND(CB705&gt;Driver!$F$55,CB705&lt;Driver!$G$55)</f>
        <v>0</v>
      </c>
      <c r="H705" s="43" t="b">
        <f t="shared" si="370"/>
        <v>0</v>
      </c>
      <c r="I705" s="43">
        <f t="shared" si="371"/>
        <v>0</v>
      </c>
      <c r="J705" s="43" t="b">
        <f t="array" ref="J705">NOT(OR(($H$9:$H$1273=TRUE)*($I$9:$I$1273&gt;0)*($BT$9:$BT$1273=BT705)*($K$9:$K$1273&gt;K705)))</f>
        <v>1</v>
      </c>
      <c r="K705" s="72">
        <f t="shared" si="372"/>
        <v>0.84703062932829476</v>
      </c>
      <c r="L705" s="72">
        <f t="shared" si="373"/>
        <v>0.90467189681672744</v>
      </c>
      <c r="M705" s="72">
        <f t="shared" si="374"/>
        <v>0.78938936183986208</v>
      </c>
      <c r="N705" s="72">
        <f t="shared" si="375"/>
        <v>0.82134880209921812</v>
      </c>
      <c r="O705" s="72">
        <f t="shared" si="376"/>
        <v>0.60712529401025783</v>
      </c>
      <c r="P705" s="72">
        <f t="shared" si="377"/>
        <v>0.93969398941010995</v>
      </c>
      <c r="Q705" s="72"/>
      <c r="R705" s="72"/>
      <c r="S705" s="72">
        <f t="shared" si="378"/>
        <v>0.39681920585530994</v>
      </c>
      <c r="T705" s="72">
        <f t="shared" si="379"/>
        <v>0.51301993558598991</v>
      </c>
      <c r="U705" s="72">
        <f t="shared" si="380"/>
        <v>0.59196499941799319</v>
      </c>
      <c r="V705" s="72">
        <f t="shared" si="381"/>
        <v>0.62935070568215934</v>
      </c>
      <c r="W705" s="72">
        <f t="shared" si="382"/>
        <v>0.91066235864297251</v>
      </c>
      <c r="X705" s="72">
        <f t="shared" si="383"/>
        <v>9.5328103183272533E-2</v>
      </c>
      <c r="Y705" s="72">
        <f t="shared" si="384"/>
        <v>0.21061063816013795</v>
      </c>
      <c r="Z705" s="72">
        <f t="shared" si="385"/>
        <v>0.17865119790078182</v>
      </c>
      <c r="AA705" s="72">
        <f t="shared" si="386"/>
        <v>0.39287470598974211</v>
      </c>
      <c r="AB705" s="72">
        <f t="shared" si="387"/>
        <v>6.0306010589889991E-2</v>
      </c>
      <c r="AC705" s="72"/>
      <c r="AD705" s="72"/>
      <c r="AE705" s="72">
        <f t="shared" si="388"/>
        <v>0.60318079414469006</v>
      </c>
      <c r="AF705" s="72">
        <f t="shared" si="389"/>
        <v>0.48698006441401015</v>
      </c>
      <c r="AG705" s="72">
        <f t="shared" si="390"/>
        <v>0.40803500058200687</v>
      </c>
      <c r="AH705" s="72">
        <f t="shared" si="391"/>
        <v>0.37064929431784066</v>
      </c>
      <c r="AI705" s="72">
        <f t="shared" si="392"/>
        <v>8.9337641357027486E-2</v>
      </c>
      <c r="AJ705" s="72">
        <f>(AV705-Driver!$K$179)/(Driver!$L$179-Driver!$K$179)</f>
        <v>0.15889130609942789</v>
      </c>
      <c r="AK705" s="72">
        <f>(AW705-Driver!$K$180)/(Driver!$L$180-Driver!$K$180)</f>
        <v>0.19896615479168073</v>
      </c>
      <c r="AL705" s="72">
        <f>(AX705-Driver!$K$181)/(Driver!$L$181-Driver!$K$181)</f>
        <v>0.28033896161386201</v>
      </c>
      <c r="AM705" s="72">
        <f>(AY705-Driver!$K$182)/(Driver!$L$182-Driver!$K$182)</f>
        <v>5.4510315107304232E-2</v>
      </c>
      <c r="AN705" s="72">
        <f>(AZ705-Driver!$K$183)/(Driver!$L$183-Driver!$K$183)</f>
        <v>0.19391339869281043</v>
      </c>
      <c r="AO705" s="72"/>
      <c r="AP705" s="72"/>
      <c r="AQ705" s="72">
        <f>(BC705-Driver!$K$188)/(Driver!$L$188-Driver!$K$188)</f>
        <v>1.681920585530999E-2</v>
      </c>
      <c r="AR705" s="72">
        <f>MIN((BD705-Driver!$K$189)/(Driver!$L$189-Driver!$K$189),100%)</f>
        <v>6.3019935585989881E-2</v>
      </c>
      <c r="AS705" s="72">
        <f>(BE705-Driver!$K$190)/(Driver!$L$190-Driver!$K$190)</f>
        <v>0.10196499941799314</v>
      </c>
      <c r="AT705" s="72">
        <f>(BF705-Driver!$K$191)/(Driver!$L$191-Driver!$K$191)</f>
        <v>0.13935070568215935</v>
      </c>
      <c r="AU705" s="72">
        <f>(BG705-Driver!$K$192)/(Driver!$L$192-Driver!$K$192)</f>
        <v>0.16066235864297251</v>
      </c>
      <c r="AV705" s="70">
        <f t="shared" si="393"/>
        <v>3.3441866775200104</v>
      </c>
      <c r="AW705" s="70">
        <f t="shared" si="394"/>
        <v>21.262907425388097</v>
      </c>
      <c r="AX705" s="70">
        <f t="shared" si="395"/>
        <v>3.523050654524758</v>
      </c>
      <c r="AY705" s="70">
        <f>IFERROR(Driver!$K$19/Data!BH548/Data!BI548*Data!BK548*Data!BL548,"")</f>
        <v>6.6736889999600327E-2</v>
      </c>
      <c r="AZ705" s="70">
        <f t="shared" si="396"/>
        <v>17.673119880863737</v>
      </c>
      <c r="BA705" s="70"/>
      <c r="BB705" s="70"/>
      <c r="BC705" s="70">
        <f t="shared" si="397"/>
        <v>8.7242390023714513</v>
      </c>
      <c r="BD705" s="70">
        <f t="shared" si="398"/>
        <v>7.2979755187395217</v>
      </c>
      <c r="BE705" s="70">
        <f t="shared" si="399"/>
        <v>0.1021251987542825</v>
      </c>
      <c r="BF705" s="70">
        <f t="shared" si="400"/>
        <v>15.738683212685276</v>
      </c>
      <c r="BG705" s="70">
        <f t="shared" si="401"/>
        <v>0.60837018132694554</v>
      </c>
      <c r="BH705" s="67">
        <f>MAX((CE705-Driver!$F$200)/(Driver!$G$200-Driver!$F$200)*$BI$1,1)</f>
        <v>3.523050654524758</v>
      </c>
      <c r="BI705" s="67">
        <f>MAX($BI$1*(BY705-Driver!$F$201)/(Driver!$G$201-Driver!$F$201),1)</f>
        <v>6.3924050632911396</v>
      </c>
      <c r="BJ705" s="67">
        <f>(CB705-Driver!$F$206)/(Driver!$G$206-Driver!$F$206)*$BI$1</f>
        <v>5.3968253968253963</v>
      </c>
      <c r="BK705" s="67">
        <f>(CD705-Driver!$F$203)/(Driver!$G$203-Driver!$F$203)*$BI$1</f>
        <v>1.1467889908256883</v>
      </c>
      <c r="BL705" s="67">
        <f>MAX((CR705-Driver!$F$202)/(Driver!$G$202-Driver!$F$202)*$BI$1,1)</f>
        <v>5.1724137931034484</v>
      </c>
      <c r="BM705" s="67">
        <f>MAX((CH705-Driver!$F$204)/(Driver!$G$204-Driver!$F$204)*$BI$1,1)</f>
        <v>2.4786324786324787</v>
      </c>
      <c r="BN705" s="67">
        <f>(CI705-Driver!$F$205)/(Driver!$G$205-Driver!$F$205)*$BI$1</f>
        <v>2.7647058823529411</v>
      </c>
      <c r="BO705" s="67">
        <f>(CK705-Driver!$F$207)/(Driver!$G$207-Driver!$F$207)*$BI$1</f>
        <v>1.5201654601861427</v>
      </c>
      <c r="BP705" s="67">
        <f>(CM705-Driver!$F$208)/(Driver!$G$208-Driver!$F$208)*$BI$1</f>
        <v>2.2000000000000002</v>
      </c>
      <c r="BQ705" s="67">
        <f>(CL705-Driver!$F$209)/(Driver!$G$209-Driver!$F$209)*$BI$1</f>
        <v>5.3125</v>
      </c>
      <c r="BR705" s="28" t="s">
        <v>155</v>
      </c>
      <c r="BS705" s="8" t="s">
        <v>245</v>
      </c>
      <c r="BT705" s="9" t="s">
        <v>337</v>
      </c>
      <c r="BU705" s="10">
        <v>156</v>
      </c>
      <c r="BV705" s="9" t="s">
        <v>163</v>
      </c>
      <c r="BW705" s="10">
        <v>156</v>
      </c>
      <c r="BX705" s="10">
        <v>154.80000000000001</v>
      </c>
      <c r="BY705" s="10">
        <v>109</v>
      </c>
      <c r="BZ705" s="10">
        <v>128</v>
      </c>
      <c r="CA705" s="10">
        <v>132</v>
      </c>
      <c r="CB705" s="10">
        <v>98</v>
      </c>
      <c r="CC705" s="10">
        <v>122</v>
      </c>
      <c r="CD705" s="10">
        <v>11.9</v>
      </c>
      <c r="CE705" s="10">
        <v>1519</v>
      </c>
      <c r="CF705" s="10">
        <v>1.1299999999999999</v>
      </c>
      <c r="CG705" s="10">
        <v>1716</v>
      </c>
      <c r="CH705" s="10">
        <v>159</v>
      </c>
      <c r="CI705" s="10">
        <v>80</v>
      </c>
      <c r="CJ705" s="10">
        <v>48</v>
      </c>
      <c r="CK705" s="10">
        <v>257</v>
      </c>
      <c r="CL705" s="10">
        <v>34</v>
      </c>
      <c r="CM705" s="10">
        <v>198</v>
      </c>
      <c r="CN705" s="10">
        <v>0.71899999999999997</v>
      </c>
      <c r="CO705" s="10">
        <v>132</v>
      </c>
      <c r="CP705" s="10">
        <v>137</v>
      </c>
      <c r="CQ705" s="10">
        <v>125</v>
      </c>
      <c r="CR705" s="10">
        <v>4</v>
      </c>
      <c r="CS705" s="10">
        <v>9</v>
      </c>
      <c r="CT705" s="9" t="s">
        <v>188</v>
      </c>
      <c r="CU705" s="9" t="s">
        <v>185</v>
      </c>
      <c r="CV705" s="10"/>
      <c r="CW705" s="10"/>
      <c r="CX705" t="str">
        <f>INDEX('Data_Price '!AG$2:AG$1266,MATCH(Data!$DN705,'Data_Price '!$AT$2:$AT$1266,0))</f>
        <v>Blizzard Sheeva 10 21/22</v>
      </c>
      <c r="CY705" t="str">
        <f>INDEX('Data_Price '!AH$2:AH$1266,MATCH(Data!$DN705,'Data_Price '!$AT$2:$AT$1266,0))</f>
        <v>Telemark Pyrenees</v>
      </c>
      <c r="CZ705">
        <f>INDEX('Data_Price '!AI$2:AI$1266,MATCH(Data!$DN705,'Data_Price '!$AT$2:$AT$1266,0))</f>
        <v>357.47</v>
      </c>
      <c r="DA705" t="str">
        <f>INDEX('Data_Price '!AJ$2:AJ$1266,MATCH(Data!$DN705,'Data_Price '!$AT$2:$AT$1266,0))</f>
        <v>https://tinyurl.com/y9uqp7ev</v>
      </c>
      <c r="DB705" t="str">
        <f>INDEX('Data_Price '!AK$2:AK$1266,MATCH(Data!$DN705,'Data_Price '!$AT$2:$AT$1266,0))</f>
        <v>Blizzard Sheeva 10 Women Ski 2020</v>
      </c>
      <c r="DC705" t="str">
        <f>INDEX('Data_Price '!AL$2:AL$1266,MATCH(Data!$DN705,'Data_Price '!$AT$2:$AT$1266,0))</f>
        <v>eBay - grassisport</v>
      </c>
      <c r="DD705">
        <f>INDEX('Data_Price '!AM$2:AM$1266,MATCH(Data!$DN705,'Data_Price '!$AT$2:$AT$1266,0))</f>
        <v>403.48</v>
      </c>
      <c r="DE705" t="str">
        <f>INDEX('Data_Price '!AN$2:AN$1266,MATCH(Data!$DN705,'Data_Price '!$AT$2:$AT$1266,0))</f>
        <v>https://tinyurl.com/yd2zb3m9</v>
      </c>
      <c r="DF705" t="str">
        <f>INDEX('Data_Price '!AO$2:AO$1266,MATCH(Data!$DN705,'Data_Price '!$AT$2:$AT$1266,0))</f>
        <v>Blizzard Sheeva 10 Skis</v>
      </c>
      <c r="DG705" t="str">
        <f>INDEX('Data_Price '!AP$2:AP$1266,MATCH(Data!$DN705,'Data_Price '!$AT$2:$AT$1266,0))</f>
        <v>Cole Sport</v>
      </c>
      <c r="DH705">
        <f>INDEX('Data_Price '!AQ$2:AQ$1266,MATCH(Data!$DN705,'Data_Price '!$AT$2:$AT$1266,0))</f>
        <v>519.95000000000005</v>
      </c>
      <c r="DI705" t="str">
        <f>INDEX('Data_Price '!AR$2:AR$1266,MATCH(Data!$DN705,'Data_Price '!$AT$2:$AT$1266,0))</f>
        <v>https://tinyurl.com/ycxre6jx</v>
      </c>
      <c r="DJ705" s="89" t="str">
        <f t="shared" si="402"/>
        <v>https://tinyurl.com/y9uqp7ev</v>
      </c>
      <c r="DK705" s="89" t="str">
        <f t="shared" si="403"/>
        <v>https://tinyurl.com/yd2zb3m9</v>
      </c>
      <c r="DL705" s="89" t="str">
        <f t="shared" si="404"/>
        <v>https://tinyurl.com/ycxre6jx</v>
      </c>
      <c r="DM705" s="219" t="str">
        <f t="shared" si="405"/>
        <v>Ranger 102 FR W</v>
      </c>
      <c r="DN705" s="89" t="str">
        <f t="shared" si="406"/>
        <v xml:space="preserve"> FischerRanger 102 FR W156 Women's</v>
      </c>
      <c r="DO705" s="221" t="s">
        <v>448</v>
      </c>
    </row>
    <row r="706" spans="2:119" ht="15.6" customHeight="1">
      <c r="B706" s="219" t="b">
        <f t="array" ref="B706">IF(OR(ISERROR(K706:P706)),FALSE,TRUE)</f>
        <v>1</v>
      </c>
      <c r="C706" s="43" t="b">
        <f>OR(BR706=Driver!$G$50,Data!BR540=Driver!$H$50)</f>
        <v>1</v>
      </c>
      <c r="D706" s="43" t="b">
        <f>OR(BV706=Driver!$G$51,BV706=Driver!$H$51)</f>
        <v>1</v>
      </c>
      <c r="E706" s="43" t="b">
        <f>AND(BX706&gt;Driver!$F$54,BX706&lt;Driver!$G$54)</f>
        <v>0</v>
      </c>
      <c r="F706" s="43" t="b">
        <f>CL706&gt;Driver!$F$56</f>
        <v>1</v>
      </c>
      <c r="G706" s="43" t="b">
        <f>AND(CB706&gt;Driver!$F$55,CB706&lt;Driver!$G$55)</f>
        <v>1</v>
      </c>
      <c r="H706" s="43" t="b">
        <f t="shared" si="370"/>
        <v>0</v>
      </c>
      <c r="I706" s="43">
        <f t="shared" si="371"/>
        <v>0</v>
      </c>
      <c r="J706" s="43" t="b">
        <f t="array" ref="J706">NOT(OR(($H$9:$H$1273=TRUE)*($I$9:$I$1273&gt;0)*($BT$9:$BT$1273=BT706)*($K$9:$K$1273&gt;K706)))</f>
        <v>1</v>
      </c>
      <c r="K706" s="72">
        <f t="shared" si="372"/>
        <v>0.82019361681827396</v>
      </c>
      <c r="L706" s="72">
        <f t="shared" si="373"/>
        <v>0.91426016528824472</v>
      </c>
      <c r="M706" s="72">
        <f t="shared" si="374"/>
        <v>0.72612706834830321</v>
      </c>
      <c r="N706" s="72">
        <f t="shared" si="375"/>
        <v>0.57155432919717553</v>
      </c>
      <c r="O706" s="72">
        <f t="shared" si="376"/>
        <v>0.64985347467291787</v>
      </c>
      <c r="P706" s="72">
        <f t="shared" si="377"/>
        <v>0.95697340117481589</v>
      </c>
      <c r="Q706" s="72"/>
      <c r="R706" s="72"/>
      <c r="S706" s="72">
        <f t="shared" si="378"/>
        <v>0.43604844976164203</v>
      </c>
      <c r="T706" s="72">
        <f t="shared" si="379"/>
        <v>0.46573516354752953</v>
      </c>
      <c r="U706" s="72">
        <f t="shared" si="380"/>
        <v>0.52666212133069024</v>
      </c>
      <c r="V706" s="72">
        <f t="shared" si="381"/>
        <v>0.56289431960654757</v>
      </c>
      <c r="W706" s="72">
        <f t="shared" si="382"/>
        <v>0.89106334841628954</v>
      </c>
      <c r="X706" s="72">
        <f t="shared" si="383"/>
        <v>8.5739834711755281E-2</v>
      </c>
      <c r="Y706" s="72">
        <f t="shared" si="384"/>
        <v>0.27387293165169685</v>
      </c>
      <c r="Z706" s="72">
        <f t="shared" si="385"/>
        <v>0.42844567080282447</v>
      </c>
      <c r="AA706" s="72">
        <f t="shared" si="386"/>
        <v>0.35014652532708207</v>
      </c>
      <c r="AB706" s="72">
        <f t="shared" si="387"/>
        <v>4.3026598825184115E-2</v>
      </c>
      <c r="AC706" s="72"/>
      <c r="AD706" s="72"/>
      <c r="AE706" s="72">
        <f t="shared" si="388"/>
        <v>0.56395155023835797</v>
      </c>
      <c r="AF706" s="72">
        <f t="shared" si="389"/>
        <v>0.53426483645247047</v>
      </c>
      <c r="AG706" s="72">
        <f t="shared" si="390"/>
        <v>0.47333787866930976</v>
      </c>
      <c r="AH706" s="72">
        <f t="shared" si="391"/>
        <v>0.43710568039345243</v>
      </c>
      <c r="AI706" s="72">
        <f t="shared" si="392"/>
        <v>0.10893665158371044</v>
      </c>
      <c r="AJ706" s="72">
        <f>(AV706-Driver!$K$179)/(Driver!$L$179-Driver!$K$179)</f>
        <v>0.16847957457094515</v>
      </c>
      <c r="AK706" s="72">
        <f>(AW706-Driver!$K$180)/(Driver!$L$180-Driver!$K$180)</f>
        <v>0.23872954548696079</v>
      </c>
      <c r="AL706" s="72">
        <f>(AX706-Driver!$K$181)/(Driver!$L$181-Driver!$K$181)</f>
        <v>0.53013343451590467</v>
      </c>
      <c r="AM706" s="72">
        <f>(AY706-Driver!$K$182)/(Driver!$L$182-Driver!$K$182)</f>
        <v>9.7238495769964309E-2</v>
      </c>
      <c r="AN706" s="72">
        <f>(AZ706-Driver!$K$183)/(Driver!$L$183-Driver!$K$183)</f>
        <v>0.21119281045751631</v>
      </c>
      <c r="AO706" s="72"/>
      <c r="AP706" s="72"/>
      <c r="AQ706" s="72">
        <f>(BC706-Driver!$K$188)/(Driver!$L$188-Driver!$K$188)</f>
        <v>5.6048449761642041E-2</v>
      </c>
      <c r="AR706" s="72">
        <f>MIN((BD706-Driver!$K$189)/(Driver!$L$189-Driver!$K$189),100%)</f>
        <v>1.5735163547529626E-2</v>
      </c>
      <c r="AS706" s="72">
        <f>(BE706-Driver!$K$190)/(Driver!$L$190-Driver!$K$190)</f>
        <v>3.6662121330690217E-2</v>
      </c>
      <c r="AT706" s="72">
        <f>(BF706-Driver!$K$191)/(Driver!$L$191-Driver!$K$191)</f>
        <v>7.2894319606547547E-2</v>
      </c>
      <c r="AU706" s="72">
        <f>(BG706-Driver!$K$192)/(Driver!$L$192-Driver!$K$192)</f>
        <v>0.14106334841628956</v>
      </c>
      <c r="AV706" s="70">
        <f t="shared" si="393"/>
        <v>3.5459910459910464</v>
      </c>
      <c r="AW706" s="70">
        <f t="shared" si="394"/>
        <v>25.138202188127636</v>
      </c>
      <c r="AX706" s="70">
        <f t="shared" si="395"/>
        <v>5.7712009106431417</v>
      </c>
      <c r="AY706" s="70">
        <f>IFERROR(Driver!$K$19/Data!BH706/Data!BI706*Data!BK706*Data!BL706,"")</f>
        <v>0.11904893198933551</v>
      </c>
      <c r="AZ706" s="70">
        <f t="shared" si="396"/>
        <v>19.247952345495158</v>
      </c>
      <c r="BA706" s="70"/>
      <c r="BB706" s="70"/>
      <c r="BC706" s="70">
        <f t="shared" si="397"/>
        <v>29.072720533865073</v>
      </c>
      <c r="BD706" s="70">
        <f t="shared" si="398"/>
        <v>3.1133569769941016</v>
      </c>
      <c r="BE706" s="70">
        <f t="shared" si="399"/>
        <v>3.6833969965415138E-2</v>
      </c>
      <c r="BF706" s="70">
        <f t="shared" si="400"/>
        <v>8.2329012879808143</v>
      </c>
      <c r="BG706" s="70">
        <f t="shared" si="401"/>
        <v>0.53415582579185517</v>
      </c>
      <c r="BH706" s="67">
        <f>MAX((CE706-Driver!$F$200)/(Driver!$G$200-Driver!$F$200)*$BI$1,1)</f>
        <v>5.7712009106431417</v>
      </c>
      <c r="BI706" s="67">
        <f>MAX($BI$1*(BY706-Driver!$F$201)/(Driver!$G$201-Driver!$F$201),1)</f>
        <v>6.962025316455696</v>
      </c>
      <c r="BJ706" s="67">
        <f>(CB706-Driver!$F$206)/(Driver!$G$206-Driver!$F$206)*$BI$1</f>
        <v>6.5079365079365079</v>
      </c>
      <c r="BK706" s="67">
        <f>(CD706-Driver!$F$203)/(Driver!$G$203-Driver!$F$203)*$BI$1</f>
        <v>3.8532110091743128</v>
      </c>
      <c r="BL706" s="67">
        <f>MAX((CR706-Driver!$F$202)/(Driver!$G$202-Driver!$F$202)*$BI$1,1)</f>
        <v>6.2068965517241379</v>
      </c>
      <c r="BM706" s="67">
        <f>MAX((CH706-Driver!$F$204)/(Driver!$G$204-Driver!$F$204)*$BI$1,1)</f>
        <v>2.1794871794871797</v>
      </c>
      <c r="BN706" s="67">
        <f>(CI706-Driver!$F$205)/(Driver!$G$205-Driver!$F$205)*$BI$1</f>
        <v>2.7647058823529411</v>
      </c>
      <c r="BO706" s="67">
        <f>(CK706-Driver!$F$207)/(Driver!$G$207-Driver!$F$207)*$BI$1</f>
        <v>1.8510858324715616</v>
      </c>
      <c r="BP706" s="67">
        <f>(CM706-Driver!$F$208)/(Driver!$G$208-Driver!$F$208)*$BI$1</f>
        <v>2.6333333333333329</v>
      </c>
      <c r="BQ706" s="67">
        <f>(CL706-Driver!$F$209)/(Driver!$G$209-Driver!$F$209)*$BI$1</f>
        <v>6.71875</v>
      </c>
      <c r="BR706" s="28" t="s">
        <v>155</v>
      </c>
      <c r="BS706" s="8" t="s">
        <v>205</v>
      </c>
      <c r="BT706" s="9" t="s">
        <v>225</v>
      </c>
      <c r="BU706" s="10">
        <v>172</v>
      </c>
      <c r="BV706" s="9" t="s">
        <v>158</v>
      </c>
      <c r="BW706" s="10">
        <v>172</v>
      </c>
      <c r="BX706" s="10">
        <v>170.5</v>
      </c>
      <c r="BY706" s="10">
        <v>118</v>
      </c>
      <c r="BZ706" s="10">
        <v>138</v>
      </c>
      <c r="CA706" s="10">
        <v>132</v>
      </c>
      <c r="CB706" s="10">
        <v>105</v>
      </c>
      <c r="CC706" s="10">
        <v>125</v>
      </c>
      <c r="CD706" s="10">
        <v>17.8</v>
      </c>
      <c r="CE706" s="10">
        <v>1914</v>
      </c>
      <c r="CF706" s="10">
        <v>1.02</v>
      </c>
      <c r="CG706" s="10">
        <v>1960</v>
      </c>
      <c r="CH706" s="10">
        <v>152</v>
      </c>
      <c r="CI706" s="10">
        <v>80</v>
      </c>
      <c r="CJ706" s="10">
        <v>51</v>
      </c>
      <c r="CK706" s="10">
        <v>289</v>
      </c>
      <c r="CL706" s="10">
        <v>43</v>
      </c>
      <c r="CM706" s="10">
        <v>237</v>
      </c>
      <c r="CN706" s="10">
        <v>0.84299999999999997</v>
      </c>
      <c r="CO706" s="10">
        <v>183</v>
      </c>
      <c r="CP706" s="10">
        <v>145</v>
      </c>
      <c r="CQ706" s="10">
        <v>107</v>
      </c>
      <c r="CR706" s="10">
        <v>7</v>
      </c>
      <c r="CS706" s="10">
        <v>8.3000000000000007</v>
      </c>
      <c r="CT706" s="9" t="s">
        <v>184</v>
      </c>
      <c r="CU706" s="9" t="s">
        <v>169</v>
      </c>
      <c r="CV706" s="10"/>
      <c r="CW706" s="10"/>
      <c r="CX706" t="str">
        <f>INDEX('Data_Price '!AG$2:AG$1266,MATCH(Data!$DN706,'Data_Price '!$AT$2:$AT$1266,0))</f>
        <v>Faction Prodigy 3.0 Skis 2021 - 172</v>
      </c>
      <c r="CY706" t="str">
        <f>INDEX('Data_Price '!AH$2:AH$1266,MATCH(Data!$DN706,'Data_Price '!$AT$2:$AT$1266,0))</f>
        <v>Overstock Snow</v>
      </c>
      <c r="CZ706">
        <f>INDEX('Data_Price '!AI$2:AI$1266,MATCH(Data!$DN706,'Data_Price '!$AT$2:$AT$1266,0))</f>
        <v>699</v>
      </c>
      <c r="DA706" t="str">
        <f>INDEX('Data_Price '!AJ$2:AJ$1266,MATCH(Data!$DN706,'Data_Price '!$AT$2:$AT$1266,0))</f>
        <v>https://tinyurl.com/y9owtzzc</v>
      </c>
      <c r="DB706" t="str">
        <f>INDEX('Data_Price '!AK$2:AK$1266,MATCH(Data!$DN706,'Data_Price '!$AT$2:$AT$1266,0))</f>
        <v>Faction Dictator 3.0 Skis</v>
      </c>
      <c r="DC706" t="str">
        <f>INDEX('Data_Price '!AL$2:AL$1266,MATCH(Data!$DN706,'Data_Price '!$AT$2:$AT$1266,0))</f>
        <v>Snowcountry.eu</v>
      </c>
      <c r="DD706">
        <f>INDEX('Data_Price '!AM$2:AM$1266,MATCH(Data!$DN706,'Data_Price '!$AT$2:$AT$1266,0))</f>
        <v>460.11</v>
      </c>
      <c r="DE706" t="str">
        <f>INDEX('Data_Price '!AN$2:AN$1266,MATCH(Data!$DN706,'Data_Price '!$AT$2:$AT$1266,0))</f>
        <v>https://tinyurl.com/y8upzhpj</v>
      </c>
      <c r="DF706" t="str">
        <f>INDEX('Data_Price '!AO$2:AO$1266,MATCH(Data!$DN706,'Data_Price '!$AT$2:$AT$1266,0))</f>
        <v>Faction Prodigy 3.0x Women's Skis 172cm 2021</v>
      </c>
      <c r="DG706" t="str">
        <f>INDEX('Data_Price '!AP$2:AP$1266,MATCH(Data!$DN706,'Data_Price '!$AT$2:$AT$1266,0))</f>
        <v>REI</v>
      </c>
      <c r="DH706">
        <f>INDEX('Data_Price '!AQ$2:AQ$1266,MATCH(Data!$DN706,'Data_Price '!$AT$2:$AT$1266,0))</f>
        <v>488.93</v>
      </c>
      <c r="DI706" t="str">
        <f>INDEX('Data_Price '!AR$2:AR$1266,MATCH(Data!$DN706,'Data_Price '!$AT$2:$AT$1266,0))</f>
        <v>https://tinyurl.com/y763q3lc</v>
      </c>
      <c r="DJ706" s="89" t="str">
        <f t="shared" si="402"/>
        <v>https://tinyurl.com/y9owtzzc</v>
      </c>
      <c r="DK706" s="89" t="str">
        <f t="shared" si="403"/>
        <v>https://tinyurl.com/y8upzhpj</v>
      </c>
      <c r="DL706" s="89" t="str">
        <f t="shared" si="404"/>
        <v>https://tinyurl.com/y763q3lc</v>
      </c>
      <c r="DM706" s="219" t="str">
        <f t="shared" si="405"/>
        <v>Prodigy 3.0</v>
      </c>
      <c r="DN706" s="89" t="str">
        <f t="shared" si="406"/>
        <v xml:space="preserve"> FactionProdigy 3.0172 Unisex</v>
      </c>
      <c r="DO706" s="221" t="s">
        <v>226</v>
      </c>
    </row>
    <row r="707" spans="2:119" ht="15.6" customHeight="1">
      <c r="B707" s="219" t="b">
        <f t="array" ref="B707">IF(OR(ISERROR(K707:P707)),FALSE,TRUE)</f>
        <v>1</v>
      </c>
      <c r="C707" s="43" t="b">
        <f>OR(BR707=Driver!$G$50,Data!BR416=Driver!$H$50)</f>
        <v>1</v>
      </c>
      <c r="D707" s="43" t="b">
        <f>OR(BV707=Driver!$G$51,BV707=Driver!$H$51)</f>
        <v>1</v>
      </c>
      <c r="E707" s="43" t="b">
        <f>AND(BX707&gt;Driver!$F$54,BX707&lt;Driver!$G$54)</f>
        <v>0</v>
      </c>
      <c r="F707" s="43" t="b">
        <f>CL707&gt;Driver!$F$56</f>
        <v>1</v>
      </c>
      <c r="G707" s="43" t="b">
        <f>AND(CB707&gt;Driver!$F$55,CB707&lt;Driver!$G$55)</f>
        <v>0</v>
      </c>
      <c r="H707" s="43" t="b">
        <f t="shared" si="370"/>
        <v>0</v>
      </c>
      <c r="I707" s="43">
        <f t="shared" si="371"/>
        <v>0</v>
      </c>
      <c r="J707" s="43" t="b">
        <f t="array" ref="J707">NOT(OR(($H$9:$H$1273=TRUE)*($I$9:$I$1273&gt;0)*($BT$9:$BT$1273=BT707)*($K$9:$K$1273&gt;K707)))</f>
        <v>1</v>
      </c>
      <c r="K707" s="72">
        <f t="shared" si="372"/>
        <v>0.79222457552351955</v>
      </c>
      <c r="L707" s="72">
        <f t="shared" si="373"/>
        <v>0.82071411742747602</v>
      </c>
      <c r="M707" s="72">
        <f t="shared" si="374"/>
        <v>0.76373503361956308</v>
      </c>
      <c r="N707" s="72">
        <f t="shared" si="375"/>
        <v>0.74609426469328644</v>
      </c>
      <c r="O707" s="72">
        <f t="shared" si="376"/>
        <v>0.62204266374875694</v>
      </c>
      <c r="P707" s="72">
        <f t="shared" si="377"/>
        <v>0.92306817241664596</v>
      </c>
      <c r="Q707" s="72"/>
      <c r="R707" s="72"/>
      <c r="S707" s="72">
        <f t="shared" si="378"/>
        <v>0.43670814459306162</v>
      </c>
      <c r="T707" s="72">
        <f t="shared" si="379"/>
        <v>0.78789077492976922</v>
      </c>
      <c r="U707" s="72">
        <f t="shared" si="380"/>
        <v>0.51</v>
      </c>
      <c r="V707" s="72">
        <f t="shared" si="381"/>
        <v>0.49159683772745022</v>
      </c>
      <c r="W707" s="72">
        <f t="shared" si="382"/>
        <v>0.75988722790453711</v>
      </c>
      <c r="X707" s="72">
        <f t="shared" si="383"/>
        <v>0.17928588257252398</v>
      </c>
      <c r="Y707" s="72">
        <f t="shared" si="384"/>
        <v>0.23626496638043692</v>
      </c>
      <c r="Z707" s="72">
        <f t="shared" si="385"/>
        <v>0.25390573530671362</v>
      </c>
      <c r="AA707" s="72">
        <f t="shared" si="386"/>
        <v>0.37795733625124306</v>
      </c>
      <c r="AB707" s="72">
        <f t="shared" si="387"/>
        <v>7.693182758335404E-2</v>
      </c>
      <c r="AC707" s="72"/>
      <c r="AD707" s="72"/>
      <c r="AE707" s="72">
        <f t="shared" si="388"/>
        <v>0.56329185540693838</v>
      </c>
      <c r="AF707" s="72">
        <f t="shared" si="389"/>
        <v>0.21210922507023078</v>
      </c>
      <c r="AG707" s="72">
        <f t="shared" si="390"/>
        <v>0.49</v>
      </c>
      <c r="AH707" s="72">
        <f t="shared" si="391"/>
        <v>0.50840316227254978</v>
      </c>
      <c r="AI707" s="72">
        <f t="shared" si="392"/>
        <v>0.24011277209546289</v>
      </c>
      <c r="AJ707" s="72">
        <f>(AV707-Driver!$K$179)/(Driver!$L$179-Driver!$K$179)</f>
        <v>7.4933526710176446E-2</v>
      </c>
      <c r="AK707" s="72">
        <f>(AW707-Driver!$K$180)/(Driver!$L$180-Driver!$K$180)</f>
        <v>0.19055532197593558</v>
      </c>
      <c r="AL707" s="72">
        <f>(AX707-Driver!$K$181)/(Driver!$L$181-Driver!$K$181)</f>
        <v>0.35559349901979381</v>
      </c>
      <c r="AM707" s="72">
        <f>(AY707-Driver!$K$182)/(Driver!$L$182-Driver!$K$182)</f>
        <v>6.942768484580332E-2</v>
      </c>
      <c r="AN707" s="72">
        <f>(AZ707-Driver!$K$183)/(Driver!$L$183-Driver!$K$183)</f>
        <v>0.17728758169934639</v>
      </c>
      <c r="AO707" s="72"/>
      <c r="AP707" s="72"/>
      <c r="AQ707" s="72">
        <f>(BC707-Driver!$K$188)/(Driver!$L$188-Driver!$K$188)</f>
        <v>5.670814459306156E-2</v>
      </c>
      <c r="AR707" s="72">
        <f>MIN((BD707-Driver!$K$189)/(Driver!$L$189-Driver!$K$189),100%)</f>
        <v>0.33789077492976927</v>
      </c>
      <c r="AS707" s="72">
        <f>(BE707-Driver!$K$190)/(Driver!$L$190-Driver!$K$190)</f>
        <v>1</v>
      </c>
      <c r="AT707" s="72">
        <f>(BF707-Driver!$K$191)/(Driver!$L$191-Driver!$K$191)</f>
        <v>1.59683772745026E-3</v>
      </c>
      <c r="AU707" s="72">
        <f>(BG707-Driver!$K$192)/(Driver!$L$192-Driver!$K$192)</f>
        <v>9.8872279045371103E-3</v>
      </c>
      <c r="AV707" s="70">
        <f t="shared" si="393"/>
        <v>1.577126577126577</v>
      </c>
      <c r="AW707" s="70">
        <f t="shared" si="394"/>
        <v>20.443197239933415</v>
      </c>
      <c r="AX707" s="70">
        <f t="shared" si="395"/>
        <v>4.2003414911781443</v>
      </c>
      <c r="AY707" s="70">
        <f>IFERROR(Driver!$K$19/Data!BH707/Data!BI707*Data!BK707*Data!BL707,"")</f>
        <v>8.5000201473068235E-2</v>
      </c>
      <c r="AZ707" s="70">
        <f t="shared" si="396"/>
        <v>16.157855547282203</v>
      </c>
      <c r="BA707" s="70"/>
      <c r="BB707" s="70"/>
      <c r="BC707" s="70">
        <f t="shared" si="397"/>
        <v>29.414908829046443</v>
      </c>
      <c r="BD707" s="70">
        <f t="shared" si="398"/>
        <v>31.62355775835649</v>
      </c>
      <c r="BE707" s="70">
        <f t="shared" si="399"/>
        <v>1</v>
      </c>
      <c r="BF707" s="70">
        <f t="shared" si="400"/>
        <v>0.18035160289555321</v>
      </c>
      <c r="BG707" s="70">
        <f t="shared" si="401"/>
        <v>3.7439352216102811E-2</v>
      </c>
      <c r="BH707" s="67">
        <f>MAX((CE707-Driver!$F$200)/(Driver!$G$200-Driver!$F$200)*$BI$1,1)</f>
        <v>4.2003414911781443</v>
      </c>
      <c r="BI707" s="67">
        <f>MAX($BI$1*(BY707-Driver!$F$201)/(Driver!$G$201-Driver!$F$201),1)</f>
        <v>8.8607594936708853</v>
      </c>
      <c r="BJ707" s="67">
        <f>(CB707-Driver!$F$206)/(Driver!$G$206-Driver!$F$206)*$BI$1</f>
        <v>1.5873015873015872</v>
      </c>
      <c r="BK707" s="67">
        <f>(CD707-Driver!$F$203)/(Driver!$G$203-Driver!$F$203)*$BI$1</f>
        <v>2.2935779816513766</v>
      </c>
      <c r="BL707" s="67">
        <f>MAX((CR707-Driver!$F$202)/(Driver!$G$202-Driver!$F$202)*$BI$1,1)</f>
        <v>6.8965517241379315</v>
      </c>
      <c r="BM707" s="67">
        <f>MAX((CH707-Driver!$F$204)/(Driver!$G$204-Driver!$F$204)*$BI$1,1)</f>
        <v>3.974358974358974</v>
      </c>
      <c r="BN707" s="67">
        <f>(CI707-Driver!$F$205)/(Driver!$G$205-Driver!$F$205)*$BI$1</f>
        <v>1.8235294117647058</v>
      </c>
      <c r="BO707" s="67">
        <f>(CK707-Driver!$F$207)/(Driver!$G$207-Driver!$F$207)*$BI$1</f>
        <v>0.43433298862461223</v>
      </c>
      <c r="BP707" s="67">
        <f>(CM707-Driver!$F$208)/(Driver!$G$208-Driver!$F$208)*$BI$1</f>
        <v>0.6</v>
      </c>
      <c r="BQ707" s="67">
        <f>(CL707-Driver!$F$209)/(Driver!$G$209-Driver!$F$209)*$BI$1</f>
        <v>0.625</v>
      </c>
      <c r="BR707" s="28" t="s">
        <v>155</v>
      </c>
      <c r="BS707" s="8" t="s">
        <v>202</v>
      </c>
      <c r="BT707" s="9" t="s">
        <v>729</v>
      </c>
      <c r="BU707" s="10">
        <v>170</v>
      </c>
      <c r="BV707" s="9" t="s">
        <v>158</v>
      </c>
      <c r="BW707" s="10">
        <v>170</v>
      </c>
      <c r="BX707" s="10">
        <v>168.6</v>
      </c>
      <c r="BY707" s="10">
        <v>148</v>
      </c>
      <c r="BZ707" s="10">
        <v>155</v>
      </c>
      <c r="CA707" s="10">
        <v>123</v>
      </c>
      <c r="CB707" s="10">
        <v>74</v>
      </c>
      <c r="CC707" s="10">
        <v>110</v>
      </c>
      <c r="CD707" s="10">
        <v>14.4</v>
      </c>
      <c r="CE707" s="10">
        <v>1638</v>
      </c>
      <c r="CF707" s="10">
        <v>0.92</v>
      </c>
      <c r="CG707" s="10">
        <v>1502</v>
      </c>
      <c r="CH707" s="10">
        <v>194</v>
      </c>
      <c r="CI707" s="10">
        <v>64</v>
      </c>
      <c r="CJ707" s="10">
        <v>43</v>
      </c>
      <c r="CK707" s="10">
        <v>152</v>
      </c>
      <c r="CL707" s="10">
        <v>4</v>
      </c>
      <c r="CM707" s="10">
        <v>54</v>
      </c>
      <c r="CN707" s="10">
        <v>9.8000000000000004E-2</v>
      </c>
      <c r="CO707" s="10">
        <v>80</v>
      </c>
      <c r="CP707" s="10">
        <v>52</v>
      </c>
      <c r="CQ707" s="10">
        <v>72</v>
      </c>
      <c r="CR707" s="10">
        <v>9</v>
      </c>
      <c r="CS707" s="10">
        <v>10.5</v>
      </c>
      <c r="CT707" s="9" t="s">
        <v>349</v>
      </c>
      <c r="CU707" s="10"/>
      <c r="CV707" s="10"/>
      <c r="CW707" s="10"/>
      <c r="CX707" t="str">
        <f>INDEX('Data_Price '!AG$2:AG$1266,MATCH(Data!$DN707,'Data_Price '!$AT$2:$AT$1266,0))</f>
        <v>Dynastar Speed Course WC 170 cm Ski + Look 10 Bindings Winter Sport Snow Outdoor</v>
      </c>
      <c r="CY707" t="str">
        <f>INDEX('Data_Price '!AH$2:AH$1266,MATCH(Data!$DN707,'Data_Price '!$AT$2:$AT$1266,0))</f>
        <v>Traventuria</v>
      </c>
      <c r="CZ707">
        <f>INDEX('Data_Price '!AI$2:AI$1266,MATCH(Data!$DN707,'Data_Price '!$AT$2:$AT$1266,0))</f>
        <v>189.99</v>
      </c>
      <c r="DA707" t="str">
        <f>INDEX('Data_Price '!AJ$2:AJ$1266,MATCH(Data!$DN707,'Data_Price '!$AT$2:$AT$1266,0))</f>
        <v>https://tinyurl.com/ya36gy9y</v>
      </c>
      <c r="DB707" t="str">
        <f>INDEX('Data_Price '!AK$2:AK$1266,MATCH(Data!$DN707,'Data_Price '!$AT$2:$AT$1266,0))</f>
        <v>166 Dynastar Speed Zone 12</v>
      </c>
      <c r="DC707" t="str">
        <f>INDEX('Data_Price '!AL$2:AL$1266,MATCH(Data!$DN707,'Data_Price '!$AT$2:$AT$1266,0))</f>
        <v>SidelineSwap</v>
      </c>
      <c r="DD707">
        <f>INDEX('Data_Price '!AM$2:AM$1266,MATCH(Data!$DN707,'Data_Price '!$AT$2:$AT$1266,0))</f>
        <v>279</v>
      </c>
      <c r="DE707" t="str">
        <f>INDEX('Data_Price '!AN$2:AN$1266,MATCH(Data!$DN707,'Data_Price '!$AT$2:$AT$1266,0))</f>
        <v>https://tinyurl.com/yb5t7cyd</v>
      </c>
      <c r="DF707" t="str">
        <f>INDEX('Data_Price '!AO$2:AO$1266,MATCH(Data!$DN707,'Data_Price '!$AT$2:$AT$1266,0))</f>
        <v>Dynastar Speed WC Fis GS Ski One Color, 170cm</v>
      </c>
      <c r="DG707" t="str">
        <f>INDEX('Data_Price '!AP$2:AP$1266,MATCH(Data!$DN707,'Data_Price '!$AT$2:$AT$1266,0))</f>
        <v>eBay - asogear</v>
      </c>
      <c r="DH707">
        <f>INDEX('Data_Price '!AQ$2:AQ$1266,MATCH(Data!$DN707,'Data_Price '!$AT$2:$AT$1266,0))</f>
        <v>399.99</v>
      </c>
      <c r="DI707" t="str">
        <f>INDEX('Data_Price '!AR$2:AR$1266,MATCH(Data!$DN707,'Data_Price '!$AT$2:$AT$1266,0))</f>
        <v>https://tinyurl.com/y97fly7z</v>
      </c>
      <c r="DJ707" s="89" t="str">
        <f t="shared" si="402"/>
        <v>https://tinyurl.com/ya36gy9y</v>
      </c>
      <c r="DK707" s="89" t="str">
        <f t="shared" si="403"/>
        <v>https://tinyurl.com/yb5t7cyd</v>
      </c>
      <c r="DL707" s="89" t="str">
        <f t="shared" si="404"/>
        <v>https://tinyurl.com/y97fly7z</v>
      </c>
      <c r="DM707" s="219" t="str">
        <f t="shared" si="405"/>
        <v>Speed 563</v>
      </c>
      <c r="DN707" s="89" t="str">
        <f t="shared" si="406"/>
        <v xml:space="preserve"> DynastarSpeed 563170 Unisex</v>
      </c>
      <c r="DO707" s="221"/>
    </row>
    <row r="708" spans="2:119" ht="15.6" customHeight="1">
      <c r="B708" s="219" t="b">
        <f t="array" ref="B708">IF(OR(ISERROR(K708:P708)),FALSE,TRUE)</f>
        <v>1</v>
      </c>
      <c r="C708" s="43" t="b">
        <f>OR(BR708=Driver!$G$50,Data!BR892=Driver!$H$50)</f>
        <v>1</v>
      </c>
      <c r="D708" s="43" t="b">
        <f>OR(BV708=Driver!$G$51,BV708=Driver!$H$51)</f>
        <v>1</v>
      </c>
      <c r="E708" s="43" t="b">
        <f>AND(BX708&gt;Driver!$F$54,BX708&lt;Driver!$G$54)</f>
        <v>0</v>
      </c>
      <c r="F708" s="43" t="b">
        <f>CL708&gt;Driver!$F$56</f>
        <v>1</v>
      </c>
      <c r="G708" s="43" t="b">
        <f>AND(CB708&gt;Driver!$F$55,CB708&lt;Driver!$G$55)</f>
        <v>0</v>
      </c>
      <c r="H708" s="43" t="b">
        <f t="shared" si="370"/>
        <v>0</v>
      </c>
      <c r="I708" s="43">
        <f t="shared" si="371"/>
        <v>0</v>
      </c>
      <c r="J708" s="43" t="b">
        <f t="array" ref="J708">NOT(OR(($H$9:$H$1273=TRUE)*($I$9:$I$1273&gt;0)*($BT$9:$BT$1273=BT708)*($K$9:$K$1273&gt;K708)))</f>
        <v>1</v>
      </c>
      <c r="K708" s="72">
        <f t="shared" si="372"/>
        <v>0.77325105643802194</v>
      </c>
      <c r="L708" s="72">
        <f t="shared" si="373"/>
        <v>0.94119064447728595</v>
      </c>
      <c r="M708" s="72">
        <f t="shared" si="374"/>
        <v>0.60531146839875816</v>
      </c>
      <c r="N708" s="72">
        <f t="shared" si="375"/>
        <v>0.43938459543381636</v>
      </c>
      <c r="O708" s="72">
        <f t="shared" si="376"/>
        <v>0.61938922400916929</v>
      </c>
      <c r="P708" s="72">
        <f t="shared" si="377"/>
        <v>0.7571605857532886</v>
      </c>
      <c r="Q708" s="72"/>
      <c r="R708" s="72"/>
      <c r="S708" s="72">
        <f t="shared" si="378"/>
        <v>0.50577739704658886</v>
      </c>
      <c r="T708" s="72">
        <f t="shared" si="379"/>
        <v>0.55335547118208561</v>
      </c>
      <c r="U708" s="72">
        <f t="shared" si="380"/>
        <v>0.64681243541973288</v>
      </c>
      <c r="V708" s="72">
        <f t="shared" si="381"/>
        <v>0.54238042007409248</v>
      </c>
      <c r="W708" s="72">
        <f t="shared" si="382"/>
        <v>0.76499635367174212</v>
      </c>
      <c r="X708" s="72">
        <f t="shared" si="383"/>
        <v>5.8809355522714102E-2</v>
      </c>
      <c r="Y708" s="72">
        <f t="shared" si="384"/>
        <v>0.3946885316012419</v>
      </c>
      <c r="Z708" s="72">
        <f t="shared" si="385"/>
        <v>0.56061540456618364</v>
      </c>
      <c r="AA708" s="72">
        <f t="shared" si="386"/>
        <v>0.38061077599083071</v>
      </c>
      <c r="AB708" s="72">
        <f t="shared" si="387"/>
        <v>0.24283941424671135</v>
      </c>
      <c r="AC708" s="72"/>
      <c r="AD708" s="72"/>
      <c r="AE708" s="72">
        <f t="shared" si="388"/>
        <v>0.49422260295341119</v>
      </c>
      <c r="AF708" s="72">
        <f t="shared" si="389"/>
        <v>0.44664452881791444</v>
      </c>
      <c r="AG708" s="72">
        <f t="shared" si="390"/>
        <v>0.35318756458026712</v>
      </c>
      <c r="AH708" s="72">
        <f t="shared" si="391"/>
        <v>0.45761957992590746</v>
      </c>
      <c r="AI708" s="72">
        <f t="shared" si="392"/>
        <v>0.23500364632825793</v>
      </c>
      <c r="AJ708" s="72">
        <f>(AV708-Driver!$K$179)/(Driver!$L$179-Driver!$K$179)</f>
        <v>0.31302876480541453</v>
      </c>
      <c r="AK708" s="72">
        <f>(AW708-Driver!$K$180)/(Driver!$L$180-Driver!$K$180)</f>
        <v>0.51788160347038503</v>
      </c>
      <c r="AL708" s="72">
        <f>(AX708-Driver!$K$181)/(Driver!$L$181-Driver!$K$181)</f>
        <v>0.66230316827926383</v>
      </c>
      <c r="AM708" s="72">
        <f>(AY708-Driver!$K$182)/(Driver!$L$182-Driver!$K$182)</f>
        <v>6.6774245106215657E-2</v>
      </c>
      <c r="AN708" s="72">
        <f>(AZ708-Driver!$K$183)/(Driver!$L$183-Driver!$K$183)</f>
        <v>0.49705882352941178</v>
      </c>
      <c r="AO708" s="72"/>
      <c r="AP708" s="72"/>
      <c r="AQ708" s="72">
        <f>(BC708-Driver!$K$188)/(Driver!$L$188-Driver!$K$188)</f>
        <v>0.1257773970465888</v>
      </c>
      <c r="AR708" s="72">
        <f>MIN((BD708-Driver!$K$189)/(Driver!$L$189-Driver!$K$189),100%)</f>
        <v>0.10335547118208559</v>
      </c>
      <c r="AS708" s="72">
        <f>(BE708-Driver!$K$190)/(Driver!$L$190-Driver!$K$190)</f>
        <v>0.15681243541973292</v>
      </c>
      <c r="AT708" s="72">
        <f>(BF708-Driver!$K$191)/(Driver!$L$191-Driver!$K$191)</f>
        <v>5.2380420074092562E-2</v>
      </c>
      <c r="AU708" s="72">
        <f>(BG708-Driver!$K$192)/(Driver!$L$192-Driver!$K$192)</f>
        <v>1.4996353671742062E-2</v>
      </c>
      <c r="AV708" s="70">
        <f t="shared" si="393"/>
        <v>6.5883190883190883</v>
      </c>
      <c r="AW708" s="70">
        <f t="shared" si="394"/>
        <v>52.344043777475243</v>
      </c>
      <c r="AX708" s="70">
        <f t="shared" si="395"/>
        <v>6.9607285145133746</v>
      </c>
      <c r="AY708" s="70">
        <f>IFERROR(Driver!$K$19/Data!BH708/Data!BI708*Data!BK708*Data!BL708,"")</f>
        <v>8.1751599521807425E-2</v>
      </c>
      <c r="AZ708" s="70">
        <f t="shared" si="396"/>
        <v>45.301563663440064</v>
      </c>
      <c r="BA708" s="70"/>
      <c r="BB708" s="70"/>
      <c r="BC708" s="70">
        <f t="shared" si="397"/>
        <v>65.241610238344137</v>
      </c>
      <c r="BD708" s="70">
        <f t="shared" si="398"/>
        <v>10.867598948654038</v>
      </c>
      <c r="BE708" s="70">
        <f t="shared" si="399"/>
        <v>0.15696285059077372</v>
      </c>
      <c r="BF708" s="70">
        <f t="shared" si="400"/>
        <v>5.9160004540907662</v>
      </c>
      <c r="BG708" s="70">
        <f t="shared" si="401"/>
        <v>5.6785761640626736E-2</v>
      </c>
      <c r="BH708" s="67">
        <f>MAX((CE708-Driver!$F$200)/(Driver!$G$200-Driver!$F$200)*$BI$1,1)</f>
        <v>6.9607285145133746</v>
      </c>
      <c r="BI708" s="67">
        <f>MAX($BI$1*(BY708-Driver!$F$201)/(Driver!$G$201-Driver!$F$201),1)</f>
        <v>7.4050632911392409</v>
      </c>
      <c r="BJ708" s="67">
        <f>(CB708-Driver!$F$206)/(Driver!$G$206-Driver!$F$206)*$BI$1</f>
        <v>5.5555555555555554</v>
      </c>
      <c r="BK708" s="67">
        <f>(CD708-Driver!$F$203)/(Driver!$G$203-Driver!$F$203)*$BI$1</f>
        <v>3.3944954128440372</v>
      </c>
      <c r="BL708" s="67">
        <f>MAX((CR708-Driver!$F$202)/(Driver!$G$202-Driver!$F$202)*$BI$1,1)</f>
        <v>6.2068965517241379</v>
      </c>
      <c r="BM708" s="67">
        <f>MAX((CH708-Driver!$F$204)/(Driver!$G$204-Driver!$F$204)*$BI$1,1)</f>
        <v>4.7435897435897436</v>
      </c>
      <c r="BN708" s="67">
        <f>(CI708-Driver!$F$205)/(Driver!$G$205-Driver!$F$205)*$BI$1</f>
        <v>6.1176470588235299</v>
      </c>
      <c r="BO708" s="67">
        <f>(CK708-Driver!$F$207)/(Driver!$G$207-Driver!$F$207)*$BI$1</f>
        <v>1.6856256463288521</v>
      </c>
      <c r="BP708" s="67">
        <f>(CM708-Driver!$F$208)/(Driver!$G$208-Driver!$F$208)*$BI$1</f>
        <v>2.1444444444444444</v>
      </c>
      <c r="BQ708" s="67">
        <f>(CL708-Driver!$F$209)/(Driver!$G$209-Driver!$F$209)*$BI$1</f>
        <v>1.875</v>
      </c>
      <c r="BR708" s="28" t="s">
        <v>155</v>
      </c>
      <c r="BS708" s="8" t="s">
        <v>332</v>
      </c>
      <c r="BT708" s="9" t="s">
        <v>730</v>
      </c>
      <c r="BU708" s="10">
        <v>172</v>
      </c>
      <c r="BV708" s="9" t="s">
        <v>158</v>
      </c>
      <c r="BW708" s="10">
        <v>172</v>
      </c>
      <c r="BX708" s="10">
        <v>171.3</v>
      </c>
      <c r="BY708" s="10">
        <v>125</v>
      </c>
      <c r="BZ708" s="10">
        <v>142</v>
      </c>
      <c r="CA708" s="10">
        <v>132</v>
      </c>
      <c r="CB708" s="10">
        <v>99</v>
      </c>
      <c r="CC708" s="10">
        <v>119</v>
      </c>
      <c r="CD708" s="10">
        <v>16.8</v>
      </c>
      <c r="CE708" s="10">
        <v>2123</v>
      </c>
      <c r="CF708" s="10">
        <v>0.89</v>
      </c>
      <c r="CG708" s="10">
        <v>1882</v>
      </c>
      <c r="CH708" s="10">
        <v>212</v>
      </c>
      <c r="CI708" s="10">
        <v>137</v>
      </c>
      <c r="CJ708" s="10">
        <v>50</v>
      </c>
      <c r="CK708" s="10">
        <v>273</v>
      </c>
      <c r="CL708" s="10">
        <v>12</v>
      </c>
      <c r="CM708" s="10">
        <v>193</v>
      </c>
      <c r="CN708" s="10">
        <v>0.23799999999999999</v>
      </c>
      <c r="CO708" s="10">
        <v>134</v>
      </c>
      <c r="CP708" s="10">
        <v>158</v>
      </c>
      <c r="CQ708" s="10">
        <v>138</v>
      </c>
      <c r="CR708" s="10">
        <v>7</v>
      </c>
      <c r="CS708" s="10">
        <v>8.9</v>
      </c>
      <c r="CT708" s="9" t="s">
        <v>188</v>
      </c>
      <c r="CU708" s="10"/>
      <c r="CV708" s="10"/>
      <c r="CW708" s="10"/>
      <c r="CX708" t="str">
        <f>INDEX('Data_Price '!AG$2:AG$1266,MATCH(Data!$DN708,'Data_Price '!$AT$2:$AT$1266,0))</f>
        <v>Nordica Enforcer 100 Skis 2022</v>
      </c>
      <c r="CY708" t="str">
        <f>INDEX('Data_Price '!AH$2:AH$1266,MATCH(Data!$DN708,'Data_Price '!$AT$2:$AT$1266,0))</f>
        <v>Ski Pro  - Snow Ski &amp; Snowboard</v>
      </c>
      <c r="CZ708">
        <f>INDEX('Data_Price '!AI$2:AI$1266,MATCH(Data!$DN708,'Data_Price '!$AT$2:$AT$1266,0))</f>
        <v>599.95000000000005</v>
      </c>
      <c r="DA708" t="str">
        <f>INDEX('Data_Price '!AJ$2:AJ$1266,MATCH(Data!$DN708,'Data_Price '!$AT$2:$AT$1266,0))</f>
        <v>https://tinyurl.com/y7k3b3s6</v>
      </c>
      <c r="DB708" t="str">
        <f>INDEX('Data_Price '!AK$2:AK$1266,MATCH(Data!$DN708,'Data_Price '!$AT$2:$AT$1266,0))</f>
        <v>Nordica Enforcer 100 Skis 2022</v>
      </c>
      <c r="DC708" t="str">
        <f>INDEX('Data_Price '!AL$2:AL$1266,MATCH(Data!$DN708,'Data_Price '!$AT$2:$AT$1266,0))</f>
        <v>Basin Sports</v>
      </c>
      <c r="DD708">
        <f>INDEX('Data_Price '!AM$2:AM$1266,MATCH(Data!$DN708,'Data_Price '!$AT$2:$AT$1266,0))</f>
        <v>599.99</v>
      </c>
      <c r="DE708" t="str">
        <f>INDEX('Data_Price '!AN$2:AN$1266,MATCH(Data!$DN708,'Data_Price '!$AT$2:$AT$1266,0))</f>
        <v>https://tinyurl.com/y7j8ydn7</v>
      </c>
      <c r="DF708" t="str">
        <f>INDEX('Data_Price '!AO$2:AO$1266,MATCH(Data!$DN708,'Data_Price '!$AT$2:$AT$1266,0))</f>
        <v>Nordica Enforcer 100 Skis 2022</v>
      </c>
      <c r="DG708" t="str">
        <f>INDEX('Data_Price '!AP$2:AP$1266,MATCH(Data!$DN708,'Data_Price '!$AT$2:$AT$1266,0))</f>
        <v>evo.com</v>
      </c>
      <c r="DH708">
        <f>INDEX('Data_Price '!AQ$2:AQ$1266,MATCH(Data!$DN708,'Data_Price '!$AT$2:$AT$1266,0))</f>
        <v>599.99</v>
      </c>
      <c r="DI708" t="str">
        <f>INDEX('Data_Price '!AR$2:AR$1266,MATCH(Data!$DN708,'Data_Price '!$AT$2:$AT$1266,0))</f>
        <v>https://tinyurl.com/ycrx99yk</v>
      </c>
      <c r="DJ708" s="89" t="str">
        <f t="shared" si="402"/>
        <v>https://tinyurl.com/y7k3b3s6</v>
      </c>
      <c r="DK708" s="89" t="str">
        <f t="shared" si="403"/>
        <v>https://tinyurl.com/y7j8ydn7</v>
      </c>
      <c r="DL708" s="89" t="str">
        <f t="shared" si="404"/>
        <v>https://tinyurl.com/ycrx99yk</v>
      </c>
      <c r="DM708" s="219" t="str">
        <f t="shared" si="405"/>
        <v>Enforcer 100</v>
      </c>
      <c r="DN708" s="89" t="str">
        <f t="shared" si="406"/>
        <v xml:space="preserve"> NordicaEnforcer 100172 Unisex</v>
      </c>
      <c r="DO708" s="221" t="s">
        <v>731</v>
      </c>
    </row>
    <row r="709" spans="2:119" ht="15.6" customHeight="1">
      <c r="B709" s="219" t="b">
        <f t="array" ref="B709">IF(OR(ISERROR(K709:P709)),FALSE,TRUE)</f>
        <v>1</v>
      </c>
      <c r="C709" s="43" t="b">
        <f>OR(BR709=Driver!$G$50,Data!BR1153=Driver!$H$50)</f>
        <v>1</v>
      </c>
      <c r="D709" s="43" t="b">
        <f>OR(BV709=Driver!$G$51,BV709=Driver!$H$51)</f>
        <v>0</v>
      </c>
      <c r="E709" s="43" t="b">
        <f>AND(BX709&gt;Driver!$F$54,BX709&lt;Driver!$G$54)</f>
        <v>1</v>
      </c>
      <c r="F709" s="43" t="b">
        <f>CL709&gt;Driver!$F$56</f>
        <v>1</v>
      </c>
      <c r="G709" s="43" t="b">
        <f>AND(CB709&gt;Driver!$F$55,CB709&lt;Driver!$G$55)</f>
        <v>0</v>
      </c>
      <c r="H709" s="43" t="b">
        <f t="shared" si="370"/>
        <v>0</v>
      </c>
      <c r="I709" s="43">
        <f t="shared" si="371"/>
        <v>0</v>
      </c>
      <c r="J709" s="43" t="b">
        <f t="array" ref="J709">NOT(OR(($H$9:$H$1273=TRUE)*($I$9:$I$1273&gt;0)*($BT$9:$BT$1273=BT709)*($K$9:$K$1273&gt;K709)))</f>
        <v>1</v>
      </c>
      <c r="K709" s="72">
        <f t="shared" si="372"/>
        <v>0.82438227819312626</v>
      </c>
      <c r="L709" s="72">
        <f t="shared" si="373"/>
        <v>0.85745571762085282</v>
      </c>
      <c r="M709" s="72">
        <f t="shared" si="374"/>
        <v>0.7913088387653997</v>
      </c>
      <c r="N709" s="72">
        <f t="shared" si="375"/>
        <v>0.78403772893157131</v>
      </c>
      <c r="O709" s="72">
        <f t="shared" si="376"/>
        <v>0.64999054958850466</v>
      </c>
      <c r="P709" s="72">
        <f t="shared" si="377"/>
        <v>0.93989823777612314</v>
      </c>
      <c r="Q709" s="72"/>
      <c r="R709" s="72"/>
      <c r="S709" s="72">
        <f t="shared" si="378"/>
        <v>0.43944415315869156</v>
      </c>
      <c r="T709" s="72">
        <f t="shared" si="379"/>
        <v>0.48038565298295399</v>
      </c>
      <c r="U709" s="72">
        <f t="shared" si="380"/>
        <v>0.6365378607595088</v>
      </c>
      <c r="V709" s="72">
        <f t="shared" si="381"/>
        <v>0.50930746861009046</v>
      </c>
      <c r="W709" s="72">
        <f t="shared" si="382"/>
        <v>0.90092709650231773</v>
      </c>
      <c r="X709" s="72">
        <f t="shared" si="383"/>
        <v>0.14254428237914715</v>
      </c>
      <c r="Y709" s="72">
        <f t="shared" si="384"/>
        <v>0.2086911612346003</v>
      </c>
      <c r="Z709" s="72">
        <f t="shared" si="385"/>
        <v>0.21596227106842869</v>
      </c>
      <c r="AA709" s="72">
        <f t="shared" si="386"/>
        <v>0.35000945041149534</v>
      </c>
      <c r="AB709" s="72">
        <f t="shared" si="387"/>
        <v>6.010176222387692E-2</v>
      </c>
      <c r="AC709" s="72"/>
      <c r="AD709" s="72"/>
      <c r="AE709" s="72">
        <f t="shared" si="388"/>
        <v>0.56055584684130844</v>
      </c>
      <c r="AF709" s="72">
        <f t="shared" si="389"/>
        <v>0.51961434701704601</v>
      </c>
      <c r="AG709" s="72">
        <f t="shared" si="390"/>
        <v>0.3634621392404912</v>
      </c>
      <c r="AH709" s="72">
        <f t="shared" si="391"/>
        <v>0.49069253138990948</v>
      </c>
      <c r="AI709" s="72">
        <f t="shared" si="392"/>
        <v>9.9072903497682246E-2</v>
      </c>
      <c r="AJ709" s="72">
        <f>(AV709-Driver!$K$179)/(Driver!$L$179-Driver!$K$179)</f>
        <v>0.11167512690355327</v>
      </c>
      <c r="AK709" s="72">
        <f>(AW709-Driver!$K$180)/(Driver!$L$180-Driver!$K$180)</f>
        <v>0.20314119396497016</v>
      </c>
      <c r="AL709" s="72">
        <f>(AX709-Driver!$K$181)/(Driver!$L$181-Driver!$K$181)</f>
        <v>0.31765003478150888</v>
      </c>
      <c r="AM709" s="72">
        <f>(AY709-Driver!$K$182)/(Driver!$L$182-Driver!$K$182)</f>
        <v>9.7375570685550999E-2</v>
      </c>
      <c r="AN709" s="72">
        <f>(AZ709-Driver!$K$183)/(Driver!$L$183-Driver!$K$183)</f>
        <v>0.19411764705882351</v>
      </c>
      <c r="AO709" s="72"/>
      <c r="AP709" s="72"/>
      <c r="AQ709" s="72">
        <f>(BC709-Driver!$K$188)/(Driver!$L$188-Driver!$K$188)</f>
        <v>5.9444153158691539E-2</v>
      </c>
      <c r="AR709" s="72">
        <f>MIN((BD709-Driver!$K$189)/(Driver!$L$189-Driver!$K$189),100%)</f>
        <v>3.0385652982954033E-2</v>
      </c>
      <c r="AS709" s="72">
        <f>(BE709-Driver!$K$190)/(Driver!$L$190-Driver!$K$190)</f>
        <v>0.14653786075950881</v>
      </c>
      <c r="AT709" s="72">
        <f>(BF709-Driver!$K$191)/(Driver!$L$191-Driver!$K$191)</f>
        <v>1.9307468610090524E-2</v>
      </c>
      <c r="AU709" s="72">
        <f>(BG709-Driver!$K$192)/(Driver!$L$192-Driver!$K$192)</f>
        <v>0.15092709650231775</v>
      </c>
      <c r="AV709" s="70">
        <f t="shared" si="393"/>
        <v>2.3504273504273501</v>
      </c>
      <c r="AW709" s="70">
        <f t="shared" si="394"/>
        <v>21.66980198743563</v>
      </c>
      <c r="AX709" s="70">
        <f t="shared" si="395"/>
        <v>3.8588503130335798</v>
      </c>
      <c r="AY709" s="70">
        <f>IFERROR(Driver!$K$19/Data!BH709/Data!BI709*Data!BK709*Data!BL709,"")</f>
        <v>0.11921675258522099</v>
      </c>
      <c r="AZ709" s="70">
        <f t="shared" si="396"/>
        <v>17.691734921816828</v>
      </c>
      <c r="BA709" s="70"/>
      <c r="BB709" s="70"/>
      <c r="BC709" s="70">
        <f t="shared" si="397"/>
        <v>30.834095492461682</v>
      </c>
      <c r="BD709" s="70">
        <f t="shared" si="398"/>
        <v>4.4098993328979645</v>
      </c>
      <c r="BE709" s="70">
        <f t="shared" si="399"/>
        <v>0.14669010879902375</v>
      </c>
      <c r="BF709" s="70">
        <f t="shared" si="400"/>
        <v>2.1806429368659002</v>
      </c>
      <c r="BG709" s="70">
        <f t="shared" si="401"/>
        <v>0.57150626843657826</v>
      </c>
      <c r="BH709" s="67">
        <f>MAX((CE709-Driver!$F$200)/(Driver!$G$200-Driver!$F$200)*$BI$1,1)</f>
        <v>3.8588503130335798</v>
      </c>
      <c r="BI709" s="67">
        <f>MAX($BI$1*(BY709-Driver!$F$201)/(Driver!$G$201-Driver!$F$201),1)</f>
        <v>6.8354430379746836</v>
      </c>
      <c r="BJ709" s="67">
        <f>(CB709-Driver!$F$206)/(Driver!$G$206-Driver!$F$206)*$BI$1</f>
        <v>3.4920634920634921</v>
      </c>
      <c r="BK709" s="67">
        <f>(CD709-Driver!$F$203)/(Driver!$G$203-Driver!$F$203)*$BI$1</f>
        <v>3.2568807339449544</v>
      </c>
      <c r="BL709" s="67">
        <f>MAX((CR709-Driver!$F$202)/(Driver!$G$202-Driver!$F$202)*$BI$1,1)</f>
        <v>4.8275862068965516</v>
      </c>
      <c r="BM709" s="67">
        <f>MAX((CH709-Driver!$F$204)/(Driver!$G$204-Driver!$F$204)*$BI$1,1)</f>
        <v>2.6923076923076921</v>
      </c>
      <c r="BN709" s="67">
        <f>(CI709-Driver!$F$205)/(Driver!$G$205-Driver!$F$205)*$BI$1</f>
        <v>2.5882352941176472</v>
      </c>
      <c r="BO709" s="67">
        <f>(CK709-Driver!$F$207)/(Driver!$G$207-Driver!$F$207)*$BI$1</f>
        <v>1.0341261633919339</v>
      </c>
      <c r="BP709" s="67">
        <f>(CM709-Driver!$F$208)/(Driver!$G$208-Driver!$F$208)*$BI$1</f>
        <v>1.9666666666666666</v>
      </c>
      <c r="BQ709" s="67">
        <f>(CL709-Driver!$F$209)/(Driver!$G$209-Driver!$F$209)*$BI$1</f>
        <v>5.9375</v>
      </c>
      <c r="BR709" s="28" t="s">
        <v>155</v>
      </c>
      <c r="BS709" s="8" t="s">
        <v>229</v>
      </c>
      <c r="BT709" s="9" t="s">
        <v>445</v>
      </c>
      <c r="BU709" s="10">
        <v>156</v>
      </c>
      <c r="BV709" s="9" t="s">
        <v>163</v>
      </c>
      <c r="BW709" s="10">
        <v>156</v>
      </c>
      <c r="BX709" s="10">
        <v>155.1</v>
      </c>
      <c r="BY709" s="10">
        <v>116</v>
      </c>
      <c r="BZ709" s="10">
        <v>141</v>
      </c>
      <c r="CA709" s="10">
        <v>120</v>
      </c>
      <c r="CB709" s="10">
        <v>86</v>
      </c>
      <c r="CC709" s="10">
        <v>109</v>
      </c>
      <c r="CD709" s="10">
        <v>16.5</v>
      </c>
      <c r="CE709" s="10">
        <v>1578</v>
      </c>
      <c r="CF709" s="10">
        <v>0.95</v>
      </c>
      <c r="CG709" s="10">
        <v>1493</v>
      </c>
      <c r="CH709" s="10">
        <v>164</v>
      </c>
      <c r="CI709" s="10">
        <v>77</v>
      </c>
      <c r="CJ709" s="10">
        <v>39</v>
      </c>
      <c r="CK709" s="10">
        <v>210</v>
      </c>
      <c r="CL709" s="10">
        <v>38</v>
      </c>
      <c r="CM709" s="10">
        <v>177</v>
      </c>
      <c r="CN709" s="10">
        <v>0.98299999999999998</v>
      </c>
      <c r="CO709" s="10">
        <v>72</v>
      </c>
      <c r="CP709" s="10">
        <v>72</v>
      </c>
      <c r="CQ709" s="10">
        <v>138</v>
      </c>
      <c r="CR709" s="10">
        <v>3</v>
      </c>
      <c r="CS709" s="10">
        <v>2.1</v>
      </c>
      <c r="CT709" s="9" t="s">
        <v>184</v>
      </c>
      <c r="CU709" s="10"/>
      <c r="CV709" s="10"/>
      <c r="CW709" s="10"/>
      <c r="CX709" t="e">
        <f>INDEX('Data_Price '!AG$2:AG$1266,MATCH(Data!$DN709,'Data_Price '!$AT$2:$AT$1266,0))</f>
        <v>#N/A</v>
      </c>
      <c r="CY709" t="e">
        <f>INDEX('Data_Price '!AH$2:AH$1266,MATCH(Data!$DN709,'Data_Price '!$AT$2:$AT$1266,0))</f>
        <v>#N/A</v>
      </c>
      <c r="CZ709" t="e">
        <f>INDEX('Data_Price '!AI$2:AI$1266,MATCH(Data!$DN709,'Data_Price '!$AT$2:$AT$1266,0))</f>
        <v>#N/A</v>
      </c>
      <c r="DA709" t="e">
        <f>INDEX('Data_Price '!AJ$2:AJ$1266,MATCH(Data!$DN709,'Data_Price '!$AT$2:$AT$1266,0))</f>
        <v>#N/A</v>
      </c>
      <c r="DB709" t="e">
        <f>INDEX('Data_Price '!AK$2:AK$1266,MATCH(Data!$DN709,'Data_Price '!$AT$2:$AT$1266,0))</f>
        <v>#N/A</v>
      </c>
      <c r="DC709" t="e">
        <f>INDEX('Data_Price '!AL$2:AL$1266,MATCH(Data!$DN709,'Data_Price '!$AT$2:$AT$1266,0))</f>
        <v>#N/A</v>
      </c>
      <c r="DD709" t="e">
        <f>INDEX('Data_Price '!AM$2:AM$1266,MATCH(Data!$DN709,'Data_Price '!$AT$2:$AT$1266,0))</f>
        <v>#N/A</v>
      </c>
      <c r="DE709" t="e">
        <f>INDEX('Data_Price '!AN$2:AN$1266,MATCH(Data!$DN709,'Data_Price '!$AT$2:$AT$1266,0))</f>
        <v>#N/A</v>
      </c>
      <c r="DF709" t="e">
        <f>INDEX('Data_Price '!AO$2:AO$1266,MATCH(Data!$DN709,'Data_Price '!$AT$2:$AT$1266,0))</f>
        <v>#N/A</v>
      </c>
      <c r="DG709" t="e">
        <f>INDEX('Data_Price '!AP$2:AP$1266,MATCH(Data!$DN709,'Data_Price '!$AT$2:$AT$1266,0))</f>
        <v>#N/A</v>
      </c>
      <c r="DH709" t="e">
        <f>INDEX('Data_Price '!AQ$2:AQ$1266,MATCH(Data!$DN709,'Data_Price '!$AT$2:$AT$1266,0))</f>
        <v>#N/A</v>
      </c>
      <c r="DI709" t="e">
        <f>INDEX('Data_Price '!AR$2:AR$1266,MATCH(Data!$DN709,'Data_Price '!$AT$2:$AT$1266,0))</f>
        <v>#N/A</v>
      </c>
      <c r="DJ709" s="89" t="e">
        <f t="shared" si="402"/>
        <v>#N/A</v>
      </c>
      <c r="DK709" s="89" t="e">
        <f t="shared" si="403"/>
        <v>#N/A</v>
      </c>
      <c r="DL709" s="89" t="e">
        <f t="shared" si="404"/>
        <v>#N/A</v>
      </c>
      <c r="DM709" s="219" t="str">
        <f t="shared" si="405"/>
        <v>Bash 86 W</v>
      </c>
      <c r="DN709" s="89" t="str">
        <f t="shared" si="406"/>
        <v xml:space="preserve"> VölklBash 86 W156 Women's</v>
      </c>
      <c r="DO709" s="221" t="s">
        <v>446</v>
      </c>
    </row>
    <row r="710" spans="2:119" ht="15.6" customHeight="1">
      <c r="B710" s="219" t="b">
        <f t="array" ref="B710">IF(OR(ISERROR(K710:P710)),FALSE,TRUE)</f>
        <v>1</v>
      </c>
      <c r="C710" s="43" t="b">
        <f>OR(BR710=Driver!$G$50,Data!BR230=Driver!$H$50)</f>
        <v>1</v>
      </c>
      <c r="D710" s="43" t="b">
        <f>OR(BV710=Driver!$G$51,BV710=Driver!$H$51)</f>
        <v>1</v>
      </c>
      <c r="E710" s="43" t="b">
        <f>AND(BX710&gt;Driver!$F$54,BX710&lt;Driver!$G$54)</f>
        <v>0</v>
      </c>
      <c r="F710" s="43" t="b">
        <f>CL710&gt;Driver!$F$56</f>
        <v>1</v>
      </c>
      <c r="G710" s="43" t="b">
        <f>AND(CB710&gt;Driver!$F$55,CB710&lt;Driver!$G$55)</f>
        <v>0</v>
      </c>
      <c r="H710" s="43" t="b">
        <f t="shared" si="370"/>
        <v>0</v>
      </c>
      <c r="I710" s="43">
        <f t="shared" si="371"/>
        <v>0</v>
      </c>
      <c r="J710" s="43" t="b">
        <f t="array" ref="J710">NOT(OR(($H$9:$H$1273=TRUE)*($I$9:$I$1273&gt;0)*($BT$9:$BT$1273=BT710)*($K$9:$K$1273&gt;K710)))</f>
        <v>1</v>
      </c>
      <c r="K710" s="72">
        <f t="shared" si="372"/>
        <v>0.80657742820085998</v>
      </c>
      <c r="L710" s="72">
        <f t="shared" si="373"/>
        <v>0.88049979142634793</v>
      </c>
      <c r="M710" s="72">
        <f t="shared" si="374"/>
        <v>0.73265506497537203</v>
      </c>
      <c r="N710" s="72">
        <f t="shared" si="375"/>
        <v>0.69107624154777314</v>
      </c>
      <c r="O710" s="72">
        <f t="shared" si="376"/>
        <v>0.58880444109241581</v>
      </c>
      <c r="P710" s="72">
        <f t="shared" si="377"/>
        <v>0.91808451228592702</v>
      </c>
      <c r="Q710" s="72"/>
      <c r="R710" s="72"/>
      <c r="S710" s="72">
        <f t="shared" si="378"/>
        <v>0.40452420168460101</v>
      </c>
      <c r="T710" s="72">
        <f t="shared" si="379"/>
        <v>0.58793030733505269</v>
      </c>
      <c r="U710" s="72">
        <f t="shared" si="380"/>
        <v>0.54484170661121967</v>
      </c>
      <c r="V710" s="72">
        <f t="shared" si="381"/>
        <v>0.58876032981898063</v>
      </c>
      <c r="W710" s="72">
        <f t="shared" si="382"/>
        <v>0.84740669856459327</v>
      </c>
      <c r="X710" s="72">
        <f t="shared" si="383"/>
        <v>0.11950020857365201</v>
      </c>
      <c r="Y710" s="72">
        <f t="shared" si="384"/>
        <v>0.26734493502462803</v>
      </c>
      <c r="Z710" s="72">
        <f t="shared" si="385"/>
        <v>0.30892375845222686</v>
      </c>
      <c r="AA710" s="72">
        <f t="shared" si="386"/>
        <v>0.41119555890758419</v>
      </c>
      <c r="AB710" s="72">
        <f t="shared" si="387"/>
        <v>8.1915487714072976E-2</v>
      </c>
      <c r="AC710" s="72"/>
      <c r="AD710" s="72"/>
      <c r="AE710" s="72">
        <f t="shared" si="388"/>
        <v>0.59547579831539899</v>
      </c>
      <c r="AF710" s="72">
        <f t="shared" si="389"/>
        <v>0.41206969266494731</v>
      </c>
      <c r="AG710" s="72">
        <f t="shared" si="390"/>
        <v>0.45515829338878028</v>
      </c>
      <c r="AH710" s="72">
        <f t="shared" si="391"/>
        <v>0.41123967018101937</v>
      </c>
      <c r="AI710" s="72">
        <f t="shared" si="392"/>
        <v>0.1525933014354067</v>
      </c>
      <c r="AJ710" s="72">
        <f>(AV710-Driver!$K$179)/(Driver!$L$179-Driver!$K$179)</f>
        <v>0.13471920070904841</v>
      </c>
      <c r="AK710" s="72">
        <f>(AW710-Driver!$K$180)/(Driver!$L$180-Driver!$K$180)</f>
        <v>0.19055800728532643</v>
      </c>
      <c r="AL710" s="72">
        <f>(AX710-Driver!$K$181)/(Driver!$L$181-Driver!$K$181)</f>
        <v>0.41061152216530705</v>
      </c>
      <c r="AM710" s="72">
        <f>(AY710-Driver!$K$182)/(Driver!$L$182-Driver!$K$182)</f>
        <v>3.6189462189462181E-2</v>
      </c>
      <c r="AN710" s="72">
        <f>(AZ710-Driver!$K$183)/(Driver!$L$183-Driver!$K$183)</f>
        <v>0.17230392156862745</v>
      </c>
      <c r="AO710" s="72"/>
      <c r="AP710" s="72"/>
      <c r="AQ710" s="72">
        <f>(BC710-Driver!$K$188)/(Driver!$L$188-Driver!$K$188)</f>
        <v>2.4524201684601028E-2</v>
      </c>
      <c r="AR710" s="72">
        <f>MIN((BD710-Driver!$K$189)/(Driver!$L$189-Driver!$K$189),100%)</f>
        <v>0.13793030733505271</v>
      </c>
      <c r="AS710" s="72">
        <f>(BE710-Driver!$K$190)/(Driver!$L$190-Driver!$K$190)</f>
        <v>5.4841706611219752E-2</v>
      </c>
      <c r="AT710" s="72">
        <f>(BF710-Driver!$K$191)/(Driver!$L$191-Driver!$K$191)</f>
        <v>9.8760329818980627E-2</v>
      </c>
      <c r="AU710" s="72">
        <f>(BG710-Driver!$K$192)/(Driver!$L$192-Driver!$K$192)</f>
        <v>9.7406698564593303E-2</v>
      </c>
      <c r="AV710" s="70">
        <f t="shared" si="393"/>
        <v>2.835436168769502</v>
      </c>
      <c r="AW710" s="70">
        <f t="shared" si="394"/>
        <v>20.443458947127816</v>
      </c>
      <c r="AX710" s="70">
        <f t="shared" si="395"/>
        <v>4.6955036994877632</v>
      </c>
      <c r="AY710" s="70">
        <f>IFERROR(Driver!$K$19/Data!BH710/Data!BI710*Data!BK710*Data!BL710,"")</f>
        <v>4.4306699613248172E-2</v>
      </c>
      <c r="AZ710" s="70">
        <f t="shared" si="396"/>
        <v>15.703648548026806</v>
      </c>
      <c r="BA710" s="70"/>
      <c r="BB710" s="70"/>
      <c r="BC710" s="70">
        <f t="shared" si="397"/>
        <v>12.720873903286714</v>
      </c>
      <c r="BD710" s="70">
        <f t="shared" si="398"/>
        <v>13.927410685207088</v>
      </c>
      <c r="BE710" s="70">
        <f t="shared" si="399"/>
        <v>5.5010312212550573E-2</v>
      </c>
      <c r="BF710" s="70">
        <f t="shared" si="400"/>
        <v>11.15428542246881</v>
      </c>
      <c r="BG710" s="70">
        <f t="shared" si="401"/>
        <v>0.36884389952153113</v>
      </c>
      <c r="BH710" s="67">
        <f>MAX((CE710-Driver!$F$200)/(Driver!$G$200-Driver!$F$200)*$BI$1,1)</f>
        <v>4.6955036994877632</v>
      </c>
      <c r="BI710" s="67">
        <f>MAX($BI$1*(BY710-Driver!$F$201)/(Driver!$G$201-Driver!$F$201),1)</f>
        <v>7.0253164556962027</v>
      </c>
      <c r="BJ710" s="67">
        <f>(CB710-Driver!$F$206)/(Driver!$G$206-Driver!$F$206)*$BI$1</f>
        <v>3.4920634920634921</v>
      </c>
      <c r="BK710" s="67">
        <f>(CD710-Driver!$F$203)/(Driver!$G$203-Driver!$F$203)*$BI$1</f>
        <v>1.5137614678899081</v>
      </c>
      <c r="BL710" s="67">
        <f>MAX((CR710-Driver!$F$202)/(Driver!$G$202-Driver!$F$202)*$BI$1,1)</f>
        <v>4.8275862068965516</v>
      </c>
      <c r="BM710" s="67">
        <f>MAX((CH710-Driver!$F$204)/(Driver!$G$204-Driver!$F$204)*$BI$1,1)</f>
        <v>3.2478632478632479</v>
      </c>
      <c r="BN710" s="67">
        <f>(CI710-Driver!$F$205)/(Driver!$G$205-Driver!$F$205)*$BI$1</f>
        <v>2.2352941176470589</v>
      </c>
      <c r="BO710" s="67">
        <f>(CK710-Driver!$F$207)/(Driver!$G$207-Driver!$F$207)*$BI$1</f>
        <v>1.7476732161323683</v>
      </c>
      <c r="BP710" s="67">
        <f>(CM710-Driver!$F$208)/(Driver!$G$208-Driver!$F$208)*$BI$1</f>
        <v>2.7666666666666666</v>
      </c>
      <c r="BQ710" s="67">
        <f>(CL710-Driver!$F$209)/(Driver!$G$209-Driver!$F$209)*$BI$1</f>
        <v>5.625</v>
      </c>
      <c r="BR710" s="28" t="s">
        <v>155</v>
      </c>
      <c r="BS710" s="8" t="s">
        <v>237</v>
      </c>
      <c r="BT710" s="9" t="s">
        <v>732</v>
      </c>
      <c r="BU710" s="10">
        <v>173.2</v>
      </c>
      <c r="BV710" s="9" t="s">
        <v>158</v>
      </c>
      <c r="BW710" s="10">
        <v>173.2</v>
      </c>
      <c r="BX710" s="10">
        <v>171.7</v>
      </c>
      <c r="BY710" s="10">
        <v>119</v>
      </c>
      <c r="BZ710" s="10">
        <v>147</v>
      </c>
      <c r="CA710" s="10">
        <v>130</v>
      </c>
      <c r="CB710" s="10">
        <v>86</v>
      </c>
      <c r="CC710" s="10">
        <v>121</v>
      </c>
      <c r="CD710" s="10">
        <v>12.7</v>
      </c>
      <c r="CE710" s="10">
        <v>1725</v>
      </c>
      <c r="CF710" s="10">
        <v>1.02</v>
      </c>
      <c r="CG710" s="10">
        <v>1763</v>
      </c>
      <c r="CH710" s="10">
        <v>177</v>
      </c>
      <c r="CI710" s="10">
        <v>71</v>
      </c>
      <c r="CJ710" s="10">
        <v>42</v>
      </c>
      <c r="CK710" s="10">
        <v>279</v>
      </c>
      <c r="CL710" s="10">
        <v>36</v>
      </c>
      <c r="CM710" s="10">
        <v>249</v>
      </c>
      <c r="CN710" s="10">
        <v>0.85799999999999998</v>
      </c>
      <c r="CO710" s="10">
        <v>139</v>
      </c>
      <c r="CP710" s="10">
        <v>113</v>
      </c>
      <c r="CQ710" s="10">
        <v>140</v>
      </c>
      <c r="CR710" s="10">
        <v>3</v>
      </c>
      <c r="CS710" s="10">
        <v>3.5</v>
      </c>
      <c r="CT710" s="9" t="s">
        <v>188</v>
      </c>
      <c r="CU710" s="9" t="s">
        <v>184</v>
      </c>
      <c r="CV710" s="10"/>
      <c r="CW710" s="10"/>
      <c r="CX710" t="str">
        <f>INDEX('Data_Price '!AG$2:AG$1266,MATCH(Data!$DN710,'Data_Price '!$AT$2:$AT$1266,0))</f>
        <v>Black Crows Orb Freebird Skis</v>
      </c>
      <c r="CY710" t="str">
        <f>INDEX('Data_Price '!AH$2:AH$1266,MATCH(Data!$DN710,'Data_Price '!$AT$2:$AT$1266,0))</f>
        <v>! OutdoorXL.com</v>
      </c>
      <c r="CZ710">
        <f>INDEX('Data_Price '!AI$2:AI$1266,MATCH(Data!$DN710,'Data_Price '!$AT$2:$AT$1266,0))</f>
        <v>514.95000000000005</v>
      </c>
      <c r="DA710" t="str">
        <f>INDEX('Data_Price '!AJ$2:AJ$1266,MATCH(Data!$DN710,'Data_Price '!$AT$2:$AT$1266,0))</f>
        <v>https://tinyurl.com/yabv224z</v>
      </c>
      <c r="DB710" t="str">
        <f>INDEX('Data_Price '!AK$2:AK$1266,MATCH(Data!$DN710,'Data_Price '!$AT$2:$AT$1266,0))</f>
        <v>Black Crows Orb Freebird Skis</v>
      </c>
      <c r="DC710" t="str">
        <f>INDEX('Data_Price '!AL$2:AL$1266,MATCH(Data!$DN710,'Data_Price '!$AT$2:$AT$1266,0))</f>
        <v>eBay - asogear</v>
      </c>
      <c r="DD710">
        <f>INDEX('Data_Price '!AM$2:AM$1266,MATCH(Data!$DN710,'Data_Price '!$AT$2:$AT$1266,0))</f>
        <v>575.99</v>
      </c>
      <c r="DE710" t="str">
        <f>INDEX('Data_Price '!AN$2:AN$1266,MATCH(Data!$DN710,'Data_Price '!$AT$2:$AT$1266,0))</f>
        <v>https://tinyurl.com/y7gkntzt</v>
      </c>
      <c r="DF710" t="str">
        <f>INDEX('Data_Price '!AO$2:AO$1266,MATCH(Data!$DN710,'Data_Price '!$AT$2:$AT$1266,0))</f>
        <v>Skis Black Crows Navis Freebird</v>
      </c>
      <c r="DG710" t="str">
        <f>INDEX('Data_Price '!AP$2:AP$1266,MATCH(Data!$DN710,'Data_Price '!$AT$2:$AT$1266,0))</f>
        <v>Ascent Outdoors</v>
      </c>
      <c r="DH710">
        <f>INDEX('Data_Price '!AQ$2:AQ$1266,MATCH(Data!$DN710,'Data_Price '!$AT$2:$AT$1266,0))</f>
        <v>576.99</v>
      </c>
      <c r="DI710" t="str">
        <f>INDEX('Data_Price '!AR$2:AR$1266,MATCH(Data!$DN710,'Data_Price '!$AT$2:$AT$1266,0))</f>
        <v>https://tinyurl.com/yc3fdjsk</v>
      </c>
      <c r="DJ710" s="89" t="str">
        <f t="shared" si="402"/>
        <v>https://tinyurl.com/yabv224z</v>
      </c>
      <c r="DK710" s="89" t="str">
        <f t="shared" si="403"/>
        <v>https://tinyurl.com/y7gkntzt</v>
      </c>
      <c r="DL710" s="89" t="str">
        <f t="shared" si="404"/>
        <v>https://tinyurl.com/yc3fdjsk</v>
      </c>
      <c r="DM710" s="219" t="str">
        <f t="shared" si="405"/>
        <v>Mirus Cor</v>
      </c>
      <c r="DN710" s="89" t="str">
        <f t="shared" si="406"/>
        <v xml:space="preserve"> Black CrowsMirus Cor173.2 Unisex</v>
      </c>
      <c r="DO710" s="221"/>
    </row>
    <row r="711" spans="2:119" ht="15.6" customHeight="1">
      <c r="B711" s="219" t="b">
        <f t="array" ref="B711">IF(OR(ISERROR(K711:P711)),FALSE,TRUE)</f>
        <v>1</v>
      </c>
      <c r="C711" s="43" t="b">
        <f>OR(BR711=Driver!$G$50,Data!BR647=Driver!$H$50)</f>
        <v>1</v>
      </c>
      <c r="D711" s="43" t="b">
        <f>OR(BV711=Driver!$G$51,BV711=Driver!$H$51)</f>
        <v>1</v>
      </c>
      <c r="E711" s="43" t="b">
        <f>AND(BX711&gt;Driver!$F$54,BX711&lt;Driver!$G$54)</f>
        <v>1</v>
      </c>
      <c r="F711" s="43" t="b">
        <f>CL711&gt;Driver!$F$56</f>
        <v>1</v>
      </c>
      <c r="G711" s="43" t="b">
        <f>AND(CB711&gt;Driver!$F$55,CB711&lt;Driver!$G$55)</f>
        <v>0</v>
      </c>
      <c r="H711" s="43" t="b">
        <f t="shared" si="370"/>
        <v>0</v>
      </c>
      <c r="I711" s="43">
        <f t="shared" si="371"/>
        <v>0</v>
      </c>
      <c r="J711" s="43" t="b">
        <f t="array" ref="J711">NOT(OR(($H$9:$H$1273=TRUE)*($I$9:$I$1273&gt;0)*($BT$9:$BT$1273=BT711)*($K$9:$K$1273&gt;K711)))</f>
        <v>1</v>
      </c>
      <c r="K711" s="72">
        <f t="shared" si="372"/>
        <v>0.71671839804939086</v>
      </c>
      <c r="L711" s="72">
        <f t="shared" si="373"/>
        <v>0.76777720662254489</v>
      </c>
      <c r="M711" s="72">
        <f t="shared" si="374"/>
        <v>0.66565958947623671</v>
      </c>
      <c r="N711" s="72">
        <f t="shared" si="375"/>
        <v>0.4899758810848629</v>
      </c>
      <c r="O711" s="72">
        <f t="shared" si="376"/>
        <v>0.58611681139448035</v>
      </c>
      <c r="P711" s="72">
        <f t="shared" si="377"/>
        <v>0.92088607594936711</v>
      </c>
      <c r="Q711" s="72"/>
      <c r="R711" s="72"/>
      <c r="S711" s="72">
        <f t="shared" si="378"/>
        <v>0.50847812072407872</v>
      </c>
      <c r="T711" s="72">
        <f t="shared" si="379"/>
        <v>0.55000000000000004</v>
      </c>
      <c r="U711" s="72">
        <f t="shared" si="380"/>
        <v>0.51</v>
      </c>
      <c r="V711" s="72">
        <f t="shared" si="381"/>
        <v>0.49038019945891675</v>
      </c>
      <c r="W711" s="72">
        <f t="shared" si="382"/>
        <v>0.75489313835770533</v>
      </c>
      <c r="X711" s="72">
        <f t="shared" si="383"/>
        <v>0.23222279337745508</v>
      </c>
      <c r="Y711" s="72">
        <f t="shared" si="384"/>
        <v>0.33434041052376323</v>
      </c>
      <c r="Z711" s="72">
        <f t="shared" si="385"/>
        <v>0.5100241189151371</v>
      </c>
      <c r="AA711" s="72">
        <f t="shared" si="386"/>
        <v>0.41388318860551959</v>
      </c>
      <c r="AB711" s="72">
        <f t="shared" si="387"/>
        <v>7.9113924050632944E-2</v>
      </c>
      <c r="AC711" s="72"/>
      <c r="AD711" s="72"/>
      <c r="AE711" s="72">
        <f t="shared" si="388"/>
        <v>0.49152187927592134</v>
      </c>
      <c r="AF711" s="72">
        <f t="shared" si="389"/>
        <v>0.44999999999999996</v>
      </c>
      <c r="AG711" s="72">
        <f t="shared" si="390"/>
        <v>0.49</v>
      </c>
      <c r="AH711" s="72">
        <f t="shared" si="391"/>
        <v>0.50961980054108325</v>
      </c>
      <c r="AI711" s="72">
        <f t="shared" si="392"/>
        <v>0.24510686164229473</v>
      </c>
      <c r="AJ711" s="72">
        <f>(AV711-Driver!$K$179)/(Driver!$L$179-Driver!$K$179)</f>
        <v>2.1996615905245341E-2</v>
      </c>
      <c r="AK711" s="72">
        <f>(AW711-Driver!$K$180)/(Driver!$L$180-Driver!$K$180)</f>
        <v>0.35968281459859514</v>
      </c>
      <c r="AL711" s="72">
        <f>(AX711-Driver!$K$181)/(Driver!$L$181-Driver!$K$181)</f>
        <v>0.6117118826282173</v>
      </c>
      <c r="AM711" s="72">
        <f>(AY711-Driver!$K$182)/(Driver!$L$182-Driver!$K$182)</f>
        <v>3.350183249152678E-2</v>
      </c>
      <c r="AN711" s="72">
        <f>(AZ711-Driver!$K$183)/(Driver!$L$183-Driver!$K$183)</f>
        <v>0.33333333333333337</v>
      </c>
      <c r="AO711" s="72"/>
      <c r="AP711" s="72"/>
      <c r="AQ711" s="72">
        <f>(BC711-Driver!$K$188)/(Driver!$L$188-Driver!$K$188)</f>
        <v>0.12847812072407866</v>
      </c>
      <c r="AR711" s="72">
        <f>MIN((BD711-Driver!$K$189)/(Driver!$L$189-Driver!$K$189),100%)</f>
        <v>1</v>
      </c>
      <c r="AS711" s="72">
        <f>(BE711-Driver!$K$190)/(Driver!$L$190-Driver!$K$190)</f>
        <v>1</v>
      </c>
      <c r="AT711" s="72">
        <f>(BF711-Driver!$K$191)/(Driver!$L$191-Driver!$K$191)</f>
        <v>3.8019945891672874E-4</v>
      </c>
      <c r="AU711" s="72">
        <f>(BG711-Driver!$K$192)/(Driver!$L$192-Driver!$K$192)</f>
        <v>4.8931383577052873E-3</v>
      </c>
      <c r="AV711" s="70">
        <f t="shared" si="393"/>
        <v>0.46296296296296291</v>
      </c>
      <c r="AW711" s="70">
        <f t="shared" si="394"/>
        <v>36.926170018048666</v>
      </c>
      <c r="AX711" s="70">
        <f t="shared" si="395"/>
        <v>6.5054069436539557</v>
      </c>
      <c r="AY711" s="70">
        <f>IFERROR(Driver!$K$19/Data!BH711/Data!BI711*Data!BK711*Data!BL711,"")</f>
        <v>4.101623895167076E-2</v>
      </c>
      <c r="AZ711" s="70">
        <f t="shared" si="396"/>
        <v>30.37974683544304</v>
      </c>
      <c r="BA711" s="70"/>
      <c r="BB711" s="70"/>
      <c r="BC711" s="70">
        <f t="shared" si="397"/>
        <v>66.642494384984531</v>
      </c>
      <c r="BD711" s="70">
        <f t="shared" si="398"/>
        <v>266.24811100425887</v>
      </c>
      <c r="BE711" s="70">
        <f t="shared" si="399"/>
        <v>1</v>
      </c>
      <c r="BF711" s="70">
        <f t="shared" si="400"/>
        <v>4.2940857832274595E-2</v>
      </c>
      <c r="BG711" s="70">
        <f t="shared" si="401"/>
        <v>1.8528543307086618E-2</v>
      </c>
      <c r="BH711" s="67">
        <f>MAX((CE711-Driver!$F$200)/(Driver!$G$200-Driver!$F$200)*$BI$1,1)</f>
        <v>6.5054069436539557</v>
      </c>
      <c r="BI711" s="67">
        <f>MAX($BI$1*(BY711-Driver!$F$201)/(Driver!$G$201-Driver!$F$201),1)</f>
        <v>8.6075949367088604</v>
      </c>
      <c r="BJ711" s="67">
        <f>(CB711-Driver!$F$206)/(Driver!$G$206-Driver!$F$206)*$BI$1</f>
        <v>0.47619047619047616</v>
      </c>
      <c r="BK711" s="67">
        <f>(CD711-Driver!$F$203)/(Driver!$G$203-Driver!$F$203)*$BI$1</f>
        <v>1.5137614678899081</v>
      </c>
      <c r="BL711" s="67">
        <f>MAX((CR711-Driver!$F$202)/(Driver!$G$202-Driver!$F$202)*$BI$1,1)</f>
        <v>7.5862068965517242</v>
      </c>
      <c r="BM711" s="67">
        <f>MAX((CH711-Driver!$F$204)/(Driver!$G$204-Driver!$F$204)*$BI$1,1)</f>
        <v>3.8888888888888888</v>
      </c>
      <c r="BN711" s="67">
        <f>(CI711-Driver!$F$205)/(Driver!$G$205-Driver!$F$205)*$BI$1</f>
        <v>3.5294117647058827</v>
      </c>
      <c r="BO711" s="67">
        <f>(CK711-Driver!$F$207)/(Driver!$G$207-Driver!$F$207)*$BI$1</f>
        <v>0.27921406411582211</v>
      </c>
      <c r="BP711" s="67">
        <f>(CM711-Driver!$F$208)/(Driver!$G$208-Driver!$F$208)*$BI$1</f>
        <v>0.48888888888888893</v>
      </c>
      <c r="BQ711" s="67">
        <f>(CL711-Driver!$F$209)/(Driver!$G$209-Driver!$F$209)*$BI$1</f>
        <v>0.46875</v>
      </c>
      <c r="BR711" s="28" t="s">
        <v>155</v>
      </c>
      <c r="BS711" s="8" t="s">
        <v>167</v>
      </c>
      <c r="BT711" s="9" t="s">
        <v>733</v>
      </c>
      <c r="BU711" s="10">
        <v>163</v>
      </c>
      <c r="BV711" s="9" t="s">
        <v>158</v>
      </c>
      <c r="BW711" s="10">
        <v>163</v>
      </c>
      <c r="BX711" s="10">
        <v>162.4</v>
      </c>
      <c r="BY711" s="10">
        <v>144</v>
      </c>
      <c r="BZ711" s="10">
        <v>151</v>
      </c>
      <c r="CA711" s="10">
        <v>121</v>
      </c>
      <c r="CB711" s="10">
        <v>67</v>
      </c>
      <c r="CC711" s="10">
        <v>103</v>
      </c>
      <c r="CD711" s="10">
        <v>12.7</v>
      </c>
      <c r="CE711" s="10">
        <v>2043</v>
      </c>
      <c r="CF711" s="10">
        <v>0.66</v>
      </c>
      <c r="CG711" s="10">
        <v>1351</v>
      </c>
      <c r="CH711" s="10">
        <v>192</v>
      </c>
      <c r="CI711" s="10">
        <v>93</v>
      </c>
      <c r="CJ711" s="10">
        <v>37</v>
      </c>
      <c r="CK711" s="10">
        <v>137</v>
      </c>
      <c r="CL711" s="10">
        <v>3</v>
      </c>
      <c r="CM711" s="10">
        <v>44</v>
      </c>
      <c r="CN711" s="10">
        <v>8.1000000000000003E-2</v>
      </c>
      <c r="CO711" s="10">
        <v>62</v>
      </c>
      <c r="CP711" s="10">
        <v>52</v>
      </c>
      <c r="CQ711" s="10">
        <v>75</v>
      </c>
      <c r="CR711" s="10">
        <v>11</v>
      </c>
      <c r="CS711" s="10">
        <v>12.4</v>
      </c>
      <c r="CT711" s="9" t="s">
        <v>349</v>
      </c>
      <c r="CU711" s="10"/>
      <c r="CV711" s="10"/>
      <c r="CW711" s="10"/>
      <c r="CX711" t="str">
        <f>INDEX('Data_Price '!AG$2:AG$1266,MATCH(Data!$DN711,'Data_Price '!$AT$2:$AT$1266,0))</f>
        <v>Head Supershape i.Magnum Skis w Head PRX 12 Demo Bindings  Demo</v>
      </c>
      <c r="CY711" t="str">
        <f>INDEX('Data_Price '!AH$2:AH$1266,MATCH(Data!$DN711,'Data_Price '!$AT$2:$AT$1266,0))</f>
        <v>Powder7 Ski Shop</v>
      </c>
      <c r="CZ711">
        <f>INDEX('Data_Price '!AI$2:AI$1266,MATCH(Data!$DN711,'Data_Price '!$AT$2:$AT$1266,0))</f>
        <v>359.99</v>
      </c>
      <c r="DA711" t="str">
        <f>INDEX('Data_Price '!AJ$2:AJ$1266,MATCH(Data!$DN711,'Data_Price '!$AT$2:$AT$1266,0))</f>
        <v>https://tinyurl.com/y9nqegyl</v>
      </c>
      <c r="DB711" t="str">
        <f>INDEX('Data_Price '!AK$2:AK$1266,MATCH(Data!$DN711,'Data_Price '!$AT$2:$AT$1266,0))</f>
        <v>2018 Head Supershape I-titan 163cm W/ Head Prd 12 Binding</v>
      </c>
      <c r="DC711" t="str">
        <f>INDEX('Data_Price '!AL$2:AL$1266,MATCH(Data!$DN711,'Data_Price '!$AT$2:$AT$1266,0))</f>
        <v>eBay - riverpirate999</v>
      </c>
      <c r="DD711">
        <f>INDEX('Data_Price '!AM$2:AM$1266,MATCH(Data!$DN711,'Data_Price '!$AT$2:$AT$1266,0))</f>
        <v>369</v>
      </c>
      <c r="DE711" t="str">
        <f>INDEX('Data_Price '!AN$2:AN$1266,MATCH(Data!$DN711,'Data_Price '!$AT$2:$AT$1266,0))</f>
        <v>https://tinyurl.com/y72beumo</v>
      </c>
      <c r="DF711" t="str">
        <f>INDEX('Data_Price '!AO$2:AO$1266,MATCH(Data!$DN711,'Data_Price '!$AT$2:$AT$1266,0))</f>
        <v xml:space="preserve"> Head Supershape Titan 163 cm Downhill Ski / Mens Combo</v>
      </c>
      <c r="DG711" t="str">
        <f>INDEX('Data_Price '!AP$2:AP$1266,MATCH(Data!$DN711,'Data_Price '!$AT$2:$AT$1266,0))</f>
        <v>Play It Again Sports</v>
      </c>
      <c r="DH711">
        <f>INDEX('Data_Price '!AQ$2:AQ$1266,MATCH(Data!$DN711,'Data_Price '!$AT$2:$AT$1266,0))</f>
        <v>379.99</v>
      </c>
      <c r="DI711" t="str">
        <f>INDEX('Data_Price '!AR$2:AR$1266,MATCH(Data!$DN711,'Data_Price '!$AT$2:$AT$1266,0))</f>
        <v>https://tinyurl.com/ya8cfc4h</v>
      </c>
      <c r="DJ711" s="89" t="str">
        <f t="shared" si="402"/>
        <v>https://tinyurl.com/y9nqegyl</v>
      </c>
      <c r="DK711" s="89" t="str">
        <f t="shared" si="403"/>
        <v>https://tinyurl.com/y72beumo</v>
      </c>
      <c r="DL711" s="89" t="str">
        <f t="shared" si="404"/>
        <v>https://tinyurl.com/ya8cfc4h</v>
      </c>
      <c r="DM711" s="219" t="str">
        <f t="shared" si="405"/>
        <v>Supershape e-Speed</v>
      </c>
      <c r="DN711" s="89" t="str">
        <f t="shared" si="406"/>
        <v xml:space="preserve"> HeadSupershape e-Speed163 Unisex</v>
      </c>
      <c r="DO711" s="221"/>
    </row>
    <row r="712" spans="2:119" ht="15.6" customHeight="1">
      <c r="B712" s="219" t="b">
        <f t="array" ref="B712">IF(OR(ISERROR(K712:P712)),FALSE,TRUE)</f>
        <v>1</v>
      </c>
      <c r="C712" s="43" t="b">
        <f>OR(BR712=Driver!$G$50,Data!BR396=Driver!$H$50)</f>
        <v>1</v>
      </c>
      <c r="D712" s="43" t="b">
        <f>OR(BV712=Driver!$G$51,BV712=Driver!$H$51)</f>
        <v>0</v>
      </c>
      <c r="E712" s="43" t="b">
        <f>AND(BX712&gt;Driver!$F$54,BX712&lt;Driver!$G$54)</f>
        <v>0</v>
      </c>
      <c r="F712" s="43" t="b">
        <f>CL712&gt;Driver!$F$56</f>
        <v>1</v>
      </c>
      <c r="G712" s="43" t="b">
        <f>AND(CB712&gt;Driver!$F$55,CB712&lt;Driver!$G$55)</f>
        <v>0</v>
      </c>
      <c r="H712" s="43" t="b">
        <f t="shared" si="370"/>
        <v>0</v>
      </c>
      <c r="I712" s="43">
        <f t="shared" si="371"/>
        <v>0</v>
      </c>
      <c r="J712" s="43" t="b">
        <f t="array" ref="J712">NOT(OR(($H$9:$H$1273=TRUE)*($I$9:$I$1273&gt;0)*($BT$9:$BT$1273=BT712)*($K$9:$K$1273&gt;K712)))</f>
        <v>1</v>
      </c>
      <c r="K712" s="72">
        <f t="shared" si="372"/>
        <v>0.8218186465024464</v>
      </c>
      <c r="L712" s="72">
        <f t="shared" si="373"/>
        <v>0.83425049644608851</v>
      </c>
      <c r="M712" s="72">
        <f t="shared" si="374"/>
        <v>0.80938679655880419</v>
      </c>
      <c r="N712" s="72">
        <f t="shared" si="375"/>
        <v>0.89597094843451197</v>
      </c>
      <c r="O712" s="72">
        <f t="shared" si="376"/>
        <v>0.58787943875989523</v>
      </c>
      <c r="P712" s="72">
        <f t="shared" si="377"/>
        <v>0.94431000248200547</v>
      </c>
      <c r="Q712" s="72"/>
      <c r="R712" s="72"/>
      <c r="S712" s="72">
        <f t="shared" si="378"/>
        <v>0.39325298653061391</v>
      </c>
      <c r="T712" s="72">
        <f t="shared" si="379"/>
        <v>0.73046979034461879</v>
      </c>
      <c r="U712" s="72">
        <f t="shared" si="380"/>
        <v>0.51</v>
      </c>
      <c r="V712" s="72">
        <f t="shared" si="381"/>
        <v>0.53236508256500681</v>
      </c>
      <c r="W712" s="72">
        <f t="shared" si="382"/>
        <v>0.77775596348287035</v>
      </c>
      <c r="X712" s="72">
        <f t="shared" si="383"/>
        <v>0.16574950355391146</v>
      </c>
      <c r="Y712" s="72">
        <f t="shared" si="384"/>
        <v>0.19061320344119578</v>
      </c>
      <c r="Z712" s="72">
        <f t="shared" si="385"/>
        <v>0.10402905156548807</v>
      </c>
      <c r="AA712" s="72">
        <f t="shared" si="386"/>
        <v>0.41212056124010477</v>
      </c>
      <c r="AB712" s="72">
        <f t="shared" si="387"/>
        <v>5.5689997517994555E-2</v>
      </c>
      <c r="AC712" s="72"/>
      <c r="AD712" s="72"/>
      <c r="AE712" s="72">
        <f t="shared" si="388"/>
        <v>0.60674701346938609</v>
      </c>
      <c r="AF712" s="72">
        <f t="shared" si="389"/>
        <v>0.26953020965538121</v>
      </c>
      <c r="AG712" s="72">
        <f t="shared" si="390"/>
        <v>0.49</v>
      </c>
      <c r="AH712" s="72">
        <f t="shared" si="391"/>
        <v>0.46763491743499314</v>
      </c>
      <c r="AI712" s="72">
        <f t="shared" si="392"/>
        <v>0.22224403651712968</v>
      </c>
      <c r="AJ712" s="72">
        <f>(AV712-Driver!$K$179)/(Driver!$L$179-Driver!$K$179)</f>
        <v>8.8469905728788961E-2</v>
      </c>
      <c r="AK712" s="72">
        <f>(AW712-Driver!$K$180)/(Driver!$L$180-Driver!$K$180)</f>
        <v>0.19614997103809792</v>
      </c>
      <c r="AL712" s="72">
        <f>(AX712-Driver!$K$181)/(Driver!$L$181-Driver!$K$181)</f>
        <v>0.20571681527856825</v>
      </c>
      <c r="AM712" s="72">
        <f>(AY712-Driver!$K$182)/(Driver!$L$182-Driver!$K$182)</f>
        <v>3.5264459856941571E-2</v>
      </c>
      <c r="AN712" s="72">
        <f>(AZ712-Driver!$K$183)/(Driver!$L$183-Driver!$K$183)</f>
        <v>0.19852941176470587</v>
      </c>
      <c r="AO712" s="72"/>
      <c r="AP712" s="72"/>
      <c r="AQ712" s="72">
        <f>(BC712-Driver!$K$188)/(Driver!$L$188-Driver!$K$188)</f>
        <v>1.3252986530613936E-2</v>
      </c>
      <c r="AR712" s="72">
        <f>MIN((BD712-Driver!$K$189)/(Driver!$L$189-Driver!$K$189),100%)</f>
        <v>0.28046979034461883</v>
      </c>
      <c r="AS712" s="72">
        <f>(BE712-Driver!$K$190)/(Driver!$L$190-Driver!$K$190)</f>
        <v>1</v>
      </c>
      <c r="AT712" s="72">
        <f>(BF712-Driver!$K$191)/(Driver!$L$191-Driver!$K$191)</f>
        <v>4.2365082565006873E-2</v>
      </c>
      <c r="AU712" s="72">
        <f>(BG712-Driver!$K$192)/(Driver!$L$192-Driver!$K$192)</f>
        <v>2.7755963482870322E-2</v>
      </c>
      <c r="AV712" s="70">
        <f t="shared" si="393"/>
        <v>1.8620268620268619</v>
      </c>
      <c r="AW712" s="70">
        <f t="shared" si="394"/>
        <v>20.988445364674874</v>
      </c>
      <c r="AX712" s="70">
        <f t="shared" si="395"/>
        <v>2.8514513375071142</v>
      </c>
      <c r="AY712" s="70">
        <f>IFERROR(Driver!$K$19/Data!BH712/Data!BI712*Data!BK712*Data!BL712,"")</f>
        <v>4.3174220764184805E-2</v>
      </c>
      <c r="AZ712" s="70">
        <f t="shared" si="396"/>
        <v>18.093819806403573</v>
      </c>
      <c r="BA712" s="70"/>
      <c r="BB712" s="70"/>
      <c r="BC712" s="70">
        <f t="shared" si="397"/>
        <v>6.874416246697078</v>
      </c>
      <c r="BD712" s="70">
        <f t="shared" si="398"/>
        <v>26.541902366534856</v>
      </c>
      <c r="BE712" s="70">
        <f t="shared" si="399"/>
        <v>1</v>
      </c>
      <c r="BF712" s="70">
        <f t="shared" si="400"/>
        <v>4.7848384441677352</v>
      </c>
      <c r="BG712" s="70">
        <f t="shared" si="401"/>
        <v>0.10510178413664474</v>
      </c>
      <c r="BH712" s="67">
        <f>MAX((CE712-Driver!$F$200)/(Driver!$G$200-Driver!$F$200)*$BI$1,1)</f>
        <v>2.8514513375071142</v>
      </c>
      <c r="BI712" s="67">
        <f>MAX($BI$1*(BY712-Driver!$F$201)/(Driver!$G$201-Driver!$F$201),1)</f>
        <v>6.8354430379746836</v>
      </c>
      <c r="BJ712" s="67">
        <f>(CB712-Driver!$F$206)/(Driver!$G$206-Driver!$F$206)*$BI$1</f>
        <v>2.8571428571428568</v>
      </c>
      <c r="BK712" s="67">
        <f>(CD712-Driver!$F$203)/(Driver!$G$203-Driver!$F$203)*$BI$1</f>
        <v>0.64220183486238569</v>
      </c>
      <c r="BL712" s="67">
        <f>MAX((CR712-Driver!$F$202)/(Driver!$G$202-Driver!$F$202)*$BI$1,1)</f>
        <v>6.5517241379310338</v>
      </c>
      <c r="BM712" s="67">
        <f>MAX((CH712-Driver!$F$204)/(Driver!$G$204-Driver!$F$204)*$BI$1,1)</f>
        <v>2.6068376068376069</v>
      </c>
      <c r="BN712" s="67">
        <f>(CI712-Driver!$F$205)/(Driver!$G$205-Driver!$F$205)*$BI$1</f>
        <v>2.6470588235294117</v>
      </c>
      <c r="BO712" s="67">
        <f>(CK712-Driver!$F$207)/(Driver!$G$207-Driver!$F$207)*$BI$1</f>
        <v>1.6132368148914167</v>
      </c>
      <c r="BP712" s="67">
        <f>(CM712-Driver!$F$208)/(Driver!$G$208-Driver!$F$208)*$BI$1</f>
        <v>0.66666666666666663</v>
      </c>
      <c r="BQ712" s="67">
        <f>(CL712-Driver!$F$209)/(Driver!$G$209-Driver!$F$209)*$BI$1</f>
        <v>0.78125</v>
      </c>
      <c r="BR712" s="28" t="s">
        <v>155</v>
      </c>
      <c r="BS712" s="8" t="s">
        <v>202</v>
      </c>
      <c r="BT712" s="9" t="s">
        <v>649</v>
      </c>
      <c r="BU712" s="10">
        <v>149</v>
      </c>
      <c r="BV712" s="9" t="s">
        <v>163</v>
      </c>
      <c r="BW712" s="10">
        <v>149</v>
      </c>
      <c r="BX712" s="10">
        <v>148.69999999999999</v>
      </c>
      <c r="BY712" s="10">
        <v>116</v>
      </c>
      <c r="BZ712" s="10">
        <v>119</v>
      </c>
      <c r="CA712" s="10">
        <v>121</v>
      </c>
      <c r="CB712" s="10">
        <v>82</v>
      </c>
      <c r="CC712" s="10">
        <v>103</v>
      </c>
      <c r="CD712" s="10">
        <v>10.8</v>
      </c>
      <c r="CE712" s="10">
        <v>1401</v>
      </c>
      <c r="CF712" s="10">
        <v>1.01</v>
      </c>
      <c r="CG712" s="10">
        <v>1409</v>
      </c>
      <c r="CH712" s="10">
        <v>162</v>
      </c>
      <c r="CI712" s="10">
        <v>78</v>
      </c>
      <c r="CJ712" s="10">
        <v>41</v>
      </c>
      <c r="CK712" s="10">
        <v>266</v>
      </c>
      <c r="CL712" s="10">
        <v>5</v>
      </c>
      <c r="CM712" s="10">
        <v>60</v>
      </c>
      <c r="CN712" s="10">
        <v>0.113</v>
      </c>
      <c r="CO712" s="10">
        <v>156</v>
      </c>
      <c r="CP712" s="10">
        <v>140</v>
      </c>
      <c r="CQ712" s="10">
        <v>110</v>
      </c>
      <c r="CR712" s="10">
        <v>8</v>
      </c>
      <c r="CS712" s="10">
        <v>6</v>
      </c>
      <c r="CT712" s="9" t="s">
        <v>231</v>
      </c>
      <c r="CU712" s="9" t="s">
        <v>188</v>
      </c>
      <c r="CV712" s="10"/>
      <c r="CW712" s="10"/>
      <c r="CX712" t="str">
        <f>INDEX('Data_Price '!AG$2:AG$1266,MATCH(Data!$DN712,'Data_Price '!$AT$2:$AT$1266,0))</f>
        <v>Dynastar M-PRO 84 W 149cm</v>
      </c>
      <c r="CY712" t="str">
        <f>INDEX('Data_Price '!AH$2:AH$1266,MATCH(Data!$DN712,'Data_Price '!$AT$2:$AT$1266,0))</f>
        <v>Sundance Ski and Board Shop</v>
      </c>
      <c r="CZ712">
        <f>INDEX('Data_Price '!AI$2:AI$1266,MATCH(Data!$DN712,'Data_Price '!$AT$2:$AT$1266,0))</f>
        <v>360.77</v>
      </c>
      <c r="DA712" t="str">
        <f>INDEX('Data_Price '!AJ$2:AJ$1266,MATCH(Data!$DN712,'Data_Price '!$AT$2:$AT$1266,0))</f>
        <v>https://tinyurl.com/y9dposya</v>
      </c>
      <c r="DB712" t="str">
        <f>INDEX('Data_Price '!AK$2:AK$1266,MATCH(Data!$DN712,'Data_Price '!$AT$2:$AT$1266,0))</f>
        <v>Dynastar M-Pro 84 W Skis</v>
      </c>
      <c r="DC712" t="str">
        <f>INDEX('Data_Price '!AL$2:AL$1266,MATCH(Data!$DN712,'Data_Price '!$AT$2:$AT$1266,0))</f>
        <v>Cole Sport</v>
      </c>
      <c r="DD712">
        <f>INDEX('Data_Price '!AM$2:AM$1266,MATCH(Data!$DN712,'Data_Price '!$AT$2:$AT$1266,0))</f>
        <v>399.96</v>
      </c>
      <c r="DE712" t="str">
        <f>INDEX('Data_Price '!AN$2:AN$1266,MATCH(Data!$DN712,'Data_Price '!$AT$2:$AT$1266,0))</f>
        <v>https://tinyurl.com/y8cfwqxh</v>
      </c>
      <c r="DF712" t="str">
        <f>INDEX('Data_Price '!AO$2:AO$1266,MATCH(Data!$DN712,'Data_Price '!$AT$2:$AT$1266,0))</f>
        <v>18-19 Dynastar Legend W 84  Women's Demo Skis W/ Bindings Size</v>
      </c>
      <c r="DG712" t="str">
        <f>INDEX('Data_Price '!AP$2:AP$1266,MATCH(Data!$DN712,'Data_Price '!$AT$2:$AT$1266,0))</f>
        <v>eBay - demo-skis</v>
      </c>
      <c r="DH712">
        <f>INDEX('Data_Price '!AQ$2:AQ$1266,MATCH(Data!$DN712,'Data_Price '!$AT$2:$AT$1266,0))</f>
        <v>399</v>
      </c>
      <c r="DI712" t="str">
        <f>INDEX('Data_Price '!AR$2:AR$1266,MATCH(Data!$DN712,'Data_Price '!$AT$2:$AT$1266,0))</f>
        <v>https://tinyurl.com/y6var6o6</v>
      </c>
      <c r="DJ712" s="89" t="str">
        <f t="shared" si="402"/>
        <v>https://tinyurl.com/y9dposya</v>
      </c>
      <c r="DK712" s="89" t="str">
        <f t="shared" si="403"/>
        <v>https://tinyurl.com/y8cfwqxh</v>
      </c>
      <c r="DL712" s="89" t="str">
        <f t="shared" si="404"/>
        <v>https://tinyurl.com/y6var6o6</v>
      </c>
      <c r="DM712" s="219" t="str">
        <f t="shared" si="405"/>
        <v>M-Pro 84 W</v>
      </c>
      <c r="DN712" s="89" t="str">
        <f t="shared" si="406"/>
        <v xml:space="preserve"> DynastarM-Pro 84 W149 Women's</v>
      </c>
      <c r="DO712" s="221" t="s">
        <v>650</v>
      </c>
    </row>
    <row r="713" spans="2:119" ht="15.6" customHeight="1">
      <c r="B713" s="219" t="b">
        <f t="array" ref="B713">IF(OR(ISERROR(K713:P713)),FALSE,TRUE)</f>
        <v>1</v>
      </c>
      <c r="C713" s="43" t="b">
        <f>OR(BR713=Driver!$G$50,Data!BR654=Driver!$H$50)</f>
        <v>1</v>
      </c>
      <c r="D713" s="43" t="b">
        <f>OR(BV713=Driver!$G$51,BV713=Driver!$H$51)</f>
        <v>1</v>
      </c>
      <c r="E713" s="43" t="b">
        <f>AND(BX713&gt;Driver!$F$54,BX713&lt;Driver!$G$54)</f>
        <v>0</v>
      </c>
      <c r="F713" s="43" t="b">
        <f>CL713&gt;Driver!$F$56</f>
        <v>1</v>
      </c>
      <c r="G713" s="43" t="b">
        <f>AND(CB713&gt;Driver!$F$55,CB713&lt;Driver!$G$55)</f>
        <v>0</v>
      </c>
      <c r="H713" s="43" t="b">
        <f t="shared" ref="H713:H776" si="407">AND(B713:G713)</f>
        <v>0</v>
      </c>
      <c r="I713" s="43">
        <f t="shared" ref="I713:I776" si="408">COUNTIFS($H$9:$H$1273,TRUE,$BT$9:$BT$1273,BT713)</f>
        <v>0</v>
      </c>
      <c r="J713" s="43" t="b">
        <f t="array" ref="J713">NOT(OR(($H$9:$H$1273=TRUE)*($I$9:$I$1273&gt;0)*($BT$9:$BT$1273=BT713)*($K$9:$K$1273&gt;K713)))</f>
        <v>1</v>
      </c>
      <c r="K713" s="72">
        <f t="shared" ref="K713:K776" si="409">IFERROR(1-AVERAGE(X713:Y713),"")</f>
        <v>0.83287333785381146</v>
      </c>
      <c r="L713" s="72">
        <f t="shared" ref="L713:L776" si="410">1-X713</f>
        <v>0.94882627599648739</v>
      </c>
      <c r="M713" s="72">
        <f t="shared" ref="M713:M776" si="411">1-Y713</f>
        <v>0.71692039971113553</v>
      </c>
      <c r="N713" s="72">
        <f t="shared" ref="N713:N776" si="412">1-Z713</f>
        <v>0.59242323452823231</v>
      </c>
      <c r="O713" s="72">
        <f t="shared" ref="O713:O776" si="413">1-AA713</f>
        <v>0.61439560918199243</v>
      </c>
      <c r="P713" s="72">
        <f t="shared" ref="P713:P776" si="414">1-AB713</f>
        <v>0.94394235542318194</v>
      </c>
      <c r="Q713" s="72"/>
      <c r="R713" s="72"/>
      <c r="S713" s="72">
        <f t="shared" ref="S713:S776" si="415">1-AE713</f>
        <v>0.42840561483789519</v>
      </c>
      <c r="T713" s="72">
        <f t="shared" ref="T713:T776" si="416">1-AF713</f>
        <v>0.77318141666916218</v>
      </c>
      <c r="U713" s="72">
        <f t="shared" ref="U713:U776" si="417">1-AG713</f>
        <v>0.51</v>
      </c>
      <c r="V713" s="72">
        <f t="shared" ref="V713:V776" si="418">1-AH713</f>
        <v>0.49328045898022799</v>
      </c>
      <c r="W713" s="72">
        <f t="shared" ref="W713:W776" si="419">1-AI713</f>
        <v>0.76235255570117955</v>
      </c>
      <c r="X713" s="72">
        <f t="shared" ref="X713:X776" si="420">ABS(AJ713-AJ$1)</f>
        <v>5.1173724003512666E-2</v>
      </c>
      <c r="Y713" s="72">
        <f t="shared" ref="Y713:Y776" si="421">AVERAGE(Z713:AB713)</f>
        <v>0.28307960028886442</v>
      </c>
      <c r="Z713" s="72">
        <f t="shared" ref="Z713:Z776" si="422">ABS(AL713-AL$1)</f>
        <v>0.40757676547176769</v>
      </c>
      <c r="AA713" s="72">
        <f t="shared" ref="AA713:AA776" si="423">ABS(AM713-AM$1)</f>
        <v>0.38560439081800757</v>
      </c>
      <c r="AB713" s="72">
        <f t="shared" ref="AB713:AB776" si="424">ABS(AN713-AN$1)</f>
        <v>5.6057644576818083E-2</v>
      </c>
      <c r="AC713" s="72"/>
      <c r="AD713" s="72"/>
      <c r="AE713" s="72">
        <f t="shared" ref="AE713:AE776" si="425">ABS(AQ$1-AQ713)</f>
        <v>0.57159438516210481</v>
      </c>
      <c r="AF713" s="72">
        <f t="shared" ref="AF713:AF776" si="426">ABS(AR$1-AR713)</f>
        <v>0.22681858333083782</v>
      </c>
      <c r="AG713" s="72">
        <f t="shared" ref="AG713:AG776" si="427">ABS(AS$1-AS713)</f>
        <v>0.49</v>
      </c>
      <c r="AH713" s="72">
        <f t="shared" ref="AH713:AH776" si="428">ABS(AT$1-AT713)</f>
        <v>0.50671954101977201</v>
      </c>
      <c r="AI713" s="72">
        <f t="shared" ref="AI713:AI776" si="429">ABS(AU$1-AU713)</f>
        <v>0.23764744429882045</v>
      </c>
      <c r="AJ713" s="72">
        <f>(AV713-Driver!$K$179)/(Driver!$L$179-Driver!$K$179)</f>
        <v>0.20304568527918776</v>
      </c>
      <c r="AK713" s="72">
        <f>(AW713-Driver!$K$180)/(Driver!$L$180-Driver!$K$180)</f>
        <v>0.2241708819172222</v>
      </c>
      <c r="AL713" s="72">
        <f>(AX713-Driver!$K$181)/(Driver!$L$181-Driver!$K$181)</f>
        <v>0.50926452918484788</v>
      </c>
      <c r="AM713" s="72">
        <f>(AY713-Driver!$K$182)/(Driver!$L$182-Driver!$K$182)</f>
        <v>6.1780630279038816E-2</v>
      </c>
      <c r="AN713" s="72">
        <f>(AZ713-Driver!$K$183)/(Driver!$L$183-Driver!$K$183)</f>
        <v>0.19816176470588234</v>
      </c>
      <c r="AO713" s="72"/>
      <c r="AP713" s="72"/>
      <c r="AQ713" s="72">
        <f>(BC713-Driver!$K$188)/(Driver!$L$188-Driver!$K$188)</f>
        <v>4.8405614837895169E-2</v>
      </c>
      <c r="AR713" s="72">
        <f>MIN((BD713-Driver!$K$189)/(Driver!$L$189-Driver!$K$189),100%)</f>
        <v>0.32318141666916222</v>
      </c>
      <c r="AS713" s="72">
        <f>(BE713-Driver!$K$190)/(Driver!$L$190-Driver!$K$190)</f>
        <v>1</v>
      </c>
      <c r="AT713" s="72">
        <f>(BF713-Driver!$K$191)/(Driver!$L$191-Driver!$K$191)</f>
        <v>3.2804589802280146E-3</v>
      </c>
      <c r="AU713" s="72">
        <f>(BG713-Driver!$K$192)/(Driver!$L$192-Driver!$K$192)</f>
        <v>1.2352555701179555E-2</v>
      </c>
      <c r="AV713" s="70">
        <f t="shared" ref="AV713:AV776" si="430">IFERROR(BM713*BJ713^1/4,"")</f>
        <v>4.2735042735042725</v>
      </c>
      <c r="AW713" s="70">
        <f t="shared" ref="AW713:AW776" si="431">IFERROR(SUM(AX713:AZ713),"")</f>
        <v>23.719331420374125</v>
      </c>
      <c r="AX713" s="70">
        <f t="shared" ref="AX713:AX776" si="432">IFERROR(BH713,"")</f>
        <v>5.5833807626636309</v>
      </c>
      <c r="AY713" s="70">
        <f>IFERROR(Driver!$K$19/Data!BH713/Data!BI713*Data!BK713*Data!BL713,"")</f>
        <v>7.563792502248283E-2</v>
      </c>
      <c r="AZ713" s="70">
        <f t="shared" ref="AZ713:AZ776" si="433">IFERROR(BI713*BN713,"")</f>
        <v>18.060312732688011</v>
      </c>
      <c r="BA713" s="70"/>
      <c r="BB713" s="70"/>
      <c r="BC713" s="70">
        <f t="shared" ref="BC713:BC776" si="434">IFERROR(BI713*BN713*BK713/BJ713^(1/2),"")</f>
        <v>25.108328926791174</v>
      </c>
      <c r="BD713" s="70">
        <f t="shared" ref="BD713:BD776" si="435">IFERROR(BH713*BM713*BL713/BJ713/BK713,"")</f>
        <v>30.32180561573335</v>
      </c>
      <c r="BE713" s="70">
        <f t="shared" ref="BE713:BE776" si="436">IFERROR(MIN(BI713/BQ713/BP713/BO713/BH713,$BE$1),"")</f>
        <v>1</v>
      </c>
      <c r="BF713" s="70">
        <f t="shared" ref="BF713:BF776" si="437">IFERROR(BJ713*BO713*BP713/BK713,"")</f>
        <v>0.37050479528807556</v>
      </c>
      <c r="BG713" s="70">
        <f t="shared" ref="BG713:BG776" si="438">IFERROR(1/BM713/BH713*BQ713,"")</f>
        <v>4.6774655963302755E-2</v>
      </c>
      <c r="BH713" s="67">
        <f>MAX((CE713-Driver!$F$200)/(Driver!$G$200-Driver!$F$200)*$BI$1,1)</f>
        <v>5.5833807626636309</v>
      </c>
      <c r="BI713" s="67">
        <f>MAX($BI$1*(BY713-Driver!$F$201)/(Driver!$G$201-Driver!$F$201),1)</f>
        <v>9.3037974683544302</v>
      </c>
      <c r="BJ713" s="67">
        <f>(CB713-Driver!$F$206)/(Driver!$G$206-Driver!$F$206)*$BI$1</f>
        <v>3.1746031746031744</v>
      </c>
      <c r="BK713" s="67">
        <f>(CD713-Driver!$F$203)/(Driver!$G$203-Driver!$F$203)*$BI$1</f>
        <v>2.4770642201834865</v>
      </c>
      <c r="BL713" s="67">
        <f>MAX((CR713-Driver!$F$202)/(Driver!$G$202-Driver!$F$202)*$BI$1,1)</f>
        <v>7.931034482758621</v>
      </c>
      <c r="BM713" s="67">
        <f>MAX((CH713-Driver!$F$204)/(Driver!$G$204-Driver!$F$204)*$BI$1,1)</f>
        <v>5.3846153846153841</v>
      </c>
      <c r="BN713" s="67">
        <f>(CI713-Driver!$F$205)/(Driver!$G$205-Driver!$F$205)*$BI$1</f>
        <v>1.9411764705882353</v>
      </c>
      <c r="BO713" s="67">
        <f>(CK713-Driver!$F$207)/(Driver!$G$207-Driver!$F$207)*$BI$1</f>
        <v>0.38262668045501552</v>
      </c>
      <c r="BP713" s="67">
        <f>(CM713-Driver!$F$208)/(Driver!$G$208-Driver!$F$208)*$BI$1</f>
        <v>0.75555555555555554</v>
      </c>
      <c r="BQ713" s="67">
        <f>(CL713-Driver!$F$209)/(Driver!$G$209-Driver!$F$209)*$BI$1</f>
        <v>1.40625</v>
      </c>
      <c r="BR713" s="28" t="s">
        <v>155</v>
      </c>
      <c r="BS713" s="8" t="s">
        <v>167</v>
      </c>
      <c r="BT713" s="9" t="s">
        <v>734</v>
      </c>
      <c r="BU713" s="10">
        <v>177</v>
      </c>
      <c r="BV713" s="9" t="s">
        <v>158</v>
      </c>
      <c r="BW713" s="10">
        <v>177</v>
      </c>
      <c r="BX713" s="10">
        <v>176.4</v>
      </c>
      <c r="BY713" s="10">
        <v>155</v>
      </c>
      <c r="BZ713" s="10">
        <v>162</v>
      </c>
      <c r="CA713" s="10">
        <v>138</v>
      </c>
      <c r="CB713" s="10">
        <v>84</v>
      </c>
      <c r="CC713" s="10">
        <v>120</v>
      </c>
      <c r="CD713" s="10">
        <v>14.8</v>
      </c>
      <c r="CE713" s="10">
        <v>1881</v>
      </c>
      <c r="CF713" s="10">
        <v>0.94</v>
      </c>
      <c r="CG713" s="10">
        <v>1768</v>
      </c>
      <c r="CH713" s="10">
        <v>227</v>
      </c>
      <c r="CI713" s="10">
        <v>66</v>
      </c>
      <c r="CJ713" s="10">
        <v>39</v>
      </c>
      <c r="CK713" s="10">
        <v>147</v>
      </c>
      <c r="CL713" s="10">
        <v>9</v>
      </c>
      <c r="CM713" s="10">
        <v>68</v>
      </c>
      <c r="CN713" s="10">
        <v>0.22700000000000001</v>
      </c>
      <c r="CO713" s="10">
        <v>85</v>
      </c>
      <c r="CP713" s="10">
        <v>58</v>
      </c>
      <c r="CQ713" s="10">
        <v>61</v>
      </c>
      <c r="CR713" s="10">
        <v>12</v>
      </c>
      <c r="CS713" s="10">
        <v>13.2</v>
      </c>
      <c r="CT713" s="9" t="s">
        <v>349</v>
      </c>
      <c r="CU713" s="9" t="s">
        <v>188</v>
      </c>
      <c r="CV713" s="10"/>
      <c r="CW713" s="10"/>
      <c r="CX713" t="str">
        <f>INDEX('Data_Price '!AG$2:AG$1266,MATCH(Data!$DN713,'Data_Price '!$AT$2:$AT$1266,0))</f>
        <v>Head V-Shape V10 Skis w/ PRD 12 GW Bindings</v>
      </c>
      <c r="CY713" t="str">
        <f>INDEX('Data_Price '!AH$2:AH$1266,MATCH(Data!$DN713,'Data_Price '!$AT$2:$AT$1266,0))</f>
        <v>The-House.com</v>
      </c>
      <c r="CZ713">
        <f>INDEX('Data_Price '!AI$2:AI$1266,MATCH(Data!$DN713,'Data_Price '!$AT$2:$AT$1266,0))</f>
        <v>600</v>
      </c>
      <c r="DA713" t="str">
        <f>INDEX('Data_Price '!AJ$2:AJ$1266,MATCH(Data!$DN713,'Data_Price '!$AT$2:$AT$1266,0))</f>
        <v>https://tinyurl.com/yc9vcnov</v>
      </c>
      <c r="DB713" t="str">
        <f>INDEX('Data_Price '!AK$2:AK$1266,MATCH(Data!$DN713,'Data_Price '!$AT$2:$AT$1266,0))</f>
        <v>Head V-Shape V10 SW LYT-PR + PRD 12 GW 177cm</v>
      </c>
      <c r="DC713" t="str">
        <f>INDEX('Data_Price '!AL$2:AL$1266,MATCH(Data!$DN713,'Data_Price '!$AT$2:$AT$1266,0))</f>
        <v>Sundance Ski and Board Shop</v>
      </c>
      <c r="DD713">
        <f>INDEX('Data_Price '!AM$2:AM$1266,MATCH(Data!$DN713,'Data_Price '!$AT$2:$AT$1266,0))</f>
        <v>601.28</v>
      </c>
      <c r="DE713" t="str">
        <f>INDEX('Data_Price '!AN$2:AN$1266,MATCH(Data!$DN713,'Data_Price '!$AT$2:$AT$1266,0))</f>
        <v>https://tinyurl.com/y8qru9hp</v>
      </c>
      <c r="DF713" t="str">
        <f>INDEX('Data_Price '!AO$2:AO$1266,MATCH(Data!$DN713,'Data_Price '!$AT$2:$AT$1266,0))</f>
        <v>Head V-Shape V10 Skis w/ PRD 12 GW Bindings</v>
      </c>
      <c r="DG713" t="str">
        <f>INDEX('Data_Price '!AP$2:AP$1266,MATCH(Data!$DN713,'Data_Price '!$AT$2:$AT$1266,0))</f>
        <v>GritrOutdoors</v>
      </c>
      <c r="DH713">
        <f>INDEX('Data_Price '!AQ$2:AQ$1266,MATCH(Data!$DN713,'Data_Price '!$AT$2:$AT$1266,0))</f>
        <v>719</v>
      </c>
      <c r="DI713" t="str">
        <f>INDEX('Data_Price '!AR$2:AR$1266,MATCH(Data!$DN713,'Data_Price '!$AT$2:$AT$1266,0))</f>
        <v>https://tinyurl.com/y798ztlz</v>
      </c>
      <c r="DJ713" s="89" t="str">
        <f t="shared" ref="DJ713:DJ776" si="439">DA713</f>
        <v>https://tinyurl.com/yc9vcnov</v>
      </c>
      <c r="DK713" s="89" t="str">
        <f t="shared" ref="DK713:DK776" si="440">DE713</f>
        <v>https://tinyurl.com/y8qru9hp</v>
      </c>
      <c r="DL713" s="89" t="str">
        <f t="shared" ref="DL713:DL776" si="441">DI713</f>
        <v>https://tinyurl.com/y798ztlz</v>
      </c>
      <c r="DM713" s="219" t="str">
        <f t="shared" ref="DM713:DM776" si="442">IF(LEFT(BT713,1)=" ",RIGHT(BT713,LEN(BT713)-1),BT713)</f>
        <v>V-Shape V10</v>
      </c>
      <c r="DN713" s="89" t="str">
        <f t="shared" ref="DN713:DN776" si="443">_xlfn.CONCAT(BS713,DM713,BU713,BV713)</f>
        <v xml:space="preserve"> HeadV-Shape V10177 Unisex</v>
      </c>
      <c r="DO713" s="221"/>
    </row>
    <row r="714" spans="2:119" ht="15.6" customHeight="1">
      <c r="B714" s="219" t="b">
        <f t="array" ref="B714">IF(OR(ISERROR(K714:P714)),FALSE,TRUE)</f>
        <v>1</v>
      </c>
      <c r="C714" s="43" t="b">
        <f>OR(BR714=Driver!$G$50,Data!BR193=Driver!$H$50)</f>
        <v>1</v>
      </c>
      <c r="D714" s="43" t="b">
        <f>OR(BV714=Driver!$G$51,BV714=Driver!$H$51)</f>
        <v>1</v>
      </c>
      <c r="E714" s="43" t="b">
        <f>AND(BX714&gt;Driver!$F$54,BX714&lt;Driver!$G$54)</f>
        <v>1</v>
      </c>
      <c r="F714" s="43" t="b">
        <f>CL714&gt;Driver!$F$56</f>
        <v>1</v>
      </c>
      <c r="G714" s="43" t="b">
        <f>AND(CB714&gt;Driver!$F$55,CB714&lt;Driver!$G$55)</f>
        <v>0</v>
      </c>
      <c r="H714" s="43" t="b">
        <f t="shared" si="407"/>
        <v>0</v>
      </c>
      <c r="I714" s="43">
        <f t="shared" si="408"/>
        <v>0</v>
      </c>
      <c r="J714" s="43" t="b">
        <f t="array" ref="J714">NOT(OR(($H$9:$H$1273=TRUE)*($I$9:$I$1273&gt;0)*($BT$9:$BT$1273=BT714)*($K$9:$K$1273&gt;K714)))</f>
        <v>1</v>
      </c>
      <c r="K714" s="72">
        <f t="shared" si="409"/>
        <v>0.78474909364127654</v>
      </c>
      <c r="L714" s="72">
        <f t="shared" si="410"/>
        <v>0.84214671754027914</v>
      </c>
      <c r="M714" s="72">
        <f t="shared" si="411"/>
        <v>0.72735146974227405</v>
      </c>
      <c r="N714" s="72">
        <f t="shared" si="412"/>
        <v>0.56965715598526123</v>
      </c>
      <c r="O714" s="72">
        <f t="shared" si="413"/>
        <v>0.61438699428565768</v>
      </c>
      <c r="P714" s="72">
        <f t="shared" si="414"/>
        <v>0.99801025895590301</v>
      </c>
      <c r="Q714" s="72"/>
      <c r="R714" s="72"/>
      <c r="S714" s="72">
        <f t="shared" si="415"/>
        <v>0.46481488730354226</v>
      </c>
      <c r="T714" s="72">
        <f t="shared" si="416"/>
        <v>0.73223344261669165</v>
      </c>
      <c r="U714" s="72">
        <f t="shared" si="417"/>
        <v>0.51</v>
      </c>
      <c r="V714" s="72">
        <f t="shared" si="418"/>
        <v>0.49438876192736358</v>
      </c>
      <c r="W714" s="72">
        <f t="shared" si="419"/>
        <v>0.75906598691804539</v>
      </c>
      <c r="X714" s="72">
        <f t="shared" si="420"/>
        <v>0.15785328245972086</v>
      </c>
      <c r="Y714" s="72">
        <f t="shared" si="421"/>
        <v>0.27264853025772601</v>
      </c>
      <c r="Z714" s="72">
        <f t="shared" si="422"/>
        <v>0.43034284401473877</v>
      </c>
      <c r="AA714" s="72">
        <f t="shared" si="423"/>
        <v>0.38561300571434237</v>
      </c>
      <c r="AB714" s="72">
        <f t="shared" si="424"/>
        <v>1.9897410440969376E-3</v>
      </c>
      <c r="AC714" s="72"/>
      <c r="AD714" s="72"/>
      <c r="AE714" s="72">
        <f t="shared" si="425"/>
        <v>0.53518511269645774</v>
      </c>
      <c r="AF714" s="72">
        <f t="shared" si="426"/>
        <v>0.2677665573833084</v>
      </c>
      <c r="AG714" s="72">
        <f t="shared" si="427"/>
        <v>0.49</v>
      </c>
      <c r="AH714" s="72">
        <f t="shared" si="428"/>
        <v>0.50561123807263642</v>
      </c>
      <c r="AI714" s="72">
        <f t="shared" si="429"/>
        <v>0.24093401308195461</v>
      </c>
      <c r="AJ714" s="72">
        <f>(AV714-Driver!$K$179)/(Driver!$L$179-Driver!$K$179)</f>
        <v>9.6366126822979584E-2</v>
      </c>
      <c r="AK714" s="72">
        <f>(AW714-Driver!$K$180)/(Driver!$L$180-Driver!$K$180)</f>
        <v>0.28055650706946683</v>
      </c>
      <c r="AL714" s="72">
        <f>(AX714-Driver!$K$181)/(Driver!$L$181-Driver!$K$181)</f>
        <v>0.53203060772781896</v>
      </c>
      <c r="AM714" s="72">
        <f>(AY714-Driver!$K$182)/(Driver!$L$182-Driver!$K$182)</f>
        <v>6.1772015382703972E-2</v>
      </c>
      <c r="AN714" s="72">
        <f>(AZ714-Driver!$K$183)/(Driver!$L$183-Driver!$K$183)</f>
        <v>0.25620915032679736</v>
      </c>
      <c r="AO714" s="72"/>
      <c r="AP714" s="72"/>
      <c r="AQ714" s="72">
        <f>(BC714-Driver!$K$188)/(Driver!$L$188-Driver!$K$188)</f>
        <v>8.4814887303542294E-2</v>
      </c>
      <c r="AR714" s="72">
        <f>MIN((BD714-Driver!$K$189)/(Driver!$L$189-Driver!$K$189),100%)</f>
        <v>0.28223344261669164</v>
      </c>
      <c r="AS714" s="72">
        <f>(BE714-Driver!$K$190)/(Driver!$L$190-Driver!$K$190)</f>
        <v>1</v>
      </c>
      <c r="AT714" s="72">
        <f>(BF714-Driver!$K$191)/(Driver!$L$191-Driver!$K$191)</f>
        <v>4.3887619273636309E-3</v>
      </c>
      <c r="AU714" s="72">
        <f>(BG714-Driver!$K$192)/(Driver!$L$192-Driver!$K$192)</f>
        <v>9.0659869180454017E-3</v>
      </c>
      <c r="AV714" s="70">
        <f t="shared" si="430"/>
        <v>2.0282186948853611</v>
      </c>
      <c r="AW714" s="70">
        <f t="shared" si="431"/>
        <v>29.214610218925518</v>
      </c>
      <c r="AX714" s="70">
        <f t="shared" si="432"/>
        <v>5.7882754695503706</v>
      </c>
      <c r="AY714" s="70">
        <f>IFERROR(Driver!$K$19/Data!BH714/Data!BI714*Data!BK714*Data!BL714,"")</f>
        <v>7.5627377818932001E-2</v>
      </c>
      <c r="AZ714" s="70">
        <f t="shared" si="433"/>
        <v>23.350707371556215</v>
      </c>
      <c r="BA714" s="70"/>
      <c r="BB714" s="70"/>
      <c r="BC714" s="70">
        <f t="shared" si="434"/>
        <v>43.994071667878117</v>
      </c>
      <c r="BD714" s="70">
        <f t="shared" si="435"/>
        <v>26.697982467606391</v>
      </c>
      <c r="BE714" s="70">
        <f t="shared" si="436"/>
        <v>1</v>
      </c>
      <c r="BF714" s="70">
        <f t="shared" si="437"/>
        <v>0.49567982689816764</v>
      </c>
      <c r="BG714" s="70">
        <f t="shared" si="438"/>
        <v>3.4329609946133127E-2</v>
      </c>
      <c r="BH714" s="67">
        <f>MAX((CE714-Driver!$F$200)/(Driver!$G$200-Driver!$F$200)*$BI$1,1)</f>
        <v>5.7882754695503706</v>
      </c>
      <c r="BI714" s="67">
        <f>MAX($BI$1*(BY714-Driver!$F$201)/(Driver!$G$201-Driver!$F$201),1)</f>
        <v>8.1012658227848107</v>
      </c>
      <c r="BJ714" s="67">
        <f>(CB714-Driver!$F$206)/(Driver!$G$206-Driver!$F$206)*$BI$1</f>
        <v>2.0634920634920633</v>
      </c>
      <c r="BK714" s="67">
        <f>(CD714-Driver!$F$203)/(Driver!$G$203-Driver!$F$203)*$BI$1</f>
        <v>2.7064220183486243</v>
      </c>
      <c r="BL714" s="67">
        <f>MAX((CR714-Driver!$F$202)/(Driver!$G$202-Driver!$F$202)*$BI$1,1)</f>
        <v>6.5517241379310338</v>
      </c>
      <c r="BM714" s="67">
        <f>MAX((CH714-Driver!$F$204)/(Driver!$G$204-Driver!$F$204)*$BI$1,1)</f>
        <v>3.9316239316239314</v>
      </c>
      <c r="BN714" s="67">
        <f>(CI714-Driver!$F$205)/(Driver!$G$205-Driver!$F$205)*$BI$1</f>
        <v>2.8823529411764701</v>
      </c>
      <c r="BO714" s="67">
        <f>(CK714-Driver!$F$207)/(Driver!$G$207-Driver!$F$207)*$BI$1</f>
        <v>0.71354705274043428</v>
      </c>
      <c r="BP714" s="67">
        <f>(CM714-Driver!$F$208)/(Driver!$G$208-Driver!$F$208)*$BI$1</f>
        <v>0.9111111111111112</v>
      </c>
      <c r="BQ714" s="67">
        <f>(CL714-Driver!$F$209)/(Driver!$G$209-Driver!$F$209)*$BI$1</f>
        <v>0.78125</v>
      </c>
      <c r="BR714" s="28" t="s">
        <v>155</v>
      </c>
      <c r="BS714" s="8" t="s">
        <v>156</v>
      </c>
      <c r="BT714" s="9" t="s">
        <v>735</v>
      </c>
      <c r="BU714" s="10">
        <v>163</v>
      </c>
      <c r="BV714" s="9" t="s">
        <v>158</v>
      </c>
      <c r="BW714" s="10">
        <v>163</v>
      </c>
      <c r="BX714" s="10">
        <v>162.5</v>
      </c>
      <c r="BY714" s="10">
        <v>136</v>
      </c>
      <c r="BZ714" s="10">
        <v>146</v>
      </c>
      <c r="CA714" s="10">
        <v>118</v>
      </c>
      <c r="CB714" s="10">
        <v>77</v>
      </c>
      <c r="CC714" s="10">
        <v>103</v>
      </c>
      <c r="CD714" s="10">
        <v>15.3</v>
      </c>
      <c r="CE714" s="10">
        <v>1917</v>
      </c>
      <c r="CF714" s="10">
        <v>0.77</v>
      </c>
      <c r="CG714" s="10">
        <v>1469</v>
      </c>
      <c r="CH714" s="10">
        <v>193</v>
      </c>
      <c r="CI714" s="10">
        <v>82</v>
      </c>
      <c r="CJ714" s="10">
        <v>39</v>
      </c>
      <c r="CK714" s="10">
        <v>179</v>
      </c>
      <c r="CL714" s="10">
        <v>5</v>
      </c>
      <c r="CM714" s="10">
        <v>82</v>
      </c>
      <c r="CN714" s="10">
        <v>0.126</v>
      </c>
      <c r="CO714" s="10">
        <v>90</v>
      </c>
      <c r="CP714" s="10">
        <v>72</v>
      </c>
      <c r="CQ714" s="10">
        <v>89</v>
      </c>
      <c r="CR714" s="10">
        <v>8</v>
      </c>
      <c r="CS714" s="10">
        <v>11.4</v>
      </c>
      <c r="CT714" s="9" t="s">
        <v>349</v>
      </c>
      <c r="CU714" s="10"/>
      <c r="CV714" s="10"/>
      <c r="CW714" s="10"/>
      <c r="CX714" t="str">
        <f>INDEX('Data_Price '!AG$2:AG$1266,MATCH(Data!$DN714,'Data_Price '!$AT$2:$AT$1266,0))</f>
        <v>Atomic Vantage 79 Ti Skis with M 12 GW Bindings 2022</v>
      </c>
      <c r="CY714" t="str">
        <f>INDEX('Data_Price '!AH$2:AH$1266,MATCH(Data!$DN714,'Data_Price '!$AT$2:$AT$1266,0))</f>
        <v>Buckman's Ski and Snowboard Shop</v>
      </c>
      <c r="CZ714">
        <f>INDEX('Data_Price '!AI$2:AI$1266,MATCH(Data!$DN714,'Data_Price '!$AT$2:$AT$1266,0))</f>
        <v>599.95000000000005</v>
      </c>
      <c r="DA714" t="str">
        <f>INDEX('Data_Price '!AJ$2:AJ$1266,MATCH(Data!$DN714,'Data_Price '!$AT$2:$AT$1266,0))</f>
        <v>https://tinyurl.com/y9h3cv42</v>
      </c>
      <c r="DB714" t="str">
        <f>INDEX('Data_Price '!AK$2:AK$1266,MATCH(Data!$DN714,'Data_Price '!$AT$2:$AT$1266,0))</f>
        <v>Atomic Vantage 79 Ti Skis with M 12 GW Bindings 2022</v>
      </c>
      <c r="DC714" t="str">
        <f>INDEX('Data_Price '!AL$2:AL$1266,MATCH(Data!$DN714,'Data_Price '!$AT$2:$AT$1266,0))</f>
        <v>WinterMen.com</v>
      </c>
      <c r="DD714">
        <f>INDEX('Data_Price '!AM$2:AM$1266,MATCH(Data!$DN714,'Data_Price '!$AT$2:$AT$1266,0))</f>
        <v>599.95000000000005</v>
      </c>
      <c r="DE714" t="str">
        <f>INDEX('Data_Price '!AN$2:AN$1266,MATCH(Data!$DN714,'Data_Price '!$AT$2:$AT$1266,0))</f>
        <v>https://tinyurl.com/y8hh79d7</v>
      </c>
      <c r="DF714" t="str">
        <f>INDEX('Data_Price '!AO$2:AO$1266,MATCH(Data!$DN714,'Data_Price '!$AT$2:$AT$1266,0))</f>
        <v>Atomic Vantage 79 Ti Skis with M 12 GW Bindings 2022</v>
      </c>
      <c r="DG714" t="str">
        <f>INDEX('Data_Price '!AP$2:AP$1266,MATCH(Data!$DN714,'Data_Price '!$AT$2:$AT$1266,0))</f>
        <v>Ski World</v>
      </c>
      <c r="DH714">
        <f>INDEX('Data_Price '!AQ$2:AQ$1266,MATCH(Data!$DN714,'Data_Price '!$AT$2:$AT$1266,0))</f>
        <v>599.99</v>
      </c>
      <c r="DI714" t="str">
        <f>INDEX('Data_Price '!AR$2:AR$1266,MATCH(Data!$DN714,'Data_Price '!$AT$2:$AT$1266,0))</f>
        <v>https://tinyurl.com/yb7mq822</v>
      </c>
      <c r="DJ714" s="89" t="str">
        <f t="shared" si="439"/>
        <v>https://tinyurl.com/y9h3cv42</v>
      </c>
      <c r="DK714" s="89" t="str">
        <f t="shared" si="440"/>
        <v>https://tinyurl.com/y8hh79d7</v>
      </c>
      <c r="DL714" s="89" t="str">
        <f t="shared" si="441"/>
        <v>https://tinyurl.com/yb7mq822</v>
      </c>
      <c r="DM714" s="219" t="str">
        <f t="shared" si="442"/>
        <v>Vantage 79 Ti</v>
      </c>
      <c r="DN714" s="89" t="str">
        <f t="shared" si="443"/>
        <v xml:space="preserve"> AtomicVantage 79 Ti163 Unisex</v>
      </c>
      <c r="DO714" s="221"/>
    </row>
    <row r="715" spans="2:119" ht="15.6" customHeight="1">
      <c r="B715" s="219" t="b">
        <f t="array" ref="B715">IF(OR(ISERROR(K715:P715)),FALSE,TRUE)</f>
        <v>1</v>
      </c>
      <c r="C715" s="43" t="b">
        <f>OR(BR715=Driver!$G$50,Data!BR427=Driver!$H$50)</f>
        <v>1</v>
      </c>
      <c r="D715" s="43" t="b">
        <f>OR(BV715=Driver!$G$51,BV715=Driver!$H$51)</f>
        <v>1</v>
      </c>
      <c r="E715" s="43" t="b">
        <f>AND(BX715&gt;Driver!$F$54,BX715&lt;Driver!$G$54)</f>
        <v>1</v>
      </c>
      <c r="F715" s="43" t="b">
        <f>CL715&gt;Driver!$F$56</f>
        <v>1</v>
      </c>
      <c r="G715" s="43" t="b">
        <f>AND(CB715&gt;Driver!$F$55,CB715&lt;Driver!$G$55)</f>
        <v>0</v>
      </c>
      <c r="H715" s="43" t="b">
        <f t="shared" si="407"/>
        <v>0</v>
      </c>
      <c r="I715" s="43">
        <f t="shared" si="408"/>
        <v>0</v>
      </c>
      <c r="J715" s="43" t="b">
        <f t="array" ref="J715">NOT(OR(($H$9:$H$1273=TRUE)*($I$9:$I$1273&gt;0)*($BT$9:$BT$1273=BT715)*($K$9:$K$1273&gt;K715)))</f>
        <v>1</v>
      </c>
      <c r="K715" s="72">
        <f t="shared" si="409"/>
        <v>0.7890226923402206</v>
      </c>
      <c r="L715" s="72">
        <f t="shared" si="410"/>
        <v>0.79186873832828986</v>
      </c>
      <c r="M715" s="72">
        <f t="shared" si="411"/>
        <v>0.78617664635215134</v>
      </c>
      <c r="N715" s="72">
        <f t="shared" si="412"/>
        <v>0.79415598606178062</v>
      </c>
      <c r="O715" s="72">
        <f t="shared" si="413"/>
        <v>0.61679597665645891</v>
      </c>
      <c r="P715" s="72">
        <f t="shared" si="414"/>
        <v>0.94757797633821461</v>
      </c>
      <c r="Q715" s="72"/>
      <c r="R715" s="72"/>
      <c r="S715" s="72">
        <f t="shared" si="415"/>
        <v>0.42308085906654336</v>
      </c>
      <c r="T715" s="72">
        <f t="shared" si="416"/>
        <v>0.68659075463431318</v>
      </c>
      <c r="U715" s="72">
        <f t="shared" si="417"/>
        <v>0.51</v>
      </c>
      <c r="V715" s="72">
        <f t="shared" si="418"/>
        <v>0.49246948600934481</v>
      </c>
      <c r="W715" s="72">
        <f t="shared" si="419"/>
        <v>0.77956948640483381</v>
      </c>
      <c r="X715" s="72">
        <f t="shared" si="420"/>
        <v>0.20813126167171017</v>
      </c>
      <c r="Y715" s="72">
        <f t="shared" si="421"/>
        <v>0.21382335364784863</v>
      </c>
      <c r="Z715" s="72">
        <f t="shared" si="422"/>
        <v>0.20584401393821938</v>
      </c>
      <c r="AA715" s="72">
        <f t="shared" si="423"/>
        <v>0.38320402334354109</v>
      </c>
      <c r="AB715" s="72">
        <f t="shared" si="424"/>
        <v>5.2422023661785416E-2</v>
      </c>
      <c r="AC715" s="72"/>
      <c r="AD715" s="72"/>
      <c r="AE715" s="72">
        <f t="shared" si="425"/>
        <v>0.57691914093345664</v>
      </c>
      <c r="AF715" s="72">
        <f t="shared" si="426"/>
        <v>0.31340924536568682</v>
      </c>
      <c r="AG715" s="72">
        <f t="shared" si="427"/>
        <v>0.49</v>
      </c>
      <c r="AH715" s="72">
        <f t="shared" si="428"/>
        <v>0.50753051399065519</v>
      </c>
      <c r="AI715" s="72">
        <f t="shared" si="429"/>
        <v>0.22043051359516616</v>
      </c>
      <c r="AJ715" s="72">
        <f>(AV715-Driver!$K$179)/(Driver!$L$179-Driver!$K$179)</f>
        <v>4.6088147610990247E-2</v>
      </c>
      <c r="AK715" s="72">
        <f>(AW715-Driver!$K$180)/(Driver!$L$180-Driver!$K$180)</f>
        <v>0.20897156340326764</v>
      </c>
      <c r="AL715" s="72">
        <f>(AX715-Driver!$K$181)/(Driver!$L$181-Driver!$K$181)</f>
        <v>0.30753177765129958</v>
      </c>
      <c r="AM715" s="72">
        <f>(AY715-Driver!$K$182)/(Driver!$L$182-Driver!$K$182)</f>
        <v>6.4180997753505289E-2</v>
      </c>
      <c r="AN715" s="72">
        <f>(AZ715-Driver!$K$183)/(Driver!$L$183-Driver!$K$183)</f>
        <v>0.20179738562091501</v>
      </c>
      <c r="AO715" s="72"/>
      <c r="AP715" s="72"/>
      <c r="AQ715" s="72">
        <f>(BC715-Driver!$K$188)/(Driver!$L$188-Driver!$K$188)</f>
        <v>4.3080859066543346E-2</v>
      </c>
      <c r="AR715" s="72">
        <f>MIN((BD715-Driver!$K$189)/(Driver!$L$189-Driver!$K$189),100%)</f>
        <v>0.23659075463431326</v>
      </c>
      <c r="AS715" s="72">
        <f>(BE715-Driver!$K$190)/(Driver!$L$190-Driver!$K$190)</f>
        <v>1</v>
      </c>
      <c r="AT715" s="72">
        <f>(BF715-Driver!$K$191)/(Driver!$L$191-Driver!$K$191)</f>
        <v>2.4694860093448468E-3</v>
      </c>
      <c r="AU715" s="72">
        <f>(BG715-Driver!$K$192)/(Driver!$L$192-Driver!$K$192)</f>
        <v>2.9569486404833829E-2</v>
      </c>
      <c r="AV715" s="70">
        <f t="shared" si="430"/>
        <v>0.97001763668430341</v>
      </c>
      <c r="AW715" s="70">
        <f t="shared" si="431"/>
        <v>22.23802315152647</v>
      </c>
      <c r="AX715" s="70">
        <f t="shared" si="432"/>
        <v>3.7677859988616964</v>
      </c>
      <c r="AY715" s="70">
        <f>IFERROR(Driver!$K$19/Data!BH715/Data!BI715*Data!BK715*Data!BL715,"")</f>
        <v>7.8576691011759278E-2</v>
      </c>
      <c r="AZ715" s="70">
        <f t="shared" si="433"/>
        <v>18.391660461653014</v>
      </c>
      <c r="BA715" s="70"/>
      <c r="BB715" s="70"/>
      <c r="BC715" s="70">
        <f t="shared" si="434"/>
        <v>22.34634109108941</v>
      </c>
      <c r="BD715" s="70">
        <f t="shared" si="435"/>
        <v>22.658685455223438</v>
      </c>
      <c r="BE715" s="70">
        <f t="shared" si="436"/>
        <v>1</v>
      </c>
      <c r="BF715" s="70">
        <f t="shared" si="437"/>
        <v>0.27891109563439298</v>
      </c>
      <c r="BG715" s="70">
        <f t="shared" si="438"/>
        <v>0.11196893882175224</v>
      </c>
      <c r="BH715" s="67">
        <f>MAX((CE715-Driver!$F$200)/(Driver!$G$200-Driver!$F$200)*$BI$1,1)</f>
        <v>3.7677859988616964</v>
      </c>
      <c r="BI715" s="67">
        <f>MAX($BI$1*(BY715-Driver!$F$201)/(Driver!$G$201-Driver!$F$201),1)</f>
        <v>8.2278481012658222</v>
      </c>
      <c r="BJ715" s="67">
        <f>(CB715-Driver!$F$206)/(Driver!$G$206-Driver!$F$206)*$BI$1</f>
        <v>1.746031746031746</v>
      </c>
      <c r="BK715" s="67">
        <f>(CD715-Driver!$F$203)/(Driver!$G$203-Driver!$F$203)*$BI$1</f>
        <v>1.6055045871559634</v>
      </c>
      <c r="BL715" s="67">
        <f>MAX((CR715-Driver!$F$202)/(Driver!$G$202-Driver!$F$202)*$BI$1,1)</f>
        <v>7.5862068965517242</v>
      </c>
      <c r="BM715" s="67">
        <f>MAX((CH715-Driver!$F$204)/(Driver!$G$204-Driver!$F$204)*$BI$1,1)</f>
        <v>2.2222222222222223</v>
      </c>
      <c r="BN715" s="67">
        <f>(CI715-Driver!$F$205)/(Driver!$G$205-Driver!$F$205)*$BI$1</f>
        <v>2.2352941176470589</v>
      </c>
      <c r="BO715" s="67">
        <f>(CK715-Driver!$F$207)/(Driver!$G$207-Driver!$F$207)*$BI$1</f>
        <v>0.37228541882109617</v>
      </c>
      <c r="BP715" s="67">
        <f>(CM715-Driver!$F$208)/(Driver!$G$208-Driver!$F$208)*$BI$1</f>
        <v>0.68888888888888888</v>
      </c>
      <c r="BQ715" s="67">
        <f>(CL715-Driver!$F$209)/(Driver!$G$209-Driver!$F$209)*$BI$1</f>
        <v>0.9375</v>
      </c>
      <c r="BR715" s="28" t="s">
        <v>155</v>
      </c>
      <c r="BS715" s="8" t="s">
        <v>164</v>
      </c>
      <c r="BT715" s="9" t="s">
        <v>641</v>
      </c>
      <c r="BU715" s="10">
        <v>160</v>
      </c>
      <c r="BV715" s="9" t="s">
        <v>158</v>
      </c>
      <c r="BW715" s="10">
        <v>160</v>
      </c>
      <c r="BX715" s="10">
        <v>159</v>
      </c>
      <c r="BY715" s="10">
        <v>138</v>
      </c>
      <c r="BZ715" s="10">
        <v>145</v>
      </c>
      <c r="CA715" s="10">
        <v>126</v>
      </c>
      <c r="CB715" s="10">
        <v>75</v>
      </c>
      <c r="CC715" s="10">
        <v>104</v>
      </c>
      <c r="CD715" s="10">
        <v>12.9</v>
      </c>
      <c r="CE715" s="10">
        <v>1562</v>
      </c>
      <c r="CF715" s="10">
        <v>0.92</v>
      </c>
      <c r="CG715" s="10">
        <v>1434</v>
      </c>
      <c r="CH715" s="10">
        <v>153</v>
      </c>
      <c r="CI715" s="10">
        <v>71</v>
      </c>
      <c r="CJ715" s="10">
        <v>40</v>
      </c>
      <c r="CK715" s="10">
        <v>146</v>
      </c>
      <c r="CL715" s="10">
        <v>6</v>
      </c>
      <c r="CM715" s="10">
        <v>62</v>
      </c>
      <c r="CN715" s="10">
        <v>0.154</v>
      </c>
      <c r="CO715" s="10">
        <v>95</v>
      </c>
      <c r="CP715" s="10">
        <v>49</v>
      </c>
      <c r="CQ715" s="10">
        <v>51</v>
      </c>
      <c r="CR715" s="10">
        <v>11</v>
      </c>
      <c r="CS715" s="10">
        <v>10</v>
      </c>
      <c r="CT715" s="9" t="s">
        <v>349</v>
      </c>
      <c r="CU715" s="10"/>
      <c r="CV715" s="10"/>
      <c r="CW715" s="10"/>
      <c r="CX715" t="str">
        <f>INDEX('Data_Price '!AG$2:AG$1266,MATCH(Data!$DN715,'Data_Price '!$AT$2:$AT$1266,0))</f>
        <v>Elan Porsche Design Elan Amphibio 22</v>
      </c>
      <c r="CY715" t="str">
        <f>INDEX('Data_Price '!AH$2:AH$1266,MATCH(Data!$DN715,'Data_Price '!$AT$2:$AT$1266,0))</f>
        <v>Ski World</v>
      </c>
      <c r="CZ715">
        <f>INDEX('Data_Price '!AI$2:AI$1266,MATCH(Data!$DN715,'Data_Price '!$AT$2:$AT$1266,0))</f>
        <v>1299.99</v>
      </c>
      <c r="DA715" t="str">
        <f>INDEX('Data_Price '!AJ$2:AJ$1266,MATCH(Data!$DN715,'Data_Price '!$AT$2:$AT$1266,0))</f>
        <v>https://tinyurl.com/ydgortzf</v>
      </c>
      <c r="DB715" t="str">
        <f>INDEX('Data_Price '!AK$2:AK$1266,MATCH(Data!$DN715,'Data_Price '!$AT$2:$AT$1266,0))</f>
        <v>Elan Amphibio 9 160 Ski + Fischer RS10 Bindings Winter Sport Adventure Outdoor</v>
      </c>
      <c r="DC715" t="str">
        <f>INDEX('Data_Price '!AL$2:AL$1266,MATCH(Data!$DN715,'Data_Price '!$AT$2:$AT$1266,0))</f>
        <v>Traventuria</v>
      </c>
      <c r="DD715">
        <f>INDEX('Data_Price '!AM$2:AM$1266,MATCH(Data!$DN715,'Data_Price '!$AT$2:$AT$1266,0))</f>
        <v>132.62</v>
      </c>
      <c r="DE715" t="str">
        <f>INDEX('Data_Price '!AN$2:AN$1266,MATCH(Data!$DN715,'Data_Price '!$AT$2:$AT$1266,0))</f>
        <v>https://tinyurl.com/y87apwm6</v>
      </c>
      <c r="DF715" t="str">
        <f>INDEX('Data_Price '!AO$2:AO$1266,MATCH(Data!$DN715,'Data_Price '!$AT$2:$AT$1266,0))</f>
        <v>Elan Amphibio GTX PS Black-Green 160 Ski Men</v>
      </c>
      <c r="DG715" t="str">
        <f>INDEX('Data_Price '!AP$2:AP$1266,MATCH(Data!$DN715,'Data_Price '!$AT$2:$AT$1266,0))</f>
        <v>! OutdoorXL.com</v>
      </c>
      <c r="DH715">
        <f>INDEX('Data_Price '!AQ$2:AQ$1266,MATCH(Data!$DN715,'Data_Price '!$AT$2:$AT$1266,0))</f>
        <v>284.95</v>
      </c>
      <c r="DI715" t="str">
        <f>INDEX('Data_Price '!AR$2:AR$1266,MATCH(Data!$DN715,'Data_Price '!$AT$2:$AT$1266,0))</f>
        <v>https://tinyurl.com/y96cnm7v</v>
      </c>
      <c r="DJ715" s="89" t="str">
        <f t="shared" si="439"/>
        <v>https://tinyurl.com/ydgortzf</v>
      </c>
      <c r="DK715" s="89" t="str">
        <f t="shared" si="440"/>
        <v>https://tinyurl.com/y87apwm6</v>
      </c>
      <c r="DL715" s="89" t="str">
        <f t="shared" si="441"/>
        <v>https://tinyurl.com/y96cnm7v</v>
      </c>
      <c r="DM715" s="219" t="str">
        <f t="shared" si="442"/>
        <v>Amphibio STI</v>
      </c>
      <c r="DN715" s="89" t="str">
        <f t="shared" si="443"/>
        <v xml:space="preserve"> ElanAmphibio STI160 Unisex</v>
      </c>
      <c r="DO715" s="221"/>
    </row>
    <row r="716" spans="2:119" ht="15.6" customHeight="1">
      <c r="B716" s="219" t="b">
        <f t="array" ref="B716">IF(OR(ISERROR(K716:P716)),FALSE,TRUE)</f>
        <v>1</v>
      </c>
      <c r="C716" s="43" t="b">
        <f>OR(BR716=Driver!$G$50,Data!BR935=Driver!$H$50)</f>
        <v>1</v>
      </c>
      <c r="D716" s="43" t="b">
        <f>OR(BV716=Driver!$G$51,BV716=Driver!$H$51)</f>
        <v>1</v>
      </c>
      <c r="E716" s="43" t="b">
        <f>AND(BX716&gt;Driver!$F$54,BX716&lt;Driver!$G$54)</f>
        <v>0</v>
      </c>
      <c r="F716" s="43" t="b">
        <f>CL716&gt;Driver!$F$56</f>
        <v>1</v>
      </c>
      <c r="G716" s="43" t="b">
        <f>AND(CB716&gt;Driver!$F$55,CB716&lt;Driver!$G$55)</f>
        <v>0</v>
      </c>
      <c r="H716" s="43" t="b">
        <f t="shared" si="407"/>
        <v>0</v>
      </c>
      <c r="I716" s="43">
        <f t="shared" si="408"/>
        <v>0</v>
      </c>
      <c r="J716" s="43" t="b">
        <f t="array" ref="J716">NOT(OR(($H$9:$H$1273=TRUE)*($I$9:$I$1273&gt;0)*($BT$9:$BT$1273=BT716)*($K$9:$K$1273&gt;K716)))</f>
        <v>1</v>
      </c>
      <c r="K716" s="72">
        <f t="shared" si="409"/>
        <v>0.7922279129958576</v>
      </c>
      <c r="L716" s="72">
        <f t="shared" si="410"/>
        <v>0.84327474912516354</v>
      </c>
      <c r="M716" s="72">
        <f t="shared" si="411"/>
        <v>0.74118107686655144</v>
      </c>
      <c r="N716" s="72">
        <f t="shared" si="412"/>
        <v>0.61771887735375564</v>
      </c>
      <c r="O716" s="72">
        <f t="shared" si="413"/>
        <v>0.63537055991422009</v>
      </c>
      <c r="P716" s="72">
        <f t="shared" si="414"/>
        <v>0.97045379333167869</v>
      </c>
      <c r="Q716" s="72"/>
      <c r="R716" s="72"/>
      <c r="S716" s="72">
        <f t="shared" si="415"/>
        <v>0.4371727477237024</v>
      </c>
      <c r="T716" s="72">
        <f t="shared" si="416"/>
        <v>0.54992174237373703</v>
      </c>
      <c r="U716" s="72">
        <f t="shared" si="417"/>
        <v>0.65586290180349127</v>
      </c>
      <c r="V716" s="72">
        <f t="shared" si="418"/>
        <v>0.50478601185110428</v>
      </c>
      <c r="W716" s="72">
        <f t="shared" si="419"/>
        <v>0.8942295430393199</v>
      </c>
      <c r="X716" s="72">
        <f t="shared" si="420"/>
        <v>0.15672525087483641</v>
      </c>
      <c r="Y716" s="72">
        <f t="shared" si="421"/>
        <v>0.25881892313344851</v>
      </c>
      <c r="Z716" s="72">
        <f t="shared" si="422"/>
        <v>0.38228112264624436</v>
      </c>
      <c r="AA716" s="72">
        <f t="shared" si="423"/>
        <v>0.36462944008577991</v>
      </c>
      <c r="AB716" s="72">
        <f t="shared" si="424"/>
        <v>2.9546206668321306E-2</v>
      </c>
      <c r="AC716" s="72"/>
      <c r="AD716" s="72"/>
      <c r="AE716" s="72">
        <f t="shared" si="425"/>
        <v>0.5628272522762976</v>
      </c>
      <c r="AF716" s="72">
        <f t="shared" si="426"/>
        <v>0.45007825762626291</v>
      </c>
      <c r="AG716" s="72">
        <f t="shared" si="427"/>
        <v>0.34413709819650873</v>
      </c>
      <c r="AH716" s="72">
        <f t="shared" si="428"/>
        <v>0.49521398814889567</v>
      </c>
      <c r="AI716" s="72">
        <f t="shared" si="429"/>
        <v>0.10577045696068016</v>
      </c>
      <c r="AJ716" s="72">
        <f>(AV716-Driver!$K$179)/(Driver!$L$179-Driver!$K$179)</f>
        <v>9.7494158407864004E-2</v>
      </c>
      <c r="AK716" s="72">
        <f>(AW716-Driver!$K$180)/(Driver!$L$180-Driver!$K$180)</f>
        <v>0.24689073630315597</v>
      </c>
      <c r="AL716" s="72">
        <f>(AX716-Driver!$K$181)/(Driver!$L$181-Driver!$K$181)</f>
        <v>0.48396888635932456</v>
      </c>
      <c r="AM716" s="72">
        <f>(AY716-Driver!$K$182)/(Driver!$L$182-Driver!$K$182)</f>
        <v>8.2755581011266441E-2</v>
      </c>
      <c r="AN716" s="72">
        <f>(AZ716-Driver!$K$183)/(Driver!$L$183-Driver!$K$183)</f>
        <v>0.22467320261437912</v>
      </c>
      <c r="AO716" s="72"/>
      <c r="AP716" s="72"/>
      <c r="AQ716" s="72">
        <f>(BC716-Driver!$K$188)/(Driver!$L$188-Driver!$K$188)</f>
        <v>5.7172747723702427E-2</v>
      </c>
      <c r="AR716" s="72">
        <f>MIN((BD716-Driver!$K$189)/(Driver!$L$189-Driver!$K$189),100%)</f>
        <v>9.9921742373737132E-2</v>
      </c>
      <c r="AS716" s="72">
        <f>(BE716-Driver!$K$190)/(Driver!$L$190-Driver!$K$190)</f>
        <v>0.16586290180349128</v>
      </c>
      <c r="AT716" s="72">
        <f>(BF716-Driver!$K$191)/(Driver!$L$191-Driver!$K$191)</f>
        <v>1.4786011851104315E-2</v>
      </c>
      <c r="AU716" s="72">
        <f>(BG716-Driver!$K$192)/(Driver!$L$192-Driver!$K$192)</f>
        <v>0.14422954303931984</v>
      </c>
      <c r="AV716" s="70">
        <f t="shared" si="430"/>
        <v>2.0519603852937189</v>
      </c>
      <c r="AW716" s="70">
        <f t="shared" si="431"/>
        <v>25.93358254867303</v>
      </c>
      <c r="AX716" s="70">
        <f t="shared" si="432"/>
        <v>5.355719977233921</v>
      </c>
      <c r="AY716" s="70">
        <f>IFERROR(Driver!$K$19/Data!BH716/Data!BI716*Data!BK716*Data!BL716,"")</f>
        <v>0.101317523039999</v>
      </c>
      <c r="AZ716" s="70">
        <f t="shared" si="433"/>
        <v>20.47654504839911</v>
      </c>
      <c r="BA716" s="70"/>
      <c r="BB716" s="70"/>
      <c r="BC716" s="70">
        <f t="shared" si="434"/>
        <v>29.655901702778426</v>
      </c>
      <c r="BD716" s="70">
        <f t="shared" si="435"/>
        <v>10.563720033322626</v>
      </c>
      <c r="BE716" s="70">
        <f t="shared" si="436"/>
        <v>0.16601170247319658</v>
      </c>
      <c r="BF716" s="70">
        <f t="shared" si="437"/>
        <v>1.6699761609699153</v>
      </c>
      <c r="BG716" s="70">
        <f t="shared" si="438"/>
        <v>0.54614505844845906</v>
      </c>
      <c r="BH716" s="67">
        <f>MAX((CE716-Driver!$F$200)/(Driver!$G$200-Driver!$F$200)*$BI$1,1)</f>
        <v>5.355719977233921</v>
      </c>
      <c r="BI716" s="67">
        <f>MAX($BI$1*(BY716-Driver!$F$201)/(Driver!$G$201-Driver!$F$201),1)</f>
        <v>7.9113924050632916</v>
      </c>
      <c r="BJ716" s="67">
        <f>(CB716-Driver!$F$206)/(Driver!$G$206-Driver!$F$206)*$BI$1</f>
        <v>3.4920634920634921</v>
      </c>
      <c r="BK716" s="67">
        <f>(CD716-Driver!$F$203)/(Driver!$G$203-Driver!$F$203)*$BI$1</f>
        <v>2.7064220183486243</v>
      </c>
      <c r="BL716" s="67">
        <f>MAX((CR716-Driver!$F$202)/(Driver!$G$202-Driver!$F$202)*$BI$1,1)</f>
        <v>7.931034482758621</v>
      </c>
      <c r="BM716" s="67">
        <f>MAX((CH716-Driver!$F$204)/(Driver!$G$204-Driver!$F$204)*$BI$1,1)</f>
        <v>2.3504273504273505</v>
      </c>
      <c r="BN716" s="67">
        <f>(CI716-Driver!$F$205)/(Driver!$G$205-Driver!$F$205)*$BI$1</f>
        <v>2.5882352941176472</v>
      </c>
      <c r="BO716" s="67">
        <f>(CK716-Driver!$F$207)/(Driver!$G$207-Driver!$F$207)*$BI$1</f>
        <v>0.66184074457083764</v>
      </c>
      <c r="BP716" s="67">
        <f>(CM716-Driver!$F$208)/(Driver!$G$208-Driver!$F$208)*$BI$1</f>
        <v>1.9555555555555557</v>
      </c>
      <c r="BQ716" s="67">
        <f>(CL716-Driver!$F$209)/(Driver!$G$209-Driver!$F$209)*$BI$1</f>
        <v>6.875</v>
      </c>
      <c r="BR716" s="28" t="s">
        <v>155</v>
      </c>
      <c r="BS716" s="8" t="s">
        <v>332</v>
      </c>
      <c r="BT716" s="9" t="s">
        <v>567</v>
      </c>
      <c r="BU716" s="10">
        <v>169</v>
      </c>
      <c r="BV716" s="9" t="s">
        <v>158</v>
      </c>
      <c r="BW716" s="10">
        <v>169</v>
      </c>
      <c r="BX716" s="10">
        <v>167.6</v>
      </c>
      <c r="BY716" s="10">
        <v>133</v>
      </c>
      <c r="BZ716" s="10">
        <v>145</v>
      </c>
      <c r="CA716" s="10">
        <v>123</v>
      </c>
      <c r="CB716" s="10">
        <v>86</v>
      </c>
      <c r="CC716" s="10">
        <v>113</v>
      </c>
      <c r="CD716" s="10">
        <v>15.3</v>
      </c>
      <c r="CE716" s="10">
        <v>1841</v>
      </c>
      <c r="CF716" s="10">
        <v>0.9</v>
      </c>
      <c r="CG716" s="10">
        <v>1654</v>
      </c>
      <c r="CH716" s="10">
        <v>156</v>
      </c>
      <c r="CI716" s="10">
        <v>77</v>
      </c>
      <c r="CJ716" s="10">
        <v>46</v>
      </c>
      <c r="CK716" s="10">
        <v>174</v>
      </c>
      <c r="CL716" s="10">
        <v>44</v>
      </c>
      <c r="CM716" s="10">
        <v>176</v>
      </c>
      <c r="CN716" s="10">
        <v>0.95699999999999996</v>
      </c>
      <c r="CO716" s="10">
        <v>106</v>
      </c>
      <c r="CP716" s="10">
        <v>122</v>
      </c>
      <c r="CQ716" s="10">
        <v>67</v>
      </c>
      <c r="CR716" s="10">
        <v>12</v>
      </c>
      <c r="CS716" s="10">
        <v>5.2</v>
      </c>
      <c r="CT716" s="9" t="s">
        <v>184</v>
      </c>
      <c r="CU716" s="10"/>
      <c r="CV716" s="10"/>
      <c r="CW716" s="10"/>
      <c r="CX716" t="str">
        <f>INDEX('Data_Price '!AG$2:AG$1266,MATCH(Data!$DN716,'Data_Price '!$AT$2:$AT$1266,0))</f>
        <v>2020 Nordica Soul Rider 97 169cm W/ Salomon Warden 11 Binding</v>
      </c>
      <c r="CY716" t="str">
        <f>INDEX('Data_Price '!AH$2:AH$1266,MATCH(Data!$DN716,'Data_Price '!$AT$2:$AT$1266,0))</f>
        <v>eBay - riverpirate999</v>
      </c>
      <c r="CZ716">
        <f>INDEX('Data_Price '!AI$2:AI$1266,MATCH(Data!$DN716,'Data_Price '!$AT$2:$AT$1266,0))</f>
        <v>398</v>
      </c>
      <c r="DA716" t="str">
        <f>INDEX('Data_Price '!AJ$2:AJ$1266,MATCH(Data!$DN716,'Data_Price '!$AT$2:$AT$1266,0))</f>
        <v>https://tinyurl.com/yaz95n67</v>
      </c>
      <c r="DB716" t="str">
        <f>INDEX('Data_Price '!AK$2:AK$1266,MATCH(Data!$DN716,'Data_Price '!$AT$2:$AT$1266,0))</f>
        <v>Nordica Soul Rider 97 Skis Â· 2022 Â· 169 cm</v>
      </c>
      <c r="DC716" t="str">
        <f>INDEX('Data_Price '!AL$2:AL$1266,MATCH(Data!$DN716,'Data_Price '!$AT$2:$AT$1266,0))</f>
        <v>Ski Pro  - Snow Ski &amp; Snowboard</v>
      </c>
      <c r="DD716">
        <f>INDEX('Data_Price '!AM$2:AM$1266,MATCH(Data!$DN716,'Data_Price '!$AT$2:$AT$1266,0))</f>
        <v>479.95</v>
      </c>
      <c r="DE716" t="str">
        <f>INDEX('Data_Price '!AN$2:AN$1266,MATCH(Data!$DN716,'Data_Price '!$AT$2:$AT$1266,0))</f>
        <v>https://tinyurl.com/ycd5ygt2</v>
      </c>
      <c r="DF716" t="str">
        <f>INDEX('Data_Price '!AO$2:AO$1266,MATCH(Data!$DN716,'Data_Price '!$AT$2:$AT$1266,0))</f>
        <v>Nordica Soul Rider 97 Skis Â· 2022 Â· 169 cm</v>
      </c>
      <c r="DG716" t="str">
        <f>INDEX('Data_Price '!AP$2:AP$1266,MATCH(Data!$DN716,'Data_Price '!$AT$2:$AT$1266,0))</f>
        <v>AlpineShopVT.com</v>
      </c>
      <c r="DH716">
        <f>INDEX('Data_Price '!AQ$2:AQ$1266,MATCH(Data!$DN716,'Data_Price '!$AT$2:$AT$1266,0))</f>
        <v>479.99</v>
      </c>
      <c r="DI716" t="str">
        <f>INDEX('Data_Price '!AR$2:AR$1266,MATCH(Data!$DN716,'Data_Price '!$AT$2:$AT$1266,0))</f>
        <v>https://tinyurl.com/y8dw25rn</v>
      </c>
      <c r="DJ716" s="89" t="str">
        <f t="shared" si="439"/>
        <v>https://tinyurl.com/yaz95n67</v>
      </c>
      <c r="DK716" s="89" t="str">
        <f t="shared" si="440"/>
        <v>https://tinyurl.com/ycd5ygt2</v>
      </c>
      <c r="DL716" s="89" t="str">
        <f t="shared" si="441"/>
        <v>https://tinyurl.com/y8dw25rn</v>
      </c>
      <c r="DM716" s="219" t="str">
        <f t="shared" si="442"/>
        <v>Soul Rider 87</v>
      </c>
      <c r="DN716" s="89" t="str">
        <f t="shared" si="443"/>
        <v xml:space="preserve"> NordicaSoul Rider 87169 Unisex</v>
      </c>
      <c r="DO716" s="221"/>
    </row>
    <row r="717" spans="2:119" ht="15.6" customHeight="1">
      <c r="B717" s="219" t="b">
        <f t="array" ref="B717">IF(OR(ISERROR(K717:P717)),FALSE,TRUE)</f>
        <v>1</v>
      </c>
      <c r="C717" s="43" t="b">
        <f>OR(BR717=Driver!$G$50,Data!BR44=Driver!$H$50)</f>
        <v>1</v>
      </c>
      <c r="D717" s="43" t="b">
        <f>OR(BV717=Driver!$G$51,BV717=Driver!$H$51)</f>
        <v>1</v>
      </c>
      <c r="E717" s="43" t="b">
        <f>AND(BX717&gt;Driver!$F$54,BX717&lt;Driver!$G$54)</f>
        <v>0</v>
      </c>
      <c r="F717" s="43" t="b">
        <f>CL717&gt;Driver!$F$56</f>
        <v>1</v>
      </c>
      <c r="G717" s="43" t="b">
        <f>AND(CB717&gt;Driver!$F$55,CB717&lt;Driver!$G$55)</f>
        <v>0</v>
      </c>
      <c r="H717" s="43" t="b">
        <f t="shared" si="407"/>
        <v>0</v>
      </c>
      <c r="I717" s="43">
        <f t="shared" si="408"/>
        <v>0</v>
      </c>
      <c r="J717" s="43" t="b">
        <f t="array" ref="J717">NOT(OR(($H$9:$H$1273=TRUE)*($I$9:$I$1273&gt;0)*($BT$9:$BT$1273=BT717)*($K$9:$K$1273&gt;K717)))</f>
        <v>1</v>
      </c>
      <c r="K717" s="72">
        <f t="shared" si="409"/>
        <v>0.78043444609005408</v>
      </c>
      <c r="L717" s="72">
        <f t="shared" si="410"/>
        <v>0.92451189175792403</v>
      </c>
      <c r="M717" s="72">
        <f t="shared" si="411"/>
        <v>0.63635700042218413</v>
      </c>
      <c r="N717" s="72">
        <f t="shared" si="412"/>
        <v>0.47416610431891082</v>
      </c>
      <c r="O717" s="72">
        <f t="shared" si="413"/>
        <v>0.65862666413552928</v>
      </c>
      <c r="P717" s="72">
        <f t="shared" si="414"/>
        <v>0.77627823281211228</v>
      </c>
      <c r="Q717" s="72"/>
      <c r="R717" s="72"/>
      <c r="S717" s="72">
        <f t="shared" si="415"/>
        <v>0.55712949758422481</v>
      </c>
      <c r="T717" s="72">
        <f t="shared" si="416"/>
        <v>0.57017747249163842</v>
      </c>
      <c r="U717" s="72">
        <f t="shared" si="417"/>
        <v>0.55973659494523031</v>
      </c>
      <c r="V717" s="72">
        <f t="shared" si="418"/>
        <v>0.51776750302062835</v>
      </c>
      <c r="W717" s="72">
        <f t="shared" si="419"/>
        <v>0.79181390099626403</v>
      </c>
      <c r="X717" s="72">
        <f t="shared" si="420"/>
        <v>7.5488108242075913E-2</v>
      </c>
      <c r="Y717" s="72">
        <f t="shared" si="421"/>
        <v>0.36364299957781587</v>
      </c>
      <c r="Z717" s="72">
        <f t="shared" si="422"/>
        <v>0.52583389568108918</v>
      </c>
      <c r="AA717" s="72">
        <f t="shared" si="423"/>
        <v>0.34137333586447072</v>
      </c>
      <c r="AB717" s="72">
        <f t="shared" si="424"/>
        <v>0.22372176718788772</v>
      </c>
      <c r="AC717" s="72"/>
      <c r="AD717" s="72"/>
      <c r="AE717" s="72">
        <f t="shared" si="425"/>
        <v>0.44287050241577519</v>
      </c>
      <c r="AF717" s="72">
        <f t="shared" si="426"/>
        <v>0.42982252750836164</v>
      </c>
      <c r="AG717" s="72">
        <f t="shared" si="427"/>
        <v>0.44026340505476969</v>
      </c>
      <c r="AH717" s="72">
        <f t="shared" si="428"/>
        <v>0.48223249697937171</v>
      </c>
      <c r="AI717" s="72">
        <f t="shared" si="429"/>
        <v>0.208186099003736</v>
      </c>
      <c r="AJ717" s="72">
        <f>(AV717-Driver!$K$179)/(Driver!$L$179-Driver!$K$179)</f>
        <v>0.32970751752477634</v>
      </c>
      <c r="AK717" s="72">
        <f>(AW717-Driver!$K$180)/(Driver!$L$180-Driver!$K$180)</f>
        <v>0.49728457349720501</v>
      </c>
      <c r="AL717" s="72">
        <f>(AX717-Driver!$K$181)/(Driver!$L$181-Driver!$K$181)</f>
        <v>0.62752165939416937</v>
      </c>
      <c r="AM717" s="72">
        <f>(AY717-Driver!$K$182)/(Driver!$L$182-Driver!$K$182)</f>
        <v>0.10601168523257565</v>
      </c>
      <c r="AN717" s="72">
        <f>(AZ717-Driver!$K$183)/(Driver!$L$183-Driver!$K$183)</f>
        <v>0.47794117647058815</v>
      </c>
      <c r="AO717" s="72"/>
      <c r="AP717" s="72"/>
      <c r="AQ717" s="72">
        <f>(BC717-Driver!$K$188)/(Driver!$L$188-Driver!$K$188)</f>
        <v>0.17712949758422483</v>
      </c>
      <c r="AR717" s="72">
        <f>MIN((BD717-Driver!$K$189)/(Driver!$L$189-Driver!$K$189),100%)</f>
        <v>0.1201774724916384</v>
      </c>
      <c r="AS717" s="72">
        <f>(BE717-Driver!$K$190)/(Driver!$L$190-Driver!$K$190)</f>
        <v>6.9736594945230337E-2</v>
      </c>
      <c r="AT717" s="72">
        <f>(BF717-Driver!$K$191)/(Driver!$L$191-Driver!$K$191)</f>
        <v>2.7767503020628307E-2</v>
      </c>
      <c r="AU717" s="72">
        <f>(BG717-Driver!$K$192)/(Driver!$L$192-Driver!$K$192)</f>
        <v>4.181390099626401E-2</v>
      </c>
      <c r="AV717" s="70">
        <f t="shared" si="430"/>
        <v>6.9393569393569381</v>
      </c>
      <c r="AW717" s="70">
        <f t="shared" si="431"/>
        <v>50.336680698337005</v>
      </c>
      <c r="AX717" s="70">
        <f t="shared" si="432"/>
        <v>6.6476949345475242</v>
      </c>
      <c r="AY717" s="70">
        <f>IFERROR(Driver!$K$19/Data!BH717/Data!BI717*Data!BK717*Data!BL717,"")</f>
        <v>0.12978993355866034</v>
      </c>
      <c r="AZ717" s="70">
        <f t="shared" si="433"/>
        <v>43.55919583023082</v>
      </c>
      <c r="BA717" s="70"/>
      <c r="BB717" s="70"/>
      <c r="BC717" s="70">
        <f t="shared" si="434"/>
        <v>91.878301781227165</v>
      </c>
      <c r="BD717" s="70">
        <f t="shared" si="435"/>
        <v>12.356316257726904</v>
      </c>
      <c r="BE717" s="70">
        <f t="shared" si="436"/>
        <v>6.9902543466131492E-2</v>
      </c>
      <c r="BF717" s="70">
        <f t="shared" si="437"/>
        <v>3.1361443884306164</v>
      </c>
      <c r="BG717" s="70">
        <f t="shared" si="438"/>
        <v>0.15833410355697386</v>
      </c>
      <c r="BH717" s="67">
        <f>MAX((CE717-Driver!$F$200)/(Driver!$G$200-Driver!$F$200)*$BI$1,1)</f>
        <v>6.6476949345475242</v>
      </c>
      <c r="BI717" s="67">
        <f>MAX($BI$1*(BY717-Driver!$F$201)/(Driver!$G$201-Driver!$F$201),1)</f>
        <v>8.2278481012658222</v>
      </c>
      <c r="BJ717" s="67">
        <f>(CB717-Driver!$F$206)/(Driver!$G$206-Driver!$F$206)*$BI$1</f>
        <v>4.92063492063492</v>
      </c>
      <c r="BK717" s="67">
        <f>(CD717-Driver!$F$203)/(Driver!$G$203-Driver!$F$203)*$BI$1</f>
        <v>4.678899082568809</v>
      </c>
      <c r="BL717" s="67">
        <f>MAX((CR717-Driver!$F$202)/(Driver!$G$202-Driver!$F$202)*$BI$1,1)</f>
        <v>7.5862068965517242</v>
      </c>
      <c r="BM717" s="67">
        <f>MAX((CH717-Driver!$F$204)/(Driver!$G$204-Driver!$F$204)*$BI$1,1)</f>
        <v>5.6410256410256405</v>
      </c>
      <c r="BN717" s="67">
        <f>(CI717-Driver!$F$205)/(Driver!$G$205-Driver!$F$205)*$BI$1</f>
        <v>5.2941176470588234</v>
      </c>
      <c r="BO717" s="67">
        <f>(CK717-Driver!$F$207)/(Driver!$G$207-Driver!$F$207)*$BI$1</f>
        <v>1.2719751809720785</v>
      </c>
      <c r="BP717" s="67">
        <f>(CM717-Driver!$F$208)/(Driver!$G$208-Driver!$F$208)*$BI$1</f>
        <v>2.3444444444444446</v>
      </c>
      <c r="BQ717" s="67">
        <f>(CL717-Driver!$F$209)/(Driver!$G$209-Driver!$F$209)*$BI$1</f>
        <v>5.9375</v>
      </c>
      <c r="BR717" s="28" t="s">
        <v>155</v>
      </c>
      <c r="BS717" s="8" t="s">
        <v>182</v>
      </c>
      <c r="BT717" s="9" t="s">
        <v>505</v>
      </c>
      <c r="BU717" s="10">
        <v>184</v>
      </c>
      <c r="BV717" s="9" t="s">
        <v>158</v>
      </c>
      <c r="BW717" s="10">
        <v>184</v>
      </c>
      <c r="BX717" s="10">
        <v>182</v>
      </c>
      <c r="BY717" s="10">
        <v>138</v>
      </c>
      <c r="BZ717" s="10">
        <v>152</v>
      </c>
      <c r="CA717" s="10">
        <v>126</v>
      </c>
      <c r="CB717" s="10">
        <v>95</v>
      </c>
      <c r="CC717" s="10">
        <v>118</v>
      </c>
      <c r="CD717" s="10">
        <v>19.600000000000001</v>
      </c>
      <c r="CE717" s="10">
        <v>2068</v>
      </c>
      <c r="CF717" s="10">
        <v>0.93</v>
      </c>
      <c r="CG717" s="10">
        <v>1924</v>
      </c>
      <c r="CH717" s="10">
        <v>233</v>
      </c>
      <c r="CI717" s="10">
        <v>123</v>
      </c>
      <c r="CJ717" s="10">
        <v>45</v>
      </c>
      <c r="CK717" s="10">
        <v>233</v>
      </c>
      <c r="CL717" s="10">
        <v>38</v>
      </c>
      <c r="CM717" s="10">
        <v>211</v>
      </c>
      <c r="CN717" s="10">
        <v>0.84799999999999998</v>
      </c>
      <c r="CO717" s="10">
        <v>148</v>
      </c>
      <c r="CP717" s="10">
        <v>156</v>
      </c>
      <c r="CQ717" s="10">
        <v>85</v>
      </c>
      <c r="CR717" s="10">
        <v>11</v>
      </c>
      <c r="CS717" s="10">
        <v>5.4</v>
      </c>
      <c r="CT717" s="9" t="s">
        <v>188</v>
      </c>
      <c r="CU717" s="9" t="s">
        <v>184</v>
      </c>
      <c r="CV717" s="10"/>
      <c r="CW717" s="10"/>
      <c r="CX717" t="str">
        <f>INDEX('Data_Price '!AG$2:AG$1266,MATCH(Data!$DN717,'Data_Price '!$AT$2:$AT$1266,0))</f>
        <v>Armada ARV 96 Skis 2022</v>
      </c>
      <c r="CY717" t="str">
        <f>INDEX('Data_Price '!AH$2:AH$1266,MATCH(Data!$DN717,'Data_Price '!$AT$2:$AT$1266,0))</f>
        <v>Teton Wasatch Ski Co.</v>
      </c>
      <c r="CZ717">
        <f>INDEX('Data_Price '!AI$2:AI$1266,MATCH(Data!$DN717,'Data_Price '!$AT$2:$AT$1266,0))</f>
        <v>399</v>
      </c>
      <c r="DA717" t="str">
        <f>INDEX('Data_Price '!AJ$2:AJ$1266,MATCH(Data!$DN717,'Data_Price '!$AT$2:$AT$1266,0))</f>
        <v>https://tinyurl.com/ybwhswwm</v>
      </c>
      <c r="DB717" t="str">
        <f>INDEX('Data_Price '!AK$2:AK$1266,MATCH(Data!$DN717,'Data_Price '!$AT$2:$AT$1266,0))</f>
        <v>Armada ARV 96 Skis 2022</v>
      </c>
      <c r="DC717" t="str">
        <f>INDEX('Data_Price '!AL$2:AL$1266,MATCH(Data!$DN717,'Data_Price '!$AT$2:$AT$1266,0))</f>
        <v>SkiEssentials.com</v>
      </c>
      <c r="DD717">
        <f>INDEX('Data_Price '!AM$2:AM$1266,MATCH(Data!$DN717,'Data_Price '!$AT$2:$AT$1266,0))</f>
        <v>399.96</v>
      </c>
      <c r="DE717" t="str">
        <f>INDEX('Data_Price '!AN$2:AN$1266,MATCH(Data!$DN717,'Data_Price '!$AT$2:$AT$1266,0))</f>
        <v>https://tinyurl.com/ybur9jmo</v>
      </c>
      <c r="DF717" t="str">
        <f>INDEX('Data_Price '!AO$2:AO$1266,MATCH(Data!$DN717,'Data_Price '!$AT$2:$AT$1266,0))</f>
        <v>Armada ARV 96 Skis 2022</v>
      </c>
      <c r="DG717" t="str">
        <f>INDEX('Data_Price '!AP$2:AP$1266,MATCH(Data!$DN717,'Data_Price '!$AT$2:$AT$1266,0))</f>
        <v>eBay - david110549</v>
      </c>
      <c r="DH717">
        <f>INDEX('Data_Price '!AQ$2:AQ$1266,MATCH(Data!$DN717,'Data_Price '!$AT$2:$AT$1266,0))</f>
        <v>399.96</v>
      </c>
      <c r="DI717" t="str">
        <f>INDEX('Data_Price '!AR$2:AR$1266,MATCH(Data!$DN717,'Data_Price '!$AT$2:$AT$1266,0))</f>
        <v>https://tinyurl.com/yav83uvt</v>
      </c>
      <c r="DJ717" s="89" t="str">
        <f t="shared" si="439"/>
        <v>https://tinyurl.com/ybwhswwm</v>
      </c>
      <c r="DK717" s="89" t="str">
        <f t="shared" si="440"/>
        <v>https://tinyurl.com/ybur9jmo</v>
      </c>
      <c r="DL717" s="89" t="str">
        <f t="shared" si="441"/>
        <v>https://tinyurl.com/yav83uvt</v>
      </c>
      <c r="DM717" s="219" t="str">
        <f t="shared" si="442"/>
        <v>ARV 96</v>
      </c>
      <c r="DN717" s="89" t="str">
        <f t="shared" si="443"/>
        <v xml:space="preserve"> ArmadaARV 96184 Unisex</v>
      </c>
      <c r="DO717" s="221" t="s">
        <v>506</v>
      </c>
    </row>
    <row r="718" spans="2:119" ht="15.6" customHeight="1">
      <c r="B718" s="219" t="b">
        <f t="array" ref="B718">IF(OR(ISERROR(K718:P718)),FALSE,TRUE)</f>
        <v>1</v>
      </c>
      <c r="C718" s="43" t="b">
        <f>OR(BR718=Driver!$G$50,Data!BR1209=Driver!$H$50)</f>
        <v>1</v>
      </c>
      <c r="D718" s="43" t="b">
        <f>OR(BV718=Driver!$G$51,BV718=Driver!$H$51)</f>
        <v>1</v>
      </c>
      <c r="E718" s="43" t="b">
        <f>AND(BX718&gt;Driver!$F$54,BX718&lt;Driver!$G$54)</f>
        <v>0</v>
      </c>
      <c r="F718" s="43" t="b">
        <f>CL718&gt;Driver!$F$56</f>
        <v>1</v>
      </c>
      <c r="G718" s="43" t="b">
        <f>AND(CB718&gt;Driver!$F$55,CB718&lt;Driver!$G$55)</f>
        <v>0</v>
      </c>
      <c r="H718" s="43" t="b">
        <f t="shared" si="407"/>
        <v>0</v>
      </c>
      <c r="I718" s="43">
        <f t="shared" si="408"/>
        <v>0</v>
      </c>
      <c r="J718" s="43" t="b">
        <f t="array" ref="J718">NOT(OR(($H$9:$H$1273=TRUE)*($I$9:$I$1273&gt;0)*($BT$9:$BT$1273=BT718)*($K$9:$K$1273&gt;K718)))</f>
        <v>1</v>
      </c>
      <c r="K718" s="72">
        <f t="shared" si="409"/>
        <v>0.80272015352596715</v>
      </c>
      <c r="L718" s="72">
        <f t="shared" si="410"/>
        <v>0.92368728639049269</v>
      </c>
      <c r="M718" s="72">
        <f t="shared" si="411"/>
        <v>0.68175302066144172</v>
      </c>
      <c r="N718" s="72">
        <f t="shared" si="412"/>
        <v>0.6335286541197076</v>
      </c>
      <c r="O718" s="72">
        <f t="shared" si="413"/>
        <v>0.61633452799368171</v>
      </c>
      <c r="P718" s="72">
        <f t="shared" si="414"/>
        <v>0.79539587987093574</v>
      </c>
      <c r="Q718" s="72"/>
      <c r="R718" s="72"/>
      <c r="S718" s="72">
        <f t="shared" si="415"/>
        <v>0.51160966803260255</v>
      </c>
      <c r="T718" s="72">
        <f t="shared" si="416"/>
        <v>0.53301068226046033</v>
      </c>
      <c r="U718" s="72">
        <f t="shared" si="417"/>
        <v>0.67691251180857603</v>
      </c>
      <c r="V718" s="72">
        <f t="shared" si="418"/>
        <v>0.52597140387242791</v>
      </c>
      <c r="W718" s="72">
        <f t="shared" si="419"/>
        <v>0.77700941593886463</v>
      </c>
      <c r="X718" s="72">
        <f t="shared" si="420"/>
        <v>7.631271360950731E-2</v>
      </c>
      <c r="Y718" s="72">
        <f t="shared" si="421"/>
        <v>0.31824697933855833</v>
      </c>
      <c r="Z718" s="72">
        <f t="shared" si="422"/>
        <v>0.3664713458802924</v>
      </c>
      <c r="AA718" s="72">
        <f t="shared" si="423"/>
        <v>0.38366547200631829</v>
      </c>
      <c r="AB718" s="72">
        <f t="shared" si="424"/>
        <v>0.20460412012906426</v>
      </c>
      <c r="AC718" s="72"/>
      <c r="AD718" s="72"/>
      <c r="AE718" s="72">
        <f t="shared" si="425"/>
        <v>0.48839033196739751</v>
      </c>
      <c r="AF718" s="72">
        <f t="shared" si="426"/>
        <v>0.46698931773953967</v>
      </c>
      <c r="AG718" s="72">
        <f t="shared" si="427"/>
        <v>0.32308748819142397</v>
      </c>
      <c r="AH718" s="72">
        <f t="shared" si="428"/>
        <v>0.47402859612757209</v>
      </c>
      <c r="AI718" s="72">
        <f t="shared" si="429"/>
        <v>0.22299058406113537</v>
      </c>
      <c r="AJ718" s="72">
        <f>(AV718-Driver!$K$179)/(Driver!$L$179-Driver!$K$179)</f>
        <v>0.17790669567319312</v>
      </c>
      <c r="AK718" s="72">
        <f>(AW718-Driver!$K$180)/(Driver!$L$180-Driver!$K$180)</f>
        <v>0.46415870946647758</v>
      </c>
      <c r="AL718" s="72">
        <f>(AX718-Driver!$K$181)/(Driver!$L$181-Driver!$K$181)</f>
        <v>0.46815910959337259</v>
      </c>
      <c r="AM718" s="72">
        <f>(AY718-Driver!$K$182)/(Driver!$L$182-Driver!$K$182)</f>
        <v>6.3719549090728092E-2</v>
      </c>
      <c r="AN718" s="72">
        <f>(AZ718-Driver!$K$183)/(Driver!$L$183-Driver!$K$183)</f>
        <v>0.45882352941176469</v>
      </c>
      <c r="AO718" s="72"/>
      <c r="AP718" s="72"/>
      <c r="AQ718" s="72">
        <f>(BC718-Driver!$K$188)/(Driver!$L$188-Driver!$K$188)</f>
        <v>0.13160966803260249</v>
      </c>
      <c r="AR718" s="72">
        <f>MIN((BD718-Driver!$K$189)/(Driver!$L$189-Driver!$K$189),100%)</f>
        <v>8.3010682260460378E-2</v>
      </c>
      <c r="AS718" s="72">
        <f>(BE718-Driver!$K$190)/(Driver!$L$190-Driver!$K$190)</f>
        <v>0.18691251180857604</v>
      </c>
      <c r="AT718" s="72">
        <f>(BF718-Driver!$K$191)/(Driver!$L$191-Driver!$K$191)</f>
        <v>3.5971403872427914E-2</v>
      </c>
      <c r="AU718" s="72">
        <f>(BG718-Driver!$K$192)/(Driver!$L$192-Driver!$K$192)</f>
        <v>2.7009415938864627E-2</v>
      </c>
      <c r="AV718" s="70">
        <f t="shared" si="430"/>
        <v>3.7444037444037441</v>
      </c>
      <c r="AW718" s="70">
        <f t="shared" si="431"/>
        <v>47.108271723527473</v>
      </c>
      <c r="AX718" s="70">
        <f t="shared" si="432"/>
        <v>5.2134319863403533</v>
      </c>
      <c r="AY718" s="70">
        <f>IFERROR(Driver!$K$19/Data!BH718/Data!BI718*Data!BK718*Data!BL718,"")</f>
        <v>7.8011740165527643E-2</v>
      </c>
      <c r="AZ718" s="70">
        <f t="shared" si="433"/>
        <v>41.816827997021591</v>
      </c>
      <c r="BA718" s="70"/>
      <c r="BB718" s="70"/>
      <c r="BC718" s="70">
        <f t="shared" si="434"/>
        <v>68.266849744079536</v>
      </c>
      <c r="BD718" s="70">
        <f t="shared" si="435"/>
        <v>9.0671211779230543</v>
      </c>
      <c r="BE718" s="70">
        <f t="shared" si="436"/>
        <v>0.18705755746477987</v>
      </c>
      <c r="BF718" s="70">
        <f t="shared" si="437"/>
        <v>4.0627173539759465</v>
      </c>
      <c r="BG718" s="70">
        <f t="shared" si="438"/>
        <v>0.10227487888919214</v>
      </c>
      <c r="BH718" s="67">
        <f>MAX((CE718-Driver!$F$200)/(Driver!$G$200-Driver!$F$200)*$BI$1,1)</f>
        <v>5.2134319863403533</v>
      </c>
      <c r="BI718" s="67">
        <f>MAX($BI$1*(BY718-Driver!$F$201)/(Driver!$G$201-Driver!$F$201),1)</f>
        <v>7.4050632911392409</v>
      </c>
      <c r="BJ718" s="67">
        <f>(CB718-Driver!$F$206)/(Driver!$G$206-Driver!$F$206)*$BI$1</f>
        <v>3.6507936507936507</v>
      </c>
      <c r="BK718" s="67">
        <f>(CD718-Driver!$F$203)/(Driver!$G$203-Driver!$F$203)*$BI$1</f>
        <v>3.1192660550458715</v>
      </c>
      <c r="BL718" s="67">
        <f>MAX((CR718-Driver!$F$202)/(Driver!$G$202-Driver!$F$202)*$BI$1,1)</f>
        <v>4.8275862068965516</v>
      </c>
      <c r="BM718" s="67">
        <f>MAX((CH718-Driver!$F$204)/(Driver!$G$204-Driver!$F$204)*$BI$1,1)</f>
        <v>4.1025641025641022</v>
      </c>
      <c r="BN718" s="67">
        <f>(CI718-Driver!$F$205)/(Driver!$G$205-Driver!$F$205)*$BI$1</f>
        <v>5.6470588235294112</v>
      </c>
      <c r="BO718" s="67">
        <f>(CK718-Driver!$F$207)/(Driver!$G$207-Driver!$F$207)*$BI$1</f>
        <v>1.9648397104446744</v>
      </c>
      <c r="BP718" s="67">
        <f>(CM718-Driver!$F$208)/(Driver!$G$208-Driver!$F$208)*$BI$1</f>
        <v>1.7666666666666666</v>
      </c>
      <c r="BQ718" s="67">
        <f>(CL718-Driver!$F$209)/(Driver!$G$209-Driver!$F$209)*$BI$1</f>
        <v>2.1875</v>
      </c>
      <c r="BR718" s="28" t="s">
        <v>155</v>
      </c>
      <c r="BS718" s="8" t="s">
        <v>229</v>
      </c>
      <c r="BT718" s="9" t="s">
        <v>437</v>
      </c>
      <c r="BU718" s="10">
        <v>170</v>
      </c>
      <c r="BV718" s="9" t="s">
        <v>158</v>
      </c>
      <c r="BW718" s="10">
        <v>170</v>
      </c>
      <c r="BX718" s="10">
        <v>171.1</v>
      </c>
      <c r="BY718" s="10">
        <v>125</v>
      </c>
      <c r="BZ718" s="10">
        <v>147</v>
      </c>
      <c r="CA718" s="10">
        <v>128</v>
      </c>
      <c r="CB718" s="10">
        <v>87</v>
      </c>
      <c r="CC718" s="10">
        <v>110</v>
      </c>
      <c r="CD718" s="10">
        <v>16.2</v>
      </c>
      <c r="CE718" s="10">
        <v>1816</v>
      </c>
      <c r="CF718" s="10">
        <v>0.94</v>
      </c>
      <c r="CG718" s="10">
        <v>1714</v>
      </c>
      <c r="CH718" s="10">
        <v>197</v>
      </c>
      <c r="CI718" s="10">
        <v>129</v>
      </c>
      <c r="CJ718" s="10">
        <v>45</v>
      </c>
      <c r="CK718" s="10">
        <v>300</v>
      </c>
      <c r="CL718" s="10">
        <v>14</v>
      </c>
      <c r="CM718" s="10">
        <v>159</v>
      </c>
      <c r="CN718" s="10">
        <v>0.32200000000000001</v>
      </c>
      <c r="CO718" s="10">
        <v>133</v>
      </c>
      <c r="CP718" s="10">
        <v>105</v>
      </c>
      <c r="CQ718" s="10">
        <v>166</v>
      </c>
      <c r="CR718" s="10">
        <v>3</v>
      </c>
      <c r="CS718" s="10">
        <v>11.9</v>
      </c>
      <c r="CT718" s="9" t="s">
        <v>188</v>
      </c>
      <c r="CU718" s="10"/>
      <c r="CV718" s="10"/>
      <c r="CW718" s="10"/>
      <c r="CX718" t="e">
        <f>INDEX('Data_Price '!AG$2:AG$1266,MATCH(Data!$DN718,'Data_Price '!$AT$2:$AT$1266,0))</f>
        <v>#N/A</v>
      </c>
      <c r="CY718" t="e">
        <f>INDEX('Data_Price '!AH$2:AH$1266,MATCH(Data!$DN718,'Data_Price '!$AT$2:$AT$1266,0))</f>
        <v>#N/A</v>
      </c>
      <c r="CZ718" t="e">
        <f>INDEX('Data_Price '!AI$2:AI$1266,MATCH(Data!$DN718,'Data_Price '!$AT$2:$AT$1266,0))</f>
        <v>#N/A</v>
      </c>
      <c r="DA718" t="e">
        <f>INDEX('Data_Price '!AJ$2:AJ$1266,MATCH(Data!$DN718,'Data_Price '!$AT$2:$AT$1266,0))</f>
        <v>#N/A</v>
      </c>
      <c r="DB718" t="e">
        <f>INDEX('Data_Price '!AK$2:AK$1266,MATCH(Data!$DN718,'Data_Price '!$AT$2:$AT$1266,0))</f>
        <v>#N/A</v>
      </c>
      <c r="DC718" t="e">
        <f>INDEX('Data_Price '!AL$2:AL$1266,MATCH(Data!$DN718,'Data_Price '!$AT$2:$AT$1266,0))</f>
        <v>#N/A</v>
      </c>
      <c r="DD718" t="e">
        <f>INDEX('Data_Price '!AM$2:AM$1266,MATCH(Data!$DN718,'Data_Price '!$AT$2:$AT$1266,0))</f>
        <v>#N/A</v>
      </c>
      <c r="DE718" t="e">
        <f>INDEX('Data_Price '!AN$2:AN$1266,MATCH(Data!$DN718,'Data_Price '!$AT$2:$AT$1266,0))</f>
        <v>#N/A</v>
      </c>
      <c r="DF718" t="e">
        <f>INDEX('Data_Price '!AO$2:AO$1266,MATCH(Data!$DN718,'Data_Price '!$AT$2:$AT$1266,0))</f>
        <v>#N/A</v>
      </c>
      <c r="DG718" t="e">
        <f>INDEX('Data_Price '!AP$2:AP$1266,MATCH(Data!$DN718,'Data_Price '!$AT$2:$AT$1266,0))</f>
        <v>#N/A</v>
      </c>
      <c r="DH718" t="e">
        <f>INDEX('Data_Price '!AQ$2:AQ$1266,MATCH(Data!$DN718,'Data_Price '!$AT$2:$AT$1266,0))</f>
        <v>#N/A</v>
      </c>
      <c r="DI718" t="e">
        <f>INDEX('Data_Price '!AR$2:AR$1266,MATCH(Data!$DN718,'Data_Price '!$AT$2:$AT$1266,0))</f>
        <v>#N/A</v>
      </c>
      <c r="DJ718" s="89" t="e">
        <f t="shared" si="439"/>
        <v>#N/A</v>
      </c>
      <c r="DK718" s="89" t="e">
        <f t="shared" si="440"/>
        <v>#N/A</v>
      </c>
      <c r="DL718" s="89" t="e">
        <f t="shared" si="441"/>
        <v>#N/A</v>
      </c>
      <c r="DM718" s="219" t="str">
        <f t="shared" si="442"/>
        <v>Kendo 88</v>
      </c>
      <c r="DN718" s="89" t="str">
        <f t="shared" si="443"/>
        <v xml:space="preserve"> VölklKendo 88170 Unisex</v>
      </c>
      <c r="DO718" s="221"/>
    </row>
    <row r="719" spans="2:119" ht="15.6" customHeight="1">
      <c r="B719" s="219" t="b">
        <f t="array" ref="B719">IF(OR(ISERROR(K719:P719)),FALSE,TRUE)</f>
        <v>1</v>
      </c>
      <c r="C719" s="43" t="b">
        <f>OR(BR719=Driver!$G$50,Data!BR487=Driver!$H$50)</f>
        <v>1</v>
      </c>
      <c r="D719" s="43" t="b">
        <f>OR(BV719=Driver!$G$51,BV719=Driver!$H$51)</f>
        <v>0</v>
      </c>
      <c r="E719" s="43" t="b">
        <f>AND(BX719&gt;Driver!$F$54,BX719&lt;Driver!$G$54)</f>
        <v>1</v>
      </c>
      <c r="F719" s="43" t="b">
        <f>CL719&gt;Driver!$F$56</f>
        <v>1</v>
      </c>
      <c r="G719" s="43" t="b">
        <f>AND(CB719&gt;Driver!$F$55,CB719&lt;Driver!$G$55)</f>
        <v>0</v>
      </c>
      <c r="H719" s="43" t="b">
        <f t="shared" si="407"/>
        <v>0</v>
      </c>
      <c r="I719" s="43">
        <f t="shared" si="408"/>
        <v>0</v>
      </c>
      <c r="J719" s="43" t="b">
        <f t="array" ref="J719">NOT(OR(($H$9:$H$1273=TRUE)*($I$9:$I$1273&gt;0)*($BT$9:$BT$1273=BT719)*($K$9:$K$1273&gt;K719)))</f>
        <v>1</v>
      </c>
      <c r="K719" s="72">
        <f t="shared" si="409"/>
        <v>0.85539096778830981</v>
      </c>
      <c r="L719" s="72">
        <f t="shared" si="410"/>
        <v>0.860839812375506</v>
      </c>
      <c r="M719" s="72">
        <f t="shared" si="411"/>
        <v>0.84994212320111373</v>
      </c>
      <c r="N719" s="72">
        <f t="shared" si="412"/>
        <v>0.90292725021153086</v>
      </c>
      <c r="O719" s="72">
        <f t="shared" si="413"/>
        <v>0.67648617573333414</v>
      </c>
      <c r="P719" s="72">
        <f t="shared" si="414"/>
        <v>0.97041294365847608</v>
      </c>
      <c r="Q719" s="72"/>
      <c r="R719" s="72"/>
      <c r="S719" s="72">
        <f t="shared" si="415"/>
        <v>0.43454092083223339</v>
      </c>
      <c r="T719" s="72">
        <f t="shared" si="416"/>
        <v>0.49814371525431456</v>
      </c>
      <c r="U719" s="72">
        <f t="shared" si="417"/>
        <v>0.9995413004410203</v>
      </c>
      <c r="V719" s="72">
        <f t="shared" si="418"/>
        <v>0.50946851653568137</v>
      </c>
      <c r="W719" s="72">
        <f t="shared" si="419"/>
        <v>0.85183073229291717</v>
      </c>
      <c r="X719" s="72">
        <f t="shared" si="420"/>
        <v>0.139160187624494</v>
      </c>
      <c r="Y719" s="72">
        <f t="shared" si="421"/>
        <v>0.15005787679888632</v>
      </c>
      <c r="Z719" s="72">
        <f t="shared" si="422"/>
        <v>9.7072749788469151E-2</v>
      </c>
      <c r="AA719" s="72">
        <f t="shared" si="423"/>
        <v>0.32351382426666586</v>
      </c>
      <c r="AB719" s="72">
        <f t="shared" si="424"/>
        <v>2.9587056341523976E-2</v>
      </c>
      <c r="AC719" s="72"/>
      <c r="AD719" s="72"/>
      <c r="AE719" s="72">
        <f t="shared" si="425"/>
        <v>0.56545907916776661</v>
      </c>
      <c r="AF719" s="72">
        <f t="shared" si="426"/>
        <v>0.50185628474568544</v>
      </c>
      <c r="AG719" s="72">
        <f t="shared" si="427"/>
        <v>4.5869955897970272E-4</v>
      </c>
      <c r="AH719" s="72">
        <f t="shared" si="428"/>
        <v>0.49053148346431857</v>
      </c>
      <c r="AI719" s="72">
        <f t="shared" si="429"/>
        <v>0.14816926770708283</v>
      </c>
      <c r="AJ719" s="72">
        <f>(AV719-Driver!$K$179)/(Driver!$L$179-Driver!$K$179)</f>
        <v>0.11505922165820642</v>
      </c>
      <c r="AK719" s="72">
        <f>(AW719-Driver!$K$180)/(Driver!$L$180-Driver!$K$180)</f>
        <v>0.22103099857256722</v>
      </c>
      <c r="AL719" s="72">
        <f>(AX719-Driver!$K$181)/(Driver!$L$181-Driver!$K$181)</f>
        <v>0.19876051350154933</v>
      </c>
      <c r="AM719" s="72">
        <f>(AY719-Driver!$K$182)/(Driver!$L$182-Driver!$K$182)</f>
        <v>0.12387119683038049</v>
      </c>
      <c r="AN719" s="72">
        <f>(AZ719-Driver!$K$183)/(Driver!$L$183-Driver!$K$183)</f>
        <v>0.22463235294117645</v>
      </c>
      <c r="AO719" s="72"/>
      <c r="AP719" s="72"/>
      <c r="AQ719" s="72">
        <f>(BC719-Driver!$K$188)/(Driver!$L$188-Driver!$K$188)</f>
        <v>5.4540920832233414E-2</v>
      </c>
      <c r="AR719" s="72">
        <f>MIN((BD719-Driver!$K$189)/(Driver!$L$189-Driver!$K$189),100%)</f>
        <v>4.8143715254314622E-2</v>
      </c>
      <c r="AS719" s="72">
        <f>(BE719-Driver!$K$190)/(Driver!$L$190-Driver!$K$190)</f>
        <v>0.51045869955897971</v>
      </c>
      <c r="AT719" s="72">
        <f>(BF719-Driver!$K$191)/(Driver!$L$191-Driver!$K$191)</f>
        <v>1.9468516535681456E-2</v>
      </c>
      <c r="AU719" s="72">
        <f>(BG719-Driver!$K$192)/(Driver!$L$192-Driver!$K$192)</f>
        <v>0.10183073229291716</v>
      </c>
      <c r="AV719" s="70">
        <f t="shared" si="430"/>
        <v>2.4216524216524218</v>
      </c>
      <c r="AW719" s="70">
        <f t="shared" si="431"/>
        <v>23.413321966240755</v>
      </c>
      <c r="AX719" s="70">
        <f t="shared" si="432"/>
        <v>2.788844621513944</v>
      </c>
      <c r="AY719" s="70">
        <f>IFERROR(Driver!$K$19/Data!BH719/Data!BI719*Data!BK719*Data!BL719,"")</f>
        <v>0.15165530451832257</v>
      </c>
      <c r="AZ719" s="70">
        <f t="shared" si="433"/>
        <v>20.472822040208488</v>
      </c>
      <c r="BA719" s="70"/>
      <c r="BB719" s="70"/>
      <c r="BC719" s="70">
        <f t="shared" si="434"/>
        <v>28.290754798009726</v>
      </c>
      <c r="BD719" s="70">
        <f t="shared" si="435"/>
        <v>5.9814563784889385</v>
      </c>
      <c r="BE719" s="70">
        <f t="shared" si="436"/>
        <v>0.51054602821695638</v>
      </c>
      <c r="BF719" s="70">
        <f t="shared" si="437"/>
        <v>2.1988321686356844</v>
      </c>
      <c r="BG719" s="70">
        <f t="shared" si="438"/>
        <v>0.38559611344537814</v>
      </c>
      <c r="BH719" s="67">
        <f>MAX((CE719-Driver!$F$200)/(Driver!$G$200-Driver!$F$200)*$BI$1,1)</f>
        <v>2.788844621513944</v>
      </c>
      <c r="BI719" s="67">
        <f>MAX($BI$1*(BY719-Driver!$F$201)/(Driver!$G$201-Driver!$F$201),1)</f>
        <v>7.4050632911392409</v>
      </c>
      <c r="BJ719" s="67">
        <f>(CB719-Driver!$F$206)/(Driver!$G$206-Driver!$F$206)*$BI$1</f>
        <v>3.333333333333333</v>
      </c>
      <c r="BK719" s="67">
        <f>(CD719-Driver!$F$203)/(Driver!$G$203-Driver!$F$203)*$BI$1</f>
        <v>2.522935779816514</v>
      </c>
      <c r="BL719" s="67">
        <f>MAX((CR719-Driver!$F$202)/(Driver!$G$202-Driver!$F$202)*$BI$1,1)</f>
        <v>6.2068965517241379</v>
      </c>
      <c r="BM719" s="67">
        <f>MAX((CH719-Driver!$F$204)/(Driver!$G$204-Driver!$F$204)*$BI$1,1)</f>
        <v>2.9059829059829063</v>
      </c>
      <c r="BN719" s="67">
        <f>(CI719-Driver!$F$205)/(Driver!$G$205-Driver!$F$205)*$BI$1</f>
        <v>2.7647058823529411</v>
      </c>
      <c r="BO719" s="67">
        <f>(CK719-Driver!$F$207)/(Driver!$G$207-Driver!$F$207)*$BI$1</f>
        <v>1.0548086866597726</v>
      </c>
      <c r="BP719" s="67">
        <f>(CM719-Driver!$F$208)/(Driver!$G$208-Driver!$F$208)*$BI$1</f>
        <v>1.5777777777777777</v>
      </c>
      <c r="BQ719" s="67">
        <f>(CL719-Driver!$F$209)/(Driver!$G$209-Driver!$F$209)*$BI$1</f>
        <v>3.125</v>
      </c>
      <c r="BR719" s="28" t="s">
        <v>155</v>
      </c>
      <c r="BS719" s="8" t="s">
        <v>205</v>
      </c>
      <c r="BT719" s="9" t="s">
        <v>407</v>
      </c>
      <c r="BU719" s="10">
        <v>162</v>
      </c>
      <c r="BV719" s="9" t="s">
        <v>163</v>
      </c>
      <c r="BW719" s="10">
        <v>162</v>
      </c>
      <c r="BX719" s="10">
        <v>160.30000000000001</v>
      </c>
      <c r="BY719" s="10">
        <v>125</v>
      </c>
      <c r="BZ719" s="10">
        <v>137</v>
      </c>
      <c r="CA719" s="10">
        <v>119</v>
      </c>
      <c r="CB719" s="10">
        <v>85</v>
      </c>
      <c r="CC719" s="10">
        <v>109</v>
      </c>
      <c r="CD719" s="10">
        <v>14.9</v>
      </c>
      <c r="CE719" s="10">
        <v>1390</v>
      </c>
      <c r="CF719" s="10">
        <v>1.1200000000000001</v>
      </c>
      <c r="CG719" s="10">
        <v>1552</v>
      </c>
      <c r="CH719" s="10">
        <v>169</v>
      </c>
      <c r="CI719" s="10">
        <v>80</v>
      </c>
      <c r="CJ719" s="10">
        <v>50</v>
      </c>
      <c r="CK719" s="10">
        <v>212</v>
      </c>
      <c r="CL719" s="10">
        <v>20</v>
      </c>
      <c r="CM719" s="10">
        <v>142</v>
      </c>
      <c r="CN719" s="10">
        <v>0.40600000000000003</v>
      </c>
      <c r="CO719" s="10">
        <v>150</v>
      </c>
      <c r="CP719" s="10">
        <v>86</v>
      </c>
      <c r="CQ719" s="10">
        <v>63</v>
      </c>
      <c r="CR719" s="10">
        <v>7</v>
      </c>
      <c r="CS719" s="10">
        <v>9.5</v>
      </c>
      <c r="CT719" s="9" t="s">
        <v>188</v>
      </c>
      <c r="CU719" s="9" t="s">
        <v>185</v>
      </c>
      <c r="CV719" s="10"/>
      <c r="CW719" s="10"/>
      <c r="CX719" t="str">
        <f>INDEX('Data_Price '!AG$2:AG$1266,MATCH(Data!$DN719,'Data_Price '!$AT$2:$AT$1266,0))</f>
        <v>Faction Agent 1.0 Skis</v>
      </c>
      <c r="CY719" t="str">
        <f>INDEX('Data_Price '!AH$2:AH$1266,MATCH(Data!$DN719,'Data_Price '!$AT$2:$AT$1266,0))</f>
        <v>Backcountry Freeskier</v>
      </c>
      <c r="CZ719">
        <f>INDEX('Data_Price '!AI$2:AI$1266,MATCH(Data!$DN719,'Data_Price '!$AT$2:$AT$1266,0))</f>
        <v>499</v>
      </c>
      <c r="DA719" t="str">
        <f>INDEX('Data_Price '!AJ$2:AJ$1266,MATCH(Data!$DN719,'Data_Price '!$AT$2:$AT$1266,0))</f>
        <v>https://tinyurl.com/y8zb677l</v>
      </c>
      <c r="DB719" t="str">
        <f>INDEX('Data_Price '!AK$2:AK$1266,MATCH(Data!$DN719,'Data_Price '!$AT$2:$AT$1266,0))</f>
        <v>Faction Agent 1.0 - 162</v>
      </c>
      <c r="DC719" t="str">
        <f>INDEX('Data_Price '!AL$2:AL$1266,MATCH(Data!$DN719,'Data_Price '!$AT$2:$AT$1266,0))</f>
        <v>Overstock Snow</v>
      </c>
      <c r="DD719">
        <f>INDEX('Data_Price '!AM$2:AM$1266,MATCH(Data!$DN719,'Data_Price '!$AT$2:$AT$1266,0))</f>
        <v>649</v>
      </c>
      <c r="DE719" t="str">
        <f>INDEX('Data_Price '!AN$2:AN$1266,MATCH(Data!$DN719,'Data_Price '!$AT$2:$AT$1266,0))</f>
        <v>https://tinyurl.com/yayl3ytd</v>
      </c>
      <c r="DF719" t="str">
        <f>INDEX('Data_Price '!AO$2:AO$1266,MATCH(Data!$DN719,'Data_Price '!$AT$2:$AT$1266,0))</f>
        <v>Faction Agent 1.0x Skis</v>
      </c>
      <c r="DG719" t="str">
        <f>INDEX('Data_Price '!AP$2:AP$1266,MATCH(Data!$DN719,'Data_Price '!$AT$2:$AT$1266,0))</f>
        <v>Gear.com</v>
      </c>
      <c r="DH719">
        <f>INDEX('Data_Price '!AQ$2:AQ$1266,MATCH(Data!$DN719,'Data_Price '!$AT$2:$AT$1266,0))</f>
        <v>389.4</v>
      </c>
      <c r="DI719" t="str">
        <f>INDEX('Data_Price '!AR$2:AR$1266,MATCH(Data!$DN719,'Data_Price '!$AT$2:$AT$1266,0))</f>
        <v>https://tinyurl.com/y8d6exar</v>
      </c>
      <c r="DJ719" s="89" t="str">
        <f t="shared" si="439"/>
        <v>https://tinyurl.com/y8zb677l</v>
      </c>
      <c r="DK719" s="89" t="str">
        <f t="shared" si="440"/>
        <v>https://tinyurl.com/yayl3ytd</v>
      </c>
      <c r="DL719" s="89" t="str">
        <f t="shared" si="441"/>
        <v>https://tinyurl.com/y8d6exar</v>
      </c>
      <c r="DM719" s="219" t="str">
        <f t="shared" si="442"/>
        <v>Agent 1.0 X</v>
      </c>
      <c r="DN719" s="89" t="str">
        <f t="shared" si="443"/>
        <v xml:space="preserve"> FactionAgent 1.0 X162 Women's</v>
      </c>
      <c r="DO719" s="221"/>
    </row>
    <row r="720" spans="2:119" ht="15.6" customHeight="1">
      <c r="B720" s="219" t="b">
        <f t="array" ref="B720">IF(OR(ISERROR(K720:P720)),FALSE,TRUE)</f>
        <v>1</v>
      </c>
      <c r="C720" s="43" t="b">
        <f>OR(BR720=Driver!$G$50,Data!BR862=Driver!$H$50)</f>
        <v>1</v>
      </c>
      <c r="D720" s="43" t="b">
        <f>OR(BV720=Driver!$G$51,BV720=Driver!$H$51)</f>
        <v>1</v>
      </c>
      <c r="E720" s="43" t="b">
        <f>AND(BX720&gt;Driver!$F$54,BX720&lt;Driver!$G$54)</f>
        <v>1</v>
      </c>
      <c r="F720" s="43" t="b">
        <f>CL720&gt;Driver!$F$56</f>
        <v>1</v>
      </c>
      <c r="G720" s="43" t="b">
        <f>AND(CB720&gt;Driver!$F$55,CB720&lt;Driver!$G$55)</f>
        <v>0</v>
      </c>
      <c r="H720" s="43" t="b">
        <f t="shared" si="407"/>
        <v>0</v>
      </c>
      <c r="I720" s="43">
        <f t="shared" si="408"/>
        <v>0</v>
      </c>
      <c r="J720" s="43" t="b">
        <f t="array" ref="J720">NOT(OR(($H$9:$H$1273=TRUE)*($I$9:$I$1273&gt;0)*($BT$9:$BT$1273=BT720)*($K$9:$K$1273&gt;K720)))</f>
        <v>1</v>
      </c>
      <c r="K720" s="72">
        <f t="shared" si="409"/>
        <v>0.8299991674395707</v>
      </c>
      <c r="L720" s="72">
        <f t="shared" si="410"/>
        <v>0.83658713330049195</v>
      </c>
      <c r="M720" s="72">
        <f t="shared" si="411"/>
        <v>0.82341120157864944</v>
      </c>
      <c r="N720" s="72">
        <f t="shared" si="412"/>
        <v>0.8630866127613317</v>
      </c>
      <c r="O720" s="72">
        <f t="shared" si="413"/>
        <v>0.65732228361025835</v>
      </c>
      <c r="P720" s="72">
        <f t="shared" si="414"/>
        <v>0.94982470836435839</v>
      </c>
      <c r="Q720" s="72"/>
      <c r="R720" s="72"/>
      <c r="S720" s="72">
        <f t="shared" si="415"/>
        <v>0.42819980772121613</v>
      </c>
      <c r="T720" s="72">
        <f t="shared" si="416"/>
        <v>0.47436820262327684</v>
      </c>
      <c r="U720" s="72">
        <f t="shared" si="417"/>
        <v>0.75074999227979911</v>
      </c>
      <c r="V720" s="72">
        <f t="shared" si="418"/>
        <v>0.53306506949871024</v>
      </c>
      <c r="W720" s="72">
        <f t="shared" si="419"/>
        <v>0.85017345093552787</v>
      </c>
      <c r="X720" s="72">
        <f t="shared" si="420"/>
        <v>0.16341286669950811</v>
      </c>
      <c r="Y720" s="72">
        <f t="shared" si="421"/>
        <v>0.17658879842135056</v>
      </c>
      <c r="Z720" s="72">
        <f t="shared" si="422"/>
        <v>0.13691338723866836</v>
      </c>
      <c r="AA720" s="72">
        <f t="shared" si="423"/>
        <v>0.34267771638974165</v>
      </c>
      <c r="AB720" s="72">
        <f t="shared" si="424"/>
        <v>5.0175291635641606E-2</v>
      </c>
      <c r="AC720" s="72"/>
      <c r="AD720" s="72"/>
      <c r="AE720" s="72">
        <f t="shared" si="425"/>
        <v>0.57180019227878387</v>
      </c>
      <c r="AF720" s="72">
        <f t="shared" si="426"/>
        <v>0.52563179737672316</v>
      </c>
      <c r="AG720" s="72">
        <f t="shared" si="427"/>
        <v>0.24925000772020089</v>
      </c>
      <c r="AH720" s="72">
        <f t="shared" si="428"/>
        <v>0.46693493050128976</v>
      </c>
      <c r="AI720" s="72">
        <f t="shared" si="429"/>
        <v>0.1498265490644721</v>
      </c>
      <c r="AJ720" s="72">
        <f>(AV720-Driver!$K$179)/(Driver!$L$179-Driver!$K$179)</f>
        <v>9.0806542583192332E-2</v>
      </c>
      <c r="AK720" s="72">
        <f>(AW720-Driver!$K$180)/(Driver!$L$180-Driver!$K$180)</f>
        <v>0.20521619529376509</v>
      </c>
      <c r="AL720" s="72">
        <f>(AX720-Driver!$K$181)/(Driver!$L$181-Driver!$K$181)</f>
        <v>0.23860115095174855</v>
      </c>
      <c r="AM720" s="72">
        <f>(AY720-Driver!$K$182)/(Driver!$L$182-Driver!$K$182)</f>
        <v>0.1047073047073047</v>
      </c>
      <c r="AN720" s="72">
        <f>(AZ720-Driver!$K$183)/(Driver!$L$183-Driver!$K$183)</f>
        <v>0.20404411764705882</v>
      </c>
      <c r="AO720" s="72"/>
      <c r="AP720" s="72"/>
      <c r="AQ720" s="72">
        <f>(BC720-Driver!$K$188)/(Driver!$L$188-Driver!$K$188)</f>
        <v>4.8199807721216133E-2</v>
      </c>
      <c r="AR720" s="72">
        <f>MIN((BD720-Driver!$K$189)/(Driver!$L$189-Driver!$K$189),100%)</f>
        <v>2.4368202623276873E-2</v>
      </c>
      <c r="AS720" s="72">
        <f>(BE720-Driver!$K$190)/(Driver!$L$190-Driver!$K$190)</f>
        <v>0.26074999227979911</v>
      </c>
      <c r="AT720" s="72">
        <f>(BF720-Driver!$K$191)/(Driver!$L$191-Driver!$K$191)</f>
        <v>4.3065069498710237E-2</v>
      </c>
      <c r="AU720" s="72">
        <f>(BG720-Driver!$K$192)/(Driver!$L$192-Driver!$K$192)</f>
        <v>0.1001734509355279</v>
      </c>
      <c r="AV720" s="70">
        <f t="shared" si="430"/>
        <v>1.9112060778727447</v>
      </c>
      <c r="AW720" s="70">
        <f t="shared" si="431"/>
        <v>21.872029253308888</v>
      </c>
      <c r="AX720" s="70">
        <f t="shared" si="432"/>
        <v>3.1474103585657369</v>
      </c>
      <c r="AY720" s="70">
        <f>IFERROR(Driver!$K$19/Data!BH720/Data!BI720*Data!BK720*Data!BL720,"")</f>
        <v>0.12819298260614304</v>
      </c>
      <c r="AZ720" s="70">
        <f t="shared" si="433"/>
        <v>18.596425912137008</v>
      </c>
      <c r="BA720" s="70"/>
      <c r="BB720" s="70"/>
      <c r="BC720" s="70">
        <f t="shared" si="434"/>
        <v>25.001575344621894</v>
      </c>
      <c r="BD720" s="70">
        <f t="shared" si="435"/>
        <v>3.8773656383576527</v>
      </c>
      <c r="BE720" s="70">
        <f t="shared" si="436"/>
        <v>0.26088186616056314</v>
      </c>
      <c r="BF720" s="70">
        <f t="shared" si="437"/>
        <v>4.8638970506429997</v>
      </c>
      <c r="BG720" s="70">
        <f t="shared" si="438"/>
        <v>0.37932058899509169</v>
      </c>
      <c r="BH720" s="67">
        <f>MAX((CE720-Driver!$F$200)/(Driver!$G$200-Driver!$F$200)*$BI$1,1)</f>
        <v>3.1474103585657369</v>
      </c>
      <c r="BI720" s="67">
        <f>MAX($BI$1*(BY720-Driver!$F$201)/(Driver!$G$201-Driver!$F$201),1)</f>
        <v>7.0253164556962027</v>
      </c>
      <c r="BJ720" s="67">
        <f>(CB720-Driver!$F$206)/(Driver!$G$206-Driver!$F$206)*$BI$1</f>
        <v>3.6507936507936507</v>
      </c>
      <c r="BK720" s="67">
        <f>(CD720-Driver!$F$203)/(Driver!$G$203-Driver!$F$203)*$BI$1</f>
        <v>2.5688073394495414</v>
      </c>
      <c r="BL720" s="67">
        <f>MAX((CR720-Driver!$F$202)/(Driver!$G$202-Driver!$F$202)*$BI$1,1)</f>
        <v>5.5172413793103452</v>
      </c>
      <c r="BM720" s="67">
        <f>MAX((CH720-Driver!$F$204)/(Driver!$G$204-Driver!$F$204)*$BI$1,1)</f>
        <v>2.0940170940170941</v>
      </c>
      <c r="BN720" s="67">
        <f>(CI720-Driver!$F$205)/(Driver!$G$205-Driver!$F$205)*$BI$1</f>
        <v>2.6470588235294117</v>
      </c>
      <c r="BO720" s="67">
        <f>(CK720-Driver!$F$207)/(Driver!$G$207-Driver!$F$207)*$BI$1</f>
        <v>1.9131334022750777</v>
      </c>
      <c r="BP720" s="67">
        <f>(CM720-Driver!$F$208)/(Driver!$G$208-Driver!$F$208)*$BI$1</f>
        <v>1.7888888888888888</v>
      </c>
      <c r="BQ720" s="67">
        <f>(CL720-Driver!$F$209)/(Driver!$G$209-Driver!$F$209)*$BI$1</f>
        <v>2.5</v>
      </c>
      <c r="BR720" s="28" t="s">
        <v>155</v>
      </c>
      <c r="BS720" s="8" t="s">
        <v>208</v>
      </c>
      <c r="BT720" s="9" t="s">
        <v>435</v>
      </c>
      <c r="BU720" s="10">
        <v>165</v>
      </c>
      <c r="BV720" s="9" t="s">
        <v>158</v>
      </c>
      <c r="BW720" s="10">
        <v>165</v>
      </c>
      <c r="BX720" s="10">
        <v>165</v>
      </c>
      <c r="BY720" s="10">
        <v>119</v>
      </c>
      <c r="BZ720" s="10">
        <v>140</v>
      </c>
      <c r="CA720" s="10">
        <v>125</v>
      </c>
      <c r="CB720" s="10">
        <v>87</v>
      </c>
      <c r="CC720" s="10">
        <v>112</v>
      </c>
      <c r="CD720" s="10">
        <v>15</v>
      </c>
      <c r="CE720" s="10">
        <v>1453</v>
      </c>
      <c r="CF720" s="10">
        <v>1.1299999999999999</v>
      </c>
      <c r="CG720" s="10">
        <v>1638</v>
      </c>
      <c r="CH720" s="10">
        <v>150</v>
      </c>
      <c r="CI720" s="10">
        <v>78</v>
      </c>
      <c r="CJ720" s="10">
        <v>48</v>
      </c>
      <c r="CK720" s="10">
        <v>295</v>
      </c>
      <c r="CL720" s="10">
        <v>16</v>
      </c>
      <c r="CM720" s="10">
        <v>161</v>
      </c>
      <c r="CN720" s="10">
        <v>0.32900000000000001</v>
      </c>
      <c r="CO720" s="10">
        <v>148</v>
      </c>
      <c r="CP720" s="10">
        <v>100</v>
      </c>
      <c r="CQ720" s="10">
        <v>148</v>
      </c>
      <c r="CR720" s="10">
        <v>5</v>
      </c>
      <c r="CS720" s="10">
        <v>8.5</v>
      </c>
      <c r="CT720" s="9" t="s">
        <v>188</v>
      </c>
      <c r="CU720" s="9" t="s">
        <v>185</v>
      </c>
      <c r="CV720" s="10"/>
      <c r="CW720" s="10"/>
      <c r="CX720" t="str">
        <f>INDEX('Data_Price '!AG$2:AG$1266,MATCH(Data!$DN720,'Data_Price '!$AT$2:$AT$1266,0))</f>
        <v xml:space="preserve"> Line Sick Day 88 165 Cm Mens Downhill Ski Combo</v>
      </c>
      <c r="CY720" t="str">
        <f>INDEX('Data_Price '!AH$2:AH$1266,MATCH(Data!$DN720,'Data_Price '!$AT$2:$AT$1266,0))</f>
        <v>Play It Again Sports</v>
      </c>
      <c r="CZ720">
        <f>INDEX('Data_Price '!AI$2:AI$1266,MATCH(Data!$DN720,'Data_Price '!$AT$2:$AT$1266,0))</f>
        <v>299.99</v>
      </c>
      <c r="DA720" t="str">
        <f>INDEX('Data_Price '!AJ$2:AJ$1266,MATCH(Data!$DN720,'Data_Price '!$AT$2:$AT$1266,0))</f>
        <v>https://tinyurl.com/yavqmmeh</v>
      </c>
      <c r="DB720" t="str">
        <f>INDEX('Data_Price '!AK$2:AK$1266,MATCH(Data!$DN720,'Data_Price '!$AT$2:$AT$1266,0))</f>
        <v>Line Sick Day 88 Skis</v>
      </c>
      <c r="DC720" t="str">
        <f>INDEX('Data_Price '!AL$2:AL$1266,MATCH(Data!$DN720,'Data_Price '!$AT$2:$AT$1266,0))</f>
        <v>LINE Skis</v>
      </c>
      <c r="DD720">
        <f>INDEX('Data_Price '!AM$2:AM$1266,MATCH(Data!$DN720,'Data_Price '!$AT$2:$AT$1266,0))</f>
        <v>399.95</v>
      </c>
      <c r="DE720" t="str">
        <f>INDEX('Data_Price '!AN$2:AN$1266,MATCH(Data!$DN720,'Data_Price '!$AT$2:$AT$1266,0))</f>
        <v>https://tinyurl.com/ya7l4vv6</v>
      </c>
      <c r="DF720" t="str">
        <f>INDEX('Data_Price '!AO$2:AO$1266,MATCH(Data!$DN720,'Data_Price '!$AT$2:$AT$1266,0))</f>
        <v>2022 Line Sick Day 88 Demo Skis w/ Marker Griffon 13 Demo Bindings - 165| Ski Essentials</v>
      </c>
      <c r="DG720" t="str">
        <f>INDEX('Data_Price '!AP$2:AP$1266,MATCH(Data!$DN720,'Data_Price '!$AT$2:$AT$1266,0))</f>
        <v>SkiEssentials.com</v>
      </c>
      <c r="DH720">
        <f>INDEX('Data_Price '!AQ$2:AQ$1266,MATCH(Data!$DN720,'Data_Price '!$AT$2:$AT$1266,0))</f>
        <v>499</v>
      </c>
      <c r="DI720" t="str">
        <f>INDEX('Data_Price '!AR$2:AR$1266,MATCH(Data!$DN720,'Data_Price '!$AT$2:$AT$1266,0))</f>
        <v>https://tinyurl.com/ych8apfn</v>
      </c>
      <c r="DJ720" s="89" t="str">
        <f t="shared" si="439"/>
        <v>https://tinyurl.com/yavqmmeh</v>
      </c>
      <c r="DK720" s="89" t="str">
        <f t="shared" si="440"/>
        <v>https://tinyurl.com/ya7l4vv6</v>
      </c>
      <c r="DL720" s="89" t="str">
        <f t="shared" si="441"/>
        <v>https://tinyurl.com/ych8apfn</v>
      </c>
      <c r="DM720" s="219" t="str">
        <f t="shared" si="442"/>
        <v>Sick Day 88</v>
      </c>
      <c r="DN720" s="89" t="str">
        <f t="shared" si="443"/>
        <v xml:space="preserve"> LineSick Day 88165 Unisex</v>
      </c>
      <c r="DO720" s="221"/>
    </row>
    <row r="721" spans="1:119" ht="15.6" customHeight="1">
      <c r="B721" s="219" t="b">
        <f t="array" ref="B721">IF(OR(ISERROR(K721:P721)),FALSE,TRUE)</f>
        <v>1</v>
      </c>
      <c r="C721" s="43" t="b">
        <f>OR(BR721=Driver!$G$50,Data!BR263=Driver!$H$50)</f>
        <v>1</v>
      </c>
      <c r="D721" s="43" t="b">
        <f>OR(BV721=Driver!$G$51,BV721=Driver!$H$51)</f>
        <v>0</v>
      </c>
      <c r="E721" s="43" t="b">
        <f>AND(BX721&gt;Driver!$F$54,BX721&lt;Driver!$G$54)</f>
        <v>0</v>
      </c>
      <c r="F721" s="43" t="b">
        <f>CL721&gt;Driver!$F$56</f>
        <v>1</v>
      </c>
      <c r="G721" s="43" t="b">
        <f>AND(CB721&gt;Driver!$F$55,CB721&lt;Driver!$G$55)</f>
        <v>0</v>
      </c>
      <c r="H721" s="43" t="b">
        <f t="shared" si="407"/>
        <v>0</v>
      </c>
      <c r="I721" s="43">
        <f t="shared" si="408"/>
        <v>0</v>
      </c>
      <c r="J721" s="43" t="b">
        <f t="array" ref="J721">NOT(OR(($H$9:$H$1273=TRUE)*($I$9:$I$1273&gt;0)*($BT$9:$BT$1273=BT721)*($K$9:$K$1273&gt;K721)))</f>
        <v>1</v>
      </c>
      <c r="K721" s="72">
        <f t="shared" si="409"/>
        <v>0.82032394004607023</v>
      </c>
      <c r="L721" s="72">
        <f t="shared" si="410"/>
        <v>0.96558560240048386</v>
      </c>
      <c r="M721" s="72">
        <f t="shared" si="411"/>
        <v>0.67506227769165661</v>
      </c>
      <c r="N721" s="72">
        <f t="shared" si="412"/>
        <v>0.55953889885505192</v>
      </c>
      <c r="O721" s="72">
        <f t="shared" si="413"/>
        <v>0.6367553223228386</v>
      </c>
      <c r="P721" s="72">
        <f t="shared" si="414"/>
        <v>0.82889261189707952</v>
      </c>
      <c r="Q721" s="72"/>
      <c r="R721" s="72"/>
      <c r="S721" s="72">
        <f t="shared" si="415"/>
        <v>0.53226027701643375</v>
      </c>
      <c r="T721" s="72">
        <f t="shared" si="416"/>
        <v>0.61316676586839358</v>
      </c>
      <c r="U721" s="72">
        <f t="shared" si="417"/>
        <v>0.51</v>
      </c>
      <c r="V721" s="72">
        <f t="shared" si="418"/>
        <v>0.49877588911696347</v>
      </c>
      <c r="W721" s="72">
        <f t="shared" si="419"/>
        <v>0.75794663210817226</v>
      </c>
      <c r="X721" s="72">
        <f t="shared" si="420"/>
        <v>3.44143975995162E-2</v>
      </c>
      <c r="Y721" s="72">
        <f t="shared" si="421"/>
        <v>0.32493772230834334</v>
      </c>
      <c r="Z721" s="72">
        <f t="shared" si="422"/>
        <v>0.44046110114494808</v>
      </c>
      <c r="AA721" s="72">
        <f t="shared" si="423"/>
        <v>0.3632446776771614</v>
      </c>
      <c r="AB721" s="72">
        <f t="shared" si="424"/>
        <v>0.17110738810292048</v>
      </c>
      <c r="AC721" s="72"/>
      <c r="AD721" s="72"/>
      <c r="AE721" s="72">
        <f t="shared" si="425"/>
        <v>0.46773972298356631</v>
      </c>
      <c r="AF721" s="72">
        <f t="shared" si="426"/>
        <v>0.38683323413160642</v>
      </c>
      <c r="AG721" s="72">
        <f t="shared" si="427"/>
        <v>0.49</v>
      </c>
      <c r="AH721" s="72">
        <f t="shared" si="428"/>
        <v>0.50122411088303653</v>
      </c>
      <c r="AI721" s="72">
        <f t="shared" si="429"/>
        <v>0.24205336789182774</v>
      </c>
      <c r="AJ721" s="72">
        <f>(AV721-Driver!$K$179)/(Driver!$L$179-Driver!$K$179)</f>
        <v>0.21980501168318423</v>
      </c>
      <c r="AK721" s="72">
        <f>(AW721-Driver!$K$180)/(Driver!$L$180-Driver!$K$180)</f>
        <v>0.43992327564503664</v>
      </c>
      <c r="AL721" s="72">
        <f>(AX721-Driver!$K$181)/(Driver!$L$181-Driver!$K$181)</f>
        <v>0.54214886485802827</v>
      </c>
      <c r="AM721" s="72">
        <f>(AY721-Driver!$K$182)/(Driver!$L$182-Driver!$K$182)</f>
        <v>8.4140343419884966E-2</v>
      </c>
      <c r="AN721" s="72">
        <f>(AZ721-Driver!$K$183)/(Driver!$L$183-Driver!$K$183)</f>
        <v>0.4253267973856209</v>
      </c>
      <c r="AO721" s="72"/>
      <c r="AP721" s="72"/>
      <c r="AQ721" s="72">
        <f>(BC721-Driver!$K$188)/(Driver!$L$188-Driver!$K$188)</f>
        <v>0.15226027701643369</v>
      </c>
      <c r="AR721" s="72">
        <f>MIN((BD721-Driver!$K$189)/(Driver!$L$189-Driver!$K$189),100%)</f>
        <v>0.16316676586839365</v>
      </c>
      <c r="AS721" s="72">
        <f>(BE721-Driver!$K$190)/(Driver!$L$190-Driver!$K$190)</f>
        <v>1</v>
      </c>
      <c r="AT721" s="72">
        <f>(BF721-Driver!$K$191)/(Driver!$L$191-Driver!$K$191)</f>
        <v>8.7758891169634461E-3</v>
      </c>
      <c r="AU721" s="72">
        <f>(BG721-Driver!$K$192)/(Driver!$L$192-Driver!$K$192)</f>
        <v>7.946632108172251E-3</v>
      </c>
      <c r="AV721" s="70">
        <f t="shared" si="430"/>
        <v>4.6262379595712924</v>
      </c>
      <c r="AW721" s="70">
        <f t="shared" si="431"/>
        <v>44.746313949838445</v>
      </c>
      <c r="AX721" s="70">
        <f t="shared" si="432"/>
        <v>5.8793397837222541</v>
      </c>
      <c r="AY721" s="70">
        <f>IFERROR(Driver!$K$19/Data!BH721/Data!BI721*Data!BK721*Data!BL721,"")</f>
        <v>0.10301288540137292</v>
      </c>
      <c r="AZ721" s="70">
        <f t="shared" si="433"/>
        <v>38.763961280714817</v>
      </c>
      <c r="BA721" s="70"/>
      <c r="BB721" s="70"/>
      <c r="BC721" s="70">
        <f t="shared" si="434"/>
        <v>78.978464184697373</v>
      </c>
      <c r="BD721" s="70">
        <f t="shared" si="435"/>
        <v>16.160792549049244</v>
      </c>
      <c r="BE721" s="70">
        <f t="shared" si="436"/>
        <v>1</v>
      </c>
      <c r="BF721" s="70">
        <f t="shared" si="437"/>
        <v>0.99117502165059512</v>
      </c>
      <c r="BG721" s="70">
        <f t="shared" si="438"/>
        <v>3.0091018564781562E-2</v>
      </c>
      <c r="BH721" s="67">
        <f>MAX((CE721-Driver!$F$200)/(Driver!$G$200-Driver!$F$200)*$BI$1,1)</f>
        <v>5.8793397837222541</v>
      </c>
      <c r="BI721" s="67">
        <f>MAX($BI$1*(BY721-Driver!$F$201)/(Driver!$G$201-Driver!$F$201),1)</f>
        <v>8.6708860759493671</v>
      </c>
      <c r="BJ721" s="67">
        <f>(CB721-Driver!$F$206)/(Driver!$G$206-Driver!$F$206)*$BI$1</f>
        <v>3.4920634920634921</v>
      </c>
      <c r="BK721" s="67">
        <f>(CD721-Driver!$F$203)/(Driver!$G$203-Driver!$F$203)*$BI$1</f>
        <v>3.8073394495412844</v>
      </c>
      <c r="BL721" s="67">
        <f>MAX((CR721-Driver!$F$202)/(Driver!$G$202-Driver!$F$202)*$BI$1,1)</f>
        <v>6.8965517241379315</v>
      </c>
      <c r="BM721" s="67">
        <f>MAX((CH721-Driver!$F$204)/(Driver!$G$204-Driver!$F$204)*$BI$1,1)</f>
        <v>5.299145299145299</v>
      </c>
      <c r="BN721" s="67">
        <f>(CI721-Driver!$F$205)/(Driver!$G$205-Driver!$F$205)*$BI$1</f>
        <v>4.4705882352941178</v>
      </c>
      <c r="BO721" s="67">
        <f>(CK721-Driver!$F$207)/(Driver!$G$207-Driver!$F$207)*$BI$1</f>
        <v>1.0237849017580145</v>
      </c>
      <c r="BP721" s="67">
        <f>(CM721-Driver!$F$208)/(Driver!$G$208-Driver!$F$208)*$BI$1</f>
        <v>1.0555555555555556</v>
      </c>
      <c r="BQ721" s="67">
        <f>(CL721-Driver!$F$209)/(Driver!$G$209-Driver!$F$209)*$BI$1</f>
        <v>0.9375</v>
      </c>
      <c r="BR721" s="28" t="s">
        <v>155</v>
      </c>
      <c r="BS721" s="8" t="s">
        <v>317</v>
      </c>
      <c r="BT721" s="9" t="s">
        <v>502</v>
      </c>
      <c r="BU721" s="10">
        <v>177</v>
      </c>
      <c r="BV721" s="9" t="s">
        <v>163</v>
      </c>
      <c r="BW721" s="10">
        <v>177</v>
      </c>
      <c r="BX721" s="10">
        <v>175.8</v>
      </c>
      <c r="BY721" s="10">
        <v>145</v>
      </c>
      <c r="BZ721" s="10">
        <v>153</v>
      </c>
      <c r="CA721" s="10">
        <v>127</v>
      </c>
      <c r="CB721" s="10">
        <v>86</v>
      </c>
      <c r="CC721" s="10">
        <v>109</v>
      </c>
      <c r="CD721" s="10">
        <v>17.7</v>
      </c>
      <c r="CE721" s="10">
        <v>1933</v>
      </c>
      <c r="CF721" s="10">
        <v>0.89</v>
      </c>
      <c r="CG721" s="10">
        <v>1730</v>
      </c>
      <c r="CH721" s="10">
        <v>225</v>
      </c>
      <c r="CI721" s="10">
        <v>109</v>
      </c>
      <c r="CJ721" s="10">
        <v>57</v>
      </c>
      <c r="CK721" s="10">
        <v>209</v>
      </c>
      <c r="CL721" s="10">
        <v>6</v>
      </c>
      <c r="CM721" s="10">
        <v>95</v>
      </c>
      <c r="CN721" s="10">
        <v>0.111</v>
      </c>
      <c r="CO721" s="10">
        <v>127</v>
      </c>
      <c r="CP721" s="10">
        <v>97</v>
      </c>
      <c r="CQ721" s="10">
        <v>83</v>
      </c>
      <c r="CR721" s="10">
        <v>9</v>
      </c>
      <c r="CS721" s="10">
        <v>11</v>
      </c>
      <c r="CT721" s="9" t="s">
        <v>188</v>
      </c>
      <c r="CU721" s="10"/>
      <c r="CV721" s="10"/>
      <c r="CW721" s="10"/>
      <c r="CX721" t="str">
        <f>INDEX('Data_Price '!AG$2:AG$1266,MATCH(Data!$DN721,'Data_Price '!$AT$2:$AT$1266,0))</f>
        <v>Blizzard Black Pearl 88 21/22</v>
      </c>
      <c r="CY721" t="str">
        <f>INDEX('Data_Price '!AH$2:AH$1266,MATCH(Data!$DN721,'Data_Price '!$AT$2:$AT$1266,0))</f>
        <v>Snowcountry.eu</v>
      </c>
      <c r="CZ721">
        <f>INDEX('Data_Price '!AI$2:AI$1266,MATCH(Data!$DN721,'Data_Price '!$AT$2:$AT$1266,0))</f>
        <v>354.97</v>
      </c>
      <c r="DA721" t="str">
        <f>INDEX('Data_Price '!AJ$2:AJ$1266,MATCH(Data!$DN721,'Data_Price '!$AT$2:$AT$1266,0))</f>
        <v>https://tinyurl.com/y8pbrtnj</v>
      </c>
      <c r="DB721" t="str">
        <f>INDEX('Data_Price '!AK$2:AK$1266,MATCH(Data!$DN721,'Data_Price '!$AT$2:$AT$1266,0))</f>
        <v>Blizzard Women's Black Pearl 88 Ski 2021, 177</v>
      </c>
      <c r="DC721" t="str">
        <f>INDEX('Data_Price '!AL$2:AL$1266,MATCH(Data!$DN721,'Data_Price '!$AT$2:$AT$1266,0))</f>
        <v>Gear West Ski &amp; Bike</v>
      </c>
      <c r="DD721">
        <f>INDEX('Data_Price '!AM$2:AM$1266,MATCH(Data!$DN721,'Data_Price '!$AT$2:$AT$1266,0))</f>
        <v>649.95000000000005</v>
      </c>
      <c r="DE721" t="str">
        <f>INDEX('Data_Price '!AN$2:AN$1266,MATCH(Data!$DN721,'Data_Price '!$AT$2:$AT$1266,0))</f>
        <v>https://tinyurl.com/ya9o3szz</v>
      </c>
      <c r="DF721" t="str">
        <f>INDEX('Data_Price '!AO$2:AO$1266,MATCH(Data!$DN721,'Data_Price '!$AT$2:$AT$1266,0))</f>
        <v>Blizzard Women's Black Pearl 88 Alpine Ski 2022 177</v>
      </c>
      <c r="DG721" t="str">
        <f>INDEX('Data_Price '!AP$2:AP$1266,MATCH(Data!$DN721,'Data_Price '!$AT$2:$AT$1266,0))</f>
        <v>Boyne Country Sports</v>
      </c>
      <c r="DH721">
        <f>INDEX('Data_Price '!AQ$2:AQ$1266,MATCH(Data!$DN721,'Data_Price '!$AT$2:$AT$1266,0))</f>
        <v>649.95000000000005</v>
      </c>
      <c r="DI721" t="str">
        <f>INDEX('Data_Price '!AR$2:AR$1266,MATCH(Data!$DN721,'Data_Price '!$AT$2:$AT$1266,0))</f>
        <v>https://tinyurl.com/yaben8sg</v>
      </c>
      <c r="DJ721" s="89" t="str">
        <f t="shared" si="439"/>
        <v>https://tinyurl.com/y8pbrtnj</v>
      </c>
      <c r="DK721" s="89" t="str">
        <f t="shared" si="440"/>
        <v>https://tinyurl.com/ya9o3szz</v>
      </c>
      <c r="DL721" s="89" t="str">
        <f t="shared" si="441"/>
        <v>https://tinyurl.com/yaben8sg</v>
      </c>
      <c r="DM721" s="219" t="str">
        <f t="shared" si="442"/>
        <v>Black Pearl 88</v>
      </c>
      <c r="DN721" s="89" t="str">
        <f t="shared" si="443"/>
        <v xml:space="preserve"> BlizzardBlack Pearl 88177 Women's</v>
      </c>
      <c r="DO721" s="221" t="s">
        <v>503</v>
      </c>
    </row>
    <row r="722" spans="1:119" ht="15.6" customHeight="1">
      <c r="B722" s="219" t="b">
        <f t="array" ref="B722">IF(OR(ISERROR(K722:P722)),FALSE,TRUE)</f>
        <v>1</v>
      </c>
      <c r="C722" s="43" t="b">
        <f>OR(BR722=Driver!$G$50,Data!BR769=Driver!$H$50)</f>
        <v>1</v>
      </c>
      <c r="D722" s="43" t="b">
        <f>OR(BV722=Driver!$G$51,BV722=Driver!$H$51)</f>
        <v>1</v>
      </c>
      <c r="E722" s="43" t="b">
        <f>AND(BX722&gt;Driver!$F$54,BX722&lt;Driver!$G$54)</f>
        <v>0</v>
      </c>
      <c r="F722" s="43" t="b">
        <f>CL722&gt;Driver!$F$56</f>
        <v>1</v>
      </c>
      <c r="G722" s="43" t="b">
        <f>AND(CB722&gt;Driver!$F$55,CB722&lt;Driver!$G$55)</f>
        <v>0</v>
      </c>
      <c r="H722" s="43" t="b">
        <f t="shared" si="407"/>
        <v>0</v>
      </c>
      <c r="I722" s="43">
        <f t="shared" si="408"/>
        <v>0</v>
      </c>
      <c r="J722" s="43" t="b">
        <f t="array" ref="J722">NOT(OR(($H$9:$H$1273=TRUE)*($I$9:$I$1273&gt;0)*($BT$9:$BT$1273=BT722)*($K$9:$K$1273&gt;K722)))</f>
        <v>1</v>
      </c>
      <c r="K722" s="72">
        <f t="shared" si="409"/>
        <v>0.72965141137411504</v>
      </c>
      <c r="L722" s="72">
        <f t="shared" si="410"/>
        <v>0.74015930131396312</v>
      </c>
      <c r="M722" s="72">
        <f t="shared" si="411"/>
        <v>0.71914352143426696</v>
      </c>
      <c r="N722" s="72">
        <f t="shared" si="412"/>
        <v>0.46910697575380622</v>
      </c>
      <c r="O722" s="72">
        <f t="shared" si="413"/>
        <v>0.70011725116171941</v>
      </c>
      <c r="P722" s="72">
        <f t="shared" si="414"/>
        <v>0.98820633738727559</v>
      </c>
      <c r="Q722" s="72"/>
      <c r="R722" s="72"/>
      <c r="S722" s="72">
        <f t="shared" si="415"/>
        <v>0.48740628299674293</v>
      </c>
      <c r="T722" s="72">
        <f t="shared" si="416"/>
        <v>0.4572935547752589</v>
      </c>
      <c r="U722" s="72">
        <f t="shared" si="417"/>
        <v>0.49650577975178434</v>
      </c>
      <c r="V722" s="72">
        <f t="shared" si="418"/>
        <v>0.68408765492327372</v>
      </c>
      <c r="W722" s="72">
        <f t="shared" si="419"/>
        <v>0.81294990723562144</v>
      </c>
      <c r="X722" s="72">
        <f t="shared" si="420"/>
        <v>0.25984069868603693</v>
      </c>
      <c r="Y722" s="72">
        <f t="shared" si="421"/>
        <v>0.28085647856573298</v>
      </c>
      <c r="Z722" s="72">
        <f t="shared" si="422"/>
        <v>0.53089302424619378</v>
      </c>
      <c r="AA722" s="72">
        <f t="shared" si="423"/>
        <v>0.29988274883828059</v>
      </c>
      <c r="AB722" s="72">
        <f t="shared" si="424"/>
        <v>1.1793662612724465E-2</v>
      </c>
      <c r="AC722" s="72"/>
      <c r="AD722" s="72"/>
      <c r="AE722" s="72">
        <f t="shared" si="425"/>
        <v>0.51259371700325707</v>
      </c>
      <c r="AF722" s="72">
        <f t="shared" si="426"/>
        <v>0.5427064452247411</v>
      </c>
      <c r="AG722" s="72">
        <f t="shared" si="427"/>
        <v>0.50349422024821566</v>
      </c>
      <c r="AH722" s="72">
        <f t="shared" si="428"/>
        <v>0.31591234507672628</v>
      </c>
      <c r="AI722" s="72">
        <f t="shared" si="429"/>
        <v>0.18705009276437851</v>
      </c>
      <c r="AJ722" s="72">
        <f>(AV722-Driver!$K$179)/(Driver!$L$179-Driver!$K$179)</f>
        <v>0.51406010796873736</v>
      </c>
      <c r="AK722" s="72">
        <f>(AW722-Driver!$K$180)/(Driver!$L$180-Driver!$K$180)</f>
        <v>0.30008713757430272</v>
      </c>
      <c r="AL722" s="72">
        <f>(AX722-Driver!$K$181)/(Driver!$L$181-Driver!$K$181)</f>
        <v>0.63258078795927397</v>
      </c>
      <c r="AM722" s="72">
        <f>(AY722-Driver!$K$182)/(Driver!$L$182-Driver!$K$182)</f>
        <v>0.1475022722587658</v>
      </c>
      <c r="AN722" s="72">
        <f>(AZ722-Driver!$K$183)/(Driver!$L$183-Driver!$K$183)</f>
        <v>0.26601307189542489</v>
      </c>
      <c r="AO722" s="72"/>
      <c r="AP722" s="72"/>
      <c r="AQ722" s="72">
        <f>(BC722-Driver!$K$188)/(Driver!$L$188-Driver!$K$188)</f>
        <v>0.10740628299674293</v>
      </c>
      <c r="AR722" s="72">
        <f>MIN((BD722-Driver!$K$189)/(Driver!$L$189-Driver!$K$189),100%)</f>
        <v>7.2935547752589879E-3</v>
      </c>
      <c r="AS722" s="72">
        <f>(BE722-Driver!$K$190)/(Driver!$L$190-Driver!$K$190)</f>
        <v>6.5057797517842943E-3</v>
      </c>
      <c r="AT722" s="72">
        <f>(BF722-Driver!$K$191)/(Driver!$L$191-Driver!$K$191)</f>
        <v>0.19408765492327373</v>
      </c>
      <c r="AU722" s="72">
        <f>(BG722-Driver!$K$192)/(Driver!$L$192-Driver!$K$192)</f>
        <v>6.2949907235621508E-2</v>
      </c>
      <c r="AV722" s="70">
        <f t="shared" si="430"/>
        <v>10.819427486094153</v>
      </c>
      <c r="AW722" s="70">
        <f t="shared" si="431"/>
        <v>31.118043220613067</v>
      </c>
      <c r="AX722" s="70">
        <f t="shared" si="432"/>
        <v>6.6932270916334655</v>
      </c>
      <c r="AY722" s="70">
        <f>IFERROR(Driver!$K$19/Data!BH722/Data!BI722*Data!BK722*Data!BL722,"")</f>
        <v>0.18058679167505498</v>
      </c>
      <c r="AZ722" s="70">
        <f t="shared" si="433"/>
        <v>24.244229337304546</v>
      </c>
      <c r="BA722" s="70"/>
      <c r="BB722" s="70"/>
      <c r="BC722" s="70">
        <f t="shared" si="434"/>
        <v>55.712385666776186</v>
      </c>
      <c r="BD722" s="70">
        <f t="shared" si="435"/>
        <v>2.3662895582938042</v>
      </c>
      <c r="BE722" s="70">
        <f t="shared" si="436"/>
        <v>6.683007938422812E-3</v>
      </c>
      <c r="BF722" s="70">
        <f t="shared" si="437"/>
        <v>21.92083708063678</v>
      </c>
      <c r="BG722" s="70">
        <f t="shared" si="438"/>
        <v>0.23836850649350647</v>
      </c>
      <c r="BH722" s="67">
        <f>MAX((CE722-Driver!$F$200)/(Driver!$G$200-Driver!$F$200)*$BI$1,1)</f>
        <v>6.6932270916334655</v>
      </c>
      <c r="BI722" s="67">
        <f>MAX($BI$1*(BY722-Driver!$F$201)/(Driver!$G$201-Driver!$F$201),1)</f>
        <v>5.5696202531645573</v>
      </c>
      <c r="BJ722" s="67">
        <f>(CB722-Driver!$F$206)/(Driver!$G$206-Driver!$F$206)*$BI$1</f>
        <v>9.2063492063492056</v>
      </c>
      <c r="BK722" s="67">
        <f>(CD722-Driver!$F$203)/(Driver!$G$203-Driver!$F$203)*$BI$1</f>
        <v>6.9724770642201852</v>
      </c>
      <c r="BL722" s="67">
        <f>MAX((CR722-Driver!$F$202)/(Driver!$G$202-Driver!$F$202)*$BI$1,1)</f>
        <v>4.8275862068965516</v>
      </c>
      <c r="BM722" s="67">
        <f>MAX((CH722-Driver!$F$204)/(Driver!$G$204-Driver!$F$204)*$BI$1,1)</f>
        <v>4.700854700854701</v>
      </c>
      <c r="BN722" s="67">
        <f>(CI722-Driver!$F$205)/(Driver!$G$205-Driver!$F$205)*$BI$1</f>
        <v>4.3529411764705888</v>
      </c>
      <c r="BO722" s="67">
        <f>(CK722-Driver!$F$207)/(Driver!$G$207-Driver!$F$207)*$BI$1</f>
        <v>3.6091003102378489</v>
      </c>
      <c r="BP722" s="67">
        <f>(CM722-Driver!$F$208)/(Driver!$G$208-Driver!$F$208)*$BI$1</f>
        <v>4.6000000000000005</v>
      </c>
      <c r="BQ722" s="67">
        <f>(CL722-Driver!$F$209)/(Driver!$G$209-Driver!$F$209)*$BI$1</f>
        <v>7.5</v>
      </c>
      <c r="BR722" s="28" t="s">
        <v>155</v>
      </c>
      <c r="BS722" s="8" t="s">
        <v>262</v>
      </c>
      <c r="BT722" s="9" t="s">
        <v>708</v>
      </c>
      <c r="BU722" s="10">
        <v>184</v>
      </c>
      <c r="BV722" s="9" t="s">
        <v>158</v>
      </c>
      <c r="BW722" s="10">
        <v>184</v>
      </c>
      <c r="BX722" s="10">
        <v>183.1</v>
      </c>
      <c r="BY722" s="10">
        <v>96</v>
      </c>
      <c r="BZ722" s="10">
        <v>139</v>
      </c>
      <c r="CA722" s="10">
        <v>144</v>
      </c>
      <c r="CB722" s="10">
        <v>122</v>
      </c>
      <c r="CC722" s="10">
        <v>135</v>
      </c>
      <c r="CD722" s="10">
        <v>24.6</v>
      </c>
      <c r="CE722" s="10">
        <v>2076</v>
      </c>
      <c r="CF722" s="10">
        <v>1.1299999999999999</v>
      </c>
      <c r="CG722" s="10">
        <v>2349</v>
      </c>
      <c r="CH722" s="10">
        <v>211</v>
      </c>
      <c r="CI722" s="10">
        <v>107</v>
      </c>
      <c r="CJ722" s="10">
        <v>67</v>
      </c>
      <c r="CK722" s="10">
        <v>459</v>
      </c>
      <c r="CL722" s="10">
        <v>48</v>
      </c>
      <c r="CM722" s="10">
        <v>414</v>
      </c>
      <c r="CN722" s="10">
        <v>0.71399999999999997</v>
      </c>
      <c r="CO722" s="10">
        <v>221</v>
      </c>
      <c r="CP722" s="10">
        <v>221</v>
      </c>
      <c r="CQ722" s="10">
        <v>238</v>
      </c>
      <c r="CR722" s="10">
        <v>3</v>
      </c>
      <c r="CS722" s="10">
        <v>5.0999999999999996</v>
      </c>
      <c r="CT722" s="9" t="s">
        <v>169</v>
      </c>
      <c r="CU722" s="9" t="s">
        <v>185</v>
      </c>
      <c r="CV722" s="10"/>
      <c r="CW722" s="10"/>
      <c r="CX722" t="e">
        <f>INDEX('Data_Price '!AG$2:AG$1266,MATCH(Data!$DN722,'Data_Price '!$AT$2:$AT$1266,0))</f>
        <v>#N/A</v>
      </c>
      <c r="CY722" t="e">
        <f>INDEX('Data_Price '!AH$2:AH$1266,MATCH(Data!$DN722,'Data_Price '!$AT$2:$AT$1266,0))</f>
        <v>#N/A</v>
      </c>
      <c r="CZ722" t="e">
        <f>INDEX('Data_Price '!AI$2:AI$1266,MATCH(Data!$DN722,'Data_Price '!$AT$2:$AT$1266,0))</f>
        <v>#N/A</v>
      </c>
      <c r="DA722" t="e">
        <f>INDEX('Data_Price '!AJ$2:AJ$1266,MATCH(Data!$DN722,'Data_Price '!$AT$2:$AT$1266,0))</f>
        <v>#N/A</v>
      </c>
      <c r="DB722" t="e">
        <f>INDEX('Data_Price '!AK$2:AK$1266,MATCH(Data!$DN722,'Data_Price '!$AT$2:$AT$1266,0))</f>
        <v>#N/A</v>
      </c>
      <c r="DC722" t="e">
        <f>INDEX('Data_Price '!AL$2:AL$1266,MATCH(Data!$DN722,'Data_Price '!$AT$2:$AT$1266,0))</f>
        <v>#N/A</v>
      </c>
      <c r="DD722" t="e">
        <f>INDEX('Data_Price '!AM$2:AM$1266,MATCH(Data!$DN722,'Data_Price '!$AT$2:$AT$1266,0))</f>
        <v>#N/A</v>
      </c>
      <c r="DE722" t="e">
        <f>INDEX('Data_Price '!AN$2:AN$1266,MATCH(Data!$DN722,'Data_Price '!$AT$2:$AT$1266,0))</f>
        <v>#N/A</v>
      </c>
      <c r="DF722" t="e">
        <f>INDEX('Data_Price '!AO$2:AO$1266,MATCH(Data!$DN722,'Data_Price '!$AT$2:$AT$1266,0))</f>
        <v>#N/A</v>
      </c>
      <c r="DG722" t="e">
        <f>INDEX('Data_Price '!AP$2:AP$1266,MATCH(Data!$DN722,'Data_Price '!$AT$2:$AT$1266,0))</f>
        <v>#N/A</v>
      </c>
      <c r="DH722" t="e">
        <f>INDEX('Data_Price '!AQ$2:AQ$1266,MATCH(Data!$DN722,'Data_Price '!$AT$2:$AT$1266,0))</f>
        <v>#N/A</v>
      </c>
      <c r="DI722" t="e">
        <f>INDEX('Data_Price '!AR$2:AR$1266,MATCH(Data!$DN722,'Data_Price '!$AT$2:$AT$1266,0))</f>
        <v>#N/A</v>
      </c>
      <c r="DJ722" s="89" t="e">
        <f t="shared" si="439"/>
        <v>#N/A</v>
      </c>
      <c r="DK722" s="89" t="e">
        <f t="shared" si="440"/>
        <v>#N/A</v>
      </c>
      <c r="DL722" s="89" t="e">
        <f t="shared" si="441"/>
        <v>#N/A</v>
      </c>
      <c r="DM722" s="219" t="str">
        <f t="shared" si="442"/>
        <v>Reckoner 122</v>
      </c>
      <c r="DN722" s="89" t="str">
        <f t="shared" si="443"/>
        <v xml:space="preserve"> K2Reckoner 122184 Unisex</v>
      </c>
      <c r="DO722" s="221" t="s">
        <v>709</v>
      </c>
    </row>
    <row r="723" spans="1:119" ht="15.6" customHeight="1">
      <c r="B723" s="219" t="b">
        <f t="array" ref="B723">IF(OR(ISERROR(K723:P723)),FALSE,TRUE)</f>
        <v>1</v>
      </c>
      <c r="C723" s="43" t="b">
        <f>OR(BR723=Driver!$G$50,Data!BR1089=Driver!$H$50)</f>
        <v>1</v>
      </c>
      <c r="D723" s="43" t="b">
        <f>OR(BV723=Driver!$G$51,BV723=Driver!$H$51)</f>
        <v>1</v>
      </c>
      <c r="E723" s="43" t="b">
        <f>AND(BX723&gt;Driver!$F$54,BX723&lt;Driver!$G$54)</f>
        <v>1</v>
      </c>
      <c r="F723" s="43" t="b">
        <f>CL723&gt;Driver!$F$56</f>
        <v>1</v>
      </c>
      <c r="G723" s="43" t="b">
        <f>AND(CB723&gt;Driver!$F$55,CB723&lt;Driver!$G$55)</f>
        <v>0</v>
      </c>
      <c r="H723" s="43" t="b">
        <f t="shared" si="407"/>
        <v>0</v>
      </c>
      <c r="I723" s="43">
        <f t="shared" si="408"/>
        <v>0</v>
      </c>
      <c r="J723" s="43" t="b">
        <f t="array" ref="J723">NOT(OR(($H$9:$H$1273=TRUE)*($I$9:$I$1273&gt;0)*($BT$9:$BT$1273=BT723)*($K$9:$K$1273&gt;K723)))</f>
        <v>1</v>
      </c>
      <c r="K723" s="72">
        <f t="shared" si="409"/>
        <v>0.7903125344466706</v>
      </c>
      <c r="L723" s="72">
        <f t="shared" si="410"/>
        <v>0.8476257280954318</v>
      </c>
      <c r="M723" s="72">
        <f t="shared" si="411"/>
        <v>0.73299934079790929</v>
      </c>
      <c r="N723" s="72">
        <f t="shared" si="412"/>
        <v>0.61013018450609868</v>
      </c>
      <c r="O723" s="72">
        <f t="shared" si="413"/>
        <v>0.59298176193826224</v>
      </c>
      <c r="P723" s="72">
        <f t="shared" si="414"/>
        <v>0.99588607594936707</v>
      </c>
      <c r="Q723" s="72"/>
      <c r="R723" s="72"/>
      <c r="S723" s="72">
        <f t="shared" si="415"/>
        <v>0.42572835919304042</v>
      </c>
      <c r="T723" s="72">
        <f t="shared" si="416"/>
        <v>0.76303290405755875</v>
      </c>
      <c r="U723" s="72">
        <f t="shared" si="417"/>
        <v>0.51</v>
      </c>
      <c r="V723" s="72">
        <f t="shared" si="418"/>
        <v>0.49521255469812187</v>
      </c>
      <c r="W723" s="72">
        <f t="shared" si="419"/>
        <v>0.75901350830820724</v>
      </c>
      <c r="X723" s="72">
        <f t="shared" si="420"/>
        <v>0.15237427190456815</v>
      </c>
      <c r="Y723" s="72">
        <f t="shared" si="421"/>
        <v>0.26700065920209071</v>
      </c>
      <c r="Z723" s="72">
        <f t="shared" si="422"/>
        <v>0.38986981549390137</v>
      </c>
      <c r="AA723" s="72">
        <f t="shared" si="423"/>
        <v>0.40701823806173781</v>
      </c>
      <c r="AB723" s="72">
        <f t="shared" si="424"/>
        <v>4.1139240506329333E-3</v>
      </c>
      <c r="AC723" s="72"/>
      <c r="AD723" s="72"/>
      <c r="AE723" s="72">
        <f t="shared" si="425"/>
        <v>0.57427164080695958</v>
      </c>
      <c r="AF723" s="72">
        <f t="shared" si="426"/>
        <v>0.2369670959424412</v>
      </c>
      <c r="AG723" s="72">
        <f t="shared" si="427"/>
        <v>0.49</v>
      </c>
      <c r="AH723" s="72">
        <f t="shared" si="428"/>
        <v>0.50478744530187813</v>
      </c>
      <c r="AI723" s="72">
        <f t="shared" si="429"/>
        <v>0.24098649169179273</v>
      </c>
      <c r="AJ723" s="72">
        <f>(AV723-Driver!$K$179)/(Driver!$L$179-Driver!$K$179)</f>
        <v>0.10184513737813229</v>
      </c>
      <c r="AK723" s="72">
        <f>(AW723-Driver!$K$180)/(Driver!$L$180-Driver!$K$180)</f>
        <v>0.27853650375675948</v>
      </c>
      <c r="AL723" s="72">
        <f>(AX723-Driver!$K$181)/(Driver!$L$181-Driver!$K$181)</f>
        <v>0.49155757920698157</v>
      </c>
      <c r="AM723" s="72">
        <f>(AY723-Driver!$K$182)/(Driver!$L$182-Driver!$K$182)</f>
        <v>4.0366783035308572E-2</v>
      </c>
      <c r="AN723" s="72">
        <f>(AZ723-Driver!$K$183)/(Driver!$L$183-Driver!$K$183)</f>
        <v>0.25833333333333336</v>
      </c>
      <c r="AO723" s="72"/>
      <c r="AP723" s="72"/>
      <c r="AQ723" s="72">
        <f>(BC723-Driver!$K$188)/(Driver!$L$188-Driver!$K$188)</f>
        <v>4.5728359193040406E-2</v>
      </c>
      <c r="AR723" s="72">
        <f>MIN((BD723-Driver!$K$189)/(Driver!$L$189-Driver!$K$189),100%)</f>
        <v>0.31303290405755885</v>
      </c>
      <c r="AS723" s="72">
        <f>(BE723-Driver!$K$190)/(Driver!$L$190-Driver!$K$190)</f>
        <v>1</v>
      </c>
      <c r="AT723" s="72">
        <f>(BF723-Driver!$K$191)/(Driver!$L$191-Driver!$K$191)</f>
        <v>5.2125546981218367E-3</v>
      </c>
      <c r="AU723" s="72">
        <f>(BG723-Driver!$K$192)/(Driver!$L$192-Driver!$K$192)</f>
        <v>9.0135083082072583E-3</v>
      </c>
      <c r="AV723" s="70">
        <f t="shared" si="430"/>
        <v>2.1435354768688102</v>
      </c>
      <c r="AW723" s="70">
        <f t="shared" si="431"/>
        <v>29.017742997051997</v>
      </c>
      <c r="AX723" s="70">
        <f t="shared" si="432"/>
        <v>5.4240182128628343</v>
      </c>
      <c r="AY723" s="70">
        <f>IFERROR(Driver!$K$19/Data!BH723/Data!BI723*Data!BK723*Data!BL723,"")</f>
        <v>4.9420986720807601E-2</v>
      </c>
      <c r="AZ723" s="70">
        <f t="shared" si="433"/>
        <v>23.544303797468356</v>
      </c>
      <c r="BA723" s="70"/>
      <c r="BB723" s="70"/>
      <c r="BC723" s="70">
        <f t="shared" si="434"/>
        <v>23.719617811825717</v>
      </c>
      <c r="BD723" s="70">
        <f t="shared" si="435"/>
        <v>29.423680231706744</v>
      </c>
      <c r="BE723" s="70">
        <f t="shared" si="436"/>
        <v>1</v>
      </c>
      <c r="BF723" s="70">
        <f t="shared" si="437"/>
        <v>0.58872143288354439</v>
      </c>
      <c r="BG723" s="70">
        <f t="shared" si="438"/>
        <v>3.4130892451552056E-2</v>
      </c>
      <c r="BH723" s="67">
        <f>MAX((CE723-Driver!$F$200)/(Driver!$G$200-Driver!$F$200)*$BI$1,1)</f>
        <v>5.4240182128628343</v>
      </c>
      <c r="BI723" s="67">
        <f>MAX($BI$1*(BY723-Driver!$F$201)/(Driver!$G$201-Driver!$F$201),1)</f>
        <v>7.8481012658227849</v>
      </c>
      <c r="BJ723" s="67">
        <f>(CB723-Driver!$F$206)/(Driver!$G$206-Driver!$F$206)*$BI$1</f>
        <v>2.5396825396825395</v>
      </c>
      <c r="BK723" s="67">
        <f>(CD723-Driver!$F$203)/(Driver!$G$203-Driver!$F$203)*$BI$1</f>
        <v>1.6055045871559634</v>
      </c>
      <c r="BL723" s="67">
        <f>MAX((CR723-Driver!$F$202)/(Driver!$G$202-Driver!$F$202)*$BI$1,1)</f>
        <v>6.5517241379310338</v>
      </c>
      <c r="BM723" s="67">
        <f>MAX((CH723-Driver!$F$204)/(Driver!$G$204-Driver!$F$204)*$BI$1,1)</f>
        <v>3.3760683760683765</v>
      </c>
      <c r="BN723" s="67">
        <f>(CI723-Driver!$F$205)/(Driver!$G$205-Driver!$F$205)*$BI$1</f>
        <v>3</v>
      </c>
      <c r="BO723" s="67">
        <f>(CK723-Driver!$F$207)/(Driver!$G$207-Driver!$F$207)*$BI$1</f>
        <v>0.42399172699069287</v>
      </c>
      <c r="BP723" s="67">
        <f>(CM723-Driver!$F$208)/(Driver!$G$208-Driver!$F$208)*$BI$1</f>
        <v>0.87777777777777777</v>
      </c>
      <c r="BQ723" s="67">
        <f>(CL723-Driver!$F$209)/(Driver!$G$209-Driver!$F$209)*$BI$1</f>
        <v>0.625</v>
      </c>
      <c r="BR723" s="28" t="s">
        <v>155</v>
      </c>
      <c r="BS723" s="8" t="s">
        <v>174</v>
      </c>
      <c r="BT723" s="9" t="s">
        <v>736</v>
      </c>
      <c r="BU723" s="10">
        <v>156</v>
      </c>
      <c r="BV723" s="9" t="s">
        <v>158</v>
      </c>
      <c r="BW723" s="10">
        <v>156</v>
      </c>
      <c r="BX723" s="10">
        <v>155.30000000000001</v>
      </c>
      <c r="BY723" s="10">
        <v>132</v>
      </c>
      <c r="BZ723" s="10">
        <v>143</v>
      </c>
      <c r="CA723" s="10">
        <v>126</v>
      </c>
      <c r="CB723" s="10">
        <v>80</v>
      </c>
      <c r="CC723" s="10">
        <v>109</v>
      </c>
      <c r="CD723" s="10">
        <v>12.9</v>
      </c>
      <c r="CE723" s="10">
        <v>1853</v>
      </c>
      <c r="CF723" s="10">
        <v>0.79</v>
      </c>
      <c r="CG723" s="10">
        <v>1472</v>
      </c>
      <c r="CH723" s="10">
        <v>180</v>
      </c>
      <c r="CI723" s="10">
        <v>84</v>
      </c>
      <c r="CJ723" s="10">
        <v>40</v>
      </c>
      <c r="CK723" s="10">
        <v>151</v>
      </c>
      <c r="CL723" s="10">
        <v>4</v>
      </c>
      <c r="CM723" s="10">
        <v>79</v>
      </c>
      <c r="CN723" s="10">
        <v>8.7999999999999995E-2</v>
      </c>
      <c r="CO723" s="10">
        <v>86</v>
      </c>
      <c r="CP723" s="10">
        <v>33</v>
      </c>
      <c r="CQ723" s="10">
        <v>66</v>
      </c>
      <c r="CR723" s="10">
        <v>8</v>
      </c>
      <c r="CS723" s="10">
        <v>10.5</v>
      </c>
      <c r="CT723" s="9" t="s">
        <v>349</v>
      </c>
      <c r="CU723" s="10"/>
      <c r="CV723" s="10"/>
      <c r="CW723" s="10"/>
      <c r="CX723" t="str">
        <f>INDEX('Data_Price '!AG$2:AG$1266,MATCH(Data!$DN723,'Data_Price '!$AT$2:$AT$1266,0))</f>
        <v>Salomon S/Force Fever Women's Skis with M11 GW Bindings 2021 156cm</v>
      </c>
      <c r="CY723" t="str">
        <f>INDEX('Data_Price '!AH$2:AH$1266,MATCH(Data!$DN723,'Data_Price '!$AT$2:$AT$1266,0))</f>
        <v>The-House.com</v>
      </c>
      <c r="CZ723">
        <f>INDEX('Data_Price '!AI$2:AI$1266,MATCH(Data!$DN723,'Data_Price '!$AT$2:$AT$1266,0))</f>
        <v>479.95</v>
      </c>
      <c r="DA723" t="str">
        <f>INDEX('Data_Price '!AJ$2:AJ$1266,MATCH(Data!$DN723,'Data_Price '!$AT$2:$AT$1266,0))</f>
        <v>https://tinyurl.com/ycwn99be</v>
      </c>
      <c r="DB723" t="str">
        <f>INDEX('Data_Price '!AK$2:AK$1266,MATCH(Data!$DN723,'Data_Price '!$AT$2:$AT$1266,0))</f>
        <v>Salomon Men's S/Force FX 80 Skis with M11 GW 156</v>
      </c>
      <c r="DC723" t="str">
        <f>INDEX('Data_Price '!AL$2:AL$1266,MATCH(Data!$DN723,'Data_Price '!$AT$2:$AT$1266,0))</f>
        <v>Peter Glenn Ski &amp; Sports</v>
      </c>
      <c r="DD723">
        <f>INDEX('Data_Price '!AM$2:AM$1266,MATCH(Data!$DN723,'Data_Price '!$AT$2:$AT$1266,0))</f>
        <v>479.99</v>
      </c>
      <c r="DE723" t="str">
        <f>INDEX('Data_Price '!AN$2:AN$1266,MATCH(Data!$DN723,'Data_Price '!$AT$2:$AT$1266,0))</f>
        <v>https://tinyurl.com/y8vg3dep</v>
      </c>
      <c r="DF723" t="str">
        <f>INDEX('Data_Price '!AO$2:AO$1266,MATCH(Data!$DN723,'Data_Price '!$AT$2:$AT$1266,0))</f>
        <v>Salomon Men's S/Force FX 80 Skis with M11 GW 156</v>
      </c>
      <c r="DG723" t="str">
        <f>INDEX('Data_Price '!AP$2:AP$1266,MATCH(Data!$DN723,'Data_Price '!$AT$2:$AT$1266,0))</f>
        <v>The Ski Bum</v>
      </c>
      <c r="DH723">
        <f>INDEX('Data_Price '!AQ$2:AQ$1266,MATCH(Data!$DN723,'Data_Price '!$AT$2:$AT$1266,0))</f>
        <v>479.99</v>
      </c>
      <c r="DI723" t="str">
        <f>INDEX('Data_Price '!AR$2:AR$1266,MATCH(Data!$DN723,'Data_Price '!$AT$2:$AT$1266,0))</f>
        <v>https://tinyurl.com/yavgoeye</v>
      </c>
      <c r="DJ723" s="89" t="str">
        <f t="shared" si="439"/>
        <v>https://tinyurl.com/ycwn99be</v>
      </c>
      <c r="DK723" s="89" t="str">
        <f t="shared" si="440"/>
        <v>https://tinyurl.com/y8vg3dep</v>
      </c>
      <c r="DL723" s="89" t="str">
        <f t="shared" si="441"/>
        <v>https://tinyurl.com/yavgoeye</v>
      </c>
      <c r="DM723" s="219" t="str">
        <f t="shared" si="442"/>
        <v>S/Force 80FX</v>
      </c>
      <c r="DN723" s="89" t="str">
        <f t="shared" si="443"/>
        <v xml:space="preserve"> SalomonS/Force 80FX156 Unisex</v>
      </c>
      <c r="DO723" s="221"/>
    </row>
    <row r="724" spans="1:119" ht="15.6" customHeight="1">
      <c r="B724" s="219" t="b">
        <f t="array" ref="B724">IF(OR(ISERROR(K724:P724)),FALSE,TRUE)</f>
        <v>1</v>
      </c>
      <c r="C724" s="43" t="b">
        <f>OR(BR724=Driver!$G$50,Data!BR704=Driver!$H$50)</f>
        <v>1</v>
      </c>
      <c r="D724" s="43" t="b">
        <f>OR(BV724=Driver!$G$51,BV724=Driver!$H$51)</f>
        <v>1</v>
      </c>
      <c r="E724" s="43" t="b">
        <f>AND(BX724&gt;Driver!$F$54,BX724&lt;Driver!$G$54)</f>
        <v>1</v>
      </c>
      <c r="F724" s="43" t="b">
        <f>CL724&gt;Driver!$F$56</f>
        <v>1</v>
      </c>
      <c r="G724" s="43" t="b">
        <f>AND(CB724&gt;Driver!$F$55,CB724&lt;Driver!$G$55)</f>
        <v>0</v>
      </c>
      <c r="H724" s="43" t="b">
        <f t="shared" si="407"/>
        <v>0</v>
      </c>
      <c r="I724" s="43">
        <f t="shared" si="408"/>
        <v>0</v>
      </c>
      <c r="J724" s="43" t="b">
        <f t="array" ref="J724">NOT(OR(($H$9:$H$1273=TRUE)*($I$9:$I$1273&gt;0)*($BT$9:$BT$1273=BT724)*($K$9:$K$1273&gt;K724)))</f>
        <v>1</v>
      </c>
      <c r="K724" s="72">
        <f t="shared" si="409"/>
        <v>0.77162045781808786</v>
      </c>
      <c r="L724" s="72">
        <f t="shared" si="410"/>
        <v>0.7981534857297885</v>
      </c>
      <c r="M724" s="72">
        <f t="shared" si="411"/>
        <v>0.74508742990638721</v>
      </c>
      <c r="N724" s="72">
        <f t="shared" si="412"/>
        <v>0.69487058797160173</v>
      </c>
      <c r="O724" s="72">
        <f t="shared" si="413"/>
        <v>0.59363071887339736</v>
      </c>
      <c r="P724" s="72">
        <f t="shared" si="414"/>
        <v>0.94676098287416233</v>
      </c>
      <c r="Q724" s="72"/>
      <c r="R724" s="72"/>
      <c r="S724" s="72">
        <f t="shared" si="415"/>
        <v>0.41608519937162125</v>
      </c>
      <c r="T724" s="72">
        <f t="shared" si="416"/>
        <v>0.66118216837878219</v>
      </c>
      <c r="U724" s="72">
        <f t="shared" si="417"/>
        <v>0.51</v>
      </c>
      <c r="V724" s="72">
        <f t="shared" si="418"/>
        <v>0.49744821301113951</v>
      </c>
      <c r="W724" s="72">
        <f t="shared" si="419"/>
        <v>0.78728571428571426</v>
      </c>
      <c r="X724" s="72">
        <f t="shared" si="420"/>
        <v>0.20184651427021152</v>
      </c>
      <c r="Y724" s="72">
        <f t="shared" si="421"/>
        <v>0.25491257009361284</v>
      </c>
      <c r="Z724" s="72">
        <f t="shared" si="422"/>
        <v>0.30512941202839827</v>
      </c>
      <c r="AA724" s="72">
        <f t="shared" si="423"/>
        <v>0.40636928112660259</v>
      </c>
      <c r="AB724" s="72">
        <f t="shared" si="424"/>
        <v>5.3239017125837673E-2</v>
      </c>
      <c r="AC724" s="72"/>
      <c r="AD724" s="72"/>
      <c r="AE724" s="72">
        <f t="shared" si="425"/>
        <v>0.58391480062837875</v>
      </c>
      <c r="AF724" s="72">
        <f t="shared" si="426"/>
        <v>0.33881783162121787</v>
      </c>
      <c r="AG724" s="72">
        <f t="shared" si="427"/>
        <v>0.49</v>
      </c>
      <c r="AH724" s="72">
        <f t="shared" si="428"/>
        <v>0.50255178698886049</v>
      </c>
      <c r="AI724" s="72">
        <f t="shared" si="429"/>
        <v>0.21271428571428572</v>
      </c>
      <c r="AJ724" s="72">
        <f>(AV724-Driver!$K$179)/(Driver!$L$179-Driver!$K$179)</f>
        <v>5.2372895012488908E-2</v>
      </c>
      <c r="AK724" s="72">
        <f>(AW724-Driver!$K$180)/(Driver!$L$180-Driver!$K$180)</f>
        <v>0.21708521488978488</v>
      </c>
      <c r="AL724" s="72">
        <f>(AX724-Driver!$K$181)/(Driver!$L$181-Driver!$K$181)</f>
        <v>0.40681717574147847</v>
      </c>
      <c r="AM724" s="72">
        <f>(AY724-Driver!$K$182)/(Driver!$L$182-Driver!$K$182)</f>
        <v>4.101573997044379E-2</v>
      </c>
      <c r="AN724" s="72">
        <f>(AZ724-Driver!$K$183)/(Driver!$L$183-Driver!$K$183)</f>
        <v>0.20098039215686275</v>
      </c>
      <c r="AO724" s="72"/>
      <c r="AP724" s="72"/>
      <c r="AQ724" s="72">
        <f>(BC724-Driver!$K$188)/(Driver!$L$188-Driver!$K$188)</f>
        <v>3.6085199371621246E-2</v>
      </c>
      <c r="AR724" s="72">
        <f>MIN((BD724-Driver!$K$189)/(Driver!$L$189-Driver!$K$189),100%)</f>
        <v>0.21118216837878218</v>
      </c>
      <c r="AS724" s="72">
        <f>(BE724-Driver!$K$190)/(Driver!$L$190-Driver!$K$190)</f>
        <v>1</v>
      </c>
      <c r="AT724" s="72">
        <f>(BF724-Driver!$K$191)/(Driver!$L$191-Driver!$K$191)</f>
        <v>7.4482130111395246E-3</v>
      </c>
      <c r="AU724" s="72">
        <f>(BG724-Driver!$K$192)/(Driver!$L$192-Driver!$K$192)</f>
        <v>3.728571428571429E-2</v>
      </c>
      <c r="AV724" s="70">
        <f t="shared" si="430"/>
        <v>1.1022927689594355</v>
      </c>
      <c r="AW724" s="70">
        <f t="shared" si="431"/>
        <v>23.028770383153436</v>
      </c>
      <c r="AX724" s="70">
        <f t="shared" si="432"/>
        <v>4.6613545816733062</v>
      </c>
      <c r="AY724" s="70">
        <f>IFERROR(Driver!$K$19/Data!BH724/Data!BI724*Data!BK724*Data!BL724,"")</f>
        <v>5.0215503639474135E-2</v>
      </c>
      <c r="AZ724" s="70">
        <f t="shared" si="433"/>
        <v>18.317200297840657</v>
      </c>
      <c r="BA724" s="70"/>
      <c r="BB724" s="70"/>
      <c r="BC724" s="70">
        <f t="shared" si="434"/>
        <v>18.717643774296121</v>
      </c>
      <c r="BD724" s="70">
        <f t="shared" si="435"/>
        <v>20.410070592959727</v>
      </c>
      <c r="BE724" s="70">
        <f t="shared" si="436"/>
        <v>1</v>
      </c>
      <c r="BF724" s="70">
        <f t="shared" si="437"/>
        <v>0.84122333295032359</v>
      </c>
      <c r="BG724" s="70">
        <f t="shared" si="438"/>
        <v>0.14118750000000002</v>
      </c>
      <c r="BH724" s="67">
        <f>MAX((CE724-Driver!$F$200)/(Driver!$G$200-Driver!$F$200)*$BI$1,1)</f>
        <v>4.6613545816733062</v>
      </c>
      <c r="BI724" s="67">
        <f>MAX($BI$1*(BY724-Driver!$F$201)/(Driver!$G$201-Driver!$F$201),1)</f>
        <v>7.7848101265822782</v>
      </c>
      <c r="BJ724" s="67">
        <f>(CB724-Driver!$F$206)/(Driver!$G$206-Driver!$F$206)*$BI$1</f>
        <v>2.0634920634920633</v>
      </c>
      <c r="BK724" s="67">
        <f>(CD724-Driver!$F$203)/(Driver!$G$203-Driver!$F$203)*$BI$1</f>
        <v>1.4678899082568806</v>
      </c>
      <c r="BL724" s="67">
        <f>MAX((CR724-Driver!$F$202)/(Driver!$G$202-Driver!$F$202)*$BI$1,1)</f>
        <v>6.2068965517241379</v>
      </c>
      <c r="BM724" s="67">
        <f>MAX((CH724-Driver!$F$204)/(Driver!$G$204-Driver!$F$204)*$BI$1,1)</f>
        <v>2.1367521367521367</v>
      </c>
      <c r="BN724" s="67">
        <f>(CI724-Driver!$F$205)/(Driver!$G$205-Driver!$F$205)*$BI$1</f>
        <v>2.3529411764705883</v>
      </c>
      <c r="BO724" s="67">
        <f>(CK724-Driver!$F$207)/(Driver!$G$207-Driver!$F$207)*$BI$1</f>
        <v>0.57911065149948293</v>
      </c>
      <c r="BP724" s="67">
        <f>(CM724-Driver!$F$208)/(Driver!$G$208-Driver!$F$208)*$BI$1</f>
        <v>1.0333333333333332</v>
      </c>
      <c r="BQ724" s="67">
        <f>(CL724-Driver!$F$209)/(Driver!$G$209-Driver!$F$209)*$BI$1</f>
        <v>1.40625</v>
      </c>
      <c r="BR724" s="28" t="s">
        <v>155</v>
      </c>
      <c r="BS724" s="8" t="s">
        <v>262</v>
      </c>
      <c r="BT724" s="9" t="s">
        <v>583</v>
      </c>
      <c r="BU724" s="10">
        <v>156</v>
      </c>
      <c r="BV724" s="9" t="s">
        <v>158</v>
      </c>
      <c r="BW724" s="10">
        <v>156</v>
      </c>
      <c r="BX724" s="10">
        <v>157</v>
      </c>
      <c r="BY724" s="10">
        <v>131</v>
      </c>
      <c r="BZ724" s="10">
        <v>144</v>
      </c>
      <c r="CA724" s="10">
        <v>124</v>
      </c>
      <c r="CB724" s="10">
        <v>77</v>
      </c>
      <c r="CC724" s="10">
        <v>111</v>
      </c>
      <c r="CD724" s="10">
        <v>12.6</v>
      </c>
      <c r="CE724" s="10">
        <v>1719</v>
      </c>
      <c r="CF724" s="10">
        <v>0.84</v>
      </c>
      <c r="CG724" s="10">
        <v>1451</v>
      </c>
      <c r="CH724" s="10">
        <v>151</v>
      </c>
      <c r="CI724" s="10">
        <v>73</v>
      </c>
      <c r="CJ724" s="10">
        <v>29</v>
      </c>
      <c r="CK724" s="10">
        <v>166</v>
      </c>
      <c r="CL724" s="10">
        <v>9</v>
      </c>
      <c r="CM724" s="10">
        <v>93</v>
      </c>
      <c r="CN724" s="10">
        <v>0.30499999999999999</v>
      </c>
      <c r="CO724" s="10">
        <v>82</v>
      </c>
      <c r="CP724" s="10">
        <v>44</v>
      </c>
      <c r="CQ724" s="10">
        <v>84</v>
      </c>
      <c r="CR724" s="10">
        <v>7</v>
      </c>
      <c r="CS724" s="10">
        <v>10</v>
      </c>
      <c r="CT724" s="9" t="s">
        <v>349</v>
      </c>
      <c r="CU724" s="10"/>
      <c r="CV724" s="10"/>
      <c r="CW724" s="10"/>
      <c r="CX724" t="e">
        <f>INDEX('Data_Price '!AG$2:AG$1266,MATCH(Data!$DN724,'Data_Price '!$AT$2:$AT$1266,0))</f>
        <v>#N/A</v>
      </c>
      <c r="CY724" t="e">
        <f>INDEX('Data_Price '!AH$2:AH$1266,MATCH(Data!$DN724,'Data_Price '!$AT$2:$AT$1266,0))</f>
        <v>#N/A</v>
      </c>
      <c r="CZ724" t="e">
        <f>INDEX('Data_Price '!AI$2:AI$1266,MATCH(Data!$DN724,'Data_Price '!$AT$2:$AT$1266,0))</f>
        <v>#N/A</v>
      </c>
      <c r="DA724" t="e">
        <f>INDEX('Data_Price '!AJ$2:AJ$1266,MATCH(Data!$DN724,'Data_Price '!$AT$2:$AT$1266,0))</f>
        <v>#N/A</v>
      </c>
      <c r="DB724" t="e">
        <f>INDEX('Data_Price '!AK$2:AK$1266,MATCH(Data!$DN724,'Data_Price '!$AT$2:$AT$1266,0))</f>
        <v>#N/A</v>
      </c>
      <c r="DC724" t="e">
        <f>INDEX('Data_Price '!AL$2:AL$1266,MATCH(Data!$DN724,'Data_Price '!$AT$2:$AT$1266,0))</f>
        <v>#N/A</v>
      </c>
      <c r="DD724" t="e">
        <f>INDEX('Data_Price '!AM$2:AM$1266,MATCH(Data!$DN724,'Data_Price '!$AT$2:$AT$1266,0))</f>
        <v>#N/A</v>
      </c>
      <c r="DE724" t="e">
        <f>INDEX('Data_Price '!AN$2:AN$1266,MATCH(Data!$DN724,'Data_Price '!$AT$2:$AT$1266,0))</f>
        <v>#N/A</v>
      </c>
      <c r="DF724" t="e">
        <f>INDEX('Data_Price '!AO$2:AO$1266,MATCH(Data!$DN724,'Data_Price '!$AT$2:$AT$1266,0))</f>
        <v>#N/A</v>
      </c>
      <c r="DG724" t="e">
        <f>INDEX('Data_Price '!AP$2:AP$1266,MATCH(Data!$DN724,'Data_Price '!$AT$2:$AT$1266,0))</f>
        <v>#N/A</v>
      </c>
      <c r="DH724" t="e">
        <f>INDEX('Data_Price '!AQ$2:AQ$1266,MATCH(Data!$DN724,'Data_Price '!$AT$2:$AT$1266,0))</f>
        <v>#N/A</v>
      </c>
      <c r="DI724" t="e">
        <f>INDEX('Data_Price '!AR$2:AR$1266,MATCH(Data!$DN724,'Data_Price '!$AT$2:$AT$1266,0))</f>
        <v>#N/A</v>
      </c>
      <c r="DJ724" s="89" t="e">
        <f t="shared" si="439"/>
        <v>#N/A</v>
      </c>
      <c r="DK724" s="89" t="e">
        <f t="shared" si="440"/>
        <v>#N/A</v>
      </c>
      <c r="DL724" s="89" t="e">
        <f t="shared" si="441"/>
        <v>#N/A</v>
      </c>
      <c r="DM724" s="219" t="str">
        <f t="shared" si="442"/>
        <v>Disruption 78C</v>
      </c>
      <c r="DN724" s="89" t="str">
        <f t="shared" si="443"/>
        <v xml:space="preserve"> K2Disruption 78C156 Unisex</v>
      </c>
      <c r="DO724" s="221" t="s">
        <v>584</v>
      </c>
    </row>
    <row r="725" spans="1:119" ht="15.6" customHeight="1">
      <c r="B725" s="219" t="b">
        <f t="array" ref="B725">IF(OR(ISERROR(K725:P725)),FALSE,TRUE)</f>
        <v>1</v>
      </c>
      <c r="C725" s="43" t="b">
        <f>OR(BR725=Driver!$G$50,Data!BR940=Driver!$H$50)</f>
        <v>1</v>
      </c>
      <c r="D725" s="43" t="b">
        <f>OR(BV725=Driver!$G$51,BV725=Driver!$H$51)</f>
        <v>1</v>
      </c>
      <c r="E725" s="43" t="b">
        <f>AND(BX725&gt;Driver!$F$54,BX725&lt;Driver!$G$54)</f>
        <v>0</v>
      </c>
      <c r="F725" s="43" t="b">
        <f>CL725&gt;Driver!$F$56</f>
        <v>1</v>
      </c>
      <c r="G725" s="43" t="b">
        <f>AND(CB725&gt;Driver!$F$55,CB725&lt;Driver!$G$55)</f>
        <v>0</v>
      </c>
      <c r="H725" s="43" t="b">
        <f t="shared" si="407"/>
        <v>0</v>
      </c>
      <c r="I725" s="43">
        <f t="shared" si="408"/>
        <v>0</v>
      </c>
      <c r="J725" s="43" t="b">
        <f t="array" ref="J725">NOT(OR(($H$9:$H$1273=TRUE)*($I$9:$I$1273&gt;0)*($BT$9:$BT$1273=BT725)*($K$9:$K$1273&gt;K725)))</f>
        <v>1</v>
      </c>
      <c r="K725" s="72">
        <f t="shared" si="409"/>
        <v>0.82050031297051296</v>
      </c>
      <c r="L725" s="72">
        <f t="shared" si="410"/>
        <v>0.99380526054367857</v>
      </c>
      <c r="M725" s="72">
        <f t="shared" si="411"/>
        <v>0.64719536539734746</v>
      </c>
      <c r="N725" s="72">
        <f t="shared" si="412"/>
        <v>0.43559024900998777</v>
      </c>
      <c r="O725" s="72">
        <f t="shared" si="413"/>
        <v>0.64066532678824284</v>
      </c>
      <c r="P725" s="72">
        <f t="shared" si="414"/>
        <v>0.86533052039381153</v>
      </c>
      <c r="Q725" s="72"/>
      <c r="R725" s="72"/>
      <c r="S725" s="72">
        <f t="shared" si="415"/>
        <v>0.51351156801211073</v>
      </c>
      <c r="T725" s="72">
        <f t="shared" si="416"/>
        <v>0.54626013786140803</v>
      </c>
      <c r="U725" s="72">
        <f t="shared" si="417"/>
        <v>0.61336768674390441</v>
      </c>
      <c r="V725" s="72">
        <f t="shared" si="418"/>
        <v>0.50396411592934898</v>
      </c>
      <c r="W725" s="72">
        <f t="shared" si="419"/>
        <v>0.81560271975122656</v>
      </c>
      <c r="X725" s="72">
        <f t="shared" si="420"/>
        <v>6.1947394563214297E-3</v>
      </c>
      <c r="Y725" s="72">
        <f t="shared" si="421"/>
        <v>0.3528046346026526</v>
      </c>
      <c r="Z725" s="72">
        <f t="shared" si="422"/>
        <v>0.56440975099001223</v>
      </c>
      <c r="AA725" s="72">
        <f t="shared" si="423"/>
        <v>0.35933467321175716</v>
      </c>
      <c r="AB725" s="72">
        <f t="shared" si="424"/>
        <v>0.13466947960618841</v>
      </c>
      <c r="AC725" s="72"/>
      <c r="AD725" s="72"/>
      <c r="AE725" s="72">
        <f t="shared" si="425"/>
        <v>0.48648843198788927</v>
      </c>
      <c r="AF725" s="72">
        <f t="shared" si="426"/>
        <v>0.45373986213859197</v>
      </c>
      <c r="AG725" s="72">
        <f t="shared" si="427"/>
        <v>0.38663231325609559</v>
      </c>
      <c r="AH725" s="72">
        <f t="shared" si="428"/>
        <v>0.49603588407065102</v>
      </c>
      <c r="AI725" s="72">
        <f t="shared" si="429"/>
        <v>0.18439728024877347</v>
      </c>
      <c r="AJ725" s="72">
        <f>(AV725-Driver!$K$179)/(Driver!$L$179-Driver!$K$179)</f>
        <v>0.26041414873902186</v>
      </c>
      <c r="AK725" s="72">
        <f>(AW725-Driver!$K$180)/(Driver!$L$180-Driver!$K$180)</f>
        <v>0.41734350788483726</v>
      </c>
      <c r="AL725" s="72">
        <f>(AX725-Driver!$K$181)/(Driver!$L$181-Driver!$K$181)</f>
        <v>0.66609751470309242</v>
      </c>
      <c r="AM725" s="72">
        <f>(AY725-Driver!$K$182)/(Driver!$L$182-Driver!$K$182)</f>
        <v>8.8050347885289176E-2</v>
      </c>
      <c r="AN725" s="72">
        <f>(AZ725-Driver!$K$183)/(Driver!$L$183-Driver!$K$183)</f>
        <v>0.38888888888888884</v>
      </c>
      <c r="AO725" s="72"/>
      <c r="AP725" s="72"/>
      <c r="AQ725" s="72">
        <f>(BC725-Driver!$K$188)/(Driver!$L$188-Driver!$K$188)</f>
        <v>0.1335115680121107</v>
      </c>
      <c r="AR725" s="72">
        <f>MIN((BD725-Driver!$K$189)/(Driver!$L$189-Driver!$K$189),100%)</f>
        <v>9.6260137861408093E-2</v>
      </c>
      <c r="AS725" s="72">
        <f>(BE725-Driver!$K$190)/(Driver!$L$190-Driver!$K$190)</f>
        <v>0.1233676867439044</v>
      </c>
      <c r="AT725" s="72">
        <f>(BF725-Driver!$K$191)/(Driver!$L$191-Driver!$K$191)</f>
        <v>1.3964115929348981E-2</v>
      </c>
      <c r="AU725" s="72">
        <f>(BG725-Driver!$K$192)/(Driver!$L$192-Driver!$K$192)</f>
        <v>6.5602719751226529E-2</v>
      </c>
      <c r="AV725" s="70">
        <f t="shared" si="430"/>
        <v>5.4809388142721485</v>
      </c>
      <c r="AW725" s="70">
        <f t="shared" si="431"/>
        <v>42.545715504511136</v>
      </c>
      <c r="AX725" s="70">
        <f t="shared" si="432"/>
        <v>6.9948776323278317</v>
      </c>
      <c r="AY725" s="70">
        <f>IFERROR(Driver!$K$19/Data!BH725/Data!BI725*Data!BK725*Data!BL725,"")</f>
        <v>0.10779989749976128</v>
      </c>
      <c r="AZ725" s="70">
        <f t="shared" si="433"/>
        <v>35.443037974683541</v>
      </c>
      <c r="BA725" s="70"/>
      <c r="BB725" s="70"/>
      <c r="BC725" s="70">
        <f t="shared" si="434"/>
        <v>69.25337848524461</v>
      </c>
      <c r="BD725" s="70">
        <f t="shared" si="435"/>
        <v>10.239674521960788</v>
      </c>
      <c r="BE725" s="70">
        <f t="shared" si="436"/>
        <v>0.12352406808167232</v>
      </c>
      <c r="BF725" s="70">
        <f t="shared" si="437"/>
        <v>1.5771487907532944</v>
      </c>
      <c r="BG725" s="70">
        <f t="shared" si="438"/>
        <v>0.24841374698901944</v>
      </c>
      <c r="BH725" s="67">
        <f>MAX((CE725-Driver!$F$200)/(Driver!$G$200-Driver!$F$200)*$BI$1,1)</f>
        <v>6.9948776323278317</v>
      </c>
      <c r="BI725" s="67">
        <f>MAX($BI$1*(BY725-Driver!$F$201)/(Driver!$G$201-Driver!$F$201),1)</f>
        <v>8.8607594936708853</v>
      </c>
      <c r="BJ725" s="67">
        <f>(CB725-Driver!$F$206)/(Driver!$G$206-Driver!$F$206)*$BI$1</f>
        <v>5.0793650793650791</v>
      </c>
      <c r="BK725" s="67">
        <f>(CD725-Driver!$F$203)/(Driver!$G$203-Driver!$F$203)*$BI$1</f>
        <v>4.4036697247706424</v>
      </c>
      <c r="BL725" s="67">
        <f>MAX((CR725-Driver!$F$202)/(Driver!$G$202-Driver!$F$202)*$BI$1,1)</f>
        <v>7.5862068965517242</v>
      </c>
      <c r="BM725" s="67">
        <f>MAX((CH725-Driver!$F$204)/(Driver!$G$204-Driver!$F$204)*$BI$1,1)</f>
        <v>4.3162393162393169</v>
      </c>
      <c r="BN725" s="67">
        <f>(CI725-Driver!$F$205)/(Driver!$G$205-Driver!$F$205)*$BI$1</f>
        <v>4</v>
      </c>
      <c r="BO725" s="67">
        <f>(CK725-Driver!$F$207)/(Driver!$G$207-Driver!$F$207)*$BI$1</f>
        <v>0.70320579110651493</v>
      </c>
      <c r="BP725" s="67">
        <f>(CM725-Driver!$F$208)/(Driver!$G$208-Driver!$F$208)*$BI$1</f>
        <v>1.9444444444444444</v>
      </c>
      <c r="BQ725" s="67">
        <f>(CL725-Driver!$F$209)/(Driver!$G$209-Driver!$F$209)*$BI$1</f>
        <v>7.5</v>
      </c>
      <c r="BR725" s="28" t="s">
        <v>155</v>
      </c>
      <c r="BS725" s="8" t="s">
        <v>332</v>
      </c>
      <c r="BT725" s="9" t="s">
        <v>465</v>
      </c>
      <c r="BU725" s="10">
        <v>185</v>
      </c>
      <c r="BV725" s="9" t="s">
        <v>158</v>
      </c>
      <c r="BW725" s="10">
        <v>185</v>
      </c>
      <c r="BX725" s="10">
        <v>183.1</v>
      </c>
      <c r="BY725" s="10">
        <v>148</v>
      </c>
      <c r="BZ725" s="10">
        <v>160</v>
      </c>
      <c r="CA725" s="10">
        <v>133</v>
      </c>
      <c r="CB725" s="10">
        <v>96</v>
      </c>
      <c r="CC725" s="10">
        <v>123</v>
      </c>
      <c r="CD725" s="10">
        <v>19</v>
      </c>
      <c r="CE725" s="10">
        <v>2129</v>
      </c>
      <c r="CF725" s="10">
        <v>0.93</v>
      </c>
      <c r="CG725" s="10">
        <v>1975</v>
      </c>
      <c r="CH725" s="10">
        <v>202</v>
      </c>
      <c r="CI725" s="10">
        <v>101</v>
      </c>
      <c r="CJ725" s="10">
        <v>52</v>
      </c>
      <c r="CK725" s="10">
        <v>178</v>
      </c>
      <c r="CL725" s="10">
        <v>48</v>
      </c>
      <c r="CM725" s="10">
        <v>175</v>
      </c>
      <c r="CN725" s="10">
        <v>0.92</v>
      </c>
      <c r="CO725" s="10">
        <v>105</v>
      </c>
      <c r="CP725" s="10">
        <v>126</v>
      </c>
      <c r="CQ725" s="10">
        <v>74</v>
      </c>
      <c r="CR725" s="10">
        <v>11</v>
      </c>
      <c r="CS725" s="10">
        <v>6.3</v>
      </c>
      <c r="CT725" s="9" t="s">
        <v>184</v>
      </c>
      <c r="CU725" s="10"/>
      <c r="CV725" s="10"/>
      <c r="CW725" s="10"/>
      <c r="CX725" t="str">
        <f>INDEX('Data_Price '!AG$2:AG$1266,MATCH(Data!$DN725,'Data_Price '!$AT$2:$AT$1266,0))</f>
        <v>Nordica Soul Rider 97 Skis Â· 2022 Â· 185 cm</v>
      </c>
      <c r="CY725" t="str">
        <f>INDEX('Data_Price '!AH$2:AH$1266,MATCH(Data!$DN725,'Data_Price '!$AT$2:$AT$1266,0))</f>
        <v>Ski Pro  - Snow Ski &amp; Snowboard</v>
      </c>
      <c r="CZ725">
        <f>INDEX('Data_Price '!AI$2:AI$1266,MATCH(Data!$DN725,'Data_Price '!$AT$2:$AT$1266,0))</f>
        <v>479.95</v>
      </c>
      <c r="DA725" t="str">
        <f>INDEX('Data_Price '!AJ$2:AJ$1266,MATCH(Data!$DN725,'Data_Price '!$AT$2:$AT$1266,0))</f>
        <v>https://tinyurl.com/yaaogb8v</v>
      </c>
      <c r="DB725" t="str">
        <f>INDEX('Data_Price '!AK$2:AK$1266,MATCH(Data!$DN725,'Data_Price '!$AT$2:$AT$1266,0))</f>
        <v>Nordica Soul Rider 97 Skis Â· 2022 Â· 185 cm</v>
      </c>
      <c r="DC725" t="str">
        <f>INDEX('Data_Price '!AL$2:AL$1266,MATCH(Data!$DN725,'Data_Price '!$AT$2:$AT$1266,0))</f>
        <v>Backcountry.com</v>
      </c>
      <c r="DD725">
        <f>INDEX('Data_Price '!AM$2:AM$1266,MATCH(Data!$DN725,'Data_Price '!$AT$2:$AT$1266,0))</f>
        <v>479.96</v>
      </c>
      <c r="DE725" t="str">
        <f>INDEX('Data_Price '!AN$2:AN$1266,MATCH(Data!$DN725,'Data_Price '!$AT$2:$AT$1266,0))</f>
        <v>https://tinyurl.com/ydxypjpr</v>
      </c>
      <c r="DF725" t="str">
        <f>INDEX('Data_Price '!AO$2:AO$1266,MATCH(Data!$DN725,'Data_Price '!$AT$2:$AT$1266,0))</f>
        <v>Nordica Soul Rider 97 Skis Â· 2022 Â· 185 cm</v>
      </c>
      <c r="DG725" t="str">
        <f>INDEX('Data_Price '!AP$2:AP$1266,MATCH(Data!$DN725,'Data_Price '!$AT$2:$AT$1266,0))</f>
        <v>AlpineShopVT.com</v>
      </c>
      <c r="DH725">
        <f>INDEX('Data_Price '!AQ$2:AQ$1266,MATCH(Data!$DN725,'Data_Price '!$AT$2:$AT$1266,0))</f>
        <v>479.99</v>
      </c>
      <c r="DI725" t="str">
        <f>INDEX('Data_Price '!AR$2:AR$1266,MATCH(Data!$DN725,'Data_Price '!$AT$2:$AT$1266,0))</f>
        <v>https://tinyurl.com/ycfyjskf</v>
      </c>
      <c r="DJ725" s="89" t="str">
        <f t="shared" si="439"/>
        <v>https://tinyurl.com/yaaogb8v</v>
      </c>
      <c r="DK725" s="89" t="str">
        <f t="shared" si="440"/>
        <v>https://tinyurl.com/ydxypjpr</v>
      </c>
      <c r="DL725" s="89" t="str">
        <f t="shared" si="441"/>
        <v>https://tinyurl.com/ycfyjskf</v>
      </c>
      <c r="DM725" s="219" t="str">
        <f t="shared" si="442"/>
        <v>Soul Rider 97</v>
      </c>
      <c r="DN725" s="89" t="str">
        <f t="shared" si="443"/>
        <v xml:space="preserve"> NordicaSoul Rider 97185 Unisex</v>
      </c>
      <c r="DO725" s="221"/>
    </row>
    <row r="726" spans="1:119" ht="15.6" customHeight="1">
      <c r="A726" s="219">
        <f>ROW()</f>
        <v>726</v>
      </c>
      <c r="B726" s="219" t="b">
        <f t="array" ref="B726">IF(OR(ISERROR(K726:P726)),FALSE,TRUE)</f>
        <v>1</v>
      </c>
      <c r="C726" s="43" t="b">
        <f>OR(BR726=Driver!$G$50,Data!BR207=Driver!$H$50)</f>
        <v>1</v>
      </c>
      <c r="D726" s="43" t="b">
        <f>OR(BV726=Driver!$G$51,BV726=Driver!$H$51)</f>
        <v>0</v>
      </c>
      <c r="E726" s="43" t="b">
        <f>AND(BX726&gt;Driver!$F$54,BX726&lt;Driver!$G$54)</f>
        <v>1</v>
      </c>
      <c r="F726" s="43" t="b">
        <f>CL726&gt;Driver!$F$56</f>
        <v>1</v>
      </c>
      <c r="G726" s="43" t="b">
        <f>AND(CB726&gt;Driver!$F$55,CB726&lt;Driver!$G$55)</f>
        <v>0</v>
      </c>
      <c r="H726" s="43" t="b">
        <f t="shared" si="407"/>
        <v>0</v>
      </c>
      <c r="I726" s="43">
        <f t="shared" si="408"/>
        <v>0</v>
      </c>
      <c r="J726" s="43" t="b">
        <f t="array" ref="J726">NOT(OR(($H$9:$H$1273=TRUE)*($I$9:$I$1273&gt;0)*($BT$9:$BT$1273=BT726)*($K$9:$K$1273&gt;K726)))</f>
        <v>1</v>
      </c>
      <c r="K726" s="72">
        <f t="shared" si="409"/>
        <v>0.82257936330566206</v>
      </c>
      <c r="L726" s="72">
        <f t="shared" si="410"/>
        <v>0.85479678602791109</v>
      </c>
      <c r="M726" s="72">
        <f t="shared" si="411"/>
        <v>0.79036194058341303</v>
      </c>
      <c r="N726" s="72">
        <f t="shared" si="412"/>
        <v>0.76949273430689535</v>
      </c>
      <c r="O726" s="72">
        <f t="shared" si="413"/>
        <v>0.67325530718356053</v>
      </c>
      <c r="P726" s="72">
        <f t="shared" si="414"/>
        <v>0.9283377802597832</v>
      </c>
      <c r="Q726" s="72"/>
      <c r="R726" s="72"/>
      <c r="S726" s="72">
        <f t="shared" si="415"/>
        <v>0.43721752862540608</v>
      </c>
      <c r="T726" s="72">
        <f t="shared" si="416"/>
        <v>0.45475600949781525</v>
      </c>
      <c r="U726" s="72">
        <f t="shared" si="417"/>
        <v>0.60391457306745489</v>
      </c>
      <c r="V726" s="72">
        <f t="shared" si="418"/>
        <v>0.5244391410002025</v>
      </c>
      <c r="W726" s="72">
        <f t="shared" si="419"/>
        <v>0.93888695591663474</v>
      </c>
      <c r="X726" s="72">
        <f t="shared" si="420"/>
        <v>0.14520321397208888</v>
      </c>
      <c r="Y726" s="72">
        <f t="shared" si="421"/>
        <v>0.20963805941658697</v>
      </c>
      <c r="Z726" s="72">
        <f t="shared" si="422"/>
        <v>0.23050726569310465</v>
      </c>
      <c r="AA726" s="72">
        <f t="shared" si="423"/>
        <v>0.32674469281643947</v>
      </c>
      <c r="AB726" s="72">
        <f t="shared" si="424"/>
        <v>7.1662219740216776E-2</v>
      </c>
      <c r="AC726" s="72"/>
      <c r="AD726" s="72"/>
      <c r="AE726" s="72">
        <f t="shared" si="425"/>
        <v>0.56278247137459392</v>
      </c>
      <c r="AF726" s="72">
        <f t="shared" si="426"/>
        <v>0.54524399050218475</v>
      </c>
      <c r="AG726" s="72">
        <f t="shared" si="427"/>
        <v>0.39608542693254511</v>
      </c>
      <c r="AH726" s="72">
        <f t="shared" si="428"/>
        <v>0.47556085899979755</v>
      </c>
      <c r="AI726" s="72">
        <f t="shared" si="429"/>
        <v>6.1113044083365292E-2</v>
      </c>
      <c r="AJ726" s="72">
        <f>(AV726-Driver!$K$179)/(Driver!$L$179-Driver!$K$179)</f>
        <v>0.10901619531061155</v>
      </c>
      <c r="AK726" s="72">
        <f>(AW726-Driver!$K$180)/(Driver!$L$180-Driver!$K$180)</f>
        <v>0.19396580084809986</v>
      </c>
      <c r="AL726" s="72">
        <f>(AX726-Driver!$K$181)/(Driver!$L$181-Driver!$K$181)</f>
        <v>0.33219502940618484</v>
      </c>
      <c r="AM726" s="72">
        <f>(AY726-Driver!$K$182)/(Driver!$L$182-Driver!$K$182)</f>
        <v>0.12064032828060686</v>
      </c>
      <c r="AN726" s="72">
        <f>(AZ726-Driver!$K$183)/(Driver!$L$183-Driver!$K$183)</f>
        <v>0.18255718954248365</v>
      </c>
      <c r="AO726" s="72"/>
      <c r="AP726" s="72"/>
      <c r="AQ726" s="72">
        <f>(BC726-Driver!$K$188)/(Driver!$L$188-Driver!$K$188)</f>
        <v>5.7217528625406099E-2</v>
      </c>
      <c r="AR726" s="72">
        <f>MIN((BD726-Driver!$K$189)/(Driver!$L$189-Driver!$K$189),100%)</f>
        <v>4.7560094978152797E-3</v>
      </c>
      <c r="AS726" s="72">
        <f>(BE726-Driver!$K$190)/(Driver!$L$190-Driver!$K$190)</f>
        <v>0.11391457306745488</v>
      </c>
      <c r="AT726" s="72">
        <f>(BF726-Driver!$K$191)/(Driver!$L$191-Driver!$K$191)</f>
        <v>3.4439141000202442E-2</v>
      </c>
      <c r="AU726" s="72">
        <f>(BG726-Driver!$K$192)/(Driver!$L$192-Driver!$K$192)</f>
        <v>0.18888695591663471</v>
      </c>
      <c r="AV726" s="70">
        <f t="shared" si="430"/>
        <v>2.2944647944647945</v>
      </c>
      <c r="AW726" s="70">
        <f t="shared" si="431"/>
        <v>20.775578625942856</v>
      </c>
      <c r="AX726" s="70">
        <f t="shared" si="432"/>
        <v>3.9897552646556633</v>
      </c>
      <c r="AY726" s="70">
        <f>IFERROR(Driver!$K$19/Data!BH735/Data!BI735*Data!BK735*Data!BL735,"")</f>
        <v>0.14769975741526578</v>
      </c>
      <c r="AZ726" s="70">
        <f t="shared" si="433"/>
        <v>16.638123603871929</v>
      </c>
      <c r="BA726" s="70"/>
      <c r="BB726" s="70"/>
      <c r="BC726" s="70">
        <f t="shared" si="434"/>
        <v>29.679129867803898</v>
      </c>
      <c r="BD726" s="70">
        <f t="shared" si="435"/>
        <v>2.1417212975042097</v>
      </c>
      <c r="BE726" s="70">
        <f t="shared" si="436"/>
        <v>0.11407264073430334</v>
      </c>
      <c r="BF726" s="70">
        <f t="shared" si="437"/>
        <v>3.8896590273139999</v>
      </c>
      <c r="BG726" s="70">
        <f t="shared" si="438"/>
        <v>0.7152465119515673</v>
      </c>
      <c r="BH726" s="67">
        <f>MAX((CE726-Driver!$F$200)/(Driver!$G$200-Driver!$F$200)*$BI$1,1)</f>
        <v>3.9897552646556633</v>
      </c>
      <c r="BI726" s="67">
        <f>MAX($BI$1*(BY726-Driver!$F$201)/(Driver!$G$201-Driver!$F$201),1)</f>
        <v>6.8987341772151902</v>
      </c>
      <c r="BJ726" s="67">
        <f>(CB726-Driver!$F$206)/(Driver!$G$206-Driver!$F$206)*$BI$1</f>
        <v>5.2380952380952381</v>
      </c>
      <c r="BK726" s="67">
        <f>(CD726-Driver!$F$203)/(Driver!$G$203-Driver!$F$203)*$BI$1</f>
        <v>4.0825688073394497</v>
      </c>
      <c r="BL726" s="67">
        <f>MAX((CR726-Driver!$F$202)/(Driver!$G$202-Driver!$F$202)*$BI$1,1)</f>
        <v>6.5517241379310338</v>
      </c>
      <c r="BM726" s="67">
        <f>MAX((CH726-Driver!$F$204)/(Driver!$G$204-Driver!$F$204)*$BI$1,1)</f>
        <v>1.7521367521367521</v>
      </c>
      <c r="BN726" s="67">
        <f>(CI726-Driver!$F$205)/(Driver!$G$205-Driver!$F$205)*$BI$1</f>
        <v>2.4117647058823528</v>
      </c>
      <c r="BO726" s="67">
        <f>(CK726-Driver!$F$207)/(Driver!$G$207-Driver!$F$207)*$BI$1</f>
        <v>1.4064115822130299</v>
      </c>
      <c r="BP726" s="67">
        <f>(CM726-Driver!$F$208)/(Driver!$G$208-Driver!$F$208)*$BI$1</f>
        <v>2.1555555555555554</v>
      </c>
      <c r="BQ726" s="67">
        <f>(CL726-Driver!$F$209)/(Driver!$G$209-Driver!$F$209)*$BI$1</f>
        <v>5</v>
      </c>
      <c r="BR726" s="28" t="s">
        <v>155</v>
      </c>
      <c r="BS726" s="8" t="s">
        <v>237</v>
      </c>
      <c r="BT726" s="9" t="s">
        <v>737</v>
      </c>
      <c r="BU726" s="10">
        <v>162.30000000000001</v>
      </c>
      <c r="BV726" s="9" t="s">
        <v>163</v>
      </c>
      <c r="BW726" s="10">
        <v>162.30000000000001</v>
      </c>
      <c r="BX726" s="10">
        <v>160.80000000000001</v>
      </c>
      <c r="BY726" s="10">
        <v>117</v>
      </c>
      <c r="BZ726" s="10">
        <v>140</v>
      </c>
      <c r="CA726" s="10">
        <v>129</v>
      </c>
      <c r="CB726" s="10">
        <v>97</v>
      </c>
      <c r="CC726" s="10">
        <v>117</v>
      </c>
      <c r="CD726" s="10">
        <v>18.3</v>
      </c>
      <c r="CE726" s="10">
        <v>1601</v>
      </c>
      <c r="CF726" s="10">
        <v>1.07</v>
      </c>
      <c r="CG726" s="10">
        <v>1720</v>
      </c>
      <c r="CH726" s="10">
        <v>142</v>
      </c>
      <c r="CI726" s="10">
        <v>74</v>
      </c>
      <c r="CJ726" s="10">
        <v>45</v>
      </c>
      <c r="CK726" s="10">
        <v>246</v>
      </c>
      <c r="CL726" s="10">
        <v>32</v>
      </c>
      <c r="CM726" s="10">
        <v>194</v>
      </c>
      <c r="CN726" s="10">
        <v>0.71499999999999997</v>
      </c>
      <c r="CO726" s="10">
        <v>103</v>
      </c>
      <c r="CP726" s="10">
        <v>110</v>
      </c>
      <c r="CQ726" s="10">
        <v>143</v>
      </c>
      <c r="CR726" s="10">
        <v>8</v>
      </c>
      <c r="CS726" s="10">
        <v>6.4</v>
      </c>
      <c r="CT726" s="9" t="s">
        <v>188</v>
      </c>
      <c r="CU726" s="9" t="s">
        <v>185</v>
      </c>
      <c r="CV726" s="10"/>
      <c r="CW726" s="10"/>
      <c r="CX726" t="str">
        <f>INDEX('Data_Price '!AG$2:AG$1266,MATCH(Data!$DN726,'Data_Price '!$AT$2:$AT$1266,0))</f>
        <v>Liberty Genesis 101 Women's Skis Â· 2022 Â· 151 cm</v>
      </c>
      <c r="CY726" t="str">
        <f>INDEX('Data_Price '!AH$2:AH$1266,MATCH(Data!$DN726,'Data_Price '!$AT$2:$AT$1266,0))</f>
        <v>SkiEssentials.com</v>
      </c>
      <c r="CZ726">
        <f>INDEX('Data_Price '!AI$2:AI$1266,MATCH(Data!$DN726,'Data_Price '!$AT$2:$AT$1266,0))</f>
        <v>449.99</v>
      </c>
      <c r="DA726" t="str">
        <f>INDEX('Data_Price '!AJ$2:AJ$1266,MATCH(Data!$DN726,'Data_Price '!$AT$2:$AT$1266,0))</f>
        <v>https://tinyurl.com/ybwd7qsp</v>
      </c>
      <c r="DB726" t="str">
        <f>INDEX('Data_Price '!AK$2:AK$1266,MATCH(Data!$DN726,'Data_Price '!$AT$2:$AT$1266,0))</f>
        <v>Liberty Genesis 101 Women's Skis Â· 2022 Â· 151 cm</v>
      </c>
      <c r="DC726" t="str">
        <f>INDEX('Data_Price '!AL$2:AL$1266,MATCH(Data!$DN726,'Data_Price '!$AT$2:$AT$1266,0))</f>
        <v>eBay - david110549</v>
      </c>
      <c r="DD726">
        <f>INDEX('Data_Price '!AM$2:AM$1266,MATCH(Data!$DN726,'Data_Price '!$AT$2:$AT$1266,0))</f>
        <v>449.99</v>
      </c>
      <c r="DE726" t="str">
        <f>INDEX('Data_Price '!AN$2:AN$1266,MATCH(Data!$DN726,'Data_Price '!$AT$2:$AT$1266,0))</f>
        <v>https://tinyurl.com/y8l7f5h5</v>
      </c>
      <c r="DF726" t="str">
        <f>INDEX('Data_Price '!AO$2:AO$1266,MATCH(Data!$DN726,'Data_Price '!$AT$2:$AT$1266,0))</f>
        <v>Liberty Genesis 101 Women's Skis Â· 2022 Â· 151 cm</v>
      </c>
      <c r="DG726" t="str">
        <f>INDEX('Data_Price '!AP$2:AP$1266,MATCH(Data!$DN726,'Data_Price '!$AT$2:$AT$1266,0))</f>
        <v>Hillcrest Ski &amp; Sports</v>
      </c>
      <c r="DH726">
        <f>INDEX('Data_Price '!AQ$2:AQ$1266,MATCH(Data!$DN726,'Data_Price '!$AT$2:$AT$1266,0))</f>
        <v>479.99</v>
      </c>
      <c r="DI726" t="str">
        <f>INDEX('Data_Price '!AR$2:AR$1266,MATCH(Data!$DN726,'Data_Price '!$AT$2:$AT$1266,0))</f>
        <v>https://tinyurl.com/yc43s5n3</v>
      </c>
      <c r="DJ726" s="89" t="str">
        <f t="shared" si="439"/>
        <v>https://tinyurl.com/ybwd7qsp</v>
      </c>
      <c r="DK726" s="89" t="str">
        <f t="shared" si="440"/>
        <v>https://tinyurl.com/y8l7f5h5</v>
      </c>
      <c r="DL726" s="89" t="str">
        <f t="shared" si="441"/>
        <v>https://tinyurl.com/yc43s5n3</v>
      </c>
      <c r="DM726" s="219" t="str">
        <f t="shared" si="442"/>
        <v>Camox Birdie</v>
      </c>
      <c r="DN726" s="89" t="str">
        <f t="shared" si="443"/>
        <v xml:space="preserve"> Black CrowsCamox Birdie162.3 Women's</v>
      </c>
      <c r="DO726" s="221" t="s">
        <v>620</v>
      </c>
    </row>
    <row r="727" spans="1:119" ht="15.6" customHeight="1">
      <c r="B727" s="219" t="b">
        <f t="array" ref="B727">IF(OR(ISERROR(K727:P727)),FALSE,TRUE)</f>
        <v>1</v>
      </c>
      <c r="C727" s="43" t="b">
        <f>OR(BR727=Driver!$G$50,Data!BR91=Driver!$H$50)</f>
        <v>1</v>
      </c>
      <c r="D727" s="43" t="b">
        <f>OR(BV727=Driver!$G$51,BV727=Driver!$H$51)</f>
        <v>0</v>
      </c>
      <c r="E727" s="43" t="b">
        <f>AND(BX727&gt;Driver!$F$54,BX727&lt;Driver!$G$54)</f>
        <v>0</v>
      </c>
      <c r="F727" s="43" t="b">
        <f>CL727&gt;Driver!$F$56</f>
        <v>1</v>
      </c>
      <c r="G727" s="43" t="b">
        <f>AND(CB727&gt;Driver!$F$55,CB727&lt;Driver!$G$55)</f>
        <v>0</v>
      </c>
      <c r="H727" s="43" t="b">
        <f t="shared" si="407"/>
        <v>0</v>
      </c>
      <c r="I727" s="43">
        <f t="shared" si="408"/>
        <v>0</v>
      </c>
      <c r="J727" s="43" t="b">
        <f t="array" ref="J727">NOT(OR(($H$9:$H$1273=TRUE)*($I$9:$I$1273&gt;0)*($BT$9:$BT$1273=BT727)*($K$9:$K$1273&gt;K727)))</f>
        <v>1</v>
      </c>
      <c r="K727" s="72">
        <f t="shared" si="409"/>
        <v>0.83551319812977165</v>
      </c>
      <c r="L727" s="72">
        <f t="shared" si="410"/>
        <v>0.97855796562665409</v>
      </c>
      <c r="M727" s="72">
        <f t="shared" si="411"/>
        <v>0.69246843063288921</v>
      </c>
      <c r="N727" s="72">
        <f t="shared" si="412"/>
        <v>0.71320992902010605</v>
      </c>
      <c r="O727" s="72">
        <f t="shared" si="413"/>
        <v>0.66071124771350809</v>
      </c>
      <c r="P727" s="72">
        <f t="shared" si="414"/>
        <v>0.70348411516505349</v>
      </c>
      <c r="Q727" s="72"/>
      <c r="R727" s="72"/>
      <c r="S727" s="72">
        <f t="shared" si="415"/>
        <v>0.54081235364695002</v>
      </c>
      <c r="T727" s="72">
        <f t="shared" si="416"/>
        <v>0.53922103584557779</v>
      </c>
      <c r="U727" s="72">
        <f t="shared" si="417"/>
        <v>0.82516737073766211</v>
      </c>
      <c r="V727" s="72">
        <f t="shared" si="418"/>
        <v>0.51333791011983854</v>
      </c>
      <c r="W727" s="72">
        <f t="shared" si="419"/>
        <v>0.78211167632793088</v>
      </c>
      <c r="X727" s="72">
        <f t="shared" si="420"/>
        <v>2.1442034373345853E-2</v>
      </c>
      <c r="Y727" s="72">
        <f t="shared" si="421"/>
        <v>0.30753156936711079</v>
      </c>
      <c r="Z727" s="72">
        <f t="shared" si="422"/>
        <v>0.28679007097989395</v>
      </c>
      <c r="AA727" s="72">
        <f t="shared" si="423"/>
        <v>0.33928875228649191</v>
      </c>
      <c r="AB727" s="72">
        <f t="shared" si="424"/>
        <v>0.29651588483494656</v>
      </c>
      <c r="AC727" s="72"/>
      <c r="AD727" s="72"/>
      <c r="AE727" s="72">
        <f t="shared" si="425"/>
        <v>0.45918764635304998</v>
      </c>
      <c r="AF727" s="72">
        <f t="shared" si="426"/>
        <v>0.46077896415442221</v>
      </c>
      <c r="AG727" s="72">
        <f t="shared" si="427"/>
        <v>0.17483262926233784</v>
      </c>
      <c r="AH727" s="72">
        <f t="shared" si="428"/>
        <v>0.48666208988016146</v>
      </c>
      <c r="AI727" s="72">
        <f t="shared" si="429"/>
        <v>0.21788832367206909</v>
      </c>
      <c r="AJ727" s="72">
        <f>(AV727-Driver!$K$179)/(Driver!$L$179-Driver!$K$179)</f>
        <v>0.23277737490935457</v>
      </c>
      <c r="AK727" s="72">
        <f>(AW727-Driver!$K$180)/(Driver!$L$180-Driver!$K$180)</f>
        <v>0.5433097197400647</v>
      </c>
      <c r="AL727" s="72">
        <f>(AX727-Driver!$K$181)/(Driver!$L$181-Driver!$K$181)</f>
        <v>0.38847783469297414</v>
      </c>
      <c r="AM727" s="72">
        <f>(AY727-Driver!$K$182)/(Driver!$L$182-Driver!$K$182)</f>
        <v>0.10809626881055447</v>
      </c>
      <c r="AN727" s="72">
        <f>(AZ727-Driver!$K$183)/(Driver!$L$183-Driver!$K$183)</f>
        <v>0.55073529411764699</v>
      </c>
      <c r="AO727" s="72"/>
      <c r="AP727" s="72"/>
      <c r="AQ727" s="72">
        <f>(BC727-Driver!$K$188)/(Driver!$L$188-Driver!$K$188)</f>
        <v>0.16081235364694998</v>
      </c>
      <c r="AR727" s="72">
        <f>MIN((BD727-Driver!$K$189)/(Driver!$L$189-Driver!$K$189),100%)</f>
        <v>8.9221035845577806E-2</v>
      </c>
      <c r="AS727" s="72">
        <f>(BE727-Driver!$K$190)/(Driver!$L$190-Driver!$K$190)</f>
        <v>0.33516737073766217</v>
      </c>
      <c r="AT727" s="72">
        <f>(BF727-Driver!$K$191)/(Driver!$L$191-Driver!$K$191)</f>
        <v>2.3337910119838535E-2</v>
      </c>
      <c r="AU727" s="72">
        <f>(BG727-Driver!$K$192)/(Driver!$L$192-Driver!$K$192)</f>
        <v>3.211167632793091E-2</v>
      </c>
      <c r="AV727" s="70">
        <f t="shared" si="430"/>
        <v>4.8992673992673987</v>
      </c>
      <c r="AW727" s="70">
        <f t="shared" si="431"/>
        <v>54.822239023986718</v>
      </c>
      <c r="AX727" s="70">
        <f t="shared" si="432"/>
        <v>4.4963005122367674</v>
      </c>
      <c r="AY727" s="70">
        <f>IFERROR(Driver!$K$19/Data!BH727/Data!BI727*Data!BK727*Data!BL727,"")</f>
        <v>0.13234208583781501</v>
      </c>
      <c r="AZ727" s="70">
        <f t="shared" si="433"/>
        <v>50.193596425912133</v>
      </c>
      <c r="BA727" s="70"/>
      <c r="BB727" s="70"/>
      <c r="BC727" s="70">
        <f t="shared" si="434"/>
        <v>83.414485786018375</v>
      </c>
      <c r="BD727" s="70">
        <f t="shared" si="435"/>
        <v>9.6167264661105403</v>
      </c>
      <c r="BE727" s="70">
        <f t="shared" si="436"/>
        <v>0.33528596939571259</v>
      </c>
      <c r="BF727" s="70">
        <f t="shared" si="437"/>
        <v>2.6358529899377889</v>
      </c>
      <c r="BG727" s="70">
        <f t="shared" si="438"/>
        <v>0.12159529161244528</v>
      </c>
      <c r="BH727" s="67">
        <f>MAX((CE727-Driver!$F$200)/(Driver!$G$200-Driver!$F$200)*$BI$1,1)</f>
        <v>4.4963005122367674</v>
      </c>
      <c r="BI727" s="67">
        <f>MAX($BI$1*(BY727-Driver!$F$201)/(Driver!$G$201-Driver!$F$201),1)</f>
        <v>7.9746835443037973</v>
      </c>
      <c r="BJ727" s="67">
        <f>(CB727-Driver!$F$206)/(Driver!$G$206-Driver!$F$206)*$BI$1</f>
        <v>4.2857142857142856</v>
      </c>
      <c r="BK727" s="67">
        <f>(CD727-Driver!$F$203)/(Driver!$G$203-Driver!$F$203)*$BI$1</f>
        <v>3.4403669724770634</v>
      </c>
      <c r="BL727" s="67">
        <f>MAX((CR727-Driver!$F$202)/(Driver!$G$202-Driver!$F$202)*$BI$1,1)</f>
        <v>6.8965517241379315</v>
      </c>
      <c r="BM727" s="67">
        <f>MAX((CH727-Driver!$F$204)/(Driver!$G$204-Driver!$F$204)*$BI$1,1)</f>
        <v>4.5726495726495724</v>
      </c>
      <c r="BN727" s="67">
        <f>(CI727-Driver!$F$205)/(Driver!$G$205-Driver!$F$205)*$BI$1</f>
        <v>6.2941176470588234</v>
      </c>
      <c r="BO727" s="67">
        <f>(CK727-Driver!$F$207)/(Driver!$G$207-Driver!$F$207)*$BI$1</f>
        <v>1.3133402275077559</v>
      </c>
      <c r="BP727" s="67">
        <f>(CM727-Driver!$F$208)/(Driver!$G$208-Driver!$F$208)*$BI$1</f>
        <v>1.6111111111111112</v>
      </c>
      <c r="BQ727" s="67">
        <f>(CL727-Driver!$F$209)/(Driver!$G$209-Driver!$F$209)*$BI$1</f>
        <v>2.5</v>
      </c>
      <c r="BR727" s="28" t="s">
        <v>155</v>
      </c>
      <c r="BS727" s="8" t="s">
        <v>182</v>
      </c>
      <c r="BT727" s="9" t="s">
        <v>440</v>
      </c>
      <c r="BU727" s="10">
        <v>172</v>
      </c>
      <c r="BV727" s="9" t="s">
        <v>163</v>
      </c>
      <c r="BW727" s="10">
        <v>172</v>
      </c>
      <c r="BX727" s="10">
        <v>172.1</v>
      </c>
      <c r="BY727" s="10">
        <v>134</v>
      </c>
      <c r="BZ727" s="10">
        <v>149</v>
      </c>
      <c r="CA727" s="10">
        <v>130</v>
      </c>
      <c r="CB727" s="10">
        <v>91</v>
      </c>
      <c r="CC727" s="10">
        <v>116</v>
      </c>
      <c r="CD727" s="10">
        <v>16.899999999999999</v>
      </c>
      <c r="CE727" s="10">
        <v>1690</v>
      </c>
      <c r="CF727" s="10">
        <v>1.05</v>
      </c>
      <c r="CG727" s="10">
        <v>1780</v>
      </c>
      <c r="CH727" s="10">
        <v>208</v>
      </c>
      <c r="CI727" s="10">
        <v>140</v>
      </c>
      <c r="CJ727" s="10">
        <v>40</v>
      </c>
      <c r="CK727" s="10">
        <v>237</v>
      </c>
      <c r="CL727" s="10">
        <v>16</v>
      </c>
      <c r="CM727" s="10">
        <v>145</v>
      </c>
      <c r="CN727" s="10">
        <v>0.40899999999999997</v>
      </c>
      <c r="CO727" s="10">
        <v>147</v>
      </c>
      <c r="CP727" s="10">
        <v>87</v>
      </c>
      <c r="CQ727" s="10">
        <v>90</v>
      </c>
      <c r="CR727" s="10">
        <v>9</v>
      </c>
      <c r="CS727" s="10">
        <v>9.6</v>
      </c>
      <c r="CT727" s="9" t="s">
        <v>188</v>
      </c>
      <c r="CU727" s="9" t="s">
        <v>185</v>
      </c>
      <c r="CV727" s="10"/>
      <c r="CW727" s="10"/>
      <c r="CX727" t="str">
        <f>INDEX('Data_Price '!AG$2:AG$1266,MATCH(Data!$DN727,'Data_Price '!$AT$2:$AT$1266,0))</f>
        <v>Armada Reliance 92 Ti Skis - Women's 2022</v>
      </c>
      <c r="CY727" t="str">
        <f>INDEX('Data_Price '!AH$2:AH$1266,MATCH(Data!$DN727,'Data_Price '!$AT$2:$AT$1266,0))</f>
        <v>! OutdoorXL.com</v>
      </c>
      <c r="CZ727">
        <f>INDEX('Data_Price '!AI$2:AI$1266,MATCH(Data!$DN727,'Data_Price '!$AT$2:$AT$1266,0))</f>
        <v>424.95</v>
      </c>
      <c r="DA727" t="str">
        <f>INDEX('Data_Price '!AJ$2:AJ$1266,MATCH(Data!$DN727,'Data_Price '!$AT$2:$AT$1266,0))</f>
        <v>https://tinyurl.com/y9lzcqss</v>
      </c>
      <c r="DB727" t="str">
        <f>INDEX('Data_Price '!AK$2:AK$1266,MATCH(Data!$DN727,'Data_Price '!$AT$2:$AT$1266,0))</f>
        <v>Armada Reliance 92 Ti Skis - Women's 2022</v>
      </c>
      <c r="DC727" t="str">
        <f>INDEX('Data_Price '!AL$2:AL$1266,MATCH(Data!$DN727,'Data_Price '!$AT$2:$AT$1266,0))</f>
        <v>Snowcountry.eu</v>
      </c>
      <c r="DD727">
        <f>INDEX('Data_Price '!AM$2:AM$1266,MATCH(Data!$DN727,'Data_Price '!$AT$2:$AT$1266,0))</f>
        <v>441.67</v>
      </c>
      <c r="DE727" t="str">
        <f>INDEX('Data_Price '!AN$2:AN$1266,MATCH(Data!$DN727,'Data_Price '!$AT$2:$AT$1266,0))</f>
        <v>https://tinyurl.com/yave2tdb</v>
      </c>
      <c r="DF727" t="str">
        <f>INDEX('Data_Price '!AO$2:AO$1266,MATCH(Data!$DN727,'Data_Price '!$AT$2:$AT$1266,0))</f>
        <v>Armada Reliance 92 Ti Skis - Women's 2022</v>
      </c>
      <c r="DG727" t="str">
        <f>INDEX('Data_Price '!AP$2:AP$1266,MATCH(Data!$DN727,'Data_Price '!$AT$2:$AT$1266,0))</f>
        <v>Powder7 Ski Shop</v>
      </c>
      <c r="DH727">
        <f>INDEX('Data_Price '!AQ$2:AQ$1266,MATCH(Data!$DN727,'Data_Price '!$AT$2:$AT$1266,0))</f>
        <v>519.95000000000005</v>
      </c>
      <c r="DI727" t="str">
        <f>INDEX('Data_Price '!AR$2:AR$1266,MATCH(Data!$DN727,'Data_Price '!$AT$2:$AT$1266,0))</f>
        <v>https://tinyurl.com/ycmsptga</v>
      </c>
      <c r="DJ727" s="89" t="str">
        <f t="shared" si="439"/>
        <v>https://tinyurl.com/y9lzcqss</v>
      </c>
      <c r="DK727" s="89" t="str">
        <f t="shared" si="440"/>
        <v>https://tinyurl.com/yave2tdb</v>
      </c>
      <c r="DL727" s="89" t="str">
        <f t="shared" si="441"/>
        <v>https://tinyurl.com/ycmsptga</v>
      </c>
      <c r="DM727" s="219" t="str">
        <f t="shared" si="442"/>
        <v>Reliance 92 Ti</v>
      </c>
      <c r="DN727" s="89" t="str">
        <f t="shared" si="443"/>
        <v xml:space="preserve"> ArmadaReliance 92 Ti172 Women's</v>
      </c>
      <c r="DO727" s="221" t="s">
        <v>441</v>
      </c>
    </row>
    <row r="728" spans="1:119" ht="15.6" customHeight="1">
      <c r="B728" s="219" t="b">
        <f t="array" ref="B728">IF(OR(ISERROR(K728:P728)),FALSE,TRUE)</f>
        <v>1</v>
      </c>
      <c r="C728" s="43" t="b">
        <f>OR(BR728=Driver!$G$50,Data!BR831=Driver!$H$50)</f>
        <v>1</v>
      </c>
      <c r="D728" s="43" t="b">
        <f>OR(BV728=Driver!$G$51,BV728=Driver!$H$51)</f>
        <v>1</v>
      </c>
      <c r="E728" s="43" t="b">
        <f>AND(BX728&gt;Driver!$F$54,BX728&lt;Driver!$G$54)</f>
        <v>0</v>
      </c>
      <c r="F728" s="43" t="b">
        <f>CL728&gt;Driver!$F$56</f>
        <v>1</v>
      </c>
      <c r="G728" s="43" t="b">
        <f>AND(CB728&gt;Driver!$F$55,CB728&lt;Driver!$G$55)</f>
        <v>0</v>
      </c>
      <c r="H728" s="43" t="b">
        <f t="shared" si="407"/>
        <v>0</v>
      </c>
      <c r="I728" s="43">
        <f t="shared" si="408"/>
        <v>0</v>
      </c>
      <c r="J728" s="43" t="b">
        <f t="array" ref="J728">NOT(OR(($H$9:$H$1273=TRUE)*($I$9:$I$1273&gt;0)*($BT$9:$BT$1273=BT728)*($K$9:$K$1273&gt;K728)))</f>
        <v>1</v>
      </c>
      <c r="K728" s="72">
        <f t="shared" si="409"/>
        <v>0.79910698720855011</v>
      </c>
      <c r="L728" s="72">
        <f t="shared" si="410"/>
        <v>0.83038295958362784</v>
      </c>
      <c r="M728" s="72">
        <f t="shared" si="411"/>
        <v>0.76783101483347249</v>
      </c>
      <c r="N728" s="72">
        <f t="shared" si="412"/>
        <v>0.70435645403117286</v>
      </c>
      <c r="O728" s="72">
        <f t="shared" si="413"/>
        <v>0.63897691478462482</v>
      </c>
      <c r="P728" s="72">
        <f t="shared" si="414"/>
        <v>0.9601596756846198</v>
      </c>
      <c r="Q728" s="72"/>
      <c r="R728" s="72"/>
      <c r="S728" s="72">
        <f t="shared" si="415"/>
        <v>0.42671656635510613</v>
      </c>
      <c r="T728" s="72">
        <f t="shared" si="416"/>
        <v>0.47401100655039485</v>
      </c>
      <c r="U728" s="72">
        <f t="shared" si="417"/>
        <v>0.7062603535482288</v>
      </c>
      <c r="V728" s="72">
        <f t="shared" si="418"/>
        <v>0.5103918655177937</v>
      </c>
      <c r="W728" s="72">
        <f t="shared" si="419"/>
        <v>0.99115138592750529</v>
      </c>
      <c r="X728" s="72">
        <f t="shared" si="420"/>
        <v>0.16961704041637218</v>
      </c>
      <c r="Y728" s="72">
        <f t="shared" si="421"/>
        <v>0.23216898516652751</v>
      </c>
      <c r="Z728" s="72">
        <f t="shared" si="422"/>
        <v>0.29564354596882714</v>
      </c>
      <c r="AA728" s="72">
        <f t="shared" si="423"/>
        <v>0.36102308521537518</v>
      </c>
      <c r="AB728" s="72">
        <f t="shared" si="424"/>
        <v>3.9840324315380177E-2</v>
      </c>
      <c r="AC728" s="72"/>
      <c r="AD728" s="72"/>
      <c r="AE728" s="72">
        <f t="shared" si="425"/>
        <v>0.57328343364489387</v>
      </c>
      <c r="AF728" s="72">
        <f t="shared" si="426"/>
        <v>0.52598899344960515</v>
      </c>
      <c r="AG728" s="72">
        <f t="shared" si="427"/>
        <v>0.2937396464517712</v>
      </c>
      <c r="AH728" s="72">
        <f t="shared" si="428"/>
        <v>0.48960813448220636</v>
      </c>
      <c r="AI728" s="72">
        <f t="shared" si="429"/>
        <v>8.8486140724947093E-3</v>
      </c>
      <c r="AJ728" s="72">
        <f>(AV728-Driver!$K$179)/(Driver!$L$179-Driver!$K$179)</f>
        <v>8.4602368866328242E-2</v>
      </c>
      <c r="AK728" s="72">
        <f>(AW728-Driver!$K$180)/(Driver!$L$180-Driver!$K$180)</f>
        <v>0.22930874341005028</v>
      </c>
      <c r="AL728" s="72">
        <f>(AX728-Driver!$K$181)/(Driver!$L$181-Driver!$K$181)</f>
        <v>0.39733130968190733</v>
      </c>
      <c r="AM728" s="72">
        <f>(AY728-Driver!$K$182)/(Driver!$L$182-Driver!$K$182)</f>
        <v>8.6361935881671181E-2</v>
      </c>
      <c r="AN728" s="72">
        <f>(AZ728-Driver!$K$183)/(Driver!$L$183-Driver!$K$183)</f>
        <v>0.21437908496732025</v>
      </c>
      <c r="AO728" s="72"/>
      <c r="AP728" s="72"/>
      <c r="AQ728" s="72">
        <f>(BC728-Driver!$K$188)/(Driver!$L$188-Driver!$K$188)</f>
        <v>4.671656635510614E-2</v>
      </c>
      <c r="AR728" s="72">
        <f>MIN((BD728-Driver!$K$189)/(Driver!$L$189-Driver!$K$189),100%)</f>
        <v>2.4011006550394912E-2</v>
      </c>
      <c r="AS728" s="72">
        <f>(BE728-Driver!$K$190)/(Driver!$L$190-Driver!$K$190)</f>
        <v>0.21626035354822881</v>
      </c>
      <c r="AT728" s="72">
        <f>(BF728-Driver!$K$191)/(Driver!$L$191-Driver!$K$191)</f>
        <v>2.0391865517793654E-2</v>
      </c>
      <c r="AU728" s="72">
        <f>(BG728-Driver!$K$192)/(Driver!$L$192-Driver!$K$192)</f>
        <v>0.24115138592750529</v>
      </c>
      <c r="AV728" s="70">
        <f t="shared" si="430"/>
        <v>1.7806267806267806</v>
      </c>
      <c r="AW728" s="70">
        <f t="shared" si="431"/>
        <v>24.220061548934343</v>
      </c>
      <c r="AX728" s="70">
        <f t="shared" si="432"/>
        <v>4.5759817871371657</v>
      </c>
      <c r="AY728" s="70">
        <f>IFERROR(Driver!$K$19/Data!BH728/Data!BI728*Data!BK728*Data!BL728,"")</f>
        <v>0.10573277743381324</v>
      </c>
      <c r="AZ728" s="70">
        <f t="shared" si="433"/>
        <v>19.538346984363365</v>
      </c>
      <c r="BA728" s="70"/>
      <c r="BB728" s="70"/>
      <c r="BC728" s="70">
        <f t="shared" si="434"/>
        <v>24.232207736693951</v>
      </c>
      <c r="BD728" s="70">
        <f t="shared" si="435"/>
        <v>3.8457544188215884</v>
      </c>
      <c r="BE728" s="70">
        <f t="shared" si="436"/>
        <v>0.21640016387979033</v>
      </c>
      <c r="BF728" s="70">
        <f t="shared" si="437"/>
        <v>2.3031179492715252</v>
      </c>
      <c r="BG728" s="70">
        <f t="shared" si="438"/>
        <v>0.91315298507462683</v>
      </c>
      <c r="BH728" s="67">
        <f>MAX((CE728-Driver!$F$200)/(Driver!$G$200-Driver!$F$200)*$BI$1,1)</f>
        <v>4.5759817871371657</v>
      </c>
      <c r="BI728" s="67">
        <f>MAX($BI$1*(BY728-Driver!$F$201)/(Driver!$G$201-Driver!$F$201),1)</f>
        <v>8.1012658227848107</v>
      </c>
      <c r="BJ728" s="67">
        <f>(CB728-Driver!$F$206)/(Driver!$G$206-Driver!$F$206)*$BI$1</f>
        <v>4.7619047619047619</v>
      </c>
      <c r="BK728" s="67">
        <f>(CD728-Driver!$F$203)/(Driver!$G$203-Driver!$F$203)*$BI$1</f>
        <v>2.7064220183486243</v>
      </c>
      <c r="BL728" s="67">
        <f>MAX((CR728-Driver!$F$202)/(Driver!$G$202-Driver!$F$202)*$BI$1,1)</f>
        <v>7.2413793103448274</v>
      </c>
      <c r="BM728" s="67">
        <f>MAX((CH728-Driver!$F$204)/(Driver!$G$204-Driver!$F$204)*$BI$1,1)</f>
        <v>1.4957264957264957</v>
      </c>
      <c r="BN728" s="67">
        <f>(CI728-Driver!$F$205)/(Driver!$G$205-Driver!$F$205)*$BI$1</f>
        <v>2.4117647058823528</v>
      </c>
      <c r="BO728" s="67">
        <f>(CK728-Driver!$F$207)/(Driver!$G$207-Driver!$F$207)*$BI$1</f>
        <v>0.66184074457083764</v>
      </c>
      <c r="BP728" s="67">
        <f>(CM728-Driver!$F$208)/(Driver!$G$208-Driver!$F$208)*$BI$1</f>
        <v>1.9777777777777779</v>
      </c>
      <c r="BQ728" s="67">
        <f>(CL728-Driver!$F$209)/(Driver!$G$209-Driver!$F$209)*$BI$1</f>
        <v>6.25</v>
      </c>
      <c r="BR728" s="28" t="s">
        <v>155</v>
      </c>
      <c r="BS728" s="8" t="s">
        <v>208</v>
      </c>
      <c r="BT728" s="9" t="s">
        <v>637</v>
      </c>
      <c r="BU728" s="10">
        <v>171</v>
      </c>
      <c r="BV728" s="9" t="s">
        <v>158</v>
      </c>
      <c r="BW728" s="10">
        <v>171</v>
      </c>
      <c r="BX728" s="10">
        <v>171.6</v>
      </c>
      <c r="BY728" s="10">
        <v>136</v>
      </c>
      <c r="BZ728" s="10">
        <v>138</v>
      </c>
      <c r="CA728" s="10">
        <v>128</v>
      </c>
      <c r="CB728" s="10">
        <v>94</v>
      </c>
      <c r="CC728" s="10">
        <v>119</v>
      </c>
      <c r="CD728" s="10">
        <v>15.3</v>
      </c>
      <c r="CE728" s="10">
        <v>1704</v>
      </c>
      <c r="CF728" s="10">
        <v>1.06</v>
      </c>
      <c r="CG728" s="10">
        <v>1808</v>
      </c>
      <c r="CH728" s="10">
        <v>136</v>
      </c>
      <c r="CI728" s="10">
        <v>74</v>
      </c>
      <c r="CJ728" s="10">
        <v>41</v>
      </c>
      <c r="CK728" s="10">
        <v>174</v>
      </c>
      <c r="CL728" s="10">
        <v>40</v>
      </c>
      <c r="CM728" s="10">
        <v>178</v>
      </c>
      <c r="CN728" s="10">
        <v>0.95799999999999996</v>
      </c>
      <c r="CO728" s="10">
        <v>167</v>
      </c>
      <c r="CP728" s="10">
        <v>167</v>
      </c>
      <c r="CQ728" s="10">
        <v>6</v>
      </c>
      <c r="CR728" s="10">
        <v>10</v>
      </c>
      <c r="CS728" s="10">
        <v>3.5</v>
      </c>
      <c r="CT728" s="9" t="s">
        <v>184</v>
      </c>
      <c r="CU728" s="9" t="s">
        <v>185</v>
      </c>
      <c r="CV728" s="10"/>
      <c r="CW728" s="10"/>
      <c r="CX728" t="str">
        <f>INDEX('Data_Price '!AG$2:AG$1266,MATCH(Data!$DN728,'Data_Price '!$AT$2:$AT$1266,0))</f>
        <v>Line Chronic 171 + Marker Griffon 13</v>
      </c>
      <c r="CY728" t="str">
        <f>INDEX('Data_Price '!AH$2:AH$1266,MATCH(Data!$DN728,'Data_Price '!$AT$2:$AT$1266,0))</f>
        <v>Geartrade.com</v>
      </c>
      <c r="CZ728">
        <f>INDEX('Data_Price '!AI$2:AI$1266,MATCH(Data!$DN728,'Data_Price '!$AT$2:$AT$1266,0))</f>
        <v>200</v>
      </c>
      <c r="DA728" t="str">
        <f>INDEX('Data_Price '!AJ$2:AJ$1266,MATCH(Data!$DN728,'Data_Price '!$AT$2:$AT$1266,0))</f>
        <v>https://tinyurl.com/y87ewjbj</v>
      </c>
      <c r="DB728" t="str">
        <f>INDEX('Data_Price '!AK$2:AK$1266,MATCH(Data!$DN728,'Data_Price '!$AT$2:$AT$1266,0))</f>
        <v>Line 2022 Chronic Skis</v>
      </c>
      <c r="DC728" t="str">
        <f>INDEX('Data_Price '!AL$2:AL$1266,MATCH(Data!$DN728,'Data_Price '!$AT$2:$AT$1266,0))</f>
        <v>Curated</v>
      </c>
      <c r="DD728">
        <f>INDEX('Data_Price '!AM$2:AM$1266,MATCH(Data!$DN728,'Data_Price '!$AT$2:$AT$1266,0))</f>
        <v>499.95</v>
      </c>
      <c r="DE728" t="str">
        <f>INDEX('Data_Price '!AN$2:AN$1266,MATCH(Data!$DN728,'Data_Price '!$AT$2:$AT$1266,0))</f>
        <v>https://tinyurl.com/ydebuozx</v>
      </c>
      <c r="DF728" t="str">
        <f>INDEX('Data_Price '!AO$2:AO$1266,MATCH(Data!$DN728,'Data_Price '!$AT$2:$AT$1266,0))</f>
        <v>Line 2022 Chronic Skis</v>
      </c>
      <c r="DG728" t="str">
        <f>INDEX('Data_Price '!AP$2:AP$1266,MATCH(Data!$DN728,'Data_Price '!$AT$2:$AT$1266,0))</f>
        <v>Powder7 Ski Shop</v>
      </c>
      <c r="DH728">
        <f>INDEX('Data_Price '!AQ$2:AQ$1266,MATCH(Data!$DN728,'Data_Price '!$AT$2:$AT$1266,0))</f>
        <v>499.95</v>
      </c>
      <c r="DI728" t="str">
        <f>INDEX('Data_Price '!AR$2:AR$1266,MATCH(Data!$DN728,'Data_Price '!$AT$2:$AT$1266,0))</f>
        <v>https://tinyurl.com/y8mt972y</v>
      </c>
      <c r="DJ728" s="89" t="str">
        <f t="shared" si="439"/>
        <v>https://tinyurl.com/y87ewjbj</v>
      </c>
      <c r="DK728" s="89" t="str">
        <f t="shared" si="440"/>
        <v>https://tinyurl.com/ydebuozx</v>
      </c>
      <c r="DL728" s="89" t="str">
        <f t="shared" si="441"/>
        <v>https://tinyurl.com/y8mt972y</v>
      </c>
      <c r="DM728" s="219" t="str">
        <f t="shared" si="442"/>
        <v>Chronic</v>
      </c>
      <c r="DN728" s="89" t="str">
        <f t="shared" si="443"/>
        <v xml:space="preserve"> LineChronic171 Unisex</v>
      </c>
      <c r="DO728" s="221" t="s">
        <v>638</v>
      </c>
    </row>
    <row r="729" spans="1:119" ht="15.6" customHeight="1">
      <c r="B729" s="219" t="b">
        <f t="array" ref="B729">IF(OR(ISERROR(K729:P729)),FALSE,TRUE)</f>
        <v>1</v>
      </c>
      <c r="C729" s="43" t="b">
        <f>OR(BR729=Driver!$G$50,Data!BR632=Driver!$H$50)</f>
        <v>1</v>
      </c>
      <c r="D729" s="43" t="b">
        <f>OR(BV729=Driver!$G$51,BV729=Driver!$H$51)</f>
        <v>1</v>
      </c>
      <c r="E729" s="43" t="b">
        <f>AND(BX729&gt;Driver!$F$54,BX729&lt;Driver!$G$54)</f>
        <v>0</v>
      </c>
      <c r="F729" s="43" t="b">
        <f>CL729&gt;Driver!$F$56</f>
        <v>1</v>
      </c>
      <c r="G729" s="43" t="b">
        <f>AND(CB729&gt;Driver!$F$55,CB729&lt;Driver!$G$55)</f>
        <v>0</v>
      </c>
      <c r="H729" s="43" t="b">
        <f t="shared" si="407"/>
        <v>0</v>
      </c>
      <c r="I729" s="43">
        <f t="shared" si="408"/>
        <v>0</v>
      </c>
      <c r="J729" s="43" t="b">
        <f t="array" ref="J729">NOT(OR(($H$9:$H$1273=TRUE)*($I$9:$I$1273&gt;0)*($BT$9:$BT$1273=BT729)*($K$9:$K$1273&gt;K729)))</f>
        <v>1</v>
      </c>
      <c r="K729" s="72">
        <f t="shared" si="409"/>
        <v>0.8104523110214239</v>
      </c>
      <c r="L729" s="72">
        <f t="shared" si="410"/>
        <v>0.85745571762085282</v>
      </c>
      <c r="M729" s="72">
        <f t="shared" si="411"/>
        <v>0.76344890442199498</v>
      </c>
      <c r="N729" s="72">
        <f t="shared" si="412"/>
        <v>0.70941558259627757</v>
      </c>
      <c r="O729" s="72">
        <f t="shared" si="413"/>
        <v>0.67877799093279978</v>
      </c>
      <c r="P729" s="72">
        <f t="shared" si="414"/>
        <v>0.90215313973690747</v>
      </c>
      <c r="Q729" s="72"/>
      <c r="R729" s="72"/>
      <c r="S729" s="72">
        <f t="shared" si="415"/>
        <v>0.44263263264097552</v>
      </c>
      <c r="T729" s="72">
        <f t="shared" si="416"/>
        <v>0.54663371642952918</v>
      </c>
      <c r="U729" s="72">
        <f t="shared" si="417"/>
        <v>0.94364904831708663</v>
      </c>
      <c r="V729" s="72">
        <f t="shared" si="418"/>
        <v>0.4946151989874058</v>
      </c>
      <c r="W729" s="72">
        <f t="shared" si="419"/>
        <v>0.85241222345493695</v>
      </c>
      <c r="X729" s="72">
        <f t="shared" si="420"/>
        <v>0.14254428237914715</v>
      </c>
      <c r="Y729" s="72">
        <f t="shared" si="421"/>
        <v>0.23655109557800505</v>
      </c>
      <c r="Z729" s="72">
        <f t="shared" si="422"/>
        <v>0.29058441740372243</v>
      </c>
      <c r="AA729" s="72">
        <f t="shared" si="423"/>
        <v>0.32122200906720016</v>
      </c>
      <c r="AB729" s="72">
        <f t="shared" si="424"/>
        <v>9.7846860263092555E-2</v>
      </c>
      <c r="AC729" s="72"/>
      <c r="AD729" s="72"/>
      <c r="AE729" s="72">
        <f t="shared" si="425"/>
        <v>0.55736736735902448</v>
      </c>
      <c r="AF729" s="72">
        <f t="shared" si="426"/>
        <v>0.45336628357047082</v>
      </c>
      <c r="AG729" s="72">
        <f t="shared" si="427"/>
        <v>5.6350951682913375E-2</v>
      </c>
      <c r="AH729" s="72">
        <f t="shared" si="428"/>
        <v>0.5053848010125942</v>
      </c>
      <c r="AI729" s="72">
        <f t="shared" si="429"/>
        <v>0.147587776545063</v>
      </c>
      <c r="AJ729" s="72">
        <f>(AV729-Driver!$K$179)/(Driver!$L$179-Driver!$K$179)</f>
        <v>0.11167512690355327</v>
      </c>
      <c r="AK729" s="72">
        <f>(AW729-Driver!$K$180)/(Driver!$L$180-Driver!$K$180)</f>
        <v>0.17509637784168744</v>
      </c>
      <c r="AL729" s="72">
        <f>(AX729-Driver!$K$181)/(Driver!$L$181-Driver!$K$181)</f>
        <v>0.39227218111680262</v>
      </c>
      <c r="AM729" s="72">
        <f>(AY729-Driver!$K$182)/(Driver!$L$182-Driver!$K$182)</f>
        <v>0.1261630120298462</v>
      </c>
      <c r="AN729" s="72">
        <f>(AZ729-Driver!$K$183)/(Driver!$L$183-Driver!$K$183)</f>
        <v>0.15637254901960787</v>
      </c>
      <c r="AO729" s="72"/>
      <c r="AP729" s="72"/>
      <c r="AQ729" s="72">
        <f>(BC729-Driver!$K$188)/(Driver!$L$188-Driver!$K$188)</f>
        <v>6.2632632640975489E-2</v>
      </c>
      <c r="AR729" s="72">
        <f>MIN((BD729-Driver!$K$189)/(Driver!$L$189-Driver!$K$189),100%)</f>
        <v>9.6633716429529198E-2</v>
      </c>
      <c r="AS729" s="72">
        <f>(BE729-Driver!$K$190)/(Driver!$L$190-Driver!$K$190)</f>
        <v>0.45364904831708663</v>
      </c>
      <c r="AT729" s="72">
        <f>(BF729-Driver!$K$191)/(Driver!$L$191-Driver!$K$191)</f>
        <v>4.6151989874058438E-3</v>
      </c>
      <c r="AU729" s="72">
        <f>(BG729-Driver!$K$192)/(Driver!$L$192-Driver!$K$192)</f>
        <v>0.102412223454937</v>
      </c>
      <c r="AV729" s="70">
        <f t="shared" si="430"/>
        <v>2.3504273504273501</v>
      </c>
      <c r="AW729" s="70">
        <f t="shared" si="431"/>
        <v>18.936586153871129</v>
      </c>
      <c r="AX729" s="70">
        <f t="shared" si="432"/>
        <v>4.5304496300512236</v>
      </c>
      <c r="AY729" s="70">
        <f>IFERROR(Driver!$K$19/Data!BH729/Data!BI729*Data!BK729*Data!BL729,"")</f>
        <v>0.15446117013412528</v>
      </c>
      <c r="AZ729" s="70">
        <f t="shared" si="433"/>
        <v>14.25167535368578</v>
      </c>
      <c r="BA729" s="70"/>
      <c r="BB729" s="70"/>
      <c r="BC729" s="70">
        <f t="shared" si="434"/>
        <v>32.487981965872116</v>
      </c>
      <c r="BD729" s="70">
        <f t="shared" si="435"/>
        <v>10.272735563297452</v>
      </c>
      <c r="BE729" s="70">
        <f t="shared" si="436"/>
        <v>0.45374651117742498</v>
      </c>
      <c r="BF729" s="70">
        <f t="shared" si="437"/>
        <v>0.52125430201955525</v>
      </c>
      <c r="BG729" s="70">
        <f t="shared" si="438"/>
        <v>0.3877980099360438</v>
      </c>
      <c r="BH729" s="67">
        <f>MAX((CE729-Driver!$F$200)/(Driver!$G$200-Driver!$F$200)*$BI$1,1)</f>
        <v>4.5304496300512236</v>
      </c>
      <c r="BI729" s="67">
        <f>MAX($BI$1*(BY729-Driver!$F$201)/(Driver!$G$201-Driver!$F$201),1)</f>
        <v>8.3544303797468356</v>
      </c>
      <c r="BJ729" s="67">
        <f>(CB729-Driver!$F$206)/(Driver!$G$206-Driver!$F$206)*$BI$1</f>
        <v>2.8571428571428568</v>
      </c>
      <c r="BK729" s="67">
        <f>(CD729-Driver!$F$203)/(Driver!$G$203-Driver!$F$203)*$BI$1</f>
        <v>3.8532110091743128</v>
      </c>
      <c r="BL729" s="67">
        <f>MAX((CR729-Driver!$F$202)/(Driver!$G$202-Driver!$F$202)*$BI$1,1)</f>
        <v>7.5862068965517242</v>
      </c>
      <c r="BM729" s="67">
        <f>MAX((CH729-Driver!$F$204)/(Driver!$G$204-Driver!$F$204)*$BI$1,1)</f>
        <v>3.2905982905982905</v>
      </c>
      <c r="BN729" s="67">
        <f>(CI729-Driver!$F$205)/(Driver!$G$205-Driver!$F$205)*$BI$1</f>
        <v>1.7058823529411766</v>
      </c>
      <c r="BO729" s="67">
        <f>(CK729-Driver!$F$207)/(Driver!$G$207-Driver!$F$207)*$BI$1</f>
        <v>0.47569803516028958</v>
      </c>
      <c r="BP729" s="67">
        <f>(CM729-Driver!$F$208)/(Driver!$G$208-Driver!$F$208)*$BI$1</f>
        <v>1.4777777777777779</v>
      </c>
      <c r="BQ729" s="67">
        <f>(CL729-Driver!$F$209)/(Driver!$G$209-Driver!$F$209)*$BI$1</f>
        <v>5.78125</v>
      </c>
      <c r="BR729" s="28" t="s">
        <v>155</v>
      </c>
      <c r="BS729" s="8" t="s">
        <v>167</v>
      </c>
      <c r="BT729" s="9" t="s">
        <v>706</v>
      </c>
      <c r="BU729" s="10">
        <v>171</v>
      </c>
      <c r="BV729" s="9" t="s">
        <v>158</v>
      </c>
      <c r="BW729" s="10">
        <v>171</v>
      </c>
      <c r="BX729" s="10">
        <v>169.2</v>
      </c>
      <c r="BY729" s="10">
        <v>140</v>
      </c>
      <c r="BZ729" s="10">
        <v>151</v>
      </c>
      <c r="CA729" s="10">
        <v>119</v>
      </c>
      <c r="CB729" s="10">
        <v>82</v>
      </c>
      <c r="CC729" s="10">
        <v>108</v>
      </c>
      <c r="CD729" s="10">
        <v>17.8</v>
      </c>
      <c r="CE729" s="10">
        <v>1696</v>
      </c>
      <c r="CF729" s="10">
        <v>0.94</v>
      </c>
      <c r="CG729" s="10">
        <v>1586</v>
      </c>
      <c r="CH729" s="10">
        <v>178</v>
      </c>
      <c r="CI729" s="10">
        <v>62</v>
      </c>
      <c r="CJ729" s="10">
        <v>48</v>
      </c>
      <c r="CK729" s="10">
        <v>156</v>
      </c>
      <c r="CL729" s="10">
        <v>37</v>
      </c>
      <c r="CM729" s="10">
        <v>133</v>
      </c>
      <c r="CN729" s="10">
        <v>0.76900000000000002</v>
      </c>
      <c r="CO729" s="10">
        <v>96</v>
      </c>
      <c r="CP729" s="10">
        <v>89</v>
      </c>
      <c r="CQ729" s="10">
        <v>60</v>
      </c>
      <c r="CR729" s="10">
        <v>11</v>
      </c>
      <c r="CS729" s="10">
        <v>5.4</v>
      </c>
      <c r="CT729" s="9" t="s">
        <v>188</v>
      </c>
      <c r="CU729" s="10"/>
      <c r="CV729" s="10"/>
      <c r="CW729" s="10"/>
      <c r="CX729" t="str">
        <f>INDEX('Data_Price '!AG$2:AG$1266,MATCH(Data!$DN729,'Data_Price '!$AT$2:$AT$1266,0))</f>
        <v>2022 Head Oblivion 84 Twin Tip Park and Pipe Snow Skis 171</v>
      </c>
      <c r="CY729" t="str">
        <f>INDEX('Data_Price '!AH$2:AH$1266,MATCH(Data!$DN729,'Data_Price '!$AT$2:$AT$1266,0))</f>
        <v>The Pro Shop</v>
      </c>
      <c r="CZ729">
        <f>INDEX('Data_Price '!AI$2:AI$1266,MATCH(Data!$DN729,'Data_Price '!$AT$2:$AT$1266,0))</f>
        <v>399</v>
      </c>
      <c r="DA729" t="str">
        <f>INDEX('Data_Price '!AJ$2:AJ$1266,MATCH(Data!$DN729,'Data_Price '!$AT$2:$AT$1266,0))</f>
        <v>https://tinyurl.com/yag8lyg6</v>
      </c>
      <c r="DB729" t="str">
        <f>INDEX('Data_Price '!AK$2:AK$1266,MATCH(Data!$DN729,'Data_Price '!$AT$2:$AT$1266,0))</f>
        <v>Head 2022 Oblivion Men's 84 Skis (171)</v>
      </c>
      <c r="DC729" t="str">
        <f>INDEX('Data_Price '!AL$2:AL$1266,MATCH(Data!$DN729,'Data_Price '!$AT$2:$AT$1266,0))</f>
        <v>Ridgeline Bike &amp; Ski</v>
      </c>
      <c r="DD729">
        <f>INDEX('Data_Price '!AM$2:AM$1266,MATCH(Data!$DN729,'Data_Price '!$AT$2:$AT$1266,0))</f>
        <v>399</v>
      </c>
      <c r="DE729" t="str">
        <f>INDEX('Data_Price '!AN$2:AN$1266,MATCH(Data!$DN729,'Data_Price '!$AT$2:$AT$1266,0))</f>
        <v>https://tinyurl.com/ydfsenqn</v>
      </c>
      <c r="DF729" t="str">
        <f>INDEX('Data_Price '!AO$2:AO$1266,MATCH(Data!$DN729,'Data_Price '!$AT$2:$AT$1266,0))</f>
        <v>Head 2022 Oblivion Men's 84 Skis (171)</v>
      </c>
      <c r="DG729" t="str">
        <f>INDEX('Data_Price '!AP$2:AP$1266,MATCH(Data!$DN729,'Data_Price '!$AT$2:$AT$1266,0))</f>
        <v>evo.com</v>
      </c>
      <c r="DH729">
        <f>INDEX('Data_Price '!AQ$2:AQ$1266,MATCH(Data!$DN729,'Data_Price '!$AT$2:$AT$1266,0))</f>
        <v>399</v>
      </c>
      <c r="DI729" t="str">
        <f>INDEX('Data_Price '!AR$2:AR$1266,MATCH(Data!$DN729,'Data_Price '!$AT$2:$AT$1266,0))</f>
        <v>https://tinyurl.com/y7uqmelm</v>
      </c>
      <c r="DJ729" s="89" t="str">
        <f t="shared" si="439"/>
        <v>https://tinyurl.com/yag8lyg6</v>
      </c>
      <c r="DK729" s="89" t="str">
        <f t="shared" si="440"/>
        <v>https://tinyurl.com/ydfsenqn</v>
      </c>
      <c r="DL729" s="89" t="str">
        <f t="shared" si="441"/>
        <v>https://tinyurl.com/y7uqmelm</v>
      </c>
      <c r="DM729" s="219" t="str">
        <f t="shared" si="442"/>
        <v>Oblivion 84</v>
      </c>
      <c r="DN729" s="89" t="str">
        <f t="shared" si="443"/>
        <v xml:space="preserve"> HeadOblivion 84171 Unisex</v>
      </c>
      <c r="DO729" s="221" t="s">
        <v>707</v>
      </c>
    </row>
    <row r="730" spans="1:119" ht="15.6" customHeight="1">
      <c r="B730" s="219" t="b">
        <f t="array" ref="B730">IF(OR(ISERROR(K730:P730)),FALSE,TRUE)</f>
        <v>1</v>
      </c>
      <c r="C730" s="43" t="b">
        <f>OR(BR730=Driver!$G$50,Data!BR1102=Driver!$H$50)</f>
        <v>1</v>
      </c>
      <c r="D730" s="43" t="b">
        <f>OR(BV730=Driver!$G$51,BV730=Driver!$H$51)</f>
        <v>1</v>
      </c>
      <c r="E730" s="43" t="b">
        <f>AND(BX730&gt;Driver!$F$54,BX730&lt;Driver!$G$54)</f>
        <v>0</v>
      </c>
      <c r="F730" s="43" t="b">
        <f>CL730&gt;Driver!$F$56</f>
        <v>1</v>
      </c>
      <c r="G730" s="43" t="b">
        <f>AND(CB730&gt;Driver!$F$55,CB730&lt;Driver!$G$55)</f>
        <v>0</v>
      </c>
      <c r="H730" s="43" t="b">
        <f t="shared" si="407"/>
        <v>0</v>
      </c>
      <c r="I730" s="43">
        <f t="shared" si="408"/>
        <v>0</v>
      </c>
      <c r="J730" s="43" t="b">
        <f t="array" ref="J730">NOT(OR(($H$9:$H$1273=TRUE)*($I$9:$I$1273&gt;0)*($BT$9:$BT$1273=BT730)*($K$9:$K$1273&gt;K730)))</f>
        <v>1</v>
      </c>
      <c r="K730" s="72">
        <f t="shared" si="409"/>
        <v>0.83695570552847953</v>
      </c>
      <c r="L730" s="72">
        <f t="shared" si="410"/>
        <v>0.86519079134577437</v>
      </c>
      <c r="M730" s="72">
        <f t="shared" si="411"/>
        <v>0.80872061971118459</v>
      </c>
      <c r="N730" s="72">
        <f t="shared" si="412"/>
        <v>0.82514314852304671</v>
      </c>
      <c r="O730" s="72">
        <f t="shared" si="413"/>
        <v>0.65033615910889386</v>
      </c>
      <c r="P730" s="72">
        <f t="shared" si="414"/>
        <v>0.95068255150161329</v>
      </c>
      <c r="Q730" s="72"/>
      <c r="R730" s="72"/>
      <c r="S730" s="72">
        <f t="shared" si="415"/>
        <v>0.43325427278549533</v>
      </c>
      <c r="T730" s="72">
        <f t="shared" si="416"/>
        <v>0.52999027135347854</v>
      </c>
      <c r="U730" s="72">
        <f t="shared" si="417"/>
        <v>0.79493113105612212</v>
      </c>
      <c r="V730" s="72">
        <f t="shared" si="418"/>
        <v>0.52469282344414858</v>
      </c>
      <c r="W730" s="72">
        <f t="shared" si="419"/>
        <v>0.79612561174551388</v>
      </c>
      <c r="X730" s="72">
        <f t="shared" si="420"/>
        <v>0.13480920865422569</v>
      </c>
      <c r="Y730" s="72">
        <f t="shared" si="421"/>
        <v>0.19127938028881539</v>
      </c>
      <c r="Z730" s="72">
        <f t="shared" si="422"/>
        <v>0.17485685147695329</v>
      </c>
      <c r="AA730" s="72">
        <f t="shared" si="423"/>
        <v>0.34966384089110614</v>
      </c>
      <c r="AB730" s="72">
        <f t="shared" si="424"/>
        <v>4.9317448498386679E-2</v>
      </c>
      <c r="AC730" s="72"/>
      <c r="AD730" s="72"/>
      <c r="AE730" s="72">
        <f t="shared" si="425"/>
        <v>0.56674572721450467</v>
      </c>
      <c r="AF730" s="72">
        <f t="shared" si="426"/>
        <v>0.47000972864652146</v>
      </c>
      <c r="AG730" s="72">
        <f t="shared" si="427"/>
        <v>0.20506886894387788</v>
      </c>
      <c r="AH730" s="72">
        <f t="shared" si="428"/>
        <v>0.47530717655585142</v>
      </c>
      <c r="AI730" s="72">
        <f t="shared" si="429"/>
        <v>0.20387438825448612</v>
      </c>
      <c r="AJ730" s="72">
        <f>(AV730-Driver!$K$179)/(Driver!$L$179-Driver!$K$179)</f>
        <v>0.11941020062847472</v>
      </c>
      <c r="AK730" s="72">
        <f>(AW730-Driver!$K$180)/(Driver!$L$180-Driver!$K$180)</f>
        <v>0.20943460340460293</v>
      </c>
      <c r="AL730" s="72">
        <f>(AX730-Driver!$K$181)/(Driver!$L$181-Driver!$K$181)</f>
        <v>0.27654461519003348</v>
      </c>
      <c r="AM730" s="72">
        <f>(AY730-Driver!$K$182)/(Driver!$L$182-Driver!$K$182)</f>
        <v>9.77211802059402E-2</v>
      </c>
      <c r="AN730" s="72">
        <f>(AZ730-Driver!$K$183)/(Driver!$L$183-Driver!$K$183)</f>
        <v>0.20490196078431375</v>
      </c>
      <c r="AO730" s="72"/>
      <c r="AP730" s="72"/>
      <c r="AQ730" s="72">
        <f>(BC730-Driver!$K$188)/(Driver!$L$188-Driver!$K$188)</f>
        <v>5.3254272785495306E-2</v>
      </c>
      <c r="AR730" s="72">
        <f>MIN((BD730-Driver!$K$189)/(Driver!$L$189-Driver!$K$189),100%)</f>
        <v>7.9990271353478568E-2</v>
      </c>
      <c r="AS730" s="72">
        <f>(BE730-Driver!$K$190)/(Driver!$L$190-Driver!$K$190)</f>
        <v>0.30493113105612213</v>
      </c>
      <c r="AT730" s="72">
        <f>(BF730-Driver!$K$191)/(Driver!$L$191-Driver!$K$191)</f>
        <v>3.4692823444148591E-2</v>
      </c>
      <c r="AU730" s="72">
        <f>(BG730-Driver!$K$192)/(Driver!$L$192-Driver!$K$192)</f>
        <v>4.612561174551387E-2</v>
      </c>
      <c r="AV730" s="70">
        <f t="shared" si="430"/>
        <v>2.513227513227513</v>
      </c>
      <c r="AW730" s="70">
        <f t="shared" si="431"/>
        <v>22.283150502608393</v>
      </c>
      <c r="AX730" s="70">
        <f t="shared" si="432"/>
        <v>3.4889015367103013</v>
      </c>
      <c r="AY730" s="70">
        <f>IFERROR(Driver!$K$19/Data!BH730/Data!BI730*Data!BK730*Data!BL730,"")</f>
        <v>0.11963988175810553</v>
      </c>
      <c r="AZ730" s="70">
        <f t="shared" si="433"/>
        <v>18.674609084139988</v>
      </c>
      <c r="BA730" s="70"/>
      <c r="BB730" s="70"/>
      <c r="BC730" s="70">
        <f t="shared" si="434"/>
        <v>27.623361511534565</v>
      </c>
      <c r="BD730" s="70">
        <f t="shared" si="435"/>
        <v>8.7998201645066061</v>
      </c>
      <c r="BE730" s="70">
        <f t="shared" si="436"/>
        <v>0.30505512351900838</v>
      </c>
      <c r="BF730" s="70">
        <f t="shared" si="437"/>
        <v>3.9183106771376819</v>
      </c>
      <c r="BG730" s="70">
        <f t="shared" si="438"/>
        <v>0.1746609910277325</v>
      </c>
      <c r="BH730" s="67">
        <f>MAX((CE730-Driver!$F$200)/(Driver!$G$200-Driver!$F$200)*$BI$1,1)</f>
        <v>3.4889015367103013</v>
      </c>
      <c r="BI730" s="67">
        <f>MAX($BI$1*(BY730-Driver!$F$201)/(Driver!$G$201-Driver!$F$201),1)</f>
        <v>7.2151898734177218</v>
      </c>
      <c r="BJ730" s="67">
        <f>(CB730-Driver!$F$206)/(Driver!$G$206-Driver!$F$206)*$BI$1</f>
        <v>3.0158730158730158</v>
      </c>
      <c r="BK730" s="67">
        <f>(CD730-Driver!$F$203)/(Driver!$G$203-Driver!$F$203)*$BI$1</f>
        <v>2.5688073394495414</v>
      </c>
      <c r="BL730" s="67">
        <f>MAX((CR730-Driver!$F$202)/(Driver!$G$202-Driver!$F$202)*$BI$1,1)</f>
        <v>5.8620689655172411</v>
      </c>
      <c r="BM730" s="67">
        <f>MAX((CH730-Driver!$F$204)/(Driver!$G$204-Driver!$F$204)*$BI$1,1)</f>
        <v>3.333333333333333</v>
      </c>
      <c r="BN730" s="67">
        <f>(CI730-Driver!$F$205)/(Driver!$G$205-Driver!$F$205)*$BI$1</f>
        <v>2.5882352941176472</v>
      </c>
      <c r="BO730" s="67">
        <f>(CK730-Driver!$F$207)/(Driver!$G$207-Driver!$F$207)*$BI$1</f>
        <v>1.4581178903826266</v>
      </c>
      <c r="BP730" s="67">
        <f>(CM730-Driver!$F$208)/(Driver!$G$208-Driver!$F$208)*$BI$1</f>
        <v>2.2888888888888888</v>
      </c>
      <c r="BQ730" s="67">
        <f>(CL730-Driver!$F$209)/(Driver!$G$209-Driver!$F$209)*$BI$1</f>
        <v>2.03125</v>
      </c>
      <c r="BR730" s="28" t="s">
        <v>155</v>
      </c>
      <c r="BS730" s="8" t="s">
        <v>174</v>
      </c>
      <c r="BT730" s="9" t="s">
        <v>343</v>
      </c>
      <c r="BU730" s="10">
        <v>169</v>
      </c>
      <c r="BV730" s="9" t="s">
        <v>158</v>
      </c>
      <c r="BW730" s="10">
        <v>169</v>
      </c>
      <c r="BX730" s="10">
        <v>168</v>
      </c>
      <c r="BY730" s="10">
        <v>122</v>
      </c>
      <c r="BZ730" s="10">
        <v>140</v>
      </c>
      <c r="CA730" s="10">
        <v>121</v>
      </c>
      <c r="CB730" s="10">
        <v>83</v>
      </c>
      <c r="CC730" s="10">
        <v>104</v>
      </c>
      <c r="CD730" s="10">
        <v>15</v>
      </c>
      <c r="CE730" s="10">
        <v>1513</v>
      </c>
      <c r="CF730" s="10">
        <v>1.07</v>
      </c>
      <c r="CG730" s="10">
        <v>1623</v>
      </c>
      <c r="CH730" s="10">
        <v>179</v>
      </c>
      <c r="CI730" s="10">
        <v>77</v>
      </c>
      <c r="CJ730" s="10">
        <v>52</v>
      </c>
      <c r="CK730" s="10">
        <v>251</v>
      </c>
      <c r="CL730" s="10">
        <v>13</v>
      </c>
      <c r="CM730" s="10">
        <v>206</v>
      </c>
      <c r="CN730" s="10">
        <v>0.245</v>
      </c>
      <c r="CO730" s="10">
        <v>163</v>
      </c>
      <c r="CP730" s="10">
        <v>117</v>
      </c>
      <c r="CQ730" s="10">
        <v>88</v>
      </c>
      <c r="CR730" s="10">
        <v>6</v>
      </c>
      <c r="CS730" s="10">
        <v>10.1</v>
      </c>
      <c r="CT730" s="9" t="s">
        <v>231</v>
      </c>
      <c r="CU730" s="9" t="s">
        <v>188</v>
      </c>
      <c r="CV730" s="9" t="s">
        <v>185</v>
      </c>
      <c r="CW730" s="10"/>
      <c r="CX730" t="str">
        <f>INDEX('Data_Price '!AG$2:AG$1266,MATCH(Data!$DN730,'Data_Price '!$AT$2:$AT$1266,0))</f>
        <v>Salomon Stance 84 Skis + M12 GW Bindings 2022 - 169</v>
      </c>
      <c r="CY730" t="str">
        <f>INDEX('Data_Price '!AH$2:AH$1266,MATCH(Data!$DN730,'Data_Price '!$AT$2:$AT$1266,0))</f>
        <v>SkatePro.com</v>
      </c>
      <c r="CZ730">
        <f>INDEX('Data_Price '!AI$2:AI$1266,MATCH(Data!$DN730,'Data_Price '!$AT$2:$AT$1266,0))</f>
        <v>599.95000000000005</v>
      </c>
      <c r="DA730" t="str">
        <f>INDEX('Data_Price '!AJ$2:AJ$1266,MATCH(Data!$DN730,'Data_Price '!$AT$2:$AT$1266,0))</f>
        <v>https://tinyurl.com/y75zbxhk</v>
      </c>
      <c r="DB730" t="str">
        <f>INDEX('Data_Price '!AK$2:AK$1266,MATCH(Data!$DN730,'Data_Price '!$AT$2:$AT$1266,0))</f>
        <v>Salomon Stance 84 Skis + M12 GW Bindings 2022 - 169</v>
      </c>
      <c r="DC730" t="str">
        <f>INDEX('Data_Price '!AL$2:AL$1266,MATCH(Data!$DN730,'Data_Price '!$AT$2:$AT$1266,0))</f>
        <v>evo.com</v>
      </c>
      <c r="DD730">
        <f>INDEX('Data_Price '!AM$2:AM$1266,MATCH(Data!$DN730,'Data_Price '!$AT$2:$AT$1266,0))</f>
        <v>599.99</v>
      </c>
      <c r="DE730" t="str">
        <f>INDEX('Data_Price '!AN$2:AN$1266,MATCH(Data!$DN730,'Data_Price '!$AT$2:$AT$1266,0))</f>
        <v>https://tinyurl.com/y7ocfmhd</v>
      </c>
      <c r="DF730" t="str">
        <f>INDEX('Data_Price '!AO$2:AO$1266,MATCH(Data!$DN730,'Data_Price '!$AT$2:$AT$1266,0))</f>
        <v>Salomon STANCE 80 Skis with M11 GW Bindings 2022</v>
      </c>
      <c r="DG730" t="str">
        <f>INDEX('Data_Price '!AP$2:AP$1266,MATCH(Data!$DN730,'Data_Price '!$AT$2:$AT$1266,0))</f>
        <v>Level Nine Sports</v>
      </c>
      <c r="DH730">
        <f>INDEX('Data_Price '!AQ$2:AQ$1266,MATCH(Data!$DN730,'Data_Price '!$AT$2:$AT$1266,0))</f>
        <v>399.99</v>
      </c>
      <c r="DI730" t="str">
        <f>INDEX('Data_Price '!AR$2:AR$1266,MATCH(Data!$DN730,'Data_Price '!$AT$2:$AT$1266,0))</f>
        <v>https://tinyurl.com/y78wgr4g</v>
      </c>
      <c r="DJ730" s="89" t="str">
        <f t="shared" si="439"/>
        <v>https://tinyurl.com/y75zbxhk</v>
      </c>
      <c r="DK730" s="89" t="str">
        <f t="shared" si="440"/>
        <v>https://tinyurl.com/y7ocfmhd</v>
      </c>
      <c r="DL730" s="89" t="str">
        <f t="shared" si="441"/>
        <v>https://tinyurl.com/y78wgr4g</v>
      </c>
      <c r="DM730" s="219" t="str">
        <f t="shared" si="442"/>
        <v>Stance 84</v>
      </c>
      <c r="DN730" s="89" t="str">
        <f t="shared" si="443"/>
        <v xml:space="preserve"> SalomonStance 84169 Unisex</v>
      </c>
      <c r="DO730" s="221" t="s">
        <v>344</v>
      </c>
    </row>
    <row r="731" spans="1:119" ht="15.6" customHeight="1">
      <c r="B731" s="219" t="b">
        <f t="array" ref="B731">IF(OR(ISERROR(K731:P731)),FALSE,TRUE)</f>
        <v>1</v>
      </c>
      <c r="C731" s="43" t="b">
        <f>OR(BR731=Driver!$G$50,Data!BR889=Driver!$H$50)</f>
        <v>1</v>
      </c>
      <c r="D731" s="43" t="b">
        <f>OR(BV731=Driver!$G$51,BV731=Driver!$H$51)</f>
        <v>0</v>
      </c>
      <c r="E731" s="43" t="b">
        <f>AND(BX731&gt;Driver!$F$54,BX731&lt;Driver!$G$54)</f>
        <v>1</v>
      </c>
      <c r="F731" s="43" t="b">
        <f>CL731&gt;Driver!$F$56</f>
        <v>1</v>
      </c>
      <c r="G731" s="43" t="b">
        <f>AND(CB731&gt;Driver!$F$55,CB731&lt;Driver!$G$55)</f>
        <v>0</v>
      </c>
      <c r="H731" s="43" t="b">
        <f t="shared" si="407"/>
        <v>0</v>
      </c>
      <c r="I731" s="43">
        <f t="shared" si="408"/>
        <v>0</v>
      </c>
      <c r="J731" s="43" t="b">
        <f t="array" ref="J731">NOT(OR(($H$9:$H$1273=TRUE)*($I$9:$I$1273&gt;0)*($BT$9:$BT$1273=BT731)*($K$9:$K$1273&gt;K731)))</f>
        <v>1</v>
      </c>
      <c r="K731" s="72">
        <f t="shared" si="409"/>
        <v>0.77757382407842779</v>
      </c>
      <c r="L731" s="72">
        <f t="shared" si="410"/>
        <v>0.80379364365421035</v>
      </c>
      <c r="M731" s="72">
        <f t="shared" si="411"/>
        <v>0.75135400450264522</v>
      </c>
      <c r="N731" s="72">
        <f t="shared" si="412"/>
        <v>0.67526646478182117</v>
      </c>
      <c r="O731" s="72">
        <f t="shared" si="413"/>
        <v>0.59935482728986078</v>
      </c>
      <c r="P731" s="72">
        <f t="shared" si="414"/>
        <v>0.97944072143625382</v>
      </c>
      <c r="Q731" s="72"/>
      <c r="R731" s="72"/>
      <c r="S731" s="72">
        <f t="shared" si="415"/>
        <v>0.44684927950186215</v>
      </c>
      <c r="T731" s="72">
        <f t="shared" si="416"/>
        <v>0.99064914561231554</v>
      </c>
      <c r="U731" s="72">
        <f t="shared" si="417"/>
        <v>0.51</v>
      </c>
      <c r="V731" s="72">
        <f t="shared" si="418"/>
        <v>0.49210658663162754</v>
      </c>
      <c r="W731" s="72">
        <f t="shared" si="419"/>
        <v>0.7699588235294117</v>
      </c>
      <c r="X731" s="72">
        <f t="shared" si="420"/>
        <v>0.19620635634578965</v>
      </c>
      <c r="Y731" s="72">
        <f t="shared" si="421"/>
        <v>0.24864599549735475</v>
      </c>
      <c r="Z731" s="72">
        <f t="shared" si="422"/>
        <v>0.32473353521817888</v>
      </c>
      <c r="AA731" s="72">
        <f t="shared" si="423"/>
        <v>0.40064517271013916</v>
      </c>
      <c r="AB731" s="72">
        <f t="shared" si="424"/>
        <v>2.0559278563746203E-2</v>
      </c>
      <c r="AC731" s="72"/>
      <c r="AD731" s="72"/>
      <c r="AE731" s="72">
        <f t="shared" si="425"/>
        <v>0.55315072049813785</v>
      </c>
      <c r="AF731" s="72">
        <f t="shared" si="426"/>
        <v>9.3508543876844596E-3</v>
      </c>
      <c r="AG731" s="72">
        <f t="shared" si="427"/>
        <v>0.49</v>
      </c>
      <c r="AH731" s="72">
        <f t="shared" si="428"/>
        <v>0.50789341336837246</v>
      </c>
      <c r="AI731" s="72">
        <f t="shared" si="429"/>
        <v>0.23004117647058825</v>
      </c>
      <c r="AJ731" s="72">
        <f>(AV731-Driver!$K$179)/(Driver!$L$179-Driver!$K$179)</f>
        <v>5.8013052936910794E-2</v>
      </c>
      <c r="AK731" s="72">
        <f>(AW731-Driver!$K$180)/(Driver!$L$180-Driver!$K$180)</f>
        <v>0.24952815182306179</v>
      </c>
      <c r="AL731" s="72">
        <f>(AX731-Driver!$K$181)/(Driver!$L$181-Driver!$K$181)</f>
        <v>0.42642129893125907</v>
      </c>
      <c r="AM731" s="72">
        <f>(AY731-Driver!$K$182)/(Driver!$L$182-Driver!$K$182)</f>
        <v>4.6739848386907201E-2</v>
      </c>
      <c r="AN731" s="72">
        <f>(AZ731-Driver!$K$183)/(Driver!$L$183-Driver!$K$183)</f>
        <v>0.23366013071895422</v>
      </c>
      <c r="AO731" s="72"/>
      <c r="AP731" s="72"/>
      <c r="AQ731" s="72">
        <f>(BC731-Driver!$K$188)/(Driver!$L$188-Driver!$K$188)</f>
        <v>6.6849279501862147E-2</v>
      </c>
      <c r="AR731" s="72">
        <f>MIN((BD731-Driver!$K$189)/(Driver!$L$189-Driver!$K$189),100%)</f>
        <v>0.54064914561231558</v>
      </c>
      <c r="AS731" s="72">
        <f>(BE731-Driver!$K$190)/(Driver!$L$190-Driver!$K$190)</f>
        <v>1</v>
      </c>
      <c r="AT731" s="72">
        <f>(BF731-Driver!$K$191)/(Driver!$L$191-Driver!$K$191)</f>
        <v>2.1065866316275035E-3</v>
      </c>
      <c r="AU731" s="72">
        <f>(BG731-Driver!$K$192)/(Driver!$L$192-Driver!$K$192)</f>
        <v>1.9958823529411765E-2</v>
      </c>
      <c r="AV731" s="70">
        <f t="shared" si="430"/>
        <v>1.2210012210012209</v>
      </c>
      <c r="AW731" s="70">
        <f t="shared" si="431"/>
        <v>26.190622060966739</v>
      </c>
      <c r="AX731" s="70">
        <f t="shared" si="432"/>
        <v>4.8377916903813318</v>
      </c>
      <c r="AY731" s="70">
        <f>IFERROR(Driver!$K$19/Data!BH731/Data!BI731*Data!BK731*Data!BL731,"")</f>
        <v>5.7223520250336044E-2</v>
      </c>
      <c r="AZ731" s="70">
        <f t="shared" si="433"/>
        <v>21.295606850335069</v>
      </c>
      <c r="BA731" s="70"/>
      <c r="BB731" s="70"/>
      <c r="BC731" s="70">
        <f t="shared" si="434"/>
        <v>34.675186006267431</v>
      </c>
      <c r="BD731" s="70">
        <f t="shared" si="435"/>
        <v>49.567314297187913</v>
      </c>
      <c r="BE731" s="70">
        <f t="shared" si="436"/>
        <v>1</v>
      </c>
      <c r="BF731" s="70">
        <f t="shared" si="437"/>
        <v>0.23792416043363987</v>
      </c>
      <c r="BG731" s="70">
        <f t="shared" si="438"/>
        <v>7.5576838235294125E-2</v>
      </c>
      <c r="BH731" s="67">
        <f>MAX((CE731-Driver!$F$200)/(Driver!$G$200-Driver!$F$200)*$BI$1,1)</f>
        <v>4.8377916903813318</v>
      </c>
      <c r="BI731" s="67">
        <f>MAX($BI$1*(BY731-Driver!$F$201)/(Driver!$G$201-Driver!$F$201),1)</f>
        <v>8.2278481012658222</v>
      </c>
      <c r="BJ731" s="67">
        <f>(CB731-Driver!$F$206)/(Driver!$G$206-Driver!$F$206)*$BI$1</f>
        <v>1.2698412698412698</v>
      </c>
      <c r="BK731" s="67">
        <f>(CD731-Driver!$F$203)/(Driver!$G$203-Driver!$F$203)*$BI$1</f>
        <v>1.834862385321101</v>
      </c>
      <c r="BL731" s="67">
        <f>MAX((CR731-Driver!$F$202)/(Driver!$G$202-Driver!$F$202)*$BI$1,1)</f>
        <v>6.2068965517241379</v>
      </c>
      <c r="BM731" s="67">
        <f>MAX((CH731-Driver!$F$204)/(Driver!$G$204-Driver!$F$204)*$BI$1,1)</f>
        <v>3.8461538461538463</v>
      </c>
      <c r="BN731" s="67">
        <f>(CI731-Driver!$F$205)/(Driver!$G$205-Driver!$F$205)*$BI$1</f>
        <v>2.5882352941176472</v>
      </c>
      <c r="BO731" s="67">
        <f>(CK731-Driver!$F$207)/(Driver!$G$207-Driver!$F$207)*$BI$1</f>
        <v>0.35160289555325747</v>
      </c>
      <c r="BP731" s="67">
        <f>(CM731-Driver!$F$208)/(Driver!$G$208-Driver!$F$208)*$BI$1</f>
        <v>0.97777777777777786</v>
      </c>
      <c r="BQ731" s="67">
        <f>(CL731-Driver!$F$209)/(Driver!$G$209-Driver!$F$209)*$BI$1</f>
        <v>1.40625</v>
      </c>
      <c r="BR731" s="28" t="s">
        <v>155</v>
      </c>
      <c r="BS731" s="8" t="s">
        <v>332</v>
      </c>
      <c r="BT731" s="9" t="s">
        <v>738</v>
      </c>
      <c r="BU731" s="10">
        <v>162</v>
      </c>
      <c r="BV731" s="9" t="s">
        <v>163</v>
      </c>
      <c r="BW731" s="10">
        <v>162</v>
      </c>
      <c r="BX731" s="10">
        <v>161.30000000000001</v>
      </c>
      <c r="BY731" s="10">
        <v>138</v>
      </c>
      <c r="BZ731" s="10">
        <v>147</v>
      </c>
      <c r="CA731" s="10">
        <v>123</v>
      </c>
      <c r="CB731" s="10">
        <v>72</v>
      </c>
      <c r="CC731" s="10">
        <v>100</v>
      </c>
      <c r="CD731" s="10">
        <v>13.4</v>
      </c>
      <c r="CE731" s="10">
        <v>1750</v>
      </c>
      <c r="CF731" s="10">
        <v>0.8</v>
      </c>
      <c r="CG731" s="10">
        <v>1404</v>
      </c>
      <c r="CH731" s="10">
        <v>191</v>
      </c>
      <c r="CI731" s="10">
        <v>77</v>
      </c>
      <c r="CJ731" s="10">
        <v>37</v>
      </c>
      <c r="CK731" s="10">
        <v>144</v>
      </c>
      <c r="CL731" s="10">
        <v>9</v>
      </c>
      <c r="CM731" s="10">
        <v>88</v>
      </c>
      <c r="CN731" s="10">
        <v>0.251</v>
      </c>
      <c r="CO731" s="10">
        <v>66</v>
      </c>
      <c r="CP731" s="10">
        <v>79</v>
      </c>
      <c r="CQ731" s="10">
        <v>78</v>
      </c>
      <c r="CR731" s="10">
        <v>7</v>
      </c>
      <c r="CS731" s="10">
        <v>9</v>
      </c>
      <c r="CT731" s="9" t="s">
        <v>349</v>
      </c>
      <c r="CU731" s="10"/>
      <c r="CV731" s="10"/>
      <c r="CW731" s="10"/>
      <c r="CX731" t="str">
        <f>INDEX('Data_Price '!AG$2:AG$1266,MATCH(Data!$DN731,'Data_Price '!$AT$2:$AT$1266,0))</f>
        <v>Nordica Women's Wild Belle 74 w/ TP2 10 Skis 162</v>
      </c>
      <c r="CY731" t="str">
        <f>INDEX('Data_Price '!AH$2:AH$1266,MATCH(Data!$DN731,'Data_Price '!$AT$2:$AT$1266,0))</f>
        <v>Buckman's Ski and Snowboard Shop</v>
      </c>
      <c r="CZ731">
        <f>INDEX('Data_Price '!AI$2:AI$1266,MATCH(Data!$DN731,'Data_Price '!$AT$2:$AT$1266,0))</f>
        <v>399.95</v>
      </c>
      <c r="DA731" t="str">
        <f>INDEX('Data_Price '!AJ$2:AJ$1266,MATCH(Data!$DN731,'Data_Price '!$AT$2:$AT$1266,0))</f>
        <v>https://tinyurl.com/y9mwmruw</v>
      </c>
      <c r="DB731" t="str">
        <f>INDEX('Data_Price '!AK$2:AK$1266,MATCH(Data!$DN731,'Data_Price '!$AT$2:$AT$1266,0))</f>
        <v>Nordica Women's Wild Belle 74 w/ TP2 10 Skis 162</v>
      </c>
      <c r="DC731" t="str">
        <f>INDEX('Data_Price '!AL$2:AL$1266,MATCH(Data!$DN731,'Data_Price '!$AT$2:$AT$1266,0))</f>
        <v>WinterWomen.com</v>
      </c>
      <c r="DD731">
        <f>INDEX('Data_Price '!AM$2:AM$1266,MATCH(Data!$DN731,'Data_Price '!$AT$2:$AT$1266,0))</f>
        <v>399.95</v>
      </c>
      <c r="DE731" t="str">
        <f>INDEX('Data_Price '!AN$2:AN$1266,MATCH(Data!$DN731,'Data_Price '!$AT$2:$AT$1266,0))</f>
        <v>https://tinyurl.com/y9aze5ou</v>
      </c>
      <c r="DF731" t="str">
        <f>INDEX('Data_Price '!AO$2:AO$1266,MATCH(Data!$DN731,'Data_Price '!$AT$2:$AT$1266,0))</f>
        <v>Nordica 2022 Wild Belle 78CA Women's Skis with TP2 Compact 10 FDT Bindings (162)</v>
      </c>
      <c r="DG731" t="str">
        <f>INDEX('Data_Price '!AP$2:AP$1266,MATCH(Data!$DN731,'Data_Price '!$AT$2:$AT$1266,0))</f>
        <v>BobsSportsChalet.com</v>
      </c>
      <c r="DH731">
        <f>INDEX('Data_Price '!AQ$2:AQ$1266,MATCH(Data!$DN731,'Data_Price '!$AT$2:$AT$1266,0))</f>
        <v>499.99</v>
      </c>
      <c r="DI731" t="str">
        <f>INDEX('Data_Price '!AR$2:AR$1266,MATCH(Data!$DN731,'Data_Price '!$AT$2:$AT$1266,0))</f>
        <v>https://tinyurl.com/y7m3p46b</v>
      </c>
      <c r="DJ731" s="89" t="str">
        <f t="shared" si="439"/>
        <v>https://tinyurl.com/y9mwmruw</v>
      </c>
      <c r="DK731" s="89" t="str">
        <f t="shared" si="440"/>
        <v>https://tinyurl.com/y9aze5ou</v>
      </c>
      <c r="DL731" s="89" t="str">
        <f t="shared" si="441"/>
        <v>https://tinyurl.com/y7m3p46b</v>
      </c>
      <c r="DM731" s="219" t="str">
        <f t="shared" si="442"/>
        <v>Belle 73</v>
      </c>
      <c r="DN731" s="89" t="str">
        <f t="shared" si="443"/>
        <v xml:space="preserve"> NordicaBelle 73162 Women's</v>
      </c>
      <c r="DO731" s="221"/>
    </row>
    <row r="732" spans="1:119" ht="15.6" customHeight="1">
      <c r="B732" s="219" t="b">
        <f t="array" ref="B732">IF(OR(ISERROR(K732:P732)),FALSE,TRUE)</f>
        <v>1</v>
      </c>
      <c r="C732" s="43" t="b">
        <f>OR(BR732=Driver!$G$50,Data!BR1115=Driver!$H$50)</f>
        <v>1</v>
      </c>
      <c r="D732" s="43" t="b">
        <f>OR(BV732=Driver!$G$51,BV732=Driver!$H$51)</f>
        <v>1</v>
      </c>
      <c r="E732" s="43" t="b">
        <f>AND(BX732&gt;Driver!$F$54,BX732&lt;Driver!$G$54)</f>
        <v>0</v>
      </c>
      <c r="F732" s="43" t="b">
        <f>CL732&gt;Driver!$F$56</f>
        <v>1</v>
      </c>
      <c r="G732" s="43" t="b">
        <f>AND(CB732&gt;Driver!$F$55,CB732&lt;Driver!$G$55)</f>
        <v>1</v>
      </c>
      <c r="H732" s="43" t="b">
        <f t="shared" si="407"/>
        <v>0</v>
      </c>
      <c r="I732" s="43">
        <f t="shared" si="408"/>
        <v>0</v>
      </c>
      <c r="J732" s="43" t="b">
        <f t="array" ref="J732">NOT(OR(($H$9:$H$1273=TRUE)*($I$9:$I$1273&gt;0)*($BT$9:$BT$1273=BT732)*($K$9:$K$1273&gt;K732)))</f>
        <v>1</v>
      </c>
      <c r="K732" s="72">
        <f t="shared" si="409"/>
        <v>0.69447104954791983</v>
      </c>
      <c r="L732" s="72">
        <f t="shared" si="410"/>
        <v>0.66023020615644157</v>
      </c>
      <c r="M732" s="72">
        <f t="shared" si="411"/>
        <v>0.72871189293939831</v>
      </c>
      <c r="N732" s="72">
        <f t="shared" si="412"/>
        <v>0.69550297904223979</v>
      </c>
      <c r="O732" s="72">
        <f t="shared" si="413"/>
        <v>0.70749172186580356</v>
      </c>
      <c r="P732" s="72">
        <f t="shared" si="414"/>
        <v>0.78314097791015147</v>
      </c>
      <c r="Q732" s="72"/>
      <c r="R732" s="72"/>
      <c r="S732" s="72">
        <f t="shared" si="415"/>
        <v>0.60571030903529088</v>
      </c>
      <c r="T732" s="72">
        <f t="shared" si="416"/>
        <v>0.48640059238884226</v>
      </c>
      <c r="U732" s="72">
        <f t="shared" si="417"/>
        <v>0.55384146689474922</v>
      </c>
      <c r="V732" s="72">
        <f t="shared" si="418"/>
        <v>0.52360106755333469</v>
      </c>
      <c r="W732" s="72">
        <f t="shared" si="419"/>
        <v>0.79276208000403292</v>
      </c>
      <c r="X732" s="72">
        <f t="shared" si="420"/>
        <v>0.33976979384355849</v>
      </c>
      <c r="Y732" s="72">
        <f t="shared" si="421"/>
        <v>0.27128810706060175</v>
      </c>
      <c r="Z732" s="72">
        <f t="shared" si="422"/>
        <v>0.30449702095776027</v>
      </c>
      <c r="AA732" s="72">
        <f t="shared" si="423"/>
        <v>0.29250827813419644</v>
      </c>
      <c r="AB732" s="72">
        <f t="shared" si="424"/>
        <v>0.21685902208984859</v>
      </c>
      <c r="AC732" s="72"/>
      <c r="AD732" s="72"/>
      <c r="AE732" s="72">
        <f t="shared" si="425"/>
        <v>0.39428969096470906</v>
      </c>
      <c r="AF732" s="72">
        <f t="shared" si="426"/>
        <v>0.51359940761115774</v>
      </c>
      <c r="AG732" s="72">
        <f t="shared" si="427"/>
        <v>0.44615853310525078</v>
      </c>
      <c r="AH732" s="72">
        <f t="shared" si="428"/>
        <v>0.47639893244666526</v>
      </c>
      <c r="AI732" s="72">
        <f t="shared" si="429"/>
        <v>0.20723791999596702</v>
      </c>
      <c r="AJ732" s="72">
        <f>(AV732-Driver!$K$179)/(Driver!$L$179-Driver!$K$179)</f>
        <v>0.59398920312625891</v>
      </c>
      <c r="AK732" s="72">
        <f>(AW732-Driver!$K$180)/(Driver!$L$180-Driver!$K$180)</f>
        <v>0.47104096861315681</v>
      </c>
      <c r="AL732" s="72">
        <f>(AX732-Driver!$K$181)/(Driver!$L$181-Driver!$K$181)</f>
        <v>0.40618478467084046</v>
      </c>
      <c r="AM732" s="72">
        <f>(AY732-Driver!$K$182)/(Driver!$L$182-Driver!$K$182)</f>
        <v>0.15487674296284989</v>
      </c>
      <c r="AN732" s="72">
        <f>(AZ732-Driver!$K$183)/(Driver!$L$183-Driver!$K$183)</f>
        <v>0.47107843137254901</v>
      </c>
      <c r="AO732" s="72"/>
      <c r="AP732" s="72"/>
      <c r="AQ732" s="72">
        <f>(BC732-Driver!$K$188)/(Driver!$L$188-Driver!$K$188)</f>
        <v>0.22571030903529093</v>
      </c>
      <c r="AR732" s="72">
        <f>MIN((BD732-Driver!$K$189)/(Driver!$L$189-Driver!$K$189),100%)</f>
        <v>3.6400592388842294E-2</v>
      </c>
      <c r="AS732" s="72">
        <f>(BE732-Driver!$K$190)/(Driver!$L$190-Driver!$K$190)</f>
        <v>6.3841466894749233E-2</v>
      </c>
      <c r="AT732" s="72">
        <f>(BF732-Driver!$K$191)/(Driver!$L$191-Driver!$K$191)</f>
        <v>3.3601067553334751E-2</v>
      </c>
      <c r="AU732" s="72">
        <f>(BG732-Driver!$K$192)/(Driver!$L$192-Driver!$K$192)</f>
        <v>4.2762080004032962E-2</v>
      </c>
      <c r="AV732" s="70">
        <f t="shared" si="430"/>
        <v>12.501695835029169</v>
      </c>
      <c r="AW732" s="70">
        <f t="shared" si="431"/>
        <v>47.779008860391109</v>
      </c>
      <c r="AX732" s="70">
        <f t="shared" si="432"/>
        <v>4.6556630620375641</v>
      </c>
      <c r="AY732" s="70">
        <f>IFERROR(Driver!$K$19/Data!BH732/Data!BI732*Data!BK732*Data!BL732,"")</f>
        <v>0.18961534414654471</v>
      </c>
      <c r="AZ732" s="70">
        <f t="shared" si="433"/>
        <v>42.933730454207002</v>
      </c>
      <c r="BA732" s="70"/>
      <c r="BB732" s="70"/>
      <c r="BC732" s="70">
        <f t="shared" si="434"/>
        <v>117.07750640921719</v>
      </c>
      <c r="BD732" s="70">
        <f t="shared" si="435"/>
        <v>4.9422108124771063</v>
      </c>
      <c r="BE732" s="70">
        <f t="shared" si="436"/>
        <v>6.4008467040142097E-2</v>
      </c>
      <c r="BF732" s="70">
        <f t="shared" si="437"/>
        <v>3.7950045192894843</v>
      </c>
      <c r="BG732" s="70">
        <f t="shared" si="438"/>
        <v>0.16192451415320241</v>
      </c>
      <c r="BH732" s="67">
        <f>MAX((CE732-Driver!$F$200)/(Driver!$G$200-Driver!$F$200)*$BI$1,1)</f>
        <v>4.6556630620375641</v>
      </c>
      <c r="BI732" s="67">
        <f>MAX($BI$1*(BY732-Driver!$F$201)/(Driver!$G$201-Driver!$F$201),1)</f>
        <v>7.8481012658227849</v>
      </c>
      <c r="BJ732" s="67">
        <f>(CB732-Driver!$F$206)/(Driver!$G$206-Driver!$F$206)*$BI$1</f>
        <v>6.0317460317460316</v>
      </c>
      <c r="BK732" s="67">
        <f>(CD732-Driver!$F$203)/(Driver!$G$203-Driver!$F$203)*$BI$1</f>
        <v>6.6972477064220195</v>
      </c>
      <c r="BL732" s="67">
        <f>MAX((CR732-Driver!$F$202)/(Driver!$G$202-Driver!$F$202)*$BI$1,1)</f>
        <v>5.1724137931034484</v>
      </c>
      <c r="BM732" s="67">
        <f>MAX((CH732-Driver!$F$204)/(Driver!$G$204-Driver!$F$204)*$BI$1,1)</f>
        <v>8.2905982905982913</v>
      </c>
      <c r="BN732" s="67">
        <f>(CI732-Driver!$F$205)/(Driver!$G$205-Driver!$F$205)*$BI$1</f>
        <v>5.4705882352941178</v>
      </c>
      <c r="BO732" s="67">
        <f>(CK732-Driver!$F$207)/(Driver!$G$207-Driver!$F$207)*$BI$1</f>
        <v>1.9751809720785938</v>
      </c>
      <c r="BP732" s="67">
        <f>(CM732-Driver!$F$208)/(Driver!$G$208-Driver!$F$208)*$BI$1</f>
        <v>2.1333333333333333</v>
      </c>
      <c r="BQ732" s="67">
        <f>(CL732-Driver!$F$209)/(Driver!$G$209-Driver!$F$209)*$BI$1</f>
        <v>6.25</v>
      </c>
      <c r="BR732" s="28" t="s">
        <v>155</v>
      </c>
      <c r="BS732" s="8" t="s">
        <v>180</v>
      </c>
      <c r="BT732" s="9" t="s">
        <v>232</v>
      </c>
      <c r="BU732" s="10">
        <v>183</v>
      </c>
      <c r="BV732" s="9" t="s">
        <v>158</v>
      </c>
      <c r="BW732" s="10">
        <v>183</v>
      </c>
      <c r="BX732" s="10">
        <v>181.3</v>
      </c>
      <c r="BY732" s="10">
        <v>132</v>
      </c>
      <c r="BZ732" s="10">
        <v>163</v>
      </c>
      <c r="CA732" s="10">
        <v>137</v>
      </c>
      <c r="CB732" s="10">
        <v>102</v>
      </c>
      <c r="CC732" s="10">
        <v>126</v>
      </c>
      <c r="CD732" s="10">
        <v>24</v>
      </c>
      <c r="CE732" s="10">
        <v>1718</v>
      </c>
      <c r="CF732" s="10">
        <v>1.1599999999999999</v>
      </c>
      <c r="CG732" s="10">
        <v>1999</v>
      </c>
      <c r="CH732" s="10">
        <v>295</v>
      </c>
      <c r="CI732" s="10">
        <v>126</v>
      </c>
      <c r="CJ732" s="10">
        <v>60</v>
      </c>
      <c r="CK732" s="10">
        <v>301</v>
      </c>
      <c r="CL732" s="10">
        <v>40</v>
      </c>
      <c r="CM732" s="10">
        <v>192</v>
      </c>
      <c r="CN732" s="10">
        <v>0.66200000000000003</v>
      </c>
      <c r="CO732" s="10">
        <v>110</v>
      </c>
      <c r="CP732" s="10">
        <v>76</v>
      </c>
      <c r="CQ732" s="10">
        <v>191</v>
      </c>
      <c r="CR732" s="10">
        <v>4</v>
      </c>
      <c r="CS732" s="10">
        <v>11.9</v>
      </c>
      <c r="CT732" s="9" t="s">
        <v>188</v>
      </c>
      <c r="CU732" s="9" t="s">
        <v>169</v>
      </c>
      <c r="CV732" s="9" t="s">
        <v>185</v>
      </c>
      <c r="CW732" s="10"/>
      <c r="CX732" t="str">
        <f>INDEX('Data_Price '!AG$2:AG$1266,MATCH(Data!$DN732,'Data_Price '!$AT$2:$AT$1266,0))</f>
        <v>Scott Scrapper 105 183</v>
      </c>
      <c r="CY732" t="str">
        <f>INDEX('Data_Price '!AH$2:AH$1266,MATCH(Data!$DN732,'Data_Price '!$AT$2:$AT$1266,0))</f>
        <v>Bobleisure</v>
      </c>
      <c r="CZ732">
        <f>INDEX('Data_Price '!AI$2:AI$1266,MATCH(Data!$DN732,'Data_Price '!$AT$2:$AT$1266,0))</f>
        <v>385.15</v>
      </c>
      <c r="DA732" t="str">
        <f>INDEX('Data_Price '!AJ$2:AJ$1266,MATCH(Data!$DN732,'Data_Price '!$AT$2:$AT$1266,0))</f>
        <v>https://tinyurl.com/ydeplx5w</v>
      </c>
      <c r="DB732" t="str">
        <f>INDEX('Data_Price '!AK$2:AK$1266,MATCH(Data!$DN732,'Data_Price '!$AT$2:$AT$1266,0))</f>
        <v>Scott Scrapper 105 183</v>
      </c>
      <c r="DC732" t="str">
        <f>INDEX('Data_Price '!AL$2:AL$1266,MATCH(Data!$DN732,'Data_Price '!$AT$2:$AT$1266,0))</f>
        <v>Snowcountry.eu</v>
      </c>
      <c r="DD732">
        <f>INDEX('Data_Price '!AM$2:AM$1266,MATCH(Data!$DN732,'Data_Price '!$AT$2:$AT$1266,0))</f>
        <v>386.34</v>
      </c>
      <c r="DE732" t="str">
        <f>INDEX('Data_Price '!AN$2:AN$1266,MATCH(Data!$DN732,'Data_Price '!$AT$2:$AT$1266,0))</f>
        <v>https://tinyurl.com/yamtfl76</v>
      </c>
      <c r="DF732" t="str">
        <f>INDEX('Data_Price '!AO$2:AO$1266,MATCH(Data!$DN732,'Data_Price '!$AT$2:$AT$1266,0))</f>
        <v>Scott Scrapper 105 183cm</v>
      </c>
      <c r="DG732" t="str">
        <f>INDEX('Data_Price '!AP$2:AP$1266,MATCH(Data!$DN732,'Data_Price '!$AT$2:$AT$1266,0))</f>
        <v>Sundance Ski and Board Shop</v>
      </c>
      <c r="DH732">
        <f>INDEX('Data_Price '!AQ$2:AQ$1266,MATCH(Data!$DN732,'Data_Price '!$AT$2:$AT$1266,0))</f>
        <v>521.11</v>
      </c>
      <c r="DI732" t="str">
        <f>INDEX('Data_Price '!AR$2:AR$1266,MATCH(Data!$DN732,'Data_Price '!$AT$2:$AT$1266,0))</f>
        <v>https://tinyurl.com/ydz6qqps</v>
      </c>
      <c r="DJ732" s="89" t="str">
        <f t="shared" si="439"/>
        <v>https://tinyurl.com/ydeplx5w</v>
      </c>
      <c r="DK732" s="89" t="str">
        <f t="shared" si="440"/>
        <v>https://tinyurl.com/yamtfl76</v>
      </c>
      <c r="DL732" s="89" t="str">
        <f t="shared" si="441"/>
        <v>https://tinyurl.com/ydz6qqps</v>
      </c>
      <c r="DM732" s="219" t="str">
        <f t="shared" si="442"/>
        <v>Scrapper 105</v>
      </c>
      <c r="DN732" s="89" t="str">
        <f t="shared" si="443"/>
        <v xml:space="preserve"> ScottScrapper 105183 Unisex</v>
      </c>
      <c r="DO732" s="221" t="s">
        <v>233</v>
      </c>
    </row>
    <row r="733" spans="1:119" ht="15.6" customHeight="1">
      <c r="B733" s="219" t="b">
        <f t="array" ref="B733">IF(OR(ISERROR(K733:P733)),FALSE,TRUE)</f>
        <v>1</v>
      </c>
      <c r="C733" s="43" t="b">
        <f>OR(BR733=Driver!$G$50,Data!BR880=Driver!$H$50)</f>
        <v>1</v>
      </c>
      <c r="D733" s="43" t="b">
        <f>OR(BV733=Driver!$G$51,BV733=Driver!$H$51)</f>
        <v>1</v>
      </c>
      <c r="E733" s="43" t="b">
        <f>AND(BX733&gt;Driver!$F$54,BX733&lt;Driver!$G$54)</f>
        <v>0</v>
      </c>
      <c r="F733" s="43" t="b">
        <f>CL733&gt;Driver!$F$56</f>
        <v>1</v>
      </c>
      <c r="G733" s="43" t="b">
        <f>AND(CB733&gt;Driver!$F$55,CB733&lt;Driver!$G$55)</f>
        <v>0</v>
      </c>
      <c r="H733" s="43" t="b">
        <f t="shared" si="407"/>
        <v>0</v>
      </c>
      <c r="I733" s="43">
        <f t="shared" si="408"/>
        <v>0</v>
      </c>
      <c r="J733" s="43" t="b">
        <f t="array" ref="J733">NOT(OR(($H$9:$H$1273=TRUE)*($I$9:$I$1273&gt;0)*($BT$9:$BT$1273=BT733)*($K$9:$K$1273&gt;K733)))</f>
        <v>1</v>
      </c>
      <c r="K733" s="72">
        <f t="shared" si="409"/>
        <v>0.66475129476764894</v>
      </c>
      <c r="L733" s="72">
        <f t="shared" si="410"/>
        <v>0.6307402375801785</v>
      </c>
      <c r="M733" s="72">
        <f t="shared" si="411"/>
        <v>0.69876235195511938</v>
      </c>
      <c r="N733" s="72">
        <f t="shared" si="412"/>
        <v>0.53361086495889054</v>
      </c>
      <c r="O733" s="72">
        <f t="shared" si="413"/>
        <v>0.65053194502246003</v>
      </c>
      <c r="P733" s="72">
        <f t="shared" si="414"/>
        <v>0.91214424588400767</v>
      </c>
      <c r="Q733" s="72"/>
      <c r="R733" s="72"/>
      <c r="S733" s="72">
        <f t="shared" si="415"/>
        <v>0.48551244933444027</v>
      </c>
      <c r="T733" s="72">
        <f t="shared" si="416"/>
        <v>0.47912473316533466</v>
      </c>
      <c r="U733" s="72">
        <f t="shared" si="417"/>
        <v>0.50850126763296344</v>
      </c>
      <c r="V733" s="72">
        <f t="shared" si="418"/>
        <v>0.65672463032571915</v>
      </c>
      <c r="W733" s="72">
        <f t="shared" si="419"/>
        <v>0.7857034897068953</v>
      </c>
      <c r="X733" s="72">
        <f t="shared" si="420"/>
        <v>0.36925976241982145</v>
      </c>
      <c r="Y733" s="72">
        <f t="shared" si="421"/>
        <v>0.30123764804488062</v>
      </c>
      <c r="Z733" s="72">
        <f t="shared" si="422"/>
        <v>0.46638913504110946</v>
      </c>
      <c r="AA733" s="72">
        <f t="shared" si="423"/>
        <v>0.34946805497753997</v>
      </c>
      <c r="AB733" s="72">
        <f t="shared" si="424"/>
        <v>8.785575411599239E-2</v>
      </c>
      <c r="AC733" s="72"/>
      <c r="AD733" s="72"/>
      <c r="AE733" s="72">
        <f t="shared" si="425"/>
        <v>0.51448755066555973</v>
      </c>
      <c r="AF733" s="72">
        <f t="shared" si="426"/>
        <v>0.52087526683466534</v>
      </c>
      <c r="AG733" s="72">
        <f t="shared" si="427"/>
        <v>0.49149873236703662</v>
      </c>
      <c r="AH733" s="72">
        <f t="shared" si="428"/>
        <v>0.34327536967428085</v>
      </c>
      <c r="AI733" s="72">
        <f t="shared" si="429"/>
        <v>0.21429651029310476</v>
      </c>
      <c r="AJ733" s="72">
        <f>(AV733-Driver!$K$179)/(Driver!$L$179-Driver!$K$179)</f>
        <v>0.62347917170252187</v>
      </c>
      <c r="AK733" s="72">
        <f>(AW733-Driver!$K$180)/(Driver!$L$180-Driver!$K$180)</f>
        <v>0.36463744095725975</v>
      </c>
      <c r="AL733" s="72">
        <f>(AX733-Driver!$K$181)/(Driver!$L$181-Driver!$K$181)</f>
        <v>0.56807689875418965</v>
      </c>
      <c r="AM733" s="72">
        <f>(AY733-Driver!$K$182)/(Driver!$L$182-Driver!$K$182)</f>
        <v>9.7916966119506413E-2</v>
      </c>
      <c r="AN733" s="72">
        <f>(AZ733-Driver!$K$183)/(Driver!$L$183-Driver!$K$183)</f>
        <v>0.34207516339869282</v>
      </c>
      <c r="AO733" s="72"/>
      <c r="AP733" s="72"/>
      <c r="AQ733" s="72">
        <f>(BC733-Driver!$K$188)/(Driver!$L$188-Driver!$K$188)</f>
        <v>0.10551244933444021</v>
      </c>
      <c r="AR733" s="72">
        <f>MIN((BD733-Driver!$K$189)/(Driver!$L$189-Driver!$K$189),100%)</f>
        <v>2.912473316533469E-2</v>
      </c>
      <c r="AS733" s="72">
        <f>(BE733-Driver!$K$190)/(Driver!$L$190-Driver!$K$190)</f>
        <v>1.8501267632963381E-2</v>
      </c>
      <c r="AT733" s="72">
        <f>(BF733-Driver!$K$191)/(Driver!$L$191-Driver!$K$191)</f>
        <v>0.16672463032571916</v>
      </c>
      <c r="AU733" s="72">
        <f>(BG733-Driver!$K$192)/(Driver!$L$192-Driver!$K$192)</f>
        <v>3.5703489706895228E-2</v>
      </c>
      <c r="AV733" s="70">
        <f t="shared" si="430"/>
        <v>13.122371455704789</v>
      </c>
      <c r="AW733" s="70">
        <f t="shared" si="431"/>
        <v>37.409042259156195</v>
      </c>
      <c r="AX733" s="70">
        <f t="shared" si="432"/>
        <v>6.112692088787707</v>
      </c>
      <c r="AY733" s="70">
        <f>IFERROR(Driver!$K$19/Data!BH733/Data!BI733*Data!BK733*Data!BL733,"")</f>
        <v>0.119879582133189</v>
      </c>
      <c r="AZ733" s="70">
        <f t="shared" si="433"/>
        <v>31.176470588235297</v>
      </c>
      <c r="BA733" s="70"/>
      <c r="BB733" s="70"/>
      <c r="BC733" s="70">
        <f t="shared" si="434"/>
        <v>54.730040980421741</v>
      </c>
      <c r="BD733" s="70">
        <f t="shared" si="435"/>
        <v>4.2983101632563638</v>
      </c>
      <c r="BE733" s="70">
        <f t="shared" si="436"/>
        <v>1.8676355959578863E-2</v>
      </c>
      <c r="BF733" s="70">
        <f t="shared" si="437"/>
        <v>18.830375688470596</v>
      </c>
      <c r="BG733" s="70">
        <f t="shared" si="438"/>
        <v>0.13519618839442871</v>
      </c>
      <c r="BH733" s="67">
        <f>MAX((CE733-Driver!$F$200)/(Driver!$G$200-Driver!$F$200)*$BI$1,1)</f>
        <v>6.112692088787707</v>
      </c>
      <c r="BI733" s="67">
        <f>MAX($BI$1*(BY733-Driver!$F$201)/(Driver!$G$201-Driver!$F$201),1)</f>
        <v>6.7088607594936711</v>
      </c>
      <c r="BJ733" s="67">
        <f>(CB733-Driver!$F$206)/(Driver!$G$206-Driver!$F$206)*$BI$1</f>
        <v>8.412698412698413</v>
      </c>
      <c r="BK733" s="67">
        <f>(CD733-Driver!$F$203)/(Driver!$G$203-Driver!$F$203)*$BI$1</f>
        <v>5.0917431192660558</v>
      </c>
      <c r="BL733" s="67">
        <f>MAX((CR733-Driver!$F$202)/(Driver!$G$202-Driver!$F$202)*$BI$1,1)</f>
        <v>4.8275862068965516</v>
      </c>
      <c r="BM733" s="67">
        <f>MAX((CH733-Driver!$F$204)/(Driver!$G$204-Driver!$F$204)*$BI$1,1)</f>
        <v>6.2393162393162394</v>
      </c>
      <c r="BN733" s="67">
        <f>(CI733-Driver!$F$205)/(Driver!$G$205-Driver!$F$205)*$BI$1</f>
        <v>4.6470588235294121</v>
      </c>
      <c r="BO733" s="67">
        <f>(CK733-Driver!$F$207)/(Driver!$G$207-Driver!$F$207)*$BI$1</f>
        <v>2.8335056876938984</v>
      </c>
      <c r="BP733" s="67">
        <f>(CM733-Driver!$F$208)/(Driver!$G$208-Driver!$F$208)*$BI$1</f>
        <v>4.0222222222222221</v>
      </c>
      <c r="BQ733" s="67">
        <f>(CL733-Driver!$F$209)/(Driver!$G$209-Driver!$F$209)*$BI$1</f>
        <v>5.15625</v>
      </c>
      <c r="BR733" s="28" t="s">
        <v>155</v>
      </c>
      <c r="BS733" s="8" t="s">
        <v>208</v>
      </c>
      <c r="BT733" s="9" t="s">
        <v>414</v>
      </c>
      <c r="BU733" s="10">
        <v>189</v>
      </c>
      <c r="BV733" s="9" t="s">
        <v>158</v>
      </c>
      <c r="BW733" s="10">
        <v>189</v>
      </c>
      <c r="BX733" s="10">
        <v>188.4</v>
      </c>
      <c r="BY733" s="10">
        <v>114</v>
      </c>
      <c r="BZ733" s="10">
        <v>153</v>
      </c>
      <c r="CA733" s="10">
        <v>151</v>
      </c>
      <c r="CB733" s="10">
        <v>117</v>
      </c>
      <c r="CC733" s="10">
        <v>137</v>
      </c>
      <c r="CD733" s="10">
        <v>20.5</v>
      </c>
      <c r="CE733" s="10">
        <v>1974</v>
      </c>
      <c r="CF733" s="10">
        <v>1.21</v>
      </c>
      <c r="CG733" s="10">
        <v>2392</v>
      </c>
      <c r="CH733" s="10">
        <v>247</v>
      </c>
      <c r="CI733" s="10">
        <v>112</v>
      </c>
      <c r="CJ733" s="10">
        <v>52</v>
      </c>
      <c r="CK733" s="10">
        <v>384</v>
      </c>
      <c r="CL733" s="10">
        <v>33</v>
      </c>
      <c r="CM733" s="10">
        <v>362</v>
      </c>
      <c r="CN733" s="10">
        <v>0.63900000000000001</v>
      </c>
      <c r="CO733" s="10">
        <v>172</v>
      </c>
      <c r="CP733" s="10">
        <v>181</v>
      </c>
      <c r="CQ733" s="10">
        <v>212</v>
      </c>
      <c r="CR733" s="10">
        <v>3</v>
      </c>
      <c r="CS733" s="10">
        <v>7.4</v>
      </c>
      <c r="CT733" s="9" t="s">
        <v>169</v>
      </c>
      <c r="CU733" s="9" t="s">
        <v>185</v>
      </c>
      <c r="CV733" s="10"/>
      <c r="CW733" s="10"/>
      <c r="CX733" t="str">
        <f>INDEX('Data_Price '!AG$2:AG$1266,MATCH(Data!$DN733,'Data_Price '!$AT$2:$AT$1266,0))</f>
        <v>'22 Line Vision 118 Skis 189cm</v>
      </c>
      <c r="CY733" t="str">
        <f>INDEX('Data_Price '!AH$2:AH$1266,MATCH(Data!$DN733,'Data_Price '!$AT$2:$AT$1266,0))</f>
        <v>Al's Ski Equipment Barn</v>
      </c>
      <c r="CZ733">
        <f>INDEX('Data_Price '!AI$2:AI$1266,MATCH(Data!$DN733,'Data_Price '!$AT$2:$AT$1266,0))</f>
        <v>699.95</v>
      </c>
      <c r="DA733" t="str">
        <f>INDEX('Data_Price '!AJ$2:AJ$1266,MATCH(Data!$DN733,'Data_Price '!$AT$2:$AT$1266,0))</f>
        <v>https://tinyurl.com/ya23bczm</v>
      </c>
      <c r="DB733" t="str">
        <f>INDEX('Data_Price '!AK$2:AK$1266,MATCH(Data!$DN733,'Data_Price '!$AT$2:$AT$1266,0))</f>
        <v>2022 Line Vision 118 Skis w/ Marker Griffon 13 ID Bindings - 189| Ski Essentials</v>
      </c>
      <c r="DC733" t="str">
        <f>INDEX('Data_Price '!AL$2:AL$1266,MATCH(Data!$DN733,'Data_Price '!$AT$2:$AT$1266,0))</f>
        <v>SkiEssentials.com</v>
      </c>
      <c r="DD733">
        <f>INDEX('Data_Price '!AM$2:AM$1266,MATCH(Data!$DN733,'Data_Price '!$AT$2:$AT$1266,0))</f>
        <v>969.95</v>
      </c>
      <c r="DE733" t="str">
        <f>INDEX('Data_Price '!AN$2:AN$1266,MATCH(Data!$DN733,'Data_Price '!$AT$2:$AT$1266,0))</f>
        <v>https://tinyurl.com/yd2zepy5</v>
      </c>
      <c r="DF733" t="str">
        <f>INDEX('Data_Price '!AO$2:AO$1266,MATCH(Data!$DN733,'Data_Price '!$AT$2:$AT$1266,0))</f>
        <v>Line VISION 108 Skis 2022</v>
      </c>
      <c r="DG733" t="str">
        <f>INDEX('Data_Price '!AP$2:AP$1266,MATCH(Data!$DN733,'Data_Price '!$AT$2:$AT$1266,0))</f>
        <v>PRFO Sports</v>
      </c>
      <c r="DH733">
        <f>INDEX('Data_Price '!AQ$2:AQ$1266,MATCH(Data!$DN733,'Data_Price '!$AT$2:$AT$1266,0))</f>
        <v>513.09</v>
      </c>
      <c r="DI733" t="str">
        <f>INDEX('Data_Price '!AR$2:AR$1266,MATCH(Data!$DN733,'Data_Price '!$AT$2:$AT$1266,0))</f>
        <v>https://tinyurl.com/yd84brxf</v>
      </c>
      <c r="DJ733" s="89" t="str">
        <f t="shared" si="439"/>
        <v>https://tinyurl.com/ya23bczm</v>
      </c>
      <c r="DK733" s="89" t="str">
        <f t="shared" si="440"/>
        <v>https://tinyurl.com/yd2zepy5</v>
      </c>
      <c r="DL733" s="89" t="str">
        <f t="shared" si="441"/>
        <v>https://tinyurl.com/yd84brxf</v>
      </c>
      <c r="DM733" s="219" t="str">
        <f t="shared" si="442"/>
        <v>Vision 118</v>
      </c>
      <c r="DN733" s="89" t="str">
        <f t="shared" si="443"/>
        <v xml:space="preserve"> LineVision 118189 Unisex</v>
      </c>
      <c r="DO733" s="221" t="s">
        <v>415</v>
      </c>
    </row>
    <row r="734" spans="1:119" ht="15.6" customHeight="1">
      <c r="B734" s="219" t="b">
        <f t="array" ref="B734">IF(OR(ISERROR(K734:P734)),FALSE,TRUE)</f>
        <v>1</v>
      </c>
      <c r="C734" s="43" t="b">
        <f>OR(BR734=Driver!$G$50,Data!BR586=Driver!$H$50)</f>
        <v>1</v>
      </c>
      <c r="D734" s="43" t="b">
        <f>OR(BV734=Driver!$G$51,BV734=Driver!$H$51)</f>
        <v>1</v>
      </c>
      <c r="E734" s="43" t="b">
        <f>AND(BX734&gt;Driver!$F$54,BX734&lt;Driver!$G$54)</f>
        <v>0</v>
      </c>
      <c r="F734" s="43" t="b">
        <f>CL734&gt;Driver!$F$56</f>
        <v>1</v>
      </c>
      <c r="G734" s="43" t="b">
        <f>AND(CB734&gt;Driver!$F$55,CB734&lt;Driver!$G$55)</f>
        <v>0</v>
      </c>
      <c r="H734" s="43" t="b">
        <f t="shared" si="407"/>
        <v>0</v>
      </c>
      <c r="I734" s="43">
        <f t="shared" si="408"/>
        <v>0</v>
      </c>
      <c r="J734" s="43" t="b">
        <f t="array" ref="J734">NOT(OR(($H$9:$H$1273=TRUE)*($I$9:$I$1273&gt;0)*($BT$9:$BT$1273=BT734)*($K$9:$K$1273&gt;K734)))</f>
        <v>1</v>
      </c>
      <c r="K734" s="72">
        <f t="shared" si="409"/>
        <v>0.75487470344135066</v>
      </c>
      <c r="L734" s="72">
        <f t="shared" si="410"/>
        <v>0.86230900722001413</v>
      </c>
      <c r="M734" s="72">
        <f t="shared" si="411"/>
        <v>0.64744039966268718</v>
      </c>
      <c r="N734" s="72">
        <f t="shared" si="412"/>
        <v>0.58609932382185137</v>
      </c>
      <c r="O734" s="72">
        <f t="shared" si="413"/>
        <v>0.62814625673318281</v>
      </c>
      <c r="P734" s="72">
        <f t="shared" si="414"/>
        <v>0.72807561843302726</v>
      </c>
      <c r="Q734" s="72"/>
      <c r="R734" s="72"/>
      <c r="S734" s="72">
        <f t="shared" si="415"/>
        <v>0.52111976398338911</v>
      </c>
      <c r="T734" s="72">
        <f t="shared" si="416"/>
        <v>0.56126348438679285</v>
      </c>
      <c r="U734" s="72">
        <f t="shared" si="417"/>
        <v>0.56467323139296677</v>
      </c>
      <c r="V734" s="72">
        <f t="shared" si="418"/>
        <v>0.57014341740017738</v>
      </c>
      <c r="W734" s="72">
        <f t="shared" si="419"/>
        <v>0.77027258484253014</v>
      </c>
      <c r="X734" s="72">
        <f t="shared" si="420"/>
        <v>0.13769099277998581</v>
      </c>
      <c r="Y734" s="72">
        <f t="shared" si="421"/>
        <v>0.35255960033731282</v>
      </c>
      <c r="Z734" s="72">
        <f t="shared" si="422"/>
        <v>0.41390067617814863</v>
      </c>
      <c r="AA734" s="72">
        <f t="shared" si="423"/>
        <v>0.37185374326681714</v>
      </c>
      <c r="AB734" s="72">
        <f t="shared" si="424"/>
        <v>0.27192438156697279</v>
      </c>
      <c r="AC734" s="72"/>
      <c r="AD734" s="72"/>
      <c r="AE734" s="72">
        <f t="shared" si="425"/>
        <v>0.47888023601661095</v>
      </c>
      <c r="AF734" s="72">
        <f t="shared" si="426"/>
        <v>0.43873651561320715</v>
      </c>
      <c r="AG734" s="72">
        <f t="shared" si="427"/>
        <v>0.43532676860703318</v>
      </c>
      <c r="AH734" s="72">
        <f t="shared" si="428"/>
        <v>0.42985658259982268</v>
      </c>
      <c r="AI734" s="72">
        <f t="shared" si="429"/>
        <v>0.22972741515746986</v>
      </c>
      <c r="AJ734" s="72">
        <f>(AV734-Driver!$K$179)/(Driver!$L$179-Driver!$K$179)</f>
        <v>0.39191040206268624</v>
      </c>
      <c r="AK734" s="72">
        <f>(AW734-Driver!$K$180)/(Driver!$L$180-Driver!$K$180)</f>
        <v>0.53164197871717755</v>
      </c>
      <c r="AL734" s="72">
        <f>(AX734-Driver!$K$181)/(Driver!$L$181-Driver!$K$181)</f>
        <v>0.51558843989122882</v>
      </c>
      <c r="AM734" s="72">
        <f>(AY734-Driver!$K$182)/(Driver!$L$182-Driver!$K$182)</f>
        <v>7.5531277830229226E-2</v>
      </c>
      <c r="AN734" s="72">
        <f>(AZ734-Driver!$K$183)/(Driver!$L$183-Driver!$K$183)</f>
        <v>0.52614379084967322</v>
      </c>
      <c r="AO734" s="72"/>
      <c r="AP734" s="72"/>
      <c r="AQ734" s="72">
        <f>(BC734-Driver!$K$188)/(Driver!$L$188-Driver!$K$188)</f>
        <v>0.14111976398338905</v>
      </c>
      <c r="AR734" s="72">
        <f>MIN((BD734-Driver!$K$189)/(Driver!$L$189-Driver!$K$189),100%)</f>
        <v>0.11126348438679293</v>
      </c>
      <c r="AS734" s="72">
        <f>(BE734-Driver!$K$190)/(Driver!$L$190-Driver!$K$190)</f>
        <v>7.4673231392966846E-2</v>
      </c>
      <c r="AT734" s="72">
        <f>(BF734-Driver!$K$191)/(Driver!$L$191-Driver!$K$191)</f>
        <v>8.0143417400177344E-2</v>
      </c>
      <c r="AU734" s="72">
        <f>(BG734-Driver!$K$192)/(Driver!$L$192-Driver!$K$192)</f>
        <v>2.0272584842530139E-2</v>
      </c>
      <c r="AV734" s="70">
        <f t="shared" si="430"/>
        <v>8.2485415818749139</v>
      </c>
      <c r="AW734" s="70">
        <f t="shared" si="431"/>
        <v>53.685114274603528</v>
      </c>
      <c r="AX734" s="70">
        <f t="shared" si="432"/>
        <v>5.6402959590210591</v>
      </c>
      <c r="AY734" s="70">
        <f>IFERROR(Driver!$K$19/Data!BH734/Data!BI734*Data!BK734*Data!BL734,"")</f>
        <v>9.2472820422383056E-2</v>
      </c>
      <c r="AZ734" s="70">
        <f t="shared" si="433"/>
        <v>47.952345495160088</v>
      </c>
      <c r="BA734" s="70"/>
      <c r="BB734" s="70"/>
      <c r="BC734" s="70">
        <f t="shared" si="434"/>
        <v>73.199802626866983</v>
      </c>
      <c r="BD734" s="70">
        <f t="shared" si="435"/>
        <v>11.567444105100382</v>
      </c>
      <c r="BE734" s="70">
        <f t="shared" si="436"/>
        <v>7.4838299273489936E-2</v>
      </c>
      <c r="BF734" s="70">
        <f t="shared" si="437"/>
        <v>9.0516359559769874</v>
      </c>
      <c r="BG734" s="70">
        <f t="shared" si="438"/>
        <v>7.6764938724839346E-2</v>
      </c>
      <c r="BH734" s="67">
        <f>MAX((CE734-Driver!$F$200)/(Driver!$G$200-Driver!$F$200)*$BI$1,1)</f>
        <v>5.6402959590210591</v>
      </c>
      <c r="BI734" s="67">
        <f>MAX($BI$1*(BY734-Driver!$F$201)/(Driver!$G$201-Driver!$F$201),1)</f>
        <v>7.2784810126582276</v>
      </c>
      <c r="BJ734" s="67">
        <f>(CB734-Driver!$F$206)/(Driver!$G$206-Driver!$F$206)*$BI$1</f>
        <v>5.0793650793650791</v>
      </c>
      <c r="BK734" s="67">
        <f>(CD734-Driver!$F$203)/(Driver!$G$203-Driver!$F$203)*$BI$1</f>
        <v>3.4403669724770634</v>
      </c>
      <c r="BL734" s="67">
        <f>MAX((CR734-Driver!$F$202)/(Driver!$G$202-Driver!$F$202)*$BI$1,1)</f>
        <v>5.5172413793103452</v>
      </c>
      <c r="BM734" s="67">
        <f>MAX((CH734-Driver!$F$204)/(Driver!$G$204-Driver!$F$204)*$BI$1,1)</f>
        <v>6.4957264957264957</v>
      </c>
      <c r="BN734" s="67">
        <f>(CI734-Driver!$F$205)/(Driver!$G$205-Driver!$F$205)*$BI$1</f>
        <v>6.5882352941176467</v>
      </c>
      <c r="BO734" s="67">
        <f>(CK734-Driver!$F$207)/(Driver!$G$207-Driver!$F$207)*$BI$1</f>
        <v>2.4095139607032054</v>
      </c>
      <c r="BP734" s="67">
        <f>(CM734-Driver!$F$208)/(Driver!$G$208-Driver!$F$208)*$BI$1</f>
        <v>2.5444444444444443</v>
      </c>
      <c r="BQ734" s="67">
        <f>(CL734-Driver!$F$209)/(Driver!$G$209-Driver!$F$209)*$BI$1</f>
        <v>2.8125</v>
      </c>
      <c r="BR734" s="28" t="s">
        <v>155</v>
      </c>
      <c r="BS734" s="8" t="s">
        <v>245</v>
      </c>
      <c r="BT734" s="9" t="s">
        <v>513</v>
      </c>
      <c r="BU734" s="10">
        <v>181</v>
      </c>
      <c r="BV734" s="9" t="s">
        <v>158</v>
      </c>
      <c r="BW734" s="10">
        <v>181</v>
      </c>
      <c r="BX734" s="10">
        <v>180.2</v>
      </c>
      <c r="BY734" s="10">
        <v>123</v>
      </c>
      <c r="BZ734" s="10">
        <v>152</v>
      </c>
      <c r="CA734" s="10">
        <v>129</v>
      </c>
      <c r="CB734" s="10">
        <v>96</v>
      </c>
      <c r="CC734" s="10">
        <v>121</v>
      </c>
      <c r="CD734" s="10">
        <v>16.899999999999999</v>
      </c>
      <c r="CE734" s="10">
        <v>1891</v>
      </c>
      <c r="CF734" s="10">
        <v>1.04</v>
      </c>
      <c r="CG734" s="10">
        <v>1962</v>
      </c>
      <c r="CH734" s="10">
        <v>253</v>
      </c>
      <c r="CI734" s="10">
        <v>145</v>
      </c>
      <c r="CJ734" s="10">
        <v>52</v>
      </c>
      <c r="CK734" s="10">
        <v>343</v>
      </c>
      <c r="CL734" s="10">
        <v>18</v>
      </c>
      <c r="CM734" s="10">
        <v>229</v>
      </c>
      <c r="CN734" s="10">
        <v>0.34699999999999998</v>
      </c>
      <c r="CO734" s="10">
        <v>140</v>
      </c>
      <c r="CP734" s="10">
        <v>138</v>
      </c>
      <c r="CQ734" s="10">
        <v>203</v>
      </c>
      <c r="CR734" s="10">
        <v>5</v>
      </c>
      <c r="CS734" s="10">
        <v>9.6999999999999993</v>
      </c>
      <c r="CT734" s="9" t="s">
        <v>188</v>
      </c>
      <c r="CU734" s="10"/>
      <c r="CV734" s="10"/>
      <c r="CW734" s="10"/>
      <c r="CX734" t="str">
        <f>INDEX('Data_Price '!AG$2:AG$1266,MATCH(Data!$DN734,'Data_Price '!$AT$2:$AT$1266,0))</f>
        <v>Fischer Ranger 99 Ti Dark Green 181 Ski Men</v>
      </c>
      <c r="CY734" t="str">
        <f>INDEX('Data_Price '!AH$2:AH$1266,MATCH(Data!$DN734,'Data_Price '!$AT$2:$AT$1266,0))</f>
        <v>! OutdoorXL.com</v>
      </c>
      <c r="CZ734">
        <f>INDEX('Data_Price '!AI$2:AI$1266,MATCH(Data!$DN734,'Data_Price '!$AT$2:$AT$1266,0))</f>
        <v>469.95</v>
      </c>
      <c r="DA734" t="str">
        <f>INDEX('Data_Price '!AJ$2:AJ$1266,MATCH(Data!$DN734,'Data_Price '!$AT$2:$AT$1266,0))</f>
        <v>https://tinyurl.com/y8zev7fh</v>
      </c>
      <c r="DB734" t="str">
        <f>INDEX('Data_Price '!AK$2:AK$1266,MATCH(Data!$DN734,'Data_Price '!$AT$2:$AT$1266,0))</f>
        <v>Fischer Ranger 99 Ti Skis 2022</v>
      </c>
      <c r="DC734" t="str">
        <f>INDEX('Data_Price '!AL$2:AL$1266,MATCH(Data!$DN734,'Data_Price '!$AT$2:$AT$1266,0))</f>
        <v>Level Nine Sports</v>
      </c>
      <c r="DD734">
        <f>INDEX('Data_Price '!AM$2:AM$1266,MATCH(Data!$DN734,'Data_Price '!$AT$2:$AT$1266,0))</f>
        <v>499.99</v>
      </c>
      <c r="DE734" t="str">
        <f>INDEX('Data_Price '!AN$2:AN$1266,MATCH(Data!$DN734,'Data_Price '!$AT$2:$AT$1266,0))</f>
        <v>https://tinyurl.com/ycbkslf3</v>
      </c>
      <c r="DF734" t="str">
        <f>INDEX('Data_Price '!AO$2:AO$1266,MATCH(Data!$DN734,'Data_Price '!$AT$2:$AT$1266,0))</f>
        <v>Fischer Ranger 99 TI Flat Ski 2021-2022 | BLACK/YELLOW / 181</v>
      </c>
      <c r="DG734" t="str">
        <f>INDEX('Data_Price '!AP$2:AP$1266,MATCH(Data!$DN734,'Data_Price '!$AT$2:$AT$1266,0))</f>
        <v>Ski Pro  - Snow Ski &amp; Snowboard</v>
      </c>
      <c r="DH734">
        <f>INDEX('Data_Price '!AQ$2:AQ$1266,MATCH(Data!$DN734,'Data_Price '!$AT$2:$AT$1266,0))</f>
        <v>559.95000000000005</v>
      </c>
      <c r="DI734" t="str">
        <f>INDEX('Data_Price '!AR$2:AR$1266,MATCH(Data!$DN734,'Data_Price '!$AT$2:$AT$1266,0))</f>
        <v>https://tinyurl.com/y8dvd9me</v>
      </c>
      <c r="DJ734" s="89" t="str">
        <f t="shared" si="439"/>
        <v>https://tinyurl.com/y8zev7fh</v>
      </c>
      <c r="DK734" s="89" t="str">
        <f t="shared" si="440"/>
        <v>https://tinyurl.com/ycbkslf3</v>
      </c>
      <c r="DL734" s="89" t="str">
        <f t="shared" si="441"/>
        <v>https://tinyurl.com/y8dvd9me</v>
      </c>
      <c r="DM734" s="219" t="str">
        <f t="shared" si="442"/>
        <v>Ranger 99 Ti</v>
      </c>
      <c r="DN734" s="89" t="str">
        <f t="shared" si="443"/>
        <v xml:space="preserve"> FischerRanger 99 Ti181 Unisex</v>
      </c>
      <c r="DO734" s="221" t="s">
        <v>514</v>
      </c>
    </row>
    <row r="735" spans="1:119" ht="15.6" customHeight="1">
      <c r="A735" s="219">
        <f>ROW()</f>
        <v>735</v>
      </c>
      <c r="B735" s="219" t="b">
        <f t="array" ref="B735">IF(OR(ISERROR(K735:P735)),FALSE,TRUE)</f>
        <v>1</v>
      </c>
      <c r="C735" s="43" t="b">
        <f>OR(BR735=Driver!$G$50,Data!BR76=Driver!$H$50)</f>
        <v>1</v>
      </c>
      <c r="D735" s="43" t="b">
        <f>OR(BV735=Driver!$G$51,BV735=Driver!$H$51)</f>
        <v>1</v>
      </c>
      <c r="E735" s="43" t="b">
        <f>AND(BX735&gt;Driver!$F$54,BX735&lt;Driver!$G$54)</f>
        <v>1</v>
      </c>
      <c r="F735" s="43" t="b">
        <f>CL735&gt;Driver!$F$56</f>
        <v>1</v>
      </c>
      <c r="G735" s="43" t="b">
        <f>AND(CB735&gt;Driver!$F$55,CB735&lt;Driver!$G$55)</f>
        <v>0</v>
      </c>
      <c r="H735" s="43" t="b">
        <f t="shared" si="407"/>
        <v>0</v>
      </c>
      <c r="I735" s="43">
        <f t="shared" si="408"/>
        <v>0</v>
      </c>
      <c r="J735" s="43" t="b">
        <f t="array" ref="J735">NOT(OR(($H$9:$H$1273=TRUE)*($I$9:$I$1273&gt;0)*($BT$9:$BT$1273=BT735)*($K$9:$K$1273&gt;K735)))</f>
        <v>1</v>
      </c>
      <c r="K735" s="72">
        <f t="shared" si="409"/>
        <v>0.81701930276719714</v>
      </c>
      <c r="L735" s="72">
        <f t="shared" si="410"/>
        <v>0.91329328107262953</v>
      </c>
      <c r="M735" s="72">
        <f t="shared" si="411"/>
        <v>0.72074532446176476</v>
      </c>
      <c r="N735" s="72">
        <f t="shared" si="412"/>
        <v>0.62593996127205065</v>
      </c>
      <c r="O735" s="72">
        <f t="shared" si="413"/>
        <v>0.63038470244169587</v>
      </c>
      <c r="P735" s="72">
        <f t="shared" si="414"/>
        <v>0.90591130967154787</v>
      </c>
      <c r="Q735" s="72"/>
      <c r="R735" s="72"/>
      <c r="S735" s="72">
        <f t="shared" si="415"/>
        <v>0.43188031790402914</v>
      </c>
      <c r="T735" s="72">
        <f t="shared" si="416"/>
        <v>0.4781783347595443</v>
      </c>
      <c r="U735" s="72">
        <f t="shared" si="417"/>
        <v>0.56023876499371805</v>
      </c>
      <c r="V735" s="72">
        <f t="shared" si="418"/>
        <v>0.51979434437335215</v>
      </c>
      <c r="W735" s="72">
        <f t="shared" si="419"/>
        <v>0.8805803571428571</v>
      </c>
      <c r="X735" s="72">
        <f t="shared" si="420"/>
        <v>8.6706718927370502E-2</v>
      </c>
      <c r="Y735" s="72">
        <f t="shared" si="421"/>
        <v>0.27925467553823524</v>
      </c>
      <c r="Z735" s="72">
        <f t="shared" si="422"/>
        <v>0.37406003872794941</v>
      </c>
      <c r="AA735" s="72">
        <f t="shared" si="423"/>
        <v>0.36961529755830413</v>
      </c>
      <c r="AB735" s="72">
        <f t="shared" si="424"/>
        <v>9.4088690328452074E-2</v>
      </c>
      <c r="AC735" s="72"/>
      <c r="AD735" s="72"/>
      <c r="AE735" s="72">
        <f t="shared" si="425"/>
        <v>0.56811968209597086</v>
      </c>
      <c r="AF735" s="72">
        <f t="shared" si="426"/>
        <v>0.5218216652404557</v>
      </c>
      <c r="AG735" s="72">
        <f t="shared" si="427"/>
        <v>0.43976123500628195</v>
      </c>
      <c r="AH735" s="72">
        <f t="shared" si="428"/>
        <v>0.48020565562664785</v>
      </c>
      <c r="AI735" s="72">
        <f t="shared" si="429"/>
        <v>0.11941964285714288</v>
      </c>
      <c r="AJ735" s="72">
        <f>(AV735-Driver!$K$179)/(Driver!$L$179-Driver!$K$179)</f>
        <v>0.16751269035532992</v>
      </c>
      <c r="AK735" s="72">
        <f>(AW735-Driver!$K$180)/(Driver!$L$180-Driver!$K$180)</f>
        <v>0.1857116211516284</v>
      </c>
      <c r="AL735" s="72">
        <f>(AX735-Driver!$K$181)/(Driver!$L$181-Driver!$K$181)</f>
        <v>0.4757478024410296</v>
      </c>
      <c r="AM735" s="72">
        <f>(AY735-Driver!$K$182)/(Driver!$L$182-Driver!$K$182)</f>
        <v>7.7769723538742258E-2</v>
      </c>
      <c r="AN735" s="72">
        <f>(AZ735-Driver!$K$183)/(Driver!$L$183-Driver!$K$183)</f>
        <v>0.16013071895424835</v>
      </c>
      <c r="AO735" s="72"/>
      <c r="AP735" s="72"/>
      <c r="AQ735" s="72">
        <f>(BC735-Driver!$K$188)/(Driver!$L$188-Driver!$K$188)</f>
        <v>5.1880317904029132E-2</v>
      </c>
      <c r="AR735" s="72">
        <f>MIN((BD735-Driver!$K$189)/(Driver!$L$189-Driver!$K$189),100%)</f>
        <v>2.8178334759544361E-2</v>
      </c>
      <c r="AS735" s="72">
        <f>(BE735-Driver!$K$190)/(Driver!$L$190-Driver!$K$190)</f>
        <v>7.0238764993718047E-2</v>
      </c>
      <c r="AT735" s="72">
        <f>(BF735-Driver!$K$191)/(Driver!$L$191-Driver!$K$191)</f>
        <v>2.9794344373352155E-2</v>
      </c>
      <c r="AU735" s="72">
        <f>(BG735-Driver!$K$192)/(Driver!$L$192-Driver!$K$192)</f>
        <v>0.13058035714285712</v>
      </c>
      <c r="AV735" s="70">
        <f t="shared" si="430"/>
        <v>3.5256410256410255</v>
      </c>
      <c r="AW735" s="70">
        <f t="shared" si="431"/>
        <v>19.97113567504924</v>
      </c>
      <c r="AX735" s="70">
        <f t="shared" si="432"/>
        <v>5.2817302219692666</v>
      </c>
      <c r="AY735" s="70">
        <f>IFERROR(Driver!$K$19/Data!BH827/Data!BI827*Data!BK827*Data!BL827,"")</f>
        <v>9.5213345857340495E-2</v>
      </c>
      <c r="AZ735" s="70">
        <f t="shared" si="433"/>
        <v>14.594192107222634</v>
      </c>
      <c r="BA735" s="70"/>
      <c r="BB735" s="70"/>
      <c r="BC735" s="70">
        <f t="shared" si="434"/>
        <v>26.910681562938684</v>
      </c>
      <c r="BD735" s="70">
        <f t="shared" si="435"/>
        <v>4.2145555812626663</v>
      </c>
      <c r="BE735" s="70">
        <f t="shared" si="436"/>
        <v>7.0404623933134708E-2</v>
      </c>
      <c r="BF735" s="70">
        <f t="shared" si="437"/>
        <v>3.3650618798543799</v>
      </c>
      <c r="BG735" s="70">
        <f t="shared" si="438"/>
        <v>0.49446053340517238</v>
      </c>
      <c r="BH735" s="67">
        <f>MAX((CE735-Driver!$F$200)/(Driver!$G$200-Driver!$F$200)*$BI$1,1)</f>
        <v>5.2817302219692666</v>
      </c>
      <c r="BI735" s="67">
        <f>MAX($BI$1*(BY735-Driver!$F$201)/(Driver!$G$201-Driver!$F$201),1)</f>
        <v>7.0886075949367084</v>
      </c>
      <c r="BJ735" s="67">
        <f>(CB735-Driver!$F$206)/(Driver!$G$206-Driver!$F$206)*$BI$1</f>
        <v>5.2380952380952381</v>
      </c>
      <c r="BK735" s="67">
        <f>(CD735-Driver!$F$203)/(Driver!$G$203-Driver!$F$203)*$BI$1</f>
        <v>4.2201834862385326</v>
      </c>
      <c r="BL735" s="67">
        <f>MAX((CR735-Driver!$F$202)/(Driver!$G$202-Driver!$F$202)*$BI$1,1)</f>
        <v>6.5517241379310338</v>
      </c>
      <c r="BM735" s="67">
        <f>MAX((CH735-Driver!$F$204)/(Driver!$G$204-Driver!$F$204)*$BI$1,1)</f>
        <v>2.6923076923076921</v>
      </c>
      <c r="BN735" s="67">
        <f>(CI735-Driver!$F$205)/(Driver!$G$205-Driver!$F$205)*$BI$1</f>
        <v>2.0588235294117645</v>
      </c>
      <c r="BO735" s="67">
        <f>(CK735-Driver!$F$207)/(Driver!$G$207-Driver!$F$207)*$BI$1</f>
        <v>1.4788004136504653</v>
      </c>
      <c r="BP735" s="67">
        <f>(CM735-Driver!$F$208)/(Driver!$G$208-Driver!$F$208)*$BI$1</f>
        <v>1.8333333333333333</v>
      </c>
      <c r="BQ735" s="67">
        <f>(CL735-Driver!$F$209)/(Driver!$G$209-Driver!$F$209)*$BI$1</f>
        <v>7.03125</v>
      </c>
      <c r="BR735" s="28" t="s">
        <v>155</v>
      </c>
      <c r="BS735" s="8" t="s">
        <v>182</v>
      </c>
      <c r="BT735" s="9" t="s">
        <v>537</v>
      </c>
      <c r="BU735" s="10">
        <v>164</v>
      </c>
      <c r="BV735" s="9" t="s">
        <v>158</v>
      </c>
      <c r="BW735" s="10">
        <v>164</v>
      </c>
      <c r="BX735" s="10">
        <v>162.1</v>
      </c>
      <c r="BY735" s="10">
        <v>120</v>
      </c>
      <c r="BZ735" s="10">
        <v>143</v>
      </c>
      <c r="CA735" s="10">
        <v>128</v>
      </c>
      <c r="CB735" s="10">
        <v>97</v>
      </c>
      <c r="CC735" s="10">
        <v>119</v>
      </c>
      <c r="CD735" s="10">
        <v>18.600000000000001</v>
      </c>
      <c r="CE735" s="10">
        <v>1828</v>
      </c>
      <c r="CF735" s="10">
        <v>0.94</v>
      </c>
      <c r="CG735" s="10">
        <v>1720</v>
      </c>
      <c r="CH735" s="10">
        <v>164</v>
      </c>
      <c r="CI735" s="10">
        <v>68</v>
      </c>
      <c r="CJ735" s="10">
        <v>48</v>
      </c>
      <c r="CK735" s="10">
        <v>253</v>
      </c>
      <c r="CL735" s="10">
        <v>45</v>
      </c>
      <c r="CM735" s="10">
        <v>165</v>
      </c>
      <c r="CN735" s="10">
        <v>0.94699999999999995</v>
      </c>
      <c r="CO735" s="10">
        <v>93</v>
      </c>
      <c r="CP735" s="10">
        <v>102</v>
      </c>
      <c r="CQ735" s="10">
        <v>160</v>
      </c>
      <c r="CR735" s="10">
        <v>8</v>
      </c>
      <c r="CS735" s="10">
        <v>2.2999999999999998</v>
      </c>
      <c r="CT735" s="9" t="s">
        <v>184</v>
      </c>
      <c r="CU735" s="10"/>
      <c r="CV735" s="10"/>
      <c r="CW735" s="10"/>
      <c r="CX735" t="str">
        <f>INDEX('Data_Price '!AG$2:AG$1266,MATCH(Data!$DN735,'Data_Price '!$AT$2:$AT$1266,0))</f>
        <v>Black Crows Camox Birdie</v>
      </c>
      <c r="CY735" t="str">
        <f>INDEX('Data_Price '!AH$2:AH$1266,MATCH(Data!$DN735,'Data_Price '!$AT$2:$AT$1266,0))</f>
        <v>Varuste.net</v>
      </c>
      <c r="CZ735">
        <f>INDEX('Data_Price '!AI$2:AI$1266,MATCH(Data!$DN735,'Data_Price '!$AT$2:$AT$1266,0))</f>
        <v>413.3</v>
      </c>
      <c r="DA735" t="str">
        <f>INDEX('Data_Price '!AJ$2:AJ$1266,MATCH(Data!$DN735,'Data_Price '!$AT$2:$AT$1266,0))</f>
        <v>https://tinyurl.com/yb4z43dp</v>
      </c>
      <c r="DB735" t="str">
        <f>INDEX('Data_Price '!AK$2:AK$1266,MATCH(Data!$DN735,'Data_Price '!$AT$2:$AT$1266,0))</f>
        <v>Black Crows Camox Birdie</v>
      </c>
      <c r="DC735" t="str">
        <f>INDEX('Data_Price '!AL$2:AL$1266,MATCH(Data!$DN735,'Data_Price '!$AT$2:$AT$1266,0))</f>
        <v>! OutdoorXL.com</v>
      </c>
      <c r="DD735">
        <f>INDEX('Data_Price '!AM$2:AM$1266,MATCH(Data!$DN735,'Data_Price '!$AT$2:$AT$1266,0))</f>
        <v>514.95000000000005</v>
      </c>
      <c r="DE735" t="str">
        <f>INDEX('Data_Price '!AN$2:AN$1266,MATCH(Data!$DN735,'Data_Price '!$AT$2:$AT$1266,0))</f>
        <v>https://tinyurl.com/ycjzjcs2</v>
      </c>
      <c r="DF735" t="str">
        <f>INDEX('Data_Price '!AO$2:AO$1266,MATCH(Data!$DN735,'Data_Price '!$AT$2:$AT$1266,0))</f>
        <v>Black Crows Camox Birdie Women's Skis 162cm 2022</v>
      </c>
      <c r="DG735" t="str">
        <f>INDEX('Data_Price '!AP$2:AP$1266,MATCH(Data!$DN735,'Data_Price '!$AT$2:$AT$1266,0))</f>
        <v>Powder7 Ski Shop</v>
      </c>
      <c r="DH735">
        <f>INDEX('Data_Price '!AQ$2:AQ$1266,MATCH(Data!$DN735,'Data_Price '!$AT$2:$AT$1266,0))</f>
        <v>575.92999999999995</v>
      </c>
      <c r="DI735" t="str">
        <f>INDEX('Data_Price '!AR$2:AR$1266,MATCH(Data!$DN735,'Data_Price '!$AT$2:$AT$1266,0))</f>
        <v>https://tinyurl.com/y78qazw9</v>
      </c>
      <c r="DJ735" s="89" t="str">
        <f t="shared" si="439"/>
        <v>https://tinyurl.com/yb4z43dp</v>
      </c>
      <c r="DK735" s="89" t="str">
        <f t="shared" si="440"/>
        <v>https://tinyurl.com/ycjzjcs2</v>
      </c>
      <c r="DL735" s="89" t="str">
        <f t="shared" si="441"/>
        <v>https://tinyurl.com/y78qazw9</v>
      </c>
      <c r="DM735" s="219" t="str">
        <f t="shared" si="442"/>
        <v>Edollo</v>
      </c>
      <c r="DN735" s="89" t="str">
        <f t="shared" si="443"/>
        <v xml:space="preserve"> ArmadaEdollo164 Unisex</v>
      </c>
      <c r="DO735" s="221" t="s">
        <v>643</v>
      </c>
    </row>
    <row r="736" spans="1:119" ht="15.6" customHeight="1">
      <c r="B736" s="219" t="b">
        <f t="array" ref="B736">IF(OR(ISERROR(K736:P736)),FALSE,TRUE)</f>
        <v>1</v>
      </c>
      <c r="C736" s="43" t="b">
        <f>OR(BR736=Driver!$G$50,Data!BR318=Driver!$H$50)</f>
        <v>1</v>
      </c>
      <c r="D736" s="43" t="b">
        <f>OR(BV736=Driver!$G$51,BV736=Driver!$H$51)</f>
        <v>1</v>
      </c>
      <c r="E736" s="43" t="b">
        <f>AND(BX736&gt;Driver!$F$54,BX736&lt;Driver!$G$54)</f>
        <v>1</v>
      </c>
      <c r="F736" s="43" t="b">
        <f>CL736&gt;Driver!$F$56</f>
        <v>1</v>
      </c>
      <c r="G736" s="43" t="b">
        <f>AND(CB736&gt;Driver!$F$55,CB736&lt;Driver!$G$55)</f>
        <v>1</v>
      </c>
      <c r="H736" s="43" t="b">
        <f t="shared" si="407"/>
        <v>1</v>
      </c>
      <c r="I736" s="43">
        <f t="shared" si="408"/>
        <v>1</v>
      </c>
      <c r="J736" s="43" t="b">
        <f t="array" ref="J736">NOT(OR(($H$9:$H$1273=TRUE)*($I$9:$I$1273&gt;0)*($BT$9:$BT$1273=BT736)*($K$9:$K$1273&gt;K736)))</f>
        <v>1</v>
      </c>
      <c r="K736" s="72">
        <f t="shared" si="409"/>
        <v>0.90048021271190926</v>
      </c>
      <c r="L736" s="72">
        <f t="shared" si="410"/>
        <v>0.94479759176475742</v>
      </c>
      <c r="M736" s="72">
        <f t="shared" si="411"/>
        <v>0.8561628336590611</v>
      </c>
      <c r="N736" s="72">
        <f t="shared" si="412"/>
        <v>0.93264963053152072</v>
      </c>
      <c r="O736" s="72">
        <f t="shared" si="413"/>
        <v>0.77747658038195788</v>
      </c>
      <c r="P736" s="72">
        <f t="shared" si="414"/>
        <v>0.85836229006370479</v>
      </c>
      <c r="Q736" s="72"/>
      <c r="R736" s="72"/>
      <c r="S736" s="72">
        <f t="shared" si="415"/>
        <v>0.41399076558647774</v>
      </c>
      <c r="T736" s="72">
        <f t="shared" si="416"/>
        <v>0.44770837929522611</v>
      </c>
      <c r="U736" s="72">
        <f t="shared" si="417"/>
        <v>0.74500317644129277</v>
      </c>
      <c r="V736" s="72">
        <f t="shared" si="418"/>
        <v>0.53968536528029543</v>
      </c>
      <c r="W736" s="72">
        <f t="shared" si="419"/>
        <v>0.8501580135440181</v>
      </c>
      <c r="X736" s="72">
        <f t="shared" si="420"/>
        <v>5.5202408235242556E-2</v>
      </c>
      <c r="Y736" s="72">
        <f t="shared" si="421"/>
        <v>0.14383716634093888</v>
      </c>
      <c r="Z736" s="72">
        <f t="shared" si="422"/>
        <v>6.735036946847929E-2</v>
      </c>
      <c r="AA736" s="72">
        <f t="shared" si="423"/>
        <v>0.22252341961804212</v>
      </c>
      <c r="AB736" s="72">
        <f t="shared" si="424"/>
        <v>0.14163770993629521</v>
      </c>
      <c r="AC736" s="72"/>
      <c r="AD736" s="72"/>
      <c r="AE736" s="72">
        <f t="shared" si="425"/>
        <v>0.58600923441352226</v>
      </c>
      <c r="AF736" s="72">
        <f t="shared" si="426"/>
        <v>0.55229162070477389</v>
      </c>
      <c r="AG736" s="72">
        <f t="shared" si="427"/>
        <v>0.25499682355870718</v>
      </c>
      <c r="AH736" s="72">
        <f t="shared" si="428"/>
        <v>0.46031463471970457</v>
      </c>
      <c r="AI736" s="72">
        <f t="shared" si="429"/>
        <v>0.14984198645598196</v>
      </c>
      <c r="AJ736" s="72">
        <f>(AV736-Driver!$K$179)/(Driver!$L$179-Driver!$K$179)</f>
        <v>0.19901700104745787</v>
      </c>
      <c r="AK736" s="72">
        <f>(AW736-Driver!$K$180)/(Driver!$L$180-Driver!$K$180)</f>
        <v>0.1147700551750909</v>
      </c>
      <c r="AL736" s="72">
        <f>(AX736-Driver!$K$181)/(Driver!$L$181-Driver!$K$181)</f>
        <v>0.16903813318155947</v>
      </c>
      <c r="AM736" s="72">
        <f>(AY736-Driver!$K$182)/(Driver!$L$182-Driver!$K$182)</f>
        <v>0.22486160147900425</v>
      </c>
      <c r="AN736" s="72">
        <f>(AZ736-Driver!$K$183)/(Driver!$L$183-Driver!$K$183)</f>
        <v>0.11258169934640523</v>
      </c>
      <c r="AO736" s="72"/>
      <c r="AP736" s="72"/>
      <c r="AQ736" s="72">
        <f>(BC736-Driver!$K$188)/(Driver!$L$188-Driver!$K$188)</f>
        <v>3.3990765586477699E-2</v>
      </c>
      <c r="AR736" s="72">
        <f>MIN((BD736-Driver!$K$189)/(Driver!$L$189-Driver!$K$189),100%)</f>
        <v>-2.2916207047738485E-3</v>
      </c>
      <c r="AS736" s="72">
        <f>(BE736-Driver!$K$190)/(Driver!$L$190-Driver!$K$190)</f>
        <v>0.25500317644129283</v>
      </c>
      <c r="AT736" s="72">
        <f>(BF736-Driver!$K$191)/(Driver!$L$191-Driver!$K$191)</f>
        <v>4.9685365280295428E-2</v>
      </c>
      <c r="AU736" s="72">
        <f>(BG736-Driver!$K$192)/(Driver!$L$192-Driver!$K$192)</f>
        <v>0.10015801354401803</v>
      </c>
      <c r="AV736" s="70">
        <f t="shared" si="430"/>
        <v>4.1887125220458552</v>
      </c>
      <c r="AW736" s="70">
        <f t="shared" si="431"/>
        <v>13.057251464413998</v>
      </c>
      <c r="AX736" s="70">
        <f t="shared" si="432"/>
        <v>2.5213431986340353</v>
      </c>
      <c r="AY736" s="70">
        <f>IFERROR(Driver!$K$19/Data!BH736/Data!BI736*Data!BK736*Data!BL736,"")</f>
        <v>0.27529769243670055</v>
      </c>
      <c r="AZ736" s="70">
        <f t="shared" si="433"/>
        <v>10.260610573343262</v>
      </c>
      <c r="BA736" s="70"/>
      <c r="BB736" s="70"/>
      <c r="BC736" s="70">
        <f t="shared" si="434"/>
        <v>17.631246409674709</v>
      </c>
      <c r="BD736" s="70">
        <f t="shared" si="435"/>
        <v>1.518018512236857</v>
      </c>
      <c r="BE736" s="70">
        <f t="shared" si="436"/>
        <v>0.25513607548931927</v>
      </c>
      <c r="BF736" s="70">
        <f t="shared" si="437"/>
        <v>5.611612948962887</v>
      </c>
      <c r="BG736" s="70">
        <f t="shared" si="438"/>
        <v>0.37926213318284419</v>
      </c>
      <c r="BH736" s="67">
        <f>MAX((CE736-Driver!$F$200)/(Driver!$G$200-Driver!$F$200)*$BI$1,1)</f>
        <v>2.5213431986340353</v>
      </c>
      <c r="BI736" s="67">
        <f>MAX($BI$1*(BY736-Driver!$F$201)/(Driver!$G$201-Driver!$F$201),1)</f>
        <v>6.7088607594936711</v>
      </c>
      <c r="BJ736" s="67">
        <f>(CB736-Driver!$F$206)/(Driver!$G$206-Driver!$F$206)*$BI$1</f>
        <v>6.0317460317460316</v>
      </c>
      <c r="BK736" s="67">
        <f>(CD736-Driver!$F$203)/(Driver!$G$203-Driver!$F$203)*$BI$1</f>
        <v>4.2201834862385326</v>
      </c>
      <c r="BL736" s="67">
        <f>MAX((CR736-Driver!$F$202)/(Driver!$G$202-Driver!$F$202)*$BI$1,1)</f>
        <v>5.5172413793103452</v>
      </c>
      <c r="BM736" s="67">
        <f>MAX((CH736-Driver!$F$204)/(Driver!$G$204-Driver!$F$204)*$BI$1,1)</f>
        <v>2.7777777777777777</v>
      </c>
      <c r="BN736" s="67">
        <f>(CI736-Driver!$F$205)/(Driver!$G$205-Driver!$F$205)*$BI$1</f>
        <v>1.5294117647058825</v>
      </c>
      <c r="BO736" s="67">
        <f>(CK736-Driver!$F$207)/(Driver!$G$207-Driver!$F$207)*$BI$1</f>
        <v>2.0785935884177871</v>
      </c>
      <c r="BP736" s="67">
        <f>(CM736-Driver!$F$208)/(Driver!$G$208-Driver!$F$208)*$BI$1</f>
        <v>1.8888888888888888</v>
      </c>
      <c r="BQ736" s="67">
        <f>(CL736-Driver!$F$209)/(Driver!$G$209-Driver!$F$209)*$BI$1</f>
        <v>2.65625</v>
      </c>
      <c r="BR736" s="28" t="s">
        <v>155</v>
      </c>
      <c r="BS736" s="8" t="s">
        <v>317</v>
      </c>
      <c r="BT736" s="9" t="s">
        <v>432</v>
      </c>
      <c r="BU736" s="10">
        <v>164</v>
      </c>
      <c r="BV736" s="9" t="s">
        <v>158</v>
      </c>
      <c r="BW736" s="10">
        <v>164</v>
      </c>
      <c r="BX736" s="10">
        <v>162</v>
      </c>
      <c r="BY736" s="10">
        <v>114</v>
      </c>
      <c r="BZ736" s="10">
        <v>132</v>
      </c>
      <c r="CA736" s="10">
        <v>130</v>
      </c>
      <c r="CB736" s="10">
        <v>102</v>
      </c>
      <c r="CC736" s="10">
        <v>116</v>
      </c>
      <c r="CD736" s="10">
        <v>18.600000000000001</v>
      </c>
      <c r="CE736" s="10">
        <v>1343</v>
      </c>
      <c r="CF736" s="10">
        <v>1.33</v>
      </c>
      <c r="CG736" s="10">
        <v>1786</v>
      </c>
      <c r="CH736" s="10">
        <v>166</v>
      </c>
      <c r="CI736" s="10">
        <v>59</v>
      </c>
      <c r="CJ736" s="10">
        <v>58</v>
      </c>
      <c r="CK736" s="10">
        <v>311</v>
      </c>
      <c r="CL736" s="10">
        <v>17</v>
      </c>
      <c r="CM736" s="10">
        <v>170</v>
      </c>
      <c r="CN736" s="10">
        <v>0.28799999999999998</v>
      </c>
      <c r="CO736" s="10">
        <v>157</v>
      </c>
      <c r="CP736" s="10">
        <v>147</v>
      </c>
      <c r="CQ736" s="10">
        <v>155</v>
      </c>
      <c r="CR736" s="10">
        <v>5</v>
      </c>
      <c r="CS736" s="10">
        <v>8.9</v>
      </c>
      <c r="CT736" s="9" t="s">
        <v>178</v>
      </c>
      <c r="CU736" s="9" t="s">
        <v>185</v>
      </c>
      <c r="CV736" s="9" t="s">
        <v>198</v>
      </c>
      <c r="CW736" s="10"/>
      <c r="CX736" t="str">
        <f>INDEX('Data_Price '!AG$2:AG$1266,MATCH(Data!$DN736,'Data_Price '!$AT$2:$AT$1266,0))</f>
        <v>Blizzard Zero G 105 Ski 2021</v>
      </c>
      <c r="CY736" t="str">
        <f>INDEX('Data_Price '!AH$2:AH$1266,MATCH(Data!$DN736,'Data_Price '!$AT$2:$AT$1266,0))</f>
        <v>Telemark Pyrenees</v>
      </c>
      <c r="CZ736">
        <f>INDEX('Data_Price '!AI$2:AI$1266,MATCH(Data!$DN736,'Data_Price '!$AT$2:$AT$1266,0))</f>
        <v>365.82</v>
      </c>
      <c r="DA736" t="str">
        <f>INDEX('Data_Price '!AJ$2:AJ$1266,MATCH(Data!$DN736,'Data_Price '!$AT$2:$AT$1266,0))</f>
        <v>https://tinyurl.com/yapefzq2</v>
      </c>
      <c r="DB736" t="str">
        <f>INDEX('Data_Price '!AK$2:AK$1266,MATCH(Data!$DN736,'Data_Price '!$AT$2:$AT$1266,0))</f>
        <v>Blizzard Zero G 105 Backcountry Touring Ski 2022 164 / Deep Navy</v>
      </c>
      <c r="DC736" t="str">
        <f>INDEX('Data_Price '!AL$2:AL$1266,MATCH(Data!$DN736,'Data_Price '!$AT$2:$AT$1266,0))</f>
        <v>Ski The Whites</v>
      </c>
      <c r="DD736">
        <f>INDEX('Data_Price '!AM$2:AM$1266,MATCH(Data!$DN736,'Data_Price '!$AT$2:$AT$1266,0))</f>
        <v>639.99</v>
      </c>
      <c r="DE736" t="str">
        <f>INDEX('Data_Price '!AN$2:AN$1266,MATCH(Data!$DN736,'Data_Price '!$AT$2:$AT$1266,0))</f>
        <v>https://tinyurl.com/ybvswrnm</v>
      </c>
      <c r="DF736" t="str">
        <f>INDEX('Data_Price '!AO$2:AO$1266,MATCH(Data!$DN736,'Data_Price '!$AT$2:$AT$1266,0))</f>
        <v>Blizzard Zero G Approach 84 21/22</v>
      </c>
      <c r="DG736" t="str">
        <f>INDEX('Data_Price '!AP$2:AP$1266,MATCH(Data!$DN736,'Data_Price '!$AT$2:$AT$1266,0))</f>
        <v>Snowcountry.eu</v>
      </c>
      <c r="DH736">
        <f>INDEX('Data_Price '!AQ$2:AQ$1266,MATCH(Data!$DN736,'Data_Price '!$AT$2:$AT$1266,0))</f>
        <v>322.69</v>
      </c>
      <c r="DI736" t="str">
        <f>INDEX('Data_Price '!AR$2:AR$1266,MATCH(Data!$DN736,'Data_Price '!$AT$2:$AT$1266,0))</f>
        <v>https://tinyurl.com/y8zzfuwl</v>
      </c>
      <c r="DJ736" s="89" t="str">
        <f t="shared" si="439"/>
        <v>https://tinyurl.com/yapefzq2</v>
      </c>
      <c r="DK736" s="89" t="str">
        <f t="shared" si="440"/>
        <v>https://tinyurl.com/ybvswrnm</v>
      </c>
      <c r="DL736" s="89" t="str">
        <f t="shared" si="441"/>
        <v>https://tinyurl.com/y8zzfuwl</v>
      </c>
      <c r="DM736" s="219" t="str">
        <f t="shared" si="442"/>
        <v>Zero G 105</v>
      </c>
      <c r="DN736" s="89" t="str">
        <f t="shared" si="443"/>
        <v xml:space="preserve"> BlizzardZero G 105164 Unisex</v>
      </c>
      <c r="DO736" s="221" t="s">
        <v>433</v>
      </c>
    </row>
    <row r="737" spans="1:119" ht="15.6" customHeight="1">
      <c r="B737" s="219" t="b">
        <f t="array" ref="B737">IF(OR(ISERROR(K737:P737)),FALSE,TRUE)</f>
        <v>1</v>
      </c>
      <c r="C737" s="43" t="b">
        <f>OR(BR737=Driver!$G$50,Data!BR639=Driver!$H$50)</f>
        <v>1</v>
      </c>
      <c r="D737" s="43" t="b">
        <f>OR(BV737=Driver!$G$51,BV737=Driver!$H$51)</f>
        <v>0</v>
      </c>
      <c r="E737" s="43" t="b">
        <f>AND(BX737&gt;Driver!$F$54,BX737&lt;Driver!$G$54)</f>
        <v>1</v>
      </c>
      <c r="F737" s="43" t="b">
        <f>CL737&gt;Driver!$F$56</f>
        <v>1</v>
      </c>
      <c r="G737" s="43" t="b">
        <f>AND(CB737&gt;Driver!$F$55,CB737&lt;Driver!$G$55)</f>
        <v>0</v>
      </c>
      <c r="H737" s="43" t="b">
        <f t="shared" si="407"/>
        <v>0</v>
      </c>
      <c r="I737" s="43">
        <f t="shared" si="408"/>
        <v>0</v>
      </c>
      <c r="J737" s="43" t="b">
        <f t="array" ref="J737">NOT(OR(($H$9:$H$1273=TRUE)*($I$9:$I$1273&gt;0)*($BT$9:$BT$1273=BT737)*($K$9:$K$1273&gt;K737)))</f>
        <v>1</v>
      </c>
      <c r="K737" s="72">
        <f t="shared" si="409"/>
        <v>0.7482721646620909</v>
      </c>
      <c r="L737" s="72">
        <f t="shared" si="410"/>
        <v>0.75472426971174</v>
      </c>
      <c r="M737" s="72">
        <f t="shared" si="411"/>
        <v>0.7418200596124418</v>
      </c>
      <c r="N737" s="72">
        <f t="shared" si="412"/>
        <v>0.67083972728735453</v>
      </c>
      <c r="O737" s="72">
        <f t="shared" si="413"/>
        <v>0.5840032595254816</v>
      </c>
      <c r="P737" s="72">
        <f t="shared" si="414"/>
        <v>0.97061719202448904</v>
      </c>
      <c r="Q737" s="72"/>
      <c r="R737" s="72"/>
      <c r="S737" s="72">
        <f t="shared" si="415"/>
        <v>0.44302527419477089</v>
      </c>
      <c r="T737" s="72">
        <f t="shared" si="416"/>
        <v>0.55000000000000004</v>
      </c>
      <c r="U737" s="72">
        <f t="shared" si="417"/>
        <v>0.51</v>
      </c>
      <c r="V737" s="72">
        <f t="shared" si="418"/>
        <v>0.49092673618110949</v>
      </c>
      <c r="W737" s="72">
        <f t="shared" si="419"/>
        <v>0.81420259232394587</v>
      </c>
      <c r="X737" s="72">
        <f t="shared" si="420"/>
        <v>0.24527573028826002</v>
      </c>
      <c r="Y737" s="72">
        <f t="shared" si="421"/>
        <v>0.25817994038755826</v>
      </c>
      <c r="Z737" s="72">
        <f t="shared" si="422"/>
        <v>0.32916027271264547</v>
      </c>
      <c r="AA737" s="72">
        <f t="shared" si="423"/>
        <v>0.4159967404745184</v>
      </c>
      <c r="AB737" s="72">
        <f t="shared" si="424"/>
        <v>2.9382807975510905E-2</v>
      </c>
      <c r="AC737" s="72"/>
      <c r="AD737" s="72"/>
      <c r="AE737" s="72">
        <f t="shared" si="425"/>
        <v>0.55697472580522911</v>
      </c>
      <c r="AF737" s="72">
        <f t="shared" si="426"/>
        <v>0.44999999999999996</v>
      </c>
      <c r="AG737" s="72">
        <f t="shared" si="427"/>
        <v>0.49</v>
      </c>
      <c r="AH737" s="72">
        <f t="shared" si="428"/>
        <v>0.50907326381889051</v>
      </c>
      <c r="AI737" s="72">
        <f t="shared" si="429"/>
        <v>0.18579740767605413</v>
      </c>
      <c r="AJ737" s="72">
        <f>(AV737-Driver!$K$179)/(Driver!$L$179-Driver!$K$179)</f>
        <v>8.9436789944404137E-3</v>
      </c>
      <c r="AK737" s="72">
        <f>(AW737-Driver!$K$180)/(Driver!$L$180-Driver!$K$180)</f>
        <v>0.24149272001225008</v>
      </c>
      <c r="AL737" s="72">
        <f>(AX737-Driver!$K$181)/(Driver!$L$181-Driver!$K$181)</f>
        <v>0.43084803642572567</v>
      </c>
      <c r="AM737" s="72">
        <f>(AY737-Driver!$K$182)/(Driver!$L$182-Driver!$K$182)</f>
        <v>3.1388280622527992E-2</v>
      </c>
      <c r="AN737" s="72">
        <f>(AZ737-Driver!$K$183)/(Driver!$L$183-Driver!$K$183)</f>
        <v>0.22483660130718952</v>
      </c>
      <c r="AO737" s="72"/>
      <c r="AP737" s="72"/>
      <c r="AQ737" s="72">
        <f>(BC737-Driver!$K$188)/(Driver!$L$188-Driver!$K$188)</f>
        <v>6.3025274194770844E-2</v>
      </c>
      <c r="AR737" s="72">
        <f>MIN((BD737-Driver!$K$189)/(Driver!$L$189-Driver!$K$189),100%)</f>
        <v>1</v>
      </c>
      <c r="AS737" s="72">
        <f>(BE737-Driver!$K$190)/(Driver!$L$190-Driver!$K$190)</f>
        <v>1</v>
      </c>
      <c r="AT737" s="72">
        <f>(BF737-Driver!$K$191)/(Driver!$L$191-Driver!$K$191)</f>
        <v>9.2673618110952598E-4</v>
      </c>
      <c r="AU737" s="72">
        <f>(BG737-Driver!$K$192)/(Driver!$L$192-Driver!$K$192)</f>
        <v>6.4202592323945873E-2</v>
      </c>
      <c r="AV737" s="70">
        <f t="shared" si="430"/>
        <v>0.18823768823768822</v>
      </c>
      <c r="AW737" s="70">
        <f t="shared" si="431"/>
        <v>25.407498029834112</v>
      </c>
      <c r="AX737" s="70">
        <f t="shared" si="432"/>
        <v>4.877632327831531</v>
      </c>
      <c r="AY737" s="70">
        <f>IFERROR(Driver!$K$19/Data!BH737/Data!BI737*Data!BK737*Data!BL737,"")</f>
        <v>3.8428620841003826E-2</v>
      </c>
      <c r="AZ737" s="70">
        <f t="shared" si="433"/>
        <v>20.491437081161578</v>
      </c>
      <c r="BA737" s="70"/>
      <c r="BB737" s="70"/>
      <c r="BC737" s="70">
        <f t="shared" si="434"/>
        <v>32.691647869425566</v>
      </c>
      <c r="BD737" s="70">
        <f t="shared" si="435"/>
        <v>101.45920884689944</v>
      </c>
      <c r="BE737" s="70">
        <f t="shared" si="436"/>
        <v>1</v>
      </c>
      <c r="BF737" s="70">
        <f t="shared" si="437"/>
        <v>0.10466834096616928</v>
      </c>
      <c r="BG737" s="70">
        <f t="shared" si="438"/>
        <v>0.24311197136459678</v>
      </c>
      <c r="BH737" s="67">
        <f>MAX((CE737-Driver!$F$200)/(Driver!$G$200-Driver!$F$200)*$BI$1,1)</f>
        <v>4.877632327831531</v>
      </c>
      <c r="BI737" s="67">
        <f>MAX($BI$1*(BY737-Driver!$F$201)/(Driver!$G$201-Driver!$F$201),1)</f>
        <v>8.1012658227848107</v>
      </c>
      <c r="BJ737" s="67">
        <f>(CB737-Driver!$F$206)/(Driver!$G$206-Driver!$F$206)*$BI$1</f>
        <v>0.47619047619047616</v>
      </c>
      <c r="BK737" s="67">
        <f>(CD737-Driver!$F$203)/(Driver!$G$203-Driver!$F$203)*$BI$1</f>
        <v>1.1009174311926608</v>
      </c>
      <c r="BL737" s="67">
        <f>MAX((CR737-Driver!$F$202)/(Driver!$G$202-Driver!$F$202)*$BI$1,1)</f>
        <v>6.8965517241379315</v>
      </c>
      <c r="BM737" s="67">
        <f>MAX((CH737-Driver!$F$204)/(Driver!$G$204-Driver!$F$204)*$BI$1,1)</f>
        <v>1.5811965811965811</v>
      </c>
      <c r="BN737" s="67">
        <f>(CI737-Driver!$F$205)/(Driver!$G$205-Driver!$F$205)*$BI$1</f>
        <v>2.5294117647058822</v>
      </c>
      <c r="BO737" s="67">
        <f>(CK737-Driver!$F$207)/(Driver!$G$207-Driver!$F$207)*$BI$1</f>
        <v>0.27921406411582211</v>
      </c>
      <c r="BP737" s="67">
        <f>(CM737-Driver!$F$208)/(Driver!$G$208-Driver!$F$208)*$BI$1</f>
        <v>0.8666666666666667</v>
      </c>
      <c r="BQ737" s="67">
        <f>(CL737-Driver!$F$209)/(Driver!$G$209-Driver!$F$209)*$BI$1</f>
        <v>1.875</v>
      </c>
      <c r="BR737" s="28" t="s">
        <v>155</v>
      </c>
      <c r="BS737" s="8" t="s">
        <v>167</v>
      </c>
      <c r="BT737" s="9" t="s">
        <v>739</v>
      </c>
      <c r="BU737" s="10">
        <v>158</v>
      </c>
      <c r="BV737" s="9" t="s">
        <v>163</v>
      </c>
      <c r="BW737" s="10">
        <v>158</v>
      </c>
      <c r="BX737" s="10">
        <v>157.5</v>
      </c>
      <c r="BY737" s="10">
        <v>136</v>
      </c>
      <c r="BZ737" s="10">
        <v>142</v>
      </c>
      <c r="CA737" s="10">
        <v>121</v>
      </c>
      <c r="CB737" s="10">
        <v>67</v>
      </c>
      <c r="CC737" s="10">
        <v>101</v>
      </c>
      <c r="CD737" s="10">
        <v>11.8</v>
      </c>
      <c r="CE737" s="10">
        <v>1757</v>
      </c>
      <c r="CF737" s="10">
        <v>0.75</v>
      </c>
      <c r="CG737" s="10">
        <v>1310</v>
      </c>
      <c r="CH737" s="10">
        <v>138</v>
      </c>
      <c r="CI737" s="10">
        <v>76</v>
      </c>
      <c r="CJ737" s="10">
        <v>39</v>
      </c>
      <c r="CK737" s="10">
        <v>137</v>
      </c>
      <c r="CL737" s="10">
        <v>12</v>
      </c>
      <c r="CM737" s="10">
        <v>78</v>
      </c>
      <c r="CN737" s="10">
        <v>0.311</v>
      </c>
      <c r="CO737" s="10">
        <v>93</v>
      </c>
      <c r="CP737" s="10">
        <v>60</v>
      </c>
      <c r="CQ737" s="10">
        <v>45</v>
      </c>
      <c r="CR737" s="10">
        <v>9</v>
      </c>
      <c r="CS737" s="10">
        <v>9.1999999999999993</v>
      </c>
      <c r="CT737" s="9" t="s">
        <v>349</v>
      </c>
      <c r="CU737" s="10"/>
      <c r="CV737" s="10"/>
      <c r="CW737" s="10"/>
      <c r="CX737" t="str">
        <f>INDEX('Data_Price '!AG$2:AG$1266,MATCH(Data!$DN737,'Data_Price '!$AT$2:$AT$1266,0))</f>
        <v>2022 Head Power Joy Women's Demo Skis w/ Joy 12 GW PRD Bindings - 158| Ski Essentials</v>
      </c>
      <c r="CY737" t="str">
        <f>INDEX('Data_Price '!AH$2:AH$1266,MATCH(Data!$DN737,'Data_Price '!$AT$2:$AT$1266,0))</f>
        <v>SkiEssentials.com</v>
      </c>
      <c r="CZ737">
        <f>INDEX('Data_Price '!AI$2:AI$1266,MATCH(Data!$DN737,'Data_Price '!$AT$2:$AT$1266,0))</f>
        <v>599</v>
      </c>
      <c r="DA737" t="str">
        <f>INDEX('Data_Price '!AJ$2:AJ$1266,MATCH(Data!$DN737,'Data_Price '!$AT$2:$AT$1266,0))</f>
        <v>https://tinyurl.com/y7swwu94</v>
      </c>
      <c r="DB737" t="str">
        <f>INDEX('Data_Price '!AK$2:AK$1266,MATCH(Data!$DN737,'Data_Price '!$AT$2:$AT$1266,0))</f>
        <v>Head Easy Joy Skis w/Joy 9 GW Bindings Womens</v>
      </c>
      <c r="DC737" t="str">
        <f>INDEX('Data_Price '!AL$2:AL$1266,MATCH(Data!$DN737,'Data_Price '!$AT$2:$AT$1266,0))</f>
        <v>! OutdoorXL.com</v>
      </c>
      <c r="DD737">
        <f>INDEX('Data_Price '!AM$2:AM$1266,MATCH(Data!$DN737,'Data_Price '!$AT$2:$AT$1266,0))</f>
        <v>189.95</v>
      </c>
      <c r="DE737" t="str">
        <f>INDEX('Data_Price '!AN$2:AN$1266,MATCH(Data!$DN737,'Data_Price '!$AT$2:$AT$1266,0))</f>
        <v>https://tinyurl.com/yc2ffnjo</v>
      </c>
      <c r="DF737" t="str">
        <f>INDEX('Data_Price '!AO$2:AO$1266,MATCH(Data!$DN737,'Data_Price '!$AT$2:$AT$1266,0))</f>
        <v>2018 Head Total Joy 158cm W/ Head Joy 11 Binding</v>
      </c>
      <c r="DG737" t="str">
        <f>INDEX('Data_Price '!AP$2:AP$1266,MATCH(Data!$DN737,'Data_Price '!$AT$2:$AT$1266,0))</f>
        <v>eBay - riverpirate999</v>
      </c>
      <c r="DH737">
        <f>INDEX('Data_Price '!AQ$2:AQ$1266,MATCH(Data!$DN737,'Data_Price '!$AT$2:$AT$1266,0))</f>
        <v>249</v>
      </c>
      <c r="DI737" t="str">
        <f>INDEX('Data_Price '!AR$2:AR$1266,MATCH(Data!$DN737,'Data_Price '!$AT$2:$AT$1266,0))</f>
        <v>https://tinyurl.com/y9ckgtg8</v>
      </c>
      <c r="DJ737" s="89" t="str">
        <f t="shared" si="439"/>
        <v>https://tinyurl.com/y7swwu94</v>
      </c>
      <c r="DK737" s="89" t="str">
        <f t="shared" si="440"/>
        <v>https://tinyurl.com/yc2ffnjo</v>
      </c>
      <c r="DL737" s="89" t="str">
        <f t="shared" si="441"/>
        <v>https://tinyurl.com/y9ckgtg8</v>
      </c>
      <c r="DM737" s="219" t="str">
        <f t="shared" si="442"/>
        <v>Power Joy</v>
      </c>
      <c r="DN737" s="89" t="str">
        <f t="shared" si="443"/>
        <v xml:space="preserve"> HeadPower Joy158 Women's</v>
      </c>
      <c r="DO737" s="221"/>
    </row>
    <row r="738" spans="1:119" ht="15.6" customHeight="1">
      <c r="B738" s="219" t="b">
        <f t="array" ref="B738">IF(OR(ISERROR(K738:P738)),FALSE,TRUE)</f>
        <v>1</v>
      </c>
      <c r="C738" s="43" t="b">
        <f>OR(BR738=Driver!$G$50,Data!BR518=Driver!$H$50)</f>
        <v>1</v>
      </c>
      <c r="D738" s="43" t="b">
        <f>OR(BV738=Driver!$G$51,BV738=Driver!$H$51)</f>
        <v>1</v>
      </c>
      <c r="E738" s="43" t="b">
        <f>AND(BX738&gt;Driver!$F$54,BX738&lt;Driver!$G$54)</f>
        <v>1</v>
      </c>
      <c r="F738" s="43" t="b">
        <f>CL738&gt;Driver!$F$56</f>
        <v>1</v>
      </c>
      <c r="G738" s="43" t="b">
        <f>AND(CB738&gt;Driver!$F$55,CB738&lt;Driver!$G$55)</f>
        <v>0</v>
      </c>
      <c r="H738" s="43" t="b">
        <f t="shared" si="407"/>
        <v>0</v>
      </c>
      <c r="I738" s="43">
        <f t="shared" si="408"/>
        <v>0</v>
      </c>
      <c r="J738" s="43" t="b">
        <f t="array" ref="J738">NOT(OR(($H$9:$H$1273=TRUE)*($I$9:$I$1273&gt;0)*($BT$9:$BT$1273=BT738)*($K$9:$K$1273&gt;K738)))</f>
        <v>1</v>
      </c>
      <c r="K738" s="72">
        <f t="shared" si="409"/>
        <v>0.83400484983946654</v>
      </c>
      <c r="L738" s="72">
        <f t="shared" si="410"/>
        <v>0.83884319647026062</v>
      </c>
      <c r="M738" s="72">
        <f t="shared" si="411"/>
        <v>0.82916650320867258</v>
      </c>
      <c r="N738" s="72">
        <f t="shared" si="412"/>
        <v>0.87257247882090283</v>
      </c>
      <c r="O738" s="72">
        <f t="shared" si="413"/>
        <v>0.67796996949957988</v>
      </c>
      <c r="P738" s="72">
        <f t="shared" si="414"/>
        <v>0.93695706130553491</v>
      </c>
      <c r="Q738" s="72"/>
      <c r="R738" s="72"/>
      <c r="S738" s="72">
        <f t="shared" si="415"/>
        <v>0.42641780496360293</v>
      </c>
      <c r="T738" s="72">
        <f t="shared" si="416"/>
        <v>0.49724668325772514</v>
      </c>
      <c r="U738" s="72">
        <f t="shared" si="417"/>
        <v>0.99103781236312682</v>
      </c>
      <c r="V738" s="72">
        <f t="shared" si="418"/>
        <v>0.51007203517172961</v>
      </c>
      <c r="W738" s="72">
        <f t="shared" si="419"/>
        <v>0.85320040554241294</v>
      </c>
      <c r="X738" s="72">
        <f t="shared" si="420"/>
        <v>0.16115680352973935</v>
      </c>
      <c r="Y738" s="72">
        <f t="shared" si="421"/>
        <v>0.17083349679132745</v>
      </c>
      <c r="Z738" s="72">
        <f t="shared" si="422"/>
        <v>0.12742752117909717</v>
      </c>
      <c r="AA738" s="72">
        <f t="shared" si="423"/>
        <v>0.32203003050042012</v>
      </c>
      <c r="AB738" s="72">
        <f t="shared" si="424"/>
        <v>6.3042938694465117E-2</v>
      </c>
      <c r="AC738" s="72"/>
      <c r="AD738" s="72"/>
      <c r="AE738" s="72">
        <f t="shared" si="425"/>
        <v>0.57358219503639707</v>
      </c>
      <c r="AF738" s="72">
        <f t="shared" si="426"/>
        <v>0.50275331674227486</v>
      </c>
      <c r="AG738" s="72">
        <f t="shared" si="427"/>
        <v>8.9621876368731757E-3</v>
      </c>
      <c r="AH738" s="72">
        <f t="shared" si="428"/>
        <v>0.48992796482827045</v>
      </c>
      <c r="AI738" s="72">
        <f t="shared" si="429"/>
        <v>0.14679959445758706</v>
      </c>
      <c r="AJ738" s="72">
        <f>(AV738-Driver!$K$179)/(Driver!$L$179-Driver!$K$179)</f>
        <v>9.3062605752961075E-2</v>
      </c>
      <c r="AK738" s="72">
        <f>(AW738-Driver!$K$180)/(Driver!$L$180-Driver!$K$180)</f>
        <v>0.19256633016118746</v>
      </c>
      <c r="AL738" s="72">
        <f>(AX738-Driver!$K$181)/(Driver!$L$181-Driver!$K$181)</f>
        <v>0.22911528489217733</v>
      </c>
      <c r="AM738" s="72">
        <f>(AY738-Driver!$K$182)/(Driver!$L$182-Driver!$K$182)</f>
        <v>0.12535499059662625</v>
      </c>
      <c r="AN738" s="72">
        <f>(AZ738-Driver!$K$183)/(Driver!$L$183-Driver!$K$183)</f>
        <v>0.19117647058823531</v>
      </c>
      <c r="AO738" s="72"/>
      <c r="AP738" s="72"/>
      <c r="AQ738" s="72">
        <f>(BC738-Driver!$K$188)/(Driver!$L$188-Driver!$K$188)</f>
        <v>4.6417804963602913E-2</v>
      </c>
      <c r="AR738" s="72">
        <f>MIN((BD738-Driver!$K$189)/(Driver!$L$189-Driver!$K$189),100%)</f>
        <v>4.7246683257725179E-2</v>
      </c>
      <c r="AS738" s="72">
        <f>(BE738-Driver!$K$190)/(Driver!$L$190-Driver!$K$190)</f>
        <v>0.50103781236312683</v>
      </c>
      <c r="AT738" s="72">
        <f>(BF738-Driver!$K$191)/(Driver!$L$191-Driver!$K$191)</f>
        <v>2.007203517172957E-2</v>
      </c>
      <c r="AU738" s="72">
        <f>(BG738-Driver!$K$192)/(Driver!$L$192-Driver!$K$192)</f>
        <v>0.10320040554241296</v>
      </c>
      <c r="AV738" s="70">
        <f t="shared" si="430"/>
        <v>1.9586894586894585</v>
      </c>
      <c r="AW738" s="70">
        <f t="shared" si="431"/>
        <v>20.639187806931467</v>
      </c>
      <c r="AX738" s="70">
        <f t="shared" si="432"/>
        <v>3.062037564029596</v>
      </c>
      <c r="AY738" s="70">
        <f>IFERROR(Driver!$K$19/Data!BH738/Data!BI738*Data!BK738*Data!BL738,"")</f>
        <v>0.15347191080953748</v>
      </c>
      <c r="AZ738" s="70">
        <f t="shared" si="433"/>
        <v>17.423678332092333</v>
      </c>
      <c r="BA738" s="70"/>
      <c r="BB738" s="70"/>
      <c r="BC738" s="70">
        <f t="shared" si="434"/>
        <v>24.077238125965728</v>
      </c>
      <c r="BD738" s="70">
        <f t="shared" si="435"/>
        <v>5.9020706362374185</v>
      </c>
      <c r="BE738" s="70">
        <f t="shared" si="436"/>
        <v>0.50112682160134259</v>
      </c>
      <c r="BF738" s="70">
        <f t="shared" si="437"/>
        <v>2.266995358618936</v>
      </c>
      <c r="BG738" s="70">
        <f t="shared" si="438"/>
        <v>0.39078257012504219</v>
      </c>
      <c r="BH738" s="67">
        <f>MAX((CE738-Driver!$F$200)/(Driver!$G$200-Driver!$F$200)*$BI$1,1)</f>
        <v>3.062037564029596</v>
      </c>
      <c r="BI738" s="67">
        <f>MAX($BI$1*(BY738-Driver!$F$201)/(Driver!$G$201-Driver!$F$201),1)</f>
        <v>7.4050632911392409</v>
      </c>
      <c r="BJ738" s="67">
        <f>(CB738-Driver!$F$206)/(Driver!$G$206-Driver!$F$206)*$BI$1</f>
        <v>3.333333333333333</v>
      </c>
      <c r="BK738" s="67">
        <f>(CD738-Driver!$F$203)/(Driver!$G$203-Driver!$F$203)*$BI$1</f>
        <v>2.522935779816514</v>
      </c>
      <c r="BL738" s="67">
        <f>MAX((CR738-Driver!$F$202)/(Driver!$G$202-Driver!$F$202)*$BI$1,1)</f>
        <v>6.8965517241379315</v>
      </c>
      <c r="BM738" s="67">
        <f>MAX((CH738-Driver!$F$204)/(Driver!$G$204-Driver!$F$204)*$BI$1,1)</f>
        <v>2.3504273504273505</v>
      </c>
      <c r="BN738" s="67">
        <f>(CI738-Driver!$F$205)/(Driver!$G$205-Driver!$F$205)*$BI$1</f>
        <v>2.3529411764705883</v>
      </c>
      <c r="BO738" s="67">
        <f>(CK738-Driver!$F$207)/(Driver!$G$207-Driver!$F$207)*$BI$1</f>
        <v>1.1271975180972078</v>
      </c>
      <c r="BP738" s="67">
        <f>(CM738-Driver!$F$208)/(Driver!$G$208-Driver!$F$208)*$BI$1</f>
        <v>1.5222222222222224</v>
      </c>
      <c r="BQ738" s="67">
        <f>(CL738-Driver!$F$209)/(Driver!$G$209-Driver!$F$209)*$BI$1</f>
        <v>2.8125</v>
      </c>
      <c r="BR738" s="28" t="s">
        <v>155</v>
      </c>
      <c r="BS738" s="8" t="s">
        <v>205</v>
      </c>
      <c r="BT738" s="9" t="s">
        <v>347</v>
      </c>
      <c r="BU738" s="10">
        <v>162</v>
      </c>
      <c r="BV738" s="9" t="s">
        <v>158</v>
      </c>
      <c r="BW738" s="10">
        <v>162</v>
      </c>
      <c r="BX738" s="10">
        <v>160.4</v>
      </c>
      <c r="BY738" s="10">
        <v>125</v>
      </c>
      <c r="BZ738" s="10">
        <v>136</v>
      </c>
      <c r="CA738" s="10">
        <v>119</v>
      </c>
      <c r="CB738" s="10">
        <v>85</v>
      </c>
      <c r="CC738" s="10">
        <v>109</v>
      </c>
      <c r="CD738" s="10">
        <v>14.9</v>
      </c>
      <c r="CE738" s="10">
        <v>1438</v>
      </c>
      <c r="CF738" s="10">
        <v>1.08</v>
      </c>
      <c r="CG738" s="10">
        <v>1548</v>
      </c>
      <c r="CH738" s="10">
        <v>156</v>
      </c>
      <c r="CI738" s="10">
        <v>73</v>
      </c>
      <c r="CJ738" s="10">
        <v>52</v>
      </c>
      <c r="CK738" s="10">
        <v>219</v>
      </c>
      <c r="CL738" s="10">
        <v>18</v>
      </c>
      <c r="CM738" s="10">
        <v>137</v>
      </c>
      <c r="CN738" s="10">
        <v>0.33700000000000002</v>
      </c>
      <c r="CO738" s="10">
        <v>152</v>
      </c>
      <c r="CP738" s="10">
        <v>96</v>
      </c>
      <c r="CQ738" s="10">
        <v>67</v>
      </c>
      <c r="CR738" s="10">
        <v>9</v>
      </c>
      <c r="CS738" s="10">
        <v>9.5</v>
      </c>
      <c r="CT738" s="9" t="s">
        <v>231</v>
      </c>
      <c r="CU738" s="9" t="s">
        <v>188</v>
      </c>
      <c r="CV738" s="9" t="s">
        <v>185</v>
      </c>
      <c r="CW738" s="10"/>
      <c r="CX738" t="str">
        <f>INDEX('Data_Price '!AG$2:AG$1266,MATCH(Data!$DN738,'Data_Price '!$AT$2:$AT$1266,0))</f>
        <v>Faction Dictator 1.0 FG Skis- 2022</v>
      </c>
      <c r="CY738" t="str">
        <f>INDEX('Data_Price '!AH$2:AH$1266,MATCH(Data!$DN738,'Data_Price '!$AT$2:$AT$1266,0))</f>
        <v>Gear West Ski &amp; Bike</v>
      </c>
      <c r="CZ738">
        <f>INDEX('Data_Price '!AI$2:AI$1266,MATCH(Data!$DN738,'Data_Price '!$AT$2:$AT$1266,0))</f>
        <v>619</v>
      </c>
      <c r="DA738" t="str">
        <f>INDEX('Data_Price '!AJ$2:AJ$1266,MATCH(Data!$DN738,'Data_Price '!$AT$2:$AT$1266,0))</f>
        <v>https://tinyurl.com/yc979k9c</v>
      </c>
      <c r="DB738" t="str">
        <f>INDEX('Data_Price '!AK$2:AK$1266,MATCH(Data!$DN738,'Data_Price '!$AT$2:$AT$1266,0))</f>
        <v>Faction Agent 1.0 Ski 2022</v>
      </c>
      <c r="DC738" t="str">
        <f>INDEX('Data_Price '!AL$2:AL$1266,MATCH(Data!$DN738,'Data_Price '!$AT$2:$AT$1266,0))</f>
        <v>Telemark Pyrenees</v>
      </c>
      <c r="DD738">
        <f>INDEX('Data_Price '!AM$2:AM$1266,MATCH(Data!$DN738,'Data_Price '!$AT$2:$AT$1266,0))</f>
        <v>439.98</v>
      </c>
      <c r="DE738" t="str">
        <f>INDEX('Data_Price '!AN$2:AN$1266,MATCH(Data!$DN738,'Data_Price '!$AT$2:$AT$1266,0))</f>
        <v>https://tinyurl.com/yatpne9w</v>
      </c>
      <c r="DF738" t="str">
        <f>INDEX('Data_Price '!AO$2:AO$1266,MATCH(Data!$DN738,'Data_Price '!$AT$2:$AT$1266,0))</f>
        <v>Faction Agent 1.0 Skis</v>
      </c>
      <c r="DG738" t="str">
        <f>INDEX('Data_Price '!AP$2:AP$1266,MATCH(Data!$DN738,'Data_Price '!$AT$2:$AT$1266,0))</f>
        <v>Backcountry Freeskier</v>
      </c>
      <c r="DH738">
        <f>INDEX('Data_Price '!AQ$2:AQ$1266,MATCH(Data!$DN738,'Data_Price '!$AT$2:$AT$1266,0))</f>
        <v>499</v>
      </c>
      <c r="DI738" t="str">
        <f>INDEX('Data_Price '!AR$2:AR$1266,MATCH(Data!$DN738,'Data_Price '!$AT$2:$AT$1266,0))</f>
        <v>https://tinyurl.com/y8f62g4r</v>
      </c>
      <c r="DJ738" s="89" t="str">
        <f t="shared" si="439"/>
        <v>https://tinyurl.com/yc979k9c</v>
      </c>
      <c r="DK738" s="89" t="str">
        <f t="shared" si="440"/>
        <v>https://tinyurl.com/yatpne9w</v>
      </c>
      <c r="DL738" s="89" t="str">
        <f t="shared" si="441"/>
        <v>https://tinyurl.com/y8f62g4r</v>
      </c>
      <c r="DM738" s="219" t="str">
        <f t="shared" si="442"/>
        <v>Dictator FG 1.0</v>
      </c>
      <c r="DN738" s="89" t="str">
        <f t="shared" si="443"/>
        <v xml:space="preserve"> FactionDictator FG 1.0162 Unisex</v>
      </c>
      <c r="DO738" s="221"/>
    </row>
    <row r="739" spans="1:119" ht="15.6" customHeight="1">
      <c r="B739" s="219" t="b">
        <f t="array" ref="B739">IF(OR(ISERROR(K739:P739)),FALSE,TRUE)</f>
        <v>1</v>
      </c>
      <c r="C739" s="43" t="b">
        <f>OR(BR739=Driver!$G$50,Data!BR1116=Driver!$H$50)</f>
        <v>1</v>
      </c>
      <c r="D739" s="43" t="b">
        <f>OR(BV739=Driver!$G$51,BV739=Driver!$H$51)</f>
        <v>1</v>
      </c>
      <c r="E739" s="43" t="b">
        <f>AND(BX739&gt;Driver!$F$54,BX739&lt;Driver!$G$54)</f>
        <v>0</v>
      </c>
      <c r="F739" s="43" t="b">
        <f>CL739&gt;Driver!$F$56</f>
        <v>1</v>
      </c>
      <c r="G739" s="43" t="b">
        <f>AND(CB739&gt;Driver!$F$55,CB739&lt;Driver!$G$55)</f>
        <v>0</v>
      </c>
      <c r="H739" s="43" t="b">
        <f t="shared" si="407"/>
        <v>0</v>
      </c>
      <c r="I739" s="43">
        <f t="shared" si="408"/>
        <v>0</v>
      </c>
      <c r="J739" s="43" t="b">
        <f t="array" ref="J739">NOT(OR(($H$9:$H$1273=TRUE)*($I$9:$I$1273&gt;0)*($BT$9:$BT$1273=BT739)*($K$9:$K$1273&gt;K739)))</f>
        <v>1</v>
      </c>
      <c r="K739" s="72">
        <f t="shared" si="409"/>
        <v>0.88670704875749373</v>
      </c>
      <c r="L739" s="72">
        <f t="shared" si="410"/>
        <v>0.89766198625351745</v>
      </c>
      <c r="M739" s="72">
        <f t="shared" si="411"/>
        <v>0.87575211126147001</v>
      </c>
      <c r="N739" s="72">
        <f t="shared" si="412"/>
        <v>0.90925116091791169</v>
      </c>
      <c r="O739" s="72">
        <f t="shared" si="413"/>
        <v>0.77626869979625779</v>
      </c>
      <c r="P739" s="72">
        <f t="shared" si="414"/>
        <v>0.94173647307024078</v>
      </c>
      <c r="Q739" s="72"/>
      <c r="R739" s="72"/>
      <c r="S739" s="72">
        <f t="shared" si="415"/>
        <v>0.45582172285159861</v>
      </c>
      <c r="T739" s="72">
        <f t="shared" si="416"/>
        <v>0.45366768955773507</v>
      </c>
      <c r="U739" s="72">
        <f t="shared" si="417"/>
        <v>0.69666091369169447</v>
      </c>
      <c r="V739" s="72">
        <f t="shared" si="418"/>
        <v>0.51334207303732282</v>
      </c>
      <c r="W739" s="72">
        <f t="shared" si="419"/>
        <v>0.91856249999999995</v>
      </c>
      <c r="X739" s="72">
        <f t="shared" si="420"/>
        <v>0.10233801374648258</v>
      </c>
      <c r="Y739" s="72">
        <f t="shared" si="421"/>
        <v>0.12424788873852995</v>
      </c>
      <c r="Z739" s="72">
        <f t="shared" si="422"/>
        <v>9.0748839082088348E-2</v>
      </c>
      <c r="AA739" s="72">
        <f t="shared" si="423"/>
        <v>0.22373130020374224</v>
      </c>
      <c r="AB739" s="72">
        <f t="shared" si="424"/>
        <v>5.8263526929759252E-2</v>
      </c>
      <c r="AC739" s="72"/>
      <c r="AD739" s="72"/>
      <c r="AE739" s="72">
        <f t="shared" si="425"/>
        <v>0.54417827714840139</v>
      </c>
      <c r="AF739" s="72">
        <f t="shared" si="426"/>
        <v>0.54633231044226493</v>
      </c>
      <c r="AG739" s="72">
        <f t="shared" si="427"/>
        <v>0.30333908630830553</v>
      </c>
      <c r="AH739" s="72">
        <f t="shared" si="428"/>
        <v>0.48665792696267712</v>
      </c>
      <c r="AI739" s="72">
        <f t="shared" si="429"/>
        <v>8.1437499999999996E-2</v>
      </c>
      <c r="AJ739" s="72">
        <f>(AV739-Driver!$K$179)/(Driver!$L$179-Driver!$K$179)</f>
        <v>0.15188139553621785</v>
      </c>
      <c r="AK739" s="72">
        <f>(AW739-Driver!$K$180)/(Driver!$L$180-Driver!$K$180)</f>
        <v>0.19488352115576696</v>
      </c>
      <c r="AL739" s="72">
        <f>(AX739-Driver!$K$181)/(Driver!$L$181-Driver!$K$181)</f>
        <v>0.19243660279516853</v>
      </c>
      <c r="AM739" s="72">
        <f>(AY739-Driver!$K$182)/(Driver!$L$182-Driver!$K$182)</f>
        <v>0.22365372089330413</v>
      </c>
      <c r="AN739" s="72">
        <f>(AZ739-Driver!$K$183)/(Driver!$L$183-Driver!$K$183)</f>
        <v>0.19595588235294117</v>
      </c>
      <c r="AO739" s="72"/>
      <c r="AP739" s="72"/>
      <c r="AQ739" s="72">
        <f>(BC739-Driver!$K$188)/(Driver!$L$188-Driver!$K$188)</f>
        <v>7.5821722851598619E-2</v>
      </c>
      <c r="AR739" s="72">
        <f>MIN((BD739-Driver!$K$189)/(Driver!$L$189-Driver!$K$189),100%)</f>
        <v>3.6676895577351064E-3</v>
      </c>
      <c r="AS739" s="72">
        <f>(BE739-Driver!$K$190)/(Driver!$L$190-Driver!$K$190)</f>
        <v>0.20666091369169451</v>
      </c>
      <c r="AT739" s="72">
        <f>(BF739-Driver!$K$191)/(Driver!$L$191-Driver!$K$191)</f>
        <v>2.3342073037322886E-2</v>
      </c>
      <c r="AU739" s="72">
        <f>(BG739-Driver!$K$192)/(Driver!$L$192-Driver!$K$192)</f>
        <v>0.1685625</v>
      </c>
      <c r="AV739" s="70">
        <f t="shared" si="430"/>
        <v>3.1966490299823631</v>
      </c>
      <c r="AW739" s="70">
        <f t="shared" si="431"/>
        <v>20.86501860175418</v>
      </c>
      <c r="AX739" s="70">
        <f t="shared" si="432"/>
        <v>2.7319294251565167</v>
      </c>
      <c r="AY739" s="70">
        <f>IFERROR(Driver!$K$19/Data!BH739/Data!BI739*Data!BK739*Data!BL739,"")</f>
        <v>0.27381888620302092</v>
      </c>
      <c r="AZ739" s="70">
        <f t="shared" si="433"/>
        <v>17.85927029039464</v>
      </c>
      <c r="BA739" s="70"/>
      <c r="BB739" s="70"/>
      <c r="BC739" s="70">
        <f t="shared" si="434"/>
        <v>39.32925474718995</v>
      </c>
      <c r="BD739" s="70">
        <f t="shared" si="435"/>
        <v>2.0454069111959394</v>
      </c>
      <c r="BE739" s="70">
        <f t="shared" si="436"/>
        <v>0.20680243645528013</v>
      </c>
      <c r="BF739" s="70">
        <f t="shared" si="437"/>
        <v>2.6363231622214958</v>
      </c>
      <c r="BG739" s="70">
        <f t="shared" si="438"/>
        <v>0.63828515625000004</v>
      </c>
      <c r="BH739" s="67">
        <f>MAX((CE739-Driver!$F$200)/(Driver!$G$200-Driver!$F$200)*$BI$1,1)</f>
        <v>2.7319294251565167</v>
      </c>
      <c r="BI739" s="67">
        <f>MAX($BI$1*(BY739-Driver!$F$201)/(Driver!$G$201-Driver!$F$201),1)</f>
        <v>7.4050632911392409</v>
      </c>
      <c r="BJ739" s="67">
        <f>(CB739-Driver!$F$206)/(Driver!$G$206-Driver!$F$206)*$BI$1</f>
        <v>4.6031746031746028</v>
      </c>
      <c r="BK739" s="67">
        <f>(CD739-Driver!$F$203)/(Driver!$G$203-Driver!$F$203)*$BI$1</f>
        <v>4.7247706422018352</v>
      </c>
      <c r="BL739" s="67">
        <f>MAX((CR739-Driver!$F$202)/(Driver!$G$202-Driver!$F$202)*$BI$1,1)</f>
        <v>5.8620689655172411</v>
      </c>
      <c r="BM739" s="67">
        <f>MAX((CH739-Driver!$F$204)/(Driver!$G$204-Driver!$F$204)*$BI$1,1)</f>
        <v>2.7777777777777777</v>
      </c>
      <c r="BN739" s="67">
        <f>(CI739-Driver!$F$205)/(Driver!$G$205-Driver!$F$205)*$BI$1</f>
        <v>2.4117647058823528</v>
      </c>
      <c r="BO739" s="67">
        <f>(CK739-Driver!$F$207)/(Driver!$G$207-Driver!$F$207)*$BI$1</f>
        <v>1.623578076525336</v>
      </c>
      <c r="BP739" s="67">
        <f>(CM739-Driver!$F$208)/(Driver!$G$208-Driver!$F$208)*$BI$1</f>
        <v>1.6666666666666665</v>
      </c>
      <c r="BQ739" s="67">
        <f>(CL739-Driver!$F$209)/(Driver!$G$209-Driver!$F$209)*$BI$1</f>
        <v>4.84375</v>
      </c>
      <c r="BR739" s="28" t="s">
        <v>155</v>
      </c>
      <c r="BS739" s="8" t="s">
        <v>180</v>
      </c>
      <c r="BT739" s="9" t="s">
        <v>315</v>
      </c>
      <c r="BU739" s="10">
        <v>168</v>
      </c>
      <c r="BV739" s="9" t="s">
        <v>158</v>
      </c>
      <c r="BW739" s="10">
        <v>168</v>
      </c>
      <c r="BX739" s="10">
        <v>166.4</v>
      </c>
      <c r="BY739" s="10">
        <v>125</v>
      </c>
      <c r="BZ739" s="10">
        <v>149</v>
      </c>
      <c r="CA739" s="10">
        <v>129</v>
      </c>
      <c r="CB739" s="10">
        <v>93</v>
      </c>
      <c r="CC739" s="10">
        <v>117</v>
      </c>
      <c r="CD739" s="10">
        <v>19.7</v>
      </c>
      <c r="CE739" s="10">
        <v>1380</v>
      </c>
      <c r="CF739" s="10">
        <v>1.23</v>
      </c>
      <c r="CG739" s="10">
        <v>1698</v>
      </c>
      <c r="CH739" s="10">
        <v>166</v>
      </c>
      <c r="CI739" s="10">
        <v>74</v>
      </c>
      <c r="CJ739" s="10">
        <v>57</v>
      </c>
      <c r="CK739" s="10">
        <v>267</v>
      </c>
      <c r="CL739" s="10">
        <v>31</v>
      </c>
      <c r="CM739" s="10">
        <v>150</v>
      </c>
      <c r="CN739" s="10">
        <v>0.54600000000000004</v>
      </c>
      <c r="CO739" s="10">
        <v>102</v>
      </c>
      <c r="CP739" s="10">
        <v>73</v>
      </c>
      <c r="CQ739" s="10">
        <v>165</v>
      </c>
      <c r="CR739" s="10">
        <v>6</v>
      </c>
      <c r="CS739" s="10">
        <v>9.1</v>
      </c>
      <c r="CT739" s="9" t="s">
        <v>188</v>
      </c>
      <c r="CU739" s="9" t="s">
        <v>185</v>
      </c>
      <c r="CV739" s="10"/>
      <c r="CW739" s="10"/>
      <c r="CX739" t="str">
        <f>INDEX('Data_Price '!AG$2:AG$1266,MATCH(Data!$DN739,'Data_Price '!$AT$2:$AT$1266,0))</f>
        <v>Scott Scrapper 95 Skis - Women's 2021 - Sample</v>
      </c>
      <c r="CY739" t="str">
        <f>INDEX('Data_Price '!AH$2:AH$1266,MATCH(Data!$DN739,'Data_Price '!$AT$2:$AT$1266,0))</f>
        <v>Next Adventure</v>
      </c>
      <c r="CZ739">
        <f>INDEX('Data_Price '!AI$2:AI$1266,MATCH(Data!$DN739,'Data_Price '!$AT$2:$AT$1266,0))</f>
        <v>419.97</v>
      </c>
      <c r="DA739" t="str">
        <f>INDEX('Data_Price '!AJ$2:AJ$1266,MATCH(Data!$DN739,'Data_Price '!$AT$2:$AT$1266,0))</f>
        <v>https://tinyurl.com/ybb4kur7</v>
      </c>
      <c r="DB739" t="str">
        <f>INDEX('Data_Price '!AK$2:AK$1266,MATCH(Data!$DN739,'Data_Price '!$AT$2:$AT$1266,0))</f>
        <v>Scott Scrapper 95 Skis 2022 - 168</v>
      </c>
      <c r="DC739" t="str">
        <f>INDEX('Data_Price '!AL$2:AL$1266,MATCH(Data!$DN739,'Data_Price '!$AT$2:$AT$1266,0))</f>
        <v>evo.com</v>
      </c>
      <c r="DD739">
        <f>INDEX('Data_Price '!AM$2:AM$1266,MATCH(Data!$DN739,'Data_Price '!$AT$2:$AT$1266,0))</f>
        <v>560</v>
      </c>
      <c r="DE739" t="str">
        <f>INDEX('Data_Price '!AN$2:AN$1266,MATCH(Data!$DN739,'Data_Price '!$AT$2:$AT$1266,0))</f>
        <v>https://tinyurl.com/y9urpyms</v>
      </c>
      <c r="DF739" t="str">
        <f>INDEX('Data_Price '!AO$2:AO$1266,MATCH(Data!$DN739,'Data_Price '!$AT$2:$AT$1266,0))</f>
        <v>Scott Women's Scrapper 95 168cm 19/20 20%off</v>
      </c>
      <c r="DG739" t="str">
        <f>INDEX('Data_Price '!AP$2:AP$1266,MATCH(Data!$DN739,'Data_Price '!$AT$2:$AT$1266,0))</f>
        <v>eBay</v>
      </c>
      <c r="DH739">
        <f>INDEX('Data_Price '!AQ$2:AQ$1266,MATCH(Data!$DN739,'Data_Price '!$AT$2:$AT$1266,0))</f>
        <v>560</v>
      </c>
      <c r="DI739" t="str">
        <f>INDEX('Data_Price '!AR$2:AR$1266,MATCH(Data!$DN739,'Data_Price '!$AT$2:$AT$1266,0))</f>
        <v>https://tinyurl.com/y7bvljps</v>
      </c>
      <c r="DJ739" s="89" t="str">
        <f t="shared" si="439"/>
        <v>https://tinyurl.com/ybb4kur7</v>
      </c>
      <c r="DK739" s="89" t="str">
        <f t="shared" si="440"/>
        <v>https://tinyurl.com/y9urpyms</v>
      </c>
      <c r="DL739" s="89" t="str">
        <f t="shared" si="441"/>
        <v>https://tinyurl.com/y7bvljps</v>
      </c>
      <c r="DM739" s="219" t="str">
        <f t="shared" si="442"/>
        <v>Scrapper 95</v>
      </c>
      <c r="DN739" s="89" t="str">
        <f t="shared" si="443"/>
        <v xml:space="preserve"> ScottScrapper 95168 Unisex</v>
      </c>
      <c r="DO739" s="221" t="s">
        <v>316</v>
      </c>
    </row>
    <row r="740" spans="1:119" ht="15.6" customHeight="1">
      <c r="A740" s="219">
        <f>ROW()</f>
        <v>740</v>
      </c>
      <c r="B740" s="219" t="b">
        <f t="array" ref="B740">IF(OR(ISERROR(K740:P740)),FALSE,TRUE)</f>
        <v>1</v>
      </c>
      <c r="C740" s="43" t="b">
        <f>OR(BR740=Driver!$G$50,Data!BR761=Driver!$H$50)</f>
        <v>1</v>
      </c>
      <c r="D740" s="43" t="b">
        <f>OR(BV740=Driver!$G$51,BV740=Driver!$H$51)</f>
        <v>1</v>
      </c>
      <c r="E740" s="43" t="b">
        <f>AND(BX740&gt;Driver!$F$54,BX740&lt;Driver!$G$54)</f>
        <v>1</v>
      </c>
      <c r="F740" s="43" t="b">
        <f>CL740&gt;Driver!$F$56</f>
        <v>1</v>
      </c>
      <c r="G740" s="43" t="b">
        <f>AND(CB740&gt;Driver!$F$55,CB740&lt;Driver!$G$55)</f>
        <v>1</v>
      </c>
      <c r="H740" s="43" t="b">
        <f t="shared" si="407"/>
        <v>1</v>
      </c>
      <c r="I740" s="43">
        <f t="shared" si="408"/>
        <v>1</v>
      </c>
      <c r="J740" s="43" t="b">
        <f t="array" ref="J740">NOT(OR(($H$9:$H$1273=TRUE)*($I$9:$I$1273&gt;0)*($BT$9:$BT$1273=BT740)*($K$9:$K$1273&gt;K740)))</f>
        <v>1</v>
      </c>
      <c r="K740" s="72">
        <f t="shared" si="409"/>
        <v>0.81993169559002488</v>
      </c>
      <c r="L740" s="72">
        <f t="shared" si="410"/>
        <v>0.87099209663946542</v>
      </c>
      <c r="M740" s="72">
        <f t="shared" si="411"/>
        <v>0.76887129454058434</v>
      </c>
      <c r="N740" s="72">
        <f t="shared" si="412"/>
        <v>0.77202229858944771</v>
      </c>
      <c r="O740" s="72">
        <f t="shared" si="413"/>
        <v>0.65020805313853514</v>
      </c>
      <c r="P740" s="72">
        <f t="shared" si="414"/>
        <v>0.88438353189377017</v>
      </c>
      <c r="Q740" s="72"/>
      <c r="R740" s="72"/>
      <c r="S740" s="72">
        <f t="shared" si="415"/>
        <v>0.40535311879107816</v>
      </c>
      <c r="T740" s="72">
        <f t="shared" si="416"/>
        <v>0.45864101744199026</v>
      </c>
      <c r="U740" s="72">
        <f t="shared" si="417"/>
        <v>0.50889472912584333</v>
      </c>
      <c r="V740" s="72">
        <f t="shared" si="418"/>
        <v>0.68202684146325732</v>
      </c>
      <c r="W740" s="72">
        <f t="shared" si="419"/>
        <v>0.96023775363804065</v>
      </c>
      <c r="X740" s="72">
        <f t="shared" si="420"/>
        <v>0.12900790336053461</v>
      </c>
      <c r="Y740" s="72">
        <f t="shared" si="421"/>
        <v>0.23112870545941566</v>
      </c>
      <c r="Z740" s="72">
        <f t="shared" si="422"/>
        <v>0.22797770141055229</v>
      </c>
      <c r="AA740" s="72">
        <f t="shared" si="423"/>
        <v>0.34979194686146486</v>
      </c>
      <c r="AB740" s="72">
        <f t="shared" si="424"/>
        <v>0.11561646810622983</v>
      </c>
      <c r="AC740" s="72"/>
      <c r="AD740" s="72"/>
      <c r="AE740" s="72">
        <f t="shared" si="425"/>
        <v>0.59464688120892184</v>
      </c>
      <c r="AF740" s="72">
        <f t="shared" si="426"/>
        <v>0.54135898255800974</v>
      </c>
      <c r="AG740" s="72">
        <f t="shared" si="427"/>
        <v>0.49110527087415667</v>
      </c>
      <c r="AH740" s="72">
        <f t="shared" si="428"/>
        <v>0.31797315853674268</v>
      </c>
      <c r="AI740" s="72">
        <f t="shared" si="429"/>
        <v>3.9762246361959352E-2</v>
      </c>
      <c r="AJ740" s="72">
        <f>(AV740-Driver!$K$179)/(Driver!$L$179-Driver!$K$179)</f>
        <v>0.12521150592216582</v>
      </c>
      <c r="AK740" s="72">
        <f>(AW740-Driver!$K$180)/(Driver!$L$180-Driver!$K$180)</f>
        <v>0.15233859969149915</v>
      </c>
      <c r="AL740" s="72">
        <f>(AX740-Driver!$K$181)/(Driver!$L$181-Driver!$K$181)</f>
        <v>0.32966546512363248</v>
      </c>
      <c r="AM740" s="72">
        <f>(AY740-Driver!$K$182)/(Driver!$L$182-Driver!$K$182)</f>
        <v>9.7593074235581515E-2</v>
      </c>
      <c r="AN740" s="72">
        <f>(AZ740-Driver!$K$183)/(Driver!$L$183-Driver!$K$183)</f>
        <v>0.1386029411764706</v>
      </c>
      <c r="AO740" s="72"/>
      <c r="AP740" s="72"/>
      <c r="AQ740" s="72">
        <f>(BC740-Driver!$K$188)/(Driver!$L$188-Driver!$K$188)</f>
        <v>2.5353118791078207E-2</v>
      </c>
      <c r="AR740" s="72">
        <f>MIN((BD740-Driver!$K$189)/(Driver!$L$189-Driver!$K$189),100%)</f>
        <v>8.6410174419902768E-3</v>
      </c>
      <c r="AS740" s="72">
        <f>(BE740-Driver!$K$190)/(Driver!$L$190-Driver!$K$190)</f>
        <v>1.8894729125843349E-2</v>
      </c>
      <c r="AT740" s="72">
        <f>(BF740-Driver!$K$191)/(Driver!$L$191-Driver!$K$191)</f>
        <v>0.19202684146325735</v>
      </c>
      <c r="AU740" s="72">
        <f>(BG740-Driver!$K$192)/(Driver!$L$192-Driver!$K$192)</f>
        <v>0.28976224636195935</v>
      </c>
      <c r="AV740" s="70">
        <f t="shared" si="430"/>
        <v>2.6353276353276356</v>
      </c>
      <c r="AW740" s="70">
        <f t="shared" si="431"/>
        <v>16.718639018706888</v>
      </c>
      <c r="AX740" s="70">
        <f t="shared" si="432"/>
        <v>3.9669891861126922</v>
      </c>
      <c r="AY740" s="70">
        <f>IFERROR(Driver!$K$19/Data!BH740/Data!BI740*Data!BK740*Data!BL740,"")</f>
        <v>0.11948304182725408</v>
      </c>
      <c r="AZ740" s="70">
        <f t="shared" si="433"/>
        <v>12.63216679076694</v>
      </c>
      <c r="BA740" s="70"/>
      <c r="BB740" s="70"/>
      <c r="BC740" s="70">
        <f t="shared" si="434"/>
        <v>13.150838968954663</v>
      </c>
      <c r="BD740" s="70">
        <f t="shared" si="435"/>
        <v>2.4855376167369574</v>
      </c>
      <c r="BE740" s="70">
        <f t="shared" si="436"/>
        <v>1.9069747263357098E-2</v>
      </c>
      <c r="BF740" s="70">
        <f t="shared" si="437"/>
        <v>21.688082678361887</v>
      </c>
      <c r="BG740" s="70">
        <f t="shared" si="438"/>
        <v>1.097224713055954</v>
      </c>
      <c r="BH740" s="67">
        <f>MAX((CE740-Driver!$F$200)/(Driver!$G$200-Driver!$F$200)*$BI$1,1)</f>
        <v>3.9669891861126922</v>
      </c>
      <c r="BI740" s="67">
        <f>MAX($BI$1*(BY740-Driver!$F$201)/(Driver!$G$201-Driver!$F$201),1)</f>
        <v>5.5063291139240507</v>
      </c>
      <c r="BJ740" s="67">
        <f>(CB740-Driver!$F$206)/(Driver!$G$206-Driver!$F$206)*$BI$1</f>
        <v>5.8730158730158735</v>
      </c>
      <c r="BK740" s="67">
        <f>(CD740-Driver!$F$203)/(Driver!$G$203-Driver!$F$203)*$BI$1</f>
        <v>2.522935779816514</v>
      </c>
      <c r="BL740" s="67">
        <f>MAX((CR740-Driver!$F$202)/(Driver!$G$202-Driver!$F$202)*$BI$1,1)</f>
        <v>5.1724137931034484</v>
      </c>
      <c r="BM740" s="67">
        <f>MAX((CH740-Driver!$F$204)/(Driver!$G$204-Driver!$F$204)*$BI$1,1)</f>
        <v>1.7948717948717949</v>
      </c>
      <c r="BN740" s="67">
        <f>(CI740-Driver!$F$205)/(Driver!$G$205-Driver!$F$205)*$BI$1</f>
        <v>2.2941176470588234</v>
      </c>
      <c r="BO740" s="67">
        <f>(CK740-Driver!$F$207)/(Driver!$G$207-Driver!$F$207)*$BI$1</f>
        <v>2.4095139607032054</v>
      </c>
      <c r="BP740" s="67">
        <f>(CM740-Driver!$F$208)/(Driver!$G$208-Driver!$F$208)*$BI$1</f>
        <v>3.8666666666666667</v>
      </c>
      <c r="BQ740" s="67">
        <f>(CL740-Driver!$F$209)/(Driver!$G$209-Driver!$F$209)*$BI$1</f>
        <v>7.8125</v>
      </c>
      <c r="BR740" s="28" t="s">
        <v>155</v>
      </c>
      <c r="BS740" s="8" t="s">
        <v>262</v>
      </c>
      <c r="BT740" s="9" t="s">
        <v>511</v>
      </c>
      <c r="BU740" s="10">
        <v>163</v>
      </c>
      <c r="BV740" s="9" t="s">
        <v>158</v>
      </c>
      <c r="BW740" s="10">
        <v>163</v>
      </c>
      <c r="BX740" s="10">
        <v>163.6</v>
      </c>
      <c r="BY740" s="10">
        <v>95</v>
      </c>
      <c r="BZ740" s="10">
        <v>134</v>
      </c>
      <c r="CA740" s="10">
        <v>133</v>
      </c>
      <c r="CB740" s="10">
        <v>101</v>
      </c>
      <c r="CC740" s="10">
        <v>125</v>
      </c>
      <c r="CD740" s="10">
        <v>14.9</v>
      </c>
      <c r="CE740" s="10">
        <v>1597</v>
      </c>
      <c r="CF740" s="10">
        <v>1.1399999999999999</v>
      </c>
      <c r="CG740" s="10">
        <v>1828</v>
      </c>
      <c r="CH740" s="10">
        <v>143</v>
      </c>
      <c r="CI740" s="10">
        <v>72</v>
      </c>
      <c r="CJ740" s="10">
        <v>53</v>
      </c>
      <c r="CK740" s="10">
        <v>343</v>
      </c>
      <c r="CL740" s="10">
        <v>50</v>
      </c>
      <c r="CM740" s="10">
        <v>348</v>
      </c>
      <c r="CN740" s="10">
        <v>0.94099999999999995</v>
      </c>
      <c r="CO740" s="10">
        <v>147</v>
      </c>
      <c r="CP740" s="10">
        <v>145</v>
      </c>
      <c r="CQ740" s="10">
        <v>196</v>
      </c>
      <c r="CR740" s="10">
        <v>4</v>
      </c>
      <c r="CS740" s="10">
        <v>3.7</v>
      </c>
      <c r="CT740" s="9" t="s">
        <v>184</v>
      </c>
      <c r="CU740" s="9" t="s">
        <v>169</v>
      </c>
      <c r="CV740" s="9" t="s">
        <v>185</v>
      </c>
      <c r="CW740" s="10"/>
      <c r="CX740" t="e">
        <f>INDEX('Data_Price '!AG$2:AG$1266,MATCH(Data!$DN740,'Data_Price '!$AT$2:$AT$1266,0))</f>
        <v>#N/A</v>
      </c>
      <c r="CY740" t="e">
        <f>INDEX('Data_Price '!AH$2:AH$1266,MATCH(Data!$DN740,'Data_Price '!$AT$2:$AT$1266,0))</f>
        <v>#N/A</v>
      </c>
      <c r="CZ740" t="e">
        <f>INDEX('Data_Price '!AI$2:AI$1266,MATCH(Data!$DN740,'Data_Price '!$AT$2:$AT$1266,0))</f>
        <v>#N/A</v>
      </c>
      <c r="DA740" t="e">
        <f>INDEX('Data_Price '!AJ$2:AJ$1266,MATCH(Data!$DN740,'Data_Price '!$AT$2:$AT$1266,0))</f>
        <v>#N/A</v>
      </c>
      <c r="DB740" t="e">
        <f>INDEX('Data_Price '!AK$2:AK$1266,MATCH(Data!$DN740,'Data_Price '!$AT$2:$AT$1266,0))</f>
        <v>#N/A</v>
      </c>
      <c r="DC740" t="e">
        <f>INDEX('Data_Price '!AL$2:AL$1266,MATCH(Data!$DN740,'Data_Price '!$AT$2:$AT$1266,0))</f>
        <v>#N/A</v>
      </c>
      <c r="DD740" t="e">
        <f>INDEX('Data_Price '!AM$2:AM$1266,MATCH(Data!$DN740,'Data_Price '!$AT$2:$AT$1266,0))</f>
        <v>#N/A</v>
      </c>
      <c r="DE740" t="e">
        <f>INDEX('Data_Price '!AN$2:AN$1266,MATCH(Data!$DN740,'Data_Price '!$AT$2:$AT$1266,0))</f>
        <v>#N/A</v>
      </c>
      <c r="DF740" t="e">
        <f>INDEX('Data_Price '!AO$2:AO$1266,MATCH(Data!$DN740,'Data_Price '!$AT$2:$AT$1266,0))</f>
        <v>#N/A</v>
      </c>
      <c r="DG740" t="e">
        <f>INDEX('Data_Price '!AP$2:AP$1266,MATCH(Data!$DN740,'Data_Price '!$AT$2:$AT$1266,0))</f>
        <v>#N/A</v>
      </c>
      <c r="DH740" t="e">
        <f>INDEX('Data_Price '!AQ$2:AQ$1266,MATCH(Data!$DN740,'Data_Price '!$AT$2:$AT$1266,0))</f>
        <v>#N/A</v>
      </c>
      <c r="DI740" t="e">
        <f>INDEX('Data_Price '!AR$2:AR$1266,MATCH(Data!$DN740,'Data_Price '!$AT$2:$AT$1266,0))</f>
        <v>#N/A</v>
      </c>
      <c r="DJ740" s="89" t="e">
        <f t="shared" si="439"/>
        <v>#N/A</v>
      </c>
      <c r="DK740" s="89" t="e">
        <f t="shared" si="440"/>
        <v>#N/A</v>
      </c>
      <c r="DL740" s="89" t="e">
        <f t="shared" si="441"/>
        <v>#N/A</v>
      </c>
      <c r="DM740" s="219" t="str">
        <f t="shared" si="442"/>
        <v>Reckoner 102</v>
      </c>
      <c r="DN740" s="89" t="str">
        <f t="shared" si="443"/>
        <v xml:space="preserve"> K2Reckoner 102163 Unisex</v>
      </c>
      <c r="DO740" s="221" t="s">
        <v>512</v>
      </c>
    </row>
    <row r="741" spans="1:119" ht="15.6" customHeight="1">
      <c r="B741" s="219" t="b">
        <f t="array" ref="B741">IF(OR(ISERROR(K741:P741)),FALSE,TRUE)</f>
        <v>1</v>
      </c>
      <c r="C741" s="43" t="b">
        <f>OR(BR741=Driver!$G$50,Data!BR698=Driver!$H$50)</f>
        <v>1</v>
      </c>
      <c r="D741" s="43" t="b">
        <f>OR(BV741=Driver!$G$51,BV741=Driver!$H$51)</f>
        <v>1</v>
      </c>
      <c r="E741" s="43" t="b">
        <f>AND(BX741&gt;Driver!$F$54,BX741&lt;Driver!$G$54)</f>
        <v>0</v>
      </c>
      <c r="F741" s="43" t="b">
        <f>CL741&gt;Driver!$F$56</f>
        <v>1</v>
      </c>
      <c r="G741" s="43" t="b">
        <f>AND(CB741&gt;Driver!$F$55,CB741&lt;Driver!$G$55)</f>
        <v>1</v>
      </c>
      <c r="H741" s="43" t="b">
        <f t="shared" si="407"/>
        <v>0</v>
      </c>
      <c r="I741" s="43">
        <f t="shared" si="408"/>
        <v>0</v>
      </c>
      <c r="J741" s="43" t="b">
        <f t="array" ref="J741">NOT(OR(($H$9:$H$1273=TRUE)*($I$9:$I$1273&gt;0)*($BT$9:$BT$1273=BT741)*($K$9:$K$1273&gt;K741)))</f>
        <v>1</v>
      </c>
      <c r="K741" s="72">
        <f t="shared" si="409"/>
        <v>0.73047286974706016</v>
      </c>
      <c r="L741" s="72">
        <f t="shared" si="410"/>
        <v>0.84458279660040247</v>
      </c>
      <c r="M741" s="72">
        <f t="shared" si="411"/>
        <v>0.61636294289371785</v>
      </c>
      <c r="N741" s="72">
        <f t="shared" si="412"/>
        <v>0.36413005802788445</v>
      </c>
      <c r="O741" s="72">
        <f t="shared" si="413"/>
        <v>0.61472628947514352</v>
      </c>
      <c r="P741" s="72">
        <f t="shared" si="414"/>
        <v>0.87023248117812524</v>
      </c>
      <c r="Q741" s="72"/>
      <c r="R741" s="72"/>
      <c r="S741" s="72">
        <f t="shared" si="415"/>
        <v>0.48069310238563401</v>
      </c>
      <c r="T741" s="72">
        <f t="shared" si="416"/>
        <v>0.51966337505176885</v>
      </c>
      <c r="U741" s="72">
        <f t="shared" si="417"/>
        <v>0.50099252193656407</v>
      </c>
      <c r="V741" s="72">
        <f t="shared" si="418"/>
        <v>0.63665477330428599</v>
      </c>
      <c r="W741" s="72">
        <f t="shared" si="419"/>
        <v>0.79995462958511609</v>
      </c>
      <c r="X741" s="72">
        <f t="shared" si="420"/>
        <v>0.15541720339959753</v>
      </c>
      <c r="Y741" s="72">
        <f t="shared" si="421"/>
        <v>0.38363705710628221</v>
      </c>
      <c r="Z741" s="72">
        <f t="shared" si="422"/>
        <v>0.63586994197211555</v>
      </c>
      <c r="AA741" s="72">
        <f t="shared" si="423"/>
        <v>0.38527371052485648</v>
      </c>
      <c r="AB741" s="72">
        <f t="shared" si="424"/>
        <v>0.12976751882187471</v>
      </c>
      <c r="AC741" s="72"/>
      <c r="AD741" s="72"/>
      <c r="AE741" s="72">
        <f t="shared" si="425"/>
        <v>0.51930689761436599</v>
      </c>
      <c r="AF741" s="72">
        <f t="shared" si="426"/>
        <v>0.48033662494823115</v>
      </c>
      <c r="AG741" s="72">
        <f t="shared" si="427"/>
        <v>0.49900747806343587</v>
      </c>
      <c r="AH741" s="72">
        <f t="shared" si="428"/>
        <v>0.36334522669571406</v>
      </c>
      <c r="AI741" s="72">
        <f t="shared" si="429"/>
        <v>0.20004537041488391</v>
      </c>
      <c r="AJ741" s="72">
        <f>(AV741-Driver!$K$179)/(Driver!$L$179-Driver!$K$179)</f>
        <v>0.40963661268229795</v>
      </c>
      <c r="AK741" s="72">
        <f>(AW741-Driver!$K$180)/(Driver!$L$180-Driver!$K$180)</f>
        <v>0.41903266793974825</v>
      </c>
      <c r="AL741" s="72">
        <f>(AX741-Driver!$K$181)/(Driver!$L$181-Driver!$K$181)</f>
        <v>0.73755770568519574</v>
      </c>
      <c r="AM741" s="72">
        <f>(AY741-Driver!$K$182)/(Driver!$L$182-Driver!$K$182)</f>
        <v>6.2111310572189854E-2</v>
      </c>
      <c r="AN741" s="72">
        <f>(AZ741-Driver!$K$183)/(Driver!$L$183-Driver!$K$183)</f>
        <v>0.38398692810457513</v>
      </c>
      <c r="AO741" s="72"/>
      <c r="AP741" s="72"/>
      <c r="AQ741" s="72">
        <f>(BC741-Driver!$K$188)/(Driver!$L$188-Driver!$K$188)</f>
        <v>0.10069310238563398</v>
      </c>
      <c r="AR741" s="72">
        <f>MIN((BD741-Driver!$K$189)/(Driver!$L$189-Driver!$K$189),100%)</f>
        <v>6.966337505176888E-2</v>
      </c>
      <c r="AS741" s="72">
        <f>(BE741-Driver!$K$190)/(Driver!$L$190-Driver!$K$190)</f>
        <v>1.0992521936564118E-2</v>
      </c>
      <c r="AT741" s="72">
        <f>(BF741-Driver!$K$191)/(Driver!$L$191-Driver!$K$191)</f>
        <v>0.14665477330428595</v>
      </c>
      <c r="AU741" s="72">
        <f>(BG741-Driver!$K$192)/(Driver!$L$192-Driver!$K$192)</f>
        <v>4.9954629585116102E-2</v>
      </c>
      <c r="AV741" s="70">
        <f t="shared" si="430"/>
        <v>8.6216252882919555</v>
      </c>
      <c r="AW741" s="70">
        <f t="shared" si="431"/>
        <v>42.710339119342919</v>
      </c>
      <c r="AX741" s="70">
        <f t="shared" si="432"/>
        <v>7.6380193511667613</v>
      </c>
      <c r="AY741" s="70">
        <f>IFERROR(Driver!$K$19/Data!BH741/Data!BI741*Data!BK741*Data!BL741,"")</f>
        <v>7.6042776366776366E-2</v>
      </c>
      <c r="AZ741" s="70">
        <f t="shared" si="433"/>
        <v>34.996276991809381</v>
      </c>
      <c r="BA741" s="70"/>
      <c r="BB741" s="70"/>
      <c r="BC741" s="70">
        <f t="shared" si="434"/>
        <v>52.230212214519504</v>
      </c>
      <c r="BD741" s="70">
        <f t="shared" si="435"/>
        <v>7.8859081399827851</v>
      </c>
      <c r="BE741" s="70">
        <f t="shared" si="436"/>
        <v>1.1168949738897305E-2</v>
      </c>
      <c r="BF741" s="70">
        <f t="shared" si="437"/>
        <v>16.563626336625262</v>
      </c>
      <c r="BG741" s="70">
        <f t="shared" si="438"/>
        <v>0.18916009521777802</v>
      </c>
      <c r="BH741" s="67">
        <f>MAX((CE741-Driver!$F$200)/(Driver!$G$200-Driver!$F$200)*$BI$1,1)</f>
        <v>7.6380193511667613</v>
      </c>
      <c r="BI741" s="67">
        <f>MAX($BI$1*(BY741-Driver!$F$201)/(Driver!$G$201-Driver!$F$201),1)</f>
        <v>6.3291139240506329</v>
      </c>
      <c r="BJ741" s="67">
        <f>(CB741-Driver!$F$206)/(Driver!$G$206-Driver!$F$206)*$BI$1</f>
        <v>6.5079365079365079</v>
      </c>
      <c r="BK741" s="67">
        <f>(CD741-Driver!$F$203)/(Driver!$G$203-Driver!$F$203)*$BI$1</f>
        <v>3.8073394495412844</v>
      </c>
      <c r="BL741" s="67">
        <f>MAX((CR741-Driver!$F$202)/(Driver!$G$202-Driver!$F$202)*$BI$1,1)</f>
        <v>4.8275862068965516</v>
      </c>
      <c r="BM741" s="67">
        <f>MAX((CH741-Driver!$F$204)/(Driver!$G$204-Driver!$F$204)*$BI$1,1)</f>
        <v>5.299145299145299</v>
      </c>
      <c r="BN741" s="67">
        <f>(CI741-Driver!$F$205)/(Driver!$G$205-Driver!$F$205)*$BI$1</f>
        <v>5.5294117647058822</v>
      </c>
      <c r="BO741" s="67">
        <f>(CK741-Driver!$F$207)/(Driver!$G$207-Driver!$F$207)*$BI$1</f>
        <v>3.0816959669079629</v>
      </c>
      <c r="BP741" s="67">
        <f>(CM741-Driver!$F$208)/(Driver!$G$208-Driver!$F$208)*$BI$1</f>
        <v>3.1444444444444448</v>
      </c>
      <c r="BQ741" s="67">
        <f>(CL741-Driver!$F$209)/(Driver!$G$209-Driver!$F$209)*$BI$1</f>
        <v>7.65625</v>
      </c>
      <c r="BR741" s="28" t="s">
        <v>155</v>
      </c>
      <c r="BS741" s="8" t="s">
        <v>561</v>
      </c>
      <c r="BT741" s="9" t="s">
        <v>740</v>
      </c>
      <c r="BU741" s="10">
        <v>180</v>
      </c>
      <c r="BV741" s="9" t="s">
        <v>158</v>
      </c>
      <c r="BW741" s="10">
        <v>180</v>
      </c>
      <c r="BX741" s="10">
        <v>177.4</v>
      </c>
      <c r="BY741" s="10">
        <v>108</v>
      </c>
      <c r="BZ741" s="10">
        <v>141</v>
      </c>
      <c r="CA741" s="10">
        <v>136</v>
      </c>
      <c r="CB741" s="10">
        <v>105</v>
      </c>
      <c r="CC741" s="10">
        <v>125</v>
      </c>
      <c r="CD741" s="10">
        <v>17.7</v>
      </c>
      <c r="CE741" s="10">
        <v>2242</v>
      </c>
      <c r="CF741" s="10">
        <v>0.91</v>
      </c>
      <c r="CG741" s="10">
        <v>2040</v>
      </c>
      <c r="CH741" s="10">
        <v>225</v>
      </c>
      <c r="CI741" s="10">
        <v>127</v>
      </c>
      <c r="CJ741" s="10">
        <v>57</v>
      </c>
      <c r="CK741" s="10">
        <v>408</v>
      </c>
      <c r="CL741" s="10">
        <v>49</v>
      </c>
      <c r="CM741" s="10">
        <v>283</v>
      </c>
      <c r="CN741" s="10">
        <v>0.85399999999999998</v>
      </c>
      <c r="CO741" s="10">
        <v>164</v>
      </c>
      <c r="CP741" s="10">
        <v>205</v>
      </c>
      <c r="CQ741" s="10">
        <v>244</v>
      </c>
      <c r="CR741" s="10">
        <v>3</v>
      </c>
      <c r="CS741" s="10">
        <v>5.7</v>
      </c>
      <c r="CT741" s="9" t="s">
        <v>184</v>
      </c>
      <c r="CU741" s="9" t="s">
        <v>169</v>
      </c>
      <c r="CV741" s="10"/>
      <c r="CW741" s="10"/>
      <c r="CX741" t="str">
        <f>INDEX('Data_Price '!AG$2:AG$1266,MATCH(Data!$DN741,'Data_Price '!$AT$2:$AT$1266,0))</f>
        <v>J Skis The Metal Ski - 180cm</v>
      </c>
      <c r="CY741" t="str">
        <f>INDEX('Data_Price '!AH$2:AH$1266,MATCH(Data!$DN741,'Data_Price '!$AT$2:$AT$1266,0))</f>
        <v>eBay</v>
      </c>
      <c r="CZ741">
        <f>INDEX('Data_Price '!AI$2:AI$1266,MATCH(Data!$DN741,'Data_Price '!$AT$2:$AT$1266,0))</f>
        <v>399.99</v>
      </c>
      <c r="DA741" t="str">
        <f>INDEX('Data_Price '!AJ$2:AJ$1266,MATCH(Data!$DN741,'Data_Price '!$AT$2:$AT$1266,0))</f>
        <v>https://tinyurl.com/y8pj7bog</v>
      </c>
      <c r="DB741" t="str">
        <f>INDEX('Data_Price '!AK$2:AK$1266,MATCH(Data!$DN741,'Data_Price '!$AT$2:$AT$1266,0))</f>
        <v>Armada Magic J Skis 180cm 2022</v>
      </c>
      <c r="DC741" t="str">
        <f>INDEX('Data_Price '!AL$2:AL$1266,MATCH(Data!$DN741,'Data_Price '!$AT$2:$AT$1266,0))</f>
        <v>Blue Tomato</v>
      </c>
      <c r="DD741">
        <f>INDEX('Data_Price '!AM$2:AM$1266,MATCH(Data!$DN741,'Data_Price '!$AT$2:$AT$1266,0))</f>
        <v>451.71</v>
      </c>
      <c r="DE741" t="str">
        <f>INDEX('Data_Price '!AN$2:AN$1266,MATCH(Data!$DN741,'Data_Price '!$AT$2:$AT$1266,0))</f>
        <v>https://tinyurl.com/ycv3ou9y</v>
      </c>
      <c r="DF741" t="str">
        <f>INDEX('Data_Price '!AO$2:AO$1266,MATCH(Data!$DN741,'Data_Price '!$AT$2:$AT$1266,0))</f>
        <v>Armada Magic J Skis 180cm 2022</v>
      </c>
      <c r="DG741" t="str">
        <f>INDEX('Data_Price '!AP$2:AP$1266,MATCH(Data!$DN741,'Data_Price '!$AT$2:$AT$1266,0))</f>
        <v>Ski Pro  - Snow Ski &amp; Snowboard</v>
      </c>
      <c r="DH741">
        <f>INDEX('Data_Price '!AQ$2:AQ$1266,MATCH(Data!$DN741,'Data_Price '!$AT$2:$AT$1266,0))</f>
        <v>549.95000000000005</v>
      </c>
      <c r="DI741" t="str">
        <f>INDEX('Data_Price '!AR$2:AR$1266,MATCH(Data!$DN741,'Data_Price '!$AT$2:$AT$1266,0))</f>
        <v>https://tinyurl.com/y8ewvw8h</v>
      </c>
      <c r="DJ741" s="89" t="str">
        <f t="shared" si="439"/>
        <v>https://tinyurl.com/y8pj7bog</v>
      </c>
      <c r="DK741" s="89" t="str">
        <f t="shared" si="440"/>
        <v>https://tinyurl.com/ycv3ou9y</v>
      </c>
      <c r="DL741" s="89" t="str">
        <f t="shared" si="441"/>
        <v>https://tinyurl.com/y8ewvw8h</v>
      </c>
      <c r="DM741" s="219" t="str">
        <f t="shared" si="442"/>
        <v>The Metal</v>
      </c>
      <c r="DN741" s="89" t="str">
        <f t="shared" si="443"/>
        <v xml:space="preserve"> J SkisThe Metal180 Unisex</v>
      </c>
      <c r="DO741" s="221"/>
    </row>
    <row r="742" spans="1:119" ht="15.6" customHeight="1">
      <c r="B742" s="219" t="b">
        <f t="array" ref="B742">IF(OR(ISERROR(K742:P742)),FALSE,TRUE)</f>
        <v>1</v>
      </c>
      <c r="C742" s="43" t="b">
        <f>OR(BR742=Driver!$G$50,Data!BR890=Driver!$H$50)</f>
        <v>1</v>
      </c>
      <c r="D742" s="43" t="b">
        <f>OR(BV742=Driver!$G$51,BV742=Driver!$H$51)</f>
        <v>1</v>
      </c>
      <c r="E742" s="43" t="b">
        <f>AND(BX742&gt;Driver!$F$54,BX742&lt;Driver!$G$54)</f>
        <v>1</v>
      </c>
      <c r="F742" s="43" t="b">
        <f>CL742&gt;Driver!$F$56</f>
        <v>1</v>
      </c>
      <c r="G742" s="43" t="b">
        <f>AND(CB742&gt;Driver!$F$55,CB742&lt;Driver!$G$55)</f>
        <v>0</v>
      </c>
      <c r="H742" s="43" t="b">
        <f t="shared" si="407"/>
        <v>0</v>
      </c>
      <c r="I742" s="43">
        <f t="shared" si="408"/>
        <v>0</v>
      </c>
      <c r="J742" s="43" t="b">
        <f t="array" ref="J742">NOT(OR(($H$9:$H$1273=TRUE)*($I$9:$I$1273&gt;0)*($BT$9:$BT$1273=BT742)*($K$9:$K$1273&gt;K742)))</f>
        <v>1</v>
      </c>
      <c r="K742" s="72">
        <f t="shared" si="409"/>
        <v>0.71783192012113817</v>
      </c>
      <c r="L742" s="72">
        <f t="shared" si="410"/>
        <v>0.77994383300236925</v>
      </c>
      <c r="M742" s="72">
        <f t="shared" si="411"/>
        <v>0.6557200072399072</v>
      </c>
      <c r="N742" s="72">
        <f t="shared" si="412"/>
        <v>0.50388848463890068</v>
      </c>
      <c r="O742" s="72">
        <f t="shared" si="413"/>
        <v>0.58960768335367586</v>
      </c>
      <c r="P742" s="72">
        <f t="shared" si="414"/>
        <v>0.87366385372714483</v>
      </c>
      <c r="Q742" s="72"/>
      <c r="R742" s="72"/>
      <c r="S742" s="72">
        <f t="shared" si="415"/>
        <v>0.51857589403384041</v>
      </c>
      <c r="T742" s="72">
        <f t="shared" si="416"/>
        <v>0.55000000000000004</v>
      </c>
      <c r="U742" s="72">
        <f t="shared" si="417"/>
        <v>0.51</v>
      </c>
      <c r="V742" s="72">
        <f t="shared" si="418"/>
        <v>0.49089104358787272</v>
      </c>
      <c r="W742" s="72">
        <f t="shared" si="419"/>
        <v>0.76998804975342094</v>
      </c>
      <c r="X742" s="72">
        <f t="shared" si="420"/>
        <v>0.22005616699763075</v>
      </c>
      <c r="Y742" s="72">
        <f t="shared" si="421"/>
        <v>0.34427999276009286</v>
      </c>
      <c r="Z742" s="72">
        <f t="shared" si="422"/>
        <v>0.49611151536109932</v>
      </c>
      <c r="AA742" s="72">
        <f t="shared" si="423"/>
        <v>0.41039231664632414</v>
      </c>
      <c r="AB742" s="72">
        <f t="shared" si="424"/>
        <v>0.12633614627285511</v>
      </c>
      <c r="AC742" s="72"/>
      <c r="AD742" s="72"/>
      <c r="AE742" s="72">
        <f t="shared" si="425"/>
        <v>0.48142410596615959</v>
      </c>
      <c r="AF742" s="72">
        <f t="shared" si="426"/>
        <v>0.44999999999999996</v>
      </c>
      <c r="AG742" s="72">
        <f t="shared" si="427"/>
        <v>0.49</v>
      </c>
      <c r="AH742" s="72">
        <f t="shared" si="428"/>
        <v>0.50910895641212728</v>
      </c>
      <c r="AI742" s="72">
        <f t="shared" si="429"/>
        <v>0.23001195024657903</v>
      </c>
      <c r="AJ742" s="72">
        <f>(AV742-Driver!$K$179)/(Driver!$L$179-Driver!$K$179)</f>
        <v>3.4163242285069687E-2</v>
      </c>
      <c r="AK742" s="72">
        <f>(AW742-Driver!$K$180)/(Driver!$L$180-Driver!$K$180)</f>
        <v>0.40260203063020272</v>
      </c>
      <c r="AL742" s="72">
        <f>(AX742-Driver!$K$181)/(Driver!$L$181-Driver!$K$181)</f>
        <v>0.59779927907417951</v>
      </c>
      <c r="AM742" s="72">
        <f>(AY742-Driver!$K$182)/(Driver!$L$182-Driver!$K$182)</f>
        <v>3.6992704450722246E-2</v>
      </c>
      <c r="AN742" s="72">
        <f>(AZ742-Driver!$K$183)/(Driver!$L$183-Driver!$K$183)</f>
        <v>0.38055555555555554</v>
      </c>
      <c r="AO742" s="72"/>
      <c r="AP742" s="72"/>
      <c r="AQ742" s="72">
        <f>(BC742-Driver!$K$188)/(Driver!$L$188-Driver!$K$188)</f>
        <v>0.13857589403384038</v>
      </c>
      <c r="AR742" s="72">
        <f>MIN((BD742-Driver!$K$189)/(Driver!$L$189-Driver!$K$189),100%)</f>
        <v>1</v>
      </c>
      <c r="AS742" s="72">
        <f>(BE742-Driver!$K$190)/(Driver!$L$190-Driver!$K$190)</f>
        <v>1</v>
      </c>
      <c r="AT742" s="72">
        <f>(BF742-Driver!$K$191)/(Driver!$L$191-Driver!$K$191)</f>
        <v>8.9104358787274441E-4</v>
      </c>
      <c r="AU742" s="72">
        <f>(BG742-Driver!$K$192)/(Driver!$L$192-Driver!$K$192)</f>
        <v>1.9988049753420969E-2</v>
      </c>
      <c r="AV742" s="70">
        <f t="shared" si="430"/>
        <v>0.7190340523673856</v>
      </c>
      <c r="AW742" s="70">
        <f t="shared" si="431"/>
        <v>41.109027923270475</v>
      </c>
      <c r="AX742" s="70">
        <f t="shared" si="432"/>
        <v>6.3801935116676152</v>
      </c>
      <c r="AY742" s="70">
        <f>IFERROR(Driver!$K$19/Data!BH742/Data!BI742*Data!BK742*Data!BL742,"")</f>
        <v>4.5290107805389779E-2</v>
      </c>
      <c r="AZ742" s="70">
        <f t="shared" si="433"/>
        <v>34.683544303797468</v>
      </c>
      <c r="BA742" s="70"/>
      <c r="BB742" s="70"/>
      <c r="BC742" s="70">
        <f t="shared" si="434"/>
        <v>71.880279599339119</v>
      </c>
      <c r="BD742" s="70">
        <f t="shared" si="435"/>
        <v>209.11399201308529</v>
      </c>
      <c r="BE742" s="70">
        <f t="shared" si="436"/>
        <v>1</v>
      </c>
      <c r="BF742" s="70">
        <f t="shared" si="437"/>
        <v>0.10063711331473402</v>
      </c>
      <c r="BG742" s="70">
        <f t="shared" si="438"/>
        <v>7.5687507363708287E-2</v>
      </c>
      <c r="BH742" s="67">
        <f>MAX((CE742-Driver!$F$200)/(Driver!$G$200-Driver!$F$200)*$BI$1,1)</f>
        <v>6.3801935116676152</v>
      </c>
      <c r="BI742" s="67">
        <f>MAX($BI$1*(BY742-Driver!$F$201)/(Driver!$G$201-Driver!$F$201),1)</f>
        <v>8.6708860759493671</v>
      </c>
      <c r="BJ742" s="67">
        <f>(CB742-Driver!$F$206)/(Driver!$G$206-Driver!$F$206)*$BI$1</f>
        <v>0.63492063492063489</v>
      </c>
      <c r="BK742" s="67">
        <f>(CD742-Driver!$F$203)/(Driver!$G$203-Driver!$F$203)*$BI$1</f>
        <v>1.6513761467889909</v>
      </c>
      <c r="BL742" s="67">
        <f>MAX((CR742-Driver!$F$202)/(Driver!$G$202-Driver!$F$202)*$BI$1,1)</f>
        <v>7.5862068965517242</v>
      </c>
      <c r="BM742" s="67">
        <f>MAX((CH742-Driver!$F$204)/(Driver!$G$204-Driver!$F$204)*$BI$1,1)</f>
        <v>4.5299145299145298</v>
      </c>
      <c r="BN742" s="67">
        <f>(CI742-Driver!$F$205)/(Driver!$G$205-Driver!$F$205)*$BI$1</f>
        <v>4</v>
      </c>
      <c r="BO742" s="67">
        <f>(CK742-Driver!$F$207)/(Driver!$G$207-Driver!$F$207)*$BI$1</f>
        <v>0.35160289555325747</v>
      </c>
      <c r="BP742" s="67">
        <f>(CM742-Driver!$F$208)/(Driver!$G$208-Driver!$F$208)*$BI$1</f>
        <v>0.74444444444444435</v>
      </c>
      <c r="BQ742" s="67">
        <f>(CL742-Driver!$F$209)/(Driver!$G$209-Driver!$F$209)*$BI$1</f>
        <v>2.1875</v>
      </c>
      <c r="BR742" s="28" t="s">
        <v>155</v>
      </c>
      <c r="BS742" s="8" t="s">
        <v>332</v>
      </c>
      <c r="BT742" s="9" t="s">
        <v>741</v>
      </c>
      <c r="BU742" s="10">
        <v>165</v>
      </c>
      <c r="BV742" s="9" t="s">
        <v>158</v>
      </c>
      <c r="BW742" s="10">
        <v>165</v>
      </c>
      <c r="BX742" s="10">
        <v>165.6</v>
      </c>
      <c r="BY742" s="10">
        <v>145</v>
      </c>
      <c r="BZ742" s="10">
        <v>152</v>
      </c>
      <c r="CA742" s="10">
        <v>120</v>
      </c>
      <c r="CB742" s="10">
        <v>68</v>
      </c>
      <c r="CC742" s="10">
        <v>103</v>
      </c>
      <c r="CD742" s="10">
        <v>13</v>
      </c>
      <c r="CE742" s="10">
        <v>2021</v>
      </c>
      <c r="CF742" s="10">
        <v>0.69</v>
      </c>
      <c r="CG742" s="10">
        <v>1400</v>
      </c>
      <c r="CH742" s="10">
        <v>207</v>
      </c>
      <c r="CI742" s="10">
        <v>101</v>
      </c>
      <c r="CJ742" s="10">
        <v>43</v>
      </c>
      <c r="CK742" s="10">
        <v>144</v>
      </c>
      <c r="CL742" s="10">
        <v>14</v>
      </c>
      <c r="CM742" s="10">
        <v>67</v>
      </c>
      <c r="CN742" s="10">
        <v>0.33500000000000002</v>
      </c>
      <c r="CO742" s="10">
        <v>63</v>
      </c>
      <c r="CP742" s="10">
        <v>70</v>
      </c>
      <c r="CQ742" s="10">
        <v>81</v>
      </c>
      <c r="CR742" s="10">
        <v>11</v>
      </c>
      <c r="CS742" s="10">
        <v>11.4</v>
      </c>
      <c r="CT742" s="9" t="s">
        <v>349</v>
      </c>
      <c r="CU742" s="10"/>
      <c r="CV742" s="10"/>
      <c r="CW742" s="10"/>
      <c r="CX742" t="str">
        <f>INDEX('Data_Price '!AG$2:AG$1266,MATCH(Data!$DN742,'Data_Price '!$AT$2:$AT$1266,0))</f>
        <v>2022 Nordica Dobermann SLR RB FDT Skis X-Cell 14.0 - 165cm - R=13</v>
      </c>
      <c r="CY742" t="str">
        <f>INDEX('Data_Price '!AH$2:AH$1266,MATCH(Data!$DN742,'Data_Price '!$AT$2:$AT$1266,0))</f>
        <v>Race Place</v>
      </c>
      <c r="CZ742">
        <f>INDEX('Data_Price '!AI$2:AI$1266,MATCH(Data!$DN742,'Data_Price '!$AT$2:$AT$1266,0))</f>
        <v>1400</v>
      </c>
      <c r="DA742" t="str">
        <f>INDEX('Data_Price '!AJ$2:AJ$1266,MATCH(Data!$DN742,'Data_Price '!$AT$2:$AT$1266,0))</f>
        <v>https://tinyurl.com/yaa2u6wk</v>
      </c>
      <c r="DB742" t="str">
        <f>INDEX('Data_Price '!AK$2:AK$1266,MATCH(Data!$DN742,'Data_Price '!$AT$2:$AT$1266,0))</f>
        <v>Nordica Dobermann World Cup SL Plate Race Skis 2020/21</v>
      </c>
      <c r="DC742" t="str">
        <f>INDEX('Data_Price '!AL$2:AL$1266,MATCH(Data!$DN742,'Data_Price '!$AT$2:$AT$1266,0))</f>
        <v>Bahnhof Sport</v>
      </c>
      <c r="DD742">
        <f>INDEX('Data_Price '!AM$2:AM$1266,MATCH(Data!$DN742,'Data_Price '!$AT$2:$AT$1266,0))</f>
        <v>1150</v>
      </c>
      <c r="DE742" t="str">
        <f>INDEX('Data_Price '!AN$2:AN$1266,MATCH(Data!$DN742,'Data_Price '!$AT$2:$AT$1266,0))</f>
        <v>https://tinyurl.com/yaqn3mdd</v>
      </c>
      <c r="DF742" t="str">
        <f>INDEX('Data_Price '!AO$2:AO$1266,MATCH(Data!$DN742,'Data_Price '!$AT$2:$AT$1266,0))</f>
        <v>Nordica Dobermann SL WC Department Ski - Size 165 - 0A120800001</v>
      </c>
      <c r="DG742" t="str">
        <f>INDEX('Data_Price '!AP$2:AP$1266,MATCH(Data!$DN742,'Data_Price '!$AT$2:$AT$1266,0))</f>
        <v>Peak Performance Ski Shop</v>
      </c>
      <c r="DH742">
        <f>INDEX('Data_Price '!AQ$2:AQ$1266,MATCH(Data!$DN742,'Data_Price '!$AT$2:$AT$1266,0))</f>
        <v>1260</v>
      </c>
      <c r="DI742" t="str">
        <f>INDEX('Data_Price '!AR$2:AR$1266,MATCH(Data!$DN742,'Data_Price '!$AT$2:$AT$1266,0))</f>
        <v>https://tinyurl.com/ycgvtrqy</v>
      </c>
      <c r="DJ742" s="89" t="str">
        <f t="shared" si="439"/>
        <v>https://tinyurl.com/yaa2u6wk</v>
      </c>
      <c r="DK742" s="89" t="str">
        <f t="shared" si="440"/>
        <v>https://tinyurl.com/yaqn3mdd</v>
      </c>
      <c r="DL742" s="89" t="str">
        <f t="shared" si="441"/>
        <v>https://tinyurl.com/ycgvtrqy</v>
      </c>
      <c r="DM742" s="219" t="str">
        <f t="shared" si="442"/>
        <v>Dobermann SLR Rb</v>
      </c>
      <c r="DN742" s="89" t="str">
        <f t="shared" si="443"/>
        <v xml:space="preserve"> NordicaDobermann SLR Rb165 Unisex</v>
      </c>
      <c r="DO742" s="221"/>
    </row>
    <row r="743" spans="1:119" ht="15.6" customHeight="1">
      <c r="B743" s="219" t="b">
        <f t="array" ref="B743">IF(OR(ISERROR(K743:P743)),FALSE,TRUE)</f>
        <v>1</v>
      </c>
      <c r="C743" s="43" t="b">
        <f>OR(BR743=Driver!$G$50,Data!BR946=Driver!$H$50)</f>
        <v>1</v>
      </c>
      <c r="D743" s="43" t="b">
        <f>OR(BV743=Driver!$G$51,BV743=Driver!$H$51)</f>
        <v>0</v>
      </c>
      <c r="E743" s="43" t="b">
        <f>AND(BX743&gt;Driver!$F$54,BX743&lt;Driver!$G$54)</f>
        <v>0</v>
      </c>
      <c r="F743" s="43" t="b">
        <f>CL743&gt;Driver!$F$56</f>
        <v>1</v>
      </c>
      <c r="G743" s="43" t="b">
        <f>AND(CB743&gt;Driver!$F$55,CB743&lt;Driver!$G$55)</f>
        <v>0</v>
      </c>
      <c r="H743" s="43" t="b">
        <f t="shared" si="407"/>
        <v>0</v>
      </c>
      <c r="I743" s="43">
        <f t="shared" si="408"/>
        <v>0</v>
      </c>
      <c r="J743" s="43" t="b">
        <f t="array" ref="J743">NOT(OR(($H$9:$H$1273=TRUE)*($I$9:$I$1273&gt;0)*($BT$9:$BT$1273=BT743)*($K$9:$K$1273&gt;K743)))</f>
        <v>1</v>
      </c>
      <c r="K743" s="72">
        <f t="shared" si="409"/>
        <v>0.77460422012921826</v>
      </c>
      <c r="L743" s="72">
        <f t="shared" si="410"/>
        <v>0.78767890672729068</v>
      </c>
      <c r="M743" s="72">
        <f t="shared" si="411"/>
        <v>0.76152953353114583</v>
      </c>
      <c r="N743" s="72">
        <f t="shared" si="412"/>
        <v>0.81565728246347546</v>
      </c>
      <c r="O743" s="72">
        <f t="shared" si="413"/>
        <v>0.59410660976560359</v>
      </c>
      <c r="P743" s="72">
        <f t="shared" si="414"/>
        <v>0.87482470836435833</v>
      </c>
      <c r="Q743" s="72"/>
      <c r="R743" s="72"/>
      <c r="S743" s="72">
        <f t="shared" si="415"/>
        <v>0.40063836736975589</v>
      </c>
      <c r="T743" s="72">
        <f t="shared" si="416"/>
        <v>0.71958916298418851</v>
      </c>
      <c r="U743" s="72">
        <f t="shared" si="417"/>
        <v>0.51</v>
      </c>
      <c r="V743" s="72">
        <f t="shared" si="418"/>
        <v>0.49582972503672318</v>
      </c>
      <c r="W743" s="72">
        <f t="shared" si="419"/>
        <v>0.81234076433121016</v>
      </c>
      <c r="X743" s="72">
        <f t="shared" si="420"/>
        <v>0.21232109327270929</v>
      </c>
      <c r="Y743" s="72">
        <f t="shared" si="421"/>
        <v>0.23847046646885417</v>
      </c>
      <c r="Z743" s="72">
        <f t="shared" si="422"/>
        <v>0.18434271753652454</v>
      </c>
      <c r="AA743" s="72">
        <f t="shared" si="423"/>
        <v>0.40589339023439641</v>
      </c>
      <c r="AB743" s="72">
        <f t="shared" si="424"/>
        <v>0.12517529163564162</v>
      </c>
      <c r="AC743" s="72"/>
      <c r="AD743" s="72"/>
      <c r="AE743" s="72">
        <f t="shared" si="425"/>
        <v>0.59936163263024411</v>
      </c>
      <c r="AF743" s="72">
        <f t="shared" si="426"/>
        <v>0.28041083701581149</v>
      </c>
      <c r="AG743" s="72">
        <f t="shared" si="427"/>
        <v>0.49</v>
      </c>
      <c r="AH743" s="72">
        <f t="shared" si="428"/>
        <v>0.50417027496327682</v>
      </c>
      <c r="AI743" s="72">
        <f t="shared" si="429"/>
        <v>0.18765923566878984</v>
      </c>
      <c r="AJ743" s="72">
        <f>(AV743-Driver!$K$179)/(Driver!$L$179-Driver!$K$179)</f>
        <v>4.1898316009991131E-2</v>
      </c>
      <c r="AK743" s="72">
        <f>(AW743-Driver!$K$180)/(Driver!$L$180-Driver!$K$180)</f>
        <v>0.13866530549444753</v>
      </c>
      <c r="AL743" s="72">
        <f>(AX743-Driver!$K$181)/(Driver!$L$181-Driver!$K$181)</f>
        <v>0.28603048124960473</v>
      </c>
      <c r="AM743" s="72">
        <f>(AY743-Driver!$K$182)/(Driver!$L$182-Driver!$K$182)</f>
        <v>4.149163086264996E-2</v>
      </c>
      <c r="AN743" s="72">
        <f>(AZ743-Driver!$K$183)/(Driver!$L$183-Driver!$K$183)</f>
        <v>0.12904411764705881</v>
      </c>
      <c r="AO743" s="72"/>
      <c r="AP743" s="72"/>
      <c r="AQ743" s="72">
        <f>(BC743-Driver!$K$188)/(Driver!$L$188-Driver!$K$188)</f>
        <v>2.0638367369755932E-2</v>
      </c>
      <c r="AR743" s="72">
        <f>MIN((BD743-Driver!$K$189)/(Driver!$L$189-Driver!$K$189),100%)</f>
        <v>0.26958916298418856</v>
      </c>
      <c r="AS743" s="72">
        <f>(BE743-Driver!$K$190)/(Driver!$L$190-Driver!$K$190)</f>
        <v>1</v>
      </c>
      <c r="AT743" s="72">
        <f>(BF743-Driver!$K$191)/(Driver!$L$191-Driver!$K$191)</f>
        <v>5.8297250367231705E-3</v>
      </c>
      <c r="AU743" s="72">
        <f>(BG743-Driver!$K$192)/(Driver!$L$192-Driver!$K$192)</f>
        <v>6.2340764331210177E-2</v>
      </c>
      <c r="AV743" s="70">
        <f t="shared" si="430"/>
        <v>0.88183421516754845</v>
      </c>
      <c r="AW743" s="70">
        <f t="shared" si="431"/>
        <v>15.386055341492439</v>
      </c>
      <c r="AX743" s="70">
        <f t="shared" si="432"/>
        <v>3.5742743312464427</v>
      </c>
      <c r="AY743" s="70">
        <f>IFERROR(Driver!$K$19/Data!BH743/Data!BI743*Data!BK743*Data!BL743,"")</f>
        <v>5.0798136083672188E-2</v>
      </c>
      <c r="AZ743" s="70">
        <f t="shared" si="433"/>
        <v>11.760982874162323</v>
      </c>
      <c r="BA743" s="70"/>
      <c r="BB743" s="70"/>
      <c r="BC743" s="70">
        <f t="shared" si="434"/>
        <v>10.705264630294668</v>
      </c>
      <c r="BD743" s="70">
        <f t="shared" si="435"/>
        <v>25.57898612446764</v>
      </c>
      <c r="BE743" s="70">
        <f t="shared" si="436"/>
        <v>1</v>
      </c>
      <c r="BF743" s="70">
        <f t="shared" si="437"/>
        <v>0.65842648676154336</v>
      </c>
      <c r="BG743" s="70">
        <f t="shared" si="438"/>
        <v>0.23606190286624201</v>
      </c>
      <c r="BH743" s="67">
        <f>MAX((CE743-Driver!$F$200)/(Driver!$G$200-Driver!$F$200)*$BI$1,1)</f>
        <v>3.5742743312464427</v>
      </c>
      <c r="BI743" s="67">
        <f>MAX($BI$1*(BY743-Driver!$F$201)/(Driver!$G$201-Driver!$F$201),1)</f>
        <v>7.4050632911392409</v>
      </c>
      <c r="BJ743" s="67">
        <f>(CB743-Driver!$F$206)/(Driver!$G$206-Driver!$F$206)*$BI$1</f>
        <v>1.5873015873015872</v>
      </c>
      <c r="BK743" s="67">
        <f>(CD743-Driver!$F$203)/(Driver!$G$203-Driver!$F$203)*$BI$1</f>
        <v>1.1467889908256883</v>
      </c>
      <c r="BL743" s="67">
        <f>MAX((CR743-Driver!$F$202)/(Driver!$G$202-Driver!$F$202)*$BI$1,1)</f>
        <v>5.8620689655172411</v>
      </c>
      <c r="BM743" s="67">
        <f>MAX((CH743-Driver!$F$204)/(Driver!$G$204-Driver!$F$204)*$BI$1,1)</f>
        <v>2.2222222222222223</v>
      </c>
      <c r="BN743" s="67">
        <f>(CI743-Driver!$F$205)/(Driver!$G$205-Driver!$F$205)*$BI$1</f>
        <v>1.588235294117647</v>
      </c>
      <c r="BO743" s="67">
        <f>(CK743-Driver!$F$207)/(Driver!$G$207-Driver!$F$207)*$BI$1</f>
        <v>0.62047569803516023</v>
      </c>
      <c r="BP743" s="67">
        <f>(CM743-Driver!$F$208)/(Driver!$G$208-Driver!$F$208)*$BI$1</f>
        <v>0.76666666666666661</v>
      </c>
      <c r="BQ743" s="67">
        <f>(CL743-Driver!$F$209)/(Driver!$G$209-Driver!$F$209)*$BI$1</f>
        <v>1.875</v>
      </c>
      <c r="BR743" s="28" t="s">
        <v>155</v>
      </c>
      <c r="BS743" s="8" t="s">
        <v>332</v>
      </c>
      <c r="BT743" s="9" t="s">
        <v>742</v>
      </c>
      <c r="BU743" s="10">
        <v>150</v>
      </c>
      <c r="BV743" s="9" t="s">
        <v>163</v>
      </c>
      <c r="BW743" s="10">
        <v>150</v>
      </c>
      <c r="BX743" s="10">
        <v>148.9</v>
      </c>
      <c r="BY743" s="10">
        <v>125</v>
      </c>
      <c r="BZ743" s="10">
        <v>136</v>
      </c>
      <c r="CA743" s="10">
        <v>123</v>
      </c>
      <c r="CB743" s="10">
        <v>74</v>
      </c>
      <c r="CC743" s="10">
        <v>103</v>
      </c>
      <c r="CD743" s="10">
        <v>11.9</v>
      </c>
      <c r="CE743" s="10">
        <v>1528</v>
      </c>
      <c r="CF743" s="10">
        <v>0.87</v>
      </c>
      <c r="CG743" s="10">
        <v>1323</v>
      </c>
      <c r="CH743" s="10">
        <v>153</v>
      </c>
      <c r="CI743" s="10">
        <v>60</v>
      </c>
      <c r="CJ743" s="10">
        <v>39</v>
      </c>
      <c r="CK743" s="10">
        <v>170</v>
      </c>
      <c r="CL743" s="10">
        <v>12</v>
      </c>
      <c r="CM743" s="10">
        <v>69</v>
      </c>
      <c r="CN743" s="10">
        <v>0.31</v>
      </c>
      <c r="CO743" s="10">
        <v>62</v>
      </c>
      <c r="CP743" s="10">
        <v>67</v>
      </c>
      <c r="CQ743" s="10">
        <v>108</v>
      </c>
      <c r="CR743" s="10">
        <v>6</v>
      </c>
      <c r="CS743" s="10">
        <v>9.3000000000000007</v>
      </c>
      <c r="CT743" s="9" t="s">
        <v>349</v>
      </c>
      <c r="CU743" s="10"/>
      <c r="CV743" s="10"/>
      <c r="CW743" s="10"/>
      <c r="CX743" t="str">
        <f>INDEX('Data_Price '!AG$2:AG$1266,MATCH(Data!$DN743,'Data_Price '!$AT$2:$AT$1266,0))</f>
        <v>Nordica Wild Belle 74 Ladies Snow Skis with Marker FDT10 Bindings 150</v>
      </c>
      <c r="CY743" t="str">
        <f>INDEX('Data_Price '!AH$2:AH$1266,MATCH(Data!$DN743,'Data_Price '!$AT$2:$AT$1266,0))</f>
        <v>The Pro Shop</v>
      </c>
      <c r="CZ743">
        <f>INDEX('Data_Price '!AI$2:AI$1266,MATCH(Data!$DN743,'Data_Price '!$AT$2:$AT$1266,0))</f>
        <v>399.99</v>
      </c>
      <c r="DA743" t="str">
        <f>INDEX('Data_Price '!AJ$2:AJ$1266,MATCH(Data!$DN743,'Data_Price '!$AT$2:$AT$1266,0))</f>
        <v>https://tinyurl.com/y8htf78q</v>
      </c>
      <c r="DB743" t="str">
        <f>INDEX('Data_Price '!AK$2:AK$1266,MATCH(Data!$DN743,'Data_Price '!$AT$2:$AT$1266,0))</f>
        <v>Nordica Wild Belle 78 CA Women's Ski &amp; 10 FDT Binding 2022 - 150</v>
      </c>
      <c r="DC743" t="str">
        <f>INDEX('Data_Price '!AL$2:AL$1266,MATCH(Data!$DN743,'Data_Price '!$AT$2:$AT$1266,0))</f>
        <v>Gear West Ski &amp; Bike</v>
      </c>
      <c r="DD743">
        <f>INDEX('Data_Price '!AM$2:AM$1266,MATCH(Data!$DN743,'Data_Price '!$AT$2:$AT$1266,0))</f>
        <v>499.99</v>
      </c>
      <c r="DE743" t="str">
        <f>INDEX('Data_Price '!AN$2:AN$1266,MATCH(Data!$DN743,'Data_Price '!$AT$2:$AT$1266,0))</f>
        <v>https://tinyurl.com/y88khzta</v>
      </c>
      <c r="DF743" t="str">
        <f>INDEX('Data_Price '!AO$2:AO$1266,MATCH(Data!$DN743,'Data_Price '!$AT$2:$AT$1266,0))</f>
        <v>Nordica Wild Belle DC 84 w/ TP2 11 Women's</v>
      </c>
      <c r="DG743" t="str">
        <f>INDEX('Data_Price '!AP$2:AP$1266,MATCH(Data!$DN743,'Data_Price '!$AT$2:$AT$1266,0))</f>
        <v>Buyr.com</v>
      </c>
      <c r="DH743">
        <f>INDEX('Data_Price '!AQ$2:AQ$1266,MATCH(Data!$DN743,'Data_Price '!$AT$2:$AT$1266,0))</f>
        <v>599.99</v>
      </c>
      <c r="DI743" t="str">
        <f>INDEX('Data_Price '!AR$2:AR$1266,MATCH(Data!$DN743,'Data_Price '!$AT$2:$AT$1266,0))</f>
        <v>https://tinyurl.com/ybaku9cz</v>
      </c>
      <c r="DJ743" s="89" t="str">
        <f t="shared" si="439"/>
        <v>https://tinyurl.com/y8htf78q</v>
      </c>
      <c r="DK743" s="89" t="str">
        <f t="shared" si="440"/>
        <v>https://tinyurl.com/y88khzta</v>
      </c>
      <c r="DL743" s="89" t="str">
        <f t="shared" si="441"/>
        <v>https://tinyurl.com/ybaku9cz</v>
      </c>
      <c r="DM743" s="219" t="str">
        <f t="shared" si="442"/>
        <v>Wild Belle 74</v>
      </c>
      <c r="DN743" s="89" t="str">
        <f t="shared" si="443"/>
        <v xml:space="preserve"> NordicaWild Belle 74150 Women's</v>
      </c>
      <c r="DO743" s="221"/>
    </row>
    <row r="744" spans="1:119" ht="15.6" customHeight="1">
      <c r="B744" s="219" t="b">
        <f t="array" ref="B744">IF(OR(ISERROR(K744:P744)),FALSE,TRUE)</f>
        <v>1</v>
      </c>
      <c r="C744" s="43" t="b">
        <f>OR(BR744=Driver!$G$50,Data!BR395=Driver!$H$50)</f>
        <v>1</v>
      </c>
      <c r="D744" s="43" t="b">
        <f>OR(BV744=Driver!$G$51,BV744=Driver!$H$51)</f>
        <v>1</v>
      </c>
      <c r="E744" s="43" t="b">
        <f>AND(BX744&gt;Driver!$F$54,BX744&lt;Driver!$G$54)</f>
        <v>0</v>
      </c>
      <c r="F744" s="43" t="b">
        <f>CL744&gt;Driver!$F$56</f>
        <v>1</v>
      </c>
      <c r="G744" s="43" t="b">
        <f>AND(CB744&gt;Driver!$F$55,CB744&lt;Driver!$G$55)</f>
        <v>0</v>
      </c>
      <c r="H744" s="43" t="b">
        <f t="shared" si="407"/>
        <v>0</v>
      </c>
      <c r="I744" s="43">
        <f t="shared" si="408"/>
        <v>0</v>
      </c>
      <c r="J744" s="43" t="b">
        <f t="array" ref="J744">NOT(OR(($H$9:$H$1273=TRUE)*($I$9:$I$1273&gt;0)*($BT$9:$BT$1273=BT744)*($K$9:$K$1273&gt;K744)))</f>
        <v>1</v>
      </c>
      <c r="K744" s="72">
        <f t="shared" si="409"/>
        <v>0.80973547259299128</v>
      </c>
      <c r="L744" s="72">
        <f t="shared" si="410"/>
        <v>0.94592562334964181</v>
      </c>
      <c r="M744" s="72">
        <f t="shared" si="411"/>
        <v>0.67354532183634075</v>
      </c>
      <c r="N744" s="72">
        <f t="shared" si="412"/>
        <v>0.59052606131631802</v>
      </c>
      <c r="O744" s="72">
        <f t="shared" si="413"/>
        <v>0.64974670406033064</v>
      </c>
      <c r="P744" s="72">
        <f t="shared" si="414"/>
        <v>0.7803632001323737</v>
      </c>
      <c r="Q744" s="72"/>
      <c r="R744" s="72"/>
      <c r="S744" s="72">
        <f t="shared" si="415"/>
        <v>0.5878716523437858</v>
      </c>
      <c r="T744" s="72">
        <f t="shared" si="416"/>
        <v>0.65469044867921766</v>
      </c>
      <c r="U744" s="72">
        <f t="shared" si="417"/>
        <v>0.51</v>
      </c>
      <c r="V744" s="72">
        <f t="shared" si="418"/>
        <v>0.49622301107121858</v>
      </c>
      <c r="W744" s="72">
        <f t="shared" si="419"/>
        <v>0.75749602332979848</v>
      </c>
      <c r="X744" s="72">
        <f t="shared" si="420"/>
        <v>5.4074376650358164E-2</v>
      </c>
      <c r="Y744" s="72">
        <f t="shared" si="421"/>
        <v>0.32645467816365925</v>
      </c>
      <c r="Z744" s="72">
        <f t="shared" si="422"/>
        <v>0.40947393868368198</v>
      </c>
      <c r="AA744" s="72">
        <f t="shared" si="423"/>
        <v>0.35025329593966942</v>
      </c>
      <c r="AB744" s="72">
        <f t="shared" si="424"/>
        <v>0.2196367998676263</v>
      </c>
      <c r="AC744" s="72"/>
      <c r="AD744" s="72"/>
      <c r="AE744" s="72">
        <f t="shared" si="425"/>
        <v>0.4121283476562142</v>
      </c>
      <c r="AF744" s="72">
        <f t="shared" si="426"/>
        <v>0.34530955132078234</v>
      </c>
      <c r="AG744" s="72">
        <f t="shared" si="427"/>
        <v>0.49</v>
      </c>
      <c r="AH744" s="72">
        <f t="shared" si="428"/>
        <v>0.50377698892878142</v>
      </c>
      <c r="AI744" s="72">
        <f t="shared" si="429"/>
        <v>0.24250397667020149</v>
      </c>
      <c r="AJ744" s="72">
        <f>(AV744-Driver!$K$179)/(Driver!$L$179-Driver!$K$179)</f>
        <v>0.20014503263234226</v>
      </c>
      <c r="AK744" s="72">
        <f>(AW744-Driver!$K$180)/(Driver!$L$180-Driver!$K$180)</f>
        <v>0.48260748678118076</v>
      </c>
      <c r="AL744" s="72">
        <f>(AX744-Driver!$K$181)/(Driver!$L$181-Driver!$K$181)</f>
        <v>0.51116170239676217</v>
      </c>
      <c r="AM744" s="72">
        <f>(AY744-Driver!$K$182)/(Driver!$L$182-Driver!$K$182)</f>
        <v>9.7131725157376961E-2</v>
      </c>
      <c r="AN744" s="72">
        <f>(AZ744-Driver!$K$183)/(Driver!$L$183-Driver!$K$183)</f>
        <v>0.47385620915032672</v>
      </c>
      <c r="AO744" s="72"/>
      <c r="AP744" s="72"/>
      <c r="AQ744" s="72">
        <f>(BC744-Driver!$K$188)/(Driver!$L$188-Driver!$K$188)</f>
        <v>0.2078716523437858</v>
      </c>
      <c r="AR744" s="72">
        <f>MIN((BD744-Driver!$K$189)/(Driver!$L$189-Driver!$K$189),100%)</f>
        <v>0.20469044867921773</v>
      </c>
      <c r="AS744" s="72">
        <f>(BE744-Driver!$K$190)/(Driver!$L$190-Driver!$K$190)</f>
        <v>1</v>
      </c>
      <c r="AT744" s="72">
        <f>(BF744-Driver!$K$191)/(Driver!$L$191-Driver!$K$191)</f>
        <v>6.2230110712185541E-3</v>
      </c>
      <c r="AU744" s="72">
        <f>(BG744-Driver!$K$192)/(Driver!$L$192-Driver!$K$192)</f>
        <v>7.4960233297985141E-3</v>
      </c>
      <c r="AV744" s="70">
        <f t="shared" si="430"/>
        <v>4.2124542124542126</v>
      </c>
      <c r="AW744" s="70">
        <f t="shared" si="431"/>
        <v>48.906268545642135</v>
      </c>
      <c r="AX744" s="70">
        <f t="shared" si="432"/>
        <v>5.6004553215708599</v>
      </c>
      <c r="AY744" s="70">
        <f>IFERROR(Driver!$K$19/Data!BH744/Data!BI744*Data!BK744*Data!BL744,"")</f>
        <v>0.11891821290225255</v>
      </c>
      <c r="AZ744" s="70">
        <f t="shared" si="433"/>
        <v>43.186895011169021</v>
      </c>
      <c r="BA744" s="70"/>
      <c r="BB744" s="70"/>
      <c r="BC744" s="70">
        <f t="shared" si="434"/>
        <v>107.82447117100409</v>
      </c>
      <c r="BD744" s="70">
        <f t="shared" si="435"/>
        <v>19.835564902194935</v>
      </c>
      <c r="BE744" s="70">
        <f t="shared" si="436"/>
        <v>1</v>
      </c>
      <c r="BF744" s="70">
        <f t="shared" si="437"/>
        <v>0.70284538136703023</v>
      </c>
      <c r="BG744" s="70">
        <f t="shared" si="438"/>
        <v>2.8384726272534463E-2</v>
      </c>
      <c r="BH744" s="67">
        <f>MAX((CE744-Driver!$F$200)/(Driver!$G$200-Driver!$F$200)*$BI$1,1)</f>
        <v>5.6004553215708599</v>
      </c>
      <c r="BI744" s="67">
        <f>MAX($BI$1*(BY744-Driver!$F$201)/(Driver!$G$201-Driver!$F$201),1)</f>
        <v>9.1772151898734169</v>
      </c>
      <c r="BJ744" s="67">
        <f>(CB744-Driver!$F$206)/(Driver!$G$206-Driver!$F$206)*$BI$1</f>
        <v>2.8571428571428568</v>
      </c>
      <c r="BK744" s="67">
        <f>(CD744-Driver!$F$203)/(Driver!$G$203-Driver!$F$203)*$BI$1</f>
        <v>4.2201834862385326</v>
      </c>
      <c r="BL744" s="67">
        <f>MAX((CR744-Driver!$F$202)/(Driver!$G$202-Driver!$F$202)*$BI$1,1)</f>
        <v>7.2413793103448274</v>
      </c>
      <c r="BM744" s="67">
        <f>MAX((CH744-Driver!$F$204)/(Driver!$G$204-Driver!$F$204)*$BI$1,1)</f>
        <v>5.8974358974358978</v>
      </c>
      <c r="BN744" s="67">
        <f>(CI744-Driver!$F$205)/(Driver!$G$205-Driver!$F$205)*$BI$1</f>
        <v>4.7058823529411766</v>
      </c>
      <c r="BO744" s="67">
        <f>(CK744-Driver!$F$207)/(Driver!$G$207-Driver!$F$207)*$BI$1</f>
        <v>1.4374353671147879</v>
      </c>
      <c r="BP744" s="67">
        <f>(CM744-Driver!$F$208)/(Driver!$G$208-Driver!$F$208)*$BI$1</f>
        <v>0.7222222222222221</v>
      </c>
      <c r="BQ744" s="67">
        <f>(CL744-Driver!$F$209)/(Driver!$G$209-Driver!$F$209)*$BI$1</f>
        <v>0.9375</v>
      </c>
      <c r="BR744" s="28" t="s">
        <v>155</v>
      </c>
      <c r="BS744" s="8" t="s">
        <v>202</v>
      </c>
      <c r="BT744" s="9" t="s">
        <v>420</v>
      </c>
      <c r="BU744" s="10">
        <v>184</v>
      </c>
      <c r="BV744" s="9" t="s">
        <v>158</v>
      </c>
      <c r="BW744" s="10">
        <v>184</v>
      </c>
      <c r="BX744" s="10">
        <v>184.4</v>
      </c>
      <c r="BY744" s="10">
        <v>153</v>
      </c>
      <c r="BZ744" s="10">
        <v>152</v>
      </c>
      <c r="CA744" s="10">
        <v>121</v>
      </c>
      <c r="CB744" s="10">
        <v>82</v>
      </c>
      <c r="CC744" s="10">
        <v>104</v>
      </c>
      <c r="CD744" s="10">
        <v>18.600000000000001</v>
      </c>
      <c r="CE744" s="10">
        <v>1884</v>
      </c>
      <c r="CF744" s="10">
        <v>0.92</v>
      </c>
      <c r="CG744" s="10">
        <v>1740</v>
      </c>
      <c r="CH744" s="10">
        <v>239</v>
      </c>
      <c r="CI744" s="10">
        <v>113</v>
      </c>
      <c r="CJ744" s="10">
        <v>39</v>
      </c>
      <c r="CK744" s="10">
        <v>249</v>
      </c>
      <c r="CL744" s="10">
        <v>6</v>
      </c>
      <c r="CM744" s="10">
        <v>65</v>
      </c>
      <c r="CN744" s="10">
        <v>0.14499999999999999</v>
      </c>
      <c r="CO744" s="10">
        <v>164</v>
      </c>
      <c r="CP744" s="10">
        <v>162</v>
      </c>
      <c r="CQ744" s="10">
        <v>85</v>
      </c>
      <c r="CR744" s="10">
        <v>10</v>
      </c>
      <c r="CS744" s="10">
        <v>6.9</v>
      </c>
      <c r="CT744" s="9" t="s">
        <v>349</v>
      </c>
      <c r="CU744" s="9" t="s">
        <v>231</v>
      </c>
      <c r="CV744" s="9" t="s">
        <v>188</v>
      </c>
      <c r="CW744" s="10"/>
      <c r="CX744" t="str">
        <f>INDEX('Data_Price '!AG$2:AG$1266,MATCH(Data!$DN744,'Data_Price '!$AT$2:$AT$1266,0))</f>
        <v>Dynastar M-Pro 84 Skis Â· 184 cm</v>
      </c>
      <c r="CY744" t="str">
        <f>INDEX('Data_Price '!AH$2:AH$1266,MATCH(Data!$DN744,'Data_Price '!$AT$2:$AT$1266,0))</f>
        <v>eBay - david110549</v>
      </c>
      <c r="CZ744">
        <f>INDEX('Data_Price '!AI$2:AI$1266,MATCH(Data!$DN744,'Data_Price '!$AT$2:$AT$1266,0))</f>
        <v>399.96</v>
      </c>
      <c r="DA744" t="str">
        <f>INDEX('Data_Price '!AJ$2:AJ$1266,MATCH(Data!$DN744,'Data_Price '!$AT$2:$AT$1266,0))</f>
        <v>https://tinyurl.com/yahl8f25</v>
      </c>
      <c r="DB744" t="str">
        <f>INDEX('Data_Price '!AK$2:AK$1266,MATCH(Data!$DN744,'Data_Price '!$AT$2:$AT$1266,0))</f>
        <v>Dynastar M-Pro 84 Skis Â· 184 cm</v>
      </c>
      <c r="DC744" t="str">
        <f>INDEX('Data_Price '!AL$2:AL$1266,MATCH(Data!$DN744,'Data_Price '!$AT$2:$AT$1266,0))</f>
        <v>SkiEssentials.com</v>
      </c>
      <c r="DD744">
        <f>INDEX('Data_Price '!AM$2:AM$1266,MATCH(Data!$DN744,'Data_Price '!$AT$2:$AT$1266,0))</f>
        <v>399.99</v>
      </c>
      <c r="DE744" t="str">
        <f>INDEX('Data_Price '!AN$2:AN$1266,MATCH(Data!$DN744,'Data_Price '!$AT$2:$AT$1266,0))</f>
        <v>https://tinyurl.com/y77oubvx</v>
      </c>
      <c r="DF744" t="str">
        <f>INDEX('Data_Price '!AO$2:AO$1266,MATCH(Data!$DN744,'Data_Price '!$AT$2:$AT$1266,0))</f>
        <v>Dynastar M-Pro 84 Skis Â· 184 cm</v>
      </c>
      <c r="DG744" t="str">
        <f>INDEX('Data_Price '!AP$2:AP$1266,MATCH(Data!$DN744,'Data_Price '!$AT$2:$AT$1266,0))</f>
        <v>Backpacking United</v>
      </c>
      <c r="DH744">
        <f>INDEX('Data_Price '!AQ$2:AQ$1266,MATCH(Data!$DN744,'Data_Price '!$AT$2:$AT$1266,0))</f>
        <v>415.85</v>
      </c>
      <c r="DI744" t="str">
        <f>INDEX('Data_Price '!AR$2:AR$1266,MATCH(Data!$DN744,'Data_Price '!$AT$2:$AT$1266,0))</f>
        <v>https://tinyurl.com/yafumyp7</v>
      </c>
      <c r="DJ744" s="89" t="str">
        <f t="shared" si="439"/>
        <v>https://tinyurl.com/yahl8f25</v>
      </c>
      <c r="DK744" s="89" t="str">
        <f t="shared" si="440"/>
        <v>https://tinyurl.com/y77oubvx</v>
      </c>
      <c r="DL744" s="89" t="str">
        <f t="shared" si="441"/>
        <v>https://tinyurl.com/yafumyp7</v>
      </c>
      <c r="DM744" s="219" t="str">
        <f t="shared" si="442"/>
        <v>M-Pro 84</v>
      </c>
      <c r="DN744" s="89" t="str">
        <f t="shared" si="443"/>
        <v xml:space="preserve"> DynastarM-Pro 84184 Unisex</v>
      </c>
      <c r="DO744" s="221" t="s">
        <v>421</v>
      </c>
    </row>
    <row r="745" spans="1:119" ht="15.6" customHeight="1">
      <c r="B745" s="219" t="b">
        <f t="array" ref="B745">IF(OR(ISERROR(K745:P745)),FALSE,TRUE)</f>
        <v>1</v>
      </c>
      <c r="C745" s="43" t="b">
        <f>OR(BR745=Driver!$G$50,Data!BR635=Driver!$H$50)</f>
        <v>1</v>
      </c>
      <c r="D745" s="43" t="b">
        <f>OR(BV745=Driver!$G$51,BV745=Driver!$H$51)</f>
        <v>1</v>
      </c>
      <c r="E745" s="43" t="b">
        <f>AND(BX745&gt;Driver!$F$54,BX745&lt;Driver!$G$54)</f>
        <v>0</v>
      </c>
      <c r="F745" s="43" t="b">
        <f>CL745&gt;Driver!$F$56</f>
        <v>1</v>
      </c>
      <c r="G745" s="43" t="b">
        <f>AND(CB745&gt;Driver!$F$55,CB745&lt;Driver!$G$55)</f>
        <v>0</v>
      </c>
      <c r="H745" s="43" t="b">
        <f t="shared" si="407"/>
        <v>0</v>
      </c>
      <c r="I745" s="43">
        <f t="shared" si="408"/>
        <v>0</v>
      </c>
      <c r="J745" s="43" t="b">
        <f t="array" ref="J745">NOT(OR(($H$9:$H$1273=TRUE)*($I$9:$I$1273&gt;0)*($BT$9:$BT$1273=BT745)*($K$9:$K$1273&gt;K745)))</f>
        <v>1</v>
      </c>
      <c r="K745" s="72">
        <f t="shared" si="409"/>
        <v>0.8234643336297518</v>
      </c>
      <c r="L745" s="72">
        <f t="shared" si="410"/>
        <v>0.85407162286619975</v>
      </c>
      <c r="M745" s="72">
        <f t="shared" si="411"/>
        <v>0.79285704439330384</v>
      </c>
      <c r="N745" s="72">
        <f t="shared" si="412"/>
        <v>0.74166752719881979</v>
      </c>
      <c r="O745" s="72">
        <f t="shared" si="413"/>
        <v>0.71669491068862867</v>
      </c>
      <c r="P745" s="72">
        <f t="shared" si="414"/>
        <v>0.92020869529246296</v>
      </c>
      <c r="Q745" s="72"/>
      <c r="R745" s="72"/>
      <c r="S745" s="72">
        <f t="shared" si="415"/>
        <v>0.44601912410880451</v>
      </c>
      <c r="T745" s="72">
        <f t="shared" si="416"/>
        <v>0.46581675563852953</v>
      </c>
      <c r="U745" s="72">
        <f t="shared" si="417"/>
        <v>0.64355554585801844</v>
      </c>
      <c r="V745" s="72">
        <f t="shared" si="418"/>
        <v>0.50775757629946083</v>
      </c>
      <c r="W745" s="72">
        <f t="shared" si="419"/>
        <v>0.9255327181208054</v>
      </c>
      <c r="X745" s="72">
        <f t="shared" si="420"/>
        <v>0.14592837713380025</v>
      </c>
      <c r="Y745" s="72">
        <f t="shared" si="421"/>
        <v>0.20714295560669618</v>
      </c>
      <c r="Z745" s="72">
        <f t="shared" si="422"/>
        <v>0.25833247280118021</v>
      </c>
      <c r="AA745" s="72">
        <f t="shared" si="423"/>
        <v>0.28330508931137138</v>
      </c>
      <c r="AB745" s="72">
        <f t="shared" si="424"/>
        <v>7.9791304707537036E-2</v>
      </c>
      <c r="AC745" s="72"/>
      <c r="AD745" s="72"/>
      <c r="AE745" s="72">
        <f t="shared" si="425"/>
        <v>0.55398087589119549</v>
      </c>
      <c r="AF745" s="72">
        <f t="shared" si="426"/>
        <v>0.53418324436147047</v>
      </c>
      <c r="AG745" s="72">
        <f t="shared" si="427"/>
        <v>0.35644445414198156</v>
      </c>
      <c r="AH745" s="72">
        <f t="shared" si="428"/>
        <v>0.49224242370053911</v>
      </c>
      <c r="AI745" s="72">
        <f t="shared" si="429"/>
        <v>7.4467281879194602E-2</v>
      </c>
      <c r="AJ745" s="72">
        <f>(AV745-Driver!$K$179)/(Driver!$L$179-Driver!$K$179)</f>
        <v>0.10829103214890017</v>
      </c>
      <c r="AK745" s="72">
        <f>(AW745-Driver!$K$180)/(Driver!$L$180-Driver!$K$180)</f>
        <v>0.18947910024336226</v>
      </c>
      <c r="AL745" s="72">
        <f>(AX745-Driver!$K$181)/(Driver!$L$181-Driver!$K$181)</f>
        <v>0.36002023651426041</v>
      </c>
      <c r="AM745" s="72">
        <f>(AY745-Driver!$K$182)/(Driver!$L$182-Driver!$K$182)</f>
        <v>0.16407993178567498</v>
      </c>
      <c r="AN745" s="72">
        <f>(AZ745-Driver!$K$183)/(Driver!$L$183-Driver!$K$183)</f>
        <v>0.17442810457516339</v>
      </c>
      <c r="AO745" s="72"/>
      <c r="AP745" s="72"/>
      <c r="AQ745" s="72">
        <f>(BC745-Driver!$K$188)/(Driver!$L$188-Driver!$K$188)</f>
        <v>6.6019124108804533E-2</v>
      </c>
      <c r="AR745" s="72">
        <f>MIN((BD745-Driver!$K$189)/(Driver!$L$189-Driver!$K$189),100%)</f>
        <v>1.5816755638529606E-2</v>
      </c>
      <c r="AS745" s="72">
        <f>(BE745-Driver!$K$190)/(Driver!$L$190-Driver!$K$190)</f>
        <v>0.15355554585801845</v>
      </c>
      <c r="AT745" s="72">
        <f>(BF745-Driver!$K$191)/(Driver!$L$191-Driver!$K$191)</f>
        <v>1.7757576299460901E-2</v>
      </c>
      <c r="AU745" s="72">
        <f>(BG745-Driver!$K$192)/(Driver!$L$192-Driver!$K$192)</f>
        <v>0.1755327181208054</v>
      </c>
      <c r="AV745" s="70">
        <f t="shared" si="430"/>
        <v>2.2792022792022792</v>
      </c>
      <c r="AW745" s="70">
        <f t="shared" si="431"/>
        <v>20.338309895799483</v>
      </c>
      <c r="AX745" s="70">
        <f t="shared" si="432"/>
        <v>4.2401821286283434</v>
      </c>
      <c r="AY745" s="70">
        <f>IFERROR(Driver!$K$19/Data!BH745/Data!BI745*Data!BK745*Data!BL745,"")</f>
        <v>0.20088279323219729</v>
      </c>
      <c r="AZ745" s="70">
        <f t="shared" si="433"/>
        <v>15.897244973938943</v>
      </c>
      <c r="BA745" s="70"/>
      <c r="BB745" s="70"/>
      <c r="BC745" s="70">
        <f t="shared" si="434"/>
        <v>34.244578632741785</v>
      </c>
      <c r="BD745" s="70">
        <f t="shared" si="435"/>
        <v>3.1205777324749695</v>
      </c>
      <c r="BE745" s="70">
        <f t="shared" si="436"/>
        <v>0.15370654202149922</v>
      </c>
      <c r="BF745" s="70">
        <f t="shared" si="437"/>
        <v>2.0055934889900189</v>
      </c>
      <c r="BG745" s="70">
        <f t="shared" si="438"/>
        <v>0.66467884857382564</v>
      </c>
      <c r="BH745" s="67">
        <f>MAX((CE745-Driver!$F$200)/(Driver!$G$200-Driver!$F$200)*$BI$1,1)</f>
        <v>4.2401821286283434</v>
      </c>
      <c r="BI745" s="67">
        <f>MAX($BI$1*(BY745-Driver!$F$201)/(Driver!$G$201-Driver!$F$201),1)</f>
        <v>7.7215189873417724</v>
      </c>
      <c r="BJ745" s="67">
        <f>(CB745-Driver!$F$206)/(Driver!$G$206-Driver!$F$206)*$BI$1</f>
        <v>4.4444444444444446</v>
      </c>
      <c r="BK745" s="67">
        <f>(CD745-Driver!$F$203)/(Driver!$G$203-Driver!$F$203)*$BI$1</f>
        <v>4.5412844036697253</v>
      </c>
      <c r="BL745" s="67">
        <f>MAX((CR745-Driver!$F$202)/(Driver!$G$202-Driver!$F$202)*$BI$1,1)</f>
        <v>7.2413793103448274</v>
      </c>
      <c r="BM745" s="67">
        <f>MAX((CH745-Driver!$F$204)/(Driver!$G$204-Driver!$F$204)*$BI$1,1)</f>
        <v>2.0512820512820511</v>
      </c>
      <c r="BN745" s="67">
        <f>(CI745-Driver!$F$205)/(Driver!$G$205-Driver!$F$205)*$BI$1</f>
        <v>2.0588235294117645</v>
      </c>
      <c r="BO745" s="67">
        <f>(CK745-Driver!$F$207)/(Driver!$G$207-Driver!$F$207)*$BI$1</f>
        <v>1.2719751809720785</v>
      </c>
      <c r="BP745" s="67">
        <f>(CM745-Driver!$F$208)/(Driver!$G$208-Driver!$F$208)*$BI$1</f>
        <v>1.6111111111111112</v>
      </c>
      <c r="BQ745" s="67">
        <f>(CL745-Driver!$F$209)/(Driver!$G$209-Driver!$F$209)*$BI$1</f>
        <v>5.78125</v>
      </c>
      <c r="BR745" s="28" t="s">
        <v>155</v>
      </c>
      <c r="BS745" s="8" t="s">
        <v>167</v>
      </c>
      <c r="BT745" s="9" t="s">
        <v>393</v>
      </c>
      <c r="BU745" s="10">
        <v>170</v>
      </c>
      <c r="BV745" s="9" t="s">
        <v>158</v>
      </c>
      <c r="BW745" s="10">
        <v>170</v>
      </c>
      <c r="BX745" s="10">
        <v>168.1</v>
      </c>
      <c r="BY745" s="10">
        <v>130</v>
      </c>
      <c r="BZ745" s="10">
        <v>150</v>
      </c>
      <c r="CA745" s="10">
        <v>125</v>
      </c>
      <c r="CB745" s="10">
        <v>92</v>
      </c>
      <c r="CC745" s="10">
        <v>116</v>
      </c>
      <c r="CD745" s="10">
        <v>19.3</v>
      </c>
      <c r="CE745" s="10">
        <v>1645</v>
      </c>
      <c r="CF745" s="10">
        <v>1.04</v>
      </c>
      <c r="CG745" s="10">
        <v>1712</v>
      </c>
      <c r="CH745" s="10">
        <v>149</v>
      </c>
      <c r="CI745" s="10">
        <v>68</v>
      </c>
      <c r="CJ745" s="10">
        <v>53</v>
      </c>
      <c r="CK745" s="10">
        <v>233</v>
      </c>
      <c r="CL745" s="10">
        <v>37</v>
      </c>
      <c r="CM745" s="10">
        <v>145</v>
      </c>
      <c r="CN745" s="10">
        <v>0.70299999999999996</v>
      </c>
      <c r="CO745" s="10">
        <v>97</v>
      </c>
      <c r="CP745" s="10">
        <v>88</v>
      </c>
      <c r="CQ745" s="10">
        <v>137</v>
      </c>
      <c r="CR745" s="10">
        <v>10</v>
      </c>
      <c r="CS745" s="10">
        <v>5.6</v>
      </c>
      <c r="CT745" s="9" t="s">
        <v>188</v>
      </c>
      <c r="CU745" s="10"/>
      <c r="CV745" s="10"/>
      <c r="CW745" s="10"/>
      <c r="CX745" t="str">
        <f>INDEX('Data_Price '!AG$2:AG$1266,MATCH(Data!$DN745,'Data_Price '!$AT$2:$AT$1266,0))</f>
        <v>Head Oblivion 94 Gr/Bl / 170cm</v>
      </c>
      <c r="CY745" t="str">
        <f>INDEX('Data_Price '!AH$2:AH$1266,MATCH(Data!$DN745,'Data_Price '!$AT$2:$AT$1266,0))</f>
        <v>Sundance Ski and Board Shop</v>
      </c>
      <c r="CZ745">
        <f>INDEX('Data_Price '!AI$2:AI$1266,MATCH(Data!$DN745,'Data_Price '!$AT$2:$AT$1266,0))</f>
        <v>440.79</v>
      </c>
      <c r="DA745" t="str">
        <f>INDEX('Data_Price '!AJ$2:AJ$1266,MATCH(Data!$DN745,'Data_Price '!$AT$2:$AT$1266,0))</f>
        <v>https://tinyurl.com/y7x8bfkh</v>
      </c>
      <c r="DB745" t="str">
        <f>INDEX('Data_Price '!AK$2:AK$1266,MATCH(Data!$DN745,'Data_Price '!$AT$2:$AT$1266,0))</f>
        <v>Head Oblivion 94 Skis 2022 - 170</v>
      </c>
      <c r="DC745" t="str">
        <f>INDEX('Data_Price '!AL$2:AL$1266,MATCH(Data!$DN745,'Data_Price '!$AT$2:$AT$1266,0))</f>
        <v>eBay - skitrader-com</v>
      </c>
      <c r="DD745">
        <f>INDEX('Data_Price '!AM$2:AM$1266,MATCH(Data!$DN745,'Data_Price '!$AT$2:$AT$1266,0))</f>
        <v>494.99</v>
      </c>
      <c r="DE745" t="str">
        <f>INDEX('Data_Price '!AN$2:AN$1266,MATCH(Data!$DN745,'Data_Price '!$AT$2:$AT$1266,0))</f>
        <v>https://tinyurl.com/ycbstwl9</v>
      </c>
      <c r="DF745" t="str">
        <f>INDEX('Data_Price '!AO$2:AO$1266,MATCH(Data!$DN745,'Data_Price '!$AT$2:$AT$1266,0))</f>
        <v>Head Oblivion 94 Skis 2022 - 170</v>
      </c>
      <c r="DG745" t="str">
        <f>INDEX('Data_Price '!AP$2:AP$1266,MATCH(Data!$DN745,'Data_Price '!$AT$2:$AT$1266,0))</f>
        <v>evo.com</v>
      </c>
      <c r="DH745">
        <f>INDEX('Data_Price '!AQ$2:AQ$1266,MATCH(Data!$DN745,'Data_Price '!$AT$2:$AT$1266,0))</f>
        <v>499</v>
      </c>
      <c r="DI745" t="str">
        <f>INDEX('Data_Price '!AR$2:AR$1266,MATCH(Data!$DN745,'Data_Price '!$AT$2:$AT$1266,0))</f>
        <v>https://tinyurl.com/y7z8h6pt</v>
      </c>
      <c r="DJ745" s="89" t="str">
        <f t="shared" si="439"/>
        <v>https://tinyurl.com/y7x8bfkh</v>
      </c>
      <c r="DK745" s="89" t="str">
        <f t="shared" si="440"/>
        <v>https://tinyurl.com/ycbstwl9</v>
      </c>
      <c r="DL745" s="89" t="str">
        <f t="shared" si="441"/>
        <v>https://tinyurl.com/y7z8h6pt</v>
      </c>
      <c r="DM745" s="219" t="str">
        <f t="shared" si="442"/>
        <v>Oblivion 94</v>
      </c>
      <c r="DN745" s="89" t="str">
        <f t="shared" si="443"/>
        <v xml:space="preserve"> HeadOblivion 94170 Unisex</v>
      </c>
      <c r="DO745" s="221" t="s">
        <v>394</v>
      </c>
    </row>
    <row r="746" spans="1:119" ht="15.6" customHeight="1">
      <c r="B746" s="219" t="b">
        <f t="array" ref="B746">IF(OR(ISERROR(K746:P746)),FALSE,TRUE)</f>
        <v>1</v>
      </c>
      <c r="C746" s="43" t="b">
        <f>OR(BR746=Driver!$G$50,Data!BR616=Driver!$H$50)</f>
        <v>1</v>
      </c>
      <c r="D746" s="43" t="b">
        <f>OR(BV746=Driver!$G$51,BV746=Driver!$H$51)</f>
        <v>1</v>
      </c>
      <c r="E746" s="43" t="b">
        <f>AND(BX746&gt;Driver!$F$54,BX746&lt;Driver!$G$54)</f>
        <v>0</v>
      </c>
      <c r="F746" s="43" t="b">
        <f>CL746&gt;Driver!$F$56</f>
        <v>1</v>
      </c>
      <c r="G746" s="43" t="b">
        <f>AND(CB746&gt;Driver!$F$55,CB746&lt;Driver!$G$55)</f>
        <v>0</v>
      </c>
      <c r="H746" s="43" t="b">
        <f t="shared" si="407"/>
        <v>0</v>
      </c>
      <c r="I746" s="43">
        <f t="shared" si="408"/>
        <v>0</v>
      </c>
      <c r="J746" s="43" t="b">
        <f t="array" ref="J746">NOT(OR(($H$9:$H$1273=TRUE)*($I$9:$I$1273&gt;0)*($BT$9:$BT$1273=BT746)*($K$9:$K$1273&gt;K746)))</f>
        <v>1</v>
      </c>
      <c r="K746" s="72">
        <f t="shared" si="409"/>
        <v>0.80506539672572675</v>
      </c>
      <c r="L746" s="72">
        <f t="shared" si="410"/>
        <v>0.88613994935076978</v>
      </c>
      <c r="M746" s="72">
        <f t="shared" si="411"/>
        <v>0.72399084410068371</v>
      </c>
      <c r="N746" s="72">
        <f t="shared" si="412"/>
        <v>0.59748236309333702</v>
      </c>
      <c r="O746" s="72">
        <f t="shared" si="413"/>
        <v>0.61600533012540137</v>
      </c>
      <c r="P746" s="72">
        <f t="shared" si="414"/>
        <v>0.95848483908331261</v>
      </c>
      <c r="Q746" s="72"/>
      <c r="R746" s="72"/>
      <c r="S746" s="72">
        <f t="shared" si="415"/>
        <v>0.42388235753105241</v>
      </c>
      <c r="T746" s="72">
        <f t="shared" si="416"/>
        <v>0.56235276140478407</v>
      </c>
      <c r="U746" s="72">
        <f t="shared" si="417"/>
        <v>0.97673287847617218</v>
      </c>
      <c r="V746" s="72">
        <f t="shared" si="418"/>
        <v>0.5142553173327431</v>
      </c>
      <c r="W746" s="72">
        <f t="shared" si="419"/>
        <v>0.77862588394103482</v>
      </c>
      <c r="X746" s="72">
        <f t="shared" si="420"/>
        <v>0.11386005064923016</v>
      </c>
      <c r="Y746" s="72">
        <f t="shared" si="421"/>
        <v>0.27600915589931635</v>
      </c>
      <c r="Z746" s="72">
        <f t="shared" si="422"/>
        <v>0.40251763690666298</v>
      </c>
      <c r="AA746" s="72">
        <f t="shared" si="423"/>
        <v>0.38399466987459863</v>
      </c>
      <c r="AB746" s="72">
        <f t="shared" si="424"/>
        <v>4.151516091668736E-2</v>
      </c>
      <c r="AC746" s="72"/>
      <c r="AD746" s="72"/>
      <c r="AE746" s="72">
        <f t="shared" si="425"/>
        <v>0.57611764246894759</v>
      </c>
      <c r="AF746" s="72">
        <f t="shared" si="426"/>
        <v>0.43764723859521598</v>
      </c>
      <c r="AG746" s="72">
        <f t="shared" si="427"/>
        <v>2.3267121523827816E-2</v>
      </c>
      <c r="AH746" s="72">
        <f t="shared" si="428"/>
        <v>0.48574468266725684</v>
      </c>
      <c r="AI746" s="72">
        <f t="shared" si="429"/>
        <v>0.2213741160589652</v>
      </c>
      <c r="AJ746" s="72">
        <f>(AV746-Driver!$K$179)/(Driver!$L$179-Driver!$K$179)</f>
        <v>0.14035935863347027</v>
      </c>
      <c r="AK746" s="72">
        <f>(AW746-Driver!$K$180)/(Driver!$L$180-Driver!$K$180)</f>
        <v>0.23732340109964878</v>
      </c>
      <c r="AL746" s="72">
        <f>(AX746-Driver!$K$181)/(Driver!$L$181-Driver!$K$181)</f>
        <v>0.50420540061974317</v>
      </c>
      <c r="AM746" s="72">
        <f>(AY746-Driver!$K$182)/(Driver!$L$182-Driver!$K$182)</f>
        <v>6.3390351222447738E-2</v>
      </c>
      <c r="AN746" s="72">
        <f>(AZ746-Driver!$K$183)/(Driver!$L$183-Driver!$K$183)</f>
        <v>0.21270424836601307</v>
      </c>
      <c r="AO746" s="72"/>
      <c r="AP746" s="72"/>
      <c r="AQ746" s="72">
        <f>(BC746-Driver!$K$188)/(Driver!$L$188-Driver!$K$188)</f>
        <v>4.3882357531052421E-2</v>
      </c>
      <c r="AR746" s="72">
        <f>MIN((BD746-Driver!$K$189)/(Driver!$L$189-Driver!$K$189),100%)</f>
        <v>0.11235276140478406</v>
      </c>
      <c r="AS746" s="72">
        <f>(BE746-Driver!$K$190)/(Driver!$L$190-Driver!$K$190)</f>
        <v>0.53326712152382783</v>
      </c>
      <c r="AT746" s="72">
        <f>(BF746-Driver!$K$191)/(Driver!$L$191-Driver!$K$191)</f>
        <v>2.4255317332743147E-2</v>
      </c>
      <c r="AU746" s="72">
        <f>(BG746-Driver!$K$192)/(Driver!$L$192-Driver!$K$192)</f>
        <v>2.8625883941034807E-2</v>
      </c>
      <c r="AV746" s="70">
        <f t="shared" si="430"/>
        <v>2.9541446208112867</v>
      </c>
      <c r="AW746" s="70">
        <f t="shared" si="431"/>
        <v>25.001160957877303</v>
      </c>
      <c r="AX746" s="70">
        <f t="shared" si="432"/>
        <v>5.5378486055776888</v>
      </c>
      <c r="AY746" s="70">
        <f>IFERROR(Driver!$K$19/Data!BH746/Data!BI746*Data!BK746*Data!BL746,"")</f>
        <v>7.7608703751588709E-2</v>
      </c>
      <c r="AZ746" s="70">
        <f t="shared" si="433"/>
        <v>19.385703648548027</v>
      </c>
      <c r="BA746" s="70"/>
      <c r="BB746" s="70"/>
      <c r="BC746" s="70">
        <f t="shared" si="434"/>
        <v>22.762083916557195</v>
      </c>
      <c r="BD746" s="70">
        <f t="shared" si="435"/>
        <v>11.663843191107931</v>
      </c>
      <c r="BE746" s="70">
        <f t="shared" si="436"/>
        <v>0.53335038141604563</v>
      </c>
      <c r="BF746" s="70">
        <f t="shared" si="437"/>
        <v>2.7394676894849241</v>
      </c>
      <c r="BG746" s="70">
        <f t="shared" si="438"/>
        <v>0.10839585794051328</v>
      </c>
      <c r="BH746" s="67">
        <f>MAX((CE746-Driver!$F$200)/(Driver!$G$200-Driver!$F$200)*$BI$1,1)</f>
        <v>5.5378486055776888</v>
      </c>
      <c r="BI746" s="67">
        <f>MAX($BI$1*(BY746-Driver!$F$201)/(Driver!$G$201-Driver!$F$201),1)</f>
        <v>8.037974683544304</v>
      </c>
      <c r="BJ746" s="67">
        <f>(CB746-Driver!$F$206)/(Driver!$G$206-Driver!$F$206)*$BI$1</f>
        <v>4.1269841269841265</v>
      </c>
      <c r="BK746" s="67">
        <f>(CD746-Driver!$F$203)/(Driver!$G$203-Driver!$F$203)*$BI$1</f>
        <v>2.3853211009174311</v>
      </c>
      <c r="BL746" s="67">
        <f>MAX((CR746-Driver!$F$202)/(Driver!$G$202-Driver!$F$202)*$BI$1,1)</f>
        <v>7.2413793103448274</v>
      </c>
      <c r="BM746" s="67">
        <f>MAX((CH746-Driver!$F$204)/(Driver!$G$204-Driver!$F$204)*$BI$1,1)</f>
        <v>2.8632478632478628</v>
      </c>
      <c r="BN746" s="67">
        <f>(CI746-Driver!$F$205)/(Driver!$G$205-Driver!$F$205)*$BI$1</f>
        <v>2.4117647058823528</v>
      </c>
      <c r="BO746" s="67">
        <f>(CK746-Driver!$F$207)/(Driver!$G$207-Driver!$F$207)*$BI$1</f>
        <v>1.0961737331954498</v>
      </c>
      <c r="BP746" s="67">
        <f>(CM746-Driver!$F$208)/(Driver!$G$208-Driver!$F$208)*$BI$1</f>
        <v>1.4444444444444442</v>
      </c>
      <c r="BQ746" s="67">
        <f>(CL746-Driver!$F$209)/(Driver!$G$209-Driver!$F$209)*$BI$1</f>
        <v>1.71875</v>
      </c>
      <c r="BR746" s="28" t="s">
        <v>155</v>
      </c>
      <c r="BS746" s="8" t="s">
        <v>167</v>
      </c>
      <c r="BT746" s="9" t="s">
        <v>430</v>
      </c>
      <c r="BU746" s="10">
        <v>170</v>
      </c>
      <c r="BV746" s="9" t="s">
        <v>158</v>
      </c>
      <c r="BW746" s="10">
        <v>170</v>
      </c>
      <c r="BX746" s="10">
        <v>169.6</v>
      </c>
      <c r="BY746" s="10">
        <v>135</v>
      </c>
      <c r="BZ746" s="10">
        <v>140</v>
      </c>
      <c r="CA746" s="10">
        <v>129</v>
      </c>
      <c r="CB746" s="10">
        <v>90</v>
      </c>
      <c r="CC746" s="10">
        <v>112</v>
      </c>
      <c r="CD746" s="10">
        <v>14.6</v>
      </c>
      <c r="CE746" s="10">
        <v>1873</v>
      </c>
      <c r="CF746" s="10">
        <v>0.93</v>
      </c>
      <c r="CG746" s="10">
        <v>1742</v>
      </c>
      <c r="CH746" s="10">
        <v>168</v>
      </c>
      <c r="CI746" s="10">
        <v>74</v>
      </c>
      <c r="CJ746" s="10">
        <v>47</v>
      </c>
      <c r="CK746" s="10">
        <v>216</v>
      </c>
      <c r="CL746" s="10">
        <v>11</v>
      </c>
      <c r="CM746" s="10">
        <v>130</v>
      </c>
      <c r="CN746" s="10">
        <v>0.23100000000000001</v>
      </c>
      <c r="CO746" s="10">
        <v>148</v>
      </c>
      <c r="CP746" s="10">
        <v>151</v>
      </c>
      <c r="CQ746" s="10">
        <v>67</v>
      </c>
      <c r="CR746" s="10">
        <v>10</v>
      </c>
      <c r="CS746" s="10">
        <v>9.9</v>
      </c>
      <c r="CT746" s="9" t="s">
        <v>188</v>
      </c>
      <c r="CU746" s="10"/>
      <c r="CV746" s="10"/>
      <c r="CW746" s="10"/>
      <c r="CX746" t="str">
        <f>INDEX('Data_Price '!AG$2:AG$1266,MATCH(Data!$DN746,'Data_Price '!$AT$2:$AT$1266,0))</f>
        <v>Head Kore 90 x Skis 2022 - 170</v>
      </c>
      <c r="CY746" t="str">
        <f>INDEX('Data_Price '!AH$2:AH$1266,MATCH(Data!$DN746,'Data_Price '!$AT$2:$AT$1266,0))</f>
        <v>evo.com</v>
      </c>
      <c r="CZ746">
        <f>INDEX('Data_Price '!AI$2:AI$1266,MATCH(Data!$DN746,'Data_Price '!$AT$2:$AT$1266,0))</f>
        <v>409</v>
      </c>
      <c r="DA746" t="str">
        <f>INDEX('Data_Price '!AJ$2:AJ$1266,MATCH(Data!$DN746,'Data_Price '!$AT$2:$AT$1266,0))</f>
        <v>https://tinyurl.com/y8vxnhal</v>
      </c>
      <c r="DB746" t="str">
        <f>INDEX('Data_Price '!AK$2:AK$1266,MATCH(Data!$DN746,'Data_Price '!$AT$2:$AT$1266,0))</f>
        <v>Head Kore 90 x Skis 2022 - 170</v>
      </c>
      <c r="DC746" t="str">
        <f>INDEX('Data_Price '!AL$2:AL$1266,MATCH(Data!$DN746,'Data_Price '!$AT$2:$AT$1266,0))</f>
        <v>Ridgeline Bike &amp; Ski</v>
      </c>
      <c r="DD746">
        <f>INDEX('Data_Price '!AM$2:AM$1266,MATCH(Data!$DN746,'Data_Price '!$AT$2:$AT$1266,0))</f>
        <v>549</v>
      </c>
      <c r="DE746" t="str">
        <f>INDEX('Data_Price '!AN$2:AN$1266,MATCH(Data!$DN746,'Data_Price '!$AT$2:$AT$1266,0))</f>
        <v>https://tinyurl.com/y9mt7smp</v>
      </c>
      <c r="DF746" t="str">
        <f>INDEX('Data_Price '!AO$2:AO$1266,MATCH(Data!$DN746,'Data_Price '!$AT$2:$AT$1266,0))</f>
        <v>Head Kore 90 x Skis 2022 - 170</v>
      </c>
      <c r="DG746" t="str">
        <f>INDEX('Data_Price '!AP$2:AP$1266,MATCH(Data!$DN746,'Data_Price '!$AT$2:$AT$1266,0))</f>
        <v>BobWards.com</v>
      </c>
      <c r="DH746">
        <f>INDEX('Data_Price '!AQ$2:AQ$1266,MATCH(Data!$DN746,'Data_Price '!$AT$2:$AT$1266,0))</f>
        <v>549.99</v>
      </c>
      <c r="DI746" t="str">
        <f>INDEX('Data_Price '!AR$2:AR$1266,MATCH(Data!$DN746,'Data_Price '!$AT$2:$AT$1266,0))</f>
        <v>https://tinyurl.com/yaaf9nay</v>
      </c>
      <c r="DJ746" s="89" t="str">
        <f t="shared" si="439"/>
        <v>https://tinyurl.com/y8vxnhal</v>
      </c>
      <c r="DK746" s="89" t="str">
        <f t="shared" si="440"/>
        <v>https://tinyurl.com/y9mt7smp</v>
      </c>
      <c r="DL746" s="89" t="str">
        <f t="shared" si="441"/>
        <v>https://tinyurl.com/yaaf9nay</v>
      </c>
      <c r="DM746" s="219" t="str">
        <f t="shared" si="442"/>
        <v>Kore 90 X</v>
      </c>
      <c r="DN746" s="89" t="str">
        <f t="shared" si="443"/>
        <v xml:space="preserve"> HeadKore 90 X170 Unisex</v>
      </c>
      <c r="DO746" s="221" t="s">
        <v>431</v>
      </c>
    </row>
    <row r="747" spans="1:119" ht="15.6" customHeight="1">
      <c r="B747" s="219" t="b">
        <f t="array" ref="B747">IF(OR(ISERROR(K747:P747)),FALSE,TRUE)</f>
        <v>1</v>
      </c>
      <c r="C747" s="43" t="b">
        <f>OR(BR747=Driver!$G$50,Data!BR231=Driver!$H$50)</f>
        <v>1</v>
      </c>
      <c r="D747" s="43" t="b">
        <f>OR(BV747=Driver!$G$51,BV747=Driver!$H$51)</f>
        <v>1</v>
      </c>
      <c r="E747" s="43" t="b">
        <f>AND(BX747&gt;Driver!$F$54,BX747&lt;Driver!$G$54)</f>
        <v>0</v>
      </c>
      <c r="F747" s="43" t="b">
        <f>CL747&gt;Driver!$F$56</f>
        <v>1</v>
      </c>
      <c r="G747" s="43" t="b">
        <f>AND(CB747&gt;Driver!$F$55,CB747&lt;Driver!$G$55)</f>
        <v>0</v>
      </c>
      <c r="H747" s="43" t="b">
        <f t="shared" si="407"/>
        <v>0</v>
      </c>
      <c r="I747" s="43">
        <f t="shared" si="408"/>
        <v>0</v>
      </c>
      <c r="J747" s="43" t="b">
        <f t="array" ref="J747">NOT(OR(($H$9:$H$1273=TRUE)*($I$9:$I$1273&gt;0)*($BT$9:$BT$1273=BT747)*($K$9:$K$1273&gt;K747)))</f>
        <v>1</v>
      </c>
      <c r="K747" s="72">
        <f t="shared" si="409"/>
        <v>0.8060813250055181</v>
      </c>
      <c r="L747" s="72">
        <f t="shared" si="410"/>
        <v>0.90708910735576542</v>
      </c>
      <c r="M747" s="72">
        <f t="shared" si="411"/>
        <v>0.70507354265527089</v>
      </c>
      <c r="N747" s="72">
        <f t="shared" si="412"/>
        <v>0.60570344701163203</v>
      </c>
      <c r="O747" s="72">
        <f t="shared" si="413"/>
        <v>0.58399802814537782</v>
      </c>
      <c r="P747" s="72">
        <f t="shared" si="414"/>
        <v>0.92551915280880281</v>
      </c>
      <c r="Q747" s="72"/>
      <c r="R747" s="72"/>
      <c r="S747" s="72">
        <f t="shared" si="415"/>
        <v>0.40558238203230079</v>
      </c>
      <c r="T747" s="72">
        <f t="shared" si="416"/>
        <v>0.64982612978588017</v>
      </c>
      <c r="U747" s="72">
        <f t="shared" si="417"/>
        <v>0.52753082828169762</v>
      </c>
      <c r="V747" s="72">
        <f t="shared" si="418"/>
        <v>0.60940140538177467</v>
      </c>
      <c r="W747" s="72">
        <f t="shared" si="419"/>
        <v>0.82185267857142863</v>
      </c>
      <c r="X747" s="72">
        <f t="shared" si="420"/>
        <v>9.291089264423455E-2</v>
      </c>
      <c r="Y747" s="72">
        <f t="shared" si="421"/>
        <v>0.29492645734472911</v>
      </c>
      <c r="Z747" s="72">
        <f t="shared" si="422"/>
        <v>0.39429655298836797</v>
      </c>
      <c r="AA747" s="72">
        <f t="shared" si="423"/>
        <v>0.41600197185462212</v>
      </c>
      <c r="AB747" s="72">
        <f t="shared" si="424"/>
        <v>7.4480847191197158E-2</v>
      </c>
      <c r="AC747" s="72"/>
      <c r="AD747" s="72"/>
      <c r="AE747" s="72">
        <f t="shared" si="425"/>
        <v>0.59441761796769921</v>
      </c>
      <c r="AF747" s="72">
        <f t="shared" si="426"/>
        <v>0.35017387021411983</v>
      </c>
      <c r="AG747" s="72">
        <f t="shared" si="427"/>
        <v>0.47246917171830238</v>
      </c>
      <c r="AH747" s="72">
        <f t="shared" si="428"/>
        <v>0.39059859461822538</v>
      </c>
      <c r="AI747" s="72">
        <f t="shared" si="429"/>
        <v>0.17814732142857143</v>
      </c>
      <c r="AJ747" s="72">
        <f>(AV747-Driver!$K$179)/(Driver!$L$179-Driver!$K$179)</f>
        <v>0.16130851663846588</v>
      </c>
      <c r="AK747" s="72">
        <f>(AW747-Driver!$K$180)/(Driver!$L$180-Driver!$K$180)</f>
        <v>0.20533406915036514</v>
      </c>
      <c r="AL747" s="72">
        <f>(AX747-Driver!$K$181)/(Driver!$L$181-Driver!$K$181)</f>
        <v>0.49598431670144816</v>
      </c>
      <c r="AM747" s="72">
        <f>(AY747-Driver!$K$182)/(Driver!$L$182-Driver!$K$182)</f>
        <v>3.138304924242423E-2</v>
      </c>
      <c r="AN747" s="72">
        <f>(AZ747-Driver!$K$183)/(Driver!$L$183-Driver!$K$183)</f>
        <v>0.17973856209150327</v>
      </c>
      <c r="AO747" s="72"/>
      <c r="AP747" s="72"/>
      <c r="AQ747" s="72">
        <f>(BC747-Driver!$K$188)/(Driver!$L$188-Driver!$K$188)</f>
        <v>2.5582382032300739E-2</v>
      </c>
      <c r="AR747" s="72">
        <f>MIN((BD747-Driver!$K$189)/(Driver!$L$189-Driver!$K$189),100%)</f>
        <v>0.19982612978588021</v>
      </c>
      <c r="AS747" s="72">
        <f>(BE747-Driver!$K$190)/(Driver!$L$190-Driver!$K$190)</f>
        <v>3.7530828281697605E-2</v>
      </c>
      <c r="AT747" s="72">
        <f>(BF747-Driver!$K$191)/(Driver!$L$191-Driver!$K$191)</f>
        <v>0.11940140538177463</v>
      </c>
      <c r="AU747" s="72">
        <f>(BG747-Driver!$K$192)/(Driver!$L$192-Driver!$K$192)</f>
        <v>7.1852678571428574E-2</v>
      </c>
      <c r="AV747" s="70">
        <f t="shared" si="430"/>
        <v>3.3950617283950617</v>
      </c>
      <c r="AW747" s="70">
        <f t="shared" si="431"/>
        <v>21.883517105103184</v>
      </c>
      <c r="AX747" s="70">
        <f t="shared" si="432"/>
        <v>5.4638588503130334</v>
      </c>
      <c r="AY747" s="70">
        <f>IFERROR(Driver!$K$19/Data!BH747/Data!BI747*Data!BK747*Data!BL747,"")</f>
        <v>3.842221607086365E-2</v>
      </c>
      <c r="AZ747" s="70">
        <f t="shared" si="433"/>
        <v>16.381236038719287</v>
      </c>
      <c r="BA747" s="70"/>
      <c r="BB747" s="70"/>
      <c r="BC747" s="70">
        <f t="shared" si="434"/>
        <v>13.269759405988985</v>
      </c>
      <c r="BD747" s="70">
        <f t="shared" si="435"/>
        <v>19.405081299197626</v>
      </c>
      <c r="BE747" s="70">
        <f t="shared" si="436"/>
        <v>3.7702521948880179E-2</v>
      </c>
      <c r="BF747" s="70">
        <f t="shared" si="437"/>
        <v>13.485549895523469</v>
      </c>
      <c r="BG747" s="70">
        <f t="shared" si="438"/>
        <v>0.27208007812500001</v>
      </c>
      <c r="BH747" s="67">
        <f>MAX((CE747-Driver!$F$200)/(Driver!$G$200-Driver!$F$200)*$BI$1,1)</f>
        <v>5.4638588503130334</v>
      </c>
      <c r="BI747" s="67">
        <f>MAX($BI$1*(BY747-Driver!$F$201)/(Driver!$G$201-Driver!$F$201),1)</f>
        <v>6.962025316455696</v>
      </c>
      <c r="BJ747" s="67">
        <f>(CB747-Driver!$F$206)/(Driver!$G$206-Driver!$F$206)*$BI$1</f>
        <v>3.4920634920634921</v>
      </c>
      <c r="BK747" s="67">
        <f>(CD747-Driver!$F$203)/(Driver!$G$203-Driver!$F$203)*$BI$1</f>
        <v>1.5137614678899081</v>
      </c>
      <c r="BL747" s="67">
        <f>MAX((CR747-Driver!$F$202)/(Driver!$G$202-Driver!$F$202)*$BI$1,1)</f>
        <v>4.8275862068965516</v>
      </c>
      <c r="BM747" s="67">
        <f>MAX((CH747-Driver!$F$204)/(Driver!$G$204-Driver!$F$204)*$BI$1,1)</f>
        <v>3.8888888888888888</v>
      </c>
      <c r="BN747" s="67">
        <f>(CI747-Driver!$F$205)/(Driver!$G$205-Driver!$F$205)*$BI$1</f>
        <v>2.3529411764705883</v>
      </c>
      <c r="BO747" s="67">
        <f>(CK747-Driver!$F$207)/(Driver!$G$207-Driver!$F$207)*$BI$1</f>
        <v>1.6649431230610134</v>
      </c>
      <c r="BP747" s="67">
        <f>(CM747-Driver!$F$208)/(Driver!$G$208-Driver!$F$208)*$BI$1</f>
        <v>3.5111111111111111</v>
      </c>
      <c r="BQ747" s="67">
        <f>(CL747-Driver!$F$209)/(Driver!$G$209-Driver!$F$209)*$BI$1</f>
        <v>5.78125</v>
      </c>
      <c r="BR747" s="28" t="s">
        <v>155</v>
      </c>
      <c r="BS747" s="8" t="s">
        <v>237</v>
      </c>
      <c r="BT747" s="9" t="s">
        <v>732</v>
      </c>
      <c r="BU747" s="10">
        <v>178</v>
      </c>
      <c r="BV747" s="9" t="s">
        <v>158</v>
      </c>
      <c r="BW747" s="10">
        <v>178</v>
      </c>
      <c r="BX747" s="10">
        <v>176.7</v>
      </c>
      <c r="BY747" s="10">
        <v>118</v>
      </c>
      <c r="BZ747" s="10">
        <v>152</v>
      </c>
      <c r="CA747" s="10">
        <v>133</v>
      </c>
      <c r="CB747" s="10">
        <v>86</v>
      </c>
      <c r="CC747" s="10">
        <v>123</v>
      </c>
      <c r="CD747" s="10">
        <v>12.7</v>
      </c>
      <c r="CE747" s="10">
        <v>1860</v>
      </c>
      <c r="CF747" s="10">
        <v>0.98</v>
      </c>
      <c r="CG747" s="10">
        <v>1827</v>
      </c>
      <c r="CH747" s="10">
        <v>192</v>
      </c>
      <c r="CI747" s="10">
        <v>73</v>
      </c>
      <c r="CJ747" s="10">
        <v>36</v>
      </c>
      <c r="CK747" s="10">
        <v>271</v>
      </c>
      <c r="CL747" s="10">
        <v>37</v>
      </c>
      <c r="CM747" s="10">
        <v>316</v>
      </c>
      <c r="CN747" s="10">
        <v>1.0249999999999999</v>
      </c>
      <c r="CO747" s="10">
        <v>138</v>
      </c>
      <c r="CP747" s="10">
        <v>112</v>
      </c>
      <c r="CQ747" s="10">
        <v>133</v>
      </c>
      <c r="CR747" s="10">
        <v>3</v>
      </c>
      <c r="CS747" s="10">
        <v>4.5999999999999996</v>
      </c>
      <c r="CT747" s="9" t="s">
        <v>184</v>
      </c>
      <c r="CU747" s="10"/>
      <c r="CV747" s="10"/>
      <c r="CW747" s="10"/>
      <c r="CX747" t="str">
        <f>INDEX('Data_Price '!AG$2:AG$1266,MATCH(Data!$DN747,'Data_Price '!$AT$2:$AT$1266,0))</f>
        <v>Black Crows Captis Skis</v>
      </c>
      <c r="CY747" t="str">
        <f>INDEX('Data_Price '!AH$2:AH$1266,MATCH(Data!$DN747,'Data_Price '!$AT$2:$AT$1266,0))</f>
        <v>! OutdoorXL.com</v>
      </c>
      <c r="CZ747">
        <f>INDEX('Data_Price '!AI$2:AI$1266,MATCH(Data!$DN747,'Data_Price '!$AT$2:$AT$1266,0))</f>
        <v>424.95</v>
      </c>
      <c r="DA747" t="str">
        <f>INDEX('Data_Price '!AJ$2:AJ$1266,MATCH(Data!$DN747,'Data_Price '!$AT$2:$AT$1266,0))</f>
        <v>https://tinyurl.com/yd7okfhe</v>
      </c>
      <c r="DB747" t="str">
        <f>INDEX('Data_Price '!AK$2:AK$1266,MATCH(Data!$DN747,'Data_Price '!$AT$2:$AT$1266,0))</f>
        <v>Black Crows Orb 178cm (Brand New, Still in Wrap)</v>
      </c>
      <c r="DC747" t="str">
        <f>INDEX('Data_Price '!AL$2:AL$1266,MATCH(Data!$DN747,'Data_Price '!$AT$2:$AT$1266,0))</f>
        <v>Requipper</v>
      </c>
      <c r="DD747">
        <f>INDEX('Data_Price '!AM$2:AM$1266,MATCH(Data!$DN747,'Data_Price '!$AT$2:$AT$1266,0))</f>
        <v>450</v>
      </c>
      <c r="DE747" t="str">
        <f>INDEX('Data_Price '!AN$2:AN$1266,MATCH(Data!$DN747,'Data_Price '!$AT$2:$AT$1266,0))</f>
        <v>https://tinyurl.com/y7qp893x</v>
      </c>
      <c r="DF747" t="str">
        <f>INDEX('Data_Price '!AO$2:AO$1266,MATCH(Data!$DN747,'Data_Price '!$AT$2:$AT$1266,0))</f>
        <v>Black Crows Captis Skis</v>
      </c>
      <c r="DG747" t="str">
        <f>INDEX('Data_Price '!AP$2:AP$1266,MATCH(Data!$DN747,'Data_Price '!$AT$2:$AT$1266,0))</f>
        <v>Teton Wasatch Ski Co.</v>
      </c>
      <c r="DH747">
        <f>INDEX('Data_Price '!AQ$2:AQ$1266,MATCH(Data!$DN747,'Data_Price '!$AT$2:$AT$1266,0))</f>
        <v>455</v>
      </c>
      <c r="DI747" t="str">
        <f>INDEX('Data_Price '!AR$2:AR$1266,MATCH(Data!$DN747,'Data_Price '!$AT$2:$AT$1266,0))</f>
        <v>https://tinyurl.com/y8wpkmv4</v>
      </c>
      <c r="DJ747" s="89" t="str">
        <f t="shared" si="439"/>
        <v>https://tinyurl.com/yd7okfhe</v>
      </c>
      <c r="DK747" s="89" t="str">
        <f t="shared" si="440"/>
        <v>https://tinyurl.com/y7qp893x</v>
      </c>
      <c r="DL747" s="89" t="str">
        <f t="shared" si="441"/>
        <v>https://tinyurl.com/y8wpkmv4</v>
      </c>
      <c r="DM747" s="219" t="str">
        <f t="shared" si="442"/>
        <v>Mirus Cor</v>
      </c>
      <c r="DN747" s="89" t="str">
        <f t="shared" si="443"/>
        <v xml:space="preserve"> Black CrowsMirus Cor178 Unisex</v>
      </c>
      <c r="DO747" s="221"/>
    </row>
    <row r="748" spans="1:119" ht="15.6" customHeight="1">
      <c r="B748" s="219" t="b">
        <f t="array" ref="B748">IF(OR(ISERROR(K748:P748)),FALSE,TRUE)</f>
        <v>1</v>
      </c>
      <c r="C748" s="43" t="b">
        <f>OR(BR748=Driver!$G$50,Data!BR61=Driver!$H$50)</f>
        <v>1</v>
      </c>
      <c r="D748" s="43" t="b">
        <f>OR(BV748=Driver!$G$51,BV748=Driver!$H$51)</f>
        <v>1</v>
      </c>
      <c r="E748" s="43" t="b">
        <f>AND(BX748&gt;Driver!$F$54,BX748&lt;Driver!$G$54)</f>
        <v>0</v>
      </c>
      <c r="F748" s="43" t="b">
        <f>CL748&gt;Driver!$F$56</f>
        <v>1</v>
      </c>
      <c r="G748" s="43" t="b">
        <f>AND(CB748&gt;Driver!$F$55,CB748&lt;Driver!$G$55)</f>
        <v>0</v>
      </c>
      <c r="H748" s="43" t="b">
        <f t="shared" si="407"/>
        <v>0</v>
      </c>
      <c r="I748" s="43">
        <f t="shared" si="408"/>
        <v>0</v>
      </c>
      <c r="J748" s="43" t="b">
        <f t="array" ref="J748">NOT(OR(($H$9:$H$1273=TRUE)*($I$9:$I$1273&gt;0)*($BT$9:$BT$1273=BT748)*($K$9:$K$1273&gt;K748)))</f>
        <v>1</v>
      </c>
      <c r="K748" s="72">
        <f t="shared" si="409"/>
        <v>0.80990490473916099</v>
      </c>
      <c r="L748" s="72">
        <f t="shared" si="410"/>
        <v>0.92570162850635762</v>
      </c>
      <c r="M748" s="72">
        <f t="shared" si="411"/>
        <v>0.69410818097196447</v>
      </c>
      <c r="N748" s="72">
        <f t="shared" si="412"/>
        <v>0.51843347926357664</v>
      </c>
      <c r="O748" s="72">
        <f t="shared" si="413"/>
        <v>0.61962191084351392</v>
      </c>
      <c r="P748" s="72">
        <f t="shared" si="414"/>
        <v>0.94426915280880286</v>
      </c>
      <c r="Q748" s="72"/>
      <c r="R748" s="72"/>
      <c r="S748" s="72">
        <f t="shared" si="415"/>
        <v>0.42548450150172934</v>
      </c>
      <c r="T748" s="72">
        <f t="shared" si="416"/>
        <v>0.54874935332806807</v>
      </c>
      <c r="U748" s="72">
        <f t="shared" si="417"/>
        <v>0.52254547149824737</v>
      </c>
      <c r="V748" s="72">
        <f t="shared" si="418"/>
        <v>0.57360717682448059</v>
      </c>
      <c r="W748" s="72">
        <f t="shared" si="419"/>
        <v>0.82825739833936551</v>
      </c>
      <c r="X748" s="72">
        <f t="shared" si="420"/>
        <v>7.4298371493642379E-2</v>
      </c>
      <c r="Y748" s="72">
        <f t="shared" si="421"/>
        <v>0.30589181902803558</v>
      </c>
      <c r="Z748" s="72">
        <f t="shared" si="422"/>
        <v>0.48156652073642336</v>
      </c>
      <c r="AA748" s="72">
        <f t="shared" si="423"/>
        <v>0.38037808915648613</v>
      </c>
      <c r="AB748" s="72">
        <f t="shared" si="424"/>
        <v>5.5730847191197169E-2</v>
      </c>
      <c r="AC748" s="72"/>
      <c r="AD748" s="72"/>
      <c r="AE748" s="72">
        <f t="shared" si="425"/>
        <v>0.57451549849827066</v>
      </c>
      <c r="AF748" s="72">
        <f t="shared" si="426"/>
        <v>0.45125064667193188</v>
      </c>
      <c r="AG748" s="72">
        <f t="shared" si="427"/>
        <v>0.47745452850175257</v>
      </c>
      <c r="AH748" s="72">
        <f t="shared" si="428"/>
        <v>0.42639282317551935</v>
      </c>
      <c r="AI748" s="72">
        <f t="shared" si="429"/>
        <v>0.17174260166063446</v>
      </c>
      <c r="AJ748" s="72">
        <f>(AV748-Driver!$K$179)/(Driver!$L$179-Driver!$K$179)</f>
        <v>0.17992103778905805</v>
      </c>
      <c r="AK748" s="72">
        <f>(AW748-Driver!$K$180)/(Driver!$L$180-Driver!$K$180)</f>
        <v>0.231374848893901</v>
      </c>
      <c r="AL748" s="72">
        <f>(AX748-Driver!$K$181)/(Driver!$L$181-Driver!$K$181)</f>
        <v>0.58325428444950356</v>
      </c>
      <c r="AM748" s="72">
        <f>(AY748-Driver!$K$182)/(Driver!$L$182-Driver!$K$182)</f>
        <v>6.7006931940560246E-2</v>
      </c>
      <c r="AN748" s="72">
        <f>(AZ748-Driver!$K$183)/(Driver!$L$183-Driver!$K$183)</f>
        <v>0.19848856209150326</v>
      </c>
      <c r="AO748" s="72"/>
      <c r="AP748" s="72"/>
      <c r="AQ748" s="72">
        <f>(BC748-Driver!$K$188)/(Driver!$L$188-Driver!$K$188)</f>
        <v>4.5484501501729384E-2</v>
      </c>
      <c r="AR748" s="72">
        <f>MIN((BD748-Driver!$K$189)/(Driver!$L$189-Driver!$K$189),100%)</f>
        <v>9.8749353328068154E-2</v>
      </c>
      <c r="AS748" s="72">
        <f>(BE748-Driver!$K$190)/(Driver!$L$190-Driver!$K$190)</f>
        <v>3.2545471498247443E-2</v>
      </c>
      <c r="AT748" s="72">
        <f>(BF748-Driver!$K$191)/(Driver!$L$191-Driver!$K$191)</f>
        <v>8.360717682448067E-2</v>
      </c>
      <c r="AU748" s="72">
        <f>(BG748-Driver!$K$192)/(Driver!$L$192-Driver!$K$192)</f>
        <v>7.8257398339365541E-2</v>
      </c>
      <c r="AV748" s="70">
        <f t="shared" si="430"/>
        <v>3.7867996201329528</v>
      </c>
      <c r="AW748" s="70">
        <f t="shared" si="431"/>
        <v>24.421421835892581</v>
      </c>
      <c r="AX748" s="70">
        <f t="shared" si="432"/>
        <v>6.2492885600455317</v>
      </c>
      <c r="AY748" s="70">
        <f>IFERROR(Driver!$K$19/Data!BH748/Data!BI748*Data!BK748*Data!BL748,"")</f>
        <v>8.2036477634095745E-2</v>
      </c>
      <c r="AZ748" s="70">
        <f t="shared" si="433"/>
        <v>18.090096798212954</v>
      </c>
      <c r="BA748" s="70"/>
      <c r="BB748" s="70"/>
      <c r="BC748" s="70">
        <f t="shared" si="434"/>
        <v>23.593127132071526</v>
      </c>
      <c r="BD748" s="70">
        <f t="shared" si="435"/>
        <v>10.459965680131388</v>
      </c>
      <c r="BE748" s="70">
        <f t="shared" si="436"/>
        <v>3.2718054496967602E-2</v>
      </c>
      <c r="BF748" s="70">
        <f t="shared" si="437"/>
        <v>9.4428432486648681</v>
      </c>
      <c r="BG748" s="70">
        <f t="shared" si="438"/>
        <v>0.29633243293591655</v>
      </c>
      <c r="BH748" s="67">
        <f>MAX((CE748-Driver!$F$200)/(Driver!$G$200-Driver!$F$200)*$BI$1,1)</f>
        <v>6.2492885600455317</v>
      </c>
      <c r="BI748" s="67">
        <f>MAX($BI$1*(BY748-Driver!$F$201)/(Driver!$G$201-Driver!$F$201),1)</f>
        <v>7.1518987341772151</v>
      </c>
      <c r="BJ748" s="67">
        <f>(CB748-Driver!$F$206)/(Driver!$G$206-Driver!$F$206)*$BI$1</f>
        <v>4.6031746031746028</v>
      </c>
      <c r="BK748" s="67">
        <f>(CD748-Driver!$F$203)/(Driver!$G$203-Driver!$F$203)*$BI$1</f>
        <v>2.7981651376146792</v>
      </c>
      <c r="BL748" s="67">
        <f>MAX((CR748-Driver!$F$202)/(Driver!$G$202-Driver!$F$202)*$BI$1,1)</f>
        <v>6.5517241379310338</v>
      </c>
      <c r="BM748" s="67">
        <f>MAX((CH748-Driver!$F$204)/(Driver!$G$204-Driver!$F$204)*$BI$1,1)</f>
        <v>3.2905982905982905</v>
      </c>
      <c r="BN748" s="67">
        <f>(CI748-Driver!$F$205)/(Driver!$G$205-Driver!$F$205)*$BI$1</f>
        <v>2.5294117647058822</v>
      </c>
      <c r="BO748" s="67">
        <f>(CK748-Driver!$F$207)/(Driver!$G$207-Driver!$F$207)*$BI$1</f>
        <v>1.8717683557394003</v>
      </c>
      <c r="BP748" s="67">
        <f>(CM748-Driver!$F$208)/(Driver!$G$208-Driver!$F$208)*$BI$1</f>
        <v>3.0666666666666664</v>
      </c>
      <c r="BQ748" s="67">
        <f>(CL748-Driver!$F$209)/(Driver!$G$209-Driver!$F$209)*$BI$1</f>
        <v>6.09375</v>
      </c>
      <c r="BR748" s="28" t="s">
        <v>155</v>
      </c>
      <c r="BS748" s="8" t="s">
        <v>182</v>
      </c>
      <c r="BT748" s="9" t="s">
        <v>743</v>
      </c>
      <c r="BU748" s="10">
        <v>180</v>
      </c>
      <c r="BV748" s="9" t="s">
        <v>158</v>
      </c>
      <c r="BW748" s="10">
        <v>180</v>
      </c>
      <c r="BX748" s="10">
        <v>177.7</v>
      </c>
      <c r="BY748" s="10">
        <v>121</v>
      </c>
      <c r="BZ748" s="10">
        <v>142</v>
      </c>
      <c r="CA748" s="10">
        <v>121</v>
      </c>
      <c r="CB748" s="10">
        <v>93</v>
      </c>
      <c r="CC748" s="10">
        <v>116</v>
      </c>
      <c r="CD748" s="10">
        <v>15.5</v>
      </c>
      <c r="CE748" s="10">
        <v>1998</v>
      </c>
      <c r="CF748" s="10">
        <v>0.94</v>
      </c>
      <c r="CG748" s="10">
        <v>1872</v>
      </c>
      <c r="CH748" s="10">
        <v>178</v>
      </c>
      <c r="CI748" s="10">
        <v>76</v>
      </c>
      <c r="CJ748" s="10">
        <v>49</v>
      </c>
      <c r="CK748" s="10">
        <v>291</v>
      </c>
      <c r="CL748" s="10">
        <v>39</v>
      </c>
      <c r="CM748" s="10">
        <v>276</v>
      </c>
      <c r="CN748" s="10">
        <v>0.80400000000000005</v>
      </c>
      <c r="CO748" s="10">
        <v>234</v>
      </c>
      <c r="CP748" s="10">
        <v>124</v>
      </c>
      <c r="CQ748" s="10">
        <v>57</v>
      </c>
      <c r="CR748" s="10">
        <v>8</v>
      </c>
      <c r="CS748" s="10">
        <v>1.3</v>
      </c>
      <c r="CT748" s="9" t="s">
        <v>188</v>
      </c>
      <c r="CU748" s="9" t="s">
        <v>184</v>
      </c>
      <c r="CV748" s="10"/>
      <c r="CW748" s="10"/>
      <c r="CX748" t="str">
        <f>INDEX('Data_Price '!AG$2:AG$1266,MATCH(Data!$DN748,'Data_Price '!$AT$2:$AT$1266,0))</f>
        <v>Armada Bdog Edgeless Skis - 2021 180 cm</v>
      </c>
      <c r="CY748" t="str">
        <f>INDEX('Data_Price '!AH$2:AH$1266,MATCH(Data!$DN748,'Data_Price '!$AT$2:$AT$1266,0))</f>
        <v>Absolute-Snow.co.uk</v>
      </c>
      <c r="CZ748">
        <f>INDEX('Data_Price '!AI$2:AI$1266,MATCH(Data!$DN748,'Data_Price '!$AT$2:$AT$1266,0))</f>
        <v>362.27</v>
      </c>
      <c r="DA748" t="str">
        <f>INDEX('Data_Price '!AJ$2:AJ$1266,MATCH(Data!$DN748,'Data_Price '!$AT$2:$AT$1266,0))</f>
        <v>https://tinyurl.com/y88sup83</v>
      </c>
      <c r="DB748" t="str">
        <f>INDEX('Data_Price '!AK$2:AK$1266,MATCH(Data!$DN748,'Data_Price '!$AT$2:$AT$1266,0))</f>
        <v>Armada Bdog Edgeless 94mm 180 2022 Skis Men, Freestyle ski, Freeski</v>
      </c>
      <c r="DC748" t="str">
        <f>INDEX('Data_Price '!AL$2:AL$1266,MATCH(Data!$DN748,'Data_Price '!$AT$2:$AT$1266,0))</f>
        <v>Blue Tomato</v>
      </c>
      <c r="DD748">
        <f>INDEX('Data_Price '!AM$2:AM$1266,MATCH(Data!$DN748,'Data_Price '!$AT$2:$AT$1266,0))</f>
        <v>405.53</v>
      </c>
      <c r="DE748" t="str">
        <f>INDEX('Data_Price '!AN$2:AN$1266,MATCH(Data!$DN748,'Data_Price '!$AT$2:$AT$1266,0))</f>
        <v>https://tinyurl.com/y9wrnzgh</v>
      </c>
      <c r="DF748" t="str">
        <f>INDEX('Data_Price '!AO$2:AO$1266,MATCH(Data!$DN748,'Data_Price '!$AT$2:$AT$1266,0))</f>
        <v>Armada Bdog Edgeless Skis - 2021 180 cm</v>
      </c>
      <c r="DG748" t="str">
        <f>INDEX('Data_Price '!AP$2:AP$1266,MATCH(Data!$DN748,'Data_Price '!$AT$2:$AT$1266,0))</f>
        <v>Spoke-N-Sport</v>
      </c>
      <c r="DH748">
        <f>INDEX('Data_Price '!AQ$2:AQ$1266,MATCH(Data!$DN748,'Data_Price '!$AT$2:$AT$1266,0))</f>
        <v>419.99</v>
      </c>
      <c r="DI748" t="str">
        <f>INDEX('Data_Price '!AR$2:AR$1266,MATCH(Data!$DN748,'Data_Price '!$AT$2:$AT$1266,0))</f>
        <v>https://tinyurl.com/y8y59etc</v>
      </c>
      <c r="DJ748" s="89" t="str">
        <f t="shared" si="439"/>
        <v>https://tinyurl.com/y88sup83</v>
      </c>
      <c r="DK748" s="89" t="str">
        <f t="shared" si="440"/>
        <v>https://tinyurl.com/y9wrnzgh</v>
      </c>
      <c r="DL748" s="89" t="str">
        <f t="shared" si="441"/>
        <v>https://tinyurl.com/y8y59etc</v>
      </c>
      <c r="DM748" s="219" t="str">
        <f t="shared" si="442"/>
        <v>Bdog</v>
      </c>
      <c r="DN748" s="89" t="str">
        <f t="shared" si="443"/>
        <v xml:space="preserve"> ArmadaBdog180 Unisex</v>
      </c>
      <c r="DO748" s="221" t="s">
        <v>744</v>
      </c>
    </row>
    <row r="749" spans="1:119" ht="15.6" customHeight="1">
      <c r="B749" s="219" t="b">
        <f t="array" ref="B749">IF(OR(ISERROR(K749:P749)),FALSE,TRUE)</f>
        <v>1</v>
      </c>
      <c r="C749" s="43" t="b">
        <f>OR(BR749=Driver!$G$50,Data!BR21=Driver!$H$50)</f>
        <v>1</v>
      </c>
      <c r="D749" s="43" t="b">
        <f>OR(BV749=Driver!$G$51,BV749=Driver!$H$51)</f>
        <v>0</v>
      </c>
      <c r="E749" s="43" t="b">
        <f>AND(BX749&gt;Driver!$F$54,BX749&lt;Driver!$G$54)</f>
        <v>0</v>
      </c>
      <c r="F749" s="43" t="b">
        <f>CL749&gt;Driver!$F$56</f>
        <v>1</v>
      </c>
      <c r="G749" s="43" t="b">
        <f>AND(CB749&gt;Driver!$F$55,CB749&lt;Driver!$G$55)</f>
        <v>0</v>
      </c>
      <c r="H749" s="43" t="b">
        <f t="shared" si="407"/>
        <v>0</v>
      </c>
      <c r="I749" s="43">
        <f t="shared" si="408"/>
        <v>0</v>
      </c>
      <c r="J749" s="43" t="b">
        <f t="array" ref="J749">NOT(OR(($H$9:$H$1273=TRUE)*($I$9:$I$1273&gt;0)*($BT$9:$BT$1273=BT749)*($K$9:$K$1273&gt;K749)))</f>
        <v>1</v>
      </c>
      <c r="K749" s="72">
        <f t="shared" si="409"/>
        <v>0.81061750859385373</v>
      </c>
      <c r="L749" s="72">
        <f t="shared" si="410"/>
        <v>0.96931086041476067</v>
      </c>
      <c r="M749" s="72">
        <f t="shared" si="411"/>
        <v>0.65192415677294679</v>
      </c>
      <c r="N749" s="72">
        <f t="shared" si="412"/>
        <v>0.52475738996995736</v>
      </c>
      <c r="O749" s="72">
        <f t="shared" si="413"/>
        <v>0.62777606322304536</v>
      </c>
      <c r="P749" s="72">
        <f t="shared" si="414"/>
        <v>0.80323901712583767</v>
      </c>
      <c r="Q749" s="72"/>
      <c r="R749" s="72"/>
      <c r="S749" s="72">
        <f t="shared" si="415"/>
        <v>0.49265431093548606</v>
      </c>
      <c r="T749" s="72">
        <f t="shared" si="416"/>
        <v>0.54486450738488779</v>
      </c>
      <c r="U749" s="72">
        <f t="shared" si="417"/>
        <v>0.84847182010223632</v>
      </c>
      <c r="V749" s="72">
        <f t="shared" si="418"/>
        <v>0.52958826865970432</v>
      </c>
      <c r="W749" s="72">
        <f t="shared" si="419"/>
        <v>0.76199448529411762</v>
      </c>
      <c r="X749" s="72">
        <f t="shared" si="420"/>
        <v>3.0689139585239278E-2</v>
      </c>
      <c r="Y749" s="72">
        <f t="shared" si="421"/>
        <v>0.34807584322705321</v>
      </c>
      <c r="Z749" s="72">
        <f t="shared" si="422"/>
        <v>0.47524261003004264</v>
      </c>
      <c r="AA749" s="72">
        <f t="shared" si="423"/>
        <v>0.3722239367769547</v>
      </c>
      <c r="AB749" s="72">
        <f t="shared" si="424"/>
        <v>0.19676098287416227</v>
      </c>
      <c r="AC749" s="72"/>
      <c r="AD749" s="72"/>
      <c r="AE749" s="72">
        <f t="shared" si="425"/>
        <v>0.50734568906451394</v>
      </c>
      <c r="AF749" s="72">
        <f t="shared" si="426"/>
        <v>0.45513549261511221</v>
      </c>
      <c r="AG749" s="72">
        <f t="shared" si="427"/>
        <v>0.15152817989776368</v>
      </c>
      <c r="AH749" s="72">
        <f t="shared" si="428"/>
        <v>0.47041173134029568</v>
      </c>
      <c r="AI749" s="72">
        <f t="shared" si="429"/>
        <v>0.23800551470588235</v>
      </c>
      <c r="AJ749" s="72">
        <f>(AV749-Driver!$K$179)/(Driver!$L$179-Driver!$K$179)</f>
        <v>0.2849085488679397</v>
      </c>
      <c r="AK749" s="72">
        <f>(AW749-Driver!$K$180)/(Driver!$L$180-Driver!$K$180)</f>
        <v>0.46701254599936937</v>
      </c>
      <c r="AL749" s="72">
        <f>(AX749-Driver!$K$181)/(Driver!$L$181-Driver!$K$181)</f>
        <v>0.57693037374312284</v>
      </c>
      <c r="AM749" s="72">
        <f>(AY749-Driver!$K$182)/(Driver!$L$182-Driver!$K$182)</f>
        <v>7.5161084320091651E-2</v>
      </c>
      <c r="AN749" s="72">
        <f>(AZ749-Driver!$K$183)/(Driver!$L$183-Driver!$K$183)</f>
        <v>0.4509803921568627</v>
      </c>
      <c r="AO749" s="72"/>
      <c r="AP749" s="72"/>
      <c r="AQ749" s="72">
        <f>(BC749-Driver!$K$188)/(Driver!$L$188-Driver!$K$188)</f>
        <v>0.11265431093548602</v>
      </c>
      <c r="AR749" s="72">
        <f>MIN((BD749-Driver!$K$189)/(Driver!$L$189-Driver!$K$189),100%)</f>
        <v>9.4864507384887858E-2</v>
      </c>
      <c r="AS749" s="72">
        <f>(BE749-Driver!$K$190)/(Driver!$L$190-Driver!$K$190)</f>
        <v>0.35847182010223633</v>
      </c>
      <c r="AT749" s="72">
        <f>(BF749-Driver!$K$191)/(Driver!$L$191-Driver!$K$191)</f>
        <v>3.958826865970435E-2</v>
      </c>
      <c r="AU749" s="72">
        <f>(BG749-Driver!$K$192)/(Driver!$L$192-Driver!$K$192)</f>
        <v>1.1994485294117643E-2</v>
      </c>
      <c r="AV749" s="70">
        <f t="shared" si="430"/>
        <v>5.9964726631393299</v>
      </c>
      <c r="AW749" s="70">
        <f t="shared" si="431"/>
        <v>47.386403381221925</v>
      </c>
      <c r="AX749" s="70">
        <f t="shared" si="432"/>
        <v>6.1923733636881053</v>
      </c>
      <c r="AY749" s="70">
        <f>IFERROR(Driver!$K$19/Data!BH749/Data!BI749*Data!BK749*Data!BL749,"")</f>
        <v>9.2019593110891945E-2</v>
      </c>
      <c r="AZ749" s="70">
        <f t="shared" si="433"/>
        <v>41.102010424422929</v>
      </c>
      <c r="BA749" s="70"/>
      <c r="BB749" s="70"/>
      <c r="BC749" s="70">
        <f t="shared" si="434"/>
        <v>58.434574242300556</v>
      </c>
      <c r="BD749" s="70">
        <f t="shared" si="435"/>
        <v>10.116163697699623</v>
      </c>
      <c r="BE749" s="70">
        <f t="shared" si="436"/>
        <v>0.35858626150882289</v>
      </c>
      <c r="BF749" s="70">
        <f t="shared" si="437"/>
        <v>4.471216821785589</v>
      </c>
      <c r="BG749" s="70">
        <f t="shared" si="438"/>
        <v>4.5418772977941162E-2</v>
      </c>
      <c r="BH749" s="67">
        <f>MAX((CE749-Driver!$F$200)/(Driver!$G$200-Driver!$F$200)*$BI$1,1)</f>
        <v>6.1923733636881053</v>
      </c>
      <c r="BI749" s="67">
        <f>MAX($BI$1*(BY749-Driver!$F$201)/(Driver!$G$201-Driver!$F$201),1)</f>
        <v>7.5949367088607591</v>
      </c>
      <c r="BJ749" s="67">
        <f>(CB749-Driver!$F$206)/(Driver!$G$206-Driver!$F$206)*$BI$1</f>
        <v>5.3968253968253963</v>
      </c>
      <c r="BK749" s="67">
        <f>(CD749-Driver!$F$203)/(Driver!$G$203-Driver!$F$203)*$BI$1</f>
        <v>3.3027522935779823</v>
      </c>
      <c r="BL749" s="67">
        <f>MAX((CR749-Driver!$F$202)/(Driver!$G$202-Driver!$F$202)*$BI$1,1)</f>
        <v>6.5517241379310338</v>
      </c>
      <c r="BM749" s="67">
        <f>MAX((CH749-Driver!$F$204)/(Driver!$G$204-Driver!$F$204)*$BI$1,1)</f>
        <v>4.4444444444444446</v>
      </c>
      <c r="BN749" s="67">
        <f>(CI749-Driver!$F$205)/(Driver!$G$205-Driver!$F$205)*$BI$1</f>
        <v>5.4117647058823524</v>
      </c>
      <c r="BO749" s="67">
        <f>(CK749-Driver!$F$207)/(Driver!$G$207-Driver!$F$207)*$BI$1</f>
        <v>1.5201654601861427</v>
      </c>
      <c r="BP749" s="67">
        <f>(CM749-Driver!$F$208)/(Driver!$G$208-Driver!$F$208)*$BI$1</f>
        <v>1.7999999999999998</v>
      </c>
      <c r="BQ749" s="67">
        <f>(CL749-Driver!$F$209)/(Driver!$G$209-Driver!$F$209)*$BI$1</f>
        <v>1.25</v>
      </c>
      <c r="BR749" s="28" t="s">
        <v>155</v>
      </c>
      <c r="BS749" s="8" t="s">
        <v>190</v>
      </c>
      <c r="BT749" s="9" t="s">
        <v>745</v>
      </c>
      <c r="BU749" s="10">
        <v>171</v>
      </c>
      <c r="BV749" s="9" t="s">
        <v>163</v>
      </c>
      <c r="BW749" s="10">
        <v>171</v>
      </c>
      <c r="BX749" s="10">
        <v>170.4</v>
      </c>
      <c r="BY749" s="10">
        <v>128</v>
      </c>
      <c r="BZ749" s="10">
        <v>143</v>
      </c>
      <c r="CA749" s="10">
        <v>133</v>
      </c>
      <c r="CB749" s="10">
        <v>98</v>
      </c>
      <c r="CC749" s="10">
        <v>121</v>
      </c>
      <c r="CD749" s="10">
        <v>16.600000000000001</v>
      </c>
      <c r="CE749" s="10">
        <v>1988</v>
      </c>
      <c r="CF749" s="10">
        <v>0.94</v>
      </c>
      <c r="CG749" s="10">
        <v>1865</v>
      </c>
      <c r="CH749" s="10">
        <v>205</v>
      </c>
      <c r="CI749" s="10">
        <v>125</v>
      </c>
      <c r="CJ749" s="10">
        <v>43</v>
      </c>
      <c r="CK749" s="10">
        <v>257</v>
      </c>
      <c r="CL749" s="10">
        <v>8</v>
      </c>
      <c r="CM749" s="10">
        <v>162</v>
      </c>
      <c r="CN749" s="10">
        <v>0.191</v>
      </c>
      <c r="CO749" s="10">
        <v>151</v>
      </c>
      <c r="CP749" s="10">
        <v>125</v>
      </c>
      <c r="CQ749" s="10">
        <v>107</v>
      </c>
      <c r="CR749" s="10">
        <v>8</v>
      </c>
      <c r="CS749" s="10">
        <v>7.9</v>
      </c>
      <c r="CT749" s="9" t="s">
        <v>188</v>
      </c>
      <c r="CU749" s="10"/>
      <c r="CV749" s="10"/>
      <c r="CW749" s="10"/>
      <c r="CX749" t="e">
        <f>INDEX('Data_Price '!AG$2:AG$1266,MATCH(Data!$DN749,'Data_Price '!$AT$2:$AT$1266,0))</f>
        <v>#N/A</v>
      </c>
      <c r="CY749" t="e">
        <f>INDEX('Data_Price '!AH$2:AH$1266,MATCH(Data!$DN749,'Data_Price '!$AT$2:$AT$1266,0))</f>
        <v>#N/A</v>
      </c>
      <c r="CZ749" t="e">
        <f>INDEX('Data_Price '!AI$2:AI$1266,MATCH(Data!$DN749,'Data_Price '!$AT$2:$AT$1266,0))</f>
        <v>#N/A</v>
      </c>
      <c r="DA749" t="e">
        <f>INDEX('Data_Price '!AJ$2:AJ$1266,MATCH(Data!$DN749,'Data_Price '!$AT$2:$AT$1266,0))</f>
        <v>#N/A</v>
      </c>
      <c r="DB749" t="e">
        <f>INDEX('Data_Price '!AK$2:AK$1266,MATCH(Data!$DN749,'Data_Price '!$AT$2:$AT$1266,0))</f>
        <v>#N/A</v>
      </c>
      <c r="DC749" t="e">
        <f>INDEX('Data_Price '!AL$2:AL$1266,MATCH(Data!$DN749,'Data_Price '!$AT$2:$AT$1266,0))</f>
        <v>#N/A</v>
      </c>
      <c r="DD749" t="e">
        <f>INDEX('Data_Price '!AM$2:AM$1266,MATCH(Data!$DN749,'Data_Price '!$AT$2:$AT$1266,0))</f>
        <v>#N/A</v>
      </c>
      <c r="DE749" t="e">
        <f>INDEX('Data_Price '!AN$2:AN$1266,MATCH(Data!$DN749,'Data_Price '!$AT$2:$AT$1266,0))</f>
        <v>#N/A</v>
      </c>
      <c r="DF749" t="e">
        <f>INDEX('Data_Price '!AO$2:AO$1266,MATCH(Data!$DN749,'Data_Price '!$AT$2:$AT$1266,0))</f>
        <v>#N/A</v>
      </c>
      <c r="DG749" t="e">
        <f>INDEX('Data_Price '!AP$2:AP$1266,MATCH(Data!$DN749,'Data_Price '!$AT$2:$AT$1266,0))</f>
        <v>#N/A</v>
      </c>
      <c r="DH749" t="e">
        <f>INDEX('Data_Price '!AQ$2:AQ$1266,MATCH(Data!$DN749,'Data_Price '!$AT$2:$AT$1266,0))</f>
        <v>#N/A</v>
      </c>
      <c r="DI749" t="e">
        <f>INDEX('Data_Price '!AR$2:AR$1266,MATCH(Data!$DN749,'Data_Price '!$AT$2:$AT$1266,0))</f>
        <v>#N/A</v>
      </c>
      <c r="DJ749" s="89" t="e">
        <f t="shared" si="439"/>
        <v>#N/A</v>
      </c>
      <c r="DK749" s="89" t="e">
        <f t="shared" si="440"/>
        <v>#N/A</v>
      </c>
      <c r="DL749" s="89" t="e">
        <f t="shared" si="441"/>
        <v>#N/A</v>
      </c>
      <c r="DM749" s="219" t="str">
        <f t="shared" si="442"/>
        <v>MSP CC</v>
      </c>
      <c r="DN749" s="89" t="str">
        <f t="shared" si="443"/>
        <v xml:space="preserve"> 4FRNTMSP CC171 Women's</v>
      </c>
      <c r="DO749" s="221"/>
    </row>
    <row r="750" spans="1:119" ht="15.6" customHeight="1">
      <c r="B750" s="219" t="b">
        <f t="array" ref="B750">IF(OR(ISERROR(K750:P750)),FALSE,TRUE)</f>
        <v>1</v>
      </c>
      <c r="C750" s="43" t="b">
        <f>OR(BR750=Driver!$G$50,Data!BR537=Driver!$H$50)</f>
        <v>1</v>
      </c>
      <c r="D750" s="43" t="b">
        <f>OR(BV750=Driver!$G$51,BV750=Driver!$H$51)</f>
        <v>1</v>
      </c>
      <c r="E750" s="43" t="b">
        <f>AND(BX750&gt;Driver!$F$54,BX750&lt;Driver!$G$54)</f>
        <v>0</v>
      </c>
      <c r="F750" s="43" t="b">
        <f>CL750&gt;Driver!$F$56</f>
        <v>1</v>
      </c>
      <c r="G750" s="43" t="b">
        <f>AND(CB750&gt;Driver!$F$55,CB750&lt;Driver!$G$55)</f>
        <v>0</v>
      </c>
      <c r="H750" s="43" t="b">
        <f t="shared" si="407"/>
        <v>0</v>
      </c>
      <c r="I750" s="43">
        <f t="shared" si="408"/>
        <v>0</v>
      </c>
      <c r="J750" s="43" t="b">
        <f t="array" ref="J750">NOT(OR(($H$9:$H$1273=TRUE)*($I$9:$I$1273&gt;0)*($BT$9:$BT$1273=BT750)*($K$9:$K$1273&gt;K750)))</f>
        <v>1</v>
      </c>
      <c r="K750" s="72">
        <f t="shared" si="409"/>
        <v>0.74453934216478979</v>
      </c>
      <c r="L750" s="72">
        <f t="shared" si="410"/>
        <v>0.85006180715555524</v>
      </c>
      <c r="M750" s="72">
        <f t="shared" si="411"/>
        <v>0.63901687717402433</v>
      </c>
      <c r="N750" s="72">
        <f t="shared" si="412"/>
        <v>0.43811981329254002</v>
      </c>
      <c r="O750" s="72">
        <f t="shared" si="413"/>
        <v>0.64137807561349924</v>
      </c>
      <c r="P750" s="72">
        <f t="shared" si="414"/>
        <v>0.83755274261603385</v>
      </c>
      <c r="Q750" s="72"/>
      <c r="R750" s="72"/>
      <c r="S750" s="72">
        <f t="shared" si="415"/>
        <v>0.5370047109595647</v>
      </c>
      <c r="T750" s="72">
        <f t="shared" si="416"/>
        <v>0.54723832318976062</v>
      </c>
      <c r="U750" s="72">
        <f t="shared" si="417"/>
        <v>0.52068979981200214</v>
      </c>
      <c r="V750" s="72">
        <f t="shared" si="418"/>
        <v>0.53743294225667038</v>
      </c>
      <c r="W750" s="72">
        <f t="shared" si="419"/>
        <v>0.79100026852846406</v>
      </c>
      <c r="X750" s="72">
        <f t="shared" si="420"/>
        <v>0.14993819284444482</v>
      </c>
      <c r="Y750" s="72">
        <f t="shared" si="421"/>
        <v>0.36098312282597561</v>
      </c>
      <c r="Z750" s="72">
        <f t="shared" si="422"/>
        <v>0.56188018670745998</v>
      </c>
      <c r="AA750" s="72">
        <f t="shared" si="423"/>
        <v>0.3586219243865007</v>
      </c>
      <c r="AB750" s="72">
        <f t="shared" si="424"/>
        <v>0.1624472573839662</v>
      </c>
      <c r="AC750" s="72"/>
      <c r="AD750" s="72"/>
      <c r="AE750" s="72">
        <f t="shared" si="425"/>
        <v>0.4629952890404353</v>
      </c>
      <c r="AF750" s="72">
        <f t="shared" si="426"/>
        <v>0.45276167681023938</v>
      </c>
      <c r="AG750" s="72">
        <f t="shared" si="427"/>
        <v>0.4793102001879978</v>
      </c>
      <c r="AH750" s="72">
        <f t="shared" si="428"/>
        <v>0.46256705774332962</v>
      </c>
      <c r="AI750" s="72">
        <f t="shared" si="429"/>
        <v>0.208999731471536</v>
      </c>
      <c r="AJ750" s="72">
        <f>(AV750-Driver!$K$179)/(Driver!$L$179-Driver!$K$179)</f>
        <v>0.40415760212714524</v>
      </c>
      <c r="AK750" s="72">
        <f>(AW750-Driver!$K$180)/(Driver!$L$180-Driver!$K$180)</f>
        <v>0.44309542089808412</v>
      </c>
      <c r="AL750" s="72">
        <f>(AX750-Driver!$K$181)/(Driver!$L$181-Driver!$K$181)</f>
        <v>0.66356795042054018</v>
      </c>
      <c r="AM750" s="72">
        <f>(AY750-Driver!$K$182)/(Driver!$L$182-Driver!$K$182)</f>
        <v>8.8763096710545664E-2</v>
      </c>
      <c r="AN750" s="72">
        <f>(AZ750-Driver!$K$183)/(Driver!$L$183-Driver!$K$183)</f>
        <v>0.41666666666666663</v>
      </c>
      <c r="AO750" s="72"/>
      <c r="AP750" s="72"/>
      <c r="AQ750" s="72">
        <f>(BC750-Driver!$K$188)/(Driver!$L$188-Driver!$K$188)</f>
        <v>0.15700471095956467</v>
      </c>
      <c r="AR750" s="72">
        <f>MIN((BD750-Driver!$K$189)/(Driver!$L$189-Driver!$K$189),100%)</f>
        <v>9.7238323189760639E-2</v>
      </c>
      <c r="AS750" s="72">
        <f>(BE750-Driver!$K$190)/(Driver!$L$190-Driver!$K$190)</f>
        <v>3.0689799812002181E-2</v>
      </c>
      <c r="AT750" s="72">
        <f>(BF750-Driver!$K$191)/(Driver!$L$191-Driver!$K$191)</f>
        <v>4.7432942256670406E-2</v>
      </c>
      <c r="AU750" s="72">
        <f>(BG750-Driver!$K$192)/(Driver!$L$192-Driver!$K$192)</f>
        <v>4.1000268528464015E-2</v>
      </c>
      <c r="AV750" s="70">
        <f t="shared" si="430"/>
        <v>8.5063085063085069</v>
      </c>
      <c r="AW750" s="70">
        <f t="shared" si="431"/>
        <v>45.055467612814255</v>
      </c>
      <c r="AX750" s="70">
        <f t="shared" si="432"/>
        <v>6.9721115537848615</v>
      </c>
      <c r="AY750" s="70">
        <f>IFERROR(Driver!$K$19/Data!BH750/Data!BI750*Data!BK750*Data!BL750,"")</f>
        <v>0.10867251472559919</v>
      </c>
      <c r="AZ750" s="70">
        <f t="shared" si="433"/>
        <v>37.974683544303794</v>
      </c>
      <c r="BA750" s="70"/>
      <c r="BB750" s="70"/>
      <c r="BC750" s="70">
        <f t="shared" si="434"/>
        <v>81.439435053769088</v>
      </c>
      <c r="BD750" s="70">
        <f t="shared" si="435"/>
        <v>10.326242190278148</v>
      </c>
      <c r="BE750" s="70">
        <f t="shared" si="436"/>
        <v>3.0862713841664696E-2</v>
      </c>
      <c r="BF750" s="70">
        <f t="shared" si="437"/>
        <v>5.3572175926117671</v>
      </c>
      <c r="BG750" s="70">
        <f t="shared" si="438"/>
        <v>0.1552531719924812</v>
      </c>
      <c r="BH750" s="67">
        <f>MAX((CE750-Driver!$F$200)/(Driver!$G$200-Driver!$F$200)*$BI$1,1)</f>
        <v>6.9721115537848615</v>
      </c>
      <c r="BI750" s="67">
        <f>MAX($BI$1*(BY750-Driver!$F$201)/(Driver!$G$201-Driver!$F$201),1)</f>
        <v>7.5949367088607591</v>
      </c>
      <c r="BJ750" s="67">
        <f>(CB750-Driver!$F$206)/(Driver!$G$206-Driver!$F$206)*$BI$1</f>
        <v>5.2380952380952381</v>
      </c>
      <c r="BK750" s="67">
        <f>(CD750-Driver!$F$203)/(Driver!$G$203-Driver!$F$203)*$BI$1</f>
        <v>4.9082568807339459</v>
      </c>
      <c r="BL750" s="67">
        <f>MAX((CR750-Driver!$F$202)/(Driver!$G$202-Driver!$F$202)*$BI$1,1)</f>
        <v>5.8620689655172411</v>
      </c>
      <c r="BM750" s="67">
        <f>MAX((CH750-Driver!$F$204)/(Driver!$G$204-Driver!$F$204)*$BI$1,1)</f>
        <v>6.4957264957264957</v>
      </c>
      <c r="BN750" s="67">
        <f>(CI750-Driver!$F$205)/(Driver!$G$205-Driver!$F$205)*$BI$1</f>
        <v>5</v>
      </c>
      <c r="BO750" s="67">
        <f>(CK750-Driver!$F$207)/(Driver!$G$207-Driver!$F$207)*$BI$1</f>
        <v>1.7786970010341261</v>
      </c>
      <c r="BP750" s="67">
        <f>(CM750-Driver!$F$208)/(Driver!$G$208-Driver!$F$208)*$BI$1</f>
        <v>2.822222222222222</v>
      </c>
      <c r="BQ750" s="67">
        <f>(CL750-Driver!$F$209)/(Driver!$G$209-Driver!$F$209)*$BI$1</f>
        <v>7.03125</v>
      </c>
      <c r="BR750" s="28" t="s">
        <v>155</v>
      </c>
      <c r="BS750" s="8" t="s">
        <v>205</v>
      </c>
      <c r="BT750" s="9" t="s">
        <v>308</v>
      </c>
      <c r="BU750" s="10">
        <v>183</v>
      </c>
      <c r="BV750" s="9" t="s">
        <v>158</v>
      </c>
      <c r="BW750" s="10">
        <v>183</v>
      </c>
      <c r="BX750" s="10">
        <v>181.4</v>
      </c>
      <c r="BY750" s="10">
        <v>128</v>
      </c>
      <c r="BZ750" s="10">
        <v>150</v>
      </c>
      <c r="CA750" s="10">
        <v>127</v>
      </c>
      <c r="CB750" s="10">
        <v>97</v>
      </c>
      <c r="CC750" s="10">
        <v>119</v>
      </c>
      <c r="CD750" s="10">
        <v>20.100000000000001</v>
      </c>
      <c r="CE750" s="10">
        <v>2125</v>
      </c>
      <c r="CF750" s="10">
        <v>0.92</v>
      </c>
      <c r="CG750" s="10">
        <v>1955</v>
      </c>
      <c r="CH750" s="10">
        <v>253</v>
      </c>
      <c r="CI750" s="10">
        <v>118</v>
      </c>
      <c r="CJ750" s="10">
        <v>51</v>
      </c>
      <c r="CK750" s="10">
        <v>282</v>
      </c>
      <c r="CL750" s="10">
        <v>45</v>
      </c>
      <c r="CM750" s="10">
        <v>254</v>
      </c>
      <c r="CN750" s="10">
        <v>0.88900000000000001</v>
      </c>
      <c r="CO750" s="10">
        <v>169</v>
      </c>
      <c r="CP750" s="10">
        <v>146</v>
      </c>
      <c r="CQ750" s="10">
        <v>113</v>
      </c>
      <c r="CR750" s="10">
        <v>6</v>
      </c>
      <c r="CS750" s="10">
        <v>8.4</v>
      </c>
      <c r="CT750" s="9" t="s">
        <v>184</v>
      </c>
      <c r="CU750" s="10"/>
      <c r="CV750" s="10"/>
      <c r="CW750" s="10"/>
      <c r="CX750" t="str">
        <f>INDEX('Data_Price '!AG$2:AG$1266,MATCH(Data!$DN750,'Data_Price '!$AT$2:$AT$1266,0))</f>
        <v>Faction Prodigy 2.0 Skis</v>
      </c>
      <c r="CY750" t="str">
        <f>INDEX('Data_Price '!AH$2:AH$1266,MATCH(Data!$DN750,'Data_Price '!$AT$2:$AT$1266,0))</f>
        <v>The-House.com</v>
      </c>
      <c r="CZ750">
        <f>INDEX('Data_Price '!AI$2:AI$1266,MATCH(Data!$DN750,'Data_Price '!$AT$2:$AT$1266,0))</f>
        <v>599</v>
      </c>
      <c r="DA750" t="str">
        <f>INDEX('Data_Price '!AJ$2:AJ$1266,MATCH(Data!$DN750,'Data_Price '!$AT$2:$AT$1266,0))</f>
        <v>https://tinyurl.com/y8jv3bzk</v>
      </c>
      <c r="DB750" t="str">
        <f>INDEX('Data_Price '!AK$2:AK$1266,MATCH(Data!$DN750,'Data_Price '!$AT$2:$AT$1266,0))</f>
        <v>Faction Prodigy 2.0 Skis</v>
      </c>
      <c r="DC750" t="str">
        <f>INDEX('Data_Price '!AL$2:AL$1266,MATCH(Data!$DN750,'Data_Price '!$AT$2:$AT$1266,0))</f>
        <v>Gear West Ski &amp; Bike</v>
      </c>
      <c r="DD750">
        <f>INDEX('Data_Price '!AM$2:AM$1266,MATCH(Data!$DN750,'Data_Price '!$AT$2:$AT$1266,0))</f>
        <v>699</v>
      </c>
      <c r="DE750" t="str">
        <f>INDEX('Data_Price '!AN$2:AN$1266,MATCH(Data!$DN750,'Data_Price '!$AT$2:$AT$1266,0))</f>
        <v>https://tinyurl.com/ya3m5y9s</v>
      </c>
      <c r="DF750" t="str">
        <f>INDEX('Data_Price '!AO$2:AO$1266,MATCH(Data!$DN750,'Data_Price '!$AT$2:$AT$1266,0))</f>
        <v>Faction Ct 2.0 Ski - 2022</v>
      </c>
      <c r="DG750" t="str">
        <f>INDEX('Data_Price '!AP$2:AP$1266,MATCH(Data!$DN750,'Data_Price '!$AT$2:$AT$1266,0))</f>
        <v>Next Adventure</v>
      </c>
      <c r="DH750">
        <f>INDEX('Data_Price '!AQ$2:AQ$1266,MATCH(Data!$DN750,'Data_Price '!$AT$2:$AT$1266,0))</f>
        <v>639.20000000000005</v>
      </c>
      <c r="DI750" t="str">
        <f>INDEX('Data_Price '!AR$2:AR$1266,MATCH(Data!$DN750,'Data_Price '!$AT$2:$AT$1266,0))</f>
        <v>https://tinyurl.com/y7nbvlc5</v>
      </c>
      <c r="DJ750" s="89" t="str">
        <f t="shared" si="439"/>
        <v>https://tinyurl.com/y8jv3bzk</v>
      </c>
      <c r="DK750" s="89" t="str">
        <f t="shared" si="440"/>
        <v>https://tinyurl.com/ya3m5y9s</v>
      </c>
      <c r="DL750" s="89" t="str">
        <f t="shared" si="441"/>
        <v>https://tinyurl.com/y7nbvlc5</v>
      </c>
      <c r="DM750" s="219" t="str">
        <f t="shared" si="442"/>
        <v>Prodigy 2.0</v>
      </c>
      <c r="DN750" s="89" t="str">
        <f t="shared" si="443"/>
        <v xml:space="preserve"> FactionProdigy 2.0183 Unisex</v>
      </c>
      <c r="DO750" s="221" t="s">
        <v>309</v>
      </c>
    </row>
    <row r="751" spans="1:119" ht="15.6" customHeight="1">
      <c r="B751" s="219" t="b">
        <f t="array" ref="B751">IF(OR(ISERROR(K751:P751)),FALSE,TRUE)</f>
        <v>1</v>
      </c>
      <c r="C751" s="43" t="b">
        <f>OR(BR751=Driver!$G$50,Data!BR802=Driver!$H$50)</f>
        <v>1</v>
      </c>
      <c r="D751" s="43" t="b">
        <f>OR(BV751=Driver!$G$51,BV751=Driver!$H$51)</f>
        <v>1</v>
      </c>
      <c r="E751" s="43" t="b">
        <f>AND(BX751&gt;Driver!$F$54,BX751&lt;Driver!$G$54)</f>
        <v>0</v>
      </c>
      <c r="F751" s="43" t="b">
        <f>CL751&gt;Driver!$F$56</f>
        <v>1</v>
      </c>
      <c r="G751" s="43" t="b">
        <f>AND(CB751&gt;Driver!$F$55,CB751&lt;Driver!$G$55)</f>
        <v>0</v>
      </c>
      <c r="H751" s="43" t="b">
        <f t="shared" si="407"/>
        <v>0</v>
      </c>
      <c r="I751" s="43">
        <f t="shared" si="408"/>
        <v>0</v>
      </c>
      <c r="J751" s="43" t="b">
        <f t="array" ref="J751">NOT(OR(($H$9:$H$1273=TRUE)*($I$9:$I$1273&gt;0)*($BT$9:$BT$1273=BT751)*($K$9:$K$1273&gt;K751)))</f>
        <v>1</v>
      </c>
      <c r="K751" s="72">
        <f t="shared" si="409"/>
        <v>0.84035797522182798</v>
      </c>
      <c r="L751" s="72">
        <f t="shared" si="410"/>
        <v>0.99958769731628427</v>
      </c>
      <c r="M751" s="72">
        <f t="shared" si="411"/>
        <v>0.68112825312737169</v>
      </c>
      <c r="N751" s="72">
        <f t="shared" si="412"/>
        <v>0.58356975953929913</v>
      </c>
      <c r="O751" s="72">
        <f t="shared" si="413"/>
        <v>0.68035049252089952</v>
      </c>
      <c r="P751" s="72">
        <f t="shared" si="414"/>
        <v>0.77946450732191619</v>
      </c>
      <c r="Q751" s="72"/>
      <c r="R751" s="72"/>
      <c r="S751" s="72">
        <f t="shared" si="415"/>
        <v>0.59129501747381108</v>
      </c>
      <c r="T751" s="72">
        <f t="shared" si="416"/>
        <v>0.57296808409384925</v>
      </c>
      <c r="U751" s="72">
        <f t="shared" si="417"/>
        <v>0.51</v>
      </c>
      <c r="V751" s="72">
        <f t="shared" si="418"/>
        <v>0.49596221878755775</v>
      </c>
      <c r="W751" s="72">
        <f t="shared" si="419"/>
        <v>0.76082555635319449</v>
      </c>
      <c r="X751" s="72">
        <f t="shared" si="420"/>
        <v>4.123026837157262E-4</v>
      </c>
      <c r="Y751" s="72">
        <f t="shared" si="421"/>
        <v>0.31887174687262837</v>
      </c>
      <c r="Z751" s="72">
        <f t="shared" si="422"/>
        <v>0.41643024046070087</v>
      </c>
      <c r="AA751" s="72">
        <f t="shared" si="423"/>
        <v>0.31964950747910048</v>
      </c>
      <c r="AB751" s="72">
        <f t="shared" si="424"/>
        <v>0.22053549267808387</v>
      </c>
      <c r="AC751" s="72"/>
      <c r="AD751" s="72"/>
      <c r="AE751" s="72">
        <f t="shared" si="425"/>
        <v>0.40870498252618892</v>
      </c>
      <c r="AF751" s="72">
        <f t="shared" si="426"/>
        <v>0.42703191590615075</v>
      </c>
      <c r="AG751" s="72">
        <f t="shared" si="427"/>
        <v>0.49</v>
      </c>
      <c r="AH751" s="72">
        <f t="shared" si="428"/>
        <v>0.50403778121244225</v>
      </c>
      <c r="AI751" s="72">
        <f t="shared" si="429"/>
        <v>0.23917444364680546</v>
      </c>
      <c r="AJ751" s="72">
        <f>(AV751-Driver!$K$179)/(Driver!$L$179-Driver!$K$179)</f>
        <v>0.2538071065989847</v>
      </c>
      <c r="AK751" s="72">
        <f>(AW751-Driver!$K$180)/(Driver!$L$180-Driver!$K$180)</f>
        <v>0.4844747471089591</v>
      </c>
      <c r="AL751" s="72">
        <f>(AX751-Driver!$K$181)/(Driver!$L$181-Driver!$K$181)</f>
        <v>0.51811800417378107</v>
      </c>
      <c r="AM751" s="72">
        <f>(AY751-Driver!$K$182)/(Driver!$L$182-Driver!$K$182)</f>
        <v>0.12773551361794588</v>
      </c>
      <c r="AN751" s="72">
        <f>(AZ751-Driver!$K$183)/(Driver!$L$183-Driver!$K$183)</f>
        <v>0.47475490196078429</v>
      </c>
      <c r="AO751" s="72"/>
      <c r="AP751" s="72"/>
      <c r="AQ751" s="72">
        <f>(BC751-Driver!$K$188)/(Driver!$L$188-Driver!$K$188)</f>
        <v>0.2112950174738111</v>
      </c>
      <c r="AR751" s="72">
        <f>MIN((BD751-Driver!$K$189)/(Driver!$L$189-Driver!$K$189),100%)</f>
        <v>0.12296808409384927</v>
      </c>
      <c r="AS751" s="72">
        <f>(BE751-Driver!$K$190)/(Driver!$L$190-Driver!$K$190)</f>
        <v>1</v>
      </c>
      <c r="AT751" s="72">
        <f>(BF751-Driver!$K$191)/(Driver!$L$191-Driver!$K$191)</f>
        <v>5.9622187875577898E-3</v>
      </c>
      <c r="AU751" s="72">
        <f>(BG751-Driver!$K$192)/(Driver!$L$192-Driver!$K$192)</f>
        <v>1.0825556353194545E-2</v>
      </c>
      <c r="AV751" s="70">
        <f t="shared" si="430"/>
        <v>5.3418803418803407</v>
      </c>
      <c r="AW751" s="70">
        <f t="shared" si="431"/>
        <v>49.088249610193799</v>
      </c>
      <c r="AX751" s="70">
        <f t="shared" si="432"/>
        <v>5.6630620375640293</v>
      </c>
      <c r="AY751" s="70">
        <f>IFERROR(Driver!$K$19/Data!BH751/Data!BI751*Data!BK751*Data!BL751,"")</f>
        <v>0.15638638126714885</v>
      </c>
      <c r="AZ751" s="70">
        <f t="shared" si="433"/>
        <v>43.26880119136262</v>
      </c>
      <c r="BA751" s="70"/>
      <c r="BB751" s="70"/>
      <c r="BC751" s="70">
        <f t="shared" si="434"/>
        <v>109.60019446279649</v>
      </c>
      <c r="BD751" s="70">
        <f t="shared" si="435"/>
        <v>12.603280439851398</v>
      </c>
      <c r="BE751" s="70">
        <f t="shared" si="436"/>
        <v>1</v>
      </c>
      <c r="BF751" s="70">
        <f t="shared" si="437"/>
        <v>0.67339072509703324</v>
      </c>
      <c r="BG751" s="70">
        <f t="shared" si="438"/>
        <v>4.0992462311557794E-2</v>
      </c>
      <c r="BH751" s="67">
        <f>MAX((CE751-Driver!$F$200)/(Driver!$G$200-Driver!$F$200)*$BI$1,1)</f>
        <v>5.6630620375640293</v>
      </c>
      <c r="BI751" s="67">
        <f>MAX($BI$1*(BY751-Driver!$F$201)/(Driver!$G$201-Driver!$F$201),1)</f>
        <v>9.4303797468354436</v>
      </c>
      <c r="BJ751" s="67">
        <f>(CB751-Driver!$F$206)/(Driver!$G$206-Driver!$F$206)*$BI$1</f>
        <v>3.9682539682539679</v>
      </c>
      <c r="BK751" s="67">
        <f>(CD751-Driver!$F$203)/(Driver!$G$203-Driver!$F$203)*$BI$1</f>
        <v>5.045871559633027</v>
      </c>
      <c r="BL751" s="67">
        <f>MAX((CR751-Driver!$F$202)/(Driver!$G$202-Driver!$F$202)*$BI$1,1)</f>
        <v>8.2758620689655178</v>
      </c>
      <c r="BM751" s="67">
        <f>MAX((CH751-Driver!$F$204)/(Driver!$G$204-Driver!$F$204)*$BI$1,1)</f>
        <v>5.3846153846153841</v>
      </c>
      <c r="BN751" s="67">
        <f>(CI751-Driver!$F$205)/(Driver!$G$205-Driver!$F$205)*$BI$1</f>
        <v>4.5882352941176467</v>
      </c>
      <c r="BO751" s="67">
        <f>(CK751-Driver!$F$207)/(Driver!$G$207-Driver!$F$207)*$BI$1</f>
        <v>0.71354705274043428</v>
      </c>
      <c r="BP751" s="67">
        <f>(CM751-Driver!$F$208)/(Driver!$G$208-Driver!$F$208)*$BI$1</f>
        <v>1.2</v>
      </c>
      <c r="BQ751" s="67">
        <f>(CL751-Driver!$F$209)/(Driver!$G$209-Driver!$F$209)*$BI$1</f>
        <v>1.25</v>
      </c>
      <c r="BR751" s="28" t="s">
        <v>155</v>
      </c>
      <c r="BS751" s="8" t="s">
        <v>215</v>
      </c>
      <c r="BT751" s="9" t="s">
        <v>306</v>
      </c>
      <c r="BU751" s="10">
        <v>186</v>
      </c>
      <c r="BV751" s="9" t="s">
        <v>158</v>
      </c>
      <c r="BW751" s="10">
        <v>186</v>
      </c>
      <c r="BX751" s="10">
        <v>185.8</v>
      </c>
      <c r="BY751" s="10">
        <v>157</v>
      </c>
      <c r="BZ751" s="10">
        <v>166</v>
      </c>
      <c r="CA751" s="10">
        <v>130</v>
      </c>
      <c r="CB751" s="10">
        <v>89</v>
      </c>
      <c r="CC751" s="10">
        <v>113</v>
      </c>
      <c r="CD751" s="10">
        <v>20.399999999999999</v>
      </c>
      <c r="CE751" s="10">
        <v>1895</v>
      </c>
      <c r="CF751" s="10">
        <v>0.99</v>
      </c>
      <c r="CG751" s="10">
        <v>1881</v>
      </c>
      <c r="CH751" s="10">
        <v>227</v>
      </c>
      <c r="CI751" s="10">
        <v>111</v>
      </c>
      <c r="CJ751" s="10">
        <v>37</v>
      </c>
      <c r="CK751" s="10">
        <v>179</v>
      </c>
      <c r="CL751" s="10">
        <v>8</v>
      </c>
      <c r="CM751" s="10">
        <v>108</v>
      </c>
      <c r="CN751" s="10">
        <v>0.22800000000000001</v>
      </c>
      <c r="CO751" s="10">
        <v>106</v>
      </c>
      <c r="CP751" s="10">
        <v>92</v>
      </c>
      <c r="CQ751" s="10">
        <v>73</v>
      </c>
      <c r="CR751" s="10">
        <v>13</v>
      </c>
      <c r="CS751" s="10">
        <v>11.4</v>
      </c>
      <c r="CT751" s="9" t="s">
        <v>188</v>
      </c>
      <c r="CU751" s="10"/>
      <c r="CV751" s="10"/>
      <c r="CW751" s="10"/>
      <c r="CX751" t="str">
        <f>INDEX('Data_Price '!AG$2:AG$1266,MATCH(Data!$DN751,'Data_Price '!$AT$2:$AT$1266,0))</f>
        <v>Liberty Skis Evolv 90 Ski</v>
      </c>
      <c r="CY751" t="str">
        <f>INDEX('Data_Price '!AH$2:AH$1266,MATCH(Data!$DN751,'Data_Price '!$AT$2:$AT$1266,0))</f>
        <v>Buyr.com</v>
      </c>
      <c r="CZ751">
        <f>INDEX('Data_Price '!AI$2:AI$1266,MATCH(Data!$DN751,'Data_Price '!$AT$2:$AT$1266,0))</f>
        <v>486.71</v>
      </c>
      <c r="DA751" t="str">
        <f>INDEX('Data_Price '!AJ$2:AJ$1266,MATCH(Data!$DN751,'Data_Price '!$AT$2:$AT$1266,0))</f>
        <v>https://tinyurl.com/ydy47f7v</v>
      </c>
      <c r="DB751" t="str">
        <f>INDEX('Data_Price '!AK$2:AK$1266,MATCH(Data!$DN751,'Data_Price '!$AT$2:$AT$1266,0))</f>
        <v>Evolv 90 - 2021 186</v>
      </c>
      <c r="DC751" t="str">
        <f>INDEX('Data_Price '!AL$2:AL$1266,MATCH(Data!$DN751,'Data_Price '!$AT$2:$AT$1266,0))</f>
        <v>Liberty Skis</v>
      </c>
      <c r="DD751">
        <f>INDEX('Data_Price '!AM$2:AM$1266,MATCH(Data!$DN751,'Data_Price '!$AT$2:$AT$1266,0))</f>
        <v>369</v>
      </c>
      <c r="DE751" t="str">
        <f>INDEX('Data_Price '!AN$2:AN$1266,MATCH(Data!$DN751,'Data_Price '!$AT$2:$AT$1266,0))</f>
        <v>https://tinyurl.com/y9lwkd78</v>
      </c>
      <c r="DF751" t="str">
        <f>INDEX('Data_Price '!AO$2:AO$1266,MATCH(Data!$DN751,'Data_Price '!$AT$2:$AT$1266,0))</f>
        <v>Liberty 2022 Evolv 100 186 All Mtn Skis W/ Tyrolia Attack Bindings,</v>
      </c>
      <c r="DG751" t="str">
        <f>INDEX('Data_Price '!AP$2:AP$1266,MATCH(Data!$DN751,'Data_Price '!$AT$2:$AT$1266,0))</f>
        <v>eBay - sir_davahad</v>
      </c>
      <c r="DH751">
        <f>INDEX('Data_Price '!AQ$2:AQ$1266,MATCH(Data!$DN751,'Data_Price '!$AT$2:$AT$1266,0))</f>
        <v>499</v>
      </c>
      <c r="DI751" t="str">
        <f>INDEX('Data_Price '!AR$2:AR$1266,MATCH(Data!$DN751,'Data_Price '!$AT$2:$AT$1266,0))</f>
        <v>https://tinyurl.com/ydbdotyj</v>
      </c>
      <c r="DJ751" s="89" t="str">
        <f t="shared" si="439"/>
        <v>https://tinyurl.com/ydy47f7v</v>
      </c>
      <c r="DK751" s="89" t="str">
        <f t="shared" si="440"/>
        <v>https://tinyurl.com/y9lwkd78</v>
      </c>
      <c r="DL751" s="89" t="str">
        <f t="shared" si="441"/>
        <v>https://tinyurl.com/ydbdotyj</v>
      </c>
      <c r="DM751" s="219" t="str">
        <f t="shared" si="442"/>
        <v>Evolv 90</v>
      </c>
      <c r="DN751" s="89" t="str">
        <f t="shared" si="443"/>
        <v xml:space="preserve"> LibertyEvolv 90186 Unisex</v>
      </c>
      <c r="DO751" s="221"/>
    </row>
    <row r="752" spans="1:119" ht="15.6" customHeight="1">
      <c r="B752" s="219" t="b">
        <f t="array" ref="B752">IF(OR(ISERROR(K752:P752)),FALSE,TRUE)</f>
        <v>1</v>
      </c>
      <c r="C752" s="43" t="b">
        <f>OR(BR752=Driver!$G$50,Data!BR1198=Driver!$H$50)</f>
        <v>1</v>
      </c>
      <c r="D752" s="43" t="b">
        <f>OR(BV752=Driver!$G$51,BV752=Driver!$H$51)</f>
        <v>0</v>
      </c>
      <c r="E752" s="43" t="b">
        <f>AND(BX752&gt;Driver!$F$54,BX752&lt;Driver!$G$54)</f>
        <v>1</v>
      </c>
      <c r="F752" s="43" t="b">
        <f>CL752&gt;Driver!$F$56</f>
        <v>1</v>
      </c>
      <c r="G752" s="43" t="b">
        <f>AND(CB752&gt;Driver!$F$55,CB752&lt;Driver!$G$55)</f>
        <v>0</v>
      </c>
      <c r="H752" s="43" t="b">
        <f t="shared" si="407"/>
        <v>0</v>
      </c>
      <c r="I752" s="43">
        <f t="shared" si="408"/>
        <v>0</v>
      </c>
      <c r="J752" s="43" t="b">
        <f t="array" ref="J752">NOT(OR(($H$9:$H$1273=TRUE)*($I$9:$I$1273&gt;0)*($BT$9:$BT$1273=BT752)*($K$9:$K$1273&gt;K752)))</f>
        <v>1</v>
      </c>
      <c r="K752" s="72">
        <f t="shared" si="409"/>
        <v>0.77593054982756593</v>
      </c>
      <c r="L752" s="72">
        <f t="shared" si="410"/>
        <v>0.79509168571367372</v>
      </c>
      <c r="M752" s="72">
        <f t="shared" si="411"/>
        <v>0.75676941394145814</v>
      </c>
      <c r="N752" s="72">
        <f t="shared" si="412"/>
        <v>0.74040274505754367</v>
      </c>
      <c r="O752" s="72">
        <f t="shared" si="413"/>
        <v>0.58387980801031558</v>
      </c>
      <c r="P752" s="72">
        <f t="shared" si="414"/>
        <v>0.94602568875651527</v>
      </c>
      <c r="Q752" s="72"/>
      <c r="R752" s="72"/>
      <c r="S752" s="72">
        <f t="shared" si="415"/>
        <v>0.42630644247118832</v>
      </c>
      <c r="T752" s="72">
        <f t="shared" si="416"/>
        <v>0.68396299211037548</v>
      </c>
      <c r="U752" s="72">
        <f t="shared" si="417"/>
        <v>0.51</v>
      </c>
      <c r="V752" s="72">
        <f t="shared" si="418"/>
        <v>0.49236568552214854</v>
      </c>
      <c r="W752" s="72">
        <f t="shared" si="419"/>
        <v>0.76558587290337821</v>
      </c>
      <c r="X752" s="72">
        <f t="shared" si="420"/>
        <v>0.20490831428632625</v>
      </c>
      <c r="Y752" s="72">
        <f t="shared" si="421"/>
        <v>0.24323058605854184</v>
      </c>
      <c r="Z752" s="72">
        <f t="shared" si="422"/>
        <v>0.25959725494245639</v>
      </c>
      <c r="AA752" s="72">
        <f t="shared" si="423"/>
        <v>0.41612019198968436</v>
      </c>
      <c r="AB752" s="72">
        <f t="shared" si="424"/>
        <v>5.3974311243484729E-2</v>
      </c>
      <c r="AC752" s="72"/>
      <c r="AD752" s="72"/>
      <c r="AE752" s="72">
        <f t="shared" si="425"/>
        <v>0.57369355752881168</v>
      </c>
      <c r="AF752" s="72">
        <f t="shared" si="426"/>
        <v>0.31603700788962452</v>
      </c>
      <c r="AG752" s="72">
        <f t="shared" si="427"/>
        <v>0.49</v>
      </c>
      <c r="AH752" s="72">
        <f t="shared" si="428"/>
        <v>0.50763431447785146</v>
      </c>
      <c r="AI752" s="72">
        <f t="shared" si="429"/>
        <v>0.23441412709662179</v>
      </c>
      <c r="AJ752" s="72">
        <f>(AV752-Driver!$K$179)/(Driver!$L$179-Driver!$K$179)</f>
        <v>4.9311094996374184E-2</v>
      </c>
      <c r="AK752" s="72">
        <f>(AW752-Driver!$K$180)/(Driver!$L$180-Driver!$K$180)</f>
        <v>0.21207036471637228</v>
      </c>
      <c r="AL752" s="72">
        <f>(AX752-Driver!$K$181)/(Driver!$L$181-Driver!$K$181)</f>
        <v>0.36128501865553658</v>
      </c>
      <c r="AM752" s="72">
        <f>(AY752-Driver!$K$182)/(Driver!$L$182-Driver!$K$182)</f>
        <v>3.1264829107362016E-2</v>
      </c>
      <c r="AN752" s="72">
        <f>(AZ752-Driver!$K$183)/(Driver!$L$183-Driver!$K$183)</f>
        <v>0.2002450980392157</v>
      </c>
      <c r="AO752" s="72"/>
      <c r="AP752" s="72"/>
      <c r="AQ752" s="72">
        <f>(BC752-Driver!$K$188)/(Driver!$L$188-Driver!$K$188)</f>
        <v>4.6306442471188362E-2</v>
      </c>
      <c r="AR752" s="72">
        <f>MIN((BD752-Driver!$K$189)/(Driver!$L$189-Driver!$K$189),100%)</f>
        <v>0.86603700788962457</v>
      </c>
      <c r="AS752" s="72">
        <f>(BE752-Driver!$K$190)/(Driver!$L$190-Driver!$K$190)</f>
        <v>1</v>
      </c>
      <c r="AT752" s="72">
        <f>(BF752-Driver!$K$191)/(Driver!$L$191-Driver!$K$191)</f>
        <v>2.3656855221485347E-3</v>
      </c>
      <c r="AU752" s="72">
        <f>(BG752-Driver!$K$192)/(Driver!$L$192-Driver!$K$192)</f>
        <v>1.5585872903378213E-2</v>
      </c>
      <c r="AV752" s="70">
        <f t="shared" si="430"/>
        <v>1.0378510378510379</v>
      </c>
      <c r="AW752" s="70">
        <f t="shared" si="431"/>
        <v>22.540028797661428</v>
      </c>
      <c r="AX752" s="70">
        <f t="shared" si="432"/>
        <v>4.2515651678998294</v>
      </c>
      <c r="AY752" s="70">
        <f>IFERROR(Driver!$K$19/Data!BH752/Data!BI752*Data!BK752*Data!BL752,"")</f>
        <v>3.8277479352063652E-2</v>
      </c>
      <c r="AZ752" s="70">
        <f t="shared" si="433"/>
        <v>18.250186150409533</v>
      </c>
      <c r="BA752" s="70"/>
      <c r="BB752" s="70"/>
      <c r="BC752" s="70">
        <f t="shared" si="434"/>
        <v>24.019473626970814</v>
      </c>
      <c r="BD752" s="70">
        <f t="shared" si="435"/>
        <v>78.363563555554251</v>
      </c>
      <c r="BE752" s="70">
        <f t="shared" si="436"/>
        <v>1</v>
      </c>
      <c r="BF752" s="70">
        <f t="shared" si="437"/>
        <v>0.26718755984526416</v>
      </c>
      <c r="BG752" s="70">
        <f t="shared" si="438"/>
        <v>5.901805752421449E-2</v>
      </c>
      <c r="BH752" s="67">
        <f>MAX((CE752-Driver!$F$200)/(Driver!$G$200-Driver!$F$200)*$BI$1,1)</f>
        <v>4.2515651678998294</v>
      </c>
      <c r="BI752" s="67">
        <f>MAX($BI$1*(BY752-Driver!$F$201)/(Driver!$G$201-Driver!$F$201),1)</f>
        <v>8.1645569620253173</v>
      </c>
      <c r="BJ752" s="67">
        <f>(CB752-Driver!$F$206)/(Driver!$G$206-Driver!$F$206)*$BI$1</f>
        <v>0.95238095238095233</v>
      </c>
      <c r="BK752" s="67">
        <f>(CD752-Driver!$F$203)/(Driver!$G$203-Driver!$F$203)*$BI$1</f>
        <v>1.2844036697247705</v>
      </c>
      <c r="BL752" s="67">
        <f>MAX((CR752-Driver!$F$202)/(Driver!$G$202-Driver!$F$202)*$BI$1,1)</f>
        <v>5.1724137931034484</v>
      </c>
      <c r="BM752" s="67">
        <f>MAX((CH752-Driver!$F$204)/(Driver!$G$204-Driver!$F$204)*$BI$1,1)</f>
        <v>4.3589743589743595</v>
      </c>
      <c r="BN752" s="67">
        <f>(CI752-Driver!$F$205)/(Driver!$G$205-Driver!$F$205)*$BI$1</f>
        <v>2.2352941176470589</v>
      </c>
      <c r="BO752" s="67">
        <f>(CK752-Driver!$F$207)/(Driver!$G$207-Driver!$F$207)*$BI$1</f>
        <v>0.57911065149948293</v>
      </c>
      <c r="BP752" s="67">
        <f>(CM752-Driver!$F$208)/(Driver!$G$208-Driver!$F$208)*$BI$1</f>
        <v>0.62222222222222223</v>
      </c>
      <c r="BQ752" s="67">
        <f>(CL752-Driver!$F$209)/(Driver!$G$209-Driver!$F$209)*$BI$1</f>
        <v>1.09375</v>
      </c>
      <c r="BR752" s="28" t="s">
        <v>155</v>
      </c>
      <c r="BS752" s="8" t="s">
        <v>229</v>
      </c>
      <c r="BT752" s="9" t="s">
        <v>651</v>
      </c>
      <c r="BU752" s="10">
        <v>160</v>
      </c>
      <c r="BV752" s="9" t="s">
        <v>163</v>
      </c>
      <c r="BW752" s="10">
        <v>160</v>
      </c>
      <c r="BX752" s="10">
        <v>159.6</v>
      </c>
      <c r="BY752" s="10">
        <v>137</v>
      </c>
      <c r="BZ752" s="10">
        <v>144</v>
      </c>
      <c r="CA752" s="10">
        <v>122</v>
      </c>
      <c r="CB752" s="10">
        <v>70</v>
      </c>
      <c r="CC752" s="10">
        <v>102</v>
      </c>
      <c r="CD752" s="10">
        <v>12.2</v>
      </c>
      <c r="CE752" s="10">
        <v>1647</v>
      </c>
      <c r="CF752" s="10">
        <v>0.83</v>
      </c>
      <c r="CG752" s="10">
        <v>1370</v>
      </c>
      <c r="CH752" s="10">
        <v>203</v>
      </c>
      <c r="CI752" s="10">
        <v>71</v>
      </c>
      <c r="CJ752" s="10">
        <v>42</v>
      </c>
      <c r="CK752" s="10">
        <v>166</v>
      </c>
      <c r="CL752" s="10">
        <v>7</v>
      </c>
      <c r="CM752" s="10">
        <v>56</v>
      </c>
      <c r="CN752" s="10">
        <v>0.157</v>
      </c>
      <c r="CO752" s="10">
        <v>72</v>
      </c>
      <c r="CP752" s="10">
        <v>79</v>
      </c>
      <c r="CQ752" s="10">
        <v>94</v>
      </c>
      <c r="CR752" s="10">
        <v>4</v>
      </c>
      <c r="CS752" s="10">
        <v>11.5</v>
      </c>
      <c r="CT752" s="9" t="s">
        <v>349</v>
      </c>
      <c r="CU752" s="10"/>
      <c r="CV752" s="10"/>
      <c r="CW752" s="10"/>
      <c r="CX752" t="e">
        <f>INDEX('Data_Price '!AG$2:AG$1266,MATCH(Data!$DN752,'Data_Price '!$AT$2:$AT$1266,0))</f>
        <v>#N/A</v>
      </c>
      <c r="CY752" t="e">
        <f>INDEX('Data_Price '!AH$2:AH$1266,MATCH(Data!$DN752,'Data_Price '!$AT$2:$AT$1266,0))</f>
        <v>#N/A</v>
      </c>
      <c r="CZ752" t="e">
        <f>INDEX('Data_Price '!AI$2:AI$1266,MATCH(Data!$DN752,'Data_Price '!$AT$2:$AT$1266,0))</f>
        <v>#N/A</v>
      </c>
      <c r="DA752" t="e">
        <f>INDEX('Data_Price '!AJ$2:AJ$1266,MATCH(Data!$DN752,'Data_Price '!$AT$2:$AT$1266,0))</f>
        <v>#N/A</v>
      </c>
      <c r="DB752" t="e">
        <f>INDEX('Data_Price '!AK$2:AK$1266,MATCH(Data!$DN752,'Data_Price '!$AT$2:$AT$1266,0))</f>
        <v>#N/A</v>
      </c>
      <c r="DC752" t="e">
        <f>INDEX('Data_Price '!AL$2:AL$1266,MATCH(Data!$DN752,'Data_Price '!$AT$2:$AT$1266,0))</f>
        <v>#N/A</v>
      </c>
      <c r="DD752" t="e">
        <f>INDEX('Data_Price '!AM$2:AM$1266,MATCH(Data!$DN752,'Data_Price '!$AT$2:$AT$1266,0))</f>
        <v>#N/A</v>
      </c>
      <c r="DE752" t="e">
        <f>INDEX('Data_Price '!AN$2:AN$1266,MATCH(Data!$DN752,'Data_Price '!$AT$2:$AT$1266,0))</f>
        <v>#N/A</v>
      </c>
      <c r="DF752" t="e">
        <f>INDEX('Data_Price '!AO$2:AO$1266,MATCH(Data!$DN752,'Data_Price '!$AT$2:$AT$1266,0))</f>
        <v>#N/A</v>
      </c>
      <c r="DG752" t="e">
        <f>INDEX('Data_Price '!AP$2:AP$1266,MATCH(Data!$DN752,'Data_Price '!$AT$2:$AT$1266,0))</f>
        <v>#N/A</v>
      </c>
      <c r="DH752" t="e">
        <f>INDEX('Data_Price '!AQ$2:AQ$1266,MATCH(Data!$DN752,'Data_Price '!$AT$2:$AT$1266,0))</f>
        <v>#N/A</v>
      </c>
      <c r="DI752" t="e">
        <f>INDEX('Data_Price '!AR$2:AR$1266,MATCH(Data!$DN752,'Data_Price '!$AT$2:$AT$1266,0))</f>
        <v>#N/A</v>
      </c>
      <c r="DJ752" s="89" t="e">
        <f t="shared" si="439"/>
        <v>#N/A</v>
      </c>
      <c r="DK752" s="89" t="e">
        <f t="shared" si="440"/>
        <v>#N/A</v>
      </c>
      <c r="DL752" s="89" t="e">
        <f t="shared" si="441"/>
        <v>#N/A</v>
      </c>
      <c r="DM752" s="219" t="str">
        <f t="shared" si="442"/>
        <v>Flair SC Carbon</v>
      </c>
      <c r="DN752" s="89" t="str">
        <f t="shared" si="443"/>
        <v xml:space="preserve"> VölklFlair SC Carbon160 Women's</v>
      </c>
      <c r="DO752" s="221"/>
    </row>
    <row r="753" spans="1:119" ht="15.6" customHeight="1">
      <c r="B753" s="219" t="b">
        <f t="array" ref="B753">IF(OR(ISERROR(K753:P753)),FALSE,TRUE)</f>
        <v>1</v>
      </c>
      <c r="C753" s="43" t="b">
        <f>OR(BR753=Driver!$G$50,Data!BR1036=Driver!$H$50)</f>
        <v>1</v>
      </c>
      <c r="D753" s="43" t="b">
        <f>OR(BV753=Driver!$G$51,BV753=Driver!$H$51)</f>
        <v>1</v>
      </c>
      <c r="E753" s="43" t="b">
        <f>AND(BX753&gt;Driver!$F$54,BX753&lt;Driver!$G$54)</f>
        <v>0</v>
      </c>
      <c r="F753" s="43" t="b">
        <f>CL753&gt;Driver!$F$56</f>
        <v>1</v>
      </c>
      <c r="G753" s="43" t="b">
        <f>AND(CB753&gt;Driver!$F$55,CB753&lt;Driver!$G$55)</f>
        <v>0</v>
      </c>
      <c r="H753" s="43" t="b">
        <f t="shared" si="407"/>
        <v>0</v>
      </c>
      <c r="I753" s="43">
        <f t="shared" si="408"/>
        <v>0</v>
      </c>
      <c r="J753" s="43" t="b">
        <f t="array" ref="J753">NOT(OR(($H$9:$H$1273=TRUE)*($I$9:$I$1273&gt;0)*($BT$9:$BT$1273=BT753)*($K$9:$K$1273&gt;K753)))</f>
        <v>1</v>
      </c>
      <c r="K753" s="72">
        <f t="shared" si="409"/>
        <v>0.7028879600184037</v>
      </c>
      <c r="L753" s="72">
        <f t="shared" si="410"/>
        <v>0.76640745398375676</v>
      </c>
      <c r="M753" s="72">
        <f t="shared" si="411"/>
        <v>0.63936846605305053</v>
      </c>
      <c r="N753" s="72">
        <f t="shared" si="412"/>
        <v>0.47669566860146317</v>
      </c>
      <c r="O753" s="72">
        <f t="shared" si="413"/>
        <v>0.59323607190897476</v>
      </c>
      <c r="P753" s="72">
        <f t="shared" si="414"/>
        <v>0.84817365764871355</v>
      </c>
      <c r="Q753" s="72"/>
      <c r="R753" s="72"/>
      <c r="S753" s="72">
        <f t="shared" si="415"/>
        <v>0.60652789940290108</v>
      </c>
      <c r="T753" s="72">
        <f t="shared" si="416"/>
        <v>0.55000000000000004</v>
      </c>
      <c r="U753" s="72">
        <f t="shared" si="417"/>
        <v>0.51</v>
      </c>
      <c r="V753" s="72">
        <f t="shared" si="418"/>
        <v>0.49035817460897002</v>
      </c>
      <c r="W753" s="72">
        <f t="shared" si="419"/>
        <v>0.75455460695876286</v>
      </c>
      <c r="X753" s="72">
        <f t="shared" si="420"/>
        <v>0.23359254601624324</v>
      </c>
      <c r="Y753" s="72">
        <f t="shared" si="421"/>
        <v>0.36063153394694947</v>
      </c>
      <c r="Z753" s="72">
        <f t="shared" si="422"/>
        <v>0.52330433139853683</v>
      </c>
      <c r="AA753" s="72">
        <f t="shared" si="423"/>
        <v>0.40676392809102524</v>
      </c>
      <c r="AB753" s="72">
        <f t="shared" si="424"/>
        <v>0.15182634235128639</v>
      </c>
      <c r="AC753" s="72"/>
      <c r="AD753" s="72"/>
      <c r="AE753" s="72">
        <f t="shared" si="425"/>
        <v>0.39347210059709892</v>
      </c>
      <c r="AF753" s="72">
        <f t="shared" si="426"/>
        <v>0.44999999999999996</v>
      </c>
      <c r="AG753" s="72">
        <f t="shared" si="427"/>
        <v>0.49</v>
      </c>
      <c r="AH753" s="72">
        <f t="shared" si="428"/>
        <v>0.50964182539102998</v>
      </c>
      <c r="AI753" s="72">
        <f t="shared" si="429"/>
        <v>0.24544539304123711</v>
      </c>
      <c r="AJ753" s="72">
        <f>(AV753-Driver!$K$179)/(Driver!$L$179-Driver!$K$179)</f>
        <v>2.0626863266457175E-2</v>
      </c>
      <c r="AK753" s="72">
        <f>(AW753-Driver!$K$180)/(Driver!$L$180-Driver!$K$180)</f>
        <v>0.4289960871755919</v>
      </c>
      <c r="AL753" s="72">
        <f>(AX753-Driver!$K$181)/(Driver!$L$181-Driver!$K$181)</f>
        <v>0.62499209511161702</v>
      </c>
      <c r="AM753" s="72">
        <f>(AY753-Driver!$K$182)/(Driver!$L$182-Driver!$K$182)</f>
        <v>4.0621093006021139E-2</v>
      </c>
      <c r="AN753" s="72">
        <f>(AZ753-Driver!$K$183)/(Driver!$L$183-Driver!$K$183)</f>
        <v>0.40604575163398682</v>
      </c>
      <c r="AO753" s="72"/>
      <c r="AP753" s="72"/>
      <c r="AQ753" s="72">
        <f>(BC753-Driver!$K$188)/(Driver!$L$188-Driver!$K$188)</f>
        <v>0.22652789940290108</v>
      </c>
      <c r="AR753" s="72">
        <f>MIN((BD753-Driver!$K$189)/(Driver!$L$189-Driver!$K$189),100%)</f>
        <v>1</v>
      </c>
      <c r="AS753" s="72">
        <f>(BE753-Driver!$K$190)/(Driver!$L$190-Driver!$K$190)</f>
        <v>1</v>
      </c>
      <c r="AT753" s="72">
        <f>(BF753-Driver!$K$191)/(Driver!$L$191-Driver!$K$191)</f>
        <v>3.581746089699855E-4</v>
      </c>
      <c r="AU753" s="72">
        <f>(BG753-Driver!$K$192)/(Driver!$L$192-Driver!$K$192)</f>
        <v>4.554606958762886E-3</v>
      </c>
      <c r="AV753" s="70">
        <f t="shared" si="430"/>
        <v>0.43413376746710081</v>
      </c>
      <c r="AW753" s="70">
        <f t="shared" si="431"/>
        <v>43.681362608751392</v>
      </c>
      <c r="AX753" s="70">
        <f t="shared" si="432"/>
        <v>6.6249288560045532</v>
      </c>
      <c r="AY753" s="70">
        <f>IFERROR(Driver!$K$19/Data!BH753/Data!BI753*Data!BK753*Data!BL753,"")</f>
        <v>4.9732338003731523E-2</v>
      </c>
      <c r="AZ753" s="70">
        <f t="shared" si="433"/>
        <v>37.006701414743105</v>
      </c>
      <c r="BA753" s="70"/>
      <c r="BB753" s="70"/>
      <c r="BC753" s="70">
        <f t="shared" si="434"/>
        <v>117.5015962166926</v>
      </c>
      <c r="BD753" s="70">
        <f t="shared" si="435"/>
        <v>528.06941586845835</v>
      </c>
      <c r="BE753" s="70">
        <f t="shared" si="436"/>
        <v>1</v>
      </c>
      <c r="BF753" s="70">
        <f t="shared" si="437"/>
        <v>4.0453305764118118E-2</v>
      </c>
      <c r="BG753" s="70">
        <f t="shared" si="438"/>
        <v>1.7246647471005155E-2</v>
      </c>
      <c r="BH753" s="67">
        <f>MAX((CE753-Driver!$F$200)/(Driver!$G$200-Driver!$F$200)*$BI$1,1)</f>
        <v>6.6249288560045532</v>
      </c>
      <c r="BI753" s="67">
        <f>MAX($BI$1*(BY753-Driver!$F$201)/(Driver!$G$201-Driver!$F$201),1)</f>
        <v>8.9873417721518987</v>
      </c>
      <c r="BJ753" s="67">
        <f>(CB753-Driver!$F$206)/(Driver!$G$206-Driver!$F$206)*$BI$1</f>
        <v>0.31746031746031744</v>
      </c>
      <c r="BK753" s="67">
        <f>(CD753-Driver!$F$203)/(Driver!$G$203-Driver!$F$203)*$BI$1</f>
        <v>1.7889908256880738</v>
      </c>
      <c r="BL753" s="67">
        <f>MAX((CR753-Driver!$F$202)/(Driver!$G$202-Driver!$F$202)*$BI$1,1)</f>
        <v>8.2758620689655178</v>
      </c>
      <c r="BM753" s="67">
        <f>MAX((CH753-Driver!$F$204)/(Driver!$G$204-Driver!$F$204)*$BI$1,1)</f>
        <v>5.4700854700854702</v>
      </c>
      <c r="BN753" s="67">
        <f>(CI753-Driver!$F$205)/(Driver!$G$205-Driver!$F$205)*$BI$1</f>
        <v>4.117647058823529</v>
      </c>
      <c r="BO753" s="67">
        <f>(CK753-Driver!$F$207)/(Driver!$G$207-Driver!$F$207)*$BI$1</f>
        <v>0.32057911065149947</v>
      </c>
      <c r="BP753" s="67">
        <f>(CM753-Driver!$F$208)/(Driver!$G$208-Driver!$F$208)*$BI$1</f>
        <v>0.71111111111111114</v>
      </c>
      <c r="BQ753" s="67">
        <f>(CL753-Driver!$F$209)/(Driver!$G$209-Driver!$F$209)*$BI$1</f>
        <v>0.625</v>
      </c>
      <c r="BR753" s="28" t="s">
        <v>155</v>
      </c>
      <c r="BS753" s="8" t="s">
        <v>172</v>
      </c>
      <c r="BT753" s="9" t="s">
        <v>746</v>
      </c>
      <c r="BU753" s="10">
        <v>172</v>
      </c>
      <c r="BV753" s="9" t="s">
        <v>158</v>
      </c>
      <c r="BW753" s="10">
        <v>172</v>
      </c>
      <c r="BX753" s="10">
        <v>170.5</v>
      </c>
      <c r="BY753" s="10">
        <v>150</v>
      </c>
      <c r="BZ753" s="10">
        <v>157</v>
      </c>
      <c r="CA753" s="10">
        <v>121</v>
      </c>
      <c r="CB753" s="10">
        <v>66</v>
      </c>
      <c r="CC753" s="10">
        <v>102</v>
      </c>
      <c r="CD753" s="10">
        <v>13.3</v>
      </c>
      <c r="CE753" s="10">
        <v>2064</v>
      </c>
      <c r="CF753" s="10">
        <v>0.69</v>
      </c>
      <c r="CG753" s="10">
        <v>1425</v>
      </c>
      <c r="CH753" s="10">
        <v>229</v>
      </c>
      <c r="CI753" s="10">
        <v>103</v>
      </c>
      <c r="CJ753" s="10">
        <v>40</v>
      </c>
      <c r="CK753" s="10">
        <v>141</v>
      </c>
      <c r="CL753" s="10">
        <v>4</v>
      </c>
      <c r="CM753" s="10">
        <v>64</v>
      </c>
      <c r="CN753" s="10">
        <v>0.11</v>
      </c>
      <c r="CO753" s="10">
        <v>76</v>
      </c>
      <c r="CP753" s="10">
        <v>63</v>
      </c>
      <c r="CQ753" s="10">
        <v>65</v>
      </c>
      <c r="CR753" s="10">
        <v>13</v>
      </c>
      <c r="CS753" s="10">
        <v>11.1</v>
      </c>
      <c r="CT753" s="9" t="s">
        <v>349</v>
      </c>
      <c r="CU753" s="10"/>
      <c r="CV753" s="10"/>
      <c r="CW753" s="10"/>
      <c r="CX753" t="str">
        <f>INDEX('Data_Price '!AG$2:AG$1266,MATCH(Data!$DN753,'Data_Price '!$AT$2:$AT$1266,0))</f>
        <v>Rossignol Unisex's Racing Skis Hero Elite St Ti Limited Edition Konect</v>
      </c>
      <c r="CY753" t="str">
        <f>INDEX('Data_Price '!AH$2:AH$1266,MATCH(Data!$DN753,'Data_Price '!$AT$2:$AT$1266,0))</f>
        <v>Rossignol US</v>
      </c>
      <c r="CZ753">
        <f>INDEX('Data_Price '!AI$2:AI$1266,MATCH(Data!$DN753,'Data_Price '!$AT$2:$AT$1266,0))</f>
        <v>1149</v>
      </c>
      <c r="DA753" t="str">
        <f>INDEX('Data_Price '!AJ$2:AJ$1266,MATCH(Data!$DN753,'Data_Price '!$AT$2:$AT$1266,0))</f>
        <v>https://tinyurl.com/y8op8du2</v>
      </c>
      <c r="DB753" t="str">
        <f>INDEX('Data_Price '!AK$2:AK$1266,MATCH(Data!$DN753,'Data_Price '!$AT$2:$AT$1266,0))</f>
        <v>Rossignol Hero Elite LT Ti + SPX 14 Konect 21/22</v>
      </c>
      <c r="DC753" t="str">
        <f>INDEX('Data_Price '!AL$2:AL$1266,MATCH(Data!$DN753,'Data_Price '!$AT$2:$AT$1266,0))</f>
        <v>Snowcountry.eu</v>
      </c>
      <c r="DD753">
        <f>INDEX('Data_Price '!AM$2:AM$1266,MATCH(Data!$DN753,'Data_Price '!$AT$2:$AT$1266,0))</f>
        <v>506.08</v>
      </c>
      <c r="DE753" t="str">
        <f>INDEX('Data_Price '!AN$2:AN$1266,MATCH(Data!$DN753,'Data_Price '!$AT$2:$AT$1266,0))</f>
        <v>https://tinyurl.com/y8kfpu57</v>
      </c>
      <c r="DF753" t="str">
        <f>INDEX('Data_Price '!AO$2:AO$1266,MATCH(Data!$DN753,'Data_Price '!$AT$2:$AT$1266,0))</f>
        <v>Rossignol Blackops Escaper Skis Men's 2022</v>
      </c>
      <c r="DG753" t="str">
        <f>INDEX('Data_Price '!AP$2:AP$1266,MATCH(Data!$DN753,'Data_Price '!$AT$2:$AT$1266,0))</f>
        <v>Level Nine Sports</v>
      </c>
      <c r="DH753">
        <f>INDEX('Data_Price '!AQ$2:AQ$1266,MATCH(Data!$DN753,'Data_Price '!$AT$2:$AT$1266,0))</f>
        <v>479.96</v>
      </c>
      <c r="DI753" t="str">
        <f>INDEX('Data_Price '!AR$2:AR$1266,MATCH(Data!$DN753,'Data_Price '!$AT$2:$AT$1266,0))</f>
        <v>https://tinyurl.com/ydy7p5p2</v>
      </c>
      <c r="DJ753" s="89" t="str">
        <f t="shared" si="439"/>
        <v>https://tinyurl.com/y8op8du2</v>
      </c>
      <c r="DK753" s="89" t="str">
        <f t="shared" si="440"/>
        <v>https://tinyurl.com/y8kfpu57</v>
      </c>
      <c r="DL753" s="89" t="str">
        <f t="shared" si="441"/>
        <v>https://tinyurl.com/ydy7p5p2</v>
      </c>
      <c r="DM753" s="219" t="str">
        <f t="shared" si="442"/>
        <v>Hero Elite Short Turn Ti</v>
      </c>
      <c r="DN753" s="89" t="str">
        <f t="shared" si="443"/>
        <v xml:space="preserve"> RossignolHero Elite Short Turn Ti172 Unisex</v>
      </c>
      <c r="DO753" s="221"/>
    </row>
    <row r="754" spans="1:119" ht="15.6" customHeight="1">
      <c r="B754" s="219" t="b">
        <f t="array" ref="B754">IF(OR(ISERROR(K754:P754)),FALSE,TRUE)</f>
        <v>1</v>
      </c>
      <c r="C754" s="43" t="b">
        <f>OR(BR754=Driver!$G$50,Data!BR85=Driver!$H$50)</f>
        <v>1</v>
      </c>
      <c r="D754" s="43" t="b">
        <f>OR(BV754=Driver!$G$51,BV754=Driver!$H$51)</f>
        <v>0</v>
      </c>
      <c r="E754" s="43" t="b">
        <f>AND(BX754&gt;Driver!$F$54,BX754&lt;Driver!$G$54)</f>
        <v>0</v>
      </c>
      <c r="F754" s="43" t="b">
        <f>CL754&gt;Driver!$F$56</f>
        <v>1</v>
      </c>
      <c r="G754" s="43" t="b">
        <f>AND(CB754&gt;Driver!$F$55,CB754&lt;Driver!$G$55)</f>
        <v>0</v>
      </c>
      <c r="H754" s="43" t="b">
        <f t="shared" si="407"/>
        <v>0</v>
      </c>
      <c r="I754" s="43">
        <f t="shared" si="408"/>
        <v>0</v>
      </c>
      <c r="J754" s="43" t="b">
        <f t="array" ref="J754">NOT(OR(($H$9:$H$1273=TRUE)*($I$9:$I$1273&gt;0)*($BT$9:$BT$1273=BT754)*($K$9:$K$1273&gt;K754)))</f>
        <v>1</v>
      </c>
      <c r="K754" s="72">
        <f t="shared" si="409"/>
        <v>0.82074287083202757</v>
      </c>
      <c r="L754" s="72">
        <f t="shared" si="410"/>
        <v>0.94302497070279623</v>
      </c>
      <c r="M754" s="72">
        <f t="shared" si="411"/>
        <v>0.69846077096125891</v>
      </c>
      <c r="N754" s="72">
        <f t="shared" si="412"/>
        <v>0.73850557184562937</v>
      </c>
      <c r="O754" s="72">
        <f t="shared" si="413"/>
        <v>0.65004295267047962</v>
      </c>
      <c r="P754" s="72">
        <f t="shared" si="414"/>
        <v>0.70683378836766764</v>
      </c>
      <c r="Q754" s="72"/>
      <c r="R754" s="72"/>
      <c r="S754" s="72">
        <f t="shared" si="415"/>
        <v>0.55457393388829257</v>
      </c>
      <c r="T754" s="72">
        <f t="shared" si="416"/>
        <v>0.69770678802684349</v>
      </c>
      <c r="U754" s="72">
        <f t="shared" si="417"/>
        <v>0.51</v>
      </c>
      <c r="V754" s="72">
        <f t="shared" si="418"/>
        <v>0.49921171295866829</v>
      </c>
      <c r="W754" s="72">
        <f t="shared" si="419"/>
        <v>0.76727916666666673</v>
      </c>
      <c r="X754" s="72">
        <f t="shared" si="420"/>
        <v>5.6975029297203716E-2</v>
      </c>
      <c r="Y754" s="72">
        <f t="shared" si="421"/>
        <v>0.30153922903874109</v>
      </c>
      <c r="Z754" s="72">
        <f t="shared" si="422"/>
        <v>0.26149442815437063</v>
      </c>
      <c r="AA754" s="72">
        <f t="shared" si="423"/>
        <v>0.34995704732952038</v>
      </c>
      <c r="AB754" s="72">
        <f t="shared" si="424"/>
        <v>0.29316621163233231</v>
      </c>
      <c r="AC754" s="72"/>
      <c r="AD754" s="72"/>
      <c r="AE754" s="72">
        <f t="shared" si="425"/>
        <v>0.44542606611170743</v>
      </c>
      <c r="AF754" s="72">
        <f t="shared" si="426"/>
        <v>0.30229321197315651</v>
      </c>
      <c r="AG754" s="72">
        <f t="shared" si="427"/>
        <v>0.49</v>
      </c>
      <c r="AH754" s="72">
        <f t="shared" si="428"/>
        <v>0.50078828704133171</v>
      </c>
      <c r="AI754" s="72">
        <f t="shared" si="429"/>
        <v>0.23272083333333332</v>
      </c>
      <c r="AJ754" s="72">
        <f>(AV754-Driver!$K$179)/(Driver!$L$179-Driver!$K$179)</f>
        <v>0.19724437998549671</v>
      </c>
      <c r="AK754" s="72">
        <f>(AW754-Driver!$K$180)/(Driver!$L$180-Driver!$K$180)</f>
        <v>0.53770726729751639</v>
      </c>
      <c r="AL754" s="72">
        <f>(AX754-Driver!$K$181)/(Driver!$L$181-Driver!$K$181)</f>
        <v>0.36318219186745082</v>
      </c>
      <c r="AM754" s="72">
        <f>(AY754-Driver!$K$182)/(Driver!$L$182-Driver!$K$182)</f>
        <v>9.7427973767525988E-2</v>
      </c>
      <c r="AN754" s="72">
        <f>(AZ754-Driver!$K$183)/(Driver!$L$183-Driver!$K$183)</f>
        <v>0.54738562091503273</v>
      </c>
      <c r="AO754" s="72"/>
      <c r="AP754" s="72"/>
      <c r="AQ754" s="72">
        <f>(BC754-Driver!$K$188)/(Driver!$L$188-Driver!$K$188)</f>
        <v>0.17457393388829254</v>
      </c>
      <c r="AR754" s="72">
        <f>MIN((BD754-Driver!$K$189)/(Driver!$L$189-Driver!$K$189),100%)</f>
        <v>0.24770678802684351</v>
      </c>
      <c r="AS754" s="72">
        <f>(BE754-Driver!$K$190)/(Driver!$L$190-Driver!$K$190)</f>
        <v>1</v>
      </c>
      <c r="AT754" s="72">
        <f>(BF754-Driver!$K$191)/(Driver!$L$191-Driver!$K$191)</f>
        <v>9.2117129586683447E-3</v>
      </c>
      <c r="AU754" s="72">
        <f>(BG754-Driver!$K$192)/(Driver!$L$192-Driver!$K$192)</f>
        <v>1.7279166666666665E-2</v>
      </c>
      <c r="AV754" s="70">
        <f t="shared" si="430"/>
        <v>4.1514041514041509</v>
      </c>
      <c r="AW754" s="70">
        <f t="shared" si="431"/>
        <v>54.276230390681654</v>
      </c>
      <c r="AX754" s="70">
        <f t="shared" si="432"/>
        <v>4.2686397268070575</v>
      </c>
      <c r="AY754" s="70">
        <f>IFERROR(Driver!$K$19/Data!BH754/Data!BI754*Data!BK754*Data!BL754,"")</f>
        <v>0.11928090959312895</v>
      </c>
      <c r="AZ754" s="70">
        <f t="shared" si="433"/>
        <v>49.888309754281465</v>
      </c>
      <c r="BA754" s="70"/>
      <c r="BB754" s="70"/>
      <c r="BC754" s="70">
        <f t="shared" si="434"/>
        <v>90.55271312615649</v>
      </c>
      <c r="BD754" s="70">
        <f t="shared" si="435"/>
        <v>23.642434714016694</v>
      </c>
      <c r="BE754" s="70">
        <f t="shared" si="436"/>
        <v>1</v>
      </c>
      <c r="BF754" s="70">
        <f t="shared" si="437"/>
        <v>1.0403982627353876</v>
      </c>
      <c r="BG754" s="70">
        <f t="shared" si="438"/>
        <v>6.5429947916666661E-2</v>
      </c>
      <c r="BH754" s="67">
        <f>MAX((CE754-Driver!$F$200)/(Driver!$G$200-Driver!$F$200)*$BI$1,1)</f>
        <v>4.2686397268070575</v>
      </c>
      <c r="BI754" s="67">
        <f>MAX($BI$1*(BY754-Driver!$F$201)/(Driver!$G$201-Driver!$F$201),1)</f>
        <v>8.4810126582278489</v>
      </c>
      <c r="BJ754" s="67">
        <f>(CB754-Driver!$F$206)/(Driver!$G$206-Driver!$F$206)*$BI$1</f>
        <v>2.6984126984126982</v>
      </c>
      <c r="BK754" s="67">
        <f>(CD754-Driver!$F$203)/(Driver!$G$203-Driver!$F$203)*$BI$1</f>
        <v>2.9816513761467895</v>
      </c>
      <c r="BL754" s="67">
        <f>MAX((CR754-Driver!$F$202)/(Driver!$G$202-Driver!$F$202)*$BI$1,1)</f>
        <v>7.2413793103448274</v>
      </c>
      <c r="BM754" s="67">
        <f>MAX((CH754-Driver!$F$204)/(Driver!$G$204-Driver!$F$204)*$BI$1,1)</f>
        <v>6.1538461538461542</v>
      </c>
      <c r="BN754" s="67">
        <f>(CI754-Driver!$F$205)/(Driver!$G$205-Driver!$F$205)*$BI$1</f>
        <v>5.882352941176471</v>
      </c>
      <c r="BO754" s="67">
        <f>(CK754-Driver!$F$207)/(Driver!$G$207-Driver!$F$207)*$BI$1</f>
        <v>0.8996897621509824</v>
      </c>
      <c r="BP754" s="67">
        <f>(CM754-Driver!$F$208)/(Driver!$G$208-Driver!$F$208)*$BI$1</f>
        <v>1.2777777777777777</v>
      </c>
      <c r="BQ754" s="67">
        <f>(CL754-Driver!$F$209)/(Driver!$G$209-Driver!$F$209)*$BI$1</f>
        <v>1.71875</v>
      </c>
      <c r="BR754" s="28" t="s">
        <v>155</v>
      </c>
      <c r="BS754" s="8" t="s">
        <v>182</v>
      </c>
      <c r="BT754" s="9" t="s">
        <v>610</v>
      </c>
      <c r="BU754" s="10">
        <v>174</v>
      </c>
      <c r="BV754" s="9" t="s">
        <v>163</v>
      </c>
      <c r="BW754" s="10">
        <v>174</v>
      </c>
      <c r="BX754" s="10">
        <v>173.3</v>
      </c>
      <c r="BY754" s="10">
        <v>142</v>
      </c>
      <c r="BZ754" s="10">
        <v>155</v>
      </c>
      <c r="CA754" s="10">
        <v>127</v>
      </c>
      <c r="CB754" s="10">
        <v>81</v>
      </c>
      <c r="CC754" s="10">
        <v>109</v>
      </c>
      <c r="CD754" s="10">
        <v>15.9</v>
      </c>
      <c r="CE754" s="10">
        <v>1650</v>
      </c>
      <c r="CF754" s="10">
        <v>1</v>
      </c>
      <c r="CG754" s="10">
        <v>1654</v>
      </c>
      <c r="CH754" s="10">
        <v>245</v>
      </c>
      <c r="CI754" s="10">
        <v>133</v>
      </c>
      <c r="CJ754" s="10">
        <v>45</v>
      </c>
      <c r="CK754" s="10">
        <v>197</v>
      </c>
      <c r="CL754" s="10">
        <v>11</v>
      </c>
      <c r="CM754" s="10">
        <v>115</v>
      </c>
      <c r="CN754" s="10">
        <v>0.248</v>
      </c>
      <c r="CO754" s="10">
        <v>115</v>
      </c>
      <c r="CP754" s="10">
        <v>70</v>
      </c>
      <c r="CQ754" s="10">
        <v>82</v>
      </c>
      <c r="CR754" s="10">
        <v>10</v>
      </c>
      <c r="CS754" s="10">
        <v>9.6</v>
      </c>
      <c r="CT754" s="9" t="s">
        <v>231</v>
      </c>
      <c r="CU754" s="9" t="s">
        <v>188</v>
      </c>
      <c r="CV754" s="10"/>
      <c r="CW754" s="10"/>
      <c r="CX754" t="str">
        <f>INDEX('Data_Price '!AG$2:AG$1266,MATCH(Data!$DN754,'Data_Price '!$AT$2:$AT$1266,0))</f>
        <v>Armada Reliance 82 Ti Skis 2022 - Womens 174cm</v>
      </c>
      <c r="CY754" t="str">
        <f>INDEX('Data_Price '!AH$2:AH$1266,MATCH(Data!$DN754,'Data_Price '!$AT$2:$AT$1266,0))</f>
        <v>Teton Wasatch Ski Co.</v>
      </c>
      <c r="CZ754">
        <f>INDEX('Data_Price '!AI$2:AI$1266,MATCH(Data!$DN754,'Data_Price '!$AT$2:$AT$1266,0))</f>
        <v>479</v>
      </c>
      <c r="DA754" t="str">
        <f>INDEX('Data_Price '!AJ$2:AJ$1266,MATCH(Data!$DN754,'Data_Price '!$AT$2:$AT$1266,0))</f>
        <v>https://tinyurl.com/yazgwoll</v>
      </c>
      <c r="DB754" t="str">
        <f>INDEX('Data_Price '!AK$2:AK$1266,MATCH(Data!$DN754,'Data_Price '!$AT$2:$AT$1266,0))</f>
        <v>Armada Reliance 82 Ti + EM10 21/22</v>
      </c>
      <c r="DC754" t="str">
        <f>INDEX('Data_Price '!AL$2:AL$1266,MATCH(Data!$DN754,'Data_Price '!$AT$2:$AT$1266,0))</f>
        <v>Snowcountry.eu</v>
      </c>
      <c r="DD754">
        <f>INDEX('Data_Price '!AM$2:AM$1266,MATCH(Data!$DN754,'Data_Price '!$AT$2:$AT$1266,0))</f>
        <v>552.16999999999996</v>
      </c>
      <c r="DE754" t="str">
        <f>INDEX('Data_Price '!AN$2:AN$1266,MATCH(Data!$DN754,'Data_Price '!$AT$2:$AT$1266,0))</f>
        <v>https://tinyurl.com/ya2lz8sn</v>
      </c>
      <c r="DF754" t="str">
        <f>INDEX('Data_Price '!AO$2:AO$1266,MATCH(Data!$DN754,'Data_Price '!$AT$2:$AT$1266,0))</f>
        <v>Armada Reliance 82 Ti Skis 2022 - Womens 174cm</v>
      </c>
      <c r="DG754" t="str">
        <f>INDEX('Data_Price '!AP$2:AP$1266,MATCH(Data!$DN754,'Data_Price '!$AT$2:$AT$1266,0))</f>
        <v>Curated</v>
      </c>
      <c r="DH754">
        <f>INDEX('Data_Price '!AQ$2:AQ$1266,MATCH(Data!$DN754,'Data_Price '!$AT$2:$AT$1266,0))</f>
        <v>599.95000000000005</v>
      </c>
      <c r="DI754" t="str">
        <f>INDEX('Data_Price '!AR$2:AR$1266,MATCH(Data!$DN754,'Data_Price '!$AT$2:$AT$1266,0))</f>
        <v>https://tinyurl.com/y9vq7k6b</v>
      </c>
      <c r="DJ754" s="89" t="str">
        <f t="shared" si="439"/>
        <v>https://tinyurl.com/yazgwoll</v>
      </c>
      <c r="DK754" s="89" t="str">
        <f t="shared" si="440"/>
        <v>https://tinyurl.com/ya2lz8sn</v>
      </c>
      <c r="DL754" s="89" t="str">
        <f t="shared" si="441"/>
        <v>https://tinyurl.com/y9vq7k6b</v>
      </c>
      <c r="DM754" s="219" t="str">
        <f t="shared" si="442"/>
        <v>Reliance 82 Ti</v>
      </c>
      <c r="DN754" s="89" t="str">
        <f t="shared" si="443"/>
        <v xml:space="preserve"> ArmadaReliance 82 Ti174 Women's</v>
      </c>
      <c r="DO754" s="221"/>
    </row>
    <row r="755" spans="1:119" ht="15.6" customHeight="1">
      <c r="B755" s="219" t="b">
        <f t="array" ref="B755">IF(OR(ISERROR(K755:P755)),FALSE,TRUE)</f>
        <v>1</v>
      </c>
      <c r="C755" s="43" t="b">
        <f>OR(BR755=Driver!$G$50,Data!BR329=Driver!$H$50)</f>
        <v>1</v>
      </c>
      <c r="D755" s="43" t="b">
        <f>OR(BV755=Driver!$G$51,BV755=Driver!$H$51)</f>
        <v>1</v>
      </c>
      <c r="E755" s="43" t="b">
        <f>AND(BX755&gt;Driver!$F$54,BX755&lt;Driver!$G$54)</f>
        <v>0</v>
      </c>
      <c r="F755" s="43" t="b">
        <f>CL755&gt;Driver!$F$56</f>
        <v>1</v>
      </c>
      <c r="G755" s="43" t="b">
        <f>AND(CB755&gt;Driver!$F$55,CB755&lt;Driver!$G$55)</f>
        <v>0</v>
      </c>
      <c r="H755" s="43" t="b">
        <f t="shared" si="407"/>
        <v>0</v>
      </c>
      <c r="I755" s="43">
        <f t="shared" si="408"/>
        <v>0</v>
      </c>
      <c r="J755" s="43" t="b">
        <f t="array" ref="J755">NOT(OR(($H$9:$H$1273=TRUE)*($I$9:$I$1273&gt;0)*($BT$9:$BT$1273=BT755)*($K$9:$K$1273&gt;K755)))</f>
        <v>1</v>
      </c>
      <c r="K755" s="72">
        <f t="shared" si="409"/>
        <v>0.97064016684994403</v>
      </c>
      <c r="L755" s="72">
        <f t="shared" si="410"/>
        <v>0.99346409728405483</v>
      </c>
      <c r="M755" s="72">
        <f t="shared" si="411"/>
        <v>0.94781623641583312</v>
      </c>
      <c r="N755" s="72">
        <f t="shared" si="412"/>
        <v>0.97755083743787152</v>
      </c>
      <c r="O755" s="72">
        <f t="shared" si="413"/>
        <v>0.92796041834723031</v>
      </c>
      <c r="P755" s="72">
        <f t="shared" si="414"/>
        <v>0.93793745346239765</v>
      </c>
      <c r="Q755" s="72"/>
      <c r="R755" s="72"/>
      <c r="S755" s="72">
        <f t="shared" si="415"/>
        <v>0.47095457804540841</v>
      </c>
      <c r="T755" s="72">
        <f t="shared" si="416"/>
        <v>0.44646669569696618</v>
      </c>
      <c r="U755" s="72">
        <f t="shared" si="417"/>
        <v>0.91498434653709038</v>
      </c>
      <c r="V755" s="72">
        <f t="shared" si="418"/>
        <v>0.51852702924284721</v>
      </c>
      <c r="W755" s="72">
        <f t="shared" si="419"/>
        <v>0.80848899893436976</v>
      </c>
      <c r="X755" s="72">
        <f t="shared" si="420"/>
        <v>6.5359027159451744E-3</v>
      </c>
      <c r="Y755" s="72">
        <f t="shared" si="421"/>
        <v>5.2183763584166869E-2</v>
      </c>
      <c r="Z755" s="72">
        <f t="shared" si="422"/>
        <v>2.244916256212845E-2</v>
      </c>
      <c r="AA755" s="72">
        <f t="shared" si="423"/>
        <v>7.2039581652769746E-2</v>
      </c>
      <c r="AB755" s="72">
        <f t="shared" si="424"/>
        <v>6.2062546537602403E-2</v>
      </c>
      <c r="AC755" s="72"/>
      <c r="AD755" s="72"/>
      <c r="AE755" s="72">
        <f t="shared" si="425"/>
        <v>0.52904542195459159</v>
      </c>
      <c r="AF755" s="72">
        <f t="shared" si="426"/>
        <v>0.55353330430303382</v>
      </c>
      <c r="AG755" s="72">
        <f t="shared" si="427"/>
        <v>8.5015653462909624E-2</v>
      </c>
      <c r="AH755" s="72">
        <f t="shared" si="428"/>
        <v>0.48147297075715279</v>
      </c>
      <c r="AI755" s="72">
        <f t="shared" si="429"/>
        <v>0.19151100106563029</v>
      </c>
      <c r="AJ755" s="72">
        <f>(AV755-Driver!$K$179)/(Driver!$L$179-Driver!$K$179)</f>
        <v>0.24768350656675525</v>
      </c>
      <c r="AK755" s="72">
        <f>(AW755-Driver!$K$180)/(Driver!$L$180-Driver!$K$180)</f>
        <v>0.182782970814104</v>
      </c>
      <c r="AL755" s="72">
        <f>(AX755-Driver!$K$181)/(Driver!$L$181-Driver!$K$181)</f>
        <v>7.9238601150951729E-2</v>
      </c>
      <c r="AM755" s="72">
        <f>(AY755-Driver!$K$182)/(Driver!$L$182-Driver!$K$182)</f>
        <v>0.37534543944427662</v>
      </c>
      <c r="AN755" s="72">
        <f>(AZ755-Driver!$K$183)/(Driver!$L$183-Driver!$K$183)</f>
        <v>0.19215686274509802</v>
      </c>
      <c r="AO755" s="72"/>
      <c r="AP755" s="72"/>
      <c r="AQ755" s="72">
        <f>(BC755-Driver!$K$188)/(Driver!$L$188-Driver!$K$188)</f>
        <v>9.0954578045408435E-2</v>
      </c>
      <c r="AR755" s="72">
        <f>MIN((BD755-Driver!$K$189)/(Driver!$L$189-Driver!$K$189),100%)</f>
        <v>-3.533304303033761E-3</v>
      </c>
      <c r="AS755" s="72">
        <f>(BE755-Driver!$K$190)/(Driver!$L$190-Driver!$K$190)</f>
        <v>0.59501565346290963</v>
      </c>
      <c r="AT755" s="72">
        <f>(BF755-Driver!$K$191)/(Driver!$L$191-Driver!$K$191)</f>
        <v>2.8527029242847234E-2</v>
      </c>
      <c r="AU755" s="72">
        <f>(BG755-Driver!$K$192)/(Driver!$L$192-Driver!$K$192)</f>
        <v>5.8488998934369714E-2</v>
      </c>
      <c r="AV755" s="70">
        <f t="shared" si="430"/>
        <v>5.212996879663546</v>
      </c>
      <c r="AW755" s="70">
        <f t="shared" si="431"/>
        <v>19.685712749175593</v>
      </c>
      <c r="AX755" s="70">
        <f t="shared" si="432"/>
        <v>1.7131474103585655</v>
      </c>
      <c r="AY755" s="70">
        <f>IFERROR(Driver!$K$19/Data!BH755/Data!BI755*Data!BK755*Data!BL755,"")</f>
        <v>0.45953481014986436</v>
      </c>
      <c r="AZ755" s="70">
        <f t="shared" si="433"/>
        <v>17.513030528667162</v>
      </c>
      <c r="BA755" s="70"/>
      <c r="BB755" s="70"/>
      <c r="BC755" s="70">
        <f t="shared" si="434"/>
        <v>47.178771938121663</v>
      </c>
      <c r="BD755" s="70">
        <f t="shared" si="435"/>
        <v>1.4081317139240022</v>
      </c>
      <c r="BE755" s="70">
        <f t="shared" si="436"/>
        <v>0.59508789811203888</v>
      </c>
      <c r="BF755" s="70">
        <f t="shared" si="437"/>
        <v>3.2219275392565381</v>
      </c>
      <c r="BG755" s="70">
        <f t="shared" si="438"/>
        <v>0.22147666191311982</v>
      </c>
      <c r="BH755" s="67">
        <f>MAX((CE755-Driver!$F$200)/(Driver!$G$200-Driver!$F$200)*$BI$1,1)</f>
        <v>1.7131474103585655</v>
      </c>
      <c r="BI755" s="67">
        <f>MAX($BI$1*(BY755-Driver!$F$201)/(Driver!$G$201-Driver!$F$201),1)</f>
        <v>7.0886075949367084</v>
      </c>
      <c r="BJ755" s="67">
        <f>(CB755-Driver!$F$206)/(Driver!$G$206-Driver!$F$206)*$BI$1</f>
        <v>4.6031746031746028</v>
      </c>
      <c r="BK755" s="67">
        <f>(CD755-Driver!$F$203)/(Driver!$G$203-Driver!$F$203)*$BI$1</f>
        <v>5.7798165137614692</v>
      </c>
      <c r="BL755" s="67">
        <f>MAX((CR755-Driver!$F$202)/(Driver!$G$202-Driver!$F$202)*$BI$1,1)</f>
        <v>4.8275862068965516</v>
      </c>
      <c r="BM755" s="67">
        <f>MAX((CH755-Driver!$F$204)/(Driver!$G$204-Driver!$F$204)*$BI$1,1)</f>
        <v>4.5299145299145298</v>
      </c>
      <c r="BN755" s="67">
        <f>(CI755-Driver!$F$205)/(Driver!$G$205-Driver!$F$205)*$BI$1</f>
        <v>2.4705882352941178</v>
      </c>
      <c r="BO755" s="67">
        <f>(CK755-Driver!$F$207)/(Driver!$G$207-Driver!$F$207)*$BI$1</f>
        <v>1.6856256463288521</v>
      </c>
      <c r="BP755" s="67">
        <f>(CM755-Driver!$F$208)/(Driver!$G$208-Driver!$F$208)*$BI$1</f>
        <v>2.4</v>
      </c>
      <c r="BQ755" s="67">
        <f>(CL755-Driver!$F$209)/(Driver!$G$209-Driver!$F$209)*$BI$1</f>
        <v>1.71875</v>
      </c>
      <c r="BR755" s="28" t="s">
        <v>155</v>
      </c>
      <c r="BS755" s="8" t="s">
        <v>317</v>
      </c>
      <c r="BT755" s="9" t="s">
        <v>449</v>
      </c>
      <c r="BU755" s="10">
        <v>171</v>
      </c>
      <c r="BV755" s="9" t="s">
        <v>158</v>
      </c>
      <c r="BW755" s="10">
        <v>171</v>
      </c>
      <c r="BX755" s="10">
        <v>169</v>
      </c>
      <c r="BY755" s="10">
        <v>120</v>
      </c>
      <c r="BZ755" s="10">
        <v>143</v>
      </c>
      <c r="CA755" s="10">
        <v>124</v>
      </c>
      <c r="CB755" s="10">
        <v>93</v>
      </c>
      <c r="CC755" s="10">
        <v>107</v>
      </c>
      <c r="CD755" s="10">
        <v>22</v>
      </c>
      <c r="CE755" s="10">
        <v>1201</v>
      </c>
      <c r="CF755" s="10">
        <v>1.42</v>
      </c>
      <c r="CG755" s="10">
        <v>1709</v>
      </c>
      <c r="CH755" s="10">
        <v>207</v>
      </c>
      <c r="CI755" s="10">
        <v>75</v>
      </c>
      <c r="CJ755" s="10">
        <v>55</v>
      </c>
      <c r="CK755" s="10">
        <v>273</v>
      </c>
      <c r="CL755" s="10">
        <v>11</v>
      </c>
      <c r="CM755" s="10">
        <v>216</v>
      </c>
      <c r="CN755" s="10">
        <v>0.191</v>
      </c>
      <c r="CO755" s="10">
        <v>130</v>
      </c>
      <c r="CP755" s="10">
        <v>134</v>
      </c>
      <c r="CQ755" s="10">
        <v>143</v>
      </c>
      <c r="CR755" s="10">
        <v>3</v>
      </c>
      <c r="CS755" s="10">
        <v>10.5</v>
      </c>
      <c r="CT755" s="9" t="s">
        <v>185</v>
      </c>
      <c r="CU755" s="9" t="s">
        <v>198</v>
      </c>
      <c r="CV755" s="10"/>
      <c r="CW755" s="10"/>
      <c r="CX755" t="str">
        <f>INDEX('Data_Price '!AG$2:AG$1266,MATCH(Data!$DN755,'Data_Price '!$AT$2:$AT$1266,0))</f>
        <v>2022 Blizzard Zero G 95 Skis w/ Marker Kingpin 13 Binding - Green - 171| Ski Essentials</v>
      </c>
      <c r="CY755" t="str">
        <f>INDEX('Data_Price '!AH$2:AH$1266,MATCH(Data!$DN755,'Data_Price '!$AT$2:$AT$1266,0))</f>
        <v>SkiEssentials.com</v>
      </c>
      <c r="CZ755">
        <f>INDEX('Data_Price '!AI$2:AI$1266,MATCH(Data!$DN755,'Data_Price '!$AT$2:$AT$1266,0))</f>
        <v>1050</v>
      </c>
      <c r="DA755" t="str">
        <f>INDEX('Data_Price '!AJ$2:AJ$1266,MATCH(Data!$DN755,'Data_Price '!$AT$2:$AT$1266,0))</f>
        <v>https://tinyurl.com/yc3adzj3</v>
      </c>
      <c r="DB755" t="str">
        <f>INDEX('Data_Price '!AK$2:AK$1266,MATCH(Data!$DN755,'Data_Price '!$AT$2:$AT$1266,0))</f>
        <v>Blizzard Zero G 95 171cm Alpine Touring Kit</v>
      </c>
      <c r="DC755" t="str">
        <f>INDEX('Data_Price '!AL$2:AL$1266,MATCH(Data!$DN755,'Data_Price '!$AT$2:$AT$1266,0))</f>
        <v>Ski The Whites</v>
      </c>
      <c r="DD755">
        <f>INDEX('Data_Price '!AM$2:AM$1266,MATCH(Data!$DN755,'Data_Price '!$AT$2:$AT$1266,0))</f>
        <v>1250</v>
      </c>
      <c r="DE755" t="str">
        <f>INDEX('Data_Price '!AN$2:AN$1266,MATCH(Data!$DN755,'Data_Price '!$AT$2:$AT$1266,0))</f>
        <v>https://tinyurl.com/y9wxay7j</v>
      </c>
      <c r="DF755" t="str">
        <f>INDEX('Data_Price '!AO$2:AO$1266,MATCH(Data!$DN755,'Data_Price '!$AT$2:$AT$1266,0))</f>
        <v>Blizzard Zero G 95 Light Blue Skis 171cm 2022</v>
      </c>
      <c r="DG755" t="str">
        <f>INDEX('Data_Price '!AP$2:AP$1266,MATCH(Data!$DN755,'Data_Price '!$AT$2:$AT$1266,0))</f>
        <v>Curated</v>
      </c>
      <c r="DH755">
        <f>INDEX('Data_Price '!AQ$2:AQ$1266,MATCH(Data!$DN755,'Data_Price '!$AT$2:$AT$1266,0))</f>
        <v>559.95000000000005</v>
      </c>
      <c r="DI755" t="str">
        <f>INDEX('Data_Price '!AR$2:AR$1266,MATCH(Data!$DN755,'Data_Price '!$AT$2:$AT$1266,0))</f>
        <v>https://tinyurl.com/ybhev48p</v>
      </c>
      <c r="DJ755" s="89" t="str">
        <f t="shared" si="439"/>
        <v>https://tinyurl.com/yc3adzj3</v>
      </c>
      <c r="DK755" s="89" t="str">
        <f t="shared" si="440"/>
        <v>https://tinyurl.com/y9wxay7j</v>
      </c>
      <c r="DL755" s="89" t="str">
        <f t="shared" si="441"/>
        <v>https://tinyurl.com/ybhev48p</v>
      </c>
      <c r="DM755" s="219" t="str">
        <f t="shared" si="442"/>
        <v>Zero G 95</v>
      </c>
      <c r="DN755" s="89" t="str">
        <f t="shared" si="443"/>
        <v xml:space="preserve"> BlizzardZero G 95171 Unisex</v>
      </c>
      <c r="DO755" s="221" t="s">
        <v>450</v>
      </c>
    </row>
    <row r="756" spans="1:119" ht="15.6" customHeight="1">
      <c r="B756" s="219" t="b">
        <f t="array" ref="B756">IF(OR(ISERROR(K756:P756)),FALSE,TRUE)</f>
        <v>1</v>
      </c>
      <c r="C756" s="43" t="b">
        <f>OR(BR756=Driver!$G$50,Data!BR680=Driver!$H$50)</f>
        <v>1</v>
      </c>
      <c r="D756" s="43" t="b">
        <f>OR(BV756=Driver!$G$51,BV756=Driver!$H$51)</f>
        <v>1</v>
      </c>
      <c r="E756" s="43" t="b">
        <f>AND(BX756&gt;Driver!$F$54,BX756&lt;Driver!$G$54)</f>
        <v>0</v>
      </c>
      <c r="F756" s="43" t="b">
        <f>CL756&gt;Driver!$F$56</f>
        <v>1</v>
      </c>
      <c r="G756" s="43" t="b">
        <f>AND(CB756&gt;Driver!$F$55,CB756&lt;Driver!$G$55)</f>
        <v>0</v>
      </c>
      <c r="H756" s="43" t="b">
        <f t="shared" si="407"/>
        <v>0</v>
      </c>
      <c r="I756" s="43">
        <f t="shared" si="408"/>
        <v>0</v>
      </c>
      <c r="J756" s="43" t="b">
        <f t="array" ref="J756">NOT(OR(($H$9:$H$1273=TRUE)*($I$9:$I$1273&gt;0)*($BT$9:$BT$1273=BT756)*($K$9:$K$1273&gt;K756)))</f>
        <v>1</v>
      </c>
      <c r="K756" s="72">
        <f t="shared" si="409"/>
        <v>0.83475727352092433</v>
      </c>
      <c r="L756" s="72">
        <f t="shared" si="410"/>
        <v>0.8856565072429623</v>
      </c>
      <c r="M756" s="72">
        <f t="shared" si="411"/>
        <v>0.78385803979888635</v>
      </c>
      <c r="N756" s="72">
        <f t="shared" si="412"/>
        <v>0.80870098068645646</v>
      </c>
      <c r="O756" s="72">
        <f t="shared" si="413"/>
        <v>0.66326901858113818</v>
      </c>
      <c r="P756" s="72">
        <f t="shared" si="414"/>
        <v>0.8796041201290643</v>
      </c>
      <c r="Q756" s="72"/>
      <c r="R756" s="72"/>
      <c r="S756" s="72">
        <f t="shared" si="415"/>
        <v>0.41355041071889431</v>
      </c>
      <c r="T756" s="72">
        <f t="shared" si="416"/>
        <v>0.45886257493999838</v>
      </c>
      <c r="U756" s="72">
        <f t="shared" si="417"/>
        <v>0.50902628583064657</v>
      </c>
      <c r="V756" s="72">
        <f t="shared" si="418"/>
        <v>0.62210267952273024</v>
      </c>
      <c r="W756" s="72">
        <f t="shared" si="419"/>
        <v>0.98924798792756541</v>
      </c>
      <c r="X756" s="72">
        <f t="shared" si="420"/>
        <v>0.11434349275703776</v>
      </c>
      <c r="Y756" s="72">
        <f t="shared" si="421"/>
        <v>0.21614196020111365</v>
      </c>
      <c r="Z756" s="72">
        <f t="shared" si="422"/>
        <v>0.19129901931354348</v>
      </c>
      <c r="AA756" s="72">
        <f t="shared" si="423"/>
        <v>0.33673098141886182</v>
      </c>
      <c r="AB756" s="72">
        <f t="shared" si="424"/>
        <v>0.12039587987093572</v>
      </c>
      <c r="AC756" s="72"/>
      <c r="AD756" s="72"/>
      <c r="AE756" s="72">
        <f t="shared" si="425"/>
        <v>0.58644958928110569</v>
      </c>
      <c r="AF756" s="72">
        <f t="shared" si="426"/>
        <v>0.54113742506000162</v>
      </c>
      <c r="AG756" s="72">
        <f t="shared" si="427"/>
        <v>0.49097371416935343</v>
      </c>
      <c r="AH756" s="72">
        <f t="shared" si="428"/>
        <v>0.37789732047726976</v>
      </c>
      <c r="AI756" s="72">
        <f t="shared" si="429"/>
        <v>1.0752012072434591E-2</v>
      </c>
      <c r="AJ756" s="72">
        <f>(AV756-Driver!$K$179)/(Driver!$L$179-Driver!$K$179)</f>
        <v>0.13987591652566267</v>
      </c>
      <c r="AK756" s="72">
        <f>(AW756-Driver!$K$180)/(Driver!$L$180-Driver!$K$180)</f>
        <v>0.14464602488071693</v>
      </c>
      <c r="AL756" s="72">
        <f>(AX756-Driver!$K$181)/(Driver!$L$181-Driver!$K$181)</f>
        <v>0.29298678302662368</v>
      </c>
      <c r="AM756" s="72">
        <f>(AY756-Driver!$K$182)/(Driver!$L$182-Driver!$K$182)</f>
        <v>0.11065403967818455</v>
      </c>
      <c r="AN756" s="72">
        <f>(AZ756-Driver!$K$183)/(Driver!$L$183-Driver!$K$183)</f>
        <v>0.1338235294117647</v>
      </c>
      <c r="AO756" s="72"/>
      <c r="AP756" s="72"/>
      <c r="AQ756" s="72">
        <f>(BC756-Driver!$K$188)/(Driver!$L$188-Driver!$K$188)</f>
        <v>3.3550410718894343E-2</v>
      </c>
      <c r="AR756" s="72">
        <f>MIN((BD756-Driver!$K$189)/(Driver!$L$189-Driver!$K$189),100%)</f>
        <v>8.8625749399984331E-3</v>
      </c>
      <c r="AS756" s="72">
        <f>(BE756-Driver!$K$190)/(Driver!$L$190-Driver!$K$190)</f>
        <v>1.9026285830646576E-2</v>
      </c>
      <c r="AT756" s="72">
        <f>(BF756-Driver!$K$191)/(Driver!$L$191-Driver!$K$191)</f>
        <v>0.13210267952273025</v>
      </c>
      <c r="AU756" s="72">
        <f>(BG756-Driver!$K$192)/(Driver!$L$192-Driver!$K$192)</f>
        <v>0.26075201207243459</v>
      </c>
      <c r="AV756" s="70">
        <f t="shared" si="430"/>
        <v>2.9439696106362767</v>
      </c>
      <c r="AW756" s="70">
        <f t="shared" si="431"/>
        <v>15.968929440249207</v>
      </c>
      <c r="AX756" s="70">
        <f t="shared" si="432"/>
        <v>3.6368810472396129</v>
      </c>
      <c r="AY756" s="70">
        <f>IFERROR(Driver!$K$19/Data!BH756/Data!BI756*Data!BK756*Data!BL756,"")</f>
        <v>0.13547356054496337</v>
      </c>
      <c r="AZ756" s="70">
        <f t="shared" si="433"/>
        <v>12.196574832464631</v>
      </c>
      <c r="BA756" s="70"/>
      <c r="BB756" s="70"/>
      <c r="BC756" s="70">
        <f t="shared" si="434"/>
        <v>17.402831278561848</v>
      </c>
      <c r="BD756" s="70">
        <f t="shared" si="435"/>
        <v>2.5051450627340226</v>
      </c>
      <c r="BE756" s="70">
        <f t="shared" si="436"/>
        <v>1.9201280499924922E-2</v>
      </c>
      <c r="BF756" s="70">
        <f t="shared" si="437"/>
        <v>14.920069578243416</v>
      </c>
      <c r="BG756" s="70">
        <f t="shared" si="438"/>
        <v>0.98737345950704225</v>
      </c>
      <c r="BH756" s="67">
        <f>MAX((CE756-Driver!$F$200)/(Driver!$G$200-Driver!$F$200)*$BI$1,1)</f>
        <v>3.6368810472396129</v>
      </c>
      <c r="BI756" s="67">
        <f>MAX($BI$1*(BY756-Driver!$F$201)/(Driver!$G$201-Driver!$F$201),1)</f>
        <v>5.7594936708860756</v>
      </c>
      <c r="BJ756" s="67">
        <f>(CB756-Driver!$F$206)/(Driver!$G$206-Driver!$F$206)*$BI$1</f>
        <v>4.92063492063492</v>
      </c>
      <c r="BK756" s="67">
        <f>(CD756-Driver!$F$203)/(Driver!$G$203-Driver!$F$203)*$BI$1</f>
        <v>3.1651376146788994</v>
      </c>
      <c r="BL756" s="67">
        <f>MAX((CR756-Driver!$F$202)/(Driver!$G$202-Driver!$F$202)*$BI$1,1)</f>
        <v>4.4827586206896548</v>
      </c>
      <c r="BM756" s="67">
        <f>MAX((CH756-Driver!$F$204)/(Driver!$G$204-Driver!$F$204)*$BI$1,1)</f>
        <v>2.3931623931623931</v>
      </c>
      <c r="BN756" s="67">
        <f>(CI756-Driver!$F$205)/(Driver!$G$205-Driver!$F$205)*$BI$1</f>
        <v>2.1176470588235294</v>
      </c>
      <c r="BO756" s="67">
        <f>(CK756-Driver!$F$207)/(Driver!$G$207-Driver!$F$207)*$BI$1</f>
        <v>2.7507755946225436</v>
      </c>
      <c r="BP756" s="67">
        <f>(CM756-Driver!$F$208)/(Driver!$G$208-Driver!$F$208)*$BI$1</f>
        <v>3.4888888888888889</v>
      </c>
      <c r="BQ756" s="67">
        <f>(CL756-Driver!$F$209)/(Driver!$G$209-Driver!$F$209)*$BI$1</f>
        <v>8.59375</v>
      </c>
      <c r="BR756" s="28" t="s">
        <v>155</v>
      </c>
      <c r="BS756" s="8" t="s">
        <v>295</v>
      </c>
      <c r="BT756" s="9" t="s">
        <v>654</v>
      </c>
      <c r="BU756" s="10">
        <v>171</v>
      </c>
      <c r="BV756" s="9" t="s">
        <v>158</v>
      </c>
      <c r="BW756" s="10">
        <v>171</v>
      </c>
      <c r="BX756" s="10">
        <v>168.3</v>
      </c>
      <c r="BY756" s="10">
        <v>99</v>
      </c>
      <c r="BZ756" s="10">
        <v>143</v>
      </c>
      <c r="CA756" s="10">
        <v>130</v>
      </c>
      <c r="CB756" s="10">
        <v>95</v>
      </c>
      <c r="CC756" s="10">
        <v>121</v>
      </c>
      <c r="CD756" s="10">
        <v>16.3</v>
      </c>
      <c r="CE756" s="10">
        <v>1539</v>
      </c>
      <c r="CF756" s="10">
        <v>1.1599999999999999</v>
      </c>
      <c r="CG756" s="10">
        <v>1780</v>
      </c>
      <c r="CH756" s="10">
        <v>157</v>
      </c>
      <c r="CI756" s="10">
        <v>69</v>
      </c>
      <c r="CJ756" s="10">
        <v>62</v>
      </c>
      <c r="CK756" s="10">
        <v>376</v>
      </c>
      <c r="CL756" s="10">
        <v>55</v>
      </c>
      <c r="CM756" s="10">
        <v>314</v>
      </c>
      <c r="CN756" s="10">
        <v>0.88800000000000001</v>
      </c>
      <c r="CO756" s="10">
        <v>119</v>
      </c>
      <c r="CP756" s="10">
        <v>130</v>
      </c>
      <c r="CQ756" s="10">
        <v>257</v>
      </c>
      <c r="CR756" s="10">
        <v>2</v>
      </c>
      <c r="CS756" s="10">
        <v>7.2</v>
      </c>
      <c r="CT756" s="9" t="s">
        <v>184</v>
      </c>
      <c r="CU756" s="9" t="s">
        <v>185</v>
      </c>
      <c r="CV756" s="10"/>
      <c r="CW756" s="10"/>
      <c r="CX756" t="str">
        <f>INDEX('Data_Price '!AG$2:AG$1266,MATCH(Data!$DN756,'Data_Price '!$AT$2:$AT$1266,0))</f>
        <v>Icelantic Nomad 95 Skis</v>
      </c>
      <c r="CY756" t="str">
        <f>INDEX('Data_Price '!AH$2:AH$1266,MATCH(Data!$DN756,'Data_Price '!$AT$2:$AT$1266,0))</f>
        <v>Curated</v>
      </c>
      <c r="CZ756">
        <f>INDEX('Data_Price '!AI$2:AI$1266,MATCH(Data!$DN756,'Data_Price '!$AT$2:$AT$1266,0))</f>
        <v>561</v>
      </c>
      <c r="DA756" t="str">
        <f>INDEX('Data_Price '!AJ$2:AJ$1266,MATCH(Data!$DN756,'Data_Price '!$AT$2:$AT$1266,0))</f>
        <v>https://tinyurl.com/y8ez58xp</v>
      </c>
      <c r="DB756" t="str">
        <f>INDEX('Data_Price '!AK$2:AK$1266,MATCH(Data!$DN756,'Data_Price '!$AT$2:$AT$1266,0))</f>
        <v>Icelantic Nomad 95 Skis</v>
      </c>
      <c r="DC756" t="str">
        <f>INDEX('Data_Price '!AL$2:AL$1266,MATCH(Data!$DN756,'Data_Price '!$AT$2:$AT$1266,0))</f>
        <v>Peter Glenn Ski &amp; Sports</v>
      </c>
      <c r="DD756">
        <f>INDEX('Data_Price '!AM$2:AM$1266,MATCH(Data!$DN756,'Data_Price '!$AT$2:$AT$1266,0))</f>
        <v>561.75</v>
      </c>
      <c r="DE756" t="str">
        <f>INDEX('Data_Price '!AN$2:AN$1266,MATCH(Data!$DN756,'Data_Price '!$AT$2:$AT$1266,0))</f>
        <v>https://tinyurl.com/y8tzaxlo</v>
      </c>
      <c r="DF756" t="str">
        <f>INDEX('Data_Price '!AO$2:AO$1266,MATCH(Data!$DN756,'Data_Price '!$AT$2:$AT$1266,0))</f>
        <v>Icelantic Nomad 95 Skis</v>
      </c>
      <c r="DG756" t="str">
        <f>INDEX('Data_Price '!AP$2:AP$1266,MATCH(Data!$DN756,'Data_Price '!$AT$2:$AT$1266,0))</f>
        <v>GritrOutdoors</v>
      </c>
      <c r="DH756">
        <f>INDEX('Data_Price '!AQ$2:AQ$1266,MATCH(Data!$DN756,'Data_Price '!$AT$2:$AT$1266,0))</f>
        <v>599</v>
      </c>
      <c r="DI756" t="str">
        <f>INDEX('Data_Price '!AR$2:AR$1266,MATCH(Data!$DN756,'Data_Price '!$AT$2:$AT$1266,0))</f>
        <v>https://tinyurl.com/yafs7qrt</v>
      </c>
      <c r="DJ756" s="89" t="str">
        <f t="shared" si="439"/>
        <v>https://tinyurl.com/y8ez58xp</v>
      </c>
      <c r="DK756" s="89" t="str">
        <f t="shared" si="440"/>
        <v>https://tinyurl.com/y8tzaxlo</v>
      </c>
      <c r="DL756" s="89" t="str">
        <f t="shared" si="441"/>
        <v>https://tinyurl.com/yafs7qrt</v>
      </c>
      <c r="DM756" s="219" t="str">
        <f t="shared" si="442"/>
        <v>Nomad 95</v>
      </c>
      <c r="DN756" s="89" t="str">
        <f t="shared" si="443"/>
        <v xml:space="preserve"> IcelanticNomad 95171 Unisex</v>
      </c>
      <c r="DO756" s="221" t="s">
        <v>655</v>
      </c>
    </row>
    <row r="757" spans="1:119" ht="15.6" customHeight="1">
      <c r="B757" s="219" t="b">
        <f t="array" ref="B757">IF(OR(ISERROR(K757:P757)),FALSE,TRUE)</f>
        <v>1</v>
      </c>
      <c r="C757" s="43" t="b">
        <f>OR(BR757=Driver!$G$50,Data!BR264=Driver!$H$50)</f>
        <v>1</v>
      </c>
      <c r="D757" s="43" t="b">
        <f>OR(BV757=Driver!$G$51,BV757=Driver!$H$51)</f>
        <v>0</v>
      </c>
      <c r="E757" s="43" t="b">
        <f>AND(BX757&gt;Driver!$F$54,BX757&lt;Driver!$G$54)</f>
        <v>0</v>
      </c>
      <c r="F757" s="43" t="b">
        <f>CL757&gt;Driver!$F$56</f>
        <v>1</v>
      </c>
      <c r="G757" s="43" t="b">
        <f>AND(CB757&gt;Driver!$F$55,CB757&lt;Driver!$G$55)</f>
        <v>0</v>
      </c>
      <c r="H757" s="43" t="b">
        <f t="shared" si="407"/>
        <v>0</v>
      </c>
      <c r="I757" s="43">
        <f t="shared" si="408"/>
        <v>0</v>
      </c>
      <c r="J757" s="43" t="b">
        <f t="array" ref="J757">NOT(OR(($H$9:$H$1273=TRUE)*($I$9:$I$1273&gt;0)*($BT$9:$BT$1273=BT757)*($K$9:$K$1273&gt;K757)))</f>
        <v>1</v>
      </c>
      <c r="K757" s="72">
        <f t="shared" si="409"/>
        <v>0.79496681521344315</v>
      </c>
      <c r="L757" s="72">
        <f t="shared" si="410"/>
        <v>0.83344475959974251</v>
      </c>
      <c r="M757" s="72">
        <f t="shared" si="411"/>
        <v>0.75648887082714378</v>
      </c>
      <c r="N757" s="72">
        <f t="shared" si="412"/>
        <v>0.73534361649243896</v>
      </c>
      <c r="O757" s="72">
        <f t="shared" si="413"/>
        <v>0.61150416997757517</v>
      </c>
      <c r="P757" s="72">
        <f t="shared" si="414"/>
        <v>0.9226188260114172</v>
      </c>
      <c r="Q757" s="72"/>
      <c r="R757" s="72"/>
      <c r="S757" s="72">
        <f t="shared" si="415"/>
        <v>0.40719360321554443</v>
      </c>
      <c r="T757" s="72">
        <f t="shared" si="416"/>
        <v>0.46940646918161855</v>
      </c>
      <c r="U757" s="72">
        <f t="shared" si="417"/>
        <v>0.53277064330544877</v>
      </c>
      <c r="V757" s="72">
        <f t="shared" si="418"/>
        <v>0.52051550937097024</v>
      </c>
      <c r="W757" s="72">
        <f t="shared" si="419"/>
        <v>0.80287105570705108</v>
      </c>
      <c r="X757" s="72">
        <f t="shared" si="420"/>
        <v>0.16655524040025743</v>
      </c>
      <c r="Y757" s="72">
        <f t="shared" si="421"/>
        <v>0.24351112917285622</v>
      </c>
      <c r="Z757" s="72">
        <f t="shared" si="422"/>
        <v>0.2646563835075611</v>
      </c>
      <c r="AA757" s="72">
        <f t="shared" si="423"/>
        <v>0.38849583002242483</v>
      </c>
      <c r="AB757" s="72">
        <f t="shared" si="424"/>
        <v>7.7381173988582796E-2</v>
      </c>
      <c r="AC757" s="72"/>
      <c r="AD757" s="72"/>
      <c r="AE757" s="72">
        <f t="shared" si="425"/>
        <v>0.59280639678445557</v>
      </c>
      <c r="AF757" s="72">
        <f t="shared" si="426"/>
        <v>0.53059353081838145</v>
      </c>
      <c r="AG757" s="72">
        <f t="shared" si="427"/>
        <v>0.46722935669455123</v>
      </c>
      <c r="AH757" s="72">
        <f t="shared" si="428"/>
        <v>0.47948449062902976</v>
      </c>
      <c r="AI757" s="72">
        <f t="shared" si="429"/>
        <v>0.19712894429294897</v>
      </c>
      <c r="AJ757" s="72">
        <f>(AV757-Driver!$K$179)/(Driver!$L$179-Driver!$K$179)</f>
        <v>8.7664168882442994E-2</v>
      </c>
      <c r="AK757" s="72">
        <f>(AW757-Driver!$K$180)/(Driver!$L$180-Driver!$K$180)</f>
        <v>0.19099551266311429</v>
      </c>
      <c r="AL757" s="72">
        <f>(AX757-Driver!$K$181)/(Driver!$L$181-Driver!$K$181)</f>
        <v>0.36634414722064129</v>
      </c>
      <c r="AM757" s="72">
        <f>(AY757-Driver!$K$182)/(Driver!$L$182-Driver!$K$182)</f>
        <v>5.8889191074621525E-2</v>
      </c>
      <c r="AN757" s="72">
        <f>(AZ757-Driver!$K$183)/(Driver!$L$183-Driver!$K$183)</f>
        <v>0.17683823529411763</v>
      </c>
      <c r="AO757" s="72"/>
      <c r="AP757" s="72"/>
      <c r="AQ757" s="72">
        <f>(BC757-Driver!$K$188)/(Driver!$L$188-Driver!$K$188)</f>
        <v>2.7193603215544433E-2</v>
      </c>
      <c r="AR757" s="72">
        <f>MIN((BD757-Driver!$K$189)/(Driver!$L$189-Driver!$K$189),100%)</f>
        <v>1.940646918161857E-2</v>
      </c>
      <c r="AS757" s="72">
        <f>(BE757-Driver!$K$190)/(Driver!$L$190-Driver!$K$190)</f>
        <v>0.97722935669455124</v>
      </c>
      <c r="AT757" s="72">
        <f>(BF757-Driver!$K$191)/(Driver!$L$191-Driver!$K$191)</f>
        <v>3.051550937097023E-2</v>
      </c>
      <c r="AU757" s="72">
        <f>(BG757-Driver!$K$192)/(Driver!$L$192-Driver!$K$192)</f>
        <v>5.2871055707051015E-2</v>
      </c>
      <c r="AV757" s="70">
        <f t="shared" si="430"/>
        <v>1.8450685117351786</v>
      </c>
      <c r="AW757" s="70">
        <f t="shared" si="431"/>
        <v>20.486097722885258</v>
      </c>
      <c r="AX757" s="70">
        <f t="shared" si="432"/>
        <v>4.2970973249857716</v>
      </c>
      <c r="AY757" s="70">
        <f>IFERROR(Driver!$K$19/Data!BH757/Data!BI757*Data!BK757*Data!BL757,"")</f>
        <v>7.2097940714084069E-2</v>
      </c>
      <c r="AZ757" s="70">
        <f t="shared" si="433"/>
        <v>16.116902457185404</v>
      </c>
      <c r="BA757" s="70"/>
      <c r="BB757" s="70"/>
      <c r="BC757" s="70">
        <f t="shared" si="434"/>
        <v>14.105511034765435</v>
      </c>
      <c r="BD757" s="70">
        <f t="shared" si="435"/>
        <v>3.4382610204423205</v>
      </c>
      <c r="BE757" s="70">
        <f t="shared" si="436"/>
        <v>0.97723341872102243</v>
      </c>
      <c r="BF757" s="70">
        <f t="shared" si="437"/>
        <v>3.4465123998644911</v>
      </c>
      <c r="BG757" s="70">
        <f t="shared" si="438"/>
        <v>0.20020354499415655</v>
      </c>
      <c r="BH757" s="67">
        <f>MAX((CE757-Driver!$F$200)/(Driver!$G$200-Driver!$F$200)*$BI$1,1)</f>
        <v>4.2970973249857716</v>
      </c>
      <c r="BI757" s="67">
        <f>MAX($BI$1*(BY757-Driver!$F$201)/(Driver!$G$201-Driver!$F$201),1)</f>
        <v>7.0253164556962027</v>
      </c>
      <c r="BJ757" s="67">
        <f>(CB757-Driver!$F$206)/(Driver!$G$206-Driver!$F$206)*$BI$1</f>
        <v>5.0793650793650791</v>
      </c>
      <c r="BK757" s="67">
        <f>(CD757-Driver!$F$203)/(Driver!$G$203-Driver!$F$203)*$BI$1</f>
        <v>1.9724770642201834</v>
      </c>
      <c r="BL757" s="67">
        <f>MAX((CR757-Driver!$F$202)/(Driver!$G$202-Driver!$F$202)*$BI$1,1)</f>
        <v>5.5172413793103452</v>
      </c>
      <c r="BM757" s="67">
        <f>MAX((CH757-Driver!$F$204)/(Driver!$G$204-Driver!$F$204)*$BI$1,1)</f>
        <v>1.4529914529914532</v>
      </c>
      <c r="BN757" s="67">
        <f>(CI757-Driver!$F$205)/(Driver!$G$205-Driver!$F$205)*$BI$1</f>
        <v>2.2941176470588234</v>
      </c>
      <c r="BO757" s="67">
        <f>(CK757-Driver!$F$207)/(Driver!$G$207-Driver!$F$207)*$BI$1</f>
        <v>1.1582213029989659</v>
      </c>
      <c r="BP757" s="67">
        <f>(CM757-Driver!$F$208)/(Driver!$G$208-Driver!$F$208)*$BI$1</f>
        <v>1.1555555555555554</v>
      </c>
      <c r="BQ757" s="67">
        <f>(CL757-Driver!$F$209)/(Driver!$G$209-Driver!$F$209)*$BI$1</f>
        <v>1.25</v>
      </c>
      <c r="BR757" s="28" t="s">
        <v>155</v>
      </c>
      <c r="BS757" s="8" t="s">
        <v>317</v>
      </c>
      <c r="BT757" s="9" t="s">
        <v>456</v>
      </c>
      <c r="BU757" s="10">
        <v>153</v>
      </c>
      <c r="BV757" s="9" t="s">
        <v>163</v>
      </c>
      <c r="BW757" s="10">
        <v>153</v>
      </c>
      <c r="BX757" s="10">
        <v>151.4</v>
      </c>
      <c r="BY757" s="10">
        <v>119</v>
      </c>
      <c r="BZ757" s="10">
        <v>128</v>
      </c>
      <c r="CA757" s="10">
        <v>134</v>
      </c>
      <c r="CB757" s="10">
        <v>96</v>
      </c>
      <c r="CC757" s="10">
        <v>116</v>
      </c>
      <c r="CD757" s="10">
        <v>13.7</v>
      </c>
      <c r="CE757" s="10">
        <v>1655</v>
      </c>
      <c r="CF757" s="10">
        <v>0.98</v>
      </c>
      <c r="CG757" s="10">
        <v>1626</v>
      </c>
      <c r="CH757" s="10">
        <v>135</v>
      </c>
      <c r="CI757" s="10">
        <v>72</v>
      </c>
      <c r="CJ757" s="10">
        <v>63</v>
      </c>
      <c r="CK757" s="10">
        <v>222</v>
      </c>
      <c r="CL757" s="10">
        <v>8</v>
      </c>
      <c r="CM757" s="10">
        <v>104</v>
      </c>
      <c r="CN757" s="10">
        <v>0.124</v>
      </c>
      <c r="CO757" s="10">
        <v>122</v>
      </c>
      <c r="CP757" s="10">
        <v>111</v>
      </c>
      <c r="CQ757" s="10">
        <v>100</v>
      </c>
      <c r="CR757" s="10">
        <v>5</v>
      </c>
      <c r="CS757" s="10">
        <v>11.2</v>
      </c>
      <c r="CT757" s="9" t="s">
        <v>188</v>
      </c>
      <c r="CU757" s="10"/>
      <c r="CV757" s="10"/>
      <c r="CW757" s="10"/>
      <c r="CX757" t="str">
        <f>INDEX('Data_Price '!AG$2:AG$1266,MATCH(Data!$DN757,'Data_Price '!$AT$2:$AT$1266,0))</f>
        <v>Blizzard Black Pearl 97 21/22</v>
      </c>
      <c r="CY757" t="str">
        <f>INDEX('Data_Price '!AH$2:AH$1266,MATCH(Data!$DN757,'Data_Price '!$AT$2:$AT$1266,0))</f>
        <v>Snowcountry.eu</v>
      </c>
      <c r="CZ757">
        <f>INDEX('Data_Price '!AI$2:AI$1266,MATCH(Data!$DN757,'Data_Price '!$AT$2:$AT$1266,0))</f>
        <v>387.14</v>
      </c>
      <c r="DA757" t="str">
        <f>INDEX('Data_Price '!AJ$2:AJ$1266,MATCH(Data!$DN757,'Data_Price '!$AT$2:$AT$1266,0))</f>
        <v>https://tinyurl.com/ybv2phae</v>
      </c>
      <c r="DB757" t="str">
        <f>INDEX('Data_Price '!AK$2:AK$1266,MATCH(Data!$DN757,'Data_Price '!$AT$2:$AT$1266,0))</f>
        <v>2022 Blizzard Women's Black Pearl 97 Red / 153cm / New</v>
      </c>
      <c r="DC757" t="str">
        <f>INDEX('Data_Price '!AL$2:AL$1266,MATCH(Data!$DN757,'Data_Price '!$AT$2:$AT$1266,0))</f>
        <v>Lone Pine Gear Exchange</v>
      </c>
      <c r="DD757">
        <f>INDEX('Data_Price '!AM$2:AM$1266,MATCH(Data!$DN757,'Data_Price '!$AT$2:$AT$1266,0))</f>
        <v>524.96</v>
      </c>
      <c r="DE757" t="str">
        <f>INDEX('Data_Price '!AN$2:AN$1266,MATCH(Data!$DN757,'Data_Price '!$AT$2:$AT$1266,0))</f>
        <v>https://tinyurl.com/y8r6gb82</v>
      </c>
      <c r="DF757" t="str">
        <f>INDEX('Data_Price '!AO$2:AO$1266,MATCH(Data!$DN757,'Data_Price '!$AT$2:$AT$1266,0))</f>
        <v>Blizzard Black Pearl 97 Skis</v>
      </c>
      <c r="DG757" t="str">
        <f>INDEX('Data_Price '!AP$2:AP$1266,MATCH(Data!$DN757,'Data_Price '!$AT$2:$AT$1266,0))</f>
        <v>Cole Sport</v>
      </c>
      <c r="DH757">
        <f>INDEX('Data_Price '!AQ$2:AQ$1266,MATCH(Data!$DN757,'Data_Price '!$AT$2:$AT$1266,0))</f>
        <v>559.95000000000005</v>
      </c>
      <c r="DI757" t="str">
        <f>INDEX('Data_Price '!AR$2:AR$1266,MATCH(Data!$DN757,'Data_Price '!$AT$2:$AT$1266,0))</f>
        <v>https://tinyurl.com/yaqbrlmp</v>
      </c>
      <c r="DJ757" s="89" t="str">
        <f t="shared" si="439"/>
        <v>https://tinyurl.com/ybv2phae</v>
      </c>
      <c r="DK757" s="89" t="str">
        <f t="shared" si="440"/>
        <v>https://tinyurl.com/y8r6gb82</v>
      </c>
      <c r="DL757" s="89" t="str">
        <f t="shared" si="441"/>
        <v>https://tinyurl.com/yaqbrlmp</v>
      </c>
      <c r="DM757" s="219" t="str">
        <f t="shared" si="442"/>
        <v>Black Pearl 97</v>
      </c>
      <c r="DN757" s="89" t="str">
        <f t="shared" si="443"/>
        <v xml:space="preserve"> BlizzardBlack Pearl 97153 Women's</v>
      </c>
      <c r="DO757" s="221" t="s">
        <v>457</v>
      </c>
    </row>
    <row r="758" spans="1:119" ht="15.6" customHeight="1">
      <c r="B758" s="219" t="b">
        <f t="array" ref="B758">IF(OR(ISERROR(K758:P758)),FALSE,TRUE)</f>
        <v>1</v>
      </c>
      <c r="C758" s="43" t="b">
        <f>OR(BR758=Driver!$G$50,Data!BR355=Driver!$H$50)</f>
        <v>1</v>
      </c>
      <c r="D758" s="43" t="b">
        <f>OR(BV758=Driver!$G$51,BV758=Driver!$H$51)</f>
        <v>1</v>
      </c>
      <c r="E758" s="43" t="b">
        <f>AND(BX758&gt;Driver!$F$54,BX758&lt;Driver!$G$54)</f>
        <v>1</v>
      </c>
      <c r="F758" s="43" t="b">
        <f>CL758&gt;Driver!$F$56</f>
        <v>1</v>
      </c>
      <c r="G758" s="43" t="b">
        <f>AND(CB758&gt;Driver!$F$55,CB758&lt;Driver!$G$55)</f>
        <v>0</v>
      </c>
      <c r="H758" s="43" t="b">
        <f t="shared" si="407"/>
        <v>0</v>
      </c>
      <c r="I758" s="43">
        <f t="shared" si="408"/>
        <v>0</v>
      </c>
      <c r="J758" s="43" t="b">
        <f t="array" ref="J758">NOT(OR(($H$9:$H$1273=TRUE)*($I$9:$I$1273&gt;0)*($BT$9:$BT$1273=BT758)*($K$9:$K$1273&gt;K758)))</f>
        <v>1</v>
      </c>
      <c r="K758" s="72">
        <f t="shared" si="409"/>
        <v>0.9194054309862103</v>
      </c>
      <c r="L758" s="72">
        <f t="shared" si="410"/>
        <v>0.95462758129017844</v>
      </c>
      <c r="M758" s="72">
        <f t="shared" si="411"/>
        <v>0.88418328068224206</v>
      </c>
      <c r="N758" s="72">
        <f t="shared" si="412"/>
        <v>0.97249026798171989</v>
      </c>
      <c r="O758" s="72">
        <f t="shared" si="413"/>
        <v>0.74824957158300087</v>
      </c>
      <c r="P758" s="72">
        <f t="shared" si="414"/>
        <v>0.93181000248200541</v>
      </c>
      <c r="Q758" s="72"/>
      <c r="R758" s="72"/>
      <c r="S758" s="72">
        <f t="shared" si="415"/>
        <v>0.41575216415954652</v>
      </c>
      <c r="T758" s="72">
        <f t="shared" si="416"/>
        <v>0.46179363474930302</v>
      </c>
      <c r="U758" s="72">
        <f t="shared" si="417"/>
        <v>0.80723340667726928</v>
      </c>
      <c r="V758" s="72">
        <f t="shared" si="418"/>
        <v>0.5927761402831917</v>
      </c>
      <c r="W758" s="72">
        <f t="shared" si="419"/>
        <v>0.81820723684210528</v>
      </c>
      <c r="X758" s="72">
        <f t="shared" si="420"/>
        <v>4.537241870982156E-2</v>
      </c>
      <c r="Y758" s="72">
        <f t="shared" si="421"/>
        <v>0.11581671931775796</v>
      </c>
      <c r="Z758" s="72">
        <f t="shared" si="422"/>
        <v>2.7509732018280095E-2</v>
      </c>
      <c r="AA758" s="72">
        <f t="shared" si="423"/>
        <v>0.25175042841699918</v>
      </c>
      <c r="AB758" s="72">
        <f t="shared" si="424"/>
        <v>6.8189997517994594E-2</v>
      </c>
      <c r="AC758" s="72"/>
      <c r="AD758" s="72"/>
      <c r="AE758" s="72">
        <f t="shared" si="425"/>
        <v>0.58424783584045348</v>
      </c>
      <c r="AF758" s="72">
        <f t="shared" si="426"/>
        <v>0.53820636525069698</v>
      </c>
      <c r="AG758" s="72">
        <f t="shared" si="427"/>
        <v>0.19276659332273072</v>
      </c>
      <c r="AH758" s="72">
        <f t="shared" si="428"/>
        <v>0.4072238597168083</v>
      </c>
      <c r="AI758" s="72">
        <f t="shared" si="429"/>
        <v>0.18179276315789475</v>
      </c>
      <c r="AJ758" s="72">
        <f>(AV758-Driver!$K$179)/(Driver!$L$179-Driver!$K$179)</f>
        <v>0.20884699057287887</v>
      </c>
      <c r="AK758" s="72">
        <f>(AW758-Driver!$K$180)/(Driver!$L$180-Driver!$K$180)</f>
        <v>0.17940882021036827</v>
      </c>
      <c r="AL758" s="72">
        <f>(AX758-Driver!$K$181)/(Driver!$L$181-Driver!$K$181)</f>
        <v>0.12919749573136027</v>
      </c>
      <c r="AM758" s="72">
        <f>(AY758-Driver!$K$182)/(Driver!$L$182-Driver!$K$182)</f>
        <v>0.19563459268004718</v>
      </c>
      <c r="AN758" s="72">
        <f>(AZ758-Driver!$K$183)/(Driver!$L$183-Driver!$K$183)</f>
        <v>0.18602941176470583</v>
      </c>
      <c r="AO758" s="72"/>
      <c r="AP758" s="72"/>
      <c r="AQ758" s="72">
        <f>(BC758-Driver!$K$188)/(Driver!$L$188-Driver!$K$188)</f>
        <v>3.5752164159546511E-2</v>
      </c>
      <c r="AR758" s="72">
        <f>MIN((BD758-Driver!$K$189)/(Driver!$L$189-Driver!$K$189),100%)</f>
        <v>1.1793634749303094E-2</v>
      </c>
      <c r="AS758" s="72">
        <f>(BE758-Driver!$K$190)/(Driver!$L$190-Driver!$K$190)</f>
        <v>0.31723340667726929</v>
      </c>
      <c r="AT758" s="72">
        <f>(BF758-Driver!$K$191)/(Driver!$L$191-Driver!$K$191)</f>
        <v>0.10277614028319169</v>
      </c>
      <c r="AU758" s="72">
        <f>(BG758-Driver!$K$192)/(Driver!$L$192-Driver!$K$192)</f>
        <v>6.8207236842105251E-2</v>
      </c>
      <c r="AV758" s="70">
        <f t="shared" si="430"/>
        <v>4.3956043956043951</v>
      </c>
      <c r="AW758" s="70">
        <f t="shared" si="431"/>
        <v>19.356871874825721</v>
      </c>
      <c r="AX758" s="70">
        <f t="shared" si="432"/>
        <v>2.1627774615822424</v>
      </c>
      <c r="AY758" s="70">
        <f>IFERROR(Driver!$K$19/Data!BH758/Data!BI758*Data!BK758*Data!BL758,"")</f>
        <v>0.23951511316902019</v>
      </c>
      <c r="AZ758" s="70">
        <f t="shared" si="433"/>
        <v>16.954579300074457</v>
      </c>
      <c r="BA758" s="70"/>
      <c r="BB758" s="70"/>
      <c r="BC758" s="70">
        <f t="shared" si="434"/>
        <v>18.544896094569722</v>
      </c>
      <c r="BD758" s="70">
        <f t="shared" si="435"/>
        <v>2.7645386623268204</v>
      </c>
      <c r="BE758" s="70">
        <f t="shared" si="436"/>
        <v>0.3173552045526527</v>
      </c>
      <c r="BF758" s="70">
        <f t="shared" si="437"/>
        <v>11.607843001736212</v>
      </c>
      <c r="BG758" s="70">
        <f t="shared" si="438"/>
        <v>0.2582761101973684</v>
      </c>
      <c r="BH758" s="67">
        <f>MAX((CE758-Driver!$F$200)/(Driver!$G$200-Driver!$F$200)*$BI$1,1)</f>
        <v>2.1627774615822424</v>
      </c>
      <c r="BI758" s="67">
        <f>MAX($BI$1*(BY758-Driver!$F$201)/(Driver!$G$201-Driver!$F$201),1)</f>
        <v>6.2658227848101262</v>
      </c>
      <c r="BJ758" s="67">
        <f>(CB758-Driver!$F$206)/(Driver!$G$206-Driver!$F$206)*$BI$1</f>
        <v>5.7142857142857135</v>
      </c>
      <c r="BK758" s="67">
        <f>(CD758-Driver!$F$203)/(Driver!$G$203-Driver!$F$203)*$BI$1</f>
        <v>2.6146788990825689</v>
      </c>
      <c r="BL758" s="67">
        <f>MAX((CR758-Driver!$F$202)/(Driver!$G$202-Driver!$F$202)*$BI$1,1)</f>
        <v>6.2068965517241379</v>
      </c>
      <c r="BM758" s="67">
        <f>MAX((CH758-Driver!$F$204)/(Driver!$G$204-Driver!$F$204)*$BI$1,1)</f>
        <v>3.0769230769230771</v>
      </c>
      <c r="BN758" s="67">
        <f>(CI758-Driver!$F$205)/(Driver!$G$205-Driver!$F$205)*$BI$1</f>
        <v>2.7058823529411762</v>
      </c>
      <c r="BO758" s="67">
        <f>(CK758-Driver!$F$207)/(Driver!$G$207-Driver!$F$207)*$BI$1</f>
        <v>2.2233712512926576</v>
      </c>
      <c r="BP758" s="67">
        <f>(CM758-Driver!$F$208)/(Driver!$G$208-Driver!$F$208)*$BI$1</f>
        <v>2.3888888888888888</v>
      </c>
      <c r="BQ758" s="67">
        <f>(CL758-Driver!$F$209)/(Driver!$G$209-Driver!$F$209)*$BI$1</f>
        <v>1.71875</v>
      </c>
      <c r="BR758" s="28" t="s">
        <v>155</v>
      </c>
      <c r="BS758" s="8" t="s">
        <v>218</v>
      </c>
      <c r="BT758" s="9" t="s">
        <v>222</v>
      </c>
      <c r="BU758" s="10">
        <v>163</v>
      </c>
      <c r="BV758" s="9" t="s">
        <v>158</v>
      </c>
      <c r="BW758" s="10">
        <v>163</v>
      </c>
      <c r="BX758" s="10">
        <v>161.4</v>
      </c>
      <c r="BY758" s="10">
        <v>107</v>
      </c>
      <c r="BZ758" s="10">
        <v>121</v>
      </c>
      <c r="CA758" s="10">
        <v>126</v>
      </c>
      <c r="CB758" s="10">
        <v>100</v>
      </c>
      <c r="CC758" s="10">
        <v>113</v>
      </c>
      <c r="CD758" s="10">
        <v>15.1</v>
      </c>
      <c r="CE758" s="10">
        <v>1280</v>
      </c>
      <c r="CF758" s="10">
        <v>1.37</v>
      </c>
      <c r="CG758" s="10">
        <v>1755</v>
      </c>
      <c r="CH758" s="10">
        <v>173</v>
      </c>
      <c r="CI758" s="10">
        <v>79</v>
      </c>
      <c r="CJ758" s="10">
        <v>54</v>
      </c>
      <c r="CK758" s="10">
        <v>325</v>
      </c>
      <c r="CL758" s="10">
        <v>11</v>
      </c>
      <c r="CM758" s="10">
        <v>215</v>
      </c>
      <c r="CN758" s="10">
        <v>0.2</v>
      </c>
      <c r="CO758" s="10">
        <v>221</v>
      </c>
      <c r="CP758" s="10">
        <v>188</v>
      </c>
      <c r="CQ758" s="10">
        <v>104</v>
      </c>
      <c r="CR758" s="10">
        <v>7</v>
      </c>
      <c r="CS758" s="10">
        <v>11.8</v>
      </c>
      <c r="CT758" s="9" t="s">
        <v>185</v>
      </c>
      <c r="CU758" s="9" t="s">
        <v>198</v>
      </c>
      <c r="CV758" s="10"/>
      <c r="CW758" s="10"/>
      <c r="CX758" t="str">
        <f>INDEX('Data_Price '!AG$2:AG$1266,MATCH(Data!$DN758,'Data_Price '!$AT$2:$AT$1266,0))</f>
        <v>DPS 100 RP Pagoda Tour Skis Â· 163 cm</v>
      </c>
      <c r="CY758" t="str">
        <f>INDEX('Data_Price '!AH$2:AH$1266,MATCH(Data!$DN758,'Data_Price '!$AT$2:$AT$1266,0))</f>
        <v>Skimo &amp; SkyRun</v>
      </c>
      <c r="CZ758">
        <f>INDEX('Data_Price '!AI$2:AI$1266,MATCH(Data!$DN758,'Data_Price '!$AT$2:$AT$1266,0))</f>
        <v>1029</v>
      </c>
      <c r="DA758" t="str">
        <f>INDEX('Data_Price '!AJ$2:AJ$1266,MATCH(Data!$DN758,'Data_Price '!$AT$2:$AT$1266,0))</f>
        <v>https://tinyurl.com/y9ovht4s</v>
      </c>
      <c r="DB758" t="str">
        <f>INDEX('Data_Price '!AK$2:AK$1266,MATCH(Data!$DN758,'Data_Price '!$AT$2:$AT$1266,0))</f>
        <v>DPS 100 RP Pagoda Tour Skis Â· 163 cm</v>
      </c>
      <c r="DC758" t="str">
        <f>INDEX('Data_Price '!AL$2:AL$1266,MATCH(Data!$DN758,'Data_Price '!$AT$2:$AT$1266,0))</f>
        <v>REI</v>
      </c>
      <c r="DD758">
        <f>INDEX('Data_Price '!AM$2:AM$1266,MATCH(Data!$DN758,'Data_Price '!$AT$2:$AT$1266,0))</f>
        <v>1038.93</v>
      </c>
      <c r="DE758" t="str">
        <f>INDEX('Data_Price '!AN$2:AN$1266,MATCH(Data!$DN758,'Data_Price '!$AT$2:$AT$1266,0))</f>
        <v>https://tinyurl.com/y9t8xctn</v>
      </c>
      <c r="DF758" t="str">
        <f>INDEX('Data_Price '!AO$2:AO$1266,MATCH(Data!$DN758,'Data_Price '!$AT$2:$AT$1266,0))</f>
        <v>DPS 100 RP Pagoda Tour Skis Â· 163 cm</v>
      </c>
      <c r="DG758" t="str">
        <f>INDEX('Data_Price '!AP$2:AP$1266,MATCH(Data!$DN758,'Data_Price '!$AT$2:$AT$1266,0))</f>
        <v>evo.com</v>
      </c>
      <c r="DH758">
        <f>INDEX('Data_Price '!AQ$2:AQ$1266,MATCH(Data!$DN758,'Data_Price '!$AT$2:$AT$1266,0))</f>
        <v>1039.2</v>
      </c>
      <c r="DI758" t="str">
        <f>INDEX('Data_Price '!AR$2:AR$1266,MATCH(Data!$DN758,'Data_Price '!$AT$2:$AT$1266,0))</f>
        <v>https://tinyurl.com/yb8mjzt3</v>
      </c>
      <c r="DJ758" s="89" t="str">
        <f t="shared" si="439"/>
        <v>https://tinyurl.com/y9ovht4s</v>
      </c>
      <c r="DK758" s="89" t="str">
        <f t="shared" si="440"/>
        <v>https://tinyurl.com/y9t8xctn</v>
      </c>
      <c r="DL758" s="89" t="str">
        <f t="shared" si="441"/>
        <v>https://tinyurl.com/yb8mjzt3</v>
      </c>
      <c r="DM758" s="219" t="str">
        <f t="shared" si="442"/>
        <v>Pagoda Tour 100 RP</v>
      </c>
      <c r="DN758" s="89" t="str">
        <f t="shared" si="443"/>
        <v xml:space="preserve"> DPSPagoda Tour 100 RP163 Unisex</v>
      </c>
      <c r="DO758" s="221" t="s">
        <v>223</v>
      </c>
    </row>
    <row r="759" spans="1:119" ht="15.6" customHeight="1">
      <c r="A759" s="219">
        <f>ROW()</f>
        <v>759</v>
      </c>
      <c r="B759" s="219" t="b">
        <f t="array" ref="B759">IF(OR(ISERROR(K759:P759)),FALSE,TRUE)</f>
        <v>1</v>
      </c>
      <c r="C759" s="43" t="b">
        <f>OR(BR759=Driver!$G$50,Data!BR286=Driver!$H$50)</f>
        <v>1</v>
      </c>
      <c r="D759" s="43" t="b">
        <f>OR(BV759=Driver!$G$51,BV759=Driver!$H$51)</f>
        <v>1</v>
      </c>
      <c r="E759" s="43" t="b">
        <f>AND(BX759&gt;Driver!$F$54,BX759&lt;Driver!$G$54)</f>
        <v>1</v>
      </c>
      <c r="F759" s="43" t="b">
        <f>CL759&gt;Driver!$F$56</f>
        <v>1</v>
      </c>
      <c r="G759" s="43" t="b">
        <f>AND(CB759&gt;Driver!$F$55,CB759&lt;Driver!$G$55)</f>
        <v>1</v>
      </c>
      <c r="H759" s="43" t="b">
        <f t="shared" si="407"/>
        <v>1</v>
      </c>
      <c r="I759" s="43">
        <f t="shared" si="408"/>
        <v>1</v>
      </c>
      <c r="J759" s="43" t="b">
        <f t="array" ref="J759">NOT(OR(($H$9:$H$1273=TRUE)*($I$9:$I$1273&gt;0)*($BT$9:$BT$1273=BT759)*($K$9:$K$1273&gt;K759)))</f>
        <v>1</v>
      </c>
      <c r="K759" s="72">
        <f t="shared" si="409"/>
        <v>0.81979099997070581</v>
      </c>
      <c r="L759" s="72">
        <f t="shared" si="410"/>
        <v>0.91272926528018727</v>
      </c>
      <c r="M759" s="72">
        <f t="shared" si="411"/>
        <v>0.72685273466122413</v>
      </c>
      <c r="N759" s="72">
        <f t="shared" si="412"/>
        <v>0.6183512684243937</v>
      </c>
      <c r="O759" s="72">
        <f t="shared" si="413"/>
        <v>0.62892634484197918</v>
      </c>
      <c r="P759" s="72">
        <f t="shared" si="414"/>
        <v>0.93328059071729963</v>
      </c>
      <c r="Q759" s="72"/>
      <c r="R759" s="72"/>
      <c r="S759" s="72">
        <f t="shared" si="415"/>
        <v>0.41741526091183956</v>
      </c>
      <c r="T759" s="72">
        <f t="shared" si="416"/>
        <v>0.47684995680532727</v>
      </c>
      <c r="U759" s="72">
        <f t="shared" si="417"/>
        <v>0.51548791708571284</v>
      </c>
      <c r="V759" s="72">
        <f t="shared" si="418"/>
        <v>0.64202539392187419</v>
      </c>
      <c r="W759" s="72">
        <f t="shared" si="419"/>
        <v>0.85635353343465048</v>
      </c>
      <c r="X759" s="72">
        <f t="shared" si="420"/>
        <v>8.727073471981267E-2</v>
      </c>
      <c r="Y759" s="72">
        <f t="shared" si="421"/>
        <v>0.27314726533877581</v>
      </c>
      <c r="Z759" s="72">
        <f t="shared" si="422"/>
        <v>0.38164873157560625</v>
      </c>
      <c r="AA759" s="72">
        <f t="shared" si="423"/>
        <v>0.37107365515802082</v>
      </c>
      <c r="AB759" s="72">
        <f t="shared" si="424"/>
        <v>6.6719409282700398E-2</v>
      </c>
      <c r="AC759" s="72"/>
      <c r="AD759" s="72"/>
      <c r="AE759" s="72">
        <f t="shared" si="425"/>
        <v>0.58258473908816044</v>
      </c>
      <c r="AF759" s="72">
        <f t="shared" si="426"/>
        <v>0.52315004319467273</v>
      </c>
      <c r="AG759" s="72">
        <f t="shared" si="427"/>
        <v>0.48451208291428716</v>
      </c>
      <c r="AH759" s="72">
        <f t="shared" si="428"/>
        <v>0.35797460607812581</v>
      </c>
      <c r="AI759" s="72">
        <f t="shared" si="429"/>
        <v>0.14364646656534952</v>
      </c>
      <c r="AJ759" s="72">
        <f>(AV759-Driver!$K$179)/(Driver!$L$179-Driver!$K$179)</f>
        <v>0.16694867456288776</v>
      </c>
      <c r="AK759" s="72">
        <f>(AW759-Driver!$K$180)/(Driver!$L$180-Driver!$K$180)</f>
        <v>0.21198863931932274</v>
      </c>
      <c r="AL759" s="72">
        <f>(AX759-Driver!$K$181)/(Driver!$L$181-Driver!$K$181)</f>
        <v>0.48333649528868644</v>
      </c>
      <c r="AM759" s="72">
        <f>(AY759-Driver!$K$182)/(Driver!$L$182-Driver!$K$182)</f>
        <v>7.6311365939025516E-2</v>
      </c>
      <c r="AN759" s="72">
        <f>(AZ759-Driver!$K$183)/(Driver!$L$183-Driver!$K$183)</f>
        <v>0.18750000000000003</v>
      </c>
      <c r="AO759" s="72"/>
      <c r="AP759" s="72"/>
      <c r="AQ759" s="72">
        <f>(BC759-Driver!$K$188)/(Driver!$L$188-Driver!$K$188)</f>
        <v>3.7415260911839554E-2</v>
      </c>
      <c r="AR759" s="72">
        <f>MIN((BD759-Driver!$K$189)/(Driver!$L$189-Driver!$K$189),100%)</f>
        <v>2.6849956805327334E-2</v>
      </c>
      <c r="AS759" s="72">
        <f>(BE759-Driver!$K$190)/(Driver!$L$190-Driver!$K$190)</f>
        <v>2.5487917085712859E-2</v>
      </c>
      <c r="AT759" s="72">
        <f>(BF759-Driver!$K$191)/(Driver!$L$191-Driver!$K$191)</f>
        <v>0.1520253939218742</v>
      </c>
      <c r="AU759" s="72">
        <f>(BG759-Driver!$K$192)/(Driver!$L$192-Driver!$K$192)</f>
        <v>0.10635353343465047</v>
      </c>
      <c r="AV759" s="70">
        <f t="shared" si="430"/>
        <v>3.5137701804368473</v>
      </c>
      <c r="AW759" s="70">
        <f t="shared" si="431"/>
        <v>22.532063933558266</v>
      </c>
      <c r="AX759" s="70">
        <f t="shared" si="432"/>
        <v>5.350028457598178</v>
      </c>
      <c r="AY759" s="70">
        <f>IFERROR(Driver!$K$19/Data!BH759/Data!BI759*Data!BK759*Data!BL759,"")</f>
        <v>9.3427881023376694E-2</v>
      </c>
      <c r="AZ759" s="70">
        <f t="shared" si="433"/>
        <v>17.088607594936711</v>
      </c>
      <c r="BA759" s="70"/>
      <c r="BB759" s="70"/>
      <c r="BC759" s="70">
        <f t="shared" si="434"/>
        <v>19.407555941645175</v>
      </c>
      <c r="BD759" s="70">
        <f t="shared" si="435"/>
        <v>4.0969964860609158</v>
      </c>
      <c r="BE759" s="70">
        <f t="shared" si="436"/>
        <v>2.5661759072704057E-2</v>
      </c>
      <c r="BF759" s="70">
        <f t="shared" si="437"/>
        <v>17.170200204636604</v>
      </c>
      <c r="BG759" s="70">
        <f t="shared" si="438"/>
        <v>0.40272232380319156</v>
      </c>
      <c r="BH759" s="67">
        <f>MAX((CE759-Driver!$F$200)/(Driver!$G$200-Driver!$F$200)*$BI$1,1)</f>
        <v>5.350028457598178</v>
      </c>
      <c r="BI759" s="67">
        <f>MAX($BI$1*(BY759-Driver!$F$201)/(Driver!$G$201-Driver!$F$201),1)</f>
        <v>5.6962025316455698</v>
      </c>
      <c r="BJ759" s="67">
        <f>(CB759-Driver!$F$206)/(Driver!$G$206-Driver!$F$206)*$BI$1</f>
        <v>5.8730158730158735</v>
      </c>
      <c r="BK759" s="67">
        <f>(CD759-Driver!$F$203)/(Driver!$G$203-Driver!$F$203)*$BI$1</f>
        <v>2.7522935779816518</v>
      </c>
      <c r="BL759" s="67">
        <f>MAX((CR759-Driver!$F$202)/(Driver!$G$202-Driver!$F$202)*$BI$1,1)</f>
        <v>5.1724137931034484</v>
      </c>
      <c r="BM759" s="67">
        <f>MAX((CH759-Driver!$F$204)/(Driver!$G$204-Driver!$F$204)*$BI$1,1)</f>
        <v>2.3931623931623931</v>
      </c>
      <c r="BN759" s="67">
        <f>(CI759-Driver!$F$205)/(Driver!$G$205-Driver!$F$205)*$BI$1</f>
        <v>3</v>
      </c>
      <c r="BO759" s="67">
        <f>(CK759-Driver!$F$207)/(Driver!$G$207-Driver!$F$207)*$BI$1</f>
        <v>2.5956566701137538</v>
      </c>
      <c r="BP759" s="67">
        <f>(CM759-Driver!$F$208)/(Driver!$G$208-Driver!$F$208)*$BI$1</f>
        <v>3.1</v>
      </c>
      <c r="BQ759" s="67">
        <f>(CL759-Driver!$F$209)/(Driver!$G$209-Driver!$F$209)*$BI$1</f>
        <v>5.15625</v>
      </c>
      <c r="BR759" s="28" t="s">
        <v>155</v>
      </c>
      <c r="BS759" s="8" t="s">
        <v>317</v>
      </c>
      <c r="BT759" s="9" t="s">
        <v>551</v>
      </c>
      <c r="BU759" s="10">
        <v>164</v>
      </c>
      <c r="BV759" s="9" t="s">
        <v>158</v>
      </c>
      <c r="BW759" s="10">
        <v>164</v>
      </c>
      <c r="BX759" s="10">
        <v>162.4</v>
      </c>
      <c r="BY759" s="10">
        <v>98</v>
      </c>
      <c r="BZ759" s="10">
        <v>133</v>
      </c>
      <c r="CA759" s="10">
        <v>131</v>
      </c>
      <c r="CB759" s="10">
        <v>101</v>
      </c>
      <c r="CC759" s="10">
        <v>121</v>
      </c>
      <c r="CD759" s="10">
        <v>15.4</v>
      </c>
      <c r="CE759" s="10">
        <v>1840</v>
      </c>
      <c r="CF759" s="10">
        <v>0.99</v>
      </c>
      <c r="CG759" s="10">
        <v>1813</v>
      </c>
      <c r="CH759" s="10">
        <v>157</v>
      </c>
      <c r="CI759" s="10">
        <v>84</v>
      </c>
      <c r="CJ759" s="10">
        <v>66</v>
      </c>
      <c r="CK759" s="10">
        <v>361</v>
      </c>
      <c r="CL759" s="10">
        <v>33</v>
      </c>
      <c r="CM759" s="10">
        <v>279</v>
      </c>
      <c r="CN759" s="10">
        <v>0.503</v>
      </c>
      <c r="CO759" s="10">
        <v>161</v>
      </c>
      <c r="CP759" s="10">
        <v>136</v>
      </c>
      <c r="CQ759" s="10">
        <v>200</v>
      </c>
      <c r="CR759" s="10">
        <v>4</v>
      </c>
      <c r="CS759" s="10">
        <v>7</v>
      </c>
      <c r="CT759" s="9" t="s">
        <v>188</v>
      </c>
      <c r="CU759" s="9" t="s">
        <v>169</v>
      </c>
      <c r="CV759" s="10"/>
      <c r="CW759" s="10"/>
      <c r="CX759" t="str">
        <f>INDEX('Data_Price '!AG$2:AG$1266,MATCH(Data!$DN759,'Data_Price '!$AT$2:$AT$1266,0))</f>
        <v xml:space="preserve"> 2018 Blizzard Rustler 10 Demo Ski with Bindings Size 164 (Option 211703)</v>
      </c>
      <c r="CY759" t="str">
        <f>INDEX('Data_Price '!AH$2:AH$1266,MATCH(Data!$DN759,'Data_Price '!$AT$2:$AT$1266,0))</f>
        <v>SidelineSwap</v>
      </c>
      <c r="CZ759">
        <f>INDEX('Data_Price '!AI$2:AI$1266,MATCH(Data!$DN759,'Data_Price '!$AT$2:$AT$1266,0))</f>
        <v>399.99</v>
      </c>
      <c r="DA759" t="str">
        <f>INDEX('Data_Price '!AJ$2:AJ$1266,MATCH(Data!$DN759,'Data_Price '!$AT$2:$AT$1266,0))</f>
        <v>https://tinyurl.com/y9slzfzy</v>
      </c>
      <c r="DB759" t="str">
        <f>INDEX('Data_Price '!AK$2:AK$1266,MATCH(Data!$DN759,'Data_Price '!$AT$2:$AT$1266,0))</f>
        <v>Blizzard Men's Rustler 10 Ski (Ski Only) Blue</v>
      </c>
      <c r="DC759" t="str">
        <f>INDEX('Data_Price '!AL$2:AL$1266,MATCH(Data!$DN759,'Data_Price '!$AT$2:$AT$1266,0))</f>
        <v>Cotswold Outdoor US</v>
      </c>
      <c r="DD759">
        <f>INDEX('Data_Price '!AM$2:AM$1266,MATCH(Data!$DN759,'Data_Price '!$AT$2:$AT$1266,0))</f>
        <v>462</v>
      </c>
      <c r="DE759" t="str">
        <f>INDEX('Data_Price '!AN$2:AN$1266,MATCH(Data!$DN759,'Data_Price '!$AT$2:$AT$1266,0))</f>
        <v>https://tinyurl.com/yb47qws2</v>
      </c>
      <c r="DF759" t="str">
        <f>INDEX('Data_Price '!AO$2:AO$1266,MATCH(Data!$DN759,'Data_Price '!$AT$2:$AT$1266,0))</f>
        <v>Blizzard Rustler 10 Skis - 2022 - 164cm</v>
      </c>
      <c r="DG759" t="str">
        <f>INDEX('Data_Price '!AP$2:AP$1266,MATCH(Data!$DN759,'Data_Price '!$AT$2:$AT$1266,0))</f>
        <v>ColoradoSkiShop.com</v>
      </c>
      <c r="DH759">
        <f>INDEX('Data_Price '!AQ$2:AQ$1266,MATCH(Data!$DN759,'Data_Price '!$AT$2:$AT$1266,0))</f>
        <v>559.95000000000005</v>
      </c>
      <c r="DI759" t="str">
        <f>INDEX('Data_Price '!AR$2:AR$1266,MATCH(Data!$DN759,'Data_Price '!$AT$2:$AT$1266,0))</f>
        <v>https://tinyurl.com/y8cpqfvp</v>
      </c>
      <c r="DJ759" s="89" t="str">
        <f t="shared" si="439"/>
        <v>https://tinyurl.com/y9slzfzy</v>
      </c>
      <c r="DK759" s="89" t="str">
        <f t="shared" si="440"/>
        <v>https://tinyurl.com/yb47qws2</v>
      </c>
      <c r="DL759" s="89" t="str">
        <f t="shared" si="441"/>
        <v>https://tinyurl.com/y8cpqfvp</v>
      </c>
      <c r="DM759" s="219" t="str">
        <f t="shared" si="442"/>
        <v>Rustler 10</v>
      </c>
      <c r="DN759" s="89" t="str">
        <f t="shared" si="443"/>
        <v xml:space="preserve"> BlizzardRustler 10164 Unisex</v>
      </c>
      <c r="DO759" s="221" t="s">
        <v>552</v>
      </c>
    </row>
    <row r="760" spans="1:119" ht="15.6" customHeight="1">
      <c r="B760" s="219" t="b">
        <f t="array" ref="B760">IF(OR(ISERROR(K760:P760)),FALSE,TRUE)</f>
        <v>1</v>
      </c>
      <c r="C760" s="43" t="b">
        <f>OR(BR760=Driver!$G$50,Data!BR1237=Driver!$H$50)</f>
        <v>1</v>
      </c>
      <c r="D760" s="43" t="b">
        <f>OR(BV760=Driver!$G$51,BV760=Driver!$H$51)</f>
        <v>1</v>
      </c>
      <c r="E760" s="43" t="b">
        <f>AND(BX760&gt;Driver!$F$54,BX760&lt;Driver!$G$54)</f>
        <v>0</v>
      </c>
      <c r="F760" s="43" t="b">
        <f>CL760&gt;Driver!$F$56</f>
        <v>1</v>
      </c>
      <c r="G760" s="43" t="b">
        <f>AND(CB760&gt;Driver!$F$55,CB760&lt;Driver!$G$55)</f>
        <v>1</v>
      </c>
      <c r="H760" s="43" t="b">
        <f t="shared" si="407"/>
        <v>0</v>
      </c>
      <c r="I760" s="43">
        <f t="shared" si="408"/>
        <v>0</v>
      </c>
      <c r="J760" s="43" t="b">
        <f t="array" ref="J760">NOT(OR(($H$9:$H$1273=TRUE)*($I$9:$I$1273&gt;0)*($BT$9:$BT$1273=BT760)*($K$9:$K$1273&gt;K760)))</f>
        <v>1</v>
      </c>
      <c r="K760" s="72">
        <f t="shared" si="409"/>
        <v>0.85068222299519702</v>
      </c>
      <c r="L760" s="72">
        <f t="shared" si="410"/>
        <v>0.99968713952200428</v>
      </c>
      <c r="M760" s="72">
        <f t="shared" si="411"/>
        <v>0.70167730646838988</v>
      </c>
      <c r="N760" s="72">
        <f t="shared" si="412"/>
        <v>0.45709154541168262</v>
      </c>
      <c r="O760" s="72">
        <f t="shared" si="413"/>
        <v>0.68198004471409579</v>
      </c>
      <c r="P760" s="72">
        <f t="shared" si="414"/>
        <v>0.96596032927939102</v>
      </c>
      <c r="Q760" s="72"/>
      <c r="R760" s="72"/>
      <c r="S760" s="72">
        <f t="shared" si="415"/>
        <v>0.47414908357946828</v>
      </c>
      <c r="T760" s="72">
        <f t="shared" si="416"/>
        <v>0.46971244735931905</v>
      </c>
      <c r="U760" s="72">
        <f t="shared" si="417"/>
        <v>0.50038225131346126</v>
      </c>
      <c r="V760" s="72">
        <f t="shared" si="418"/>
        <v>0.61204002589708772</v>
      </c>
      <c r="W760" s="72">
        <f t="shared" si="419"/>
        <v>0.82185960018596005</v>
      </c>
      <c r="X760" s="72">
        <f t="shared" si="420"/>
        <v>3.1286047799572447E-4</v>
      </c>
      <c r="Y760" s="72">
        <f t="shared" si="421"/>
        <v>0.29832269353161017</v>
      </c>
      <c r="Z760" s="72">
        <f t="shared" si="422"/>
        <v>0.54290845458831738</v>
      </c>
      <c r="AA760" s="72">
        <f t="shared" si="423"/>
        <v>0.31801995528590421</v>
      </c>
      <c r="AB760" s="72">
        <f t="shared" si="424"/>
        <v>3.4039670720608928E-2</v>
      </c>
      <c r="AC760" s="72"/>
      <c r="AD760" s="72"/>
      <c r="AE760" s="72">
        <f t="shared" si="425"/>
        <v>0.52585091642053172</v>
      </c>
      <c r="AF760" s="72">
        <f t="shared" si="426"/>
        <v>0.53028755264068095</v>
      </c>
      <c r="AG760" s="72">
        <f t="shared" si="427"/>
        <v>0.49961774868653869</v>
      </c>
      <c r="AH760" s="72">
        <f t="shared" si="428"/>
        <v>0.38795997410291233</v>
      </c>
      <c r="AI760" s="72">
        <f t="shared" si="429"/>
        <v>0.17814039981403998</v>
      </c>
      <c r="AJ760" s="72">
        <f>(AV760-Driver!$K$179)/(Driver!$L$179-Driver!$K$179)</f>
        <v>0.25453226976069615</v>
      </c>
      <c r="AK760" s="72">
        <f>(AW760-Driver!$K$180)/(Driver!$L$180-Driver!$K$180)</f>
        <v>0.25810756146120556</v>
      </c>
      <c r="AL760" s="72">
        <f>(AX760-Driver!$K$181)/(Driver!$L$181-Driver!$K$181)</f>
        <v>0.64459621830139757</v>
      </c>
      <c r="AM760" s="72">
        <f>(AY760-Driver!$K$182)/(Driver!$L$182-Driver!$K$182)</f>
        <v>0.12936506581114218</v>
      </c>
      <c r="AN760" s="72">
        <f>(AZ760-Driver!$K$183)/(Driver!$L$183-Driver!$K$183)</f>
        <v>0.2201797385620915</v>
      </c>
      <c r="AO760" s="72"/>
      <c r="AP760" s="72"/>
      <c r="AQ760" s="72">
        <f>(BC760-Driver!$K$188)/(Driver!$L$188-Driver!$K$188)</f>
        <v>9.4149083579468315E-2</v>
      </c>
      <c r="AR760" s="72">
        <f>MIN((BD760-Driver!$K$189)/(Driver!$L$189-Driver!$K$189),100%)</f>
        <v>1.9712447359319117E-2</v>
      </c>
      <c r="AS760" s="72">
        <f>(BE760-Driver!$K$190)/(Driver!$L$190-Driver!$K$190)</f>
        <v>1.038225131346133E-2</v>
      </c>
      <c r="AT760" s="72">
        <f>(BF760-Driver!$K$191)/(Driver!$L$191-Driver!$K$191)</f>
        <v>0.12204002589708766</v>
      </c>
      <c r="AU760" s="72">
        <f>(BG760-Driver!$K$192)/(Driver!$L$192-Driver!$K$192)</f>
        <v>7.1859600185960021E-2</v>
      </c>
      <c r="AV760" s="70">
        <f t="shared" si="430"/>
        <v>5.3571428571428577</v>
      </c>
      <c r="AW760" s="70">
        <f t="shared" si="431"/>
        <v>27.02676155150677</v>
      </c>
      <c r="AX760" s="70">
        <f t="shared" si="432"/>
        <v>6.8013659647125779</v>
      </c>
      <c r="AY760" s="70">
        <f>IFERROR(Driver!$K$19/Data!BH760/Data!BI760*Data!BK760*Data!BL760,"")</f>
        <v>0.15838143936306831</v>
      </c>
      <c r="AZ760" s="70">
        <f t="shared" si="433"/>
        <v>20.067014147431124</v>
      </c>
      <c r="BA760" s="70"/>
      <c r="BB760" s="70"/>
      <c r="BC760" s="70">
        <f t="shared" si="434"/>
        <v>48.8357841664807</v>
      </c>
      <c r="BD760" s="70">
        <f t="shared" si="435"/>
        <v>3.4653395470075696</v>
      </c>
      <c r="BE760" s="70">
        <f t="shared" si="436"/>
        <v>1.0558787981204791E-2</v>
      </c>
      <c r="BF760" s="70">
        <f t="shared" si="437"/>
        <v>13.783563545369816</v>
      </c>
      <c r="BG760" s="70">
        <f t="shared" si="438"/>
        <v>0.27210628777312879</v>
      </c>
      <c r="BH760" s="67">
        <f>MAX((CE760-Driver!$F$200)/(Driver!$G$200-Driver!$F$200)*$BI$1,1)</f>
        <v>6.8013659647125779</v>
      </c>
      <c r="BI760" s="67">
        <f>MAX($BI$1*(BY760-Driver!$F$201)/(Driver!$G$201-Driver!$F$201),1)</f>
        <v>6.2025316455696204</v>
      </c>
      <c r="BJ760" s="67">
        <f>(CB760-Driver!$F$206)/(Driver!$G$206-Driver!$F$206)*$BI$1</f>
        <v>6.1904761904761907</v>
      </c>
      <c r="BK760" s="67">
        <f>(CD760-Driver!$F$203)/(Driver!$G$203-Driver!$F$203)*$BI$1</f>
        <v>6.0550458715596349</v>
      </c>
      <c r="BL760" s="67">
        <f>MAX((CR760-Driver!$F$202)/(Driver!$G$202-Driver!$F$202)*$BI$1,1)</f>
        <v>5.5172413793103452</v>
      </c>
      <c r="BM760" s="67">
        <f>MAX((CH760-Driver!$F$204)/(Driver!$G$204-Driver!$F$204)*$BI$1,1)</f>
        <v>3.4615384615384617</v>
      </c>
      <c r="BN760" s="67">
        <f>(CI760-Driver!$F$205)/(Driver!$G$205-Driver!$F$205)*$BI$1</f>
        <v>3.2352941176470589</v>
      </c>
      <c r="BO760" s="67">
        <f>(CK760-Driver!$F$207)/(Driver!$G$207-Driver!$F$207)*$BI$1</f>
        <v>2.9886246122026887</v>
      </c>
      <c r="BP760" s="67">
        <f>(CM760-Driver!$F$208)/(Driver!$G$208-Driver!$F$208)*$BI$1</f>
        <v>4.5111111111111111</v>
      </c>
      <c r="BQ760" s="67">
        <f>(CL760-Driver!$F$209)/(Driver!$G$209-Driver!$F$209)*$BI$1</f>
        <v>6.40625</v>
      </c>
      <c r="BR760" s="28" t="s">
        <v>155</v>
      </c>
      <c r="BS760" s="8" t="s">
        <v>229</v>
      </c>
      <c r="BT760" s="9" t="s">
        <v>747</v>
      </c>
      <c r="BU760" s="10">
        <v>188</v>
      </c>
      <c r="BV760" s="9" t="s">
        <v>158</v>
      </c>
      <c r="BW760" s="10">
        <v>188</v>
      </c>
      <c r="BX760" s="10">
        <v>186.7</v>
      </c>
      <c r="BY760" s="10">
        <v>106</v>
      </c>
      <c r="BZ760" s="10">
        <v>148</v>
      </c>
      <c r="CA760" s="10">
        <v>131</v>
      </c>
      <c r="CB760" s="10">
        <v>103</v>
      </c>
      <c r="CC760" s="10">
        <v>120</v>
      </c>
      <c r="CD760" s="10">
        <v>22.6</v>
      </c>
      <c r="CE760" s="10">
        <v>2095</v>
      </c>
      <c r="CF760" s="10">
        <v>1</v>
      </c>
      <c r="CG760" s="10">
        <v>2094</v>
      </c>
      <c r="CH760" s="10">
        <v>182</v>
      </c>
      <c r="CI760" s="10">
        <v>88</v>
      </c>
      <c r="CJ760" s="10">
        <v>57</v>
      </c>
      <c r="CK760" s="10">
        <v>399</v>
      </c>
      <c r="CL760" s="10">
        <v>41</v>
      </c>
      <c r="CM760" s="10">
        <v>406</v>
      </c>
      <c r="CN760" s="10">
        <v>0.72099999999999997</v>
      </c>
      <c r="CO760" s="10">
        <v>194</v>
      </c>
      <c r="CP760" s="10">
        <v>193</v>
      </c>
      <c r="CQ760" s="10">
        <v>205</v>
      </c>
      <c r="CR760" s="10">
        <v>5</v>
      </c>
      <c r="CS760" s="10">
        <v>2.5</v>
      </c>
      <c r="CT760" s="9" t="s">
        <v>188</v>
      </c>
      <c r="CU760" s="9" t="s">
        <v>169</v>
      </c>
      <c r="CV760" s="10"/>
      <c r="CW760" s="10"/>
      <c r="CX760" t="e">
        <f>INDEX('Data_Price '!AG$2:AG$1266,MATCH(Data!$DN760,'Data_Price '!$AT$2:$AT$1266,0))</f>
        <v>#N/A</v>
      </c>
      <c r="CY760" t="e">
        <f>INDEX('Data_Price '!AH$2:AH$1266,MATCH(Data!$DN760,'Data_Price '!$AT$2:$AT$1266,0))</f>
        <v>#N/A</v>
      </c>
      <c r="CZ760" t="e">
        <f>INDEX('Data_Price '!AI$2:AI$1266,MATCH(Data!$DN760,'Data_Price '!$AT$2:$AT$1266,0))</f>
        <v>#N/A</v>
      </c>
      <c r="DA760" t="e">
        <f>INDEX('Data_Price '!AJ$2:AJ$1266,MATCH(Data!$DN760,'Data_Price '!$AT$2:$AT$1266,0))</f>
        <v>#N/A</v>
      </c>
      <c r="DB760" t="e">
        <f>INDEX('Data_Price '!AK$2:AK$1266,MATCH(Data!$DN760,'Data_Price '!$AT$2:$AT$1266,0))</f>
        <v>#N/A</v>
      </c>
      <c r="DC760" t="e">
        <f>INDEX('Data_Price '!AL$2:AL$1266,MATCH(Data!$DN760,'Data_Price '!$AT$2:$AT$1266,0))</f>
        <v>#N/A</v>
      </c>
      <c r="DD760" t="e">
        <f>INDEX('Data_Price '!AM$2:AM$1266,MATCH(Data!$DN760,'Data_Price '!$AT$2:$AT$1266,0))</f>
        <v>#N/A</v>
      </c>
      <c r="DE760" t="e">
        <f>INDEX('Data_Price '!AN$2:AN$1266,MATCH(Data!$DN760,'Data_Price '!$AT$2:$AT$1266,0))</f>
        <v>#N/A</v>
      </c>
      <c r="DF760" t="e">
        <f>INDEX('Data_Price '!AO$2:AO$1266,MATCH(Data!$DN760,'Data_Price '!$AT$2:$AT$1266,0))</f>
        <v>#N/A</v>
      </c>
      <c r="DG760" t="e">
        <f>INDEX('Data_Price '!AP$2:AP$1266,MATCH(Data!$DN760,'Data_Price '!$AT$2:$AT$1266,0))</f>
        <v>#N/A</v>
      </c>
      <c r="DH760" t="e">
        <f>INDEX('Data_Price '!AQ$2:AQ$1266,MATCH(Data!$DN760,'Data_Price '!$AT$2:$AT$1266,0))</f>
        <v>#N/A</v>
      </c>
      <c r="DI760" t="e">
        <f>INDEX('Data_Price '!AR$2:AR$1266,MATCH(Data!$DN760,'Data_Price '!$AT$2:$AT$1266,0))</f>
        <v>#N/A</v>
      </c>
      <c r="DJ760" s="89" t="e">
        <f t="shared" si="439"/>
        <v>#N/A</v>
      </c>
      <c r="DK760" s="89" t="e">
        <f t="shared" si="440"/>
        <v>#N/A</v>
      </c>
      <c r="DL760" s="89" t="e">
        <f t="shared" si="441"/>
        <v>#N/A</v>
      </c>
      <c r="DM760" s="219" t="str">
        <f t="shared" si="442"/>
        <v>Revolt 104</v>
      </c>
      <c r="DN760" s="89" t="str">
        <f t="shared" si="443"/>
        <v xml:space="preserve"> VölklRevolt 104188 Unisex</v>
      </c>
      <c r="DO760" s="221" t="s">
        <v>748</v>
      </c>
    </row>
    <row r="761" spans="1:119" ht="15.6" customHeight="1">
      <c r="B761" s="219" t="b">
        <f t="array" ref="B761">IF(OR(ISERROR(K761:P761)),FALSE,TRUE)</f>
        <v>1</v>
      </c>
      <c r="C761" s="43" t="b">
        <f>OR(BR761=Driver!$G$50,Data!BR562=Driver!$H$50)</f>
        <v>1</v>
      </c>
      <c r="D761" s="43" t="b">
        <f>OR(BV761=Driver!$G$51,BV761=Driver!$H$51)</f>
        <v>1</v>
      </c>
      <c r="E761" s="43" t="b">
        <f>AND(BX761&gt;Driver!$F$54,BX761&lt;Driver!$G$54)</f>
        <v>0</v>
      </c>
      <c r="F761" s="43" t="b">
        <f>CL761&gt;Driver!$F$56</f>
        <v>1</v>
      </c>
      <c r="G761" s="43" t="b">
        <f>AND(CB761&gt;Driver!$F$55,CB761&lt;Driver!$G$55)</f>
        <v>1</v>
      </c>
      <c r="H761" s="43" t="b">
        <f t="shared" si="407"/>
        <v>0</v>
      </c>
      <c r="I761" s="43">
        <f t="shared" si="408"/>
        <v>0</v>
      </c>
      <c r="J761" s="43" t="b">
        <f t="array" ref="J761">NOT(OR(($H$9:$H$1273=TRUE)*($I$9:$I$1273&gt;0)*($BT$9:$BT$1273=BT761)*($K$9:$K$1273&gt;K761)))</f>
        <v>1</v>
      </c>
      <c r="K761" s="72">
        <f t="shared" si="409"/>
        <v>0.71230697878334814</v>
      </c>
      <c r="L761" s="72">
        <f t="shared" si="410"/>
        <v>0.78286335417030017</v>
      </c>
      <c r="M761" s="72">
        <f t="shared" si="411"/>
        <v>0.64175060339639622</v>
      </c>
      <c r="N761" s="72">
        <f t="shared" si="412"/>
        <v>0.49250544536741525</v>
      </c>
      <c r="O761" s="72">
        <f t="shared" si="413"/>
        <v>0.6242785895260009</v>
      </c>
      <c r="P761" s="72">
        <f t="shared" si="414"/>
        <v>0.8084677752957723</v>
      </c>
      <c r="Q761" s="72"/>
      <c r="R761" s="72"/>
      <c r="S761" s="72">
        <f t="shared" si="415"/>
        <v>0.49984939619046231</v>
      </c>
      <c r="T761" s="72">
        <f t="shared" si="416"/>
        <v>0.54734323987860645</v>
      </c>
      <c r="U761" s="72">
        <f t="shared" si="417"/>
        <v>0.53205856361015402</v>
      </c>
      <c r="V761" s="72">
        <f t="shared" si="418"/>
        <v>0.58433272813264447</v>
      </c>
      <c r="W761" s="72">
        <f t="shared" si="419"/>
        <v>0.77780333625987708</v>
      </c>
      <c r="X761" s="72">
        <f t="shared" si="420"/>
        <v>0.21713664582969983</v>
      </c>
      <c r="Y761" s="72">
        <f t="shared" si="421"/>
        <v>0.35824939660360383</v>
      </c>
      <c r="Z761" s="72">
        <f t="shared" si="422"/>
        <v>0.50749455463258475</v>
      </c>
      <c r="AA761" s="72">
        <f t="shared" si="423"/>
        <v>0.3757214104739991</v>
      </c>
      <c r="AB761" s="72">
        <f t="shared" si="424"/>
        <v>0.1915322247042277</v>
      </c>
      <c r="AC761" s="72"/>
      <c r="AD761" s="72"/>
      <c r="AE761" s="72">
        <f t="shared" si="425"/>
        <v>0.50015060380953769</v>
      </c>
      <c r="AF761" s="72">
        <f t="shared" si="426"/>
        <v>0.45265676012139355</v>
      </c>
      <c r="AG761" s="72">
        <f t="shared" si="427"/>
        <v>0.46794143638984598</v>
      </c>
      <c r="AH761" s="72">
        <f t="shared" si="428"/>
        <v>0.41566727186735558</v>
      </c>
      <c r="AI761" s="72">
        <f t="shared" si="429"/>
        <v>0.22219666374012292</v>
      </c>
      <c r="AJ761" s="72">
        <f>(AV761-Driver!$K$179)/(Driver!$L$179-Driver!$K$179)</f>
        <v>0.47135605511240025</v>
      </c>
      <c r="AK761" s="72">
        <f>(AW761-Driver!$K$180)/(Driver!$L$180-Driver!$K$180)</f>
        <v>0.46505726459586921</v>
      </c>
      <c r="AL761" s="72">
        <f>(AX761-Driver!$K$181)/(Driver!$L$181-Driver!$K$181)</f>
        <v>0.60918231834566494</v>
      </c>
      <c r="AM761" s="72">
        <f>(AY761-Driver!$K$182)/(Driver!$L$182-Driver!$K$182)</f>
        <v>7.1663610623047297E-2</v>
      </c>
      <c r="AN761" s="72">
        <f>(AZ761-Driver!$K$183)/(Driver!$L$183-Driver!$K$183)</f>
        <v>0.44575163398692813</v>
      </c>
      <c r="AO761" s="72"/>
      <c r="AP761" s="72"/>
      <c r="AQ761" s="72">
        <f>(BC761-Driver!$K$188)/(Driver!$L$188-Driver!$K$188)</f>
        <v>0.11984939619046232</v>
      </c>
      <c r="AR761" s="72">
        <f>MIN((BD761-Driver!$K$189)/(Driver!$L$189-Driver!$K$189),100%)</f>
        <v>9.7343239878606463E-2</v>
      </c>
      <c r="AS761" s="72">
        <f>(BE761-Driver!$K$190)/(Driver!$L$190-Driver!$K$190)</f>
        <v>4.2058563610154039E-2</v>
      </c>
      <c r="AT761" s="72">
        <f>(BF761-Driver!$K$191)/(Driver!$L$191-Driver!$K$191)</f>
        <v>9.4332728132644442E-2</v>
      </c>
      <c r="AU761" s="72">
        <f>(BG761-Driver!$K$192)/(Driver!$L$192-Driver!$K$192)</f>
        <v>2.780333625987708E-2</v>
      </c>
      <c r="AV761" s="70">
        <f t="shared" si="430"/>
        <v>9.9206349206349209</v>
      </c>
      <c r="AW761" s="70">
        <f t="shared" si="431"/>
        <v>47.195843882895097</v>
      </c>
      <c r="AX761" s="70">
        <f t="shared" si="432"/>
        <v>6.4826408651109846</v>
      </c>
      <c r="AY761" s="70">
        <f>IFERROR(Driver!$K$19/Data!BH761/Data!BI761*Data!BK761*Data!BL761,"")</f>
        <v>8.7737641760277416E-2</v>
      </c>
      <c r="AZ761" s="70">
        <f t="shared" si="433"/>
        <v>40.625465376023833</v>
      </c>
      <c r="BA761" s="70"/>
      <c r="BB761" s="70"/>
      <c r="BC761" s="70">
        <f t="shared" si="434"/>
        <v>62.166714983477966</v>
      </c>
      <c r="BD761" s="70">
        <f t="shared" si="435"/>
        <v>10.335527131339632</v>
      </c>
      <c r="BE761" s="70">
        <f t="shared" si="436"/>
        <v>4.2229449580315846E-2</v>
      </c>
      <c r="BF761" s="70">
        <f t="shared" si="437"/>
        <v>10.654218917659442</v>
      </c>
      <c r="BG761" s="70">
        <f t="shared" si="438"/>
        <v>0.10528116769095697</v>
      </c>
      <c r="BH761" s="67">
        <f>MAX((CE761-Driver!$F$200)/(Driver!$G$200-Driver!$F$200)*$BI$1,1)</f>
        <v>6.4826408651109846</v>
      </c>
      <c r="BI761" s="67">
        <f>MAX($BI$1*(BY761-Driver!$F$201)/(Driver!$G$201-Driver!$F$201),1)</f>
        <v>7.8481012658227849</v>
      </c>
      <c r="BJ761" s="67">
        <f>(CB761-Driver!$F$206)/(Driver!$G$206-Driver!$F$206)*$BI$1</f>
        <v>6.1904761904761907</v>
      </c>
      <c r="BK761" s="67">
        <f>(CD761-Driver!$F$203)/(Driver!$G$203-Driver!$F$203)*$BI$1</f>
        <v>3.8073394495412844</v>
      </c>
      <c r="BL761" s="67">
        <f>MAX((CR761-Driver!$F$202)/(Driver!$G$202-Driver!$F$202)*$BI$1,1)</f>
        <v>5.8620689655172411</v>
      </c>
      <c r="BM761" s="67">
        <f>MAX((CH761-Driver!$F$204)/(Driver!$G$204-Driver!$F$204)*$BI$1,1)</f>
        <v>6.4102564102564106</v>
      </c>
      <c r="BN761" s="67">
        <f>(CI761-Driver!$F$205)/(Driver!$G$205-Driver!$F$205)*$BI$1</f>
        <v>5.1764705882352944</v>
      </c>
      <c r="BO761" s="67">
        <f>(CK761-Driver!$F$207)/(Driver!$G$207-Driver!$F$207)*$BI$1</f>
        <v>2.7817993795243017</v>
      </c>
      <c r="BP761" s="67">
        <f>(CM761-Driver!$F$208)/(Driver!$G$208-Driver!$F$208)*$BI$1</f>
        <v>2.3555555555555556</v>
      </c>
      <c r="BQ761" s="67">
        <f>(CL761-Driver!$F$209)/(Driver!$G$209-Driver!$F$209)*$BI$1</f>
        <v>4.375</v>
      </c>
      <c r="BR761" s="28" t="s">
        <v>155</v>
      </c>
      <c r="BS761" s="8" t="s">
        <v>245</v>
      </c>
      <c r="BT761" s="9" t="s">
        <v>260</v>
      </c>
      <c r="BU761" s="10">
        <v>191</v>
      </c>
      <c r="BV761" s="9" t="s">
        <v>158</v>
      </c>
      <c r="BW761" s="10">
        <v>191</v>
      </c>
      <c r="BX761" s="10">
        <v>190.7</v>
      </c>
      <c r="BY761" s="10">
        <v>132</v>
      </c>
      <c r="BZ761" s="10">
        <v>157</v>
      </c>
      <c r="CA761" s="10">
        <v>137</v>
      </c>
      <c r="CB761" s="10">
        <v>103</v>
      </c>
      <c r="CC761" s="10">
        <v>127</v>
      </c>
      <c r="CD761" s="10">
        <v>17.7</v>
      </c>
      <c r="CE761" s="10">
        <v>2039</v>
      </c>
      <c r="CF761" s="10">
        <v>1.08</v>
      </c>
      <c r="CG761" s="10">
        <v>2209</v>
      </c>
      <c r="CH761" s="10">
        <v>251</v>
      </c>
      <c r="CI761" s="10">
        <v>121</v>
      </c>
      <c r="CJ761" s="10">
        <v>50</v>
      </c>
      <c r="CK761" s="10">
        <v>379</v>
      </c>
      <c r="CL761" s="10">
        <v>28</v>
      </c>
      <c r="CM761" s="10">
        <v>212</v>
      </c>
      <c r="CN761" s="10">
        <v>0.55200000000000005</v>
      </c>
      <c r="CO761" s="10">
        <v>174</v>
      </c>
      <c r="CP761" s="10">
        <v>163</v>
      </c>
      <c r="CQ761" s="10">
        <v>204</v>
      </c>
      <c r="CR761" s="10">
        <v>6</v>
      </c>
      <c r="CS761" s="10">
        <v>10.6</v>
      </c>
      <c r="CT761" s="9" t="s">
        <v>188</v>
      </c>
      <c r="CU761" s="9" t="s">
        <v>169</v>
      </c>
      <c r="CV761" s="9" t="s">
        <v>185</v>
      </c>
      <c r="CW761" s="10"/>
      <c r="CX761" t="str">
        <f>INDEX('Data_Price '!AG$2:AG$1266,MATCH(Data!$DN761,'Data_Price '!$AT$2:$AT$1266,0))</f>
        <v>Fischer Ranger 102 FR Ski 2021</v>
      </c>
      <c r="CY761" t="str">
        <f>INDEX('Data_Price '!AH$2:AH$1266,MATCH(Data!$DN761,'Data_Price '!$AT$2:$AT$1266,0))</f>
        <v>ColoradoSkiShop.com</v>
      </c>
      <c r="CZ761">
        <f>INDEX('Data_Price '!AI$2:AI$1266,MATCH(Data!$DN761,'Data_Price '!$AT$2:$AT$1266,0))</f>
        <v>699.99</v>
      </c>
      <c r="DA761" t="str">
        <f>INDEX('Data_Price '!AJ$2:AJ$1266,MATCH(Data!$DN761,'Data_Price '!$AT$2:$AT$1266,0))</f>
        <v>https://tinyurl.com/ybqnlfug</v>
      </c>
      <c r="DB761" t="str">
        <f>INDEX('Data_Price '!AK$2:AK$1266,MATCH(Data!$DN761,'Data_Price '!$AT$2:$AT$1266,0))</f>
        <v>191cm 2022 Fischer Ranger 102 Fr Skis Mounted W/ Tyrolia Attack2 13</v>
      </c>
      <c r="DC761" t="str">
        <f>INDEX('Data_Price '!AL$2:AL$1266,MATCH(Data!$DN761,'Data_Price '!$AT$2:$AT$1266,0))</f>
        <v>eBay - david110549</v>
      </c>
      <c r="DD761">
        <f>INDEX('Data_Price '!AM$2:AM$1266,MATCH(Data!$DN761,'Data_Price '!$AT$2:$AT$1266,0))</f>
        <v>849.99</v>
      </c>
      <c r="DE761" t="str">
        <f>INDEX('Data_Price '!AN$2:AN$1266,MATCH(Data!$DN761,'Data_Price '!$AT$2:$AT$1266,0))</f>
        <v>https://tinyurl.com/y7gcsxuh</v>
      </c>
      <c r="DF761" t="str">
        <f>INDEX('Data_Price '!AO$2:AO$1266,MATCH(Data!$DN761,'Data_Price '!$AT$2:$AT$1266,0))</f>
        <v>RANGER 102 FR 191</v>
      </c>
      <c r="DG761" t="str">
        <f>INDEX('Data_Price '!AP$2:AP$1266,MATCH(Data!$DN761,'Data_Price '!$AT$2:$AT$1266,0))</f>
        <v>Pro Ski and Mountain Service</v>
      </c>
      <c r="DH761">
        <f>INDEX('Data_Price '!AQ$2:AQ$1266,MATCH(Data!$DN761,'Data_Price '!$AT$2:$AT$1266,0))</f>
        <v>699.99</v>
      </c>
      <c r="DI761" t="str">
        <f>INDEX('Data_Price '!AR$2:AR$1266,MATCH(Data!$DN761,'Data_Price '!$AT$2:$AT$1266,0))</f>
        <v>https://tinyurl.com/yb3znhsa</v>
      </c>
      <c r="DJ761" s="89" t="str">
        <f t="shared" si="439"/>
        <v>https://tinyurl.com/ybqnlfug</v>
      </c>
      <c r="DK761" s="89" t="str">
        <f t="shared" si="440"/>
        <v>https://tinyurl.com/y7gcsxuh</v>
      </c>
      <c r="DL761" s="89" t="str">
        <f t="shared" si="441"/>
        <v>https://tinyurl.com/yb3znhsa</v>
      </c>
      <c r="DM761" s="219" t="str">
        <f t="shared" si="442"/>
        <v>Ranger 102 FR</v>
      </c>
      <c r="DN761" s="89" t="str">
        <f t="shared" si="443"/>
        <v xml:space="preserve"> FischerRanger 102 FR191 Unisex</v>
      </c>
      <c r="DO761" s="221" t="s">
        <v>261</v>
      </c>
    </row>
    <row r="762" spans="1:119" ht="15.6" customHeight="1">
      <c r="B762" s="219" t="b">
        <f t="array" ref="B762">IF(OR(ISERROR(K762:P762)),FALSE,TRUE)</f>
        <v>1</v>
      </c>
      <c r="C762" s="43" t="b">
        <f>OR(BR762=Driver!$G$50,Data!BR770=Driver!$H$50)</f>
        <v>1</v>
      </c>
      <c r="D762" s="43" t="b">
        <f>OR(BV762=Driver!$G$51,BV762=Driver!$H$51)</f>
        <v>1</v>
      </c>
      <c r="E762" s="43" t="b">
        <f>AND(BX762&gt;Driver!$F$54,BX762&lt;Driver!$G$54)</f>
        <v>0</v>
      </c>
      <c r="F762" s="43" t="b">
        <f>CL762&gt;Driver!$F$56</f>
        <v>1</v>
      </c>
      <c r="G762" s="43" t="b">
        <f>AND(CB762&gt;Driver!$F$55,CB762&lt;Driver!$G$55)</f>
        <v>0</v>
      </c>
      <c r="H762" s="43" t="b">
        <f t="shared" si="407"/>
        <v>0</v>
      </c>
      <c r="I762" s="43">
        <f t="shared" si="408"/>
        <v>0</v>
      </c>
      <c r="J762" s="43" t="b">
        <f t="array" ref="J762">NOT(OR(($H$9:$H$1273=TRUE)*($I$9:$I$1273&gt;0)*($BT$9:$BT$1273=BT762)*($K$9:$K$1273&gt;K762)))</f>
        <v>1</v>
      </c>
      <c r="K762" s="72">
        <f t="shared" si="409"/>
        <v>0.70145385447159858</v>
      </c>
      <c r="L762" s="72">
        <f t="shared" si="410"/>
        <v>0.71211965906112296</v>
      </c>
      <c r="M762" s="72">
        <f t="shared" si="411"/>
        <v>0.69078804988207421</v>
      </c>
      <c r="N762" s="72">
        <f t="shared" si="412"/>
        <v>0.43938459543381636</v>
      </c>
      <c r="O762" s="72">
        <f t="shared" si="413"/>
        <v>0.70702811878591509</v>
      </c>
      <c r="P762" s="72">
        <f t="shared" si="414"/>
        <v>0.92595143542649128</v>
      </c>
      <c r="Q762" s="72"/>
      <c r="R762" s="72"/>
      <c r="S762" s="72">
        <f t="shared" si="415"/>
        <v>0.52998232524957367</v>
      </c>
      <c r="T762" s="72">
        <f t="shared" si="416"/>
        <v>0.45832018444668599</v>
      </c>
      <c r="U762" s="72">
        <f t="shared" si="417"/>
        <v>0.49629847132395877</v>
      </c>
      <c r="V762" s="72">
        <f t="shared" si="418"/>
        <v>0.65247006005877328</v>
      </c>
      <c r="W762" s="72">
        <f t="shared" si="419"/>
        <v>0.81696647587898608</v>
      </c>
      <c r="X762" s="72">
        <f t="shared" si="420"/>
        <v>0.2878803409388771</v>
      </c>
      <c r="Y762" s="72">
        <f t="shared" si="421"/>
        <v>0.30921195011792574</v>
      </c>
      <c r="Z762" s="72">
        <f t="shared" si="422"/>
        <v>0.56061540456618364</v>
      </c>
      <c r="AA762" s="72">
        <f t="shared" si="423"/>
        <v>0.29297188121408491</v>
      </c>
      <c r="AB762" s="72">
        <f t="shared" si="424"/>
        <v>7.4048564573508668E-2</v>
      </c>
      <c r="AC762" s="72"/>
      <c r="AD762" s="72"/>
      <c r="AE762" s="72">
        <f t="shared" si="425"/>
        <v>0.47001767475042627</v>
      </c>
      <c r="AF762" s="72">
        <f t="shared" si="426"/>
        <v>0.54167981555331401</v>
      </c>
      <c r="AG762" s="72">
        <f t="shared" si="427"/>
        <v>0.50370152867604123</v>
      </c>
      <c r="AH762" s="72">
        <f t="shared" si="428"/>
        <v>0.34752993994122672</v>
      </c>
      <c r="AI762" s="72">
        <f t="shared" si="429"/>
        <v>0.18303352412101392</v>
      </c>
      <c r="AJ762" s="72">
        <f>(AV762-Driver!$K$179)/(Driver!$L$179-Driver!$K$179)</f>
        <v>0.54209975022157753</v>
      </c>
      <c r="AK762" s="72">
        <f>(AW762-Driver!$K$180)/(Driver!$L$180-Driver!$K$180)</f>
        <v>0.36113676214745283</v>
      </c>
      <c r="AL762" s="72">
        <f>(AX762-Driver!$K$181)/(Driver!$L$181-Driver!$K$181)</f>
        <v>0.66230316827926383</v>
      </c>
      <c r="AM762" s="72">
        <f>(AY762-Driver!$K$182)/(Driver!$L$182-Driver!$K$182)</f>
        <v>0.15441313988296149</v>
      </c>
      <c r="AN762" s="72">
        <f>(AZ762-Driver!$K$183)/(Driver!$L$183-Driver!$K$183)</f>
        <v>0.32826797385620909</v>
      </c>
      <c r="AO762" s="72"/>
      <c r="AP762" s="72"/>
      <c r="AQ762" s="72">
        <f>(BC762-Driver!$K$188)/(Driver!$L$188-Driver!$K$188)</f>
        <v>0.14998232524957372</v>
      </c>
      <c r="AR762" s="72">
        <f>MIN((BD762-Driver!$K$189)/(Driver!$L$189-Driver!$K$189),100%)</f>
        <v>8.3201844466859846E-3</v>
      </c>
      <c r="AS762" s="72">
        <f>(BE762-Driver!$K$190)/(Driver!$L$190-Driver!$K$190)</f>
        <v>6.2984713239587695E-3</v>
      </c>
      <c r="AT762" s="72">
        <f>(BF762-Driver!$K$191)/(Driver!$L$191-Driver!$K$191)</f>
        <v>0.16247006005877329</v>
      </c>
      <c r="AU762" s="72">
        <f>(BG762-Driver!$K$192)/(Driver!$L$192-Driver!$K$192)</f>
        <v>6.696647587898609E-2</v>
      </c>
      <c r="AV762" s="70">
        <f t="shared" si="430"/>
        <v>11.409578076244742</v>
      </c>
      <c r="AW762" s="70">
        <f t="shared" si="431"/>
        <v>37.067870089970725</v>
      </c>
      <c r="AX762" s="70">
        <f t="shared" si="432"/>
        <v>6.9607285145133746</v>
      </c>
      <c r="AY762" s="70">
        <f>IFERROR(Driver!$K$19/Data!BH762/Data!BI762*Data!BK762*Data!BL762,"")</f>
        <v>0.18904775565095294</v>
      </c>
      <c r="AZ762" s="70">
        <f t="shared" si="433"/>
        <v>29.918093819806401</v>
      </c>
      <c r="BA762" s="70"/>
      <c r="BB762" s="70"/>
      <c r="BC762" s="70">
        <f t="shared" si="434"/>
        <v>77.796874767163345</v>
      </c>
      <c r="BD762" s="70">
        <f t="shared" si="435"/>
        <v>2.4571444651349563</v>
      </c>
      <c r="BE762" s="70">
        <f t="shared" si="436"/>
        <v>6.4757364920874552E-3</v>
      </c>
      <c r="BF762" s="70">
        <f t="shared" si="437"/>
        <v>18.349851866866842</v>
      </c>
      <c r="BG762" s="70">
        <f t="shared" si="438"/>
        <v>0.25357779767107452</v>
      </c>
      <c r="BH762" s="67">
        <f>MAX((CE762-Driver!$F$200)/(Driver!$G$200-Driver!$F$200)*$BI$1,1)</f>
        <v>6.9607285145133746</v>
      </c>
      <c r="BI762" s="67">
        <f>MAX($BI$1*(BY762-Driver!$F$201)/(Driver!$G$201-Driver!$F$201),1)</f>
        <v>6.2025316455696204</v>
      </c>
      <c r="BJ762" s="67">
        <f>(CB762-Driver!$F$206)/(Driver!$G$206-Driver!$F$206)*$BI$1</f>
        <v>9.2063492063492056</v>
      </c>
      <c r="BK762" s="67">
        <f>(CD762-Driver!$F$203)/(Driver!$G$203-Driver!$F$203)*$BI$1</f>
        <v>7.8899082568807364</v>
      </c>
      <c r="BL762" s="67">
        <f>MAX((CR762-Driver!$F$202)/(Driver!$G$202-Driver!$F$202)*$BI$1,1)</f>
        <v>5.1724137931034484</v>
      </c>
      <c r="BM762" s="67">
        <f>MAX((CH762-Driver!$F$204)/(Driver!$G$204-Driver!$F$204)*$BI$1,1)</f>
        <v>4.9572649572649574</v>
      </c>
      <c r="BN762" s="67">
        <f>(CI762-Driver!$F$205)/(Driver!$G$205-Driver!$F$205)*$BI$1</f>
        <v>4.8235294117647056</v>
      </c>
      <c r="BO762" s="67">
        <f>(CK762-Driver!$F$207)/(Driver!$G$207-Driver!$F$207)*$BI$1</f>
        <v>3.4436401240951398</v>
      </c>
      <c r="BP762" s="67">
        <f>(CM762-Driver!$F$208)/(Driver!$G$208-Driver!$F$208)*$BI$1</f>
        <v>4.5666666666666664</v>
      </c>
      <c r="BQ762" s="67">
        <f>(CL762-Driver!$F$209)/(Driver!$G$209-Driver!$F$209)*$BI$1</f>
        <v>8.75</v>
      </c>
      <c r="BR762" s="28" t="s">
        <v>155</v>
      </c>
      <c r="BS762" s="8" t="s">
        <v>262</v>
      </c>
      <c r="BT762" s="9" t="s">
        <v>708</v>
      </c>
      <c r="BU762" s="10">
        <v>191</v>
      </c>
      <c r="BV762" s="9" t="s">
        <v>158</v>
      </c>
      <c r="BW762" s="10">
        <v>191</v>
      </c>
      <c r="BX762" s="10">
        <v>191.1</v>
      </c>
      <c r="BY762" s="10">
        <v>106</v>
      </c>
      <c r="BZ762" s="10">
        <v>145</v>
      </c>
      <c r="CA762" s="10">
        <v>144</v>
      </c>
      <c r="CB762" s="10">
        <v>122</v>
      </c>
      <c r="CC762" s="10">
        <v>135</v>
      </c>
      <c r="CD762" s="10">
        <v>26.6</v>
      </c>
      <c r="CE762" s="10">
        <v>2123</v>
      </c>
      <c r="CF762" s="10">
        <v>1.1499999999999999</v>
      </c>
      <c r="CG762" s="10">
        <v>2445</v>
      </c>
      <c r="CH762" s="10">
        <v>217</v>
      </c>
      <c r="CI762" s="10">
        <v>115</v>
      </c>
      <c r="CJ762" s="10">
        <v>67</v>
      </c>
      <c r="CK762" s="10">
        <v>443</v>
      </c>
      <c r="CL762" s="10">
        <v>56</v>
      </c>
      <c r="CM762" s="10">
        <v>411</v>
      </c>
      <c r="CN762" s="10">
        <v>0.84099999999999997</v>
      </c>
      <c r="CO762" s="10">
        <v>226</v>
      </c>
      <c r="CP762" s="10">
        <v>234</v>
      </c>
      <c r="CQ762" s="10">
        <v>217</v>
      </c>
      <c r="CR762" s="10">
        <v>4</v>
      </c>
      <c r="CS762" s="10">
        <v>5.5</v>
      </c>
      <c r="CT762" s="9" t="s">
        <v>184</v>
      </c>
      <c r="CU762" s="9" t="s">
        <v>169</v>
      </c>
      <c r="CV762" s="9" t="s">
        <v>185</v>
      </c>
      <c r="CW762" s="10"/>
      <c r="CX762" t="e">
        <f>INDEX('Data_Price '!AG$2:AG$1266,MATCH(Data!$DN762,'Data_Price '!$AT$2:$AT$1266,0))</f>
        <v>#N/A</v>
      </c>
      <c r="CY762" t="e">
        <f>INDEX('Data_Price '!AH$2:AH$1266,MATCH(Data!$DN762,'Data_Price '!$AT$2:$AT$1266,0))</f>
        <v>#N/A</v>
      </c>
      <c r="CZ762" t="e">
        <f>INDEX('Data_Price '!AI$2:AI$1266,MATCH(Data!$DN762,'Data_Price '!$AT$2:$AT$1266,0))</f>
        <v>#N/A</v>
      </c>
      <c r="DA762" t="e">
        <f>INDEX('Data_Price '!AJ$2:AJ$1266,MATCH(Data!$DN762,'Data_Price '!$AT$2:$AT$1266,0))</f>
        <v>#N/A</v>
      </c>
      <c r="DB762" t="e">
        <f>INDEX('Data_Price '!AK$2:AK$1266,MATCH(Data!$DN762,'Data_Price '!$AT$2:$AT$1266,0))</f>
        <v>#N/A</v>
      </c>
      <c r="DC762" t="e">
        <f>INDEX('Data_Price '!AL$2:AL$1266,MATCH(Data!$DN762,'Data_Price '!$AT$2:$AT$1266,0))</f>
        <v>#N/A</v>
      </c>
      <c r="DD762" t="e">
        <f>INDEX('Data_Price '!AM$2:AM$1266,MATCH(Data!$DN762,'Data_Price '!$AT$2:$AT$1266,0))</f>
        <v>#N/A</v>
      </c>
      <c r="DE762" t="e">
        <f>INDEX('Data_Price '!AN$2:AN$1266,MATCH(Data!$DN762,'Data_Price '!$AT$2:$AT$1266,0))</f>
        <v>#N/A</v>
      </c>
      <c r="DF762" t="e">
        <f>INDEX('Data_Price '!AO$2:AO$1266,MATCH(Data!$DN762,'Data_Price '!$AT$2:$AT$1266,0))</f>
        <v>#N/A</v>
      </c>
      <c r="DG762" t="e">
        <f>INDEX('Data_Price '!AP$2:AP$1266,MATCH(Data!$DN762,'Data_Price '!$AT$2:$AT$1266,0))</f>
        <v>#N/A</v>
      </c>
      <c r="DH762" t="e">
        <f>INDEX('Data_Price '!AQ$2:AQ$1266,MATCH(Data!$DN762,'Data_Price '!$AT$2:$AT$1266,0))</f>
        <v>#N/A</v>
      </c>
      <c r="DI762" t="e">
        <f>INDEX('Data_Price '!AR$2:AR$1266,MATCH(Data!$DN762,'Data_Price '!$AT$2:$AT$1266,0))</f>
        <v>#N/A</v>
      </c>
      <c r="DJ762" s="89" t="e">
        <f t="shared" si="439"/>
        <v>#N/A</v>
      </c>
      <c r="DK762" s="89" t="e">
        <f t="shared" si="440"/>
        <v>#N/A</v>
      </c>
      <c r="DL762" s="89" t="e">
        <f t="shared" si="441"/>
        <v>#N/A</v>
      </c>
      <c r="DM762" s="219" t="str">
        <f t="shared" si="442"/>
        <v>Reckoner 122</v>
      </c>
      <c r="DN762" s="89" t="str">
        <f t="shared" si="443"/>
        <v xml:space="preserve"> K2Reckoner 122191 Unisex</v>
      </c>
      <c r="DO762" s="221" t="s">
        <v>709</v>
      </c>
    </row>
    <row r="763" spans="1:119" ht="15.6" customHeight="1">
      <c r="B763" s="219" t="b">
        <f t="array" ref="B763">IF(OR(ISERROR(K763:P763)),FALSE,TRUE)</f>
        <v>1</v>
      </c>
      <c r="C763" s="43" t="b">
        <f>OR(BR763=Driver!$G$50,Data!BR641=Driver!$H$50)</f>
        <v>1</v>
      </c>
      <c r="D763" s="43" t="b">
        <f>OR(BV763=Driver!$G$51,BV763=Driver!$H$51)</f>
        <v>0</v>
      </c>
      <c r="E763" s="43" t="b">
        <f>AND(BX763&gt;Driver!$F$54,BX763&lt;Driver!$G$54)</f>
        <v>1</v>
      </c>
      <c r="F763" s="43" t="b">
        <f>CL763&gt;Driver!$F$56</f>
        <v>1</v>
      </c>
      <c r="G763" s="43" t="b">
        <f>AND(CB763&gt;Driver!$F$55,CB763&lt;Driver!$G$55)</f>
        <v>0</v>
      </c>
      <c r="H763" s="43" t="b">
        <f t="shared" si="407"/>
        <v>0</v>
      </c>
      <c r="I763" s="43">
        <f t="shared" si="408"/>
        <v>0</v>
      </c>
      <c r="J763" s="43" t="b">
        <f t="array" ref="J763">NOT(OR(($H$9:$H$1273=TRUE)*($I$9:$I$1273&gt;0)*($BT$9:$BT$1273=BT763)*($K$9:$K$1273&gt;K763)))</f>
        <v>1</v>
      </c>
      <c r="K763" s="72">
        <f t="shared" si="409"/>
        <v>0.75769801774780932</v>
      </c>
      <c r="L763" s="72">
        <f t="shared" si="410"/>
        <v>0.7741425277086782</v>
      </c>
      <c r="M763" s="72">
        <f t="shared" si="411"/>
        <v>0.74125350778694044</v>
      </c>
      <c r="N763" s="72">
        <f t="shared" si="412"/>
        <v>0.70245928081925868</v>
      </c>
      <c r="O763" s="72">
        <f t="shared" si="413"/>
        <v>0.57319222045171414</v>
      </c>
      <c r="P763" s="72">
        <f t="shared" si="414"/>
        <v>0.9481090220898486</v>
      </c>
      <c r="Q763" s="72"/>
      <c r="R763" s="72"/>
      <c r="S763" s="72">
        <f t="shared" si="415"/>
        <v>0.40025988959448489</v>
      </c>
      <c r="T763" s="72">
        <f t="shared" si="416"/>
        <v>0.70287335067666934</v>
      </c>
      <c r="U763" s="72">
        <f t="shared" si="417"/>
        <v>0.51</v>
      </c>
      <c r="V763" s="72">
        <f t="shared" si="418"/>
        <v>0.49580558538853792</v>
      </c>
      <c r="W763" s="72">
        <f t="shared" si="419"/>
        <v>0.80733355863467393</v>
      </c>
      <c r="X763" s="72">
        <f t="shared" si="420"/>
        <v>0.2258574722913218</v>
      </c>
      <c r="Y763" s="72">
        <f t="shared" si="421"/>
        <v>0.25874649221305951</v>
      </c>
      <c r="Z763" s="72">
        <f t="shared" si="422"/>
        <v>0.29754071918074132</v>
      </c>
      <c r="AA763" s="72">
        <f t="shared" si="423"/>
        <v>0.42680777954828591</v>
      </c>
      <c r="AB763" s="72">
        <f t="shared" si="424"/>
        <v>5.1890977910151431E-2</v>
      </c>
      <c r="AC763" s="72"/>
      <c r="AD763" s="72"/>
      <c r="AE763" s="72">
        <f t="shared" si="425"/>
        <v>0.59974011040551511</v>
      </c>
      <c r="AF763" s="72">
        <f t="shared" si="426"/>
        <v>0.29712664932333066</v>
      </c>
      <c r="AG763" s="72">
        <f t="shared" si="427"/>
        <v>0.49</v>
      </c>
      <c r="AH763" s="72">
        <f t="shared" si="428"/>
        <v>0.50419441461146208</v>
      </c>
      <c r="AI763" s="72">
        <f t="shared" si="429"/>
        <v>0.19266644136532612</v>
      </c>
      <c r="AJ763" s="72">
        <f>(AV763-Driver!$K$179)/(Driver!$L$179-Driver!$K$179)</f>
        <v>2.8361936991378612E-2</v>
      </c>
      <c r="AK763" s="72">
        <f>(AW763-Driver!$K$180)/(Driver!$L$180-Driver!$K$180)</f>
        <v>0.21738829881730865</v>
      </c>
      <c r="AL763" s="72">
        <f>(AX763-Driver!$K$181)/(Driver!$L$181-Driver!$K$181)</f>
        <v>0.39922848289382151</v>
      </c>
      <c r="AM763" s="72">
        <f>(AY763-Driver!$K$182)/(Driver!$L$182-Driver!$K$182)</f>
        <v>2.057724154876045E-2</v>
      </c>
      <c r="AN763" s="72">
        <f>(AZ763-Driver!$K$183)/(Driver!$L$183-Driver!$K$183)</f>
        <v>0.20232843137254899</v>
      </c>
      <c r="AO763" s="72"/>
      <c r="AP763" s="72"/>
      <c r="AQ763" s="72">
        <f>(BC763-Driver!$K$188)/(Driver!$L$188-Driver!$K$188)</f>
        <v>2.0259889594484826E-2</v>
      </c>
      <c r="AR763" s="72">
        <f>MIN((BD763-Driver!$K$189)/(Driver!$L$189-Driver!$K$189),100%)</f>
        <v>0.8471266493233307</v>
      </c>
      <c r="AS763" s="72">
        <f>(BE763-Driver!$K$190)/(Driver!$L$190-Driver!$K$190)</f>
        <v>1</v>
      </c>
      <c r="AT763" s="72">
        <f>(BF763-Driver!$K$191)/(Driver!$L$191-Driver!$K$191)</f>
        <v>5.8055853885379798E-3</v>
      </c>
      <c r="AU763" s="72">
        <f>(BG763-Driver!$K$192)/(Driver!$L$192-Driver!$K$192)</f>
        <v>5.7333558634673883E-2</v>
      </c>
      <c r="AV763" s="70">
        <f t="shared" si="430"/>
        <v>0.5969339302672636</v>
      </c>
      <c r="AW763" s="70">
        <f t="shared" si="431"/>
        <v>23.058308597487425</v>
      </c>
      <c r="AX763" s="70">
        <f t="shared" si="432"/>
        <v>4.5930563460443938</v>
      </c>
      <c r="AY763" s="70">
        <f>IFERROR(Driver!$K$19/Data!BH763/Data!BI763*Data!BK763*Data!BL763,"")</f>
        <v>2.5192683311985081E-2</v>
      </c>
      <c r="AZ763" s="70">
        <f t="shared" si="433"/>
        <v>18.440059568131048</v>
      </c>
      <c r="BA763" s="70"/>
      <c r="BB763" s="70"/>
      <c r="BC763" s="70">
        <f t="shared" si="434"/>
        <v>10.508945577126738</v>
      </c>
      <c r="BD763" s="70">
        <f t="shared" si="435"/>
        <v>76.690030329609897</v>
      </c>
      <c r="BE763" s="70">
        <f t="shared" si="436"/>
        <v>1</v>
      </c>
      <c r="BF763" s="70">
        <f t="shared" si="437"/>
        <v>0.65570008308965277</v>
      </c>
      <c r="BG763" s="70">
        <f t="shared" si="438"/>
        <v>0.21710142784724573</v>
      </c>
      <c r="BH763" s="67">
        <f>MAX((CE763-Driver!$F$200)/(Driver!$G$200-Driver!$F$200)*$BI$1,1)</f>
        <v>4.5930563460443938</v>
      </c>
      <c r="BI763" s="67">
        <f>MAX($BI$1*(BY763-Driver!$F$201)/(Driver!$G$201-Driver!$F$201),1)</f>
        <v>8.037974683544304</v>
      </c>
      <c r="BJ763" s="67">
        <f>(CB763-Driver!$F$206)/(Driver!$G$206-Driver!$F$206)*$BI$1</f>
        <v>1.2698412698412698</v>
      </c>
      <c r="BK763" s="67">
        <f>(CD763-Driver!$F$203)/(Driver!$G$203-Driver!$F$203)*$BI$1</f>
        <v>0.64220183486238569</v>
      </c>
      <c r="BL763" s="67">
        <f>MAX((CR763-Driver!$F$202)/(Driver!$G$202-Driver!$F$202)*$BI$1,1)</f>
        <v>7.2413793103448274</v>
      </c>
      <c r="BM763" s="67">
        <f>MAX((CH763-Driver!$F$204)/(Driver!$G$204-Driver!$F$204)*$BI$1,1)</f>
        <v>1.8803418803418803</v>
      </c>
      <c r="BN763" s="67">
        <f>(CI763-Driver!$F$205)/(Driver!$G$205-Driver!$F$205)*$BI$1</f>
        <v>2.2941176470588234</v>
      </c>
      <c r="BO763" s="67">
        <f>(CK763-Driver!$F$207)/(Driver!$G$207-Driver!$F$207)*$BI$1</f>
        <v>0.38262668045501552</v>
      </c>
      <c r="BP763" s="67">
        <f>(CM763-Driver!$F$208)/(Driver!$G$208-Driver!$F$208)*$BI$1</f>
        <v>0.8666666666666667</v>
      </c>
      <c r="BQ763" s="67">
        <f>(CL763-Driver!$F$209)/(Driver!$G$209-Driver!$F$209)*$BI$1</f>
        <v>1.875</v>
      </c>
      <c r="BR763" s="28" t="s">
        <v>155</v>
      </c>
      <c r="BS763" s="8" t="s">
        <v>167</v>
      </c>
      <c r="BT763" s="9" t="s">
        <v>749</v>
      </c>
      <c r="BU763" s="10">
        <v>158</v>
      </c>
      <c r="BV763" s="9" t="s">
        <v>163</v>
      </c>
      <c r="BW763" s="10">
        <v>158</v>
      </c>
      <c r="BX763" s="10">
        <v>157.4</v>
      </c>
      <c r="BY763" s="10">
        <v>135</v>
      </c>
      <c r="BZ763" s="10">
        <v>141</v>
      </c>
      <c r="CA763" s="10">
        <v>129</v>
      </c>
      <c r="CB763" s="10">
        <v>72</v>
      </c>
      <c r="CC763" s="10">
        <v>106</v>
      </c>
      <c r="CD763" s="10">
        <v>10.8</v>
      </c>
      <c r="CE763" s="10">
        <v>1707</v>
      </c>
      <c r="CF763" s="10">
        <v>0.83</v>
      </c>
      <c r="CG763" s="10">
        <v>1408</v>
      </c>
      <c r="CH763" s="10">
        <v>145</v>
      </c>
      <c r="CI763" s="10">
        <v>72</v>
      </c>
      <c r="CJ763" s="10">
        <v>35</v>
      </c>
      <c r="CK763" s="10">
        <v>147</v>
      </c>
      <c r="CL763" s="10">
        <v>12</v>
      </c>
      <c r="CM763" s="10">
        <v>78</v>
      </c>
      <c r="CN763" s="10">
        <v>0.34899999999999998</v>
      </c>
      <c r="CO763" s="10">
        <v>105</v>
      </c>
      <c r="CP763" s="10">
        <v>58</v>
      </c>
      <c r="CQ763" s="10">
        <v>42</v>
      </c>
      <c r="CR763" s="10">
        <v>10</v>
      </c>
      <c r="CS763" s="10">
        <v>10.8</v>
      </c>
      <c r="CT763" s="9" t="s">
        <v>349</v>
      </c>
      <c r="CU763" s="9" t="s">
        <v>231</v>
      </c>
      <c r="CV763" s="10"/>
      <c r="CW763" s="10"/>
      <c r="CX763" t="str">
        <f>INDEX('Data_Price '!AG$2:AG$1266,MATCH(Data!$DN763,'Data_Price '!$AT$2:$AT$1266,0))</f>
        <v>Head Easy Joy Skis w/Joy 9 GW Bindings Womens</v>
      </c>
      <c r="CY763" t="str">
        <f>INDEX('Data_Price '!AH$2:AH$1266,MATCH(Data!$DN763,'Data_Price '!$AT$2:$AT$1266,0))</f>
        <v>! OutdoorXL.com</v>
      </c>
      <c r="CZ763">
        <f>INDEX('Data_Price '!AI$2:AI$1266,MATCH(Data!$DN763,'Data_Price '!$AT$2:$AT$1266,0))</f>
        <v>189.95</v>
      </c>
      <c r="DA763" t="str">
        <f>INDEX('Data_Price '!AJ$2:AJ$1266,MATCH(Data!$DN763,'Data_Price '!$AT$2:$AT$1266,0))</f>
        <v>https://tinyurl.com/ycmqsw9d</v>
      </c>
      <c r="DB763" t="str">
        <f>INDEX('Data_Price '!AK$2:AK$1266,MATCH(Data!$DN763,'Data_Price '!$AT$2:$AT$1266,0))</f>
        <v>16-17 Head Total Joy  Women's Demo Skis W/bindings Size 158cm</v>
      </c>
      <c r="DC763" t="str">
        <f>INDEX('Data_Price '!AL$2:AL$1266,MATCH(Data!$DN763,'Data_Price '!$AT$2:$AT$1266,0))</f>
        <v>eBay - demo-skis</v>
      </c>
      <c r="DD763">
        <f>INDEX('Data_Price '!AM$2:AM$1266,MATCH(Data!$DN763,'Data_Price '!$AT$2:$AT$1266,0))</f>
        <v>229</v>
      </c>
      <c r="DE763" t="str">
        <f>INDEX('Data_Price '!AN$2:AN$1266,MATCH(Data!$DN763,'Data_Price '!$AT$2:$AT$1266,0))</f>
        <v>https://tinyurl.com/yc5t2ca8</v>
      </c>
      <c r="DF763" t="str">
        <f>INDEX('Data_Price '!AO$2:AO$1266,MATCH(Data!$DN763,'Data_Price '!$AT$2:$AT$1266,0))</f>
        <v>2018 Head Total Joy 158cm W/ Head Joy 11 Binding</v>
      </c>
      <c r="DG763" t="str">
        <f>INDEX('Data_Price '!AP$2:AP$1266,MATCH(Data!$DN763,'Data_Price '!$AT$2:$AT$1266,0))</f>
        <v>eBay - riverpirate999</v>
      </c>
      <c r="DH763">
        <f>INDEX('Data_Price '!AQ$2:AQ$1266,MATCH(Data!$DN763,'Data_Price '!$AT$2:$AT$1266,0))</f>
        <v>249</v>
      </c>
      <c r="DI763" t="str">
        <f>INDEX('Data_Price '!AR$2:AR$1266,MATCH(Data!$DN763,'Data_Price '!$AT$2:$AT$1266,0))</f>
        <v>https://tinyurl.com/yc6h9ldw</v>
      </c>
      <c r="DJ763" s="89" t="str">
        <f t="shared" si="439"/>
        <v>https://tinyurl.com/ycmqsw9d</v>
      </c>
      <c r="DK763" s="89" t="str">
        <f t="shared" si="440"/>
        <v>https://tinyurl.com/yc5t2ca8</v>
      </c>
      <c r="DL763" s="89" t="str">
        <f t="shared" si="441"/>
        <v>https://tinyurl.com/yc6h9ldw</v>
      </c>
      <c r="DM763" s="219" t="str">
        <f t="shared" si="442"/>
        <v>Pure Joy</v>
      </c>
      <c r="DN763" s="89" t="str">
        <f t="shared" si="443"/>
        <v xml:space="preserve"> HeadPure Joy158 Women's</v>
      </c>
      <c r="DO763" s="221"/>
    </row>
    <row r="764" spans="1:119" ht="15.6" customHeight="1">
      <c r="B764" s="219" t="b">
        <f t="array" ref="B764">IF(OR(ISERROR(K764:P764)),FALSE,TRUE)</f>
        <v>1</v>
      </c>
      <c r="C764" s="43" t="b">
        <f>OR(BR764=Driver!$G$50,Data!BR240=Driver!$H$50)</f>
        <v>1</v>
      </c>
      <c r="D764" s="43" t="b">
        <f>OR(BV764=Driver!$G$51,BV764=Driver!$H$51)</f>
        <v>1</v>
      </c>
      <c r="E764" s="43" t="b">
        <f>AND(BX764&gt;Driver!$F$54,BX764&lt;Driver!$G$54)</f>
        <v>0</v>
      </c>
      <c r="F764" s="43" t="b">
        <f>CL764&gt;Driver!$F$56</f>
        <v>1</v>
      </c>
      <c r="G764" s="43" t="b">
        <f>AND(CB764&gt;Driver!$F$55,CB764&lt;Driver!$G$55)</f>
        <v>0</v>
      </c>
      <c r="H764" s="43" t="b">
        <f t="shared" si="407"/>
        <v>0</v>
      </c>
      <c r="I764" s="43">
        <f t="shared" si="408"/>
        <v>0</v>
      </c>
      <c r="J764" s="43" t="b">
        <f t="array" ref="J764">NOT(OR(($H$9:$H$1273=TRUE)*($I$9:$I$1273&gt;0)*($BT$9:$BT$1273=BT764)*($K$9:$K$1273&gt;K764)))</f>
        <v>1</v>
      </c>
      <c r="K764" s="72">
        <f t="shared" si="409"/>
        <v>0.85676680383636938</v>
      </c>
      <c r="L764" s="72">
        <f t="shared" si="410"/>
        <v>0.86760800188481224</v>
      </c>
      <c r="M764" s="72">
        <f t="shared" si="411"/>
        <v>0.84592560578792653</v>
      </c>
      <c r="N764" s="72">
        <f t="shared" si="412"/>
        <v>0.88585269130430255</v>
      </c>
      <c r="O764" s="72">
        <f t="shared" si="413"/>
        <v>0.7085945157343343</v>
      </c>
      <c r="P764" s="72">
        <f t="shared" si="414"/>
        <v>0.94332961032514273</v>
      </c>
      <c r="Q764" s="72"/>
      <c r="R764" s="72"/>
      <c r="S764" s="72">
        <f t="shared" si="415"/>
        <v>0.44689293136487551</v>
      </c>
      <c r="T764" s="72">
        <f t="shared" si="416"/>
        <v>0.46717641681817901</v>
      </c>
      <c r="U764" s="72">
        <f t="shared" si="417"/>
        <v>0.89305292486563714</v>
      </c>
      <c r="V764" s="72">
        <f t="shared" si="418"/>
        <v>0.5125523191240362</v>
      </c>
      <c r="W764" s="72">
        <f t="shared" si="419"/>
        <v>0.80729483282674774</v>
      </c>
      <c r="X764" s="72">
        <f t="shared" si="420"/>
        <v>0.13239199811518776</v>
      </c>
      <c r="Y764" s="72">
        <f t="shared" si="421"/>
        <v>0.1540743942120735</v>
      </c>
      <c r="Z764" s="72">
        <f t="shared" si="422"/>
        <v>0.11414730869569743</v>
      </c>
      <c r="AA764" s="72">
        <f t="shared" si="423"/>
        <v>0.29140548426566576</v>
      </c>
      <c r="AB764" s="72">
        <f t="shared" si="424"/>
        <v>5.6670389674857297E-2</v>
      </c>
      <c r="AC764" s="72"/>
      <c r="AD764" s="72"/>
      <c r="AE764" s="72">
        <f t="shared" si="425"/>
        <v>0.55310706863512449</v>
      </c>
      <c r="AF764" s="72">
        <f t="shared" si="426"/>
        <v>0.53282358318182099</v>
      </c>
      <c r="AG764" s="72">
        <f t="shared" si="427"/>
        <v>0.10694707513436286</v>
      </c>
      <c r="AH764" s="72">
        <f t="shared" si="428"/>
        <v>0.4874476808759638</v>
      </c>
      <c r="AI764" s="72">
        <f t="shared" si="429"/>
        <v>0.19270516717325228</v>
      </c>
      <c r="AJ764" s="72">
        <f>(AV764-Driver!$K$179)/(Driver!$L$179-Driver!$K$179)</f>
        <v>0.12182741116751267</v>
      </c>
      <c r="AK764" s="72">
        <f>(AW764-Driver!$K$180)/(Driver!$L$180-Driver!$K$180)</f>
        <v>0.19768398639938628</v>
      </c>
      <c r="AL764" s="72">
        <f>(AX764-Driver!$K$181)/(Driver!$L$181-Driver!$K$181)</f>
        <v>0.21583507240877761</v>
      </c>
      <c r="AM764" s="72">
        <f>(AY764-Driver!$K$182)/(Driver!$L$182-Driver!$K$182)</f>
        <v>0.15597953683138061</v>
      </c>
      <c r="AN764" s="72">
        <f>(AZ764-Driver!$K$183)/(Driver!$L$183-Driver!$K$183)</f>
        <v>0.19754901960784313</v>
      </c>
      <c r="AO764" s="72"/>
      <c r="AP764" s="72"/>
      <c r="AQ764" s="72">
        <f>(BC764-Driver!$K$188)/(Driver!$L$188-Driver!$K$188)</f>
        <v>6.6892931364875452E-2</v>
      </c>
      <c r="AR764" s="72">
        <f>MIN((BD764-Driver!$K$189)/(Driver!$L$189-Driver!$K$189),100%)</f>
        <v>1.7176416818179042E-2</v>
      </c>
      <c r="AS764" s="72">
        <f>(BE764-Driver!$K$190)/(Driver!$L$190-Driver!$K$190)</f>
        <v>0.61694707513436287</v>
      </c>
      <c r="AT764" s="72">
        <f>(BF764-Driver!$K$191)/(Driver!$L$191-Driver!$K$191)</f>
        <v>2.2552319124036192E-2</v>
      </c>
      <c r="AU764" s="72">
        <f>(BG764-Driver!$K$192)/(Driver!$L$192-Driver!$K$192)</f>
        <v>5.7294832826747709E-2</v>
      </c>
      <c r="AV764" s="70">
        <f t="shared" si="430"/>
        <v>2.5641025641025639</v>
      </c>
      <c r="AW764" s="70">
        <f t="shared" si="431"/>
        <v>21.137948754391296</v>
      </c>
      <c r="AX764" s="70">
        <f t="shared" si="432"/>
        <v>2.9425156516789985</v>
      </c>
      <c r="AY764" s="70">
        <f>IFERROR(Driver!$K$19/Data!BH764/Data!BI764*Data!BK764*Data!BL764,"")</f>
        <v>0.1909654928835588</v>
      </c>
      <c r="AZ764" s="70">
        <f t="shared" si="433"/>
        <v>18.00446760982874</v>
      </c>
      <c r="BA764" s="70"/>
      <c r="BB764" s="70"/>
      <c r="BC764" s="70">
        <f t="shared" si="434"/>
        <v>34.69782853107526</v>
      </c>
      <c r="BD764" s="70">
        <f t="shared" si="435"/>
        <v>3.2409053376968928</v>
      </c>
      <c r="BE764" s="70">
        <f t="shared" si="436"/>
        <v>0.61701540746471462</v>
      </c>
      <c r="BF764" s="70">
        <f t="shared" si="437"/>
        <v>2.5471260060510188</v>
      </c>
      <c r="BG764" s="70">
        <f t="shared" si="438"/>
        <v>0.21695478723404252</v>
      </c>
      <c r="BH764" s="67">
        <f>MAX((CE764-Driver!$F$200)/(Driver!$G$200-Driver!$F$200)*$BI$1,1)</f>
        <v>2.9425156516789985</v>
      </c>
      <c r="BI764" s="67">
        <f>MAX($BI$1*(BY764-Driver!$F$201)/(Driver!$G$201-Driver!$F$201),1)</f>
        <v>7.8481012658227849</v>
      </c>
      <c r="BJ764" s="67">
        <f>(CB764-Driver!$F$206)/(Driver!$G$206-Driver!$F$206)*$BI$1</f>
        <v>3.8095238095238093</v>
      </c>
      <c r="BK764" s="67">
        <f>(CD764-Driver!$F$203)/(Driver!$G$203-Driver!$F$203)*$BI$1</f>
        <v>3.7614678899082579</v>
      </c>
      <c r="BL764" s="67">
        <f>MAX((CR764-Driver!$F$202)/(Driver!$G$202-Driver!$F$202)*$BI$1,1)</f>
        <v>5.8620689655172411</v>
      </c>
      <c r="BM764" s="67">
        <f>MAX((CH764-Driver!$F$204)/(Driver!$G$204-Driver!$F$204)*$BI$1,1)</f>
        <v>2.6923076923076921</v>
      </c>
      <c r="BN764" s="67">
        <f>(CI764-Driver!$F$205)/(Driver!$G$205-Driver!$F$205)*$BI$1</f>
        <v>2.2941176470588234</v>
      </c>
      <c r="BO764" s="67">
        <f>(CK764-Driver!$F$207)/(Driver!$G$207-Driver!$F$207)*$BI$1</f>
        <v>1.4891416752843847</v>
      </c>
      <c r="BP764" s="67">
        <f>(CM764-Driver!$F$208)/(Driver!$G$208-Driver!$F$208)*$BI$1</f>
        <v>1.6888888888888889</v>
      </c>
      <c r="BQ764" s="67">
        <f>(CL764-Driver!$F$209)/(Driver!$G$209-Driver!$F$209)*$BI$1</f>
        <v>1.71875</v>
      </c>
      <c r="BR764" s="28" t="s">
        <v>155</v>
      </c>
      <c r="BS764" s="8" t="s">
        <v>237</v>
      </c>
      <c r="BT764" s="9" t="s">
        <v>391</v>
      </c>
      <c r="BU764" s="10">
        <v>173.1</v>
      </c>
      <c r="BV764" s="9" t="s">
        <v>158</v>
      </c>
      <c r="BW764" s="10">
        <v>173.1</v>
      </c>
      <c r="BX764" s="10">
        <v>172.3</v>
      </c>
      <c r="BY764" s="10">
        <v>132</v>
      </c>
      <c r="BZ764" s="10">
        <v>149</v>
      </c>
      <c r="CA764" s="10">
        <v>126</v>
      </c>
      <c r="CB764" s="10">
        <v>88</v>
      </c>
      <c r="CC764" s="10">
        <v>110</v>
      </c>
      <c r="CD764" s="10">
        <v>17.600000000000001</v>
      </c>
      <c r="CE764" s="10">
        <v>1417</v>
      </c>
      <c r="CF764" s="10">
        <v>1.22</v>
      </c>
      <c r="CG764" s="10">
        <v>1722</v>
      </c>
      <c r="CH764" s="10">
        <v>164</v>
      </c>
      <c r="CI764" s="10">
        <v>72</v>
      </c>
      <c r="CJ764" s="10">
        <v>41</v>
      </c>
      <c r="CK764" s="10">
        <v>254</v>
      </c>
      <c r="CL764" s="10">
        <v>11</v>
      </c>
      <c r="CM764" s="10">
        <v>152</v>
      </c>
      <c r="CN764" s="10">
        <v>0.27800000000000002</v>
      </c>
      <c r="CO764" s="10">
        <v>113</v>
      </c>
      <c r="CP764" s="10">
        <v>121</v>
      </c>
      <c r="CQ764" s="10">
        <v>141</v>
      </c>
      <c r="CR764" s="10">
        <v>6</v>
      </c>
      <c r="CS764" s="10">
        <v>10.8</v>
      </c>
      <c r="CT764" s="9" t="s">
        <v>188</v>
      </c>
      <c r="CU764" s="9" t="s">
        <v>185</v>
      </c>
      <c r="CV764" s="10"/>
      <c r="CW764" s="10"/>
      <c r="CX764" t="str">
        <f>INDEX('Data_Price '!AG$2:AG$1266,MATCH(Data!$DN764,'Data_Price '!$AT$2:$AT$1266,0))</f>
        <v>Black Crows Orb Freebird Skis</v>
      </c>
      <c r="CY764" t="str">
        <f>INDEX('Data_Price '!AH$2:AH$1266,MATCH(Data!$DN764,'Data_Price '!$AT$2:$AT$1266,0))</f>
        <v>! OutdoorXL.com</v>
      </c>
      <c r="CZ764">
        <f>INDEX('Data_Price '!AI$2:AI$1266,MATCH(Data!$DN764,'Data_Price '!$AT$2:$AT$1266,0))</f>
        <v>514.95000000000005</v>
      </c>
      <c r="DA764" t="str">
        <f>INDEX('Data_Price '!AJ$2:AJ$1266,MATCH(Data!$DN764,'Data_Price '!$AT$2:$AT$1266,0))</f>
        <v>https://tinyurl.com/ybukogbu</v>
      </c>
      <c r="DB764" t="str">
        <f>INDEX('Data_Price '!AK$2:AK$1266,MATCH(Data!$DN764,'Data_Price '!$AT$2:$AT$1266,0))</f>
        <v>Black Crows Orb Freebird Skis</v>
      </c>
      <c r="DC764" t="str">
        <f>INDEX('Data_Price '!AL$2:AL$1266,MATCH(Data!$DN764,'Data_Price '!$AT$2:$AT$1266,0))</f>
        <v>eBay - asogear</v>
      </c>
      <c r="DD764">
        <f>INDEX('Data_Price '!AM$2:AM$1266,MATCH(Data!$DN764,'Data_Price '!$AT$2:$AT$1266,0))</f>
        <v>575.99</v>
      </c>
      <c r="DE764" t="str">
        <f>INDEX('Data_Price '!AN$2:AN$1266,MATCH(Data!$DN764,'Data_Price '!$AT$2:$AT$1266,0))</f>
        <v>https://tinyurl.com/y84er2cb</v>
      </c>
      <c r="DF764" t="str">
        <f>INDEX('Data_Price '!AO$2:AO$1266,MATCH(Data!$DN764,'Data_Price '!$AT$2:$AT$1266,0))</f>
        <v>Black Crows Orb Freebird Skis - 2022 - Men's 173 cm</v>
      </c>
      <c r="DG764" t="str">
        <f>INDEX('Data_Price '!AP$2:AP$1266,MATCH(Data!$DN764,'Data_Price '!$AT$2:$AT$1266,0))</f>
        <v>Arlberg Ski &amp; Surf Shops</v>
      </c>
      <c r="DH764">
        <f>INDEX('Data_Price '!AQ$2:AQ$1266,MATCH(Data!$DN764,'Data_Price '!$AT$2:$AT$1266,0))</f>
        <v>583.96</v>
      </c>
      <c r="DI764" t="str">
        <f>INDEX('Data_Price '!AR$2:AR$1266,MATCH(Data!$DN764,'Data_Price '!$AT$2:$AT$1266,0))</f>
        <v>https://tinyurl.com/y9yt8fnp</v>
      </c>
      <c r="DJ764" s="89" t="str">
        <f t="shared" si="439"/>
        <v>https://tinyurl.com/ybukogbu</v>
      </c>
      <c r="DK764" s="89" t="str">
        <f t="shared" si="440"/>
        <v>https://tinyurl.com/y84er2cb</v>
      </c>
      <c r="DL764" s="89" t="str">
        <f t="shared" si="441"/>
        <v>https://tinyurl.com/y9yt8fnp</v>
      </c>
      <c r="DM764" s="219" t="str">
        <f t="shared" si="442"/>
        <v>Orb Freebird</v>
      </c>
      <c r="DN764" s="89" t="str">
        <f t="shared" si="443"/>
        <v xml:space="preserve"> Black CrowsOrb Freebird173.1 Unisex</v>
      </c>
      <c r="DO764" s="221" t="s">
        <v>392</v>
      </c>
    </row>
    <row r="765" spans="1:119" ht="15.6" customHeight="1">
      <c r="B765" s="219" t="b">
        <f t="array" ref="B765">IF(OR(ISERROR(K765:P765)),FALSE,TRUE)</f>
        <v>1</v>
      </c>
      <c r="C765" s="43" t="b">
        <f>OR(BR765=Driver!$G$50,Data!BR259=Driver!$H$50)</f>
        <v>1</v>
      </c>
      <c r="D765" s="43" t="b">
        <f>OR(BV765=Driver!$G$51,BV765=Driver!$H$51)</f>
        <v>0</v>
      </c>
      <c r="E765" s="43" t="b">
        <f>AND(BX765&gt;Driver!$F$54,BX765&lt;Driver!$G$54)</f>
        <v>0</v>
      </c>
      <c r="F765" s="43" t="b">
        <f>CL765&gt;Driver!$F$56</f>
        <v>1</v>
      </c>
      <c r="G765" s="43" t="b">
        <f>AND(CB765&gt;Driver!$F$55,CB765&lt;Driver!$G$55)</f>
        <v>0</v>
      </c>
      <c r="H765" s="43" t="b">
        <f t="shared" si="407"/>
        <v>0</v>
      </c>
      <c r="I765" s="43">
        <f t="shared" si="408"/>
        <v>0</v>
      </c>
      <c r="J765" s="43" t="b">
        <f t="array" ref="J765">NOT(OR(($H$9:$H$1273=TRUE)*($I$9:$I$1273&gt;0)*($BT$9:$BT$1273=BT765)*($K$9:$K$1273&gt;K765)))</f>
        <v>1</v>
      </c>
      <c r="K765" s="72">
        <f t="shared" si="409"/>
        <v>0.79386638837120893</v>
      </c>
      <c r="L765" s="72">
        <f t="shared" si="410"/>
        <v>0.81668543319574605</v>
      </c>
      <c r="M765" s="72">
        <f t="shared" si="411"/>
        <v>0.7710473435466717</v>
      </c>
      <c r="N765" s="72">
        <f t="shared" si="412"/>
        <v>0.77961099143710477</v>
      </c>
      <c r="O765" s="72">
        <f t="shared" si="413"/>
        <v>0.61544652691698332</v>
      </c>
      <c r="P765" s="72">
        <f t="shared" si="414"/>
        <v>0.91808451228592702</v>
      </c>
      <c r="Q765" s="72"/>
      <c r="R765" s="72"/>
      <c r="S765" s="72">
        <f t="shared" si="415"/>
        <v>0.40823998981863152</v>
      </c>
      <c r="T765" s="72">
        <f t="shared" si="416"/>
        <v>0.5073433347242301</v>
      </c>
      <c r="U765" s="72">
        <f t="shared" si="417"/>
        <v>0.51</v>
      </c>
      <c r="V765" s="72">
        <f t="shared" si="418"/>
        <v>0.50674711914868731</v>
      </c>
      <c r="W765" s="72">
        <f t="shared" si="419"/>
        <v>0.79953284671532843</v>
      </c>
      <c r="X765" s="72">
        <f t="shared" si="420"/>
        <v>0.1833145668042539</v>
      </c>
      <c r="Y765" s="72">
        <f t="shared" si="421"/>
        <v>0.2289526564533283</v>
      </c>
      <c r="Z765" s="72">
        <f t="shared" si="422"/>
        <v>0.22038900856289523</v>
      </c>
      <c r="AA765" s="72">
        <f t="shared" si="423"/>
        <v>0.38455347308301663</v>
      </c>
      <c r="AB765" s="72">
        <f t="shared" si="424"/>
        <v>8.1915487714072949E-2</v>
      </c>
      <c r="AC765" s="72"/>
      <c r="AD765" s="72"/>
      <c r="AE765" s="72">
        <f t="shared" si="425"/>
        <v>0.59176001018136848</v>
      </c>
      <c r="AF765" s="72">
        <f t="shared" si="426"/>
        <v>0.4926566652757699</v>
      </c>
      <c r="AG765" s="72">
        <f t="shared" si="427"/>
        <v>0.49</v>
      </c>
      <c r="AH765" s="72">
        <f t="shared" si="428"/>
        <v>0.49325288085131269</v>
      </c>
      <c r="AI765" s="72">
        <f t="shared" si="429"/>
        <v>0.20046715328467152</v>
      </c>
      <c r="AJ765" s="72">
        <f>(AV765-Driver!$K$179)/(Driver!$L$179-Driver!$K$179)</f>
        <v>7.0904842478446542E-2</v>
      </c>
      <c r="AK765" s="72">
        <f>(AW765-Driver!$K$180)/(Driver!$L$180-Driver!$K$180)</f>
        <v>0.18271680249742489</v>
      </c>
      <c r="AL765" s="72">
        <f>(AX765-Driver!$K$181)/(Driver!$L$181-Driver!$K$181)</f>
        <v>0.32207677227597542</v>
      </c>
      <c r="AM765" s="72">
        <f>(AY765-Driver!$K$182)/(Driver!$L$182-Driver!$K$182)</f>
        <v>6.2831548014029737E-2</v>
      </c>
      <c r="AN765" s="72">
        <f>(AZ765-Driver!$K$183)/(Driver!$L$183-Driver!$K$183)</f>
        <v>0.17230392156862748</v>
      </c>
      <c r="AO765" s="72"/>
      <c r="AP765" s="72"/>
      <c r="AQ765" s="72">
        <f>(BC765-Driver!$K$188)/(Driver!$L$188-Driver!$K$188)</f>
        <v>2.8239989818631489E-2</v>
      </c>
      <c r="AR765" s="72">
        <f>MIN((BD765-Driver!$K$189)/(Driver!$L$189-Driver!$K$189),100%)</f>
        <v>5.7343334724230165E-2</v>
      </c>
      <c r="AS765" s="72">
        <f>(BE765-Driver!$K$190)/(Driver!$L$190-Driver!$K$190)</f>
        <v>1</v>
      </c>
      <c r="AT765" s="72">
        <f>(BF765-Driver!$K$191)/(Driver!$L$191-Driver!$K$191)</f>
        <v>1.6747119148687314E-2</v>
      </c>
      <c r="AU765" s="72">
        <f>(BG765-Driver!$K$192)/(Driver!$L$192-Driver!$K$192)</f>
        <v>4.9532846715328469E-2</v>
      </c>
      <c r="AV765" s="70">
        <f t="shared" si="430"/>
        <v>1.4923348256681592</v>
      </c>
      <c r="AW765" s="70">
        <f t="shared" si="431"/>
        <v>19.679264060404286</v>
      </c>
      <c r="AX765" s="70">
        <f t="shared" si="432"/>
        <v>3.898690950483779</v>
      </c>
      <c r="AY765" s="70">
        <f>IFERROR(Driver!$K$19/Data!BH765/Data!BI765*Data!BK765*Data!BL765,"")</f>
        <v>7.6924561893699894E-2</v>
      </c>
      <c r="AZ765" s="70">
        <f t="shared" si="433"/>
        <v>15.703648548026807</v>
      </c>
      <c r="BA765" s="70"/>
      <c r="BB765" s="70"/>
      <c r="BC765" s="70">
        <f t="shared" si="434"/>
        <v>14.648279040148338</v>
      </c>
      <c r="BD765" s="70">
        <f t="shared" si="435"/>
        <v>6.7956064008153305</v>
      </c>
      <c r="BE765" s="70">
        <f t="shared" si="436"/>
        <v>1</v>
      </c>
      <c r="BF765" s="70">
        <f t="shared" si="437"/>
        <v>1.8914694526733939</v>
      </c>
      <c r="BG765" s="70">
        <f t="shared" si="438"/>
        <v>0.18756295620437957</v>
      </c>
      <c r="BH765" s="67">
        <f>MAX((CE765-Driver!$F$200)/(Driver!$G$200-Driver!$F$200)*$BI$1,1)</f>
        <v>3.898690950483779</v>
      </c>
      <c r="BI765" s="67">
        <f>MAX($BI$1*(BY765-Driver!$F$201)/(Driver!$G$201-Driver!$F$201),1)</f>
        <v>7.2151898734177218</v>
      </c>
      <c r="BJ765" s="67">
        <f>(CB765-Driver!$F$206)/(Driver!$G$206-Driver!$F$206)*$BI$1</f>
        <v>3.4920634920634921</v>
      </c>
      <c r="BK765" s="67">
        <f>(CD765-Driver!$F$203)/(Driver!$G$203-Driver!$F$203)*$BI$1</f>
        <v>1.7431192660550456</v>
      </c>
      <c r="BL765" s="67">
        <f>MAX((CR765-Driver!$F$202)/(Driver!$G$202-Driver!$F$202)*$BI$1,1)</f>
        <v>6.2068965517241379</v>
      </c>
      <c r="BM765" s="67">
        <f>MAX((CH765-Driver!$F$204)/(Driver!$G$204-Driver!$F$204)*$BI$1,1)</f>
        <v>1.7094017094017095</v>
      </c>
      <c r="BN765" s="67">
        <f>(CI765-Driver!$F$205)/(Driver!$G$205-Driver!$F$205)*$BI$1</f>
        <v>2.1764705882352944</v>
      </c>
      <c r="BO765" s="67">
        <f>(CK765-Driver!$F$207)/(Driver!$G$207-Driver!$F$207)*$BI$1</f>
        <v>0.8583247156153051</v>
      </c>
      <c r="BP765" s="67">
        <f>(CM765-Driver!$F$208)/(Driver!$G$208-Driver!$F$208)*$BI$1</f>
        <v>1.1000000000000001</v>
      </c>
      <c r="BQ765" s="67">
        <f>(CL765-Driver!$F$209)/(Driver!$G$209-Driver!$F$209)*$BI$1</f>
        <v>1.25</v>
      </c>
      <c r="BR765" s="28" t="s">
        <v>155</v>
      </c>
      <c r="BS765" s="8" t="s">
        <v>317</v>
      </c>
      <c r="BT765" s="9" t="s">
        <v>502</v>
      </c>
      <c r="BU765" s="10">
        <v>153</v>
      </c>
      <c r="BV765" s="9" t="s">
        <v>163</v>
      </c>
      <c r="BW765" s="10">
        <v>153</v>
      </c>
      <c r="BX765" s="10">
        <v>151.6</v>
      </c>
      <c r="BY765" s="10">
        <v>122</v>
      </c>
      <c r="BZ765" s="10">
        <v>129</v>
      </c>
      <c r="CA765" s="10">
        <v>125</v>
      </c>
      <c r="CB765" s="10">
        <v>86</v>
      </c>
      <c r="CC765" s="10">
        <v>107</v>
      </c>
      <c r="CD765" s="10">
        <v>13.2</v>
      </c>
      <c r="CE765" s="10">
        <v>1585</v>
      </c>
      <c r="CF765" s="10">
        <v>0.94</v>
      </c>
      <c r="CG765" s="10">
        <v>1484</v>
      </c>
      <c r="CH765" s="10">
        <v>141</v>
      </c>
      <c r="CI765" s="10">
        <v>70</v>
      </c>
      <c r="CJ765" s="10">
        <v>60</v>
      </c>
      <c r="CK765" s="10">
        <v>193</v>
      </c>
      <c r="CL765" s="10">
        <v>8</v>
      </c>
      <c r="CM765" s="10">
        <v>99</v>
      </c>
      <c r="CN765" s="10">
        <v>0.13500000000000001</v>
      </c>
      <c r="CO765" s="10">
        <v>116</v>
      </c>
      <c r="CP765" s="10">
        <v>105</v>
      </c>
      <c r="CQ765" s="10">
        <v>77</v>
      </c>
      <c r="CR765" s="10">
        <v>7</v>
      </c>
      <c r="CS765" s="10">
        <v>11.3</v>
      </c>
      <c r="CT765" s="9" t="s">
        <v>188</v>
      </c>
      <c r="CU765" s="10"/>
      <c r="CV765" s="10"/>
      <c r="CW765" s="10"/>
      <c r="CX765" t="str">
        <f>INDEX('Data_Price '!AG$2:AG$1266,MATCH(Data!$DN765,'Data_Price '!$AT$2:$AT$1266,0))</f>
        <v>Blizzard Black Pearl 88 21/22</v>
      </c>
      <c r="CY765" t="str">
        <f>INDEX('Data_Price '!AH$2:AH$1266,MATCH(Data!$DN765,'Data_Price '!$AT$2:$AT$1266,0))</f>
        <v>Snowcountry.eu</v>
      </c>
      <c r="CZ765">
        <f>INDEX('Data_Price '!AI$2:AI$1266,MATCH(Data!$DN765,'Data_Price '!$AT$2:$AT$1266,0))</f>
        <v>354.88</v>
      </c>
      <c r="DA765" t="str">
        <f>INDEX('Data_Price '!AJ$2:AJ$1266,MATCH(Data!$DN765,'Data_Price '!$AT$2:$AT$1266,0))</f>
        <v>https://tinyurl.com/ycfdrqgy</v>
      </c>
      <c r="DB765" t="str">
        <f>INDEX('Data_Price '!AK$2:AK$1266,MATCH(Data!$DN765,'Data_Price '!$AT$2:$AT$1266,0))</f>
        <v>2022 Blizzard Black Pearl 88 ladies skis (SKI ONLY or with BINDINGS) 153</v>
      </c>
      <c r="DC765" t="str">
        <f>INDEX('Data_Price '!AL$2:AL$1266,MATCH(Data!$DN765,'Data_Price '!$AT$2:$AT$1266,0))</f>
        <v>The Pro Shop</v>
      </c>
      <c r="DD765">
        <f>INDEX('Data_Price '!AM$2:AM$1266,MATCH(Data!$DN765,'Data_Price '!$AT$2:$AT$1266,0))</f>
        <v>647</v>
      </c>
      <c r="DE765" t="str">
        <f>INDEX('Data_Price '!AN$2:AN$1266,MATCH(Data!$DN765,'Data_Price '!$AT$2:$AT$1266,0))</f>
        <v>https://tinyurl.com/ycrf9cu5</v>
      </c>
      <c r="DF765" t="str">
        <f>INDEX('Data_Price '!AO$2:AO$1266,MATCH(Data!$DN765,'Data_Price '!$AT$2:$AT$1266,0))</f>
        <v>Blizzard Black Pearl 88 Women's Skis 153cm 2023</v>
      </c>
      <c r="DG765" t="str">
        <f>INDEX('Data_Price '!AP$2:AP$1266,MATCH(Data!$DN765,'Data_Price '!$AT$2:$AT$1266,0))</f>
        <v>Powder7 Ski Shop</v>
      </c>
      <c r="DH765">
        <f>INDEX('Data_Price '!AQ$2:AQ$1266,MATCH(Data!$DN765,'Data_Price '!$AT$2:$AT$1266,0))</f>
        <v>649.95000000000005</v>
      </c>
      <c r="DI765" t="str">
        <f>INDEX('Data_Price '!AR$2:AR$1266,MATCH(Data!$DN765,'Data_Price '!$AT$2:$AT$1266,0))</f>
        <v>https://tinyurl.com/ycrdvkjk</v>
      </c>
      <c r="DJ765" s="89" t="str">
        <f t="shared" si="439"/>
        <v>https://tinyurl.com/ycfdrqgy</v>
      </c>
      <c r="DK765" s="89" t="str">
        <f t="shared" si="440"/>
        <v>https://tinyurl.com/ycrf9cu5</v>
      </c>
      <c r="DL765" s="89" t="str">
        <f t="shared" si="441"/>
        <v>https://tinyurl.com/ycrdvkjk</v>
      </c>
      <c r="DM765" s="219" t="str">
        <f t="shared" si="442"/>
        <v>Black Pearl 88</v>
      </c>
      <c r="DN765" s="89" t="str">
        <f t="shared" si="443"/>
        <v xml:space="preserve"> BlizzardBlack Pearl 88153 Women's</v>
      </c>
      <c r="DO765" s="221" t="s">
        <v>503</v>
      </c>
    </row>
    <row r="766" spans="1:119" ht="15.6" customHeight="1">
      <c r="B766" s="219" t="b">
        <f t="array" ref="B766">IF(OR(ISERROR(K766:P766)),FALSE,TRUE)</f>
        <v>1</v>
      </c>
      <c r="C766" s="43" t="b">
        <f>OR(BR766=Driver!$G$50,Data!BR767=Driver!$H$50)</f>
        <v>1</v>
      </c>
      <c r="D766" s="43" t="b">
        <f>OR(BV766=Driver!$G$51,BV766=Driver!$H$51)</f>
        <v>1</v>
      </c>
      <c r="E766" s="43" t="b">
        <f>AND(BX766&gt;Driver!$F$54,BX766&lt;Driver!$G$54)</f>
        <v>0</v>
      </c>
      <c r="F766" s="43" t="b">
        <f>CL766&gt;Driver!$F$56</f>
        <v>1</v>
      </c>
      <c r="G766" s="43" t="b">
        <f>AND(CB766&gt;Driver!$F$55,CB766&lt;Driver!$G$55)</f>
        <v>1</v>
      </c>
      <c r="H766" s="43" t="b">
        <f t="shared" si="407"/>
        <v>0</v>
      </c>
      <c r="I766" s="43">
        <f t="shared" si="408"/>
        <v>0</v>
      </c>
      <c r="J766" s="43" t="b">
        <f t="array" ref="J766">NOT(OR(($H$9:$H$1273=TRUE)*($I$9:$I$1273&gt;0)*($BT$9:$BT$1273=BT766)*($K$9:$K$1273&gt;K766)))</f>
        <v>1</v>
      </c>
      <c r="K766" s="72">
        <f t="shared" si="409"/>
        <v>0.71252878212511639</v>
      </c>
      <c r="L766" s="72">
        <f t="shared" si="410"/>
        <v>0.76570115934313066</v>
      </c>
      <c r="M766" s="72">
        <f t="shared" si="411"/>
        <v>0.65935640490710212</v>
      </c>
      <c r="N766" s="72">
        <f t="shared" si="412"/>
        <v>0.42800155616233071</v>
      </c>
      <c r="O766" s="72">
        <f t="shared" si="413"/>
        <v>0.69846262836124251</v>
      </c>
      <c r="P766" s="72">
        <f t="shared" si="414"/>
        <v>0.85160503019773315</v>
      </c>
      <c r="Q766" s="72"/>
      <c r="R766" s="72"/>
      <c r="S766" s="72">
        <f t="shared" si="415"/>
        <v>0.56652503169395463</v>
      </c>
      <c r="T766" s="72">
        <f t="shared" si="416"/>
        <v>0.48138449168718545</v>
      </c>
      <c r="U766" s="72">
        <f t="shared" si="417"/>
        <v>0.50227640781806127</v>
      </c>
      <c r="V766" s="72">
        <f t="shared" si="418"/>
        <v>0.58461620953129056</v>
      </c>
      <c r="W766" s="72">
        <f t="shared" si="419"/>
        <v>0.80298615145325414</v>
      </c>
      <c r="X766" s="72">
        <f t="shared" si="420"/>
        <v>0.23429884065686929</v>
      </c>
      <c r="Y766" s="72">
        <f t="shared" si="421"/>
        <v>0.34064359509289788</v>
      </c>
      <c r="Z766" s="72">
        <f t="shared" si="422"/>
        <v>0.57199844383766929</v>
      </c>
      <c r="AA766" s="72">
        <f t="shared" si="423"/>
        <v>0.30153737163875749</v>
      </c>
      <c r="AB766" s="72">
        <f t="shared" si="424"/>
        <v>0.14839496980226691</v>
      </c>
      <c r="AC766" s="72"/>
      <c r="AD766" s="72"/>
      <c r="AE766" s="72">
        <f t="shared" si="425"/>
        <v>0.43347496830604537</v>
      </c>
      <c r="AF766" s="72">
        <f t="shared" si="426"/>
        <v>0.51861550831281455</v>
      </c>
      <c r="AG766" s="72">
        <f t="shared" si="427"/>
        <v>0.49772359218193873</v>
      </c>
      <c r="AH766" s="72">
        <f t="shared" si="428"/>
        <v>0.41538379046870944</v>
      </c>
      <c r="AI766" s="72">
        <f t="shared" si="429"/>
        <v>0.19701384854674589</v>
      </c>
      <c r="AJ766" s="72">
        <f>(AV766-Driver!$K$179)/(Driver!$L$179-Driver!$K$179)</f>
        <v>0.48851824993956972</v>
      </c>
      <c r="AK766" s="72">
        <f>(AW766-Driver!$K$180)/(Driver!$L$180-Driver!$K$180)</f>
        <v>0.43160583474764019</v>
      </c>
      <c r="AL766" s="72">
        <f>(AX766-Driver!$K$181)/(Driver!$L$181-Driver!$K$181)</f>
        <v>0.67368620755074948</v>
      </c>
      <c r="AM766" s="72">
        <f>(AY766-Driver!$K$182)/(Driver!$L$182-Driver!$K$182)</f>
        <v>0.1458476494582889</v>
      </c>
      <c r="AN766" s="72">
        <f>(AZ766-Driver!$K$183)/(Driver!$L$183-Driver!$K$183)</f>
        <v>0.40261437908496733</v>
      </c>
      <c r="AO766" s="72"/>
      <c r="AP766" s="72"/>
      <c r="AQ766" s="72">
        <f>(BC766-Driver!$K$188)/(Driver!$L$188-Driver!$K$188)</f>
        <v>0.18652503169395465</v>
      </c>
      <c r="AR766" s="72">
        <f>MIN((BD766-Driver!$K$189)/(Driver!$L$189-Driver!$K$189),100%)</f>
        <v>3.1384491687185524E-2</v>
      </c>
      <c r="AS766" s="72">
        <f>(BE766-Driver!$K$190)/(Driver!$L$190-Driver!$K$190)</f>
        <v>1.2276407818061275E-2</v>
      </c>
      <c r="AT766" s="72">
        <f>(BF766-Driver!$K$191)/(Driver!$L$191-Driver!$K$191)</f>
        <v>9.461620953129056E-2</v>
      </c>
      <c r="AU766" s="72">
        <f>(BG766-Driver!$K$192)/(Driver!$L$192-Driver!$K$192)</f>
        <v>5.2986151453254117E-2</v>
      </c>
      <c r="AV766" s="70">
        <f t="shared" si="430"/>
        <v>10.281847781847782</v>
      </c>
      <c r="AW766" s="70">
        <f t="shared" si="431"/>
        <v>43.935705634363423</v>
      </c>
      <c r="AX766" s="70">
        <f t="shared" si="432"/>
        <v>7.0631758679567449</v>
      </c>
      <c r="AY766" s="70">
        <f>IFERROR(Driver!$K$19/Data!BH766/Data!BI766*Data!BK766*Data!BL766,"")</f>
        <v>0.17856103967547682</v>
      </c>
      <c r="AZ766" s="70">
        <f t="shared" si="433"/>
        <v>36.6939687267312</v>
      </c>
      <c r="BA766" s="70"/>
      <c r="BB766" s="70"/>
      <c r="BC766" s="70">
        <f t="shared" si="434"/>
        <v>96.751830640637479</v>
      </c>
      <c r="BD766" s="70">
        <f t="shared" si="435"/>
        <v>4.4982947883849942</v>
      </c>
      <c r="BE766" s="70">
        <f t="shared" si="436"/>
        <v>1.2452606589603954E-2</v>
      </c>
      <c r="BF766" s="70">
        <f t="shared" si="437"/>
        <v>10.68623615006698</v>
      </c>
      <c r="BG766" s="70">
        <f t="shared" si="438"/>
        <v>0.20063937091242995</v>
      </c>
      <c r="BH766" s="67">
        <f>MAX((CE766-Driver!$F$200)/(Driver!$G$200-Driver!$F$200)*$BI$1,1)</f>
        <v>7.0631758679567449</v>
      </c>
      <c r="BI766" s="67">
        <f>MAX($BI$1*(BY766-Driver!$F$201)/(Driver!$G$201-Driver!$F$201),1)</f>
        <v>7.0886075949367084</v>
      </c>
      <c r="BJ766" s="67">
        <f>(CB766-Driver!$F$206)/(Driver!$G$206-Driver!$F$206)*$BI$1</f>
        <v>7.4603174603174605</v>
      </c>
      <c r="BK766" s="67">
        <f>(CD766-Driver!$F$203)/(Driver!$G$203-Driver!$F$203)*$BI$1</f>
        <v>7.2018348623853221</v>
      </c>
      <c r="BL766" s="67">
        <f>MAX((CR766-Driver!$F$202)/(Driver!$G$202-Driver!$F$202)*$BI$1,1)</f>
        <v>6.2068965517241379</v>
      </c>
      <c r="BM766" s="67">
        <f>MAX((CH766-Driver!$F$204)/(Driver!$G$204-Driver!$F$204)*$BI$1,1)</f>
        <v>5.5128205128205128</v>
      </c>
      <c r="BN766" s="67">
        <f>(CI766-Driver!$F$205)/(Driver!$G$205-Driver!$F$205)*$BI$1</f>
        <v>5.1764705882352944</v>
      </c>
      <c r="BO766" s="67">
        <f>(CK766-Driver!$F$207)/(Driver!$G$207-Driver!$F$207)*$BI$1</f>
        <v>2.7714581178903823</v>
      </c>
      <c r="BP766" s="67">
        <f>(CM766-Driver!$F$208)/(Driver!$G$208-Driver!$F$208)*$BI$1</f>
        <v>3.7222222222222223</v>
      </c>
      <c r="BQ766" s="67">
        <f>(CL766-Driver!$F$209)/(Driver!$G$209-Driver!$F$209)*$BI$1</f>
        <v>7.8125</v>
      </c>
      <c r="BR766" s="28" t="s">
        <v>155</v>
      </c>
      <c r="BS766" s="8" t="s">
        <v>262</v>
      </c>
      <c r="BT766" s="9" t="s">
        <v>298</v>
      </c>
      <c r="BU766" s="10">
        <v>191</v>
      </c>
      <c r="BV766" s="9" t="s">
        <v>158</v>
      </c>
      <c r="BW766" s="10">
        <v>191</v>
      </c>
      <c r="BX766" s="10">
        <v>191.7</v>
      </c>
      <c r="BY766" s="10">
        <v>120</v>
      </c>
      <c r="BZ766" s="10">
        <v>145</v>
      </c>
      <c r="CA766" s="10">
        <v>135</v>
      </c>
      <c r="CB766" s="10">
        <v>111</v>
      </c>
      <c r="CC766" s="10">
        <v>127</v>
      </c>
      <c r="CD766" s="10">
        <v>25.1</v>
      </c>
      <c r="CE766" s="10">
        <v>2141</v>
      </c>
      <c r="CF766" s="10">
        <v>1.06</v>
      </c>
      <c r="CG766" s="10">
        <v>2276</v>
      </c>
      <c r="CH766" s="10">
        <v>230</v>
      </c>
      <c r="CI766" s="10">
        <v>121</v>
      </c>
      <c r="CJ766" s="10">
        <v>55</v>
      </c>
      <c r="CK766" s="10">
        <v>378</v>
      </c>
      <c r="CL766" s="10">
        <v>50</v>
      </c>
      <c r="CM766" s="10">
        <v>335</v>
      </c>
      <c r="CN766" s="10">
        <v>0.90400000000000003</v>
      </c>
      <c r="CO766" s="10">
        <v>218</v>
      </c>
      <c r="CP766" s="10">
        <v>244</v>
      </c>
      <c r="CQ766" s="10">
        <v>159</v>
      </c>
      <c r="CR766" s="10">
        <v>7</v>
      </c>
      <c r="CS766" s="10">
        <v>5.9</v>
      </c>
      <c r="CT766" s="9" t="s">
        <v>184</v>
      </c>
      <c r="CU766" s="9" t="s">
        <v>169</v>
      </c>
      <c r="CV766" s="9" t="s">
        <v>185</v>
      </c>
      <c r="CW766" s="10"/>
      <c r="CX766" t="e">
        <f>INDEX('Data_Price '!AG$2:AG$1266,MATCH(Data!$DN766,'Data_Price '!$AT$2:$AT$1266,0))</f>
        <v>#N/A</v>
      </c>
      <c r="CY766" t="e">
        <f>INDEX('Data_Price '!AH$2:AH$1266,MATCH(Data!$DN766,'Data_Price '!$AT$2:$AT$1266,0))</f>
        <v>#N/A</v>
      </c>
      <c r="CZ766" t="e">
        <f>INDEX('Data_Price '!AI$2:AI$1266,MATCH(Data!$DN766,'Data_Price '!$AT$2:$AT$1266,0))</f>
        <v>#N/A</v>
      </c>
      <c r="DA766" t="e">
        <f>INDEX('Data_Price '!AJ$2:AJ$1266,MATCH(Data!$DN766,'Data_Price '!$AT$2:$AT$1266,0))</f>
        <v>#N/A</v>
      </c>
      <c r="DB766" t="e">
        <f>INDEX('Data_Price '!AK$2:AK$1266,MATCH(Data!$DN766,'Data_Price '!$AT$2:$AT$1266,0))</f>
        <v>#N/A</v>
      </c>
      <c r="DC766" t="e">
        <f>INDEX('Data_Price '!AL$2:AL$1266,MATCH(Data!$DN766,'Data_Price '!$AT$2:$AT$1266,0))</f>
        <v>#N/A</v>
      </c>
      <c r="DD766" t="e">
        <f>INDEX('Data_Price '!AM$2:AM$1266,MATCH(Data!$DN766,'Data_Price '!$AT$2:$AT$1266,0))</f>
        <v>#N/A</v>
      </c>
      <c r="DE766" t="e">
        <f>INDEX('Data_Price '!AN$2:AN$1266,MATCH(Data!$DN766,'Data_Price '!$AT$2:$AT$1266,0))</f>
        <v>#N/A</v>
      </c>
      <c r="DF766" t="e">
        <f>INDEX('Data_Price '!AO$2:AO$1266,MATCH(Data!$DN766,'Data_Price '!$AT$2:$AT$1266,0))</f>
        <v>#N/A</v>
      </c>
      <c r="DG766" t="e">
        <f>INDEX('Data_Price '!AP$2:AP$1266,MATCH(Data!$DN766,'Data_Price '!$AT$2:$AT$1266,0))</f>
        <v>#N/A</v>
      </c>
      <c r="DH766" t="e">
        <f>INDEX('Data_Price '!AQ$2:AQ$1266,MATCH(Data!$DN766,'Data_Price '!$AT$2:$AT$1266,0))</f>
        <v>#N/A</v>
      </c>
      <c r="DI766" t="e">
        <f>INDEX('Data_Price '!AR$2:AR$1266,MATCH(Data!$DN766,'Data_Price '!$AT$2:$AT$1266,0))</f>
        <v>#N/A</v>
      </c>
      <c r="DJ766" s="89" t="e">
        <f t="shared" si="439"/>
        <v>#N/A</v>
      </c>
      <c r="DK766" s="89" t="e">
        <f t="shared" si="440"/>
        <v>#N/A</v>
      </c>
      <c r="DL766" s="89" t="e">
        <f t="shared" si="441"/>
        <v>#N/A</v>
      </c>
      <c r="DM766" s="219" t="str">
        <f t="shared" si="442"/>
        <v>Reckoner 112</v>
      </c>
      <c r="DN766" s="89" t="str">
        <f t="shared" si="443"/>
        <v xml:space="preserve"> K2Reckoner 112191 Unisex</v>
      </c>
      <c r="DO766" s="221" t="s">
        <v>299</v>
      </c>
    </row>
    <row r="767" spans="1:119" ht="15.6" customHeight="1">
      <c r="B767" s="219" t="b">
        <f t="array" ref="B767">IF(OR(ISERROR(K767:P767)),FALSE,TRUE)</f>
        <v>1</v>
      </c>
      <c r="C767" s="43" t="b">
        <f>OR(BR767=Driver!$G$50,Data!BR1054=Driver!$H$50)</f>
        <v>1</v>
      </c>
      <c r="D767" s="43" t="b">
        <f>OR(BV767=Driver!$G$51,BV767=Driver!$H$51)</f>
        <v>1</v>
      </c>
      <c r="E767" s="43" t="b">
        <f>AND(BX767&gt;Driver!$F$54,BX767&lt;Driver!$G$54)</f>
        <v>0</v>
      </c>
      <c r="F767" s="43" t="b">
        <f>CL767&gt;Driver!$F$56</f>
        <v>1</v>
      </c>
      <c r="G767" s="43" t="b">
        <f>AND(CB767&gt;Driver!$F$55,CB767&lt;Driver!$G$55)</f>
        <v>0</v>
      </c>
      <c r="H767" s="43" t="b">
        <f t="shared" si="407"/>
        <v>0</v>
      </c>
      <c r="I767" s="43">
        <f t="shared" si="408"/>
        <v>0</v>
      </c>
      <c r="J767" s="43" t="b">
        <f t="array" ref="J767">NOT(OR(($H$9:$H$1273=TRUE)*($I$9:$I$1273&gt;0)*($BT$9:$BT$1273=BT767)*($K$9:$K$1273&gt;K767)))</f>
        <v>1</v>
      </c>
      <c r="K767" s="72">
        <f t="shared" si="409"/>
        <v>0.79110499415159652</v>
      </c>
      <c r="L767" s="72">
        <f t="shared" si="410"/>
        <v>0.80862806473228632</v>
      </c>
      <c r="M767" s="72">
        <f t="shared" si="411"/>
        <v>0.77358192357090683</v>
      </c>
      <c r="N767" s="72">
        <f t="shared" si="412"/>
        <v>0.773919471801362</v>
      </c>
      <c r="O767" s="72">
        <f t="shared" si="413"/>
        <v>0.64091498923981038</v>
      </c>
      <c r="P767" s="72">
        <f t="shared" si="414"/>
        <v>0.90591130967154787</v>
      </c>
      <c r="Q767" s="72"/>
      <c r="R767" s="72"/>
      <c r="S767" s="72">
        <f t="shared" si="415"/>
        <v>0.4332690700177404</v>
      </c>
      <c r="T767" s="72">
        <f t="shared" si="416"/>
        <v>0.74219687783244415</v>
      </c>
      <c r="U767" s="72">
        <f t="shared" si="417"/>
        <v>0.51</v>
      </c>
      <c r="V767" s="72">
        <f t="shared" si="418"/>
        <v>0.49134315478363744</v>
      </c>
      <c r="W767" s="72">
        <f t="shared" si="419"/>
        <v>0.76567002881844382</v>
      </c>
      <c r="X767" s="72">
        <f t="shared" si="420"/>
        <v>0.19137193526771373</v>
      </c>
      <c r="Y767" s="72">
        <f t="shared" si="421"/>
        <v>0.2264180764290932</v>
      </c>
      <c r="Z767" s="72">
        <f t="shared" si="422"/>
        <v>0.226080528198638</v>
      </c>
      <c r="AA767" s="72">
        <f t="shared" si="423"/>
        <v>0.35908501076018962</v>
      </c>
      <c r="AB767" s="72">
        <f t="shared" si="424"/>
        <v>9.4088690328452074E-2</v>
      </c>
      <c r="AC767" s="72"/>
      <c r="AD767" s="72"/>
      <c r="AE767" s="72">
        <f t="shared" si="425"/>
        <v>0.5667309299822596</v>
      </c>
      <c r="AF767" s="72">
        <f t="shared" si="426"/>
        <v>0.2578031221675558</v>
      </c>
      <c r="AG767" s="72">
        <f t="shared" si="427"/>
        <v>0.49</v>
      </c>
      <c r="AH767" s="72">
        <f t="shared" si="428"/>
        <v>0.50865684521636256</v>
      </c>
      <c r="AI767" s="72">
        <f t="shared" si="429"/>
        <v>0.23432997118155618</v>
      </c>
      <c r="AJ767" s="72">
        <f>(AV767-Driver!$K$179)/(Driver!$L$179-Driver!$K$179)</f>
        <v>6.2847474014986693E-2</v>
      </c>
      <c r="AK767" s="72">
        <f>(AW767-Driver!$K$180)/(Driver!$L$180-Driver!$K$180)</f>
        <v>0.17217849168972274</v>
      </c>
      <c r="AL767" s="72">
        <f>(AX767-Driver!$K$181)/(Driver!$L$181-Driver!$K$181)</f>
        <v>0.32776829191171819</v>
      </c>
      <c r="AM767" s="72">
        <f>(AY767-Driver!$K$182)/(Driver!$L$182-Driver!$K$182)</f>
        <v>8.8300010336856763E-2</v>
      </c>
      <c r="AN767" s="72">
        <f>(AZ767-Driver!$K$183)/(Driver!$L$183-Driver!$K$183)</f>
        <v>0.16013071895424835</v>
      </c>
      <c r="AO767" s="72"/>
      <c r="AP767" s="72"/>
      <c r="AQ767" s="72">
        <f>(BC767-Driver!$K$188)/(Driver!$L$188-Driver!$K$188)</f>
        <v>5.3269070017740401E-2</v>
      </c>
      <c r="AR767" s="72">
        <f>MIN((BD767-Driver!$K$189)/(Driver!$L$189-Driver!$K$189),100%)</f>
        <v>0.29219687783244425</v>
      </c>
      <c r="AS767" s="72">
        <f>(BE767-Driver!$K$190)/(Driver!$L$190-Driver!$K$190)</f>
        <v>1</v>
      </c>
      <c r="AT767" s="72">
        <f>(BF767-Driver!$K$191)/(Driver!$L$191-Driver!$K$191)</f>
        <v>1.343154783637446E-3</v>
      </c>
      <c r="AU767" s="72">
        <f>(BG767-Driver!$K$192)/(Driver!$L$192-Driver!$K$192)</f>
        <v>1.5670028818443805E-2</v>
      </c>
      <c r="AV767" s="70">
        <f t="shared" si="430"/>
        <v>1.3227513227513226</v>
      </c>
      <c r="AW767" s="70">
        <f t="shared" si="431"/>
        <v>18.652212293260664</v>
      </c>
      <c r="AX767" s="70">
        <f t="shared" si="432"/>
        <v>3.9499146272054637</v>
      </c>
      <c r="AY767" s="70">
        <f>IFERROR(Driver!$K$19/Data!BH767/Data!BI767*Data!BK767*Data!BL767,"")</f>
        <v>0.10810555883256587</v>
      </c>
      <c r="AZ767" s="70">
        <f t="shared" si="433"/>
        <v>14.594192107222634</v>
      </c>
      <c r="BA767" s="70"/>
      <c r="BB767" s="70"/>
      <c r="BC767" s="70">
        <f t="shared" si="434"/>
        <v>27.631036938768784</v>
      </c>
      <c r="BD767" s="70">
        <f t="shared" si="435"/>
        <v>27.579728830037944</v>
      </c>
      <c r="BE767" s="70">
        <f t="shared" si="436"/>
        <v>1</v>
      </c>
      <c r="BF767" s="70">
        <f t="shared" si="437"/>
        <v>0.15169989661544298</v>
      </c>
      <c r="BG767" s="70">
        <f t="shared" si="438"/>
        <v>5.9336725504322778E-2</v>
      </c>
      <c r="BH767" s="67">
        <f>MAX((CE767-Driver!$F$200)/(Driver!$G$200-Driver!$F$200)*$BI$1,1)</f>
        <v>3.9499146272054637</v>
      </c>
      <c r="BI767" s="67">
        <f>MAX($BI$1*(BY767-Driver!$F$201)/(Driver!$G$201-Driver!$F$201),1)</f>
        <v>8.8607594936708853</v>
      </c>
      <c r="BJ767" s="67">
        <f>(CB767-Driver!$F$206)/(Driver!$G$206-Driver!$F$206)*$BI$1</f>
        <v>1.5873015873015872</v>
      </c>
      <c r="BK767" s="67">
        <f>(CD767-Driver!$F$203)/(Driver!$G$203-Driver!$F$203)*$BI$1</f>
        <v>2.3853211009174311</v>
      </c>
      <c r="BL767" s="67">
        <f>MAX((CR767-Driver!$F$202)/(Driver!$G$202-Driver!$F$202)*$BI$1,1)</f>
        <v>7.931034482758621</v>
      </c>
      <c r="BM767" s="67">
        <f>MAX((CH767-Driver!$F$204)/(Driver!$G$204-Driver!$F$204)*$BI$1,1)</f>
        <v>3.333333333333333</v>
      </c>
      <c r="BN767" s="67">
        <f>(CI767-Driver!$F$205)/(Driver!$G$205-Driver!$F$205)*$BI$1</f>
        <v>1.6470588235294117</v>
      </c>
      <c r="BO767" s="67">
        <f>(CK767-Driver!$F$207)/(Driver!$G$207-Driver!$F$207)*$BI$1</f>
        <v>0.32057911065149947</v>
      </c>
      <c r="BP767" s="67">
        <f>(CM767-Driver!$F$208)/(Driver!$G$208-Driver!$F$208)*$BI$1</f>
        <v>0.71111111111111114</v>
      </c>
      <c r="BQ767" s="67">
        <f>(CL767-Driver!$F$209)/(Driver!$G$209-Driver!$F$209)*$BI$1</f>
        <v>0.78125</v>
      </c>
      <c r="BR767" s="28" t="s">
        <v>155</v>
      </c>
      <c r="BS767" s="8" t="s">
        <v>172</v>
      </c>
      <c r="BT767" s="9" t="s">
        <v>674</v>
      </c>
      <c r="BU767" s="10">
        <v>170</v>
      </c>
      <c r="BV767" s="9" t="s">
        <v>158</v>
      </c>
      <c r="BW767" s="10">
        <v>170</v>
      </c>
      <c r="BX767" s="10">
        <v>168.4</v>
      </c>
      <c r="BY767" s="10">
        <v>148</v>
      </c>
      <c r="BZ767" s="10">
        <v>153</v>
      </c>
      <c r="CA767" s="10">
        <v>121</v>
      </c>
      <c r="CB767" s="10">
        <v>74</v>
      </c>
      <c r="CC767" s="10">
        <v>107</v>
      </c>
      <c r="CD767" s="10">
        <v>14.6</v>
      </c>
      <c r="CE767" s="10">
        <v>1594</v>
      </c>
      <c r="CF767" s="10">
        <v>0.94</v>
      </c>
      <c r="CG767" s="10">
        <v>1497</v>
      </c>
      <c r="CH767" s="10">
        <v>179</v>
      </c>
      <c r="CI767" s="10">
        <v>61</v>
      </c>
      <c r="CJ767" s="10">
        <v>35</v>
      </c>
      <c r="CK767" s="10">
        <v>141</v>
      </c>
      <c r="CL767" s="10">
        <v>5</v>
      </c>
      <c r="CM767" s="10">
        <v>64</v>
      </c>
      <c r="CN767" s="10">
        <v>0.14099999999999999</v>
      </c>
      <c r="CO767" s="10">
        <v>78</v>
      </c>
      <c r="CP767" s="10">
        <v>80</v>
      </c>
      <c r="CQ767" s="10">
        <v>63</v>
      </c>
      <c r="CR767" s="10">
        <v>12</v>
      </c>
      <c r="CS767" s="10">
        <v>8.5</v>
      </c>
      <c r="CT767" s="9" t="s">
        <v>349</v>
      </c>
      <c r="CU767" s="10"/>
      <c r="CV767" s="10"/>
      <c r="CW767" s="10"/>
      <c r="CX767" t="str">
        <f>INDEX('Data_Price '!AG$2:AG$1266,MATCH(Data!$DN767,'Data_Price '!$AT$2:$AT$1266,0))</f>
        <v>Rossignol React 2 Xpress</v>
      </c>
      <c r="CY767" t="str">
        <f>INDEX('Data_Price '!AH$2:AH$1266,MATCH(Data!$DN767,'Data_Price '!$AT$2:$AT$1266,0))</f>
        <v>SportÃ¨que</v>
      </c>
      <c r="CZ767">
        <f>INDEX('Data_Price '!AI$2:AI$1266,MATCH(Data!$DN767,'Data_Price '!$AT$2:$AT$1266,0))</f>
        <v>340.58</v>
      </c>
      <c r="DA767" t="str">
        <f>INDEX('Data_Price '!AJ$2:AJ$1266,MATCH(Data!$DN767,'Data_Price '!$AT$2:$AT$1266,0))</f>
        <v>https://tinyurl.com/yb8ny5ak</v>
      </c>
      <c r="DB767" t="str">
        <f>INDEX('Data_Price '!AK$2:AK$1266,MATCH(Data!$DN767,'Data_Price '!$AT$2:$AT$1266,0))</f>
        <v>Rossignol React R2F - 170</v>
      </c>
      <c r="DC767" t="str">
        <f>INDEX('Data_Price '!AL$2:AL$1266,MATCH(Data!$DN767,'Data_Price '!$AT$2:$AT$1266,0))</f>
        <v>Backpacking United</v>
      </c>
      <c r="DD767">
        <f>INDEX('Data_Price '!AM$2:AM$1266,MATCH(Data!$DN767,'Data_Price '!$AT$2:$AT$1266,0))</f>
        <v>168.09</v>
      </c>
      <c r="DE767" t="str">
        <f>INDEX('Data_Price '!AN$2:AN$1266,MATCH(Data!$DN767,'Data_Price '!$AT$2:$AT$1266,0))</f>
        <v>https://tinyurl.com/ybx434qu</v>
      </c>
      <c r="DF767" t="str">
        <f>INDEX('Data_Price '!AO$2:AO$1266,MATCH(Data!$DN767,'Data_Price '!$AT$2:$AT$1266,0))</f>
        <v>Rossignol React 2/XP 10 GW RTL Black</v>
      </c>
      <c r="DG767" t="str">
        <f>INDEX('Data_Price '!AP$2:AP$1266,MATCH(Data!$DN767,'Data_Price '!$AT$2:$AT$1266,0))</f>
        <v>Spoke-N-Sport</v>
      </c>
      <c r="DH767">
        <f>INDEX('Data_Price '!AQ$2:AQ$1266,MATCH(Data!$DN767,'Data_Price '!$AT$2:$AT$1266,0))</f>
        <v>279.99</v>
      </c>
      <c r="DI767" t="str">
        <f>INDEX('Data_Price '!AR$2:AR$1266,MATCH(Data!$DN767,'Data_Price '!$AT$2:$AT$1266,0))</f>
        <v>https://tinyurl.com/ycyds6rn</v>
      </c>
      <c r="DJ767" s="89" t="str">
        <f t="shared" si="439"/>
        <v>https://tinyurl.com/yb8ny5ak</v>
      </c>
      <c r="DK767" s="89" t="str">
        <f t="shared" si="440"/>
        <v>https://tinyurl.com/ybx434qu</v>
      </c>
      <c r="DL767" s="89" t="str">
        <f t="shared" si="441"/>
        <v>https://tinyurl.com/ycyds6rn</v>
      </c>
      <c r="DM767" s="219" t="str">
        <f t="shared" si="442"/>
        <v>React 2</v>
      </c>
      <c r="DN767" s="89" t="str">
        <f t="shared" si="443"/>
        <v xml:space="preserve"> RossignolReact 2170 Unisex</v>
      </c>
      <c r="DO767" s="221"/>
    </row>
    <row r="768" spans="1:119" ht="15.6" customHeight="1">
      <c r="B768" s="219" t="b">
        <f t="array" ref="B768">IF(OR(ISERROR(K768:P768)),FALSE,TRUE)</f>
        <v>1</v>
      </c>
      <c r="C768" s="43" t="b">
        <f>OR(BR768=Driver!$G$50,Data!BR40=Driver!$H$50)</f>
        <v>1</v>
      </c>
      <c r="D768" s="43" t="b">
        <f>OR(BV768=Driver!$G$51,BV768=Driver!$H$51)</f>
        <v>1</v>
      </c>
      <c r="E768" s="43" t="b">
        <f>AND(BX768&gt;Driver!$F$54,BX768&lt;Driver!$G$54)</f>
        <v>0</v>
      </c>
      <c r="F768" s="43" t="b">
        <f>CL768&gt;Driver!$F$56</f>
        <v>1</v>
      </c>
      <c r="G768" s="43" t="b">
        <f>AND(CB768&gt;Driver!$F$55,CB768&lt;Driver!$G$55)</f>
        <v>0</v>
      </c>
      <c r="H768" s="43" t="b">
        <f t="shared" si="407"/>
        <v>0</v>
      </c>
      <c r="I768" s="43">
        <f t="shared" si="408"/>
        <v>0</v>
      </c>
      <c r="J768" s="43" t="b">
        <f t="array" ref="J768">NOT(OR(($H$9:$H$1273=TRUE)*($I$9:$I$1273&gt;0)*($BT$9:$BT$1273=BT768)*($K$9:$K$1273&gt;K768)))</f>
        <v>1</v>
      </c>
      <c r="K768" s="72">
        <f t="shared" si="409"/>
        <v>0.81802881055829024</v>
      </c>
      <c r="L768" s="72">
        <f t="shared" si="410"/>
        <v>0.9602677392146004</v>
      </c>
      <c r="M768" s="72">
        <f t="shared" si="411"/>
        <v>0.6757898819019803</v>
      </c>
      <c r="N768" s="72">
        <f t="shared" si="412"/>
        <v>0.57977541311547065</v>
      </c>
      <c r="O768" s="72">
        <f t="shared" si="413"/>
        <v>0.653301293896005</v>
      </c>
      <c r="P768" s="72">
        <f t="shared" si="414"/>
        <v>0.79429293869446504</v>
      </c>
      <c r="Q768" s="72"/>
      <c r="R768" s="72"/>
      <c r="S768" s="72">
        <f t="shared" si="415"/>
        <v>0.56448333095768377</v>
      </c>
      <c r="T768" s="72">
        <f t="shared" si="416"/>
        <v>0.59236700047128843</v>
      </c>
      <c r="U768" s="72">
        <f t="shared" si="417"/>
        <v>0.68092668893616071</v>
      </c>
      <c r="V768" s="72">
        <f t="shared" si="418"/>
        <v>0.50013153580027681</v>
      </c>
      <c r="W768" s="72">
        <f t="shared" si="419"/>
        <v>0.80182462165933233</v>
      </c>
      <c r="X768" s="72">
        <f t="shared" si="420"/>
        <v>3.9732260785399653E-2</v>
      </c>
      <c r="Y768" s="72">
        <f t="shared" si="421"/>
        <v>0.32421011809801975</v>
      </c>
      <c r="Z768" s="72">
        <f t="shared" si="422"/>
        <v>0.42022458688452935</v>
      </c>
      <c r="AA768" s="72">
        <f t="shared" si="423"/>
        <v>0.346698706103995</v>
      </c>
      <c r="AB768" s="72">
        <f t="shared" si="424"/>
        <v>0.2057070613055349</v>
      </c>
      <c r="AC768" s="72"/>
      <c r="AD768" s="72"/>
      <c r="AE768" s="72">
        <f t="shared" si="425"/>
        <v>0.43551666904231623</v>
      </c>
      <c r="AF768" s="72">
        <f t="shared" si="426"/>
        <v>0.40763299952871157</v>
      </c>
      <c r="AG768" s="72">
        <f t="shared" si="427"/>
        <v>0.31907331106383929</v>
      </c>
      <c r="AH768" s="72">
        <f t="shared" si="428"/>
        <v>0.49986846419972319</v>
      </c>
      <c r="AI768" s="72">
        <f t="shared" si="429"/>
        <v>0.19817537834066762</v>
      </c>
      <c r="AJ768" s="72">
        <f>(AV768-Driver!$K$179)/(Driver!$L$179-Driver!$K$179)</f>
        <v>0.21448714849730077</v>
      </c>
      <c r="AK768" s="72">
        <f>(AW768-Driver!$K$180)/(Driver!$L$180-Driver!$K$180)</f>
        <v>0.47061844781807344</v>
      </c>
      <c r="AL768" s="72">
        <f>(AX768-Driver!$K$181)/(Driver!$L$181-Driver!$K$181)</f>
        <v>0.52191235059760954</v>
      </c>
      <c r="AM768" s="72">
        <f>(AY768-Driver!$K$182)/(Driver!$L$182-Driver!$K$182)</f>
        <v>0.10068631499305136</v>
      </c>
      <c r="AN768" s="72">
        <f>(AZ768-Driver!$K$183)/(Driver!$L$183-Driver!$K$183)</f>
        <v>0.45992647058823533</v>
      </c>
      <c r="AO768" s="72"/>
      <c r="AP768" s="72"/>
      <c r="AQ768" s="72">
        <f>(BC768-Driver!$K$188)/(Driver!$L$188-Driver!$K$188)</f>
        <v>0.18448333095768379</v>
      </c>
      <c r="AR768" s="72">
        <f>MIN((BD768-Driver!$K$189)/(Driver!$L$189-Driver!$K$189),100%)</f>
        <v>0.14236700047128845</v>
      </c>
      <c r="AS768" s="72">
        <f>(BE768-Driver!$K$190)/(Driver!$L$190-Driver!$K$190)</f>
        <v>0.19092668893616072</v>
      </c>
      <c r="AT768" s="72">
        <f>(BF768-Driver!$K$191)/(Driver!$L$191-Driver!$K$191)</f>
        <v>1.0131535800276809E-2</v>
      </c>
      <c r="AU768" s="72">
        <f>(BG768-Driver!$K$192)/(Driver!$L$192-Driver!$K$192)</f>
        <v>5.1824621659332396E-2</v>
      </c>
      <c r="AV768" s="70">
        <f t="shared" si="430"/>
        <v>4.5143128476461811</v>
      </c>
      <c r="AW768" s="70">
        <f t="shared" si="431"/>
        <v>47.737830464995127</v>
      </c>
      <c r="AX768" s="70">
        <f t="shared" si="432"/>
        <v>5.6972111553784863</v>
      </c>
      <c r="AY768" s="70">
        <f>IFERROR(Driver!$K$19/Data!BH768/Data!BI768*Data!BK768*Data!BL768,"")</f>
        <v>0.12327009144836119</v>
      </c>
      <c r="AZ768" s="70">
        <f t="shared" si="433"/>
        <v>41.917349218168283</v>
      </c>
      <c r="BA768" s="70"/>
      <c r="BB768" s="70"/>
      <c r="BC768" s="70">
        <f t="shared" si="434"/>
        <v>95.692786275060541</v>
      </c>
      <c r="BD768" s="70">
        <f t="shared" si="435"/>
        <v>14.320050166408892</v>
      </c>
      <c r="BE768" s="70">
        <f t="shared" si="436"/>
        <v>0.19107101850834649</v>
      </c>
      <c r="BF768" s="70">
        <f t="shared" si="437"/>
        <v>1.1442857905738708</v>
      </c>
      <c r="BG768" s="70">
        <f t="shared" si="438"/>
        <v>0.19624107813673927</v>
      </c>
      <c r="BH768" s="67">
        <f>MAX((CE768-Driver!$F$200)/(Driver!$G$200-Driver!$F$200)*$BI$1,1)</f>
        <v>5.6972111553784863</v>
      </c>
      <c r="BI768" s="67">
        <f>MAX($BI$1*(BY768-Driver!$F$201)/(Driver!$G$201-Driver!$F$201),1)</f>
        <v>8.7974683544303804</v>
      </c>
      <c r="BJ768" s="67">
        <f>(CB768-Driver!$F$206)/(Driver!$G$206-Driver!$F$206)*$BI$1</f>
        <v>3.4920634920634921</v>
      </c>
      <c r="BK768" s="67">
        <f>(CD768-Driver!$F$203)/(Driver!$G$203-Driver!$F$203)*$BI$1</f>
        <v>4.2660550458715596</v>
      </c>
      <c r="BL768" s="67">
        <f>MAX((CR768-Driver!$F$202)/(Driver!$G$202-Driver!$F$202)*$BI$1,1)</f>
        <v>7.2413793103448274</v>
      </c>
      <c r="BM768" s="67">
        <f>MAX((CH768-Driver!$F$204)/(Driver!$G$204-Driver!$F$204)*$BI$1,1)</f>
        <v>5.1709401709401712</v>
      </c>
      <c r="BN768" s="67">
        <f>(CI768-Driver!$F$205)/(Driver!$G$205-Driver!$F$205)*$BI$1</f>
        <v>4.7647058823529411</v>
      </c>
      <c r="BO768" s="67">
        <f>(CK768-Driver!$F$207)/(Driver!$G$207-Driver!$F$207)*$BI$1</f>
        <v>0.79627714581178899</v>
      </c>
      <c r="BP768" s="67">
        <f>(CM768-Driver!$F$208)/(Driver!$G$208-Driver!$F$208)*$BI$1</f>
        <v>1.7555555555555555</v>
      </c>
      <c r="BQ768" s="67">
        <f>(CL768-Driver!$F$209)/(Driver!$G$209-Driver!$F$209)*$BI$1</f>
        <v>5.78125</v>
      </c>
      <c r="BR768" s="28" t="s">
        <v>155</v>
      </c>
      <c r="BS768" s="8" t="s">
        <v>182</v>
      </c>
      <c r="BT768" s="9" t="s">
        <v>491</v>
      </c>
      <c r="BU768" s="10">
        <v>184</v>
      </c>
      <c r="BV768" s="9" t="s">
        <v>158</v>
      </c>
      <c r="BW768" s="10">
        <v>184</v>
      </c>
      <c r="BX768" s="10">
        <v>181.7</v>
      </c>
      <c r="BY768" s="10">
        <v>147</v>
      </c>
      <c r="BZ768" s="10">
        <v>157</v>
      </c>
      <c r="CA768" s="10">
        <v>118</v>
      </c>
      <c r="CB768" s="10">
        <v>86</v>
      </c>
      <c r="CC768" s="10">
        <v>112</v>
      </c>
      <c r="CD768" s="10">
        <v>18.7</v>
      </c>
      <c r="CE768" s="10">
        <v>1901</v>
      </c>
      <c r="CF768" s="10">
        <v>0.93</v>
      </c>
      <c r="CG768" s="10">
        <v>1766</v>
      </c>
      <c r="CH768" s="10">
        <v>222</v>
      </c>
      <c r="CI768" s="10">
        <v>114</v>
      </c>
      <c r="CJ768" s="10">
        <v>45</v>
      </c>
      <c r="CK768" s="10">
        <v>187</v>
      </c>
      <c r="CL768" s="10">
        <v>37</v>
      </c>
      <c r="CM768" s="10">
        <v>158</v>
      </c>
      <c r="CN768" s="10">
        <v>0.83799999999999997</v>
      </c>
      <c r="CO768" s="10">
        <v>116</v>
      </c>
      <c r="CP768" s="10">
        <v>129</v>
      </c>
      <c r="CQ768" s="10">
        <v>72</v>
      </c>
      <c r="CR768" s="10">
        <v>10</v>
      </c>
      <c r="CS768" s="10">
        <v>4.5999999999999996</v>
      </c>
      <c r="CT768" s="9" t="s">
        <v>188</v>
      </c>
      <c r="CU768" s="9" t="s">
        <v>184</v>
      </c>
      <c r="CV768" s="10"/>
      <c r="CW768" s="10"/>
      <c r="CX768" t="str">
        <f>INDEX('Data_Price '!AG$2:AG$1266,MATCH(Data!$DN768,'Data_Price '!$AT$2:$AT$1266,0))</f>
        <v>Armada ARV 86 Skis 2022</v>
      </c>
      <c r="CY768" t="str">
        <f>INDEX('Data_Price '!AH$2:AH$1266,MATCH(Data!$DN768,'Data_Price '!$AT$2:$AT$1266,0))</f>
        <v>Ski Pro  - Snow Ski &amp; Snowboard</v>
      </c>
      <c r="CZ768">
        <f>INDEX('Data_Price '!AI$2:AI$1266,MATCH(Data!$DN768,'Data_Price '!$AT$2:$AT$1266,0))</f>
        <v>319.95</v>
      </c>
      <c r="DA768" t="str">
        <f>INDEX('Data_Price '!AJ$2:AJ$1266,MATCH(Data!$DN768,'Data_Price '!$AT$2:$AT$1266,0))</f>
        <v>https://tinyurl.com/y96xsgkv</v>
      </c>
      <c r="DB768" t="str">
        <f>INDEX('Data_Price '!AK$2:AK$1266,MATCH(Data!$DN768,'Data_Price '!$AT$2:$AT$1266,0))</f>
        <v>Armada ARV 86 Skis 2022</v>
      </c>
      <c r="DC768" t="str">
        <f>INDEX('Data_Price '!AL$2:AL$1266,MATCH(Data!$DN768,'Data_Price '!$AT$2:$AT$1266,0))</f>
        <v>The Mountain Air</v>
      </c>
      <c r="DD768">
        <f>INDEX('Data_Price '!AM$2:AM$1266,MATCH(Data!$DN768,'Data_Price '!$AT$2:$AT$1266,0))</f>
        <v>319.95999999999998</v>
      </c>
      <c r="DE768" t="str">
        <f>INDEX('Data_Price '!AN$2:AN$1266,MATCH(Data!$DN768,'Data_Price '!$AT$2:$AT$1266,0))</f>
        <v>https://tinyurl.com/ybmwa46p</v>
      </c>
      <c r="DF768" t="str">
        <f>INDEX('Data_Price '!AO$2:AO$1266,MATCH(Data!$DN768,'Data_Price '!$AT$2:$AT$1266,0))</f>
        <v>Armada ARV 86 Skis 2022</v>
      </c>
      <c r="DG768" t="str">
        <f>INDEX('Data_Price '!AP$2:AP$1266,MATCH(Data!$DN768,'Data_Price '!$AT$2:$AT$1266,0))</f>
        <v>Next Adventure</v>
      </c>
      <c r="DH768">
        <f>INDEX('Data_Price '!AQ$2:AQ$1266,MATCH(Data!$DN768,'Data_Price '!$AT$2:$AT$1266,0))</f>
        <v>319.95999999999998</v>
      </c>
      <c r="DI768" t="str">
        <f>INDEX('Data_Price '!AR$2:AR$1266,MATCH(Data!$DN768,'Data_Price '!$AT$2:$AT$1266,0))</f>
        <v>https://tinyurl.com/yb2d89jg</v>
      </c>
      <c r="DJ768" s="89" t="str">
        <f t="shared" si="439"/>
        <v>https://tinyurl.com/y96xsgkv</v>
      </c>
      <c r="DK768" s="89" t="str">
        <f t="shared" si="440"/>
        <v>https://tinyurl.com/ybmwa46p</v>
      </c>
      <c r="DL768" s="89" t="str">
        <f t="shared" si="441"/>
        <v>https://tinyurl.com/yb2d89jg</v>
      </c>
      <c r="DM768" s="219" t="str">
        <f t="shared" si="442"/>
        <v>ARV 86</v>
      </c>
      <c r="DN768" s="89" t="str">
        <f t="shared" si="443"/>
        <v xml:space="preserve"> ArmadaARV 86184 Unisex</v>
      </c>
      <c r="DO768" s="221" t="s">
        <v>492</v>
      </c>
    </row>
    <row r="769" spans="2:119" ht="15.6" customHeight="1">
      <c r="B769" s="219" t="b">
        <f t="array" ref="B769">IF(OR(ISERROR(K769:P769)),FALSE,TRUE)</f>
        <v>1</v>
      </c>
      <c r="C769" s="43" t="b">
        <f>OR(BR769=Driver!$G$50,Data!BR829=Driver!$H$50)</f>
        <v>1</v>
      </c>
      <c r="D769" s="43" t="b">
        <f>OR(BV769=Driver!$G$51,BV769=Driver!$H$51)</f>
        <v>1</v>
      </c>
      <c r="E769" s="43" t="b">
        <f>AND(BX769&gt;Driver!$F$54,BX769&lt;Driver!$G$54)</f>
        <v>0</v>
      </c>
      <c r="F769" s="43" t="b">
        <f>CL769&gt;Driver!$F$56</f>
        <v>1</v>
      </c>
      <c r="G769" s="43" t="b">
        <f>AND(CB769&gt;Driver!$F$55,CB769&lt;Driver!$G$55)</f>
        <v>0</v>
      </c>
      <c r="H769" s="43" t="b">
        <f t="shared" si="407"/>
        <v>0</v>
      </c>
      <c r="I769" s="43">
        <f t="shared" si="408"/>
        <v>0</v>
      </c>
      <c r="J769" s="43" t="b">
        <f t="array" ref="J769">NOT(OR(($H$9:$H$1273=TRUE)*($I$9:$I$1273&gt;0)*($BT$9:$BT$1273=BT769)*($K$9:$K$1273&gt;K769)))</f>
        <v>1</v>
      </c>
      <c r="K769" s="72">
        <f t="shared" si="409"/>
        <v>0.82466405148409416</v>
      </c>
      <c r="L769" s="72">
        <f t="shared" si="410"/>
        <v>0.89524477571447947</v>
      </c>
      <c r="M769" s="72">
        <f t="shared" si="411"/>
        <v>0.75408332725370875</v>
      </c>
      <c r="N769" s="72">
        <f t="shared" si="412"/>
        <v>0.59748236309333702</v>
      </c>
      <c r="O769" s="72">
        <f t="shared" si="413"/>
        <v>0.70330075344068554</v>
      </c>
      <c r="P769" s="72">
        <f t="shared" si="414"/>
        <v>0.96146686522710345</v>
      </c>
      <c r="Q769" s="72"/>
      <c r="R769" s="72"/>
      <c r="S769" s="72">
        <f t="shared" si="415"/>
        <v>0.48473068617024984</v>
      </c>
      <c r="T769" s="72">
        <f t="shared" si="416"/>
        <v>0.45621564596611552</v>
      </c>
      <c r="U769" s="72">
        <f t="shared" si="417"/>
        <v>0.58763167273363803</v>
      </c>
      <c r="V769" s="72">
        <f t="shared" si="418"/>
        <v>0.51192840541216911</v>
      </c>
      <c r="W769" s="72">
        <f t="shared" si="419"/>
        <v>0.86185208167697647</v>
      </c>
      <c r="X769" s="72">
        <f t="shared" si="420"/>
        <v>0.10475522428552053</v>
      </c>
      <c r="Y769" s="72">
        <f t="shared" si="421"/>
        <v>0.24591667274629128</v>
      </c>
      <c r="Z769" s="72">
        <f t="shared" si="422"/>
        <v>0.40251763690666298</v>
      </c>
      <c r="AA769" s="72">
        <f t="shared" si="423"/>
        <v>0.29669924655931446</v>
      </c>
      <c r="AB769" s="72">
        <f t="shared" si="424"/>
        <v>3.8533134772896493E-2</v>
      </c>
      <c r="AC769" s="72"/>
      <c r="AD769" s="72"/>
      <c r="AE769" s="72">
        <f t="shared" si="425"/>
        <v>0.51526931382975016</v>
      </c>
      <c r="AF769" s="72">
        <f t="shared" si="426"/>
        <v>0.54378435403388448</v>
      </c>
      <c r="AG769" s="72">
        <f t="shared" si="427"/>
        <v>0.41236832726636197</v>
      </c>
      <c r="AH769" s="72">
        <f t="shared" si="428"/>
        <v>0.48807159458783095</v>
      </c>
      <c r="AI769" s="72">
        <f t="shared" si="429"/>
        <v>0.13814791832302353</v>
      </c>
      <c r="AJ769" s="72">
        <f>(AV769-Driver!$K$179)/(Driver!$L$179-Driver!$K$179)</f>
        <v>0.14946418499717989</v>
      </c>
      <c r="AK769" s="72">
        <f>(AW769-Driver!$K$180)/(Driver!$L$180-Driver!$K$180)</f>
        <v>0.24120868396660644</v>
      </c>
      <c r="AL769" s="72">
        <f>(AX769-Driver!$K$181)/(Driver!$L$181-Driver!$K$181)</f>
        <v>0.50420540061974317</v>
      </c>
      <c r="AM769" s="72">
        <f>(AY769-Driver!$K$182)/(Driver!$L$182-Driver!$K$182)</f>
        <v>0.15068577453773191</v>
      </c>
      <c r="AN769" s="72">
        <f>(AZ769-Driver!$K$183)/(Driver!$L$183-Driver!$K$183)</f>
        <v>0.21568627450980393</v>
      </c>
      <c r="AO769" s="72"/>
      <c r="AP769" s="72"/>
      <c r="AQ769" s="72">
        <f>(BC769-Driver!$K$188)/(Driver!$L$188-Driver!$K$188)</f>
        <v>0.10473068617024983</v>
      </c>
      <c r="AR769" s="72">
        <f>MIN((BD769-Driver!$K$189)/(Driver!$L$189-Driver!$K$189),100%)</f>
        <v>6.2156459661156195E-3</v>
      </c>
      <c r="AS769" s="72">
        <f>(BE769-Driver!$K$190)/(Driver!$L$190-Driver!$K$190)</f>
        <v>9.7631672733638014E-2</v>
      </c>
      <c r="AT769" s="72">
        <f>(BF769-Driver!$K$191)/(Driver!$L$191-Driver!$K$191)</f>
        <v>2.1928405412169068E-2</v>
      </c>
      <c r="AU769" s="72">
        <f>(BG769-Driver!$K$192)/(Driver!$L$192-Driver!$K$192)</f>
        <v>0.11185208167697647</v>
      </c>
      <c r="AV769" s="70">
        <f t="shared" si="430"/>
        <v>3.1457739791073123</v>
      </c>
      <c r="AW769" s="70">
        <f t="shared" si="431"/>
        <v>25.379816200370744</v>
      </c>
      <c r="AX769" s="70">
        <f t="shared" si="432"/>
        <v>5.5378486055776888</v>
      </c>
      <c r="AY769" s="70">
        <f>IFERROR(Driver!$K$19/Data!BH769/Data!BI769*Data!BK769*Data!BL769,"")</f>
        <v>0.1844843483299122</v>
      </c>
      <c r="AZ769" s="70">
        <f t="shared" si="433"/>
        <v>19.657483246463144</v>
      </c>
      <c r="BA769" s="70"/>
      <c r="BB769" s="70"/>
      <c r="BC769" s="70">
        <f t="shared" si="434"/>
        <v>54.324534992426848</v>
      </c>
      <c r="BD769" s="70">
        <f t="shared" si="435"/>
        <v>2.2708965386260087</v>
      </c>
      <c r="BE769" s="70">
        <f t="shared" si="436"/>
        <v>9.7792645086634183E-2</v>
      </c>
      <c r="BF769" s="70">
        <f t="shared" si="437"/>
        <v>2.4766593355375268</v>
      </c>
      <c r="BG769" s="70">
        <f t="shared" si="438"/>
        <v>0.42354333514320619</v>
      </c>
      <c r="BH769" s="67">
        <f>MAX((CE769-Driver!$F$200)/(Driver!$G$200-Driver!$F$200)*$BI$1,1)</f>
        <v>5.5378486055776888</v>
      </c>
      <c r="BI769" s="67">
        <f>MAX($BI$1*(BY769-Driver!$F$201)/(Driver!$G$201-Driver!$F$201),1)</f>
        <v>8.3544303797468356</v>
      </c>
      <c r="BJ769" s="67">
        <f>(CB769-Driver!$F$206)/(Driver!$G$206-Driver!$F$206)*$BI$1</f>
        <v>5.5555555555555554</v>
      </c>
      <c r="BK769" s="67">
        <f>(CD769-Driver!$F$203)/(Driver!$G$203-Driver!$F$203)*$BI$1</f>
        <v>6.5137614678899087</v>
      </c>
      <c r="BL769" s="67">
        <f>MAX((CR769-Driver!$F$202)/(Driver!$G$202-Driver!$F$202)*$BI$1,1)</f>
        <v>6.5517241379310338</v>
      </c>
      <c r="BM769" s="67">
        <f>MAX((CH769-Driver!$F$204)/(Driver!$G$204-Driver!$F$204)*$BI$1,1)</f>
        <v>2.2649572649572649</v>
      </c>
      <c r="BN769" s="67">
        <f>(CI769-Driver!$F$205)/(Driver!$G$205-Driver!$F$205)*$BI$1</f>
        <v>2.3529411764705883</v>
      </c>
      <c r="BO769" s="67">
        <f>(CK769-Driver!$F$207)/(Driver!$G$207-Driver!$F$207)*$BI$1</f>
        <v>1.1168562564632885</v>
      </c>
      <c r="BP769" s="67">
        <f>(CM769-Driver!$F$208)/(Driver!$G$208-Driver!$F$208)*$BI$1</f>
        <v>2.6</v>
      </c>
      <c r="BQ769" s="67">
        <f>(CL769-Driver!$F$209)/(Driver!$G$209-Driver!$F$209)*$BI$1</f>
        <v>5.3125</v>
      </c>
      <c r="BR769" s="28" t="s">
        <v>155</v>
      </c>
      <c r="BS769" s="8" t="s">
        <v>208</v>
      </c>
      <c r="BT769" s="9" t="s">
        <v>628</v>
      </c>
      <c r="BU769" s="10">
        <v>185</v>
      </c>
      <c r="BV769" s="9" t="s">
        <v>158</v>
      </c>
      <c r="BW769" s="10">
        <v>185</v>
      </c>
      <c r="BX769" s="10">
        <v>185.5</v>
      </c>
      <c r="BY769" s="10">
        <v>140</v>
      </c>
      <c r="BZ769" s="10">
        <v>161</v>
      </c>
      <c r="CA769" s="10">
        <v>132</v>
      </c>
      <c r="CB769" s="10">
        <v>99</v>
      </c>
      <c r="CC769" s="10">
        <v>121</v>
      </c>
      <c r="CD769" s="10">
        <v>23.6</v>
      </c>
      <c r="CE769" s="10">
        <v>1873</v>
      </c>
      <c r="CF769" s="10">
        <v>1.08</v>
      </c>
      <c r="CG769" s="10">
        <v>2021</v>
      </c>
      <c r="CH769" s="10">
        <v>154</v>
      </c>
      <c r="CI769" s="10">
        <v>73</v>
      </c>
      <c r="CJ769" s="10">
        <v>42</v>
      </c>
      <c r="CK769" s="10">
        <v>218</v>
      </c>
      <c r="CL769" s="10">
        <v>34</v>
      </c>
      <c r="CM769" s="10">
        <v>234</v>
      </c>
      <c r="CN769" s="10">
        <v>0.8</v>
      </c>
      <c r="CO769" s="10">
        <v>113</v>
      </c>
      <c r="CP769" s="10">
        <v>135</v>
      </c>
      <c r="CQ769" s="10">
        <v>106</v>
      </c>
      <c r="CR769" s="10">
        <v>8</v>
      </c>
      <c r="CS769" s="10">
        <v>3.9</v>
      </c>
      <c r="CT769" s="9" t="s">
        <v>188</v>
      </c>
      <c r="CU769" s="9" t="s">
        <v>184</v>
      </c>
      <c r="CV769" s="9" t="s">
        <v>185</v>
      </c>
      <c r="CW769" s="10"/>
      <c r="CX769" t="str">
        <f>INDEX('Data_Price '!AG$2:AG$1266,MATCH(Data!$DN769,'Data_Price '!$AT$2:$AT$1266,0))</f>
        <v>Line 2022 Blend Skis</v>
      </c>
      <c r="CY769" t="str">
        <f>INDEX('Data_Price '!AH$2:AH$1266,MATCH(Data!$DN769,'Data_Price '!$AT$2:$AT$1266,0))</f>
        <v>Teton Wasatch Ski Co.</v>
      </c>
      <c r="CZ769">
        <f>INDEX('Data_Price '!AI$2:AI$1266,MATCH(Data!$DN769,'Data_Price '!$AT$2:$AT$1266,0))</f>
        <v>479</v>
      </c>
      <c r="DA769" t="str">
        <f>INDEX('Data_Price '!AJ$2:AJ$1266,MATCH(Data!$DN769,'Data_Price '!$AT$2:$AT$1266,0))</f>
        <v>https://tinyurl.com/y9fbzgpg</v>
      </c>
      <c r="DB769" t="str">
        <f>INDEX('Data_Price '!AK$2:AK$1266,MATCH(Data!$DN769,'Data_Price '!$AT$2:$AT$1266,0))</f>
        <v>Line 2022 Blend Skis</v>
      </c>
      <c r="DC769" t="str">
        <f>INDEX('Data_Price '!AL$2:AL$1266,MATCH(Data!$DN769,'Data_Price '!$AT$2:$AT$1266,0))</f>
        <v>The-House.com</v>
      </c>
      <c r="DD769">
        <f>INDEX('Data_Price '!AM$2:AM$1266,MATCH(Data!$DN769,'Data_Price '!$AT$2:$AT$1266,0))</f>
        <v>479.95</v>
      </c>
      <c r="DE769" t="str">
        <f>INDEX('Data_Price '!AN$2:AN$1266,MATCH(Data!$DN769,'Data_Price '!$AT$2:$AT$1266,0))</f>
        <v>https://tinyurl.com/y7463c77</v>
      </c>
      <c r="DF769" t="str">
        <f>INDEX('Data_Price '!AO$2:AO$1266,MATCH(Data!$DN769,'Data_Price '!$AT$2:$AT$1266,0))</f>
        <v>'22 Line Blend Skis 185cm</v>
      </c>
      <c r="DG769" t="str">
        <f>INDEX('Data_Price '!AP$2:AP$1266,MATCH(Data!$DN769,'Data_Price '!$AT$2:$AT$1266,0))</f>
        <v>Al's Ski Equipment Barn</v>
      </c>
      <c r="DH769">
        <f>INDEX('Data_Price '!AQ$2:AQ$1266,MATCH(Data!$DN769,'Data_Price '!$AT$2:$AT$1266,0))</f>
        <v>549.95000000000005</v>
      </c>
      <c r="DI769" t="str">
        <f>INDEX('Data_Price '!AR$2:AR$1266,MATCH(Data!$DN769,'Data_Price '!$AT$2:$AT$1266,0))</f>
        <v>https://tinyurl.com/y83p9xv2</v>
      </c>
      <c r="DJ769" s="89" t="str">
        <f t="shared" si="439"/>
        <v>https://tinyurl.com/y9fbzgpg</v>
      </c>
      <c r="DK769" s="89" t="str">
        <f t="shared" si="440"/>
        <v>https://tinyurl.com/y7463c77</v>
      </c>
      <c r="DL769" s="89" t="str">
        <f t="shared" si="441"/>
        <v>https://tinyurl.com/y83p9xv2</v>
      </c>
      <c r="DM769" s="219" t="str">
        <f t="shared" si="442"/>
        <v>Blend</v>
      </c>
      <c r="DN769" s="89" t="str">
        <f t="shared" si="443"/>
        <v xml:space="preserve"> LineBlend185 Unisex</v>
      </c>
      <c r="DO769" s="221" t="s">
        <v>629</v>
      </c>
    </row>
    <row r="770" spans="2:119" ht="15.6" customHeight="1">
      <c r="B770" s="219" t="b">
        <f t="array" ref="B770">IF(OR(ISERROR(K770:P770)),FALSE,TRUE)</f>
        <v>1</v>
      </c>
      <c r="C770" s="43" t="b">
        <f>OR(BR770=Driver!$G$50,Data!BR1171=Driver!$H$50)</f>
        <v>1</v>
      </c>
      <c r="D770" s="43" t="b">
        <f>OR(BV770=Driver!$G$51,BV770=Driver!$H$51)</f>
        <v>1</v>
      </c>
      <c r="E770" s="43" t="b">
        <f>AND(BX770&gt;Driver!$F$54,BX770&lt;Driver!$G$54)</f>
        <v>1</v>
      </c>
      <c r="F770" s="43" t="b">
        <f>CL770&gt;Driver!$F$56</f>
        <v>1</v>
      </c>
      <c r="G770" s="43" t="b">
        <f>AND(CB770&gt;Driver!$F$55,CB770&lt;Driver!$G$55)</f>
        <v>0</v>
      </c>
      <c r="H770" s="43" t="b">
        <f t="shared" si="407"/>
        <v>0</v>
      </c>
      <c r="I770" s="43">
        <f t="shared" si="408"/>
        <v>0</v>
      </c>
      <c r="J770" s="43" t="b">
        <f t="array" ref="J770">NOT(OR(($H$9:$H$1273=TRUE)*($I$9:$I$1273&gt;0)*($BT$9:$BT$1273=BT770)*($K$9:$K$1273&gt;K770)))</f>
        <v>1</v>
      </c>
      <c r="K770" s="72">
        <f t="shared" si="409"/>
        <v>0.85873853450196991</v>
      </c>
      <c r="L770" s="72">
        <f t="shared" si="410"/>
        <v>0.90467189681672755</v>
      </c>
      <c r="M770" s="72">
        <f t="shared" si="411"/>
        <v>0.81280517218721227</v>
      </c>
      <c r="N770" s="72">
        <f t="shared" si="412"/>
        <v>0.87763160738600743</v>
      </c>
      <c r="O770" s="72">
        <f t="shared" si="413"/>
        <v>0.64735625963480037</v>
      </c>
      <c r="P770" s="72">
        <f t="shared" si="414"/>
        <v>0.913427649540829</v>
      </c>
      <c r="Q770" s="72"/>
      <c r="R770" s="72"/>
      <c r="S770" s="72">
        <f t="shared" si="415"/>
        <v>0.40645107626830757</v>
      </c>
      <c r="T770" s="72">
        <f t="shared" si="416"/>
        <v>0.47677162871765499</v>
      </c>
      <c r="U770" s="72">
        <f t="shared" si="417"/>
        <v>0.52419101852820404</v>
      </c>
      <c r="V770" s="72">
        <f t="shared" si="418"/>
        <v>0.77342780025344871</v>
      </c>
      <c r="W770" s="72">
        <f t="shared" si="419"/>
        <v>0.84885266370699219</v>
      </c>
      <c r="X770" s="72">
        <f t="shared" si="420"/>
        <v>9.5328103183272506E-2</v>
      </c>
      <c r="Y770" s="72">
        <f t="shared" si="421"/>
        <v>0.18719482781278773</v>
      </c>
      <c r="Z770" s="72">
        <f t="shared" si="422"/>
        <v>0.12236839261399253</v>
      </c>
      <c r="AA770" s="72">
        <f t="shared" si="423"/>
        <v>0.35264374036519963</v>
      </c>
      <c r="AB770" s="72">
        <f t="shared" si="424"/>
        <v>8.6572350459171027E-2</v>
      </c>
      <c r="AC770" s="72"/>
      <c r="AD770" s="72"/>
      <c r="AE770" s="72">
        <f t="shared" si="425"/>
        <v>0.59354892373169243</v>
      </c>
      <c r="AF770" s="72">
        <f t="shared" si="426"/>
        <v>0.52322837128234501</v>
      </c>
      <c r="AG770" s="72">
        <f t="shared" si="427"/>
        <v>0.47580898147179596</v>
      </c>
      <c r="AH770" s="72">
        <f t="shared" si="428"/>
        <v>0.22657219974655129</v>
      </c>
      <c r="AI770" s="72">
        <f t="shared" si="429"/>
        <v>0.15114733629300781</v>
      </c>
      <c r="AJ770" s="72">
        <f>(AV770-Driver!$K$179)/(Driver!$L$179-Driver!$K$179)</f>
        <v>0.15889130609942792</v>
      </c>
      <c r="AK770" s="72">
        <f>(AW770-Driver!$K$180)/(Driver!$L$180-Driver!$K$180)</f>
        <v>0.16971088972812864</v>
      </c>
      <c r="AL770" s="72">
        <f>(AX770-Driver!$K$181)/(Driver!$L$181-Driver!$K$181)</f>
        <v>0.22405615632707271</v>
      </c>
      <c r="AM770" s="72">
        <f>(AY770-Driver!$K$182)/(Driver!$L$182-Driver!$K$182)</f>
        <v>9.4741280731846719E-2</v>
      </c>
      <c r="AN770" s="72">
        <f>(AZ770-Driver!$K$183)/(Driver!$L$183-Driver!$K$183)</f>
        <v>0.1676470588235294</v>
      </c>
      <c r="AO770" s="72"/>
      <c r="AP770" s="72"/>
      <c r="AQ770" s="72">
        <f>(BC770-Driver!$K$188)/(Driver!$L$188-Driver!$K$188)</f>
        <v>2.645107626830755E-2</v>
      </c>
      <c r="AR770" s="72">
        <f>MIN((BD770-Driver!$K$189)/(Driver!$L$189-Driver!$K$189),100%)</f>
        <v>2.6771628717655049E-2</v>
      </c>
      <c r="AS770" s="72">
        <f>(BE770-Driver!$K$190)/(Driver!$L$190-Driver!$K$190)</f>
        <v>3.4191018528204074E-2</v>
      </c>
      <c r="AT770" s="72">
        <f>(BF770-Driver!$K$191)/(Driver!$L$191-Driver!$K$191)</f>
        <v>0.28342780025344871</v>
      </c>
      <c r="AU770" s="72">
        <f>(BG770-Driver!$K$192)/(Driver!$L$192-Driver!$K$192)</f>
        <v>9.8852663706992194E-2</v>
      </c>
      <c r="AV770" s="70">
        <f t="shared" si="430"/>
        <v>3.3441866775200109</v>
      </c>
      <c r="AW770" s="70">
        <f t="shared" si="431"/>
        <v>18.41172261692563</v>
      </c>
      <c r="AX770" s="70">
        <f t="shared" si="432"/>
        <v>3.0165054069436543</v>
      </c>
      <c r="AY770" s="70">
        <f>IFERROR(Driver!$K$19/Data!BH770/Data!BI770*Data!BK770*Data!BL770,"")</f>
        <v>0.11599159568562609</v>
      </c>
      <c r="AZ770" s="70">
        <f t="shared" si="433"/>
        <v>15.279225614296351</v>
      </c>
      <c r="BA770" s="70"/>
      <c r="BB770" s="70"/>
      <c r="BC770" s="70">
        <f t="shared" si="434"/>
        <v>13.720357145270071</v>
      </c>
      <c r="BD770" s="70">
        <f t="shared" si="435"/>
        <v>4.0900645890910772</v>
      </c>
      <c r="BE770" s="70">
        <f t="shared" si="436"/>
        <v>3.4363307979855512E-2</v>
      </c>
      <c r="BF770" s="70">
        <f t="shared" si="437"/>
        <v>32.011178845636586</v>
      </c>
      <c r="BG770" s="70">
        <f t="shared" si="438"/>
        <v>0.37431924597669247</v>
      </c>
      <c r="BH770" s="67">
        <f>MAX((CE770-Driver!$F$200)/(Driver!$G$200-Driver!$F$200)*$BI$1,1)</f>
        <v>3.0165054069436543</v>
      </c>
      <c r="BI770" s="67">
        <f>MAX($BI$1*(BY770-Driver!$F$201)/(Driver!$G$201-Driver!$F$201),1)</f>
        <v>4.556962025316456</v>
      </c>
      <c r="BJ770" s="67">
        <f>(CB770-Driver!$F$206)/(Driver!$G$206-Driver!$F$206)*$BI$1</f>
        <v>4.6031746031746028</v>
      </c>
      <c r="BK770" s="67">
        <f>(CD770-Driver!$F$203)/(Driver!$G$203-Driver!$F$203)*$BI$1</f>
        <v>1.9266055045871557</v>
      </c>
      <c r="BL770" s="67">
        <f>MAX((CR770-Driver!$F$202)/(Driver!$G$202-Driver!$F$202)*$BI$1,1)</f>
        <v>4.1379310344827589</v>
      </c>
      <c r="BM770" s="67">
        <f>MAX((CH770-Driver!$F$204)/(Driver!$G$204-Driver!$F$204)*$BI$1,1)</f>
        <v>2.9059829059829063</v>
      </c>
      <c r="BN770" s="67">
        <f>(CI770-Driver!$F$205)/(Driver!$G$205-Driver!$F$205)*$BI$1</f>
        <v>3.3529411764705879</v>
      </c>
      <c r="BO770" s="67">
        <f>(CK770-Driver!$F$207)/(Driver!$G$207-Driver!$F$207)*$BI$1</f>
        <v>3.5780765253360909</v>
      </c>
      <c r="BP770" s="67">
        <f>(CM770-Driver!$F$208)/(Driver!$G$208-Driver!$F$208)*$BI$1</f>
        <v>3.7444444444444445</v>
      </c>
      <c r="BQ770" s="67">
        <f>(CL770-Driver!$F$209)/(Driver!$G$209-Driver!$F$209)*$BI$1</f>
        <v>3.28125</v>
      </c>
      <c r="BR770" s="28" t="s">
        <v>155</v>
      </c>
      <c r="BS770" s="8" t="s">
        <v>229</v>
      </c>
      <c r="BT770" s="9" t="s">
        <v>300</v>
      </c>
      <c r="BU770" s="10">
        <v>158</v>
      </c>
      <c r="BV770" s="9" t="s">
        <v>158</v>
      </c>
      <c r="BW770" s="10">
        <v>158</v>
      </c>
      <c r="BX770" s="10">
        <v>159.4</v>
      </c>
      <c r="BY770" s="10">
        <v>80</v>
      </c>
      <c r="BZ770" s="10">
        <v>135</v>
      </c>
      <c r="CA770" s="10">
        <v>133</v>
      </c>
      <c r="CB770" s="10">
        <v>93</v>
      </c>
      <c r="CC770" s="10">
        <v>115</v>
      </c>
      <c r="CD770" s="10">
        <v>13.6</v>
      </c>
      <c r="CE770" s="10">
        <v>1430</v>
      </c>
      <c r="CF770" s="10">
        <v>1.18</v>
      </c>
      <c r="CG770" s="10">
        <v>1692</v>
      </c>
      <c r="CH770" s="10">
        <v>169</v>
      </c>
      <c r="CI770" s="10">
        <v>90</v>
      </c>
      <c r="CJ770" s="10">
        <v>48</v>
      </c>
      <c r="CK770" s="10">
        <v>456</v>
      </c>
      <c r="CL770" s="10">
        <v>21</v>
      </c>
      <c r="CM770" s="10">
        <v>337</v>
      </c>
      <c r="CN770" s="10">
        <v>0.435</v>
      </c>
      <c r="CO770" s="10">
        <v>141</v>
      </c>
      <c r="CP770" s="10">
        <v>104</v>
      </c>
      <c r="CQ770" s="10">
        <v>315</v>
      </c>
      <c r="CR770" s="10">
        <v>1</v>
      </c>
      <c r="CS770" s="10">
        <v>12.3</v>
      </c>
      <c r="CT770" s="9" t="s">
        <v>188</v>
      </c>
      <c r="CU770" s="9" t="s">
        <v>185</v>
      </c>
      <c r="CV770" s="10"/>
      <c r="CW770" s="10"/>
      <c r="CX770" t="e">
        <f>INDEX('Data_Price '!AG$2:AG$1266,MATCH(Data!$DN770,'Data_Price '!$AT$2:$AT$1266,0))</f>
        <v>#N/A</v>
      </c>
      <c r="CY770" t="e">
        <f>INDEX('Data_Price '!AH$2:AH$1266,MATCH(Data!$DN770,'Data_Price '!$AT$2:$AT$1266,0))</f>
        <v>#N/A</v>
      </c>
      <c r="CZ770" t="e">
        <f>INDEX('Data_Price '!AI$2:AI$1266,MATCH(Data!$DN770,'Data_Price '!$AT$2:$AT$1266,0))</f>
        <v>#N/A</v>
      </c>
      <c r="DA770" t="e">
        <f>INDEX('Data_Price '!AJ$2:AJ$1266,MATCH(Data!$DN770,'Data_Price '!$AT$2:$AT$1266,0))</f>
        <v>#N/A</v>
      </c>
      <c r="DB770" t="e">
        <f>INDEX('Data_Price '!AK$2:AK$1266,MATCH(Data!$DN770,'Data_Price '!$AT$2:$AT$1266,0))</f>
        <v>#N/A</v>
      </c>
      <c r="DC770" t="e">
        <f>INDEX('Data_Price '!AL$2:AL$1266,MATCH(Data!$DN770,'Data_Price '!$AT$2:$AT$1266,0))</f>
        <v>#N/A</v>
      </c>
      <c r="DD770" t="e">
        <f>INDEX('Data_Price '!AM$2:AM$1266,MATCH(Data!$DN770,'Data_Price '!$AT$2:$AT$1266,0))</f>
        <v>#N/A</v>
      </c>
      <c r="DE770" t="e">
        <f>INDEX('Data_Price '!AN$2:AN$1266,MATCH(Data!$DN770,'Data_Price '!$AT$2:$AT$1266,0))</f>
        <v>#N/A</v>
      </c>
      <c r="DF770" t="e">
        <f>INDEX('Data_Price '!AO$2:AO$1266,MATCH(Data!$DN770,'Data_Price '!$AT$2:$AT$1266,0))</f>
        <v>#N/A</v>
      </c>
      <c r="DG770" t="e">
        <f>INDEX('Data_Price '!AP$2:AP$1266,MATCH(Data!$DN770,'Data_Price '!$AT$2:$AT$1266,0))</f>
        <v>#N/A</v>
      </c>
      <c r="DH770" t="e">
        <f>INDEX('Data_Price '!AQ$2:AQ$1266,MATCH(Data!$DN770,'Data_Price '!$AT$2:$AT$1266,0))</f>
        <v>#N/A</v>
      </c>
      <c r="DI770" t="e">
        <f>INDEX('Data_Price '!AR$2:AR$1266,MATCH(Data!$DN770,'Data_Price '!$AT$2:$AT$1266,0))</f>
        <v>#N/A</v>
      </c>
      <c r="DJ770" s="89" t="e">
        <f t="shared" si="439"/>
        <v>#N/A</v>
      </c>
      <c r="DK770" s="89" t="e">
        <f t="shared" si="440"/>
        <v>#N/A</v>
      </c>
      <c r="DL770" s="89" t="e">
        <f t="shared" si="441"/>
        <v>#N/A</v>
      </c>
      <c r="DM770" s="219" t="str">
        <f t="shared" si="442"/>
        <v>Blaze 94</v>
      </c>
      <c r="DN770" s="89" t="str">
        <f t="shared" si="443"/>
        <v xml:space="preserve"> VölklBlaze 94158 Unisex</v>
      </c>
      <c r="DO770" s="221" t="s">
        <v>301</v>
      </c>
    </row>
    <row r="771" spans="2:119" ht="15.6" customHeight="1">
      <c r="B771" s="219" t="b">
        <f t="array" ref="B771">IF(OR(ISERROR(K771:P771)),FALSE,TRUE)</f>
        <v>1</v>
      </c>
      <c r="C771" s="43" t="b">
        <f>OR(BR771=Driver!$G$50,Data!BR442=Driver!$H$50)</f>
        <v>1</v>
      </c>
      <c r="D771" s="43" t="b">
        <f>OR(BV771=Driver!$G$51,BV771=Driver!$H$51)</f>
        <v>0</v>
      </c>
      <c r="E771" s="43" t="b">
        <f>AND(BX771&gt;Driver!$F$54,BX771&lt;Driver!$G$54)</f>
        <v>1</v>
      </c>
      <c r="F771" s="43" t="b">
        <f>CL771&gt;Driver!$F$56</f>
        <v>1</v>
      </c>
      <c r="G771" s="43" t="b">
        <f>AND(CB771&gt;Driver!$F$55,CB771&lt;Driver!$G$55)</f>
        <v>1</v>
      </c>
      <c r="H771" s="43" t="b">
        <f t="shared" si="407"/>
        <v>0</v>
      </c>
      <c r="I771" s="43">
        <f t="shared" si="408"/>
        <v>0</v>
      </c>
      <c r="J771" s="43" t="b">
        <f t="array" ref="J771">NOT(OR(($H$9:$H$1273=TRUE)*($I$9:$I$1273&gt;0)*($BT$9:$BT$1273=BT771)*($K$9:$K$1273&gt;K771)))</f>
        <v>1</v>
      </c>
      <c r="K771" s="72">
        <f t="shared" si="409"/>
        <v>0.825442754765213</v>
      </c>
      <c r="L771" s="72">
        <f t="shared" si="410"/>
        <v>0.86204841764502493</v>
      </c>
      <c r="M771" s="72">
        <f t="shared" si="411"/>
        <v>0.78883709188540119</v>
      </c>
      <c r="N771" s="72">
        <f t="shared" si="412"/>
        <v>0.82893749494687519</v>
      </c>
      <c r="O771" s="72">
        <f t="shared" si="413"/>
        <v>0.64738959522078687</v>
      </c>
      <c r="P771" s="72">
        <f t="shared" si="414"/>
        <v>0.89018418548854139</v>
      </c>
      <c r="Q771" s="72"/>
      <c r="R771" s="72"/>
      <c r="S771" s="72">
        <f t="shared" si="415"/>
        <v>0.4059339112398731</v>
      </c>
      <c r="T771" s="72">
        <f t="shared" si="416"/>
        <v>0.45368796292591773</v>
      </c>
      <c r="U771" s="72">
        <f t="shared" si="417"/>
        <v>0.72218751806170933</v>
      </c>
      <c r="V771" s="72">
        <f t="shared" si="418"/>
        <v>0.56133551020681127</v>
      </c>
      <c r="W771" s="72">
        <f t="shared" si="419"/>
        <v>0.85749588138385502</v>
      </c>
      <c r="X771" s="72">
        <f t="shared" si="420"/>
        <v>0.13795158235497504</v>
      </c>
      <c r="Y771" s="72">
        <f t="shared" si="421"/>
        <v>0.21116290811459884</v>
      </c>
      <c r="Z771" s="72">
        <f t="shared" si="422"/>
        <v>0.17106250505312481</v>
      </c>
      <c r="AA771" s="72">
        <f t="shared" si="423"/>
        <v>0.35261040477921313</v>
      </c>
      <c r="AB771" s="72">
        <f t="shared" si="424"/>
        <v>0.10981581451145861</v>
      </c>
      <c r="AC771" s="72"/>
      <c r="AD771" s="72"/>
      <c r="AE771" s="72">
        <f t="shared" si="425"/>
        <v>0.5940660887601269</v>
      </c>
      <c r="AF771" s="72">
        <f t="shared" si="426"/>
        <v>0.54631203707408227</v>
      </c>
      <c r="AG771" s="72">
        <f t="shared" si="427"/>
        <v>0.27781248193829067</v>
      </c>
      <c r="AH771" s="72">
        <f t="shared" si="428"/>
        <v>0.43866448979318873</v>
      </c>
      <c r="AI771" s="72">
        <f t="shared" si="429"/>
        <v>0.14250411861614498</v>
      </c>
      <c r="AJ771" s="72">
        <f>(AV771-Driver!$K$179)/(Driver!$L$179-Driver!$K$179)</f>
        <v>0.11626782692772539</v>
      </c>
      <c r="AK771" s="72">
        <f>(AW771-Driver!$K$180)/(Driver!$L$180-Driver!$K$180)</f>
        <v>0.15247178165456396</v>
      </c>
      <c r="AL771" s="72">
        <f>(AX771-Driver!$K$181)/(Driver!$L$181-Driver!$K$181)</f>
        <v>0.27275026876620501</v>
      </c>
      <c r="AM771" s="72">
        <f>(AY771-Driver!$K$182)/(Driver!$L$182-Driver!$K$182)</f>
        <v>9.4774616317833224E-2</v>
      </c>
      <c r="AN771" s="72">
        <f>(AZ771-Driver!$K$183)/(Driver!$L$183-Driver!$K$183)</f>
        <v>0.14440359477124182</v>
      </c>
      <c r="AO771" s="72"/>
      <c r="AP771" s="72"/>
      <c r="AQ771" s="72">
        <f>(BC771-Driver!$K$188)/(Driver!$L$188-Driver!$K$188)</f>
        <v>2.5933911239873104E-2</v>
      </c>
      <c r="AR771" s="72">
        <f>MIN((BD771-Driver!$K$189)/(Driver!$L$189-Driver!$K$189),100%)</f>
        <v>3.6879629259177395E-3</v>
      </c>
      <c r="AS771" s="72">
        <f>(BE771-Driver!$K$190)/(Driver!$L$190-Driver!$K$190)</f>
        <v>0.23218751806170937</v>
      </c>
      <c r="AT771" s="72">
        <f>(BF771-Driver!$K$191)/(Driver!$L$191-Driver!$K$191)</f>
        <v>7.1335510206811281E-2</v>
      </c>
      <c r="AU771" s="72">
        <f>(BG771-Driver!$K$192)/(Driver!$L$192-Driver!$K$192)</f>
        <v>0.10749588138385502</v>
      </c>
      <c r="AV771" s="70">
        <f t="shared" si="430"/>
        <v>2.447089947089947</v>
      </c>
      <c r="AW771" s="70">
        <f t="shared" si="431"/>
        <v>16.731618781119796</v>
      </c>
      <c r="AX771" s="70">
        <f t="shared" si="432"/>
        <v>3.4547524188958452</v>
      </c>
      <c r="AY771" s="70">
        <f>IFERROR(Driver!$K$19/Data!BH771/Data!BI771*Data!BK771*Data!BL771,"")</f>
        <v>0.11603240838925244</v>
      </c>
      <c r="AZ771" s="70">
        <f t="shared" si="433"/>
        <v>13.160833953834699</v>
      </c>
      <c r="BA771" s="70"/>
      <c r="BB771" s="70"/>
      <c r="BC771" s="70">
        <f t="shared" si="434"/>
        <v>13.452100049748175</v>
      </c>
      <c r="BD771" s="70">
        <f t="shared" si="435"/>
        <v>2.0472010683578197</v>
      </c>
      <c r="BE771" s="70">
        <f t="shared" si="436"/>
        <v>0.23232448716638954</v>
      </c>
      <c r="BF771" s="70">
        <f t="shared" si="437"/>
        <v>8.0568447175364337</v>
      </c>
      <c r="BG771" s="70">
        <f t="shared" si="438"/>
        <v>0.40704798187808899</v>
      </c>
      <c r="BH771" s="67">
        <f>MAX((CE771-Driver!$F$200)/(Driver!$G$200-Driver!$F$200)*$BI$1,1)</f>
        <v>3.4547524188958452</v>
      </c>
      <c r="BI771" s="67">
        <f>MAX($BI$1*(BY771-Driver!$F$201)/(Driver!$G$201-Driver!$F$201),1)</f>
        <v>6.3924050632911396</v>
      </c>
      <c r="BJ771" s="67">
        <f>(CB771-Driver!$F$206)/(Driver!$G$206-Driver!$F$206)*$BI$1</f>
        <v>5.8730158730158735</v>
      </c>
      <c r="BK771" s="67">
        <f>(CD771-Driver!$F$203)/(Driver!$G$203-Driver!$F$203)*$BI$1</f>
        <v>2.4770642201834865</v>
      </c>
      <c r="BL771" s="67">
        <f>MAX((CR771-Driver!$F$202)/(Driver!$G$202-Driver!$F$202)*$BI$1,1)</f>
        <v>5.1724137931034484</v>
      </c>
      <c r="BM771" s="67">
        <f>MAX((CH771-Driver!$F$204)/(Driver!$G$204-Driver!$F$204)*$BI$1,1)</f>
        <v>1.6666666666666665</v>
      </c>
      <c r="BN771" s="67">
        <f>(CI771-Driver!$F$205)/(Driver!$G$205-Driver!$F$205)*$BI$1</f>
        <v>2.0588235294117645</v>
      </c>
      <c r="BO771" s="67">
        <f>(CK771-Driver!$F$207)/(Driver!$G$207-Driver!$F$207)*$BI$1</f>
        <v>1.923474663908997</v>
      </c>
      <c r="BP771" s="67">
        <f>(CM771-Driver!$F$208)/(Driver!$G$208-Driver!$F$208)*$BI$1</f>
        <v>1.7666666666666666</v>
      </c>
      <c r="BQ771" s="67">
        <f>(CL771-Driver!$F$209)/(Driver!$G$209-Driver!$F$209)*$BI$1</f>
        <v>2.34375</v>
      </c>
      <c r="BR771" s="28" t="s">
        <v>155</v>
      </c>
      <c r="BS771" s="8" t="s">
        <v>164</v>
      </c>
      <c r="BT771" s="9" t="s">
        <v>366</v>
      </c>
      <c r="BU771" s="10">
        <v>154</v>
      </c>
      <c r="BV771" s="9" t="s">
        <v>163</v>
      </c>
      <c r="BW771" s="10">
        <v>154</v>
      </c>
      <c r="BX771" s="10">
        <v>154.80000000000001</v>
      </c>
      <c r="BY771" s="10">
        <v>109</v>
      </c>
      <c r="BZ771" s="10">
        <v>123</v>
      </c>
      <c r="CA771" s="10">
        <v>137</v>
      </c>
      <c r="CB771" s="10">
        <v>101</v>
      </c>
      <c r="CC771" s="10">
        <v>115</v>
      </c>
      <c r="CD771" s="10">
        <v>14.8</v>
      </c>
      <c r="CE771" s="10">
        <v>1507</v>
      </c>
      <c r="CF771" s="10">
        <v>1.1499999999999999</v>
      </c>
      <c r="CG771" s="10">
        <v>1733</v>
      </c>
      <c r="CH771" s="10">
        <v>140</v>
      </c>
      <c r="CI771" s="10">
        <v>68</v>
      </c>
      <c r="CJ771" s="10">
        <v>49</v>
      </c>
      <c r="CK771" s="10">
        <v>296</v>
      </c>
      <c r="CL771" s="10">
        <v>15</v>
      </c>
      <c r="CM771" s="10">
        <v>159</v>
      </c>
      <c r="CN771" s="10">
        <v>0.29799999999999999</v>
      </c>
      <c r="CO771" s="10">
        <v>166</v>
      </c>
      <c r="CP771" s="10">
        <v>156</v>
      </c>
      <c r="CQ771" s="10">
        <v>130</v>
      </c>
      <c r="CR771" s="10">
        <v>4</v>
      </c>
      <c r="CS771" s="10">
        <v>9.1</v>
      </c>
      <c r="CT771" s="9" t="s">
        <v>188</v>
      </c>
      <c r="CU771" s="9" t="s">
        <v>178</v>
      </c>
      <c r="CV771" s="9" t="s">
        <v>185</v>
      </c>
      <c r="CW771" s="10"/>
      <c r="CX771" t="str">
        <f>INDEX('Data_Price '!AG$2:AG$1266,MATCH(Data!$DN771,'Data_Price '!$AT$2:$AT$1266,0))</f>
        <v>Elan Ripstick 102 W Women's All Mountain Powder Skis 2021/22 154 cm</v>
      </c>
      <c r="CY771" t="str">
        <f>INDEX('Data_Price '!AH$2:AH$1266,MATCH(Data!$DN771,'Data_Price '!$AT$2:$AT$1266,0))</f>
        <v>Utah SKI Gear</v>
      </c>
      <c r="CZ771">
        <f>INDEX('Data_Price '!AI$2:AI$1266,MATCH(Data!$DN771,'Data_Price '!$AT$2:$AT$1266,0))</f>
        <v>519.95000000000005</v>
      </c>
      <c r="DA771" t="str">
        <f>INDEX('Data_Price '!AJ$2:AJ$1266,MATCH(Data!$DN771,'Data_Price '!$AT$2:$AT$1266,0))</f>
        <v>https://tinyurl.com/yc45uzer</v>
      </c>
      <c r="DB771" t="str">
        <f>INDEX('Data_Price '!AK$2:AK$1266,MATCH(Data!$DN771,'Data_Price '!$AT$2:$AT$1266,0))</f>
        <v>Elan Ripstick 102 Skis - Women's 2021</v>
      </c>
      <c r="DC771" t="str">
        <f>INDEX('Data_Price '!AL$2:AL$1266,MATCH(Data!$DN771,'Data_Price '!$AT$2:$AT$1266,0))</f>
        <v>! OutdoorXL.com</v>
      </c>
      <c r="DD771">
        <f>INDEX('Data_Price '!AM$2:AM$1266,MATCH(Data!$DN771,'Data_Price '!$AT$2:$AT$1266,0))</f>
        <v>449.95</v>
      </c>
      <c r="DE771" t="str">
        <f>INDEX('Data_Price '!AN$2:AN$1266,MATCH(Data!$DN771,'Data_Price '!$AT$2:$AT$1266,0))</f>
        <v>https://tinyurl.com/y9pjazr2</v>
      </c>
      <c r="DF771" t="str">
        <f>INDEX('Data_Price '!AO$2:AO$1266,MATCH(Data!$DN771,'Data_Price '!$AT$2:$AT$1266,0))</f>
        <v>Elan Ripstick 94 W Women's Skis 2022</v>
      </c>
      <c r="DG771" t="str">
        <f>INDEX('Data_Price '!AP$2:AP$1266,MATCH(Data!$DN771,'Data_Price '!$AT$2:$AT$1266,0))</f>
        <v>PRFO Sports</v>
      </c>
      <c r="DH771">
        <f>INDEX('Data_Price '!AQ$2:AQ$1266,MATCH(Data!$DN771,'Data_Price '!$AT$2:$AT$1266,0))</f>
        <v>561.01</v>
      </c>
      <c r="DI771" t="str">
        <f>INDEX('Data_Price '!AR$2:AR$1266,MATCH(Data!$DN771,'Data_Price '!$AT$2:$AT$1266,0))</f>
        <v>https://tinyurl.com/yd8tse2g</v>
      </c>
      <c r="DJ771" s="89" t="str">
        <f t="shared" si="439"/>
        <v>https://tinyurl.com/yc45uzer</v>
      </c>
      <c r="DK771" s="89" t="str">
        <f t="shared" si="440"/>
        <v>https://tinyurl.com/y9pjazr2</v>
      </c>
      <c r="DL771" s="89" t="str">
        <f t="shared" si="441"/>
        <v>https://tinyurl.com/yd8tse2g</v>
      </c>
      <c r="DM771" s="219" t="str">
        <f t="shared" si="442"/>
        <v>Ripstick 102 W</v>
      </c>
      <c r="DN771" s="89" t="str">
        <f t="shared" si="443"/>
        <v xml:space="preserve"> ElanRipstick 102 W154 Women's</v>
      </c>
      <c r="DO771" s="221"/>
    </row>
    <row r="772" spans="2:119" ht="15.6" customHeight="1">
      <c r="B772" s="219" t="b">
        <f t="array" ref="B772">IF(OR(ISERROR(K772:P772)),FALSE,TRUE)</f>
        <v>1</v>
      </c>
      <c r="C772" s="43" t="b">
        <f>OR(BR772=Driver!$G$50,Data!BR1034=Driver!$H$50)</f>
        <v>1</v>
      </c>
      <c r="D772" s="43" t="b">
        <f>OR(BV772=Driver!$G$51,BV772=Driver!$H$51)</f>
        <v>1</v>
      </c>
      <c r="E772" s="43" t="b">
        <f>AND(BX772&gt;Driver!$F$54,BX772&lt;Driver!$G$54)</f>
        <v>1</v>
      </c>
      <c r="F772" s="43" t="b">
        <f>CL772&gt;Driver!$F$56</f>
        <v>1</v>
      </c>
      <c r="G772" s="43" t="b">
        <f>AND(CB772&gt;Driver!$F$55,CB772&lt;Driver!$G$55)</f>
        <v>0</v>
      </c>
      <c r="H772" s="43" t="b">
        <f t="shared" si="407"/>
        <v>0</v>
      </c>
      <c r="I772" s="43">
        <f t="shared" si="408"/>
        <v>0</v>
      </c>
      <c r="J772" s="43" t="b">
        <f t="array" ref="J772">NOT(OR(($H$9:$H$1273=TRUE)*($I$9:$I$1273&gt;0)*($BT$9:$BT$1273=BT772)*($K$9:$K$1273&gt;K772)))</f>
        <v>1</v>
      </c>
      <c r="K772" s="72">
        <f t="shared" si="409"/>
        <v>0.73822198274213502</v>
      </c>
      <c r="L772" s="72">
        <f t="shared" si="410"/>
        <v>0.76946925399987154</v>
      </c>
      <c r="M772" s="72">
        <f t="shared" si="411"/>
        <v>0.7069747114843985</v>
      </c>
      <c r="N772" s="72">
        <f t="shared" si="412"/>
        <v>0.57787823990355647</v>
      </c>
      <c r="O772" s="72">
        <f t="shared" si="413"/>
        <v>0.58000295585517359</v>
      </c>
      <c r="P772" s="72">
        <f t="shared" si="414"/>
        <v>0.96304293869446522</v>
      </c>
      <c r="Q772" s="72"/>
      <c r="R772" s="72"/>
      <c r="S772" s="72">
        <f t="shared" si="415"/>
        <v>0.45481961148049288</v>
      </c>
      <c r="T772" s="72">
        <f t="shared" si="416"/>
        <v>0.55000000000000004</v>
      </c>
      <c r="U772" s="72">
        <f t="shared" si="417"/>
        <v>0.51</v>
      </c>
      <c r="V772" s="72">
        <f t="shared" si="418"/>
        <v>0.49096730039105707</v>
      </c>
      <c r="W772" s="72">
        <f t="shared" si="419"/>
        <v>0.75689690218716965</v>
      </c>
      <c r="X772" s="72">
        <f t="shared" si="420"/>
        <v>0.23053074600012852</v>
      </c>
      <c r="Y772" s="72">
        <f t="shared" si="421"/>
        <v>0.29302528851560156</v>
      </c>
      <c r="Z772" s="72">
        <f t="shared" si="422"/>
        <v>0.42212176009644353</v>
      </c>
      <c r="AA772" s="72">
        <f t="shared" si="423"/>
        <v>0.41999704414482641</v>
      </c>
      <c r="AB772" s="72">
        <f t="shared" si="424"/>
        <v>3.6957061305534833E-2</v>
      </c>
      <c r="AC772" s="72"/>
      <c r="AD772" s="72"/>
      <c r="AE772" s="72">
        <f t="shared" si="425"/>
        <v>0.54518038851950712</v>
      </c>
      <c r="AF772" s="72">
        <f t="shared" si="426"/>
        <v>0.44999999999999996</v>
      </c>
      <c r="AG772" s="72">
        <f t="shared" si="427"/>
        <v>0.49</v>
      </c>
      <c r="AH772" s="72">
        <f t="shared" si="428"/>
        <v>0.50903269960894293</v>
      </c>
      <c r="AI772" s="72">
        <f t="shared" si="429"/>
        <v>0.24310309781283032</v>
      </c>
      <c r="AJ772" s="72">
        <f>(AV772-Driver!$K$179)/(Driver!$L$179-Driver!$K$179)</f>
        <v>2.3688663282571912E-2</v>
      </c>
      <c r="AK772" s="72">
        <f>(AW772-Driver!$K$180)/(Driver!$L$180-Driver!$K$180)</f>
        <v>0.31206527810635754</v>
      </c>
      <c r="AL772" s="72">
        <f>(AX772-Driver!$K$181)/(Driver!$L$181-Driver!$K$181)</f>
        <v>0.52380952380952372</v>
      </c>
      <c r="AM772" s="72">
        <f>(AY772-Driver!$K$182)/(Driver!$L$182-Driver!$K$182)</f>
        <v>2.7387976952219967E-2</v>
      </c>
      <c r="AN772" s="72">
        <f>(AZ772-Driver!$K$183)/(Driver!$L$183-Driver!$K$183)</f>
        <v>0.29117647058823526</v>
      </c>
      <c r="AO772" s="72"/>
      <c r="AP772" s="72"/>
      <c r="AQ772" s="72">
        <f>(BC772-Driver!$K$188)/(Driver!$L$188-Driver!$K$188)</f>
        <v>7.4819611480492834E-2</v>
      </c>
      <c r="AR772" s="72">
        <f>MIN((BD772-Driver!$K$189)/(Driver!$L$189-Driver!$K$189),100%)</f>
        <v>1</v>
      </c>
      <c r="AS772" s="72">
        <f>(BE772-Driver!$K$190)/(Driver!$L$190-Driver!$K$190)</f>
        <v>1</v>
      </c>
      <c r="AT772" s="72">
        <f>(BF772-Driver!$K$191)/(Driver!$L$191-Driver!$K$191)</f>
        <v>9.6730039105708107E-4</v>
      </c>
      <c r="AU772" s="72">
        <f>(BG772-Driver!$K$192)/(Driver!$L$192-Driver!$K$192)</f>
        <v>6.8969021871696885E-3</v>
      </c>
      <c r="AV772" s="70">
        <f t="shared" si="430"/>
        <v>0.4985754985754986</v>
      </c>
      <c r="AW772" s="70">
        <f t="shared" si="431"/>
        <v>32.285419152584083</v>
      </c>
      <c r="AX772" s="70">
        <f t="shared" si="432"/>
        <v>5.7142857142857135</v>
      </c>
      <c r="AY772" s="70">
        <f>IFERROR(Driver!$K$19/Data!BH772/Data!BI772*Data!BK772*Data!BL772,"")</f>
        <v>3.3531055573130859E-2</v>
      </c>
      <c r="AZ772" s="70">
        <f t="shared" si="433"/>
        <v>26.53760238272524</v>
      </c>
      <c r="BA772" s="70"/>
      <c r="BB772" s="70"/>
      <c r="BC772" s="70">
        <f t="shared" si="434"/>
        <v>38.809452612432153</v>
      </c>
      <c r="BD772" s="70">
        <f t="shared" si="435"/>
        <v>394.96181978940609</v>
      </c>
      <c r="BE772" s="70">
        <f t="shared" si="436"/>
        <v>1</v>
      </c>
      <c r="BF772" s="70">
        <f t="shared" si="437"/>
        <v>0.10924978350004202</v>
      </c>
      <c r="BG772" s="70">
        <f t="shared" si="438"/>
        <v>2.6116071428571429E-2</v>
      </c>
      <c r="BH772" s="67">
        <f>MAX((CE772-Driver!$F$200)/(Driver!$G$200-Driver!$F$200)*$BI$1,1)</f>
        <v>5.7142857142857135</v>
      </c>
      <c r="BI772" s="67">
        <f>MAX($BI$1*(BY772-Driver!$F$201)/(Driver!$G$201-Driver!$F$201),1)</f>
        <v>8.3544303797468356</v>
      </c>
      <c r="BJ772" s="67">
        <f>(CB772-Driver!$F$206)/(Driver!$G$206-Driver!$F$206)*$BI$1</f>
        <v>0.47619047619047616</v>
      </c>
      <c r="BK772" s="67">
        <f>(CD772-Driver!$F$203)/(Driver!$G$203-Driver!$F$203)*$BI$1</f>
        <v>1.0091743119266052</v>
      </c>
      <c r="BL772" s="67">
        <f>MAX((CR772-Driver!$F$202)/(Driver!$G$202-Driver!$F$202)*$BI$1,1)</f>
        <v>7.931034482758621</v>
      </c>
      <c r="BM772" s="67">
        <f>MAX((CH772-Driver!$F$204)/(Driver!$G$204-Driver!$F$204)*$BI$1,1)</f>
        <v>4.1880341880341883</v>
      </c>
      <c r="BN772" s="67">
        <f>(CI772-Driver!$F$205)/(Driver!$G$205-Driver!$F$205)*$BI$1</f>
        <v>3.1764705882352939</v>
      </c>
      <c r="BO772" s="67">
        <f>(CK772-Driver!$F$207)/(Driver!$G$207-Driver!$F$207)*$BI$1</f>
        <v>0.32057911065149947</v>
      </c>
      <c r="BP772" s="67">
        <f>(CM772-Driver!$F$208)/(Driver!$G$208-Driver!$F$208)*$BI$1</f>
        <v>0.7222222222222221</v>
      </c>
      <c r="BQ772" s="67">
        <f>(CL772-Driver!$F$209)/(Driver!$G$209-Driver!$F$209)*$BI$1</f>
        <v>0.625</v>
      </c>
      <c r="BR772" s="28" t="s">
        <v>155</v>
      </c>
      <c r="BS772" s="8" t="s">
        <v>172</v>
      </c>
      <c r="BT772" s="9" t="s">
        <v>746</v>
      </c>
      <c r="BU772" s="10">
        <v>162</v>
      </c>
      <c r="BV772" s="9" t="s">
        <v>158</v>
      </c>
      <c r="BW772" s="10">
        <v>162</v>
      </c>
      <c r="BX772" s="10">
        <v>160.6</v>
      </c>
      <c r="BY772" s="10">
        <v>140</v>
      </c>
      <c r="BZ772" s="10">
        <v>146</v>
      </c>
      <c r="CA772" s="10">
        <v>121</v>
      </c>
      <c r="CB772" s="10">
        <v>67</v>
      </c>
      <c r="CC772" s="10">
        <v>102</v>
      </c>
      <c r="CD772" s="10">
        <v>11.6</v>
      </c>
      <c r="CE772" s="10">
        <v>1904</v>
      </c>
      <c r="CF772" s="10">
        <v>0.71</v>
      </c>
      <c r="CG772" s="10">
        <v>1351</v>
      </c>
      <c r="CH772" s="10">
        <v>199</v>
      </c>
      <c r="CI772" s="10">
        <v>87</v>
      </c>
      <c r="CJ772" s="10">
        <v>40</v>
      </c>
      <c r="CK772" s="10">
        <v>141</v>
      </c>
      <c r="CL772" s="10">
        <v>4</v>
      </c>
      <c r="CM772" s="10">
        <v>65</v>
      </c>
      <c r="CN772" s="10">
        <v>0.104</v>
      </c>
      <c r="CO772" s="10">
        <v>79</v>
      </c>
      <c r="CP772" s="10">
        <v>63</v>
      </c>
      <c r="CQ772" s="10">
        <v>62</v>
      </c>
      <c r="CR772" s="10">
        <v>12</v>
      </c>
      <c r="CS772" s="10">
        <v>8.9</v>
      </c>
      <c r="CT772" s="9" t="s">
        <v>349</v>
      </c>
      <c r="CU772" s="10"/>
      <c r="CV772" s="10"/>
      <c r="CW772" s="10"/>
      <c r="CX772" t="str">
        <f>INDEX('Data_Price '!AG$2:AG$1266,MATCH(Data!$DN772,'Data_Price '!$AT$2:$AT$1266,0))</f>
        <v>Rossignol Hero Elite St Ti + SPX 14 Konect 21/22</v>
      </c>
      <c r="CY772" t="str">
        <f>INDEX('Data_Price '!AH$2:AH$1266,MATCH(Data!$DN772,'Data_Price '!$AT$2:$AT$1266,0))</f>
        <v>Rossignol US</v>
      </c>
      <c r="CZ772">
        <f>INDEX('Data_Price '!AI$2:AI$1266,MATCH(Data!$DN772,'Data_Price '!$AT$2:$AT$1266,0))</f>
        <v>1099.95</v>
      </c>
      <c r="DA772" t="str">
        <f>INDEX('Data_Price '!AJ$2:AJ$1266,MATCH(Data!$DN772,'Data_Price '!$AT$2:$AT$1266,0))</f>
        <v>https://tinyurl.com/y9qsp4yh</v>
      </c>
      <c r="DB772" t="str">
        <f>INDEX('Data_Price '!AK$2:AK$1266,MATCH(Data!$DN772,'Data_Price '!$AT$2:$AT$1266,0))</f>
        <v>Rossignol Unisex Racing Skis Hero Elite St Ti (R22)</v>
      </c>
      <c r="DC772" t="str">
        <f>INDEX('Data_Price '!AL$2:AL$1266,MATCH(Data!$DN772,'Data_Price '!$AT$2:$AT$1266,0))</f>
        <v>eBay - asogear</v>
      </c>
      <c r="DD772">
        <f>INDEX('Data_Price '!AM$2:AM$1266,MATCH(Data!$DN772,'Data_Price '!$AT$2:$AT$1266,0))</f>
        <v>664.99</v>
      </c>
      <c r="DE772" t="str">
        <f>INDEX('Data_Price '!AN$2:AN$1266,MATCH(Data!$DN772,'Data_Price '!$AT$2:$AT$1266,0))</f>
        <v>https://tinyurl.com/ybg2657v</v>
      </c>
      <c r="DF772" t="str">
        <f>INDEX('Data_Price '!AO$2:AO$1266,MATCH(Data!$DN772,'Data_Price '!$AT$2:$AT$1266,0))</f>
        <v>Rossignol Hero Elite ST TI K/SPX14 K.GWB 162cm</v>
      </c>
      <c r="DG772" t="str">
        <f>INDEX('Data_Price '!AP$2:AP$1266,MATCH(Data!$DN772,'Data_Price '!$AT$2:$AT$1266,0))</f>
        <v>Sundance Ski and Board Shop</v>
      </c>
      <c r="DH772">
        <f>INDEX('Data_Price '!AQ$2:AQ$1266,MATCH(Data!$DN772,'Data_Price '!$AT$2:$AT$1266,0))</f>
        <v>721.3</v>
      </c>
      <c r="DI772" t="str">
        <f>INDEX('Data_Price '!AR$2:AR$1266,MATCH(Data!$DN772,'Data_Price '!$AT$2:$AT$1266,0))</f>
        <v>https://tinyurl.com/ybol45ol</v>
      </c>
      <c r="DJ772" s="89" t="str">
        <f t="shared" si="439"/>
        <v>https://tinyurl.com/y9qsp4yh</v>
      </c>
      <c r="DK772" s="89" t="str">
        <f t="shared" si="440"/>
        <v>https://tinyurl.com/ybg2657v</v>
      </c>
      <c r="DL772" s="89" t="str">
        <f t="shared" si="441"/>
        <v>https://tinyurl.com/ybol45ol</v>
      </c>
      <c r="DM772" s="219" t="str">
        <f t="shared" si="442"/>
        <v>Hero Elite Short Turn Ti</v>
      </c>
      <c r="DN772" s="89" t="str">
        <f t="shared" si="443"/>
        <v xml:space="preserve"> RossignolHero Elite Short Turn Ti162 Unisex</v>
      </c>
      <c r="DO772" s="221"/>
    </row>
    <row r="773" spans="2:119" ht="15.6" customHeight="1">
      <c r="B773" s="219" t="b">
        <f t="array" ref="B773">IF(OR(ISERROR(K773:P773)),FALSE,TRUE)</f>
        <v>1</v>
      </c>
      <c r="C773" s="43" t="b">
        <f>OR(BR773=Driver!$G$50,Data!BR697=Driver!$H$50)</f>
        <v>1</v>
      </c>
      <c r="D773" s="43" t="b">
        <f>OR(BV773=Driver!$G$51,BV773=Driver!$H$51)</f>
        <v>1</v>
      </c>
      <c r="E773" s="43" t="b">
        <f>AND(BX773&gt;Driver!$F$54,BX773&lt;Driver!$G$54)</f>
        <v>0</v>
      </c>
      <c r="F773" s="43" t="b">
        <f>CL773&gt;Driver!$F$56</f>
        <v>1</v>
      </c>
      <c r="G773" s="43" t="b">
        <f>AND(CB773&gt;Driver!$F$55,CB773&lt;Driver!$G$55)</f>
        <v>0</v>
      </c>
      <c r="H773" s="43" t="b">
        <f t="shared" si="407"/>
        <v>0</v>
      </c>
      <c r="I773" s="43">
        <f t="shared" si="408"/>
        <v>0</v>
      </c>
      <c r="J773" s="43" t="b">
        <f t="array" ref="J773">NOT(OR(($H$9:$H$1273=TRUE)*($I$9:$I$1273&gt;0)*($BT$9:$BT$1273=BT773)*($K$9:$K$1273&gt;K773)))</f>
        <v>1</v>
      </c>
      <c r="K773" s="72">
        <f t="shared" si="409"/>
        <v>0.76319267327562645</v>
      </c>
      <c r="L773" s="72">
        <f t="shared" si="410"/>
        <v>0.89534421792019947</v>
      </c>
      <c r="M773" s="72">
        <f t="shared" si="411"/>
        <v>0.63104112863105355</v>
      </c>
      <c r="N773" s="72">
        <f t="shared" si="412"/>
        <v>0.45076763470530179</v>
      </c>
      <c r="O773" s="72">
        <f t="shared" si="413"/>
        <v>0.62882261641496229</v>
      </c>
      <c r="P773" s="72">
        <f t="shared" si="414"/>
        <v>0.81353313477289657</v>
      </c>
      <c r="Q773" s="72"/>
      <c r="R773" s="72"/>
      <c r="S773" s="72">
        <f t="shared" si="415"/>
        <v>0.5313639240273127</v>
      </c>
      <c r="T773" s="72">
        <f t="shared" si="416"/>
        <v>0.52211666666375955</v>
      </c>
      <c r="U773" s="72">
        <f t="shared" si="417"/>
        <v>0.53223270373264298</v>
      </c>
      <c r="V773" s="72">
        <f t="shared" si="418"/>
        <v>0.54862268858720986</v>
      </c>
      <c r="W773" s="72">
        <f t="shared" si="419"/>
        <v>0.78116689366823988</v>
      </c>
      <c r="X773" s="72">
        <f t="shared" si="420"/>
        <v>0.10465578207980053</v>
      </c>
      <c r="Y773" s="72">
        <f t="shared" si="421"/>
        <v>0.36895887136894645</v>
      </c>
      <c r="Z773" s="72">
        <f t="shared" si="422"/>
        <v>0.54923236529469821</v>
      </c>
      <c r="AA773" s="72">
        <f t="shared" si="423"/>
        <v>0.37117738358503771</v>
      </c>
      <c r="AB773" s="72">
        <f t="shared" si="424"/>
        <v>0.18646686522710343</v>
      </c>
      <c r="AC773" s="72"/>
      <c r="AD773" s="72"/>
      <c r="AE773" s="72">
        <f t="shared" si="425"/>
        <v>0.46863607597268736</v>
      </c>
      <c r="AF773" s="72">
        <f t="shared" si="426"/>
        <v>0.47788333333624045</v>
      </c>
      <c r="AG773" s="72">
        <f t="shared" si="427"/>
        <v>0.46776729626735702</v>
      </c>
      <c r="AH773" s="72">
        <f t="shared" si="428"/>
        <v>0.45137731141279019</v>
      </c>
      <c r="AI773" s="72">
        <f t="shared" si="429"/>
        <v>0.21883310633176015</v>
      </c>
      <c r="AJ773" s="72">
        <f>(AV773-Driver!$K$179)/(Driver!$L$179-Driver!$K$179)</f>
        <v>0.35887519136250096</v>
      </c>
      <c r="AK773" s="72">
        <f>(AW773-Driver!$K$180)/(Driver!$L$180-Driver!$K$180)</f>
        <v>0.46423179347693055</v>
      </c>
      <c r="AL773" s="72">
        <f>(AX773-Driver!$K$181)/(Driver!$L$181-Driver!$K$181)</f>
        <v>0.6509201290077784</v>
      </c>
      <c r="AM773" s="72">
        <f>(AY773-Driver!$K$182)/(Driver!$L$182-Driver!$K$182)</f>
        <v>7.6207637512008652E-2</v>
      </c>
      <c r="AN773" s="72">
        <f>(AZ773-Driver!$K$183)/(Driver!$L$183-Driver!$K$183)</f>
        <v>0.44068627450980385</v>
      </c>
      <c r="AO773" s="72"/>
      <c r="AP773" s="72"/>
      <c r="AQ773" s="72">
        <f>(BC773-Driver!$K$188)/(Driver!$L$188-Driver!$K$188)</f>
        <v>0.15136392402731264</v>
      </c>
      <c r="AR773" s="72">
        <f>MIN((BD773-Driver!$K$189)/(Driver!$L$189-Driver!$K$189),100%)</f>
        <v>7.2116666663759599E-2</v>
      </c>
      <c r="AS773" s="72">
        <f>(BE773-Driver!$K$190)/(Driver!$L$190-Driver!$K$190)</f>
        <v>4.2232703732642971E-2</v>
      </c>
      <c r="AT773" s="72">
        <f>(BF773-Driver!$K$191)/(Driver!$L$191-Driver!$K$191)</f>
        <v>5.8622688587209822E-2</v>
      </c>
      <c r="AU773" s="72">
        <f>(BG773-Driver!$K$192)/(Driver!$L$192-Driver!$K$192)</f>
        <v>3.1166893668239843E-2</v>
      </c>
      <c r="AV773" s="70">
        <f t="shared" si="430"/>
        <v>7.5532492199158856</v>
      </c>
      <c r="AW773" s="70">
        <f t="shared" si="431"/>
        <v>47.115394407936328</v>
      </c>
      <c r="AX773" s="70">
        <f t="shared" si="432"/>
        <v>6.8582811610700052</v>
      </c>
      <c r="AY773" s="70">
        <f>IFERROR(Driver!$K$19/Data!BH773/Data!BI773*Data!BK773*Data!BL773,"")</f>
        <v>9.3300886479132566E-2</v>
      </c>
      <c r="AZ773" s="70">
        <f t="shared" si="433"/>
        <v>40.16381236038719</v>
      </c>
      <c r="BA773" s="70"/>
      <c r="BB773" s="70"/>
      <c r="BC773" s="70">
        <f t="shared" si="434"/>
        <v>78.513519657895401</v>
      </c>
      <c r="BD773" s="70">
        <f t="shared" si="435"/>
        <v>8.1030201006684504</v>
      </c>
      <c r="BE773" s="70">
        <f t="shared" si="436"/>
        <v>4.2403558638166958E-2</v>
      </c>
      <c r="BF773" s="70">
        <f t="shared" si="437"/>
        <v>6.621020828229069</v>
      </c>
      <c r="BG773" s="70">
        <f t="shared" si="438"/>
        <v>0.11801774175667545</v>
      </c>
      <c r="BH773" s="67">
        <f>MAX((CE773-Driver!$F$200)/(Driver!$G$200-Driver!$F$200)*$BI$1,1)</f>
        <v>6.8582811610700052</v>
      </c>
      <c r="BI773" s="67">
        <f>MAX($BI$1*(BY773-Driver!$F$201)/(Driver!$G$201-Driver!$F$201),1)</f>
        <v>7.3417721518987342</v>
      </c>
      <c r="BJ773" s="67">
        <f>(CB773-Driver!$F$206)/(Driver!$G$206-Driver!$F$206)*$BI$1</f>
        <v>5.3968253968253963</v>
      </c>
      <c r="BK773" s="67">
        <f>(CD773-Driver!$F$203)/(Driver!$G$203-Driver!$F$203)*$BI$1</f>
        <v>4.5412844036697253</v>
      </c>
      <c r="BL773" s="67">
        <f>MAX((CR773-Driver!$F$202)/(Driver!$G$202-Driver!$F$202)*$BI$1,1)</f>
        <v>5.1724137931034484</v>
      </c>
      <c r="BM773" s="67">
        <f>MAX((CH773-Driver!$F$204)/(Driver!$G$204-Driver!$F$204)*$BI$1,1)</f>
        <v>5.5982905982905979</v>
      </c>
      <c r="BN773" s="67">
        <f>(CI773-Driver!$F$205)/(Driver!$G$205-Driver!$F$205)*$BI$1</f>
        <v>5.4705882352941178</v>
      </c>
      <c r="BO773" s="67">
        <f>(CK773-Driver!$F$207)/(Driver!$G$207-Driver!$F$207)*$BI$1</f>
        <v>2.1613236814891419</v>
      </c>
      <c r="BP773" s="67">
        <f>(CM773-Driver!$F$208)/(Driver!$G$208-Driver!$F$208)*$BI$1</f>
        <v>2.5777777777777775</v>
      </c>
      <c r="BQ773" s="67">
        <f>(CL773-Driver!$F$209)/(Driver!$G$209-Driver!$F$209)*$BI$1</f>
        <v>4.53125</v>
      </c>
      <c r="BR773" s="28" t="s">
        <v>155</v>
      </c>
      <c r="BS773" s="8" t="s">
        <v>561</v>
      </c>
      <c r="BT773" s="9" t="s">
        <v>750</v>
      </c>
      <c r="BU773" s="10">
        <v>181</v>
      </c>
      <c r="BV773" s="9" t="s">
        <v>158</v>
      </c>
      <c r="BW773" s="10">
        <v>181</v>
      </c>
      <c r="BX773" s="10">
        <v>179</v>
      </c>
      <c r="BY773" s="10">
        <v>124</v>
      </c>
      <c r="BZ773" s="10">
        <v>151</v>
      </c>
      <c r="CA773" s="10">
        <v>132</v>
      </c>
      <c r="CB773" s="10">
        <v>98</v>
      </c>
      <c r="CC773" s="10">
        <v>117</v>
      </c>
      <c r="CD773" s="10">
        <v>19.3</v>
      </c>
      <c r="CE773" s="10">
        <v>2105</v>
      </c>
      <c r="CF773" s="10">
        <v>0.92</v>
      </c>
      <c r="CG773" s="10">
        <v>1944</v>
      </c>
      <c r="CH773" s="10">
        <v>232</v>
      </c>
      <c r="CI773" s="10">
        <v>126</v>
      </c>
      <c r="CJ773" s="10">
        <v>56</v>
      </c>
      <c r="CK773" s="10">
        <v>319</v>
      </c>
      <c r="CL773" s="10">
        <v>29</v>
      </c>
      <c r="CM773" s="10">
        <v>232</v>
      </c>
      <c r="CN773" s="10">
        <v>0.51500000000000001</v>
      </c>
      <c r="CO773" s="10">
        <v>128</v>
      </c>
      <c r="CP773" s="10">
        <v>154</v>
      </c>
      <c r="CQ773" s="10">
        <v>192</v>
      </c>
      <c r="CR773" s="10">
        <v>4</v>
      </c>
      <c r="CS773" s="10">
        <v>8</v>
      </c>
      <c r="CT773" s="9" t="s">
        <v>188</v>
      </c>
      <c r="CU773" s="10"/>
      <c r="CV773" s="10"/>
      <c r="CW773" s="10"/>
      <c r="CX773" t="str">
        <f>INDEX('Data_Price '!AG$2:AG$1266,MATCH(Data!$DN773,'Data_Price '!$AT$2:$AT$1266,0))</f>
        <v xml:space="preserve"> - J-skis â€“ The Masterblaster â€œtailgaterâ€ 181cm 2020 With Look</v>
      </c>
      <c r="CY773" t="str">
        <f>INDEX('Data_Price '!AH$2:AH$1266,MATCH(Data!$DN773,'Data_Price '!$AT$2:$AT$1266,0))</f>
        <v>eBay</v>
      </c>
      <c r="CZ773">
        <f>INDEX('Data_Price '!AI$2:AI$1266,MATCH(Data!$DN773,'Data_Price '!$AT$2:$AT$1266,0))</f>
        <v>750</v>
      </c>
      <c r="DA773" t="str">
        <f>INDEX('Data_Price '!AJ$2:AJ$1266,MATCH(Data!$DN773,'Data_Price '!$AT$2:$AT$1266,0))</f>
        <v>https://tinyurl.com/y8eoq2kg</v>
      </c>
      <c r="DB773" t="str">
        <f>INDEX('Data_Price '!AK$2:AK$1266,MATCH(Data!$DN773,'Data_Price '!$AT$2:$AT$1266,0))</f>
        <v>Single Skis, Masterblaster - Piece 181cm - Right Single Ski</v>
      </c>
      <c r="DC773" t="str">
        <f>INDEX('Data_Price '!AL$2:AL$1266,MATCH(Data!$DN773,'Data_Price '!$AT$2:$AT$1266,0))</f>
        <v>J Skis</v>
      </c>
      <c r="DD773">
        <f>INDEX('Data_Price '!AM$2:AM$1266,MATCH(Data!$DN773,'Data_Price '!$AT$2:$AT$1266,0))</f>
        <v>199</v>
      </c>
      <c r="DE773" t="str">
        <f>INDEX('Data_Price '!AN$2:AN$1266,MATCH(Data!$DN773,'Data_Price '!$AT$2:$AT$1266,0))</f>
        <v>https://tinyurl.com/ycncx4ah</v>
      </c>
      <c r="DF773">
        <f>INDEX('Data_Price '!AO$2:AO$1266,MATCH(Data!$DN773,'Data_Price '!$AT$2:$AT$1266,0))</f>
        <v>0</v>
      </c>
      <c r="DG773">
        <f>INDEX('Data_Price '!AP$2:AP$1266,MATCH(Data!$DN773,'Data_Price '!$AT$2:$AT$1266,0))</f>
        <v>0</v>
      </c>
      <c r="DH773">
        <f>INDEX('Data_Price '!AQ$2:AQ$1266,MATCH(Data!$DN773,'Data_Price '!$AT$2:$AT$1266,0))</f>
        <v>0</v>
      </c>
      <c r="DI773">
        <f>INDEX('Data_Price '!AR$2:AR$1266,MATCH(Data!$DN773,'Data_Price '!$AT$2:$AT$1266,0))</f>
        <v>0</v>
      </c>
      <c r="DJ773" s="89" t="str">
        <f t="shared" si="439"/>
        <v>https://tinyurl.com/y8eoq2kg</v>
      </c>
      <c r="DK773" s="89" t="str">
        <f t="shared" si="440"/>
        <v>https://tinyurl.com/ycncx4ah</v>
      </c>
      <c r="DL773" s="89">
        <f t="shared" si="441"/>
        <v>0</v>
      </c>
      <c r="DM773" s="219" t="str">
        <f t="shared" si="442"/>
        <v>The Masterblaster</v>
      </c>
      <c r="DN773" s="89" t="str">
        <f t="shared" si="443"/>
        <v xml:space="preserve"> J SkisThe Masterblaster181 Unisex</v>
      </c>
      <c r="DO773" s="221"/>
    </row>
    <row r="774" spans="2:119" ht="15.6" customHeight="1">
      <c r="B774" s="219" t="b">
        <f t="array" ref="B774">IF(OR(ISERROR(K774:P774)),FALSE,TRUE)</f>
        <v>1</v>
      </c>
      <c r="C774" s="43" t="b">
        <f>OR(BR774=Driver!$G$50,Data!BR36=Driver!$H$50)</f>
        <v>1</v>
      </c>
      <c r="D774" s="43" t="b">
        <f>OR(BV774=Driver!$G$51,BV774=Driver!$H$51)</f>
        <v>1</v>
      </c>
      <c r="E774" s="43" t="b">
        <f>AND(BX774&gt;Driver!$F$54,BX774&lt;Driver!$G$54)</f>
        <v>0</v>
      </c>
      <c r="F774" s="43" t="b">
        <f>CL774&gt;Driver!$F$56</f>
        <v>1</v>
      </c>
      <c r="G774" s="43" t="b">
        <f>AND(CB774&gt;Driver!$F$55,CB774&lt;Driver!$G$55)</f>
        <v>0</v>
      </c>
      <c r="H774" s="43" t="b">
        <f t="shared" si="407"/>
        <v>0</v>
      </c>
      <c r="I774" s="43">
        <f t="shared" si="408"/>
        <v>0</v>
      </c>
      <c r="J774" s="43" t="b">
        <f t="array" ref="J774">NOT(OR(($H$9:$H$1273=TRUE)*($I$9:$I$1273&gt;0)*($BT$9:$BT$1273=BT774)*($K$9:$K$1273&gt;K774)))</f>
        <v>1</v>
      </c>
      <c r="K774" s="72">
        <f t="shared" si="409"/>
        <v>0.79865743138604828</v>
      </c>
      <c r="L774" s="72">
        <f t="shared" si="410"/>
        <v>0.86059809132160225</v>
      </c>
      <c r="M774" s="72">
        <f t="shared" si="411"/>
        <v>0.7367167714504943</v>
      </c>
      <c r="N774" s="72">
        <f t="shared" si="412"/>
        <v>0.64997082195629785</v>
      </c>
      <c r="O774" s="72">
        <f t="shared" si="413"/>
        <v>0.64969301932494461</v>
      </c>
      <c r="P774" s="72">
        <f t="shared" si="414"/>
        <v>0.91048647307024066</v>
      </c>
      <c r="Q774" s="72"/>
      <c r="R774" s="72"/>
      <c r="S774" s="72">
        <f t="shared" si="415"/>
        <v>0.43427349331727516</v>
      </c>
      <c r="T774" s="72">
        <f t="shared" si="416"/>
        <v>0.55292382254706451</v>
      </c>
      <c r="U774" s="72">
        <f t="shared" si="417"/>
        <v>0.54673406165344351</v>
      </c>
      <c r="V774" s="72">
        <f t="shared" si="418"/>
        <v>0.52487730085971407</v>
      </c>
      <c r="W774" s="72">
        <f t="shared" si="419"/>
        <v>0.84403820224719106</v>
      </c>
      <c r="X774" s="72">
        <f t="shared" si="420"/>
        <v>0.1394019086783978</v>
      </c>
      <c r="Y774" s="72">
        <f t="shared" si="421"/>
        <v>0.26328322854950564</v>
      </c>
      <c r="Z774" s="72">
        <f t="shared" si="422"/>
        <v>0.3500291780437022</v>
      </c>
      <c r="AA774" s="72">
        <f t="shared" si="423"/>
        <v>0.35030698067505533</v>
      </c>
      <c r="AB774" s="72">
        <f t="shared" si="424"/>
        <v>8.9513526929759279E-2</v>
      </c>
      <c r="AC774" s="72"/>
      <c r="AD774" s="72"/>
      <c r="AE774" s="72">
        <f t="shared" si="425"/>
        <v>0.56572650668272484</v>
      </c>
      <c r="AF774" s="72">
        <f t="shared" si="426"/>
        <v>0.44707617745293549</v>
      </c>
      <c r="AG774" s="72">
        <f t="shared" si="427"/>
        <v>0.45326593834655643</v>
      </c>
      <c r="AH774" s="72">
        <f t="shared" si="428"/>
        <v>0.47512269914028593</v>
      </c>
      <c r="AI774" s="72">
        <f t="shared" si="429"/>
        <v>0.15596179775280899</v>
      </c>
      <c r="AJ774" s="72">
        <f>(AV774-Driver!$K$179)/(Driver!$L$179-Driver!$K$179)</f>
        <v>0.11481750060430262</v>
      </c>
      <c r="AK774" s="72">
        <f>(AW774-Driver!$K$180)/(Driver!$L$180-Driver!$K$180)</f>
        <v>0.18801349816955054</v>
      </c>
      <c r="AL774" s="72">
        <f>(AX774-Driver!$K$181)/(Driver!$L$181-Driver!$K$181)</f>
        <v>0.4517169417567824</v>
      </c>
      <c r="AM774" s="72">
        <f>(AY774-Driver!$K$182)/(Driver!$L$182-Driver!$K$182)</f>
        <v>9.7078040421991044E-2</v>
      </c>
      <c r="AN774" s="72">
        <f>(AZ774-Driver!$K$183)/(Driver!$L$183-Driver!$K$183)</f>
        <v>0.16470588235294115</v>
      </c>
      <c r="AO774" s="72"/>
      <c r="AP774" s="72"/>
      <c r="AQ774" s="72">
        <f>(BC774-Driver!$K$188)/(Driver!$L$188-Driver!$K$188)</f>
        <v>5.4273493317275115E-2</v>
      </c>
      <c r="AR774" s="72">
        <f>MIN((BD774-Driver!$K$189)/(Driver!$L$189-Driver!$K$189),100%)</f>
        <v>0.10292382254706454</v>
      </c>
      <c r="AS774" s="72">
        <f>(BE774-Driver!$K$190)/(Driver!$L$190-Driver!$K$190)</f>
        <v>5.6734061653443579E-2</v>
      </c>
      <c r="AT774" s="72">
        <f>(BF774-Driver!$K$191)/(Driver!$L$191-Driver!$K$191)</f>
        <v>3.4877300859714057E-2</v>
      </c>
      <c r="AU774" s="72">
        <f>(BG774-Driver!$K$192)/(Driver!$L$192-Driver!$K$192)</f>
        <v>9.4038202247191005E-2</v>
      </c>
      <c r="AV774" s="70">
        <f t="shared" si="430"/>
        <v>2.4165649165649166</v>
      </c>
      <c r="AW774" s="70">
        <f t="shared" si="431"/>
        <v>20.195473987151054</v>
      </c>
      <c r="AX774" s="70">
        <f t="shared" si="432"/>
        <v>5.0654524758110417</v>
      </c>
      <c r="AY774" s="70">
        <f>IFERROR(Driver!$K$19/Data!BH774/Data!BI774*Data!BK774*Data!BL774,"")</f>
        <v>0.11885248676816113</v>
      </c>
      <c r="AZ774" s="70">
        <f t="shared" si="433"/>
        <v>15.011169024571853</v>
      </c>
      <c r="BA774" s="70"/>
      <c r="BB774" s="70"/>
      <c r="BC774" s="70">
        <f t="shared" si="434"/>
        <v>28.152038286874934</v>
      </c>
      <c r="BD774" s="70">
        <f t="shared" si="435"/>
        <v>10.829398809290799</v>
      </c>
      <c r="BE774" s="70">
        <f t="shared" si="436"/>
        <v>5.6902329679934235E-2</v>
      </c>
      <c r="BF774" s="70">
        <f t="shared" si="437"/>
        <v>3.9391461051986072</v>
      </c>
      <c r="BG774" s="70">
        <f t="shared" si="438"/>
        <v>0.35608862359550564</v>
      </c>
      <c r="BH774" s="67">
        <f>MAX((CE774-Driver!$F$200)/(Driver!$G$200-Driver!$F$200)*$BI$1,1)</f>
        <v>5.0654524758110417</v>
      </c>
      <c r="BI774" s="67">
        <f>MAX($BI$1*(BY774-Driver!$F$201)/(Driver!$G$201-Driver!$F$201),1)</f>
        <v>7.0886075949367084</v>
      </c>
      <c r="BJ774" s="67">
        <f>(CB774-Driver!$F$206)/(Driver!$G$206-Driver!$F$206)*$BI$1</f>
        <v>3.0158730158730158</v>
      </c>
      <c r="BK774" s="67">
        <f>(CD774-Driver!$F$203)/(Driver!$G$203-Driver!$F$203)*$BI$1</f>
        <v>3.2568807339449544</v>
      </c>
      <c r="BL774" s="67">
        <f>MAX((CR774-Driver!$F$202)/(Driver!$G$202-Driver!$F$202)*$BI$1,1)</f>
        <v>6.5517241379310338</v>
      </c>
      <c r="BM774" s="67">
        <f>MAX((CH774-Driver!$F$204)/(Driver!$G$204-Driver!$F$204)*$BI$1,1)</f>
        <v>3.2051282051282053</v>
      </c>
      <c r="BN774" s="67">
        <f>(CI774-Driver!$F$205)/(Driver!$G$205-Driver!$F$205)*$BI$1</f>
        <v>2.1176470588235294</v>
      </c>
      <c r="BO774" s="67">
        <f>(CK774-Driver!$F$207)/(Driver!$G$207-Driver!$F$207)*$BI$1</f>
        <v>1.7890382626680454</v>
      </c>
      <c r="BP774" s="67">
        <f>(CM774-Driver!$F$208)/(Driver!$G$208-Driver!$F$208)*$BI$1</f>
        <v>2.3777777777777778</v>
      </c>
      <c r="BQ774" s="67">
        <f>(CL774-Driver!$F$209)/(Driver!$G$209-Driver!$F$209)*$BI$1</f>
        <v>5.78125</v>
      </c>
      <c r="BR774" s="28" t="s">
        <v>155</v>
      </c>
      <c r="BS774" s="8" t="s">
        <v>182</v>
      </c>
      <c r="BT774" s="9" t="s">
        <v>193</v>
      </c>
      <c r="BU774" s="10">
        <v>171</v>
      </c>
      <c r="BV774" s="9" t="s">
        <v>158</v>
      </c>
      <c r="BW774" s="10">
        <v>171</v>
      </c>
      <c r="BX774" s="10">
        <v>169.7</v>
      </c>
      <c r="BY774" s="10">
        <v>120</v>
      </c>
      <c r="BZ774" s="10">
        <v>141</v>
      </c>
      <c r="CA774" s="10">
        <v>116</v>
      </c>
      <c r="CB774" s="10">
        <v>83</v>
      </c>
      <c r="CC774" s="10">
        <v>108</v>
      </c>
      <c r="CD774" s="10">
        <v>16.5</v>
      </c>
      <c r="CE774" s="10">
        <v>1790</v>
      </c>
      <c r="CF774" s="10">
        <v>0.9</v>
      </c>
      <c r="CG774" s="10">
        <v>1612</v>
      </c>
      <c r="CH774" s="10">
        <v>176</v>
      </c>
      <c r="CI774" s="10">
        <v>69</v>
      </c>
      <c r="CJ774" s="10">
        <v>49</v>
      </c>
      <c r="CK774" s="10">
        <v>283</v>
      </c>
      <c r="CL774" s="10">
        <v>37</v>
      </c>
      <c r="CM774" s="10">
        <v>214</v>
      </c>
      <c r="CN774" s="10">
        <v>0.749</v>
      </c>
      <c r="CO774" s="10">
        <v>159</v>
      </c>
      <c r="CP774" s="10">
        <v>128</v>
      </c>
      <c r="CQ774" s="10">
        <v>124</v>
      </c>
      <c r="CR774" s="10">
        <v>8</v>
      </c>
      <c r="CS774" s="10">
        <v>7.2</v>
      </c>
      <c r="CT774" s="9" t="s">
        <v>188</v>
      </c>
      <c r="CU774" s="10"/>
      <c r="CV774" s="10"/>
      <c r="CW774" s="10"/>
      <c r="CX774" t="str">
        <f>INDEX('Data_Price '!AG$2:AG$1266,MATCH(Data!$DN774,'Data_Price '!$AT$2:$AT$1266,0))</f>
        <v>Armada ARV 84 Ski Men's, 171</v>
      </c>
      <c r="CY774" t="str">
        <f>INDEX('Data_Price '!AH$2:AH$1266,MATCH(Data!$DN774,'Data_Price '!$AT$2:$AT$1266,0))</f>
        <v>PRFO Sports</v>
      </c>
      <c r="CZ774">
        <f>INDEX('Data_Price '!AI$2:AI$1266,MATCH(Data!$DN774,'Data_Price '!$AT$2:$AT$1266,0))</f>
        <v>274.89</v>
      </c>
      <c r="DA774" t="str">
        <f>INDEX('Data_Price '!AJ$2:AJ$1266,MATCH(Data!$DN774,'Data_Price '!$AT$2:$AT$1266,0))</f>
        <v>https://tinyurl.com/y7afx22a</v>
      </c>
      <c r="DB774" t="str">
        <f>INDEX('Data_Price '!AK$2:AK$1266,MATCH(Data!$DN774,'Data_Price '!$AT$2:$AT$1266,0))</f>
        <v>Armada ARV 84 Ski Men's, 171</v>
      </c>
      <c r="DC774" t="str">
        <f>INDEX('Data_Price '!AL$2:AL$1266,MATCH(Data!$DN774,'Data_Price '!$AT$2:$AT$1266,0))</f>
        <v>UtahSkis</v>
      </c>
      <c r="DD774">
        <f>INDEX('Data_Price '!AM$2:AM$1266,MATCH(Data!$DN774,'Data_Price '!$AT$2:$AT$1266,0))</f>
        <v>279.95999999999998</v>
      </c>
      <c r="DE774" t="str">
        <f>INDEX('Data_Price '!AN$2:AN$1266,MATCH(Data!$DN774,'Data_Price '!$AT$2:$AT$1266,0))</f>
        <v>https://tinyurl.com/y9pylx7f</v>
      </c>
      <c r="DF774" t="str">
        <f>INDEX('Data_Price '!AO$2:AO$1266,MATCH(Data!$DN774,'Data_Price '!$AT$2:$AT$1266,0))</f>
        <v>Armada ARV 84 Ski Men's, 171</v>
      </c>
      <c r="DG774" t="str">
        <f>INDEX('Data_Price '!AP$2:AP$1266,MATCH(Data!$DN774,'Data_Price '!$AT$2:$AT$1266,0))</f>
        <v>BlueZone Sports</v>
      </c>
      <c r="DH774">
        <f>INDEX('Data_Price '!AQ$2:AQ$1266,MATCH(Data!$DN774,'Data_Price '!$AT$2:$AT$1266,0))</f>
        <v>349.95</v>
      </c>
      <c r="DI774" t="str">
        <f>INDEX('Data_Price '!AR$2:AR$1266,MATCH(Data!$DN774,'Data_Price '!$AT$2:$AT$1266,0))</f>
        <v>https://tinyurl.com/yd6slt76</v>
      </c>
      <c r="DJ774" s="89" t="str">
        <f t="shared" si="439"/>
        <v>https://tinyurl.com/y7afx22a</v>
      </c>
      <c r="DK774" s="89" t="str">
        <f t="shared" si="440"/>
        <v>https://tinyurl.com/y9pylx7f</v>
      </c>
      <c r="DL774" s="89" t="str">
        <f t="shared" si="441"/>
        <v>https://tinyurl.com/yd6slt76</v>
      </c>
      <c r="DM774" s="219" t="str">
        <f t="shared" si="442"/>
        <v>ARV 84</v>
      </c>
      <c r="DN774" s="89" t="str">
        <f t="shared" si="443"/>
        <v xml:space="preserve"> ArmadaARV 84171 Unisex</v>
      </c>
      <c r="DO774" s="221" t="s">
        <v>194</v>
      </c>
    </row>
    <row r="775" spans="2:119" ht="15.6" customHeight="1">
      <c r="B775" s="219" t="b">
        <f t="array" ref="B775">IF(OR(ISERROR(K775:P775)),FALSE,TRUE)</f>
        <v>1</v>
      </c>
      <c r="C775" s="43" t="b">
        <f>OR(BR775=Driver!$G$50,Data!BR1197=Driver!$H$50)</f>
        <v>1</v>
      </c>
      <c r="D775" s="43" t="b">
        <f>OR(BV775=Driver!$G$51,BV775=Driver!$H$51)</f>
        <v>0</v>
      </c>
      <c r="E775" s="43" t="b">
        <f>AND(BX775&gt;Driver!$F$54,BX775&lt;Driver!$G$54)</f>
        <v>1</v>
      </c>
      <c r="F775" s="43" t="b">
        <f>CL775&gt;Driver!$F$56</f>
        <v>1</v>
      </c>
      <c r="G775" s="43" t="b">
        <f>AND(CB775&gt;Driver!$F$55,CB775&lt;Driver!$G$55)</f>
        <v>0</v>
      </c>
      <c r="H775" s="43" t="b">
        <f t="shared" si="407"/>
        <v>0</v>
      </c>
      <c r="I775" s="43">
        <f t="shared" si="408"/>
        <v>0</v>
      </c>
      <c r="J775" s="43" t="b">
        <f t="array" ref="J775">NOT(OR(($H$9:$H$1273=TRUE)*($I$9:$I$1273&gt;0)*($BT$9:$BT$1273=BT775)*($K$9:$K$1273&gt;K775)))</f>
        <v>1</v>
      </c>
      <c r="K775" s="72">
        <f t="shared" si="409"/>
        <v>0.77754312970592743</v>
      </c>
      <c r="L775" s="72">
        <f t="shared" si="410"/>
        <v>0.79025726463559787</v>
      </c>
      <c r="M775" s="72">
        <f t="shared" si="411"/>
        <v>0.7648289947762571</v>
      </c>
      <c r="N775" s="72">
        <f t="shared" si="412"/>
        <v>0.77834620929582865</v>
      </c>
      <c r="O775" s="72">
        <f t="shared" si="413"/>
        <v>0.5778765241849243</v>
      </c>
      <c r="P775" s="72">
        <f t="shared" si="414"/>
        <v>0.93826425084801857</v>
      </c>
      <c r="Q775" s="72"/>
      <c r="R775" s="72"/>
      <c r="S775" s="72">
        <f t="shared" si="415"/>
        <v>0.41179401365685142</v>
      </c>
      <c r="T775" s="72">
        <f t="shared" si="416"/>
        <v>0.55000000000000004</v>
      </c>
      <c r="U775" s="72">
        <f t="shared" si="417"/>
        <v>0.51</v>
      </c>
      <c r="V775" s="72">
        <f t="shared" si="418"/>
        <v>0.49349149836438533</v>
      </c>
      <c r="W775" s="72">
        <f t="shared" si="419"/>
        <v>0.76610499335485094</v>
      </c>
      <c r="X775" s="72">
        <f t="shared" si="420"/>
        <v>0.20974273536440213</v>
      </c>
      <c r="Y775" s="72">
        <f t="shared" si="421"/>
        <v>0.23517100522374287</v>
      </c>
      <c r="Z775" s="72">
        <f t="shared" si="422"/>
        <v>0.22165379070417141</v>
      </c>
      <c r="AA775" s="72">
        <f t="shared" si="423"/>
        <v>0.4221234758150757</v>
      </c>
      <c r="AB775" s="72">
        <f t="shared" si="424"/>
        <v>6.1735749151981462E-2</v>
      </c>
      <c r="AC775" s="72"/>
      <c r="AD775" s="72"/>
      <c r="AE775" s="72">
        <f t="shared" si="425"/>
        <v>0.58820598634314858</v>
      </c>
      <c r="AF775" s="72">
        <f t="shared" si="426"/>
        <v>0.44999999999999996</v>
      </c>
      <c r="AG775" s="72">
        <f t="shared" si="427"/>
        <v>0.49</v>
      </c>
      <c r="AH775" s="72">
        <f t="shared" si="428"/>
        <v>0.50650850163561467</v>
      </c>
      <c r="AI775" s="72">
        <f t="shared" si="429"/>
        <v>0.23389500664514903</v>
      </c>
      <c r="AJ775" s="72">
        <f>(AV775-Driver!$K$179)/(Driver!$L$179-Driver!$K$179)</f>
        <v>4.4476673918298279E-2</v>
      </c>
      <c r="AK775" s="72">
        <f>(AW775-Driver!$K$180)/(Driver!$L$180-Driver!$K$180)</f>
        <v>0.20123284275887879</v>
      </c>
      <c r="AL775" s="72">
        <f>(AX775-Driver!$K$181)/(Driver!$L$181-Driver!$K$181)</f>
        <v>0.3233415544172516</v>
      </c>
      <c r="AM775" s="72">
        <f>(AY775-Driver!$K$182)/(Driver!$L$182-Driver!$K$182)</f>
        <v>2.5261545281970693E-2</v>
      </c>
      <c r="AN775" s="72">
        <f>(AZ775-Driver!$K$183)/(Driver!$L$183-Driver!$K$183)</f>
        <v>0.19248366013071896</v>
      </c>
      <c r="AO775" s="72"/>
      <c r="AP775" s="72"/>
      <c r="AQ775" s="72">
        <f>(BC775-Driver!$K$188)/(Driver!$L$188-Driver!$K$188)</f>
        <v>3.1794013656851375E-2</v>
      </c>
      <c r="AR775" s="72">
        <f>MIN((BD775-Driver!$K$189)/(Driver!$L$189-Driver!$K$189),100%)</f>
        <v>1</v>
      </c>
      <c r="AS775" s="72">
        <f>(BE775-Driver!$K$190)/(Driver!$L$190-Driver!$K$190)</f>
        <v>1</v>
      </c>
      <c r="AT775" s="72">
        <f>(BF775-Driver!$K$191)/(Driver!$L$191-Driver!$K$191)</f>
        <v>3.491498364385291E-3</v>
      </c>
      <c r="AU775" s="72">
        <f>(BG775-Driver!$K$192)/(Driver!$L$192-Driver!$K$192)</f>
        <v>1.6104993354850959E-2</v>
      </c>
      <c r="AV775" s="70">
        <f t="shared" si="430"/>
        <v>0.93610093610093603</v>
      </c>
      <c r="AW775" s="70">
        <f t="shared" si="431"/>
        <v>21.483816252690144</v>
      </c>
      <c r="AX775" s="70">
        <f t="shared" si="432"/>
        <v>3.9100739897552645</v>
      </c>
      <c r="AY775" s="70">
        <f>IFERROR(Driver!$K$19/Data!BH775/Data!BI775*Data!BK775*Data!BL775,"")</f>
        <v>3.0927668742771544E-2</v>
      </c>
      <c r="AZ775" s="70">
        <f t="shared" si="433"/>
        <v>17.542814594192109</v>
      </c>
      <c r="BA775" s="70"/>
      <c r="BB775" s="70"/>
      <c r="BC775" s="70">
        <f t="shared" si="434"/>
        <v>16.491775912205878</v>
      </c>
      <c r="BD775" s="70">
        <f t="shared" si="435"/>
        <v>91.005157090471016</v>
      </c>
      <c r="BE775" s="70">
        <f t="shared" si="436"/>
        <v>1</v>
      </c>
      <c r="BF775" s="70">
        <f t="shared" si="437"/>
        <v>0.39434021109305489</v>
      </c>
      <c r="BG775" s="70">
        <f t="shared" si="438"/>
        <v>6.0983778716536936E-2</v>
      </c>
      <c r="BH775" s="67">
        <f>MAX((CE775-Driver!$F$200)/(Driver!$G$200-Driver!$F$200)*$BI$1,1)</f>
        <v>3.9100739897552645</v>
      </c>
      <c r="BI775" s="67">
        <f>MAX($BI$1*(BY775-Driver!$F$201)/(Driver!$G$201-Driver!$F$201),1)</f>
        <v>7.8481012658227849</v>
      </c>
      <c r="BJ775" s="67">
        <f>(CB775-Driver!$F$206)/(Driver!$G$206-Driver!$F$206)*$BI$1</f>
        <v>0.95238095238095233</v>
      </c>
      <c r="BK775" s="67">
        <f>(CD775-Driver!$F$203)/(Driver!$G$203-Driver!$F$203)*$BI$1</f>
        <v>0.91743119266055051</v>
      </c>
      <c r="BL775" s="67">
        <f>MAX((CR775-Driver!$F$202)/(Driver!$G$202-Driver!$F$202)*$BI$1,1)</f>
        <v>5.1724137931034484</v>
      </c>
      <c r="BM775" s="67">
        <f>MAX((CH775-Driver!$F$204)/(Driver!$G$204-Driver!$F$204)*$BI$1,1)</f>
        <v>3.9316239316239314</v>
      </c>
      <c r="BN775" s="67">
        <f>(CI775-Driver!$F$205)/(Driver!$G$205-Driver!$F$205)*$BI$1</f>
        <v>2.2352941176470589</v>
      </c>
      <c r="BO775" s="67">
        <f>(CK775-Driver!$F$207)/(Driver!$G$207-Driver!$F$207)*$BI$1</f>
        <v>0.59979317476732152</v>
      </c>
      <c r="BP775" s="67">
        <f>(CM775-Driver!$F$208)/(Driver!$G$208-Driver!$F$208)*$BI$1</f>
        <v>0.63333333333333341</v>
      </c>
      <c r="BQ775" s="67">
        <f>(CL775-Driver!$F$209)/(Driver!$G$209-Driver!$F$209)*$BI$1</f>
        <v>0.9375</v>
      </c>
      <c r="BR775" s="28" t="s">
        <v>155</v>
      </c>
      <c r="BS775" s="8" t="s">
        <v>229</v>
      </c>
      <c r="BT775" s="9" t="s">
        <v>651</v>
      </c>
      <c r="BU775" s="10">
        <v>155</v>
      </c>
      <c r="BV775" s="9" t="s">
        <v>163</v>
      </c>
      <c r="BW775" s="10">
        <v>155</v>
      </c>
      <c r="BX775" s="10">
        <v>154.5</v>
      </c>
      <c r="BY775" s="10">
        <v>132</v>
      </c>
      <c r="BZ775" s="10">
        <v>140</v>
      </c>
      <c r="CA775" s="10">
        <v>123</v>
      </c>
      <c r="CB775" s="10">
        <v>70</v>
      </c>
      <c r="CC775" s="10">
        <v>103</v>
      </c>
      <c r="CD775" s="10">
        <v>11.4</v>
      </c>
      <c r="CE775" s="10">
        <v>1587</v>
      </c>
      <c r="CF775" s="10">
        <v>0.84</v>
      </c>
      <c r="CG775" s="10">
        <v>1328</v>
      </c>
      <c r="CH775" s="10">
        <v>193</v>
      </c>
      <c r="CI775" s="10">
        <v>71</v>
      </c>
      <c r="CJ775" s="10">
        <v>47</v>
      </c>
      <c r="CK775" s="10">
        <v>168</v>
      </c>
      <c r="CL775" s="10">
        <v>6</v>
      </c>
      <c r="CM775" s="10">
        <v>57</v>
      </c>
      <c r="CN775" s="10">
        <v>0.129</v>
      </c>
      <c r="CO775" s="10">
        <v>70</v>
      </c>
      <c r="CP775" s="10">
        <v>77</v>
      </c>
      <c r="CQ775" s="10">
        <v>98</v>
      </c>
      <c r="CR775" s="10">
        <v>4</v>
      </c>
      <c r="CS775" s="10">
        <v>13.1</v>
      </c>
      <c r="CT775" s="9" t="s">
        <v>349</v>
      </c>
      <c r="CU775" s="10"/>
      <c r="CV775" s="10"/>
      <c r="CW775" s="10"/>
      <c r="CX775" t="e">
        <f>INDEX('Data_Price '!AG$2:AG$1266,MATCH(Data!$DN775,'Data_Price '!$AT$2:$AT$1266,0))</f>
        <v>#N/A</v>
      </c>
      <c r="CY775" t="e">
        <f>INDEX('Data_Price '!AH$2:AH$1266,MATCH(Data!$DN775,'Data_Price '!$AT$2:$AT$1266,0))</f>
        <v>#N/A</v>
      </c>
      <c r="CZ775" t="e">
        <f>INDEX('Data_Price '!AI$2:AI$1266,MATCH(Data!$DN775,'Data_Price '!$AT$2:$AT$1266,0))</f>
        <v>#N/A</v>
      </c>
      <c r="DA775" t="e">
        <f>INDEX('Data_Price '!AJ$2:AJ$1266,MATCH(Data!$DN775,'Data_Price '!$AT$2:$AT$1266,0))</f>
        <v>#N/A</v>
      </c>
      <c r="DB775" t="e">
        <f>INDEX('Data_Price '!AK$2:AK$1266,MATCH(Data!$DN775,'Data_Price '!$AT$2:$AT$1266,0))</f>
        <v>#N/A</v>
      </c>
      <c r="DC775" t="e">
        <f>INDEX('Data_Price '!AL$2:AL$1266,MATCH(Data!$DN775,'Data_Price '!$AT$2:$AT$1266,0))</f>
        <v>#N/A</v>
      </c>
      <c r="DD775" t="e">
        <f>INDEX('Data_Price '!AM$2:AM$1266,MATCH(Data!$DN775,'Data_Price '!$AT$2:$AT$1266,0))</f>
        <v>#N/A</v>
      </c>
      <c r="DE775" t="e">
        <f>INDEX('Data_Price '!AN$2:AN$1266,MATCH(Data!$DN775,'Data_Price '!$AT$2:$AT$1266,0))</f>
        <v>#N/A</v>
      </c>
      <c r="DF775" t="e">
        <f>INDEX('Data_Price '!AO$2:AO$1266,MATCH(Data!$DN775,'Data_Price '!$AT$2:$AT$1266,0))</f>
        <v>#N/A</v>
      </c>
      <c r="DG775" t="e">
        <f>INDEX('Data_Price '!AP$2:AP$1266,MATCH(Data!$DN775,'Data_Price '!$AT$2:$AT$1266,0))</f>
        <v>#N/A</v>
      </c>
      <c r="DH775" t="e">
        <f>INDEX('Data_Price '!AQ$2:AQ$1266,MATCH(Data!$DN775,'Data_Price '!$AT$2:$AT$1266,0))</f>
        <v>#N/A</v>
      </c>
      <c r="DI775" t="e">
        <f>INDEX('Data_Price '!AR$2:AR$1266,MATCH(Data!$DN775,'Data_Price '!$AT$2:$AT$1266,0))</f>
        <v>#N/A</v>
      </c>
      <c r="DJ775" s="89" t="e">
        <f t="shared" si="439"/>
        <v>#N/A</v>
      </c>
      <c r="DK775" s="89" t="e">
        <f t="shared" si="440"/>
        <v>#N/A</v>
      </c>
      <c r="DL775" s="89" t="e">
        <f t="shared" si="441"/>
        <v>#N/A</v>
      </c>
      <c r="DM775" s="219" t="str">
        <f t="shared" si="442"/>
        <v>Flair SC Carbon</v>
      </c>
      <c r="DN775" s="89" t="str">
        <f t="shared" si="443"/>
        <v xml:space="preserve"> VölklFlair SC Carbon155 Women's</v>
      </c>
      <c r="DO775" s="221"/>
    </row>
    <row r="776" spans="2:119" ht="15.6" customHeight="1">
      <c r="B776" s="219" t="b">
        <f t="array" ref="B776">IF(OR(ISERROR(K776:P776)),FALSE,TRUE)</f>
        <v>1</v>
      </c>
      <c r="C776" s="43" t="b">
        <f>OR(BR776=Driver!$G$50,Data!BR949=Driver!$H$50)</f>
        <v>1</v>
      </c>
      <c r="D776" s="43" t="b">
        <f>OR(BV776=Driver!$G$51,BV776=Driver!$H$51)</f>
        <v>1</v>
      </c>
      <c r="E776" s="43" t="b">
        <f>AND(BX776&gt;Driver!$F$54,BX776&lt;Driver!$G$54)</f>
        <v>0</v>
      </c>
      <c r="F776" s="43" t="b">
        <f>CL776&gt;Driver!$F$56</f>
        <v>1</v>
      </c>
      <c r="G776" s="43" t="b">
        <f>AND(CB776&gt;Driver!$F$55,CB776&lt;Driver!$G$55)</f>
        <v>1</v>
      </c>
      <c r="H776" s="43" t="b">
        <f t="shared" si="407"/>
        <v>0</v>
      </c>
      <c r="I776" s="43">
        <f t="shared" si="408"/>
        <v>0</v>
      </c>
      <c r="J776" s="43" t="b">
        <f t="array" ref="J776">NOT(OR(($H$9:$H$1273=TRUE)*($I$9:$I$1273&gt;0)*($BT$9:$BT$1273=BT776)*($K$9:$K$1273&gt;K776)))</f>
        <v>1</v>
      </c>
      <c r="K776" s="72">
        <f t="shared" si="409"/>
        <v>0.79221399593737463</v>
      </c>
      <c r="L776" s="72">
        <f t="shared" si="410"/>
        <v>0.81106414379240954</v>
      </c>
      <c r="M776" s="72">
        <f t="shared" si="411"/>
        <v>0.77336384808233971</v>
      </c>
      <c r="N776" s="72">
        <f t="shared" si="412"/>
        <v>0.76633077895370505</v>
      </c>
      <c r="O776" s="72">
        <f t="shared" si="413"/>
        <v>0.70822527261523027</v>
      </c>
      <c r="P776" s="72">
        <f t="shared" si="414"/>
        <v>0.84553549267808392</v>
      </c>
      <c r="Q776" s="72"/>
      <c r="R776" s="72"/>
      <c r="S776" s="72">
        <f t="shared" si="415"/>
        <v>0.41042320932345255</v>
      </c>
      <c r="T776" s="72">
        <f t="shared" si="416"/>
        <v>0.47493533662458898</v>
      </c>
      <c r="U776" s="72">
        <f t="shared" si="417"/>
        <v>0.54128479073032731</v>
      </c>
      <c r="V776" s="72">
        <f t="shared" si="418"/>
        <v>0.57883599742433867</v>
      </c>
      <c r="W776" s="72">
        <f t="shared" si="419"/>
        <v>0.81343852691218133</v>
      </c>
      <c r="X776" s="72">
        <f t="shared" si="420"/>
        <v>0.1889358562075904</v>
      </c>
      <c r="Y776" s="72">
        <f t="shared" si="421"/>
        <v>0.22663615191766026</v>
      </c>
      <c r="Z776" s="72">
        <f t="shared" si="422"/>
        <v>0.23366922104629495</v>
      </c>
      <c r="AA776" s="72">
        <f t="shared" si="423"/>
        <v>0.29177472738476973</v>
      </c>
      <c r="AB776" s="72">
        <f t="shared" si="424"/>
        <v>0.15446450732191611</v>
      </c>
      <c r="AC776" s="72"/>
      <c r="AD776" s="72"/>
      <c r="AE776" s="72">
        <f t="shared" si="425"/>
        <v>0.58957679067654745</v>
      </c>
      <c r="AF776" s="72">
        <f t="shared" si="426"/>
        <v>0.52506466337541102</v>
      </c>
      <c r="AG776" s="72">
        <f t="shared" si="427"/>
        <v>0.45871520926967269</v>
      </c>
      <c r="AH776" s="72">
        <f t="shared" si="428"/>
        <v>0.42116400257566133</v>
      </c>
      <c r="AI776" s="72">
        <f t="shared" si="429"/>
        <v>0.18656147308781867</v>
      </c>
      <c r="AJ776" s="72">
        <f>(AV776-Driver!$K$179)/(Driver!$L$179-Driver!$K$179)</f>
        <v>0.44315526549029083</v>
      </c>
      <c r="AK776" s="72">
        <f>(AW776-Driver!$K$180)/(Driver!$L$180-Driver!$K$180)</f>
        <v>0.11726403906527548</v>
      </c>
      <c r="AL776" s="72">
        <f>(AX776-Driver!$K$181)/(Driver!$L$181-Driver!$K$181)</f>
        <v>0.33535698475937514</v>
      </c>
      <c r="AM776" s="72">
        <f>(AY776-Driver!$K$182)/(Driver!$L$182-Driver!$K$182)</f>
        <v>0.15561029371227666</v>
      </c>
      <c r="AN776" s="72">
        <f>(AZ776-Driver!$K$183)/(Driver!$L$183-Driver!$K$183)</f>
        <v>9.975490196078432E-2</v>
      </c>
      <c r="AO776" s="72"/>
      <c r="AP776" s="72"/>
      <c r="AQ776" s="72">
        <f>(BC776-Driver!$K$188)/(Driver!$L$188-Driver!$K$188)</f>
        <v>3.0423209323452532E-2</v>
      </c>
      <c r="AR776" s="72">
        <f>MIN((BD776-Driver!$K$189)/(Driver!$L$189-Driver!$K$189),100%)</f>
        <v>2.4935336624589018E-2</v>
      </c>
      <c r="AS776" s="72">
        <f>(BE776-Driver!$K$190)/(Driver!$L$190-Driver!$K$190)</f>
        <v>5.1284790730327323E-2</v>
      </c>
      <c r="AT776" s="72">
        <f>(BF776-Driver!$K$191)/(Driver!$L$191-Driver!$K$191)</f>
        <v>8.8835997424338675E-2</v>
      </c>
      <c r="AU776" s="72">
        <f>(BG776-Driver!$K$192)/(Driver!$L$192-Driver!$K$192)</f>
        <v>6.3438526912181312E-2</v>
      </c>
      <c r="AV776" s="70">
        <f t="shared" si="430"/>
        <v>9.3270926604259934</v>
      </c>
      <c r="AW776" s="70">
        <f t="shared" si="431"/>
        <v>13.300312293457843</v>
      </c>
      <c r="AX776" s="70">
        <f t="shared" si="432"/>
        <v>4.0182128628343765</v>
      </c>
      <c r="AY776" s="70">
        <f>IFERROR(Driver!$K$19/Data!BH776/Data!BI776*Data!BK776*Data!BL776,"")</f>
        <v>0.19051342913426217</v>
      </c>
      <c r="AZ776" s="70">
        <f t="shared" si="433"/>
        <v>9.0915860014892047</v>
      </c>
      <c r="BA776" s="70"/>
      <c r="BB776" s="70"/>
      <c r="BC776" s="70">
        <f t="shared" si="434"/>
        <v>15.780730174794778</v>
      </c>
      <c r="BD776" s="70">
        <f t="shared" si="435"/>
        <v>3.9275559925717904</v>
      </c>
      <c r="BE776" s="70">
        <f t="shared" si="436"/>
        <v>5.1454030845416505E-2</v>
      </c>
      <c r="BF776" s="70">
        <f t="shared" si="437"/>
        <v>10.033401800875085</v>
      </c>
      <c r="BG776" s="70">
        <f t="shared" si="438"/>
        <v>0.2402187322946176</v>
      </c>
      <c r="BH776" s="67">
        <f>MAX((CE776-Driver!$F$200)/(Driver!$G$200-Driver!$F$200)*$BI$1,1)</f>
        <v>4.0182128628343765</v>
      </c>
      <c r="BI776" s="67">
        <f>MAX($BI$1*(BY776-Driver!$F$201)/(Driver!$G$201-Driver!$F$201),1)</f>
        <v>7.0253164556962027</v>
      </c>
      <c r="BJ776" s="67">
        <f>(CB776-Driver!$F$206)/(Driver!$G$206-Driver!$F$206)*$BI$1</f>
        <v>6.9841269841269842</v>
      </c>
      <c r="BK776" s="67">
        <f>(CD776-Driver!$F$203)/(Driver!$G$203-Driver!$F$203)*$BI$1</f>
        <v>4.5871559633027523</v>
      </c>
      <c r="BL776" s="67">
        <f>MAX((CR776-Driver!$F$202)/(Driver!$G$202-Driver!$F$202)*$BI$1,1)</f>
        <v>5.8620689655172411</v>
      </c>
      <c r="BM776" s="67">
        <f>MAX((CH776-Driver!$F$204)/(Driver!$G$204-Driver!$F$204)*$BI$1,1)</f>
        <v>5.3418803418803416</v>
      </c>
      <c r="BN776" s="67">
        <f>(CI776-Driver!$F$205)/(Driver!$G$205-Driver!$F$205)*$BI$1</f>
        <v>1.2941176470588236</v>
      </c>
      <c r="BO776" s="67">
        <f>(CK776-Driver!$F$207)/(Driver!$G$207-Driver!$F$207)*$BI$1</f>
        <v>2.2130299896587382</v>
      </c>
      <c r="BP776" s="67">
        <f>(CM776-Driver!$F$208)/(Driver!$G$208-Driver!$F$208)*$BI$1</f>
        <v>2.9777777777777774</v>
      </c>
      <c r="BQ776" s="67">
        <f>(CL776-Driver!$F$209)/(Driver!$G$209-Driver!$F$209)*$BI$1</f>
        <v>5.15625</v>
      </c>
      <c r="BR776" s="28" t="s">
        <v>155</v>
      </c>
      <c r="BS776" s="8" t="s">
        <v>227</v>
      </c>
      <c r="BT776" s="9" t="s">
        <v>724</v>
      </c>
      <c r="BU776" s="10">
        <v>180</v>
      </c>
      <c r="BV776" s="9" t="s">
        <v>158</v>
      </c>
      <c r="BW776" s="10">
        <v>180</v>
      </c>
      <c r="BX776" s="10">
        <v>178.1</v>
      </c>
      <c r="BY776" s="10">
        <v>119</v>
      </c>
      <c r="BZ776" s="10">
        <v>149</v>
      </c>
      <c r="CA776" s="10">
        <v>137</v>
      </c>
      <c r="CB776" s="10">
        <v>108</v>
      </c>
      <c r="CC776" s="10">
        <v>128</v>
      </c>
      <c r="CD776" s="10">
        <v>19.399999999999999</v>
      </c>
      <c r="CE776" s="10">
        <v>1606</v>
      </c>
      <c r="CF776" s="10">
        <v>1.31</v>
      </c>
      <c r="CG776" s="10">
        <v>2103</v>
      </c>
      <c r="CH776" s="10">
        <v>226</v>
      </c>
      <c r="CI776" s="10">
        <v>55</v>
      </c>
      <c r="CJ776" s="10">
        <v>70</v>
      </c>
      <c r="CK776" s="10">
        <v>324</v>
      </c>
      <c r="CL776" s="10">
        <v>33</v>
      </c>
      <c r="CM776" s="10">
        <v>268</v>
      </c>
      <c r="CN776" s="10">
        <v>0.47499999999999998</v>
      </c>
      <c r="CO776" s="10">
        <v>161</v>
      </c>
      <c r="CP776" s="10">
        <v>129</v>
      </c>
      <c r="CQ776" s="10">
        <v>163</v>
      </c>
      <c r="CR776" s="10">
        <v>6</v>
      </c>
      <c r="CS776" s="10">
        <v>11.5</v>
      </c>
      <c r="CT776" s="9" t="s">
        <v>169</v>
      </c>
      <c r="CU776" s="9" t="s">
        <v>185</v>
      </c>
      <c r="CV776" s="9" t="s">
        <v>198</v>
      </c>
      <c r="CW776" s="10"/>
      <c r="CX776">
        <f>INDEX('Data_Price '!AG$2:AG$1266,MATCH(Data!$DN776,'Data_Price '!$AT$2:$AT$1266,0))</f>
        <v>0</v>
      </c>
      <c r="CY776">
        <f>INDEX('Data_Price '!AH$2:AH$1266,MATCH(Data!$DN776,'Data_Price '!$AT$2:$AT$1266,0))</f>
        <v>0</v>
      </c>
      <c r="CZ776">
        <f>INDEX('Data_Price '!AI$2:AI$1266,MATCH(Data!$DN776,'Data_Price '!$AT$2:$AT$1266,0))</f>
        <v>0</v>
      </c>
      <c r="DA776">
        <f>INDEX('Data_Price '!AJ$2:AJ$1266,MATCH(Data!$DN776,'Data_Price '!$AT$2:$AT$1266,0))</f>
        <v>0</v>
      </c>
      <c r="DB776">
        <f>INDEX('Data_Price '!AK$2:AK$1266,MATCH(Data!$DN776,'Data_Price '!$AT$2:$AT$1266,0))</f>
        <v>0</v>
      </c>
      <c r="DC776">
        <f>INDEX('Data_Price '!AL$2:AL$1266,MATCH(Data!$DN776,'Data_Price '!$AT$2:$AT$1266,0))</f>
        <v>0</v>
      </c>
      <c r="DD776">
        <f>INDEX('Data_Price '!AM$2:AM$1266,MATCH(Data!$DN776,'Data_Price '!$AT$2:$AT$1266,0))</f>
        <v>0</v>
      </c>
      <c r="DE776">
        <f>INDEX('Data_Price '!AN$2:AN$1266,MATCH(Data!$DN776,'Data_Price '!$AT$2:$AT$1266,0))</f>
        <v>0</v>
      </c>
      <c r="DF776">
        <f>INDEX('Data_Price '!AO$2:AO$1266,MATCH(Data!$DN776,'Data_Price '!$AT$2:$AT$1266,0))</f>
        <v>0</v>
      </c>
      <c r="DG776">
        <f>INDEX('Data_Price '!AP$2:AP$1266,MATCH(Data!$DN776,'Data_Price '!$AT$2:$AT$1266,0))</f>
        <v>0</v>
      </c>
      <c r="DH776">
        <f>INDEX('Data_Price '!AQ$2:AQ$1266,MATCH(Data!$DN776,'Data_Price '!$AT$2:$AT$1266,0))</f>
        <v>0</v>
      </c>
      <c r="DI776">
        <f>INDEX('Data_Price '!AR$2:AR$1266,MATCH(Data!$DN776,'Data_Price '!$AT$2:$AT$1266,0))</f>
        <v>0</v>
      </c>
      <c r="DJ776" s="89">
        <f t="shared" si="439"/>
        <v>0</v>
      </c>
      <c r="DK776" s="89">
        <f t="shared" si="440"/>
        <v>0</v>
      </c>
      <c r="DL776" s="89">
        <f t="shared" si="441"/>
        <v>0</v>
      </c>
      <c r="DM776" s="219" t="str">
        <f t="shared" si="442"/>
        <v>Chinook 108</v>
      </c>
      <c r="DN776" s="89" t="str">
        <f t="shared" si="443"/>
        <v xml:space="preserve"> RaccoonChinook 108180 Unisex</v>
      </c>
      <c r="DO776" s="221"/>
    </row>
    <row r="777" spans="2:119" ht="15.6" customHeight="1">
      <c r="B777" s="219" t="b">
        <f t="array" ref="B777">IF(OR(ISERROR(K777:P777)),FALSE,TRUE)</f>
        <v>1</v>
      </c>
      <c r="C777" s="43" t="b">
        <f>OR(BR777=Driver!$G$50,Data!BR525=Driver!$H$50)</f>
        <v>1</v>
      </c>
      <c r="D777" s="43" t="b">
        <f>OR(BV777=Driver!$G$51,BV777=Driver!$H$51)</f>
        <v>1</v>
      </c>
      <c r="E777" s="43" t="b">
        <f>AND(BX777&gt;Driver!$F$54,BX777&lt;Driver!$G$54)</f>
        <v>1</v>
      </c>
      <c r="F777" s="43" t="b">
        <f>CL777&gt;Driver!$F$56</f>
        <v>1</v>
      </c>
      <c r="G777" s="43" t="b">
        <f>AND(CB777&gt;Driver!$F$55,CB777&lt;Driver!$G$55)</f>
        <v>0</v>
      </c>
      <c r="H777" s="43" t="b">
        <f t="shared" ref="H777:H840" si="444">AND(B777:G777)</f>
        <v>0</v>
      </c>
      <c r="I777" s="43">
        <f t="shared" ref="I777:I840" si="445">COUNTIFS($H$9:$H$1273,TRUE,$BT$9:$BT$1273,BT777)</f>
        <v>0</v>
      </c>
      <c r="J777" s="43" t="b">
        <f t="array" ref="J777">NOT(OR(($H$9:$H$1273=TRUE)*($I$9:$I$1273&gt;0)*($BT$9:$BT$1273=BT777)*($K$9:$K$1273&gt;K777)))</f>
        <v>1</v>
      </c>
      <c r="K777" s="72">
        <f t="shared" ref="K777:K840" si="446">IFERROR(1-AVERAGE(X777:Y777),"")</f>
        <v>0.79085160154249246</v>
      </c>
      <c r="L777" s="72">
        <f t="shared" ref="L777:L840" si="447">1-X777</f>
        <v>0.82796574904458986</v>
      </c>
      <c r="M777" s="72">
        <f t="shared" ref="M777:M840" si="448">1-Y777</f>
        <v>0.75373745404039505</v>
      </c>
      <c r="N777" s="72">
        <f t="shared" ref="N777:N840" si="449">1-Z777</f>
        <v>0.73281405220988671</v>
      </c>
      <c r="O777" s="72">
        <f t="shared" ref="O777:O840" si="450">1-AA777</f>
        <v>0.62967654272341078</v>
      </c>
      <c r="P777" s="72">
        <f t="shared" ref="P777:P840" si="451">1-AB777</f>
        <v>0.89872176718788777</v>
      </c>
      <c r="Q777" s="72"/>
      <c r="R777" s="72"/>
      <c r="S777" s="72">
        <f t="shared" ref="S777:S840" si="452">1-AE777</f>
        <v>0.4166675941711645</v>
      </c>
      <c r="T777" s="72">
        <f t="shared" ref="T777:T840" si="453">1-AF777</f>
        <v>0.5066059325511254</v>
      </c>
      <c r="U777" s="72">
        <f t="shared" ref="U777:U840" si="454">1-AG777</f>
        <v>0.55185267537854343</v>
      </c>
      <c r="V777" s="72">
        <f t="shared" ref="V777:V840" si="455">1-AH777</f>
        <v>0.5404966521046215</v>
      </c>
      <c r="W777" s="72">
        <f t="shared" ref="W777:W840" si="456">1-AI777</f>
        <v>0.90777726110206924</v>
      </c>
      <c r="X777" s="72">
        <f t="shared" ref="X777:X840" si="457">ABS(AJ777-AJ$1)</f>
        <v>0.17203425095541014</v>
      </c>
      <c r="Y777" s="72">
        <f t="shared" ref="Y777:Y840" si="458">AVERAGE(Z777:AB777)</f>
        <v>0.24626254595960492</v>
      </c>
      <c r="Z777" s="72">
        <f t="shared" ref="Z777:Z840" si="459">ABS(AL777-AL$1)</f>
        <v>0.26718594779011334</v>
      </c>
      <c r="AA777" s="72">
        <f t="shared" ref="AA777:AA840" si="460">ABS(AM777-AM$1)</f>
        <v>0.37032345727658927</v>
      </c>
      <c r="AB777" s="72">
        <f t="shared" ref="AB777:AB840" si="461">ABS(AN777-AN$1)</f>
        <v>0.10127823281211218</v>
      </c>
      <c r="AC777" s="72"/>
      <c r="AD777" s="72"/>
      <c r="AE777" s="72">
        <f t="shared" ref="AE777:AE840" si="462">ABS(AQ$1-AQ777)</f>
        <v>0.5833324058288355</v>
      </c>
      <c r="AF777" s="72">
        <f t="shared" ref="AF777:AF840" si="463">ABS(AR$1-AR777)</f>
        <v>0.4933940674488746</v>
      </c>
      <c r="AG777" s="72">
        <f t="shared" ref="AG777:AG840" si="464">ABS(AS$1-AS777)</f>
        <v>0.44814732462145657</v>
      </c>
      <c r="AH777" s="72">
        <f t="shared" ref="AH777:AH840" si="465">ABS(AT$1-AT777)</f>
        <v>0.45950334789537844</v>
      </c>
      <c r="AI777" s="72">
        <f t="shared" ref="AI777:AI840" si="466">ABS(AU$1-AU777)</f>
        <v>9.2222738897930728E-2</v>
      </c>
      <c r="AJ777" s="72">
        <f>(AV777-Driver!$K$179)/(Driver!$L$179-Driver!$K$179)</f>
        <v>8.21851583272903E-2</v>
      </c>
      <c r="AK777" s="72">
        <f>(AW777-Driver!$K$180)/(Driver!$L$180-Driver!$K$180)</f>
        <v>0.1691099161469313</v>
      </c>
      <c r="AL777" s="72">
        <f>(AX777-Driver!$K$181)/(Driver!$L$181-Driver!$K$181)</f>
        <v>0.36887371150319354</v>
      </c>
      <c r="AM777" s="72">
        <f>(AY777-Driver!$K$182)/(Driver!$L$182-Driver!$K$182)</f>
        <v>7.7061563820457091E-2</v>
      </c>
      <c r="AN777" s="72">
        <f>(AZ777-Driver!$K$183)/(Driver!$L$183-Driver!$K$183)</f>
        <v>0.15294117647058825</v>
      </c>
      <c r="AO777" s="72"/>
      <c r="AP777" s="72"/>
      <c r="AQ777" s="72">
        <f>(BC777-Driver!$K$188)/(Driver!$L$188-Driver!$K$188)</f>
        <v>3.6667594171164448E-2</v>
      </c>
      <c r="AR777" s="72">
        <f>MIN((BD777-Driver!$K$189)/(Driver!$L$189-Driver!$K$189),100%)</f>
        <v>5.6605932551125462E-2</v>
      </c>
      <c r="AS777" s="72">
        <f>(BE777-Driver!$K$190)/(Driver!$L$190-Driver!$K$190)</f>
        <v>6.1852675378543463E-2</v>
      </c>
      <c r="AT777" s="72">
        <f>(BF777-Driver!$K$191)/(Driver!$L$191-Driver!$K$191)</f>
        <v>5.0496652104621557E-2</v>
      </c>
      <c r="AU777" s="72">
        <f>(BG777-Driver!$K$192)/(Driver!$L$192-Driver!$K$192)</f>
        <v>0.15777726110206927</v>
      </c>
      <c r="AV777" s="70">
        <f t="shared" ref="AV777:AV840" si="467">IFERROR(BM777*BJ777^1/4,"")</f>
        <v>1.7297517297517297</v>
      </c>
      <c r="AW777" s="70">
        <f t="shared" ref="AW777:AW840" si="468">IFERROR(SUM(AX777:AZ777),"")</f>
        <v>18.353152416270298</v>
      </c>
      <c r="AX777" s="70">
        <f t="shared" ref="AX777:AX840" si="469">IFERROR(BH777,"")</f>
        <v>4.3198634035287418</v>
      </c>
      <c r="AY777" s="70">
        <f>IFERROR(Driver!$K$19/Data!BH777/Data!BI777*Data!BK777*Data!BL777,"")</f>
        <v>9.4346347067692835E-2</v>
      </c>
      <c r="AZ777" s="70">
        <f t="shared" ref="AZ777:AZ840" si="470">IFERROR(BI777*BN777,"")</f>
        <v>13.938942665673865</v>
      </c>
      <c r="BA777" s="70"/>
      <c r="BB777" s="70"/>
      <c r="BC777" s="70">
        <f t="shared" ref="BC777:BC840" si="471">IFERROR(BI777*BN777*BK777/BJ777^(1/2),"")</f>
        <v>19.019736005562141</v>
      </c>
      <c r="BD777" s="70">
        <f t="shared" ref="BD777:BD840" si="472">IFERROR(BH777*BM777*BL777/BJ777/BK777,"")</f>
        <v>6.7303476150948995</v>
      </c>
      <c r="BE777" s="70">
        <f t="shared" ref="BE777:BE840" si="473">IFERROR(MIN(BI777/BQ777/BP777/BO777/BH777,$BE$1),"")</f>
        <v>6.2020030301958011E-2</v>
      </c>
      <c r="BF777" s="70">
        <f t="shared" ref="BF777:BF840" si="474">IFERROR(BJ777*BO777*BP777/BK777,"")</f>
        <v>5.7032420961580064</v>
      </c>
      <c r="BG777" s="70">
        <f t="shared" ref="BG777:BG840" si="475">IFERROR(1/BM777/BH777*BQ777,"")</f>
        <v>0.59744536154382699</v>
      </c>
      <c r="BH777" s="67">
        <f>MAX((CE777-Driver!$F$200)/(Driver!$G$200-Driver!$F$200)*$BI$1,1)</f>
        <v>4.3198634035287418</v>
      </c>
      <c r="BI777" s="67">
        <f>MAX($BI$1*(BY777-Driver!$F$201)/(Driver!$G$201-Driver!$F$201),1)</f>
        <v>6.5822784810126587</v>
      </c>
      <c r="BJ777" s="67">
        <f>(CB777-Driver!$F$206)/(Driver!$G$206-Driver!$F$206)*$BI$1</f>
        <v>3.1746031746031744</v>
      </c>
      <c r="BK777" s="67">
        <f>(CD777-Driver!$F$203)/(Driver!$G$203-Driver!$F$203)*$BI$1</f>
        <v>2.4311926605504586</v>
      </c>
      <c r="BL777" s="67">
        <f>MAX((CR777-Driver!$F$202)/(Driver!$G$202-Driver!$F$202)*$BI$1,1)</f>
        <v>5.5172413793103452</v>
      </c>
      <c r="BM777" s="67">
        <f>MAX((CH777-Driver!$F$204)/(Driver!$G$204-Driver!$F$204)*$BI$1,1)</f>
        <v>2.1794871794871797</v>
      </c>
      <c r="BN777" s="67">
        <f>(CI777-Driver!$F$205)/(Driver!$G$205-Driver!$F$205)*$BI$1</f>
        <v>2.1176470588235294</v>
      </c>
      <c r="BO777" s="67">
        <f>(CK777-Driver!$F$207)/(Driver!$G$207-Driver!$F$207)*$BI$1</f>
        <v>1.7786970010341261</v>
      </c>
      <c r="BP777" s="67">
        <f>(CM777-Driver!$F$208)/(Driver!$G$208-Driver!$F$208)*$BI$1</f>
        <v>2.4555555555555557</v>
      </c>
      <c r="BQ777" s="67">
        <f>(CL777-Driver!$F$209)/(Driver!$G$209-Driver!$F$209)*$BI$1</f>
        <v>5.625</v>
      </c>
      <c r="BR777" s="28" t="s">
        <v>155</v>
      </c>
      <c r="BS777" s="8" t="s">
        <v>205</v>
      </c>
      <c r="BT777" s="9" t="s">
        <v>673</v>
      </c>
      <c r="BU777" s="10">
        <v>164</v>
      </c>
      <c r="BV777" s="9" t="s">
        <v>158</v>
      </c>
      <c r="BW777" s="10">
        <v>164</v>
      </c>
      <c r="BX777" s="10">
        <v>162.5</v>
      </c>
      <c r="BY777" s="10">
        <v>112</v>
      </c>
      <c r="BZ777" s="10">
        <v>138</v>
      </c>
      <c r="CA777" s="10">
        <v>117</v>
      </c>
      <c r="CB777" s="10">
        <v>84</v>
      </c>
      <c r="CC777" s="10">
        <v>109</v>
      </c>
      <c r="CD777" s="10">
        <v>14.7</v>
      </c>
      <c r="CE777" s="10">
        <v>1659</v>
      </c>
      <c r="CF777" s="10">
        <v>0.94</v>
      </c>
      <c r="CG777" s="10">
        <v>1559</v>
      </c>
      <c r="CH777" s="10">
        <v>152</v>
      </c>
      <c r="CI777" s="10">
        <v>69</v>
      </c>
      <c r="CJ777" s="10">
        <v>49</v>
      </c>
      <c r="CK777" s="10">
        <v>282</v>
      </c>
      <c r="CL777" s="10">
        <v>36</v>
      </c>
      <c r="CM777" s="10">
        <v>221</v>
      </c>
      <c r="CN777" s="10">
        <v>0.72799999999999998</v>
      </c>
      <c r="CO777" s="10">
        <v>136</v>
      </c>
      <c r="CP777" s="10">
        <v>114</v>
      </c>
      <c r="CQ777" s="10">
        <v>146</v>
      </c>
      <c r="CR777" s="10">
        <v>5</v>
      </c>
      <c r="CS777" s="10">
        <v>6.9</v>
      </c>
      <c r="CT777" s="9" t="s">
        <v>188</v>
      </c>
      <c r="CU777" s="10"/>
      <c r="CV777" s="10"/>
      <c r="CW777" s="10"/>
      <c r="CX777" t="str">
        <f>INDEX('Data_Price '!AG$2:AG$1266,MATCH(Data!$DN777,'Data_Price '!$AT$2:$AT$1266,0))</f>
        <v>Faction Prodigy 0.0 with M10 GW Binding Skis</v>
      </c>
      <c r="CY777" t="str">
        <f>INDEX('Data_Price '!AH$2:AH$1266,MATCH(Data!$DN777,'Data_Price '!$AT$2:$AT$1266,0))</f>
        <v>Backcountry.com</v>
      </c>
      <c r="CZ777">
        <f>INDEX('Data_Price '!AI$2:AI$1266,MATCH(Data!$DN777,'Data_Price '!$AT$2:$AT$1266,0))</f>
        <v>314.27</v>
      </c>
      <c r="DA777" t="str">
        <f>INDEX('Data_Price '!AJ$2:AJ$1266,MATCH(Data!$DN777,'Data_Price '!$AT$2:$AT$1266,0))</f>
        <v>https://tinyurl.com/y6uqwtul</v>
      </c>
      <c r="DB777" t="str">
        <f>INDEX('Data_Price '!AK$2:AK$1266,MATCH(Data!$DN777,'Data_Price '!$AT$2:$AT$1266,0))</f>
        <v>Prodigy 0.0 164</v>
      </c>
      <c r="DC777" t="str">
        <f>INDEX('Data_Price '!AL$2:AL$1266,MATCH(Data!$DN777,'Data_Price '!$AT$2:$AT$1266,0))</f>
        <v>BS The Board Shop</v>
      </c>
      <c r="DD777">
        <f>INDEX('Data_Price '!AM$2:AM$1266,MATCH(Data!$DN777,'Data_Price '!$AT$2:$AT$1266,0))</f>
        <v>329.95</v>
      </c>
      <c r="DE777" t="str">
        <f>INDEX('Data_Price '!AN$2:AN$1266,MATCH(Data!$DN777,'Data_Price '!$AT$2:$AT$1266,0))</f>
        <v>https://tinyurl.com/yd25cffg</v>
      </c>
      <c r="DF777" t="str">
        <f>INDEX('Data_Price '!AO$2:AO$1266,MATCH(Data!$DN777,'Data_Price '!$AT$2:$AT$1266,0))</f>
        <v>Faction - Prodigy 1.0 - 164</v>
      </c>
      <c r="DG777" t="str">
        <f>INDEX('Data_Price '!AP$2:AP$1266,MATCH(Data!$DN777,'Data_Price '!$AT$2:$AT$1266,0))</f>
        <v>Gear West Ski &amp; Bike</v>
      </c>
      <c r="DH777">
        <f>INDEX('Data_Price '!AQ$2:AQ$1266,MATCH(Data!$DN777,'Data_Price '!$AT$2:$AT$1266,0))</f>
        <v>449</v>
      </c>
      <c r="DI777" t="str">
        <f>INDEX('Data_Price '!AR$2:AR$1266,MATCH(Data!$DN777,'Data_Price '!$AT$2:$AT$1266,0))</f>
        <v>https://tinyurl.com/y7y85nhh</v>
      </c>
      <c r="DJ777" s="89" t="str">
        <f t="shared" ref="DJ777:DJ840" si="476">DA777</f>
        <v>https://tinyurl.com/y6uqwtul</v>
      </c>
      <c r="DK777" s="89" t="str">
        <f t="shared" ref="DK777:DK840" si="477">DE777</f>
        <v>https://tinyurl.com/yd25cffg</v>
      </c>
      <c r="DL777" s="89" t="str">
        <f t="shared" ref="DL777:DL840" si="478">DI777</f>
        <v>https://tinyurl.com/y7y85nhh</v>
      </c>
      <c r="DM777" s="219" t="str">
        <f t="shared" ref="DM777:DM840" si="479">IF(LEFT(BT777,1)=" ",RIGHT(BT777,LEN(BT777)-1),BT777)</f>
        <v>Prodigy 0.0</v>
      </c>
      <c r="DN777" s="89" t="str">
        <f t="shared" ref="DN777:DN840" si="480">_xlfn.CONCAT(BS777,DM777,BU777,BV777)</f>
        <v xml:space="preserve"> FactionProdigy 0.0164 Unisex</v>
      </c>
      <c r="DO777" s="221"/>
    </row>
    <row r="778" spans="2:119" ht="15.6" customHeight="1">
      <c r="B778" s="219" t="b">
        <f t="array" ref="B778">IF(OR(ISERROR(K778:P778)),FALSE,TRUE)</f>
        <v>1</v>
      </c>
      <c r="C778" s="43" t="b">
        <f>OR(BR778=Driver!$G$50,Data!BR1037=Driver!$H$50)</f>
        <v>1</v>
      </c>
      <c r="D778" s="43" t="b">
        <f>OR(BV778=Driver!$G$51,BV778=Driver!$H$51)</f>
        <v>1</v>
      </c>
      <c r="E778" s="43" t="b">
        <f>AND(BX778&gt;Driver!$F$54,BX778&lt;Driver!$G$54)</f>
        <v>1</v>
      </c>
      <c r="F778" s="43" t="b">
        <f>CL778&gt;Driver!$F$56</f>
        <v>1</v>
      </c>
      <c r="G778" s="43" t="b">
        <f>AND(CB778&gt;Driver!$F$55,CB778&lt;Driver!$G$55)</f>
        <v>0</v>
      </c>
      <c r="H778" s="43" t="b">
        <f t="shared" si="444"/>
        <v>0</v>
      </c>
      <c r="I778" s="43">
        <f t="shared" si="445"/>
        <v>0</v>
      </c>
      <c r="J778" s="43" t="b">
        <f t="array" ref="J778">NOT(OR(($H$9:$H$1273=TRUE)*($I$9:$I$1273&gt;0)*($BT$9:$BT$1273=BT778)*($K$9:$K$1273&gt;K778)))</f>
        <v>1</v>
      </c>
      <c r="K778" s="72">
        <f t="shared" si="446"/>
        <v>0.72051269043807165</v>
      </c>
      <c r="L778" s="72">
        <f t="shared" si="447"/>
        <v>0.76656860135302596</v>
      </c>
      <c r="M778" s="72">
        <f t="shared" si="448"/>
        <v>0.67445677952311722</v>
      </c>
      <c r="N778" s="72">
        <f t="shared" si="449"/>
        <v>0.5121095685571958</v>
      </c>
      <c r="O778" s="72">
        <f t="shared" si="450"/>
        <v>0.56831587053337707</v>
      </c>
      <c r="P778" s="72">
        <f t="shared" si="451"/>
        <v>0.9429448994787788</v>
      </c>
      <c r="Q778" s="72"/>
      <c r="R778" s="72"/>
      <c r="S778" s="72">
        <f t="shared" si="452"/>
        <v>0.43089886333498484</v>
      </c>
      <c r="T778" s="72">
        <f t="shared" si="453"/>
        <v>0.55000000000000004</v>
      </c>
      <c r="U778" s="72">
        <f t="shared" si="454"/>
        <v>0.51</v>
      </c>
      <c r="V778" s="72">
        <f t="shared" si="455"/>
        <v>0.49134427665831271</v>
      </c>
      <c r="W778" s="72">
        <f t="shared" si="456"/>
        <v>0.75712156829821176</v>
      </c>
      <c r="X778" s="72">
        <f t="shared" si="457"/>
        <v>0.23343139864697404</v>
      </c>
      <c r="Y778" s="72">
        <f t="shared" si="458"/>
        <v>0.32554322047688278</v>
      </c>
      <c r="Z778" s="72">
        <f t="shared" si="459"/>
        <v>0.4878904314428042</v>
      </c>
      <c r="AA778" s="72">
        <f t="shared" si="460"/>
        <v>0.43168412946662293</v>
      </c>
      <c r="AB778" s="72">
        <f t="shared" si="461"/>
        <v>5.7055100521221203E-2</v>
      </c>
      <c r="AC778" s="72"/>
      <c r="AD778" s="72"/>
      <c r="AE778" s="72">
        <f t="shared" si="462"/>
        <v>0.56910113666501516</v>
      </c>
      <c r="AF778" s="72">
        <f t="shared" si="463"/>
        <v>0.44999999999999996</v>
      </c>
      <c r="AG778" s="72">
        <f t="shared" si="464"/>
        <v>0.49</v>
      </c>
      <c r="AH778" s="72">
        <f t="shared" si="465"/>
        <v>0.50865572334168729</v>
      </c>
      <c r="AI778" s="72">
        <f t="shared" si="466"/>
        <v>0.24287843170178827</v>
      </c>
      <c r="AJ778" s="72">
        <f>(AV778-Driver!$K$179)/(Driver!$L$179-Driver!$K$179)</f>
        <v>2.078801063572637E-2</v>
      </c>
      <c r="AK778" s="72">
        <f>(AW778-Driver!$K$180)/(Driver!$L$180-Driver!$K$180)</f>
        <v>0.33678678182693922</v>
      </c>
      <c r="AL778" s="72">
        <f>(AX778-Driver!$K$181)/(Driver!$L$181-Driver!$K$181)</f>
        <v>0.58957819515588439</v>
      </c>
      <c r="AM778" s="72">
        <f>(AY778-Driver!$K$182)/(Driver!$L$182-Driver!$K$182)</f>
        <v>1.5700891630423458E-2</v>
      </c>
      <c r="AN778" s="72">
        <f>(AZ778-Driver!$K$183)/(Driver!$L$183-Driver!$K$183)</f>
        <v>0.31127450980392163</v>
      </c>
      <c r="AO778" s="72"/>
      <c r="AP778" s="72"/>
      <c r="AQ778" s="72">
        <f>(BC778-Driver!$K$188)/(Driver!$L$188-Driver!$K$188)</f>
        <v>5.0898863334984848E-2</v>
      </c>
      <c r="AR778" s="72">
        <f>MIN((BD778-Driver!$K$189)/(Driver!$L$189-Driver!$K$189),100%)</f>
        <v>1</v>
      </c>
      <c r="AS778" s="72">
        <f>(BE778-Driver!$K$190)/(Driver!$L$190-Driver!$K$190)</f>
        <v>1</v>
      </c>
      <c r="AT778" s="72">
        <f>(BF778-Driver!$K$191)/(Driver!$L$191-Driver!$K$191)</f>
        <v>1.3442766583127185E-3</v>
      </c>
      <c r="AU778" s="72">
        <f>(BG778-Driver!$K$192)/(Driver!$L$192-Driver!$K$192)</f>
        <v>7.1215682982117348E-3</v>
      </c>
      <c r="AV778" s="70">
        <f t="shared" si="467"/>
        <v>0.43752543752543754</v>
      </c>
      <c r="AW778" s="70">
        <f t="shared" si="468"/>
        <v>34.694748744961828</v>
      </c>
      <c r="AX778" s="70">
        <f t="shared" si="469"/>
        <v>6.3062037564029598</v>
      </c>
      <c r="AY778" s="70">
        <f>IFERROR(Driver!$K$19/Data!BH778/Data!BI778*Data!BK778*Data!BL778,"")</f>
        <v>1.9222576049552308E-2</v>
      </c>
      <c r="AZ778" s="70">
        <f t="shared" si="470"/>
        <v>28.369322412509312</v>
      </c>
      <c r="BA778" s="70"/>
      <c r="BB778" s="70"/>
      <c r="BC778" s="70">
        <f t="shared" si="471"/>
        <v>26.401594255013944</v>
      </c>
      <c r="BD778" s="70">
        <f t="shared" si="472"/>
        <v>574.94066678844786</v>
      </c>
      <c r="BE778" s="70">
        <f t="shared" si="473"/>
        <v>1</v>
      </c>
      <c r="BF778" s="70">
        <f t="shared" si="474"/>
        <v>0.15182660447839935</v>
      </c>
      <c r="BG778" s="70">
        <f t="shared" si="475"/>
        <v>2.6966800646461248E-2</v>
      </c>
      <c r="BH778" s="67">
        <f>MAX((CE778-Driver!$F$200)/(Driver!$G$200-Driver!$F$200)*$BI$1,1)</f>
        <v>6.3062037564029598</v>
      </c>
      <c r="BI778" s="67">
        <f>MAX($BI$1*(BY778-Driver!$F$201)/(Driver!$G$201-Driver!$F$201),1)</f>
        <v>8.037974683544304</v>
      </c>
      <c r="BJ778" s="67">
        <f>(CB778-Driver!$F$206)/(Driver!$G$206-Driver!$F$206)*$BI$1</f>
        <v>0.47619047619047616</v>
      </c>
      <c r="BK778" s="67">
        <f>(CD778-Driver!$F$203)/(Driver!$G$203-Driver!$F$203)*$BI$1</f>
        <v>0.64220183486238569</v>
      </c>
      <c r="BL778" s="67">
        <f>MAX((CR778-Driver!$F$202)/(Driver!$G$202-Driver!$F$202)*$BI$1,1)</f>
        <v>7.5862068965517242</v>
      </c>
      <c r="BM778" s="67">
        <f>MAX((CH778-Driver!$F$204)/(Driver!$G$204-Driver!$F$204)*$BI$1,1)</f>
        <v>3.6752136752136755</v>
      </c>
      <c r="BN778" s="67">
        <f>(CI778-Driver!$F$205)/(Driver!$G$205-Driver!$F$205)*$BI$1</f>
        <v>3.5294117647058827</v>
      </c>
      <c r="BO778" s="67">
        <f>(CK778-Driver!$F$207)/(Driver!$G$207-Driver!$F$207)*$BI$1</f>
        <v>0.27921406411582211</v>
      </c>
      <c r="BP778" s="67">
        <f>(CM778-Driver!$F$208)/(Driver!$G$208-Driver!$F$208)*$BI$1</f>
        <v>0.73333333333333339</v>
      </c>
      <c r="BQ778" s="67">
        <f>(CL778-Driver!$F$209)/(Driver!$G$209-Driver!$F$209)*$BI$1</f>
        <v>0.625</v>
      </c>
      <c r="BR778" s="28" t="s">
        <v>155</v>
      </c>
      <c r="BS778" s="8" t="s">
        <v>172</v>
      </c>
      <c r="BT778" s="9" t="s">
        <v>751</v>
      </c>
      <c r="BU778" s="10">
        <v>157</v>
      </c>
      <c r="BV778" s="9" t="s">
        <v>158</v>
      </c>
      <c r="BW778" s="10">
        <v>157</v>
      </c>
      <c r="BX778" s="10">
        <v>155.4</v>
      </c>
      <c r="BY778" s="10">
        <v>135</v>
      </c>
      <c r="BZ778" s="10">
        <v>142</v>
      </c>
      <c r="CA778" s="10">
        <v>121</v>
      </c>
      <c r="CB778" s="10">
        <v>67</v>
      </c>
      <c r="CC778" s="10">
        <v>102</v>
      </c>
      <c r="CD778" s="10">
        <v>10.8</v>
      </c>
      <c r="CE778" s="10">
        <v>2008</v>
      </c>
      <c r="CF778" s="10">
        <v>0.65</v>
      </c>
      <c r="CG778" s="10">
        <v>1308</v>
      </c>
      <c r="CH778" s="10">
        <v>187</v>
      </c>
      <c r="CI778" s="10">
        <v>93</v>
      </c>
      <c r="CJ778" s="10">
        <v>39</v>
      </c>
      <c r="CK778" s="10">
        <v>137</v>
      </c>
      <c r="CL778" s="10">
        <v>4</v>
      </c>
      <c r="CM778" s="10">
        <v>66</v>
      </c>
      <c r="CN778" s="10">
        <v>0.114</v>
      </c>
      <c r="CO778" s="10">
        <v>74</v>
      </c>
      <c r="CP778" s="10">
        <v>62</v>
      </c>
      <c r="CQ778" s="10">
        <v>64</v>
      </c>
      <c r="CR778" s="10">
        <v>11</v>
      </c>
      <c r="CS778" s="10">
        <v>8.1</v>
      </c>
      <c r="CT778" s="9" t="s">
        <v>349</v>
      </c>
      <c r="CU778" s="10"/>
      <c r="CV778" s="10"/>
      <c r="CW778" s="10"/>
      <c r="CX778" t="str">
        <f>INDEX('Data_Price '!AG$2:AG$1266,MATCH(Data!$DN778,'Data_Price '!$AT$2:$AT$1266,0))</f>
        <v>Rossignol Unisex Racing Skis Hero Elite St Ti (R22)</v>
      </c>
      <c r="CY778" t="str">
        <f>INDEX('Data_Price '!AH$2:AH$1266,MATCH(Data!$DN778,'Data_Price '!$AT$2:$AT$1266,0))</f>
        <v>Bobleisure</v>
      </c>
      <c r="CZ778">
        <f>INDEX('Data_Price '!AI$2:AI$1266,MATCH(Data!$DN778,'Data_Price '!$AT$2:$AT$1266,0))</f>
        <v>651.20000000000005</v>
      </c>
      <c r="DA778" t="str">
        <f>INDEX('Data_Price '!AJ$2:AJ$1266,MATCH(Data!$DN778,'Data_Price '!$AT$2:$AT$1266,0))</f>
        <v>https://tinyurl.com/y948rmlj</v>
      </c>
      <c r="DB778" t="str">
        <f>INDEX('Data_Price '!AK$2:AK$1266,MATCH(Data!$DN778,'Data_Price '!$AT$2:$AT$1266,0))</f>
        <v>Rossignol Hero Elite ST TI K/SPX14 K.GWB 157cm</v>
      </c>
      <c r="DC778" t="str">
        <f>INDEX('Data_Price '!AL$2:AL$1266,MATCH(Data!$DN778,'Data_Price '!$AT$2:$AT$1266,0))</f>
        <v>Sundance Ski and Board Shop</v>
      </c>
      <c r="DD778">
        <f>INDEX('Data_Price '!AM$2:AM$1266,MATCH(Data!$DN778,'Data_Price '!$AT$2:$AT$1266,0))</f>
        <v>721.3</v>
      </c>
      <c r="DE778" t="str">
        <f>INDEX('Data_Price '!AN$2:AN$1266,MATCH(Data!$DN778,'Data_Price '!$AT$2:$AT$1266,0))</f>
        <v>https://tinyurl.com/ycgoyt7l</v>
      </c>
      <c r="DF778" t="str">
        <f>INDEX('Data_Price '!AO$2:AO$1266,MATCH(Data!$DN778,'Data_Price '!$AT$2:$AT$1266,0))</f>
        <v>Rossignol Unisex Racing Skis Hero Athlete Fis SL (R22) 157</v>
      </c>
      <c r="DG778" t="str">
        <f>INDEX('Data_Price '!AP$2:AP$1266,MATCH(Data!$DN778,'Data_Price '!$AT$2:$AT$1266,0))</f>
        <v>eBay - skitrader-com</v>
      </c>
      <c r="DH778">
        <f>INDEX('Data_Price '!AQ$2:AQ$1266,MATCH(Data!$DN778,'Data_Price '!$AT$2:$AT$1266,0))</f>
        <v>845.96</v>
      </c>
      <c r="DI778" t="str">
        <f>INDEX('Data_Price '!AR$2:AR$1266,MATCH(Data!$DN778,'Data_Price '!$AT$2:$AT$1266,0))</f>
        <v>https://tinyurl.com/yb6l9clu</v>
      </c>
      <c r="DJ778" s="89" t="str">
        <f t="shared" si="476"/>
        <v>https://tinyurl.com/y948rmlj</v>
      </c>
      <c r="DK778" s="89" t="str">
        <f t="shared" si="477"/>
        <v>https://tinyurl.com/ycgoyt7l</v>
      </c>
      <c r="DL778" s="89" t="str">
        <f t="shared" si="478"/>
        <v>https://tinyurl.com/yb6l9clu</v>
      </c>
      <c r="DM778" s="219" t="str">
        <f t="shared" si="479"/>
        <v>Hero Elite ST Ti (R22)</v>
      </c>
      <c r="DN778" s="89" t="str">
        <f t="shared" si="480"/>
        <v xml:space="preserve"> RossignolHero Elite ST Ti (R22)157 Unisex</v>
      </c>
      <c r="DO778" s="221"/>
    </row>
    <row r="779" spans="2:119" ht="15.6" customHeight="1">
      <c r="B779" s="219" t="b">
        <f t="array" ref="B779">IF(OR(ISERROR(K779:P779)),FALSE,TRUE)</f>
        <v>1</v>
      </c>
      <c r="C779" s="43" t="b">
        <f>OR(BR779=Driver!$G$50,Data!BR167=Driver!$H$50)</f>
        <v>1</v>
      </c>
      <c r="D779" s="43" t="b">
        <f>OR(BV779=Driver!$G$51,BV779=Driver!$H$51)</f>
        <v>1</v>
      </c>
      <c r="E779" s="43" t="b">
        <f>AND(BX779&gt;Driver!$F$54,BX779&lt;Driver!$G$54)</f>
        <v>0</v>
      </c>
      <c r="F779" s="43" t="b">
        <f>CL779&gt;Driver!$F$56</f>
        <v>1</v>
      </c>
      <c r="G779" s="43" t="b">
        <f>AND(CB779&gt;Driver!$F$55,CB779&lt;Driver!$G$55)</f>
        <v>0</v>
      </c>
      <c r="H779" s="43" t="b">
        <f t="shared" si="444"/>
        <v>0</v>
      </c>
      <c r="I779" s="43">
        <f t="shared" si="445"/>
        <v>0</v>
      </c>
      <c r="J779" s="43" t="b">
        <f t="array" ref="J779">NOT(OR(($H$9:$H$1273=TRUE)*($I$9:$I$1273&gt;0)*($BT$9:$BT$1273=BT779)*($K$9:$K$1273&gt;K779)))</f>
        <v>1</v>
      </c>
      <c r="K779" s="72">
        <f t="shared" si="446"/>
        <v>0.8268576872595641</v>
      </c>
      <c r="L779" s="72">
        <f t="shared" si="447"/>
        <v>0.95704479182921642</v>
      </c>
      <c r="M779" s="72">
        <f t="shared" si="448"/>
        <v>0.69667058268991178</v>
      </c>
      <c r="N779" s="72">
        <f t="shared" si="449"/>
        <v>0.71068036473755369</v>
      </c>
      <c r="O779" s="72">
        <f t="shared" si="450"/>
        <v>0.68230151653314119</v>
      </c>
      <c r="P779" s="72">
        <f t="shared" si="451"/>
        <v>0.69702986679904022</v>
      </c>
      <c r="Q779" s="72"/>
      <c r="R779" s="72"/>
      <c r="S779" s="72">
        <f t="shared" si="452"/>
        <v>0.58918289211085206</v>
      </c>
      <c r="T779" s="72">
        <f t="shared" si="453"/>
        <v>0.54566562985689093</v>
      </c>
      <c r="U779" s="72">
        <f t="shared" si="454"/>
        <v>0.83928434097790872</v>
      </c>
      <c r="V779" s="72">
        <f t="shared" si="455"/>
        <v>0.51289677274098766</v>
      </c>
      <c r="W779" s="72">
        <f t="shared" si="456"/>
        <v>0.77061679703035924</v>
      </c>
      <c r="X779" s="72">
        <f t="shared" si="457"/>
        <v>4.2955208170783604E-2</v>
      </c>
      <c r="Y779" s="72">
        <f t="shared" si="458"/>
        <v>0.30332941731008828</v>
      </c>
      <c r="Z779" s="72">
        <f t="shared" si="459"/>
        <v>0.28931963526244631</v>
      </c>
      <c r="AA779" s="72">
        <f t="shared" si="460"/>
        <v>0.31769848346685881</v>
      </c>
      <c r="AB779" s="72">
        <f t="shared" si="461"/>
        <v>0.30297013320095972</v>
      </c>
      <c r="AC779" s="72"/>
      <c r="AD779" s="72"/>
      <c r="AE779" s="72">
        <f t="shared" si="462"/>
        <v>0.41081710788914794</v>
      </c>
      <c r="AF779" s="72">
        <f t="shared" si="463"/>
        <v>0.45433437014310901</v>
      </c>
      <c r="AG779" s="72">
        <f t="shared" si="464"/>
        <v>0.16071565902209128</v>
      </c>
      <c r="AH779" s="72">
        <f t="shared" si="465"/>
        <v>0.48710322725901234</v>
      </c>
      <c r="AI779" s="72">
        <f t="shared" si="466"/>
        <v>0.22938320296964071</v>
      </c>
      <c r="AJ779" s="72">
        <f>(AV779-Driver!$K$179)/(Driver!$L$179-Driver!$K$179)</f>
        <v>0.21126420111191682</v>
      </c>
      <c r="AK779" s="72">
        <f>(AW779-Driver!$K$180)/(Driver!$L$180-Driver!$K$180)</f>
        <v>0.54985026718454166</v>
      </c>
      <c r="AL779" s="72">
        <f>(AX779-Driver!$K$181)/(Driver!$L$181-Driver!$K$181)</f>
        <v>0.3910073989755265</v>
      </c>
      <c r="AM779" s="72">
        <f>(AY779-Driver!$K$182)/(Driver!$L$182-Driver!$K$182)</f>
        <v>0.12968653763018756</v>
      </c>
      <c r="AN779" s="72">
        <f>(AZ779-Driver!$K$183)/(Driver!$L$183-Driver!$K$183)</f>
        <v>0.55718954248366015</v>
      </c>
      <c r="AO779" s="72"/>
      <c r="AP779" s="72"/>
      <c r="AQ779" s="72">
        <f>(BC779-Driver!$K$188)/(Driver!$L$188-Driver!$K$188)</f>
        <v>0.20918289211085203</v>
      </c>
      <c r="AR779" s="72">
        <f>MIN((BD779-Driver!$K$189)/(Driver!$L$189-Driver!$K$189),100%)</f>
        <v>9.5665629856891032E-2</v>
      </c>
      <c r="AS779" s="72">
        <f>(BE779-Driver!$K$190)/(Driver!$L$190-Driver!$K$190)</f>
        <v>0.34928434097790872</v>
      </c>
      <c r="AT779" s="72">
        <f>(BF779-Driver!$K$191)/(Driver!$L$191-Driver!$K$191)</f>
        <v>2.2896772740987646E-2</v>
      </c>
      <c r="AU779" s="72">
        <f>(BG779-Driver!$K$192)/(Driver!$L$192-Driver!$K$192)</f>
        <v>2.0616797030359277E-2</v>
      </c>
      <c r="AV779" s="70">
        <f t="shared" si="467"/>
        <v>4.4464794464794464</v>
      </c>
      <c r="AW779" s="70">
        <f t="shared" si="468"/>
        <v>55.459673327597038</v>
      </c>
      <c r="AX779" s="70">
        <f t="shared" si="469"/>
        <v>4.5190665907797385</v>
      </c>
      <c r="AY779" s="70">
        <f>IFERROR(Driver!$K$19/Data!BH779/Data!BI779*Data!BK779*Data!BL779,"")</f>
        <v>0.15877501678751305</v>
      </c>
      <c r="AZ779" s="70">
        <f t="shared" si="470"/>
        <v>50.781831720029786</v>
      </c>
      <c r="BA779" s="70"/>
      <c r="BB779" s="70"/>
      <c r="BC779" s="70">
        <f t="shared" si="471"/>
        <v>108.50462035377231</v>
      </c>
      <c r="BD779" s="70">
        <f t="shared" si="472"/>
        <v>10.187061616966879</v>
      </c>
      <c r="BE779" s="70">
        <f t="shared" si="473"/>
        <v>0.34940042132736154</v>
      </c>
      <c r="BF779" s="70">
        <f t="shared" si="474"/>
        <v>2.586029622162068</v>
      </c>
      <c r="BG779" s="70">
        <f t="shared" si="475"/>
        <v>7.8068345651597523E-2</v>
      </c>
      <c r="BH779" s="67">
        <f>MAX((CE779-Driver!$F$200)/(Driver!$G$200-Driver!$F$200)*$BI$1,1)</f>
        <v>4.5190665907797385</v>
      </c>
      <c r="BI779" s="67">
        <f>MAX($BI$1*(BY779-Driver!$F$201)/(Driver!$G$201-Driver!$F$201),1)</f>
        <v>7.8481012658227849</v>
      </c>
      <c r="BJ779" s="67">
        <f>(CB779-Driver!$F$206)/(Driver!$G$206-Driver!$F$206)*$BI$1</f>
        <v>3.6507936507936507</v>
      </c>
      <c r="BK779" s="67">
        <f>(CD779-Driver!$F$203)/(Driver!$G$203-Driver!$F$203)*$BI$1</f>
        <v>4.0825688073394497</v>
      </c>
      <c r="BL779" s="67">
        <f>MAX((CR779-Driver!$F$202)/(Driver!$G$202-Driver!$F$202)*$BI$1,1)</f>
        <v>6.8965517241379315</v>
      </c>
      <c r="BM779" s="67">
        <f>MAX((CH779-Driver!$F$204)/(Driver!$G$204-Driver!$F$204)*$BI$1,1)</f>
        <v>4.8717948717948714</v>
      </c>
      <c r="BN779" s="67">
        <f>(CI779-Driver!$F$205)/(Driver!$G$205-Driver!$F$205)*$BI$1</f>
        <v>6.4705882352941178</v>
      </c>
      <c r="BO779" s="67">
        <f>(CK779-Driver!$F$207)/(Driver!$G$207-Driver!$F$207)*$BI$1</f>
        <v>1.4788004136504653</v>
      </c>
      <c r="BP779" s="67">
        <f>(CM779-Driver!$F$208)/(Driver!$G$208-Driver!$F$208)*$BI$1</f>
        <v>1.9555555555555557</v>
      </c>
      <c r="BQ779" s="67">
        <f>(CL779-Driver!$F$209)/(Driver!$G$209-Driver!$F$209)*$BI$1</f>
        <v>1.71875</v>
      </c>
      <c r="BR779" s="28" t="s">
        <v>155</v>
      </c>
      <c r="BS779" s="8" t="s">
        <v>156</v>
      </c>
      <c r="BT779" s="9" t="s">
        <v>411</v>
      </c>
      <c r="BU779" s="10">
        <v>176</v>
      </c>
      <c r="BV779" s="9" t="s">
        <v>158</v>
      </c>
      <c r="BW779" s="10">
        <v>176</v>
      </c>
      <c r="BX779" s="10">
        <v>175.1</v>
      </c>
      <c r="BY779" s="10">
        <v>132</v>
      </c>
      <c r="BZ779" s="10">
        <v>149</v>
      </c>
      <c r="CA779" s="10">
        <v>124</v>
      </c>
      <c r="CB779" s="10">
        <v>87</v>
      </c>
      <c r="CC779" s="10">
        <v>107</v>
      </c>
      <c r="CD779" s="10">
        <v>18.3</v>
      </c>
      <c r="CE779" s="10">
        <v>1694</v>
      </c>
      <c r="CF779" s="10">
        <v>1.02</v>
      </c>
      <c r="CG779" s="10">
        <v>1721</v>
      </c>
      <c r="CH779" s="10">
        <v>215</v>
      </c>
      <c r="CI779" s="10">
        <v>143</v>
      </c>
      <c r="CJ779" s="10">
        <v>46</v>
      </c>
      <c r="CK779" s="10">
        <v>253</v>
      </c>
      <c r="CL779" s="10">
        <v>11</v>
      </c>
      <c r="CM779" s="10">
        <v>176</v>
      </c>
      <c r="CN779" s="10">
        <v>0.23799999999999999</v>
      </c>
      <c r="CO779" s="10">
        <v>155</v>
      </c>
      <c r="CP779" s="10">
        <v>111</v>
      </c>
      <c r="CQ779" s="10">
        <v>98</v>
      </c>
      <c r="CR779" s="10">
        <v>9</v>
      </c>
      <c r="CS779" s="10">
        <v>8.6</v>
      </c>
      <c r="CT779" s="9" t="s">
        <v>188</v>
      </c>
      <c r="CU779" s="10"/>
      <c r="CV779" s="10"/>
      <c r="CW779" s="10"/>
      <c r="CX779" t="str">
        <f>INDEX('Data_Price '!AG$2:AG$1266,MATCH(Data!$DN779,'Data_Price '!$AT$2:$AT$1266,0))</f>
        <v>Atomic Maverick 88 Ti Skis</v>
      </c>
      <c r="CY779" t="str">
        <f>INDEX('Data_Price '!AH$2:AH$1266,MATCH(Data!$DN779,'Data_Price '!$AT$2:$AT$1266,0))</f>
        <v>REI</v>
      </c>
      <c r="CZ779">
        <f>INDEX('Data_Price '!AI$2:AI$1266,MATCH(Data!$DN779,'Data_Price '!$AT$2:$AT$1266,0))</f>
        <v>519.92999999999995</v>
      </c>
      <c r="DA779" t="str">
        <f>INDEX('Data_Price '!AJ$2:AJ$1266,MATCH(Data!$DN779,'Data_Price '!$AT$2:$AT$1266,0))</f>
        <v>https://tinyurl.com/ybd2g4q6</v>
      </c>
      <c r="DB779" t="str">
        <f>INDEX('Data_Price '!AK$2:AK$1266,MATCH(Data!$DN779,'Data_Price '!$AT$2:$AT$1266,0))</f>
        <v>Atomic Maverick 88 Ti Skis</v>
      </c>
      <c r="DC779" t="str">
        <f>INDEX('Data_Price '!AL$2:AL$1266,MATCH(Data!$DN779,'Data_Price '!$AT$2:$AT$1266,0))</f>
        <v>Curated</v>
      </c>
      <c r="DD779">
        <f>INDEX('Data_Price '!AM$2:AM$1266,MATCH(Data!$DN779,'Data_Price '!$AT$2:$AT$1266,0))</f>
        <v>519.99</v>
      </c>
      <c r="DE779" t="str">
        <f>INDEX('Data_Price '!AN$2:AN$1266,MATCH(Data!$DN779,'Data_Price '!$AT$2:$AT$1266,0))</f>
        <v>https://tinyurl.com/y9z6kb3b</v>
      </c>
      <c r="DF779" t="str">
        <f>INDEX('Data_Price '!AO$2:AO$1266,MATCH(Data!$DN779,'Data_Price '!$AT$2:$AT$1266,0))</f>
        <v>Atomic Maverick 88 Ti Skis | 176 | Christy Sports</v>
      </c>
      <c r="DG779" t="str">
        <f>INDEX('Data_Price '!AP$2:AP$1266,MATCH(Data!$DN779,'Data_Price '!$AT$2:$AT$1266,0))</f>
        <v>Christy Sports</v>
      </c>
      <c r="DH779">
        <f>INDEX('Data_Price '!AQ$2:AQ$1266,MATCH(Data!$DN779,'Data_Price '!$AT$2:$AT$1266,0))</f>
        <v>519.99</v>
      </c>
      <c r="DI779" t="str">
        <f>INDEX('Data_Price '!AR$2:AR$1266,MATCH(Data!$DN779,'Data_Price '!$AT$2:$AT$1266,0))</f>
        <v>https://tinyurl.com/yayqqqh4</v>
      </c>
      <c r="DJ779" s="89" t="str">
        <f t="shared" si="476"/>
        <v>https://tinyurl.com/ybd2g4q6</v>
      </c>
      <c r="DK779" s="89" t="str">
        <f t="shared" si="477"/>
        <v>https://tinyurl.com/y9z6kb3b</v>
      </c>
      <c r="DL779" s="89" t="str">
        <f t="shared" si="478"/>
        <v>https://tinyurl.com/yayqqqh4</v>
      </c>
      <c r="DM779" s="219" t="str">
        <f t="shared" si="479"/>
        <v>Maverick 88 Ti</v>
      </c>
      <c r="DN779" s="89" t="str">
        <f t="shared" si="480"/>
        <v xml:space="preserve"> AtomicMaverick 88 Ti176 Unisex</v>
      </c>
      <c r="DO779" s="221" t="s">
        <v>412</v>
      </c>
    </row>
    <row r="780" spans="2:119" ht="15.6" customHeight="1">
      <c r="B780" s="219" t="b">
        <f t="array" ref="B780">IF(OR(ISERROR(K780:P780)),FALSE,TRUE)</f>
        <v>1</v>
      </c>
      <c r="C780" s="43" t="b">
        <f>OR(BR780=Driver!$G$50,Data!BR1056=Driver!$H$50)</f>
        <v>1</v>
      </c>
      <c r="D780" s="43" t="b">
        <f>OR(BV780=Driver!$G$51,BV780=Driver!$H$51)</f>
        <v>1</v>
      </c>
      <c r="E780" s="43" t="b">
        <f>AND(BX780&gt;Driver!$F$54,BX780&lt;Driver!$G$54)</f>
        <v>1</v>
      </c>
      <c r="F780" s="43" t="b">
        <f>CL780&gt;Driver!$F$56</f>
        <v>1</v>
      </c>
      <c r="G780" s="43" t="b">
        <f>AND(CB780&gt;Driver!$F$55,CB780&lt;Driver!$G$55)</f>
        <v>0</v>
      </c>
      <c r="H780" s="43" t="b">
        <f t="shared" si="444"/>
        <v>0</v>
      </c>
      <c r="I780" s="43">
        <f t="shared" si="445"/>
        <v>0</v>
      </c>
      <c r="J780" s="43" t="b">
        <f t="array" ref="J780">NOT(OR(($H$9:$H$1273=TRUE)*($I$9:$I$1273&gt;0)*($BT$9:$BT$1273=BT780)*($K$9:$K$1273&gt;K780)))</f>
        <v>1</v>
      </c>
      <c r="K780" s="72">
        <f t="shared" si="446"/>
        <v>0.78066392041975985</v>
      </c>
      <c r="L780" s="72">
        <f t="shared" si="447"/>
        <v>0.79726717519880785</v>
      </c>
      <c r="M780" s="72">
        <f t="shared" si="448"/>
        <v>0.76406066564071184</v>
      </c>
      <c r="N780" s="72">
        <f t="shared" si="449"/>
        <v>0.77265468966008588</v>
      </c>
      <c r="O780" s="72">
        <f t="shared" si="450"/>
        <v>0.60953103027024014</v>
      </c>
      <c r="P780" s="72">
        <f t="shared" si="451"/>
        <v>0.90999627699180941</v>
      </c>
      <c r="Q780" s="72"/>
      <c r="R780" s="72"/>
      <c r="S780" s="72">
        <f t="shared" si="452"/>
        <v>0.42097247761436596</v>
      </c>
      <c r="T780" s="72">
        <f t="shared" si="453"/>
        <v>0.81686017046302184</v>
      </c>
      <c r="U780" s="72">
        <f t="shared" si="454"/>
        <v>0.51</v>
      </c>
      <c r="V780" s="72">
        <f t="shared" si="455"/>
        <v>0.49204999437983477</v>
      </c>
      <c r="W780" s="72">
        <f t="shared" si="456"/>
        <v>0.7671654929577465</v>
      </c>
      <c r="X780" s="72">
        <f t="shared" si="457"/>
        <v>0.20273282480119209</v>
      </c>
      <c r="Y780" s="72">
        <f t="shared" si="458"/>
        <v>0.23593933435928818</v>
      </c>
      <c r="Z780" s="72">
        <f t="shared" si="459"/>
        <v>0.22734531033991418</v>
      </c>
      <c r="AA780" s="72">
        <f t="shared" si="460"/>
        <v>0.39046896972975981</v>
      </c>
      <c r="AB780" s="72">
        <f t="shared" si="461"/>
        <v>9.0003723008190595E-2</v>
      </c>
      <c r="AC780" s="72"/>
      <c r="AD780" s="72"/>
      <c r="AE780" s="72">
        <f t="shared" si="462"/>
        <v>0.57902752238563404</v>
      </c>
      <c r="AF780" s="72">
        <f t="shared" si="463"/>
        <v>0.1831398295369781</v>
      </c>
      <c r="AG780" s="72">
        <f t="shared" si="464"/>
        <v>0.49</v>
      </c>
      <c r="AH780" s="72">
        <f t="shared" si="465"/>
        <v>0.50795000562016523</v>
      </c>
      <c r="AI780" s="72">
        <f t="shared" si="466"/>
        <v>0.23283450704225353</v>
      </c>
      <c r="AJ780" s="72">
        <f>(AV780-Driver!$K$179)/(Driver!$L$179-Driver!$K$179)</f>
        <v>5.1486584481508321E-2</v>
      </c>
      <c r="AK780" s="72">
        <f>(AW780-Driver!$K$180)/(Driver!$L$180-Driver!$K$180)</f>
        <v>0.17572112008996896</v>
      </c>
      <c r="AL780" s="72">
        <f>(AX780-Driver!$K$181)/(Driver!$L$181-Driver!$K$181)</f>
        <v>0.32903307405299437</v>
      </c>
      <c r="AM780" s="72">
        <f>(AY780-Driver!$K$182)/(Driver!$L$182-Driver!$K$182)</f>
        <v>5.6916051367286551E-2</v>
      </c>
      <c r="AN780" s="72">
        <f>(AZ780-Driver!$K$183)/(Driver!$L$183-Driver!$K$183)</f>
        <v>0.16421568627450983</v>
      </c>
      <c r="AO780" s="72"/>
      <c r="AP780" s="72"/>
      <c r="AQ780" s="72">
        <f>(BC780-Driver!$K$188)/(Driver!$L$188-Driver!$K$188)</f>
        <v>4.0972477614366003E-2</v>
      </c>
      <c r="AR780" s="72">
        <f>MIN((BD780-Driver!$K$189)/(Driver!$L$189-Driver!$K$189),100%)</f>
        <v>0.36686017046302194</v>
      </c>
      <c r="AS780" s="72">
        <f>(BE780-Driver!$K$190)/(Driver!$L$190-Driver!$K$190)</f>
        <v>1</v>
      </c>
      <c r="AT780" s="72">
        <f>(BF780-Driver!$K$191)/(Driver!$L$191-Driver!$K$191)</f>
        <v>2.0499943798347941E-3</v>
      </c>
      <c r="AU780" s="72">
        <f>(BG780-Driver!$K$192)/(Driver!$L$192-Driver!$K$192)</f>
        <v>1.716549295774648E-2</v>
      </c>
      <c r="AV780" s="70">
        <f t="shared" si="467"/>
        <v>1.0836385836385833</v>
      </c>
      <c r="AW780" s="70">
        <f t="shared" si="468"/>
        <v>18.997472821745628</v>
      </c>
      <c r="AX780" s="70">
        <f t="shared" si="469"/>
        <v>3.9612976664769493</v>
      </c>
      <c r="AY780" s="70">
        <f>IFERROR(Driver!$K$19/Data!BH780/Data!BI780*Data!BK780*Data!BL780,"")</f>
        <v>6.9682228984239147E-2</v>
      </c>
      <c r="AZ780" s="70">
        <f t="shared" si="470"/>
        <v>14.96649292628444</v>
      </c>
      <c r="BA780" s="70"/>
      <c r="BB780" s="70"/>
      <c r="BC780" s="70">
        <f t="shared" si="471"/>
        <v>21.252708974614961</v>
      </c>
      <c r="BD780" s="70">
        <f t="shared" si="472"/>
        <v>34.187297932317868</v>
      </c>
      <c r="BE780" s="70">
        <f t="shared" si="473"/>
        <v>1</v>
      </c>
      <c r="BF780" s="70">
        <f t="shared" si="474"/>
        <v>0.23153246317672382</v>
      </c>
      <c r="BG780" s="70">
        <f t="shared" si="475"/>
        <v>6.4999506738708121E-2</v>
      </c>
      <c r="BH780" s="67">
        <f>MAX((CE780-Driver!$F$200)/(Driver!$G$200-Driver!$F$200)*$BI$1,1)</f>
        <v>3.9612976664769493</v>
      </c>
      <c r="BI780" s="67">
        <f>MAX($BI$1*(BY780-Driver!$F$201)/(Driver!$G$201-Driver!$F$201),1)</f>
        <v>8.4810126582278489</v>
      </c>
      <c r="BJ780" s="67">
        <f>(CB780-Driver!$F$206)/(Driver!$G$206-Driver!$F$206)*$BI$1</f>
        <v>1.4285714285714284</v>
      </c>
      <c r="BK780" s="67">
        <f>(CD780-Driver!$F$203)/(Driver!$G$203-Driver!$F$203)*$BI$1</f>
        <v>1.6972477064220182</v>
      </c>
      <c r="BL780" s="67">
        <f>MAX((CR780-Driver!$F$202)/(Driver!$G$202-Driver!$F$202)*$BI$1,1)</f>
        <v>6.8965517241379315</v>
      </c>
      <c r="BM780" s="67">
        <f>MAX((CH780-Driver!$F$204)/(Driver!$G$204-Driver!$F$204)*$BI$1,1)</f>
        <v>3.0341880341880341</v>
      </c>
      <c r="BN780" s="67">
        <f>(CI780-Driver!$F$205)/(Driver!$G$205-Driver!$F$205)*$BI$1</f>
        <v>1.7647058823529413</v>
      </c>
      <c r="BO780" s="67">
        <f>(CK780-Driver!$F$207)/(Driver!$G$207-Driver!$F$207)*$BI$1</f>
        <v>0.43433298862461223</v>
      </c>
      <c r="BP780" s="67">
        <f>(CM780-Driver!$F$208)/(Driver!$G$208-Driver!$F$208)*$BI$1</f>
        <v>0.63333333333333341</v>
      </c>
      <c r="BQ780" s="67">
        <f>(CL780-Driver!$F$209)/(Driver!$G$209-Driver!$F$209)*$BI$1</f>
        <v>0.78125</v>
      </c>
      <c r="BR780" s="28" t="s">
        <v>155</v>
      </c>
      <c r="BS780" s="8" t="s">
        <v>172</v>
      </c>
      <c r="BT780" s="9" t="s">
        <v>600</v>
      </c>
      <c r="BU780" s="10">
        <v>163</v>
      </c>
      <c r="BV780" s="9" t="s">
        <v>158</v>
      </c>
      <c r="BW780" s="10">
        <v>163</v>
      </c>
      <c r="BX780" s="10">
        <v>162.5</v>
      </c>
      <c r="BY780" s="10">
        <v>142</v>
      </c>
      <c r="BZ780" s="10">
        <v>149</v>
      </c>
      <c r="CA780" s="10">
        <v>122</v>
      </c>
      <c r="CB780" s="10">
        <v>73</v>
      </c>
      <c r="CC780" s="10">
        <v>108</v>
      </c>
      <c r="CD780" s="10">
        <v>13.1</v>
      </c>
      <c r="CE780" s="10">
        <v>1596</v>
      </c>
      <c r="CF780" s="10">
        <v>0.9</v>
      </c>
      <c r="CG780" s="10">
        <v>1441</v>
      </c>
      <c r="CH780" s="10">
        <v>172</v>
      </c>
      <c r="CI780" s="10">
        <v>63</v>
      </c>
      <c r="CJ780" s="10">
        <v>37</v>
      </c>
      <c r="CK780" s="10">
        <v>152</v>
      </c>
      <c r="CL780" s="10">
        <v>5</v>
      </c>
      <c r="CM780" s="10">
        <v>57</v>
      </c>
      <c r="CN780" s="10">
        <v>0.14399999999999999</v>
      </c>
      <c r="CO780" s="10">
        <v>69</v>
      </c>
      <c r="CP780" s="10">
        <v>61</v>
      </c>
      <c r="CQ780" s="10">
        <v>83</v>
      </c>
      <c r="CR780" s="10">
        <v>9</v>
      </c>
      <c r="CS780" s="10">
        <v>10.199999999999999</v>
      </c>
      <c r="CT780" s="9" t="s">
        <v>349</v>
      </c>
      <c r="CU780" s="10"/>
      <c r="CV780" s="10"/>
      <c r="CW780" s="10"/>
      <c r="CX780" t="str">
        <f>INDEX('Data_Price '!AG$2:AG$1266,MATCH(Data!$DN780,'Data_Price '!$AT$2:$AT$1266,0))</f>
        <v>Rossignol React 6 Compact Mens Skis W/Xpress 11 GW Bindings</v>
      </c>
      <c r="CY780" t="str">
        <f>INDEX('Data_Price '!AH$2:AH$1266,MATCH(Data!$DN780,'Data_Price '!$AT$2:$AT$1266,0))</f>
        <v>SkatePro.com</v>
      </c>
      <c r="CZ780">
        <f>INDEX('Data_Price '!AI$2:AI$1266,MATCH(Data!$DN780,'Data_Price '!$AT$2:$AT$1266,0))</f>
        <v>479.95</v>
      </c>
      <c r="DA780" t="str">
        <f>INDEX('Data_Price '!AJ$2:AJ$1266,MATCH(Data!$DN780,'Data_Price '!$AT$2:$AT$1266,0))</f>
        <v>https://tinyurl.com/ybrpxpsq</v>
      </c>
      <c r="DB780" t="str">
        <f>INDEX('Data_Price '!AK$2:AK$1266,MATCH(Data!$DN780,'Data_Price '!$AT$2:$AT$1266,0))</f>
        <v>Rossignol React 6 Compact Mens Skis W/Xpress 11 GW Bindings</v>
      </c>
      <c r="DC780" t="str">
        <f>INDEX('Data_Price '!AL$2:AL$1266,MATCH(Data!$DN780,'Data_Price '!$AT$2:$AT$1266,0))</f>
        <v>Buyr.com</v>
      </c>
      <c r="DD780">
        <f>INDEX('Data_Price '!AM$2:AM$1266,MATCH(Data!$DN780,'Data_Price '!$AT$2:$AT$1266,0))</f>
        <v>599.99</v>
      </c>
      <c r="DE780" t="str">
        <f>INDEX('Data_Price '!AN$2:AN$1266,MATCH(Data!$DN780,'Data_Price '!$AT$2:$AT$1266,0))</f>
        <v>https://tinyurl.com/yaekewxk</v>
      </c>
      <c r="DF780" t="str">
        <f>INDEX('Data_Price '!AO$2:AO$1266,MATCH(Data!$DN780,'Data_Price '!$AT$2:$AT$1266,0))</f>
        <v>Rossignol React R2F - 163</v>
      </c>
      <c r="DG780" t="str">
        <f>INDEX('Data_Price '!AP$2:AP$1266,MATCH(Data!$DN780,'Data_Price '!$AT$2:$AT$1266,0))</f>
        <v>Backpacking United</v>
      </c>
      <c r="DH780">
        <f>INDEX('Data_Price '!AQ$2:AQ$1266,MATCH(Data!$DN780,'Data_Price '!$AT$2:$AT$1266,0))</f>
        <v>168.09</v>
      </c>
      <c r="DI780" t="str">
        <f>INDEX('Data_Price '!AR$2:AR$1266,MATCH(Data!$DN780,'Data_Price '!$AT$2:$AT$1266,0))</f>
        <v>https://tinyurl.com/y93y5g66</v>
      </c>
      <c r="DJ780" s="89" t="str">
        <f t="shared" si="476"/>
        <v>https://tinyurl.com/ybrpxpsq</v>
      </c>
      <c r="DK780" s="89" t="str">
        <f t="shared" si="477"/>
        <v>https://tinyurl.com/yaekewxk</v>
      </c>
      <c r="DL780" s="89" t="str">
        <f t="shared" si="478"/>
        <v>https://tinyurl.com/y93y5g66</v>
      </c>
      <c r="DM780" s="219" t="str">
        <f t="shared" si="479"/>
        <v>React 6 Compact</v>
      </c>
      <c r="DN780" s="89" t="str">
        <f t="shared" si="480"/>
        <v xml:space="preserve"> RossignolReact 6 Compact163 Unisex</v>
      </c>
      <c r="DO780" s="221"/>
    </row>
    <row r="781" spans="2:119" ht="15.6" customHeight="1">
      <c r="B781" s="219" t="b">
        <f t="array" ref="B781">IF(OR(ISERROR(K781:P781)),FALSE,TRUE)</f>
        <v>1</v>
      </c>
      <c r="C781" s="43" t="b">
        <f>OR(BR781=Driver!$G$50,Data!BR642=Driver!$H$50)</f>
        <v>1</v>
      </c>
      <c r="D781" s="43" t="b">
        <f>OR(BV781=Driver!$G$51,BV781=Driver!$H$51)</f>
        <v>0</v>
      </c>
      <c r="E781" s="43" t="b">
        <f>AND(BX781&gt;Driver!$F$54,BX781&lt;Driver!$G$54)</f>
        <v>1</v>
      </c>
      <c r="F781" s="43" t="b">
        <f>CL781&gt;Driver!$F$56</f>
        <v>1</v>
      </c>
      <c r="G781" s="43" t="b">
        <f>AND(CB781&gt;Driver!$F$55,CB781&lt;Driver!$G$55)</f>
        <v>0</v>
      </c>
      <c r="H781" s="43" t="b">
        <f t="shared" si="444"/>
        <v>0</v>
      </c>
      <c r="I781" s="43">
        <f t="shared" si="445"/>
        <v>0</v>
      </c>
      <c r="J781" s="43" t="b">
        <f t="array" ref="J781">NOT(OR(($H$9:$H$1273=TRUE)*($I$9:$I$1273&gt;0)*($BT$9:$BT$1273=BT781)*($K$9:$K$1273&gt;K781)))</f>
        <v>1</v>
      </c>
      <c r="K781" s="72">
        <f t="shared" si="446"/>
        <v>0.76476149727148224</v>
      </c>
      <c r="L781" s="72">
        <f t="shared" si="447"/>
        <v>0.77929924352529245</v>
      </c>
      <c r="M781" s="72">
        <f t="shared" si="448"/>
        <v>0.75022375101767202</v>
      </c>
      <c r="N781" s="72">
        <f t="shared" si="449"/>
        <v>0.71953383972648677</v>
      </c>
      <c r="O781" s="72">
        <f t="shared" si="450"/>
        <v>0.57457250888373945</v>
      </c>
      <c r="P781" s="72">
        <f t="shared" si="451"/>
        <v>0.95656490444278974</v>
      </c>
      <c r="Q781" s="72"/>
      <c r="R781" s="72"/>
      <c r="S781" s="72">
        <f t="shared" si="452"/>
        <v>0.40110660817838517</v>
      </c>
      <c r="T781" s="72">
        <f t="shared" si="453"/>
        <v>0.55000000000000004</v>
      </c>
      <c r="U781" s="72">
        <f t="shared" si="454"/>
        <v>0.51</v>
      </c>
      <c r="V781" s="72">
        <f t="shared" si="455"/>
        <v>0.49367123816149749</v>
      </c>
      <c r="W781" s="72">
        <f t="shared" si="456"/>
        <v>0.79600961538461534</v>
      </c>
      <c r="X781" s="72">
        <f t="shared" si="457"/>
        <v>0.22070075647470752</v>
      </c>
      <c r="Y781" s="72">
        <f t="shared" si="458"/>
        <v>0.249776248982328</v>
      </c>
      <c r="Z781" s="72">
        <f t="shared" si="459"/>
        <v>0.28046616027351318</v>
      </c>
      <c r="AA781" s="72">
        <f t="shared" si="460"/>
        <v>0.42542749111626055</v>
      </c>
      <c r="AB781" s="72">
        <f t="shared" si="461"/>
        <v>4.3435095557210202E-2</v>
      </c>
      <c r="AC781" s="72"/>
      <c r="AD781" s="72"/>
      <c r="AE781" s="72">
        <f t="shared" si="462"/>
        <v>0.59889339182161483</v>
      </c>
      <c r="AF781" s="72">
        <f t="shared" si="463"/>
        <v>0.44999999999999996</v>
      </c>
      <c r="AG781" s="72">
        <f t="shared" si="464"/>
        <v>0.49</v>
      </c>
      <c r="AH781" s="72">
        <f t="shared" si="465"/>
        <v>0.50632876183850251</v>
      </c>
      <c r="AI781" s="72">
        <f t="shared" si="466"/>
        <v>0.20399038461538463</v>
      </c>
      <c r="AJ781" s="72">
        <f>(AV781-Driver!$K$179)/(Driver!$L$179-Driver!$K$179)</f>
        <v>3.3518652807992905E-2</v>
      </c>
      <c r="AK781" s="72">
        <f>(AW781-Driver!$K$180)/(Driver!$L$180-Driver!$K$180)</f>
        <v>0.22373642914070627</v>
      </c>
      <c r="AL781" s="72">
        <f>(AX781-Driver!$K$181)/(Driver!$L$181-Driver!$K$181)</f>
        <v>0.38215392398659337</v>
      </c>
      <c r="AM781" s="72">
        <f>(AY781-Driver!$K$182)/(Driver!$L$182-Driver!$K$182)</f>
        <v>2.19575299807858E-2</v>
      </c>
      <c r="AN781" s="72">
        <f>(AZ781-Driver!$K$183)/(Driver!$L$183-Driver!$K$183)</f>
        <v>0.21078431372549022</v>
      </c>
      <c r="AO781" s="72"/>
      <c r="AP781" s="72"/>
      <c r="AQ781" s="72">
        <f>(BC781-Driver!$K$188)/(Driver!$L$188-Driver!$K$188)</f>
        <v>2.1106608178385167E-2</v>
      </c>
      <c r="AR781" s="72">
        <f>MIN((BD781-Driver!$K$189)/(Driver!$L$189-Driver!$K$189),100%)</f>
        <v>1</v>
      </c>
      <c r="AS781" s="72">
        <f>(BE781-Driver!$K$190)/(Driver!$L$190-Driver!$K$190)</f>
        <v>1</v>
      </c>
      <c r="AT781" s="72">
        <f>(BF781-Driver!$K$191)/(Driver!$L$191-Driver!$K$191)</f>
        <v>3.6712381614975101E-3</v>
      </c>
      <c r="AU781" s="72">
        <f>(BG781-Driver!$K$192)/(Driver!$L$192-Driver!$K$192)</f>
        <v>4.6009615384615371E-2</v>
      </c>
      <c r="AV781" s="70">
        <f t="shared" si="467"/>
        <v>0.70546737213403876</v>
      </c>
      <c r="AW781" s="70">
        <f t="shared" si="468"/>
        <v>23.676990147659428</v>
      </c>
      <c r="AX781" s="70">
        <f t="shared" si="469"/>
        <v>4.4393853158793402</v>
      </c>
      <c r="AY781" s="70">
        <f>IFERROR(Driver!$K$19/Data!BH781/Data!BI781*Data!BK781*Data!BL781,"")</f>
        <v>2.6882568191103184E-2</v>
      </c>
      <c r="AZ781" s="70">
        <f t="shared" si="470"/>
        <v>19.210722263588984</v>
      </c>
      <c r="BA781" s="70"/>
      <c r="BB781" s="70"/>
      <c r="BC781" s="70">
        <f t="shared" si="471"/>
        <v>10.948144392887944</v>
      </c>
      <c r="BD781" s="70">
        <f t="shared" si="472"/>
        <v>91.772810236884936</v>
      </c>
      <c r="BE781" s="70">
        <f t="shared" si="473"/>
        <v>1</v>
      </c>
      <c r="BF781" s="70">
        <f t="shared" si="474"/>
        <v>0.41464055843333902</v>
      </c>
      <c r="BG781" s="70">
        <f t="shared" si="475"/>
        <v>0.17422175480769228</v>
      </c>
      <c r="BH781" s="67">
        <f>MAX((CE781-Driver!$F$200)/(Driver!$G$200-Driver!$F$200)*$BI$1,1)</f>
        <v>4.4393853158793402</v>
      </c>
      <c r="BI781" s="67">
        <f>MAX($BI$1*(BY781-Driver!$F$201)/(Driver!$G$201-Driver!$F$201),1)</f>
        <v>8.1645569620253173</v>
      </c>
      <c r="BJ781" s="67">
        <f>(CB781-Driver!$F$206)/(Driver!$G$206-Driver!$F$206)*$BI$1</f>
        <v>1.2698412698412698</v>
      </c>
      <c r="BK781" s="67">
        <f>(CD781-Driver!$F$203)/(Driver!$G$203-Driver!$F$203)*$BI$1</f>
        <v>0.64220183486238569</v>
      </c>
      <c r="BL781" s="67">
        <f>MAX((CR781-Driver!$F$202)/(Driver!$G$202-Driver!$F$202)*$BI$1,1)</f>
        <v>7.5862068965517242</v>
      </c>
      <c r="BM781" s="67">
        <f>MAX((CH781-Driver!$F$204)/(Driver!$G$204-Driver!$F$204)*$BI$1,1)</f>
        <v>2.2222222222222223</v>
      </c>
      <c r="BN781" s="67">
        <f>(CI781-Driver!$F$205)/(Driver!$G$205-Driver!$F$205)*$BI$1</f>
        <v>2.3529411764705883</v>
      </c>
      <c r="BO781" s="67">
        <f>(CK781-Driver!$F$207)/(Driver!$G$207-Driver!$F$207)*$BI$1</f>
        <v>0.25853154084798347</v>
      </c>
      <c r="BP781" s="67">
        <f>(CM781-Driver!$F$208)/(Driver!$G$208-Driver!$F$208)*$BI$1</f>
        <v>0.81111111111111112</v>
      </c>
      <c r="BQ781" s="67">
        <f>(CL781-Driver!$F$209)/(Driver!$G$209-Driver!$F$209)*$BI$1</f>
        <v>1.71875</v>
      </c>
      <c r="BR781" s="28" t="s">
        <v>155</v>
      </c>
      <c r="BS781" s="8" t="s">
        <v>167</v>
      </c>
      <c r="BT781" s="9" t="s">
        <v>752</v>
      </c>
      <c r="BU781" s="10">
        <v>158</v>
      </c>
      <c r="BV781" s="9" t="s">
        <v>163</v>
      </c>
      <c r="BW781" s="10">
        <v>158</v>
      </c>
      <c r="BX781" s="10">
        <v>157.4</v>
      </c>
      <c r="BY781" s="10">
        <v>137</v>
      </c>
      <c r="BZ781" s="10">
        <v>141</v>
      </c>
      <c r="CA781" s="10">
        <v>129</v>
      </c>
      <c r="CB781" s="10">
        <v>72</v>
      </c>
      <c r="CC781" s="10">
        <v>106</v>
      </c>
      <c r="CD781" s="10">
        <v>10.8</v>
      </c>
      <c r="CE781" s="10">
        <v>1680</v>
      </c>
      <c r="CF781" s="10">
        <v>0.84</v>
      </c>
      <c r="CG781" s="10">
        <v>1409</v>
      </c>
      <c r="CH781" s="10">
        <v>153</v>
      </c>
      <c r="CI781" s="10">
        <v>73</v>
      </c>
      <c r="CJ781" s="10">
        <v>34</v>
      </c>
      <c r="CK781" s="10">
        <v>135</v>
      </c>
      <c r="CL781" s="10">
        <v>11</v>
      </c>
      <c r="CM781" s="10">
        <v>73</v>
      </c>
      <c r="CN781" s="10">
        <v>0.32900000000000001</v>
      </c>
      <c r="CO781" s="10">
        <v>104</v>
      </c>
      <c r="CP781" s="10">
        <v>55</v>
      </c>
      <c r="CQ781" s="10">
        <v>30</v>
      </c>
      <c r="CR781" s="10">
        <v>11</v>
      </c>
      <c r="CS781" s="10">
        <v>10.9</v>
      </c>
      <c r="CT781" s="9" t="s">
        <v>349</v>
      </c>
      <c r="CU781" s="9" t="s">
        <v>231</v>
      </c>
      <c r="CV781" s="10"/>
      <c r="CW781" s="10"/>
      <c r="CX781" t="str">
        <f>INDEX('Data_Price '!AG$2:AG$1266,MATCH(Data!$DN781,'Data_Price '!$AT$2:$AT$1266,0))</f>
        <v>Head Easy Joy Skis w/Joy 9 GW Bindings Womens</v>
      </c>
      <c r="CY781" t="str">
        <f>INDEX('Data_Price '!AH$2:AH$1266,MATCH(Data!$DN781,'Data_Price '!$AT$2:$AT$1266,0))</f>
        <v>! OutdoorXL.com</v>
      </c>
      <c r="CZ781">
        <f>INDEX('Data_Price '!AI$2:AI$1266,MATCH(Data!$DN781,'Data_Price '!$AT$2:$AT$1266,0))</f>
        <v>189.95</v>
      </c>
      <c r="DA781" t="str">
        <f>INDEX('Data_Price '!AJ$2:AJ$1266,MATCH(Data!$DN781,'Data_Price '!$AT$2:$AT$1266,0))</f>
        <v>https://tinyurl.com/yapocu36</v>
      </c>
      <c r="DB781" t="str">
        <f>INDEX('Data_Price '!AK$2:AK$1266,MATCH(Data!$DN781,'Data_Price '!$AT$2:$AT$1266,0))</f>
        <v>16-17 Head Total Joy  Women's Demo Skis W/bindings Size 158cm</v>
      </c>
      <c r="DC781" t="str">
        <f>INDEX('Data_Price '!AL$2:AL$1266,MATCH(Data!$DN781,'Data_Price '!$AT$2:$AT$1266,0))</f>
        <v>eBay - demo-skis</v>
      </c>
      <c r="DD781">
        <f>INDEX('Data_Price '!AM$2:AM$1266,MATCH(Data!$DN781,'Data_Price '!$AT$2:$AT$1266,0))</f>
        <v>229</v>
      </c>
      <c r="DE781" t="str">
        <f>INDEX('Data_Price '!AN$2:AN$1266,MATCH(Data!$DN781,'Data_Price '!$AT$2:$AT$1266,0))</f>
        <v>https://tinyurl.com/y6vyvgru</v>
      </c>
      <c r="DF781" t="str">
        <f>INDEX('Data_Price '!AO$2:AO$1266,MATCH(Data!$DN781,'Data_Price '!$AT$2:$AT$1266,0))</f>
        <v>2018 Head Total Joy 158cm W/ Head Joy 11 Binding</v>
      </c>
      <c r="DG781" t="str">
        <f>INDEX('Data_Price '!AP$2:AP$1266,MATCH(Data!$DN781,'Data_Price '!$AT$2:$AT$1266,0))</f>
        <v>eBay - riverpirate999</v>
      </c>
      <c r="DH781">
        <f>INDEX('Data_Price '!AQ$2:AQ$1266,MATCH(Data!$DN781,'Data_Price '!$AT$2:$AT$1266,0))</f>
        <v>249</v>
      </c>
      <c r="DI781" t="str">
        <f>INDEX('Data_Price '!AR$2:AR$1266,MATCH(Data!$DN781,'Data_Price '!$AT$2:$AT$1266,0))</f>
        <v>https://tinyurl.com/y7ebhrnb</v>
      </c>
      <c r="DJ781" s="89" t="str">
        <f t="shared" si="476"/>
        <v>https://tinyurl.com/yapocu36</v>
      </c>
      <c r="DK781" s="89" t="str">
        <f t="shared" si="477"/>
        <v>https://tinyurl.com/y6vyvgru</v>
      </c>
      <c r="DL781" s="89" t="str">
        <f t="shared" si="478"/>
        <v>https://tinyurl.com/y7ebhrnb</v>
      </c>
      <c r="DM781" s="219" t="str">
        <f t="shared" si="479"/>
        <v>Real Joy</v>
      </c>
      <c r="DN781" s="89" t="str">
        <f t="shared" si="480"/>
        <v xml:space="preserve"> HeadReal Joy158 Women's</v>
      </c>
      <c r="DO781" s="221"/>
    </row>
    <row r="782" spans="2:119" ht="15.6" customHeight="1">
      <c r="B782" s="219" t="b">
        <f t="array" ref="B782">IF(OR(ISERROR(K782:P782)),FALSE,TRUE)</f>
        <v>1</v>
      </c>
      <c r="C782" s="43" t="b">
        <f>OR(BR782=Driver!$G$50,Data!BR1186=Driver!$H$50)</f>
        <v>1</v>
      </c>
      <c r="D782" s="43" t="b">
        <f>OR(BV782=Driver!$G$51,BV782=Driver!$H$51)</f>
        <v>1</v>
      </c>
      <c r="E782" s="43" t="b">
        <f>AND(BX782&gt;Driver!$F$54,BX782&lt;Driver!$G$54)</f>
        <v>0</v>
      </c>
      <c r="F782" s="43" t="b">
        <f>CL782&gt;Driver!$F$56</f>
        <v>1</v>
      </c>
      <c r="G782" s="43" t="b">
        <f>AND(CB782&gt;Driver!$F$55,CB782&lt;Driver!$G$55)</f>
        <v>0</v>
      </c>
      <c r="H782" s="43" t="b">
        <f t="shared" si="444"/>
        <v>0</v>
      </c>
      <c r="I782" s="43">
        <f t="shared" si="445"/>
        <v>0</v>
      </c>
      <c r="J782" s="43" t="b">
        <f t="array" ref="J782">NOT(OR(($H$9:$H$1273=TRUE)*($I$9:$I$1273&gt;0)*($BT$9:$BT$1273=BT782)*($K$9:$K$1273&gt;K782)))</f>
        <v>1</v>
      </c>
      <c r="K782" s="72">
        <f t="shared" si="446"/>
        <v>0.80157583743583138</v>
      </c>
      <c r="L782" s="72">
        <f t="shared" si="447"/>
        <v>0.91877229162778218</v>
      </c>
      <c r="M782" s="72">
        <f t="shared" si="448"/>
        <v>0.6843793832438807</v>
      </c>
      <c r="N782" s="72">
        <f t="shared" si="449"/>
        <v>0.52855173639378594</v>
      </c>
      <c r="O782" s="72">
        <f t="shared" si="450"/>
        <v>0.59963915595388984</v>
      </c>
      <c r="P782" s="72">
        <f t="shared" si="451"/>
        <v>0.92494725738396621</v>
      </c>
      <c r="Q782" s="72"/>
      <c r="R782" s="72"/>
      <c r="S782" s="72">
        <f t="shared" si="452"/>
        <v>0.4307232842997698</v>
      </c>
      <c r="T782" s="72">
        <f t="shared" si="453"/>
        <v>0.63651883878914095</v>
      </c>
      <c r="U782" s="72">
        <f t="shared" si="454"/>
        <v>0.84232700689070894</v>
      </c>
      <c r="V782" s="72">
        <f t="shared" si="455"/>
        <v>0.50515811613254891</v>
      </c>
      <c r="W782" s="72">
        <f t="shared" si="456"/>
        <v>0.76110038767932209</v>
      </c>
      <c r="X782" s="72">
        <f t="shared" si="457"/>
        <v>8.1227708372217822E-2</v>
      </c>
      <c r="Y782" s="72">
        <f t="shared" si="458"/>
        <v>0.31562061675611935</v>
      </c>
      <c r="Z782" s="72">
        <f t="shared" si="459"/>
        <v>0.47144826360621406</v>
      </c>
      <c r="AA782" s="72">
        <f t="shared" si="460"/>
        <v>0.40036084404611011</v>
      </c>
      <c r="AB782" s="72">
        <f t="shared" si="461"/>
        <v>7.5052742616033757E-2</v>
      </c>
      <c r="AC782" s="72"/>
      <c r="AD782" s="72"/>
      <c r="AE782" s="72">
        <f t="shared" si="462"/>
        <v>0.5692767157002302</v>
      </c>
      <c r="AF782" s="72">
        <f t="shared" si="463"/>
        <v>0.36348116121085905</v>
      </c>
      <c r="AG782" s="72">
        <f t="shared" si="464"/>
        <v>0.15767299310929106</v>
      </c>
      <c r="AH782" s="72">
        <f t="shared" si="465"/>
        <v>0.49484188386745109</v>
      </c>
      <c r="AI782" s="72">
        <f t="shared" si="466"/>
        <v>0.23889961232067786</v>
      </c>
      <c r="AJ782" s="72">
        <f>(AV782-Driver!$K$179)/(Driver!$L$179-Driver!$K$179)</f>
        <v>0.1729917009104826</v>
      </c>
      <c r="AK782" s="72">
        <f>(AW782-Driver!$K$180)/(Driver!$L$180-Driver!$K$180)</f>
        <v>0.21212044734188529</v>
      </c>
      <c r="AL782" s="72">
        <f>(AX782-Driver!$K$181)/(Driver!$L$181-Driver!$K$181)</f>
        <v>0.57313602731929425</v>
      </c>
      <c r="AM782" s="72">
        <f>(AY782-Driver!$K$182)/(Driver!$L$182-Driver!$K$182)</f>
        <v>4.7024177050936276E-2</v>
      </c>
      <c r="AN782" s="72">
        <f>(AZ782-Driver!$K$183)/(Driver!$L$183-Driver!$K$183)</f>
        <v>0.17916666666666667</v>
      </c>
      <c r="AO782" s="72"/>
      <c r="AP782" s="72"/>
      <c r="AQ782" s="72">
        <f>(BC782-Driver!$K$188)/(Driver!$L$188-Driver!$K$188)</f>
        <v>5.0723284299769765E-2</v>
      </c>
      <c r="AR782" s="72">
        <f>MIN((BD782-Driver!$K$189)/(Driver!$L$189-Driver!$K$189),100%)</f>
        <v>0.18651883878914097</v>
      </c>
      <c r="AS782" s="72">
        <f>(BE782-Driver!$K$190)/(Driver!$L$190-Driver!$K$190)</f>
        <v>0.66767299310929107</v>
      </c>
      <c r="AT782" s="72">
        <f>(BF782-Driver!$K$191)/(Driver!$L$191-Driver!$K$191)</f>
        <v>1.5158116132548917E-2</v>
      </c>
      <c r="AU782" s="72">
        <f>(BG782-Driver!$K$192)/(Driver!$L$192-Driver!$K$192)</f>
        <v>1.1100387679322131E-2</v>
      </c>
      <c r="AV782" s="70">
        <f t="shared" si="467"/>
        <v>3.6409578076244742</v>
      </c>
      <c r="AW782" s="70">
        <f t="shared" si="468"/>
        <v>22.544909793294877</v>
      </c>
      <c r="AX782" s="70">
        <f t="shared" si="469"/>
        <v>6.1582242458736483</v>
      </c>
      <c r="AY782" s="70">
        <f>IFERROR(Driver!$K$19/Data!BH782/Data!BI782*Data!BK782*Data!BL782,"")</f>
        <v>5.7571623370592982E-2</v>
      </c>
      <c r="AZ782" s="70">
        <f t="shared" si="470"/>
        <v>16.329113924050635</v>
      </c>
      <c r="BA782" s="70"/>
      <c r="BB782" s="70"/>
      <c r="BC782" s="70">
        <f t="shared" si="471"/>
        <v>26.310520188842229</v>
      </c>
      <c r="BD782" s="70">
        <f t="shared" si="472"/>
        <v>18.227409625110599</v>
      </c>
      <c r="BE782" s="70">
        <f t="shared" si="473"/>
        <v>0.66773227650682054</v>
      </c>
      <c r="BF782" s="70">
        <f t="shared" si="474"/>
        <v>1.7120027253785537</v>
      </c>
      <c r="BG782" s="70">
        <f t="shared" si="475"/>
        <v>4.2033149035709025E-2</v>
      </c>
      <c r="BH782" s="67">
        <f>MAX((CE782-Driver!$F$200)/(Driver!$G$200-Driver!$F$200)*$BI$1,1)</f>
        <v>6.1582242458736483</v>
      </c>
      <c r="BI782" s="67">
        <f>MAX($BI$1*(BY782-Driver!$F$201)/(Driver!$G$201-Driver!$F$201),1)</f>
        <v>8.1645569620253173</v>
      </c>
      <c r="BJ782" s="67">
        <f>(CB782-Driver!$F$206)/(Driver!$G$206-Driver!$F$206)*$BI$1</f>
        <v>3.0158730158730158</v>
      </c>
      <c r="BK782" s="67">
        <f>(CD782-Driver!$F$203)/(Driver!$G$203-Driver!$F$203)*$BI$1</f>
        <v>2.7981651376146792</v>
      </c>
      <c r="BL782" s="67">
        <f>MAX((CR782-Driver!$F$202)/(Driver!$G$202-Driver!$F$202)*$BI$1,1)</f>
        <v>5.1724137931034484</v>
      </c>
      <c r="BM782" s="67">
        <f>MAX((CH782-Driver!$F$204)/(Driver!$G$204-Driver!$F$204)*$BI$1,1)</f>
        <v>4.8290598290598288</v>
      </c>
      <c r="BN782" s="67">
        <f>(CI782-Driver!$F$205)/(Driver!$G$205-Driver!$F$205)*$BI$1</f>
        <v>2</v>
      </c>
      <c r="BO782" s="67">
        <f>(CK782-Driver!$F$207)/(Driver!$G$207-Driver!$F$207)*$BI$1</f>
        <v>1.1168562564632885</v>
      </c>
      <c r="BP782" s="67">
        <f>(CM782-Driver!$F$208)/(Driver!$G$208-Driver!$F$208)*$BI$1</f>
        <v>1.4222222222222223</v>
      </c>
      <c r="BQ782" s="67">
        <f>(CL782-Driver!$F$209)/(Driver!$G$209-Driver!$F$209)*$BI$1</f>
        <v>1.25</v>
      </c>
      <c r="BR782" s="28" t="s">
        <v>155</v>
      </c>
      <c r="BS782" s="8" t="s">
        <v>229</v>
      </c>
      <c r="BT782" s="9" t="s">
        <v>753</v>
      </c>
      <c r="BU782" s="10">
        <v>172</v>
      </c>
      <c r="BV782" s="9" t="s">
        <v>158</v>
      </c>
      <c r="BW782" s="10">
        <v>172</v>
      </c>
      <c r="BX782" s="10">
        <v>171.7</v>
      </c>
      <c r="BY782" s="10">
        <v>137</v>
      </c>
      <c r="BZ782" s="10">
        <v>158</v>
      </c>
      <c r="CA782" s="10">
        <v>131</v>
      </c>
      <c r="CB782" s="10">
        <v>83</v>
      </c>
      <c r="CC782" s="10">
        <v>114</v>
      </c>
      <c r="CD782" s="10">
        <v>15.5</v>
      </c>
      <c r="CE782" s="10">
        <v>1982</v>
      </c>
      <c r="CF782" s="10">
        <v>0.85</v>
      </c>
      <c r="CG782" s="10">
        <v>1691</v>
      </c>
      <c r="CH782" s="10">
        <v>214</v>
      </c>
      <c r="CI782" s="10">
        <v>67</v>
      </c>
      <c r="CJ782" s="10">
        <v>42</v>
      </c>
      <c r="CK782" s="10">
        <v>218</v>
      </c>
      <c r="CL782" s="10">
        <v>8</v>
      </c>
      <c r="CM782" s="10">
        <v>128</v>
      </c>
      <c r="CN782" s="10">
        <v>0.20100000000000001</v>
      </c>
      <c r="CO782" s="10">
        <v>73</v>
      </c>
      <c r="CP782" s="10">
        <v>62</v>
      </c>
      <c r="CQ782" s="10">
        <v>145</v>
      </c>
      <c r="CR782" s="10">
        <v>4</v>
      </c>
      <c r="CS782" s="10">
        <v>11</v>
      </c>
      <c r="CT782" s="9" t="s">
        <v>188</v>
      </c>
      <c r="CU782" s="10"/>
      <c r="CV782" s="10"/>
      <c r="CW782" s="10"/>
      <c r="CX782" t="e">
        <f>INDEX('Data_Price '!AG$2:AG$1266,MATCH(Data!$DN782,'Data_Price '!$AT$2:$AT$1266,0))</f>
        <v>#N/A</v>
      </c>
      <c r="CY782" t="e">
        <f>INDEX('Data_Price '!AH$2:AH$1266,MATCH(Data!$DN782,'Data_Price '!$AT$2:$AT$1266,0))</f>
        <v>#N/A</v>
      </c>
      <c r="CZ782" t="e">
        <f>INDEX('Data_Price '!AI$2:AI$1266,MATCH(Data!$DN782,'Data_Price '!$AT$2:$AT$1266,0))</f>
        <v>#N/A</v>
      </c>
      <c r="DA782" t="e">
        <f>INDEX('Data_Price '!AJ$2:AJ$1266,MATCH(Data!$DN782,'Data_Price '!$AT$2:$AT$1266,0))</f>
        <v>#N/A</v>
      </c>
      <c r="DB782" t="e">
        <f>INDEX('Data_Price '!AK$2:AK$1266,MATCH(Data!$DN782,'Data_Price '!$AT$2:$AT$1266,0))</f>
        <v>#N/A</v>
      </c>
      <c r="DC782" t="e">
        <f>INDEX('Data_Price '!AL$2:AL$1266,MATCH(Data!$DN782,'Data_Price '!$AT$2:$AT$1266,0))</f>
        <v>#N/A</v>
      </c>
      <c r="DD782" t="e">
        <f>INDEX('Data_Price '!AM$2:AM$1266,MATCH(Data!$DN782,'Data_Price '!$AT$2:$AT$1266,0))</f>
        <v>#N/A</v>
      </c>
      <c r="DE782" t="e">
        <f>INDEX('Data_Price '!AN$2:AN$1266,MATCH(Data!$DN782,'Data_Price '!$AT$2:$AT$1266,0))</f>
        <v>#N/A</v>
      </c>
      <c r="DF782" t="e">
        <f>INDEX('Data_Price '!AO$2:AO$1266,MATCH(Data!$DN782,'Data_Price '!$AT$2:$AT$1266,0))</f>
        <v>#N/A</v>
      </c>
      <c r="DG782" t="e">
        <f>INDEX('Data_Price '!AP$2:AP$1266,MATCH(Data!$DN782,'Data_Price '!$AT$2:$AT$1266,0))</f>
        <v>#N/A</v>
      </c>
      <c r="DH782" t="e">
        <f>INDEX('Data_Price '!AQ$2:AQ$1266,MATCH(Data!$DN782,'Data_Price '!$AT$2:$AT$1266,0))</f>
        <v>#N/A</v>
      </c>
      <c r="DI782" t="e">
        <f>INDEX('Data_Price '!AR$2:AR$1266,MATCH(Data!$DN782,'Data_Price '!$AT$2:$AT$1266,0))</f>
        <v>#N/A</v>
      </c>
      <c r="DJ782" s="89" t="e">
        <f t="shared" si="476"/>
        <v>#N/A</v>
      </c>
      <c r="DK782" s="89" t="e">
        <f t="shared" si="477"/>
        <v>#N/A</v>
      </c>
      <c r="DL782" s="89" t="e">
        <f t="shared" si="478"/>
        <v>#N/A</v>
      </c>
      <c r="DM782" s="219" t="str">
        <f t="shared" si="479"/>
        <v>Deacon 84</v>
      </c>
      <c r="DN782" s="89" t="str">
        <f t="shared" si="480"/>
        <v xml:space="preserve"> VölklDeacon 84172 Unisex</v>
      </c>
      <c r="DO782" s="221"/>
    </row>
    <row r="783" spans="2:119" ht="15.6" customHeight="1">
      <c r="B783" s="219" t="b">
        <f t="array" ref="B783">IF(OR(ISERROR(K783:P783)),FALSE,TRUE)</f>
        <v>1</v>
      </c>
      <c r="C783" s="43" t="b">
        <f>OR(BR783=Driver!$G$50,Data!BR278=Driver!$H$50)</f>
        <v>1</v>
      </c>
      <c r="D783" s="43" t="b">
        <f>OR(BV783=Driver!$G$51,BV783=Driver!$H$51)</f>
        <v>1</v>
      </c>
      <c r="E783" s="43" t="b">
        <f>AND(BX783&gt;Driver!$F$54,BX783&lt;Driver!$G$54)</f>
        <v>0</v>
      </c>
      <c r="F783" s="43" t="b">
        <f>CL783&gt;Driver!$F$56</f>
        <v>1</v>
      </c>
      <c r="G783" s="43" t="b">
        <f>AND(CB783&gt;Driver!$F$55,CB783&lt;Driver!$G$55)</f>
        <v>1</v>
      </c>
      <c r="H783" s="43" t="b">
        <f t="shared" si="444"/>
        <v>0</v>
      </c>
      <c r="I783" s="43">
        <f t="shared" si="445"/>
        <v>0</v>
      </c>
      <c r="J783" s="43" t="b">
        <f t="array" ref="J783">NOT(OR(($H$9:$H$1273=TRUE)*($I$9:$I$1273&gt;0)*($BT$9:$BT$1273=BT783)*($K$9:$K$1273&gt;K783)))</f>
        <v>1</v>
      </c>
      <c r="K783" s="72">
        <f t="shared" si="446"/>
        <v>0.76868751303949034</v>
      </c>
      <c r="L783" s="72">
        <f t="shared" si="447"/>
        <v>0.90904174430808116</v>
      </c>
      <c r="M783" s="72">
        <f t="shared" si="448"/>
        <v>0.62833328177089953</v>
      </c>
      <c r="N783" s="72">
        <f t="shared" si="449"/>
        <v>0.38183700800575082</v>
      </c>
      <c r="O783" s="72">
        <f t="shared" si="450"/>
        <v>0.66462970253405096</v>
      </c>
      <c r="P783" s="72">
        <f t="shared" si="451"/>
        <v>0.83853313477289659</v>
      </c>
      <c r="Q783" s="72"/>
      <c r="R783" s="72"/>
      <c r="S783" s="72">
        <f t="shared" si="452"/>
        <v>0.56815083911857134</v>
      </c>
      <c r="T783" s="72">
        <f t="shared" si="453"/>
        <v>0.47352340451201835</v>
      </c>
      <c r="U783" s="72">
        <f t="shared" si="454"/>
        <v>0.54192562202634065</v>
      </c>
      <c r="V783" s="72">
        <f t="shared" si="455"/>
        <v>0.55112645875461896</v>
      </c>
      <c r="W783" s="72">
        <f t="shared" si="456"/>
        <v>0.77025248455546602</v>
      </c>
      <c r="X783" s="72">
        <f t="shared" si="457"/>
        <v>9.0958255691918843E-2</v>
      </c>
      <c r="Y783" s="72">
        <f t="shared" si="458"/>
        <v>0.37166671822910052</v>
      </c>
      <c r="Z783" s="72">
        <f t="shared" si="459"/>
        <v>0.61816299199424918</v>
      </c>
      <c r="AA783" s="72">
        <f t="shared" si="460"/>
        <v>0.33537029746594904</v>
      </c>
      <c r="AB783" s="72">
        <f t="shared" si="461"/>
        <v>0.16146686522710346</v>
      </c>
      <c r="AC783" s="72"/>
      <c r="AD783" s="72"/>
      <c r="AE783" s="72">
        <f t="shared" si="462"/>
        <v>0.43184916088142866</v>
      </c>
      <c r="AF783" s="72">
        <f t="shared" si="463"/>
        <v>0.52647659548798165</v>
      </c>
      <c r="AG783" s="72">
        <f t="shared" si="464"/>
        <v>0.4580743779736593</v>
      </c>
      <c r="AH783" s="72">
        <f t="shared" si="465"/>
        <v>0.44887354124538104</v>
      </c>
      <c r="AI783" s="72">
        <f t="shared" si="466"/>
        <v>0.22974751544453398</v>
      </c>
      <c r="AJ783" s="72">
        <f>(AV783-Driver!$K$179)/(Driver!$L$179-Driver!$K$179)</f>
        <v>0.34517766497461927</v>
      </c>
      <c r="AK783" s="72">
        <f>(AW783-Driver!$K$180)/(Driver!$L$180-Driver!$K$180)</f>
        <v>0.44766822193280753</v>
      </c>
      <c r="AL783" s="72">
        <f>(AX783-Driver!$K$181)/(Driver!$L$181-Driver!$K$181)</f>
        <v>0.71985075570732937</v>
      </c>
      <c r="AM783" s="72">
        <f>(AY783-Driver!$K$182)/(Driver!$L$182-Driver!$K$182)</f>
        <v>0.11201472363109732</v>
      </c>
      <c r="AN783" s="72">
        <f>(AZ783-Driver!$K$183)/(Driver!$L$183-Driver!$K$183)</f>
        <v>0.41568627450980389</v>
      </c>
      <c r="AO783" s="72"/>
      <c r="AP783" s="72"/>
      <c r="AQ783" s="72">
        <f>(BC783-Driver!$K$188)/(Driver!$L$188-Driver!$K$188)</f>
        <v>0.18815083911857136</v>
      </c>
      <c r="AR783" s="72">
        <f>MIN((BD783-Driver!$K$189)/(Driver!$L$189-Driver!$K$189),100%)</f>
        <v>2.3523404512018436E-2</v>
      </c>
      <c r="AS783" s="72">
        <f>(BE783-Driver!$K$190)/(Driver!$L$190-Driver!$K$190)</f>
        <v>5.1925622026340691E-2</v>
      </c>
      <c r="AT783" s="72">
        <f>(BF783-Driver!$K$191)/(Driver!$L$191-Driver!$K$191)</f>
        <v>6.1126458754618966E-2</v>
      </c>
      <c r="AU783" s="72">
        <f>(BG783-Driver!$K$192)/(Driver!$L$192-Driver!$K$192)</f>
        <v>2.0252484555466015E-2</v>
      </c>
      <c r="AV783" s="70">
        <f t="shared" si="467"/>
        <v>7.2649572649572649</v>
      </c>
      <c r="AW783" s="70">
        <f t="shared" si="468"/>
        <v>45.501127592787164</v>
      </c>
      <c r="AX783" s="70">
        <f t="shared" si="469"/>
        <v>7.4786568013659647</v>
      </c>
      <c r="AY783" s="70">
        <f>IFERROR(Driver!$K$19/Data!BH783/Data!BI783*Data!BK783*Data!BL783,"")</f>
        <v>0.13713944369223569</v>
      </c>
      <c r="AZ783" s="70">
        <f t="shared" si="470"/>
        <v>37.885331347728965</v>
      </c>
      <c r="BA783" s="70"/>
      <c r="BB783" s="70"/>
      <c r="BC783" s="70">
        <f t="shared" si="471"/>
        <v>97.595148254216014</v>
      </c>
      <c r="BD783" s="70">
        <f t="shared" si="472"/>
        <v>3.8026025024049583</v>
      </c>
      <c r="BE783" s="70">
        <f t="shared" si="473"/>
        <v>5.2094747824339524E-2</v>
      </c>
      <c r="BF783" s="70">
        <f t="shared" si="474"/>
        <v>6.9038040786569823</v>
      </c>
      <c r="BG783" s="70">
        <f t="shared" si="475"/>
        <v>7.6688826215417658E-2</v>
      </c>
      <c r="BH783" s="67">
        <f>MAX((CE783-Driver!$F$200)/(Driver!$G$200-Driver!$F$200)*$BI$1,1)</f>
        <v>7.4786568013659647</v>
      </c>
      <c r="BI783" s="67">
        <f>MAX($BI$1*(BY783-Driver!$F$201)/(Driver!$G$201-Driver!$F$201),1)</f>
        <v>6.7088607594936711</v>
      </c>
      <c r="BJ783" s="67">
        <f>(CB783-Driver!$F$206)/(Driver!$G$206-Driver!$F$206)*$BI$1</f>
        <v>6.6666666666666661</v>
      </c>
      <c r="BK783" s="67">
        <f>(CD783-Driver!$F$203)/(Driver!$G$203-Driver!$F$203)*$BI$1</f>
        <v>6.6513761467889907</v>
      </c>
      <c r="BL783" s="67">
        <f>MAX((CR783-Driver!$F$202)/(Driver!$G$202-Driver!$F$202)*$BI$1,1)</f>
        <v>5.1724137931034484</v>
      </c>
      <c r="BM783" s="67">
        <f>MAX((CH783-Driver!$F$204)/(Driver!$G$204-Driver!$F$204)*$BI$1,1)</f>
        <v>4.3589743589743595</v>
      </c>
      <c r="BN783" s="67">
        <f>(CI783-Driver!$F$205)/(Driver!$G$205-Driver!$F$205)*$BI$1</f>
        <v>5.6470588235294112</v>
      </c>
      <c r="BO783" s="67">
        <f>(CK783-Driver!$F$207)/(Driver!$G$207-Driver!$F$207)*$BI$1</f>
        <v>2.1302998965873838</v>
      </c>
      <c r="BP783" s="67">
        <f>(CM783-Driver!$F$208)/(Driver!$G$208-Driver!$F$208)*$BI$1</f>
        <v>3.2333333333333329</v>
      </c>
      <c r="BQ783" s="67">
        <f>(CL783-Driver!$F$209)/(Driver!$G$209-Driver!$F$209)*$BI$1</f>
        <v>2.5</v>
      </c>
      <c r="BR783" s="28" t="s">
        <v>155</v>
      </c>
      <c r="BS783" s="8" t="s">
        <v>317</v>
      </c>
      <c r="BT783" s="9" t="s">
        <v>754</v>
      </c>
      <c r="BU783" s="10">
        <v>177</v>
      </c>
      <c r="BV783" s="9" t="s">
        <v>158</v>
      </c>
      <c r="BW783" s="10">
        <v>177</v>
      </c>
      <c r="BX783" s="10">
        <v>175.1</v>
      </c>
      <c r="BY783" s="10">
        <v>114</v>
      </c>
      <c r="BZ783" s="10">
        <v>149</v>
      </c>
      <c r="CA783" s="10">
        <v>135</v>
      </c>
      <c r="CB783" s="10">
        <v>106</v>
      </c>
      <c r="CC783" s="10">
        <v>123</v>
      </c>
      <c r="CD783" s="10">
        <v>23.9</v>
      </c>
      <c r="CE783" s="10">
        <v>2214</v>
      </c>
      <c r="CF783" s="10">
        <v>0.9</v>
      </c>
      <c r="CG783" s="10">
        <v>2003</v>
      </c>
      <c r="CH783" s="10">
        <v>203</v>
      </c>
      <c r="CI783" s="10">
        <v>129</v>
      </c>
      <c r="CJ783" s="10">
        <v>47</v>
      </c>
      <c r="CK783" s="10">
        <v>316</v>
      </c>
      <c r="CL783" s="10">
        <v>16</v>
      </c>
      <c r="CM783" s="10">
        <v>291</v>
      </c>
      <c r="CN783" s="10">
        <v>0.34799999999999998</v>
      </c>
      <c r="CO783" s="10">
        <v>151</v>
      </c>
      <c r="CP783" s="10">
        <v>114</v>
      </c>
      <c r="CQ783" s="10">
        <v>165</v>
      </c>
      <c r="CR783" s="10">
        <v>4</v>
      </c>
      <c r="CS783" s="10">
        <v>11.4</v>
      </c>
      <c r="CT783" s="9" t="s">
        <v>178</v>
      </c>
      <c r="CU783" s="10"/>
      <c r="CV783" s="10"/>
      <c r="CW783" s="10"/>
      <c r="CX783" t="str">
        <f>INDEX('Data_Price '!AG$2:AG$1266,MATCH(Data!$DN783,'Data_Price '!$AT$2:$AT$1266,0))</f>
        <v>Blizzard Cochise 106 (Flat)</v>
      </c>
      <c r="CY783" t="str">
        <f>INDEX('Data_Price '!AH$2:AH$1266,MATCH(Data!$DN783,'Data_Price '!$AT$2:$AT$1266,0))</f>
        <v>Snowcountry.eu</v>
      </c>
      <c r="CZ783">
        <f>INDEX('Data_Price '!AI$2:AI$1266,MATCH(Data!$DN783,'Data_Price '!$AT$2:$AT$1266,0))</f>
        <v>483.93</v>
      </c>
      <c r="DA783" t="str">
        <f>INDEX('Data_Price '!AJ$2:AJ$1266,MATCH(Data!$DN783,'Data_Price '!$AT$2:$AT$1266,0))</f>
        <v>https://tinyurl.com/ybxgqj6w</v>
      </c>
      <c r="DB783" t="str">
        <f>INDEX('Data_Price '!AK$2:AK$1266,MATCH(Data!$DN783,'Data_Price '!$AT$2:$AT$1266,0))</f>
        <v>2021 Blizzard Cochise 106 Men's Skis with Tyrolia Attack 13 Bindings (177)</v>
      </c>
      <c r="DC783" t="str">
        <f>INDEX('Data_Price '!AL$2:AL$1266,MATCH(Data!$DN783,'Data_Price '!$AT$2:$AT$1266,0))</f>
        <v>eBay - david110549</v>
      </c>
      <c r="DD783">
        <f>INDEX('Data_Price '!AM$2:AM$1266,MATCH(Data!$DN783,'Data_Price '!$AT$2:$AT$1266,0))</f>
        <v>814.95</v>
      </c>
      <c r="DE783" t="str">
        <f>INDEX('Data_Price '!AN$2:AN$1266,MATCH(Data!$DN783,'Data_Price '!$AT$2:$AT$1266,0))</f>
        <v>https://tinyurl.com/yat7b2f4</v>
      </c>
      <c r="DF783" t="str">
        <f>INDEX('Data_Price '!AO$2:AO$1266,MATCH(Data!$DN783,'Data_Price '!$AT$2:$AT$1266,0))</f>
        <v>2021 Blizzard Cochise 106 Men's Skis with Tyrolia Attack 13 Bindings (177)</v>
      </c>
      <c r="DG783" t="str">
        <f>INDEX('Data_Price '!AP$2:AP$1266,MATCH(Data!$DN783,'Data_Price '!$AT$2:$AT$1266,0))</f>
        <v>SkiEssentials.com</v>
      </c>
      <c r="DH783">
        <f>INDEX('Data_Price '!AQ$2:AQ$1266,MATCH(Data!$DN783,'Data_Price '!$AT$2:$AT$1266,0))</f>
        <v>814.95</v>
      </c>
      <c r="DI783" t="str">
        <f>INDEX('Data_Price '!AR$2:AR$1266,MATCH(Data!$DN783,'Data_Price '!$AT$2:$AT$1266,0))</f>
        <v>https://tinyurl.com/y9jbkwul</v>
      </c>
      <c r="DJ783" s="89" t="str">
        <f t="shared" si="476"/>
        <v>https://tinyurl.com/ybxgqj6w</v>
      </c>
      <c r="DK783" s="89" t="str">
        <f t="shared" si="477"/>
        <v>https://tinyurl.com/yat7b2f4</v>
      </c>
      <c r="DL783" s="89" t="str">
        <f t="shared" si="478"/>
        <v>https://tinyurl.com/y9jbkwul</v>
      </c>
      <c r="DM783" s="219" t="str">
        <f t="shared" si="479"/>
        <v>Cochise 106</v>
      </c>
      <c r="DN783" s="89" t="str">
        <f t="shared" si="480"/>
        <v xml:space="preserve"> BlizzardCochise 106177 Unisex</v>
      </c>
      <c r="DO783" s="221"/>
    </row>
    <row r="784" spans="2:119" ht="15.6" customHeight="1">
      <c r="B784" s="219" t="b">
        <f t="array" ref="B784">IF(OR(ISERROR(K784:P784)),FALSE,TRUE)</f>
        <v>1</v>
      </c>
      <c r="C784" s="43" t="b">
        <f>OR(BR784=Driver!$G$50,Data!BR580=Driver!$H$50)</f>
        <v>1</v>
      </c>
      <c r="D784" s="43" t="b">
        <f>OR(BV784=Driver!$G$51,BV784=Driver!$H$51)</f>
        <v>1</v>
      </c>
      <c r="E784" s="43" t="b">
        <f>AND(BX784&gt;Driver!$F$54,BX784&lt;Driver!$G$54)</f>
        <v>0</v>
      </c>
      <c r="F784" s="43" t="b">
        <f>CL784&gt;Driver!$F$56</f>
        <v>1</v>
      </c>
      <c r="G784" s="43" t="b">
        <f>AND(CB784&gt;Driver!$F$55,CB784&lt;Driver!$G$55)</f>
        <v>0</v>
      </c>
      <c r="H784" s="43" t="b">
        <f t="shared" si="444"/>
        <v>0</v>
      </c>
      <c r="I784" s="43">
        <f t="shared" si="445"/>
        <v>0</v>
      </c>
      <c r="J784" s="43" t="b">
        <f t="array" ref="J784">NOT(OR(($H$9:$H$1273=TRUE)*($I$9:$I$1273&gt;0)*($BT$9:$BT$1273=BT784)*($K$9:$K$1273&gt;K784)))</f>
        <v>1</v>
      </c>
      <c r="K784" s="72">
        <f t="shared" si="446"/>
        <v>0.82198527418465028</v>
      </c>
      <c r="L784" s="72">
        <f t="shared" si="447"/>
        <v>0.84440278071004793</v>
      </c>
      <c r="M784" s="72">
        <f t="shared" si="448"/>
        <v>0.79956776765925253</v>
      </c>
      <c r="N784" s="72">
        <f t="shared" si="449"/>
        <v>0.86435139490260782</v>
      </c>
      <c r="O784" s="72">
        <f t="shared" si="450"/>
        <v>0.60630007552778498</v>
      </c>
      <c r="P784" s="72">
        <f t="shared" si="451"/>
        <v>0.9280518325473649</v>
      </c>
      <c r="Q784" s="72"/>
      <c r="R784" s="72"/>
      <c r="S784" s="72">
        <f t="shared" si="452"/>
        <v>0.3988169685028744</v>
      </c>
      <c r="T784" s="72">
        <f t="shared" si="453"/>
        <v>0.52809182715371694</v>
      </c>
      <c r="U784" s="72">
        <f t="shared" si="454"/>
        <v>0.59373314969980606</v>
      </c>
      <c r="V784" s="72">
        <f t="shared" si="455"/>
        <v>0.60441807005408676</v>
      </c>
      <c r="W784" s="72">
        <f t="shared" si="456"/>
        <v>0.93715170278637761</v>
      </c>
      <c r="X784" s="72">
        <f t="shared" si="457"/>
        <v>0.15559721928995207</v>
      </c>
      <c r="Y784" s="72">
        <f t="shared" si="458"/>
        <v>0.20043223234074745</v>
      </c>
      <c r="Z784" s="72">
        <f t="shared" si="459"/>
        <v>0.13564860509739224</v>
      </c>
      <c r="AA784" s="72">
        <f t="shared" si="460"/>
        <v>0.39369992447221502</v>
      </c>
      <c r="AB784" s="72">
        <f t="shared" si="461"/>
        <v>7.1948167452635076E-2</v>
      </c>
      <c r="AC784" s="72"/>
      <c r="AD784" s="72"/>
      <c r="AE784" s="72">
        <f t="shared" si="462"/>
        <v>0.6011830314971256</v>
      </c>
      <c r="AF784" s="72">
        <f t="shared" si="463"/>
        <v>0.47190817284628311</v>
      </c>
      <c r="AG784" s="72">
        <f t="shared" si="464"/>
        <v>0.40626685030019394</v>
      </c>
      <c r="AH784" s="72">
        <f t="shared" si="465"/>
        <v>0.39558192994591324</v>
      </c>
      <c r="AI784" s="72">
        <f t="shared" si="466"/>
        <v>6.2848297213622367E-2</v>
      </c>
      <c r="AJ784" s="72">
        <f>(AV784-Driver!$K$179)/(Driver!$L$179-Driver!$K$179)</f>
        <v>9.8622189992748369E-2</v>
      </c>
      <c r="AK784" s="72">
        <f>(AW784-Driver!$K$180)/(Driver!$L$180-Driver!$K$180)</f>
        <v>0.18409740945854369</v>
      </c>
      <c r="AL784" s="72">
        <f>(AX784-Driver!$K$181)/(Driver!$L$181-Driver!$K$181)</f>
        <v>0.23733636881047243</v>
      </c>
      <c r="AM784" s="72">
        <f>(AY784-Driver!$K$182)/(Driver!$L$182-Driver!$K$182)</f>
        <v>5.368509662483132E-2</v>
      </c>
      <c r="AN784" s="72">
        <f>(AZ784-Driver!$K$183)/(Driver!$L$183-Driver!$K$183)</f>
        <v>0.18227124183006535</v>
      </c>
      <c r="AO784" s="72"/>
      <c r="AP784" s="72"/>
      <c r="AQ784" s="72">
        <f>(BC784-Driver!$K$188)/(Driver!$L$188-Driver!$K$188)</f>
        <v>1.8816968502874419E-2</v>
      </c>
      <c r="AR784" s="72">
        <f>MIN((BD784-Driver!$K$189)/(Driver!$L$189-Driver!$K$189),100%)</f>
        <v>7.8091827153716944E-2</v>
      </c>
      <c r="AS784" s="72">
        <f>(BE784-Driver!$K$190)/(Driver!$L$190-Driver!$K$190)</f>
        <v>0.1037331496998061</v>
      </c>
      <c r="AT784" s="72">
        <f>(BF784-Driver!$K$191)/(Driver!$L$191-Driver!$K$191)</f>
        <v>0.1144180700540868</v>
      </c>
      <c r="AU784" s="72">
        <f>(BG784-Driver!$K$192)/(Driver!$L$192-Driver!$K$192)</f>
        <v>0.18715170278637763</v>
      </c>
      <c r="AV784" s="70">
        <f t="shared" si="467"/>
        <v>2.0757020757020759</v>
      </c>
      <c r="AW784" s="70">
        <f t="shared" si="468"/>
        <v>19.813816442187473</v>
      </c>
      <c r="AX784" s="70">
        <f t="shared" si="469"/>
        <v>3.1360273192942518</v>
      </c>
      <c r="AY784" s="70">
        <f>IFERROR(Driver!$K$19/Data!BH784/Data!BI784*Data!BK784*Data!BL784,"")</f>
        <v>6.5726576355622651E-2</v>
      </c>
      <c r="AZ784" s="70">
        <f t="shared" si="470"/>
        <v>16.612062546537601</v>
      </c>
      <c r="BA784" s="70"/>
      <c r="BB784" s="70"/>
      <c r="BC784" s="70">
        <f t="shared" si="471"/>
        <v>9.7604923758837305</v>
      </c>
      <c r="BD784" s="70">
        <f t="shared" si="472"/>
        <v>8.6318112166717746</v>
      </c>
      <c r="BE784" s="70">
        <f t="shared" si="473"/>
        <v>0.10389303361798656</v>
      </c>
      <c r="BF784" s="70">
        <f t="shared" si="474"/>
        <v>12.92271718017323</v>
      </c>
      <c r="BG784" s="70">
        <f t="shared" si="475"/>
        <v>0.70867573662858951</v>
      </c>
      <c r="BH784" s="67">
        <f>MAX((CE784-Driver!$F$200)/(Driver!$G$200-Driver!$F$200)*$BI$1,1)</f>
        <v>3.1360273192942518</v>
      </c>
      <c r="BI784" s="67">
        <f>MAX($BI$1*(BY784-Driver!$F$201)/(Driver!$G$201-Driver!$F$201),1)</f>
        <v>6.1392405063291138</v>
      </c>
      <c r="BJ784" s="67">
        <f>(CB784-Driver!$F$206)/(Driver!$G$206-Driver!$F$206)*$BI$1</f>
        <v>3.8095238095238093</v>
      </c>
      <c r="BK784" s="67">
        <f>(CD784-Driver!$F$203)/(Driver!$G$203-Driver!$F$203)*$BI$1</f>
        <v>1.1467889908256883</v>
      </c>
      <c r="BL784" s="67">
        <f>MAX((CR784-Driver!$F$202)/(Driver!$G$202-Driver!$F$202)*$BI$1,1)</f>
        <v>5.5172413793103452</v>
      </c>
      <c r="BM784" s="67">
        <f>MAX((CH784-Driver!$F$204)/(Driver!$G$204-Driver!$F$204)*$BI$1,1)</f>
        <v>2.1794871794871797</v>
      </c>
      <c r="BN784" s="67">
        <f>(CI784-Driver!$F$205)/(Driver!$G$205-Driver!$F$205)*$BI$1</f>
        <v>2.7058823529411762</v>
      </c>
      <c r="BO784" s="67">
        <f>(CK784-Driver!$F$207)/(Driver!$G$207-Driver!$F$207)*$BI$1</f>
        <v>1.9027921406411583</v>
      </c>
      <c r="BP784" s="67">
        <f>(CM784-Driver!$F$208)/(Driver!$G$208-Driver!$F$208)*$BI$1</f>
        <v>2.0444444444444447</v>
      </c>
      <c r="BQ784" s="67">
        <f>(CL784-Driver!$F$209)/(Driver!$G$209-Driver!$F$209)*$BI$1</f>
        <v>4.84375</v>
      </c>
      <c r="BR784" s="28" t="s">
        <v>155</v>
      </c>
      <c r="BS784" s="8" t="s">
        <v>245</v>
      </c>
      <c r="BT784" s="9" t="s">
        <v>293</v>
      </c>
      <c r="BU784" s="10">
        <v>153</v>
      </c>
      <c r="BV784" s="9" t="s">
        <v>158</v>
      </c>
      <c r="BW784" s="10">
        <v>153</v>
      </c>
      <c r="BX784" s="10">
        <v>152.5</v>
      </c>
      <c r="BY784" s="10">
        <v>105</v>
      </c>
      <c r="BZ784" s="10">
        <v>126</v>
      </c>
      <c r="CA784" s="10">
        <v>121</v>
      </c>
      <c r="CB784" s="10">
        <v>88</v>
      </c>
      <c r="CC784" s="10">
        <v>111</v>
      </c>
      <c r="CD784" s="10">
        <v>11.9</v>
      </c>
      <c r="CE784" s="10">
        <v>1451</v>
      </c>
      <c r="CF784" s="10">
        <v>1.05</v>
      </c>
      <c r="CG784" s="10">
        <v>1525</v>
      </c>
      <c r="CH784" s="10">
        <v>152</v>
      </c>
      <c r="CI784" s="10">
        <v>79</v>
      </c>
      <c r="CJ784" s="10">
        <v>53</v>
      </c>
      <c r="CK784" s="10">
        <v>294</v>
      </c>
      <c r="CL784" s="10">
        <v>31</v>
      </c>
      <c r="CM784" s="10">
        <v>184</v>
      </c>
      <c r="CN784" s="10">
        <v>0.58699999999999997</v>
      </c>
      <c r="CO784" s="10">
        <v>135</v>
      </c>
      <c r="CP784" s="10">
        <v>131</v>
      </c>
      <c r="CQ784" s="10">
        <v>159</v>
      </c>
      <c r="CR784" s="10">
        <v>5</v>
      </c>
      <c r="CS784" s="10">
        <v>6.8</v>
      </c>
      <c r="CT784" s="9" t="s">
        <v>188</v>
      </c>
      <c r="CU784" s="9" t="s">
        <v>185</v>
      </c>
      <c r="CV784" s="10"/>
      <c r="CW784" s="10"/>
      <c r="CX784" t="str">
        <f>INDEX('Data_Price '!AG$2:AG$1266,MATCH(Data!$DN784,'Data_Price '!$AT$2:$AT$1266,0))</f>
        <v>Fischer Ranger 94 FR Skis 2021 153 cm</v>
      </c>
      <c r="CY784" t="str">
        <f>INDEX('Data_Price '!AH$2:AH$1266,MATCH(Data!$DN784,'Data_Price '!$AT$2:$AT$1266,0))</f>
        <v>Powder7 Ski Shop</v>
      </c>
      <c r="CZ784">
        <f>INDEX('Data_Price '!AI$2:AI$1266,MATCH(Data!$DN784,'Data_Price '!$AT$2:$AT$1266,0))</f>
        <v>519.99</v>
      </c>
      <c r="DA784" t="str">
        <f>INDEX('Data_Price '!AJ$2:AJ$1266,MATCH(Data!$DN784,'Data_Price '!$AT$2:$AT$1266,0))</f>
        <v>https://tinyurl.com/y9dt8lff</v>
      </c>
      <c r="DB784" t="str">
        <f>INDEX('Data_Price '!AK$2:AK$1266,MATCH(Data!$DN784,'Data_Price '!$AT$2:$AT$1266,0))</f>
        <v>Fischer RC One 74 Allride and RS 10 PR Alpine Set</v>
      </c>
      <c r="DC784" t="str">
        <f>INDEX('Data_Price '!AL$2:AL$1266,MATCH(Data!$DN784,'Data_Price '!$AT$2:$AT$1266,0))</f>
        <v>GritrOutdoors</v>
      </c>
      <c r="DD784">
        <f>INDEX('Data_Price '!AM$2:AM$1266,MATCH(Data!$DN784,'Data_Price '!$AT$2:$AT$1266,0))</f>
        <v>479.99</v>
      </c>
      <c r="DE784" t="str">
        <f>INDEX('Data_Price '!AN$2:AN$1266,MATCH(Data!$DN784,'Data_Price '!$AT$2:$AT$1266,0))</f>
        <v>https://tinyurl.com/y7enubxp</v>
      </c>
      <c r="DF784" t="str">
        <f>INDEX('Data_Price '!AO$2:AO$1266,MATCH(Data!$DN784,'Data_Price '!$AT$2:$AT$1266,0))</f>
        <v>Fischer RC One 74 Allride and RS 10 PR Alpine Set</v>
      </c>
      <c r="DG784" t="str">
        <f>INDEX('Data_Price '!AP$2:AP$1266,MATCH(Data!$DN784,'Data_Price '!$AT$2:$AT$1266,0))</f>
        <v>eBay - webyshops</v>
      </c>
      <c r="DH784">
        <f>INDEX('Data_Price '!AQ$2:AQ$1266,MATCH(Data!$DN784,'Data_Price '!$AT$2:$AT$1266,0))</f>
        <v>479.99</v>
      </c>
      <c r="DI784" t="str">
        <f>INDEX('Data_Price '!AR$2:AR$1266,MATCH(Data!$DN784,'Data_Price '!$AT$2:$AT$1266,0))</f>
        <v>https://tinyurl.com/y77x9xmy</v>
      </c>
      <c r="DJ784" s="89" t="str">
        <f t="shared" si="476"/>
        <v>https://tinyurl.com/y9dt8lff</v>
      </c>
      <c r="DK784" s="89" t="str">
        <f t="shared" si="477"/>
        <v>https://tinyurl.com/y7enubxp</v>
      </c>
      <c r="DL784" s="89" t="str">
        <f t="shared" si="478"/>
        <v>https://tinyurl.com/y77x9xmy</v>
      </c>
      <c r="DM784" s="219" t="str">
        <f t="shared" si="479"/>
        <v>Ranger 94 FR</v>
      </c>
      <c r="DN784" s="89" t="str">
        <f t="shared" si="480"/>
        <v xml:space="preserve"> FischerRanger 94 FR153 Unisex</v>
      </c>
      <c r="DO784" s="221"/>
    </row>
    <row r="785" spans="2:119" ht="15.6" customHeight="1">
      <c r="B785" s="219" t="b">
        <f t="array" ref="B785">IF(OR(ISERROR(K785:P785)),FALSE,TRUE)</f>
        <v>1</v>
      </c>
      <c r="C785" s="43" t="b">
        <f>OR(BR785=Driver!$G$50,Data!BR433=Driver!$H$50)</f>
        <v>1</v>
      </c>
      <c r="D785" s="43" t="b">
        <f>OR(BV785=Driver!$G$51,BV785=Driver!$H$51)</f>
        <v>1</v>
      </c>
      <c r="E785" s="43" t="b">
        <f>AND(BX785&gt;Driver!$F$54,BX785&lt;Driver!$G$54)</f>
        <v>0</v>
      </c>
      <c r="F785" s="43" t="b">
        <f>CL785&gt;Driver!$F$56</f>
        <v>1</v>
      </c>
      <c r="G785" s="43" t="b">
        <f>AND(CB785&gt;Driver!$F$55,CB785&lt;Driver!$G$55)</f>
        <v>0</v>
      </c>
      <c r="H785" s="43" t="b">
        <f t="shared" si="444"/>
        <v>0</v>
      </c>
      <c r="I785" s="43">
        <f t="shared" si="445"/>
        <v>0</v>
      </c>
      <c r="J785" s="43" t="b">
        <f t="array" ref="J785">NOT(OR(($H$9:$H$1273=TRUE)*($I$9:$I$1273&gt;0)*($BT$9:$BT$1273=BT785)*($K$9:$K$1273&gt;K785)))</f>
        <v>1</v>
      </c>
      <c r="K785" s="72">
        <f t="shared" si="446"/>
        <v>0.79023672272408607</v>
      </c>
      <c r="L785" s="72">
        <f t="shared" si="447"/>
        <v>0.87042808084702317</v>
      </c>
      <c r="M785" s="72">
        <f t="shared" si="448"/>
        <v>0.71004536460114887</v>
      </c>
      <c r="N785" s="72">
        <f t="shared" si="449"/>
        <v>0.54436151315973802</v>
      </c>
      <c r="O785" s="72">
        <f t="shared" si="450"/>
        <v>0.60960183306366389</v>
      </c>
      <c r="P785" s="72">
        <f t="shared" si="451"/>
        <v>0.97617274758004469</v>
      </c>
      <c r="Q785" s="72"/>
      <c r="R785" s="72"/>
      <c r="S785" s="72">
        <f t="shared" si="452"/>
        <v>0.47565878309031917</v>
      </c>
      <c r="T785" s="72">
        <f t="shared" si="453"/>
        <v>0.70285281949473366</v>
      </c>
      <c r="U785" s="72">
        <f t="shared" si="454"/>
        <v>0.51</v>
      </c>
      <c r="V785" s="72">
        <f t="shared" si="455"/>
        <v>0.49341380294943249</v>
      </c>
      <c r="W785" s="72">
        <f t="shared" si="456"/>
        <v>0.76348751421098238</v>
      </c>
      <c r="X785" s="72">
        <f t="shared" si="457"/>
        <v>0.12957191915297683</v>
      </c>
      <c r="Y785" s="72">
        <f t="shared" si="458"/>
        <v>0.28995463539885108</v>
      </c>
      <c r="Z785" s="72">
        <f t="shared" si="459"/>
        <v>0.45563848684026198</v>
      </c>
      <c r="AA785" s="72">
        <f t="shared" si="460"/>
        <v>0.39039816693633606</v>
      </c>
      <c r="AB785" s="72">
        <f t="shared" si="461"/>
        <v>2.3827252419955341E-2</v>
      </c>
      <c r="AC785" s="72"/>
      <c r="AD785" s="72"/>
      <c r="AE785" s="72">
        <f t="shared" si="462"/>
        <v>0.52434121690968083</v>
      </c>
      <c r="AF785" s="72">
        <f t="shared" si="463"/>
        <v>0.29714718050526628</v>
      </c>
      <c r="AG785" s="72">
        <f t="shared" si="464"/>
        <v>0.49</v>
      </c>
      <c r="AH785" s="72">
        <f t="shared" si="465"/>
        <v>0.50658619705056751</v>
      </c>
      <c r="AI785" s="72">
        <f t="shared" si="466"/>
        <v>0.2365124857890176</v>
      </c>
      <c r="AJ785" s="72">
        <f>(AV785-Driver!$K$179)/(Driver!$L$179-Driver!$K$179)</f>
        <v>0.12464749012972361</v>
      </c>
      <c r="AK785" s="72">
        <f>(AW785-Driver!$K$180)/(Driver!$L$180-Driver!$K$180)</f>
        <v>0.25868944607142291</v>
      </c>
      <c r="AL785" s="72">
        <f>(AX785-Driver!$K$181)/(Driver!$L$181-Driver!$K$181)</f>
        <v>0.55732625055334217</v>
      </c>
      <c r="AM785" s="72">
        <f>(AY785-Driver!$K$182)/(Driver!$L$182-Driver!$K$182)</f>
        <v>5.6986854160710324E-2</v>
      </c>
      <c r="AN785" s="72">
        <f>(AZ785-Driver!$K$183)/(Driver!$L$183-Driver!$K$183)</f>
        <v>0.23039215686274508</v>
      </c>
      <c r="AO785" s="72"/>
      <c r="AP785" s="72"/>
      <c r="AQ785" s="72">
        <f>(BC785-Driver!$K$188)/(Driver!$L$188-Driver!$K$188)</f>
        <v>9.5658783090319138E-2</v>
      </c>
      <c r="AR785" s="72">
        <f>MIN((BD785-Driver!$K$189)/(Driver!$L$189-Driver!$K$189),100%)</f>
        <v>0.25285281949473376</v>
      </c>
      <c r="AS785" s="72">
        <f>(BE785-Driver!$K$190)/(Driver!$L$190-Driver!$K$190)</f>
        <v>1</v>
      </c>
      <c r="AT785" s="72">
        <f>(BF785-Driver!$K$191)/(Driver!$L$191-Driver!$K$191)</f>
        <v>3.4138029494324876E-3</v>
      </c>
      <c r="AU785" s="72">
        <f>(BG785-Driver!$K$192)/(Driver!$L$192-Driver!$K$192)</f>
        <v>1.3487514210982406E-2</v>
      </c>
      <c r="AV785" s="70">
        <f t="shared" si="467"/>
        <v>2.6234567901234565</v>
      </c>
      <c r="AW785" s="70">
        <f t="shared" si="468"/>
        <v>27.083471362794612</v>
      </c>
      <c r="AX785" s="70">
        <f t="shared" si="469"/>
        <v>6.0159362549800797</v>
      </c>
      <c r="AY785" s="70">
        <f>IFERROR(Driver!$K$19/Data!BH785/Data!BI785*Data!BK785*Data!BL785,"")</f>
        <v>6.9768912728904453E-2</v>
      </c>
      <c r="AZ785" s="70">
        <f t="shared" si="470"/>
        <v>20.997766195085628</v>
      </c>
      <c r="BA785" s="70"/>
      <c r="BB785" s="70"/>
      <c r="BC785" s="70">
        <f t="shared" si="471"/>
        <v>49.618875798019751</v>
      </c>
      <c r="BD785" s="70">
        <f t="shared" si="472"/>
        <v>24.097849380696772</v>
      </c>
      <c r="BE785" s="70">
        <f t="shared" si="473"/>
        <v>1</v>
      </c>
      <c r="BF785" s="70">
        <f t="shared" si="474"/>
        <v>0.38556505981531825</v>
      </c>
      <c r="BG785" s="70">
        <f t="shared" si="475"/>
        <v>5.1072332906672603E-2</v>
      </c>
      <c r="BH785" s="67">
        <f>MAX((CE785-Driver!$F$200)/(Driver!$G$200-Driver!$F$200)*$BI$1,1)</f>
        <v>6.0159362549800797</v>
      </c>
      <c r="BI785" s="67">
        <f>MAX($BI$1*(BY785-Driver!$F$201)/(Driver!$G$201-Driver!$F$201),1)</f>
        <v>8.924050632911392</v>
      </c>
      <c r="BJ785" s="67">
        <f>(CB785-Driver!$F$206)/(Driver!$G$206-Driver!$F$206)*$BI$1</f>
        <v>2.0634920634920633</v>
      </c>
      <c r="BK785" s="67">
        <f>(CD785-Driver!$F$203)/(Driver!$G$203-Driver!$F$203)*$BI$1</f>
        <v>3.3944954128440372</v>
      </c>
      <c r="BL785" s="67">
        <f>MAX((CR785-Driver!$F$202)/(Driver!$G$202-Driver!$F$202)*$BI$1,1)</f>
        <v>5.5172413793103452</v>
      </c>
      <c r="BM785" s="67">
        <f>MAX((CH785-Driver!$F$204)/(Driver!$G$204-Driver!$F$204)*$BI$1,1)</f>
        <v>5.0854700854700852</v>
      </c>
      <c r="BN785" s="67">
        <f>(CI785-Driver!$F$205)/(Driver!$G$205-Driver!$F$205)*$BI$1</f>
        <v>2.3529411764705883</v>
      </c>
      <c r="BO785" s="67">
        <f>(CK785-Driver!$F$207)/(Driver!$G$207-Driver!$F$207)*$BI$1</f>
        <v>0.62047569803516023</v>
      </c>
      <c r="BP785" s="67">
        <f>(CM785-Driver!$F$208)/(Driver!$G$208-Driver!$F$208)*$BI$1</f>
        <v>1.0222222222222224</v>
      </c>
      <c r="BQ785" s="67">
        <f>(CL785-Driver!$F$209)/(Driver!$G$209-Driver!$F$209)*$BI$1</f>
        <v>1.5625</v>
      </c>
      <c r="BR785" s="28" t="s">
        <v>155</v>
      </c>
      <c r="BS785" s="8" t="s">
        <v>164</v>
      </c>
      <c r="BT785" s="9" t="s">
        <v>717</v>
      </c>
      <c r="BU785" s="10">
        <v>176</v>
      </c>
      <c r="BV785" s="9" t="s">
        <v>158</v>
      </c>
      <c r="BW785" s="10">
        <v>176</v>
      </c>
      <c r="BX785" s="10">
        <v>175.4</v>
      </c>
      <c r="BY785" s="10">
        <v>149</v>
      </c>
      <c r="BZ785" s="10">
        <v>161</v>
      </c>
      <c r="CA785" s="10">
        <v>128</v>
      </c>
      <c r="CB785" s="10">
        <v>77</v>
      </c>
      <c r="CC785" s="10">
        <v>104</v>
      </c>
      <c r="CD785" s="10">
        <v>16.8</v>
      </c>
      <c r="CE785" s="10">
        <v>1957</v>
      </c>
      <c r="CF785" s="10">
        <v>0.82</v>
      </c>
      <c r="CG785" s="10">
        <v>1604</v>
      </c>
      <c r="CH785" s="10">
        <v>220</v>
      </c>
      <c r="CI785" s="10">
        <v>73</v>
      </c>
      <c r="CJ785" s="10">
        <v>35</v>
      </c>
      <c r="CK785" s="10">
        <v>170</v>
      </c>
      <c r="CL785" s="10">
        <v>10</v>
      </c>
      <c r="CM785" s="10">
        <v>92</v>
      </c>
      <c r="CN785" s="10">
        <v>0.29699999999999999</v>
      </c>
      <c r="CO785" s="10">
        <v>85</v>
      </c>
      <c r="CP785" s="10">
        <v>58</v>
      </c>
      <c r="CQ785" s="10">
        <v>85</v>
      </c>
      <c r="CR785" s="10">
        <v>5</v>
      </c>
      <c r="CS785" s="10">
        <v>11.2</v>
      </c>
      <c r="CT785" s="9" t="s">
        <v>349</v>
      </c>
      <c r="CU785" s="10"/>
      <c r="CV785" s="10"/>
      <c r="CW785" s="10"/>
      <c r="CX785" t="str">
        <f>INDEX('Data_Price '!AG$2:AG$1266,MATCH(Data!$DN785,'Data_Price '!$AT$2:$AT$1266,0))</f>
        <v>Elan Element LS EL 10.0 Orange / 176cm</v>
      </c>
      <c r="CY785" t="str">
        <f>INDEX('Data_Price '!AH$2:AH$1266,MATCH(Data!$DN785,'Data_Price '!$AT$2:$AT$1266,0))</f>
        <v>Sundance Ski and Board Shop</v>
      </c>
      <c r="CZ785">
        <f>INDEX('Data_Price '!AI$2:AI$1266,MATCH(Data!$DN785,'Data_Price '!$AT$2:$AT$1266,0))</f>
        <v>424.76</v>
      </c>
      <c r="DA785" t="str">
        <f>INDEX('Data_Price '!AJ$2:AJ$1266,MATCH(Data!$DN785,'Data_Price '!$AT$2:$AT$1266,0))</f>
        <v>https://tinyurl.com/ya4mdslc</v>
      </c>
      <c r="DB785" t="str">
        <f>INDEX('Data_Price '!AK$2:AK$1266,MATCH(Data!$DN785,'Data_Price '!$AT$2:$AT$1266,0))</f>
        <v>2016 Elan Explore 80 Women's Skis 176cm With Elan Esp 10 Bindings</v>
      </c>
      <c r="DC785" t="str">
        <f>INDEX('Data_Price '!AL$2:AL$1266,MATCH(Data!$DN785,'Data_Price '!$AT$2:$AT$1266,0))</f>
        <v>eBay</v>
      </c>
      <c r="DD785">
        <f>INDEX('Data_Price '!AM$2:AM$1266,MATCH(Data!$DN785,'Data_Price '!$AT$2:$AT$1266,0))</f>
        <v>140</v>
      </c>
      <c r="DE785" t="str">
        <f>INDEX('Data_Price '!AN$2:AN$1266,MATCH(Data!$DN785,'Data_Price '!$AT$2:$AT$1266,0))</f>
        <v>https://tinyurl.com/y9qvojp8</v>
      </c>
      <c r="DF785" t="str">
        <f>INDEX('Data_Price '!AO$2:AO$1266,MATCH(Data!$DN785,'Data_Price '!$AT$2:$AT$1266,0))</f>
        <v>Elan Skis - Sports &amp; outdoors | Color: Red | Size: s</v>
      </c>
      <c r="DG785" t="str">
        <f>INDEX('Data_Price '!AP$2:AP$1266,MATCH(Data!$DN785,'Data_Price '!$AT$2:$AT$1266,0))</f>
        <v>Mercari</v>
      </c>
      <c r="DH785">
        <f>INDEX('Data_Price '!AQ$2:AQ$1266,MATCH(Data!$DN785,'Data_Price '!$AT$2:$AT$1266,0))</f>
        <v>170</v>
      </c>
      <c r="DI785" t="str">
        <f>INDEX('Data_Price '!AR$2:AR$1266,MATCH(Data!$DN785,'Data_Price '!$AT$2:$AT$1266,0))</f>
        <v>https://tinyurl.com/yae3ljay</v>
      </c>
      <c r="DJ785" s="89" t="str">
        <f t="shared" si="476"/>
        <v>https://tinyurl.com/ya4mdslc</v>
      </c>
      <c r="DK785" s="89" t="str">
        <f t="shared" si="477"/>
        <v>https://tinyurl.com/y9qvojp8</v>
      </c>
      <c r="DL785" s="89" t="str">
        <f t="shared" si="478"/>
        <v>https://tinyurl.com/yae3ljay</v>
      </c>
      <c r="DM785" s="219" t="str">
        <f t="shared" si="479"/>
        <v>Element</v>
      </c>
      <c r="DN785" s="89" t="str">
        <f t="shared" si="480"/>
        <v xml:space="preserve"> ElanElement176 Unisex</v>
      </c>
      <c r="DO785" s="221"/>
    </row>
    <row r="786" spans="2:119" ht="15.6" customHeight="1">
      <c r="B786" s="219" t="b">
        <f t="array" ref="B786">IF(OR(ISERROR(K786:P786)),FALSE,TRUE)</f>
        <v>1</v>
      </c>
      <c r="C786" s="43" t="b">
        <f>OR(BR786=Driver!$G$50,Data!BR1246=Driver!$H$50)</f>
        <v>1</v>
      </c>
      <c r="D786" s="43" t="b">
        <f>OR(BV786=Driver!$G$51,BV786=Driver!$H$51)</f>
        <v>1</v>
      </c>
      <c r="E786" s="43" t="b">
        <f>AND(BX786&gt;Driver!$F$54,BX786&lt;Driver!$G$54)</f>
        <v>0</v>
      </c>
      <c r="F786" s="43" t="b">
        <f>CL786&gt;Driver!$F$56</f>
        <v>1</v>
      </c>
      <c r="G786" s="43" t="b">
        <f>AND(CB786&gt;Driver!$F$55,CB786&lt;Driver!$G$55)</f>
        <v>0</v>
      </c>
      <c r="H786" s="43" t="b">
        <f t="shared" si="444"/>
        <v>0</v>
      </c>
      <c r="I786" s="43">
        <f t="shared" si="445"/>
        <v>0</v>
      </c>
      <c r="J786" s="43" t="b">
        <f t="array" ref="J786">NOT(OR(($H$9:$H$1273=TRUE)*($I$9:$I$1273&gt;0)*($BT$9:$BT$1273=BT786)*($K$9:$K$1273&gt;K786)))</f>
        <v>1</v>
      </c>
      <c r="K786" s="72">
        <f t="shared" si="446"/>
        <v>0.88828125911216516</v>
      </c>
      <c r="L786" s="72">
        <f t="shared" si="447"/>
        <v>0.87550422297900288</v>
      </c>
      <c r="M786" s="72">
        <f t="shared" si="448"/>
        <v>0.90105829524532743</v>
      </c>
      <c r="N786" s="72">
        <f t="shared" si="449"/>
        <v>0.97312265905235795</v>
      </c>
      <c r="O786" s="72">
        <f t="shared" si="450"/>
        <v>0.74011313923429856</v>
      </c>
      <c r="P786" s="72">
        <f t="shared" si="451"/>
        <v>0.98993908744932568</v>
      </c>
      <c r="Q786" s="72"/>
      <c r="R786" s="72"/>
      <c r="S786" s="72">
        <f t="shared" si="452"/>
        <v>0.46342381778466479</v>
      </c>
      <c r="T786" s="72">
        <f t="shared" si="453"/>
        <v>0.46206541231055787</v>
      </c>
      <c r="U786" s="72">
        <f t="shared" si="454"/>
        <v>0.51</v>
      </c>
      <c r="V786" s="72">
        <f t="shared" si="455"/>
        <v>0.49780895267264769</v>
      </c>
      <c r="W786" s="72">
        <f t="shared" si="456"/>
        <v>0.77557859027516018</v>
      </c>
      <c r="X786" s="72">
        <f t="shared" si="457"/>
        <v>0.12449577702099709</v>
      </c>
      <c r="Y786" s="72">
        <f t="shared" si="458"/>
        <v>9.8941704754672608E-2</v>
      </c>
      <c r="Z786" s="72">
        <f t="shared" si="459"/>
        <v>2.6877340947642034E-2</v>
      </c>
      <c r="AA786" s="72">
        <f t="shared" si="460"/>
        <v>0.25988686076570144</v>
      </c>
      <c r="AB786" s="72">
        <f t="shared" si="461"/>
        <v>1.0060912550674289E-2</v>
      </c>
      <c r="AC786" s="72"/>
      <c r="AD786" s="72"/>
      <c r="AE786" s="72">
        <f t="shared" si="462"/>
        <v>0.53657618221533521</v>
      </c>
      <c r="AF786" s="72">
        <f t="shared" si="463"/>
        <v>0.53793458768944213</v>
      </c>
      <c r="AG786" s="72">
        <f t="shared" si="464"/>
        <v>0.49</v>
      </c>
      <c r="AH786" s="72">
        <f t="shared" si="465"/>
        <v>0.50219104732735231</v>
      </c>
      <c r="AI786" s="72">
        <f t="shared" si="466"/>
        <v>0.22442140972483982</v>
      </c>
      <c r="AJ786" s="72">
        <f>(AV786-Driver!$K$179)/(Driver!$L$179-Driver!$K$179)</f>
        <v>0.12972363226170333</v>
      </c>
      <c r="AK786" s="72">
        <f>(AW786-Driver!$K$180)/(Driver!$L$180-Driver!$K$180)</f>
        <v>0.23360797322617799</v>
      </c>
      <c r="AL786" s="72">
        <f>(AX786-Driver!$K$181)/(Driver!$L$181-Driver!$K$181)</f>
        <v>0.12856510466072221</v>
      </c>
      <c r="AM786" s="72">
        <f>(AY786-Driver!$K$182)/(Driver!$L$182-Driver!$K$182)</f>
        <v>0.18749816033134492</v>
      </c>
      <c r="AN786" s="72">
        <f>(AZ786-Driver!$K$183)/(Driver!$L$183-Driver!$K$183)</f>
        <v>0.24415849673202614</v>
      </c>
      <c r="AO786" s="72"/>
      <c r="AP786" s="72"/>
      <c r="AQ786" s="72">
        <f>(BC786-Driver!$K$188)/(Driver!$L$188-Driver!$K$188)</f>
        <v>8.3423817784664733E-2</v>
      </c>
      <c r="AR786" s="72">
        <f>MIN((BD786-Driver!$K$189)/(Driver!$L$189-Driver!$K$189),100%)</f>
        <v>1.2065412310557872E-2</v>
      </c>
      <c r="AS786" s="72">
        <f>(BE786-Driver!$K$190)/(Driver!$L$190-Driver!$K$190)</f>
        <v>1</v>
      </c>
      <c r="AT786" s="72">
        <f>(BF786-Driver!$K$191)/(Driver!$L$191-Driver!$K$191)</f>
        <v>7.8089526726477058E-3</v>
      </c>
      <c r="AU786" s="72">
        <f>(BG786-Driver!$K$192)/(Driver!$L$192-Driver!$K$192)</f>
        <v>2.5578590275160192E-2</v>
      </c>
      <c r="AV786" s="70">
        <f t="shared" si="467"/>
        <v>2.7302943969610638</v>
      </c>
      <c r="AW786" s="70">
        <f t="shared" si="468"/>
        <v>24.639059589567509</v>
      </c>
      <c r="AX786" s="70">
        <f t="shared" si="469"/>
        <v>2.1570859419464998</v>
      </c>
      <c r="AY786" s="70">
        <f>IFERROR(Driver!$K$19/Data!BH786/Data!BI786*Data!BK786*Data!BL786,"")</f>
        <v>0.22955369229710576</v>
      </c>
      <c r="AZ786" s="70">
        <f t="shared" si="470"/>
        <v>22.252419955323901</v>
      </c>
      <c r="BA786" s="70"/>
      <c r="BB786" s="70"/>
      <c r="BC786" s="70">
        <f t="shared" si="471"/>
        <v>43.272514237877921</v>
      </c>
      <c r="BD786" s="70">
        <f t="shared" si="472"/>
        <v>2.7885904949365252</v>
      </c>
      <c r="BE786" s="70">
        <f t="shared" si="473"/>
        <v>1</v>
      </c>
      <c r="BF786" s="70">
        <f t="shared" si="474"/>
        <v>0.88196634337811697</v>
      </c>
      <c r="BG786" s="70">
        <f t="shared" si="475"/>
        <v>9.6856860158311339E-2</v>
      </c>
      <c r="BH786" s="67">
        <f>MAX((CE786-Driver!$F$200)/(Driver!$G$200-Driver!$F$200)*$BI$1,1)</f>
        <v>2.1570859419464998</v>
      </c>
      <c r="BI786" s="67">
        <f>MAX($BI$1*(BY786-Driver!$F$201)/(Driver!$G$201-Driver!$F$201),1)</f>
        <v>8.7974683544303804</v>
      </c>
      <c r="BJ786" s="67">
        <f>(CB786-Driver!$F$206)/(Driver!$G$206-Driver!$F$206)*$BI$1</f>
        <v>3.6507936507936507</v>
      </c>
      <c r="BK786" s="67">
        <f>(CD786-Driver!$F$203)/(Driver!$G$203-Driver!$F$203)*$BI$1</f>
        <v>3.71559633027523</v>
      </c>
      <c r="BL786" s="67">
        <f>MAX((CR786-Driver!$F$202)/(Driver!$G$202-Driver!$F$202)*$BI$1,1)</f>
        <v>5.8620689655172411</v>
      </c>
      <c r="BM786" s="67">
        <f>MAX((CH786-Driver!$F$204)/(Driver!$G$204-Driver!$F$204)*$BI$1,1)</f>
        <v>2.9914529914529915</v>
      </c>
      <c r="BN786" s="67">
        <f>(CI786-Driver!$F$205)/(Driver!$G$205-Driver!$F$205)*$BI$1</f>
        <v>2.5294117647058822</v>
      </c>
      <c r="BO786" s="67">
        <f>(CK786-Driver!$F$207)/(Driver!$G$207-Driver!$F$207)*$BI$1</f>
        <v>1.3029989658738366</v>
      </c>
      <c r="BP786" s="67">
        <f>(CM786-Driver!$F$208)/(Driver!$G$208-Driver!$F$208)*$BI$1</f>
        <v>0.68888888888888888</v>
      </c>
      <c r="BQ786" s="67">
        <f>(CL786-Driver!$F$209)/(Driver!$G$209-Driver!$F$209)*$BI$1</f>
        <v>0.625</v>
      </c>
      <c r="BR786" s="28" t="s">
        <v>155</v>
      </c>
      <c r="BS786" s="8" t="s">
        <v>229</v>
      </c>
      <c r="BT786" s="9" t="s">
        <v>656</v>
      </c>
      <c r="BU786" s="10">
        <v>177</v>
      </c>
      <c r="BV786" s="9" t="s">
        <v>158</v>
      </c>
      <c r="BW786" s="10">
        <v>177</v>
      </c>
      <c r="BX786" s="10">
        <v>176.7</v>
      </c>
      <c r="BY786" s="10">
        <v>147</v>
      </c>
      <c r="BZ786" s="10">
        <v>156</v>
      </c>
      <c r="CA786" s="10">
        <v>130</v>
      </c>
      <c r="CB786" s="10">
        <v>87</v>
      </c>
      <c r="CC786" s="10">
        <v>111</v>
      </c>
      <c r="CD786" s="10">
        <v>17.5</v>
      </c>
      <c r="CE786" s="10">
        <v>1279</v>
      </c>
      <c r="CF786" s="10">
        <v>1.39</v>
      </c>
      <c r="CG786" s="10">
        <v>1773</v>
      </c>
      <c r="CH786" s="10">
        <v>171</v>
      </c>
      <c r="CI786" s="10">
        <v>76</v>
      </c>
      <c r="CJ786" s="10">
        <v>42</v>
      </c>
      <c r="CK786" s="10">
        <v>236</v>
      </c>
      <c r="CL786" s="10">
        <v>4</v>
      </c>
      <c r="CM786" s="10">
        <v>62</v>
      </c>
      <c r="CN786" s="10">
        <v>9.6000000000000002E-2</v>
      </c>
      <c r="CO786" s="10">
        <v>120</v>
      </c>
      <c r="CP786" s="10">
        <v>89</v>
      </c>
      <c r="CQ786" s="10">
        <v>116</v>
      </c>
      <c r="CR786" s="10">
        <v>6</v>
      </c>
      <c r="CS786" s="10">
        <v>12.2</v>
      </c>
      <c r="CT786" s="9" t="s">
        <v>185</v>
      </c>
      <c r="CU786" s="9" t="s">
        <v>198</v>
      </c>
      <c r="CV786" s="10"/>
      <c r="CW786" s="10"/>
      <c r="CX786" t="e">
        <f>INDEX('Data_Price '!AG$2:AG$1266,MATCH(Data!$DN786,'Data_Price '!$AT$2:$AT$1266,0))</f>
        <v>#N/A</v>
      </c>
      <c r="CY786" t="e">
        <f>INDEX('Data_Price '!AH$2:AH$1266,MATCH(Data!$DN786,'Data_Price '!$AT$2:$AT$1266,0))</f>
        <v>#N/A</v>
      </c>
      <c r="CZ786" t="e">
        <f>INDEX('Data_Price '!AI$2:AI$1266,MATCH(Data!$DN786,'Data_Price '!$AT$2:$AT$1266,0))</f>
        <v>#N/A</v>
      </c>
      <c r="DA786" t="e">
        <f>INDEX('Data_Price '!AJ$2:AJ$1266,MATCH(Data!$DN786,'Data_Price '!$AT$2:$AT$1266,0))</f>
        <v>#N/A</v>
      </c>
      <c r="DB786" t="e">
        <f>INDEX('Data_Price '!AK$2:AK$1266,MATCH(Data!$DN786,'Data_Price '!$AT$2:$AT$1266,0))</f>
        <v>#N/A</v>
      </c>
      <c r="DC786" t="e">
        <f>INDEX('Data_Price '!AL$2:AL$1266,MATCH(Data!$DN786,'Data_Price '!$AT$2:$AT$1266,0))</f>
        <v>#N/A</v>
      </c>
      <c r="DD786" t="e">
        <f>INDEX('Data_Price '!AM$2:AM$1266,MATCH(Data!$DN786,'Data_Price '!$AT$2:$AT$1266,0))</f>
        <v>#N/A</v>
      </c>
      <c r="DE786" t="e">
        <f>INDEX('Data_Price '!AN$2:AN$1266,MATCH(Data!$DN786,'Data_Price '!$AT$2:$AT$1266,0))</f>
        <v>#N/A</v>
      </c>
      <c r="DF786" t="e">
        <f>INDEX('Data_Price '!AO$2:AO$1266,MATCH(Data!$DN786,'Data_Price '!$AT$2:$AT$1266,0))</f>
        <v>#N/A</v>
      </c>
      <c r="DG786" t="e">
        <f>INDEX('Data_Price '!AP$2:AP$1266,MATCH(Data!$DN786,'Data_Price '!$AT$2:$AT$1266,0))</f>
        <v>#N/A</v>
      </c>
      <c r="DH786" t="e">
        <f>INDEX('Data_Price '!AQ$2:AQ$1266,MATCH(Data!$DN786,'Data_Price '!$AT$2:$AT$1266,0))</f>
        <v>#N/A</v>
      </c>
      <c r="DI786" t="e">
        <f>INDEX('Data_Price '!AR$2:AR$1266,MATCH(Data!$DN786,'Data_Price '!$AT$2:$AT$1266,0))</f>
        <v>#N/A</v>
      </c>
      <c r="DJ786" s="89" t="e">
        <f t="shared" si="476"/>
        <v>#N/A</v>
      </c>
      <c r="DK786" s="89" t="e">
        <f t="shared" si="477"/>
        <v>#N/A</v>
      </c>
      <c r="DL786" s="89" t="e">
        <f t="shared" si="478"/>
        <v>#N/A</v>
      </c>
      <c r="DM786" s="219" t="str">
        <f t="shared" si="479"/>
        <v>Rise Above 88</v>
      </c>
      <c r="DN786" s="89" t="str">
        <f t="shared" si="480"/>
        <v xml:space="preserve"> VölklRise Above 88177 Unisex</v>
      </c>
      <c r="DO786" s="221"/>
    </row>
    <row r="787" spans="2:119" ht="15.6" customHeight="1">
      <c r="B787" s="219" t="b">
        <f t="array" ref="B787">IF(OR(ISERROR(K787:P787)),FALSE,TRUE)</f>
        <v>1</v>
      </c>
      <c r="C787" s="43" t="b">
        <f>OR(BR787=Driver!$G$50,Data!BR786=Driver!$H$50)</f>
        <v>1</v>
      </c>
      <c r="D787" s="43" t="b">
        <f>OR(BV787=Driver!$G$51,BV787=Driver!$H$51)</f>
        <v>0</v>
      </c>
      <c r="E787" s="43" t="b">
        <f>AND(BX787&gt;Driver!$F$54,BX787&lt;Driver!$G$54)</f>
        <v>0</v>
      </c>
      <c r="F787" s="43" t="b">
        <f>CL787&gt;Driver!$F$56</f>
        <v>1</v>
      </c>
      <c r="G787" s="43" t="b">
        <f>AND(CB787&gt;Driver!$F$55,CB787&lt;Driver!$G$55)</f>
        <v>0</v>
      </c>
      <c r="H787" s="43" t="b">
        <f t="shared" si="444"/>
        <v>0</v>
      </c>
      <c r="I787" s="43">
        <f t="shared" si="445"/>
        <v>0</v>
      </c>
      <c r="J787" s="43" t="b">
        <f t="array" ref="J787">NOT(OR(($H$9:$H$1273=TRUE)*($I$9:$I$1273&gt;0)*($BT$9:$BT$1273=BT787)*($K$9:$K$1273&gt;K787)))</f>
        <v>1</v>
      </c>
      <c r="K787" s="72">
        <f t="shared" si="446"/>
        <v>0.91812066422283678</v>
      </c>
      <c r="L787" s="72">
        <f t="shared" si="447"/>
        <v>0.92562105482172308</v>
      </c>
      <c r="M787" s="72">
        <f t="shared" si="448"/>
        <v>0.91062027362395059</v>
      </c>
      <c r="N787" s="72">
        <f t="shared" si="449"/>
        <v>0.95668049121576781</v>
      </c>
      <c r="O787" s="72">
        <f t="shared" si="450"/>
        <v>0.80668732063813064</v>
      </c>
      <c r="P787" s="72">
        <f t="shared" si="451"/>
        <v>0.9684930090179531</v>
      </c>
      <c r="Q787" s="72"/>
      <c r="R787" s="72"/>
      <c r="S787" s="72">
        <f t="shared" si="452"/>
        <v>0.46415773601997334</v>
      </c>
      <c r="T787" s="72">
        <f t="shared" si="453"/>
        <v>0.44939131199635252</v>
      </c>
      <c r="U787" s="72">
        <f t="shared" si="454"/>
        <v>0.77914284075063334</v>
      </c>
      <c r="V787" s="72">
        <f t="shared" si="455"/>
        <v>0.52183696573090632</v>
      </c>
      <c r="W787" s="72">
        <f t="shared" si="456"/>
        <v>0.79654320987654326</v>
      </c>
      <c r="X787" s="72">
        <f t="shared" si="457"/>
        <v>7.4378945178276951E-2</v>
      </c>
      <c r="Y787" s="72">
        <f t="shared" si="458"/>
        <v>8.9379726376049448E-2</v>
      </c>
      <c r="Z787" s="72">
        <f t="shared" si="459"/>
        <v>4.3319508784232144E-2</v>
      </c>
      <c r="AA787" s="72">
        <f t="shared" si="460"/>
        <v>0.19331267936186936</v>
      </c>
      <c r="AB787" s="72">
        <f t="shared" si="461"/>
        <v>3.1506990982046845E-2</v>
      </c>
      <c r="AC787" s="72"/>
      <c r="AD787" s="72"/>
      <c r="AE787" s="72">
        <f t="shared" si="462"/>
        <v>0.53584226398002666</v>
      </c>
      <c r="AF787" s="72">
        <f t="shared" si="463"/>
        <v>0.55060868800364748</v>
      </c>
      <c r="AG787" s="72">
        <f t="shared" si="464"/>
        <v>0.22085715924936666</v>
      </c>
      <c r="AH787" s="72">
        <f t="shared" si="465"/>
        <v>0.47816303426909368</v>
      </c>
      <c r="AI787" s="72">
        <f t="shared" si="466"/>
        <v>0.2034567901234568</v>
      </c>
      <c r="AJ787" s="72">
        <f>(AV787-Driver!$K$179)/(Driver!$L$179-Driver!$K$179)</f>
        <v>0.17984046410442348</v>
      </c>
      <c r="AK787" s="72">
        <f>(AW787-Driver!$K$180)/(Driver!$L$180-Driver!$K$180)</f>
        <v>0.2159072417407823</v>
      </c>
      <c r="AL787" s="72">
        <f>(AX787-Driver!$K$181)/(Driver!$L$181-Driver!$K$181)</f>
        <v>0.14500727249731232</v>
      </c>
      <c r="AM787" s="72">
        <f>(AY787-Driver!$K$182)/(Driver!$L$182-Driver!$K$182)</f>
        <v>0.25407234173517701</v>
      </c>
      <c r="AN787" s="72">
        <f>(AZ787-Driver!$K$183)/(Driver!$L$183-Driver!$K$183)</f>
        <v>0.22271241830065358</v>
      </c>
      <c r="AO787" s="72"/>
      <c r="AP787" s="72"/>
      <c r="AQ787" s="72">
        <f>(BC787-Driver!$K$188)/(Driver!$L$188-Driver!$K$188)</f>
        <v>8.4157736019973312E-2</v>
      </c>
      <c r="AR787" s="72">
        <f>MIN((BD787-Driver!$K$189)/(Driver!$L$189-Driver!$K$189),100%)</f>
        <v>-6.0868800364748967E-4</v>
      </c>
      <c r="AS787" s="72">
        <f>(BE787-Driver!$K$190)/(Driver!$L$190-Driver!$K$190)</f>
        <v>0.73085715924936667</v>
      </c>
      <c r="AT787" s="72">
        <f>(BF787-Driver!$K$191)/(Driver!$L$191-Driver!$K$191)</f>
        <v>3.183696573090633E-2</v>
      </c>
      <c r="AU787" s="72">
        <f>(BG787-Driver!$K$192)/(Driver!$L$192-Driver!$K$192)</f>
        <v>4.6543209876543194E-2</v>
      </c>
      <c r="AV787" s="70">
        <f t="shared" si="467"/>
        <v>3.785103785103785</v>
      </c>
      <c r="AW787" s="70">
        <f t="shared" si="468"/>
        <v>22.913966461879202</v>
      </c>
      <c r="AX787" s="70">
        <f t="shared" si="469"/>
        <v>2.305065452475811</v>
      </c>
      <c r="AY787" s="70">
        <f>IFERROR(Driver!$K$19/Data!BH787/Data!BI787*Data!BK787*Data!BL787,"")</f>
        <v>0.31106035415394828</v>
      </c>
      <c r="AZ787" s="70">
        <f t="shared" si="470"/>
        <v>20.297840655249441</v>
      </c>
      <c r="BA787" s="70"/>
      <c r="BB787" s="70"/>
      <c r="BC787" s="70">
        <f t="shared" si="471"/>
        <v>43.653202728649276</v>
      </c>
      <c r="BD787" s="70">
        <f t="shared" si="472"/>
        <v>1.6669550743062465</v>
      </c>
      <c r="BE787" s="70">
        <f t="shared" si="473"/>
        <v>0.73090517130282484</v>
      </c>
      <c r="BF787" s="70">
        <f t="shared" si="474"/>
        <v>3.5957616119629212</v>
      </c>
      <c r="BG787" s="70">
        <f t="shared" si="475"/>
        <v>0.17624228395061725</v>
      </c>
      <c r="BH787" s="67">
        <f>MAX((CE787-Driver!$F$200)/(Driver!$G$200-Driver!$F$200)*$BI$1,1)</f>
        <v>2.305065452475811</v>
      </c>
      <c r="BI787" s="67">
        <f>MAX($BI$1*(BY787-Driver!$F$201)/(Driver!$G$201-Driver!$F$201),1)</f>
        <v>7.3417721518987342</v>
      </c>
      <c r="BJ787" s="67">
        <f>(CB787-Driver!$F$206)/(Driver!$G$206-Driver!$F$206)*$BI$1</f>
        <v>4.92063492063492</v>
      </c>
      <c r="BK787" s="67">
        <f>(CD787-Driver!$F$203)/(Driver!$G$203-Driver!$F$203)*$BI$1</f>
        <v>4.7706422018348631</v>
      </c>
      <c r="BL787" s="67">
        <f>MAX((CR787-Driver!$F$202)/(Driver!$G$202-Driver!$F$202)*$BI$1,1)</f>
        <v>5.5172413793103452</v>
      </c>
      <c r="BM787" s="67">
        <f>MAX((CH787-Driver!$F$204)/(Driver!$G$204-Driver!$F$204)*$BI$1,1)</f>
        <v>3.0769230769230771</v>
      </c>
      <c r="BN787" s="67">
        <f>(CI787-Driver!$F$205)/(Driver!$G$205-Driver!$F$205)*$BI$1</f>
        <v>2.7647058823529411</v>
      </c>
      <c r="BO787" s="67">
        <f>(CK787-Driver!$F$207)/(Driver!$G$207-Driver!$F$207)*$BI$1</f>
        <v>1.9131334022750777</v>
      </c>
      <c r="BP787" s="67">
        <f>(CM787-Driver!$F$208)/(Driver!$G$208-Driver!$F$208)*$BI$1</f>
        <v>1.8222222222222224</v>
      </c>
      <c r="BQ787" s="67">
        <f>(CL787-Driver!$F$209)/(Driver!$G$209-Driver!$F$209)*$BI$1</f>
        <v>1.25</v>
      </c>
      <c r="BR787" s="28" t="s">
        <v>155</v>
      </c>
      <c r="BS787" s="8" t="s">
        <v>262</v>
      </c>
      <c r="BT787" s="9" t="s">
        <v>755</v>
      </c>
      <c r="BU787" s="10">
        <v>170</v>
      </c>
      <c r="BV787" s="9" t="s">
        <v>163</v>
      </c>
      <c r="BW787" s="10">
        <v>170</v>
      </c>
      <c r="BX787" s="10">
        <v>169.7</v>
      </c>
      <c r="BY787" s="10">
        <v>124</v>
      </c>
      <c r="BZ787" s="10">
        <v>143</v>
      </c>
      <c r="CA787" s="10">
        <v>127</v>
      </c>
      <c r="CB787" s="10">
        <v>95</v>
      </c>
      <c r="CC787" s="10">
        <v>114</v>
      </c>
      <c r="CD787" s="10">
        <v>19.8</v>
      </c>
      <c r="CE787" s="10">
        <v>1305</v>
      </c>
      <c r="CF787" s="10">
        <v>1.36</v>
      </c>
      <c r="CG787" s="10">
        <v>1773</v>
      </c>
      <c r="CH787" s="10">
        <v>173</v>
      </c>
      <c r="CI787" s="10">
        <v>80</v>
      </c>
      <c r="CJ787" s="10">
        <v>49</v>
      </c>
      <c r="CK787" s="10">
        <v>295</v>
      </c>
      <c r="CL787" s="10">
        <v>8</v>
      </c>
      <c r="CM787" s="10">
        <v>164</v>
      </c>
      <c r="CN787" s="10">
        <v>0.16200000000000001</v>
      </c>
      <c r="CO787" s="10">
        <v>161</v>
      </c>
      <c r="CP787" s="10">
        <v>109</v>
      </c>
      <c r="CQ787" s="10">
        <v>134</v>
      </c>
      <c r="CR787" s="10">
        <v>5</v>
      </c>
      <c r="CS787" s="10">
        <v>11.7</v>
      </c>
      <c r="CT787" s="9" t="s">
        <v>185</v>
      </c>
      <c r="CU787" s="9" t="s">
        <v>198</v>
      </c>
      <c r="CV787" s="10"/>
      <c r="CW787" s="10"/>
      <c r="CX787" t="e">
        <f>INDEX('Data_Price '!AG$2:AG$1266,MATCH(Data!$DN787,'Data_Price '!$AT$2:$AT$1266,0))</f>
        <v>#N/A</v>
      </c>
      <c r="CY787" t="e">
        <f>INDEX('Data_Price '!AH$2:AH$1266,MATCH(Data!$DN787,'Data_Price '!$AT$2:$AT$1266,0))</f>
        <v>#N/A</v>
      </c>
      <c r="CZ787" t="e">
        <f>INDEX('Data_Price '!AI$2:AI$1266,MATCH(Data!$DN787,'Data_Price '!$AT$2:$AT$1266,0))</f>
        <v>#N/A</v>
      </c>
      <c r="DA787" t="e">
        <f>INDEX('Data_Price '!AJ$2:AJ$1266,MATCH(Data!$DN787,'Data_Price '!$AT$2:$AT$1266,0))</f>
        <v>#N/A</v>
      </c>
      <c r="DB787" t="e">
        <f>INDEX('Data_Price '!AK$2:AK$1266,MATCH(Data!$DN787,'Data_Price '!$AT$2:$AT$1266,0))</f>
        <v>#N/A</v>
      </c>
      <c r="DC787" t="e">
        <f>INDEX('Data_Price '!AL$2:AL$1266,MATCH(Data!$DN787,'Data_Price '!$AT$2:$AT$1266,0))</f>
        <v>#N/A</v>
      </c>
      <c r="DD787" t="e">
        <f>INDEX('Data_Price '!AM$2:AM$1266,MATCH(Data!$DN787,'Data_Price '!$AT$2:$AT$1266,0))</f>
        <v>#N/A</v>
      </c>
      <c r="DE787" t="e">
        <f>INDEX('Data_Price '!AN$2:AN$1266,MATCH(Data!$DN787,'Data_Price '!$AT$2:$AT$1266,0))</f>
        <v>#N/A</v>
      </c>
      <c r="DF787" t="e">
        <f>INDEX('Data_Price '!AO$2:AO$1266,MATCH(Data!$DN787,'Data_Price '!$AT$2:$AT$1266,0))</f>
        <v>#N/A</v>
      </c>
      <c r="DG787" t="e">
        <f>INDEX('Data_Price '!AP$2:AP$1266,MATCH(Data!$DN787,'Data_Price '!$AT$2:$AT$1266,0))</f>
        <v>#N/A</v>
      </c>
      <c r="DH787" t="e">
        <f>INDEX('Data_Price '!AQ$2:AQ$1266,MATCH(Data!$DN787,'Data_Price '!$AT$2:$AT$1266,0))</f>
        <v>#N/A</v>
      </c>
      <c r="DI787" t="e">
        <f>INDEX('Data_Price '!AR$2:AR$1266,MATCH(Data!$DN787,'Data_Price '!$AT$2:$AT$1266,0))</f>
        <v>#N/A</v>
      </c>
      <c r="DJ787" s="89" t="e">
        <f t="shared" si="476"/>
        <v>#N/A</v>
      </c>
      <c r="DK787" s="89" t="e">
        <f t="shared" si="477"/>
        <v>#N/A</v>
      </c>
      <c r="DL787" s="89" t="e">
        <f t="shared" si="478"/>
        <v>#N/A</v>
      </c>
      <c r="DM787" s="219" t="str">
        <f t="shared" si="479"/>
        <v>Talkback 96</v>
      </c>
      <c r="DN787" s="89" t="str">
        <f t="shared" si="480"/>
        <v xml:space="preserve"> K2Talkback 96170 Women's</v>
      </c>
      <c r="DO787" s="221" t="s">
        <v>756</v>
      </c>
    </row>
    <row r="788" spans="2:119" ht="15.6" customHeight="1">
      <c r="B788" s="219" t="b">
        <f t="array" ref="B788">IF(OR(ISERROR(K788:P788)),FALSE,TRUE)</f>
        <v>1</v>
      </c>
      <c r="C788" s="43" t="b">
        <f>OR(BR788=Driver!$G$50,Data!BR425=Driver!$H$50)</f>
        <v>1</v>
      </c>
      <c r="D788" s="43" t="b">
        <f>OR(BV788=Driver!$G$51,BV788=Driver!$H$51)</f>
        <v>1</v>
      </c>
      <c r="E788" s="43" t="b">
        <f>AND(BX788&gt;Driver!$F$54,BX788&lt;Driver!$G$54)</f>
        <v>1</v>
      </c>
      <c r="F788" s="43" t="b">
        <f>CL788&gt;Driver!$F$56</f>
        <v>1</v>
      </c>
      <c r="G788" s="43" t="b">
        <f>AND(CB788&gt;Driver!$F$55,CB788&lt;Driver!$G$55)</f>
        <v>0</v>
      </c>
      <c r="H788" s="43" t="b">
        <f t="shared" si="444"/>
        <v>0</v>
      </c>
      <c r="I788" s="43">
        <f t="shared" si="445"/>
        <v>0</v>
      </c>
      <c r="J788" s="43" t="b">
        <f t="array" ref="J788">NOT(OR(($H$9:$H$1273=TRUE)*($I$9:$I$1273&gt;0)*($BT$9:$BT$1273=BT788)*($K$9:$K$1273&gt;K788)))</f>
        <v>1</v>
      </c>
      <c r="K788" s="72">
        <f t="shared" si="446"/>
        <v>0.76774893816900724</v>
      </c>
      <c r="L788" s="72">
        <f t="shared" si="447"/>
        <v>0.81829690688843804</v>
      </c>
      <c r="M788" s="72">
        <f t="shared" si="448"/>
        <v>0.71720096944957634</v>
      </c>
      <c r="N788" s="72">
        <f t="shared" si="449"/>
        <v>0.56396563634951857</v>
      </c>
      <c r="O788" s="72">
        <f t="shared" si="450"/>
        <v>0.59757563553027693</v>
      </c>
      <c r="P788" s="72">
        <f t="shared" si="451"/>
        <v>0.99006163646893353</v>
      </c>
      <c r="Q788" s="72"/>
      <c r="R788" s="72"/>
      <c r="S788" s="72">
        <f t="shared" si="452"/>
        <v>0.43421005673154267</v>
      </c>
      <c r="T788" s="72">
        <f t="shared" si="453"/>
        <v>0.91377351759115777</v>
      </c>
      <c r="U788" s="72">
        <f t="shared" si="454"/>
        <v>0.51</v>
      </c>
      <c r="V788" s="72">
        <f t="shared" si="455"/>
        <v>0.49230120725133808</v>
      </c>
      <c r="W788" s="72">
        <f t="shared" si="456"/>
        <v>0.77204678362573098</v>
      </c>
      <c r="X788" s="72">
        <f t="shared" si="457"/>
        <v>0.18170309311156194</v>
      </c>
      <c r="Y788" s="72">
        <f t="shared" si="458"/>
        <v>0.28279903055042366</v>
      </c>
      <c r="Z788" s="72">
        <f t="shared" si="459"/>
        <v>0.43603436365048143</v>
      </c>
      <c r="AA788" s="72">
        <f t="shared" si="460"/>
        <v>0.40242436446972307</v>
      </c>
      <c r="AB788" s="72">
        <f t="shared" si="461"/>
        <v>9.9383635310665019E-3</v>
      </c>
      <c r="AC788" s="72"/>
      <c r="AD788" s="72"/>
      <c r="AE788" s="72">
        <f t="shared" si="462"/>
        <v>0.56578994326845733</v>
      </c>
      <c r="AF788" s="72">
        <f t="shared" si="463"/>
        <v>8.6226482408842231E-2</v>
      </c>
      <c r="AG788" s="72">
        <f t="shared" si="464"/>
        <v>0.49</v>
      </c>
      <c r="AH788" s="72">
        <f t="shared" si="465"/>
        <v>0.50769879274866192</v>
      </c>
      <c r="AI788" s="72">
        <f t="shared" si="466"/>
        <v>0.22795321637426902</v>
      </c>
      <c r="AJ788" s="72">
        <f>(AV788-Driver!$K$179)/(Driver!$L$179-Driver!$K$179)</f>
        <v>7.251631617113849E-2</v>
      </c>
      <c r="AK788" s="72">
        <f>(AW788-Driver!$K$180)/(Driver!$L$180-Driver!$K$180)</f>
        <v>0.26971627331022474</v>
      </c>
      <c r="AL788" s="72">
        <f>(AX788-Driver!$K$181)/(Driver!$L$181-Driver!$K$181)</f>
        <v>0.53772212736356162</v>
      </c>
      <c r="AM788" s="72">
        <f>(AY788-Driver!$K$182)/(Driver!$L$182-Driver!$K$182)</f>
        <v>4.4960656627323278E-2</v>
      </c>
      <c r="AN788" s="72">
        <f>(AZ788-Driver!$K$183)/(Driver!$L$183-Driver!$K$183)</f>
        <v>0.24428104575163392</v>
      </c>
      <c r="AO788" s="72"/>
      <c r="AP788" s="72"/>
      <c r="AQ788" s="72">
        <f>(BC788-Driver!$K$188)/(Driver!$L$188-Driver!$K$188)</f>
        <v>5.4210056731542666E-2</v>
      </c>
      <c r="AR788" s="72">
        <f>MIN((BD788-Driver!$K$189)/(Driver!$L$189-Driver!$K$189),100%)</f>
        <v>0.46377351759115781</v>
      </c>
      <c r="AS788" s="72">
        <f>(BE788-Driver!$K$190)/(Driver!$L$190-Driver!$K$190)</f>
        <v>1</v>
      </c>
      <c r="AT788" s="72">
        <f>(BF788-Driver!$K$191)/(Driver!$L$191-Driver!$K$191)</f>
        <v>2.3012072513380944E-3</v>
      </c>
      <c r="AU788" s="72">
        <f>(BG788-Driver!$K$192)/(Driver!$L$192-Driver!$K$192)</f>
        <v>2.2046783625730992E-2</v>
      </c>
      <c r="AV788" s="70">
        <f t="shared" si="467"/>
        <v>1.5262515262515262</v>
      </c>
      <c r="AW788" s="70">
        <f t="shared" si="468"/>
        <v>28.158133384844827</v>
      </c>
      <c r="AX788" s="70">
        <f t="shared" si="469"/>
        <v>5.8394991462720549</v>
      </c>
      <c r="AY788" s="70">
        <f>IFERROR(Driver!$K$19/Data!BH788/Data!BI788*Data!BK788*Data!BL788,"")</f>
        <v>5.5045258677020772E-2</v>
      </c>
      <c r="AZ788" s="70">
        <f t="shared" si="470"/>
        <v>22.263588979895751</v>
      </c>
      <c r="BA788" s="70"/>
      <c r="BB788" s="70"/>
      <c r="BC788" s="70">
        <f t="shared" si="471"/>
        <v>28.119133288851526</v>
      </c>
      <c r="BD788" s="70">
        <f t="shared" si="472"/>
        <v>42.763957432868004</v>
      </c>
      <c r="BE788" s="70">
        <f t="shared" si="473"/>
        <v>1</v>
      </c>
      <c r="BF788" s="70">
        <f t="shared" si="474"/>
        <v>0.25990519214271457</v>
      </c>
      <c r="BG788" s="70">
        <f t="shared" si="475"/>
        <v>8.3483187134502923E-2</v>
      </c>
      <c r="BH788" s="67">
        <f>MAX((CE788-Driver!$F$200)/(Driver!$G$200-Driver!$F$200)*$BI$1,1)</f>
        <v>5.8394991462720549</v>
      </c>
      <c r="BI788" s="67">
        <f>MAX($BI$1*(BY788-Driver!$F$201)/(Driver!$G$201-Driver!$F$201),1)</f>
        <v>8.2278481012658222</v>
      </c>
      <c r="BJ788" s="67">
        <f>(CB788-Driver!$F$206)/(Driver!$G$206-Driver!$F$206)*$BI$1</f>
        <v>1.9047619047619047</v>
      </c>
      <c r="BK788" s="67">
        <f>(CD788-Driver!$F$203)/(Driver!$G$203-Driver!$F$203)*$BI$1</f>
        <v>1.7431192660550456</v>
      </c>
      <c r="BL788" s="67">
        <f>MAX((CR788-Driver!$F$202)/(Driver!$G$202-Driver!$F$202)*$BI$1,1)</f>
        <v>7.5862068965517242</v>
      </c>
      <c r="BM788" s="67">
        <f>MAX((CH788-Driver!$F$204)/(Driver!$G$204-Driver!$F$204)*$BI$1,1)</f>
        <v>3.2051282051282053</v>
      </c>
      <c r="BN788" s="67">
        <f>(CI788-Driver!$F$205)/(Driver!$G$205-Driver!$F$205)*$BI$1</f>
        <v>2.7058823529411762</v>
      </c>
      <c r="BO788" s="67">
        <f>(CK788-Driver!$F$207)/(Driver!$G$207-Driver!$F$207)*$BI$1</f>
        <v>0.31023784901758011</v>
      </c>
      <c r="BP788" s="67">
        <f>(CM788-Driver!$F$208)/(Driver!$G$208-Driver!$F$208)*$BI$1</f>
        <v>0.76666666666666661</v>
      </c>
      <c r="BQ788" s="67">
        <f>(CL788-Driver!$F$209)/(Driver!$G$209-Driver!$F$209)*$BI$1</f>
        <v>1.5625</v>
      </c>
      <c r="BR788" s="28" t="s">
        <v>155</v>
      </c>
      <c r="BS788" s="8" t="s">
        <v>164</v>
      </c>
      <c r="BT788" s="9" t="s">
        <v>659</v>
      </c>
      <c r="BU788" s="10">
        <v>160</v>
      </c>
      <c r="BV788" s="9" t="s">
        <v>158</v>
      </c>
      <c r="BW788" s="10">
        <v>160</v>
      </c>
      <c r="BX788" s="10">
        <v>159.1</v>
      </c>
      <c r="BY788" s="10">
        <v>138</v>
      </c>
      <c r="BZ788" s="10">
        <v>143</v>
      </c>
      <c r="CA788" s="10">
        <v>125</v>
      </c>
      <c r="CB788" s="10">
        <v>76</v>
      </c>
      <c r="CC788" s="10">
        <v>104</v>
      </c>
      <c r="CD788" s="10">
        <v>13.2</v>
      </c>
      <c r="CE788" s="10">
        <v>1926</v>
      </c>
      <c r="CF788" s="10">
        <v>0.75</v>
      </c>
      <c r="CG788" s="10">
        <v>1448</v>
      </c>
      <c r="CH788" s="10">
        <v>176</v>
      </c>
      <c r="CI788" s="10">
        <v>79</v>
      </c>
      <c r="CJ788" s="10">
        <v>32</v>
      </c>
      <c r="CK788" s="10">
        <v>140</v>
      </c>
      <c r="CL788" s="10">
        <v>10</v>
      </c>
      <c r="CM788" s="10">
        <v>69</v>
      </c>
      <c r="CN788" s="10">
        <v>0.307</v>
      </c>
      <c r="CO788" s="10">
        <v>98</v>
      </c>
      <c r="CP788" s="10">
        <v>61</v>
      </c>
      <c r="CQ788" s="10">
        <v>42</v>
      </c>
      <c r="CR788" s="10">
        <v>11</v>
      </c>
      <c r="CS788" s="10">
        <v>9.5</v>
      </c>
      <c r="CT788" s="9" t="s">
        <v>349</v>
      </c>
      <c r="CU788" s="9" t="s">
        <v>231</v>
      </c>
      <c r="CV788" s="10"/>
      <c r="CW788" s="10"/>
      <c r="CX788" t="str">
        <f>INDEX('Data_Price '!AG$2:AG$1266,MATCH(Data!$DN788,'Data_Price '!$AT$2:$AT$1266,0))</f>
        <v>Elan Amphibio 14 Ti + EMX 11 FusionX 21/22</v>
      </c>
      <c r="CY788" t="str">
        <f>INDEX('Data_Price '!AH$2:AH$1266,MATCH(Data!$DN788,'Data_Price '!$AT$2:$AT$1266,0))</f>
        <v>Snowcountry.eu</v>
      </c>
      <c r="CZ788">
        <f>INDEX('Data_Price '!AI$2:AI$1266,MATCH(Data!$DN788,'Data_Price '!$AT$2:$AT$1266,0))</f>
        <v>413.9</v>
      </c>
      <c r="DA788" t="str">
        <f>INDEX('Data_Price '!AJ$2:AJ$1266,MATCH(Data!$DN788,'Data_Price '!$AT$2:$AT$1266,0))</f>
        <v>https://tinyurl.com/y7srel67</v>
      </c>
      <c r="DB788" t="str">
        <f>INDEX('Data_Price '!AK$2:AK$1266,MATCH(Data!$DN788,'Data_Price '!$AT$2:$AT$1266,0))</f>
        <v>Elan Porsche Design Elan Amphibio 22</v>
      </c>
      <c r="DC788" t="str">
        <f>INDEX('Data_Price '!AL$2:AL$1266,MATCH(Data!$DN788,'Data_Price '!$AT$2:$AT$1266,0))</f>
        <v>Ski World</v>
      </c>
      <c r="DD788">
        <f>INDEX('Data_Price '!AM$2:AM$1266,MATCH(Data!$DN788,'Data_Price '!$AT$2:$AT$1266,0))</f>
        <v>1299.99</v>
      </c>
      <c r="DE788" t="str">
        <f>INDEX('Data_Price '!AN$2:AN$1266,MATCH(Data!$DN788,'Data_Price '!$AT$2:$AT$1266,0))</f>
        <v>https://tinyurl.com/y9gdqwjr</v>
      </c>
      <c r="DF788" t="str">
        <f>INDEX('Data_Price '!AO$2:AO$1266,MATCH(Data!$DN788,'Data_Price '!$AT$2:$AT$1266,0))</f>
        <v>Elan Explore 10 Ti Ski System with Bindings Mens</v>
      </c>
      <c r="DG788" t="str">
        <f>INDEX('Data_Price '!AP$2:AP$1266,MATCH(Data!$DN788,'Data_Price '!$AT$2:$AT$1266,0))</f>
        <v>eBay - traventuria</v>
      </c>
      <c r="DH788">
        <f>INDEX('Data_Price '!AQ$2:AQ$1266,MATCH(Data!$DN788,'Data_Price '!$AT$2:$AT$1266,0))</f>
        <v>112.37</v>
      </c>
      <c r="DI788" t="str">
        <f>INDEX('Data_Price '!AR$2:AR$1266,MATCH(Data!$DN788,'Data_Price '!$AT$2:$AT$1266,0))</f>
        <v>https://tinyurl.com/y7g63hvu</v>
      </c>
      <c r="DJ788" s="89" t="str">
        <f t="shared" si="476"/>
        <v>https://tinyurl.com/y7srel67</v>
      </c>
      <c r="DK788" s="89" t="str">
        <f t="shared" si="477"/>
        <v>https://tinyurl.com/y9gdqwjr</v>
      </c>
      <c r="DL788" s="89" t="str">
        <f t="shared" si="478"/>
        <v>https://tinyurl.com/y7g63hvu</v>
      </c>
      <c r="DM788" s="219" t="str">
        <f t="shared" si="479"/>
        <v>Amphibio 14 Ti</v>
      </c>
      <c r="DN788" s="89" t="str">
        <f t="shared" si="480"/>
        <v xml:space="preserve"> ElanAmphibio 14 Ti160 Unisex</v>
      </c>
      <c r="DO788" s="221"/>
    </row>
    <row r="789" spans="2:119" ht="15.6" customHeight="1">
      <c r="B789" s="219" t="b">
        <f t="array" ref="B789">IF(OR(ISERROR(K789:P789)),FALSE,TRUE)</f>
        <v>1</v>
      </c>
      <c r="C789" s="43" t="b">
        <f>OR(BR789=Driver!$G$50,Data!BR182=Driver!$H$50)</f>
        <v>1</v>
      </c>
      <c r="D789" s="43" t="b">
        <f>OR(BV789=Driver!$G$51,BV789=Driver!$H$51)</f>
        <v>1</v>
      </c>
      <c r="E789" s="43" t="b">
        <f>AND(BX789&gt;Driver!$F$54,BX789&lt;Driver!$G$54)</f>
        <v>0</v>
      </c>
      <c r="F789" s="43" t="b">
        <f>CL789&gt;Driver!$F$56</f>
        <v>1</v>
      </c>
      <c r="G789" s="43" t="b">
        <f>AND(CB789&gt;Driver!$F$55,CB789&lt;Driver!$G$55)</f>
        <v>0</v>
      </c>
      <c r="H789" s="43" t="b">
        <f t="shared" si="444"/>
        <v>0</v>
      </c>
      <c r="I789" s="43">
        <f t="shared" si="445"/>
        <v>0</v>
      </c>
      <c r="J789" s="43" t="b">
        <f t="array" ref="J789">NOT(OR(($H$9:$H$1273=TRUE)*($I$9:$I$1273&gt;0)*($BT$9:$BT$1273=BT789)*($K$9:$K$1273&gt;K789)))</f>
        <v>1</v>
      </c>
      <c r="K789" s="72">
        <f t="shared" si="446"/>
        <v>0.74269179633731519</v>
      </c>
      <c r="L789" s="72">
        <f t="shared" si="447"/>
        <v>0.7989592225761345</v>
      </c>
      <c r="M789" s="72">
        <f t="shared" si="448"/>
        <v>0.686424370098496</v>
      </c>
      <c r="N789" s="72">
        <f t="shared" si="449"/>
        <v>0.60949779343546062</v>
      </c>
      <c r="O789" s="72">
        <f t="shared" si="450"/>
        <v>0.61026178993026781</v>
      </c>
      <c r="P789" s="72">
        <f t="shared" si="451"/>
        <v>0.83951352692975934</v>
      </c>
      <c r="Q789" s="72"/>
      <c r="R789" s="72"/>
      <c r="S789" s="72">
        <f t="shared" si="452"/>
        <v>0.54097541226957435</v>
      </c>
      <c r="T789" s="72">
        <f t="shared" si="453"/>
        <v>0.55000000000000004</v>
      </c>
      <c r="U789" s="72">
        <f t="shared" si="454"/>
        <v>0.51</v>
      </c>
      <c r="V789" s="72">
        <f t="shared" si="455"/>
        <v>0.49061254357269912</v>
      </c>
      <c r="W789" s="72">
        <f t="shared" si="456"/>
        <v>0.75484991423670666</v>
      </c>
      <c r="X789" s="72">
        <f t="shared" si="457"/>
        <v>0.20104077742386553</v>
      </c>
      <c r="Y789" s="72">
        <f t="shared" si="458"/>
        <v>0.31357562990150406</v>
      </c>
      <c r="Z789" s="72">
        <f t="shared" si="459"/>
        <v>0.39050220656453938</v>
      </c>
      <c r="AA789" s="72">
        <f t="shared" si="460"/>
        <v>0.38973821006973219</v>
      </c>
      <c r="AB789" s="72">
        <f t="shared" si="461"/>
        <v>0.16048647307024072</v>
      </c>
      <c r="AC789" s="72"/>
      <c r="AD789" s="72"/>
      <c r="AE789" s="72">
        <f t="shared" si="462"/>
        <v>0.45902458773042565</v>
      </c>
      <c r="AF789" s="72">
        <f t="shared" si="463"/>
        <v>0.44999999999999996</v>
      </c>
      <c r="AG789" s="72">
        <f t="shared" si="464"/>
        <v>0.49</v>
      </c>
      <c r="AH789" s="72">
        <f t="shared" si="465"/>
        <v>0.50938745642730088</v>
      </c>
      <c r="AI789" s="72">
        <f t="shared" si="466"/>
        <v>0.24515008576329331</v>
      </c>
      <c r="AJ789" s="72">
        <f>(AV789-Driver!$K$179)/(Driver!$L$179-Driver!$K$179)</f>
        <v>5.3178631858834896E-2</v>
      </c>
      <c r="AK789" s="72">
        <f>(AW789-Driver!$K$180)/(Driver!$L$180-Driver!$K$180)</f>
        <v>0.42504470887411028</v>
      </c>
      <c r="AL789" s="72">
        <f>(AX789-Driver!$K$181)/(Driver!$L$181-Driver!$K$181)</f>
        <v>0.49218997027761957</v>
      </c>
      <c r="AM789" s="72">
        <f>(AY789-Driver!$K$182)/(Driver!$L$182-Driver!$K$182)</f>
        <v>5.7646811027314157E-2</v>
      </c>
      <c r="AN789" s="72">
        <f>(AZ789-Driver!$K$183)/(Driver!$L$183-Driver!$K$183)</f>
        <v>0.41470588235294115</v>
      </c>
      <c r="AO789" s="72"/>
      <c r="AP789" s="72"/>
      <c r="AQ789" s="72">
        <f>(BC789-Driver!$K$188)/(Driver!$L$188-Driver!$K$188)</f>
        <v>0.16097541226957435</v>
      </c>
      <c r="AR789" s="72">
        <f>MIN((BD789-Driver!$K$189)/(Driver!$L$189-Driver!$K$189),100%)</f>
        <v>1</v>
      </c>
      <c r="AS789" s="72">
        <f>(BE789-Driver!$K$190)/(Driver!$L$190-Driver!$K$190)</f>
        <v>1</v>
      </c>
      <c r="AT789" s="72">
        <f>(BF789-Driver!$K$191)/(Driver!$L$191-Driver!$K$191)</f>
        <v>6.125435726991739E-4</v>
      </c>
      <c r="AU789" s="72">
        <f>(BG789-Driver!$K$192)/(Driver!$L$192-Driver!$K$192)</f>
        <v>4.8499142367066893E-3</v>
      </c>
      <c r="AV789" s="70">
        <f t="shared" si="467"/>
        <v>1.1192511192511192</v>
      </c>
      <c r="AW789" s="70">
        <f t="shared" si="468"/>
        <v>43.296265780498459</v>
      </c>
      <c r="AX789" s="70">
        <f t="shared" si="469"/>
        <v>5.4297097324985764</v>
      </c>
      <c r="AY789" s="70">
        <f>IFERROR(Driver!$K$19/Data!BH789/Data!BI789*Data!BK789*Data!BL789,"")</f>
        <v>7.0576896845751344E-2</v>
      </c>
      <c r="AZ789" s="70">
        <f t="shared" si="470"/>
        <v>37.795979151154128</v>
      </c>
      <c r="BA789" s="70"/>
      <c r="BB789" s="70"/>
      <c r="BC789" s="70">
        <f t="shared" si="471"/>
        <v>83.499065427138774</v>
      </c>
      <c r="BD789" s="70">
        <f t="shared" si="472"/>
        <v>98.589624795585976</v>
      </c>
      <c r="BE789" s="70">
        <f t="shared" si="473"/>
        <v>1</v>
      </c>
      <c r="BF789" s="70">
        <f t="shared" si="474"/>
        <v>6.9182493174220164E-2</v>
      </c>
      <c r="BG789" s="70">
        <f t="shared" si="475"/>
        <v>1.8364869210977703E-2</v>
      </c>
      <c r="BH789" s="67">
        <f>MAX((CE789-Driver!$F$200)/(Driver!$G$200-Driver!$F$200)*$BI$1,1)</f>
        <v>5.4297097324985764</v>
      </c>
      <c r="BI789" s="67">
        <f>MAX($BI$1*(BY789-Driver!$F$201)/(Driver!$G$201-Driver!$F$201),1)</f>
        <v>8.924050632911392</v>
      </c>
      <c r="BJ789" s="67">
        <f>(CB789-Driver!$F$206)/(Driver!$G$206-Driver!$F$206)*$BI$1</f>
        <v>0.95238095238095233</v>
      </c>
      <c r="BK789" s="67">
        <f>(CD789-Driver!$F$203)/(Driver!$G$203-Driver!$F$203)*$BI$1</f>
        <v>2.1559633027522933</v>
      </c>
      <c r="BL789" s="67">
        <f>MAX((CR789-Driver!$F$202)/(Driver!$G$202-Driver!$F$202)*$BI$1,1)</f>
        <v>7.931034482758621</v>
      </c>
      <c r="BM789" s="67">
        <f>MAX((CH789-Driver!$F$204)/(Driver!$G$204-Driver!$F$204)*$BI$1,1)</f>
        <v>4.700854700854701</v>
      </c>
      <c r="BN789" s="67">
        <f>(CI789-Driver!$F$205)/(Driver!$G$205-Driver!$F$205)*$BI$1</f>
        <v>4.2352941176470589</v>
      </c>
      <c r="BO789" s="67">
        <f>(CK789-Driver!$F$207)/(Driver!$G$207-Driver!$F$207)*$BI$1</f>
        <v>0.29989658738366076</v>
      </c>
      <c r="BP789" s="67">
        <f>(CM789-Driver!$F$208)/(Driver!$G$208-Driver!$F$208)*$BI$1</f>
        <v>0.52222222222222225</v>
      </c>
      <c r="BQ789" s="67">
        <f>(CL789-Driver!$F$209)/(Driver!$G$209-Driver!$F$209)*$BI$1</f>
        <v>0.46875</v>
      </c>
      <c r="BR789" s="28" t="s">
        <v>155</v>
      </c>
      <c r="BS789" s="8" t="s">
        <v>156</v>
      </c>
      <c r="BT789" s="9" t="s">
        <v>658</v>
      </c>
      <c r="BU789" s="10">
        <v>168</v>
      </c>
      <c r="BV789" s="9" t="s">
        <v>158</v>
      </c>
      <c r="BW789" s="10">
        <v>168</v>
      </c>
      <c r="BX789" s="10">
        <v>167.3</v>
      </c>
      <c r="BY789" s="10">
        <v>149</v>
      </c>
      <c r="BZ789" s="10">
        <v>153</v>
      </c>
      <c r="CA789" s="10">
        <v>119</v>
      </c>
      <c r="CB789" s="10">
        <v>70</v>
      </c>
      <c r="CC789" s="10">
        <v>102</v>
      </c>
      <c r="CD789" s="10">
        <v>14.1</v>
      </c>
      <c r="CE789" s="10">
        <v>1854</v>
      </c>
      <c r="CF789" s="10">
        <v>0.77</v>
      </c>
      <c r="CG789" s="10">
        <v>1428</v>
      </c>
      <c r="CH789" s="10">
        <v>211</v>
      </c>
      <c r="CI789" s="10">
        <v>105</v>
      </c>
      <c r="CJ789" s="10">
        <v>34</v>
      </c>
      <c r="CK789" s="10">
        <v>139</v>
      </c>
      <c r="CL789" s="10">
        <v>3</v>
      </c>
      <c r="CM789" s="10">
        <v>47</v>
      </c>
      <c r="CN789" s="10">
        <v>9.5000000000000001E-2</v>
      </c>
      <c r="CO789" s="10">
        <v>88</v>
      </c>
      <c r="CP789" s="10">
        <v>57</v>
      </c>
      <c r="CQ789" s="10">
        <v>51</v>
      </c>
      <c r="CR789" s="10">
        <v>12</v>
      </c>
      <c r="CS789" s="10">
        <v>13.1</v>
      </c>
      <c r="CT789" s="9" t="s">
        <v>349</v>
      </c>
      <c r="CU789" s="10"/>
      <c r="CV789" s="10"/>
      <c r="CW789" s="10"/>
      <c r="CX789" t="str">
        <f>INDEX('Data_Price '!AG$2:AG$1266,MATCH(Data!$DN789,'Data_Price '!$AT$2:$AT$1266,0))</f>
        <v>Atomic Redster X5 Skis w Atomic FT10 GW Demo Bindings  Demo Skis</v>
      </c>
      <c r="CY789" t="str">
        <f>INDEX('Data_Price '!AH$2:AH$1266,MATCH(Data!$DN789,'Data_Price '!$AT$2:$AT$1266,0))</f>
        <v>Powder7 Ski Shop</v>
      </c>
      <c r="CZ789">
        <f>INDEX('Data_Price '!AI$2:AI$1266,MATCH(Data!$DN789,'Data_Price '!$AT$2:$AT$1266,0))</f>
        <v>399.99</v>
      </c>
      <c r="DA789" t="str">
        <f>INDEX('Data_Price '!AJ$2:AJ$1266,MATCH(Data!$DN789,'Data_Price '!$AT$2:$AT$1266,0))</f>
        <v>https://tinyurl.com/ybjcnjvr</v>
      </c>
      <c r="DB789" t="str">
        <f>INDEX('Data_Price '!AK$2:AK$1266,MATCH(Data!$DN789,'Data_Price '!$AT$2:$AT$1266,0))</f>
        <v>Atomic Redster X5 New Ski with Bindings 168.0</v>
      </c>
      <c r="DC789" t="str">
        <f>INDEX('Data_Price '!AL$2:AL$1266,MATCH(Data!$DN789,'Data_Price '!$AT$2:$AT$1266,0))</f>
        <v>SidelineSwap</v>
      </c>
      <c r="DD789">
        <f>INDEX('Data_Price '!AM$2:AM$1266,MATCH(Data!$DN789,'Data_Price '!$AT$2:$AT$1266,0))</f>
        <v>449</v>
      </c>
      <c r="DE789" t="str">
        <f>INDEX('Data_Price '!AN$2:AN$1266,MATCH(Data!$DN789,'Data_Price '!$AT$2:$AT$1266,0))</f>
        <v>https://tinyurl.com/y75kobbw</v>
      </c>
      <c r="DF789" t="str">
        <f>INDEX('Data_Price '!AO$2:AO$1266,MATCH(Data!$DN789,'Data_Price '!$AT$2:$AT$1266,0))</f>
        <v>2021 Atomic Redster X6 Skis W/ M 11 Gw Bindings</v>
      </c>
      <c r="DG789" t="str">
        <f>INDEX('Data_Price '!AP$2:AP$1266,MATCH(Data!$DN789,'Data_Price '!$AT$2:$AT$1266,0))</f>
        <v>eBay - asogear</v>
      </c>
      <c r="DH789">
        <f>INDEX('Data_Price '!AQ$2:AQ$1266,MATCH(Data!$DN789,'Data_Price '!$AT$2:$AT$1266,0))</f>
        <v>594.99</v>
      </c>
      <c r="DI789" t="str">
        <f>INDEX('Data_Price '!AR$2:AR$1266,MATCH(Data!$DN789,'Data_Price '!$AT$2:$AT$1266,0))</f>
        <v>https://tinyurl.com/yc4ctb46</v>
      </c>
      <c r="DJ789" s="89" t="str">
        <f t="shared" si="476"/>
        <v>https://tinyurl.com/ybjcnjvr</v>
      </c>
      <c r="DK789" s="89" t="str">
        <f t="shared" si="477"/>
        <v>https://tinyurl.com/y75kobbw</v>
      </c>
      <c r="DL789" s="89" t="str">
        <f t="shared" si="478"/>
        <v>https://tinyurl.com/yc4ctb46</v>
      </c>
      <c r="DM789" s="219" t="str">
        <f t="shared" si="479"/>
        <v>Redster X5</v>
      </c>
      <c r="DN789" s="89" t="str">
        <f t="shared" si="480"/>
        <v xml:space="preserve"> AtomicRedster X5168 Unisex</v>
      </c>
      <c r="DO789" s="221"/>
    </row>
    <row r="790" spans="2:119" ht="15.6" customHeight="1">
      <c r="B790" s="219" t="b">
        <f t="array" ref="B790">IF(OR(ISERROR(K790:P790)),FALSE,TRUE)</f>
        <v>1</v>
      </c>
      <c r="C790" s="43" t="b">
        <f>OR(BR790=Driver!$G$50,Data!BR634=Driver!$H$50)</f>
        <v>1</v>
      </c>
      <c r="D790" s="43" t="b">
        <f>OR(BV790=Driver!$G$51,BV790=Driver!$H$51)</f>
        <v>1</v>
      </c>
      <c r="E790" s="43" t="b">
        <f>AND(BX790&gt;Driver!$F$54,BX790&lt;Driver!$G$54)</f>
        <v>1</v>
      </c>
      <c r="F790" s="43" t="b">
        <f>CL790&gt;Driver!$F$56</f>
        <v>1</v>
      </c>
      <c r="G790" s="43" t="b">
        <f>AND(CB790&gt;Driver!$F$55,CB790&lt;Driver!$G$55)</f>
        <v>0</v>
      </c>
      <c r="H790" s="43" t="b">
        <f t="shared" si="444"/>
        <v>0</v>
      </c>
      <c r="I790" s="43">
        <f t="shared" si="445"/>
        <v>0</v>
      </c>
      <c r="J790" s="43" t="b">
        <f t="array" ref="J790">NOT(OR(($H$9:$H$1273=TRUE)*($I$9:$I$1273&gt;0)*($BT$9:$BT$1273=BT790)*($K$9:$K$1273&gt;K790)))</f>
        <v>1</v>
      </c>
      <c r="K790" s="72">
        <f t="shared" si="446"/>
        <v>0.81934660724433062</v>
      </c>
      <c r="L790" s="72">
        <f t="shared" si="447"/>
        <v>0.84585310703347072</v>
      </c>
      <c r="M790" s="72">
        <f t="shared" si="448"/>
        <v>0.79284010745519051</v>
      </c>
      <c r="N790" s="72">
        <f t="shared" si="449"/>
        <v>0.78024338250774283</v>
      </c>
      <c r="O790" s="72">
        <f t="shared" si="450"/>
        <v>0.71156497659150963</v>
      </c>
      <c r="P790" s="72">
        <f t="shared" si="451"/>
        <v>0.88671196326631918</v>
      </c>
      <c r="Q790" s="72"/>
      <c r="R790" s="72"/>
      <c r="S790" s="72">
        <f t="shared" si="452"/>
        <v>0.42554083713277369</v>
      </c>
      <c r="T790" s="72">
        <f t="shared" si="453"/>
        <v>0.46893203691674989</v>
      </c>
      <c r="U790" s="72">
        <f t="shared" si="454"/>
        <v>0.64896102652153886</v>
      </c>
      <c r="V790" s="72">
        <f t="shared" si="455"/>
        <v>0.51025707297824696</v>
      </c>
      <c r="W790" s="72">
        <f t="shared" si="456"/>
        <v>0.9494994279176201</v>
      </c>
      <c r="X790" s="72">
        <f t="shared" si="457"/>
        <v>0.15414689296652931</v>
      </c>
      <c r="Y790" s="72">
        <f t="shared" si="458"/>
        <v>0.20715989254480946</v>
      </c>
      <c r="Z790" s="72">
        <f t="shared" si="459"/>
        <v>0.21975661749225717</v>
      </c>
      <c r="AA790" s="72">
        <f t="shared" si="460"/>
        <v>0.28843502340849037</v>
      </c>
      <c r="AB790" s="72">
        <f t="shared" si="461"/>
        <v>0.11328803673368082</v>
      </c>
      <c r="AC790" s="72"/>
      <c r="AD790" s="72"/>
      <c r="AE790" s="72">
        <f t="shared" si="462"/>
        <v>0.57445916286722631</v>
      </c>
      <c r="AF790" s="72">
        <f t="shared" si="463"/>
        <v>0.53106796308325011</v>
      </c>
      <c r="AG790" s="72">
        <f t="shared" si="464"/>
        <v>0.35103897347846108</v>
      </c>
      <c r="AH790" s="72">
        <f t="shared" si="465"/>
        <v>0.48974292702175298</v>
      </c>
      <c r="AI790" s="72">
        <f t="shared" si="466"/>
        <v>5.0500572082379874E-2</v>
      </c>
      <c r="AJ790" s="72">
        <f>(AV790-Driver!$K$179)/(Driver!$L$179-Driver!$K$179)</f>
        <v>0.10007251631617112</v>
      </c>
      <c r="AK790" s="72">
        <f>(AW790-Driver!$K$180)/(Driver!$L$180-Driver!$K$180)</f>
        <v>0.15452763505547557</v>
      </c>
      <c r="AL790" s="72">
        <f>(AX790-Driver!$K$181)/(Driver!$L$181-Driver!$K$181)</f>
        <v>0.32144438120533736</v>
      </c>
      <c r="AM790" s="72">
        <f>(AY790-Driver!$K$182)/(Driver!$L$182-Driver!$K$182)</f>
        <v>0.158949997688556</v>
      </c>
      <c r="AN790" s="72">
        <f>(AZ790-Driver!$K$183)/(Driver!$L$183-Driver!$K$183)</f>
        <v>0.14093137254901961</v>
      </c>
      <c r="AO790" s="72"/>
      <c r="AP790" s="72"/>
      <c r="AQ790" s="72">
        <f>(BC790-Driver!$K$188)/(Driver!$L$188-Driver!$K$188)</f>
        <v>4.5540837132773723E-2</v>
      </c>
      <c r="AR790" s="72">
        <f>MIN((BD790-Driver!$K$189)/(Driver!$L$189-Driver!$K$189),100%)</f>
        <v>1.893203691674997E-2</v>
      </c>
      <c r="AS790" s="72">
        <f>(BE790-Driver!$K$190)/(Driver!$L$190-Driver!$K$190)</f>
        <v>0.15896102652153893</v>
      </c>
      <c r="AT790" s="72">
        <f>(BF790-Driver!$K$191)/(Driver!$L$191-Driver!$K$191)</f>
        <v>2.0257072978247026E-2</v>
      </c>
      <c r="AU790" s="72">
        <f>(BG790-Driver!$K$192)/(Driver!$L$192-Driver!$K$192)</f>
        <v>0.19949942791762013</v>
      </c>
      <c r="AV790" s="70">
        <f t="shared" si="467"/>
        <v>2.1062271062271058</v>
      </c>
      <c r="AW790" s="70">
        <f t="shared" si="468"/>
        <v>16.931979911752922</v>
      </c>
      <c r="AX790" s="70">
        <f t="shared" si="469"/>
        <v>3.8929994308480365</v>
      </c>
      <c r="AY790" s="70">
        <f>IFERROR(Driver!$K$19/Data!BH790/Data!BI790*Data!BK790*Data!BL790,"")</f>
        <v>0.19460222327271903</v>
      </c>
      <c r="AZ790" s="70">
        <f t="shared" si="470"/>
        <v>12.844378257632167</v>
      </c>
      <c r="BA790" s="70"/>
      <c r="BB790" s="70"/>
      <c r="BC790" s="70">
        <f t="shared" si="471"/>
        <v>23.622348815533176</v>
      </c>
      <c r="BD790" s="70">
        <f t="shared" si="472"/>
        <v>3.3962746056456794</v>
      </c>
      <c r="BE790" s="70">
        <f t="shared" si="473"/>
        <v>0.1591110584081106</v>
      </c>
      <c r="BF790" s="70">
        <f t="shared" si="474"/>
        <v>2.2878940789009188</v>
      </c>
      <c r="BG790" s="70">
        <f t="shared" si="475"/>
        <v>0.7554321009725401</v>
      </c>
      <c r="BH790" s="67">
        <f>MAX((CE790-Driver!$F$200)/(Driver!$G$200-Driver!$F$200)*$BI$1,1)</f>
        <v>3.8929994308480365</v>
      </c>
      <c r="BI790" s="67">
        <f>MAX($BI$1*(BY790-Driver!$F$201)/(Driver!$G$201-Driver!$F$201),1)</f>
        <v>7.2784810126582276</v>
      </c>
      <c r="BJ790" s="67">
        <f>(CB790-Driver!$F$206)/(Driver!$G$206-Driver!$F$206)*$BI$1</f>
        <v>4.2857142857142856</v>
      </c>
      <c r="BK790" s="67">
        <f>(CD790-Driver!$F$203)/(Driver!$G$203-Driver!$F$203)*$BI$1</f>
        <v>3.8073394495412844</v>
      </c>
      <c r="BL790" s="67">
        <f>MAX((CR790-Driver!$F$202)/(Driver!$G$202-Driver!$F$202)*$BI$1,1)</f>
        <v>7.2413793103448274</v>
      </c>
      <c r="BM790" s="67">
        <f>MAX((CH790-Driver!$F$204)/(Driver!$G$204-Driver!$F$204)*$BI$1,1)</f>
        <v>1.9658119658119657</v>
      </c>
      <c r="BN790" s="67">
        <f>(CI790-Driver!$F$205)/(Driver!$G$205-Driver!$F$205)*$BI$1</f>
        <v>1.7647058823529413</v>
      </c>
      <c r="BO790" s="67">
        <f>(CK790-Driver!$F$207)/(Driver!$G$207-Driver!$F$207)*$BI$1</f>
        <v>1.3753877973112718</v>
      </c>
      <c r="BP790" s="67">
        <f>(CM790-Driver!$F$208)/(Driver!$G$208-Driver!$F$208)*$BI$1</f>
        <v>1.4777777777777779</v>
      </c>
      <c r="BQ790" s="67">
        <f>(CL790-Driver!$F$209)/(Driver!$G$209-Driver!$F$209)*$BI$1</f>
        <v>5.78125</v>
      </c>
      <c r="BR790" s="28" t="s">
        <v>155</v>
      </c>
      <c r="BS790" s="8" t="s">
        <v>167</v>
      </c>
      <c r="BT790" s="9" t="s">
        <v>393</v>
      </c>
      <c r="BU790" s="10">
        <v>163</v>
      </c>
      <c r="BV790" s="9" t="s">
        <v>158</v>
      </c>
      <c r="BW790" s="10">
        <v>163</v>
      </c>
      <c r="BX790" s="10">
        <v>161.1</v>
      </c>
      <c r="BY790" s="10">
        <v>123</v>
      </c>
      <c r="BZ790" s="10">
        <v>142</v>
      </c>
      <c r="CA790" s="10">
        <v>125</v>
      </c>
      <c r="CB790" s="10">
        <v>91</v>
      </c>
      <c r="CC790" s="10">
        <v>115</v>
      </c>
      <c r="CD790" s="10">
        <v>17.7</v>
      </c>
      <c r="CE790" s="10">
        <v>1584</v>
      </c>
      <c r="CF790" s="10">
        <v>1.03</v>
      </c>
      <c r="CG790" s="10">
        <v>1631</v>
      </c>
      <c r="CH790" s="10">
        <v>147</v>
      </c>
      <c r="CI790" s="10">
        <v>63</v>
      </c>
      <c r="CJ790" s="10">
        <v>51</v>
      </c>
      <c r="CK790" s="10">
        <v>243</v>
      </c>
      <c r="CL790" s="10">
        <v>37</v>
      </c>
      <c r="CM790" s="10">
        <v>133</v>
      </c>
      <c r="CN790" s="10">
        <v>0.71599999999999997</v>
      </c>
      <c r="CO790" s="10">
        <v>100</v>
      </c>
      <c r="CP790" s="10">
        <v>88</v>
      </c>
      <c r="CQ790" s="10">
        <v>143</v>
      </c>
      <c r="CR790" s="10">
        <v>10</v>
      </c>
      <c r="CS790" s="10">
        <v>5.5</v>
      </c>
      <c r="CT790" s="9" t="s">
        <v>188</v>
      </c>
      <c r="CU790" s="10"/>
      <c r="CV790" s="10"/>
      <c r="CW790" s="10"/>
      <c r="CX790" t="str">
        <f>INDEX('Data_Price '!AG$2:AG$1266,MATCH(Data!$DN790,'Data_Price '!$AT$2:$AT$1266,0))</f>
        <v>2022 Head Oblivion 94 Twin Tip Snow Skis 163</v>
      </c>
      <c r="CY790" t="str">
        <f>INDEX('Data_Price '!AH$2:AH$1266,MATCH(Data!$DN790,'Data_Price '!$AT$2:$AT$1266,0))</f>
        <v>The Pro Shop</v>
      </c>
      <c r="CZ790">
        <f>INDEX('Data_Price '!AI$2:AI$1266,MATCH(Data!$DN790,'Data_Price '!$AT$2:$AT$1266,0))</f>
        <v>499</v>
      </c>
      <c r="DA790" t="str">
        <f>INDEX('Data_Price '!AJ$2:AJ$1266,MATCH(Data!$DN790,'Data_Price '!$AT$2:$AT$1266,0))</f>
        <v>https://tinyurl.com/y8e6wsmx</v>
      </c>
      <c r="DB790" t="str">
        <f>INDEX('Data_Price '!AK$2:AK$1266,MATCH(Data!$DN790,'Data_Price '!$AT$2:$AT$1266,0))</f>
        <v>Head Oblivion 79 Skis</v>
      </c>
      <c r="DC790" t="str">
        <f>INDEX('Data_Price '!AL$2:AL$1266,MATCH(Data!$DN790,'Data_Price '!$AT$2:$AT$1266,0))</f>
        <v>evo.com</v>
      </c>
      <c r="DD790">
        <f>INDEX('Data_Price '!AM$2:AM$1266,MATCH(Data!$DN790,'Data_Price '!$AT$2:$AT$1266,0))</f>
        <v>299</v>
      </c>
      <c r="DE790" t="str">
        <f>INDEX('Data_Price '!AN$2:AN$1266,MATCH(Data!$DN790,'Data_Price '!$AT$2:$AT$1266,0))</f>
        <v>https://tinyurl.com/y8fuj8vv</v>
      </c>
      <c r="DF790" t="str">
        <f>INDEX('Data_Price '!AO$2:AO$1266,MATCH(Data!$DN790,'Data_Price '!$AT$2:$AT$1266,0))</f>
        <v>Head Oblivion 79 Flat Skis 2021-2022 | BK/NEONG / 163</v>
      </c>
      <c r="DG790" t="str">
        <f>INDEX('Data_Price '!AP$2:AP$1266,MATCH(Data!$DN790,'Data_Price '!$AT$2:$AT$1266,0))</f>
        <v>Ski Pro  - Snow Ski &amp; Snowboard</v>
      </c>
      <c r="DH790">
        <f>INDEX('Data_Price '!AQ$2:AQ$1266,MATCH(Data!$DN790,'Data_Price '!$AT$2:$AT$1266,0))</f>
        <v>299.95</v>
      </c>
      <c r="DI790" t="str">
        <f>INDEX('Data_Price '!AR$2:AR$1266,MATCH(Data!$DN790,'Data_Price '!$AT$2:$AT$1266,0))</f>
        <v>https://tinyurl.com/ycmr6ucy</v>
      </c>
      <c r="DJ790" s="89" t="str">
        <f t="shared" si="476"/>
        <v>https://tinyurl.com/y8e6wsmx</v>
      </c>
      <c r="DK790" s="89" t="str">
        <f t="shared" si="477"/>
        <v>https://tinyurl.com/y8fuj8vv</v>
      </c>
      <c r="DL790" s="89" t="str">
        <f t="shared" si="478"/>
        <v>https://tinyurl.com/ycmr6ucy</v>
      </c>
      <c r="DM790" s="219" t="str">
        <f t="shared" si="479"/>
        <v>Oblivion 94</v>
      </c>
      <c r="DN790" s="89" t="str">
        <f t="shared" si="480"/>
        <v xml:space="preserve"> HeadOblivion 94163 Unisex</v>
      </c>
      <c r="DO790" s="221" t="s">
        <v>394</v>
      </c>
    </row>
    <row r="791" spans="2:119" ht="15.6" customHeight="1">
      <c r="B791" s="219" t="b">
        <f t="array" ref="B791">IF(OR(ISERROR(K791:P791)),FALSE,TRUE)</f>
        <v>1</v>
      </c>
      <c r="C791" s="43" t="b">
        <f>OR(BR791=Driver!$G$50,Data!BR1045=Driver!$H$50)</f>
        <v>1</v>
      </c>
      <c r="D791" s="43" t="b">
        <f>OR(BV791=Driver!$G$51,BV791=Driver!$H$51)</f>
        <v>0</v>
      </c>
      <c r="E791" s="43" t="b">
        <f>AND(BX791&gt;Driver!$F$54,BX791&lt;Driver!$G$54)</f>
        <v>1</v>
      </c>
      <c r="F791" s="43" t="b">
        <f>CL791&gt;Driver!$F$56</f>
        <v>1</v>
      </c>
      <c r="G791" s="43" t="b">
        <f>AND(CB791&gt;Driver!$F$55,CB791&lt;Driver!$G$55)</f>
        <v>0</v>
      </c>
      <c r="H791" s="43" t="b">
        <f t="shared" si="444"/>
        <v>0</v>
      </c>
      <c r="I791" s="43">
        <f t="shared" si="445"/>
        <v>0</v>
      </c>
      <c r="J791" s="43" t="b">
        <f t="array" ref="J791">NOT(OR(($H$9:$H$1273=TRUE)*($I$9:$I$1273&gt;0)*($BT$9:$BT$1273=BT791)*($K$9:$K$1273&gt;K791)))</f>
        <v>1</v>
      </c>
      <c r="K791" s="72">
        <f t="shared" si="446"/>
        <v>0.77860773429610342</v>
      </c>
      <c r="L791" s="72">
        <f t="shared" si="447"/>
        <v>0.8059691331393446</v>
      </c>
      <c r="M791" s="72">
        <f t="shared" si="448"/>
        <v>0.75124633545286235</v>
      </c>
      <c r="N791" s="72">
        <f t="shared" si="449"/>
        <v>0.68222276655884007</v>
      </c>
      <c r="O791" s="72">
        <f t="shared" si="450"/>
        <v>0.59207551836349315</v>
      </c>
      <c r="P791" s="72">
        <f t="shared" si="451"/>
        <v>0.97944072143625382</v>
      </c>
      <c r="Q791" s="72"/>
      <c r="R791" s="72"/>
      <c r="S791" s="72">
        <f t="shared" si="452"/>
        <v>0.4272695788532016</v>
      </c>
      <c r="T791" s="72">
        <f t="shared" si="453"/>
        <v>0.89804193507603081</v>
      </c>
      <c r="U791" s="72">
        <f t="shared" si="454"/>
        <v>0.51</v>
      </c>
      <c r="V791" s="72">
        <f t="shared" si="455"/>
        <v>0.49212806086032557</v>
      </c>
      <c r="W791" s="72">
        <f t="shared" si="456"/>
        <v>0.76218102445539015</v>
      </c>
      <c r="X791" s="72">
        <f t="shared" si="457"/>
        <v>0.19403086686065546</v>
      </c>
      <c r="Y791" s="72">
        <f t="shared" si="458"/>
        <v>0.24875366454713768</v>
      </c>
      <c r="Z791" s="72">
        <f t="shared" si="459"/>
        <v>0.31777723344115999</v>
      </c>
      <c r="AA791" s="72">
        <f t="shared" si="460"/>
        <v>0.40792448163650691</v>
      </c>
      <c r="AB791" s="72">
        <f t="shared" si="461"/>
        <v>2.0559278563746203E-2</v>
      </c>
      <c r="AC791" s="72"/>
      <c r="AD791" s="72"/>
      <c r="AE791" s="72">
        <f t="shared" si="462"/>
        <v>0.5727304211467984</v>
      </c>
      <c r="AF791" s="72">
        <f t="shared" si="463"/>
        <v>0.10195806492396919</v>
      </c>
      <c r="AG791" s="72">
        <f t="shared" si="464"/>
        <v>0.49</v>
      </c>
      <c r="AH791" s="72">
        <f t="shared" si="465"/>
        <v>0.50787193913967443</v>
      </c>
      <c r="AI791" s="72">
        <f t="shared" si="466"/>
        <v>0.2378189755446099</v>
      </c>
      <c r="AJ791" s="72">
        <f>(AV791-Driver!$K$179)/(Driver!$L$179-Driver!$K$179)</f>
        <v>6.0188542422044952E-2</v>
      </c>
      <c r="AK791" s="72">
        <f>(AW791-Driver!$K$180)/(Driver!$L$180-Driver!$K$180)</f>
        <v>0.2487943164242718</v>
      </c>
      <c r="AL791" s="72">
        <f>(AX791-Driver!$K$181)/(Driver!$L$181-Driver!$K$181)</f>
        <v>0.41946499715424018</v>
      </c>
      <c r="AM791" s="72">
        <f>(AY791-Driver!$K$182)/(Driver!$L$182-Driver!$K$182)</f>
        <v>3.9460539460539457E-2</v>
      </c>
      <c r="AN791" s="72">
        <f>(AZ791-Driver!$K$183)/(Driver!$L$183-Driver!$K$183)</f>
        <v>0.23366013071895422</v>
      </c>
      <c r="AO791" s="72"/>
      <c r="AP791" s="72"/>
      <c r="AQ791" s="72">
        <f>(BC791-Driver!$K$188)/(Driver!$L$188-Driver!$K$188)</f>
        <v>4.7269578853201599E-2</v>
      </c>
      <c r="AR791" s="72">
        <f>MIN((BD791-Driver!$K$189)/(Driver!$L$189-Driver!$K$189),100%)</f>
        <v>0.65195806492396924</v>
      </c>
      <c r="AS791" s="72">
        <f>(BE791-Driver!$K$190)/(Driver!$L$190-Driver!$K$190)</f>
        <v>1</v>
      </c>
      <c r="AT791" s="72">
        <f>(BF791-Driver!$K$191)/(Driver!$L$191-Driver!$K$191)</f>
        <v>2.128060860325577E-3</v>
      </c>
      <c r="AU791" s="72">
        <f>(BG791-Driver!$K$192)/(Driver!$L$192-Driver!$K$192)</f>
        <v>1.2181024455390094E-2</v>
      </c>
      <c r="AV791" s="70">
        <f t="shared" si="467"/>
        <v>1.2667887667887667</v>
      </c>
      <c r="AW791" s="70">
        <f t="shared" si="468"/>
        <v>26.119103298911536</v>
      </c>
      <c r="AX791" s="70">
        <f t="shared" si="469"/>
        <v>4.7751849743881616</v>
      </c>
      <c r="AY791" s="70">
        <f>IFERROR(Driver!$K$19/Data!BH791/Data!BI791*Data!BK791*Data!BL791,"")</f>
        <v>4.831147418830517E-2</v>
      </c>
      <c r="AZ791" s="70">
        <f t="shared" si="470"/>
        <v>21.295606850335069</v>
      </c>
      <c r="BA791" s="70"/>
      <c r="BB791" s="70"/>
      <c r="BC791" s="70">
        <f t="shared" si="471"/>
        <v>24.519059163936582</v>
      </c>
      <c r="BD791" s="70">
        <f t="shared" si="472"/>
        <v>59.417956428534815</v>
      </c>
      <c r="BE791" s="70">
        <f t="shared" si="473"/>
        <v>1</v>
      </c>
      <c r="BF791" s="70">
        <f t="shared" si="474"/>
        <v>0.24034952370009233</v>
      </c>
      <c r="BG791" s="70">
        <f t="shared" si="475"/>
        <v>4.6125129241638786E-2</v>
      </c>
      <c r="BH791" s="67">
        <f>MAX((CE791-Driver!$F$200)/(Driver!$G$200-Driver!$F$200)*$BI$1,1)</f>
        <v>4.7751849743881616</v>
      </c>
      <c r="BI791" s="67">
        <f>MAX($BI$1*(BY791-Driver!$F$201)/(Driver!$G$201-Driver!$F$201),1)</f>
        <v>8.2278481012658222</v>
      </c>
      <c r="BJ791" s="67">
        <f>(CB791-Driver!$F$206)/(Driver!$G$206-Driver!$F$206)*$BI$1</f>
        <v>1.4285714285714284</v>
      </c>
      <c r="BK791" s="67">
        <f>(CD791-Driver!$F$203)/(Driver!$G$203-Driver!$F$203)*$BI$1</f>
        <v>1.3761467889908259</v>
      </c>
      <c r="BL791" s="67">
        <f>MAX((CR791-Driver!$F$202)/(Driver!$G$202-Driver!$F$202)*$BI$1,1)</f>
        <v>6.8965517241379315</v>
      </c>
      <c r="BM791" s="67">
        <f>MAX((CH791-Driver!$F$204)/(Driver!$G$204-Driver!$F$204)*$BI$1,1)</f>
        <v>3.5470085470085473</v>
      </c>
      <c r="BN791" s="67">
        <f>(CI791-Driver!$F$205)/(Driver!$G$205-Driver!$F$205)*$BI$1</f>
        <v>2.5882352941176472</v>
      </c>
      <c r="BO791" s="67">
        <f>(CK791-Driver!$F$207)/(Driver!$G$207-Driver!$F$207)*$BI$1</f>
        <v>0.32057911065149947</v>
      </c>
      <c r="BP791" s="67">
        <f>(CM791-Driver!$F$208)/(Driver!$G$208-Driver!$F$208)*$BI$1</f>
        <v>0.7222222222222221</v>
      </c>
      <c r="BQ791" s="67">
        <f>(CL791-Driver!$F$209)/(Driver!$G$209-Driver!$F$209)*$BI$1</f>
        <v>0.78125</v>
      </c>
      <c r="BR791" s="28" t="s">
        <v>155</v>
      </c>
      <c r="BS791" s="8" t="s">
        <v>172</v>
      </c>
      <c r="BT791" s="9" t="s">
        <v>757</v>
      </c>
      <c r="BU791" s="10">
        <v>160</v>
      </c>
      <c r="BV791" s="9" t="s">
        <v>163</v>
      </c>
      <c r="BW791" s="10">
        <v>160</v>
      </c>
      <c r="BX791" s="10">
        <v>158.80000000000001</v>
      </c>
      <c r="BY791" s="10">
        <v>138</v>
      </c>
      <c r="BZ791" s="10">
        <v>145</v>
      </c>
      <c r="CA791" s="10">
        <v>122</v>
      </c>
      <c r="CB791" s="10">
        <v>73</v>
      </c>
      <c r="CC791" s="10">
        <v>108</v>
      </c>
      <c r="CD791" s="10">
        <v>12.4</v>
      </c>
      <c r="CE791" s="10">
        <v>1739</v>
      </c>
      <c r="CF791" s="10">
        <v>0.81</v>
      </c>
      <c r="CG791" s="10">
        <v>1410</v>
      </c>
      <c r="CH791" s="10">
        <v>184</v>
      </c>
      <c r="CI791" s="10">
        <v>77</v>
      </c>
      <c r="CJ791" s="10">
        <v>37</v>
      </c>
      <c r="CK791" s="10">
        <v>141</v>
      </c>
      <c r="CL791" s="10">
        <v>5</v>
      </c>
      <c r="CM791" s="10">
        <v>65</v>
      </c>
      <c r="CN791" s="10">
        <v>0.125</v>
      </c>
      <c r="CO791" s="10">
        <v>81</v>
      </c>
      <c r="CP791" s="10">
        <v>59</v>
      </c>
      <c r="CQ791" s="10">
        <v>60</v>
      </c>
      <c r="CR791" s="10">
        <v>9</v>
      </c>
      <c r="CS791" s="10">
        <v>9.8000000000000007</v>
      </c>
      <c r="CT791" s="9" t="s">
        <v>349</v>
      </c>
      <c r="CU791" s="10"/>
      <c r="CV791" s="10"/>
      <c r="CW791" s="10"/>
      <c r="CX791" t="str">
        <f>INDEX('Data_Price '!AG$2:AG$1266,MATCH(Data!$DN791,'Data_Price '!$AT$2:$AT$1266,0))</f>
        <v>Rossignol Experience 82 Ti Skis w/ Look SPX 14 Konect GW Bindings</v>
      </c>
      <c r="CY791" t="str">
        <f>INDEX('Data_Price '!AH$2:AH$1266,MATCH(Data!$DN791,'Data_Price '!$AT$2:$AT$1266,0))</f>
        <v>The-House.com</v>
      </c>
      <c r="CZ791">
        <f>INDEX('Data_Price '!AI$2:AI$1266,MATCH(Data!$DN791,'Data_Price '!$AT$2:$AT$1266,0))</f>
        <v>719.95</v>
      </c>
      <c r="DA791" t="str">
        <f>INDEX('Data_Price '!AJ$2:AJ$1266,MATCH(Data!$DN791,'Data_Price '!$AT$2:$AT$1266,0))</f>
        <v>https://tinyurl.com/ydd679ff</v>
      </c>
      <c r="DB791" t="str">
        <f>INDEX('Data_Price '!AK$2:AK$1266,MATCH(Data!$DN791,'Data_Price '!$AT$2:$AT$1266,0))</f>
        <v>Rossignol Experience 82 Ti Skis w/ Look SPX 14 Konect GW Bindings</v>
      </c>
      <c r="DC791" t="str">
        <f>INDEX('Data_Price '!AL$2:AL$1266,MATCH(Data!$DN791,'Data_Price '!$AT$2:$AT$1266,0))</f>
        <v>Buyr.com</v>
      </c>
      <c r="DD791">
        <f>INDEX('Data_Price '!AM$2:AM$1266,MATCH(Data!$DN791,'Data_Price '!$AT$2:$AT$1266,0))</f>
        <v>899.95</v>
      </c>
      <c r="DE791" t="str">
        <f>INDEX('Data_Price '!AN$2:AN$1266,MATCH(Data!$DN791,'Data_Price '!$AT$2:$AT$1266,0))</f>
        <v>https://tinyurl.com/y7mzhvb4</v>
      </c>
      <c r="DF791" t="str">
        <f>INDEX('Data_Price '!AO$2:AO$1266,MATCH(Data!$DN791,'Data_Price '!$AT$2:$AT$1266,0))</f>
        <v>Rossignol Experience 82 Ti Skis w/ Look SPX 14 Konect GW Bindings</v>
      </c>
      <c r="DG791" t="str">
        <f>INDEX('Data_Price '!AP$2:AP$1266,MATCH(Data!$DN791,'Data_Price '!$AT$2:$AT$1266,0))</f>
        <v>SkiEssentials.com</v>
      </c>
      <c r="DH791">
        <f>INDEX('Data_Price '!AQ$2:AQ$1266,MATCH(Data!$DN791,'Data_Price '!$AT$2:$AT$1266,0))</f>
        <v>899.95</v>
      </c>
      <c r="DI791" t="str">
        <f>INDEX('Data_Price '!AR$2:AR$1266,MATCH(Data!$DN791,'Data_Price '!$AT$2:$AT$1266,0))</f>
        <v>https://tinyurl.com/ybzabfpk</v>
      </c>
      <c r="DJ791" s="89" t="str">
        <f t="shared" si="476"/>
        <v>https://tinyurl.com/ydd679ff</v>
      </c>
      <c r="DK791" s="89" t="str">
        <f t="shared" si="477"/>
        <v>https://tinyurl.com/y7mzhvb4</v>
      </c>
      <c r="DL791" s="89" t="str">
        <f t="shared" si="478"/>
        <v>https://tinyurl.com/ybzabfpk</v>
      </c>
      <c r="DM791" s="219" t="str">
        <f t="shared" si="479"/>
        <v>Nova 14 Ti</v>
      </c>
      <c r="DN791" s="89" t="str">
        <f t="shared" si="480"/>
        <v xml:space="preserve"> RossignolNova 14 Ti160 Women's</v>
      </c>
      <c r="DO791" s="221"/>
    </row>
    <row r="792" spans="2:119" ht="15.6" customHeight="1">
      <c r="B792" s="219" t="b">
        <f t="array" ref="B792">IF(OR(ISERROR(K792:P792)),FALSE,TRUE)</f>
        <v>1</v>
      </c>
      <c r="C792" s="43" t="b">
        <f>OR(BR792=Driver!$G$50,Data!BR674=Driver!$H$50)</f>
        <v>1</v>
      </c>
      <c r="D792" s="43" t="b">
        <f>OR(BV792=Driver!$G$51,BV792=Driver!$H$51)</f>
        <v>0</v>
      </c>
      <c r="E792" s="43" t="b">
        <f>AND(BX792&gt;Driver!$F$54,BX792&lt;Driver!$G$54)</f>
        <v>1</v>
      </c>
      <c r="F792" s="43" t="b">
        <f>CL792&gt;Driver!$F$56</f>
        <v>1</v>
      </c>
      <c r="G792" s="43" t="b">
        <f>AND(CB792&gt;Driver!$F$55,CB792&lt;Driver!$G$55)</f>
        <v>0</v>
      </c>
      <c r="H792" s="43" t="b">
        <f t="shared" si="444"/>
        <v>0</v>
      </c>
      <c r="I792" s="43">
        <f t="shared" si="445"/>
        <v>0</v>
      </c>
      <c r="J792" s="43" t="b">
        <f t="array" ref="J792">NOT(OR(($H$9:$H$1273=TRUE)*($I$9:$I$1273&gt;0)*($BT$9:$BT$1273=BT792)*($K$9:$K$1273&gt;K792)))</f>
        <v>1</v>
      </c>
      <c r="K792" s="72">
        <f t="shared" si="446"/>
        <v>0.82039988221268434</v>
      </c>
      <c r="L792" s="72">
        <f t="shared" si="447"/>
        <v>0.85681112814377602</v>
      </c>
      <c r="M792" s="72">
        <f t="shared" si="448"/>
        <v>0.78398863628159254</v>
      </c>
      <c r="N792" s="72">
        <f t="shared" si="449"/>
        <v>0.83968814314772255</v>
      </c>
      <c r="O792" s="72">
        <f t="shared" si="450"/>
        <v>0.64782887432616088</v>
      </c>
      <c r="P792" s="72">
        <f t="shared" si="451"/>
        <v>0.86444889137089431</v>
      </c>
      <c r="Q792" s="72"/>
      <c r="R792" s="72"/>
      <c r="S792" s="72">
        <f t="shared" si="452"/>
        <v>0.40354047226139877</v>
      </c>
      <c r="T792" s="72">
        <f t="shared" si="453"/>
        <v>0.4712562517349338</v>
      </c>
      <c r="U792" s="72">
        <f t="shared" si="454"/>
        <v>0.50799478278489718</v>
      </c>
      <c r="V792" s="72">
        <f t="shared" si="455"/>
        <v>0.63879035417398966</v>
      </c>
      <c r="W792" s="72">
        <f t="shared" si="456"/>
        <v>0.92990566037735856</v>
      </c>
      <c r="X792" s="72">
        <f t="shared" si="457"/>
        <v>0.14318887185622392</v>
      </c>
      <c r="Y792" s="72">
        <f t="shared" si="458"/>
        <v>0.21601136371840743</v>
      </c>
      <c r="Z792" s="72">
        <f t="shared" si="459"/>
        <v>0.16031185685227745</v>
      </c>
      <c r="AA792" s="72">
        <f t="shared" si="460"/>
        <v>0.35217112567383912</v>
      </c>
      <c r="AB792" s="72">
        <f t="shared" si="461"/>
        <v>0.13555110862910569</v>
      </c>
      <c r="AC792" s="72"/>
      <c r="AD792" s="72"/>
      <c r="AE792" s="72">
        <f t="shared" si="462"/>
        <v>0.59645952773860123</v>
      </c>
      <c r="AF792" s="72">
        <f t="shared" si="463"/>
        <v>0.5287437482650662</v>
      </c>
      <c r="AG792" s="72">
        <f t="shared" si="464"/>
        <v>0.49200521721510282</v>
      </c>
      <c r="AH792" s="72">
        <f t="shared" si="465"/>
        <v>0.36120964582601034</v>
      </c>
      <c r="AI792" s="72">
        <f t="shared" si="466"/>
        <v>7.0094339622641444E-2</v>
      </c>
      <c r="AJ792" s="72">
        <f>(AV792-Driver!$K$179)/(Driver!$L$179-Driver!$K$179)</f>
        <v>0.11103053742647649</v>
      </c>
      <c r="AK792" s="72">
        <f>(AW792-Driver!$K$180)/(Driver!$L$180-Driver!$K$180)</f>
        <v>0.12741799831849629</v>
      </c>
      <c r="AL792" s="72">
        <f>(AX792-Driver!$K$181)/(Driver!$L$181-Driver!$K$181)</f>
        <v>0.26199962056535764</v>
      </c>
      <c r="AM792" s="72">
        <f>(AY792-Driver!$K$182)/(Driver!$L$182-Driver!$K$182)</f>
        <v>9.521389542320724E-2</v>
      </c>
      <c r="AN792" s="72">
        <f>(AZ792-Driver!$K$183)/(Driver!$L$183-Driver!$K$183)</f>
        <v>0.11866830065359474</v>
      </c>
      <c r="AO792" s="72"/>
      <c r="AP792" s="72"/>
      <c r="AQ792" s="72">
        <f>(BC792-Driver!$K$188)/(Driver!$L$188-Driver!$K$188)</f>
        <v>2.3540472261398725E-2</v>
      </c>
      <c r="AR792" s="72">
        <f>MIN((BD792-Driver!$K$189)/(Driver!$L$189-Driver!$K$189),100%)</f>
        <v>2.1256251734933847E-2</v>
      </c>
      <c r="AS792" s="72">
        <f>(BE792-Driver!$K$190)/(Driver!$L$190-Driver!$K$190)</f>
        <v>1.7994782784897179E-2</v>
      </c>
      <c r="AT792" s="72">
        <f>(BF792-Driver!$K$191)/(Driver!$L$191-Driver!$K$191)</f>
        <v>0.14879035417398967</v>
      </c>
      <c r="AU792" s="72">
        <f>(BG792-Driver!$K$192)/(Driver!$L$192-Driver!$K$192)</f>
        <v>0.32009433962264144</v>
      </c>
      <c r="AV792" s="70">
        <f t="shared" si="467"/>
        <v>2.3368606701940031</v>
      </c>
      <c r="AW792" s="70">
        <f t="shared" si="468"/>
        <v>14.289905595916029</v>
      </c>
      <c r="AX792" s="70">
        <f t="shared" si="469"/>
        <v>3.3579965850882187</v>
      </c>
      <c r="AY792" s="70">
        <f>IFERROR(Driver!$K$19/Data!BH792/Data!BI792*Data!BK792*Data!BL792,"")</f>
        <v>0.11657021708246508</v>
      </c>
      <c r="AZ792" s="70">
        <f t="shared" si="470"/>
        <v>10.815338793745344</v>
      </c>
      <c r="BA792" s="70"/>
      <c r="BB792" s="70"/>
      <c r="BC792" s="70">
        <f t="shared" si="471"/>
        <v>12.210606612695679</v>
      </c>
      <c r="BD792" s="70">
        <f t="shared" si="472"/>
        <v>3.6019634987899853</v>
      </c>
      <c r="BE792" s="70">
        <f t="shared" si="473"/>
        <v>1.8169961462708824E-2</v>
      </c>
      <c r="BF792" s="70">
        <f t="shared" si="474"/>
        <v>16.804825192553558</v>
      </c>
      <c r="BG792" s="70">
        <f t="shared" si="475"/>
        <v>1.2120813679245281</v>
      </c>
      <c r="BH792" s="67">
        <f>MAX((CE792-Driver!$F$200)/(Driver!$G$200-Driver!$F$200)*$BI$1,1)</f>
        <v>3.3579965850882187</v>
      </c>
      <c r="BI792" s="67">
        <f>MAX($BI$1*(BY792-Driver!$F$201)/(Driver!$G$201-Driver!$F$201),1)</f>
        <v>5.2531645569620249</v>
      </c>
      <c r="BJ792" s="67">
        <f>(CB792-Driver!$F$206)/(Driver!$G$206-Driver!$F$206)*$BI$1</f>
        <v>4.1269841269841265</v>
      </c>
      <c r="BK792" s="67">
        <f>(CD792-Driver!$F$203)/(Driver!$G$203-Driver!$F$203)*$BI$1</f>
        <v>2.2935779816513766</v>
      </c>
      <c r="BL792" s="67">
        <f>MAX((CR792-Driver!$F$202)/(Driver!$G$202-Driver!$F$202)*$BI$1,1)</f>
        <v>4.4827586206896548</v>
      </c>
      <c r="BM792" s="67">
        <f>MAX((CH792-Driver!$F$204)/(Driver!$G$204-Driver!$F$204)*$BI$1,1)</f>
        <v>2.2649572649572649</v>
      </c>
      <c r="BN792" s="67">
        <f>(CI792-Driver!$F$205)/(Driver!$G$205-Driver!$F$205)*$BI$1</f>
        <v>2.0588235294117645</v>
      </c>
      <c r="BO792" s="67">
        <f>(CK792-Driver!$F$207)/(Driver!$G$207-Driver!$F$207)*$BI$1</f>
        <v>2.6266804550155118</v>
      </c>
      <c r="BP792" s="67">
        <f>(CM792-Driver!$F$208)/(Driver!$G$208-Driver!$F$208)*$BI$1</f>
        <v>3.5555555555555558</v>
      </c>
      <c r="BQ792" s="67">
        <f>(CL792-Driver!$F$209)/(Driver!$G$209-Driver!$F$209)*$BI$1</f>
        <v>9.21875</v>
      </c>
      <c r="BR792" s="28" t="s">
        <v>155</v>
      </c>
      <c r="BS792" s="8" t="s">
        <v>295</v>
      </c>
      <c r="BT792" s="9" t="s">
        <v>758</v>
      </c>
      <c r="BU792" s="10">
        <v>162</v>
      </c>
      <c r="BV792" s="9" t="s">
        <v>163</v>
      </c>
      <c r="BW792" s="10">
        <v>162</v>
      </c>
      <c r="BX792" s="10">
        <v>159.80000000000001</v>
      </c>
      <c r="BY792" s="10">
        <v>91</v>
      </c>
      <c r="BZ792" s="10">
        <v>137</v>
      </c>
      <c r="CA792" s="10">
        <v>126</v>
      </c>
      <c r="CB792" s="10">
        <v>90</v>
      </c>
      <c r="CC792" s="10">
        <v>116</v>
      </c>
      <c r="CD792" s="10">
        <v>14.4</v>
      </c>
      <c r="CE792" s="10">
        <v>1490</v>
      </c>
      <c r="CF792" s="10">
        <v>1.0900000000000001</v>
      </c>
      <c r="CG792" s="10">
        <v>1627</v>
      </c>
      <c r="CH792" s="10">
        <v>154</v>
      </c>
      <c r="CI792" s="10">
        <v>68</v>
      </c>
      <c r="CJ792" s="10">
        <v>58</v>
      </c>
      <c r="CK792" s="10">
        <v>364</v>
      </c>
      <c r="CL792" s="10">
        <v>59</v>
      </c>
      <c r="CM792" s="10">
        <v>320</v>
      </c>
      <c r="CN792" s="10">
        <v>1.02</v>
      </c>
      <c r="CO792" s="10">
        <v>105</v>
      </c>
      <c r="CP792" s="10">
        <v>125</v>
      </c>
      <c r="CQ792" s="10">
        <v>259</v>
      </c>
      <c r="CR792" s="10">
        <v>2</v>
      </c>
      <c r="CS792" s="10">
        <v>8</v>
      </c>
      <c r="CT792" s="9" t="s">
        <v>184</v>
      </c>
      <c r="CU792" s="9" t="s">
        <v>185</v>
      </c>
      <c r="CV792" s="10"/>
      <c r="CW792" s="10"/>
      <c r="CX792" t="str">
        <f>INDEX('Data_Price '!AG$2:AG$1266,MATCH(Data!$DN792,'Data_Price '!$AT$2:$AT$1266,0))</f>
        <v>Icelantic Maiden 91 Women's Skis 162cm 2022</v>
      </c>
      <c r="CY792" t="str">
        <f>INDEX('Data_Price '!AH$2:AH$1266,MATCH(Data!$DN792,'Data_Price '!$AT$2:$AT$1266,0))</f>
        <v>Blue Tomato</v>
      </c>
      <c r="CZ792">
        <f>INDEX('Data_Price '!AI$2:AI$1266,MATCH(Data!$DN792,'Data_Price '!$AT$2:$AT$1266,0))</f>
        <v>451.71</v>
      </c>
      <c r="DA792" t="str">
        <f>INDEX('Data_Price '!AJ$2:AJ$1266,MATCH(Data!$DN792,'Data_Price '!$AT$2:$AT$1266,0))</f>
        <v>https://tinyurl.com/y9qzyb49</v>
      </c>
      <c r="DB792" t="str">
        <f>INDEX('Data_Price '!AK$2:AK$1266,MATCH(Data!$DN792,'Data_Price '!$AT$2:$AT$1266,0))</f>
        <v>Icelantic Maiden 91 Women's Skis 162cm 2022</v>
      </c>
      <c r="DC792" t="str">
        <f>INDEX('Data_Price '!AL$2:AL$1266,MATCH(Data!$DN792,'Data_Price '!$AT$2:$AT$1266,0))</f>
        <v>Curated</v>
      </c>
      <c r="DD792">
        <f>INDEX('Data_Price '!AM$2:AM$1266,MATCH(Data!$DN792,'Data_Price '!$AT$2:$AT$1266,0))</f>
        <v>524</v>
      </c>
      <c r="DE792" t="str">
        <f>INDEX('Data_Price '!AN$2:AN$1266,MATCH(Data!$DN792,'Data_Price '!$AT$2:$AT$1266,0))</f>
        <v>https://tinyurl.com/yb54aqvn</v>
      </c>
      <c r="DF792" t="str">
        <f>INDEX('Data_Price '!AO$2:AO$1266,MATCH(Data!$DN792,'Data_Price '!$AT$2:$AT$1266,0))</f>
        <v>Icelantic Maiden 91 Women's Skis 162cm 2022</v>
      </c>
      <c r="DG792" t="str">
        <f>INDEX('Data_Price '!AP$2:AP$1266,MATCH(Data!$DN792,'Data_Price '!$AT$2:$AT$1266,0))</f>
        <v>Wilderness Exchange Unlimited</v>
      </c>
      <c r="DH792">
        <f>INDEX('Data_Price '!AQ$2:AQ$1266,MATCH(Data!$DN792,'Data_Price '!$AT$2:$AT$1266,0))</f>
        <v>524.25</v>
      </c>
      <c r="DI792" t="str">
        <f>INDEX('Data_Price '!AR$2:AR$1266,MATCH(Data!$DN792,'Data_Price '!$AT$2:$AT$1266,0))</f>
        <v>https://tinyurl.com/y9kw494w</v>
      </c>
      <c r="DJ792" s="89" t="str">
        <f t="shared" si="476"/>
        <v>https://tinyurl.com/y9qzyb49</v>
      </c>
      <c r="DK792" s="89" t="str">
        <f t="shared" si="477"/>
        <v>https://tinyurl.com/yb54aqvn</v>
      </c>
      <c r="DL792" s="89" t="str">
        <f t="shared" si="478"/>
        <v>https://tinyurl.com/y9kw494w</v>
      </c>
      <c r="DM792" s="219" t="str">
        <f t="shared" si="479"/>
        <v>Maiden 91</v>
      </c>
      <c r="DN792" s="89" t="str">
        <f t="shared" si="480"/>
        <v xml:space="preserve"> IcelanticMaiden 91162 Women's</v>
      </c>
      <c r="DO792" s="221" t="s">
        <v>759</v>
      </c>
    </row>
    <row r="793" spans="2:119" ht="15.6" customHeight="1">
      <c r="B793" s="219" t="b">
        <f t="array" ref="B793">IF(OR(ISERROR(K793:P793)),FALSE,TRUE)</f>
        <v>1</v>
      </c>
      <c r="C793" s="43" t="b">
        <f>OR(BR793=Driver!$G$50,Data!BR108=Driver!$H$50)</f>
        <v>1</v>
      </c>
      <c r="D793" s="43" t="b">
        <f>OR(BV793=Driver!$G$51,BV793=Driver!$H$51)</f>
        <v>1</v>
      </c>
      <c r="E793" s="43" t="b">
        <f>AND(BX793&gt;Driver!$F$54,BX793&lt;Driver!$G$54)</f>
        <v>0</v>
      </c>
      <c r="F793" s="43" t="b">
        <f>CL793&gt;Driver!$F$56</f>
        <v>1</v>
      </c>
      <c r="G793" s="43" t="b">
        <f>AND(CB793&gt;Driver!$F$55,CB793&lt;Driver!$G$55)</f>
        <v>0</v>
      </c>
      <c r="H793" s="43" t="b">
        <f t="shared" si="444"/>
        <v>0</v>
      </c>
      <c r="I793" s="43">
        <f t="shared" si="445"/>
        <v>0</v>
      </c>
      <c r="J793" s="43" t="b">
        <f t="array" ref="J793">NOT(OR(($H$9:$H$1273=TRUE)*($I$9:$I$1273&gt;0)*($BT$9:$BT$1273=BT793)*($K$9:$K$1273&gt;K793)))</f>
        <v>1</v>
      </c>
      <c r="K793" s="72">
        <f t="shared" si="446"/>
        <v>0.93070888559500764</v>
      </c>
      <c r="L793" s="72">
        <f t="shared" si="447"/>
        <v>0.91442131265751381</v>
      </c>
      <c r="M793" s="72">
        <f t="shared" si="448"/>
        <v>0.94699645853250136</v>
      </c>
      <c r="N793" s="72">
        <f t="shared" si="449"/>
        <v>0.99462539634509983</v>
      </c>
      <c r="O793" s="72">
        <f t="shared" si="450"/>
        <v>0.87047717938477798</v>
      </c>
      <c r="P793" s="72">
        <f t="shared" si="451"/>
        <v>0.97588679986762639</v>
      </c>
      <c r="Q793" s="72"/>
      <c r="R793" s="72"/>
      <c r="S793" s="72">
        <f t="shared" si="452"/>
        <v>0.48871251927672088</v>
      </c>
      <c r="T793" s="72">
        <f t="shared" si="453"/>
        <v>0.45619393406915132</v>
      </c>
      <c r="U793" s="72">
        <f t="shared" si="454"/>
        <v>0.51</v>
      </c>
      <c r="V793" s="72">
        <f t="shared" si="455"/>
        <v>0.49778525656255845</v>
      </c>
      <c r="W793" s="72">
        <f t="shared" si="456"/>
        <v>0.81252177700348427</v>
      </c>
      <c r="X793" s="72">
        <f t="shared" si="457"/>
        <v>8.5578687342486137E-2</v>
      </c>
      <c r="Y793" s="72">
        <f t="shared" si="458"/>
        <v>5.3003541467498631E-2</v>
      </c>
      <c r="Z793" s="72">
        <f t="shared" si="459"/>
        <v>5.3746036549001952E-3</v>
      </c>
      <c r="AA793" s="72">
        <f t="shared" si="460"/>
        <v>0.12952282061522202</v>
      </c>
      <c r="AB793" s="72">
        <f t="shared" si="461"/>
        <v>2.4113200132373669E-2</v>
      </c>
      <c r="AC793" s="72"/>
      <c r="AD793" s="72"/>
      <c r="AE793" s="72">
        <f t="shared" si="462"/>
        <v>0.51128748072327912</v>
      </c>
      <c r="AF793" s="72">
        <f t="shared" si="463"/>
        <v>0.54380606593084868</v>
      </c>
      <c r="AG793" s="72">
        <f t="shared" si="464"/>
        <v>0.49</v>
      </c>
      <c r="AH793" s="72">
        <f t="shared" si="465"/>
        <v>0.50221474343744155</v>
      </c>
      <c r="AI793" s="72">
        <f t="shared" si="466"/>
        <v>0.18747822299651568</v>
      </c>
      <c r="AJ793" s="72">
        <f>(AV793-Driver!$K$179)/(Driver!$L$179-Driver!$K$179)</f>
        <v>0.16864072194021429</v>
      </c>
      <c r="AK793" s="72">
        <f>(AW793-Driver!$K$180)/(Driver!$L$180-Driver!$K$180)</f>
        <v>0.21912619266849515</v>
      </c>
      <c r="AL793" s="72">
        <f>(AX793-Driver!$K$181)/(Driver!$L$181-Driver!$K$181)</f>
        <v>9.6313160058179983E-2</v>
      </c>
      <c r="AM793" s="72">
        <f>(AY793-Driver!$K$182)/(Driver!$L$182-Driver!$K$182)</f>
        <v>0.31786220048182434</v>
      </c>
      <c r="AN793" s="72">
        <f>(AZ793-Driver!$K$183)/(Driver!$L$183-Driver!$K$183)</f>
        <v>0.23010620915032676</v>
      </c>
      <c r="AO793" s="72"/>
      <c r="AP793" s="72"/>
      <c r="AQ793" s="72">
        <f>(BC793-Driver!$K$188)/(Driver!$L$188-Driver!$K$188)</f>
        <v>0.1087125192767209</v>
      </c>
      <c r="AR793" s="72">
        <f>MIN((BD793-Driver!$K$189)/(Driver!$L$189-Driver!$K$189),100%)</f>
        <v>6.1939340691513902E-3</v>
      </c>
      <c r="AS793" s="72">
        <f>(BE793-Driver!$K$190)/(Driver!$L$190-Driver!$K$190)</f>
        <v>1</v>
      </c>
      <c r="AT793" s="72">
        <f>(BF793-Driver!$K$191)/(Driver!$L$191-Driver!$K$191)</f>
        <v>7.785256562558511E-3</v>
      </c>
      <c r="AU793" s="72">
        <f>(BG793-Driver!$K$192)/(Driver!$L$192-Driver!$K$192)</f>
        <v>6.2521777003484311E-2</v>
      </c>
      <c r="AV793" s="70">
        <f t="shared" si="467"/>
        <v>3.5493827160493825</v>
      </c>
      <c r="AW793" s="70">
        <f t="shared" si="468"/>
        <v>23.227681752591618</v>
      </c>
      <c r="AX793" s="70">
        <f t="shared" si="469"/>
        <v>1.8668184405236199</v>
      </c>
      <c r="AY793" s="70">
        <f>IFERROR(Driver!$K$19/Data!BH793/Data!BI793*Data!BK793*Data!BL793,"")</f>
        <v>0.38915817431669764</v>
      </c>
      <c r="AZ793" s="70">
        <f t="shared" si="470"/>
        <v>20.9717051377513</v>
      </c>
      <c r="BA793" s="70"/>
      <c r="BB793" s="70"/>
      <c r="BC793" s="70">
        <f t="shared" si="471"/>
        <v>56.389939506008055</v>
      </c>
      <c r="BD793" s="70">
        <f t="shared" si="472"/>
        <v>2.2689750742158794</v>
      </c>
      <c r="BE793" s="70">
        <f t="shared" si="473"/>
        <v>1</v>
      </c>
      <c r="BF793" s="70">
        <f t="shared" si="474"/>
        <v>0.87929003421813756</v>
      </c>
      <c r="BG793" s="70">
        <f t="shared" si="475"/>
        <v>0.23674733231707318</v>
      </c>
      <c r="BH793" s="67">
        <f>MAX((CE793-Driver!$F$200)/(Driver!$G$200-Driver!$F$200)*$BI$1,1)</f>
        <v>1.8668184405236199</v>
      </c>
      <c r="BI793" s="67">
        <f>MAX($BI$1*(BY793-Driver!$F$201)/(Driver!$G$201-Driver!$F$201),1)</f>
        <v>8.2911392405063289</v>
      </c>
      <c r="BJ793" s="67">
        <f>(CB793-Driver!$F$206)/(Driver!$G$206-Driver!$F$206)*$BI$1</f>
        <v>3.6507936507936507</v>
      </c>
      <c r="BK793" s="67">
        <f>(CD793-Driver!$F$203)/(Driver!$G$203-Driver!$F$203)*$BI$1</f>
        <v>5.1376146788990837</v>
      </c>
      <c r="BL793" s="67">
        <f>MAX((CR793-Driver!$F$202)/(Driver!$G$202-Driver!$F$202)*$BI$1,1)</f>
        <v>5.8620689655172411</v>
      </c>
      <c r="BM793" s="67">
        <f>MAX((CH793-Driver!$F$204)/(Driver!$G$204-Driver!$F$204)*$BI$1,1)</f>
        <v>3.8888888888888888</v>
      </c>
      <c r="BN793" s="67">
        <f>(CI793-Driver!$F$205)/(Driver!$G$205-Driver!$F$205)*$BI$1</f>
        <v>2.5294117647058822</v>
      </c>
      <c r="BO793" s="67">
        <f>(CK793-Driver!$F$207)/(Driver!$G$207-Driver!$F$207)*$BI$1</f>
        <v>0.9203722854188211</v>
      </c>
      <c r="BP793" s="67">
        <f>(CM793-Driver!$F$208)/(Driver!$G$208-Driver!$F$208)*$BI$1</f>
        <v>1.3444444444444446</v>
      </c>
      <c r="BQ793" s="67">
        <f>(CL793-Driver!$F$209)/(Driver!$G$209-Driver!$F$209)*$BI$1</f>
        <v>1.71875</v>
      </c>
      <c r="BR793" s="28" t="s">
        <v>155</v>
      </c>
      <c r="BS793" s="8" t="s">
        <v>182</v>
      </c>
      <c r="BT793" s="9" t="s">
        <v>413</v>
      </c>
      <c r="BU793" s="10">
        <v>172</v>
      </c>
      <c r="BV793" s="9" t="s">
        <v>158</v>
      </c>
      <c r="BW793" s="10">
        <v>172</v>
      </c>
      <c r="BX793" s="10">
        <v>171.2</v>
      </c>
      <c r="BY793" s="10">
        <v>139</v>
      </c>
      <c r="BZ793" s="10">
        <v>143</v>
      </c>
      <c r="CA793" s="10">
        <v>115</v>
      </c>
      <c r="CB793" s="10">
        <v>87</v>
      </c>
      <c r="CC793" s="10">
        <v>107</v>
      </c>
      <c r="CD793" s="10">
        <v>20.6</v>
      </c>
      <c r="CE793" s="10">
        <v>1228</v>
      </c>
      <c r="CF793" s="10">
        <v>1.34</v>
      </c>
      <c r="CG793" s="10">
        <v>1641</v>
      </c>
      <c r="CH793" s="10">
        <v>192</v>
      </c>
      <c r="CI793" s="10">
        <v>76</v>
      </c>
      <c r="CJ793" s="10">
        <v>41</v>
      </c>
      <c r="CK793" s="10">
        <v>199</v>
      </c>
      <c r="CL793" s="10">
        <v>11</v>
      </c>
      <c r="CM793" s="10">
        <v>121</v>
      </c>
      <c r="CN793" s="10">
        <v>0.27900000000000003</v>
      </c>
      <c r="CO793" s="10">
        <v>169</v>
      </c>
      <c r="CP793" s="10">
        <v>109</v>
      </c>
      <c r="CQ793" s="10">
        <v>30</v>
      </c>
      <c r="CR793" s="10">
        <v>6</v>
      </c>
      <c r="CS793" s="10">
        <v>7.3</v>
      </c>
      <c r="CT793" s="9" t="s">
        <v>185</v>
      </c>
      <c r="CU793" s="9" t="s">
        <v>198</v>
      </c>
      <c r="CV793" s="10"/>
      <c r="CW793" s="10"/>
      <c r="CX793" t="str">
        <f>INDEX('Data_Price '!AG$2:AG$1266,MATCH(Data!$DN793,'Data_Price '!$AT$2:$AT$1266,0))</f>
        <v>Armada - Tracer 88 - 172 Silver</v>
      </c>
      <c r="CY793" t="str">
        <f>INDEX('Data_Price '!AH$2:AH$1266,MATCH(Data!$DN793,'Data_Price '!$AT$2:$AT$1266,0))</f>
        <v>Snowcountry.eu</v>
      </c>
      <c r="CZ793">
        <f>INDEX('Data_Price '!AI$2:AI$1266,MATCH(Data!$DN793,'Data_Price '!$AT$2:$AT$1266,0))</f>
        <v>367.81</v>
      </c>
      <c r="DA793" t="str">
        <f>INDEX('Data_Price '!AJ$2:AJ$1266,MATCH(Data!$DN793,'Data_Price '!$AT$2:$AT$1266,0))</f>
        <v>https://tinyurl.com/y9a2yfct</v>
      </c>
      <c r="DB793" t="str">
        <f>INDEX('Data_Price '!AK$2:AK$1266,MATCH(Data!$DN793,'Data_Price '!$AT$2:$AT$1266,0))</f>
        <v>2020 Armada Tracer 88 Skis 172</v>
      </c>
      <c r="DC793" t="str">
        <f>INDEX('Data_Price '!AL$2:AL$1266,MATCH(Data!$DN793,'Data_Price '!$AT$2:$AT$1266,0))</f>
        <v>SkiYard</v>
      </c>
      <c r="DD793">
        <f>INDEX('Data_Price '!AM$2:AM$1266,MATCH(Data!$DN793,'Data_Price '!$AT$2:$AT$1266,0))</f>
        <v>379.99</v>
      </c>
      <c r="DE793" t="str">
        <f>INDEX('Data_Price '!AN$2:AN$1266,MATCH(Data!$DN793,'Data_Price '!$AT$2:$AT$1266,0))</f>
        <v>https://tinyurl.com/y9x6ltlo</v>
      </c>
      <c r="DF793" t="str">
        <f>INDEX('Data_Price '!AO$2:AO$1266,MATCH(Data!$DN793,'Data_Price '!$AT$2:$AT$1266,0))</f>
        <v>2020 Armada Tracer 88 Skis</v>
      </c>
      <c r="DG793" t="str">
        <f>INDEX('Data_Price '!AP$2:AP$1266,MATCH(Data!$DN793,'Data_Price '!$AT$2:$AT$1266,0))</f>
        <v>eBay - skiyard</v>
      </c>
      <c r="DH793">
        <f>INDEX('Data_Price '!AQ$2:AQ$1266,MATCH(Data!$DN793,'Data_Price '!$AT$2:$AT$1266,0))</f>
        <v>379.99</v>
      </c>
      <c r="DI793" t="str">
        <f>INDEX('Data_Price '!AR$2:AR$1266,MATCH(Data!$DN793,'Data_Price '!$AT$2:$AT$1266,0))</f>
        <v>https://tinyurl.com/y8vu7be9</v>
      </c>
      <c r="DJ793" s="89" t="str">
        <f t="shared" si="476"/>
        <v>https://tinyurl.com/y9a2yfct</v>
      </c>
      <c r="DK793" s="89" t="str">
        <f t="shared" si="477"/>
        <v>https://tinyurl.com/y9x6ltlo</v>
      </c>
      <c r="DL793" s="89" t="str">
        <f t="shared" si="478"/>
        <v>https://tinyurl.com/y8vu7be9</v>
      </c>
      <c r="DM793" s="219" t="str">
        <f t="shared" si="479"/>
        <v>Tracer 88</v>
      </c>
      <c r="DN793" s="89" t="str">
        <f t="shared" si="480"/>
        <v xml:space="preserve"> ArmadaTracer 88172 Unisex</v>
      </c>
      <c r="DO793" s="221"/>
    </row>
    <row r="794" spans="2:119" ht="15.6" customHeight="1">
      <c r="B794" s="219" t="b">
        <f t="array" ref="B794">IF(OR(ISERROR(K794:P794)),FALSE,TRUE)</f>
        <v>1</v>
      </c>
      <c r="C794" s="43" t="b">
        <f>OR(BR794=Driver!$G$50,Data!BR69=Driver!$H$50)</f>
        <v>1</v>
      </c>
      <c r="D794" s="43" t="b">
        <f>OR(BV794=Driver!$G$51,BV794=Driver!$H$51)</f>
        <v>1</v>
      </c>
      <c r="E794" s="43" t="b">
        <f>AND(BX794&gt;Driver!$F$54,BX794&lt;Driver!$G$54)</f>
        <v>0</v>
      </c>
      <c r="F794" s="43" t="b">
        <f>CL794&gt;Driver!$F$56</f>
        <v>1</v>
      </c>
      <c r="G794" s="43" t="b">
        <f>AND(CB794&gt;Driver!$F$55,CB794&lt;Driver!$G$55)</f>
        <v>0</v>
      </c>
      <c r="H794" s="43" t="b">
        <f t="shared" si="444"/>
        <v>0</v>
      </c>
      <c r="I794" s="43">
        <f t="shared" si="445"/>
        <v>0</v>
      </c>
      <c r="J794" s="43" t="b">
        <f t="array" ref="J794">NOT(OR(($H$9:$H$1273=TRUE)*($I$9:$I$1273&gt;0)*($BT$9:$BT$1273=BT794)*($K$9:$K$1273&gt;K794)))</f>
        <v>1</v>
      </c>
      <c r="K794" s="72">
        <f t="shared" si="446"/>
        <v>0.80881075301283212</v>
      </c>
      <c r="L794" s="72">
        <f t="shared" si="447"/>
        <v>0.94302497070279623</v>
      </c>
      <c r="M794" s="72">
        <f t="shared" si="448"/>
        <v>0.67459653532286801</v>
      </c>
      <c r="N794" s="72">
        <f t="shared" si="449"/>
        <v>0.68538472191203037</v>
      </c>
      <c r="O794" s="72">
        <f t="shared" si="450"/>
        <v>0.64104821987191252</v>
      </c>
      <c r="P794" s="72">
        <f t="shared" si="451"/>
        <v>0.69735666418466136</v>
      </c>
      <c r="Q794" s="72"/>
      <c r="R794" s="72"/>
      <c r="S794" s="72">
        <f t="shared" si="452"/>
        <v>0.57945442740971276</v>
      </c>
      <c r="T794" s="72">
        <f t="shared" si="453"/>
        <v>0.68247584123989768</v>
      </c>
      <c r="U794" s="72">
        <f t="shared" si="454"/>
        <v>0.68877256244192842</v>
      </c>
      <c r="V794" s="72">
        <f t="shared" si="455"/>
        <v>0.49877279870215052</v>
      </c>
      <c r="W794" s="72">
        <f t="shared" si="456"/>
        <v>0.76695143884892092</v>
      </c>
      <c r="X794" s="72">
        <f t="shared" si="457"/>
        <v>5.6975029297203716E-2</v>
      </c>
      <c r="Y794" s="72">
        <f t="shared" si="458"/>
        <v>0.32540346467713194</v>
      </c>
      <c r="Z794" s="72">
        <f t="shared" si="459"/>
        <v>0.31461527808796963</v>
      </c>
      <c r="AA794" s="72">
        <f t="shared" si="460"/>
        <v>0.35895178012808748</v>
      </c>
      <c r="AB794" s="72">
        <f t="shared" si="461"/>
        <v>0.3026433358153387</v>
      </c>
      <c r="AC794" s="72"/>
      <c r="AD794" s="72"/>
      <c r="AE794" s="72">
        <f t="shared" si="462"/>
        <v>0.42054557259028724</v>
      </c>
      <c r="AF794" s="72">
        <f t="shared" si="463"/>
        <v>0.31752415876010232</v>
      </c>
      <c r="AG794" s="72">
        <f t="shared" si="464"/>
        <v>0.31122743755807158</v>
      </c>
      <c r="AH794" s="72">
        <f t="shared" si="465"/>
        <v>0.50122720129784948</v>
      </c>
      <c r="AI794" s="72">
        <f t="shared" si="466"/>
        <v>0.23304856115107914</v>
      </c>
      <c r="AJ794" s="72">
        <f>(AV794-Driver!$K$179)/(Driver!$L$179-Driver!$K$179)</f>
        <v>0.19724437998549671</v>
      </c>
      <c r="AK794" s="72">
        <f>(AW794-Driver!$K$180)/(Driver!$L$180-Driver!$K$180)</f>
        <v>0.55136239624733441</v>
      </c>
      <c r="AL794" s="72">
        <f>(AX794-Driver!$K$181)/(Driver!$L$181-Driver!$K$181)</f>
        <v>0.41630304180104982</v>
      </c>
      <c r="AM794" s="72">
        <f>(AY794-Driver!$K$182)/(Driver!$L$182-Driver!$K$182)</f>
        <v>8.8433240968958854E-2</v>
      </c>
      <c r="AN794" s="72">
        <f>(AZ794-Driver!$K$183)/(Driver!$L$183-Driver!$K$183)</f>
        <v>0.55686274509803912</v>
      </c>
      <c r="AO794" s="72"/>
      <c r="AP794" s="72"/>
      <c r="AQ794" s="72">
        <f>(BC794-Driver!$K$188)/(Driver!$L$188-Driver!$K$188)</f>
        <v>0.19945442740971278</v>
      </c>
      <c r="AR794" s="72">
        <f>MIN((BD794-Driver!$K$189)/(Driver!$L$189-Driver!$K$189),100%)</f>
        <v>0.2324758412398977</v>
      </c>
      <c r="AS794" s="72">
        <f>(BE794-Driver!$K$190)/(Driver!$L$190-Driver!$K$190)</f>
        <v>0.82122743755807159</v>
      </c>
      <c r="AT794" s="72">
        <f>(BF794-Driver!$K$191)/(Driver!$L$191-Driver!$K$191)</f>
        <v>8.7727987021504975E-3</v>
      </c>
      <c r="AU794" s="72">
        <f>(BG794-Driver!$K$192)/(Driver!$L$192-Driver!$K$192)</f>
        <v>1.695143884892086E-2</v>
      </c>
      <c r="AV794" s="70">
        <f t="shared" si="467"/>
        <v>4.1514041514041509</v>
      </c>
      <c r="AW794" s="70">
        <f t="shared" si="468"/>
        <v>55.607043703592723</v>
      </c>
      <c r="AX794" s="70">
        <f t="shared" si="469"/>
        <v>4.7467273762094484</v>
      </c>
      <c r="AY794" s="70">
        <f>IFERROR(Driver!$K$19/Data!BH794/Data!BI794*Data!BK794*Data!BL794,"")</f>
        <v>0.10826867287844272</v>
      </c>
      <c r="AZ794" s="70">
        <f t="shared" si="470"/>
        <v>50.752047654504835</v>
      </c>
      <c r="BA794" s="70"/>
      <c r="BB794" s="70"/>
      <c r="BC794" s="70">
        <f t="shared" si="471"/>
        <v>103.45839808210201</v>
      </c>
      <c r="BD794" s="70">
        <f t="shared" si="472"/>
        <v>22.294522911012752</v>
      </c>
      <c r="BE794" s="70">
        <f t="shared" si="473"/>
        <v>0.82125932857104034</v>
      </c>
      <c r="BF794" s="70">
        <f t="shared" si="474"/>
        <v>0.99082598100886543</v>
      </c>
      <c r="BG794" s="70">
        <f t="shared" si="475"/>
        <v>6.418896133093524E-2</v>
      </c>
      <c r="BH794" s="67">
        <f>MAX((CE794-Driver!$F$200)/(Driver!$G$200-Driver!$F$200)*$BI$1,1)</f>
        <v>4.7467273762094484</v>
      </c>
      <c r="BI794" s="67">
        <f>MAX($BI$1*(BY794-Driver!$F$201)/(Driver!$G$201-Driver!$F$201),1)</f>
        <v>8.9873417721518987</v>
      </c>
      <c r="BJ794" s="67">
        <f>(CB794-Driver!$F$206)/(Driver!$G$206-Driver!$F$206)*$BI$1</f>
        <v>2.6984126984126982</v>
      </c>
      <c r="BK794" s="67">
        <f>(CD794-Driver!$F$203)/(Driver!$G$203-Driver!$F$203)*$BI$1</f>
        <v>3.3486238532110093</v>
      </c>
      <c r="BL794" s="67">
        <f>MAX((CR794-Driver!$F$202)/(Driver!$G$202-Driver!$F$202)*$BI$1,1)</f>
        <v>6.8965517241379315</v>
      </c>
      <c r="BM794" s="67">
        <f>MAX((CH794-Driver!$F$204)/(Driver!$G$204-Driver!$F$204)*$BI$1,1)</f>
        <v>6.1538461538461542</v>
      </c>
      <c r="BN794" s="67">
        <f>(CI794-Driver!$F$205)/(Driver!$G$205-Driver!$F$205)*$BI$1</f>
        <v>5.6470588235294112</v>
      </c>
      <c r="BO794" s="67">
        <f>(CK794-Driver!$F$207)/(Driver!$G$207-Driver!$F$207)*$BI$1</f>
        <v>0.8996897621509824</v>
      </c>
      <c r="BP794" s="67">
        <f>(CM794-Driver!$F$208)/(Driver!$G$208-Driver!$F$208)*$BI$1</f>
        <v>1.3666666666666667</v>
      </c>
      <c r="BQ794" s="67">
        <f>(CL794-Driver!$F$209)/(Driver!$G$209-Driver!$F$209)*$BI$1</f>
        <v>1.875</v>
      </c>
      <c r="BR794" s="28" t="s">
        <v>155</v>
      </c>
      <c r="BS794" s="8" t="s">
        <v>182</v>
      </c>
      <c r="BT794" s="9" t="s">
        <v>667</v>
      </c>
      <c r="BU794" s="10">
        <v>182</v>
      </c>
      <c r="BV794" s="9" t="s">
        <v>158</v>
      </c>
      <c r="BW794" s="10">
        <v>182</v>
      </c>
      <c r="BX794" s="10">
        <v>181.5</v>
      </c>
      <c r="BY794" s="10">
        <v>150</v>
      </c>
      <c r="BZ794" s="10">
        <v>161</v>
      </c>
      <c r="CA794" s="10">
        <v>129</v>
      </c>
      <c r="CB794" s="10">
        <v>81</v>
      </c>
      <c r="CC794" s="10">
        <v>110</v>
      </c>
      <c r="CD794" s="10">
        <v>16.7</v>
      </c>
      <c r="CE794" s="10">
        <v>1734</v>
      </c>
      <c r="CF794" s="10">
        <v>1</v>
      </c>
      <c r="CG794" s="10">
        <v>1742</v>
      </c>
      <c r="CH794" s="10">
        <v>245</v>
      </c>
      <c r="CI794" s="10">
        <v>129</v>
      </c>
      <c r="CJ794" s="10">
        <v>41</v>
      </c>
      <c r="CK794" s="10">
        <v>197</v>
      </c>
      <c r="CL794" s="10">
        <v>12</v>
      </c>
      <c r="CM794" s="10">
        <v>123</v>
      </c>
      <c r="CN794" s="10">
        <v>0.28899999999999998</v>
      </c>
      <c r="CO794" s="10">
        <v>131</v>
      </c>
      <c r="CP794" s="10">
        <v>73</v>
      </c>
      <c r="CQ794" s="10">
        <v>66</v>
      </c>
      <c r="CR794" s="10">
        <v>9</v>
      </c>
      <c r="CS794" s="10">
        <v>9.6</v>
      </c>
      <c r="CT794" s="9" t="s">
        <v>231</v>
      </c>
      <c r="CU794" s="9" t="s">
        <v>188</v>
      </c>
      <c r="CV794" s="10"/>
      <c r="CW794" s="10"/>
      <c r="CX794" t="str">
        <f>INDEX('Data_Price '!AG$2:AG$1266,MATCH(Data!$DN794,'Data_Price '!$AT$2:$AT$1266,0))</f>
        <v>Armada Declivity 82 Ti Skis Â· 182 cm</v>
      </c>
      <c r="CY794" t="str">
        <f>INDEX('Data_Price '!AH$2:AH$1266,MATCH(Data!$DN794,'Data_Price '!$AT$2:$AT$1266,0))</f>
        <v>Powder7 Ski Shop</v>
      </c>
      <c r="CZ794">
        <f>INDEX('Data_Price '!AI$2:AI$1266,MATCH(Data!$DN794,'Data_Price '!$AT$2:$AT$1266,0))</f>
        <v>599.95000000000005</v>
      </c>
      <c r="DA794" t="str">
        <f>INDEX('Data_Price '!AJ$2:AJ$1266,MATCH(Data!$DN794,'Data_Price '!$AT$2:$AT$1266,0))</f>
        <v>https://tinyurl.com/y9vb2usv</v>
      </c>
      <c r="DB794" t="str">
        <f>INDEX('Data_Price '!AK$2:AK$1266,MATCH(Data!$DN794,'Data_Price '!$AT$2:$AT$1266,0))</f>
        <v>Armada Declivity 82 TI 2021 Model 182</v>
      </c>
      <c r="DC794" t="str">
        <f>INDEX('Data_Price '!AL$2:AL$1266,MATCH(Data!$DN794,'Data_Price '!$AT$2:$AT$1266,0))</f>
        <v>Elevation Skate Snow</v>
      </c>
      <c r="DD794">
        <f>INDEX('Data_Price '!AM$2:AM$1266,MATCH(Data!$DN794,'Data_Price '!$AT$2:$AT$1266,0))</f>
        <v>599.99</v>
      </c>
      <c r="DE794" t="str">
        <f>INDEX('Data_Price '!AN$2:AN$1266,MATCH(Data!$DN794,'Data_Price '!$AT$2:$AT$1266,0))</f>
        <v>https://tinyurl.com/y9tkghjx</v>
      </c>
      <c r="DF794" t="str">
        <f>INDEX('Data_Price '!AO$2:AO$1266,MATCH(Data!$DN794,'Data_Price '!$AT$2:$AT$1266,0))</f>
        <v>Armada Declivity 108 Ti Skis Â· 2022 Â· 182 cm</v>
      </c>
      <c r="DG794" t="str">
        <f>INDEX('Data_Price '!AP$2:AP$1266,MATCH(Data!$DN794,'Data_Price '!$AT$2:$AT$1266,0))</f>
        <v>Snowcountry.eu</v>
      </c>
      <c r="DH794">
        <f>INDEX('Data_Price '!AQ$2:AQ$1266,MATCH(Data!$DN794,'Data_Price '!$AT$2:$AT$1266,0))</f>
        <v>483.95</v>
      </c>
      <c r="DI794" t="str">
        <f>INDEX('Data_Price '!AR$2:AR$1266,MATCH(Data!$DN794,'Data_Price '!$AT$2:$AT$1266,0))</f>
        <v>https://tinyurl.com/yblug7qv</v>
      </c>
      <c r="DJ794" s="89" t="str">
        <f t="shared" si="476"/>
        <v>https://tinyurl.com/y9vb2usv</v>
      </c>
      <c r="DK794" s="89" t="str">
        <f t="shared" si="477"/>
        <v>https://tinyurl.com/y9tkghjx</v>
      </c>
      <c r="DL794" s="89" t="str">
        <f t="shared" si="478"/>
        <v>https://tinyurl.com/yblug7qv</v>
      </c>
      <c r="DM794" s="219" t="str">
        <f t="shared" si="479"/>
        <v>Declivity 82 Ti</v>
      </c>
      <c r="DN794" s="89" t="str">
        <f t="shared" si="480"/>
        <v xml:space="preserve"> ArmadaDeclivity 82 Ti182 Unisex</v>
      </c>
      <c r="DO794" s="221"/>
    </row>
    <row r="795" spans="2:119" ht="15.6" customHeight="1">
      <c r="B795" s="219" t="b">
        <f t="array" ref="B795">IF(OR(ISERROR(K795:P795)),FALSE,TRUE)</f>
        <v>1</v>
      </c>
      <c r="C795" s="43" t="b">
        <f>OR(BR795=Driver!$G$50,Data!BR1035=Driver!$H$50)</f>
        <v>1</v>
      </c>
      <c r="D795" s="43" t="b">
        <f>OR(BV795=Driver!$G$51,BV795=Driver!$H$51)</f>
        <v>1</v>
      </c>
      <c r="E795" s="43" t="b">
        <f>AND(BX795&gt;Driver!$F$54,BX795&lt;Driver!$G$54)</f>
        <v>1</v>
      </c>
      <c r="F795" s="43" t="b">
        <f>CL795&gt;Driver!$F$56</f>
        <v>1</v>
      </c>
      <c r="G795" s="43" t="b">
        <f>AND(CB795&gt;Driver!$F$55,CB795&lt;Driver!$G$55)</f>
        <v>0</v>
      </c>
      <c r="H795" s="43" t="b">
        <f t="shared" si="444"/>
        <v>0</v>
      </c>
      <c r="I795" s="43">
        <f t="shared" si="445"/>
        <v>0</v>
      </c>
      <c r="J795" s="43" t="b">
        <f t="array" ref="J795">NOT(OR(($H$9:$H$1273=TRUE)*($I$9:$I$1273&gt;0)*($BT$9:$BT$1273=BT795)*($K$9:$K$1273&gt;K795)))</f>
        <v>1</v>
      </c>
      <c r="K795" s="72">
        <f t="shared" si="446"/>
        <v>0.73421200147439536</v>
      </c>
      <c r="L795" s="72">
        <f t="shared" si="447"/>
        <v>0.77188646453890941</v>
      </c>
      <c r="M795" s="72">
        <f t="shared" si="448"/>
        <v>0.69653753840988131</v>
      </c>
      <c r="N795" s="72">
        <f t="shared" si="449"/>
        <v>0.54056716673590954</v>
      </c>
      <c r="O795" s="72">
        <f t="shared" si="450"/>
        <v>0.58710545097573985</v>
      </c>
      <c r="P795" s="72">
        <f t="shared" si="451"/>
        <v>0.96193999751799453</v>
      </c>
      <c r="Q795" s="72"/>
      <c r="R795" s="72"/>
      <c r="S795" s="72">
        <f t="shared" si="452"/>
        <v>0.4824132078632779</v>
      </c>
      <c r="T795" s="72">
        <f t="shared" si="453"/>
        <v>0.55000000000000004</v>
      </c>
      <c r="U795" s="72">
        <f t="shared" si="454"/>
        <v>0.51</v>
      </c>
      <c r="V795" s="72">
        <f t="shared" si="455"/>
        <v>0.49115820020355183</v>
      </c>
      <c r="W795" s="72">
        <f t="shared" si="456"/>
        <v>0.75738867983693947</v>
      </c>
      <c r="X795" s="72">
        <f t="shared" si="457"/>
        <v>0.22811353546109056</v>
      </c>
      <c r="Y795" s="72">
        <f t="shared" si="458"/>
        <v>0.30346246159011869</v>
      </c>
      <c r="Z795" s="72">
        <f t="shared" si="459"/>
        <v>0.45943283326409046</v>
      </c>
      <c r="AA795" s="72">
        <f t="shared" si="460"/>
        <v>0.41289454902426009</v>
      </c>
      <c r="AB795" s="72">
        <f t="shared" si="461"/>
        <v>3.8060002482005417E-2</v>
      </c>
      <c r="AC795" s="72"/>
      <c r="AD795" s="72"/>
      <c r="AE795" s="72">
        <f t="shared" si="462"/>
        <v>0.5175867921367221</v>
      </c>
      <c r="AF795" s="72">
        <f t="shared" si="463"/>
        <v>0.44999999999999996</v>
      </c>
      <c r="AG795" s="72">
        <f t="shared" si="464"/>
        <v>0.49</v>
      </c>
      <c r="AH795" s="72">
        <f t="shared" si="465"/>
        <v>0.50884179979644817</v>
      </c>
      <c r="AI795" s="72">
        <f t="shared" si="466"/>
        <v>0.24261132016306053</v>
      </c>
      <c r="AJ795" s="72">
        <f>(AV795-Driver!$K$179)/(Driver!$L$179-Driver!$K$179)</f>
        <v>2.6105873821609862E-2</v>
      </c>
      <c r="AK795" s="72">
        <f>(AW795-Driver!$K$180)/(Driver!$L$180-Driver!$K$180)</f>
        <v>0.31663147607693815</v>
      </c>
      <c r="AL795" s="72">
        <f>(AX795-Driver!$K$181)/(Driver!$L$181-Driver!$K$181)</f>
        <v>0.56112059697717065</v>
      </c>
      <c r="AM795" s="72">
        <f>(AY795-Driver!$K$182)/(Driver!$L$182-Driver!$K$182)</f>
        <v>3.4490472072786278E-2</v>
      </c>
      <c r="AN795" s="72">
        <f>(AZ795-Driver!$K$183)/(Driver!$L$183-Driver!$K$183)</f>
        <v>0.29227941176470584</v>
      </c>
      <c r="AO795" s="72"/>
      <c r="AP795" s="72"/>
      <c r="AQ795" s="72">
        <f>(BC795-Driver!$K$188)/(Driver!$L$188-Driver!$K$188)</f>
        <v>0.10241320786327793</v>
      </c>
      <c r="AR795" s="72">
        <f>MIN((BD795-Driver!$K$189)/(Driver!$L$189-Driver!$K$189),100%)</f>
        <v>1</v>
      </c>
      <c r="AS795" s="72">
        <f>(BE795-Driver!$K$190)/(Driver!$L$190-Driver!$K$190)</f>
        <v>1</v>
      </c>
      <c r="AT795" s="72">
        <f>(BF795-Driver!$K$191)/(Driver!$L$191-Driver!$K$191)</f>
        <v>1.1582002035518861E-3</v>
      </c>
      <c r="AU795" s="72">
        <f>(BG795-Driver!$K$192)/(Driver!$L$192-Driver!$K$192)</f>
        <v>7.3886798369394791E-3</v>
      </c>
      <c r="AV795" s="70">
        <f t="shared" si="467"/>
        <v>0.5494505494505495</v>
      </c>
      <c r="AW795" s="70">
        <f t="shared" si="468"/>
        <v>32.730435605447177</v>
      </c>
      <c r="AX795" s="70">
        <f t="shared" si="469"/>
        <v>6.0500853727945358</v>
      </c>
      <c r="AY795" s="70">
        <f>IFERROR(Driver!$K$19/Data!BH795/Data!BI795*Data!BK795*Data!BL795,"")</f>
        <v>4.2226628780712948E-2</v>
      </c>
      <c r="AZ795" s="70">
        <f t="shared" si="470"/>
        <v>26.638123603871925</v>
      </c>
      <c r="BA795" s="70"/>
      <c r="BB795" s="70"/>
      <c r="BC795" s="70">
        <f t="shared" si="471"/>
        <v>53.122442883752704</v>
      </c>
      <c r="BD795" s="70">
        <f t="shared" si="472"/>
        <v>337.9510287761421</v>
      </c>
      <c r="BE795" s="70">
        <f t="shared" si="473"/>
        <v>1</v>
      </c>
      <c r="BF795" s="70">
        <f t="shared" si="474"/>
        <v>0.13081057617424385</v>
      </c>
      <c r="BG795" s="70">
        <f t="shared" si="475"/>
        <v>2.7978255330824712E-2</v>
      </c>
      <c r="BH795" s="67">
        <f>MAX((CE795-Driver!$F$200)/(Driver!$G$200-Driver!$F$200)*$BI$1,1)</f>
        <v>6.0500853727945358</v>
      </c>
      <c r="BI795" s="67">
        <f>MAX($BI$1*(BY795-Driver!$F$201)/(Driver!$G$201-Driver!$F$201),1)</f>
        <v>8.5443037974683538</v>
      </c>
      <c r="BJ795" s="67">
        <f>(CB795-Driver!$F$206)/(Driver!$G$206-Driver!$F$206)*$BI$1</f>
        <v>0.47619047619047616</v>
      </c>
      <c r="BK795" s="67">
        <f>(CD795-Driver!$F$203)/(Driver!$G$203-Driver!$F$203)*$BI$1</f>
        <v>1.3761467889908259</v>
      </c>
      <c r="BL795" s="67">
        <f>MAX((CR795-Driver!$F$202)/(Driver!$G$202-Driver!$F$202)*$BI$1,1)</f>
        <v>7.931034482758621</v>
      </c>
      <c r="BM795" s="67">
        <f>MAX((CH795-Driver!$F$204)/(Driver!$G$204-Driver!$F$204)*$BI$1,1)</f>
        <v>4.6153846153846159</v>
      </c>
      <c r="BN795" s="67">
        <f>(CI795-Driver!$F$205)/(Driver!$G$205-Driver!$F$205)*$BI$1</f>
        <v>3.1176470588235294</v>
      </c>
      <c r="BO795" s="67">
        <f>(CK795-Driver!$F$207)/(Driver!$G$207-Driver!$F$207)*$BI$1</f>
        <v>0.48603929679420893</v>
      </c>
      <c r="BP795" s="67">
        <f>(CM795-Driver!$F$208)/(Driver!$G$208-Driver!$F$208)*$BI$1</f>
        <v>0.77777777777777779</v>
      </c>
      <c r="BQ795" s="67">
        <f>(CL795-Driver!$F$209)/(Driver!$G$209-Driver!$F$209)*$BI$1</f>
        <v>0.78125</v>
      </c>
      <c r="BR795" s="28" t="s">
        <v>155</v>
      </c>
      <c r="BS795" s="8" t="s">
        <v>172</v>
      </c>
      <c r="BT795" s="9" t="s">
        <v>746</v>
      </c>
      <c r="BU795" s="10">
        <v>167</v>
      </c>
      <c r="BV795" s="9" t="s">
        <v>158</v>
      </c>
      <c r="BW795" s="10">
        <v>167</v>
      </c>
      <c r="BX795" s="10">
        <v>165.5</v>
      </c>
      <c r="BY795" s="10">
        <v>143</v>
      </c>
      <c r="BZ795" s="10">
        <v>151</v>
      </c>
      <c r="CA795" s="10">
        <v>122</v>
      </c>
      <c r="CB795" s="10">
        <v>67</v>
      </c>
      <c r="CC795" s="10">
        <v>103</v>
      </c>
      <c r="CD795" s="10">
        <v>12.4</v>
      </c>
      <c r="CE795" s="10">
        <v>1963</v>
      </c>
      <c r="CF795" s="10">
        <v>0.71</v>
      </c>
      <c r="CG795" s="10">
        <v>1399</v>
      </c>
      <c r="CH795" s="10">
        <v>209</v>
      </c>
      <c r="CI795" s="10">
        <v>86</v>
      </c>
      <c r="CJ795" s="10">
        <v>40</v>
      </c>
      <c r="CK795" s="10">
        <v>157</v>
      </c>
      <c r="CL795" s="10">
        <v>5</v>
      </c>
      <c r="CM795" s="10">
        <v>70</v>
      </c>
      <c r="CN795" s="10">
        <v>0.129</v>
      </c>
      <c r="CO795" s="10">
        <v>76</v>
      </c>
      <c r="CP795" s="10">
        <v>66</v>
      </c>
      <c r="CQ795" s="10">
        <v>81</v>
      </c>
      <c r="CR795" s="10">
        <v>12</v>
      </c>
      <c r="CS795" s="10">
        <v>10.5</v>
      </c>
      <c r="CT795" s="9" t="s">
        <v>349</v>
      </c>
      <c r="CU795" s="10"/>
      <c r="CV795" s="10"/>
      <c r="CW795" s="10"/>
      <c r="CX795" t="str">
        <f>INDEX('Data_Price '!AG$2:AG$1266,MATCH(Data!$DN795,'Data_Price '!$AT$2:$AT$1266,0))</f>
        <v>Rossignol Hero Elite St Ti + SPX 14 Konect 21/22</v>
      </c>
      <c r="CY795" t="str">
        <f>INDEX('Data_Price '!AH$2:AH$1266,MATCH(Data!$DN795,'Data_Price '!$AT$2:$AT$1266,0))</f>
        <v>Rossignol US</v>
      </c>
      <c r="CZ795">
        <f>INDEX('Data_Price '!AI$2:AI$1266,MATCH(Data!$DN795,'Data_Price '!$AT$2:$AT$1266,0))</f>
        <v>1099.95</v>
      </c>
      <c r="DA795" t="str">
        <f>INDEX('Data_Price '!AJ$2:AJ$1266,MATCH(Data!$DN795,'Data_Price '!$AT$2:$AT$1266,0))</f>
        <v>https://tinyurl.com/y7rwqr6h</v>
      </c>
      <c r="DB795" t="str">
        <f>INDEX('Data_Price '!AK$2:AK$1266,MATCH(Data!$DN795,'Data_Price '!$AT$2:$AT$1266,0))</f>
        <v>Rossignol Hero Elite LT Ti + SPX 14 Konect 21/22</v>
      </c>
      <c r="DC795" t="str">
        <f>INDEX('Data_Price '!AL$2:AL$1266,MATCH(Data!$DN795,'Data_Price '!$AT$2:$AT$1266,0))</f>
        <v>Snowcountry.eu</v>
      </c>
      <c r="DD795">
        <f>INDEX('Data_Price '!AM$2:AM$1266,MATCH(Data!$DN795,'Data_Price '!$AT$2:$AT$1266,0))</f>
        <v>506.08</v>
      </c>
      <c r="DE795" t="str">
        <f>INDEX('Data_Price '!AN$2:AN$1266,MATCH(Data!$DN795,'Data_Price '!$AT$2:$AT$1266,0))</f>
        <v>https://tinyurl.com/yaeo6w8g</v>
      </c>
      <c r="DF795" t="str">
        <f>INDEX('Data_Price '!AO$2:AO$1266,MATCH(Data!$DN795,'Data_Price '!$AT$2:$AT$1266,0))</f>
        <v>Rossignol Hero Elite St Ti 167cm 13m Radius Spx 12 Binding</v>
      </c>
      <c r="DG795" t="str">
        <f>INDEX('Data_Price '!AP$2:AP$1266,MATCH(Data!$DN795,'Data_Price '!$AT$2:$AT$1266,0))</f>
        <v>eBay</v>
      </c>
      <c r="DH795">
        <f>INDEX('Data_Price '!AQ$2:AQ$1266,MATCH(Data!$DN795,'Data_Price '!$AT$2:$AT$1266,0))</f>
        <v>575</v>
      </c>
      <c r="DI795" t="str">
        <f>INDEX('Data_Price '!AR$2:AR$1266,MATCH(Data!$DN795,'Data_Price '!$AT$2:$AT$1266,0))</f>
        <v>https://tinyurl.com/ybtahdka</v>
      </c>
      <c r="DJ795" s="89" t="str">
        <f t="shared" si="476"/>
        <v>https://tinyurl.com/y7rwqr6h</v>
      </c>
      <c r="DK795" s="89" t="str">
        <f t="shared" si="477"/>
        <v>https://tinyurl.com/yaeo6w8g</v>
      </c>
      <c r="DL795" s="89" t="str">
        <f t="shared" si="478"/>
        <v>https://tinyurl.com/ybtahdka</v>
      </c>
      <c r="DM795" s="219" t="str">
        <f t="shared" si="479"/>
        <v>Hero Elite Short Turn Ti</v>
      </c>
      <c r="DN795" s="89" t="str">
        <f t="shared" si="480"/>
        <v xml:space="preserve"> RossignolHero Elite Short Turn Ti167 Unisex</v>
      </c>
      <c r="DO795" s="221"/>
    </row>
    <row r="796" spans="2:119" ht="15.6" customHeight="1">
      <c r="B796" s="219" t="b">
        <f t="array" ref="B796">IF(OR(ISERROR(K796:P796)),FALSE,TRUE)</f>
        <v>1</v>
      </c>
      <c r="C796" s="43" t="b">
        <f>OR(BR796=Driver!$G$50,Data!BR1135=Driver!$H$50)</f>
        <v>1</v>
      </c>
      <c r="D796" s="43" t="b">
        <f>OR(BV796=Driver!$G$51,BV796=Driver!$H$51)</f>
        <v>1</v>
      </c>
      <c r="E796" s="43" t="b">
        <f>AND(BX796&gt;Driver!$F$54,BX796&lt;Driver!$G$54)</f>
        <v>1</v>
      </c>
      <c r="F796" s="43" t="b">
        <f>CL796&gt;Driver!$F$56</f>
        <v>1</v>
      </c>
      <c r="G796" s="43" t="b">
        <f>AND(CB796&gt;Driver!$F$55,CB796&lt;Driver!$G$55)</f>
        <v>0</v>
      </c>
      <c r="H796" s="43" t="b">
        <f t="shared" si="444"/>
        <v>0</v>
      </c>
      <c r="I796" s="43">
        <f t="shared" si="445"/>
        <v>0</v>
      </c>
      <c r="J796" s="43" t="b">
        <f t="array" ref="J796">NOT(OR(($H$9:$H$1273=TRUE)*($I$9:$I$1273&gt;0)*($BT$9:$BT$1273=BT796)*($K$9:$K$1273&gt;K796)))</f>
        <v>1</v>
      </c>
      <c r="K796" s="72">
        <f t="shared" si="446"/>
        <v>0.73559649574150532</v>
      </c>
      <c r="L796" s="72">
        <f t="shared" si="447"/>
        <v>0.76108959079787319</v>
      </c>
      <c r="M796" s="72">
        <f t="shared" si="448"/>
        <v>0.71010340068513722</v>
      </c>
      <c r="N796" s="72">
        <f t="shared" si="449"/>
        <v>0.72838731471542006</v>
      </c>
      <c r="O796" s="72">
        <f t="shared" si="450"/>
        <v>0.6008897525670952</v>
      </c>
      <c r="P796" s="72">
        <f t="shared" si="451"/>
        <v>0.8010331347728965</v>
      </c>
      <c r="Q796" s="72"/>
      <c r="R796" s="72"/>
      <c r="S796" s="72">
        <f t="shared" si="452"/>
        <v>0.60689603791764035</v>
      </c>
      <c r="T796" s="72">
        <f t="shared" si="453"/>
        <v>0.55000000000000004</v>
      </c>
      <c r="U796" s="72">
        <f t="shared" si="454"/>
        <v>0.51</v>
      </c>
      <c r="V796" s="72">
        <f t="shared" si="455"/>
        <v>0.49058297250367233</v>
      </c>
      <c r="W796" s="72">
        <f t="shared" si="456"/>
        <v>0.76631922495533877</v>
      </c>
      <c r="X796" s="72">
        <f t="shared" si="457"/>
        <v>0.23891040920212675</v>
      </c>
      <c r="Y796" s="72">
        <f t="shared" si="458"/>
        <v>0.28989659931486272</v>
      </c>
      <c r="Z796" s="72">
        <f t="shared" si="459"/>
        <v>0.27161268528457994</v>
      </c>
      <c r="AA796" s="72">
        <f t="shared" si="460"/>
        <v>0.3991102474329048</v>
      </c>
      <c r="AB796" s="72">
        <f t="shared" si="461"/>
        <v>0.1989668652271035</v>
      </c>
      <c r="AC796" s="72"/>
      <c r="AD796" s="72"/>
      <c r="AE796" s="72">
        <f t="shared" si="462"/>
        <v>0.39310396208235965</v>
      </c>
      <c r="AF796" s="72">
        <f t="shared" si="463"/>
        <v>0.44999999999999996</v>
      </c>
      <c r="AG796" s="72">
        <f t="shared" si="464"/>
        <v>0.49</v>
      </c>
      <c r="AH796" s="72">
        <f t="shared" si="465"/>
        <v>0.50941702749632767</v>
      </c>
      <c r="AI796" s="72">
        <f t="shared" si="466"/>
        <v>0.23368077504466125</v>
      </c>
      <c r="AJ796" s="72">
        <f>(AV796-Driver!$K$179)/(Driver!$L$179-Driver!$K$179)</f>
        <v>1.5309000080573683E-2</v>
      </c>
      <c r="AK796" s="72">
        <f>(AW796-Driver!$K$180)/(Driver!$L$180-Driver!$K$180)</f>
        <v>0.44993309594871211</v>
      </c>
      <c r="AL796" s="72">
        <f>(AX796-Driver!$K$181)/(Driver!$L$181-Driver!$K$181)</f>
        <v>0.37330044899766013</v>
      </c>
      <c r="AM796" s="72">
        <f>(AY796-Driver!$K$182)/(Driver!$L$182-Driver!$K$182)</f>
        <v>4.8274773664141561E-2</v>
      </c>
      <c r="AN796" s="72">
        <f>(AZ796-Driver!$K$183)/(Driver!$L$183-Driver!$K$183)</f>
        <v>0.45318627450980392</v>
      </c>
      <c r="AO796" s="72"/>
      <c r="AP796" s="72"/>
      <c r="AQ796" s="72">
        <f>(BC796-Driver!$K$188)/(Driver!$L$188-Driver!$K$188)</f>
        <v>0.22689603791764038</v>
      </c>
      <c r="AR796" s="72">
        <f>MIN((BD796-Driver!$K$189)/(Driver!$L$189-Driver!$K$189),100%)</f>
        <v>1</v>
      </c>
      <c r="AS796" s="72">
        <f>(BE796-Driver!$K$190)/(Driver!$L$190-Driver!$K$190)</f>
        <v>1</v>
      </c>
      <c r="AT796" s="72">
        <f>(BF796-Driver!$K$191)/(Driver!$L$191-Driver!$K$191)</f>
        <v>5.8297250367231725E-4</v>
      </c>
      <c r="AU796" s="72">
        <f>(BG796-Driver!$K$192)/(Driver!$L$192-Driver!$K$192)</f>
        <v>1.6319224955338739E-2</v>
      </c>
      <c r="AV796" s="70">
        <f t="shared" si="467"/>
        <v>0.32220865554198885</v>
      </c>
      <c r="AW796" s="70">
        <f t="shared" si="468"/>
        <v>45.721859634462419</v>
      </c>
      <c r="AX796" s="70">
        <f t="shared" si="469"/>
        <v>4.3597040409789409</v>
      </c>
      <c r="AY796" s="70">
        <f>IFERROR(Driver!$K$19/Data!BH796/Data!BI796*Data!BK796*Data!BL796,"")</f>
        <v>5.9102726767171411E-2</v>
      </c>
      <c r="AZ796" s="70">
        <f t="shared" si="470"/>
        <v>41.303052866716307</v>
      </c>
      <c r="BA796" s="70"/>
      <c r="BB796" s="70"/>
      <c r="BC796" s="70">
        <f t="shared" si="471"/>
        <v>117.69255222354531</v>
      </c>
      <c r="BD796" s="70">
        <f t="shared" si="472"/>
        <v>227.51988635076964</v>
      </c>
      <c r="BE796" s="70">
        <f t="shared" si="473"/>
        <v>1</v>
      </c>
      <c r="BF796" s="70">
        <f t="shared" si="474"/>
        <v>6.5842648676154358E-2</v>
      </c>
      <c r="BG796" s="70">
        <f t="shared" si="475"/>
        <v>6.1794996220970184E-2</v>
      </c>
      <c r="BH796" s="67">
        <f>MAX((CE796-Driver!$F$200)/(Driver!$G$200-Driver!$F$200)*$BI$1,1)</f>
        <v>4.3597040409789409</v>
      </c>
      <c r="BI796" s="67">
        <f>MAX($BI$1*(BY796-Driver!$F$201)/(Driver!$G$201-Driver!$F$201),1)</f>
        <v>8.1645569620253173</v>
      </c>
      <c r="BJ796" s="67">
        <f>(CB796-Driver!$F$206)/(Driver!$G$206-Driver!$F$206)*$BI$1</f>
        <v>0.31746031746031744</v>
      </c>
      <c r="BK796" s="67">
        <f>(CD796-Driver!$F$203)/(Driver!$G$203-Driver!$F$203)*$BI$1</f>
        <v>1.6055045871559634</v>
      </c>
      <c r="BL796" s="67">
        <f>MAX((CR796-Driver!$F$202)/(Driver!$G$202-Driver!$F$202)*$BI$1,1)</f>
        <v>6.5517241379310338</v>
      </c>
      <c r="BM796" s="67">
        <f>MAX((CH796-Driver!$F$204)/(Driver!$G$204-Driver!$F$204)*$BI$1,1)</f>
        <v>4.0598290598290596</v>
      </c>
      <c r="BN796" s="67">
        <f>(CI796-Driver!$F$205)/(Driver!$G$205-Driver!$F$205)*$BI$1</f>
        <v>5.0588235294117645</v>
      </c>
      <c r="BO796" s="67">
        <f>(CK796-Driver!$F$207)/(Driver!$G$207-Driver!$F$207)*$BI$1</f>
        <v>0.47569803516028958</v>
      </c>
      <c r="BP796" s="67">
        <f>(CM796-Driver!$F$208)/(Driver!$G$208-Driver!$F$208)*$BI$1</f>
        <v>0.70000000000000007</v>
      </c>
      <c r="BQ796" s="67">
        <f>(CL796-Driver!$F$209)/(Driver!$G$209-Driver!$F$209)*$BI$1</f>
        <v>1.09375</v>
      </c>
      <c r="BR796" s="28" t="s">
        <v>155</v>
      </c>
      <c r="BS796" s="8" t="s">
        <v>213</v>
      </c>
      <c r="BT796" s="9" t="s">
        <v>760</v>
      </c>
      <c r="BU796" s="10">
        <v>160</v>
      </c>
      <c r="BV796" s="9" t="s">
        <v>158</v>
      </c>
      <c r="BW796" s="10">
        <v>160</v>
      </c>
      <c r="BX796" s="10">
        <v>159.1</v>
      </c>
      <c r="BY796" s="10">
        <v>137</v>
      </c>
      <c r="BZ796" s="10">
        <v>147</v>
      </c>
      <c r="CA796" s="10">
        <v>119</v>
      </c>
      <c r="CB796" s="10">
        <v>66</v>
      </c>
      <c r="CC796" s="10">
        <v>97</v>
      </c>
      <c r="CD796" s="10">
        <v>12.9</v>
      </c>
      <c r="CE796" s="10">
        <v>1666</v>
      </c>
      <c r="CF796" s="10">
        <v>0.78</v>
      </c>
      <c r="CG796" s="10">
        <v>1292</v>
      </c>
      <c r="CH796" s="10">
        <v>196</v>
      </c>
      <c r="CI796" s="10">
        <v>119</v>
      </c>
      <c r="CJ796" s="10">
        <v>40</v>
      </c>
      <c r="CK796" s="10">
        <v>156</v>
      </c>
      <c r="CL796" s="10">
        <v>7</v>
      </c>
      <c r="CM796" s="10">
        <v>63</v>
      </c>
      <c r="CN796" s="10">
        <v>0.16200000000000001</v>
      </c>
      <c r="CO796" s="10">
        <v>67</v>
      </c>
      <c r="CP796" s="10">
        <v>50</v>
      </c>
      <c r="CQ796" s="10">
        <v>89</v>
      </c>
      <c r="CR796" s="10">
        <v>8</v>
      </c>
      <c r="CS796" s="10">
        <v>12.6</v>
      </c>
      <c r="CT796" s="9" t="s">
        <v>349</v>
      </c>
      <c r="CU796" s="10"/>
      <c r="CV796" s="10"/>
      <c r="CW796" s="10"/>
      <c r="CX796" t="e">
        <f>INDEX('Data_Price '!AG$2:AG$1266,MATCH(Data!$DN796,'Data_Price '!$AT$2:$AT$1266,0))</f>
        <v>#N/A</v>
      </c>
      <c r="CY796" t="e">
        <f>INDEX('Data_Price '!AH$2:AH$1266,MATCH(Data!$DN796,'Data_Price '!$AT$2:$AT$1266,0))</f>
        <v>#N/A</v>
      </c>
      <c r="CZ796" t="e">
        <f>INDEX('Data_Price '!AI$2:AI$1266,MATCH(Data!$DN796,'Data_Price '!$AT$2:$AT$1266,0))</f>
        <v>#N/A</v>
      </c>
      <c r="DA796" t="e">
        <f>INDEX('Data_Price '!AJ$2:AJ$1266,MATCH(Data!$DN796,'Data_Price '!$AT$2:$AT$1266,0))</f>
        <v>#N/A</v>
      </c>
      <c r="DB796" t="e">
        <f>INDEX('Data_Price '!AK$2:AK$1266,MATCH(Data!$DN796,'Data_Price '!$AT$2:$AT$1266,0))</f>
        <v>#N/A</v>
      </c>
      <c r="DC796" t="e">
        <f>INDEX('Data_Price '!AL$2:AL$1266,MATCH(Data!$DN796,'Data_Price '!$AT$2:$AT$1266,0))</f>
        <v>#N/A</v>
      </c>
      <c r="DD796" t="e">
        <f>INDEX('Data_Price '!AM$2:AM$1266,MATCH(Data!$DN796,'Data_Price '!$AT$2:$AT$1266,0))</f>
        <v>#N/A</v>
      </c>
      <c r="DE796" t="e">
        <f>INDEX('Data_Price '!AN$2:AN$1266,MATCH(Data!$DN796,'Data_Price '!$AT$2:$AT$1266,0))</f>
        <v>#N/A</v>
      </c>
      <c r="DF796" t="e">
        <f>INDEX('Data_Price '!AO$2:AO$1266,MATCH(Data!$DN796,'Data_Price '!$AT$2:$AT$1266,0))</f>
        <v>#N/A</v>
      </c>
      <c r="DG796" t="e">
        <f>INDEX('Data_Price '!AP$2:AP$1266,MATCH(Data!$DN796,'Data_Price '!$AT$2:$AT$1266,0))</f>
        <v>#N/A</v>
      </c>
      <c r="DH796" t="e">
        <f>INDEX('Data_Price '!AQ$2:AQ$1266,MATCH(Data!$DN796,'Data_Price '!$AT$2:$AT$1266,0))</f>
        <v>#N/A</v>
      </c>
      <c r="DI796" t="e">
        <f>INDEX('Data_Price '!AR$2:AR$1266,MATCH(Data!$DN796,'Data_Price '!$AT$2:$AT$1266,0))</f>
        <v>#N/A</v>
      </c>
      <c r="DJ796" s="89" t="e">
        <f t="shared" si="476"/>
        <v>#N/A</v>
      </c>
      <c r="DK796" s="89" t="e">
        <f t="shared" si="477"/>
        <v>#N/A</v>
      </c>
      <c r="DL796" s="89" t="e">
        <f t="shared" si="478"/>
        <v>#N/A</v>
      </c>
      <c r="DM796" s="219" t="str">
        <f t="shared" si="479"/>
        <v>Laser SL</v>
      </c>
      <c r="DN796" s="89" t="str">
        <f t="shared" si="480"/>
        <v xml:space="preserve"> StöckliLaser SL160 Unisex</v>
      </c>
      <c r="DO796" s="221"/>
    </row>
    <row r="797" spans="2:119" ht="15.6" customHeight="1">
      <c r="B797" s="219" t="b">
        <f t="array" ref="B797">IF(OR(ISERROR(K797:P797)),FALSE,TRUE)</f>
        <v>1</v>
      </c>
      <c r="C797" s="43" t="b">
        <f>OR(BR797=Driver!$G$50,Data!BR696=Driver!$H$50)</f>
        <v>1</v>
      </c>
      <c r="D797" s="43" t="b">
        <f>OR(BV797=Driver!$G$51,BV797=Driver!$H$51)</f>
        <v>1</v>
      </c>
      <c r="E797" s="43" t="b">
        <f>AND(BX797&gt;Driver!$F$54,BX797&lt;Driver!$G$54)</f>
        <v>0</v>
      </c>
      <c r="F797" s="43" t="b">
        <f>CL797&gt;Driver!$F$56</f>
        <v>1</v>
      </c>
      <c r="G797" s="43" t="b">
        <f>AND(CB797&gt;Driver!$F$55,CB797&lt;Driver!$G$55)</f>
        <v>1</v>
      </c>
      <c r="H797" s="43" t="b">
        <f t="shared" si="444"/>
        <v>0</v>
      </c>
      <c r="I797" s="43">
        <f t="shared" si="445"/>
        <v>0</v>
      </c>
      <c r="J797" s="43" t="b">
        <f t="array" ref="J797">NOT(OR(($H$9:$H$1273=TRUE)*($I$9:$I$1273&gt;0)*($BT$9:$BT$1273=BT797)*($K$9:$K$1273&gt;K797)))</f>
        <v>1</v>
      </c>
      <c r="K797" s="72">
        <f t="shared" si="446"/>
        <v>0.72321696955493808</v>
      </c>
      <c r="L797" s="72">
        <f t="shared" si="447"/>
        <v>0.82782347019640612</v>
      </c>
      <c r="M797" s="72">
        <f t="shared" si="448"/>
        <v>0.61861046891347016</v>
      </c>
      <c r="N797" s="72">
        <f t="shared" si="449"/>
        <v>0.33251050449598041</v>
      </c>
      <c r="O797" s="72">
        <f t="shared" si="450"/>
        <v>0.61910149296172934</v>
      </c>
      <c r="P797" s="72">
        <f t="shared" si="451"/>
        <v>0.9042194092827005</v>
      </c>
      <c r="Q797" s="72"/>
      <c r="R797" s="72"/>
      <c r="S797" s="72">
        <f t="shared" si="452"/>
        <v>0.48269950974529963</v>
      </c>
      <c r="T797" s="72">
        <f t="shared" si="453"/>
        <v>0.51150913714212798</v>
      </c>
      <c r="U797" s="72">
        <f t="shared" si="454"/>
        <v>0.50297216528107425</v>
      </c>
      <c r="V797" s="72">
        <f t="shared" si="455"/>
        <v>0.62921996380675971</v>
      </c>
      <c r="W797" s="72">
        <f t="shared" si="456"/>
        <v>0.78772321428571423</v>
      </c>
      <c r="X797" s="72">
        <f t="shared" si="457"/>
        <v>0.17217652980359388</v>
      </c>
      <c r="Y797" s="72">
        <f t="shared" si="458"/>
        <v>0.3813895310865299</v>
      </c>
      <c r="Z797" s="72">
        <f t="shared" si="459"/>
        <v>0.66748949550401959</v>
      </c>
      <c r="AA797" s="72">
        <f t="shared" si="460"/>
        <v>0.38089850703827066</v>
      </c>
      <c r="AB797" s="72">
        <f t="shared" si="461"/>
        <v>9.5780590717299552E-2</v>
      </c>
      <c r="AC797" s="72"/>
      <c r="AD797" s="72"/>
      <c r="AE797" s="72">
        <f t="shared" si="462"/>
        <v>0.51730049025470037</v>
      </c>
      <c r="AF797" s="72">
        <f t="shared" si="463"/>
        <v>0.48849086285787202</v>
      </c>
      <c r="AG797" s="72">
        <f t="shared" si="464"/>
        <v>0.49702783471892575</v>
      </c>
      <c r="AH797" s="72">
        <f t="shared" si="465"/>
        <v>0.37078003619324024</v>
      </c>
      <c r="AI797" s="72">
        <f t="shared" si="466"/>
        <v>0.21227678571428571</v>
      </c>
      <c r="AJ797" s="72">
        <f>(AV797-Driver!$K$179)/(Driver!$L$179-Driver!$K$179)</f>
        <v>0.42639593908629431</v>
      </c>
      <c r="AK797" s="72">
        <f>(AW797-Driver!$K$180)/(Driver!$L$180-Driver!$K$180)</f>
        <v>0.39022450978627798</v>
      </c>
      <c r="AL797" s="72">
        <f>(AX797-Driver!$K$181)/(Driver!$L$181-Driver!$K$181)</f>
        <v>0.76917725921709978</v>
      </c>
      <c r="AM797" s="72">
        <f>(AY797-Driver!$K$182)/(Driver!$L$182-Driver!$K$182)</f>
        <v>6.6486514058775717E-2</v>
      </c>
      <c r="AN797" s="72">
        <f>(AZ797-Driver!$K$183)/(Driver!$L$183-Driver!$K$183)</f>
        <v>0.35</v>
      </c>
      <c r="AO797" s="72"/>
      <c r="AP797" s="72"/>
      <c r="AQ797" s="72">
        <f>(BC797-Driver!$K$188)/(Driver!$L$188-Driver!$K$188)</f>
        <v>0.10269950974529961</v>
      </c>
      <c r="AR797" s="72">
        <f>MIN((BD797-Driver!$K$189)/(Driver!$L$189-Driver!$K$189),100%)</f>
        <v>6.1509137142128002E-2</v>
      </c>
      <c r="AS797" s="72">
        <f>(BE797-Driver!$K$190)/(Driver!$L$190-Driver!$K$190)</f>
        <v>1.2972165281074271E-2</v>
      </c>
      <c r="AT797" s="72">
        <f>(BF797-Driver!$K$191)/(Driver!$L$191-Driver!$K$191)</f>
        <v>0.13921996380675977</v>
      </c>
      <c r="AU797" s="72">
        <f>(BG797-Driver!$K$192)/(Driver!$L$192-Driver!$K$192)</f>
        <v>3.7723214285714284E-2</v>
      </c>
      <c r="AV797" s="70">
        <f t="shared" si="467"/>
        <v>8.9743589743589727</v>
      </c>
      <c r="AW797" s="70">
        <f t="shared" si="468"/>
        <v>39.902728841038169</v>
      </c>
      <c r="AX797" s="70">
        <f t="shared" si="469"/>
        <v>7.9225953329538985</v>
      </c>
      <c r="AY797" s="70">
        <f>IFERROR(Driver!$K$19/Data!BH797/Data!BI797*Data!BK797*Data!BL797,"")</f>
        <v>8.1399330869082354E-2</v>
      </c>
      <c r="AZ797" s="70">
        <f t="shared" si="470"/>
        <v>31.898734177215189</v>
      </c>
      <c r="BA797" s="70"/>
      <c r="BB797" s="70"/>
      <c r="BC797" s="70">
        <f t="shared" si="471"/>
        <v>53.270949660295742</v>
      </c>
      <c r="BD797" s="70">
        <f t="shared" si="472"/>
        <v>7.1642725334341826</v>
      </c>
      <c r="BE797" s="70">
        <f t="shared" si="473"/>
        <v>1.3148239937316633E-2</v>
      </c>
      <c r="BF797" s="70">
        <f t="shared" si="474"/>
        <v>15.723916836372553</v>
      </c>
      <c r="BG797" s="70">
        <f t="shared" si="475"/>
        <v>0.14284415409482759</v>
      </c>
      <c r="BH797" s="67">
        <f>MAX((CE797-Driver!$F$200)/(Driver!$G$200-Driver!$F$200)*$BI$1,1)</f>
        <v>7.9225953329538985</v>
      </c>
      <c r="BI797" s="67">
        <f>MAX($BI$1*(BY797-Driver!$F$201)/(Driver!$G$201-Driver!$F$201),1)</f>
        <v>6.4556962025316453</v>
      </c>
      <c r="BJ797" s="67">
        <f>(CB797-Driver!$F$206)/(Driver!$G$206-Driver!$F$206)*$BI$1</f>
        <v>6.6666666666666661</v>
      </c>
      <c r="BK797" s="67">
        <f>(CD797-Driver!$F$203)/(Driver!$G$203-Driver!$F$203)*$BI$1</f>
        <v>4.3119266055045884</v>
      </c>
      <c r="BL797" s="67">
        <f>MAX((CR797-Driver!$F$202)/(Driver!$G$202-Driver!$F$202)*$BI$1,1)</f>
        <v>4.8275862068965516</v>
      </c>
      <c r="BM797" s="67">
        <f>MAX((CH797-Driver!$F$204)/(Driver!$G$204-Driver!$F$204)*$BI$1,1)</f>
        <v>5.3846153846153841</v>
      </c>
      <c r="BN797" s="67">
        <f>(CI797-Driver!$F$205)/(Driver!$G$205-Driver!$F$205)*$BI$1</f>
        <v>4.9411764705882355</v>
      </c>
      <c r="BO797" s="67">
        <f>(CK797-Driver!$F$207)/(Driver!$G$207-Driver!$F$207)*$BI$1</f>
        <v>3.4539813857290591</v>
      </c>
      <c r="BP797" s="67">
        <f>(CM797-Driver!$F$208)/(Driver!$G$208-Driver!$F$208)*$BI$1</f>
        <v>2.9444444444444446</v>
      </c>
      <c r="BQ797" s="67">
        <f>(CL797-Driver!$F$209)/(Driver!$G$209-Driver!$F$209)*$BI$1</f>
        <v>6.09375</v>
      </c>
      <c r="BR797" s="28" t="s">
        <v>155</v>
      </c>
      <c r="BS797" s="8" t="s">
        <v>561</v>
      </c>
      <c r="BT797" s="9" t="s">
        <v>761</v>
      </c>
      <c r="BU797" s="10">
        <v>183</v>
      </c>
      <c r="BV797" s="9" t="s">
        <v>158</v>
      </c>
      <c r="BW797" s="10">
        <v>183</v>
      </c>
      <c r="BX797" s="10">
        <v>180.8</v>
      </c>
      <c r="BY797" s="10">
        <v>110</v>
      </c>
      <c r="BZ797" s="10">
        <v>145</v>
      </c>
      <c r="CA797" s="10">
        <v>134</v>
      </c>
      <c r="CB797" s="10">
        <v>106</v>
      </c>
      <c r="CC797" s="10">
        <v>124</v>
      </c>
      <c r="CD797" s="10">
        <v>18.8</v>
      </c>
      <c r="CE797" s="10">
        <v>2292</v>
      </c>
      <c r="CF797" s="10">
        <v>0.91</v>
      </c>
      <c r="CG797" s="10">
        <v>2087</v>
      </c>
      <c r="CH797" s="10">
        <v>227</v>
      </c>
      <c r="CI797" s="10">
        <v>117</v>
      </c>
      <c r="CJ797" s="10">
        <v>59</v>
      </c>
      <c r="CK797" s="10">
        <v>444</v>
      </c>
      <c r="CL797" s="10">
        <v>39</v>
      </c>
      <c r="CM797" s="10">
        <v>265</v>
      </c>
      <c r="CN797" s="10">
        <v>0.65800000000000003</v>
      </c>
      <c r="CO797" s="10">
        <v>182</v>
      </c>
      <c r="CP797" s="10">
        <v>176</v>
      </c>
      <c r="CQ797" s="10">
        <v>262</v>
      </c>
      <c r="CR797" s="10">
        <v>3</v>
      </c>
      <c r="CS797" s="10">
        <v>7.6</v>
      </c>
      <c r="CT797" s="9" t="s">
        <v>169</v>
      </c>
      <c r="CU797" s="10"/>
      <c r="CV797" s="10"/>
      <c r="CW797" s="10"/>
      <c r="CX797" t="str">
        <f>INDEX('Data_Price '!AG$2:AG$1266,MATCH(Data!$DN797,'Data_Price '!$AT$2:$AT$1266,0))</f>
        <v>J Skis â€œthe Friendâ€ 183 Cm Dragon Brand</v>
      </c>
      <c r="CY797" t="str">
        <f>INDEX('Data_Price '!AH$2:AH$1266,MATCH(Data!$DN797,'Data_Price '!$AT$2:$AT$1266,0))</f>
        <v>eBay</v>
      </c>
      <c r="CZ797">
        <f>INDEX('Data_Price '!AI$2:AI$1266,MATCH(Data!$DN797,'Data_Price '!$AT$2:$AT$1266,0))</f>
        <v>925</v>
      </c>
      <c r="DA797" t="str">
        <f>INDEX('Data_Price '!AJ$2:AJ$1266,MATCH(Data!$DN797,'Data_Price '!$AT$2:$AT$1266,0))</f>
        <v>https://tinyurl.com/yd6cdoax</v>
      </c>
      <c r="DB797" t="str">
        <f>INDEX('Data_Price '!AK$2:AK$1266,MATCH(Data!$DN797,'Data_Price '!$AT$2:$AT$1266,0))</f>
        <v>Line Skis No Bindings 183 Cm</v>
      </c>
      <c r="DC797" t="str">
        <f>INDEX('Data_Price '!AL$2:AL$1266,MATCH(Data!$DN797,'Data_Price '!$AT$2:$AT$1266,0))</f>
        <v>eBay - lonewolfstore</v>
      </c>
      <c r="DD797">
        <f>INDEX('Data_Price '!AM$2:AM$1266,MATCH(Data!$DN797,'Data_Price '!$AT$2:$AT$1266,0))</f>
        <v>350</v>
      </c>
      <c r="DE797" t="str">
        <f>INDEX('Data_Price '!AN$2:AN$1266,MATCH(Data!$DN797,'Data_Price '!$AT$2:$AT$1266,0))</f>
        <v>https://tinyurl.com/y7mpd2lk</v>
      </c>
      <c r="DF797" t="str">
        <f>INDEX('Data_Price '!AO$2:AO$1266,MATCH(Data!$DN797,'Data_Price '!$AT$2:$AT$1266,0))</f>
        <v>Line Vision 118 Skis 183cm 2022</v>
      </c>
      <c r="DG797" t="str">
        <f>INDEX('Data_Price '!AP$2:AP$1266,MATCH(Data!$DN797,'Data_Price '!$AT$2:$AT$1266,0))</f>
        <v>Snowcountry.eu</v>
      </c>
      <c r="DH797">
        <f>INDEX('Data_Price '!AQ$2:AQ$1266,MATCH(Data!$DN797,'Data_Price '!$AT$2:$AT$1266,0))</f>
        <v>487.65</v>
      </c>
      <c r="DI797" t="str">
        <f>INDEX('Data_Price '!AR$2:AR$1266,MATCH(Data!$DN797,'Data_Price '!$AT$2:$AT$1266,0))</f>
        <v>https://tinyurl.com/yaov2sey</v>
      </c>
      <c r="DJ797" s="89" t="str">
        <f t="shared" si="476"/>
        <v>https://tinyurl.com/yd6cdoax</v>
      </c>
      <c r="DK797" s="89" t="str">
        <f t="shared" si="477"/>
        <v>https://tinyurl.com/y7mpd2lk</v>
      </c>
      <c r="DL797" s="89" t="str">
        <f t="shared" si="478"/>
        <v>https://tinyurl.com/yaov2sey</v>
      </c>
      <c r="DM797" s="219" t="str">
        <f t="shared" si="479"/>
        <v>The Hotshot</v>
      </c>
      <c r="DN797" s="89" t="str">
        <f t="shared" si="480"/>
        <v xml:space="preserve"> J SkisThe Hotshot183 Unisex</v>
      </c>
      <c r="DO797" s="221"/>
    </row>
    <row r="798" spans="2:119" ht="15.6" customHeight="1">
      <c r="B798" s="219" t="b">
        <f t="array" ref="B798">IF(OR(ISERROR(K798:P798)),FALSE,TRUE)</f>
        <v>1</v>
      </c>
      <c r="C798" s="43" t="b">
        <f>OR(BR798=Driver!$G$50,Data!BR176=Driver!$H$50)</f>
        <v>1</v>
      </c>
      <c r="D798" s="43" t="b">
        <f>OR(BV798=Driver!$G$51,BV798=Driver!$H$51)</f>
        <v>1</v>
      </c>
      <c r="E798" s="43" t="b">
        <f>AND(BX798&gt;Driver!$F$54,BX798&lt;Driver!$G$54)</f>
        <v>1</v>
      </c>
      <c r="F798" s="43" t="b">
        <f>CL798&gt;Driver!$F$56</f>
        <v>1</v>
      </c>
      <c r="G798" s="43" t="b">
        <f>AND(CB798&gt;Driver!$F$55,CB798&lt;Driver!$G$55)</f>
        <v>0</v>
      </c>
      <c r="H798" s="43" t="b">
        <f t="shared" si="444"/>
        <v>0</v>
      </c>
      <c r="I798" s="43">
        <f t="shared" si="445"/>
        <v>0</v>
      </c>
      <c r="J798" s="43" t="b">
        <f t="array" ref="J798">NOT(OR(($H$9:$H$1273=TRUE)*($I$9:$I$1273&gt;0)*($BT$9:$BT$1273=BT798)*($K$9:$K$1273&gt;K798)))</f>
        <v>1</v>
      </c>
      <c r="K798" s="72">
        <f t="shared" si="446"/>
        <v>0.72146360093507589</v>
      </c>
      <c r="L798" s="72">
        <f t="shared" si="447"/>
        <v>0.76874409083816009</v>
      </c>
      <c r="M798" s="72">
        <f t="shared" si="448"/>
        <v>0.67418311103199158</v>
      </c>
      <c r="N798" s="72">
        <f t="shared" si="449"/>
        <v>0.52665456318187176</v>
      </c>
      <c r="O798" s="72">
        <f t="shared" si="450"/>
        <v>0.58677339984708887</v>
      </c>
      <c r="P798" s="72">
        <f t="shared" si="451"/>
        <v>0.90912137006701421</v>
      </c>
      <c r="Q798" s="72"/>
      <c r="R798" s="72"/>
      <c r="S798" s="72">
        <f t="shared" si="452"/>
        <v>0.50495127035126086</v>
      </c>
      <c r="T798" s="72">
        <f t="shared" si="453"/>
        <v>0.55000000000000004</v>
      </c>
      <c r="U798" s="72">
        <f t="shared" si="454"/>
        <v>0.51</v>
      </c>
      <c r="V798" s="72">
        <f t="shared" si="455"/>
        <v>0.49053861590013204</v>
      </c>
      <c r="W798" s="72">
        <f t="shared" si="456"/>
        <v>0.75658355566335189</v>
      </c>
      <c r="X798" s="72">
        <f t="shared" si="457"/>
        <v>0.23125590916183991</v>
      </c>
      <c r="Y798" s="72">
        <f t="shared" si="458"/>
        <v>0.32581688896800842</v>
      </c>
      <c r="Z798" s="72">
        <f t="shared" si="459"/>
        <v>0.47334543681812824</v>
      </c>
      <c r="AA798" s="72">
        <f t="shared" si="460"/>
        <v>0.41322660015291113</v>
      </c>
      <c r="AB798" s="72">
        <f t="shared" si="461"/>
        <v>9.0878629932985844E-2</v>
      </c>
      <c r="AC798" s="72"/>
      <c r="AD798" s="72"/>
      <c r="AE798" s="72">
        <f t="shared" si="462"/>
        <v>0.49504872964873919</v>
      </c>
      <c r="AF798" s="72">
        <f t="shared" si="463"/>
        <v>0.44999999999999996</v>
      </c>
      <c r="AG798" s="72">
        <f t="shared" si="464"/>
        <v>0.49</v>
      </c>
      <c r="AH798" s="72">
        <f t="shared" si="465"/>
        <v>0.50946138409986796</v>
      </c>
      <c r="AI798" s="72">
        <f t="shared" si="466"/>
        <v>0.24341644433664808</v>
      </c>
      <c r="AJ798" s="72">
        <f>(AV798-Driver!$K$179)/(Driver!$L$179-Driver!$K$179)</f>
        <v>2.2963500120860524E-2</v>
      </c>
      <c r="AK798" s="72">
        <f>(AW798-Driver!$K$180)/(Driver!$L$180-Driver!$K$180)</f>
        <v>0.36730574465674115</v>
      </c>
      <c r="AL798" s="72">
        <f>(AX798-Driver!$K$181)/(Driver!$L$181-Driver!$K$181)</f>
        <v>0.57503320053120843</v>
      </c>
      <c r="AM798" s="72">
        <f>(AY798-Driver!$K$182)/(Driver!$L$182-Driver!$K$182)</f>
        <v>3.415842094413523E-2</v>
      </c>
      <c r="AN798" s="72">
        <f>(AZ798-Driver!$K$183)/(Driver!$L$183-Driver!$K$183)</f>
        <v>0.34509803921568627</v>
      </c>
      <c r="AO798" s="72"/>
      <c r="AP798" s="72"/>
      <c r="AQ798" s="72">
        <f>(BC798-Driver!$K$188)/(Driver!$L$188-Driver!$K$188)</f>
        <v>0.12495127035126082</v>
      </c>
      <c r="AR798" s="72">
        <f>MIN((BD798-Driver!$K$189)/(Driver!$L$189-Driver!$K$189),100%)</f>
        <v>1</v>
      </c>
      <c r="AS798" s="72">
        <f>(BE798-Driver!$K$190)/(Driver!$L$190-Driver!$K$190)</f>
        <v>1</v>
      </c>
      <c r="AT798" s="72">
        <f>(BF798-Driver!$K$191)/(Driver!$L$191-Driver!$K$191)</f>
        <v>5.3861590013203205E-4</v>
      </c>
      <c r="AU798" s="72">
        <f>(BG798-Driver!$K$192)/(Driver!$L$192-Driver!$K$192)</f>
        <v>6.5835556633519268E-3</v>
      </c>
      <c r="AV798" s="70">
        <f t="shared" si="467"/>
        <v>0.48331298331298328</v>
      </c>
      <c r="AW798" s="70">
        <f t="shared" si="468"/>
        <v>37.669092098246658</v>
      </c>
      <c r="AX798" s="70">
        <f t="shared" si="469"/>
        <v>6.1752988047808763</v>
      </c>
      <c r="AY798" s="70">
        <f>IFERROR(Driver!$K$19/Data!BH798/Data!BI798*Data!BK798*Data!BL798,"")</f>
        <v>4.1820099124749564E-2</v>
      </c>
      <c r="AZ798" s="70">
        <f t="shared" si="470"/>
        <v>31.451973194341029</v>
      </c>
      <c r="BA798" s="70"/>
      <c r="BB798" s="70"/>
      <c r="BC798" s="70">
        <f t="shared" si="471"/>
        <v>64.813092578337901</v>
      </c>
      <c r="BD798" s="70">
        <f t="shared" si="472"/>
        <v>280.86944881834285</v>
      </c>
      <c r="BE798" s="70">
        <f t="shared" si="473"/>
        <v>1</v>
      </c>
      <c r="BF798" s="70">
        <f t="shared" si="474"/>
        <v>6.0832881929055643E-2</v>
      </c>
      <c r="BG798" s="70">
        <f t="shared" si="475"/>
        <v>2.4929541595925295E-2</v>
      </c>
      <c r="BH798" s="67">
        <f>MAX((CE798-Driver!$F$200)/(Driver!$G$200-Driver!$F$200)*$BI$1,1)</f>
        <v>6.1752988047808763</v>
      </c>
      <c r="BI798" s="67">
        <f>MAX($BI$1*(BY798-Driver!$F$201)/(Driver!$G$201-Driver!$F$201),1)</f>
        <v>8.3544303797468356</v>
      </c>
      <c r="BJ798" s="67">
        <f>(CB798-Driver!$F$206)/(Driver!$G$206-Driver!$F$206)*$BI$1</f>
        <v>0.47619047619047616</v>
      </c>
      <c r="BK798" s="67">
        <f>(CD798-Driver!$F$203)/(Driver!$G$203-Driver!$F$203)*$BI$1</f>
        <v>1.4220183486238533</v>
      </c>
      <c r="BL798" s="67">
        <f>MAX((CR798-Driver!$F$202)/(Driver!$G$202-Driver!$F$202)*$BI$1,1)</f>
        <v>7.5862068965517242</v>
      </c>
      <c r="BM798" s="67">
        <f>MAX((CH798-Driver!$F$204)/(Driver!$G$204-Driver!$F$204)*$BI$1,1)</f>
        <v>4.0598290598290596</v>
      </c>
      <c r="BN798" s="67">
        <f>(CI798-Driver!$F$205)/(Driver!$G$205-Driver!$F$205)*$BI$1</f>
        <v>3.7647058823529411</v>
      </c>
      <c r="BO798" s="67">
        <f>(CK798-Driver!$F$207)/(Driver!$G$207-Driver!$F$207)*$BI$1</f>
        <v>0.32057911065149947</v>
      </c>
      <c r="BP798" s="67">
        <f>(CM798-Driver!$F$208)/(Driver!$G$208-Driver!$F$208)*$BI$1</f>
        <v>0.56666666666666665</v>
      </c>
      <c r="BQ798" s="67">
        <f>(CL798-Driver!$F$209)/(Driver!$G$209-Driver!$F$209)*$BI$1</f>
        <v>0.625</v>
      </c>
      <c r="BR798" s="28" t="s">
        <v>155</v>
      </c>
      <c r="BS798" s="8" t="s">
        <v>156</v>
      </c>
      <c r="BT798" s="9" t="s">
        <v>762</v>
      </c>
      <c r="BU798" s="10">
        <v>160</v>
      </c>
      <c r="BV798" s="9" t="s">
        <v>158</v>
      </c>
      <c r="BW798" s="10">
        <v>160</v>
      </c>
      <c r="BX798" s="10">
        <v>159.6</v>
      </c>
      <c r="BY798" s="10">
        <v>140</v>
      </c>
      <c r="BZ798" s="10">
        <v>146</v>
      </c>
      <c r="CA798" s="10">
        <v>115</v>
      </c>
      <c r="CB798" s="10">
        <v>67</v>
      </c>
      <c r="CC798" s="10">
        <v>101</v>
      </c>
      <c r="CD798" s="10">
        <v>12.5</v>
      </c>
      <c r="CE798" s="10">
        <v>1985</v>
      </c>
      <c r="CF798" s="10">
        <v>0.66</v>
      </c>
      <c r="CG798" s="10">
        <v>1316</v>
      </c>
      <c r="CH798" s="10">
        <v>196</v>
      </c>
      <c r="CI798" s="10">
        <v>97</v>
      </c>
      <c r="CJ798" s="10">
        <v>32</v>
      </c>
      <c r="CK798" s="10">
        <v>141</v>
      </c>
      <c r="CL798" s="10">
        <v>4</v>
      </c>
      <c r="CM798" s="10">
        <v>51</v>
      </c>
      <c r="CN798" s="10">
        <v>0.13</v>
      </c>
      <c r="CO798" s="10">
        <v>80</v>
      </c>
      <c r="CP798" s="10">
        <v>51</v>
      </c>
      <c r="CQ798" s="10">
        <v>60</v>
      </c>
      <c r="CR798" s="10">
        <v>11</v>
      </c>
      <c r="CS798" s="10">
        <v>13.6</v>
      </c>
      <c r="CT798" s="9" t="s">
        <v>349</v>
      </c>
      <c r="CU798" s="10"/>
      <c r="CV798" s="10"/>
      <c r="CW798" s="10"/>
      <c r="CX798" t="str">
        <f>INDEX('Data_Price '!AG$2:AG$1266,MATCH(Data!$DN798,'Data_Price '!$AT$2:$AT$1266,0))</f>
        <v>Atomic Redster S9 Revo S Skis Â· 2022 Â· 160 cm</v>
      </c>
      <c r="CY798" t="str">
        <f>INDEX('Data_Price '!AH$2:AH$1266,MATCH(Data!$DN798,'Data_Price '!$AT$2:$AT$1266,0))</f>
        <v>Suburban Ski and Bike</v>
      </c>
      <c r="CZ798">
        <f>INDEX('Data_Price '!AI$2:AI$1266,MATCH(Data!$DN798,'Data_Price '!$AT$2:$AT$1266,0))</f>
        <v>999.99</v>
      </c>
      <c r="DA798" t="str">
        <f>INDEX('Data_Price '!AJ$2:AJ$1266,MATCH(Data!$DN798,'Data_Price '!$AT$2:$AT$1266,0))</f>
        <v>https://tinyurl.com/y7k6gw6n</v>
      </c>
      <c r="DB798" t="str">
        <f>INDEX('Data_Price '!AK$2:AK$1266,MATCH(Data!$DN798,'Data_Price '!$AT$2:$AT$1266,0))</f>
        <v>2022 Atomic Redster G9 Rs Revo Race Skis +x12 Gw Bindings 160,167cm</v>
      </c>
      <c r="DC798" t="str">
        <f>INDEX('Data_Price '!AL$2:AL$1266,MATCH(Data!$DN798,'Data_Price '!$AT$2:$AT$1266,0))</f>
        <v>eBay - suburbansports</v>
      </c>
      <c r="DD798">
        <f>INDEX('Data_Price '!AM$2:AM$1266,MATCH(Data!$DN798,'Data_Price '!$AT$2:$AT$1266,0))</f>
        <v>799.99</v>
      </c>
      <c r="DE798" t="str">
        <f>INDEX('Data_Price '!AN$2:AN$1266,MATCH(Data!$DN798,'Data_Price '!$AT$2:$AT$1266,0))</f>
        <v>https://tinyurl.com/y8vpqfy4</v>
      </c>
      <c r="DF798" t="str">
        <f>INDEX('Data_Price '!AO$2:AO$1266,MATCH(Data!$DN798,'Data_Price '!$AT$2:$AT$1266,0))</f>
        <v>Atomic 2022 Redster X9i WB REVO S+ X 12 GW BLACK/SILVER / 160</v>
      </c>
      <c r="DG798" t="str">
        <f>INDEX('Data_Price '!AP$2:AP$1266,MATCH(Data!$DN798,'Data_Price '!$AT$2:$AT$1266,0))</f>
        <v>Cityhome</v>
      </c>
      <c r="DH798">
        <f>INDEX('Data_Price '!AQ$2:AQ$1266,MATCH(Data!$DN798,'Data_Price '!$AT$2:$AT$1266,0))</f>
        <v>999.99</v>
      </c>
      <c r="DI798" t="str">
        <f>INDEX('Data_Price '!AR$2:AR$1266,MATCH(Data!$DN798,'Data_Price '!$AT$2:$AT$1266,0))</f>
        <v>https://tinyurl.com/yd8mfyvk</v>
      </c>
      <c r="DJ798" s="89" t="str">
        <f t="shared" si="476"/>
        <v>https://tinyurl.com/y7k6gw6n</v>
      </c>
      <c r="DK798" s="89" t="str">
        <f t="shared" si="477"/>
        <v>https://tinyurl.com/y8vpqfy4</v>
      </c>
      <c r="DL798" s="89" t="str">
        <f t="shared" si="478"/>
        <v>https://tinyurl.com/yd8mfyvk</v>
      </c>
      <c r="DM798" s="219" t="str">
        <f t="shared" si="479"/>
        <v>Redster S9 Revo</v>
      </c>
      <c r="DN798" s="89" t="str">
        <f t="shared" si="480"/>
        <v xml:space="preserve"> AtomicRedster S9 Revo160 Unisex</v>
      </c>
      <c r="DO798" s="221"/>
    </row>
    <row r="799" spans="2:119" ht="15.6" customHeight="1">
      <c r="B799" s="219" t="b">
        <f t="array" ref="B799">IF(OR(ISERROR(K799:P799)),FALSE,TRUE)</f>
        <v>1</v>
      </c>
      <c r="C799" s="43" t="b">
        <f>OR(BR799=Driver!$G$50,Data!BR744=Driver!$H$50)</f>
        <v>1</v>
      </c>
      <c r="D799" s="43" t="b">
        <f>OR(BV799=Driver!$G$51,BV799=Driver!$H$51)</f>
        <v>1</v>
      </c>
      <c r="E799" s="43" t="b">
        <f>AND(BX799&gt;Driver!$F$54,BX799&lt;Driver!$G$54)</f>
        <v>1</v>
      </c>
      <c r="F799" s="43" t="b">
        <f>CL799&gt;Driver!$F$56</f>
        <v>1</v>
      </c>
      <c r="G799" s="43" t="b">
        <f>AND(CB799&gt;Driver!$F$55,CB799&lt;Driver!$G$55)</f>
        <v>0</v>
      </c>
      <c r="H799" s="43" t="b">
        <f t="shared" si="444"/>
        <v>0</v>
      </c>
      <c r="I799" s="43">
        <f t="shared" si="445"/>
        <v>0</v>
      </c>
      <c r="J799" s="43" t="b">
        <f t="array" ref="J799">NOT(OR(($H$9:$H$1273=TRUE)*($I$9:$I$1273&gt;0)*($BT$9:$BT$1273=BT799)*($K$9:$K$1273&gt;K799)))</f>
        <v>1</v>
      </c>
      <c r="K799" s="72">
        <f t="shared" si="446"/>
        <v>0.80860698271546094</v>
      </c>
      <c r="L799" s="72">
        <f t="shared" si="447"/>
        <v>0.80621085419324834</v>
      </c>
      <c r="M799" s="72">
        <f t="shared" si="448"/>
        <v>0.81100311123767355</v>
      </c>
      <c r="N799" s="72">
        <f t="shared" si="449"/>
        <v>0.85739509312558893</v>
      </c>
      <c r="O799" s="72">
        <f t="shared" si="450"/>
        <v>0.65683528385706047</v>
      </c>
      <c r="P799" s="72">
        <f t="shared" si="451"/>
        <v>0.91877895673037147</v>
      </c>
      <c r="Q799" s="72"/>
      <c r="R799" s="72"/>
      <c r="S799" s="72">
        <f t="shared" si="452"/>
        <v>0.41639757571696523</v>
      </c>
      <c r="T799" s="72">
        <f t="shared" si="453"/>
        <v>0.46262865988590407</v>
      </c>
      <c r="U799" s="72">
        <f t="shared" si="454"/>
        <v>0.82070592985989022</v>
      </c>
      <c r="V799" s="72">
        <f t="shared" si="455"/>
        <v>0.51338673487941311</v>
      </c>
      <c r="W799" s="72">
        <f t="shared" si="456"/>
        <v>0.89087188612099644</v>
      </c>
      <c r="X799" s="72">
        <f t="shared" si="457"/>
        <v>0.19378914580675169</v>
      </c>
      <c r="Y799" s="72">
        <f t="shared" si="458"/>
        <v>0.18899688876232643</v>
      </c>
      <c r="Z799" s="72">
        <f t="shared" si="459"/>
        <v>0.14260490687441113</v>
      </c>
      <c r="AA799" s="72">
        <f t="shared" si="460"/>
        <v>0.34316471614293953</v>
      </c>
      <c r="AB799" s="72">
        <f t="shared" si="461"/>
        <v>8.1221043269628562E-2</v>
      </c>
      <c r="AC799" s="72"/>
      <c r="AD799" s="72"/>
      <c r="AE799" s="72">
        <f t="shared" si="462"/>
        <v>0.58360242428303477</v>
      </c>
      <c r="AF799" s="72">
        <f t="shared" si="463"/>
        <v>0.53737134011409593</v>
      </c>
      <c r="AG799" s="72">
        <f t="shared" si="464"/>
        <v>0.17929407014010978</v>
      </c>
      <c r="AH799" s="72">
        <f t="shared" si="465"/>
        <v>0.48661326512058689</v>
      </c>
      <c r="AI799" s="72">
        <f t="shared" si="466"/>
        <v>0.10912811387900354</v>
      </c>
      <c r="AJ799" s="72">
        <f>(AV799-Driver!$K$179)/(Driver!$L$179-Driver!$K$179)</f>
        <v>6.0430263475948744E-2</v>
      </c>
      <c r="AK799" s="72">
        <f>(AW799-Driver!$K$180)/(Driver!$L$180-Driver!$K$180)</f>
        <v>0.17670304876762347</v>
      </c>
      <c r="AL799" s="72">
        <f>(AX799-Driver!$K$181)/(Driver!$L$181-Driver!$K$181)</f>
        <v>0.2442926705874913</v>
      </c>
      <c r="AM799" s="72">
        <f>(AY799-Driver!$K$182)/(Driver!$L$182-Driver!$K$182)</f>
        <v>0.10422030495410685</v>
      </c>
      <c r="AN799" s="72">
        <f>(AZ799-Driver!$K$183)/(Driver!$L$183-Driver!$K$183)</f>
        <v>0.17299836601307186</v>
      </c>
      <c r="AO799" s="72"/>
      <c r="AP799" s="72"/>
      <c r="AQ799" s="72">
        <f>(BC799-Driver!$K$188)/(Driver!$L$188-Driver!$K$188)</f>
        <v>3.6397575716965225E-2</v>
      </c>
      <c r="AR799" s="72">
        <f>MIN((BD799-Driver!$K$189)/(Driver!$L$189-Driver!$K$189),100%)</f>
        <v>1.2628659885904081E-2</v>
      </c>
      <c r="AS799" s="72">
        <f>(BE799-Driver!$K$190)/(Driver!$L$190-Driver!$K$190)</f>
        <v>0.68929407014010979</v>
      </c>
      <c r="AT799" s="72">
        <f>(BF799-Driver!$K$191)/(Driver!$L$191-Driver!$K$191)</f>
        <v>2.338673487941309E-2</v>
      </c>
      <c r="AU799" s="72">
        <f>(BG799-Driver!$K$192)/(Driver!$L$192-Driver!$K$192)</f>
        <v>0.14087188612099646</v>
      </c>
      <c r="AV799" s="70">
        <f t="shared" si="467"/>
        <v>1.2718762718762717</v>
      </c>
      <c r="AW799" s="70">
        <f t="shared" si="468"/>
        <v>19.09317047215626</v>
      </c>
      <c r="AX799" s="70">
        <f t="shared" si="469"/>
        <v>3.1986340352874216</v>
      </c>
      <c r="AY799" s="70">
        <f>IFERROR(Driver!$K$19/Data!BH799/Data!BI799*Data!BK799*Data!BL799,"")</f>
        <v>0.12759674960152695</v>
      </c>
      <c r="AZ799" s="70">
        <f t="shared" si="470"/>
        <v>15.76693968726731</v>
      </c>
      <c r="BA799" s="70"/>
      <c r="BB799" s="70"/>
      <c r="BC799" s="70">
        <f t="shared" si="471"/>
        <v>18.879675556231163</v>
      </c>
      <c r="BD799" s="70">
        <f t="shared" si="472"/>
        <v>2.838436907339017</v>
      </c>
      <c r="BE799" s="70">
        <f t="shared" si="473"/>
        <v>0.68934949658085265</v>
      </c>
      <c r="BF799" s="70">
        <f t="shared" si="474"/>
        <v>2.6413674035183861</v>
      </c>
      <c r="BG799" s="70">
        <f t="shared" si="475"/>
        <v>0.53343082740213532</v>
      </c>
      <c r="BH799" s="67">
        <f>MAX((CE799-Driver!$F$200)/(Driver!$G$200-Driver!$F$200)*$BI$1,1)</f>
        <v>3.1986340352874216</v>
      </c>
      <c r="BI799" s="67">
        <f>MAX($BI$1*(BY799-Driver!$F$201)/(Driver!$G$201-Driver!$F$201),1)</f>
        <v>7.6582278481012658</v>
      </c>
      <c r="BJ799" s="67">
        <f>(CB799-Driver!$F$206)/(Driver!$G$206-Driver!$F$206)*$BI$1</f>
        <v>3.9682539682539679</v>
      </c>
      <c r="BK799" s="67">
        <f>(CD799-Driver!$F$203)/(Driver!$G$203-Driver!$F$203)*$BI$1</f>
        <v>2.3853211009174311</v>
      </c>
      <c r="BL799" s="67">
        <f>MAX((CR799-Driver!$F$202)/(Driver!$G$202-Driver!$F$202)*$BI$1,1)</f>
        <v>6.5517241379310338</v>
      </c>
      <c r="BM799" s="67">
        <f>MAX((CH799-Driver!$F$204)/(Driver!$G$204-Driver!$F$204)*$BI$1,1)</f>
        <v>1.2820512820512819</v>
      </c>
      <c r="BN799" s="67">
        <f>(CI799-Driver!$F$205)/(Driver!$G$205-Driver!$F$205)*$BI$1</f>
        <v>2.0588235294117645</v>
      </c>
      <c r="BO799" s="67">
        <f>(CK799-Driver!$F$207)/(Driver!$G$207-Driver!$F$207)*$BI$1</f>
        <v>1.0134436401240952</v>
      </c>
      <c r="BP799" s="67">
        <f>(CM799-Driver!$F$208)/(Driver!$G$208-Driver!$F$208)*$BI$1</f>
        <v>1.5666666666666669</v>
      </c>
      <c r="BQ799" s="67">
        <f>(CL799-Driver!$F$209)/(Driver!$G$209-Driver!$F$209)*$BI$1</f>
        <v>2.1875</v>
      </c>
      <c r="BR799" s="28" t="s">
        <v>155</v>
      </c>
      <c r="BS799" s="8" t="s">
        <v>262</v>
      </c>
      <c r="BT799" s="9" t="s">
        <v>327</v>
      </c>
      <c r="BU799" s="10">
        <v>163</v>
      </c>
      <c r="BV799" s="9" t="s">
        <v>158</v>
      </c>
      <c r="BW799" s="10">
        <v>163</v>
      </c>
      <c r="BX799" s="10">
        <v>163.6</v>
      </c>
      <c r="BY799" s="10">
        <v>129</v>
      </c>
      <c r="BZ799" s="10">
        <v>137</v>
      </c>
      <c r="CA799" s="10">
        <v>126</v>
      </c>
      <c r="CB799" s="10">
        <v>89</v>
      </c>
      <c r="CC799" s="10">
        <v>112</v>
      </c>
      <c r="CD799" s="10">
        <v>14.6</v>
      </c>
      <c r="CE799" s="10">
        <v>1462</v>
      </c>
      <c r="CF799" s="10">
        <v>1.1299999999999999</v>
      </c>
      <c r="CG799" s="10">
        <v>1659</v>
      </c>
      <c r="CH799" s="10">
        <v>131</v>
      </c>
      <c r="CI799" s="10">
        <v>68</v>
      </c>
      <c r="CJ799" s="10">
        <v>44</v>
      </c>
      <c r="CK799" s="10">
        <v>208</v>
      </c>
      <c r="CL799" s="10">
        <v>14</v>
      </c>
      <c r="CM799" s="10">
        <v>141</v>
      </c>
      <c r="CN799" s="10">
        <v>0.315</v>
      </c>
      <c r="CO799" s="10">
        <v>156</v>
      </c>
      <c r="CP799" s="10">
        <v>111</v>
      </c>
      <c r="CQ799" s="10">
        <v>52</v>
      </c>
      <c r="CR799" s="10">
        <v>8</v>
      </c>
      <c r="CS799" s="10">
        <v>10.3</v>
      </c>
      <c r="CT799" s="9" t="s">
        <v>188</v>
      </c>
      <c r="CU799" s="9" t="s">
        <v>185</v>
      </c>
      <c r="CV799" s="10"/>
      <c r="CW799" s="10"/>
      <c r="CX799" t="e">
        <f>INDEX('Data_Price '!AG$2:AG$1266,MATCH(Data!$DN799,'Data_Price '!$AT$2:$AT$1266,0))</f>
        <v>#N/A</v>
      </c>
      <c r="CY799" t="e">
        <f>INDEX('Data_Price '!AH$2:AH$1266,MATCH(Data!$DN799,'Data_Price '!$AT$2:$AT$1266,0))</f>
        <v>#N/A</v>
      </c>
      <c r="CZ799" t="e">
        <f>INDEX('Data_Price '!AI$2:AI$1266,MATCH(Data!$DN799,'Data_Price '!$AT$2:$AT$1266,0))</f>
        <v>#N/A</v>
      </c>
      <c r="DA799" t="e">
        <f>INDEX('Data_Price '!AJ$2:AJ$1266,MATCH(Data!$DN799,'Data_Price '!$AT$2:$AT$1266,0))</f>
        <v>#N/A</v>
      </c>
      <c r="DB799" t="e">
        <f>INDEX('Data_Price '!AK$2:AK$1266,MATCH(Data!$DN799,'Data_Price '!$AT$2:$AT$1266,0))</f>
        <v>#N/A</v>
      </c>
      <c r="DC799" t="e">
        <f>INDEX('Data_Price '!AL$2:AL$1266,MATCH(Data!$DN799,'Data_Price '!$AT$2:$AT$1266,0))</f>
        <v>#N/A</v>
      </c>
      <c r="DD799" t="e">
        <f>INDEX('Data_Price '!AM$2:AM$1266,MATCH(Data!$DN799,'Data_Price '!$AT$2:$AT$1266,0))</f>
        <v>#N/A</v>
      </c>
      <c r="DE799" t="e">
        <f>INDEX('Data_Price '!AN$2:AN$1266,MATCH(Data!$DN799,'Data_Price '!$AT$2:$AT$1266,0))</f>
        <v>#N/A</v>
      </c>
      <c r="DF799" t="e">
        <f>INDEX('Data_Price '!AO$2:AO$1266,MATCH(Data!$DN799,'Data_Price '!$AT$2:$AT$1266,0))</f>
        <v>#N/A</v>
      </c>
      <c r="DG799" t="e">
        <f>INDEX('Data_Price '!AP$2:AP$1266,MATCH(Data!$DN799,'Data_Price '!$AT$2:$AT$1266,0))</f>
        <v>#N/A</v>
      </c>
      <c r="DH799" t="e">
        <f>INDEX('Data_Price '!AQ$2:AQ$1266,MATCH(Data!$DN799,'Data_Price '!$AT$2:$AT$1266,0))</f>
        <v>#N/A</v>
      </c>
      <c r="DI799" t="e">
        <f>INDEX('Data_Price '!AR$2:AR$1266,MATCH(Data!$DN799,'Data_Price '!$AT$2:$AT$1266,0))</f>
        <v>#N/A</v>
      </c>
      <c r="DJ799" s="89" t="e">
        <f t="shared" si="476"/>
        <v>#N/A</v>
      </c>
      <c r="DK799" s="89" t="e">
        <f t="shared" si="477"/>
        <v>#N/A</v>
      </c>
      <c r="DL799" s="89" t="e">
        <f t="shared" si="478"/>
        <v>#N/A</v>
      </c>
      <c r="DM799" s="219" t="str">
        <f t="shared" si="479"/>
        <v>Mindbender 90C</v>
      </c>
      <c r="DN799" s="89" t="str">
        <f t="shared" si="480"/>
        <v xml:space="preserve"> K2Mindbender 90C163 Unisex</v>
      </c>
      <c r="DO799" s="221" t="s">
        <v>328</v>
      </c>
    </row>
    <row r="800" spans="2:119" ht="15.6" customHeight="1">
      <c r="B800" s="219" t="b">
        <f t="array" ref="B800">IF(OR(ISERROR(K800:P800)),FALSE,TRUE)</f>
        <v>1</v>
      </c>
      <c r="C800" s="43" t="b">
        <f>OR(BR800=Driver!$G$50,Data!BR763=Driver!$H$50)</f>
        <v>1</v>
      </c>
      <c r="D800" s="43" t="b">
        <f>OR(BV800=Driver!$G$51,BV800=Driver!$H$51)</f>
        <v>1</v>
      </c>
      <c r="E800" s="43" t="b">
        <f>AND(BX800&gt;Driver!$F$54,BX800&lt;Driver!$G$54)</f>
        <v>0</v>
      </c>
      <c r="F800" s="43" t="b">
        <f>CL800&gt;Driver!$F$56</f>
        <v>1</v>
      </c>
      <c r="G800" s="43" t="b">
        <f>AND(CB800&gt;Driver!$F$55,CB800&lt;Driver!$G$55)</f>
        <v>1</v>
      </c>
      <c r="H800" s="43" t="b">
        <f t="shared" si="444"/>
        <v>0</v>
      </c>
      <c r="I800" s="43">
        <f t="shared" si="445"/>
        <v>1</v>
      </c>
      <c r="J800" s="43" t="b">
        <f t="array" ref="J800">NOT(OR(($H$9:$H$1273=TRUE)*($I$9:$I$1273&gt;0)*($BT$9:$BT$1273=BT800)*($K$9:$K$1273&gt;K800)))</f>
        <v>1</v>
      </c>
      <c r="K800" s="72">
        <f t="shared" si="446"/>
        <v>0.84436921742164861</v>
      </c>
      <c r="L800" s="72">
        <f t="shared" si="447"/>
        <v>0.94552275492646887</v>
      </c>
      <c r="M800" s="72">
        <f t="shared" si="448"/>
        <v>0.74321567991682858</v>
      </c>
      <c r="N800" s="72">
        <f t="shared" si="449"/>
        <v>0.66072147015714511</v>
      </c>
      <c r="O800" s="72">
        <f t="shared" si="450"/>
        <v>0.66726262593486441</v>
      </c>
      <c r="P800" s="72">
        <f t="shared" si="451"/>
        <v>0.90166294365847599</v>
      </c>
      <c r="Q800" s="72"/>
      <c r="R800" s="72"/>
      <c r="S800" s="72">
        <f t="shared" si="452"/>
        <v>0.42510373021293912</v>
      </c>
      <c r="T800" s="72">
        <f t="shared" si="453"/>
        <v>0.47076155960653654</v>
      </c>
      <c r="U800" s="72">
        <f t="shared" si="454"/>
        <v>0.51448521539715786</v>
      </c>
      <c r="V800" s="72">
        <f t="shared" si="455"/>
        <v>0.58715115867357826</v>
      </c>
      <c r="W800" s="72">
        <f t="shared" si="456"/>
        <v>0.88632097245730113</v>
      </c>
      <c r="X800" s="72">
        <f t="shared" si="457"/>
        <v>5.4477245073531161E-2</v>
      </c>
      <c r="Y800" s="72">
        <f t="shared" si="458"/>
        <v>0.25678432008317148</v>
      </c>
      <c r="Z800" s="72">
        <f t="shared" si="459"/>
        <v>0.33927852984285484</v>
      </c>
      <c r="AA800" s="72">
        <f t="shared" si="460"/>
        <v>0.33273737406513559</v>
      </c>
      <c r="AB800" s="72">
        <f t="shared" si="461"/>
        <v>9.8337056341523954E-2</v>
      </c>
      <c r="AC800" s="72"/>
      <c r="AD800" s="72"/>
      <c r="AE800" s="72">
        <f t="shared" si="462"/>
        <v>0.57489626978706088</v>
      </c>
      <c r="AF800" s="72">
        <f t="shared" si="463"/>
        <v>0.52923844039346346</v>
      </c>
      <c r="AG800" s="72">
        <f t="shared" si="464"/>
        <v>0.48551478460284214</v>
      </c>
      <c r="AH800" s="72">
        <f t="shared" si="465"/>
        <v>0.41284884132642174</v>
      </c>
      <c r="AI800" s="72">
        <f t="shared" si="466"/>
        <v>0.11367902754269887</v>
      </c>
      <c r="AJ800" s="72">
        <f>(AV800-Driver!$K$179)/(Driver!$L$179-Driver!$K$179)</f>
        <v>0.19974216420916927</v>
      </c>
      <c r="AK800" s="72">
        <f>(AW800-Driver!$K$180)/(Driver!$L$180-Driver!$K$180)</f>
        <v>0.17899004813030178</v>
      </c>
      <c r="AL800" s="72">
        <f>(AX800-Driver!$K$181)/(Driver!$L$181-Driver!$K$181)</f>
        <v>0.44096629355593503</v>
      </c>
      <c r="AM800" s="72">
        <f>(AY800-Driver!$K$182)/(Driver!$L$182-Driver!$K$182)</f>
        <v>0.11464764703191077</v>
      </c>
      <c r="AN800" s="72">
        <f>(AZ800-Driver!$K$183)/(Driver!$L$183-Driver!$K$183)</f>
        <v>0.15588235294117647</v>
      </c>
      <c r="AO800" s="72"/>
      <c r="AP800" s="72"/>
      <c r="AQ800" s="72">
        <f>(BC800-Driver!$K$188)/(Driver!$L$188-Driver!$K$188)</f>
        <v>4.510373021293914E-2</v>
      </c>
      <c r="AR800" s="72">
        <f>MIN((BD800-Driver!$K$189)/(Driver!$L$189-Driver!$K$189),100%)</f>
        <v>2.0761559606536539E-2</v>
      </c>
      <c r="AS800" s="72">
        <f>(BE800-Driver!$K$190)/(Driver!$L$190-Driver!$K$190)</f>
        <v>2.4485215397157846E-2</v>
      </c>
      <c r="AT800" s="72">
        <f>(BF800-Driver!$K$191)/(Driver!$L$191-Driver!$K$191)</f>
        <v>9.7151158673578236E-2</v>
      </c>
      <c r="AU800" s="72">
        <f>(BG800-Driver!$K$192)/(Driver!$L$192-Driver!$K$192)</f>
        <v>0.13632097245730113</v>
      </c>
      <c r="AV800" s="70">
        <f t="shared" si="467"/>
        <v>4.2039750373083704</v>
      </c>
      <c r="AW800" s="70">
        <f t="shared" si="468"/>
        <v>19.316058824925129</v>
      </c>
      <c r="AX800" s="70">
        <f t="shared" si="469"/>
        <v>4.9686966420034153</v>
      </c>
      <c r="AY800" s="70">
        <f>IFERROR(Driver!$K$19/Data!BH800/Data!BI800*Data!BK800*Data!BL800,"")</f>
        <v>0.14036292752335219</v>
      </c>
      <c r="AZ800" s="70">
        <f t="shared" si="470"/>
        <v>14.206999255398362</v>
      </c>
      <c r="BA800" s="70"/>
      <c r="BB800" s="70"/>
      <c r="BC800" s="70">
        <f t="shared" si="471"/>
        <v>23.395618417496969</v>
      </c>
      <c r="BD800" s="70">
        <f t="shared" si="472"/>
        <v>3.5581841219694073</v>
      </c>
      <c r="BE800" s="70">
        <f t="shared" si="473"/>
        <v>2.4659236254844397E-2</v>
      </c>
      <c r="BF800" s="70">
        <f t="shared" si="474"/>
        <v>10.972540846662728</v>
      </c>
      <c r="BG800" s="70">
        <f t="shared" si="475"/>
        <v>0.51619816510232353</v>
      </c>
      <c r="BH800" s="67">
        <f>MAX((CE800-Driver!$F$200)/(Driver!$G$200-Driver!$F$200)*$BI$1,1)</f>
        <v>4.9686966420034153</v>
      </c>
      <c r="BI800" s="67">
        <f>MAX($BI$1*(BY800-Driver!$F$201)/(Driver!$G$201-Driver!$F$201),1)</f>
        <v>6.7088607594936711</v>
      </c>
      <c r="BJ800" s="67">
        <f>(CB800-Driver!$F$206)/(Driver!$G$206-Driver!$F$206)*$BI$1</f>
        <v>5.8730158730158735</v>
      </c>
      <c r="BK800" s="67">
        <f>(CD800-Driver!$F$203)/(Driver!$G$203-Driver!$F$203)*$BI$1</f>
        <v>3.9908256880733957</v>
      </c>
      <c r="BL800" s="67">
        <f>MAX((CR800-Driver!$F$202)/(Driver!$G$202-Driver!$F$202)*$BI$1,1)</f>
        <v>5.8620689655172411</v>
      </c>
      <c r="BM800" s="67">
        <f>MAX((CH800-Driver!$F$204)/(Driver!$G$204-Driver!$F$204)*$BI$1,1)</f>
        <v>2.8632478632478628</v>
      </c>
      <c r="BN800" s="67">
        <f>(CI800-Driver!$F$205)/(Driver!$G$205-Driver!$F$205)*$BI$1</f>
        <v>2.1176470588235294</v>
      </c>
      <c r="BO800" s="67">
        <f>(CK800-Driver!$F$207)/(Driver!$G$207-Driver!$F$207)*$BI$1</f>
        <v>2.1302998965873838</v>
      </c>
      <c r="BP800" s="67">
        <f>(CM800-Driver!$F$208)/(Driver!$G$208-Driver!$F$208)*$BI$1</f>
        <v>3.5</v>
      </c>
      <c r="BQ800" s="67">
        <f>(CL800-Driver!$F$209)/(Driver!$G$209-Driver!$F$209)*$BI$1</f>
        <v>7.34375</v>
      </c>
      <c r="BR800" s="28" t="s">
        <v>155</v>
      </c>
      <c r="BS800" s="8" t="s">
        <v>262</v>
      </c>
      <c r="BT800" s="9" t="s">
        <v>511</v>
      </c>
      <c r="BU800" s="10">
        <v>177</v>
      </c>
      <c r="BV800" s="9" t="s">
        <v>158</v>
      </c>
      <c r="BW800" s="10">
        <v>177</v>
      </c>
      <c r="BX800" s="10">
        <v>177</v>
      </c>
      <c r="BY800" s="10">
        <v>114</v>
      </c>
      <c r="BZ800" s="10">
        <v>148</v>
      </c>
      <c r="CA800" s="10">
        <v>133</v>
      </c>
      <c r="CB800" s="10">
        <v>101</v>
      </c>
      <c r="CC800" s="10">
        <v>126</v>
      </c>
      <c r="CD800" s="10">
        <v>18.100000000000001</v>
      </c>
      <c r="CE800" s="10">
        <v>1773</v>
      </c>
      <c r="CF800" s="10">
        <v>1.1200000000000001</v>
      </c>
      <c r="CG800" s="10">
        <v>1989</v>
      </c>
      <c r="CH800" s="10">
        <v>168</v>
      </c>
      <c r="CI800" s="10">
        <v>69</v>
      </c>
      <c r="CJ800" s="10">
        <v>51</v>
      </c>
      <c r="CK800" s="10">
        <v>316</v>
      </c>
      <c r="CL800" s="10">
        <v>47</v>
      </c>
      <c r="CM800" s="10">
        <v>315</v>
      </c>
      <c r="CN800" s="10">
        <v>0.92400000000000004</v>
      </c>
      <c r="CO800" s="10">
        <v>147</v>
      </c>
      <c r="CP800" s="10">
        <v>139</v>
      </c>
      <c r="CQ800" s="10">
        <v>169</v>
      </c>
      <c r="CR800" s="10">
        <v>6</v>
      </c>
      <c r="CS800" s="10">
        <v>4.4000000000000004</v>
      </c>
      <c r="CT800" s="9" t="s">
        <v>184</v>
      </c>
      <c r="CU800" s="9" t="s">
        <v>169</v>
      </c>
      <c r="CV800" s="9" t="s">
        <v>185</v>
      </c>
      <c r="CW800" s="10"/>
      <c r="CX800" t="e">
        <f>INDEX('Data_Price '!AG$2:AG$1266,MATCH(Data!$DN800,'Data_Price '!$AT$2:$AT$1266,0))</f>
        <v>#N/A</v>
      </c>
      <c r="CY800" t="e">
        <f>INDEX('Data_Price '!AH$2:AH$1266,MATCH(Data!$DN800,'Data_Price '!$AT$2:$AT$1266,0))</f>
        <v>#N/A</v>
      </c>
      <c r="CZ800" t="e">
        <f>INDEX('Data_Price '!AI$2:AI$1266,MATCH(Data!$DN800,'Data_Price '!$AT$2:$AT$1266,0))</f>
        <v>#N/A</v>
      </c>
      <c r="DA800" t="e">
        <f>INDEX('Data_Price '!AJ$2:AJ$1266,MATCH(Data!$DN800,'Data_Price '!$AT$2:$AT$1266,0))</f>
        <v>#N/A</v>
      </c>
      <c r="DB800" t="e">
        <f>INDEX('Data_Price '!AK$2:AK$1266,MATCH(Data!$DN800,'Data_Price '!$AT$2:$AT$1266,0))</f>
        <v>#N/A</v>
      </c>
      <c r="DC800" t="e">
        <f>INDEX('Data_Price '!AL$2:AL$1266,MATCH(Data!$DN800,'Data_Price '!$AT$2:$AT$1266,0))</f>
        <v>#N/A</v>
      </c>
      <c r="DD800" t="e">
        <f>INDEX('Data_Price '!AM$2:AM$1266,MATCH(Data!$DN800,'Data_Price '!$AT$2:$AT$1266,0))</f>
        <v>#N/A</v>
      </c>
      <c r="DE800" t="e">
        <f>INDEX('Data_Price '!AN$2:AN$1266,MATCH(Data!$DN800,'Data_Price '!$AT$2:$AT$1266,0))</f>
        <v>#N/A</v>
      </c>
      <c r="DF800" t="e">
        <f>INDEX('Data_Price '!AO$2:AO$1266,MATCH(Data!$DN800,'Data_Price '!$AT$2:$AT$1266,0))</f>
        <v>#N/A</v>
      </c>
      <c r="DG800" t="e">
        <f>INDEX('Data_Price '!AP$2:AP$1266,MATCH(Data!$DN800,'Data_Price '!$AT$2:$AT$1266,0))</f>
        <v>#N/A</v>
      </c>
      <c r="DH800" t="e">
        <f>INDEX('Data_Price '!AQ$2:AQ$1266,MATCH(Data!$DN800,'Data_Price '!$AT$2:$AT$1266,0))</f>
        <v>#N/A</v>
      </c>
      <c r="DI800" t="e">
        <f>INDEX('Data_Price '!AR$2:AR$1266,MATCH(Data!$DN800,'Data_Price '!$AT$2:$AT$1266,0))</f>
        <v>#N/A</v>
      </c>
      <c r="DJ800" s="89" t="e">
        <f t="shared" si="476"/>
        <v>#N/A</v>
      </c>
      <c r="DK800" s="89" t="e">
        <f t="shared" si="477"/>
        <v>#N/A</v>
      </c>
      <c r="DL800" s="89" t="e">
        <f t="shared" si="478"/>
        <v>#N/A</v>
      </c>
      <c r="DM800" s="219" t="str">
        <f t="shared" si="479"/>
        <v>Reckoner 102</v>
      </c>
      <c r="DN800" s="89" t="str">
        <f t="shared" si="480"/>
        <v xml:space="preserve"> K2Reckoner 102177 Unisex</v>
      </c>
      <c r="DO800" s="221" t="s">
        <v>512</v>
      </c>
    </row>
    <row r="801" spans="2:119" ht="15.6" customHeight="1">
      <c r="B801" s="219" t="b">
        <f t="array" ref="B801">IF(OR(ISERROR(K801:P801)),FALSE,TRUE)</f>
        <v>1</v>
      </c>
      <c r="C801" s="43" t="b">
        <f>OR(BR801=Driver!$G$50,Data!BR592=Driver!$H$50)</f>
        <v>1</v>
      </c>
      <c r="D801" s="43" t="b">
        <f>OR(BV801=Driver!$G$51,BV801=Driver!$H$51)</f>
        <v>1</v>
      </c>
      <c r="E801" s="43" t="b">
        <f>AND(BX801&gt;Driver!$F$54,BX801&lt;Driver!$G$54)</f>
        <v>0</v>
      </c>
      <c r="F801" s="43" t="b">
        <f>CL801&gt;Driver!$F$56</f>
        <v>1</v>
      </c>
      <c r="G801" s="43" t="b">
        <f>AND(CB801&gt;Driver!$F$55,CB801&lt;Driver!$G$55)</f>
        <v>0</v>
      </c>
      <c r="H801" s="43" t="b">
        <f t="shared" si="444"/>
        <v>0</v>
      </c>
      <c r="I801" s="43">
        <f t="shared" si="445"/>
        <v>0</v>
      </c>
      <c r="J801" s="43" t="b">
        <f t="array" ref="J801">NOT(OR(($H$9:$H$1273=TRUE)*($I$9:$I$1273&gt;0)*($BT$9:$BT$1273=BT801)*($K$9:$K$1273&gt;K801)))</f>
        <v>1</v>
      </c>
      <c r="K801" s="72">
        <f t="shared" si="446"/>
        <v>0.79805254561655181</v>
      </c>
      <c r="L801" s="72">
        <f t="shared" si="447"/>
        <v>0.91595221266557125</v>
      </c>
      <c r="M801" s="72">
        <f t="shared" si="448"/>
        <v>0.68015287856753237</v>
      </c>
      <c r="N801" s="72">
        <f t="shared" si="449"/>
        <v>0.45013524363466362</v>
      </c>
      <c r="O801" s="72">
        <f t="shared" si="450"/>
        <v>0.59838267063167994</v>
      </c>
      <c r="P801" s="72">
        <f t="shared" si="451"/>
        <v>0.99194072143625378</v>
      </c>
      <c r="Q801" s="72"/>
      <c r="R801" s="72"/>
      <c r="S801" s="72">
        <f t="shared" si="452"/>
        <v>0.44971767046104016</v>
      </c>
      <c r="T801" s="72">
        <f t="shared" si="453"/>
        <v>0.84681327669436146</v>
      </c>
      <c r="U801" s="72">
        <f t="shared" si="454"/>
        <v>0.91646722498133171</v>
      </c>
      <c r="V801" s="72">
        <f t="shared" si="455"/>
        <v>0.50133155318559752</v>
      </c>
      <c r="W801" s="72">
        <f t="shared" si="456"/>
        <v>0.76491971958389871</v>
      </c>
      <c r="X801" s="72">
        <f t="shared" si="457"/>
        <v>8.4047787334428775E-2</v>
      </c>
      <c r="Y801" s="72">
        <f t="shared" si="458"/>
        <v>0.31984712143246757</v>
      </c>
      <c r="Z801" s="72">
        <f t="shared" si="459"/>
        <v>0.54986475636533638</v>
      </c>
      <c r="AA801" s="72">
        <f t="shared" si="460"/>
        <v>0.40161732936832012</v>
      </c>
      <c r="AB801" s="72">
        <f t="shared" si="461"/>
        <v>8.0592785637462194E-3</v>
      </c>
      <c r="AC801" s="72"/>
      <c r="AD801" s="72"/>
      <c r="AE801" s="72">
        <f t="shared" si="462"/>
        <v>0.55028232953895984</v>
      </c>
      <c r="AF801" s="72">
        <f t="shared" si="463"/>
        <v>0.15318672330563854</v>
      </c>
      <c r="AG801" s="72">
        <f t="shared" si="464"/>
        <v>8.3532775018668348E-2</v>
      </c>
      <c r="AH801" s="72">
        <f t="shared" si="465"/>
        <v>0.49866844681440248</v>
      </c>
      <c r="AI801" s="72">
        <f t="shared" si="466"/>
        <v>0.23508028041610132</v>
      </c>
      <c r="AJ801" s="72">
        <f>(AV801-Driver!$K$179)/(Driver!$L$179-Driver!$K$179)</f>
        <v>0.17017162194827165</v>
      </c>
      <c r="AK801" s="72">
        <f>(AW801-Driver!$K$180)/(Driver!$L$180-Driver!$K$180)</f>
        <v>0.28199550530507578</v>
      </c>
      <c r="AL801" s="72">
        <f>(AX801-Driver!$K$181)/(Driver!$L$181-Driver!$K$181)</f>
        <v>0.65155252007841657</v>
      </c>
      <c r="AM801" s="72">
        <f>(AY801-Driver!$K$182)/(Driver!$L$182-Driver!$K$182)</f>
        <v>4.5767691728726238E-2</v>
      </c>
      <c r="AN801" s="72">
        <f>(AZ801-Driver!$K$183)/(Driver!$L$183-Driver!$K$183)</f>
        <v>0.24616013071895421</v>
      </c>
      <c r="AO801" s="72"/>
      <c r="AP801" s="72"/>
      <c r="AQ801" s="72">
        <f>(BC801-Driver!$K$188)/(Driver!$L$188-Driver!$K$188)</f>
        <v>6.9717670461040188E-2</v>
      </c>
      <c r="AR801" s="72">
        <f>MIN((BD801-Driver!$K$189)/(Driver!$L$189-Driver!$K$189),100%)</f>
        <v>0.39681327669436151</v>
      </c>
      <c r="AS801" s="72">
        <f>(BE801-Driver!$K$190)/(Driver!$L$190-Driver!$K$190)</f>
        <v>0.42646722498133166</v>
      </c>
      <c r="AT801" s="72">
        <f>(BF801-Driver!$K$191)/(Driver!$L$191-Driver!$K$191)</f>
        <v>1.1331553185597525E-2</v>
      </c>
      <c r="AU801" s="72">
        <f>(BG801-Driver!$K$192)/(Driver!$L$192-Driver!$K$192)</f>
        <v>1.4919719583898686E-2</v>
      </c>
      <c r="AV801" s="70">
        <f t="shared" si="467"/>
        <v>3.5816035816035812</v>
      </c>
      <c r="AW801" s="70">
        <f t="shared" si="468"/>
        <v>29.354853347807101</v>
      </c>
      <c r="AX801" s="70">
        <f t="shared" si="469"/>
        <v>6.8639726807057491</v>
      </c>
      <c r="AY801" s="70">
        <f>IFERROR(Driver!$K$19/Data!BH801/Data!BI801*Data!BK801*Data!BL801,"")</f>
        <v>5.6033310437171552E-2</v>
      </c>
      <c r="AZ801" s="70">
        <f t="shared" si="470"/>
        <v>22.434847356664182</v>
      </c>
      <c r="BA801" s="70"/>
      <c r="BB801" s="70"/>
      <c r="BC801" s="70">
        <f t="shared" si="471"/>
        <v>36.163040337523519</v>
      </c>
      <c r="BD801" s="70">
        <f t="shared" si="472"/>
        <v>36.838094760027715</v>
      </c>
      <c r="BE801" s="70">
        <f t="shared" si="473"/>
        <v>0.42656953677300863</v>
      </c>
      <c r="BF801" s="70">
        <f t="shared" si="474"/>
        <v>1.2798193236465751</v>
      </c>
      <c r="BG801" s="70">
        <f t="shared" si="475"/>
        <v>5.6495576096788777E-2</v>
      </c>
      <c r="BH801" s="67">
        <f>MAX((CE801-Driver!$F$200)/(Driver!$G$200-Driver!$F$200)*$BI$1,1)</f>
        <v>6.8639726807057491</v>
      </c>
      <c r="BI801" s="67">
        <f>MAX($BI$1*(BY801-Driver!$F$201)/(Driver!$G$201-Driver!$F$201),1)</f>
        <v>8.2911392405063289</v>
      </c>
      <c r="BJ801" s="67">
        <f>(CB801-Driver!$F$206)/(Driver!$G$206-Driver!$F$206)*$BI$1</f>
        <v>2.5396825396825395</v>
      </c>
      <c r="BK801" s="67">
        <f>(CD801-Driver!$F$203)/(Driver!$G$203-Driver!$F$203)*$BI$1</f>
        <v>2.5688073394495414</v>
      </c>
      <c r="BL801" s="67">
        <f>MAX((CR801-Driver!$F$202)/(Driver!$G$202-Driver!$F$202)*$BI$1,1)</f>
        <v>6.2068965517241379</v>
      </c>
      <c r="BM801" s="67">
        <f>MAX((CH801-Driver!$F$204)/(Driver!$G$204-Driver!$F$204)*$BI$1,1)</f>
        <v>5.6410256410256405</v>
      </c>
      <c r="BN801" s="67">
        <f>(CI801-Driver!$F$205)/(Driver!$G$205-Driver!$F$205)*$BI$1</f>
        <v>2.7058823529411762</v>
      </c>
      <c r="BO801" s="67">
        <f>(CK801-Driver!$F$207)/(Driver!$G$207-Driver!$F$207)*$BI$1</f>
        <v>1.3547052740434331</v>
      </c>
      <c r="BP801" s="67">
        <f>(CM801-Driver!$F$208)/(Driver!$G$208-Driver!$F$208)*$BI$1</f>
        <v>0.9555555555555556</v>
      </c>
      <c r="BQ801" s="67">
        <f>(CL801-Driver!$F$209)/(Driver!$G$209-Driver!$F$209)*$BI$1</f>
        <v>2.1875</v>
      </c>
      <c r="BR801" s="28" t="s">
        <v>155</v>
      </c>
      <c r="BS801" s="8" t="s">
        <v>245</v>
      </c>
      <c r="BT801" s="9" t="s">
        <v>763</v>
      </c>
      <c r="BU801" s="10">
        <v>173</v>
      </c>
      <c r="BV801" s="9" t="s">
        <v>158</v>
      </c>
      <c r="BW801" s="10">
        <v>173</v>
      </c>
      <c r="BX801" s="10">
        <v>172</v>
      </c>
      <c r="BY801" s="10">
        <v>139</v>
      </c>
      <c r="BZ801" s="10">
        <v>157</v>
      </c>
      <c r="CA801" s="10">
        <v>125</v>
      </c>
      <c r="CB801" s="10">
        <v>80</v>
      </c>
      <c r="CC801" s="10">
        <v>111</v>
      </c>
      <c r="CD801" s="10">
        <v>15</v>
      </c>
      <c r="CE801" s="10">
        <v>2106</v>
      </c>
      <c r="CF801" s="10">
        <v>0.77</v>
      </c>
      <c r="CG801" s="10">
        <v>1622</v>
      </c>
      <c r="CH801" s="10">
        <v>233</v>
      </c>
      <c r="CI801" s="10">
        <v>79</v>
      </c>
      <c r="CJ801" s="10">
        <v>49</v>
      </c>
      <c r="CK801" s="10">
        <v>241</v>
      </c>
      <c r="CL801" s="10">
        <v>14</v>
      </c>
      <c r="CM801" s="10">
        <v>86</v>
      </c>
      <c r="CN801" s="10">
        <v>0.28799999999999998</v>
      </c>
      <c r="CO801" s="10">
        <v>70</v>
      </c>
      <c r="CP801" s="10">
        <v>78</v>
      </c>
      <c r="CQ801" s="10">
        <v>172</v>
      </c>
      <c r="CR801" s="10">
        <v>7</v>
      </c>
      <c r="CS801" s="10">
        <v>8.5</v>
      </c>
      <c r="CT801" s="9" t="s">
        <v>349</v>
      </c>
      <c r="CU801" s="10"/>
      <c r="CV801" s="10"/>
      <c r="CW801" s="10"/>
      <c r="CX801" t="str">
        <f>INDEX('Data_Price '!AG$2:AG$1266,MATCH(Data!$DN801,'Data_Price '!$AT$2:$AT$1266,0))</f>
        <v>Fischer 2022 RC One 78 GT Men's Skis with RSW 10 GW Powerrail Bindings</v>
      </c>
      <c r="CY801" t="str">
        <f>INDEX('Data_Price '!AH$2:AH$1266,MATCH(Data!$DN801,'Data_Price '!$AT$2:$AT$1266,0))</f>
        <v>Peter Glenn Ski &amp; Sports</v>
      </c>
      <c r="CZ801">
        <f>INDEX('Data_Price '!AI$2:AI$1266,MATCH(Data!$DN801,'Data_Price '!$AT$2:$AT$1266,0))</f>
        <v>749.99</v>
      </c>
      <c r="DA801" t="str">
        <f>INDEX('Data_Price '!AJ$2:AJ$1266,MATCH(Data!$DN801,'Data_Price '!$AT$2:$AT$1266,0))</f>
        <v>https://tinyurl.com/y8s5swnz</v>
      </c>
      <c r="DB801" t="str">
        <f>INDEX('Data_Price '!AK$2:AK$1266,MATCH(Data!$DN801,'Data_Price '!$AT$2:$AT$1266,0))</f>
        <v>Fischer, Rc One 78 Gt Twin Powerrail Skis, Lange: 173, P09521</v>
      </c>
      <c r="DC801" t="str">
        <f>INDEX('Data_Price '!AL$2:AL$1266,MATCH(Data!$DN801,'Data_Price '!$AT$2:$AT$1266,0))</f>
        <v>Bonanza - Bargain Bosses' Booth</v>
      </c>
      <c r="DD801">
        <f>INDEX('Data_Price '!AM$2:AM$1266,MATCH(Data!$DN801,'Data_Price '!$AT$2:$AT$1266,0))</f>
        <v>297</v>
      </c>
      <c r="DE801" t="str">
        <f>INDEX('Data_Price '!AN$2:AN$1266,MATCH(Data!$DN801,'Data_Price '!$AT$2:$AT$1266,0))</f>
        <v>https://tinyurl.com/yby6zucx</v>
      </c>
      <c r="DF801" t="str">
        <f>INDEX('Data_Price '!AO$2:AO$1266,MATCH(Data!$DN801,'Data_Price '!$AT$2:$AT$1266,0))</f>
        <v>Fischer Ranger 85 Skis w/ RSW 11 GW Powerrail Bindings</v>
      </c>
      <c r="DG801" t="str">
        <f>INDEX('Data_Price '!AP$2:AP$1266,MATCH(Data!$DN801,'Data_Price '!$AT$2:$AT$1266,0))</f>
        <v>The-House.com</v>
      </c>
      <c r="DH801">
        <f>INDEX('Data_Price '!AQ$2:AQ$1266,MATCH(Data!$DN801,'Data_Price '!$AT$2:$AT$1266,0))</f>
        <v>449.95</v>
      </c>
      <c r="DI801" t="str">
        <f>INDEX('Data_Price '!AR$2:AR$1266,MATCH(Data!$DN801,'Data_Price '!$AT$2:$AT$1266,0))</f>
        <v>https://tinyurl.com/ybakqlxm</v>
      </c>
      <c r="DJ801" s="89" t="str">
        <f t="shared" si="476"/>
        <v>https://tinyurl.com/y8s5swnz</v>
      </c>
      <c r="DK801" s="89" t="str">
        <f t="shared" si="477"/>
        <v>https://tinyurl.com/yby6zucx</v>
      </c>
      <c r="DL801" s="89" t="str">
        <f t="shared" si="478"/>
        <v>https://tinyurl.com/ybakqlxm</v>
      </c>
      <c r="DM801" s="219" t="str">
        <f t="shared" si="479"/>
        <v>RC One 78 GT</v>
      </c>
      <c r="DN801" s="89" t="str">
        <f t="shared" si="480"/>
        <v xml:space="preserve"> FischerRC One 78 GT173 Unisex</v>
      </c>
      <c r="DO801" s="221"/>
    </row>
    <row r="802" spans="2:119" ht="15.6" customHeight="1">
      <c r="B802" s="219" t="b">
        <f t="array" ref="B802">IF(OR(ISERROR(K802:P802)),FALSE,TRUE)</f>
        <v>1</v>
      </c>
      <c r="C802" s="43" t="b">
        <f>OR(BR802=Driver!$G$50,Data!BR397=Driver!$H$50)</f>
        <v>1</v>
      </c>
      <c r="D802" s="43" t="b">
        <f>OR(BV802=Driver!$G$51,BV802=Driver!$H$51)</f>
        <v>0</v>
      </c>
      <c r="E802" s="43" t="b">
        <f>AND(BX802&gt;Driver!$F$54,BX802&lt;Driver!$G$54)</f>
        <v>1</v>
      </c>
      <c r="F802" s="43" t="b">
        <f>CL802&gt;Driver!$F$56</f>
        <v>1</v>
      </c>
      <c r="G802" s="43" t="b">
        <f>AND(CB802&gt;Driver!$F$55,CB802&lt;Driver!$G$55)</f>
        <v>0</v>
      </c>
      <c r="H802" s="43" t="b">
        <f t="shared" si="444"/>
        <v>0</v>
      </c>
      <c r="I802" s="43">
        <f t="shared" si="445"/>
        <v>0</v>
      </c>
      <c r="J802" s="43" t="b">
        <f t="array" ref="J802">NOT(OR(($H$9:$H$1273=TRUE)*($I$9:$I$1273&gt;0)*($BT$9:$BT$1273=BT802)*($K$9:$K$1273&gt;K802)))</f>
        <v>1</v>
      </c>
      <c r="K802" s="72">
        <f t="shared" si="446"/>
        <v>0.82128072371362226</v>
      </c>
      <c r="L802" s="72">
        <f t="shared" si="447"/>
        <v>0.83860147541635688</v>
      </c>
      <c r="M802" s="72">
        <f t="shared" si="448"/>
        <v>0.80395997201088765</v>
      </c>
      <c r="N802" s="72">
        <f t="shared" si="449"/>
        <v>0.87446965203281712</v>
      </c>
      <c r="O802" s="72">
        <f t="shared" si="450"/>
        <v>0.61630287589692534</v>
      </c>
      <c r="P802" s="72">
        <f t="shared" si="451"/>
        <v>0.92110738810292048</v>
      </c>
      <c r="Q802" s="72"/>
      <c r="R802" s="72"/>
      <c r="S802" s="72">
        <f t="shared" si="452"/>
        <v>0.40424416119183504</v>
      </c>
      <c r="T802" s="72">
        <f t="shared" si="453"/>
        <v>0.59277129052810662</v>
      </c>
      <c r="U802" s="72">
        <f t="shared" si="454"/>
        <v>0.51</v>
      </c>
      <c r="V802" s="72">
        <f t="shared" si="455"/>
        <v>0.5111338457853023</v>
      </c>
      <c r="W802" s="72">
        <f t="shared" si="456"/>
        <v>0.7747736565420561</v>
      </c>
      <c r="X802" s="72">
        <f t="shared" si="457"/>
        <v>0.16139852458364318</v>
      </c>
      <c r="Y802" s="72">
        <f t="shared" si="458"/>
        <v>0.19604002798911233</v>
      </c>
      <c r="Z802" s="72">
        <f t="shared" si="459"/>
        <v>0.12553034796718288</v>
      </c>
      <c r="AA802" s="72">
        <f t="shared" si="460"/>
        <v>0.3836971241030746</v>
      </c>
      <c r="AB802" s="72">
        <f t="shared" si="461"/>
        <v>7.8892611897079495E-2</v>
      </c>
      <c r="AC802" s="72"/>
      <c r="AD802" s="72"/>
      <c r="AE802" s="72">
        <f t="shared" si="462"/>
        <v>0.59575583880816496</v>
      </c>
      <c r="AF802" s="72">
        <f t="shared" si="463"/>
        <v>0.40722870947189338</v>
      </c>
      <c r="AG802" s="72">
        <f t="shared" si="464"/>
        <v>0.49</v>
      </c>
      <c r="AH802" s="72">
        <f t="shared" si="465"/>
        <v>0.4888661542146977</v>
      </c>
      <c r="AI802" s="72">
        <f t="shared" si="466"/>
        <v>0.22522634345794393</v>
      </c>
      <c r="AJ802" s="72">
        <f>(AV802-Driver!$K$179)/(Driver!$L$179-Driver!$K$179)</f>
        <v>9.2820884699057263E-2</v>
      </c>
      <c r="AK802" s="72">
        <f>(AW802-Driver!$K$180)/(Driver!$L$180-Driver!$K$180)</f>
        <v>0.17679454045520529</v>
      </c>
      <c r="AL802" s="72">
        <f>(AX802-Driver!$K$181)/(Driver!$L$181-Driver!$K$181)</f>
        <v>0.22721811168026307</v>
      </c>
      <c r="AM802" s="72">
        <f>(AY802-Driver!$K$182)/(Driver!$L$182-Driver!$K$182)</f>
        <v>6.368789699397176E-2</v>
      </c>
      <c r="AN802" s="72">
        <f>(AZ802-Driver!$K$183)/(Driver!$L$183-Driver!$K$183)</f>
        <v>0.17532679738562093</v>
      </c>
      <c r="AO802" s="72"/>
      <c r="AP802" s="72"/>
      <c r="AQ802" s="72">
        <f>(BC802-Driver!$K$188)/(Driver!$L$188-Driver!$K$188)</f>
        <v>2.4244161191835027E-2</v>
      </c>
      <c r="AR802" s="72">
        <f>MIN((BD802-Driver!$K$189)/(Driver!$L$189-Driver!$K$189),100%)</f>
        <v>0.14277129052810664</v>
      </c>
      <c r="AS802" s="72">
        <f>(BE802-Driver!$K$190)/(Driver!$L$190-Driver!$K$190)</f>
        <v>1</v>
      </c>
      <c r="AT802" s="72">
        <f>(BF802-Driver!$K$191)/(Driver!$L$191-Driver!$K$191)</f>
        <v>2.1133845785302287E-2</v>
      </c>
      <c r="AU802" s="72">
        <f>(BG802-Driver!$K$192)/(Driver!$L$192-Driver!$K$192)</f>
        <v>2.4773656542056072E-2</v>
      </c>
      <c r="AV802" s="70">
        <f t="shared" si="467"/>
        <v>1.9536019536019533</v>
      </c>
      <c r="AW802" s="70">
        <f t="shared" si="468"/>
        <v>19.102087147809932</v>
      </c>
      <c r="AX802" s="70">
        <f t="shared" si="469"/>
        <v>3.0449630051223675</v>
      </c>
      <c r="AY802" s="70">
        <f>IFERROR(Driver!$K$19/Data!BH802/Data!BI802*Data!BK802*Data!BL802,"")</f>
        <v>7.7972988555023715E-2</v>
      </c>
      <c r="AZ802" s="70">
        <f t="shared" si="470"/>
        <v>15.979151154132541</v>
      </c>
      <c r="BA802" s="70"/>
      <c r="BB802" s="70"/>
      <c r="BC802" s="70">
        <f t="shared" si="471"/>
        <v>12.575614952879068</v>
      </c>
      <c r="BD802" s="70">
        <f t="shared" si="472"/>
        <v>14.355829120077711</v>
      </c>
      <c r="BE802" s="70">
        <f t="shared" si="473"/>
        <v>1</v>
      </c>
      <c r="BF802" s="70">
        <f t="shared" si="474"/>
        <v>2.3869194077802276</v>
      </c>
      <c r="BG802" s="70">
        <f t="shared" si="475"/>
        <v>9.3808867552570091E-2</v>
      </c>
      <c r="BH802" s="67">
        <f>MAX((CE802-Driver!$F$200)/(Driver!$G$200-Driver!$F$200)*$BI$1,1)</f>
        <v>3.0449630051223675</v>
      </c>
      <c r="BI802" s="67">
        <f>MAX($BI$1*(BY802-Driver!$F$201)/(Driver!$G$201-Driver!$F$201),1)</f>
        <v>7.3417721518987342</v>
      </c>
      <c r="BJ802" s="67">
        <f>(CB802-Driver!$F$206)/(Driver!$G$206-Driver!$F$206)*$BI$1</f>
        <v>2.8571428571428568</v>
      </c>
      <c r="BK802" s="67">
        <f>(CD802-Driver!$F$203)/(Driver!$G$203-Driver!$F$203)*$BI$1</f>
        <v>1.3302752293577984</v>
      </c>
      <c r="BL802" s="67">
        <f>MAX((CR802-Driver!$F$202)/(Driver!$G$202-Driver!$F$202)*$BI$1,1)</f>
        <v>6.5517241379310338</v>
      </c>
      <c r="BM802" s="67">
        <f>MAX((CH802-Driver!$F$204)/(Driver!$G$204-Driver!$F$204)*$BI$1,1)</f>
        <v>2.7350427350427351</v>
      </c>
      <c r="BN802" s="67">
        <f>(CI802-Driver!$F$205)/(Driver!$G$205-Driver!$F$205)*$BI$1</f>
        <v>2.1764705882352944</v>
      </c>
      <c r="BO802" s="67">
        <f>(CK802-Driver!$F$207)/(Driver!$G$207-Driver!$F$207)*$BI$1</f>
        <v>1.6132368148914167</v>
      </c>
      <c r="BP802" s="67">
        <f>(CM802-Driver!$F$208)/(Driver!$G$208-Driver!$F$208)*$BI$1</f>
        <v>0.68888888888888888</v>
      </c>
      <c r="BQ802" s="67">
        <f>(CL802-Driver!$F$209)/(Driver!$G$209-Driver!$F$209)*$BI$1</f>
        <v>0.78125</v>
      </c>
      <c r="BR802" s="28" t="s">
        <v>155</v>
      </c>
      <c r="BS802" s="8" t="s">
        <v>202</v>
      </c>
      <c r="BT802" s="9" t="s">
        <v>649</v>
      </c>
      <c r="BU802" s="10">
        <v>156</v>
      </c>
      <c r="BV802" s="9" t="s">
        <v>163</v>
      </c>
      <c r="BW802" s="10">
        <v>156</v>
      </c>
      <c r="BX802" s="10">
        <v>156.69999999999999</v>
      </c>
      <c r="BY802" s="10">
        <v>124</v>
      </c>
      <c r="BZ802" s="10">
        <v>125</v>
      </c>
      <c r="CA802" s="10">
        <v>121</v>
      </c>
      <c r="CB802" s="10">
        <v>82</v>
      </c>
      <c r="CC802" s="10">
        <v>103</v>
      </c>
      <c r="CD802" s="10">
        <v>12.3</v>
      </c>
      <c r="CE802" s="10">
        <v>1435</v>
      </c>
      <c r="CF802" s="10">
        <v>1.03</v>
      </c>
      <c r="CG802" s="10">
        <v>1485</v>
      </c>
      <c r="CH802" s="10">
        <v>165</v>
      </c>
      <c r="CI802" s="10">
        <v>70</v>
      </c>
      <c r="CJ802" s="10">
        <v>40</v>
      </c>
      <c r="CK802" s="10">
        <v>266</v>
      </c>
      <c r="CL802" s="10">
        <v>5</v>
      </c>
      <c r="CM802" s="10">
        <v>62</v>
      </c>
      <c r="CN802" s="10">
        <v>0.124</v>
      </c>
      <c r="CO802" s="10">
        <v>169</v>
      </c>
      <c r="CP802" s="10">
        <v>143</v>
      </c>
      <c r="CQ802" s="10">
        <v>96</v>
      </c>
      <c r="CR802" s="10">
        <v>8</v>
      </c>
      <c r="CS802" s="10">
        <v>6</v>
      </c>
      <c r="CT802" s="9" t="s">
        <v>231</v>
      </c>
      <c r="CU802" s="9" t="s">
        <v>188</v>
      </c>
      <c r="CV802" s="10"/>
      <c r="CW802" s="10"/>
      <c r="CX802" t="str">
        <f>INDEX('Data_Price '!AG$2:AG$1266,MATCH(Data!$DN802,'Data_Price '!$AT$2:$AT$1266,0))</f>
        <v>Dynastar M-PRO 84 W 156cm</v>
      </c>
      <c r="CY802" t="str">
        <f>INDEX('Data_Price '!AH$2:AH$1266,MATCH(Data!$DN802,'Data_Price '!$AT$2:$AT$1266,0))</f>
        <v>Sundance Ski and Board Shop</v>
      </c>
      <c r="CZ802">
        <f>INDEX('Data_Price '!AI$2:AI$1266,MATCH(Data!$DN802,'Data_Price '!$AT$2:$AT$1266,0))</f>
        <v>360.64</v>
      </c>
      <c r="DA802" t="str">
        <f>INDEX('Data_Price '!AJ$2:AJ$1266,MATCH(Data!$DN802,'Data_Price '!$AT$2:$AT$1266,0))</f>
        <v>https://tinyurl.com/yagps3za</v>
      </c>
      <c r="DB802" t="str">
        <f>INDEX('Data_Price '!AK$2:AK$1266,MATCH(Data!$DN802,'Data_Price '!$AT$2:$AT$1266,0))</f>
        <v>Dynastar M-Pro 84 W Skis</v>
      </c>
      <c r="DC802" t="str">
        <f>INDEX('Data_Price '!AL$2:AL$1266,MATCH(Data!$DN802,'Data_Price '!$AT$2:$AT$1266,0))</f>
        <v>Cole Sport</v>
      </c>
      <c r="DD802">
        <f>INDEX('Data_Price '!AM$2:AM$1266,MATCH(Data!$DN802,'Data_Price '!$AT$2:$AT$1266,0))</f>
        <v>399.96</v>
      </c>
      <c r="DE802" t="str">
        <f>INDEX('Data_Price '!AN$2:AN$1266,MATCH(Data!$DN802,'Data_Price '!$AT$2:$AT$1266,0))</f>
        <v>https://tinyurl.com/y86fmm5x</v>
      </c>
      <c r="DF802" t="str">
        <f>INDEX('Data_Price '!AO$2:AO$1266,MATCH(Data!$DN802,'Data_Price '!$AT$2:$AT$1266,0))</f>
        <v>Dynastar M-Pro 84 Skis - Women's 2022</v>
      </c>
      <c r="DG802" t="str">
        <f>INDEX('Data_Price '!AP$2:AP$1266,MATCH(Data!$DN802,'Data_Price '!$AT$2:$AT$1266,0))</f>
        <v>Next Adventure</v>
      </c>
      <c r="DH802">
        <f>INDEX('Data_Price '!AQ$2:AQ$1266,MATCH(Data!$DN802,'Data_Price '!$AT$2:$AT$1266,0))</f>
        <v>349.97</v>
      </c>
      <c r="DI802" t="str">
        <f>INDEX('Data_Price '!AR$2:AR$1266,MATCH(Data!$DN802,'Data_Price '!$AT$2:$AT$1266,0))</f>
        <v>https://tinyurl.com/ybl2l43g</v>
      </c>
      <c r="DJ802" s="89" t="str">
        <f t="shared" si="476"/>
        <v>https://tinyurl.com/yagps3za</v>
      </c>
      <c r="DK802" s="89" t="str">
        <f t="shared" si="477"/>
        <v>https://tinyurl.com/y86fmm5x</v>
      </c>
      <c r="DL802" s="89" t="str">
        <f t="shared" si="478"/>
        <v>https://tinyurl.com/ybl2l43g</v>
      </c>
      <c r="DM802" s="219" t="str">
        <f t="shared" si="479"/>
        <v>M-Pro 84 W</v>
      </c>
      <c r="DN802" s="89" t="str">
        <f t="shared" si="480"/>
        <v xml:space="preserve"> DynastarM-Pro 84 W156 Women's</v>
      </c>
      <c r="DO802" s="221" t="s">
        <v>650</v>
      </c>
    </row>
    <row r="803" spans="2:119" ht="15.6" customHeight="1">
      <c r="B803" s="219" t="b">
        <f t="array" ref="B803">IF(OR(ISERROR(K803:P803)),FALSE,TRUE)</f>
        <v>1</v>
      </c>
      <c r="C803" s="43" t="b">
        <f>OR(BR803=Driver!$G$50,Data!BR1002=Driver!$H$50)</f>
        <v>1</v>
      </c>
      <c r="D803" s="43" t="b">
        <f>OR(BV803=Driver!$G$51,BV803=Driver!$H$51)</f>
        <v>0</v>
      </c>
      <c r="E803" s="43" t="b">
        <f>AND(BX803&gt;Driver!$F$54,BX803&lt;Driver!$G$54)</f>
        <v>0</v>
      </c>
      <c r="F803" s="43" t="b">
        <f>CL803&gt;Driver!$F$56</f>
        <v>1</v>
      </c>
      <c r="G803" s="43" t="b">
        <f>AND(CB803&gt;Driver!$F$55,CB803&lt;Driver!$G$55)</f>
        <v>0</v>
      </c>
      <c r="H803" s="43" t="b">
        <f t="shared" si="444"/>
        <v>0</v>
      </c>
      <c r="I803" s="43">
        <f t="shared" si="445"/>
        <v>0</v>
      </c>
      <c r="J803" s="43" t="b">
        <f t="array" ref="J803">NOT(OR(($H$9:$H$1273=TRUE)*($I$9:$I$1273&gt;0)*($BT$9:$BT$1273=BT803)*($K$9:$K$1273&gt;K803)))</f>
        <v>1</v>
      </c>
      <c r="K803" s="72">
        <f t="shared" si="446"/>
        <v>0.77733770483819864</v>
      </c>
      <c r="L803" s="72">
        <f t="shared" si="447"/>
        <v>0.79605856992928892</v>
      </c>
      <c r="M803" s="72">
        <f t="shared" si="448"/>
        <v>0.75861683974710847</v>
      </c>
      <c r="N803" s="72">
        <f t="shared" si="449"/>
        <v>0.81186293603964699</v>
      </c>
      <c r="O803" s="72">
        <f t="shared" si="450"/>
        <v>0.58756973758241804</v>
      </c>
      <c r="P803" s="72">
        <f t="shared" si="451"/>
        <v>0.87641784561926039</v>
      </c>
      <c r="Q803" s="72"/>
      <c r="R803" s="72"/>
      <c r="S803" s="72">
        <f t="shared" si="452"/>
        <v>0.39525820818759672</v>
      </c>
      <c r="T803" s="72">
        <f t="shared" si="453"/>
        <v>0.77026800662521389</v>
      </c>
      <c r="U803" s="72">
        <f t="shared" si="454"/>
        <v>0.51</v>
      </c>
      <c r="V803" s="72">
        <f t="shared" si="455"/>
        <v>0.49539883231661752</v>
      </c>
      <c r="W803" s="72">
        <f t="shared" si="456"/>
        <v>0.78087539432176656</v>
      </c>
      <c r="X803" s="72">
        <f t="shared" si="457"/>
        <v>0.20394143007071108</v>
      </c>
      <c r="Y803" s="72">
        <f t="shared" si="458"/>
        <v>0.24138316025289153</v>
      </c>
      <c r="Z803" s="72">
        <f t="shared" si="459"/>
        <v>0.18813706396035301</v>
      </c>
      <c r="AA803" s="72">
        <f t="shared" si="460"/>
        <v>0.41243026241758196</v>
      </c>
      <c r="AB803" s="72">
        <f t="shared" si="461"/>
        <v>0.12358215438073963</v>
      </c>
      <c r="AC803" s="72"/>
      <c r="AD803" s="72"/>
      <c r="AE803" s="72">
        <f t="shared" si="462"/>
        <v>0.60474179181240328</v>
      </c>
      <c r="AF803" s="72">
        <f t="shared" si="463"/>
        <v>0.22973199337478606</v>
      </c>
      <c r="AG803" s="72">
        <f t="shared" si="464"/>
        <v>0.49</v>
      </c>
      <c r="AH803" s="72">
        <f t="shared" si="465"/>
        <v>0.50460116768338248</v>
      </c>
      <c r="AI803" s="72">
        <f t="shared" si="466"/>
        <v>0.21912460567823344</v>
      </c>
      <c r="AJ803" s="72">
        <f>(AV803-Driver!$K$179)/(Driver!$L$179-Driver!$K$179)</f>
        <v>5.0277979211989357E-2</v>
      </c>
      <c r="AK803" s="72">
        <f>(AW803-Driver!$K$180)/(Driver!$L$180-Driver!$K$180)</f>
        <v>0.1404234150567506</v>
      </c>
      <c r="AL803" s="72">
        <f>(AX803-Driver!$K$181)/(Driver!$L$181-Driver!$K$181)</f>
        <v>0.28982482767343321</v>
      </c>
      <c r="AM803" s="72">
        <f>(AY803-Driver!$K$182)/(Driver!$L$182-Driver!$K$182)</f>
        <v>3.4954758679464376E-2</v>
      </c>
      <c r="AN803" s="72">
        <f>(AZ803-Driver!$K$183)/(Driver!$L$183-Driver!$K$183)</f>
        <v>0.13063725490196079</v>
      </c>
      <c r="AO803" s="72"/>
      <c r="AP803" s="72"/>
      <c r="AQ803" s="72">
        <f>(BC803-Driver!$K$188)/(Driver!$L$188-Driver!$K$188)</f>
        <v>1.5258208187596685E-2</v>
      </c>
      <c r="AR803" s="72">
        <f>MIN((BD803-Driver!$K$189)/(Driver!$L$189-Driver!$K$189),100%)</f>
        <v>0.32026800662521399</v>
      </c>
      <c r="AS803" s="72">
        <f>(BE803-Driver!$K$190)/(Driver!$L$190-Driver!$K$190)</f>
        <v>1</v>
      </c>
      <c r="AT803" s="72">
        <f>(BF803-Driver!$K$191)/(Driver!$L$191-Driver!$K$191)</f>
        <v>5.3988323166175465E-3</v>
      </c>
      <c r="AU803" s="72">
        <f>(BG803-Driver!$K$192)/(Driver!$L$192-Driver!$K$192)</f>
        <v>3.0875394321766558E-2</v>
      </c>
      <c r="AV803" s="70">
        <f t="shared" si="467"/>
        <v>1.0582010582010581</v>
      </c>
      <c r="AW803" s="70">
        <f t="shared" si="468"/>
        <v>15.557398696774365</v>
      </c>
      <c r="AX803" s="70">
        <f t="shared" si="469"/>
        <v>3.6084234490608988</v>
      </c>
      <c r="AY803" s="70">
        <f>IFERROR(Driver!$K$19/Data!BH803/Data!BI803*Data!BK803*Data!BL803,"")</f>
        <v>4.2795054117040016E-2</v>
      </c>
      <c r="AZ803" s="70">
        <f t="shared" si="470"/>
        <v>11.906180193596427</v>
      </c>
      <c r="BA803" s="70"/>
      <c r="BB803" s="70"/>
      <c r="BC803" s="70">
        <f t="shared" si="471"/>
        <v>7.914538660248831</v>
      </c>
      <c r="BD803" s="70">
        <f t="shared" si="472"/>
        <v>30.063973989101061</v>
      </c>
      <c r="BE803" s="70">
        <f t="shared" si="473"/>
        <v>1</v>
      </c>
      <c r="BF803" s="70">
        <f t="shared" si="474"/>
        <v>0.609760181218299</v>
      </c>
      <c r="BG803" s="70">
        <f t="shared" si="475"/>
        <v>0.11691393927444794</v>
      </c>
      <c r="BH803" s="67">
        <f>MAX((CE803-Driver!$F$200)/(Driver!$G$200-Driver!$F$200)*$BI$1,1)</f>
        <v>3.6084234490608988</v>
      </c>
      <c r="BI803" s="67">
        <f>MAX($BI$1*(BY803-Driver!$F$201)/(Driver!$G$201-Driver!$F$201),1)</f>
        <v>7.7848101265822782</v>
      </c>
      <c r="BJ803" s="67">
        <f>(CB803-Driver!$F$206)/(Driver!$G$206-Driver!$F$206)*$BI$1</f>
        <v>1.9047619047619047</v>
      </c>
      <c r="BK803" s="67">
        <f>(CD803-Driver!$F$203)/(Driver!$G$203-Driver!$F$203)*$BI$1</f>
        <v>0.91743119266055051</v>
      </c>
      <c r="BL803" s="67">
        <f>MAX((CR803-Driver!$F$202)/(Driver!$G$202-Driver!$F$202)*$BI$1,1)</f>
        <v>6.5517241379310338</v>
      </c>
      <c r="BM803" s="67">
        <f>MAX((CH803-Driver!$F$204)/(Driver!$G$204-Driver!$F$204)*$BI$1,1)</f>
        <v>2.2222222222222223</v>
      </c>
      <c r="BN803" s="67">
        <f>(CI803-Driver!$F$205)/(Driver!$G$205-Driver!$F$205)*$BI$1</f>
        <v>1.5294117647058825</v>
      </c>
      <c r="BO803" s="67">
        <f>(CK803-Driver!$F$207)/(Driver!$G$207-Driver!$F$207)*$BI$1</f>
        <v>0.37228541882109617</v>
      </c>
      <c r="BP803" s="67">
        <f>(CM803-Driver!$F$208)/(Driver!$G$208-Driver!$F$208)*$BI$1</f>
        <v>0.78888888888888886</v>
      </c>
      <c r="BQ803" s="67">
        <f>(CL803-Driver!$F$209)/(Driver!$G$209-Driver!$F$209)*$BI$1</f>
        <v>0.9375</v>
      </c>
      <c r="BR803" s="28" t="s">
        <v>155</v>
      </c>
      <c r="BS803" s="8" t="s">
        <v>172</v>
      </c>
      <c r="BT803" s="9" t="s">
        <v>764</v>
      </c>
      <c r="BU803" s="10">
        <v>152</v>
      </c>
      <c r="BV803" s="9" t="s">
        <v>163</v>
      </c>
      <c r="BW803" s="10">
        <v>152</v>
      </c>
      <c r="BX803" s="10">
        <v>152.4</v>
      </c>
      <c r="BY803" s="10">
        <v>131</v>
      </c>
      <c r="BZ803" s="10">
        <v>137</v>
      </c>
      <c r="CA803" s="10">
        <v>123</v>
      </c>
      <c r="CB803" s="10">
        <v>76</v>
      </c>
      <c r="CC803" s="10">
        <v>109</v>
      </c>
      <c r="CD803" s="10">
        <v>11.4</v>
      </c>
      <c r="CE803" s="10">
        <v>1534</v>
      </c>
      <c r="CF803" s="10">
        <v>0.91</v>
      </c>
      <c r="CG803" s="10">
        <v>1393</v>
      </c>
      <c r="CH803" s="10">
        <v>153</v>
      </c>
      <c r="CI803" s="10">
        <v>59</v>
      </c>
      <c r="CJ803" s="10">
        <v>35</v>
      </c>
      <c r="CK803" s="10">
        <v>146</v>
      </c>
      <c r="CL803" s="10">
        <v>6</v>
      </c>
      <c r="CM803" s="10">
        <v>71</v>
      </c>
      <c r="CN803" s="10">
        <v>0.16600000000000001</v>
      </c>
      <c r="CO803" s="10">
        <v>71</v>
      </c>
      <c r="CP803" s="10">
        <v>82</v>
      </c>
      <c r="CQ803" s="10">
        <v>75</v>
      </c>
      <c r="CR803" s="10">
        <v>8</v>
      </c>
      <c r="CS803" s="10">
        <v>8.4</v>
      </c>
      <c r="CT803" s="9" t="s">
        <v>349</v>
      </c>
      <c r="CU803" s="9" t="s">
        <v>231</v>
      </c>
      <c r="CV803" s="10"/>
      <c r="CW803" s="10"/>
      <c r="CX803" t="str">
        <f>INDEX('Data_Price '!AG$2:AG$1266,MATCH(Data!$DN803,'Data_Price '!$AT$2:$AT$1266,0))</f>
        <v>Rossignol ALL MOUNTAIN Women's Skis EXPERIENCE W 76 (XPRESS) 152</v>
      </c>
      <c r="CY803" t="str">
        <f>INDEX('Data_Price '!AH$2:AH$1266,MATCH(Data!$DN803,'Data_Price '!$AT$2:$AT$1266,0))</f>
        <v>shop.petersonsskiandcycle.com</v>
      </c>
      <c r="CZ803">
        <f>INDEX('Data_Price '!AI$2:AI$1266,MATCH(Data!$DN803,'Data_Price '!$AT$2:$AT$1266,0))</f>
        <v>399.99</v>
      </c>
      <c r="DA803" t="str">
        <f>INDEX('Data_Price '!AJ$2:AJ$1266,MATCH(Data!$DN803,'Data_Price '!$AT$2:$AT$1266,0))</f>
        <v>https://tinyurl.com/y8o588px</v>
      </c>
      <c r="DB803" t="str">
        <f>INDEX('Data_Price '!AK$2:AK$1266,MATCH(Data!$DN803,'Data_Price '!$AT$2:$AT$1266,0))</f>
        <v>Rossignol Experience 76 Skis w/ Look Xpress 10 GW Bindings</v>
      </c>
      <c r="DC803" t="str">
        <f>INDEX('Data_Price '!AL$2:AL$1266,MATCH(Data!$DN803,'Data_Price '!$AT$2:$AT$1266,0))</f>
        <v>The-House.com</v>
      </c>
      <c r="DD803">
        <f>INDEX('Data_Price '!AM$2:AM$1266,MATCH(Data!$DN803,'Data_Price '!$AT$2:$AT$1266,0))</f>
        <v>319.95</v>
      </c>
      <c r="DE803" t="str">
        <f>INDEX('Data_Price '!AN$2:AN$1266,MATCH(Data!$DN803,'Data_Price '!$AT$2:$AT$1266,0))</f>
        <v>https://tinyurl.com/ycrkn3z7</v>
      </c>
      <c r="DF803" t="str">
        <f>INDEX('Data_Price '!AO$2:AO$1266,MATCH(Data!$DN803,'Data_Price '!$AT$2:$AT$1266,0))</f>
        <v>Rossignol Experience 76 Skis w/ Xpress 10 Bindings</v>
      </c>
      <c r="DG803" t="str">
        <f>INDEX('Data_Price '!AP$2:AP$1266,MATCH(Data!$DN803,'Data_Price '!$AT$2:$AT$1266,0))</f>
        <v>Rossignol US</v>
      </c>
      <c r="DH803">
        <f>INDEX('Data_Price '!AQ$2:AQ$1266,MATCH(Data!$DN803,'Data_Price '!$AT$2:$AT$1266,0))</f>
        <v>399.95</v>
      </c>
      <c r="DI803" t="str">
        <f>INDEX('Data_Price '!AR$2:AR$1266,MATCH(Data!$DN803,'Data_Price '!$AT$2:$AT$1266,0))</f>
        <v>https://tinyurl.com/ya9jtbq6</v>
      </c>
      <c r="DJ803" s="89" t="str">
        <f t="shared" si="476"/>
        <v>https://tinyurl.com/y8o588px</v>
      </c>
      <c r="DK803" s="89" t="str">
        <f t="shared" si="477"/>
        <v>https://tinyurl.com/ycrkn3z7</v>
      </c>
      <c r="DL803" s="89" t="str">
        <f t="shared" si="478"/>
        <v>https://tinyurl.com/ya9jtbq6</v>
      </c>
      <c r="DM803" s="219" t="str">
        <f t="shared" si="479"/>
        <v>Experience 76 W</v>
      </c>
      <c r="DN803" s="89" t="str">
        <f t="shared" si="480"/>
        <v xml:space="preserve"> RossignolExperience 76 W152 Women's</v>
      </c>
      <c r="DO803" s="221"/>
    </row>
    <row r="804" spans="2:119" ht="15.6" customHeight="1">
      <c r="B804" s="219" t="b">
        <f t="array" ref="B804">IF(OR(ISERROR(K804:P804)),FALSE,TRUE)</f>
        <v>1</v>
      </c>
      <c r="C804" s="43" t="b">
        <f>OR(BR804=Driver!$G$50,Data!BR206=Driver!$H$50)</f>
        <v>1</v>
      </c>
      <c r="D804" s="43" t="b">
        <f>OR(BV804=Driver!$G$51,BV804=Driver!$H$51)</f>
        <v>0</v>
      </c>
      <c r="E804" s="43" t="b">
        <f>AND(BX804&gt;Driver!$F$54,BX804&lt;Driver!$G$54)</f>
        <v>1</v>
      </c>
      <c r="F804" s="43" t="b">
        <f>CL804&gt;Driver!$F$56</f>
        <v>1</v>
      </c>
      <c r="G804" s="43" t="b">
        <f>AND(CB804&gt;Driver!$F$55,CB804&lt;Driver!$G$55)</f>
        <v>0</v>
      </c>
      <c r="H804" s="43" t="b">
        <f t="shared" si="444"/>
        <v>0</v>
      </c>
      <c r="I804" s="43">
        <f t="shared" si="445"/>
        <v>0</v>
      </c>
      <c r="J804" s="43" t="b">
        <f t="array" ref="J804">NOT(OR(($H$9:$H$1273=TRUE)*($I$9:$I$1273&gt;0)*($BT$9:$BT$1273=BT804)*($K$9:$K$1273&gt;K804)))</f>
        <v>1</v>
      </c>
      <c r="K804" s="72">
        <f t="shared" si="446"/>
        <v>0.84105262383778223</v>
      </c>
      <c r="L804" s="72">
        <f t="shared" si="447"/>
        <v>0.86317644922990933</v>
      </c>
      <c r="M804" s="72">
        <f t="shared" si="448"/>
        <v>0.81892879844565525</v>
      </c>
      <c r="N804" s="72">
        <f t="shared" si="449"/>
        <v>0.80617141640390422</v>
      </c>
      <c r="O804" s="72">
        <f t="shared" si="450"/>
        <v>0.77672981305236333</v>
      </c>
      <c r="P804" s="72">
        <f t="shared" si="451"/>
        <v>0.87388516588069831</v>
      </c>
      <c r="Q804" s="72"/>
      <c r="R804" s="72"/>
      <c r="S804" s="72">
        <f t="shared" si="452"/>
        <v>0.42189125976049235</v>
      </c>
      <c r="T804" s="72">
        <f t="shared" si="453"/>
        <v>0.46580222982254227</v>
      </c>
      <c r="U804" s="72">
        <f t="shared" si="454"/>
        <v>0.75183264702874564</v>
      </c>
      <c r="V804" s="72">
        <f t="shared" si="455"/>
        <v>0.50664616495188008</v>
      </c>
      <c r="W804" s="72">
        <f t="shared" si="456"/>
        <v>0.91840938420303764</v>
      </c>
      <c r="X804" s="72">
        <f t="shared" si="457"/>
        <v>0.13682355077009067</v>
      </c>
      <c r="Y804" s="72">
        <f t="shared" si="458"/>
        <v>0.18107120155434475</v>
      </c>
      <c r="Z804" s="72">
        <f t="shared" si="459"/>
        <v>0.19382858359609578</v>
      </c>
      <c r="AA804" s="72">
        <f t="shared" si="460"/>
        <v>0.22327018694763665</v>
      </c>
      <c r="AB804" s="72">
        <f t="shared" si="461"/>
        <v>0.12611483411930174</v>
      </c>
      <c r="AC804" s="72"/>
      <c r="AD804" s="72"/>
      <c r="AE804" s="72">
        <f t="shared" si="462"/>
        <v>0.57810874023950765</v>
      </c>
      <c r="AF804" s="72">
        <f t="shared" si="463"/>
        <v>0.53419777017745773</v>
      </c>
      <c r="AG804" s="72">
        <f t="shared" si="464"/>
        <v>0.24816735297125436</v>
      </c>
      <c r="AH804" s="72">
        <f t="shared" si="465"/>
        <v>0.49335383504811992</v>
      </c>
      <c r="AI804" s="72">
        <f t="shared" si="466"/>
        <v>8.159061579696239E-2</v>
      </c>
      <c r="AJ804" s="72">
        <f>(AV804-Driver!$K$179)/(Driver!$L$179-Driver!$K$179)</f>
        <v>0.11739585851260977</v>
      </c>
      <c r="AK804" s="72">
        <f>(AW804-Driver!$K$180)/(Driver!$L$180-Driver!$K$180)</f>
        <v>0.14095682516145447</v>
      </c>
      <c r="AL804" s="72">
        <f>(AX804-Driver!$K$181)/(Driver!$L$181-Driver!$K$181)</f>
        <v>0.29551634730917598</v>
      </c>
      <c r="AM804" s="72">
        <f>(AY804-Driver!$K$182)/(Driver!$L$182-Driver!$K$182)</f>
        <v>0.22411483414940972</v>
      </c>
      <c r="AN804" s="72">
        <f>(AZ804-Driver!$K$183)/(Driver!$L$183-Driver!$K$183)</f>
        <v>0.12810457516339868</v>
      </c>
      <c r="AO804" s="72"/>
      <c r="AP804" s="72"/>
      <c r="AQ804" s="72">
        <f>(BC804-Driver!$K$188)/(Driver!$L$188-Driver!$K$188)</f>
        <v>4.1891259760492371E-2</v>
      </c>
      <c r="AR804" s="72">
        <f>MIN((BD804-Driver!$K$189)/(Driver!$L$189-Driver!$K$189),100%)</f>
        <v>1.5802229822542271E-2</v>
      </c>
      <c r="AS804" s="72">
        <f>(BE804-Driver!$K$190)/(Driver!$L$190-Driver!$K$190)</f>
        <v>0.26183264702874565</v>
      </c>
      <c r="AT804" s="72">
        <f>(BF804-Driver!$K$191)/(Driver!$L$191-Driver!$K$191)</f>
        <v>1.664616495188008E-2</v>
      </c>
      <c r="AU804" s="72">
        <f>(BG804-Driver!$K$192)/(Driver!$L$192-Driver!$K$192)</f>
        <v>0.16840938420303761</v>
      </c>
      <c r="AV804" s="70">
        <f t="shared" si="467"/>
        <v>2.4708316374983039</v>
      </c>
      <c r="AW804" s="70">
        <f t="shared" si="468"/>
        <v>15.609384237972103</v>
      </c>
      <c r="AX804" s="70">
        <f t="shared" si="469"/>
        <v>3.659647125782584</v>
      </c>
      <c r="AY804" s="70">
        <f>IFERROR(Driver!$K$19/Data!BH804/Data!BI804*Data!BK804*Data!BL804,"")</f>
        <v>0.27438342641141084</v>
      </c>
      <c r="AZ804" s="70">
        <f t="shared" si="470"/>
        <v>11.675353685778108</v>
      </c>
      <c r="BA804" s="70"/>
      <c r="BB804" s="70"/>
      <c r="BC804" s="70">
        <f t="shared" si="471"/>
        <v>21.729287661080562</v>
      </c>
      <c r="BD804" s="70">
        <f t="shared" si="472"/>
        <v>3.1192922234983134</v>
      </c>
      <c r="BE804" s="70">
        <f t="shared" si="473"/>
        <v>0.26196432777608825</v>
      </c>
      <c r="BF804" s="70">
        <f t="shared" si="474"/>
        <v>1.8800673853873899</v>
      </c>
      <c r="BG804" s="70">
        <f t="shared" si="475"/>
        <v>0.63770536216538165</v>
      </c>
      <c r="BH804" s="67">
        <f>MAX((CE804-Driver!$F$200)/(Driver!$G$200-Driver!$F$200)*$BI$1,1)</f>
        <v>3.659647125782584</v>
      </c>
      <c r="BI804" s="67">
        <f>MAX($BI$1*(BY804-Driver!$F$201)/(Driver!$G$201-Driver!$F$201),1)</f>
        <v>7.0886075949367084</v>
      </c>
      <c r="BJ804" s="67">
        <f>(CB804-Driver!$F$206)/(Driver!$G$206-Driver!$F$206)*$BI$1</f>
        <v>4.92063492063492</v>
      </c>
      <c r="BK804" s="67">
        <f>(CD804-Driver!$F$203)/(Driver!$G$203-Driver!$F$203)*$BI$1</f>
        <v>4.1284403669724767</v>
      </c>
      <c r="BL804" s="67">
        <f>MAX((CR804-Driver!$F$202)/(Driver!$G$202-Driver!$F$202)*$BI$1,1)</f>
        <v>8.6206896551724128</v>
      </c>
      <c r="BM804" s="67">
        <f>MAX((CH804-Driver!$F$204)/(Driver!$G$204-Driver!$F$204)*$BI$1,1)</f>
        <v>2.0085470085470085</v>
      </c>
      <c r="BN804" s="67">
        <f>(CI804-Driver!$F$205)/(Driver!$G$205-Driver!$F$205)*$BI$1</f>
        <v>1.6470588235294117</v>
      </c>
      <c r="BO804" s="67">
        <f>(CK804-Driver!$F$207)/(Driver!$G$207-Driver!$F$207)*$BI$1</f>
        <v>0.91003102378490175</v>
      </c>
      <c r="BP804" s="67">
        <f>(CM804-Driver!$F$208)/(Driver!$G$208-Driver!$F$208)*$BI$1</f>
        <v>1.7333333333333334</v>
      </c>
      <c r="BQ804" s="67">
        <f>(CL804-Driver!$F$209)/(Driver!$G$209-Driver!$F$209)*$BI$1</f>
        <v>4.6875</v>
      </c>
      <c r="BR804" s="28" t="s">
        <v>155</v>
      </c>
      <c r="BS804" s="8" t="s">
        <v>237</v>
      </c>
      <c r="BT804" s="9" t="s">
        <v>642</v>
      </c>
      <c r="BU804" s="10">
        <v>156.1</v>
      </c>
      <c r="BV804" s="9" t="s">
        <v>163</v>
      </c>
      <c r="BW804" s="10">
        <v>156.1</v>
      </c>
      <c r="BX804" s="10">
        <v>154.9</v>
      </c>
      <c r="BY804" s="10">
        <v>120</v>
      </c>
      <c r="BZ804" s="10">
        <v>136</v>
      </c>
      <c r="CA804" s="10">
        <v>126</v>
      </c>
      <c r="CB804" s="10">
        <v>95</v>
      </c>
      <c r="CC804" s="10">
        <v>114</v>
      </c>
      <c r="CD804" s="10">
        <v>18.399999999999999</v>
      </c>
      <c r="CE804" s="10">
        <v>1543</v>
      </c>
      <c r="CF804" s="10">
        <v>1.05</v>
      </c>
      <c r="CG804" s="10">
        <v>1616</v>
      </c>
      <c r="CH804" s="10">
        <v>148</v>
      </c>
      <c r="CI804" s="10">
        <v>61</v>
      </c>
      <c r="CJ804" s="10">
        <v>38</v>
      </c>
      <c r="CK804" s="10">
        <v>198</v>
      </c>
      <c r="CL804" s="10">
        <v>30</v>
      </c>
      <c r="CM804" s="10">
        <v>156</v>
      </c>
      <c r="CN804" s="10">
        <v>0.78700000000000003</v>
      </c>
      <c r="CO804" s="10">
        <v>100</v>
      </c>
      <c r="CP804" s="10">
        <v>94</v>
      </c>
      <c r="CQ804" s="10">
        <v>98</v>
      </c>
      <c r="CR804" s="10">
        <v>14</v>
      </c>
      <c r="CS804" s="10">
        <v>6.6</v>
      </c>
      <c r="CT804" s="9" t="s">
        <v>188</v>
      </c>
      <c r="CU804" s="10"/>
      <c r="CV804" s="10"/>
      <c r="CW804" s="10"/>
      <c r="CX804" t="str">
        <f>INDEX('Data_Price '!AG$2:AG$1266,MATCH(Data!$DN804,'Data_Price '!$AT$2:$AT$1266,0))</f>
        <v>Black Crows Camox Birdie Skis</v>
      </c>
      <c r="CY804" t="str">
        <f>INDEX('Data_Price '!AH$2:AH$1266,MATCH(Data!$DN804,'Data_Price '!$AT$2:$AT$1266,0))</f>
        <v>Powder7 Ski Shop</v>
      </c>
      <c r="CZ804">
        <f>INDEX('Data_Price '!AI$2:AI$1266,MATCH(Data!$DN804,'Data_Price '!$AT$2:$AT$1266,0))</f>
        <v>519.91</v>
      </c>
      <c r="DA804" t="str">
        <f>INDEX('Data_Price '!AJ$2:AJ$1266,MATCH(Data!$DN804,'Data_Price '!$AT$2:$AT$1266,0))</f>
        <v>https://tinyurl.com/y8uqheuh</v>
      </c>
      <c r="DB804" t="str">
        <f>INDEX('Data_Price '!AK$2:AK$1266,MATCH(Data!$DN804,'Data_Price '!$AT$2:$AT$1266,0))</f>
        <v>Black crows camox birdie skis - women</v>
      </c>
      <c r="DC804" t="str">
        <f>INDEX('Data_Price '!AL$2:AL$1266,MATCH(Data!$DN804,'Data_Price '!$AT$2:$AT$1266,0))</f>
        <v>PRFO Sports</v>
      </c>
      <c r="DD804">
        <f>INDEX('Data_Price '!AM$2:AM$1266,MATCH(Data!$DN804,'Data_Price '!$AT$2:$AT$1266,0))</f>
        <v>615.51</v>
      </c>
      <c r="DE804" t="str">
        <f>INDEX('Data_Price '!AN$2:AN$1266,MATCH(Data!$DN804,'Data_Price '!$AT$2:$AT$1266,0))</f>
        <v>https://tinyurl.com/y9ucn3lc</v>
      </c>
      <c r="DF804" t="str">
        <f>INDEX('Data_Price '!AO$2:AO$1266,MATCH(Data!$DN804,'Data_Price '!$AT$2:$AT$1266,0))</f>
        <v>Black Crows Camox Birdie Ski 156</v>
      </c>
      <c r="DG804" t="str">
        <f>INDEX('Data_Price '!AP$2:AP$1266,MATCH(Data!$DN804,'Data_Price '!$AT$2:$AT$1266,0))</f>
        <v>Buzz's Boards</v>
      </c>
      <c r="DH804">
        <f>INDEX('Data_Price '!AQ$2:AQ$1266,MATCH(Data!$DN804,'Data_Price '!$AT$2:$AT$1266,0))</f>
        <v>719.99</v>
      </c>
      <c r="DI804" t="str">
        <f>INDEX('Data_Price '!AR$2:AR$1266,MATCH(Data!$DN804,'Data_Price '!$AT$2:$AT$1266,0))</f>
        <v>https://tinyurl.com/ycurqg3s</v>
      </c>
      <c r="DJ804" s="89" t="str">
        <f t="shared" si="476"/>
        <v>https://tinyurl.com/y8uqheuh</v>
      </c>
      <c r="DK804" s="89" t="str">
        <f t="shared" si="477"/>
        <v>https://tinyurl.com/y9ucn3lc</v>
      </c>
      <c r="DL804" s="89" t="str">
        <f t="shared" si="478"/>
        <v>https://tinyurl.com/ycurqg3s</v>
      </c>
      <c r="DM804" s="219" t="str">
        <f t="shared" si="479"/>
        <v>Camox Birdie</v>
      </c>
      <c r="DN804" s="89" t="str">
        <f t="shared" si="480"/>
        <v xml:space="preserve"> Black CrowsCamox Birdie156.1 Women's</v>
      </c>
      <c r="DO804" s="221" t="s">
        <v>643</v>
      </c>
    </row>
    <row r="805" spans="2:119" ht="15.6" customHeight="1">
      <c r="B805" s="219" t="b">
        <f t="array" ref="B805">IF(OR(ISERROR(K805:P805)),FALSE,TRUE)</f>
        <v>1</v>
      </c>
      <c r="C805" s="43" t="b">
        <f>OR(BR805=Driver!$G$50,Data!BR610=Driver!$H$50)</f>
        <v>1</v>
      </c>
      <c r="D805" s="43" t="b">
        <f>OR(BV805=Driver!$G$51,BV805=Driver!$H$51)</f>
        <v>1</v>
      </c>
      <c r="E805" s="43" t="b">
        <f>AND(BX805&gt;Driver!$F$54,BX805&lt;Driver!$G$54)</f>
        <v>1</v>
      </c>
      <c r="F805" s="43" t="b">
        <f>CL805&gt;Driver!$F$56</f>
        <v>1</v>
      </c>
      <c r="G805" s="43" t="b">
        <f>AND(CB805&gt;Driver!$F$55,CB805&lt;Driver!$G$55)</f>
        <v>0</v>
      </c>
      <c r="H805" s="43" t="b">
        <f t="shared" si="444"/>
        <v>0</v>
      </c>
      <c r="I805" s="43">
        <f t="shared" si="445"/>
        <v>0</v>
      </c>
      <c r="J805" s="43" t="b">
        <f t="array" ref="J805">NOT(OR(($H$9:$H$1273=TRUE)*($I$9:$I$1273&gt;0)*($BT$9:$BT$1273=BT805)*($K$9:$K$1273&gt;K805)))</f>
        <v>1</v>
      </c>
      <c r="K805" s="72">
        <f t="shared" si="446"/>
        <v>0.76824044023677351</v>
      </c>
      <c r="L805" s="72">
        <f t="shared" si="447"/>
        <v>0.7987980752068653</v>
      </c>
      <c r="M805" s="72">
        <f t="shared" si="448"/>
        <v>0.73768280526668184</v>
      </c>
      <c r="N805" s="72">
        <f t="shared" si="449"/>
        <v>0.66072147015714511</v>
      </c>
      <c r="O805" s="72">
        <f t="shared" si="450"/>
        <v>0.59049243335697332</v>
      </c>
      <c r="P805" s="72">
        <f t="shared" si="451"/>
        <v>0.96183451228592698</v>
      </c>
      <c r="Q805" s="72"/>
      <c r="R805" s="72"/>
      <c r="S805" s="72">
        <f t="shared" si="452"/>
        <v>0.41153980598975437</v>
      </c>
      <c r="T805" s="72">
        <f t="shared" si="453"/>
        <v>0.72725453354151681</v>
      </c>
      <c r="U805" s="72">
        <f t="shared" si="454"/>
        <v>0.76665701145418885</v>
      </c>
      <c r="V805" s="72">
        <f t="shared" si="455"/>
        <v>0.5094803980650997</v>
      </c>
      <c r="W805" s="72">
        <f t="shared" si="456"/>
        <v>0.79548146523360386</v>
      </c>
      <c r="X805" s="72">
        <f t="shared" si="457"/>
        <v>0.20120192479313473</v>
      </c>
      <c r="Y805" s="72">
        <f t="shared" si="458"/>
        <v>0.26231719473331816</v>
      </c>
      <c r="Z805" s="72">
        <f t="shared" si="459"/>
        <v>0.33927852984285484</v>
      </c>
      <c r="AA805" s="72">
        <f t="shared" si="460"/>
        <v>0.40950756664302668</v>
      </c>
      <c r="AB805" s="72">
        <f t="shared" si="461"/>
        <v>3.8165487714072993E-2</v>
      </c>
      <c r="AC805" s="72"/>
      <c r="AD805" s="72"/>
      <c r="AE805" s="72">
        <f t="shared" si="462"/>
        <v>0.58846019401024563</v>
      </c>
      <c r="AF805" s="72">
        <f t="shared" si="463"/>
        <v>0.27274546645848313</v>
      </c>
      <c r="AG805" s="72">
        <f t="shared" si="464"/>
        <v>0.23334298854581115</v>
      </c>
      <c r="AH805" s="72">
        <f t="shared" si="465"/>
        <v>0.49051960193490035</v>
      </c>
      <c r="AI805" s="72">
        <f t="shared" si="466"/>
        <v>0.20451853476639614</v>
      </c>
      <c r="AJ805" s="72">
        <f>(AV805-Driver!$K$179)/(Driver!$L$179-Driver!$K$179)</f>
        <v>5.3017484489565704E-2</v>
      </c>
      <c r="AK805" s="72">
        <f>(AW805-Driver!$K$180)/(Driver!$L$180-Driver!$K$180)</f>
        <v>0.23429544974486766</v>
      </c>
      <c r="AL805" s="72">
        <f>(AX805-Driver!$K$181)/(Driver!$L$181-Driver!$K$181)</f>
        <v>0.44096629355593503</v>
      </c>
      <c r="AM805" s="72">
        <f>(AY805-Driver!$K$182)/(Driver!$L$182-Driver!$K$182)</f>
        <v>3.7877454454019688E-2</v>
      </c>
      <c r="AN805" s="72">
        <f>(AZ805-Driver!$K$183)/(Driver!$L$183-Driver!$K$183)</f>
        <v>0.21605392156862743</v>
      </c>
      <c r="AO805" s="72"/>
      <c r="AP805" s="72"/>
      <c r="AQ805" s="72">
        <f>(BC805-Driver!$K$188)/(Driver!$L$188-Driver!$K$188)</f>
        <v>3.1539805989754408E-2</v>
      </c>
      <c r="AR805" s="72">
        <f>MIN((BD805-Driver!$K$189)/(Driver!$L$189-Driver!$K$189),100%)</f>
        <v>0.27725453354151691</v>
      </c>
      <c r="AS805" s="72">
        <f>(BE805-Driver!$K$190)/(Driver!$L$190-Driver!$K$190)</f>
        <v>0.74334298854581116</v>
      </c>
      <c r="AT805" s="72">
        <f>(BF805-Driver!$K$191)/(Driver!$L$191-Driver!$K$191)</f>
        <v>1.9480398065099654E-2</v>
      </c>
      <c r="AU805" s="72">
        <f>(BG805-Driver!$K$192)/(Driver!$L$192-Driver!$K$192)</f>
        <v>4.548146523360385E-2</v>
      </c>
      <c r="AV805" s="70">
        <f t="shared" si="467"/>
        <v>1.1158594491927825</v>
      </c>
      <c r="AW805" s="70">
        <f t="shared" si="468"/>
        <v>24.706060267975467</v>
      </c>
      <c r="AX805" s="70">
        <f t="shared" si="469"/>
        <v>4.9686966420034153</v>
      </c>
      <c r="AY805" s="70">
        <f>IFERROR(Driver!$K$19/Data!BH805/Data!BI805*Data!BK805*Data!BL805,"")</f>
        <v>4.6373305793348127E-2</v>
      </c>
      <c r="AZ805" s="70">
        <f t="shared" si="470"/>
        <v>19.690990320178702</v>
      </c>
      <c r="BA805" s="70"/>
      <c r="BB805" s="70"/>
      <c r="BC805" s="70">
        <f t="shared" si="471"/>
        <v>16.359916628059651</v>
      </c>
      <c r="BD805" s="70">
        <f t="shared" si="472"/>
        <v>26.257357836558278</v>
      </c>
      <c r="BE805" s="70">
        <f t="shared" si="473"/>
        <v>0.74338877326785691</v>
      </c>
      <c r="BF805" s="70">
        <f t="shared" si="474"/>
        <v>2.2001741039110017</v>
      </c>
      <c r="BG805" s="70">
        <f t="shared" si="475"/>
        <v>0.17222184141259045</v>
      </c>
      <c r="BH805" s="67">
        <f>MAX((CE805-Driver!$F$200)/(Driver!$G$200-Driver!$F$200)*$BI$1,1)</f>
        <v>4.9686966420034153</v>
      </c>
      <c r="BI805" s="67">
        <f>MAX($BI$1*(BY805-Driver!$F$201)/(Driver!$G$201-Driver!$F$201),1)</f>
        <v>7.7848101265822782</v>
      </c>
      <c r="BJ805" s="67">
        <f>(CB805-Driver!$F$206)/(Driver!$G$206-Driver!$F$206)*$BI$1</f>
        <v>2.2222222222222223</v>
      </c>
      <c r="BK805" s="67">
        <f>(CD805-Driver!$F$203)/(Driver!$G$203-Driver!$F$203)*$BI$1</f>
        <v>1.238532110091743</v>
      </c>
      <c r="BL805" s="67">
        <f>MAX((CR805-Driver!$F$202)/(Driver!$G$202-Driver!$F$202)*$BI$1,1)</f>
        <v>7.2413793103448274</v>
      </c>
      <c r="BM805" s="67">
        <f>MAX((CH805-Driver!$F$204)/(Driver!$G$204-Driver!$F$204)*$BI$1,1)</f>
        <v>2.0085470085470085</v>
      </c>
      <c r="BN805" s="67">
        <f>(CI805-Driver!$F$205)/(Driver!$G$205-Driver!$F$205)*$BI$1</f>
        <v>2.5294117647058822</v>
      </c>
      <c r="BO805" s="67">
        <f>(CK805-Driver!$F$207)/(Driver!$G$207-Driver!$F$207)*$BI$1</f>
        <v>0.95139607032057916</v>
      </c>
      <c r="BP805" s="67">
        <f>(CM805-Driver!$F$208)/(Driver!$G$208-Driver!$F$208)*$BI$1</f>
        <v>1.2888888888888888</v>
      </c>
      <c r="BQ805" s="67">
        <f>(CL805-Driver!$F$209)/(Driver!$G$209-Driver!$F$209)*$BI$1</f>
        <v>1.71875</v>
      </c>
      <c r="BR805" s="28" t="s">
        <v>155</v>
      </c>
      <c r="BS805" s="8" t="s">
        <v>167</v>
      </c>
      <c r="BT805" s="9" t="s">
        <v>702</v>
      </c>
      <c r="BU805" s="10">
        <v>163</v>
      </c>
      <c r="BV805" s="9" t="s">
        <v>158</v>
      </c>
      <c r="BW805" s="10">
        <v>163</v>
      </c>
      <c r="BX805" s="10">
        <v>162.6</v>
      </c>
      <c r="BY805" s="10">
        <v>131</v>
      </c>
      <c r="BZ805" s="10">
        <v>138</v>
      </c>
      <c r="CA805" s="10">
        <v>124</v>
      </c>
      <c r="CB805" s="10">
        <v>78</v>
      </c>
      <c r="CC805" s="10">
        <v>103</v>
      </c>
      <c r="CD805" s="10">
        <v>12.1</v>
      </c>
      <c r="CE805" s="10">
        <v>1773</v>
      </c>
      <c r="CF805" s="10">
        <v>0.85</v>
      </c>
      <c r="CG805" s="10">
        <v>1510</v>
      </c>
      <c r="CH805" s="10">
        <v>148</v>
      </c>
      <c r="CI805" s="10">
        <v>76</v>
      </c>
      <c r="CJ805" s="10">
        <v>43</v>
      </c>
      <c r="CK805" s="10">
        <v>202</v>
      </c>
      <c r="CL805" s="10">
        <v>11</v>
      </c>
      <c r="CM805" s="10">
        <v>116</v>
      </c>
      <c r="CN805" s="10">
        <v>0.25600000000000001</v>
      </c>
      <c r="CO805" s="10">
        <v>129</v>
      </c>
      <c r="CP805" s="10">
        <v>112</v>
      </c>
      <c r="CQ805" s="10">
        <v>73</v>
      </c>
      <c r="CR805" s="10">
        <v>10</v>
      </c>
      <c r="CS805" s="10">
        <v>10.4</v>
      </c>
      <c r="CT805" s="9" t="s">
        <v>231</v>
      </c>
      <c r="CU805" s="10"/>
      <c r="CV805" s="10"/>
      <c r="CW805" s="10"/>
      <c r="CX805" t="str">
        <f>INDEX('Data_Price '!AG$2:AG$1266,MATCH(Data!$DN805,'Data_Price '!$AT$2:$AT$1266,0))</f>
        <v>Head Kore 80 X LYT-PR + PRW 11 GW 163cm</v>
      </c>
      <c r="CY805" t="str">
        <f>INDEX('Data_Price '!AH$2:AH$1266,MATCH(Data!$DN805,'Data_Price '!$AT$2:$AT$1266,0))</f>
        <v>Sundance Ski and Board Shop</v>
      </c>
      <c r="CZ805">
        <f>INDEX('Data_Price '!AI$2:AI$1266,MATCH(Data!$DN805,'Data_Price '!$AT$2:$AT$1266,0))</f>
        <v>416.75</v>
      </c>
      <c r="DA805" t="str">
        <f>INDEX('Data_Price '!AJ$2:AJ$1266,MATCH(Data!$DN805,'Data_Price '!$AT$2:$AT$1266,0))</f>
        <v>https://tinyurl.com/y9xt6v3x</v>
      </c>
      <c r="DB805" t="str">
        <f>INDEX('Data_Price '!AK$2:AK$1266,MATCH(Data!$DN805,'Data_Price '!$AT$2:$AT$1266,0))</f>
        <v>Head Men's Kore 80 x LYT-PR Alpine Skis with PRW 11 GW Binding</v>
      </c>
      <c r="DC805" t="str">
        <f>INDEX('Data_Price '!AL$2:AL$1266,MATCH(Data!$DN805,'Data_Price '!$AT$2:$AT$1266,0))</f>
        <v>Buyr.com</v>
      </c>
      <c r="DD805">
        <f>INDEX('Data_Price '!AM$2:AM$1266,MATCH(Data!$DN805,'Data_Price '!$AT$2:$AT$1266,0))</f>
        <v>450</v>
      </c>
      <c r="DE805" t="str">
        <f>INDEX('Data_Price '!AN$2:AN$1266,MATCH(Data!$DN805,'Data_Price '!$AT$2:$AT$1266,0))</f>
        <v>https://tinyurl.com/y9monauo</v>
      </c>
      <c r="DF805" t="str">
        <f>INDEX('Data_Price '!AO$2:AO$1266,MATCH(Data!$DN805,'Data_Price '!$AT$2:$AT$1266,0))</f>
        <v>Head Men's Kore 80 x LYT-PR Alpine Skis with PRW 11 GW Binding</v>
      </c>
      <c r="DG805" t="str">
        <f>INDEX('Data_Price '!AP$2:AP$1266,MATCH(Data!$DN805,'Data_Price '!$AT$2:$AT$1266,0))</f>
        <v>GritrOutdoors</v>
      </c>
      <c r="DH805">
        <f>INDEX('Data_Price '!AQ$2:AQ$1266,MATCH(Data!$DN805,'Data_Price '!$AT$2:$AT$1266,0))</f>
        <v>549</v>
      </c>
      <c r="DI805" t="str">
        <f>INDEX('Data_Price '!AR$2:AR$1266,MATCH(Data!$DN805,'Data_Price '!$AT$2:$AT$1266,0))</f>
        <v>https://tinyurl.com/ydyppmea</v>
      </c>
      <c r="DJ805" s="89" t="str">
        <f t="shared" si="476"/>
        <v>https://tinyurl.com/y9xt6v3x</v>
      </c>
      <c r="DK805" s="89" t="str">
        <f t="shared" si="477"/>
        <v>https://tinyurl.com/y9monauo</v>
      </c>
      <c r="DL805" s="89" t="str">
        <f t="shared" si="478"/>
        <v>https://tinyurl.com/ydyppmea</v>
      </c>
      <c r="DM805" s="219" t="str">
        <f t="shared" si="479"/>
        <v>Kore 80 X</v>
      </c>
      <c r="DN805" s="89" t="str">
        <f t="shared" si="480"/>
        <v xml:space="preserve"> HeadKore 80 X163 Unisex</v>
      </c>
      <c r="DO805" s="221"/>
    </row>
    <row r="806" spans="2:119" ht="15.6" customHeight="1">
      <c r="B806" s="219" t="b">
        <f t="array" ref="B806">IF(OR(ISERROR(K806:P806)),FALSE,TRUE)</f>
        <v>1</v>
      </c>
      <c r="C806" s="43" t="b">
        <f>OR(BR806=Driver!$G$50,Data!BR841=Driver!$H$50)</f>
        <v>1</v>
      </c>
      <c r="D806" s="43" t="b">
        <f>OR(BV806=Driver!$G$51,BV806=Driver!$H$51)</f>
        <v>1</v>
      </c>
      <c r="E806" s="43" t="b">
        <f>AND(BX806&gt;Driver!$F$54,BX806&lt;Driver!$G$54)</f>
        <v>0</v>
      </c>
      <c r="F806" s="43" t="b">
        <f>CL806&gt;Driver!$F$56</f>
        <v>1</v>
      </c>
      <c r="G806" s="43" t="b">
        <f>AND(CB806&gt;Driver!$F$55,CB806&lt;Driver!$G$55)</f>
        <v>0</v>
      </c>
      <c r="H806" s="43" t="b">
        <f t="shared" si="444"/>
        <v>0</v>
      </c>
      <c r="I806" s="43">
        <f t="shared" si="445"/>
        <v>0</v>
      </c>
      <c r="J806" s="43" t="b">
        <f t="array" ref="J806">NOT(OR(($H$9:$H$1273=TRUE)*($I$9:$I$1273&gt;0)*($BT$9:$BT$1273=BT806)*($K$9:$K$1273&gt;K806)))</f>
        <v>1</v>
      </c>
      <c r="K806" s="72">
        <f t="shared" si="446"/>
        <v>0.83129834927146984</v>
      </c>
      <c r="L806" s="72">
        <f t="shared" si="447"/>
        <v>0.93013318116126054</v>
      </c>
      <c r="M806" s="72">
        <f t="shared" si="448"/>
        <v>0.73246351738167914</v>
      </c>
      <c r="N806" s="72">
        <f t="shared" si="449"/>
        <v>0.61708648628311735</v>
      </c>
      <c r="O806" s="72">
        <f t="shared" si="450"/>
        <v>0.65886988037337879</v>
      </c>
      <c r="P806" s="72">
        <f t="shared" si="451"/>
        <v>0.92143418548854139</v>
      </c>
      <c r="Q806" s="72"/>
      <c r="R806" s="72"/>
      <c r="S806" s="72">
        <f t="shared" si="452"/>
        <v>0.41942234687448465</v>
      </c>
      <c r="T806" s="72">
        <f t="shared" si="453"/>
        <v>0.45000791575743915</v>
      </c>
      <c r="U806" s="72">
        <f t="shared" si="454"/>
        <v>0.49698749437047984</v>
      </c>
      <c r="V806" s="72">
        <f t="shared" si="455"/>
        <v>0.77218773479162439</v>
      </c>
      <c r="W806" s="72">
        <f t="shared" si="456"/>
        <v>0.98804284887087435</v>
      </c>
      <c r="X806" s="72">
        <f t="shared" si="457"/>
        <v>6.9866818838739464E-2</v>
      </c>
      <c r="Y806" s="72">
        <f t="shared" si="458"/>
        <v>0.2675364826183208</v>
      </c>
      <c r="Z806" s="72">
        <f t="shared" si="459"/>
        <v>0.38291351371688259</v>
      </c>
      <c r="AA806" s="72">
        <f t="shared" si="460"/>
        <v>0.34113011962662126</v>
      </c>
      <c r="AB806" s="72">
        <f t="shared" si="461"/>
        <v>7.8565814511458582E-2</v>
      </c>
      <c r="AC806" s="72"/>
      <c r="AD806" s="72"/>
      <c r="AE806" s="72">
        <f t="shared" si="462"/>
        <v>0.58057765312551535</v>
      </c>
      <c r="AF806" s="72">
        <f t="shared" si="463"/>
        <v>0.54999208424256085</v>
      </c>
      <c r="AG806" s="72">
        <f t="shared" si="464"/>
        <v>0.50301250562952016</v>
      </c>
      <c r="AH806" s="72">
        <f t="shared" si="465"/>
        <v>0.22781226520837566</v>
      </c>
      <c r="AI806" s="72">
        <f t="shared" si="466"/>
        <v>1.1957151129125598E-2</v>
      </c>
      <c r="AJ806" s="72">
        <f>(AV806-Driver!$K$179)/(Driver!$L$179-Driver!$K$179)</f>
        <v>0.18435259044396096</v>
      </c>
      <c r="AK806" s="72">
        <f>(AW806-Driver!$K$180)/(Driver!$L$180-Driver!$K$180)</f>
        <v>0.20140335744051791</v>
      </c>
      <c r="AL806" s="72">
        <f>(AX806-Driver!$K$181)/(Driver!$L$181-Driver!$K$181)</f>
        <v>0.48460127742996278</v>
      </c>
      <c r="AM806" s="72">
        <f>(AY806-Driver!$K$182)/(Driver!$L$182-Driver!$K$182)</f>
        <v>0.10625490147042509</v>
      </c>
      <c r="AN806" s="72">
        <f>(AZ806-Driver!$K$183)/(Driver!$L$183-Driver!$K$183)</f>
        <v>0.17565359477124184</v>
      </c>
      <c r="AO806" s="72"/>
      <c r="AP806" s="72"/>
      <c r="AQ806" s="72">
        <f>(BC806-Driver!$K$188)/(Driver!$L$188-Driver!$K$188)</f>
        <v>3.9422346874484593E-2</v>
      </c>
      <c r="AR806" s="72">
        <f>MIN((BD806-Driver!$K$189)/(Driver!$L$189-Driver!$K$189),100%)</f>
        <v>7.9157574391474066E-6</v>
      </c>
      <c r="AS806" s="72">
        <f>(BE806-Driver!$K$190)/(Driver!$L$190-Driver!$K$190)</f>
        <v>6.9874943704798156E-3</v>
      </c>
      <c r="AT806" s="72">
        <f>(BF806-Driver!$K$191)/(Driver!$L$191-Driver!$K$191)</f>
        <v>0.28218773479162435</v>
      </c>
      <c r="AU806" s="72">
        <f>(BG806-Driver!$K$192)/(Driver!$L$192-Driver!$K$192)</f>
        <v>0.2619571511291256</v>
      </c>
      <c r="AV806" s="70">
        <f t="shared" si="467"/>
        <v>3.8800705467372127</v>
      </c>
      <c r="AW806" s="70">
        <f t="shared" si="468"/>
        <v>21.500434419329657</v>
      </c>
      <c r="AX806" s="70">
        <f t="shared" si="469"/>
        <v>5.3614114968696649</v>
      </c>
      <c r="AY806" s="70">
        <f>IFERROR(Driver!$K$19/Data!BH806/Data!BI806*Data!BK806*Data!BL806,"")</f>
        <v>0.13008770280250936</v>
      </c>
      <c r="AZ806" s="70">
        <f t="shared" si="470"/>
        <v>16.008935219657484</v>
      </c>
      <c r="BA806" s="70"/>
      <c r="BB806" s="70"/>
      <c r="BC806" s="70">
        <f t="shared" si="471"/>
        <v>20.448645383504399</v>
      </c>
      <c r="BD806" s="70">
        <f t="shared" si="472"/>
        <v>1.7215234146051992</v>
      </c>
      <c r="BE806" s="70">
        <f t="shared" si="473"/>
        <v>7.1646366246522868E-3</v>
      </c>
      <c r="BF806" s="70">
        <f t="shared" si="474"/>
        <v>31.87112216367645</v>
      </c>
      <c r="BG806" s="70">
        <f t="shared" si="475"/>
        <v>0.99193688477127961</v>
      </c>
      <c r="BH806" s="67">
        <f>MAX((CE806-Driver!$F$200)/(Driver!$G$200-Driver!$F$200)*$BI$1,1)</f>
        <v>5.3614114968696649</v>
      </c>
      <c r="BI806" s="67">
        <f>MAX($BI$1*(BY806-Driver!$F$201)/(Driver!$G$201-Driver!$F$201),1)</f>
        <v>5.443037974683544</v>
      </c>
      <c r="BJ806" s="67">
        <f>(CB806-Driver!$F$206)/(Driver!$G$206-Driver!$F$206)*$BI$1</f>
        <v>8.2539682539682531</v>
      </c>
      <c r="BK806" s="67">
        <f>(CD806-Driver!$F$203)/(Driver!$G$203-Driver!$F$203)*$BI$1</f>
        <v>3.6697247706422016</v>
      </c>
      <c r="BL806" s="67">
        <f>MAX((CR806-Driver!$F$202)/(Driver!$G$202-Driver!$F$202)*$BI$1,1)</f>
        <v>5.1724137931034484</v>
      </c>
      <c r="BM806" s="67">
        <f>MAX((CH806-Driver!$F$204)/(Driver!$G$204-Driver!$F$204)*$BI$1,1)</f>
        <v>1.8803418803418803</v>
      </c>
      <c r="BN806" s="67">
        <f>(CI806-Driver!$F$205)/(Driver!$G$205-Driver!$F$205)*$BI$1</f>
        <v>2.9411764705882355</v>
      </c>
      <c r="BO806" s="67">
        <f>(CK806-Driver!$F$207)/(Driver!$G$207-Driver!$F$207)*$BI$1</f>
        <v>3.1334022750775592</v>
      </c>
      <c r="BP806" s="67">
        <f>(CM806-Driver!$F$208)/(Driver!$G$208-Driver!$F$208)*$BI$1</f>
        <v>4.5222222222222221</v>
      </c>
      <c r="BQ806" s="67">
        <f>(CL806-Driver!$F$209)/(Driver!$G$209-Driver!$F$209)*$BI$1</f>
        <v>10</v>
      </c>
      <c r="BR806" s="28" t="s">
        <v>155</v>
      </c>
      <c r="BS806" s="8" t="s">
        <v>208</v>
      </c>
      <c r="BT806" s="9" t="s">
        <v>657</v>
      </c>
      <c r="BU806" s="10">
        <v>178</v>
      </c>
      <c r="BV806" s="9" t="s">
        <v>158</v>
      </c>
      <c r="BW806" s="10">
        <v>178</v>
      </c>
      <c r="BX806" s="10">
        <v>176.2</v>
      </c>
      <c r="BY806" s="10">
        <v>94</v>
      </c>
      <c r="BZ806" s="10">
        <v>142</v>
      </c>
      <c r="CA806" s="10">
        <v>151</v>
      </c>
      <c r="CB806" s="10">
        <v>116</v>
      </c>
      <c r="CC806" s="10">
        <v>139</v>
      </c>
      <c r="CD806" s="10">
        <v>17.399999999999999</v>
      </c>
      <c r="CE806" s="10">
        <v>1842</v>
      </c>
      <c r="CF806" s="10">
        <v>1.18</v>
      </c>
      <c r="CG806" s="10">
        <v>2179</v>
      </c>
      <c r="CH806" s="10">
        <v>145</v>
      </c>
      <c r="CI806" s="10">
        <v>83</v>
      </c>
      <c r="CJ806" s="10">
        <v>70</v>
      </c>
      <c r="CK806" s="10">
        <v>413</v>
      </c>
      <c r="CL806" s="10">
        <v>64</v>
      </c>
      <c r="CM806" s="10">
        <v>407</v>
      </c>
      <c r="CN806" s="10">
        <v>0.92100000000000004</v>
      </c>
      <c r="CO806" s="10">
        <v>164</v>
      </c>
      <c r="CP806" s="10">
        <v>176</v>
      </c>
      <c r="CQ806" s="10">
        <v>249</v>
      </c>
      <c r="CR806" s="10">
        <v>4</v>
      </c>
      <c r="CS806" s="10">
        <v>4.4000000000000004</v>
      </c>
      <c r="CT806" s="9" t="s">
        <v>184</v>
      </c>
      <c r="CU806" s="9" t="s">
        <v>169</v>
      </c>
      <c r="CV806" s="9" t="s">
        <v>185</v>
      </c>
      <c r="CW806" s="10"/>
      <c r="CX806" t="str">
        <f>INDEX('Data_Price '!AG$2:AG$1266,MATCH(Data!$DN806,'Data_Price '!$AT$2:$AT$1266,0))</f>
        <v>Line Outline Skis 178 cm</v>
      </c>
      <c r="CY806" t="str">
        <f>INDEX('Data_Price '!AH$2:AH$1266,MATCH(Data!$DN806,'Data_Price '!$AT$2:$AT$1266,0))</f>
        <v>eBay - asogear</v>
      </c>
      <c r="CZ806">
        <f>INDEX('Data_Price '!AI$2:AI$1266,MATCH(Data!$DN806,'Data_Price '!$AT$2:$AT$1266,0))</f>
        <v>509.99</v>
      </c>
      <c r="DA806" t="str">
        <f>INDEX('Data_Price '!AJ$2:AJ$1266,MATCH(Data!$DN806,'Data_Price '!$AT$2:$AT$1266,0))</f>
        <v>https://tinyurl.com/yaza88ny</v>
      </c>
      <c r="DB806" t="str">
        <f>INDEX('Data_Price '!AK$2:AK$1266,MATCH(Data!$DN806,'Data_Price '!$AT$2:$AT$1266,0))</f>
        <v>Line Outline Skis 178 cm</v>
      </c>
      <c r="DC806" t="str">
        <f>INDEX('Data_Price '!AL$2:AL$1266,MATCH(Data!$DN806,'Data_Price '!$AT$2:$AT$1266,0))</f>
        <v>Powder7 Ski Shop</v>
      </c>
      <c r="DD806">
        <f>INDEX('Data_Price '!AM$2:AM$1266,MATCH(Data!$DN806,'Data_Price '!$AT$2:$AT$1266,0))</f>
        <v>529.95000000000005</v>
      </c>
      <c r="DE806" t="str">
        <f>INDEX('Data_Price '!AN$2:AN$1266,MATCH(Data!$DN806,'Data_Price '!$AT$2:$AT$1266,0))</f>
        <v>https://tinyurl.com/y7dpoqgv</v>
      </c>
      <c r="DF806" t="str">
        <f>INDEX('Data_Price '!AO$2:AO$1266,MATCH(Data!$DN806,'Data_Price '!$AT$2:$AT$1266,0))</f>
        <v>Line Outline Skis 178 cm</v>
      </c>
      <c r="DG806" t="str">
        <f>INDEX('Data_Price '!AP$2:AP$1266,MATCH(Data!$DN806,'Data_Price '!$AT$2:$AT$1266,0))</f>
        <v>Absolute-Snow.co.uk</v>
      </c>
      <c r="DH806">
        <f>INDEX('Data_Price '!AQ$2:AQ$1266,MATCH(Data!$DN806,'Data_Price '!$AT$2:$AT$1266,0))</f>
        <v>541.03</v>
      </c>
      <c r="DI806" t="str">
        <f>INDEX('Data_Price '!AR$2:AR$1266,MATCH(Data!$DN806,'Data_Price '!$AT$2:$AT$1266,0))</f>
        <v>https://tinyurl.com/y9f9tqca</v>
      </c>
      <c r="DJ806" s="89" t="str">
        <f t="shared" si="476"/>
        <v>https://tinyurl.com/yaza88ny</v>
      </c>
      <c r="DK806" s="89" t="str">
        <f t="shared" si="477"/>
        <v>https://tinyurl.com/y7dpoqgv</v>
      </c>
      <c r="DL806" s="89" t="str">
        <f t="shared" si="478"/>
        <v>https://tinyurl.com/y9f9tqca</v>
      </c>
      <c r="DM806" s="219" t="str">
        <f t="shared" si="479"/>
        <v>Outline</v>
      </c>
      <c r="DN806" s="89" t="str">
        <f t="shared" si="480"/>
        <v xml:space="preserve"> LineOutline178 Unisex</v>
      </c>
      <c r="DO806" s="221"/>
    </row>
    <row r="807" spans="2:119" ht="15.6" customHeight="1">
      <c r="B807" s="219" t="b">
        <f t="array" ref="B807">IF(OR(ISERROR(K807:P807)),FALSE,TRUE)</f>
        <v>1</v>
      </c>
      <c r="C807" s="43" t="b">
        <f>OR(BR807=Driver!$G$50,Data!BR701=Driver!$H$50)</f>
        <v>1</v>
      </c>
      <c r="D807" s="43" t="b">
        <f>OR(BV807=Driver!$G$51,BV807=Driver!$H$51)</f>
        <v>1</v>
      </c>
      <c r="E807" s="43" t="b">
        <f>AND(BX807&gt;Driver!$F$54,BX807&lt;Driver!$G$54)</f>
        <v>0</v>
      </c>
      <c r="F807" s="43" t="b">
        <f>CL807&gt;Driver!$F$56</f>
        <v>1</v>
      </c>
      <c r="G807" s="43" t="b">
        <f>AND(CB807&gt;Driver!$F$55,CB807&lt;Driver!$G$55)</f>
        <v>1</v>
      </c>
      <c r="H807" s="43" t="b">
        <f t="shared" si="444"/>
        <v>0</v>
      </c>
      <c r="I807" s="43">
        <f t="shared" si="445"/>
        <v>0</v>
      </c>
      <c r="J807" s="43" t="b">
        <f t="array" ref="J807">NOT(OR(($H$9:$H$1273=TRUE)*($I$9:$I$1273&gt;0)*($BT$9:$BT$1273=BT807)*($K$9:$K$1273&gt;K807)))</f>
        <v>1</v>
      </c>
      <c r="K807" s="72">
        <f t="shared" si="446"/>
        <v>0.803250516898533</v>
      </c>
      <c r="L807" s="72">
        <f t="shared" si="447"/>
        <v>0.92427017070402018</v>
      </c>
      <c r="M807" s="72">
        <f t="shared" si="448"/>
        <v>0.68223086309304581</v>
      </c>
      <c r="N807" s="72">
        <f t="shared" si="449"/>
        <v>0.47353371324827287</v>
      </c>
      <c r="O807" s="72">
        <f t="shared" si="450"/>
        <v>0.66283580165343403</v>
      </c>
      <c r="P807" s="72">
        <f t="shared" si="451"/>
        <v>0.91032307437743032</v>
      </c>
      <c r="Q807" s="72"/>
      <c r="R807" s="72"/>
      <c r="S807" s="72">
        <f t="shared" si="452"/>
        <v>0.45249061277548397</v>
      </c>
      <c r="T807" s="72">
        <f t="shared" si="453"/>
        <v>0.47272543776576192</v>
      </c>
      <c r="U807" s="72">
        <f t="shared" si="454"/>
        <v>0.50616384442857376</v>
      </c>
      <c r="V807" s="72">
        <f t="shared" si="455"/>
        <v>0.57261984291741252</v>
      </c>
      <c r="W807" s="72">
        <f t="shared" si="456"/>
        <v>0.80804961505560313</v>
      </c>
      <c r="X807" s="72">
        <f t="shared" si="457"/>
        <v>7.5729829295979767E-2</v>
      </c>
      <c r="Y807" s="72">
        <f t="shared" si="458"/>
        <v>0.31776913690695424</v>
      </c>
      <c r="Z807" s="72">
        <f t="shared" si="459"/>
        <v>0.52646628675172713</v>
      </c>
      <c r="AA807" s="72">
        <f t="shared" si="460"/>
        <v>0.33716419834656597</v>
      </c>
      <c r="AB807" s="72">
        <f t="shared" si="461"/>
        <v>8.9676925622569709E-2</v>
      </c>
      <c r="AC807" s="72"/>
      <c r="AD807" s="72"/>
      <c r="AE807" s="72">
        <f t="shared" si="462"/>
        <v>0.54750938722451603</v>
      </c>
      <c r="AF807" s="72">
        <f t="shared" si="463"/>
        <v>0.52727456223423808</v>
      </c>
      <c r="AG807" s="72">
        <f t="shared" si="464"/>
        <v>0.49383615557142624</v>
      </c>
      <c r="AH807" s="72">
        <f t="shared" si="465"/>
        <v>0.42738015708258748</v>
      </c>
      <c r="AI807" s="72">
        <f t="shared" si="466"/>
        <v>0.19195038494439692</v>
      </c>
      <c r="AJ807" s="72">
        <f>(AV807-Driver!$K$179)/(Driver!$L$179-Driver!$K$179)</f>
        <v>0.32994923857868019</v>
      </c>
      <c r="AK807" s="72">
        <f>(AW807-Driver!$K$180)/(Driver!$L$180-Driver!$K$180)</f>
        <v>0.20431917440985919</v>
      </c>
      <c r="AL807" s="72">
        <f>(AX807-Driver!$K$181)/(Driver!$L$181-Driver!$K$181)</f>
        <v>0.62815405046480732</v>
      </c>
      <c r="AM807" s="72">
        <f>(AY807-Driver!$K$182)/(Driver!$L$182-Driver!$K$182)</f>
        <v>0.11022082275048038</v>
      </c>
      <c r="AN807" s="72">
        <f>(AZ807-Driver!$K$183)/(Driver!$L$183-Driver!$K$183)</f>
        <v>0.16454248366013072</v>
      </c>
      <c r="AO807" s="72"/>
      <c r="AP807" s="72"/>
      <c r="AQ807" s="72">
        <f>(BC807-Driver!$K$188)/(Driver!$L$188-Driver!$K$188)</f>
        <v>7.249061277548402E-2</v>
      </c>
      <c r="AR807" s="72">
        <f>MIN((BD807-Driver!$K$189)/(Driver!$L$189-Driver!$K$189),100%)</f>
        <v>2.2725437765761913E-2</v>
      </c>
      <c r="AS807" s="72">
        <f>(BE807-Driver!$K$190)/(Driver!$L$190-Driver!$K$190)</f>
        <v>1.616384442857377E-2</v>
      </c>
      <c r="AT807" s="72">
        <f>(BF807-Driver!$K$191)/(Driver!$L$191-Driver!$K$191)</f>
        <v>8.2619842917412561E-2</v>
      </c>
      <c r="AU807" s="72">
        <f>(BG807-Driver!$K$192)/(Driver!$L$192-Driver!$K$192)</f>
        <v>5.8049615055603083E-2</v>
      </c>
      <c r="AV807" s="70">
        <f t="shared" si="467"/>
        <v>6.9444444444444446</v>
      </c>
      <c r="AW807" s="70">
        <f t="shared" si="468"/>
        <v>21.784606619758648</v>
      </c>
      <c r="AX807" s="70">
        <f t="shared" si="469"/>
        <v>6.6533864541832664</v>
      </c>
      <c r="AY807" s="70">
        <f>IFERROR(Driver!$K$19/Data!BH807/Data!BI807*Data!BK807*Data!BL807,"")</f>
        <v>0.13494317376599788</v>
      </c>
      <c r="AZ807" s="70">
        <f t="shared" si="470"/>
        <v>14.996276991809383</v>
      </c>
      <c r="BA807" s="70"/>
      <c r="BB807" s="70"/>
      <c r="BC807" s="70">
        <f t="shared" si="471"/>
        <v>37.601384793207757</v>
      </c>
      <c r="BD807" s="70">
        <f t="shared" si="472"/>
        <v>3.7319838592746644</v>
      </c>
      <c r="BE807" s="70">
        <f t="shared" si="473"/>
        <v>1.6339349725180096E-2</v>
      </c>
      <c r="BF807" s="70">
        <f t="shared" si="474"/>
        <v>9.3313308202747951</v>
      </c>
      <c r="BG807" s="70">
        <f t="shared" si="475"/>
        <v>0.21981287425149704</v>
      </c>
      <c r="BH807" s="67">
        <f>MAX((CE807-Driver!$F$200)/(Driver!$G$200-Driver!$F$200)*$BI$1,1)</f>
        <v>6.6533864541832664</v>
      </c>
      <c r="BI807" s="67">
        <f>MAX($BI$1*(BY807-Driver!$F$201)/(Driver!$G$201-Driver!$F$201),1)</f>
        <v>6.7088607594936711</v>
      </c>
      <c r="BJ807" s="67">
        <f>(CB807-Driver!$F$206)/(Driver!$G$206-Driver!$F$206)*$BI$1</f>
        <v>6.1904761904761907</v>
      </c>
      <c r="BK807" s="67">
        <f>(CD807-Driver!$F$203)/(Driver!$G$203-Driver!$F$203)*$BI$1</f>
        <v>6.238532110091743</v>
      </c>
      <c r="BL807" s="67">
        <f>MAX((CR807-Driver!$F$202)/(Driver!$G$202-Driver!$F$202)*$BI$1,1)</f>
        <v>4.8275862068965516</v>
      </c>
      <c r="BM807" s="67">
        <f>MAX((CH807-Driver!$F$204)/(Driver!$G$204-Driver!$F$204)*$BI$1,1)</f>
        <v>4.4871794871794872</v>
      </c>
      <c r="BN807" s="67">
        <f>(CI807-Driver!$F$205)/(Driver!$G$205-Driver!$F$205)*$BI$1</f>
        <v>2.2352941176470589</v>
      </c>
      <c r="BO807" s="67">
        <f>(CK807-Driver!$F$207)/(Driver!$G$207-Driver!$F$207)*$BI$1</f>
        <v>3.7952430196483973</v>
      </c>
      <c r="BP807" s="67">
        <f>(CM807-Driver!$F$208)/(Driver!$G$208-Driver!$F$208)*$BI$1</f>
        <v>2.4777777777777779</v>
      </c>
      <c r="BQ807" s="67">
        <f>(CL807-Driver!$F$209)/(Driver!$G$209-Driver!$F$209)*$BI$1</f>
        <v>6.5625</v>
      </c>
      <c r="BR807" s="28" t="s">
        <v>155</v>
      </c>
      <c r="BS807" s="8" t="s">
        <v>561</v>
      </c>
      <c r="BT807" s="9" t="s">
        <v>765</v>
      </c>
      <c r="BU807" s="10">
        <v>186</v>
      </c>
      <c r="BV807" s="9" t="s">
        <v>158</v>
      </c>
      <c r="BW807" s="10">
        <v>186</v>
      </c>
      <c r="BX807" s="10">
        <v>183.7</v>
      </c>
      <c r="BY807" s="10">
        <v>114</v>
      </c>
      <c r="BZ807" s="10">
        <v>149</v>
      </c>
      <c r="CA807" s="10">
        <v>126</v>
      </c>
      <c r="CB807" s="10">
        <v>103</v>
      </c>
      <c r="CC807" s="10">
        <v>122</v>
      </c>
      <c r="CD807" s="10">
        <v>23</v>
      </c>
      <c r="CE807" s="10">
        <v>2069</v>
      </c>
      <c r="CF807" s="10">
        <v>0.99</v>
      </c>
      <c r="CG807" s="10">
        <v>2047</v>
      </c>
      <c r="CH807" s="10">
        <v>206</v>
      </c>
      <c r="CI807" s="10">
        <v>71</v>
      </c>
      <c r="CJ807" s="10">
        <v>57</v>
      </c>
      <c r="CK807" s="10">
        <v>477</v>
      </c>
      <c r="CL807" s="10">
        <v>42</v>
      </c>
      <c r="CM807" s="10">
        <v>223</v>
      </c>
      <c r="CN807" s="10">
        <v>0.73</v>
      </c>
      <c r="CO807" s="10">
        <v>177</v>
      </c>
      <c r="CP807" s="10">
        <v>168</v>
      </c>
      <c r="CQ807" s="10">
        <v>300</v>
      </c>
      <c r="CR807" s="10">
        <v>3</v>
      </c>
      <c r="CS807" s="10">
        <v>4.8</v>
      </c>
      <c r="CT807" s="9" t="s">
        <v>188</v>
      </c>
      <c r="CU807" s="9" t="s">
        <v>169</v>
      </c>
      <c r="CV807" s="10"/>
      <c r="CW807" s="10"/>
      <c r="CX807" t="str">
        <f>INDEX('Data_Price '!AG$2:AG$1266,MATCH(Data!$DN807,'Data_Price '!$AT$2:$AT$1266,0))</f>
        <v>'21 Volkl Blaze 106 Skis 186cm</v>
      </c>
      <c r="CY807" t="str">
        <f>INDEX('Data_Price '!AH$2:AH$1266,MATCH(Data!$DN807,'Data_Price '!$AT$2:$AT$1266,0))</f>
        <v>Al's Ski Equipment Barn</v>
      </c>
      <c r="CZ807">
        <f>INDEX('Data_Price '!AI$2:AI$1266,MATCH(Data!$DN807,'Data_Price '!$AT$2:$AT$1266,0))</f>
        <v>499.95</v>
      </c>
      <c r="DA807" t="str">
        <f>INDEX('Data_Price '!AJ$2:AJ$1266,MATCH(Data!$DN807,'Data_Price '!$AT$2:$AT$1266,0))</f>
        <v>https://tinyurl.com/y7mzp8yt</v>
      </c>
      <c r="DB807" t="str">
        <f>INDEX('Data_Price '!AK$2:AK$1266,MATCH(Data!$DN807,'Data_Price '!$AT$2:$AT$1266,0))</f>
        <v>Nordica Enforcer 100 Skis 2022</v>
      </c>
      <c r="DC807" t="str">
        <f>INDEX('Data_Price '!AL$2:AL$1266,MATCH(Data!$DN807,'Data_Price '!$AT$2:$AT$1266,0))</f>
        <v>eBay - bikeboardandski</v>
      </c>
      <c r="DD807">
        <f>INDEX('Data_Price '!AM$2:AM$1266,MATCH(Data!$DN807,'Data_Price '!$AT$2:$AT$1266,0))</f>
        <v>595</v>
      </c>
      <c r="DE807" t="str">
        <f>INDEX('Data_Price '!AN$2:AN$1266,MATCH(Data!$DN807,'Data_Price '!$AT$2:$AT$1266,0))</f>
        <v>https://tinyurl.com/y9753kv3</v>
      </c>
      <c r="DF807" t="str">
        <f>INDEX('Data_Price '!AO$2:AO$1266,MATCH(Data!$DN807,'Data_Price '!$AT$2:$AT$1266,0))</f>
        <v>Nordica Enforcer 100 Skis 2022</v>
      </c>
      <c r="DG807" t="str">
        <f>INDEX('Data_Price '!AP$2:AP$1266,MATCH(Data!$DN807,'Data_Price '!$AT$2:$AT$1266,0))</f>
        <v>BlueZone Sports</v>
      </c>
      <c r="DH807">
        <f>INDEX('Data_Price '!AQ$2:AQ$1266,MATCH(Data!$DN807,'Data_Price '!$AT$2:$AT$1266,0))</f>
        <v>599.99</v>
      </c>
      <c r="DI807" t="str">
        <f>INDEX('Data_Price '!AR$2:AR$1266,MATCH(Data!$DN807,'Data_Price '!$AT$2:$AT$1266,0))</f>
        <v>https://tinyurl.com/y9y5ynta</v>
      </c>
      <c r="DJ807" s="89" t="str">
        <f t="shared" si="476"/>
        <v>https://tinyurl.com/y7mzp8yt</v>
      </c>
      <c r="DK807" s="89" t="str">
        <f t="shared" si="477"/>
        <v>https://tinyurl.com/y9753kv3</v>
      </c>
      <c r="DL807" s="89" t="str">
        <f t="shared" si="478"/>
        <v>https://tinyurl.com/y9y5ynta</v>
      </c>
      <c r="DM807" s="219" t="str">
        <f t="shared" si="479"/>
        <v>The Vacation</v>
      </c>
      <c r="DN807" s="89" t="str">
        <f t="shared" si="480"/>
        <v xml:space="preserve"> J SkisThe Vacation186 Unisex</v>
      </c>
      <c r="DO807" s="221"/>
    </row>
    <row r="808" spans="2:119" ht="15.6" customHeight="1">
      <c r="B808" s="219" t="b">
        <f t="array" ref="B808">IF(OR(ISERROR(K808:P808)),FALSE,TRUE)</f>
        <v>1</v>
      </c>
      <c r="C808" s="43" t="b">
        <f>OR(BR808=Driver!$G$50,Data!BR1218=Driver!$H$50)</f>
        <v>1</v>
      </c>
      <c r="D808" s="43" t="b">
        <f>OR(BV808=Driver!$G$51,BV808=Driver!$H$51)</f>
        <v>1</v>
      </c>
      <c r="E808" s="43" t="b">
        <f>AND(BX808&gt;Driver!$F$54,BX808&lt;Driver!$G$54)</f>
        <v>0</v>
      </c>
      <c r="F808" s="43" t="b">
        <f>CL808&gt;Driver!$F$56</f>
        <v>1</v>
      </c>
      <c r="G808" s="43" t="b">
        <f>AND(CB808&gt;Driver!$F$55,CB808&lt;Driver!$G$55)</f>
        <v>0</v>
      </c>
      <c r="H808" s="43" t="b">
        <f t="shared" si="444"/>
        <v>0</v>
      </c>
      <c r="I808" s="43">
        <f t="shared" si="445"/>
        <v>0</v>
      </c>
      <c r="J808" s="43" t="b">
        <f t="array" ref="J808">NOT(OR(($H$9:$H$1273=TRUE)*($I$9:$I$1273&gt;0)*($BT$9:$BT$1273=BT808)*($K$9:$K$1273&gt;K808)))</f>
        <v>1</v>
      </c>
      <c r="K808" s="72">
        <f t="shared" si="446"/>
        <v>0.77556718311260509</v>
      </c>
      <c r="L808" s="72">
        <f t="shared" si="447"/>
        <v>0.96447643933668492</v>
      </c>
      <c r="M808" s="72">
        <f t="shared" si="448"/>
        <v>0.58665792688852525</v>
      </c>
      <c r="N808" s="72">
        <f t="shared" si="449"/>
        <v>0.45266480791721608</v>
      </c>
      <c r="O808" s="72">
        <f t="shared" si="450"/>
        <v>0.6235552497401694</v>
      </c>
      <c r="P808" s="72">
        <f t="shared" si="451"/>
        <v>0.68375372300819048</v>
      </c>
      <c r="Q808" s="72"/>
      <c r="R808" s="72"/>
      <c r="S808" s="72">
        <f t="shared" si="452"/>
        <v>0.57276524999164069</v>
      </c>
      <c r="T808" s="72">
        <f t="shared" si="453"/>
        <v>0.53757002087606098</v>
      </c>
      <c r="U808" s="72">
        <f t="shared" si="454"/>
        <v>0.7764515059176893</v>
      </c>
      <c r="V808" s="72">
        <f t="shared" si="455"/>
        <v>0.51004496036177638</v>
      </c>
      <c r="W808" s="72">
        <f t="shared" si="456"/>
        <v>0.76703410981697173</v>
      </c>
      <c r="X808" s="72">
        <f t="shared" si="457"/>
        <v>3.5523560663315135E-2</v>
      </c>
      <c r="Y808" s="72">
        <f t="shared" si="458"/>
        <v>0.41334207311147469</v>
      </c>
      <c r="Z808" s="72">
        <f t="shared" si="459"/>
        <v>0.54733519208278392</v>
      </c>
      <c r="AA808" s="72">
        <f t="shared" si="460"/>
        <v>0.3764447502598306</v>
      </c>
      <c r="AB808" s="72">
        <f t="shared" si="461"/>
        <v>0.31624627699180946</v>
      </c>
      <c r="AC808" s="72"/>
      <c r="AD808" s="72"/>
      <c r="AE808" s="72">
        <f t="shared" si="462"/>
        <v>0.42723475000835925</v>
      </c>
      <c r="AF808" s="72">
        <f t="shared" si="463"/>
        <v>0.46242997912393896</v>
      </c>
      <c r="AG808" s="72">
        <f t="shared" si="464"/>
        <v>0.2235484940823107</v>
      </c>
      <c r="AH808" s="72">
        <f t="shared" si="465"/>
        <v>0.48995503963822362</v>
      </c>
      <c r="AI808" s="72">
        <f t="shared" si="466"/>
        <v>0.2329658901830283</v>
      </c>
      <c r="AJ808" s="72">
        <f>(AV808-Driver!$K$179)/(Driver!$L$179-Driver!$K$179)</f>
        <v>0.28974296994601556</v>
      </c>
      <c r="AK808" s="72">
        <f>(AW808-Driver!$K$180)/(Driver!$L$180-Driver!$K$180)</f>
        <v>0.5853544243497435</v>
      </c>
      <c r="AL808" s="72">
        <f>(AX808-Driver!$K$181)/(Driver!$L$181-Driver!$K$181)</f>
        <v>0.64902295579586411</v>
      </c>
      <c r="AM808" s="72">
        <f>(AY808-Driver!$K$182)/(Driver!$L$182-Driver!$K$182)</f>
        <v>7.0940270837215755E-2</v>
      </c>
      <c r="AN808" s="72">
        <f>(AZ808-Driver!$K$183)/(Driver!$L$183-Driver!$K$183)</f>
        <v>0.57046568627450989</v>
      </c>
      <c r="AO808" s="72"/>
      <c r="AP808" s="72"/>
      <c r="AQ808" s="72">
        <f>(BC808-Driver!$K$188)/(Driver!$L$188-Driver!$K$188)</f>
        <v>0.19276524999164074</v>
      </c>
      <c r="AR808" s="72">
        <f>MIN((BD808-Driver!$K$189)/(Driver!$L$189-Driver!$K$189),100%)</f>
        <v>8.7570020876061097E-2</v>
      </c>
      <c r="AS808" s="72">
        <f>(BE808-Driver!$K$190)/(Driver!$L$190-Driver!$K$190)</f>
        <v>0.28645150591768931</v>
      </c>
      <c r="AT808" s="72">
        <f>(BF808-Driver!$K$191)/(Driver!$L$191-Driver!$K$191)</f>
        <v>2.0044960361776415E-2</v>
      </c>
      <c r="AU808" s="72">
        <f>(BG808-Driver!$K$192)/(Driver!$L$192-Driver!$K$192)</f>
        <v>1.7034109816971715E-2</v>
      </c>
      <c r="AV808" s="70">
        <f t="shared" si="467"/>
        <v>6.0982227648894307</v>
      </c>
      <c r="AW808" s="70">
        <f t="shared" si="468"/>
        <v>58.919868042182081</v>
      </c>
      <c r="AX808" s="70">
        <f t="shared" si="469"/>
        <v>6.8412066021627771</v>
      </c>
      <c r="AY808" s="70">
        <f>IFERROR(Driver!$K$19/Data!BH808/Data!BI808*Data!BK808*Data!BL808,"")</f>
        <v>8.6852058038657989E-2</v>
      </c>
      <c r="AZ808" s="70">
        <f t="shared" si="470"/>
        <v>51.991809381980644</v>
      </c>
      <c r="BA808" s="70"/>
      <c r="BB808" s="70"/>
      <c r="BC808" s="70">
        <f t="shared" si="471"/>
        <v>99.988675252941064</v>
      </c>
      <c r="BD808" s="70">
        <f t="shared" si="472"/>
        <v>9.4706145667337314</v>
      </c>
      <c r="BE808" s="70">
        <f t="shared" si="473"/>
        <v>0.28657879493770322</v>
      </c>
      <c r="BF808" s="70">
        <f t="shared" si="474"/>
        <v>2.2639374490460322</v>
      </c>
      <c r="BG808" s="70">
        <f t="shared" si="475"/>
        <v>6.4502006354351951E-2</v>
      </c>
      <c r="BH808" s="67">
        <f>MAX((CE808-Driver!$F$200)/(Driver!$G$200-Driver!$F$200)*$BI$1,1)</f>
        <v>6.8412066021627771</v>
      </c>
      <c r="BI808" s="67">
        <f>MAX($BI$1*(BY808-Driver!$F$201)/(Driver!$G$201-Driver!$F$201),1)</f>
        <v>8.4177215189873422</v>
      </c>
      <c r="BJ808" s="67">
        <f>(CB808-Driver!$F$206)/(Driver!$G$206-Driver!$F$206)*$BI$1</f>
        <v>4.92063492063492</v>
      </c>
      <c r="BK808" s="67">
        <f>(CD808-Driver!$F$203)/(Driver!$G$203-Driver!$F$203)*$BI$1</f>
        <v>4.2660550458715596</v>
      </c>
      <c r="BL808" s="67">
        <f>MAX((CR808-Driver!$F$202)/(Driver!$G$202-Driver!$F$202)*$BI$1,1)</f>
        <v>5.8620689655172411</v>
      </c>
      <c r="BM808" s="67">
        <f>MAX((CH808-Driver!$F$204)/(Driver!$G$204-Driver!$F$204)*$BI$1,1)</f>
        <v>4.9572649572649574</v>
      </c>
      <c r="BN808" s="67">
        <f>(CI808-Driver!$F$205)/(Driver!$G$205-Driver!$F$205)*$BI$1</f>
        <v>6.1764705882352944</v>
      </c>
      <c r="BO808" s="67">
        <f>(CK808-Driver!$F$207)/(Driver!$G$207-Driver!$F$207)*$BI$1</f>
        <v>1.2099276111685624</v>
      </c>
      <c r="BP808" s="67">
        <f>(CM808-Driver!$F$208)/(Driver!$G$208-Driver!$F$208)*$BI$1</f>
        <v>1.6222222222222222</v>
      </c>
      <c r="BQ808" s="67">
        <f>(CL808-Driver!$F$209)/(Driver!$G$209-Driver!$F$209)*$BI$1</f>
        <v>2.1875</v>
      </c>
      <c r="BR808" s="28" t="s">
        <v>155</v>
      </c>
      <c r="BS808" s="8" t="s">
        <v>229</v>
      </c>
      <c r="BT808" s="9" t="s">
        <v>565</v>
      </c>
      <c r="BU808" s="10">
        <v>177</v>
      </c>
      <c r="BV808" s="9" t="s">
        <v>158</v>
      </c>
      <c r="BW808" s="10">
        <v>177</v>
      </c>
      <c r="BX808" s="10">
        <v>178.6</v>
      </c>
      <c r="BY808" s="10">
        <v>141</v>
      </c>
      <c r="BZ808" s="10">
        <v>155</v>
      </c>
      <c r="CA808" s="10">
        <v>134</v>
      </c>
      <c r="CB808" s="10">
        <v>95</v>
      </c>
      <c r="CC808" s="10">
        <v>118</v>
      </c>
      <c r="CD808" s="10">
        <v>18.7</v>
      </c>
      <c r="CE808" s="10">
        <v>2102</v>
      </c>
      <c r="CF808" s="10">
        <v>0.91</v>
      </c>
      <c r="CG808" s="10">
        <v>1916</v>
      </c>
      <c r="CH808" s="10">
        <v>217</v>
      </c>
      <c r="CI808" s="10">
        <v>138</v>
      </c>
      <c r="CJ808" s="10">
        <v>42</v>
      </c>
      <c r="CK808" s="10">
        <v>227</v>
      </c>
      <c r="CL808" s="10">
        <v>14</v>
      </c>
      <c r="CM808" s="10">
        <v>146</v>
      </c>
      <c r="CN808" s="10">
        <v>0.33600000000000002</v>
      </c>
      <c r="CO808" s="10">
        <v>135</v>
      </c>
      <c r="CP808" s="10">
        <v>103</v>
      </c>
      <c r="CQ808" s="10">
        <v>92</v>
      </c>
      <c r="CR808" s="10">
        <v>6</v>
      </c>
      <c r="CS808" s="10">
        <v>11.2</v>
      </c>
      <c r="CT808" s="9" t="s">
        <v>188</v>
      </c>
      <c r="CU808" s="10"/>
      <c r="CV808" s="10"/>
      <c r="CW808" s="10"/>
      <c r="CX808" t="e">
        <f>INDEX('Data_Price '!AG$2:AG$1266,MATCH(Data!$DN808,'Data_Price '!$AT$2:$AT$1266,0))</f>
        <v>#N/A</v>
      </c>
      <c r="CY808" t="e">
        <f>INDEX('Data_Price '!AH$2:AH$1266,MATCH(Data!$DN808,'Data_Price '!$AT$2:$AT$1266,0))</f>
        <v>#N/A</v>
      </c>
      <c r="CZ808" t="e">
        <f>INDEX('Data_Price '!AI$2:AI$1266,MATCH(Data!$DN808,'Data_Price '!$AT$2:$AT$1266,0))</f>
        <v>#N/A</v>
      </c>
      <c r="DA808" t="e">
        <f>INDEX('Data_Price '!AJ$2:AJ$1266,MATCH(Data!$DN808,'Data_Price '!$AT$2:$AT$1266,0))</f>
        <v>#N/A</v>
      </c>
      <c r="DB808" t="e">
        <f>INDEX('Data_Price '!AK$2:AK$1266,MATCH(Data!$DN808,'Data_Price '!$AT$2:$AT$1266,0))</f>
        <v>#N/A</v>
      </c>
      <c r="DC808" t="e">
        <f>INDEX('Data_Price '!AL$2:AL$1266,MATCH(Data!$DN808,'Data_Price '!$AT$2:$AT$1266,0))</f>
        <v>#N/A</v>
      </c>
      <c r="DD808" t="e">
        <f>INDEX('Data_Price '!AM$2:AM$1266,MATCH(Data!$DN808,'Data_Price '!$AT$2:$AT$1266,0))</f>
        <v>#N/A</v>
      </c>
      <c r="DE808" t="e">
        <f>INDEX('Data_Price '!AN$2:AN$1266,MATCH(Data!$DN808,'Data_Price '!$AT$2:$AT$1266,0))</f>
        <v>#N/A</v>
      </c>
      <c r="DF808" t="e">
        <f>INDEX('Data_Price '!AO$2:AO$1266,MATCH(Data!$DN808,'Data_Price '!$AT$2:$AT$1266,0))</f>
        <v>#N/A</v>
      </c>
      <c r="DG808" t="e">
        <f>INDEX('Data_Price '!AP$2:AP$1266,MATCH(Data!$DN808,'Data_Price '!$AT$2:$AT$1266,0))</f>
        <v>#N/A</v>
      </c>
      <c r="DH808" t="e">
        <f>INDEX('Data_Price '!AQ$2:AQ$1266,MATCH(Data!$DN808,'Data_Price '!$AT$2:$AT$1266,0))</f>
        <v>#N/A</v>
      </c>
      <c r="DI808" t="e">
        <f>INDEX('Data_Price '!AR$2:AR$1266,MATCH(Data!$DN808,'Data_Price '!$AT$2:$AT$1266,0))</f>
        <v>#N/A</v>
      </c>
      <c r="DJ808" s="89" t="e">
        <f t="shared" si="476"/>
        <v>#N/A</v>
      </c>
      <c r="DK808" s="89" t="e">
        <f t="shared" si="477"/>
        <v>#N/A</v>
      </c>
      <c r="DL808" s="89" t="e">
        <f t="shared" si="478"/>
        <v>#N/A</v>
      </c>
      <c r="DM808" s="219" t="str">
        <f t="shared" si="479"/>
        <v>M6 Mantra</v>
      </c>
      <c r="DN808" s="89" t="str">
        <f t="shared" si="480"/>
        <v xml:space="preserve"> VölklM6 Mantra177 Unisex</v>
      </c>
      <c r="DO808" s="221" t="s">
        <v>566</v>
      </c>
    </row>
    <row r="809" spans="2:119" ht="15.6" customHeight="1">
      <c r="B809" s="219" t="b">
        <f t="array" ref="B809">IF(OR(ISERROR(K809:P809)),FALSE,TRUE)</f>
        <v>1</v>
      </c>
      <c r="C809" s="43" t="b">
        <f>OR(BR809=Driver!$G$50,Data!BR1261=Driver!$H$50)</f>
        <v>1</v>
      </c>
      <c r="D809" s="43" t="b">
        <f>OR(BV809=Driver!$G$51,BV809=Driver!$H$51)</f>
        <v>0</v>
      </c>
      <c r="E809" s="43" t="b">
        <f>AND(BX809&gt;Driver!$F$54,BX809&lt;Driver!$G$54)</f>
        <v>1</v>
      </c>
      <c r="F809" s="43" t="b">
        <f>CL809&gt;Driver!$F$56</f>
        <v>1</v>
      </c>
      <c r="G809" s="43" t="b">
        <f>AND(CB809&gt;Driver!$F$55,CB809&lt;Driver!$G$55)</f>
        <v>0</v>
      </c>
      <c r="H809" s="43" t="b">
        <f t="shared" si="444"/>
        <v>0</v>
      </c>
      <c r="I809" s="43">
        <f t="shared" si="445"/>
        <v>0</v>
      </c>
      <c r="J809" s="43" t="b">
        <f t="array" ref="J809">NOT(OR(($H$9:$H$1273=TRUE)*($I$9:$I$1273&gt;0)*($BT$9:$BT$1273=BT809)*($K$9:$K$1273&gt;K809)))</f>
        <v>1</v>
      </c>
      <c r="K809" s="72">
        <f t="shared" si="446"/>
        <v>0.81573285914478388</v>
      </c>
      <c r="L809" s="72">
        <f t="shared" si="447"/>
        <v>0.94592562334964181</v>
      </c>
      <c r="M809" s="72">
        <f t="shared" si="448"/>
        <v>0.68554009493992596</v>
      </c>
      <c r="N809" s="72">
        <f t="shared" si="449"/>
        <v>0.68285515762947813</v>
      </c>
      <c r="O809" s="72">
        <f t="shared" si="450"/>
        <v>0.62371238457426603</v>
      </c>
      <c r="P809" s="72">
        <f t="shared" si="451"/>
        <v>0.75005274261603372</v>
      </c>
      <c r="Q809" s="72"/>
      <c r="R809" s="72"/>
      <c r="S809" s="72">
        <f t="shared" si="452"/>
        <v>0.51151163190784166</v>
      </c>
      <c r="T809" s="72">
        <f t="shared" si="453"/>
        <v>0.51376257650226365</v>
      </c>
      <c r="U809" s="72">
        <f t="shared" si="454"/>
        <v>0.93429579776812299</v>
      </c>
      <c r="V809" s="72">
        <f t="shared" si="455"/>
        <v>0.51039316127585066</v>
      </c>
      <c r="W809" s="72">
        <f t="shared" si="456"/>
        <v>0.78080704576112892</v>
      </c>
      <c r="X809" s="72">
        <f t="shared" si="457"/>
        <v>5.4074376650358191E-2</v>
      </c>
      <c r="Y809" s="72">
        <f t="shared" si="458"/>
        <v>0.31445990506007404</v>
      </c>
      <c r="Z809" s="72">
        <f t="shared" si="459"/>
        <v>0.31714484237052187</v>
      </c>
      <c r="AA809" s="72">
        <f t="shared" si="460"/>
        <v>0.37628761542573391</v>
      </c>
      <c r="AB809" s="72">
        <f t="shared" si="461"/>
        <v>0.24994725738396623</v>
      </c>
      <c r="AC809" s="72"/>
      <c r="AD809" s="72"/>
      <c r="AE809" s="72">
        <f t="shared" si="462"/>
        <v>0.48848836809215834</v>
      </c>
      <c r="AF809" s="72">
        <f t="shared" si="463"/>
        <v>0.48623742349773635</v>
      </c>
      <c r="AG809" s="72">
        <f t="shared" si="464"/>
        <v>6.5704202231877007E-2</v>
      </c>
      <c r="AH809" s="72">
        <f t="shared" si="465"/>
        <v>0.48960683872414934</v>
      </c>
      <c r="AI809" s="72">
        <f t="shared" si="466"/>
        <v>0.21919295423887103</v>
      </c>
      <c r="AJ809" s="72">
        <f>(AV809-Driver!$K$179)/(Driver!$L$179-Driver!$K$179)</f>
        <v>0.20014503263234223</v>
      </c>
      <c r="AK809" s="72">
        <f>(AW809-Driver!$K$180)/(Driver!$L$180-Driver!$K$180)</f>
        <v>0.50209916171056201</v>
      </c>
      <c r="AL809" s="72">
        <f>(AX809-Driver!$K$181)/(Driver!$L$181-Driver!$K$181)</f>
        <v>0.41883260608360207</v>
      </c>
      <c r="AM809" s="72">
        <f>(AY809-Driver!$K$182)/(Driver!$L$182-Driver!$K$182)</f>
        <v>7.1097405671312466E-2</v>
      </c>
      <c r="AN809" s="72">
        <f>(AZ809-Driver!$K$183)/(Driver!$L$183-Driver!$K$183)</f>
        <v>0.50416666666666665</v>
      </c>
      <c r="AO809" s="72"/>
      <c r="AP809" s="72"/>
      <c r="AQ809" s="72">
        <f>(BC809-Driver!$K$188)/(Driver!$L$188-Driver!$K$188)</f>
        <v>0.13151163190784165</v>
      </c>
      <c r="AR809" s="72">
        <f>MIN((BD809-Driver!$K$189)/(Driver!$L$189-Driver!$K$189),100%)</f>
        <v>6.376257650226369E-2</v>
      </c>
      <c r="AS809" s="72">
        <f>(BE809-Driver!$K$190)/(Driver!$L$190-Driver!$K$190)</f>
        <v>0.444295797768123</v>
      </c>
      <c r="AT809" s="72">
        <f>(BF809-Driver!$K$191)/(Driver!$L$191-Driver!$K$191)</f>
        <v>2.0393161275850644E-2</v>
      </c>
      <c r="AU809" s="72">
        <f>(BG809-Driver!$K$192)/(Driver!$L$192-Driver!$K$192)</f>
        <v>3.0807045761128984E-2</v>
      </c>
      <c r="AV809" s="70">
        <f t="shared" si="467"/>
        <v>4.2124542124542117</v>
      </c>
      <c r="AW809" s="70">
        <f t="shared" si="468"/>
        <v>50.805904981320111</v>
      </c>
      <c r="AX809" s="70">
        <f t="shared" si="469"/>
        <v>4.7694934547524186</v>
      </c>
      <c r="AY809" s="70">
        <f>IFERROR(Driver!$K$19/Data!BH809/Data!BI809*Data!BK809*Data!BL809,"")</f>
        <v>8.704443796010175E-2</v>
      </c>
      <c r="AZ809" s="70">
        <f t="shared" si="470"/>
        <v>45.949367088607595</v>
      </c>
      <c r="BA809" s="70"/>
      <c r="BB809" s="70"/>
      <c r="BC809" s="70">
        <f t="shared" si="471"/>
        <v>68.215997724630014</v>
      </c>
      <c r="BD809" s="70">
        <f t="shared" si="472"/>
        <v>7.3636979239479148</v>
      </c>
      <c r="BE809" s="70">
        <f t="shared" si="473"/>
        <v>0.44439492914308398</v>
      </c>
      <c r="BF809" s="70">
        <f t="shared" si="474"/>
        <v>2.3032642960408469</v>
      </c>
      <c r="BG809" s="70">
        <f t="shared" si="475"/>
        <v>0.11665512802220609</v>
      </c>
      <c r="BH809" s="67">
        <f>MAX((CE809-Driver!$F$200)/(Driver!$G$200-Driver!$F$200)*$BI$1,1)</f>
        <v>4.7694934547524186</v>
      </c>
      <c r="BI809" s="67">
        <f>MAX($BI$1*(BY809-Driver!$F$201)/(Driver!$G$201-Driver!$F$201),1)</f>
        <v>7.6582278481012658</v>
      </c>
      <c r="BJ809" s="67">
        <f>(CB809-Driver!$F$206)/(Driver!$G$206-Driver!$F$206)*$BI$1</f>
        <v>4.2857142857142856</v>
      </c>
      <c r="BK809" s="67">
        <f>(CD809-Driver!$F$203)/(Driver!$G$203-Driver!$F$203)*$BI$1</f>
        <v>3.0733944954128449</v>
      </c>
      <c r="BL809" s="67">
        <f>MAX((CR809-Driver!$F$202)/(Driver!$G$202-Driver!$F$202)*$BI$1,1)</f>
        <v>5.1724137931034484</v>
      </c>
      <c r="BM809" s="67">
        <f>MAX((CH809-Driver!$F$204)/(Driver!$G$204-Driver!$F$204)*$BI$1,1)</f>
        <v>3.9316239316239314</v>
      </c>
      <c r="BN809" s="67">
        <f>(CI809-Driver!$F$205)/(Driver!$G$205-Driver!$F$205)*$BI$1</f>
        <v>6</v>
      </c>
      <c r="BO809" s="67">
        <f>(CK809-Driver!$F$207)/(Driver!$G$207-Driver!$F$207)*$BI$1</f>
        <v>1.2926577042399172</v>
      </c>
      <c r="BP809" s="67">
        <f>(CM809-Driver!$F$208)/(Driver!$G$208-Driver!$F$208)*$BI$1</f>
        <v>1.2777777777777777</v>
      </c>
      <c r="BQ809" s="67">
        <f>(CL809-Driver!$F$209)/(Driver!$G$209-Driver!$F$209)*$BI$1</f>
        <v>2.1875</v>
      </c>
      <c r="BR809" s="28" t="s">
        <v>155</v>
      </c>
      <c r="BS809" s="8" t="s">
        <v>229</v>
      </c>
      <c r="BT809" s="9" t="s">
        <v>766</v>
      </c>
      <c r="BU809" s="10">
        <v>163</v>
      </c>
      <c r="BV809" s="9" t="s">
        <v>163</v>
      </c>
      <c r="BW809" s="10">
        <v>163</v>
      </c>
      <c r="BX809" s="10">
        <v>164.1</v>
      </c>
      <c r="BY809" s="10">
        <v>129</v>
      </c>
      <c r="BZ809" s="10">
        <v>140</v>
      </c>
      <c r="CA809" s="10">
        <v>129</v>
      </c>
      <c r="CB809" s="10">
        <v>91</v>
      </c>
      <c r="CC809" s="10">
        <v>112</v>
      </c>
      <c r="CD809" s="10">
        <v>16.100000000000001</v>
      </c>
      <c r="CE809" s="10">
        <v>1738</v>
      </c>
      <c r="CF809" s="10">
        <v>0.97</v>
      </c>
      <c r="CG809" s="10">
        <v>1690</v>
      </c>
      <c r="CH809" s="10">
        <v>193</v>
      </c>
      <c r="CI809" s="10">
        <v>135</v>
      </c>
      <c r="CJ809" s="10">
        <v>42</v>
      </c>
      <c r="CK809" s="10">
        <v>235</v>
      </c>
      <c r="CL809" s="10">
        <v>14</v>
      </c>
      <c r="CM809" s="10">
        <v>115</v>
      </c>
      <c r="CN809" s="10">
        <v>0.33600000000000002</v>
      </c>
      <c r="CO809" s="10">
        <v>136</v>
      </c>
      <c r="CP809" s="10">
        <v>106</v>
      </c>
      <c r="CQ809" s="10">
        <v>99</v>
      </c>
      <c r="CR809" s="10">
        <v>4</v>
      </c>
      <c r="CS809" s="10">
        <v>10.6</v>
      </c>
      <c r="CT809" s="9" t="s">
        <v>188</v>
      </c>
      <c r="CU809" s="10"/>
      <c r="CV809" s="10"/>
      <c r="CW809" s="10"/>
      <c r="CX809" t="e">
        <f>INDEX('Data_Price '!AG$2:AG$1266,MATCH(Data!$DN809,'Data_Price '!$AT$2:$AT$1266,0))</f>
        <v>#N/A</v>
      </c>
      <c r="CY809" t="e">
        <f>INDEX('Data_Price '!AH$2:AH$1266,MATCH(Data!$DN809,'Data_Price '!$AT$2:$AT$1266,0))</f>
        <v>#N/A</v>
      </c>
      <c r="CZ809" t="e">
        <f>INDEX('Data_Price '!AI$2:AI$1266,MATCH(Data!$DN809,'Data_Price '!$AT$2:$AT$1266,0))</f>
        <v>#N/A</v>
      </c>
      <c r="DA809" t="e">
        <f>INDEX('Data_Price '!AJ$2:AJ$1266,MATCH(Data!$DN809,'Data_Price '!$AT$2:$AT$1266,0))</f>
        <v>#N/A</v>
      </c>
      <c r="DB809" t="e">
        <f>INDEX('Data_Price '!AK$2:AK$1266,MATCH(Data!$DN809,'Data_Price '!$AT$2:$AT$1266,0))</f>
        <v>#N/A</v>
      </c>
      <c r="DC809" t="e">
        <f>INDEX('Data_Price '!AL$2:AL$1266,MATCH(Data!$DN809,'Data_Price '!$AT$2:$AT$1266,0))</f>
        <v>#N/A</v>
      </c>
      <c r="DD809" t="e">
        <f>INDEX('Data_Price '!AM$2:AM$1266,MATCH(Data!$DN809,'Data_Price '!$AT$2:$AT$1266,0))</f>
        <v>#N/A</v>
      </c>
      <c r="DE809" t="e">
        <f>INDEX('Data_Price '!AN$2:AN$1266,MATCH(Data!$DN809,'Data_Price '!$AT$2:$AT$1266,0))</f>
        <v>#N/A</v>
      </c>
      <c r="DF809" t="e">
        <f>INDEX('Data_Price '!AO$2:AO$1266,MATCH(Data!$DN809,'Data_Price '!$AT$2:$AT$1266,0))</f>
        <v>#N/A</v>
      </c>
      <c r="DG809" t="e">
        <f>INDEX('Data_Price '!AP$2:AP$1266,MATCH(Data!$DN809,'Data_Price '!$AT$2:$AT$1266,0))</f>
        <v>#N/A</v>
      </c>
      <c r="DH809" t="e">
        <f>INDEX('Data_Price '!AQ$2:AQ$1266,MATCH(Data!$DN809,'Data_Price '!$AT$2:$AT$1266,0))</f>
        <v>#N/A</v>
      </c>
      <c r="DI809" t="e">
        <f>INDEX('Data_Price '!AR$2:AR$1266,MATCH(Data!$DN809,'Data_Price '!$AT$2:$AT$1266,0))</f>
        <v>#N/A</v>
      </c>
      <c r="DJ809" s="89" t="e">
        <f t="shared" si="476"/>
        <v>#N/A</v>
      </c>
      <c r="DK809" s="89" t="e">
        <f t="shared" si="477"/>
        <v>#N/A</v>
      </c>
      <c r="DL809" s="89" t="e">
        <f t="shared" si="478"/>
        <v>#N/A</v>
      </c>
      <c r="DM809" s="219" t="str">
        <f t="shared" si="479"/>
        <v>Secret 92</v>
      </c>
      <c r="DN809" s="89" t="str">
        <f t="shared" si="480"/>
        <v xml:space="preserve"> VölklSecret 92163 Women's</v>
      </c>
      <c r="DO809" s="221"/>
    </row>
    <row r="810" spans="2:119" ht="15.6" customHeight="1">
      <c r="B810" s="219" t="b">
        <f t="array" ref="B810">IF(OR(ISERROR(K810:P810)),FALSE,TRUE)</f>
        <v>1</v>
      </c>
      <c r="C810" s="43" t="b">
        <f>OR(BR810=Driver!$G$50,Data!BR672=Driver!$H$50)</f>
        <v>1</v>
      </c>
      <c r="D810" s="43" t="b">
        <f>OR(BV810=Driver!$G$51,BV810=Driver!$H$51)</f>
        <v>1</v>
      </c>
      <c r="E810" s="43" t="b">
        <f>AND(BX810&gt;Driver!$F$54,BX810&lt;Driver!$G$54)</f>
        <v>1</v>
      </c>
      <c r="F810" s="43" t="b">
        <f>CL810&gt;Driver!$F$56</f>
        <v>1</v>
      </c>
      <c r="G810" s="43" t="b">
        <f>AND(CB810&gt;Driver!$F$55,CB810&lt;Driver!$G$55)</f>
        <v>0</v>
      </c>
      <c r="H810" s="43" t="b">
        <f t="shared" si="444"/>
        <v>0</v>
      </c>
      <c r="I810" s="43">
        <f t="shared" si="445"/>
        <v>0</v>
      </c>
      <c r="J810" s="43" t="b">
        <f t="array" ref="J810">NOT(OR(($H$9:$H$1273=TRUE)*($I$9:$I$1273&gt;0)*($BT$9:$BT$1273=BT810)*($K$9:$K$1273&gt;K810)))</f>
        <v>1</v>
      </c>
      <c r="K810" s="72">
        <f t="shared" si="446"/>
        <v>0.72961382195557556</v>
      </c>
      <c r="L810" s="72">
        <f t="shared" si="447"/>
        <v>0.74997042231829869</v>
      </c>
      <c r="M810" s="72">
        <f t="shared" si="448"/>
        <v>0.70925722159285254</v>
      </c>
      <c r="N810" s="72">
        <f t="shared" si="449"/>
        <v>0.55511216136058539</v>
      </c>
      <c r="O810" s="72">
        <f t="shared" si="450"/>
        <v>0.57587473465814731</v>
      </c>
      <c r="P810" s="72">
        <f t="shared" si="451"/>
        <v>0.99678476875982458</v>
      </c>
      <c r="Q810" s="72"/>
      <c r="R810" s="72"/>
      <c r="S810" s="72">
        <f t="shared" si="452"/>
        <v>0.48936626931102101</v>
      </c>
      <c r="T810" s="72">
        <f t="shared" si="453"/>
        <v>0.55000000000000004</v>
      </c>
      <c r="U810" s="72">
        <f t="shared" si="454"/>
        <v>0.51</v>
      </c>
      <c r="V810" s="72">
        <f t="shared" si="455"/>
        <v>0.49024793430323532</v>
      </c>
      <c r="W810" s="72">
        <f t="shared" si="456"/>
        <v>0.76568509615384617</v>
      </c>
      <c r="X810" s="72">
        <f t="shared" si="457"/>
        <v>0.25002957768170131</v>
      </c>
      <c r="Y810" s="72">
        <f t="shared" si="458"/>
        <v>0.29074277840714752</v>
      </c>
      <c r="Z810" s="72">
        <f t="shared" si="459"/>
        <v>0.44488783863941461</v>
      </c>
      <c r="AA810" s="72">
        <f t="shared" si="460"/>
        <v>0.42412526534185269</v>
      </c>
      <c r="AB810" s="72">
        <f t="shared" si="461"/>
        <v>3.2152312401753647E-3</v>
      </c>
      <c r="AC810" s="72"/>
      <c r="AD810" s="72"/>
      <c r="AE810" s="72">
        <f t="shared" si="462"/>
        <v>0.51063373068897899</v>
      </c>
      <c r="AF810" s="72">
        <f t="shared" si="463"/>
        <v>0.44999999999999996</v>
      </c>
      <c r="AG810" s="72">
        <f t="shared" si="464"/>
        <v>0.49</v>
      </c>
      <c r="AH810" s="72">
        <f t="shared" si="465"/>
        <v>0.50975206569676468</v>
      </c>
      <c r="AI810" s="72">
        <f t="shared" si="466"/>
        <v>0.23431490384615386</v>
      </c>
      <c r="AJ810" s="72">
        <f>(AV810-Driver!$K$179)/(Driver!$L$179-Driver!$K$179)</f>
        <v>4.1898316009991131E-3</v>
      </c>
      <c r="AK810" s="72">
        <f>(AW810-Driver!$K$180)/(Driver!$L$180-Driver!$K$180)</f>
        <v>0.28256191426179039</v>
      </c>
      <c r="AL810" s="72">
        <f>(AX810-Driver!$K$181)/(Driver!$L$181-Driver!$K$181)</f>
        <v>0.5465756023524948</v>
      </c>
      <c r="AM810" s="72">
        <f>(AY810-Driver!$K$182)/(Driver!$L$182-Driver!$K$182)</f>
        <v>2.3259755755193703E-2</v>
      </c>
      <c r="AN810" s="72">
        <f>(AZ810-Driver!$K$183)/(Driver!$L$183-Driver!$K$183)</f>
        <v>0.25743464052287579</v>
      </c>
      <c r="AO810" s="72"/>
      <c r="AP810" s="72"/>
      <c r="AQ810" s="72">
        <f>(BC810-Driver!$K$188)/(Driver!$L$188-Driver!$K$188)</f>
        <v>0.10936626931102106</v>
      </c>
      <c r="AR810" s="72">
        <f>MIN((BD810-Driver!$K$189)/(Driver!$L$189-Driver!$K$189),100%)</f>
        <v>1</v>
      </c>
      <c r="AS810" s="72">
        <f>(BE810-Driver!$K$190)/(Driver!$L$190-Driver!$K$190)</f>
        <v>1</v>
      </c>
      <c r="AT810" s="72">
        <f>(BF810-Driver!$K$191)/(Driver!$L$191-Driver!$K$191)</f>
        <v>2.479343032353799E-4</v>
      </c>
      <c r="AU810" s="72">
        <f>(BG810-Driver!$K$192)/(Driver!$L$192-Driver!$K$192)</f>
        <v>1.568509615384615E-2</v>
      </c>
      <c r="AV810" s="70">
        <f t="shared" si="467"/>
        <v>8.8183421516754845E-2</v>
      </c>
      <c r="AW810" s="70">
        <f t="shared" si="468"/>
        <v>29.410054919532858</v>
      </c>
      <c r="AX810" s="70">
        <f t="shared" si="469"/>
        <v>5.9191804211724532</v>
      </c>
      <c r="AY810" s="70">
        <f>IFERROR(Driver!$K$19/Data!BH810/Data!BI810*Data!BK810*Data!BL810,"")</f>
        <v>2.8476881085648519E-2</v>
      </c>
      <c r="AZ810" s="70">
        <f t="shared" si="470"/>
        <v>23.462397617274757</v>
      </c>
      <c r="BA810" s="70"/>
      <c r="BB810" s="70"/>
      <c r="BC810" s="70">
        <f t="shared" si="471"/>
        <v>56.729044193596053</v>
      </c>
      <c r="BD810" s="70">
        <f t="shared" si="472"/>
        <v>652.60665057340452</v>
      </c>
      <c r="BE810" s="70">
        <f t="shared" si="473"/>
        <v>1</v>
      </c>
      <c r="BF810" s="70">
        <f t="shared" si="474"/>
        <v>2.8002437713374823E-2</v>
      </c>
      <c r="BG810" s="70">
        <f t="shared" si="475"/>
        <v>5.9393780048076911E-2</v>
      </c>
      <c r="BH810" s="67">
        <f>MAX((CE810-Driver!$F$200)/(Driver!$G$200-Driver!$F$200)*$BI$1,1)</f>
        <v>5.9191804211724532</v>
      </c>
      <c r="BI810" s="67">
        <f>MAX($BI$1*(BY810-Driver!$F$201)/(Driver!$G$201-Driver!$F$201),1)</f>
        <v>8.6708860759493671</v>
      </c>
      <c r="BJ810" s="67">
        <f>(CB810-Driver!$F$206)/(Driver!$G$206-Driver!$F$206)*$BI$1</f>
        <v>0.15873015873015872</v>
      </c>
      <c r="BK810" s="67">
        <f>(CD810-Driver!$F$203)/(Driver!$G$203-Driver!$F$203)*$BI$1</f>
        <v>0.96330275229357787</v>
      </c>
      <c r="BL810" s="67">
        <f>MAX((CR810-Driver!$F$202)/(Driver!$G$202-Driver!$F$202)*$BI$1,1)</f>
        <v>7.5862068965517242</v>
      </c>
      <c r="BM810" s="67">
        <f>MAX((CH810-Driver!$F$204)/(Driver!$G$204-Driver!$F$204)*$BI$1,1)</f>
        <v>2.2222222222222223</v>
      </c>
      <c r="BN810" s="67">
        <f>(CI810-Driver!$F$205)/(Driver!$G$205-Driver!$F$205)*$BI$1</f>
        <v>2.7058823529411762</v>
      </c>
      <c r="BO810" s="67">
        <f>(CK810-Driver!$F$207)/(Driver!$G$207-Driver!$F$207)*$BI$1</f>
        <v>0.29989658738366076</v>
      </c>
      <c r="BP810" s="67">
        <f>(CM810-Driver!$F$208)/(Driver!$G$208-Driver!$F$208)*$BI$1</f>
        <v>0.56666666666666665</v>
      </c>
      <c r="BQ810" s="67">
        <f>(CL810-Driver!$F$209)/(Driver!$G$209-Driver!$F$209)*$BI$1</f>
        <v>0.78125</v>
      </c>
      <c r="BR810" s="28" t="s">
        <v>155</v>
      </c>
      <c r="BS810" s="8" t="s">
        <v>167</v>
      </c>
      <c r="BT810" s="9" t="s">
        <v>767</v>
      </c>
      <c r="BU810" s="10">
        <v>165</v>
      </c>
      <c r="BV810" s="9" t="s">
        <v>158</v>
      </c>
      <c r="BW810" s="10">
        <v>165</v>
      </c>
      <c r="BX810" s="10">
        <v>164.1</v>
      </c>
      <c r="BY810" s="10">
        <v>145</v>
      </c>
      <c r="BZ810" s="10">
        <v>150</v>
      </c>
      <c r="CA810" s="10">
        <v>121</v>
      </c>
      <c r="CB810" s="10">
        <v>65</v>
      </c>
      <c r="CC810" s="10">
        <v>106</v>
      </c>
      <c r="CD810" s="10">
        <v>11.5</v>
      </c>
      <c r="CE810" s="10">
        <v>1940</v>
      </c>
      <c r="CF810" s="10">
        <v>0.7</v>
      </c>
      <c r="CG810" s="10">
        <v>1363</v>
      </c>
      <c r="CH810" s="10">
        <v>153</v>
      </c>
      <c r="CI810" s="10">
        <v>79</v>
      </c>
      <c r="CJ810" s="10">
        <v>41</v>
      </c>
      <c r="CK810" s="10">
        <v>139</v>
      </c>
      <c r="CL810" s="10">
        <v>5</v>
      </c>
      <c r="CM810" s="10">
        <v>51</v>
      </c>
      <c r="CN810" s="10">
        <v>0.11600000000000001</v>
      </c>
      <c r="CO810" s="10">
        <v>77</v>
      </c>
      <c r="CP810" s="10">
        <v>59</v>
      </c>
      <c r="CQ810" s="10">
        <v>62</v>
      </c>
      <c r="CR810" s="10">
        <v>11</v>
      </c>
      <c r="CS810" s="10">
        <v>12.8</v>
      </c>
      <c r="CT810" s="9" t="s">
        <v>349</v>
      </c>
      <c r="CU810" s="10"/>
      <c r="CV810" s="10"/>
      <c r="CW810" s="10"/>
      <c r="CX810" t="str">
        <f>INDEX('Data_Price '!AG$2:AG$1266,MATCH(Data!$DN810,'Data_Price '!$AT$2:$AT$1266,0))</f>
        <v>Head Worldcup Rebels i.SLR Skis w Head PR 11 GW Bindings  Demo</v>
      </c>
      <c r="CY810" t="str">
        <f>INDEX('Data_Price '!AH$2:AH$1266,MATCH(Data!$DN810,'Data_Price '!$AT$2:$AT$1266,0))</f>
        <v>Powder7 Ski Shop</v>
      </c>
      <c r="CZ810">
        <f>INDEX('Data_Price '!AI$2:AI$1266,MATCH(Data!$DN810,'Data_Price '!$AT$2:$AT$1266,0))</f>
        <v>429.99</v>
      </c>
      <c r="DA810" t="str">
        <f>INDEX('Data_Price '!AJ$2:AJ$1266,MATCH(Data!$DN810,'Data_Price '!$AT$2:$AT$1266,0))</f>
        <v>https://tinyurl.com/y8lnvh82</v>
      </c>
      <c r="DB810" t="str">
        <f>INDEX('Data_Price '!AK$2:AK$1266,MATCH(Data!$DN810,'Data_Price '!$AT$2:$AT$1266,0))</f>
        <v>Head Worldcup Rebels E-Race + FF St 14 21/22</v>
      </c>
      <c r="DC810" t="str">
        <f>INDEX('Data_Price '!AL$2:AL$1266,MATCH(Data!$DN810,'Data_Price '!$AT$2:$AT$1266,0))</f>
        <v>eBay - gloliquidation</v>
      </c>
      <c r="DD810">
        <f>INDEX('Data_Price '!AM$2:AM$1266,MATCH(Data!$DN810,'Data_Price '!$AT$2:$AT$1266,0))</f>
        <v>560</v>
      </c>
      <c r="DE810" t="str">
        <f>INDEX('Data_Price '!AN$2:AN$1266,MATCH(Data!$DN810,'Data_Price '!$AT$2:$AT$1266,0))</f>
        <v>https://tinyurl.com/yc9p3oar</v>
      </c>
      <c r="DF810" t="str">
        <f>INDEX('Data_Price '!AO$2:AO$1266,MATCH(Data!$DN810,'Data_Price '!$AT$2:$AT$1266,0))</f>
        <v>Head Worldcup Rebel GS Without Bindings Skis 165 Giant Slalom</v>
      </c>
      <c r="DG810" t="str">
        <f>INDEX('Data_Price '!AP$2:AP$1266,MATCH(Data!$DN810,'Data_Price '!$AT$2:$AT$1266,0))</f>
        <v>SidelineSwap</v>
      </c>
      <c r="DH810">
        <f>INDEX('Data_Price '!AQ$2:AQ$1266,MATCH(Data!$DN810,'Data_Price '!$AT$2:$AT$1266,0))</f>
        <v>250</v>
      </c>
      <c r="DI810" t="str">
        <f>INDEX('Data_Price '!AR$2:AR$1266,MATCH(Data!$DN810,'Data_Price '!$AT$2:$AT$1266,0))</f>
        <v>https://tinyurl.com/y99axbsb</v>
      </c>
      <c r="DJ810" s="89" t="str">
        <f t="shared" si="476"/>
        <v>https://tinyurl.com/y8lnvh82</v>
      </c>
      <c r="DK810" s="89" t="str">
        <f t="shared" si="477"/>
        <v>https://tinyurl.com/yc9p3oar</v>
      </c>
      <c r="DL810" s="89" t="str">
        <f t="shared" si="478"/>
        <v>https://tinyurl.com/y99axbsb</v>
      </c>
      <c r="DM810" s="219" t="str">
        <f t="shared" si="479"/>
        <v>Worldcup Rebels I.SLR</v>
      </c>
      <c r="DN810" s="89" t="str">
        <f t="shared" si="480"/>
        <v xml:space="preserve"> HeadWorldcup Rebels I.SLR165 Unisex</v>
      </c>
      <c r="DO810" s="221"/>
    </row>
    <row r="811" spans="2:119" ht="15.6" customHeight="1">
      <c r="B811" s="219" t="b">
        <f t="array" ref="B811">IF(OR(ISERROR(K811:P811)),FALSE,TRUE)</f>
        <v>1</v>
      </c>
      <c r="C811" s="43" t="b">
        <f>OR(BR811=Driver!$G$50,Data!BR1000=Driver!$H$50)</f>
        <v>1</v>
      </c>
      <c r="D811" s="43" t="b">
        <f>OR(BV811=Driver!$G$51,BV811=Driver!$H$51)</f>
        <v>1</v>
      </c>
      <c r="E811" s="43" t="b">
        <f>AND(BX811&gt;Driver!$F$54,BX811&lt;Driver!$G$54)</f>
        <v>0</v>
      </c>
      <c r="F811" s="43" t="b">
        <f>CL811&gt;Driver!$F$56</f>
        <v>1</v>
      </c>
      <c r="G811" s="43" t="b">
        <f>AND(CB811&gt;Driver!$F$55,CB811&lt;Driver!$G$55)</f>
        <v>0</v>
      </c>
      <c r="H811" s="43" t="b">
        <f t="shared" si="444"/>
        <v>0</v>
      </c>
      <c r="I811" s="43">
        <f t="shared" si="445"/>
        <v>0</v>
      </c>
      <c r="J811" s="43" t="b">
        <f t="array" ref="J811">NOT(OR(($H$9:$H$1273=TRUE)*($I$9:$I$1273&gt;0)*($BT$9:$BT$1273=BT811)*($K$9:$K$1273&gt;K811)))</f>
        <v>1</v>
      </c>
      <c r="K811" s="72">
        <f t="shared" si="446"/>
        <v>0.78446264293981938</v>
      </c>
      <c r="L811" s="72">
        <f t="shared" si="447"/>
        <v>0.81346248581036218</v>
      </c>
      <c r="M811" s="72">
        <f t="shared" si="448"/>
        <v>0.75546280006927657</v>
      </c>
      <c r="N811" s="72">
        <f t="shared" si="449"/>
        <v>0.68348754870011619</v>
      </c>
      <c r="O811" s="72">
        <f t="shared" si="450"/>
        <v>0.64496339804531622</v>
      </c>
      <c r="P811" s="72">
        <f t="shared" si="451"/>
        <v>0.93793745346239765</v>
      </c>
      <c r="Q811" s="72"/>
      <c r="R811" s="72"/>
      <c r="S811" s="72">
        <f t="shared" si="452"/>
        <v>0.45406385782917469</v>
      </c>
      <c r="T811" s="72">
        <f t="shared" si="453"/>
        <v>0.66164808127588004</v>
      </c>
      <c r="U811" s="72">
        <f t="shared" si="454"/>
        <v>0.51</v>
      </c>
      <c r="V811" s="72">
        <f t="shared" si="455"/>
        <v>0.49147855345134284</v>
      </c>
      <c r="W811" s="72">
        <f t="shared" si="456"/>
        <v>0.76447772657450075</v>
      </c>
      <c r="X811" s="72">
        <f t="shared" si="457"/>
        <v>0.18653751418963782</v>
      </c>
      <c r="Y811" s="72">
        <f t="shared" si="458"/>
        <v>0.2445371999307234</v>
      </c>
      <c r="Z811" s="72">
        <f t="shared" si="459"/>
        <v>0.31651245129988387</v>
      </c>
      <c r="AA811" s="72">
        <f t="shared" si="460"/>
        <v>0.35503660195468384</v>
      </c>
      <c r="AB811" s="72">
        <f t="shared" si="461"/>
        <v>6.2062546537602403E-2</v>
      </c>
      <c r="AC811" s="72"/>
      <c r="AD811" s="72"/>
      <c r="AE811" s="72">
        <f t="shared" si="462"/>
        <v>0.54593614217082531</v>
      </c>
      <c r="AF811" s="72">
        <f t="shared" si="463"/>
        <v>0.3383519187241199</v>
      </c>
      <c r="AG811" s="72">
        <f t="shared" si="464"/>
        <v>0.49</v>
      </c>
      <c r="AH811" s="72">
        <f t="shared" si="465"/>
        <v>0.50852144654865716</v>
      </c>
      <c r="AI811" s="72">
        <f t="shared" si="466"/>
        <v>0.23552227342549922</v>
      </c>
      <c r="AJ811" s="72">
        <f>(AV811-Driver!$K$179)/(Driver!$L$179-Driver!$K$179)</f>
        <v>6.7681895093062605E-2</v>
      </c>
      <c r="AK811" s="72">
        <f>(AW811-Driver!$K$180)/(Driver!$L$180-Driver!$K$180)</f>
        <v>0.21052987559768285</v>
      </c>
      <c r="AL811" s="72">
        <f>(AX811-Driver!$K$181)/(Driver!$L$181-Driver!$K$181)</f>
        <v>0.41820021501296406</v>
      </c>
      <c r="AM811" s="72">
        <f>(AY811-Driver!$K$182)/(Driver!$L$182-Driver!$K$182)</f>
        <v>9.2348419142362526E-2</v>
      </c>
      <c r="AN811" s="72">
        <f>(AZ811-Driver!$K$183)/(Driver!$L$183-Driver!$K$183)</f>
        <v>0.19215686274509802</v>
      </c>
      <c r="AO811" s="72"/>
      <c r="AP811" s="72"/>
      <c r="AQ811" s="72">
        <f>(BC811-Driver!$K$188)/(Driver!$L$188-Driver!$K$188)</f>
        <v>7.406385782917474E-2</v>
      </c>
      <c r="AR811" s="72">
        <f>MIN((BD811-Driver!$K$189)/(Driver!$L$189-Driver!$K$189),100%)</f>
        <v>0.21164808127588014</v>
      </c>
      <c r="AS811" s="72">
        <f>(BE811-Driver!$K$190)/(Driver!$L$190-Driver!$K$190)</f>
        <v>1</v>
      </c>
      <c r="AT811" s="72">
        <f>(BF811-Driver!$K$191)/(Driver!$L$191-Driver!$K$191)</f>
        <v>1.4785534513428334E-3</v>
      </c>
      <c r="AU811" s="72">
        <f>(BG811-Driver!$K$192)/(Driver!$L$192-Driver!$K$192)</f>
        <v>1.4477726574500766E-2</v>
      </c>
      <c r="AV811" s="70">
        <f t="shared" si="467"/>
        <v>1.4245014245014245</v>
      </c>
      <c r="AW811" s="70">
        <f t="shared" si="468"/>
        <v>22.389894482922948</v>
      </c>
      <c r="AX811" s="70">
        <f t="shared" si="469"/>
        <v>4.7638019351166765</v>
      </c>
      <c r="AY811" s="70">
        <f>IFERROR(Driver!$K$19/Data!BH811/Data!BI811*Data!BK811*Data!BL811,"")</f>
        <v>0.11306201913910788</v>
      </c>
      <c r="AZ811" s="70">
        <f t="shared" si="470"/>
        <v>17.513030528667162</v>
      </c>
      <c r="BA811" s="70"/>
      <c r="BB811" s="70"/>
      <c r="BC811" s="70">
        <f t="shared" si="471"/>
        <v>38.417437939579308</v>
      </c>
      <c r="BD811" s="70">
        <f t="shared" si="472"/>
        <v>20.451303058804093</v>
      </c>
      <c r="BE811" s="70">
        <f t="shared" si="473"/>
        <v>1</v>
      </c>
      <c r="BF811" s="70">
        <f t="shared" si="474"/>
        <v>0.16699222490329002</v>
      </c>
      <c r="BG811" s="70">
        <f t="shared" si="475"/>
        <v>5.4821908602150533E-2</v>
      </c>
      <c r="BH811" s="67">
        <f>MAX((CE811-Driver!$F$200)/(Driver!$G$200-Driver!$F$200)*$BI$1,1)</f>
        <v>4.7638019351166765</v>
      </c>
      <c r="BI811" s="67">
        <f>MAX($BI$1*(BY811-Driver!$F$201)/(Driver!$G$201-Driver!$F$201),1)</f>
        <v>9.3037974683544302</v>
      </c>
      <c r="BJ811" s="67">
        <f>(CB811-Driver!$F$206)/(Driver!$G$206-Driver!$F$206)*$BI$1</f>
        <v>1.9047619047619047</v>
      </c>
      <c r="BK811" s="67">
        <f>(CD811-Driver!$F$203)/(Driver!$G$203-Driver!$F$203)*$BI$1</f>
        <v>3.0275229357798166</v>
      </c>
      <c r="BL811" s="67">
        <f>MAX((CR811-Driver!$F$202)/(Driver!$G$202-Driver!$F$202)*$BI$1,1)</f>
        <v>8.2758620689655178</v>
      </c>
      <c r="BM811" s="67">
        <f>MAX((CH811-Driver!$F$204)/(Driver!$G$204-Driver!$F$204)*$BI$1,1)</f>
        <v>2.9914529914529915</v>
      </c>
      <c r="BN811" s="67">
        <f>(CI811-Driver!$F$205)/(Driver!$G$205-Driver!$F$205)*$BI$1</f>
        <v>1.8823529411764706</v>
      </c>
      <c r="BO811" s="67">
        <f>(CK811-Driver!$F$207)/(Driver!$G$207-Driver!$F$207)*$BI$1</f>
        <v>0.36194415718717682</v>
      </c>
      <c r="BP811" s="67">
        <f>(CM811-Driver!$F$208)/(Driver!$G$208-Driver!$F$208)*$BI$1</f>
        <v>0.73333333333333339</v>
      </c>
      <c r="BQ811" s="67">
        <f>(CL811-Driver!$F$209)/(Driver!$G$209-Driver!$F$209)*$BI$1</f>
        <v>0.78125</v>
      </c>
      <c r="BR811" s="28" t="s">
        <v>155</v>
      </c>
      <c r="BS811" s="8" t="s">
        <v>172</v>
      </c>
      <c r="BT811" s="9" t="s">
        <v>711</v>
      </c>
      <c r="BU811" s="10">
        <v>176</v>
      </c>
      <c r="BV811" s="9" t="s">
        <v>158</v>
      </c>
      <c r="BW811" s="10">
        <v>176</v>
      </c>
      <c r="BX811" s="10">
        <v>176.4</v>
      </c>
      <c r="BY811" s="10">
        <v>155</v>
      </c>
      <c r="BZ811" s="10">
        <v>161</v>
      </c>
      <c r="CA811" s="10">
        <v>123</v>
      </c>
      <c r="CB811" s="10">
        <v>76</v>
      </c>
      <c r="CC811" s="10">
        <v>109</v>
      </c>
      <c r="CD811" s="10">
        <v>16</v>
      </c>
      <c r="CE811" s="10">
        <v>1737</v>
      </c>
      <c r="CF811" s="10">
        <v>0.93</v>
      </c>
      <c r="CG811" s="10">
        <v>1610</v>
      </c>
      <c r="CH811" s="10">
        <v>171</v>
      </c>
      <c r="CI811" s="10">
        <v>65</v>
      </c>
      <c r="CJ811" s="10">
        <v>36</v>
      </c>
      <c r="CK811" s="10">
        <v>145</v>
      </c>
      <c r="CL811" s="10">
        <v>5</v>
      </c>
      <c r="CM811" s="10">
        <v>66</v>
      </c>
      <c r="CN811" s="10">
        <v>0.14399999999999999</v>
      </c>
      <c r="CO811" s="10">
        <v>75</v>
      </c>
      <c r="CP811" s="10">
        <v>81</v>
      </c>
      <c r="CQ811" s="10">
        <v>70</v>
      </c>
      <c r="CR811" s="10">
        <v>13</v>
      </c>
      <c r="CS811" s="10">
        <v>8.6</v>
      </c>
      <c r="CT811" s="9" t="s">
        <v>349</v>
      </c>
      <c r="CU811" s="10"/>
      <c r="CV811" s="10"/>
      <c r="CW811" s="10"/>
      <c r="CX811" t="str">
        <f>INDEX('Data_Price '!AG$2:AG$1266,MATCH(Data!$DN811,'Data_Price '!$AT$2:$AT$1266,0))</f>
        <v>Rossignol Experience 76 Skis + Xpress 10 GW Bindings 2022 - 176</v>
      </c>
      <c r="CY811" t="str">
        <f>INDEX('Data_Price '!AH$2:AH$1266,MATCH(Data!$DN811,'Data_Price '!$AT$2:$AT$1266,0))</f>
        <v>SkiEssentials.com</v>
      </c>
      <c r="CZ811">
        <f>INDEX('Data_Price '!AI$2:AI$1266,MATCH(Data!$DN811,'Data_Price '!$AT$2:$AT$1266,0))</f>
        <v>399.95</v>
      </c>
      <c r="DA811" t="str">
        <f>INDEX('Data_Price '!AJ$2:AJ$1266,MATCH(Data!$DN811,'Data_Price '!$AT$2:$AT$1266,0))</f>
        <v>https://tinyurl.com/y9beok7p</v>
      </c>
      <c r="DB811" t="str">
        <f>INDEX('Data_Price '!AK$2:AK$1266,MATCH(Data!$DN811,'Data_Price '!$AT$2:$AT$1266,0))</f>
        <v>Rossignol Experience 76 Skis + Xpress 10 GW Bindings 2022 - 176</v>
      </c>
      <c r="DC811" t="str">
        <f>INDEX('Data_Price '!AL$2:AL$1266,MATCH(Data!$DN811,'Data_Price '!$AT$2:$AT$1266,0))</f>
        <v>BobsSportsChalet.com</v>
      </c>
      <c r="DD811">
        <f>INDEX('Data_Price '!AM$2:AM$1266,MATCH(Data!$DN811,'Data_Price '!$AT$2:$AT$1266,0))</f>
        <v>399.95</v>
      </c>
      <c r="DE811" t="str">
        <f>INDEX('Data_Price '!AN$2:AN$1266,MATCH(Data!$DN811,'Data_Price '!$AT$2:$AT$1266,0))</f>
        <v>https://tinyurl.com/ych6u8t8</v>
      </c>
      <c r="DF811" t="str">
        <f>INDEX('Data_Price '!AO$2:AO$1266,MATCH(Data!$DN811,'Data_Price '!$AT$2:$AT$1266,0))</f>
        <v xml:space="preserve"> Rossignol Experience E74 Skis C, 176cm by GalacticSnowSports</v>
      </c>
      <c r="DG811" t="str">
        <f>INDEX('Data_Price '!AP$2:AP$1266,MATCH(Data!$DN811,'Data_Price '!$AT$2:$AT$1266,0))</f>
        <v>GalacticSnowSports</v>
      </c>
      <c r="DH811">
        <f>INDEX('Data_Price '!AQ$2:AQ$1266,MATCH(Data!$DN811,'Data_Price '!$AT$2:$AT$1266,0))</f>
        <v>249.99</v>
      </c>
      <c r="DI811" t="str">
        <f>INDEX('Data_Price '!AR$2:AR$1266,MATCH(Data!$DN811,'Data_Price '!$AT$2:$AT$1266,0))</f>
        <v>https://tinyurl.com/ycgwrrsx</v>
      </c>
      <c r="DJ811" s="89" t="str">
        <f t="shared" si="476"/>
        <v>https://tinyurl.com/y9beok7p</v>
      </c>
      <c r="DK811" s="89" t="str">
        <f t="shared" si="477"/>
        <v>https://tinyurl.com/ych6u8t8</v>
      </c>
      <c r="DL811" s="89" t="str">
        <f t="shared" si="478"/>
        <v>https://tinyurl.com/ycgwrrsx</v>
      </c>
      <c r="DM811" s="219" t="str">
        <f t="shared" si="479"/>
        <v>Experience 76</v>
      </c>
      <c r="DN811" s="89" t="str">
        <f t="shared" si="480"/>
        <v xml:space="preserve"> RossignolExperience 76176 Unisex</v>
      </c>
      <c r="DO811" s="221" t="s">
        <v>712</v>
      </c>
    </row>
    <row r="812" spans="2:119" ht="15.6" customHeight="1">
      <c r="B812" s="219" t="b">
        <f t="array" ref="B812">IF(OR(ISERROR(K812:P812)),FALSE,TRUE)</f>
        <v>1</v>
      </c>
      <c r="C812" s="43" t="b">
        <f>OR(BR812=Driver!$G$50,Data!BR975=Driver!$H$50)</f>
        <v>1</v>
      </c>
      <c r="D812" s="43" t="b">
        <f>OR(BV812=Driver!$G$51,BV812=Driver!$H$51)</f>
        <v>1</v>
      </c>
      <c r="E812" s="43" t="b">
        <f>AND(BX812&gt;Driver!$F$54,BX812&lt;Driver!$G$54)</f>
        <v>0</v>
      </c>
      <c r="F812" s="43" t="b">
        <f>CL812&gt;Driver!$F$56</f>
        <v>1</v>
      </c>
      <c r="G812" s="43" t="b">
        <f>AND(CB812&gt;Driver!$F$55,CB812&lt;Driver!$G$55)</f>
        <v>0</v>
      </c>
      <c r="H812" s="43" t="b">
        <f t="shared" si="444"/>
        <v>0</v>
      </c>
      <c r="I812" s="43">
        <f t="shared" si="445"/>
        <v>0</v>
      </c>
      <c r="J812" s="43" t="b">
        <f t="array" ref="J812">NOT(OR(($H$9:$H$1273=TRUE)*($I$9:$I$1273&gt;0)*($BT$9:$BT$1273=BT812)*($K$9:$K$1273&gt;K812)))</f>
        <v>1</v>
      </c>
      <c r="K812" s="72">
        <f t="shared" si="446"/>
        <v>0.70852285621034194</v>
      </c>
      <c r="L812" s="72">
        <f t="shared" si="447"/>
        <v>0.75885239614918976</v>
      </c>
      <c r="M812" s="72">
        <f t="shared" si="448"/>
        <v>0.65819331627149413</v>
      </c>
      <c r="N812" s="72">
        <f t="shared" si="449"/>
        <v>0.35590897410958944</v>
      </c>
      <c r="O812" s="72">
        <f t="shared" si="450"/>
        <v>0.6409221536574865</v>
      </c>
      <c r="P812" s="72">
        <f t="shared" si="451"/>
        <v>0.97774882104740635</v>
      </c>
      <c r="Q812" s="72"/>
      <c r="R812" s="72"/>
      <c r="S812" s="72">
        <f t="shared" si="452"/>
        <v>0.45528946223010969</v>
      </c>
      <c r="T812" s="72">
        <f t="shared" si="453"/>
        <v>0.49357728304737425</v>
      </c>
      <c r="U812" s="72">
        <f t="shared" si="454"/>
        <v>0.4986748908665195</v>
      </c>
      <c r="V812" s="72">
        <f t="shared" si="455"/>
        <v>0.66437555058916364</v>
      </c>
      <c r="W812" s="72">
        <f t="shared" si="456"/>
        <v>0.80720479704797055</v>
      </c>
      <c r="X812" s="72">
        <f t="shared" si="457"/>
        <v>0.24114760385081019</v>
      </c>
      <c r="Y812" s="72">
        <f t="shared" si="458"/>
        <v>0.34180668372850592</v>
      </c>
      <c r="Z812" s="72">
        <f t="shared" si="459"/>
        <v>0.64409102589041056</v>
      </c>
      <c r="AA812" s="72">
        <f t="shared" si="460"/>
        <v>0.3590778463425135</v>
      </c>
      <c r="AB812" s="72">
        <f t="shared" si="461"/>
        <v>2.2251178952593709E-2</v>
      </c>
      <c r="AC812" s="72"/>
      <c r="AD812" s="72"/>
      <c r="AE812" s="72">
        <f t="shared" si="462"/>
        <v>0.54471053776989031</v>
      </c>
      <c r="AF812" s="72">
        <f t="shared" si="463"/>
        <v>0.50642271695262575</v>
      </c>
      <c r="AG812" s="72">
        <f t="shared" si="464"/>
        <v>0.5013251091334805</v>
      </c>
      <c r="AH812" s="72">
        <f t="shared" si="465"/>
        <v>0.33562444941083636</v>
      </c>
      <c r="AI812" s="72">
        <f t="shared" si="466"/>
        <v>0.19279520295202951</v>
      </c>
      <c r="AJ812" s="72">
        <f>(AV812-Driver!$K$179)/(Driver!$L$179-Driver!$K$179)</f>
        <v>0.49536701313351061</v>
      </c>
      <c r="AK812" s="72">
        <f>(AW812-Driver!$K$180)/(Driver!$L$180-Driver!$K$180)</f>
        <v>0.319576382908907</v>
      </c>
      <c r="AL812" s="72">
        <f>(AX812-Driver!$K$181)/(Driver!$L$181-Driver!$K$181)</f>
        <v>0.74577878960349075</v>
      </c>
      <c r="AM812" s="72">
        <f>(AY812-Driver!$K$182)/(Driver!$L$182-Driver!$K$182)</f>
        <v>8.8307174754532841E-2</v>
      </c>
      <c r="AN812" s="72">
        <f>(AZ812-Driver!$K$183)/(Driver!$L$183-Driver!$K$183)</f>
        <v>0.27647058823529413</v>
      </c>
      <c r="AO812" s="72"/>
      <c r="AP812" s="72"/>
      <c r="AQ812" s="72">
        <f>(BC812-Driver!$K$188)/(Driver!$L$188-Driver!$K$188)</f>
        <v>7.5289462230109641E-2</v>
      </c>
      <c r="AR812" s="72">
        <f>MIN((BD812-Driver!$K$189)/(Driver!$L$189-Driver!$K$189),100%)</f>
        <v>4.3577283047374286E-2</v>
      </c>
      <c r="AS812" s="72">
        <f>(BE812-Driver!$K$190)/(Driver!$L$190-Driver!$K$190)</f>
        <v>8.6748908665194614E-3</v>
      </c>
      <c r="AT812" s="72">
        <f>(BF812-Driver!$K$191)/(Driver!$L$191-Driver!$K$191)</f>
        <v>0.17437555058916368</v>
      </c>
      <c r="AU812" s="72">
        <f>(BG812-Driver!$K$192)/(Driver!$L$192-Driver!$K$192)</f>
        <v>5.7204797047970476E-2</v>
      </c>
      <c r="AV812" s="70">
        <f t="shared" si="467"/>
        <v>10.425993759327094</v>
      </c>
      <c r="AW812" s="70">
        <f t="shared" si="468"/>
        <v>33.01744287075163</v>
      </c>
      <c r="AX812" s="70">
        <f t="shared" si="469"/>
        <v>7.7120091064314167</v>
      </c>
      <c r="AY812" s="70">
        <f>IFERROR(Driver!$K$19/Data!BH812/Data!BI812*Data!BK812*Data!BL812,"")</f>
        <v>0.1081143302174573</v>
      </c>
      <c r="AZ812" s="70">
        <f t="shared" si="470"/>
        <v>25.197319434102756</v>
      </c>
      <c r="BA812" s="70"/>
      <c r="BB812" s="70"/>
      <c r="BC812" s="70">
        <f t="shared" si="471"/>
        <v>39.05316746260781</v>
      </c>
      <c r="BD812" s="70">
        <f t="shared" si="472"/>
        <v>5.5773352194138059</v>
      </c>
      <c r="BE812" s="70">
        <f t="shared" si="473"/>
        <v>8.8517321081494956E-3</v>
      </c>
      <c r="BF812" s="70">
        <f t="shared" si="474"/>
        <v>19.694493381469723</v>
      </c>
      <c r="BG812" s="70">
        <f t="shared" si="475"/>
        <v>0.21661385433897443</v>
      </c>
      <c r="BH812" s="67">
        <f>MAX((CE812-Driver!$F$200)/(Driver!$G$200-Driver!$F$200)*$BI$1,1)</f>
        <v>7.7120091064314167</v>
      </c>
      <c r="BI812" s="67">
        <f>MAX($BI$1*(BY812-Driver!$F$201)/(Driver!$G$201-Driver!$F$201),1)</f>
        <v>5.9493670886075947</v>
      </c>
      <c r="BJ812" s="67">
        <f>(CB812-Driver!$F$206)/(Driver!$G$206-Driver!$F$206)*$BI$1</f>
        <v>8.412698412698413</v>
      </c>
      <c r="BK812" s="67">
        <f>(CD812-Driver!$F$203)/(Driver!$G$203-Driver!$F$203)*$BI$1</f>
        <v>4.4954128440366974</v>
      </c>
      <c r="BL812" s="67">
        <f>MAX((CR812-Driver!$F$202)/(Driver!$G$202-Driver!$F$202)*$BI$1,1)</f>
        <v>5.5172413793103452</v>
      </c>
      <c r="BM812" s="67">
        <f>MAX((CH812-Driver!$F$204)/(Driver!$G$204-Driver!$F$204)*$BI$1,1)</f>
        <v>4.9572649572649574</v>
      </c>
      <c r="BN812" s="67">
        <f>(CI812-Driver!$F$205)/(Driver!$G$205-Driver!$F$205)*$BI$1</f>
        <v>4.2352941176470589</v>
      </c>
      <c r="BO812" s="67">
        <f>(CK812-Driver!$F$207)/(Driver!$G$207-Driver!$F$207)*$BI$1</f>
        <v>2.6680455015511892</v>
      </c>
      <c r="BP812" s="67">
        <f>(CM812-Driver!$F$208)/(Driver!$G$208-Driver!$F$208)*$BI$1</f>
        <v>3.9444444444444442</v>
      </c>
      <c r="BQ812" s="67">
        <f>(CL812-Driver!$F$209)/(Driver!$G$209-Driver!$F$209)*$BI$1</f>
        <v>8.28125</v>
      </c>
      <c r="BR812" s="28" t="s">
        <v>155</v>
      </c>
      <c r="BS812" s="8" t="s">
        <v>172</v>
      </c>
      <c r="BT812" s="9" t="s">
        <v>768</v>
      </c>
      <c r="BU812" s="10">
        <v>176</v>
      </c>
      <c r="BV812" s="9" t="s">
        <v>158</v>
      </c>
      <c r="BW812" s="10">
        <v>176</v>
      </c>
      <c r="BX812" s="10">
        <v>174.7</v>
      </c>
      <c r="BY812" s="10">
        <v>102</v>
      </c>
      <c r="BZ812" s="10">
        <v>147</v>
      </c>
      <c r="CA812" s="10">
        <v>144</v>
      </c>
      <c r="CB812" s="10">
        <v>117</v>
      </c>
      <c r="CC812" s="10">
        <v>139</v>
      </c>
      <c r="CD812" s="10">
        <v>19.2</v>
      </c>
      <c r="CE812" s="10">
        <v>2255</v>
      </c>
      <c r="CF812" s="10">
        <v>0.98</v>
      </c>
      <c r="CG812" s="10">
        <v>2199</v>
      </c>
      <c r="CH812" s="10">
        <v>217</v>
      </c>
      <c r="CI812" s="10">
        <v>105</v>
      </c>
      <c r="CJ812" s="10">
        <v>69</v>
      </c>
      <c r="CK812" s="10">
        <v>368</v>
      </c>
      <c r="CL812" s="10">
        <v>53</v>
      </c>
      <c r="CM812" s="10">
        <v>355</v>
      </c>
      <c r="CN812" s="10">
        <v>0.76600000000000001</v>
      </c>
      <c r="CO812" s="10">
        <v>149</v>
      </c>
      <c r="CP812" s="10">
        <v>130</v>
      </c>
      <c r="CQ812" s="10">
        <v>219</v>
      </c>
      <c r="CR812" s="10">
        <v>5</v>
      </c>
      <c r="CS812" s="10">
        <v>2.2999999999999998</v>
      </c>
      <c r="CT812" s="9" t="s">
        <v>169</v>
      </c>
      <c r="CU812" s="10"/>
      <c r="CV812" s="10"/>
      <c r="CW812" s="10"/>
      <c r="CX812" t="str">
        <f>INDEX('Data_Price '!AG$2:AG$1266,MATCH(Data!$DN812,'Data_Price '!$AT$2:$AT$1266,0))</f>
        <v>Rossignol Blackops Gamer Skis</v>
      </c>
      <c r="CY812" t="str">
        <f>INDEX('Data_Price '!AH$2:AH$1266,MATCH(Data!$DN812,'Data_Price '!$AT$2:$AT$1266,0))</f>
        <v>Snowcountry.eu</v>
      </c>
      <c r="CZ812">
        <f>INDEX('Data_Price '!AI$2:AI$1266,MATCH(Data!$DN812,'Data_Price '!$AT$2:$AT$1266,0))</f>
        <v>451.66</v>
      </c>
      <c r="DA812" t="str">
        <f>INDEX('Data_Price '!AJ$2:AJ$1266,MATCH(Data!$DN812,'Data_Price '!$AT$2:$AT$1266,0))</f>
        <v>https://tinyurl.com/ycvmcfuk</v>
      </c>
      <c r="DB812" t="str">
        <f>INDEX('Data_Price '!AK$2:AK$1266,MATCH(Data!$DN812,'Data_Price '!$AT$2:$AT$1266,0))</f>
        <v>Rossignol Blackops Gamer 176cm</v>
      </c>
      <c r="DC812" t="str">
        <f>INDEX('Data_Price '!AL$2:AL$1266,MATCH(Data!$DN812,'Data_Price '!$AT$2:$AT$1266,0))</f>
        <v>Sundance Ski and Board Shop</v>
      </c>
      <c r="DD812">
        <f>INDEX('Data_Price '!AM$2:AM$1266,MATCH(Data!$DN812,'Data_Price '!$AT$2:$AT$1266,0))</f>
        <v>480.86</v>
      </c>
      <c r="DE812" t="str">
        <f>INDEX('Data_Price '!AN$2:AN$1266,MATCH(Data!$DN812,'Data_Price '!$AT$2:$AT$1266,0))</f>
        <v>https://tinyurl.com/ybbh4wjg</v>
      </c>
      <c r="DF812" t="str">
        <f>INDEX('Data_Price '!AO$2:AO$1266,MATCH(Data!$DN812,'Data_Price '!$AT$2:$AT$1266,0))</f>
        <v>Rossignol Blackops Gamer Skis</v>
      </c>
      <c r="DG812" t="str">
        <f>INDEX('Data_Price '!AP$2:AP$1266,MATCH(Data!$DN812,'Data_Price '!$AT$2:$AT$1266,0))</f>
        <v>Backcountry.com</v>
      </c>
      <c r="DH812">
        <f>INDEX('Data_Price '!AQ$2:AQ$1266,MATCH(Data!$DN812,'Data_Price '!$AT$2:$AT$1266,0))</f>
        <v>524.96</v>
      </c>
      <c r="DI812" t="str">
        <f>INDEX('Data_Price '!AR$2:AR$1266,MATCH(Data!$DN812,'Data_Price '!$AT$2:$AT$1266,0))</f>
        <v>https://tinyurl.com/ydehqvnz</v>
      </c>
      <c r="DJ812" s="89" t="str">
        <f t="shared" si="476"/>
        <v>https://tinyurl.com/ycvmcfuk</v>
      </c>
      <c r="DK812" s="89" t="str">
        <f t="shared" si="477"/>
        <v>https://tinyurl.com/ybbh4wjg</v>
      </c>
      <c r="DL812" s="89" t="str">
        <f t="shared" si="478"/>
        <v>https://tinyurl.com/ydehqvnz</v>
      </c>
      <c r="DM812" s="219" t="str">
        <f t="shared" si="479"/>
        <v>Blackops Gamer</v>
      </c>
      <c r="DN812" s="89" t="str">
        <f t="shared" si="480"/>
        <v xml:space="preserve"> RossignolBlackops Gamer176 Unisex</v>
      </c>
      <c r="DO812" s="221"/>
    </row>
    <row r="813" spans="2:119" ht="15.6" customHeight="1">
      <c r="B813" s="219" t="b">
        <f t="array" ref="B813">IF(OR(ISERROR(K813:P813)),FALSE,TRUE)</f>
        <v>1</v>
      </c>
      <c r="C813" s="43" t="b">
        <f>OR(BR813=Driver!$G$50,Data!BR896=Driver!$H$50)</f>
        <v>1</v>
      </c>
      <c r="D813" s="43" t="b">
        <f>OR(BV813=Driver!$G$51,BV813=Driver!$H$51)</f>
        <v>1</v>
      </c>
      <c r="E813" s="43" t="b">
        <f>AND(BX813&gt;Driver!$F$54,BX813&lt;Driver!$G$54)</f>
        <v>0</v>
      </c>
      <c r="F813" s="43" t="b">
        <f>CL813&gt;Driver!$F$56</f>
        <v>1</v>
      </c>
      <c r="G813" s="43" t="b">
        <f>AND(CB813&gt;Driver!$F$55,CB813&lt;Driver!$G$55)</f>
        <v>1</v>
      </c>
      <c r="H813" s="43" t="b">
        <f t="shared" si="444"/>
        <v>0</v>
      </c>
      <c r="I813" s="43">
        <f t="shared" si="445"/>
        <v>1</v>
      </c>
      <c r="J813" s="43" t="b">
        <f t="array" ref="J813">NOT(OR(($H$9:$H$1273=TRUE)*($I$9:$I$1273&gt;0)*($BT$9:$BT$1273=BT813)*($K$9:$K$1273&gt;K813)))</f>
        <v>0</v>
      </c>
      <c r="K813" s="72">
        <f t="shared" si="446"/>
        <v>0.775565099398</v>
      </c>
      <c r="L813" s="72">
        <f t="shared" si="447"/>
        <v>0.92547877597353922</v>
      </c>
      <c r="M813" s="72">
        <f t="shared" si="448"/>
        <v>0.62565142282246078</v>
      </c>
      <c r="N813" s="72">
        <f t="shared" si="449"/>
        <v>0.48871109894358677</v>
      </c>
      <c r="O813" s="72">
        <f t="shared" si="450"/>
        <v>0.62372964259403652</v>
      </c>
      <c r="P813" s="72">
        <f t="shared" si="451"/>
        <v>0.76451352692975938</v>
      </c>
      <c r="Q813" s="72"/>
      <c r="R813" s="72"/>
      <c r="S813" s="72">
        <f t="shared" si="452"/>
        <v>0.48964794151316482</v>
      </c>
      <c r="T813" s="72">
        <f t="shared" si="453"/>
        <v>0.52827832754351034</v>
      </c>
      <c r="U813" s="72">
        <f t="shared" si="454"/>
        <v>0.53364857287344514</v>
      </c>
      <c r="V813" s="72">
        <f t="shared" si="455"/>
        <v>0.57614233454884745</v>
      </c>
      <c r="W813" s="72">
        <f t="shared" si="456"/>
        <v>0.79648343180066783</v>
      </c>
      <c r="X813" s="72">
        <f t="shared" si="457"/>
        <v>7.4521224026460775E-2</v>
      </c>
      <c r="Y813" s="72">
        <f t="shared" si="458"/>
        <v>0.37434857717753917</v>
      </c>
      <c r="Z813" s="72">
        <f t="shared" si="459"/>
        <v>0.51128890105641323</v>
      </c>
      <c r="AA813" s="72">
        <f t="shared" si="460"/>
        <v>0.37627035740596348</v>
      </c>
      <c r="AB813" s="72">
        <f t="shared" si="461"/>
        <v>0.23548647307024068</v>
      </c>
      <c r="AC813" s="72"/>
      <c r="AD813" s="72"/>
      <c r="AE813" s="72">
        <f t="shared" si="462"/>
        <v>0.51035205848683518</v>
      </c>
      <c r="AF813" s="72">
        <f t="shared" si="463"/>
        <v>0.47172167245648966</v>
      </c>
      <c r="AG813" s="72">
        <f t="shared" si="464"/>
        <v>0.46635142712655486</v>
      </c>
      <c r="AH813" s="72">
        <f t="shared" si="465"/>
        <v>0.42385766545115261</v>
      </c>
      <c r="AI813" s="72">
        <f t="shared" si="466"/>
        <v>0.20351656819933214</v>
      </c>
      <c r="AJ813" s="72">
        <f>(AV813-Driver!$K$179)/(Driver!$L$179-Driver!$K$179)</f>
        <v>0.3287406333091612</v>
      </c>
      <c r="AK813" s="72">
        <f>(AW813-Driver!$K$180)/(Driver!$L$180-Driver!$K$180)</f>
        <v>0.50650484379722338</v>
      </c>
      <c r="AL813" s="72">
        <f>(AX813-Driver!$K$181)/(Driver!$L$181-Driver!$K$181)</f>
        <v>0.61297666476949342</v>
      </c>
      <c r="AM813" s="72">
        <f>(AY813-Driver!$K$182)/(Driver!$L$182-Driver!$K$182)</f>
        <v>7.1114663691082894E-2</v>
      </c>
      <c r="AN813" s="72">
        <f>(AZ813-Driver!$K$183)/(Driver!$L$183-Driver!$K$183)</f>
        <v>0.4897058823529411</v>
      </c>
      <c r="AO813" s="72"/>
      <c r="AP813" s="72"/>
      <c r="AQ813" s="72">
        <f>(BC813-Driver!$K$188)/(Driver!$L$188-Driver!$K$188)</f>
        <v>0.10964794151316483</v>
      </c>
      <c r="AR813" s="72">
        <f>MIN((BD813-Driver!$K$189)/(Driver!$L$189-Driver!$K$189),100%)</f>
        <v>7.8278327543510384E-2</v>
      </c>
      <c r="AS813" s="72">
        <f>(BE813-Driver!$K$190)/(Driver!$L$190-Driver!$K$190)</f>
        <v>4.3648572873445118E-2</v>
      </c>
      <c r="AT813" s="72">
        <f>(BF813-Driver!$K$191)/(Driver!$L$191-Driver!$K$191)</f>
        <v>8.6142334548847385E-2</v>
      </c>
      <c r="AU813" s="72">
        <f>(BG813-Driver!$K$192)/(Driver!$L$192-Driver!$K$192)</f>
        <v>4.648343180066785E-2</v>
      </c>
      <c r="AV813" s="70">
        <f t="shared" si="467"/>
        <v>6.919006919006919</v>
      </c>
      <c r="AW813" s="70">
        <f t="shared" si="468"/>
        <v>51.235277738979853</v>
      </c>
      <c r="AX813" s="70">
        <f t="shared" si="469"/>
        <v>6.5167899829254408</v>
      </c>
      <c r="AY813" s="70">
        <f>IFERROR(Driver!$K$19/Data!BH813/Data!BI813*Data!BK813*Data!BL813,"")</f>
        <v>8.706556692559686E-2</v>
      </c>
      <c r="AZ813" s="70">
        <f t="shared" si="470"/>
        <v>44.631422189128813</v>
      </c>
      <c r="BA813" s="70"/>
      <c r="BB813" s="70"/>
      <c r="BC813" s="70">
        <f t="shared" si="471"/>
        <v>56.875149523001404</v>
      </c>
      <c r="BD813" s="70">
        <f t="shared" si="472"/>
        <v>8.6483161707093572</v>
      </c>
      <c r="BE813" s="70">
        <f t="shared" si="473"/>
        <v>4.3819175203850674E-2</v>
      </c>
      <c r="BF813" s="70">
        <f t="shared" si="474"/>
        <v>9.729171503141071</v>
      </c>
      <c r="BG813" s="70">
        <f t="shared" si="475"/>
        <v>0.17601592602106342</v>
      </c>
      <c r="BH813" s="67">
        <f>MAX((CE813-Driver!$F$200)/(Driver!$G$200-Driver!$F$200)*$BI$1,1)</f>
        <v>6.5167899829254408</v>
      </c>
      <c r="BI813" s="67">
        <f>MAX($BI$1*(BY813-Driver!$F$201)/(Driver!$G$201-Driver!$F$201),1)</f>
        <v>7.0253164556962027</v>
      </c>
      <c r="BJ813" s="67">
        <f>(CB813-Driver!$F$206)/(Driver!$G$206-Driver!$F$206)*$BI$1</f>
        <v>6.3492063492063489</v>
      </c>
      <c r="BK813" s="67">
        <f>(CD813-Driver!$F$203)/(Driver!$G$203-Driver!$F$203)*$BI$1</f>
        <v>3.2110091743119265</v>
      </c>
      <c r="BL813" s="67">
        <f>MAX((CR813-Driver!$F$202)/(Driver!$G$202-Driver!$F$202)*$BI$1,1)</f>
        <v>6.2068965517241379</v>
      </c>
      <c r="BM813" s="67">
        <f>MAX((CH813-Driver!$F$204)/(Driver!$G$204-Driver!$F$204)*$BI$1,1)</f>
        <v>4.3589743589743595</v>
      </c>
      <c r="BN813" s="67">
        <f>(CI813-Driver!$F$205)/(Driver!$G$205-Driver!$F$205)*$BI$1</f>
        <v>6.3529411764705879</v>
      </c>
      <c r="BO813" s="67">
        <f>(CK813-Driver!$F$207)/(Driver!$G$207-Driver!$F$207)*$BI$1</f>
        <v>1.892450879007239</v>
      </c>
      <c r="BP813" s="67">
        <f>(CM813-Driver!$F$208)/(Driver!$G$208-Driver!$F$208)*$BI$1</f>
        <v>2.6</v>
      </c>
      <c r="BQ813" s="67">
        <f>(CL813-Driver!$F$209)/(Driver!$G$209-Driver!$F$209)*$BI$1</f>
        <v>5</v>
      </c>
      <c r="BR813" s="28" t="s">
        <v>155</v>
      </c>
      <c r="BS813" s="8" t="s">
        <v>332</v>
      </c>
      <c r="BT813" s="9" t="s">
        <v>694</v>
      </c>
      <c r="BU813" s="10">
        <v>172</v>
      </c>
      <c r="BV813" s="9" t="s">
        <v>158</v>
      </c>
      <c r="BW813" s="10">
        <v>172</v>
      </c>
      <c r="BX813" s="10">
        <v>171.4</v>
      </c>
      <c r="BY813" s="10">
        <v>119</v>
      </c>
      <c r="BZ813" s="10">
        <v>140</v>
      </c>
      <c r="CA813" s="10">
        <v>135</v>
      </c>
      <c r="CB813" s="10">
        <v>104</v>
      </c>
      <c r="CC813" s="10">
        <v>125</v>
      </c>
      <c r="CD813" s="10">
        <v>16.399999999999999</v>
      </c>
      <c r="CE813" s="10">
        <v>2045</v>
      </c>
      <c r="CF813" s="10">
        <v>0.96</v>
      </c>
      <c r="CG813" s="10">
        <v>1954</v>
      </c>
      <c r="CH813" s="10">
        <v>203</v>
      </c>
      <c r="CI813" s="10">
        <v>141</v>
      </c>
      <c r="CJ813" s="10">
        <v>52</v>
      </c>
      <c r="CK813" s="10">
        <v>293</v>
      </c>
      <c r="CL813" s="10">
        <v>32</v>
      </c>
      <c r="CM813" s="10">
        <v>234</v>
      </c>
      <c r="CN813" s="10">
        <v>0.621</v>
      </c>
      <c r="CO813" s="10">
        <v>151</v>
      </c>
      <c r="CP813" s="10">
        <v>164</v>
      </c>
      <c r="CQ813" s="10">
        <v>142</v>
      </c>
      <c r="CR813" s="10">
        <v>7</v>
      </c>
      <c r="CS813" s="10">
        <v>8.8000000000000007</v>
      </c>
      <c r="CT813" s="9" t="s">
        <v>188</v>
      </c>
      <c r="CU813" s="9" t="s">
        <v>169</v>
      </c>
      <c r="CV813" s="10"/>
      <c r="CW813" s="10"/>
      <c r="CX813" t="str">
        <f>INDEX('Data_Price '!AG$2:AG$1266,MATCH(Data!$DN813,'Data_Price '!$AT$2:$AT$1266,0))</f>
        <v>Nordica Enforcer 104 free GREY/BLUE/WHITE / 172cm</v>
      </c>
      <c r="CY813" t="str">
        <f>INDEX('Data_Price '!AH$2:AH$1266,MATCH(Data!$DN813,'Data_Price '!$AT$2:$AT$1266,0))</f>
        <v>Sundance Ski and Board Shop</v>
      </c>
      <c r="CZ813">
        <f>INDEX('Data_Price '!AI$2:AI$1266,MATCH(Data!$DN813,'Data_Price '!$AT$2:$AT$1266,0))</f>
        <v>561.01</v>
      </c>
      <c r="DA813" t="str">
        <f>INDEX('Data_Price '!AJ$2:AJ$1266,MATCH(Data!$DN813,'Data_Price '!$AT$2:$AT$1266,0))</f>
        <v>https://tinyurl.com/yarurnyo</v>
      </c>
      <c r="DB813" t="str">
        <f>INDEX('Data_Price '!AK$2:AK$1266,MATCH(Data!$DN813,'Data_Price '!$AT$2:$AT$1266,0))</f>
        <v>Nordica Enforcer 104 Free Skis 2022</v>
      </c>
      <c r="DC813" t="str">
        <f>INDEX('Data_Price '!AL$2:AL$1266,MATCH(Data!$DN813,'Data_Price '!$AT$2:$AT$1266,0))</f>
        <v>BlueZone Sports</v>
      </c>
      <c r="DD813">
        <f>INDEX('Data_Price '!AM$2:AM$1266,MATCH(Data!$DN813,'Data_Price '!$AT$2:$AT$1266,0))</f>
        <v>599.99</v>
      </c>
      <c r="DE813" t="str">
        <f>INDEX('Data_Price '!AN$2:AN$1266,MATCH(Data!$DN813,'Data_Price '!$AT$2:$AT$1266,0))</f>
        <v>https://tinyurl.com/ya6gg59g</v>
      </c>
      <c r="DF813" t="str">
        <f>INDEX('Data_Price '!AO$2:AO$1266,MATCH(Data!$DN813,'Data_Price '!$AT$2:$AT$1266,0))</f>
        <v>Nordica Enforcer 104 Free Skis 2022</v>
      </c>
      <c r="DG813" t="str">
        <f>INDEX('Data_Price '!AP$2:AP$1266,MATCH(Data!$DN813,'Data_Price '!$AT$2:$AT$1266,0))</f>
        <v>Ski Pro  - Snow Ski &amp; Snowboard</v>
      </c>
      <c r="DH813">
        <f>INDEX('Data_Price '!AQ$2:AQ$1266,MATCH(Data!$DN813,'Data_Price '!$AT$2:$AT$1266,0))</f>
        <v>639.95000000000005</v>
      </c>
      <c r="DI813" t="str">
        <f>INDEX('Data_Price '!AR$2:AR$1266,MATCH(Data!$DN813,'Data_Price '!$AT$2:$AT$1266,0))</f>
        <v>https://tinyurl.com/yc27lm4a</v>
      </c>
      <c r="DJ813" s="89" t="str">
        <f t="shared" si="476"/>
        <v>https://tinyurl.com/yarurnyo</v>
      </c>
      <c r="DK813" s="89" t="str">
        <f t="shared" si="477"/>
        <v>https://tinyurl.com/ya6gg59g</v>
      </c>
      <c r="DL813" s="89" t="str">
        <f t="shared" si="478"/>
        <v>https://tinyurl.com/yc27lm4a</v>
      </c>
      <c r="DM813" s="219" t="str">
        <f t="shared" si="479"/>
        <v>Enforcer 104 Free</v>
      </c>
      <c r="DN813" s="89" t="str">
        <f t="shared" si="480"/>
        <v xml:space="preserve"> NordicaEnforcer 104 Free172 Unisex</v>
      </c>
      <c r="DO813" s="221" t="s">
        <v>695</v>
      </c>
    </row>
    <row r="814" spans="2:119" ht="15.6" customHeight="1">
      <c r="B814" s="219" t="b">
        <f t="array" ref="B814">IF(OR(ISERROR(K814:P814)),FALSE,TRUE)</f>
        <v>1</v>
      </c>
      <c r="C814" s="43" t="b">
        <f>OR(BR814=Driver!$G$50,Data!BR792=Driver!$H$50)</f>
        <v>1</v>
      </c>
      <c r="D814" s="43" t="b">
        <f>OR(BV814=Driver!$G$51,BV814=Driver!$H$51)</f>
        <v>1</v>
      </c>
      <c r="E814" s="43" t="b">
        <f>AND(BX814&gt;Driver!$F$54,BX814&lt;Driver!$G$54)</f>
        <v>0</v>
      </c>
      <c r="F814" s="43" t="b">
        <f>CL814&gt;Driver!$F$56</f>
        <v>1</v>
      </c>
      <c r="G814" s="43" t="b">
        <f>AND(CB814&gt;Driver!$F$55,CB814&lt;Driver!$G$55)</f>
        <v>0</v>
      </c>
      <c r="H814" s="43" t="b">
        <f t="shared" si="444"/>
        <v>0</v>
      </c>
      <c r="I814" s="43">
        <f t="shared" si="445"/>
        <v>0</v>
      </c>
      <c r="J814" s="43" t="b">
        <f t="array" ref="J814">NOT(OR(($H$9:$H$1273=TRUE)*($I$9:$I$1273&gt;0)*($BT$9:$BT$1273=BT814)*($K$9:$K$1273&gt;K814)))</f>
        <v>1</v>
      </c>
      <c r="K814" s="72">
        <f t="shared" si="446"/>
        <v>0.91674860206158326</v>
      </c>
      <c r="L814" s="72">
        <f t="shared" si="447"/>
        <v>0.89032978095176896</v>
      </c>
      <c r="M814" s="72">
        <f t="shared" si="448"/>
        <v>0.94316742317139746</v>
      </c>
      <c r="N814" s="72">
        <f t="shared" si="449"/>
        <v>0.99905213383956637</v>
      </c>
      <c r="O814" s="72">
        <f t="shared" si="450"/>
        <v>0.87020876064360098</v>
      </c>
      <c r="P814" s="72">
        <f t="shared" si="451"/>
        <v>0.96024137503102502</v>
      </c>
      <c r="Q814" s="72"/>
      <c r="R814" s="72"/>
      <c r="S814" s="72">
        <f t="shared" si="452"/>
        <v>0.47317905771931801</v>
      </c>
      <c r="T814" s="72">
        <f t="shared" si="453"/>
        <v>0.4563971404837428</v>
      </c>
      <c r="U814" s="72">
        <f t="shared" si="454"/>
        <v>0.51</v>
      </c>
      <c r="V814" s="72">
        <f t="shared" si="455"/>
        <v>0.50704188363957958</v>
      </c>
      <c r="W814" s="72">
        <f t="shared" si="456"/>
        <v>0.79544776119402982</v>
      </c>
      <c r="X814" s="72">
        <f t="shared" si="457"/>
        <v>0.10967021904823104</v>
      </c>
      <c r="Y814" s="72">
        <f t="shared" si="458"/>
        <v>5.6832576828602523E-2</v>
      </c>
      <c r="Z814" s="72">
        <f t="shared" si="459"/>
        <v>9.4786616043361638E-4</v>
      </c>
      <c r="AA814" s="72">
        <f t="shared" si="460"/>
        <v>0.12979123935639902</v>
      </c>
      <c r="AB814" s="72">
        <f t="shared" si="461"/>
        <v>3.975862496897492E-2</v>
      </c>
      <c r="AC814" s="72"/>
      <c r="AD814" s="72"/>
      <c r="AE814" s="72">
        <f t="shared" si="462"/>
        <v>0.52682094228068199</v>
      </c>
      <c r="AF814" s="72">
        <f t="shared" si="463"/>
        <v>0.5436028595162572</v>
      </c>
      <c r="AG814" s="72">
        <f t="shared" si="464"/>
        <v>0.49</v>
      </c>
      <c r="AH814" s="72">
        <f t="shared" si="465"/>
        <v>0.49295811636042047</v>
      </c>
      <c r="AI814" s="72">
        <f t="shared" si="466"/>
        <v>0.20455223880597015</v>
      </c>
      <c r="AJ814" s="72">
        <f>(AV814-Driver!$K$179)/(Driver!$L$179-Driver!$K$179)</f>
        <v>0.14454919023446938</v>
      </c>
      <c r="AK814" s="72">
        <f>(AW814-Driver!$K$180)/(Driver!$L$180-Driver!$K$180)</f>
        <v>0.2049007019192581</v>
      </c>
      <c r="AL814" s="72">
        <f>(AX814-Driver!$K$181)/(Driver!$L$181-Driver!$K$181)</f>
        <v>0.10073989755264656</v>
      </c>
      <c r="AM814" s="72">
        <f>(AY814-Driver!$K$182)/(Driver!$L$182-Driver!$K$182)</f>
        <v>0.31759378174064734</v>
      </c>
      <c r="AN814" s="72">
        <f>(AZ814-Driver!$K$183)/(Driver!$L$183-Driver!$K$183)</f>
        <v>0.21446078431372551</v>
      </c>
      <c r="AO814" s="72"/>
      <c r="AP814" s="72"/>
      <c r="AQ814" s="72">
        <f>(BC814-Driver!$K$188)/(Driver!$L$188-Driver!$K$188)</f>
        <v>9.3179057719317962E-2</v>
      </c>
      <c r="AR814" s="72">
        <f>MIN((BD814-Driver!$K$189)/(Driver!$L$189-Driver!$K$189),100%)</f>
        <v>6.3971404837428643E-3</v>
      </c>
      <c r="AS814" s="72">
        <f>(BE814-Driver!$K$190)/(Driver!$L$190-Driver!$K$190)</f>
        <v>1</v>
      </c>
      <c r="AT814" s="72">
        <f>(BF814-Driver!$K$191)/(Driver!$L$191-Driver!$K$191)</f>
        <v>1.7041883639579512E-2</v>
      </c>
      <c r="AU814" s="72">
        <f>(BG814-Driver!$K$192)/(Driver!$L$192-Driver!$K$192)</f>
        <v>4.5447761194029858E-2</v>
      </c>
      <c r="AV814" s="70">
        <f t="shared" si="467"/>
        <v>3.0423280423280419</v>
      </c>
      <c r="AW814" s="70">
        <f t="shared" si="468"/>
        <v>21.841281628407497</v>
      </c>
      <c r="AX814" s="70">
        <f t="shared" si="469"/>
        <v>1.9066590779738191</v>
      </c>
      <c r="AY814" s="70">
        <f>IFERROR(Driver!$K$19/Data!BH814/Data!BI814*Data!BK814*Data!BL814,"")</f>
        <v>0.38882954968907446</v>
      </c>
      <c r="AZ814" s="70">
        <f t="shared" si="470"/>
        <v>19.545793000744602</v>
      </c>
      <c r="BA814" s="70"/>
      <c r="BB814" s="70"/>
      <c r="BC814" s="70">
        <f t="shared" si="471"/>
        <v>48.332625009310341</v>
      </c>
      <c r="BD814" s="70">
        <f t="shared" si="472"/>
        <v>2.2869584818467641</v>
      </c>
      <c r="BE814" s="70">
        <f t="shared" si="473"/>
        <v>1</v>
      </c>
      <c r="BF814" s="70">
        <f t="shared" si="474"/>
        <v>1.9247610310819179</v>
      </c>
      <c r="BG814" s="70">
        <f t="shared" si="475"/>
        <v>0.17209421641791048</v>
      </c>
      <c r="BH814" s="67">
        <f>MAX((CE814-Driver!$F$200)/(Driver!$G$200-Driver!$F$200)*$BI$1,1)</f>
        <v>1.9066590779738191</v>
      </c>
      <c r="BI814" s="67">
        <f>MAX($BI$1*(BY814-Driver!$F$201)/(Driver!$G$201-Driver!$F$201),1)</f>
        <v>7.9113924050632916</v>
      </c>
      <c r="BJ814" s="67">
        <f>(CB814-Driver!$F$206)/(Driver!$G$206-Driver!$F$206)*$BI$1</f>
        <v>3.6507936507936507</v>
      </c>
      <c r="BK814" s="67">
        <f>(CD814-Driver!$F$203)/(Driver!$G$203-Driver!$F$203)*$BI$1</f>
        <v>4.7247706422018352</v>
      </c>
      <c r="BL814" s="67">
        <f>MAX((CR814-Driver!$F$202)/(Driver!$G$202-Driver!$F$202)*$BI$1,1)</f>
        <v>6.2068965517241379</v>
      </c>
      <c r="BM814" s="67">
        <f>MAX((CH814-Driver!$F$204)/(Driver!$G$204-Driver!$F$204)*$BI$1,1)</f>
        <v>3.333333333333333</v>
      </c>
      <c r="BN814" s="67">
        <f>(CI814-Driver!$F$205)/(Driver!$G$205-Driver!$F$205)*$BI$1</f>
        <v>2.4705882352941178</v>
      </c>
      <c r="BO814" s="67">
        <f>(CK814-Driver!$F$207)/(Driver!$G$207-Driver!$F$207)*$BI$1</f>
        <v>1.6856256463288521</v>
      </c>
      <c r="BP814" s="67">
        <f>(CM814-Driver!$F$208)/(Driver!$G$208-Driver!$F$208)*$BI$1</f>
        <v>1.4777777777777779</v>
      </c>
      <c r="BQ814" s="67">
        <f>(CL814-Driver!$F$209)/(Driver!$G$209-Driver!$F$209)*$BI$1</f>
        <v>1.09375</v>
      </c>
      <c r="BR814" s="28" t="s">
        <v>155</v>
      </c>
      <c r="BS814" s="8" t="s">
        <v>262</v>
      </c>
      <c r="BT814" s="9" t="s">
        <v>769</v>
      </c>
      <c r="BU814" s="10">
        <v>174</v>
      </c>
      <c r="BV814" s="9" t="s">
        <v>158</v>
      </c>
      <c r="BW814" s="10">
        <v>174</v>
      </c>
      <c r="BX814" s="10">
        <v>173.8</v>
      </c>
      <c r="BY814" s="10">
        <v>133</v>
      </c>
      <c r="BZ814" s="10">
        <v>148</v>
      </c>
      <c r="CA814" s="10">
        <v>120</v>
      </c>
      <c r="CB814" s="10">
        <v>87</v>
      </c>
      <c r="CC814" s="10">
        <v>108</v>
      </c>
      <c r="CD814" s="10">
        <v>19.7</v>
      </c>
      <c r="CE814" s="10">
        <v>1235</v>
      </c>
      <c r="CF814" s="10">
        <v>1.37</v>
      </c>
      <c r="CG814" s="10">
        <v>1691</v>
      </c>
      <c r="CH814" s="10">
        <v>179</v>
      </c>
      <c r="CI814" s="10">
        <v>75</v>
      </c>
      <c r="CJ814" s="10">
        <v>45</v>
      </c>
      <c r="CK814" s="10">
        <v>273</v>
      </c>
      <c r="CL814" s="10">
        <v>7</v>
      </c>
      <c r="CM814" s="10">
        <v>133</v>
      </c>
      <c r="CN814" s="10">
        <v>0.156</v>
      </c>
      <c r="CO814" s="10">
        <v>154</v>
      </c>
      <c r="CP814" s="10">
        <v>102</v>
      </c>
      <c r="CQ814" s="10">
        <v>118</v>
      </c>
      <c r="CR814" s="10">
        <v>7</v>
      </c>
      <c r="CS814" s="10">
        <v>11.4</v>
      </c>
      <c r="CT814" s="9" t="s">
        <v>185</v>
      </c>
      <c r="CU814" s="9" t="s">
        <v>198</v>
      </c>
      <c r="CV814" s="10"/>
      <c r="CW814" s="10"/>
      <c r="CX814" t="e">
        <f>INDEX('Data_Price '!AG$2:AG$1266,MATCH(Data!$DN814,'Data_Price '!$AT$2:$AT$1266,0))</f>
        <v>#N/A</v>
      </c>
      <c r="CY814" t="e">
        <f>INDEX('Data_Price '!AH$2:AH$1266,MATCH(Data!$DN814,'Data_Price '!$AT$2:$AT$1266,0))</f>
        <v>#N/A</v>
      </c>
      <c r="CZ814" t="e">
        <f>INDEX('Data_Price '!AI$2:AI$1266,MATCH(Data!$DN814,'Data_Price '!$AT$2:$AT$1266,0))</f>
        <v>#N/A</v>
      </c>
      <c r="DA814" t="e">
        <f>INDEX('Data_Price '!AJ$2:AJ$1266,MATCH(Data!$DN814,'Data_Price '!$AT$2:$AT$1266,0))</f>
        <v>#N/A</v>
      </c>
      <c r="DB814" t="e">
        <f>INDEX('Data_Price '!AK$2:AK$1266,MATCH(Data!$DN814,'Data_Price '!$AT$2:$AT$1266,0))</f>
        <v>#N/A</v>
      </c>
      <c r="DC814" t="e">
        <f>INDEX('Data_Price '!AL$2:AL$1266,MATCH(Data!$DN814,'Data_Price '!$AT$2:$AT$1266,0))</f>
        <v>#N/A</v>
      </c>
      <c r="DD814" t="e">
        <f>INDEX('Data_Price '!AM$2:AM$1266,MATCH(Data!$DN814,'Data_Price '!$AT$2:$AT$1266,0))</f>
        <v>#N/A</v>
      </c>
      <c r="DE814" t="e">
        <f>INDEX('Data_Price '!AN$2:AN$1266,MATCH(Data!$DN814,'Data_Price '!$AT$2:$AT$1266,0))</f>
        <v>#N/A</v>
      </c>
      <c r="DF814" t="e">
        <f>INDEX('Data_Price '!AO$2:AO$1266,MATCH(Data!$DN814,'Data_Price '!$AT$2:$AT$1266,0))</f>
        <v>#N/A</v>
      </c>
      <c r="DG814" t="e">
        <f>INDEX('Data_Price '!AP$2:AP$1266,MATCH(Data!$DN814,'Data_Price '!$AT$2:$AT$1266,0))</f>
        <v>#N/A</v>
      </c>
      <c r="DH814" t="e">
        <f>INDEX('Data_Price '!AQ$2:AQ$1266,MATCH(Data!$DN814,'Data_Price '!$AT$2:$AT$1266,0))</f>
        <v>#N/A</v>
      </c>
      <c r="DI814" t="e">
        <f>INDEX('Data_Price '!AR$2:AR$1266,MATCH(Data!$DN814,'Data_Price '!$AT$2:$AT$1266,0))</f>
        <v>#N/A</v>
      </c>
      <c r="DJ814" s="89" t="e">
        <f t="shared" si="476"/>
        <v>#N/A</v>
      </c>
      <c r="DK814" s="89" t="e">
        <f t="shared" si="477"/>
        <v>#N/A</v>
      </c>
      <c r="DL814" s="89" t="e">
        <f t="shared" si="478"/>
        <v>#N/A</v>
      </c>
      <c r="DM814" s="219" t="str">
        <f t="shared" si="479"/>
        <v>Wayback 88</v>
      </c>
      <c r="DN814" s="89" t="str">
        <f t="shared" si="480"/>
        <v xml:space="preserve"> K2Wayback 88174 Unisex</v>
      </c>
      <c r="DO814" s="221"/>
    </row>
    <row r="815" spans="2:119" ht="15.6" customHeight="1">
      <c r="B815" s="219" t="b">
        <f t="array" ref="B815">IF(OR(ISERROR(K815:P815)),FALSE,TRUE)</f>
        <v>1</v>
      </c>
      <c r="C815" s="43" t="b">
        <f>OR(BR815=Driver!$G$50,Data!BR905=Driver!$H$50)</f>
        <v>1</v>
      </c>
      <c r="D815" s="43" t="b">
        <f>OR(BV815=Driver!$G$51,BV815=Driver!$H$51)</f>
        <v>1</v>
      </c>
      <c r="E815" s="43" t="b">
        <f>AND(BX815&gt;Driver!$F$54,BX815&lt;Driver!$G$54)</f>
        <v>0</v>
      </c>
      <c r="F815" s="43" t="b">
        <f>CL815&gt;Driver!$F$56</f>
        <v>1</v>
      </c>
      <c r="G815" s="43" t="b">
        <f>AND(CB815&gt;Driver!$F$55,CB815&lt;Driver!$G$55)</f>
        <v>0</v>
      </c>
      <c r="H815" s="43" t="b">
        <f t="shared" si="444"/>
        <v>0</v>
      </c>
      <c r="I815" s="43">
        <f t="shared" si="445"/>
        <v>0</v>
      </c>
      <c r="J815" s="43" t="b">
        <f t="array" ref="J815">NOT(OR(($H$9:$H$1273=TRUE)*($I$9:$I$1273&gt;0)*($BT$9:$BT$1273=BT815)*($K$9:$K$1273&gt;K815)))</f>
        <v>1</v>
      </c>
      <c r="K815" s="72">
        <f t="shared" si="446"/>
        <v>0.79231541861204346</v>
      </c>
      <c r="L815" s="72">
        <f t="shared" si="447"/>
        <v>0.92924687063028</v>
      </c>
      <c r="M815" s="72">
        <f t="shared" si="448"/>
        <v>0.65538396659380704</v>
      </c>
      <c r="N815" s="72">
        <f t="shared" si="449"/>
        <v>0.54056716673590954</v>
      </c>
      <c r="O815" s="72">
        <f t="shared" si="450"/>
        <v>0.62234571591967369</v>
      </c>
      <c r="P815" s="72">
        <f t="shared" si="451"/>
        <v>0.80323901712583767</v>
      </c>
      <c r="Q815" s="72"/>
      <c r="R815" s="72"/>
      <c r="S815" s="72">
        <f t="shared" si="452"/>
        <v>0.49794581863655807</v>
      </c>
      <c r="T815" s="72">
        <f t="shared" si="453"/>
        <v>0.62266785354288334</v>
      </c>
      <c r="U815" s="72">
        <f t="shared" si="454"/>
        <v>0.79016393439941124</v>
      </c>
      <c r="V815" s="72">
        <f t="shared" si="455"/>
        <v>0.52378733112681486</v>
      </c>
      <c r="W815" s="72">
        <f t="shared" si="456"/>
        <v>0.7645086804070812</v>
      </c>
      <c r="X815" s="72">
        <f t="shared" si="457"/>
        <v>7.075312936972003E-2</v>
      </c>
      <c r="Y815" s="72">
        <f t="shared" si="458"/>
        <v>0.34461603340619301</v>
      </c>
      <c r="Z815" s="72">
        <f t="shared" si="459"/>
        <v>0.45943283326409046</v>
      </c>
      <c r="AA815" s="72">
        <f t="shared" si="460"/>
        <v>0.37765428408032631</v>
      </c>
      <c r="AB815" s="72">
        <f t="shared" si="461"/>
        <v>0.19676098287416227</v>
      </c>
      <c r="AC815" s="72"/>
      <c r="AD815" s="72"/>
      <c r="AE815" s="72">
        <f t="shared" si="462"/>
        <v>0.50205418136344193</v>
      </c>
      <c r="AF815" s="72">
        <f t="shared" si="463"/>
        <v>0.37733214645711666</v>
      </c>
      <c r="AG815" s="72">
        <f t="shared" si="464"/>
        <v>0.20983606560058876</v>
      </c>
      <c r="AH815" s="72">
        <f t="shared" si="465"/>
        <v>0.47621266887318509</v>
      </c>
      <c r="AI815" s="72">
        <f t="shared" si="466"/>
        <v>0.23549131959291883</v>
      </c>
      <c r="AJ815" s="72">
        <f>(AV815-Driver!$K$179)/(Driver!$L$179-Driver!$K$179)</f>
        <v>0.1834662799129804</v>
      </c>
      <c r="AK815" s="72">
        <f>(AW815-Driver!$K$180)/(Driver!$L$180-Driver!$K$180)</f>
        <v>0.46548434882084067</v>
      </c>
      <c r="AL815" s="72">
        <f>(AX815-Driver!$K$181)/(Driver!$L$181-Driver!$K$181)</f>
        <v>0.56112059697717065</v>
      </c>
      <c r="AM815" s="72">
        <f>(AY815-Driver!$K$182)/(Driver!$L$182-Driver!$K$182)</f>
        <v>6.9730737016720085E-2</v>
      </c>
      <c r="AN815" s="72">
        <f>(AZ815-Driver!$K$183)/(Driver!$L$183-Driver!$K$183)</f>
        <v>0.4509803921568627</v>
      </c>
      <c r="AO815" s="72"/>
      <c r="AP815" s="72"/>
      <c r="AQ815" s="72">
        <f>(BC815-Driver!$K$188)/(Driver!$L$188-Driver!$K$188)</f>
        <v>0.11794581863655804</v>
      </c>
      <c r="AR815" s="72">
        <f>MIN((BD815-Driver!$K$189)/(Driver!$L$189-Driver!$K$189),100%)</f>
        <v>0.17266785354288336</v>
      </c>
      <c r="AS815" s="72">
        <f>(BE815-Driver!$K$190)/(Driver!$L$190-Driver!$K$190)</f>
        <v>0.30016393439941125</v>
      </c>
      <c r="AT815" s="72">
        <f>(BF815-Driver!$K$191)/(Driver!$L$191-Driver!$K$191)</f>
        <v>3.3787331126814937E-2</v>
      </c>
      <c r="AU815" s="72">
        <f>(BG815-Driver!$K$192)/(Driver!$L$192-Driver!$K$192)</f>
        <v>1.450868040708116E-2</v>
      </c>
      <c r="AV815" s="70">
        <f t="shared" si="467"/>
        <v>3.8614163614163615</v>
      </c>
      <c r="AW815" s="70">
        <f t="shared" si="468"/>
        <v>47.237467024969774</v>
      </c>
      <c r="AX815" s="70">
        <f t="shared" si="469"/>
        <v>6.0500853727945358</v>
      </c>
      <c r="AY815" s="70">
        <f>IFERROR(Driver!$K$19/Data!BH815/Data!BI815*Data!BK815*Data!BL815,"")</f>
        <v>8.5371227752310971E-2</v>
      </c>
      <c r="AZ815" s="70">
        <f t="shared" si="470"/>
        <v>41.102010424422929</v>
      </c>
      <c r="BA815" s="70"/>
      <c r="BB815" s="70"/>
      <c r="BC815" s="70">
        <f t="shared" si="471"/>
        <v>61.179316072811353</v>
      </c>
      <c r="BD815" s="70">
        <f t="shared" si="472"/>
        <v>17.001621973310399</v>
      </c>
      <c r="BE815" s="70">
        <f t="shared" si="473"/>
        <v>0.30028877727652398</v>
      </c>
      <c r="BF815" s="70">
        <f t="shared" si="474"/>
        <v>3.8160416813384077</v>
      </c>
      <c r="BG815" s="70">
        <f t="shared" si="475"/>
        <v>5.4939119558710343E-2</v>
      </c>
      <c r="BH815" s="67">
        <f>MAX((CE815-Driver!$F$200)/(Driver!$G$200-Driver!$F$200)*$BI$1,1)</f>
        <v>6.0500853727945358</v>
      </c>
      <c r="BI815" s="67">
        <f>MAX($BI$1*(BY815-Driver!$F$201)/(Driver!$G$201-Driver!$F$201),1)</f>
        <v>7.5949367088607591</v>
      </c>
      <c r="BJ815" s="67">
        <f>(CB815-Driver!$F$206)/(Driver!$G$206-Driver!$F$206)*$BI$1</f>
        <v>3.6507936507936507</v>
      </c>
      <c r="BK815" s="67">
        <f>(CD815-Driver!$F$203)/(Driver!$G$203-Driver!$F$203)*$BI$1</f>
        <v>2.8440366972477067</v>
      </c>
      <c r="BL815" s="67">
        <f>MAX((CR815-Driver!$F$202)/(Driver!$G$202-Driver!$F$202)*$BI$1,1)</f>
        <v>6.8965517241379315</v>
      </c>
      <c r="BM815" s="67">
        <f>MAX((CH815-Driver!$F$204)/(Driver!$G$204-Driver!$F$204)*$BI$1,1)</f>
        <v>4.2307692307692308</v>
      </c>
      <c r="BN815" s="67">
        <f>(CI815-Driver!$F$205)/(Driver!$G$205-Driver!$F$205)*$BI$1</f>
        <v>5.4117647058823524</v>
      </c>
      <c r="BO815" s="67">
        <f>(CK815-Driver!$F$207)/(Driver!$G$207-Driver!$F$207)*$BI$1</f>
        <v>1.592554291623578</v>
      </c>
      <c r="BP815" s="67">
        <f>(CM815-Driver!$F$208)/(Driver!$G$208-Driver!$F$208)*$BI$1</f>
        <v>1.8666666666666667</v>
      </c>
      <c r="BQ815" s="67">
        <f>(CL815-Driver!$F$209)/(Driver!$G$209-Driver!$F$209)*$BI$1</f>
        <v>1.40625</v>
      </c>
      <c r="BR815" s="28" t="s">
        <v>155</v>
      </c>
      <c r="BS815" s="8" t="s">
        <v>332</v>
      </c>
      <c r="BT815" s="9" t="s">
        <v>455</v>
      </c>
      <c r="BU815" s="10">
        <v>172</v>
      </c>
      <c r="BV815" s="9" t="s">
        <v>158</v>
      </c>
      <c r="BW815" s="10">
        <v>172</v>
      </c>
      <c r="BX815" s="10">
        <v>171.3</v>
      </c>
      <c r="BY815" s="10">
        <v>128</v>
      </c>
      <c r="BZ815" s="10">
        <v>144</v>
      </c>
      <c r="CA815" s="10">
        <v>123</v>
      </c>
      <c r="CB815" s="10">
        <v>87</v>
      </c>
      <c r="CC815" s="10">
        <v>109</v>
      </c>
      <c r="CD815" s="10">
        <v>15.6</v>
      </c>
      <c r="CE815" s="10">
        <v>1963</v>
      </c>
      <c r="CF815" s="10">
        <v>0.87</v>
      </c>
      <c r="CG815" s="10">
        <v>1704</v>
      </c>
      <c r="CH815" s="10">
        <v>200</v>
      </c>
      <c r="CI815" s="10">
        <v>125</v>
      </c>
      <c r="CJ815" s="10">
        <v>54</v>
      </c>
      <c r="CK815" s="10">
        <v>264</v>
      </c>
      <c r="CL815" s="10">
        <v>9</v>
      </c>
      <c r="CM815" s="10">
        <v>168</v>
      </c>
      <c r="CN815" s="10">
        <v>0.17599999999999999</v>
      </c>
      <c r="CO815" s="10">
        <v>124</v>
      </c>
      <c r="CP815" s="10">
        <v>152</v>
      </c>
      <c r="CQ815" s="10">
        <v>140</v>
      </c>
      <c r="CR815" s="10">
        <v>9</v>
      </c>
      <c r="CS815" s="10">
        <v>7.9</v>
      </c>
      <c r="CT815" s="9" t="s">
        <v>188</v>
      </c>
      <c r="CU815" s="10"/>
      <c r="CV815" s="10"/>
      <c r="CW815" s="10"/>
      <c r="CX815" t="str">
        <f>INDEX('Data_Price '!AG$2:AG$1266,MATCH(Data!$DN815,'Data_Price '!$AT$2:$AT$1266,0))</f>
        <v>Nordica Enforcer 88 / Santa Ana 93 Ski Skins - 2022 172 cm</v>
      </c>
      <c r="CY815" t="str">
        <f>INDEX('Data_Price '!AH$2:AH$1266,MATCH(Data!$DN815,'Data_Price '!$AT$2:$AT$1266,0))</f>
        <v>Arlberg Ski &amp; Surf Shops</v>
      </c>
      <c r="CZ815">
        <f>INDEX('Data_Price '!AI$2:AI$1266,MATCH(Data!$DN815,'Data_Price '!$AT$2:$AT$1266,0))</f>
        <v>209.95</v>
      </c>
      <c r="DA815" t="str">
        <f>INDEX('Data_Price '!AJ$2:AJ$1266,MATCH(Data!$DN815,'Data_Price '!$AT$2:$AT$1266,0))</f>
        <v>https://tinyurl.com/yad2zd8e</v>
      </c>
      <c r="DB815" t="str">
        <f>INDEX('Data_Price '!AK$2:AK$1266,MATCH(Data!$DN815,'Data_Price '!$AT$2:$AT$1266,0))</f>
        <v>2020 Nordica Enforcer 88 172cm W/ Salomon Warden 13 Binding</v>
      </c>
      <c r="DC815" t="str">
        <f>INDEX('Data_Price '!AL$2:AL$1266,MATCH(Data!$DN815,'Data_Price '!$AT$2:$AT$1266,0))</f>
        <v>eBay - riverpirate999</v>
      </c>
      <c r="DD815">
        <f>INDEX('Data_Price '!AM$2:AM$1266,MATCH(Data!$DN815,'Data_Price '!$AT$2:$AT$1266,0))</f>
        <v>539</v>
      </c>
      <c r="DE815" t="str">
        <f>INDEX('Data_Price '!AN$2:AN$1266,MATCH(Data!$DN815,'Data_Price '!$AT$2:$AT$1266,0))</f>
        <v>https://tinyurl.com/y9pnzwmd</v>
      </c>
      <c r="DF815" t="str">
        <f>INDEX('Data_Price '!AO$2:AO$1266,MATCH(Data!$DN815,'Data_Price '!$AT$2:$AT$1266,0))</f>
        <v>Nordica Enforcer 88 Unlimited Skis</v>
      </c>
      <c r="DG815" t="str">
        <f>INDEX('Data_Price '!AP$2:AP$1266,MATCH(Data!$DN815,'Data_Price '!$AT$2:$AT$1266,0))</f>
        <v>Basin Sports</v>
      </c>
      <c r="DH815">
        <f>INDEX('Data_Price '!AQ$2:AQ$1266,MATCH(Data!$DN815,'Data_Price '!$AT$2:$AT$1266,0))</f>
        <v>599.95000000000005</v>
      </c>
      <c r="DI815" t="str">
        <f>INDEX('Data_Price '!AR$2:AR$1266,MATCH(Data!$DN815,'Data_Price '!$AT$2:$AT$1266,0))</f>
        <v>https://tinyurl.com/y8tzj4ze</v>
      </c>
      <c r="DJ815" s="89" t="str">
        <f t="shared" si="476"/>
        <v>https://tinyurl.com/yad2zd8e</v>
      </c>
      <c r="DK815" s="89" t="str">
        <f t="shared" si="477"/>
        <v>https://tinyurl.com/y9pnzwmd</v>
      </c>
      <c r="DL815" s="89" t="str">
        <f t="shared" si="478"/>
        <v>https://tinyurl.com/y8tzj4ze</v>
      </c>
      <c r="DM815" s="219" t="str">
        <f t="shared" si="479"/>
        <v>Enforcer 88</v>
      </c>
      <c r="DN815" s="89" t="str">
        <f t="shared" si="480"/>
        <v xml:space="preserve"> NordicaEnforcer 88172 Unisex</v>
      </c>
      <c r="DO815" s="221"/>
    </row>
    <row r="816" spans="2:119" ht="15.6" customHeight="1">
      <c r="B816" s="219" t="b">
        <f t="array" ref="B816">IF(OR(ISERROR(K816:P816)),FALSE,TRUE)</f>
        <v>1</v>
      </c>
      <c r="C816" s="43" t="b">
        <f>OR(BR816=Driver!$G$50,Data!BR145=Driver!$H$50)</f>
        <v>1</v>
      </c>
      <c r="D816" s="43" t="b">
        <f>OR(BV816=Driver!$G$51,BV816=Driver!$H$51)</f>
        <v>0</v>
      </c>
      <c r="E816" s="43" t="b">
        <f>AND(BX816&gt;Driver!$F$54,BX816&lt;Driver!$G$54)</f>
        <v>0</v>
      </c>
      <c r="F816" s="43" t="b">
        <f>CL816&gt;Driver!$F$56</f>
        <v>1</v>
      </c>
      <c r="G816" s="43" t="b">
        <f>AND(CB816&gt;Driver!$F$55,CB816&lt;Driver!$G$55)</f>
        <v>0</v>
      </c>
      <c r="H816" s="43" t="b">
        <f t="shared" si="444"/>
        <v>0</v>
      </c>
      <c r="I816" s="43">
        <f t="shared" si="445"/>
        <v>0</v>
      </c>
      <c r="J816" s="43" t="b">
        <f t="array" ref="J816">NOT(OR(($H$9:$H$1273=TRUE)*($I$9:$I$1273&gt;0)*($BT$9:$BT$1273=BT816)*($K$9:$K$1273&gt;K816)))</f>
        <v>1</v>
      </c>
      <c r="K816" s="72">
        <f t="shared" si="446"/>
        <v>0.77776279569218465</v>
      </c>
      <c r="L816" s="72">
        <f t="shared" si="447"/>
        <v>0.76100901711323865</v>
      </c>
      <c r="M816" s="72">
        <f t="shared" si="448"/>
        <v>0.79451657427113054</v>
      </c>
      <c r="N816" s="72">
        <f t="shared" si="449"/>
        <v>0.81565728246347546</v>
      </c>
      <c r="O816" s="72">
        <f t="shared" si="450"/>
        <v>0.64988962741039435</v>
      </c>
      <c r="P816" s="72">
        <f t="shared" si="451"/>
        <v>0.9180028129395218</v>
      </c>
      <c r="Q816" s="72"/>
      <c r="R816" s="72"/>
      <c r="S816" s="72">
        <f t="shared" si="452"/>
        <v>0.44320894238710551</v>
      </c>
      <c r="T816" s="72">
        <f t="shared" si="453"/>
        <v>0.57506054645684834</v>
      </c>
      <c r="U816" s="72">
        <f t="shared" si="454"/>
        <v>0.51</v>
      </c>
      <c r="V816" s="72">
        <f t="shared" si="455"/>
        <v>0.49057910010177597</v>
      </c>
      <c r="W816" s="72">
        <f t="shared" si="456"/>
        <v>0.79002123142250524</v>
      </c>
      <c r="X816" s="72">
        <f t="shared" si="457"/>
        <v>0.23899098288676135</v>
      </c>
      <c r="Y816" s="72">
        <f t="shared" si="458"/>
        <v>0.20548342572886946</v>
      </c>
      <c r="Z816" s="72">
        <f t="shared" si="459"/>
        <v>0.18434271753652454</v>
      </c>
      <c r="AA816" s="72">
        <f t="shared" si="460"/>
        <v>0.35011037258960565</v>
      </c>
      <c r="AB816" s="72">
        <f t="shared" si="461"/>
        <v>8.1997187060478205E-2</v>
      </c>
      <c r="AC816" s="72"/>
      <c r="AD816" s="72"/>
      <c r="AE816" s="72">
        <f t="shared" si="462"/>
        <v>0.55679105761289449</v>
      </c>
      <c r="AF816" s="72">
        <f t="shared" si="463"/>
        <v>0.4249394535431516</v>
      </c>
      <c r="AG816" s="72">
        <f t="shared" si="464"/>
        <v>0.49</v>
      </c>
      <c r="AH816" s="72">
        <f t="shared" si="465"/>
        <v>0.50942089989822403</v>
      </c>
      <c r="AI816" s="72">
        <f t="shared" si="466"/>
        <v>0.2099787685774947</v>
      </c>
      <c r="AJ816" s="72">
        <f>(AV816-Driver!$K$179)/(Driver!$L$179-Driver!$K$179)</f>
        <v>1.5228426395939087E-2</v>
      </c>
      <c r="AK816" s="72">
        <f>(AW816-Driver!$K$180)/(Driver!$L$180-Driver!$K$180)</f>
        <v>0.17974432774134907</v>
      </c>
      <c r="AL816" s="72">
        <f>(AX816-Driver!$K$181)/(Driver!$L$181-Driver!$K$181)</f>
        <v>0.28603048124960473</v>
      </c>
      <c r="AM816" s="72">
        <f>(AY816-Driver!$K$182)/(Driver!$L$182-Driver!$K$182)</f>
        <v>9.7274648507440734E-2</v>
      </c>
      <c r="AN816" s="72">
        <f>(AZ816-Driver!$K$183)/(Driver!$L$183-Driver!$K$183)</f>
        <v>0.17222222222222222</v>
      </c>
      <c r="AO816" s="72"/>
      <c r="AP816" s="72"/>
      <c r="AQ816" s="72">
        <f>(BC816-Driver!$K$188)/(Driver!$L$188-Driver!$K$188)</f>
        <v>6.3208942387105491E-2</v>
      </c>
      <c r="AR816" s="72">
        <f>MIN((BD816-Driver!$K$189)/(Driver!$L$189-Driver!$K$189),100%)</f>
        <v>0.12506054645684844</v>
      </c>
      <c r="AS816" s="72">
        <f>(BE816-Driver!$K$190)/(Driver!$L$190-Driver!$K$190)</f>
        <v>1</v>
      </c>
      <c r="AT816" s="72">
        <f>(BF816-Driver!$K$191)/(Driver!$L$191-Driver!$K$191)</f>
        <v>5.7910010177594339E-4</v>
      </c>
      <c r="AU816" s="72">
        <f>(BG816-Driver!$K$192)/(Driver!$L$192-Driver!$K$192)</f>
        <v>4.0021231422505299E-2</v>
      </c>
      <c r="AV816" s="70">
        <f t="shared" si="467"/>
        <v>0.32051282051282054</v>
      </c>
      <c r="AW816" s="70">
        <f t="shared" si="468"/>
        <v>19.389570056618954</v>
      </c>
      <c r="AX816" s="70">
        <f t="shared" si="469"/>
        <v>3.5742743312464427</v>
      </c>
      <c r="AY816" s="70">
        <f>IFERROR(Driver!$K$19/Data!BH816/Data!BI816*Data!BK816*Data!BL816,"")</f>
        <v>0.11909319372694241</v>
      </c>
      <c r="AZ816" s="70">
        <f t="shared" si="470"/>
        <v>15.69620253164557</v>
      </c>
      <c r="BA816" s="70"/>
      <c r="BB816" s="70"/>
      <c r="BC816" s="70">
        <f t="shared" si="471"/>
        <v>32.786917837630106</v>
      </c>
      <c r="BD816" s="70">
        <f t="shared" si="472"/>
        <v>12.788459651352909</v>
      </c>
      <c r="BE816" s="70">
        <f t="shared" si="473"/>
        <v>1</v>
      </c>
      <c r="BF816" s="70">
        <f t="shared" si="474"/>
        <v>6.5405288087121954E-2</v>
      </c>
      <c r="BG816" s="70">
        <f t="shared" si="475"/>
        <v>0.1515459129511677</v>
      </c>
      <c r="BH816" s="67">
        <f>MAX((CE816-Driver!$F$200)/(Driver!$G$200-Driver!$F$200)*$BI$1,1)</f>
        <v>3.5742743312464427</v>
      </c>
      <c r="BI816" s="67">
        <f>MAX($BI$1*(BY816-Driver!$F$201)/(Driver!$G$201-Driver!$F$201),1)</f>
        <v>7.8481012658227849</v>
      </c>
      <c r="BJ816" s="67">
        <f>(CB816-Driver!$F$206)/(Driver!$G$206-Driver!$F$206)*$BI$1</f>
        <v>1.1111111111111112</v>
      </c>
      <c r="BK816" s="67">
        <f>(CD816-Driver!$F$203)/(Driver!$G$203-Driver!$F$203)*$BI$1</f>
        <v>2.2018348623853208</v>
      </c>
      <c r="BL816" s="67">
        <f>MAX((CR816-Driver!$F$202)/(Driver!$G$202-Driver!$F$202)*$BI$1,1)</f>
        <v>7.5862068965517242</v>
      </c>
      <c r="BM816" s="67">
        <f>MAX((CH816-Driver!$F$204)/(Driver!$G$204-Driver!$F$204)*$BI$1,1)</f>
        <v>1.153846153846154</v>
      </c>
      <c r="BN816" s="67">
        <f>(CI816-Driver!$F$205)/(Driver!$G$205-Driver!$F$205)*$BI$1</f>
        <v>2</v>
      </c>
      <c r="BO816" s="67">
        <f>(CK816-Driver!$F$207)/(Driver!$G$207-Driver!$F$207)*$BI$1</f>
        <v>0.24819027921406411</v>
      </c>
      <c r="BP816" s="67">
        <f>(CM816-Driver!$F$208)/(Driver!$G$208-Driver!$F$208)*$BI$1</f>
        <v>0.52222222222222225</v>
      </c>
      <c r="BQ816" s="67">
        <f>(CL816-Driver!$F$209)/(Driver!$G$209-Driver!$F$209)*$BI$1</f>
        <v>0.625</v>
      </c>
      <c r="BR816" s="28" t="s">
        <v>155</v>
      </c>
      <c r="BS816" s="8" t="s">
        <v>156</v>
      </c>
      <c r="BT816" s="9" t="s">
        <v>587</v>
      </c>
      <c r="BU816" s="10">
        <v>150</v>
      </c>
      <c r="BV816" s="9" t="s">
        <v>163</v>
      </c>
      <c r="BW816" s="10">
        <v>150</v>
      </c>
      <c r="BX816" s="10">
        <v>149.69999999999999</v>
      </c>
      <c r="BY816" s="10">
        <v>132</v>
      </c>
      <c r="BZ816" s="10">
        <v>135</v>
      </c>
      <c r="CA816" s="10">
        <v>110</v>
      </c>
      <c r="CB816" s="10">
        <v>71</v>
      </c>
      <c r="CC816" s="10">
        <v>96</v>
      </c>
      <c r="CD816" s="10">
        <v>14.2</v>
      </c>
      <c r="CE816" s="10">
        <v>1528</v>
      </c>
      <c r="CF816" s="10">
        <v>0.82</v>
      </c>
      <c r="CG816" s="10">
        <v>1247</v>
      </c>
      <c r="CH816" s="10">
        <v>128</v>
      </c>
      <c r="CI816" s="10">
        <v>67</v>
      </c>
      <c r="CJ816" s="10">
        <v>30</v>
      </c>
      <c r="CK816" s="10">
        <v>134</v>
      </c>
      <c r="CL816" s="10">
        <v>4</v>
      </c>
      <c r="CM816" s="10">
        <v>47</v>
      </c>
      <c r="CN816" s="10">
        <v>0.11899999999999999</v>
      </c>
      <c r="CO816" s="10">
        <v>95</v>
      </c>
      <c r="CP816" s="10">
        <v>55</v>
      </c>
      <c r="CQ816" s="10">
        <v>38</v>
      </c>
      <c r="CR816" s="10">
        <v>11</v>
      </c>
      <c r="CS816" s="10">
        <v>12.1</v>
      </c>
      <c r="CT816" s="9" t="s">
        <v>349</v>
      </c>
      <c r="CU816" s="9" t="s">
        <v>231</v>
      </c>
      <c r="CV816" s="10"/>
      <c r="CW816" s="10"/>
      <c r="CX816" t="str">
        <f>INDEX('Data_Price '!AG$2:AG$1266,MATCH(Data!$DN816,'Data_Price '!$AT$2:$AT$1266,0))</f>
        <v>Atomic Cloud 9 Skis 2022 w/bindings 150</v>
      </c>
      <c r="CY816" t="str">
        <f>INDEX('Data_Price '!AH$2:AH$1266,MATCH(Data!$DN816,'Data_Price '!$AT$2:$AT$1266,0))</f>
        <v>Ski Depot RaceSkis.com</v>
      </c>
      <c r="CZ816">
        <f>INDEX('Data_Price '!AI$2:AI$1266,MATCH(Data!$DN816,'Data_Price '!$AT$2:$AT$1266,0))</f>
        <v>599.99</v>
      </c>
      <c r="DA816" t="str">
        <f>INDEX('Data_Price '!AJ$2:AJ$1266,MATCH(Data!$DN816,'Data_Price '!$AT$2:$AT$1266,0))</f>
        <v>https://tinyurl.com/yd299v86</v>
      </c>
      <c r="DB816" t="str">
        <f>INDEX('Data_Price '!AK$2:AK$1266,MATCH(Data!$DN816,'Data_Price '!$AT$2:$AT$1266,0))</f>
        <v>Atomic Cloud 9 Skis w/ M 10 GW Bindings</v>
      </c>
      <c r="DC816" t="str">
        <f>INDEX('Data_Price '!AL$2:AL$1266,MATCH(Data!$DN816,'Data_Price '!$AT$2:$AT$1266,0))</f>
        <v>evo.com</v>
      </c>
      <c r="DD816">
        <f>INDEX('Data_Price '!AM$2:AM$1266,MATCH(Data!$DN816,'Data_Price '!$AT$2:$AT$1266,0))</f>
        <v>599.99</v>
      </c>
      <c r="DE816" t="str">
        <f>INDEX('Data_Price '!AN$2:AN$1266,MATCH(Data!$DN816,'Data_Price '!$AT$2:$AT$1266,0))</f>
        <v>https://tinyurl.com/ycz4du7q</v>
      </c>
      <c r="DF816">
        <f>INDEX('Data_Price '!AO$2:AO$1266,MATCH(Data!$DN816,'Data_Price '!$AT$2:$AT$1266,0))</f>
        <v>0</v>
      </c>
      <c r="DG816">
        <f>INDEX('Data_Price '!AP$2:AP$1266,MATCH(Data!$DN816,'Data_Price '!$AT$2:$AT$1266,0))</f>
        <v>0</v>
      </c>
      <c r="DH816">
        <f>INDEX('Data_Price '!AQ$2:AQ$1266,MATCH(Data!$DN816,'Data_Price '!$AT$2:$AT$1266,0))</f>
        <v>0</v>
      </c>
      <c r="DI816">
        <f>INDEX('Data_Price '!AR$2:AR$1266,MATCH(Data!$DN816,'Data_Price '!$AT$2:$AT$1266,0))</f>
        <v>0</v>
      </c>
      <c r="DJ816" s="89" t="str">
        <f t="shared" si="476"/>
        <v>https://tinyurl.com/yd299v86</v>
      </c>
      <c r="DK816" s="89" t="str">
        <f t="shared" si="477"/>
        <v>https://tinyurl.com/ycz4du7q</v>
      </c>
      <c r="DL816" s="89">
        <f t="shared" si="478"/>
        <v>0</v>
      </c>
      <c r="DM816" s="219" t="str">
        <f t="shared" si="479"/>
        <v>Cloud C9</v>
      </c>
      <c r="DN816" s="89" t="str">
        <f t="shared" si="480"/>
        <v xml:space="preserve"> AtomicCloud C9150 Women's</v>
      </c>
      <c r="DO816" s="221" t="s">
        <v>588</v>
      </c>
    </row>
    <row r="817" spans="1:119" ht="15.6" customHeight="1">
      <c r="B817" s="219" t="b">
        <f t="array" ref="B817">IF(OR(ISERROR(K817:P817)),FALSE,TRUE)</f>
        <v>1</v>
      </c>
      <c r="C817" s="43" t="b">
        <f>OR(BR817=Driver!$G$50,Data!BR948=Driver!$H$50)</f>
        <v>1</v>
      </c>
      <c r="D817" s="43" t="b">
        <f>OR(BV817=Driver!$G$51,BV817=Driver!$H$51)</f>
        <v>0</v>
      </c>
      <c r="E817" s="43" t="b">
        <f>AND(BX817&gt;Driver!$F$54,BX817&lt;Driver!$G$54)</f>
        <v>1</v>
      </c>
      <c r="F817" s="43" t="b">
        <f>CL817&gt;Driver!$F$56</f>
        <v>1</v>
      </c>
      <c r="G817" s="43" t="b">
        <f>AND(CB817&gt;Driver!$F$55,CB817&lt;Driver!$G$55)</f>
        <v>0</v>
      </c>
      <c r="H817" s="43" t="b">
        <f t="shared" si="444"/>
        <v>0</v>
      </c>
      <c r="I817" s="43">
        <f t="shared" si="445"/>
        <v>0</v>
      </c>
      <c r="J817" s="43" t="b">
        <f t="array" ref="J817">NOT(OR(($H$9:$H$1273=TRUE)*($I$9:$I$1273&gt;0)*($BT$9:$BT$1273=BT817)*($K$9:$K$1273&gt;K817)))</f>
        <v>1</v>
      </c>
      <c r="K817" s="72">
        <f t="shared" si="446"/>
        <v>0.78390186888059465</v>
      </c>
      <c r="L817" s="72">
        <f t="shared" si="447"/>
        <v>0.82232559112016801</v>
      </c>
      <c r="M817" s="72">
        <f t="shared" si="448"/>
        <v>0.74547814664102141</v>
      </c>
      <c r="N817" s="72">
        <f t="shared" si="449"/>
        <v>0.68981145940649702</v>
      </c>
      <c r="O817" s="72">
        <f t="shared" si="450"/>
        <v>0.6037018669234504</v>
      </c>
      <c r="P817" s="72">
        <f t="shared" si="451"/>
        <v>0.94292111359311659</v>
      </c>
      <c r="Q817" s="72"/>
      <c r="R817" s="72"/>
      <c r="S817" s="72">
        <f t="shared" si="452"/>
        <v>0.43549140209893578</v>
      </c>
      <c r="T817" s="72">
        <f t="shared" si="453"/>
        <v>0.8256509001429122</v>
      </c>
      <c r="U817" s="72">
        <f t="shared" si="454"/>
        <v>0.51</v>
      </c>
      <c r="V817" s="72">
        <f t="shared" si="455"/>
        <v>0.49460847828989973</v>
      </c>
      <c r="W817" s="72">
        <f t="shared" si="456"/>
        <v>0.77591230191561134</v>
      </c>
      <c r="X817" s="72">
        <f t="shared" si="457"/>
        <v>0.17767440887983202</v>
      </c>
      <c r="Y817" s="72">
        <f t="shared" si="458"/>
        <v>0.25452185335897864</v>
      </c>
      <c r="Z817" s="72">
        <f t="shared" si="459"/>
        <v>0.31018854059350304</v>
      </c>
      <c r="AA817" s="72">
        <f t="shared" si="460"/>
        <v>0.39629813307654954</v>
      </c>
      <c r="AB817" s="72">
        <f t="shared" si="461"/>
        <v>5.7078886406883411E-2</v>
      </c>
      <c r="AC817" s="72"/>
      <c r="AD817" s="72"/>
      <c r="AE817" s="72">
        <f t="shared" si="462"/>
        <v>0.56450859790106422</v>
      </c>
      <c r="AF817" s="72">
        <f t="shared" si="463"/>
        <v>0.17434909985708785</v>
      </c>
      <c r="AG817" s="72">
        <f t="shared" si="464"/>
        <v>0.49</v>
      </c>
      <c r="AH817" s="72">
        <f t="shared" si="465"/>
        <v>0.50539152171010027</v>
      </c>
      <c r="AI817" s="72">
        <f t="shared" si="466"/>
        <v>0.22408769808438872</v>
      </c>
      <c r="AJ817" s="72">
        <f>(AV817-Driver!$K$179)/(Driver!$L$179-Driver!$K$179)</f>
        <v>7.6545000402868407E-2</v>
      </c>
      <c r="AK817" s="72">
        <f>(AW817-Driver!$K$180)/(Driver!$L$180-Driver!$K$180)</f>
        <v>0.21408804746984308</v>
      </c>
      <c r="AL817" s="72">
        <f>(AX817-Driver!$K$181)/(Driver!$L$181-Driver!$K$181)</f>
        <v>0.41187630430658323</v>
      </c>
      <c r="AM817" s="72">
        <f>(AY817-Driver!$K$182)/(Driver!$L$182-Driver!$K$182)</f>
        <v>5.1086888020496816E-2</v>
      </c>
      <c r="AN817" s="72">
        <f>(AZ817-Driver!$K$183)/(Driver!$L$183-Driver!$K$183)</f>
        <v>0.19714052287581701</v>
      </c>
      <c r="AO817" s="72"/>
      <c r="AP817" s="72"/>
      <c r="AQ817" s="72">
        <f>(BC817-Driver!$K$188)/(Driver!$L$188-Driver!$K$188)</f>
        <v>5.5491402098935785E-2</v>
      </c>
      <c r="AR817" s="72">
        <f>MIN((BD817-Driver!$K$189)/(Driver!$L$189-Driver!$K$189),100%)</f>
        <v>0.37565090014291219</v>
      </c>
      <c r="AS817" s="72">
        <f>(BE817-Driver!$K$190)/(Driver!$L$190-Driver!$K$190)</f>
        <v>1</v>
      </c>
      <c r="AT817" s="72">
        <f>(BF817-Driver!$K$191)/(Driver!$L$191-Driver!$K$191)</f>
        <v>4.6084782898997414E-3</v>
      </c>
      <c r="AU817" s="72">
        <f>(BG817-Driver!$K$192)/(Driver!$L$192-Driver!$K$192)</f>
        <v>2.5912301915611273E-2</v>
      </c>
      <c r="AV817" s="70">
        <f t="shared" si="467"/>
        <v>1.6110432777099442</v>
      </c>
      <c r="AW817" s="70">
        <f t="shared" si="468"/>
        <v>22.736669860475104</v>
      </c>
      <c r="AX817" s="70">
        <f t="shared" si="469"/>
        <v>4.7068867387592492</v>
      </c>
      <c r="AY817" s="70">
        <f>IFERROR(Driver!$K$19/Data!BH817/Data!BI817*Data!BK817*Data!BL817,"")</f>
        <v>6.2545593793291943E-2</v>
      </c>
      <c r="AZ817" s="70">
        <f t="shared" si="470"/>
        <v>17.967237527922563</v>
      </c>
      <c r="BA817" s="70"/>
      <c r="BB817" s="70"/>
      <c r="BC817" s="70">
        <f t="shared" si="471"/>
        <v>28.783776038686813</v>
      </c>
      <c r="BD817" s="70">
        <f t="shared" si="472"/>
        <v>34.965261932736858</v>
      </c>
      <c r="BE817" s="70">
        <f t="shared" si="473"/>
        <v>1</v>
      </c>
      <c r="BF817" s="70">
        <f t="shared" si="474"/>
        <v>0.52049524645181311</v>
      </c>
      <c r="BG817" s="70">
        <f t="shared" si="475"/>
        <v>9.8120505314071141E-2</v>
      </c>
      <c r="BH817" s="67">
        <f>MAX((CE817-Driver!$F$200)/(Driver!$G$200-Driver!$F$200)*$BI$1,1)</f>
        <v>4.7068867387592492</v>
      </c>
      <c r="BI817" s="67">
        <f>MAX($BI$1*(BY817-Driver!$F$201)/(Driver!$G$201-Driver!$F$201),1)</f>
        <v>8.037974683544304</v>
      </c>
      <c r="BJ817" s="67">
        <f>(CB817-Driver!$F$206)/(Driver!$G$206-Driver!$F$206)*$BI$1</f>
        <v>1.5873015873015872</v>
      </c>
      <c r="BK817" s="67">
        <f>(CD817-Driver!$F$203)/(Driver!$G$203-Driver!$F$203)*$BI$1</f>
        <v>2.0183486238532113</v>
      </c>
      <c r="BL817" s="67">
        <f>MAX((CR817-Driver!$F$202)/(Driver!$G$202-Driver!$F$202)*$BI$1,1)</f>
        <v>5.8620689655172411</v>
      </c>
      <c r="BM817" s="67">
        <f>MAX((CH817-Driver!$F$204)/(Driver!$G$204-Driver!$F$204)*$BI$1,1)</f>
        <v>4.0598290598290596</v>
      </c>
      <c r="BN817" s="67">
        <f>(CI817-Driver!$F$205)/(Driver!$G$205-Driver!$F$205)*$BI$1</f>
        <v>2.2352941176470589</v>
      </c>
      <c r="BO817" s="67">
        <f>(CK817-Driver!$F$207)/(Driver!$G$207-Driver!$F$207)*$BI$1</f>
        <v>0.82730093071354704</v>
      </c>
      <c r="BP817" s="67">
        <f>(CM817-Driver!$F$208)/(Driver!$G$208-Driver!$F$208)*$BI$1</f>
        <v>0.8</v>
      </c>
      <c r="BQ817" s="67">
        <f>(CL817-Driver!$F$209)/(Driver!$G$209-Driver!$F$209)*$BI$1</f>
        <v>1.875</v>
      </c>
      <c r="BR817" s="28" t="s">
        <v>155</v>
      </c>
      <c r="BS817" s="8" t="s">
        <v>332</v>
      </c>
      <c r="BT817" s="9" t="s">
        <v>742</v>
      </c>
      <c r="BU817" s="10">
        <v>162</v>
      </c>
      <c r="BV817" s="9" t="s">
        <v>163</v>
      </c>
      <c r="BW817" s="10">
        <v>162</v>
      </c>
      <c r="BX817" s="10">
        <v>160.9</v>
      </c>
      <c r="BY817" s="10">
        <v>135</v>
      </c>
      <c r="BZ817" s="10">
        <v>148</v>
      </c>
      <c r="CA817" s="10">
        <v>124</v>
      </c>
      <c r="CB817" s="10">
        <v>74</v>
      </c>
      <c r="CC817" s="10">
        <v>104</v>
      </c>
      <c r="CD817" s="10">
        <v>13.8</v>
      </c>
      <c r="CE817" s="10">
        <v>1727</v>
      </c>
      <c r="CF817" s="10">
        <v>0.83</v>
      </c>
      <c r="CG817" s="10">
        <v>1433</v>
      </c>
      <c r="CH817" s="10">
        <v>196</v>
      </c>
      <c r="CI817" s="10">
        <v>71</v>
      </c>
      <c r="CJ817" s="10">
        <v>43</v>
      </c>
      <c r="CK817" s="10">
        <v>190</v>
      </c>
      <c r="CL817" s="10">
        <v>12</v>
      </c>
      <c r="CM817" s="10">
        <v>72</v>
      </c>
      <c r="CN817" s="10">
        <v>0.27800000000000002</v>
      </c>
      <c r="CO817" s="10">
        <v>63</v>
      </c>
      <c r="CP817" s="10">
        <v>68</v>
      </c>
      <c r="CQ817" s="10">
        <v>128</v>
      </c>
      <c r="CR817" s="10">
        <v>6</v>
      </c>
      <c r="CS817" s="10">
        <v>9.3000000000000007</v>
      </c>
      <c r="CT817" s="9" t="s">
        <v>349</v>
      </c>
      <c r="CU817" s="10"/>
      <c r="CV817" s="10"/>
      <c r="CW817" s="10"/>
      <c r="CX817" t="str">
        <f>INDEX('Data_Price '!AG$2:AG$1266,MATCH(Data!$DN817,'Data_Price '!$AT$2:$AT$1266,0))</f>
        <v>Nordica Women's Wild Belle 74 w/ TP2 10 Skis 162</v>
      </c>
      <c r="CY817" t="str">
        <f>INDEX('Data_Price '!AH$2:AH$1266,MATCH(Data!$DN817,'Data_Price '!$AT$2:$AT$1266,0))</f>
        <v>WinterWomen.com</v>
      </c>
      <c r="CZ817">
        <f>INDEX('Data_Price '!AI$2:AI$1266,MATCH(Data!$DN817,'Data_Price '!$AT$2:$AT$1266,0))</f>
        <v>399.95</v>
      </c>
      <c r="DA817" t="str">
        <f>INDEX('Data_Price '!AJ$2:AJ$1266,MATCH(Data!$DN817,'Data_Price '!$AT$2:$AT$1266,0))</f>
        <v>https://tinyurl.com/y83v9qzf</v>
      </c>
      <c r="DB817" t="str">
        <f>INDEX('Data_Price '!AK$2:AK$1266,MATCH(Data!$DN817,'Data_Price '!$AT$2:$AT$1266,0))</f>
        <v>Nordica Women's Wild Belle 74 w/ TP2 10 Skis 162</v>
      </c>
      <c r="DC817" t="str">
        <f>INDEX('Data_Price '!AL$2:AL$1266,MATCH(Data!$DN817,'Data_Price '!$AT$2:$AT$1266,0))</f>
        <v>Buckman's Ski and Snowboard Shop</v>
      </c>
      <c r="DD817">
        <f>INDEX('Data_Price '!AM$2:AM$1266,MATCH(Data!$DN817,'Data_Price '!$AT$2:$AT$1266,0))</f>
        <v>399.95</v>
      </c>
      <c r="DE817" t="str">
        <f>INDEX('Data_Price '!AN$2:AN$1266,MATCH(Data!$DN817,'Data_Price '!$AT$2:$AT$1266,0))</f>
        <v>https://tinyurl.com/ybn8skb9</v>
      </c>
      <c r="DF817" t="str">
        <f>INDEX('Data_Price '!AO$2:AO$1266,MATCH(Data!$DN817,'Data_Price '!$AT$2:$AT$1266,0))</f>
        <v>Nordica Wild Belle 74 Ladies Snow Skis with Marker FDT10 Bindings 162</v>
      </c>
      <c r="DG817" t="str">
        <f>INDEX('Data_Price '!AP$2:AP$1266,MATCH(Data!$DN817,'Data_Price '!$AT$2:$AT$1266,0))</f>
        <v>The Pro Shop</v>
      </c>
      <c r="DH817">
        <f>INDEX('Data_Price '!AQ$2:AQ$1266,MATCH(Data!$DN817,'Data_Price '!$AT$2:$AT$1266,0))</f>
        <v>399.99</v>
      </c>
      <c r="DI817" t="str">
        <f>INDEX('Data_Price '!AR$2:AR$1266,MATCH(Data!$DN817,'Data_Price '!$AT$2:$AT$1266,0))</f>
        <v>https://tinyurl.com/yd64kjuz</v>
      </c>
      <c r="DJ817" s="89" t="str">
        <f t="shared" si="476"/>
        <v>https://tinyurl.com/y83v9qzf</v>
      </c>
      <c r="DK817" s="89" t="str">
        <f t="shared" si="477"/>
        <v>https://tinyurl.com/ybn8skb9</v>
      </c>
      <c r="DL817" s="89" t="str">
        <f t="shared" si="478"/>
        <v>https://tinyurl.com/yd64kjuz</v>
      </c>
      <c r="DM817" s="219" t="str">
        <f t="shared" si="479"/>
        <v>Wild Belle 74</v>
      </c>
      <c r="DN817" s="89" t="str">
        <f t="shared" si="480"/>
        <v xml:space="preserve"> NordicaWild Belle 74162 Women's</v>
      </c>
      <c r="DO817" s="221"/>
    </row>
    <row r="818" spans="1:119" ht="15.6" customHeight="1">
      <c r="B818" s="219" t="b">
        <f t="array" ref="B818">IF(OR(ISERROR(K818:P818)),FALSE,TRUE)</f>
        <v>1</v>
      </c>
      <c r="C818" s="43" t="b">
        <f>OR(BR818=Driver!$G$50,Data!BR482=Driver!$H$50)</f>
        <v>1</v>
      </c>
      <c r="D818" s="43" t="b">
        <f>OR(BV818=Driver!$G$51,BV818=Driver!$H$51)</f>
        <v>1</v>
      </c>
      <c r="E818" s="43" t="b">
        <f>AND(BX818&gt;Driver!$F$54,BX818&lt;Driver!$G$54)</f>
        <v>0</v>
      </c>
      <c r="F818" s="43" t="b">
        <f>CL818&gt;Driver!$F$56</f>
        <v>1</v>
      </c>
      <c r="G818" s="43" t="b">
        <f>AND(CB818&gt;Driver!$F$55,CB818&lt;Driver!$G$55)</f>
        <v>0</v>
      </c>
      <c r="H818" s="43" t="b">
        <f t="shared" si="444"/>
        <v>0</v>
      </c>
      <c r="I818" s="43">
        <f t="shared" si="445"/>
        <v>0</v>
      </c>
      <c r="J818" s="43" t="b">
        <f t="array" ref="J818">NOT(OR(($H$9:$H$1273=TRUE)*($I$9:$I$1273&gt;0)*($BT$9:$BT$1273=BT818)*($K$9:$K$1273&gt;K818)))</f>
        <v>1</v>
      </c>
      <c r="K818" s="72">
        <f t="shared" si="446"/>
        <v>0.81023591179498644</v>
      </c>
      <c r="L818" s="72">
        <f t="shared" si="447"/>
        <v>0.99789564993895774</v>
      </c>
      <c r="M818" s="72">
        <f t="shared" si="448"/>
        <v>0.62257617365101514</v>
      </c>
      <c r="N818" s="72">
        <f t="shared" si="449"/>
        <v>0.40839743297255027</v>
      </c>
      <c r="O818" s="72">
        <f t="shared" si="450"/>
        <v>0.6106672342533499</v>
      </c>
      <c r="P818" s="72">
        <f t="shared" si="451"/>
        <v>0.84866385372714492</v>
      </c>
      <c r="Q818" s="72"/>
      <c r="R818" s="72"/>
      <c r="S818" s="72">
        <f t="shared" si="452"/>
        <v>0.50532446673467546</v>
      </c>
      <c r="T818" s="72">
        <f t="shared" si="453"/>
        <v>0.76618692156327173</v>
      </c>
      <c r="U818" s="72">
        <f t="shared" si="454"/>
        <v>0.75980095618352539</v>
      </c>
      <c r="V818" s="72">
        <f t="shared" si="455"/>
        <v>0.50331754215816649</v>
      </c>
      <c r="W818" s="72">
        <f t="shared" si="456"/>
        <v>0.75626582879574522</v>
      </c>
      <c r="X818" s="72">
        <f t="shared" si="457"/>
        <v>2.1043500610422594E-3</v>
      </c>
      <c r="Y818" s="72">
        <f t="shared" si="458"/>
        <v>0.37742382634898491</v>
      </c>
      <c r="Z818" s="72">
        <f t="shared" si="459"/>
        <v>0.59160256702744973</v>
      </c>
      <c r="AA818" s="72">
        <f t="shared" si="460"/>
        <v>0.3893327657466501</v>
      </c>
      <c r="AB818" s="72">
        <f t="shared" si="461"/>
        <v>0.15133614627285508</v>
      </c>
      <c r="AC818" s="72"/>
      <c r="AD818" s="72"/>
      <c r="AE818" s="72">
        <f t="shared" si="462"/>
        <v>0.49467553326532454</v>
      </c>
      <c r="AF818" s="72">
        <f t="shared" si="463"/>
        <v>0.23381307843672822</v>
      </c>
      <c r="AG818" s="72">
        <f t="shared" si="464"/>
        <v>0.24019904381647461</v>
      </c>
      <c r="AH818" s="72">
        <f t="shared" si="465"/>
        <v>0.49668245784183351</v>
      </c>
      <c r="AI818" s="72">
        <f t="shared" si="466"/>
        <v>0.24373417120425478</v>
      </c>
      <c r="AJ818" s="72">
        <f>(AV818-Driver!$K$179)/(Driver!$L$179-Driver!$K$179)</f>
        <v>0.25211505922165817</v>
      </c>
      <c r="AK818" s="72">
        <f>(AW818-Driver!$K$180)/(Driver!$L$180-Driver!$K$180)</f>
        <v>0.43506376496876276</v>
      </c>
      <c r="AL818" s="72">
        <f>(AX818-Driver!$K$181)/(Driver!$L$181-Driver!$K$181)</f>
        <v>0.69329033074052993</v>
      </c>
      <c r="AM818" s="72">
        <f>(AY818-Driver!$K$182)/(Driver!$L$182-Driver!$K$182)</f>
        <v>5.8052255350396292E-2</v>
      </c>
      <c r="AN818" s="72">
        <f>(AZ818-Driver!$K$183)/(Driver!$L$183-Driver!$K$183)</f>
        <v>0.4055555555555555</v>
      </c>
      <c r="AO818" s="72"/>
      <c r="AP818" s="72"/>
      <c r="AQ818" s="72">
        <f>(BC818-Driver!$K$188)/(Driver!$L$188-Driver!$K$188)</f>
        <v>0.12532446673467548</v>
      </c>
      <c r="AR818" s="72">
        <f>MIN((BD818-Driver!$K$189)/(Driver!$L$189-Driver!$K$189),100%)</f>
        <v>0.31618692156327183</v>
      </c>
      <c r="AS818" s="72">
        <f>(BE818-Driver!$K$190)/(Driver!$L$190-Driver!$K$190)</f>
        <v>0.75019904381647462</v>
      </c>
      <c r="AT818" s="72">
        <f>(BF818-Driver!$K$191)/(Driver!$L$191-Driver!$K$191)</f>
        <v>1.3317542158166521E-2</v>
      </c>
      <c r="AU818" s="72">
        <f>(BG818-Driver!$K$192)/(Driver!$L$192-Driver!$K$192)</f>
        <v>6.2658287957452199E-3</v>
      </c>
      <c r="AV818" s="70">
        <f t="shared" si="467"/>
        <v>5.3062678062678055</v>
      </c>
      <c r="AW818" s="70">
        <f t="shared" si="468"/>
        <v>44.272711574790577</v>
      </c>
      <c r="AX818" s="70">
        <f t="shared" si="469"/>
        <v>7.2396129766647697</v>
      </c>
      <c r="AY818" s="70">
        <f>IFERROR(Driver!$K$19/Data!BH818/Data!BI818*Data!BK818*Data!BL818,"")</f>
        <v>7.107328167011405E-2</v>
      </c>
      <c r="AZ818" s="70">
        <f t="shared" si="470"/>
        <v>36.962025316455694</v>
      </c>
      <c r="BA818" s="70"/>
      <c r="BB818" s="70"/>
      <c r="BC818" s="70">
        <f t="shared" si="471"/>
        <v>65.006672136834254</v>
      </c>
      <c r="BD818" s="70">
        <f t="shared" si="472"/>
        <v>29.702805192374015</v>
      </c>
      <c r="BE818" s="70">
        <f t="shared" si="473"/>
        <v>0.75024360549542823</v>
      </c>
      <c r="BF818" s="70">
        <f t="shared" si="474"/>
        <v>1.5041228257360624</v>
      </c>
      <c r="BG818" s="70">
        <f t="shared" si="475"/>
        <v>2.3726424987336965E-2</v>
      </c>
      <c r="BH818" s="67">
        <f>MAX((CE818-Driver!$F$200)/(Driver!$G$200-Driver!$F$200)*$BI$1,1)</f>
        <v>7.2396129766647697</v>
      </c>
      <c r="BI818" s="67">
        <f>MAX($BI$1*(BY818-Driver!$F$201)/(Driver!$G$201-Driver!$F$201),1)</f>
        <v>8.6075949367088604</v>
      </c>
      <c r="BJ818" s="67">
        <f>(CB818-Driver!$F$206)/(Driver!$G$206-Driver!$F$206)*$BI$1</f>
        <v>3.333333333333333</v>
      </c>
      <c r="BK818" s="67">
        <f>(CD818-Driver!$F$203)/(Driver!$G$203-Driver!$F$203)*$BI$1</f>
        <v>3.2110091743119265</v>
      </c>
      <c r="BL818" s="67">
        <f>MAX((CR818-Driver!$F$202)/(Driver!$G$202-Driver!$F$202)*$BI$1,1)</f>
        <v>6.8965517241379315</v>
      </c>
      <c r="BM818" s="67">
        <f>MAX((CH818-Driver!$F$204)/(Driver!$G$204-Driver!$F$204)*$BI$1,1)</f>
        <v>6.3675213675213671</v>
      </c>
      <c r="BN818" s="67">
        <f>(CI818-Driver!$F$205)/(Driver!$G$205-Driver!$F$205)*$BI$1</f>
        <v>4.2941176470588234</v>
      </c>
      <c r="BO818" s="67">
        <f>(CK818-Driver!$F$207)/(Driver!$G$207-Driver!$F$207)*$BI$1</f>
        <v>1.0031023784901758</v>
      </c>
      <c r="BP818" s="67">
        <f>(CM818-Driver!$F$208)/(Driver!$G$208-Driver!$F$208)*$BI$1</f>
        <v>1.4444444444444442</v>
      </c>
      <c r="BQ818" s="67">
        <f>(CL818-Driver!$F$209)/(Driver!$G$209-Driver!$F$209)*$BI$1</f>
        <v>1.09375</v>
      </c>
      <c r="BR818" s="28" t="s">
        <v>155</v>
      </c>
      <c r="BS818" s="8" t="s">
        <v>164</v>
      </c>
      <c r="BT818" s="9" t="s">
        <v>688</v>
      </c>
      <c r="BU818" s="10">
        <v>178</v>
      </c>
      <c r="BV818" s="9" t="s">
        <v>158</v>
      </c>
      <c r="BW818" s="10">
        <v>178</v>
      </c>
      <c r="BX818" s="10">
        <v>177.5</v>
      </c>
      <c r="BY818" s="10">
        <v>144</v>
      </c>
      <c r="BZ818" s="10">
        <v>157</v>
      </c>
      <c r="CA818" s="10">
        <v>130</v>
      </c>
      <c r="CB818" s="10">
        <v>85</v>
      </c>
      <c r="CC818" s="10">
        <v>114</v>
      </c>
      <c r="CD818" s="10">
        <v>16.399999999999999</v>
      </c>
      <c r="CE818" s="10">
        <v>2172</v>
      </c>
      <c r="CF818" s="10">
        <v>0.81</v>
      </c>
      <c r="CG818" s="10">
        <v>1765</v>
      </c>
      <c r="CH818" s="10">
        <v>250</v>
      </c>
      <c r="CI818" s="10">
        <v>106</v>
      </c>
      <c r="CJ818" s="10">
        <v>38</v>
      </c>
      <c r="CK818" s="10">
        <v>207</v>
      </c>
      <c r="CL818" s="10">
        <v>7</v>
      </c>
      <c r="CM818" s="10">
        <v>130</v>
      </c>
      <c r="CN818" s="10">
        <v>0.19600000000000001</v>
      </c>
      <c r="CO818" s="10">
        <v>106</v>
      </c>
      <c r="CP818" s="10">
        <v>97</v>
      </c>
      <c r="CQ818" s="10">
        <v>100</v>
      </c>
      <c r="CR818" s="10">
        <v>9</v>
      </c>
      <c r="CS818" s="10">
        <v>9.1999999999999993</v>
      </c>
      <c r="CT818" s="9" t="s">
        <v>188</v>
      </c>
      <c r="CU818" s="10"/>
      <c r="CV818" s="10"/>
      <c r="CW818" s="10"/>
      <c r="CX818" t="str">
        <f>INDEX('Data_Price '!AG$2:AG$1266,MATCH(Data!$DN818,'Data_Price '!$AT$2:$AT$1266,0))</f>
        <v>Elan 2021 Wingman 86 CTI Men's Skis with EMX 12.0 GW Fusion x Bindings</v>
      </c>
      <c r="CY818" t="str">
        <f>INDEX('Data_Price '!AH$2:AH$1266,MATCH(Data!$DN818,'Data_Price '!$AT$2:$AT$1266,0))</f>
        <v>Next Adventure</v>
      </c>
      <c r="CZ818">
        <f>INDEX('Data_Price '!AI$2:AI$1266,MATCH(Data!$DN818,'Data_Price '!$AT$2:$AT$1266,0))</f>
        <v>349.99</v>
      </c>
      <c r="DA818" t="str">
        <f>INDEX('Data_Price '!AJ$2:AJ$1266,MATCH(Data!$DN818,'Data_Price '!$AT$2:$AT$1266,0))</f>
        <v>https://tinyurl.com/ycbywswq</v>
      </c>
      <c r="DB818" t="str">
        <f>INDEX('Data_Price '!AK$2:AK$1266,MATCH(Data!$DN818,'Data_Price '!$AT$2:$AT$1266,0))</f>
        <v>Elan Skis Wingman 86 CTI</v>
      </c>
      <c r="DC818" t="str">
        <f>INDEX('Data_Price '!AL$2:AL$1266,MATCH(Data!$DN818,'Data_Price '!$AT$2:$AT$1266,0))</f>
        <v>Ski Pro  - Snow Ski &amp; Snowboard</v>
      </c>
      <c r="DD818">
        <f>INDEX('Data_Price '!AM$2:AM$1266,MATCH(Data!$DN818,'Data_Price '!$AT$2:$AT$1266,0))</f>
        <v>649.95000000000005</v>
      </c>
      <c r="DE818" t="str">
        <f>INDEX('Data_Price '!AN$2:AN$1266,MATCH(Data!$DN818,'Data_Price '!$AT$2:$AT$1266,0))</f>
        <v>https://tinyurl.com/y8yjg44q</v>
      </c>
      <c r="DF818" t="str">
        <f>INDEX('Data_Price '!AO$2:AO$1266,MATCH(Data!$DN818,'Data_Price '!$AT$2:$AT$1266,0))</f>
        <v>Elan Wingman 86 CTI Skis 2022</v>
      </c>
      <c r="DG818" t="str">
        <f>INDEX('Data_Price '!AP$2:AP$1266,MATCH(Data!$DN818,'Data_Price '!$AT$2:$AT$1266,0))</f>
        <v>Suburban Ski and Bike</v>
      </c>
      <c r="DH818">
        <f>INDEX('Data_Price '!AQ$2:AQ$1266,MATCH(Data!$DN818,'Data_Price '!$AT$2:$AT$1266,0))</f>
        <v>649.99</v>
      </c>
      <c r="DI818" t="str">
        <f>INDEX('Data_Price '!AR$2:AR$1266,MATCH(Data!$DN818,'Data_Price '!$AT$2:$AT$1266,0))</f>
        <v>https://tinyurl.com/ycwgbdpy</v>
      </c>
      <c r="DJ818" s="89" t="str">
        <f t="shared" si="476"/>
        <v>https://tinyurl.com/ycbywswq</v>
      </c>
      <c r="DK818" s="89" t="str">
        <f t="shared" si="477"/>
        <v>https://tinyurl.com/y8yjg44q</v>
      </c>
      <c r="DL818" s="89" t="str">
        <f t="shared" si="478"/>
        <v>https://tinyurl.com/ycwgbdpy</v>
      </c>
      <c r="DM818" s="219" t="str">
        <f t="shared" si="479"/>
        <v>Wingman 86 CTi</v>
      </c>
      <c r="DN818" s="89" t="str">
        <f t="shared" si="480"/>
        <v xml:space="preserve"> ElanWingman 86 CTi178 Unisex</v>
      </c>
      <c r="DO818" s="221"/>
    </row>
    <row r="819" spans="1:119" ht="15.6" customHeight="1">
      <c r="B819" s="219" t="b">
        <f t="array" ref="B819">IF(OR(ISERROR(K819:P819)),FALSE,TRUE)</f>
        <v>1</v>
      </c>
      <c r="C819" s="43" t="b">
        <f>OR(BR819=Driver!$G$50,Data!BR334=Driver!$H$50)</f>
        <v>1</v>
      </c>
      <c r="D819" s="43" t="b">
        <f>OR(BV819=Driver!$G$51,BV819=Driver!$H$51)</f>
        <v>1</v>
      </c>
      <c r="E819" s="43" t="b">
        <f>AND(BX819&gt;Driver!$F$54,BX819&lt;Driver!$G$54)</f>
        <v>0</v>
      </c>
      <c r="F819" s="43" t="b">
        <f>CL819&gt;Driver!$F$56</f>
        <v>1</v>
      </c>
      <c r="G819" s="43" t="b">
        <f>AND(CB819&gt;Driver!$F$55,CB819&lt;Driver!$G$55)</f>
        <v>1</v>
      </c>
      <c r="H819" s="43" t="b">
        <f t="shared" si="444"/>
        <v>0</v>
      </c>
      <c r="I819" s="43">
        <f t="shared" si="445"/>
        <v>0</v>
      </c>
      <c r="J819" s="43" t="b">
        <f t="array" ref="J819">NOT(OR(($H$9:$H$1273=TRUE)*($I$9:$I$1273&gt;0)*($BT$9:$BT$1273=BT819)*($K$9:$K$1273&gt;K819)))</f>
        <v>1</v>
      </c>
      <c r="K819" s="72">
        <f t="shared" si="446"/>
        <v>0.69837000782737846</v>
      </c>
      <c r="L819" s="72">
        <f t="shared" si="447"/>
        <v>0.74201249606055875</v>
      </c>
      <c r="M819" s="72">
        <f t="shared" si="448"/>
        <v>0.65472751959419795</v>
      </c>
      <c r="N819" s="72">
        <f t="shared" si="449"/>
        <v>0.47037175789508234</v>
      </c>
      <c r="O819" s="72">
        <f t="shared" si="450"/>
        <v>0.64118452885971311</v>
      </c>
      <c r="P819" s="72">
        <f t="shared" si="451"/>
        <v>0.8526262720277985</v>
      </c>
      <c r="Q819" s="72"/>
      <c r="R819" s="72"/>
      <c r="S819" s="72">
        <f t="shared" si="452"/>
        <v>0.4983838580156118</v>
      </c>
      <c r="T819" s="72">
        <f t="shared" si="453"/>
        <v>0.55688312065829293</v>
      </c>
      <c r="U819" s="72">
        <f t="shared" si="454"/>
        <v>0.51367752197323013</v>
      </c>
      <c r="V819" s="72">
        <f t="shared" si="455"/>
        <v>0.58669437826179816</v>
      </c>
      <c r="W819" s="72">
        <f t="shared" si="456"/>
        <v>0.78457504624742636</v>
      </c>
      <c r="X819" s="72">
        <f t="shared" si="457"/>
        <v>0.2579875039394412</v>
      </c>
      <c r="Y819" s="72">
        <f t="shared" si="458"/>
        <v>0.345272480405802</v>
      </c>
      <c r="Z819" s="72">
        <f t="shared" si="459"/>
        <v>0.52962824210491766</v>
      </c>
      <c r="AA819" s="72">
        <f t="shared" si="460"/>
        <v>0.35881547114028683</v>
      </c>
      <c r="AB819" s="72">
        <f t="shared" si="461"/>
        <v>0.1473737279722015</v>
      </c>
      <c r="AC819" s="72"/>
      <c r="AD819" s="72"/>
      <c r="AE819" s="72">
        <f t="shared" si="462"/>
        <v>0.5016161419843882</v>
      </c>
      <c r="AF819" s="72">
        <f t="shared" si="463"/>
        <v>0.44311687934170707</v>
      </c>
      <c r="AG819" s="72">
        <f t="shared" si="464"/>
        <v>0.48632247802676981</v>
      </c>
      <c r="AH819" s="72">
        <f t="shared" si="465"/>
        <v>0.41330562173820184</v>
      </c>
      <c r="AI819" s="72">
        <f t="shared" si="466"/>
        <v>0.21542495375257364</v>
      </c>
      <c r="AJ819" s="72">
        <f>(AV819-Driver!$K$179)/(Driver!$L$179-Driver!$K$179)</f>
        <v>0.51220691322214162</v>
      </c>
      <c r="AK819" s="72">
        <f>(AW819-Driver!$K$180)/(Driver!$L$180-Driver!$K$180)</f>
        <v>0.42601852848067701</v>
      </c>
      <c r="AL819" s="72">
        <f>(AX819-Driver!$K$181)/(Driver!$L$181-Driver!$K$181)</f>
        <v>0.63131600581799785</v>
      </c>
      <c r="AM819" s="72">
        <f>(AY819-Driver!$K$182)/(Driver!$L$182-Driver!$K$182)</f>
        <v>8.8569549956759544E-2</v>
      </c>
      <c r="AN819" s="72">
        <f>(AZ819-Driver!$K$183)/(Driver!$L$183-Driver!$K$183)</f>
        <v>0.40159313725490192</v>
      </c>
      <c r="AO819" s="72"/>
      <c r="AP819" s="72"/>
      <c r="AQ819" s="72">
        <f>(BC819-Driver!$K$188)/(Driver!$L$188-Driver!$K$188)</f>
        <v>0.1183838580156118</v>
      </c>
      <c r="AR819" s="72">
        <f>MIN((BD819-Driver!$K$189)/(Driver!$L$189-Driver!$K$189),100%)</f>
        <v>0.106883120658293</v>
      </c>
      <c r="AS819" s="72">
        <f>(BE819-Driver!$K$190)/(Driver!$L$190-Driver!$K$190)</f>
        <v>2.3677521973230219E-2</v>
      </c>
      <c r="AT819" s="72">
        <f>(BF819-Driver!$K$191)/(Driver!$L$191-Driver!$K$191)</f>
        <v>9.6694378261798178E-2</v>
      </c>
      <c r="AU819" s="72">
        <f>(BG819-Driver!$K$192)/(Driver!$L$192-Driver!$K$192)</f>
        <v>3.4575046247426341E-2</v>
      </c>
      <c r="AV819" s="70">
        <f t="shared" si="467"/>
        <v>10.780423280423282</v>
      </c>
      <c r="AW819" s="70">
        <f t="shared" si="468"/>
        <v>43.39117313007791</v>
      </c>
      <c r="AX819" s="70">
        <f t="shared" si="469"/>
        <v>6.6818440523619804</v>
      </c>
      <c r="AY819" s="70">
        <f>IFERROR(Driver!$K$19/Data!BH819/Data!BI819*Data!BK819*Data!BL819,"")</f>
        <v>0.10843555575018735</v>
      </c>
      <c r="AZ819" s="70">
        <f t="shared" si="470"/>
        <v>36.600893521965745</v>
      </c>
      <c r="BA819" s="70"/>
      <c r="BB819" s="70"/>
      <c r="BC819" s="70">
        <f t="shared" si="471"/>
        <v>61.406530143926901</v>
      </c>
      <c r="BD819" s="70">
        <f t="shared" si="472"/>
        <v>11.179789676673391</v>
      </c>
      <c r="BE819" s="70">
        <f t="shared" si="473"/>
        <v>2.385168691433262E-2</v>
      </c>
      <c r="BF819" s="70">
        <f t="shared" si="474"/>
        <v>10.920950708216184</v>
      </c>
      <c r="BG819" s="70">
        <f t="shared" si="475"/>
        <v>0.13092318158777605</v>
      </c>
      <c r="BH819" s="67">
        <f>MAX((CE819-Driver!$F$200)/(Driver!$G$200-Driver!$F$200)*$BI$1,1)</f>
        <v>6.6818440523619804</v>
      </c>
      <c r="BI819" s="67">
        <f>MAX($BI$1*(BY819-Driver!$F$201)/(Driver!$G$201-Driver!$F$201),1)</f>
        <v>7.1518987341772151</v>
      </c>
      <c r="BJ819" s="67">
        <f>(CB819-Driver!$F$206)/(Driver!$G$206-Driver!$F$206)*$BI$1</f>
        <v>6.1904761904761907</v>
      </c>
      <c r="BK819" s="67">
        <f>(CD819-Driver!$F$203)/(Driver!$G$203-Driver!$F$203)*$BI$1</f>
        <v>4.1743119266055047</v>
      </c>
      <c r="BL819" s="67">
        <f>MAX((CR819-Driver!$F$202)/(Driver!$G$202-Driver!$F$202)*$BI$1,1)</f>
        <v>6.2068965517241379</v>
      </c>
      <c r="BM819" s="67">
        <f>MAX((CH819-Driver!$F$204)/(Driver!$G$204-Driver!$F$204)*$BI$1,1)</f>
        <v>6.9658119658119659</v>
      </c>
      <c r="BN819" s="67">
        <f>(CI819-Driver!$F$205)/(Driver!$G$205-Driver!$F$205)*$BI$1</f>
        <v>5.117647058823529</v>
      </c>
      <c r="BO819" s="67">
        <f>(CK819-Driver!$F$207)/(Driver!$G$207-Driver!$F$207)*$BI$1</f>
        <v>2.2854188210961737</v>
      </c>
      <c r="BP819" s="67">
        <f>(CM819-Driver!$F$208)/(Driver!$G$208-Driver!$F$208)*$BI$1</f>
        <v>3.2222222222222223</v>
      </c>
      <c r="BQ819" s="67">
        <f>(CL819-Driver!$F$209)/(Driver!$G$209-Driver!$F$209)*$BI$1</f>
        <v>6.09375</v>
      </c>
      <c r="BR819" s="28" t="s">
        <v>155</v>
      </c>
      <c r="BS819" s="8" t="s">
        <v>218</v>
      </c>
      <c r="BT819" s="9" t="s">
        <v>398</v>
      </c>
      <c r="BU819" s="10">
        <v>184</v>
      </c>
      <c r="BV819" s="9" t="s">
        <v>158</v>
      </c>
      <c r="BW819" s="10">
        <v>184</v>
      </c>
      <c r="BX819" s="10">
        <v>182.8</v>
      </c>
      <c r="BY819" s="10">
        <v>121</v>
      </c>
      <c r="BZ819" s="10">
        <v>149</v>
      </c>
      <c r="CA819" s="10">
        <v>132</v>
      </c>
      <c r="CB819" s="10">
        <v>103</v>
      </c>
      <c r="CC819" s="10">
        <v>121</v>
      </c>
      <c r="CD819" s="10">
        <v>18.5</v>
      </c>
      <c r="CE819" s="10">
        <v>2074</v>
      </c>
      <c r="CF819" s="10">
        <v>1</v>
      </c>
      <c r="CG819" s="10">
        <v>2076</v>
      </c>
      <c r="CH819" s="10">
        <v>264</v>
      </c>
      <c r="CI819" s="10">
        <v>120</v>
      </c>
      <c r="CJ819" s="10">
        <v>53</v>
      </c>
      <c r="CK819" s="10">
        <v>331</v>
      </c>
      <c r="CL819" s="10">
        <v>39</v>
      </c>
      <c r="CM819" s="10">
        <v>290</v>
      </c>
      <c r="CN819" s="10">
        <v>0.73799999999999999</v>
      </c>
      <c r="CO819" s="10">
        <v>204</v>
      </c>
      <c r="CP819" s="10">
        <v>137</v>
      </c>
      <c r="CQ819" s="10">
        <v>128</v>
      </c>
      <c r="CR819" s="10">
        <v>7</v>
      </c>
      <c r="CS819" s="10">
        <v>6.9</v>
      </c>
      <c r="CT819" s="9" t="s">
        <v>188</v>
      </c>
      <c r="CU819" s="9" t="s">
        <v>169</v>
      </c>
      <c r="CV819" s="10"/>
      <c r="CW819" s="10"/>
      <c r="CX819" t="str">
        <f>INDEX('Data_Price '!AG$2:AG$1266,MATCH(Data!$DN819,'Data_Price '!$AT$2:$AT$1266,0))</f>
        <v>DPS Koala 103 Foundation Skis 2022</v>
      </c>
      <c r="CY819" t="str">
        <f>INDEX('Data_Price '!AH$2:AH$1266,MATCH(Data!$DN819,'Data_Price '!$AT$2:$AT$1266,0))</f>
        <v>Telemark Pyrenees</v>
      </c>
      <c r="CZ819">
        <f>INDEX('Data_Price '!AI$2:AI$1266,MATCH(Data!$DN819,'Data_Price '!$AT$2:$AT$1266,0))</f>
        <v>550</v>
      </c>
      <c r="DA819" t="str">
        <f>INDEX('Data_Price '!AJ$2:AJ$1266,MATCH(Data!$DN819,'Data_Price '!$AT$2:$AT$1266,0))</f>
        <v>https://tinyurl.com/yb5ok3xf</v>
      </c>
      <c r="DB819" t="str">
        <f>INDEX('Data_Price '!AK$2:AK$1266,MATCH(Data!$DN819,'Data_Price '!$AT$2:$AT$1266,0))</f>
        <v>DPS Koala 103 Foundation Skis 2022</v>
      </c>
      <c r="DC819" t="str">
        <f>INDEX('Data_Price '!AL$2:AL$1266,MATCH(Data!$DN819,'Data_Price '!$AT$2:$AT$1266,0))</f>
        <v>Gear West Ski &amp; Bike</v>
      </c>
      <c r="DD819">
        <f>INDEX('Data_Price '!AM$2:AM$1266,MATCH(Data!$DN819,'Data_Price '!$AT$2:$AT$1266,0))</f>
        <v>699</v>
      </c>
      <c r="DE819" t="str">
        <f>INDEX('Data_Price '!AN$2:AN$1266,MATCH(Data!$DN819,'Data_Price '!$AT$2:$AT$1266,0))</f>
        <v>https://tinyurl.com/y864qdmv</v>
      </c>
      <c r="DF819" t="str">
        <f>INDEX('Data_Price '!AO$2:AO$1266,MATCH(Data!$DN819,'Data_Price '!$AT$2:$AT$1266,0))</f>
        <v>DPS Koala F119 Foundation Skis Â· 2020 Â· 184 cm</v>
      </c>
      <c r="DG819" t="str">
        <f>INDEX('Data_Price '!AP$2:AP$1266,MATCH(Data!$DN819,'Data_Price '!$AT$2:$AT$1266,0))</f>
        <v>Powder7 Ski Shop</v>
      </c>
      <c r="DH819">
        <f>INDEX('Data_Price '!AQ$2:AQ$1266,MATCH(Data!$DN819,'Data_Price '!$AT$2:$AT$1266,0))</f>
        <v>409.93</v>
      </c>
      <c r="DI819" t="str">
        <f>INDEX('Data_Price '!AR$2:AR$1266,MATCH(Data!$DN819,'Data_Price '!$AT$2:$AT$1266,0))</f>
        <v>https://tinyurl.com/yb6jtq5e</v>
      </c>
      <c r="DJ819" s="89" t="str">
        <f t="shared" si="476"/>
        <v>https://tinyurl.com/yb5ok3xf</v>
      </c>
      <c r="DK819" s="89" t="str">
        <f t="shared" si="477"/>
        <v>https://tinyurl.com/y864qdmv</v>
      </c>
      <c r="DL819" s="89" t="str">
        <f t="shared" si="478"/>
        <v>https://tinyurl.com/yb6jtq5e</v>
      </c>
      <c r="DM819" s="219" t="str">
        <f t="shared" si="479"/>
        <v>Foundation 103 Koala</v>
      </c>
      <c r="DN819" s="89" t="str">
        <f t="shared" si="480"/>
        <v xml:space="preserve"> DPSFoundation 103 Koala184 Unisex</v>
      </c>
      <c r="DO819" s="221"/>
    </row>
    <row r="820" spans="1:119" ht="15.6" customHeight="1">
      <c r="B820" s="219" t="b">
        <f t="array" ref="B820">IF(OR(ISERROR(K820:P820)),FALSE,TRUE)</f>
        <v>1</v>
      </c>
      <c r="C820" s="43" t="b">
        <f>OR(BR820=Driver!$G$50,Data!BR612=Driver!$H$50)</f>
        <v>1</v>
      </c>
      <c r="D820" s="43" t="b">
        <f>OR(BV820=Driver!$G$51,BV820=Driver!$H$51)</f>
        <v>1</v>
      </c>
      <c r="E820" s="43" t="b">
        <f>AND(BX820&gt;Driver!$F$54,BX820&lt;Driver!$G$54)</f>
        <v>0</v>
      </c>
      <c r="F820" s="43" t="b">
        <f>CL820&gt;Driver!$F$56</f>
        <v>1</v>
      </c>
      <c r="G820" s="43" t="b">
        <f>AND(CB820&gt;Driver!$F$55,CB820&lt;Driver!$G$55)</f>
        <v>0</v>
      </c>
      <c r="H820" s="43" t="b">
        <f t="shared" si="444"/>
        <v>0</v>
      </c>
      <c r="I820" s="43">
        <f t="shared" si="445"/>
        <v>0</v>
      </c>
      <c r="J820" s="43" t="b">
        <f t="array" ref="J820">NOT(OR(($H$9:$H$1273=TRUE)*($I$9:$I$1273&gt;0)*($BT$9:$BT$1273=BT820)*($K$9:$K$1273&gt;K820)))</f>
        <v>1</v>
      </c>
      <c r="K820" s="72">
        <f t="shared" si="446"/>
        <v>0.75054516647810787</v>
      </c>
      <c r="L820" s="72">
        <f t="shared" si="447"/>
        <v>0.84972064389593149</v>
      </c>
      <c r="M820" s="72">
        <f t="shared" si="448"/>
        <v>0.65136968906028425</v>
      </c>
      <c r="N820" s="72">
        <f t="shared" si="449"/>
        <v>0.46404784718870151</v>
      </c>
      <c r="O820" s="72">
        <f t="shared" si="450"/>
        <v>0.60491860809507203</v>
      </c>
      <c r="P820" s="72">
        <f t="shared" si="451"/>
        <v>0.88514261189707955</v>
      </c>
      <c r="Q820" s="72"/>
      <c r="R820" s="72"/>
      <c r="S820" s="72">
        <f t="shared" si="452"/>
        <v>0.47639138842278661</v>
      </c>
      <c r="T820" s="72">
        <f t="shared" si="453"/>
        <v>0.85466379026077977</v>
      </c>
      <c r="U820" s="72">
        <f t="shared" si="454"/>
        <v>0.51</v>
      </c>
      <c r="V820" s="72">
        <f t="shared" si="455"/>
        <v>0.49912478701400143</v>
      </c>
      <c r="W820" s="72">
        <f t="shared" si="456"/>
        <v>0.7616627710559396</v>
      </c>
      <c r="X820" s="72">
        <f t="shared" si="457"/>
        <v>0.15027935610406856</v>
      </c>
      <c r="Y820" s="72">
        <f t="shared" si="458"/>
        <v>0.34863031093971569</v>
      </c>
      <c r="Z820" s="72">
        <f t="shared" si="459"/>
        <v>0.53595215281129849</v>
      </c>
      <c r="AA820" s="72">
        <f t="shared" si="460"/>
        <v>0.39508139190492797</v>
      </c>
      <c r="AB820" s="72">
        <f t="shared" si="461"/>
        <v>0.11485738810292051</v>
      </c>
      <c r="AC820" s="72"/>
      <c r="AD820" s="72"/>
      <c r="AE820" s="72">
        <f t="shared" si="462"/>
        <v>0.52360861157721339</v>
      </c>
      <c r="AF820" s="72">
        <f t="shared" si="463"/>
        <v>0.14533620973922023</v>
      </c>
      <c r="AG820" s="72">
        <f t="shared" si="464"/>
        <v>0.49</v>
      </c>
      <c r="AH820" s="72">
        <f t="shared" si="465"/>
        <v>0.50087521298599857</v>
      </c>
      <c r="AI820" s="72">
        <f t="shared" si="466"/>
        <v>0.23833722894406034</v>
      </c>
      <c r="AJ820" s="72">
        <f>(AV820-Driver!$K$179)/(Driver!$L$179-Driver!$K$179)</f>
        <v>0.10394005317863185</v>
      </c>
      <c r="AK820" s="72">
        <f>(AW820-Driver!$K$180)/(Driver!$L$180-Driver!$K$180)</f>
        <v>0.39573908950711667</v>
      </c>
      <c r="AL820" s="72">
        <f>(AX820-Driver!$K$181)/(Driver!$L$181-Driver!$K$181)</f>
        <v>0.63763991652437868</v>
      </c>
      <c r="AM820" s="72">
        <f>(AY820-Driver!$K$182)/(Driver!$L$182-Driver!$K$182)</f>
        <v>5.2303629192118395E-2</v>
      </c>
      <c r="AN820" s="72">
        <f>(AZ820-Driver!$K$183)/(Driver!$L$183-Driver!$K$183)</f>
        <v>0.36907679738562094</v>
      </c>
      <c r="AO820" s="72"/>
      <c r="AP820" s="72"/>
      <c r="AQ820" s="72">
        <f>(BC820-Driver!$K$188)/(Driver!$L$188-Driver!$K$188)</f>
        <v>9.639138842278655E-2</v>
      </c>
      <c r="AR820" s="72">
        <f>MIN((BD820-Driver!$K$189)/(Driver!$L$189-Driver!$K$189),100%)</f>
        <v>0.40466379026077981</v>
      </c>
      <c r="AS820" s="72">
        <f>(BE820-Driver!$K$190)/(Driver!$L$190-Driver!$K$190)</f>
        <v>1</v>
      </c>
      <c r="AT820" s="72">
        <f>(BF820-Driver!$K$191)/(Driver!$L$191-Driver!$K$191)</f>
        <v>9.124787014001488E-3</v>
      </c>
      <c r="AU820" s="72">
        <f>(BG820-Driver!$K$192)/(Driver!$L$192-Driver!$K$192)</f>
        <v>1.1662771055939658E-2</v>
      </c>
      <c r="AV820" s="70">
        <f t="shared" si="467"/>
        <v>2.1876271876271876</v>
      </c>
      <c r="AW820" s="70">
        <f t="shared" si="468"/>
        <v>40.440173498981096</v>
      </c>
      <c r="AX820" s="70">
        <f t="shared" si="469"/>
        <v>6.7387592487194077</v>
      </c>
      <c r="AY820" s="70">
        <f>IFERROR(Driver!$K$19/Data!BH820/Data!BI820*Data!BK820*Data!BL820,"")</f>
        <v>6.4035248027883102E-2</v>
      </c>
      <c r="AZ820" s="70">
        <f t="shared" si="470"/>
        <v>33.637379002233807</v>
      </c>
      <c r="BA820" s="70"/>
      <c r="BB820" s="70"/>
      <c r="BC820" s="70">
        <f t="shared" si="471"/>
        <v>49.998883276960242</v>
      </c>
      <c r="BD820" s="70">
        <f t="shared" si="472"/>
        <v>37.532851300368812</v>
      </c>
      <c r="BE820" s="70">
        <f t="shared" si="473"/>
        <v>1</v>
      </c>
      <c r="BF820" s="70">
        <f t="shared" si="474"/>
        <v>1.03058058797459</v>
      </c>
      <c r="BG820" s="70">
        <f t="shared" si="475"/>
        <v>4.4162691261392203E-2</v>
      </c>
      <c r="BH820" s="67">
        <f>MAX((CE820-Driver!$F$200)/(Driver!$G$200-Driver!$F$200)*$BI$1,1)</f>
        <v>6.7387592487194077</v>
      </c>
      <c r="BI820" s="67">
        <f>MAX($BI$1*(BY820-Driver!$F$201)/(Driver!$G$201-Driver!$F$201),1)</f>
        <v>8.7974683544303804</v>
      </c>
      <c r="BJ820" s="67">
        <f>(CB820-Driver!$F$206)/(Driver!$G$206-Driver!$F$206)*$BI$1</f>
        <v>2.3809523809523809</v>
      </c>
      <c r="BK820" s="67">
        <f>(CD820-Driver!$F$203)/(Driver!$G$203-Driver!$F$203)*$BI$1</f>
        <v>2.2935779816513766</v>
      </c>
      <c r="BL820" s="67">
        <f>MAX((CR820-Driver!$F$202)/(Driver!$G$202-Driver!$F$202)*$BI$1,1)</f>
        <v>8.2758620689655178</v>
      </c>
      <c r="BM820" s="67">
        <f>MAX((CH820-Driver!$F$204)/(Driver!$G$204-Driver!$F$204)*$BI$1,1)</f>
        <v>3.6752136752136755</v>
      </c>
      <c r="BN820" s="67">
        <f>(CI820-Driver!$F$205)/(Driver!$G$205-Driver!$F$205)*$BI$1</f>
        <v>3.8235294117647056</v>
      </c>
      <c r="BO820" s="67">
        <f>(CK820-Driver!$F$207)/(Driver!$G$207-Driver!$F$207)*$BI$1</f>
        <v>0.93071354705274045</v>
      </c>
      <c r="BP820" s="67">
        <f>(CM820-Driver!$F$208)/(Driver!$G$208-Driver!$F$208)*$BI$1</f>
        <v>1.0666666666666667</v>
      </c>
      <c r="BQ820" s="67">
        <f>(CL820-Driver!$F$209)/(Driver!$G$209-Driver!$F$209)*$BI$1</f>
        <v>1.09375</v>
      </c>
      <c r="BR820" s="28" t="s">
        <v>155</v>
      </c>
      <c r="BS820" s="8" t="s">
        <v>167</v>
      </c>
      <c r="BT820" s="9" t="s">
        <v>702</v>
      </c>
      <c r="BU820" s="10">
        <v>177</v>
      </c>
      <c r="BV820" s="9" t="s">
        <v>158</v>
      </c>
      <c r="BW820" s="10">
        <v>177</v>
      </c>
      <c r="BX820" s="10">
        <v>176.3</v>
      </c>
      <c r="BY820" s="10">
        <v>147</v>
      </c>
      <c r="BZ820" s="10">
        <v>150</v>
      </c>
      <c r="CA820" s="10">
        <v>126</v>
      </c>
      <c r="CB820" s="10">
        <v>79</v>
      </c>
      <c r="CC820" s="10">
        <v>105</v>
      </c>
      <c r="CD820" s="10">
        <v>14.4</v>
      </c>
      <c r="CE820" s="10">
        <v>2084</v>
      </c>
      <c r="CF820" s="10">
        <v>0.8</v>
      </c>
      <c r="CG820" s="10">
        <v>1669</v>
      </c>
      <c r="CH820" s="10">
        <v>187</v>
      </c>
      <c r="CI820" s="10">
        <v>98</v>
      </c>
      <c r="CJ820" s="10">
        <v>40</v>
      </c>
      <c r="CK820" s="10">
        <v>200</v>
      </c>
      <c r="CL820" s="10">
        <v>7</v>
      </c>
      <c r="CM820" s="10">
        <v>96</v>
      </c>
      <c r="CN820" s="10">
        <v>0.17799999999999999</v>
      </c>
      <c r="CO820" s="10">
        <v>135</v>
      </c>
      <c r="CP820" s="10">
        <v>124</v>
      </c>
      <c r="CQ820" s="10">
        <v>65</v>
      </c>
      <c r="CR820" s="10">
        <v>13</v>
      </c>
      <c r="CS820" s="10">
        <v>11.4</v>
      </c>
      <c r="CT820" s="9" t="s">
        <v>349</v>
      </c>
      <c r="CU820" s="9" t="s">
        <v>231</v>
      </c>
      <c r="CV820" s="10"/>
      <c r="CW820" s="10"/>
      <c r="CX820" t="str">
        <f>INDEX('Data_Price '!AG$2:AG$1266,MATCH(Data!$DN820,'Data_Price '!$AT$2:$AT$1266,0))</f>
        <v>Head Kore 80 X LYT-PR + PRW 11 GW 177cm</v>
      </c>
      <c r="CY820" t="str">
        <f>INDEX('Data_Price '!AH$2:AH$1266,MATCH(Data!$DN820,'Data_Price '!$AT$2:$AT$1266,0))</f>
        <v>Sundance Ski and Board Shop</v>
      </c>
      <c r="CZ820">
        <f>INDEX('Data_Price '!AI$2:AI$1266,MATCH(Data!$DN820,'Data_Price '!$AT$2:$AT$1266,0))</f>
        <v>416.75</v>
      </c>
      <c r="DA820" t="str">
        <f>INDEX('Data_Price '!AJ$2:AJ$1266,MATCH(Data!$DN820,'Data_Price '!$AT$2:$AT$1266,0))</f>
        <v>https://tinyurl.com/yd5wahlc</v>
      </c>
      <c r="DB820" t="str">
        <f>INDEX('Data_Price '!AK$2:AK$1266,MATCH(Data!$DN820,'Data_Price '!$AT$2:$AT$1266,0))</f>
        <v>Head Men's Kore 80 x LYT-PR Alpine Skis with PRW 11 GW Binding</v>
      </c>
      <c r="DC820" t="str">
        <f>INDEX('Data_Price '!AL$2:AL$1266,MATCH(Data!$DN820,'Data_Price '!$AT$2:$AT$1266,0))</f>
        <v>Next Adventure</v>
      </c>
      <c r="DD820">
        <f>INDEX('Data_Price '!AM$2:AM$1266,MATCH(Data!$DN820,'Data_Price '!$AT$2:$AT$1266,0))</f>
        <v>479.2</v>
      </c>
      <c r="DE820" t="str">
        <f>INDEX('Data_Price '!AN$2:AN$1266,MATCH(Data!$DN820,'Data_Price '!$AT$2:$AT$1266,0))</f>
        <v>https://tinyurl.com/ybmfb8vc</v>
      </c>
      <c r="DF820" t="str">
        <f>INDEX('Data_Price '!AO$2:AO$1266,MATCH(Data!$DN820,'Data_Price '!$AT$2:$AT$1266,0))</f>
        <v>Head Men's Kore 80 x LYT-PR Alpine Skis with PRW 11 GW Binding</v>
      </c>
      <c r="DG820" t="str">
        <f>INDEX('Data_Price '!AP$2:AP$1266,MATCH(Data!$DN820,'Data_Price '!$AT$2:$AT$1266,0))</f>
        <v>sunandski.com</v>
      </c>
      <c r="DH820">
        <f>INDEX('Data_Price '!AQ$2:AQ$1266,MATCH(Data!$DN820,'Data_Price '!$AT$2:$AT$1266,0))</f>
        <v>479.93</v>
      </c>
      <c r="DI820" t="str">
        <f>INDEX('Data_Price '!AR$2:AR$1266,MATCH(Data!$DN820,'Data_Price '!$AT$2:$AT$1266,0))</f>
        <v>https://tinyurl.com/y7t9drvq</v>
      </c>
      <c r="DJ820" s="89" t="str">
        <f t="shared" si="476"/>
        <v>https://tinyurl.com/yd5wahlc</v>
      </c>
      <c r="DK820" s="89" t="str">
        <f t="shared" si="477"/>
        <v>https://tinyurl.com/ybmfb8vc</v>
      </c>
      <c r="DL820" s="89" t="str">
        <f t="shared" si="478"/>
        <v>https://tinyurl.com/y7t9drvq</v>
      </c>
      <c r="DM820" s="219" t="str">
        <f t="shared" si="479"/>
        <v>Kore 80 X</v>
      </c>
      <c r="DN820" s="89" t="str">
        <f t="shared" si="480"/>
        <v xml:space="preserve"> HeadKore 80 X177 Unisex</v>
      </c>
      <c r="DO820" s="221"/>
    </row>
    <row r="821" spans="1:119" ht="15.6" customHeight="1">
      <c r="B821" s="219" t="b">
        <f t="array" ref="B821">IF(OR(ISERROR(K821:P821)),FALSE,TRUE)</f>
        <v>1</v>
      </c>
      <c r="C821" s="43" t="b">
        <f>OR(BR821=Driver!$G$50,Data!BR822=Driver!$H$50)</f>
        <v>1</v>
      </c>
      <c r="D821" s="43" t="b">
        <f>OR(BV821=Driver!$G$51,BV821=Driver!$H$51)</f>
        <v>1</v>
      </c>
      <c r="E821" s="43" t="b">
        <f>AND(BX821&gt;Driver!$F$54,BX821&lt;Driver!$G$54)</f>
        <v>0</v>
      </c>
      <c r="F821" s="43" t="b">
        <f>CL821&gt;Driver!$F$56</f>
        <v>1</v>
      </c>
      <c r="G821" s="43" t="b">
        <f>AND(CB821&gt;Driver!$F$55,CB821&lt;Driver!$G$55)</f>
        <v>0</v>
      </c>
      <c r="H821" s="43" t="b">
        <f t="shared" si="444"/>
        <v>0</v>
      </c>
      <c r="I821" s="43">
        <f t="shared" si="445"/>
        <v>0</v>
      </c>
      <c r="J821" s="43" t="b">
        <f t="array" ref="J821">NOT(OR(($H$9:$H$1273=TRUE)*($I$9:$I$1273&gt;0)*($BT$9:$BT$1273=BT821)*($K$9:$K$1273&gt;K821)))</f>
        <v>1</v>
      </c>
      <c r="K821" s="72">
        <f t="shared" si="446"/>
        <v>0.77600952477305074</v>
      </c>
      <c r="L821" s="72">
        <f t="shared" si="447"/>
        <v>0.90289927575476625</v>
      </c>
      <c r="M821" s="72">
        <f t="shared" si="448"/>
        <v>0.64911977379133501</v>
      </c>
      <c r="N821" s="72">
        <f t="shared" si="449"/>
        <v>0.53614042924144301</v>
      </c>
      <c r="O821" s="72">
        <f t="shared" si="450"/>
        <v>0.59707301226162635</v>
      </c>
      <c r="P821" s="72">
        <f t="shared" si="451"/>
        <v>0.81414587987093578</v>
      </c>
      <c r="Q821" s="72"/>
      <c r="R821" s="72"/>
      <c r="S821" s="72">
        <f t="shared" si="452"/>
        <v>0.44826703284037006</v>
      </c>
      <c r="T821" s="72">
        <f t="shared" si="453"/>
        <v>0.58143217825171867</v>
      </c>
      <c r="U821" s="72">
        <f t="shared" si="454"/>
        <v>0.76581884047211457</v>
      </c>
      <c r="V821" s="72">
        <f t="shared" si="455"/>
        <v>0.51806234101528237</v>
      </c>
      <c r="W821" s="72">
        <f t="shared" si="456"/>
        <v>0.81098130841121496</v>
      </c>
      <c r="X821" s="72">
        <f t="shared" si="457"/>
        <v>9.7100724245233694E-2</v>
      </c>
      <c r="Y821" s="72">
        <f t="shared" si="458"/>
        <v>0.35088022620866494</v>
      </c>
      <c r="Z821" s="72">
        <f t="shared" si="459"/>
        <v>0.46385957075855699</v>
      </c>
      <c r="AA821" s="72">
        <f t="shared" si="460"/>
        <v>0.4029269877383736</v>
      </c>
      <c r="AB821" s="72">
        <f t="shared" si="461"/>
        <v>0.18585412012906427</v>
      </c>
      <c r="AC821" s="72"/>
      <c r="AD821" s="72"/>
      <c r="AE821" s="72">
        <f t="shared" si="462"/>
        <v>0.55173296715962994</v>
      </c>
      <c r="AF821" s="72">
        <f t="shared" si="463"/>
        <v>0.41856782174828139</v>
      </c>
      <c r="AG821" s="72">
        <f t="shared" si="464"/>
        <v>0.23418115952788543</v>
      </c>
      <c r="AH821" s="72">
        <f t="shared" si="465"/>
        <v>0.48193765898471763</v>
      </c>
      <c r="AI821" s="72">
        <f t="shared" si="466"/>
        <v>0.18901869158878506</v>
      </c>
      <c r="AJ821" s="72">
        <f>(AV821-Driver!$K$179)/(Driver!$L$179-Driver!$K$179)</f>
        <v>0.15711868503746673</v>
      </c>
      <c r="AK821" s="72">
        <f>(AW821-Driver!$K$180)/(Driver!$L$180-Driver!$K$180)</f>
        <v>0.45537604393960612</v>
      </c>
      <c r="AL821" s="72">
        <f>(AX821-Driver!$K$181)/(Driver!$L$181-Driver!$K$181)</f>
        <v>0.56554733447163719</v>
      </c>
      <c r="AM821" s="72">
        <f>(AY821-Driver!$K$182)/(Driver!$L$182-Driver!$K$182)</f>
        <v>4.4458033358672787E-2</v>
      </c>
      <c r="AN821" s="72">
        <f>(AZ821-Driver!$K$183)/(Driver!$L$183-Driver!$K$183)</f>
        <v>0.4400735294117647</v>
      </c>
      <c r="AO821" s="72"/>
      <c r="AP821" s="72"/>
      <c r="AQ821" s="72">
        <f>(BC821-Driver!$K$188)/(Driver!$L$188-Driver!$K$188)</f>
        <v>6.8267032840370015E-2</v>
      </c>
      <c r="AR821" s="72">
        <f>MIN((BD821-Driver!$K$189)/(Driver!$L$189-Driver!$K$189),100%)</f>
        <v>0.13143217825171866</v>
      </c>
      <c r="AS821" s="72">
        <f>(BE821-Driver!$K$190)/(Driver!$L$190-Driver!$K$190)</f>
        <v>0.27581884047211458</v>
      </c>
      <c r="AT821" s="72">
        <f>(BF821-Driver!$K$191)/(Driver!$L$191-Driver!$K$191)</f>
        <v>2.8062341015282363E-2</v>
      </c>
      <c r="AU821" s="72">
        <f>(BG821-Driver!$K$192)/(Driver!$L$192-Driver!$K$192)</f>
        <v>6.0981308411214942E-2</v>
      </c>
      <c r="AV821" s="70">
        <f t="shared" si="467"/>
        <v>3.3068783068783065</v>
      </c>
      <c r="AW821" s="70">
        <f t="shared" si="468"/>
        <v>46.252323145600542</v>
      </c>
      <c r="AX821" s="70">
        <f t="shared" si="469"/>
        <v>6.089926010244735</v>
      </c>
      <c r="AY821" s="70">
        <f>IFERROR(Driver!$K$19/Data!BH821/Data!BI821*Data!BK821*Data!BL821,"")</f>
        <v>5.4429897827883572E-2</v>
      </c>
      <c r="AZ821" s="70">
        <f t="shared" si="470"/>
        <v>40.107967237527923</v>
      </c>
      <c r="BA821" s="70"/>
      <c r="BB821" s="70"/>
      <c r="BC821" s="70">
        <f t="shared" si="471"/>
        <v>35.410584519012772</v>
      </c>
      <c r="BD821" s="70">
        <f t="shared" si="472"/>
        <v>13.352337775335439</v>
      </c>
      <c r="BE821" s="70">
        <f t="shared" si="473"/>
        <v>0.27594802623996822</v>
      </c>
      <c r="BF821" s="70">
        <f t="shared" si="474"/>
        <v>3.1694442685726489</v>
      </c>
      <c r="BG821" s="70">
        <f t="shared" si="475"/>
        <v>0.23091413551401868</v>
      </c>
      <c r="BH821" s="67">
        <f>MAX((CE821-Driver!$F$200)/(Driver!$G$200-Driver!$F$200)*$BI$1,1)</f>
        <v>6.089926010244735</v>
      </c>
      <c r="BI821" s="67">
        <f>MAX($BI$1*(BY821-Driver!$F$201)/(Driver!$G$201-Driver!$F$201),1)</f>
        <v>8.4177215189873422</v>
      </c>
      <c r="BJ821" s="67">
        <f>(CB821-Driver!$F$206)/(Driver!$G$206-Driver!$F$206)*$BI$1</f>
        <v>4.7619047619047619</v>
      </c>
      <c r="BK821" s="67">
        <f>(CD821-Driver!$F$203)/(Driver!$G$203-Driver!$F$203)*$BI$1</f>
        <v>1.9266055045871557</v>
      </c>
      <c r="BL821" s="67">
        <f>MAX((CR821-Driver!$F$202)/(Driver!$G$202-Driver!$F$202)*$BI$1,1)</f>
        <v>7.2413793103448274</v>
      </c>
      <c r="BM821" s="67">
        <f>MAX((CH821-Driver!$F$204)/(Driver!$G$204-Driver!$F$204)*$BI$1,1)</f>
        <v>2.7777777777777777</v>
      </c>
      <c r="BN821" s="67">
        <f>(CI821-Driver!$F$205)/(Driver!$G$205-Driver!$F$205)*$BI$1</f>
        <v>4.7647058823529411</v>
      </c>
      <c r="BO821" s="67">
        <f>(CK821-Driver!$F$207)/(Driver!$G$207-Driver!$F$207)*$BI$1</f>
        <v>0.74457083764219234</v>
      </c>
      <c r="BP821" s="67">
        <f>(CM821-Driver!$F$208)/(Driver!$G$208-Driver!$F$208)*$BI$1</f>
        <v>1.7222222222222223</v>
      </c>
      <c r="BQ821" s="67">
        <f>(CL821-Driver!$F$209)/(Driver!$G$209-Driver!$F$209)*$BI$1</f>
        <v>3.90625</v>
      </c>
      <c r="BR821" s="28" t="s">
        <v>155</v>
      </c>
      <c r="BS821" s="8" t="s">
        <v>208</v>
      </c>
      <c r="BT821" s="9" t="s">
        <v>633</v>
      </c>
      <c r="BU821" s="10">
        <v>176</v>
      </c>
      <c r="BV821" s="9" t="s">
        <v>158</v>
      </c>
      <c r="BW821" s="10">
        <v>176</v>
      </c>
      <c r="BX821" s="10">
        <v>175</v>
      </c>
      <c r="BY821" s="10">
        <v>141</v>
      </c>
      <c r="BZ821" s="10">
        <v>160</v>
      </c>
      <c r="CA821" s="10">
        <v>154</v>
      </c>
      <c r="CB821" s="10">
        <v>94</v>
      </c>
      <c r="CC821" s="10">
        <v>124</v>
      </c>
      <c r="CD821" s="10">
        <v>13.6</v>
      </c>
      <c r="CE821" s="10">
        <v>1970</v>
      </c>
      <c r="CF821" s="10">
        <v>1</v>
      </c>
      <c r="CG821" s="10">
        <v>1975</v>
      </c>
      <c r="CH821" s="10">
        <v>166</v>
      </c>
      <c r="CI821" s="10">
        <v>114</v>
      </c>
      <c r="CJ821" s="10">
        <v>34</v>
      </c>
      <c r="CK821" s="10">
        <v>182</v>
      </c>
      <c r="CL821" s="10">
        <v>25</v>
      </c>
      <c r="CM821" s="10">
        <v>155</v>
      </c>
      <c r="CN821" s="10">
        <v>0.73699999999999999</v>
      </c>
      <c r="CO821" s="10">
        <v>130</v>
      </c>
      <c r="CP821" s="10">
        <v>22</v>
      </c>
      <c r="CQ821" s="10">
        <v>52</v>
      </c>
      <c r="CR821" s="10">
        <v>10</v>
      </c>
      <c r="CS821" s="10">
        <v>6.7</v>
      </c>
      <c r="CT821" s="9" t="s">
        <v>188</v>
      </c>
      <c r="CU821" s="10"/>
      <c r="CV821" s="10"/>
      <c r="CW821" s="10"/>
      <c r="CX821" t="str">
        <f>INDEX('Data_Price '!AG$2:AG$1266,MATCH(Data!$DN821,'Data_Price '!$AT$2:$AT$1266,0))</f>
        <v>Line Blade Skis</v>
      </c>
      <c r="CY821" t="str">
        <f>INDEX('Data_Price '!AH$2:AH$1266,MATCH(Data!$DN821,'Data_Price '!$AT$2:$AT$1266,0))</f>
        <v>BobWards.com</v>
      </c>
      <c r="CZ821">
        <f>INDEX('Data_Price '!AI$2:AI$1266,MATCH(Data!$DN821,'Data_Price '!$AT$2:$AT$1266,0))</f>
        <v>540</v>
      </c>
      <c r="DA821" t="str">
        <f>INDEX('Data_Price '!AJ$2:AJ$1266,MATCH(Data!$DN821,'Data_Price '!$AT$2:$AT$1266,0))</f>
        <v>https://tinyurl.com/y8goyq5u</v>
      </c>
      <c r="DB821" t="str">
        <f>INDEX('Data_Price '!AK$2:AK$1266,MATCH(Data!$DN821,'Data_Price '!$AT$2:$AT$1266,0))</f>
        <v>Line Blade Skis</v>
      </c>
      <c r="DC821" t="str">
        <f>INDEX('Data_Price '!AL$2:AL$1266,MATCH(Data!$DN821,'Data_Price '!$AT$2:$AT$1266,0))</f>
        <v>Suburban Ski and Bike</v>
      </c>
      <c r="DD821">
        <f>INDEX('Data_Price '!AM$2:AM$1266,MATCH(Data!$DN821,'Data_Price '!$AT$2:$AT$1266,0))</f>
        <v>562.46</v>
      </c>
      <c r="DE821" t="str">
        <f>INDEX('Data_Price '!AN$2:AN$1266,MATCH(Data!$DN821,'Data_Price '!$AT$2:$AT$1266,0))</f>
        <v>https://tinyurl.com/yd6u8pee</v>
      </c>
      <c r="DF821" t="str">
        <f>INDEX('Data_Price '!AO$2:AO$1266,MATCH(Data!$DN821,'Data_Price '!$AT$2:$AT$1266,0))</f>
        <v>Line Blade Skis</v>
      </c>
      <c r="DG821" t="str">
        <f>INDEX('Data_Price '!AP$2:AP$1266,MATCH(Data!$DN821,'Data_Price '!$AT$2:$AT$1266,0))</f>
        <v>Aistriu</v>
      </c>
      <c r="DH821">
        <f>INDEX('Data_Price '!AQ$2:AQ$1266,MATCH(Data!$DN821,'Data_Price '!$AT$2:$AT$1266,0))</f>
        <v>749</v>
      </c>
      <c r="DI821" t="str">
        <f>INDEX('Data_Price '!AR$2:AR$1266,MATCH(Data!$DN821,'Data_Price '!$AT$2:$AT$1266,0))</f>
        <v>https://tinyurl.com/ycnkmejx</v>
      </c>
      <c r="DJ821" s="89" t="str">
        <f t="shared" si="476"/>
        <v>https://tinyurl.com/y8goyq5u</v>
      </c>
      <c r="DK821" s="89" t="str">
        <f t="shared" si="477"/>
        <v>https://tinyurl.com/yd6u8pee</v>
      </c>
      <c r="DL821" s="89" t="str">
        <f t="shared" si="478"/>
        <v>https://tinyurl.com/ycnkmejx</v>
      </c>
      <c r="DM821" s="219" t="str">
        <f t="shared" si="479"/>
        <v>Blade</v>
      </c>
      <c r="DN821" s="89" t="str">
        <f t="shared" si="480"/>
        <v xml:space="preserve"> LineBlade176 Unisex</v>
      </c>
      <c r="DO821" s="221" t="s">
        <v>634</v>
      </c>
    </row>
    <row r="822" spans="1:119" ht="15.6" customHeight="1">
      <c r="B822" s="219" t="b">
        <f t="array" ref="B822">IF(OR(ISERROR(K822:P822)),FALSE,TRUE)</f>
        <v>1</v>
      </c>
      <c r="C822" s="43" t="b">
        <f>OR(BR822=Driver!$G$50,Data!BR1048=Driver!$H$50)</f>
        <v>1</v>
      </c>
      <c r="D822" s="43" t="b">
        <f>OR(BV822=Driver!$G$51,BV822=Driver!$H$51)</f>
        <v>0</v>
      </c>
      <c r="E822" s="43" t="b">
        <f>AND(BX822&gt;Driver!$F$54,BX822&lt;Driver!$G$54)</f>
        <v>1</v>
      </c>
      <c r="F822" s="43" t="b">
        <f>CL822&gt;Driver!$F$56</f>
        <v>1</v>
      </c>
      <c r="G822" s="43" t="b">
        <f>AND(CB822&gt;Driver!$F$55,CB822&lt;Driver!$G$55)</f>
        <v>0</v>
      </c>
      <c r="H822" s="43" t="b">
        <f t="shared" si="444"/>
        <v>0</v>
      </c>
      <c r="I822" s="43">
        <f t="shared" si="445"/>
        <v>0</v>
      </c>
      <c r="J822" s="43" t="b">
        <f t="array" ref="J822">NOT(OR(($H$9:$H$1273=TRUE)*($I$9:$I$1273&gt;0)*($BT$9:$BT$1273=BT822)*($K$9:$K$1273&gt;K822)))</f>
        <v>1</v>
      </c>
      <c r="K822" s="72">
        <f t="shared" si="446"/>
        <v>0.76970432961847812</v>
      </c>
      <c r="L822" s="72">
        <f t="shared" si="447"/>
        <v>0.78606743303459869</v>
      </c>
      <c r="M822" s="72">
        <f t="shared" si="448"/>
        <v>0.75334122620235755</v>
      </c>
      <c r="N822" s="72">
        <f t="shared" si="449"/>
        <v>0.80427424319199003</v>
      </c>
      <c r="O822" s="72">
        <f t="shared" si="450"/>
        <v>0.6136453152860184</v>
      </c>
      <c r="P822" s="72">
        <f t="shared" si="451"/>
        <v>0.84210412012906422</v>
      </c>
      <c r="Q822" s="72"/>
      <c r="R822" s="72"/>
      <c r="S822" s="72">
        <f t="shared" si="452"/>
        <v>0.40218359897795308</v>
      </c>
      <c r="T822" s="72">
        <f t="shared" si="453"/>
        <v>0.66411980260651593</v>
      </c>
      <c r="U822" s="72">
        <f t="shared" si="454"/>
        <v>0.51</v>
      </c>
      <c r="V822" s="72">
        <f t="shared" si="455"/>
        <v>0.49263831826172155</v>
      </c>
      <c r="W822" s="72">
        <f t="shared" si="456"/>
        <v>0.77626160990712068</v>
      </c>
      <c r="X822" s="72">
        <f t="shared" si="457"/>
        <v>0.21393256696540125</v>
      </c>
      <c r="Y822" s="72">
        <f t="shared" si="458"/>
        <v>0.24665877379764245</v>
      </c>
      <c r="Z822" s="72">
        <f t="shared" si="459"/>
        <v>0.19572575680801002</v>
      </c>
      <c r="AA822" s="72">
        <f t="shared" si="460"/>
        <v>0.38635468471398154</v>
      </c>
      <c r="AB822" s="72">
        <f t="shared" si="461"/>
        <v>0.15789587987093573</v>
      </c>
      <c r="AC822" s="72"/>
      <c r="AD822" s="72"/>
      <c r="AE822" s="72">
        <f t="shared" si="462"/>
        <v>0.59781640102204692</v>
      </c>
      <c r="AF822" s="72">
        <f t="shared" si="463"/>
        <v>0.33588019739348407</v>
      </c>
      <c r="AG822" s="72">
        <f t="shared" si="464"/>
        <v>0.49</v>
      </c>
      <c r="AH822" s="72">
        <f t="shared" si="465"/>
        <v>0.50736168173827845</v>
      </c>
      <c r="AI822" s="72">
        <f t="shared" si="466"/>
        <v>0.22373839009287927</v>
      </c>
      <c r="AJ822" s="72">
        <f>(AV822-Driver!$K$179)/(Driver!$L$179-Driver!$K$179)</f>
        <v>4.0286842317299162E-2</v>
      </c>
      <c r="AK822" s="72">
        <f>(AW822-Driver!$K$180)/(Driver!$L$180-Driver!$K$180)</f>
        <v>0.10936308530138927</v>
      </c>
      <c r="AL822" s="72">
        <f>(AX822-Driver!$K$181)/(Driver!$L$181-Driver!$K$181)</f>
        <v>0.29741352052109021</v>
      </c>
      <c r="AM822" s="72">
        <f>(AY822-Driver!$K$182)/(Driver!$L$182-Driver!$K$182)</f>
        <v>6.1030336383064841E-2</v>
      </c>
      <c r="AN822" s="72">
        <f>(AZ822-Driver!$K$183)/(Driver!$L$183-Driver!$K$183)</f>
        <v>9.6323529411764711E-2</v>
      </c>
      <c r="AO822" s="72"/>
      <c r="AP822" s="72"/>
      <c r="AQ822" s="72">
        <f>(BC822-Driver!$K$188)/(Driver!$L$188-Driver!$K$188)</f>
        <v>2.2183598977953037E-2</v>
      </c>
      <c r="AR822" s="72">
        <f>MIN((BD822-Driver!$K$189)/(Driver!$L$189-Driver!$K$189),100%)</f>
        <v>0.21411980260651597</v>
      </c>
      <c r="AS822" s="72">
        <f>(BE822-Driver!$K$190)/(Driver!$L$190-Driver!$K$190)</f>
        <v>1</v>
      </c>
      <c r="AT822" s="72">
        <f>(BF822-Driver!$K$191)/(Driver!$L$191-Driver!$K$191)</f>
        <v>2.6383182617215374E-3</v>
      </c>
      <c r="AU822" s="72">
        <f>(BG822-Driver!$K$192)/(Driver!$L$192-Driver!$K$192)</f>
        <v>2.6261609907120738E-2</v>
      </c>
      <c r="AV822" s="70">
        <f t="shared" si="467"/>
        <v>0.84791751458418119</v>
      </c>
      <c r="AW822" s="70">
        <f t="shared" si="468"/>
        <v>12.530294339594821</v>
      </c>
      <c r="AX822" s="70">
        <f t="shared" si="469"/>
        <v>3.6767216846898121</v>
      </c>
      <c r="AY822" s="70">
        <f>IFERROR(Driver!$K$19/Data!BH822/Data!BI822*Data!BK822*Data!BL822,"")</f>
        <v>7.4719341427718813E-2</v>
      </c>
      <c r="AZ822" s="70">
        <f t="shared" si="470"/>
        <v>8.7788533134772901</v>
      </c>
      <c r="BA822" s="70"/>
      <c r="BB822" s="70"/>
      <c r="BC822" s="70">
        <f t="shared" si="471"/>
        <v>11.50678700774237</v>
      </c>
      <c r="BD822" s="70">
        <f t="shared" si="472"/>
        <v>20.670046016934325</v>
      </c>
      <c r="BE822" s="70">
        <f t="shared" si="473"/>
        <v>1</v>
      </c>
      <c r="BF822" s="70">
        <f t="shared" si="474"/>
        <v>0.29797951242663789</v>
      </c>
      <c r="BG822" s="70">
        <f t="shared" si="475"/>
        <v>9.944320820433436E-2</v>
      </c>
      <c r="BH822" s="67">
        <f>MAX((CE822-Driver!$F$200)/(Driver!$G$200-Driver!$F$200)*$BI$1,1)</f>
        <v>3.6767216846898121</v>
      </c>
      <c r="BI822" s="67">
        <f>MAX($BI$1*(BY822-Driver!$F$201)/(Driver!$G$201-Driver!$F$201),1)</f>
        <v>8.2911392405063289</v>
      </c>
      <c r="BJ822" s="67">
        <f>(CB822-Driver!$F$206)/(Driver!$G$206-Driver!$F$206)*$BI$1</f>
        <v>1.5873015873015872</v>
      </c>
      <c r="BK822" s="67">
        <f>(CD822-Driver!$F$203)/(Driver!$G$203-Driver!$F$203)*$BI$1</f>
        <v>1.6513761467889909</v>
      </c>
      <c r="BL822" s="67">
        <f>MAX((CR822-Driver!$F$202)/(Driver!$G$202-Driver!$F$202)*$BI$1,1)</f>
        <v>6.8965517241379315</v>
      </c>
      <c r="BM822" s="67">
        <f>MAX((CH822-Driver!$F$204)/(Driver!$G$204-Driver!$F$204)*$BI$1,1)</f>
        <v>2.1367521367521367</v>
      </c>
      <c r="BN822" s="67">
        <f>(CI822-Driver!$F$205)/(Driver!$G$205-Driver!$F$205)*$BI$1</f>
        <v>1.0588235294117647</v>
      </c>
      <c r="BO822" s="67">
        <f>(CK822-Driver!$F$207)/(Driver!$G$207-Driver!$F$207)*$BI$1</f>
        <v>0.39296794208893482</v>
      </c>
      <c r="BP822" s="67">
        <f>(CM822-Driver!$F$208)/(Driver!$G$208-Driver!$F$208)*$BI$1</f>
        <v>0.78888888888888886</v>
      </c>
      <c r="BQ822" s="67">
        <f>(CL822-Driver!$F$209)/(Driver!$G$209-Driver!$F$209)*$BI$1</f>
        <v>0.78125</v>
      </c>
      <c r="BR822" s="28" t="s">
        <v>155</v>
      </c>
      <c r="BS822" s="8" t="s">
        <v>172</v>
      </c>
      <c r="BT822" s="9" t="s">
        <v>770</v>
      </c>
      <c r="BU822" s="10">
        <v>160</v>
      </c>
      <c r="BV822" s="9" t="s">
        <v>163</v>
      </c>
      <c r="BW822" s="10">
        <v>160</v>
      </c>
      <c r="BX822" s="10">
        <v>160.5</v>
      </c>
      <c r="BY822" s="10">
        <v>139</v>
      </c>
      <c r="BZ822" s="10">
        <v>145</v>
      </c>
      <c r="CA822" s="10">
        <v>121</v>
      </c>
      <c r="CB822" s="10">
        <v>74</v>
      </c>
      <c r="CC822" s="10">
        <v>107</v>
      </c>
      <c r="CD822" s="10">
        <v>13</v>
      </c>
      <c r="CE822" s="10">
        <v>1546</v>
      </c>
      <c r="CF822" s="10">
        <v>0.92</v>
      </c>
      <c r="CG822" s="10">
        <v>1427</v>
      </c>
      <c r="CH822" s="10">
        <v>151</v>
      </c>
      <c r="CI822" s="10">
        <v>51</v>
      </c>
      <c r="CJ822" s="10">
        <v>38</v>
      </c>
      <c r="CK822" s="10">
        <v>148</v>
      </c>
      <c r="CL822" s="10">
        <v>5</v>
      </c>
      <c r="CM822" s="10">
        <v>71</v>
      </c>
      <c r="CN822" s="10">
        <v>0.13900000000000001</v>
      </c>
      <c r="CO822" s="10">
        <v>81</v>
      </c>
      <c r="CP822" s="10">
        <v>79</v>
      </c>
      <c r="CQ822" s="10">
        <v>67</v>
      </c>
      <c r="CR822" s="10">
        <v>9</v>
      </c>
      <c r="CS822" s="10">
        <v>8.5</v>
      </c>
      <c r="CT822" s="9" t="s">
        <v>349</v>
      </c>
      <c r="CU822" s="10"/>
      <c r="CV822" s="10"/>
      <c r="CW822" s="10"/>
      <c r="CX822" t="str">
        <f>INDEX('Data_Price '!AG$2:AG$1266,MATCH(Data!$DN822,'Data_Price '!$AT$2:$AT$1266,0))</f>
        <v>Rossignol Nova 10 Ti Xpress W 11 GW Women's Skis, 160cm Black Sparkle 2020</v>
      </c>
      <c r="CY822" t="str">
        <f>INDEX('Data_Price '!AH$2:AH$1266,MATCH(Data!$DN822,'Data_Price '!$AT$2:$AT$1266,0))</f>
        <v>Absolute-Snow.co.uk</v>
      </c>
      <c r="CZ822">
        <f>INDEX('Data_Price '!AI$2:AI$1266,MATCH(Data!$DN822,'Data_Price '!$AT$2:$AT$1266,0))</f>
        <v>520.66999999999996</v>
      </c>
      <c r="DA822" t="str">
        <f>INDEX('Data_Price '!AJ$2:AJ$1266,MATCH(Data!$DN822,'Data_Price '!$AT$2:$AT$1266,0))</f>
        <v>https://tinyurl.com/y9tqs89y</v>
      </c>
      <c r="DB822" t="str">
        <f>INDEX('Data_Price '!AK$2:AK$1266,MATCH(Data!$DN822,'Data_Price '!$AT$2:$AT$1266,0))</f>
        <v xml:space="preserve"> Rossignol Axium 160 Cm Mens Downhill Skis</v>
      </c>
      <c r="DC822" t="str">
        <f>INDEX('Data_Price '!AL$2:AL$1266,MATCH(Data!$DN822,'Data_Price '!$AT$2:$AT$1266,0))</f>
        <v>SidelineSwap</v>
      </c>
      <c r="DD822">
        <f>INDEX('Data_Price '!AM$2:AM$1266,MATCH(Data!$DN822,'Data_Price '!$AT$2:$AT$1266,0))</f>
        <v>14.99</v>
      </c>
      <c r="DE822" t="str">
        <f>INDEX('Data_Price '!AN$2:AN$1266,MATCH(Data!$DN822,'Data_Price '!$AT$2:$AT$1266,0))</f>
        <v>https://tinyurl.com/y89z3ydq</v>
      </c>
      <c r="DF822" t="str">
        <f>INDEX('Data_Price '!AO$2:AO$1266,MATCH(Data!$DN822,'Data_Price '!$AT$2:$AT$1266,0))</f>
        <v>Rossignol Experience 76 Skis w/ Look Xpress 10 GW Bindings</v>
      </c>
      <c r="DG822" t="str">
        <f>INDEX('Data_Price '!AP$2:AP$1266,MATCH(Data!$DN822,'Data_Price '!$AT$2:$AT$1266,0))</f>
        <v>The-House.com</v>
      </c>
      <c r="DH822">
        <f>INDEX('Data_Price '!AQ$2:AQ$1266,MATCH(Data!$DN822,'Data_Price '!$AT$2:$AT$1266,0))</f>
        <v>319.95</v>
      </c>
      <c r="DI822" t="str">
        <f>INDEX('Data_Price '!AR$2:AR$1266,MATCH(Data!$DN822,'Data_Price '!$AT$2:$AT$1266,0))</f>
        <v>https://tinyurl.com/y86w6uvt</v>
      </c>
      <c r="DJ822" s="89" t="str">
        <f t="shared" si="476"/>
        <v>https://tinyurl.com/y9tqs89y</v>
      </c>
      <c r="DK822" s="89" t="str">
        <f t="shared" si="477"/>
        <v>https://tinyurl.com/y89z3ydq</v>
      </c>
      <c r="DL822" s="89" t="str">
        <f t="shared" si="478"/>
        <v>https://tinyurl.com/y86w6uvt</v>
      </c>
      <c r="DM822" s="219" t="str">
        <f t="shared" si="479"/>
        <v>Nova 2</v>
      </c>
      <c r="DN822" s="89" t="str">
        <f t="shared" si="480"/>
        <v xml:space="preserve"> RossignolNova 2160 Women's</v>
      </c>
      <c r="DO822" s="221" t="s">
        <v>771</v>
      </c>
    </row>
    <row r="823" spans="1:119" ht="15.6" customHeight="1">
      <c r="B823" s="219" t="b">
        <f t="array" ref="B823">IF(OR(ISERROR(K823:P823)),FALSE,TRUE)</f>
        <v>1</v>
      </c>
      <c r="C823" s="43" t="b">
        <f>OR(BR823=Driver!$G$50,Data!BR53=Driver!$H$50)</f>
        <v>1</v>
      </c>
      <c r="D823" s="43" t="b">
        <f>OR(BV823=Driver!$G$51,BV823=Driver!$H$51)</f>
        <v>0</v>
      </c>
      <c r="E823" s="43" t="b">
        <f>AND(BX823&gt;Driver!$F$54,BX823&lt;Driver!$G$54)</f>
        <v>1</v>
      </c>
      <c r="F823" s="43" t="b">
        <f>CL823&gt;Driver!$F$56</f>
        <v>1</v>
      </c>
      <c r="G823" s="43" t="b">
        <f>AND(CB823&gt;Driver!$F$55,CB823&lt;Driver!$G$55)</f>
        <v>0</v>
      </c>
      <c r="H823" s="43" t="b">
        <f t="shared" si="444"/>
        <v>0</v>
      </c>
      <c r="I823" s="43">
        <f t="shared" si="445"/>
        <v>0</v>
      </c>
      <c r="J823" s="43" t="b">
        <f t="array" ref="J823">NOT(OR(($H$9:$H$1273=TRUE)*($I$9:$I$1273&gt;0)*($BT$9:$BT$1273=BT823)*($K$9:$K$1273&gt;K823)))</f>
        <v>1</v>
      </c>
      <c r="K823" s="72">
        <f t="shared" si="446"/>
        <v>0.81739301319089286</v>
      </c>
      <c r="L823" s="72">
        <f t="shared" si="447"/>
        <v>0.8050022489237294</v>
      </c>
      <c r="M823" s="72">
        <f t="shared" si="448"/>
        <v>0.82978377745805632</v>
      </c>
      <c r="N823" s="72">
        <f t="shared" si="449"/>
        <v>0.85296835563112228</v>
      </c>
      <c r="O823" s="72">
        <f t="shared" si="450"/>
        <v>0.71535728798653131</v>
      </c>
      <c r="P823" s="72">
        <f t="shared" si="451"/>
        <v>0.92102568875651525</v>
      </c>
      <c r="Q823" s="72"/>
      <c r="R823" s="72"/>
      <c r="S823" s="72">
        <f t="shared" si="452"/>
        <v>0.43492773587359679</v>
      </c>
      <c r="T823" s="72">
        <f t="shared" si="453"/>
        <v>0.46532567045956297</v>
      </c>
      <c r="U823" s="72">
        <f t="shared" si="454"/>
        <v>0.72890894519531801</v>
      </c>
      <c r="V823" s="72">
        <f t="shared" si="455"/>
        <v>0.50337362009087838</v>
      </c>
      <c r="W823" s="72">
        <f t="shared" si="456"/>
        <v>0.9177705247301029</v>
      </c>
      <c r="X823" s="72">
        <f t="shared" si="457"/>
        <v>0.19499775107627065</v>
      </c>
      <c r="Y823" s="72">
        <f t="shared" si="458"/>
        <v>0.17021622254194368</v>
      </c>
      <c r="Z823" s="72">
        <f t="shared" si="459"/>
        <v>0.14703164436887767</v>
      </c>
      <c r="AA823" s="72">
        <f t="shared" si="460"/>
        <v>0.28464271201346869</v>
      </c>
      <c r="AB823" s="72">
        <f t="shared" si="461"/>
        <v>7.8974311243484752E-2</v>
      </c>
      <c r="AC823" s="72"/>
      <c r="AD823" s="72"/>
      <c r="AE823" s="72">
        <f t="shared" si="462"/>
        <v>0.56507226412640321</v>
      </c>
      <c r="AF823" s="72">
        <f t="shared" si="463"/>
        <v>0.53467432954043703</v>
      </c>
      <c r="AG823" s="72">
        <f t="shared" si="464"/>
        <v>0.27109105480468199</v>
      </c>
      <c r="AH823" s="72">
        <f t="shared" si="465"/>
        <v>0.49662637990912162</v>
      </c>
      <c r="AI823" s="72">
        <f t="shared" si="466"/>
        <v>8.2229475269897045E-2</v>
      </c>
      <c r="AJ823" s="72">
        <f>(AV823-Driver!$K$179)/(Driver!$L$179-Driver!$K$179)</f>
        <v>5.9221658206429773E-2</v>
      </c>
      <c r="AK823" s="72">
        <f>(AW823-Driver!$K$180)/(Driver!$L$180-Driver!$K$180)</f>
        <v>0.17994805367886843</v>
      </c>
      <c r="AL823" s="72">
        <f>(AX823-Driver!$K$181)/(Driver!$L$181-Driver!$K$181)</f>
        <v>0.24871940808195786</v>
      </c>
      <c r="AM823" s="72">
        <f>(AY823-Driver!$K$182)/(Driver!$L$182-Driver!$K$182)</f>
        <v>0.16274230908357765</v>
      </c>
      <c r="AN823" s="72">
        <f>(AZ823-Driver!$K$183)/(Driver!$L$183-Driver!$K$183)</f>
        <v>0.17524509803921567</v>
      </c>
      <c r="AO823" s="72"/>
      <c r="AP823" s="72"/>
      <c r="AQ823" s="72">
        <f>(BC823-Driver!$K$188)/(Driver!$L$188-Driver!$K$188)</f>
        <v>5.492773587359677E-2</v>
      </c>
      <c r="AR823" s="72">
        <f>MIN((BD823-Driver!$K$189)/(Driver!$L$189-Driver!$K$189),100%)</f>
        <v>1.5325670459563009E-2</v>
      </c>
      <c r="AS823" s="72">
        <f>(BE823-Driver!$K$190)/(Driver!$L$190-Driver!$K$190)</f>
        <v>0.23890894519531802</v>
      </c>
      <c r="AT823" s="72">
        <f>(BF823-Driver!$K$191)/(Driver!$L$191-Driver!$K$191)</f>
        <v>1.3373620090878417E-2</v>
      </c>
      <c r="AU823" s="72">
        <f>(BG823-Driver!$K$192)/(Driver!$L$192-Driver!$K$192)</f>
        <v>0.33222947526989705</v>
      </c>
      <c r="AV823" s="70">
        <f t="shared" si="467"/>
        <v>1.2464387464387463</v>
      </c>
      <c r="AW823" s="70">
        <f t="shared" si="468"/>
        <v>19.40942495442566</v>
      </c>
      <c r="AX823" s="70">
        <f t="shared" si="469"/>
        <v>3.2384746727376208</v>
      </c>
      <c r="AY823" s="70">
        <f>IFERROR(Driver!$K$19/Data!BH823/Data!BI823*Data!BK823*Data!BL823,"")</f>
        <v>0.1992451439367362</v>
      </c>
      <c r="AZ823" s="70">
        <f t="shared" si="470"/>
        <v>15.971705137751302</v>
      </c>
      <c r="BA823" s="70"/>
      <c r="BB823" s="70"/>
      <c r="BC823" s="70">
        <f t="shared" si="471"/>
        <v>28.491398449059439</v>
      </c>
      <c r="BD823" s="70">
        <f t="shared" si="472"/>
        <v>3.0771175642878732</v>
      </c>
      <c r="BE823" s="70">
        <f t="shared" si="473"/>
        <v>0.23904471527305046</v>
      </c>
      <c r="BF823" s="70">
        <f t="shared" si="474"/>
        <v>1.5104564342660964</v>
      </c>
      <c r="BG823" s="70">
        <f t="shared" si="475"/>
        <v>1.258032732864675</v>
      </c>
      <c r="BH823" s="67">
        <f>MAX((CE823-Driver!$F$200)/(Driver!$G$200-Driver!$F$200)*$BI$1,1)</f>
        <v>3.2384746727376208</v>
      </c>
      <c r="BI823" s="67">
        <f>MAX($BI$1*(BY823-Driver!$F$201)/(Driver!$G$201-Driver!$F$201),1)</f>
        <v>6.962025316455696</v>
      </c>
      <c r="BJ823" s="67">
        <f>(CB823-Driver!$F$206)/(Driver!$G$206-Driver!$F$206)*$BI$1</f>
        <v>3.333333333333333</v>
      </c>
      <c r="BK823" s="67">
        <f>(CD823-Driver!$F$203)/(Driver!$G$203-Driver!$F$203)*$BI$1</f>
        <v>3.2568807339449544</v>
      </c>
      <c r="BL823" s="67">
        <f>MAX((CR823-Driver!$F$202)/(Driver!$G$202-Driver!$F$202)*$BI$1,1)</f>
        <v>6.8965517241379315</v>
      </c>
      <c r="BM823" s="67">
        <f>MAX((CH823-Driver!$F$204)/(Driver!$G$204-Driver!$F$204)*$BI$1,1)</f>
        <v>1.4957264957264957</v>
      </c>
      <c r="BN823" s="67">
        <f>(CI823-Driver!$F$205)/(Driver!$G$205-Driver!$F$205)*$BI$1</f>
        <v>2.2941176470588234</v>
      </c>
      <c r="BO823" s="67">
        <f>(CK823-Driver!$F$207)/(Driver!$G$207-Driver!$F$207)*$BI$1</f>
        <v>0.78593588417786964</v>
      </c>
      <c r="BP823" s="67">
        <f>(CM823-Driver!$F$208)/(Driver!$G$208-Driver!$F$208)*$BI$1</f>
        <v>1.8777777777777778</v>
      </c>
      <c r="BQ823" s="67">
        <f>(CL823-Driver!$F$209)/(Driver!$G$209-Driver!$F$209)*$BI$1</f>
        <v>6.09375</v>
      </c>
      <c r="BR823" s="28" t="s">
        <v>155</v>
      </c>
      <c r="BS823" s="8" t="s">
        <v>182</v>
      </c>
      <c r="BT823" s="9" t="s">
        <v>235</v>
      </c>
      <c r="BU823" s="10">
        <v>156</v>
      </c>
      <c r="BV823" s="9" t="s">
        <v>163</v>
      </c>
      <c r="BW823" s="10">
        <v>156</v>
      </c>
      <c r="BX823" s="10">
        <v>154</v>
      </c>
      <c r="BY823" s="10">
        <v>118</v>
      </c>
      <c r="BZ823" s="10">
        <v>132</v>
      </c>
      <c r="CA823" s="10">
        <v>111</v>
      </c>
      <c r="CB823" s="10">
        <v>85</v>
      </c>
      <c r="CC823" s="10">
        <v>106</v>
      </c>
      <c r="CD823" s="10">
        <v>16.5</v>
      </c>
      <c r="CE823" s="10">
        <v>1469</v>
      </c>
      <c r="CF823" s="10">
        <v>0.99</v>
      </c>
      <c r="CG823" s="10">
        <v>1455</v>
      </c>
      <c r="CH823" s="10">
        <v>136</v>
      </c>
      <c r="CI823" s="10">
        <v>72</v>
      </c>
      <c r="CJ823" s="10">
        <v>44</v>
      </c>
      <c r="CK823" s="10">
        <v>186</v>
      </c>
      <c r="CL823" s="10">
        <v>39</v>
      </c>
      <c r="CM823" s="10">
        <v>169</v>
      </c>
      <c r="CN823" s="10">
        <v>0.87</v>
      </c>
      <c r="CO823" s="10">
        <v>110</v>
      </c>
      <c r="CP823" s="10">
        <v>106</v>
      </c>
      <c r="CQ823" s="10">
        <v>76</v>
      </c>
      <c r="CR823" s="10">
        <v>9</v>
      </c>
      <c r="CS823" s="10">
        <v>4.2</v>
      </c>
      <c r="CT823" s="9" t="s">
        <v>184</v>
      </c>
      <c r="CU823" s="10"/>
      <c r="CV823" s="10"/>
      <c r="CW823" s="10"/>
      <c r="CX823" t="str">
        <f>INDEX('Data_Price '!AG$2:AG$1266,MATCH(Data!$DN823,'Data_Price '!$AT$2:$AT$1266,0))</f>
        <v>Armada ARW 86 Skis Women's Â· 2022 Â· 156 cm</v>
      </c>
      <c r="CY823" t="str">
        <f>INDEX('Data_Price '!AH$2:AH$1266,MATCH(Data!$DN823,'Data_Price '!$AT$2:$AT$1266,0))</f>
        <v>evo.com</v>
      </c>
      <c r="CZ823">
        <f>INDEX('Data_Price '!AI$2:AI$1266,MATCH(Data!$DN823,'Data_Price '!$AT$2:$AT$1266,0))</f>
        <v>319.95999999999998</v>
      </c>
      <c r="DA823" t="str">
        <f>INDEX('Data_Price '!AJ$2:AJ$1266,MATCH(Data!$DN823,'Data_Price '!$AT$2:$AT$1266,0))</f>
        <v>https://tinyurl.com/ybz6ov2z</v>
      </c>
      <c r="DB823" t="str">
        <f>INDEX('Data_Price '!AK$2:AK$1266,MATCH(Data!$DN823,'Data_Price '!$AT$2:$AT$1266,0))</f>
        <v>Armada ARW 86 Skis Women's Â· 2022 Â· 156 cm</v>
      </c>
      <c r="DC823" t="str">
        <f>INDEX('Data_Price '!AL$2:AL$1266,MATCH(Data!$DN823,'Data_Price '!$AT$2:$AT$1266,0))</f>
        <v>Powder7 Ski Shop</v>
      </c>
      <c r="DD823">
        <f>INDEX('Data_Price '!AM$2:AM$1266,MATCH(Data!$DN823,'Data_Price '!$AT$2:$AT$1266,0))</f>
        <v>379.95</v>
      </c>
      <c r="DE823" t="str">
        <f>INDEX('Data_Price '!AN$2:AN$1266,MATCH(Data!$DN823,'Data_Price '!$AT$2:$AT$1266,0))</f>
        <v>https://tinyurl.com/ya5p5p35</v>
      </c>
      <c r="DF823" t="str">
        <f>INDEX('Data_Price '!AO$2:AO$1266,MATCH(Data!$DN823,'Data_Price '!$AT$2:$AT$1266,0))</f>
        <v>Armada Tantrum Skis 156cm 2022</v>
      </c>
      <c r="DG823" t="str">
        <f>INDEX('Data_Price '!AP$2:AP$1266,MATCH(Data!$DN823,'Data_Price '!$AT$2:$AT$1266,0))</f>
        <v>PRFO Sports</v>
      </c>
      <c r="DH823">
        <f>INDEX('Data_Price '!AQ$2:AQ$1266,MATCH(Data!$DN823,'Data_Price '!$AT$2:$AT$1266,0))</f>
        <v>287.70999999999998</v>
      </c>
      <c r="DI823" t="str">
        <f>INDEX('Data_Price '!AR$2:AR$1266,MATCH(Data!$DN823,'Data_Price '!$AT$2:$AT$1266,0))</f>
        <v>https://tinyurl.com/y853wbzy</v>
      </c>
      <c r="DJ823" s="89" t="str">
        <f t="shared" si="476"/>
        <v>https://tinyurl.com/ybz6ov2z</v>
      </c>
      <c r="DK823" s="89" t="str">
        <f t="shared" si="477"/>
        <v>https://tinyurl.com/ya5p5p35</v>
      </c>
      <c r="DL823" s="89" t="str">
        <f t="shared" si="478"/>
        <v>https://tinyurl.com/y853wbzy</v>
      </c>
      <c r="DM823" s="219" t="str">
        <f t="shared" si="479"/>
        <v>ARW 86</v>
      </c>
      <c r="DN823" s="89" t="str">
        <f t="shared" si="480"/>
        <v xml:space="preserve"> ArmadaARW 86156 Women's</v>
      </c>
      <c r="DO823" s="221" t="s">
        <v>236</v>
      </c>
    </row>
    <row r="824" spans="1:119" ht="15.6" customHeight="1">
      <c r="B824" s="219" t="b">
        <f t="array" ref="B824">IF(OR(ISERROR(K824:P824)),FALSE,TRUE)</f>
        <v>1</v>
      </c>
      <c r="C824" s="43" t="b">
        <f>OR(BR824=Driver!$G$50,Data!BR534=Driver!$H$50)</f>
        <v>1</v>
      </c>
      <c r="D824" s="43" t="b">
        <f>OR(BV824=Driver!$G$51,BV824=Driver!$H$51)</f>
        <v>0</v>
      </c>
      <c r="E824" s="43" t="b">
        <f>AND(BX824&gt;Driver!$F$54,BX824&lt;Driver!$G$54)</f>
        <v>1</v>
      </c>
      <c r="F824" s="43" t="b">
        <f>CL824&gt;Driver!$F$56</f>
        <v>1</v>
      </c>
      <c r="G824" s="43" t="b">
        <f>AND(CB824&gt;Driver!$F$55,CB824&lt;Driver!$G$55)</f>
        <v>0</v>
      </c>
      <c r="H824" s="43" t="b">
        <f t="shared" si="444"/>
        <v>0</v>
      </c>
      <c r="I824" s="43">
        <f t="shared" si="445"/>
        <v>0</v>
      </c>
      <c r="J824" s="43" t="b">
        <f t="array" ref="J824">NOT(OR(($H$9:$H$1273=TRUE)*($I$9:$I$1273&gt;0)*($BT$9:$BT$1273=BT824)*($K$9:$K$1273&gt;K824)))</f>
        <v>1</v>
      </c>
      <c r="K824" s="72">
        <f t="shared" si="446"/>
        <v>0.80145616716570567</v>
      </c>
      <c r="L824" s="72">
        <f t="shared" si="447"/>
        <v>0.84214671754027925</v>
      </c>
      <c r="M824" s="72">
        <f t="shared" si="448"/>
        <v>0.76076561679113197</v>
      </c>
      <c r="N824" s="72">
        <f t="shared" si="449"/>
        <v>0.76127165038860034</v>
      </c>
      <c r="O824" s="72">
        <f t="shared" si="450"/>
        <v>0.64942761580344377</v>
      </c>
      <c r="P824" s="72">
        <f t="shared" si="451"/>
        <v>0.87159758418135191</v>
      </c>
      <c r="Q824" s="72"/>
      <c r="R824" s="72"/>
      <c r="S824" s="72">
        <f t="shared" si="452"/>
        <v>0.40812861651798704</v>
      </c>
      <c r="T824" s="72">
        <f t="shared" si="453"/>
        <v>0.50984277918223109</v>
      </c>
      <c r="U824" s="72">
        <f t="shared" si="454"/>
        <v>0.58653674109845211</v>
      </c>
      <c r="V824" s="72">
        <f t="shared" si="455"/>
        <v>0.53074543932244334</v>
      </c>
      <c r="W824" s="72">
        <f t="shared" si="456"/>
        <v>0.91906512605042012</v>
      </c>
      <c r="X824" s="72">
        <f t="shared" si="457"/>
        <v>0.1578532824597208</v>
      </c>
      <c r="Y824" s="72">
        <f t="shared" si="458"/>
        <v>0.239234383208868</v>
      </c>
      <c r="Z824" s="72">
        <f t="shared" si="459"/>
        <v>0.23872834961139966</v>
      </c>
      <c r="AA824" s="72">
        <f t="shared" si="460"/>
        <v>0.35057238419655617</v>
      </c>
      <c r="AB824" s="72">
        <f t="shared" si="461"/>
        <v>0.12840241581864814</v>
      </c>
      <c r="AC824" s="72"/>
      <c r="AD824" s="72"/>
      <c r="AE824" s="72">
        <f t="shared" si="462"/>
        <v>0.59187138348201296</v>
      </c>
      <c r="AF824" s="72">
        <f t="shared" si="463"/>
        <v>0.49015722081776891</v>
      </c>
      <c r="AG824" s="72">
        <f t="shared" si="464"/>
        <v>0.41346325890154789</v>
      </c>
      <c r="AH824" s="72">
        <f t="shared" si="465"/>
        <v>0.46925456067755666</v>
      </c>
      <c r="AI824" s="72">
        <f t="shared" si="466"/>
        <v>8.093487394957985E-2</v>
      </c>
      <c r="AJ824" s="72">
        <f>(AV824-Driver!$K$179)/(Driver!$L$179-Driver!$K$179)</f>
        <v>9.6366126822979611E-2</v>
      </c>
      <c r="AK824" s="72">
        <f>(AW824-Driver!$K$180)/(Driver!$L$180-Driver!$K$180)</f>
        <v>0.14136472611938797</v>
      </c>
      <c r="AL824" s="72">
        <f>(AX824-Driver!$K$181)/(Driver!$L$181-Driver!$K$181)</f>
        <v>0.34041611332447985</v>
      </c>
      <c r="AM824" s="72">
        <f>(AY824-Driver!$K$182)/(Driver!$L$182-Driver!$K$182)</f>
        <v>9.6812636900490204E-2</v>
      </c>
      <c r="AN824" s="72">
        <f>(AZ824-Driver!$K$183)/(Driver!$L$183-Driver!$K$183)</f>
        <v>0.12581699346405228</v>
      </c>
      <c r="AO824" s="72"/>
      <c r="AP824" s="72"/>
      <c r="AQ824" s="72">
        <f>(BC824-Driver!$K$188)/(Driver!$L$188-Driver!$K$188)</f>
        <v>2.8128616517986989E-2</v>
      </c>
      <c r="AR824" s="72">
        <f>MIN((BD824-Driver!$K$189)/(Driver!$L$189-Driver!$K$189),100%)</f>
        <v>5.9842779182231132E-2</v>
      </c>
      <c r="AS824" s="72">
        <f>(BE824-Driver!$K$190)/(Driver!$L$190-Driver!$K$190)</f>
        <v>9.6536741098452103E-2</v>
      </c>
      <c r="AT824" s="72">
        <f>(BF824-Driver!$K$191)/(Driver!$L$191-Driver!$K$191)</f>
        <v>4.0745439322443344E-2</v>
      </c>
      <c r="AU824" s="72">
        <f>(BG824-Driver!$K$192)/(Driver!$L$192-Driver!$K$192)</f>
        <v>0.16906512605042015</v>
      </c>
      <c r="AV824" s="70">
        <f t="shared" si="467"/>
        <v>2.0282186948853616</v>
      </c>
      <c r="AW824" s="70">
        <f t="shared" si="468"/>
        <v>15.649137800692895</v>
      </c>
      <c r="AX824" s="70">
        <f t="shared" si="469"/>
        <v>4.0637450199203187</v>
      </c>
      <c r="AY824" s="70">
        <f>IFERROR(Driver!$K$19/Data!BH824/Data!BI824*Data!BK824*Data!BL824,"")</f>
        <v>0.11852755366907627</v>
      </c>
      <c r="AZ824" s="70">
        <f t="shared" si="470"/>
        <v>11.466865227103499</v>
      </c>
      <c r="BA824" s="70"/>
      <c r="BB824" s="70"/>
      <c r="BC824" s="70">
        <f t="shared" si="471"/>
        <v>14.590508934849412</v>
      </c>
      <c r="BD824" s="70">
        <f t="shared" si="472"/>
        <v>7.0168028065948995</v>
      </c>
      <c r="BE824" s="70">
        <f t="shared" si="473"/>
        <v>9.669790877492801E-2</v>
      </c>
      <c r="BF824" s="70">
        <f t="shared" si="474"/>
        <v>4.6019111185579495</v>
      </c>
      <c r="BG824" s="70">
        <f t="shared" si="475"/>
        <v>0.64018841911764701</v>
      </c>
      <c r="BH824" s="67">
        <f>MAX((CE824-Driver!$F$200)/(Driver!$G$200-Driver!$F$200)*$BI$1,1)</f>
        <v>4.0637450199203187</v>
      </c>
      <c r="BI824" s="67">
        <f>MAX($BI$1*(BY824-Driver!$F$201)/(Driver!$G$201-Driver!$F$201),1)</f>
        <v>6.962025316455696</v>
      </c>
      <c r="BJ824" s="67">
        <f>(CB824-Driver!$F$206)/(Driver!$G$206-Driver!$F$206)*$BI$1</f>
        <v>3.6507936507936507</v>
      </c>
      <c r="BK824" s="67">
        <f>(CD824-Driver!$F$203)/(Driver!$G$203-Driver!$F$203)*$BI$1</f>
        <v>2.4311926605504586</v>
      </c>
      <c r="BL824" s="67">
        <f>MAX((CR824-Driver!$F$202)/(Driver!$G$202-Driver!$F$202)*$BI$1,1)</f>
        <v>6.8965517241379315</v>
      </c>
      <c r="BM824" s="67">
        <f>MAX((CH824-Driver!$F$204)/(Driver!$G$204-Driver!$F$204)*$BI$1,1)</f>
        <v>2.2222222222222223</v>
      </c>
      <c r="BN824" s="67">
        <f>(CI824-Driver!$F$205)/(Driver!$G$205-Driver!$F$205)*$BI$1</f>
        <v>1.6470588235294117</v>
      </c>
      <c r="BO824" s="67">
        <f>(CK824-Driver!$F$207)/(Driver!$G$207-Driver!$F$207)*$BI$1</f>
        <v>1.5408479834539814</v>
      </c>
      <c r="BP824" s="67">
        <f>(CM824-Driver!$F$208)/(Driver!$G$208-Driver!$F$208)*$BI$1</f>
        <v>1.9888888888888889</v>
      </c>
      <c r="BQ824" s="67">
        <f>(CL824-Driver!$F$209)/(Driver!$G$209-Driver!$F$209)*$BI$1</f>
        <v>5.78125</v>
      </c>
      <c r="BR824" s="28" t="s">
        <v>155</v>
      </c>
      <c r="BS824" s="8" t="s">
        <v>205</v>
      </c>
      <c r="BT824" s="9" t="s">
        <v>664</v>
      </c>
      <c r="BU824" s="10">
        <v>164</v>
      </c>
      <c r="BV824" s="9" t="s">
        <v>163</v>
      </c>
      <c r="BW824" s="10">
        <v>164</v>
      </c>
      <c r="BX824" s="10">
        <v>162.1</v>
      </c>
      <c r="BY824" s="10">
        <v>118</v>
      </c>
      <c r="BZ824" s="10">
        <v>135</v>
      </c>
      <c r="CA824" s="10">
        <v>119</v>
      </c>
      <c r="CB824" s="10">
        <v>87</v>
      </c>
      <c r="CC824" s="10">
        <v>111</v>
      </c>
      <c r="CD824" s="10">
        <v>14.7</v>
      </c>
      <c r="CE824" s="10">
        <v>1614</v>
      </c>
      <c r="CF824" s="10">
        <v>0.99</v>
      </c>
      <c r="CG824" s="10">
        <v>1604</v>
      </c>
      <c r="CH824" s="10">
        <v>153</v>
      </c>
      <c r="CI824" s="10">
        <v>61</v>
      </c>
      <c r="CJ824" s="10">
        <v>53</v>
      </c>
      <c r="CK824" s="10">
        <v>259</v>
      </c>
      <c r="CL824" s="10">
        <v>37</v>
      </c>
      <c r="CM824" s="10">
        <v>179</v>
      </c>
      <c r="CN824" s="10">
        <v>0.69699999999999995</v>
      </c>
      <c r="CO824" s="10">
        <v>143</v>
      </c>
      <c r="CP824" s="10">
        <v>129</v>
      </c>
      <c r="CQ824" s="10">
        <v>117</v>
      </c>
      <c r="CR824" s="10">
        <v>9</v>
      </c>
      <c r="CS824" s="10">
        <v>7.2</v>
      </c>
      <c r="CT824" s="9" t="s">
        <v>188</v>
      </c>
      <c r="CU824" s="10"/>
      <c r="CV824" s="10"/>
      <c r="CW824" s="10"/>
      <c r="CX824" t="str">
        <f>INDEX('Data_Price '!AG$2:AG$1266,MATCH(Data!$DN824,'Data_Price '!$AT$2:$AT$1266,0))</f>
        <v>Faction Prodigy 0.0 with M10 GW Binding Skis</v>
      </c>
      <c r="CY824" t="str">
        <f>INDEX('Data_Price '!AH$2:AH$1266,MATCH(Data!$DN824,'Data_Price '!$AT$2:$AT$1266,0))</f>
        <v>Backcountry.com</v>
      </c>
      <c r="CZ824">
        <f>INDEX('Data_Price '!AI$2:AI$1266,MATCH(Data!$DN824,'Data_Price '!$AT$2:$AT$1266,0))</f>
        <v>314.27</v>
      </c>
      <c r="DA824" t="str">
        <f>INDEX('Data_Price '!AJ$2:AJ$1266,MATCH(Data!$DN824,'Data_Price '!$AT$2:$AT$1266,0))</f>
        <v>https://tinyurl.com/yace3rdv</v>
      </c>
      <c r="DB824" t="str">
        <f>INDEX('Data_Price '!AK$2:AK$1266,MATCH(Data!$DN824,'Data_Price '!$AT$2:$AT$1266,0))</f>
        <v>Faction Ct 1.0 Ski, 164</v>
      </c>
      <c r="DC824" t="str">
        <f>INDEX('Data_Price '!AL$2:AL$1266,MATCH(Data!$DN824,'Data_Price '!$AT$2:$AT$1266,0))</f>
        <v>Snowcountry.eu</v>
      </c>
      <c r="DD824">
        <f>INDEX('Data_Price '!AM$2:AM$1266,MATCH(Data!$DN824,'Data_Price '!$AT$2:$AT$1266,0))</f>
        <v>391.78</v>
      </c>
      <c r="DE824" t="str">
        <f>INDEX('Data_Price '!AN$2:AN$1266,MATCH(Data!$DN824,'Data_Price '!$AT$2:$AT$1266,0))</f>
        <v>https://tinyurl.com/ybwjbap2</v>
      </c>
      <c r="DF824" t="str">
        <f>INDEX('Data_Price '!AO$2:AO$1266,MATCH(Data!$DN824,'Data_Price '!$AT$2:$AT$1266,0))</f>
        <v>Faction - Prodigy 1.0x - 164</v>
      </c>
      <c r="DG824" t="str">
        <f>INDEX('Data_Price '!AP$2:AP$1266,MATCH(Data!$DN824,'Data_Price '!$AT$2:$AT$1266,0))</f>
        <v>Gear West Ski &amp; Bike</v>
      </c>
      <c r="DH824">
        <f>INDEX('Data_Price '!AQ$2:AQ$1266,MATCH(Data!$DN824,'Data_Price '!$AT$2:$AT$1266,0))</f>
        <v>449</v>
      </c>
      <c r="DI824" t="str">
        <f>INDEX('Data_Price '!AR$2:AR$1266,MATCH(Data!$DN824,'Data_Price '!$AT$2:$AT$1266,0))</f>
        <v>https://tinyurl.com/y8k4446x</v>
      </c>
      <c r="DJ824" s="89" t="str">
        <f t="shared" si="476"/>
        <v>https://tinyurl.com/yace3rdv</v>
      </c>
      <c r="DK824" s="89" t="str">
        <f t="shared" si="477"/>
        <v>https://tinyurl.com/ybwjbap2</v>
      </c>
      <c r="DL824" s="89" t="str">
        <f t="shared" si="478"/>
        <v>https://tinyurl.com/y8k4446x</v>
      </c>
      <c r="DM824" s="219" t="str">
        <f t="shared" si="479"/>
        <v>Prodigy 1.0 X</v>
      </c>
      <c r="DN824" s="89" t="str">
        <f t="shared" si="480"/>
        <v xml:space="preserve"> FactionProdigy 1.0 X164 Women's</v>
      </c>
      <c r="DO824" s="221"/>
    </row>
    <row r="825" spans="1:119" ht="15.6" customHeight="1">
      <c r="B825" s="219" t="b">
        <f t="array" ref="B825">IF(OR(ISERROR(K825:P825)),FALSE,TRUE)</f>
        <v>1</v>
      </c>
      <c r="C825" s="43" t="b">
        <f>OR(BR825=Driver!$G$50,Data!BR970=Driver!$H$50)</f>
        <v>1</v>
      </c>
      <c r="D825" s="43" t="b">
        <f>OR(BV825=Driver!$G$51,BV825=Driver!$H$51)</f>
        <v>1</v>
      </c>
      <c r="E825" s="43" t="b">
        <f>AND(BX825&gt;Driver!$F$54,BX825&lt;Driver!$G$54)</f>
        <v>1</v>
      </c>
      <c r="F825" s="43" t="b">
        <f>CL825&gt;Driver!$F$56</f>
        <v>1</v>
      </c>
      <c r="G825" s="43" t="b">
        <f>AND(CB825&gt;Driver!$F$55,CB825&lt;Driver!$G$55)</f>
        <v>0</v>
      </c>
      <c r="H825" s="43" t="b">
        <f t="shared" si="444"/>
        <v>0</v>
      </c>
      <c r="I825" s="43">
        <f t="shared" si="445"/>
        <v>0</v>
      </c>
      <c r="J825" s="43" t="b">
        <f t="array" ref="J825">NOT(OR(($H$9:$H$1273=TRUE)*($I$9:$I$1273&gt;0)*($BT$9:$BT$1273=BT825)*($K$9:$K$1273&gt;K825)))</f>
        <v>1</v>
      </c>
      <c r="K825" s="72">
        <f t="shared" si="446"/>
        <v>0.82019121939564665</v>
      </c>
      <c r="L825" s="72">
        <f t="shared" si="447"/>
        <v>0.85052638074227738</v>
      </c>
      <c r="M825" s="72">
        <f t="shared" si="448"/>
        <v>0.78985605804901593</v>
      </c>
      <c r="N825" s="72">
        <f t="shared" si="449"/>
        <v>0.85170357348984616</v>
      </c>
      <c r="O825" s="72">
        <f t="shared" si="450"/>
        <v>0.60223106876343135</v>
      </c>
      <c r="P825" s="72">
        <f t="shared" si="451"/>
        <v>0.91563353189377017</v>
      </c>
      <c r="Q825" s="72"/>
      <c r="R825" s="72"/>
      <c r="S825" s="72">
        <f t="shared" si="452"/>
        <v>0.39580621994422061</v>
      </c>
      <c r="T825" s="72">
        <f t="shared" si="453"/>
        <v>0.54481611560853116</v>
      </c>
      <c r="U825" s="72">
        <f t="shared" si="454"/>
        <v>0.73225054978630011</v>
      </c>
      <c r="V825" s="72">
        <f t="shared" si="455"/>
        <v>0.62041040418016336</v>
      </c>
      <c r="W825" s="72">
        <f t="shared" si="456"/>
        <v>0.82427758318739053</v>
      </c>
      <c r="X825" s="72">
        <f t="shared" si="457"/>
        <v>0.14947361925772262</v>
      </c>
      <c r="Y825" s="72">
        <f t="shared" si="458"/>
        <v>0.2101439419509841</v>
      </c>
      <c r="Z825" s="72">
        <f t="shared" si="459"/>
        <v>0.14829642651015384</v>
      </c>
      <c r="AA825" s="72">
        <f t="shared" si="460"/>
        <v>0.3977689312365687</v>
      </c>
      <c r="AB825" s="72">
        <f t="shared" si="461"/>
        <v>8.4366468106229858E-2</v>
      </c>
      <c r="AC825" s="72"/>
      <c r="AD825" s="72"/>
      <c r="AE825" s="72">
        <f t="shared" si="462"/>
        <v>0.60419378005577939</v>
      </c>
      <c r="AF825" s="72">
        <f t="shared" si="463"/>
        <v>0.45518388439146884</v>
      </c>
      <c r="AG825" s="72">
        <f t="shared" si="464"/>
        <v>0.26774945021369989</v>
      </c>
      <c r="AH825" s="72">
        <f t="shared" si="465"/>
        <v>0.37958959581983664</v>
      </c>
      <c r="AI825" s="72">
        <f t="shared" si="466"/>
        <v>0.17572241681260947</v>
      </c>
      <c r="AJ825" s="72">
        <f>(AV825-Driver!$K$179)/(Driver!$L$179-Driver!$K$179)</f>
        <v>0.10474579002497782</v>
      </c>
      <c r="AK825" s="72">
        <f>(AW825-Driver!$K$180)/(Driver!$L$180-Driver!$K$180)</f>
        <v>0.17360122916128065</v>
      </c>
      <c r="AL825" s="72">
        <f>(AX825-Driver!$K$181)/(Driver!$L$181-Driver!$K$181)</f>
        <v>0.24998419022323404</v>
      </c>
      <c r="AM825" s="72">
        <f>(AY825-Driver!$K$182)/(Driver!$L$182-Driver!$K$182)</f>
        <v>4.961608986047767E-2</v>
      </c>
      <c r="AN825" s="72">
        <f>(AZ825-Driver!$K$183)/(Driver!$L$183-Driver!$K$183)</f>
        <v>0.16985294117647057</v>
      </c>
      <c r="AO825" s="72"/>
      <c r="AP825" s="72"/>
      <c r="AQ825" s="72">
        <f>(BC825-Driver!$K$188)/(Driver!$L$188-Driver!$K$188)</f>
        <v>1.5806219944220559E-2</v>
      </c>
      <c r="AR825" s="72">
        <f>MIN((BD825-Driver!$K$189)/(Driver!$L$189-Driver!$K$189),100%)</f>
        <v>9.4816115608531204E-2</v>
      </c>
      <c r="AS825" s="72">
        <f>(BE825-Driver!$K$190)/(Driver!$L$190-Driver!$K$190)</f>
        <v>0.24225054978630012</v>
      </c>
      <c r="AT825" s="72">
        <f>(BF825-Driver!$K$191)/(Driver!$L$191-Driver!$K$191)</f>
        <v>0.13041040418016334</v>
      </c>
      <c r="AU825" s="72">
        <f>(BG825-Driver!$K$192)/(Driver!$L$192-Driver!$K$192)</f>
        <v>7.4277583187390542E-2</v>
      </c>
      <c r="AV825" s="70">
        <f t="shared" si="467"/>
        <v>2.204585537918871</v>
      </c>
      <c r="AW825" s="70">
        <f t="shared" si="468"/>
        <v>18.790870666600444</v>
      </c>
      <c r="AX825" s="70">
        <f t="shared" si="469"/>
        <v>3.2498577120091063</v>
      </c>
      <c r="AY825" s="70">
        <f>IFERROR(Driver!$K$19/Data!BH825/Data!BI825*Data!BK825*Data!BL825,"")</f>
        <v>6.0744898001613062E-2</v>
      </c>
      <c r="AZ825" s="70">
        <f t="shared" si="470"/>
        <v>15.480268056589724</v>
      </c>
      <c r="BA825" s="70"/>
      <c r="BB825" s="70"/>
      <c r="BC825" s="70">
        <f t="shared" si="471"/>
        <v>8.1987961681255594</v>
      </c>
      <c r="BD825" s="70">
        <f t="shared" si="472"/>
        <v>10.111881111237212</v>
      </c>
      <c r="BE825" s="70">
        <f t="shared" si="473"/>
        <v>0.24238572375938489</v>
      </c>
      <c r="BF825" s="70">
        <f t="shared" si="474"/>
        <v>14.728938967207631</v>
      </c>
      <c r="BG825" s="70">
        <f t="shared" si="475"/>
        <v>0.28126231392294221</v>
      </c>
      <c r="BH825" s="67">
        <f>MAX((CE825-Driver!$F$200)/(Driver!$G$200-Driver!$F$200)*$BI$1,1)</f>
        <v>3.2498577120091063</v>
      </c>
      <c r="BI825" s="67">
        <f>MAX($BI$1*(BY825-Driver!$F$201)/(Driver!$G$201-Driver!$F$201),1)</f>
        <v>6.2658227848101262</v>
      </c>
      <c r="BJ825" s="67">
        <f>(CB825-Driver!$F$206)/(Driver!$G$206-Driver!$F$206)*$BI$1</f>
        <v>3.9682539682539679</v>
      </c>
      <c r="BK825" s="67">
        <f>(CD825-Driver!$F$203)/(Driver!$G$203-Driver!$F$203)*$BI$1</f>
        <v>1.0550458715596327</v>
      </c>
      <c r="BL825" s="67">
        <f>MAX((CR825-Driver!$F$202)/(Driver!$G$202-Driver!$F$202)*$BI$1,1)</f>
        <v>5.8620689655172411</v>
      </c>
      <c r="BM825" s="67">
        <f>MAX((CH825-Driver!$F$204)/(Driver!$G$204-Driver!$F$204)*$BI$1,1)</f>
        <v>2.2222222222222223</v>
      </c>
      <c r="BN825" s="67">
        <f>(CI825-Driver!$F$205)/(Driver!$G$205-Driver!$F$205)*$BI$1</f>
        <v>2.4705882352941178</v>
      </c>
      <c r="BO825" s="67">
        <f>(CK825-Driver!$F$207)/(Driver!$G$207-Driver!$F$207)*$BI$1</f>
        <v>2.0372285418821097</v>
      </c>
      <c r="BP825" s="67">
        <f>(CM825-Driver!$F$208)/(Driver!$G$208-Driver!$F$208)*$BI$1</f>
        <v>1.9222222222222221</v>
      </c>
      <c r="BQ825" s="67">
        <f>(CL825-Driver!$F$209)/(Driver!$G$209-Driver!$F$209)*$BI$1</f>
        <v>2.03125</v>
      </c>
      <c r="BR825" s="28" t="s">
        <v>155</v>
      </c>
      <c r="BS825" s="8" t="s">
        <v>172</v>
      </c>
      <c r="BT825" s="9" t="s">
        <v>599</v>
      </c>
      <c r="BU825" s="10">
        <v>156</v>
      </c>
      <c r="BV825" s="9" t="s">
        <v>158</v>
      </c>
      <c r="BW825" s="10">
        <v>156</v>
      </c>
      <c r="BX825" s="10">
        <v>155</v>
      </c>
      <c r="BY825" s="10">
        <v>107</v>
      </c>
      <c r="BZ825" s="10">
        <v>129</v>
      </c>
      <c r="CA825" s="10">
        <v>125</v>
      </c>
      <c r="CB825" s="10">
        <v>89</v>
      </c>
      <c r="CC825" s="10">
        <v>116</v>
      </c>
      <c r="CD825" s="10">
        <v>11.7</v>
      </c>
      <c r="CE825" s="10">
        <v>1471</v>
      </c>
      <c r="CF825" s="10">
        <v>1.08</v>
      </c>
      <c r="CG825" s="10">
        <v>1590</v>
      </c>
      <c r="CH825" s="10">
        <v>153</v>
      </c>
      <c r="CI825" s="10">
        <v>75</v>
      </c>
      <c r="CJ825" s="10">
        <v>52</v>
      </c>
      <c r="CK825" s="10">
        <v>307</v>
      </c>
      <c r="CL825" s="10">
        <v>13</v>
      </c>
      <c r="CM825" s="10">
        <v>173</v>
      </c>
      <c r="CN825" s="10">
        <v>0.24299999999999999</v>
      </c>
      <c r="CO825" s="10">
        <v>158</v>
      </c>
      <c r="CP825" s="10">
        <v>100</v>
      </c>
      <c r="CQ825" s="10">
        <v>149</v>
      </c>
      <c r="CR825" s="10">
        <v>6</v>
      </c>
      <c r="CS825" s="10">
        <v>5.5</v>
      </c>
      <c r="CT825" s="9" t="s">
        <v>188</v>
      </c>
      <c r="CU825" s="9" t="s">
        <v>185</v>
      </c>
      <c r="CV825" s="10"/>
      <c r="CW825" s="10"/>
      <c r="CX825" t="str">
        <f>INDEX('Data_Price '!AG$2:AG$1266,MATCH(Data!$DN825,'Data_Price '!$AT$2:$AT$1266,0))</f>
        <v>Rossignol Blackops Escaper Open 156cm</v>
      </c>
      <c r="CY825" t="str">
        <f>INDEX('Data_Price '!AH$2:AH$1266,MATCH(Data!$DN825,'Data_Price '!$AT$2:$AT$1266,0))</f>
        <v>Sundance Ski and Board Shop</v>
      </c>
      <c r="CZ825">
        <f>INDEX('Data_Price '!AI$2:AI$1266,MATCH(Data!$DN825,'Data_Price '!$AT$2:$AT$1266,0))</f>
        <v>400.72</v>
      </c>
      <c r="DA825" t="str">
        <f>INDEX('Data_Price '!AJ$2:AJ$1266,MATCH(Data!$DN825,'Data_Price '!$AT$2:$AT$1266,0))</f>
        <v>https://tinyurl.com/ydbcn7ko</v>
      </c>
      <c r="DB825" t="str">
        <f>INDEX('Data_Price '!AK$2:AK$1266,MATCH(Data!$DN825,'Data_Price '!$AT$2:$AT$1266,0))</f>
        <v>Rossignol Blackops Escaper Skis 2022</v>
      </c>
      <c r="DC825" t="str">
        <f>INDEX('Data_Price '!AL$2:AL$1266,MATCH(Data!$DN825,'Data_Price '!$AT$2:$AT$1266,0))</f>
        <v>Saint Bernard</v>
      </c>
      <c r="DD825">
        <f>INDEX('Data_Price '!AM$2:AM$1266,MATCH(Data!$DN825,'Data_Price '!$AT$2:$AT$1266,0))</f>
        <v>473.9</v>
      </c>
      <c r="DE825" t="str">
        <f>INDEX('Data_Price '!AN$2:AN$1266,MATCH(Data!$DN825,'Data_Price '!$AT$2:$AT$1266,0))</f>
        <v>https://tinyurl.com/y9u6tkoo</v>
      </c>
      <c r="DF825" t="str">
        <f>INDEX('Data_Price '!AO$2:AO$1266,MATCH(Data!$DN825,'Data_Price '!$AT$2:$AT$1266,0))</f>
        <v>Rossignol Blackops Escaper Skis Men's 2022</v>
      </c>
      <c r="DG825" t="str">
        <f>INDEX('Data_Price '!AP$2:AP$1266,MATCH(Data!$DN825,'Data_Price '!$AT$2:$AT$1266,0))</f>
        <v>Level Nine Sports</v>
      </c>
      <c r="DH825">
        <f>INDEX('Data_Price '!AQ$2:AQ$1266,MATCH(Data!$DN825,'Data_Price '!$AT$2:$AT$1266,0))</f>
        <v>479.96</v>
      </c>
      <c r="DI825" t="str">
        <f>INDEX('Data_Price '!AR$2:AR$1266,MATCH(Data!$DN825,'Data_Price '!$AT$2:$AT$1266,0))</f>
        <v>https://tinyurl.com/y736xxdh</v>
      </c>
      <c r="DJ825" s="89" t="str">
        <f t="shared" si="476"/>
        <v>https://tinyurl.com/ydbcn7ko</v>
      </c>
      <c r="DK825" s="89" t="str">
        <f t="shared" si="477"/>
        <v>https://tinyurl.com/y9u6tkoo</v>
      </c>
      <c r="DL825" s="89" t="str">
        <f t="shared" si="478"/>
        <v>https://tinyurl.com/y736xxdh</v>
      </c>
      <c r="DM825" s="219" t="str">
        <f t="shared" si="479"/>
        <v>Blackops Escaper</v>
      </c>
      <c r="DN825" s="89" t="str">
        <f t="shared" si="480"/>
        <v xml:space="preserve"> RossignolBlackops Escaper156 Unisex</v>
      </c>
      <c r="DO825" s="221"/>
    </row>
    <row r="826" spans="1:119" ht="15.6" customHeight="1">
      <c r="B826" s="219" t="b">
        <f t="array" ref="B826">IF(OR(ISERROR(K826:P826)),FALSE,TRUE)</f>
        <v>1</v>
      </c>
      <c r="C826" s="43" t="b">
        <f>OR(BR826=Driver!$G$50,Data!BR149=Driver!$H$50)</f>
        <v>1</v>
      </c>
      <c r="D826" s="43" t="b">
        <f>OR(BV826=Driver!$G$51,BV826=Driver!$H$51)</f>
        <v>0</v>
      </c>
      <c r="E826" s="43" t="b">
        <f>AND(BX826&gt;Driver!$F$54,BX826&lt;Driver!$G$54)</f>
        <v>0</v>
      </c>
      <c r="F826" s="43" t="b">
        <f>CL826&gt;Driver!$F$56</f>
        <v>1</v>
      </c>
      <c r="G826" s="43" t="b">
        <f>AND(CB826&gt;Driver!$F$55,CB826&lt;Driver!$G$55)</f>
        <v>0</v>
      </c>
      <c r="H826" s="43" t="b">
        <f t="shared" si="444"/>
        <v>0</v>
      </c>
      <c r="I826" s="43">
        <f t="shared" si="445"/>
        <v>0</v>
      </c>
      <c r="J826" s="43" t="b">
        <f t="array" ref="J826">NOT(OR(($H$9:$H$1273=TRUE)*($I$9:$I$1273&gt;0)*($BT$9:$BT$1273=BT826)*($K$9:$K$1273&gt;K826)))</f>
        <v>1</v>
      </c>
      <c r="K826" s="72">
        <f t="shared" si="446"/>
        <v>0.86603338313949951</v>
      </c>
      <c r="L826" s="72">
        <f t="shared" si="447"/>
        <v>0.89290813886007614</v>
      </c>
      <c r="M826" s="72">
        <f t="shared" si="448"/>
        <v>0.839158627418923</v>
      </c>
      <c r="N826" s="72">
        <f t="shared" si="449"/>
        <v>0.93581158588471114</v>
      </c>
      <c r="O826" s="72">
        <f t="shared" si="450"/>
        <v>0.66725625467436633</v>
      </c>
      <c r="P826" s="72">
        <f t="shared" si="451"/>
        <v>0.91440804169769174</v>
      </c>
      <c r="Q826" s="72"/>
      <c r="R826" s="72"/>
      <c r="S826" s="72">
        <f t="shared" si="452"/>
        <v>0.41491043736507027</v>
      </c>
      <c r="T826" s="72">
        <f t="shared" si="453"/>
        <v>0.49328786750456066</v>
      </c>
      <c r="U826" s="72">
        <f t="shared" si="454"/>
        <v>0.78995588503146719</v>
      </c>
      <c r="V826" s="72">
        <f t="shared" si="455"/>
        <v>0.54614982749742436</v>
      </c>
      <c r="W826" s="72">
        <f t="shared" si="456"/>
        <v>0.81066595147714149</v>
      </c>
      <c r="X826" s="72">
        <f t="shared" si="457"/>
        <v>0.10709186113992386</v>
      </c>
      <c r="Y826" s="72">
        <f t="shared" si="458"/>
        <v>0.16084137258107697</v>
      </c>
      <c r="Z826" s="72">
        <f t="shared" si="459"/>
        <v>6.4188414115288903E-2</v>
      </c>
      <c r="AA826" s="72">
        <f t="shared" si="460"/>
        <v>0.33274374532563367</v>
      </c>
      <c r="AB826" s="72">
        <f t="shared" si="461"/>
        <v>8.5591958302308285E-2</v>
      </c>
      <c r="AC826" s="72"/>
      <c r="AD826" s="72"/>
      <c r="AE826" s="72">
        <f t="shared" si="462"/>
        <v>0.58508956263492973</v>
      </c>
      <c r="AF826" s="72">
        <f t="shared" si="463"/>
        <v>0.50671213249543934</v>
      </c>
      <c r="AG826" s="72">
        <f t="shared" si="464"/>
        <v>0.21004411496853287</v>
      </c>
      <c r="AH826" s="72">
        <f t="shared" si="465"/>
        <v>0.4538501725025757</v>
      </c>
      <c r="AI826" s="72">
        <f t="shared" si="466"/>
        <v>0.18933404852285857</v>
      </c>
      <c r="AJ826" s="72">
        <f>(AV826-Driver!$K$179)/(Driver!$L$179-Driver!$K$179)</f>
        <v>0.14712754814277657</v>
      </c>
      <c r="AK826" s="72">
        <f>(AW826-Driver!$K$180)/(Driver!$L$180-Driver!$K$180)</f>
        <v>0.16550497069102535</v>
      </c>
      <c r="AL826" s="72">
        <f>(AX826-Driver!$K$181)/(Driver!$L$181-Driver!$K$181)</f>
        <v>0.16587617782836908</v>
      </c>
      <c r="AM826" s="72">
        <f>(AY826-Driver!$K$182)/(Driver!$L$182-Driver!$K$182)</f>
        <v>0.1146412757714127</v>
      </c>
      <c r="AN826" s="72">
        <f>(AZ826-Driver!$K$183)/(Driver!$L$183-Driver!$K$183)</f>
        <v>0.16862745098039214</v>
      </c>
      <c r="AO826" s="72"/>
      <c r="AP826" s="72"/>
      <c r="AQ826" s="72">
        <f>(BC826-Driver!$K$188)/(Driver!$L$188-Driver!$K$188)</f>
        <v>3.491043736507022E-2</v>
      </c>
      <c r="AR826" s="72">
        <f>MIN((BD826-Driver!$K$189)/(Driver!$L$189-Driver!$K$189),100%)</f>
        <v>4.3287867504560699E-2</v>
      </c>
      <c r="AS826" s="72">
        <f>(BE826-Driver!$K$190)/(Driver!$L$190-Driver!$K$190)</f>
        <v>0.29995588503146714</v>
      </c>
      <c r="AT826" s="72">
        <f>(BF826-Driver!$K$191)/(Driver!$L$191-Driver!$K$191)</f>
        <v>5.6149827497424289E-2</v>
      </c>
      <c r="AU826" s="72">
        <f>(BG826-Driver!$K$192)/(Driver!$L$192-Driver!$K$192)</f>
        <v>6.0665951477141426E-2</v>
      </c>
      <c r="AV826" s="70">
        <f t="shared" si="467"/>
        <v>3.0965947632614301</v>
      </c>
      <c r="AW826" s="70">
        <f t="shared" si="468"/>
        <v>18.001818538526006</v>
      </c>
      <c r="AX826" s="70">
        <f t="shared" si="469"/>
        <v>2.4928856004553217</v>
      </c>
      <c r="AY826" s="70">
        <f>IFERROR(Driver!$K$19/Data!BH826/Data!BI826*Data!BK826*Data!BL826,"")</f>
        <v>0.14035512719950188</v>
      </c>
      <c r="AZ826" s="70">
        <f t="shared" si="470"/>
        <v>15.368577810871184</v>
      </c>
      <c r="BA826" s="70"/>
      <c r="BB826" s="70"/>
      <c r="BC826" s="70">
        <f t="shared" si="471"/>
        <v>18.108286554685129</v>
      </c>
      <c r="BD826" s="70">
        <f t="shared" si="472"/>
        <v>5.5517224566888004</v>
      </c>
      <c r="BE826" s="70">
        <f t="shared" si="473"/>
        <v>0.3000807650222454</v>
      </c>
      <c r="BF826" s="70">
        <f t="shared" si="474"/>
        <v>6.3417285409701831</v>
      </c>
      <c r="BG826" s="70">
        <f t="shared" si="475"/>
        <v>0.22971999298564116</v>
      </c>
      <c r="BH826" s="67">
        <f>MAX((CE826-Driver!$F$200)/(Driver!$G$200-Driver!$F$200)*$BI$1,1)</f>
        <v>2.4928856004553217</v>
      </c>
      <c r="BI826" s="67">
        <f>MAX($BI$1*(BY826-Driver!$F$201)/(Driver!$G$201-Driver!$F$201),1)</f>
        <v>6.075949367088608</v>
      </c>
      <c r="BJ826" s="67">
        <f>(CB826-Driver!$F$206)/(Driver!$G$206-Driver!$F$206)*$BI$1</f>
        <v>3.4920634920634921</v>
      </c>
      <c r="BK826" s="67">
        <f>(CD826-Driver!$F$203)/(Driver!$G$203-Driver!$F$203)*$BI$1</f>
        <v>2.2018348623853208</v>
      </c>
      <c r="BL826" s="67">
        <f>MAX((CR826-Driver!$F$202)/(Driver!$G$202-Driver!$F$202)*$BI$1,1)</f>
        <v>4.8275862068965516</v>
      </c>
      <c r="BM826" s="67">
        <f>MAX((CH826-Driver!$F$204)/(Driver!$G$204-Driver!$F$204)*$BI$1,1)</f>
        <v>3.5470085470085473</v>
      </c>
      <c r="BN826" s="67">
        <f>(CI826-Driver!$F$205)/(Driver!$G$205-Driver!$F$205)*$BI$1</f>
        <v>2.5294117647058822</v>
      </c>
      <c r="BO826" s="67">
        <f>(CK826-Driver!$F$207)/(Driver!$G$207-Driver!$F$207)*$BI$1</f>
        <v>1.7993795243019648</v>
      </c>
      <c r="BP826" s="67">
        <f>(CM826-Driver!$F$208)/(Driver!$G$208-Driver!$F$208)*$BI$1</f>
        <v>2.2222222222222223</v>
      </c>
      <c r="BQ826" s="67">
        <f>(CL826-Driver!$F$209)/(Driver!$G$209-Driver!$F$209)*$BI$1</f>
        <v>2.03125</v>
      </c>
      <c r="BR826" s="28" t="s">
        <v>155</v>
      </c>
      <c r="BS826" s="8" t="s">
        <v>156</v>
      </c>
      <c r="BT826" s="9" t="s">
        <v>703</v>
      </c>
      <c r="BU826" s="10">
        <v>153</v>
      </c>
      <c r="BV826" s="9" t="s">
        <v>163</v>
      </c>
      <c r="BW826" s="10">
        <v>153</v>
      </c>
      <c r="BX826" s="10">
        <v>152.1</v>
      </c>
      <c r="BY826" s="10">
        <v>104</v>
      </c>
      <c r="BZ826" s="10">
        <v>127</v>
      </c>
      <c r="CA826" s="10">
        <v>120</v>
      </c>
      <c r="CB826" s="10">
        <v>86</v>
      </c>
      <c r="CC826" s="10">
        <v>103</v>
      </c>
      <c r="CD826" s="10">
        <v>14.2</v>
      </c>
      <c r="CE826" s="10">
        <v>1338</v>
      </c>
      <c r="CF826" s="10">
        <v>1.1000000000000001</v>
      </c>
      <c r="CG826" s="10">
        <v>1467</v>
      </c>
      <c r="CH826" s="10">
        <v>184</v>
      </c>
      <c r="CI826" s="10">
        <v>76</v>
      </c>
      <c r="CJ826" s="10">
        <v>47</v>
      </c>
      <c r="CK826" s="10">
        <v>284</v>
      </c>
      <c r="CL826" s="10">
        <v>13</v>
      </c>
      <c r="CM826" s="10">
        <v>200</v>
      </c>
      <c r="CN826" s="10">
        <v>0.27200000000000002</v>
      </c>
      <c r="CO826" s="10">
        <v>153</v>
      </c>
      <c r="CP826" s="10">
        <v>102</v>
      </c>
      <c r="CQ826" s="10">
        <v>131</v>
      </c>
      <c r="CR826" s="10">
        <v>3</v>
      </c>
      <c r="CS826" s="10">
        <v>8.3000000000000007</v>
      </c>
      <c r="CT826" s="9" t="s">
        <v>188</v>
      </c>
      <c r="CU826" s="9" t="s">
        <v>185</v>
      </c>
      <c r="CV826" s="10"/>
      <c r="CW826" s="10"/>
      <c r="CX826" t="str">
        <f>INDEX('Data_Price '!AG$2:AG$1266,MATCH(Data!$DN826,'Data_Price '!$AT$2:$AT$1266,0))</f>
        <v>Atomic Maven 86 Skis 2022 - - 153 cm</v>
      </c>
      <c r="CY826" t="str">
        <f>INDEX('Data_Price '!AH$2:AH$1266,MATCH(Data!$DN826,'Data_Price '!$AT$2:$AT$1266,0))</f>
        <v>Skirack</v>
      </c>
      <c r="CZ826">
        <f>INDEX('Data_Price '!AI$2:AI$1266,MATCH(Data!$DN826,'Data_Price '!$AT$2:$AT$1266,0))</f>
        <v>319.99</v>
      </c>
      <c r="DA826" t="str">
        <f>INDEX('Data_Price '!AJ$2:AJ$1266,MATCH(Data!$DN826,'Data_Price '!$AT$2:$AT$1266,0))</f>
        <v>https://tinyurl.com/y9ryzjv5</v>
      </c>
      <c r="DB826" t="str">
        <f>INDEX('Data_Price '!AK$2:AK$1266,MATCH(Data!$DN826,'Data_Price '!$AT$2:$AT$1266,0))</f>
        <v>Atomic Maven 86 Berry / 153cm</v>
      </c>
      <c r="DC826" t="str">
        <f>INDEX('Data_Price '!AL$2:AL$1266,MATCH(Data!$DN826,'Data_Price '!$AT$2:$AT$1266,0))</f>
        <v>Sundance Ski and Board Shop</v>
      </c>
      <c r="DD826">
        <f>INDEX('Data_Price '!AM$2:AM$1266,MATCH(Data!$DN826,'Data_Price '!$AT$2:$AT$1266,0))</f>
        <v>320.57</v>
      </c>
      <c r="DE826" t="str">
        <f>INDEX('Data_Price '!AN$2:AN$1266,MATCH(Data!$DN826,'Data_Price '!$AT$2:$AT$1266,0))</f>
        <v>https://tinyurl.com/yalalwgx</v>
      </c>
      <c r="DF826" t="str">
        <f>INDEX('Data_Price '!AO$2:AO$1266,MATCH(Data!$DN826,'Data_Price '!$AT$2:$AT$1266,0))</f>
        <v>Atomic Maven 86 C Skis</v>
      </c>
      <c r="DG826" t="str">
        <f>INDEX('Data_Price '!AP$2:AP$1266,MATCH(Data!$DN826,'Data_Price '!$AT$2:$AT$1266,0))</f>
        <v>BlueZone Sports</v>
      </c>
      <c r="DH826">
        <f>INDEX('Data_Price '!AQ$2:AQ$1266,MATCH(Data!$DN826,'Data_Price '!$AT$2:$AT$1266,0))</f>
        <v>399.99</v>
      </c>
      <c r="DI826" t="str">
        <f>INDEX('Data_Price '!AR$2:AR$1266,MATCH(Data!$DN826,'Data_Price '!$AT$2:$AT$1266,0))</f>
        <v>https://tinyurl.com/yayjtsxn</v>
      </c>
      <c r="DJ826" s="89" t="str">
        <f t="shared" si="476"/>
        <v>https://tinyurl.com/y9ryzjv5</v>
      </c>
      <c r="DK826" s="89" t="str">
        <f t="shared" si="477"/>
        <v>https://tinyurl.com/yalalwgx</v>
      </c>
      <c r="DL826" s="89" t="str">
        <f t="shared" si="478"/>
        <v>https://tinyurl.com/yayjtsxn</v>
      </c>
      <c r="DM826" s="219" t="str">
        <f t="shared" si="479"/>
        <v>Maven 86</v>
      </c>
      <c r="DN826" s="89" t="str">
        <f t="shared" si="480"/>
        <v xml:space="preserve"> AtomicMaven 86153 Women's</v>
      </c>
      <c r="DO826" s="221" t="s">
        <v>648</v>
      </c>
    </row>
    <row r="827" spans="1:119" ht="15.6" customHeight="1">
      <c r="A827" s="219">
        <f>ROW()</f>
        <v>827</v>
      </c>
      <c r="B827" s="219" t="b">
        <f t="array" ref="B827">IF(OR(ISERROR(K827:P827)),FALSE,TRUE)</f>
        <v>1</v>
      </c>
      <c r="C827" s="43" t="b">
        <f>OR(BR827=Driver!$G$50,Data!BR298=Driver!$H$50)</f>
        <v>1</v>
      </c>
      <c r="D827" s="43" t="b">
        <f>OR(BV827=Driver!$G$51,BV827=Driver!$H$51)</f>
        <v>0</v>
      </c>
      <c r="E827" s="43" t="b">
        <f>AND(BX827&gt;Driver!$F$54,BX827&lt;Driver!$G$54)</f>
        <v>1</v>
      </c>
      <c r="F827" s="43" t="b">
        <f>CL827&gt;Driver!$F$56</f>
        <v>1</v>
      </c>
      <c r="G827" s="43" t="b">
        <f>AND(CB827&gt;Driver!$F$55,CB827&lt;Driver!$G$55)</f>
        <v>1</v>
      </c>
      <c r="H827" s="43" t="b">
        <f t="shared" si="444"/>
        <v>0</v>
      </c>
      <c r="I827" s="43">
        <f t="shared" si="445"/>
        <v>0</v>
      </c>
      <c r="J827" s="43" t="b">
        <f t="array" ref="J827">NOT(OR(($H$9:$H$1273=TRUE)*($I$9:$I$1273&gt;0)*($BT$9:$BT$1273=BT827)*($K$9:$K$1273&gt;K827)))</f>
        <v>1</v>
      </c>
      <c r="K827" s="72">
        <f t="shared" si="446"/>
        <v>0.80177268021424286</v>
      </c>
      <c r="L827" s="72">
        <f t="shared" si="447"/>
        <v>0.8918606809598264</v>
      </c>
      <c r="M827" s="72">
        <f t="shared" si="448"/>
        <v>0.71168467946865932</v>
      </c>
      <c r="N827" s="72">
        <f t="shared" si="449"/>
        <v>0.63922017375545037</v>
      </c>
      <c r="O827" s="72">
        <f t="shared" si="450"/>
        <v>0.59564150922734549</v>
      </c>
      <c r="P827" s="72">
        <f t="shared" si="451"/>
        <v>0.90019235542318188</v>
      </c>
      <c r="Q827" s="72"/>
      <c r="R827" s="72"/>
      <c r="S827" s="72">
        <f t="shared" si="452"/>
        <v>0.41029902501292104</v>
      </c>
      <c r="T827" s="72">
        <f t="shared" si="453"/>
        <v>0.47030350947386368</v>
      </c>
      <c r="U827" s="72">
        <f t="shared" si="454"/>
        <v>0.51501289867929012</v>
      </c>
      <c r="V827" s="72">
        <f t="shared" si="455"/>
        <v>0.64391992030758782</v>
      </c>
      <c r="W827" s="72">
        <f t="shared" si="456"/>
        <v>0.88360371712080643</v>
      </c>
      <c r="X827" s="72">
        <f t="shared" si="457"/>
        <v>0.10813931904017363</v>
      </c>
      <c r="Y827" s="72">
        <f t="shared" si="458"/>
        <v>0.28831532053134074</v>
      </c>
      <c r="Z827" s="72">
        <f t="shared" si="459"/>
        <v>0.36077982624454963</v>
      </c>
      <c r="AA827" s="72">
        <f t="shared" si="460"/>
        <v>0.40435849077265457</v>
      </c>
      <c r="AB827" s="72">
        <f t="shared" si="461"/>
        <v>9.9807644576818066E-2</v>
      </c>
      <c r="AC827" s="72"/>
      <c r="AD827" s="72"/>
      <c r="AE827" s="72">
        <f t="shared" si="462"/>
        <v>0.58970097498707896</v>
      </c>
      <c r="AF827" s="72">
        <f t="shared" si="463"/>
        <v>0.52969649052613632</v>
      </c>
      <c r="AG827" s="72">
        <f t="shared" si="464"/>
        <v>0.48498710132070988</v>
      </c>
      <c r="AH827" s="72">
        <f t="shared" si="465"/>
        <v>0.35608007969241218</v>
      </c>
      <c r="AI827" s="72">
        <f t="shared" si="466"/>
        <v>0.11639628287919362</v>
      </c>
      <c r="AJ827" s="72">
        <f>(AV827-Driver!$K$179)/(Driver!$L$179-Driver!$K$179)</f>
        <v>0.1460800902425268</v>
      </c>
      <c r="AK827" s="72">
        <f>(AW827-Driver!$K$180)/(Driver!$L$180-Driver!$K$180)</f>
        <v>0.17870067224888</v>
      </c>
      <c r="AL827" s="72">
        <f>(AX827-Driver!$K$181)/(Driver!$L$181-Driver!$K$181)</f>
        <v>0.46246758995762982</v>
      </c>
      <c r="AM827" s="72">
        <f>(AY827-Driver!$K$182)/(Driver!$L$182-Driver!$K$182)</f>
        <v>4.3026530324391785E-2</v>
      </c>
      <c r="AN827" s="72">
        <f>(AZ827-Driver!$K$183)/(Driver!$L$183-Driver!$K$183)</f>
        <v>0.15441176470588236</v>
      </c>
      <c r="AO827" s="72"/>
      <c r="AP827" s="72"/>
      <c r="AQ827" s="72">
        <f>(BC827-Driver!$K$188)/(Driver!$L$188-Driver!$K$188)</f>
        <v>3.0299025012921057E-2</v>
      </c>
      <c r="AR827" s="72">
        <f>MIN((BD827-Driver!$K$189)/(Driver!$L$189-Driver!$K$189),100%)</f>
        <v>2.0303509473863769E-2</v>
      </c>
      <c r="AS827" s="72">
        <f>(BE827-Driver!$K$190)/(Driver!$L$190-Driver!$K$190)</f>
        <v>2.5012898679290158E-2</v>
      </c>
      <c r="AT827" s="72">
        <f>(BF827-Driver!$K$191)/(Driver!$L$191-Driver!$K$191)</f>
        <v>0.15391992030758783</v>
      </c>
      <c r="AU827" s="72">
        <f>(BG827-Driver!$K$192)/(Driver!$L$192-Driver!$K$192)</f>
        <v>0.13360371712080638</v>
      </c>
      <c r="AV827" s="70">
        <f t="shared" si="467"/>
        <v>3.0745489078822414</v>
      </c>
      <c r="AW827" s="70">
        <f t="shared" si="468"/>
        <v>19.287856581149423</v>
      </c>
      <c r="AX827" s="70">
        <f t="shared" si="469"/>
        <v>5.1622083096186682</v>
      </c>
      <c r="AY827" s="70">
        <f>IFERROR(Driver!$K$19/Data!BH705/Data!BI705*Data!BK705*Data!BL705,"")</f>
        <v>5.2677310994642089E-2</v>
      </c>
      <c r="AZ827" s="70">
        <f t="shared" si="470"/>
        <v>14.072970960536114</v>
      </c>
      <c r="BA827" s="70"/>
      <c r="BB827" s="70"/>
      <c r="BC827" s="70">
        <f t="shared" si="471"/>
        <v>15.716314909606782</v>
      </c>
      <c r="BD827" s="70">
        <f t="shared" si="472"/>
        <v>3.5176474968446763</v>
      </c>
      <c r="BE827" s="70">
        <f t="shared" si="473"/>
        <v>2.5186825404218502E-2</v>
      </c>
      <c r="BF827" s="70">
        <f t="shared" si="474"/>
        <v>17.384173650101818</v>
      </c>
      <c r="BG827" s="70">
        <f t="shared" si="475"/>
        <v>0.50590890297684665</v>
      </c>
      <c r="BH827" s="67">
        <f>MAX((CE827-Driver!$F$200)/(Driver!$G$200-Driver!$F$200)*$BI$1,1)</f>
        <v>5.1622083096186682</v>
      </c>
      <c r="BI827" s="67">
        <f>MAX($BI$1*(BY827-Driver!$F$201)/(Driver!$G$201-Driver!$F$201),1)</f>
        <v>5.6962025316455698</v>
      </c>
      <c r="BJ827" s="67">
        <f>(CB827-Driver!$F$206)/(Driver!$G$206-Driver!$F$206)*$BI$1</f>
        <v>5.8730158730158735</v>
      </c>
      <c r="BK827" s="67">
        <f>(CD827-Driver!$F$203)/(Driver!$G$203-Driver!$F$203)*$BI$1</f>
        <v>2.7064220183486243</v>
      </c>
      <c r="BL827" s="67">
        <f>MAX((CR827-Driver!$F$202)/(Driver!$G$202-Driver!$F$202)*$BI$1,1)</f>
        <v>5.1724137931034484</v>
      </c>
      <c r="BM827" s="67">
        <f>MAX((CH827-Driver!$F$204)/(Driver!$G$204-Driver!$F$204)*$BI$1,1)</f>
        <v>2.0940170940170941</v>
      </c>
      <c r="BN827" s="67">
        <f>(CI827-Driver!$F$205)/(Driver!$G$205-Driver!$F$205)*$BI$1</f>
        <v>2.4705882352941178</v>
      </c>
      <c r="BO827" s="67">
        <f>(CK827-Driver!$F$207)/(Driver!$G$207-Driver!$F$207)*$BI$1</f>
        <v>2.5749741468459151</v>
      </c>
      <c r="BP827" s="67">
        <f>(CM827-Driver!$F$208)/(Driver!$G$208-Driver!$F$208)*$BI$1</f>
        <v>3.1111111111111112</v>
      </c>
      <c r="BQ827" s="67">
        <f>(CL827-Driver!$F$209)/(Driver!$G$209-Driver!$F$209)*$BI$1</f>
        <v>5.46875</v>
      </c>
      <c r="BR827" s="28" t="s">
        <v>155</v>
      </c>
      <c r="BS827" s="8" t="s">
        <v>317</v>
      </c>
      <c r="BT827" s="9" t="s">
        <v>447</v>
      </c>
      <c r="BU827" s="10">
        <v>164</v>
      </c>
      <c r="BV827" s="9" t="s">
        <v>163</v>
      </c>
      <c r="BW827" s="10">
        <v>164</v>
      </c>
      <c r="BX827" s="10">
        <v>162.4</v>
      </c>
      <c r="BY827" s="10">
        <v>98</v>
      </c>
      <c r="BZ827" s="10">
        <v>133</v>
      </c>
      <c r="CA827" s="10">
        <v>131</v>
      </c>
      <c r="CB827" s="10">
        <v>101</v>
      </c>
      <c r="CC827" s="10">
        <v>121</v>
      </c>
      <c r="CD827" s="10">
        <v>15.3</v>
      </c>
      <c r="CE827" s="10">
        <v>1807</v>
      </c>
      <c r="CF827" s="10">
        <v>1</v>
      </c>
      <c r="CG827" s="10">
        <v>1813</v>
      </c>
      <c r="CH827" s="10">
        <v>150</v>
      </c>
      <c r="CI827" s="10">
        <v>75</v>
      </c>
      <c r="CJ827" s="10">
        <v>68</v>
      </c>
      <c r="CK827" s="10">
        <v>359</v>
      </c>
      <c r="CL827" s="10">
        <v>35</v>
      </c>
      <c r="CM827" s="10">
        <v>280</v>
      </c>
      <c r="CN827" s="10">
        <v>0.50900000000000001</v>
      </c>
      <c r="CO827" s="10">
        <v>156</v>
      </c>
      <c r="CP827" s="10">
        <v>139</v>
      </c>
      <c r="CQ827" s="10">
        <v>204</v>
      </c>
      <c r="CR827" s="10">
        <v>4</v>
      </c>
      <c r="CS827" s="10">
        <v>7</v>
      </c>
      <c r="CT827" s="9" t="s">
        <v>188</v>
      </c>
      <c r="CU827" s="9" t="s">
        <v>169</v>
      </c>
      <c r="CV827" s="10"/>
      <c r="CW827" s="10"/>
      <c r="CX827" t="str">
        <f>INDEX('Data_Price '!AG$2:AG$1266,MATCH(Data!$DN827,'Data_Price '!$AT$2:$AT$1266,0))</f>
        <v>Armada Edollo Skis Â· 2022</v>
      </c>
      <c r="CY827" t="str">
        <f>INDEX('Data_Price '!AH$2:AH$1266,MATCH(Data!$DN827,'Data_Price '!$AT$2:$AT$1266,0))</f>
        <v>Snowcountry.eu</v>
      </c>
      <c r="CZ827">
        <f>INDEX('Data_Price '!AI$2:AI$1266,MATCH(Data!$DN827,'Data_Price '!$AT$2:$AT$1266,0))</f>
        <v>441.56</v>
      </c>
      <c r="DA827" t="str">
        <f>INDEX('Data_Price '!AJ$2:AJ$1266,MATCH(Data!$DN827,'Data_Price '!$AT$2:$AT$1266,0))</f>
        <v>https://tinyurl.com/y96ybu8d</v>
      </c>
      <c r="DB827" t="str">
        <f>INDEX('Data_Price '!AK$2:AK$1266,MATCH(Data!$DN827,'Data_Price '!$AT$2:$AT$1266,0))</f>
        <v>Armada Edollo Skis Â· 2022</v>
      </c>
      <c r="DC827" t="str">
        <f>INDEX('Data_Price '!AL$2:AL$1266,MATCH(Data!$DN827,'Data_Price '!$AT$2:$AT$1266,0))</f>
        <v>Teton Wasatch Ski Co.</v>
      </c>
      <c r="DD827">
        <f>INDEX('Data_Price '!AM$2:AM$1266,MATCH(Data!$DN827,'Data_Price '!$AT$2:$AT$1266,0))</f>
        <v>479</v>
      </c>
      <c r="DE827" t="str">
        <f>INDEX('Data_Price '!AN$2:AN$1266,MATCH(Data!$DN827,'Data_Price '!$AT$2:$AT$1266,0))</f>
        <v>https://tinyurl.com/yay3wl65</v>
      </c>
      <c r="DF827" t="str">
        <f>INDEX('Data_Price '!AO$2:AO$1266,MATCH(Data!$DN827,'Data_Price '!$AT$2:$AT$1266,0))</f>
        <v>Armada Edollo Skis Â· 2022</v>
      </c>
      <c r="DG827" t="str">
        <f>INDEX('Data_Price '!AP$2:AP$1266,MATCH(Data!$DN827,'Data_Price '!$AT$2:$AT$1266,0))</f>
        <v>Curated</v>
      </c>
      <c r="DH827">
        <f>INDEX('Data_Price '!AQ$2:AQ$1266,MATCH(Data!$DN827,'Data_Price '!$AT$2:$AT$1266,0))</f>
        <v>479.96</v>
      </c>
      <c r="DI827" t="str">
        <f>INDEX('Data_Price '!AR$2:AR$1266,MATCH(Data!$DN827,'Data_Price '!$AT$2:$AT$1266,0))</f>
        <v>https://tinyurl.com/y8vanjtm</v>
      </c>
      <c r="DJ827" s="89" t="str">
        <f t="shared" si="476"/>
        <v>https://tinyurl.com/y96ybu8d</v>
      </c>
      <c r="DK827" s="89" t="str">
        <f t="shared" si="477"/>
        <v>https://tinyurl.com/yay3wl65</v>
      </c>
      <c r="DL827" s="89" t="str">
        <f t="shared" si="478"/>
        <v>https://tinyurl.com/y8vanjtm</v>
      </c>
      <c r="DM827" s="219" t="str">
        <f t="shared" si="479"/>
        <v>Sheeva 10</v>
      </c>
      <c r="DN827" s="89" t="str">
        <f t="shared" si="480"/>
        <v xml:space="preserve"> BlizzardSheeva 10164 Women's</v>
      </c>
      <c r="DO827" s="221" t="s">
        <v>538</v>
      </c>
    </row>
    <row r="828" spans="1:119" ht="15.6" customHeight="1">
      <c r="B828" s="219" t="b">
        <f t="array" ref="B828">IF(OR(ISERROR(K828:P828)),FALSE,TRUE)</f>
        <v>1</v>
      </c>
      <c r="C828" s="43" t="b">
        <f>OR(BR828=Driver!$G$50,Data!BR593=Driver!$H$50)</f>
        <v>1</v>
      </c>
      <c r="D828" s="43" t="b">
        <f>OR(BV828=Driver!$G$51,BV828=Driver!$H$51)</f>
        <v>1</v>
      </c>
      <c r="E828" s="43" t="b">
        <f>AND(BX828&gt;Driver!$F$54,BX828&lt;Driver!$G$54)</f>
        <v>1</v>
      </c>
      <c r="F828" s="43" t="b">
        <f>CL828&gt;Driver!$F$56</f>
        <v>1</v>
      </c>
      <c r="G828" s="43" t="b">
        <f>AND(CB828&gt;Driver!$F$55,CB828&lt;Driver!$G$55)</f>
        <v>0</v>
      </c>
      <c r="H828" s="43" t="b">
        <f t="shared" si="444"/>
        <v>0</v>
      </c>
      <c r="I828" s="43">
        <f t="shared" si="445"/>
        <v>0</v>
      </c>
      <c r="J828" s="43" t="b">
        <f t="array" ref="J828">NOT(OR(($H$9:$H$1273=TRUE)*($I$9:$I$1273&gt;0)*($BT$9:$BT$1273=BT828)*($K$9:$K$1273&gt;K828)))</f>
        <v>1</v>
      </c>
      <c r="K828" s="72">
        <f t="shared" si="446"/>
        <v>0.7854677110667192</v>
      </c>
      <c r="L828" s="72">
        <f t="shared" si="447"/>
        <v>0.91111779158749528</v>
      </c>
      <c r="M828" s="72">
        <f t="shared" si="448"/>
        <v>0.65981763054594311</v>
      </c>
      <c r="N828" s="72">
        <f t="shared" si="449"/>
        <v>0.57092193812653746</v>
      </c>
      <c r="O828" s="72">
        <f t="shared" si="450"/>
        <v>0.59181154422859128</v>
      </c>
      <c r="P828" s="72">
        <f t="shared" si="451"/>
        <v>0.81671940928270037</v>
      </c>
      <c r="Q828" s="72"/>
      <c r="R828" s="72"/>
      <c r="S828" s="72">
        <f t="shared" si="452"/>
        <v>0.47178920300832616</v>
      </c>
      <c r="T828" s="72">
        <f t="shared" si="453"/>
        <v>0.71579751353859455</v>
      </c>
      <c r="U828" s="72">
        <f t="shared" si="454"/>
        <v>0.83841555260482992</v>
      </c>
      <c r="V828" s="72">
        <f t="shared" si="455"/>
        <v>0.5159514933699979</v>
      </c>
      <c r="W828" s="72">
        <f t="shared" si="456"/>
        <v>0.75879699248120303</v>
      </c>
      <c r="X828" s="72">
        <f t="shared" si="457"/>
        <v>8.8882208412504687E-2</v>
      </c>
      <c r="Y828" s="72">
        <f t="shared" si="458"/>
        <v>0.34018236945405694</v>
      </c>
      <c r="Z828" s="72">
        <f t="shared" si="459"/>
        <v>0.42907806187346254</v>
      </c>
      <c r="AA828" s="72">
        <f t="shared" si="460"/>
        <v>0.40818845577140872</v>
      </c>
      <c r="AB828" s="72">
        <f t="shared" si="461"/>
        <v>0.18328059071729957</v>
      </c>
      <c r="AC828" s="72"/>
      <c r="AD828" s="72"/>
      <c r="AE828" s="72">
        <f t="shared" si="462"/>
        <v>0.52821079699167384</v>
      </c>
      <c r="AF828" s="72">
        <f t="shared" si="463"/>
        <v>0.2842024864614055</v>
      </c>
      <c r="AG828" s="72">
        <f t="shared" si="464"/>
        <v>0.16158444739517008</v>
      </c>
      <c r="AH828" s="72">
        <f t="shared" si="465"/>
        <v>0.4840485066300021</v>
      </c>
      <c r="AI828" s="72">
        <f t="shared" si="466"/>
        <v>0.241203007518797</v>
      </c>
      <c r="AJ828" s="72">
        <f>(AV828-Driver!$K$179)/(Driver!$L$179-Driver!$K$179)</f>
        <v>0.16533720087019574</v>
      </c>
      <c r="AK828" s="72">
        <f>(AW828-Driver!$K$180)/(Driver!$L$180-Driver!$K$180)</f>
        <v>0.44969134069565747</v>
      </c>
      <c r="AL828" s="72">
        <f>(AX828-Driver!$K$181)/(Driver!$L$181-Driver!$K$181)</f>
        <v>0.53076582558654273</v>
      </c>
      <c r="AM828" s="72">
        <f>(AY828-Driver!$K$182)/(Driver!$L$182-Driver!$K$182)</f>
        <v>3.9196565325637645E-2</v>
      </c>
      <c r="AN828" s="72">
        <f>(AZ828-Driver!$K$183)/(Driver!$L$183-Driver!$K$183)</f>
        <v>0.4375</v>
      </c>
      <c r="AO828" s="72"/>
      <c r="AP828" s="72"/>
      <c r="AQ828" s="72">
        <f>(BC828-Driver!$K$188)/(Driver!$L$188-Driver!$K$188)</f>
        <v>9.1789203008326131E-2</v>
      </c>
      <c r="AR828" s="72">
        <f>MIN((BD828-Driver!$K$189)/(Driver!$L$189-Driver!$K$189),100%)</f>
        <v>0.26579751353859454</v>
      </c>
      <c r="AS828" s="72">
        <f>(BE828-Driver!$K$190)/(Driver!$L$190-Driver!$K$190)</f>
        <v>0.67158444739517009</v>
      </c>
      <c r="AT828" s="72">
        <f>(BF828-Driver!$K$191)/(Driver!$L$191-Driver!$K$191)</f>
        <v>2.5951493369997913E-2</v>
      </c>
      <c r="AU828" s="72">
        <f>(BG828-Driver!$K$192)/(Driver!$L$192-Driver!$K$192)</f>
        <v>8.796992481203008E-3</v>
      </c>
      <c r="AV828" s="70">
        <f t="shared" si="467"/>
        <v>3.479853479853479</v>
      </c>
      <c r="AW828" s="70">
        <f t="shared" si="468"/>
        <v>45.698298442882781</v>
      </c>
      <c r="AX828" s="70">
        <f t="shared" si="469"/>
        <v>5.7768924302788847</v>
      </c>
      <c r="AY828" s="70">
        <f>IFERROR(Driver!$K$19/Data!BH828/Data!BI828*Data!BK828*Data!BL828,"")</f>
        <v>4.7988291084905321E-2</v>
      </c>
      <c r="AZ828" s="70">
        <f t="shared" si="470"/>
        <v>39.87341772151899</v>
      </c>
      <c r="BA828" s="70"/>
      <c r="BB828" s="70"/>
      <c r="BC828" s="70">
        <f t="shared" si="471"/>
        <v>47.611697708605675</v>
      </c>
      <c r="BD828" s="70">
        <f t="shared" si="472"/>
        <v>25.24343186693784</v>
      </c>
      <c r="BE828" s="70">
        <f t="shared" si="473"/>
        <v>0.67164303303328032</v>
      </c>
      <c r="BF828" s="70">
        <f t="shared" si="474"/>
        <v>2.9310388565817722</v>
      </c>
      <c r="BG828" s="70">
        <f t="shared" si="475"/>
        <v>3.331102540834846E-2</v>
      </c>
      <c r="BH828" s="67">
        <f>MAX((CE828-Driver!$F$200)/(Driver!$G$200-Driver!$F$200)*$BI$1,1)</f>
        <v>5.7768924302788847</v>
      </c>
      <c r="BI828" s="67">
        <f>MAX($BI$1*(BY828-Driver!$F$201)/(Driver!$G$201-Driver!$F$201),1)</f>
        <v>7.5316455696202533</v>
      </c>
      <c r="BJ828" s="67">
        <f>(CB828-Driver!$F$206)/(Driver!$G$206-Driver!$F$206)*$BI$1</f>
        <v>2.8571428571428568</v>
      </c>
      <c r="BK828" s="67">
        <f>(CD828-Driver!$F$203)/(Driver!$G$203-Driver!$F$203)*$BI$1</f>
        <v>2.0183486238532113</v>
      </c>
      <c r="BL828" s="67">
        <f>MAX((CR828-Driver!$F$202)/(Driver!$G$202-Driver!$F$202)*$BI$1,1)</f>
        <v>5.1724137931034484</v>
      </c>
      <c r="BM828" s="67">
        <f>MAX((CH828-Driver!$F$204)/(Driver!$G$204-Driver!$F$204)*$BI$1,1)</f>
        <v>4.8717948717948714</v>
      </c>
      <c r="BN828" s="67">
        <f>(CI828-Driver!$F$205)/(Driver!$G$205-Driver!$F$205)*$BI$1</f>
        <v>5.2941176470588234</v>
      </c>
      <c r="BO828" s="67">
        <f>(CK828-Driver!$F$207)/(Driver!$G$207-Driver!$F$207)*$BI$1</f>
        <v>1.7580144777662876</v>
      </c>
      <c r="BP828" s="67">
        <f>(CM828-Driver!$F$208)/(Driver!$G$208-Driver!$F$208)*$BI$1</f>
        <v>1.1777777777777778</v>
      </c>
      <c r="BQ828" s="67">
        <f>(CL828-Driver!$F$209)/(Driver!$G$209-Driver!$F$209)*$BI$1</f>
        <v>0.9375</v>
      </c>
      <c r="BR828" s="28" t="s">
        <v>155</v>
      </c>
      <c r="BS828" s="8" t="s">
        <v>245</v>
      </c>
      <c r="BT828" s="9" t="s">
        <v>772</v>
      </c>
      <c r="BU828" s="10">
        <v>166</v>
      </c>
      <c r="BV828" s="9" t="s">
        <v>158</v>
      </c>
      <c r="BW828" s="10">
        <v>166</v>
      </c>
      <c r="BX828" s="10">
        <v>165.6</v>
      </c>
      <c r="BY828" s="10">
        <v>127</v>
      </c>
      <c r="BZ828" s="10">
        <v>148</v>
      </c>
      <c r="CA828" s="10">
        <v>125</v>
      </c>
      <c r="CB828" s="10">
        <v>82</v>
      </c>
      <c r="CC828" s="10">
        <v>111</v>
      </c>
      <c r="CD828" s="10">
        <v>13.8</v>
      </c>
      <c r="CE828" s="10">
        <v>1915</v>
      </c>
      <c r="CF828" s="10">
        <v>0.83</v>
      </c>
      <c r="CG828" s="10">
        <v>1583</v>
      </c>
      <c r="CH828" s="10">
        <v>215</v>
      </c>
      <c r="CI828" s="10">
        <v>123</v>
      </c>
      <c r="CJ828" s="10">
        <v>49</v>
      </c>
      <c r="CK828" s="10">
        <v>280</v>
      </c>
      <c r="CL828" s="10">
        <v>6</v>
      </c>
      <c r="CM828" s="10">
        <v>106</v>
      </c>
      <c r="CN828" s="10">
        <v>0.12</v>
      </c>
      <c r="CO828" s="10">
        <v>84</v>
      </c>
      <c r="CP828" s="10">
        <v>95</v>
      </c>
      <c r="CQ828" s="10">
        <v>197</v>
      </c>
      <c r="CR828" s="10">
        <v>4</v>
      </c>
      <c r="CS828" s="10">
        <v>9.3000000000000007</v>
      </c>
      <c r="CT828" s="9" t="s">
        <v>231</v>
      </c>
      <c r="CU828" s="9" t="s">
        <v>188</v>
      </c>
      <c r="CV828" s="10"/>
      <c r="CW828" s="10"/>
      <c r="CX828" t="str">
        <f>INDEX('Data_Price '!AG$2:AG$1266,MATCH(Data!$DN828,'Data_Price '!$AT$2:$AT$1266,0))</f>
        <v>Fischer XTR RC One 82 Gt Rentaltrack Skis 2021</v>
      </c>
      <c r="CY828" t="str">
        <f>INDEX('Data_Price '!AH$2:AH$1266,MATCH(Data!$DN828,'Data_Price '!$AT$2:$AT$1266,0))</f>
        <v>Level Nine Sports</v>
      </c>
      <c r="CZ828">
        <f>INDEX('Data_Price '!AI$2:AI$1266,MATCH(Data!$DN828,'Data_Price '!$AT$2:$AT$1266,0))</f>
        <v>469.94</v>
      </c>
      <c r="DA828" t="str">
        <f>INDEX('Data_Price '!AJ$2:AJ$1266,MATCH(Data!$DN828,'Data_Price '!$AT$2:$AT$1266,0))</f>
        <v>https://tinyurl.com/y89sft8d</v>
      </c>
      <c r="DB828" t="str">
        <f>INDEX('Data_Price '!AK$2:AK$1266,MATCH(Data!$DN828,'Data_Price '!$AT$2:$AT$1266,0))</f>
        <v>Fischer RC One 82 GT + RSW 11 21/22</v>
      </c>
      <c r="DC828" t="str">
        <f>INDEX('Data_Price '!AL$2:AL$1266,MATCH(Data!$DN828,'Data_Price '!$AT$2:$AT$1266,0))</f>
        <v>GritrOutdoors</v>
      </c>
      <c r="DD828">
        <f>INDEX('Data_Price '!AM$2:AM$1266,MATCH(Data!$DN828,'Data_Price '!$AT$2:$AT$1266,0))</f>
        <v>639.99</v>
      </c>
      <c r="DE828" t="str">
        <f>INDEX('Data_Price '!AN$2:AN$1266,MATCH(Data!$DN828,'Data_Price '!$AT$2:$AT$1266,0))</f>
        <v>https://tinyurl.com/ybgal5pm</v>
      </c>
      <c r="DF828" t="str">
        <f>INDEX('Data_Price '!AO$2:AO$1266,MATCH(Data!$DN828,'Data_Price '!$AT$2:$AT$1266,0))</f>
        <v>Fischer RC One 82 GT + RSW 11 21/22</v>
      </c>
      <c r="DG828" t="str">
        <f>INDEX('Data_Price '!AP$2:AP$1266,MATCH(Data!$DN828,'Data_Price '!$AT$2:$AT$1266,0))</f>
        <v>Next Adventure</v>
      </c>
      <c r="DH828">
        <f>INDEX('Data_Price '!AQ$2:AQ$1266,MATCH(Data!$DN828,'Data_Price '!$AT$2:$AT$1266,0))</f>
        <v>664.99</v>
      </c>
      <c r="DI828" t="str">
        <f>INDEX('Data_Price '!AR$2:AR$1266,MATCH(Data!$DN828,'Data_Price '!$AT$2:$AT$1266,0))</f>
        <v>https://tinyurl.com/y72zlu5r</v>
      </c>
      <c r="DJ828" s="89" t="str">
        <f t="shared" si="476"/>
        <v>https://tinyurl.com/y89sft8d</v>
      </c>
      <c r="DK828" s="89" t="str">
        <f t="shared" si="477"/>
        <v>https://tinyurl.com/ybgal5pm</v>
      </c>
      <c r="DL828" s="89" t="str">
        <f t="shared" si="478"/>
        <v>https://tinyurl.com/y72zlu5r</v>
      </c>
      <c r="DM828" s="219" t="str">
        <f t="shared" si="479"/>
        <v>RC One 82 GT</v>
      </c>
      <c r="DN828" s="89" t="str">
        <f t="shared" si="480"/>
        <v xml:space="preserve"> FischerRC One 82 GT166 Unisex</v>
      </c>
      <c r="DO828" s="221"/>
    </row>
    <row r="829" spans="1:119" ht="15.6" customHeight="1">
      <c r="B829" s="219" t="b">
        <f t="array" ref="B829">IF(OR(ISERROR(K829:P829)),FALSE,TRUE)</f>
        <v>1</v>
      </c>
      <c r="C829" s="43" t="b">
        <f>OR(BR829=Driver!$G$50,Data!BR830=Driver!$H$50)</f>
        <v>1</v>
      </c>
      <c r="D829" s="43" t="b">
        <f>OR(BV829=Driver!$G$51,BV829=Driver!$H$51)</f>
        <v>1</v>
      </c>
      <c r="E829" s="43" t="b">
        <f>AND(BX829&gt;Driver!$F$54,BX829&lt;Driver!$G$54)</f>
        <v>1</v>
      </c>
      <c r="F829" s="43" t="b">
        <f>CL829&gt;Driver!$F$56</f>
        <v>1</v>
      </c>
      <c r="G829" s="43" t="b">
        <f>AND(CB829&gt;Driver!$F$55,CB829&lt;Driver!$G$55)</f>
        <v>0</v>
      </c>
      <c r="H829" s="43" t="b">
        <f t="shared" si="444"/>
        <v>0</v>
      </c>
      <c r="I829" s="43">
        <f t="shared" si="445"/>
        <v>0</v>
      </c>
      <c r="J829" s="43" t="b">
        <f t="array" ref="J829">NOT(OR(($H$9:$H$1273=TRUE)*($I$9:$I$1273&gt;0)*($BT$9:$BT$1273=BT829)*($K$9:$K$1273&gt;K829)))</f>
        <v>1</v>
      </c>
      <c r="K829" s="72">
        <f t="shared" si="446"/>
        <v>0.78824605683918669</v>
      </c>
      <c r="L829" s="72">
        <f t="shared" si="447"/>
        <v>0.80234331733078768</v>
      </c>
      <c r="M829" s="72">
        <f t="shared" si="448"/>
        <v>0.77414879634758593</v>
      </c>
      <c r="N829" s="72">
        <f t="shared" si="449"/>
        <v>0.78214055571965702</v>
      </c>
      <c r="O829" s="72">
        <f t="shared" si="450"/>
        <v>0.62736837986070304</v>
      </c>
      <c r="P829" s="72">
        <f t="shared" si="451"/>
        <v>0.91293745346239763</v>
      </c>
      <c r="Q829" s="72"/>
      <c r="R829" s="72"/>
      <c r="S829" s="72">
        <f t="shared" si="452"/>
        <v>0.40716522949534983</v>
      </c>
      <c r="T829" s="72">
        <f t="shared" si="453"/>
        <v>0.46198177481441682</v>
      </c>
      <c r="U829" s="72">
        <f t="shared" si="454"/>
        <v>0.88408151635816745</v>
      </c>
      <c r="V829" s="72">
        <f t="shared" si="455"/>
        <v>0.51019809625495127</v>
      </c>
      <c r="W829" s="72">
        <f t="shared" si="456"/>
        <v>0.88803230543318645</v>
      </c>
      <c r="X829" s="72">
        <f t="shared" si="457"/>
        <v>0.19765668266921238</v>
      </c>
      <c r="Y829" s="72">
        <f t="shared" si="458"/>
        <v>0.2258512036524141</v>
      </c>
      <c r="Z829" s="72">
        <f t="shared" si="459"/>
        <v>0.21785944428034293</v>
      </c>
      <c r="AA829" s="72">
        <f t="shared" si="460"/>
        <v>0.37263162013929696</v>
      </c>
      <c r="AB829" s="72">
        <f t="shared" si="461"/>
        <v>8.7062546537602398E-2</v>
      </c>
      <c r="AC829" s="72"/>
      <c r="AD829" s="72"/>
      <c r="AE829" s="72">
        <f t="shared" si="462"/>
        <v>0.59283477050465017</v>
      </c>
      <c r="AF829" s="72">
        <f t="shared" si="463"/>
        <v>0.53801822518558318</v>
      </c>
      <c r="AG829" s="72">
        <f t="shared" si="464"/>
        <v>0.11591848364183249</v>
      </c>
      <c r="AH829" s="72">
        <f t="shared" si="465"/>
        <v>0.48980190374504878</v>
      </c>
      <c r="AI829" s="72">
        <f t="shared" si="466"/>
        <v>0.11196769456681349</v>
      </c>
      <c r="AJ829" s="72">
        <f>(AV829-Driver!$K$179)/(Driver!$L$179-Driver!$K$179)</f>
        <v>5.6562726613488032E-2</v>
      </c>
      <c r="AK829" s="72">
        <f>(AW829-Driver!$K$180)/(Driver!$L$180-Driver!$K$180)</f>
        <v>0.17781966742929636</v>
      </c>
      <c r="AL829" s="72">
        <f>(AX829-Driver!$K$181)/(Driver!$L$181-Driver!$K$181)</f>
        <v>0.31954720799342312</v>
      </c>
      <c r="AM829" s="72">
        <f>(AY829-Driver!$K$182)/(Driver!$L$182-Driver!$K$182)</f>
        <v>7.4753400957749405E-2</v>
      </c>
      <c r="AN829" s="72">
        <f>(AZ829-Driver!$K$183)/(Driver!$L$183-Driver!$K$183)</f>
        <v>0.16715686274509803</v>
      </c>
      <c r="AO829" s="72"/>
      <c r="AP829" s="72"/>
      <c r="AQ829" s="72">
        <f>(BC829-Driver!$K$188)/(Driver!$L$188-Driver!$K$188)</f>
        <v>2.7165229495349805E-2</v>
      </c>
      <c r="AR829" s="72">
        <f>MIN((BD829-Driver!$K$189)/(Driver!$L$189-Driver!$K$189),100%)</f>
        <v>1.1981774814416913E-2</v>
      </c>
      <c r="AS829" s="72">
        <f>(BE829-Driver!$K$190)/(Driver!$L$190-Driver!$K$190)</f>
        <v>0.39408151635816752</v>
      </c>
      <c r="AT829" s="72">
        <f>(BF829-Driver!$K$191)/(Driver!$L$191-Driver!$K$191)</f>
        <v>2.0198096254951208E-2</v>
      </c>
      <c r="AU829" s="72">
        <f>(BG829-Driver!$K$192)/(Driver!$L$192-Driver!$K$192)</f>
        <v>0.36196769456681349</v>
      </c>
      <c r="AV829" s="70">
        <f t="shared" si="467"/>
        <v>1.1904761904761905</v>
      </c>
      <c r="AW829" s="70">
        <f t="shared" si="468"/>
        <v>19.201994854984154</v>
      </c>
      <c r="AX829" s="70">
        <f t="shared" si="469"/>
        <v>3.8759248719408079</v>
      </c>
      <c r="AY829" s="70">
        <f>IFERROR(Driver!$K$19/Data!BH829/Data!BI829*Data!BK829*Data!BL829,"")</f>
        <v>9.1520467034410025E-2</v>
      </c>
      <c r="AZ829" s="70">
        <f t="shared" si="470"/>
        <v>15.234549516008935</v>
      </c>
      <c r="BA829" s="70"/>
      <c r="BB829" s="70"/>
      <c r="BC829" s="70">
        <f t="shared" si="471"/>
        <v>14.090793388849578</v>
      </c>
      <c r="BD829" s="70">
        <f t="shared" si="472"/>
        <v>2.7811887247249243</v>
      </c>
      <c r="BE829" s="70">
        <f t="shared" si="473"/>
        <v>0.39418960539574621</v>
      </c>
      <c r="BF829" s="70">
        <f t="shared" si="474"/>
        <v>2.2812330723395871</v>
      </c>
      <c r="BG829" s="70">
        <f t="shared" si="475"/>
        <v>1.3706406020558004</v>
      </c>
      <c r="BH829" s="67">
        <f>MAX((CE829-Driver!$F$200)/(Driver!$G$200-Driver!$F$200)*$BI$1,1)</f>
        <v>3.8759248719408079</v>
      </c>
      <c r="BI829" s="67">
        <f>MAX($BI$1*(BY829-Driver!$F$201)/(Driver!$G$201-Driver!$F$201),1)</f>
        <v>7.8481012658227849</v>
      </c>
      <c r="BJ829" s="67">
        <f>(CB829-Driver!$F$206)/(Driver!$G$206-Driver!$F$206)*$BI$1</f>
        <v>4.7619047619047619</v>
      </c>
      <c r="BK829" s="67">
        <f>(CD829-Driver!$F$203)/(Driver!$G$203-Driver!$F$203)*$BI$1</f>
        <v>2.0183486238532113</v>
      </c>
      <c r="BL829" s="67">
        <f>MAX((CR829-Driver!$F$202)/(Driver!$G$202-Driver!$F$202)*$BI$1,1)</f>
        <v>6.8965517241379315</v>
      </c>
      <c r="BM829" s="67">
        <f>MAX((CH829-Driver!$F$204)/(Driver!$G$204-Driver!$F$204)*$BI$1,1)</f>
        <v>1</v>
      </c>
      <c r="BN829" s="67">
        <f>(CI829-Driver!$F$205)/(Driver!$G$205-Driver!$F$205)*$BI$1</f>
        <v>1.9411764705882353</v>
      </c>
      <c r="BO829" s="67">
        <f>(CK829-Driver!$F$207)/(Driver!$G$207-Driver!$F$207)*$BI$1</f>
        <v>0.52740434332988628</v>
      </c>
      <c r="BP829" s="67">
        <f>(CM829-Driver!$F$208)/(Driver!$G$208-Driver!$F$208)*$BI$1</f>
        <v>1.8333333333333333</v>
      </c>
      <c r="BQ829" s="67">
        <f>(CL829-Driver!$F$209)/(Driver!$G$209-Driver!$F$209)*$BI$1</f>
        <v>5.3125</v>
      </c>
      <c r="BR829" s="28" t="s">
        <v>155</v>
      </c>
      <c r="BS829" s="8" t="s">
        <v>208</v>
      </c>
      <c r="BT829" s="9" t="s">
        <v>637</v>
      </c>
      <c r="BU829" s="10">
        <v>164</v>
      </c>
      <c r="BV829" s="9" t="s">
        <v>158</v>
      </c>
      <c r="BW829" s="10">
        <v>164</v>
      </c>
      <c r="BX829" s="10">
        <v>164.8</v>
      </c>
      <c r="BY829" s="10">
        <v>132</v>
      </c>
      <c r="BZ829" s="10">
        <v>131</v>
      </c>
      <c r="CA829" s="10">
        <v>128</v>
      </c>
      <c r="CB829" s="10">
        <v>94</v>
      </c>
      <c r="CC829" s="10">
        <v>119</v>
      </c>
      <c r="CD829" s="10">
        <v>13.8</v>
      </c>
      <c r="CE829" s="10">
        <v>1581</v>
      </c>
      <c r="CF829" s="10">
        <v>1.1000000000000001</v>
      </c>
      <c r="CG829" s="10">
        <v>1736</v>
      </c>
      <c r="CH829" s="10">
        <v>108</v>
      </c>
      <c r="CI829" s="10">
        <v>66</v>
      </c>
      <c r="CJ829" s="10">
        <v>36</v>
      </c>
      <c r="CK829" s="10">
        <v>161</v>
      </c>
      <c r="CL829" s="10">
        <v>34</v>
      </c>
      <c r="CM829" s="10">
        <v>165</v>
      </c>
      <c r="CN829" s="10">
        <v>0.96299999999999997</v>
      </c>
      <c r="CO829" s="10">
        <v>165</v>
      </c>
      <c r="CP829" s="10">
        <v>178</v>
      </c>
      <c r="CQ829" s="10">
        <v>-4</v>
      </c>
      <c r="CR829" s="10">
        <v>9</v>
      </c>
      <c r="CS829" s="10">
        <v>3.6</v>
      </c>
      <c r="CT829" s="9" t="s">
        <v>184</v>
      </c>
      <c r="CU829" s="9" t="s">
        <v>185</v>
      </c>
      <c r="CV829" s="10"/>
      <c r="CW829" s="10"/>
      <c r="CX829" t="str">
        <f>INDEX('Data_Price '!AG$2:AG$1266,MATCH(Data!$DN829,'Data_Price '!$AT$2:$AT$1266,0))</f>
        <v>Line 2022 Chronic Skis</v>
      </c>
      <c r="CY829" t="str">
        <f>INDEX('Data_Price '!AH$2:AH$1266,MATCH(Data!$DN829,'Data_Price '!$AT$2:$AT$1266,0))</f>
        <v>eBay - david110549</v>
      </c>
      <c r="CZ829">
        <f>INDEX('Data_Price '!AI$2:AI$1266,MATCH(Data!$DN829,'Data_Price '!$AT$2:$AT$1266,0))</f>
        <v>499.95</v>
      </c>
      <c r="DA829" t="str">
        <f>INDEX('Data_Price '!AJ$2:AJ$1266,MATCH(Data!$DN829,'Data_Price '!$AT$2:$AT$1266,0))</f>
        <v>https://tinyurl.com/y8muvrz6</v>
      </c>
      <c r="DB829" t="str">
        <f>INDEX('Data_Price '!AK$2:AK$1266,MATCH(Data!$DN829,'Data_Price '!$AT$2:$AT$1266,0))</f>
        <v>Line 2022 Chronic Skis</v>
      </c>
      <c r="DC829" t="str">
        <f>INDEX('Data_Price '!AL$2:AL$1266,MATCH(Data!$DN829,'Data_Price '!$AT$2:$AT$1266,0))</f>
        <v>Curated</v>
      </c>
      <c r="DD829">
        <f>INDEX('Data_Price '!AM$2:AM$1266,MATCH(Data!$DN829,'Data_Price '!$AT$2:$AT$1266,0))</f>
        <v>499.95</v>
      </c>
      <c r="DE829" t="str">
        <f>INDEX('Data_Price '!AN$2:AN$1266,MATCH(Data!$DN829,'Data_Price '!$AT$2:$AT$1266,0))</f>
        <v>https://tinyurl.com/yb4vokpr</v>
      </c>
      <c r="DF829" t="str">
        <f>INDEX('Data_Price '!AO$2:AO$1266,MATCH(Data!$DN829,'Data_Price '!$AT$2:$AT$1266,0))</f>
        <v>Line 2022 Chronic Skis</v>
      </c>
      <c r="DG829" t="str">
        <f>INDEX('Data_Price '!AP$2:AP$1266,MATCH(Data!$DN829,'Data_Price '!$AT$2:$AT$1266,0))</f>
        <v>SkiEssentials.com</v>
      </c>
      <c r="DH829">
        <f>INDEX('Data_Price '!AQ$2:AQ$1266,MATCH(Data!$DN829,'Data_Price '!$AT$2:$AT$1266,0))</f>
        <v>499.95</v>
      </c>
      <c r="DI829" t="str">
        <f>INDEX('Data_Price '!AR$2:AR$1266,MATCH(Data!$DN829,'Data_Price '!$AT$2:$AT$1266,0))</f>
        <v>https://tinyurl.com/y9svb8da</v>
      </c>
      <c r="DJ829" s="89" t="str">
        <f t="shared" si="476"/>
        <v>https://tinyurl.com/y8muvrz6</v>
      </c>
      <c r="DK829" s="89" t="str">
        <f t="shared" si="477"/>
        <v>https://tinyurl.com/yb4vokpr</v>
      </c>
      <c r="DL829" s="89" t="str">
        <f t="shared" si="478"/>
        <v>https://tinyurl.com/y9svb8da</v>
      </c>
      <c r="DM829" s="219" t="str">
        <f t="shared" si="479"/>
        <v>Chronic</v>
      </c>
      <c r="DN829" s="89" t="str">
        <f t="shared" si="480"/>
        <v xml:space="preserve"> LineChronic164 Unisex</v>
      </c>
      <c r="DO829" s="221" t="s">
        <v>638</v>
      </c>
    </row>
    <row r="830" spans="1:119" ht="15.6" customHeight="1">
      <c r="B830" s="219" t="b">
        <f t="array" ref="B830">IF(OR(ISERROR(K830:P830)),FALSE,TRUE)</f>
        <v>1</v>
      </c>
      <c r="C830" s="43" t="b">
        <f>OR(BR830=Driver!$G$50,Data!BR196=Driver!$H$50)</f>
        <v>1</v>
      </c>
      <c r="D830" s="43" t="b">
        <f>OR(BV830=Driver!$G$51,BV830=Driver!$H$51)</f>
        <v>1</v>
      </c>
      <c r="E830" s="43" t="b">
        <f>AND(BX830&gt;Driver!$F$54,BX830&lt;Driver!$G$54)</f>
        <v>0</v>
      </c>
      <c r="F830" s="43" t="b">
        <f>CL830&gt;Driver!$F$56</f>
        <v>1</v>
      </c>
      <c r="G830" s="43" t="b">
        <f>AND(CB830&gt;Driver!$F$55,CB830&lt;Driver!$G$55)</f>
        <v>0</v>
      </c>
      <c r="H830" s="43" t="b">
        <f t="shared" si="444"/>
        <v>0</v>
      </c>
      <c r="I830" s="43">
        <f t="shared" si="445"/>
        <v>0</v>
      </c>
      <c r="J830" s="43" t="b">
        <f t="array" ref="J830">NOT(OR(($H$9:$H$1273=TRUE)*($I$9:$I$1273&gt;0)*($BT$9:$BT$1273=BT830)*($K$9:$K$1273&gt;K830)))</f>
        <v>1</v>
      </c>
      <c r="K830" s="72">
        <f t="shared" si="446"/>
        <v>0.69176441178390746</v>
      </c>
      <c r="L830" s="72">
        <f t="shared" si="447"/>
        <v>0.73451914338954127</v>
      </c>
      <c r="M830" s="72">
        <f t="shared" si="448"/>
        <v>0.64900968017827387</v>
      </c>
      <c r="N830" s="72">
        <f t="shared" si="449"/>
        <v>0.3736159240874557</v>
      </c>
      <c r="O830" s="72">
        <f t="shared" si="450"/>
        <v>0.64264141958296606</v>
      </c>
      <c r="P830" s="72">
        <f t="shared" si="451"/>
        <v>0.93077169686439976</v>
      </c>
      <c r="Q830" s="72"/>
      <c r="R830" s="72"/>
      <c r="S830" s="72">
        <f t="shared" si="452"/>
        <v>0.47161179530503272</v>
      </c>
      <c r="T830" s="72">
        <f t="shared" si="453"/>
        <v>0.5115776258659519</v>
      </c>
      <c r="U830" s="72">
        <f t="shared" si="454"/>
        <v>0.5038446849482634</v>
      </c>
      <c r="V830" s="72">
        <f t="shared" si="455"/>
        <v>0.62475176295968415</v>
      </c>
      <c r="W830" s="72">
        <f t="shared" si="456"/>
        <v>0.79657909956011985</v>
      </c>
      <c r="X830" s="72">
        <f t="shared" si="457"/>
        <v>0.26548085661045878</v>
      </c>
      <c r="Y830" s="72">
        <f t="shared" si="458"/>
        <v>0.35099031982172618</v>
      </c>
      <c r="Z830" s="72">
        <f t="shared" si="459"/>
        <v>0.6263840759125443</v>
      </c>
      <c r="AA830" s="72">
        <f t="shared" si="460"/>
        <v>0.35735858041703394</v>
      </c>
      <c r="AB830" s="72">
        <f t="shared" si="461"/>
        <v>6.9228303135600244E-2</v>
      </c>
      <c r="AC830" s="72"/>
      <c r="AD830" s="72"/>
      <c r="AE830" s="72">
        <f t="shared" si="462"/>
        <v>0.52838820469496728</v>
      </c>
      <c r="AF830" s="72">
        <f t="shared" si="463"/>
        <v>0.48842237413404815</v>
      </c>
      <c r="AG830" s="72">
        <f t="shared" si="464"/>
        <v>0.49615531505173655</v>
      </c>
      <c r="AH830" s="72">
        <f t="shared" si="465"/>
        <v>0.37524823704031585</v>
      </c>
      <c r="AI830" s="72">
        <f t="shared" si="466"/>
        <v>0.20342090043988012</v>
      </c>
      <c r="AJ830" s="72">
        <f>(AV830-Driver!$K$179)/(Driver!$L$179-Driver!$K$179)</f>
        <v>0.51970026589315921</v>
      </c>
      <c r="AK830" s="72">
        <f>(AW830-Driver!$K$180)/(Driver!$L$180-Driver!$K$180)</f>
        <v>0.36189374354432852</v>
      </c>
      <c r="AL830" s="72">
        <f>(AX830-Driver!$K$181)/(Driver!$L$181-Driver!$K$181)</f>
        <v>0.7280718396256245</v>
      </c>
      <c r="AM830" s="72">
        <f>(AY830-Driver!$K$182)/(Driver!$L$182-Driver!$K$182)</f>
        <v>9.0026440680012421E-2</v>
      </c>
      <c r="AN830" s="72">
        <f>(AZ830-Driver!$K$183)/(Driver!$L$183-Driver!$K$183)</f>
        <v>0.32344771241830067</v>
      </c>
      <c r="AO830" s="72"/>
      <c r="AP830" s="72"/>
      <c r="AQ830" s="72">
        <f>(BC830-Driver!$K$188)/(Driver!$L$188-Driver!$K$188)</f>
        <v>9.1611795305032731E-2</v>
      </c>
      <c r="AR830" s="72">
        <f>MIN((BD830-Driver!$K$189)/(Driver!$L$189-Driver!$K$189),100%)</f>
        <v>6.157762586595187E-2</v>
      </c>
      <c r="AS830" s="72">
        <f>(BE830-Driver!$K$190)/(Driver!$L$190-Driver!$K$190)</f>
        <v>1.3844684948263453E-2</v>
      </c>
      <c r="AT830" s="72">
        <f>(BF830-Driver!$K$191)/(Driver!$L$191-Driver!$K$191)</f>
        <v>0.13475176295968413</v>
      </c>
      <c r="AU830" s="72">
        <f>(BG830-Driver!$K$192)/(Driver!$L$192-Driver!$K$192)</f>
        <v>4.6579099560119873E-2</v>
      </c>
      <c r="AV830" s="70">
        <f t="shared" si="467"/>
        <v>10.938135938135938</v>
      </c>
      <c r="AW830" s="70">
        <f t="shared" si="468"/>
        <v>37.141644634633785</v>
      </c>
      <c r="AX830" s="70">
        <f t="shared" si="469"/>
        <v>7.55264655663062</v>
      </c>
      <c r="AY830" s="70">
        <f>IFERROR(Driver!$K$19/Data!BH830/Data!BI830*Data!BK830*Data!BL830,"")</f>
        <v>0.11021922468968567</v>
      </c>
      <c r="AZ830" s="70">
        <f t="shared" si="470"/>
        <v>29.478778853313479</v>
      </c>
      <c r="BA830" s="70"/>
      <c r="BB830" s="70"/>
      <c r="BC830" s="70">
        <f t="shared" si="471"/>
        <v>47.519675099589044</v>
      </c>
      <c r="BD830" s="70">
        <f t="shared" si="472"/>
        <v>7.1703336641377575</v>
      </c>
      <c r="BE830" s="70">
        <f t="shared" si="473"/>
        <v>1.4020603956817815E-2</v>
      </c>
      <c r="BF830" s="70">
        <f t="shared" si="474"/>
        <v>15.219264941582912</v>
      </c>
      <c r="BG830" s="70">
        <f t="shared" si="475"/>
        <v>0.17637818518778151</v>
      </c>
      <c r="BH830" s="67">
        <f>MAX((CE830-Driver!$F$200)/(Driver!$G$200-Driver!$F$200)*$BI$1,1)</f>
        <v>7.55264655663062</v>
      </c>
      <c r="BI830" s="67">
        <f>MAX($BI$1*(BY830-Driver!$F$201)/(Driver!$G$201-Driver!$F$201),1)</f>
        <v>6.7721518987341769</v>
      </c>
      <c r="BJ830" s="67">
        <f>(CB830-Driver!$F$206)/(Driver!$G$206-Driver!$F$206)*$BI$1</f>
        <v>7.9365079365079358</v>
      </c>
      <c r="BK830" s="67">
        <f>(CD830-Driver!$F$203)/(Driver!$G$203-Driver!$F$203)*$BI$1</f>
        <v>4.5412844036697253</v>
      </c>
      <c r="BL830" s="67">
        <f>MAX((CR830-Driver!$F$202)/(Driver!$G$202-Driver!$F$202)*$BI$1,1)</f>
        <v>6.2068965517241379</v>
      </c>
      <c r="BM830" s="67">
        <f>MAX((CH830-Driver!$F$204)/(Driver!$G$204-Driver!$F$204)*$BI$1,1)</f>
        <v>5.5128205128205128</v>
      </c>
      <c r="BN830" s="67">
        <f>(CI830-Driver!$F$205)/(Driver!$G$205-Driver!$F$205)*$BI$1</f>
        <v>4.3529411764705888</v>
      </c>
      <c r="BO830" s="67">
        <f>(CK830-Driver!$F$207)/(Driver!$G$207-Driver!$F$207)*$BI$1</f>
        <v>2.7404343329886243</v>
      </c>
      <c r="BP830" s="67">
        <f>(CM830-Driver!$F$208)/(Driver!$G$208-Driver!$F$208)*$BI$1</f>
        <v>3.1777777777777776</v>
      </c>
      <c r="BQ830" s="67">
        <f>(CL830-Driver!$F$209)/(Driver!$G$209-Driver!$F$209)*$BI$1</f>
        <v>7.34375</v>
      </c>
      <c r="BR830" s="28" t="s">
        <v>155</v>
      </c>
      <c r="BS830" s="8" t="s">
        <v>237</v>
      </c>
      <c r="BT830" s="9" t="s">
        <v>773</v>
      </c>
      <c r="BU830" s="10">
        <v>182.1</v>
      </c>
      <c r="BV830" s="9" t="s">
        <v>158</v>
      </c>
      <c r="BW830" s="10">
        <v>182.1</v>
      </c>
      <c r="BX830" s="10">
        <v>180.9</v>
      </c>
      <c r="BY830" s="10">
        <v>115</v>
      </c>
      <c r="BZ830" s="10">
        <v>148</v>
      </c>
      <c r="CA830" s="10">
        <v>145</v>
      </c>
      <c r="CB830" s="10">
        <v>114</v>
      </c>
      <c r="CC830" s="10">
        <v>134</v>
      </c>
      <c r="CD830" s="10">
        <v>19.3</v>
      </c>
      <c r="CE830" s="10">
        <v>2227</v>
      </c>
      <c r="CF830" s="10">
        <v>1.01</v>
      </c>
      <c r="CG830" s="10">
        <v>2241</v>
      </c>
      <c r="CH830" s="10">
        <v>230</v>
      </c>
      <c r="CI830" s="10">
        <v>107</v>
      </c>
      <c r="CJ830" s="10">
        <v>50</v>
      </c>
      <c r="CK830" s="10">
        <v>375</v>
      </c>
      <c r="CL830" s="10">
        <v>47</v>
      </c>
      <c r="CM830" s="10">
        <v>286</v>
      </c>
      <c r="CN830" s="10">
        <v>0.92800000000000005</v>
      </c>
      <c r="CO830" s="10">
        <v>185</v>
      </c>
      <c r="CP830" s="10">
        <v>145</v>
      </c>
      <c r="CQ830" s="10">
        <v>191</v>
      </c>
      <c r="CR830" s="10">
        <v>7</v>
      </c>
      <c r="CS830" s="10">
        <v>7.1</v>
      </c>
      <c r="CT830" s="9" t="s">
        <v>184</v>
      </c>
      <c r="CU830" s="9" t="s">
        <v>169</v>
      </c>
      <c r="CV830" s="10"/>
      <c r="CW830" s="10"/>
      <c r="CX830" t="str">
        <f>INDEX('Data_Price '!AG$2:AG$1266,MATCH(Data!$DN830,'Data_Price '!$AT$2:$AT$1266,0))</f>
        <v>2021 Black Crows Anima Skis 182 Mint</v>
      </c>
      <c r="CY830" t="str">
        <f>INDEX('Data_Price '!AH$2:AH$1266,MATCH(Data!$DN830,'Data_Price '!$AT$2:$AT$1266,0))</f>
        <v>eBay</v>
      </c>
      <c r="CZ830">
        <f>INDEX('Data_Price '!AI$2:AI$1266,MATCH(Data!$DN830,'Data_Price '!$AT$2:$AT$1266,0))</f>
        <v>550</v>
      </c>
      <c r="DA830" t="str">
        <f>INDEX('Data_Price '!AJ$2:AJ$1266,MATCH(Data!$DN830,'Data_Price '!$AT$2:$AT$1266,0))</f>
        <v>https://tinyurl.com/ycyx6pcm</v>
      </c>
      <c r="DB830" t="str">
        <f>INDEX('Data_Price '!AK$2:AK$1266,MATCH(Data!$DN830,'Data_Price '!$AT$2:$AT$1266,0))</f>
        <v>Black Crows Anima Birdie Women's Skis 182cm 2022</v>
      </c>
      <c r="DC830" t="str">
        <f>INDEX('Data_Price '!AL$2:AL$1266,MATCH(Data!$DN830,'Data_Price '!$AT$2:$AT$1266,0))</f>
        <v>Telemark Pyrenees</v>
      </c>
      <c r="DD830">
        <f>INDEX('Data_Price '!AM$2:AM$1266,MATCH(Data!$DN830,'Data_Price '!$AT$2:$AT$1266,0))</f>
        <v>669.24</v>
      </c>
      <c r="DE830" t="str">
        <f>INDEX('Data_Price '!AN$2:AN$1266,MATCH(Data!$DN830,'Data_Price '!$AT$2:$AT$1266,0))</f>
        <v>https://tinyurl.com/yaydnjsg</v>
      </c>
      <c r="DF830" t="str">
        <f>INDEX('Data_Price '!AO$2:AO$1266,MATCH(Data!$DN830,'Data_Price '!$AT$2:$AT$1266,0))</f>
        <v>Black Crows Anima Skis 182 cm</v>
      </c>
      <c r="DG830" t="str">
        <f>INDEX('Data_Price '!AP$2:AP$1266,MATCH(Data!$DN830,'Data_Price '!$AT$2:$AT$1266,0))</f>
        <v>Absolute-Snow.co.uk</v>
      </c>
      <c r="DH830">
        <f>INDEX('Data_Price '!AQ$2:AQ$1266,MATCH(Data!$DN830,'Data_Price '!$AT$2:$AT$1266,0))</f>
        <v>684.58</v>
      </c>
      <c r="DI830" t="str">
        <f>INDEX('Data_Price '!AR$2:AR$1266,MATCH(Data!$DN830,'Data_Price '!$AT$2:$AT$1266,0))</f>
        <v>https://tinyurl.com/ybl4q844</v>
      </c>
      <c r="DJ830" s="89" t="str">
        <f t="shared" si="476"/>
        <v>https://tinyurl.com/ycyx6pcm</v>
      </c>
      <c r="DK830" s="89" t="str">
        <f t="shared" si="477"/>
        <v>https://tinyurl.com/yaydnjsg</v>
      </c>
      <c r="DL830" s="89" t="str">
        <f t="shared" si="478"/>
        <v>https://tinyurl.com/ybl4q844</v>
      </c>
      <c r="DM830" s="219" t="str">
        <f t="shared" si="479"/>
        <v>Anima</v>
      </c>
      <c r="DN830" s="89" t="str">
        <f t="shared" si="480"/>
        <v xml:space="preserve"> Black CrowsAnima182.1 Unisex</v>
      </c>
      <c r="DO830" s="221" t="s">
        <v>774</v>
      </c>
    </row>
    <row r="831" spans="1:119" ht="15.6" customHeight="1">
      <c r="B831" s="219" t="b">
        <f t="array" ref="B831">IF(OR(ISERROR(K831:P831)),FALSE,TRUE)</f>
        <v>1</v>
      </c>
      <c r="C831" s="43" t="b">
        <f>OR(BR831=Driver!$G$50,Data!BR191=Driver!$H$50)</f>
        <v>1</v>
      </c>
      <c r="D831" s="43" t="b">
        <f>OR(BV831=Driver!$G$51,BV831=Driver!$H$51)</f>
        <v>1</v>
      </c>
      <c r="E831" s="43" t="b">
        <f>AND(BX831&gt;Driver!$F$54,BX831&lt;Driver!$G$54)</f>
        <v>1</v>
      </c>
      <c r="F831" s="43" t="b">
        <f>CL831&gt;Driver!$F$56</f>
        <v>1</v>
      </c>
      <c r="G831" s="43" t="b">
        <f>AND(CB831&gt;Driver!$F$55,CB831&lt;Driver!$G$55)</f>
        <v>0</v>
      </c>
      <c r="H831" s="43" t="b">
        <f t="shared" si="444"/>
        <v>0</v>
      </c>
      <c r="I831" s="43">
        <f t="shared" si="445"/>
        <v>0</v>
      </c>
      <c r="J831" s="43" t="b">
        <f t="array" ref="J831">NOT(OR(($H$9:$H$1273=TRUE)*($I$9:$I$1273&gt;0)*($BT$9:$BT$1273=BT831)*($K$9:$K$1273&gt;K831)))</f>
        <v>1</v>
      </c>
      <c r="K831" s="72">
        <f t="shared" si="446"/>
        <v>0.76942809645375432</v>
      </c>
      <c r="L831" s="72">
        <f t="shared" si="447"/>
        <v>0.79009611726632867</v>
      </c>
      <c r="M831" s="72">
        <f t="shared" si="448"/>
        <v>0.74876007564117997</v>
      </c>
      <c r="N831" s="72">
        <f t="shared" si="449"/>
        <v>0.68728189512394477</v>
      </c>
      <c r="O831" s="72">
        <f t="shared" si="450"/>
        <v>0.63682885219340668</v>
      </c>
      <c r="P831" s="72">
        <f t="shared" si="451"/>
        <v>0.92216947960618845</v>
      </c>
      <c r="Q831" s="72"/>
      <c r="R831" s="72"/>
      <c r="S831" s="72">
        <f t="shared" si="452"/>
        <v>0.44657640706367541</v>
      </c>
      <c r="T831" s="72">
        <f t="shared" si="453"/>
        <v>0.64229769207166376</v>
      </c>
      <c r="U831" s="72">
        <f t="shared" si="454"/>
        <v>0.51</v>
      </c>
      <c r="V831" s="72">
        <f t="shared" si="455"/>
        <v>0.49308360138681995</v>
      </c>
      <c r="W831" s="72">
        <f t="shared" si="456"/>
        <v>0.76484739087627174</v>
      </c>
      <c r="X831" s="72">
        <f t="shared" si="457"/>
        <v>0.20990388273367133</v>
      </c>
      <c r="Y831" s="72">
        <f t="shared" si="458"/>
        <v>0.25123992435882003</v>
      </c>
      <c r="Z831" s="72">
        <f t="shared" si="459"/>
        <v>0.31271810487605528</v>
      </c>
      <c r="AA831" s="72">
        <f t="shared" si="460"/>
        <v>0.36317114780659332</v>
      </c>
      <c r="AB831" s="72">
        <f t="shared" si="461"/>
        <v>7.7830520393811525E-2</v>
      </c>
      <c r="AC831" s="72"/>
      <c r="AD831" s="72"/>
      <c r="AE831" s="72">
        <f t="shared" si="462"/>
        <v>0.55342359293632459</v>
      </c>
      <c r="AF831" s="72">
        <f t="shared" si="463"/>
        <v>0.35770230792833624</v>
      </c>
      <c r="AG831" s="72">
        <f t="shared" si="464"/>
        <v>0.49</v>
      </c>
      <c r="AH831" s="72">
        <f t="shared" si="465"/>
        <v>0.50691639861318005</v>
      </c>
      <c r="AI831" s="72">
        <f t="shared" si="466"/>
        <v>0.23515260912372826</v>
      </c>
      <c r="AJ831" s="72">
        <f>(AV831-Driver!$K$179)/(Driver!$L$179-Driver!$K$179)</f>
        <v>4.4315526549029087E-2</v>
      </c>
      <c r="AK831" s="72">
        <f>(AW831-Driver!$K$180)/(Driver!$L$180-Driver!$K$180)</f>
        <v>0.19533177686217204</v>
      </c>
      <c r="AL831" s="72">
        <f>(AX831-Driver!$K$181)/(Driver!$L$181-Driver!$K$181)</f>
        <v>0.41440586858913547</v>
      </c>
      <c r="AM831" s="72">
        <f>(AY831-Driver!$K$182)/(Driver!$L$182-Driver!$K$182)</f>
        <v>8.4213873290453045E-2</v>
      </c>
      <c r="AN831" s="72">
        <f>(AZ831-Driver!$K$183)/(Driver!$L$183-Driver!$K$183)</f>
        <v>0.1763888888888889</v>
      </c>
      <c r="AO831" s="72"/>
      <c r="AP831" s="72"/>
      <c r="AQ831" s="72">
        <f>(BC831-Driver!$K$188)/(Driver!$L$188-Driver!$K$188)</f>
        <v>6.6576407063675361E-2</v>
      </c>
      <c r="AR831" s="72">
        <f>MIN((BD831-Driver!$K$189)/(Driver!$L$189-Driver!$K$189),100%)</f>
        <v>0.19229769207166383</v>
      </c>
      <c r="AS831" s="72">
        <f>(BE831-Driver!$K$190)/(Driver!$L$190-Driver!$K$190)</f>
        <v>1</v>
      </c>
      <c r="AT831" s="72">
        <f>(BF831-Driver!$K$191)/(Driver!$L$191-Driver!$K$191)</f>
        <v>3.0836013868199203E-3</v>
      </c>
      <c r="AU831" s="72">
        <f>(BG831-Driver!$K$192)/(Driver!$L$192-Driver!$K$192)</f>
        <v>1.4847390876271741E-2</v>
      </c>
      <c r="AV831" s="70">
        <f t="shared" si="467"/>
        <v>0.93270926604259941</v>
      </c>
      <c r="AW831" s="70">
        <f t="shared" si="468"/>
        <v>20.908705092292973</v>
      </c>
      <c r="AX831" s="70">
        <f t="shared" si="469"/>
        <v>4.7296528173022194</v>
      </c>
      <c r="AY831" s="70">
        <f>IFERROR(Driver!$K$19/Data!BH831/Data!BI831*Data!BK831*Data!BL831,"")</f>
        <v>0.10310290790214414</v>
      </c>
      <c r="AZ831" s="70">
        <f t="shared" si="470"/>
        <v>16.075949367088608</v>
      </c>
      <c r="BA831" s="70"/>
      <c r="BB831" s="70"/>
      <c r="BC831" s="70">
        <f t="shared" si="471"/>
        <v>34.533645175601528</v>
      </c>
      <c r="BD831" s="70">
        <f t="shared" si="472"/>
        <v>18.73882790109176</v>
      </c>
      <c r="BE831" s="70">
        <f t="shared" si="473"/>
        <v>1</v>
      </c>
      <c r="BF831" s="70">
        <f t="shared" si="474"/>
        <v>0.34827111311549747</v>
      </c>
      <c r="BG831" s="70">
        <f t="shared" si="475"/>
        <v>5.6221693468985888E-2</v>
      </c>
      <c r="BH831" s="67">
        <f>MAX((CE831-Driver!$F$200)/(Driver!$G$200-Driver!$F$200)*$BI$1,1)</f>
        <v>4.7296528173022194</v>
      </c>
      <c r="BI831" s="67">
        <f>MAX($BI$1*(BY831-Driver!$F$201)/(Driver!$G$201-Driver!$F$201),1)</f>
        <v>8.037974683544304</v>
      </c>
      <c r="BJ831" s="67">
        <f>(CB831-Driver!$F$206)/(Driver!$G$206-Driver!$F$206)*$BI$1</f>
        <v>1.5873015873015872</v>
      </c>
      <c r="BK831" s="67">
        <f>(CD831-Driver!$F$203)/(Driver!$G$203-Driver!$F$203)*$BI$1</f>
        <v>2.7064220183486243</v>
      </c>
      <c r="BL831" s="67">
        <f>MAX((CR831-Driver!$F$202)/(Driver!$G$202-Driver!$F$202)*$BI$1,1)</f>
        <v>7.2413793103448274</v>
      </c>
      <c r="BM831" s="67">
        <f>MAX((CH831-Driver!$F$204)/(Driver!$G$204-Driver!$F$204)*$BI$1,1)</f>
        <v>2.3504273504273505</v>
      </c>
      <c r="BN831" s="67">
        <f>(CI831-Driver!$F$205)/(Driver!$G$205-Driver!$F$205)*$BI$1</f>
        <v>2</v>
      </c>
      <c r="BO831" s="67">
        <f>(CK831-Driver!$F$207)/(Driver!$G$207-Driver!$F$207)*$BI$1</f>
        <v>0.70320579110651493</v>
      </c>
      <c r="BP831" s="67">
        <f>(CM831-Driver!$F$208)/(Driver!$G$208-Driver!$F$208)*$BI$1</f>
        <v>0.84444444444444444</v>
      </c>
      <c r="BQ831" s="67">
        <f>(CL831-Driver!$F$209)/(Driver!$G$209-Driver!$F$209)*$BI$1</f>
        <v>0.625</v>
      </c>
      <c r="BR831" s="28" t="s">
        <v>155</v>
      </c>
      <c r="BS831" s="8" t="s">
        <v>156</v>
      </c>
      <c r="BT831" s="9" t="s">
        <v>157</v>
      </c>
      <c r="BU831" s="10">
        <v>161</v>
      </c>
      <c r="BV831" s="9" t="s">
        <v>158</v>
      </c>
      <c r="BW831" s="10">
        <v>161</v>
      </c>
      <c r="BX831" s="10">
        <v>160.4</v>
      </c>
      <c r="BY831" s="10">
        <v>135</v>
      </c>
      <c r="BZ831" s="10">
        <v>143</v>
      </c>
      <c r="CA831" s="10">
        <v>115</v>
      </c>
      <c r="CB831" s="10">
        <v>74</v>
      </c>
      <c r="CC831" s="10">
        <v>99</v>
      </c>
      <c r="CD831" s="10">
        <v>15.3</v>
      </c>
      <c r="CE831" s="10">
        <v>1731</v>
      </c>
      <c r="CF831" s="10">
        <v>0.81</v>
      </c>
      <c r="CG831" s="10">
        <v>1394</v>
      </c>
      <c r="CH831" s="10">
        <v>156</v>
      </c>
      <c r="CI831" s="10">
        <v>67</v>
      </c>
      <c r="CJ831" s="10">
        <v>39</v>
      </c>
      <c r="CK831" s="10">
        <v>178</v>
      </c>
      <c r="CL831" s="10">
        <v>4</v>
      </c>
      <c r="CM831" s="10">
        <v>76</v>
      </c>
      <c r="CN831" s="10">
        <v>0.113</v>
      </c>
      <c r="CO831" s="10">
        <v>98</v>
      </c>
      <c r="CP831" s="10">
        <v>71</v>
      </c>
      <c r="CQ831" s="10">
        <v>79</v>
      </c>
      <c r="CR831" s="10">
        <v>10</v>
      </c>
      <c r="CS831" s="10">
        <v>10.4</v>
      </c>
      <c r="CT831" s="9" t="s">
        <v>349</v>
      </c>
      <c r="CU831" s="9" t="s">
        <v>231</v>
      </c>
      <c r="CV831" s="10"/>
      <c r="CW831" s="10"/>
      <c r="CX831" t="str">
        <f>INDEX('Data_Price '!AG$2:AG$1266,MATCH(Data!$DN831,'Data_Price '!$AT$2:$AT$1266,0))</f>
        <v>Atomic Vantage 75 C + M 10 GW</v>
      </c>
      <c r="CY831" t="str">
        <f>INDEX('Data_Price '!AH$2:AH$1266,MATCH(Data!$DN831,'Data_Price '!$AT$2:$AT$1266,0))</f>
        <v>SkiEssentials.com</v>
      </c>
      <c r="CZ831">
        <f>INDEX('Data_Price '!AI$2:AI$1266,MATCH(Data!$DN831,'Data_Price '!$AT$2:$AT$1266,0))</f>
        <v>319.99</v>
      </c>
      <c r="DA831" t="str">
        <f>INDEX('Data_Price '!AJ$2:AJ$1266,MATCH(Data!$DN831,'Data_Price '!$AT$2:$AT$1266,0))</f>
        <v>https://tinyurl.com/yb9bosyq</v>
      </c>
      <c r="DB831" t="str">
        <f>INDEX('Data_Price '!AK$2:AK$1266,MATCH(Data!$DN831,'Data_Price '!$AT$2:$AT$1266,0))</f>
        <v>Atomic Vantage 75 C + M 10 GW</v>
      </c>
      <c r="DC831" t="str">
        <f>INDEX('Data_Price '!AL$2:AL$1266,MATCH(Data!$DN831,'Data_Price '!$AT$2:$AT$1266,0))</f>
        <v>Spoke-N-Sport</v>
      </c>
      <c r="DD831">
        <f>INDEX('Data_Price '!AM$2:AM$1266,MATCH(Data!$DN831,'Data_Price '!$AT$2:$AT$1266,0))</f>
        <v>335.99</v>
      </c>
      <c r="DE831" t="str">
        <f>INDEX('Data_Price '!AN$2:AN$1266,MATCH(Data!$DN831,'Data_Price '!$AT$2:$AT$1266,0))</f>
        <v>https://tinyurl.com/y9eftybv</v>
      </c>
      <c r="DF831" t="str">
        <f>INDEX('Data_Price '!AO$2:AO$1266,MATCH(Data!$DN831,'Data_Price '!$AT$2:$AT$1266,0))</f>
        <v>Atomic Vantage 75 C Skis + M 10 GW Bindings 161</v>
      </c>
      <c r="DG831" t="str">
        <f>INDEX('Data_Price '!AP$2:AP$1266,MATCH(Data!$DN831,'Data_Price '!$AT$2:$AT$1266,0))</f>
        <v>Sundown Ski &amp; Patio Greenvale</v>
      </c>
      <c r="DH831">
        <f>INDEX('Data_Price '!AQ$2:AQ$1266,MATCH(Data!$DN831,'Data_Price '!$AT$2:$AT$1266,0))</f>
        <v>399.99</v>
      </c>
      <c r="DI831" t="str">
        <f>INDEX('Data_Price '!AR$2:AR$1266,MATCH(Data!$DN831,'Data_Price '!$AT$2:$AT$1266,0))</f>
        <v>https://tinyurl.com/yagyft6y</v>
      </c>
      <c r="DJ831" s="89" t="str">
        <f t="shared" si="476"/>
        <v>https://tinyurl.com/yb9bosyq</v>
      </c>
      <c r="DK831" s="89" t="str">
        <f t="shared" si="477"/>
        <v>https://tinyurl.com/y9eftybv</v>
      </c>
      <c r="DL831" s="89" t="str">
        <f t="shared" si="478"/>
        <v>https://tinyurl.com/yagyft6y</v>
      </c>
      <c r="DM831" s="219" t="str">
        <f t="shared" si="479"/>
        <v>Vantage 75 C</v>
      </c>
      <c r="DN831" s="89" t="str">
        <f t="shared" si="480"/>
        <v xml:space="preserve"> AtomicVantage 75 C161 Unisex</v>
      </c>
      <c r="DO831" s="221" t="s">
        <v>161</v>
      </c>
    </row>
    <row r="832" spans="1:119" ht="15.6" customHeight="1">
      <c r="B832" s="219" t="b">
        <f t="array" ref="B832">IF(OR(ISERROR(K832:P832)),FALSE,TRUE)</f>
        <v>1</v>
      </c>
      <c r="C832" s="43" t="b">
        <f>OR(BR832=Driver!$G$50,Data!BR836=Driver!$H$50)</f>
        <v>1</v>
      </c>
      <c r="D832" s="43" t="b">
        <f>OR(BV832=Driver!$G$51,BV832=Driver!$H$51)</f>
        <v>1</v>
      </c>
      <c r="E832" s="43" t="b">
        <f>AND(BX832&gt;Driver!$F$54,BX832&lt;Driver!$G$54)</f>
        <v>0</v>
      </c>
      <c r="F832" s="43" t="b">
        <f>CL832&gt;Driver!$F$56</f>
        <v>1</v>
      </c>
      <c r="G832" s="43" t="b">
        <f>AND(CB832&gt;Driver!$F$55,CB832&lt;Driver!$G$55)</f>
        <v>0</v>
      </c>
      <c r="H832" s="43" t="b">
        <f t="shared" si="444"/>
        <v>0</v>
      </c>
      <c r="I832" s="43">
        <f t="shared" si="445"/>
        <v>0</v>
      </c>
      <c r="J832" s="43" t="b">
        <f t="array" ref="J832">NOT(OR(($H$9:$H$1273=TRUE)*($I$9:$I$1273&gt;0)*($BT$9:$BT$1273=BT832)*($K$9:$K$1273&gt;K832)))</f>
        <v>1</v>
      </c>
      <c r="K832" s="72">
        <f t="shared" si="446"/>
        <v>0.80174679763108703</v>
      </c>
      <c r="L832" s="72">
        <f t="shared" si="447"/>
        <v>0.83280017012266572</v>
      </c>
      <c r="M832" s="72">
        <f t="shared" si="448"/>
        <v>0.77069342513950845</v>
      </c>
      <c r="N832" s="72">
        <f t="shared" si="449"/>
        <v>0.73154927006861037</v>
      </c>
      <c r="O832" s="72">
        <f t="shared" si="450"/>
        <v>0.6815641401228113</v>
      </c>
      <c r="P832" s="72">
        <f t="shared" si="451"/>
        <v>0.89896686522710345</v>
      </c>
      <c r="Q832" s="72"/>
      <c r="R832" s="72"/>
      <c r="S832" s="72">
        <f t="shared" si="452"/>
        <v>0.43665766798865246</v>
      </c>
      <c r="T832" s="72">
        <f t="shared" si="453"/>
        <v>0.45835924300568265</v>
      </c>
      <c r="U832" s="72">
        <f t="shared" si="454"/>
        <v>0.64026142173417788</v>
      </c>
      <c r="V832" s="72">
        <f t="shared" si="455"/>
        <v>0.50691887592179441</v>
      </c>
      <c r="W832" s="72">
        <f t="shared" si="456"/>
        <v>0.97293035479632062</v>
      </c>
      <c r="X832" s="72">
        <f t="shared" si="457"/>
        <v>0.16719982987733423</v>
      </c>
      <c r="Y832" s="72">
        <f t="shared" si="458"/>
        <v>0.22930657486049158</v>
      </c>
      <c r="Z832" s="72">
        <f t="shared" si="459"/>
        <v>0.26845072993138958</v>
      </c>
      <c r="AA832" s="72">
        <f t="shared" si="460"/>
        <v>0.3184358598771887</v>
      </c>
      <c r="AB832" s="72">
        <f t="shared" si="461"/>
        <v>0.10103313477289649</v>
      </c>
      <c r="AC832" s="72"/>
      <c r="AD832" s="72"/>
      <c r="AE832" s="72">
        <f t="shared" si="462"/>
        <v>0.56334233201134754</v>
      </c>
      <c r="AF832" s="72">
        <f t="shared" si="463"/>
        <v>0.54164075699431735</v>
      </c>
      <c r="AG832" s="72">
        <f t="shared" si="464"/>
        <v>0.35973857826582212</v>
      </c>
      <c r="AH832" s="72">
        <f t="shared" si="465"/>
        <v>0.49308112407820559</v>
      </c>
      <c r="AI832" s="72">
        <f t="shared" si="466"/>
        <v>2.7069645203679382E-2</v>
      </c>
      <c r="AJ832" s="72">
        <f>(AV832-Driver!$K$179)/(Driver!$L$179-Driver!$K$179)</f>
        <v>8.7019579405366212E-2</v>
      </c>
      <c r="AK832" s="72">
        <f>(AW832-Driver!$K$180)/(Driver!$L$180-Driver!$K$180)</f>
        <v>0.17010774218858046</v>
      </c>
      <c r="AL832" s="72">
        <f>(AX832-Driver!$K$181)/(Driver!$L$181-Driver!$K$181)</f>
        <v>0.37013849364446977</v>
      </c>
      <c r="AM832" s="72">
        <f>(AY832-Driver!$K$182)/(Driver!$L$182-Driver!$K$182)</f>
        <v>0.12894916121985764</v>
      </c>
      <c r="AN832" s="72">
        <f>(AZ832-Driver!$K$183)/(Driver!$L$183-Driver!$K$183)</f>
        <v>0.15318627450980393</v>
      </c>
      <c r="AO832" s="72"/>
      <c r="AP832" s="72"/>
      <c r="AQ832" s="72">
        <f>(BC832-Driver!$K$188)/(Driver!$L$188-Driver!$K$188)</f>
        <v>5.6657667988652481E-2</v>
      </c>
      <c r="AR832" s="72">
        <f>MIN((BD832-Driver!$K$189)/(Driver!$L$189-Driver!$K$189),100%)</f>
        <v>8.3592430056826719E-3</v>
      </c>
      <c r="AS832" s="72">
        <f>(BE832-Driver!$K$190)/(Driver!$L$190-Driver!$K$190)</f>
        <v>0.15026142173417789</v>
      </c>
      <c r="AT832" s="72">
        <f>(BF832-Driver!$K$191)/(Driver!$L$191-Driver!$K$191)</f>
        <v>1.6918875921794425E-2</v>
      </c>
      <c r="AU832" s="72">
        <f>(BG832-Driver!$K$192)/(Driver!$L$192-Driver!$K$192)</f>
        <v>0.22293035479632062</v>
      </c>
      <c r="AV832" s="70">
        <f t="shared" si="467"/>
        <v>1.8315018315018317</v>
      </c>
      <c r="AW832" s="70">
        <f t="shared" si="468"/>
        <v>18.450399405667184</v>
      </c>
      <c r="AX832" s="70">
        <f t="shared" si="469"/>
        <v>4.3312464428002277</v>
      </c>
      <c r="AY832" s="70">
        <f>IFERROR(Driver!$K$19/Data!BH832/Data!BI832*Data!BK832*Data!BL832,"")</f>
        <v>0.15787224804938307</v>
      </c>
      <c r="AZ832" s="70">
        <f t="shared" si="470"/>
        <v>13.961280714817574</v>
      </c>
      <c r="BA832" s="70"/>
      <c r="BB832" s="70"/>
      <c r="BC832" s="70">
        <f t="shared" si="471"/>
        <v>29.388726263431792</v>
      </c>
      <c r="BD832" s="70">
        <f t="shared" si="472"/>
        <v>2.4606010783984917</v>
      </c>
      <c r="BE832" s="70">
        <f t="shared" si="473"/>
        <v>0.15041300553232542</v>
      </c>
      <c r="BF832" s="70">
        <f t="shared" si="474"/>
        <v>1.9108681735362192</v>
      </c>
      <c r="BG832" s="70">
        <f t="shared" si="475"/>
        <v>0.84415653745072272</v>
      </c>
      <c r="BH832" s="67">
        <f>MAX((CE832-Driver!$F$200)/(Driver!$G$200-Driver!$F$200)*$BI$1,1)</f>
        <v>4.3312464428002277</v>
      </c>
      <c r="BI832" s="67">
        <f>MAX($BI$1*(BY832-Driver!$F$201)/(Driver!$G$201-Driver!$F$201),1)</f>
        <v>7.9113924050632916</v>
      </c>
      <c r="BJ832" s="67">
        <f>(CB832-Driver!$F$206)/(Driver!$G$206-Driver!$F$206)*$BI$1</f>
        <v>4.2857142857142856</v>
      </c>
      <c r="BK832" s="67">
        <f>(CD832-Driver!$F$203)/(Driver!$G$203-Driver!$F$203)*$BI$1</f>
        <v>4.3577981651376145</v>
      </c>
      <c r="BL832" s="67">
        <f>MAX((CR832-Driver!$F$202)/(Driver!$G$202-Driver!$F$202)*$BI$1,1)</f>
        <v>6.2068965517241379</v>
      </c>
      <c r="BM832" s="67">
        <f>MAX((CH832-Driver!$F$204)/(Driver!$G$204-Driver!$F$204)*$BI$1,1)</f>
        <v>1.7094017094017095</v>
      </c>
      <c r="BN832" s="67">
        <f>(CI832-Driver!$F$205)/(Driver!$G$205-Driver!$F$205)*$BI$1</f>
        <v>1.7647058823529413</v>
      </c>
      <c r="BO832" s="67">
        <f>(CK832-Driver!$F$207)/(Driver!$G$207-Driver!$F$207)*$BI$1</f>
        <v>0.9203722854188211</v>
      </c>
      <c r="BP832" s="67">
        <f>(CM832-Driver!$F$208)/(Driver!$G$208-Driver!$F$208)*$BI$1</f>
        <v>2.1111111111111112</v>
      </c>
      <c r="BQ832" s="67">
        <f>(CL832-Driver!$F$209)/(Driver!$G$209-Driver!$F$209)*$BI$1</f>
        <v>6.25</v>
      </c>
      <c r="BR832" s="28" t="s">
        <v>155</v>
      </c>
      <c r="BS832" s="8" t="s">
        <v>208</v>
      </c>
      <c r="BT832" s="9" t="s">
        <v>482</v>
      </c>
      <c r="BU832" s="10">
        <v>172</v>
      </c>
      <c r="BV832" s="9" t="s">
        <v>158</v>
      </c>
      <c r="BW832" s="10">
        <v>172</v>
      </c>
      <c r="BX832" s="10">
        <v>171.4</v>
      </c>
      <c r="BY832" s="10">
        <v>133</v>
      </c>
      <c r="BZ832" s="10">
        <v>147</v>
      </c>
      <c r="CA832" s="10">
        <v>120</v>
      </c>
      <c r="CB832" s="10">
        <v>91</v>
      </c>
      <c r="CC832" s="10">
        <v>117</v>
      </c>
      <c r="CD832" s="10">
        <v>18.899999999999999</v>
      </c>
      <c r="CE832" s="10">
        <v>1661</v>
      </c>
      <c r="CF832" s="10">
        <v>1.04</v>
      </c>
      <c r="CG832" s="10">
        <v>1728</v>
      </c>
      <c r="CH832" s="10">
        <v>141</v>
      </c>
      <c r="CI832" s="10">
        <v>63</v>
      </c>
      <c r="CJ832" s="10">
        <v>46</v>
      </c>
      <c r="CK832" s="10">
        <v>199</v>
      </c>
      <c r="CL832" s="10">
        <v>40</v>
      </c>
      <c r="CM832" s="10">
        <v>190</v>
      </c>
      <c r="CN832" s="10">
        <v>0.88500000000000001</v>
      </c>
      <c r="CO832" s="10">
        <v>123</v>
      </c>
      <c r="CP832" s="10">
        <v>126</v>
      </c>
      <c r="CQ832" s="10">
        <v>76</v>
      </c>
      <c r="CR832" s="10">
        <v>7</v>
      </c>
      <c r="CS832" s="10">
        <v>3.4</v>
      </c>
      <c r="CT832" s="9" t="s">
        <v>184</v>
      </c>
      <c r="CU832" s="10"/>
      <c r="CV832" s="10"/>
      <c r="CW832" s="10"/>
      <c r="CX832" t="str">
        <f>INDEX('Data_Price '!AG$2:AG$1266,MATCH(Data!$DN832,'Data_Price '!$AT$2:$AT$1266,0))</f>
        <v>Line Honey Badger Skis 2022</v>
      </c>
      <c r="CY832" t="str">
        <f>INDEX('Data_Price '!AH$2:AH$1266,MATCH(Data!$DN832,'Data_Price '!$AT$2:$AT$1266,0))</f>
        <v>Suburban Ski and Bike</v>
      </c>
      <c r="CZ832">
        <f>INDEX('Data_Price '!AI$2:AI$1266,MATCH(Data!$DN832,'Data_Price '!$AT$2:$AT$1266,0))</f>
        <v>349.95</v>
      </c>
      <c r="DA832" t="str">
        <f>INDEX('Data_Price '!AJ$2:AJ$1266,MATCH(Data!$DN832,'Data_Price '!$AT$2:$AT$1266,0))</f>
        <v>https://tinyurl.com/y7hwgvep</v>
      </c>
      <c r="DB832">
        <f>INDEX('Data_Price '!AK$2:AK$1266,MATCH(Data!$DN832,'Data_Price '!$AT$2:$AT$1266,0))</f>
        <v>0</v>
      </c>
      <c r="DC832">
        <f>INDEX('Data_Price '!AL$2:AL$1266,MATCH(Data!$DN832,'Data_Price '!$AT$2:$AT$1266,0))</f>
        <v>0</v>
      </c>
      <c r="DD832">
        <f>INDEX('Data_Price '!AM$2:AM$1266,MATCH(Data!$DN832,'Data_Price '!$AT$2:$AT$1266,0))</f>
        <v>0</v>
      </c>
      <c r="DE832">
        <f>INDEX('Data_Price '!AN$2:AN$1266,MATCH(Data!$DN832,'Data_Price '!$AT$2:$AT$1266,0))</f>
        <v>0</v>
      </c>
      <c r="DF832">
        <f>INDEX('Data_Price '!AO$2:AO$1266,MATCH(Data!$DN832,'Data_Price '!$AT$2:$AT$1266,0))</f>
        <v>0</v>
      </c>
      <c r="DG832">
        <f>INDEX('Data_Price '!AP$2:AP$1266,MATCH(Data!$DN832,'Data_Price '!$AT$2:$AT$1266,0))</f>
        <v>0</v>
      </c>
      <c r="DH832">
        <f>INDEX('Data_Price '!AQ$2:AQ$1266,MATCH(Data!$DN832,'Data_Price '!$AT$2:$AT$1266,0))</f>
        <v>0</v>
      </c>
      <c r="DI832">
        <f>INDEX('Data_Price '!AR$2:AR$1266,MATCH(Data!$DN832,'Data_Price '!$AT$2:$AT$1266,0))</f>
        <v>0</v>
      </c>
      <c r="DJ832" s="89" t="str">
        <f t="shared" si="476"/>
        <v>https://tinyurl.com/y7hwgvep</v>
      </c>
      <c r="DK832" s="89">
        <f t="shared" si="477"/>
        <v>0</v>
      </c>
      <c r="DL832" s="89">
        <f t="shared" si="478"/>
        <v>0</v>
      </c>
      <c r="DM832" s="219" t="str">
        <f t="shared" si="479"/>
        <v>Honey Badger</v>
      </c>
      <c r="DN832" s="89" t="str">
        <f t="shared" si="480"/>
        <v xml:space="preserve"> LineHoney Badger172 Unisex</v>
      </c>
      <c r="DO832" s="221" t="s">
        <v>483</v>
      </c>
    </row>
    <row r="833" spans="2:119" ht="15.6" customHeight="1">
      <c r="B833" s="219" t="b">
        <f t="array" ref="B833">IF(OR(ISERROR(K833:P833)),FALSE,TRUE)</f>
        <v>1</v>
      </c>
      <c r="C833" s="43" t="b">
        <f>OR(BR833=Driver!$G$50,Data!BR888=Driver!$H$50)</f>
        <v>1</v>
      </c>
      <c r="D833" s="43" t="b">
        <f>OR(BV833=Driver!$G$51,BV833=Driver!$H$51)</f>
        <v>0</v>
      </c>
      <c r="E833" s="43" t="b">
        <f>AND(BX833&gt;Driver!$F$54,BX833&lt;Driver!$G$54)</f>
        <v>1</v>
      </c>
      <c r="F833" s="43" t="b">
        <f>CL833&gt;Driver!$F$56</f>
        <v>1</v>
      </c>
      <c r="G833" s="43" t="b">
        <f>AND(CB833&gt;Driver!$F$55,CB833&lt;Driver!$G$55)</f>
        <v>0</v>
      </c>
      <c r="H833" s="43" t="b">
        <f t="shared" si="444"/>
        <v>0</v>
      </c>
      <c r="I833" s="43">
        <f t="shared" si="445"/>
        <v>0</v>
      </c>
      <c r="J833" s="43" t="b">
        <f t="array" ref="J833">NOT(OR(($H$9:$H$1273=TRUE)*($I$9:$I$1273&gt;0)*($BT$9:$BT$1273=BT833)*($K$9:$K$1273&gt;K833)))</f>
        <v>1</v>
      </c>
      <c r="K833" s="72">
        <f t="shared" si="446"/>
        <v>0.76381770985275932</v>
      </c>
      <c r="L833" s="72">
        <f t="shared" si="447"/>
        <v>0.7914658699051168</v>
      </c>
      <c r="M833" s="72">
        <f t="shared" si="448"/>
        <v>0.73616954980040195</v>
      </c>
      <c r="N833" s="72">
        <f t="shared" si="449"/>
        <v>0.7125775379494681</v>
      </c>
      <c r="O833" s="72">
        <f t="shared" si="450"/>
        <v>0.59067339655143158</v>
      </c>
      <c r="P833" s="72">
        <f t="shared" si="451"/>
        <v>0.90525771490030604</v>
      </c>
      <c r="Q833" s="72"/>
      <c r="R833" s="72"/>
      <c r="S833" s="72">
        <f t="shared" si="452"/>
        <v>0.41441313488911868</v>
      </c>
      <c r="T833" s="72">
        <f t="shared" si="453"/>
        <v>0.79090267255078028</v>
      </c>
      <c r="U833" s="72">
        <f t="shared" si="454"/>
        <v>0.51</v>
      </c>
      <c r="V833" s="72">
        <f t="shared" si="455"/>
        <v>0.49456041330148559</v>
      </c>
      <c r="W833" s="72">
        <f t="shared" si="456"/>
        <v>0.78404370597796635</v>
      </c>
      <c r="X833" s="72">
        <f t="shared" si="457"/>
        <v>0.2085341300948832</v>
      </c>
      <c r="Y833" s="72">
        <f t="shared" si="458"/>
        <v>0.26383045019959811</v>
      </c>
      <c r="Z833" s="72">
        <f t="shared" si="459"/>
        <v>0.28742246205053196</v>
      </c>
      <c r="AA833" s="72">
        <f t="shared" si="460"/>
        <v>0.40932660344856842</v>
      </c>
      <c r="AB833" s="72">
        <f t="shared" si="461"/>
        <v>9.4742285099693901E-2</v>
      </c>
      <c r="AC833" s="72"/>
      <c r="AD833" s="72"/>
      <c r="AE833" s="72">
        <f t="shared" si="462"/>
        <v>0.58558686511088132</v>
      </c>
      <c r="AF833" s="72">
        <f t="shared" si="463"/>
        <v>0.20909732744921972</v>
      </c>
      <c r="AG833" s="72">
        <f t="shared" si="464"/>
        <v>0.49</v>
      </c>
      <c r="AH833" s="72">
        <f t="shared" si="465"/>
        <v>0.50543958669851441</v>
      </c>
      <c r="AI833" s="72">
        <f t="shared" si="466"/>
        <v>0.21595629402203359</v>
      </c>
      <c r="AJ833" s="72">
        <f>(AV833-Driver!$K$179)/(Driver!$L$179-Driver!$K$179)</f>
        <v>4.5685279187817243E-2</v>
      </c>
      <c r="AK833" s="72">
        <f>(AW833-Driver!$K$180)/(Driver!$L$180-Driver!$K$180)</f>
        <v>0.17660085584969568</v>
      </c>
      <c r="AL833" s="72">
        <f>(AX833-Driver!$K$181)/(Driver!$L$181-Driver!$K$181)</f>
        <v>0.38911022576361215</v>
      </c>
      <c r="AM833" s="72">
        <f>(AY833-Driver!$K$182)/(Driver!$L$182-Driver!$K$182)</f>
        <v>3.8058417648477963E-2</v>
      </c>
      <c r="AN833" s="72">
        <f>(AZ833-Driver!$K$183)/(Driver!$L$183-Driver!$K$183)</f>
        <v>0.15947712418300652</v>
      </c>
      <c r="AO833" s="72"/>
      <c r="AP833" s="72"/>
      <c r="AQ833" s="72">
        <f>(BC833-Driver!$K$188)/(Driver!$L$188-Driver!$K$188)</f>
        <v>3.44131348891187E-2</v>
      </c>
      <c r="AR833" s="72">
        <f>MIN((BD833-Driver!$K$189)/(Driver!$L$189-Driver!$K$189),100%)</f>
        <v>0.34090267255078033</v>
      </c>
      <c r="AS833" s="72">
        <f>(BE833-Driver!$K$190)/(Driver!$L$190-Driver!$K$190)</f>
        <v>1</v>
      </c>
      <c r="AT833" s="72">
        <f>(BF833-Driver!$K$191)/(Driver!$L$191-Driver!$K$191)</f>
        <v>4.5604133014855537E-3</v>
      </c>
      <c r="AU833" s="72">
        <f>(BG833-Driver!$K$192)/(Driver!$L$192-Driver!$K$192)</f>
        <v>3.4043705977966403E-2</v>
      </c>
      <c r="AV833" s="70">
        <f t="shared" si="467"/>
        <v>0.96153846153846134</v>
      </c>
      <c r="AW833" s="70">
        <f t="shared" si="468"/>
        <v>19.083210866782828</v>
      </c>
      <c r="AX833" s="70">
        <f t="shared" si="469"/>
        <v>4.5019920318725095</v>
      </c>
      <c r="AY833" s="70">
        <f>IFERROR(Driver!$K$19/Data!BH833/Data!BI833*Data!BK833*Data!BL833,"")</f>
        <v>4.6594858737570966E-2</v>
      </c>
      <c r="AZ833" s="70">
        <f t="shared" si="470"/>
        <v>14.534623976172748</v>
      </c>
      <c r="BA833" s="70"/>
      <c r="BB833" s="70"/>
      <c r="BC833" s="70">
        <f t="shared" si="471"/>
        <v>17.850332303218352</v>
      </c>
      <c r="BD833" s="70">
        <f t="shared" si="472"/>
        <v>31.890105361049176</v>
      </c>
      <c r="BE833" s="70">
        <f t="shared" si="473"/>
        <v>1</v>
      </c>
      <c r="BF833" s="70">
        <f t="shared" si="474"/>
        <v>0.51506664368608535</v>
      </c>
      <c r="BG833" s="70">
        <f t="shared" si="475"/>
        <v>0.12891118836915297</v>
      </c>
      <c r="BH833" s="67">
        <f>MAX((CE833-Driver!$F$200)/(Driver!$G$200-Driver!$F$200)*$BI$1,1)</f>
        <v>4.5019920318725095</v>
      </c>
      <c r="BI833" s="67">
        <f>MAX($BI$1*(BY833-Driver!$F$201)/(Driver!$G$201-Driver!$F$201),1)</f>
        <v>7.7215189873417724</v>
      </c>
      <c r="BJ833" s="67">
        <f>(CB833-Driver!$F$206)/(Driver!$G$206-Driver!$F$206)*$BI$1</f>
        <v>1.4285714285714284</v>
      </c>
      <c r="BK833" s="67">
        <f>(CD833-Driver!$F$203)/(Driver!$G$203-Driver!$F$203)*$BI$1</f>
        <v>1.4678899082568806</v>
      </c>
      <c r="BL833" s="67">
        <f>MAX((CR833-Driver!$F$202)/(Driver!$G$202-Driver!$F$202)*$BI$1,1)</f>
        <v>5.5172413793103452</v>
      </c>
      <c r="BM833" s="67">
        <f>MAX((CH833-Driver!$F$204)/(Driver!$G$204-Driver!$F$204)*$BI$1,1)</f>
        <v>2.6923076923076921</v>
      </c>
      <c r="BN833" s="67">
        <f>(CI833-Driver!$F$205)/(Driver!$G$205-Driver!$F$205)*$BI$1</f>
        <v>1.8823529411764706</v>
      </c>
      <c r="BO833" s="67">
        <f>(CK833-Driver!$F$207)/(Driver!$G$207-Driver!$F$207)*$BI$1</f>
        <v>0.50672182006204758</v>
      </c>
      <c r="BP833" s="67">
        <f>(CM833-Driver!$F$208)/(Driver!$G$208-Driver!$F$208)*$BI$1</f>
        <v>1.0444444444444445</v>
      </c>
      <c r="BQ833" s="67">
        <f>(CL833-Driver!$F$209)/(Driver!$G$209-Driver!$F$209)*$BI$1</f>
        <v>1.5625</v>
      </c>
      <c r="BR833" s="28" t="s">
        <v>155</v>
      </c>
      <c r="BS833" s="8" t="s">
        <v>332</v>
      </c>
      <c r="BT833" s="9" t="s">
        <v>738</v>
      </c>
      <c r="BU833" s="10">
        <v>156</v>
      </c>
      <c r="BV833" s="9" t="s">
        <v>163</v>
      </c>
      <c r="BW833" s="10">
        <v>156</v>
      </c>
      <c r="BX833" s="10">
        <v>155.19999999999999</v>
      </c>
      <c r="BY833" s="10">
        <v>130</v>
      </c>
      <c r="BZ833" s="10">
        <v>141</v>
      </c>
      <c r="CA833" s="10">
        <v>122</v>
      </c>
      <c r="CB833" s="10">
        <v>73</v>
      </c>
      <c r="CC833" s="10">
        <v>99</v>
      </c>
      <c r="CD833" s="10">
        <v>12.6</v>
      </c>
      <c r="CE833" s="10">
        <v>1691</v>
      </c>
      <c r="CF833" s="10">
        <v>0.8</v>
      </c>
      <c r="CG833" s="10">
        <v>1346</v>
      </c>
      <c r="CH833" s="10">
        <v>164</v>
      </c>
      <c r="CI833" s="10">
        <v>65</v>
      </c>
      <c r="CJ833" s="10">
        <v>38</v>
      </c>
      <c r="CK833" s="10">
        <v>159</v>
      </c>
      <c r="CL833" s="10">
        <v>10</v>
      </c>
      <c r="CM833" s="10">
        <v>94</v>
      </c>
      <c r="CN833" s="10">
        <v>0.26300000000000001</v>
      </c>
      <c r="CO833" s="10">
        <v>64</v>
      </c>
      <c r="CP833" s="10">
        <v>82</v>
      </c>
      <c r="CQ833" s="10">
        <v>95</v>
      </c>
      <c r="CR833" s="10">
        <v>5</v>
      </c>
      <c r="CS833" s="10">
        <v>9.1</v>
      </c>
      <c r="CT833" s="9" t="s">
        <v>160</v>
      </c>
      <c r="CU833" s="10"/>
      <c r="CV833" s="10"/>
      <c r="CW833" s="10"/>
      <c r="CX833" t="str">
        <f>INDEX('Data_Price '!AG$2:AG$1266,MATCH(Data!$DN833,'Data_Price '!$AT$2:$AT$1266,0))</f>
        <v>Nordica Women's Wild Belle 74 w/ TP2 10 Skis 156</v>
      </c>
      <c r="CY833" t="str">
        <f>INDEX('Data_Price '!AH$2:AH$1266,MATCH(Data!$DN833,'Data_Price '!$AT$2:$AT$1266,0))</f>
        <v>SkiEssentials.com</v>
      </c>
      <c r="CZ833">
        <f>INDEX('Data_Price '!AI$2:AI$1266,MATCH(Data!$DN833,'Data_Price '!$AT$2:$AT$1266,0))</f>
        <v>399.99</v>
      </c>
      <c r="DA833" t="str">
        <f>INDEX('Data_Price '!AJ$2:AJ$1266,MATCH(Data!$DN833,'Data_Price '!$AT$2:$AT$1266,0))</f>
        <v>https://tinyurl.com/y7zrqljo</v>
      </c>
      <c r="DB833" t="str">
        <f>INDEX('Data_Price '!AK$2:AK$1266,MATCH(Data!$DN833,'Data_Price '!$AT$2:$AT$1266,0))</f>
        <v>Nordica Wild Belle DC 84 Ski &amp; Binding (156CM)</v>
      </c>
      <c r="DC833" t="str">
        <f>INDEX('Data_Price '!AL$2:AL$1266,MATCH(Data!$DN833,'Data_Price '!$AT$2:$AT$1266,0))</f>
        <v>Ski World</v>
      </c>
      <c r="DD833">
        <f>INDEX('Data_Price '!AM$2:AM$1266,MATCH(Data!$DN833,'Data_Price '!$AT$2:$AT$1266,0))</f>
        <v>599.99</v>
      </c>
      <c r="DE833" t="str">
        <f>INDEX('Data_Price '!AN$2:AN$1266,MATCH(Data!$DN833,'Data_Price '!$AT$2:$AT$1266,0))</f>
        <v>https://tinyurl.com/ya6eggqm</v>
      </c>
      <c r="DF833" t="str">
        <f>INDEX('Data_Price '!AO$2:AO$1266,MATCH(Data!$DN833,'Data_Price '!$AT$2:$AT$1266,0))</f>
        <v>Nordica Navigator 75 CA Skis w/ TP2 Compact 10 Bindings</v>
      </c>
      <c r="DG833" t="str">
        <f>INDEX('Data_Price '!AP$2:AP$1266,MATCH(Data!$DN833,'Data_Price '!$AT$2:$AT$1266,0))</f>
        <v>Utah SKI Gear</v>
      </c>
      <c r="DH833">
        <f>INDEX('Data_Price '!AQ$2:AQ$1266,MATCH(Data!$DN833,'Data_Price '!$AT$2:$AT$1266,0))</f>
        <v>359.99</v>
      </c>
      <c r="DI833" t="str">
        <f>INDEX('Data_Price '!AR$2:AR$1266,MATCH(Data!$DN833,'Data_Price '!$AT$2:$AT$1266,0))</f>
        <v>https://tinyurl.com/yc85nun9</v>
      </c>
      <c r="DJ833" s="89" t="str">
        <f t="shared" si="476"/>
        <v>https://tinyurl.com/y7zrqljo</v>
      </c>
      <c r="DK833" s="89" t="str">
        <f t="shared" si="477"/>
        <v>https://tinyurl.com/ya6eggqm</v>
      </c>
      <c r="DL833" s="89" t="str">
        <f t="shared" si="478"/>
        <v>https://tinyurl.com/yc85nun9</v>
      </c>
      <c r="DM833" s="219" t="str">
        <f t="shared" si="479"/>
        <v>Belle 73</v>
      </c>
      <c r="DN833" s="89" t="str">
        <f t="shared" si="480"/>
        <v xml:space="preserve"> NordicaBelle 73156 Women's</v>
      </c>
      <c r="DO833" s="221"/>
    </row>
    <row r="834" spans="2:119" ht="15.6" customHeight="1">
      <c r="B834" s="219" t="b">
        <f t="array" ref="B834">IF(OR(ISERROR(K834:P834)),FALSE,TRUE)</f>
        <v>1</v>
      </c>
      <c r="C834" s="43" t="b">
        <f>OR(BR834=Driver!$G$50,Data!BR918=Driver!$H$50)</f>
        <v>1</v>
      </c>
      <c r="D834" s="43" t="b">
        <f>OR(BV834=Driver!$G$51,BV834=Driver!$H$51)</f>
        <v>0</v>
      </c>
      <c r="E834" s="43" t="b">
        <f>AND(BX834&gt;Driver!$F$54,BX834&lt;Driver!$G$54)</f>
        <v>0</v>
      </c>
      <c r="F834" s="43" t="b">
        <f>CL834&gt;Driver!$F$56</f>
        <v>1</v>
      </c>
      <c r="G834" s="43" t="b">
        <f>AND(CB834&gt;Driver!$F$55,CB834&lt;Driver!$G$55)</f>
        <v>0</v>
      </c>
      <c r="H834" s="43" t="b">
        <f t="shared" si="444"/>
        <v>0</v>
      </c>
      <c r="I834" s="43">
        <f t="shared" si="445"/>
        <v>0</v>
      </c>
      <c r="J834" s="43" t="b">
        <f t="array" ref="J834">NOT(OR(($H$9:$H$1273=TRUE)*($I$9:$I$1273&gt;0)*($BT$9:$BT$1273=BT834)*($K$9:$K$1273&gt;K834)))</f>
        <v>1</v>
      </c>
      <c r="K834" s="72">
        <f t="shared" si="446"/>
        <v>0.82645894444473789</v>
      </c>
      <c r="L834" s="72">
        <f t="shared" si="447"/>
        <v>0.84069639121685635</v>
      </c>
      <c r="M834" s="72">
        <f t="shared" si="448"/>
        <v>0.81222149767261931</v>
      </c>
      <c r="N834" s="72">
        <f t="shared" si="449"/>
        <v>0.89723573057578809</v>
      </c>
      <c r="O834" s="72">
        <f t="shared" si="450"/>
        <v>0.62036385799928007</v>
      </c>
      <c r="P834" s="72">
        <f t="shared" si="451"/>
        <v>0.91906490444278977</v>
      </c>
      <c r="Q834" s="72"/>
      <c r="R834" s="72"/>
      <c r="S834" s="72">
        <f t="shared" si="452"/>
        <v>0.40734377582915537</v>
      </c>
      <c r="T834" s="72">
        <f t="shared" si="453"/>
        <v>0.51782520949704769</v>
      </c>
      <c r="U834" s="72">
        <f t="shared" si="454"/>
        <v>0.82432797464180774</v>
      </c>
      <c r="V834" s="72">
        <f t="shared" si="455"/>
        <v>0.53337814905042569</v>
      </c>
      <c r="W834" s="72">
        <f t="shared" si="456"/>
        <v>0.84322031159092381</v>
      </c>
      <c r="X834" s="72">
        <f t="shared" si="457"/>
        <v>0.15930360878314359</v>
      </c>
      <c r="Y834" s="72">
        <f t="shared" si="458"/>
        <v>0.18777850232738069</v>
      </c>
      <c r="Z834" s="72">
        <f t="shared" si="459"/>
        <v>0.10276426942421195</v>
      </c>
      <c r="AA834" s="72">
        <f t="shared" si="460"/>
        <v>0.37963614200071993</v>
      </c>
      <c r="AB834" s="72">
        <f t="shared" si="461"/>
        <v>8.0935095557210207E-2</v>
      </c>
      <c r="AC834" s="72"/>
      <c r="AD834" s="72"/>
      <c r="AE834" s="72">
        <f t="shared" si="462"/>
        <v>0.59265622417084463</v>
      </c>
      <c r="AF834" s="72">
        <f t="shared" si="463"/>
        <v>0.48217479050295231</v>
      </c>
      <c r="AG834" s="72">
        <f t="shared" si="464"/>
        <v>0.17567202535819226</v>
      </c>
      <c r="AH834" s="72">
        <f t="shared" si="465"/>
        <v>0.46662185094957426</v>
      </c>
      <c r="AI834" s="72">
        <f t="shared" si="466"/>
        <v>0.15677968840907622</v>
      </c>
      <c r="AJ834" s="72">
        <f>(AV834-Driver!$K$179)/(Driver!$L$179-Driver!$K$179)</f>
        <v>9.4915800499556835E-2</v>
      </c>
      <c r="AK834" s="72">
        <f>(AW834-Driver!$K$180)/(Driver!$L$180-Driver!$K$180)</f>
        <v>0.17283314321463197</v>
      </c>
      <c r="AL834" s="72">
        <f>(AX834-Driver!$K$181)/(Driver!$L$181-Driver!$K$181)</f>
        <v>0.20445203313729213</v>
      </c>
      <c r="AM834" s="72">
        <f>(AY834-Driver!$K$182)/(Driver!$L$182-Driver!$K$182)</f>
        <v>6.7748879096326459E-2</v>
      </c>
      <c r="AN834" s="72">
        <f>(AZ834-Driver!$K$183)/(Driver!$L$183-Driver!$K$183)</f>
        <v>0.17328431372549022</v>
      </c>
      <c r="AO834" s="72"/>
      <c r="AP834" s="72"/>
      <c r="AQ834" s="72">
        <f>(BC834-Driver!$K$188)/(Driver!$L$188-Driver!$K$188)</f>
        <v>2.7343775829155342E-2</v>
      </c>
      <c r="AR834" s="72">
        <f>MIN((BD834-Driver!$K$189)/(Driver!$L$189-Driver!$K$189),100%)</f>
        <v>6.7825209497047761E-2</v>
      </c>
      <c r="AS834" s="72">
        <f>(BE834-Driver!$K$190)/(Driver!$L$190-Driver!$K$190)</f>
        <v>0.33432797464180775</v>
      </c>
      <c r="AT834" s="72">
        <f>(BF834-Driver!$K$191)/(Driver!$L$191-Driver!$K$191)</f>
        <v>4.3378149050425766E-2</v>
      </c>
      <c r="AU834" s="72">
        <f>(BG834-Driver!$K$192)/(Driver!$L$192-Driver!$K$192)</f>
        <v>9.3220311590923782E-2</v>
      </c>
      <c r="AV834" s="70">
        <f t="shared" si="467"/>
        <v>1.9976936643603309</v>
      </c>
      <c r="AW834" s="70">
        <f t="shared" si="468"/>
        <v>18.716013885165687</v>
      </c>
      <c r="AX834" s="70">
        <f t="shared" si="469"/>
        <v>2.8400682982356291</v>
      </c>
      <c r="AY834" s="70">
        <f>IFERROR(Driver!$K$19/Data!BH834/Data!BI834*Data!BK834*Data!BL834,"")</f>
        <v>8.2944842328418547E-2</v>
      </c>
      <c r="AZ834" s="70">
        <f t="shared" si="470"/>
        <v>15.79300074460164</v>
      </c>
      <c r="BA834" s="70"/>
      <c r="BB834" s="70"/>
      <c r="BC834" s="70">
        <f t="shared" si="471"/>
        <v>14.183406613428486</v>
      </c>
      <c r="BD834" s="70">
        <f t="shared" si="472"/>
        <v>7.7232337454265991</v>
      </c>
      <c r="BE834" s="70">
        <f t="shared" si="473"/>
        <v>0.33444672303867384</v>
      </c>
      <c r="BF834" s="70">
        <f t="shared" si="474"/>
        <v>4.8992571865009342</v>
      </c>
      <c r="BG834" s="70">
        <f t="shared" si="475"/>
        <v>0.35299156781304547</v>
      </c>
      <c r="BH834" s="67">
        <f>MAX((CE834-Driver!$F$200)/(Driver!$G$200-Driver!$F$200)*$BI$1,1)</f>
        <v>2.8400682982356291</v>
      </c>
      <c r="BI834" s="67">
        <f>MAX($BI$1*(BY834-Driver!$F$201)/(Driver!$G$201-Driver!$F$201),1)</f>
        <v>6.3924050632911396</v>
      </c>
      <c r="BJ834" s="67">
        <f>(CB834-Driver!$F$206)/(Driver!$G$206-Driver!$F$206)*$BI$1</f>
        <v>3.0158730158730158</v>
      </c>
      <c r="BK834" s="67">
        <f>(CD834-Driver!$F$203)/(Driver!$G$203-Driver!$F$203)*$BI$1</f>
        <v>1.5596330275229362</v>
      </c>
      <c r="BL834" s="67">
        <f>MAX((CR834-Driver!$F$202)/(Driver!$G$202-Driver!$F$202)*$BI$1,1)</f>
        <v>4.8275862068965516</v>
      </c>
      <c r="BM834" s="67">
        <f>MAX((CH834-Driver!$F$204)/(Driver!$G$204-Driver!$F$204)*$BI$1,1)</f>
        <v>2.6495726495726495</v>
      </c>
      <c r="BN834" s="67">
        <f>(CI834-Driver!$F$205)/(Driver!$G$205-Driver!$F$205)*$BI$1</f>
        <v>2.4705882352941178</v>
      </c>
      <c r="BO834" s="67">
        <f>(CK834-Driver!$F$207)/(Driver!$G$207-Driver!$F$207)*$BI$1</f>
        <v>1.5201654601861427</v>
      </c>
      <c r="BP834" s="67">
        <f>(CM834-Driver!$F$208)/(Driver!$G$208-Driver!$F$208)*$BI$1</f>
        <v>1.6666666666666665</v>
      </c>
      <c r="BQ834" s="67">
        <f>(CL834-Driver!$F$209)/(Driver!$G$209-Driver!$F$209)*$BI$1</f>
        <v>2.65625</v>
      </c>
      <c r="BR834" s="28" t="s">
        <v>155</v>
      </c>
      <c r="BS834" s="8" t="s">
        <v>332</v>
      </c>
      <c r="BT834" s="9" t="s">
        <v>726</v>
      </c>
      <c r="BU834" s="10">
        <v>151</v>
      </c>
      <c r="BV834" s="9" t="s">
        <v>163</v>
      </c>
      <c r="BW834" s="10">
        <v>151</v>
      </c>
      <c r="BX834" s="10">
        <v>149.69999999999999</v>
      </c>
      <c r="BY834" s="10">
        <v>109</v>
      </c>
      <c r="BZ834" s="10">
        <v>128</v>
      </c>
      <c r="CA834" s="10">
        <v>119</v>
      </c>
      <c r="CB834" s="10">
        <v>83</v>
      </c>
      <c r="CC834" s="10">
        <v>104</v>
      </c>
      <c r="CD834" s="10">
        <v>12.8</v>
      </c>
      <c r="CE834" s="10">
        <v>1399</v>
      </c>
      <c r="CF834" s="10">
        <v>1.02</v>
      </c>
      <c r="CG834" s="10">
        <v>1427</v>
      </c>
      <c r="CH834" s="10">
        <v>163</v>
      </c>
      <c r="CI834" s="10">
        <v>75</v>
      </c>
      <c r="CJ834" s="10">
        <v>60</v>
      </c>
      <c r="CK834" s="10">
        <v>257</v>
      </c>
      <c r="CL834" s="10">
        <v>17</v>
      </c>
      <c r="CM834" s="10">
        <v>150</v>
      </c>
      <c r="CN834" s="10">
        <v>0.28999999999999998</v>
      </c>
      <c r="CO834" s="10">
        <v>129</v>
      </c>
      <c r="CP834" s="10">
        <v>91</v>
      </c>
      <c r="CQ834" s="10">
        <v>128</v>
      </c>
      <c r="CR834" s="10">
        <v>3</v>
      </c>
      <c r="CS834" s="10">
        <v>10</v>
      </c>
      <c r="CT834" s="9" t="s">
        <v>231</v>
      </c>
      <c r="CU834" s="9" t="s">
        <v>188</v>
      </c>
      <c r="CV834" s="10"/>
      <c r="CW834" s="10"/>
      <c r="CX834" t="str">
        <f>INDEX('Data_Price '!AG$2:AG$1266,MATCH(Data!$DN834,'Data_Price '!$AT$2:$AT$1266,0))</f>
        <v>Nordica Santa Ana 84 WHITE/BLUE / 151cm</v>
      </c>
      <c r="CY834" t="str">
        <f>INDEX('Data_Price '!AH$2:AH$1266,MATCH(Data!$DN834,'Data_Price '!$AT$2:$AT$1266,0))</f>
        <v>Sundance Ski and Board Shop</v>
      </c>
      <c r="CZ834">
        <f>INDEX('Data_Price '!AI$2:AI$1266,MATCH(Data!$DN834,'Data_Price '!$AT$2:$AT$1266,0))</f>
        <v>400.72</v>
      </c>
      <c r="DA834" t="str">
        <f>INDEX('Data_Price '!AJ$2:AJ$1266,MATCH(Data!$DN834,'Data_Price '!$AT$2:$AT$1266,0))</f>
        <v>https://tinyurl.com/ybsvhmzf</v>
      </c>
      <c r="DB834" t="str">
        <f>INDEX('Data_Price '!AK$2:AK$1266,MATCH(Data!$DN834,'Data_Price '!$AT$2:$AT$1266,0))</f>
        <v>Nordica Santa Ana 84 Skis - 2022 - Women's 151 cm</v>
      </c>
      <c r="DC834" t="str">
        <f>INDEX('Data_Price '!AL$2:AL$1266,MATCH(Data!$DN834,'Data_Price '!$AT$2:$AT$1266,0))</f>
        <v>BlueZone Sports</v>
      </c>
      <c r="DD834">
        <f>INDEX('Data_Price '!AM$2:AM$1266,MATCH(Data!$DN834,'Data_Price '!$AT$2:$AT$1266,0))</f>
        <v>412.49</v>
      </c>
      <c r="DE834" t="str">
        <f>INDEX('Data_Price '!AN$2:AN$1266,MATCH(Data!$DN834,'Data_Price '!$AT$2:$AT$1266,0))</f>
        <v>https://tinyurl.com/yau7lnwj</v>
      </c>
      <c r="DF834" t="str">
        <f>INDEX('Data_Price '!AO$2:AO$1266,MATCH(Data!$DN834,'Data_Price '!$AT$2:$AT$1266,0))</f>
        <v>Nordica Santa Ana 84 Alpine Skis 2022 - - 151 cm</v>
      </c>
      <c r="DG834" t="str">
        <f>INDEX('Data_Price '!AP$2:AP$1266,MATCH(Data!$DN834,'Data_Price '!$AT$2:$AT$1266,0))</f>
        <v>Skirack</v>
      </c>
      <c r="DH834">
        <f>INDEX('Data_Price '!AQ$2:AQ$1266,MATCH(Data!$DN834,'Data_Price '!$AT$2:$AT$1266,0))</f>
        <v>439.96</v>
      </c>
      <c r="DI834" t="str">
        <f>INDEX('Data_Price '!AR$2:AR$1266,MATCH(Data!$DN834,'Data_Price '!$AT$2:$AT$1266,0))</f>
        <v>https://tinyurl.com/ycqcw2tt</v>
      </c>
      <c r="DJ834" s="89" t="str">
        <f t="shared" si="476"/>
        <v>https://tinyurl.com/ybsvhmzf</v>
      </c>
      <c r="DK834" s="89" t="str">
        <f t="shared" si="477"/>
        <v>https://tinyurl.com/yau7lnwj</v>
      </c>
      <c r="DL834" s="89" t="str">
        <f t="shared" si="478"/>
        <v>https://tinyurl.com/ycqcw2tt</v>
      </c>
      <c r="DM834" s="219" t="str">
        <f t="shared" si="479"/>
        <v>Santa Ana 84</v>
      </c>
      <c r="DN834" s="89" t="str">
        <f t="shared" si="480"/>
        <v xml:space="preserve"> NordicaSanta Ana 84151 Women's</v>
      </c>
      <c r="DO834" s="221"/>
    </row>
    <row r="835" spans="2:119" ht="15.6" customHeight="1">
      <c r="B835" s="219" t="b">
        <f t="array" ref="B835">IF(OR(ISERROR(K835:P835)),FALSE,TRUE)</f>
        <v>1</v>
      </c>
      <c r="C835" s="43" t="b">
        <f>OR(BR835=Driver!$G$50,Data!BR1272=Driver!$H$50)</f>
        <v>1</v>
      </c>
      <c r="D835" s="43" t="b">
        <f>OR(BV835=Driver!$G$51,BV835=Driver!$H$51)</f>
        <v>0</v>
      </c>
      <c r="E835" s="43" t="b">
        <f>AND(BX835&gt;Driver!$F$54,BX835&lt;Driver!$G$54)</f>
        <v>1</v>
      </c>
      <c r="F835" s="43" t="b">
        <f>CL835&gt;Driver!$F$56</f>
        <v>1</v>
      </c>
      <c r="G835" s="43" t="b">
        <f>AND(CB835&gt;Driver!$F$55,CB835&lt;Driver!$G$55)</f>
        <v>0</v>
      </c>
      <c r="H835" s="43" t="b">
        <f t="shared" si="444"/>
        <v>0</v>
      </c>
      <c r="I835" s="43">
        <f t="shared" si="445"/>
        <v>0</v>
      </c>
      <c r="J835" s="43" t="b">
        <f t="array" ref="J835">NOT(OR(($H$9:$H$1273=TRUE)*($I$9:$I$1273&gt;0)*($BT$9:$BT$1273=BT835)*($K$9:$K$1273&gt;K835)))</f>
        <v>1</v>
      </c>
      <c r="K835" s="72">
        <f t="shared" si="446"/>
        <v>0.82907668035173188</v>
      </c>
      <c r="L835" s="72">
        <f t="shared" si="447"/>
        <v>0.84988179126520058</v>
      </c>
      <c r="M835" s="72">
        <f t="shared" si="448"/>
        <v>0.80827156943826317</v>
      </c>
      <c r="N835" s="72">
        <f t="shared" si="449"/>
        <v>0.88964703772813103</v>
      </c>
      <c r="O835" s="72">
        <f t="shared" si="450"/>
        <v>0.63105374653602553</v>
      </c>
      <c r="P835" s="72">
        <f t="shared" si="451"/>
        <v>0.90411392405063284</v>
      </c>
      <c r="Q835" s="72"/>
      <c r="R835" s="72"/>
      <c r="S835" s="72">
        <f t="shared" si="452"/>
        <v>0.41600715034928382</v>
      </c>
      <c r="T835" s="72">
        <f t="shared" si="453"/>
        <v>0.49370920756739267</v>
      </c>
      <c r="U835" s="72">
        <f t="shared" si="454"/>
        <v>0.97607597785962108</v>
      </c>
      <c r="V835" s="72">
        <f t="shared" si="455"/>
        <v>0.5152300274724112</v>
      </c>
      <c r="W835" s="72">
        <f t="shared" si="456"/>
        <v>0.81835213537469786</v>
      </c>
      <c r="X835" s="72">
        <f t="shared" si="457"/>
        <v>0.15011820873479936</v>
      </c>
      <c r="Y835" s="72">
        <f t="shared" si="458"/>
        <v>0.19172843056173683</v>
      </c>
      <c r="Z835" s="72">
        <f t="shared" si="459"/>
        <v>0.11035296227186893</v>
      </c>
      <c r="AA835" s="72">
        <f t="shared" si="460"/>
        <v>0.36894625346397447</v>
      </c>
      <c r="AB835" s="72">
        <f t="shared" si="461"/>
        <v>9.58860759493671E-2</v>
      </c>
      <c r="AC835" s="72"/>
      <c r="AD835" s="72"/>
      <c r="AE835" s="72">
        <f t="shared" si="462"/>
        <v>0.58399284965071618</v>
      </c>
      <c r="AF835" s="72">
        <f t="shared" si="463"/>
        <v>0.50629079243260733</v>
      </c>
      <c r="AG835" s="72">
        <f t="shared" si="464"/>
        <v>2.392402214037892E-2</v>
      </c>
      <c r="AH835" s="72">
        <f t="shared" si="465"/>
        <v>0.4847699725275888</v>
      </c>
      <c r="AI835" s="72">
        <f t="shared" si="466"/>
        <v>0.18164786462530219</v>
      </c>
      <c r="AJ835" s="72">
        <f>(AV835-Driver!$K$179)/(Driver!$L$179-Driver!$K$179)</f>
        <v>0.10410120054790105</v>
      </c>
      <c r="AK835" s="72">
        <f>(AW835-Driver!$K$180)/(Driver!$L$180-Driver!$K$180)</f>
        <v>0.15968672289776023</v>
      </c>
      <c r="AL835" s="72">
        <f>(AX835-Driver!$K$181)/(Driver!$L$181-Driver!$K$181)</f>
        <v>0.21204072598494911</v>
      </c>
      <c r="AM835" s="72">
        <f>(AY835-Driver!$K$182)/(Driver!$L$182-Driver!$K$182)</f>
        <v>7.8438767633071865E-2</v>
      </c>
      <c r="AN835" s="72">
        <f>(AZ835-Driver!$K$183)/(Driver!$L$183-Driver!$K$183)</f>
        <v>0.15833333333333333</v>
      </c>
      <c r="AO835" s="72"/>
      <c r="AP835" s="72"/>
      <c r="AQ835" s="72">
        <f>(BC835-Driver!$K$188)/(Driver!$L$188-Driver!$K$188)</f>
        <v>3.6007150349283763E-2</v>
      </c>
      <c r="AR835" s="72">
        <f>MIN((BD835-Driver!$K$189)/(Driver!$L$189-Driver!$K$189),100%)</f>
        <v>4.370920756739273E-2</v>
      </c>
      <c r="AS835" s="72">
        <f>(BE835-Driver!$K$190)/(Driver!$L$190-Driver!$K$190)</f>
        <v>0.53392402214037893</v>
      </c>
      <c r="AT835" s="72">
        <f>(BF835-Driver!$K$191)/(Driver!$L$191-Driver!$K$191)</f>
        <v>2.5230027472411189E-2</v>
      </c>
      <c r="AU835" s="72">
        <f>(BG835-Driver!$K$192)/(Driver!$L$192-Driver!$K$192)</f>
        <v>6.8352135374697809E-2</v>
      </c>
      <c r="AV835" s="70">
        <f t="shared" si="467"/>
        <v>2.1910188576855245</v>
      </c>
      <c r="AW835" s="70">
        <f t="shared" si="468"/>
        <v>17.434778736152275</v>
      </c>
      <c r="AX835" s="70">
        <f t="shared" si="469"/>
        <v>2.9083665338645419</v>
      </c>
      <c r="AY835" s="70">
        <f>IFERROR(Driver!$K$19/Data!BH835/Data!BI835*Data!BK835*Data!BL835,"")</f>
        <v>9.6032455452290791E-2</v>
      </c>
      <c r="AZ835" s="70">
        <f t="shared" si="470"/>
        <v>14.430379746835444</v>
      </c>
      <c r="BA835" s="70"/>
      <c r="BB835" s="70"/>
      <c r="BC835" s="70">
        <f t="shared" si="471"/>
        <v>18.677159203821667</v>
      </c>
      <c r="BD835" s="70">
        <f t="shared" si="472"/>
        <v>5.5890103056790208</v>
      </c>
      <c r="BE835" s="70">
        <f t="shared" si="473"/>
        <v>0.53400716484892052</v>
      </c>
      <c r="BF835" s="70">
        <f t="shared" si="474"/>
        <v>2.849554352034144</v>
      </c>
      <c r="BG835" s="70">
        <f t="shared" si="475"/>
        <v>0.25882478847703461</v>
      </c>
      <c r="BH835" s="67">
        <f>MAX((CE835-Driver!$F$200)/(Driver!$G$200-Driver!$F$200)*$BI$1,1)</f>
        <v>2.9083665338645419</v>
      </c>
      <c r="BI835" s="67">
        <f>MAX($BI$1*(BY835-Driver!$F$201)/(Driver!$G$201-Driver!$F$201),1)</f>
        <v>7.2151898734177218</v>
      </c>
      <c r="BJ835" s="67">
        <f>(CB835-Driver!$F$206)/(Driver!$G$206-Driver!$F$206)*$BI$1</f>
        <v>3.0158730158730158</v>
      </c>
      <c r="BK835" s="67">
        <f>(CD835-Driver!$F$203)/(Driver!$G$203-Driver!$F$203)*$BI$1</f>
        <v>2.2477064220183491</v>
      </c>
      <c r="BL835" s="67">
        <f>MAX((CR835-Driver!$F$202)/(Driver!$G$202-Driver!$F$202)*$BI$1,1)</f>
        <v>4.4827586206896548</v>
      </c>
      <c r="BM835" s="67">
        <f>MAX((CH835-Driver!$F$204)/(Driver!$G$204-Driver!$F$204)*$BI$1,1)</f>
        <v>2.9059829059829063</v>
      </c>
      <c r="BN835" s="67">
        <f>(CI835-Driver!$F$205)/(Driver!$G$205-Driver!$F$205)*$BI$1</f>
        <v>2</v>
      </c>
      <c r="BO835" s="67">
        <f>(CK835-Driver!$F$207)/(Driver!$G$207-Driver!$F$207)*$BI$1</f>
        <v>1.0444674250258532</v>
      </c>
      <c r="BP835" s="67">
        <f>(CM835-Driver!$F$208)/(Driver!$G$208-Driver!$F$208)*$BI$1</f>
        <v>2.0333333333333332</v>
      </c>
      <c r="BQ835" s="67">
        <f>(CL835-Driver!$F$209)/(Driver!$G$209-Driver!$F$209)*$BI$1</f>
        <v>2.1875</v>
      </c>
      <c r="BR835" s="28" t="s">
        <v>155</v>
      </c>
      <c r="BS835" s="8" t="s">
        <v>229</v>
      </c>
      <c r="BT835" s="9" t="s">
        <v>775</v>
      </c>
      <c r="BU835" s="10">
        <v>161</v>
      </c>
      <c r="BV835" s="9" t="s">
        <v>163</v>
      </c>
      <c r="BW835" s="10">
        <v>161</v>
      </c>
      <c r="BX835" s="10">
        <v>161.30000000000001</v>
      </c>
      <c r="BY835" s="10">
        <v>122</v>
      </c>
      <c r="BZ835" s="10">
        <v>138</v>
      </c>
      <c r="CA835" s="10">
        <v>124</v>
      </c>
      <c r="CB835" s="10">
        <v>83</v>
      </c>
      <c r="CC835" s="10">
        <v>106</v>
      </c>
      <c r="CD835" s="10">
        <v>14.3</v>
      </c>
      <c r="CE835" s="10">
        <v>1411</v>
      </c>
      <c r="CF835" s="10">
        <v>1.1000000000000001</v>
      </c>
      <c r="CG835" s="10">
        <v>1552</v>
      </c>
      <c r="CH835" s="10">
        <v>169</v>
      </c>
      <c r="CI835" s="10">
        <v>67</v>
      </c>
      <c r="CJ835" s="10">
        <v>38</v>
      </c>
      <c r="CK835" s="10">
        <v>211</v>
      </c>
      <c r="CL835" s="10">
        <v>14</v>
      </c>
      <c r="CM835" s="10">
        <v>183</v>
      </c>
      <c r="CN835" s="10">
        <v>0.36499999999999999</v>
      </c>
      <c r="CO835" s="10">
        <v>130</v>
      </c>
      <c r="CP835" s="10">
        <v>106</v>
      </c>
      <c r="CQ835" s="10">
        <v>81</v>
      </c>
      <c r="CR835" s="10">
        <v>2</v>
      </c>
      <c r="CS835" s="10">
        <v>11.8</v>
      </c>
      <c r="CT835" s="9" t="s">
        <v>231</v>
      </c>
      <c r="CU835" s="9" t="s">
        <v>188</v>
      </c>
      <c r="CV835" s="9" t="s">
        <v>185</v>
      </c>
      <c r="CW835" s="10"/>
      <c r="CX835" t="e">
        <f>INDEX('Data_Price '!AG$2:AG$1266,MATCH(Data!$DN835,'Data_Price '!$AT$2:$AT$1266,0))</f>
        <v>#N/A</v>
      </c>
      <c r="CY835" t="e">
        <f>INDEX('Data_Price '!AH$2:AH$1266,MATCH(Data!$DN835,'Data_Price '!$AT$2:$AT$1266,0))</f>
        <v>#N/A</v>
      </c>
      <c r="CZ835" t="e">
        <f>INDEX('Data_Price '!AI$2:AI$1266,MATCH(Data!$DN835,'Data_Price '!$AT$2:$AT$1266,0))</f>
        <v>#N/A</v>
      </c>
      <c r="DA835" t="e">
        <f>INDEX('Data_Price '!AJ$2:AJ$1266,MATCH(Data!$DN835,'Data_Price '!$AT$2:$AT$1266,0))</f>
        <v>#N/A</v>
      </c>
      <c r="DB835" t="e">
        <f>INDEX('Data_Price '!AK$2:AK$1266,MATCH(Data!$DN835,'Data_Price '!$AT$2:$AT$1266,0))</f>
        <v>#N/A</v>
      </c>
      <c r="DC835" t="e">
        <f>INDEX('Data_Price '!AL$2:AL$1266,MATCH(Data!$DN835,'Data_Price '!$AT$2:$AT$1266,0))</f>
        <v>#N/A</v>
      </c>
      <c r="DD835" t="e">
        <f>INDEX('Data_Price '!AM$2:AM$1266,MATCH(Data!$DN835,'Data_Price '!$AT$2:$AT$1266,0))</f>
        <v>#N/A</v>
      </c>
      <c r="DE835" t="e">
        <f>INDEX('Data_Price '!AN$2:AN$1266,MATCH(Data!$DN835,'Data_Price '!$AT$2:$AT$1266,0))</f>
        <v>#N/A</v>
      </c>
      <c r="DF835" t="e">
        <f>INDEX('Data_Price '!AO$2:AO$1266,MATCH(Data!$DN835,'Data_Price '!$AT$2:$AT$1266,0))</f>
        <v>#N/A</v>
      </c>
      <c r="DG835" t="e">
        <f>INDEX('Data_Price '!AP$2:AP$1266,MATCH(Data!$DN835,'Data_Price '!$AT$2:$AT$1266,0))</f>
        <v>#N/A</v>
      </c>
      <c r="DH835" t="e">
        <f>INDEX('Data_Price '!AQ$2:AQ$1266,MATCH(Data!$DN835,'Data_Price '!$AT$2:$AT$1266,0))</f>
        <v>#N/A</v>
      </c>
      <c r="DI835" t="e">
        <f>INDEX('Data_Price '!AR$2:AR$1266,MATCH(Data!$DN835,'Data_Price '!$AT$2:$AT$1266,0))</f>
        <v>#N/A</v>
      </c>
      <c r="DJ835" s="89" t="e">
        <f t="shared" si="476"/>
        <v>#N/A</v>
      </c>
      <c r="DK835" s="89" t="e">
        <f t="shared" si="477"/>
        <v>#N/A</v>
      </c>
      <c r="DL835" s="89" t="e">
        <f t="shared" si="478"/>
        <v>#N/A</v>
      </c>
      <c r="DM835" s="219" t="str">
        <f t="shared" si="479"/>
        <v>Yumi 84</v>
      </c>
      <c r="DN835" s="89" t="str">
        <f t="shared" si="480"/>
        <v xml:space="preserve"> VölklYumi 84161 Women's</v>
      </c>
      <c r="DO835" s="221" t="s">
        <v>776</v>
      </c>
    </row>
    <row r="836" spans="2:119" ht="15.6" customHeight="1">
      <c r="B836" s="219" t="b">
        <f t="array" ref="B836">IF(OR(ISERROR(K836:P836)),FALSE,TRUE)</f>
        <v>1</v>
      </c>
      <c r="C836" s="43" t="b">
        <f>OR(BR836=Driver!$G$50,Data!BR436=Driver!$H$50)</f>
        <v>1</v>
      </c>
      <c r="D836" s="43" t="b">
        <f>OR(BV836=Driver!$G$51,BV836=Driver!$H$51)</f>
        <v>0</v>
      </c>
      <c r="E836" s="43" t="b">
        <f>AND(BX836&gt;Driver!$F$54,BX836&lt;Driver!$G$54)</f>
        <v>0</v>
      </c>
      <c r="F836" s="43" t="b">
        <f>CL836&gt;Driver!$F$56</f>
        <v>1</v>
      </c>
      <c r="G836" s="43" t="b">
        <f>AND(CB836&gt;Driver!$F$55,CB836&lt;Driver!$G$55)</f>
        <v>0</v>
      </c>
      <c r="H836" s="43" t="b">
        <f t="shared" si="444"/>
        <v>0</v>
      </c>
      <c r="I836" s="43">
        <f t="shared" si="445"/>
        <v>0</v>
      </c>
      <c r="J836" s="43" t="b">
        <f t="array" ref="J836">NOT(OR(($H$9:$H$1273=TRUE)*($I$9:$I$1273&gt;0)*($BT$9:$BT$1273=BT836)*($K$9:$K$1273&gt;K836)))</f>
        <v>1</v>
      </c>
      <c r="K836" s="72">
        <f t="shared" si="446"/>
        <v>0.78438209237230105</v>
      </c>
      <c r="L836" s="72">
        <f t="shared" si="447"/>
        <v>0.83618426487731889</v>
      </c>
      <c r="M836" s="72">
        <f t="shared" si="448"/>
        <v>0.73257991986728332</v>
      </c>
      <c r="N836" s="72">
        <f t="shared" si="449"/>
        <v>0.63163148090779342</v>
      </c>
      <c r="O836" s="72">
        <f t="shared" si="450"/>
        <v>0.61477213242120143</v>
      </c>
      <c r="P836" s="72">
        <f t="shared" si="451"/>
        <v>0.95133614627285512</v>
      </c>
      <c r="Q836" s="72"/>
      <c r="R836" s="72"/>
      <c r="S836" s="72">
        <f t="shared" si="452"/>
        <v>0.45146688444709215</v>
      </c>
      <c r="T836" s="72">
        <f t="shared" si="453"/>
        <v>0.80028009403522726</v>
      </c>
      <c r="U836" s="72">
        <f t="shared" si="454"/>
        <v>0.51</v>
      </c>
      <c r="V836" s="72">
        <f t="shared" si="455"/>
        <v>0.49230170133770446</v>
      </c>
      <c r="W836" s="72">
        <f t="shared" si="456"/>
        <v>0.76809831658452277</v>
      </c>
      <c r="X836" s="72">
        <f t="shared" si="457"/>
        <v>0.16381573512268111</v>
      </c>
      <c r="Y836" s="72">
        <f t="shared" si="458"/>
        <v>0.26742008013271668</v>
      </c>
      <c r="Z836" s="72">
        <f t="shared" si="459"/>
        <v>0.36836851909220653</v>
      </c>
      <c r="AA836" s="72">
        <f t="shared" si="460"/>
        <v>0.38522786757879862</v>
      </c>
      <c r="AB836" s="72">
        <f t="shared" si="461"/>
        <v>4.8663853727144879E-2</v>
      </c>
      <c r="AC836" s="72"/>
      <c r="AD836" s="72"/>
      <c r="AE836" s="72">
        <f t="shared" si="462"/>
        <v>0.54853311555290785</v>
      </c>
      <c r="AF836" s="72">
        <f t="shared" si="463"/>
        <v>0.19971990596477274</v>
      </c>
      <c r="AG836" s="72">
        <f t="shared" si="464"/>
        <v>0.49</v>
      </c>
      <c r="AH836" s="72">
        <f t="shared" si="465"/>
        <v>0.50769829866229554</v>
      </c>
      <c r="AI836" s="72">
        <f t="shared" si="466"/>
        <v>0.23190168341547718</v>
      </c>
      <c r="AJ836" s="72">
        <f>(AV836-Driver!$K$179)/(Driver!$L$179-Driver!$K$179)</f>
        <v>9.0403674160019334E-2</v>
      </c>
      <c r="AK836" s="72">
        <f>(AW836-Driver!$K$180)/(Driver!$L$180-Driver!$K$180)</f>
        <v>0.22746920942588758</v>
      </c>
      <c r="AL836" s="72">
        <f>(AX836-Driver!$K$181)/(Driver!$L$181-Driver!$K$181)</f>
        <v>0.47005628280528672</v>
      </c>
      <c r="AM836" s="72">
        <f>(AY836-Driver!$K$182)/(Driver!$L$182-Driver!$K$182)</f>
        <v>6.2157153518247729E-2</v>
      </c>
      <c r="AN836" s="72">
        <f>(AZ836-Driver!$K$183)/(Driver!$L$183-Driver!$K$183)</f>
        <v>0.20555555555555555</v>
      </c>
      <c r="AO836" s="72"/>
      <c r="AP836" s="72"/>
      <c r="AQ836" s="72">
        <f>(BC836-Driver!$K$188)/(Driver!$L$188-Driver!$K$188)</f>
        <v>7.1466884447092122E-2</v>
      </c>
      <c r="AR836" s="72">
        <f>MIN((BD836-Driver!$K$189)/(Driver!$L$189-Driver!$K$189),100%)</f>
        <v>0.35028009403522731</v>
      </c>
      <c r="AS836" s="72">
        <f>(BE836-Driver!$K$190)/(Driver!$L$190-Driver!$K$190)</f>
        <v>1</v>
      </c>
      <c r="AT836" s="72">
        <f>(BF836-Driver!$K$191)/(Driver!$L$191-Driver!$K$191)</f>
        <v>2.3017013377044579E-3</v>
      </c>
      <c r="AU836" s="72">
        <f>(BG836-Driver!$K$192)/(Driver!$L$192-Driver!$K$192)</f>
        <v>1.8098316584522815E-2</v>
      </c>
      <c r="AV836" s="70">
        <f t="shared" si="467"/>
        <v>1.9027269027269029</v>
      </c>
      <c r="AW836" s="70">
        <f t="shared" si="468"/>
        <v>24.040782662248422</v>
      </c>
      <c r="AX836" s="70">
        <f t="shared" si="469"/>
        <v>5.2305065452475805</v>
      </c>
      <c r="AY836" s="70">
        <f>IFERROR(Driver!$K$19/Data!BH836/Data!BI836*Data!BK836*Data!BL836,"")</f>
        <v>7.6098901810966138E-2</v>
      </c>
      <c r="AZ836" s="70">
        <f t="shared" si="470"/>
        <v>18.734177215189874</v>
      </c>
      <c r="BA836" s="70"/>
      <c r="BB836" s="70"/>
      <c r="BC836" s="70">
        <f t="shared" si="471"/>
        <v>37.070369792427002</v>
      </c>
      <c r="BD836" s="70">
        <f t="shared" si="472"/>
        <v>32.719990546615072</v>
      </c>
      <c r="BE836" s="70">
        <f t="shared" si="473"/>
        <v>1</v>
      </c>
      <c r="BF836" s="70">
        <f t="shared" si="474"/>
        <v>0.25996099572664216</v>
      </c>
      <c r="BG836" s="70">
        <f t="shared" si="475"/>
        <v>6.8531772066824551E-2</v>
      </c>
      <c r="BH836" s="67">
        <f>MAX((CE836-Driver!$F$200)/(Driver!$G$200-Driver!$F$200)*$BI$1,1)</f>
        <v>5.2305065452475805</v>
      </c>
      <c r="BI836" s="67">
        <f>MAX($BI$1*(BY836-Driver!$F$201)/(Driver!$G$201-Driver!$F$201),1)</f>
        <v>8.6075949367088604</v>
      </c>
      <c r="BJ836" s="67">
        <f>(CB836-Driver!$F$206)/(Driver!$G$206-Driver!$F$206)*$BI$1</f>
        <v>1.746031746031746</v>
      </c>
      <c r="BK836" s="67">
        <f>(CD836-Driver!$F$203)/(Driver!$G$203-Driver!$F$203)*$BI$1</f>
        <v>2.6146788990825689</v>
      </c>
      <c r="BL836" s="67">
        <f>MAX((CR836-Driver!$F$202)/(Driver!$G$202-Driver!$F$202)*$BI$1,1)</f>
        <v>6.5517241379310338</v>
      </c>
      <c r="BM836" s="67">
        <f>MAX((CH836-Driver!$F$204)/(Driver!$G$204-Driver!$F$204)*$BI$1,1)</f>
        <v>4.3589743589743595</v>
      </c>
      <c r="BN836" s="67">
        <f>(CI836-Driver!$F$205)/(Driver!$G$205-Driver!$F$205)*$BI$1</f>
        <v>2.1764705882352944</v>
      </c>
      <c r="BO836" s="67">
        <f>(CK836-Driver!$F$207)/(Driver!$G$207-Driver!$F$207)*$BI$1</f>
        <v>0.45501551189245087</v>
      </c>
      <c r="BP836" s="67">
        <f>(CM836-Driver!$F$208)/(Driver!$G$208-Driver!$F$208)*$BI$1</f>
        <v>0.85555555555555551</v>
      </c>
      <c r="BQ836" s="67">
        <f>(CL836-Driver!$F$209)/(Driver!$G$209-Driver!$F$209)*$BI$1</f>
        <v>1.5625</v>
      </c>
      <c r="BR836" s="28" t="s">
        <v>155</v>
      </c>
      <c r="BS836" s="8" t="s">
        <v>164</v>
      </c>
      <c r="BT836" s="9" t="s">
        <v>777</v>
      </c>
      <c r="BU836" s="10">
        <v>168</v>
      </c>
      <c r="BV836" s="9" t="s">
        <v>163</v>
      </c>
      <c r="BW836" s="10">
        <v>168</v>
      </c>
      <c r="BX836" s="10">
        <v>167.5</v>
      </c>
      <c r="BY836" s="10">
        <v>144</v>
      </c>
      <c r="BZ836" s="10">
        <v>153</v>
      </c>
      <c r="CA836" s="10">
        <v>127</v>
      </c>
      <c r="CB836" s="10">
        <v>75</v>
      </c>
      <c r="CC836" s="10">
        <v>102</v>
      </c>
      <c r="CD836" s="10">
        <v>15.1</v>
      </c>
      <c r="CE836" s="10">
        <v>1819</v>
      </c>
      <c r="CF836" s="10">
        <v>0.83</v>
      </c>
      <c r="CG836" s="10">
        <v>1513</v>
      </c>
      <c r="CH836" s="10">
        <v>203</v>
      </c>
      <c r="CI836" s="10">
        <v>70</v>
      </c>
      <c r="CJ836" s="10">
        <v>34</v>
      </c>
      <c r="CK836" s="10">
        <v>154</v>
      </c>
      <c r="CL836" s="10">
        <v>10</v>
      </c>
      <c r="CM836" s="10">
        <v>77</v>
      </c>
      <c r="CN836" s="10">
        <v>0.28599999999999998</v>
      </c>
      <c r="CO836" s="10">
        <v>85</v>
      </c>
      <c r="CP836" s="10">
        <v>59</v>
      </c>
      <c r="CQ836" s="10">
        <v>69</v>
      </c>
      <c r="CR836" s="10">
        <v>8</v>
      </c>
      <c r="CS836" s="10">
        <v>10.5</v>
      </c>
      <c r="CT836" s="9" t="s">
        <v>349</v>
      </c>
      <c r="CU836" s="10"/>
      <c r="CV836" s="10"/>
      <c r="CW836" s="10"/>
      <c r="CX836" t="str">
        <f>INDEX('Data_Price '!AG$2:AG$1266,MATCH(Data!$DN836,'Data_Price '!$AT$2:$AT$1266,0))</f>
        <v>Elan Element Green Black-Green 168 Ski Men</v>
      </c>
      <c r="CY836" t="str">
        <f>INDEX('Data_Price '!AH$2:AH$1266,MATCH(Data!$DN836,'Data_Price '!$AT$2:$AT$1266,0))</f>
        <v>eBay - grassisport</v>
      </c>
      <c r="CZ836">
        <f>INDEX('Data_Price '!AI$2:AI$1266,MATCH(Data!$DN836,'Data_Price '!$AT$2:$AT$1266,0))</f>
        <v>296.51</v>
      </c>
      <c r="DA836" t="str">
        <f>INDEX('Data_Price '!AJ$2:AJ$1266,MATCH(Data!$DN836,'Data_Price '!$AT$2:$AT$1266,0))</f>
        <v>https://tinyurl.com/y87p2d6h</v>
      </c>
      <c r="DB836" t="str">
        <f>INDEX('Data_Price '!AK$2:AK$1266,MATCH(Data!$DN836,'Data_Price '!$AT$2:$AT$1266,0))</f>
        <v>Elan Element LS EL 10.0 Orange / 168cm</v>
      </c>
      <c r="DC836" t="str">
        <f>INDEX('Data_Price '!AL$2:AL$1266,MATCH(Data!$DN836,'Data_Price '!$AT$2:$AT$1266,0))</f>
        <v>Sundance Ski and Board Shop</v>
      </c>
      <c r="DD836">
        <f>INDEX('Data_Price '!AM$2:AM$1266,MATCH(Data!$DN836,'Data_Price '!$AT$2:$AT$1266,0))</f>
        <v>424.76</v>
      </c>
      <c r="DE836" t="str">
        <f>INDEX('Data_Price '!AN$2:AN$1266,MATCH(Data!$DN836,'Data_Price '!$AT$2:$AT$1266,0))</f>
        <v>https://tinyurl.com/y8h6a3s6</v>
      </c>
      <c r="DF836" t="str">
        <f>INDEX('Data_Price '!AO$2:AO$1266,MATCH(Data!$DN836,'Data_Price '!$AT$2:$AT$1266,0))</f>
        <v>Elan Element Black Blue Light Shift Ski with Bindings 168</v>
      </c>
      <c r="DG836" t="str">
        <f>INDEX('Data_Price '!AP$2:AP$1266,MATCH(Data!$DN836,'Data_Price '!$AT$2:$AT$1266,0))</f>
        <v>shop.petersonsskiandcycle.com</v>
      </c>
      <c r="DH836">
        <f>INDEX('Data_Price '!AQ$2:AQ$1266,MATCH(Data!$DN836,'Data_Price '!$AT$2:$AT$1266,0))</f>
        <v>449.99</v>
      </c>
      <c r="DI836" t="str">
        <f>INDEX('Data_Price '!AR$2:AR$1266,MATCH(Data!$DN836,'Data_Price '!$AT$2:$AT$1266,0))</f>
        <v>https://tinyurl.com/yb9up5vv</v>
      </c>
      <c r="DJ836" s="89" t="str">
        <f t="shared" si="476"/>
        <v>https://tinyurl.com/y87p2d6h</v>
      </c>
      <c r="DK836" s="89" t="str">
        <f t="shared" si="477"/>
        <v>https://tinyurl.com/y8h6a3s6</v>
      </c>
      <c r="DL836" s="89" t="str">
        <f t="shared" si="478"/>
        <v>https://tinyurl.com/yb9up5vv</v>
      </c>
      <c r="DM836" s="219" t="str">
        <f t="shared" si="479"/>
        <v>Element W</v>
      </c>
      <c r="DN836" s="89" t="str">
        <f t="shared" si="480"/>
        <v xml:space="preserve"> ElanElement W168 Women's</v>
      </c>
      <c r="DO836" s="221"/>
    </row>
    <row r="837" spans="2:119" ht="15.6" customHeight="1">
      <c r="B837" s="219" t="b">
        <f t="array" ref="B837">IF(OR(ISERROR(K837:P837)),FALSE,TRUE)</f>
        <v>1</v>
      </c>
      <c r="C837" s="43" t="b">
        <f>OR(BR837=Driver!$G$50,Data!BR92=Driver!$H$50)</f>
        <v>1</v>
      </c>
      <c r="D837" s="43" t="b">
        <f>OR(BV837=Driver!$G$51,BV837=Driver!$H$51)</f>
        <v>1</v>
      </c>
      <c r="E837" s="43" t="b">
        <f>AND(BX837&gt;Driver!$F$54,BX837&lt;Driver!$G$54)</f>
        <v>0</v>
      </c>
      <c r="F837" s="43" t="b">
        <f>CL837&gt;Driver!$F$56</f>
        <v>1</v>
      </c>
      <c r="G837" s="43" t="b">
        <f>AND(CB837&gt;Driver!$F$55,CB837&lt;Driver!$G$55)</f>
        <v>0</v>
      </c>
      <c r="H837" s="43" t="b">
        <f t="shared" si="444"/>
        <v>0</v>
      </c>
      <c r="I837" s="43">
        <f t="shared" si="445"/>
        <v>0</v>
      </c>
      <c r="J837" s="43" t="b">
        <f t="array" ref="J837">NOT(OR(($H$9:$H$1273=TRUE)*($I$9:$I$1273&gt;0)*($BT$9:$BT$1273=BT837)*($K$9:$K$1273&gt;K837)))</f>
        <v>1</v>
      </c>
      <c r="K837" s="72">
        <f t="shared" si="446"/>
        <v>0.80509169656842894</v>
      </c>
      <c r="L837" s="72">
        <f t="shared" si="447"/>
        <v>0.92062548637437791</v>
      </c>
      <c r="M837" s="72">
        <f t="shared" si="448"/>
        <v>0.68955790676247974</v>
      </c>
      <c r="N837" s="72">
        <f t="shared" si="449"/>
        <v>0.51527152391038622</v>
      </c>
      <c r="O837" s="72">
        <f t="shared" si="450"/>
        <v>0.61718042918916549</v>
      </c>
      <c r="P837" s="72">
        <f t="shared" si="451"/>
        <v>0.93622176718788785</v>
      </c>
      <c r="Q837" s="72"/>
      <c r="R837" s="72"/>
      <c r="S837" s="72">
        <f t="shared" si="452"/>
        <v>0.41777043136162351</v>
      </c>
      <c r="T837" s="72">
        <f t="shared" si="453"/>
        <v>0.51386614396802544</v>
      </c>
      <c r="U837" s="72">
        <f t="shared" si="454"/>
        <v>0.53265613566868952</v>
      </c>
      <c r="V837" s="72">
        <f t="shared" si="455"/>
        <v>0.57833932000092014</v>
      </c>
      <c r="W837" s="72">
        <f t="shared" si="456"/>
        <v>0.8368269821308455</v>
      </c>
      <c r="X837" s="72">
        <f t="shared" si="457"/>
        <v>7.9374513625622062E-2</v>
      </c>
      <c r="Y837" s="72">
        <f t="shared" si="458"/>
        <v>0.3104420932375202</v>
      </c>
      <c r="Z837" s="72">
        <f t="shared" si="459"/>
        <v>0.48472847608961378</v>
      </c>
      <c r="AA837" s="72">
        <f t="shared" si="460"/>
        <v>0.38281957081083451</v>
      </c>
      <c r="AB837" s="72">
        <f t="shared" si="461"/>
        <v>6.3778232812112201E-2</v>
      </c>
      <c r="AC837" s="72"/>
      <c r="AD837" s="72"/>
      <c r="AE837" s="72">
        <f t="shared" si="462"/>
        <v>0.58222956863837649</v>
      </c>
      <c r="AF837" s="72">
        <f t="shared" si="463"/>
        <v>0.48613385603197462</v>
      </c>
      <c r="AG837" s="72">
        <f t="shared" si="464"/>
        <v>0.46734386433131048</v>
      </c>
      <c r="AH837" s="72">
        <f t="shared" si="465"/>
        <v>0.42166067999907986</v>
      </c>
      <c r="AI837" s="72">
        <f t="shared" si="466"/>
        <v>0.1631730178691545</v>
      </c>
      <c r="AJ837" s="72">
        <f>(AV837-Driver!$K$179)/(Driver!$L$179-Driver!$K$179)</f>
        <v>0.17484489565707836</v>
      </c>
      <c r="AK837" s="72">
        <f>(AW837-Driver!$K$180)/(Driver!$L$180-Driver!$K$180)</f>
        <v>0.2241106133914772</v>
      </c>
      <c r="AL837" s="72">
        <f>(AX837-Driver!$K$181)/(Driver!$L$181-Driver!$K$181)</f>
        <v>0.58641623980269397</v>
      </c>
      <c r="AM837" s="72">
        <f>(AY837-Driver!$K$182)/(Driver!$L$182-Driver!$K$182)</f>
        <v>6.4565450286211828E-2</v>
      </c>
      <c r="AN837" s="72">
        <f>(AZ837-Driver!$K$183)/(Driver!$L$183-Driver!$K$183)</f>
        <v>0.19044117647058822</v>
      </c>
      <c r="AO837" s="72"/>
      <c r="AP837" s="72"/>
      <c r="AQ837" s="72">
        <f>(BC837-Driver!$K$188)/(Driver!$L$188-Driver!$K$188)</f>
        <v>3.7770431361623544E-2</v>
      </c>
      <c r="AR837" s="72">
        <f>MIN((BD837-Driver!$K$189)/(Driver!$L$189-Driver!$K$189),100%)</f>
        <v>6.386614396802541E-2</v>
      </c>
      <c r="AS837" s="72">
        <f>(BE837-Driver!$K$190)/(Driver!$L$190-Driver!$K$190)</f>
        <v>4.265613566868956E-2</v>
      </c>
      <c r="AT837" s="72">
        <f>(BF837-Driver!$K$191)/(Driver!$L$191-Driver!$K$191)</f>
        <v>8.8339320000920124E-2</v>
      </c>
      <c r="AU837" s="72">
        <f>(BG837-Driver!$K$192)/(Driver!$L$192-Driver!$K$192)</f>
        <v>8.6826982130845498E-2</v>
      </c>
      <c r="AV837" s="70">
        <f t="shared" si="467"/>
        <v>3.6799620132953463</v>
      </c>
      <c r="AW837" s="70">
        <f t="shared" si="468"/>
        <v>23.71345771850681</v>
      </c>
      <c r="AX837" s="70">
        <f t="shared" si="469"/>
        <v>6.2777461582242458</v>
      </c>
      <c r="AY837" s="70">
        <f>IFERROR(Driver!$K$19/Data!BH837/Data!BI837*Data!BK837*Data!BL837,"")</f>
        <v>7.9047375621356511E-2</v>
      </c>
      <c r="AZ837" s="70">
        <f t="shared" si="470"/>
        <v>17.356664184661206</v>
      </c>
      <c r="BA837" s="70"/>
      <c r="BB837" s="70"/>
      <c r="BC837" s="70">
        <f t="shared" si="471"/>
        <v>19.591785323053038</v>
      </c>
      <c r="BD837" s="70">
        <f t="shared" si="472"/>
        <v>7.3728634611571362</v>
      </c>
      <c r="BE837" s="70">
        <f t="shared" si="473"/>
        <v>4.2826915038722088E-2</v>
      </c>
      <c r="BF837" s="70">
        <f t="shared" si="474"/>
        <v>9.9773055752563433</v>
      </c>
      <c r="BG837" s="70">
        <f t="shared" si="475"/>
        <v>0.32878234397391282</v>
      </c>
      <c r="BH837" s="67">
        <f>MAX((CE837-Driver!$F$200)/(Driver!$G$200-Driver!$F$200)*$BI$1,1)</f>
        <v>6.2777461582242458</v>
      </c>
      <c r="BI837" s="67">
        <f>MAX($BI$1*(BY837-Driver!$F$201)/(Driver!$G$201-Driver!$F$201),1)</f>
        <v>7.0253164556962027</v>
      </c>
      <c r="BJ837" s="67">
        <f>(CB837-Driver!$F$206)/(Driver!$G$206-Driver!$F$206)*$BI$1</f>
        <v>5.5555555555555554</v>
      </c>
      <c r="BK837" s="67">
        <f>(CD837-Driver!$F$203)/(Driver!$G$203-Driver!$F$203)*$BI$1</f>
        <v>2.6605504587155959</v>
      </c>
      <c r="BL837" s="67">
        <f>MAX((CR837-Driver!$F$202)/(Driver!$G$202-Driver!$F$202)*$BI$1,1)</f>
        <v>6.5517241379310338</v>
      </c>
      <c r="BM837" s="67">
        <f>MAX((CH837-Driver!$F$204)/(Driver!$G$204-Driver!$F$204)*$BI$1,1)</f>
        <v>2.6495726495726495</v>
      </c>
      <c r="BN837" s="67">
        <f>(CI837-Driver!$F$205)/(Driver!$G$205-Driver!$F$205)*$BI$1</f>
        <v>2.4705882352941178</v>
      </c>
      <c r="BO837" s="67">
        <f>(CK837-Driver!$F$207)/(Driver!$G$207-Driver!$F$207)*$BI$1</f>
        <v>1.9027921406411583</v>
      </c>
      <c r="BP837" s="67">
        <f>(CM837-Driver!$F$208)/(Driver!$G$208-Driver!$F$208)*$BI$1</f>
        <v>2.5111111111111111</v>
      </c>
      <c r="BQ837" s="67">
        <f>(CL837-Driver!$F$209)/(Driver!$G$209-Driver!$F$209)*$BI$1</f>
        <v>5.46875</v>
      </c>
      <c r="BR837" s="28" t="s">
        <v>155</v>
      </c>
      <c r="BS837" s="8" t="s">
        <v>182</v>
      </c>
      <c r="BT837" s="9" t="s">
        <v>686</v>
      </c>
      <c r="BU837" s="10">
        <v>172</v>
      </c>
      <c r="BV837" s="9" t="s">
        <v>158</v>
      </c>
      <c r="BW837" s="10">
        <v>172</v>
      </c>
      <c r="BX837" s="10">
        <v>170.9</v>
      </c>
      <c r="BY837" s="10">
        <v>119</v>
      </c>
      <c r="BZ837" s="10">
        <v>140</v>
      </c>
      <c r="CA837" s="10">
        <v>138</v>
      </c>
      <c r="CB837" s="10">
        <v>99</v>
      </c>
      <c r="CC837" s="10">
        <v>119</v>
      </c>
      <c r="CD837" s="10">
        <v>15.2</v>
      </c>
      <c r="CE837" s="10">
        <v>2003</v>
      </c>
      <c r="CF837" s="10">
        <v>0.96</v>
      </c>
      <c r="CG837" s="10">
        <v>1924</v>
      </c>
      <c r="CH837" s="10">
        <v>163</v>
      </c>
      <c r="CI837" s="10">
        <v>75</v>
      </c>
      <c r="CJ837" s="10">
        <v>57</v>
      </c>
      <c r="CK837" s="10">
        <v>294</v>
      </c>
      <c r="CL837" s="10">
        <v>35</v>
      </c>
      <c r="CM837" s="10">
        <v>226</v>
      </c>
      <c r="CN837" s="10">
        <v>0.60499999999999998</v>
      </c>
      <c r="CO837" s="10">
        <v>196</v>
      </c>
      <c r="CP837" s="10">
        <v>111</v>
      </c>
      <c r="CQ837" s="10">
        <v>97</v>
      </c>
      <c r="CR837" s="10">
        <v>8</v>
      </c>
      <c r="CS837" s="10">
        <v>10.1</v>
      </c>
      <c r="CT837" s="9" t="s">
        <v>188</v>
      </c>
      <c r="CU837" s="10"/>
      <c r="CV837" s="10"/>
      <c r="CW837" s="10"/>
      <c r="CX837" t="str">
        <f>INDEX('Data_Price '!AG$2:AG$1266,MATCH(Data!$DN837,'Data_Price '!$AT$2:$AT$1266,0))</f>
        <v>Armada Stranger Ski 2022</v>
      </c>
      <c r="CY837" t="str">
        <f>INDEX('Data_Price '!AH$2:AH$1266,MATCH(Data!$DN837,'Data_Price '!$AT$2:$AT$1266,0))</f>
        <v>Snowcountry.eu</v>
      </c>
      <c r="CZ837">
        <f>INDEX('Data_Price '!AI$2:AI$1266,MATCH(Data!$DN837,'Data_Price '!$AT$2:$AT$1266,0))</f>
        <v>441.56</v>
      </c>
      <c r="DA837" t="str">
        <f>INDEX('Data_Price '!AJ$2:AJ$1266,MATCH(Data!$DN837,'Data_Price '!$AT$2:$AT$1266,0))</f>
        <v>https://tinyurl.com/y7c89r69</v>
      </c>
      <c r="DB837" t="str">
        <f>INDEX('Data_Price '!AK$2:AK$1266,MATCH(Data!$DN837,'Data_Price '!$AT$2:$AT$1266,0))</f>
        <v>Armada Stranger Ski 2022</v>
      </c>
      <c r="DC837" t="str">
        <f>INDEX('Data_Price '!AL$2:AL$1266,MATCH(Data!$DN837,'Data_Price '!$AT$2:$AT$1266,0))</f>
        <v>Basin Sports</v>
      </c>
      <c r="DD837">
        <f>INDEX('Data_Price '!AM$2:AM$1266,MATCH(Data!$DN837,'Data_Price '!$AT$2:$AT$1266,0))</f>
        <v>559.96</v>
      </c>
      <c r="DE837" t="str">
        <f>INDEX('Data_Price '!AN$2:AN$1266,MATCH(Data!$DN837,'Data_Price '!$AT$2:$AT$1266,0))</f>
        <v>https://tinyurl.com/yc39qgjp</v>
      </c>
      <c r="DF837" t="str">
        <f>INDEX('Data_Price '!AO$2:AO$1266,MATCH(Data!$DN837,'Data_Price '!$AT$2:$AT$1266,0))</f>
        <v>Armada Stranger Ski 2022</v>
      </c>
      <c r="DG837" t="str">
        <f>INDEX('Data_Price '!AP$2:AP$1266,MATCH(Data!$DN837,'Data_Price '!$AT$2:$AT$1266,0))</f>
        <v>UtahSkis</v>
      </c>
      <c r="DH837">
        <f>INDEX('Data_Price '!AQ$2:AQ$1266,MATCH(Data!$DN837,'Data_Price '!$AT$2:$AT$1266,0))</f>
        <v>559.96</v>
      </c>
      <c r="DI837" t="str">
        <f>INDEX('Data_Price '!AR$2:AR$1266,MATCH(Data!$DN837,'Data_Price '!$AT$2:$AT$1266,0))</f>
        <v>https://tinyurl.com/y9dermg9</v>
      </c>
      <c r="DJ837" s="89" t="str">
        <f t="shared" si="476"/>
        <v>https://tinyurl.com/y7c89r69</v>
      </c>
      <c r="DK837" s="89" t="str">
        <f t="shared" si="477"/>
        <v>https://tinyurl.com/yc39qgjp</v>
      </c>
      <c r="DL837" s="89" t="str">
        <f t="shared" si="478"/>
        <v>https://tinyurl.com/y9dermg9</v>
      </c>
      <c r="DM837" s="219" t="str">
        <f t="shared" si="479"/>
        <v>Stranger</v>
      </c>
      <c r="DN837" s="89" t="str">
        <f t="shared" si="480"/>
        <v xml:space="preserve"> ArmadaStranger172 Unisex</v>
      </c>
      <c r="DO837" s="221" t="s">
        <v>687</v>
      </c>
    </row>
    <row r="838" spans="2:119" ht="15.6" customHeight="1">
      <c r="B838" s="219" t="b">
        <f t="array" ref="B838">IF(OR(ISERROR(K838:P838)),FALSE,TRUE)</f>
        <v>1</v>
      </c>
      <c r="C838" s="43" t="b">
        <f>OR(BR838=Driver!$G$50,Data!BR568=Driver!$H$50)</f>
        <v>1</v>
      </c>
      <c r="D838" s="43" t="b">
        <f>OR(BV838=Driver!$G$51,BV838=Driver!$H$51)</f>
        <v>0</v>
      </c>
      <c r="E838" s="43" t="b">
        <f>AND(BX838&gt;Driver!$F$54,BX838&lt;Driver!$G$54)</f>
        <v>0</v>
      </c>
      <c r="F838" s="43" t="b">
        <f>CL838&gt;Driver!$F$56</f>
        <v>1</v>
      </c>
      <c r="G838" s="43" t="b">
        <f>AND(CB838&gt;Driver!$F$55,CB838&lt;Driver!$G$55)</f>
        <v>1</v>
      </c>
      <c r="H838" s="43" t="b">
        <f t="shared" si="444"/>
        <v>0</v>
      </c>
      <c r="I838" s="43">
        <f t="shared" si="445"/>
        <v>0</v>
      </c>
      <c r="J838" s="43" t="b">
        <f t="array" ref="J838">NOT(OR(($H$9:$H$1273=TRUE)*($I$9:$I$1273&gt;0)*($BT$9:$BT$1273=BT838)*($K$9:$K$1273&gt;K838)))</f>
        <v>1</v>
      </c>
      <c r="K838" s="72">
        <f t="shared" si="446"/>
        <v>0.7158091648716407</v>
      </c>
      <c r="L838" s="72">
        <f t="shared" si="447"/>
        <v>0.79543284897329747</v>
      </c>
      <c r="M838" s="72">
        <f t="shared" si="448"/>
        <v>0.63618548076998405</v>
      </c>
      <c r="N838" s="72">
        <f t="shared" si="449"/>
        <v>0.49250544536741525</v>
      </c>
      <c r="O838" s="72">
        <f t="shared" si="450"/>
        <v>0.62911099942454207</v>
      </c>
      <c r="P838" s="72">
        <f t="shared" si="451"/>
        <v>0.78693999751799459</v>
      </c>
      <c r="Q838" s="72"/>
      <c r="R838" s="72"/>
      <c r="S838" s="72">
        <f t="shared" si="452"/>
        <v>0.50563757725647895</v>
      </c>
      <c r="T838" s="72">
        <f t="shared" si="453"/>
        <v>0.55091557734289553</v>
      </c>
      <c r="U838" s="72">
        <f t="shared" si="454"/>
        <v>0.53326965993081055</v>
      </c>
      <c r="V838" s="72">
        <f t="shared" si="455"/>
        <v>0.58433272813264447</v>
      </c>
      <c r="W838" s="72">
        <f t="shared" si="456"/>
        <v>0.77754489037487828</v>
      </c>
      <c r="X838" s="72">
        <f t="shared" si="457"/>
        <v>0.20456715102670253</v>
      </c>
      <c r="Y838" s="72">
        <f t="shared" si="458"/>
        <v>0.36381451923001595</v>
      </c>
      <c r="Z838" s="72">
        <f t="shared" si="459"/>
        <v>0.50749455463258475</v>
      </c>
      <c r="AA838" s="72">
        <f t="shared" si="460"/>
        <v>0.37088900057545787</v>
      </c>
      <c r="AB838" s="72">
        <f t="shared" si="461"/>
        <v>0.21306000248200541</v>
      </c>
      <c r="AC838" s="72"/>
      <c r="AD838" s="72"/>
      <c r="AE838" s="72">
        <f t="shared" si="462"/>
        <v>0.4943624227435211</v>
      </c>
      <c r="AF838" s="72">
        <f t="shared" si="463"/>
        <v>0.44908442265710447</v>
      </c>
      <c r="AG838" s="72">
        <f t="shared" si="464"/>
        <v>0.46673034006918945</v>
      </c>
      <c r="AH838" s="72">
        <f t="shared" si="465"/>
        <v>0.41566727186735558</v>
      </c>
      <c r="AI838" s="72">
        <f t="shared" si="466"/>
        <v>0.22245510962512177</v>
      </c>
      <c r="AJ838" s="72">
        <f>(AV838-Driver!$K$179)/(Driver!$L$179-Driver!$K$179)</f>
        <v>0.45878656030940296</v>
      </c>
      <c r="AK838" s="72">
        <f>(AW838-Driver!$K$180)/(Driver!$L$180-Driver!$K$180)</f>
        <v>0.48524980132184559</v>
      </c>
      <c r="AL838" s="72">
        <f>(AX838-Driver!$K$181)/(Driver!$L$181-Driver!$K$181)</f>
        <v>0.60918231834566494</v>
      </c>
      <c r="AM838" s="72">
        <f>(AY838-Driver!$K$182)/(Driver!$L$182-Driver!$K$182)</f>
        <v>7.6496020521588506E-2</v>
      </c>
      <c r="AN838" s="72">
        <f>(AZ838-Driver!$K$183)/(Driver!$L$183-Driver!$K$183)</f>
        <v>0.46727941176470583</v>
      </c>
      <c r="AO838" s="72"/>
      <c r="AP838" s="72"/>
      <c r="AQ838" s="72">
        <f>(BC838-Driver!$K$188)/(Driver!$L$188-Driver!$K$188)</f>
        <v>0.12563757725647889</v>
      </c>
      <c r="AR838" s="72">
        <f>MIN((BD838-Driver!$K$189)/(Driver!$L$189-Driver!$K$189),100%)</f>
        <v>0.10091557734289557</v>
      </c>
      <c r="AS838" s="72">
        <f>(BE838-Driver!$K$190)/(Driver!$L$190-Driver!$K$190)</f>
        <v>4.3269659930810563E-2</v>
      </c>
      <c r="AT838" s="72">
        <f>(BF838-Driver!$K$191)/(Driver!$L$191-Driver!$K$191)</f>
        <v>9.4332728132644442E-2</v>
      </c>
      <c r="AU838" s="72">
        <f>(BG838-Driver!$K$192)/(Driver!$L$192-Driver!$K$192)</f>
        <v>2.7544890374878228E-2</v>
      </c>
      <c r="AV838" s="70">
        <f t="shared" si="467"/>
        <v>9.6560846560846567</v>
      </c>
      <c r="AW838" s="70">
        <f t="shared" si="468"/>
        <v>49.163785510918551</v>
      </c>
      <c r="AX838" s="70">
        <f t="shared" si="469"/>
        <v>6.4826408651109846</v>
      </c>
      <c r="AY838" s="70">
        <f>IFERROR(Driver!$K$19/Data!BH838/Data!BI838*Data!BK838*Data!BL838,"")</f>
        <v>9.3653953328043618E-2</v>
      </c>
      <c r="AZ838" s="70">
        <f t="shared" si="470"/>
        <v>42.58749069247952</v>
      </c>
      <c r="BA838" s="70"/>
      <c r="BB838" s="70"/>
      <c r="BC838" s="70">
        <f t="shared" si="471"/>
        <v>65.169084741202724</v>
      </c>
      <c r="BD838" s="70">
        <f t="shared" si="472"/>
        <v>10.651672667121785</v>
      </c>
      <c r="BE838" s="70">
        <f t="shared" si="473"/>
        <v>4.3440329855020235E-2</v>
      </c>
      <c r="BF838" s="70">
        <f t="shared" si="474"/>
        <v>10.654218917659442</v>
      </c>
      <c r="BG838" s="70">
        <f t="shared" si="475"/>
        <v>0.10430252669970054</v>
      </c>
      <c r="BH838" s="67">
        <f>MAX((CE838-Driver!$F$200)/(Driver!$G$200-Driver!$F$200)*$BI$1,1)</f>
        <v>6.4826408651109846</v>
      </c>
      <c r="BI838" s="67">
        <f>MAX($BI$1*(BY838-Driver!$F$201)/(Driver!$G$201-Driver!$F$201),1)</f>
        <v>7.7848101265822782</v>
      </c>
      <c r="BJ838" s="67">
        <f>(CB838-Driver!$F$206)/(Driver!$G$206-Driver!$F$206)*$BI$1</f>
        <v>6.1904761904761907</v>
      </c>
      <c r="BK838" s="67">
        <f>(CD838-Driver!$F$203)/(Driver!$G$203-Driver!$F$203)*$BI$1</f>
        <v>3.8073394495412844</v>
      </c>
      <c r="BL838" s="67">
        <f>MAX((CR838-Driver!$F$202)/(Driver!$G$202-Driver!$F$202)*$BI$1,1)</f>
        <v>6.2068965517241379</v>
      </c>
      <c r="BM838" s="67">
        <f>MAX((CH838-Driver!$F$204)/(Driver!$G$204-Driver!$F$204)*$BI$1,1)</f>
        <v>6.2393162393162394</v>
      </c>
      <c r="BN838" s="67">
        <f>(CI838-Driver!$F$205)/(Driver!$G$205-Driver!$F$205)*$BI$1</f>
        <v>5.4705882352941178</v>
      </c>
      <c r="BO838" s="67">
        <f>(CK838-Driver!$F$207)/(Driver!$G$207-Driver!$F$207)*$BI$1</f>
        <v>2.7817993795243017</v>
      </c>
      <c r="BP838" s="67">
        <f>(CM838-Driver!$F$208)/(Driver!$G$208-Driver!$F$208)*$BI$1</f>
        <v>2.3555555555555556</v>
      </c>
      <c r="BQ838" s="67">
        <f>(CL838-Driver!$F$209)/(Driver!$G$209-Driver!$F$209)*$BI$1</f>
        <v>4.21875</v>
      </c>
      <c r="BR838" s="28" t="s">
        <v>155</v>
      </c>
      <c r="BS838" s="8" t="s">
        <v>245</v>
      </c>
      <c r="BT838" s="9" t="s">
        <v>337</v>
      </c>
      <c r="BU838" s="10">
        <v>191</v>
      </c>
      <c r="BV838" s="9" t="s">
        <v>163</v>
      </c>
      <c r="BW838" s="10">
        <v>191</v>
      </c>
      <c r="BX838" s="10">
        <v>190.3</v>
      </c>
      <c r="BY838" s="10">
        <v>131</v>
      </c>
      <c r="BZ838" s="10">
        <v>157</v>
      </c>
      <c r="CA838" s="10">
        <v>137</v>
      </c>
      <c r="CB838" s="10">
        <v>103</v>
      </c>
      <c r="CC838" s="10">
        <v>127</v>
      </c>
      <c r="CD838" s="10">
        <v>17.7</v>
      </c>
      <c r="CE838" s="10">
        <v>2039</v>
      </c>
      <c r="CF838" s="10">
        <v>1.08</v>
      </c>
      <c r="CG838" s="10">
        <v>2205</v>
      </c>
      <c r="CH838" s="10">
        <v>247</v>
      </c>
      <c r="CI838" s="10">
        <v>126</v>
      </c>
      <c r="CJ838" s="10">
        <v>49</v>
      </c>
      <c r="CK838" s="10">
        <v>379</v>
      </c>
      <c r="CL838" s="10">
        <v>27</v>
      </c>
      <c r="CM838" s="10">
        <v>212</v>
      </c>
      <c r="CN838" s="10">
        <v>0.55100000000000005</v>
      </c>
      <c r="CO838" s="10">
        <v>174</v>
      </c>
      <c r="CP838" s="10">
        <v>155</v>
      </c>
      <c r="CQ838" s="10">
        <v>205</v>
      </c>
      <c r="CR838" s="10">
        <v>7</v>
      </c>
      <c r="CS838" s="10">
        <v>10.7</v>
      </c>
      <c r="CT838" s="9" t="s">
        <v>188</v>
      </c>
      <c r="CU838" s="9" t="s">
        <v>169</v>
      </c>
      <c r="CV838" s="9" t="s">
        <v>185</v>
      </c>
      <c r="CW838" s="10"/>
      <c r="CX838" t="str">
        <f>INDEX('Data_Price '!AG$2:AG$1266,MATCH(Data!$DN838,'Data_Price '!$AT$2:$AT$1266,0))</f>
        <v>Fischer Ranger 102 FR Ski 2021</v>
      </c>
      <c r="CY838" t="str">
        <f>INDEX('Data_Price '!AH$2:AH$1266,MATCH(Data!$DN838,'Data_Price '!$AT$2:$AT$1266,0))</f>
        <v>ColoradoSkiShop.com</v>
      </c>
      <c r="CZ838">
        <f>INDEX('Data_Price '!AI$2:AI$1266,MATCH(Data!$DN838,'Data_Price '!$AT$2:$AT$1266,0))</f>
        <v>699.99</v>
      </c>
      <c r="DA838" t="str">
        <f>INDEX('Data_Price '!AJ$2:AJ$1266,MATCH(Data!$DN838,'Data_Price '!$AT$2:$AT$1266,0))</f>
        <v>https://tinyurl.com/y7r7zdv7</v>
      </c>
      <c r="DB838" t="str">
        <f>INDEX('Data_Price '!AK$2:AK$1266,MATCH(Data!$DN838,'Data_Price '!$AT$2:$AT$1266,0))</f>
        <v>191cm 2022 Fischer Ranger 102 Fr Skis Mounted W/ Tyrolia Attack2 13</v>
      </c>
      <c r="DC838" t="str">
        <f>INDEX('Data_Price '!AL$2:AL$1266,MATCH(Data!$DN838,'Data_Price '!$AT$2:$AT$1266,0))</f>
        <v>eBay - david110549</v>
      </c>
      <c r="DD838">
        <f>INDEX('Data_Price '!AM$2:AM$1266,MATCH(Data!$DN838,'Data_Price '!$AT$2:$AT$1266,0))</f>
        <v>849.99</v>
      </c>
      <c r="DE838" t="str">
        <f>INDEX('Data_Price '!AN$2:AN$1266,MATCH(Data!$DN838,'Data_Price '!$AT$2:$AT$1266,0))</f>
        <v>https://tinyurl.com/yax88bjm</v>
      </c>
      <c r="DF838" t="str">
        <f>INDEX('Data_Price '!AO$2:AO$1266,MATCH(Data!$DN838,'Data_Price '!$AT$2:$AT$1266,0))</f>
        <v>RANGER 102 FR 191</v>
      </c>
      <c r="DG838" t="str">
        <f>INDEX('Data_Price '!AP$2:AP$1266,MATCH(Data!$DN838,'Data_Price '!$AT$2:$AT$1266,0))</f>
        <v>Pro Ski and Mountain Service</v>
      </c>
      <c r="DH838">
        <f>INDEX('Data_Price '!AQ$2:AQ$1266,MATCH(Data!$DN838,'Data_Price '!$AT$2:$AT$1266,0))</f>
        <v>699.99</v>
      </c>
      <c r="DI838" t="str">
        <f>INDEX('Data_Price '!AR$2:AR$1266,MATCH(Data!$DN838,'Data_Price '!$AT$2:$AT$1266,0))</f>
        <v>https://tinyurl.com/y9x7urqb</v>
      </c>
      <c r="DJ838" s="89" t="str">
        <f t="shared" si="476"/>
        <v>https://tinyurl.com/y7r7zdv7</v>
      </c>
      <c r="DK838" s="89" t="str">
        <f t="shared" si="477"/>
        <v>https://tinyurl.com/yax88bjm</v>
      </c>
      <c r="DL838" s="89" t="str">
        <f t="shared" si="478"/>
        <v>https://tinyurl.com/y9x7urqb</v>
      </c>
      <c r="DM838" s="219" t="str">
        <f t="shared" si="479"/>
        <v>Ranger 102 FR W</v>
      </c>
      <c r="DN838" s="89" t="str">
        <f t="shared" si="480"/>
        <v xml:space="preserve"> FischerRanger 102 FR W191 Women's</v>
      </c>
      <c r="DO838" s="221"/>
    </row>
    <row r="839" spans="2:119" ht="15.6" customHeight="1">
      <c r="B839" s="219" t="b">
        <f t="array" ref="B839">IF(OR(ISERROR(K839:P839)),FALSE,TRUE)</f>
        <v>1</v>
      </c>
      <c r="C839" s="43" t="b">
        <f>OR(BR839=Driver!$G$50,Data!BR1178=Driver!$H$50)</f>
        <v>1</v>
      </c>
      <c r="D839" s="43" t="b">
        <f>OR(BV839=Driver!$G$51,BV839=Driver!$H$51)</f>
        <v>0</v>
      </c>
      <c r="E839" s="43" t="b">
        <f>AND(BX839&gt;Driver!$F$54,BX839&lt;Driver!$G$54)</f>
        <v>1</v>
      </c>
      <c r="F839" s="43" t="b">
        <f>CL839&gt;Driver!$F$56</f>
        <v>1</v>
      </c>
      <c r="G839" s="43" t="b">
        <f>AND(CB839&gt;Driver!$F$55,CB839&lt;Driver!$G$55)</f>
        <v>0</v>
      </c>
      <c r="H839" s="43" t="b">
        <f t="shared" si="444"/>
        <v>0</v>
      </c>
      <c r="I839" s="43">
        <f t="shared" si="445"/>
        <v>0</v>
      </c>
      <c r="J839" s="43" t="b">
        <f t="array" ref="J839">NOT(OR(($H$9:$H$1273=TRUE)*($I$9:$I$1273&gt;0)*($BT$9:$BT$1273=BT839)*($K$9:$K$1273&gt;K839)))</f>
        <v>1</v>
      </c>
      <c r="K839" s="72">
        <f t="shared" si="446"/>
        <v>0.86745196247273637</v>
      </c>
      <c r="L839" s="72">
        <f t="shared" si="447"/>
        <v>0.92336499165195429</v>
      </c>
      <c r="M839" s="72">
        <f t="shared" si="448"/>
        <v>0.81153893329351834</v>
      </c>
      <c r="N839" s="72">
        <f t="shared" si="449"/>
        <v>0.85992465740814117</v>
      </c>
      <c r="O839" s="72">
        <f t="shared" si="450"/>
        <v>0.68385436221263052</v>
      </c>
      <c r="P839" s="72">
        <f t="shared" si="451"/>
        <v>0.89083778025978322</v>
      </c>
      <c r="Q839" s="72"/>
      <c r="R839" s="72"/>
      <c r="S839" s="72">
        <f t="shared" si="452"/>
        <v>0.41106077110739425</v>
      </c>
      <c r="T839" s="72">
        <f t="shared" si="453"/>
        <v>0.47062654763063938</v>
      </c>
      <c r="U839" s="72">
        <f t="shared" si="454"/>
        <v>0.51110977876634134</v>
      </c>
      <c r="V839" s="72">
        <f t="shared" si="455"/>
        <v>0.76209830282005409</v>
      </c>
      <c r="W839" s="72">
        <f t="shared" si="456"/>
        <v>0.84200976230899827</v>
      </c>
      <c r="X839" s="72">
        <f t="shared" si="457"/>
        <v>7.6635008348045708E-2</v>
      </c>
      <c r="Y839" s="72">
        <f t="shared" si="458"/>
        <v>0.18846106670648166</v>
      </c>
      <c r="Z839" s="72">
        <f t="shared" si="459"/>
        <v>0.14007534259185883</v>
      </c>
      <c r="AA839" s="72">
        <f t="shared" si="460"/>
        <v>0.31614563778736943</v>
      </c>
      <c r="AB839" s="72">
        <f t="shared" si="461"/>
        <v>0.10916221974021675</v>
      </c>
      <c r="AC839" s="72"/>
      <c r="AD839" s="72"/>
      <c r="AE839" s="72">
        <f t="shared" si="462"/>
        <v>0.58893922889260575</v>
      </c>
      <c r="AF839" s="72">
        <f t="shared" si="463"/>
        <v>0.52937345236936062</v>
      </c>
      <c r="AG839" s="72">
        <f t="shared" si="464"/>
        <v>0.48889022123365866</v>
      </c>
      <c r="AH839" s="72">
        <f t="shared" si="465"/>
        <v>0.23790169717994591</v>
      </c>
      <c r="AI839" s="72">
        <f t="shared" si="466"/>
        <v>0.15799023769100171</v>
      </c>
      <c r="AJ839" s="72">
        <f>(AV839-Driver!$K$179)/(Driver!$L$179-Driver!$K$179)</f>
        <v>0.17758440093465472</v>
      </c>
      <c r="AK839" s="72">
        <f>(AW839-Driver!$K$180)/(Driver!$L$180-Driver!$K$180)</f>
        <v>0.15067951182243627</v>
      </c>
      <c r="AL839" s="72">
        <f>(AX839-Driver!$K$181)/(Driver!$L$181-Driver!$K$181)</f>
        <v>0.241763106304939</v>
      </c>
      <c r="AM839" s="72">
        <f>(AY839-Driver!$K$182)/(Driver!$L$182-Driver!$K$182)</f>
        <v>0.13123938330967694</v>
      </c>
      <c r="AN839" s="72">
        <f>(AZ839-Driver!$K$183)/(Driver!$L$183-Driver!$K$183)</f>
        <v>0.14505718954248367</v>
      </c>
      <c r="AO839" s="72"/>
      <c r="AP839" s="72"/>
      <c r="AQ839" s="72">
        <f>(BC839-Driver!$K$188)/(Driver!$L$188-Driver!$K$188)</f>
        <v>3.1060771107394226E-2</v>
      </c>
      <c r="AR839" s="72">
        <f>MIN((BD839-Driver!$K$189)/(Driver!$L$189-Driver!$K$189),100%)</f>
        <v>2.0626547630639411E-2</v>
      </c>
      <c r="AS839" s="72">
        <f>(BE839-Driver!$K$190)/(Driver!$L$190-Driver!$K$190)</f>
        <v>2.1109778766341371E-2</v>
      </c>
      <c r="AT839" s="72">
        <f>(BF839-Driver!$K$191)/(Driver!$L$191-Driver!$K$191)</f>
        <v>0.27209830282005409</v>
      </c>
      <c r="AU839" s="72">
        <f>(BG839-Driver!$K$192)/(Driver!$L$192-Driver!$K$192)</f>
        <v>9.2009762308998294E-2</v>
      </c>
      <c r="AV839" s="70">
        <f t="shared" si="467"/>
        <v>3.7376204042870707</v>
      </c>
      <c r="AW839" s="70">
        <f t="shared" si="468"/>
        <v>16.556946204852679</v>
      </c>
      <c r="AX839" s="70">
        <f t="shared" si="469"/>
        <v>3.175867956744451</v>
      </c>
      <c r="AY839" s="70">
        <f>IFERROR(Driver!$K$19/Data!BH839/Data!BI839*Data!BK839*Data!BL839,"")</f>
        <v>0.16067616322364053</v>
      </c>
      <c r="AZ839" s="70">
        <f t="shared" si="470"/>
        <v>13.220402084884588</v>
      </c>
      <c r="BA839" s="70"/>
      <c r="BB839" s="70"/>
      <c r="BC839" s="70">
        <f t="shared" si="471"/>
        <v>16.111437904382949</v>
      </c>
      <c r="BD839" s="70">
        <f t="shared" si="472"/>
        <v>3.5462358013295767</v>
      </c>
      <c r="BE839" s="70">
        <f t="shared" si="473"/>
        <v>2.1284401763930701E-2</v>
      </c>
      <c r="BF839" s="70">
        <f t="shared" si="474"/>
        <v>30.731591704758852</v>
      </c>
      <c r="BG839" s="70">
        <f t="shared" si="475"/>
        <v>0.34840765598471984</v>
      </c>
      <c r="BH839" s="67">
        <f>MAX((CE839-Driver!$F$200)/(Driver!$G$200-Driver!$F$200)*$BI$1,1)</f>
        <v>3.175867956744451</v>
      </c>
      <c r="BI839" s="67">
        <f>MAX($BI$1*(BY839-Driver!$F$201)/(Driver!$G$201-Driver!$F$201),1)</f>
        <v>4.2405063291139244</v>
      </c>
      <c r="BJ839" s="67">
        <f>(CB839-Driver!$F$206)/(Driver!$G$206-Driver!$F$206)*$BI$1</f>
        <v>4.6031746031746028</v>
      </c>
      <c r="BK839" s="67">
        <f>(CD839-Driver!$F$203)/(Driver!$G$203-Driver!$F$203)*$BI$1</f>
        <v>2.6146788990825689</v>
      </c>
      <c r="BL839" s="67">
        <f>MAX((CR839-Driver!$F$202)/(Driver!$G$202-Driver!$F$202)*$BI$1,1)</f>
        <v>4.1379310344827589</v>
      </c>
      <c r="BM839" s="67">
        <f>MAX((CH839-Driver!$F$204)/(Driver!$G$204-Driver!$F$204)*$BI$1,1)</f>
        <v>3.2478632478632479</v>
      </c>
      <c r="BN839" s="67">
        <f>(CI839-Driver!$F$205)/(Driver!$G$205-Driver!$F$205)*$BI$1</f>
        <v>3.1176470588235294</v>
      </c>
      <c r="BO839" s="67">
        <f>(CK839-Driver!$F$207)/(Driver!$G$207-Driver!$F$207)*$BI$1</f>
        <v>4.3640124095139612</v>
      </c>
      <c r="BP839" s="67">
        <f>(CM839-Driver!$F$208)/(Driver!$G$208-Driver!$F$208)*$BI$1</f>
        <v>4</v>
      </c>
      <c r="BQ839" s="67">
        <f>(CL839-Driver!$F$209)/(Driver!$G$209-Driver!$F$209)*$BI$1</f>
        <v>3.59375</v>
      </c>
      <c r="BR839" s="28" t="s">
        <v>155</v>
      </c>
      <c r="BS839" s="8" t="s">
        <v>229</v>
      </c>
      <c r="BT839" s="9" t="s">
        <v>778</v>
      </c>
      <c r="BU839" s="10">
        <v>165</v>
      </c>
      <c r="BV839" s="9" t="s">
        <v>163</v>
      </c>
      <c r="BW839" s="10">
        <v>165</v>
      </c>
      <c r="BX839" s="10">
        <v>164.5</v>
      </c>
      <c r="BY839" s="10">
        <v>75</v>
      </c>
      <c r="BZ839" s="10">
        <v>140</v>
      </c>
      <c r="CA839" s="10">
        <v>133</v>
      </c>
      <c r="CB839" s="10">
        <v>93</v>
      </c>
      <c r="CC839" s="10">
        <v>115</v>
      </c>
      <c r="CD839" s="10">
        <v>15.1</v>
      </c>
      <c r="CE839" s="10">
        <v>1458</v>
      </c>
      <c r="CF839" s="10">
        <v>1.19</v>
      </c>
      <c r="CG839" s="10">
        <v>1740</v>
      </c>
      <c r="CH839" s="10">
        <v>177</v>
      </c>
      <c r="CI839" s="10">
        <v>86</v>
      </c>
      <c r="CJ839" s="10">
        <v>53</v>
      </c>
      <c r="CK839" s="10">
        <v>532</v>
      </c>
      <c r="CL839" s="10">
        <v>23</v>
      </c>
      <c r="CM839" s="10">
        <v>360</v>
      </c>
      <c r="CN839" s="10">
        <v>0.42899999999999999</v>
      </c>
      <c r="CO839" s="10">
        <v>140</v>
      </c>
      <c r="CP839" s="10">
        <v>101</v>
      </c>
      <c r="CQ839" s="10">
        <v>391</v>
      </c>
      <c r="CR839" s="10">
        <v>1</v>
      </c>
      <c r="CS839" s="10">
        <v>11.9</v>
      </c>
      <c r="CT839" s="9" t="s">
        <v>188</v>
      </c>
      <c r="CU839" s="9" t="s">
        <v>185</v>
      </c>
      <c r="CV839" s="10"/>
      <c r="CW839" s="10"/>
      <c r="CX839" t="e">
        <f>INDEX('Data_Price '!AG$2:AG$1266,MATCH(Data!$DN839,'Data_Price '!$AT$2:$AT$1266,0))</f>
        <v>#N/A</v>
      </c>
      <c r="CY839" t="e">
        <f>INDEX('Data_Price '!AH$2:AH$1266,MATCH(Data!$DN839,'Data_Price '!$AT$2:$AT$1266,0))</f>
        <v>#N/A</v>
      </c>
      <c r="CZ839" t="e">
        <f>INDEX('Data_Price '!AI$2:AI$1266,MATCH(Data!$DN839,'Data_Price '!$AT$2:$AT$1266,0))</f>
        <v>#N/A</v>
      </c>
      <c r="DA839" t="e">
        <f>INDEX('Data_Price '!AJ$2:AJ$1266,MATCH(Data!$DN839,'Data_Price '!$AT$2:$AT$1266,0))</f>
        <v>#N/A</v>
      </c>
      <c r="DB839" t="e">
        <f>INDEX('Data_Price '!AK$2:AK$1266,MATCH(Data!$DN839,'Data_Price '!$AT$2:$AT$1266,0))</f>
        <v>#N/A</v>
      </c>
      <c r="DC839" t="e">
        <f>INDEX('Data_Price '!AL$2:AL$1266,MATCH(Data!$DN839,'Data_Price '!$AT$2:$AT$1266,0))</f>
        <v>#N/A</v>
      </c>
      <c r="DD839" t="e">
        <f>INDEX('Data_Price '!AM$2:AM$1266,MATCH(Data!$DN839,'Data_Price '!$AT$2:$AT$1266,0))</f>
        <v>#N/A</v>
      </c>
      <c r="DE839" t="e">
        <f>INDEX('Data_Price '!AN$2:AN$1266,MATCH(Data!$DN839,'Data_Price '!$AT$2:$AT$1266,0))</f>
        <v>#N/A</v>
      </c>
      <c r="DF839" t="e">
        <f>INDEX('Data_Price '!AO$2:AO$1266,MATCH(Data!$DN839,'Data_Price '!$AT$2:$AT$1266,0))</f>
        <v>#N/A</v>
      </c>
      <c r="DG839" t="e">
        <f>INDEX('Data_Price '!AP$2:AP$1266,MATCH(Data!$DN839,'Data_Price '!$AT$2:$AT$1266,0))</f>
        <v>#N/A</v>
      </c>
      <c r="DH839" t="e">
        <f>INDEX('Data_Price '!AQ$2:AQ$1266,MATCH(Data!$DN839,'Data_Price '!$AT$2:$AT$1266,0))</f>
        <v>#N/A</v>
      </c>
      <c r="DI839" t="e">
        <f>INDEX('Data_Price '!AR$2:AR$1266,MATCH(Data!$DN839,'Data_Price '!$AT$2:$AT$1266,0))</f>
        <v>#N/A</v>
      </c>
      <c r="DJ839" s="89" t="e">
        <f t="shared" si="476"/>
        <v>#N/A</v>
      </c>
      <c r="DK839" s="89" t="e">
        <f t="shared" si="477"/>
        <v>#N/A</v>
      </c>
      <c r="DL839" s="89" t="e">
        <f t="shared" si="478"/>
        <v>#N/A</v>
      </c>
      <c r="DM839" s="219" t="str">
        <f t="shared" si="479"/>
        <v>Blaze 94 W</v>
      </c>
      <c r="DN839" s="89" t="str">
        <f t="shared" si="480"/>
        <v xml:space="preserve"> VölklBlaze 94 W165 Women's</v>
      </c>
      <c r="DO839" s="221" t="s">
        <v>779</v>
      </c>
    </row>
    <row r="840" spans="2:119" ht="15.6" customHeight="1">
      <c r="B840" s="219" t="b">
        <f t="array" ref="B840">IF(OR(ISERROR(K840:P840)),FALSE,TRUE)</f>
        <v>1</v>
      </c>
      <c r="C840" s="43" t="b">
        <f>OR(BR840=Driver!$G$50,Data!BR1132=Driver!$H$50)</f>
        <v>1</v>
      </c>
      <c r="D840" s="43" t="b">
        <f>OR(BV840=Driver!$G$51,BV840=Driver!$H$51)</f>
        <v>1</v>
      </c>
      <c r="E840" s="43" t="b">
        <f>AND(BX840&gt;Driver!$F$54,BX840&lt;Driver!$G$54)</f>
        <v>0</v>
      </c>
      <c r="F840" s="43" t="b">
        <f>CL840&gt;Driver!$F$56</f>
        <v>1</v>
      </c>
      <c r="G840" s="43" t="b">
        <f>AND(CB840&gt;Driver!$F$55,CB840&lt;Driver!$G$55)</f>
        <v>0</v>
      </c>
      <c r="H840" s="43" t="b">
        <f t="shared" si="444"/>
        <v>0</v>
      </c>
      <c r="I840" s="43">
        <f t="shared" si="445"/>
        <v>0</v>
      </c>
      <c r="J840" s="43" t="b">
        <f t="array" ref="J840">NOT(OR(($H$9:$H$1273=TRUE)*($I$9:$I$1273&gt;0)*($BT$9:$BT$1273=BT840)*($K$9:$K$1273&gt;K840)))</f>
        <v>1</v>
      </c>
      <c r="K840" s="72">
        <f t="shared" si="446"/>
        <v>0.7411791378363648</v>
      </c>
      <c r="L840" s="72">
        <f t="shared" si="447"/>
        <v>0.8050022489237294</v>
      </c>
      <c r="M840" s="72">
        <f t="shared" si="448"/>
        <v>0.6773560267490002</v>
      </c>
      <c r="N840" s="72">
        <f t="shared" si="449"/>
        <v>0.63226387197843148</v>
      </c>
      <c r="O840" s="72">
        <f t="shared" si="450"/>
        <v>0.60882009310351592</v>
      </c>
      <c r="P840" s="72">
        <f t="shared" si="451"/>
        <v>0.7909841151650534</v>
      </c>
      <c r="Q840" s="72"/>
      <c r="R840" s="72"/>
      <c r="S840" s="72">
        <f t="shared" si="452"/>
        <v>0.56772651087868709</v>
      </c>
      <c r="T840" s="72">
        <f t="shared" si="453"/>
        <v>0.92692194649869097</v>
      </c>
      <c r="U840" s="72">
        <f t="shared" si="454"/>
        <v>0.51</v>
      </c>
      <c r="V840" s="72">
        <f t="shared" si="455"/>
        <v>0.49102103879847447</v>
      </c>
      <c r="W840" s="72">
        <f t="shared" si="456"/>
        <v>0.76056022408963586</v>
      </c>
      <c r="X840" s="72">
        <f t="shared" si="457"/>
        <v>0.19499775107627065</v>
      </c>
      <c r="Y840" s="72">
        <f t="shared" si="458"/>
        <v>0.32264397325099975</v>
      </c>
      <c r="Z840" s="72">
        <f t="shared" si="459"/>
        <v>0.36773612802156852</v>
      </c>
      <c r="AA840" s="72">
        <f t="shared" si="460"/>
        <v>0.39117990689648402</v>
      </c>
      <c r="AB840" s="72">
        <f t="shared" si="461"/>
        <v>0.20901588483494654</v>
      </c>
      <c r="AC840" s="72"/>
      <c r="AD840" s="72"/>
      <c r="AE840" s="72">
        <f t="shared" si="462"/>
        <v>0.43227348912131291</v>
      </c>
      <c r="AF840" s="72">
        <f t="shared" si="463"/>
        <v>7.3078053501309026E-2</v>
      </c>
      <c r="AG840" s="72">
        <f t="shared" si="464"/>
        <v>0.49</v>
      </c>
      <c r="AH840" s="72">
        <f t="shared" si="465"/>
        <v>0.50897896120152553</v>
      </c>
      <c r="AI840" s="72">
        <f t="shared" si="466"/>
        <v>0.23943977591036414</v>
      </c>
      <c r="AJ840" s="72">
        <f>(AV840-Driver!$K$179)/(Driver!$L$179-Driver!$K$179)</f>
        <v>5.9221658206429779E-2</v>
      </c>
      <c r="AK840" s="72">
        <f>(AW840-Driver!$K$180)/(Driver!$L$180-Driver!$K$180)</f>
        <v>0.46830679830850364</v>
      </c>
      <c r="AL840" s="72">
        <f>(AX840-Driver!$K$181)/(Driver!$L$181-Driver!$K$181)</f>
        <v>0.46942389173464871</v>
      </c>
      <c r="AM840" s="72">
        <f>(AY840-Driver!$K$182)/(Driver!$L$182-Driver!$K$182)</f>
        <v>5.6205114200562366E-2</v>
      </c>
      <c r="AN840" s="72">
        <f>(AZ840-Driver!$K$183)/(Driver!$L$183-Driver!$K$183)</f>
        <v>0.46323529411764697</v>
      </c>
      <c r="AO840" s="72"/>
      <c r="AP840" s="72"/>
      <c r="AQ840" s="72">
        <f>(BC840-Driver!$K$188)/(Driver!$L$188-Driver!$K$188)</f>
        <v>0.18772651087868708</v>
      </c>
      <c r="AR840" s="72">
        <f>MIN((BD840-Driver!$K$189)/(Driver!$L$189-Driver!$K$189),100%)</f>
        <v>0.62307805350130907</v>
      </c>
      <c r="AS840" s="72">
        <f>(BE840-Driver!$K$190)/(Driver!$L$190-Driver!$K$190)</f>
        <v>1</v>
      </c>
      <c r="AT840" s="72">
        <f>(BF840-Driver!$K$191)/(Driver!$L$191-Driver!$K$191)</f>
        <v>1.0210387984744853E-3</v>
      </c>
      <c r="AU840" s="72">
        <f>(BG840-Driver!$K$192)/(Driver!$L$192-Driver!$K$192)</f>
        <v>1.0560224089635853E-2</v>
      </c>
      <c r="AV840" s="70">
        <f t="shared" si="467"/>
        <v>1.2464387464387465</v>
      </c>
      <c r="AW840" s="70">
        <f t="shared" si="468"/>
        <v>47.512539736989162</v>
      </c>
      <c r="AX840" s="70">
        <f t="shared" si="469"/>
        <v>5.2248150256118384</v>
      </c>
      <c r="AY840" s="70">
        <f>IFERROR(Driver!$K$19/Data!BH840/Data!BI840*Data!BK840*Data!BL840,"")</f>
        <v>6.88118297689915E-2</v>
      </c>
      <c r="AZ840" s="70">
        <f t="shared" si="470"/>
        <v>42.218912881608333</v>
      </c>
      <c r="BA840" s="70"/>
      <c r="BB840" s="70"/>
      <c r="BC840" s="70">
        <f t="shared" si="471"/>
        <v>97.37504624630597</v>
      </c>
      <c r="BD840" s="70">
        <f t="shared" si="472"/>
        <v>56.862126589981607</v>
      </c>
      <c r="BE840" s="70">
        <f t="shared" si="473"/>
        <v>1</v>
      </c>
      <c r="BF840" s="70">
        <f t="shared" si="474"/>
        <v>0.11531915908415881</v>
      </c>
      <c r="BG840" s="70">
        <f t="shared" si="475"/>
        <v>3.9987745098039214E-2</v>
      </c>
      <c r="BH840" s="67">
        <f>MAX((CE840-Driver!$F$200)/(Driver!$G$200-Driver!$F$200)*$BI$1,1)</f>
        <v>5.2248150256118384</v>
      </c>
      <c r="BI840" s="67">
        <f>MAX($BI$1*(BY840-Driver!$F$201)/(Driver!$G$201-Driver!$F$201),1)</f>
        <v>8.8607594936708853</v>
      </c>
      <c r="BJ840" s="67">
        <f>(CB840-Driver!$F$206)/(Driver!$G$206-Driver!$F$206)*$BI$1</f>
        <v>1.1111111111111112</v>
      </c>
      <c r="BK840" s="67">
        <f>(CD840-Driver!$F$203)/(Driver!$G$203-Driver!$F$203)*$BI$1</f>
        <v>2.4311926605504586</v>
      </c>
      <c r="BL840" s="67">
        <f>MAX((CR840-Driver!$F$202)/(Driver!$G$202-Driver!$F$202)*$BI$1,1)</f>
        <v>6.5517241379310338</v>
      </c>
      <c r="BM840" s="67">
        <f>MAX((CH840-Driver!$F$204)/(Driver!$G$204-Driver!$F$204)*$BI$1,1)</f>
        <v>4.4871794871794872</v>
      </c>
      <c r="BN840" s="67">
        <f>(CI840-Driver!$F$205)/(Driver!$G$205-Driver!$F$205)*$BI$1</f>
        <v>4.7647058823529411</v>
      </c>
      <c r="BO840" s="67">
        <f>(CK840-Driver!$F$207)/(Driver!$G$207-Driver!$F$207)*$BI$1</f>
        <v>0.37228541882109617</v>
      </c>
      <c r="BP840" s="67">
        <f>(CM840-Driver!$F$208)/(Driver!$G$208-Driver!$F$208)*$BI$1</f>
        <v>0.67777777777777781</v>
      </c>
      <c r="BQ840" s="67">
        <f>(CL840-Driver!$F$209)/(Driver!$G$209-Driver!$F$209)*$BI$1</f>
        <v>0.9375</v>
      </c>
      <c r="BR840" s="28" t="s">
        <v>155</v>
      </c>
      <c r="BS840" s="8" t="s">
        <v>213</v>
      </c>
      <c r="BT840" s="9" t="s">
        <v>375</v>
      </c>
      <c r="BU840" s="10">
        <v>170</v>
      </c>
      <c r="BV840" s="9" t="s">
        <v>158</v>
      </c>
      <c r="BW840" s="10">
        <v>170</v>
      </c>
      <c r="BX840" s="10">
        <v>168.7</v>
      </c>
      <c r="BY840" s="10">
        <v>148</v>
      </c>
      <c r="BZ840" s="10">
        <v>156</v>
      </c>
      <c r="CA840" s="10">
        <v>122</v>
      </c>
      <c r="CB840" s="10">
        <v>71</v>
      </c>
      <c r="CC840" s="10">
        <v>103</v>
      </c>
      <c r="CD840" s="10">
        <v>14.7</v>
      </c>
      <c r="CE840" s="10">
        <v>1818</v>
      </c>
      <c r="CF840" s="10">
        <v>0.8</v>
      </c>
      <c r="CG840" s="10">
        <v>1463</v>
      </c>
      <c r="CH840" s="10">
        <v>206</v>
      </c>
      <c r="CI840" s="10">
        <v>114</v>
      </c>
      <c r="CJ840" s="10">
        <v>39</v>
      </c>
      <c r="CK840" s="10">
        <v>146</v>
      </c>
      <c r="CL840" s="10">
        <v>6</v>
      </c>
      <c r="CM840" s="10">
        <v>61</v>
      </c>
      <c r="CN840" s="10">
        <v>0.14199999999999999</v>
      </c>
      <c r="CO840" s="10">
        <v>72</v>
      </c>
      <c r="CP840" s="10">
        <v>57</v>
      </c>
      <c r="CQ840" s="10">
        <v>74</v>
      </c>
      <c r="CR840" s="10">
        <v>8</v>
      </c>
      <c r="CS840" s="10">
        <v>12.2</v>
      </c>
      <c r="CT840" s="9" t="s">
        <v>349</v>
      </c>
      <c r="CU840" s="10"/>
      <c r="CV840" s="10"/>
      <c r="CW840" s="10"/>
      <c r="CX840" t="e">
        <f>INDEX('Data_Price '!AG$2:AG$1266,MATCH(Data!$DN840,'Data_Price '!$AT$2:$AT$1266,0))</f>
        <v>#N/A</v>
      </c>
      <c r="CY840" t="e">
        <f>INDEX('Data_Price '!AH$2:AH$1266,MATCH(Data!$DN840,'Data_Price '!$AT$2:$AT$1266,0))</f>
        <v>#N/A</v>
      </c>
      <c r="CZ840" t="e">
        <f>INDEX('Data_Price '!AI$2:AI$1266,MATCH(Data!$DN840,'Data_Price '!$AT$2:$AT$1266,0))</f>
        <v>#N/A</v>
      </c>
      <c r="DA840" t="e">
        <f>INDEX('Data_Price '!AJ$2:AJ$1266,MATCH(Data!$DN840,'Data_Price '!$AT$2:$AT$1266,0))</f>
        <v>#N/A</v>
      </c>
      <c r="DB840" t="e">
        <f>INDEX('Data_Price '!AK$2:AK$1266,MATCH(Data!$DN840,'Data_Price '!$AT$2:$AT$1266,0))</f>
        <v>#N/A</v>
      </c>
      <c r="DC840" t="e">
        <f>INDEX('Data_Price '!AL$2:AL$1266,MATCH(Data!$DN840,'Data_Price '!$AT$2:$AT$1266,0))</f>
        <v>#N/A</v>
      </c>
      <c r="DD840" t="e">
        <f>INDEX('Data_Price '!AM$2:AM$1266,MATCH(Data!$DN840,'Data_Price '!$AT$2:$AT$1266,0))</f>
        <v>#N/A</v>
      </c>
      <c r="DE840" t="e">
        <f>INDEX('Data_Price '!AN$2:AN$1266,MATCH(Data!$DN840,'Data_Price '!$AT$2:$AT$1266,0))</f>
        <v>#N/A</v>
      </c>
      <c r="DF840" t="e">
        <f>INDEX('Data_Price '!AO$2:AO$1266,MATCH(Data!$DN840,'Data_Price '!$AT$2:$AT$1266,0))</f>
        <v>#N/A</v>
      </c>
      <c r="DG840" t="e">
        <f>INDEX('Data_Price '!AP$2:AP$1266,MATCH(Data!$DN840,'Data_Price '!$AT$2:$AT$1266,0))</f>
        <v>#N/A</v>
      </c>
      <c r="DH840" t="e">
        <f>INDEX('Data_Price '!AQ$2:AQ$1266,MATCH(Data!$DN840,'Data_Price '!$AT$2:$AT$1266,0))</f>
        <v>#N/A</v>
      </c>
      <c r="DI840" t="e">
        <f>INDEX('Data_Price '!AR$2:AR$1266,MATCH(Data!$DN840,'Data_Price '!$AT$2:$AT$1266,0))</f>
        <v>#N/A</v>
      </c>
      <c r="DJ840" s="89" t="e">
        <f t="shared" si="476"/>
        <v>#N/A</v>
      </c>
      <c r="DK840" s="89" t="e">
        <f t="shared" si="477"/>
        <v>#N/A</v>
      </c>
      <c r="DL840" s="89" t="e">
        <f t="shared" si="478"/>
        <v>#N/A</v>
      </c>
      <c r="DM840" s="219" t="str">
        <f t="shared" si="479"/>
        <v>Laser SC</v>
      </c>
      <c r="DN840" s="89" t="str">
        <f t="shared" si="480"/>
        <v xml:space="preserve"> StöckliLaser SC170 Unisex</v>
      </c>
      <c r="DO840" s="221"/>
    </row>
    <row r="841" spans="2:119" ht="15.6" customHeight="1">
      <c r="B841" s="219" t="b">
        <f t="array" ref="B841">IF(OR(ISERROR(K841:P841)),FALSE,TRUE)</f>
        <v>1</v>
      </c>
      <c r="C841" s="43" t="b">
        <f>OR(BR841=Driver!$G$50,Data!BR1074=Driver!$H$50)</f>
        <v>1</v>
      </c>
      <c r="D841" s="43" t="b">
        <f>OR(BV841=Driver!$G$51,BV841=Driver!$H$51)</f>
        <v>1</v>
      </c>
      <c r="E841" s="43" t="b">
        <f>AND(BX841&gt;Driver!$F$54,BX841&lt;Driver!$G$54)</f>
        <v>0</v>
      </c>
      <c r="F841" s="43" t="b">
        <f>CL841&gt;Driver!$F$56</f>
        <v>1</v>
      </c>
      <c r="G841" s="43" t="b">
        <f>AND(CB841&gt;Driver!$F$55,CB841&lt;Driver!$G$55)</f>
        <v>0</v>
      </c>
      <c r="H841" s="43" t="b">
        <f t="shared" ref="H841:H904" si="481">AND(B841:G841)</f>
        <v>0</v>
      </c>
      <c r="I841" s="43">
        <f t="shared" ref="I841:I904" si="482">COUNTIFS($H$9:$H$1273,TRUE,$BT$9:$BT$1273,BT841)</f>
        <v>0</v>
      </c>
      <c r="J841" s="43" t="b">
        <f t="array" ref="J841">NOT(OR(($H$9:$H$1273=TRUE)*($I$9:$I$1273&gt;0)*($BT$9:$BT$1273=BT841)*($K$9:$K$1273&gt;K841)))</f>
        <v>1</v>
      </c>
      <c r="K841" s="72">
        <f t="shared" ref="K841:K904" si="483">IFERROR(1-AVERAGE(X841:Y841),"")</f>
        <v>0.80327564041020394</v>
      </c>
      <c r="L841" s="72">
        <f t="shared" ref="L841:L904" si="484">1-X841</f>
        <v>0.89999862310792078</v>
      </c>
      <c r="M841" s="72">
        <f t="shared" ref="M841:M904" si="485">1-Y841</f>
        <v>0.70655265771248699</v>
      </c>
      <c r="N841" s="72">
        <f t="shared" ref="N841:N904" si="486">1-Z841</f>
        <v>0.63542582733162201</v>
      </c>
      <c r="O841" s="72">
        <f t="shared" ref="O841:O904" si="487">1-AA841</f>
        <v>0.59792867927154592</v>
      </c>
      <c r="P841" s="72">
        <f t="shared" ref="P841:P904" si="488">1-AB841</f>
        <v>0.88630346653429304</v>
      </c>
      <c r="Q841" s="72"/>
      <c r="R841" s="72"/>
      <c r="S841" s="72">
        <f t="shared" ref="S841:S904" si="489">1-AE841</f>
        <v>0.39534083047162172</v>
      </c>
      <c r="T841" s="72">
        <f t="shared" ref="T841:T904" si="490">1-AF841</f>
        <v>0.53835558466602451</v>
      </c>
      <c r="U841" s="72">
        <f t="shared" ref="U841:U904" si="491">1-AG841</f>
        <v>0.50782719523807973</v>
      </c>
      <c r="V841" s="72">
        <f t="shared" ref="V841:V904" si="492">1-AH841</f>
        <v>0.86953410986362434</v>
      </c>
      <c r="W841" s="72">
        <f t="shared" ref="W841:W904" si="493">1-AI841</f>
        <v>0.8525191675794086</v>
      </c>
      <c r="X841" s="72">
        <f t="shared" ref="X841:X904" si="494">ABS(AJ841-AJ$1)</f>
        <v>0.10000137689207919</v>
      </c>
      <c r="Y841" s="72">
        <f t="shared" ref="Y841:Y904" si="495">AVERAGE(Z841:AB841)</f>
        <v>0.29344734228751307</v>
      </c>
      <c r="Z841" s="72">
        <f t="shared" ref="Z841:Z904" si="496">ABS(AL841-AL$1)</f>
        <v>0.36457417266837805</v>
      </c>
      <c r="AA841" s="72">
        <f t="shared" ref="AA841:AA904" si="497">ABS(AM841-AM$1)</f>
        <v>0.40207132072845414</v>
      </c>
      <c r="AB841" s="72">
        <f t="shared" ref="AB841:AB904" si="498">ABS(AN841-AN$1)</f>
        <v>0.11369653346570696</v>
      </c>
      <c r="AC841" s="72"/>
      <c r="AD841" s="72"/>
      <c r="AE841" s="72">
        <f t="shared" ref="AE841:AE904" si="499">ABS(AQ$1-AQ841)</f>
        <v>0.60465916952837828</v>
      </c>
      <c r="AF841" s="72">
        <f t="shared" ref="AF841:AF904" si="500">ABS(AR$1-AR841)</f>
        <v>0.46164441533397549</v>
      </c>
      <c r="AG841" s="72">
        <f t="shared" ref="AG841:AG904" si="501">ABS(AS$1-AS841)</f>
        <v>0.49217280476192027</v>
      </c>
      <c r="AH841" s="72">
        <f t="shared" ref="AH841:AH904" si="502">ABS(AT$1-AT841)</f>
        <v>0.13046589013637566</v>
      </c>
      <c r="AI841" s="72">
        <f t="shared" ref="AI841:AI904" si="503">ABS(AU$1-AU841)</f>
        <v>0.14748083242059146</v>
      </c>
      <c r="AJ841" s="72">
        <f>(AV841-Driver!$K$179)/(Driver!$L$179-Driver!$K$179)</f>
        <v>0.15421803239062123</v>
      </c>
      <c r="AK841" s="72">
        <f>(AW841-Driver!$K$180)/(Driver!$L$180-Driver!$K$180)</f>
        <v>0.16609152129975199</v>
      </c>
      <c r="AL841" s="72">
        <f>(AX841-Driver!$K$181)/(Driver!$L$181-Driver!$K$181)</f>
        <v>0.46626193638145824</v>
      </c>
      <c r="AM841" s="72">
        <f>(AY841-Driver!$K$182)/(Driver!$L$182-Driver!$K$182)</f>
        <v>4.5313700368592245E-2</v>
      </c>
      <c r="AN841" s="72">
        <f>(AZ841-Driver!$K$183)/(Driver!$L$183-Driver!$K$183)</f>
        <v>0.14052287581699346</v>
      </c>
      <c r="AO841" s="72"/>
      <c r="AP841" s="72"/>
      <c r="AQ841" s="72">
        <f>(BC841-Driver!$K$188)/(Driver!$L$188-Driver!$K$188)</f>
        <v>1.5340830471621748E-2</v>
      </c>
      <c r="AR841" s="72">
        <f>MIN((BD841-Driver!$K$189)/(Driver!$L$189-Driver!$K$189),100%)</f>
        <v>8.8355584666024556E-2</v>
      </c>
      <c r="AS841" s="72">
        <f>(BE841-Driver!$K$190)/(Driver!$L$190-Driver!$K$190)</f>
        <v>1.7827195238079716E-2</v>
      </c>
      <c r="AT841" s="72">
        <f>(BF841-Driver!$K$191)/(Driver!$L$191-Driver!$K$191)</f>
        <v>0.37953410986362435</v>
      </c>
      <c r="AU841" s="72">
        <f>(BG841-Driver!$K$192)/(Driver!$L$192-Driver!$K$192)</f>
        <v>0.10251916757940854</v>
      </c>
      <c r="AV841" s="70">
        <f t="shared" ref="AV841:AV904" si="504">IFERROR(BM841*BJ841^1/4,"")</f>
        <v>3.2458282458282461</v>
      </c>
      <c r="AW841" s="70">
        <f t="shared" ref="AW841:AW904" si="505">IFERROR(SUM(AX841:AZ841),"")</f>
        <v>18.058983092713532</v>
      </c>
      <c r="AX841" s="70">
        <f t="shared" ref="AX841:AX904" si="506">IFERROR(BH841,"")</f>
        <v>5.1963574274331243</v>
      </c>
      <c r="AY841" s="70">
        <f>IFERROR(Driver!$K$19/Data!BH841/Data!BI841*Data!BK841*Data!BL841,"")</f>
        <v>5.5477489554419557E-2</v>
      </c>
      <c r="AZ841" s="70">
        <f t="shared" ref="AZ841:AZ904" si="507">IFERROR(BI841*BN841,"")</f>
        <v>12.807148175725986</v>
      </c>
      <c r="BA841" s="70"/>
      <c r="BB841" s="70"/>
      <c r="BC841" s="70">
        <f t="shared" ref="BC841:BC904" si="508">IFERROR(BI841*BN841*BK841/BJ841^(1/2),"")</f>
        <v>7.9573954133534315</v>
      </c>
      <c r="BD841" s="70">
        <f t="shared" ref="BD841:BD904" si="509">IFERROR(BH841*BM841*BL841/BJ841/BK841,"")</f>
        <v>9.5401355702088271</v>
      </c>
      <c r="BE841" s="70">
        <f t="shared" ref="BE841:BE904" si="510">IFERROR(MIN(BI841/BQ841/BP841/BO841/BH841,$BE$1),"")</f>
        <v>1.8002403811623435E-2</v>
      </c>
      <c r="BF841" s="70">
        <f t="shared" ref="BF841:BF904" si="511">IFERROR(BJ841*BO841*BP841/BK841,"")</f>
        <v>42.865711331068098</v>
      </c>
      <c r="BG841" s="70">
        <f t="shared" ref="BG841:BG904" si="512">IFERROR(1/BM841/BH841*BQ841,"")</f>
        <v>0.38820296861426901</v>
      </c>
      <c r="BH841" s="67">
        <f>MAX((CE841-Driver!$F$200)/(Driver!$G$200-Driver!$F$200)*$BI$1,1)</f>
        <v>5.1963574274331243</v>
      </c>
      <c r="BI841" s="67">
        <f>MAX($BI$1*(BY841-Driver!$F$201)/(Driver!$G$201-Driver!$F$201),1)</f>
        <v>5.443037974683544</v>
      </c>
      <c r="BJ841" s="67">
        <f>(CB841-Driver!$F$206)/(Driver!$G$206-Driver!$F$206)*$BI$1</f>
        <v>5.2380952380952381</v>
      </c>
      <c r="BK841" s="67">
        <f>(CD841-Driver!$F$203)/(Driver!$G$203-Driver!$F$203)*$BI$1</f>
        <v>1.4220183486238533</v>
      </c>
      <c r="BL841" s="67">
        <f>MAX((CR841-Driver!$F$202)/(Driver!$G$202-Driver!$F$202)*$BI$1,1)</f>
        <v>5.5172413793103452</v>
      </c>
      <c r="BM841" s="67">
        <f>MAX((CH841-Driver!$F$204)/(Driver!$G$204-Driver!$F$204)*$BI$1,1)</f>
        <v>2.4786324786324787</v>
      </c>
      <c r="BN841" s="67">
        <f>(CI841-Driver!$F$205)/(Driver!$G$205-Driver!$F$205)*$BI$1</f>
        <v>2.3529411764705883</v>
      </c>
      <c r="BO841" s="67">
        <f>(CK841-Driver!$F$207)/(Driver!$G$207-Driver!$F$207)*$BI$1</f>
        <v>2.8852119958634952</v>
      </c>
      <c r="BP841" s="67">
        <f>(CM841-Driver!$F$208)/(Driver!$G$208-Driver!$F$208)*$BI$1</f>
        <v>4.0333333333333332</v>
      </c>
      <c r="BQ841" s="67">
        <f>(CL841-Driver!$F$209)/(Driver!$G$209-Driver!$F$209)*$BI$1</f>
        <v>5</v>
      </c>
      <c r="BR841" s="28" t="s">
        <v>155</v>
      </c>
      <c r="BS841" s="8" t="s">
        <v>174</v>
      </c>
      <c r="BT841" s="9" t="s">
        <v>573</v>
      </c>
      <c r="BU841" s="10">
        <v>169</v>
      </c>
      <c r="BV841" s="9" t="s">
        <v>158</v>
      </c>
      <c r="BW841" s="10">
        <v>169</v>
      </c>
      <c r="BX841" s="10">
        <v>168.8</v>
      </c>
      <c r="BY841" s="10">
        <v>94</v>
      </c>
      <c r="BZ841" s="10">
        <v>127</v>
      </c>
      <c r="CA841" s="10">
        <v>130</v>
      </c>
      <c r="CB841" s="10">
        <v>97</v>
      </c>
      <c r="CC841" s="10">
        <v>118</v>
      </c>
      <c r="CD841" s="10">
        <v>12.5</v>
      </c>
      <c r="CE841" s="10">
        <v>1813</v>
      </c>
      <c r="CF841" s="10">
        <v>1.01</v>
      </c>
      <c r="CG841" s="10">
        <v>1839</v>
      </c>
      <c r="CH841" s="10">
        <v>159</v>
      </c>
      <c r="CI841" s="10">
        <v>73</v>
      </c>
      <c r="CJ841" s="10">
        <v>58</v>
      </c>
      <c r="CK841" s="10">
        <v>389</v>
      </c>
      <c r="CL841" s="10">
        <v>32</v>
      </c>
      <c r="CM841" s="10">
        <v>363</v>
      </c>
      <c r="CN841" s="10">
        <v>0.54100000000000004</v>
      </c>
      <c r="CO841" s="10">
        <v>241</v>
      </c>
      <c r="CP841" s="10">
        <v>180</v>
      </c>
      <c r="CQ841" s="10">
        <v>148</v>
      </c>
      <c r="CR841" s="10">
        <v>5</v>
      </c>
      <c r="CS841" s="10">
        <v>7.6</v>
      </c>
      <c r="CT841" s="9" t="s">
        <v>188</v>
      </c>
      <c r="CU841" s="10"/>
      <c r="CV841" s="10"/>
      <c r="CW841" s="10"/>
      <c r="CX841" t="str">
        <f>INDEX('Data_Price '!AG$2:AG$1266,MATCH(Data!$DN841,'Data_Price '!$AT$2:$AT$1266,0))</f>
        <v>Salomon Skins QST 98 | Multi | Size: 169</v>
      </c>
      <c r="CY841" t="str">
        <f>INDEX('Data_Price '!AH$2:AH$1266,MATCH(Data!$DN841,'Data_Price '!$AT$2:$AT$1266,0))</f>
        <v>Salomon.com</v>
      </c>
      <c r="CZ841">
        <f>INDEX('Data_Price '!AI$2:AI$1266,MATCH(Data!$DN841,'Data_Price '!$AT$2:$AT$1266,0))</f>
        <v>189.99</v>
      </c>
      <c r="DA841" t="str">
        <f>INDEX('Data_Price '!AJ$2:AJ$1266,MATCH(Data!$DN841,'Data_Price '!$AT$2:$AT$1266,0))</f>
        <v>https://tinyurl.com/y6uctty3</v>
      </c>
      <c r="DB841" t="str">
        <f>INDEX('Data_Price '!AK$2:AK$1266,MATCH(Data!$DN841,'Data_Price '!$AT$2:$AT$1266,0))</f>
        <v>Salomon QST 98 Skis</v>
      </c>
      <c r="DC841" t="str">
        <f>INDEX('Data_Price '!AL$2:AL$1266,MATCH(Data!$DN841,'Data_Price '!$AT$2:$AT$1266,0))</f>
        <v>sunandski.com</v>
      </c>
      <c r="DD841">
        <f>INDEX('Data_Price '!AM$2:AM$1266,MATCH(Data!$DN841,'Data_Price '!$AT$2:$AT$1266,0))</f>
        <v>479.93</v>
      </c>
      <c r="DE841" t="str">
        <f>INDEX('Data_Price '!AN$2:AN$1266,MATCH(Data!$DN841,'Data_Price '!$AT$2:$AT$1266,0))</f>
        <v>https://tinyurl.com/y7rrb9ch</v>
      </c>
      <c r="DF841" t="str">
        <f>INDEX('Data_Price '!AO$2:AO$1266,MATCH(Data!$DN841,'Data_Price '!$AT$2:$AT$1266,0))</f>
        <v>Salomon QST 98 Skis</v>
      </c>
      <c r="DG841" t="str">
        <f>INDEX('Data_Price '!AP$2:AP$1266,MATCH(Data!$DN841,'Data_Price '!$AT$2:$AT$1266,0))</f>
        <v>AlpineShopVT.com</v>
      </c>
      <c r="DH841">
        <f>INDEX('Data_Price '!AQ$2:AQ$1266,MATCH(Data!$DN841,'Data_Price '!$AT$2:$AT$1266,0))</f>
        <v>479.96</v>
      </c>
      <c r="DI841" t="str">
        <f>INDEX('Data_Price '!AR$2:AR$1266,MATCH(Data!$DN841,'Data_Price '!$AT$2:$AT$1266,0))</f>
        <v>https://tinyurl.com/yag8wtlq</v>
      </c>
      <c r="DJ841" s="89" t="str">
        <f t="shared" ref="DJ841:DJ904" si="513">DA841</f>
        <v>https://tinyurl.com/y6uctty3</v>
      </c>
      <c r="DK841" s="89" t="str">
        <f t="shared" ref="DK841:DK904" si="514">DE841</f>
        <v>https://tinyurl.com/y7rrb9ch</v>
      </c>
      <c r="DL841" s="89" t="str">
        <f t="shared" ref="DL841:DL904" si="515">DI841</f>
        <v>https://tinyurl.com/yag8wtlq</v>
      </c>
      <c r="DM841" s="219" t="str">
        <f t="shared" ref="DM841:DM904" si="516">IF(LEFT(BT841,1)=" ",RIGHT(BT841,LEN(BT841)-1),BT841)</f>
        <v>QST 98</v>
      </c>
      <c r="DN841" s="89" t="str">
        <f t="shared" ref="DN841:DN904" si="517">_xlfn.CONCAT(BS841,DM841,BU841,BV841)</f>
        <v xml:space="preserve"> SalomonQST 98169 Unisex</v>
      </c>
      <c r="DO841" s="221" t="s">
        <v>574</v>
      </c>
    </row>
    <row r="842" spans="2:119" ht="15.6" customHeight="1">
      <c r="B842" s="219" t="b">
        <f t="array" ref="B842">IF(OR(ISERROR(K842:P842)),FALSE,TRUE)</f>
        <v>1</v>
      </c>
      <c r="C842" s="43" t="b">
        <f>OR(BR842=Driver!$G$50,Data!BR405=Driver!$H$50)</f>
        <v>1</v>
      </c>
      <c r="D842" s="43" t="b">
        <f>OR(BV842=Driver!$G$51,BV842=Driver!$H$51)</f>
        <v>1</v>
      </c>
      <c r="E842" s="43" t="b">
        <f>AND(BX842&gt;Driver!$F$54,BX842&lt;Driver!$G$54)</f>
        <v>0</v>
      </c>
      <c r="F842" s="43" t="b">
        <f>CL842&gt;Driver!$F$56</f>
        <v>1</v>
      </c>
      <c r="G842" s="43" t="b">
        <f>AND(CB842&gt;Driver!$F$55,CB842&lt;Driver!$G$55)</f>
        <v>0</v>
      </c>
      <c r="H842" s="43" t="b">
        <f t="shared" si="481"/>
        <v>0</v>
      </c>
      <c r="I842" s="43">
        <f t="shared" si="482"/>
        <v>0</v>
      </c>
      <c r="J842" s="43" t="b">
        <f t="array" ref="J842">NOT(OR(($H$9:$H$1273=TRUE)*($I$9:$I$1273&gt;0)*($BT$9:$BT$1273=BT842)*($K$9:$K$1273&gt;K842)))</f>
        <v>1</v>
      </c>
      <c r="K842" s="72">
        <f t="shared" si="483"/>
        <v>0.72145238841730253</v>
      </c>
      <c r="L842" s="72">
        <f t="shared" si="484"/>
        <v>0.79156531211083681</v>
      </c>
      <c r="M842" s="72">
        <f t="shared" si="485"/>
        <v>0.65133946472376825</v>
      </c>
      <c r="N842" s="72">
        <f t="shared" si="486"/>
        <v>0.49313783643805331</v>
      </c>
      <c r="O842" s="72">
        <f t="shared" si="487"/>
        <v>0.65110559289499559</v>
      </c>
      <c r="P842" s="72">
        <f t="shared" si="488"/>
        <v>0.80977496483825595</v>
      </c>
      <c r="Q842" s="72"/>
      <c r="R842" s="72"/>
      <c r="S842" s="72">
        <f t="shared" si="489"/>
        <v>0.57564449963808684</v>
      </c>
      <c r="T842" s="72">
        <f t="shared" si="490"/>
        <v>0.53052406405084129</v>
      </c>
      <c r="U842" s="72">
        <f t="shared" si="491"/>
        <v>0.61201593399421372</v>
      </c>
      <c r="V842" s="72">
        <f t="shared" si="492"/>
        <v>0.52312297686082543</v>
      </c>
      <c r="W842" s="72">
        <f t="shared" si="493"/>
        <v>0.76370826010544812</v>
      </c>
      <c r="X842" s="72">
        <f t="shared" si="494"/>
        <v>0.20843468788916325</v>
      </c>
      <c r="Y842" s="72">
        <f t="shared" si="495"/>
        <v>0.34866053527623175</v>
      </c>
      <c r="Z842" s="72">
        <f t="shared" si="496"/>
        <v>0.50686216356194669</v>
      </c>
      <c r="AA842" s="72">
        <f t="shared" si="497"/>
        <v>0.34889440710500447</v>
      </c>
      <c r="AB842" s="72">
        <f t="shared" si="498"/>
        <v>0.19022503516174405</v>
      </c>
      <c r="AC842" s="72"/>
      <c r="AD842" s="72"/>
      <c r="AE842" s="72">
        <f t="shared" si="499"/>
        <v>0.42435550036191316</v>
      </c>
      <c r="AF842" s="72">
        <f t="shared" si="500"/>
        <v>0.46947593594915871</v>
      </c>
      <c r="AG842" s="72">
        <f t="shared" si="501"/>
        <v>0.38798406600578628</v>
      </c>
      <c r="AH842" s="72">
        <f t="shared" si="502"/>
        <v>0.47687702313917463</v>
      </c>
      <c r="AI842" s="72">
        <f t="shared" si="503"/>
        <v>0.23629173989455185</v>
      </c>
      <c r="AJ842" s="72">
        <f>(AV842-Driver!$K$179)/(Driver!$L$179-Driver!$K$179)</f>
        <v>0.46265409717186368</v>
      </c>
      <c r="AK842" s="72">
        <f>(AW842-Driver!$K$180)/(Driver!$L$180-Driver!$K$180)</f>
        <v>0.46411344559002554</v>
      </c>
      <c r="AL842" s="72">
        <f>(AX842-Driver!$K$181)/(Driver!$L$181-Driver!$K$181)</f>
        <v>0.60854992727502688</v>
      </c>
      <c r="AM842" s="72">
        <f>(AY842-Driver!$K$182)/(Driver!$L$182-Driver!$K$182)</f>
        <v>9.8490613992041912E-2</v>
      </c>
      <c r="AN842" s="72">
        <f>(AZ842-Driver!$K$183)/(Driver!$L$183-Driver!$K$183)</f>
        <v>0.44444444444444448</v>
      </c>
      <c r="AO842" s="72"/>
      <c r="AP842" s="72"/>
      <c r="AQ842" s="72">
        <f>(BC842-Driver!$K$188)/(Driver!$L$188-Driver!$K$188)</f>
        <v>0.19564449963808683</v>
      </c>
      <c r="AR842" s="72">
        <f>MIN((BD842-Driver!$K$189)/(Driver!$L$189-Driver!$K$189),100%)</f>
        <v>8.0524064050841351E-2</v>
      </c>
      <c r="AS842" s="72">
        <f>(BE842-Driver!$K$190)/(Driver!$L$190-Driver!$K$190)</f>
        <v>0.12201593399421373</v>
      </c>
      <c r="AT842" s="72">
        <f>(BF842-Driver!$K$191)/(Driver!$L$191-Driver!$K$191)</f>
        <v>3.3122976860825395E-2</v>
      </c>
      <c r="AU842" s="72">
        <f>(BG842-Driver!$K$192)/(Driver!$L$192-Driver!$K$192)</f>
        <v>1.3708260105448152E-2</v>
      </c>
      <c r="AV842" s="70">
        <f t="shared" si="504"/>
        <v>9.7374847374847384</v>
      </c>
      <c r="AW842" s="70">
        <f t="shared" si="505"/>
        <v>47.103860357688475</v>
      </c>
      <c r="AX842" s="70">
        <f t="shared" si="506"/>
        <v>6.4769493454752416</v>
      </c>
      <c r="AY842" s="70">
        <f>IFERROR(Driver!$K$19/Data!BH842/Data!BI842*Data!BK842*Data!BL842,"")</f>
        <v>0.12058189828917792</v>
      </c>
      <c r="AZ842" s="70">
        <f t="shared" si="507"/>
        <v>40.506329113924053</v>
      </c>
      <c r="BA842" s="70"/>
      <c r="BB842" s="70"/>
      <c r="BC842" s="70">
        <f t="shared" si="508"/>
        <v>101.48216206077146</v>
      </c>
      <c r="BD842" s="70">
        <f t="shared" si="509"/>
        <v>8.8470598723985194</v>
      </c>
      <c r="BE842" s="70">
        <f t="shared" si="510"/>
        <v>0.12217255646945757</v>
      </c>
      <c r="BF842" s="70">
        <f t="shared" si="511"/>
        <v>3.7410075343477609</v>
      </c>
      <c r="BG842" s="70">
        <f t="shared" si="512"/>
        <v>5.1908217683776736E-2</v>
      </c>
      <c r="BH842" s="67">
        <f>MAX((CE842-Driver!$F$200)/(Driver!$G$200-Driver!$F$200)*$BI$1,1)</f>
        <v>6.4769493454752416</v>
      </c>
      <c r="BI842" s="67">
        <f>MAX($BI$1*(BY842-Driver!$F$201)/(Driver!$G$201-Driver!$F$201),1)</f>
        <v>8.1012658227848107</v>
      </c>
      <c r="BJ842" s="67">
        <f>(CB842-Driver!$F$206)/(Driver!$G$206-Driver!$F$206)*$BI$1</f>
        <v>5.2380952380952381</v>
      </c>
      <c r="BK842" s="67">
        <f>(CD842-Driver!$F$203)/(Driver!$G$203-Driver!$F$203)*$BI$1</f>
        <v>5.7339449541284404</v>
      </c>
      <c r="BL842" s="67">
        <f>MAX((CR842-Driver!$F$202)/(Driver!$G$202-Driver!$F$202)*$BI$1,1)</f>
        <v>5.5172413793103452</v>
      </c>
      <c r="BM842" s="67">
        <f>MAX((CH842-Driver!$F$204)/(Driver!$G$204-Driver!$F$204)*$BI$1,1)</f>
        <v>7.4358974358974361</v>
      </c>
      <c r="BN842" s="67">
        <f>(CI842-Driver!$F$205)/(Driver!$G$205-Driver!$F$205)*$BI$1</f>
        <v>5</v>
      </c>
      <c r="BO842" s="67">
        <f>(CK842-Driver!$F$207)/(Driver!$G$207-Driver!$F$207)*$BI$1</f>
        <v>2.2750775594622543</v>
      </c>
      <c r="BP842" s="67">
        <f>(CM842-Driver!$F$208)/(Driver!$G$208-Driver!$F$208)*$BI$1</f>
        <v>1.7999999999999998</v>
      </c>
      <c r="BQ842" s="67">
        <f>(CL842-Driver!$F$209)/(Driver!$G$209-Driver!$F$209)*$BI$1</f>
        <v>2.5</v>
      </c>
      <c r="BR842" s="28" t="s">
        <v>155</v>
      </c>
      <c r="BS842" s="8" t="s">
        <v>202</v>
      </c>
      <c r="BT842" s="9" t="s">
        <v>380</v>
      </c>
      <c r="BU842" s="10">
        <v>186</v>
      </c>
      <c r="BV842" s="9" t="s">
        <v>158</v>
      </c>
      <c r="BW842" s="10">
        <v>186</v>
      </c>
      <c r="BX842" s="10">
        <v>185.2</v>
      </c>
      <c r="BY842" s="10">
        <v>136</v>
      </c>
      <c r="BZ842" s="10">
        <v>153</v>
      </c>
      <c r="CA842" s="10">
        <v>126</v>
      </c>
      <c r="CB842" s="10">
        <v>97</v>
      </c>
      <c r="CC842" s="10">
        <v>116</v>
      </c>
      <c r="CD842" s="10">
        <v>21.9</v>
      </c>
      <c r="CE842" s="10">
        <v>2038</v>
      </c>
      <c r="CF842" s="10">
        <v>0.97</v>
      </c>
      <c r="CG842" s="10">
        <v>1973</v>
      </c>
      <c r="CH842" s="10">
        <v>275</v>
      </c>
      <c r="CI842" s="10">
        <v>118</v>
      </c>
      <c r="CJ842" s="10">
        <v>61</v>
      </c>
      <c r="CK842" s="10">
        <v>330</v>
      </c>
      <c r="CL842" s="10">
        <v>16</v>
      </c>
      <c r="CM842" s="10">
        <v>162</v>
      </c>
      <c r="CN842" s="10">
        <v>0.27100000000000002</v>
      </c>
      <c r="CO842" s="10">
        <v>202</v>
      </c>
      <c r="CP842" s="10">
        <v>123</v>
      </c>
      <c r="CQ842" s="10">
        <v>128</v>
      </c>
      <c r="CR842" s="10">
        <v>5</v>
      </c>
      <c r="CS842" s="10">
        <v>12.4</v>
      </c>
      <c r="CT842" s="9" t="s">
        <v>188</v>
      </c>
      <c r="CU842" s="10"/>
      <c r="CV842" s="10"/>
      <c r="CW842" s="10"/>
      <c r="CX842" t="str">
        <f>INDEX('Data_Price '!AG$2:AG$1266,MATCH(Data!$DN842,'Data_Price '!$AT$2:$AT$1266,0))</f>
        <v>Dynastar M-Pro 99 Skis Â· 186 cm</v>
      </c>
      <c r="CY842" t="str">
        <f>INDEX('Data_Price '!AH$2:AH$1266,MATCH(Data!$DN842,'Data_Price '!$AT$2:$AT$1266,0))</f>
        <v>evo.com</v>
      </c>
      <c r="CZ842">
        <f>INDEX('Data_Price '!AI$2:AI$1266,MATCH(Data!$DN842,'Data_Price '!$AT$2:$AT$1266,0))</f>
        <v>559.96</v>
      </c>
      <c r="DA842" t="str">
        <f>INDEX('Data_Price '!AJ$2:AJ$1266,MATCH(Data!$DN842,'Data_Price '!$AT$2:$AT$1266,0))</f>
        <v>https://tinyurl.com/yc253ps3</v>
      </c>
      <c r="DB842" t="str">
        <f>INDEX('Data_Price '!AK$2:AK$1266,MATCH(Data!$DN842,'Data_Price '!$AT$2:$AT$1266,0))</f>
        <v>Dynastar M-Pro 99 Skis Â· 186 cm</v>
      </c>
      <c r="DC842" t="str">
        <f>INDEX('Data_Price '!AL$2:AL$1266,MATCH(Data!$DN842,'Data_Price '!$AT$2:$AT$1266,0))</f>
        <v>Next Adventure</v>
      </c>
      <c r="DD842">
        <f>INDEX('Data_Price '!AM$2:AM$1266,MATCH(Data!$DN842,'Data_Price '!$AT$2:$AT$1266,0))</f>
        <v>559.96</v>
      </c>
      <c r="DE842" t="str">
        <f>INDEX('Data_Price '!AN$2:AN$1266,MATCH(Data!$DN842,'Data_Price '!$AT$2:$AT$1266,0))</f>
        <v>https://tinyurl.com/y8wpbjye</v>
      </c>
      <c r="DF842" t="str">
        <f>INDEX('Data_Price '!AO$2:AO$1266,MATCH(Data!$DN842,'Data_Price '!$AT$2:$AT$1266,0))</f>
        <v>Dynastar M-Pro 99 Skis Â· 186 cm</v>
      </c>
      <c r="DG842" t="str">
        <f>INDEX('Data_Price '!AP$2:AP$1266,MATCH(Data!$DN842,'Data_Price '!$AT$2:$AT$1266,0))</f>
        <v>Level Nine Sports</v>
      </c>
      <c r="DH842">
        <f>INDEX('Data_Price '!AQ$2:AQ$1266,MATCH(Data!$DN842,'Data_Price '!$AT$2:$AT$1266,0))</f>
        <v>559.96</v>
      </c>
      <c r="DI842" t="str">
        <f>INDEX('Data_Price '!AR$2:AR$1266,MATCH(Data!$DN842,'Data_Price '!$AT$2:$AT$1266,0))</f>
        <v>https://tinyurl.com/y7urc7tu</v>
      </c>
      <c r="DJ842" s="89" t="str">
        <f t="shared" si="513"/>
        <v>https://tinyurl.com/yc253ps3</v>
      </c>
      <c r="DK842" s="89" t="str">
        <f t="shared" si="514"/>
        <v>https://tinyurl.com/y8wpbjye</v>
      </c>
      <c r="DL842" s="89" t="str">
        <f t="shared" si="515"/>
        <v>https://tinyurl.com/y7urc7tu</v>
      </c>
      <c r="DM842" s="219" t="str">
        <f t="shared" si="516"/>
        <v>M-Pro 99</v>
      </c>
      <c r="DN842" s="89" t="str">
        <f t="shared" si="517"/>
        <v xml:space="preserve"> DynastarM-Pro 99186 Unisex</v>
      </c>
      <c r="DO842" s="221" t="s">
        <v>381</v>
      </c>
    </row>
    <row r="843" spans="2:119" ht="15.6" customHeight="1">
      <c r="B843" s="219" t="b">
        <f t="array" ref="B843">IF(OR(ISERROR(K843:P843)),FALSE,TRUE)</f>
        <v>1</v>
      </c>
      <c r="C843" s="43" t="b">
        <f>OR(BR843=Driver!$G$50,Data!BR1238=Driver!$H$50)</f>
        <v>1</v>
      </c>
      <c r="D843" s="43" t="b">
        <f>OR(BV843=Driver!$G$51,BV843=Driver!$H$51)</f>
        <v>1</v>
      </c>
      <c r="E843" s="43" t="b">
        <f>AND(BX843&gt;Driver!$F$54,BX843&lt;Driver!$G$54)</f>
        <v>0</v>
      </c>
      <c r="F843" s="43" t="b">
        <f>CL843&gt;Driver!$F$56</f>
        <v>1</v>
      </c>
      <c r="G843" s="43" t="b">
        <f>AND(CB843&gt;Driver!$F$55,CB843&lt;Driver!$G$55)</f>
        <v>0</v>
      </c>
      <c r="H843" s="43" t="b">
        <f t="shared" si="481"/>
        <v>0</v>
      </c>
      <c r="I843" s="43">
        <f t="shared" si="482"/>
        <v>0</v>
      </c>
      <c r="J843" s="43" t="b">
        <f t="array" ref="J843">NOT(OR(($H$9:$H$1273=TRUE)*($I$9:$I$1273&gt;0)*($BT$9:$BT$1273=BT843)*($K$9:$K$1273&gt;K843)))</f>
        <v>1</v>
      </c>
      <c r="K843" s="72">
        <f t="shared" si="483"/>
        <v>0.75328053639482362</v>
      </c>
      <c r="L843" s="72">
        <f t="shared" si="484"/>
        <v>0.83910378604524971</v>
      </c>
      <c r="M843" s="72">
        <f t="shared" si="485"/>
        <v>0.66745728674439753</v>
      </c>
      <c r="N843" s="72">
        <f t="shared" si="486"/>
        <v>0.41725090796148334</v>
      </c>
      <c r="O843" s="72">
        <f t="shared" si="487"/>
        <v>0.65494493671780807</v>
      </c>
      <c r="P843" s="72">
        <f t="shared" si="488"/>
        <v>0.93017601555390095</v>
      </c>
      <c r="Q843" s="72"/>
      <c r="R843" s="72"/>
      <c r="S843" s="72">
        <f t="shared" si="489"/>
        <v>0.42137436465527112</v>
      </c>
      <c r="T843" s="72">
        <f t="shared" si="490"/>
        <v>0.48241130447923253</v>
      </c>
      <c r="U843" s="72">
        <f t="shared" si="491"/>
        <v>0.49444097734189107</v>
      </c>
      <c r="V843" s="72">
        <f t="shared" si="492"/>
        <v>0.90638202857454697</v>
      </c>
      <c r="W843" s="72">
        <f t="shared" si="493"/>
        <v>0.81596262182899015</v>
      </c>
      <c r="X843" s="72">
        <f t="shared" si="494"/>
        <v>0.16089621395475023</v>
      </c>
      <c r="Y843" s="72">
        <f t="shared" si="495"/>
        <v>0.33254271325560253</v>
      </c>
      <c r="Z843" s="72">
        <f t="shared" si="496"/>
        <v>0.58274909203851666</v>
      </c>
      <c r="AA843" s="72">
        <f t="shared" si="497"/>
        <v>0.34505506328219193</v>
      </c>
      <c r="AB843" s="72">
        <f t="shared" si="498"/>
        <v>6.9823984446099108E-2</v>
      </c>
      <c r="AC843" s="72"/>
      <c r="AD843" s="72"/>
      <c r="AE843" s="72">
        <f t="shared" si="499"/>
        <v>0.57862563534472888</v>
      </c>
      <c r="AF843" s="72">
        <f t="shared" si="500"/>
        <v>0.51758869552076747</v>
      </c>
      <c r="AG843" s="72">
        <f t="shared" si="501"/>
        <v>0.50555902265810893</v>
      </c>
      <c r="AH843" s="72">
        <f t="shared" si="502"/>
        <v>9.3617971425453028E-2</v>
      </c>
      <c r="AI843" s="72">
        <f t="shared" si="503"/>
        <v>0.1840373781710099</v>
      </c>
      <c r="AJ843" s="72">
        <f>(AV843-Driver!$K$179)/(Driver!$L$179-Driver!$K$179)</f>
        <v>0.41511562323745066</v>
      </c>
      <c r="AK843" s="72">
        <f>(AW843-Driver!$K$180)/(Driver!$L$180-Driver!$K$180)</f>
        <v>0.22798317410986121</v>
      </c>
      <c r="AL843" s="72">
        <f>(AX843-Driver!$K$181)/(Driver!$L$181-Driver!$K$181)</f>
        <v>0.68443685575159685</v>
      </c>
      <c r="AM843" s="72">
        <f>(AY843-Driver!$K$182)/(Driver!$L$182-Driver!$K$182)</f>
        <v>0.10232995781485445</v>
      </c>
      <c r="AN843" s="72">
        <f>(AZ843-Driver!$K$183)/(Driver!$L$183-Driver!$K$183)</f>
        <v>0.18439542483660132</v>
      </c>
      <c r="AO843" s="72"/>
      <c r="AP843" s="72"/>
      <c r="AQ843" s="72">
        <f>(BC843-Driver!$K$188)/(Driver!$L$188-Driver!$K$188)</f>
        <v>4.137436465527114E-2</v>
      </c>
      <c r="AR843" s="72">
        <f>MIN((BD843-Driver!$K$189)/(Driver!$L$189-Driver!$K$189),100%)</f>
        <v>3.2411304479232524E-2</v>
      </c>
      <c r="AS843" s="72">
        <f>(BE843-Driver!$K$190)/(Driver!$L$190-Driver!$K$190)</f>
        <v>4.4409773418910949E-3</v>
      </c>
      <c r="AT843" s="72">
        <f>(BF843-Driver!$K$191)/(Driver!$L$191-Driver!$K$191)</f>
        <v>0.41638202857454698</v>
      </c>
      <c r="AU843" s="72">
        <f>(BG843-Driver!$K$192)/(Driver!$L$192-Driver!$K$192)</f>
        <v>6.5962621828990112E-2</v>
      </c>
      <c r="AV843" s="70">
        <f t="shared" si="504"/>
        <v>8.7369420702754041</v>
      </c>
      <c r="AW843" s="70">
        <f t="shared" si="505"/>
        <v>24.090873074892045</v>
      </c>
      <c r="AX843" s="70">
        <f t="shared" si="506"/>
        <v>7.1599317017643713</v>
      </c>
      <c r="AY843" s="70">
        <f>IFERROR(Driver!$K$19/Data!BH843/Data!BI843*Data!BK843*Data!BL843,"")</f>
        <v>0.12528240067793317</v>
      </c>
      <c r="AZ843" s="70">
        <f t="shared" si="507"/>
        <v>16.805658972449741</v>
      </c>
      <c r="BA843" s="70"/>
      <c r="BB843" s="70"/>
      <c r="BC843" s="70">
        <f t="shared" si="508"/>
        <v>21.461170576605838</v>
      </c>
      <c r="BD843" s="70">
        <f t="shared" si="509"/>
        <v>4.5891659010765462</v>
      </c>
      <c r="BE843" s="70">
        <f t="shared" si="510"/>
        <v>4.618573866039196E-3</v>
      </c>
      <c r="BF843" s="70">
        <f t="shared" si="511"/>
        <v>47.027424878186771</v>
      </c>
      <c r="BG843" s="70">
        <f t="shared" si="512"/>
        <v>0.24977656584813715</v>
      </c>
      <c r="BH843" s="67">
        <f>MAX((CE843-Driver!$F$200)/(Driver!$G$200-Driver!$F$200)*$BI$1,1)</f>
        <v>7.1599317017643713</v>
      </c>
      <c r="BI843" s="67">
        <f>MAX($BI$1*(BY843-Driver!$F$201)/(Driver!$G$201-Driver!$F$201),1)</f>
        <v>4.6835443037974684</v>
      </c>
      <c r="BJ843" s="67">
        <f>(CB843-Driver!$F$206)/(Driver!$G$206-Driver!$F$206)*$BI$1</f>
        <v>8.8888888888888893</v>
      </c>
      <c r="BK843" s="67">
        <f>(CD843-Driver!$F$203)/(Driver!$G$203-Driver!$F$203)*$BI$1</f>
        <v>3.8073394495412844</v>
      </c>
      <c r="BL843" s="67">
        <f>MAX((CR843-Driver!$F$202)/(Driver!$G$202-Driver!$F$202)*$BI$1,1)</f>
        <v>5.5172413793103452</v>
      </c>
      <c r="BM843" s="67">
        <f>MAX((CH843-Driver!$F$204)/(Driver!$G$204-Driver!$F$204)*$BI$1,1)</f>
        <v>3.9316239316239314</v>
      </c>
      <c r="BN843" s="67">
        <f>(CI843-Driver!$F$205)/(Driver!$G$205-Driver!$F$205)*$BI$1</f>
        <v>3.5882352941176472</v>
      </c>
      <c r="BO843" s="67">
        <f>(CK843-Driver!$F$207)/(Driver!$G$207-Driver!$F$207)*$BI$1</f>
        <v>3.8986556359875908</v>
      </c>
      <c r="BP843" s="67">
        <f>(CM843-Driver!$F$208)/(Driver!$G$208-Driver!$F$208)*$BI$1</f>
        <v>5.166666666666667</v>
      </c>
      <c r="BQ843" s="67">
        <f>(CL843-Driver!$F$209)/(Driver!$G$209-Driver!$F$209)*$BI$1</f>
        <v>7.03125</v>
      </c>
      <c r="BR843" s="28" t="s">
        <v>155</v>
      </c>
      <c r="BS843" s="8" t="s">
        <v>229</v>
      </c>
      <c r="BT843" s="9" t="s">
        <v>780</v>
      </c>
      <c r="BU843" s="10">
        <v>177</v>
      </c>
      <c r="BV843" s="9" t="s">
        <v>158</v>
      </c>
      <c r="BW843" s="10">
        <v>177</v>
      </c>
      <c r="BX843" s="10">
        <v>177.4</v>
      </c>
      <c r="BY843" s="10">
        <v>82</v>
      </c>
      <c r="BZ843" s="10">
        <v>118</v>
      </c>
      <c r="CA843" s="10">
        <v>141</v>
      </c>
      <c r="CB843" s="10">
        <v>120</v>
      </c>
      <c r="CC843" s="10">
        <v>133</v>
      </c>
      <c r="CD843" s="10">
        <v>17.7</v>
      </c>
      <c r="CE843" s="10">
        <v>2158</v>
      </c>
      <c r="CF843" s="10">
        <v>1.04</v>
      </c>
      <c r="CG843" s="10">
        <v>2242</v>
      </c>
      <c r="CH843" s="10">
        <v>193</v>
      </c>
      <c r="CI843" s="10">
        <v>94</v>
      </c>
      <c r="CJ843" s="10">
        <v>77</v>
      </c>
      <c r="CK843" s="10">
        <v>487</v>
      </c>
      <c r="CL843" s="10">
        <v>45</v>
      </c>
      <c r="CM843" s="10">
        <v>465</v>
      </c>
      <c r="CN843" s="10">
        <v>0.58499999999999996</v>
      </c>
      <c r="CO843" s="10">
        <v>298</v>
      </c>
      <c r="CP843" s="10">
        <v>298</v>
      </c>
      <c r="CQ843" s="10">
        <v>189</v>
      </c>
      <c r="CR843" s="10">
        <v>5</v>
      </c>
      <c r="CS843" s="10">
        <v>3.4</v>
      </c>
      <c r="CT843" s="9" t="s">
        <v>169</v>
      </c>
      <c r="CU843" s="10"/>
      <c r="CV843" s="10"/>
      <c r="CW843" s="10"/>
      <c r="CX843" t="e">
        <f>INDEX('Data_Price '!AG$2:AG$1266,MATCH(Data!$DN843,'Data_Price '!$AT$2:$AT$1266,0))</f>
        <v>#N/A</v>
      </c>
      <c r="CY843" t="e">
        <f>INDEX('Data_Price '!AH$2:AH$1266,MATCH(Data!$DN843,'Data_Price '!$AT$2:$AT$1266,0))</f>
        <v>#N/A</v>
      </c>
      <c r="CZ843" t="e">
        <f>INDEX('Data_Price '!AI$2:AI$1266,MATCH(Data!$DN843,'Data_Price '!$AT$2:$AT$1266,0))</f>
        <v>#N/A</v>
      </c>
      <c r="DA843" t="e">
        <f>INDEX('Data_Price '!AJ$2:AJ$1266,MATCH(Data!$DN843,'Data_Price '!$AT$2:$AT$1266,0))</f>
        <v>#N/A</v>
      </c>
      <c r="DB843" t="e">
        <f>INDEX('Data_Price '!AK$2:AK$1266,MATCH(Data!$DN843,'Data_Price '!$AT$2:$AT$1266,0))</f>
        <v>#N/A</v>
      </c>
      <c r="DC843" t="e">
        <f>INDEX('Data_Price '!AL$2:AL$1266,MATCH(Data!$DN843,'Data_Price '!$AT$2:$AT$1266,0))</f>
        <v>#N/A</v>
      </c>
      <c r="DD843" t="e">
        <f>INDEX('Data_Price '!AM$2:AM$1266,MATCH(Data!$DN843,'Data_Price '!$AT$2:$AT$1266,0))</f>
        <v>#N/A</v>
      </c>
      <c r="DE843" t="e">
        <f>INDEX('Data_Price '!AN$2:AN$1266,MATCH(Data!$DN843,'Data_Price '!$AT$2:$AT$1266,0))</f>
        <v>#N/A</v>
      </c>
      <c r="DF843" t="e">
        <f>INDEX('Data_Price '!AO$2:AO$1266,MATCH(Data!$DN843,'Data_Price '!$AT$2:$AT$1266,0))</f>
        <v>#N/A</v>
      </c>
      <c r="DG843" t="e">
        <f>INDEX('Data_Price '!AP$2:AP$1266,MATCH(Data!$DN843,'Data_Price '!$AT$2:$AT$1266,0))</f>
        <v>#N/A</v>
      </c>
      <c r="DH843" t="e">
        <f>INDEX('Data_Price '!AQ$2:AQ$1266,MATCH(Data!$DN843,'Data_Price '!$AT$2:$AT$1266,0))</f>
        <v>#N/A</v>
      </c>
      <c r="DI843" t="e">
        <f>INDEX('Data_Price '!AR$2:AR$1266,MATCH(Data!$DN843,'Data_Price '!$AT$2:$AT$1266,0))</f>
        <v>#N/A</v>
      </c>
      <c r="DJ843" s="89" t="e">
        <f t="shared" si="513"/>
        <v>#N/A</v>
      </c>
      <c r="DK843" s="89" t="e">
        <f t="shared" si="514"/>
        <v>#N/A</v>
      </c>
      <c r="DL843" s="89" t="e">
        <f t="shared" si="515"/>
        <v>#N/A</v>
      </c>
      <c r="DM843" s="219" t="str">
        <f t="shared" si="516"/>
        <v>Revolt 121</v>
      </c>
      <c r="DN843" s="89" t="str">
        <f t="shared" si="517"/>
        <v xml:space="preserve"> VölklRevolt 121177 Unisex</v>
      </c>
      <c r="DO843" s="221" t="s">
        <v>781</v>
      </c>
    </row>
    <row r="844" spans="2:119" ht="15.6" customHeight="1">
      <c r="B844" s="219" t="b">
        <f t="array" ref="B844">IF(OR(ISERROR(K844:P844)),FALSE,TRUE)</f>
        <v>1</v>
      </c>
      <c r="C844" s="43" t="b">
        <f>OR(BR844=Driver!$G$50,Data!BR229=Driver!$H$50)</f>
        <v>1</v>
      </c>
      <c r="D844" s="43" t="b">
        <f>OR(BV844=Driver!$G$51,BV844=Driver!$H$51)</f>
        <v>1</v>
      </c>
      <c r="E844" s="43" t="b">
        <f>AND(BX844&gt;Driver!$F$54,BX844&lt;Driver!$G$54)</f>
        <v>0</v>
      </c>
      <c r="F844" s="43" t="b">
        <f>CL844&gt;Driver!$F$56</f>
        <v>1</v>
      </c>
      <c r="G844" s="43" t="b">
        <f>AND(CB844&gt;Driver!$F$55,CB844&lt;Driver!$G$55)</f>
        <v>0</v>
      </c>
      <c r="H844" s="43" t="b">
        <f t="shared" si="481"/>
        <v>0</v>
      </c>
      <c r="I844" s="43">
        <f t="shared" si="482"/>
        <v>0</v>
      </c>
      <c r="J844" s="43" t="b">
        <f t="array" ref="J844">NOT(OR(($H$9:$H$1273=TRUE)*($I$9:$I$1273&gt;0)*($BT$9:$BT$1273=BT844)*($K$9:$K$1273&gt;K844)))</f>
        <v>1</v>
      </c>
      <c r="K844" s="72">
        <f t="shared" si="483"/>
        <v>0.69512615321481075</v>
      </c>
      <c r="L844" s="72">
        <f t="shared" si="484"/>
        <v>0.7309739012656189</v>
      </c>
      <c r="M844" s="72">
        <f t="shared" si="485"/>
        <v>0.6592784051640026</v>
      </c>
      <c r="N844" s="72">
        <f t="shared" si="486"/>
        <v>0.48871109894358677</v>
      </c>
      <c r="O844" s="72">
        <f t="shared" si="487"/>
        <v>0.65161222360558979</v>
      </c>
      <c r="P844" s="72">
        <f t="shared" si="488"/>
        <v>0.83751189294283113</v>
      </c>
      <c r="Q844" s="72"/>
      <c r="R844" s="72"/>
      <c r="S844" s="72">
        <f t="shared" si="489"/>
        <v>0.54481390316428868</v>
      </c>
      <c r="T844" s="72">
        <f t="shared" si="490"/>
        <v>0.53337111106353852</v>
      </c>
      <c r="U844" s="72">
        <f t="shared" si="491"/>
        <v>0.50723743245840591</v>
      </c>
      <c r="V844" s="72">
        <f t="shared" si="492"/>
        <v>0.58982977975897444</v>
      </c>
      <c r="W844" s="72">
        <f t="shared" si="493"/>
        <v>0.77559935069388874</v>
      </c>
      <c r="X844" s="72">
        <f t="shared" si="494"/>
        <v>0.26902609873438105</v>
      </c>
      <c r="Y844" s="72">
        <f t="shared" si="495"/>
        <v>0.34072159483599745</v>
      </c>
      <c r="Z844" s="72">
        <f t="shared" si="496"/>
        <v>0.51128890105641323</v>
      </c>
      <c r="AA844" s="72">
        <f t="shared" si="497"/>
        <v>0.34838777639441021</v>
      </c>
      <c r="AB844" s="72">
        <f t="shared" si="498"/>
        <v>0.16248810705716887</v>
      </c>
      <c r="AC844" s="72"/>
      <c r="AD844" s="72"/>
      <c r="AE844" s="72">
        <f t="shared" si="499"/>
        <v>0.45518609683571132</v>
      </c>
      <c r="AF844" s="72">
        <f t="shared" si="500"/>
        <v>0.46662888893646148</v>
      </c>
      <c r="AG844" s="72">
        <f t="shared" si="501"/>
        <v>0.49276256754159409</v>
      </c>
      <c r="AH844" s="72">
        <f t="shared" si="502"/>
        <v>0.41017022024102562</v>
      </c>
      <c r="AI844" s="72">
        <f t="shared" si="503"/>
        <v>0.22440064930611126</v>
      </c>
      <c r="AJ844" s="72">
        <f>(AV844-Driver!$K$179)/(Driver!$L$179-Driver!$K$179)</f>
        <v>0.52324550801708147</v>
      </c>
      <c r="AK844" s="72">
        <f>(AW844-Driver!$K$180)/(Driver!$L$180-Driver!$K$180)</f>
        <v>0.43859024909645983</v>
      </c>
      <c r="AL844" s="72">
        <f>(AX844-Driver!$K$181)/(Driver!$L$181-Driver!$K$181)</f>
        <v>0.61297666476949342</v>
      </c>
      <c r="AM844" s="72">
        <f>(AY844-Driver!$K$182)/(Driver!$L$182-Driver!$K$182)</f>
        <v>9.8997244702636183E-2</v>
      </c>
      <c r="AN844" s="72">
        <f>(AZ844-Driver!$K$183)/(Driver!$L$183-Driver!$K$183)</f>
        <v>0.4167075163398693</v>
      </c>
      <c r="AO844" s="72"/>
      <c r="AP844" s="72"/>
      <c r="AQ844" s="72">
        <f>(BC844-Driver!$K$188)/(Driver!$L$188-Driver!$K$188)</f>
        <v>0.16481390316428871</v>
      </c>
      <c r="AR844" s="72">
        <f>MIN((BD844-Driver!$K$189)/(Driver!$L$189-Driver!$K$189),100%)</f>
        <v>8.3371111063538575E-2</v>
      </c>
      <c r="AS844" s="72">
        <f>(BE844-Driver!$K$190)/(Driver!$L$190-Driver!$K$190)</f>
        <v>1.7237432458405949E-2</v>
      </c>
      <c r="AT844" s="72">
        <f>(BF844-Driver!$K$191)/(Driver!$L$191-Driver!$K$191)</f>
        <v>9.9829779758974405E-2</v>
      </c>
      <c r="AU844" s="72">
        <f>(BG844-Driver!$K$192)/(Driver!$L$192-Driver!$K$192)</f>
        <v>2.5599350693888752E-2</v>
      </c>
      <c r="AV844" s="70">
        <f t="shared" si="504"/>
        <v>11.012752679419345</v>
      </c>
      <c r="AW844" s="70">
        <f t="shared" si="505"/>
        <v>44.616398700862817</v>
      </c>
      <c r="AX844" s="70">
        <f t="shared" si="506"/>
        <v>6.5167899829254408</v>
      </c>
      <c r="AY844" s="70">
        <f>IFERROR(Driver!$K$19/Data!BH844/Data!BI844*Data!BK844*Data!BL844,"")</f>
        <v>0.12120216544295959</v>
      </c>
      <c r="AZ844" s="70">
        <f t="shared" si="507"/>
        <v>37.97840655249442</v>
      </c>
      <c r="BA844" s="70"/>
      <c r="BB844" s="70"/>
      <c r="BC844" s="70">
        <f t="shared" si="508"/>
        <v>85.490117338982898</v>
      </c>
      <c r="BD844" s="70">
        <f t="shared" si="509"/>
        <v>9.0990184883534262</v>
      </c>
      <c r="BE844" s="70">
        <f t="shared" si="510"/>
        <v>1.74127462389915E-2</v>
      </c>
      <c r="BF844" s="70">
        <f t="shared" si="511"/>
        <v>11.275072279880055</v>
      </c>
      <c r="BG844" s="70">
        <f t="shared" si="512"/>
        <v>9.693547234733306E-2</v>
      </c>
      <c r="BH844" s="67">
        <f>MAX((CE844-Driver!$F$200)/(Driver!$G$200-Driver!$F$200)*$BI$1,1)</f>
        <v>6.5167899829254408</v>
      </c>
      <c r="BI844" s="67">
        <f>MAX($BI$1*(BY844-Driver!$F$201)/(Driver!$G$201-Driver!$F$201),1)</f>
        <v>6.3924050632911396</v>
      </c>
      <c r="BJ844" s="67">
        <f>(CB844-Driver!$F$206)/(Driver!$G$206-Driver!$F$206)*$BI$1</f>
        <v>5.3968253968253963</v>
      </c>
      <c r="BK844" s="67">
        <f>(CD844-Driver!$F$203)/(Driver!$G$203-Driver!$F$203)*$BI$1</f>
        <v>5.2293577981651387</v>
      </c>
      <c r="BL844" s="67">
        <f>MAX((CR844-Driver!$F$202)/(Driver!$G$202-Driver!$F$202)*$BI$1,1)</f>
        <v>4.8275862068965516</v>
      </c>
      <c r="BM844" s="67">
        <f>MAX((CH844-Driver!$F$204)/(Driver!$G$204-Driver!$F$204)*$BI$1,1)</f>
        <v>8.1623931623931618</v>
      </c>
      <c r="BN844" s="67">
        <f>(CI844-Driver!$F$205)/(Driver!$G$205-Driver!$F$205)*$BI$1</f>
        <v>5.9411764705882355</v>
      </c>
      <c r="BO844" s="67">
        <f>(CK844-Driver!$F$207)/(Driver!$G$207-Driver!$F$207)*$BI$1</f>
        <v>3.2885211995863495</v>
      </c>
      <c r="BP844" s="67">
        <f>(CM844-Driver!$F$208)/(Driver!$G$208-Driver!$F$208)*$BI$1</f>
        <v>3.322222222222222</v>
      </c>
      <c r="BQ844" s="67">
        <f>(CL844-Driver!$F$209)/(Driver!$G$209-Driver!$F$209)*$BI$1</f>
        <v>5.15625</v>
      </c>
      <c r="BR844" s="28" t="s">
        <v>155</v>
      </c>
      <c r="BS844" s="8" t="s">
        <v>237</v>
      </c>
      <c r="BT844" s="9" t="s">
        <v>555</v>
      </c>
      <c r="BU844" s="10">
        <v>183.1</v>
      </c>
      <c r="BV844" s="9" t="s">
        <v>158</v>
      </c>
      <c r="BW844" s="10">
        <v>183.1</v>
      </c>
      <c r="BX844" s="10">
        <v>182</v>
      </c>
      <c r="BY844" s="10">
        <v>109</v>
      </c>
      <c r="BZ844" s="10">
        <v>163</v>
      </c>
      <c r="CA844" s="10">
        <v>137</v>
      </c>
      <c r="CB844" s="10">
        <v>98</v>
      </c>
      <c r="CC844" s="10">
        <v>122</v>
      </c>
      <c r="CD844" s="10">
        <v>20.8</v>
      </c>
      <c r="CE844" s="10">
        <v>2045</v>
      </c>
      <c r="CF844" s="10">
        <v>0.98</v>
      </c>
      <c r="CG844" s="10">
        <v>1997</v>
      </c>
      <c r="CH844" s="10">
        <v>292</v>
      </c>
      <c r="CI844" s="10">
        <v>134</v>
      </c>
      <c r="CJ844" s="10">
        <v>48</v>
      </c>
      <c r="CK844" s="10">
        <v>428</v>
      </c>
      <c r="CL844" s="10">
        <v>33</v>
      </c>
      <c r="CM844" s="10">
        <v>299</v>
      </c>
      <c r="CN844" s="10">
        <v>0.67700000000000005</v>
      </c>
      <c r="CO844" s="10">
        <v>107</v>
      </c>
      <c r="CP844" s="10">
        <v>86</v>
      </c>
      <c r="CQ844" s="10">
        <v>321</v>
      </c>
      <c r="CR844" s="10">
        <v>3</v>
      </c>
      <c r="CS844" s="10">
        <v>8.3000000000000007</v>
      </c>
      <c r="CT844" s="9" t="s">
        <v>188</v>
      </c>
      <c r="CU844" s="10"/>
      <c r="CV844" s="10"/>
      <c r="CW844" s="10"/>
      <c r="CX844" t="str">
        <f>INDEX('Data_Price '!AG$2:AG$1266,MATCH(Data!$DN844,'Data_Price '!$AT$2:$AT$1266,0))</f>
        <v>Black Crows Justis Ski - 2022. 189cm /56226/</v>
      </c>
      <c r="CY844" t="str">
        <f>INDEX('Data_Price '!AH$2:AH$1266,MATCH(Data!$DN844,'Data_Price '!$AT$2:$AT$1266,0))</f>
        <v>eBay - gearoutlet</v>
      </c>
      <c r="CZ844">
        <f>INDEX('Data_Price '!AI$2:AI$1266,MATCH(Data!$DN844,'Data_Price '!$AT$2:$AT$1266,0))</f>
        <v>600</v>
      </c>
      <c r="DA844" t="str">
        <f>INDEX('Data_Price '!AJ$2:AJ$1266,MATCH(Data!$DN844,'Data_Price '!$AT$2:$AT$1266,0))</f>
        <v>https://tinyurl.com/yctx2aaf</v>
      </c>
      <c r="DB844" t="str">
        <f>INDEX('Data_Price '!AK$2:AK$1266,MATCH(Data!$DN844,'Data_Price '!$AT$2:$AT$1266,0))</f>
        <v>Black Crows Justis Skis - 2022</v>
      </c>
      <c r="DC844" t="str">
        <f>INDEX('Data_Price '!AL$2:AL$1266,MATCH(Data!$DN844,'Data_Price '!$AT$2:$AT$1266,0))</f>
        <v>! OutdoorXL.com</v>
      </c>
      <c r="DD844">
        <f>INDEX('Data_Price '!AM$2:AM$1266,MATCH(Data!$DN844,'Data_Price '!$AT$2:$AT$1266,0))</f>
        <v>609.95000000000005</v>
      </c>
      <c r="DE844" t="str">
        <f>INDEX('Data_Price '!AN$2:AN$1266,MATCH(Data!$DN844,'Data_Price '!$AT$2:$AT$1266,0))</f>
        <v>https://tinyurl.com/yc5s4c89</v>
      </c>
      <c r="DF844" t="str">
        <f>INDEX('Data_Price '!AO$2:AO$1266,MATCH(Data!$DN844,'Data_Price '!$AT$2:$AT$1266,0))</f>
        <v>Black Crows Justis Skis - 2022</v>
      </c>
      <c r="DG844" t="str">
        <f>INDEX('Data_Price '!AP$2:AP$1266,MATCH(Data!$DN844,'Data_Price '!$AT$2:$AT$1266,0))</f>
        <v>Curated</v>
      </c>
      <c r="DH844">
        <f>INDEX('Data_Price '!AQ$2:AQ$1266,MATCH(Data!$DN844,'Data_Price '!$AT$2:$AT$1266,0))</f>
        <v>767</v>
      </c>
      <c r="DI844" t="str">
        <f>INDEX('Data_Price '!AR$2:AR$1266,MATCH(Data!$DN844,'Data_Price '!$AT$2:$AT$1266,0))</f>
        <v>https://tinyurl.com/y79lsfuw</v>
      </c>
      <c r="DJ844" s="89" t="str">
        <f t="shared" si="513"/>
        <v>https://tinyurl.com/yctx2aaf</v>
      </c>
      <c r="DK844" s="89" t="str">
        <f t="shared" si="514"/>
        <v>https://tinyurl.com/yc5s4c89</v>
      </c>
      <c r="DL844" s="89" t="str">
        <f t="shared" si="515"/>
        <v>https://tinyurl.com/y79lsfuw</v>
      </c>
      <c r="DM844" s="219" t="str">
        <f t="shared" si="516"/>
        <v>Justis</v>
      </c>
      <c r="DN844" s="89" t="str">
        <f t="shared" si="517"/>
        <v xml:space="preserve"> Black CrowsJustis183.1 Unisex</v>
      </c>
      <c r="DO844" s="221" t="s">
        <v>556</v>
      </c>
    </row>
    <row r="845" spans="2:119" ht="15.6" customHeight="1">
      <c r="B845" s="219" t="b">
        <f t="array" ref="B845">IF(OR(ISERROR(K845:P845)),FALSE,TRUE)</f>
        <v>1</v>
      </c>
      <c r="C845" s="43" t="b">
        <f>OR(BR845=Driver!$G$50,Data!BR1038=Driver!$H$50)</f>
        <v>1</v>
      </c>
      <c r="D845" s="43" t="b">
        <f>OR(BV845=Driver!$G$51,BV845=Driver!$H$51)</f>
        <v>1</v>
      </c>
      <c r="E845" s="43" t="b">
        <f>AND(BX845&gt;Driver!$F$54,BX845&lt;Driver!$G$54)</f>
        <v>1</v>
      </c>
      <c r="F845" s="43" t="b">
        <f>CL845&gt;Driver!$F$56</f>
        <v>1</v>
      </c>
      <c r="G845" s="43" t="b">
        <f>AND(CB845&gt;Driver!$F$55,CB845&lt;Driver!$G$55)</f>
        <v>0</v>
      </c>
      <c r="H845" s="43" t="b">
        <f t="shared" si="481"/>
        <v>0</v>
      </c>
      <c r="I845" s="43">
        <f t="shared" si="482"/>
        <v>0</v>
      </c>
      <c r="J845" s="43" t="b">
        <f t="array" ref="J845">NOT(OR(($H$9:$H$1273=TRUE)*($I$9:$I$1273&gt;0)*($BT$9:$BT$1273=BT845)*($K$9:$K$1273&gt;K845)))</f>
        <v>1</v>
      </c>
      <c r="K845" s="72">
        <f t="shared" si="483"/>
        <v>0.71883577962830447</v>
      </c>
      <c r="L845" s="72">
        <f t="shared" si="484"/>
        <v>0.76898581189206383</v>
      </c>
      <c r="M845" s="72">
        <f t="shared" si="485"/>
        <v>0.66868574736454511</v>
      </c>
      <c r="N845" s="72">
        <f t="shared" si="486"/>
        <v>0.48175479716656788</v>
      </c>
      <c r="O845" s="72">
        <f t="shared" si="487"/>
        <v>0.57743597682083736</v>
      </c>
      <c r="P845" s="72">
        <f t="shared" si="488"/>
        <v>0.94686646810622987</v>
      </c>
      <c r="Q845" s="72"/>
      <c r="R845" s="72"/>
      <c r="S845" s="72">
        <f t="shared" si="489"/>
        <v>0.45897625656274244</v>
      </c>
      <c r="T845" s="72">
        <f t="shared" si="490"/>
        <v>0.55000000000000004</v>
      </c>
      <c r="U845" s="72">
        <f t="shared" si="491"/>
        <v>0.51</v>
      </c>
      <c r="V845" s="72">
        <f t="shared" si="492"/>
        <v>0.49084248743737224</v>
      </c>
      <c r="W845" s="72">
        <f t="shared" si="493"/>
        <v>0.75611483564013837</v>
      </c>
      <c r="X845" s="72">
        <f t="shared" si="494"/>
        <v>0.23101418810793611</v>
      </c>
      <c r="Y845" s="72">
        <f t="shared" si="495"/>
        <v>0.33131425263545494</v>
      </c>
      <c r="Z845" s="72">
        <f t="shared" si="496"/>
        <v>0.51824520283343212</v>
      </c>
      <c r="AA845" s="72">
        <f t="shared" si="497"/>
        <v>0.42256402317916264</v>
      </c>
      <c r="AB845" s="72">
        <f t="shared" si="498"/>
        <v>5.3133531893770125E-2</v>
      </c>
      <c r="AC845" s="72"/>
      <c r="AD845" s="72"/>
      <c r="AE845" s="72">
        <f t="shared" si="499"/>
        <v>0.54102374343725756</v>
      </c>
      <c r="AF845" s="72">
        <f t="shared" si="500"/>
        <v>0.44999999999999996</v>
      </c>
      <c r="AG845" s="72">
        <f t="shared" si="501"/>
        <v>0.49</v>
      </c>
      <c r="AH845" s="72">
        <f t="shared" si="502"/>
        <v>0.50915751256262776</v>
      </c>
      <c r="AI845" s="72">
        <f t="shared" si="503"/>
        <v>0.2438851643598616</v>
      </c>
      <c r="AJ845" s="72">
        <f>(AV845-Driver!$K$179)/(Driver!$L$179-Driver!$K$179)</f>
        <v>2.3205221174764316E-2</v>
      </c>
      <c r="AK845" s="72">
        <f>(AW845-Driver!$K$180)/(Driver!$L$180-Driver!$K$180)</f>
        <v>0.33603723363978505</v>
      </c>
      <c r="AL845" s="72">
        <f>(AX845-Driver!$K$181)/(Driver!$L$181-Driver!$K$181)</f>
        <v>0.61993296654651231</v>
      </c>
      <c r="AM845" s="72">
        <f>(AY845-Driver!$K$182)/(Driver!$L$182-Driver!$K$182)</f>
        <v>2.4820997917883725E-2</v>
      </c>
      <c r="AN845" s="72">
        <f>(AZ845-Driver!$K$183)/(Driver!$L$183-Driver!$K$183)</f>
        <v>0.30735294117647055</v>
      </c>
      <c r="AO845" s="72"/>
      <c r="AP845" s="72"/>
      <c r="AQ845" s="72">
        <f>(BC845-Driver!$K$188)/(Driver!$L$188-Driver!$K$188)</f>
        <v>7.8976256562742431E-2</v>
      </c>
      <c r="AR845" s="72">
        <f>MIN((BD845-Driver!$K$189)/(Driver!$L$189-Driver!$K$189),100%)</f>
        <v>1</v>
      </c>
      <c r="AS845" s="72">
        <f>(BE845-Driver!$K$190)/(Driver!$L$190-Driver!$K$190)</f>
        <v>1</v>
      </c>
      <c r="AT845" s="72">
        <f>(BF845-Driver!$K$191)/(Driver!$L$191-Driver!$K$191)</f>
        <v>8.4248743737229642E-4</v>
      </c>
      <c r="AU845" s="72">
        <f>(BG845-Driver!$K$192)/(Driver!$L$192-Driver!$K$192)</f>
        <v>6.1148356401384083E-3</v>
      </c>
      <c r="AV845" s="70">
        <f t="shared" si="504"/>
        <v>0.48840048840048833</v>
      </c>
      <c r="AW845" s="70">
        <f t="shared" si="505"/>
        <v>34.621698632451071</v>
      </c>
      <c r="AX845" s="70">
        <f t="shared" si="506"/>
        <v>6.579396698918611</v>
      </c>
      <c r="AY845" s="70">
        <f>IFERROR(Driver!$K$19/Data!BH845/Data!BI845*Data!BK845*Data!BL845,"")</f>
        <v>3.0388307322482374E-2</v>
      </c>
      <c r="AZ845" s="70">
        <f t="shared" si="507"/>
        <v>28.011913626209974</v>
      </c>
      <c r="BA845" s="70"/>
      <c r="BB845" s="70"/>
      <c r="BC845" s="70">
        <f t="shared" si="508"/>
        <v>40.965533313122826</v>
      </c>
      <c r="BD845" s="70">
        <f t="shared" si="509"/>
        <v>464.84460998542625</v>
      </c>
      <c r="BE845" s="70">
        <f t="shared" si="510"/>
        <v>1</v>
      </c>
      <c r="BF845" s="70">
        <f t="shared" si="511"/>
        <v>9.5153037241972091E-2</v>
      </c>
      <c r="BG845" s="70">
        <f t="shared" si="512"/>
        <v>2.3154668576989623E-2</v>
      </c>
      <c r="BH845" s="67">
        <f>MAX((CE845-Driver!$F$200)/(Driver!$G$200-Driver!$F$200)*$BI$1,1)</f>
        <v>6.579396698918611</v>
      </c>
      <c r="BI845" s="67">
        <f>MAX($BI$1*(BY845-Driver!$F$201)/(Driver!$G$201-Driver!$F$201),1)</f>
        <v>8.3544303797468356</v>
      </c>
      <c r="BJ845" s="67">
        <f>(CB845-Driver!$F$206)/(Driver!$G$206-Driver!$F$206)*$BI$1</f>
        <v>0.47619047619047616</v>
      </c>
      <c r="BK845" s="67">
        <f>(CD845-Driver!$F$203)/(Driver!$G$203-Driver!$F$203)*$BI$1</f>
        <v>1.0091743119266052</v>
      </c>
      <c r="BL845" s="67">
        <f>MAX((CR845-Driver!$F$202)/(Driver!$G$202-Driver!$F$202)*$BI$1,1)</f>
        <v>8.2758620689655178</v>
      </c>
      <c r="BM845" s="67">
        <f>MAX((CH845-Driver!$F$204)/(Driver!$G$204-Driver!$F$204)*$BI$1,1)</f>
        <v>4.1025641025641022</v>
      </c>
      <c r="BN845" s="67">
        <f>(CI845-Driver!$F$205)/(Driver!$G$205-Driver!$F$205)*$BI$1</f>
        <v>3.3529411764705879</v>
      </c>
      <c r="BO845" s="67">
        <f>(CK845-Driver!$F$207)/(Driver!$G$207-Driver!$F$207)*$BI$1</f>
        <v>0.27921406411582211</v>
      </c>
      <c r="BP845" s="67">
        <f>(CM845-Driver!$F$208)/(Driver!$G$208-Driver!$F$208)*$BI$1</f>
        <v>0.7222222222222221</v>
      </c>
      <c r="BQ845" s="67">
        <f>(CL845-Driver!$F$209)/(Driver!$G$209-Driver!$F$209)*$BI$1</f>
        <v>0.625</v>
      </c>
      <c r="BR845" s="28" t="s">
        <v>155</v>
      </c>
      <c r="BS845" s="8" t="s">
        <v>172</v>
      </c>
      <c r="BT845" s="9" t="s">
        <v>751</v>
      </c>
      <c r="BU845" s="10">
        <v>162</v>
      </c>
      <c r="BV845" s="9" t="s">
        <v>158</v>
      </c>
      <c r="BW845" s="10">
        <v>162</v>
      </c>
      <c r="BX845" s="10">
        <v>160.6</v>
      </c>
      <c r="BY845" s="10">
        <v>140</v>
      </c>
      <c r="BZ845" s="10">
        <v>146</v>
      </c>
      <c r="CA845" s="10">
        <v>121</v>
      </c>
      <c r="CB845" s="10">
        <v>67</v>
      </c>
      <c r="CC845" s="10">
        <v>102</v>
      </c>
      <c r="CD845" s="10">
        <v>11.6</v>
      </c>
      <c r="CE845" s="10">
        <v>2056</v>
      </c>
      <c r="CF845" s="10">
        <v>0.66</v>
      </c>
      <c r="CG845" s="10">
        <v>1348</v>
      </c>
      <c r="CH845" s="10">
        <v>197</v>
      </c>
      <c r="CI845" s="10">
        <v>90</v>
      </c>
      <c r="CJ845" s="10">
        <v>39</v>
      </c>
      <c r="CK845" s="10">
        <v>137</v>
      </c>
      <c r="CL845" s="10">
        <v>4</v>
      </c>
      <c r="CM845" s="10">
        <v>65</v>
      </c>
      <c r="CN845" s="10">
        <v>0.111</v>
      </c>
      <c r="CO845" s="10">
        <v>78</v>
      </c>
      <c r="CP845" s="10">
        <v>63</v>
      </c>
      <c r="CQ845" s="10">
        <v>59</v>
      </c>
      <c r="CR845" s="10">
        <v>13</v>
      </c>
      <c r="CS845" s="10">
        <v>8.9</v>
      </c>
      <c r="CT845" s="9" t="s">
        <v>349</v>
      </c>
      <c r="CU845" s="10"/>
      <c r="CV845" s="10"/>
      <c r="CW845" s="10"/>
      <c r="CX845" t="str">
        <f>INDEX('Data_Price '!AG$2:AG$1266,MATCH(Data!$DN845,'Data_Price '!$AT$2:$AT$1266,0))</f>
        <v>Rossignol Unisex Racing Skis Hero Elite St Ti (R22)</v>
      </c>
      <c r="CY845" t="str">
        <f>INDEX('Data_Price '!AH$2:AH$1266,MATCH(Data!$DN845,'Data_Price '!$AT$2:$AT$1266,0))</f>
        <v>eBay - asogear</v>
      </c>
      <c r="CZ845">
        <f>INDEX('Data_Price '!AI$2:AI$1266,MATCH(Data!$DN845,'Data_Price '!$AT$2:$AT$1266,0))</f>
        <v>664.99</v>
      </c>
      <c r="DA845" t="str">
        <f>INDEX('Data_Price '!AJ$2:AJ$1266,MATCH(Data!$DN845,'Data_Price '!$AT$2:$AT$1266,0))</f>
        <v>https://tinyurl.com/yc7m8g2b</v>
      </c>
      <c r="DB845" t="str">
        <f>INDEX('Data_Price '!AK$2:AK$1266,MATCH(Data!$DN845,'Data_Price '!$AT$2:$AT$1266,0))</f>
        <v>Rossignol Hero Elite St Ti + SPX 14 Konect 21/22</v>
      </c>
      <c r="DC845" t="str">
        <f>INDEX('Data_Price '!AL$2:AL$1266,MATCH(Data!$DN845,'Data_Price '!$AT$2:$AT$1266,0))</f>
        <v>Rossignol US</v>
      </c>
      <c r="DD845">
        <f>INDEX('Data_Price '!AM$2:AM$1266,MATCH(Data!$DN845,'Data_Price '!$AT$2:$AT$1266,0))</f>
        <v>1099.95</v>
      </c>
      <c r="DE845" t="str">
        <f>INDEX('Data_Price '!AN$2:AN$1266,MATCH(Data!$DN845,'Data_Price '!$AT$2:$AT$1266,0))</f>
        <v>https://tinyurl.com/y7wub4h9</v>
      </c>
      <c r="DF845" t="str">
        <f>INDEX('Data_Price '!AO$2:AO$1266,MATCH(Data!$DN845,'Data_Price '!$AT$2:$AT$1266,0))</f>
        <v>Rossignol Hero Elite ST TI K/SPX14 K.GWB 162cm</v>
      </c>
      <c r="DG845" t="str">
        <f>INDEX('Data_Price '!AP$2:AP$1266,MATCH(Data!$DN845,'Data_Price '!$AT$2:$AT$1266,0))</f>
        <v>Sundance Ski and Board Shop</v>
      </c>
      <c r="DH845">
        <f>INDEX('Data_Price '!AQ$2:AQ$1266,MATCH(Data!$DN845,'Data_Price '!$AT$2:$AT$1266,0))</f>
        <v>721.3</v>
      </c>
      <c r="DI845" t="str">
        <f>INDEX('Data_Price '!AR$2:AR$1266,MATCH(Data!$DN845,'Data_Price '!$AT$2:$AT$1266,0))</f>
        <v>https://tinyurl.com/y7ng3dsk</v>
      </c>
      <c r="DJ845" s="89" t="str">
        <f t="shared" si="513"/>
        <v>https://tinyurl.com/yc7m8g2b</v>
      </c>
      <c r="DK845" s="89" t="str">
        <f t="shared" si="514"/>
        <v>https://tinyurl.com/y7wub4h9</v>
      </c>
      <c r="DL845" s="89" t="str">
        <f t="shared" si="515"/>
        <v>https://tinyurl.com/y7ng3dsk</v>
      </c>
      <c r="DM845" s="219" t="str">
        <f t="shared" si="516"/>
        <v>Hero Elite ST Ti (R22)</v>
      </c>
      <c r="DN845" s="89" t="str">
        <f t="shared" si="517"/>
        <v xml:space="preserve"> RossignolHero Elite ST Ti (R22)162 Unisex</v>
      </c>
      <c r="DO845" s="221"/>
    </row>
    <row r="846" spans="2:119" ht="15.6" customHeight="1">
      <c r="B846" s="219" t="b">
        <f t="array" ref="B846">IF(OR(ISERROR(K846:P846)),FALSE,TRUE)</f>
        <v>1</v>
      </c>
      <c r="C846" s="43" t="b">
        <f>OR(BR846=Driver!$G$50,Data!BR897=Driver!$H$50)</f>
        <v>1</v>
      </c>
      <c r="D846" s="43" t="b">
        <f>OR(BV846=Driver!$G$51,BV846=Driver!$H$51)</f>
        <v>1</v>
      </c>
      <c r="E846" s="43" t="b">
        <f>AND(BX846&gt;Driver!$F$54,BX846&lt;Driver!$G$54)</f>
        <v>0</v>
      </c>
      <c r="F846" s="43" t="b">
        <f>CL846&gt;Driver!$F$56</f>
        <v>1</v>
      </c>
      <c r="G846" s="43" t="b">
        <f>AND(CB846&gt;Driver!$F$55,CB846&lt;Driver!$G$55)</f>
        <v>1</v>
      </c>
      <c r="H846" s="43" t="b">
        <f t="shared" si="481"/>
        <v>0</v>
      </c>
      <c r="I846" s="43">
        <f t="shared" si="482"/>
        <v>1</v>
      </c>
      <c r="J846" s="43" t="b">
        <f t="array" ref="J846">NOT(OR(($H$9:$H$1273=TRUE)*($I$9:$I$1273&gt;0)*($BT$9:$BT$1273=BT846)*($K$9:$K$1273&gt;K846)))</f>
        <v>0</v>
      </c>
      <c r="K846" s="72">
        <f t="shared" si="483"/>
        <v>0.76807245920527056</v>
      </c>
      <c r="L846" s="72">
        <f t="shared" si="484"/>
        <v>0.91484304960177221</v>
      </c>
      <c r="M846" s="72">
        <f t="shared" si="485"/>
        <v>0.62130186880876881</v>
      </c>
      <c r="N846" s="72">
        <f t="shared" si="486"/>
        <v>0.44444372399892096</v>
      </c>
      <c r="O846" s="72">
        <f t="shared" si="487"/>
        <v>0.62561829013814885</v>
      </c>
      <c r="P846" s="72">
        <f t="shared" si="488"/>
        <v>0.79384359228923651</v>
      </c>
      <c r="Q846" s="72"/>
      <c r="R846" s="72"/>
      <c r="S846" s="72">
        <f t="shared" si="489"/>
        <v>0.49781603640764038</v>
      </c>
      <c r="T846" s="72">
        <f t="shared" si="490"/>
        <v>0.53033854487881238</v>
      </c>
      <c r="U846" s="72">
        <f t="shared" si="491"/>
        <v>0.52367532789609883</v>
      </c>
      <c r="V846" s="72">
        <f t="shared" si="492"/>
        <v>0.57361393557532403</v>
      </c>
      <c r="W846" s="72">
        <f t="shared" si="493"/>
        <v>0.79654320987654326</v>
      </c>
      <c r="X846" s="72">
        <f t="shared" si="494"/>
        <v>8.5156950398227793E-2</v>
      </c>
      <c r="Y846" s="72">
        <f t="shared" si="495"/>
        <v>0.37869813119123119</v>
      </c>
      <c r="Z846" s="72">
        <f t="shared" si="496"/>
        <v>0.55555627600107904</v>
      </c>
      <c r="AA846" s="72">
        <f t="shared" si="497"/>
        <v>0.3743817098618511</v>
      </c>
      <c r="AB846" s="72">
        <f t="shared" si="498"/>
        <v>0.20615640771076349</v>
      </c>
      <c r="AC846" s="72"/>
      <c r="AD846" s="72"/>
      <c r="AE846" s="72">
        <f t="shared" si="499"/>
        <v>0.50218396359235962</v>
      </c>
      <c r="AF846" s="72">
        <f t="shared" si="500"/>
        <v>0.46966145512118762</v>
      </c>
      <c r="AG846" s="72">
        <f t="shared" si="501"/>
        <v>0.47632467210390111</v>
      </c>
      <c r="AH846" s="72">
        <f t="shared" si="502"/>
        <v>0.42638606442467603</v>
      </c>
      <c r="AI846" s="72">
        <f t="shared" si="503"/>
        <v>0.2034567901234568</v>
      </c>
      <c r="AJ846" s="72">
        <f>(AV846-Driver!$K$179)/(Driver!$L$179-Driver!$K$179)</f>
        <v>0.33937635968092822</v>
      </c>
      <c r="AK846" s="72">
        <f>(AW846-Driver!$K$180)/(Driver!$L$180-Driver!$K$180)</f>
        <v>0.48318832627144798</v>
      </c>
      <c r="AL846" s="72">
        <f>(AX846-Driver!$K$181)/(Driver!$L$181-Driver!$K$181)</f>
        <v>0.65724403971415923</v>
      </c>
      <c r="AM846" s="72">
        <f>(AY846-Driver!$K$182)/(Driver!$L$182-Driver!$K$182)</f>
        <v>7.3003311235195281E-2</v>
      </c>
      <c r="AN846" s="72">
        <f>(AZ846-Driver!$K$183)/(Driver!$L$183-Driver!$K$183)</f>
        <v>0.46037581699346392</v>
      </c>
      <c r="AO846" s="72"/>
      <c r="AP846" s="72"/>
      <c r="AQ846" s="72">
        <f>(BC846-Driver!$K$188)/(Driver!$L$188-Driver!$K$188)</f>
        <v>0.11781603640764039</v>
      </c>
      <c r="AR846" s="72">
        <f>MIN((BD846-Driver!$K$189)/(Driver!$L$189-Driver!$K$189),100%)</f>
        <v>8.0338544878812451E-2</v>
      </c>
      <c r="AS846" s="72">
        <f>(BE846-Driver!$K$190)/(Driver!$L$190-Driver!$K$190)</f>
        <v>3.3675327896098915E-2</v>
      </c>
      <c r="AT846" s="72">
        <f>(BF846-Driver!$K$191)/(Driver!$L$191-Driver!$K$191)</f>
        <v>8.3613935575323969E-2</v>
      </c>
      <c r="AU846" s="72">
        <f>(BG846-Driver!$K$192)/(Driver!$L$192-Driver!$K$192)</f>
        <v>4.6543209876543201E-2</v>
      </c>
      <c r="AV846" s="70">
        <f t="shared" si="504"/>
        <v>7.1428571428571441</v>
      </c>
      <c r="AW846" s="70">
        <f t="shared" si="505"/>
        <v>48.962876500730133</v>
      </c>
      <c r="AX846" s="70">
        <f t="shared" si="506"/>
        <v>6.9151963574274333</v>
      </c>
      <c r="AY846" s="70">
        <f>IFERROR(Driver!$K$19/Data!BH846/Data!BI846*Data!BK846*Data!BL846,"")</f>
        <v>8.9377835037629014E-2</v>
      </c>
      <c r="AZ846" s="70">
        <f t="shared" si="507"/>
        <v>41.958302308265068</v>
      </c>
      <c r="BA846" s="70"/>
      <c r="BB846" s="70"/>
      <c r="BC846" s="70">
        <f t="shared" si="508"/>
        <v>61.111997128440358</v>
      </c>
      <c r="BD846" s="70">
        <f t="shared" si="509"/>
        <v>8.8306417543944828</v>
      </c>
      <c r="BE846" s="70">
        <f t="shared" si="510"/>
        <v>3.3847709341154775E-2</v>
      </c>
      <c r="BF846" s="70">
        <f t="shared" si="511"/>
        <v>9.4436066020897069</v>
      </c>
      <c r="BG846" s="70">
        <f t="shared" si="512"/>
        <v>0.17624228395061728</v>
      </c>
      <c r="BH846" s="67">
        <f>MAX((CE846-Driver!$F$200)/(Driver!$G$200-Driver!$F$200)*$BI$1,1)</f>
        <v>6.9151963574274333</v>
      </c>
      <c r="BI846" s="67">
        <f>MAX($BI$1*(BY846-Driver!$F$201)/(Driver!$G$201-Driver!$F$201),1)</f>
        <v>7.2784810126582276</v>
      </c>
      <c r="BJ846" s="67">
        <f>(CB846-Driver!$F$206)/(Driver!$G$206-Driver!$F$206)*$BI$1</f>
        <v>6.1904761904761907</v>
      </c>
      <c r="BK846" s="67">
        <f>(CD846-Driver!$F$203)/(Driver!$G$203-Driver!$F$203)*$BI$1</f>
        <v>3.623853211009175</v>
      </c>
      <c r="BL846" s="67">
        <f>MAX((CR846-Driver!$F$202)/(Driver!$G$202-Driver!$F$202)*$BI$1,1)</f>
        <v>6.2068965517241379</v>
      </c>
      <c r="BM846" s="67">
        <f>MAX((CH846-Driver!$F$204)/(Driver!$G$204-Driver!$F$204)*$BI$1,1)</f>
        <v>4.6153846153846159</v>
      </c>
      <c r="BN846" s="67">
        <f>(CI846-Driver!$F$205)/(Driver!$G$205-Driver!$F$205)*$BI$1</f>
        <v>5.7647058823529402</v>
      </c>
      <c r="BO846" s="67">
        <f>(CK846-Driver!$F$207)/(Driver!$G$207-Driver!$F$207)*$BI$1</f>
        <v>2.0062047569803516</v>
      </c>
      <c r="BP846" s="67">
        <f>(CM846-Driver!$F$208)/(Driver!$G$208-Driver!$F$208)*$BI$1</f>
        <v>2.7555555555555555</v>
      </c>
      <c r="BQ846" s="67">
        <f>(CL846-Driver!$F$209)/(Driver!$G$209-Driver!$F$209)*$BI$1</f>
        <v>5.625</v>
      </c>
      <c r="BR846" s="28" t="s">
        <v>155</v>
      </c>
      <c r="BS846" s="8" t="s">
        <v>332</v>
      </c>
      <c r="BT846" s="9" t="s">
        <v>694</v>
      </c>
      <c r="BU846" s="10">
        <v>179</v>
      </c>
      <c r="BV846" s="9" t="s">
        <v>158</v>
      </c>
      <c r="BW846" s="10">
        <v>179</v>
      </c>
      <c r="BX846" s="10">
        <v>178</v>
      </c>
      <c r="BY846" s="10">
        <v>123</v>
      </c>
      <c r="BZ846" s="10">
        <v>148</v>
      </c>
      <c r="CA846" s="10">
        <v>135</v>
      </c>
      <c r="CB846" s="10">
        <v>103</v>
      </c>
      <c r="CC846" s="10">
        <v>126</v>
      </c>
      <c r="CD846" s="10">
        <v>17.3</v>
      </c>
      <c r="CE846" s="10">
        <v>2115</v>
      </c>
      <c r="CF846" s="10">
        <v>0.96</v>
      </c>
      <c r="CG846" s="10">
        <v>2030</v>
      </c>
      <c r="CH846" s="10">
        <v>209</v>
      </c>
      <c r="CI846" s="10">
        <v>131</v>
      </c>
      <c r="CJ846" s="10">
        <v>53</v>
      </c>
      <c r="CK846" s="10">
        <v>304</v>
      </c>
      <c r="CL846" s="10">
        <v>36</v>
      </c>
      <c r="CM846" s="10">
        <v>248</v>
      </c>
      <c r="CN846" s="10">
        <v>0.66900000000000004</v>
      </c>
      <c r="CO846" s="10">
        <v>150</v>
      </c>
      <c r="CP846" s="10">
        <v>148</v>
      </c>
      <c r="CQ846" s="10">
        <v>155</v>
      </c>
      <c r="CR846" s="10">
        <v>7</v>
      </c>
      <c r="CS846" s="10">
        <v>9</v>
      </c>
      <c r="CT846" s="9" t="s">
        <v>188</v>
      </c>
      <c r="CU846" s="9" t="s">
        <v>169</v>
      </c>
      <c r="CV846" s="10"/>
      <c r="CW846" s="10"/>
      <c r="CX846" t="str">
        <f>INDEX('Data_Price '!AG$2:AG$1266,MATCH(Data!$DN846,'Data_Price '!$AT$2:$AT$1266,0))</f>
        <v>Nordica Enforcer 104 free GREY/BLUE/WHITE / 179cm</v>
      </c>
      <c r="CY846" t="str">
        <f>INDEX('Data_Price '!AH$2:AH$1266,MATCH(Data!$DN846,'Data_Price '!$AT$2:$AT$1266,0))</f>
        <v>Sundance Ski and Board Shop</v>
      </c>
      <c r="CZ846">
        <f>INDEX('Data_Price '!AI$2:AI$1266,MATCH(Data!$DN846,'Data_Price '!$AT$2:$AT$1266,0))</f>
        <v>561.01</v>
      </c>
      <c r="DA846" t="str">
        <f>INDEX('Data_Price '!AJ$2:AJ$1266,MATCH(Data!$DN846,'Data_Price '!$AT$2:$AT$1266,0))</f>
        <v>https://tinyurl.com/yaw5lgdd</v>
      </c>
      <c r="DB846" t="str">
        <f>INDEX('Data_Price '!AK$2:AK$1266,MATCH(Data!$DN846,'Data_Price '!$AT$2:$AT$1266,0))</f>
        <v>Nordica Enforcer 104 Free Skis 2022</v>
      </c>
      <c r="DC846" t="str">
        <f>INDEX('Data_Price '!AL$2:AL$1266,MATCH(Data!$DN846,'Data_Price '!$AT$2:$AT$1266,0))</f>
        <v>sunandski.com</v>
      </c>
      <c r="DD846">
        <f>INDEX('Data_Price '!AM$2:AM$1266,MATCH(Data!$DN846,'Data_Price '!$AT$2:$AT$1266,0))</f>
        <v>639.92999999999995</v>
      </c>
      <c r="DE846" t="str">
        <f>INDEX('Data_Price '!AN$2:AN$1266,MATCH(Data!$DN846,'Data_Price '!$AT$2:$AT$1266,0))</f>
        <v>https://tinyurl.com/y7k4j4tr</v>
      </c>
      <c r="DF846" t="str">
        <f>INDEX('Data_Price '!AO$2:AO$1266,MATCH(Data!$DN846,'Data_Price '!$AT$2:$AT$1266,0))</f>
        <v>Nordica Enforcer 104 Free Skis 2022</v>
      </c>
      <c r="DG846" t="str">
        <f>INDEX('Data_Price '!AP$2:AP$1266,MATCH(Data!$DN846,'Data_Price '!$AT$2:$AT$1266,0))</f>
        <v>Powder7 Ski Shop</v>
      </c>
      <c r="DH846">
        <f>INDEX('Data_Price '!AQ$2:AQ$1266,MATCH(Data!$DN846,'Data_Price '!$AT$2:$AT$1266,0))</f>
        <v>639.92999999999995</v>
      </c>
      <c r="DI846" t="str">
        <f>INDEX('Data_Price '!AR$2:AR$1266,MATCH(Data!$DN846,'Data_Price '!$AT$2:$AT$1266,0))</f>
        <v>https://tinyurl.com/yd3ttsrd</v>
      </c>
      <c r="DJ846" s="89" t="str">
        <f t="shared" si="513"/>
        <v>https://tinyurl.com/yaw5lgdd</v>
      </c>
      <c r="DK846" s="89" t="str">
        <f t="shared" si="514"/>
        <v>https://tinyurl.com/y7k4j4tr</v>
      </c>
      <c r="DL846" s="89" t="str">
        <f t="shared" si="515"/>
        <v>https://tinyurl.com/yd3ttsrd</v>
      </c>
      <c r="DM846" s="219" t="str">
        <f t="shared" si="516"/>
        <v>Enforcer 104 Free</v>
      </c>
      <c r="DN846" s="89" t="str">
        <f t="shared" si="517"/>
        <v xml:space="preserve"> NordicaEnforcer 104 Free179 Unisex</v>
      </c>
      <c r="DO846" s="221" t="s">
        <v>695</v>
      </c>
    </row>
    <row r="847" spans="2:119" ht="15.6" customHeight="1">
      <c r="B847" s="219" t="b">
        <f t="array" ref="B847">IF(OR(ISERROR(K847:P847)),FALSE,TRUE)</f>
        <v>1</v>
      </c>
      <c r="C847" s="43" t="b">
        <f>OR(BR847=Driver!$G$50,Data!BR162=Driver!$H$50)</f>
        <v>1</v>
      </c>
      <c r="D847" s="43" t="b">
        <f>OR(BV847=Driver!$G$51,BV847=Driver!$H$51)</f>
        <v>1</v>
      </c>
      <c r="E847" s="43" t="b">
        <f>AND(BX847&gt;Driver!$F$54,BX847&lt;Driver!$G$54)</f>
        <v>0</v>
      </c>
      <c r="F847" s="43" t="b">
        <f>CL847&gt;Driver!$F$56</f>
        <v>1</v>
      </c>
      <c r="G847" s="43" t="b">
        <f>AND(CB847&gt;Driver!$F$55,CB847&lt;Driver!$G$55)</f>
        <v>0</v>
      </c>
      <c r="H847" s="43" t="b">
        <f t="shared" si="481"/>
        <v>0</v>
      </c>
      <c r="I847" s="43">
        <f t="shared" si="482"/>
        <v>0</v>
      </c>
      <c r="J847" s="43" t="b">
        <f t="array" ref="J847">NOT(OR(($H$9:$H$1273=TRUE)*($I$9:$I$1273&gt;0)*($BT$9:$BT$1273=BT847)*($K$9:$K$1273&gt;K847)))</f>
        <v>1</v>
      </c>
      <c r="K847" s="72">
        <f t="shared" si="483"/>
        <v>0.77419057056139073</v>
      </c>
      <c r="L847" s="72">
        <f t="shared" si="484"/>
        <v>0.89919288626157479</v>
      </c>
      <c r="M847" s="72">
        <f t="shared" si="485"/>
        <v>0.64918825486120668</v>
      </c>
      <c r="N847" s="72">
        <f t="shared" si="486"/>
        <v>0.46720980254189193</v>
      </c>
      <c r="O847" s="72">
        <f t="shared" si="487"/>
        <v>0.62919927824922384</v>
      </c>
      <c r="P847" s="72">
        <f t="shared" si="488"/>
        <v>0.85115568379250428</v>
      </c>
      <c r="Q847" s="72"/>
      <c r="R847" s="72"/>
      <c r="S847" s="72">
        <f t="shared" si="489"/>
        <v>0.52832270427747829</v>
      </c>
      <c r="T847" s="72">
        <f t="shared" si="490"/>
        <v>0.75408169201005992</v>
      </c>
      <c r="U847" s="72">
        <f t="shared" si="491"/>
        <v>0.96385848923955053</v>
      </c>
      <c r="V847" s="72">
        <f t="shared" si="492"/>
        <v>0.49602292268769865</v>
      </c>
      <c r="W847" s="72">
        <f t="shared" si="493"/>
        <v>0.77697996183206108</v>
      </c>
      <c r="X847" s="72">
        <f t="shared" si="494"/>
        <v>0.10080711373842521</v>
      </c>
      <c r="Y847" s="72">
        <f t="shared" si="495"/>
        <v>0.35081174513879332</v>
      </c>
      <c r="Z847" s="72">
        <f t="shared" si="496"/>
        <v>0.53279019745810807</v>
      </c>
      <c r="AA847" s="72">
        <f t="shared" si="497"/>
        <v>0.37080072175077616</v>
      </c>
      <c r="AB847" s="72">
        <f t="shared" si="498"/>
        <v>0.14884431620749566</v>
      </c>
      <c r="AC847" s="72"/>
      <c r="AD847" s="72"/>
      <c r="AE847" s="72">
        <f t="shared" si="499"/>
        <v>0.47167729572252171</v>
      </c>
      <c r="AF847" s="72">
        <f t="shared" si="500"/>
        <v>0.24591830798994002</v>
      </c>
      <c r="AG847" s="72">
        <f t="shared" si="501"/>
        <v>3.6141510760449413E-2</v>
      </c>
      <c r="AH847" s="72">
        <f t="shared" si="502"/>
        <v>0.50397707731230135</v>
      </c>
      <c r="AI847" s="72">
        <f t="shared" si="503"/>
        <v>0.22302003816793892</v>
      </c>
      <c r="AJ847" s="72">
        <f>(AV847-Driver!$K$179)/(Driver!$L$179-Driver!$K$179)</f>
        <v>0.15341229554427521</v>
      </c>
      <c r="AK847" s="72">
        <f>(AW847-Driver!$K$180)/(Driver!$L$180-Driver!$K$180)</f>
        <v>0.42753519273134616</v>
      </c>
      <c r="AL847" s="72">
        <f>(AX847-Driver!$K$181)/(Driver!$L$181-Driver!$K$181)</f>
        <v>0.63447796117118826</v>
      </c>
      <c r="AM847" s="72">
        <f>(AY847-Driver!$K$182)/(Driver!$L$182-Driver!$K$182)</f>
        <v>7.6584299346270174E-2</v>
      </c>
      <c r="AN847" s="72">
        <f>(AZ847-Driver!$K$183)/(Driver!$L$183-Driver!$K$183)</f>
        <v>0.40306372549019609</v>
      </c>
      <c r="AO847" s="72"/>
      <c r="AP847" s="72"/>
      <c r="AQ847" s="72">
        <f>(BC847-Driver!$K$188)/(Driver!$L$188-Driver!$K$188)</f>
        <v>0.14832270427747832</v>
      </c>
      <c r="AR847" s="72">
        <f>MIN((BD847-Driver!$K$189)/(Driver!$L$189-Driver!$K$189),100%)</f>
        <v>0.30408169201006002</v>
      </c>
      <c r="AS847" s="72">
        <f>(BE847-Driver!$K$190)/(Driver!$L$190-Driver!$K$190)</f>
        <v>0.4738584892395506</v>
      </c>
      <c r="AT847" s="72">
        <f>(BF847-Driver!$K$191)/(Driver!$L$191-Driver!$K$191)</f>
        <v>6.0229226876986367E-3</v>
      </c>
      <c r="AU847" s="72">
        <f>(BG847-Driver!$K$192)/(Driver!$L$192-Driver!$K$192)</f>
        <v>2.697996183206107E-2</v>
      </c>
      <c r="AV847" s="70">
        <f t="shared" si="504"/>
        <v>3.2288698955365618</v>
      </c>
      <c r="AW847" s="70">
        <f t="shared" si="505"/>
        <v>43.538985500318006</v>
      </c>
      <c r="AX847" s="70">
        <f t="shared" si="506"/>
        <v>6.7103016505406945</v>
      </c>
      <c r="AY847" s="70">
        <f>IFERROR(Driver!$K$19/Data!BH847/Data!BI847*Data!BK847*Data!BL847,"")</f>
        <v>9.376203294931304E-2</v>
      </c>
      <c r="AZ847" s="70">
        <f t="shared" si="507"/>
        <v>36.734921816827999</v>
      </c>
      <c r="BA847" s="70"/>
      <c r="BB847" s="70"/>
      <c r="BC847" s="70">
        <f t="shared" si="508"/>
        <v>76.936017831439642</v>
      </c>
      <c r="BD847" s="70">
        <f t="shared" si="509"/>
        <v>28.631513826112322</v>
      </c>
      <c r="BE847" s="70">
        <f t="shared" si="510"/>
        <v>0.47395234696309529</v>
      </c>
      <c r="BF847" s="70">
        <f t="shared" si="511"/>
        <v>0.68024680414890693</v>
      </c>
      <c r="BG847" s="70">
        <f t="shared" si="512"/>
        <v>0.10216334685114505</v>
      </c>
      <c r="BH847" s="67">
        <f>MAX((CE847-Driver!$F$200)/(Driver!$G$200-Driver!$F$200)*$BI$1,1)</f>
        <v>6.7103016505406945</v>
      </c>
      <c r="BI847" s="67">
        <f>MAX($BI$1*(BY847-Driver!$F$201)/(Driver!$G$201-Driver!$F$201),1)</f>
        <v>9.0506329113924053</v>
      </c>
      <c r="BJ847" s="67">
        <f>(CB847-Driver!$F$206)/(Driver!$G$206-Driver!$F$206)*$BI$1</f>
        <v>2.6984126984126982</v>
      </c>
      <c r="BK847" s="67">
        <f>(CD847-Driver!$F$203)/(Driver!$G$203-Driver!$F$203)*$BI$1</f>
        <v>3.4403669724770634</v>
      </c>
      <c r="BL847" s="67">
        <f>MAX((CR847-Driver!$F$202)/(Driver!$G$202-Driver!$F$202)*$BI$1,1)</f>
        <v>8.2758620689655178</v>
      </c>
      <c r="BM847" s="67">
        <f>MAX((CH847-Driver!$F$204)/(Driver!$G$204-Driver!$F$204)*$BI$1,1)</f>
        <v>4.7863247863247862</v>
      </c>
      <c r="BN847" s="67">
        <f>(CI847-Driver!$F$205)/(Driver!$G$205-Driver!$F$205)*$BI$1</f>
        <v>4.0588235294117645</v>
      </c>
      <c r="BO847" s="67">
        <f>(CK847-Driver!$F$207)/(Driver!$G$207-Driver!$F$207)*$BI$1</f>
        <v>0.70320579110651493</v>
      </c>
      <c r="BP847" s="67">
        <f>(CM847-Driver!$F$208)/(Driver!$G$208-Driver!$F$208)*$BI$1</f>
        <v>1.2333333333333334</v>
      </c>
      <c r="BQ847" s="67">
        <f>(CL847-Driver!$F$209)/(Driver!$G$209-Driver!$F$209)*$BI$1</f>
        <v>3.28125</v>
      </c>
      <c r="BR847" s="28" t="s">
        <v>155</v>
      </c>
      <c r="BS847" s="8" t="s">
        <v>156</v>
      </c>
      <c r="BT847" s="9" t="s">
        <v>689</v>
      </c>
      <c r="BU847" s="10">
        <v>181</v>
      </c>
      <c r="BV847" s="9" t="s">
        <v>158</v>
      </c>
      <c r="BW847" s="10">
        <v>181</v>
      </c>
      <c r="BX847" s="10">
        <v>179.6</v>
      </c>
      <c r="BY847" s="10">
        <v>151</v>
      </c>
      <c r="BZ847" s="10">
        <v>159</v>
      </c>
      <c r="CA847" s="10">
        <v>123</v>
      </c>
      <c r="CB847" s="10">
        <v>81</v>
      </c>
      <c r="CC847" s="10">
        <v>107</v>
      </c>
      <c r="CD847" s="10">
        <v>16.899999999999999</v>
      </c>
      <c r="CE847" s="10">
        <v>2079</v>
      </c>
      <c r="CF847" s="10">
        <v>0.82</v>
      </c>
      <c r="CG847" s="10">
        <v>1704</v>
      </c>
      <c r="CH847" s="10">
        <v>213</v>
      </c>
      <c r="CI847" s="10">
        <v>102</v>
      </c>
      <c r="CJ847" s="10">
        <v>42</v>
      </c>
      <c r="CK847" s="10">
        <v>178</v>
      </c>
      <c r="CL847" s="10">
        <v>21</v>
      </c>
      <c r="CM847" s="10">
        <v>111</v>
      </c>
      <c r="CN847" s="10">
        <v>0.495</v>
      </c>
      <c r="CO847" s="10">
        <v>112</v>
      </c>
      <c r="CP847" s="10">
        <v>91</v>
      </c>
      <c r="CQ847" s="10">
        <v>66</v>
      </c>
      <c r="CR847" s="10">
        <v>13</v>
      </c>
      <c r="CS847" s="10">
        <v>8.5</v>
      </c>
      <c r="CT847" s="9" t="s">
        <v>188</v>
      </c>
      <c r="CU847" s="10"/>
      <c r="CV847" s="10"/>
      <c r="CW847" s="10"/>
      <c r="CX847" t="str">
        <f>INDEX('Data_Price '!AG$2:AG$1266,MATCH(Data!$DN847,'Data_Price '!$AT$2:$AT$1266,0))</f>
        <v>Atomic Maverick 83 R AW + M 10 GW Red/Grey / 181cm</v>
      </c>
      <c r="CY847" t="str">
        <f>INDEX('Data_Price '!AH$2:AH$1266,MATCH(Data!$DN847,'Data_Price '!$AT$2:$AT$1266,0))</f>
        <v>Sundance Ski and Board Shop</v>
      </c>
      <c r="CZ847">
        <f>INDEX('Data_Price '!AI$2:AI$1266,MATCH(Data!$DN847,'Data_Price '!$AT$2:$AT$1266,0))</f>
        <v>360.64</v>
      </c>
      <c r="DA847" t="str">
        <f>INDEX('Data_Price '!AJ$2:AJ$1266,MATCH(Data!$DN847,'Data_Price '!$AT$2:$AT$1266,0))</f>
        <v>https://tinyurl.com/yb2ncxhd</v>
      </c>
      <c r="DB847" t="str">
        <f>INDEX('Data_Price '!AK$2:AK$1266,MATCH(Data!$DN847,'Data_Price '!$AT$2:$AT$1266,0))</f>
        <v>Atomic Mens Maverick 83 R Skis with M10 Bindings</v>
      </c>
      <c r="DC847" t="str">
        <f>INDEX('Data_Price '!AL$2:AL$1266,MATCH(Data!$DN847,'Data_Price '!$AT$2:$AT$1266,0))</f>
        <v>eBay - asogear</v>
      </c>
      <c r="DD847">
        <f>INDEX('Data_Price '!AM$2:AM$1266,MATCH(Data!$DN847,'Data_Price '!$AT$2:$AT$1266,0))</f>
        <v>389.99</v>
      </c>
      <c r="DE847" t="str">
        <f>INDEX('Data_Price '!AN$2:AN$1266,MATCH(Data!$DN847,'Data_Price '!$AT$2:$AT$1266,0))</f>
        <v>https://tinyurl.com/yarzzs36</v>
      </c>
      <c r="DF847" t="str">
        <f>INDEX('Data_Price '!AO$2:AO$1266,MATCH(Data!$DN847,'Data_Price '!$AT$2:$AT$1266,0))</f>
        <v>Atomic Mens Maverick 83 R Skis with M10 Bindings</v>
      </c>
      <c r="DG847" t="str">
        <f>INDEX('Data_Price '!AP$2:AP$1266,MATCH(Data!$DN847,'Data_Price '!$AT$2:$AT$1266,0))</f>
        <v>sunandski.com</v>
      </c>
      <c r="DH847">
        <f>INDEX('Data_Price '!AQ$2:AQ$1266,MATCH(Data!$DN847,'Data_Price '!$AT$2:$AT$1266,0))</f>
        <v>399.93</v>
      </c>
      <c r="DI847" t="str">
        <f>INDEX('Data_Price '!AR$2:AR$1266,MATCH(Data!$DN847,'Data_Price '!$AT$2:$AT$1266,0))</f>
        <v>https://tinyurl.com/y928j4s8</v>
      </c>
      <c r="DJ847" s="89" t="str">
        <f t="shared" si="513"/>
        <v>https://tinyurl.com/yb2ncxhd</v>
      </c>
      <c r="DK847" s="89" t="str">
        <f t="shared" si="514"/>
        <v>https://tinyurl.com/yarzzs36</v>
      </c>
      <c r="DL847" s="89" t="str">
        <f t="shared" si="515"/>
        <v>https://tinyurl.com/y928j4s8</v>
      </c>
      <c r="DM847" s="219" t="str">
        <f t="shared" si="516"/>
        <v>Maverick 83</v>
      </c>
      <c r="DN847" s="89" t="str">
        <f t="shared" si="517"/>
        <v xml:space="preserve"> AtomicMaverick 83181 Unisex</v>
      </c>
      <c r="DO847" s="221" t="s">
        <v>690</v>
      </c>
    </row>
    <row r="848" spans="2:119" ht="15.6" customHeight="1">
      <c r="B848" s="219" t="b">
        <f t="array" ref="B848">IF(OR(ISERROR(K848:P848)),FALSE,TRUE)</f>
        <v>1</v>
      </c>
      <c r="C848" s="43" t="b">
        <f>OR(BR848=Driver!$G$50,Data!BR640=Driver!$H$50)</f>
        <v>1</v>
      </c>
      <c r="D848" s="43" t="b">
        <f>OR(BV848=Driver!$G$51,BV848=Driver!$H$51)</f>
        <v>0</v>
      </c>
      <c r="E848" s="43" t="b">
        <f>AND(BX848&gt;Driver!$F$54,BX848&lt;Driver!$G$54)</f>
        <v>0</v>
      </c>
      <c r="F848" s="43" t="b">
        <f>CL848&gt;Driver!$F$56</f>
        <v>1</v>
      </c>
      <c r="G848" s="43" t="b">
        <f>AND(CB848&gt;Driver!$F$55,CB848&lt;Driver!$G$55)</f>
        <v>0</v>
      </c>
      <c r="H848" s="43" t="b">
        <f t="shared" si="481"/>
        <v>0</v>
      </c>
      <c r="I848" s="43">
        <f t="shared" si="482"/>
        <v>0</v>
      </c>
      <c r="J848" s="43" t="b">
        <f t="array" ref="J848">NOT(OR(($H$9:$H$1273=TRUE)*($I$9:$I$1273&gt;0)*($BT$9:$BT$1273=BT848)*($K$9:$K$1273&gt;K848)))</f>
        <v>1</v>
      </c>
      <c r="K848" s="72">
        <f t="shared" si="483"/>
        <v>0.75493782148368016</v>
      </c>
      <c r="L848" s="72">
        <f t="shared" si="484"/>
        <v>0.76898581189206383</v>
      </c>
      <c r="M848" s="72">
        <f t="shared" si="485"/>
        <v>0.74088983107529649</v>
      </c>
      <c r="N848" s="72">
        <f t="shared" si="486"/>
        <v>0.74799143790520062</v>
      </c>
      <c r="O848" s="72">
        <f t="shared" si="487"/>
        <v>0.56308864107397771</v>
      </c>
      <c r="P848" s="72">
        <f t="shared" si="488"/>
        <v>0.91158941424671136</v>
      </c>
      <c r="Q848" s="72"/>
      <c r="R848" s="72"/>
      <c r="S848" s="72">
        <f t="shared" si="489"/>
        <v>0.38711559157774633</v>
      </c>
      <c r="T848" s="72">
        <f t="shared" si="490"/>
        <v>0.55000000000000004</v>
      </c>
      <c r="U848" s="72">
        <f t="shared" si="491"/>
        <v>0.51</v>
      </c>
      <c r="V848" s="72">
        <f t="shared" si="492"/>
        <v>0.49939233478138734</v>
      </c>
      <c r="W848" s="72">
        <f t="shared" si="493"/>
        <v>0.81411564625850341</v>
      </c>
      <c r="X848" s="72">
        <f t="shared" si="494"/>
        <v>0.23101418810793611</v>
      </c>
      <c r="Y848" s="72">
        <f t="shared" si="495"/>
        <v>0.25911016892470345</v>
      </c>
      <c r="Z848" s="72">
        <f t="shared" si="496"/>
        <v>0.25200856209479938</v>
      </c>
      <c r="AA848" s="72">
        <f t="shared" si="497"/>
        <v>0.43691135892602234</v>
      </c>
      <c r="AB848" s="72">
        <f t="shared" si="498"/>
        <v>8.8410585753288667E-2</v>
      </c>
      <c r="AC848" s="72"/>
      <c r="AD848" s="72"/>
      <c r="AE848" s="72">
        <f t="shared" si="499"/>
        <v>0.61288440842225367</v>
      </c>
      <c r="AF848" s="72">
        <f t="shared" si="500"/>
        <v>0.44999999999999996</v>
      </c>
      <c r="AG848" s="72">
        <f t="shared" si="501"/>
        <v>0.49</v>
      </c>
      <c r="AH848" s="72">
        <f t="shared" si="502"/>
        <v>0.50060766521861266</v>
      </c>
      <c r="AI848" s="72">
        <f t="shared" si="503"/>
        <v>0.18588435374149662</v>
      </c>
      <c r="AJ848" s="72">
        <f>(AV848-Driver!$K$179)/(Driver!$L$179-Driver!$K$179)</f>
        <v>2.3205221174764319E-2</v>
      </c>
      <c r="AK848" s="72">
        <f>(AW848-Driver!$K$180)/(Driver!$L$180-Driver!$K$180)</f>
        <v>0.17890510193533712</v>
      </c>
      <c r="AL848" s="72">
        <f>(AX848-Driver!$K$181)/(Driver!$L$181-Driver!$K$181)</f>
        <v>0.35369632580787957</v>
      </c>
      <c r="AM848" s="72">
        <f>(AY848-Driver!$K$182)/(Driver!$L$182-Driver!$K$182)</f>
        <v>1.0473662171024039E-2</v>
      </c>
      <c r="AN848" s="72">
        <f>(AZ848-Driver!$K$183)/(Driver!$L$183-Driver!$K$183)</f>
        <v>0.16580882352941176</v>
      </c>
      <c r="AO848" s="72"/>
      <c r="AP848" s="72"/>
      <c r="AQ848" s="72">
        <f>(BC848-Driver!$K$188)/(Driver!$L$188-Driver!$K$188)</f>
        <v>7.1155915777462867E-3</v>
      </c>
      <c r="AR848" s="72">
        <f>MIN((BD848-Driver!$K$189)/(Driver!$L$189-Driver!$K$189),100%)</f>
        <v>1</v>
      </c>
      <c r="AS848" s="72">
        <f>(BE848-Driver!$K$190)/(Driver!$L$190-Driver!$K$190)</f>
        <v>1</v>
      </c>
      <c r="AT848" s="72">
        <f>(BF848-Driver!$K$191)/(Driver!$L$191-Driver!$K$191)</f>
        <v>9.3923347813873355E-3</v>
      </c>
      <c r="AU848" s="72">
        <f>(BG848-Driver!$K$192)/(Driver!$L$192-Driver!$K$192)</f>
        <v>6.4115646258503384E-2</v>
      </c>
      <c r="AV848" s="70">
        <f t="shared" si="504"/>
        <v>0.48840048840048839</v>
      </c>
      <c r="AW848" s="70">
        <f t="shared" si="505"/>
        <v>19.307780065525964</v>
      </c>
      <c r="AX848" s="70">
        <f t="shared" si="506"/>
        <v>4.1832669322709162</v>
      </c>
      <c r="AY848" s="70">
        <f>IFERROR(Driver!$K$19/Data!BH848/Data!BI848*Data!BK848*Data!BL848,"")</f>
        <v>1.2822887536508572E-2</v>
      </c>
      <c r="AZ848" s="70">
        <f t="shared" si="507"/>
        <v>15.11169024571854</v>
      </c>
      <c r="BA848" s="70"/>
      <c r="BB848" s="70"/>
      <c r="BC848" s="70">
        <f t="shared" si="508"/>
        <v>3.690906818167119</v>
      </c>
      <c r="BD848" s="70">
        <f t="shared" si="509"/>
        <v>139.69559428070218</v>
      </c>
      <c r="BE848" s="70">
        <f t="shared" si="510"/>
        <v>1</v>
      </c>
      <c r="BF848" s="70">
        <f t="shared" si="511"/>
        <v>1.060798228671376</v>
      </c>
      <c r="BG848" s="70">
        <f t="shared" si="512"/>
        <v>0.24278273809523807</v>
      </c>
      <c r="BH848" s="67">
        <f>MAX((CE848-Driver!$F$200)/(Driver!$G$200-Driver!$F$200)*$BI$1,1)</f>
        <v>4.1832669322709162</v>
      </c>
      <c r="BI848" s="67">
        <f>MAX($BI$1*(BY848-Driver!$F$201)/(Driver!$G$201-Driver!$F$201),1)</f>
        <v>7.7848101265822782</v>
      </c>
      <c r="BJ848" s="67">
        <f>(CB848-Driver!$F$206)/(Driver!$G$206-Driver!$F$206)*$BI$1</f>
        <v>1.2698412698412698</v>
      </c>
      <c r="BK848" s="67">
        <f>(CD848-Driver!$F$203)/(Driver!$G$203-Driver!$F$203)*$BI$1</f>
        <v>0.27522935779816504</v>
      </c>
      <c r="BL848" s="67">
        <f>MAX((CR848-Driver!$F$202)/(Driver!$G$202-Driver!$F$202)*$BI$1,1)</f>
        <v>7.5862068965517242</v>
      </c>
      <c r="BM848" s="67">
        <f>MAX((CH848-Driver!$F$204)/(Driver!$G$204-Driver!$F$204)*$BI$1,1)</f>
        <v>1.5384615384615385</v>
      </c>
      <c r="BN848" s="67">
        <f>(CI848-Driver!$F$205)/(Driver!$G$205-Driver!$F$205)*$BI$1</f>
        <v>1.9411764705882353</v>
      </c>
      <c r="BO848" s="67">
        <f>(CK848-Driver!$F$207)/(Driver!$G$207-Driver!$F$207)*$BI$1</f>
        <v>0.29989658738366076</v>
      </c>
      <c r="BP848" s="67">
        <f>(CM848-Driver!$F$208)/(Driver!$G$208-Driver!$F$208)*$BI$1</f>
        <v>0.76666666666666661</v>
      </c>
      <c r="BQ848" s="67">
        <f>(CL848-Driver!$F$209)/(Driver!$G$209-Driver!$F$209)*$BI$1</f>
        <v>1.5625</v>
      </c>
      <c r="BR848" s="28" t="s">
        <v>155</v>
      </c>
      <c r="BS848" s="8" t="s">
        <v>167</v>
      </c>
      <c r="BT848" s="9" t="s">
        <v>749</v>
      </c>
      <c r="BU848" s="10">
        <v>153</v>
      </c>
      <c r="BV848" s="9" t="s">
        <v>163</v>
      </c>
      <c r="BW848" s="10">
        <v>153</v>
      </c>
      <c r="BX848" s="10">
        <v>152.1</v>
      </c>
      <c r="BY848" s="10">
        <v>131</v>
      </c>
      <c r="BZ848" s="10">
        <v>136</v>
      </c>
      <c r="CA848" s="10">
        <v>129</v>
      </c>
      <c r="CB848" s="10">
        <v>72</v>
      </c>
      <c r="CC848" s="10">
        <v>106</v>
      </c>
      <c r="CD848" s="10">
        <v>10</v>
      </c>
      <c r="CE848" s="10">
        <v>1635</v>
      </c>
      <c r="CF848" s="10">
        <v>0.83</v>
      </c>
      <c r="CG848" s="10">
        <v>1364</v>
      </c>
      <c r="CH848" s="10">
        <v>137</v>
      </c>
      <c r="CI848" s="10">
        <v>66</v>
      </c>
      <c r="CJ848" s="10">
        <v>35</v>
      </c>
      <c r="CK848" s="10">
        <v>139</v>
      </c>
      <c r="CL848" s="10">
        <v>10</v>
      </c>
      <c r="CM848" s="10">
        <v>69</v>
      </c>
      <c r="CN848" s="10">
        <v>0.29899999999999999</v>
      </c>
      <c r="CO848" s="10">
        <v>103</v>
      </c>
      <c r="CP848" s="10">
        <v>53</v>
      </c>
      <c r="CQ848" s="10">
        <v>36</v>
      </c>
      <c r="CR848" s="10">
        <v>11</v>
      </c>
      <c r="CS848" s="10">
        <v>11.4</v>
      </c>
      <c r="CT848" s="9" t="s">
        <v>349</v>
      </c>
      <c r="CU848" s="9" t="s">
        <v>231</v>
      </c>
      <c r="CV848" s="10"/>
      <c r="CW848" s="10"/>
      <c r="CX848" t="str">
        <f>INDEX('Data_Price '!AG$2:AG$1266,MATCH(Data!$DN848,'Data_Price '!$AT$2:$AT$1266,0))</f>
        <v>15-16 Head Pure Joy  Women's Demo Skis W/bindings Size 153cm</v>
      </c>
      <c r="CY848" t="str">
        <f>INDEX('Data_Price '!AH$2:AH$1266,MATCH(Data!$DN848,'Data_Price '!$AT$2:$AT$1266,0))</f>
        <v>eBay - demo-skis</v>
      </c>
      <c r="CZ848">
        <f>INDEX('Data_Price '!AI$2:AI$1266,MATCH(Data!$DN848,'Data_Price '!$AT$2:$AT$1266,0))</f>
        <v>179</v>
      </c>
      <c r="DA848" t="str">
        <f>INDEX('Data_Price '!AJ$2:AJ$1266,MATCH(Data!$DN848,'Data_Price '!$AT$2:$AT$1266,0))</f>
        <v>https://tinyurl.com/ya5ys64o</v>
      </c>
      <c r="DB848" t="str">
        <f>INDEX('Data_Price '!AK$2:AK$1266,MATCH(Data!$DN848,'Data_Price '!$AT$2:$AT$1266,0))</f>
        <v xml:space="preserve"> 2015 Head Libra Pure Joy Demo Ski with Bindings Size 153 (Option 210958)</v>
      </c>
      <c r="DC848" t="str">
        <f>INDEX('Data_Price '!AL$2:AL$1266,MATCH(Data!$DN848,'Data_Price '!$AT$2:$AT$1266,0))</f>
        <v>SidelineSwap</v>
      </c>
      <c r="DD848">
        <f>INDEX('Data_Price '!AM$2:AM$1266,MATCH(Data!$DN848,'Data_Price '!$AT$2:$AT$1266,0))</f>
        <v>322</v>
      </c>
      <c r="DE848" t="str">
        <f>INDEX('Data_Price '!AN$2:AN$1266,MATCH(Data!$DN848,'Data_Price '!$AT$2:$AT$1266,0))</f>
        <v>https://tinyurl.com/y8sk9vmo</v>
      </c>
      <c r="DF848" t="str">
        <f>INDEX('Data_Price '!AO$2:AO$1266,MATCH(Data!$DN848,'Data_Price '!$AT$2:$AT$1266,0))</f>
        <v>18/19 Head Pure Joy 153cm,  Demo Ski, Slr 9 System Bindings,</v>
      </c>
      <c r="DG848" t="str">
        <f>INDEX('Data_Price '!AP$2:AP$1266,MATCH(Data!$DN848,'Data_Price '!$AT$2:$AT$1266,0))</f>
        <v>eBay</v>
      </c>
      <c r="DH848">
        <f>INDEX('Data_Price '!AQ$2:AQ$1266,MATCH(Data!$DN848,'Data_Price '!$AT$2:$AT$1266,0))</f>
        <v>329</v>
      </c>
      <c r="DI848" t="str">
        <f>INDEX('Data_Price '!AR$2:AR$1266,MATCH(Data!$DN848,'Data_Price '!$AT$2:$AT$1266,0))</f>
        <v>https://tinyurl.com/yawudgy8</v>
      </c>
      <c r="DJ848" s="89" t="str">
        <f t="shared" si="513"/>
        <v>https://tinyurl.com/ya5ys64o</v>
      </c>
      <c r="DK848" s="89" t="str">
        <f t="shared" si="514"/>
        <v>https://tinyurl.com/y8sk9vmo</v>
      </c>
      <c r="DL848" s="89" t="str">
        <f t="shared" si="515"/>
        <v>https://tinyurl.com/yawudgy8</v>
      </c>
      <c r="DM848" s="219" t="str">
        <f t="shared" si="516"/>
        <v>Pure Joy</v>
      </c>
      <c r="DN848" s="89" t="str">
        <f t="shared" si="517"/>
        <v xml:space="preserve"> HeadPure Joy153 Women's</v>
      </c>
      <c r="DO848" s="221"/>
    </row>
    <row r="849" spans="2:119" ht="15.6" customHeight="1">
      <c r="B849" s="219" t="b">
        <f t="array" ref="B849">IF(OR(ISERROR(K849:P849)),FALSE,TRUE)</f>
        <v>1</v>
      </c>
      <c r="C849" s="43" t="b">
        <f>OR(BR849=Driver!$G$50,Data!BR1233=Driver!$H$50)</f>
        <v>1</v>
      </c>
      <c r="D849" s="43" t="b">
        <f>OR(BV849=Driver!$G$51,BV849=Driver!$H$51)</f>
        <v>1</v>
      </c>
      <c r="E849" s="43" t="b">
        <f>AND(BX849&gt;Driver!$F$54,BX849&lt;Driver!$G$54)</f>
        <v>1</v>
      </c>
      <c r="F849" s="43" t="b">
        <f>CL849&gt;Driver!$F$56</f>
        <v>1</v>
      </c>
      <c r="G849" s="43" t="b">
        <f>AND(CB849&gt;Driver!$F$55,CB849&lt;Driver!$G$55)</f>
        <v>0</v>
      </c>
      <c r="H849" s="43" t="b">
        <f t="shared" si="481"/>
        <v>0</v>
      </c>
      <c r="I849" s="43">
        <f t="shared" si="482"/>
        <v>0</v>
      </c>
      <c r="J849" s="43" t="b">
        <f t="array" ref="J849">NOT(OR(($H$9:$H$1273=TRUE)*($I$9:$I$1273&gt;0)*($BT$9:$BT$1273=BT849)*($K$9:$K$1273&gt;K849)))</f>
        <v>1</v>
      </c>
      <c r="K849" s="72">
        <f t="shared" si="483"/>
        <v>0.70462607596496141</v>
      </c>
      <c r="L849" s="72">
        <f t="shared" si="484"/>
        <v>0.7672937645147373</v>
      </c>
      <c r="M849" s="72">
        <f t="shared" si="485"/>
        <v>0.64195838741518552</v>
      </c>
      <c r="N849" s="72">
        <f t="shared" si="486"/>
        <v>0.55890650778441386</v>
      </c>
      <c r="O849" s="72">
        <f t="shared" si="487"/>
        <v>0.56626231707386721</v>
      </c>
      <c r="P849" s="72">
        <f t="shared" si="488"/>
        <v>0.80070633738727559</v>
      </c>
      <c r="Q849" s="72"/>
      <c r="R849" s="72"/>
      <c r="S849" s="72">
        <f t="shared" si="489"/>
        <v>0.46475128320135006</v>
      </c>
      <c r="T849" s="72">
        <f t="shared" si="490"/>
        <v>0.55000000000000004</v>
      </c>
      <c r="U849" s="72">
        <f t="shared" si="491"/>
        <v>0.51</v>
      </c>
      <c r="V849" s="72">
        <f t="shared" si="492"/>
        <v>0.49290958197032109</v>
      </c>
      <c r="W849" s="72">
        <f t="shared" si="493"/>
        <v>0.7610610044987286</v>
      </c>
      <c r="X849" s="72">
        <f t="shared" si="494"/>
        <v>0.23270623548526267</v>
      </c>
      <c r="Y849" s="72">
        <f t="shared" si="495"/>
        <v>0.35804161258481443</v>
      </c>
      <c r="Z849" s="72">
        <f t="shared" si="496"/>
        <v>0.44109349221558614</v>
      </c>
      <c r="AA849" s="72">
        <f t="shared" si="497"/>
        <v>0.43373768292613274</v>
      </c>
      <c r="AB849" s="72">
        <f t="shared" si="498"/>
        <v>0.19929366261272441</v>
      </c>
      <c r="AC849" s="72"/>
      <c r="AD849" s="72"/>
      <c r="AE849" s="72">
        <f t="shared" si="499"/>
        <v>0.53524871679864994</v>
      </c>
      <c r="AF849" s="72">
        <f t="shared" si="500"/>
        <v>0.44999999999999996</v>
      </c>
      <c r="AG849" s="72">
        <f t="shared" si="501"/>
        <v>0.49</v>
      </c>
      <c r="AH849" s="72">
        <f t="shared" si="502"/>
        <v>0.50709041802967891</v>
      </c>
      <c r="AI849" s="72">
        <f t="shared" si="503"/>
        <v>0.23893899550127137</v>
      </c>
      <c r="AJ849" s="72">
        <f>(AV849-Driver!$K$179)/(Driver!$L$179-Driver!$K$179)</f>
        <v>2.1513173797437755E-2</v>
      </c>
      <c r="AK849" s="72">
        <f>(AW849-Driver!$K$180)/(Driver!$L$180-Driver!$K$180)</f>
        <v>0.46545469143053364</v>
      </c>
      <c r="AL849" s="72">
        <f>(AX849-Driver!$K$181)/(Driver!$L$181-Driver!$K$181)</f>
        <v>0.54278125592866633</v>
      </c>
      <c r="AM849" s="72">
        <f>(AY849-Driver!$K$182)/(Driver!$L$182-Driver!$K$182)</f>
        <v>1.364733817091365E-2</v>
      </c>
      <c r="AN849" s="72">
        <f>(AZ849-Driver!$K$183)/(Driver!$L$183-Driver!$K$183)</f>
        <v>0.45351307189542484</v>
      </c>
      <c r="AO849" s="72"/>
      <c r="AP849" s="72"/>
      <c r="AQ849" s="72">
        <f>(BC849-Driver!$K$188)/(Driver!$L$188-Driver!$K$188)</f>
        <v>8.4751283201350017E-2</v>
      </c>
      <c r="AR849" s="72">
        <f>MIN((BD849-Driver!$K$189)/(Driver!$L$189-Driver!$K$189),100%)</f>
        <v>1</v>
      </c>
      <c r="AS849" s="72">
        <f>(BE849-Driver!$K$190)/(Driver!$L$190-Driver!$K$190)</f>
        <v>1</v>
      </c>
      <c r="AT849" s="72">
        <f>(BF849-Driver!$K$191)/(Driver!$L$191-Driver!$K$191)</f>
        <v>2.9095819703210762E-3</v>
      </c>
      <c r="AU849" s="72">
        <f>(BG849-Driver!$K$192)/(Driver!$L$192-Driver!$K$192)</f>
        <v>1.1061004498728618E-2</v>
      </c>
      <c r="AV849" s="70">
        <f t="shared" si="504"/>
        <v>0.45278795278795275</v>
      </c>
      <c r="AW849" s="70">
        <f t="shared" si="505"/>
        <v>47.234576649493142</v>
      </c>
      <c r="AX849" s="70">
        <f t="shared" si="506"/>
        <v>5.8850313033579971</v>
      </c>
      <c r="AY849" s="70">
        <f>IFERROR(Driver!$K$19/Data!BH849/Data!BI849*Data!BK849*Data!BL849,"")</f>
        <v>1.6708413893897465E-2</v>
      </c>
      <c r="AZ849" s="70">
        <f t="shared" si="507"/>
        <v>41.33283693224125</v>
      </c>
      <c r="BA849" s="70"/>
      <c r="BB849" s="70"/>
      <c r="BC849" s="70">
        <f t="shared" si="508"/>
        <v>43.961079777902441</v>
      </c>
      <c r="BD849" s="70">
        <f t="shared" si="509"/>
        <v>331.26228507719793</v>
      </c>
      <c r="BE849" s="70">
        <f t="shared" si="510"/>
        <v>1</v>
      </c>
      <c r="BF849" s="70">
        <f t="shared" si="511"/>
        <v>0.32861684257754575</v>
      </c>
      <c r="BG849" s="70">
        <f t="shared" si="512"/>
        <v>4.1884019190228848E-2</v>
      </c>
      <c r="BH849" s="67">
        <f>MAX((CE849-Driver!$F$200)/(Driver!$G$200-Driver!$F$200)*$BI$1,1)</f>
        <v>5.8850313033579971</v>
      </c>
      <c r="BI849" s="67">
        <f>MAX($BI$1*(BY849-Driver!$F$201)/(Driver!$G$201-Driver!$F$201),1)</f>
        <v>7.7215189873417724</v>
      </c>
      <c r="BJ849" s="67">
        <f>(CB849-Driver!$F$206)/(Driver!$G$206-Driver!$F$206)*$BI$1</f>
        <v>0.47619047619047616</v>
      </c>
      <c r="BK849" s="67">
        <f>(CD849-Driver!$F$203)/(Driver!$G$203-Driver!$F$203)*$BI$1</f>
        <v>0.7339449541284403</v>
      </c>
      <c r="BL849" s="67">
        <f>MAX((CR849-Driver!$F$202)/(Driver!$G$202-Driver!$F$202)*$BI$1,1)</f>
        <v>5.1724137931034484</v>
      </c>
      <c r="BM849" s="67">
        <f>MAX((CH849-Driver!$F$204)/(Driver!$G$204-Driver!$F$204)*$BI$1,1)</f>
        <v>3.8034188034188032</v>
      </c>
      <c r="BN849" s="67">
        <f>(CI849-Driver!$F$205)/(Driver!$G$205-Driver!$F$205)*$BI$1</f>
        <v>5.3529411764705879</v>
      </c>
      <c r="BO849" s="67">
        <f>(CK849-Driver!$F$207)/(Driver!$G$207-Driver!$F$207)*$BI$1</f>
        <v>0.78593588417786964</v>
      </c>
      <c r="BP849" s="67">
        <f>(CM849-Driver!$F$208)/(Driver!$G$208-Driver!$F$208)*$BI$1</f>
        <v>0.64444444444444438</v>
      </c>
      <c r="BQ849" s="67">
        <f>(CL849-Driver!$F$209)/(Driver!$G$209-Driver!$F$209)*$BI$1</f>
        <v>0.9375</v>
      </c>
      <c r="BR849" s="28" t="s">
        <v>155</v>
      </c>
      <c r="BS849" s="8" t="s">
        <v>229</v>
      </c>
      <c r="BT849" s="9" t="s">
        <v>782</v>
      </c>
      <c r="BU849" s="10">
        <v>155</v>
      </c>
      <c r="BV849" s="9" t="s">
        <v>158</v>
      </c>
      <c r="BW849" s="10">
        <v>155</v>
      </c>
      <c r="BX849" s="10">
        <v>154.6</v>
      </c>
      <c r="BY849" s="10">
        <v>130</v>
      </c>
      <c r="BZ849" s="10">
        <v>144</v>
      </c>
      <c r="CA849" s="10">
        <v>126</v>
      </c>
      <c r="CB849" s="10">
        <v>67</v>
      </c>
      <c r="CC849" s="10">
        <v>102</v>
      </c>
      <c r="CD849" s="10">
        <v>11</v>
      </c>
      <c r="CE849" s="10">
        <v>1934</v>
      </c>
      <c r="CF849" s="10">
        <v>0.68</v>
      </c>
      <c r="CG849" s="10">
        <v>1306</v>
      </c>
      <c r="CH849" s="10">
        <v>190</v>
      </c>
      <c r="CI849" s="10">
        <v>124</v>
      </c>
      <c r="CJ849" s="10">
        <v>43</v>
      </c>
      <c r="CK849" s="10">
        <v>186</v>
      </c>
      <c r="CL849" s="10">
        <v>6</v>
      </c>
      <c r="CM849" s="10">
        <v>58</v>
      </c>
      <c r="CN849" s="10">
        <v>0.13300000000000001</v>
      </c>
      <c r="CO849" s="10">
        <v>63</v>
      </c>
      <c r="CP849" s="10">
        <v>48</v>
      </c>
      <c r="CQ849" s="10">
        <v>123</v>
      </c>
      <c r="CR849" s="10">
        <v>4</v>
      </c>
      <c r="CS849" s="10">
        <v>13.2</v>
      </c>
      <c r="CT849" s="9" t="s">
        <v>349</v>
      </c>
      <c r="CU849" s="10"/>
      <c r="CV849" s="10"/>
      <c r="CW849" s="10"/>
      <c r="CX849" t="e">
        <f>INDEX('Data_Price '!AG$2:AG$1266,MATCH(Data!$DN849,'Data_Price '!$AT$2:$AT$1266,0))</f>
        <v>#N/A</v>
      </c>
      <c r="CY849" t="e">
        <f>INDEX('Data_Price '!AH$2:AH$1266,MATCH(Data!$DN849,'Data_Price '!$AT$2:$AT$1266,0))</f>
        <v>#N/A</v>
      </c>
      <c r="CZ849" t="e">
        <f>INDEX('Data_Price '!AI$2:AI$1266,MATCH(Data!$DN849,'Data_Price '!$AT$2:$AT$1266,0))</f>
        <v>#N/A</v>
      </c>
      <c r="DA849" t="e">
        <f>INDEX('Data_Price '!AJ$2:AJ$1266,MATCH(Data!$DN849,'Data_Price '!$AT$2:$AT$1266,0))</f>
        <v>#N/A</v>
      </c>
      <c r="DB849" t="e">
        <f>INDEX('Data_Price '!AK$2:AK$1266,MATCH(Data!$DN849,'Data_Price '!$AT$2:$AT$1266,0))</f>
        <v>#N/A</v>
      </c>
      <c r="DC849" t="e">
        <f>INDEX('Data_Price '!AL$2:AL$1266,MATCH(Data!$DN849,'Data_Price '!$AT$2:$AT$1266,0))</f>
        <v>#N/A</v>
      </c>
      <c r="DD849" t="e">
        <f>INDEX('Data_Price '!AM$2:AM$1266,MATCH(Data!$DN849,'Data_Price '!$AT$2:$AT$1266,0))</f>
        <v>#N/A</v>
      </c>
      <c r="DE849" t="e">
        <f>INDEX('Data_Price '!AN$2:AN$1266,MATCH(Data!$DN849,'Data_Price '!$AT$2:$AT$1266,0))</f>
        <v>#N/A</v>
      </c>
      <c r="DF849" t="e">
        <f>INDEX('Data_Price '!AO$2:AO$1266,MATCH(Data!$DN849,'Data_Price '!$AT$2:$AT$1266,0))</f>
        <v>#N/A</v>
      </c>
      <c r="DG849" t="e">
        <f>INDEX('Data_Price '!AP$2:AP$1266,MATCH(Data!$DN849,'Data_Price '!$AT$2:$AT$1266,0))</f>
        <v>#N/A</v>
      </c>
      <c r="DH849" t="e">
        <f>INDEX('Data_Price '!AQ$2:AQ$1266,MATCH(Data!$DN849,'Data_Price '!$AT$2:$AT$1266,0))</f>
        <v>#N/A</v>
      </c>
      <c r="DI849" t="e">
        <f>INDEX('Data_Price '!AR$2:AR$1266,MATCH(Data!$DN849,'Data_Price '!$AT$2:$AT$1266,0))</f>
        <v>#N/A</v>
      </c>
      <c r="DJ849" s="89" t="e">
        <f t="shared" si="513"/>
        <v>#N/A</v>
      </c>
      <c r="DK849" s="89" t="e">
        <f t="shared" si="514"/>
        <v>#N/A</v>
      </c>
      <c r="DL849" s="89" t="e">
        <f t="shared" si="515"/>
        <v>#N/A</v>
      </c>
      <c r="DM849" s="219" t="str">
        <f t="shared" si="516"/>
        <v>Racetiger SL</v>
      </c>
      <c r="DN849" s="89" t="str">
        <f t="shared" si="517"/>
        <v xml:space="preserve"> VölklRacetiger SL155 Unisex</v>
      </c>
      <c r="DO849" s="221"/>
    </row>
    <row r="850" spans="2:119" ht="15.6" customHeight="1">
      <c r="B850" s="219" t="b">
        <f t="array" ref="B850">IF(OR(ISERROR(K850:P850)),FALSE,TRUE)</f>
        <v>1</v>
      </c>
      <c r="C850" s="43" t="b">
        <f>OR(BR850=Driver!$G$50,Data!BR380=Driver!$H$50)</f>
        <v>1</v>
      </c>
      <c r="D850" s="43" t="b">
        <f>OR(BV850=Driver!$G$51,BV850=Driver!$H$51)</f>
        <v>0</v>
      </c>
      <c r="E850" s="43" t="b">
        <f>AND(BX850&gt;Driver!$F$54,BX850&lt;Driver!$G$54)</f>
        <v>1</v>
      </c>
      <c r="F850" s="43" t="b">
        <f>CL850&gt;Driver!$F$56</f>
        <v>1</v>
      </c>
      <c r="G850" s="43" t="b">
        <f>AND(CB850&gt;Driver!$F$55,CB850&lt;Driver!$G$55)</f>
        <v>0</v>
      </c>
      <c r="H850" s="43" t="b">
        <f t="shared" si="481"/>
        <v>0</v>
      </c>
      <c r="I850" s="43">
        <f t="shared" si="482"/>
        <v>0</v>
      </c>
      <c r="J850" s="43" t="b">
        <f t="array" ref="J850">NOT(OR(($H$9:$H$1273=TRUE)*($I$9:$I$1273&gt;0)*($BT$9:$BT$1273=BT850)*($K$9:$K$1273&gt;K850)))</f>
        <v>1</v>
      </c>
      <c r="K850" s="72">
        <f t="shared" si="483"/>
        <v>0.78342104317143335</v>
      </c>
      <c r="L850" s="72">
        <f t="shared" si="484"/>
        <v>0.80137643311517248</v>
      </c>
      <c r="M850" s="72">
        <f t="shared" si="485"/>
        <v>0.76546565322769433</v>
      </c>
      <c r="N850" s="72">
        <f t="shared" si="486"/>
        <v>0.77581664501327618</v>
      </c>
      <c r="O850" s="72">
        <f t="shared" si="487"/>
        <v>0.61724253441002341</v>
      </c>
      <c r="P850" s="72">
        <f t="shared" si="488"/>
        <v>0.90333778025978329</v>
      </c>
      <c r="Q850" s="72"/>
      <c r="R850" s="72"/>
      <c r="S850" s="72">
        <f t="shared" si="489"/>
        <v>0.41628589535961191</v>
      </c>
      <c r="T850" s="72">
        <f t="shared" si="490"/>
        <v>0.82704262387405303</v>
      </c>
      <c r="U850" s="72">
        <f t="shared" si="491"/>
        <v>0.51</v>
      </c>
      <c r="V850" s="72">
        <f t="shared" si="492"/>
        <v>0.49227063565741935</v>
      </c>
      <c r="W850" s="72">
        <f t="shared" si="493"/>
        <v>0.76423268105455233</v>
      </c>
      <c r="X850" s="72">
        <f t="shared" si="494"/>
        <v>0.19862356688482757</v>
      </c>
      <c r="Y850" s="72">
        <f t="shared" si="495"/>
        <v>0.2345343467723057</v>
      </c>
      <c r="Z850" s="72">
        <f t="shared" si="496"/>
        <v>0.22418335498672376</v>
      </c>
      <c r="AA850" s="72">
        <f t="shared" si="497"/>
        <v>0.38275746558997659</v>
      </c>
      <c r="AB850" s="72">
        <f t="shared" si="498"/>
        <v>9.6662219740216743E-2</v>
      </c>
      <c r="AC850" s="72"/>
      <c r="AD850" s="72"/>
      <c r="AE850" s="72">
        <f t="shared" si="499"/>
        <v>0.58371410464038809</v>
      </c>
      <c r="AF850" s="72">
        <f t="shared" si="500"/>
        <v>0.17295737612594697</v>
      </c>
      <c r="AG850" s="72">
        <f t="shared" si="501"/>
        <v>0.49</v>
      </c>
      <c r="AH850" s="72">
        <f t="shared" si="502"/>
        <v>0.50772936434258065</v>
      </c>
      <c r="AI850" s="72">
        <f t="shared" si="503"/>
        <v>0.2357673189454477</v>
      </c>
      <c r="AJ850" s="72">
        <f>(AV850-Driver!$K$179)/(Driver!$L$179-Driver!$K$179)</f>
        <v>5.5595842397872845E-2</v>
      </c>
      <c r="AK850" s="72">
        <f>(AW850-Driver!$K$180)/(Driver!$L$180-Driver!$K$180)</f>
        <v>0.16929926428842462</v>
      </c>
      <c r="AL850" s="72">
        <f>(AX850-Driver!$K$181)/(Driver!$L$181-Driver!$K$181)</f>
        <v>0.32587111869980395</v>
      </c>
      <c r="AM850" s="72">
        <f>(AY850-Driver!$K$182)/(Driver!$L$182-Driver!$K$182)</f>
        <v>6.4627555507069764E-2</v>
      </c>
      <c r="AN850" s="72">
        <f>(AZ850-Driver!$K$183)/(Driver!$L$183-Driver!$K$183)</f>
        <v>0.15755718954248368</v>
      </c>
      <c r="AO850" s="72"/>
      <c r="AP850" s="72"/>
      <c r="AQ850" s="72">
        <f>(BC850-Driver!$K$188)/(Driver!$L$188-Driver!$K$188)</f>
        <v>3.6285895359611915E-2</v>
      </c>
      <c r="AR850" s="72">
        <f>MIN((BD850-Driver!$K$189)/(Driver!$L$189-Driver!$K$189),100%)</f>
        <v>0.37704262387405307</v>
      </c>
      <c r="AS850" s="72">
        <f>(BE850-Driver!$K$190)/(Driver!$L$190-Driver!$K$190)</f>
        <v>1</v>
      </c>
      <c r="AT850" s="72">
        <f>(BF850-Driver!$K$191)/(Driver!$L$191-Driver!$K$191)</f>
        <v>2.2706356574193516E-3</v>
      </c>
      <c r="AU850" s="72">
        <f>(BG850-Driver!$K$192)/(Driver!$L$192-Driver!$K$192)</f>
        <v>1.4232681054552316E-2</v>
      </c>
      <c r="AV850" s="70">
        <f t="shared" si="504"/>
        <v>1.17012617012617</v>
      </c>
      <c r="AW850" s="70">
        <f t="shared" si="505"/>
        <v>18.371606070454035</v>
      </c>
      <c r="AX850" s="70">
        <f t="shared" si="506"/>
        <v>3.9328400682982356</v>
      </c>
      <c r="AY850" s="70">
        <f>IFERROR(Driver!$K$19/Data!BH850/Data!BI850*Data!BK850*Data!BL850,"")</f>
        <v>7.9123410942096045E-2</v>
      </c>
      <c r="AZ850" s="70">
        <f t="shared" si="507"/>
        <v>14.359642591213703</v>
      </c>
      <c r="BA850" s="70"/>
      <c r="BB850" s="70"/>
      <c r="BC850" s="70">
        <f t="shared" si="508"/>
        <v>18.821746178482755</v>
      </c>
      <c r="BD850" s="70">
        <f t="shared" si="509"/>
        <v>35.088427016954292</v>
      </c>
      <c r="BE850" s="70">
        <f t="shared" si="510"/>
        <v>1</v>
      </c>
      <c r="BF850" s="70">
        <f t="shared" si="511"/>
        <v>0.25645234538719541</v>
      </c>
      <c r="BG850" s="70">
        <f t="shared" si="512"/>
        <v>5.3894009941483668E-2</v>
      </c>
      <c r="BH850" s="67">
        <f>MAX((CE850-Driver!$F$200)/(Driver!$G$200-Driver!$F$200)*$BI$1,1)</f>
        <v>3.9328400682982356</v>
      </c>
      <c r="BI850" s="67">
        <f>MAX($BI$1*(BY850-Driver!$F$201)/(Driver!$G$201-Driver!$F$201),1)</f>
        <v>8.4177215189873422</v>
      </c>
      <c r="BJ850" s="67">
        <f>(CB850-Driver!$F$206)/(Driver!$G$206-Driver!$F$206)*$BI$1</f>
        <v>1.5873015873015872</v>
      </c>
      <c r="BK850" s="67">
        <f>(CD850-Driver!$F$203)/(Driver!$G$203-Driver!$F$203)*$BI$1</f>
        <v>1.6513761467889909</v>
      </c>
      <c r="BL850" s="67">
        <f>MAX((CR850-Driver!$F$202)/(Driver!$G$202-Driver!$F$202)*$BI$1,1)</f>
        <v>7.931034482758621</v>
      </c>
      <c r="BM850" s="67">
        <f>MAX((CH850-Driver!$F$204)/(Driver!$G$204-Driver!$F$204)*$BI$1,1)</f>
        <v>2.9487179487179489</v>
      </c>
      <c r="BN850" s="67">
        <f>(CI850-Driver!$F$205)/(Driver!$G$205-Driver!$F$205)*$BI$1</f>
        <v>1.7058823529411766</v>
      </c>
      <c r="BO850" s="67">
        <f>(CK850-Driver!$F$207)/(Driver!$G$207-Driver!$F$207)*$BI$1</f>
        <v>0.44467425025853152</v>
      </c>
      <c r="BP850" s="67">
        <f>(CM850-Driver!$F$208)/(Driver!$G$208-Driver!$F$208)*$BI$1</f>
        <v>0.6</v>
      </c>
      <c r="BQ850" s="67">
        <f>(CL850-Driver!$F$209)/(Driver!$G$209-Driver!$F$209)*$BI$1</f>
        <v>0.625</v>
      </c>
      <c r="BR850" s="28" t="s">
        <v>155</v>
      </c>
      <c r="BS850" s="8" t="s">
        <v>202</v>
      </c>
      <c r="BT850" s="9" t="s">
        <v>783</v>
      </c>
      <c r="BU850" s="10">
        <v>162</v>
      </c>
      <c r="BV850" s="9" t="s">
        <v>163</v>
      </c>
      <c r="BW850" s="10">
        <v>162</v>
      </c>
      <c r="BX850" s="10">
        <v>162.19999999999999</v>
      </c>
      <c r="BY850" s="10">
        <v>141</v>
      </c>
      <c r="BZ850" s="10">
        <v>148</v>
      </c>
      <c r="CA850" s="10">
        <v>123</v>
      </c>
      <c r="CB850" s="10">
        <v>74</v>
      </c>
      <c r="CC850" s="10">
        <v>109</v>
      </c>
      <c r="CD850" s="10">
        <v>13</v>
      </c>
      <c r="CE850" s="10">
        <v>1591</v>
      </c>
      <c r="CF850" s="10">
        <v>0.91</v>
      </c>
      <c r="CG850" s="10">
        <v>1445</v>
      </c>
      <c r="CH850" s="10">
        <v>170</v>
      </c>
      <c r="CI850" s="10">
        <v>62</v>
      </c>
      <c r="CJ850" s="10">
        <v>43</v>
      </c>
      <c r="CK850" s="10">
        <v>153</v>
      </c>
      <c r="CL850" s="10">
        <v>4</v>
      </c>
      <c r="CM850" s="10">
        <v>54</v>
      </c>
      <c r="CN850" s="10">
        <v>0.10199999999999999</v>
      </c>
      <c r="CO850" s="10">
        <v>80</v>
      </c>
      <c r="CP850" s="10">
        <v>59</v>
      </c>
      <c r="CQ850" s="10">
        <v>73</v>
      </c>
      <c r="CR850" s="10">
        <v>12</v>
      </c>
      <c r="CS850" s="10">
        <v>10.1</v>
      </c>
      <c r="CT850" s="9" t="s">
        <v>349</v>
      </c>
      <c r="CU850" s="10"/>
      <c r="CV850" s="10"/>
      <c r="CW850" s="10"/>
      <c r="CX850" t="str">
        <f>INDEX('Data_Price '!AG$2:AG$1266,MATCH(Data!$DN850,'Data_Price '!$AT$2:$AT$1266,0))</f>
        <v>Dynastar M-Pro 90 Skis 2022</v>
      </c>
      <c r="CY850" t="str">
        <f>INDEX('Data_Price '!AH$2:AH$1266,MATCH(Data!$DN850,'Data_Price '!$AT$2:$AT$1266,0))</f>
        <v>Level Nine Sports</v>
      </c>
      <c r="CZ850">
        <f>INDEX('Data_Price '!AI$2:AI$1266,MATCH(Data!$DN850,'Data_Price '!$AT$2:$AT$1266,0))</f>
        <v>479.96</v>
      </c>
      <c r="DA850" t="str">
        <f>INDEX('Data_Price '!AJ$2:AJ$1266,MATCH(Data!$DN850,'Data_Price '!$AT$2:$AT$1266,0))</f>
        <v>https://tinyurl.com/y7dynh7a</v>
      </c>
      <c r="DB850" t="str">
        <f>INDEX('Data_Price '!AK$2:AK$1266,MATCH(Data!$DN850,'Data_Price '!$AT$2:$AT$1266,0))</f>
        <v>Dynastar Speed 963 Konect+spx 12 Konect GW B80 Alpine Skis 162</v>
      </c>
      <c r="DC850" t="str">
        <f>INDEX('Data_Price '!AL$2:AL$1266,MATCH(Data!$DN850,'Data_Price '!$AT$2:$AT$1266,0))</f>
        <v>eBay - asogear</v>
      </c>
      <c r="DD850">
        <f>INDEX('Data_Price '!AM$2:AM$1266,MATCH(Data!$DN850,'Data_Price '!$AT$2:$AT$1266,0))</f>
        <v>769.99</v>
      </c>
      <c r="DE850" t="str">
        <f>INDEX('Data_Price '!AN$2:AN$1266,MATCH(Data!$DN850,'Data_Price '!$AT$2:$AT$1266,0))</f>
        <v>https://tinyurl.com/y9v2h8wb</v>
      </c>
      <c r="DF850" t="str">
        <f>INDEX('Data_Price '!AO$2:AO$1266,MATCH(Data!$DN850,'Data_Price '!$AT$2:$AT$1266,0))</f>
        <v>Dynastar Speed 963 Konect+spx 12 Konect GW B80 Alpine Skis 162</v>
      </c>
      <c r="DG850" t="str">
        <f>INDEX('Data_Price '!AP$2:AP$1266,MATCH(Data!$DN850,'Data_Price '!$AT$2:$AT$1266,0))</f>
        <v>SkiEssentials.com</v>
      </c>
      <c r="DH850">
        <f>INDEX('Data_Price '!AQ$2:AQ$1266,MATCH(Data!$DN850,'Data_Price '!$AT$2:$AT$1266,0))</f>
        <v>999.95</v>
      </c>
      <c r="DI850" t="str">
        <f>INDEX('Data_Price '!AR$2:AR$1266,MATCH(Data!$DN850,'Data_Price '!$AT$2:$AT$1266,0))</f>
        <v>https://tinyurl.com/y9g2cgbc</v>
      </c>
      <c r="DJ850" s="89" t="str">
        <f t="shared" si="513"/>
        <v>https://tinyurl.com/y7dynh7a</v>
      </c>
      <c r="DK850" s="89" t="str">
        <f t="shared" si="514"/>
        <v>https://tinyurl.com/y9v2h8wb</v>
      </c>
      <c r="DL850" s="89" t="str">
        <f t="shared" si="515"/>
        <v>https://tinyurl.com/y9g2cgbc</v>
      </c>
      <c r="DM850" s="219" t="str">
        <f t="shared" si="516"/>
        <v>E Lite 7</v>
      </c>
      <c r="DN850" s="89" t="str">
        <f t="shared" si="517"/>
        <v xml:space="preserve"> DynastarE Lite 7162 Women's</v>
      </c>
      <c r="DO850" s="221"/>
    </row>
    <row r="851" spans="2:119" ht="15.6" customHeight="1">
      <c r="B851" s="219" t="b">
        <f t="array" ref="B851">IF(OR(ISERROR(K851:P851)),FALSE,TRUE)</f>
        <v>1</v>
      </c>
      <c r="C851" s="43" t="b">
        <f>OR(BR851=Driver!$G$50,Data!BR1236=Driver!$H$50)</f>
        <v>1</v>
      </c>
      <c r="D851" s="43" t="b">
        <f>OR(BV851=Driver!$G$51,BV851=Driver!$H$51)</f>
        <v>1</v>
      </c>
      <c r="E851" s="43" t="b">
        <f>AND(BX851&gt;Driver!$F$54,BX851&lt;Driver!$G$54)</f>
        <v>0</v>
      </c>
      <c r="F851" s="43" t="b">
        <f>CL851&gt;Driver!$F$56</f>
        <v>1</v>
      </c>
      <c r="G851" s="43" t="b">
        <f>AND(CB851&gt;Driver!$F$55,CB851&lt;Driver!$G$55)</f>
        <v>1</v>
      </c>
      <c r="H851" s="43" t="b">
        <f t="shared" si="481"/>
        <v>0</v>
      </c>
      <c r="I851" s="43">
        <f t="shared" si="482"/>
        <v>0</v>
      </c>
      <c r="J851" s="43" t="b">
        <f t="array" ref="J851">NOT(OR(($H$9:$H$1273=TRUE)*($I$9:$I$1273&gt;0)*($BT$9:$BT$1273=BT851)*($K$9:$K$1273&gt;K851)))</f>
        <v>1</v>
      </c>
      <c r="K851" s="72">
        <f t="shared" si="483"/>
        <v>0.83713798423180197</v>
      </c>
      <c r="L851" s="72">
        <f t="shared" si="484"/>
        <v>0.95631962866750508</v>
      </c>
      <c r="M851" s="72">
        <f t="shared" si="485"/>
        <v>0.71795633979609885</v>
      </c>
      <c r="N851" s="72">
        <f t="shared" si="486"/>
        <v>0.54372912208909996</v>
      </c>
      <c r="O851" s="72">
        <f t="shared" si="487"/>
        <v>0.68821551573222384</v>
      </c>
      <c r="P851" s="72">
        <f t="shared" si="488"/>
        <v>0.92192438156697276</v>
      </c>
      <c r="Q851" s="72"/>
      <c r="R851" s="72"/>
      <c r="S851" s="72">
        <f t="shared" si="489"/>
        <v>0.44276605571964556</v>
      </c>
      <c r="T851" s="72">
        <f t="shared" si="490"/>
        <v>0.46496649968227255</v>
      </c>
      <c r="U851" s="72">
        <f t="shared" si="491"/>
        <v>0.49985754687422557</v>
      </c>
      <c r="V851" s="72">
        <f t="shared" si="492"/>
        <v>0.65431375726694541</v>
      </c>
      <c r="W851" s="72">
        <f t="shared" si="493"/>
        <v>0.84333789464774433</v>
      </c>
      <c r="X851" s="72">
        <f t="shared" si="494"/>
        <v>4.3680371332494972E-2</v>
      </c>
      <c r="Y851" s="72">
        <f t="shared" si="495"/>
        <v>0.28204366020390109</v>
      </c>
      <c r="Z851" s="72">
        <f t="shared" si="496"/>
        <v>0.45627087791090004</v>
      </c>
      <c r="AA851" s="72">
        <f t="shared" si="497"/>
        <v>0.31178448426777611</v>
      </c>
      <c r="AB851" s="72">
        <f t="shared" si="498"/>
        <v>7.8075618433027238E-2</v>
      </c>
      <c r="AC851" s="72"/>
      <c r="AD851" s="72"/>
      <c r="AE851" s="72">
        <f t="shared" si="499"/>
        <v>0.55723394428035444</v>
      </c>
      <c r="AF851" s="72">
        <f t="shared" si="500"/>
        <v>0.53503350031772745</v>
      </c>
      <c r="AG851" s="72">
        <f t="shared" si="501"/>
        <v>0.50014245312577443</v>
      </c>
      <c r="AH851" s="72">
        <f t="shared" si="502"/>
        <v>0.34568624273305459</v>
      </c>
      <c r="AI851" s="72">
        <f t="shared" si="503"/>
        <v>0.15666210535225572</v>
      </c>
      <c r="AJ851" s="72">
        <f>(AV851-Driver!$K$179)/(Driver!$L$179-Driver!$K$179)</f>
        <v>0.21053903795020545</v>
      </c>
      <c r="AK851" s="72">
        <f>(AW851-Driver!$K$180)/(Driver!$L$180-Driver!$K$180)</f>
        <v>0.20900472054648278</v>
      </c>
      <c r="AL851" s="72">
        <f>(AX851-Driver!$K$181)/(Driver!$L$181-Driver!$K$181)</f>
        <v>0.55795864162398023</v>
      </c>
      <c r="AM851" s="72">
        <f>(AY851-Driver!$K$182)/(Driver!$L$182-Driver!$K$182)</f>
        <v>0.13560053682927026</v>
      </c>
      <c r="AN851" s="72">
        <f>(AZ851-Driver!$K$183)/(Driver!$L$183-Driver!$K$183)</f>
        <v>0.17614379084967319</v>
      </c>
      <c r="AO851" s="72"/>
      <c r="AP851" s="72"/>
      <c r="AQ851" s="72">
        <f>(BC851-Driver!$K$188)/(Driver!$L$188-Driver!$K$188)</f>
        <v>6.2766055719645511E-2</v>
      </c>
      <c r="AR851" s="72">
        <f>MIN((BD851-Driver!$K$189)/(Driver!$L$189-Driver!$K$189),100%)</f>
        <v>1.4966499682272569E-2</v>
      </c>
      <c r="AS851" s="72">
        <f>(BE851-Driver!$K$190)/(Driver!$L$190-Driver!$K$190)</f>
        <v>9.85754687422556E-3</v>
      </c>
      <c r="AT851" s="72">
        <f>(BF851-Driver!$K$191)/(Driver!$L$191-Driver!$K$191)</f>
        <v>0.16431375726694539</v>
      </c>
      <c r="AU851" s="72">
        <f>(BG851-Driver!$K$192)/(Driver!$L$192-Driver!$K$192)</f>
        <v>9.3337894647744279E-2</v>
      </c>
      <c r="AV851" s="70">
        <f t="shared" si="504"/>
        <v>4.4312169312169312</v>
      </c>
      <c r="AW851" s="70">
        <f t="shared" si="505"/>
        <v>22.241254608934963</v>
      </c>
      <c r="AX851" s="70">
        <f t="shared" si="506"/>
        <v>6.0216277746158218</v>
      </c>
      <c r="AY851" s="70">
        <f>IFERROR(Driver!$K$19/Data!BH851/Data!BI851*Data!BK851*Data!BL851,"")</f>
        <v>0.16601551637424208</v>
      </c>
      <c r="AZ851" s="70">
        <f t="shared" si="507"/>
        <v>16.053611317944899</v>
      </c>
      <c r="BA851" s="70"/>
      <c r="BB851" s="70"/>
      <c r="BC851" s="70">
        <f t="shared" si="508"/>
        <v>32.55718944432045</v>
      </c>
      <c r="BD851" s="70">
        <f t="shared" si="509"/>
        <v>3.0453315869106281</v>
      </c>
      <c r="BE851" s="70">
        <f t="shared" si="510"/>
        <v>1.0034177143335181E-2</v>
      </c>
      <c r="BF851" s="70">
        <f t="shared" si="511"/>
        <v>18.558084513823921</v>
      </c>
      <c r="BG851" s="70">
        <f t="shared" si="512"/>
        <v>0.35343681227604895</v>
      </c>
      <c r="BH851" s="67">
        <f>MAX((CE851-Driver!$F$200)/(Driver!$G$200-Driver!$F$200)*$BI$1,1)</f>
        <v>6.0216277746158218</v>
      </c>
      <c r="BI851" s="67">
        <f>MAX($BI$1*(BY851-Driver!$F$201)/(Driver!$G$201-Driver!$F$201),1)</f>
        <v>5.5696202531645573</v>
      </c>
      <c r="BJ851" s="67">
        <f>(CB851-Driver!$F$206)/(Driver!$G$206-Driver!$F$206)*$BI$1</f>
        <v>6.1904761904761907</v>
      </c>
      <c r="BK851" s="67">
        <f>(CD851-Driver!$F$203)/(Driver!$G$203-Driver!$F$203)*$BI$1</f>
        <v>5.045871559633027</v>
      </c>
      <c r="BL851" s="67">
        <f>MAX((CR851-Driver!$F$202)/(Driver!$G$202-Driver!$F$202)*$BI$1,1)</f>
        <v>5.5172413793103452</v>
      </c>
      <c r="BM851" s="67">
        <f>MAX((CH851-Driver!$F$204)/(Driver!$G$204-Driver!$F$204)*$BI$1,1)</f>
        <v>2.8632478632478628</v>
      </c>
      <c r="BN851" s="67">
        <f>(CI851-Driver!$F$205)/(Driver!$G$205-Driver!$F$205)*$BI$1</f>
        <v>2.8823529411764701</v>
      </c>
      <c r="BO851" s="67">
        <f>(CK851-Driver!$F$207)/(Driver!$G$207-Driver!$F$207)*$BI$1</f>
        <v>3.640124095139607</v>
      </c>
      <c r="BP851" s="67">
        <f>(CM851-Driver!$F$208)/(Driver!$G$208-Driver!$F$208)*$BI$1</f>
        <v>4.1555555555555559</v>
      </c>
      <c r="BQ851" s="67">
        <f>(CL851-Driver!$F$209)/(Driver!$G$209-Driver!$F$209)*$BI$1</f>
        <v>6.09375</v>
      </c>
      <c r="BR851" s="28" t="s">
        <v>155</v>
      </c>
      <c r="BS851" s="8" t="s">
        <v>229</v>
      </c>
      <c r="BT851" s="9" t="s">
        <v>747</v>
      </c>
      <c r="BU851" s="10">
        <v>180</v>
      </c>
      <c r="BV851" s="9" t="s">
        <v>158</v>
      </c>
      <c r="BW851" s="10">
        <v>180</v>
      </c>
      <c r="BX851" s="10">
        <v>179.9</v>
      </c>
      <c r="BY851" s="10">
        <v>96</v>
      </c>
      <c r="BZ851" s="10">
        <v>142</v>
      </c>
      <c r="CA851" s="10">
        <v>131</v>
      </c>
      <c r="CB851" s="10">
        <v>103</v>
      </c>
      <c r="CC851" s="10">
        <v>121</v>
      </c>
      <c r="CD851" s="10">
        <v>20.399999999999999</v>
      </c>
      <c r="CE851" s="10">
        <v>1958</v>
      </c>
      <c r="CF851" s="10">
        <v>1.03</v>
      </c>
      <c r="CG851" s="10">
        <v>2014</v>
      </c>
      <c r="CH851" s="10">
        <v>168</v>
      </c>
      <c r="CI851" s="10">
        <v>82</v>
      </c>
      <c r="CJ851" s="10">
        <v>56</v>
      </c>
      <c r="CK851" s="10">
        <v>462</v>
      </c>
      <c r="CL851" s="10">
        <v>39</v>
      </c>
      <c r="CM851" s="10">
        <v>374</v>
      </c>
      <c r="CN851" s="10">
        <v>0.70399999999999996</v>
      </c>
      <c r="CO851" s="10">
        <v>172</v>
      </c>
      <c r="CP851" s="10">
        <v>209</v>
      </c>
      <c r="CQ851" s="10">
        <v>290</v>
      </c>
      <c r="CR851" s="10">
        <v>5</v>
      </c>
      <c r="CS851" s="10">
        <v>1.6</v>
      </c>
      <c r="CT851" s="9" t="s">
        <v>188</v>
      </c>
      <c r="CU851" s="9" t="s">
        <v>169</v>
      </c>
      <c r="CV851" s="10"/>
      <c r="CW851" s="10"/>
      <c r="CX851" t="e">
        <f>INDEX('Data_Price '!AG$2:AG$1266,MATCH(Data!$DN851,'Data_Price '!$AT$2:$AT$1266,0))</f>
        <v>#N/A</v>
      </c>
      <c r="CY851" t="e">
        <f>INDEX('Data_Price '!AH$2:AH$1266,MATCH(Data!$DN851,'Data_Price '!$AT$2:$AT$1266,0))</f>
        <v>#N/A</v>
      </c>
      <c r="CZ851" t="e">
        <f>INDEX('Data_Price '!AI$2:AI$1266,MATCH(Data!$DN851,'Data_Price '!$AT$2:$AT$1266,0))</f>
        <v>#N/A</v>
      </c>
      <c r="DA851" t="e">
        <f>INDEX('Data_Price '!AJ$2:AJ$1266,MATCH(Data!$DN851,'Data_Price '!$AT$2:$AT$1266,0))</f>
        <v>#N/A</v>
      </c>
      <c r="DB851" t="e">
        <f>INDEX('Data_Price '!AK$2:AK$1266,MATCH(Data!$DN851,'Data_Price '!$AT$2:$AT$1266,0))</f>
        <v>#N/A</v>
      </c>
      <c r="DC851" t="e">
        <f>INDEX('Data_Price '!AL$2:AL$1266,MATCH(Data!$DN851,'Data_Price '!$AT$2:$AT$1266,0))</f>
        <v>#N/A</v>
      </c>
      <c r="DD851" t="e">
        <f>INDEX('Data_Price '!AM$2:AM$1266,MATCH(Data!$DN851,'Data_Price '!$AT$2:$AT$1266,0))</f>
        <v>#N/A</v>
      </c>
      <c r="DE851" t="e">
        <f>INDEX('Data_Price '!AN$2:AN$1266,MATCH(Data!$DN851,'Data_Price '!$AT$2:$AT$1266,0))</f>
        <v>#N/A</v>
      </c>
      <c r="DF851" t="e">
        <f>INDEX('Data_Price '!AO$2:AO$1266,MATCH(Data!$DN851,'Data_Price '!$AT$2:$AT$1266,0))</f>
        <v>#N/A</v>
      </c>
      <c r="DG851" t="e">
        <f>INDEX('Data_Price '!AP$2:AP$1266,MATCH(Data!$DN851,'Data_Price '!$AT$2:$AT$1266,0))</f>
        <v>#N/A</v>
      </c>
      <c r="DH851" t="e">
        <f>INDEX('Data_Price '!AQ$2:AQ$1266,MATCH(Data!$DN851,'Data_Price '!$AT$2:$AT$1266,0))</f>
        <v>#N/A</v>
      </c>
      <c r="DI851" t="e">
        <f>INDEX('Data_Price '!AR$2:AR$1266,MATCH(Data!$DN851,'Data_Price '!$AT$2:$AT$1266,0))</f>
        <v>#N/A</v>
      </c>
      <c r="DJ851" s="89" t="e">
        <f t="shared" si="513"/>
        <v>#N/A</v>
      </c>
      <c r="DK851" s="89" t="e">
        <f t="shared" si="514"/>
        <v>#N/A</v>
      </c>
      <c r="DL851" s="89" t="e">
        <f t="shared" si="515"/>
        <v>#N/A</v>
      </c>
      <c r="DM851" s="219" t="str">
        <f t="shared" si="516"/>
        <v>Revolt 104</v>
      </c>
      <c r="DN851" s="89" t="str">
        <f t="shared" si="517"/>
        <v xml:space="preserve"> VölklRevolt 104180 Unisex</v>
      </c>
      <c r="DO851" s="221" t="s">
        <v>748</v>
      </c>
    </row>
    <row r="852" spans="2:119" ht="15.6" customHeight="1">
      <c r="B852" s="219" t="b">
        <f t="array" ref="B852">IF(OR(ISERROR(K852:P852)),FALSE,TRUE)</f>
        <v>1</v>
      </c>
      <c r="C852" s="43" t="b">
        <f>OR(BR852=Driver!$G$50,Data!BR317=Driver!$H$50)</f>
        <v>1</v>
      </c>
      <c r="D852" s="43" t="b">
        <f>OR(BV852=Driver!$G$51,BV852=Driver!$H$51)</f>
        <v>1</v>
      </c>
      <c r="E852" s="43" t="b">
        <f>AND(BX852&gt;Driver!$F$54,BX852&lt;Driver!$G$54)</f>
        <v>0</v>
      </c>
      <c r="F852" s="43" t="b">
        <f>CL852&gt;Driver!$F$56</f>
        <v>1</v>
      </c>
      <c r="G852" s="43" t="b">
        <f>AND(CB852&gt;Driver!$F$55,CB852&lt;Driver!$G$55)</f>
        <v>0</v>
      </c>
      <c r="H852" s="43" t="b">
        <f t="shared" si="481"/>
        <v>0</v>
      </c>
      <c r="I852" s="43">
        <f t="shared" si="482"/>
        <v>0</v>
      </c>
      <c r="J852" s="43" t="b">
        <f t="array" ref="J852">NOT(OR(($H$9:$H$1273=TRUE)*($I$9:$I$1273&gt;0)*($BT$9:$BT$1273=BT852)*($K$9:$K$1273&gt;K852)))</f>
        <v>1</v>
      </c>
      <c r="K852" s="72">
        <f t="shared" si="483"/>
        <v>0.76245376055955072</v>
      </c>
      <c r="L852" s="72">
        <f t="shared" si="484"/>
        <v>0.87437619139411848</v>
      </c>
      <c r="M852" s="72">
        <f t="shared" si="485"/>
        <v>0.65053132972498284</v>
      </c>
      <c r="N852" s="72">
        <f t="shared" si="486"/>
        <v>0.53550803817080483</v>
      </c>
      <c r="O852" s="72">
        <f t="shared" si="487"/>
        <v>0.60222601884562621</v>
      </c>
      <c r="P852" s="72">
        <f t="shared" si="488"/>
        <v>0.81385993215851737</v>
      </c>
      <c r="Q852" s="72"/>
      <c r="R852" s="72"/>
      <c r="S852" s="72">
        <f t="shared" si="489"/>
        <v>0.53687136554096049</v>
      </c>
      <c r="T852" s="72">
        <f t="shared" si="490"/>
        <v>0.86113721717494318</v>
      </c>
      <c r="U852" s="72">
        <f t="shared" si="491"/>
        <v>0.51</v>
      </c>
      <c r="V852" s="72">
        <f t="shared" si="492"/>
        <v>0.4918719109971802</v>
      </c>
      <c r="W852" s="72">
        <f t="shared" si="493"/>
        <v>0.75595501358438111</v>
      </c>
      <c r="X852" s="72">
        <f t="shared" si="494"/>
        <v>0.12562380860588152</v>
      </c>
      <c r="Y852" s="72">
        <f t="shared" si="495"/>
        <v>0.34946867027501716</v>
      </c>
      <c r="Z852" s="72">
        <f t="shared" si="496"/>
        <v>0.46449196182919517</v>
      </c>
      <c r="AA852" s="72">
        <f t="shared" si="497"/>
        <v>0.39777398115437379</v>
      </c>
      <c r="AB852" s="72">
        <f t="shared" si="498"/>
        <v>0.18614006784148257</v>
      </c>
      <c r="AC852" s="72"/>
      <c r="AD852" s="72"/>
      <c r="AE852" s="72">
        <f t="shared" si="499"/>
        <v>0.46312863445903957</v>
      </c>
      <c r="AF852" s="72">
        <f t="shared" si="500"/>
        <v>0.13886278282505682</v>
      </c>
      <c r="AG852" s="72">
        <f t="shared" si="501"/>
        <v>0.49</v>
      </c>
      <c r="AH852" s="72">
        <f t="shared" si="502"/>
        <v>0.5081280890028198</v>
      </c>
      <c r="AI852" s="72">
        <f t="shared" si="503"/>
        <v>0.24404498641561889</v>
      </c>
      <c r="AJ852" s="72">
        <f>(AV852-Driver!$K$179)/(Driver!$L$179-Driver!$K$179)</f>
        <v>0.12859560067681891</v>
      </c>
      <c r="AK852" s="72">
        <f>(AW852-Driver!$K$180)/(Driver!$L$180-Driver!$K$180)</f>
        <v>0.45576658200033882</v>
      </c>
      <c r="AL852" s="72">
        <f>(AX852-Driver!$K$181)/(Driver!$L$181-Driver!$K$181)</f>
        <v>0.56617972554227536</v>
      </c>
      <c r="AM852" s="72">
        <f>(AY852-Driver!$K$182)/(Driver!$L$182-Driver!$K$182)</f>
        <v>4.9611039942672595E-2</v>
      </c>
      <c r="AN852" s="72">
        <f>(AZ852-Driver!$K$183)/(Driver!$L$183-Driver!$K$183)</f>
        <v>0.440359477124183</v>
      </c>
      <c r="AO852" s="72"/>
      <c r="AP852" s="72"/>
      <c r="AQ852" s="72">
        <f>(BC852-Driver!$K$188)/(Driver!$L$188-Driver!$K$188)</f>
        <v>0.15687136554096043</v>
      </c>
      <c r="AR852" s="72">
        <f>MIN((BD852-Driver!$K$189)/(Driver!$L$189-Driver!$K$189),100%)</f>
        <v>0.41113721717494323</v>
      </c>
      <c r="AS852" s="72">
        <f>(BE852-Driver!$K$190)/(Driver!$L$190-Driver!$K$190)</f>
        <v>1</v>
      </c>
      <c r="AT852" s="72">
        <f>(BF852-Driver!$K$191)/(Driver!$L$191-Driver!$K$191)</f>
        <v>1.8719109971801775E-3</v>
      </c>
      <c r="AU852" s="72">
        <f>(BG852-Driver!$K$192)/(Driver!$L$192-Driver!$K$192)</f>
        <v>5.9550135843811211E-3</v>
      </c>
      <c r="AV852" s="70">
        <f t="shared" si="504"/>
        <v>2.706552706552706</v>
      </c>
      <c r="AW852" s="70">
        <f t="shared" si="505"/>
        <v>46.290384540138191</v>
      </c>
      <c r="AX852" s="70">
        <f t="shared" si="506"/>
        <v>6.095617529880478</v>
      </c>
      <c r="AY852" s="70">
        <f>IFERROR(Driver!$K$19/Data!BH852/Data!BI852*Data!BK852*Data!BL852,"")</f>
        <v>6.0738715395469607E-2</v>
      </c>
      <c r="AZ852" s="70">
        <f t="shared" si="507"/>
        <v>40.134028294862247</v>
      </c>
      <c r="BA852" s="70"/>
      <c r="BB852" s="70"/>
      <c r="BC852" s="70">
        <f t="shared" si="508"/>
        <v>81.370267858136756</v>
      </c>
      <c r="BD852" s="70">
        <f t="shared" si="509"/>
        <v>38.105738112038509</v>
      </c>
      <c r="BE852" s="70">
        <f t="shared" si="510"/>
        <v>1</v>
      </c>
      <c r="BF852" s="70">
        <f t="shared" si="511"/>
        <v>0.21141919621245572</v>
      </c>
      <c r="BG852" s="70">
        <f t="shared" si="512"/>
        <v>2.2549480318443168E-2</v>
      </c>
      <c r="BH852" s="67">
        <f>MAX((CE852-Driver!$F$200)/(Driver!$G$200-Driver!$F$200)*$BI$1,1)</f>
        <v>6.095617529880478</v>
      </c>
      <c r="BI852" s="67">
        <f>MAX($BI$1*(BY852-Driver!$F$201)/(Driver!$G$201-Driver!$F$201),1)</f>
        <v>8.8607594936708853</v>
      </c>
      <c r="BJ852" s="67">
        <f>(CB852-Driver!$F$206)/(Driver!$G$206-Driver!$F$206)*$BI$1</f>
        <v>1.9047619047619047</v>
      </c>
      <c r="BK852" s="67">
        <f>(CD852-Driver!$F$203)/(Driver!$G$203-Driver!$F$203)*$BI$1</f>
        <v>2.7981651376146792</v>
      </c>
      <c r="BL852" s="67">
        <f>MAX((CR852-Driver!$F$202)/(Driver!$G$202-Driver!$F$202)*$BI$1,1)</f>
        <v>5.8620689655172411</v>
      </c>
      <c r="BM852" s="67">
        <f>MAX((CH852-Driver!$F$204)/(Driver!$G$204-Driver!$F$204)*$BI$1,1)</f>
        <v>5.6837606837606831</v>
      </c>
      <c r="BN852" s="67">
        <f>(CI852-Driver!$F$205)/(Driver!$G$205-Driver!$F$205)*$BI$1</f>
        <v>4.5294117647058822</v>
      </c>
      <c r="BO852" s="67">
        <f>(CK852-Driver!$F$207)/(Driver!$G$207-Driver!$F$207)*$BI$1</f>
        <v>0.54808686659772488</v>
      </c>
      <c r="BP852" s="67">
        <f>(CM852-Driver!$F$208)/(Driver!$G$208-Driver!$F$208)*$BI$1</f>
        <v>0.56666666666666665</v>
      </c>
      <c r="BQ852" s="67">
        <f>(CL852-Driver!$F$209)/(Driver!$G$209-Driver!$F$209)*$BI$1</f>
        <v>0.78125</v>
      </c>
      <c r="BR852" s="28" t="s">
        <v>155</v>
      </c>
      <c r="BS852" s="8" t="s">
        <v>317</v>
      </c>
      <c r="BT852" s="9" t="s">
        <v>639</v>
      </c>
      <c r="BU852" s="10">
        <v>170</v>
      </c>
      <c r="BV852" s="9" t="s">
        <v>158</v>
      </c>
      <c r="BW852" s="10">
        <v>170</v>
      </c>
      <c r="BX852" s="10">
        <v>169.1</v>
      </c>
      <c r="BY852" s="10">
        <v>148</v>
      </c>
      <c r="BZ852" s="10">
        <v>157</v>
      </c>
      <c r="CA852" s="10">
        <v>124</v>
      </c>
      <c r="CB852" s="10">
        <v>76</v>
      </c>
      <c r="CC852" s="10">
        <v>104</v>
      </c>
      <c r="CD852" s="10">
        <v>15.5</v>
      </c>
      <c r="CE852" s="10">
        <v>1971</v>
      </c>
      <c r="CF852" s="10">
        <v>0.77</v>
      </c>
      <c r="CG852" s="10">
        <v>1521</v>
      </c>
      <c r="CH852" s="10">
        <v>234</v>
      </c>
      <c r="CI852" s="10">
        <v>110</v>
      </c>
      <c r="CJ852" s="10">
        <v>41</v>
      </c>
      <c r="CK852" s="10">
        <v>163</v>
      </c>
      <c r="CL852" s="10">
        <v>5</v>
      </c>
      <c r="CM852" s="10">
        <v>51</v>
      </c>
      <c r="CN852" s="10">
        <v>0.13100000000000001</v>
      </c>
      <c r="CO852" s="10">
        <v>71</v>
      </c>
      <c r="CP852" s="10">
        <v>55</v>
      </c>
      <c r="CQ852" s="10">
        <v>93</v>
      </c>
      <c r="CR852" s="10">
        <v>6</v>
      </c>
      <c r="CS852" s="10">
        <v>12.1</v>
      </c>
      <c r="CT852" s="9" t="s">
        <v>349</v>
      </c>
      <c r="CU852" s="10"/>
      <c r="CV852" s="10"/>
      <c r="CW852" s="10"/>
      <c r="CX852" t="str">
        <f>INDEX('Data_Price '!AG$2:AG$1266,MATCH(Data!$DN852,'Data_Price '!$AT$2:$AT$1266,0))</f>
        <v>2022 Blizzard Thunderbird Sport R14 Ca Skis +tpc 11 Bindings 170 Cm</v>
      </c>
      <c r="CY852" t="str">
        <f>INDEX('Data_Price '!AH$2:AH$1266,MATCH(Data!$DN852,'Data_Price '!$AT$2:$AT$1266,0))</f>
        <v>eBay - suburbansports</v>
      </c>
      <c r="CZ852">
        <f>INDEX('Data_Price '!AI$2:AI$1266,MATCH(Data!$DN852,'Data_Price '!$AT$2:$AT$1266,0))</f>
        <v>499.99</v>
      </c>
      <c r="DA852" t="str">
        <f>INDEX('Data_Price '!AJ$2:AJ$1266,MATCH(Data!$DN852,'Data_Price '!$AT$2:$AT$1266,0))</f>
        <v>https://tinyurl.com/yaeygf9d</v>
      </c>
      <c r="DB852" t="str">
        <f>INDEX('Data_Price '!AK$2:AK$1266,MATCH(Data!$DN852,'Data_Price '!$AT$2:$AT$1266,0))</f>
        <v>Blizzard Thunderbird Sport CA Skis w/ TPC 11 Bindings</v>
      </c>
      <c r="DC852" t="str">
        <f>INDEX('Data_Price '!AL$2:AL$1266,MATCH(Data!$DN852,'Data_Price '!$AT$2:$AT$1266,0))</f>
        <v>The-House.com</v>
      </c>
      <c r="DD852">
        <f>INDEX('Data_Price '!AM$2:AM$1266,MATCH(Data!$DN852,'Data_Price '!$AT$2:$AT$1266,0))</f>
        <v>599.95000000000005</v>
      </c>
      <c r="DE852" t="str">
        <f>INDEX('Data_Price '!AN$2:AN$1266,MATCH(Data!$DN852,'Data_Price '!$AT$2:$AT$1266,0))</f>
        <v>https://tinyurl.com/ya2ycl5r</v>
      </c>
      <c r="DF852" t="str">
        <f>INDEX('Data_Price '!AO$2:AO$1266,MATCH(Data!$DN852,'Data_Price '!$AT$2:$AT$1266,0))</f>
        <v>Blizzard Thunderbird R15 Ski with TPX 12 Binding - Size 170 - 8A1034AH001</v>
      </c>
      <c r="DG852" t="str">
        <f>INDEX('Data_Price '!AP$2:AP$1266,MATCH(Data!$DN852,'Data_Price '!$AT$2:$AT$1266,0))</f>
        <v>Ski Country Sports</v>
      </c>
      <c r="DH852">
        <f>INDEX('Data_Price '!AQ$2:AQ$1266,MATCH(Data!$DN852,'Data_Price '!$AT$2:$AT$1266,0))</f>
        <v>755.98</v>
      </c>
      <c r="DI852" t="str">
        <f>INDEX('Data_Price '!AR$2:AR$1266,MATCH(Data!$DN852,'Data_Price '!$AT$2:$AT$1266,0))</f>
        <v>https://tinyurl.com/y9g5u6sg</v>
      </c>
      <c r="DJ852" s="89" t="str">
        <f t="shared" si="513"/>
        <v>https://tinyurl.com/yaeygf9d</v>
      </c>
      <c r="DK852" s="89" t="str">
        <f t="shared" si="514"/>
        <v>https://tinyurl.com/ya2ycl5r</v>
      </c>
      <c r="DL852" s="89" t="str">
        <f t="shared" si="515"/>
        <v>https://tinyurl.com/y9g5u6sg</v>
      </c>
      <c r="DM852" s="219" t="str">
        <f t="shared" si="516"/>
        <v>Thunderbird Sport Ti</v>
      </c>
      <c r="DN852" s="89" t="str">
        <f t="shared" si="517"/>
        <v xml:space="preserve"> BlizzardThunderbird Sport Ti170 Unisex</v>
      </c>
      <c r="DO852" s="221" t="s">
        <v>640</v>
      </c>
    </row>
    <row r="853" spans="2:119" ht="15.6" customHeight="1">
      <c r="B853" s="219" t="b">
        <f t="array" ref="B853">IF(OR(ISERROR(K853:P853)),FALSE,TRUE)</f>
        <v>1</v>
      </c>
      <c r="C853" s="43" t="b">
        <f>OR(BR853=Driver!$G$50,Data!BR410=Driver!$H$50)</f>
        <v>1</v>
      </c>
      <c r="D853" s="43" t="b">
        <f>OR(BV853=Driver!$G$51,BV853=Driver!$H$51)</f>
        <v>1</v>
      </c>
      <c r="E853" s="43" t="b">
        <f>AND(BX853&gt;Driver!$F$54,BX853&lt;Driver!$G$54)</f>
        <v>0</v>
      </c>
      <c r="F853" s="43" t="b">
        <f>CL853&gt;Driver!$F$56</f>
        <v>1</v>
      </c>
      <c r="G853" s="43" t="b">
        <f>AND(CB853&gt;Driver!$F$55,CB853&lt;Driver!$G$55)</f>
        <v>0</v>
      </c>
      <c r="H853" s="43" t="b">
        <f t="shared" si="481"/>
        <v>0</v>
      </c>
      <c r="I853" s="43">
        <f t="shared" si="482"/>
        <v>0</v>
      </c>
      <c r="J853" s="43" t="b">
        <f t="array" ref="J853">NOT(OR(($H$9:$H$1273=TRUE)*($I$9:$I$1273&gt;0)*($BT$9:$BT$1273=BT853)*($K$9:$K$1273&gt;K853)))</f>
        <v>1</v>
      </c>
      <c r="K853" s="72">
        <f t="shared" si="483"/>
        <v>0.90978432795119513</v>
      </c>
      <c r="L853" s="72">
        <f t="shared" si="484"/>
        <v>0.96204036027656148</v>
      </c>
      <c r="M853" s="72">
        <f t="shared" si="485"/>
        <v>0.85752829562582877</v>
      </c>
      <c r="N853" s="72">
        <f t="shared" si="486"/>
        <v>0.99146200010086238</v>
      </c>
      <c r="O853" s="72">
        <f t="shared" si="487"/>
        <v>0.67088151174559885</v>
      </c>
      <c r="P853" s="72">
        <f t="shared" si="488"/>
        <v>0.91024137503102509</v>
      </c>
      <c r="Q853" s="72"/>
      <c r="R853" s="72"/>
      <c r="S853" s="72">
        <f t="shared" si="489"/>
        <v>0.4112105060794069</v>
      </c>
      <c r="T853" s="72">
        <f t="shared" si="490"/>
        <v>0.52242013028855638</v>
      </c>
      <c r="U853" s="72">
        <f t="shared" si="491"/>
        <v>0.51</v>
      </c>
      <c r="V853" s="72">
        <f t="shared" si="492"/>
        <v>0.51095849517278458</v>
      </c>
      <c r="W853" s="72">
        <f t="shared" si="493"/>
        <v>0.76589227166276341</v>
      </c>
      <c r="X853" s="72">
        <f t="shared" si="494"/>
        <v>3.7959639723438465E-2</v>
      </c>
      <c r="Y853" s="72">
        <f t="shared" si="495"/>
        <v>0.14247170437417123</v>
      </c>
      <c r="Z853" s="72">
        <f t="shared" si="496"/>
        <v>8.537999899137616E-3</v>
      </c>
      <c r="AA853" s="72">
        <f t="shared" si="497"/>
        <v>0.32911848825440115</v>
      </c>
      <c r="AB853" s="72">
        <f t="shared" si="498"/>
        <v>8.9758624968974937E-2</v>
      </c>
      <c r="AC853" s="72"/>
      <c r="AD853" s="72"/>
      <c r="AE853" s="72">
        <f t="shared" si="499"/>
        <v>0.5887894939205931</v>
      </c>
      <c r="AF853" s="72">
        <f t="shared" si="500"/>
        <v>0.47757986971144362</v>
      </c>
      <c r="AG853" s="72">
        <f t="shared" si="501"/>
        <v>0.49</v>
      </c>
      <c r="AH853" s="72">
        <f t="shared" si="502"/>
        <v>0.48904150482721537</v>
      </c>
      <c r="AI853" s="72">
        <f t="shared" si="503"/>
        <v>0.23410772833723653</v>
      </c>
      <c r="AJ853" s="72">
        <f>(AV853-Driver!$K$179)/(Driver!$L$179-Driver!$K$179)</f>
        <v>0.21625976955926196</v>
      </c>
      <c r="AK853" s="72">
        <f>(AW853-Driver!$K$180)/(Driver!$L$180-Driver!$K$180)</f>
        <v>0.15651489878830455</v>
      </c>
      <c r="AL853" s="72">
        <f>(AX853-Driver!$K$181)/(Driver!$L$181-Driver!$K$181)</f>
        <v>0.11022576361221779</v>
      </c>
      <c r="AM853" s="72">
        <f>(AY853-Driver!$K$182)/(Driver!$L$182-Driver!$K$182)</f>
        <v>0.11826653284264524</v>
      </c>
      <c r="AN853" s="72">
        <f>(AZ853-Driver!$K$183)/(Driver!$L$183-Driver!$K$183)</f>
        <v>0.16446078431372549</v>
      </c>
      <c r="AO853" s="72"/>
      <c r="AP853" s="72"/>
      <c r="AQ853" s="72">
        <f>(BC853-Driver!$K$188)/(Driver!$L$188-Driver!$K$188)</f>
        <v>3.1210506079406911E-2</v>
      </c>
      <c r="AR853" s="72">
        <f>MIN((BD853-Driver!$K$189)/(Driver!$L$189-Driver!$K$189),100%)</f>
        <v>7.2420130288556428E-2</v>
      </c>
      <c r="AS853" s="72">
        <f>(BE853-Driver!$K$190)/(Driver!$L$190-Driver!$K$190)</f>
        <v>1</v>
      </c>
      <c r="AT853" s="72">
        <f>(BF853-Driver!$K$191)/(Driver!$L$191-Driver!$K$191)</f>
        <v>2.0958495172784659E-2</v>
      </c>
      <c r="AU853" s="72">
        <f>(BG853-Driver!$K$192)/(Driver!$L$192-Driver!$K$192)</f>
        <v>1.5892271662763465E-2</v>
      </c>
      <c r="AV853" s="70">
        <f t="shared" si="504"/>
        <v>4.5516212182878855</v>
      </c>
      <c r="AW853" s="70">
        <f t="shared" si="505"/>
        <v>17.125656371465109</v>
      </c>
      <c r="AX853" s="70">
        <f t="shared" si="506"/>
        <v>1.9920318725099602</v>
      </c>
      <c r="AY853" s="70">
        <f>IFERROR(Driver!$K$19/Data!BH853/Data!BI853*Data!BK853*Data!BL853,"")</f>
        <v>0.14479352352700176</v>
      </c>
      <c r="AZ853" s="70">
        <f t="shared" si="507"/>
        <v>14.988830975428147</v>
      </c>
      <c r="BA853" s="70"/>
      <c r="BB853" s="70"/>
      <c r="BC853" s="70">
        <f t="shared" si="508"/>
        <v>16.189106475306566</v>
      </c>
      <c r="BD853" s="70">
        <f t="shared" si="509"/>
        <v>8.129876093757245</v>
      </c>
      <c r="BE853" s="70">
        <f t="shared" si="510"/>
        <v>1</v>
      </c>
      <c r="BF853" s="70">
        <f t="shared" si="511"/>
        <v>2.3671147880041357</v>
      </c>
      <c r="BG853" s="70">
        <f t="shared" si="512"/>
        <v>6.0178278688524586E-2</v>
      </c>
      <c r="BH853" s="67">
        <f>MAX((CE853-Driver!$F$200)/(Driver!$G$200-Driver!$F$200)*$BI$1,1)</f>
        <v>1.9920318725099602</v>
      </c>
      <c r="BI853" s="67">
        <f>MAX($BI$1*(BY853-Driver!$F$201)/(Driver!$G$201-Driver!$F$201),1)</f>
        <v>7.7215189873417724</v>
      </c>
      <c r="BJ853" s="67">
        <f>(CB853-Driver!$F$206)/(Driver!$G$206-Driver!$F$206)*$BI$1</f>
        <v>3.4920634920634921</v>
      </c>
      <c r="BK853" s="67">
        <f>(CD853-Driver!$F$203)/(Driver!$G$203-Driver!$F$203)*$BI$1</f>
        <v>2.0183486238532113</v>
      </c>
      <c r="BL853" s="67">
        <f>MAX((CR853-Driver!$F$202)/(Driver!$G$202-Driver!$F$202)*$BI$1,1)</f>
        <v>5.5172413793103452</v>
      </c>
      <c r="BM853" s="67">
        <f>MAX((CH853-Driver!$F$204)/(Driver!$G$204-Driver!$F$204)*$BI$1,1)</f>
        <v>5.2136752136752138</v>
      </c>
      <c r="BN853" s="67">
        <f>(CI853-Driver!$F$205)/(Driver!$G$205-Driver!$F$205)*$BI$1</f>
        <v>1.9411764705882353</v>
      </c>
      <c r="BO853" s="67">
        <f>(CK853-Driver!$F$207)/(Driver!$G$207-Driver!$F$207)*$BI$1</f>
        <v>2.512926577042399</v>
      </c>
      <c r="BP853" s="67">
        <f>(CM853-Driver!$F$208)/(Driver!$G$208-Driver!$F$208)*$BI$1</f>
        <v>0.5444444444444444</v>
      </c>
      <c r="BQ853" s="67">
        <f>(CL853-Driver!$F$209)/(Driver!$G$209-Driver!$F$209)*$BI$1</f>
        <v>0.625</v>
      </c>
      <c r="BR853" s="28" t="s">
        <v>155</v>
      </c>
      <c r="BS853" s="8" t="s">
        <v>202</v>
      </c>
      <c r="BT853" s="9" t="s">
        <v>660</v>
      </c>
      <c r="BU853" s="10">
        <v>171</v>
      </c>
      <c r="BV853" s="9" t="s">
        <v>158</v>
      </c>
      <c r="BW853" s="10">
        <v>171</v>
      </c>
      <c r="BX853" s="10">
        <v>170.5</v>
      </c>
      <c r="BY853" s="10">
        <v>130</v>
      </c>
      <c r="BZ853" s="10">
        <v>127</v>
      </c>
      <c r="CA853" s="10">
        <v>127</v>
      </c>
      <c r="CB853" s="10">
        <v>86</v>
      </c>
      <c r="CC853" s="10">
        <v>103</v>
      </c>
      <c r="CD853" s="10">
        <v>13.8</v>
      </c>
      <c r="CE853" s="10">
        <v>1250</v>
      </c>
      <c r="CF853" s="10">
        <v>1.34</v>
      </c>
      <c r="CG853" s="10">
        <v>1673</v>
      </c>
      <c r="CH853" s="10">
        <v>223</v>
      </c>
      <c r="CI853" s="10">
        <v>66</v>
      </c>
      <c r="CJ853" s="10">
        <v>74</v>
      </c>
      <c r="CK853" s="10">
        <v>353</v>
      </c>
      <c r="CL853" s="10">
        <v>4</v>
      </c>
      <c r="CM853" s="10">
        <v>49</v>
      </c>
      <c r="CN853" s="10">
        <v>4.8000000000000001E-2</v>
      </c>
      <c r="CO853" s="10">
        <v>198</v>
      </c>
      <c r="CP853" s="10">
        <v>240</v>
      </c>
      <c r="CQ853" s="10">
        <v>154</v>
      </c>
      <c r="CR853" s="10">
        <v>5</v>
      </c>
      <c r="CS853" s="10">
        <v>11.8</v>
      </c>
      <c r="CT853" s="9" t="s">
        <v>185</v>
      </c>
      <c r="CU853" s="9" t="s">
        <v>198</v>
      </c>
      <c r="CV853" s="10"/>
      <c r="CW853" s="10"/>
      <c r="CX853" t="str">
        <f>INDEX('Data_Price '!AG$2:AG$1266,MATCH(Data!$DN853,'Data_Price '!$AT$2:$AT$1266,0))</f>
        <v>Dynastar M-Tour 87 CA Ski 2022</v>
      </c>
      <c r="CY853" t="str">
        <f>INDEX('Data_Price '!AH$2:AH$1266,MATCH(Data!$DN853,'Data_Price '!$AT$2:$AT$1266,0))</f>
        <v>Telemark Pyrenees</v>
      </c>
      <c r="CZ853">
        <f>INDEX('Data_Price '!AI$2:AI$1266,MATCH(Data!$DN853,'Data_Price '!$AT$2:$AT$1266,0))</f>
        <v>384.97</v>
      </c>
      <c r="DA853" t="str">
        <f>INDEX('Data_Price '!AJ$2:AJ$1266,MATCH(Data!$DN853,'Data_Price '!$AT$2:$AT$1266,0))</f>
        <v>https://tinyurl.com/y8oohnzs</v>
      </c>
      <c r="DB853" t="str">
        <f>INDEX('Data_Price '!AK$2:AK$1266,MATCH(Data!$DN853,'Data_Price '!$AT$2:$AT$1266,0))</f>
        <v>Dynastar M-Tour 87 CA Ski Only Skis, 171cm Black/Blue 2022</v>
      </c>
      <c r="DC853" t="str">
        <f>INDEX('Data_Price '!AL$2:AL$1266,MATCH(Data!$DN853,'Data_Price '!$AT$2:$AT$1266,0))</f>
        <v>Absolute-Snow.co.uk</v>
      </c>
      <c r="DD853">
        <f>INDEX('Data_Price '!AM$2:AM$1266,MATCH(Data!$DN853,'Data_Price '!$AT$2:$AT$1266,0))</f>
        <v>585.96</v>
      </c>
      <c r="DE853" t="str">
        <f>INDEX('Data_Price '!AN$2:AN$1266,MATCH(Data!$DN853,'Data_Price '!$AT$2:$AT$1266,0))</f>
        <v>https://tinyurl.com/ybskqtl7</v>
      </c>
      <c r="DF853" t="str">
        <f>INDEX('Data_Price '!AO$2:AO$1266,MATCH(Data!$DN853,'Data_Price '!$AT$2:$AT$1266,0))</f>
        <v>18-19 Dynastar Legend X 96  Men's Demo Skis W/bindings Size 171cm</v>
      </c>
      <c r="DG853" t="str">
        <f>INDEX('Data_Price '!AP$2:AP$1266,MATCH(Data!$DN853,'Data_Price '!$AT$2:$AT$1266,0))</f>
        <v>eBay - demo-skis</v>
      </c>
      <c r="DH853">
        <f>INDEX('Data_Price '!AQ$2:AQ$1266,MATCH(Data!$DN853,'Data_Price '!$AT$2:$AT$1266,0))</f>
        <v>399</v>
      </c>
      <c r="DI853" t="str">
        <f>INDEX('Data_Price '!AR$2:AR$1266,MATCH(Data!$DN853,'Data_Price '!$AT$2:$AT$1266,0))</f>
        <v>https://tinyurl.com/y8cfj3lw</v>
      </c>
      <c r="DJ853" s="89" t="str">
        <f t="shared" si="513"/>
        <v>https://tinyurl.com/y8oohnzs</v>
      </c>
      <c r="DK853" s="89" t="str">
        <f t="shared" si="514"/>
        <v>https://tinyurl.com/ybskqtl7</v>
      </c>
      <c r="DL853" s="89" t="str">
        <f t="shared" si="515"/>
        <v>https://tinyurl.com/y8cfj3lw</v>
      </c>
      <c r="DM853" s="219" t="str">
        <f t="shared" si="516"/>
        <v>M-Tour 87 Ca</v>
      </c>
      <c r="DN853" s="89" t="str">
        <f t="shared" si="517"/>
        <v xml:space="preserve"> DynastarM-Tour 87 Ca171 Unisex</v>
      </c>
      <c r="DO853" s="221"/>
    </row>
    <row r="854" spans="2:119" ht="15.6" customHeight="1">
      <c r="B854" s="219" t="b">
        <f t="array" ref="B854">IF(OR(ISERROR(K854:P854)),FALSE,TRUE)</f>
        <v>1</v>
      </c>
      <c r="C854" s="43" t="b">
        <f>OR(BR854=Driver!$G$50,Data!BR139=Driver!$H$50)</f>
        <v>1</v>
      </c>
      <c r="D854" s="43" t="b">
        <f>OR(BV854=Driver!$G$51,BV854=Driver!$H$51)</f>
        <v>0</v>
      </c>
      <c r="E854" s="43" t="b">
        <f>AND(BX854&gt;Driver!$F$54,BX854&lt;Driver!$G$54)</f>
        <v>0</v>
      </c>
      <c r="F854" s="43" t="b">
        <f>CL854&gt;Driver!$F$56</f>
        <v>1</v>
      </c>
      <c r="G854" s="43" t="b">
        <f>AND(CB854&gt;Driver!$F$55,CB854&lt;Driver!$G$55)</f>
        <v>0</v>
      </c>
      <c r="H854" s="43" t="b">
        <f t="shared" si="481"/>
        <v>0</v>
      </c>
      <c r="I854" s="43">
        <f t="shared" si="482"/>
        <v>0</v>
      </c>
      <c r="J854" s="43" t="b">
        <f t="array" ref="J854">NOT(OR(($H$9:$H$1273=TRUE)*($I$9:$I$1273&gt;0)*($BT$9:$BT$1273=BT854)*($K$9:$K$1273&gt;K854)))</f>
        <v>1</v>
      </c>
      <c r="K854" s="72">
        <f t="shared" si="483"/>
        <v>0.77376682042870049</v>
      </c>
      <c r="L854" s="72">
        <f t="shared" si="484"/>
        <v>0.80089299100736477</v>
      </c>
      <c r="M854" s="72">
        <f t="shared" si="485"/>
        <v>0.74664064985003609</v>
      </c>
      <c r="N854" s="72">
        <f t="shared" si="486"/>
        <v>0.75052100218775297</v>
      </c>
      <c r="O854" s="72">
        <f t="shared" si="487"/>
        <v>0.60881643507642824</v>
      </c>
      <c r="P854" s="72">
        <f t="shared" si="488"/>
        <v>0.88058451228592705</v>
      </c>
      <c r="Q854" s="72"/>
      <c r="R854" s="72"/>
      <c r="S854" s="72">
        <f t="shared" si="489"/>
        <v>0.40189731611245694</v>
      </c>
      <c r="T854" s="72">
        <f t="shared" si="490"/>
        <v>0.52326976890414256</v>
      </c>
      <c r="U854" s="72">
        <f t="shared" si="491"/>
        <v>0.82550839566869305</v>
      </c>
      <c r="V854" s="72">
        <f t="shared" si="492"/>
        <v>0.50830026728919186</v>
      </c>
      <c r="W854" s="72">
        <f t="shared" si="493"/>
        <v>0.93695280437756501</v>
      </c>
      <c r="X854" s="72">
        <f t="shared" si="494"/>
        <v>0.19910700899263517</v>
      </c>
      <c r="Y854" s="72">
        <f t="shared" si="495"/>
        <v>0.25335935014996391</v>
      </c>
      <c r="Z854" s="72">
        <f t="shared" si="496"/>
        <v>0.24947899781224703</v>
      </c>
      <c r="AA854" s="72">
        <f t="shared" si="497"/>
        <v>0.39118356492357176</v>
      </c>
      <c r="AB854" s="72">
        <f t="shared" si="498"/>
        <v>0.11941548771407295</v>
      </c>
      <c r="AC854" s="72"/>
      <c r="AD854" s="72"/>
      <c r="AE854" s="72">
        <f t="shared" si="499"/>
        <v>0.59810268388754306</v>
      </c>
      <c r="AF854" s="72">
        <f t="shared" si="500"/>
        <v>0.47673023109585738</v>
      </c>
      <c r="AG854" s="72">
        <f t="shared" si="501"/>
        <v>0.17449160433130695</v>
      </c>
      <c r="AH854" s="72">
        <f t="shared" si="502"/>
        <v>0.49169973271080814</v>
      </c>
      <c r="AI854" s="72">
        <f t="shared" si="503"/>
        <v>6.3047195622435048E-2</v>
      </c>
      <c r="AJ854" s="72">
        <f>(AV854-Driver!$K$179)/(Driver!$L$179-Driver!$K$179)</f>
        <v>5.5112400290065262E-2</v>
      </c>
      <c r="AK854" s="72">
        <f>(AW854-Driver!$K$180)/(Driver!$L$180-Driver!$K$180)</f>
        <v>0.15025152640944159</v>
      </c>
      <c r="AL854" s="72">
        <f>(AX854-Driver!$K$181)/(Driver!$L$181-Driver!$K$181)</f>
        <v>0.35116676152532722</v>
      </c>
      <c r="AM854" s="72">
        <f>(AY854-Driver!$K$182)/(Driver!$L$182-Driver!$K$182)</f>
        <v>5.6201456173474579E-2</v>
      </c>
      <c r="AN854" s="72">
        <f>(AZ854-Driver!$K$183)/(Driver!$L$183-Driver!$K$183)</f>
        <v>0.13480392156862747</v>
      </c>
      <c r="AO854" s="72"/>
      <c r="AP854" s="72"/>
      <c r="AQ854" s="72">
        <f>(BC854-Driver!$K$188)/(Driver!$L$188-Driver!$K$188)</f>
        <v>2.189731611245695E-2</v>
      </c>
      <c r="AR854" s="72">
        <f>MIN((BD854-Driver!$K$189)/(Driver!$L$189-Driver!$K$189),100%)</f>
        <v>7.3269768904142649E-2</v>
      </c>
      <c r="AS854" s="72">
        <f>(BE854-Driver!$K$190)/(Driver!$L$190-Driver!$K$190)</f>
        <v>0.33550839566869306</v>
      </c>
      <c r="AT854" s="72">
        <f>(BF854-Driver!$K$191)/(Driver!$L$191-Driver!$K$191)</f>
        <v>1.8300267289191874E-2</v>
      </c>
      <c r="AU854" s="72">
        <f>(BG854-Driver!$K$192)/(Driver!$L$192-Driver!$K$192)</f>
        <v>0.18695280437756495</v>
      </c>
      <c r="AV854" s="70">
        <f t="shared" si="504"/>
        <v>1.15995115995116</v>
      </c>
      <c r="AW854" s="70">
        <f t="shared" si="505"/>
        <v>16.515235234019798</v>
      </c>
      <c r="AX854" s="70">
        <f t="shared" si="506"/>
        <v>4.1605008537279451</v>
      </c>
      <c r="AY854" s="70">
        <f>IFERROR(Driver!$K$19/Data!BH854/Data!BI854*Data!BK854*Data!BL854,"")</f>
        <v>6.8807351252386115E-2</v>
      </c>
      <c r="AZ854" s="70">
        <f t="shared" si="507"/>
        <v>12.285927029039465</v>
      </c>
      <c r="BA854" s="70"/>
      <c r="BB854" s="70"/>
      <c r="BC854" s="70">
        <f t="shared" si="508"/>
        <v>11.358290095203357</v>
      </c>
      <c r="BD854" s="70">
        <f t="shared" si="509"/>
        <v>8.2050676057660823</v>
      </c>
      <c r="BE854" s="70">
        <f t="shared" si="510"/>
        <v>0.33562693349173417</v>
      </c>
      <c r="BF854" s="70">
        <f t="shared" si="511"/>
        <v>2.06688662366015</v>
      </c>
      <c r="BG854" s="70">
        <f t="shared" si="512"/>
        <v>0.70792258036935696</v>
      </c>
      <c r="BH854" s="67">
        <f>MAX((CE854-Driver!$F$200)/(Driver!$G$200-Driver!$F$200)*$BI$1,1)</f>
        <v>4.1605008537279451</v>
      </c>
      <c r="BI854" s="67">
        <f>MAX($BI$1*(BY854-Driver!$F$201)/(Driver!$G$201-Driver!$F$201),1)</f>
        <v>6.962025316455696</v>
      </c>
      <c r="BJ854" s="67">
        <f>(CB854-Driver!$F$206)/(Driver!$G$206-Driver!$F$206)*$BI$1</f>
        <v>3.0158730158730158</v>
      </c>
      <c r="BK854" s="67">
        <f>(CD854-Driver!$F$203)/(Driver!$G$203-Driver!$F$203)*$BI$1</f>
        <v>1.6055045871559634</v>
      </c>
      <c r="BL854" s="67">
        <f>MAX((CR854-Driver!$F$202)/(Driver!$G$202-Driver!$F$202)*$BI$1,1)</f>
        <v>6.2068965517241379</v>
      </c>
      <c r="BM854" s="67">
        <f>MAX((CH854-Driver!$F$204)/(Driver!$G$204-Driver!$F$204)*$BI$1,1)</f>
        <v>1.5384615384615385</v>
      </c>
      <c r="BN854" s="67">
        <f>(CI854-Driver!$F$205)/(Driver!$G$205-Driver!$F$205)*$BI$1</f>
        <v>1.7647058823529413</v>
      </c>
      <c r="BO854" s="67">
        <f>(CK854-Driver!$F$207)/(Driver!$G$207-Driver!$F$207)*$BI$1</f>
        <v>0.74457083764219234</v>
      </c>
      <c r="BP854" s="67">
        <f>(CM854-Driver!$F$208)/(Driver!$G$208-Driver!$F$208)*$BI$1</f>
        <v>1.4777777777777779</v>
      </c>
      <c r="BQ854" s="67">
        <f>(CL854-Driver!$F$209)/(Driver!$G$209-Driver!$F$209)*$BI$1</f>
        <v>4.53125</v>
      </c>
      <c r="BR854" s="28" t="s">
        <v>155</v>
      </c>
      <c r="BS854" s="8" t="s">
        <v>156</v>
      </c>
      <c r="BT854" s="9" t="s">
        <v>784</v>
      </c>
      <c r="BU854" s="10">
        <v>150</v>
      </c>
      <c r="BV854" s="9" t="s">
        <v>385</v>
      </c>
      <c r="BW854" s="10">
        <v>150</v>
      </c>
      <c r="BX854" s="10">
        <v>149.80000000000001</v>
      </c>
      <c r="BY854" s="10">
        <v>118</v>
      </c>
      <c r="BZ854" s="10">
        <v>131</v>
      </c>
      <c r="CA854" s="10">
        <v>121</v>
      </c>
      <c r="CB854" s="10">
        <v>83</v>
      </c>
      <c r="CC854" s="10">
        <v>110</v>
      </c>
      <c r="CD854" s="10">
        <v>12.9</v>
      </c>
      <c r="CE854" s="10">
        <v>1631</v>
      </c>
      <c r="CF854" s="10">
        <v>0.87</v>
      </c>
      <c r="CG854" s="10">
        <v>1427</v>
      </c>
      <c r="CH854" s="10">
        <v>137</v>
      </c>
      <c r="CI854" s="10">
        <v>63</v>
      </c>
      <c r="CJ854" s="10">
        <v>41</v>
      </c>
      <c r="CK854" s="10">
        <v>182</v>
      </c>
      <c r="CL854" s="10">
        <v>29</v>
      </c>
      <c r="CM854" s="10">
        <v>133</v>
      </c>
      <c r="CN854" s="10">
        <v>0.69899999999999995</v>
      </c>
      <c r="CO854" s="10">
        <v>89</v>
      </c>
      <c r="CP854" s="10">
        <v>98</v>
      </c>
      <c r="CQ854" s="10">
        <v>93</v>
      </c>
      <c r="CR854" s="10">
        <v>7</v>
      </c>
      <c r="CS854" s="10">
        <v>5</v>
      </c>
      <c r="CT854" s="9" t="s">
        <v>188</v>
      </c>
      <c r="CU854" s="10"/>
      <c r="CV854" s="10"/>
      <c r="CW854" s="10"/>
      <c r="CX854" t="str">
        <f>INDEX('Data_Price '!AG$2:AG$1266,MATCH(Data!$DN854,'Data_Price '!$AT$2:$AT$1266,0))</f>
        <v>Atomic Bent Chetler Jr Skis 2022</v>
      </c>
      <c r="CY854" t="str">
        <f>INDEX('Data_Price '!AH$2:AH$1266,MATCH(Data!$DN854,'Data_Price '!$AT$2:$AT$1266,0))</f>
        <v>Curated</v>
      </c>
      <c r="CZ854">
        <f>INDEX('Data_Price '!AI$2:AI$1266,MATCH(Data!$DN854,'Data_Price '!$AT$2:$AT$1266,0))</f>
        <v>207.99</v>
      </c>
      <c r="DA854" t="str">
        <f>INDEX('Data_Price '!AJ$2:AJ$1266,MATCH(Data!$DN854,'Data_Price '!$AT$2:$AT$1266,0))</f>
        <v>https://tinyurl.com/ybpq3xdx</v>
      </c>
      <c r="DB854" t="str">
        <f>INDEX('Data_Price '!AK$2:AK$1266,MATCH(Data!$DN854,'Data_Price '!$AT$2:$AT$1266,0))</f>
        <v>Atomic Bent Chetler Jr Skis 2022</v>
      </c>
      <c r="DC854" t="str">
        <f>INDEX('Data_Price '!AL$2:AL$1266,MATCH(Data!$DN854,'Data_Price '!$AT$2:$AT$1266,0))</f>
        <v>evo.com</v>
      </c>
      <c r="DD854">
        <f>INDEX('Data_Price '!AM$2:AM$1266,MATCH(Data!$DN854,'Data_Price '!$AT$2:$AT$1266,0))</f>
        <v>233.99</v>
      </c>
      <c r="DE854" t="str">
        <f>INDEX('Data_Price '!AN$2:AN$1266,MATCH(Data!$DN854,'Data_Price '!$AT$2:$AT$1266,0))</f>
        <v>https://tinyurl.com/y8hkbazq</v>
      </c>
      <c r="DF854" t="str">
        <f>INDEX('Data_Price '!AO$2:AO$1266,MATCH(Data!$DN854,'Data_Price '!$AT$2:$AT$1266,0))</f>
        <v>Bent Chetler Jr Ski - 2022 - Kids' Grey, 150cm - Excellent</v>
      </c>
      <c r="DG854" t="str">
        <f>INDEX('Data_Price '!AP$2:AP$1266,MATCH(Data!$DN854,'Data_Price '!$AT$2:$AT$1266,0))</f>
        <v>Geartrade.com</v>
      </c>
      <c r="DH854">
        <f>INDEX('Data_Price '!AQ$2:AQ$1266,MATCH(Data!$DN854,'Data_Price '!$AT$2:$AT$1266,0))</f>
        <v>153.63999999999999</v>
      </c>
      <c r="DI854" t="str">
        <f>INDEX('Data_Price '!AR$2:AR$1266,MATCH(Data!$DN854,'Data_Price '!$AT$2:$AT$1266,0))</f>
        <v>https://tinyurl.com/ybtsg33k</v>
      </c>
      <c r="DJ854" s="89" t="str">
        <f t="shared" si="513"/>
        <v>https://tinyurl.com/ybpq3xdx</v>
      </c>
      <c r="DK854" s="89" t="str">
        <f t="shared" si="514"/>
        <v>https://tinyurl.com/y8hkbazq</v>
      </c>
      <c r="DL854" s="89" t="str">
        <f t="shared" si="515"/>
        <v>https://tinyurl.com/ybtsg33k</v>
      </c>
      <c r="DM854" s="219" t="str">
        <f t="shared" si="516"/>
        <v>Bent Chetler JR</v>
      </c>
      <c r="DN854" s="89" t="str">
        <f t="shared" si="517"/>
        <v xml:space="preserve"> AtomicBent Chetler JR150 Junior</v>
      </c>
      <c r="DO854" s="221" t="s">
        <v>785</v>
      </c>
    </row>
    <row r="855" spans="2:119" ht="15.6" customHeight="1">
      <c r="B855" s="219" t="b">
        <f t="array" ref="B855">IF(OR(ISERROR(K855:P855)),FALSE,TRUE)</f>
        <v>1</v>
      </c>
      <c r="C855" s="43" t="b">
        <f>OR(BR855=Driver!$G$50,Data!BR1265=Driver!$H$50)</f>
        <v>1</v>
      </c>
      <c r="D855" s="43" t="b">
        <f>OR(BV855=Driver!$G$51,BV855=Driver!$H$51)</f>
        <v>0</v>
      </c>
      <c r="E855" s="43" t="b">
        <f>AND(BX855&gt;Driver!$F$54,BX855&lt;Driver!$G$54)</f>
        <v>0</v>
      </c>
      <c r="F855" s="43" t="b">
        <f>CL855&gt;Driver!$F$56</f>
        <v>1</v>
      </c>
      <c r="G855" s="43" t="b">
        <f>AND(CB855&gt;Driver!$F$55,CB855&lt;Driver!$G$55)</f>
        <v>0</v>
      </c>
      <c r="H855" s="43" t="b">
        <f t="shared" si="481"/>
        <v>0</v>
      </c>
      <c r="I855" s="43">
        <f t="shared" si="482"/>
        <v>0</v>
      </c>
      <c r="J855" s="43" t="b">
        <f t="array" ref="J855">NOT(OR(($H$9:$H$1273=TRUE)*($I$9:$I$1273&gt;0)*($BT$9:$BT$1273=BT855)*($K$9:$K$1273&gt;K855)))</f>
        <v>1</v>
      </c>
      <c r="K855" s="72">
        <f t="shared" si="483"/>
        <v>0.82012238056033548</v>
      </c>
      <c r="L855" s="72">
        <f t="shared" si="484"/>
        <v>0.99944541846810053</v>
      </c>
      <c r="M855" s="72">
        <f t="shared" si="485"/>
        <v>0.64079934265257044</v>
      </c>
      <c r="N855" s="72">
        <f t="shared" si="486"/>
        <v>0.56080368099632805</v>
      </c>
      <c r="O855" s="72">
        <f t="shared" si="487"/>
        <v>0.61003016643685237</v>
      </c>
      <c r="P855" s="72">
        <f t="shared" si="488"/>
        <v>0.75156418052453056</v>
      </c>
      <c r="Q855" s="72"/>
      <c r="R855" s="72"/>
      <c r="S855" s="72">
        <f t="shared" si="489"/>
        <v>0.51332430714554522</v>
      </c>
      <c r="T855" s="72">
        <f t="shared" si="490"/>
        <v>0.50918640876002852</v>
      </c>
      <c r="U855" s="72">
        <f t="shared" si="491"/>
        <v>0.60743520345461954</v>
      </c>
      <c r="V855" s="72">
        <f t="shared" si="492"/>
        <v>0.54166546071854715</v>
      </c>
      <c r="W855" s="72">
        <f t="shared" si="493"/>
        <v>0.77742483026188169</v>
      </c>
      <c r="X855" s="72">
        <f t="shared" si="494"/>
        <v>5.5458153189952286E-4</v>
      </c>
      <c r="Y855" s="72">
        <f t="shared" si="495"/>
        <v>0.35920065734742962</v>
      </c>
      <c r="Z855" s="72">
        <f t="shared" si="496"/>
        <v>0.43919631900367195</v>
      </c>
      <c r="AA855" s="72">
        <f t="shared" si="497"/>
        <v>0.38996983356314757</v>
      </c>
      <c r="AB855" s="72">
        <f t="shared" si="498"/>
        <v>0.2484358194754695</v>
      </c>
      <c r="AC855" s="72"/>
      <c r="AD855" s="72"/>
      <c r="AE855" s="72">
        <f t="shared" si="499"/>
        <v>0.48667569285445478</v>
      </c>
      <c r="AF855" s="72">
        <f t="shared" si="500"/>
        <v>0.49081359123997148</v>
      </c>
      <c r="AG855" s="72">
        <f t="shared" si="501"/>
        <v>0.3925647965453804</v>
      </c>
      <c r="AH855" s="72">
        <f t="shared" si="502"/>
        <v>0.45833453928145279</v>
      </c>
      <c r="AI855" s="72">
        <f t="shared" si="503"/>
        <v>0.22257516973811833</v>
      </c>
      <c r="AJ855" s="72">
        <f>(AV855-Driver!$K$179)/(Driver!$L$179-Driver!$K$179)</f>
        <v>0.25477399081459995</v>
      </c>
      <c r="AK855" s="72">
        <f>(AW855-Driver!$K$180)/(Driver!$L$180-Driver!$K$180)</f>
        <v>0.51178489844639741</v>
      </c>
      <c r="AL855" s="72">
        <f>(AX855-Driver!$K$181)/(Driver!$L$181-Driver!$K$181)</f>
        <v>0.54088408271675215</v>
      </c>
      <c r="AM855" s="72">
        <f>(AY855-Driver!$K$182)/(Driver!$L$182-Driver!$K$182)</f>
        <v>5.7415187533898772E-2</v>
      </c>
      <c r="AN855" s="72">
        <f>(AZ855-Driver!$K$183)/(Driver!$L$183-Driver!$K$183)</f>
        <v>0.50265522875816993</v>
      </c>
      <c r="AO855" s="72"/>
      <c r="AP855" s="72"/>
      <c r="AQ855" s="72">
        <f>(BC855-Driver!$K$188)/(Driver!$L$188-Driver!$K$188)</f>
        <v>0.13332430714554525</v>
      </c>
      <c r="AR855" s="72">
        <f>MIN((BD855-Driver!$K$189)/(Driver!$L$189-Driver!$K$189),100%)</f>
        <v>5.9186408760028564E-2</v>
      </c>
      <c r="AS855" s="72">
        <f>(BE855-Driver!$K$190)/(Driver!$L$190-Driver!$K$190)</f>
        <v>0.11743520345461961</v>
      </c>
      <c r="AT855" s="72">
        <f>(BF855-Driver!$K$191)/(Driver!$L$191-Driver!$K$191)</f>
        <v>5.1665460718547232E-2</v>
      </c>
      <c r="AU855" s="72">
        <f>(BG855-Driver!$K$192)/(Driver!$L$192-Driver!$K$192)</f>
        <v>2.7424830261881659E-2</v>
      </c>
      <c r="AV855" s="70">
        <f t="shared" si="504"/>
        <v>5.3622303622303624</v>
      </c>
      <c r="AW855" s="70">
        <f t="shared" si="505"/>
        <v>51.749865850585529</v>
      </c>
      <c r="AX855" s="70">
        <f t="shared" si="506"/>
        <v>5.867956744450769</v>
      </c>
      <c r="AY855" s="70">
        <f>IFERROR(Driver!$K$19/Data!BH855/Data!BI855*Data!BK855*Data!BL855,"")</f>
        <v>7.0293320580030683E-2</v>
      </c>
      <c r="AZ855" s="70">
        <f t="shared" si="507"/>
        <v>45.811615785554729</v>
      </c>
      <c r="BA855" s="70"/>
      <c r="BB855" s="70"/>
      <c r="BC855" s="70">
        <f t="shared" si="508"/>
        <v>69.15624497194068</v>
      </c>
      <c r="BD855" s="70">
        <f t="shared" si="509"/>
        <v>6.958715187249541</v>
      </c>
      <c r="BE855" s="70">
        <f t="shared" si="510"/>
        <v>0.11759264308063339</v>
      </c>
      <c r="BF855" s="70">
        <f t="shared" si="511"/>
        <v>5.8352508177556688</v>
      </c>
      <c r="BG855" s="70">
        <f t="shared" si="512"/>
        <v>0.10384790252182345</v>
      </c>
      <c r="BH855" s="67">
        <f>MAX((CE855-Driver!$F$200)/(Driver!$G$200-Driver!$F$200)*$BI$1,1)</f>
        <v>5.867956744450769</v>
      </c>
      <c r="BI855" s="67">
        <f>MAX($BI$1*(BY855-Driver!$F$201)/(Driver!$G$201-Driver!$F$201),1)</f>
        <v>7.2784810126582276</v>
      </c>
      <c r="BJ855" s="67">
        <f>(CB855-Driver!$F$206)/(Driver!$G$206-Driver!$F$206)*$BI$1</f>
        <v>4.92063492063492</v>
      </c>
      <c r="BK855" s="67">
        <f>(CD855-Driver!$F$203)/(Driver!$G$203-Driver!$F$203)*$BI$1</f>
        <v>3.3486238532110093</v>
      </c>
      <c r="BL855" s="67">
        <f>MAX((CR855-Driver!$F$202)/(Driver!$G$202-Driver!$F$202)*$BI$1,1)</f>
        <v>4.4827586206896548</v>
      </c>
      <c r="BM855" s="67">
        <f>MAX((CH855-Driver!$F$204)/(Driver!$G$204-Driver!$F$204)*$BI$1,1)</f>
        <v>4.3589743589743595</v>
      </c>
      <c r="BN855" s="67">
        <f>(CI855-Driver!$F$205)/(Driver!$G$205-Driver!$F$205)*$BI$1</f>
        <v>6.2941176470588234</v>
      </c>
      <c r="BO855" s="67">
        <f>(CK855-Driver!$F$207)/(Driver!$G$207-Driver!$F$207)*$BI$1</f>
        <v>1.8614270941054809</v>
      </c>
      <c r="BP855" s="67">
        <f>(CM855-Driver!$F$208)/(Driver!$G$208-Driver!$F$208)*$BI$1</f>
        <v>2.1333333333333333</v>
      </c>
      <c r="BQ855" s="67">
        <f>(CL855-Driver!$F$209)/(Driver!$G$209-Driver!$F$209)*$BI$1</f>
        <v>2.65625</v>
      </c>
      <c r="BR855" s="28" t="s">
        <v>155</v>
      </c>
      <c r="BS855" s="8" t="s">
        <v>229</v>
      </c>
      <c r="BT855" s="9" t="s">
        <v>319</v>
      </c>
      <c r="BU855" s="10">
        <v>170</v>
      </c>
      <c r="BV855" s="9" t="s">
        <v>163</v>
      </c>
      <c r="BW855" s="10">
        <v>170</v>
      </c>
      <c r="BX855" s="10">
        <v>170.8</v>
      </c>
      <c r="BY855" s="10">
        <v>123</v>
      </c>
      <c r="BZ855" s="10">
        <v>147</v>
      </c>
      <c r="CA855" s="10">
        <v>134</v>
      </c>
      <c r="CB855" s="10">
        <v>95</v>
      </c>
      <c r="CC855" s="10">
        <v>118</v>
      </c>
      <c r="CD855" s="10">
        <v>16.7</v>
      </c>
      <c r="CE855" s="10">
        <v>1931</v>
      </c>
      <c r="CF855" s="10">
        <v>0.95</v>
      </c>
      <c r="CG855" s="10">
        <v>1838</v>
      </c>
      <c r="CH855" s="10">
        <v>203</v>
      </c>
      <c r="CI855" s="10">
        <v>140</v>
      </c>
      <c r="CJ855" s="10">
        <v>44</v>
      </c>
      <c r="CK855" s="10">
        <v>290</v>
      </c>
      <c r="CL855" s="10">
        <v>17</v>
      </c>
      <c r="CM855" s="10">
        <v>192</v>
      </c>
      <c r="CN855" s="10">
        <v>0.38600000000000001</v>
      </c>
      <c r="CO855" s="10">
        <v>129</v>
      </c>
      <c r="CP855" s="10">
        <v>106</v>
      </c>
      <c r="CQ855" s="10">
        <v>161</v>
      </c>
      <c r="CR855" s="10">
        <v>2</v>
      </c>
      <c r="CS855" s="10">
        <v>11.7</v>
      </c>
      <c r="CT855" s="9" t="s">
        <v>188</v>
      </c>
      <c r="CU855" s="10"/>
      <c r="CV855" s="10"/>
      <c r="CW855" s="10"/>
      <c r="CX855" t="e">
        <f>INDEX('Data_Price '!AG$2:AG$1266,MATCH(Data!$DN855,'Data_Price '!$AT$2:$AT$1266,0))</f>
        <v>#N/A</v>
      </c>
      <c r="CY855" t="e">
        <f>INDEX('Data_Price '!AH$2:AH$1266,MATCH(Data!$DN855,'Data_Price '!$AT$2:$AT$1266,0))</f>
        <v>#N/A</v>
      </c>
      <c r="CZ855" t="e">
        <f>INDEX('Data_Price '!AI$2:AI$1266,MATCH(Data!$DN855,'Data_Price '!$AT$2:$AT$1266,0))</f>
        <v>#N/A</v>
      </c>
      <c r="DA855" t="e">
        <f>INDEX('Data_Price '!AJ$2:AJ$1266,MATCH(Data!$DN855,'Data_Price '!$AT$2:$AT$1266,0))</f>
        <v>#N/A</v>
      </c>
      <c r="DB855" t="e">
        <f>INDEX('Data_Price '!AK$2:AK$1266,MATCH(Data!$DN855,'Data_Price '!$AT$2:$AT$1266,0))</f>
        <v>#N/A</v>
      </c>
      <c r="DC855" t="e">
        <f>INDEX('Data_Price '!AL$2:AL$1266,MATCH(Data!$DN855,'Data_Price '!$AT$2:$AT$1266,0))</f>
        <v>#N/A</v>
      </c>
      <c r="DD855" t="e">
        <f>INDEX('Data_Price '!AM$2:AM$1266,MATCH(Data!$DN855,'Data_Price '!$AT$2:$AT$1266,0))</f>
        <v>#N/A</v>
      </c>
      <c r="DE855" t="e">
        <f>INDEX('Data_Price '!AN$2:AN$1266,MATCH(Data!$DN855,'Data_Price '!$AT$2:$AT$1266,0))</f>
        <v>#N/A</v>
      </c>
      <c r="DF855" t="e">
        <f>INDEX('Data_Price '!AO$2:AO$1266,MATCH(Data!$DN855,'Data_Price '!$AT$2:$AT$1266,0))</f>
        <v>#N/A</v>
      </c>
      <c r="DG855" t="e">
        <f>INDEX('Data_Price '!AP$2:AP$1266,MATCH(Data!$DN855,'Data_Price '!$AT$2:$AT$1266,0))</f>
        <v>#N/A</v>
      </c>
      <c r="DH855" t="e">
        <f>INDEX('Data_Price '!AQ$2:AQ$1266,MATCH(Data!$DN855,'Data_Price '!$AT$2:$AT$1266,0))</f>
        <v>#N/A</v>
      </c>
      <c r="DI855" t="e">
        <f>INDEX('Data_Price '!AR$2:AR$1266,MATCH(Data!$DN855,'Data_Price '!$AT$2:$AT$1266,0))</f>
        <v>#N/A</v>
      </c>
      <c r="DJ855" s="89" t="e">
        <f t="shared" si="513"/>
        <v>#N/A</v>
      </c>
      <c r="DK855" s="89" t="e">
        <f t="shared" si="514"/>
        <v>#N/A</v>
      </c>
      <c r="DL855" s="89" t="e">
        <f t="shared" si="515"/>
        <v>#N/A</v>
      </c>
      <c r="DM855" s="219" t="str">
        <f t="shared" si="516"/>
        <v>Secret 96</v>
      </c>
      <c r="DN855" s="89" t="str">
        <f t="shared" si="517"/>
        <v xml:space="preserve"> VölklSecret 96170 Women's</v>
      </c>
      <c r="DO855" s="221" t="s">
        <v>320</v>
      </c>
    </row>
    <row r="856" spans="2:119" ht="15.6" customHeight="1">
      <c r="B856" s="219" t="b">
        <f t="array" ref="B856">IF(OR(ISERROR(K856:P856)),FALSE,TRUE)</f>
        <v>1</v>
      </c>
      <c r="C856" s="43" t="b">
        <f>OR(BR856=Driver!$G$50,Data!BR604=Driver!$H$50)</f>
        <v>1</v>
      </c>
      <c r="D856" s="43" t="b">
        <f>OR(BV856=Driver!$G$51,BV856=Driver!$H$51)</f>
        <v>1</v>
      </c>
      <c r="E856" s="43" t="b">
        <f>AND(BX856&gt;Driver!$F$54,BX856&lt;Driver!$G$54)</f>
        <v>0</v>
      </c>
      <c r="F856" s="43" t="b">
        <f>CL856&gt;Driver!$F$56</f>
        <v>1</v>
      </c>
      <c r="G856" s="43" t="b">
        <f>AND(CB856&gt;Driver!$F$55,CB856&lt;Driver!$G$55)</f>
        <v>1</v>
      </c>
      <c r="H856" s="43" t="b">
        <f t="shared" si="481"/>
        <v>0</v>
      </c>
      <c r="I856" s="43">
        <f t="shared" si="482"/>
        <v>0</v>
      </c>
      <c r="J856" s="43" t="b">
        <f t="array" ref="J856">NOT(OR(($H$9:$H$1273=TRUE)*($I$9:$I$1273&gt;0)*($BT$9:$BT$1273=BT856)*($K$9:$K$1273&gt;K856)))</f>
        <v>1</v>
      </c>
      <c r="K856" s="72">
        <f t="shared" si="483"/>
        <v>0.66010246018429819</v>
      </c>
      <c r="L856" s="72">
        <f t="shared" si="484"/>
        <v>0.59125913210922532</v>
      </c>
      <c r="M856" s="72">
        <f t="shared" si="485"/>
        <v>0.72894578825937084</v>
      </c>
      <c r="N856" s="72">
        <f t="shared" si="486"/>
        <v>0.68348754870011619</v>
      </c>
      <c r="O856" s="72">
        <f t="shared" si="487"/>
        <v>0.6766222368606557</v>
      </c>
      <c r="P856" s="72">
        <f t="shared" si="488"/>
        <v>0.82672757921734097</v>
      </c>
      <c r="Q856" s="72"/>
      <c r="R856" s="72"/>
      <c r="S856" s="72">
        <f t="shared" si="489"/>
        <v>0.51559133537785751</v>
      </c>
      <c r="T856" s="72">
        <f t="shared" si="490"/>
        <v>0.50178773436744084</v>
      </c>
      <c r="U856" s="72">
        <f t="shared" si="491"/>
        <v>0.5859136661195512</v>
      </c>
      <c r="V856" s="72">
        <f t="shared" si="492"/>
        <v>0.55596338753404306</v>
      </c>
      <c r="W856" s="72">
        <f t="shared" si="493"/>
        <v>0.7716778793628889</v>
      </c>
      <c r="X856" s="72">
        <f t="shared" si="494"/>
        <v>0.40874086789077463</v>
      </c>
      <c r="Y856" s="72">
        <f t="shared" si="495"/>
        <v>0.2710542117406291</v>
      </c>
      <c r="Z856" s="72">
        <f t="shared" si="496"/>
        <v>0.31651245129988387</v>
      </c>
      <c r="AA856" s="72">
        <f t="shared" si="497"/>
        <v>0.3233777631393443</v>
      </c>
      <c r="AB856" s="72">
        <f t="shared" si="498"/>
        <v>0.17327242078265898</v>
      </c>
      <c r="AC856" s="72"/>
      <c r="AD856" s="72"/>
      <c r="AE856" s="72">
        <f t="shared" si="499"/>
        <v>0.48440866462214249</v>
      </c>
      <c r="AF856" s="72">
        <f t="shared" si="500"/>
        <v>0.4982122656325591</v>
      </c>
      <c r="AG856" s="72">
        <f t="shared" si="501"/>
        <v>0.41408633388044885</v>
      </c>
      <c r="AH856" s="72">
        <f t="shared" si="502"/>
        <v>0.44403661246595694</v>
      </c>
      <c r="AI856" s="72">
        <f t="shared" si="503"/>
        <v>0.22832212063711116</v>
      </c>
      <c r="AJ856" s="72">
        <f>(AV856-Driver!$K$179)/(Driver!$L$179-Driver!$K$179)</f>
        <v>0.66296027717347505</v>
      </c>
      <c r="AK856" s="72">
        <f>(AW856-Driver!$K$180)/(Driver!$L$180-Driver!$K$180)</f>
        <v>0.43100249196330598</v>
      </c>
      <c r="AL856" s="72">
        <f>(AX856-Driver!$K$181)/(Driver!$L$181-Driver!$K$181)</f>
        <v>0.41820021501296406</v>
      </c>
      <c r="AM856" s="72">
        <f>(AY856-Driver!$K$182)/(Driver!$L$182-Driver!$K$182)</f>
        <v>0.12400725795770209</v>
      </c>
      <c r="AN856" s="72">
        <f>(AZ856-Driver!$K$183)/(Driver!$L$183-Driver!$K$183)</f>
        <v>0.4274918300653594</v>
      </c>
      <c r="AO856" s="72"/>
      <c r="AP856" s="72"/>
      <c r="AQ856" s="72">
        <f>(BC856-Driver!$K$188)/(Driver!$L$188-Driver!$K$188)</f>
        <v>0.13559133537785747</v>
      </c>
      <c r="AR856" s="72">
        <f>MIN((BD856-Driver!$K$189)/(Driver!$L$189-Driver!$K$189),100%)</f>
        <v>5.1787734367440948E-2</v>
      </c>
      <c r="AS856" s="72">
        <f>(BE856-Driver!$K$190)/(Driver!$L$190-Driver!$K$190)</f>
        <v>9.5913666119551155E-2</v>
      </c>
      <c r="AT856" s="72">
        <f>(BF856-Driver!$K$191)/(Driver!$L$191-Driver!$K$191)</f>
        <v>6.5963387534043086E-2</v>
      </c>
      <c r="AU856" s="72">
        <f>(BG856-Driver!$K$192)/(Driver!$L$192-Driver!$K$192)</f>
        <v>2.1677879362888848E-2</v>
      </c>
      <c r="AV856" s="70">
        <f t="shared" si="504"/>
        <v>13.953330619997287</v>
      </c>
      <c r="AW856" s="70">
        <f t="shared" si="505"/>
        <v>43.87690453386913</v>
      </c>
      <c r="AX856" s="70">
        <f t="shared" si="506"/>
        <v>4.7638019351166765</v>
      </c>
      <c r="AY856" s="70">
        <f>IFERROR(Driver!$K$19/Data!BH856/Data!BI856*Data!BK856*Data!BL856,"")</f>
        <v>0.15182188393488638</v>
      </c>
      <c r="AZ856" s="70">
        <f t="shared" si="507"/>
        <v>38.961280714817569</v>
      </c>
      <c r="BA856" s="70"/>
      <c r="BB856" s="70"/>
      <c r="BC856" s="70">
        <f t="shared" si="508"/>
        <v>70.332168276165618</v>
      </c>
      <c r="BD856" s="70">
        <f t="shared" si="509"/>
        <v>6.3039456131808205</v>
      </c>
      <c r="BE856" s="70">
        <f t="shared" si="510"/>
        <v>9.6074944945590296E-2</v>
      </c>
      <c r="BF856" s="70">
        <f t="shared" si="511"/>
        <v>7.4501012029450511</v>
      </c>
      <c r="BG856" s="70">
        <f t="shared" si="512"/>
        <v>8.208628025990454E-2</v>
      </c>
      <c r="BH856" s="67">
        <f>MAX((CE856-Driver!$F$200)/(Driver!$G$200-Driver!$F$200)*$BI$1,1)</f>
        <v>4.7638019351166765</v>
      </c>
      <c r="BI856" s="67">
        <f>MAX($BI$1*(BY856-Driver!$F$201)/(Driver!$G$201-Driver!$F$201),1)</f>
        <v>7.2784810126582276</v>
      </c>
      <c r="BJ856" s="67">
        <f>(CB856-Driver!$F$206)/(Driver!$G$206-Driver!$F$206)*$BI$1</f>
        <v>6.9841269841269842</v>
      </c>
      <c r="BK856" s="67">
        <f>(CD856-Driver!$F$203)/(Driver!$G$203-Driver!$F$203)*$BI$1</f>
        <v>4.7706422018348631</v>
      </c>
      <c r="BL856" s="67">
        <f>MAX((CR856-Driver!$F$202)/(Driver!$G$202-Driver!$F$202)*$BI$1,1)</f>
        <v>5.5172413793103452</v>
      </c>
      <c r="BM856" s="67">
        <f>MAX((CH856-Driver!$F$204)/(Driver!$G$204-Driver!$F$204)*$BI$1,1)</f>
        <v>7.9914529914529915</v>
      </c>
      <c r="BN856" s="67">
        <f>(CI856-Driver!$F$205)/(Driver!$G$205-Driver!$F$205)*$BI$1</f>
        <v>5.3529411764705879</v>
      </c>
      <c r="BO856" s="67">
        <f>(CK856-Driver!$F$207)/(Driver!$G$207-Driver!$F$207)*$BI$1</f>
        <v>1.768355739400207</v>
      </c>
      <c r="BP856" s="67">
        <f>(CM856-Driver!$F$208)/(Driver!$G$208-Driver!$F$208)*$BI$1</f>
        <v>2.8777777777777782</v>
      </c>
      <c r="BQ856" s="67">
        <f>(CL856-Driver!$F$209)/(Driver!$G$209-Driver!$F$209)*$BI$1</f>
        <v>3.125</v>
      </c>
      <c r="BR856" s="28" t="s">
        <v>155</v>
      </c>
      <c r="BS856" s="8" t="s">
        <v>167</v>
      </c>
      <c r="BT856" s="9" t="s">
        <v>786</v>
      </c>
      <c r="BU856" s="10">
        <v>177</v>
      </c>
      <c r="BV856" s="9" t="s">
        <v>158</v>
      </c>
      <c r="BW856" s="10">
        <v>177</v>
      </c>
      <c r="BX856" s="10">
        <v>176.5</v>
      </c>
      <c r="BY856" s="10">
        <v>123</v>
      </c>
      <c r="BZ856" s="10">
        <v>137</v>
      </c>
      <c r="CA856" s="10">
        <v>137</v>
      </c>
      <c r="CB856" s="10">
        <v>108</v>
      </c>
      <c r="CC856" s="10">
        <v>124</v>
      </c>
      <c r="CD856" s="10">
        <v>19.8</v>
      </c>
      <c r="CE856" s="10">
        <v>1737</v>
      </c>
      <c r="CF856" s="10">
        <v>1.2</v>
      </c>
      <c r="CG856" s="10">
        <v>2077</v>
      </c>
      <c r="CH856" s="10">
        <v>288</v>
      </c>
      <c r="CI856" s="10">
        <v>124</v>
      </c>
      <c r="CJ856" s="10">
        <v>56</v>
      </c>
      <c r="CK856" s="10">
        <v>281</v>
      </c>
      <c r="CL856" s="10">
        <v>20</v>
      </c>
      <c r="CM856" s="10">
        <v>259</v>
      </c>
      <c r="CN856" s="10">
        <v>0.35799999999999998</v>
      </c>
      <c r="CO856" s="10">
        <v>241</v>
      </c>
      <c r="CP856" s="10">
        <v>156</v>
      </c>
      <c r="CQ856" s="10">
        <v>40</v>
      </c>
      <c r="CR856" s="10">
        <v>5</v>
      </c>
      <c r="CS856" s="10">
        <v>8.5</v>
      </c>
      <c r="CT856" s="9" t="s">
        <v>169</v>
      </c>
      <c r="CU856" s="9" t="s">
        <v>178</v>
      </c>
      <c r="CV856" s="9" t="s">
        <v>185</v>
      </c>
      <c r="CW856" s="10"/>
      <c r="CX856" t="str">
        <f>INDEX('Data_Price '!AG$2:AG$1266,MATCH(Data!$DN856,'Data_Price '!$AT$2:$AT$1266,0))</f>
        <v>Head Kore 111 Skis - 2022</v>
      </c>
      <c r="CY856" t="str">
        <f>INDEX('Data_Price '!AH$2:AH$1266,MATCH(Data!$DN856,'Data_Price '!$AT$2:$AT$1266,0))</f>
        <v>! OutdoorXL.com</v>
      </c>
      <c r="CZ856">
        <f>INDEX('Data_Price '!AI$2:AI$1266,MATCH(Data!$DN856,'Data_Price '!$AT$2:$AT$1266,0))</f>
        <v>424.95</v>
      </c>
      <c r="DA856" t="str">
        <f>INDEX('Data_Price '!AJ$2:AJ$1266,MATCH(Data!$DN856,'Data_Price '!$AT$2:$AT$1266,0))</f>
        <v>https://tinyurl.com/y8yoxltr</v>
      </c>
      <c r="DB856" t="str">
        <f>INDEX('Data_Price '!AK$2:AK$1266,MATCH(Data!$DN856,'Data_Price '!$AT$2:$AT$1266,0))</f>
        <v>Head Kore 111 Skis - 2022</v>
      </c>
      <c r="DC856" t="str">
        <f>INDEX('Data_Price '!AL$2:AL$1266,MATCH(Data!$DN856,'Data_Price '!$AT$2:$AT$1266,0))</f>
        <v>Telemark Pyrenees</v>
      </c>
      <c r="DD856">
        <f>INDEX('Data_Price '!AM$2:AM$1266,MATCH(Data!$DN856,'Data_Price '!$AT$2:$AT$1266,0))</f>
        <v>430.82</v>
      </c>
      <c r="DE856" t="str">
        <f>INDEX('Data_Price '!AN$2:AN$1266,MATCH(Data!$DN856,'Data_Price '!$AT$2:$AT$1266,0))</f>
        <v>https://tinyurl.com/yc3ft3d3</v>
      </c>
      <c r="DF856" t="str">
        <f>INDEX('Data_Price '!AO$2:AO$1266,MATCH(Data!$DN856,'Data_Price '!$AT$2:$AT$1266,0))</f>
        <v>Head Kore 111 Skis - 2022</v>
      </c>
      <c r="DG856" t="str">
        <f>INDEX('Data_Price '!AP$2:AP$1266,MATCH(Data!$DN856,'Data_Price '!$AT$2:$AT$1266,0))</f>
        <v>Gorham Bike and Ski</v>
      </c>
      <c r="DH856">
        <f>INDEX('Data_Price '!AQ$2:AQ$1266,MATCH(Data!$DN856,'Data_Price '!$AT$2:$AT$1266,0))</f>
        <v>524.99</v>
      </c>
      <c r="DI856" t="str">
        <f>INDEX('Data_Price '!AR$2:AR$1266,MATCH(Data!$DN856,'Data_Price '!$AT$2:$AT$1266,0))</f>
        <v>https://tinyurl.com/yc56fgny</v>
      </c>
      <c r="DJ856" s="89" t="str">
        <f t="shared" si="513"/>
        <v>https://tinyurl.com/y8yoxltr</v>
      </c>
      <c r="DK856" s="89" t="str">
        <f t="shared" si="514"/>
        <v>https://tinyurl.com/yc3ft3d3</v>
      </c>
      <c r="DL856" s="89" t="str">
        <f t="shared" si="515"/>
        <v>https://tinyurl.com/yc56fgny</v>
      </c>
      <c r="DM856" s="219" t="str">
        <f t="shared" si="516"/>
        <v>Kore 111</v>
      </c>
      <c r="DN856" s="89" t="str">
        <f t="shared" si="517"/>
        <v xml:space="preserve"> HeadKore 111177 Unisex</v>
      </c>
      <c r="DO856" s="221" t="s">
        <v>787</v>
      </c>
    </row>
    <row r="857" spans="2:119" ht="15.6" customHeight="1">
      <c r="B857" s="219" t="b">
        <f t="array" ref="B857">IF(OR(ISERROR(K857:P857)),FALSE,TRUE)</f>
        <v>1</v>
      </c>
      <c r="C857" s="43" t="b">
        <f>OR(BR857=Driver!$G$50,Data!BR908=Driver!$H$50)</f>
        <v>1</v>
      </c>
      <c r="D857" s="43" t="b">
        <f>OR(BV857=Driver!$G$51,BV857=Driver!$H$51)</f>
        <v>1</v>
      </c>
      <c r="E857" s="43" t="b">
        <f>AND(BX857&gt;Driver!$F$54,BX857&lt;Driver!$G$54)</f>
        <v>1</v>
      </c>
      <c r="F857" s="43" t="b">
        <f>CL857&gt;Driver!$F$56</f>
        <v>1</v>
      </c>
      <c r="G857" s="43" t="b">
        <f>AND(CB857&gt;Driver!$F$55,CB857&lt;Driver!$G$55)</f>
        <v>0</v>
      </c>
      <c r="H857" s="43" t="b">
        <f t="shared" si="481"/>
        <v>0</v>
      </c>
      <c r="I857" s="43">
        <f t="shared" si="482"/>
        <v>0</v>
      </c>
      <c r="J857" s="43" t="b">
        <f t="array" ref="J857">NOT(OR(($H$9:$H$1273=TRUE)*($I$9:$I$1273&gt;0)*($BT$9:$BT$1273=BT857)*($K$9:$K$1273&gt;K857)))</f>
        <v>1</v>
      </c>
      <c r="K857" s="72">
        <f t="shared" si="483"/>
        <v>0.80706021396480687</v>
      </c>
      <c r="L857" s="72">
        <f t="shared" si="484"/>
        <v>0.96010659184533109</v>
      </c>
      <c r="M857" s="72">
        <f t="shared" si="485"/>
        <v>0.65401383608428265</v>
      </c>
      <c r="N857" s="72">
        <f t="shared" si="486"/>
        <v>0.5633332452788804</v>
      </c>
      <c r="O857" s="72">
        <f t="shared" si="487"/>
        <v>0.61630257918146303</v>
      </c>
      <c r="P857" s="72">
        <f t="shared" si="488"/>
        <v>0.78240568379250441</v>
      </c>
      <c r="Q857" s="72"/>
      <c r="R857" s="72"/>
      <c r="S857" s="72">
        <f t="shared" si="489"/>
        <v>0.48642427110435704</v>
      </c>
      <c r="T857" s="72">
        <f t="shared" si="490"/>
        <v>0.56123548059652106</v>
      </c>
      <c r="U857" s="72">
        <f t="shared" si="491"/>
        <v>0.66101204986376128</v>
      </c>
      <c r="V857" s="72">
        <f t="shared" si="492"/>
        <v>0.54396302426934862</v>
      </c>
      <c r="W857" s="72">
        <f t="shared" si="493"/>
        <v>0.7708660892738175</v>
      </c>
      <c r="X857" s="72">
        <f t="shared" si="494"/>
        <v>3.9893408154668852E-2</v>
      </c>
      <c r="Y857" s="72">
        <f t="shared" si="495"/>
        <v>0.3459861639157174</v>
      </c>
      <c r="Z857" s="72">
        <f t="shared" si="496"/>
        <v>0.4366667547211196</v>
      </c>
      <c r="AA857" s="72">
        <f t="shared" si="497"/>
        <v>0.38369742081853697</v>
      </c>
      <c r="AB857" s="72">
        <f t="shared" si="498"/>
        <v>0.21759431620749564</v>
      </c>
      <c r="AC857" s="72"/>
      <c r="AD857" s="72"/>
      <c r="AE857" s="72">
        <f t="shared" si="499"/>
        <v>0.51357572889564296</v>
      </c>
      <c r="AF857" s="72">
        <f t="shared" si="500"/>
        <v>0.43876451940347894</v>
      </c>
      <c r="AG857" s="72">
        <f t="shared" si="501"/>
        <v>0.33898795013623872</v>
      </c>
      <c r="AH857" s="72">
        <f t="shared" si="502"/>
        <v>0.45603697573065138</v>
      </c>
      <c r="AI857" s="72">
        <f t="shared" si="503"/>
        <v>0.22913391072618255</v>
      </c>
      <c r="AJ857" s="72">
        <f>(AV857-Driver!$K$179)/(Driver!$L$179-Driver!$K$179)</f>
        <v>0.21432600112803157</v>
      </c>
      <c r="AK857" s="72">
        <f>(AW857-Driver!$K$180)/(Driver!$L$180-Driver!$K$180)</f>
        <v>0.48278847953060761</v>
      </c>
      <c r="AL857" s="72">
        <f>(AX857-Driver!$K$181)/(Driver!$L$181-Driver!$K$181)</f>
        <v>0.53835451843419979</v>
      </c>
      <c r="AM857" s="72">
        <f>(AY857-Driver!$K$182)/(Driver!$L$182-Driver!$K$182)</f>
        <v>6.3687600278509365E-2</v>
      </c>
      <c r="AN857" s="72">
        <f>(AZ857-Driver!$K$183)/(Driver!$L$183-Driver!$K$183)</f>
        <v>0.47181372549019607</v>
      </c>
      <c r="AO857" s="72"/>
      <c r="AP857" s="72"/>
      <c r="AQ857" s="72">
        <f>(BC857-Driver!$K$188)/(Driver!$L$188-Driver!$K$188)</f>
        <v>0.10642427110435705</v>
      </c>
      <c r="AR857" s="72">
        <f>MIN((BD857-Driver!$K$189)/(Driver!$L$189-Driver!$K$189),100%)</f>
        <v>0.11123548059652114</v>
      </c>
      <c r="AS857" s="72">
        <f>(BE857-Driver!$K$190)/(Driver!$L$190-Driver!$K$190)</f>
        <v>0.17101204986376131</v>
      </c>
      <c r="AT857" s="72">
        <f>(BF857-Driver!$K$191)/(Driver!$L$191-Driver!$K$191)</f>
        <v>5.3963024269348625E-2</v>
      </c>
      <c r="AU857" s="72">
        <f>(BG857-Driver!$K$192)/(Driver!$L$192-Driver!$K$192)</f>
        <v>2.0866089273817449E-2</v>
      </c>
      <c r="AV857" s="70">
        <f t="shared" si="504"/>
        <v>4.5109211775878446</v>
      </c>
      <c r="AW857" s="70">
        <f t="shared" si="505"/>
        <v>48.923907892832688</v>
      </c>
      <c r="AX857" s="70">
        <f t="shared" si="506"/>
        <v>5.8451906659077979</v>
      </c>
      <c r="AY857" s="70">
        <f>IFERROR(Driver!$K$19/Data!BH857/Data!BI857*Data!BK857*Data!BL857,"")</f>
        <v>7.7972625286766392E-2</v>
      </c>
      <c r="AZ857" s="70">
        <f t="shared" si="507"/>
        <v>43.000744601638125</v>
      </c>
      <c r="BA857" s="70"/>
      <c r="BB857" s="70"/>
      <c r="BC857" s="70">
        <f t="shared" si="508"/>
        <v>55.203009271359711</v>
      </c>
      <c r="BD857" s="70">
        <f t="shared" si="509"/>
        <v>11.56496581928111</v>
      </c>
      <c r="BE857" s="70">
        <f t="shared" si="510"/>
        <v>0.17115993198340879</v>
      </c>
      <c r="BF857" s="70">
        <f t="shared" si="511"/>
        <v>6.094744479521208</v>
      </c>
      <c r="BG857" s="70">
        <f t="shared" si="512"/>
        <v>7.9012325116588927E-2</v>
      </c>
      <c r="BH857" s="67">
        <f>MAX((CE857-Driver!$F$200)/(Driver!$G$200-Driver!$F$200)*$BI$1,1)</f>
        <v>5.8451906659077979</v>
      </c>
      <c r="BI857" s="67">
        <f>MAX($BI$1*(BY857-Driver!$F$201)/(Driver!$G$201-Driver!$F$201),1)</f>
        <v>6.962025316455696</v>
      </c>
      <c r="BJ857" s="67">
        <f>(CB857-Driver!$F$206)/(Driver!$G$206-Driver!$F$206)*$BI$1</f>
        <v>4.4444444444444446</v>
      </c>
      <c r="BK857" s="67">
        <f>(CD857-Driver!$F$203)/(Driver!$G$203-Driver!$F$203)*$BI$1</f>
        <v>2.7064220183486243</v>
      </c>
      <c r="BL857" s="67">
        <f>MAX((CR857-Driver!$F$202)/(Driver!$G$202-Driver!$F$202)*$BI$1,1)</f>
        <v>5.8620689655172411</v>
      </c>
      <c r="BM857" s="67">
        <f>MAX((CH857-Driver!$F$204)/(Driver!$G$204-Driver!$F$204)*$BI$1,1)</f>
        <v>4.0598290598290596</v>
      </c>
      <c r="BN857" s="67">
        <f>(CI857-Driver!$F$205)/(Driver!$G$205-Driver!$F$205)*$BI$1</f>
        <v>6.1764705882352944</v>
      </c>
      <c r="BO857" s="67">
        <f>(CK857-Driver!$F$207)/(Driver!$G$207-Driver!$F$207)*$BI$1</f>
        <v>1.7580144777662876</v>
      </c>
      <c r="BP857" s="67">
        <f>(CM857-Driver!$F$208)/(Driver!$G$208-Driver!$F$208)*$BI$1</f>
        <v>2.1111111111111112</v>
      </c>
      <c r="BQ857" s="67">
        <f>(CL857-Driver!$F$209)/(Driver!$G$209-Driver!$F$209)*$BI$1</f>
        <v>1.875</v>
      </c>
      <c r="BR857" s="28" t="s">
        <v>155</v>
      </c>
      <c r="BS857" s="8" t="s">
        <v>332</v>
      </c>
      <c r="BT857" s="9" t="s">
        <v>788</v>
      </c>
      <c r="BU857" s="10">
        <v>165</v>
      </c>
      <c r="BV857" s="9" t="s">
        <v>158</v>
      </c>
      <c r="BW857" s="10">
        <v>165</v>
      </c>
      <c r="BX857" s="10">
        <v>164.6</v>
      </c>
      <c r="BY857" s="10">
        <v>118</v>
      </c>
      <c r="BZ857" s="10">
        <v>135</v>
      </c>
      <c r="CA857" s="10">
        <v>126</v>
      </c>
      <c r="CB857" s="10">
        <v>92</v>
      </c>
      <c r="CC857" s="10">
        <v>112</v>
      </c>
      <c r="CD857" s="10">
        <v>15.3</v>
      </c>
      <c r="CE857" s="10">
        <v>1927</v>
      </c>
      <c r="CF857" s="10">
        <v>0.88</v>
      </c>
      <c r="CG857" s="10">
        <v>1701</v>
      </c>
      <c r="CH857" s="10">
        <v>196</v>
      </c>
      <c r="CI857" s="10">
        <v>138</v>
      </c>
      <c r="CJ857" s="10">
        <v>53</v>
      </c>
      <c r="CK857" s="10">
        <v>280</v>
      </c>
      <c r="CL857" s="10">
        <v>12</v>
      </c>
      <c r="CM857" s="10">
        <v>190</v>
      </c>
      <c r="CN857" s="10">
        <v>0.22600000000000001</v>
      </c>
      <c r="CO857" s="10">
        <v>142</v>
      </c>
      <c r="CP857" s="10">
        <v>154</v>
      </c>
      <c r="CQ857" s="10">
        <v>138</v>
      </c>
      <c r="CR857" s="10">
        <v>6</v>
      </c>
      <c r="CS857" s="10">
        <v>8.4</v>
      </c>
      <c r="CT857" s="9" t="s">
        <v>188</v>
      </c>
      <c r="CU857" s="10"/>
      <c r="CV857" s="10"/>
      <c r="CW857" s="10"/>
      <c r="CX857" t="str">
        <f>INDEX('Data_Price '!AG$2:AG$1266,MATCH(Data!$DN857,'Data_Price '!$AT$2:$AT$1266,0))</f>
        <v>Nordica Enforcer 94 Skis 2021/22</v>
      </c>
      <c r="CY857" t="str">
        <f>INDEX('Data_Price '!AH$2:AH$1266,MATCH(Data!$DN857,'Data_Price '!$AT$2:$AT$1266,0))</f>
        <v>Bahnhof Sport</v>
      </c>
      <c r="CZ857">
        <f>INDEX('Data_Price '!AI$2:AI$1266,MATCH(Data!$DN857,'Data_Price '!$AT$2:$AT$1266,0))</f>
        <v>699.99</v>
      </c>
      <c r="DA857" t="str">
        <f>INDEX('Data_Price '!AJ$2:AJ$1266,MATCH(Data!$DN857,'Data_Price '!$AT$2:$AT$1266,0))</f>
        <v>https://tinyurl.com/ya4s7bzx</v>
      </c>
      <c r="DB857" t="str">
        <f>INDEX('Data_Price '!AK$2:AK$1266,MATCH(Data!$DN857,'Data_Price '!$AT$2:$AT$1266,0))</f>
        <v>Nordica Enforcer 94 Skis 165cm 2023</v>
      </c>
      <c r="DC857" t="str">
        <f>INDEX('Data_Price '!AL$2:AL$1266,MATCH(Data!$DN857,'Data_Price '!$AT$2:$AT$1266,0))</f>
        <v>Powder7 Ski Shop</v>
      </c>
      <c r="DD857">
        <f>INDEX('Data_Price '!AM$2:AM$1266,MATCH(Data!$DN857,'Data_Price '!$AT$2:$AT$1266,0))</f>
        <v>749.99</v>
      </c>
      <c r="DE857" t="str">
        <f>INDEX('Data_Price '!AN$2:AN$1266,MATCH(Data!$DN857,'Data_Price '!$AT$2:$AT$1266,0))</f>
        <v>https://tinyurl.com/y7sdbk9m</v>
      </c>
      <c r="DF857" t="str">
        <f>INDEX('Data_Price '!AO$2:AO$1266,MATCH(Data!$DN857,'Data_Price '!$AT$2:$AT$1266,0))</f>
        <v>Nordica Enforcer 94 Unlimited Skis</v>
      </c>
      <c r="DG857" t="str">
        <f>INDEX('Data_Price '!AP$2:AP$1266,MATCH(Data!$DN857,'Data_Price '!$AT$2:$AT$1266,0))</f>
        <v>REI</v>
      </c>
      <c r="DH857">
        <f>INDEX('Data_Price '!AQ$2:AQ$1266,MATCH(Data!$DN857,'Data_Price '!$AT$2:$AT$1266,0))</f>
        <v>799.95</v>
      </c>
      <c r="DI857" t="str">
        <f>INDEX('Data_Price '!AR$2:AR$1266,MATCH(Data!$DN857,'Data_Price '!$AT$2:$AT$1266,0))</f>
        <v>https://tinyurl.com/y8cwcgcz</v>
      </c>
      <c r="DJ857" s="89" t="str">
        <f t="shared" si="513"/>
        <v>https://tinyurl.com/ya4s7bzx</v>
      </c>
      <c r="DK857" s="89" t="str">
        <f t="shared" si="514"/>
        <v>https://tinyurl.com/y7sdbk9m</v>
      </c>
      <c r="DL857" s="89" t="str">
        <f t="shared" si="515"/>
        <v>https://tinyurl.com/y8cwcgcz</v>
      </c>
      <c r="DM857" s="219" t="str">
        <f t="shared" si="516"/>
        <v>Enforcer 94</v>
      </c>
      <c r="DN857" s="89" t="str">
        <f t="shared" si="517"/>
        <v xml:space="preserve"> NordicaEnforcer 94165 Unisex</v>
      </c>
      <c r="DO857" s="221" t="s">
        <v>789</v>
      </c>
    </row>
    <row r="858" spans="2:119" ht="15.6" customHeight="1">
      <c r="B858" s="219" t="b">
        <f t="array" ref="B858">IF(OR(ISERROR(K858:P858)),FALSE,TRUE)</f>
        <v>1</v>
      </c>
      <c r="C858" s="43" t="b">
        <f>OR(BR858=Driver!$G$50,Data!BR715=Driver!$H$50)</f>
        <v>1</v>
      </c>
      <c r="D858" s="43" t="b">
        <f>OR(BV858=Driver!$G$51,BV858=Driver!$H$51)</f>
        <v>0</v>
      </c>
      <c r="E858" s="43" t="b">
        <f>AND(BX858&gt;Driver!$F$54,BX858&lt;Driver!$G$54)</f>
        <v>1</v>
      </c>
      <c r="F858" s="43" t="b">
        <f>CL858&gt;Driver!$F$56</f>
        <v>1</v>
      </c>
      <c r="G858" s="43" t="b">
        <f>AND(CB858&gt;Driver!$F$55,CB858&lt;Driver!$G$55)</f>
        <v>1</v>
      </c>
      <c r="H858" s="43" t="b">
        <f t="shared" si="481"/>
        <v>0</v>
      </c>
      <c r="I858" s="43">
        <f t="shared" si="482"/>
        <v>0</v>
      </c>
      <c r="J858" s="43" t="b">
        <f t="array" ref="J858">NOT(OR(($H$9:$H$1273=TRUE)*($I$9:$I$1273&gt;0)*($BT$9:$BT$1273=BT858)*($K$9:$K$1273&gt;K858)))</f>
        <v>1</v>
      </c>
      <c r="K858" s="72">
        <f t="shared" si="483"/>
        <v>0.82868512080429113</v>
      </c>
      <c r="L858" s="72">
        <f t="shared" si="484"/>
        <v>0.88122495458805938</v>
      </c>
      <c r="M858" s="72">
        <f t="shared" si="485"/>
        <v>0.77614528702052299</v>
      </c>
      <c r="N858" s="72">
        <f t="shared" si="486"/>
        <v>0.81123054496900893</v>
      </c>
      <c r="O858" s="72">
        <f t="shared" si="487"/>
        <v>0.64225805870859376</v>
      </c>
      <c r="P858" s="72">
        <f t="shared" si="488"/>
        <v>0.87494725738396628</v>
      </c>
      <c r="Q858" s="72"/>
      <c r="R858" s="72"/>
      <c r="S858" s="72">
        <f t="shared" si="489"/>
        <v>0.396731678004971</v>
      </c>
      <c r="T858" s="72">
        <f t="shared" si="490"/>
        <v>0.46684129503284477</v>
      </c>
      <c r="U858" s="72">
        <f t="shared" si="491"/>
        <v>0.55283172217022436</v>
      </c>
      <c r="V858" s="72">
        <f t="shared" si="492"/>
        <v>0.69276248365950766</v>
      </c>
      <c r="W858" s="72">
        <f t="shared" si="493"/>
        <v>0.91290570386018821</v>
      </c>
      <c r="X858" s="72">
        <f t="shared" si="494"/>
        <v>0.11877504541194064</v>
      </c>
      <c r="Y858" s="72">
        <f t="shared" si="495"/>
        <v>0.22385471297947701</v>
      </c>
      <c r="Z858" s="72">
        <f t="shared" si="496"/>
        <v>0.18876945503099113</v>
      </c>
      <c r="AA858" s="72">
        <f t="shared" si="497"/>
        <v>0.35774194129140624</v>
      </c>
      <c r="AB858" s="72">
        <f t="shared" si="498"/>
        <v>0.12505274261603375</v>
      </c>
      <c r="AC858" s="72"/>
      <c r="AD858" s="72"/>
      <c r="AE858" s="72">
        <f t="shared" si="499"/>
        <v>0.603268321995029</v>
      </c>
      <c r="AF858" s="72">
        <f t="shared" si="500"/>
        <v>0.53315870496715523</v>
      </c>
      <c r="AG858" s="72">
        <f t="shared" si="501"/>
        <v>0.44716827782977558</v>
      </c>
      <c r="AH858" s="72">
        <f t="shared" si="502"/>
        <v>0.3072375163404924</v>
      </c>
      <c r="AI858" s="72">
        <f t="shared" si="503"/>
        <v>8.7094296139811817E-2</v>
      </c>
      <c r="AJ858" s="72">
        <f>(AV858-Driver!$K$179)/(Driver!$L$179-Driver!$K$179)</f>
        <v>0.13544436387075978</v>
      </c>
      <c r="AK858" s="72">
        <f>(AW858-Driver!$K$180)/(Driver!$L$180-Driver!$K$180)</f>
        <v>0.13979359081932152</v>
      </c>
      <c r="AL858" s="72">
        <f>(AX858-Driver!$K$181)/(Driver!$L$181-Driver!$K$181)</f>
        <v>0.29045721874407132</v>
      </c>
      <c r="AM858" s="72">
        <f>(AY858-Driver!$K$182)/(Driver!$L$182-Driver!$K$182)</f>
        <v>8.9643079805640125E-2</v>
      </c>
      <c r="AN858" s="72">
        <f>(AZ858-Driver!$K$183)/(Driver!$L$183-Driver!$K$183)</f>
        <v>0.12916666666666668</v>
      </c>
      <c r="AO858" s="72"/>
      <c r="AP858" s="72"/>
      <c r="AQ858" s="72">
        <f>(BC858-Driver!$K$188)/(Driver!$L$188-Driver!$K$188)</f>
        <v>1.6731678004970982E-2</v>
      </c>
      <c r="AR858" s="72">
        <f>MIN((BD858-Driver!$K$189)/(Driver!$L$189-Driver!$K$189),100%)</f>
        <v>1.6841295032844844E-2</v>
      </c>
      <c r="AS858" s="72">
        <f>(BE858-Driver!$K$190)/(Driver!$L$190-Driver!$K$190)</f>
        <v>6.2831722170224411E-2</v>
      </c>
      <c r="AT858" s="72">
        <f>(BF858-Driver!$K$191)/(Driver!$L$191-Driver!$K$191)</f>
        <v>0.20276248365950761</v>
      </c>
      <c r="AU858" s="72">
        <f>(BG858-Driver!$K$192)/(Driver!$L$192-Driver!$K$192)</f>
        <v>0.16290570386018818</v>
      </c>
      <c r="AV858" s="70">
        <f t="shared" si="504"/>
        <v>2.8506986840320172</v>
      </c>
      <c r="AW858" s="70">
        <f t="shared" si="505"/>
        <v>15.496016744026429</v>
      </c>
      <c r="AX858" s="70">
        <f t="shared" si="506"/>
        <v>3.6141149686966418</v>
      </c>
      <c r="AY858" s="70">
        <f>IFERROR(Driver!$K$19/Data!BH858/Data!BI858*Data!BK858*Data!BL858,"")</f>
        <v>0.10974987659560896</v>
      </c>
      <c r="AZ858" s="70">
        <f t="shared" si="507"/>
        <v>11.772151898734178</v>
      </c>
      <c r="BA858" s="70"/>
      <c r="BB858" s="70"/>
      <c r="BC858" s="70">
        <f t="shared" si="508"/>
        <v>8.6788376979168653</v>
      </c>
      <c r="BD858" s="70">
        <f t="shared" si="509"/>
        <v>3.2112476534954828</v>
      </c>
      <c r="BE858" s="70">
        <f t="shared" si="510"/>
        <v>6.2998902442710975E-2</v>
      </c>
      <c r="BF858" s="70">
        <f t="shared" si="511"/>
        <v>22.900598042273327</v>
      </c>
      <c r="BG858" s="70">
        <f t="shared" si="512"/>
        <v>0.61686491741885918</v>
      </c>
      <c r="BH858" s="67">
        <f>MAX((CE858-Driver!$F$200)/(Driver!$G$200-Driver!$F$200)*$BI$1,1)</f>
        <v>3.6141149686966418</v>
      </c>
      <c r="BI858" s="67">
        <f>MAX($BI$1*(BY858-Driver!$F$201)/(Driver!$G$201-Driver!$F$201),1)</f>
        <v>5.8860759493670889</v>
      </c>
      <c r="BJ858" s="67">
        <f>(CB858-Driver!$F$206)/(Driver!$G$206-Driver!$F$206)*$BI$1</f>
        <v>6.5079365079365079</v>
      </c>
      <c r="BK858" s="67">
        <f>(CD858-Driver!$F$203)/(Driver!$G$203-Driver!$F$203)*$BI$1</f>
        <v>1.8807339449541285</v>
      </c>
      <c r="BL858" s="67">
        <f>MAX((CR858-Driver!$F$202)/(Driver!$G$202-Driver!$F$202)*$BI$1,1)</f>
        <v>6.2068965517241379</v>
      </c>
      <c r="BM858" s="67">
        <f>MAX((CH858-Driver!$F$204)/(Driver!$G$204-Driver!$F$204)*$BI$1,1)</f>
        <v>1.7521367521367521</v>
      </c>
      <c r="BN858" s="67">
        <f>(CI858-Driver!$F$205)/(Driver!$G$205-Driver!$F$205)*$BI$1</f>
        <v>2</v>
      </c>
      <c r="BO858" s="67">
        <f>(CK858-Driver!$F$207)/(Driver!$G$207-Driver!$F$207)*$BI$1</f>
        <v>2.264736297828335</v>
      </c>
      <c r="BP858" s="67">
        <f>(CM858-Driver!$F$208)/(Driver!$G$208-Driver!$F$208)*$BI$1</f>
        <v>2.9222222222222221</v>
      </c>
      <c r="BQ858" s="67">
        <f>(CL858-Driver!$F$209)/(Driver!$G$209-Driver!$F$209)*$BI$1</f>
        <v>3.90625</v>
      </c>
      <c r="BR858" s="28" t="s">
        <v>155</v>
      </c>
      <c r="BS858" s="8" t="s">
        <v>262</v>
      </c>
      <c r="BT858" s="9" t="s">
        <v>723</v>
      </c>
      <c r="BU858" s="10">
        <v>159</v>
      </c>
      <c r="BV858" s="9" t="s">
        <v>163</v>
      </c>
      <c r="BW858" s="10">
        <v>159</v>
      </c>
      <c r="BX858" s="10">
        <v>159.80000000000001</v>
      </c>
      <c r="BY858" s="10">
        <v>101</v>
      </c>
      <c r="BZ858" s="10">
        <v>121</v>
      </c>
      <c r="CA858" s="10">
        <v>139</v>
      </c>
      <c r="CB858" s="10">
        <v>105</v>
      </c>
      <c r="CC858" s="10">
        <v>123</v>
      </c>
      <c r="CD858" s="10">
        <v>13.5</v>
      </c>
      <c r="CE858" s="10">
        <v>1535</v>
      </c>
      <c r="CF858" s="10">
        <v>1.2</v>
      </c>
      <c r="CG858" s="10">
        <v>1847</v>
      </c>
      <c r="CH858" s="10">
        <v>142</v>
      </c>
      <c r="CI858" s="10">
        <v>67</v>
      </c>
      <c r="CJ858" s="10">
        <v>47</v>
      </c>
      <c r="CK858" s="10">
        <v>329</v>
      </c>
      <c r="CL858" s="10">
        <v>25</v>
      </c>
      <c r="CM858" s="10">
        <v>263</v>
      </c>
      <c r="CN858" s="10">
        <v>0.53700000000000003</v>
      </c>
      <c r="CO858" s="10">
        <v>190</v>
      </c>
      <c r="CP858" s="10">
        <v>196</v>
      </c>
      <c r="CQ858" s="10">
        <v>139</v>
      </c>
      <c r="CR858" s="10">
        <v>7</v>
      </c>
      <c r="CS858" s="10">
        <v>9.1999999999999993</v>
      </c>
      <c r="CT858" s="9" t="s">
        <v>169</v>
      </c>
      <c r="CU858" s="9" t="s">
        <v>185</v>
      </c>
      <c r="CV858" s="10"/>
      <c r="CW858" s="10"/>
      <c r="CX858" t="e">
        <f>INDEX('Data_Price '!AG$2:AG$1266,MATCH(Data!$DN858,'Data_Price '!$AT$2:$AT$1266,0))</f>
        <v>#N/A</v>
      </c>
      <c r="CY858" t="e">
        <f>INDEX('Data_Price '!AH$2:AH$1266,MATCH(Data!$DN858,'Data_Price '!$AT$2:$AT$1266,0))</f>
        <v>#N/A</v>
      </c>
      <c r="CZ858" t="e">
        <f>INDEX('Data_Price '!AI$2:AI$1266,MATCH(Data!$DN858,'Data_Price '!$AT$2:$AT$1266,0))</f>
        <v>#N/A</v>
      </c>
      <c r="DA858" t="e">
        <f>INDEX('Data_Price '!AJ$2:AJ$1266,MATCH(Data!$DN858,'Data_Price '!$AT$2:$AT$1266,0))</f>
        <v>#N/A</v>
      </c>
      <c r="DB858" t="e">
        <f>INDEX('Data_Price '!AK$2:AK$1266,MATCH(Data!$DN858,'Data_Price '!$AT$2:$AT$1266,0))</f>
        <v>#N/A</v>
      </c>
      <c r="DC858" t="e">
        <f>INDEX('Data_Price '!AL$2:AL$1266,MATCH(Data!$DN858,'Data_Price '!$AT$2:$AT$1266,0))</f>
        <v>#N/A</v>
      </c>
      <c r="DD858" t="e">
        <f>INDEX('Data_Price '!AM$2:AM$1266,MATCH(Data!$DN858,'Data_Price '!$AT$2:$AT$1266,0))</f>
        <v>#N/A</v>
      </c>
      <c r="DE858" t="e">
        <f>INDEX('Data_Price '!AN$2:AN$1266,MATCH(Data!$DN858,'Data_Price '!$AT$2:$AT$1266,0))</f>
        <v>#N/A</v>
      </c>
      <c r="DF858" t="e">
        <f>INDEX('Data_Price '!AO$2:AO$1266,MATCH(Data!$DN858,'Data_Price '!$AT$2:$AT$1266,0))</f>
        <v>#N/A</v>
      </c>
      <c r="DG858" t="e">
        <f>INDEX('Data_Price '!AP$2:AP$1266,MATCH(Data!$DN858,'Data_Price '!$AT$2:$AT$1266,0))</f>
        <v>#N/A</v>
      </c>
      <c r="DH858" t="e">
        <f>INDEX('Data_Price '!AQ$2:AQ$1266,MATCH(Data!$DN858,'Data_Price '!$AT$2:$AT$1266,0))</f>
        <v>#N/A</v>
      </c>
      <c r="DI858" t="e">
        <f>INDEX('Data_Price '!AR$2:AR$1266,MATCH(Data!$DN858,'Data_Price '!$AT$2:$AT$1266,0))</f>
        <v>#N/A</v>
      </c>
      <c r="DJ858" s="89" t="e">
        <f t="shared" si="513"/>
        <v>#N/A</v>
      </c>
      <c r="DK858" s="89" t="e">
        <f t="shared" si="514"/>
        <v>#N/A</v>
      </c>
      <c r="DL858" s="89" t="e">
        <f t="shared" si="515"/>
        <v>#N/A</v>
      </c>
      <c r="DM858" s="219" t="str">
        <f t="shared" si="516"/>
        <v>Mindbender 106 C Alliance</v>
      </c>
      <c r="DN858" s="89" t="str">
        <f t="shared" si="517"/>
        <v xml:space="preserve"> K2Mindbender 106 C Alliance159 Women's</v>
      </c>
      <c r="DO858" s="221"/>
    </row>
    <row r="859" spans="2:119" ht="15.6" customHeight="1">
      <c r="B859" s="219" t="b">
        <f t="array" ref="B859">IF(OR(ISERROR(K859:P859)),FALSE,TRUE)</f>
        <v>1</v>
      </c>
      <c r="C859" s="43" t="b">
        <f>OR(BR859=Driver!$G$50,Data!BR941=Driver!$H$50)</f>
        <v>1</v>
      </c>
      <c r="D859" s="43" t="b">
        <f>OR(BV859=Driver!$G$51,BV859=Driver!$H$51)</f>
        <v>1</v>
      </c>
      <c r="E859" s="43" t="b">
        <f>AND(BX859&gt;Driver!$F$54,BX859&lt;Driver!$G$54)</f>
        <v>1</v>
      </c>
      <c r="F859" s="43" t="b">
        <f>CL859&gt;Driver!$F$56</f>
        <v>1</v>
      </c>
      <c r="G859" s="43" t="b">
        <f>AND(CB859&gt;Driver!$F$55,CB859&lt;Driver!$G$55)</f>
        <v>0</v>
      </c>
      <c r="H859" s="43" t="b">
        <f t="shared" si="481"/>
        <v>0</v>
      </c>
      <c r="I859" s="43">
        <f t="shared" si="482"/>
        <v>0</v>
      </c>
      <c r="J859" s="43" t="b">
        <f t="array" ref="J859">NOT(OR(($H$9:$H$1273=TRUE)*($I$9:$I$1273&gt;0)*($BT$9:$BT$1273=BT859)*($K$9:$K$1273&gt;K859)))</f>
        <v>1</v>
      </c>
      <c r="K859" s="72">
        <f t="shared" si="483"/>
        <v>0.72998233220442055</v>
      </c>
      <c r="L859" s="72">
        <f t="shared" si="484"/>
        <v>0.77277277506989006</v>
      </c>
      <c r="M859" s="72">
        <f t="shared" si="485"/>
        <v>0.68719188933895103</v>
      </c>
      <c r="N859" s="72">
        <f t="shared" si="486"/>
        <v>0.58546693275121342</v>
      </c>
      <c r="O859" s="72">
        <f t="shared" si="487"/>
        <v>0.60219978349927894</v>
      </c>
      <c r="P859" s="72">
        <f t="shared" si="488"/>
        <v>0.87390895176636063</v>
      </c>
      <c r="Q859" s="72"/>
      <c r="R859" s="72"/>
      <c r="S859" s="72">
        <f t="shared" si="489"/>
        <v>0.54515495971627526</v>
      </c>
      <c r="T859" s="72">
        <f t="shared" si="490"/>
        <v>0.88457859169762676</v>
      </c>
      <c r="U859" s="72">
        <f t="shared" si="491"/>
        <v>0.51</v>
      </c>
      <c r="V859" s="72">
        <f t="shared" si="492"/>
        <v>0.49040044155973872</v>
      </c>
      <c r="W859" s="72">
        <f t="shared" si="493"/>
        <v>0.76531505777563791</v>
      </c>
      <c r="X859" s="72">
        <f t="shared" si="494"/>
        <v>0.22722722493010999</v>
      </c>
      <c r="Y859" s="72">
        <f t="shared" si="495"/>
        <v>0.31280811066104902</v>
      </c>
      <c r="Z859" s="72">
        <f t="shared" si="496"/>
        <v>0.41453306724878658</v>
      </c>
      <c r="AA859" s="72">
        <f t="shared" si="497"/>
        <v>0.39780021650072106</v>
      </c>
      <c r="AB859" s="72">
        <f t="shared" si="498"/>
        <v>0.12609104823363937</v>
      </c>
      <c r="AC859" s="72"/>
      <c r="AD859" s="72"/>
      <c r="AE859" s="72">
        <f t="shared" si="499"/>
        <v>0.45484504028372474</v>
      </c>
      <c r="AF859" s="72">
        <f t="shared" si="500"/>
        <v>0.11542140830237324</v>
      </c>
      <c r="AG859" s="72">
        <f t="shared" si="501"/>
        <v>0.49</v>
      </c>
      <c r="AH859" s="72">
        <f t="shared" si="502"/>
        <v>0.50959955844026128</v>
      </c>
      <c r="AI859" s="72">
        <f t="shared" si="503"/>
        <v>0.23468494222436206</v>
      </c>
      <c r="AJ859" s="72">
        <f>(AV859-Driver!$K$179)/(Driver!$L$179-Driver!$K$179)</f>
        <v>2.6992184352590438E-2</v>
      </c>
      <c r="AK859" s="72">
        <f>(AW859-Driver!$K$180)/(Driver!$L$180-Driver!$K$180)</f>
        <v>0.39499751332308974</v>
      </c>
      <c r="AL859" s="72">
        <f>(AX859-Driver!$K$181)/(Driver!$L$181-Driver!$K$181)</f>
        <v>0.51622083096186677</v>
      </c>
      <c r="AM859" s="72">
        <f>(AY859-Driver!$K$182)/(Driver!$L$182-Driver!$K$182)</f>
        <v>4.9584804596325305E-2</v>
      </c>
      <c r="AN859" s="72">
        <f>(AZ859-Driver!$K$183)/(Driver!$L$183-Driver!$K$183)</f>
        <v>0.38031045751633979</v>
      </c>
      <c r="AO859" s="72"/>
      <c r="AP859" s="72"/>
      <c r="AQ859" s="72">
        <f>(BC859-Driver!$K$188)/(Driver!$L$188-Driver!$K$188)</f>
        <v>0.16515495971627528</v>
      </c>
      <c r="AR859" s="72">
        <f>MIN((BD859-Driver!$K$189)/(Driver!$L$189-Driver!$K$189),100%)</f>
        <v>0.66542140830237329</v>
      </c>
      <c r="AS859" s="72">
        <f>(BE859-Driver!$K$190)/(Driver!$L$190-Driver!$K$190)</f>
        <v>1</v>
      </c>
      <c r="AT859" s="72">
        <f>(BF859-Driver!$K$191)/(Driver!$L$191-Driver!$K$191)</f>
        <v>4.0044155973868414E-4</v>
      </c>
      <c r="AU859" s="72">
        <f>(BG859-Driver!$K$192)/(Driver!$L$192-Driver!$K$192)</f>
        <v>1.5315057775637943E-2</v>
      </c>
      <c r="AV859" s="70">
        <f t="shared" si="504"/>
        <v>0.56810473477140133</v>
      </c>
      <c r="AW859" s="70">
        <f t="shared" si="505"/>
        <v>40.367900328814223</v>
      </c>
      <c r="AX859" s="70">
        <f t="shared" si="506"/>
        <v>5.6459874786568012</v>
      </c>
      <c r="AY859" s="70">
        <f>IFERROR(Driver!$K$19/Data!BH859/Data!BI859*Data!BK859*Data!BL859,"")</f>
        <v>6.0706595503668685E-2</v>
      </c>
      <c r="AZ859" s="70">
        <f t="shared" si="507"/>
        <v>34.661206254653756</v>
      </c>
      <c r="BA859" s="70"/>
      <c r="BB859" s="70"/>
      <c r="BC859" s="70">
        <f t="shared" si="508"/>
        <v>85.667025743485013</v>
      </c>
      <c r="BD859" s="70">
        <f t="shared" si="509"/>
        <v>60.609438461890718</v>
      </c>
      <c r="BE859" s="70">
        <f t="shared" si="510"/>
        <v>1</v>
      </c>
      <c r="BF859" s="70">
        <f t="shared" si="511"/>
        <v>4.5227060911307723E-2</v>
      </c>
      <c r="BG859" s="70">
        <f t="shared" si="512"/>
        <v>5.799257868921523E-2</v>
      </c>
      <c r="BH859" s="67">
        <f>MAX((CE859-Driver!$F$200)/(Driver!$G$200-Driver!$F$200)*$BI$1,1)</f>
        <v>5.6459874786568012</v>
      </c>
      <c r="BI859" s="67">
        <f>MAX($BI$1*(BY859-Driver!$F$201)/(Driver!$G$201-Driver!$F$201),1)</f>
        <v>8.4177215189873422</v>
      </c>
      <c r="BJ859" s="67">
        <f>(CB859-Driver!$F$206)/(Driver!$G$206-Driver!$F$206)*$BI$1</f>
        <v>0.79365079365079361</v>
      </c>
      <c r="BK859" s="67">
        <f>(CD859-Driver!$F$203)/(Driver!$G$203-Driver!$F$203)*$BI$1</f>
        <v>2.2018348623853208</v>
      </c>
      <c r="BL859" s="67">
        <f>MAX((CR859-Driver!$F$202)/(Driver!$G$202-Driver!$F$202)*$BI$1,1)</f>
        <v>6.5517241379310338</v>
      </c>
      <c r="BM859" s="67">
        <f>MAX((CH859-Driver!$F$204)/(Driver!$G$204-Driver!$F$204)*$BI$1,1)</f>
        <v>2.8632478632478628</v>
      </c>
      <c r="BN859" s="67">
        <f>(CI859-Driver!$F$205)/(Driver!$G$205-Driver!$F$205)*$BI$1</f>
        <v>4.117647058823529</v>
      </c>
      <c r="BO859" s="67">
        <f>(CK859-Driver!$F$207)/(Driver!$G$207-Driver!$F$207)*$BI$1</f>
        <v>0.21716649431230611</v>
      </c>
      <c r="BP859" s="67">
        <f>(CM859-Driver!$F$208)/(Driver!$G$208-Driver!$F$208)*$BI$1</f>
        <v>0.57777777777777772</v>
      </c>
      <c r="BQ859" s="67">
        <f>(CL859-Driver!$F$209)/(Driver!$G$209-Driver!$F$209)*$BI$1</f>
        <v>0.9375</v>
      </c>
      <c r="BR859" s="28" t="s">
        <v>155</v>
      </c>
      <c r="BS859" s="8" t="s">
        <v>332</v>
      </c>
      <c r="BT859" s="9" t="s">
        <v>790</v>
      </c>
      <c r="BU859" s="10">
        <v>160</v>
      </c>
      <c r="BV859" s="9" t="s">
        <v>158</v>
      </c>
      <c r="BW859" s="10">
        <v>160</v>
      </c>
      <c r="BX859" s="10">
        <v>159.19999999999999</v>
      </c>
      <c r="BY859" s="10">
        <v>141</v>
      </c>
      <c r="BZ859" s="10">
        <v>148</v>
      </c>
      <c r="CA859" s="10">
        <v>117</v>
      </c>
      <c r="CB859" s="10">
        <v>69</v>
      </c>
      <c r="CC859" s="10">
        <v>98</v>
      </c>
      <c r="CD859" s="10">
        <v>14.2</v>
      </c>
      <c r="CE859" s="10">
        <v>1892</v>
      </c>
      <c r="CF859" s="10">
        <v>0.7</v>
      </c>
      <c r="CG859" s="10">
        <v>1328</v>
      </c>
      <c r="CH859" s="10">
        <v>168</v>
      </c>
      <c r="CI859" s="10">
        <v>103</v>
      </c>
      <c r="CJ859" s="10">
        <v>36</v>
      </c>
      <c r="CK859" s="10">
        <v>131</v>
      </c>
      <c r="CL859" s="10">
        <v>6</v>
      </c>
      <c r="CM859" s="10">
        <v>52</v>
      </c>
      <c r="CN859" s="10">
        <v>0.17399999999999999</v>
      </c>
      <c r="CO859" s="10">
        <v>63</v>
      </c>
      <c r="CP859" s="10">
        <v>45</v>
      </c>
      <c r="CQ859" s="10">
        <v>68</v>
      </c>
      <c r="CR859" s="10">
        <v>8</v>
      </c>
      <c r="CS859" s="10">
        <v>12.6</v>
      </c>
      <c r="CT859" s="9" t="s">
        <v>349</v>
      </c>
      <c r="CU859" s="10"/>
      <c r="CV859" s="10"/>
      <c r="CW859" s="10"/>
      <c r="CX859">
        <f>INDEX('Data_Price '!AG$2:AG$1266,MATCH(Data!$DN859,'Data_Price '!$AT$2:$AT$1266,0))</f>
        <v>0</v>
      </c>
      <c r="CY859">
        <f>INDEX('Data_Price '!AH$2:AH$1266,MATCH(Data!$DN859,'Data_Price '!$AT$2:$AT$1266,0))</f>
        <v>0</v>
      </c>
      <c r="CZ859">
        <f>INDEX('Data_Price '!AI$2:AI$1266,MATCH(Data!$DN859,'Data_Price '!$AT$2:$AT$1266,0))</f>
        <v>0</v>
      </c>
      <c r="DA859">
        <f>INDEX('Data_Price '!AJ$2:AJ$1266,MATCH(Data!$DN859,'Data_Price '!$AT$2:$AT$1266,0))</f>
        <v>0</v>
      </c>
      <c r="DB859">
        <f>INDEX('Data_Price '!AK$2:AK$1266,MATCH(Data!$DN859,'Data_Price '!$AT$2:$AT$1266,0))</f>
        <v>0</v>
      </c>
      <c r="DC859">
        <f>INDEX('Data_Price '!AL$2:AL$1266,MATCH(Data!$DN859,'Data_Price '!$AT$2:$AT$1266,0))</f>
        <v>0</v>
      </c>
      <c r="DD859">
        <f>INDEX('Data_Price '!AM$2:AM$1266,MATCH(Data!$DN859,'Data_Price '!$AT$2:$AT$1266,0))</f>
        <v>0</v>
      </c>
      <c r="DE859">
        <f>INDEX('Data_Price '!AN$2:AN$1266,MATCH(Data!$DN859,'Data_Price '!$AT$2:$AT$1266,0))</f>
        <v>0</v>
      </c>
      <c r="DF859">
        <f>INDEX('Data_Price '!AO$2:AO$1266,MATCH(Data!$DN859,'Data_Price '!$AT$2:$AT$1266,0))</f>
        <v>0</v>
      </c>
      <c r="DG859">
        <f>INDEX('Data_Price '!AP$2:AP$1266,MATCH(Data!$DN859,'Data_Price '!$AT$2:$AT$1266,0))</f>
        <v>0</v>
      </c>
      <c r="DH859">
        <f>INDEX('Data_Price '!AQ$2:AQ$1266,MATCH(Data!$DN859,'Data_Price '!$AT$2:$AT$1266,0))</f>
        <v>0</v>
      </c>
      <c r="DI859">
        <f>INDEX('Data_Price '!AR$2:AR$1266,MATCH(Data!$DN859,'Data_Price '!$AT$2:$AT$1266,0))</f>
        <v>0</v>
      </c>
      <c r="DJ859" s="89">
        <f t="shared" si="513"/>
        <v>0</v>
      </c>
      <c r="DK859" s="89">
        <f t="shared" si="514"/>
        <v>0</v>
      </c>
      <c r="DL859" s="89">
        <f t="shared" si="515"/>
        <v>0</v>
      </c>
      <c r="DM859" s="219" t="str">
        <f t="shared" si="516"/>
        <v>Spitfire 70 Pro</v>
      </c>
      <c r="DN859" s="89" t="str">
        <f t="shared" si="517"/>
        <v xml:space="preserve"> NordicaSpitfire 70 Pro160 Unisex</v>
      </c>
      <c r="DO859" s="221"/>
    </row>
    <row r="860" spans="2:119" ht="15.6" customHeight="1">
      <c r="B860" s="219" t="b">
        <f t="array" ref="B860">IF(OR(ISERROR(K860:P860)),FALSE,TRUE)</f>
        <v>1</v>
      </c>
      <c r="C860" s="43" t="b">
        <f>OR(BR860=Driver!$G$50,Data!BR937=Driver!$H$50)</f>
        <v>1</v>
      </c>
      <c r="D860" s="43" t="b">
        <f>OR(BV860=Driver!$G$51,BV860=Driver!$H$51)</f>
        <v>1</v>
      </c>
      <c r="E860" s="43" t="b">
        <f>AND(BX860&gt;Driver!$F$54,BX860&lt;Driver!$G$54)</f>
        <v>0</v>
      </c>
      <c r="F860" s="43" t="b">
        <f>CL860&gt;Driver!$F$56</f>
        <v>1</v>
      </c>
      <c r="G860" s="43" t="b">
        <f>AND(CB860&gt;Driver!$F$55,CB860&lt;Driver!$G$55)</f>
        <v>0</v>
      </c>
      <c r="H860" s="43" t="b">
        <f t="shared" si="481"/>
        <v>0</v>
      </c>
      <c r="I860" s="43">
        <f t="shared" si="482"/>
        <v>0</v>
      </c>
      <c r="J860" s="43" t="b">
        <f t="array" ref="J860">NOT(OR(($H$9:$H$1273=TRUE)*($I$9:$I$1273&gt;0)*($BT$9:$BT$1273=BT860)*($K$9:$K$1273&gt;K860)))</f>
        <v>1</v>
      </c>
      <c r="K860" s="72">
        <f t="shared" si="483"/>
        <v>0.81643993416237293</v>
      </c>
      <c r="L860" s="72">
        <f t="shared" si="484"/>
        <v>0.99040229726794016</v>
      </c>
      <c r="M860" s="72">
        <f t="shared" si="485"/>
        <v>0.64247757105680581</v>
      </c>
      <c r="N860" s="72">
        <f t="shared" si="486"/>
        <v>0.44950285256402567</v>
      </c>
      <c r="O860" s="72">
        <f t="shared" si="487"/>
        <v>0.63821208531061946</v>
      </c>
      <c r="P860" s="72">
        <f t="shared" si="488"/>
        <v>0.8397177752957723</v>
      </c>
      <c r="Q860" s="72"/>
      <c r="R860" s="72"/>
      <c r="S860" s="72">
        <f t="shared" si="489"/>
        <v>0.54268721194104519</v>
      </c>
      <c r="T860" s="72">
        <f t="shared" si="490"/>
        <v>0.6687991981609448</v>
      </c>
      <c r="U860" s="72">
        <f t="shared" si="491"/>
        <v>0.57491628751316837</v>
      </c>
      <c r="V860" s="72">
        <f t="shared" si="492"/>
        <v>0.50209380899944522</v>
      </c>
      <c r="W860" s="72">
        <f t="shared" si="493"/>
        <v>0.81009239580706749</v>
      </c>
      <c r="X860" s="72">
        <f t="shared" si="494"/>
        <v>9.5977027320598707E-3</v>
      </c>
      <c r="Y860" s="72">
        <f t="shared" si="495"/>
        <v>0.35752242894319419</v>
      </c>
      <c r="Z860" s="72">
        <f t="shared" si="496"/>
        <v>0.55049714743597433</v>
      </c>
      <c r="AA860" s="72">
        <f t="shared" si="497"/>
        <v>0.36178791468938049</v>
      </c>
      <c r="AB860" s="72">
        <f t="shared" si="498"/>
        <v>0.16028222470422765</v>
      </c>
      <c r="AC860" s="72"/>
      <c r="AD860" s="72"/>
      <c r="AE860" s="72">
        <f t="shared" si="499"/>
        <v>0.45731278805895481</v>
      </c>
      <c r="AF860" s="72">
        <f t="shared" si="500"/>
        <v>0.3312008018390552</v>
      </c>
      <c r="AG860" s="72">
        <f t="shared" si="501"/>
        <v>0.42508371248683163</v>
      </c>
      <c r="AH860" s="72">
        <f t="shared" si="502"/>
        <v>0.49790619100055478</v>
      </c>
      <c r="AI860" s="72">
        <f t="shared" si="503"/>
        <v>0.18990760419293254</v>
      </c>
      <c r="AJ860" s="72">
        <f>(AV860-Driver!$K$179)/(Driver!$L$179-Driver!$K$179)</f>
        <v>0.24462170655064056</v>
      </c>
      <c r="AK860" s="72">
        <f>(AW860-Driver!$K$180)/(Driver!$L$180-Driver!$K$180)</f>
        <v>0.43997982010500325</v>
      </c>
      <c r="AL860" s="72">
        <f>(AX860-Driver!$K$181)/(Driver!$L$181-Driver!$K$181)</f>
        <v>0.65218491114905452</v>
      </c>
      <c r="AM860" s="72">
        <f>(AY860-Driver!$K$182)/(Driver!$L$182-Driver!$K$182)</f>
        <v>8.5597106407665893E-2</v>
      </c>
      <c r="AN860" s="72">
        <f>(AZ860-Driver!$K$183)/(Driver!$L$183-Driver!$K$183)</f>
        <v>0.41450163398692808</v>
      </c>
      <c r="AO860" s="72"/>
      <c r="AP860" s="72"/>
      <c r="AQ860" s="72">
        <f>(BC860-Driver!$K$188)/(Driver!$L$188-Driver!$K$188)</f>
        <v>0.16268721194104518</v>
      </c>
      <c r="AR860" s="72">
        <f>MIN((BD860-Driver!$K$189)/(Driver!$L$189-Driver!$K$189),100%)</f>
        <v>0.21879919816094484</v>
      </c>
      <c r="AS860" s="72">
        <f>(BE860-Driver!$K$190)/(Driver!$L$190-Driver!$K$190)</f>
        <v>8.491628751316839E-2</v>
      </c>
      <c r="AT860" s="72">
        <f>(BF860-Driver!$K$191)/(Driver!$L$191-Driver!$K$191)</f>
        <v>1.2093808999445227E-2</v>
      </c>
      <c r="AU860" s="72">
        <f>(BG860-Driver!$K$192)/(Driver!$L$192-Driver!$K$192)</f>
        <v>6.0092395807067461E-2</v>
      </c>
      <c r="AV860" s="70">
        <f t="shared" si="504"/>
        <v>5.1485551485551486</v>
      </c>
      <c r="AW860" s="70">
        <f t="shared" si="505"/>
        <v>44.751824708497075</v>
      </c>
      <c r="AX860" s="70">
        <f t="shared" si="506"/>
        <v>6.8696642003414912</v>
      </c>
      <c r="AY860" s="70">
        <f>IFERROR(Driver!$K$19/Data!BH860/Data!BI860*Data!BK860*Data!BL860,"")</f>
        <v>0.104796397954541</v>
      </c>
      <c r="AZ860" s="70">
        <f t="shared" si="507"/>
        <v>37.777364110201042</v>
      </c>
      <c r="BA860" s="70"/>
      <c r="BB860" s="70"/>
      <c r="BC860" s="70">
        <f t="shared" si="508"/>
        <v>84.386987816968954</v>
      </c>
      <c r="BD860" s="70">
        <f t="shared" si="509"/>
        <v>21.084164232102985</v>
      </c>
      <c r="BE860" s="70">
        <f t="shared" si="510"/>
        <v>8.5079528147770145E-2</v>
      </c>
      <c r="BF860" s="70">
        <f t="shared" si="511"/>
        <v>1.3659107626705005</v>
      </c>
      <c r="BG860" s="70">
        <f t="shared" si="512"/>
        <v>0.22754814532977918</v>
      </c>
      <c r="BH860" s="67">
        <f>MAX((CE860-Driver!$F$200)/(Driver!$G$200-Driver!$F$200)*$BI$1,1)</f>
        <v>6.8696642003414912</v>
      </c>
      <c r="BI860" s="67">
        <f>MAX($BI$1*(BY860-Driver!$F$201)/(Driver!$G$201-Driver!$F$201),1)</f>
        <v>8.7974683544303804</v>
      </c>
      <c r="BJ860" s="67">
        <f>(CB860-Driver!$F$206)/(Driver!$G$206-Driver!$F$206)*$BI$1</f>
        <v>3.4920634920634921</v>
      </c>
      <c r="BK860" s="67">
        <f>(CD860-Driver!$F$203)/(Driver!$G$203-Driver!$F$203)*$BI$1</f>
        <v>4.1743119266055047</v>
      </c>
      <c r="BL860" s="67">
        <f>MAX((CR860-Driver!$F$202)/(Driver!$G$202-Driver!$F$202)*$BI$1,1)</f>
        <v>7.5862068965517242</v>
      </c>
      <c r="BM860" s="67">
        <f>MAX((CH860-Driver!$F$204)/(Driver!$G$204-Driver!$F$204)*$BI$1,1)</f>
        <v>5.8974358974358978</v>
      </c>
      <c r="BN860" s="67">
        <f>(CI860-Driver!$F$205)/(Driver!$G$205-Driver!$F$205)*$BI$1</f>
        <v>4.2941176470588234</v>
      </c>
      <c r="BO860" s="67">
        <f>(CK860-Driver!$F$207)/(Driver!$G$207-Driver!$F$207)*$BI$1</f>
        <v>0.72388831437435364</v>
      </c>
      <c r="BP860" s="67">
        <f>(CM860-Driver!$F$208)/(Driver!$G$208-Driver!$F$208)*$BI$1</f>
        <v>2.2555555555555555</v>
      </c>
      <c r="BQ860" s="67">
        <f>(CL860-Driver!$F$209)/(Driver!$G$209-Driver!$F$209)*$BI$1</f>
        <v>9.21875</v>
      </c>
      <c r="BR860" s="28" t="s">
        <v>155</v>
      </c>
      <c r="BS860" s="8" t="s">
        <v>332</v>
      </c>
      <c r="BT860" s="9" t="s">
        <v>567</v>
      </c>
      <c r="BU860" s="10">
        <v>185</v>
      </c>
      <c r="BV860" s="9" t="s">
        <v>158</v>
      </c>
      <c r="BW860" s="10">
        <v>185</v>
      </c>
      <c r="BX860" s="10">
        <v>185</v>
      </c>
      <c r="BY860" s="10">
        <v>147</v>
      </c>
      <c r="BZ860" s="10">
        <v>160</v>
      </c>
      <c r="CA860" s="10">
        <v>124</v>
      </c>
      <c r="CB860" s="10">
        <v>86</v>
      </c>
      <c r="CC860" s="10">
        <v>114</v>
      </c>
      <c r="CD860" s="10">
        <v>18.5</v>
      </c>
      <c r="CE860" s="10">
        <v>2107</v>
      </c>
      <c r="CF860" s="10">
        <v>0.86</v>
      </c>
      <c r="CG860" s="10">
        <v>1819</v>
      </c>
      <c r="CH860" s="10">
        <v>239</v>
      </c>
      <c r="CI860" s="10">
        <v>106</v>
      </c>
      <c r="CJ860" s="10">
        <v>50</v>
      </c>
      <c r="CK860" s="10">
        <v>180</v>
      </c>
      <c r="CL860" s="10">
        <v>59</v>
      </c>
      <c r="CM860" s="10">
        <v>203</v>
      </c>
      <c r="CN860" s="10">
        <v>1.19</v>
      </c>
      <c r="CO860" s="10">
        <v>98</v>
      </c>
      <c r="CP860" s="10">
        <v>152</v>
      </c>
      <c r="CQ860" s="10">
        <v>83</v>
      </c>
      <c r="CR860" s="10">
        <v>11</v>
      </c>
      <c r="CS860" s="10">
        <v>5.9</v>
      </c>
      <c r="CT860" s="9" t="s">
        <v>184</v>
      </c>
      <c r="CU860" s="10"/>
      <c r="CV860" s="10"/>
      <c r="CW860" s="10"/>
      <c r="CX860" t="str">
        <f>INDEX('Data_Price '!AG$2:AG$1266,MATCH(Data!$DN860,'Data_Price '!$AT$2:$AT$1266,0))</f>
        <v>Nordica Soul Rider 87 Skis 2022 185</v>
      </c>
      <c r="CY860" t="str">
        <f>INDEX('Data_Price '!AH$2:AH$1266,MATCH(Data!$DN860,'Data_Price '!$AT$2:$AT$1266,0))</f>
        <v>Buyr.com</v>
      </c>
      <c r="CZ860">
        <f>INDEX('Data_Price '!AI$2:AI$1266,MATCH(Data!$DN860,'Data_Price '!$AT$2:$AT$1266,0))</f>
        <v>499.99</v>
      </c>
      <c r="DA860" t="str">
        <f>INDEX('Data_Price '!AJ$2:AJ$1266,MATCH(Data!$DN860,'Data_Price '!$AT$2:$AT$1266,0))</f>
        <v>https://tinyurl.com/yabb6feb</v>
      </c>
      <c r="DB860" t="str">
        <f>INDEX('Data_Price '!AK$2:AK$1266,MATCH(Data!$DN860,'Data_Price '!$AT$2:$AT$1266,0))</f>
        <v>Nordica Soul Rider 97 Skis 2022 185cm</v>
      </c>
      <c r="DC860" t="str">
        <f>INDEX('Data_Price '!AL$2:AL$1266,MATCH(Data!$DN860,'Data_Price '!$AT$2:$AT$1266,0))</f>
        <v>Glacier Ski Shop</v>
      </c>
      <c r="DD860">
        <f>INDEX('Data_Price '!AM$2:AM$1266,MATCH(Data!$DN860,'Data_Price '!$AT$2:$AT$1266,0))</f>
        <v>539</v>
      </c>
      <c r="DE860" t="str">
        <f>INDEX('Data_Price '!AN$2:AN$1266,MATCH(Data!$DN860,'Data_Price '!$AT$2:$AT$1266,0))</f>
        <v>https://tinyurl.com/ybremp74</v>
      </c>
      <c r="DF860" t="str">
        <f>INDEX('Data_Price '!AO$2:AO$1266,MATCH(Data!$DN860,'Data_Price '!$AT$2:$AT$1266,0))</f>
        <v>2021 Nordica Soul Rider 97 Twin Tip Snow Skis 185</v>
      </c>
      <c r="DG860" t="str">
        <f>INDEX('Data_Price '!AP$2:AP$1266,MATCH(Data!$DN860,'Data_Price '!$AT$2:$AT$1266,0))</f>
        <v>The Pro Shop</v>
      </c>
      <c r="DH860">
        <f>INDEX('Data_Price '!AQ$2:AQ$1266,MATCH(Data!$DN860,'Data_Price '!$AT$2:$AT$1266,0))</f>
        <v>599</v>
      </c>
      <c r="DI860" t="str">
        <f>INDEX('Data_Price '!AR$2:AR$1266,MATCH(Data!$DN860,'Data_Price '!$AT$2:$AT$1266,0))</f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J860" s="89" t="str">
        <f t="shared" si="513"/>
        <v>https://tinyurl.com/yabb6feb</v>
      </c>
      <c r="DK860" s="89" t="str">
        <f t="shared" si="514"/>
        <v>https://tinyurl.com/ybremp74</v>
      </c>
      <c r="DL860" s="89" t="str">
        <f t="shared" si="515"/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M860" s="219" t="str">
        <f t="shared" si="516"/>
        <v>Soul Rider 87</v>
      </c>
      <c r="DN860" s="89" t="str">
        <f t="shared" si="517"/>
        <v xml:space="preserve"> NordicaSoul Rider 87185 Unisex</v>
      </c>
      <c r="DO860" s="221"/>
    </row>
    <row r="861" spans="2:119" ht="15.6" customHeight="1">
      <c r="B861" s="219" t="b">
        <f t="array" ref="B861">IF(OR(ISERROR(K861:P861)),FALSE,TRUE)</f>
        <v>1</v>
      </c>
      <c r="C861" s="43" t="b">
        <f>OR(BR861=Driver!$G$50,Data!BR1080=Driver!$H$50)</f>
        <v>1</v>
      </c>
      <c r="D861" s="43" t="b">
        <f>OR(BV861=Driver!$G$51,BV861=Driver!$H$51)</f>
        <v>1</v>
      </c>
      <c r="E861" s="43" t="b">
        <f>AND(BX861&gt;Driver!$F$54,BX861&lt;Driver!$G$54)</f>
        <v>0</v>
      </c>
      <c r="F861" s="43" t="b">
        <f>CL861&gt;Driver!$F$56</f>
        <v>1</v>
      </c>
      <c r="G861" s="43" t="b">
        <f>AND(CB861&gt;Driver!$F$55,CB861&lt;Driver!$G$55)</f>
        <v>1</v>
      </c>
      <c r="H861" s="43" t="b">
        <f t="shared" si="481"/>
        <v>0</v>
      </c>
      <c r="I861" s="43">
        <f t="shared" si="482"/>
        <v>0</v>
      </c>
      <c r="J861" s="43" t="b">
        <f t="array" ref="J861">NOT(OR(($H$9:$H$1273=TRUE)*($I$9:$I$1273&gt;0)*($BT$9:$BT$1273=BT861)*($K$9:$K$1273&gt;K861)))</f>
        <v>1</v>
      </c>
      <c r="K861" s="72">
        <f t="shared" si="483"/>
        <v>0.72875749674255996</v>
      </c>
      <c r="L861" s="72">
        <f t="shared" si="484"/>
        <v>0.77706204887660912</v>
      </c>
      <c r="M861" s="72">
        <f t="shared" si="485"/>
        <v>0.6804529446085108</v>
      </c>
      <c r="N861" s="72">
        <f t="shared" si="486"/>
        <v>0.40839743297255027</v>
      </c>
      <c r="O861" s="72">
        <f t="shared" si="487"/>
        <v>0.63865139837097684</v>
      </c>
      <c r="P861" s="72">
        <f t="shared" si="488"/>
        <v>0.99431000248200541</v>
      </c>
      <c r="Q861" s="72"/>
      <c r="R861" s="72"/>
      <c r="S861" s="72">
        <f t="shared" si="489"/>
        <v>0.44233685768713527</v>
      </c>
      <c r="T861" s="72">
        <f t="shared" si="490"/>
        <v>0.50366006175648503</v>
      </c>
      <c r="U861" s="72">
        <f t="shared" si="491"/>
        <v>0.49589628801981933</v>
      </c>
      <c r="V861" s="72">
        <f t="shared" si="492"/>
        <v>0.85887216566904612</v>
      </c>
      <c r="W861" s="72">
        <f t="shared" si="493"/>
        <v>0.78493092991913749</v>
      </c>
      <c r="X861" s="72">
        <f t="shared" si="494"/>
        <v>0.22293795112339088</v>
      </c>
      <c r="Y861" s="72">
        <f t="shared" si="495"/>
        <v>0.31954705539148914</v>
      </c>
      <c r="Z861" s="72">
        <f t="shared" si="496"/>
        <v>0.59160256702744973</v>
      </c>
      <c r="AA861" s="72">
        <f t="shared" si="497"/>
        <v>0.36134860162902316</v>
      </c>
      <c r="AB861" s="72">
        <f t="shared" si="498"/>
        <v>5.6899975179945661E-3</v>
      </c>
      <c r="AC861" s="72"/>
      <c r="AD861" s="72"/>
      <c r="AE861" s="72">
        <f t="shared" si="499"/>
        <v>0.55766314231286473</v>
      </c>
      <c r="AF861" s="72">
        <f t="shared" si="500"/>
        <v>0.49633993824351497</v>
      </c>
      <c r="AG861" s="72">
        <f t="shared" si="501"/>
        <v>0.50410371198018067</v>
      </c>
      <c r="AH861" s="72">
        <f t="shared" si="502"/>
        <v>0.14112783433095383</v>
      </c>
      <c r="AI861" s="72">
        <f t="shared" si="503"/>
        <v>0.21506907008086254</v>
      </c>
      <c r="AJ861" s="72">
        <f>(AV861-Driver!$K$179)/(Driver!$L$179-Driver!$K$179)</f>
        <v>0.4771573604060913</v>
      </c>
      <c r="AK861" s="72">
        <f>(AW861-Driver!$K$180)/(Driver!$L$180-Driver!$K$180)</f>
        <v>0.28857136411225831</v>
      </c>
      <c r="AL861" s="72">
        <f>(AX861-Driver!$K$181)/(Driver!$L$181-Driver!$K$181)</f>
        <v>0.69329033074052993</v>
      </c>
      <c r="AM861" s="72">
        <f>(AY861-Driver!$K$182)/(Driver!$L$182-Driver!$K$182)</f>
        <v>8.603641946802322E-2</v>
      </c>
      <c r="AN861" s="72">
        <f>(AZ861-Driver!$K$183)/(Driver!$L$183-Driver!$K$183)</f>
        <v>0.24852941176470586</v>
      </c>
      <c r="AO861" s="72"/>
      <c r="AP861" s="72"/>
      <c r="AQ861" s="72">
        <f>(BC861-Driver!$K$188)/(Driver!$L$188-Driver!$K$188)</f>
        <v>6.2336857687135309E-2</v>
      </c>
      <c r="AR861" s="72">
        <f>MIN((BD861-Driver!$K$189)/(Driver!$L$189-Driver!$K$189),100%)</f>
        <v>5.3660061756485106E-2</v>
      </c>
      <c r="AS861" s="72">
        <f>(BE861-Driver!$K$190)/(Driver!$L$190-Driver!$K$190)</f>
        <v>5.8962880198193046E-3</v>
      </c>
      <c r="AT861" s="72">
        <f>(BF861-Driver!$K$191)/(Driver!$L$191-Driver!$K$191)</f>
        <v>0.36887216566904618</v>
      </c>
      <c r="AU861" s="72">
        <f>(BG861-Driver!$K$192)/(Driver!$L$192-Driver!$K$192)</f>
        <v>3.4930929919137467E-2</v>
      </c>
      <c r="AV861" s="70">
        <f t="shared" si="504"/>
        <v>10.042735042735043</v>
      </c>
      <c r="AW861" s="70">
        <f t="shared" si="505"/>
        <v>29.995729056603583</v>
      </c>
      <c r="AX861" s="70">
        <f t="shared" si="506"/>
        <v>7.2396129766647697</v>
      </c>
      <c r="AY861" s="70">
        <f>IFERROR(Driver!$K$19/Data!BH861/Data!BI861*Data!BK861*Data!BL861,"")</f>
        <v>0.10533424821878441</v>
      </c>
      <c r="AZ861" s="70">
        <f t="shared" si="507"/>
        <v>22.650781831720028</v>
      </c>
      <c r="BA861" s="70"/>
      <c r="BB861" s="70"/>
      <c r="BC861" s="70">
        <f t="shared" si="508"/>
        <v>32.334561441121096</v>
      </c>
      <c r="BD861" s="70">
        <f t="shared" si="509"/>
        <v>6.4696432695434059</v>
      </c>
      <c r="BE861" s="70">
        <f t="shared" si="510"/>
        <v>6.0736249329226832E-3</v>
      </c>
      <c r="BF861" s="70">
        <f t="shared" si="511"/>
        <v>41.661519638687757</v>
      </c>
      <c r="BG861" s="70">
        <f t="shared" si="512"/>
        <v>0.13227078419811322</v>
      </c>
      <c r="BH861" s="67">
        <f>MAX((CE861-Driver!$F$200)/(Driver!$G$200-Driver!$F$200)*$BI$1,1)</f>
        <v>7.2396129766647697</v>
      </c>
      <c r="BI861" s="67">
        <f>MAX($BI$1*(BY861-Driver!$F$201)/(Driver!$G$201-Driver!$F$201),1)</f>
        <v>4.9367088607594933</v>
      </c>
      <c r="BJ861" s="67">
        <f>(CB861-Driver!$F$206)/(Driver!$G$206-Driver!$F$206)*$BI$1</f>
        <v>7.4603174603174605</v>
      </c>
      <c r="BK861" s="67">
        <f>(CD861-Driver!$F$203)/(Driver!$G$203-Driver!$F$203)*$BI$1</f>
        <v>3.8990825688073394</v>
      </c>
      <c r="BL861" s="67">
        <f>MAX((CR861-Driver!$F$202)/(Driver!$G$202-Driver!$F$202)*$BI$1,1)</f>
        <v>4.8275862068965516</v>
      </c>
      <c r="BM861" s="67">
        <f>MAX((CH861-Driver!$F$204)/(Driver!$G$204-Driver!$F$204)*$BI$1,1)</f>
        <v>5.3846153846153841</v>
      </c>
      <c r="BN861" s="67">
        <f>(CI861-Driver!$F$205)/(Driver!$G$205-Driver!$F$205)*$BI$1</f>
        <v>4.5882352941176467</v>
      </c>
      <c r="BO861" s="67">
        <f>(CK861-Driver!$F$207)/(Driver!$G$207-Driver!$F$207)*$BI$1</f>
        <v>3.9193381592554295</v>
      </c>
      <c r="BP861" s="67">
        <f>(CM861-Driver!$F$208)/(Driver!$G$208-Driver!$F$208)*$BI$1</f>
        <v>5.5555555555555554</v>
      </c>
      <c r="BQ861" s="67">
        <f>(CL861-Driver!$F$209)/(Driver!$G$209-Driver!$F$209)*$BI$1</f>
        <v>5.15625</v>
      </c>
      <c r="BR861" s="28" t="s">
        <v>155</v>
      </c>
      <c r="BS861" s="8" t="s">
        <v>174</v>
      </c>
      <c r="BT861" s="9" t="s">
        <v>791</v>
      </c>
      <c r="BU861" s="10">
        <v>186</v>
      </c>
      <c r="BV861" s="9" t="s">
        <v>158</v>
      </c>
      <c r="BW861" s="10">
        <v>186</v>
      </c>
      <c r="BX861" s="10">
        <v>185.2</v>
      </c>
      <c r="BY861" s="10">
        <v>86</v>
      </c>
      <c r="BZ861" s="10">
        <v>139</v>
      </c>
      <c r="CA861" s="10">
        <v>137</v>
      </c>
      <c r="CB861" s="10">
        <v>111</v>
      </c>
      <c r="CC861" s="10">
        <v>126</v>
      </c>
      <c r="CD861" s="10">
        <v>17.899999999999999</v>
      </c>
      <c r="CE861" s="10">
        <v>2172</v>
      </c>
      <c r="CF861" s="10">
        <v>1.03</v>
      </c>
      <c r="CG861" s="10">
        <v>2237</v>
      </c>
      <c r="CH861" s="10">
        <v>227</v>
      </c>
      <c r="CI861" s="10">
        <v>111</v>
      </c>
      <c r="CJ861" s="10">
        <v>62</v>
      </c>
      <c r="CK861" s="10">
        <v>489</v>
      </c>
      <c r="CL861" s="10">
        <v>33</v>
      </c>
      <c r="CM861" s="10">
        <v>500</v>
      </c>
      <c r="CN861" s="10">
        <v>0.54400000000000004</v>
      </c>
      <c r="CO861" s="10">
        <v>209</v>
      </c>
      <c r="CP861" s="10">
        <v>256</v>
      </c>
      <c r="CQ861" s="10">
        <v>280</v>
      </c>
      <c r="CR861" s="10">
        <v>3</v>
      </c>
      <c r="CS861" s="10">
        <v>8.5</v>
      </c>
      <c r="CT861" s="9" t="s">
        <v>169</v>
      </c>
      <c r="CU861" s="10"/>
      <c r="CV861" s="10"/>
      <c r="CW861" s="10"/>
      <c r="CX861" t="str">
        <f>INDEX('Data_Price '!AG$2:AG$1266,MATCH(Data!$DN861,'Data_Price '!$AT$2:$AT$1266,0))</f>
        <v>Salomon N QST Blank Skis - 2022 186cm / White/Light Grey</v>
      </c>
      <c r="CY861" t="str">
        <f>INDEX('Data_Price '!AH$2:AH$1266,MATCH(Data!$DN861,'Data_Price '!$AT$2:$AT$1266,0))</f>
        <v>Glacier Ski Shop</v>
      </c>
      <c r="CZ861">
        <f>INDEX('Data_Price '!AI$2:AI$1266,MATCH(Data!$DN861,'Data_Price '!$AT$2:$AT$1266,0))</f>
        <v>674</v>
      </c>
      <c r="DA861" t="str">
        <f>INDEX('Data_Price '!AJ$2:AJ$1266,MATCH(Data!$DN861,'Data_Price '!$AT$2:$AT$1266,0))</f>
        <v>https://tinyurl.com/y7pc765g</v>
      </c>
      <c r="DB861" t="str">
        <f>INDEX('Data_Price '!AK$2:AK$1266,MATCH(Data!$DN861,'Data_Price '!$AT$2:$AT$1266,0))</f>
        <v>Salomon Qst Blank Skis 2022 186cm</v>
      </c>
      <c r="DC861" t="str">
        <f>INDEX('Data_Price '!AL$2:AL$1266,MATCH(Data!$DN861,'Data_Price '!$AT$2:$AT$1266,0))</f>
        <v>eBay</v>
      </c>
      <c r="DD861">
        <f>INDEX('Data_Price '!AM$2:AM$1266,MATCH(Data!$DN861,'Data_Price '!$AT$2:$AT$1266,0))</f>
        <v>679.99</v>
      </c>
      <c r="DE861" t="str">
        <f>INDEX('Data_Price '!AN$2:AN$1266,MATCH(Data!$DN861,'Data_Price '!$AT$2:$AT$1266,0))</f>
        <v>https://tinyurl.com/y7rv39kd</v>
      </c>
      <c r="DF861" t="str">
        <f>INDEX('Data_Price '!AO$2:AO$1266,MATCH(Data!$DN861,'Data_Price '!$AT$2:$AT$1266,0))</f>
        <v>Salomon QST Blank White/Light Grey / 186cm</v>
      </c>
      <c r="DG861" t="str">
        <f>INDEX('Data_Price '!AP$2:AP$1266,MATCH(Data!$DN861,'Data_Price '!$AT$2:$AT$1266,0))</f>
        <v>Sundance Ski and Board Shop</v>
      </c>
      <c r="DH861">
        <f>INDEX('Data_Price '!AQ$2:AQ$1266,MATCH(Data!$DN861,'Data_Price '!$AT$2:$AT$1266,0))</f>
        <v>681.22</v>
      </c>
      <c r="DI861" t="str">
        <f>INDEX('Data_Price '!AR$2:AR$1266,MATCH(Data!$DN861,'Data_Price '!$AT$2:$AT$1266,0))</f>
        <v>https://tinyurl.com/yavgpb4d</v>
      </c>
      <c r="DJ861" s="89" t="str">
        <f t="shared" si="513"/>
        <v>https://tinyurl.com/y7pc765g</v>
      </c>
      <c r="DK861" s="89" t="str">
        <f t="shared" si="514"/>
        <v>https://tinyurl.com/y7rv39kd</v>
      </c>
      <c r="DL861" s="89" t="str">
        <f t="shared" si="515"/>
        <v>https://tinyurl.com/yavgpb4d</v>
      </c>
      <c r="DM861" s="219" t="str">
        <f t="shared" si="516"/>
        <v>QST Blank</v>
      </c>
      <c r="DN861" s="89" t="str">
        <f t="shared" si="517"/>
        <v xml:space="preserve"> SalomonQST Blank186 Unisex</v>
      </c>
      <c r="DO861" s="221" t="s">
        <v>792</v>
      </c>
    </row>
    <row r="862" spans="2:119" ht="15.6" customHeight="1">
      <c r="B862" s="219" t="b">
        <f t="array" ref="B862">IF(OR(ISERROR(K862:P862)),FALSE,TRUE)</f>
        <v>1</v>
      </c>
      <c r="C862" s="43" t="b">
        <f>OR(BR862=Driver!$G$50,Data!BR101=Driver!$H$50)</f>
        <v>1</v>
      </c>
      <c r="D862" s="43" t="b">
        <f>OR(BV862=Driver!$G$51,BV862=Driver!$H$51)</f>
        <v>0</v>
      </c>
      <c r="E862" s="43" t="b">
        <f>AND(BX862&gt;Driver!$F$54,BX862&lt;Driver!$G$54)</f>
        <v>1</v>
      </c>
      <c r="F862" s="43" t="b">
        <f>CL862&gt;Driver!$F$56</f>
        <v>1</v>
      </c>
      <c r="G862" s="43" t="b">
        <f>AND(CB862&gt;Driver!$F$55,CB862&lt;Driver!$G$55)</f>
        <v>0</v>
      </c>
      <c r="H862" s="43" t="b">
        <f t="shared" si="481"/>
        <v>0</v>
      </c>
      <c r="I862" s="43">
        <f t="shared" si="482"/>
        <v>0</v>
      </c>
      <c r="J862" s="43" t="b">
        <f t="array" ref="J862">NOT(OR(($H$9:$H$1273=TRUE)*($I$9:$I$1273&gt;0)*($BT$9:$BT$1273=BT862)*($K$9:$K$1273&gt;K862)))</f>
        <v>1</v>
      </c>
      <c r="K862" s="72">
        <f t="shared" si="483"/>
        <v>0.84855534882134132</v>
      </c>
      <c r="L862" s="72">
        <f t="shared" si="484"/>
        <v>0.83086640169143544</v>
      </c>
      <c r="M862" s="72">
        <f t="shared" si="485"/>
        <v>0.8662442959512473</v>
      </c>
      <c r="N862" s="72">
        <f t="shared" si="486"/>
        <v>0.9364439769553492</v>
      </c>
      <c r="O862" s="72">
        <f t="shared" si="487"/>
        <v>0.71797890841638734</v>
      </c>
      <c r="P862" s="72">
        <f t="shared" si="488"/>
        <v>0.94431000248200547</v>
      </c>
      <c r="Q862" s="72"/>
      <c r="R862" s="72"/>
      <c r="S862" s="72">
        <f t="shared" si="489"/>
        <v>0.4275416134120551</v>
      </c>
      <c r="T862" s="72">
        <f t="shared" si="490"/>
        <v>0.44353321338450002</v>
      </c>
      <c r="U862" s="72">
        <f t="shared" si="491"/>
        <v>0.97091416630612792</v>
      </c>
      <c r="V862" s="72">
        <f t="shared" si="492"/>
        <v>0.52398032664068261</v>
      </c>
      <c r="W862" s="72">
        <f t="shared" si="493"/>
        <v>0.94410755148741421</v>
      </c>
      <c r="X862" s="72">
        <f t="shared" si="494"/>
        <v>0.16913359830856459</v>
      </c>
      <c r="Y862" s="72">
        <f t="shared" si="495"/>
        <v>0.13375570404875267</v>
      </c>
      <c r="Z862" s="72">
        <f t="shared" si="496"/>
        <v>6.3556023044650786E-2</v>
      </c>
      <c r="AA862" s="72">
        <f t="shared" si="497"/>
        <v>0.28202109158361266</v>
      </c>
      <c r="AB862" s="72">
        <f t="shared" si="498"/>
        <v>5.5689997517994555E-2</v>
      </c>
      <c r="AC862" s="72"/>
      <c r="AD862" s="72"/>
      <c r="AE862" s="72">
        <f t="shared" si="499"/>
        <v>0.5724583865879449</v>
      </c>
      <c r="AF862" s="72">
        <f t="shared" si="500"/>
        <v>0.55646678661549998</v>
      </c>
      <c r="AG862" s="72">
        <f t="shared" si="501"/>
        <v>2.9085833693872076E-2</v>
      </c>
      <c r="AH862" s="72">
        <f t="shared" si="502"/>
        <v>0.47601967335931739</v>
      </c>
      <c r="AI862" s="72">
        <f t="shared" si="503"/>
        <v>5.5892448512585818E-2</v>
      </c>
      <c r="AJ862" s="72">
        <f>(AV862-Driver!$K$179)/(Driver!$L$179-Driver!$K$179)</f>
        <v>8.5085810974135839E-2</v>
      </c>
      <c r="AK862" s="72">
        <f>(AW862-Driver!$K$180)/(Driver!$L$180-Driver!$K$180)</f>
        <v>0.19404675860572435</v>
      </c>
      <c r="AL862" s="72">
        <f>(AX862-Driver!$K$181)/(Driver!$L$181-Driver!$K$181)</f>
        <v>0.16524378675773096</v>
      </c>
      <c r="AM862" s="72">
        <f>(AY862-Driver!$K$182)/(Driver!$L$182-Driver!$K$182)</f>
        <v>0.16536392951343371</v>
      </c>
      <c r="AN862" s="72">
        <f>(AZ862-Driver!$K$183)/(Driver!$L$183-Driver!$K$183)</f>
        <v>0.19852941176470587</v>
      </c>
      <c r="AO862" s="72"/>
      <c r="AP862" s="72"/>
      <c r="AQ862" s="72">
        <f>(BC862-Driver!$K$188)/(Driver!$L$188-Driver!$K$188)</f>
        <v>4.7541613412055095E-2</v>
      </c>
      <c r="AR862" s="72">
        <f>MIN((BD862-Driver!$K$189)/(Driver!$L$189-Driver!$K$189),100%)</f>
        <v>-6.4667866154999813E-3</v>
      </c>
      <c r="AS862" s="72">
        <f>(BE862-Driver!$K$190)/(Driver!$L$190-Driver!$K$190)</f>
        <v>0.48091416630612793</v>
      </c>
      <c r="AT862" s="72">
        <f>(BF862-Driver!$K$191)/(Driver!$L$191-Driver!$K$191)</f>
        <v>3.3980326640682623E-2</v>
      </c>
      <c r="AU862" s="72">
        <f>(BG862-Driver!$K$192)/(Driver!$L$192-Driver!$K$192)</f>
        <v>0.19410755148741418</v>
      </c>
      <c r="AV862" s="70">
        <f t="shared" si="504"/>
        <v>1.7908017908017908</v>
      </c>
      <c r="AW862" s="70">
        <f t="shared" si="505"/>
        <v>20.783468676782071</v>
      </c>
      <c r="AX862" s="70">
        <f t="shared" si="506"/>
        <v>2.4871940808195787</v>
      </c>
      <c r="AY862" s="70">
        <f>IFERROR(Driver!$K$19/Data!BH862/Data!BI862*Data!BK862*Data!BL862,"")</f>
        <v>0.20245478955891982</v>
      </c>
      <c r="AZ862" s="70">
        <f t="shared" si="507"/>
        <v>18.093819806403573</v>
      </c>
      <c r="BA862" s="70"/>
      <c r="BB862" s="70"/>
      <c r="BC862" s="70">
        <f t="shared" si="508"/>
        <v>24.660165380767459</v>
      </c>
      <c r="BD862" s="70">
        <f t="shared" si="509"/>
        <v>1.148523727093828</v>
      </c>
      <c r="BE862" s="70">
        <f t="shared" si="510"/>
        <v>0.48100676537629899</v>
      </c>
      <c r="BF862" s="70">
        <f t="shared" si="511"/>
        <v>3.8378391687595412</v>
      </c>
      <c r="BG862" s="70">
        <f t="shared" si="512"/>
        <v>0.73501501716247142</v>
      </c>
      <c r="BH862" s="67">
        <f>MAX((CE862-Driver!$F$200)/(Driver!$G$200-Driver!$F$200)*$BI$1,1)</f>
        <v>2.4871940808195787</v>
      </c>
      <c r="BI862" s="67">
        <f>MAX($BI$1*(BY862-Driver!$F$201)/(Driver!$G$201-Driver!$F$201),1)</f>
        <v>6.8354430379746836</v>
      </c>
      <c r="BJ862" s="67">
        <f>(CB862-Driver!$F$206)/(Driver!$G$206-Driver!$F$206)*$BI$1</f>
        <v>5.2380952380952381</v>
      </c>
      <c r="BK862" s="67">
        <f>(CD862-Driver!$F$203)/(Driver!$G$203-Driver!$F$203)*$BI$1</f>
        <v>3.1192660550458715</v>
      </c>
      <c r="BL862" s="67">
        <f>MAX((CR862-Driver!$F$202)/(Driver!$G$202-Driver!$F$202)*$BI$1,1)</f>
        <v>5.5172413793103452</v>
      </c>
      <c r="BM862" s="67">
        <f>MAX((CH862-Driver!$F$204)/(Driver!$G$204-Driver!$F$204)*$BI$1,1)</f>
        <v>1.3675213675213675</v>
      </c>
      <c r="BN862" s="67">
        <f>(CI862-Driver!$F$205)/(Driver!$G$205-Driver!$F$205)*$BI$1</f>
        <v>2.6470588235294117</v>
      </c>
      <c r="BO862" s="67">
        <f>(CK862-Driver!$F$207)/(Driver!$G$207-Driver!$F$207)*$BI$1</f>
        <v>1.344364012409514</v>
      </c>
      <c r="BP862" s="67">
        <f>(CM862-Driver!$F$208)/(Driver!$G$208-Driver!$F$208)*$BI$1</f>
        <v>1.7000000000000002</v>
      </c>
      <c r="BQ862" s="67">
        <f>(CL862-Driver!$F$209)/(Driver!$G$209-Driver!$F$209)*$BI$1</f>
        <v>2.5</v>
      </c>
      <c r="BR862" s="28" t="s">
        <v>155</v>
      </c>
      <c r="BS862" s="8" t="s">
        <v>182</v>
      </c>
      <c r="BT862" s="9" t="s">
        <v>289</v>
      </c>
      <c r="BU862" s="10">
        <v>156</v>
      </c>
      <c r="BV862" s="9" t="s">
        <v>163</v>
      </c>
      <c r="BW862" s="10">
        <v>156</v>
      </c>
      <c r="BX862" s="10">
        <v>155.69999999999999</v>
      </c>
      <c r="BY862" s="10">
        <v>116</v>
      </c>
      <c r="BZ862" s="10">
        <v>129</v>
      </c>
      <c r="CA862" s="10">
        <v>124</v>
      </c>
      <c r="CB862" s="10">
        <v>97</v>
      </c>
      <c r="CC862" s="10">
        <v>117</v>
      </c>
      <c r="CD862" s="10">
        <v>16.2</v>
      </c>
      <c r="CE862" s="10">
        <v>1337</v>
      </c>
      <c r="CF862" s="10">
        <v>1.23</v>
      </c>
      <c r="CG862" s="10">
        <v>1645</v>
      </c>
      <c r="CH862" s="10">
        <v>133</v>
      </c>
      <c r="CI862" s="10">
        <v>78</v>
      </c>
      <c r="CJ862" s="10">
        <v>37</v>
      </c>
      <c r="CK862" s="10">
        <v>240</v>
      </c>
      <c r="CL862" s="10">
        <v>16</v>
      </c>
      <c r="CM862" s="10">
        <v>153</v>
      </c>
      <c r="CN862" s="10">
        <v>0.432</v>
      </c>
      <c r="CO862" s="10">
        <v>165</v>
      </c>
      <c r="CP862" s="10">
        <v>103</v>
      </c>
      <c r="CQ862" s="10">
        <v>74</v>
      </c>
      <c r="CR862" s="10">
        <v>5</v>
      </c>
      <c r="CS862" s="10">
        <v>9</v>
      </c>
      <c r="CT862" s="9" t="s">
        <v>188</v>
      </c>
      <c r="CU862" s="9" t="s">
        <v>185</v>
      </c>
      <c r="CV862" s="10"/>
      <c r="CW862" s="10"/>
      <c r="CX862" t="str">
        <f>INDEX('Data_Price '!AG$2:AG$1266,MATCH(Data!$DN862,'Data_Price '!$AT$2:$AT$1266,0))</f>
        <v>Armada Trace 98 Skis - Women's 2022</v>
      </c>
      <c r="CY862" t="str">
        <f>INDEX('Data_Price '!AH$2:AH$1266,MATCH(Data!$DN862,'Data_Price '!$AT$2:$AT$1266,0))</f>
        <v>Curated</v>
      </c>
      <c r="CZ862">
        <f>INDEX('Data_Price '!AI$2:AI$1266,MATCH(Data!$DN862,'Data_Price '!$AT$2:$AT$1266,0))</f>
        <v>559</v>
      </c>
      <c r="DA862" t="str">
        <f>INDEX('Data_Price '!AJ$2:AJ$1266,MATCH(Data!$DN862,'Data_Price '!$AT$2:$AT$1266,0))</f>
        <v>https://tinyurl.com/y97qram9</v>
      </c>
      <c r="DB862" t="str">
        <f>INDEX('Data_Price '!AK$2:AK$1266,MATCH(Data!$DN862,'Data_Price '!$AT$2:$AT$1266,0))</f>
        <v>Armada Trace 98 Skis - Women's 2022</v>
      </c>
      <c r="DC862" t="str">
        <f>INDEX('Data_Price '!AL$2:AL$1266,MATCH(Data!$DN862,'Data_Price '!$AT$2:$AT$1266,0))</f>
        <v>REI</v>
      </c>
      <c r="DD862">
        <f>INDEX('Data_Price '!AM$2:AM$1266,MATCH(Data!$DN862,'Data_Price '!$AT$2:$AT$1266,0))</f>
        <v>559.92999999999995</v>
      </c>
      <c r="DE862" t="str">
        <f>INDEX('Data_Price '!AN$2:AN$1266,MATCH(Data!$DN862,'Data_Price '!$AT$2:$AT$1266,0))</f>
        <v>https://tinyurl.com/y8else2n</v>
      </c>
      <c r="DF862" t="str">
        <f>INDEX('Data_Price '!AO$2:AO$1266,MATCH(Data!$DN862,'Data_Price '!$AT$2:$AT$1266,0))</f>
        <v>Armada Trace 98 Skis - Women's 2022</v>
      </c>
      <c r="DG862" t="str">
        <f>INDEX('Data_Price '!AP$2:AP$1266,MATCH(Data!$DN862,'Data_Price '!$AT$2:$AT$1266,0))</f>
        <v>SkiEssentials.com</v>
      </c>
      <c r="DH862">
        <f>INDEX('Data_Price '!AQ$2:AQ$1266,MATCH(Data!$DN862,'Data_Price '!$AT$2:$AT$1266,0))</f>
        <v>559.96</v>
      </c>
      <c r="DI862" t="str">
        <f>INDEX('Data_Price '!AR$2:AR$1266,MATCH(Data!$DN862,'Data_Price '!$AT$2:$AT$1266,0))</f>
        <v>https://tinyurl.com/ybuwd9b4</v>
      </c>
      <c r="DJ862" s="89" t="str">
        <f t="shared" si="513"/>
        <v>https://tinyurl.com/y97qram9</v>
      </c>
      <c r="DK862" s="89" t="str">
        <f t="shared" si="514"/>
        <v>https://tinyurl.com/y8else2n</v>
      </c>
      <c r="DL862" s="89" t="str">
        <f t="shared" si="515"/>
        <v>https://tinyurl.com/ybuwd9b4</v>
      </c>
      <c r="DM862" s="219" t="str">
        <f t="shared" si="516"/>
        <v>Trace 98</v>
      </c>
      <c r="DN862" s="89" t="str">
        <f t="shared" si="517"/>
        <v xml:space="preserve"> ArmadaTrace 98156 Women's</v>
      </c>
      <c r="DO862" s="221" t="s">
        <v>290</v>
      </c>
    </row>
    <row r="863" spans="2:119" ht="15.6" customHeight="1">
      <c r="B863" s="219" t="b">
        <f t="array" ref="B863">IF(OR(ISERROR(K863:P863)),FALSE,TRUE)</f>
        <v>1</v>
      </c>
      <c r="C863" s="43" t="b">
        <f>OR(BR863=Driver!$G$50,Data!BR447=Driver!$H$50)</f>
        <v>1</v>
      </c>
      <c r="D863" s="43" t="b">
        <f>OR(BV863=Driver!$G$51,BV863=Driver!$H$51)</f>
        <v>1</v>
      </c>
      <c r="E863" s="43" t="b">
        <f>AND(BX863&gt;Driver!$F$54,BX863&lt;Driver!$G$54)</f>
        <v>0</v>
      </c>
      <c r="F863" s="43" t="b">
        <f>CL863&gt;Driver!$F$56</f>
        <v>1</v>
      </c>
      <c r="G863" s="43" t="b">
        <f>AND(CB863&gt;Driver!$F$55,CB863&lt;Driver!$G$55)</f>
        <v>1</v>
      </c>
      <c r="H863" s="43" t="b">
        <f t="shared" si="481"/>
        <v>0</v>
      </c>
      <c r="I863" s="43">
        <f t="shared" si="482"/>
        <v>0</v>
      </c>
      <c r="J863" s="43" t="b">
        <f t="array" ref="J863">NOT(OR(($H$9:$H$1273=TRUE)*($I$9:$I$1273&gt;0)*($BT$9:$BT$1273=BT863)*($K$9:$K$1273&gt;K863)))</f>
        <v>1</v>
      </c>
      <c r="K863" s="72">
        <f t="shared" si="483"/>
        <v>0.6636495918873444</v>
      </c>
      <c r="L863" s="72">
        <f t="shared" si="484"/>
        <v>0.64508235344513709</v>
      </c>
      <c r="M863" s="72">
        <f t="shared" si="485"/>
        <v>0.68221683032955172</v>
      </c>
      <c r="N863" s="72">
        <f t="shared" si="486"/>
        <v>0.54309673101846179</v>
      </c>
      <c r="O863" s="72">
        <f t="shared" si="487"/>
        <v>0.64051082127572845</v>
      </c>
      <c r="P863" s="72">
        <f t="shared" si="488"/>
        <v>0.86304293869446513</v>
      </c>
      <c r="Q863" s="72"/>
      <c r="R863" s="72"/>
      <c r="S863" s="72">
        <f t="shared" si="489"/>
        <v>0.51638491704129996</v>
      </c>
      <c r="T863" s="72">
        <f t="shared" si="490"/>
        <v>0.52018239265410449</v>
      </c>
      <c r="U863" s="72">
        <f t="shared" si="491"/>
        <v>0.60938067368034188</v>
      </c>
      <c r="V863" s="72">
        <f t="shared" si="492"/>
        <v>0.53424679397858632</v>
      </c>
      <c r="W863" s="72">
        <f t="shared" si="493"/>
        <v>0.76525698097936057</v>
      </c>
      <c r="X863" s="72">
        <f t="shared" si="494"/>
        <v>0.35491764655486296</v>
      </c>
      <c r="Y863" s="72">
        <f t="shared" si="495"/>
        <v>0.31778316967044823</v>
      </c>
      <c r="Z863" s="72">
        <f t="shared" si="496"/>
        <v>0.45690326898153821</v>
      </c>
      <c r="AA863" s="72">
        <f t="shared" si="497"/>
        <v>0.35948917872427161</v>
      </c>
      <c r="AB863" s="72">
        <f t="shared" si="498"/>
        <v>0.13695706130553492</v>
      </c>
      <c r="AC863" s="72"/>
      <c r="AD863" s="72"/>
      <c r="AE863" s="72">
        <f t="shared" si="499"/>
        <v>0.48361508295870004</v>
      </c>
      <c r="AF863" s="72">
        <f t="shared" si="500"/>
        <v>0.47981760734589551</v>
      </c>
      <c r="AG863" s="72">
        <f t="shared" si="501"/>
        <v>0.39061932631965812</v>
      </c>
      <c r="AH863" s="72">
        <f t="shared" si="502"/>
        <v>0.46575320602141368</v>
      </c>
      <c r="AI863" s="72">
        <f t="shared" si="503"/>
        <v>0.23474301902063943</v>
      </c>
      <c r="AJ863" s="72">
        <f>(AV863-Driver!$K$179)/(Driver!$L$179-Driver!$K$179)</f>
        <v>0.60913705583756339</v>
      </c>
      <c r="AK863" s="72">
        <f>(AW863-Driver!$K$180)/(Driver!$L$180-Driver!$K$180)</f>
        <v>0.40955294853265001</v>
      </c>
      <c r="AL863" s="72">
        <f>(AX863-Driver!$K$181)/(Driver!$L$181-Driver!$K$181)</f>
        <v>0.55859103269461841</v>
      </c>
      <c r="AM863" s="72">
        <f>(AY863-Driver!$K$182)/(Driver!$L$182-Driver!$K$182)</f>
        <v>8.7895842372774771E-2</v>
      </c>
      <c r="AN863" s="72">
        <f>(AZ863-Driver!$K$183)/(Driver!$L$183-Driver!$K$183)</f>
        <v>0.39117647058823535</v>
      </c>
      <c r="AO863" s="72"/>
      <c r="AP863" s="72"/>
      <c r="AQ863" s="72">
        <f>(BC863-Driver!$K$188)/(Driver!$L$188-Driver!$K$188)</f>
        <v>0.13638491704129996</v>
      </c>
      <c r="AR863" s="72">
        <f>MIN((BD863-Driver!$K$189)/(Driver!$L$189-Driver!$K$189),100%)</f>
        <v>7.0182392654104503E-2</v>
      </c>
      <c r="AS863" s="72">
        <f>(BE863-Driver!$K$190)/(Driver!$L$190-Driver!$K$190)</f>
        <v>0.11938067368034191</v>
      </c>
      <c r="AT863" s="72">
        <f>(BF863-Driver!$K$191)/(Driver!$L$191-Driver!$K$191)</f>
        <v>4.4246793978586316E-2</v>
      </c>
      <c r="AU863" s="72">
        <f>(BG863-Driver!$K$192)/(Driver!$L$192-Driver!$K$192)</f>
        <v>1.525698097936058E-2</v>
      </c>
      <c r="AV863" s="70">
        <f t="shared" si="504"/>
        <v>12.820512820512819</v>
      </c>
      <c r="AW863" s="70">
        <f t="shared" si="505"/>
        <v>41.786456464262173</v>
      </c>
      <c r="AX863" s="70">
        <f t="shared" si="506"/>
        <v>6.0273192942515657</v>
      </c>
      <c r="AY863" s="70">
        <f>IFERROR(Driver!$K$19/Data!BH863/Data!BI863*Data!BK863*Data!BL863,"")</f>
        <v>0.10761073665244809</v>
      </c>
      <c r="AZ863" s="70">
        <f t="shared" si="507"/>
        <v>35.651526433358157</v>
      </c>
      <c r="BA863" s="70"/>
      <c r="BB863" s="70"/>
      <c r="BC863" s="70">
        <f t="shared" si="508"/>
        <v>70.743804601883454</v>
      </c>
      <c r="BD863" s="70">
        <f t="shared" si="509"/>
        <v>7.9318402781447146</v>
      </c>
      <c r="BE863" s="70">
        <f t="shared" si="510"/>
        <v>0.11953776625636463</v>
      </c>
      <c r="BF863" s="70">
        <f t="shared" si="511"/>
        <v>4.9973645285606665</v>
      </c>
      <c r="BG863" s="70">
        <f t="shared" si="512"/>
        <v>5.7772662889518413E-2</v>
      </c>
      <c r="BH863" s="67">
        <f>MAX((CE863-Driver!$F$200)/(Driver!$G$200-Driver!$F$200)*$BI$1,1)</f>
        <v>6.0273192942515657</v>
      </c>
      <c r="BI863" s="67">
        <f>MAX($BI$1*(BY863-Driver!$F$201)/(Driver!$G$201-Driver!$F$201),1)</f>
        <v>7.9746835443037973</v>
      </c>
      <c r="BJ863" s="67">
        <f>(CB863-Driver!$F$206)/(Driver!$G$206-Driver!$F$206)*$BI$1</f>
        <v>6.3492063492063489</v>
      </c>
      <c r="BK863" s="67">
        <f>(CD863-Driver!$F$203)/(Driver!$G$203-Driver!$F$203)*$BI$1</f>
        <v>5.0000000000000009</v>
      </c>
      <c r="BL863" s="67">
        <f>MAX((CR863-Driver!$F$202)/(Driver!$G$202-Driver!$F$202)*$BI$1,1)</f>
        <v>5.1724137931034484</v>
      </c>
      <c r="BM863" s="67">
        <f>MAX((CH863-Driver!$F$204)/(Driver!$G$204-Driver!$F$204)*$BI$1,1)</f>
        <v>8.0769230769230766</v>
      </c>
      <c r="BN863" s="67">
        <f>(CI863-Driver!$F$205)/(Driver!$G$205-Driver!$F$205)*$BI$1</f>
        <v>4.4705882352941178</v>
      </c>
      <c r="BO863" s="67">
        <f>(CK863-Driver!$F$207)/(Driver!$G$207-Driver!$F$207)*$BI$1</f>
        <v>1.2926577042399172</v>
      </c>
      <c r="BP863" s="67">
        <f>(CM863-Driver!$F$208)/(Driver!$G$208-Driver!$F$208)*$BI$1</f>
        <v>3.0444444444444447</v>
      </c>
      <c r="BQ863" s="67">
        <f>(CL863-Driver!$F$209)/(Driver!$G$209-Driver!$F$209)*$BI$1</f>
        <v>2.8125</v>
      </c>
      <c r="BR863" s="28" t="s">
        <v>155</v>
      </c>
      <c r="BS863" s="8" t="s">
        <v>164</v>
      </c>
      <c r="BT863" s="9" t="s">
        <v>313</v>
      </c>
      <c r="BU863" s="10">
        <v>188</v>
      </c>
      <c r="BV863" s="9" t="s">
        <v>158</v>
      </c>
      <c r="BW863" s="10">
        <v>188</v>
      </c>
      <c r="BX863" s="10">
        <v>184.7</v>
      </c>
      <c r="BY863" s="10">
        <v>134</v>
      </c>
      <c r="BZ863" s="10">
        <v>150</v>
      </c>
      <c r="CA863" s="10">
        <v>143</v>
      </c>
      <c r="CB863" s="10">
        <v>104</v>
      </c>
      <c r="CC863" s="10">
        <v>119</v>
      </c>
      <c r="CD863" s="10">
        <v>20.3</v>
      </c>
      <c r="CE863" s="10">
        <v>1959</v>
      </c>
      <c r="CF863" s="10">
        <v>1.0900000000000001</v>
      </c>
      <c r="CG863" s="10">
        <v>2136</v>
      </c>
      <c r="CH863" s="10">
        <v>290</v>
      </c>
      <c r="CI863" s="10">
        <v>109</v>
      </c>
      <c r="CJ863" s="10">
        <v>49</v>
      </c>
      <c r="CK863" s="10">
        <v>235</v>
      </c>
      <c r="CL863" s="10">
        <v>18</v>
      </c>
      <c r="CM863" s="10">
        <v>274</v>
      </c>
      <c r="CN863" s="10">
        <v>0.36099999999999999</v>
      </c>
      <c r="CO863" s="10">
        <v>179</v>
      </c>
      <c r="CP863" s="10">
        <v>173</v>
      </c>
      <c r="CQ863" s="10">
        <v>55</v>
      </c>
      <c r="CR863" s="10">
        <v>4</v>
      </c>
      <c r="CS863" s="10">
        <v>10.3</v>
      </c>
      <c r="CT863" s="9" t="s">
        <v>188</v>
      </c>
      <c r="CU863" s="9" t="s">
        <v>169</v>
      </c>
      <c r="CV863" s="9" t="s">
        <v>178</v>
      </c>
      <c r="CW863" s="9" t="s">
        <v>185</v>
      </c>
      <c r="CX863" t="str">
        <f>INDEX('Data_Price '!AG$2:AG$1266,MATCH(Data!$DN863,'Data_Price '!$AT$2:$AT$1266,0))</f>
        <v>Elan Ripstick 106 Skis</v>
      </c>
      <c r="CY863" t="str">
        <f>INDEX('Data_Price '!AH$2:AH$1266,MATCH(Data!$DN863,'Data_Price '!$AT$2:$AT$1266,0))</f>
        <v>Gorham Bike and Ski</v>
      </c>
      <c r="CZ863">
        <f>INDEX('Data_Price '!AI$2:AI$1266,MATCH(Data!$DN863,'Data_Price '!$AT$2:$AT$1266,0))</f>
        <v>489.99</v>
      </c>
      <c r="DA863" t="str">
        <f>INDEX('Data_Price '!AJ$2:AJ$1266,MATCH(Data!$DN863,'Data_Price '!$AT$2:$AT$1266,0))</f>
        <v>https://tinyurl.com/ybdbkyg6</v>
      </c>
      <c r="DB863" t="str">
        <f>INDEX('Data_Price '!AK$2:AK$1266,MATCH(Data!$DN863,'Data_Price '!$AT$2:$AT$1266,0))</f>
        <v>Elan Ripstick 106 Flat Ski 2020-2021 | BLUE YEL / 188</v>
      </c>
      <c r="DC863" t="str">
        <f>INDEX('Data_Price '!AL$2:AL$1266,MATCH(Data!$DN863,'Data_Price '!$AT$2:$AT$1266,0))</f>
        <v>Ski Pro  - Snow Ski &amp; Snowboard</v>
      </c>
      <c r="DD863">
        <f>INDEX('Data_Price '!AM$2:AM$1266,MATCH(Data!$DN863,'Data_Price '!$AT$2:$AT$1266,0))</f>
        <v>499.95</v>
      </c>
      <c r="DE863" t="str">
        <f>INDEX('Data_Price '!AN$2:AN$1266,MATCH(Data!$DN863,'Data_Price '!$AT$2:$AT$1266,0))</f>
        <v>https://tinyurl.com/yb7zkzfl</v>
      </c>
      <c r="DF863" t="str">
        <f>INDEX('Data_Price '!AO$2:AO$1266,MATCH(Data!$DN863,'Data_Price '!$AT$2:$AT$1266,0))</f>
        <v>Elan Ripstick 106 Skis 2022</v>
      </c>
      <c r="DG863" t="str">
        <f>INDEX('Data_Price '!AP$2:AP$1266,MATCH(Data!$DN863,'Data_Price '!$AT$2:$AT$1266,0))</f>
        <v>Level Nine Sports</v>
      </c>
      <c r="DH863">
        <f>INDEX('Data_Price '!AQ$2:AQ$1266,MATCH(Data!$DN863,'Data_Price '!$AT$2:$AT$1266,0))</f>
        <v>524.99</v>
      </c>
      <c r="DI863" t="str">
        <f>INDEX('Data_Price '!AR$2:AR$1266,MATCH(Data!$DN863,'Data_Price '!$AT$2:$AT$1266,0))</f>
        <v>https://tinyurl.com/ybppsnm8</v>
      </c>
      <c r="DJ863" s="89" t="str">
        <f t="shared" si="513"/>
        <v>https://tinyurl.com/ybdbkyg6</v>
      </c>
      <c r="DK863" s="89" t="str">
        <f t="shared" si="514"/>
        <v>https://tinyurl.com/yb7zkzfl</v>
      </c>
      <c r="DL863" s="89" t="str">
        <f t="shared" si="515"/>
        <v>https://tinyurl.com/ybppsnm8</v>
      </c>
      <c r="DM863" s="219" t="str">
        <f t="shared" si="516"/>
        <v>Ripstick 106</v>
      </c>
      <c r="DN863" s="89" t="str">
        <f t="shared" si="517"/>
        <v xml:space="preserve"> ElanRipstick 106188 Unisex</v>
      </c>
      <c r="DO863" s="221" t="s">
        <v>314</v>
      </c>
    </row>
    <row r="864" spans="2:119" ht="15.6" customHeight="1">
      <c r="B864" s="219" t="b">
        <f t="array" ref="B864">IF(OR(ISERROR(K864:P864)),FALSE,TRUE)</f>
        <v>1</v>
      </c>
      <c r="C864" s="43" t="b">
        <f>OR(BR864=Driver!$G$50,Data!BR691=Driver!$H$50)</f>
        <v>1</v>
      </c>
      <c r="D864" s="43" t="b">
        <f>OR(BV864=Driver!$G$51,BV864=Driver!$H$51)</f>
        <v>0</v>
      </c>
      <c r="E864" s="43" t="b">
        <f>AND(BX864&gt;Driver!$F$54,BX864&lt;Driver!$G$54)</f>
        <v>1</v>
      </c>
      <c r="F864" s="43" t="b">
        <f>CL864&gt;Driver!$F$56</f>
        <v>1</v>
      </c>
      <c r="G864" s="43" t="b">
        <f>AND(CB864&gt;Driver!$F$55,CB864&lt;Driver!$G$55)</f>
        <v>0</v>
      </c>
      <c r="H864" s="43" t="b">
        <f t="shared" si="481"/>
        <v>0</v>
      </c>
      <c r="I864" s="43">
        <f t="shared" si="482"/>
        <v>0</v>
      </c>
      <c r="J864" s="43" t="b">
        <f t="array" ref="J864">NOT(OR(($H$9:$H$1273=TRUE)*($I$9:$I$1273&gt;0)*($BT$9:$BT$1273=BT864)*($K$9:$K$1273&gt;K864)))</f>
        <v>1</v>
      </c>
      <c r="K864" s="72">
        <f t="shared" si="483"/>
        <v>0.84307180257684788</v>
      </c>
      <c r="L864" s="72">
        <f t="shared" si="484"/>
        <v>0.90563878103234263</v>
      </c>
      <c r="M864" s="72">
        <f t="shared" si="485"/>
        <v>0.78050482412135314</v>
      </c>
      <c r="N864" s="72">
        <f t="shared" si="486"/>
        <v>0.83336423244134172</v>
      </c>
      <c r="O864" s="72">
        <f t="shared" si="487"/>
        <v>0.6263402374407121</v>
      </c>
      <c r="P864" s="72">
        <f t="shared" si="488"/>
        <v>0.88181000248200547</v>
      </c>
      <c r="Q864" s="72"/>
      <c r="R864" s="72"/>
      <c r="S864" s="72">
        <f t="shared" si="489"/>
        <v>0.39828735159825068</v>
      </c>
      <c r="T864" s="72">
        <f t="shared" si="490"/>
        <v>0.49591887720248073</v>
      </c>
      <c r="U864" s="72">
        <f t="shared" si="491"/>
        <v>0.59171029894121907</v>
      </c>
      <c r="V864" s="72">
        <f t="shared" si="492"/>
        <v>0.6394450279570012</v>
      </c>
      <c r="W864" s="72">
        <f t="shared" si="493"/>
        <v>0.82952343750000002</v>
      </c>
      <c r="X864" s="72">
        <f t="shared" si="494"/>
        <v>9.436121896765734E-2</v>
      </c>
      <c r="Y864" s="72">
        <f t="shared" si="495"/>
        <v>0.21949517587864689</v>
      </c>
      <c r="Z864" s="72">
        <f t="shared" si="496"/>
        <v>0.16663576755865828</v>
      </c>
      <c r="AA864" s="72">
        <f t="shared" si="497"/>
        <v>0.37365976255928784</v>
      </c>
      <c r="AB864" s="72">
        <f t="shared" si="498"/>
        <v>0.11818999751799453</v>
      </c>
      <c r="AC864" s="72"/>
      <c r="AD864" s="72"/>
      <c r="AE864" s="72">
        <f t="shared" si="499"/>
        <v>0.60171264840174932</v>
      </c>
      <c r="AF864" s="72">
        <f t="shared" si="500"/>
        <v>0.50408112279751927</v>
      </c>
      <c r="AG864" s="72">
        <f t="shared" si="501"/>
        <v>0.40828970105878087</v>
      </c>
      <c r="AH864" s="72">
        <f t="shared" si="502"/>
        <v>0.3605549720429988</v>
      </c>
      <c r="AI864" s="72">
        <f t="shared" si="503"/>
        <v>0.17047656250000001</v>
      </c>
      <c r="AJ864" s="72">
        <f>(AV864-Driver!$K$179)/(Driver!$L$179-Driver!$K$179)</f>
        <v>0.15985819031504309</v>
      </c>
      <c r="AK864" s="72">
        <f>(AW864-Driver!$K$180)/(Driver!$L$180-Driver!$K$180)</f>
        <v>0.14396739320485308</v>
      </c>
      <c r="AL864" s="72">
        <f>(AX864-Driver!$K$181)/(Driver!$L$181-Driver!$K$181)</f>
        <v>0.26832353127173847</v>
      </c>
      <c r="AM864" s="72">
        <f>(AY864-Driver!$K$182)/(Driver!$L$182-Driver!$K$182)</f>
        <v>7.372525853775852E-2</v>
      </c>
      <c r="AN864" s="72">
        <f>(AZ864-Driver!$K$183)/(Driver!$L$183-Driver!$K$183)</f>
        <v>0.1360294117647059</v>
      </c>
      <c r="AO864" s="72"/>
      <c r="AP864" s="72"/>
      <c r="AQ864" s="72">
        <f>(BC864-Driver!$K$188)/(Driver!$L$188-Driver!$K$188)</f>
        <v>1.8287351598250661E-2</v>
      </c>
      <c r="AR864" s="72">
        <f>MIN((BD864-Driver!$K$189)/(Driver!$L$189-Driver!$K$189),100%)</f>
        <v>4.5918877202480807E-2</v>
      </c>
      <c r="AS864" s="72">
        <f>(BE864-Driver!$K$190)/(Driver!$L$190-Driver!$K$190)</f>
        <v>0.10171029894121915</v>
      </c>
      <c r="AT864" s="72">
        <f>(BF864-Driver!$K$191)/(Driver!$L$191-Driver!$K$191)</f>
        <v>0.14944502795700124</v>
      </c>
      <c r="AU864" s="72">
        <f>(BG864-Driver!$K$192)/(Driver!$L$192-Driver!$K$192)</f>
        <v>7.9523437499999988E-2</v>
      </c>
      <c r="AV864" s="70">
        <f t="shared" si="504"/>
        <v>3.3645366978700308</v>
      </c>
      <c r="AW864" s="70">
        <f t="shared" si="505"/>
        <v>15.902790770147904</v>
      </c>
      <c r="AX864" s="70">
        <f t="shared" si="506"/>
        <v>3.414911781445646</v>
      </c>
      <c r="AY864" s="70">
        <f>IFERROR(Driver!$K$19/Data!BH864/Data!BI864*Data!BK864*Data!BL864,"")</f>
        <v>9.0261713944251115E-2</v>
      </c>
      <c r="AZ864" s="70">
        <f t="shared" si="507"/>
        <v>12.397617274758007</v>
      </c>
      <c r="BA864" s="70"/>
      <c r="BB864" s="70"/>
      <c r="BC864" s="70">
        <f t="shared" si="508"/>
        <v>9.4857764056183989</v>
      </c>
      <c r="BD864" s="70">
        <f t="shared" si="509"/>
        <v>5.7845621530814029</v>
      </c>
      <c r="BE864" s="70">
        <f t="shared" si="510"/>
        <v>0.10187054371320678</v>
      </c>
      <c r="BF864" s="70">
        <f t="shared" si="511"/>
        <v>16.878765997001086</v>
      </c>
      <c r="BG864" s="70">
        <f t="shared" si="512"/>
        <v>0.30112646484375</v>
      </c>
      <c r="BH864" s="67">
        <f>MAX((CE864-Driver!$F$200)/(Driver!$G$200-Driver!$F$200)*$BI$1,1)</f>
        <v>3.414911781445646</v>
      </c>
      <c r="BI864" s="67">
        <f>MAX($BI$1*(BY864-Driver!$F$201)/(Driver!$G$201-Driver!$F$201),1)</f>
        <v>5.6962025316455698</v>
      </c>
      <c r="BJ864" s="67">
        <f>(CB864-Driver!$F$206)/(Driver!$G$206-Driver!$F$206)*$BI$1</f>
        <v>4.92063492063492</v>
      </c>
      <c r="BK864" s="67">
        <f>(CD864-Driver!$F$203)/(Driver!$G$203-Driver!$F$203)*$BI$1</f>
        <v>1.6972477064220182</v>
      </c>
      <c r="BL864" s="67">
        <f>MAX((CR864-Driver!$F$202)/(Driver!$G$202-Driver!$F$202)*$BI$1,1)</f>
        <v>5.1724137931034484</v>
      </c>
      <c r="BM864" s="67">
        <f>MAX((CH864-Driver!$F$204)/(Driver!$G$204-Driver!$F$204)*$BI$1,1)</f>
        <v>2.7350427350427351</v>
      </c>
      <c r="BN864" s="67">
        <f>(CI864-Driver!$F$205)/(Driver!$G$205-Driver!$F$205)*$BI$1</f>
        <v>2.1764705882352944</v>
      </c>
      <c r="BO864" s="67">
        <f>(CK864-Driver!$F$207)/(Driver!$G$207-Driver!$F$207)*$BI$1</f>
        <v>2.1923474663908995</v>
      </c>
      <c r="BP864" s="67">
        <f>(CM864-Driver!$F$208)/(Driver!$G$208-Driver!$F$208)*$BI$1</f>
        <v>2.6555555555555554</v>
      </c>
      <c r="BQ864" s="67">
        <f>(CL864-Driver!$F$209)/(Driver!$G$209-Driver!$F$209)*$BI$1</f>
        <v>2.8125</v>
      </c>
      <c r="BR864" s="28" t="s">
        <v>155</v>
      </c>
      <c r="BS864" s="8" t="s">
        <v>295</v>
      </c>
      <c r="BT864" s="9" t="s">
        <v>608</v>
      </c>
      <c r="BU864" s="10">
        <v>155</v>
      </c>
      <c r="BV864" s="9" t="s">
        <v>163</v>
      </c>
      <c r="BW864" s="10">
        <v>155</v>
      </c>
      <c r="BX864" s="10">
        <v>154.19999999999999</v>
      </c>
      <c r="BY864" s="10">
        <v>98</v>
      </c>
      <c r="BZ864" s="10">
        <v>125</v>
      </c>
      <c r="CA864" s="10">
        <v>130</v>
      </c>
      <c r="CB864" s="10">
        <v>95</v>
      </c>
      <c r="CC864" s="10">
        <v>117</v>
      </c>
      <c r="CD864" s="10">
        <v>13.1</v>
      </c>
      <c r="CE864" s="10">
        <v>1500</v>
      </c>
      <c r="CF864" s="10">
        <v>1.0900000000000001</v>
      </c>
      <c r="CG864" s="10">
        <v>1641</v>
      </c>
      <c r="CH864" s="10">
        <v>165</v>
      </c>
      <c r="CI864" s="10">
        <v>70</v>
      </c>
      <c r="CJ864" s="10">
        <v>56</v>
      </c>
      <c r="CK864" s="10">
        <v>322</v>
      </c>
      <c r="CL864" s="10">
        <v>18</v>
      </c>
      <c r="CM864" s="10">
        <v>239</v>
      </c>
      <c r="CN864" s="10">
        <v>0.314</v>
      </c>
      <c r="CO864" s="10">
        <v>187</v>
      </c>
      <c r="CP864" s="10">
        <v>109</v>
      </c>
      <c r="CQ864" s="10">
        <v>135</v>
      </c>
      <c r="CR864" s="10">
        <v>4</v>
      </c>
      <c r="CS864" s="10">
        <v>8.1999999999999993</v>
      </c>
      <c r="CT864" s="9" t="s">
        <v>188</v>
      </c>
      <c r="CU864" s="9" t="s">
        <v>185</v>
      </c>
      <c r="CV864" s="10"/>
      <c r="CW864" s="10"/>
      <c r="CX864" t="str">
        <f>INDEX('Data_Price '!AG$2:AG$1266,MATCH(Data!$DN864,'Data_Price '!$AT$2:$AT$1266,0))</f>
        <v>Icelantic Riveter 95 Women's Skis Â· 2022 Â· 155 cm</v>
      </c>
      <c r="CY864" t="str">
        <f>INDEX('Data_Price '!AH$2:AH$1266,MATCH(Data!$DN864,'Data_Price '!$AT$2:$AT$1266,0))</f>
        <v>Curated</v>
      </c>
      <c r="CZ864">
        <f>INDEX('Data_Price '!AI$2:AI$1266,MATCH(Data!$DN864,'Data_Price '!$AT$2:$AT$1266,0))</f>
        <v>509</v>
      </c>
      <c r="DA864" t="str">
        <f>INDEX('Data_Price '!AJ$2:AJ$1266,MATCH(Data!$DN864,'Data_Price '!$AT$2:$AT$1266,0))</f>
        <v>https://tinyurl.com/yawoehjq</v>
      </c>
      <c r="DB864" t="str">
        <f>INDEX('Data_Price '!AK$2:AK$1266,MATCH(Data!$DN864,'Data_Price '!$AT$2:$AT$1266,0))</f>
        <v>Icelantic Riveter 95 Skis - Women's 2022 155cm</v>
      </c>
      <c r="DC864" t="str">
        <f>INDEX('Data_Price '!AL$2:AL$1266,MATCH(Data!$DN864,'Data_Price '!$AT$2:$AT$1266,0))</f>
        <v>Glacier Ski Shop</v>
      </c>
      <c r="DD864">
        <f>INDEX('Data_Price '!AM$2:AM$1266,MATCH(Data!$DN864,'Data_Price '!$AT$2:$AT$1266,0))</f>
        <v>509</v>
      </c>
      <c r="DE864" t="str">
        <f>INDEX('Data_Price '!AN$2:AN$1266,MATCH(Data!$DN864,'Data_Price '!$AT$2:$AT$1266,0))</f>
        <v>https://tinyurl.com/yar5hfkg</v>
      </c>
      <c r="DF864" t="str">
        <f>INDEX('Data_Price '!AO$2:AO$1266,MATCH(Data!$DN864,'Data_Price '!$AT$2:$AT$1266,0))</f>
        <v>Icelantic Riveter 95 Women's Skis Â· 2022 Â· 155 cm</v>
      </c>
      <c r="DG864" t="str">
        <f>INDEX('Data_Price '!AP$2:AP$1266,MATCH(Data!$DN864,'Data_Price '!$AT$2:$AT$1266,0))</f>
        <v>Teton Wasatch Ski Co.</v>
      </c>
      <c r="DH864">
        <f>INDEX('Data_Price '!AQ$2:AQ$1266,MATCH(Data!$DN864,'Data_Price '!$AT$2:$AT$1266,0))</f>
        <v>509</v>
      </c>
      <c r="DI864" t="str">
        <f>INDEX('Data_Price '!AR$2:AR$1266,MATCH(Data!$DN864,'Data_Price '!$AT$2:$AT$1266,0))</f>
        <v>https://tinyurl.com/y8gx2b27</v>
      </c>
      <c r="DJ864" s="89" t="str">
        <f t="shared" si="513"/>
        <v>https://tinyurl.com/yawoehjq</v>
      </c>
      <c r="DK864" s="89" t="str">
        <f t="shared" si="514"/>
        <v>https://tinyurl.com/yar5hfkg</v>
      </c>
      <c r="DL864" s="89" t="str">
        <f t="shared" si="515"/>
        <v>https://tinyurl.com/y8gx2b27</v>
      </c>
      <c r="DM864" s="219" t="str">
        <f t="shared" si="516"/>
        <v>Riveter 95</v>
      </c>
      <c r="DN864" s="89" t="str">
        <f t="shared" si="517"/>
        <v xml:space="preserve"> IcelanticRiveter 95155 Women's</v>
      </c>
      <c r="DO864" s="221" t="s">
        <v>609</v>
      </c>
    </row>
    <row r="865" spans="2:119" ht="15.6" customHeight="1">
      <c r="B865" s="219" t="b">
        <f t="array" ref="B865">IF(OR(ISERROR(K865:P865)),FALSE,TRUE)</f>
        <v>1</v>
      </c>
      <c r="C865" s="43" t="b">
        <f>OR(BR865=Driver!$G$50,Data!BR509=Driver!$H$50)</f>
        <v>1</v>
      </c>
      <c r="D865" s="43" t="b">
        <f>OR(BV865=Driver!$G$51,BV865=Driver!$H$51)</f>
        <v>1</v>
      </c>
      <c r="E865" s="43" t="b">
        <f>AND(BX865&gt;Driver!$F$54,BX865&lt;Driver!$G$54)</f>
        <v>0</v>
      </c>
      <c r="F865" s="43" t="b">
        <f>CL865&gt;Driver!$F$56</f>
        <v>1</v>
      </c>
      <c r="G865" s="43" t="b">
        <f>AND(CB865&gt;Driver!$F$55,CB865&lt;Driver!$G$55)</f>
        <v>0</v>
      </c>
      <c r="H865" s="43" t="b">
        <f t="shared" si="481"/>
        <v>0</v>
      </c>
      <c r="I865" s="43">
        <f t="shared" si="482"/>
        <v>0</v>
      </c>
      <c r="J865" s="43" t="b">
        <f t="array" ref="J865">NOT(OR(($H$9:$H$1273=TRUE)*($I$9:$I$1273&gt;0)*($BT$9:$BT$1273=BT865)*($K$9:$K$1273&gt;K865)))</f>
        <v>1</v>
      </c>
      <c r="K865" s="72">
        <f t="shared" si="483"/>
        <v>0.83844951233534892</v>
      </c>
      <c r="L865" s="72">
        <f t="shared" si="484"/>
        <v>0.98605131829767179</v>
      </c>
      <c r="M865" s="72">
        <f t="shared" si="485"/>
        <v>0.69084770637302606</v>
      </c>
      <c r="N865" s="72">
        <f t="shared" si="486"/>
        <v>0.71068036473755369</v>
      </c>
      <c r="O865" s="72">
        <f t="shared" si="487"/>
        <v>0.67831327973934719</v>
      </c>
      <c r="P865" s="72">
        <f t="shared" si="488"/>
        <v>0.68354947464217752</v>
      </c>
      <c r="Q865" s="72"/>
      <c r="R865" s="72"/>
      <c r="S865" s="72">
        <f t="shared" si="489"/>
        <v>0.61429089505346746</v>
      </c>
      <c r="T865" s="72">
        <f t="shared" si="490"/>
        <v>0.57332531580512724</v>
      </c>
      <c r="U865" s="72">
        <f t="shared" si="491"/>
        <v>0.70767565039871194</v>
      </c>
      <c r="V865" s="72">
        <f t="shared" si="492"/>
        <v>0.50807809816690253</v>
      </c>
      <c r="W865" s="72">
        <f t="shared" si="493"/>
        <v>0.78009366019796356</v>
      </c>
      <c r="X865" s="72">
        <f t="shared" si="494"/>
        <v>1.3948681702328214E-2</v>
      </c>
      <c r="Y865" s="72">
        <f t="shared" si="495"/>
        <v>0.30915229362697388</v>
      </c>
      <c r="Z865" s="72">
        <f t="shared" si="496"/>
        <v>0.28931963526244631</v>
      </c>
      <c r="AA865" s="72">
        <f t="shared" si="497"/>
        <v>0.32168672026065281</v>
      </c>
      <c r="AB865" s="72">
        <f t="shared" si="498"/>
        <v>0.31645052535782242</v>
      </c>
      <c r="AC865" s="72"/>
      <c r="AD865" s="72"/>
      <c r="AE865" s="72">
        <f t="shared" si="499"/>
        <v>0.38570910494653254</v>
      </c>
      <c r="AF865" s="72">
        <f t="shared" si="500"/>
        <v>0.42667468419487276</v>
      </c>
      <c r="AG865" s="72">
        <f t="shared" si="501"/>
        <v>0.29232434960128806</v>
      </c>
      <c r="AH865" s="72">
        <f t="shared" si="502"/>
        <v>0.49192190183309747</v>
      </c>
      <c r="AI865" s="72">
        <f t="shared" si="503"/>
        <v>0.21990633980203639</v>
      </c>
      <c r="AJ865" s="72">
        <f>(AV865-Driver!$K$179)/(Driver!$L$179-Driver!$K$179)</f>
        <v>0.24027072758037221</v>
      </c>
      <c r="AK865" s="72">
        <f>(AW865-Driver!$K$180)/(Driver!$L$180-Driver!$K$180)</f>
        <v>0.56240643601080464</v>
      </c>
      <c r="AL865" s="72">
        <f>(AX865-Driver!$K$181)/(Driver!$L$181-Driver!$K$181)</f>
        <v>0.3910073989755265</v>
      </c>
      <c r="AM865" s="72">
        <f>(AY865-Driver!$K$182)/(Driver!$L$182-Driver!$K$182)</f>
        <v>0.12569830083639358</v>
      </c>
      <c r="AN865" s="72">
        <f>(AZ865-Driver!$K$183)/(Driver!$L$183-Driver!$K$183)</f>
        <v>0.57066993464052285</v>
      </c>
      <c r="AO865" s="72"/>
      <c r="AP865" s="72"/>
      <c r="AQ865" s="72">
        <f>(BC865-Driver!$K$188)/(Driver!$L$188-Driver!$K$188)</f>
        <v>0.23429089505346748</v>
      </c>
      <c r="AR865" s="72">
        <f>MIN((BD865-Driver!$K$189)/(Driver!$L$189-Driver!$K$189),100%)</f>
        <v>0.12332531580512732</v>
      </c>
      <c r="AS865" s="72">
        <f>(BE865-Driver!$K$190)/(Driver!$L$190-Driver!$K$190)</f>
        <v>0.21767565039871198</v>
      </c>
      <c r="AT865" s="72">
        <f>(BF865-Driver!$K$191)/(Driver!$L$191-Driver!$K$191)</f>
        <v>1.8078098166902538E-2</v>
      </c>
      <c r="AU865" s="72">
        <f>(BG865-Driver!$K$192)/(Driver!$L$192-Driver!$K$192)</f>
        <v>3.0093660197963598E-2</v>
      </c>
      <c r="AV865" s="70">
        <f t="shared" si="504"/>
        <v>5.0569800569800565</v>
      </c>
      <c r="AW865" s="70">
        <f t="shared" si="505"/>
        <v>56.683383238690368</v>
      </c>
      <c r="AX865" s="70">
        <f t="shared" si="506"/>
        <v>4.5190665907797385</v>
      </c>
      <c r="AY865" s="70">
        <f>IFERROR(Driver!$K$19/Data!BH865/Data!BI865*Data!BK865*Data!BL865,"")</f>
        <v>0.15389222497690172</v>
      </c>
      <c r="AZ865" s="70">
        <f t="shared" si="507"/>
        <v>52.010424422933731</v>
      </c>
      <c r="BA865" s="70"/>
      <c r="BB865" s="70"/>
      <c r="BC865" s="70">
        <f t="shared" si="508"/>
        <v>121.5283160281116</v>
      </c>
      <c r="BD865" s="70">
        <f t="shared" si="509"/>
        <v>12.634894813322369</v>
      </c>
      <c r="BE865" s="70">
        <f t="shared" si="510"/>
        <v>0.21781520825724521</v>
      </c>
      <c r="BF865" s="70">
        <f t="shared" si="511"/>
        <v>2.0417941821239904</v>
      </c>
      <c r="BG865" s="70">
        <f t="shared" si="512"/>
        <v>0.11395379518927165</v>
      </c>
      <c r="BH865" s="67">
        <f>MAX((CE865-Driver!$F$200)/(Driver!$G$200-Driver!$F$200)*$BI$1,1)</f>
        <v>4.5190665907797385</v>
      </c>
      <c r="BI865" s="67">
        <f>MAX($BI$1*(BY865-Driver!$F$201)/(Driver!$G$201-Driver!$F$201),1)</f>
        <v>8.037974683544304</v>
      </c>
      <c r="BJ865" s="67">
        <f>(CB865-Driver!$F$206)/(Driver!$G$206-Driver!$F$206)*$BI$1</f>
        <v>3.333333333333333</v>
      </c>
      <c r="BK865" s="67">
        <f>(CD865-Driver!$F$203)/(Driver!$G$203-Driver!$F$203)*$BI$1</f>
        <v>4.2660550458715596</v>
      </c>
      <c r="BL865" s="67">
        <f>MAX((CR865-Driver!$F$202)/(Driver!$G$202-Driver!$F$202)*$BI$1,1)</f>
        <v>6.5517241379310338</v>
      </c>
      <c r="BM865" s="67">
        <f>MAX((CH865-Driver!$F$204)/(Driver!$G$204-Driver!$F$204)*$BI$1,1)</f>
        <v>6.0683760683760681</v>
      </c>
      <c r="BN865" s="67">
        <f>(CI865-Driver!$F$205)/(Driver!$G$205-Driver!$F$205)*$BI$1</f>
        <v>6.4705882352941178</v>
      </c>
      <c r="BO865" s="67">
        <f>(CK865-Driver!$F$207)/(Driver!$G$207-Driver!$F$207)*$BI$1</f>
        <v>1.4167528438469492</v>
      </c>
      <c r="BP865" s="67">
        <f>(CM865-Driver!$F$208)/(Driver!$G$208-Driver!$F$208)*$BI$1</f>
        <v>1.8444444444444443</v>
      </c>
      <c r="BQ865" s="67">
        <f>(CL865-Driver!$F$209)/(Driver!$G$209-Driver!$F$209)*$BI$1</f>
        <v>3.125</v>
      </c>
      <c r="BR865" s="28" t="s">
        <v>155</v>
      </c>
      <c r="BS865" s="8" t="s">
        <v>205</v>
      </c>
      <c r="BT865" s="9" t="s">
        <v>663</v>
      </c>
      <c r="BU865" s="10">
        <v>178</v>
      </c>
      <c r="BV865" s="9" t="s">
        <v>158</v>
      </c>
      <c r="BW865" s="10">
        <v>178</v>
      </c>
      <c r="BX865" s="10">
        <v>176.4</v>
      </c>
      <c r="BY865" s="10">
        <v>135</v>
      </c>
      <c r="BZ865" s="10">
        <v>151</v>
      </c>
      <c r="CA865" s="10">
        <v>119</v>
      </c>
      <c r="CB865" s="10">
        <v>85</v>
      </c>
      <c r="CC865" s="10">
        <v>109</v>
      </c>
      <c r="CD865" s="10">
        <v>18.7</v>
      </c>
      <c r="CE865" s="10">
        <v>1694</v>
      </c>
      <c r="CF865" s="10">
        <v>1.01</v>
      </c>
      <c r="CG865" s="10">
        <v>1703</v>
      </c>
      <c r="CH865" s="10">
        <v>243</v>
      </c>
      <c r="CI865" s="10">
        <v>143</v>
      </c>
      <c r="CJ865" s="10">
        <v>51</v>
      </c>
      <c r="CK865" s="10">
        <v>247</v>
      </c>
      <c r="CL865" s="10">
        <v>20</v>
      </c>
      <c r="CM865" s="10">
        <v>166</v>
      </c>
      <c r="CN865" s="10">
        <v>0.39</v>
      </c>
      <c r="CO865" s="10">
        <v>155</v>
      </c>
      <c r="CP865" s="10">
        <v>97</v>
      </c>
      <c r="CQ865" s="10">
        <v>91</v>
      </c>
      <c r="CR865" s="10">
        <v>8</v>
      </c>
      <c r="CS865" s="10">
        <v>9.5</v>
      </c>
      <c r="CT865" s="9" t="s">
        <v>231</v>
      </c>
      <c r="CU865" s="9" t="s">
        <v>188</v>
      </c>
      <c r="CV865" s="10"/>
      <c r="CW865" s="10"/>
      <c r="CX865" t="str">
        <f>INDEX('Data_Price '!AG$2:AG$1266,MATCH(Data!$DN865,'Data_Price '!$AT$2:$AT$1266,0))</f>
        <v>Faction Dictator 1.0 Skis</v>
      </c>
      <c r="CY865" t="str">
        <f>INDEX('Data_Price '!AH$2:AH$1266,MATCH(Data!$DN865,'Data_Price '!$AT$2:$AT$1266,0))</f>
        <v>Next Adventure</v>
      </c>
      <c r="CZ865">
        <f>INDEX('Data_Price '!AI$2:AI$1266,MATCH(Data!$DN865,'Data_Price '!$AT$2:$AT$1266,0))</f>
        <v>575.20000000000005</v>
      </c>
      <c r="DA865" t="str">
        <f>INDEX('Data_Price '!AJ$2:AJ$1266,MATCH(Data!$DN865,'Data_Price '!$AT$2:$AT$1266,0))</f>
        <v>https://tinyurl.com/yb5abjj3</v>
      </c>
      <c r="DB865" t="str">
        <f>INDEX('Data_Price '!AK$2:AK$1266,MATCH(Data!$DN865,'Data_Price '!$AT$2:$AT$1266,0))</f>
        <v>Faction Dictator 1.0 Skis</v>
      </c>
      <c r="DC865" t="str">
        <f>INDEX('Data_Price '!AL$2:AL$1266,MATCH(Data!$DN865,'Data_Price '!$AT$2:$AT$1266,0))</f>
        <v>Gear West Ski &amp; Bike</v>
      </c>
      <c r="DD865">
        <f>INDEX('Data_Price '!AM$2:AM$1266,MATCH(Data!$DN865,'Data_Price '!$AT$2:$AT$1266,0))</f>
        <v>619</v>
      </c>
      <c r="DE865" t="str">
        <f>INDEX('Data_Price '!AN$2:AN$1266,MATCH(Data!$DN865,'Data_Price '!$AT$2:$AT$1266,0))</f>
        <v>https://tinyurl.com/y7s6v2dn</v>
      </c>
      <c r="DF865" t="str">
        <f>INDEX('Data_Price '!AO$2:AO$1266,MATCH(Data!$DN865,'Data_Price '!$AT$2:$AT$1266,0))</f>
        <v>Faction Chapter 1.0 Skis</v>
      </c>
      <c r="DG865" t="str">
        <f>INDEX('Data_Price '!AP$2:AP$1266,MATCH(Data!$DN865,'Data_Price '!$AT$2:$AT$1266,0))</f>
        <v>The Locals Sale</v>
      </c>
      <c r="DH865">
        <f>INDEX('Data_Price '!AQ$2:AQ$1266,MATCH(Data!$DN865,'Data_Price '!$AT$2:$AT$1266,0))</f>
        <v>222</v>
      </c>
      <c r="DI865" t="str">
        <f>INDEX('Data_Price '!AR$2:AR$1266,MATCH(Data!$DN865,'Data_Price '!$AT$2:$AT$1266,0))</f>
        <v>https://tinyurl.com/ycorbqqg</v>
      </c>
      <c r="DJ865" s="89" t="str">
        <f t="shared" si="513"/>
        <v>https://tinyurl.com/yb5abjj3</v>
      </c>
      <c r="DK865" s="89" t="str">
        <f t="shared" si="514"/>
        <v>https://tinyurl.com/y7s6v2dn</v>
      </c>
      <c r="DL865" s="89" t="str">
        <f t="shared" si="515"/>
        <v>https://tinyurl.com/ycorbqqg</v>
      </c>
      <c r="DM865" s="219" t="str">
        <f t="shared" si="516"/>
        <v>Dictator 1.0</v>
      </c>
      <c r="DN865" s="89" t="str">
        <f t="shared" si="517"/>
        <v xml:space="preserve"> FactionDictator 1.0178 Unisex</v>
      </c>
      <c r="DO865" s="221"/>
    </row>
    <row r="866" spans="2:119" ht="15.6" customHeight="1">
      <c r="B866" s="219" t="b">
        <f t="array" ref="B866">IF(OR(ISERROR(K866:P866)),FALSE,TRUE)</f>
        <v>1</v>
      </c>
      <c r="C866" s="43" t="b">
        <f>OR(BR866=Driver!$G$50,Data!BR297=Driver!$H$50)</f>
        <v>1</v>
      </c>
      <c r="D866" s="43" t="b">
        <f>OR(BV866=Driver!$G$51,BV866=Driver!$H$51)</f>
        <v>0</v>
      </c>
      <c r="E866" s="43" t="b">
        <f>AND(BX866&gt;Driver!$F$54,BX866&lt;Driver!$G$54)</f>
        <v>1</v>
      </c>
      <c r="F866" s="43" t="b">
        <f>CL866&gt;Driver!$F$56</f>
        <v>1</v>
      </c>
      <c r="G866" s="43" t="b">
        <f>AND(CB866&gt;Driver!$F$55,CB866&lt;Driver!$G$55)</f>
        <v>1</v>
      </c>
      <c r="H866" s="43" t="b">
        <f t="shared" si="481"/>
        <v>0</v>
      </c>
      <c r="I866" s="43">
        <f t="shared" si="482"/>
        <v>0</v>
      </c>
      <c r="J866" s="43" t="b">
        <f t="array" ref="J866">NOT(OR(($H$9:$H$1273=TRUE)*($I$9:$I$1273&gt;0)*($BT$9:$BT$1273=BT866)*($K$9:$K$1273&gt;K866)))</f>
        <v>1</v>
      </c>
      <c r="K866" s="72">
        <f t="shared" si="483"/>
        <v>0.78884436021629667</v>
      </c>
      <c r="L866" s="72">
        <f t="shared" si="484"/>
        <v>0.84416105965614419</v>
      </c>
      <c r="M866" s="72">
        <f t="shared" si="485"/>
        <v>0.73352766077644915</v>
      </c>
      <c r="N866" s="72">
        <f t="shared" si="486"/>
        <v>0.70182688974862062</v>
      </c>
      <c r="O866" s="72">
        <f t="shared" si="487"/>
        <v>0.62233824696146678</v>
      </c>
      <c r="P866" s="72">
        <f t="shared" si="488"/>
        <v>0.87641784561926039</v>
      </c>
      <c r="Q866" s="72"/>
      <c r="R866" s="72"/>
      <c r="S866" s="72">
        <f t="shared" si="489"/>
        <v>0.39998578141691687</v>
      </c>
      <c r="T866" s="72">
        <f t="shared" si="490"/>
        <v>0.45910295192108708</v>
      </c>
      <c r="U866" s="72">
        <f t="shared" si="491"/>
        <v>0.51235672746073457</v>
      </c>
      <c r="V866" s="72">
        <f t="shared" si="492"/>
        <v>0.69255837899828965</v>
      </c>
      <c r="W866" s="72">
        <f t="shared" si="493"/>
        <v>0.99813793879387935</v>
      </c>
      <c r="X866" s="72">
        <f t="shared" si="494"/>
        <v>0.15583894034385587</v>
      </c>
      <c r="Y866" s="72">
        <f t="shared" si="495"/>
        <v>0.26647233922355079</v>
      </c>
      <c r="Z866" s="72">
        <f t="shared" si="496"/>
        <v>0.29817311025137944</v>
      </c>
      <c r="AA866" s="72">
        <f t="shared" si="497"/>
        <v>0.37766175303853322</v>
      </c>
      <c r="AB866" s="72">
        <f t="shared" si="498"/>
        <v>0.12358215438073966</v>
      </c>
      <c r="AC866" s="72"/>
      <c r="AD866" s="72"/>
      <c r="AE866" s="72">
        <f t="shared" si="499"/>
        <v>0.60001421858308313</v>
      </c>
      <c r="AF866" s="72">
        <f t="shared" si="500"/>
        <v>0.54089704807891292</v>
      </c>
      <c r="AG866" s="72">
        <f t="shared" si="501"/>
        <v>0.48764327253926537</v>
      </c>
      <c r="AH866" s="72">
        <f t="shared" si="502"/>
        <v>0.30744162100171035</v>
      </c>
      <c r="AI866" s="72">
        <f t="shared" si="503"/>
        <v>1.8620612061206188E-3</v>
      </c>
      <c r="AJ866" s="72">
        <f>(AV866-Driver!$K$179)/(Driver!$L$179-Driver!$K$179)</f>
        <v>9.838046893884457E-2</v>
      </c>
      <c r="AK866" s="72">
        <f>(AW866-Driver!$K$180)/(Driver!$L$180-Driver!$K$180)</f>
        <v>0.15102164528915676</v>
      </c>
      <c r="AL866" s="72">
        <f>(AX866-Driver!$K$181)/(Driver!$L$181-Driver!$K$181)</f>
        <v>0.39986087396445963</v>
      </c>
      <c r="AM866" s="72">
        <f>(AY866-Driver!$K$182)/(Driver!$L$182-Driver!$K$182)</f>
        <v>6.9723268058513144E-2</v>
      </c>
      <c r="AN866" s="72">
        <f>(AZ866-Driver!$K$183)/(Driver!$L$183-Driver!$K$183)</f>
        <v>0.13063725490196076</v>
      </c>
      <c r="AO866" s="72"/>
      <c r="AP866" s="72"/>
      <c r="AQ866" s="72">
        <f>(BC866-Driver!$K$188)/(Driver!$L$188-Driver!$K$188)</f>
        <v>1.9985781416916822E-2</v>
      </c>
      <c r="AR866" s="72">
        <f>MIN((BD866-Driver!$K$189)/(Driver!$L$189-Driver!$K$189),100%)</f>
        <v>9.1029519210871247E-3</v>
      </c>
      <c r="AS866" s="72">
        <f>(BE866-Driver!$K$190)/(Driver!$L$190-Driver!$K$190)</f>
        <v>2.2356727460734631E-2</v>
      </c>
      <c r="AT866" s="72">
        <f>(BF866-Driver!$K$191)/(Driver!$L$191-Driver!$K$191)</f>
        <v>0.20255837899828963</v>
      </c>
      <c r="AU866" s="72">
        <f>(BG866-Driver!$K$192)/(Driver!$L$192-Driver!$K$192)</f>
        <v>0.24813793879387938</v>
      </c>
      <c r="AV866" s="70">
        <f t="shared" si="504"/>
        <v>2.0706145706145707</v>
      </c>
      <c r="AW866" s="70">
        <f t="shared" si="505"/>
        <v>16.590290142795507</v>
      </c>
      <c r="AX866" s="70">
        <f t="shared" si="506"/>
        <v>4.5987478656801368</v>
      </c>
      <c r="AY866" s="70">
        <f>IFERROR(Driver!$K$19/Data!BH866/Data!BI866*Data!BK866*Data!BL866,"")</f>
        <v>8.5362083518943629E-2</v>
      </c>
      <c r="AZ866" s="70">
        <f t="shared" si="507"/>
        <v>11.906180193596425</v>
      </c>
      <c r="BA866" s="70"/>
      <c r="BB866" s="70"/>
      <c r="BC866" s="70">
        <f t="shared" si="508"/>
        <v>10.366763759853079</v>
      </c>
      <c r="BD866" s="70">
        <f t="shared" si="509"/>
        <v>2.5264179996375646</v>
      </c>
      <c r="BE866" s="70">
        <f t="shared" si="510"/>
        <v>2.2531128016711886E-2</v>
      </c>
      <c r="BF866" s="70">
        <f t="shared" si="511"/>
        <v>22.877545854705154</v>
      </c>
      <c r="BG866" s="70">
        <f t="shared" si="512"/>
        <v>0.9396085311656166</v>
      </c>
      <c r="BH866" s="67">
        <f>MAX((CE866-Driver!$F$200)/(Driver!$G$200-Driver!$F$200)*$BI$1,1)</f>
        <v>4.5987478656801368</v>
      </c>
      <c r="BI866" s="67">
        <f>MAX($BI$1*(BY866-Driver!$F$201)/(Driver!$G$201-Driver!$F$201),1)</f>
        <v>5.1898734177215191</v>
      </c>
      <c r="BJ866" s="67">
        <f>(CB866-Driver!$F$206)/(Driver!$G$206-Driver!$F$206)*$BI$1</f>
        <v>5.8730158730158735</v>
      </c>
      <c r="BK866" s="67">
        <f>(CD866-Driver!$F$203)/(Driver!$G$203-Driver!$F$203)*$BI$1</f>
        <v>2.1100917431192663</v>
      </c>
      <c r="BL866" s="67">
        <f>MAX((CR866-Driver!$F$202)/(Driver!$G$202-Driver!$F$202)*$BI$1,1)</f>
        <v>4.8275862068965516</v>
      </c>
      <c r="BM866" s="67">
        <f>MAX((CH866-Driver!$F$204)/(Driver!$G$204-Driver!$F$204)*$BI$1,1)</f>
        <v>1.4102564102564101</v>
      </c>
      <c r="BN866" s="67">
        <f>(CI866-Driver!$F$205)/(Driver!$G$205-Driver!$F$205)*$BI$1</f>
        <v>2.2941176470588234</v>
      </c>
      <c r="BO866" s="67">
        <f>(CK866-Driver!$F$207)/(Driver!$G$207-Driver!$F$207)*$BI$1</f>
        <v>2.5956566701137538</v>
      </c>
      <c r="BP866" s="67">
        <f>(CM866-Driver!$F$208)/(Driver!$G$208-Driver!$F$208)*$BI$1</f>
        <v>3.1666666666666665</v>
      </c>
      <c r="BQ866" s="67">
        <f>(CL866-Driver!$F$209)/(Driver!$G$209-Driver!$F$209)*$BI$1</f>
        <v>6.09375</v>
      </c>
      <c r="BR866" s="28" t="s">
        <v>155</v>
      </c>
      <c r="BS866" s="8" t="s">
        <v>317</v>
      </c>
      <c r="BT866" s="9" t="s">
        <v>447</v>
      </c>
      <c r="BU866" s="10">
        <v>156</v>
      </c>
      <c r="BV866" s="9" t="s">
        <v>163</v>
      </c>
      <c r="BW866" s="10">
        <v>156</v>
      </c>
      <c r="BX866" s="10">
        <v>154.5</v>
      </c>
      <c r="BY866" s="10">
        <v>90</v>
      </c>
      <c r="BZ866" s="10">
        <v>126</v>
      </c>
      <c r="CA866" s="10">
        <v>131</v>
      </c>
      <c r="CB866" s="10">
        <v>101</v>
      </c>
      <c r="CC866" s="10">
        <v>120</v>
      </c>
      <c r="CD866" s="10">
        <v>14</v>
      </c>
      <c r="CE866" s="10">
        <v>1708</v>
      </c>
      <c r="CF866" s="10">
        <v>1.01</v>
      </c>
      <c r="CG866" s="10">
        <v>1721</v>
      </c>
      <c r="CH866" s="10">
        <v>134</v>
      </c>
      <c r="CI866" s="10">
        <v>72</v>
      </c>
      <c r="CJ866" s="10">
        <v>68</v>
      </c>
      <c r="CK866" s="10">
        <v>361</v>
      </c>
      <c r="CL866" s="10">
        <v>39</v>
      </c>
      <c r="CM866" s="10">
        <v>285</v>
      </c>
      <c r="CN866" s="10">
        <v>0.56699999999999995</v>
      </c>
      <c r="CO866" s="10">
        <v>157</v>
      </c>
      <c r="CP866" s="10">
        <v>130</v>
      </c>
      <c r="CQ866" s="10">
        <v>204</v>
      </c>
      <c r="CR866" s="10">
        <v>3</v>
      </c>
      <c r="CS866" s="10">
        <v>7.2</v>
      </c>
      <c r="CT866" s="9" t="s">
        <v>188</v>
      </c>
      <c r="CU866" s="9" t="s">
        <v>169</v>
      </c>
      <c r="CV866" s="10"/>
      <c r="CW866" s="10"/>
      <c r="CX866" t="str">
        <f>INDEX('Data_Price '!AG$2:AG$1266,MATCH(Data!$DN866,'Data_Price '!$AT$2:$AT$1266,0))</f>
        <v>Blizzard Sheeva 10 Women's Skis 156cm 2022</v>
      </c>
      <c r="CY866" t="str">
        <f>INDEX('Data_Price '!AH$2:AH$1266,MATCH(Data!$DN866,'Data_Price '!$AT$2:$AT$1266,0))</f>
        <v>Powder7 Ski Shop</v>
      </c>
      <c r="CZ866">
        <f>INDEX('Data_Price '!AI$2:AI$1266,MATCH(Data!$DN866,'Data_Price '!$AT$2:$AT$1266,0))</f>
        <v>519.92999999999995</v>
      </c>
      <c r="DA866" t="str">
        <f>INDEX('Data_Price '!AJ$2:AJ$1266,MATCH(Data!$DN866,'Data_Price '!$AT$2:$AT$1266,0))</f>
        <v>https://tinyurl.com/y86x8suu</v>
      </c>
      <c r="DB866" t="str">
        <f>INDEX('Data_Price '!AK$2:AK$1266,MATCH(Data!$DN866,'Data_Price '!$AT$2:$AT$1266,0))</f>
        <v>Blizzard Sheeva 10 Skis Â· Women's Â· 156 cm</v>
      </c>
      <c r="DC866" t="str">
        <f>INDEX('Data_Price '!AL$2:AL$1266,MATCH(Data!$DN866,'Data_Price '!$AT$2:$AT$1266,0))</f>
        <v>REI</v>
      </c>
      <c r="DD866">
        <f>INDEX('Data_Price '!AM$2:AM$1266,MATCH(Data!$DN866,'Data_Price '!$AT$2:$AT$1266,0))</f>
        <v>519.92999999999995</v>
      </c>
      <c r="DE866" t="str">
        <f>INDEX('Data_Price '!AN$2:AN$1266,MATCH(Data!$DN866,'Data_Price '!$AT$2:$AT$1266,0))</f>
        <v>https://tinyurl.com/y7hg8qhj</v>
      </c>
      <c r="DF866" t="str">
        <f>INDEX('Data_Price '!AO$2:AO$1266,MATCH(Data!$DN866,'Data_Price '!$AT$2:$AT$1266,0))</f>
        <v>Blizzard Sheeva 10 Skis Â· Women's Â· 156 cm</v>
      </c>
      <c r="DG866" t="str">
        <f>INDEX('Data_Price '!AP$2:AP$1266,MATCH(Data!$DN866,'Data_Price '!$AT$2:$AT$1266,0))</f>
        <v>AlpineShopVT.com</v>
      </c>
      <c r="DH866">
        <f>INDEX('Data_Price '!AQ$2:AQ$1266,MATCH(Data!$DN866,'Data_Price '!$AT$2:$AT$1266,0))</f>
        <v>519.95000000000005</v>
      </c>
      <c r="DI866" t="str">
        <f>INDEX('Data_Price '!AR$2:AR$1266,MATCH(Data!$DN866,'Data_Price '!$AT$2:$AT$1266,0))</f>
        <v>https://tinyurl.com/y985al3m</v>
      </c>
      <c r="DJ866" s="89" t="str">
        <f t="shared" si="513"/>
        <v>https://tinyurl.com/y86x8suu</v>
      </c>
      <c r="DK866" s="89" t="str">
        <f t="shared" si="514"/>
        <v>https://tinyurl.com/y7hg8qhj</v>
      </c>
      <c r="DL866" s="89" t="str">
        <f t="shared" si="515"/>
        <v>https://tinyurl.com/y985al3m</v>
      </c>
      <c r="DM866" s="219" t="str">
        <f t="shared" si="516"/>
        <v>Sheeva 10</v>
      </c>
      <c r="DN866" s="89" t="str">
        <f t="shared" si="517"/>
        <v xml:space="preserve"> BlizzardSheeva 10156 Women's</v>
      </c>
      <c r="DO866" s="221" t="s">
        <v>448</v>
      </c>
    </row>
    <row r="867" spans="2:119" ht="15.6" customHeight="1">
      <c r="B867" s="219" t="b">
        <f t="array" ref="B867">IF(OR(ISERROR(K867:P867)),FALSE,TRUE)</f>
        <v>1</v>
      </c>
      <c r="C867" s="43" t="b">
        <f>OR(BR867=Driver!$G$50,Data!BR160=Driver!$H$50)</f>
        <v>1</v>
      </c>
      <c r="D867" s="43" t="b">
        <f>OR(BV867=Driver!$G$51,BV867=Driver!$H$51)</f>
        <v>1</v>
      </c>
      <c r="E867" s="43" t="b">
        <f>AND(BX867&gt;Driver!$F$54,BX867&lt;Driver!$G$54)</f>
        <v>1</v>
      </c>
      <c r="F867" s="43" t="b">
        <f>CL867&gt;Driver!$F$56</f>
        <v>1</v>
      </c>
      <c r="G867" s="43" t="b">
        <f>AND(CB867&gt;Driver!$F$55,CB867&lt;Driver!$G$55)</f>
        <v>0</v>
      </c>
      <c r="H867" s="43" t="b">
        <f t="shared" si="481"/>
        <v>0</v>
      </c>
      <c r="I867" s="43">
        <f t="shared" si="482"/>
        <v>0</v>
      </c>
      <c r="J867" s="43" t="b">
        <f t="array" ref="J867">NOT(OR(($H$9:$H$1273=TRUE)*($I$9:$I$1273&gt;0)*($BT$9:$BT$1273=BT867)*($K$9:$K$1273&gt;K867)))</f>
        <v>1</v>
      </c>
      <c r="K867" s="72">
        <f t="shared" si="483"/>
        <v>0.78073405148533737</v>
      </c>
      <c r="L867" s="72">
        <f t="shared" si="484"/>
        <v>0.83344475959974251</v>
      </c>
      <c r="M867" s="72">
        <f t="shared" si="485"/>
        <v>0.72802334337093222</v>
      </c>
      <c r="N867" s="72">
        <f t="shared" si="486"/>
        <v>0.62783713448396483</v>
      </c>
      <c r="O867" s="72">
        <f t="shared" si="487"/>
        <v>0.61796864478081304</v>
      </c>
      <c r="P867" s="72">
        <f t="shared" si="488"/>
        <v>0.93826425084801857</v>
      </c>
      <c r="Q867" s="72"/>
      <c r="R867" s="72"/>
      <c r="S867" s="72">
        <f t="shared" si="489"/>
        <v>0.43194326143110207</v>
      </c>
      <c r="T867" s="72">
        <f t="shared" si="490"/>
        <v>0.58713681982402877</v>
      </c>
      <c r="U867" s="72">
        <f t="shared" si="491"/>
        <v>0.84562717199525861</v>
      </c>
      <c r="V867" s="72">
        <f t="shared" si="492"/>
        <v>0.50104217000917139</v>
      </c>
      <c r="W867" s="72">
        <f t="shared" si="493"/>
        <v>0.81591131756756763</v>
      </c>
      <c r="X867" s="72">
        <f t="shared" si="494"/>
        <v>0.16655524040025743</v>
      </c>
      <c r="Y867" s="72">
        <f t="shared" si="495"/>
        <v>0.27197665662906784</v>
      </c>
      <c r="Z867" s="72">
        <f t="shared" si="496"/>
        <v>0.37216286551603511</v>
      </c>
      <c r="AA867" s="72">
        <f t="shared" si="497"/>
        <v>0.38203135521918696</v>
      </c>
      <c r="AB867" s="72">
        <f t="shared" si="498"/>
        <v>6.1735749151981462E-2</v>
      </c>
      <c r="AC867" s="72"/>
      <c r="AD867" s="72"/>
      <c r="AE867" s="72">
        <f t="shared" si="499"/>
        <v>0.56805673856889793</v>
      </c>
      <c r="AF867" s="72">
        <f t="shared" si="500"/>
        <v>0.41286318017597123</v>
      </c>
      <c r="AG867" s="72">
        <f t="shared" si="501"/>
        <v>0.15437282800474139</v>
      </c>
      <c r="AH867" s="72">
        <f t="shared" si="502"/>
        <v>0.49895782999082855</v>
      </c>
      <c r="AI867" s="72">
        <f t="shared" si="503"/>
        <v>0.18408868243243243</v>
      </c>
      <c r="AJ867" s="72">
        <f>(AV867-Driver!$K$179)/(Driver!$L$179-Driver!$K$179)</f>
        <v>8.766416888244298E-2</v>
      </c>
      <c r="AK867" s="72">
        <f>(AW867-Driver!$K$180)/(Driver!$L$180-Driver!$K$180)</f>
        <v>0.21563549817951208</v>
      </c>
      <c r="AL867" s="72">
        <f>(AX867-Driver!$K$181)/(Driver!$L$181-Driver!$K$181)</f>
        <v>0.47385062922911531</v>
      </c>
      <c r="AM867" s="72">
        <f>(AY867-Driver!$K$182)/(Driver!$L$182-Driver!$K$182)</f>
        <v>6.5353665877859415E-2</v>
      </c>
      <c r="AN867" s="72">
        <f>(AZ867-Driver!$K$183)/(Driver!$L$183-Driver!$K$183)</f>
        <v>0.19248366013071896</v>
      </c>
      <c r="AO867" s="72"/>
      <c r="AP867" s="72"/>
      <c r="AQ867" s="72">
        <f>(BC867-Driver!$K$188)/(Driver!$L$188-Driver!$K$188)</f>
        <v>5.1943261431102061E-2</v>
      </c>
      <c r="AR867" s="72">
        <f>MIN((BD867-Driver!$K$189)/(Driver!$L$189-Driver!$K$189),100%)</f>
        <v>0.13713681982402881</v>
      </c>
      <c r="AS867" s="72">
        <f>(BE867-Driver!$K$190)/(Driver!$L$190-Driver!$K$190)</f>
        <v>0.35562717199525862</v>
      </c>
      <c r="AT867" s="72">
        <f>(BF867-Driver!$K$191)/(Driver!$L$191-Driver!$K$191)</f>
        <v>1.104217000917144E-2</v>
      </c>
      <c r="AU867" s="72">
        <f>(BG867-Driver!$K$192)/(Driver!$L$192-Driver!$K$192)</f>
        <v>6.5911317567567559E-2</v>
      </c>
      <c r="AV867" s="70">
        <f t="shared" si="504"/>
        <v>1.8450685117351782</v>
      </c>
      <c r="AW867" s="70">
        <f t="shared" si="505"/>
        <v>22.887482643940515</v>
      </c>
      <c r="AX867" s="70">
        <f t="shared" si="506"/>
        <v>5.2646556630620376</v>
      </c>
      <c r="AY867" s="70">
        <f>IFERROR(Driver!$K$19/Data!BH867/Data!BI867*Data!BK867*Data!BL867,"")</f>
        <v>8.0012386686366954E-2</v>
      </c>
      <c r="AZ867" s="70">
        <f t="shared" si="507"/>
        <v>17.542814594192109</v>
      </c>
      <c r="BA867" s="70"/>
      <c r="BB867" s="70"/>
      <c r="BC867" s="70">
        <f t="shared" si="508"/>
        <v>26.943330808007712</v>
      </c>
      <c r="BD867" s="70">
        <f t="shared" si="509"/>
        <v>13.857188446458144</v>
      </c>
      <c r="BE867" s="70">
        <f t="shared" si="510"/>
        <v>0.35574212085504958</v>
      </c>
      <c r="BF867" s="70">
        <f t="shared" si="511"/>
        <v>1.2471355269011248</v>
      </c>
      <c r="BG867" s="70">
        <f t="shared" si="512"/>
        <v>0.24958229518581079</v>
      </c>
      <c r="BH867" s="67">
        <f>MAX((CE867-Driver!$F$200)/(Driver!$G$200-Driver!$F$200)*$BI$1,1)</f>
        <v>5.2646556630620376</v>
      </c>
      <c r="BI867" s="67">
        <f>MAX($BI$1*(BY867-Driver!$F$201)/(Driver!$G$201-Driver!$F$201),1)</f>
        <v>7.8481012658227849</v>
      </c>
      <c r="BJ867" s="67">
        <f>(CB867-Driver!$F$206)/(Driver!$G$206-Driver!$F$206)*$BI$1</f>
        <v>2.6984126984126982</v>
      </c>
      <c r="BK867" s="67">
        <f>(CD867-Driver!$F$203)/(Driver!$G$203-Driver!$F$203)*$BI$1</f>
        <v>2.522935779816514</v>
      </c>
      <c r="BL867" s="67">
        <f>MAX((CR867-Driver!$F$202)/(Driver!$G$202-Driver!$F$202)*$BI$1,1)</f>
        <v>6.5517241379310338</v>
      </c>
      <c r="BM867" s="67">
        <f>MAX((CH867-Driver!$F$204)/(Driver!$G$204-Driver!$F$204)*$BI$1,1)</f>
        <v>2.7350427350427351</v>
      </c>
      <c r="BN867" s="67">
        <f>(CI867-Driver!$F$205)/(Driver!$G$205-Driver!$F$205)*$BI$1</f>
        <v>2.2352941176470589</v>
      </c>
      <c r="BO867" s="67">
        <f>(CK867-Driver!$F$207)/(Driver!$G$207-Driver!$F$207)*$BI$1</f>
        <v>0.88934850051706305</v>
      </c>
      <c r="BP867" s="67">
        <f>(CM867-Driver!$F$208)/(Driver!$G$208-Driver!$F$208)*$BI$1</f>
        <v>1.3111111111111113</v>
      </c>
      <c r="BQ867" s="67">
        <f>(CL867-Driver!$F$209)/(Driver!$G$209-Driver!$F$209)*$BI$1</f>
        <v>3.59375</v>
      </c>
      <c r="BR867" s="28" t="s">
        <v>155</v>
      </c>
      <c r="BS867" s="8" t="s">
        <v>156</v>
      </c>
      <c r="BT867" s="9" t="s">
        <v>689</v>
      </c>
      <c r="BU867" s="10">
        <v>165</v>
      </c>
      <c r="BV867" s="9" t="s">
        <v>158</v>
      </c>
      <c r="BW867" s="10">
        <v>165</v>
      </c>
      <c r="BX867" s="10">
        <v>163.80000000000001</v>
      </c>
      <c r="BY867" s="10">
        <v>132</v>
      </c>
      <c r="BZ867" s="10">
        <v>142</v>
      </c>
      <c r="CA867" s="10">
        <v>121</v>
      </c>
      <c r="CB867" s="10">
        <v>81</v>
      </c>
      <c r="CC867" s="10">
        <v>105</v>
      </c>
      <c r="CD867" s="10">
        <v>14.9</v>
      </c>
      <c r="CE867" s="10">
        <v>1825</v>
      </c>
      <c r="CF867" s="10">
        <v>0.84</v>
      </c>
      <c r="CG867" s="10">
        <v>1542</v>
      </c>
      <c r="CH867" s="10">
        <v>165</v>
      </c>
      <c r="CI867" s="10">
        <v>71</v>
      </c>
      <c r="CJ867" s="10">
        <v>44</v>
      </c>
      <c r="CK867" s="10">
        <v>196</v>
      </c>
      <c r="CL867" s="10">
        <v>23</v>
      </c>
      <c r="CM867" s="10">
        <v>118</v>
      </c>
      <c r="CN867" s="10">
        <v>0.51700000000000002</v>
      </c>
      <c r="CO867" s="10">
        <v>124</v>
      </c>
      <c r="CP867" s="10">
        <v>90</v>
      </c>
      <c r="CQ867" s="10">
        <v>73</v>
      </c>
      <c r="CR867" s="10">
        <v>8</v>
      </c>
      <c r="CS867" s="10">
        <v>8.1</v>
      </c>
      <c r="CT867" s="9" t="s">
        <v>188</v>
      </c>
      <c r="CU867" s="10"/>
      <c r="CV867" s="10"/>
      <c r="CW867" s="10"/>
      <c r="CX867" t="str">
        <f>INDEX('Data_Price '!AG$2:AG$1266,MATCH(Data!$DN867,'Data_Price '!$AT$2:$AT$1266,0))</f>
        <v>Atomic Maverick 83 R AW Skis</v>
      </c>
      <c r="CY867" t="str">
        <f>INDEX('Data_Price '!AH$2:AH$1266,MATCH(Data!$DN867,'Data_Price '!$AT$2:$AT$1266,0))</f>
        <v>evo.com</v>
      </c>
      <c r="CZ867">
        <f>INDEX('Data_Price '!AI$2:AI$1266,MATCH(Data!$DN867,'Data_Price '!$AT$2:$AT$1266,0))</f>
        <v>399.99</v>
      </c>
      <c r="DA867" t="str">
        <f>INDEX('Data_Price '!AJ$2:AJ$1266,MATCH(Data!$DN867,'Data_Price '!$AT$2:$AT$1266,0))</f>
        <v>https://tinyurl.com/y8pddsrs</v>
      </c>
      <c r="DB867" t="str">
        <f>INDEX('Data_Price '!AK$2:AK$1266,MATCH(Data!$DN867,'Data_Price '!$AT$2:$AT$1266,0))</f>
        <v>Atomic Maverick 83 R AW Skis</v>
      </c>
      <c r="DC867" t="str">
        <f>INDEX('Data_Price '!AL$2:AL$1266,MATCH(Data!$DN867,'Data_Price '!$AT$2:$AT$1266,0))</f>
        <v>The-House.com</v>
      </c>
      <c r="DD867">
        <f>INDEX('Data_Price '!AM$2:AM$1266,MATCH(Data!$DN867,'Data_Price '!$AT$2:$AT$1266,0))</f>
        <v>499.99</v>
      </c>
      <c r="DE867" t="str">
        <f>INDEX('Data_Price '!AN$2:AN$1266,MATCH(Data!$DN867,'Data_Price '!$AT$2:$AT$1266,0))</f>
        <v>https://tinyurl.com/yangd23b</v>
      </c>
      <c r="DF867" t="str">
        <f>INDEX('Data_Price '!AO$2:AO$1266,MATCH(Data!$DN867,'Data_Price '!$AT$2:$AT$1266,0))</f>
        <v>Atomic Vantage 86 C Skis</v>
      </c>
      <c r="DG867" t="str">
        <f>INDEX('Data_Price '!AP$2:AP$1266,MATCH(Data!$DN867,'Data_Price '!$AT$2:$AT$1266,0))</f>
        <v>eBay - asogear</v>
      </c>
      <c r="DH867">
        <f>INDEX('Data_Price '!AQ$2:AQ$1266,MATCH(Data!$DN867,'Data_Price '!$AT$2:$AT$1266,0))</f>
        <v>299.99</v>
      </c>
      <c r="DI867" t="str">
        <f>INDEX('Data_Price '!AR$2:AR$1266,MATCH(Data!$DN867,'Data_Price '!$AT$2:$AT$1266,0))</f>
        <v>https://tinyurl.com/y7eklodb</v>
      </c>
      <c r="DJ867" s="89" t="str">
        <f t="shared" si="513"/>
        <v>https://tinyurl.com/y8pddsrs</v>
      </c>
      <c r="DK867" s="89" t="str">
        <f t="shared" si="514"/>
        <v>https://tinyurl.com/yangd23b</v>
      </c>
      <c r="DL867" s="89" t="str">
        <f t="shared" si="515"/>
        <v>https://tinyurl.com/y7eklodb</v>
      </c>
      <c r="DM867" s="219" t="str">
        <f t="shared" si="516"/>
        <v>Maverick 83</v>
      </c>
      <c r="DN867" s="89" t="str">
        <f t="shared" si="517"/>
        <v xml:space="preserve"> AtomicMaverick 83165 Unisex</v>
      </c>
      <c r="DO867" s="221" t="s">
        <v>690</v>
      </c>
    </row>
    <row r="868" spans="2:119" ht="15.6" customHeight="1">
      <c r="B868" s="219" t="b">
        <f t="array" ref="B868">IF(OR(ISERROR(K868:P868)),FALSE,TRUE)</f>
        <v>1</v>
      </c>
      <c r="C868" s="43" t="b">
        <f>OR(BR868=Driver!$G$50,Data!BR1184=Driver!$H$50)</f>
        <v>1</v>
      </c>
      <c r="D868" s="43" t="b">
        <f>OR(BV868=Driver!$G$51,BV868=Driver!$H$51)</f>
        <v>1</v>
      </c>
      <c r="E868" s="43" t="b">
        <f>AND(BX868&gt;Driver!$F$54,BX868&lt;Driver!$G$54)</f>
        <v>0</v>
      </c>
      <c r="F868" s="43" t="b">
        <f>CL868&gt;Driver!$F$56</f>
        <v>1</v>
      </c>
      <c r="G868" s="43" t="b">
        <f>AND(CB868&gt;Driver!$F$55,CB868&lt;Driver!$G$55)</f>
        <v>0</v>
      </c>
      <c r="H868" s="43" t="b">
        <f t="shared" si="481"/>
        <v>0</v>
      </c>
      <c r="I868" s="43">
        <f t="shared" si="482"/>
        <v>0</v>
      </c>
      <c r="J868" s="43" t="b">
        <f t="array" ref="J868">NOT(OR(($H$9:$H$1273=TRUE)*($I$9:$I$1273&gt;0)*($BT$9:$BT$1273=BT868)*($K$9:$K$1273&gt;K868)))</f>
        <v>1</v>
      </c>
      <c r="K868" s="72">
        <f t="shared" si="483"/>
        <v>0.792740991711401</v>
      </c>
      <c r="L868" s="72">
        <f t="shared" si="484"/>
        <v>0.88839601252053857</v>
      </c>
      <c r="M868" s="72">
        <f t="shared" si="485"/>
        <v>0.69708597090226343</v>
      </c>
      <c r="N868" s="72">
        <f t="shared" si="486"/>
        <v>0.5411995578065476</v>
      </c>
      <c r="O868" s="72">
        <f t="shared" si="487"/>
        <v>0.59839541124176643</v>
      </c>
      <c r="P868" s="72">
        <f t="shared" si="488"/>
        <v>0.95166294365847603</v>
      </c>
      <c r="Q868" s="72"/>
      <c r="R868" s="72"/>
      <c r="S868" s="72">
        <f t="shared" si="489"/>
        <v>0.4455994874525766</v>
      </c>
      <c r="T868" s="72">
        <f t="shared" si="490"/>
        <v>0.71577678690084068</v>
      </c>
      <c r="U868" s="72">
        <f t="shared" si="491"/>
        <v>0.51</v>
      </c>
      <c r="V868" s="72">
        <f t="shared" si="492"/>
        <v>0.49163177591087892</v>
      </c>
      <c r="W868" s="72">
        <f t="shared" si="493"/>
        <v>0.75947644355070376</v>
      </c>
      <c r="X868" s="72">
        <f t="shared" si="494"/>
        <v>0.11160398747946138</v>
      </c>
      <c r="Y868" s="72">
        <f t="shared" si="495"/>
        <v>0.30291402909773663</v>
      </c>
      <c r="Z868" s="72">
        <f t="shared" si="496"/>
        <v>0.4588004421934524</v>
      </c>
      <c r="AA868" s="72">
        <f t="shared" si="497"/>
        <v>0.40160458875823363</v>
      </c>
      <c r="AB868" s="72">
        <f t="shared" si="498"/>
        <v>4.8337056341523965E-2</v>
      </c>
      <c r="AC868" s="72"/>
      <c r="AD868" s="72"/>
      <c r="AE868" s="72">
        <f t="shared" si="499"/>
        <v>0.5544005125474234</v>
      </c>
      <c r="AF868" s="72">
        <f t="shared" si="500"/>
        <v>0.28422321309915927</v>
      </c>
      <c r="AG868" s="72">
        <f t="shared" si="501"/>
        <v>0.49</v>
      </c>
      <c r="AH868" s="72">
        <f t="shared" si="502"/>
        <v>0.50836822408912108</v>
      </c>
      <c r="AI868" s="72">
        <f t="shared" si="503"/>
        <v>0.24052355644929618</v>
      </c>
      <c r="AJ868" s="72">
        <f>(AV868-Driver!$K$179)/(Driver!$L$179-Driver!$K$179)</f>
        <v>0.14261542180323905</v>
      </c>
      <c r="AK868" s="72">
        <f>(AW868-Driver!$K$180)/(Driver!$L$180-Driver!$K$180)</f>
        <v>0.23592017399445311</v>
      </c>
      <c r="AL868" s="72">
        <f>(AX868-Driver!$K$181)/(Driver!$L$181-Driver!$K$181)</f>
        <v>0.56048820590653259</v>
      </c>
      <c r="AM868" s="72">
        <f>(AY868-Driver!$K$182)/(Driver!$L$182-Driver!$K$182)</f>
        <v>4.5780432338812745E-2</v>
      </c>
      <c r="AN868" s="72">
        <f>(AZ868-Driver!$K$183)/(Driver!$L$183-Driver!$K$183)</f>
        <v>0.20588235294117646</v>
      </c>
      <c r="AO868" s="72"/>
      <c r="AP868" s="72"/>
      <c r="AQ868" s="72">
        <f>(BC868-Driver!$K$188)/(Driver!$L$188-Driver!$K$188)</f>
        <v>6.5599487452576627E-2</v>
      </c>
      <c r="AR868" s="72">
        <f>MIN((BD868-Driver!$K$189)/(Driver!$L$189-Driver!$K$189),100%)</f>
        <v>0.26577678690084078</v>
      </c>
      <c r="AS868" s="72">
        <f>(BE868-Driver!$K$190)/(Driver!$L$190-Driver!$K$190)</f>
        <v>1</v>
      </c>
      <c r="AT868" s="72">
        <f>(BF868-Driver!$K$191)/(Driver!$L$191-Driver!$K$191)</f>
        <v>1.6317759108789461E-3</v>
      </c>
      <c r="AU868" s="72">
        <f>(BG868-Driver!$K$192)/(Driver!$L$192-Driver!$K$192)</f>
        <v>9.4764435507038204E-3</v>
      </c>
      <c r="AV868" s="70">
        <f t="shared" si="504"/>
        <v>3.0016280016280015</v>
      </c>
      <c r="AW868" s="70">
        <f t="shared" si="505"/>
        <v>24.864404042618958</v>
      </c>
      <c r="AX868" s="70">
        <f t="shared" si="506"/>
        <v>6.0443938531587937</v>
      </c>
      <c r="AY868" s="70">
        <f>IFERROR(Driver!$K$19/Data!BH868/Data!BI868*Data!BK868*Data!BL868,"")</f>
        <v>5.604890874534859E-2</v>
      </c>
      <c r="AZ868" s="70">
        <f t="shared" si="507"/>
        <v>18.763961280714817</v>
      </c>
      <c r="BA868" s="70"/>
      <c r="BB868" s="70"/>
      <c r="BC868" s="70">
        <f t="shared" si="508"/>
        <v>34.026910181889662</v>
      </c>
      <c r="BD868" s="70">
        <f t="shared" si="509"/>
        <v>25.241597596222061</v>
      </c>
      <c r="BE868" s="70">
        <f t="shared" si="510"/>
        <v>1</v>
      </c>
      <c r="BF868" s="70">
        <f t="shared" si="511"/>
        <v>0.18429762525919297</v>
      </c>
      <c r="BG868" s="70">
        <f t="shared" si="512"/>
        <v>3.5883860600402183E-2</v>
      </c>
      <c r="BH868" s="67">
        <f>MAX((CE868-Driver!$F$200)/(Driver!$G$200-Driver!$F$200)*$BI$1,1)</f>
        <v>6.0443938531587937</v>
      </c>
      <c r="BI868" s="67">
        <f>MAX($BI$1*(BY868-Driver!$F$201)/(Driver!$G$201-Driver!$F$201),1)</f>
        <v>9.113924050632912</v>
      </c>
      <c r="BJ868" s="67">
        <f>(CB868-Driver!$F$206)/(Driver!$G$206-Driver!$F$206)*$BI$1</f>
        <v>2.3809523809523809</v>
      </c>
      <c r="BK868" s="67">
        <f>(CD868-Driver!$F$203)/(Driver!$G$203-Driver!$F$203)*$BI$1</f>
        <v>2.7981651376146792</v>
      </c>
      <c r="BL868" s="67">
        <f>MAX((CR868-Driver!$F$202)/(Driver!$G$202-Driver!$F$202)*$BI$1,1)</f>
        <v>5.5172413793103452</v>
      </c>
      <c r="BM868" s="67">
        <f>MAX((CH868-Driver!$F$204)/(Driver!$G$204-Driver!$F$204)*$BI$1,1)</f>
        <v>5.0427350427350426</v>
      </c>
      <c r="BN868" s="67">
        <f>(CI868-Driver!$F$205)/(Driver!$G$205-Driver!$F$205)*$BI$1</f>
        <v>2.0588235294117645</v>
      </c>
      <c r="BO868" s="67">
        <f>(CK868-Driver!$F$207)/(Driver!$G$207-Driver!$F$207)*$BI$1</f>
        <v>0.29989658738366076</v>
      </c>
      <c r="BP868" s="67">
        <f>(CM868-Driver!$F$208)/(Driver!$G$208-Driver!$F$208)*$BI$1</f>
        <v>0.7222222222222221</v>
      </c>
      <c r="BQ868" s="67">
        <f>(CL868-Driver!$F$209)/(Driver!$G$209-Driver!$F$209)*$BI$1</f>
        <v>1.09375</v>
      </c>
      <c r="BR868" s="28" t="s">
        <v>155</v>
      </c>
      <c r="BS868" s="8" t="s">
        <v>229</v>
      </c>
      <c r="BT868" s="9" t="s">
        <v>675</v>
      </c>
      <c r="BU868" s="10">
        <v>172</v>
      </c>
      <c r="BV868" s="9" t="s">
        <v>158</v>
      </c>
      <c r="BW868" s="10">
        <v>172</v>
      </c>
      <c r="BX868" s="10">
        <v>171.9</v>
      </c>
      <c r="BY868" s="10">
        <v>152</v>
      </c>
      <c r="BZ868" s="10">
        <v>159</v>
      </c>
      <c r="CA868" s="10">
        <v>127</v>
      </c>
      <c r="CB868" s="10">
        <v>79</v>
      </c>
      <c r="CC868" s="10">
        <v>110</v>
      </c>
      <c r="CD868" s="10">
        <v>15.5</v>
      </c>
      <c r="CE868" s="10">
        <v>1962</v>
      </c>
      <c r="CF868" s="10">
        <v>0.83</v>
      </c>
      <c r="CG868" s="10">
        <v>1626</v>
      </c>
      <c r="CH868" s="10">
        <v>219</v>
      </c>
      <c r="CI868" s="10">
        <v>68</v>
      </c>
      <c r="CJ868" s="10">
        <v>40</v>
      </c>
      <c r="CK868" s="10">
        <v>139</v>
      </c>
      <c r="CL868" s="10">
        <v>7</v>
      </c>
      <c r="CM868" s="10">
        <v>65</v>
      </c>
      <c r="CN868" s="10">
        <v>0.17399999999999999</v>
      </c>
      <c r="CO868" s="10">
        <v>71</v>
      </c>
      <c r="CP868" s="10">
        <v>62</v>
      </c>
      <c r="CQ868" s="10">
        <v>67</v>
      </c>
      <c r="CR868" s="10">
        <v>5</v>
      </c>
      <c r="CS868" s="10">
        <v>10.1</v>
      </c>
      <c r="CT868" s="9" t="s">
        <v>349</v>
      </c>
      <c r="CU868" s="10"/>
      <c r="CV868" s="10"/>
      <c r="CW868" s="10"/>
      <c r="CX868" t="e">
        <f>INDEX('Data_Price '!AG$2:AG$1266,MATCH(Data!$DN868,'Data_Price '!$AT$2:$AT$1266,0))</f>
        <v>#N/A</v>
      </c>
      <c r="CY868" t="e">
        <f>INDEX('Data_Price '!AH$2:AH$1266,MATCH(Data!$DN868,'Data_Price '!$AT$2:$AT$1266,0))</f>
        <v>#N/A</v>
      </c>
      <c r="CZ868" t="e">
        <f>INDEX('Data_Price '!AI$2:AI$1266,MATCH(Data!$DN868,'Data_Price '!$AT$2:$AT$1266,0))</f>
        <v>#N/A</v>
      </c>
      <c r="DA868" t="e">
        <f>INDEX('Data_Price '!AJ$2:AJ$1266,MATCH(Data!$DN868,'Data_Price '!$AT$2:$AT$1266,0))</f>
        <v>#N/A</v>
      </c>
      <c r="DB868" t="e">
        <f>INDEX('Data_Price '!AK$2:AK$1266,MATCH(Data!$DN868,'Data_Price '!$AT$2:$AT$1266,0))</f>
        <v>#N/A</v>
      </c>
      <c r="DC868" t="e">
        <f>INDEX('Data_Price '!AL$2:AL$1266,MATCH(Data!$DN868,'Data_Price '!$AT$2:$AT$1266,0))</f>
        <v>#N/A</v>
      </c>
      <c r="DD868" t="e">
        <f>INDEX('Data_Price '!AM$2:AM$1266,MATCH(Data!$DN868,'Data_Price '!$AT$2:$AT$1266,0))</f>
        <v>#N/A</v>
      </c>
      <c r="DE868" t="e">
        <f>INDEX('Data_Price '!AN$2:AN$1266,MATCH(Data!$DN868,'Data_Price '!$AT$2:$AT$1266,0))</f>
        <v>#N/A</v>
      </c>
      <c r="DF868" t="e">
        <f>INDEX('Data_Price '!AO$2:AO$1266,MATCH(Data!$DN868,'Data_Price '!$AT$2:$AT$1266,0))</f>
        <v>#N/A</v>
      </c>
      <c r="DG868" t="e">
        <f>INDEX('Data_Price '!AP$2:AP$1266,MATCH(Data!$DN868,'Data_Price '!$AT$2:$AT$1266,0))</f>
        <v>#N/A</v>
      </c>
      <c r="DH868" t="e">
        <f>INDEX('Data_Price '!AQ$2:AQ$1266,MATCH(Data!$DN868,'Data_Price '!$AT$2:$AT$1266,0))</f>
        <v>#N/A</v>
      </c>
      <c r="DI868" t="e">
        <f>INDEX('Data_Price '!AR$2:AR$1266,MATCH(Data!$DN868,'Data_Price '!$AT$2:$AT$1266,0))</f>
        <v>#N/A</v>
      </c>
      <c r="DJ868" s="89" t="e">
        <f t="shared" si="513"/>
        <v>#N/A</v>
      </c>
      <c r="DK868" s="89" t="e">
        <f t="shared" si="514"/>
        <v>#N/A</v>
      </c>
      <c r="DL868" s="89" t="e">
        <f t="shared" si="515"/>
        <v>#N/A</v>
      </c>
      <c r="DM868" s="219" t="str">
        <f t="shared" si="516"/>
        <v>Deacon 80</v>
      </c>
      <c r="DN868" s="89" t="str">
        <f t="shared" si="517"/>
        <v xml:space="preserve"> VölklDeacon 80172 Unisex</v>
      </c>
      <c r="DO868" s="221"/>
    </row>
    <row r="869" spans="2:119" ht="15.6" customHeight="1">
      <c r="B869" s="219" t="b">
        <f t="array" ref="B869">IF(OR(ISERROR(K869:P869)),FALSE,TRUE)</f>
        <v>1</v>
      </c>
      <c r="C869" s="43" t="b">
        <f>OR(BR869=Driver!$G$50,Data!BR268=Driver!$H$50)</f>
        <v>1</v>
      </c>
      <c r="D869" s="43" t="b">
        <f>OR(BV869=Driver!$G$51,BV869=Driver!$H$51)</f>
        <v>1</v>
      </c>
      <c r="E869" s="43" t="b">
        <f>AND(BX869&gt;Driver!$F$54,BX869&lt;Driver!$G$54)</f>
        <v>0</v>
      </c>
      <c r="F869" s="43" t="b">
        <f>CL869&gt;Driver!$F$56</f>
        <v>1</v>
      </c>
      <c r="G869" s="43" t="b">
        <f>AND(CB869&gt;Driver!$F$55,CB869&lt;Driver!$G$55)</f>
        <v>0</v>
      </c>
      <c r="H869" s="43" t="b">
        <f t="shared" si="481"/>
        <v>0</v>
      </c>
      <c r="I869" s="43">
        <f t="shared" si="482"/>
        <v>0</v>
      </c>
      <c r="J869" s="43" t="b">
        <f t="array" ref="J869">NOT(OR(($H$9:$H$1273=TRUE)*($I$9:$I$1273&gt;0)*($BT$9:$BT$1273=BT869)*($K$9:$K$1273&gt;K869)))</f>
        <v>1</v>
      </c>
      <c r="K869" s="72">
        <f t="shared" si="483"/>
        <v>0.77698786736640246</v>
      </c>
      <c r="L869" s="72">
        <f t="shared" si="484"/>
        <v>0.92368728639049269</v>
      </c>
      <c r="M869" s="72">
        <f t="shared" si="485"/>
        <v>0.63028844834231212</v>
      </c>
      <c r="N869" s="72">
        <f t="shared" si="486"/>
        <v>0.41978047224403581</v>
      </c>
      <c r="O869" s="72">
        <f t="shared" si="487"/>
        <v>0.61588507134333748</v>
      </c>
      <c r="P869" s="72">
        <f t="shared" si="488"/>
        <v>0.8551998014395632</v>
      </c>
      <c r="Q869" s="72"/>
      <c r="R869" s="72"/>
      <c r="S869" s="72">
        <f t="shared" si="489"/>
        <v>0.48416917534684412</v>
      </c>
      <c r="T869" s="72">
        <f t="shared" si="490"/>
        <v>0.52697828337537544</v>
      </c>
      <c r="U869" s="72">
        <f t="shared" si="491"/>
        <v>0.51</v>
      </c>
      <c r="V869" s="72">
        <f t="shared" si="492"/>
        <v>0.50285463822537335</v>
      </c>
      <c r="W869" s="72">
        <f t="shared" si="493"/>
        <v>0.76372477636779701</v>
      </c>
      <c r="X869" s="72">
        <f t="shared" si="494"/>
        <v>7.631271360950731E-2</v>
      </c>
      <c r="Y869" s="72">
        <f t="shared" si="495"/>
        <v>0.36971155165768782</v>
      </c>
      <c r="Z869" s="72">
        <f t="shared" si="496"/>
        <v>0.58021952775596419</v>
      </c>
      <c r="AA869" s="72">
        <f t="shared" si="497"/>
        <v>0.38411492865666247</v>
      </c>
      <c r="AB869" s="72">
        <f t="shared" si="498"/>
        <v>0.14480019856043685</v>
      </c>
      <c r="AC869" s="72"/>
      <c r="AD869" s="72"/>
      <c r="AE869" s="72">
        <f t="shared" si="499"/>
        <v>0.51583082465315588</v>
      </c>
      <c r="AF869" s="72">
        <f t="shared" si="500"/>
        <v>0.47302171662462456</v>
      </c>
      <c r="AG869" s="72">
        <f t="shared" si="501"/>
        <v>0.49</v>
      </c>
      <c r="AH869" s="72">
        <f t="shared" si="502"/>
        <v>0.4971453617746267</v>
      </c>
      <c r="AI869" s="72">
        <f t="shared" si="503"/>
        <v>0.23627522363220305</v>
      </c>
      <c r="AJ869" s="72">
        <f>(AV869-Driver!$K$179)/(Driver!$L$179-Driver!$K$179)</f>
        <v>0.17790669567319312</v>
      </c>
      <c r="AK869" s="72">
        <f>(AW869-Driver!$K$180)/(Driver!$L$180-Driver!$K$180)</f>
        <v>0.42796599604253271</v>
      </c>
      <c r="AL869" s="72">
        <f>(AX869-Driver!$K$181)/(Driver!$L$181-Driver!$K$181)</f>
        <v>0.68190729146904439</v>
      </c>
      <c r="AM869" s="72">
        <f>(AY869-Driver!$K$182)/(Driver!$L$182-Driver!$K$182)</f>
        <v>6.3270092440383882E-2</v>
      </c>
      <c r="AN869" s="72">
        <f>(AZ869-Driver!$K$183)/(Driver!$L$183-Driver!$K$183)</f>
        <v>0.39901960784313728</v>
      </c>
      <c r="AO869" s="72"/>
      <c r="AP869" s="72"/>
      <c r="AQ869" s="72">
        <f>(BC869-Driver!$K$188)/(Driver!$L$188-Driver!$K$188)</f>
        <v>0.10416917534684407</v>
      </c>
      <c r="AR869" s="72">
        <f>MIN((BD869-Driver!$K$189)/(Driver!$L$189-Driver!$K$189),100%)</f>
        <v>7.6978283375375489E-2</v>
      </c>
      <c r="AS869" s="72">
        <f>(BE869-Driver!$K$190)/(Driver!$L$190-Driver!$K$190)</f>
        <v>1</v>
      </c>
      <c r="AT869" s="72">
        <f>(BF869-Driver!$K$191)/(Driver!$L$191-Driver!$K$191)</f>
        <v>1.285463822537331E-2</v>
      </c>
      <c r="AU869" s="72">
        <f>(BG869-Driver!$K$192)/(Driver!$L$192-Driver!$K$192)</f>
        <v>1.3724776367796961E-2</v>
      </c>
      <c r="AV869" s="70">
        <f t="shared" si="504"/>
        <v>3.7444037444037446</v>
      </c>
      <c r="AW869" s="70">
        <f t="shared" si="505"/>
        <v>43.580971100298804</v>
      </c>
      <c r="AX869" s="70">
        <f t="shared" si="506"/>
        <v>7.1371656232213994</v>
      </c>
      <c r="AY869" s="70">
        <f>IFERROR(Driver!$K$19/Data!BH869/Data!BI869*Data!BK869*Data!BL869,"")</f>
        <v>7.7461471120585143E-2</v>
      </c>
      <c r="AZ869" s="70">
        <f t="shared" si="507"/>
        <v>36.366344005956819</v>
      </c>
      <c r="BA869" s="70"/>
      <c r="BB869" s="70"/>
      <c r="BC869" s="70">
        <f t="shared" si="508"/>
        <v>54.033275424766359</v>
      </c>
      <c r="BD869" s="70">
        <f t="shared" si="509"/>
        <v>8.5332645653713772</v>
      </c>
      <c r="BE869" s="70">
        <f t="shared" si="510"/>
        <v>1</v>
      </c>
      <c r="BF869" s="70">
        <f t="shared" si="511"/>
        <v>1.4518410786112521</v>
      </c>
      <c r="BG869" s="70">
        <f t="shared" si="512"/>
        <v>5.1970758789265652E-2</v>
      </c>
      <c r="BH869" s="67">
        <f>MAX((CE869-Driver!$F$200)/(Driver!$G$200-Driver!$F$200)*$BI$1,1)</f>
        <v>7.1371656232213994</v>
      </c>
      <c r="BI869" s="67">
        <f>MAX($BI$1*(BY869-Driver!$F$201)/(Driver!$G$201-Driver!$F$201),1)</f>
        <v>8.3544303797468356</v>
      </c>
      <c r="BJ869" s="67">
        <f>(CB869-Driver!$F$206)/(Driver!$G$206-Driver!$F$206)*$BI$1</f>
        <v>5.0793650793650791</v>
      </c>
      <c r="BK869" s="67">
        <f>(CD869-Driver!$F$203)/(Driver!$G$203-Driver!$F$203)*$BI$1</f>
        <v>3.3486238532110093</v>
      </c>
      <c r="BL869" s="67">
        <f>MAX((CR869-Driver!$F$202)/(Driver!$G$202-Driver!$F$202)*$BI$1,1)</f>
        <v>6.8965517241379315</v>
      </c>
      <c r="BM869" s="67">
        <f>MAX((CH869-Driver!$F$204)/(Driver!$G$204-Driver!$F$204)*$BI$1,1)</f>
        <v>2.9487179487179489</v>
      </c>
      <c r="BN869" s="67">
        <f>(CI869-Driver!$F$205)/(Driver!$G$205-Driver!$F$205)*$BI$1</f>
        <v>4.3529411764705888</v>
      </c>
      <c r="BO869" s="67">
        <f>(CK869-Driver!$F$207)/(Driver!$G$207-Driver!$F$207)*$BI$1</f>
        <v>0.8790072388831438</v>
      </c>
      <c r="BP869" s="67">
        <f>(CM869-Driver!$F$208)/(Driver!$G$208-Driver!$F$208)*$BI$1</f>
        <v>1.0888888888888888</v>
      </c>
      <c r="BQ869" s="67">
        <f>(CL869-Driver!$F$209)/(Driver!$G$209-Driver!$F$209)*$BI$1</f>
        <v>1.09375</v>
      </c>
      <c r="BR869" s="28" t="s">
        <v>155</v>
      </c>
      <c r="BS869" s="8" t="s">
        <v>317</v>
      </c>
      <c r="BT869" s="9" t="s">
        <v>793</v>
      </c>
      <c r="BU869" s="10">
        <v>171</v>
      </c>
      <c r="BV869" s="9" t="s">
        <v>158</v>
      </c>
      <c r="BW869" s="10">
        <v>171</v>
      </c>
      <c r="BX869" s="10">
        <v>169.8</v>
      </c>
      <c r="BY869" s="10">
        <v>140</v>
      </c>
      <c r="BZ869" s="10">
        <v>146</v>
      </c>
      <c r="CA869" s="10">
        <v>136</v>
      </c>
      <c r="CB869" s="10">
        <v>96</v>
      </c>
      <c r="CC869" s="10">
        <v>117</v>
      </c>
      <c r="CD869" s="10">
        <v>16.7</v>
      </c>
      <c r="CE869" s="10">
        <v>2154</v>
      </c>
      <c r="CF869" s="10">
        <v>0.85</v>
      </c>
      <c r="CG869" s="10">
        <v>1824</v>
      </c>
      <c r="CH869" s="10">
        <v>170</v>
      </c>
      <c r="CI869" s="10">
        <v>107</v>
      </c>
      <c r="CJ869" s="10">
        <v>51</v>
      </c>
      <c r="CK869" s="10">
        <v>195</v>
      </c>
      <c r="CL869" s="10">
        <v>7</v>
      </c>
      <c r="CM869" s="10">
        <v>98</v>
      </c>
      <c r="CN869" s="10">
        <v>0.13200000000000001</v>
      </c>
      <c r="CO869" s="10">
        <v>129</v>
      </c>
      <c r="CP869" s="10">
        <v>105</v>
      </c>
      <c r="CQ869" s="10">
        <v>66</v>
      </c>
      <c r="CR869" s="10">
        <v>9</v>
      </c>
      <c r="CS869" s="10">
        <v>11.5</v>
      </c>
      <c r="CT869" s="9" t="s">
        <v>188</v>
      </c>
      <c r="CU869" s="10"/>
      <c r="CV869" s="10"/>
      <c r="CW869" s="10"/>
      <c r="CX869" t="str">
        <f>INDEX('Data_Price '!AG$2:AG$1266,MATCH(Data!$DN869,'Data_Price '!$AT$2:$AT$1266,0))</f>
        <v>Blizzard Bonafide 97</v>
      </c>
      <c r="CY869" t="str">
        <f>INDEX('Data_Price '!AH$2:AH$1266,MATCH(Data!$DN869,'Data_Price '!$AT$2:$AT$1266,0))</f>
        <v>REI</v>
      </c>
      <c r="CZ869">
        <f>INDEX('Data_Price '!AI$2:AI$1266,MATCH(Data!$DN869,'Data_Price '!$AT$2:$AT$1266,0))</f>
        <v>599.92999999999995</v>
      </c>
      <c r="DA869" t="str">
        <f>INDEX('Data_Price '!AJ$2:AJ$1266,MATCH(Data!$DN869,'Data_Price '!$AT$2:$AT$1266,0))</f>
        <v>https://tinyurl.com/y9nmncto</v>
      </c>
      <c r="DB869" t="str">
        <f>INDEX('Data_Price '!AK$2:AK$1266,MATCH(Data!$DN869,'Data_Price '!$AT$2:$AT$1266,0))</f>
        <v>Blizzard Bonafide 97</v>
      </c>
      <c r="DC869" t="str">
        <f>INDEX('Data_Price '!AL$2:AL$1266,MATCH(Data!$DN869,'Data_Price '!$AT$2:$AT$1266,0))</f>
        <v>Level Nine Sports</v>
      </c>
      <c r="DD869">
        <f>INDEX('Data_Price '!AM$2:AM$1266,MATCH(Data!$DN869,'Data_Price '!$AT$2:$AT$1266,0))</f>
        <v>599.95000000000005</v>
      </c>
      <c r="DE869" t="str">
        <f>INDEX('Data_Price '!AN$2:AN$1266,MATCH(Data!$DN869,'Data_Price '!$AT$2:$AT$1266,0))</f>
        <v>https://tinyurl.com/ybgrwq9l</v>
      </c>
      <c r="DF869" t="str">
        <f>INDEX('Data_Price '!AO$2:AO$1266,MATCH(Data!$DN869,'Data_Price '!$AT$2:$AT$1266,0))</f>
        <v>Blizzard Bonafide 97</v>
      </c>
      <c r="DG869" t="str">
        <f>INDEX('Data_Price '!AP$2:AP$1266,MATCH(Data!$DN869,'Data_Price '!$AT$2:$AT$1266,0))</f>
        <v>SkiEssentials.com</v>
      </c>
      <c r="DH869">
        <f>INDEX('Data_Price '!AQ$2:AQ$1266,MATCH(Data!$DN869,'Data_Price '!$AT$2:$AT$1266,0))</f>
        <v>599.95000000000005</v>
      </c>
      <c r="DI869" t="str">
        <f>INDEX('Data_Price '!AR$2:AR$1266,MATCH(Data!$DN869,'Data_Price '!$AT$2:$AT$1266,0))</f>
        <v>https://tinyurl.com/ybl4fayg</v>
      </c>
      <c r="DJ869" s="89" t="str">
        <f t="shared" si="513"/>
        <v>https://tinyurl.com/y9nmncto</v>
      </c>
      <c r="DK869" s="89" t="str">
        <f t="shared" si="514"/>
        <v>https://tinyurl.com/ybgrwq9l</v>
      </c>
      <c r="DL869" s="89" t="str">
        <f t="shared" si="515"/>
        <v>https://tinyurl.com/ybl4fayg</v>
      </c>
      <c r="DM869" s="219" t="str">
        <f t="shared" si="516"/>
        <v>Bonafide 97</v>
      </c>
      <c r="DN869" s="89" t="str">
        <f t="shared" si="517"/>
        <v xml:space="preserve"> BlizzardBonafide 97171 Unisex</v>
      </c>
      <c r="DO869" s="221" t="s">
        <v>794</v>
      </c>
    </row>
    <row r="870" spans="2:119" ht="15.6" customHeight="1">
      <c r="B870" s="219" t="b">
        <f t="array" ref="B870">IF(OR(ISERROR(K870:P870)),FALSE,TRUE)</f>
        <v>1</v>
      </c>
      <c r="C870" s="43" t="b">
        <f>OR(BR870=Driver!$G$50,Data!BR614=Driver!$H$50)</f>
        <v>1</v>
      </c>
      <c r="D870" s="43" t="b">
        <f>OR(BV870=Driver!$G$51,BV870=Driver!$H$51)</f>
        <v>1</v>
      </c>
      <c r="E870" s="43" t="b">
        <f>AND(BX870&gt;Driver!$F$54,BX870&lt;Driver!$G$54)</f>
        <v>1</v>
      </c>
      <c r="F870" s="43" t="b">
        <f>CL870&gt;Driver!$F$56</f>
        <v>1</v>
      </c>
      <c r="G870" s="43" t="b">
        <f>AND(CB870&gt;Driver!$F$55,CB870&lt;Driver!$G$55)</f>
        <v>0</v>
      </c>
      <c r="H870" s="43" t="b">
        <f t="shared" si="481"/>
        <v>0</v>
      </c>
      <c r="I870" s="43">
        <f t="shared" si="482"/>
        <v>0</v>
      </c>
      <c r="J870" s="43" t="b">
        <f t="array" ref="J870">NOT(OR(($H$9:$H$1273=TRUE)*($I$9:$I$1273&gt;0)*($BT$9:$BT$1273=BT870)*($K$9:$K$1273&gt;K870)))</f>
        <v>1</v>
      </c>
      <c r="K870" s="72">
        <f t="shared" si="483"/>
        <v>0.82020060859808208</v>
      </c>
      <c r="L870" s="72">
        <f t="shared" si="484"/>
        <v>0.84770630178006645</v>
      </c>
      <c r="M870" s="72">
        <f t="shared" si="485"/>
        <v>0.79269491541609771</v>
      </c>
      <c r="N870" s="72">
        <f t="shared" si="486"/>
        <v>0.85043879134857003</v>
      </c>
      <c r="O870" s="72">
        <f t="shared" si="487"/>
        <v>0.6064568674503974</v>
      </c>
      <c r="P870" s="72">
        <f t="shared" si="488"/>
        <v>0.92118908744932571</v>
      </c>
      <c r="Q870" s="72"/>
      <c r="R870" s="72"/>
      <c r="S870" s="72">
        <f t="shared" si="489"/>
        <v>0.39997779675240364</v>
      </c>
      <c r="T870" s="72">
        <f t="shared" si="490"/>
        <v>0.54945342609397185</v>
      </c>
      <c r="U870" s="72">
        <f t="shared" si="491"/>
        <v>0.96893218086541366</v>
      </c>
      <c r="V870" s="72">
        <f t="shared" si="492"/>
        <v>0.53512639009907936</v>
      </c>
      <c r="W870" s="72">
        <f t="shared" si="493"/>
        <v>0.83074726320799619</v>
      </c>
      <c r="X870" s="72">
        <f t="shared" si="494"/>
        <v>0.15229369821993355</v>
      </c>
      <c r="Y870" s="72">
        <f t="shared" si="495"/>
        <v>0.20730508458390229</v>
      </c>
      <c r="Z870" s="72">
        <f t="shared" si="496"/>
        <v>0.14956120865143002</v>
      </c>
      <c r="AA870" s="72">
        <f t="shared" si="497"/>
        <v>0.39354313254960255</v>
      </c>
      <c r="AB870" s="72">
        <f t="shared" si="498"/>
        <v>7.8810912550674295E-2</v>
      </c>
      <c r="AC870" s="72"/>
      <c r="AD870" s="72"/>
      <c r="AE870" s="72">
        <f t="shared" si="499"/>
        <v>0.60002220324759636</v>
      </c>
      <c r="AF870" s="72">
        <f t="shared" si="500"/>
        <v>0.4505465739060282</v>
      </c>
      <c r="AG870" s="72">
        <f t="shared" si="501"/>
        <v>3.1067819134586339E-2</v>
      </c>
      <c r="AH870" s="72">
        <f t="shared" si="502"/>
        <v>0.46487360990092064</v>
      </c>
      <c r="AI870" s="72">
        <f t="shared" si="503"/>
        <v>0.16925273679200381</v>
      </c>
      <c r="AJ870" s="72">
        <f>(AV870-Driver!$K$179)/(Driver!$L$179-Driver!$K$179)</f>
        <v>0.10192571106276689</v>
      </c>
      <c r="AK870" s="72">
        <f>(AW870-Driver!$K$180)/(Driver!$L$180-Driver!$K$180)</f>
        <v>0.1789664241451826</v>
      </c>
      <c r="AL870" s="72">
        <f>(AX870-Driver!$K$181)/(Driver!$L$181-Driver!$K$181)</f>
        <v>0.25124897236451021</v>
      </c>
      <c r="AM870" s="72">
        <f>(AY870-Driver!$K$182)/(Driver!$L$182-Driver!$K$182)</f>
        <v>5.3841888547443824E-2</v>
      </c>
      <c r="AN870" s="72">
        <f>(AZ870-Driver!$K$183)/(Driver!$L$183-Driver!$K$183)</f>
        <v>0.17540849673202613</v>
      </c>
      <c r="AO870" s="72"/>
      <c r="AP870" s="72"/>
      <c r="AQ870" s="72">
        <f>(BC870-Driver!$K$188)/(Driver!$L$188-Driver!$K$188)</f>
        <v>1.9977796752403673E-2</v>
      </c>
      <c r="AR870" s="72">
        <f>MIN((BD870-Driver!$K$189)/(Driver!$L$189-Driver!$K$189),100%)</f>
        <v>9.9453426093971828E-2</v>
      </c>
      <c r="AS870" s="72">
        <f>(BE870-Driver!$K$190)/(Driver!$L$190-Driver!$K$190)</f>
        <v>0.54106781913458635</v>
      </c>
      <c r="AT870" s="72">
        <f>(BF870-Driver!$K$191)/(Driver!$L$191-Driver!$K$191)</f>
        <v>4.5126390099079379E-2</v>
      </c>
      <c r="AU870" s="72">
        <f>(BG870-Driver!$K$192)/(Driver!$L$192-Driver!$K$192)</f>
        <v>8.0747263207996176E-2</v>
      </c>
      <c r="AV870" s="70">
        <f t="shared" si="504"/>
        <v>2.1452313118979784</v>
      </c>
      <c r="AW870" s="70">
        <f t="shared" si="505"/>
        <v>19.313756458245461</v>
      </c>
      <c r="AX870" s="70">
        <f t="shared" si="506"/>
        <v>3.2612407512805919</v>
      </c>
      <c r="AY870" s="70">
        <f>IFERROR(Driver!$K$19/Data!BH870/Data!BI870*Data!BK870*Data!BL870,"")</f>
        <v>6.5918536451094828E-2</v>
      </c>
      <c r="AZ870" s="70">
        <f t="shared" si="507"/>
        <v>15.986597170513775</v>
      </c>
      <c r="BA870" s="70"/>
      <c r="BB870" s="70"/>
      <c r="BC870" s="70">
        <f t="shared" si="508"/>
        <v>10.362622058861621</v>
      </c>
      <c r="BD870" s="70">
        <f t="shared" si="509"/>
        <v>10.522274872370742</v>
      </c>
      <c r="BE870" s="70">
        <f t="shared" si="510"/>
        <v>0.54114968747015102</v>
      </c>
      <c r="BF870" s="70">
        <f t="shared" si="511"/>
        <v>5.0967087308578751</v>
      </c>
      <c r="BG870" s="70">
        <f t="shared" si="512"/>
        <v>0.3057606496906235</v>
      </c>
      <c r="BH870" s="67">
        <f>MAX((CE870-Driver!$F$200)/(Driver!$G$200-Driver!$F$200)*$BI$1,1)</f>
        <v>3.2612407512805919</v>
      </c>
      <c r="BI870" s="67">
        <f>MAX($BI$1*(BY870-Driver!$F$201)/(Driver!$G$201-Driver!$F$201),1)</f>
        <v>7.1518987341772151</v>
      </c>
      <c r="BJ870" s="67">
        <f>(CB870-Driver!$F$206)/(Driver!$G$206-Driver!$F$206)*$BI$1</f>
        <v>3.6507936507936507</v>
      </c>
      <c r="BK870" s="67">
        <f>(CD870-Driver!$F$203)/(Driver!$G$203-Driver!$F$203)*$BI$1</f>
        <v>1.238532110091743</v>
      </c>
      <c r="BL870" s="67">
        <f>MAX((CR870-Driver!$F$202)/(Driver!$G$202-Driver!$F$202)*$BI$1,1)</f>
        <v>6.2068965517241379</v>
      </c>
      <c r="BM870" s="67">
        <f>MAX((CH870-Driver!$F$204)/(Driver!$G$204-Driver!$F$204)*$BI$1,1)</f>
        <v>2.3504273504273505</v>
      </c>
      <c r="BN870" s="67">
        <f>(CI870-Driver!$F$205)/(Driver!$G$205-Driver!$F$205)*$BI$1</f>
        <v>2.2352941176470589</v>
      </c>
      <c r="BO870" s="67">
        <f>(CK870-Driver!$F$207)/(Driver!$G$207-Driver!$F$207)*$BI$1</f>
        <v>1.0237849017580145</v>
      </c>
      <c r="BP870" s="67">
        <f>(CM870-Driver!$F$208)/(Driver!$G$208-Driver!$F$208)*$BI$1</f>
        <v>1.6888888888888889</v>
      </c>
      <c r="BQ870" s="67">
        <f>(CL870-Driver!$F$209)/(Driver!$G$209-Driver!$F$209)*$BI$1</f>
        <v>2.34375</v>
      </c>
      <c r="BR870" s="28" t="s">
        <v>155</v>
      </c>
      <c r="BS870" s="8" t="s">
        <v>167</v>
      </c>
      <c r="BT870" s="9" t="s">
        <v>430</v>
      </c>
      <c r="BU870" s="10">
        <v>156</v>
      </c>
      <c r="BV870" s="9" t="s">
        <v>158</v>
      </c>
      <c r="BW870" s="10">
        <v>156</v>
      </c>
      <c r="BX870" s="10">
        <v>157.30000000000001</v>
      </c>
      <c r="BY870" s="10">
        <v>121</v>
      </c>
      <c r="BZ870" s="10">
        <v>125</v>
      </c>
      <c r="CA870" s="10">
        <v>124</v>
      </c>
      <c r="CB870" s="10">
        <v>87</v>
      </c>
      <c r="CC870" s="10">
        <v>107</v>
      </c>
      <c r="CD870" s="10">
        <v>12.1</v>
      </c>
      <c r="CE870" s="10">
        <v>1473</v>
      </c>
      <c r="CF870" s="10">
        <v>1.06</v>
      </c>
      <c r="CG870" s="10">
        <v>1557</v>
      </c>
      <c r="CH870" s="10">
        <v>156</v>
      </c>
      <c r="CI870" s="10">
        <v>71</v>
      </c>
      <c r="CJ870" s="10">
        <v>48</v>
      </c>
      <c r="CK870" s="10">
        <v>209</v>
      </c>
      <c r="CL870" s="10">
        <v>15</v>
      </c>
      <c r="CM870" s="10">
        <v>152</v>
      </c>
      <c r="CN870" s="10">
        <v>0.308</v>
      </c>
      <c r="CO870" s="10">
        <v>152</v>
      </c>
      <c r="CP870" s="10">
        <v>169</v>
      </c>
      <c r="CQ870" s="10">
        <v>57</v>
      </c>
      <c r="CR870" s="10">
        <v>7</v>
      </c>
      <c r="CS870" s="10">
        <v>9.1999999999999993</v>
      </c>
      <c r="CT870" s="9" t="s">
        <v>188</v>
      </c>
      <c r="CU870" s="9" t="s">
        <v>185</v>
      </c>
      <c r="CV870" s="10"/>
      <c r="CW870" s="10"/>
      <c r="CX870" t="str">
        <f>INDEX('Data_Price '!AG$2:AG$1266,MATCH(Data!$DN870,'Data_Price '!$AT$2:$AT$1266,0))</f>
        <v>Head Kore 90 x Skis Mens 2022 Anthracite/Beige 156</v>
      </c>
      <c r="CY870" t="str">
        <f>INDEX('Data_Price '!AH$2:AH$1266,MATCH(Data!$DN870,'Data_Price '!$AT$2:$AT$1266,0))</f>
        <v>eBay - asogear</v>
      </c>
      <c r="CZ870">
        <f>INDEX('Data_Price '!AI$2:AI$1266,MATCH(Data!$DN870,'Data_Price '!$AT$2:$AT$1266,0))</f>
        <v>359.99</v>
      </c>
      <c r="DA870" t="str">
        <f>INDEX('Data_Price '!AJ$2:AJ$1266,MATCH(Data!$DN870,'Data_Price '!$AT$2:$AT$1266,0))</f>
        <v>https://tinyurl.com/y79ya2wh</v>
      </c>
      <c r="DB870" t="str">
        <f>INDEX('Data_Price '!AK$2:AK$1266,MATCH(Data!$DN870,'Data_Price '!$AT$2:$AT$1266,0))</f>
        <v>Head Kore 90 x Skis Mens 2022 Anthracite/Beige 156</v>
      </c>
      <c r="DC870" t="str">
        <f>INDEX('Data_Price '!AL$2:AL$1266,MATCH(Data!$DN870,'Data_Price '!$AT$2:$AT$1266,0))</f>
        <v>evo.com</v>
      </c>
      <c r="DD870">
        <f>INDEX('Data_Price '!AM$2:AM$1266,MATCH(Data!$DN870,'Data_Price '!$AT$2:$AT$1266,0))</f>
        <v>409</v>
      </c>
      <c r="DE870" t="str">
        <f>INDEX('Data_Price '!AN$2:AN$1266,MATCH(Data!$DN870,'Data_Price '!$AT$2:$AT$1266,0))</f>
        <v>https://tinyurl.com/y9bfh4ou</v>
      </c>
      <c r="DF870">
        <f>INDEX('Data_Price '!AO$2:AO$1266,MATCH(Data!$DN870,'Data_Price '!$AT$2:$AT$1266,0))</f>
        <v>0</v>
      </c>
      <c r="DG870">
        <f>INDEX('Data_Price '!AP$2:AP$1266,MATCH(Data!$DN870,'Data_Price '!$AT$2:$AT$1266,0))</f>
        <v>0</v>
      </c>
      <c r="DH870">
        <f>INDEX('Data_Price '!AQ$2:AQ$1266,MATCH(Data!$DN870,'Data_Price '!$AT$2:$AT$1266,0))</f>
        <v>0</v>
      </c>
      <c r="DI870">
        <f>INDEX('Data_Price '!AR$2:AR$1266,MATCH(Data!$DN870,'Data_Price '!$AT$2:$AT$1266,0))</f>
        <v>0</v>
      </c>
      <c r="DJ870" s="89" t="str">
        <f t="shared" si="513"/>
        <v>https://tinyurl.com/y79ya2wh</v>
      </c>
      <c r="DK870" s="89" t="str">
        <f t="shared" si="514"/>
        <v>https://tinyurl.com/y9bfh4ou</v>
      </c>
      <c r="DL870" s="89">
        <f t="shared" si="515"/>
        <v>0</v>
      </c>
      <c r="DM870" s="219" t="str">
        <f t="shared" si="516"/>
        <v>Kore 90 X</v>
      </c>
      <c r="DN870" s="89" t="str">
        <f t="shared" si="517"/>
        <v xml:space="preserve"> HeadKore 90 X156 Unisex</v>
      </c>
      <c r="DO870" s="221" t="s">
        <v>431</v>
      </c>
    </row>
    <row r="871" spans="2:119" ht="15.6" customHeight="1">
      <c r="B871" s="219" t="b">
        <f t="array" ref="B871">IF(OR(ISERROR(K871:P871)),FALSE,TRUE)</f>
        <v>1</v>
      </c>
      <c r="C871" s="43" t="b">
        <f>OR(BR871=Driver!$G$50,Data!BR550=Driver!$H$50)</f>
        <v>1</v>
      </c>
      <c r="D871" s="43" t="b">
        <f>OR(BV871=Driver!$G$51,BV871=Driver!$H$51)</f>
        <v>1</v>
      </c>
      <c r="E871" s="43" t="b">
        <f>AND(BX871&gt;Driver!$F$54,BX871&lt;Driver!$G$54)</f>
        <v>0</v>
      </c>
      <c r="F871" s="43" t="b">
        <f>CL871&gt;Driver!$F$56</f>
        <v>1</v>
      </c>
      <c r="G871" s="43" t="b">
        <f>AND(CB871&gt;Driver!$F$55,CB871&lt;Driver!$G$55)</f>
        <v>0</v>
      </c>
      <c r="H871" s="43" t="b">
        <f t="shared" si="481"/>
        <v>0</v>
      </c>
      <c r="I871" s="43">
        <f t="shared" si="482"/>
        <v>0</v>
      </c>
      <c r="J871" s="43" t="b">
        <f t="array" ref="J871">NOT(OR(($H$9:$H$1273=TRUE)*($I$9:$I$1273&gt;0)*($BT$9:$BT$1273=BT871)*($K$9:$K$1273&gt;K871)))</f>
        <v>1</v>
      </c>
      <c r="K871" s="72">
        <f t="shared" si="483"/>
        <v>0.8227068700504756</v>
      </c>
      <c r="L871" s="72">
        <f t="shared" si="484"/>
        <v>0.93069719695370279</v>
      </c>
      <c r="M871" s="72">
        <f t="shared" si="485"/>
        <v>0.71471654314724842</v>
      </c>
      <c r="N871" s="72">
        <f t="shared" si="486"/>
        <v>0.60380627379971763</v>
      </c>
      <c r="O871" s="72">
        <f t="shared" si="487"/>
        <v>0.63872126165675414</v>
      </c>
      <c r="P871" s="72">
        <f t="shared" si="488"/>
        <v>0.90162209398527338</v>
      </c>
      <c r="Q871" s="72"/>
      <c r="R871" s="72"/>
      <c r="S871" s="72">
        <f t="shared" si="489"/>
        <v>0.42247138311963406</v>
      </c>
      <c r="T871" s="72">
        <f t="shared" si="490"/>
        <v>0.53202414045715807</v>
      </c>
      <c r="U871" s="72">
        <f t="shared" si="491"/>
        <v>0.52333929821379388</v>
      </c>
      <c r="V871" s="72">
        <f t="shared" si="492"/>
        <v>0.55928456211152167</v>
      </c>
      <c r="W871" s="72">
        <f t="shared" si="493"/>
        <v>0.83497526113249032</v>
      </c>
      <c r="X871" s="72">
        <f t="shared" si="494"/>
        <v>6.930280304629724E-2</v>
      </c>
      <c r="Y871" s="72">
        <f t="shared" si="495"/>
        <v>0.28528345685275164</v>
      </c>
      <c r="Z871" s="72">
        <f t="shared" si="496"/>
        <v>0.39619372620028231</v>
      </c>
      <c r="AA871" s="72">
        <f t="shared" si="497"/>
        <v>0.36127873834324586</v>
      </c>
      <c r="AB871" s="72">
        <f t="shared" si="498"/>
        <v>9.8377906014726596E-2</v>
      </c>
      <c r="AC871" s="72"/>
      <c r="AD871" s="72"/>
      <c r="AE871" s="72">
        <f t="shared" si="499"/>
        <v>0.57752861688036594</v>
      </c>
      <c r="AF871" s="72">
        <f t="shared" si="500"/>
        <v>0.46797585954284193</v>
      </c>
      <c r="AG871" s="72">
        <f t="shared" si="501"/>
        <v>0.47666070178620606</v>
      </c>
      <c r="AH871" s="72">
        <f t="shared" si="502"/>
        <v>0.44071543788847828</v>
      </c>
      <c r="AI871" s="72">
        <f t="shared" si="503"/>
        <v>0.16502473886750962</v>
      </c>
      <c r="AJ871" s="72">
        <f>(AV871-Driver!$K$179)/(Driver!$L$179-Driver!$K$179)</f>
        <v>0.18491660623640319</v>
      </c>
      <c r="AK871" s="72">
        <f>(AW871-Driver!$K$180)/(Driver!$L$180-Driver!$K$180)</f>
        <v>0.18384923290681723</v>
      </c>
      <c r="AL871" s="72">
        <f>(AX871-Driver!$K$181)/(Driver!$L$181-Driver!$K$181)</f>
        <v>0.49788148991336251</v>
      </c>
      <c r="AM871" s="72">
        <f>(AY871-Driver!$K$182)/(Driver!$L$182-Driver!$K$182)</f>
        <v>8.61062827538005E-2</v>
      </c>
      <c r="AN871" s="72">
        <f>(AZ871-Driver!$K$183)/(Driver!$L$183-Driver!$K$183)</f>
        <v>0.15584150326797383</v>
      </c>
      <c r="AO871" s="72"/>
      <c r="AP871" s="72"/>
      <c r="AQ871" s="72">
        <f>(BC871-Driver!$K$188)/(Driver!$L$188-Driver!$K$188)</f>
        <v>4.2471383119634089E-2</v>
      </c>
      <c r="AR871" s="72">
        <f>MIN((BD871-Driver!$K$189)/(Driver!$L$189-Driver!$K$189),100%)</f>
        <v>8.2024140457158085E-2</v>
      </c>
      <c r="AS871" s="72">
        <f>(BE871-Driver!$K$190)/(Driver!$L$190-Driver!$K$190)</f>
        <v>3.3339298213793923E-2</v>
      </c>
      <c r="AT871" s="72">
        <f>(BF871-Driver!$K$191)/(Driver!$L$191-Driver!$K$191)</f>
        <v>6.9284562111521716E-2</v>
      </c>
      <c r="AU871" s="72">
        <f>(BG871-Driver!$K$192)/(Driver!$L$192-Driver!$K$192)</f>
        <v>8.4975261132490362E-2</v>
      </c>
      <c r="AV871" s="70">
        <f t="shared" si="504"/>
        <v>3.8919413919413919</v>
      </c>
      <c r="AW871" s="70">
        <f t="shared" si="505"/>
        <v>19.789629438153774</v>
      </c>
      <c r="AX871" s="70">
        <f t="shared" si="506"/>
        <v>5.4809334092202624</v>
      </c>
      <c r="AY871" s="70">
        <f>IFERROR(Driver!$K$19/Data!BH871/Data!BI871*Data!BK871*Data!BL871,"")</f>
        <v>0.10541978172576838</v>
      </c>
      <c r="AZ871" s="70">
        <f t="shared" si="507"/>
        <v>14.203276247207743</v>
      </c>
      <c r="BA871" s="70"/>
      <c r="BB871" s="70"/>
      <c r="BC871" s="70">
        <f t="shared" si="508"/>
        <v>22.030201680419534</v>
      </c>
      <c r="BD871" s="70">
        <f t="shared" si="509"/>
        <v>8.9798139763794396</v>
      </c>
      <c r="BE871" s="70">
        <f t="shared" si="510"/>
        <v>3.3511739602762936E-2</v>
      </c>
      <c r="BF871" s="70">
        <f t="shared" si="511"/>
        <v>7.8252045388993237</v>
      </c>
      <c r="BG871" s="70">
        <f t="shared" si="512"/>
        <v>0.32177054700384822</v>
      </c>
      <c r="BH871" s="67">
        <f>MAX((CE871-Driver!$F$200)/(Driver!$G$200-Driver!$F$200)*$BI$1,1)</f>
        <v>5.4809334092202624</v>
      </c>
      <c r="BI871" s="67">
        <f>MAX($BI$1*(BY871-Driver!$F$201)/(Driver!$G$201-Driver!$F$201),1)</f>
        <v>6.8987341772151902</v>
      </c>
      <c r="BJ871" s="67">
        <f>(CB871-Driver!$F$206)/(Driver!$G$206-Driver!$F$206)*$BI$1</f>
        <v>4.2857142857142856</v>
      </c>
      <c r="BK871" s="67">
        <f>(CD871-Driver!$F$203)/(Driver!$G$203-Driver!$F$203)*$BI$1</f>
        <v>3.2110091743119265</v>
      </c>
      <c r="BL871" s="67">
        <f>MAX((CR871-Driver!$F$202)/(Driver!$G$202-Driver!$F$202)*$BI$1,1)</f>
        <v>6.2068965517241379</v>
      </c>
      <c r="BM871" s="67">
        <f>MAX((CH871-Driver!$F$204)/(Driver!$G$204-Driver!$F$204)*$BI$1,1)</f>
        <v>3.6324786324786325</v>
      </c>
      <c r="BN871" s="67">
        <f>(CI871-Driver!$F$205)/(Driver!$G$205-Driver!$F$205)*$BI$1</f>
        <v>2.0588235294117645</v>
      </c>
      <c r="BO871" s="67">
        <f>(CK871-Driver!$F$207)/(Driver!$G$207-Driver!$F$207)*$BI$1</f>
        <v>1.623578076525336</v>
      </c>
      <c r="BP871" s="67">
        <f>(CM871-Driver!$F$208)/(Driver!$G$208-Driver!$F$208)*$BI$1</f>
        <v>3.6111111111111112</v>
      </c>
      <c r="BQ871" s="67">
        <f>(CL871-Driver!$F$209)/(Driver!$G$209-Driver!$F$209)*$BI$1</f>
        <v>6.40625</v>
      </c>
      <c r="BR871" s="28" t="s">
        <v>155</v>
      </c>
      <c r="BS871" s="8" t="s">
        <v>321</v>
      </c>
      <c r="BT871" s="9" t="s">
        <v>795</v>
      </c>
      <c r="BU871" s="10">
        <v>177</v>
      </c>
      <c r="BV871" s="9" t="s">
        <v>158</v>
      </c>
      <c r="BW871" s="10">
        <v>177</v>
      </c>
      <c r="BX871" s="10">
        <v>175.8</v>
      </c>
      <c r="BY871" s="10">
        <v>117</v>
      </c>
      <c r="BZ871" s="10">
        <v>155</v>
      </c>
      <c r="CA871" s="10">
        <v>127</v>
      </c>
      <c r="CB871" s="10">
        <v>91</v>
      </c>
      <c r="CC871" s="10">
        <v>124</v>
      </c>
      <c r="CD871" s="10">
        <v>16.399999999999999</v>
      </c>
      <c r="CE871" s="10">
        <v>1863</v>
      </c>
      <c r="CF871" s="10">
        <v>0.98</v>
      </c>
      <c r="CG871" s="10">
        <v>1825</v>
      </c>
      <c r="CH871" s="10">
        <v>186</v>
      </c>
      <c r="CI871" s="10">
        <v>68</v>
      </c>
      <c r="CJ871" s="10">
        <v>46</v>
      </c>
      <c r="CK871" s="10">
        <v>267</v>
      </c>
      <c r="CL871" s="10">
        <v>41</v>
      </c>
      <c r="CM871" s="10">
        <v>325</v>
      </c>
      <c r="CN871" s="10">
        <v>0.89200000000000002</v>
      </c>
      <c r="CO871" s="10">
        <v>125</v>
      </c>
      <c r="CP871" s="10">
        <v>82</v>
      </c>
      <c r="CQ871" s="10">
        <v>142</v>
      </c>
      <c r="CR871" s="10">
        <v>7</v>
      </c>
      <c r="CS871" s="10">
        <v>3.5</v>
      </c>
      <c r="CT871" s="9" t="s">
        <v>184</v>
      </c>
      <c r="CU871" s="10"/>
      <c r="CV871" s="10"/>
      <c r="CW871" s="10"/>
      <c r="CX871">
        <f>INDEX('Data_Price '!AG$2:AG$1266,MATCH(Data!$DN871,'Data_Price '!$AT$2:$AT$1266,0))</f>
        <v>0</v>
      </c>
      <c r="CY871">
        <f>INDEX('Data_Price '!AH$2:AH$1266,MATCH(Data!$DN871,'Data_Price '!$AT$2:$AT$1266,0))</f>
        <v>0</v>
      </c>
      <c r="CZ871">
        <f>INDEX('Data_Price '!AI$2:AI$1266,MATCH(Data!$DN871,'Data_Price '!$AT$2:$AT$1266,0))</f>
        <v>0</v>
      </c>
      <c r="DA871">
        <f>INDEX('Data_Price '!AJ$2:AJ$1266,MATCH(Data!$DN871,'Data_Price '!$AT$2:$AT$1266,0))</f>
        <v>0</v>
      </c>
      <c r="DB871">
        <f>INDEX('Data_Price '!AK$2:AK$1266,MATCH(Data!$DN871,'Data_Price '!$AT$2:$AT$1266,0))</f>
        <v>0</v>
      </c>
      <c r="DC871">
        <f>INDEX('Data_Price '!AL$2:AL$1266,MATCH(Data!$DN871,'Data_Price '!$AT$2:$AT$1266,0))</f>
        <v>0</v>
      </c>
      <c r="DD871">
        <f>INDEX('Data_Price '!AM$2:AM$1266,MATCH(Data!$DN871,'Data_Price '!$AT$2:$AT$1266,0))</f>
        <v>0</v>
      </c>
      <c r="DE871">
        <f>INDEX('Data_Price '!AN$2:AN$1266,MATCH(Data!$DN871,'Data_Price '!$AT$2:$AT$1266,0))</f>
        <v>0</v>
      </c>
      <c r="DF871">
        <f>INDEX('Data_Price '!AO$2:AO$1266,MATCH(Data!$DN871,'Data_Price '!$AT$2:$AT$1266,0))</f>
        <v>0</v>
      </c>
      <c r="DG871">
        <f>INDEX('Data_Price '!AP$2:AP$1266,MATCH(Data!$DN871,'Data_Price '!$AT$2:$AT$1266,0))</f>
        <v>0</v>
      </c>
      <c r="DH871">
        <f>INDEX('Data_Price '!AQ$2:AQ$1266,MATCH(Data!$DN871,'Data_Price '!$AT$2:$AT$1266,0))</f>
        <v>0</v>
      </c>
      <c r="DI871">
        <f>INDEX('Data_Price '!AR$2:AR$1266,MATCH(Data!$DN871,'Data_Price '!$AT$2:$AT$1266,0))</f>
        <v>0</v>
      </c>
      <c r="DJ871" s="89">
        <f t="shared" si="513"/>
        <v>0</v>
      </c>
      <c r="DK871" s="89">
        <f t="shared" si="514"/>
        <v>0</v>
      </c>
      <c r="DL871" s="89">
        <f t="shared" si="515"/>
        <v>0</v>
      </c>
      <c r="DM871" s="219" t="str">
        <f t="shared" si="516"/>
        <v>Zigzag 92</v>
      </c>
      <c r="DN871" s="89" t="str">
        <f t="shared" si="517"/>
        <v xml:space="preserve"> FerreolZigzag 92177 Unisex</v>
      </c>
      <c r="DO871" s="221"/>
    </row>
    <row r="872" spans="2:119" ht="15.6" customHeight="1">
      <c r="B872" s="219" t="b">
        <f t="array" ref="B872">IF(OR(ISERROR(K872:P872)),FALSE,TRUE)</f>
        <v>1</v>
      </c>
      <c r="C872" s="43" t="b">
        <f>OR(BR872=Driver!$G$50,Data!BR1164=Driver!$H$50)</f>
        <v>1</v>
      </c>
      <c r="D872" s="43" t="b">
        <f>OR(BV872=Driver!$G$51,BV872=Driver!$H$51)</f>
        <v>1</v>
      </c>
      <c r="E872" s="43" t="b">
        <f>AND(BX872&gt;Driver!$F$54,BX872&lt;Driver!$G$54)</f>
        <v>0</v>
      </c>
      <c r="F872" s="43" t="b">
        <f>CL872&gt;Driver!$F$56</f>
        <v>1</v>
      </c>
      <c r="G872" s="43" t="b">
        <f>AND(CB872&gt;Driver!$F$55,CB872&lt;Driver!$G$55)</f>
        <v>0</v>
      </c>
      <c r="H872" s="43" t="b">
        <f t="shared" si="481"/>
        <v>0</v>
      </c>
      <c r="I872" s="43">
        <f t="shared" si="482"/>
        <v>0</v>
      </c>
      <c r="J872" s="43" t="b">
        <f t="array" ref="J872">NOT(OR(($H$9:$H$1273=TRUE)*($I$9:$I$1273&gt;0)*($BT$9:$BT$1273=BT872)*($K$9:$K$1273&gt;K872)))</f>
        <v>1</v>
      </c>
      <c r="K872" s="72">
        <f t="shared" si="483"/>
        <v>0.84213748466658434</v>
      </c>
      <c r="L872" s="72">
        <f t="shared" si="484"/>
        <v>0.85568309655889174</v>
      </c>
      <c r="M872" s="72">
        <f t="shared" si="485"/>
        <v>0.82859187277427693</v>
      </c>
      <c r="N872" s="72">
        <f t="shared" si="486"/>
        <v>0.90925116091791169</v>
      </c>
      <c r="O872" s="72">
        <f t="shared" si="487"/>
        <v>0.64148733073990716</v>
      </c>
      <c r="P872" s="72">
        <f t="shared" si="488"/>
        <v>0.93503712666501193</v>
      </c>
      <c r="Q872" s="72"/>
      <c r="R872" s="72"/>
      <c r="S872" s="72">
        <f t="shared" si="489"/>
        <v>0.41918121519195017</v>
      </c>
      <c r="T872" s="72">
        <f t="shared" si="490"/>
        <v>0.48190923919543571</v>
      </c>
      <c r="U872" s="72">
        <f t="shared" si="491"/>
        <v>0.74990931829085605</v>
      </c>
      <c r="V872" s="72">
        <f t="shared" si="492"/>
        <v>0.54026377661493563</v>
      </c>
      <c r="W872" s="72">
        <f t="shared" si="493"/>
        <v>0.85261088709677413</v>
      </c>
      <c r="X872" s="72">
        <f t="shared" si="494"/>
        <v>0.14431690344110831</v>
      </c>
      <c r="Y872" s="72">
        <f t="shared" si="495"/>
        <v>0.17140812722572307</v>
      </c>
      <c r="Z872" s="72">
        <f t="shared" si="496"/>
        <v>9.0748839082088348E-2</v>
      </c>
      <c r="AA872" s="72">
        <f t="shared" si="497"/>
        <v>0.35851266926009279</v>
      </c>
      <c r="AB872" s="72">
        <f t="shared" si="498"/>
        <v>6.4962873334988014E-2</v>
      </c>
      <c r="AC872" s="72"/>
      <c r="AD872" s="72"/>
      <c r="AE872" s="72">
        <f t="shared" si="499"/>
        <v>0.58081878480804983</v>
      </c>
      <c r="AF872" s="72">
        <f t="shared" si="500"/>
        <v>0.51809076080456429</v>
      </c>
      <c r="AG872" s="72">
        <f t="shared" si="501"/>
        <v>0.25009068170914395</v>
      </c>
      <c r="AH872" s="72">
        <f t="shared" si="502"/>
        <v>0.45973622338506431</v>
      </c>
      <c r="AI872" s="72">
        <f t="shared" si="503"/>
        <v>0.14738911290322582</v>
      </c>
      <c r="AJ872" s="72">
        <f>(AV872-Driver!$K$179)/(Driver!$L$179-Driver!$K$179)</f>
        <v>0.10990250584159211</v>
      </c>
      <c r="AK872" s="72">
        <f>(AW872-Driver!$K$180)/(Driver!$L$180-Driver!$K$180)</f>
        <v>0.18692543559338698</v>
      </c>
      <c r="AL872" s="72">
        <f>(AX872-Driver!$K$181)/(Driver!$L$181-Driver!$K$181)</f>
        <v>0.19243660279516853</v>
      </c>
      <c r="AM872" s="72">
        <f>(AY872-Driver!$K$182)/(Driver!$L$182-Driver!$K$182)</f>
        <v>8.8872351836953564E-2</v>
      </c>
      <c r="AN872" s="72">
        <f>(AZ872-Driver!$K$183)/(Driver!$L$183-Driver!$K$183)</f>
        <v>0.18925653594771241</v>
      </c>
      <c r="AO872" s="72"/>
      <c r="AP872" s="72"/>
      <c r="AQ872" s="72">
        <f>(BC872-Driver!$K$188)/(Driver!$L$188-Driver!$K$188)</f>
        <v>3.9181215191950183E-2</v>
      </c>
      <c r="AR872" s="72">
        <f>MIN((BD872-Driver!$K$189)/(Driver!$L$189-Driver!$K$189),100%)</f>
        <v>3.1909239195435771E-2</v>
      </c>
      <c r="AS872" s="72">
        <f>(BE872-Driver!$K$190)/(Driver!$L$190-Driver!$K$190)</f>
        <v>0.25990931829085606</v>
      </c>
      <c r="AT872" s="72">
        <f>(BF872-Driver!$K$191)/(Driver!$L$191-Driver!$K$191)</f>
        <v>5.0263776614935675E-2</v>
      </c>
      <c r="AU872" s="72">
        <f>(BG872-Driver!$K$192)/(Driver!$L$192-Driver!$K$192)</f>
        <v>0.1026108870967742</v>
      </c>
      <c r="AV872" s="70">
        <f t="shared" si="504"/>
        <v>2.3131189797856462</v>
      </c>
      <c r="AW872" s="70">
        <f t="shared" si="505"/>
        <v>20.089432647888707</v>
      </c>
      <c r="AX872" s="70">
        <f t="shared" si="506"/>
        <v>2.7319294251565167</v>
      </c>
      <c r="AY872" s="70">
        <f>IFERROR(Driver!$K$19/Data!BH872/Data!BI872*Data!BK872*Data!BL872,"")</f>
        <v>0.10880627559890589</v>
      </c>
      <c r="AZ872" s="70">
        <f t="shared" si="507"/>
        <v>17.248696947133283</v>
      </c>
      <c r="BA872" s="70"/>
      <c r="BB872" s="70"/>
      <c r="BC872" s="70">
        <f t="shared" si="508"/>
        <v>20.323568703453542</v>
      </c>
      <c r="BD872" s="70">
        <f t="shared" si="509"/>
        <v>4.5447340130675755</v>
      </c>
      <c r="BE872" s="70">
        <f t="shared" si="510"/>
        <v>0.26004134213839752</v>
      </c>
      <c r="BF872" s="70">
        <f t="shared" si="511"/>
        <v>5.6769404456408949</v>
      </c>
      <c r="BG872" s="70">
        <f t="shared" si="512"/>
        <v>0.38855027721774199</v>
      </c>
      <c r="BH872" s="67">
        <f>MAX((CE872-Driver!$F$200)/(Driver!$G$200-Driver!$F$200)*$BI$1,1)</f>
        <v>2.7319294251565167</v>
      </c>
      <c r="BI872" s="67">
        <f>MAX($BI$1*(BY872-Driver!$F$201)/(Driver!$G$201-Driver!$F$201),1)</f>
        <v>7.1518987341772151</v>
      </c>
      <c r="BJ872" s="67">
        <f>(CB872-Driver!$F$206)/(Driver!$G$206-Driver!$F$206)*$BI$1</f>
        <v>3.4920634920634921</v>
      </c>
      <c r="BK872" s="67">
        <f>(CD872-Driver!$F$203)/(Driver!$G$203-Driver!$F$203)*$BI$1</f>
        <v>2.2018348623853208</v>
      </c>
      <c r="BL872" s="67">
        <f>MAX((CR872-Driver!$F$202)/(Driver!$G$202-Driver!$F$202)*$BI$1,1)</f>
        <v>4.8275862068965516</v>
      </c>
      <c r="BM872" s="67">
        <f>MAX((CH872-Driver!$F$204)/(Driver!$G$204-Driver!$F$204)*$BI$1,1)</f>
        <v>2.6495726495726495</v>
      </c>
      <c r="BN872" s="67">
        <f>(CI872-Driver!$F$205)/(Driver!$G$205-Driver!$F$205)*$BI$1</f>
        <v>2.4117647058823528</v>
      </c>
      <c r="BO872" s="67">
        <f>(CK872-Driver!$F$207)/(Driver!$G$207-Driver!$F$207)*$BI$1</f>
        <v>1.8200620475698035</v>
      </c>
      <c r="BP872" s="67">
        <f>(CM872-Driver!$F$208)/(Driver!$G$208-Driver!$F$208)*$BI$1</f>
        <v>1.9666666666666666</v>
      </c>
      <c r="BQ872" s="67">
        <f>(CL872-Driver!$F$209)/(Driver!$G$209-Driver!$F$209)*$BI$1</f>
        <v>2.8125</v>
      </c>
      <c r="BR872" s="28" t="s">
        <v>155</v>
      </c>
      <c r="BS872" s="8" t="s">
        <v>229</v>
      </c>
      <c r="BT872" s="9" t="s">
        <v>624</v>
      </c>
      <c r="BU872" s="10">
        <v>166</v>
      </c>
      <c r="BV872" s="9" t="s">
        <v>158</v>
      </c>
      <c r="BW872" s="10">
        <v>166</v>
      </c>
      <c r="BX872" s="10">
        <v>167.2</v>
      </c>
      <c r="BY872" s="10">
        <v>121</v>
      </c>
      <c r="BZ872" s="10">
        <v>143</v>
      </c>
      <c r="CA872" s="10">
        <v>128</v>
      </c>
      <c r="CB872" s="10">
        <v>86</v>
      </c>
      <c r="CC872" s="10">
        <v>110</v>
      </c>
      <c r="CD872" s="10">
        <v>14.2</v>
      </c>
      <c r="CE872" s="10">
        <v>1380</v>
      </c>
      <c r="CF872" s="10">
        <v>1.2</v>
      </c>
      <c r="CG872" s="10">
        <v>1662</v>
      </c>
      <c r="CH872" s="10">
        <v>163</v>
      </c>
      <c r="CI872" s="10">
        <v>74</v>
      </c>
      <c r="CJ872" s="10">
        <v>45</v>
      </c>
      <c r="CK872" s="10">
        <v>286</v>
      </c>
      <c r="CL872" s="10">
        <v>18</v>
      </c>
      <c r="CM872" s="10">
        <v>177</v>
      </c>
      <c r="CN872" s="10">
        <v>0.39</v>
      </c>
      <c r="CO872" s="10">
        <v>146</v>
      </c>
      <c r="CP872" s="10">
        <v>100</v>
      </c>
      <c r="CQ872" s="10">
        <v>140</v>
      </c>
      <c r="CR872" s="10">
        <v>3</v>
      </c>
      <c r="CS872" s="10">
        <v>11.9</v>
      </c>
      <c r="CT872" s="9" t="s">
        <v>188</v>
      </c>
      <c r="CU872" s="9" t="s">
        <v>185</v>
      </c>
      <c r="CV872" s="10"/>
      <c r="CW872" s="10"/>
      <c r="CX872" t="e">
        <f>INDEX('Data_Price '!AG$2:AG$1266,MATCH(Data!$DN872,'Data_Price '!$AT$2:$AT$1266,0))</f>
        <v>#N/A</v>
      </c>
      <c r="CY872" t="e">
        <f>INDEX('Data_Price '!AH$2:AH$1266,MATCH(Data!$DN872,'Data_Price '!$AT$2:$AT$1266,0))</f>
        <v>#N/A</v>
      </c>
      <c r="CZ872" t="e">
        <f>INDEX('Data_Price '!AI$2:AI$1266,MATCH(Data!$DN872,'Data_Price '!$AT$2:$AT$1266,0))</f>
        <v>#N/A</v>
      </c>
      <c r="DA872" t="e">
        <f>INDEX('Data_Price '!AJ$2:AJ$1266,MATCH(Data!$DN872,'Data_Price '!$AT$2:$AT$1266,0))</f>
        <v>#N/A</v>
      </c>
      <c r="DB872" t="e">
        <f>INDEX('Data_Price '!AK$2:AK$1266,MATCH(Data!$DN872,'Data_Price '!$AT$2:$AT$1266,0))</f>
        <v>#N/A</v>
      </c>
      <c r="DC872" t="e">
        <f>INDEX('Data_Price '!AL$2:AL$1266,MATCH(Data!$DN872,'Data_Price '!$AT$2:$AT$1266,0))</f>
        <v>#N/A</v>
      </c>
      <c r="DD872" t="e">
        <f>INDEX('Data_Price '!AM$2:AM$1266,MATCH(Data!$DN872,'Data_Price '!$AT$2:$AT$1266,0))</f>
        <v>#N/A</v>
      </c>
      <c r="DE872" t="e">
        <f>INDEX('Data_Price '!AN$2:AN$1266,MATCH(Data!$DN872,'Data_Price '!$AT$2:$AT$1266,0))</f>
        <v>#N/A</v>
      </c>
      <c r="DF872" t="e">
        <f>INDEX('Data_Price '!AO$2:AO$1266,MATCH(Data!$DN872,'Data_Price '!$AT$2:$AT$1266,0))</f>
        <v>#N/A</v>
      </c>
      <c r="DG872" t="e">
        <f>INDEX('Data_Price '!AP$2:AP$1266,MATCH(Data!$DN872,'Data_Price '!$AT$2:$AT$1266,0))</f>
        <v>#N/A</v>
      </c>
      <c r="DH872" t="e">
        <f>INDEX('Data_Price '!AQ$2:AQ$1266,MATCH(Data!$DN872,'Data_Price '!$AT$2:$AT$1266,0))</f>
        <v>#N/A</v>
      </c>
      <c r="DI872" t="e">
        <f>INDEX('Data_Price '!AR$2:AR$1266,MATCH(Data!$DN872,'Data_Price '!$AT$2:$AT$1266,0))</f>
        <v>#N/A</v>
      </c>
      <c r="DJ872" s="89" t="e">
        <f t="shared" si="513"/>
        <v>#N/A</v>
      </c>
      <c r="DK872" s="89" t="e">
        <f t="shared" si="514"/>
        <v>#N/A</v>
      </c>
      <c r="DL872" s="89" t="e">
        <f t="shared" si="515"/>
        <v>#N/A</v>
      </c>
      <c r="DM872" s="219" t="str">
        <f t="shared" si="516"/>
        <v>Blaze 86</v>
      </c>
      <c r="DN872" s="89" t="str">
        <f t="shared" si="517"/>
        <v xml:space="preserve"> VölklBlaze 86166 Unisex</v>
      </c>
      <c r="DO872" s="221" t="s">
        <v>625</v>
      </c>
    </row>
    <row r="873" spans="2:119" ht="15.6" customHeight="1">
      <c r="B873" s="219" t="b">
        <f t="array" ref="B873">IF(OR(ISERROR(K873:P873)),FALSE,TRUE)</f>
        <v>1</v>
      </c>
      <c r="C873" s="43" t="b">
        <f>OR(BR873=Driver!$G$50,Data!BR254=Driver!$H$50)</f>
        <v>1</v>
      </c>
      <c r="D873" s="43" t="b">
        <f>OR(BV873=Driver!$G$51,BV873=Driver!$H$51)</f>
        <v>0</v>
      </c>
      <c r="E873" s="43" t="b">
        <f>AND(BX873&gt;Driver!$F$54,BX873&lt;Driver!$G$54)</f>
        <v>0</v>
      </c>
      <c r="F873" s="43" t="b">
        <f>CL873&gt;Driver!$F$56</f>
        <v>1</v>
      </c>
      <c r="G873" s="43" t="b">
        <f>AND(CB873&gt;Driver!$F$55,CB873&lt;Driver!$G$55)</f>
        <v>0</v>
      </c>
      <c r="H873" s="43" t="b">
        <f t="shared" si="481"/>
        <v>0</v>
      </c>
      <c r="I873" s="43">
        <f t="shared" si="482"/>
        <v>0</v>
      </c>
      <c r="J873" s="43" t="b">
        <f t="array" ref="J873">NOT(OR(($H$9:$H$1273=TRUE)*($I$9:$I$1273&gt;0)*($BT$9:$BT$1273=BT873)*($K$9:$K$1273&gt;K873)))</f>
        <v>1</v>
      </c>
      <c r="K873" s="72">
        <f t="shared" si="483"/>
        <v>0.80647112210570182</v>
      </c>
      <c r="L873" s="72">
        <f t="shared" si="484"/>
        <v>0.81837748057307269</v>
      </c>
      <c r="M873" s="72">
        <f t="shared" si="485"/>
        <v>0.79456476363833095</v>
      </c>
      <c r="N873" s="72">
        <f t="shared" si="486"/>
        <v>0.84664444492474145</v>
      </c>
      <c r="O873" s="72">
        <f t="shared" si="487"/>
        <v>0.61806664089386676</v>
      </c>
      <c r="P873" s="72">
        <f t="shared" si="488"/>
        <v>0.91898320509638454</v>
      </c>
      <c r="Q873" s="72"/>
      <c r="R873" s="72"/>
      <c r="S873" s="72">
        <f t="shared" si="489"/>
        <v>0.41399281192589488</v>
      </c>
      <c r="T873" s="72">
        <f t="shared" si="490"/>
        <v>0.51278909336403278</v>
      </c>
      <c r="U873" s="72">
        <f t="shared" si="491"/>
        <v>0.51</v>
      </c>
      <c r="V873" s="72">
        <f t="shared" si="492"/>
        <v>0.51315749139512112</v>
      </c>
      <c r="W873" s="72">
        <f t="shared" si="493"/>
        <v>0.78869879753641614</v>
      </c>
      <c r="X873" s="72">
        <f t="shared" si="494"/>
        <v>0.18162251942692734</v>
      </c>
      <c r="Y873" s="72">
        <f t="shared" si="495"/>
        <v>0.20543523636166908</v>
      </c>
      <c r="Z873" s="72">
        <f t="shared" si="496"/>
        <v>0.15335555507525855</v>
      </c>
      <c r="AA873" s="72">
        <f t="shared" si="497"/>
        <v>0.38193335910613324</v>
      </c>
      <c r="AB873" s="72">
        <f t="shared" si="498"/>
        <v>8.1016794903615463E-2</v>
      </c>
      <c r="AC873" s="72"/>
      <c r="AD873" s="72"/>
      <c r="AE873" s="72">
        <f t="shared" si="499"/>
        <v>0.58600718807410512</v>
      </c>
      <c r="AF873" s="72">
        <f t="shared" si="500"/>
        <v>0.48721090663596722</v>
      </c>
      <c r="AG873" s="72">
        <f t="shared" si="501"/>
        <v>0.49</v>
      </c>
      <c r="AH873" s="72">
        <f t="shared" si="502"/>
        <v>0.48684250860487893</v>
      </c>
      <c r="AI873" s="72">
        <f t="shared" si="503"/>
        <v>0.21130120246358391</v>
      </c>
      <c r="AJ873" s="72">
        <f>(AV873-Driver!$K$179)/(Driver!$L$179-Driver!$K$179)</f>
        <v>7.2596889855773089E-2</v>
      </c>
      <c r="AK873" s="72">
        <f>(AW873-Driver!$K$180)/(Driver!$L$180-Driver!$K$180)</f>
        <v>0.17739981956608222</v>
      </c>
      <c r="AL873" s="72">
        <f>(AX873-Driver!$K$181)/(Driver!$L$181-Driver!$K$181)</f>
        <v>0.25504331878833875</v>
      </c>
      <c r="AM873" s="72">
        <f>(AY873-Driver!$K$182)/(Driver!$L$182-Driver!$K$182)</f>
        <v>6.545166199091311E-2</v>
      </c>
      <c r="AN873" s="72">
        <f>(AZ873-Driver!$K$183)/(Driver!$L$183-Driver!$K$183)</f>
        <v>0.17320261437908496</v>
      </c>
      <c r="AO873" s="72"/>
      <c r="AP873" s="72"/>
      <c r="AQ873" s="72">
        <f>(BC873-Driver!$K$188)/(Driver!$L$188-Driver!$K$188)</f>
        <v>3.3992811925894845E-2</v>
      </c>
      <c r="AR873" s="72">
        <f>MIN((BD873-Driver!$K$189)/(Driver!$L$189-Driver!$K$189),100%)</f>
        <v>6.2789093364032794E-2</v>
      </c>
      <c r="AS873" s="72">
        <f>(BE873-Driver!$K$190)/(Driver!$L$190-Driver!$K$190)</f>
        <v>1</v>
      </c>
      <c r="AT873" s="72">
        <f>(BF873-Driver!$K$191)/(Driver!$L$191-Driver!$K$191)</f>
        <v>2.3157491395121098E-2</v>
      </c>
      <c r="AU873" s="72">
        <f>(BG873-Driver!$K$192)/(Driver!$L$192-Driver!$K$192)</f>
        <v>3.8698797536416071E-2</v>
      </c>
      <c r="AV873" s="70">
        <f t="shared" si="504"/>
        <v>1.5279473612806944</v>
      </c>
      <c r="AW873" s="70">
        <f t="shared" si="505"/>
        <v>19.161076960483413</v>
      </c>
      <c r="AX873" s="70">
        <f t="shared" si="506"/>
        <v>3.2953898690950485</v>
      </c>
      <c r="AY873" s="70">
        <f>IFERROR(Driver!$K$19/Data!BH873/Data!BI873*Data!BK873*Data!BL873,"")</f>
        <v>8.0132363167962767E-2</v>
      </c>
      <c r="AZ873" s="70">
        <f t="shared" si="507"/>
        <v>15.785554728220403</v>
      </c>
      <c r="BA873" s="70"/>
      <c r="BB873" s="70"/>
      <c r="BC873" s="70">
        <f t="shared" si="508"/>
        <v>17.632307860156303</v>
      </c>
      <c r="BD873" s="70">
        <f t="shared" si="509"/>
        <v>7.2775463911245328</v>
      </c>
      <c r="BE873" s="70">
        <f t="shared" si="510"/>
        <v>1</v>
      </c>
      <c r="BF873" s="70">
        <f t="shared" si="511"/>
        <v>2.6154759624942319</v>
      </c>
      <c r="BG873" s="70">
        <f t="shared" si="512"/>
        <v>0.1465383346368169</v>
      </c>
      <c r="BH873" s="67">
        <f>MAX((CE873-Driver!$F$200)/(Driver!$G$200-Driver!$F$200)*$BI$1,1)</f>
        <v>3.2953898690950485</v>
      </c>
      <c r="BI873" s="67">
        <f>MAX($BI$1*(BY873-Driver!$F$201)/(Driver!$G$201-Driver!$F$201),1)</f>
        <v>6.7088607594936711</v>
      </c>
      <c r="BJ873" s="67">
        <f>(CB873-Driver!$F$206)/(Driver!$G$206-Driver!$F$206)*$BI$1</f>
        <v>2.6984126984126982</v>
      </c>
      <c r="BK873" s="67">
        <f>(CD873-Driver!$F$203)/(Driver!$G$203-Driver!$F$203)*$BI$1</f>
        <v>1.834862385321101</v>
      </c>
      <c r="BL873" s="67">
        <f>MAX((CR873-Driver!$F$202)/(Driver!$G$202-Driver!$F$202)*$BI$1,1)</f>
        <v>4.8275862068965516</v>
      </c>
      <c r="BM873" s="67">
        <f>MAX((CH873-Driver!$F$204)/(Driver!$G$204-Driver!$F$204)*$BI$1,1)</f>
        <v>2.2649572649572649</v>
      </c>
      <c r="BN873" s="67">
        <f>(CI873-Driver!$F$205)/(Driver!$G$205-Driver!$F$205)*$BI$1</f>
        <v>2.3529411764705883</v>
      </c>
      <c r="BO873" s="67">
        <f>(CK873-Driver!$F$207)/(Driver!$G$207-Driver!$F$207)*$BI$1</f>
        <v>1.468459152016546</v>
      </c>
      <c r="BP873" s="67">
        <f>(CM873-Driver!$F$208)/(Driver!$G$208-Driver!$F$208)*$BI$1</f>
        <v>1.2111111111111112</v>
      </c>
      <c r="BQ873" s="67">
        <f>(CL873-Driver!$F$209)/(Driver!$G$209-Driver!$F$209)*$BI$1</f>
        <v>1.09375</v>
      </c>
      <c r="BR873" s="28" t="s">
        <v>155</v>
      </c>
      <c r="BS873" s="8" t="s">
        <v>317</v>
      </c>
      <c r="BT873" s="9" t="s">
        <v>618</v>
      </c>
      <c r="BU873" s="10">
        <v>152</v>
      </c>
      <c r="BV873" s="9" t="s">
        <v>163</v>
      </c>
      <c r="BW873" s="10">
        <v>152</v>
      </c>
      <c r="BX873" s="10">
        <v>150.1</v>
      </c>
      <c r="BY873" s="10">
        <v>114</v>
      </c>
      <c r="BZ873" s="10">
        <v>129</v>
      </c>
      <c r="CA873" s="10">
        <v>118</v>
      </c>
      <c r="CB873" s="10">
        <v>81</v>
      </c>
      <c r="CC873" s="10">
        <v>102</v>
      </c>
      <c r="CD873" s="10">
        <v>13.4</v>
      </c>
      <c r="CE873" s="10">
        <v>1479</v>
      </c>
      <c r="CF873" s="10">
        <v>0.94</v>
      </c>
      <c r="CG873" s="10">
        <v>1391</v>
      </c>
      <c r="CH873" s="10">
        <v>154</v>
      </c>
      <c r="CI873" s="10">
        <v>73</v>
      </c>
      <c r="CJ873" s="10">
        <v>54</v>
      </c>
      <c r="CK873" s="10">
        <v>252</v>
      </c>
      <c r="CL873" s="10">
        <v>7</v>
      </c>
      <c r="CM873" s="10">
        <v>109</v>
      </c>
      <c r="CN873" s="10">
        <v>0.13200000000000001</v>
      </c>
      <c r="CO873" s="10">
        <v>114</v>
      </c>
      <c r="CP873" s="10">
        <v>99</v>
      </c>
      <c r="CQ873" s="10">
        <v>138</v>
      </c>
      <c r="CR873" s="10">
        <v>3</v>
      </c>
      <c r="CS873" s="10">
        <v>10.9</v>
      </c>
      <c r="CT873" s="9" t="s">
        <v>231</v>
      </c>
      <c r="CU873" s="9" t="s">
        <v>188</v>
      </c>
      <c r="CV873" s="10"/>
      <c r="CW873" s="10"/>
      <c r="CX873" t="str">
        <f>INDEX('Data_Price '!AG$2:AG$1266,MATCH(Data!$DN873,'Data_Price '!$AT$2:$AT$1266,0))</f>
        <v>Blizzard Black Pearl 82 Skis - Women's 2022</v>
      </c>
      <c r="CY873" t="str">
        <f>INDEX('Data_Price '!AH$2:AH$1266,MATCH(Data!$DN873,'Data_Price '!$AT$2:$AT$1266,0))</f>
        <v>AlpineShopVT.com</v>
      </c>
      <c r="CZ873">
        <f>INDEX('Data_Price '!AI$2:AI$1266,MATCH(Data!$DN873,'Data_Price '!$AT$2:$AT$1266,0))</f>
        <v>479.95</v>
      </c>
      <c r="DA873" t="str">
        <f>INDEX('Data_Price '!AJ$2:AJ$1266,MATCH(Data!$DN873,'Data_Price '!$AT$2:$AT$1266,0))</f>
        <v>https://tinyurl.com/y72nlycc</v>
      </c>
      <c r="DB873" t="str">
        <f>INDEX('Data_Price '!AK$2:AK$1266,MATCH(Data!$DN873,'Data_Price '!$AT$2:$AT$1266,0))</f>
        <v>Blizzard Black Pearl 82 Skis - Women's 2022</v>
      </c>
      <c r="DC873" t="str">
        <f>INDEX('Data_Price '!AL$2:AL$1266,MATCH(Data!$DN873,'Data_Price '!$AT$2:$AT$1266,0))</f>
        <v>evo.com</v>
      </c>
      <c r="DD873">
        <f>INDEX('Data_Price '!AM$2:AM$1266,MATCH(Data!$DN873,'Data_Price '!$AT$2:$AT$1266,0))</f>
        <v>479.96</v>
      </c>
      <c r="DE873" t="str">
        <f>INDEX('Data_Price '!AN$2:AN$1266,MATCH(Data!$DN873,'Data_Price '!$AT$2:$AT$1266,0))</f>
        <v>https://tinyurl.com/y7f4tnze</v>
      </c>
      <c r="DF873" t="str">
        <f>INDEX('Data_Price '!AO$2:AO$1266,MATCH(Data!$DN873,'Data_Price '!$AT$2:$AT$1266,0))</f>
        <v>Blizzard Black Pearl 82 Skis - Women's 2022</v>
      </c>
      <c r="DG873" t="str">
        <f>INDEX('Data_Price '!AP$2:AP$1266,MATCH(Data!$DN873,'Data_Price '!$AT$2:$AT$1266,0))</f>
        <v>The Ski Bum</v>
      </c>
      <c r="DH873">
        <f>INDEX('Data_Price '!AQ$2:AQ$1266,MATCH(Data!$DN873,'Data_Price '!$AT$2:$AT$1266,0))</f>
        <v>479.96</v>
      </c>
      <c r="DI873" t="str">
        <f>INDEX('Data_Price '!AR$2:AR$1266,MATCH(Data!$DN873,'Data_Price '!$AT$2:$AT$1266,0))</f>
        <v>https://tinyurl.com/y9c5gpkn</v>
      </c>
      <c r="DJ873" s="89" t="str">
        <f t="shared" si="513"/>
        <v>https://tinyurl.com/y72nlycc</v>
      </c>
      <c r="DK873" s="89" t="str">
        <f t="shared" si="514"/>
        <v>https://tinyurl.com/y7f4tnze</v>
      </c>
      <c r="DL873" s="89" t="str">
        <f t="shared" si="515"/>
        <v>https://tinyurl.com/y9c5gpkn</v>
      </c>
      <c r="DM873" s="219" t="str">
        <f t="shared" si="516"/>
        <v>Black Pearl 82</v>
      </c>
      <c r="DN873" s="89" t="str">
        <f t="shared" si="517"/>
        <v xml:space="preserve"> BlizzardBlack Pearl 82152 Women's</v>
      </c>
      <c r="DO873" s="221" t="s">
        <v>619</v>
      </c>
    </row>
    <row r="874" spans="2:119" ht="15.6" customHeight="1">
      <c r="B874" s="219" t="b">
        <f t="array" ref="B874">IF(OR(ISERROR(K874:P874)),FALSE,TRUE)</f>
        <v>1</v>
      </c>
      <c r="C874" s="43" t="b">
        <f>OR(BR874=Driver!$G$50,Data!BR590=Driver!$H$50)</f>
        <v>1</v>
      </c>
      <c r="D874" s="43" t="b">
        <f>OR(BV874=Driver!$G$51,BV874=Driver!$H$51)</f>
        <v>1</v>
      </c>
      <c r="E874" s="43" t="b">
        <f>AND(BX874&gt;Driver!$F$54,BX874&lt;Driver!$G$54)</f>
        <v>1</v>
      </c>
      <c r="F874" s="43" t="b">
        <f>CL874&gt;Driver!$F$56</f>
        <v>1</v>
      </c>
      <c r="G874" s="43" t="b">
        <f>AND(CB874&gt;Driver!$F$55,CB874&lt;Driver!$G$55)</f>
        <v>0</v>
      </c>
      <c r="H874" s="43" t="b">
        <f t="shared" si="481"/>
        <v>0</v>
      </c>
      <c r="I874" s="43">
        <f t="shared" si="482"/>
        <v>0</v>
      </c>
      <c r="J874" s="43" t="b">
        <f t="array" ref="J874">NOT(OR(($H$9:$H$1273=TRUE)*($I$9:$I$1273&gt;0)*($BT$9:$BT$1273=BT874)*($K$9:$K$1273&gt;K874)))</f>
        <v>1</v>
      </c>
      <c r="K874" s="72">
        <f t="shared" si="483"/>
        <v>0.7836262918191349</v>
      </c>
      <c r="L874" s="72">
        <f t="shared" si="484"/>
        <v>0.86647997029992785</v>
      </c>
      <c r="M874" s="72">
        <f t="shared" si="485"/>
        <v>0.70077261333834195</v>
      </c>
      <c r="N874" s="72">
        <f t="shared" si="486"/>
        <v>0.57281911133845165</v>
      </c>
      <c r="O874" s="72">
        <f t="shared" si="487"/>
        <v>0.58600571965862103</v>
      </c>
      <c r="P874" s="72">
        <f t="shared" si="488"/>
        <v>0.94349300901795319</v>
      </c>
      <c r="Q874" s="72"/>
      <c r="R874" s="72"/>
      <c r="S874" s="72">
        <f t="shared" si="489"/>
        <v>0.41206921303972843</v>
      </c>
      <c r="T874" s="72">
        <f t="shared" si="490"/>
        <v>0.93184890983649615</v>
      </c>
      <c r="U874" s="72">
        <f t="shared" si="491"/>
        <v>0.8750333483910655</v>
      </c>
      <c r="V874" s="72">
        <f t="shared" si="492"/>
        <v>0.503684833610762</v>
      </c>
      <c r="W874" s="72">
        <f t="shared" si="493"/>
        <v>0.7719339884008718</v>
      </c>
      <c r="X874" s="72">
        <f t="shared" si="494"/>
        <v>0.13352002970007212</v>
      </c>
      <c r="Y874" s="72">
        <f t="shared" si="495"/>
        <v>0.29922738666165805</v>
      </c>
      <c r="Z874" s="72">
        <f t="shared" si="496"/>
        <v>0.42718088866154835</v>
      </c>
      <c r="AA874" s="72">
        <f t="shared" si="497"/>
        <v>0.41399428034137897</v>
      </c>
      <c r="AB874" s="72">
        <f t="shared" si="498"/>
        <v>5.6506990982046812E-2</v>
      </c>
      <c r="AC874" s="72"/>
      <c r="AD874" s="72"/>
      <c r="AE874" s="72">
        <f t="shared" si="499"/>
        <v>0.58793078696027157</v>
      </c>
      <c r="AF874" s="72">
        <f t="shared" si="500"/>
        <v>6.8151090163503847E-2</v>
      </c>
      <c r="AG874" s="72">
        <f t="shared" si="501"/>
        <v>0.1249666516089345</v>
      </c>
      <c r="AH874" s="72">
        <f t="shared" si="502"/>
        <v>0.496315166389238</v>
      </c>
      <c r="AI874" s="72">
        <f t="shared" si="503"/>
        <v>0.22806601159912823</v>
      </c>
      <c r="AJ874" s="72">
        <f>(AV874-Driver!$K$179)/(Driver!$L$179-Driver!$K$179)</f>
        <v>0.1206993795826283</v>
      </c>
      <c r="AK874" s="72">
        <f>(AW874-Driver!$K$180)/(Driver!$L$180-Driver!$K$180)</f>
        <v>0.22520440849630927</v>
      </c>
      <c r="AL874" s="72">
        <f>(AX874-Driver!$K$181)/(Driver!$L$181-Driver!$K$181)</f>
        <v>0.52886865237462855</v>
      </c>
      <c r="AM874" s="72">
        <f>(AY874-Driver!$K$182)/(Driver!$L$182-Driver!$K$182)</f>
        <v>3.3390740755667413E-2</v>
      </c>
      <c r="AN874" s="72">
        <f>(AZ874-Driver!$K$183)/(Driver!$L$183-Driver!$K$183)</f>
        <v>0.19771241830065361</v>
      </c>
      <c r="AO874" s="72"/>
      <c r="AP874" s="72"/>
      <c r="AQ874" s="72">
        <f>(BC874-Driver!$K$188)/(Driver!$L$188-Driver!$K$188)</f>
        <v>3.2069213039728456E-2</v>
      </c>
      <c r="AR874" s="72">
        <f>MIN((BD874-Driver!$K$189)/(Driver!$L$189-Driver!$K$189),100%)</f>
        <v>0.61815109016350389</v>
      </c>
      <c r="AS874" s="72">
        <f>(BE874-Driver!$K$190)/(Driver!$L$190-Driver!$K$190)</f>
        <v>0.63496665160893451</v>
      </c>
      <c r="AT874" s="72">
        <f>(BF874-Driver!$K$191)/(Driver!$L$191-Driver!$K$191)</f>
        <v>1.3684833610762002E-2</v>
      </c>
      <c r="AU874" s="72">
        <f>(BG874-Driver!$K$192)/(Driver!$L$192-Driver!$K$192)</f>
        <v>2.1933988400871778E-2</v>
      </c>
      <c r="AV874" s="70">
        <f t="shared" si="504"/>
        <v>2.5403608736942069</v>
      </c>
      <c r="AW874" s="70">
        <f t="shared" si="505"/>
        <v>23.820057743483275</v>
      </c>
      <c r="AX874" s="70">
        <f t="shared" si="506"/>
        <v>5.7598178713716566</v>
      </c>
      <c r="AY874" s="70">
        <f>IFERROR(Driver!$K$19/Data!BH874/Data!BI874*Data!BK874*Data!BL874,"")</f>
        <v>4.0880229520404092E-2</v>
      </c>
      <c r="AZ874" s="70">
        <f t="shared" si="507"/>
        <v>18.019359642591215</v>
      </c>
      <c r="BA874" s="70"/>
      <c r="BB874" s="70"/>
      <c r="BC874" s="70">
        <f t="shared" si="508"/>
        <v>16.63452374525929</v>
      </c>
      <c r="BD874" s="70">
        <f t="shared" si="509"/>
        <v>56.426099064648298</v>
      </c>
      <c r="BE874" s="70">
        <f t="shared" si="510"/>
        <v>0.63503176944966211</v>
      </c>
      <c r="BF874" s="70">
        <f t="shared" si="511"/>
        <v>1.5456058149382288</v>
      </c>
      <c r="BG874" s="70">
        <f t="shared" si="512"/>
        <v>8.3056072457611457E-2</v>
      </c>
      <c r="BH874" s="67">
        <f>MAX((CE874-Driver!$F$200)/(Driver!$G$200-Driver!$F$200)*$BI$1,1)</f>
        <v>5.7598178713716566</v>
      </c>
      <c r="BI874" s="67">
        <f>MAX($BI$1*(BY874-Driver!$F$201)/(Driver!$G$201-Driver!$F$201),1)</f>
        <v>7.6582278481012658</v>
      </c>
      <c r="BJ874" s="67">
        <f>(CB874-Driver!$F$206)/(Driver!$G$206-Driver!$F$206)*$BI$1</f>
        <v>2.2222222222222223</v>
      </c>
      <c r="BK874" s="67">
        <f>(CD874-Driver!$F$203)/(Driver!$G$203-Driver!$F$203)*$BI$1</f>
        <v>1.3761467889908259</v>
      </c>
      <c r="BL874" s="67">
        <f>MAX((CR874-Driver!$F$202)/(Driver!$G$202-Driver!$F$202)*$BI$1,1)</f>
        <v>6.5517241379310338</v>
      </c>
      <c r="BM874" s="67">
        <f>MAX((CH874-Driver!$F$204)/(Driver!$G$204-Driver!$F$204)*$BI$1,1)</f>
        <v>4.5726495726495724</v>
      </c>
      <c r="BN874" s="67">
        <f>(CI874-Driver!$F$205)/(Driver!$G$205-Driver!$F$205)*$BI$1</f>
        <v>2.3529411764705883</v>
      </c>
      <c r="BO874" s="67">
        <f>(CK874-Driver!$F$207)/(Driver!$G$207-Driver!$F$207)*$BI$1</f>
        <v>1.0134436401240952</v>
      </c>
      <c r="BP874" s="67">
        <f>(CM874-Driver!$F$208)/(Driver!$G$208-Driver!$F$208)*$BI$1</f>
        <v>0.94444444444444442</v>
      </c>
      <c r="BQ874" s="67">
        <f>(CL874-Driver!$F$209)/(Driver!$G$209-Driver!$F$209)*$BI$1</f>
        <v>2.1875</v>
      </c>
      <c r="BR874" s="28" t="s">
        <v>155</v>
      </c>
      <c r="BS874" s="8" t="s">
        <v>245</v>
      </c>
      <c r="BT874" s="9" t="s">
        <v>763</v>
      </c>
      <c r="BU874" s="10">
        <v>159</v>
      </c>
      <c r="BV874" s="9" t="s">
        <v>158</v>
      </c>
      <c r="BW874" s="10">
        <v>159</v>
      </c>
      <c r="BX874" s="10">
        <v>158.19999999999999</v>
      </c>
      <c r="BY874" s="10">
        <v>129</v>
      </c>
      <c r="BZ874" s="10">
        <v>143</v>
      </c>
      <c r="CA874" s="10">
        <v>124</v>
      </c>
      <c r="CB874" s="10">
        <v>78</v>
      </c>
      <c r="CC874" s="10">
        <v>109</v>
      </c>
      <c r="CD874" s="10">
        <v>12.4</v>
      </c>
      <c r="CE874" s="10">
        <v>1912</v>
      </c>
      <c r="CF874" s="10">
        <v>0.77</v>
      </c>
      <c r="CG874" s="10">
        <v>1475</v>
      </c>
      <c r="CH874" s="10">
        <v>208</v>
      </c>
      <c r="CI874" s="10">
        <v>73</v>
      </c>
      <c r="CJ874" s="10">
        <v>43</v>
      </c>
      <c r="CK874" s="10">
        <v>208</v>
      </c>
      <c r="CL874" s="10">
        <v>14</v>
      </c>
      <c r="CM874" s="10">
        <v>85</v>
      </c>
      <c r="CN874" s="10">
        <v>0.33</v>
      </c>
      <c r="CO874" s="10">
        <v>71</v>
      </c>
      <c r="CP874" s="10">
        <v>78</v>
      </c>
      <c r="CQ874" s="10">
        <v>136</v>
      </c>
      <c r="CR874" s="10">
        <v>8</v>
      </c>
      <c r="CS874" s="10">
        <v>8.6</v>
      </c>
      <c r="CT874" s="9" t="s">
        <v>349</v>
      </c>
      <c r="CU874" s="10"/>
      <c r="CV874" s="10"/>
      <c r="CW874" s="10"/>
      <c r="CX874" t="str">
        <f>INDEX('Data_Price '!AG$2:AG$1266,MATCH(Data!$DN874,'Data_Price '!$AT$2:$AT$1266,0))</f>
        <v>Fischer 2022 RC One 78 GT Men's Skis with RSW 10 GW Powerrail Bindings</v>
      </c>
      <c r="CY874" t="str">
        <f>INDEX('Data_Price '!AH$2:AH$1266,MATCH(Data!$DN874,'Data_Price '!$AT$2:$AT$1266,0))</f>
        <v>Walmart - WEBY Corporation</v>
      </c>
      <c r="CZ874">
        <f>INDEX('Data_Price '!AI$2:AI$1266,MATCH(Data!$DN874,'Data_Price '!$AT$2:$AT$1266,0))</f>
        <v>594</v>
      </c>
      <c r="DA874" t="str">
        <f>INDEX('Data_Price '!AJ$2:AJ$1266,MATCH(Data!$DN874,'Data_Price '!$AT$2:$AT$1266,0))</f>
        <v>https://tinyurl.com/yctzdp2b</v>
      </c>
      <c r="DB874" t="str">
        <f>INDEX('Data_Price '!AK$2:AK$1266,MATCH(Data!$DN874,'Data_Price '!$AT$2:$AT$1266,0))</f>
        <v>Fischer 2022 RC One 78 GT Men's Skis with RSW 10 GW Powerrail Bindings</v>
      </c>
      <c r="DC874" t="str">
        <f>INDEX('Data_Price '!AL$2:AL$1266,MATCH(Data!$DN874,'Data_Price '!$AT$2:$AT$1266,0))</f>
        <v>GritrOutdoors</v>
      </c>
      <c r="DD874">
        <f>INDEX('Data_Price '!AM$2:AM$1266,MATCH(Data!$DN874,'Data_Price '!$AT$2:$AT$1266,0))</f>
        <v>699.99</v>
      </c>
      <c r="DE874" t="str">
        <f>INDEX('Data_Price '!AN$2:AN$1266,MATCH(Data!$DN874,'Data_Price '!$AT$2:$AT$1266,0))</f>
        <v>https://tinyurl.com/yd2zfm44</v>
      </c>
      <c r="DF874" t="str">
        <f>INDEX('Data_Price '!AO$2:AO$1266,MATCH(Data!$DN874,'Data_Price '!$AT$2:$AT$1266,0))</f>
        <v>Fischer 2022 RC One 78 GT Men's Skis with RSW 10 GW Powerrail Bindings</v>
      </c>
      <c r="DG874" t="str">
        <f>INDEX('Data_Price '!AP$2:AP$1266,MATCH(Data!$DN874,'Data_Price '!$AT$2:$AT$1266,0))</f>
        <v>Buyr.com</v>
      </c>
      <c r="DH874">
        <f>INDEX('Data_Price '!AQ$2:AQ$1266,MATCH(Data!$DN874,'Data_Price '!$AT$2:$AT$1266,0))</f>
        <v>749.99</v>
      </c>
      <c r="DI874" t="str">
        <f>INDEX('Data_Price '!AR$2:AR$1266,MATCH(Data!$DN874,'Data_Price '!$AT$2:$AT$1266,0))</f>
        <v>https://tinyurl.com/y8y7ezux</v>
      </c>
      <c r="DJ874" s="89" t="str">
        <f t="shared" si="513"/>
        <v>https://tinyurl.com/yctzdp2b</v>
      </c>
      <c r="DK874" s="89" t="str">
        <f t="shared" si="514"/>
        <v>https://tinyurl.com/yd2zfm44</v>
      </c>
      <c r="DL874" s="89" t="str">
        <f t="shared" si="515"/>
        <v>https://tinyurl.com/y8y7ezux</v>
      </c>
      <c r="DM874" s="219" t="str">
        <f t="shared" si="516"/>
        <v>RC One 78 GT</v>
      </c>
      <c r="DN874" s="89" t="str">
        <f t="shared" si="517"/>
        <v xml:space="preserve"> FischerRC One 78 GT159 Unisex</v>
      </c>
      <c r="DO874" s="221"/>
    </row>
    <row r="875" spans="2:119" ht="15.6" customHeight="1">
      <c r="B875" s="219" t="b">
        <f t="array" ref="B875">IF(OR(ISERROR(K875:P875)),FALSE,TRUE)</f>
        <v>1</v>
      </c>
      <c r="C875" s="43" t="b">
        <f>OR(BR875=Driver!$G$50,Data!BR64=Driver!$H$50)</f>
        <v>1</v>
      </c>
      <c r="D875" s="43" t="b">
        <f>OR(BV875=Driver!$G$51,BV875=Driver!$H$51)</f>
        <v>1</v>
      </c>
      <c r="E875" s="43" t="b">
        <f>AND(BX875&gt;Driver!$F$54,BX875&lt;Driver!$G$54)</f>
        <v>0</v>
      </c>
      <c r="F875" s="43" t="b">
        <f>CL875&gt;Driver!$F$56</f>
        <v>1</v>
      </c>
      <c r="G875" s="43" t="b">
        <f>AND(CB875&gt;Driver!$F$55,CB875&lt;Driver!$G$55)</f>
        <v>1</v>
      </c>
      <c r="H875" s="43" t="b">
        <f t="shared" si="481"/>
        <v>0</v>
      </c>
      <c r="I875" s="43">
        <f t="shared" si="482"/>
        <v>0</v>
      </c>
      <c r="J875" s="43" t="b">
        <f t="array" ref="J875">NOT(OR(($H$9:$H$1273=TRUE)*($I$9:$I$1273&gt;0)*($BT$9:$BT$1273=BT875)*($K$9:$K$1273&gt;K875)))</f>
        <v>1</v>
      </c>
      <c r="K875" s="72">
        <f t="shared" si="483"/>
        <v>0.77260822299025889</v>
      </c>
      <c r="L875" s="72">
        <f t="shared" si="484"/>
        <v>0.90243470216804411</v>
      </c>
      <c r="M875" s="72">
        <f t="shared" si="485"/>
        <v>0.64278174381247366</v>
      </c>
      <c r="N875" s="72">
        <f t="shared" si="486"/>
        <v>0.54372912208909996</v>
      </c>
      <c r="O875" s="72">
        <f t="shared" si="487"/>
        <v>0.64792120986954238</v>
      </c>
      <c r="P875" s="72">
        <f t="shared" si="488"/>
        <v>0.73669489947877898</v>
      </c>
      <c r="Q875" s="72"/>
      <c r="R875" s="72"/>
      <c r="S875" s="72">
        <f t="shared" si="489"/>
        <v>0.53662770001735904</v>
      </c>
      <c r="T875" s="72">
        <f t="shared" si="490"/>
        <v>0.52225225962722099</v>
      </c>
      <c r="U875" s="72">
        <f t="shared" si="491"/>
        <v>0.59617935841787495</v>
      </c>
      <c r="V875" s="72">
        <f t="shared" si="492"/>
        <v>0.54101357575135445</v>
      </c>
      <c r="W875" s="72">
        <f t="shared" si="493"/>
        <v>0.77581902213963028</v>
      </c>
      <c r="X875" s="72">
        <f t="shared" si="494"/>
        <v>9.7565297831955888E-2</v>
      </c>
      <c r="Y875" s="72">
        <f t="shared" si="495"/>
        <v>0.35721825618752628</v>
      </c>
      <c r="Z875" s="72">
        <f t="shared" si="496"/>
        <v>0.45627087791090004</v>
      </c>
      <c r="AA875" s="72">
        <f t="shared" si="497"/>
        <v>0.35207879013045762</v>
      </c>
      <c r="AB875" s="72">
        <f t="shared" si="498"/>
        <v>0.26330510052122108</v>
      </c>
      <c r="AC875" s="72"/>
      <c r="AD875" s="72"/>
      <c r="AE875" s="72">
        <f t="shared" si="499"/>
        <v>0.46337229998264096</v>
      </c>
      <c r="AF875" s="72">
        <f t="shared" si="500"/>
        <v>0.47774774037277901</v>
      </c>
      <c r="AG875" s="72">
        <f t="shared" si="501"/>
        <v>0.40382064158212511</v>
      </c>
      <c r="AH875" s="72">
        <f t="shared" si="502"/>
        <v>0.45898642424864555</v>
      </c>
      <c r="AI875" s="72">
        <f t="shared" si="503"/>
        <v>0.22418097786036975</v>
      </c>
      <c r="AJ875" s="72">
        <f>(AV875-Driver!$K$179)/(Driver!$L$179-Driver!$K$179)</f>
        <v>0.35178470711465631</v>
      </c>
      <c r="AK875" s="72">
        <f>(AW875-Driver!$K$180)/(Driver!$L$180-Driver!$K$180)</f>
        <v>0.52774276969507916</v>
      </c>
      <c r="AL875" s="72">
        <f>(AX875-Driver!$K$181)/(Driver!$L$181-Driver!$K$181)</f>
        <v>0.55795864162398023</v>
      </c>
      <c r="AM875" s="72">
        <f>(AY875-Driver!$K$182)/(Driver!$L$182-Driver!$K$182)</f>
        <v>9.5306230966588731E-2</v>
      </c>
      <c r="AN875" s="72">
        <f>(AZ875-Driver!$K$183)/(Driver!$L$183-Driver!$K$183)</f>
        <v>0.51752450980392151</v>
      </c>
      <c r="AO875" s="72"/>
      <c r="AP875" s="72"/>
      <c r="AQ875" s="72">
        <f>(BC875-Driver!$K$188)/(Driver!$L$188-Driver!$K$188)</f>
        <v>0.15662770001735901</v>
      </c>
      <c r="AR875" s="72">
        <f>MIN((BD875-Driver!$K$189)/(Driver!$L$189-Driver!$K$189),100%)</f>
        <v>7.2252259627221038E-2</v>
      </c>
      <c r="AS875" s="72">
        <f>(BE875-Driver!$K$190)/(Driver!$L$190-Driver!$K$190)</f>
        <v>0.10617935841787492</v>
      </c>
      <c r="AT875" s="72">
        <f>(BF875-Driver!$K$191)/(Driver!$L$191-Driver!$K$191)</f>
        <v>5.1013575751354477E-2</v>
      </c>
      <c r="AU875" s="72">
        <f>(BG875-Driver!$K$192)/(Driver!$L$192-Driver!$K$192)</f>
        <v>2.5819022139630259E-2</v>
      </c>
      <c r="AV875" s="70">
        <f t="shared" si="504"/>
        <v>7.4040157373490709</v>
      </c>
      <c r="AW875" s="70">
        <f t="shared" si="505"/>
        <v>53.30510180489334</v>
      </c>
      <c r="AX875" s="70">
        <f t="shared" si="506"/>
        <v>6.0216277746158218</v>
      </c>
      <c r="AY875" s="70">
        <f>IFERROR(Driver!$K$19/Data!BH875/Data!BI875*Data!BK875*Data!BL875,"")</f>
        <v>0.11668326333783113</v>
      </c>
      <c r="AZ875" s="70">
        <f t="shared" si="507"/>
        <v>47.166790766939684</v>
      </c>
      <c r="BA875" s="70"/>
      <c r="BB875" s="70"/>
      <c r="BC875" s="70">
        <f t="shared" si="508"/>
        <v>81.243876857109456</v>
      </c>
      <c r="BD875" s="70">
        <f t="shared" si="509"/>
        <v>8.1150198376782736</v>
      </c>
      <c r="BE875" s="70">
        <f t="shared" si="510"/>
        <v>0.10633880595995332</v>
      </c>
      <c r="BF875" s="70">
        <f t="shared" si="511"/>
        <v>5.7616249904623373</v>
      </c>
      <c r="BG875" s="70">
        <f t="shared" si="512"/>
        <v>9.7767288576143044E-2</v>
      </c>
      <c r="BH875" s="67">
        <f>MAX((CE875-Driver!$F$200)/(Driver!$G$200-Driver!$F$200)*$BI$1,1)</f>
        <v>6.0216277746158218</v>
      </c>
      <c r="BI875" s="67">
        <f>MAX($BI$1*(BY875-Driver!$F$201)/(Driver!$G$201-Driver!$F$201),1)</f>
        <v>7.7848101265822782</v>
      </c>
      <c r="BJ875" s="67">
        <f>(CB875-Driver!$F$206)/(Driver!$G$206-Driver!$F$206)*$BI$1</f>
        <v>5.8730158730158735</v>
      </c>
      <c r="BK875" s="67">
        <f>(CD875-Driver!$F$203)/(Driver!$G$203-Driver!$F$203)*$BI$1</f>
        <v>4.1743119266055047</v>
      </c>
      <c r="BL875" s="67">
        <f>MAX((CR875-Driver!$F$202)/(Driver!$G$202-Driver!$F$202)*$BI$1,1)</f>
        <v>6.5517241379310338</v>
      </c>
      <c r="BM875" s="67">
        <f>MAX((CH875-Driver!$F$204)/(Driver!$G$204-Driver!$F$204)*$BI$1,1)</f>
        <v>5.0427350427350426</v>
      </c>
      <c r="BN875" s="67">
        <f>(CI875-Driver!$F$205)/(Driver!$G$205-Driver!$F$205)*$BI$1</f>
        <v>6.0588235294117645</v>
      </c>
      <c r="BO875" s="67">
        <f>(CK875-Driver!$F$207)/(Driver!$G$207-Driver!$F$207)*$BI$1</f>
        <v>2.047569803516029</v>
      </c>
      <c r="BP875" s="67">
        <f>(CM875-Driver!$F$208)/(Driver!$G$208-Driver!$F$208)*$BI$1</f>
        <v>2</v>
      </c>
      <c r="BQ875" s="67">
        <f>(CL875-Driver!$F$209)/(Driver!$G$209-Driver!$F$209)*$BI$1</f>
        <v>2.96875</v>
      </c>
      <c r="BR875" s="28" t="s">
        <v>155</v>
      </c>
      <c r="BS875" s="8" t="s">
        <v>182</v>
      </c>
      <c r="BT875" s="9" t="s">
        <v>557</v>
      </c>
      <c r="BU875" s="10">
        <v>180</v>
      </c>
      <c r="BV875" s="9" t="s">
        <v>158</v>
      </c>
      <c r="BW875" s="10">
        <v>180</v>
      </c>
      <c r="BX875" s="10">
        <v>179.5</v>
      </c>
      <c r="BY875" s="10">
        <v>131</v>
      </c>
      <c r="BZ875" s="10">
        <v>147</v>
      </c>
      <c r="CA875" s="10">
        <v>134</v>
      </c>
      <c r="CB875" s="10">
        <v>101</v>
      </c>
      <c r="CC875" s="10">
        <v>123</v>
      </c>
      <c r="CD875" s="10">
        <v>18.5</v>
      </c>
      <c r="CE875" s="10">
        <v>1958</v>
      </c>
      <c r="CF875" s="10">
        <v>1.03</v>
      </c>
      <c r="CG875" s="10">
        <v>2011</v>
      </c>
      <c r="CH875" s="10">
        <v>219</v>
      </c>
      <c r="CI875" s="10">
        <v>136</v>
      </c>
      <c r="CJ875" s="10">
        <v>57</v>
      </c>
      <c r="CK875" s="10">
        <v>308</v>
      </c>
      <c r="CL875" s="10">
        <v>19</v>
      </c>
      <c r="CM875" s="10">
        <v>180</v>
      </c>
      <c r="CN875" s="10">
        <v>0.33900000000000002</v>
      </c>
      <c r="CO875" s="10">
        <v>188</v>
      </c>
      <c r="CP875" s="10">
        <v>139</v>
      </c>
      <c r="CQ875" s="10">
        <v>121</v>
      </c>
      <c r="CR875" s="10">
        <v>8</v>
      </c>
      <c r="CS875" s="10">
        <v>8.8000000000000007</v>
      </c>
      <c r="CT875" s="9" t="s">
        <v>188</v>
      </c>
      <c r="CU875" s="9" t="s">
        <v>178</v>
      </c>
      <c r="CV875" s="10"/>
      <c r="CW875" s="10"/>
      <c r="CX875" t="str">
        <f>INDEX('Data_Price '!AG$2:AG$1266,MATCH(Data!$DN875,'Data_Price '!$AT$2:$AT$1266,0))</f>
        <v>Armada Declivity 102 Ti Skis</v>
      </c>
      <c r="CY875" t="str">
        <f>INDEX('Data_Price '!AH$2:AH$1266,MATCH(Data!$DN875,'Data_Price '!$AT$2:$AT$1266,0))</f>
        <v>! OutdoorXL.com</v>
      </c>
      <c r="CZ875">
        <f>INDEX('Data_Price '!AI$2:AI$1266,MATCH(Data!$DN875,'Data_Price '!$AT$2:$AT$1266,0))</f>
        <v>514.95000000000005</v>
      </c>
      <c r="DA875" t="str">
        <f>INDEX('Data_Price '!AJ$2:AJ$1266,MATCH(Data!$DN875,'Data_Price '!$AT$2:$AT$1266,0))</f>
        <v>https://tinyurl.com/ydbzzhna</v>
      </c>
      <c r="DB875" t="str">
        <f>INDEX('Data_Price '!AK$2:AK$1266,MATCH(Data!$DN875,'Data_Price '!$AT$2:$AT$1266,0))</f>
        <v>Armada Declivity 102 Ti Skis - Men's</v>
      </c>
      <c r="DC875" t="str">
        <f>INDEX('Data_Price '!AL$2:AL$1266,MATCH(Data!$DN875,'Data_Price '!$AT$2:$AT$1266,0))</f>
        <v>PRFO Sports</v>
      </c>
      <c r="DD875">
        <f>INDEX('Data_Price '!AM$2:AM$1266,MATCH(Data!$DN875,'Data_Price '!$AT$2:$AT$1266,0))</f>
        <v>544.17999999999995</v>
      </c>
      <c r="DE875" t="str">
        <f>INDEX('Data_Price '!AN$2:AN$1266,MATCH(Data!$DN875,'Data_Price '!$AT$2:$AT$1266,0))</f>
        <v>https://tinyurl.com/yaek9gfq</v>
      </c>
      <c r="DF875" t="str">
        <f>INDEX('Data_Price '!AO$2:AO$1266,MATCH(Data!$DN875,'Data_Price '!$AT$2:$AT$1266,0))</f>
        <v>Armada Declivity 102 Ti Skis</v>
      </c>
      <c r="DG875" t="str">
        <f>INDEX('Data_Price '!AP$2:AP$1266,MATCH(Data!$DN875,'Data_Price '!$AT$2:$AT$1266,0))</f>
        <v>SkiEssentials.com</v>
      </c>
      <c r="DH875">
        <f>INDEX('Data_Price '!AQ$2:AQ$1266,MATCH(Data!$DN875,'Data_Price '!$AT$2:$AT$1266,0))</f>
        <v>599.96</v>
      </c>
      <c r="DI875" t="str">
        <f>INDEX('Data_Price '!AR$2:AR$1266,MATCH(Data!$DN875,'Data_Price '!$AT$2:$AT$1266,0))</f>
        <v>https://tinyurl.com/yczrog67</v>
      </c>
      <c r="DJ875" s="89" t="str">
        <f t="shared" si="513"/>
        <v>https://tinyurl.com/ydbzzhna</v>
      </c>
      <c r="DK875" s="89" t="str">
        <f t="shared" si="514"/>
        <v>https://tinyurl.com/yaek9gfq</v>
      </c>
      <c r="DL875" s="89" t="str">
        <f t="shared" si="515"/>
        <v>https://tinyurl.com/yczrog67</v>
      </c>
      <c r="DM875" s="219" t="str">
        <f t="shared" si="516"/>
        <v>Declivity 102 Ti</v>
      </c>
      <c r="DN875" s="89" t="str">
        <f t="shared" si="517"/>
        <v xml:space="preserve"> ArmadaDeclivity 102 Ti180 Unisex</v>
      </c>
      <c r="DO875" s="221" t="s">
        <v>558</v>
      </c>
    </row>
    <row r="876" spans="2:119" ht="15.6" customHeight="1">
      <c r="B876" s="219" t="b">
        <f t="array" ref="B876">IF(OR(ISERROR(K876:P876)),FALSE,TRUE)</f>
        <v>1</v>
      </c>
      <c r="C876" s="43" t="b">
        <f>OR(BR876=Driver!$G$50,Data!BR60=Driver!$H$50)</f>
        <v>1</v>
      </c>
      <c r="D876" s="43" t="b">
        <f>OR(BV876=Driver!$G$51,BV876=Driver!$H$51)</f>
        <v>1</v>
      </c>
      <c r="E876" s="43" t="b">
        <f>AND(BX876&gt;Driver!$F$54,BX876&lt;Driver!$G$54)</f>
        <v>0</v>
      </c>
      <c r="F876" s="43" t="b">
        <f>CL876&gt;Driver!$F$56</f>
        <v>1</v>
      </c>
      <c r="G876" s="43" t="b">
        <f>AND(CB876&gt;Driver!$F$55,CB876&lt;Driver!$G$55)</f>
        <v>0</v>
      </c>
      <c r="H876" s="43" t="b">
        <f t="shared" si="481"/>
        <v>0</v>
      </c>
      <c r="I876" s="43">
        <f t="shared" si="482"/>
        <v>0</v>
      </c>
      <c r="J876" s="43" t="b">
        <f t="array" ref="J876">NOT(OR(($H$9:$H$1273=TRUE)*($I$9:$I$1273&gt;0)*($BT$9:$BT$1273=BT876)*($K$9:$K$1273&gt;K876)))</f>
        <v>1</v>
      </c>
      <c r="K876" s="72">
        <f t="shared" si="483"/>
        <v>0.80047331554200951</v>
      </c>
      <c r="L876" s="72">
        <f t="shared" si="484"/>
        <v>0.91869171794314752</v>
      </c>
      <c r="M876" s="72">
        <f t="shared" si="485"/>
        <v>0.6822549131408715</v>
      </c>
      <c r="N876" s="72">
        <f t="shared" si="486"/>
        <v>0.53297847388825248</v>
      </c>
      <c r="O876" s="72">
        <f t="shared" si="487"/>
        <v>0.60771155717000336</v>
      </c>
      <c r="P876" s="72">
        <f t="shared" si="488"/>
        <v>0.90607470836435844</v>
      </c>
      <c r="Q876" s="72"/>
      <c r="R876" s="72"/>
      <c r="S876" s="72">
        <f t="shared" si="489"/>
        <v>0.40709743715456315</v>
      </c>
      <c r="T876" s="72">
        <f t="shared" si="490"/>
        <v>0.5892405191189003</v>
      </c>
      <c r="U876" s="72">
        <f t="shared" si="491"/>
        <v>0.52461304456209068</v>
      </c>
      <c r="V876" s="72">
        <f t="shared" si="492"/>
        <v>0.58752374281340514</v>
      </c>
      <c r="W876" s="72">
        <f t="shared" si="493"/>
        <v>0.83957008170961656</v>
      </c>
      <c r="X876" s="72">
        <f t="shared" si="494"/>
        <v>8.1308282056852421E-2</v>
      </c>
      <c r="Y876" s="72">
        <f t="shared" si="495"/>
        <v>0.31774508685912856</v>
      </c>
      <c r="Z876" s="72">
        <f t="shared" si="496"/>
        <v>0.46702152611174752</v>
      </c>
      <c r="AA876" s="72">
        <f t="shared" si="497"/>
        <v>0.39228844282999659</v>
      </c>
      <c r="AB876" s="72">
        <f t="shared" si="498"/>
        <v>9.3925291635641589E-2</v>
      </c>
      <c r="AC876" s="72"/>
      <c r="AD876" s="72"/>
      <c r="AE876" s="72">
        <f t="shared" si="499"/>
        <v>0.59290256284543685</v>
      </c>
      <c r="AF876" s="72">
        <f t="shared" si="500"/>
        <v>0.4107594808810997</v>
      </c>
      <c r="AG876" s="72">
        <f t="shared" si="501"/>
        <v>0.47538695543790938</v>
      </c>
      <c r="AH876" s="72">
        <f t="shared" si="502"/>
        <v>0.41247625718659486</v>
      </c>
      <c r="AI876" s="72">
        <f t="shared" si="503"/>
        <v>0.16042991829038344</v>
      </c>
      <c r="AJ876" s="72">
        <f>(AV876-Driver!$K$179)/(Driver!$L$179-Driver!$K$179)</f>
        <v>0.172911127225848</v>
      </c>
      <c r="AK876" s="72">
        <f>(AW876-Driver!$K$180)/(Driver!$L$180-Driver!$K$180)</f>
        <v>0.19416428227213831</v>
      </c>
      <c r="AL876" s="72">
        <f>(AX876-Driver!$K$181)/(Driver!$L$181-Driver!$K$181)</f>
        <v>0.56870928982482771</v>
      </c>
      <c r="AM876" s="72">
        <f>(AY876-Driver!$K$182)/(Driver!$L$182-Driver!$K$182)</f>
        <v>5.5096578267049778E-2</v>
      </c>
      <c r="AN876" s="72">
        <f>(AZ876-Driver!$K$183)/(Driver!$L$183-Driver!$K$183)</f>
        <v>0.16029411764705884</v>
      </c>
      <c r="AO876" s="72"/>
      <c r="AP876" s="72"/>
      <c r="AQ876" s="72">
        <f>(BC876-Driver!$K$188)/(Driver!$L$188-Driver!$K$188)</f>
        <v>2.7097437154563194E-2</v>
      </c>
      <c r="AR876" s="72">
        <f>MIN((BD876-Driver!$K$189)/(Driver!$L$189-Driver!$K$189),100%)</f>
        <v>0.13924051911890037</v>
      </c>
      <c r="AS876" s="72">
        <f>(BE876-Driver!$K$190)/(Driver!$L$190-Driver!$K$190)</f>
        <v>3.4613044562090654E-2</v>
      </c>
      <c r="AT876" s="72">
        <f>(BF876-Driver!$K$191)/(Driver!$L$191-Driver!$K$191)</f>
        <v>9.7523742813405145E-2</v>
      </c>
      <c r="AU876" s="72">
        <f>(BG876-Driver!$K$192)/(Driver!$L$192-Driver!$K$192)</f>
        <v>8.957008170961657E-2</v>
      </c>
      <c r="AV876" s="70">
        <f t="shared" si="504"/>
        <v>3.6392619725953055</v>
      </c>
      <c r="AW876" s="70">
        <f t="shared" si="505"/>
        <v>20.794922399439731</v>
      </c>
      <c r="AX876" s="70">
        <f t="shared" si="506"/>
        <v>6.1183836084234491</v>
      </c>
      <c r="AY876" s="70">
        <f>IFERROR(Driver!$K$19/Data!BH876/Data!BI876*Data!BK876*Data!BL876,"")</f>
        <v>6.7454651031172749E-2</v>
      </c>
      <c r="AZ876" s="70">
        <f t="shared" si="507"/>
        <v>14.609084139985109</v>
      </c>
      <c r="BA876" s="70"/>
      <c r="BB876" s="70"/>
      <c r="BC876" s="70">
        <f t="shared" si="508"/>
        <v>14.055629030398856</v>
      </c>
      <c r="BD876" s="70">
        <f t="shared" si="509"/>
        <v>14.043362106519698</v>
      </c>
      <c r="BE876" s="70">
        <f t="shared" si="510"/>
        <v>3.4785258729047752E-2</v>
      </c>
      <c r="BF876" s="70">
        <f t="shared" si="511"/>
        <v>11.014621607704452</v>
      </c>
      <c r="BG876" s="70">
        <f t="shared" si="512"/>
        <v>0.33916946888749211</v>
      </c>
      <c r="BH876" s="67">
        <f>MAX((CE876-Driver!$F$200)/(Driver!$G$200-Driver!$F$200)*$BI$1,1)</f>
        <v>6.1183836084234491</v>
      </c>
      <c r="BI876" s="67">
        <f>MAX($BI$1*(BY876-Driver!$F$201)/(Driver!$G$201-Driver!$F$201),1)</f>
        <v>6.8987341772151902</v>
      </c>
      <c r="BJ876" s="67">
        <f>(CB876-Driver!$F$206)/(Driver!$G$206-Driver!$F$206)*$BI$1</f>
        <v>4.6031746031746028</v>
      </c>
      <c r="BK876" s="67">
        <f>(CD876-Driver!$F$203)/(Driver!$G$203-Driver!$F$203)*$BI$1</f>
        <v>2.0642201834862388</v>
      </c>
      <c r="BL876" s="67">
        <f>MAX((CR876-Driver!$F$202)/(Driver!$G$202-Driver!$F$202)*$BI$1,1)</f>
        <v>6.8965517241379315</v>
      </c>
      <c r="BM876" s="67">
        <f>MAX((CH876-Driver!$F$204)/(Driver!$G$204-Driver!$F$204)*$BI$1,1)</f>
        <v>3.1623931623931623</v>
      </c>
      <c r="BN876" s="67">
        <f>(CI876-Driver!$F$205)/(Driver!$G$205-Driver!$F$205)*$BI$1</f>
        <v>2.1176470588235294</v>
      </c>
      <c r="BO876" s="67">
        <f>(CK876-Driver!$F$207)/(Driver!$G$207-Driver!$F$207)*$BI$1</f>
        <v>1.6649431230610134</v>
      </c>
      <c r="BP876" s="67">
        <f>(CM876-Driver!$F$208)/(Driver!$G$208-Driver!$F$208)*$BI$1</f>
        <v>2.9666666666666668</v>
      </c>
      <c r="BQ876" s="67">
        <f>(CL876-Driver!$F$209)/(Driver!$G$209-Driver!$F$209)*$BI$1</f>
        <v>6.5625</v>
      </c>
      <c r="BR876" s="28" t="s">
        <v>155</v>
      </c>
      <c r="BS876" s="8" t="s">
        <v>182</v>
      </c>
      <c r="BT876" s="9" t="s">
        <v>743</v>
      </c>
      <c r="BU876" s="10">
        <v>172</v>
      </c>
      <c r="BV876" s="9" t="s">
        <v>158</v>
      </c>
      <c r="BW876" s="10">
        <v>172</v>
      </c>
      <c r="BX876" s="10">
        <v>170.8</v>
      </c>
      <c r="BY876" s="10">
        <v>117</v>
      </c>
      <c r="BZ876" s="10">
        <v>135</v>
      </c>
      <c r="CA876" s="10">
        <v>121</v>
      </c>
      <c r="CB876" s="10">
        <v>93</v>
      </c>
      <c r="CC876" s="10">
        <v>116</v>
      </c>
      <c r="CD876" s="10">
        <v>13.9</v>
      </c>
      <c r="CE876" s="10">
        <v>1975</v>
      </c>
      <c r="CF876" s="10">
        <v>0.91</v>
      </c>
      <c r="CG876" s="10">
        <v>1795</v>
      </c>
      <c r="CH876" s="10">
        <v>175</v>
      </c>
      <c r="CI876" s="10">
        <v>69</v>
      </c>
      <c r="CJ876" s="10">
        <v>44</v>
      </c>
      <c r="CK876" s="10">
        <v>271</v>
      </c>
      <c r="CL876" s="10">
        <v>42</v>
      </c>
      <c r="CM876" s="10">
        <v>267</v>
      </c>
      <c r="CN876" s="10">
        <v>0.95899999999999996</v>
      </c>
      <c r="CO876" s="10">
        <v>196</v>
      </c>
      <c r="CP876" s="10">
        <v>162</v>
      </c>
      <c r="CQ876" s="10">
        <v>75</v>
      </c>
      <c r="CR876" s="10">
        <v>9</v>
      </c>
      <c r="CS876" s="10">
        <v>0.7</v>
      </c>
      <c r="CT876" s="9" t="s">
        <v>184</v>
      </c>
      <c r="CU876" s="10"/>
      <c r="CV876" s="10"/>
      <c r="CW876" s="10"/>
      <c r="CX876" t="str">
        <f>INDEX('Data_Price '!AG$2:AG$1266,MATCH(Data!$DN876,'Data_Price '!$AT$2:$AT$1266,0))</f>
        <v>Armada Bdog Edgeless Skis 2021</v>
      </c>
      <c r="CY876" t="str">
        <f>INDEX('Data_Price '!AH$2:AH$1266,MATCH(Data!$DN876,'Data_Price '!$AT$2:$AT$1266,0))</f>
        <v>Powder7 Ski Shop</v>
      </c>
      <c r="CZ876">
        <f>INDEX('Data_Price '!AI$2:AI$1266,MATCH(Data!$DN876,'Data_Price '!$AT$2:$AT$1266,0))</f>
        <v>419.95</v>
      </c>
      <c r="DA876" t="str">
        <f>INDEX('Data_Price '!AJ$2:AJ$1266,MATCH(Data!$DN876,'Data_Price '!$AT$2:$AT$1266,0))</f>
        <v>https://tinyurl.com/y7dkgzdn</v>
      </c>
      <c r="DB876" t="str">
        <f>INDEX('Data_Price '!AK$2:AK$1266,MATCH(Data!$DN876,'Data_Price '!$AT$2:$AT$1266,0))</f>
        <v>Armada Bdog Skis 2022</v>
      </c>
      <c r="DC876" t="str">
        <f>INDEX('Data_Price '!AL$2:AL$1266,MATCH(Data!$DN876,'Data_Price '!$AT$2:$AT$1266,0))</f>
        <v>Gear West Ski &amp; Bike</v>
      </c>
      <c r="DD876">
        <f>INDEX('Data_Price '!AM$2:AM$1266,MATCH(Data!$DN876,'Data_Price '!$AT$2:$AT$1266,0))</f>
        <v>549.95000000000005</v>
      </c>
      <c r="DE876" t="str">
        <f>INDEX('Data_Price '!AN$2:AN$1266,MATCH(Data!$DN876,'Data_Price '!$AT$2:$AT$1266,0))</f>
        <v>https://tinyurl.com/y8p6qy84</v>
      </c>
      <c r="DF876" t="str">
        <f>INDEX('Data_Price '!AO$2:AO$1266,MATCH(Data!$DN876,'Data_Price '!$AT$2:$AT$1266,0))</f>
        <v>Armada Women's Trace 88 Ski</v>
      </c>
      <c r="DG876" t="str">
        <f>INDEX('Data_Price '!AP$2:AP$1266,MATCH(Data!$DN876,'Data_Price '!$AT$2:$AT$1266,0))</f>
        <v>Snowcountry.eu</v>
      </c>
      <c r="DH876">
        <f>INDEX('Data_Price '!AQ$2:AQ$1266,MATCH(Data!$DN876,'Data_Price '!$AT$2:$AT$1266,0))</f>
        <v>367.81</v>
      </c>
      <c r="DI876" t="str">
        <f>INDEX('Data_Price '!AR$2:AR$1266,MATCH(Data!$DN876,'Data_Price '!$AT$2:$AT$1266,0))</f>
        <v>https://tinyurl.com/yavjsf7x</v>
      </c>
      <c r="DJ876" s="89" t="str">
        <f t="shared" si="513"/>
        <v>https://tinyurl.com/y7dkgzdn</v>
      </c>
      <c r="DK876" s="89" t="str">
        <f t="shared" si="514"/>
        <v>https://tinyurl.com/y8p6qy84</v>
      </c>
      <c r="DL876" s="89" t="str">
        <f t="shared" si="515"/>
        <v>https://tinyurl.com/yavjsf7x</v>
      </c>
      <c r="DM876" s="219" t="str">
        <f t="shared" si="516"/>
        <v>Bdog</v>
      </c>
      <c r="DN876" s="89" t="str">
        <f t="shared" si="517"/>
        <v xml:space="preserve"> ArmadaBdog172 Unisex</v>
      </c>
      <c r="DO876" s="221" t="s">
        <v>744</v>
      </c>
    </row>
    <row r="877" spans="2:119" ht="15.6" customHeight="1">
      <c r="B877" s="219" t="b">
        <f t="array" ref="B877">IF(OR(ISERROR(K877:P877)),FALSE,TRUE)</f>
        <v>1</v>
      </c>
      <c r="C877" s="43" t="b">
        <f>OR(BR877=Driver!$G$50,Data!BR437=Driver!$H$50)</f>
        <v>1</v>
      </c>
      <c r="D877" s="43" t="b">
        <f>OR(BV877=Driver!$G$51,BV877=Driver!$H$51)</f>
        <v>0</v>
      </c>
      <c r="E877" s="43" t="b">
        <f>AND(BX877&gt;Driver!$F$54,BX877&lt;Driver!$G$54)</f>
        <v>1</v>
      </c>
      <c r="F877" s="43" t="b">
        <f>CL877&gt;Driver!$F$56</f>
        <v>1</v>
      </c>
      <c r="G877" s="43" t="b">
        <f>AND(CB877&gt;Driver!$F$55,CB877&lt;Driver!$G$55)</f>
        <v>0</v>
      </c>
      <c r="H877" s="43" t="b">
        <f t="shared" si="481"/>
        <v>0</v>
      </c>
      <c r="I877" s="43">
        <f t="shared" si="482"/>
        <v>0</v>
      </c>
      <c r="J877" s="43" t="b">
        <f t="array" ref="J877">NOT(OR(($H$9:$H$1273=TRUE)*($I$9:$I$1273&gt;0)*($BT$9:$BT$1273=BT877)*($K$9:$K$1273&gt;K877)))</f>
        <v>1</v>
      </c>
      <c r="K877" s="72">
        <f t="shared" si="483"/>
        <v>0.76629022680645364</v>
      </c>
      <c r="L877" s="72">
        <f t="shared" si="484"/>
        <v>0.80379364365421035</v>
      </c>
      <c r="M877" s="72">
        <f t="shared" si="485"/>
        <v>0.72878680995869694</v>
      </c>
      <c r="N877" s="72">
        <f t="shared" si="486"/>
        <v>0.68728189512394477</v>
      </c>
      <c r="O877" s="72">
        <f t="shared" si="487"/>
        <v>0.59929467606099007</v>
      </c>
      <c r="P877" s="72">
        <f t="shared" si="488"/>
        <v>0.89978385869115574</v>
      </c>
      <c r="Q877" s="72"/>
      <c r="R877" s="72"/>
      <c r="S877" s="72">
        <f t="shared" si="489"/>
        <v>0.41327653940099851</v>
      </c>
      <c r="T877" s="72">
        <f t="shared" si="490"/>
        <v>0.70827055177157883</v>
      </c>
      <c r="U877" s="72">
        <f t="shared" si="491"/>
        <v>0.51</v>
      </c>
      <c r="V877" s="72">
        <f t="shared" si="492"/>
        <v>0.49255749786178216</v>
      </c>
      <c r="W877" s="72">
        <f t="shared" si="493"/>
        <v>0.78402527075812278</v>
      </c>
      <c r="X877" s="72">
        <f t="shared" si="494"/>
        <v>0.19620635634578965</v>
      </c>
      <c r="Y877" s="72">
        <f t="shared" si="495"/>
        <v>0.27121319004130312</v>
      </c>
      <c r="Z877" s="72">
        <f t="shared" si="496"/>
        <v>0.31271810487605528</v>
      </c>
      <c r="AA877" s="72">
        <f t="shared" si="497"/>
        <v>0.40070532393900987</v>
      </c>
      <c r="AB877" s="72">
        <f t="shared" si="498"/>
        <v>0.10021614130884421</v>
      </c>
      <c r="AC877" s="72"/>
      <c r="AD877" s="72"/>
      <c r="AE877" s="72">
        <f t="shared" si="499"/>
        <v>0.58672346059900149</v>
      </c>
      <c r="AF877" s="72">
        <f t="shared" si="500"/>
        <v>0.29172944822842123</v>
      </c>
      <c r="AG877" s="72">
        <f t="shared" si="501"/>
        <v>0.49</v>
      </c>
      <c r="AH877" s="72">
        <f t="shared" si="502"/>
        <v>0.50744250213821784</v>
      </c>
      <c r="AI877" s="72">
        <f t="shared" si="503"/>
        <v>0.21597472924187724</v>
      </c>
      <c r="AJ877" s="72">
        <f>(AV877-Driver!$K$179)/(Driver!$L$179-Driver!$K$179)</f>
        <v>5.8013052936910794E-2</v>
      </c>
      <c r="AK877" s="72">
        <f>(AW877-Driver!$K$180)/(Driver!$L$180-Driver!$K$180)</f>
        <v>0.17392621660970317</v>
      </c>
      <c r="AL877" s="72">
        <f>(AX877-Driver!$K$181)/(Driver!$L$181-Driver!$K$181)</f>
        <v>0.41440586858913547</v>
      </c>
      <c r="AM877" s="72">
        <f>(AY877-Driver!$K$182)/(Driver!$L$182-Driver!$K$182)</f>
        <v>4.66796971580365E-2</v>
      </c>
      <c r="AN877" s="72">
        <f>(AZ877-Driver!$K$183)/(Driver!$L$183-Driver!$K$183)</f>
        <v>0.15400326797385622</v>
      </c>
      <c r="AO877" s="72"/>
      <c r="AP877" s="72"/>
      <c r="AQ877" s="72">
        <f>(BC877-Driver!$K$188)/(Driver!$L$188-Driver!$K$188)</f>
        <v>3.3276539400998457E-2</v>
      </c>
      <c r="AR877" s="72">
        <f>MIN((BD877-Driver!$K$189)/(Driver!$L$189-Driver!$K$189),100%)</f>
        <v>0.25827055177157882</v>
      </c>
      <c r="AS877" s="72">
        <f>(BE877-Driver!$K$190)/(Driver!$L$190-Driver!$K$190)</f>
        <v>1</v>
      </c>
      <c r="AT877" s="72">
        <f>(BF877-Driver!$K$191)/(Driver!$L$191-Driver!$K$191)</f>
        <v>2.5574978617821991E-3</v>
      </c>
      <c r="AU877" s="72">
        <f>(BG877-Driver!$K$192)/(Driver!$L$192-Driver!$K$192)</f>
        <v>3.4025270758122748E-2</v>
      </c>
      <c r="AV877" s="70">
        <f t="shared" si="504"/>
        <v>1.2210012210012209</v>
      </c>
      <c r="AW877" s="70">
        <f t="shared" si="505"/>
        <v>18.822543573130957</v>
      </c>
      <c r="AX877" s="70">
        <f t="shared" si="506"/>
        <v>4.7296528173022194</v>
      </c>
      <c r="AY877" s="70">
        <f>IFERROR(Driver!$K$19/Data!BH877/Data!BI877*Data!BK877*Data!BL877,"")</f>
        <v>5.7149877198803822E-2</v>
      </c>
      <c r="AZ877" s="70">
        <f t="shared" si="507"/>
        <v>14.035740878629934</v>
      </c>
      <c r="BA877" s="70"/>
      <c r="BB877" s="70"/>
      <c r="BC877" s="70">
        <f t="shared" si="508"/>
        <v>17.260772322046737</v>
      </c>
      <c r="BD877" s="70">
        <f t="shared" si="509"/>
        <v>24.577309087544005</v>
      </c>
      <c r="BE877" s="70">
        <f t="shared" si="510"/>
        <v>1</v>
      </c>
      <c r="BF877" s="70">
        <f t="shared" si="511"/>
        <v>0.28885141604893416</v>
      </c>
      <c r="BG877" s="70">
        <f t="shared" si="512"/>
        <v>0.12884138086642602</v>
      </c>
      <c r="BH877" s="67">
        <f>MAX((CE877-Driver!$F$200)/(Driver!$G$200-Driver!$F$200)*$BI$1,1)</f>
        <v>4.7296528173022194</v>
      </c>
      <c r="BI877" s="67">
        <f>MAX($BI$1*(BY877-Driver!$F$201)/(Driver!$G$201-Driver!$F$201),1)</f>
        <v>8.2278481012658222</v>
      </c>
      <c r="BJ877" s="67">
        <f>(CB877-Driver!$F$206)/(Driver!$G$206-Driver!$F$206)*$BI$1</f>
        <v>1.9047619047619047</v>
      </c>
      <c r="BK877" s="67">
        <f>(CD877-Driver!$F$203)/(Driver!$G$203-Driver!$F$203)*$BI$1</f>
        <v>1.6972477064220182</v>
      </c>
      <c r="BL877" s="67">
        <f>MAX((CR877-Driver!$F$202)/(Driver!$G$202-Driver!$F$202)*$BI$1,1)</f>
        <v>6.5517241379310338</v>
      </c>
      <c r="BM877" s="67">
        <f>MAX((CH877-Driver!$F$204)/(Driver!$G$204-Driver!$F$204)*$BI$1,1)</f>
        <v>2.5641025641025639</v>
      </c>
      <c r="BN877" s="67">
        <f>(CI877-Driver!$F$205)/(Driver!$G$205-Driver!$F$205)*$BI$1</f>
        <v>1.7058823529411766</v>
      </c>
      <c r="BO877" s="67">
        <f>(CK877-Driver!$F$207)/(Driver!$G$207-Driver!$F$207)*$BI$1</f>
        <v>0.33092037228541882</v>
      </c>
      <c r="BP877" s="67">
        <f>(CM877-Driver!$F$208)/(Driver!$G$208-Driver!$F$208)*$BI$1</f>
        <v>0.77777777777777779</v>
      </c>
      <c r="BQ877" s="67">
        <f>(CL877-Driver!$F$209)/(Driver!$G$209-Driver!$F$209)*$BI$1</f>
        <v>1.5625</v>
      </c>
      <c r="BR877" s="28" t="s">
        <v>155</v>
      </c>
      <c r="BS877" s="8" t="s">
        <v>164</v>
      </c>
      <c r="BT877" s="9" t="s">
        <v>796</v>
      </c>
      <c r="BU877" s="10">
        <v>158</v>
      </c>
      <c r="BV877" s="9" t="s">
        <v>163</v>
      </c>
      <c r="BW877" s="10">
        <v>158</v>
      </c>
      <c r="BX877" s="10">
        <v>159.1</v>
      </c>
      <c r="BY877" s="10">
        <v>138</v>
      </c>
      <c r="BZ877" s="10">
        <v>144</v>
      </c>
      <c r="CA877" s="10">
        <v>125</v>
      </c>
      <c r="CB877" s="10">
        <v>76</v>
      </c>
      <c r="CC877" s="10">
        <v>105</v>
      </c>
      <c r="CD877" s="10">
        <v>13.1</v>
      </c>
      <c r="CE877" s="10">
        <v>1731</v>
      </c>
      <c r="CF877" s="10">
        <v>0.84</v>
      </c>
      <c r="CG877" s="10">
        <v>1451</v>
      </c>
      <c r="CH877" s="10">
        <v>161</v>
      </c>
      <c r="CI877" s="10">
        <v>62</v>
      </c>
      <c r="CJ877" s="10">
        <v>32</v>
      </c>
      <c r="CK877" s="10">
        <v>142</v>
      </c>
      <c r="CL877" s="10">
        <v>10</v>
      </c>
      <c r="CM877" s="10">
        <v>70</v>
      </c>
      <c r="CN877" s="10">
        <v>0.30199999999999999</v>
      </c>
      <c r="CO877" s="10">
        <v>93</v>
      </c>
      <c r="CP877" s="10">
        <v>60</v>
      </c>
      <c r="CQ877" s="10">
        <v>49</v>
      </c>
      <c r="CR877" s="10">
        <v>8</v>
      </c>
      <c r="CS877" s="10">
        <v>8.6999999999999993</v>
      </c>
      <c r="CT877" s="9" t="s">
        <v>349</v>
      </c>
      <c r="CU877" s="10"/>
      <c r="CV877" s="10"/>
      <c r="CW877" s="10"/>
      <c r="CX877" t="str">
        <f>INDEX('Data_Price '!AG$2:AG$1266,MATCH(Data!$DN877,'Data_Price '!$AT$2:$AT$1266,0))</f>
        <v>Elan Insomnia 12 C Skis</v>
      </c>
      <c r="CY877" t="str">
        <f>INDEX('Data_Price '!AH$2:AH$1266,MATCH(Data!$DN877,'Data_Price '!$AT$2:$AT$1266,0))</f>
        <v>The-House.com</v>
      </c>
      <c r="CZ877">
        <f>INDEX('Data_Price '!AI$2:AI$1266,MATCH(Data!$DN877,'Data_Price '!$AT$2:$AT$1266,0))</f>
        <v>599.99</v>
      </c>
      <c r="DA877" t="str">
        <f>INDEX('Data_Price '!AJ$2:AJ$1266,MATCH(Data!$DN877,'Data_Price '!$AT$2:$AT$1266,0))</f>
        <v>https://tinyurl.com/y7mpusdh</v>
      </c>
      <c r="DB877" t="str">
        <f>INDEX('Data_Price '!AK$2:AK$1266,MATCH(Data!$DN877,'Data_Price '!$AT$2:$AT$1266,0))</f>
        <v>Elan Wildcat 82 C Ps+elw 9.0 Alpine Skis 158</v>
      </c>
      <c r="DC877" t="str">
        <f>INDEX('Data_Price '!AL$2:AL$1266,MATCH(Data!$DN877,'Data_Price '!$AT$2:$AT$1266,0))</f>
        <v>Snowinn.com</v>
      </c>
      <c r="DD877">
        <f>INDEX('Data_Price '!AM$2:AM$1266,MATCH(Data!$DN877,'Data_Price '!$AT$2:$AT$1266,0))</f>
        <v>433.49</v>
      </c>
      <c r="DE877" t="str">
        <f>INDEX('Data_Price '!AN$2:AN$1266,MATCH(Data!$DN877,'Data_Price '!$AT$2:$AT$1266,0))</f>
        <v>https://tinyurl.com/ycemo7vw</v>
      </c>
      <c r="DF877" t="str">
        <f>INDEX('Data_Price '!AO$2:AO$1266,MATCH(Data!$DN877,'Data_Price '!$AT$2:$AT$1266,0))</f>
        <v>Elan Interra Women's Skis 158cm 2020</v>
      </c>
      <c r="DG877" t="str">
        <f>INDEX('Data_Price '!AP$2:AP$1266,MATCH(Data!$DN877,'Data_Price '!$AT$2:$AT$1266,0))</f>
        <v>BobWards.com</v>
      </c>
      <c r="DH877">
        <f>INDEX('Data_Price '!AQ$2:AQ$1266,MATCH(Data!$DN877,'Data_Price '!$AT$2:$AT$1266,0))</f>
        <v>600</v>
      </c>
      <c r="DI877" t="str">
        <f>INDEX('Data_Price '!AR$2:AR$1266,MATCH(Data!$DN877,'Data_Price '!$AT$2:$AT$1266,0))</f>
        <v>https://tinyurl.com/yafhcuh9</v>
      </c>
      <c r="DJ877" s="89" t="str">
        <f t="shared" si="513"/>
        <v>https://tinyurl.com/y7mpusdh</v>
      </c>
      <c r="DK877" s="89" t="str">
        <f t="shared" si="514"/>
        <v>https://tinyurl.com/ycemo7vw</v>
      </c>
      <c r="DL877" s="89" t="str">
        <f t="shared" si="515"/>
        <v>https://tinyurl.com/yafhcuh9</v>
      </c>
      <c r="DM877" s="219" t="str">
        <f t="shared" si="516"/>
        <v>Insomnia 12 C</v>
      </c>
      <c r="DN877" s="89" t="str">
        <f t="shared" si="517"/>
        <v xml:space="preserve"> ElanInsomnia 12 C158 Women's</v>
      </c>
      <c r="DO877" s="221"/>
    </row>
    <row r="878" spans="2:119" ht="15.6" customHeight="1">
      <c r="B878" s="219" t="b">
        <f t="array" ref="B878">IF(OR(ISERROR(K878:P878)),FALSE,TRUE)</f>
        <v>1</v>
      </c>
      <c r="C878" s="43" t="b">
        <f>OR(BR878=Driver!$G$50,Data!BR944=Driver!$H$50)</f>
        <v>1</v>
      </c>
      <c r="D878" s="43" t="b">
        <f>OR(BV878=Driver!$G$51,BV878=Driver!$H$51)</f>
        <v>1</v>
      </c>
      <c r="E878" s="43" t="b">
        <f>AND(BX878&gt;Driver!$F$54,BX878&lt;Driver!$G$54)</f>
        <v>1</v>
      </c>
      <c r="F878" s="43" t="b">
        <f>CL878&gt;Driver!$F$56</f>
        <v>1</v>
      </c>
      <c r="G878" s="43" t="b">
        <f>AND(CB878&gt;Driver!$F$55,CB878&lt;Driver!$G$55)</f>
        <v>0</v>
      </c>
      <c r="H878" s="43" t="b">
        <f t="shared" si="481"/>
        <v>0</v>
      </c>
      <c r="I878" s="43">
        <f t="shared" si="482"/>
        <v>0</v>
      </c>
      <c r="J878" s="43" t="b">
        <f t="array" ref="J878">NOT(OR(($H$9:$H$1273=TRUE)*($I$9:$I$1273&gt;0)*($BT$9:$BT$1273=BT878)*($K$9:$K$1273&gt;K878)))</f>
        <v>1</v>
      </c>
      <c r="K878" s="72">
        <f t="shared" si="483"/>
        <v>0.73351263708846104</v>
      </c>
      <c r="L878" s="72">
        <f t="shared" si="484"/>
        <v>0.78638972777313709</v>
      </c>
      <c r="M878" s="72">
        <f t="shared" si="485"/>
        <v>0.68063554640378476</v>
      </c>
      <c r="N878" s="72">
        <f t="shared" si="486"/>
        <v>0.5462586863716522</v>
      </c>
      <c r="O878" s="72">
        <f t="shared" si="487"/>
        <v>0.60785011218445273</v>
      </c>
      <c r="P878" s="72">
        <f t="shared" si="488"/>
        <v>0.88779784065524958</v>
      </c>
      <c r="Q878" s="72"/>
      <c r="R878" s="72"/>
      <c r="S878" s="72">
        <f t="shared" si="489"/>
        <v>0.54946911014547517</v>
      </c>
      <c r="T878" s="72">
        <f t="shared" si="490"/>
        <v>0.88350260407156689</v>
      </c>
      <c r="U878" s="72">
        <f t="shared" si="491"/>
        <v>0.51</v>
      </c>
      <c r="V878" s="72">
        <f t="shared" si="492"/>
        <v>0.49038812028097745</v>
      </c>
      <c r="W878" s="72">
        <f t="shared" si="493"/>
        <v>0.75958084846841967</v>
      </c>
      <c r="X878" s="72">
        <f t="shared" si="494"/>
        <v>0.21361027222686285</v>
      </c>
      <c r="Y878" s="72">
        <f t="shared" si="495"/>
        <v>0.31936445359621518</v>
      </c>
      <c r="Z878" s="72">
        <f t="shared" si="496"/>
        <v>0.4537413136283478</v>
      </c>
      <c r="AA878" s="72">
        <f t="shared" si="497"/>
        <v>0.39214988781554727</v>
      </c>
      <c r="AB878" s="72">
        <f t="shared" si="498"/>
        <v>0.11220215934475047</v>
      </c>
      <c r="AC878" s="72"/>
      <c r="AD878" s="72"/>
      <c r="AE878" s="72">
        <f t="shared" si="499"/>
        <v>0.45053088985452483</v>
      </c>
      <c r="AF878" s="72">
        <f t="shared" si="500"/>
        <v>0.11649739592843311</v>
      </c>
      <c r="AG878" s="72">
        <f t="shared" si="501"/>
        <v>0.49</v>
      </c>
      <c r="AH878" s="72">
        <f t="shared" si="502"/>
        <v>0.50961187971902255</v>
      </c>
      <c r="AI878" s="72">
        <f t="shared" si="503"/>
        <v>0.24041915153158039</v>
      </c>
      <c r="AJ878" s="72">
        <f>(AV878-Driver!$K$179)/(Driver!$L$179-Driver!$K$179)</f>
        <v>4.060913705583756E-2</v>
      </c>
      <c r="AK878" s="72">
        <f>(AW878-Driver!$K$180)/(Driver!$L$180-Driver!$K$180)</f>
        <v>0.38570096634102879</v>
      </c>
      <c r="AL878" s="72">
        <f>(AX878-Driver!$K$181)/(Driver!$L$181-Driver!$K$181)</f>
        <v>0.55542907734142799</v>
      </c>
      <c r="AM878" s="72">
        <f>(AY878-Driver!$K$182)/(Driver!$L$182-Driver!$K$182)</f>
        <v>5.5235133281499087E-2</v>
      </c>
      <c r="AN878" s="72">
        <f>(AZ878-Driver!$K$183)/(Driver!$L$183-Driver!$K$183)</f>
        <v>0.3664215686274509</v>
      </c>
      <c r="AO878" s="72"/>
      <c r="AP878" s="72"/>
      <c r="AQ878" s="72">
        <f>(BC878-Driver!$K$188)/(Driver!$L$188-Driver!$K$188)</f>
        <v>0.16946911014547514</v>
      </c>
      <c r="AR878" s="72">
        <f>MIN((BD878-Driver!$K$189)/(Driver!$L$189-Driver!$K$189),100%)</f>
        <v>0.66649739592843316</v>
      </c>
      <c r="AS878" s="72">
        <f>(BE878-Driver!$K$190)/(Driver!$L$190-Driver!$K$190)</f>
        <v>1</v>
      </c>
      <c r="AT878" s="72">
        <f>(BF878-Driver!$K$191)/(Driver!$L$191-Driver!$K$191)</f>
        <v>3.8812028097749376E-4</v>
      </c>
      <c r="AU878" s="72">
        <f>(BG878-Driver!$K$192)/(Driver!$L$192-Driver!$K$192)</f>
        <v>9.5808484684196255E-3</v>
      </c>
      <c r="AV878" s="70">
        <f t="shared" si="504"/>
        <v>0.85470085470085466</v>
      </c>
      <c r="AW878" s="70">
        <f t="shared" si="505"/>
        <v>39.461869449626164</v>
      </c>
      <c r="AX878" s="70">
        <f t="shared" si="506"/>
        <v>5.9988616960728516</v>
      </c>
      <c r="AY878" s="70">
        <f>IFERROR(Driver!$K$19/Data!BH878/Data!BI878*Data!BK878*Data!BL878,"")</f>
        <v>6.7624283709684957E-2</v>
      </c>
      <c r="AZ878" s="70">
        <f t="shared" si="507"/>
        <v>33.39538346984363</v>
      </c>
      <c r="BA878" s="70"/>
      <c r="BB878" s="70"/>
      <c r="BC878" s="70">
        <f t="shared" si="508"/>
        <v>87.904805562598199</v>
      </c>
      <c r="BD878" s="70">
        <f t="shared" si="509"/>
        <v>60.704661460259764</v>
      </c>
      <c r="BE878" s="70">
        <f t="shared" si="510"/>
        <v>1</v>
      </c>
      <c r="BF878" s="70">
        <f t="shared" si="511"/>
        <v>4.3835459037113632E-2</v>
      </c>
      <c r="BG878" s="70">
        <f t="shared" si="512"/>
        <v>3.6279204222011384E-2</v>
      </c>
      <c r="BH878" s="67">
        <f>MAX((CE878-Driver!$F$200)/(Driver!$G$200-Driver!$F$200)*$BI$1,1)</f>
        <v>5.9988616960728516</v>
      </c>
      <c r="BI878" s="67">
        <f>MAX($BI$1*(BY878-Driver!$F$201)/(Driver!$G$201-Driver!$F$201),1)</f>
        <v>8.7341772151898738</v>
      </c>
      <c r="BJ878" s="67">
        <f>(CB878-Driver!$F$206)/(Driver!$G$206-Driver!$F$206)*$BI$1</f>
        <v>0.95238095238095233</v>
      </c>
      <c r="BK878" s="67">
        <f>(CD878-Driver!$F$203)/(Driver!$G$203-Driver!$F$203)*$BI$1</f>
        <v>2.5688073394495414</v>
      </c>
      <c r="BL878" s="67">
        <f>MAX((CR878-Driver!$F$202)/(Driver!$G$202-Driver!$F$202)*$BI$1,1)</f>
        <v>6.8965517241379315</v>
      </c>
      <c r="BM878" s="67">
        <f>MAX((CH878-Driver!$F$204)/(Driver!$G$204-Driver!$F$204)*$BI$1,1)</f>
        <v>3.5897435897435899</v>
      </c>
      <c r="BN878" s="67">
        <f>(CI878-Driver!$F$205)/(Driver!$G$205-Driver!$F$205)*$BI$1</f>
        <v>3.8235294117647056</v>
      </c>
      <c r="BO878" s="67">
        <f>(CK878-Driver!$F$207)/(Driver!$G$207-Driver!$F$207)*$BI$1</f>
        <v>0.21716649431230611</v>
      </c>
      <c r="BP878" s="67">
        <f>(CM878-Driver!$F$208)/(Driver!$G$208-Driver!$F$208)*$BI$1</f>
        <v>0.5444444444444444</v>
      </c>
      <c r="BQ878" s="67">
        <f>(CL878-Driver!$F$209)/(Driver!$G$209-Driver!$F$209)*$BI$1</f>
        <v>0.78125</v>
      </c>
      <c r="BR878" s="28" t="s">
        <v>155</v>
      </c>
      <c r="BS878" s="8" t="s">
        <v>332</v>
      </c>
      <c r="BT878" s="9" t="s">
        <v>797</v>
      </c>
      <c r="BU878" s="10">
        <v>165</v>
      </c>
      <c r="BV878" s="9" t="s">
        <v>158</v>
      </c>
      <c r="BW878" s="10">
        <v>165</v>
      </c>
      <c r="BX878" s="10">
        <v>164.2</v>
      </c>
      <c r="BY878" s="10">
        <v>146</v>
      </c>
      <c r="BZ878" s="10">
        <v>154</v>
      </c>
      <c r="CA878" s="10">
        <v>119</v>
      </c>
      <c r="CB878" s="10">
        <v>70</v>
      </c>
      <c r="CC878" s="10">
        <v>98</v>
      </c>
      <c r="CD878" s="10">
        <v>15</v>
      </c>
      <c r="CE878" s="10">
        <v>1954</v>
      </c>
      <c r="CF878" s="10">
        <v>0.71</v>
      </c>
      <c r="CG878" s="10">
        <v>1380</v>
      </c>
      <c r="CH878" s="10">
        <v>185</v>
      </c>
      <c r="CI878" s="10">
        <v>98</v>
      </c>
      <c r="CJ878" s="10">
        <v>36</v>
      </c>
      <c r="CK878" s="10">
        <v>131</v>
      </c>
      <c r="CL878" s="10">
        <v>5</v>
      </c>
      <c r="CM878" s="10">
        <v>49</v>
      </c>
      <c r="CN878" s="10">
        <v>0.14499999999999999</v>
      </c>
      <c r="CO878" s="10">
        <v>62</v>
      </c>
      <c r="CP878" s="10">
        <v>44</v>
      </c>
      <c r="CQ878" s="10">
        <v>69</v>
      </c>
      <c r="CR878" s="10">
        <v>9</v>
      </c>
      <c r="CS878" s="10">
        <v>13.1</v>
      </c>
      <c r="CT878" s="9" t="s">
        <v>349</v>
      </c>
      <c r="CU878" s="10"/>
      <c r="CV878" s="10"/>
      <c r="CW878" s="10"/>
      <c r="CX878" t="str">
        <f>INDEX('Data_Price '!AG$2:AG$1266,MATCH(Data!$DN878,'Data_Price '!$AT$2:$AT$1266,0))</f>
        <v>Nordica Doberman Spitfire Ti FTD 165 + TPX 12 Red/Black One</v>
      </c>
      <c r="CY878" t="str">
        <f>INDEX('Data_Price '!AH$2:AH$1266,MATCH(Data!$DN878,'Data_Price '!$AT$2:$AT$1266,0))</f>
        <v>fruugo.com</v>
      </c>
      <c r="CZ878">
        <f>INDEX('Data_Price '!AI$2:AI$1266,MATCH(Data!$DN878,'Data_Price '!$AT$2:$AT$1266,0))</f>
        <v>574</v>
      </c>
      <c r="DA878" t="str">
        <f>INDEX('Data_Price '!AJ$2:AJ$1266,MATCH(Data!$DN878,'Data_Price '!$AT$2:$AT$1266,0))</f>
        <v>https://tinyurl.com/yalvjmlz</v>
      </c>
      <c r="DB878" t="str">
        <f>INDEX('Data_Price '!AK$2:AK$1266,MATCH(Data!$DN878,'Data_Price '!$AT$2:$AT$1266,0))</f>
        <v>Nordica Santa Ana 98 2022 (Size: 165) | By Alpine Shop Vermont</v>
      </c>
      <c r="DC878" t="str">
        <f>INDEX('Data_Price '!AL$2:AL$1266,MATCH(Data!$DN878,'Data_Price '!$AT$2:$AT$1266,0))</f>
        <v>AlpineShopVT.com</v>
      </c>
      <c r="DD878">
        <f>INDEX('Data_Price '!AM$2:AM$1266,MATCH(Data!$DN878,'Data_Price '!$AT$2:$AT$1266,0))</f>
        <v>559.99</v>
      </c>
      <c r="DE878" t="str">
        <f>INDEX('Data_Price '!AN$2:AN$1266,MATCH(Data!$DN878,'Data_Price '!$AT$2:$AT$1266,0))</f>
        <v>https://tinyurl.com/yd2fsgkg</v>
      </c>
      <c r="DF878" t="str">
        <f>INDEX('Data_Price '!AO$2:AO$1266,MATCH(Data!$DN878,'Data_Price '!$AT$2:$AT$1266,0))</f>
        <v>Nordica Santa Ana 93 Alpine Skis 2022 - - 165 cm</v>
      </c>
      <c r="DG878" t="str">
        <f>INDEX('Data_Price '!AP$2:AP$1266,MATCH(Data!$DN878,'Data_Price '!$AT$2:$AT$1266,0))</f>
        <v>Skirack</v>
      </c>
      <c r="DH878">
        <f>INDEX('Data_Price '!AQ$2:AQ$1266,MATCH(Data!$DN878,'Data_Price '!$AT$2:$AT$1266,0))</f>
        <v>559.99</v>
      </c>
      <c r="DI878" t="str">
        <f>INDEX('Data_Price '!AR$2:AR$1266,MATCH(Data!$DN878,'Data_Price '!$AT$2:$AT$1266,0))</f>
        <v>https://tinyurl.com/ydhu54av</v>
      </c>
      <c r="DJ878" s="89" t="str">
        <f t="shared" si="513"/>
        <v>https://tinyurl.com/yalvjmlz</v>
      </c>
      <c r="DK878" s="89" t="str">
        <f t="shared" si="514"/>
        <v>https://tinyurl.com/yd2fsgkg</v>
      </c>
      <c r="DL878" s="89" t="str">
        <f t="shared" si="515"/>
        <v>https://tinyurl.com/ydhu54av</v>
      </c>
      <c r="DM878" s="219" t="str">
        <f t="shared" si="516"/>
        <v>Spitfire 70 Ti</v>
      </c>
      <c r="DN878" s="89" t="str">
        <f t="shared" si="517"/>
        <v xml:space="preserve"> NordicaSpitfire 70 Ti165 Unisex</v>
      </c>
      <c r="DO878" s="221"/>
    </row>
    <row r="879" spans="2:119" ht="15.6" customHeight="1">
      <c r="B879" s="219" t="b">
        <f t="array" ref="B879">IF(OR(ISERROR(K879:P879)),FALSE,TRUE)</f>
        <v>1</v>
      </c>
      <c r="C879" s="43" t="b">
        <f>OR(BR879=Driver!$G$50,Data!BR1101=Driver!$H$50)</f>
        <v>1</v>
      </c>
      <c r="D879" s="43" t="b">
        <f>OR(BV879=Driver!$G$51,BV879=Driver!$H$51)</f>
        <v>1</v>
      </c>
      <c r="E879" s="43" t="b">
        <f>AND(BX879&gt;Driver!$F$54,BX879&lt;Driver!$G$54)</f>
        <v>1</v>
      </c>
      <c r="F879" s="43" t="b">
        <f>CL879&gt;Driver!$F$56</f>
        <v>1</v>
      </c>
      <c r="G879" s="43" t="b">
        <f>AND(CB879&gt;Driver!$F$55,CB879&lt;Driver!$G$55)</f>
        <v>0</v>
      </c>
      <c r="H879" s="43" t="b">
        <f t="shared" si="481"/>
        <v>0</v>
      </c>
      <c r="I879" s="43">
        <f t="shared" si="482"/>
        <v>0</v>
      </c>
      <c r="J879" s="43" t="b">
        <f t="array" ref="J879">NOT(OR(($H$9:$H$1273=TRUE)*($I$9:$I$1273&gt;0)*($BT$9:$BT$1273=BT879)*($K$9:$K$1273&gt;K879)))</f>
        <v>1</v>
      </c>
      <c r="K879" s="72">
        <f t="shared" si="483"/>
        <v>0.82399102344292952</v>
      </c>
      <c r="L879" s="72">
        <f t="shared" si="484"/>
        <v>0.83151099116851213</v>
      </c>
      <c r="M879" s="72">
        <f t="shared" si="485"/>
        <v>0.81647105571734691</v>
      </c>
      <c r="N879" s="72">
        <f t="shared" si="486"/>
        <v>0.88585269130430255</v>
      </c>
      <c r="O879" s="72">
        <f t="shared" si="487"/>
        <v>0.64237138839841235</v>
      </c>
      <c r="P879" s="72">
        <f t="shared" si="488"/>
        <v>0.92118908744932571</v>
      </c>
      <c r="Q879" s="72"/>
      <c r="R879" s="72"/>
      <c r="S879" s="72">
        <f t="shared" si="489"/>
        <v>0.41500575100983794</v>
      </c>
      <c r="T879" s="72">
        <f t="shared" si="490"/>
        <v>0.50896723999668902</v>
      </c>
      <c r="U879" s="72">
        <f t="shared" si="491"/>
        <v>0.67528369673959876</v>
      </c>
      <c r="V879" s="72">
        <f t="shared" si="492"/>
        <v>0.51803029516449384</v>
      </c>
      <c r="W879" s="72">
        <f t="shared" si="493"/>
        <v>0.80273728930643817</v>
      </c>
      <c r="X879" s="72">
        <f t="shared" si="494"/>
        <v>0.16848900883148782</v>
      </c>
      <c r="Y879" s="72">
        <f t="shared" si="495"/>
        <v>0.18352894428265309</v>
      </c>
      <c r="Z879" s="72">
        <f t="shared" si="496"/>
        <v>0.11414730869569743</v>
      </c>
      <c r="AA879" s="72">
        <f t="shared" si="497"/>
        <v>0.3576286116015876</v>
      </c>
      <c r="AB879" s="72">
        <f t="shared" si="498"/>
        <v>7.8810912550674295E-2</v>
      </c>
      <c r="AC879" s="72"/>
      <c r="AD879" s="72"/>
      <c r="AE879" s="72">
        <f t="shared" si="499"/>
        <v>0.58499424899016206</v>
      </c>
      <c r="AF879" s="72">
        <f t="shared" si="500"/>
        <v>0.49103276000331098</v>
      </c>
      <c r="AG879" s="72">
        <f t="shared" si="501"/>
        <v>0.32471630326040124</v>
      </c>
      <c r="AH879" s="72">
        <f t="shared" si="502"/>
        <v>0.48196970483550616</v>
      </c>
      <c r="AI879" s="72">
        <f t="shared" si="503"/>
        <v>0.19726271069356177</v>
      </c>
      <c r="AJ879" s="72">
        <f>(AV879-Driver!$K$179)/(Driver!$L$179-Driver!$K$179)</f>
        <v>8.5730400451212621E-2</v>
      </c>
      <c r="AK879" s="72">
        <f>(AW879-Driver!$K$180)/(Driver!$L$180-Driver!$K$180)</f>
        <v>0.17614723451418146</v>
      </c>
      <c r="AL879" s="72">
        <f>(AX879-Driver!$K$181)/(Driver!$L$181-Driver!$K$181)</f>
        <v>0.21583507240877761</v>
      </c>
      <c r="AM879" s="72">
        <f>(AY879-Driver!$K$182)/(Driver!$L$182-Driver!$K$182)</f>
        <v>8.9756409495458767E-2</v>
      </c>
      <c r="AN879" s="72">
        <f>(AZ879-Driver!$K$183)/(Driver!$L$183-Driver!$K$183)</f>
        <v>0.17540849673202613</v>
      </c>
      <c r="AO879" s="72"/>
      <c r="AP879" s="72"/>
      <c r="AQ879" s="72">
        <f>(BC879-Driver!$K$188)/(Driver!$L$188-Driver!$K$188)</f>
        <v>3.5005751009837882E-2</v>
      </c>
      <c r="AR879" s="72">
        <f>MIN((BD879-Driver!$K$189)/(Driver!$L$189-Driver!$K$189),100%)</f>
        <v>5.8967239996689048E-2</v>
      </c>
      <c r="AS879" s="72">
        <f>(BE879-Driver!$K$190)/(Driver!$L$190-Driver!$K$190)</f>
        <v>0.83471630326040125</v>
      </c>
      <c r="AT879" s="72">
        <f>(BF879-Driver!$K$191)/(Driver!$L$191-Driver!$K$191)</f>
        <v>2.8030295164493874E-2</v>
      </c>
      <c r="AU879" s="72">
        <f>(BG879-Driver!$K$192)/(Driver!$L$192-Driver!$K$192)</f>
        <v>5.2737289306438236E-2</v>
      </c>
      <c r="AV879" s="70">
        <f t="shared" si="504"/>
        <v>1.8043684710351375</v>
      </c>
      <c r="AW879" s="70">
        <f t="shared" si="505"/>
        <v>19.039001448143036</v>
      </c>
      <c r="AX879" s="70">
        <f t="shared" si="506"/>
        <v>2.9425156516789985</v>
      </c>
      <c r="AY879" s="70">
        <f>IFERROR(Driver!$K$19/Data!BH879/Data!BI879*Data!BK879*Data!BL879,"")</f>
        <v>0.10988862595026279</v>
      </c>
      <c r="AZ879" s="70">
        <f t="shared" si="507"/>
        <v>15.986597170513775</v>
      </c>
      <c r="BA879" s="70"/>
      <c r="BB879" s="70"/>
      <c r="BC879" s="70">
        <f t="shared" si="508"/>
        <v>18.157726404835824</v>
      </c>
      <c r="BD879" s="70">
        <f t="shared" si="509"/>
        <v>6.9393191400380632</v>
      </c>
      <c r="BE879" s="70">
        <f t="shared" si="510"/>
        <v>0.8347457880115523</v>
      </c>
      <c r="BF879" s="70">
        <f t="shared" si="511"/>
        <v>3.1658249148609325</v>
      </c>
      <c r="BG879" s="70">
        <f t="shared" si="512"/>
        <v>0.19969702006769824</v>
      </c>
      <c r="BH879" s="67">
        <f>MAX((CE879-Driver!$F$200)/(Driver!$G$200-Driver!$F$200)*$BI$1,1)</f>
        <v>2.9425156516789985</v>
      </c>
      <c r="BI879" s="67">
        <f>MAX($BI$1*(BY879-Driver!$F$201)/(Driver!$G$201-Driver!$F$201),1)</f>
        <v>7.1518987341772151</v>
      </c>
      <c r="BJ879" s="67">
        <f>(CB879-Driver!$F$206)/(Driver!$G$206-Driver!$F$206)*$BI$1</f>
        <v>3.0158730158730158</v>
      </c>
      <c r="BK879" s="67">
        <f>(CD879-Driver!$F$203)/(Driver!$G$203-Driver!$F$203)*$BI$1</f>
        <v>1.9724770642201834</v>
      </c>
      <c r="BL879" s="67">
        <f>MAX((CR879-Driver!$F$202)/(Driver!$G$202-Driver!$F$202)*$BI$1,1)</f>
        <v>5.8620689655172411</v>
      </c>
      <c r="BM879" s="67">
        <f>MAX((CH879-Driver!$F$204)/(Driver!$G$204-Driver!$F$204)*$BI$1,1)</f>
        <v>2.3931623931623931</v>
      </c>
      <c r="BN879" s="67">
        <f>(CI879-Driver!$F$205)/(Driver!$G$205-Driver!$F$205)*$BI$1</f>
        <v>2.2352941176470589</v>
      </c>
      <c r="BO879" s="67">
        <f>(CK879-Driver!$F$207)/(Driver!$G$207-Driver!$F$207)*$BI$1</f>
        <v>1.0961737331954498</v>
      </c>
      <c r="BP879" s="67">
        <f>(CM879-Driver!$F$208)/(Driver!$G$208-Driver!$F$208)*$BI$1</f>
        <v>1.8888888888888888</v>
      </c>
      <c r="BQ879" s="67">
        <f>(CL879-Driver!$F$209)/(Driver!$G$209-Driver!$F$209)*$BI$1</f>
        <v>1.40625</v>
      </c>
      <c r="BR879" s="28" t="s">
        <v>155</v>
      </c>
      <c r="BS879" s="8" t="s">
        <v>174</v>
      </c>
      <c r="BT879" s="9" t="s">
        <v>343</v>
      </c>
      <c r="BU879" s="10">
        <v>161</v>
      </c>
      <c r="BV879" s="9" t="s">
        <v>158</v>
      </c>
      <c r="BW879" s="10">
        <v>161</v>
      </c>
      <c r="BX879" s="10">
        <v>160</v>
      </c>
      <c r="BY879" s="10">
        <v>121</v>
      </c>
      <c r="BZ879" s="10">
        <v>132</v>
      </c>
      <c r="CA879" s="10">
        <v>120</v>
      </c>
      <c r="CB879" s="10">
        <v>83</v>
      </c>
      <c r="CC879" s="10">
        <v>104</v>
      </c>
      <c r="CD879" s="10">
        <v>13.7</v>
      </c>
      <c r="CE879" s="10">
        <v>1417</v>
      </c>
      <c r="CF879" s="10">
        <v>1.0900000000000001</v>
      </c>
      <c r="CG879" s="10">
        <v>1542</v>
      </c>
      <c r="CH879" s="10">
        <v>157</v>
      </c>
      <c r="CI879" s="10">
        <v>71</v>
      </c>
      <c r="CJ879" s="10">
        <v>51</v>
      </c>
      <c r="CK879" s="10">
        <v>216</v>
      </c>
      <c r="CL879" s="10">
        <v>9</v>
      </c>
      <c r="CM879" s="10">
        <v>170</v>
      </c>
      <c r="CN879" s="10">
        <v>0.17599999999999999</v>
      </c>
      <c r="CO879" s="10">
        <v>162</v>
      </c>
      <c r="CP879" s="10">
        <v>118</v>
      </c>
      <c r="CQ879" s="10">
        <v>54</v>
      </c>
      <c r="CR879" s="10">
        <v>6</v>
      </c>
      <c r="CS879" s="10">
        <v>8.9</v>
      </c>
      <c r="CT879" s="9" t="s">
        <v>231</v>
      </c>
      <c r="CU879" s="9" t="s">
        <v>188</v>
      </c>
      <c r="CV879" s="9" t="s">
        <v>185</v>
      </c>
      <c r="CW879" s="10"/>
      <c r="CX879" t="str">
        <f>INDEX('Data_Price '!AG$2:AG$1266,MATCH(Data!$DN879,'Data_Price '!$AT$2:$AT$1266,0))</f>
        <v>Salomon Stance 84 Skis 2022</v>
      </c>
      <c r="CY879" t="str">
        <f>INDEX('Data_Price '!AH$2:AH$1266,MATCH(Data!$DN879,'Data_Price '!$AT$2:$AT$1266,0))</f>
        <v>Aspen Ski and Board</v>
      </c>
      <c r="CZ879">
        <f>INDEX('Data_Price '!AI$2:AI$1266,MATCH(Data!$DN879,'Data_Price '!$AT$2:$AT$1266,0))</f>
        <v>399.95</v>
      </c>
      <c r="DA879" t="str">
        <f>INDEX('Data_Price '!AJ$2:AJ$1266,MATCH(Data!$DN879,'Data_Price '!$AT$2:$AT$1266,0))</f>
        <v>https://tinyurl.com/ycabgcf2</v>
      </c>
      <c r="DB879" t="str">
        <f>INDEX('Data_Price '!AK$2:AK$1266,MATCH(Data!$DN879,'Data_Price '!$AT$2:$AT$1266,0))</f>
        <v>Salomon Stance 84 Skis 2022</v>
      </c>
      <c r="DC879" t="str">
        <f>INDEX('Data_Price '!AL$2:AL$1266,MATCH(Data!$DN879,'Data_Price '!$AT$2:$AT$1266,0))</f>
        <v>The-House.com</v>
      </c>
      <c r="DD879">
        <f>INDEX('Data_Price '!AM$2:AM$1266,MATCH(Data!$DN879,'Data_Price '!$AT$2:$AT$1266,0))</f>
        <v>399.95</v>
      </c>
      <c r="DE879" t="str">
        <f>INDEX('Data_Price '!AN$2:AN$1266,MATCH(Data!$DN879,'Data_Price '!$AT$2:$AT$1266,0))</f>
        <v>https://tinyurl.com/y7rnkl93</v>
      </c>
      <c r="DF879" t="str">
        <f>INDEX('Data_Price '!AO$2:AO$1266,MATCH(Data!$DN879,'Data_Price '!$AT$2:$AT$1266,0))</f>
        <v>Salomon Stance 84 Skis 2022</v>
      </c>
      <c r="DG879" t="str">
        <f>INDEX('Data_Price '!AP$2:AP$1266,MATCH(Data!$DN879,'Data_Price '!$AT$2:$AT$1266,0))</f>
        <v>Next Adventure</v>
      </c>
      <c r="DH879">
        <f>INDEX('Data_Price '!AQ$2:AQ$1266,MATCH(Data!$DN879,'Data_Price '!$AT$2:$AT$1266,0))</f>
        <v>399.99</v>
      </c>
      <c r="DI879" t="str">
        <f>INDEX('Data_Price '!AR$2:AR$1266,MATCH(Data!$DN879,'Data_Price '!$AT$2:$AT$1266,0))</f>
        <v>https://tinyurl.com/ybfopsbs</v>
      </c>
      <c r="DJ879" s="89" t="str">
        <f t="shared" si="513"/>
        <v>https://tinyurl.com/ycabgcf2</v>
      </c>
      <c r="DK879" s="89" t="str">
        <f t="shared" si="514"/>
        <v>https://tinyurl.com/y7rnkl93</v>
      </c>
      <c r="DL879" s="89" t="str">
        <f t="shared" si="515"/>
        <v>https://tinyurl.com/ybfopsbs</v>
      </c>
      <c r="DM879" s="219" t="str">
        <f t="shared" si="516"/>
        <v>Stance 84</v>
      </c>
      <c r="DN879" s="89" t="str">
        <f t="shared" si="517"/>
        <v xml:space="preserve"> SalomonStance 84161 Unisex</v>
      </c>
      <c r="DO879" s="221" t="s">
        <v>344</v>
      </c>
    </row>
    <row r="880" spans="2:119" ht="15.6" customHeight="1">
      <c r="B880" s="219" t="b">
        <f t="array" ref="B880">IF(OR(ISERROR(K880:P880)),FALSE,TRUE)</f>
        <v>1</v>
      </c>
      <c r="C880" s="43" t="b">
        <f>OR(BR880=Driver!$G$50,Data!BR35=Driver!$H$50)</f>
        <v>1</v>
      </c>
      <c r="D880" s="43" t="b">
        <f>OR(BV880=Driver!$G$51,BV880=Driver!$H$51)</f>
        <v>1</v>
      </c>
      <c r="E880" s="43" t="b">
        <f>AND(BX880&gt;Driver!$F$54,BX880&lt;Driver!$G$54)</f>
        <v>1</v>
      </c>
      <c r="F880" s="43" t="b">
        <f>CL880&gt;Driver!$F$56</f>
        <v>1</v>
      </c>
      <c r="G880" s="43" t="b">
        <f>AND(CB880&gt;Driver!$F$55,CB880&lt;Driver!$G$55)</f>
        <v>0</v>
      </c>
      <c r="H880" s="43" t="b">
        <f t="shared" si="481"/>
        <v>0</v>
      </c>
      <c r="I880" s="43">
        <f t="shared" si="482"/>
        <v>0</v>
      </c>
      <c r="J880" s="43" t="b">
        <f t="array" ref="J880">NOT(OR(($H$9:$H$1273=TRUE)*($I$9:$I$1273&gt;0)*($BT$9:$BT$1273=BT880)*($K$9:$K$1273&gt;K880)))</f>
        <v>1</v>
      </c>
      <c r="K880" s="72">
        <f t="shared" si="483"/>
        <v>0.7840471243837166</v>
      </c>
      <c r="L880" s="72">
        <f t="shared" si="484"/>
        <v>0.82635427535189787</v>
      </c>
      <c r="M880" s="72">
        <f t="shared" si="485"/>
        <v>0.74173997341553521</v>
      </c>
      <c r="N880" s="72">
        <f t="shared" si="486"/>
        <v>0.72396057722095353</v>
      </c>
      <c r="O880" s="72">
        <f t="shared" si="487"/>
        <v>0.64077286995541127</v>
      </c>
      <c r="P880" s="72">
        <f t="shared" si="488"/>
        <v>0.86048647307024073</v>
      </c>
      <c r="Q880" s="72"/>
      <c r="R880" s="72"/>
      <c r="S880" s="72">
        <f t="shared" si="489"/>
        <v>0.40957621982674119</v>
      </c>
      <c r="T880" s="72">
        <f t="shared" si="490"/>
        <v>0.5099870109122745</v>
      </c>
      <c r="U880" s="72">
        <f t="shared" si="491"/>
        <v>0.56857831043018137</v>
      </c>
      <c r="V880" s="72">
        <f t="shared" si="492"/>
        <v>0.52878577975953633</v>
      </c>
      <c r="W880" s="72">
        <f t="shared" si="493"/>
        <v>0.90362871927554977</v>
      </c>
      <c r="X880" s="72">
        <f t="shared" si="494"/>
        <v>0.1736457246481021</v>
      </c>
      <c r="Y880" s="72">
        <f t="shared" si="495"/>
        <v>0.25826002658446484</v>
      </c>
      <c r="Z880" s="72">
        <f t="shared" si="496"/>
        <v>0.27603942277904647</v>
      </c>
      <c r="AA880" s="72">
        <f t="shared" si="497"/>
        <v>0.35922713004458873</v>
      </c>
      <c r="AB880" s="72">
        <f t="shared" si="498"/>
        <v>0.13951352692975924</v>
      </c>
      <c r="AC880" s="72"/>
      <c r="AD880" s="72"/>
      <c r="AE880" s="72">
        <f t="shared" si="499"/>
        <v>0.59042378017325881</v>
      </c>
      <c r="AF880" s="72">
        <f t="shared" si="500"/>
        <v>0.4900129890877255</v>
      </c>
      <c r="AG880" s="72">
        <f t="shared" si="501"/>
        <v>0.43142168956981858</v>
      </c>
      <c r="AH880" s="72">
        <f t="shared" si="502"/>
        <v>0.47121422024046367</v>
      </c>
      <c r="AI880" s="72">
        <f t="shared" si="503"/>
        <v>9.6371280724450198E-2</v>
      </c>
      <c r="AJ880" s="72">
        <f>(AV880-Driver!$K$179)/(Driver!$L$179-Driver!$K$179)</f>
        <v>8.0573684634598325E-2</v>
      </c>
      <c r="AK880" s="72">
        <f>(AW880-Driver!$K$180)/(Driver!$L$180-Driver!$K$180)</f>
        <v>0.13431093384000087</v>
      </c>
      <c r="AL880" s="72">
        <f>(AX880-Driver!$K$181)/(Driver!$L$181-Driver!$K$181)</f>
        <v>0.37772718649212667</v>
      </c>
      <c r="AM880" s="72">
        <f>(AY880-Driver!$K$182)/(Driver!$L$182-Driver!$K$182)</f>
        <v>8.8157891052457651E-2</v>
      </c>
      <c r="AN880" s="72">
        <f>(AZ880-Driver!$K$183)/(Driver!$L$183-Driver!$K$183)</f>
        <v>0.11470588235294119</v>
      </c>
      <c r="AO880" s="72"/>
      <c r="AP880" s="72"/>
      <c r="AQ880" s="72">
        <f>(BC880-Driver!$K$188)/(Driver!$L$188-Driver!$K$188)</f>
        <v>2.9576219826741145E-2</v>
      </c>
      <c r="AR880" s="72">
        <f>MIN((BD880-Driver!$K$189)/(Driver!$L$189-Driver!$K$189),100%)</f>
        <v>5.9987010912274513E-2</v>
      </c>
      <c r="AS880" s="72">
        <f>(BE880-Driver!$K$190)/(Driver!$L$190-Driver!$K$190)</f>
        <v>7.8578310430181431E-2</v>
      </c>
      <c r="AT880" s="72">
        <f>(BF880-Driver!$K$191)/(Driver!$L$191-Driver!$K$191)</f>
        <v>3.8785779759536322E-2</v>
      </c>
      <c r="AU880" s="72">
        <f>(BG880-Driver!$K$192)/(Driver!$L$192-Driver!$K$192)</f>
        <v>0.1536287192755498</v>
      </c>
      <c r="AV880" s="70">
        <f t="shared" si="504"/>
        <v>1.6958350291683624</v>
      </c>
      <c r="AW880" s="70">
        <f t="shared" si="505"/>
        <v>14.961683240108698</v>
      </c>
      <c r="AX880" s="70">
        <f t="shared" si="506"/>
        <v>4.3995446784291401</v>
      </c>
      <c r="AY880" s="70">
        <f>IFERROR(Driver!$K$19/Data!BH880/Data!BI880*Data!BK880*Data!BL880,"")</f>
        <v>0.10793156242415959</v>
      </c>
      <c r="AZ880" s="70">
        <f t="shared" si="507"/>
        <v>10.454206999255399</v>
      </c>
      <c r="BA880" s="70"/>
      <c r="BB880" s="70"/>
      <c r="BC880" s="70">
        <f t="shared" si="508"/>
        <v>15.341390834675128</v>
      </c>
      <c r="BD880" s="70">
        <f t="shared" si="509"/>
        <v>7.0295670591402359</v>
      </c>
      <c r="BE880" s="70">
        <f t="shared" si="510"/>
        <v>7.8742681688557817E-2</v>
      </c>
      <c r="BF880" s="70">
        <f t="shared" si="511"/>
        <v>4.3805813383152108</v>
      </c>
      <c r="BG880" s="70">
        <f t="shared" si="512"/>
        <v>0.58173633570504535</v>
      </c>
      <c r="BH880" s="67">
        <f>MAX((CE880-Driver!$F$200)/(Driver!$G$200-Driver!$F$200)*$BI$1,1)</f>
        <v>4.3995446784291401</v>
      </c>
      <c r="BI880" s="67">
        <f>MAX($BI$1*(BY880-Driver!$F$201)/(Driver!$G$201-Driver!$F$201),1)</f>
        <v>6.8354430379746836</v>
      </c>
      <c r="BJ880" s="67">
        <f>(CB880-Driver!$F$206)/(Driver!$G$206-Driver!$F$206)*$BI$1</f>
        <v>3.1746031746031744</v>
      </c>
      <c r="BK880" s="67">
        <f>(CD880-Driver!$F$203)/(Driver!$G$203-Driver!$F$203)*$BI$1</f>
        <v>2.6146788990825689</v>
      </c>
      <c r="BL880" s="67">
        <f>MAX((CR880-Driver!$F$202)/(Driver!$G$202-Driver!$F$202)*$BI$1,1)</f>
        <v>6.2068965517241379</v>
      </c>
      <c r="BM880" s="67">
        <f>MAX((CH880-Driver!$F$204)/(Driver!$G$204-Driver!$F$204)*$BI$1,1)</f>
        <v>2.1367521367521367</v>
      </c>
      <c r="BN880" s="67">
        <f>(CI880-Driver!$F$205)/(Driver!$G$205-Driver!$F$205)*$BI$1</f>
        <v>1.5294117647058825</v>
      </c>
      <c r="BO880" s="67">
        <f>(CK880-Driver!$F$207)/(Driver!$G$207-Driver!$F$207)*$BI$1</f>
        <v>1.623578076525336</v>
      </c>
      <c r="BP880" s="67">
        <f>(CM880-Driver!$F$208)/(Driver!$G$208-Driver!$F$208)*$BI$1</f>
        <v>2.2222222222222223</v>
      </c>
      <c r="BQ880" s="67">
        <f>(CL880-Driver!$F$209)/(Driver!$G$209-Driver!$F$209)*$BI$1</f>
        <v>5.46875</v>
      </c>
      <c r="BR880" s="28" t="s">
        <v>155</v>
      </c>
      <c r="BS880" s="8" t="s">
        <v>182</v>
      </c>
      <c r="BT880" s="9" t="s">
        <v>193</v>
      </c>
      <c r="BU880" s="10">
        <v>164</v>
      </c>
      <c r="BV880" s="9" t="s">
        <v>158</v>
      </c>
      <c r="BW880" s="10">
        <v>164</v>
      </c>
      <c r="BX880" s="10">
        <v>162.4</v>
      </c>
      <c r="BY880" s="10">
        <v>116</v>
      </c>
      <c r="BZ880" s="10">
        <v>137</v>
      </c>
      <c r="CA880" s="10">
        <v>117</v>
      </c>
      <c r="CB880" s="10">
        <v>84</v>
      </c>
      <c r="CC880" s="10">
        <v>108</v>
      </c>
      <c r="CD880" s="10">
        <v>15.1</v>
      </c>
      <c r="CE880" s="10">
        <v>1673</v>
      </c>
      <c r="CF880" s="10">
        <v>0.93</v>
      </c>
      <c r="CG880" s="10">
        <v>1556</v>
      </c>
      <c r="CH880" s="10">
        <v>151</v>
      </c>
      <c r="CI880" s="10">
        <v>59</v>
      </c>
      <c r="CJ880" s="10">
        <v>46</v>
      </c>
      <c r="CK880" s="10">
        <v>267</v>
      </c>
      <c r="CL880" s="10">
        <v>35</v>
      </c>
      <c r="CM880" s="10">
        <v>200</v>
      </c>
      <c r="CN880" s="10">
        <v>0.75600000000000001</v>
      </c>
      <c r="CO880" s="10">
        <v>137</v>
      </c>
      <c r="CP880" s="10">
        <v>117</v>
      </c>
      <c r="CQ880" s="10">
        <v>130</v>
      </c>
      <c r="CR880" s="10">
        <v>7</v>
      </c>
      <c r="CS880" s="10">
        <v>7.1</v>
      </c>
      <c r="CT880" s="9" t="s">
        <v>188</v>
      </c>
      <c r="CU880" s="10"/>
      <c r="CV880" s="10"/>
      <c r="CW880" s="10"/>
      <c r="CX880" t="str">
        <f>INDEX('Data_Price '!AG$2:AG$1266,MATCH(Data!$DN880,'Data_Price '!$AT$2:$AT$1266,0))</f>
        <v>Armada ARV 84 2022 164</v>
      </c>
      <c r="CY880" t="str">
        <f>INDEX('Data_Price '!AH$2:AH$1266,MATCH(Data!$DN880,'Data_Price '!$AT$2:$AT$1266,0))</f>
        <v>Help Boardshop</v>
      </c>
      <c r="CZ880">
        <f>INDEX('Data_Price '!AI$2:AI$1266,MATCH(Data!$DN880,'Data_Price '!$AT$2:$AT$1266,0))</f>
        <v>349.95</v>
      </c>
      <c r="DA880" t="str">
        <f>INDEX('Data_Price '!AJ$2:AJ$1266,MATCH(Data!$DN880,'Data_Price '!$AT$2:$AT$1266,0))</f>
        <v>https://tinyurl.com/y9qnltek</v>
      </c>
      <c r="DB880" t="str">
        <f>INDEX('Data_Price '!AK$2:AK$1266,MATCH(Data!$DN880,'Data_Price '!$AT$2:$AT$1266,0))</f>
        <v>Armada Arv 84 2022 164cm</v>
      </c>
      <c r="DC880" t="str">
        <f>INDEX('Data_Price '!AL$2:AL$1266,MATCH(Data!$DN880,'Data_Price '!$AT$2:$AT$1266,0))</f>
        <v>eBay</v>
      </c>
      <c r="DD880">
        <f>INDEX('Data_Price '!AM$2:AM$1266,MATCH(Data!$DN880,'Data_Price '!$AT$2:$AT$1266,0))</f>
        <v>349.95</v>
      </c>
      <c r="DE880" t="str">
        <f>INDEX('Data_Price '!AN$2:AN$1266,MATCH(Data!$DN880,'Data_Price '!$AT$2:$AT$1266,0))</f>
        <v>https://tinyurl.com/yd8hmpeb</v>
      </c>
      <c r="DF880" t="str">
        <f>INDEX('Data_Price '!AO$2:AO$1266,MATCH(Data!$DN880,'Data_Price '!$AT$2:$AT$1266,0))</f>
        <v>2022 Armada ARV 84 (LONG) Skis 164</v>
      </c>
      <c r="DG880" t="str">
        <f>INDEX('Data_Price '!AP$2:AP$1266,MATCH(Data!$DN880,'Data_Price '!$AT$2:$AT$1266,0))</f>
        <v>Elevation Skate Snow</v>
      </c>
      <c r="DH880">
        <f>INDEX('Data_Price '!AQ$2:AQ$1266,MATCH(Data!$DN880,'Data_Price '!$AT$2:$AT$1266,0))</f>
        <v>349.95</v>
      </c>
      <c r="DI880" t="str">
        <f>INDEX('Data_Price '!AR$2:AR$1266,MATCH(Data!$DN880,'Data_Price '!$AT$2:$AT$1266,0))</f>
        <v>https://tinyurl.com/yd53gvrf</v>
      </c>
      <c r="DJ880" s="89" t="str">
        <f t="shared" si="513"/>
        <v>https://tinyurl.com/y9qnltek</v>
      </c>
      <c r="DK880" s="89" t="str">
        <f t="shared" si="514"/>
        <v>https://tinyurl.com/yd8hmpeb</v>
      </c>
      <c r="DL880" s="89" t="str">
        <f t="shared" si="515"/>
        <v>https://tinyurl.com/yd53gvrf</v>
      </c>
      <c r="DM880" s="219" t="str">
        <f t="shared" si="516"/>
        <v>ARV 84</v>
      </c>
      <c r="DN880" s="89" t="str">
        <f t="shared" si="517"/>
        <v xml:space="preserve"> ArmadaARV 84164 Unisex</v>
      </c>
      <c r="DO880" s="221" t="s">
        <v>194</v>
      </c>
    </row>
    <row r="881" spans="2:119" ht="15.6" customHeight="1">
      <c r="B881" s="219" t="b">
        <f t="array" ref="B881">IF(OR(ISERROR(K881:P881)),FALSE,TRUE)</f>
        <v>1</v>
      </c>
      <c r="C881" s="43" t="b">
        <f>OR(BR881=Driver!$G$50,Data!BR772=Driver!$H$50)</f>
        <v>1</v>
      </c>
      <c r="D881" s="43" t="b">
        <f>OR(BV881=Driver!$G$51,BV881=Driver!$H$51)</f>
        <v>1</v>
      </c>
      <c r="E881" s="43" t="b">
        <f>AND(BX881&gt;Driver!$F$54,BX881&lt;Driver!$G$54)</f>
        <v>1</v>
      </c>
      <c r="F881" s="43" t="b">
        <f>CL881&gt;Driver!$F$56</f>
        <v>1</v>
      </c>
      <c r="G881" s="43" t="b">
        <f>AND(CB881&gt;Driver!$F$55,CB881&lt;Driver!$G$55)</f>
        <v>0</v>
      </c>
      <c r="H881" s="43" t="b">
        <f t="shared" si="481"/>
        <v>0</v>
      </c>
      <c r="I881" s="43">
        <f t="shared" si="482"/>
        <v>0</v>
      </c>
      <c r="J881" s="43" t="b">
        <f t="array" ref="J881">NOT(OR(($H$9:$H$1273=TRUE)*($I$9:$I$1273&gt;0)*($BT$9:$BT$1273=BT881)*($K$9:$K$1273&gt;K881)))</f>
        <v>1</v>
      </c>
      <c r="K881" s="72">
        <f t="shared" si="483"/>
        <v>0.8193390165964527</v>
      </c>
      <c r="L881" s="72">
        <f t="shared" si="484"/>
        <v>0.85237957548887322</v>
      </c>
      <c r="M881" s="72">
        <f t="shared" si="485"/>
        <v>0.78629845770403217</v>
      </c>
      <c r="N881" s="72">
        <f t="shared" si="486"/>
        <v>0.81945162888730394</v>
      </c>
      <c r="O881" s="72">
        <f t="shared" si="487"/>
        <v>0.65640825154670857</v>
      </c>
      <c r="P881" s="72">
        <f t="shared" si="488"/>
        <v>0.8830354926780839</v>
      </c>
      <c r="Q881" s="72"/>
      <c r="R881" s="72"/>
      <c r="S881" s="72">
        <f t="shared" si="489"/>
        <v>0.40885604850487334</v>
      </c>
      <c r="T881" s="72">
        <f t="shared" si="490"/>
        <v>0.47408900377243168</v>
      </c>
      <c r="U881" s="72">
        <f t="shared" si="491"/>
        <v>0.53927687771189703</v>
      </c>
      <c r="V881" s="72">
        <f t="shared" si="492"/>
        <v>0.57102472913358726</v>
      </c>
      <c r="W881" s="72">
        <f t="shared" si="493"/>
        <v>0.98378502526412492</v>
      </c>
      <c r="X881" s="72">
        <f t="shared" si="494"/>
        <v>0.14762042451112684</v>
      </c>
      <c r="Y881" s="72">
        <f t="shared" si="495"/>
        <v>0.21370154229596786</v>
      </c>
      <c r="Z881" s="72">
        <f t="shared" si="496"/>
        <v>0.18054837111269606</v>
      </c>
      <c r="AA881" s="72">
        <f t="shared" si="497"/>
        <v>0.34359174845329143</v>
      </c>
      <c r="AB881" s="72">
        <f t="shared" si="498"/>
        <v>0.11696450732191613</v>
      </c>
      <c r="AC881" s="72"/>
      <c r="AD881" s="72"/>
      <c r="AE881" s="72">
        <f t="shared" si="499"/>
        <v>0.59114395149512666</v>
      </c>
      <c r="AF881" s="72">
        <f t="shared" si="500"/>
        <v>0.52591099622756832</v>
      </c>
      <c r="AG881" s="72">
        <f t="shared" si="501"/>
        <v>0.46072312228810303</v>
      </c>
      <c r="AH881" s="72">
        <f t="shared" si="502"/>
        <v>0.42897527086641274</v>
      </c>
      <c r="AI881" s="72">
        <f t="shared" si="503"/>
        <v>1.6214974735875104E-2</v>
      </c>
      <c r="AJ881" s="72">
        <f>(AV881-Driver!$K$179)/(Driver!$L$179-Driver!$K$179)</f>
        <v>0.10659898477157359</v>
      </c>
      <c r="AK881" s="72">
        <f>(AW881-Driver!$K$180)/(Driver!$L$180-Driver!$K$180)</f>
        <v>0.14677592078119162</v>
      </c>
      <c r="AL881" s="72">
        <f>(AX881-Driver!$K$181)/(Driver!$L$181-Driver!$K$181)</f>
        <v>0.28223613482577625</v>
      </c>
      <c r="AM881" s="72">
        <f>(AY881-Driver!$K$182)/(Driver!$L$182-Driver!$K$182)</f>
        <v>0.10379327264375493</v>
      </c>
      <c r="AN881" s="72">
        <f>(AZ881-Driver!$K$183)/(Driver!$L$183-Driver!$K$183)</f>
        <v>0.1372549019607843</v>
      </c>
      <c r="AO881" s="72"/>
      <c r="AP881" s="72"/>
      <c r="AQ881" s="72">
        <f>(BC881-Driver!$K$188)/(Driver!$L$188-Driver!$K$188)</f>
        <v>2.8856048504873281E-2</v>
      </c>
      <c r="AR881" s="72">
        <f>MIN((BD881-Driver!$K$189)/(Driver!$L$189-Driver!$K$189),100%)</f>
        <v>2.4089003772431703E-2</v>
      </c>
      <c r="AS881" s="72">
        <f>(BE881-Driver!$K$190)/(Driver!$L$190-Driver!$K$190)</f>
        <v>4.9276877711896989E-2</v>
      </c>
      <c r="AT881" s="72">
        <f>(BF881-Driver!$K$191)/(Driver!$L$191-Driver!$K$191)</f>
        <v>8.1024729133587284E-2</v>
      </c>
      <c r="AU881" s="72">
        <f>(BG881-Driver!$K$192)/(Driver!$L$192-Driver!$K$192)</f>
        <v>0.2337850252641249</v>
      </c>
      <c r="AV881" s="70">
        <f t="shared" si="504"/>
        <v>2.2435897435897436</v>
      </c>
      <c r="AW881" s="70">
        <f t="shared" si="505"/>
        <v>16.176506668548043</v>
      </c>
      <c r="AX881" s="70">
        <f t="shared" si="506"/>
        <v>3.5401252134319865</v>
      </c>
      <c r="AY881" s="70">
        <f>IFERROR(Driver!$K$19/Data!BH881/Data!BI881*Data!BK881*Data!BL881,"")</f>
        <v>0.1270739346395123</v>
      </c>
      <c r="AZ881" s="70">
        <f t="shared" si="507"/>
        <v>12.509307520476545</v>
      </c>
      <c r="BA881" s="70"/>
      <c r="BB881" s="70"/>
      <c r="BC881" s="70">
        <f t="shared" si="508"/>
        <v>14.967832963472462</v>
      </c>
      <c r="BD881" s="70">
        <f t="shared" si="509"/>
        <v>3.8526570347689448</v>
      </c>
      <c r="BE881" s="70">
        <f t="shared" si="510"/>
        <v>4.9446476016068636E-2</v>
      </c>
      <c r="BF881" s="70">
        <f t="shared" si="511"/>
        <v>9.151173924700295</v>
      </c>
      <c r="BG881" s="70">
        <f t="shared" si="512"/>
        <v>0.88525924437299031</v>
      </c>
      <c r="BH881" s="67">
        <f>MAX((CE881-Driver!$F$200)/(Driver!$G$200-Driver!$F$200)*$BI$1,1)</f>
        <v>3.5401252134319865</v>
      </c>
      <c r="BI881" s="67">
        <f>MAX($BI$1*(BY881-Driver!$F$201)/(Driver!$G$201-Driver!$F$201),1)</f>
        <v>6.075949367088608</v>
      </c>
      <c r="BJ881" s="67">
        <f>(CB881-Driver!$F$206)/(Driver!$G$206-Driver!$F$206)*$BI$1</f>
        <v>4.2857142857142856</v>
      </c>
      <c r="BK881" s="67">
        <f>(CD881-Driver!$F$203)/(Driver!$G$203-Driver!$F$203)*$BI$1</f>
        <v>2.4770642201834865</v>
      </c>
      <c r="BL881" s="67">
        <f>MAX((CR881-Driver!$F$202)/(Driver!$G$202-Driver!$F$202)*$BI$1,1)</f>
        <v>5.5172413793103452</v>
      </c>
      <c r="BM881" s="67">
        <f>MAX((CH881-Driver!$F$204)/(Driver!$G$204-Driver!$F$204)*$BI$1,1)</f>
        <v>2.0940170940170941</v>
      </c>
      <c r="BN881" s="67">
        <f>(CI881-Driver!$F$205)/(Driver!$G$205-Driver!$F$205)*$BI$1</f>
        <v>2.0588235294117645</v>
      </c>
      <c r="BO881" s="67">
        <f>(CK881-Driver!$F$207)/(Driver!$G$207-Driver!$F$207)*$BI$1</f>
        <v>1.7373319544984489</v>
      </c>
      <c r="BP881" s="67">
        <f>(CM881-Driver!$F$208)/(Driver!$G$208-Driver!$F$208)*$BI$1</f>
        <v>3.0444444444444447</v>
      </c>
      <c r="BQ881" s="67">
        <f>(CL881-Driver!$F$209)/(Driver!$G$209-Driver!$F$209)*$BI$1</f>
        <v>6.5625</v>
      </c>
      <c r="BR881" s="28" t="s">
        <v>155</v>
      </c>
      <c r="BS881" s="8" t="s">
        <v>262</v>
      </c>
      <c r="BT881" s="9" t="s">
        <v>579</v>
      </c>
      <c r="BU881" s="10">
        <v>159</v>
      </c>
      <c r="BV881" s="9" t="s">
        <v>158</v>
      </c>
      <c r="BW881" s="10">
        <v>159</v>
      </c>
      <c r="BX881" s="10">
        <v>158.80000000000001</v>
      </c>
      <c r="BY881" s="10">
        <v>104</v>
      </c>
      <c r="BZ881" s="10">
        <v>133</v>
      </c>
      <c r="CA881" s="10">
        <v>123</v>
      </c>
      <c r="CB881" s="10">
        <v>91</v>
      </c>
      <c r="CC881" s="10">
        <v>113</v>
      </c>
      <c r="CD881" s="10">
        <v>14.8</v>
      </c>
      <c r="CE881" s="10">
        <v>1522</v>
      </c>
      <c r="CF881" s="10">
        <v>1.06</v>
      </c>
      <c r="CG881" s="10">
        <v>1615</v>
      </c>
      <c r="CH881" s="10">
        <v>150</v>
      </c>
      <c r="CI881" s="10">
        <v>68</v>
      </c>
      <c r="CJ881" s="10">
        <v>49</v>
      </c>
      <c r="CK881" s="10">
        <v>278</v>
      </c>
      <c r="CL881" s="10">
        <v>42</v>
      </c>
      <c r="CM881" s="10">
        <v>274</v>
      </c>
      <c r="CN881" s="10">
        <v>0.86499999999999999</v>
      </c>
      <c r="CO881" s="10">
        <v>113</v>
      </c>
      <c r="CP881" s="10">
        <v>143</v>
      </c>
      <c r="CQ881" s="10">
        <v>165</v>
      </c>
      <c r="CR881" s="10">
        <v>5</v>
      </c>
      <c r="CS881" s="10">
        <v>4.3</v>
      </c>
      <c r="CT881" s="9" t="s">
        <v>184</v>
      </c>
      <c r="CU881" s="9" t="s">
        <v>185</v>
      </c>
      <c r="CV881" s="10"/>
      <c r="CW881" s="10"/>
      <c r="CX881" t="e">
        <f>INDEX('Data_Price '!AG$2:AG$1266,MATCH(Data!$DN881,'Data_Price '!$AT$2:$AT$1266,0))</f>
        <v>#N/A</v>
      </c>
      <c r="CY881" t="e">
        <f>INDEX('Data_Price '!AH$2:AH$1266,MATCH(Data!$DN881,'Data_Price '!$AT$2:$AT$1266,0))</f>
        <v>#N/A</v>
      </c>
      <c r="CZ881" t="e">
        <f>INDEX('Data_Price '!AI$2:AI$1266,MATCH(Data!$DN881,'Data_Price '!$AT$2:$AT$1266,0))</f>
        <v>#N/A</v>
      </c>
      <c r="DA881" t="e">
        <f>INDEX('Data_Price '!AJ$2:AJ$1266,MATCH(Data!$DN881,'Data_Price '!$AT$2:$AT$1266,0))</f>
        <v>#N/A</v>
      </c>
      <c r="DB881" t="e">
        <f>INDEX('Data_Price '!AK$2:AK$1266,MATCH(Data!$DN881,'Data_Price '!$AT$2:$AT$1266,0))</f>
        <v>#N/A</v>
      </c>
      <c r="DC881" t="e">
        <f>INDEX('Data_Price '!AL$2:AL$1266,MATCH(Data!$DN881,'Data_Price '!$AT$2:$AT$1266,0))</f>
        <v>#N/A</v>
      </c>
      <c r="DD881" t="e">
        <f>INDEX('Data_Price '!AM$2:AM$1266,MATCH(Data!$DN881,'Data_Price '!$AT$2:$AT$1266,0))</f>
        <v>#N/A</v>
      </c>
      <c r="DE881" t="e">
        <f>INDEX('Data_Price '!AN$2:AN$1266,MATCH(Data!$DN881,'Data_Price '!$AT$2:$AT$1266,0))</f>
        <v>#N/A</v>
      </c>
      <c r="DF881" t="e">
        <f>INDEX('Data_Price '!AO$2:AO$1266,MATCH(Data!$DN881,'Data_Price '!$AT$2:$AT$1266,0))</f>
        <v>#N/A</v>
      </c>
      <c r="DG881" t="e">
        <f>INDEX('Data_Price '!AP$2:AP$1266,MATCH(Data!$DN881,'Data_Price '!$AT$2:$AT$1266,0))</f>
        <v>#N/A</v>
      </c>
      <c r="DH881" t="e">
        <f>INDEX('Data_Price '!AQ$2:AQ$1266,MATCH(Data!$DN881,'Data_Price '!$AT$2:$AT$1266,0))</f>
        <v>#N/A</v>
      </c>
      <c r="DI881" t="e">
        <f>INDEX('Data_Price '!AR$2:AR$1266,MATCH(Data!$DN881,'Data_Price '!$AT$2:$AT$1266,0))</f>
        <v>#N/A</v>
      </c>
      <c r="DJ881" s="89" t="e">
        <f t="shared" si="513"/>
        <v>#N/A</v>
      </c>
      <c r="DK881" s="89" t="e">
        <f t="shared" si="514"/>
        <v>#N/A</v>
      </c>
      <c r="DL881" s="89" t="e">
        <f t="shared" si="515"/>
        <v>#N/A</v>
      </c>
      <c r="DM881" s="219" t="str">
        <f t="shared" si="516"/>
        <v>Reckoner 92</v>
      </c>
      <c r="DN881" s="89" t="str">
        <f t="shared" si="517"/>
        <v xml:space="preserve"> K2Reckoner 92159 Unisex</v>
      </c>
      <c r="DO881" s="221" t="s">
        <v>580</v>
      </c>
    </row>
    <row r="882" spans="2:119" ht="15.6" customHeight="1">
      <c r="B882" s="219" t="b">
        <f t="array" ref="B882">IF(OR(ISERROR(K882:P882)),FALSE,TRUE)</f>
        <v>1</v>
      </c>
      <c r="C882" s="43" t="b">
        <f>OR(BR882=Driver!$G$50,Data!BR1144=Driver!$H$50)</f>
        <v>1</v>
      </c>
      <c r="D882" s="43" t="b">
        <f>OR(BV882=Driver!$G$51,BV882=Driver!$H$51)</f>
        <v>1</v>
      </c>
      <c r="E882" s="43" t="b">
        <f>AND(BX882&gt;Driver!$F$54,BX882&lt;Driver!$G$54)</f>
        <v>0</v>
      </c>
      <c r="F882" s="43" t="b">
        <f>CL882&gt;Driver!$F$56</f>
        <v>1</v>
      </c>
      <c r="G882" s="43" t="b">
        <f>AND(CB882&gt;Driver!$F$55,CB882&lt;Driver!$G$55)</f>
        <v>0</v>
      </c>
      <c r="H882" s="43" t="b">
        <f t="shared" si="481"/>
        <v>0</v>
      </c>
      <c r="I882" s="43">
        <f t="shared" si="482"/>
        <v>0</v>
      </c>
      <c r="J882" s="43" t="b">
        <f t="array" ref="J882">NOT(OR(($H$9:$H$1273=TRUE)*($I$9:$I$1273&gt;0)*($BT$9:$BT$1273=BT882)*($K$9:$K$1273&gt;K882)))</f>
        <v>1</v>
      </c>
      <c r="K882" s="72">
        <f t="shared" si="483"/>
        <v>0.81654825462972525</v>
      </c>
      <c r="L882" s="72">
        <f t="shared" si="484"/>
        <v>0.81410707528743897</v>
      </c>
      <c r="M882" s="72">
        <f t="shared" si="485"/>
        <v>0.81898943397201163</v>
      </c>
      <c r="N882" s="72">
        <f t="shared" si="486"/>
        <v>0.87573443417409325</v>
      </c>
      <c r="O882" s="72">
        <f t="shared" si="487"/>
        <v>0.63953824434490336</v>
      </c>
      <c r="P882" s="72">
        <f t="shared" si="488"/>
        <v>0.94169562339703816</v>
      </c>
      <c r="Q882" s="72"/>
      <c r="R882" s="72"/>
      <c r="S882" s="72">
        <f t="shared" si="489"/>
        <v>0.42359709618845287</v>
      </c>
      <c r="T882" s="72">
        <f t="shared" si="490"/>
        <v>0.51412082990336794</v>
      </c>
      <c r="U882" s="72">
        <f t="shared" si="491"/>
        <v>0.96609765283470417</v>
      </c>
      <c r="V882" s="72">
        <f t="shared" si="492"/>
        <v>0.49896093000813835</v>
      </c>
      <c r="W882" s="72">
        <f t="shared" si="493"/>
        <v>0.97820984813621714</v>
      </c>
      <c r="X882" s="72">
        <f t="shared" si="494"/>
        <v>0.18589292471256105</v>
      </c>
      <c r="Y882" s="72">
        <f t="shared" si="495"/>
        <v>0.1810105660279884</v>
      </c>
      <c r="Z882" s="72">
        <f t="shared" si="496"/>
        <v>0.12426556582590677</v>
      </c>
      <c r="AA882" s="72">
        <f t="shared" si="497"/>
        <v>0.36046175565509664</v>
      </c>
      <c r="AB882" s="72">
        <f t="shared" si="498"/>
        <v>5.8304376602961866E-2</v>
      </c>
      <c r="AC882" s="72"/>
      <c r="AD882" s="72"/>
      <c r="AE882" s="72">
        <f t="shared" si="499"/>
        <v>0.57640290381154713</v>
      </c>
      <c r="AF882" s="72">
        <f t="shared" si="500"/>
        <v>0.48587917009663212</v>
      </c>
      <c r="AG882" s="72">
        <f t="shared" si="501"/>
        <v>3.3902347165295832E-2</v>
      </c>
      <c r="AH882" s="72">
        <f t="shared" si="502"/>
        <v>0.50103906999186165</v>
      </c>
      <c r="AI882" s="72">
        <f t="shared" si="503"/>
        <v>2.1790151863782803E-2</v>
      </c>
      <c r="AJ882" s="72">
        <f>(AV882-Driver!$K$179)/(Driver!$L$179-Driver!$K$179)</f>
        <v>6.8326484570139373E-2</v>
      </c>
      <c r="AK882" s="72">
        <f>(AW882-Driver!$K$180)/(Driver!$L$180-Driver!$K$180)</f>
        <v>0.19622284174081819</v>
      </c>
      <c r="AL882" s="72">
        <f>(AX882-Driver!$K$181)/(Driver!$L$181-Driver!$K$181)</f>
        <v>0.22595332953898695</v>
      </c>
      <c r="AM882" s="72">
        <f>(AY882-Driver!$K$182)/(Driver!$L$182-Driver!$K$182)</f>
        <v>8.6923265441949699E-2</v>
      </c>
      <c r="AN882" s="72">
        <f>(AZ882-Driver!$K$183)/(Driver!$L$183-Driver!$K$183)</f>
        <v>0.19591503267973856</v>
      </c>
      <c r="AO882" s="72"/>
      <c r="AP882" s="72"/>
      <c r="AQ882" s="72">
        <f>(BC882-Driver!$K$188)/(Driver!$L$188-Driver!$K$188)</f>
        <v>4.3597096188452873E-2</v>
      </c>
      <c r="AR882" s="72">
        <f>MIN((BD882-Driver!$K$189)/(Driver!$L$189-Driver!$K$189),100%)</f>
        <v>6.4120829903367926E-2</v>
      </c>
      <c r="AS882" s="72">
        <f>(BE882-Driver!$K$190)/(Driver!$L$190-Driver!$K$190)</f>
        <v>0.47609765283470418</v>
      </c>
      <c r="AT882" s="72">
        <f>(BF882-Driver!$K$191)/(Driver!$L$191-Driver!$K$191)</f>
        <v>8.960930008138383E-3</v>
      </c>
      <c r="AU882" s="72">
        <f>(BG882-Driver!$K$192)/(Driver!$L$192-Driver!$K$192)</f>
        <v>0.2282098481362172</v>
      </c>
      <c r="AV882" s="70">
        <f t="shared" si="504"/>
        <v>1.4380681047347712</v>
      </c>
      <c r="AW882" s="70">
        <f t="shared" si="505"/>
        <v>20.995547260355075</v>
      </c>
      <c r="AX882" s="70">
        <f t="shared" si="506"/>
        <v>3.0335799658508824</v>
      </c>
      <c r="AY882" s="70">
        <f>IFERROR(Driver!$K$19/Data!BH882/Data!BI882*Data!BK882*Data!BL882,"")</f>
        <v>0.10642001230016997</v>
      </c>
      <c r="AZ882" s="70">
        <f t="shared" si="507"/>
        <v>17.855547282204022</v>
      </c>
      <c r="BA882" s="70"/>
      <c r="BB882" s="70"/>
      <c r="BC882" s="70">
        <f t="shared" si="508"/>
        <v>22.614116875046129</v>
      </c>
      <c r="BD882" s="70">
        <f t="shared" si="509"/>
        <v>7.3954027151581752</v>
      </c>
      <c r="BE882" s="70">
        <f t="shared" si="510"/>
        <v>0.4761911111166664</v>
      </c>
      <c r="BF882" s="70">
        <f t="shared" si="511"/>
        <v>1.0120740903229697</v>
      </c>
      <c r="BG882" s="70">
        <f t="shared" si="512"/>
        <v>0.86414806718821913</v>
      </c>
      <c r="BH882" s="67">
        <f>MAX((CE882-Driver!$F$200)/(Driver!$G$200-Driver!$F$200)*$BI$1,1)</f>
        <v>3.0335799658508824</v>
      </c>
      <c r="BI882" s="67">
        <f>MAX($BI$1*(BY882-Driver!$F$201)/(Driver!$G$201-Driver!$F$201),1)</f>
        <v>6.8987341772151902</v>
      </c>
      <c r="BJ882" s="67">
        <f>(CB882-Driver!$F$206)/(Driver!$G$206-Driver!$F$206)*$BI$1</f>
        <v>2.5396825396825395</v>
      </c>
      <c r="BK882" s="67">
        <f>(CD882-Driver!$F$203)/(Driver!$G$203-Driver!$F$203)*$BI$1</f>
        <v>2.0183486238532113</v>
      </c>
      <c r="BL882" s="67">
        <f>MAX((CR882-Driver!$F$202)/(Driver!$G$202-Driver!$F$202)*$BI$1,1)</f>
        <v>5.5172413793103452</v>
      </c>
      <c r="BM882" s="67">
        <f>MAX((CH882-Driver!$F$204)/(Driver!$G$204-Driver!$F$204)*$BI$1,1)</f>
        <v>2.2649572649572649</v>
      </c>
      <c r="BN882" s="67">
        <f>(CI882-Driver!$F$205)/(Driver!$G$205-Driver!$F$205)*$BI$1</f>
        <v>2.5882352941176472</v>
      </c>
      <c r="BO882" s="67">
        <f>(CK882-Driver!$F$207)/(Driver!$G$207-Driver!$F$207)*$BI$1</f>
        <v>0.51706308169596693</v>
      </c>
      <c r="BP882" s="67">
        <f>(CM882-Driver!$F$208)/(Driver!$G$208-Driver!$F$208)*$BI$1</f>
        <v>1.5555555555555556</v>
      </c>
      <c r="BQ882" s="67">
        <f>(CL882-Driver!$F$209)/(Driver!$G$209-Driver!$F$209)*$BI$1</f>
        <v>5.9375</v>
      </c>
      <c r="BR882" s="28" t="s">
        <v>155</v>
      </c>
      <c r="BS882" s="8" t="s">
        <v>229</v>
      </c>
      <c r="BT882" s="9" t="s">
        <v>285</v>
      </c>
      <c r="BU882" s="10">
        <v>148</v>
      </c>
      <c r="BV882" s="9" t="s">
        <v>158</v>
      </c>
      <c r="BW882" s="10">
        <v>148</v>
      </c>
      <c r="BX882" s="10">
        <v>146.9</v>
      </c>
      <c r="BY882" s="10">
        <v>117</v>
      </c>
      <c r="BZ882" s="10">
        <v>125</v>
      </c>
      <c r="CA882" s="10">
        <v>111</v>
      </c>
      <c r="CB882" s="10">
        <v>80</v>
      </c>
      <c r="CC882" s="10">
        <v>104</v>
      </c>
      <c r="CD882" s="10">
        <v>13.8</v>
      </c>
      <c r="CE882" s="10">
        <v>1433</v>
      </c>
      <c r="CF882" s="10">
        <v>0.93</v>
      </c>
      <c r="CG882" s="10">
        <v>1329</v>
      </c>
      <c r="CH882" s="10">
        <v>154</v>
      </c>
      <c r="CI882" s="10">
        <v>77</v>
      </c>
      <c r="CJ882" s="10">
        <v>46</v>
      </c>
      <c r="CK882" s="10">
        <v>160</v>
      </c>
      <c r="CL882" s="10">
        <v>38</v>
      </c>
      <c r="CM882" s="10">
        <v>140</v>
      </c>
      <c r="CN882" s="10">
        <v>0.81799999999999995</v>
      </c>
      <c r="CO882" s="10">
        <v>86</v>
      </c>
      <c r="CP882" s="10">
        <v>130</v>
      </c>
      <c r="CQ882" s="10">
        <v>74</v>
      </c>
      <c r="CR882" s="10">
        <v>5</v>
      </c>
      <c r="CS882" s="10">
        <v>1.9</v>
      </c>
      <c r="CT882" s="9" t="s">
        <v>188</v>
      </c>
      <c r="CU882" s="9" t="s">
        <v>184</v>
      </c>
      <c r="CV882" s="10"/>
      <c r="CW882" s="10"/>
      <c r="CX882" t="e">
        <f>INDEX('Data_Price '!AG$2:AG$1266,MATCH(Data!$DN882,'Data_Price '!$AT$2:$AT$1266,0))</f>
        <v>#N/A</v>
      </c>
      <c r="CY882" t="e">
        <f>INDEX('Data_Price '!AH$2:AH$1266,MATCH(Data!$DN882,'Data_Price '!$AT$2:$AT$1266,0))</f>
        <v>#N/A</v>
      </c>
      <c r="CZ882" t="e">
        <f>INDEX('Data_Price '!AI$2:AI$1266,MATCH(Data!$DN882,'Data_Price '!$AT$2:$AT$1266,0))</f>
        <v>#N/A</v>
      </c>
      <c r="DA882" t="e">
        <f>INDEX('Data_Price '!AJ$2:AJ$1266,MATCH(Data!$DN882,'Data_Price '!$AT$2:$AT$1266,0))</f>
        <v>#N/A</v>
      </c>
      <c r="DB882" t="e">
        <f>INDEX('Data_Price '!AK$2:AK$1266,MATCH(Data!$DN882,'Data_Price '!$AT$2:$AT$1266,0))</f>
        <v>#N/A</v>
      </c>
      <c r="DC882" t="e">
        <f>INDEX('Data_Price '!AL$2:AL$1266,MATCH(Data!$DN882,'Data_Price '!$AT$2:$AT$1266,0))</f>
        <v>#N/A</v>
      </c>
      <c r="DD882" t="e">
        <f>INDEX('Data_Price '!AM$2:AM$1266,MATCH(Data!$DN882,'Data_Price '!$AT$2:$AT$1266,0))</f>
        <v>#N/A</v>
      </c>
      <c r="DE882" t="e">
        <f>INDEX('Data_Price '!AN$2:AN$1266,MATCH(Data!$DN882,'Data_Price '!$AT$2:$AT$1266,0))</f>
        <v>#N/A</v>
      </c>
      <c r="DF882" t="e">
        <f>INDEX('Data_Price '!AO$2:AO$1266,MATCH(Data!$DN882,'Data_Price '!$AT$2:$AT$1266,0))</f>
        <v>#N/A</v>
      </c>
      <c r="DG882" t="e">
        <f>INDEX('Data_Price '!AP$2:AP$1266,MATCH(Data!$DN882,'Data_Price '!$AT$2:$AT$1266,0))</f>
        <v>#N/A</v>
      </c>
      <c r="DH882" t="e">
        <f>INDEX('Data_Price '!AQ$2:AQ$1266,MATCH(Data!$DN882,'Data_Price '!$AT$2:$AT$1266,0))</f>
        <v>#N/A</v>
      </c>
      <c r="DI882" t="e">
        <f>INDEX('Data_Price '!AR$2:AR$1266,MATCH(Data!$DN882,'Data_Price '!$AT$2:$AT$1266,0))</f>
        <v>#N/A</v>
      </c>
      <c r="DJ882" s="89" t="e">
        <f t="shared" si="513"/>
        <v>#N/A</v>
      </c>
      <c r="DK882" s="89" t="e">
        <f t="shared" si="514"/>
        <v>#N/A</v>
      </c>
      <c r="DL882" s="89" t="e">
        <f t="shared" si="515"/>
        <v>#N/A</v>
      </c>
      <c r="DM882" s="219" t="str">
        <f t="shared" si="516"/>
        <v>Bash 81</v>
      </c>
      <c r="DN882" s="89" t="str">
        <f t="shared" si="517"/>
        <v xml:space="preserve"> VölklBash 81148 Unisex</v>
      </c>
      <c r="DO882" s="221" t="s">
        <v>286</v>
      </c>
    </row>
    <row r="883" spans="2:119" ht="15.6" customHeight="1">
      <c r="B883" s="219" t="b">
        <f t="array" ref="B883">IF(OR(ISERROR(K883:P883)),FALSE,TRUE)</f>
        <v>1</v>
      </c>
      <c r="C883" s="43" t="b">
        <f>OR(BR883=Driver!$G$50,Data!BR209=Driver!$H$50)</f>
        <v>1</v>
      </c>
      <c r="D883" s="43" t="b">
        <f>OR(BV883=Driver!$G$51,BV883=Driver!$H$51)</f>
        <v>1</v>
      </c>
      <c r="E883" s="43" t="b">
        <f>AND(BX883&gt;Driver!$F$54,BX883&lt;Driver!$G$54)</f>
        <v>1</v>
      </c>
      <c r="F883" s="43" t="b">
        <f>CL883&gt;Driver!$F$56</f>
        <v>1</v>
      </c>
      <c r="G883" s="43" t="b">
        <f>AND(CB883&gt;Driver!$F$55,CB883&lt;Driver!$G$55)</f>
        <v>0</v>
      </c>
      <c r="H883" s="43" t="b">
        <f t="shared" si="481"/>
        <v>0</v>
      </c>
      <c r="I883" s="43">
        <f t="shared" si="482"/>
        <v>0</v>
      </c>
      <c r="J883" s="43" t="b">
        <f t="array" ref="J883">NOT(OR(($H$9:$H$1273=TRUE)*($I$9:$I$1273&gt;0)*($BT$9:$BT$1273=BT883)*($K$9:$K$1273&gt;K883)))</f>
        <v>1</v>
      </c>
      <c r="K883" s="72">
        <f t="shared" si="483"/>
        <v>0.87413254949759123</v>
      </c>
      <c r="L883" s="72">
        <f t="shared" si="484"/>
        <v>0.88066093879561724</v>
      </c>
      <c r="M883" s="72">
        <f t="shared" si="485"/>
        <v>0.86760416019956521</v>
      </c>
      <c r="N883" s="72">
        <f t="shared" si="486"/>
        <v>0.94023832337917768</v>
      </c>
      <c r="O883" s="72">
        <f t="shared" si="487"/>
        <v>0.72627069068522498</v>
      </c>
      <c r="P883" s="72">
        <f t="shared" si="488"/>
        <v>0.93630346653429308</v>
      </c>
      <c r="Q883" s="72"/>
      <c r="R883" s="72"/>
      <c r="S883" s="72">
        <f t="shared" si="489"/>
        <v>0.43468780472757929</v>
      </c>
      <c r="T883" s="72">
        <f t="shared" si="490"/>
        <v>0.4478728614760733</v>
      </c>
      <c r="U883" s="72">
        <f t="shared" si="491"/>
        <v>0.8224662148293107</v>
      </c>
      <c r="V883" s="72">
        <f t="shared" si="492"/>
        <v>0.53218132967870269</v>
      </c>
      <c r="W883" s="72">
        <f t="shared" si="493"/>
        <v>0.85933874709976799</v>
      </c>
      <c r="X883" s="72">
        <f t="shared" si="494"/>
        <v>0.11933906120438281</v>
      </c>
      <c r="Y883" s="72">
        <f t="shared" si="495"/>
        <v>0.13239583980043479</v>
      </c>
      <c r="Z883" s="72">
        <f t="shared" si="496"/>
        <v>5.9761676620822338E-2</v>
      </c>
      <c r="AA883" s="72">
        <f t="shared" si="497"/>
        <v>0.27372930931477507</v>
      </c>
      <c r="AB883" s="72">
        <f t="shared" si="498"/>
        <v>6.3696533465706945E-2</v>
      </c>
      <c r="AC883" s="72"/>
      <c r="AD883" s="72"/>
      <c r="AE883" s="72">
        <f t="shared" si="499"/>
        <v>0.56531219527242071</v>
      </c>
      <c r="AF883" s="72">
        <f t="shared" si="500"/>
        <v>0.5521271385239267</v>
      </c>
      <c r="AG883" s="72">
        <f t="shared" si="501"/>
        <v>0.17753378517068935</v>
      </c>
      <c r="AH883" s="72">
        <f t="shared" si="502"/>
        <v>0.46781867032129731</v>
      </c>
      <c r="AI883" s="72">
        <f t="shared" si="503"/>
        <v>0.14066125290023204</v>
      </c>
      <c r="AJ883" s="72">
        <f>(AV883-Driver!$K$179)/(Driver!$L$179-Driver!$K$179)</f>
        <v>0.13488034807831761</v>
      </c>
      <c r="AK883" s="72">
        <f>(AW883-Driver!$K$180)/(Driver!$L$180-Driver!$K$180)</f>
        <v>0.18631316618859184</v>
      </c>
      <c r="AL883" s="72">
        <f>(AX883-Driver!$K$181)/(Driver!$L$181-Driver!$K$181)</f>
        <v>0.16144944033390252</v>
      </c>
      <c r="AM883" s="72">
        <f>(AY883-Driver!$K$182)/(Driver!$L$182-Driver!$K$182)</f>
        <v>0.17365571178227129</v>
      </c>
      <c r="AN883" s="72">
        <f>(AZ883-Driver!$K$183)/(Driver!$L$183-Driver!$K$183)</f>
        <v>0.19052287581699348</v>
      </c>
      <c r="AO883" s="72"/>
      <c r="AP883" s="72"/>
      <c r="AQ883" s="72">
        <f>(BC883-Driver!$K$188)/(Driver!$L$188-Driver!$K$188)</f>
        <v>5.4687804727579316E-2</v>
      </c>
      <c r="AR883" s="72">
        <f>MIN((BD883-Driver!$K$189)/(Driver!$L$189-Driver!$K$189),100%)</f>
        <v>-2.1271385239266588E-3</v>
      </c>
      <c r="AS883" s="72">
        <f>(BE883-Driver!$K$190)/(Driver!$L$190-Driver!$K$190)</f>
        <v>0.33246621482931066</v>
      </c>
      <c r="AT883" s="72">
        <f>(BF883-Driver!$K$191)/(Driver!$L$191-Driver!$K$191)</f>
        <v>4.2181329678702716E-2</v>
      </c>
      <c r="AU883" s="72">
        <f>(BG883-Driver!$K$192)/(Driver!$L$192-Driver!$K$192)</f>
        <v>0.10933874709976796</v>
      </c>
      <c r="AV883" s="70">
        <f t="shared" si="504"/>
        <v>2.838827838827839</v>
      </c>
      <c r="AW883" s="70">
        <f t="shared" si="505"/>
        <v>20.029761569132589</v>
      </c>
      <c r="AX883" s="70">
        <f t="shared" si="506"/>
        <v>2.4530449630051225</v>
      </c>
      <c r="AY883" s="70">
        <f>IFERROR(Driver!$K$19/Data!BH883/Data!BI883*Data!BK883*Data!BL883,"")</f>
        <v>0.21260640508502235</v>
      </c>
      <c r="AZ883" s="70">
        <f t="shared" si="507"/>
        <v>17.364110201042443</v>
      </c>
      <c r="BA883" s="70"/>
      <c r="BB883" s="70"/>
      <c r="BC883" s="70">
        <f t="shared" si="508"/>
        <v>28.366944495645921</v>
      </c>
      <c r="BD883" s="70">
        <f t="shared" si="509"/>
        <v>1.5325748937966546</v>
      </c>
      <c r="BE883" s="70">
        <f t="shared" si="510"/>
        <v>0.33258529534317233</v>
      </c>
      <c r="BF883" s="70">
        <f t="shared" si="511"/>
        <v>4.7640848465967691</v>
      </c>
      <c r="BG883" s="70">
        <f t="shared" si="512"/>
        <v>0.41402624709976793</v>
      </c>
      <c r="BH883" s="67">
        <f>MAX((CE883-Driver!$F$200)/(Driver!$G$200-Driver!$F$200)*$BI$1,1)</f>
        <v>2.4530449630051225</v>
      </c>
      <c r="BI883" s="67">
        <f>MAX($BI$1*(BY883-Driver!$F$201)/(Driver!$G$201-Driver!$F$201),1)</f>
        <v>6.7088607594936711</v>
      </c>
      <c r="BJ883" s="67">
        <f>(CB883-Driver!$F$206)/(Driver!$G$206-Driver!$F$206)*$BI$1</f>
        <v>4.92063492063492</v>
      </c>
      <c r="BK883" s="67">
        <f>(CD883-Driver!$F$203)/(Driver!$G$203-Driver!$F$203)*$BI$1</f>
        <v>3.623853211009175</v>
      </c>
      <c r="BL883" s="67">
        <f>MAX((CR883-Driver!$F$202)/(Driver!$G$202-Driver!$F$202)*$BI$1,1)</f>
        <v>4.8275862068965516</v>
      </c>
      <c r="BM883" s="67">
        <f>MAX((CH883-Driver!$F$204)/(Driver!$G$204-Driver!$F$204)*$BI$1,1)</f>
        <v>2.3076923076923079</v>
      </c>
      <c r="BN883" s="67">
        <f>(CI883-Driver!$F$205)/(Driver!$G$205-Driver!$F$205)*$BI$1</f>
        <v>2.5882352941176472</v>
      </c>
      <c r="BO883" s="67">
        <f>(CK883-Driver!$F$207)/(Driver!$G$207-Driver!$F$207)*$BI$1</f>
        <v>2.0372285418821097</v>
      </c>
      <c r="BP883" s="67">
        <f>(CM883-Driver!$F$208)/(Driver!$G$208-Driver!$F$208)*$BI$1</f>
        <v>1.7222222222222223</v>
      </c>
      <c r="BQ883" s="67">
        <f>(CL883-Driver!$F$209)/(Driver!$G$209-Driver!$F$209)*$BI$1</f>
        <v>2.34375</v>
      </c>
      <c r="BR883" s="28" t="s">
        <v>155</v>
      </c>
      <c r="BS883" s="8" t="s">
        <v>237</v>
      </c>
      <c r="BT883" s="9" t="s">
        <v>361</v>
      </c>
      <c r="BU883" s="10">
        <v>160.19999999999999</v>
      </c>
      <c r="BV883" s="9" t="s">
        <v>158</v>
      </c>
      <c r="BW883" s="10">
        <v>160.19999999999999</v>
      </c>
      <c r="BX883" s="10">
        <v>159.80000000000001</v>
      </c>
      <c r="BY883" s="10">
        <v>114</v>
      </c>
      <c r="BZ883" s="10">
        <v>135</v>
      </c>
      <c r="CA883" s="10">
        <v>128</v>
      </c>
      <c r="CB883" s="10">
        <v>95</v>
      </c>
      <c r="CC883" s="10">
        <v>112</v>
      </c>
      <c r="CD883" s="10">
        <v>17.3</v>
      </c>
      <c r="CE883" s="10">
        <v>1331</v>
      </c>
      <c r="CF883" s="10">
        <v>1.26</v>
      </c>
      <c r="CG883" s="10">
        <v>1675</v>
      </c>
      <c r="CH883" s="10">
        <v>155</v>
      </c>
      <c r="CI883" s="10">
        <v>77</v>
      </c>
      <c r="CJ883" s="10">
        <v>52</v>
      </c>
      <c r="CK883" s="10">
        <v>307</v>
      </c>
      <c r="CL883" s="10">
        <v>15</v>
      </c>
      <c r="CM883" s="10">
        <v>155</v>
      </c>
      <c r="CN883" s="10">
        <v>0.29099999999999998</v>
      </c>
      <c r="CO883" s="10">
        <v>149</v>
      </c>
      <c r="CP883" s="10">
        <v>104</v>
      </c>
      <c r="CQ883" s="10">
        <v>158</v>
      </c>
      <c r="CR883" s="10">
        <v>3</v>
      </c>
      <c r="CS883" s="10">
        <v>8.1</v>
      </c>
      <c r="CT883" s="9" t="s">
        <v>188</v>
      </c>
      <c r="CU883" s="9" t="s">
        <v>185</v>
      </c>
      <c r="CV883" s="9" t="s">
        <v>198</v>
      </c>
      <c r="CW883" s="10"/>
      <c r="CX883" t="str">
        <f>INDEX('Data_Price '!AG$2:AG$1266,MATCH(Data!$DN883,'Data_Price '!$AT$2:$AT$1266,0))</f>
        <v>Black Crows Camox Freebird Skis - 2022</v>
      </c>
      <c r="CY883" t="str">
        <f>INDEX('Data_Price '!AH$2:AH$1266,MATCH(Data!$DN883,'Data_Price '!$AT$2:$AT$1266,0))</f>
        <v>Powder7 Ski Shop</v>
      </c>
      <c r="CZ883">
        <f>INDEX('Data_Price '!AI$2:AI$1266,MATCH(Data!$DN883,'Data_Price '!$AT$2:$AT$1266,0))</f>
        <v>591.92999999999995</v>
      </c>
      <c r="DA883" t="str">
        <f>INDEX('Data_Price '!AJ$2:AJ$1266,MATCH(Data!$DN883,'Data_Price '!$AT$2:$AT$1266,0))</f>
        <v>https://tinyurl.com/yd794d2u</v>
      </c>
      <c r="DB883" t="str">
        <f>INDEX('Data_Price '!AK$2:AK$1266,MATCH(Data!$DN883,'Data_Price '!$AT$2:$AT$1266,0))</f>
        <v>Black Crows Camox Freebird Skis - 2022</v>
      </c>
      <c r="DC883" t="str">
        <f>INDEX('Data_Price '!AL$2:AL$1266,MATCH(Data!$DN883,'Data_Price '!$AT$2:$AT$1266,0))</f>
        <v>SkiEssentials.com</v>
      </c>
      <c r="DD883">
        <f>INDEX('Data_Price '!AM$2:AM$1266,MATCH(Data!$DN883,'Data_Price '!$AT$2:$AT$1266,0))</f>
        <v>591.96</v>
      </c>
      <c r="DE883" t="str">
        <f>INDEX('Data_Price '!AN$2:AN$1266,MATCH(Data!$DN883,'Data_Price '!$AT$2:$AT$1266,0))</f>
        <v>https://tinyurl.com/y84llolb</v>
      </c>
      <c r="DF883" t="str">
        <f>INDEX('Data_Price '!AO$2:AO$1266,MATCH(Data!$DN883,'Data_Price '!$AT$2:$AT$1266,0))</f>
        <v>Black Crows Camox Freebird Skis - 2022</v>
      </c>
      <c r="DG883" t="str">
        <f>INDEX('Data_Price '!AP$2:AP$1266,MATCH(Data!$DN883,'Data_Price '!$AT$2:$AT$1266,0))</f>
        <v>evo.com</v>
      </c>
      <c r="DH883">
        <f>INDEX('Data_Price '!AQ$2:AQ$1266,MATCH(Data!$DN883,'Data_Price '!$AT$2:$AT$1266,0))</f>
        <v>591.96</v>
      </c>
      <c r="DI883" t="str">
        <f>INDEX('Data_Price '!AR$2:AR$1266,MATCH(Data!$DN883,'Data_Price '!$AT$2:$AT$1266,0))</f>
        <v>https://tinyurl.com/y7tvxe9k</v>
      </c>
      <c r="DJ883" s="89" t="str">
        <f t="shared" si="513"/>
        <v>https://tinyurl.com/yd794d2u</v>
      </c>
      <c r="DK883" s="89" t="str">
        <f t="shared" si="514"/>
        <v>https://tinyurl.com/y84llolb</v>
      </c>
      <c r="DL883" s="89" t="str">
        <f t="shared" si="515"/>
        <v>https://tinyurl.com/y7tvxe9k</v>
      </c>
      <c r="DM883" s="219" t="str">
        <f t="shared" si="516"/>
        <v>Camox Freebird</v>
      </c>
      <c r="DN883" s="89" t="str">
        <f t="shared" si="517"/>
        <v xml:space="preserve"> Black CrowsCamox Freebird160.2 Unisex</v>
      </c>
      <c r="DO883" s="221" t="s">
        <v>362</v>
      </c>
    </row>
    <row r="884" spans="2:119" ht="15.6" customHeight="1">
      <c r="B884" s="219" t="b">
        <f t="array" ref="B884">IF(OR(ISERROR(K884:P884)),FALSE,TRUE)</f>
        <v>1</v>
      </c>
      <c r="C884" s="43" t="b">
        <f>OR(BR884=Driver!$G$50,Data!BR1273=Driver!$H$50)</f>
        <v>1</v>
      </c>
      <c r="D884" s="43" t="b">
        <f>OR(BV884=Driver!$G$51,BV884=Driver!$H$51)</f>
        <v>0</v>
      </c>
      <c r="E884" s="43" t="b">
        <f>AND(BX884&gt;Driver!$F$54,BX884&lt;Driver!$G$54)</f>
        <v>0</v>
      </c>
      <c r="F884" s="43" t="b">
        <f>CL884&gt;Driver!$F$56</f>
        <v>1</v>
      </c>
      <c r="G884" s="43" t="b">
        <f>AND(CB884&gt;Driver!$F$55,CB884&lt;Driver!$G$55)</f>
        <v>0</v>
      </c>
      <c r="H884" s="43" t="b">
        <f t="shared" si="481"/>
        <v>0</v>
      </c>
      <c r="I884" s="43">
        <f t="shared" si="482"/>
        <v>0</v>
      </c>
      <c r="J884" s="43" t="b">
        <f t="array" ref="J884">NOT(OR(($H$9:$H$1273=TRUE)*($I$9:$I$1273&gt;0)*($BT$9:$BT$1273=BT884)*($K$9:$K$1273&gt;K884)))</f>
        <v>1</v>
      </c>
      <c r="K884" s="72">
        <f t="shared" si="483"/>
        <v>0.82918086036505168</v>
      </c>
      <c r="L884" s="72">
        <f t="shared" si="484"/>
        <v>0.86059809132160225</v>
      </c>
      <c r="M884" s="72">
        <f t="shared" si="485"/>
        <v>0.7977636294085011</v>
      </c>
      <c r="N884" s="72">
        <f t="shared" si="486"/>
        <v>0.85613031098431269</v>
      </c>
      <c r="O884" s="72">
        <f t="shared" si="487"/>
        <v>0.65151070547813927</v>
      </c>
      <c r="P884" s="72">
        <f t="shared" si="488"/>
        <v>0.88564987176305121</v>
      </c>
      <c r="Q884" s="72"/>
      <c r="R884" s="72"/>
      <c r="S884" s="72">
        <f t="shared" si="489"/>
        <v>0.42154537024778671</v>
      </c>
      <c r="T884" s="72">
        <f t="shared" si="490"/>
        <v>0.48941619749942833</v>
      </c>
      <c r="U884" s="72">
        <f t="shared" si="491"/>
        <v>0.66613301296923122</v>
      </c>
      <c r="V884" s="72">
        <f t="shared" si="492"/>
        <v>0.53644462024463668</v>
      </c>
      <c r="W884" s="72">
        <f t="shared" si="493"/>
        <v>0.81015957446808518</v>
      </c>
      <c r="X884" s="72">
        <f t="shared" si="494"/>
        <v>0.1394019086783978</v>
      </c>
      <c r="Y884" s="72">
        <f t="shared" si="495"/>
        <v>0.20223637059149893</v>
      </c>
      <c r="Z884" s="72">
        <f t="shared" si="496"/>
        <v>0.14386968901568731</v>
      </c>
      <c r="AA884" s="72">
        <f t="shared" si="497"/>
        <v>0.34848929452186067</v>
      </c>
      <c r="AB884" s="72">
        <f t="shared" si="498"/>
        <v>0.11435012823694882</v>
      </c>
      <c r="AC884" s="72"/>
      <c r="AD884" s="72"/>
      <c r="AE884" s="72">
        <f t="shared" si="499"/>
        <v>0.57845462975221329</v>
      </c>
      <c r="AF884" s="72">
        <f t="shared" si="500"/>
        <v>0.51058380250057167</v>
      </c>
      <c r="AG884" s="72">
        <f t="shared" si="501"/>
        <v>0.33386698703076878</v>
      </c>
      <c r="AH884" s="72">
        <f t="shared" si="502"/>
        <v>0.46355537975536332</v>
      </c>
      <c r="AI884" s="72">
        <f t="shared" si="503"/>
        <v>0.18984042553191488</v>
      </c>
      <c r="AJ884" s="72">
        <f>(AV884-Driver!$K$179)/(Driver!$L$179-Driver!$K$179)</f>
        <v>0.11481750060430262</v>
      </c>
      <c r="AK884" s="72">
        <f>(AW884-Driver!$K$180)/(Driver!$L$180-Driver!$K$180)</f>
        <v>0.14577209545999137</v>
      </c>
      <c r="AL884" s="72">
        <f>(AX884-Driver!$K$181)/(Driver!$L$181-Driver!$K$181)</f>
        <v>0.24555745272876747</v>
      </c>
      <c r="AM884" s="72">
        <f>(AY884-Driver!$K$182)/(Driver!$L$182-Driver!$K$182)</f>
        <v>9.8895726575185708E-2</v>
      </c>
      <c r="AN884" s="72">
        <f>(AZ884-Driver!$K$183)/(Driver!$L$183-Driver!$K$183)</f>
        <v>0.13986928104575161</v>
      </c>
      <c r="AO884" s="72"/>
      <c r="AP884" s="72"/>
      <c r="AQ884" s="72">
        <f>(BC884-Driver!$K$188)/(Driver!$L$188-Driver!$K$188)</f>
        <v>4.1545370247786713E-2</v>
      </c>
      <c r="AR884" s="72">
        <f>MIN((BD884-Driver!$K$189)/(Driver!$L$189-Driver!$K$189),100%)</f>
        <v>3.9416197499428353E-2</v>
      </c>
      <c r="AS884" s="72">
        <f>(BE884-Driver!$K$190)/(Driver!$L$190-Driver!$K$190)</f>
        <v>0.17613301296923126</v>
      </c>
      <c r="AT884" s="72">
        <f>(BF884-Driver!$K$191)/(Driver!$L$191-Driver!$K$191)</f>
        <v>4.6444620244636706E-2</v>
      </c>
      <c r="AU884" s="72">
        <f>(BG884-Driver!$K$192)/(Driver!$L$192-Driver!$K$192)</f>
        <v>6.0159574468085106E-2</v>
      </c>
      <c r="AV884" s="70">
        <f t="shared" si="504"/>
        <v>2.4165649165649166</v>
      </c>
      <c r="AW884" s="70">
        <f t="shared" si="505"/>
        <v>16.078674996199879</v>
      </c>
      <c r="AX884" s="70">
        <f t="shared" si="506"/>
        <v>3.2100170745589072</v>
      </c>
      <c r="AY884" s="70">
        <f>IFERROR(Driver!$K$19/Data!BH884/Data!BI884*Data!BK884*Data!BL884,"")</f>
        <v>0.12107787696487446</v>
      </c>
      <c r="AZ884" s="70">
        <f t="shared" si="507"/>
        <v>12.747580044676097</v>
      </c>
      <c r="BA884" s="70"/>
      <c r="BB884" s="70"/>
      <c r="BC884" s="70">
        <f t="shared" si="508"/>
        <v>21.549872366255258</v>
      </c>
      <c r="BD884" s="70">
        <f t="shared" si="509"/>
        <v>5.2090865214278983</v>
      </c>
      <c r="BE884" s="70">
        <f t="shared" si="510"/>
        <v>0.17627998156669961</v>
      </c>
      <c r="BF884" s="70">
        <f t="shared" si="511"/>
        <v>5.2455935647076615</v>
      </c>
      <c r="BG884" s="70">
        <f t="shared" si="512"/>
        <v>0.22780252659574471</v>
      </c>
      <c r="BH884" s="67">
        <f>MAX((CE884-Driver!$F$200)/(Driver!$G$200-Driver!$F$200)*$BI$1,1)</f>
        <v>3.2100170745589072</v>
      </c>
      <c r="BI884" s="67">
        <f>MAX($BI$1*(BY884-Driver!$F$201)/(Driver!$G$201-Driver!$F$201),1)</f>
        <v>6.7721518987341769</v>
      </c>
      <c r="BJ884" s="67">
        <f>(CB884-Driver!$F$206)/(Driver!$G$206-Driver!$F$206)*$BI$1</f>
        <v>3.0158730158730158</v>
      </c>
      <c r="BK884" s="67">
        <f>(CD884-Driver!$F$203)/(Driver!$G$203-Driver!$F$203)*$BI$1</f>
        <v>2.9357798165137621</v>
      </c>
      <c r="BL884" s="67">
        <f>MAX((CR884-Driver!$F$202)/(Driver!$G$202-Driver!$F$202)*$BI$1,1)</f>
        <v>4.4827586206896548</v>
      </c>
      <c r="BM884" s="67">
        <f>MAX((CH884-Driver!$F$204)/(Driver!$G$204-Driver!$F$204)*$BI$1,1)</f>
        <v>3.2051282051282053</v>
      </c>
      <c r="BN884" s="67">
        <f>(CI884-Driver!$F$205)/(Driver!$G$205-Driver!$F$205)*$BI$1</f>
        <v>1.8823529411764706</v>
      </c>
      <c r="BO884" s="67">
        <f>(CK884-Driver!$F$207)/(Driver!$G$207-Driver!$F$207)*$BI$1</f>
        <v>2.0889348500517064</v>
      </c>
      <c r="BP884" s="67">
        <f>(CM884-Driver!$F$208)/(Driver!$G$208-Driver!$F$208)*$BI$1</f>
        <v>2.4444444444444442</v>
      </c>
      <c r="BQ884" s="67">
        <f>(CL884-Driver!$F$209)/(Driver!$G$209-Driver!$F$209)*$BI$1</f>
        <v>2.34375</v>
      </c>
      <c r="BR884" s="28" t="s">
        <v>155</v>
      </c>
      <c r="BS884" s="8" t="s">
        <v>229</v>
      </c>
      <c r="BT884" s="9" t="s">
        <v>775</v>
      </c>
      <c r="BU884" s="10">
        <v>168</v>
      </c>
      <c r="BV884" s="9" t="s">
        <v>163</v>
      </c>
      <c r="BW884" s="10">
        <v>168</v>
      </c>
      <c r="BX884" s="10">
        <v>168.5</v>
      </c>
      <c r="BY884" s="10">
        <v>115</v>
      </c>
      <c r="BZ884" s="10">
        <v>145</v>
      </c>
      <c r="CA884" s="10">
        <v>124</v>
      </c>
      <c r="CB884" s="10">
        <v>83</v>
      </c>
      <c r="CC884" s="10">
        <v>106</v>
      </c>
      <c r="CD884" s="10">
        <v>15.8</v>
      </c>
      <c r="CE884" s="10">
        <v>1464</v>
      </c>
      <c r="CF884" s="10">
        <v>1.1100000000000001</v>
      </c>
      <c r="CG884" s="10">
        <v>1623</v>
      </c>
      <c r="CH884" s="10">
        <v>176</v>
      </c>
      <c r="CI884" s="10">
        <v>65</v>
      </c>
      <c r="CJ884" s="10">
        <v>38</v>
      </c>
      <c r="CK884" s="10">
        <v>312</v>
      </c>
      <c r="CL884" s="10">
        <v>15</v>
      </c>
      <c r="CM884" s="10">
        <v>220</v>
      </c>
      <c r="CN884" s="10">
        <v>0.38700000000000001</v>
      </c>
      <c r="CO884" s="10">
        <v>134</v>
      </c>
      <c r="CP884" s="10">
        <v>103</v>
      </c>
      <c r="CQ884" s="10">
        <v>178</v>
      </c>
      <c r="CR884" s="10">
        <v>2</v>
      </c>
      <c r="CS884" s="10">
        <v>11.8</v>
      </c>
      <c r="CT884" s="9" t="s">
        <v>231</v>
      </c>
      <c r="CU884" s="9" t="s">
        <v>188</v>
      </c>
      <c r="CV884" s="9" t="s">
        <v>185</v>
      </c>
      <c r="CW884" s="10"/>
      <c r="CX884" t="e">
        <f>INDEX('Data_Price '!AG$2:AG$1266,MATCH(Data!$DN884,'Data_Price '!$AT$2:$AT$1266,0))</f>
        <v>#N/A</v>
      </c>
      <c r="CY884" t="e">
        <f>INDEX('Data_Price '!AH$2:AH$1266,MATCH(Data!$DN884,'Data_Price '!$AT$2:$AT$1266,0))</f>
        <v>#N/A</v>
      </c>
      <c r="CZ884" t="e">
        <f>INDEX('Data_Price '!AI$2:AI$1266,MATCH(Data!$DN884,'Data_Price '!$AT$2:$AT$1266,0))</f>
        <v>#N/A</v>
      </c>
      <c r="DA884" t="e">
        <f>INDEX('Data_Price '!AJ$2:AJ$1266,MATCH(Data!$DN884,'Data_Price '!$AT$2:$AT$1266,0))</f>
        <v>#N/A</v>
      </c>
      <c r="DB884" t="e">
        <f>INDEX('Data_Price '!AK$2:AK$1266,MATCH(Data!$DN884,'Data_Price '!$AT$2:$AT$1266,0))</f>
        <v>#N/A</v>
      </c>
      <c r="DC884" t="e">
        <f>INDEX('Data_Price '!AL$2:AL$1266,MATCH(Data!$DN884,'Data_Price '!$AT$2:$AT$1266,0))</f>
        <v>#N/A</v>
      </c>
      <c r="DD884" t="e">
        <f>INDEX('Data_Price '!AM$2:AM$1266,MATCH(Data!$DN884,'Data_Price '!$AT$2:$AT$1266,0))</f>
        <v>#N/A</v>
      </c>
      <c r="DE884" t="e">
        <f>INDEX('Data_Price '!AN$2:AN$1266,MATCH(Data!$DN884,'Data_Price '!$AT$2:$AT$1266,0))</f>
        <v>#N/A</v>
      </c>
      <c r="DF884" t="e">
        <f>INDEX('Data_Price '!AO$2:AO$1266,MATCH(Data!$DN884,'Data_Price '!$AT$2:$AT$1266,0))</f>
        <v>#N/A</v>
      </c>
      <c r="DG884" t="e">
        <f>INDEX('Data_Price '!AP$2:AP$1266,MATCH(Data!$DN884,'Data_Price '!$AT$2:$AT$1266,0))</f>
        <v>#N/A</v>
      </c>
      <c r="DH884" t="e">
        <f>INDEX('Data_Price '!AQ$2:AQ$1266,MATCH(Data!$DN884,'Data_Price '!$AT$2:$AT$1266,0))</f>
        <v>#N/A</v>
      </c>
      <c r="DI884" t="e">
        <f>INDEX('Data_Price '!AR$2:AR$1266,MATCH(Data!$DN884,'Data_Price '!$AT$2:$AT$1266,0))</f>
        <v>#N/A</v>
      </c>
      <c r="DJ884" s="89" t="e">
        <f t="shared" si="513"/>
        <v>#N/A</v>
      </c>
      <c r="DK884" s="89" t="e">
        <f t="shared" si="514"/>
        <v>#N/A</v>
      </c>
      <c r="DL884" s="89" t="e">
        <f t="shared" si="515"/>
        <v>#N/A</v>
      </c>
      <c r="DM884" s="219" t="str">
        <f t="shared" si="516"/>
        <v>Yumi 84</v>
      </c>
      <c r="DN884" s="89" t="str">
        <f t="shared" si="517"/>
        <v xml:space="preserve"> VölklYumi 84168 Women's</v>
      </c>
      <c r="DO884" s="221" t="s">
        <v>776</v>
      </c>
    </row>
    <row r="885" spans="2:119" ht="15.6" customHeight="1">
      <c r="B885" s="219" t="b">
        <f t="array" ref="B885">IF(OR(ISERROR(K885:P885)),FALSE,TRUE)</f>
        <v>1</v>
      </c>
      <c r="C885" s="43" t="b">
        <f>OR(BR885=Driver!$G$50,Data!BR417=Driver!$H$50)</f>
        <v>1</v>
      </c>
      <c r="D885" s="43" t="b">
        <f>OR(BV885=Driver!$G$51,BV885=Driver!$H$51)</f>
        <v>1</v>
      </c>
      <c r="E885" s="43" t="b">
        <f>AND(BX885&gt;Driver!$F$54,BX885&lt;Driver!$G$54)</f>
        <v>1</v>
      </c>
      <c r="F885" s="43" t="b">
        <f>CL885&gt;Driver!$F$56</f>
        <v>1</v>
      </c>
      <c r="G885" s="43" t="b">
        <f>AND(CB885&gt;Driver!$F$55,CB885&lt;Driver!$G$55)</f>
        <v>0</v>
      </c>
      <c r="H885" s="43" t="b">
        <f t="shared" si="481"/>
        <v>0</v>
      </c>
      <c r="I885" s="43">
        <f t="shared" si="482"/>
        <v>0</v>
      </c>
      <c r="J885" s="43" t="b">
        <f t="array" ref="J885">NOT(OR(($H$9:$H$1273=TRUE)*($I$9:$I$1273&gt;0)*($BT$9:$BT$1273=BT885)*($K$9:$K$1273&gt;K885)))</f>
        <v>1</v>
      </c>
      <c r="K885" s="72">
        <f t="shared" si="483"/>
        <v>0.7415151188461544</v>
      </c>
      <c r="L885" s="72">
        <f t="shared" si="484"/>
        <v>0.82248673848943721</v>
      </c>
      <c r="M885" s="72">
        <f t="shared" si="485"/>
        <v>0.66054349920287159</v>
      </c>
      <c r="N885" s="72">
        <f t="shared" si="486"/>
        <v>0.5721867202678137</v>
      </c>
      <c r="O885" s="72">
        <f t="shared" si="487"/>
        <v>0.58398253799274091</v>
      </c>
      <c r="P885" s="72">
        <f t="shared" si="488"/>
        <v>0.82546123934805993</v>
      </c>
      <c r="Q885" s="72"/>
      <c r="R885" s="72"/>
      <c r="S885" s="72">
        <f t="shared" si="489"/>
        <v>0.46279961108650225</v>
      </c>
      <c r="T885" s="72">
        <f t="shared" si="490"/>
        <v>0.55000000000000004</v>
      </c>
      <c r="U885" s="72">
        <f t="shared" si="491"/>
        <v>0.51</v>
      </c>
      <c r="V885" s="72">
        <f t="shared" si="492"/>
        <v>0.49265148703584727</v>
      </c>
      <c r="W885" s="72">
        <f t="shared" si="493"/>
        <v>0.75985134428894952</v>
      </c>
      <c r="X885" s="72">
        <f t="shared" si="494"/>
        <v>0.17751326151056282</v>
      </c>
      <c r="Y885" s="72">
        <f t="shared" si="495"/>
        <v>0.33945650079712847</v>
      </c>
      <c r="Z885" s="72">
        <f t="shared" si="496"/>
        <v>0.4278132797321863</v>
      </c>
      <c r="AA885" s="72">
        <f t="shared" si="497"/>
        <v>0.41601746200725909</v>
      </c>
      <c r="AB885" s="72">
        <f t="shared" si="498"/>
        <v>0.17453876065194007</v>
      </c>
      <c r="AC885" s="72"/>
      <c r="AD885" s="72"/>
      <c r="AE885" s="72">
        <f t="shared" si="499"/>
        <v>0.53720038891349775</v>
      </c>
      <c r="AF885" s="72">
        <f t="shared" si="500"/>
        <v>0.44999999999999996</v>
      </c>
      <c r="AG885" s="72">
        <f t="shared" si="501"/>
        <v>0.49</v>
      </c>
      <c r="AH885" s="72">
        <f t="shared" si="502"/>
        <v>0.50734851296415273</v>
      </c>
      <c r="AI885" s="72">
        <f t="shared" si="503"/>
        <v>0.24014865571105046</v>
      </c>
      <c r="AJ885" s="72">
        <f>(AV885-Driver!$K$179)/(Driver!$L$179-Driver!$K$179)</f>
        <v>7.6706147772137606E-2</v>
      </c>
      <c r="AK885" s="72">
        <f>(AW885-Driver!$K$180)/(Driver!$L$180-Driver!$K$180)</f>
        <v>0.44130121768289565</v>
      </c>
      <c r="AL885" s="72">
        <f>(AX885-Driver!$K$181)/(Driver!$L$181-Driver!$K$181)</f>
        <v>0.52950104344526649</v>
      </c>
      <c r="AM885" s="72">
        <f>(AY885-Driver!$K$182)/(Driver!$L$182-Driver!$K$182)</f>
        <v>3.1367559089787299E-2</v>
      </c>
      <c r="AN885" s="72">
        <f>(AZ885-Driver!$K$183)/(Driver!$L$183-Driver!$K$183)</f>
        <v>0.4287581699346405</v>
      </c>
      <c r="AO885" s="72"/>
      <c r="AP885" s="72"/>
      <c r="AQ885" s="72">
        <f>(BC885-Driver!$K$188)/(Driver!$L$188-Driver!$K$188)</f>
        <v>8.2799611086502259E-2</v>
      </c>
      <c r="AR885" s="72">
        <f>MIN((BD885-Driver!$K$189)/(Driver!$L$189-Driver!$K$189),100%)</f>
        <v>1</v>
      </c>
      <c r="AS885" s="72">
        <f>(BE885-Driver!$K$190)/(Driver!$L$190-Driver!$K$190)</f>
        <v>1</v>
      </c>
      <c r="AT885" s="72">
        <f>(BF885-Driver!$K$191)/(Driver!$L$191-Driver!$K$191)</f>
        <v>2.651487035847255E-3</v>
      </c>
      <c r="AU885" s="72">
        <f>(BG885-Driver!$K$192)/(Driver!$L$192-Driver!$K$192)</f>
        <v>9.8513442889495376E-3</v>
      </c>
      <c r="AV885" s="70">
        <f t="shared" si="504"/>
        <v>1.6144349477682809</v>
      </c>
      <c r="AW885" s="70">
        <f t="shared" si="505"/>
        <v>44.880606611236345</v>
      </c>
      <c r="AX885" s="70">
        <f t="shared" si="506"/>
        <v>5.7655093910073987</v>
      </c>
      <c r="AY885" s="70">
        <f>IFERROR(Driver!$K$19/Data!BH885/Data!BI885*Data!BK885*Data!BL885,"")</f>
        <v>3.8403251502220577E-2</v>
      </c>
      <c r="AZ885" s="70">
        <f t="shared" si="507"/>
        <v>39.07669396872673</v>
      </c>
      <c r="BA885" s="70"/>
      <c r="BB885" s="70"/>
      <c r="BC885" s="70">
        <f t="shared" si="508"/>
        <v>42.948733884126483</v>
      </c>
      <c r="BD885" s="70">
        <f t="shared" si="509"/>
        <v>134.99987817665382</v>
      </c>
      <c r="BE885" s="70">
        <f t="shared" si="510"/>
        <v>1</v>
      </c>
      <c r="BF885" s="70">
        <f t="shared" si="511"/>
        <v>0.29946683294826343</v>
      </c>
      <c r="BG885" s="70">
        <f t="shared" si="512"/>
        <v>3.7303473956216249E-2</v>
      </c>
      <c r="BH885" s="67">
        <f>MAX((CE885-Driver!$F$200)/(Driver!$G$200-Driver!$F$200)*$BI$1,1)</f>
        <v>5.7655093910073987</v>
      </c>
      <c r="BI885" s="67">
        <f>MAX($BI$1*(BY885-Driver!$F$201)/(Driver!$G$201-Driver!$F$201),1)</f>
        <v>8.1012658227848107</v>
      </c>
      <c r="BJ885" s="67">
        <f>(CB885-Driver!$F$206)/(Driver!$G$206-Driver!$F$206)*$BI$1</f>
        <v>1.2698412698412698</v>
      </c>
      <c r="BK885" s="67">
        <f>(CD885-Driver!$F$203)/(Driver!$G$203-Driver!$F$203)*$BI$1</f>
        <v>1.238532110091743</v>
      </c>
      <c r="BL885" s="67">
        <f>MAX((CR885-Driver!$F$202)/(Driver!$G$202-Driver!$F$202)*$BI$1,1)</f>
        <v>7.2413793103448274</v>
      </c>
      <c r="BM885" s="67">
        <f>MAX((CH885-Driver!$F$204)/(Driver!$G$204-Driver!$F$204)*$BI$1,1)</f>
        <v>5.0854700854700852</v>
      </c>
      <c r="BN885" s="67">
        <f>(CI885-Driver!$F$205)/(Driver!$G$205-Driver!$F$205)*$BI$1</f>
        <v>4.8235294117647056</v>
      </c>
      <c r="BO885" s="67">
        <f>(CK885-Driver!$F$207)/(Driver!$G$207-Driver!$F$207)*$BI$1</f>
        <v>0.42399172699069287</v>
      </c>
      <c r="BP885" s="67">
        <f>(CM885-Driver!$F$208)/(Driver!$G$208-Driver!$F$208)*$BI$1</f>
        <v>0.68888888888888888</v>
      </c>
      <c r="BQ885" s="67">
        <f>(CL885-Driver!$F$209)/(Driver!$G$209-Driver!$F$209)*$BI$1</f>
        <v>1.09375</v>
      </c>
      <c r="BR885" s="28" t="s">
        <v>155</v>
      </c>
      <c r="BS885" s="8" t="s">
        <v>202</v>
      </c>
      <c r="BT885" s="9" t="s">
        <v>798</v>
      </c>
      <c r="BU885" s="10">
        <v>158</v>
      </c>
      <c r="BV885" s="9" t="s">
        <v>158</v>
      </c>
      <c r="BW885" s="10">
        <v>158</v>
      </c>
      <c r="BX885" s="10">
        <v>157.5</v>
      </c>
      <c r="BY885" s="10">
        <v>136</v>
      </c>
      <c r="BZ885" s="10">
        <v>143</v>
      </c>
      <c r="CA885" s="10">
        <v>121</v>
      </c>
      <c r="CB885" s="10">
        <v>72</v>
      </c>
      <c r="CC885" s="10">
        <v>106</v>
      </c>
      <c r="CD885" s="10">
        <v>12.1</v>
      </c>
      <c r="CE885" s="10">
        <v>1913</v>
      </c>
      <c r="CF885" s="10">
        <v>0.72</v>
      </c>
      <c r="CG885" s="10">
        <v>1372</v>
      </c>
      <c r="CH885" s="10">
        <v>220</v>
      </c>
      <c r="CI885" s="10">
        <v>115</v>
      </c>
      <c r="CJ885" s="10">
        <v>40</v>
      </c>
      <c r="CK885" s="10">
        <v>151</v>
      </c>
      <c r="CL885" s="10">
        <v>7</v>
      </c>
      <c r="CM885" s="10">
        <v>62</v>
      </c>
      <c r="CN885" s="10">
        <v>0.189</v>
      </c>
      <c r="CO885" s="10">
        <v>84</v>
      </c>
      <c r="CP885" s="10">
        <v>64</v>
      </c>
      <c r="CQ885" s="10">
        <v>67</v>
      </c>
      <c r="CR885" s="10">
        <v>10</v>
      </c>
      <c r="CS885" s="10">
        <v>11.1</v>
      </c>
      <c r="CT885" s="9" t="s">
        <v>349</v>
      </c>
      <c r="CU885" s="10"/>
      <c r="CV885" s="10"/>
      <c r="CW885" s="10"/>
      <c r="CX885" t="str">
        <f>INDEX('Data_Price '!AG$2:AG$1266,MATCH(Data!$DN885,'Data_Price '!$AT$2:$AT$1266,0))</f>
        <v>2022 Dynastar Speed 4x4 763 Skis with SPX 12 GW Bindings - 158| Ski Essentials</v>
      </c>
      <c r="CY885" t="str">
        <f>INDEX('Data_Price '!AH$2:AH$1266,MATCH(Data!$DN885,'Data_Price '!$AT$2:$AT$1266,0))</f>
        <v>eBay - david110549</v>
      </c>
      <c r="CZ885">
        <f>INDEX('Data_Price '!AI$2:AI$1266,MATCH(Data!$DN885,'Data_Price '!$AT$2:$AT$1266,0))</f>
        <v>899.95</v>
      </c>
      <c r="DA885" t="str">
        <f>INDEX('Data_Price '!AJ$2:AJ$1266,MATCH(Data!$DN885,'Data_Price '!$AT$2:$AT$1266,0))</f>
        <v>https://tinyurl.com/y97p3bym</v>
      </c>
      <c r="DB885" t="str">
        <f>INDEX('Data_Price '!AK$2:AK$1266,MATCH(Data!$DN885,'Data_Price '!$AT$2:$AT$1266,0))</f>
        <v>2022 Dynastar Speed 4x4 763 Skis with SPX 12 GW Bindings - 158| Ski Essentials</v>
      </c>
      <c r="DC885" t="str">
        <f>INDEX('Data_Price '!AL$2:AL$1266,MATCH(Data!$DN885,'Data_Price '!$AT$2:$AT$1266,0))</f>
        <v>SkiEssentials.com</v>
      </c>
      <c r="DD885">
        <f>INDEX('Data_Price '!AM$2:AM$1266,MATCH(Data!$DN885,'Data_Price '!$AT$2:$AT$1266,0))</f>
        <v>899.95</v>
      </c>
      <c r="DE885" t="str">
        <f>INDEX('Data_Price '!AN$2:AN$1266,MATCH(Data!$DN885,'Data_Price '!$AT$2:$AT$1266,0))</f>
        <v>https://tinyurl.com/y77ofafx</v>
      </c>
      <c r="DF885" t="str">
        <f>INDEX('Data_Price '!AO$2:AO$1266,MATCH(Data!$DN885,'Data_Price '!$AT$2:$AT$1266,0))</f>
        <v>Dynastar Men's Speed 4x4 263 Skis with Xpress 10 Bindings '22</v>
      </c>
      <c r="DG885" t="str">
        <f>INDEX('Data_Price '!AP$2:AP$1266,MATCH(Data!$DN885,'Data_Price '!$AT$2:$AT$1266,0))</f>
        <v>sunandski.com</v>
      </c>
      <c r="DH885">
        <f>INDEX('Data_Price '!AQ$2:AQ$1266,MATCH(Data!$DN885,'Data_Price '!$AT$2:$AT$1266,0))</f>
        <v>319.93</v>
      </c>
      <c r="DI885" t="str">
        <f>INDEX('Data_Price '!AR$2:AR$1266,MATCH(Data!$DN885,'Data_Price '!$AT$2:$AT$1266,0))</f>
        <v>https://tinyurl.com/yam4bbc8</v>
      </c>
      <c r="DJ885" s="89" t="str">
        <f t="shared" si="513"/>
        <v>https://tinyurl.com/y97p3bym</v>
      </c>
      <c r="DK885" s="89" t="str">
        <f t="shared" si="514"/>
        <v>https://tinyurl.com/y77ofafx</v>
      </c>
      <c r="DL885" s="89" t="str">
        <f t="shared" si="515"/>
        <v>https://tinyurl.com/yam4bbc8</v>
      </c>
      <c r="DM885" s="219" t="str">
        <f t="shared" si="516"/>
        <v>Speed 763</v>
      </c>
      <c r="DN885" s="89" t="str">
        <f t="shared" si="517"/>
        <v xml:space="preserve"> DynastarSpeed 763158 Unisex</v>
      </c>
      <c r="DO885" s="221"/>
    </row>
    <row r="886" spans="2:119" ht="15.6" customHeight="1">
      <c r="B886" s="219" t="b">
        <f t="array" ref="B886">IF(OR(ISERROR(K886:P886)),FALSE,TRUE)</f>
        <v>1</v>
      </c>
      <c r="C886" s="43" t="b">
        <f>OR(BR886=Driver!$G$50,Data!BR576=Driver!$H$50)</f>
        <v>1</v>
      </c>
      <c r="D886" s="43" t="b">
        <f>OR(BV886=Driver!$G$51,BV886=Driver!$H$51)</f>
        <v>1</v>
      </c>
      <c r="E886" s="43" t="b">
        <f>AND(BX886&gt;Driver!$F$54,BX886&lt;Driver!$G$54)</f>
        <v>0</v>
      </c>
      <c r="F886" s="43" t="b">
        <f>CL886&gt;Driver!$F$56</f>
        <v>1</v>
      </c>
      <c r="G886" s="43" t="b">
        <f>AND(CB886&gt;Driver!$F$55,CB886&lt;Driver!$G$55)</f>
        <v>0</v>
      </c>
      <c r="H886" s="43" t="b">
        <f t="shared" si="481"/>
        <v>0</v>
      </c>
      <c r="I886" s="43">
        <f t="shared" si="482"/>
        <v>0</v>
      </c>
      <c r="J886" s="43" t="b">
        <f t="array" ref="J886">NOT(OR(($H$9:$H$1273=TRUE)*($I$9:$I$1273&gt;0)*($BT$9:$BT$1273=BT886)*($K$9:$K$1273&gt;K886)))</f>
        <v>1</v>
      </c>
      <c r="K886" s="72">
        <f t="shared" si="483"/>
        <v>0.77200310595525545</v>
      </c>
      <c r="L886" s="72">
        <f t="shared" si="484"/>
        <v>0.89526364423556481</v>
      </c>
      <c r="M886" s="72">
        <f t="shared" si="485"/>
        <v>0.64874256767494609</v>
      </c>
      <c r="N886" s="72">
        <f t="shared" si="486"/>
        <v>0.6113949666473748</v>
      </c>
      <c r="O886" s="72">
        <f t="shared" si="487"/>
        <v>0.62326038591829214</v>
      </c>
      <c r="P886" s="72">
        <f t="shared" si="488"/>
        <v>0.71157235045917111</v>
      </c>
      <c r="Q886" s="72"/>
      <c r="R886" s="72"/>
      <c r="S886" s="72">
        <f t="shared" si="489"/>
        <v>0.53211259854711779</v>
      </c>
      <c r="T886" s="72">
        <f t="shared" si="490"/>
        <v>0.59865424722169469</v>
      </c>
      <c r="U886" s="72">
        <f t="shared" si="491"/>
        <v>0.58178918491081388</v>
      </c>
      <c r="V886" s="72">
        <f t="shared" si="492"/>
        <v>0.55053356246238772</v>
      </c>
      <c r="W886" s="72">
        <f t="shared" si="493"/>
        <v>0.77054201319185545</v>
      </c>
      <c r="X886" s="72">
        <f t="shared" si="494"/>
        <v>0.10473635576443519</v>
      </c>
      <c r="Y886" s="72">
        <f t="shared" si="495"/>
        <v>0.35125743232505396</v>
      </c>
      <c r="Z886" s="72">
        <f t="shared" si="496"/>
        <v>0.38860503335262525</v>
      </c>
      <c r="AA886" s="72">
        <f t="shared" si="497"/>
        <v>0.37673961408170781</v>
      </c>
      <c r="AB886" s="72">
        <f t="shared" si="498"/>
        <v>0.28842764954082895</v>
      </c>
      <c r="AC886" s="72"/>
      <c r="AD886" s="72"/>
      <c r="AE886" s="72">
        <f t="shared" si="499"/>
        <v>0.46788740145288227</v>
      </c>
      <c r="AF886" s="72">
        <f t="shared" si="500"/>
        <v>0.40134575277830531</v>
      </c>
      <c r="AG886" s="72">
        <f t="shared" si="501"/>
        <v>0.41821081508918612</v>
      </c>
      <c r="AH886" s="72">
        <f t="shared" si="502"/>
        <v>0.44946643753761223</v>
      </c>
      <c r="AI886" s="72">
        <f t="shared" si="503"/>
        <v>0.22945798680814455</v>
      </c>
      <c r="AJ886" s="72">
        <f>(AV886-Driver!$K$179)/(Driver!$L$179-Driver!$K$179)</f>
        <v>0.35895576504713561</v>
      </c>
      <c r="AK886" s="72">
        <f>(AW886-Driver!$K$180)/(Driver!$L$180-Driver!$K$180)</f>
        <v>0.54467776374635668</v>
      </c>
      <c r="AL886" s="72">
        <f>(AX886-Driver!$K$181)/(Driver!$L$181-Driver!$K$181)</f>
        <v>0.49029279706570544</v>
      </c>
      <c r="AM886" s="72">
        <f>(AY886-Driver!$K$182)/(Driver!$L$182-Driver!$K$182)</f>
        <v>7.0645407015338543E-2</v>
      </c>
      <c r="AN886" s="72">
        <f>(AZ886-Driver!$K$183)/(Driver!$L$183-Driver!$K$183)</f>
        <v>0.54264705882352937</v>
      </c>
      <c r="AO886" s="72"/>
      <c r="AP886" s="72"/>
      <c r="AQ886" s="72">
        <f>(BC886-Driver!$K$188)/(Driver!$L$188-Driver!$K$188)</f>
        <v>0.15211259854711773</v>
      </c>
      <c r="AR886" s="72">
        <f>MIN((BD886-Driver!$K$189)/(Driver!$L$189-Driver!$K$189),100%)</f>
        <v>0.14865424722169471</v>
      </c>
      <c r="AS886" s="72">
        <f>(BE886-Driver!$K$190)/(Driver!$L$190-Driver!$K$190)</f>
        <v>9.1789184910813906E-2</v>
      </c>
      <c r="AT886" s="72">
        <f>(BF886-Driver!$K$191)/(Driver!$L$191-Driver!$K$191)</f>
        <v>6.0533562462387766E-2</v>
      </c>
      <c r="AU886" s="72">
        <f>(BG886-Driver!$K$192)/(Driver!$L$192-Driver!$K$192)</f>
        <v>2.0542013191855456E-2</v>
      </c>
      <c r="AV886" s="70">
        <f t="shared" si="504"/>
        <v>7.5549450549450556</v>
      </c>
      <c r="AW886" s="70">
        <f t="shared" si="505"/>
        <v>54.95556703450292</v>
      </c>
      <c r="AX886" s="70">
        <f t="shared" si="506"/>
        <v>5.4126351735913492</v>
      </c>
      <c r="AY886" s="70">
        <f>IFERROR(Driver!$K$19/Data!BH886/Data!BI886*Data!BK886*Data!BL886,"")</f>
        <v>8.649105674180721E-2</v>
      </c>
      <c r="AZ886" s="70">
        <f t="shared" si="507"/>
        <v>49.456440804169766</v>
      </c>
      <c r="BA886" s="70"/>
      <c r="BB886" s="70"/>
      <c r="BC886" s="70">
        <f t="shared" si="508"/>
        <v>78.901862336019121</v>
      </c>
      <c r="BD886" s="70">
        <f t="shared" si="509"/>
        <v>14.876460363477813</v>
      </c>
      <c r="BE886" s="70">
        <f t="shared" si="510"/>
        <v>9.1951199497877667E-2</v>
      </c>
      <c r="BF886" s="70">
        <f t="shared" si="511"/>
        <v>6.8368406077816628</v>
      </c>
      <c r="BG886" s="70">
        <f t="shared" si="512"/>
        <v>7.7785166332090608E-2</v>
      </c>
      <c r="BH886" s="67">
        <f>MAX((CE886-Driver!$F$200)/(Driver!$G$200-Driver!$F$200)*$BI$1,1)</f>
        <v>5.4126351735913492</v>
      </c>
      <c r="BI886" s="67">
        <f>MAX($BI$1*(BY886-Driver!$F$201)/(Driver!$G$201-Driver!$F$201),1)</f>
        <v>7.7848101265822782</v>
      </c>
      <c r="BJ886" s="67">
        <f>(CB886-Driver!$F$206)/(Driver!$G$206-Driver!$F$206)*$BI$1</f>
        <v>4.2857142857142856</v>
      </c>
      <c r="BK886" s="67">
        <f>(CD886-Driver!$F$203)/(Driver!$G$203-Driver!$F$203)*$BI$1</f>
        <v>3.3027522935779823</v>
      </c>
      <c r="BL886" s="67">
        <f>MAX((CR886-Driver!$F$202)/(Driver!$G$202-Driver!$F$202)*$BI$1,1)</f>
        <v>5.5172413793103452</v>
      </c>
      <c r="BM886" s="67">
        <f>MAX((CH886-Driver!$F$204)/(Driver!$G$204-Driver!$F$204)*$BI$1,1)</f>
        <v>7.051282051282052</v>
      </c>
      <c r="BN886" s="67">
        <f>(CI886-Driver!$F$205)/(Driver!$G$205-Driver!$F$205)*$BI$1</f>
        <v>6.3529411764705879</v>
      </c>
      <c r="BO886" s="67">
        <f>(CK886-Driver!$F$207)/(Driver!$G$207-Driver!$F$207)*$BI$1</f>
        <v>2.0889348500517064</v>
      </c>
      <c r="BP886" s="67">
        <f>(CM886-Driver!$F$208)/(Driver!$G$208-Driver!$F$208)*$BI$1</f>
        <v>2.5222222222222221</v>
      </c>
      <c r="BQ886" s="67">
        <f>(CL886-Driver!$F$209)/(Driver!$G$209-Driver!$F$209)*$BI$1</f>
        <v>2.96875</v>
      </c>
      <c r="BR886" s="28" t="s">
        <v>155</v>
      </c>
      <c r="BS886" s="8" t="s">
        <v>245</v>
      </c>
      <c r="BT886" s="9" t="s">
        <v>418</v>
      </c>
      <c r="BU886" s="10">
        <v>185</v>
      </c>
      <c r="BV886" s="9" t="s">
        <v>158</v>
      </c>
      <c r="BW886" s="10">
        <v>185</v>
      </c>
      <c r="BX886" s="10">
        <v>184.5</v>
      </c>
      <c r="BY886" s="10">
        <v>131</v>
      </c>
      <c r="BZ886" s="10">
        <v>155</v>
      </c>
      <c r="CA886" s="10">
        <v>126</v>
      </c>
      <c r="CB886" s="10">
        <v>91</v>
      </c>
      <c r="CC886" s="10">
        <v>117</v>
      </c>
      <c r="CD886" s="10">
        <v>16.600000000000001</v>
      </c>
      <c r="CE886" s="10">
        <v>1851</v>
      </c>
      <c r="CF886" s="10">
        <v>1.04</v>
      </c>
      <c r="CG886" s="10">
        <v>1932</v>
      </c>
      <c r="CH886" s="10">
        <v>266</v>
      </c>
      <c r="CI886" s="10">
        <v>141</v>
      </c>
      <c r="CJ886" s="10">
        <v>49</v>
      </c>
      <c r="CK886" s="10">
        <v>312</v>
      </c>
      <c r="CL886" s="10">
        <v>19</v>
      </c>
      <c r="CM886" s="10">
        <v>227</v>
      </c>
      <c r="CN886" s="10">
        <v>0.39300000000000002</v>
      </c>
      <c r="CO886" s="10">
        <v>140</v>
      </c>
      <c r="CP886" s="10">
        <v>150</v>
      </c>
      <c r="CQ886" s="10">
        <v>172</v>
      </c>
      <c r="CR886" s="10">
        <v>5</v>
      </c>
      <c r="CS886" s="10">
        <v>10.5</v>
      </c>
      <c r="CT886" s="9" t="s">
        <v>188</v>
      </c>
      <c r="CU886" s="10"/>
      <c r="CV886" s="10"/>
      <c r="CW886" s="10"/>
      <c r="CX886" t="str">
        <f>INDEX('Data_Price '!AG$2:AG$1266,MATCH(Data!$DN886,'Data_Price '!$AT$2:$AT$1266,0))</f>
        <v>Fischer Ranger 92 Ti Ski 2022</v>
      </c>
      <c r="CY886" t="str">
        <f>INDEX('Data_Price '!AH$2:AH$1266,MATCH(Data!$DN886,'Data_Price '!$AT$2:$AT$1266,0))</f>
        <v>Telemark Pyrenees</v>
      </c>
      <c r="CZ886">
        <f>INDEX('Data_Price '!AI$2:AI$1266,MATCH(Data!$DN886,'Data_Price '!$AT$2:$AT$1266,0))</f>
        <v>348.3</v>
      </c>
      <c r="DA886" t="str">
        <f>INDEX('Data_Price '!AJ$2:AJ$1266,MATCH(Data!$DN886,'Data_Price '!$AT$2:$AT$1266,0))</f>
        <v>https://tinyurl.com/y959ov3t</v>
      </c>
      <c r="DB886" t="str">
        <f>INDEX('Data_Price '!AK$2:AK$1266,MATCH(Data!$DN886,'Data_Price '!$AT$2:$AT$1266,0))</f>
        <v>Fischer Ranger 92 TI Flat Ski 2021-2022 | BLACK/BLUE / 185</v>
      </c>
      <c r="DC886" t="str">
        <f>INDEX('Data_Price '!AL$2:AL$1266,MATCH(Data!$DN886,'Data_Price '!$AT$2:$AT$1266,0))</f>
        <v>Ski Pro  - Snow Ski &amp; Snowboard</v>
      </c>
      <c r="DD886">
        <f>INDEX('Data_Price '!AM$2:AM$1266,MATCH(Data!$DN886,'Data_Price '!$AT$2:$AT$1266,0))</f>
        <v>499.95</v>
      </c>
      <c r="DE886" t="str">
        <f>INDEX('Data_Price '!AN$2:AN$1266,MATCH(Data!$DN886,'Data_Price '!$AT$2:$AT$1266,0))</f>
        <v>https://tinyurl.com/ycstq8lz</v>
      </c>
      <c r="DF886" t="str">
        <f>INDEX('Data_Price '!AO$2:AO$1266,MATCH(Data!$DN886,'Data_Price '!$AT$2:$AT$1266,0))</f>
        <v>Fischer Ranger 92 Ti Ski 185</v>
      </c>
      <c r="DG886" t="str">
        <f>INDEX('Data_Price '!AP$2:AP$1266,MATCH(Data!$DN886,'Data_Price '!$AT$2:$AT$1266,0))</f>
        <v>Ski The Whites</v>
      </c>
      <c r="DH886">
        <f>INDEX('Data_Price '!AQ$2:AQ$1266,MATCH(Data!$DN886,'Data_Price '!$AT$2:$AT$1266,0))</f>
        <v>649.95000000000005</v>
      </c>
      <c r="DI886" t="str">
        <f>INDEX('Data_Price '!AR$2:AR$1266,MATCH(Data!$DN886,'Data_Price '!$AT$2:$AT$1266,0))</f>
        <v>https://tinyurl.com/yagxonqb</v>
      </c>
      <c r="DJ886" s="89" t="str">
        <f t="shared" si="513"/>
        <v>https://tinyurl.com/y959ov3t</v>
      </c>
      <c r="DK886" s="89" t="str">
        <f t="shared" si="514"/>
        <v>https://tinyurl.com/ycstq8lz</v>
      </c>
      <c r="DL886" s="89" t="str">
        <f t="shared" si="515"/>
        <v>https://tinyurl.com/yagxonqb</v>
      </c>
      <c r="DM886" s="219" t="str">
        <f t="shared" si="516"/>
        <v>Ranger 92 Ti</v>
      </c>
      <c r="DN886" s="89" t="str">
        <f t="shared" si="517"/>
        <v xml:space="preserve"> FischerRanger 92 Ti185 Unisex</v>
      </c>
      <c r="DO886" s="221"/>
    </row>
    <row r="887" spans="2:119" ht="15.6" customHeight="1">
      <c r="B887" s="219" t="b">
        <f t="array" ref="B887">IF(OR(ISERROR(K887:P887)),FALSE,TRUE)</f>
        <v>1</v>
      </c>
      <c r="C887" s="43" t="b">
        <f>OR(BR887=Driver!$G$50,Data!BR173=Driver!$H$50)</f>
        <v>1</v>
      </c>
      <c r="D887" s="43" t="b">
        <f>OR(BV887=Driver!$G$51,BV887=Driver!$H$51)</f>
        <v>1</v>
      </c>
      <c r="E887" s="43" t="b">
        <f>AND(BX887&gt;Driver!$F$54,BX887&lt;Driver!$G$54)</f>
        <v>0</v>
      </c>
      <c r="F887" s="43" t="b">
        <f>CL887&gt;Driver!$F$56</f>
        <v>1</v>
      </c>
      <c r="G887" s="43" t="b">
        <f>AND(CB887&gt;Driver!$F$55,CB887&lt;Driver!$G$55)</f>
        <v>0</v>
      </c>
      <c r="H887" s="43" t="b">
        <f t="shared" si="481"/>
        <v>0</v>
      </c>
      <c r="I887" s="43">
        <f t="shared" si="482"/>
        <v>0</v>
      </c>
      <c r="J887" s="43" t="b">
        <f t="array" ref="J887">NOT(OR(($H$9:$H$1273=TRUE)*($I$9:$I$1273&gt;0)*($BT$9:$BT$1273=BT887)*($K$9:$K$1273&gt;K887)))</f>
        <v>1</v>
      </c>
      <c r="K887" s="72">
        <f t="shared" si="483"/>
        <v>0.78096981252872955</v>
      </c>
      <c r="L887" s="72">
        <f t="shared" si="484"/>
        <v>0.76672974872229516</v>
      </c>
      <c r="M887" s="72">
        <f t="shared" si="485"/>
        <v>0.79520987633516393</v>
      </c>
      <c r="N887" s="72">
        <f t="shared" si="486"/>
        <v>0.84980640027793197</v>
      </c>
      <c r="O887" s="72">
        <f t="shared" si="487"/>
        <v>0.61798381448084849</v>
      </c>
      <c r="P887" s="72">
        <f t="shared" si="488"/>
        <v>0.91783941424671134</v>
      </c>
      <c r="Q887" s="72"/>
      <c r="R887" s="72"/>
      <c r="S887" s="72">
        <f t="shared" si="489"/>
        <v>0.43603915335593058</v>
      </c>
      <c r="T887" s="72">
        <f t="shared" si="490"/>
        <v>0.79747284968141152</v>
      </c>
      <c r="U887" s="72">
        <f t="shared" si="491"/>
        <v>0.51</v>
      </c>
      <c r="V887" s="72">
        <f t="shared" si="492"/>
        <v>0.49116269844817895</v>
      </c>
      <c r="W887" s="72">
        <f t="shared" si="493"/>
        <v>0.77841898954703836</v>
      </c>
      <c r="X887" s="72">
        <f t="shared" si="494"/>
        <v>0.23327025127770487</v>
      </c>
      <c r="Y887" s="72">
        <f t="shared" si="495"/>
        <v>0.20479012366483609</v>
      </c>
      <c r="Z887" s="72">
        <f t="shared" si="496"/>
        <v>0.15019359972206808</v>
      </c>
      <c r="AA887" s="72">
        <f t="shared" si="497"/>
        <v>0.38201618551915156</v>
      </c>
      <c r="AB887" s="72">
        <f t="shared" si="498"/>
        <v>8.2160585753288662E-2</v>
      </c>
      <c r="AC887" s="72"/>
      <c r="AD887" s="72"/>
      <c r="AE887" s="72">
        <f t="shared" si="499"/>
        <v>0.56396084664406942</v>
      </c>
      <c r="AF887" s="72">
        <f t="shared" si="500"/>
        <v>0.20252715031858848</v>
      </c>
      <c r="AG887" s="72">
        <f t="shared" si="501"/>
        <v>0.49</v>
      </c>
      <c r="AH887" s="72">
        <f t="shared" si="502"/>
        <v>0.50883730155182105</v>
      </c>
      <c r="AI887" s="72">
        <f t="shared" si="503"/>
        <v>0.22158101045296169</v>
      </c>
      <c r="AJ887" s="72">
        <f>(AV887-Driver!$K$179)/(Driver!$L$179-Driver!$K$179)</f>
        <v>2.0949158004995565E-2</v>
      </c>
      <c r="AK887" s="72">
        <f>(AW887-Driver!$K$180)/(Driver!$L$180-Driver!$K$180)</f>
        <v>0.17603716017800544</v>
      </c>
      <c r="AL887" s="72">
        <f>(AX887-Driver!$K$181)/(Driver!$L$181-Driver!$K$181)</f>
        <v>0.25188136343514828</v>
      </c>
      <c r="AM887" s="72">
        <f>(AY887-Driver!$K$182)/(Driver!$L$182-Driver!$K$182)</f>
        <v>6.5368835577894802E-2</v>
      </c>
      <c r="AN887" s="72">
        <f>(AZ887-Driver!$K$183)/(Driver!$L$183-Driver!$K$183)</f>
        <v>0.17205882352941176</v>
      </c>
      <c r="AO887" s="72"/>
      <c r="AP887" s="72"/>
      <c r="AQ887" s="72">
        <f>(BC887-Driver!$K$188)/(Driver!$L$188-Driver!$K$188)</f>
        <v>5.6039153355930585E-2</v>
      </c>
      <c r="AR887" s="72">
        <f>MIN((BD887-Driver!$K$189)/(Driver!$L$189-Driver!$K$189),100%)</f>
        <v>0.34747284968141157</v>
      </c>
      <c r="AS887" s="72">
        <f>(BE887-Driver!$K$190)/(Driver!$L$190-Driver!$K$190)</f>
        <v>1</v>
      </c>
      <c r="AT887" s="72">
        <f>(BF887-Driver!$K$191)/(Driver!$L$191-Driver!$K$191)</f>
        <v>1.1626984481789874E-3</v>
      </c>
      <c r="AU887" s="72">
        <f>(BG887-Driver!$K$192)/(Driver!$L$192-Driver!$K$192)</f>
        <v>2.8418989547038323E-2</v>
      </c>
      <c r="AV887" s="70">
        <f t="shared" si="504"/>
        <v>0.44091710758377423</v>
      </c>
      <c r="AW887" s="70">
        <f t="shared" si="505"/>
        <v>19.028273728724844</v>
      </c>
      <c r="AX887" s="70">
        <f t="shared" si="506"/>
        <v>3.2669322709163344</v>
      </c>
      <c r="AY887" s="70">
        <f>IFERROR(Driver!$K$19/Data!BH887/Data!BI887*Data!BK887*Data!BL887,"")</f>
        <v>8.0030958925411913E-2</v>
      </c>
      <c r="AZ887" s="70">
        <f t="shared" si="507"/>
        <v>15.681310498883098</v>
      </c>
      <c r="BA887" s="70"/>
      <c r="BB887" s="70"/>
      <c r="BC887" s="70">
        <f t="shared" si="508"/>
        <v>29.067898423594976</v>
      </c>
      <c r="BD887" s="70">
        <f t="shared" si="509"/>
        <v>32.47155439544504</v>
      </c>
      <c r="BE887" s="70">
        <f t="shared" si="510"/>
        <v>1</v>
      </c>
      <c r="BF887" s="70">
        <f t="shared" si="511"/>
        <v>0.13131862130291788</v>
      </c>
      <c r="BG887" s="70">
        <f t="shared" si="512"/>
        <v>0.1076124237804878</v>
      </c>
      <c r="BH887" s="67">
        <f>MAX((CE887-Driver!$F$200)/(Driver!$G$200-Driver!$F$200)*$BI$1,1)</f>
        <v>3.2669322709163344</v>
      </c>
      <c r="BI887" s="67">
        <f>MAX($BI$1*(BY887-Driver!$F$201)/(Driver!$G$201-Driver!$F$201),1)</f>
        <v>7.4050632911392409</v>
      </c>
      <c r="BJ887" s="67">
        <f>(CB887-Driver!$F$206)/(Driver!$G$206-Driver!$F$206)*$BI$1</f>
        <v>0.79365079365079361</v>
      </c>
      <c r="BK887" s="67">
        <f>(CD887-Driver!$F$203)/(Driver!$G$203-Driver!$F$203)*$BI$1</f>
        <v>1.6513761467889909</v>
      </c>
      <c r="BL887" s="67">
        <f>MAX((CR887-Driver!$F$202)/(Driver!$G$202-Driver!$F$202)*$BI$1,1)</f>
        <v>5.8620689655172411</v>
      </c>
      <c r="BM887" s="67">
        <f>MAX((CH887-Driver!$F$204)/(Driver!$G$204-Driver!$F$204)*$BI$1,1)</f>
        <v>2.2222222222222223</v>
      </c>
      <c r="BN887" s="67">
        <f>(CI887-Driver!$F$205)/(Driver!$G$205-Driver!$F$205)*$BI$1</f>
        <v>2.1176470588235294</v>
      </c>
      <c r="BO887" s="67">
        <f>(CK887-Driver!$F$207)/(Driver!$G$207-Driver!$F$207)*$BI$1</f>
        <v>0.42399172699069287</v>
      </c>
      <c r="BP887" s="67">
        <f>(CM887-Driver!$F$208)/(Driver!$G$208-Driver!$F$208)*$BI$1</f>
        <v>0.64444444444444438</v>
      </c>
      <c r="BQ887" s="67">
        <f>(CL887-Driver!$F$209)/(Driver!$G$209-Driver!$F$209)*$BI$1</f>
        <v>0.78125</v>
      </c>
      <c r="BR887" s="28" t="s">
        <v>155</v>
      </c>
      <c r="BS887" s="8" t="s">
        <v>156</v>
      </c>
      <c r="BT887" s="9" t="s">
        <v>532</v>
      </c>
      <c r="BU887" s="10">
        <v>149</v>
      </c>
      <c r="BV887" s="9" t="s">
        <v>158</v>
      </c>
      <c r="BW887" s="10">
        <v>149</v>
      </c>
      <c r="BX887" s="10">
        <v>146</v>
      </c>
      <c r="BY887" s="10">
        <v>125</v>
      </c>
      <c r="BZ887" s="10">
        <v>133</v>
      </c>
      <c r="CA887" s="10">
        <v>108</v>
      </c>
      <c r="CB887" s="10">
        <v>69</v>
      </c>
      <c r="CC887" s="10">
        <v>96</v>
      </c>
      <c r="CD887" s="10">
        <v>13</v>
      </c>
      <c r="CE887" s="10">
        <v>1474</v>
      </c>
      <c r="CF887" s="10">
        <v>0.81</v>
      </c>
      <c r="CG887" s="10">
        <v>1195</v>
      </c>
      <c r="CH887" s="10">
        <v>153</v>
      </c>
      <c r="CI887" s="10">
        <v>69</v>
      </c>
      <c r="CJ887" s="10">
        <v>40</v>
      </c>
      <c r="CK887" s="10">
        <v>151</v>
      </c>
      <c r="CL887" s="10">
        <v>5</v>
      </c>
      <c r="CM887" s="10">
        <v>58</v>
      </c>
      <c r="CN887" s="10">
        <v>0.122</v>
      </c>
      <c r="CO887" s="10">
        <v>83</v>
      </c>
      <c r="CP887" s="10">
        <v>52</v>
      </c>
      <c r="CQ887" s="10">
        <v>68</v>
      </c>
      <c r="CR887" s="10">
        <v>6</v>
      </c>
      <c r="CS887" s="10">
        <v>12.4</v>
      </c>
      <c r="CT887" s="9" t="s">
        <v>349</v>
      </c>
      <c r="CU887" s="10"/>
      <c r="CV887" s="10"/>
      <c r="CW887" s="10"/>
      <c r="CX887" t="str">
        <f>INDEX('Data_Price '!AG$2:AG$1266,MATCH(Data!$DN887,'Data_Price '!$AT$2:$AT$1266,0))</f>
        <v>Atomic Redster S7 Ft+ft 12 GW Alpine Skis 149</v>
      </c>
      <c r="CY887" t="str">
        <f>INDEX('Data_Price '!AH$2:AH$1266,MATCH(Data!$DN887,'Data_Price '!$AT$2:$AT$1266,0))</f>
        <v>eBay - asogear</v>
      </c>
      <c r="CZ887">
        <f>INDEX('Data_Price '!AI$2:AI$1266,MATCH(Data!$DN887,'Data_Price '!$AT$2:$AT$1266,0))</f>
        <v>629.99</v>
      </c>
      <c r="DA887" t="str">
        <f>INDEX('Data_Price '!AJ$2:AJ$1266,MATCH(Data!$DN887,'Data_Price '!$AT$2:$AT$1266,0))</f>
        <v>https://tinyurl.com/y8oq44ok</v>
      </c>
      <c r="DB887" t="str">
        <f>INDEX('Data_Price '!AK$2:AK$1266,MATCH(Data!$DN887,'Data_Price '!$AT$2:$AT$1266,0))</f>
        <v>Skiing Atomic Redster Sc With Bindings Allround The Tracks Skis</v>
      </c>
      <c r="DC887" t="str">
        <f>INDEX('Data_Price '!AL$2:AL$1266,MATCH(Data!$DN887,'Data_Price '!$AT$2:$AT$1266,0))</f>
        <v>eBay</v>
      </c>
      <c r="DD887">
        <f>INDEX('Data_Price '!AM$2:AM$1266,MATCH(Data!$DN887,'Data_Price '!$AT$2:$AT$1266,0))</f>
        <v>321.07</v>
      </c>
      <c r="DE887" t="str">
        <f>INDEX('Data_Price '!AN$2:AN$1266,MATCH(Data!$DN887,'Data_Price '!$AT$2:$AT$1266,0))</f>
        <v>https://tinyurl.com/y94lhmx5</v>
      </c>
      <c r="DF887">
        <f>INDEX('Data_Price '!AO$2:AO$1266,MATCH(Data!$DN887,'Data_Price '!$AT$2:$AT$1266,0))</f>
        <v>0</v>
      </c>
      <c r="DG887">
        <f>INDEX('Data_Price '!AP$2:AP$1266,MATCH(Data!$DN887,'Data_Price '!$AT$2:$AT$1266,0))</f>
        <v>0</v>
      </c>
      <c r="DH887">
        <f>INDEX('Data_Price '!AQ$2:AQ$1266,MATCH(Data!$DN887,'Data_Price '!$AT$2:$AT$1266,0))</f>
        <v>0</v>
      </c>
      <c r="DI887">
        <f>INDEX('Data_Price '!AR$2:AR$1266,MATCH(Data!$DN887,'Data_Price '!$AT$2:$AT$1266,0))</f>
        <v>0</v>
      </c>
      <c r="DJ887" s="89" t="str">
        <f t="shared" si="513"/>
        <v>https://tinyurl.com/y8oq44ok</v>
      </c>
      <c r="DK887" s="89" t="str">
        <f t="shared" si="514"/>
        <v>https://tinyurl.com/y94lhmx5</v>
      </c>
      <c r="DL887" s="89">
        <f t="shared" si="515"/>
        <v>0</v>
      </c>
      <c r="DM887" s="219" t="str">
        <f t="shared" si="516"/>
        <v>Redster S7</v>
      </c>
      <c r="DN887" s="89" t="str">
        <f t="shared" si="517"/>
        <v xml:space="preserve"> AtomicRedster S7149 Unisex</v>
      </c>
      <c r="DO887" s="221"/>
    </row>
    <row r="888" spans="2:119" ht="15.6" customHeight="1">
      <c r="B888" s="219" t="b">
        <f t="array" ref="B888">IF(OR(ISERROR(K888:P888)),FALSE,TRUE)</f>
        <v>1</v>
      </c>
      <c r="C888" s="43" t="b">
        <f>OR(BR888=Driver!$G$50,Data!BR599=Driver!$H$50)</f>
        <v>1</v>
      </c>
      <c r="D888" s="43" t="b">
        <f>OR(BV888=Driver!$G$51,BV888=Driver!$H$51)</f>
        <v>0</v>
      </c>
      <c r="E888" s="43" t="b">
        <f>AND(BX888&gt;Driver!$F$54,BX888&lt;Driver!$G$54)</f>
        <v>0</v>
      </c>
      <c r="F888" s="43" t="b">
        <f>CL888&gt;Driver!$F$56</f>
        <v>1</v>
      </c>
      <c r="G888" s="43" t="b">
        <f>AND(CB888&gt;Driver!$F$55,CB888&lt;Driver!$G$55)</f>
        <v>0</v>
      </c>
      <c r="H888" s="43" t="b">
        <f t="shared" si="481"/>
        <v>0</v>
      </c>
      <c r="I888" s="43">
        <f t="shared" si="482"/>
        <v>0</v>
      </c>
      <c r="J888" s="43" t="b">
        <f t="array" ref="J888">NOT(OR(($H$9:$H$1273=TRUE)*($I$9:$I$1273&gt;0)*($BT$9:$BT$1273=BT888)*($K$9:$K$1273&gt;K888)))</f>
        <v>1</v>
      </c>
      <c r="K888" s="72">
        <f t="shared" si="483"/>
        <v>0.76268493582352481</v>
      </c>
      <c r="L888" s="72">
        <f t="shared" si="484"/>
        <v>0.77217652980359397</v>
      </c>
      <c r="M888" s="72">
        <f t="shared" si="485"/>
        <v>0.75319334184345554</v>
      </c>
      <c r="N888" s="72">
        <f t="shared" si="486"/>
        <v>0.76759556109498117</v>
      </c>
      <c r="O888" s="72">
        <f t="shared" si="487"/>
        <v>0.58541955999259576</v>
      </c>
      <c r="P888" s="72">
        <f t="shared" si="488"/>
        <v>0.9065649044427897</v>
      </c>
      <c r="Q888" s="72"/>
      <c r="R888" s="72"/>
      <c r="S888" s="72">
        <f t="shared" si="489"/>
        <v>0.39564765568483939</v>
      </c>
      <c r="T888" s="72">
        <f t="shared" si="490"/>
        <v>0.61774738043977739</v>
      </c>
      <c r="U888" s="72">
        <f t="shared" si="491"/>
        <v>0.51</v>
      </c>
      <c r="V888" s="72">
        <f t="shared" si="492"/>
        <v>0.49519684157527533</v>
      </c>
      <c r="W888" s="72">
        <f t="shared" si="493"/>
        <v>0.86328125</v>
      </c>
      <c r="X888" s="72">
        <f t="shared" si="494"/>
        <v>0.227823470196406</v>
      </c>
      <c r="Y888" s="72">
        <f t="shared" si="495"/>
        <v>0.24680665815654446</v>
      </c>
      <c r="Z888" s="72">
        <f t="shared" si="496"/>
        <v>0.23240443890501883</v>
      </c>
      <c r="AA888" s="72">
        <f t="shared" si="497"/>
        <v>0.41458044000740429</v>
      </c>
      <c r="AB888" s="72">
        <f t="shared" si="498"/>
        <v>9.3435095557210246E-2</v>
      </c>
      <c r="AC888" s="72"/>
      <c r="AD888" s="72"/>
      <c r="AE888" s="72">
        <f t="shared" si="499"/>
        <v>0.60435234431516061</v>
      </c>
      <c r="AF888" s="72">
        <f t="shared" si="500"/>
        <v>0.38225261956022261</v>
      </c>
      <c r="AG888" s="72">
        <f t="shared" si="501"/>
        <v>0.49</v>
      </c>
      <c r="AH888" s="72">
        <f t="shared" si="502"/>
        <v>0.50480315842472467</v>
      </c>
      <c r="AI888" s="72">
        <f t="shared" si="503"/>
        <v>0.13671875</v>
      </c>
      <c r="AJ888" s="72">
        <f>(AV888-Driver!$K$179)/(Driver!$L$179-Driver!$K$179)</f>
        <v>2.6395939086294416E-2</v>
      </c>
      <c r="AK888" s="72">
        <f>(AW888-Driver!$K$180)/(Driver!$L$180-Driver!$K$180)</f>
        <v>0.17267655172574023</v>
      </c>
      <c r="AL888" s="72">
        <f>(AX888-Driver!$K$181)/(Driver!$L$181-Driver!$K$181)</f>
        <v>0.33409220261809902</v>
      </c>
      <c r="AM888" s="72">
        <f>(AY888-Driver!$K$182)/(Driver!$L$182-Driver!$K$182)</f>
        <v>3.280458108964205E-2</v>
      </c>
      <c r="AN888" s="72">
        <f>(AZ888-Driver!$K$183)/(Driver!$L$183-Driver!$K$183)</f>
        <v>0.16078431372549018</v>
      </c>
      <c r="AO888" s="72"/>
      <c r="AP888" s="72"/>
      <c r="AQ888" s="72">
        <f>(BC888-Driver!$K$188)/(Driver!$L$188-Driver!$K$188)</f>
        <v>1.564765568483939E-2</v>
      </c>
      <c r="AR888" s="72">
        <f>MIN((BD888-Driver!$K$189)/(Driver!$L$189-Driver!$K$189),100%)</f>
        <v>0.16774738043977747</v>
      </c>
      <c r="AS888" s="72">
        <f>(BE888-Driver!$K$190)/(Driver!$L$190-Driver!$K$190)</f>
        <v>1</v>
      </c>
      <c r="AT888" s="72">
        <f>(BF888-Driver!$K$191)/(Driver!$L$191-Driver!$K$191)</f>
        <v>5.1968415752753705E-3</v>
      </c>
      <c r="AU888" s="72">
        <f>(BG888-Driver!$K$192)/(Driver!$L$192-Driver!$K$192)</f>
        <v>0.11328124999999999</v>
      </c>
      <c r="AV888" s="70">
        <f t="shared" si="504"/>
        <v>0.55555555555555558</v>
      </c>
      <c r="AW888" s="70">
        <f t="shared" si="505"/>
        <v>18.70075265703144</v>
      </c>
      <c r="AX888" s="70">
        <f t="shared" si="506"/>
        <v>4.0068298235628914</v>
      </c>
      <c r="AY888" s="70">
        <f>IFERROR(Driver!$K$19/Data!BH888/Data!BI888*Data!BK888*Data!BL888,"")</f>
        <v>4.0162595196024713E-2</v>
      </c>
      <c r="AZ888" s="70">
        <f t="shared" si="507"/>
        <v>14.653760238272524</v>
      </c>
      <c r="BA888" s="70"/>
      <c r="BB888" s="70"/>
      <c r="BC888" s="70">
        <f t="shared" si="508"/>
        <v>8.1165477844637</v>
      </c>
      <c r="BD888" s="70">
        <f t="shared" si="509"/>
        <v>16.566168822247963</v>
      </c>
      <c r="BE888" s="70">
        <f t="shared" si="510"/>
        <v>1</v>
      </c>
      <c r="BF888" s="70">
        <f t="shared" si="511"/>
        <v>0.58694674604897168</v>
      </c>
      <c r="BG888" s="70">
        <f t="shared" si="512"/>
        <v>0.428955078125</v>
      </c>
      <c r="BH888" s="67">
        <f>MAX((CE888-Driver!$F$200)/(Driver!$G$200-Driver!$F$200)*$BI$1,1)</f>
        <v>4.0068298235628914</v>
      </c>
      <c r="BI888" s="67">
        <f>MAX($BI$1*(BY888-Driver!$F$201)/(Driver!$G$201-Driver!$F$201),1)</f>
        <v>7.7848101265822782</v>
      </c>
      <c r="BJ888" s="67">
        <f>(CB888-Driver!$F$206)/(Driver!$G$206-Driver!$F$206)*$BI$1</f>
        <v>2.2222222222222223</v>
      </c>
      <c r="BK888" s="67">
        <f>(CD888-Driver!$F$203)/(Driver!$G$203-Driver!$F$203)*$BI$1</f>
        <v>0.82568807339449501</v>
      </c>
      <c r="BL888" s="67">
        <f>MAX((CR888-Driver!$F$202)/(Driver!$G$202-Driver!$F$202)*$BI$1,1)</f>
        <v>7.5862068965517242</v>
      </c>
      <c r="BM888" s="67">
        <f>MAX((CH888-Driver!$F$204)/(Driver!$G$204-Driver!$F$204)*$BI$1,1)</f>
        <v>1</v>
      </c>
      <c r="BN888" s="67">
        <f>(CI888-Driver!$F$205)/(Driver!$G$205-Driver!$F$205)*$BI$1</f>
        <v>1.8823529411764706</v>
      </c>
      <c r="BO888" s="67">
        <f>(CK888-Driver!$F$207)/(Driver!$G$207-Driver!$F$207)*$BI$1</f>
        <v>0.26887280248190282</v>
      </c>
      <c r="BP888" s="67">
        <f>(CM888-Driver!$F$208)/(Driver!$G$208-Driver!$F$208)*$BI$1</f>
        <v>0.81111111111111112</v>
      </c>
      <c r="BQ888" s="67">
        <f>(CL888-Driver!$F$209)/(Driver!$G$209-Driver!$F$209)*$BI$1</f>
        <v>1.71875</v>
      </c>
      <c r="BR888" s="28" t="s">
        <v>155</v>
      </c>
      <c r="BS888" s="8" t="s">
        <v>167</v>
      </c>
      <c r="BT888" s="9" t="s">
        <v>799</v>
      </c>
      <c r="BU888" s="10">
        <v>153</v>
      </c>
      <c r="BV888" s="9" t="s">
        <v>163</v>
      </c>
      <c r="BW888" s="10">
        <v>153</v>
      </c>
      <c r="BX888" s="10">
        <v>152.30000000000001</v>
      </c>
      <c r="BY888" s="10">
        <v>131</v>
      </c>
      <c r="BZ888" s="10">
        <v>135</v>
      </c>
      <c r="CA888" s="10">
        <v>130</v>
      </c>
      <c r="CB888" s="10">
        <v>78</v>
      </c>
      <c r="CC888" s="10">
        <v>108</v>
      </c>
      <c r="CD888" s="10">
        <v>11.2</v>
      </c>
      <c r="CE888" s="10">
        <v>1604</v>
      </c>
      <c r="CF888" s="10">
        <v>0.89</v>
      </c>
      <c r="CG888" s="10">
        <v>1425</v>
      </c>
      <c r="CH888" s="10">
        <v>122</v>
      </c>
      <c r="CI888" s="10">
        <v>65</v>
      </c>
      <c r="CJ888" s="10">
        <v>34</v>
      </c>
      <c r="CK888" s="10">
        <v>136</v>
      </c>
      <c r="CL888" s="10">
        <v>11</v>
      </c>
      <c r="CM888" s="10">
        <v>73</v>
      </c>
      <c r="CN888" s="10">
        <v>0.33800000000000002</v>
      </c>
      <c r="CO888" s="10">
        <v>111</v>
      </c>
      <c r="CP888" s="10">
        <v>62</v>
      </c>
      <c r="CQ888" s="10">
        <v>25</v>
      </c>
      <c r="CR888" s="10">
        <v>11</v>
      </c>
      <c r="CS888" s="10">
        <v>10.8</v>
      </c>
      <c r="CT888" s="9" t="s">
        <v>349</v>
      </c>
      <c r="CU888" s="9" t="s">
        <v>231</v>
      </c>
      <c r="CV888" s="10"/>
      <c r="CW888" s="10"/>
      <c r="CX888" t="str">
        <f>INDEX('Data_Price '!AG$2:AG$1266,MATCH(Data!$DN888,'Data_Price '!$AT$2:$AT$1266,0))</f>
        <v xml:space="preserve"> Head Absolut Joy Womens Skis C by GalacticSnowSports</v>
      </c>
      <c r="CY888" t="str">
        <f>INDEX('Data_Price '!AH$2:AH$1266,MATCH(Data!$DN888,'Data_Price '!$AT$2:$AT$1266,0))</f>
        <v>GalacticSnowSports</v>
      </c>
      <c r="CZ888">
        <f>INDEX('Data_Price '!AI$2:AI$1266,MATCH(Data!$DN888,'Data_Price '!$AT$2:$AT$1266,0))</f>
        <v>239.99</v>
      </c>
      <c r="DA888" t="str">
        <f>INDEX('Data_Price '!AJ$2:AJ$1266,MATCH(Data!$DN888,'Data_Price '!$AT$2:$AT$1266,0))</f>
        <v>https://tinyurl.com/ybjar4qd</v>
      </c>
      <c r="DB888" t="str">
        <f>INDEX('Data_Price '!AK$2:AK$1266,MATCH(Data!$DN888,'Data_Price '!$AT$2:$AT$1266,0))</f>
        <v>Head Absolut Joy SLR Joy Pro + JOY 9 GW 153cm</v>
      </c>
      <c r="DC888" t="str">
        <f>INDEX('Data_Price '!AL$2:AL$1266,MATCH(Data!$DN888,'Data_Price '!$AT$2:$AT$1266,0))</f>
        <v>Sundance Ski and Board Shop</v>
      </c>
      <c r="DD888">
        <f>INDEX('Data_Price '!AM$2:AM$1266,MATCH(Data!$DN888,'Data_Price '!$AT$2:$AT$1266,0))</f>
        <v>416.75</v>
      </c>
      <c r="DE888" t="str">
        <f>INDEX('Data_Price '!AN$2:AN$1266,MATCH(Data!$DN888,'Data_Price '!$AT$2:$AT$1266,0))</f>
        <v>https://tinyurl.com/yc569j3o</v>
      </c>
      <c r="DF888" t="str">
        <f>INDEX('Data_Price '!AO$2:AO$1266,MATCH(Data!$DN888,'Data_Price '!$AT$2:$AT$1266,0))</f>
        <v>Head Absolut Joy Skis w/ Joy 9 GW SLR Bindings</v>
      </c>
      <c r="DG888" t="str">
        <f>INDEX('Data_Price '!AP$2:AP$1266,MATCH(Data!$DN888,'Data_Price '!$AT$2:$AT$1266,0))</f>
        <v>BobWards.com</v>
      </c>
      <c r="DH888">
        <f>INDEX('Data_Price '!AQ$2:AQ$1266,MATCH(Data!$DN888,'Data_Price '!$AT$2:$AT$1266,0))</f>
        <v>450</v>
      </c>
      <c r="DI888" t="str">
        <f>INDEX('Data_Price '!AR$2:AR$1266,MATCH(Data!$DN888,'Data_Price '!$AT$2:$AT$1266,0))</f>
        <v>https://tinyurl.com/y9rxrezf</v>
      </c>
      <c r="DJ888" s="89" t="str">
        <f t="shared" si="513"/>
        <v>https://tinyurl.com/ybjar4qd</v>
      </c>
      <c r="DK888" s="89" t="str">
        <f t="shared" si="514"/>
        <v>https://tinyurl.com/yc569j3o</v>
      </c>
      <c r="DL888" s="89" t="str">
        <f t="shared" si="515"/>
        <v>https://tinyurl.com/y9rxrezf</v>
      </c>
      <c r="DM888" s="219" t="str">
        <f t="shared" si="516"/>
        <v>Absolut Joy</v>
      </c>
      <c r="DN888" s="89" t="str">
        <f t="shared" si="517"/>
        <v xml:space="preserve"> HeadAbsolut Joy153 Women's</v>
      </c>
      <c r="DO888" s="221"/>
    </row>
    <row r="889" spans="2:119" ht="15.6" customHeight="1">
      <c r="B889" s="219" t="b">
        <f t="array" ref="B889">IF(OR(ISERROR(K889:P889)),FALSE,TRUE)</f>
        <v>1</v>
      </c>
      <c r="C889" s="43" t="b">
        <f>OR(BR889=Driver!$G$50,Data!BR827=Driver!$H$50)</f>
        <v>1</v>
      </c>
      <c r="D889" s="43" t="b">
        <f>OR(BV889=Driver!$G$51,BV889=Driver!$H$51)</f>
        <v>1</v>
      </c>
      <c r="E889" s="43" t="b">
        <f>AND(BX889&gt;Driver!$F$54,BX889&lt;Driver!$G$54)</f>
        <v>0</v>
      </c>
      <c r="F889" s="43" t="b">
        <f>CL889&gt;Driver!$F$56</f>
        <v>1</v>
      </c>
      <c r="G889" s="43" t="b">
        <f>AND(CB889&gt;Driver!$F$55,CB889&lt;Driver!$G$55)</f>
        <v>0</v>
      </c>
      <c r="H889" s="43" t="b">
        <f t="shared" si="481"/>
        <v>0</v>
      </c>
      <c r="I889" s="43">
        <f t="shared" si="482"/>
        <v>0</v>
      </c>
      <c r="J889" s="43" t="b">
        <f t="array" ref="J889">NOT(OR(($H$9:$H$1273=TRUE)*($I$9:$I$1273&gt;0)*($BT$9:$BT$1273=BT889)*($K$9:$K$1273&gt;K889)))</f>
        <v>1</v>
      </c>
      <c r="K889" s="72">
        <f t="shared" si="483"/>
        <v>0.79472688602498132</v>
      </c>
      <c r="L889" s="72">
        <f t="shared" si="484"/>
        <v>0.82756288062141692</v>
      </c>
      <c r="M889" s="72">
        <f t="shared" si="485"/>
        <v>0.76189089142854571</v>
      </c>
      <c r="N889" s="72">
        <f t="shared" si="486"/>
        <v>0.7378731807749912</v>
      </c>
      <c r="O889" s="72">
        <f t="shared" si="487"/>
        <v>0.68866105965609159</v>
      </c>
      <c r="P889" s="72">
        <f t="shared" si="488"/>
        <v>0.85913843385455446</v>
      </c>
      <c r="Q889" s="72"/>
      <c r="R889" s="72"/>
      <c r="S889" s="72">
        <f t="shared" si="489"/>
        <v>0.41604936490795352</v>
      </c>
      <c r="T889" s="72">
        <f t="shared" si="490"/>
        <v>0.44536043098675437</v>
      </c>
      <c r="U889" s="72">
        <f t="shared" si="491"/>
        <v>0.5526298268305363</v>
      </c>
      <c r="V889" s="72">
        <f t="shared" si="492"/>
        <v>0.54082726219293586</v>
      </c>
      <c r="W889" s="72">
        <f t="shared" si="493"/>
        <v>0.95399467376830893</v>
      </c>
      <c r="X889" s="72">
        <f t="shared" si="494"/>
        <v>0.17243711937858311</v>
      </c>
      <c r="Y889" s="72">
        <f t="shared" si="495"/>
        <v>0.23810910857145426</v>
      </c>
      <c r="Z889" s="72">
        <f t="shared" si="496"/>
        <v>0.26212681922500874</v>
      </c>
      <c r="AA889" s="72">
        <f t="shared" si="497"/>
        <v>0.31133894034390841</v>
      </c>
      <c r="AB889" s="72">
        <f t="shared" si="498"/>
        <v>0.14086156614544551</v>
      </c>
      <c r="AC889" s="72"/>
      <c r="AD889" s="72"/>
      <c r="AE889" s="72">
        <f t="shared" si="499"/>
        <v>0.58395063509204648</v>
      </c>
      <c r="AF889" s="72">
        <f t="shared" si="500"/>
        <v>0.55463956901324563</v>
      </c>
      <c r="AG889" s="72">
        <f t="shared" si="501"/>
        <v>0.4473701731694637</v>
      </c>
      <c r="AH889" s="72">
        <f t="shared" si="502"/>
        <v>0.45917273780706414</v>
      </c>
      <c r="AI889" s="72">
        <f t="shared" si="503"/>
        <v>4.6005326231691013E-2</v>
      </c>
      <c r="AJ889" s="72">
        <f>(AV889-Driver!$K$179)/(Driver!$L$179-Driver!$K$179)</f>
        <v>8.1782289904117317E-2</v>
      </c>
      <c r="AK889" s="72">
        <f>(AW889-Driver!$K$180)/(Driver!$L$180-Driver!$K$180)</f>
        <v>0.13236710576860558</v>
      </c>
      <c r="AL889" s="72">
        <f>(AX889-Driver!$K$181)/(Driver!$L$181-Driver!$K$181)</f>
        <v>0.36381458293808894</v>
      </c>
      <c r="AM889" s="72">
        <f>(AY889-Driver!$K$182)/(Driver!$L$182-Driver!$K$182)</f>
        <v>0.13604608075313795</v>
      </c>
      <c r="AN889" s="72">
        <f>(AZ889-Driver!$K$183)/(Driver!$L$183-Driver!$K$183)</f>
        <v>0.11335784313725492</v>
      </c>
      <c r="AO889" s="72"/>
      <c r="AP889" s="72"/>
      <c r="AQ889" s="72">
        <f>(BC889-Driver!$K$188)/(Driver!$L$188-Driver!$K$188)</f>
        <v>3.6049364907953511E-2</v>
      </c>
      <c r="AR889" s="72">
        <f>MIN((BD889-Driver!$K$189)/(Driver!$L$189-Driver!$K$189),100%)</f>
        <v>-4.6395690132455336E-3</v>
      </c>
      <c r="AS889" s="72">
        <f>(BE889-Driver!$K$190)/(Driver!$L$190-Driver!$K$190)</f>
        <v>6.2629826830536278E-2</v>
      </c>
      <c r="AT889" s="72">
        <f>(BF889-Driver!$K$191)/(Driver!$L$191-Driver!$K$191)</f>
        <v>5.0827262192935901E-2</v>
      </c>
      <c r="AU889" s="72">
        <f>(BG889-Driver!$K$192)/(Driver!$L$192-Driver!$K$192)</f>
        <v>0.29600532623169101</v>
      </c>
      <c r="AV889" s="70">
        <f t="shared" si="504"/>
        <v>1.721272554605888</v>
      </c>
      <c r="AW889" s="70">
        <f t="shared" si="505"/>
        <v>14.772239970482339</v>
      </c>
      <c r="AX889" s="70">
        <f t="shared" si="506"/>
        <v>4.2743312464428005</v>
      </c>
      <c r="AY889" s="70">
        <f>IFERROR(Driver!$K$19/Data!BH889/Data!BI889*Data!BK889*Data!BL889,"")</f>
        <v>0.16656099507453243</v>
      </c>
      <c r="AZ889" s="70">
        <f t="shared" si="507"/>
        <v>10.331347728965005</v>
      </c>
      <c r="BA889" s="70"/>
      <c r="BB889" s="70"/>
      <c r="BC889" s="70">
        <f t="shared" si="508"/>
        <v>18.699056188874518</v>
      </c>
      <c r="BD889" s="70">
        <f t="shared" si="509"/>
        <v>1.3102292472553365</v>
      </c>
      <c r="BE889" s="70">
        <f t="shared" si="510"/>
        <v>6.2797043118879015E-2</v>
      </c>
      <c r="BF889" s="70">
        <f t="shared" si="511"/>
        <v>5.7405821829657873</v>
      </c>
      <c r="BG889" s="70">
        <f t="shared" si="512"/>
        <v>1.1208649960971577</v>
      </c>
      <c r="BH889" s="67">
        <f>MAX((CE889-Driver!$F$200)/(Driver!$G$200-Driver!$F$200)*$BI$1,1)</f>
        <v>4.2743312464428005</v>
      </c>
      <c r="BI889" s="67">
        <f>MAX($BI$1*(BY889-Driver!$F$201)/(Driver!$G$201-Driver!$F$201),1)</f>
        <v>7.0253164556962027</v>
      </c>
      <c r="BJ889" s="67">
        <f>(CB889-Driver!$F$206)/(Driver!$G$206-Driver!$F$206)*$BI$1</f>
        <v>5.5555555555555554</v>
      </c>
      <c r="BK889" s="67">
        <f>(CD889-Driver!$F$203)/(Driver!$G$203-Driver!$F$203)*$BI$1</f>
        <v>4.2660550458715596</v>
      </c>
      <c r="BL889" s="67">
        <f>MAX((CR889-Driver!$F$202)/(Driver!$G$202-Driver!$F$202)*$BI$1,1)</f>
        <v>5.8620689655172411</v>
      </c>
      <c r="BM889" s="67">
        <f>MAX((CH889-Driver!$F$204)/(Driver!$G$204-Driver!$F$204)*$BI$1,1)</f>
        <v>1.2393162393162394</v>
      </c>
      <c r="BN889" s="67">
        <f>(CI889-Driver!$F$205)/(Driver!$G$205-Driver!$F$205)*$BI$1</f>
        <v>1.4705882352941178</v>
      </c>
      <c r="BO889" s="67">
        <f>(CK889-Driver!$F$207)/(Driver!$G$207-Driver!$F$207)*$BI$1</f>
        <v>1.4374353671147879</v>
      </c>
      <c r="BP889" s="67">
        <f>(CM889-Driver!$F$208)/(Driver!$G$208-Driver!$F$208)*$BI$1</f>
        <v>3.0666666666666664</v>
      </c>
      <c r="BQ889" s="67">
        <f>(CL889-Driver!$F$209)/(Driver!$G$209-Driver!$F$209)*$BI$1</f>
        <v>5.9375</v>
      </c>
      <c r="BR889" s="28" t="s">
        <v>155</v>
      </c>
      <c r="BS889" s="8" t="s">
        <v>208</v>
      </c>
      <c r="BT889" s="9" t="s">
        <v>628</v>
      </c>
      <c r="BU889" s="10">
        <v>171</v>
      </c>
      <c r="BV889" s="9" t="s">
        <v>158</v>
      </c>
      <c r="BW889" s="10">
        <v>171</v>
      </c>
      <c r="BX889" s="10">
        <v>171.7</v>
      </c>
      <c r="BY889" s="10">
        <v>119</v>
      </c>
      <c r="BZ889" s="10">
        <v>147</v>
      </c>
      <c r="CA889" s="10">
        <v>132</v>
      </c>
      <c r="CB889" s="10">
        <v>99</v>
      </c>
      <c r="CC889" s="10">
        <v>122</v>
      </c>
      <c r="CD889" s="10">
        <v>18.7</v>
      </c>
      <c r="CE889" s="10">
        <v>1651</v>
      </c>
      <c r="CF889" s="10">
        <v>1.1399999999999999</v>
      </c>
      <c r="CG889" s="10">
        <v>1881</v>
      </c>
      <c r="CH889" s="10">
        <v>130</v>
      </c>
      <c r="CI889" s="10">
        <v>58</v>
      </c>
      <c r="CJ889" s="10">
        <v>41</v>
      </c>
      <c r="CK889" s="10">
        <v>249</v>
      </c>
      <c r="CL889" s="10">
        <v>38</v>
      </c>
      <c r="CM889" s="10">
        <v>276</v>
      </c>
      <c r="CN889" s="10">
        <v>0.93700000000000006</v>
      </c>
      <c r="CO889" s="10">
        <v>106</v>
      </c>
      <c r="CP889" s="10">
        <v>137</v>
      </c>
      <c r="CQ889" s="10">
        <v>143</v>
      </c>
      <c r="CR889" s="10">
        <v>6</v>
      </c>
      <c r="CS889" s="10">
        <v>4.5</v>
      </c>
      <c r="CT889" s="9" t="s">
        <v>184</v>
      </c>
      <c r="CU889" s="9" t="s">
        <v>185</v>
      </c>
      <c r="CV889" s="10"/>
      <c r="CW889" s="10"/>
      <c r="CX889" t="str">
        <f>INDEX('Data_Price '!AG$2:AG$1266,MATCH(Data!$DN889,'Data_Price '!$AT$2:$AT$1266,0))</f>
        <v>Line 2022 Blend Skis</v>
      </c>
      <c r="CY889" t="str">
        <f>INDEX('Data_Price '!AH$2:AH$1266,MATCH(Data!$DN889,'Data_Price '!$AT$2:$AT$1266,0))</f>
        <v>Next Adventure</v>
      </c>
      <c r="CZ889">
        <f>INDEX('Data_Price '!AI$2:AI$1266,MATCH(Data!$DN889,'Data_Price '!$AT$2:$AT$1266,0))</f>
        <v>479.96</v>
      </c>
      <c r="DA889" t="str">
        <f>INDEX('Data_Price '!AJ$2:AJ$1266,MATCH(Data!$DN889,'Data_Price '!$AT$2:$AT$1266,0))</f>
        <v>https://tinyurl.com/ycujgg2f</v>
      </c>
      <c r="DB889" t="str">
        <f>INDEX('Data_Price '!AK$2:AK$1266,MATCH(Data!$DN889,'Data_Price '!$AT$2:$AT$1266,0))</f>
        <v>Line 2022 Blend Skis</v>
      </c>
      <c r="DC889" t="str">
        <f>INDEX('Data_Price '!AL$2:AL$1266,MATCH(Data!$DN889,'Data_Price '!$AT$2:$AT$1266,0))</f>
        <v>BlueZone Sports</v>
      </c>
      <c r="DD889">
        <f>INDEX('Data_Price '!AM$2:AM$1266,MATCH(Data!$DN889,'Data_Price '!$AT$2:$AT$1266,0))</f>
        <v>479.96</v>
      </c>
      <c r="DE889" t="str">
        <f>INDEX('Data_Price '!AN$2:AN$1266,MATCH(Data!$DN889,'Data_Price '!$AT$2:$AT$1266,0))</f>
        <v>https://tinyurl.com/y7oouf28</v>
      </c>
      <c r="DF889" t="str">
        <f>INDEX('Data_Price '!AO$2:AO$1266,MATCH(Data!$DN889,'Data_Price '!$AT$2:$AT$1266,0))</f>
        <v>'22 Line Blend Skis 171cm</v>
      </c>
      <c r="DG889" t="str">
        <f>INDEX('Data_Price '!AP$2:AP$1266,MATCH(Data!$DN889,'Data_Price '!$AT$2:$AT$1266,0))</f>
        <v>Al's Ski Equipment Barn</v>
      </c>
      <c r="DH889">
        <f>INDEX('Data_Price '!AQ$2:AQ$1266,MATCH(Data!$DN889,'Data_Price '!$AT$2:$AT$1266,0))</f>
        <v>549.95000000000005</v>
      </c>
      <c r="DI889" t="str">
        <f>INDEX('Data_Price '!AR$2:AR$1266,MATCH(Data!$DN889,'Data_Price '!$AT$2:$AT$1266,0))</f>
        <v>https://tinyurl.com/y8eyzmwf</v>
      </c>
      <c r="DJ889" s="89" t="str">
        <f t="shared" si="513"/>
        <v>https://tinyurl.com/ycujgg2f</v>
      </c>
      <c r="DK889" s="89" t="str">
        <f t="shared" si="514"/>
        <v>https://tinyurl.com/y7oouf28</v>
      </c>
      <c r="DL889" s="89" t="str">
        <f t="shared" si="515"/>
        <v>https://tinyurl.com/y8eyzmwf</v>
      </c>
      <c r="DM889" s="219" t="str">
        <f t="shared" si="516"/>
        <v>Blend</v>
      </c>
      <c r="DN889" s="89" t="str">
        <f t="shared" si="517"/>
        <v xml:space="preserve"> LineBlend171 Unisex</v>
      </c>
      <c r="DO889" s="221" t="s">
        <v>629</v>
      </c>
    </row>
    <row r="890" spans="2:119" ht="15.6" customHeight="1">
      <c r="B890" s="219" t="b">
        <f t="array" ref="B890">IF(OR(ISERROR(K890:P890)),FALSE,TRUE)</f>
        <v>1</v>
      </c>
      <c r="C890" s="43" t="b">
        <f>OR(BR890=Driver!$G$50,Data!BR655=Driver!$H$50)</f>
        <v>1</v>
      </c>
      <c r="D890" s="43" t="b">
        <f>OR(BV890=Driver!$G$51,BV890=Driver!$H$51)</f>
        <v>1</v>
      </c>
      <c r="E890" s="43" t="b">
        <f>AND(BX890&gt;Driver!$F$54,BX890&lt;Driver!$G$54)</f>
        <v>1</v>
      </c>
      <c r="F890" s="43" t="b">
        <f>CL890&gt;Driver!$F$56</f>
        <v>1</v>
      </c>
      <c r="G890" s="43" t="b">
        <f>AND(CB890&gt;Driver!$F$55,CB890&lt;Driver!$G$55)</f>
        <v>0</v>
      </c>
      <c r="H890" s="43" t="b">
        <f t="shared" si="481"/>
        <v>0</v>
      </c>
      <c r="I890" s="43">
        <f t="shared" si="482"/>
        <v>0</v>
      </c>
      <c r="J890" s="43" t="b">
        <f t="array" ref="J890">NOT(OR(($H$9:$H$1273=TRUE)*($I$9:$I$1273&gt;0)*($BT$9:$BT$1273=BT890)*($K$9:$K$1273&gt;K890)))</f>
        <v>1</v>
      </c>
      <c r="K890" s="72">
        <f t="shared" si="483"/>
        <v>0.75391153660892762</v>
      </c>
      <c r="L890" s="72">
        <f t="shared" si="484"/>
        <v>0.76769663293791035</v>
      </c>
      <c r="M890" s="72">
        <f t="shared" si="485"/>
        <v>0.7401264402799449</v>
      </c>
      <c r="N890" s="72">
        <f t="shared" si="486"/>
        <v>0.71826905758521065</v>
      </c>
      <c r="O890" s="72">
        <f t="shared" si="487"/>
        <v>0.56809437841967725</v>
      </c>
      <c r="P890" s="72">
        <f t="shared" si="488"/>
        <v>0.93401588483494669</v>
      </c>
      <c r="Q890" s="72"/>
      <c r="R890" s="72"/>
      <c r="S890" s="72">
        <f t="shared" si="489"/>
        <v>0.39211701625656137</v>
      </c>
      <c r="T890" s="72">
        <f t="shared" si="490"/>
        <v>0.55000000000000004</v>
      </c>
      <c r="U890" s="72">
        <f t="shared" si="491"/>
        <v>0.51</v>
      </c>
      <c r="V890" s="72">
        <f t="shared" si="492"/>
        <v>0.4947313710442971</v>
      </c>
      <c r="W890" s="72">
        <f t="shared" si="493"/>
        <v>0.78828418835564917</v>
      </c>
      <c r="X890" s="72">
        <f t="shared" si="494"/>
        <v>0.23230336706208968</v>
      </c>
      <c r="Y890" s="72">
        <f t="shared" si="495"/>
        <v>0.2598735597200551</v>
      </c>
      <c r="Z890" s="72">
        <f t="shared" si="496"/>
        <v>0.2817309424147893</v>
      </c>
      <c r="AA890" s="72">
        <f t="shared" si="497"/>
        <v>0.4319056215803227</v>
      </c>
      <c r="AB890" s="72">
        <f t="shared" si="498"/>
        <v>6.5984115165053342E-2</v>
      </c>
      <c r="AC890" s="72"/>
      <c r="AD890" s="72"/>
      <c r="AE890" s="72">
        <f t="shared" si="499"/>
        <v>0.60788298374343863</v>
      </c>
      <c r="AF890" s="72">
        <f t="shared" si="500"/>
        <v>0.44999999999999996</v>
      </c>
      <c r="AG890" s="72">
        <f t="shared" si="501"/>
        <v>0.49</v>
      </c>
      <c r="AH890" s="72">
        <f t="shared" si="502"/>
        <v>0.5052686289557029</v>
      </c>
      <c r="AI890" s="72">
        <f t="shared" si="503"/>
        <v>0.21171581164435085</v>
      </c>
      <c r="AJ890" s="72">
        <f>(AV890-Driver!$K$179)/(Driver!$L$179-Driver!$K$179)</f>
        <v>2.1916042220610749E-2</v>
      </c>
      <c r="AK890" s="72">
        <f>(AW890-Driver!$K$180)/(Driver!$L$180-Driver!$K$180)</f>
        <v>0.20268499648954066</v>
      </c>
      <c r="AL890" s="72">
        <f>(AX890-Driver!$K$181)/(Driver!$L$181-Driver!$K$181)</f>
        <v>0.38341870612786949</v>
      </c>
      <c r="AM890" s="72">
        <f>(AY890-Driver!$K$182)/(Driver!$L$182-Driver!$K$182)</f>
        <v>1.5479399516723693E-2</v>
      </c>
      <c r="AN890" s="72">
        <f>(AZ890-Driver!$K$183)/(Driver!$L$183-Driver!$K$183)</f>
        <v>0.18823529411764708</v>
      </c>
      <c r="AO890" s="72"/>
      <c r="AP890" s="72"/>
      <c r="AQ890" s="72">
        <f>(BC890-Driver!$K$188)/(Driver!$L$188-Driver!$K$188)</f>
        <v>1.2117016256561317E-2</v>
      </c>
      <c r="AR890" s="72">
        <f>MIN((BD890-Driver!$K$189)/(Driver!$L$189-Driver!$K$189),100%)</f>
        <v>1</v>
      </c>
      <c r="AS890" s="72">
        <f>(BE890-Driver!$K$190)/(Driver!$L$190-Driver!$K$190)</f>
        <v>1</v>
      </c>
      <c r="AT890" s="72">
        <f>(BF890-Driver!$K$191)/(Driver!$L$191-Driver!$K$191)</f>
        <v>4.7313710442970641E-3</v>
      </c>
      <c r="AU890" s="72">
        <f>(BG890-Driver!$K$192)/(Driver!$L$192-Driver!$K$192)</f>
        <v>3.8284188355649153E-2</v>
      </c>
      <c r="AV890" s="70">
        <f t="shared" si="504"/>
        <v>0.46126712793379465</v>
      </c>
      <c r="AW890" s="70">
        <f t="shared" si="505"/>
        <v>21.625341501134177</v>
      </c>
      <c r="AX890" s="70">
        <f t="shared" si="506"/>
        <v>4.4507683551508253</v>
      </c>
      <c r="AY890" s="70">
        <f>IFERROR(Driver!$K$19/Data!BH890/Data!BI890*Data!BK890*Data!BL890,"")</f>
        <v>1.8951403615515516E-2</v>
      </c>
      <c r="AZ890" s="70">
        <f t="shared" si="507"/>
        <v>17.155621742367835</v>
      </c>
      <c r="BA890" s="70"/>
      <c r="BB890" s="70"/>
      <c r="BC890" s="70">
        <f t="shared" si="508"/>
        <v>6.2851805684087587</v>
      </c>
      <c r="BD890" s="70">
        <f t="shared" si="509"/>
        <v>102.0882693804798</v>
      </c>
      <c r="BE890" s="70">
        <f t="shared" si="510"/>
        <v>1</v>
      </c>
      <c r="BF890" s="70">
        <f t="shared" si="511"/>
        <v>0.53437511969052776</v>
      </c>
      <c r="BG890" s="70">
        <f t="shared" si="512"/>
        <v>0.14496835978636977</v>
      </c>
      <c r="BH890" s="67">
        <f>MAX((CE890-Driver!$F$200)/(Driver!$G$200-Driver!$F$200)*$BI$1,1)</f>
        <v>4.4507683551508253</v>
      </c>
      <c r="BI890" s="67">
        <f>MAX($BI$1*(BY890-Driver!$F$201)/(Driver!$G$201-Driver!$F$201),1)</f>
        <v>8.1012658227848107</v>
      </c>
      <c r="BJ890" s="67">
        <f>(CB890-Driver!$F$206)/(Driver!$G$206-Driver!$F$206)*$BI$1</f>
        <v>1.2698412698412698</v>
      </c>
      <c r="BK890" s="67">
        <f>(CD890-Driver!$F$203)/(Driver!$G$203-Driver!$F$203)*$BI$1</f>
        <v>0.41284403669724795</v>
      </c>
      <c r="BL890" s="67">
        <f>MAX((CR890-Driver!$F$202)/(Driver!$G$202-Driver!$F$202)*$BI$1,1)</f>
        <v>8.2758620689655178</v>
      </c>
      <c r="BM890" s="67">
        <f>MAX((CH890-Driver!$F$204)/(Driver!$G$204-Driver!$F$204)*$BI$1,1)</f>
        <v>1.4529914529914532</v>
      </c>
      <c r="BN890" s="67">
        <f>(CI890-Driver!$F$205)/(Driver!$G$205-Driver!$F$205)*$BI$1</f>
        <v>2.1176470588235294</v>
      </c>
      <c r="BO890" s="67">
        <f>(CK890-Driver!$F$207)/(Driver!$G$207-Driver!$F$207)*$BI$1</f>
        <v>0.28955532574974147</v>
      </c>
      <c r="BP890" s="67">
        <f>(CM890-Driver!$F$208)/(Driver!$G$208-Driver!$F$208)*$BI$1</f>
        <v>0.6</v>
      </c>
      <c r="BQ890" s="67">
        <f>(CL890-Driver!$F$209)/(Driver!$G$209-Driver!$F$209)*$BI$1</f>
        <v>0.9375</v>
      </c>
      <c r="BR890" s="28" t="s">
        <v>155</v>
      </c>
      <c r="BS890" s="8" t="s">
        <v>167</v>
      </c>
      <c r="BT890" s="9" t="s">
        <v>677</v>
      </c>
      <c r="BU890" s="10">
        <v>156</v>
      </c>
      <c r="BV890" s="9" t="s">
        <v>158</v>
      </c>
      <c r="BW890" s="10">
        <v>156</v>
      </c>
      <c r="BX890" s="10">
        <v>155.19999999999999</v>
      </c>
      <c r="BY890" s="10">
        <v>136</v>
      </c>
      <c r="BZ890" s="10">
        <v>142</v>
      </c>
      <c r="CA890" s="10">
        <v>131</v>
      </c>
      <c r="CB890" s="10">
        <v>72</v>
      </c>
      <c r="CC890" s="10">
        <v>111</v>
      </c>
      <c r="CD890" s="10">
        <v>10.3</v>
      </c>
      <c r="CE890" s="10">
        <v>1682</v>
      </c>
      <c r="CF890" s="10">
        <v>0.84</v>
      </c>
      <c r="CG890" s="10">
        <v>1410</v>
      </c>
      <c r="CH890" s="10">
        <v>135</v>
      </c>
      <c r="CI890" s="10">
        <v>69</v>
      </c>
      <c r="CJ890" s="10">
        <v>33</v>
      </c>
      <c r="CK890" s="10">
        <v>138</v>
      </c>
      <c r="CL890" s="10">
        <v>6</v>
      </c>
      <c r="CM890" s="10">
        <v>54</v>
      </c>
      <c r="CN890" s="10">
        <v>0.17299999999999999</v>
      </c>
      <c r="CO890" s="10">
        <v>83</v>
      </c>
      <c r="CP890" s="10">
        <v>45</v>
      </c>
      <c r="CQ890" s="10">
        <v>55</v>
      </c>
      <c r="CR890" s="10">
        <v>13</v>
      </c>
      <c r="CS890" s="10">
        <v>12.2</v>
      </c>
      <c r="CT890" s="9" t="s">
        <v>349</v>
      </c>
      <c r="CU890" s="10"/>
      <c r="CV890" s="10"/>
      <c r="CW890" s="10"/>
      <c r="CX890" t="str">
        <f>INDEX('Data_Price '!AG$2:AG$1266,MATCH(Data!$DN890,'Data_Price '!$AT$2:$AT$1266,0))</f>
        <v>Head V-shape V4 Skis + Size Adjustable Pr 10 Gw Bindings 156cm Pair</v>
      </c>
      <c r="CY890" t="str">
        <f>INDEX('Data_Price '!AH$2:AH$1266,MATCH(Data!$DN890,'Data_Price '!$AT$2:$AT$1266,0))</f>
        <v>eBay - wintersportdeals</v>
      </c>
      <c r="CZ890">
        <f>INDEX('Data_Price '!AI$2:AI$1266,MATCH(Data!$DN890,'Data_Price '!$AT$2:$AT$1266,0))</f>
        <v>419.99</v>
      </c>
      <c r="DA890" t="str">
        <f>INDEX('Data_Price '!AJ$2:AJ$1266,MATCH(Data!$DN890,'Data_Price '!$AT$2:$AT$1266,0))</f>
        <v>https://tinyurl.com/y75fa5me</v>
      </c>
      <c r="DB890" t="str">
        <f>INDEX('Data_Price '!AK$2:AK$1266,MATCH(Data!$DN890,'Data_Price '!$AT$2:$AT$1266,0))</f>
        <v>Head V-Shape V4 XL LYT Skis with PR 10 GW Promo Binding Â· 2022</v>
      </c>
      <c r="DC890" t="str">
        <f>INDEX('Data_Price '!AL$2:AL$1266,MATCH(Data!$DN890,'Data_Price '!$AT$2:$AT$1266,0))</f>
        <v>Walmart - WEBY Corporation</v>
      </c>
      <c r="DD890">
        <f>INDEX('Data_Price '!AM$2:AM$1266,MATCH(Data!$DN890,'Data_Price '!$AT$2:$AT$1266,0))</f>
        <v>466</v>
      </c>
      <c r="DE890" t="str">
        <f>INDEX('Data_Price '!AN$2:AN$1266,MATCH(Data!$DN890,'Data_Price '!$AT$2:$AT$1266,0))</f>
        <v>https://tinyurl.com/y8nylzzl</v>
      </c>
      <c r="DF890" t="str">
        <f>INDEX('Data_Price '!AO$2:AO$1266,MATCH(Data!$DN890,'Data_Price '!$AT$2:$AT$1266,0))</f>
        <v>Head V-Shape V4 XL LYT Skis with PR 10 GW Promo Binding Â· 2022</v>
      </c>
      <c r="DG890" t="str">
        <f>INDEX('Data_Price '!AP$2:AP$1266,MATCH(Data!$DN890,'Data_Price '!$AT$2:$AT$1266,0))</f>
        <v>GritrOutdoors</v>
      </c>
      <c r="DH890">
        <f>INDEX('Data_Price '!AQ$2:AQ$1266,MATCH(Data!$DN890,'Data_Price '!$AT$2:$AT$1266,0))</f>
        <v>489</v>
      </c>
      <c r="DI890" t="str">
        <f>INDEX('Data_Price '!AR$2:AR$1266,MATCH(Data!$DN890,'Data_Price '!$AT$2:$AT$1266,0))</f>
        <v>https://tinyurl.com/y8efnzyv</v>
      </c>
      <c r="DJ890" s="89" t="str">
        <f t="shared" si="513"/>
        <v>https://tinyurl.com/y75fa5me</v>
      </c>
      <c r="DK890" s="89" t="str">
        <f t="shared" si="514"/>
        <v>https://tinyurl.com/y8nylzzl</v>
      </c>
      <c r="DL890" s="89" t="str">
        <f t="shared" si="515"/>
        <v>https://tinyurl.com/y8efnzyv</v>
      </c>
      <c r="DM890" s="219" t="str">
        <f t="shared" si="516"/>
        <v>V-Shape V4</v>
      </c>
      <c r="DN890" s="89" t="str">
        <f t="shared" si="517"/>
        <v xml:space="preserve"> HeadV-Shape V4156 Unisex</v>
      </c>
      <c r="DO890" s="221"/>
    </row>
    <row r="891" spans="2:119" ht="15.6" customHeight="1">
      <c r="B891" s="219" t="b">
        <f t="array" ref="B891">IF(OR(ISERROR(K891:P891)),FALSE,TRUE)</f>
        <v>1</v>
      </c>
      <c r="C891" s="43" t="b">
        <f>OR(BR891=Driver!$G$50,Data!BR179=Driver!$H$50)</f>
        <v>1</v>
      </c>
      <c r="D891" s="43" t="b">
        <f>OR(BV891=Driver!$G$51,BV891=Driver!$H$51)</f>
        <v>1</v>
      </c>
      <c r="E891" s="43" t="b">
        <f>AND(BX891&gt;Driver!$F$54,BX891&lt;Driver!$G$54)</f>
        <v>1</v>
      </c>
      <c r="F891" s="43" t="b">
        <f>CL891&gt;Driver!$F$56</f>
        <v>1</v>
      </c>
      <c r="G891" s="43" t="b">
        <f>AND(CB891&gt;Driver!$F$55,CB891&lt;Driver!$G$55)</f>
        <v>0</v>
      </c>
      <c r="H891" s="43" t="b">
        <f t="shared" si="481"/>
        <v>0</v>
      </c>
      <c r="I891" s="43">
        <f t="shared" si="482"/>
        <v>0</v>
      </c>
      <c r="J891" s="43" t="b">
        <f t="array" ref="J891">NOT(OR(($H$9:$H$1273=TRUE)*($I$9:$I$1273&gt;0)*($BT$9:$BT$1273=BT891)*($K$9:$K$1273&gt;K891)))</f>
        <v>1</v>
      </c>
      <c r="K891" s="72">
        <f t="shared" si="483"/>
        <v>0.71799690258154569</v>
      </c>
      <c r="L891" s="72">
        <f t="shared" si="484"/>
        <v>0.78808177515046363</v>
      </c>
      <c r="M891" s="72">
        <f t="shared" si="485"/>
        <v>0.64791203001262776</v>
      </c>
      <c r="N891" s="72">
        <f t="shared" si="486"/>
        <v>0.47353371324827287</v>
      </c>
      <c r="O891" s="72">
        <f t="shared" si="487"/>
        <v>0.57958590868338067</v>
      </c>
      <c r="P891" s="72">
        <f t="shared" si="488"/>
        <v>0.89061646810622985</v>
      </c>
      <c r="Q891" s="72"/>
      <c r="R891" s="72"/>
      <c r="S891" s="72">
        <f t="shared" si="489"/>
        <v>0.46881846581572972</v>
      </c>
      <c r="T891" s="72">
        <f t="shared" si="490"/>
        <v>0.55000000000000004</v>
      </c>
      <c r="U891" s="72">
        <f t="shared" si="491"/>
        <v>0.51</v>
      </c>
      <c r="V891" s="72">
        <f t="shared" si="492"/>
        <v>0.49148572456596573</v>
      </c>
      <c r="W891" s="72">
        <f t="shared" si="493"/>
        <v>0.75829280215080042</v>
      </c>
      <c r="X891" s="72">
        <f t="shared" si="494"/>
        <v>0.21191822484953632</v>
      </c>
      <c r="Y891" s="72">
        <f t="shared" si="495"/>
        <v>0.35208796998737224</v>
      </c>
      <c r="Z891" s="72">
        <f t="shared" si="496"/>
        <v>0.52646628675172713</v>
      </c>
      <c r="AA891" s="72">
        <f t="shared" si="497"/>
        <v>0.42041409131661933</v>
      </c>
      <c r="AB891" s="72">
        <f t="shared" si="498"/>
        <v>0.10938353189377015</v>
      </c>
      <c r="AC891" s="72"/>
      <c r="AD891" s="72"/>
      <c r="AE891" s="72">
        <f t="shared" si="499"/>
        <v>0.53118153418427028</v>
      </c>
      <c r="AF891" s="72">
        <f t="shared" si="500"/>
        <v>0.44999999999999996</v>
      </c>
      <c r="AG891" s="72">
        <f t="shared" si="501"/>
        <v>0.49</v>
      </c>
      <c r="AH891" s="72">
        <f t="shared" si="502"/>
        <v>0.50851427543403427</v>
      </c>
      <c r="AI891" s="72">
        <f t="shared" si="503"/>
        <v>0.24170719784919956</v>
      </c>
      <c r="AJ891" s="72">
        <f>(AV891-Driver!$K$179)/(Driver!$L$179-Driver!$K$179)</f>
        <v>4.2301184433164121E-2</v>
      </c>
      <c r="AK891" s="72">
        <f>(AW891-Driver!$K$180)/(Driver!$L$180-Driver!$K$180)</f>
        <v>0.38942595728890522</v>
      </c>
      <c r="AL891" s="72">
        <f>(AX891-Driver!$K$181)/(Driver!$L$181-Driver!$K$181)</f>
        <v>0.62815405046480732</v>
      </c>
      <c r="AM891" s="72">
        <f>(AY891-Driver!$K$182)/(Driver!$L$182-Driver!$K$182)</f>
        <v>2.6970929780427054E-2</v>
      </c>
      <c r="AN891" s="72">
        <f>(AZ891-Driver!$K$183)/(Driver!$L$183-Driver!$K$183)</f>
        <v>0.36360294117647057</v>
      </c>
      <c r="AO891" s="72"/>
      <c r="AP891" s="72"/>
      <c r="AQ891" s="72">
        <f>(BC891-Driver!$K$188)/(Driver!$L$188-Driver!$K$188)</f>
        <v>8.8818465815729691E-2</v>
      </c>
      <c r="AR891" s="72">
        <f>MIN((BD891-Driver!$K$189)/(Driver!$L$189-Driver!$K$189),100%)</f>
        <v>1</v>
      </c>
      <c r="AS891" s="72">
        <f>(BE891-Driver!$K$190)/(Driver!$L$190-Driver!$K$190)</f>
        <v>1</v>
      </c>
      <c r="AT891" s="72">
        <f>(BF891-Driver!$K$191)/(Driver!$L$191-Driver!$K$191)</f>
        <v>1.4857245659657488E-3</v>
      </c>
      <c r="AU891" s="72">
        <f>(BG891-Driver!$K$192)/(Driver!$L$192-Driver!$K$192)</f>
        <v>8.2928021508004417E-3</v>
      </c>
      <c r="AV891" s="70">
        <f t="shared" si="504"/>
        <v>0.8903133903133903</v>
      </c>
      <c r="AW891" s="70">
        <f t="shared" si="505"/>
        <v>39.824902824274247</v>
      </c>
      <c r="AX891" s="70">
        <f t="shared" si="506"/>
        <v>6.6533864541832664</v>
      </c>
      <c r="AY891" s="70">
        <f>IFERROR(Driver!$K$19/Data!BH891/Data!BI891*Data!BK891*Data!BL891,"")</f>
        <v>3.3020465399990241E-2</v>
      </c>
      <c r="AZ891" s="70">
        <f t="shared" si="507"/>
        <v>33.138495904690991</v>
      </c>
      <c r="BA891" s="70"/>
      <c r="BB891" s="70"/>
      <c r="BC891" s="70">
        <f t="shared" si="508"/>
        <v>46.070755674575999</v>
      </c>
      <c r="BD891" s="70">
        <f t="shared" si="509"/>
        <v>219.93824877325358</v>
      </c>
      <c r="BE891" s="70">
        <f t="shared" si="510"/>
        <v>1</v>
      </c>
      <c r="BF891" s="70">
        <f t="shared" si="511"/>
        <v>0.16780215192001677</v>
      </c>
      <c r="BG891" s="70">
        <f t="shared" si="512"/>
        <v>3.1401839178785293E-2</v>
      </c>
      <c r="BH891" s="67">
        <f>MAX((CE891-Driver!$F$200)/(Driver!$G$200-Driver!$F$200)*$BI$1,1)</f>
        <v>6.6533864541832664</v>
      </c>
      <c r="BI891" s="67">
        <f>MAX($BI$1*(BY891-Driver!$F$201)/(Driver!$G$201-Driver!$F$201),1)</f>
        <v>8.1645569620253173</v>
      </c>
      <c r="BJ891" s="67">
        <f>(CB891-Driver!$F$206)/(Driver!$G$206-Driver!$F$206)*$BI$1</f>
        <v>0.79365079365079361</v>
      </c>
      <c r="BK891" s="67">
        <f>(CD891-Driver!$F$203)/(Driver!$G$203-Driver!$F$203)*$BI$1</f>
        <v>1.238532110091743</v>
      </c>
      <c r="BL891" s="67">
        <f>MAX((CR891-Driver!$F$202)/(Driver!$G$202-Driver!$F$202)*$BI$1,1)</f>
        <v>7.2413793103448274</v>
      </c>
      <c r="BM891" s="67">
        <f>MAX((CH891-Driver!$F$204)/(Driver!$G$204-Driver!$F$204)*$BI$1,1)</f>
        <v>4.4871794871794872</v>
      </c>
      <c r="BN891" s="67">
        <f>(CI891-Driver!$F$205)/(Driver!$G$205-Driver!$F$205)*$BI$1</f>
        <v>4.0588235294117645</v>
      </c>
      <c r="BO891" s="67">
        <f>(CK891-Driver!$F$207)/(Driver!$G$207-Driver!$F$207)*$BI$1</f>
        <v>0.44467425025853152</v>
      </c>
      <c r="BP891" s="67">
        <f>(CM891-Driver!$F$208)/(Driver!$G$208-Driver!$F$208)*$BI$1</f>
        <v>0.58888888888888891</v>
      </c>
      <c r="BQ891" s="67">
        <f>(CL891-Driver!$F$209)/(Driver!$G$209-Driver!$F$209)*$BI$1</f>
        <v>0.9375</v>
      </c>
      <c r="BR891" s="28" t="s">
        <v>155</v>
      </c>
      <c r="BS891" s="8" t="s">
        <v>156</v>
      </c>
      <c r="BT891" s="9" t="s">
        <v>800</v>
      </c>
      <c r="BU891" s="10">
        <v>159</v>
      </c>
      <c r="BV891" s="9" t="s">
        <v>158</v>
      </c>
      <c r="BW891" s="10">
        <v>159</v>
      </c>
      <c r="BX891" s="10">
        <v>158</v>
      </c>
      <c r="BY891" s="10">
        <v>137</v>
      </c>
      <c r="BZ891" s="10">
        <v>145</v>
      </c>
      <c r="CA891" s="10">
        <v>117</v>
      </c>
      <c r="CB891" s="10">
        <v>69</v>
      </c>
      <c r="CC891" s="10">
        <v>103</v>
      </c>
      <c r="CD891" s="10">
        <v>12.1</v>
      </c>
      <c r="CE891" s="10">
        <v>2069</v>
      </c>
      <c r="CF891" s="10">
        <v>0.64</v>
      </c>
      <c r="CG891" s="10">
        <v>1334</v>
      </c>
      <c r="CH891" s="10">
        <v>206</v>
      </c>
      <c r="CI891" s="10">
        <v>102</v>
      </c>
      <c r="CJ891" s="10">
        <v>33</v>
      </c>
      <c r="CK891" s="10">
        <v>153</v>
      </c>
      <c r="CL891" s="10">
        <v>6</v>
      </c>
      <c r="CM891" s="10">
        <v>53</v>
      </c>
      <c r="CN891" s="10">
        <v>0.17100000000000001</v>
      </c>
      <c r="CO891" s="10">
        <v>81</v>
      </c>
      <c r="CP891" s="10">
        <v>54</v>
      </c>
      <c r="CQ891" s="10">
        <v>72</v>
      </c>
      <c r="CR891" s="10">
        <v>10</v>
      </c>
      <c r="CS891" s="10">
        <v>13.7</v>
      </c>
      <c r="CT891" s="9" t="s">
        <v>349</v>
      </c>
      <c r="CU891" s="10"/>
      <c r="CV891" s="10"/>
      <c r="CW891" s="10"/>
      <c r="CX891" t="str">
        <f>INDEX('Data_Price '!AG$2:AG$1266,MATCH(Data!$DN891,'Data_Price '!$AT$2:$AT$1266,0))</f>
        <v>2020 Atomic Redster G9 Fis J-rp2 Skis W/ Z 12 Bindings-159</v>
      </c>
      <c r="CY891" t="str">
        <f>INDEX('Data_Price '!AH$2:AH$1266,MATCH(Data!$DN891,'Data_Price '!$AT$2:$AT$1266,0))</f>
        <v>eBay - asogear</v>
      </c>
      <c r="CZ891">
        <f>INDEX('Data_Price '!AI$2:AI$1266,MATCH(Data!$DN891,'Data_Price '!$AT$2:$AT$1266,0))</f>
        <v>299.99</v>
      </c>
      <c r="DA891" t="str">
        <f>INDEX('Data_Price '!AJ$2:AJ$1266,MATCH(Data!$DN891,'Data_Price '!$AT$2:$AT$1266,0))</f>
        <v>https://tinyurl.com/ydg644jg</v>
      </c>
      <c r="DB891" t="str">
        <f>INDEX('Data_Price '!AK$2:AK$1266,MATCH(Data!$DN891,'Data_Price '!$AT$2:$AT$1266,0))</f>
        <v>Atomic Redster G9 159 cm Ski + Atomic Neox 12 Bindings Winter Fun Sport FIS</v>
      </c>
      <c r="DC891" t="str">
        <f>INDEX('Data_Price '!AL$2:AL$1266,MATCH(Data!$DN891,'Data_Price '!$AT$2:$AT$1266,0))</f>
        <v>Traventuria</v>
      </c>
      <c r="DD891">
        <f>INDEX('Data_Price '!AM$2:AM$1266,MATCH(Data!$DN891,'Data_Price '!$AT$2:$AT$1266,0))</f>
        <v>299.99</v>
      </c>
      <c r="DE891" t="str">
        <f>INDEX('Data_Price '!AN$2:AN$1266,MATCH(Data!$DN891,'Data_Price '!$AT$2:$AT$1266,0))</f>
        <v>https://tinyurl.com/yb2suolq</v>
      </c>
      <c r="DF891" t="str">
        <f>INDEX('Data_Price '!AO$2:AO$1266,MATCH(Data!$DN891,'Data_Price '!$AT$2:$AT$1266,0))</f>
        <v>Atomic Redster G9 Fis J-RP Junior Race Skis 159cm</v>
      </c>
      <c r="DG891" t="str">
        <f>INDEX('Data_Price '!AP$2:AP$1266,MATCH(Data!$DN891,'Data_Price '!$AT$2:$AT$1266,0))</f>
        <v>sidecountrysports.com</v>
      </c>
      <c r="DH891">
        <f>INDEX('Data_Price '!AQ$2:AQ$1266,MATCH(Data!$DN891,'Data_Price '!$AT$2:$AT$1266,0))</f>
        <v>399.99</v>
      </c>
      <c r="DI891" t="str">
        <f>INDEX('Data_Price '!AR$2:AR$1266,MATCH(Data!$DN891,'Data_Price '!$AT$2:$AT$1266,0))</f>
        <v>https://tinyurl.com/y8mzobo3</v>
      </c>
      <c r="DJ891" s="89" t="str">
        <f t="shared" si="513"/>
        <v>https://tinyurl.com/ydg644jg</v>
      </c>
      <c r="DK891" s="89" t="str">
        <f t="shared" si="514"/>
        <v>https://tinyurl.com/yb2suolq</v>
      </c>
      <c r="DL891" s="89" t="str">
        <f t="shared" si="515"/>
        <v>https://tinyurl.com/y8mzobo3</v>
      </c>
      <c r="DM891" s="219" t="str">
        <f t="shared" si="516"/>
        <v>Redster S9 Servo</v>
      </c>
      <c r="DN891" s="89" t="str">
        <f t="shared" si="517"/>
        <v xml:space="preserve"> AtomicRedster S9 Servo159 Unisex</v>
      </c>
      <c r="DO891" s="221"/>
    </row>
    <row r="892" spans="2:119" ht="15.6" customHeight="1">
      <c r="B892" s="219" t="b">
        <f t="array" ref="B892">IF(OR(ISERROR(K892:P892)),FALSE,TRUE)</f>
        <v>1</v>
      </c>
      <c r="C892" s="43" t="b">
        <f>OR(BR892=Driver!$G$50,Data!BR364=Driver!$H$50)</f>
        <v>1</v>
      </c>
      <c r="D892" s="43" t="b">
        <f>OR(BV892=Driver!$G$51,BV892=Driver!$H$51)</f>
        <v>1</v>
      </c>
      <c r="E892" s="43" t="b">
        <f>AND(BX892&gt;Driver!$F$54,BX892&lt;Driver!$G$54)</f>
        <v>0</v>
      </c>
      <c r="F892" s="43" t="b">
        <f>CL892&gt;Driver!$F$56</f>
        <v>1</v>
      </c>
      <c r="G892" s="43" t="b">
        <f>AND(CB892&gt;Driver!$F$55,CB892&lt;Driver!$G$55)</f>
        <v>0</v>
      </c>
      <c r="H892" s="43" t="b">
        <f t="shared" si="481"/>
        <v>0</v>
      </c>
      <c r="I892" s="43">
        <f t="shared" si="482"/>
        <v>0</v>
      </c>
      <c r="J892" s="43" t="b">
        <f t="array" ref="J892">NOT(OR(($H$9:$H$1273=TRUE)*($I$9:$I$1273&gt;0)*($BT$9:$BT$1273=BT892)*($K$9:$K$1273&gt;K892)))</f>
        <v>1</v>
      </c>
      <c r="K892" s="72">
        <f t="shared" si="483"/>
        <v>0.87127451997884942</v>
      </c>
      <c r="L892" s="72">
        <f t="shared" si="484"/>
        <v>0.8781631545719446</v>
      </c>
      <c r="M892" s="72">
        <f t="shared" si="485"/>
        <v>0.86438588538575423</v>
      </c>
      <c r="N892" s="72">
        <f t="shared" si="486"/>
        <v>0.94340027873236809</v>
      </c>
      <c r="O892" s="72">
        <f t="shared" si="487"/>
        <v>0.73649312657687593</v>
      </c>
      <c r="P892" s="72">
        <f t="shared" si="488"/>
        <v>0.91326425084801854</v>
      </c>
      <c r="Q892" s="72"/>
      <c r="R892" s="72"/>
      <c r="S892" s="72">
        <f t="shared" si="489"/>
        <v>0.42746607451603413</v>
      </c>
      <c r="T892" s="72">
        <f t="shared" si="490"/>
        <v>0.44757036679632289</v>
      </c>
      <c r="U892" s="72">
        <f t="shared" si="491"/>
        <v>0.65658434586448244</v>
      </c>
      <c r="V892" s="72">
        <f t="shared" si="492"/>
        <v>0.57714835954500954</v>
      </c>
      <c r="W892" s="72">
        <f t="shared" si="493"/>
        <v>0.85519532288068034</v>
      </c>
      <c r="X892" s="72">
        <f t="shared" si="494"/>
        <v>0.1218368454280554</v>
      </c>
      <c r="Y892" s="72">
        <f t="shared" si="495"/>
        <v>0.1356141146142458</v>
      </c>
      <c r="Z892" s="72">
        <f t="shared" si="496"/>
        <v>5.6599721267631867E-2</v>
      </c>
      <c r="AA892" s="72">
        <f t="shared" si="497"/>
        <v>0.26350687342312407</v>
      </c>
      <c r="AB892" s="72">
        <f t="shared" si="498"/>
        <v>8.6735749151981484E-2</v>
      </c>
      <c r="AC892" s="72"/>
      <c r="AD892" s="72"/>
      <c r="AE892" s="72">
        <f t="shared" si="499"/>
        <v>0.57253392548396587</v>
      </c>
      <c r="AF892" s="72">
        <f t="shared" si="500"/>
        <v>0.55242963320367711</v>
      </c>
      <c r="AG892" s="72">
        <f t="shared" si="501"/>
        <v>0.3434156541355175</v>
      </c>
      <c r="AH892" s="72">
        <f t="shared" si="502"/>
        <v>0.42285164045499041</v>
      </c>
      <c r="AI892" s="72">
        <f t="shared" si="503"/>
        <v>0.14480467711931969</v>
      </c>
      <c r="AJ892" s="72">
        <f>(AV892-Driver!$K$179)/(Driver!$L$179-Driver!$K$179)</f>
        <v>0.13238256385464503</v>
      </c>
      <c r="AK892" s="72">
        <f>(AW892-Driver!$K$180)/(Driver!$L$180-Driver!$K$180)</f>
        <v>0.16460432528375316</v>
      </c>
      <c r="AL892" s="72">
        <f>(AX892-Driver!$K$181)/(Driver!$L$181-Driver!$K$181)</f>
        <v>0.15828748498071205</v>
      </c>
      <c r="AM892" s="72">
        <f>(AY892-Driver!$K$182)/(Driver!$L$182-Driver!$K$182)</f>
        <v>0.1838781476739223</v>
      </c>
      <c r="AN892" s="72">
        <f>(AZ892-Driver!$K$183)/(Driver!$L$183-Driver!$K$183)</f>
        <v>0.16748366013071894</v>
      </c>
      <c r="AO892" s="72"/>
      <c r="AP892" s="72"/>
      <c r="AQ892" s="72">
        <f>(BC892-Driver!$K$188)/(Driver!$L$188-Driver!$K$188)</f>
        <v>4.7466074516034101E-2</v>
      </c>
      <c r="AR892" s="72">
        <f>MIN((BD892-Driver!$K$189)/(Driver!$L$189-Driver!$K$189),100%)</f>
        <v>-2.4296332036770609E-3</v>
      </c>
      <c r="AS892" s="72">
        <f>(BE892-Driver!$K$190)/(Driver!$L$190-Driver!$K$190)</f>
        <v>0.16658434586448251</v>
      </c>
      <c r="AT892" s="72">
        <f>(BF892-Driver!$K$191)/(Driver!$L$191-Driver!$K$191)</f>
        <v>8.7148359545009588E-2</v>
      </c>
      <c r="AU892" s="72">
        <f>(BG892-Driver!$K$192)/(Driver!$L$192-Driver!$K$192)</f>
        <v>0.10519532288068031</v>
      </c>
      <c r="AV892" s="70">
        <f t="shared" si="504"/>
        <v>2.786256952923619</v>
      </c>
      <c r="AW892" s="70">
        <f t="shared" si="505"/>
        <v>17.914042663057177</v>
      </c>
      <c r="AX892" s="70">
        <f t="shared" si="506"/>
        <v>2.4245873648264085</v>
      </c>
      <c r="AY892" s="70">
        <f>IFERROR(Driver!$K$19/Data!BH892/Data!BI892*Data!BK892*Data!BL892,"")</f>
        <v>0.22512171669689129</v>
      </c>
      <c r="AZ892" s="70">
        <f t="shared" si="507"/>
        <v>15.264333581533878</v>
      </c>
      <c r="BA892" s="70"/>
      <c r="BB892" s="70"/>
      <c r="BC892" s="70">
        <f t="shared" si="508"/>
        <v>24.620982830263486</v>
      </c>
      <c r="BD892" s="70">
        <f t="shared" si="509"/>
        <v>1.5058046506276004</v>
      </c>
      <c r="BE892" s="70">
        <f t="shared" si="510"/>
        <v>0.16673301783668751</v>
      </c>
      <c r="BF892" s="70">
        <f t="shared" si="511"/>
        <v>9.8427949587319876</v>
      </c>
      <c r="BG892" s="70">
        <f t="shared" si="512"/>
        <v>0.39833659978740371</v>
      </c>
      <c r="BH892" s="67">
        <f>MAX((CE892-Driver!$F$200)/(Driver!$G$200-Driver!$F$200)*$BI$1,1)</f>
        <v>2.4245873648264085</v>
      </c>
      <c r="BI892" s="67">
        <f>MAX($BI$1*(BY892-Driver!$F$201)/(Driver!$G$201-Driver!$F$201),1)</f>
        <v>6.3291139240506329</v>
      </c>
      <c r="BJ892" s="67">
        <f>(CB892-Driver!$F$206)/(Driver!$G$206-Driver!$F$206)*$BI$1</f>
        <v>4.92063492063492</v>
      </c>
      <c r="BK892" s="67">
        <f>(CD892-Driver!$F$203)/(Driver!$G$203-Driver!$F$203)*$BI$1</f>
        <v>3.5779816513761471</v>
      </c>
      <c r="BL892" s="67">
        <f>MAX((CR892-Driver!$F$202)/(Driver!$G$202-Driver!$F$202)*$BI$1,1)</f>
        <v>4.8275862068965516</v>
      </c>
      <c r="BM892" s="67">
        <f>MAX((CH892-Driver!$F$204)/(Driver!$G$204-Driver!$F$204)*$BI$1,1)</f>
        <v>2.2649572649572649</v>
      </c>
      <c r="BN892" s="67">
        <f>(CI892-Driver!$F$205)/(Driver!$G$205-Driver!$F$205)*$BI$1</f>
        <v>2.4117647058823528</v>
      </c>
      <c r="BO892" s="67">
        <f>(CK892-Driver!$F$207)/(Driver!$G$207-Driver!$F$207)*$BI$1</f>
        <v>2.8128231644260597</v>
      </c>
      <c r="BP892" s="67">
        <f>(CM892-Driver!$F$208)/(Driver!$G$208-Driver!$F$208)*$BI$1</f>
        <v>2.5444444444444443</v>
      </c>
      <c r="BQ892" s="67">
        <f>(CL892-Driver!$F$209)/(Driver!$G$209-Driver!$F$209)*$BI$1</f>
        <v>2.1875</v>
      </c>
      <c r="BR892" s="28" t="s">
        <v>155</v>
      </c>
      <c r="BS892" s="8" t="s">
        <v>329</v>
      </c>
      <c r="BT892" s="9" t="s">
        <v>425</v>
      </c>
      <c r="BU892" s="10">
        <v>170</v>
      </c>
      <c r="BV892" s="9" t="s">
        <v>158</v>
      </c>
      <c r="BW892" s="10">
        <v>170</v>
      </c>
      <c r="BX892" s="10">
        <v>169</v>
      </c>
      <c r="BY892" s="10">
        <v>108</v>
      </c>
      <c r="BZ892" s="10">
        <v>136</v>
      </c>
      <c r="CA892" s="10">
        <v>123</v>
      </c>
      <c r="CB892" s="10">
        <v>95</v>
      </c>
      <c r="CC892" s="10">
        <v>112</v>
      </c>
      <c r="CD892" s="10">
        <v>17.2</v>
      </c>
      <c r="CE892" s="10">
        <v>1326</v>
      </c>
      <c r="CF892" s="10">
        <v>1.33</v>
      </c>
      <c r="CG892" s="10">
        <v>1760</v>
      </c>
      <c r="CH892" s="10">
        <v>154</v>
      </c>
      <c r="CI892" s="10">
        <v>74</v>
      </c>
      <c r="CJ892" s="10">
        <v>62</v>
      </c>
      <c r="CK892" s="10">
        <v>382</v>
      </c>
      <c r="CL892" s="10">
        <v>14</v>
      </c>
      <c r="CM892" s="10">
        <v>229</v>
      </c>
      <c r="CN892" s="10">
        <v>0.23300000000000001</v>
      </c>
      <c r="CO892" s="10">
        <v>172</v>
      </c>
      <c r="CP892" s="10">
        <v>155</v>
      </c>
      <c r="CQ892" s="10">
        <v>210</v>
      </c>
      <c r="CR892" s="10">
        <v>3</v>
      </c>
      <c r="CS892" s="10">
        <v>8.6</v>
      </c>
      <c r="CT892" s="9" t="s">
        <v>185</v>
      </c>
      <c r="CU892" s="9" t="s">
        <v>198</v>
      </c>
      <c r="CV892" s="10"/>
      <c r="CW892" s="10"/>
      <c r="CX892" t="str">
        <f>INDEX('Data_Price '!AG$2:AG$1266,MATCH(Data!$DN892,'Data_Price '!$AT$2:$AT$1266,0))</f>
        <v>Dynafit Beast 98</v>
      </c>
      <c r="CY892" t="str">
        <f>INDEX('Data_Price '!AH$2:AH$1266,MATCH(Data!$DN892,'Data_Price '!$AT$2:$AT$1266,0))</f>
        <v>Idaho Mountain Touring</v>
      </c>
      <c r="CZ892">
        <f>INDEX('Data_Price '!AI$2:AI$1266,MATCH(Data!$DN892,'Data_Price '!$AT$2:$AT$1266,0))</f>
        <v>457.61</v>
      </c>
      <c r="DA892" t="str">
        <f>INDEX('Data_Price '!AJ$2:AJ$1266,MATCH(Data!$DN892,'Data_Price '!$AT$2:$AT$1266,0))</f>
        <v>https://tinyurl.com/y8vzr7a9</v>
      </c>
      <c r="DB892" t="str">
        <f>INDEX('Data_Price '!AK$2:AK$1266,MATCH(Data!$DN892,'Data_Price '!$AT$2:$AT$1266,0))</f>
        <v>2018-19 Dynafit Beast 98 Touring And Freeride Ski</v>
      </c>
      <c r="DC892" t="str">
        <f>INDEX('Data_Price '!AL$2:AL$1266,MATCH(Data!$DN892,'Data_Price '!$AT$2:$AT$1266,0))</f>
        <v>eBay - anything-technical-limited</v>
      </c>
      <c r="DD892">
        <f>INDEX('Data_Price '!AM$2:AM$1266,MATCH(Data!$DN892,'Data_Price '!$AT$2:$AT$1266,0))</f>
        <v>617.1</v>
      </c>
      <c r="DE892" t="str">
        <f>INDEX('Data_Price '!AN$2:AN$1266,MATCH(Data!$DN892,'Data_Price '!$AT$2:$AT$1266,0))</f>
        <v>https://tinyurl.com/y75dhquc</v>
      </c>
      <c r="DF892" t="str">
        <f>INDEX('Data_Price '!AO$2:AO$1266,MATCH(Data!$DN892,'Data_Price '!$AT$2:$AT$1266,0))</f>
        <v>Dynafit Women's Free 97 Ski</v>
      </c>
      <c r="DG892" t="str">
        <f>INDEX('Data_Price '!AP$2:AP$1266,MATCH(Data!$DN892,'Data_Price '!$AT$2:$AT$1266,0))</f>
        <v>! OutdoorXL.com</v>
      </c>
      <c r="DH892">
        <f>INDEX('Data_Price '!AQ$2:AQ$1266,MATCH(Data!$DN892,'Data_Price '!$AT$2:$AT$1266,0))</f>
        <v>449.95</v>
      </c>
      <c r="DI892" t="str">
        <f>INDEX('Data_Price '!AR$2:AR$1266,MATCH(Data!$DN892,'Data_Price '!$AT$2:$AT$1266,0))</f>
        <v>https://tinyurl.com/y83942b9</v>
      </c>
      <c r="DJ892" s="89" t="str">
        <f t="shared" si="513"/>
        <v>https://tinyurl.com/y8vzr7a9</v>
      </c>
      <c r="DK892" s="89" t="str">
        <f t="shared" si="514"/>
        <v>https://tinyurl.com/y75dhquc</v>
      </c>
      <c r="DL892" s="89" t="str">
        <f t="shared" si="515"/>
        <v>https://tinyurl.com/y83942b9</v>
      </c>
      <c r="DM892" s="219" t="str">
        <f t="shared" si="516"/>
        <v>Beast 98</v>
      </c>
      <c r="DN892" s="89" t="str">
        <f t="shared" si="517"/>
        <v xml:space="preserve"> DynafitBeast 98170 Unisex</v>
      </c>
      <c r="DO892" s="221"/>
    </row>
    <row r="893" spans="2:119" ht="15.6" customHeight="1">
      <c r="B893" s="219" t="b">
        <f t="array" ref="B893">IF(OR(ISERROR(K893:P893)),FALSE,TRUE)</f>
        <v>1</v>
      </c>
      <c r="C893" s="43" t="b">
        <f>OR(BR893=Driver!$G$50,Data!BR378=Driver!$H$50)</f>
        <v>1</v>
      </c>
      <c r="D893" s="43" t="b">
        <f>OR(BV893=Driver!$G$51,BV893=Driver!$H$51)</f>
        <v>1</v>
      </c>
      <c r="E893" s="43" t="b">
        <f>AND(BX893&gt;Driver!$F$54,BX893&lt;Driver!$G$54)</f>
        <v>1</v>
      </c>
      <c r="F893" s="43" t="b">
        <f>CL893&gt;Driver!$F$56</f>
        <v>1</v>
      </c>
      <c r="G893" s="43" t="b">
        <f>AND(CB893&gt;Driver!$F$55,CB893&lt;Driver!$G$55)</f>
        <v>0</v>
      </c>
      <c r="H893" s="43" t="b">
        <f t="shared" si="481"/>
        <v>0</v>
      </c>
      <c r="I893" s="43">
        <f t="shared" si="482"/>
        <v>0</v>
      </c>
      <c r="J893" s="43" t="b">
        <f t="array" ref="J893">NOT(OR(($H$9:$H$1273=TRUE)*($I$9:$I$1273&gt;0)*($BT$9:$BT$1273=BT893)*($K$9:$K$1273&gt;K893)))</f>
        <v>1</v>
      </c>
      <c r="K893" s="72">
        <f t="shared" si="483"/>
        <v>0.78946512890082454</v>
      </c>
      <c r="L893" s="72">
        <f t="shared" si="484"/>
        <v>0.86059809132160225</v>
      </c>
      <c r="M893" s="72">
        <f t="shared" si="485"/>
        <v>0.71833216648004683</v>
      </c>
      <c r="N893" s="72">
        <f t="shared" si="486"/>
        <v>0.57345150240908993</v>
      </c>
      <c r="O893" s="72">
        <f t="shared" si="487"/>
        <v>0.63821538670590761</v>
      </c>
      <c r="P893" s="72">
        <f t="shared" si="488"/>
        <v>0.94332961032514273</v>
      </c>
      <c r="Q893" s="72"/>
      <c r="R893" s="72"/>
      <c r="S893" s="72">
        <f t="shared" si="489"/>
        <v>0.46068222531035563</v>
      </c>
      <c r="T893" s="72">
        <f t="shared" si="490"/>
        <v>0.53090171241583572</v>
      </c>
      <c r="U893" s="72">
        <f t="shared" si="491"/>
        <v>0.56695679690862821</v>
      </c>
      <c r="V893" s="72">
        <f t="shared" si="492"/>
        <v>0.49874698780419402</v>
      </c>
      <c r="W893" s="72">
        <f t="shared" si="493"/>
        <v>0.76566172106824926</v>
      </c>
      <c r="X893" s="72">
        <f t="shared" si="494"/>
        <v>0.1394019086783978</v>
      </c>
      <c r="Y893" s="72">
        <f t="shared" si="495"/>
        <v>0.28166783351995323</v>
      </c>
      <c r="Z893" s="72">
        <f t="shared" si="496"/>
        <v>0.42654849759091007</v>
      </c>
      <c r="AA893" s="72">
        <f t="shared" si="497"/>
        <v>0.36178461329409239</v>
      </c>
      <c r="AB893" s="72">
        <f t="shared" si="498"/>
        <v>5.6670389674857297E-2</v>
      </c>
      <c r="AC893" s="72"/>
      <c r="AD893" s="72"/>
      <c r="AE893" s="72">
        <f t="shared" si="499"/>
        <v>0.53931777468964437</v>
      </c>
      <c r="AF893" s="72">
        <f t="shared" si="500"/>
        <v>0.46909828758416428</v>
      </c>
      <c r="AG893" s="72">
        <f t="shared" si="501"/>
        <v>0.43304320309137179</v>
      </c>
      <c r="AH893" s="72">
        <f t="shared" si="502"/>
        <v>0.50125301219580598</v>
      </c>
      <c r="AI893" s="72">
        <f t="shared" si="503"/>
        <v>0.23433827893175074</v>
      </c>
      <c r="AJ893" s="72">
        <f>(AV893-Driver!$K$179)/(Driver!$L$179-Driver!$K$179)</f>
        <v>0.11481750060430262</v>
      </c>
      <c r="AK893" s="72">
        <f>(AW893-Driver!$K$180)/(Driver!$L$180-Driver!$K$180)</f>
        <v>0.2256490746613759</v>
      </c>
      <c r="AL893" s="72">
        <f>(AX893-Driver!$K$181)/(Driver!$L$181-Driver!$K$181)</f>
        <v>0.52823626130399026</v>
      </c>
      <c r="AM893" s="72">
        <f>(AY893-Driver!$K$182)/(Driver!$L$182-Driver!$K$182)</f>
        <v>8.5600407802953998E-2</v>
      </c>
      <c r="AN893" s="72">
        <f>(AZ893-Driver!$K$183)/(Driver!$L$183-Driver!$K$183)</f>
        <v>0.19754901960784313</v>
      </c>
      <c r="AO893" s="72"/>
      <c r="AP893" s="72"/>
      <c r="AQ893" s="72">
        <f>(BC893-Driver!$K$188)/(Driver!$L$188-Driver!$K$188)</f>
        <v>8.0682225310355668E-2</v>
      </c>
      <c r="AR893" s="72">
        <f>MIN((BD893-Driver!$K$189)/(Driver!$L$189-Driver!$K$189),100%)</f>
        <v>8.0901712415835783E-2</v>
      </c>
      <c r="AS893" s="72">
        <f>(BE893-Driver!$K$190)/(Driver!$L$190-Driver!$K$190)</f>
        <v>0.9430432030913718</v>
      </c>
      <c r="AT893" s="72">
        <f>(BF893-Driver!$K$191)/(Driver!$L$191-Driver!$K$191)</f>
        <v>8.7469878041940806E-3</v>
      </c>
      <c r="AU893" s="72">
        <f>(BG893-Driver!$K$192)/(Driver!$L$192-Driver!$K$192)</f>
        <v>1.5661721068249257E-2</v>
      </c>
      <c r="AV893" s="70">
        <f t="shared" si="504"/>
        <v>2.4165649165649166</v>
      </c>
      <c r="AW893" s="70">
        <f t="shared" si="505"/>
        <v>23.863394401412066</v>
      </c>
      <c r="AX893" s="70">
        <f t="shared" si="506"/>
        <v>5.7541263517359127</v>
      </c>
      <c r="AY893" s="70">
        <f>IFERROR(Driver!$K$19/Data!BH893/Data!BI893*Data!BK893*Data!BL893,"")</f>
        <v>0.10480043984741493</v>
      </c>
      <c r="AZ893" s="70">
        <f t="shared" si="507"/>
        <v>18.00446760982874</v>
      </c>
      <c r="BA893" s="70"/>
      <c r="BB893" s="70"/>
      <c r="BC893" s="70">
        <f t="shared" si="508"/>
        <v>41.850431162212139</v>
      </c>
      <c r="BD893" s="70">
        <f t="shared" si="509"/>
        <v>8.8804810835472203</v>
      </c>
      <c r="BE893" s="70">
        <f t="shared" si="510"/>
        <v>0.94305336354286429</v>
      </c>
      <c r="BF893" s="70">
        <f t="shared" si="511"/>
        <v>0.98791082141650888</v>
      </c>
      <c r="BG893" s="70">
        <f t="shared" si="512"/>
        <v>5.9305267062314544E-2</v>
      </c>
      <c r="BH893" s="67">
        <f>MAX((CE893-Driver!$F$200)/(Driver!$G$200-Driver!$F$200)*$BI$1,1)</f>
        <v>5.7541263517359127</v>
      </c>
      <c r="BI893" s="67">
        <f>MAX($BI$1*(BY893-Driver!$F$201)/(Driver!$G$201-Driver!$F$201),1)</f>
        <v>7.8481012658227849</v>
      </c>
      <c r="BJ893" s="67">
        <f>(CB893-Driver!$F$206)/(Driver!$G$206-Driver!$F$206)*$BI$1</f>
        <v>3.0158730158730158</v>
      </c>
      <c r="BK893" s="67">
        <f>(CD893-Driver!$F$203)/(Driver!$G$203-Driver!$F$203)*$BI$1</f>
        <v>4.0366972477064227</v>
      </c>
      <c r="BL893" s="67">
        <f>MAX((CR893-Driver!$F$202)/(Driver!$G$202-Driver!$F$202)*$BI$1,1)</f>
        <v>5.8620689655172411</v>
      </c>
      <c r="BM893" s="67">
        <f>MAX((CH893-Driver!$F$204)/(Driver!$G$204-Driver!$F$204)*$BI$1,1)</f>
        <v>3.2051282051282053</v>
      </c>
      <c r="BN893" s="67">
        <f>(CI893-Driver!$F$205)/(Driver!$G$205-Driver!$F$205)*$BI$1</f>
        <v>2.2941176470588234</v>
      </c>
      <c r="BO893" s="67">
        <f>(CK893-Driver!$F$207)/(Driver!$G$207-Driver!$F$207)*$BI$1</f>
        <v>1.4167528438469492</v>
      </c>
      <c r="BP893" s="67">
        <f>(CM893-Driver!$F$208)/(Driver!$G$208-Driver!$F$208)*$BI$1</f>
        <v>0.93333333333333335</v>
      </c>
      <c r="BQ893" s="67">
        <f>(CL893-Driver!$F$209)/(Driver!$G$209-Driver!$F$209)*$BI$1</f>
        <v>1.09375</v>
      </c>
      <c r="BR893" s="28" t="s">
        <v>155</v>
      </c>
      <c r="BS893" s="8" t="s">
        <v>329</v>
      </c>
      <c r="BT893" s="9" t="s">
        <v>682</v>
      </c>
      <c r="BU893" s="10">
        <v>166</v>
      </c>
      <c r="BV893" s="9" t="s">
        <v>158</v>
      </c>
      <c r="BW893" s="10">
        <v>166</v>
      </c>
      <c r="BX893" s="10">
        <v>165.4</v>
      </c>
      <c r="BY893" s="10">
        <v>132</v>
      </c>
      <c r="BZ893" s="10">
        <v>139</v>
      </c>
      <c r="CA893" s="10">
        <v>113</v>
      </c>
      <c r="CB893" s="10">
        <v>83</v>
      </c>
      <c r="CC893" s="10">
        <v>103</v>
      </c>
      <c r="CD893" s="10">
        <v>18.2</v>
      </c>
      <c r="CE893" s="10">
        <v>1911</v>
      </c>
      <c r="CF893" s="10">
        <v>0.81</v>
      </c>
      <c r="CG893" s="10">
        <v>1544</v>
      </c>
      <c r="CH893" s="10">
        <v>176</v>
      </c>
      <c r="CI893" s="10">
        <v>72</v>
      </c>
      <c r="CJ893" s="10">
        <v>47</v>
      </c>
      <c r="CK893" s="10">
        <v>247</v>
      </c>
      <c r="CL893" s="10">
        <v>7</v>
      </c>
      <c r="CM893" s="10">
        <v>84</v>
      </c>
      <c r="CN893" s="10">
        <v>0.14899999999999999</v>
      </c>
      <c r="CO893" s="10">
        <v>185</v>
      </c>
      <c r="CP893" s="10">
        <v>79</v>
      </c>
      <c r="CQ893" s="10">
        <v>62</v>
      </c>
      <c r="CR893" s="10">
        <v>6</v>
      </c>
      <c r="CS893" s="10">
        <v>11.8</v>
      </c>
      <c r="CT893" s="9" t="s">
        <v>349</v>
      </c>
      <c r="CU893" s="9" t="s">
        <v>231</v>
      </c>
      <c r="CV893" s="9" t="s">
        <v>188</v>
      </c>
      <c r="CW893" s="10"/>
      <c r="CX893" t="str">
        <f>INDEX('Data_Price '!AG$2:AG$1266,MATCH(Data!$DN893,'Data_Price '!$AT$2:$AT$1266,0))</f>
        <v>Dynafit Seven Summits Ski Blue, Mens/Womens Backcountry Skis, Size 166cm - Color Blue - Red</v>
      </c>
      <c r="CY893" t="str">
        <f>INDEX('Data_Price '!AH$2:AH$1266,MATCH(Data!$DN893,'Data_Price '!$AT$2:$AT$1266,0))</f>
        <v>eXXpozed.com</v>
      </c>
      <c r="CZ893">
        <f>INDEX('Data_Price '!AI$2:AI$1266,MATCH(Data!$DN893,'Data_Price '!$AT$2:$AT$1266,0))</f>
        <v>397.04</v>
      </c>
      <c r="DA893" t="str">
        <f>INDEX('Data_Price '!AJ$2:AJ$1266,MATCH(Data!$DN893,'Data_Price '!$AT$2:$AT$1266,0))</f>
        <v>https://tinyurl.com/y7v8zf3s</v>
      </c>
      <c r="DB893" t="str">
        <f>INDEX('Data_Price '!AK$2:AK$1266,MATCH(Data!$DN893,'Data_Price '!$AT$2:$AT$1266,0))</f>
        <v>Dynafit Seven Summits + Ski Set Â· 166 cm</v>
      </c>
      <c r="DC893" t="str">
        <f>INDEX('Data_Price '!AL$2:AL$1266,MATCH(Data!$DN893,'Data_Price '!$AT$2:$AT$1266,0))</f>
        <v>Next Adventure</v>
      </c>
      <c r="DD893">
        <f>INDEX('Data_Price '!AM$2:AM$1266,MATCH(Data!$DN893,'Data_Price '!$AT$2:$AT$1266,0))</f>
        <v>629.97</v>
      </c>
      <c r="DE893" t="str">
        <f>INDEX('Data_Price '!AN$2:AN$1266,MATCH(Data!$DN893,'Data_Price '!$AT$2:$AT$1266,0))</f>
        <v>https://tinyurl.com/y7eva835</v>
      </c>
      <c r="DF893" t="str">
        <f>INDEX('Data_Price '!AO$2:AO$1266,MATCH(Data!$DN893,'Data_Price '!$AT$2:$AT$1266,0))</f>
        <v>Dynafit Seven Summits + Ski Set Â· 166 cm</v>
      </c>
      <c r="DG893" t="str">
        <f>INDEX('Data_Price '!AP$2:AP$1266,MATCH(Data!$DN893,'Data_Price '!$AT$2:$AT$1266,0))</f>
        <v>Curated</v>
      </c>
      <c r="DH893">
        <f>INDEX('Data_Price '!AQ$2:AQ$1266,MATCH(Data!$DN893,'Data_Price '!$AT$2:$AT$1266,0))</f>
        <v>719.99</v>
      </c>
      <c r="DI893" t="str">
        <f>INDEX('Data_Price '!AR$2:AR$1266,MATCH(Data!$DN893,'Data_Price '!$AT$2:$AT$1266,0))</f>
        <v>https://tinyurl.com/y92hmjgp</v>
      </c>
      <c r="DJ893" s="89" t="str">
        <f t="shared" si="513"/>
        <v>https://tinyurl.com/y7v8zf3s</v>
      </c>
      <c r="DK893" s="89" t="str">
        <f t="shared" si="514"/>
        <v>https://tinyurl.com/y7eva835</v>
      </c>
      <c r="DL893" s="89" t="str">
        <f t="shared" si="515"/>
        <v>https://tinyurl.com/y92hmjgp</v>
      </c>
      <c r="DM893" s="219" t="str">
        <f t="shared" si="516"/>
        <v>Seven Summits</v>
      </c>
      <c r="DN893" s="89" t="str">
        <f t="shared" si="517"/>
        <v xml:space="preserve"> DynafitSeven Summits166 Unisex</v>
      </c>
      <c r="DO893" s="221" t="s">
        <v>683</v>
      </c>
    </row>
    <row r="894" spans="2:119" ht="15.6" customHeight="1">
      <c r="B894" s="219" t="b">
        <f t="array" ref="B894">IF(OR(ISERROR(K894:P894)),FALSE,TRUE)</f>
        <v>1</v>
      </c>
      <c r="C894" s="43" t="b">
        <f>OR(BR894=Driver!$G$50,Data!BR793=Driver!$H$50)</f>
        <v>1</v>
      </c>
      <c r="D894" s="43" t="b">
        <f>OR(BV894=Driver!$G$51,BV894=Driver!$H$51)</f>
        <v>1</v>
      </c>
      <c r="E894" s="43" t="b">
        <f>AND(BX894&gt;Driver!$F$54,BX894&lt;Driver!$G$54)</f>
        <v>0</v>
      </c>
      <c r="F894" s="43" t="b">
        <f>CL894&gt;Driver!$F$56</f>
        <v>1</v>
      </c>
      <c r="G894" s="43" t="b">
        <f>AND(CB894&gt;Driver!$F$55,CB894&lt;Driver!$G$55)</f>
        <v>0</v>
      </c>
      <c r="H894" s="43" t="b">
        <f t="shared" si="481"/>
        <v>0</v>
      </c>
      <c r="I894" s="43">
        <f t="shared" si="482"/>
        <v>0</v>
      </c>
      <c r="J894" s="43" t="b">
        <f t="array" ref="J894">NOT(OR(($H$9:$H$1273=TRUE)*($I$9:$I$1273&gt;0)*($BT$9:$BT$1273=BT894)*($K$9:$K$1273&gt;K894)))</f>
        <v>1</v>
      </c>
      <c r="K894" s="72">
        <f t="shared" si="483"/>
        <v>0.91806622835121088</v>
      </c>
      <c r="L894" s="72">
        <f t="shared" si="484"/>
        <v>0.91812770215070538</v>
      </c>
      <c r="M894" s="72">
        <f t="shared" si="485"/>
        <v>0.91800475455171637</v>
      </c>
      <c r="N894" s="72">
        <f t="shared" si="486"/>
        <v>0.98134374297065308</v>
      </c>
      <c r="O894" s="72">
        <f t="shared" si="487"/>
        <v>0.81365463584954945</v>
      </c>
      <c r="P894" s="72">
        <f t="shared" si="488"/>
        <v>0.9590158848349466</v>
      </c>
      <c r="Q894" s="72"/>
      <c r="R894" s="72"/>
      <c r="S894" s="72">
        <f t="shared" si="489"/>
        <v>0.45980178118915227</v>
      </c>
      <c r="T894" s="72">
        <f t="shared" si="490"/>
        <v>0.44599713566709576</v>
      </c>
      <c r="U894" s="72">
        <f t="shared" si="491"/>
        <v>0.51</v>
      </c>
      <c r="V894" s="72">
        <f t="shared" si="492"/>
        <v>0.52220963413188826</v>
      </c>
      <c r="W894" s="72">
        <f t="shared" si="493"/>
        <v>0.79030648610121168</v>
      </c>
      <c r="X894" s="72">
        <f t="shared" si="494"/>
        <v>8.187229784929459E-2</v>
      </c>
      <c r="Y894" s="72">
        <f t="shared" si="495"/>
        <v>8.1995245448283613E-2</v>
      </c>
      <c r="Z894" s="72">
        <f t="shared" si="496"/>
        <v>1.8656257029346937E-2</v>
      </c>
      <c r="AA894" s="72">
        <f t="shared" si="497"/>
        <v>0.18634536415045055</v>
      </c>
      <c r="AB894" s="72">
        <f t="shared" si="498"/>
        <v>4.0984115165053375E-2</v>
      </c>
      <c r="AC894" s="72"/>
      <c r="AD894" s="72"/>
      <c r="AE894" s="72">
        <f t="shared" si="499"/>
        <v>0.54019821881084773</v>
      </c>
      <c r="AF894" s="72">
        <f t="shared" si="500"/>
        <v>0.55400286433290424</v>
      </c>
      <c r="AG894" s="72">
        <f t="shared" si="501"/>
        <v>0.49</v>
      </c>
      <c r="AH894" s="72">
        <f t="shared" si="502"/>
        <v>0.47779036586811174</v>
      </c>
      <c r="AI894" s="72">
        <f t="shared" si="503"/>
        <v>0.20969351389878832</v>
      </c>
      <c r="AJ894" s="72">
        <f>(AV894-Driver!$K$179)/(Driver!$L$179-Driver!$K$179)</f>
        <v>0.17234711143340584</v>
      </c>
      <c r="AK894" s="72">
        <f>(AW894-Driver!$K$180)/(Driver!$L$180-Driver!$K$180)</f>
        <v>0.20485460801010402</v>
      </c>
      <c r="AL894" s="72">
        <f>(AX894-Driver!$K$181)/(Driver!$L$181-Driver!$K$181)</f>
        <v>0.12034402074242712</v>
      </c>
      <c r="AM894" s="72">
        <f>(AY894-Driver!$K$182)/(Driver!$L$182-Driver!$K$182)</f>
        <v>0.26103965694659581</v>
      </c>
      <c r="AN894" s="72">
        <f>(AZ894-Driver!$K$183)/(Driver!$L$183-Driver!$K$183)</f>
        <v>0.21323529411764705</v>
      </c>
      <c r="AO894" s="72"/>
      <c r="AP894" s="72"/>
      <c r="AQ894" s="72">
        <f>(BC894-Driver!$K$188)/(Driver!$L$188-Driver!$K$188)</f>
        <v>7.9801781189152265E-2</v>
      </c>
      <c r="AR894" s="72">
        <f>MIN((BD894-Driver!$K$189)/(Driver!$L$189-Driver!$K$189),100%)</f>
        <v>-4.0028643329042381E-3</v>
      </c>
      <c r="AS894" s="72">
        <f>(BE894-Driver!$K$190)/(Driver!$L$190-Driver!$K$190)</f>
        <v>1</v>
      </c>
      <c r="AT894" s="72">
        <f>(BF894-Driver!$K$191)/(Driver!$L$191-Driver!$K$191)</f>
        <v>3.2209634131888258E-2</v>
      </c>
      <c r="AU894" s="72">
        <f>(BG894-Driver!$K$192)/(Driver!$L$192-Driver!$K$192)</f>
        <v>4.030648610121168E-2</v>
      </c>
      <c r="AV894" s="70">
        <f t="shared" si="504"/>
        <v>3.6273911273911272</v>
      </c>
      <c r="AW894" s="70">
        <f t="shared" si="505"/>
        <v>21.836789368526848</v>
      </c>
      <c r="AX894" s="70">
        <f t="shared" si="506"/>
        <v>2.083096186681844</v>
      </c>
      <c r="AY894" s="70">
        <f>IFERROR(Driver!$K$19/Data!BH894/Data!BI894*Data!BK894*Data!BL894,"")</f>
        <v>0.31959042681894179</v>
      </c>
      <c r="AZ894" s="70">
        <f t="shared" si="507"/>
        <v>19.434102755026061</v>
      </c>
      <c r="BA894" s="70"/>
      <c r="BB894" s="70"/>
      <c r="BC894" s="70">
        <f t="shared" si="508"/>
        <v>41.393738675795703</v>
      </c>
      <c r="BD894" s="70">
        <f t="shared" si="509"/>
        <v>1.3665764832916052</v>
      </c>
      <c r="BE894" s="70">
        <f t="shared" si="510"/>
        <v>1</v>
      </c>
      <c r="BF894" s="70">
        <f t="shared" si="511"/>
        <v>3.6378518897101366</v>
      </c>
      <c r="BG894" s="70">
        <f t="shared" si="512"/>
        <v>0.15262606913756235</v>
      </c>
      <c r="BH894" s="67">
        <f>MAX((CE894-Driver!$F$200)/(Driver!$G$200-Driver!$F$200)*$BI$1,1)</f>
        <v>2.083096186681844</v>
      </c>
      <c r="BI894" s="67">
        <f>MAX($BI$1*(BY894-Driver!$F$201)/(Driver!$G$201-Driver!$F$201),1)</f>
        <v>7.3417721518987342</v>
      </c>
      <c r="BJ894" s="67">
        <f>(CB894-Driver!$F$206)/(Driver!$G$206-Driver!$F$206)*$BI$1</f>
        <v>4.92063492063492</v>
      </c>
      <c r="BK894" s="67">
        <f>(CD894-Driver!$F$203)/(Driver!$G$203-Driver!$F$203)*$BI$1</f>
        <v>4.7247706422018352</v>
      </c>
      <c r="BL894" s="67">
        <f>MAX((CR894-Driver!$F$202)/(Driver!$G$202-Driver!$F$202)*$BI$1,1)</f>
        <v>5.1724137931034484</v>
      </c>
      <c r="BM894" s="67">
        <f>MAX((CH894-Driver!$F$204)/(Driver!$G$204-Driver!$F$204)*$BI$1,1)</f>
        <v>2.9487179487179489</v>
      </c>
      <c r="BN894" s="67">
        <f>(CI894-Driver!$F$205)/(Driver!$G$205-Driver!$F$205)*$BI$1</f>
        <v>2.6470588235294117</v>
      </c>
      <c r="BO894" s="67">
        <f>(CK894-Driver!$F$207)/(Driver!$G$207-Driver!$F$207)*$BI$1</f>
        <v>2.0682523267838677</v>
      </c>
      <c r="BP894" s="67">
        <f>(CM894-Driver!$F$208)/(Driver!$G$208-Driver!$F$208)*$BI$1</f>
        <v>1.6888888888888889</v>
      </c>
      <c r="BQ894" s="67">
        <f>(CL894-Driver!$F$209)/(Driver!$G$209-Driver!$F$209)*$BI$1</f>
        <v>0.9375</v>
      </c>
      <c r="BR894" s="28" t="s">
        <v>155</v>
      </c>
      <c r="BS894" s="8" t="s">
        <v>262</v>
      </c>
      <c r="BT894" s="9" t="s">
        <v>269</v>
      </c>
      <c r="BU894" s="10">
        <v>170</v>
      </c>
      <c r="BV894" s="9" t="s">
        <v>158</v>
      </c>
      <c r="BW894" s="10">
        <v>170</v>
      </c>
      <c r="BX894" s="10">
        <v>169.8</v>
      </c>
      <c r="BY894" s="10">
        <v>124</v>
      </c>
      <c r="BZ894" s="10">
        <v>143</v>
      </c>
      <c r="CA894" s="10">
        <v>127</v>
      </c>
      <c r="CB894" s="10">
        <v>95</v>
      </c>
      <c r="CC894" s="10">
        <v>114</v>
      </c>
      <c r="CD894" s="10">
        <v>19.7</v>
      </c>
      <c r="CE894" s="10">
        <v>1266</v>
      </c>
      <c r="CF894" s="10">
        <v>1.4</v>
      </c>
      <c r="CG894" s="10">
        <v>1773</v>
      </c>
      <c r="CH894" s="10">
        <v>170</v>
      </c>
      <c r="CI894" s="10">
        <v>78</v>
      </c>
      <c r="CJ894" s="10">
        <v>49</v>
      </c>
      <c r="CK894" s="10">
        <v>310</v>
      </c>
      <c r="CL894" s="10">
        <v>6</v>
      </c>
      <c r="CM894" s="10">
        <v>152</v>
      </c>
      <c r="CN894" s="10">
        <v>0.11899999999999999</v>
      </c>
      <c r="CO894" s="10">
        <v>157</v>
      </c>
      <c r="CP894" s="10">
        <v>107</v>
      </c>
      <c r="CQ894" s="10">
        <v>154</v>
      </c>
      <c r="CR894" s="10">
        <v>4</v>
      </c>
      <c r="CS894" s="10">
        <v>12.4</v>
      </c>
      <c r="CT894" s="9" t="s">
        <v>185</v>
      </c>
      <c r="CU894" s="9" t="s">
        <v>198</v>
      </c>
      <c r="CV894" s="10"/>
      <c r="CW894" s="10"/>
      <c r="CX894" t="e">
        <f>INDEX('Data_Price '!AG$2:AG$1266,MATCH(Data!$DN894,'Data_Price '!$AT$2:$AT$1266,0))</f>
        <v>#N/A</v>
      </c>
      <c r="CY894" t="e">
        <f>INDEX('Data_Price '!AH$2:AH$1266,MATCH(Data!$DN894,'Data_Price '!$AT$2:$AT$1266,0))</f>
        <v>#N/A</v>
      </c>
      <c r="CZ894" t="e">
        <f>INDEX('Data_Price '!AI$2:AI$1266,MATCH(Data!$DN894,'Data_Price '!$AT$2:$AT$1266,0))</f>
        <v>#N/A</v>
      </c>
      <c r="DA894" t="e">
        <f>INDEX('Data_Price '!AJ$2:AJ$1266,MATCH(Data!$DN894,'Data_Price '!$AT$2:$AT$1266,0))</f>
        <v>#N/A</v>
      </c>
      <c r="DB894" t="e">
        <f>INDEX('Data_Price '!AK$2:AK$1266,MATCH(Data!$DN894,'Data_Price '!$AT$2:$AT$1266,0))</f>
        <v>#N/A</v>
      </c>
      <c r="DC894" t="e">
        <f>INDEX('Data_Price '!AL$2:AL$1266,MATCH(Data!$DN894,'Data_Price '!$AT$2:$AT$1266,0))</f>
        <v>#N/A</v>
      </c>
      <c r="DD894" t="e">
        <f>INDEX('Data_Price '!AM$2:AM$1266,MATCH(Data!$DN894,'Data_Price '!$AT$2:$AT$1266,0))</f>
        <v>#N/A</v>
      </c>
      <c r="DE894" t="e">
        <f>INDEX('Data_Price '!AN$2:AN$1266,MATCH(Data!$DN894,'Data_Price '!$AT$2:$AT$1266,0))</f>
        <v>#N/A</v>
      </c>
      <c r="DF894" t="e">
        <f>INDEX('Data_Price '!AO$2:AO$1266,MATCH(Data!$DN894,'Data_Price '!$AT$2:$AT$1266,0))</f>
        <v>#N/A</v>
      </c>
      <c r="DG894" t="e">
        <f>INDEX('Data_Price '!AP$2:AP$1266,MATCH(Data!$DN894,'Data_Price '!$AT$2:$AT$1266,0))</f>
        <v>#N/A</v>
      </c>
      <c r="DH894" t="e">
        <f>INDEX('Data_Price '!AQ$2:AQ$1266,MATCH(Data!$DN894,'Data_Price '!$AT$2:$AT$1266,0))</f>
        <v>#N/A</v>
      </c>
      <c r="DI894" t="e">
        <f>INDEX('Data_Price '!AR$2:AR$1266,MATCH(Data!$DN894,'Data_Price '!$AT$2:$AT$1266,0))</f>
        <v>#N/A</v>
      </c>
      <c r="DJ894" s="89" t="e">
        <f t="shared" si="513"/>
        <v>#N/A</v>
      </c>
      <c r="DK894" s="89" t="e">
        <f t="shared" si="514"/>
        <v>#N/A</v>
      </c>
      <c r="DL894" s="89" t="e">
        <f t="shared" si="515"/>
        <v>#N/A</v>
      </c>
      <c r="DM894" s="219" t="str">
        <f t="shared" si="516"/>
        <v>Wayback 96</v>
      </c>
      <c r="DN894" s="89" t="str">
        <f t="shared" si="517"/>
        <v xml:space="preserve"> K2Wayback 96170 Unisex</v>
      </c>
      <c r="DO894" s="221" t="s">
        <v>270</v>
      </c>
    </row>
    <row r="895" spans="2:119" ht="15.6" customHeight="1">
      <c r="B895" s="219" t="b">
        <f t="array" ref="B895">IF(OR(ISERROR(K895:P895)),FALSE,TRUE)</f>
        <v>1</v>
      </c>
      <c r="C895" s="43" t="b">
        <f>OR(BR895=Driver!$G$50,Data!BR448=Driver!$H$50)</f>
        <v>1</v>
      </c>
      <c r="D895" s="43" t="b">
        <f>OR(BV895=Driver!$G$51,BV895=Driver!$H$51)</f>
        <v>1</v>
      </c>
      <c r="E895" s="43" t="b">
        <f>AND(BX895&gt;Driver!$F$54,BX895&lt;Driver!$G$54)</f>
        <v>0</v>
      </c>
      <c r="F895" s="43" t="b">
        <f>CL895&gt;Driver!$F$56</f>
        <v>1</v>
      </c>
      <c r="G895" s="43" t="b">
        <f>AND(CB895&gt;Driver!$F$55,CB895&lt;Driver!$G$55)</f>
        <v>1</v>
      </c>
      <c r="H895" s="43" t="b">
        <f t="shared" si="481"/>
        <v>0</v>
      </c>
      <c r="I895" s="43">
        <f t="shared" si="482"/>
        <v>0</v>
      </c>
      <c r="J895" s="43" t="b">
        <f t="array" ref="J895">NOT(OR(($H$9:$H$1273=TRUE)*($I$9:$I$1273&gt;0)*($BT$9:$BT$1273=BT895)*($K$9:$K$1273&gt;K895)))</f>
        <v>1</v>
      </c>
      <c r="K895" s="72">
        <f t="shared" si="483"/>
        <v>0.68515832652175135</v>
      </c>
      <c r="L895" s="72">
        <f t="shared" si="484"/>
        <v>0.70309540638204782</v>
      </c>
      <c r="M895" s="72">
        <f t="shared" si="485"/>
        <v>0.66722124666145477</v>
      </c>
      <c r="N895" s="72">
        <f t="shared" si="486"/>
        <v>0.56206846313760428</v>
      </c>
      <c r="O895" s="72">
        <f t="shared" si="487"/>
        <v>0.63316998521111834</v>
      </c>
      <c r="P895" s="72">
        <f t="shared" si="488"/>
        <v>0.80642529163564169</v>
      </c>
      <c r="Q895" s="72"/>
      <c r="R895" s="72"/>
      <c r="S895" s="72">
        <f t="shared" si="489"/>
        <v>0.51034275569965848</v>
      </c>
      <c r="T895" s="72">
        <f t="shared" si="490"/>
        <v>0.5312268759639388</v>
      </c>
      <c r="U895" s="72">
        <f t="shared" si="491"/>
        <v>0.69635349748789321</v>
      </c>
      <c r="V895" s="72">
        <f t="shared" si="492"/>
        <v>0.53059638911143825</v>
      </c>
      <c r="W895" s="72">
        <f t="shared" si="493"/>
        <v>0.76349803079126388</v>
      </c>
      <c r="X895" s="72">
        <f t="shared" si="494"/>
        <v>0.29690459361795213</v>
      </c>
      <c r="Y895" s="72">
        <f t="shared" si="495"/>
        <v>0.33277875333854523</v>
      </c>
      <c r="Z895" s="72">
        <f t="shared" si="496"/>
        <v>0.43793153686239572</v>
      </c>
      <c r="AA895" s="72">
        <f t="shared" si="497"/>
        <v>0.36683001478888166</v>
      </c>
      <c r="AB895" s="72">
        <f t="shared" si="498"/>
        <v>0.19357470836435831</v>
      </c>
      <c r="AC895" s="72"/>
      <c r="AD895" s="72"/>
      <c r="AE895" s="72">
        <f t="shared" si="499"/>
        <v>0.48965724430034147</v>
      </c>
      <c r="AF895" s="72">
        <f t="shared" si="500"/>
        <v>0.4687731240360612</v>
      </c>
      <c r="AG895" s="72">
        <f t="shared" si="501"/>
        <v>0.30364650251210679</v>
      </c>
      <c r="AH895" s="72">
        <f t="shared" si="502"/>
        <v>0.46940361088856175</v>
      </c>
      <c r="AI895" s="72">
        <f t="shared" si="503"/>
        <v>0.23650196920873612</v>
      </c>
      <c r="AJ895" s="72">
        <f>(AV895-Driver!$K$179)/(Driver!$L$179-Driver!$K$179)</f>
        <v>0.55112400290065255</v>
      </c>
      <c r="AK895" s="72">
        <f>(AW895-Driver!$K$180)/(Driver!$L$180-Driver!$K$180)</f>
        <v>0.46065508889652629</v>
      </c>
      <c r="AL895" s="72">
        <f>(AX895-Driver!$K$181)/(Driver!$L$181-Driver!$K$181)</f>
        <v>0.53961930057547591</v>
      </c>
      <c r="AM895" s="72">
        <f>(AY895-Driver!$K$182)/(Driver!$L$182-Driver!$K$182)</f>
        <v>8.0555006308164714E-2</v>
      </c>
      <c r="AN895" s="72">
        <f>(AZ895-Driver!$K$183)/(Driver!$L$183-Driver!$K$183)</f>
        <v>0.44779411764705873</v>
      </c>
      <c r="AO895" s="72"/>
      <c r="AP895" s="72"/>
      <c r="AQ895" s="72">
        <f>(BC895-Driver!$K$188)/(Driver!$L$188-Driver!$K$188)</f>
        <v>0.13034275569965853</v>
      </c>
      <c r="AR895" s="72">
        <f>MIN((BD895-Driver!$K$189)/(Driver!$L$189-Driver!$K$189),100%)</f>
        <v>8.1226875963938835E-2</v>
      </c>
      <c r="AS895" s="72">
        <f>(BE895-Driver!$K$190)/(Driver!$L$190-Driver!$K$190)</f>
        <v>0.20635349748789325</v>
      </c>
      <c r="AT895" s="72">
        <f>(BF895-Driver!$K$191)/(Driver!$L$191-Driver!$K$191)</f>
        <v>4.0596389111438237E-2</v>
      </c>
      <c r="AU895" s="72">
        <f>(BG895-Driver!$K$192)/(Driver!$L$192-Driver!$K$192)</f>
        <v>1.3498030791263875E-2</v>
      </c>
      <c r="AV895" s="70">
        <f t="shared" si="504"/>
        <v>11.599511599511599</v>
      </c>
      <c r="AW895" s="70">
        <f t="shared" si="505"/>
        <v>46.766812853749286</v>
      </c>
      <c r="AX895" s="70">
        <f t="shared" si="506"/>
        <v>5.856573705179283</v>
      </c>
      <c r="AY895" s="70">
        <f>IFERROR(Driver!$K$19/Data!BH895/Data!BI895*Data!BK895*Data!BL895,"")</f>
        <v>9.862336301528242E-2</v>
      </c>
      <c r="AZ895" s="70">
        <f t="shared" si="507"/>
        <v>40.811615785554721</v>
      </c>
      <c r="BA895" s="70"/>
      <c r="BB895" s="70"/>
      <c r="BC895" s="70">
        <f t="shared" si="508"/>
        <v>67.609693509549857</v>
      </c>
      <c r="BD895" s="70">
        <f t="shared" si="509"/>
        <v>8.9092574813986261</v>
      </c>
      <c r="BE895" s="70">
        <f t="shared" si="510"/>
        <v>0.20649507509106951</v>
      </c>
      <c r="BF895" s="70">
        <f t="shared" si="511"/>
        <v>4.5850769443619193</v>
      </c>
      <c r="BG895" s="70">
        <f t="shared" si="512"/>
        <v>5.1112155388471185E-2</v>
      </c>
      <c r="BH895" s="67">
        <f>MAX((CE895-Driver!$F$200)/(Driver!$G$200-Driver!$F$200)*$BI$1,1)</f>
        <v>5.856573705179283</v>
      </c>
      <c r="BI895" s="67">
        <f>MAX($BI$1*(BY895-Driver!$F$201)/(Driver!$G$201-Driver!$F$201),1)</f>
        <v>7.9746835443037973</v>
      </c>
      <c r="BJ895" s="67">
        <f>(CB895-Driver!$F$206)/(Driver!$G$206-Driver!$F$206)*$BI$1</f>
        <v>6.3492063492063489</v>
      </c>
      <c r="BK895" s="67">
        <f>(CD895-Driver!$F$203)/(Driver!$G$203-Driver!$F$203)*$BI$1</f>
        <v>4.1743119266055047</v>
      </c>
      <c r="BL895" s="67">
        <f>MAX((CR895-Driver!$F$202)/(Driver!$G$202-Driver!$F$202)*$BI$1,1)</f>
        <v>5.5172413793103452</v>
      </c>
      <c r="BM895" s="67">
        <f>MAX((CH895-Driver!$F$204)/(Driver!$G$204-Driver!$F$204)*$BI$1,1)</f>
        <v>7.3076923076923075</v>
      </c>
      <c r="BN895" s="67">
        <f>(CI895-Driver!$F$205)/(Driver!$G$205-Driver!$F$205)*$BI$1</f>
        <v>5.117647058823529</v>
      </c>
      <c r="BO895" s="67">
        <f>(CK895-Driver!$F$207)/(Driver!$G$207-Driver!$F$207)*$BI$1</f>
        <v>1.6442605997931747</v>
      </c>
      <c r="BP895" s="67">
        <f>(CM895-Driver!$F$208)/(Driver!$G$208-Driver!$F$208)*$BI$1</f>
        <v>1.8333333333333333</v>
      </c>
      <c r="BQ895" s="67">
        <f>(CL895-Driver!$F$209)/(Driver!$G$209-Driver!$F$209)*$BI$1</f>
        <v>2.1875</v>
      </c>
      <c r="BR895" s="28" t="s">
        <v>155</v>
      </c>
      <c r="BS895" s="8" t="s">
        <v>164</v>
      </c>
      <c r="BT895" s="9" t="s">
        <v>801</v>
      </c>
      <c r="BU895" s="10">
        <v>180</v>
      </c>
      <c r="BV895" s="9" t="s">
        <v>158</v>
      </c>
      <c r="BW895" s="10">
        <v>180</v>
      </c>
      <c r="BX895" s="10">
        <v>177.3</v>
      </c>
      <c r="BY895" s="10">
        <v>134</v>
      </c>
      <c r="BZ895" s="10">
        <v>143</v>
      </c>
      <c r="CA895" s="10">
        <v>142</v>
      </c>
      <c r="CB895" s="10">
        <v>104</v>
      </c>
      <c r="CC895" s="10">
        <v>120</v>
      </c>
      <c r="CD895" s="10">
        <v>18.5</v>
      </c>
      <c r="CE895" s="10">
        <v>1929</v>
      </c>
      <c r="CF895" s="10">
        <v>1.06</v>
      </c>
      <c r="CG895" s="10">
        <v>2054</v>
      </c>
      <c r="CH895" s="10">
        <v>272</v>
      </c>
      <c r="CI895" s="10">
        <v>120</v>
      </c>
      <c r="CJ895" s="10">
        <v>48</v>
      </c>
      <c r="CK895" s="10">
        <v>269</v>
      </c>
      <c r="CL895" s="10">
        <v>14</v>
      </c>
      <c r="CM895" s="10">
        <v>165</v>
      </c>
      <c r="CN895" s="10">
        <v>0.30399999999999999</v>
      </c>
      <c r="CO895" s="10">
        <v>174</v>
      </c>
      <c r="CP895" s="10">
        <v>173</v>
      </c>
      <c r="CQ895" s="10">
        <v>95</v>
      </c>
      <c r="CR895" s="10">
        <v>5</v>
      </c>
      <c r="CS895" s="10">
        <v>10.1</v>
      </c>
      <c r="CT895" s="9" t="s">
        <v>188</v>
      </c>
      <c r="CU895" s="9" t="s">
        <v>178</v>
      </c>
      <c r="CV895" s="9" t="s">
        <v>185</v>
      </c>
      <c r="CW895" s="10"/>
      <c r="CX895" t="str">
        <f>INDEX('Data_Price '!AG$2:AG$1266,MATCH(Data!$DN895,'Data_Price '!$AT$2:$AT$1266,0))</f>
        <v>Elan 2022 Ripstick 106 Black Edition Skis</v>
      </c>
      <c r="CY895" t="str">
        <f>INDEX('Data_Price '!AH$2:AH$1266,MATCH(Data!$DN895,'Data_Price '!$AT$2:$AT$1266,0))</f>
        <v>Aspen Ski and Board</v>
      </c>
      <c r="CZ895">
        <f>INDEX('Data_Price '!AI$2:AI$1266,MATCH(Data!$DN895,'Data_Price '!$AT$2:$AT$1266,0))</f>
        <v>637.45000000000005</v>
      </c>
      <c r="DA895" t="str">
        <f>INDEX('Data_Price '!AJ$2:AJ$1266,MATCH(Data!$DN895,'Data_Price '!$AT$2:$AT$1266,0))</f>
        <v>https://tinyurl.com/ybuuewwp</v>
      </c>
      <c r="DB895" t="str">
        <f>INDEX('Data_Price '!AK$2:AK$1266,MATCH(Data!$DN895,'Data_Price '!$AT$2:$AT$1266,0))</f>
        <v>Elan 2022 Ripstick 106 Black Edition Skis</v>
      </c>
      <c r="DC895" t="str">
        <f>INDEX('Data_Price '!AL$2:AL$1266,MATCH(Data!$DN895,'Data_Price '!$AT$2:$AT$1266,0))</f>
        <v>Berg's Ski &amp; Snowboard Shop</v>
      </c>
      <c r="DD895">
        <f>INDEX('Data_Price '!AM$2:AM$1266,MATCH(Data!$DN895,'Data_Price '!$AT$2:$AT$1266,0))</f>
        <v>637.49</v>
      </c>
      <c r="DE895" t="str">
        <f>INDEX('Data_Price '!AN$2:AN$1266,MATCH(Data!$DN895,'Data_Price '!$AT$2:$AT$1266,0))</f>
        <v>https://tinyurl.com/y7uxt8lf</v>
      </c>
      <c r="DF895" t="str">
        <f>INDEX('Data_Price '!AO$2:AO$1266,MATCH(Data!$DN895,'Data_Price '!$AT$2:$AT$1266,0))</f>
        <v>Elan 2022 Ripstick 106 Black Edition Skis</v>
      </c>
      <c r="DG895" t="str">
        <f>INDEX('Data_Price '!AP$2:AP$1266,MATCH(Data!$DN895,'Data_Price '!$AT$2:$AT$1266,0))</f>
        <v>Next Adventure</v>
      </c>
      <c r="DH895">
        <f>INDEX('Data_Price '!AQ$2:AQ$1266,MATCH(Data!$DN895,'Data_Price '!$AT$2:$AT$1266,0))</f>
        <v>637.49</v>
      </c>
      <c r="DI895" t="str">
        <f>INDEX('Data_Price '!AR$2:AR$1266,MATCH(Data!$DN895,'Data_Price '!$AT$2:$AT$1266,0))</f>
        <v>https://tinyurl.com/yc3uguyz</v>
      </c>
      <c r="DJ895" s="89" t="str">
        <f t="shared" si="513"/>
        <v>https://tinyurl.com/ybuuewwp</v>
      </c>
      <c r="DK895" s="89" t="str">
        <f t="shared" si="514"/>
        <v>https://tinyurl.com/y7uxt8lf</v>
      </c>
      <c r="DL895" s="89" t="str">
        <f t="shared" si="515"/>
        <v>https://tinyurl.com/yc3uguyz</v>
      </c>
      <c r="DM895" s="219" t="str">
        <f t="shared" si="516"/>
        <v>Ripstick 106 Black Edition</v>
      </c>
      <c r="DN895" s="89" t="str">
        <f t="shared" si="517"/>
        <v xml:space="preserve"> ElanRipstick 106 Black Edition180 Unisex</v>
      </c>
      <c r="DO895" s="221" t="s">
        <v>802</v>
      </c>
    </row>
    <row r="896" spans="2:119" ht="15.6" customHeight="1">
      <c r="B896" s="219" t="b">
        <f t="array" ref="B896">IF(OR(ISERROR(K896:P896)),FALSE,TRUE)</f>
        <v>1</v>
      </c>
      <c r="C896" s="43" t="b">
        <f>OR(BR896=Driver!$G$50,Data!BR690=Driver!$H$50)</f>
        <v>1</v>
      </c>
      <c r="D896" s="43" t="b">
        <f>OR(BV896=Driver!$G$51,BV896=Driver!$H$51)</f>
        <v>0</v>
      </c>
      <c r="E896" s="43" t="b">
        <f>AND(BX896&gt;Driver!$F$54,BX896&lt;Driver!$G$54)</f>
        <v>1</v>
      </c>
      <c r="F896" s="43" t="b">
        <f>CL896&gt;Driver!$F$56</f>
        <v>1</v>
      </c>
      <c r="G896" s="43" t="b">
        <f>AND(CB896&gt;Driver!$F$55,CB896&lt;Driver!$G$55)</f>
        <v>0</v>
      </c>
      <c r="H896" s="43" t="b">
        <f t="shared" si="481"/>
        <v>0</v>
      </c>
      <c r="I896" s="43">
        <f t="shared" si="482"/>
        <v>0</v>
      </c>
      <c r="J896" s="43" t="b">
        <f t="array" ref="J896">NOT(OR(($H$9:$H$1273=TRUE)*($I$9:$I$1273&gt;0)*($BT$9:$BT$1273=BT896)*($K$9:$K$1273&gt;K896)))</f>
        <v>1</v>
      </c>
      <c r="K896" s="72">
        <f t="shared" si="483"/>
        <v>0.82567542368333358</v>
      </c>
      <c r="L896" s="72">
        <f t="shared" si="484"/>
        <v>0.84408048597150953</v>
      </c>
      <c r="M896" s="72">
        <f t="shared" si="485"/>
        <v>0.80727036139515762</v>
      </c>
      <c r="N896" s="72">
        <f t="shared" si="486"/>
        <v>0.85549791991367463</v>
      </c>
      <c r="O896" s="72">
        <f t="shared" si="487"/>
        <v>0.66040185460025014</v>
      </c>
      <c r="P896" s="72">
        <f t="shared" si="488"/>
        <v>0.90591130967154798</v>
      </c>
      <c r="Q896" s="72"/>
      <c r="R896" s="72"/>
      <c r="S896" s="72">
        <f t="shared" si="489"/>
        <v>0.41766692063704525</v>
      </c>
      <c r="T896" s="72">
        <f t="shared" si="490"/>
        <v>0.4995700117324634</v>
      </c>
      <c r="U896" s="72">
        <f t="shared" si="491"/>
        <v>0.61072759859912973</v>
      </c>
      <c r="V896" s="72">
        <f t="shared" si="492"/>
        <v>0.55685173819285816</v>
      </c>
      <c r="W896" s="72">
        <f t="shared" si="493"/>
        <v>0.8386029305092122</v>
      </c>
      <c r="X896" s="72">
        <f t="shared" si="494"/>
        <v>0.15591951402849047</v>
      </c>
      <c r="Y896" s="72">
        <f t="shared" si="495"/>
        <v>0.19272963860484241</v>
      </c>
      <c r="Z896" s="72">
        <f t="shared" si="496"/>
        <v>0.14450208008632537</v>
      </c>
      <c r="AA896" s="72">
        <f t="shared" si="497"/>
        <v>0.33959814539974986</v>
      </c>
      <c r="AB896" s="72">
        <f t="shared" si="498"/>
        <v>9.4088690328452046E-2</v>
      </c>
      <c r="AC896" s="72"/>
      <c r="AD896" s="72"/>
      <c r="AE896" s="72">
        <f t="shared" si="499"/>
        <v>0.58233307936295475</v>
      </c>
      <c r="AF896" s="72">
        <f t="shared" si="500"/>
        <v>0.5004299882675366</v>
      </c>
      <c r="AG896" s="72">
        <f t="shared" si="501"/>
        <v>0.38927240140087027</v>
      </c>
      <c r="AH896" s="72">
        <f t="shared" si="502"/>
        <v>0.4431482618071419</v>
      </c>
      <c r="AI896" s="72">
        <f t="shared" si="503"/>
        <v>0.16139706949078775</v>
      </c>
      <c r="AJ896" s="72">
        <f>(AV896-Driver!$K$179)/(Driver!$L$179-Driver!$K$179)</f>
        <v>9.8299895254209971E-2</v>
      </c>
      <c r="AK896" s="72">
        <f>(AW896-Driver!$K$180)/(Driver!$L$180-Driver!$K$180)</f>
        <v>0.16488979275644861</v>
      </c>
      <c r="AL896" s="72">
        <f>(AX896-Driver!$K$181)/(Driver!$L$181-Driver!$K$181)</f>
        <v>0.24618984379940556</v>
      </c>
      <c r="AM896" s="72">
        <f>(AY896-Driver!$K$182)/(Driver!$L$182-Driver!$K$182)</f>
        <v>0.10778687569729647</v>
      </c>
      <c r="AN896" s="72">
        <f>(AZ896-Driver!$K$183)/(Driver!$L$183-Driver!$K$183)</f>
        <v>0.16013071895424838</v>
      </c>
      <c r="AO896" s="72"/>
      <c r="AP896" s="72"/>
      <c r="AQ896" s="72">
        <f>(BC896-Driver!$K$188)/(Driver!$L$188-Driver!$K$188)</f>
        <v>3.7666920637045249E-2</v>
      </c>
      <c r="AR896" s="72">
        <f>MIN((BD896-Driver!$K$189)/(Driver!$L$189-Driver!$K$189),100%)</f>
        <v>4.957001173246349E-2</v>
      </c>
      <c r="AS896" s="72">
        <f>(BE896-Driver!$K$190)/(Driver!$L$190-Driver!$K$190)</f>
        <v>0.12072759859912975</v>
      </c>
      <c r="AT896" s="72">
        <f>(BF896-Driver!$K$191)/(Driver!$L$191-Driver!$K$191)</f>
        <v>6.6851738192858126E-2</v>
      </c>
      <c r="AU896" s="72">
        <f>(BG896-Driver!$K$192)/(Driver!$L$192-Driver!$K$192)</f>
        <v>8.8602930509212238E-2</v>
      </c>
      <c r="AV896" s="70">
        <f t="shared" si="504"/>
        <v>2.0689187355854024</v>
      </c>
      <c r="AW896" s="70">
        <f t="shared" si="505"/>
        <v>17.941863997770479</v>
      </c>
      <c r="AX896" s="70">
        <f t="shared" si="506"/>
        <v>3.2157085941946502</v>
      </c>
      <c r="AY896" s="70">
        <f>IFERROR(Driver!$K$19/Data!BH896/Data!BI896*Data!BK896*Data!BL896,"")</f>
        <v>0.13196329635319201</v>
      </c>
      <c r="AZ896" s="70">
        <f t="shared" si="507"/>
        <v>14.594192107222637</v>
      </c>
      <c r="BA896" s="70"/>
      <c r="BB896" s="70"/>
      <c r="BC896" s="70">
        <f t="shared" si="508"/>
        <v>19.538093590619393</v>
      </c>
      <c r="BD896" s="70">
        <f t="shared" si="509"/>
        <v>6.1076810895572997</v>
      </c>
      <c r="BE896" s="70">
        <f t="shared" si="510"/>
        <v>0.12088445089890724</v>
      </c>
      <c r="BF896" s="70">
        <f t="shared" si="511"/>
        <v>7.5504341688416154</v>
      </c>
      <c r="BG896" s="70">
        <f t="shared" si="512"/>
        <v>0.33550721746699552</v>
      </c>
      <c r="BH896" s="67">
        <f>MAX((CE896-Driver!$F$200)/(Driver!$G$200-Driver!$F$200)*$BI$1,1)</f>
        <v>3.2157085941946502</v>
      </c>
      <c r="BI896" s="67">
        <f>MAX($BI$1*(BY896-Driver!$F$201)/(Driver!$G$201-Driver!$F$201),1)</f>
        <v>6.2025316455696204</v>
      </c>
      <c r="BJ896" s="67">
        <f>(CB896-Driver!$F$206)/(Driver!$G$206-Driver!$F$206)*$BI$1</f>
        <v>3.1746031746031744</v>
      </c>
      <c r="BK896" s="67">
        <f>(CD896-Driver!$F$203)/(Driver!$G$203-Driver!$F$203)*$BI$1</f>
        <v>2.3853211009174311</v>
      </c>
      <c r="BL896" s="67">
        <f>MAX((CR896-Driver!$F$202)/(Driver!$G$202-Driver!$F$202)*$BI$1,1)</f>
        <v>5.5172413793103452</v>
      </c>
      <c r="BM896" s="67">
        <f>MAX((CH896-Driver!$F$204)/(Driver!$G$204-Driver!$F$204)*$BI$1,1)</f>
        <v>2.6068376068376069</v>
      </c>
      <c r="BN896" s="67">
        <f>(CI896-Driver!$F$205)/(Driver!$G$205-Driver!$F$205)*$BI$1</f>
        <v>2.3529411764705883</v>
      </c>
      <c r="BO896" s="67">
        <f>(CK896-Driver!$F$207)/(Driver!$G$207-Driver!$F$207)*$BI$1</f>
        <v>2.1820062047569806</v>
      </c>
      <c r="BP896" s="67">
        <f>(CM896-Driver!$F$208)/(Driver!$G$208-Driver!$F$208)*$BI$1</f>
        <v>2.6</v>
      </c>
      <c r="BQ896" s="67">
        <f>(CL896-Driver!$F$209)/(Driver!$G$209-Driver!$F$209)*$BI$1</f>
        <v>2.8125</v>
      </c>
      <c r="BR896" s="28" t="s">
        <v>155</v>
      </c>
      <c r="BS896" s="8" t="s">
        <v>295</v>
      </c>
      <c r="BT896" s="9" t="s">
        <v>803</v>
      </c>
      <c r="BU896" s="10">
        <v>162</v>
      </c>
      <c r="BV896" s="9" t="s">
        <v>163</v>
      </c>
      <c r="BW896" s="10">
        <v>162</v>
      </c>
      <c r="BX896" s="10">
        <v>161.1</v>
      </c>
      <c r="BY896" s="10">
        <v>106</v>
      </c>
      <c r="BZ896" s="10">
        <v>131</v>
      </c>
      <c r="CA896" s="10">
        <v>120</v>
      </c>
      <c r="CB896" s="10">
        <v>84</v>
      </c>
      <c r="CC896" s="10">
        <v>107</v>
      </c>
      <c r="CD896" s="10">
        <v>14.6</v>
      </c>
      <c r="CE896" s="10">
        <v>1465</v>
      </c>
      <c r="CF896" s="10">
        <v>1.05</v>
      </c>
      <c r="CG896" s="10">
        <v>1542</v>
      </c>
      <c r="CH896" s="10">
        <v>162</v>
      </c>
      <c r="CI896" s="10">
        <v>73</v>
      </c>
      <c r="CJ896" s="10">
        <v>57</v>
      </c>
      <c r="CK896" s="10">
        <v>321</v>
      </c>
      <c r="CL896" s="10">
        <v>18</v>
      </c>
      <c r="CM896" s="10">
        <v>234</v>
      </c>
      <c r="CN896" s="10">
        <v>0.32200000000000001</v>
      </c>
      <c r="CO896" s="10">
        <v>190</v>
      </c>
      <c r="CP896" s="10">
        <v>108</v>
      </c>
      <c r="CQ896" s="10">
        <v>131</v>
      </c>
      <c r="CR896" s="10">
        <v>5</v>
      </c>
      <c r="CS896" s="10">
        <v>8.4</v>
      </c>
      <c r="CT896" s="9" t="s">
        <v>231</v>
      </c>
      <c r="CU896" s="9" t="s">
        <v>188</v>
      </c>
      <c r="CV896" s="9" t="s">
        <v>185</v>
      </c>
      <c r="CW896" s="10"/>
      <c r="CX896" t="str">
        <f>INDEX('Data_Price '!AG$2:AG$1266,MATCH(Data!$DN896,'Data_Price '!$AT$2:$AT$1266,0))</f>
        <v>Icelantic Riveter 85 Skis - Women's 2022 162cm</v>
      </c>
      <c r="CY896" t="str">
        <f>INDEX('Data_Price '!AH$2:AH$1266,MATCH(Data!$DN896,'Data_Price '!$AT$2:$AT$1266,0))</f>
        <v>Glacier Ski Shop</v>
      </c>
      <c r="CZ896">
        <f>INDEX('Data_Price '!AI$2:AI$1266,MATCH(Data!$DN896,'Data_Price '!$AT$2:$AT$1266,0))</f>
        <v>469</v>
      </c>
      <c r="DA896" t="str">
        <f>INDEX('Data_Price '!AJ$2:AJ$1266,MATCH(Data!$DN896,'Data_Price '!$AT$2:$AT$1266,0))</f>
        <v>https://tinyurl.com/y9xzu9zq</v>
      </c>
      <c r="DB896" t="str">
        <f>INDEX('Data_Price '!AK$2:AK$1266,MATCH(Data!$DN896,'Data_Price '!$AT$2:$AT$1266,0))</f>
        <v>Icelantic Riveter 85 Skis Women's Â· 2022 Â· 162 cm</v>
      </c>
      <c r="DC896" t="str">
        <f>INDEX('Data_Price '!AL$2:AL$1266,MATCH(Data!$DN896,'Data_Price '!$AT$2:$AT$1266,0))</f>
        <v>Teton Wasatch Ski Co.</v>
      </c>
      <c r="DD896">
        <f>INDEX('Data_Price '!AM$2:AM$1266,MATCH(Data!$DN896,'Data_Price '!$AT$2:$AT$1266,0))</f>
        <v>471</v>
      </c>
      <c r="DE896" t="str">
        <f>INDEX('Data_Price '!AN$2:AN$1266,MATCH(Data!$DN896,'Data_Price '!$AT$2:$AT$1266,0))</f>
        <v>https://tinyurl.com/yc7y2j32</v>
      </c>
      <c r="DF896" t="str">
        <f>INDEX('Data_Price '!AO$2:AO$1266,MATCH(Data!$DN896,'Data_Price '!$AT$2:$AT$1266,0))</f>
        <v>Icelantic Riveter 85 Skis Women's Â· 2022 Â· 162 cm</v>
      </c>
      <c r="DG896" t="str">
        <f>INDEX('Data_Price '!AP$2:AP$1266,MATCH(Data!$DN896,'Data_Price '!$AT$2:$AT$1266,0))</f>
        <v>Curated</v>
      </c>
      <c r="DH896">
        <f>INDEX('Data_Price '!AQ$2:AQ$1266,MATCH(Data!$DN896,'Data_Price '!$AT$2:$AT$1266,0))</f>
        <v>471</v>
      </c>
      <c r="DI896" t="str">
        <f>INDEX('Data_Price '!AR$2:AR$1266,MATCH(Data!$DN896,'Data_Price '!$AT$2:$AT$1266,0))</f>
        <v>https://tinyurl.com/yc8eyrrl</v>
      </c>
      <c r="DJ896" s="89" t="str">
        <f t="shared" si="513"/>
        <v>https://tinyurl.com/y9xzu9zq</v>
      </c>
      <c r="DK896" s="89" t="str">
        <f t="shared" si="514"/>
        <v>https://tinyurl.com/yc7y2j32</v>
      </c>
      <c r="DL896" s="89" t="str">
        <f t="shared" si="515"/>
        <v>https://tinyurl.com/yc8eyrrl</v>
      </c>
      <c r="DM896" s="219" t="str">
        <f t="shared" si="516"/>
        <v>Riveter 85</v>
      </c>
      <c r="DN896" s="89" t="str">
        <f t="shared" si="517"/>
        <v xml:space="preserve"> IcelanticRiveter 85162 Women's</v>
      </c>
      <c r="DO896" s="221" t="s">
        <v>804</v>
      </c>
    </row>
    <row r="897" spans="2:119" ht="15.6" customHeight="1">
      <c r="B897" s="219" t="b">
        <f t="array" ref="B897">IF(OR(ISERROR(K897:P897)),FALSE,TRUE)</f>
        <v>1</v>
      </c>
      <c r="C897" s="43" t="b">
        <f>OR(BR897=Driver!$G$50,Data!BR359=Driver!$H$50)</f>
        <v>1</v>
      </c>
      <c r="D897" s="43" t="b">
        <f>OR(BV897=Driver!$G$51,BV897=Driver!$H$51)</f>
        <v>1</v>
      </c>
      <c r="E897" s="43" t="b">
        <f>AND(BX897&gt;Driver!$F$54,BX897&lt;Driver!$G$54)</f>
        <v>1</v>
      </c>
      <c r="F897" s="43" t="b">
        <f>CL897&gt;Driver!$F$56</f>
        <v>1</v>
      </c>
      <c r="G897" s="43" t="b">
        <f>AND(CB897&gt;Driver!$F$55,CB897&lt;Driver!$G$55)</f>
        <v>1</v>
      </c>
      <c r="H897" s="43" t="b">
        <f t="shared" si="481"/>
        <v>1</v>
      </c>
      <c r="I897" s="43">
        <f t="shared" si="482"/>
        <v>1</v>
      </c>
      <c r="J897" s="43" t="b">
        <f t="array" ref="J897">NOT(OR(($H$9:$H$1273=TRUE)*($I$9:$I$1273&gt;0)*($BT$9:$BT$1273=BT897)*($K$9:$K$1273&gt;K897)))</f>
        <v>1</v>
      </c>
      <c r="K897" s="72">
        <f t="shared" si="483"/>
        <v>0.91011247603774437</v>
      </c>
      <c r="L897" s="72">
        <f t="shared" si="484"/>
        <v>0.94270267596425783</v>
      </c>
      <c r="M897" s="72">
        <f t="shared" si="485"/>
        <v>0.87752227611123068</v>
      </c>
      <c r="N897" s="72">
        <f t="shared" si="486"/>
        <v>0.96363679299278671</v>
      </c>
      <c r="O897" s="72">
        <f t="shared" si="487"/>
        <v>0.74345173220530525</v>
      </c>
      <c r="P897" s="72">
        <f t="shared" si="488"/>
        <v>0.9254783031356002</v>
      </c>
      <c r="Q897" s="72"/>
      <c r="R897" s="72"/>
      <c r="S897" s="72">
        <f t="shared" si="489"/>
        <v>0.41075521240671975</v>
      </c>
      <c r="T897" s="72">
        <f t="shared" si="490"/>
        <v>0.44522905824440995</v>
      </c>
      <c r="U897" s="72">
        <f t="shared" si="491"/>
        <v>0.5463684081538438</v>
      </c>
      <c r="V897" s="72">
        <f t="shared" si="492"/>
        <v>0.7023785437291401</v>
      </c>
      <c r="W897" s="72">
        <f t="shared" si="493"/>
        <v>0.99330583756345181</v>
      </c>
      <c r="X897" s="72">
        <f t="shared" si="494"/>
        <v>5.7297324035742114E-2</v>
      </c>
      <c r="Y897" s="72">
        <f t="shared" si="495"/>
        <v>0.12247772388876928</v>
      </c>
      <c r="Z897" s="72">
        <f t="shared" si="496"/>
        <v>3.636320700721328E-2</v>
      </c>
      <c r="AA897" s="72">
        <f t="shared" si="497"/>
        <v>0.25654826779469475</v>
      </c>
      <c r="AB897" s="72">
        <f t="shared" si="498"/>
        <v>7.45216968643998E-2</v>
      </c>
      <c r="AC897" s="72"/>
      <c r="AD897" s="72"/>
      <c r="AE897" s="72">
        <f t="shared" si="499"/>
        <v>0.58924478759328025</v>
      </c>
      <c r="AF897" s="72">
        <f t="shared" si="500"/>
        <v>0.55477094175559005</v>
      </c>
      <c r="AG897" s="72">
        <f t="shared" si="501"/>
        <v>0.45363159184615615</v>
      </c>
      <c r="AH897" s="72">
        <f t="shared" si="502"/>
        <v>0.29762145627085995</v>
      </c>
      <c r="AI897" s="72">
        <f t="shared" si="503"/>
        <v>6.6941624365481345E-3</v>
      </c>
      <c r="AJ897" s="72">
        <f>(AV897-Driver!$K$179)/(Driver!$L$179-Driver!$K$179)</f>
        <v>0.19692208524695831</v>
      </c>
      <c r="AK897" s="72">
        <f>(AW897-Driver!$K$180)/(Driver!$L$180-Driver!$K$180)</f>
        <v>0.17424501081503865</v>
      </c>
      <c r="AL897" s="72">
        <f>(AX897-Driver!$K$181)/(Driver!$L$181-Driver!$K$181)</f>
        <v>0.13805097072029346</v>
      </c>
      <c r="AM897" s="72">
        <f>(AY897-Driver!$K$182)/(Driver!$L$182-Driver!$K$182)</f>
        <v>0.19083675330235164</v>
      </c>
      <c r="AN897" s="72">
        <f>(AZ897-Driver!$K$183)/(Driver!$L$183-Driver!$K$183)</f>
        <v>0.17969771241830063</v>
      </c>
      <c r="AO897" s="72"/>
      <c r="AP897" s="72"/>
      <c r="AQ897" s="72">
        <f>(BC897-Driver!$K$188)/(Driver!$L$188-Driver!$K$188)</f>
        <v>3.0755212406719794E-2</v>
      </c>
      <c r="AR897" s="72">
        <f>MIN((BD897-Driver!$K$189)/(Driver!$L$189-Driver!$K$189),100%)</f>
        <v>-4.7709417555900548E-3</v>
      </c>
      <c r="AS897" s="72">
        <f>(BE897-Driver!$K$190)/(Driver!$L$190-Driver!$K$190)</f>
        <v>5.6368408153843856E-2</v>
      </c>
      <c r="AT897" s="72">
        <f>(BF897-Driver!$K$191)/(Driver!$L$191-Driver!$K$191)</f>
        <v>0.21237854372914006</v>
      </c>
      <c r="AU897" s="72">
        <f>(BG897-Driver!$K$192)/(Driver!$L$192-Driver!$K$192)</f>
        <v>0.25669416243654813</v>
      </c>
      <c r="AV897" s="70">
        <f t="shared" si="504"/>
        <v>4.1446208112874778</v>
      </c>
      <c r="AW897" s="70">
        <f t="shared" si="505"/>
        <v>18.853612893244922</v>
      </c>
      <c r="AX897" s="70">
        <f t="shared" si="506"/>
        <v>2.2424587364826412</v>
      </c>
      <c r="AY897" s="70">
        <f>IFERROR(Driver!$K$19/Data!BH897/Data!BI897*Data!BK897*Data!BL897,"")</f>
        <v>0.23364112623361696</v>
      </c>
      <c r="AZ897" s="70">
        <f t="shared" si="507"/>
        <v>16.377513030528664</v>
      </c>
      <c r="BA897" s="70"/>
      <c r="BB897" s="70"/>
      <c r="BC897" s="70">
        <f t="shared" si="508"/>
        <v>15.952942482133498</v>
      </c>
      <c r="BD897" s="70">
        <f t="shared" si="509"/>
        <v>1.2986029923365716</v>
      </c>
      <c r="BE897" s="70">
        <f t="shared" si="510"/>
        <v>5.6536741408803236E-2</v>
      </c>
      <c r="BF897" s="70">
        <f t="shared" si="511"/>
        <v>23.986664470492883</v>
      </c>
      <c r="BG897" s="70">
        <f t="shared" si="512"/>
        <v>0.97200785215736019</v>
      </c>
      <c r="BH897" s="67">
        <f>MAX((CE897-Driver!$F$200)/(Driver!$G$200-Driver!$F$200)*$BI$1,1)</f>
        <v>2.2424587364826412</v>
      </c>
      <c r="BI897" s="67">
        <f>MAX($BI$1*(BY897-Driver!$F$201)/(Driver!$G$201-Driver!$F$201),1)</f>
        <v>5.2531645569620249</v>
      </c>
      <c r="BJ897" s="67">
        <f>(CB897-Driver!$F$206)/(Driver!$G$206-Driver!$F$206)*$BI$1</f>
        <v>7.4603174603174605</v>
      </c>
      <c r="BK897" s="67">
        <f>(CD897-Driver!$F$203)/(Driver!$G$203-Driver!$F$203)*$BI$1</f>
        <v>2.6605504587155959</v>
      </c>
      <c r="BL897" s="67">
        <f>MAX((CR897-Driver!$F$202)/(Driver!$G$202-Driver!$F$202)*$BI$1,1)</f>
        <v>5.1724137931034484</v>
      </c>
      <c r="BM897" s="67">
        <f>MAX((CH897-Driver!$F$204)/(Driver!$G$204-Driver!$F$204)*$BI$1,1)</f>
        <v>2.2222222222222223</v>
      </c>
      <c r="BN897" s="67">
        <f>(CI897-Driver!$F$205)/(Driver!$G$205-Driver!$F$205)*$BI$1</f>
        <v>3.1176470588235294</v>
      </c>
      <c r="BO897" s="67">
        <f>(CK897-Driver!$F$207)/(Driver!$G$207-Driver!$F$207)*$BI$1</f>
        <v>2.7300930713547049</v>
      </c>
      <c r="BP897" s="67">
        <f>(CM897-Driver!$F$208)/(Driver!$G$208-Driver!$F$208)*$BI$1</f>
        <v>3.1333333333333337</v>
      </c>
      <c r="BQ897" s="67">
        <f>(CL897-Driver!$F$209)/(Driver!$G$209-Driver!$F$209)*$BI$1</f>
        <v>4.84375</v>
      </c>
      <c r="BR897" s="28" t="s">
        <v>155</v>
      </c>
      <c r="BS897" s="8" t="s">
        <v>218</v>
      </c>
      <c r="BT897" s="9" t="s">
        <v>294</v>
      </c>
      <c r="BU897" s="10">
        <v>158</v>
      </c>
      <c r="BV897" s="9" t="s">
        <v>158</v>
      </c>
      <c r="BW897" s="10">
        <v>158</v>
      </c>
      <c r="BX897" s="10">
        <v>156.5</v>
      </c>
      <c r="BY897" s="10">
        <v>91</v>
      </c>
      <c r="BZ897" s="10">
        <v>104</v>
      </c>
      <c r="CA897" s="10">
        <v>133</v>
      </c>
      <c r="CB897" s="10">
        <v>111</v>
      </c>
      <c r="CC897" s="10">
        <v>121</v>
      </c>
      <c r="CD897" s="10">
        <v>15.2</v>
      </c>
      <c r="CE897" s="10">
        <v>1294</v>
      </c>
      <c r="CF897" s="10">
        <v>1.42</v>
      </c>
      <c r="CG897" s="10">
        <v>1841</v>
      </c>
      <c r="CH897" s="10">
        <v>153</v>
      </c>
      <c r="CI897" s="10">
        <v>86</v>
      </c>
      <c r="CJ897" s="10">
        <v>62</v>
      </c>
      <c r="CK897" s="10">
        <v>374</v>
      </c>
      <c r="CL897" s="10">
        <v>31</v>
      </c>
      <c r="CM897" s="10">
        <v>282</v>
      </c>
      <c r="CN897" s="10">
        <v>0.49099999999999999</v>
      </c>
      <c r="CO897" s="10">
        <v>312</v>
      </c>
      <c r="CP897" s="10">
        <v>212</v>
      </c>
      <c r="CQ897" s="10">
        <v>62</v>
      </c>
      <c r="CR897" s="10">
        <v>4</v>
      </c>
      <c r="CS897" s="10">
        <v>13.5</v>
      </c>
      <c r="CT897" s="9" t="s">
        <v>169</v>
      </c>
      <c r="CU897" s="9" t="s">
        <v>185</v>
      </c>
      <c r="CV897" s="9" t="s">
        <v>198</v>
      </c>
      <c r="CW897" s="10"/>
      <c r="CX897" t="str">
        <f>INDEX('Data_Price '!AG$2:AG$1266,MATCH(Data!$DN897,'Data_Price '!$AT$2:$AT$1266,0))</f>
        <v>DPS Skis Pagoda Tour 112 RP Skis Gray 158 Cm</v>
      </c>
      <c r="CY897" t="str">
        <f>INDEX('Data_Price '!AH$2:AH$1266,MATCH(Data!$DN897,'Data_Price '!$AT$2:$AT$1266,0))</f>
        <v>REI</v>
      </c>
      <c r="CZ897">
        <f>INDEX('Data_Price '!AI$2:AI$1266,MATCH(Data!$DN897,'Data_Price '!$AT$2:$AT$1266,0))</f>
        <v>1038.93</v>
      </c>
      <c r="DA897" t="str">
        <f>INDEX('Data_Price '!AJ$2:AJ$1266,MATCH(Data!$DN897,'Data_Price '!$AT$2:$AT$1266,0))</f>
        <v>https://tinyurl.com/yb9czond</v>
      </c>
      <c r="DB897" t="str">
        <f>INDEX('Data_Price '!AK$2:AK$1266,MATCH(Data!$DN897,'Data_Price '!$AT$2:$AT$1266,0))</f>
        <v>DPS Pagoda Tour 112 RP SE Ski 158 / Midnight Rider Blue</v>
      </c>
      <c r="DC897" t="str">
        <f>INDEX('Data_Price '!AL$2:AL$1266,MATCH(Data!$DN897,'Data_Price '!$AT$2:$AT$1266,0))</f>
        <v>Backcountry.com</v>
      </c>
      <c r="DD897">
        <f>INDEX('Data_Price '!AM$2:AM$1266,MATCH(Data!$DN897,'Data_Price '!$AT$2:$AT$1266,0))</f>
        <v>1039.2</v>
      </c>
      <c r="DE897" t="str">
        <f>INDEX('Data_Price '!AN$2:AN$1266,MATCH(Data!$DN897,'Data_Price '!$AT$2:$AT$1266,0))</f>
        <v>https://tinyurl.com/y7en4bf4</v>
      </c>
      <c r="DF897" t="str">
        <f>INDEX('Data_Price '!AO$2:AO$1266,MATCH(Data!$DN897,'Data_Price '!$AT$2:$AT$1266,0))</f>
        <v>DPS Pagoda Tour 112 RP SE Ski 158 / Midnight Rider Blue</v>
      </c>
      <c r="DG897" t="str">
        <f>INDEX('Data_Price '!AP$2:AP$1266,MATCH(Data!$DN897,'Data_Price '!$AT$2:$AT$1266,0))</f>
        <v>Steep &amp; Cheap</v>
      </c>
      <c r="DH897">
        <f>INDEX('Data_Price '!AQ$2:AQ$1266,MATCH(Data!$DN897,'Data_Price '!$AT$2:$AT$1266,0))</f>
        <v>1039.2</v>
      </c>
      <c r="DI897" t="str">
        <f>INDEX('Data_Price '!AR$2:AR$1266,MATCH(Data!$DN897,'Data_Price '!$AT$2:$AT$1266,0))</f>
        <v>https://tinyurl.com/y6ub5tdg</v>
      </c>
      <c r="DJ897" s="89" t="str">
        <f t="shared" si="513"/>
        <v>https://tinyurl.com/yb9czond</v>
      </c>
      <c r="DK897" s="89" t="str">
        <f t="shared" si="514"/>
        <v>https://tinyurl.com/y7en4bf4</v>
      </c>
      <c r="DL897" s="89" t="str">
        <f t="shared" si="515"/>
        <v>https://tinyurl.com/y6ub5tdg</v>
      </c>
      <c r="DM897" s="219" t="str">
        <f t="shared" si="516"/>
        <v>Pagoda Tour 112 RP</v>
      </c>
      <c r="DN897" s="89" t="str">
        <f t="shared" si="517"/>
        <v xml:space="preserve"> DPSPagoda Tour 112 RP158 Unisex</v>
      </c>
      <c r="DO897" s="221" t="s">
        <v>274</v>
      </c>
    </row>
    <row r="898" spans="2:119" ht="15.6" customHeight="1">
      <c r="B898" s="219" t="b">
        <f t="array" ref="B898">IF(OR(ISERROR(K898:P898)),FALSE,TRUE)</f>
        <v>1</v>
      </c>
      <c r="C898" s="43" t="b">
        <f>OR(BR898=Driver!$G$50,Data!BR969=Driver!$H$50)</f>
        <v>1</v>
      </c>
      <c r="D898" s="43" t="b">
        <f>OR(BV898=Driver!$G$51,BV898=Driver!$H$51)</f>
        <v>0</v>
      </c>
      <c r="E898" s="43" t="b">
        <f>AND(BX898&gt;Driver!$F$54,BX898&lt;Driver!$G$54)</f>
        <v>1</v>
      </c>
      <c r="F898" s="43" t="b">
        <f>CL898&gt;Driver!$F$56</f>
        <v>1</v>
      </c>
      <c r="G898" s="43" t="b">
        <f>AND(CB898&gt;Driver!$F$55,CB898&lt;Driver!$G$55)</f>
        <v>0</v>
      </c>
      <c r="H898" s="43" t="b">
        <f t="shared" si="481"/>
        <v>0</v>
      </c>
      <c r="I898" s="43">
        <f t="shared" si="482"/>
        <v>0</v>
      </c>
      <c r="J898" s="43" t="b">
        <f t="array" ref="J898">NOT(OR(($H$9:$H$1273=TRUE)*($I$9:$I$1273&gt;0)*($BT$9:$BT$1273=BT898)*($K$9:$K$1273&gt;K898)))</f>
        <v>1</v>
      </c>
      <c r="K898" s="72">
        <f t="shared" si="483"/>
        <v>0.79853102665529874</v>
      </c>
      <c r="L898" s="72">
        <f t="shared" si="484"/>
        <v>0.85052638074227738</v>
      </c>
      <c r="M898" s="72">
        <f t="shared" si="485"/>
        <v>0.7465356725683201</v>
      </c>
      <c r="N898" s="72">
        <f t="shared" si="486"/>
        <v>0.66641298979288788</v>
      </c>
      <c r="O898" s="72">
        <f t="shared" si="487"/>
        <v>0.71801801235817153</v>
      </c>
      <c r="P898" s="72">
        <f t="shared" si="488"/>
        <v>0.85517601555390088</v>
      </c>
      <c r="Q898" s="72"/>
      <c r="R898" s="72"/>
      <c r="S898" s="72">
        <f t="shared" si="489"/>
        <v>0.43045812680857209</v>
      </c>
      <c r="T898" s="72">
        <f t="shared" si="490"/>
        <v>0.46748887927053229</v>
      </c>
      <c r="U898" s="72">
        <f t="shared" si="491"/>
        <v>0.5686305901466574</v>
      </c>
      <c r="V898" s="72">
        <f t="shared" si="492"/>
        <v>0.51494672944167308</v>
      </c>
      <c r="W898" s="72">
        <f t="shared" si="493"/>
        <v>0.85950520833333333</v>
      </c>
      <c r="X898" s="72">
        <f t="shared" si="494"/>
        <v>0.14947361925772262</v>
      </c>
      <c r="Y898" s="72">
        <f t="shared" si="495"/>
        <v>0.25346432743167985</v>
      </c>
      <c r="Z898" s="72">
        <f t="shared" si="496"/>
        <v>0.33358701020711207</v>
      </c>
      <c r="AA898" s="72">
        <f t="shared" si="497"/>
        <v>0.28198198764182847</v>
      </c>
      <c r="AB898" s="72">
        <f t="shared" si="498"/>
        <v>0.14482398444609912</v>
      </c>
      <c r="AC898" s="72"/>
      <c r="AD898" s="72"/>
      <c r="AE898" s="72">
        <f t="shared" si="499"/>
        <v>0.56954187319142791</v>
      </c>
      <c r="AF898" s="72">
        <f t="shared" si="500"/>
        <v>0.53251112072946771</v>
      </c>
      <c r="AG898" s="72">
        <f t="shared" si="501"/>
        <v>0.4313694098533426</v>
      </c>
      <c r="AH898" s="72">
        <f t="shared" si="502"/>
        <v>0.48505327055832692</v>
      </c>
      <c r="AI898" s="72">
        <f t="shared" si="503"/>
        <v>0.14049479166666667</v>
      </c>
      <c r="AJ898" s="72">
        <f>(AV898-Driver!$K$179)/(Driver!$L$179-Driver!$K$179)</f>
        <v>0.10474579002497782</v>
      </c>
      <c r="AK898" s="72">
        <f>(AW898-Driver!$K$180)/(Driver!$L$180-Driver!$K$180)</f>
        <v>0.13562952429868935</v>
      </c>
      <c r="AL898" s="72">
        <f>(AX898-Driver!$K$181)/(Driver!$L$181-Driver!$K$181)</f>
        <v>0.43527477392019226</v>
      </c>
      <c r="AM898" s="72">
        <f>(AY898-Driver!$K$182)/(Driver!$L$182-Driver!$K$182)</f>
        <v>0.1654030334552179</v>
      </c>
      <c r="AN898" s="72">
        <f>(AZ898-Driver!$K$183)/(Driver!$L$183-Driver!$K$183)</f>
        <v>0.10939542483660132</v>
      </c>
      <c r="AO898" s="72"/>
      <c r="AP898" s="72"/>
      <c r="AQ898" s="72">
        <f>(BC898-Driver!$K$188)/(Driver!$L$188-Driver!$K$188)</f>
        <v>5.0458126808572118E-2</v>
      </c>
      <c r="AR898" s="72">
        <f>MIN((BD898-Driver!$K$189)/(Driver!$L$189-Driver!$K$189),100%)</f>
        <v>1.7488879270532356E-2</v>
      </c>
      <c r="AS898" s="72">
        <f>(BE898-Driver!$K$190)/(Driver!$L$190-Driver!$K$190)</f>
        <v>7.8630590146657436E-2</v>
      </c>
      <c r="AT898" s="72">
        <f>(BF898-Driver!$K$191)/(Driver!$L$191-Driver!$K$191)</f>
        <v>2.4946729441673098E-2</v>
      </c>
      <c r="AU898" s="72">
        <f>(BG898-Driver!$K$192)/(Driver!$L$192-Driver!$K$192)</f>
        <v>0.10950520833333331</v>
      </c>
      <c r="AV898" s="70">
        <f t="shared" si="504"/>
        <v>2.204585537918871</v>
      </c>
      <c r="AW898" s="70">
        <f t="shared" si="505"/>
        <v>15.090191564207942</v>
      </c>
      <c r="AX898" s="70">
        <f t="shared" si="506"/>
        <v>4.9174729652817302</v>
      </c>
      <c r="AY898" s="70">
        <f>IFERROR(Driver!$K$19/Data!BH898/Data!BI898*Data!BK898*Data!BL898,"")</f>
        <v>0.20250266445115381</v>
      </c>
      <c r="AZ898" s="70">
        <f t="shared" si="507"/>
        <v>9.9702159344750569</v>
      </c>
      <c r="BA898" s="70"/>
      <c r="BB898" s="70"/>
      <c r="BC898" s="70">
        <f t="shared" si="508"/>
        <v>26.172981154813037</v>
      </c>
      <c r="BD898" s="70">
        <f t="shared" si="509"/>
        <v>3.2685577110794566</v>
      </c>
      <c r="BE898" s="70">
        <f t="shared" si="510"/>
        <v>7.879495207892083E-2</v>
      </c>
      <c r="BF898" s="70">
        <f t="shared" si="511"/>
        <v>2.8175578297435848</v>
      </c>
      <c r="BG898" s="70">
        <f t="shared" si="512"/>
        <v>0.41465657552083329</v>
      </c>
      <c r="BH898" s="67">
        <f>MAX((CE898-Driver!$F$200)/(Driver!$G$200-Driver!$F$200)*$BI$1,1)</f>
        <v>4.9174729652817302</v>
      </c>
      <c r="BI898" s="67">
        <f>MAX($BI$1*(BY898-Driver!$F$201)/(Driver!$G$201-Driver!$F$201),1)</f>
        <v>6.518987341772152</v>
      </c>
      <c r="BJ898" s="67">
        <f>(CB898-Driver!$F$206)/(Driver!$G$206-Driver!$F$206)*$BI$1</f>
        <v>3.9682539682539679</v>
      </c>
      <c r="BK898" s="67">
        <f>(CD898-Driver!$F$203)/(Driver!$G$203-Driver!$F$203)*$BI$1</f>
        <v>5.2293577981651387</v>
      </c>
      <c r="BL898" s="67">
        <f>MAX((CR898-Driver!$F$202)/(Driver!$G$202-Driver!$F$202)*$BI$1,1)</f>
        <v>6.2068965517241379</v>
      </c>
      <c r="BM898" s="67">
        <f>MAX((CH898-Driver!$F$204)/(Driver!$G$204-Driver!$F$204)*$BI$1,1)</f>
        <v>2.2222222222222223</v>
      </c>
      <c r="BN898" s="67">
        <f>(CI898-Driver!$F$205)/(Driver!$G$205-Driver!$F$205)*$BI$1</f>
        <v>1.5294117647058825</v>
      </c>
      <c r="BO898" s="67">
        <f>(CK898-Driver!$F$207)/(Driver!$G$207-Driver!$F$207)*$BI$1</f>
        <v>1.5615305067218201</v>
      </c>
      <c r="BP898" s="67">
        <f>(CM898-Driver!$F$208)/(Driver!$G$208-Driver!$F$208)*$BI$1</f>
        <v>2.3777777777777778</v>
      </c>
      <c r="BQ898" s="67">
        <f>(CL898-Driver!$F$209)/(Driver!$G$209-Driver!$F$209)*$BI$1</f>
        <v>4.53125</v>
      </c>
      <c r="BR898" s="28" t="s">
        <v>155</v>
      </c>
      <c r="BS898" s="8" t="s">
        <v>172</v>
      </c>
      <c r="BT898" s="9" t="s">
        <v>805</v>
      </c>
      <c r="BU898" s="10">
        <v>160</v>
      </c>
      <c r="BV898" s="9" t="s">
        <v>163</v>
      </c>
      <c r="BW898" s="10">
        <v>160</v>
      </c>
      <c r="BX898" s="10">
        <v>158.5</v>
      </c>
      <c r="BY898" s="10">
        <v>111</v>
      </c>
      <c r="BZ898" s="10">
        <v>133</v>
      </c>
      <c r="CA898" s="10">
        <v>117</v>
      </c>
      <c r="CB898" s="10">
        <v>89</v>
      </c>
      <c r="CC898" s="10">
        <v>107</v>
      </c>
      <c r="CD898" s="10">
        <v>20.8</v>
      </c>
      <c r="CE898" s="10">
        <v>1764</v>
      </c>
      <c r="CF898" s="10">
        <v>0.87</v>
      </c>
      <c r="CG898" s="10">
        <v>1541</v>
      </c>
      <c r="CH898" s="10">
        <v>153</v>
      </c>
      <c r="CI898" s="10">
        <v>59</v>
      </c>
      <c r="CJ898" s="10">
        <v>51</v>
      </c>
      <c r="CK898" s="10">
        <v>261</v>
      </c>
      <c r="CL898" s="10">
        <v>29</v>
      </c>
      <c r="CM898" s="10">
        <v>214</v>
      </c>
      <c r="CN898" s="10">
        <v>0.56699999999999995</v>
      </c>
      <c r="CO898" s="10">
        <v>126</v>
      </c>
      <c r="CP898" s="10">
        <v>133</v>
      </c>
      <c r="CQ898" s="10">
        <v>135</v>
      </c>
      <c r="CR898" s="10">
        <v>7</v>
      </c>
      <c r="CS898" s="10">
        <v>5.3</v>
      </c>
      <c r="CT898" s="9" t="s">
        <v>188</v>
      </c>
      <c r="CU898" s="10"/>
      <c r="CV898" s="10"/>
      <c r="CW898" s="10"/>
      <c r="CX898" t="str">
        <f>INDEX('Data_Price '!AG$2:AG$1266,MATCH(Data!$DN898,'Data_Price '!$AT$2:$AT$1266,0))</f>
        <v>Rossignol Teen's Skis Blackops W Dreamer (xpress)</v>
      </c>
      <c r="CY898" t="str">
        <f>INDEX('Data_Price '!AH$2:AH$1266,MATCH(Data!$DN898,'Data_Price '!$AT$2:$AT$1266,0))</f>
        <v>The-House.com</v>
      </c>
      <c r="CZ898">
        <f>INDEX('Data_Price '!AI$2:AI$1266,MATCH(Data!$DN898,'Data_Price '!$AT$2:$AT$1266,0))</f>
        <v>351.95</v>
      </c>
      <c r="DA898" t="str">
        <f>INDEX('Data_Price '!AJ$2:AJ$1266,MATCH(Data!$DN898,'Data_Price '!$AT$2:$AT$1266,0))</f>
        <v>https://tinyurl.com/yarcdw2e</v>
      </c>
      <c r="DB898" t="str">
        <f>INDEX('Data_Price '!AK$2:AK$1266,MATCH(Data!$DN898,'Data_Price '!$AT$2:$AT$1266,0))</f>
        <v>Rossignol Teen's Skis Blackops W Dreamer (xpress)</v>
      </c>
      <c r="DC898" t="str">
        <f>INDEX('Data_Price '!AL$2:AL$1266,MATCH(Data!$DN898,'Data_Price '!$AT$2:$AT$1266,0))</f>
        <v>Powder7 Ski Shop</v>
      </c>
      <c r="DD898">
        <f>INDEX('Data_Price '!AM$2:AM$1266,MATCH(Data!$DN898,'Data_Price '!$AT$2:$AT$1266,0))</f>
        <v>399.95</v>
      </c>
      <c r="DE898" t="str">
        <f>INDEX('Data_Price '!AN$2:AN$1266,MATCH(Data!$DN898,'Data_Price '!$AT$2:$AT$1266,0))</f>
        <v>https://tinyurl.com/yalcc2xl</v>
      </c>
      <c r="DF898" t="str">
        <f>INDEX('Data_Price '!AO$2:AO$1266,MATCH(Data!$DN898,'Data_Price '!$AT$2:$AT$1266,0))</f>
        <v>Rossignol Teen's Skis Blackops W Dreamer (xpress)</v>
      </c>
      <c r="DG898" t="str">
        <f>INDEX('Data_Price '!AP$2:AP$1266,MATCH(Data!$DN898,'Data_Price '!$AT$2:$AT$1266,0))</f>
        <v>ColoradoSkiShop.com</v>
      </c>
      <c r="DH898">
        <f>INDEX('Data_Price '!AQ$2:AQ$1266,MATCH(Data!$DN898,'Data_Price '!$AT$2:$AT$1266,0))</f>
        <v>399.95</v>
      </c>
      <c r="DI898" t="str">
        <f>INDEX('Data_Price '!AR$2:AR$1266,MATCH(Data!$DN898,'Data_Price '!$AT$2:$AT$1266,0))</f>
        <v>https://tinyurl.com/y9rxk4rn</v>
      </c>
      <c r="DJ898" s="89" t="str">
        <f t="shared" si="513"/>
        <v>https://tinyurl.com/yarcdw2e</v>
      </c>
      <c r="DK898" s="89" t="str">
        <f t="shared" si="514"/>
        <v>https://tinyurl.com/yalcc2xl</v>
      </c>
      <c r="DL898" s="89" t="str">
        <f t="shared" si="515"/>
        <v>https://tinyurl.com/y9rxk4rn</v>
      </c>
      <c r="DM898" s="219" t="str">
        <f t="shared" si="516"/>
        <v>Blackops Dreamer W</v>
      </c>
      <c r="DN898" s="89" t="str">
        <f t="shared" si="517"/>
        <v xml:space="preserve"> RossignolBlackops Dreamer W160 Women's</v>
      </c>
      <c r="DO898" s="221"/>
    </row>
    <row r="899" spans="2:119" ht="15.6" customHeight="1">
      <c r="B899" s="219" t="b">
        <f t="array" ref="B899">IF(OR(ISERROR(K899:P899)),FALSE,TRUE)</f>
        <v>1</v>
      </c>
      <c r="C899" s="43" t="b">
        <f>OR(BR899=Driver!$G$50,Data!BR275=Driver!$H$50)</f>
        <v>1</v>
      </c>
      <c r="D899" s="43" t="b">
        <f>OR(BV899=Driver!$G$51,BV899=Driver!$H$51)</f>
        <v>1</v>
      </c>
      <c r="E899" s="43" t="b">
        <f>AND(BX899&gt;Driver!$F$54,BX899&lt;Driver!$G$54)</f>
        <v>0</v>
      </c>
      <c r="F899" s="43" t="b">
        <f>CL899&gt;Driver!$F$56</f>
        <v>1</v>
      </c>
      <c r="G899" s="43" t="b">
        <f>AND(CB899&gt;Driver!$F$55,CB899&lt;Driver!$G$55)</f>
        <v>0</v>
      </c>
      <c r="H899" s="43" t="b">
        <f t="shared" si="481"/>
        <v>0</v>
      </c>
      <c r="I899" s="43">
        <f t="shared" si="482"/>
        <v>0</v>
      </c>
      <c r="J899" s="43" t="b">
        <f t="array" ref="J899">NOT(OR(($H$9:$H$1273=TRUE)*($I$9:$I$1273&gt;0)*($BT$9:$BT$1273=BT899)*($K$9:$K$1273&gt;K899)))</f>
        <v>1</v>
      </c>
      <c r="K899" s="72">
        <f t="shared" si="483"/>
        <v>0.78387664459847239</v>
      </c>
      <c r="L899" s="72">
        <f t="shared" si="484"/>
        <v>0.95494987602871684</v>
      </c>
      <c r="M899" s="72">
        <f t="shared" si="485"/>
        <v>0.61280341316822806</v>
      </c>
      <c r="N899" s="72">
        <f t="shared" si="486"/>
        <v>0.43306068472743553</v>
      </c>
      <c r="O899" s="72">
        <f t="shared" si="487"/>
        <v>0.60668570105010344</v>
      </c>
      <c r="P899" s="72">
        <f t="shared" si="488"/>
        <v>0.79866385372714488</v>
      </c>
      <c r="Q899" s="72"/>
      <c r="R899" s="72"/>
      <c r="S899" s="72">
        <f t="shared" si="489"/>
        <v>0.53522233629141325</v>
      </c>
      <c r="T899" s="72">
        <f t="shared" si="490"/>
        <v>0.6048933187627028</v>
      </c>
      <c r="U899" s="72">
        <f t="shared" si="491"/>
        <v>0.75510782064855764</v>
      </c>
      <c r="V899" s="72">
        <f t="shared" si="492"/>
        <v>0.501089774747287</v>
      </c>
      <c r="W899" s="72">
        <f t="shared" si="493"/>
        <v>0.75932821972040088</v>
      </c>
      <c r="X899" s="72">
        <f t="shared" si="494"/>
        <v>4.5050123971283162E-2</v>
      </c>
      <c r="Y899" s="72">
        <f t="shared" si="495"/>
        <v>0.38719658683177199</v>
      </c>
      <c r="Z899" s="72">
        <f t="shared" si="496"/>
        <v>0.56693931527256447</v>
      </c>
      <c r="AA899" s="72">
        <f t="shared" si="497"/>
        <v>0.39331429894989656</v>
      </c>
      <c r="AB899" s="72">
        <f t="shared" si="498"/>
        <v>0.20133614627285507</v>
      </c>
      <c r="AC899" s="72"/>
      <c r="AD899" s="72"/>
      <c r="AE899" s="72">
        <f t="shared" si="499"/>
        <v>0.4647776637085867</v>
      </c>
      <c r="AF899" s="72">
        <f t="shared" si="500"/>
        <v>0.3951066812372972</v>
      </c>
      <c r="AG899" s="72">
        <f t="shared" si="501"/>
        <v>0.24489217935144236</v>
      </c>
      <c r="AH899" s="72">
        <f t="shared" si="502"/>
        <v>0.498910225252713</v>
      </c>
      <c r="AI899" s="72">
        <f t="shared" si="503"/>
        <v>0.24067178027959915</v>
      </c>
      <c r="AJ899" s="72">
        <f>(AV899-Driver!$K$179)/(Driver!$L$179-Driver!$K$179)</f>
        <v>0.20916928531141726</v>
      </c>
      <c r="AK899" s="72">
        <f>(AW899-Driver!$K$180)/(Driver!$L$180-Driver!$K$180)</f>
        <v>0.4794939802909739</v>
      </c>
      <c r="AL899" s="72">
        <f>(AX899-Driver!$K$181)/(Driver!$L$181-Driver!$K$181)</f>
        <v>0.66862707898564466</v>
      </c>
      <c r="AM899" s="72">
        <f>(AY899-Driver!$K$182)/(Driver!$L$182-Driver!$K$182)</f>
        <v>5.4070722147149808E-2</v>
      </c>
      <c r="AN899" s="72">
        <f>(AZ899-Driver!$K$183)/(Driver!$L$183-Driver!$K$183)</f>
        <v>0.45555555555555549</v>
      </c>
      <c r="AO899" s="72"/>
      <c r="AP899" s="72"/>
      <c r="AQ899" s="72">
        <f>(BC899-Driver!$K$188)/(Driver!$L$188-Driver!$K$188)</f>
        <v>0.1552223362914133</v>
      </c>
      <c r="AR899" s="72">
        <f>MIN((BD899-Driver!$K$189)/(Driver!$L$189-Driver!$K$189),100%)</f>
        <v>0.15489331876270285</v>
      </c>
      <c r="AS899" s="72">
        <f>(BE899-Driver!$K$190)/(Driver!$L$190-Driver!$K$190)</f>
        <v>0.75489217935144237</v>
      </c>
      <c r="AT899" s="72">
        <f>(BF899-Driver!$K$191)/(Driver!$L$191-Driver!$K$191)</f>
        <v>1.1089774747287008E-2</v>
      </c>
      <c r="AU899" s="72">
        <f>(BG899-Driver!$K$192)/(Driver!$L$192-Driver!$K$192)</f>
        <v>9.3282197204008419E-3</v>
      </c>
      <c r="AV899" s="70">
        <f t="shared" si="504"/>
        <v>4.402387735721069</v>
      </c>
      <c r="AW899" s="70">
        <f t="shared" si="505"/>
        <v>48.602829749697442</v>
      </c>
      <c r="AX899" s="70">
        <f t="shared" si="506"/>
        <v>7.0176437108708019</v>
      </c>
      <c r="AY899" s="70">
        <f>IFERROR(Driver!$K$19/Data!BH899/Data!BI899*Data!BK899*Data!BL899,"")</f>
        <v>6.6198697054491232E-2</v>
      </c>
      <c r="AZ899" s="70">
        <f t="shared" si="507"/>
        <v>41.518987341772146</v>
      </c>
      <c r="BA899" s="70"/>
      <c r="BB899" s="70"/>
      <c r="BC899" s="70">
        <f t="shared" si="508"/>
        <v>80.514904922531301</v>
      </c>
      <c r="BD899" s="70">
        <f t="shared" si="509"/>
        <v>15.428607139876421</v>
      </c>
      <c r="BE899" s="70">
        <f t="shared" si="510"/>
        <v>0.75493590382784004</v>
      </c>
      <c r="BF899" s="70">
        <f t="shared" si="511"/>
        <v>1.2525121476290648</v>
      </c>
      <c r="BG899" s="70">
        <f t="shared" si="512"/>
        <v>3.5322590622293711E-2</v>
      </c>
      <c r="BH899" s="67">
        <f>MAX((CE899-Driver!$F$200)/(Driver!$G$200-Driver!$F$200)*$BI$1,1)</f>
        <v>7.0176437108708019</v>
      </c>
      <c r="BI899" s="67">
        <f>MAX($BI$1*(BY899-Driver!$F$201)/(Driver!$G$201-Driver!$F$201),1)</f>
        <v>8.6075949367088604</v>
      </c>
      <c r="BJ899" s="67">
        <f>(CB899-Driver!$F$206)/(Driver!$G$206-Driver!$F$206)*$BI$1</f>
        <v>3.4920634920634921</v>
      </c>
      <c r="BK899" s="67">
        <f>(CD899-Driver!$F$203)/(Driver!$G$203-Driver!$F$203)*$BI$1</f>
        <v>3.623853211009175</v>
      </c>
      <c r="BL899" s="67">
        <f>MAX((CR899-Driver!$F$202)/(Driver!$G$202-Driver!$F$202)*$BI$1,1)</f>
        <v>5.5172413793103452</v>
      </c>
      <c r="BM899" s="67">
        <f>MAX((CH899-Driver!$F$204)/(Driver!$G$204-Driver!$F$204)*$BI$1,1)</f>
        <v>5.0427350427350426</v>
      </c>
      <c r="BN899" s="67">
        <f>(CI899-Driver!$F$205)/(Driver!$G$205-Driver!$F$205)*$BI$1</f>
        <v>4.8235294117647056</v>
      </c>
      <c r="BO899" s="67">
        <f>(CK899-Driver!$F$207)/(Driver!$G$207-Driver!$F$207)*$BI$1</f>
        <v>1.0444674250258532</v>
      </c>
      <c r="BP899" s="67">
        <f>(CM899-Driver!$F$208)/(Driver!$G$208-Driver!$F$208)*$BI$1</f>
        <v>1.2444444444444445</v>
      </c>
      <c r="BQ899" s="67">
        <f>(CL899-Driver!$F$209)/(Driver!$G$209-Driver!$F$209)*$BI$1</f>
        <v>1.25</v>
      </c>
      <c r="BR899" s="28" t="s">
        <v>155</v>
      </c>
      <c r="BS899" s="8" t="s">
        <v>317</v>
      </c>
      <c r="BT899" s="9" t="s">
        <v>630</v>
      </c>
      <c r="BU899" s="10">
        <v>177</v>
      </c>
      <c r="BV899" s="9" t="s">
        <v>158</v>
      </c>
      <c r="BW899" s="10">
        <v>177</v>
      </c>
      <c r="BX899" s="10">
        <v>175.9</v>
      </c>
      <c r="BY899" s="10">
        <v>144</v>
      </c>
      <c r="BZ899" s="10">
        <v>154</v>
      </c>
      <c r="CA899" s="10">
        <v>128</v>
      </c>
      <c r="CB899" s="10">
        <v>86</v>
      </c>
      <c r="CC899" s="10">
        <v>109</v>
      </c>
      <c r="CD899" s="10">
        <v>17.3</v>
      </c>
      <c r="CE899" s="10">
        <v>2133</v>
      </c>
      <c r="CF899" s="10">
        <v>0.81</v>
      </c>
      <c r="CG899" s="10">
        <v>1735</v>
      </c>
      <c r="CH899" s="10">
        <v>219</v>
      </c>
      <c r="CI899" s="10">
        <v>115</v>
      </c>
      <c r="CJ899" s="10">
        <v>53</v>
      </c>
      <c r="CK899" s="10">
        <v>211</v>
      </c>
      <c r="CL899" s="10">
        <v>8</v>
      </c>
      <c r="CM899" s="10">
        <v>112</v>
      </c>
      <c r="CN899" s="10">
        <v>0.14699999999999999</v>
      </c>
      <c r="CO899" s="10">
        <v>119</v>
      </c>
      <c r="CP899" s="10">
        <v>99</v>
      </c>
      <c r="CQ899" s="10">
        <v>92</v>
      </c>
      <c r="CR899" s="10">
        <v>5</v>
      </c>
      <c r="CS899" s="10">
        <v>11.1</v>
      </c>
      <c r="CT899" s="9" t="s">
        <v>188</v>
      </c>
      <c r="CU899" s="10"/>
      <c r="CV899" s="10"/>
      <c r="CW899" s="10"/>
      <c r="CX899" t="str">
        <f>INDEX('Data_Price '!AG$2:AG$1266,MATCH(Data!$DN899,'Data_Price '!$AT$2:$AT$1266,0))</f>
        <v>Blizzard Brahma 88 Skis</v>
      </c>
      <c r="CY899" t="str">
        <f>INDEX('Data_Price '!AH$2:AH$1266,MATCH(Data!$DN899,'Data_Price '!$AT$2:$AT$1266,0))</f>
        <v>sunandski.com</v>
      </c>
      <c r="CZ899">
        <f>INDEX('Data_Price '!AI$2:AI$1266,MATCH(Data!$DN899,'Data_Price '!$AT$2:$AT$1266,0))</f>
        <v>559.92999999999995</v>
      </c>
      <c r="DA899" t="str">
        <f>INDEX('Data_Price '!AJ$2:AJ$1266,MATCH(Data!$DN899,'Data_Price '!$AT$2:$AT$1266,0))</f>
        <v>https://tinyurl.com/yadrtwr4</v>
      </c>
      <c r="DB899" t="str">
        <f>INDEX('Data_Price '!AK$2:AK$1266,MATCH(Data!$DN899,'Data_Price '!$AT$2:$AT$1266,0))</f>
        <v>Blizzard Brahma 88 Skis</v>
      </c>
      <c r="DC899" t="str">
        <f>INDEX('Data_Price '!AL$2:AL$1266,MATCH(Data!$DN899,'Data_Price '!$AT$2:$AT$1266,0))</f>
        <v>Ski Pro  - Snow Ski &amp; Snowboard</v>
      </c>
      <c r="DD899">
        <f>INDEX('Data_Price '!AM$2:AM$1266,MATCH(Data!$DN899,'Data_Price '!$AT$2:$AT$1266,0))</f>
        <v>559.95000000000005</v>
      </c>
      <c r="DE899" t="str">
        <f>INDEX('Data_Price '!AN$2:AN$1266,MATCH(Data!$DN899,'Data_Price '!$AT$2:$AT$1266,0))</f>
        <v>https://tinyurl.com/y7r3grp5</v>
      </c>
      <c r="DF899" t="str">
        <f>INDEX('Data_Price '!AO$2:AO$1266,MATCH(Data!$DN899,'Data_Price '!$AT$2:$AT$1266,0))</f>
        <v>Blizzard Brahma 88 Skis</v>
      </c>
      <c r="DG899" t="str">
        <f>INDEX('Data_Price '!AP$2:AP$1266,MATCH(Data!$DN899,'Data_Price '!$AT$2:$AT$1266,0))</f>
        <v>Peter Glenn Ski &amp; Sports</v>
      </c>
      <c r="DH899">
        <f>INDEX('Data_Price '!AQ$2:AQ$1266,MATCH(Data!$DN899,'Data_Price '!$AT$2:$AT$1266,0))</f>
        <v>559.99</v>
      </c>
      <c r="DI899" t="str">
        <f>INDEX('Data_Price '!AR$2:AR$1266,MATCH(Data!$DN899,'Data_Price '!$AT$2:$AT$1266,0))</f>
        <v>https://tinyurl.com/y73kvp4k</v>
      </c>
      <c r="DJ899" s="89" t="str">
        <f t="shared" si="513"/>
        <v>https://tinyurl.com/yadrtwr4</v>
      </c>
      <c r="DK899" s="89" t="str">
        <f t="shared" si="514"/>
        <v>https://tinyurl.com/y7r3grp5</v>
      </c>
      <c r="DL899" s="89" t="str">
        <f t="shared" si="515"/>
        <v>https://tinyurl.com/y73kvp4k</v>
      </c>
      <c r="DM899" s="219" t="str">
        <f t="shared" si="516"/>
        <v>Brahma 88</v>
      </c>
      <c r="DN899" s="89" t="str">
        <f t="shared" si="517"/>
        <v xml:space="preserve"> BlizzardBrahma 88177 Unisex</v>
      </c>
      <c r="DO899" s="221"/>
    </row>
    <row r="900" spans="2:119" ht="15.6" customHeight="1">
      <c r="B900" s="219" t="b">
        <f t="array" ref="B900">IF(OR(ISERROR(K900:P900)),FALSE,TRUE)</f>
        <v>1</v>
      </c>
      <c r="C900" s="43" t="b">
        <f>OR(BR900=Driver!$G$50,Data!BR1170=Driver!$H$50)</f>
        <v>1</v>
      </c>
      <c r="D900" s="43" t="b">
        <f>OR(BV900=Driver!$G$51,BV900=Driver!$H$51)</f>
        <v>0</v>
      </c>
      <c r="E900" s="43" t="b">
        <f>AND(BX900&gt;Driver!$F$54,BX900&lt;Driver!$G$54)</f>
        <v>0</v>
      </c>
      <c r="F900" s="43" t="b">
        <f>CL900&gt;Driver!$F$56</f>
        <v>1</v>
      </c>
      <c r="G900" s="43" t="b">
        <f>AND(CB900&gt;Driver!$F$55,CB900&lt;Driver!$G$55)</f>
        <v>0</v>
      </c>
      <c r="H900" s="43" t="b">
        <f t="shared" si="481"/>
        <v>0</v>
      </c>
      <c r="I900" s="43">
        <f t="shared" si="482"/>
        <v>0</v>
      </c>
      <c r="J900" s="43" t="b">
        <f t="array" ref="J900">NOT(OR(($H$9:$H$1273=TRUE)*($I$9:$I$1273&gt;0)*($BT$9:$BT$1273=BT900)*($K$9:$K$1273&gt;K900)))</f>
        <v>1</v>
      </c>
      <c r="K900" s="72">
        <f t="shared" si="483"/>
        <v>0.83895458802031875</v>
      </c>
      <c r="L900" s="72">
        <f t="shared" si="484"/>
        <v>0.86253185975283264</v>
      </c>
      <c r="M900" s="72">
        <f t="shared" si="485"/>
        <v>0.81537731628780497</v>
      </c>
      <c r="N900" s="72">
        <f t="shared" si="486"/>
        <v>0.88964703772813103</v>
      </c>
      <c r="O900" s="72">
        <f t="shared" si="487"/>
        <v>0.6434657583264809</v>
      </c>
      <c r="P900" s="72">
        <f t="shared" si="488"/>
        <v>0.91301915280880275</v>
      </c>
      <c r="Q900" s="72"/>
      <c r="R900" s="72"/>
      <c r="S900" s="72">
        <f t="shared" si="489"/>
        <v>0.41543766778946201</v>
      </c>
      <c r="T900" s="72">
        <f t="shared" si="490"/>
        <v>0.48518985762643008</v>
      </c>
      <c r="U900" s="72">
        <f t="shared" si="491"/>
        <v>0.55800824189548826</v>
      </c>
      <c r="V900" s="72">
        <f t="shared" si="492"/>
        <v>0.62539545198702973</v>
      </c>
      <c r="W900" s="72">
        <f t="shared" si="493"/>
        <v>0.83660767463626307</v>
      </c>
      <c r="X900" s="72">
        <f t="shared" si="494"/>
        <v>0.13746814024716741</v>
      </c>
      <c r="Y900" s="72">
        <f t="shared" si="495"/>
        <v>0.18462268371219506</v>
      </c>
      <c r="Z900" s="72">
        <f t="shared" si="496"/>
        <v>0.11035296227186893</v>
      </c>
      <c r="AA900" s="72">
        <f t="shared" si="497"/>
        <v>0.3565342416735191</v>
      </c>
      <c r="AB900" s="72">
        <f t="shared" si="498"/>
        <v>8.6980847191197197E-2</v>
      </c>
      <c r="AC900" s="72"/>
      <c r="AD900" s="72"/>
      <c r="AE900" s="72">
        <f t="shared" si="499"/>
        <v>0.58456233221053799</v>
      </c>
      <c r="AF900" s="72">
        <f t="shared" si="500"/>
        <v>0.51481014237356992</v>
      </c>
      <c r="AG900" s="72">
        <f t="shared" si="501"/>
        <v>0.44199175810451174</v>
      </c>
      <c r="AH900" s="72">
        <f t="shared" si="502"/>
        <v>0.37460454801297027</v>
      </c>
      <c r="AI900" s="72">
        <f t="shared" si="503"/>
        <v>0.16339232536373693</v>
      </c>
      <c r="AJ900" s="72">
        <f>(AV900-Driver!$K$179)/(Driver!$L$179-Driver!$K$179)</f>
        <v>0.116751269035533</v>
      </c>
      <c r="AK900" s="72">
        <f>(AW900-Driver!$K$180)/(Driver!$L$180-Driver!$K$180)</f>
        <v>0.16817042344305569</v>
      </c>
      <c r="AL900" s="72">
        <f>(AX900-Driver!$K$181)/(Driver!$L$181-Driver!$K$181)</f>
        <v>0.21204072598494911</v>
      </c>
      <c r="AM900" s="72">
        <f>(AY900-Driver!$K$182)/(Driver!$L$182-Driver!$K$182)</f>
        <v>9.0850779423527248E-2</v>
      </c>
      <c r="AN900" s="72">
        <f>(AZ900-Driver!$K$183)/(Driver!$L$183-Driver!$K$183)</f>
        <v>0.16723856209150323</v>
      </c>
      <c r="AO900" s="72"/>
      <c r="AP900" s="72"/>
      <c r="AQ900" s="72">
        <f>(BC900-Driver!$K$188)/(Driver!$L$188-Driver!$K$188)</f>
        <v>3.5437667789462043E-2</v>
      </c>
      <c r="AR900" s="72">
        <f>MIN((BD900-Driver!$K$189)/(Driver!$L$189-Driver!$K$189),100%)</f>
        <v>3.5189857626430072E-2</v>
      </c>
      <c r="AS900" s="72">
        <f>(BE900-Driver!$K$190)/(Driver!$L$190-Driver!$K$190)</f>
        <v>6.8008241895488278E-2</v>
      </c>
      <c r="AT900" s="72">
        <f>(BF900-Driver!$K$191)/(Driver!$L$191-Driver!$K$191)</f>
        <v>0.13539545198702974</v>
      </c>
      <c r="AU900" s="72">
        <f>(BG900-Driver!$K$192)/(Driver!$L$192-Driver!$K$192)</f>
        <v>8.6607674636263066E-2</v>
      </c>
      <c r="AV900" s="70">
        <f t="shared" si="504"/>
        <v>2.4572649572649574</v>
      </c>
      <c r="AW900" s="70">
        <f t="shared" si="505"/>
        <v>18.261590527525399</v>
      </c>
      <c r="AX900" s="70">
        <f t="shared" si="506"/>
        <v>2.9083665338645419</v>
      </c>
      <c r="AY900" s="70">
        <f>IFERROR(Driver!$K$19/Data!BH900/Data!BI900*Data!BK900*Data!BL900,"")</f>
        <v>0.11122846127068989</v>
      </c>
      <c r="AZ900" s="70">
        <f t="shared" si="507"/>
        <v>15.241995532390169</v>
      </c>
      <c r="BA900" s="70"/>
      <c r="BB900" s="70"/>
      <c r="BC900" s="70">
        <f t="shared" si="508"/>
        <v>18.381764641063615</v>
      </c>
      <c r="BD900" s="70">
        <f t="shared" si="509"/>
        <v>4.8350629312986797</v>
      </c>
      <c r="BE900" s="70">
        <f t="shared" si="510"/>
        <v>6.8174498735120062E-2</v>
      </c>
      <c r="BF900" s="70">
        <f t="shared" si="511"/>
        <v>15.291965095050241</v>
      </c>
      <c r="BG900" s="70">
        <f t="shared" si="512"/>
        <v>0.32795190589636686</v>
      </c>
      <c r="BH900" s="67">
        <f>MAX((CE900-Driver!$F$200)/(Driver!$G$200-Driver!$F$200)*$BI$1,1)</f>
        <v>2.9083665338645419</v>
      </c>
      <c r="BI900" s="67">
        <f>MAX($BI$1*(BY900-Driver!$F$201)/(Driver!$G$201-Driver!$F$201),1)</f>
        <v>5.6329113924050631</v>
      </c>
      <c r="BJ900" s="67">
        <f>(CB900-Driver!$F$206)/(Driver!$G$206-Driver!$F$206)*$BI$1</f>
        <v>3.333333333333333</v>
      </c>
      <c r="BK900" s="67">
        <f>(CD900-Driver!$F$203)/(Driver!$G$203-Driver!$F$203)*$BI$1</f>
        <v>2.2018348623853208</v>
      </c>
      <c r="BL900" s="67">
        <f>MAX((CR900-Driver!$F$202)/(Driver!$G$202-Driver!$F$202)*$BI$1,1)</f>
        <v>4.1379310344827589</v>
      </c>
      <c r="BM900" s="67">
        <f>MAX((CH900-Driver!$F$204)/(Driver!$G$204-Driver!$F$204)*$BI$1,1)</f>
        <v>2.9487179487179489</v>
      </c>
      <c r="BN900" s="67">
        <f>(CI900-Driver!$F$205)/(Driver!$G$205-Driver!$F$205)*$BI$1</f>
        <v>2.7058823529411762</v>
      </c>
      <c r="BO900" s="67">
        <f>(CK900-Driver!$F$207)/(Driver!$G$207-Driver!$F$207)*$BI$1</f>
        <v>3.0816959669079629</v>
      </c>
      <c r="BP900" s="67">
        <f>(CM900-Driver!$F$208)/(Driver!$G$208-Driver!$F$208)*$BI$1</f>
        <v>3.2777777777777777</v>
      </c>
      <c r="BQ900" s="67">
        <f>(CL900-Driver!$F$209)/(Driver!$G$209-Driver!$F$209)*$BI$1</f>
        <v>2.8125</v>
      </c>
      <c r="BR900" s="28" t="s">
        <v>155</v>
      </c>
      <c r="BS900" s="8" t="s">
        <v>229</v>
      </c>
      <c r="BT900" s="9" t="s">
        <v>806</v>
      </c>
      <c r="BU900" s="10">
        <v>166</v>
      </c>
      <c r="BV900" s="9" t="s">
        <v>163</v>
      </c>
      <c r="BW900" s="10">
        <v>166</v>
      </c>
      <c r="BX900" s="10">
        <v>167.3</v>
      </c>
      <c r="BY900" s="10">
        <v>97</v>
      </c>
      <c r="BZ900" s="10">
        <v>143</v>
      </c>
      <c r="CA900" s="10">
        <v>128</v>
      </c>
      <c r="CB900" s="10">
        <v>85</v>
      </c>
      <c r="CC900" s="10">
        <v>110</v>
      </c>
      <c r="CD900" s="10">
        <v>14.2</v>
      </c>
      <c r="CE900" s="10">
        <v>1411</v>
      </c>
      <c r="CF900" s="10">
        <v>1.18</v>
      </c>
      <c r="CG900" s="10">
        <v>1660</v>
      </c>
      <c r="CH900" s="10">
        <v>170</v>
      </c>
      <c r="CI900" s="10">
        <v>79</v>
      </c>
      <c r="CJ900" s="10">
        <v>48</v>
      </c>
      <c r="CK900" s="10">
        <v>408</v>
      </c>
      <c r="CL900" s="10">
        <v>18</v>
      </c>
      <c r="CM900" s="10">
        <v>295</v>
      </c>
      <c r="CN900" s="10">
        <v>0.375</v>
      </c>
      <c r="CO900" s="10">
        <v>144</v>
      </c>
      <c r="CP900" s="10">
        <v>100</v>
      </c>
      <c r="CQ900" s="10">
        <v>265</v>
      </c>
      <c r="CR900" s="10">
        <v>1</v>
      </c>
      <c r="CS900" s="10">
        <v>11.7</v>
      </c>
      <c r="CT900" s="9" t="s">
        <v>188</v>
      </c>
      <c r="CU900" s="9" t="s">
        <v>185</v>
      </c>
      <c r="CV900" s="10"/>
      <c r="CW900" s="10"/>
      <c r="CX900" t="e">
        <f>INDEX('Data_Price '!AG$2:AG$1266,MATCH(Data!$DN900,'Data_Price '!$AT$2:$AT$1266,0))</f>
        <v>#N/A</v>
      </c>
      <c r="CY900" t="e">
        <f>INDEX('Data_Price '!AH$2:AH$1266,MATCH(Data!$DN900,'Data_Price '!$AT$2:$AT$1266,0))</f>
        <v>#N/A</v>
      </c>
      <c r="CZ900" t="e">
        <f>INDEX('Data_Price '!AI$2:AI$1266,MATCH(Data!$DN900,'Data_Price '!$AT$2:$AT$1266,0))</f>
        <v>#N/A</v>
      </c>
      <c r="DA900" t="e">
        <f>INDEX('Data_Price '!AJ$2:AJ$1266,MATCH(Data!$DN900,'Data_Price '!$AT$2:$AT$1266,0))</f>
        <v>#N/A</v>
      </c>
      <c r="DB900" t="e">
        <f>INDEX('Data_Price '!AK$2:AK$1266,MATCH(Data!$DN900,'Data_Price '!$AT$2:$AT$1266,0))</f>
        <v>#N/A</v>
      </c>
      <c r="DC900" t="e">
        <f>INDEX('Data_Price '!AL$2:AL$1266,MATCH(Data!$DN900,'Data_Price '!$AT$2:$AT$1266,0))</f>
        <v>#N/A</v>
      </c>
      <c r="DD900" t="e">
        <f>INDEX('Data_Price '!AM$2:AM$1266,MATCH(Data!$DN900,'Data_Price '!$AT$2:$AT$1266,0))</f>
        <v>#N/A</v>
      </c>
      <c r="DE900" t="e">
        <f>INDEX('Data_Price '!AN$2:AN$1266,MATCH(Data!$DN900,'Data_Price '!$AT$2:$AT$1266,0))</f>
        <v>#N/A</v>
      </c>
      <c r="DF900" t="e">
        <f>INDEX('Data_Price '!AO$2:AO$1266,MATCH(Data!$DN900,'Data_Price '!$AT$2:$AT$1266,0))</f>
        <v>#N/A</v>
      </c>
      <c r="DG900" t="e">
        <f>INDEX('Data_Price '!AP$2:AP$1266,MATCH(Data!$DN900,'Data_Price '!$AT$2:$AT$1266,0))</f>
        <v>#N/A</v>
      </c>
      <c r="DH900" t="e">
        <f>INDEX('Data_Price '!AQ$2:AQ$1266,MATCH(Data!$DN900,'Data_Price '!$AT$2:$AT$1266,0))</f>
        <v>#N/A</v>
      </c>
      <c r="DI900" t="e">
        <f>INDEX('Data_Price '!AR$2:AR$1266,MATCH(Data!$DN900,'Data_Price '!$AT$2:$AT$1266,0))</f>
        <v>#N/A</v>
      </c>
      <c r="DJ900" s="89" t="e">
        <f t="shared" si="513"/>
        <v>#N/A</v>
      </c>
      <c r="DK900" s="89" t="e">
        <f t="shared" si="514"/>
        <v>#N/A</v>
      </c>
      <c r="DL900" s="89" t="e">
        <f t="shared" si="515"/>
        <v>#N/A</v>
      </c>
      <c r="DM900" s="219" t="str">
        <f t="shared" si="516"/>
        <v>Blaze 86 W</v>
      </c>
      <c r="DN900" s="89" t="str">
        <f t="shared" si="517"/>
        <v xml:space="preserve"> VölklBlaze 86 W166 Women's</v>
      </c>
      <c r="DO900" s="221" t="s">
        <v>625</v>
      </c>
    </row>
    <row r="901" spans="2:119" ht="15.6" customHeight="1">
      <c r="B901" s="219" t="b">
        <f t="array" ref="B901">IF(OR(ISERROR(K901:P901)),FALSE,TRUE)</f>
        <v>1</v>
      </c>
      <c r="C901" s="43" t="b">
        <f>OR(BR901=Driver!$G$50,Data!BR797=Driver!$H$50)</f>
        <v>1</v>
      </c>
      <c r="D901" s="43" t="b">
        <f>OR(BV901=Driver!$G$51,BV901=Driver!$H$51)</f>
        <v>1</v>
      </c>
      <c r="E901" s="43" t="b">
        <f>AND(BX901&gt;Driver!$F$54,BX901&lt;Driver!$G$54)</f>
        <v>0</v>
      </c>
      <c r="F901" s="43" t="b">
        <f>CL901&gt;Driver!$F$56</f>
        <v>1</v>
      </c>
      <c r="G901" s="43" t="b">
        <f>AND(CB901&gt;Driver!$F$55,CB901&lt;Driver!$G$55)</f>
        <v>0</v>
      </c>
      <c r="H901" s="43" t="b">
        <f t="shared" si="481"/>
        <v>0</v>
      </c>
      <c r="I901" s="43">
        <f t="shared" si="482"/>
        <v>0</v>
      </c>
      <c r="J901" s="43" t="b">
        <f t="array" ref="J901">NOT(OR(($H$9:$H$1273=TRUE)*($I$9:$I$1273&gt;0)*($BT$9:$BT$1273=BT901)*($K$9:$K$1273&gt;K901)))</f>
        <v>1</v>
      </c>
      <c r="K901" s="72">
        <f t="shared" si="483"/>
        <v>0.75318481667262471</v>
      </c>
      <c r="L901" s="72">
        <f t="shared" si="484"/>
        <v>0.8650485124975904</v>
      </c>
      <c r="M901" s="72">
        <f t="shared" si="485"/>
        <v>0.64132112084765902</v>
      </c>
      <c r="N901" s="72">
        <f t="shared" si="486"/>
        <v>0.52791934532314788</v>
      </c>
      <c r="O901" s="72">
        <f t="shared" si="487"/>
        <v>0.65109748375412213</v>
      </c>
      <c r="P901" s="72">
        <f t="shared" si="488"/>
        <v>0.74494653346570705</v>
      </c>
      <c r="Q901" s="72"/>
      <c r="R901" s="72"/>
      <c r="S901" s="72">
        <f t="shared" si="489"/>
        <v>0.5489216736755721</v>
      </c>
      <c r="T901" s="72">
        <f t="shared" si="490"/>
        <v>0.55088251178340619</v>
      </c>
      <c r="U901" s="72">
        <f t="shared" si="491"/>
        <v>0.88334271275630716</v>
      </c>
      <c r="V901" s="72">
        <f t="shared" si="492"/>
        <v>0.50588047701777328</v>
      </c>
      <c r="W901" s="72">
        <f t="shared" si="493"/>
        <v>0.76135131880043361</v>
      </c>
      <c r="X901" s="72">
        <f t="shared" si="494"/>
        <v>0.13495148750240954</v>
      </c>
      <c r="Y901" s="72">
        <f t="shared" si="495"/>
        <v>0.35867887915234098</v>
      </c>
      <c r="Z901" s="72">
        <f t="shared" si="496"/>
        <v>0.47208065467685212</v>
      </c>
      <c r="AA901" s="72">
        <f t="shared" si="497"/>
        <v>0.34890251624587787</v>
      </c>
      <c r="AB901" s="72">
        <f t="shared" si="498"/>
        <v>0.25505346653429301</v>
      </c>
      <c r="AC901" s="72"/>
      <c r="AD901" s="72"/>
      <c r="AE901" s="72">
        <f t="shared" si="499"/>
        <v>0.4510783263244279</v>
      </c>
      <c r="AF901" s="72">
        <f t="shared" si="500"/>
        <v>0.44911748821659381</v>
      </c>
      <c r="AG901" s="72">
        <f t="shared" si="501"/>
        <v>0.11665728724369284</v>
      </c>
      <c r="AH901" s="72">
        <f t="shared" si="502"/>
        <v>0.49411952298222672</v>
      </c>
      <c r="AI901" s="72">
        <f t="shared" si="503"/>
        <v>0.23864868119956642</v>
      </c>
      <c r="AJ901" s="72">
        <f>(AV901-Driver!$K$179)/(Driver!$L$179-Driver!$K$179)</f>
        <v>0.38917089678510997</v>
      </c>
      <c r="AK901" s="72">
        <f>(AW901-Driver!$K$180)/(Driver!$L$180-Driver!$K$180)</f>
        <v>0.52152608553661328</v>
      </c>
      <c r="AL901" s="72">
        <f>(AX901-Driver!$K$181)/(Driver!$L$181-Driver!$K$181)</f>
        <v>0.57376841838993231</v>
      </c>
      <c r="AM901" s="72">
        <f>(AY901-Driver!$K$182)/(Driver!$L$182-Driver!$K$182)</f>
        <v>9.8482504851168509E-2</v>
      </c>
      <c r="AN901" s="72">
        <f>(AZ901-Driver!$K$183)/(Driver!$L$183-Driver!$K$183)</f>
        <v>0.50927287581699343</v>
      </c>
      <c r="AO901" s="72"/>
      <c r="AP901" s="72"/>
      <c r="AQ901" s="72">
        <f>(BC901-Driver!$K$188)/(Driver!$L$188-Driver!$K$188)</f>
        <v>0.16892167367557209</v>
      </c>
      <c r="AR901" s="72">
        <f>MIN((BD901-Driver!$K$189)/(Driver!$L$189-Driver!$K$189),100%)</f>
        <v>0.10088251178340626</v>
      </c>
      <c r="AS901" s="72">
        <f>(BE901-Driver!$K$190)/(Driver!$L$190-Driver!$K$190)</f>
        <v>0.62665728724369285</v>
      </c>
      <c r="AT901" s="72">
        <f>(BF901-Driver!$K$191)/(Driver!$L$191-Driver!$K$191)</f>
        <v>1.5880477017773287E-2</v>
      </c>
      <c r="AU901" s="72">
        <f>(BG901-Driver!$K$192)/(Driver!$L$192-Driver!$K$192)</f>
        <v>1.1351318800433578E-2</v>
      </c>
      <c r="AV901" s="70">
        <f t="shared" si="504"/>
        <v>8.1908831908831914</v>
      </c>
      <c r="AW901" s="70">
        <f t="shared" si="505"/>
        <v>52.699230848225447</v>
      </c>
      <c r="AX901" s="70">
        <f t="shared" si="506"/>
        <v>6.1639157655093912</v>
      </c>
      <c r="AY901" s="70">
        <f>IFERROR(Driver!$K$19/Data!BH901/Data!BI901*Data!BK901*Data!BL901,"")</f>
        <v>0.12057197028121476</v>
      </c>
      <c r="AZ901" s="70">
        <f t="shared" si="507"/>
        <v>46.414743112434842</v>
      </c>
      <c r="BA901" s="70"/>
      <c r="BB901" s="70"/>
      <c r="BC901" s="70">
        <f t="shared" si="508"/>
        <v>87.620846459942896</v>
      </c>
      <c r="BD901" s="70">
        <f t="shared" si="509"/>
        <v>10.648746423695686</v>
      </c>
      <c r="BE901" s="70">
        <f t="shared" si="510"/>
        <v>0.62672388738149731</v>
      </c>
      <c r="BF901" s="70">
        <f t="shared" si="511"/>
        <v>1.7935883124922098</v>
      </c>
      <c r="BG901" s="70">
        <f t="shared" si="512"/>
        <v>4.2983334336986631E-2</v>
      </c>
      <c r="BH901" s="67">
        <f>MAX((CE901-Driver!$F$200)/(Driver!$G$200-Driver!$F$200)*$BI$1,1)</f>
        <v>6.1639157655093912</v>
      </c>
      <c r="BI901" s="67">
        <f>MAX($BI$1*(BY901-Driver!$F$201)/(Driver!$G$201-Driver!$F$201),1)</f>
        <v>8.6708860759493671</v>
      </c>
      <c r="BJ901" s="67">
        <f>(CB901-Driver!$F$206)/(Driver!$G$206-Driver!$F$206)*$BI$1</f>
        <v>5.5555555555555554</v>
      </c>
      <c r="BK901" s="67">
        <f>(CD901-Driver!$F$203)/(Driver!$G$203-Driver!$F$203)*$BI$1</f>
        <v>4.4495412844036704</v>
      </c>
      <c r="BL901" s="67">
        <f>MAX((CR901-Driver!$F$202)/(Driver!$G$202-Driver!$F$202)*$BI$1,1)</f>
        <v>7.2413793103448274</v>
      </c>
      <c r="BM901" s="67">
        <f>MAX((CH901-Driver!$F$204)/(Driver!$G$204-Driver!$F$204)*$BI$1,1)</f>
        <v>5.8974358974358978</v>
      </c>
      <c r="BN901" s="67">
        <f>(CI901-Driver!$F$205)/(Driver!$G$205-Driver!$F$205)*$BI$1</f>
        <v>5.3529411764705879</v>
      </c>
      <c r="BO901" s="67">
        <f>(CK901-Driver!$F$207)/(Driver!$G$207-Driver!$F$207)*$BI$1</f>
        <v>0.97207859358841786</v>
      </c>
      <c r="BP901" s="67">
        <f>(CM901-Driver!$F$208)/(Driver!$G$208-Driver!$F$208)*$BI$1</f>
        <v>1.4777777777777779</v>
      </c>
      <c r="BQ901" s="67">
        <f>(CL901-Driver!$F$209)/(Driver!$G$209-Driver!$F$209)*$BI$1</f>
        <v>1.5625</v>
      </c>
      <c r="BR901" s="28" t="s">
        <v>155</v>
      </c>
      <c r="BS901" s="8" t="s">
        <v>215</v>
      </c>
      <c r="BT901" s="9" t="s">
        <v>216</v>
      </c>
      <c r="BU901" s="10">
        <v>179</v>
      </c>
      <c r="BV901" s="9" t="s">
        <v>158</v>
      </c>
      <c r="BW901" s="10">
        <v>179</v>
      </c>
      <c r="BX901" s="10">
        <v>178.9</v>
      </c>
      <c r="BY901" s="10">
        <v>145</v>
      </c>
      <c r="BZ901" s="10">
        <v>158</v>
      </c>
      <c r="CA901" s="10">
        <v>138</v>
      </c>
      <c r="CB901" s="10">
        <v>99</v>
      </c>
      <c r="CC901" s="10">
        <v>121</v>
      </c>
      <c r="CD901" s="10">
        <v>19.100000000000001</v>
      </c>
      <c r="CE901" s="10">
        <v>1983</v>
      </c>
      <c r="CF901" s="10">
        <v>1</v>
      </c>
      <c r="CG901" s="10">
        <v>1978</v>
      </c>
      <c r="CH901" s="10">
        <v>239</v>
      </c>
      <c r="CI901" s="10">
        <v>124</v>
      </c>
      <c r="CJ901" s="10">
        <v>36</v>
      </c>
      <c r="CK901" s="10">
        <v>204</v>
      </c>
      <c r="CL901" s="10">
        <v>10</v>
      </c>
      <c r="CM901" s="10">
        <v>133</v>
      </c>
      <c r="CN901" s="10">
        <v>0.28699999999999998</v>
      </c>
      <c r="CO901" s="10">
        <v>116</v>
      </c>
      <c r="CP901" s="10">
        <v>88</v>
      </c>
      <c r="CQ901" s="10">
        <v>88</v>
      </c>
      <c r="CR901" s="10">
        <v>10</v>
      </c>
      <c r="CS901" s="10">
        <v>10.4</v>
      </c>
      <c r="CT901" s="9" t="s">
        <v>188</v>
      </c>
      <c r="CU901" s="10"/>
      <c r="CV901" s="10"/>
      <c r="CW901" s="10"/>
      <c r="CX901" t="str">
        <f>INDEX('Data_Price '!AG$2:AG$1266,MATCH(Data!$DN901,'Data_Price '!$AT$2:$AT$1266,0))</f>
        <v>Liberty 2022 Evolv 100 Skis - 179 cm</v>
      </c>
      <c r="CY901" t="str">
        <f>INDEX('Data_Price '!AH$2:AH$1266,MATCH(Data!$DN901,'Data_Price '!$AT$2:$AT$1266,0))</f>
        <v>Christy Sports</v>
      </c>
      <c r="CZ901">
        <f>INDEX('Data_Price '!AI$2:AI$1266,MATCH(Data!$DN901,'Data_Price '!$AT$2:$AT$1266,0))</f>
        <v>699.99</v>
      </c>
      <c r="DA901" t="str">
        <f>INDEX('Data_Price '!AJ$2:AJ$1266,MATCH(Data!$DN901,'Data_Price '!$AT$2:$AT$1266,0))</f>
        <v>https://tinyurl.com/ybl6galp</v>
      </c>
      <c r="DB901" t="str">
        <f>INDEX('Data_Price '!AK$2:AK$1266,MATCH(Data!$DN901,'Data_Price '!$AT$2:$AT$1266,0))</f>
        <v>Liberty Evolv 110 Skis - 179cm</v>
      </c>
      <c r="DC901" t="str">
        <f>INDEX('Data_Price '!AL$2:AL$1266,MATCH(Data!$DN901,'Data_Price '!$AT$2:$AT$1266,0))</f>
        <v>eBay</v>
      </c>
      <c r="DD901">
        <f>INDEX('Data_Price '!AM$2:AM$1266,MATCH(Data!$DN901,'Data_Price '!$AT$2:$AT$1266,0))</f>
        <v>500</v>
      </c>
      <c r="DE901" t="str">
        <f>INDEX('Data_Price '!AN$2:AN$1266,MATCH(Data!$DN901,'Data_Price '!$AT$2:$AT$1266,0))</f>
        <v>https://tinyurl.com/yc4g2lh6</v>
      </c>
      <c r="DF901" t="str">
        <f>INDEX('Data_Price '!AO$2:AO$1266,MATCH(Data!$DN901,'Data_Price '!$AT$2:$AT$1266,0))</f>
        <v>Liberty 2022 Evolv 110 179 All Mtn Skis W/ Tyrolia Attack Bindings,</v>
      </c>
      <c r="DG901" t="str">
        <f>INDEX('Data_Price '!AP$2:AP$1266,MATCH(Data!$DN901,'Data_Price '!$AT$2:$AT$1266,0))</f>
        <v>eBay - sir_davahad</v>
      </c>
      <c r="DH901">
        <f>INDEX('Data_Price '!AQ$2:AQ$1266,MATCH(Data!$DN901,'Data_Price '!$AT$2:$AT$1266,0))</f>
        <v>549</v>
      </c>
      <c r="DI901" t="str">
        <f>INDEX('Data_Price '!AR$2:AR$1266,MATCH(Data!$DN901,'Data_Price '!$AT$2:$AT$1266,0))</f>
        <v>https://tinyurl.com/ycd2xmxt</v>
      </c>
      <c r="DJ901" s="89" t="str">
        <f t="shared" si="513"/>
        <v>https://tinyurl.com/ybl6galp</v>
      </c>
      <c r="DK901" s="89" t="str">
        <f t="shared" si="514"/>
        <v>https://tinyurl.com/yc4g2lh6</v>
      </c>
      <c r="DL901" s="89" t="str">
        <f t="shared" si="515"/>
        <v>https://tinyurl.com/ycd2xmxt</v>
      </c>
      <c r="DM901" s="219" t="str">
        <f t="shared" si="516"/>
        <v>Evolv 100</v>
      </c>
      <c r="DN901" s="89" t="str">
        <f t="shared" si="517"/>
        <v xml:space="preserve"> LibertyEvolv 100179 Unisex</v>
      </c>
      <c r="DO901" s="221"/>
    </row>
    <row r="902" spans="2:119" ht="15.6" customHeight="1">
      <c r="B902" s="219" t="b">
        <f t="array" ref="B902">IF(OR(ISERROR(K902:P902)),FALSE,TRUE)</f>
        <v>1</v>
      </c>
      <c r="C902" s="43" t="b">
        <f>OR(BR902=Driver!$G$50,Data!BR968=Driver!$H$50)</f>
        <v>1</v>
      </c>
      <c r="D902" s="43" t="b">
        <f>OR(BV902=Driver!$G$51,BV902=Driver!$H$51)</f>
        <v>0</v>
      </c>
      <c r="E902" s="43" t="b">
        <f>AND(BX902&gt;Driver!$F$54,BX902&lt;Driver!$G$54)</f>
        <v>0</v>
      </c>
      <c r="F902" s="43" t="b">
        <f>CL902&gt;Driver!$F$56</f>
        <v>1</v>
      </c>
      <c r="G902" s="43" t="b">
        <f>AND(CB902&gt;Driver!$F$55,CB902&lt;Driver!$G$55)</f>
        <v>0</v>
      </c>
      <c r="H902" s="43" t="b">
        <f t="shared" si="481"/>
        <v>0</v>
      </c>
      <c r="I902" s="43">
        <f t="shared" si="482"/>
        <v>0</v>
      </c>
      <c r="J902" s="43" t="b">
        <f t="array" ref="J902">NOT(OR(($H$9:$H$1273=TRUE)*($I$9:$I$1273&gt;0)*($BT$9:$BT$1273=BT902)*($K$9:$K$1273&gt;K902)))</f>
        <v>1</v>
      </c>
      <c r="K902" s="72">
        <f t="shared" si="483"/>
        <v>0.79819711460205978</v>
      </c>
      <c r="L902" s="72">
        <f t="shared" si="484"/>
        <v>0.84045467016295261</v>
      </c>
      <c r="M902" s="72">
        <f t="shared" si="485"/>
        <v>0.75593955904116694</v>
      </c>
      <c r="N902" s="72">
        <f t="shared" si="486"/>
        <v>0.75241817539966727</v>
      </c>
      <c r="O902" s="72">
        <f t="shared" si="487"/>
        <v>0.67942383257516137</v>
      </c>
      <c r="P902" s="72">
        <f t="shared" si="488"/>
        <v>0.83597666914867208</v>
      </c>
      <c r="Q902" s="72"/>
      <c r="R902" s="72"/>
      <c r="S902" s="72">
        <f t="shared" si="489"/>
        <v>0.40700514345448358</v>
      </c>
      <c r="T902" s="72">
        <f t="shared" si="490"/>
        <v>0.46907245182700419</v>
      </c>
      <c r="U902" s="72">
        <f t="shared" si="491"/>
        <v>0.56378352709121327</v>
      </c>
      <c r="V902" s="72">
        <f t="shared" si="492"/>
        <v>0.52934008290180046</v>
      </c>
      <c r="W902" s="72">
        <f t="shared" si="493"/>
        <v>0.90866261398176285</v>
      </c>
      <c r="X902" s="72">
        <f t="shared" si="494"/>
        <v>0.15954532983704739</v>
      </c>
      <c r="Y902" s="72">
        <f t="shared" si="495"/>
        <v>0.24406044095883309</v>
      </c>
      <c r="Z902" s="72">
        <f t="shared" si="496"/>
        <v>0.24758182460033279</v>
      </c>
      <c r="AA902" s="72">
        <f t="shared" si="497"/>
        <v>0.32057616742483863</v>
      </c>
      <c r="AB902" s="72">
        <f t="shared" si="498"/>
        <v>0.16402333085132786</v>
      </c>
      <c r="AC902" s="72"/>
      <c r="AD902" s="72"/>
      <c r="AE902" s="72">
        <f t="shared" si="499"/>
        <v>0.59299485654551642</v>
      </c>
      <c r="AF902" s="72">
        <f t="shared" si="500"/>
        <v>0.53092754817299581</v>
      </c>
      <c r="AG902" s="72">
        <f t="shared" si="501"/>
        <v>0.43621647290878668</v>
      </c>
      <c r="AH902" s="72">
        <f t="shared" si="502"/>
        <v>0.4706599170981996</v>
      </c>
      <c r="AI902" s="72">
        <f t="shared" si="503"/>
        <v>9.1337386018237099E-2</v>
      </c>
      <c r="AJ902" s="72">
        <f>(AV902-Driver!$K$179)/(Driver!$L$179-Driver!$K$179)</f>
        <v>9.4674079445653037E-2</v>
      </c>
      <c r="AK902" s="72">
        <f>(AW902-Driver!$K$180)/(Driver!$L$180-Driver!$K$180)</f>
        <v>0.10924802047525776</v>
      </c>
      <c r="AL902" s="72">
        <f>(AX902-Driver!$K$181)/(Driver!$L$181-Driver!$K$181)</f>
        <v>0.34926958831341298</v>
      </c>
      <c r="AM902" s="72">
        <f>(AY902-Driver!$K$182)/(Driver!$L$182-Driver!$K$182)</f>
        <v>0.12680885367220771</v>
      </c>
      <c r="AN902" s="72">
        <f>(AZ902-Driver!$K$183)/(Driver!$L$183-Driver!$K$183)</f>
        <v>9.0196078431372548E-2</v>
      </c>
      <c r="AO902" s="72"/>
      <c r="AP902" s="72"/>
      <c r="AQ902" s="72">
        <f>(BC902-Driver!$K$188)/(Driver!$L$188-Driver!$K$188)</f>
        <v>2.7005143454483623E-2</v>
      </c>
      <c r="AR902" s="72">
        <f>MIN((BD902-Driver!$K$189)/(Driver!$L$189-Driver!$K$189),100%)</f>
        <v>1.907245182700424E-2</v>
      </c>
      <c r="AS902" s="72">
        <f>(BE902-Driver!$K$190)/(Driver!$L$190-Driver!$K$190)</f>
        <v>7.3783527091213344E-2</v>
      </c>
      <c r="AT902" s="72">
        <f>(BF902-Driver!$K$191)/(Driver!$L$191-Driver!$K$191)</f>
        <v>3.934008290180039E-2</v>
      </c>
      <c r="AU902" s="72">
        <f>(BG902-Driver!$K$192)/(Driver!$L$192-Driver!$K$192)</f>
        <v>0.1586626139817629</v>
      </c>
      <c r="AV902" s="70">
        <f t="shared" si="504"/>
        <v>1.9926061592728257</v>
      </c>
      <c r="AW902" s="70">
        <f t="shared" si="505"/>
        <v>12.519080252710227</v>
      </c>
      <c r="AX902" s="70">
        <f t="shared" si="506"/>
        <v>4.143426294820717</v>
      </c>
      <c r="AY902" s="70">
        <f>IFERROR(Driver!$K$19/Data!BH902/Data!BI902*Data!BK902*Data!BL902,"")</f>
        <v>0.15525187300492313</v>
      </c>
      <c r="AZ902" s="70">
        <f t="shared" si="507"/>
        <v>8.2204020848845865</v>
      </c>
      <c r="BA902" s="70"/>
      <c r="BB902" s="70"/>
      <c r="BC902" s="70">
        <f t="shared" si="508"/>
        <v>14.007755646552189</v>
      </c>
      <c r="BD902" s="70">
        <f t="shared" si="509"/>
        <v>3.4087010764026835</v>
      </c>
      <c r="BE902" s="70">
        <f t="shared" si="510"/>
        <v>7.3948753684969809E-2</v>
      </c>
      <c r="BF902" s="70">
        <f t="shared" si="511"/>
        <v>4.4431859840339669</v>
      </c>
      <c r="BG902" s="70">
        <f t="shared" si="512"/>
        <v>0.60079787234042548</v>
      </c>
      <c r="BH902" s="67">
        <f>MAX((CE902-Driver!$F$200)/(Driver!$G$200-Driver!$F$200)*$BI$1,1)</f>
        <v>4.143426294820717</v>
      </c>
      <c r="BI902" s="67">
        <f>MAX($BI$1*(BY902-Driver!$F$201)/(Driver!$G$201-Driver!$F$201),1)</f>
        <v>5.8227848101265822</v>
      </c>
      <c r="BJ902" s="67">
        <f>(CB902-Driver!$F$206)/(Driver!$G$206-Driver!$F$206)*$BI$1</f>
        <v>3.9682539682539679</v>
      </c>
      <c r="BK902" s="67">
        <f>(CD902-Driver!$F$203)/(Driver!$G$203-Driver!$F$203)*$BI$1</f>
        <v>3.3944954128440372</v>
      </c>
      <c r="BL902" s="67">
        <f>MAX((CR902-Driver!$F$202)/(Driver!$G$202-Driver!$F$202)*$BI$1,1)</f>
        <v>5.5172413793103452</v>
      </c>
      <c r="BM902" s="67">
        <f>MAX((CH902-Driver!$F$204)/(Driver!$G$204-Driver!$F$204)*$BI$1,1)</f>
        <v>2.0085470085470085</v>
      </c>
      <c r="BN902" s="67">
        <f>(CI902-Driver!$F$205)/(Driver!$G$205-Driver!$F$205)*$BI$1</f>
        <v>1.4117647058823528</v>
      </c>
      <c r="BO902" s="67">
        <f>(CK902-Driver!$F$207)/(Driver!$G$207-Driver!$F$207)*$BI$1</f>
        <v>1.5408479834539814</v>
      </c>
      <c r="BP902" s="67">
        <f>(CM902-Driver!$F$208)/(Driver!$G$208-Driver!$F$208)*$BI$1</f>
        <v>2.4666666666666668</v>
      </c>
      <c r="BQ902" s="67">
        <f>(CL902-Driver!$F$209)/(Driver!$G$209-Driver!$F$209)*$BI$1</f>
        <v>5</v>
      </c>
      <c r="BR902" s="28" t="s">
        <v>155</v>
      </c>
      <c r="BS902" s="8" t="s">
        <v>172</v>
      </c>
      <c r="BT902" s="9" t="s">
        <v>805</v>
      </c>
      <c r="BU902" s="10">
        <v>150</v>
      </c>
      <c r="BV902" s="9" t="s">
        <v>163</v>
      </c>
      <c r="BW902" s="10">
        <v>150</v>
      </c>
      <c r="BX902" s="10">
        <v>148.5</v>
      </c>
      <c r="BY902" s="10">
        <v>100</v>
      </c>
      <c r="BZ902" s="10">
        <v>125</v>
      </c>
      <c r="CA902" s="10">
        <v>117</v>
      </c>
      <c r="CB902" s="10">
        <v>89</v>
      </c>
      <c r="CC902" s="10">
        <v>107</v>
      </c>
      <c r="CD902" s="10">
        <v>16.8</v>
      </c>
      <c r="CE902" s="10">
        <v>1628</v>
      </c>
      <c r="CF902" s="10">
        <v>0.89</v>
      </c>
      <c r="CG902" s="10">
        <v>1448</v>
      </c>
      <c r="CH902" s="10">
        <v>148</v>
      </c>
      <c r="CI902" s="10">
        <v>57</v>
      </c>
      <c r="CJ902" s="10">
        <v>50</v>
      </c>
      <c r="CK902" s="10">
        <v>259</v>
      </c>
      <c r="CL902" s="10">
        <v>32</v>
      </c>
      <c r="CM902" s="10">
        <v>222</v>
      </c>
      <c r="CN902" s="10">
        <v>0.63800000000000001</v>
      </c>
      <c r="CO902" s="10">
        <v>110</v>
      </c>
      <c r="CP902" s="10">
        <v>128</v>
      </c>
      <c r="CQ902" s="10">
        <v>149</v>
      </c>
      <c r="CR902" s="10">
        <v>5</v>
      </c>
      <c r="CS902" s="10">
        <v>5</v>
      </c>
      <c r="CT902" s="9" t="s">
        <v>188</v>
      </c>
      <c r="CU902" s="10"/>
      <c r="CV902" s="10"/>
      <c r="CW902" s="10"/>
      <c r="CX902" t="str">
        <f>INDEX('Data_Price '!AG$2:AG$1266,MATCH(Data!$DN902,'Data_Price '!$AT$2:$AT$1266,0))</f>
        <v>Rossignol Blackops W Dreamer XP/XP W10GW 150cm</v>
      </c>
      <c r="CY902" t="str">
        <f>INDEX('Data_Price '!AH$2:AH$1266,MATCH(Data!$DN902,'Data_Price '!$AT$2:$AT$1266,0))</f>
        <v>Sundance Ski and Board Shop</v>
      </c>
      <c r="CZ902">
        <f>INDEX('Data_Price '!AI$2:AI$1266,MATCH(Data!$DN902,'Data_Price '!$AT$2:$AT$1266,0))</f>
        <v>296.52999999999997</v>
      </c>
      <c r="DA902" t="str">
        <f>INDEX('Data_Price '!AJ$2:AJ$1266,MATCH(Data!$DN902,'Data_Price '!$AT$2:$AT$1266,0))</f>
        <v>https://tinyurl.com/yaamzwxz</v>
      </c>
      <c r="DB902" t="str">
        <f>INDEX('Data_Price '!AK$2:AK$1266,MATCH(Data!$DN902,'Data_Price '!$AT$2:$AT$1266,0))</f>
        <v>Rossignol Women ' S Blackops Dreamer Skis</v>
      </c>
      <c r="DC902" t="str">
        <f>INDEX('Data_Price '!AL$2:AL$1266,MATCH(Data!$DN902,'Data_Price '!$AT$2:$AT$1266,0))</f>
        <v>The-House.com</v>
      </c>
      <c r="DD902">
        <f>INDEX('Data_Price '!AM$2:AM$1266,MATCH(Data!$DN902,'Data_Price '!$AT$2:$AT$1266,0))</f>
        <v>351.95</v>
      </c>
      <c r="DE902" t="str">
        <f>INDEX('Data_Price '!AN$2:AN$1266,MATCH(Data!$DN902,'Data_Price '!$AT$2:$AT$1266,0))</f>
        <v>https://tinyurl.com/ycnpmuux</v>
      </c>
      <c r="DF902" t="str">
        <f>INDEX('Data_Price '!AO$2:AO$1266,MATCH(Data!$DN902,'Data_Price '!$AT$2:$AT$1266,0))</f>
        <v>Rossignol Women ' S Blackops Dreamer Skis</v>
      </c>
      <c r="DG902" t="str">
        <f>INDEX('Data_Price '!AP$2:AP$1266,MATCH(Data!$DN902,'Data_Price '!$AT$2:$AT$1266,0))</f>
        <v>Skirack</v>
      </c>
      <c r="DH902">
        <f>INDEX('Data_Price '!AQ$2:AQ$1266,MATCH(Data!$DN902,'Data_Price '!$AT$2:$AT$1266,0))</f>
        <v>359.96</v>
      </c>
      <c r="DI902" t="str">
        <f>INDEX('Data_Price '!AR$2:AR$1266,MATCH(Data!$DN902,'Data_Price '!$AT$2:$AT$1266,0))</f>
        <v>https://tinyurl.com/y7n2t3qk</v>
      </c>
      <c r="DJ902" s="89" t="str">
        <f t="shared" si="513"/>
        <v>https://tinyurl.com/yaamzwxz</v>
      </c>
      <c r="DK902" s="89" t="str">
        <f t="shared" si="514"/>
        <v>https://tinyurl.com/ycnpmuux</v>
      </c>
      <c r="DL902" s="89" t="str">
        <f t="shared" si="515"/>
        <v>https://tinyurl.com/y7n2t3qk</v>
      </c>
      <c r="DM902" s="219" t="str">
        <f t="shared" si="516"/>
        <v>Blackops Dreamer W</v>
      </c>
      <c r="DN902" s="89" t="str">
        <f t="shared" si="517"/>
        <v xml:space="preserve"> RossignolBlackops Dreamer W150 Women's</v>
      </c>
      <c r="DO902" s="221"/>
    </row>
    <row r="903" spans="2:119" ht="15.6" customHeight="1">
      <c r="B903" s="219" t="b">
        <f t="array" ref="B903">IF(OR(ISERROR(K903:P903)),FALSE,TRUE)</f>
        <v>1</v>
      </c>
      <c r="C903" s="43" t="b">
        <f>OR(BR903=Driver!$G$50,Data!BR435=Driver!$H$50)</f>
        <v>1</v>
      </c>
      <c r="D903" s="43" t="b">
        <f>OR(BV903=Driver!$G$51,BV903=Driver!$H$51)</f>
        <v>0</v>
      </c>
      <c r="E903" s="43" t="b">
        <f>AND(BX903&gt;Driver!$F$54,BX903&lt;Driver!$G$54)</f>
        <v>1</v>
      </c>
      <c r="F903" s="43" t="b">
        <f>CL903&gt;Driver!$F$56</f>
        <v>1</v>
      </c>
      <c r="G903" s="43" t="b">
        <f>AND(CB903&gt;Driver!$F$55,CB903&lt;Driver!$G$55)</f>
        <v>0</v>
      </c>
      <c r="H903" s="43" t="b">
        <f t="shared" si="481"/>
        <v>0</v>
      </c>
      <c r="I903" s="43">
        <f t="shared" si="482"/>
        <v>0</v>
      </c>
      <c r="J903" s="43" t="b">
        <f t="array" ref="J903">NOT(OR(($H$9:$H$1273=TRUE)*($I$9:$I$1273&gt;0)*($BT$9:$BT$1273=BT903)*($K$9:$K$1273&gt;K903)))</f>
        <v>1</v>
      </c>
      <c r="K903" s="72">
        <f t="shared" si="483"/>
        <v>0.76932260487007431</v>
      </c>
      <c r="L903" s="72">
        <f t="shared" si="484"/>
        <v>0.81225388054084324</v>
      </c>
      <c r="M903" s="72">
        <f t="shared" si="485"/>
        <v>0.72639132919930538</v>
      </c>
      <c r="N903" s="72">
        <f t="shared" si="486"/>
        <v>0.68348754870011619</v>
      </c>
      <c r="O903" s="72">
        <f t="shared" si="487"/>
        <v>0.60350061942233069</v>
      </c>
      <c r="P903" s="72">
        <f t="shared" si="488"/>
        <v>0.89218581947546949</v>
      </c>
      <c r="Q903" s="72"/>
      <c r="R903" s="72"/>
      <c r="S903" s="72">
        <f t="shared" si="489"/>
        <v>0.41572048557420271</v>
      </c>
      <c r="T903" s="72">
        <f t="shared" si="490"/>
        <v>0.78338446538903805</v>
      </c>
      <c r="U903" s="72">
        <f t="shared" si="491"/>
        <v>0.51</v>
      </c>
      <c r="V903" s="72">
        <f t="shared" si="492"/>
        <v>0.49381625206887669</v>
      </c>
      <c r="W903" s="72">
        <f t="shared" si="493"/>
        <v>0.7770250896057348</v>
      </c>
      <c r="X903" s="72">
        <f t="shared" si="494"/>
        <v>0.18774611945915681</v>
      </c>
      <c r="Y903" s="72">
        <f t="shared" si="495"/>
        <v>0.27360867080069456</v>
      </c>
      <c r="Z903" s="72">
        <f t="shared" si="496"/>
        <v>0.31651245129988387</v>
      </c>
      <c r="AA903" s="72">
        <f t="shared" si="497"/>
        <v>0.39649938057766931</v>
      </c>
      <c r="AB903" s="72">
        <f t="shared" si="498"/>
        <v>0.10781418052453051</v>
      </c>
      <c r="AC903" s="72"/>
      <c r="AD903" s="72"/>
      <c r="AE903" s="72">
        <f t="shared" si="499"/>
        <v>0.58427951442579729</v>
      </c>
      <c r="AF903" s="72">
        <f t="shared" si="500"/>
        <v>0.21661553461096189</v>
      </c>
      <c r="AG903" s="72">
        <f t="shared" si="501"/>
        <v>0.49</v>
      </c>
      <c r="AH903" s="72">
        <f t="shared" si="502"/>
        <v>0.50618374793112331</v>
      </c>
      <c r="AI903" s="72">
        <f t="shared" si="503"/>
        <v>0.22297491039426523</v>
      </c>
      <c r="AJ903" s="72">
        <f>(AV903-Driver!$K$179)/(Driver!$L$179-Driver!$K$179)</f>
        <v>6.6473289823543627E-2</v>
      </c>
      <c r="AK903" s="72">
        <f>(AW903-Driver!$K$180)/(Driver!$L$180-Driver!$K$180)</f>
        <v>0.16722409563278523</v>
      </c>
      <c r="AL903" s="72">
        <f>(AX903-Driver!$K$181)/(Driver!$L$181-Driver!$K$181)</f>
        <v>0.41820021501296406</v>
      </c>
      <c r="AM903" s="72">
        <f>(AY903-Driver!$K$182)/(Driver!$L$182-Driver!$K$182)</f>
        <v>5.0885640519377051E-2</v>
      </c>
      <c r="AN903" s="72">
        <f>(AZ903-Driver!$K$183)/(Driver!$L$183-Driver!$K$183)</f>
        <v>0.14640522875816991</v>
      </c>
      <c r="AO903" s="72"/>
      <c r="AP903" s="72"/>
      <c r="AQ903" s="72">
        <f>(BC903-Driver!$K$188)/(Driver!$L$188-Driver!$K$188)</f>
        <v>3.5720485574202737E-2</v>
      </c>
      <c r="AR903" s="72">
        <f>MIN((BD903-Driver!$K$189)/(Driver!$L$189-Driver!$K$189),100%)</f>
        <v>0.33338446538903815</v>
      </c>
      <c r="AS903" s="72">
        <f>(BE903-Driver!$K$190)/(Driver!$L$190-Driver!$K$190)</f>
        <v>1</v>
      </c>
      <c r="AT903" s="72">
        <f>(BF903-Driver!$K$191)/(Driver!$L$191-Driver!$K$191)</f>
        <v>3.8162520688766635E-3</v>
      </c>
      <c r="AU903" s="72">
        <f>(BG903-Driver!$K$192)/(Driver!$L$192-Driver!$K$192)</f>
        <v>2.702508960573476E-2</v>
      </c>
      <c r="AV903" s="70">
        <f t="shared" si="504"/>
        <v>1.3990638990638991</v>
      </c>
      <c r="AW903" s="70">
        <f t="shared" si="505"/>
        <v>18.169362497097119</v>
      </c>
      <c r="AX903" s="70">
        <f t="shared" si="506"/>
        <v>4.7638019351166765</v>
      </c>
      <c r="AY903" s="70">
        <f>IFERROR(Driver!$K$19/Data!BH903/Data!BI903*Data!BK903*Data!BL903,"")</f>
        <v>6.229920680546247E-2</v>
      </c>
      <c r="AZ903" s="70">
        <f t="shared" si="507"/>
        <v>13.343261355174981</v>
      </c>
      <c r="BA903" s="70"/>
      <c r="BB903" s="70"/>
      <c r="BC903" s="70">
        <f t="shared" si="508"/>
        <v>18.528464192125956</v>
      </c>
      <c r="BD903" s="70">
        <f t="shared" si="509"/>
        <v>31.224757348709812</v>
      </c>
      <c r="BE903" s="70">
        <f t="shared" si="510"/>
        <v>1</v>
      </c>
      <c r="BF903" s="70">
        <f t="shared" si="511"/>
        <v>0.4310188604914561</v>
      </c>
      <c r="BG903" s="70">
        <f t="shared" si="512"/>
        <v>0.10233422939068099</v>
      </c>
      <c r="BH903" s="67">
        <f>MAX((CE903-Driver!$F$200)/(Driver!$G$200-Driver!$F$200)*$BI$1,1)</f>
        <v>4.7638019351166765</v>
      </c>
      <c r="BI903" s="67">
        <f>MAX($BI$1*(BY903-Driver!$F$201)/(Driver!$G$201-Driver!$F$201),1)</f>
        <v>8.1012658227848107</v>
      </c>
      <c r="BJ903" s="67">
        <f>(CB903-Driver!$F$206)/(Driver!$G$206-Driver!$F$206)*$BI$1</f>
        <v>1.746031746031746</v>
      </c>
      <c r="BK903" s="67">
        <f>(CD903-Driver!$F$203)/(Driver!$G$203-Driver!$F$203)*$BI$1</f>
        <v>1.834862385321101</v>
      </c>
      <c r="BL903" s="67">
        <f>MAX((CR903-Driver!$F$202)/(Driver!$G$202-Driver!$F$202)*$BI$1,1)</f>
        <v>6.5517241379310338</v>
      </c>
      <c r="BM903" s="67">
        <f>MAX((CH903-Driver!$F$204)/(Driver!$G$204-Driver!$F$204)*$BI$1,1)</f>
        <v>3.2051282051282053</v>
      </c>
      <c r="BN903" s="67">
        <f>(CI903-Driver!$F$205)/(Driver!$G$205-Driver!$F$205)*$BI$1</f>
        <v>1.6470588235294117</v>
      </c>
      <c r="BO903" s="67">
        <f>(CK903-Driver!$F$207)/(Driver!$G$207-Driver!$F$207)*$BI$1</f>
        <v>0.55842812823164423</v>
      </c>
      <c r="BP903" s="67">
        <f>(CM903-Driver!$F$208)/(Driver!$G$208-Driver!$F$208)*$BI$1</f>
        <v>0.81111111111111112</v>
      </c>
      <c r="BQ903" s="67">
        <f>(CL903-Driver!$F$209)/(Driver!$G$209-Driver!$F$209)*$BI$1</f>
        <v>1.5625</v>
      </c>
      <c r="BR903" s="28" t="s">
        <v>155</v>
      </c>
      <c r="BS903" s="8" t="s">
        <v>164</v>
      </c>
      <c r="BT903" s="9" t="s">
        <v>777</v>
      </c>
      <c r="BU903" s="10">
        <v>160</v>
      </c>
      <c r="BV903" s="9" t="s">
        <v>163</v>
      </c>
      <c r="BW903" s="10">
        <v>160</v>
      </c>
      <c r="BX903" s="10">
        <v>159.5</v>
      </c>
      <c r="BY903" s="10">
        <v>136</v>
      </c>
      <c r="BZ903" s="10">
        <v>145</v>
      </c>
      <c r="CA903" s="10">
        <v>127</v>
      </c>
      <c r="CB903" s="10">
        <v>75</v>
      </c>
      <c r="CC903" s="10">
        <v>102</v>
      </c>
      <c r="CD903" s="10">
        <v>13.4</v>
      </c>
      <c r="CE903" s="10">
        <v>1737</v>
      </c>
      <c r="CF903" s="10">
        <v>0.83</v>
      </c>
      <c r="CG903" s="10">
        <v>1440</v>
      </c>
      <c r="CH903" s="10">
        <v>176</v>
      </c>
      <c r="CI903" s="10">
        <v>61</v>
      </c>
      <c r="CJ903" s="10">
        <v>37</v>
      </c>
      <c r="CK903" s="10">
        <v>164</v>
      </c>
      <c r="CL903" s="10">
        <v>10</v>
      </c>
      <c r="CM903" s="10">
        <v>73</v>
      </c>
      <c r="CN903" s="10">
        <v>0.26800000000000002</v>
      </c>
      <c r="CO903" s="10">
        <v>82</v>
      </c>
      <c r="CP903" s="10">
        <v>59</v>
      </c>
      <c r="CQ903" s="10">
        <v>82</v>
      </c>
      <c r="CR903" s="10">
        <v>8</v>
      </c>
      <c r="CS903" s="10">
        <v>10.5</v>
      </c>
      <c r="CT903" s="9" t="s">
        <v>349</v>
      </c>
      <c r="CU903" s="10"/>
      <c r="CV903" s="10"/>
      <c r="CW903" s="10"/>
      <c r="CX903" t="str">
        <f>INDEX('Data_Price '!AG$2:AG$1266,MATCH(Data!$DN903,'Data_Price '!$AT$2:$AT$1266,0))</f>
        <v>Elan Element W LS ELW 9.0 White / 160cm</v>
      </c>
      <c r="CY903" t="str">
        <f>INDEX('Data_Price '!AH$2:AH$1266,MATCH(Data!$DN903,'Data_Price '!$AT$2:$AT$1266,0))</f>
        <v>Sundance Ski and Board Shop</v>
      </c>
      <c r="CZ903">
        <f>INDEX('Data_Price '!AI$2:AI$1266,MATCH(Data!$DN903,'Data_Price '!$AT$2:$AT$1266,0))</f>
        <v>424.76</v>
      </c>
      <c r="DA903" t="str">
        <f>INDEX('Data_Price '!AJ$2:AJ$1266,MATCH(Data!$DN903,'Data_Price '!$AT$2:$AT$1266,0))</f>
        <v>https://tinyurl.com/y7rrr7vg</v>
      </c>
      <c r="DB903" t="str">
        <f>INDEX('Data_Price '!AK$2:AK$1266,MATCH(Data!$DN903,'Data_Price '!$AT$2:$AT$1266,0))</f>
        <v>Elan Element Ls+elw 9.0 Alpine Skis 160</v>
      </c>
      <c r="DC903" t="str">
        <f>INDEX('Data_Price '!AL$2:AL$1266,MATCH(Data!$DN903,'Data_Price '!$AT$2:$AT$1266,0))</f>
        <v>! OutdoorXL.com</v>
      </c>
      <c r="DD903">
        <f>INDEX('Data_Price '!AM$2:AM$1266,MATCH(Data!$DN903,'Data_Price '!$AT$2:$AT$1266,0))</f>
        <v>284.95</v>
      </c>
      <c r="DE903" t="str">
        <f>INDEX('Data_Price '!AN$2:AN$1266,MATCH(Data!$DN903,'Data_Price '!$AT$2:$AT$1266,0))</f>
        <v>https://tinyurl.com/ybtjmmep</v>
      </c>
      <c r="DF903" t="str">
        <f>INDEX('Data_Price '!AO$2:AO$1266,MATCH(Data!$DN903,'Data_Price '!$AT$2:$AT$1266,0))</f>
        <v>ELAN Men's ELEMENT BLACK SKI + ELW 10.0 Binding 160</v>
      </c>
      <c r="DG903" t="str">
        <f>INDEX('Data_Price '!AP$2:AP$1266,MATCH(Data!$DN903,'Data_Price '!$AT$2:$AT$1266,0))</f>
        <v>Elevation Skate Snow</v>
      </c>
      <c r="DH903">
        <f>INDEX('Data_Price '!AQ$2:AQ$1266,MATCH(Data!$DN903,'Data_Price '!$AT$2:$AT$1266,0))</f>
        <v>449.99</v>
      </c>
      <c r="DI903" t="str">
        <f>INDEX('Data_Price '!AR$2:AR$1266,MATCH(Data!$DN903,'Data_Price '!$AT$2:$AT$1266,0))</f>
        <v>https://tinyurl.com/yd9tzzj4</v>
      </c>
      <c r="DJ903" s="89" t="str">
        <f t="shared" si="513"/>
        <v>https://tinyurl.com/y7rrr7vg</v>
      </c>
      <c r="DK903" s="89" t="str">
        <f t="shared" si="514"/>
        <v>https://tinyurl.com/ybtjmmep</v>
      </c>
      <c r="DL903" s="89" t="str">
        <f t="shared" si="515"/>
        <v>https://tinyurl.com/yd9tzzj4</v>
      </c>
      <c r="DM903" s="219" t="str">
        <f t="shared" si="516"/>
        <v>Element W</v>
      </c>
      <c r="DN903" s="89" t="str">
        <f t="shared" si="517"/>
        <v xml:space="preserve"> ElanElement W160 Women's</v>
      </c>
      <c r="DO903" s="221"/>
    </row>
    <row r="904" spans="2:119" ht="15.6" customHeight="1">
      <c r="B904" s="219" t="b">
        <f t="array" ref="B904">IF(OR(ISERROR(K904:P904)),FALSE,TRUE)</f>
        <v>1</v>
      </c>
      <c r="C904" s="43" t="b">
        <f>OR(BR904=Driver!$G$50,Data!BR1268=Driver!$H$50)</f>
        <v>1</v>
      </c>
      <c r="D904" s="43" t="b">
        <f>OR(BV904=Driver!$G$51,BV904=Driver!$H$51)</f>
        <v>0</v>
      </c>
      <c r="E904" s="43" t="b">
        <f>AND(BX904&gt;Driver!$F$54,BX904&lt;Driver!$G$54)</f>
        <v>1</v>
      </c>
      <c r="F904" s="43" t="b">
        <f>CL904&gt;Driver!$F$56</f>
        <v>1</v>
      </c>
      <c r="G904" s="43" t="b">
        <f>AND(CB904&gt;Driver!$F$55,CB904&lt;Driver!$G$55)</f>
        <v>0</v>
      </c>
      <c r="H904" s="43" t="b">
        <f t="shared" si="481"/>
        <v>0</v>
      </c>
      <c r="I904" s="43">
        <f t="shared" si="482"/>
        <v>0</v>
      </c>
      <c r="J904" s="43" t="b">
        <f t="array" ref="J904">NOT(OR(($H$9:$H$1273=TRUE)*($I$9:$I$1273&gt;0)*($BT$9:$BT$1273=BT904)*($K$9:$K$1273&gt;K904)))</f>
        <v>1</v>
      </c>
      <c r="K904" s="72">
        <f t="shared" si="483"/>
        <v>0.82169581900308719</v>
      </c>
      <c r="L904" s="72">
        <f t="shared" si="484"/>
        <v>0.81225388054084324</v>
      </c>
      <c r="M904" s="72">
        <f t="shared" si="485"/>
        <v>0.83113775746533136</v>
      </c>
      <c r="N904" s="72">
        <f t="shared" si="486"/>
        <v>0.92253137340131142</v>
      </c>
      <c r="O904" s="72">
        <f t="shared" si="487"/>
        <v>0.64503594880025883</v>
      </c>
      <c r="P904" s="72">
        <f t="shared" si="488"/>
        <v>0.92584595019442373</v>
      </c>
      <c r="Q904" s="72"/>
      <c r="R904" s="72"/>
      <c r="S904" s="72">
        <f t="shared" si="489"/>
        <v>0.42608692588426011</v>
      </c>
      <c r="T904" s="72">
        <f t="shared" si="490"/>
        <v>0.4931435507205616</v>
      </c>
      <c r="U904" s="72">
        <f t="shared" si="491"/>
        <v>0.74688571533498516</v>
      </c>
      <c r="V904" s="72">
        <f t="shared" si="492"/>
        <v>0.5070033646904426</v>
      </c>
      <c r="W904" s="72">
        <f t="shared" si="493"/>
        <v>0.8373618538324421</v>
      </c>
      <c r="X904" s="72">
        <f t="shared" si="494"/>
        <v>0.18774611945915681</v>
      </c>
      <c r="Y904" s="72">
        <f t="shared" si="495"/>
        <v>0.16886224253466867</v>
      </c>
      <c r="Z904" s="72">
        <f t="shared" si="496"/>
        <v>7.7468626598688625E-2</v>
      </c>
      <c r="AA904" s="72">
        <f t="shared" si="497"/>
        <v>0.35496405119974112</v>
      </c>
      <c r="AB904" s="72">
        <f t="shared" si="498"/>
        <v>7.4154049805576244E-2</v>
      </c>
      <c r="AC904" s="72"/>
      <c r="AD904" s="72"/>
      <c r="AE904" s="72">
        <f t="shared" si="499"/>
        <v>0.57391307411573989</v>
      </c>
      <c r="AF904" s="72">
        <f t="shared" si="500"/>
        <v>0.5068564492794384</v>
      </c>
      <c r="AG904" s="72">
        <f t="shared" si="501"/>
        <v>0.25311428466501484</v>
      </c>
      <c r="AH904" s="72">
        <f t="shared" si="502"/>
        <v>0.49299663530955745</v>
      </c>
      <c r="AI904" s="72">
        <f t="shared" si="503"/>
        <v>0.16263814616755795</v>
      </c>
      <c r="AJ904" s="72">
        <f>(AV904-Driver!$K$179)/(Driver!$L$179-Driver!$K$179)</f>
        <v>6.6473289823543627E-2</v>
      </c>
      <c r="AK904" s="72">
        <f>(AW904-Driver!$K$180)/(Driver!$L$180-Driver!$K$180)</f>
        <v>0.17714844682997119</v>
      </c>
      <c r="AL904" s="72">
        <f>(AX904-Driver!$K$181)/(Driver!$L$181-Driver!$K$181)</f>
        <v>0.1791563903117688</v>
      </c>
      <c r="AM904" s="72">
        <f>(AY904-Driver!$K$182)/(Driver!$L$182-Driver!$K$182)</f>
        <v>9.242096989730525E-2</v>
      </c>
      <c r="AN904" s="72">
        <f>(AZ904-Driver!$K$183)/(Driver!$L$183-Driver!$K$183)</f>
        <v>0.18006535947712418</v>
      </c>
      <c r="AO904" s="72"/>
      <c r="AP904" s="72"/>
      <c r="AQ904" s="72">
        <f>(BC904-Driver!$K$188)/(Driver!$L$188-Driver!$K$188)</f>
        <v>4.6086925884260124E-2</v>
      </c>
      <c r="AR904" s="72">
        <f>MIN((BD904-Driver!$K$189)/(Driver!$L$189-Driver!$K$189),100%)</f>
        <v>4.3143550720561613E-2</v>
      </c>
      <c r="AS904" s="72">
        <f>(BE904-Driver!$K$190)/(Driver!$L$190-Driver!$K$190)</f>
        <v>0.76311428466501485</v>
      </c>
      <c r="AT904" s="72">
        <f>(BF904-Driver!$K$191)/(Driver!$L$191-Driver!$K$191)</f>
        <v>1.7003364690442582E-2</v>
      </c>
      <c r="AU904" s="72">
        <f>(BG904-Driver!$K$192)/(Driver!$L$192-Driver!$K$192)</f>
        <v>8.7361853832442063E-2</v>
      </c>
      <c r="AV904" s="70">
        <f t="shared" si="504"/>
        <v>1.3990638990638991</v>
      </c>
      <c r="AW904" s="70">
        <f t="shared" si="505"/>
        <v>19.136578459960361</v>
      </c>
      <c r="AX904" s="70">
        <f t="shared" si="506"/>
        <v>2.6124075128059192</v>
      </c>
      <c r="AY904" s="70">
        <f>IFERROR(Driver!$K$19/Data!BH904/Data!BI904*Data!BK904*Data!BL904,"")</f>
        <v>0.11315084291021377</v>
      </c>
      <c r="AZ904" s="70">
        <f t="shared" si="507"/>
        <v>16.41102010424423</v>
      </c>
      <c r="BA904" s="70"/>
      <c r="BB904" s="70"/>
      <c r="BC904" s="70">
        <f t="shared" si="508"/>
        <v>23.905608847276582</v>
      </c>
      <c r="BD904" s="70">
        <f t="shared" si="509"/>
        <v>5.5389506770190913</v>
      </c>
      <c r="BE904" s="70">
        <f t="shared" si="510"/>
        <v>0.76315654241036834</v>
      </c>
      <c r="BF904" s="70">
        <f t="shared" si="511"/>
        <v>1.9204105863878351</v>
      </c>
      <c r="BG904" s="70">
        <f t="shared" si="512"/>
        <v>0.33080770944741533</v>
      </c>
      <c r="BH904" s="67">
        <f>MAX((CE904-Driver!$F$200)/(Driver!$G$200-Driver!$F$200)*$BI$1,1)</f>
        <v>2.6124075128059192</v>
      </c>
      <c r="BI904" s="67">
        <f>MAX($BI$1*(BY904-Driver!$F$201)/(Driver!$G$201-Driver!$F$201),1)</f>
        <v>7.3417721518987342</v>
      </c>
      <c r="BJ904" s="67">
        <f>(CB904-Driver!$F$206)/(Driver!$G$206-Driver!$F$206)*$BI$1</f>
        <v>2.3809523809523809</v>
      </c>
      <c r="BK904" s="67">
        <f>(CD904-Driver!$F$203)/(Driver!$G$203-Driver!$F$203)*$BI$1</f>
        <v>2.2477064220183491</v>
      </c>
      <c r="BL904" s="67">
        <f>MAX((CR904-Driver!$F$202)/(Driver!$G$202-Driver!$F$202)*$BI$1,1)</f>
        <v>4.8275862068965516</v>
      </c>
      <c r="BM904" s="67">
        <f>MAX((CH904-Driver!$F$204)/(Driver!$G$204-Driver!$F$204)*$BI$1,1)</f>
        <v>2.3504273504273505</v>
      </c>
      <c r="BN904" s="67">
        <f>(CI904-Driver!$F$205)/(Driver!$G$205-Driver!$F$205)*$BI$1</f>
        <v>2.2352941176470589</v>
      </c>
      <c r="BO904" s="67">
        <f>(CK904-Driver!$F$207)/(Driver!$G$207-Driver!$F$207)*$BI$1</f>
        <v>1.0134436401240952</v>
      </c>
      <c r="BP904" s="67">
        <f>(CM904-Driver!$F$208)/(Driver!$G$208-Driver!$F$208)*$BI$1</f>
        <v>1.7888888888888888</v>
      </c>
      <c r="BQ904" s="67">
        <f>(CL904-Driver!$F$209)/(Driver!$G$209-Driver!$F$209)*$BI$1</f>
        <v>2.03125</v>
      </c>
      <c r="BR904" s="28" t="s">
        <v>155</v>
      </c>
      <c r="BS904" s="8" t="s">
        <v>229</v>
      </c>
      <c r="BT904" s="9" t="s">
        <v>807</v>
      </c>
      <c r="BU904" s="10">
        <v>161</v>
      </c>
      <c r="BV904" s="9" t="s">
        <v>163</v>
      </c>
      <c r="BW904" s="10">
        <v>161</v>
      </c>
      <c r="BX904" s="10">
        <v>161.30000000000001</v>
      </c>
      <c r="BY904" s="10">
        <v>124</v>
      </c>
      <c r="BZ904" s="10">
        <v>137</v>
      </c>
      <c r="CA904" s="10">
        <v>120</v>
      </c>
      <c r="CB904" s="10">
        <v>79</v>
      </c>
      <c r="CC904" s="10">
        <v>102</v>
      </c>
      <c r="CD904" s="10">
        <v>14.3</v>
      </c>
      <c r="CE904" s="10">
        <v>1359</v>
      </c>
      <c r="CF904" s="10">
        <v>1.0900000000000001</v>
      </c>
      <c r="CG904" s="10">
        <v>1488</v>
      </c>
      <c r="CH904" s="10">
        <v>156</v>
      </c>
      <c r="CI904" s="10">
        <v>71</v>
      </c>
      <c r="CJ904" s="10">
        <v>38</v>
      </c>
      <c r="CK904" s="10">
        <v>208</v>
      </c>
      <c r="CL904" s="10">
        <v>13</v>
      </c>
      <c r="CM904" s="10">
        <v>161</v>
      </c>
      <c r="CN904" s="10">
        <v>0.34799999999999998</v>
      </c>
      <c r="CO904" s="10">
        <v>136</v>
      </c>
      <c r="CP904" s="10">
        <v>103</v>
      </c>
      <c r="CQ904" s="10">
        <v>72</v>
      </c>
      <c r="CR904" s="10">
        <v>3</v>
      </c>
      <c r="CS904" s="10">
        <v>11.7</v>
      </c>
      <c r="CT904" s="9" t="s">
        <v>231</v>
      </c>
      <c r="CU904" s="9" t="s">
        <v>185</v>
      </c>
      <c r="CV904" s="10"/>
      <c r="CW904" s="10"/>
      <c r="CX904" t="e">
        <f>INDEX('Data_Price '!AG$2:AG$1266,MATCH(Data!$DN904,'Data_Price '!$AT$2:$AT$1266,0))</f>
        <v>#N/A</v>
      </c>
      <c r="CY904" t="e">
        <f>INDEX('Data_Price '!AH$2:AH$1266,MATCH(Data!$DN904,'Data_Price '!$AT$2:$AT$1266,0))</f>
        <v>#N/A</v>
      </c>
      <c r="CZ904" t="e">
        <f>INDEX('Data_Price '!AI$2:AI$1266,MATCH(Data!$DN904,'Data_Price '!$AT$2:$AT$1266,0))</f>
        <v>#N/A</v>
      </c>
      <c r="DA904" t="e">
        <f>INDEX('Data_Price '!AJ$2:AJ$1266,MATCH(Data!$DN904,'Data_Price '!$AT$2:$AT$1266,0))</f>
        <v>#N/A</v>
      </c>
      <c r="DB904" t="e">
        <f>INDEX('Data_Price '!AK$2:AK$1266,MATCH(Data!$DN904,'Data_Price '!$AT$2:$AT$1266,0))</f>
        <v>#N/A</v>
      </c>
      <c r="DC904" t="e">
        <f>INDEX('Data_Price '!AL$2:AL$1266,MATCH(Data!$DN904,'Data_Price '!$AT$2:$AT$1266,0))</f>
        <v>#N/A</v>
      </c>
      <c r="DD904" t="e">
        <f>INDEX('Data_Price '!AM$2:AM$1266,MATCH(Data!$DN904,'Data_Price '!$AT$2:$AT$1266,0))</f>
        <v>#N/A</v>
      </c>
      <c r="DE904" t="e">
        <f>INDEX('Data_Price '!AN$2:AN$1266,MATCH(Data!$DN904,'Data_Price '!$AT$2:$AT$1266,0))</f>
        <v>#N/A</v>
      </c>
      <c r="DF904" t="e">
        <f>INDEX('Data_Price '!AO$2:AO$1266,MATCH(Data!$DN904,'Data_Price '!$AT$2:$AT$1266,0))</f>
        <v>#N/A</v>
      </c>
      <c r="DG904" t="e">
        <f>INDEX('Data_Price '!AP$2:AP$1266,MATCH(Data!$DN904,'Data_Price '!$AT$2:$AT$1266,0))</f>
        <v>#N/A</v>
      </c>
      <c r="DH904" t="e">
        <f>INDEX('Data_Price '!AQ$2:AQ$1266,MATCH(Data!$DN904,'Data_Price '!$AT$2:$AT$1266,0))</f>
        <v>#N/A</v>
      </c>
      <c r="DI904" t="e">
        <f>INDEX('Data_Price '!AR$2:AR$1266,MATCH(Data!$DN904,'Data_Price '!$AT$2:$AT$1266,0))</f>
        <v>#N/A</v>
      </c>
      <c r="DJ904" s="89" t="e">
        <f t="shared" si="513"/>
        <v>#N/A</v>
      </c>
      <c r="DK904" s="89" t="e">
        <f t="shared" si="514"/>
        <v>#N/A</v>
      </c>
      <c r="DL904" s="89" t="e">
        <f t="shared" si="515"/>
        <v>#N/A</v>
      </c>
      <c r="DM904" s="219" t="str">
        <f t="shared" si="516"/>
        <v>Yumi 80</v>
      </c>
      <c r="DN904" s="89" t="str">
        <f t="shared" si="517"/>
        <v xml:space="preserve"> VölklYumi 80161 Women's</v>
      </c>
      <c r="DO904" s="221"/>
    </row>
    <row r="905" spans="2:119" ht="15.6" customHeight="1">
      <c r="B905" s="219" t="b">
        <f t="array" ref="B905">IF(OR(ISERROR(K905:P905)),FALSE,TRUE)</f>
        <v>1</v>
      </c>
      <c r="C905" s="43" t="b">
        <f>OR(BR905=Driver!$G$50,Data!BR947=Driver!$H$50)</f>
        <v>1</v>
      </c>
      <c r="D905" s="43" t="b">
        <f>OR(BV905=Driver!$G$51,BV905=Driver!$H$51)</f>
        <v>0</v>
      </c>
      <c r="E905" s="43" t="b">
        <f>AND(BX905&gt;Driver!$F$54,BX905&lt;Driver!$G$54)</f>
        <v>1</v>
      </c>
      <c r="F905" s="43" t="b">
        <f>CL905&gt;Driver!$F$56</f>
        <v>1</v>
      </c>
      <c r="G905" s="43" t="b">
        <f>AND(CB905&gt;Driver!$F$55,CB905&lt;Driver!$G$55)</f>
        <v>0</v>
      </c>
      <c r="H905" s="43" t="b">
        <f t="shared" ref="H905:H968" si="518">AND(B905:G905)</f>
        <v>0</v>
      </c>
      <c r="I905" s="43">
        <f t="shared" ref="I905:I968" si="519">COUNTIFS($H$9:$H$1273,TRUE,$BT$9:$BT$1273,BT905)</f>
        <v>0</v>
      </c>
      <c r="J905" s="43" t="b">
        <f t="array" ref="J905">NOT(OR(($H$9:$H$1273=TRUE)*($I$9:$I$1273&gt;0)*($BT$9:$BT$1273=BT905)*($K$9:$K$1273&gt;K905)))</f>
        <v>1</v>
      </c>
      <c r="K905" s="72">
        <f t="shared" ref="K905:K968" si="520">IFERROR(1-AVERAGE(X905:Y905),"")</f>
        <v>0.77211643663204266</v>
      </c>
      <c r="L905" s="72">
        <f t="shared" ref="L905:L968" si="521">1-X905</f>
        <v>0.79734774888344251</v>
      </c>
      <c r="M905" s="72">
        <f t="shared" ref="M905:M968" si="522">1-Y905</f>
        <v>0.7468851243806427</v>
      </c>
      <c r="N905" s="72">
        <f t="shared" ref="N905:N968" si="523">1-Z905</f>
        <v>0.73597600756307702</v>
      </c>
      <c r="O905" s="72">
        <f t="shared" ref="O905:O968" si="524">1-AA905</f>
        <v>0.59680727159357772</v>
      </c>
      <c r="P905" s="72">
        <f t="shared" ref="P905:P968" si="525">1-AB905</f>
        <v>0.90787209398527347</v>
      </c>
      <c r="Q905" s="72"/>
      <c r="R905" s="72"/>
      <c r="S905" s="72">
        <f t="shared" ref="S905:S968" si="526">1-AE905</f>
        <v>0.41318236575045431</v>
      </c>
      <c r="T905" s="72">
        <f t="shared" ref="T905:T968" si="527">1-AF905</f>
        <v>0.78386102772378408</v>
      </c>
      <c r="U905" s="72">
        <f t="shared" ref="U905:U968" si="528">1-AG905</f>
        <v>0.51</v>
      </c>
      <c r="V905" s="72">
        <f t="shared" ref="V905:V968" si="529">1-AH905</f>
        <v>0.49403961925099027</v>
      </c>
      <c r="W905" s="72">
        <f t="shared" ref="W905:W968" si="530">1-AI905</f>
        <v>0.79218750000000004</v>
      </c>
      <c r="X905" s="72">
        <f t="shared" ref="X905:X968" si="531">ABS(AJ905-AJ$1)</f>
        <v>0.20265225111655749</v>
      </c>
      <c r="Y905" s="72">
        <f t="shared" ref="Y905:Y968" si="532">AVERAGE(Z905:AB905)</f>
        <v>0.25311487561935725</v>
      </c>
      <c r="Z905" s="72">
        <f t="shared" ref="Z905:Z968" si="533">ABS(AL905-AL$1)</f>
        <v>0.26402399243692298</v>
      </c>
      <c r="AA905" s="72">
        <f t="shared" ref="AA905:AA968" si="534">ABS(AM905-AM$1)</f>
        <v>0.40319272840642223</v>
      </c>
      <c r="AB905" s="72">
        <f t="shared" ref="AB905:AB968" si="535">ABS(AN905-AN$1)</f>
        <v>9.2127906014726563E-2</v>
      </c>
      <c r="AC905" s="72"/>
      <c r="AD905" s="72"/>
      <c r="AE905" s="72">
        <f t="shared" ref="AE905:AE968" si="536">ABS(AQ$1-AQ905)</f>
        <v>0.58681763424954569</v>
      </c>
      <c r="AF905" s="72">
        <f t="shared" ref="AF905:AF968" si="537">ABS(AR$1-AR905)</f>
        <v>0.21613897227621598</v>
      </c>
      <c r="AG905" s="72">
        <f t="shared" ref="AG905:AG968" si="538">ABS(AS$1-AS905)</f>
        <v>0.49</v>
      </c>
      <c r="AH905" s="72">
        <f t="shared" ref="AH905:AH968" si="539">ABS(AT$1-AT905)</f>
        <v>0.50596038074900973</v>
      </c>
      <c r="AI905" s="72">
        <f t="shared" ref="AI905:AI968" si="540">ABS(AU$1-AU905)</f>
        <v>0.20781250000000001</v>
      </c>
      <c r="AJ905" s="72">
        <f>(AV905-Driver!$K$179)/(Driver!$L$179-Driver!$K$179)</f>
        <v>5.1567158166142935E-2</v>
      </c>
      <c r="AK905" s="72">
        <f>(AW905-Driver!$K$180)/(Driver!$L$180-Driver!$K$180)</f>
        <v>0.17696199274966354</v>
      </c>
      <c r="AL905" s="72">
        <f>(AX905-Driver!$K$181)/(Driver!$L$181-Driver!$K$181)</f>
        <v>0.36571175615000318</v>
      </c>
      <c r="AM905" s="72">
        <f>(AY905-Driver!$K$182)/(Driver!$L$182-Driver!$K$182)</f>
        <v>4.4192292690624149E-2</v>
      </c>
      <c r="AN905" s="72">
        <f>(AZ905-Driver!$K$183)/(Driver!$L$183-Driver!$K$183)</f>
        <v>0.16209150326797386</v>
      </c>
      <c r="AO905" s="72"/>
      <c r="AP905" s="72"/>
      <c r="AQ905" s="72">
        <f>(BC905-Driver!$K$188)/(Driver!$L$188-Driver!$K$188)</f>
        <v>3.3182365750454301E-2</v>
      </c>
      <c r="AR905" s="72">
        <f>MIN((BD905-Driver!$K$189)/(Driver!$L$189-Driver!$K$189),100%)</f>
        <v>0.33386102772378407</v>
      </c>
      <c r="AS905" s="72">
        <f>(BE905-Driver!$K$190)/(Driver!$L$190-Driver!$K$190)</f>
        <v>1</v>
      </c>
      <c r="AT905" s="72">
        <f>(BF905-Driver!$K$191)/(Driver!$L$191-Driver!$K$191)</f>
        <v>4.039619250990242E-3</v>
      </c>
      <c r="AU905" s="72">
        <f>(BG905-Driver!$K$192)/(Driver!$L$192-Driver!$K$192)</f>
        <v>4.2187499999999996E-2</v>
      </c>
      <c r="AV905" s="70">
        <f t="shared" ref="AV905:AV968" si="541">IFERROR(BM905*BJ905^1/4,"")</f>
        <v>1.085334418667752</v>
      </c>
      <c r="AW905" s="70">
        <f t="shared" ref="AW905:AW968" si="542">IFERROR(SUM(AX905:AZ905),"")</f>
        <v>19.118406857683159</v>
      </c>
      <c r="AX905" s="70">
        <f t="shared" ref="AX905:AX968" si="543">IFERROR(BH905,"")</f>
        <v>4.2914058053500286</v>
      </c>
      <c r="AY905" s="70">
        <f>IFERROR(Driver!$K$19/Data!BH905/Data!BI905*Data!BK905*Data!BL905,"")</f>
        <v>5.4104551960829396E-2</v>
      </c>
      <c r="AZ905" s="70">
        <f t="shared" ref="AZ905:AZ968" si="544">IFERROR(BI905*BN905,"")</f>
        <v>14.772896500372301</v>
      </c>
      <c r="BA905" s="70"/>
      <c r="BB905" s="70"/>
      <c r="BC905" s="70">
        <f t="shared" ref="BC905:BC968" si="545">IFERROR(BI905*BN905*BK905/BJ905^(1/2),"")</f>
        <v>17.211923794824887</v>
      </c>
      <c r="BD905" s="70">
        <f t="shared" ref="BD905:BD968" si="546">IFERROR(BH905*BM905*BL905/BJ905/BK905,"")</f>
        <v>31.266932270916339</v>
      </c>
      <c r="BE905" s="70">
        <f t="shared" ref="BE905:BE968" si="547">IFERROR(MIN(BI905/BQ905/BP905/BO905/BH905,$BE$1),"")</f>
        <v>1</v>
      </c>
      <c r="BF905" s="70">
        <f t="shared" ref="BF905:BF968" si="548">IFERROR(BJ905*BO905*BP905/BK905,"")</f>
        <v>0.45624661446791748</v>
      </c>
      <c r="BG905" s="70">
        <f t="shared" ref="BG905:BG968" si="549">IFERROR(1/BM905/BH905*BQ905,"")</f>
        <v>0.15974878771551723</v>
      </c>
      <c r="BH905" s="67">
        <f>MAX((CE905-Driver!$F$200)/(Driver!$G$200-Driver!$F$200)*$BI$1,1)</f>
        <v>4.2914058053500286</v>
      </c>
      <c r="BI905" s="67">
        <f>MAX($BI$1*(BY905-Driver!$F$201)/(Driver!$G$201-Driver!$F$201),1)</f>
        <v>7.8481012658227849</v>
      </c>
      <c r="BJ905" s="67">
        <f>(CB905-Driver!$F$206)/(Driver!$G$206-Driver!$F$206)*$BI$1</f>
        <v>1.5873015873015872</v>
      </c>
      <c r="BK905" s="67">
        <f>(CD905-Driver!$F$203)/(Driver!$G$203-Driver!$F$203)*$BI$1</f>
        <v>1.4678899082568806</v>
      </c>
      <c r="BL905" s="67">
        <f>MAX((CR905-Driver!$F$202)/(Driver!$G$202-Driver!$F$202)*$BI$1,1)</f>
        <v>6.2068965517241379</v>
      </c>
      <c r="BM905" s="67">
        <f>MAX((CH905-Driver!$F$204)/(Driver!$G$204-Driver!$F$204)*$BI$1,1)</f>
        <v>2.7350427350427351</v>
      </c>
      <c r="BN905" s="67">
        <f>(CI905-Driver!$F$205)/(Driver!$G$205-Driver!$F$205)*$BI$1</f>
        <v>1.8823529411764706</v>
      </c>
      <c r="BO905" s="67">
        <f>(CK905-Driver!$F$207)/(Driver!$G$207-Driver!$F$207)*$BI$1</f>
        <v>0.55842812823164423</v>
      </c>
      <c r="BP905" s="67">
        <f>(CM905-Driver!$F$208)/(Driver!$G$208-Driver!$F$208)*$BI$1</f>
        <v>0.75555555555555554</v>
      </c>
      <c r="BQ905" s="67">
        <f>(CL905-Driver!$F$209)/(Driver!$G$209-Driver!$F$209)*$BI$1</f>
        <v>1.875</v>
      </c>
      <c r="BR905" s="28" t="s">
        <v>155</v>
      </c>
      <c r="BS905" s="8" t="s">
        <v>332</v>
      </c>
      <c r="BT905" s="9" t="s">
        <v>742</v>
      </c>
      <c r="BU905" s="10">
        <v>156</v>
      </c>
      <c r="BV905" s="9" t="s">
        <v>163</v>
      </c>
      <c r="BW905" s="10">
        <v>156</v>
      </c>
      <c r="BX905" s="10">
        <v>155</v>
      </c>
      <c r="BY905" s="10">
        <v>132</v>
      </c>
      <c r="BZ905" s="10">
        <v>141</v>
      </c>
      <c r="CA905" s="10">
        <v>124</v>
      </c>
      <c r="CB905" s="10">
        <v>74</v>
      </c>
      <c r="CC905" s="10">
        <v>103</v>
      </c>
      <c r="CD905" s="10">
        <v>12.6</v>
      </c>
      <c r="CE905" s="10">
        <v>1654</v>
      </c>
      <c r="CF905" s="10">
        <v>0.83</v>
      </c>
      <c r="CG905" s="10">
        <v>1379</v>
      </c>
      <c r="CH905" s="10">
        <v>165</v>
      </c>
      <c r="CI905" s="10">
        <v>65</v>
      </c>
      <c r="CJ905" s="10">
        <v>39</v>
      </c>
      <c r="CK905" s="10">
        <v>164</v>
      </c>
      <c r="CL905" s="10">
        <v>12</v>
      </c>
      <c r="CM905" s="10">
        <v>68</v>
      </c>
      <c r="CN905" s="10">
        <v>0.30099999999999999</v>
      </c>
      <c r="CO905" s="10">
        <v>65</v>
      </c>
      <c r="CP905" s="10">
        <v>70</v>
      </c>
      <c r="CQ905" s="10">
        <v>98</v>
      </c>
      <c r="CR905" s="10">
        <v>7</v>
      </c>
      <c r="CS905" s="10">
        <v>9.6999999999999993</v>
      </c>
      <c r="CT905" s="9" t="s">
        <v>349</v>
      </c>
      <c r="CU905" s="10"/>
      <c r="CV905" s="10"/>
      <c r="CW905" s="10"/>
      <c r="CX905" t="str">
        <f>INDEX('Data_Price '!AG$2:AG$1266,MATCH(Data!$DN905,'Data_Price '!$AT$2:$AT$1266,0))</f>
        <v>Nordica Women's Wild Belle 74 w/ TP2 10 Skis 156</v>
      </c>
      <c r="CY905" t="str">
        <f>INDEX('Data_Price '!AH$2:AH$1266,MATCH(Data!$DN905,'Data_Price '!$AT$2:$AT$1266,0))</f>
        <v>SkiEssentials.com</v>
      </c>
      <c r="CZ905">
        <f>INDEX('Data_Price '!AI$2:AI$1266,MATCH(Data!$DN905,'Data_Price '!$AT$2:$AT$1266,0))</f>
        <v>399.99</v>
      </c>
      <c r="DA905" t="str">
        <f>INDEX('Data_Price '!AJ$2:AJ$1266,MATCH(Data!$DN905,'Data_Price '!$AT$2:$AT$1266,0))</f>
        <v>https://tinyurl.com/y875z6ke</v>
      </c>
      <c r="DB905" t="str">
        <f>INDEX('Data_Price '!AK$2:AK$1266,MATCH(Data!$DN905,'Data_Price '!$AT$2:$AT$1266,0))</f>
        <v>Nordica Wild Belle 74 Ladies Snow Skis with Marker FDT10 Bindings 156</v>
      </c>
      <c r="DC905" t="str">
        <f>INDEX('Data_Price '!AL$2:AL$1266,MATCH(Data!$DN905,'Data_Price '!$AT$2:$AT$1266,0))</f>
        <v>The Pro Shop</v>
      </c>
      <c r="DD905">
        <f>INDEX('Data_Price '!AM$2:AM$1266,MATCH(Data!$DN905,'Data_Price '!$AT$2:$AT$1266,0))</f>
        <v>399.99</v>
      </c>
      <c r="DE905" t="str">
        <f>INDEX('Data_Price '!AN$2:AN$1266,MATCH(Data!$DN905,'Data_Price '!$AT$2:$AT$1266,0))</f>
        <v>https://tinyurl.com/y8v5prrj</v>
      </c>
      <c r="DF905" t="str">
        <f>INDEX('Data_Price '!AO$2:AO$1266,MATCH(Data!$DN905,'Data_Price '!$AT$2:$AT$1266,0))</f>
        <v>Nordica Wild Belle 78 CA Women's Ski &amp; 10 FDT Binding 2022 - 156</v>
      </c>
      <c r="DG905" t="str">
        <f>INDEX('Data_Price '!AP$2:AP$1266,MATCH(Data!$DN905,'Data_Price '!$AT$2:$AT$1266,0))</f>
        <v>Gear West Ski &amp; Bike</v>
      </c>
      <c r="DH905">
        <f>INDEX('Data_Price '!AQ$2:AQ$1266,MATCH(Data!$DN905,'Data_Price '!$AT$2:$AT$1266,0))</f>
        <v>499.99</v>
      </c>
      <c r="DI905" t="str">
        <f>INDEX('Data_Price '!AR$2:AR$1266,MATCH(Data!$DN905,'Data_Price '!$AT$2:$AT$1266,0))</f>
        <v>https://tinyurl.com/yacave3u</v>
      </c>
      <c r="DJ905" s="89" t="str">
        <f t="shared" ref="DJ905:DJ968" si="550">DA905</f>
        <v>https://tinyurl.com/y875z6ke</v>
      </c>
      <c r="DK905" s="89" t="str">
        <f t="shared" ref="DK905:DK968" si="551">DE905</f>
        <v>https://tinyurl.com/y8v5prrj</v>
      </c>
      <c r="DL905" s="89" t="str">
        <f t="shared" ref="DL905:DL968" si="552">DI905</f>
        <v>https://tinyurl.com/yacave3u</v>
      </c>
      <c r="DM905" s="219" t="str">
        <f t="shared" ref="DM905:DM968" si="553">IF(LEFT(BT905,1)=" ",RIGHT(BT905,LEN(BT905)-1),BT905)</f>
        <v>Wild Belle 74</v>
      </c>
      <c r="DN905" s="89" t="str">
        <f t="shared" ref="DN905:DN968" si="554">_xlfn.CONCAT(BS905,DM905,BU905,BV905)</f>
        <v xml:space="preserve"> NordicaWild Belle 74156 Women's</v>
      </c>
      <c r="DO905" s="221"/>
    </row>
    <row r="906" spans="2:119" ht="15.6" customHeight="1">
      <c r="B906" s="219" t="b">
        <f t="array" ref="B906">IF(OR(ISERROR(K906:P906)),FALSE,TRUE)</f>
        <v>1</v>
      </c>
      <c r="C906" s="43" t="b">
        <f>OR(BR906=Driver!$G$50,Data!BR738=Driver!$H$50)</f>
        <v>1</v>
      </c>
      <c r="D906" s="43" t="b">
        <f>OR(BV906=Driver!$G$51,BV906=Driver!$H$51)</f>
        <v>0</v>
      </c>
      <c r="E906" s="43" t="b">
        <f>AND(BX906&gt;Driver!$F$54,BX906&lt;Driver!$G$54)</f>
        <v>1</v>
      </c>
      <c r="F906" s="43" t="b">
        <f>CL906&gt;Driver!$F$56</f>
        <v>1</v>
      </c>
      <c r="G906" s="43" t="b">
        <f>AND(CB906&gt;Driver!$F$55,CB906&lt;Driver!$G$55)</f>
        <v>0</v>
      </c>
      <c r="H906" s="43" t="b">
        <f t="shared" si="518"/>
        <v>0</v>
      </c>
      <c r="I906" s="43">
        <f t="shared" si="519"/>
        <v>0</v>
      </c>
      <c r="J906" s="43" t="b">
        <f t="array" ref="J906">NOT(OR(($H$9:$H$1273=TRUE)*($I$9:$I$1273&gt;0)*($BT$9:$BT$1273=BT906)*($K$9:$K$1273&gt;K906)))</f>
        <v>1</v>
      </c>
      <c r="K906" s="72">
        <f t="shared" si="520"/>
        <v>0.80528261460027606</v>
      </c>
      <c r="L906" s="72">
        <f t="shared" si="521"/>
        <v>0.81426822265670817</v>
      </c>
      <c r="M906" s="72">
        <f t="shared" si="522"/>
        <v>0.79629700654384394</v>
      </c>
      <c r="N906" s="72">
        <f t="shared" si="523"/>
        <v>0.83968814314772255</v>
      </c>
      <c r="O906" s="72">
        <f t="shared" si="524"/>
        <v>0.64704973674690192</v>
      </c>
      <c r="P906" s="72">
        <f t="shared" si="525"/>
        <v>0.90215313973690736</v>
      </c>
      <c r="Q906" s="72"/>
      <c r="R906" s="72"/>
      <c r="S906" s="72">
        <f t="shared" si="526"/>
        <v>0.41353231201417118</v>
      </c>
      <c r="T906" s="72">
        <f t="shared" si="527"/>
        <v>0.46405497697254372</v>
      </c>
      <c r="U906" s="72">
        <f t="shared" si="528"/>
        <v>0.89358053166853901</v>
      </c>
      <c r="V906" s="72">
        <f t="shared" si="529"/>
        <v>0.52339531498198077</v>
      </c>
      <c r="W906" s="72">
        <f t="shared" si="530"/>
        <v>0.87685692921236291</v>
      </c>
      <c r="X906" s="72">
        <f t="shared" si="531"/>
        <v>0.18573177734329183</v>
      </c>
      <c r="Y906" s="72">
        <f t="shared" si="532"/>
        <v>0.20370299345615606</v>
      </c>
      <c r="Z906" s="72">
        <f t="shared" si="533"/>
        <v>0.16031185685227745</v>
      </c>
      <c r="AA906" s="72">
        <f t="shared" si="534"/>
        <v>0.35295026325309803</v>
      </c>
      <c r="AB906" s="72">
        <f t="shared" si="535"/>
        <v>9.7846860263092583E-2</v>
      </c>
      <c r="AC906" s="72"/>
      <c r="AD906" s="72"/>
      <c r="AE906" s="72">
        <f t="shared" si="536"/>
        <v>0.58646768798582882</v>
      </c>
      <c r="AF906" s="72">
        <f t="shared" si="537"/>
        <v>0.53594502302745628</v>
      </c>
      <c r="AG906" s="72">
        <f t="shared" si="538"/>
        <v>0.10641946833146099</v>
      </c>
      <c r="AH906" s="72">
        <f t="shared" si="539"/>
        <v>0.47660468501801917</v>
      </c>
      <c r="AI906" s="72">
        <f t="shared" si="540"/>
        <v>0.12314307078763714</v>
      </c>
      <c r="AJ906" s="72">
        <f>(AV906-Driver!$K$179)/(Driver!$L$179-Driver!$K$179)</f>
        <v>6.8487631939408586E-2</v>
      </c>
      <c r="AK906" s="72">
        <f>(AW906-Driver!$K$180)/(Driver!$L$180-Driver!$K$180)</f>
        <v>0.16266756548249817</v>
      </c>
      <c r="AL906" s="72">
        <f>(AX906-Driver!$K$181)/(Driver!$L$181-Driver!$K$181)</f>
        <v>0.26199962056535764</v>
      </c>
      <c r="AM906" s="72">
        <f>(AY906-Driver!$K$182)/(Driver!$L$182-Driver!$K$182)</f>
        <v>9.4434757843948322E-2</v>
      </c>
      <c r="AN906" s="72">
        <f>(AZ906-Driver!$K$183)/(Driver!$L$183-Driver!$K$183)</f>
        <v>0.15637254901960784</v>
      </c>
      <c r="AO906" s="72"/>
      <c r="AP906" s="72"/>
      <c r="AQ906" s="72">
        <f>(BC906-Driver!$K$188)/(Driver!$L$188-Driver!$K$188)</f>
        <v>3.3532312014171159E-2</v>
      </c>
      <c r="AR906" s="72">
        <f>MIN((BD906-Driver!$K$189)/(Driver!$L$189-Driver!$K$189),100%)</f>
        <v>1.4054976972543815E-2</v>
      </c>
      <c r="AS906" s="72">
        <f>(BE906-Driver!$K$190)/(Driver!$L$190-Driver!$K$190)</f>
        <v>0.40358053166853902</v>
      </c>
      <c r="AT906" s="72">
        <f>(BF906-Driver!$K$191)/(Driver!$L$191-Driver!$K$191)</f>
        <v>3.3395314981980818E-2</v>
      </c>
      <c r="AU906" s="72">
        <f>(BG906-Driver!$K$192)/(Driver!$L$192-Driver!$K$192)</f>
        <v>0.12685692921236286</v>
      </c>
      <c r="AV906" s="70">
        <f t="shared" si="541"/>
        <v>1.4414597747931082</v>
      </c>
      <c r="AW906" s="70">
        <f t="shared" si="542"/>
        <v>17.725288258987234</v>
      </c>
      <c r="AX906" s="70">
        <f t="shared" si="543"/>
        <v>3.3579965850882187</v>
      </c>
      <c r="AY906" s="70">
        <f>IFERROR(Driver!$K$19/Data!BH906/Data!BI906*Data!BK906*Data!BL906,"")</f>
        <v>0.11561632021323584</v>
      </c>
      <c r="AZ906" s="70">
        <f t="shared" si="544"/>
        <v>14.251675353685778</v>
      </c>
      <c r="BA906" s="70"/>
      <c r="BB906" s="70"/>
      <c r="BC906" s="70">
        <f t="shared" si="545"/>
        <v>17.393443354601779</v>
      </c>
      <c r="BD906" s="70">
        <f t="shared" si="546"/>
        <v>2.964663442222303</v>
      </c>
      <c r="BE906" s="70">
        <f t="shared" si="547"/>
        <v>0.40368692618870233</v>
      </c>
      <c r="BF906" s="70">
        <f t="shared" si="548"/>
        <v>3.7717662118486808</v>
      </c>
      <c r="BG906" s="70">
        <f t="shared" si="549"/>
        <v>0.4803612599700896</v>
      </c>
      <c r="BH906" s="67">
        <f>MAX((CE906-Driver!$F$200)/(Driver!$G$200-Driver!$F$200)*$BI$1,1)</f>
        <v>3.3579965850882187</v>
      </c>
      <c r="BI906" s="67">
        <f>MAX($BI$1*(BY906-Driver!$F$201)/(Driver!$G$201-Driver!$F$201),1)</f>
        <v>7.3417721518987342</v>
      </c>
      <c r="BJ906" s="67">
        <f>(CB906-Driver!$F$206)/(Driver!$G$206-Driver!$F$206)*$BI$1</f>
        <v>3.9682539682539679</v>
      </c>
      <c r="BK906" s="67">
        <f>(CD906-Driver!$F$203)/(Driver!$G$203-Driver!$F$203)*$BI$1</f>
        <v>2.4311926605504586</v>
      </c>
      <c r="BL906" s="67">
        <f>MAX((CR906-Driver!$F$202)/(Driver!$G$202-Driver!$F$202)*$BI$1,1)</f>
        <v>5.8620689655172411</v>
      </c>
      <c r="BM906" s="67">
        <f>MAX((CH906-Driver!$F$204)/(Driver!$G$204-Driver!$F$204)*$BI$1,1)</f>
        <v>1.4529914529914532</v>
      </c>
      <c r="BN906" s="67">
        <f>(CI906-Driver!$F$205)/(Driver!$G$205-Driver!$F$205)*$BI$1</f>
        <v>1.9411764705882353</v>
      </c>
      <c r="BO906" s="67">
        <f>(CK906-Driver!$F$207)/(Driver!$G$207-Driver!$F$207)*$BI$1</f>
        <v>1.2306101344364011</v>
      </c>
      <c r="BP906" s="67">
        <f>(CM906-Driver!$F$208)/(Driver!$G$208-Driver!$F$208)*$BI$1</f>
        <v>1.8777777777777778</v>
      </c>
      <c r="BQ906" s="67">
        <f>(CL906-Driver!$F$209)/(Driver!$G$209-Driver!$F$209)*$BI$1</f>
        <v>2.34375</v>
      </c>
      <c r="BR906" s="28" t="s">
        <v>155</v>
      </c>
      <c r="BS906" s="8" t="s">
        <v>262</v>
      </c>
      <c r="BT906" s="9" t="s">
        <v>808</v>
      </c>
      <c r="BU906" s="10">
        <v>163</v>
      </c>
      <c r="BV906" s="9" t="s">
        <v>163</v>
      </c>
      <c r="BW906" s="10">
        <v>163</v>
      </c>
      <c r="BX906" s="10">
        <v>163.4</v>
      </c>
      <c r="BY906" s="10">
        <v>124</v>
      </c>
      <c r="BZ906" s="10">
        <v>138</v>
      </c>
      <c r="CA906" s="10">
        <v>126</v>
      </c>
      <c r="CB906" s="10">
        <v>89</v>
      </c>
      <c r="CC906" s="10">
        <v>112</v>
      </c>
      <c r="CD906" s="10">
        <v>14.7</v>
      </c>
      <c r="CE906" s="10">
        <v>1490</v>
      </c>
      <c r="CF906" s="10">
        <v>1.1200000000000001</v>
      </c>
      <c r="CG906" s="10">
        <v>1662</v>
      </c>
      <c r="CH906" s="10">
        <v>135</v>
      </c>
      <c r="CI906" s="10">
        <v>66</v>
      </c>
      <c r="CJ906" s="10">
        <v>45</v>
      </c>
      <c r="CK906" s="10">
        <v>229</v>
      </c>
      <c r="CL906" s="10">
        <v>15</v>
      </c>
      <c r="CM906" s="10">
        <v>169</v>
      </c>
      <c r="CN906" s="10">
        <v>0.33200000000000002</v>
      </c>
      <c r="CO906" s="10">
        <v>142</v>
      </c>
      <c r="CP906" s="10">
        <v>114</v>
      </c>
      <c r="CQ906" s="10">
        <v>86</v>
      </c>
      <c r="CR906" s="10">
        <v>6</v>
      </c>
      <c r="CS906" s="10">
        <v>10</v>
      </c>
      <c r="CT906" s="9" t="s">
        <v>188</v>
      </c>
      <c r="CU906" s="9" t="s">
        <v>185</v>
      </c>
      <c r="CV906" s="10"/>
      <c r="CW906" s="10"/>
      <c r="CX906" t="e">
        <f>INDEX('Data_Price '!AG$2:AG$1266,MATCH(Data!$DN906,'Data_Price '!$AT$2:$AT$1266,0))</f>
        <v>#N/A</v>
      </c>
      <c r="CY906" t="e">
        <f>INDEX('Data_Price '!AH$2:AH$1266,MATCH(Data!$DN906,'Data_Price '!$AT$2:$AT$1266,0))</f>
        <v>#N/A</v>
      </c>
      <c r="CZ906" t="e">
        <f>INDEX('Data_Price '!AI$2:AI$1266,MATCH(Data!$DN906,'Data_Price '!$AT$2:$AT$1266,0))</f>
        <v>#N/A</v>
      </c>
      <c r="DA906" t="e">
        <f>INDEX('Data_Price '!AJ$2:AJ$1266,MATCH(Data!$DN906,'Data_Price '!$AT$2:$AT$1266,0))</f>
        <v>#N/A</v>
      </c>
      <c r="DB906" t="e">
        <f>INDEX('Data_Price '!AK$2:AK$1266,MATCH(Data!$DN906,'Data_Price '!$AT$2:$AT$1266,0))</f>
        <v>#N/A</v>
      </c>
      <c r="DC906" t="e">
        <f>INDEX('Data_Price '!AL$2:AL$1266,MATCH(Data!$DN906,'Data_Price '!$AT$2:$AT$1266,0))</f>
        <v>#N/A</v>
      </c>
      <c r="DD906" t="e">
        <f>INDEX('Data_Price '!AM$2:AM$1266,MATCH(Data!$DN906,'Data_Price '!$AT$2:$AT$1266,0))</f>
        <v>#N/A</v>
      </c>
      <c r="DE906" t="e">
        <f>INDEX('Data_Price '!AN$2:AN$1266,MATCH(Data!$DN906,'Data_Price '!$AT$2:$AT$1266,0))</f>
        <v>#N/A</v>
      </c>
      <c r="DF906" t="e">
        <f>INDEX('Data_Price '!AO$2:AO$1266,MATCH(Data!$DN906,'Data_Price '!$AT$2:$AT$1266,0))</f>
        <v>#N/A</v>
      </c>
      <c r="DG906" t="e">
        <f>INDEX('Data_Price '!AP$2:AP$1266,MATCH(Data!$DN906,'Data_Price '!$AT$2:$AT$1266,0))</f>
        <v>#N/A</v>
      </c>
      <c r="DH906" t="e">
        <f>INDEX('Data_Price '!AQ$2:AQ$1266,MATCH(Data!$DN906,'Data_Price '!$AT$2:$AT$1266,0))</f>
        <v>#N/A</v>
      </c>
      <c r="DI906" t="e">
        <f>INDEX('Data_Price '!AR$2:AR$1266,MATCH(Data!$DN906,'Data_Price '!$AT$2:$AT$1266,0))</f>
        <v>#N/A</v>
      </c>
      <c r="DJ906" s="89" t="e">
        <f t="shared" si="550"/>
        <v>#N/A</v>
      </c>
      <c r="DK906" s="89" t="e">
        <f t="shared" si="551"/>
        <v>#N/A</v>
      </c>
      <c r="DL906" s="89" t="e">
        <f t="shared" si="552"/>
        <v>#N/A</v>
      </c>
      <c r="DM906" s="219" t="str">
        <f t="shared" si="553"/>
        <v>Mindbender 90 C Alliance</v>
      </c>
      <c r="DN906" s="89" t="str">
        <f t="shared" si="554"/>
        <v xml:space="preserve"> K2Mindbender 90 C Alliance163 Women's</v>
      </c>
      <c r="DO906" s="221"/>
    </row>
    <row r="907" spans="2:119" ht="15.6" customHeight="1">
      <c r="B907" s="219" t="b">
        <f t="array" ref="B907">IF(OR(ISERROR(K907:P907)),FALSE,TRUE)</f>
        <v>1</v>
      </c>
      <c r="C907" s="43" t="b">
        <f>OR(BR907=Driver!$G$50,Data!BR730=Driver!$H$50)</f>
        <v>1</v>
      </c>
      <c r="D907" s="43" t="b">
        <f>OR(BV907=Driver!$G$51,BV907=Driver!$H$51)</f>
        <v>0</v>
      </c>
      <c r="E907" s="43" t="b">
        <f>AND(BX907&gt;Driver!$F$54,BX907&lt;Driver!$G$54)</f>
        <v>1</v>
      </c>
      <c r="F907" s="43" t="b">
        <f>CL907&gt;Driver!$F$56</f>
        <v>1</v>
      </c>
      <c r="G907" s="43" t="b">
        <f>AND(CB907&gt;Driver!$F$55,CB907&lt;Driver!$G$55)</f>
        <v>0</v>
      </c>
      <c r="H907" s="43" t="b">
        <f t="shared" si="518"/>
        <v>0</v>
      </c>
      <c r="I907" s="43">
        <f t="shared" si="519"/>
        <v>0</v>
      </c>
      <c r="J907" s="43" t="b">
        <f t="array" ref="J907">NOT(OR(($H$9:$H$1273=TRUE)*($I$9:$I$1273&gt;0)*($BT$9:$BT$1273=BT907)*($K$9:$K$1273&gt;K907)))</f>
        <v>1</v>
      </c>
      <c r="K907" s="72">
        <f t="shared" si="520"/>
        <v>0.78120813877929007</v>
      </c>
      <c r="L907" s="72">
        <f t="shared" si="521"/>
        <v>0.78445595934190671</v>
      </c>
      <c r="M907" s="72">
        <f t="shared" si="522"/>
        <v>0.77796031821667344</v>
      </c>
      <c r="N907" s="72">
        <f t="shared" si="523"/>
        <v>0.82830510387623713</v>
      </c>
      <c r="O907" s="72">
        <f t="shared" si="524"/>
        <v>0.57817761299766013</v>
      </c>
      <c r="P907" s="72">
        <f t="shared" si="525"/>
        <v>0.92739823777612307</v>
      </c>
      <c r="Q907" s="72"/>
      <c r="R907" s="72"/>
      <c r="S907" s="72">
        <f t="shared" si="526"/>
        <v>0.39068030160410094</v>
      </c>
      <c r="T907" s="72">
        <f t="shared" si="527"/>
        <v>0.56934967824357874</v>
      </c>
      <c r="U907" s="72">
        <f t="shared" si="528"/>
        <v>0.6539481617823717</v>
      </c>
      <c r="V907" s="72">
        <f t="shared" si="529"/>
        <v>0.56347273304365153</v>
      </c>
      <c r="W907" s="72">
        <f t="shared" si="530"/>
        <v>0.86626233552631582</v>
      </c>
      <c r="X907" s="72">
        <f t="shared" si="531"/>
        <v>0.21554404065809324</v>
      </c>
      <c r="Y907" s="72">
        <f t="shared" si="532"/>
        <v>0.22203968178332659</v>
      </c>
      <c r="Z907" s="72">
        <f t="shared" si="533"/>
        <v>0.17169489612376287</v>
      </c>
      <c r="AA907" s="72">
        <f t="shared" si="534"/>
        <v>0.42182238700233993</v>
      </c>
      <c r="AB907" s="72">
        <f t="shared" si="535"/>
        <v>7.2601762223876903E-2</v>
      </c>
      <c r="AC907" s="72"/>
      <c r="AD907" s="72"/>
      <c r="AE907" s="72">
        <f t="shared" si="536"/>
        <v>0.60931969839589906</v>
      </c>
      <c r="AF907" s="72">
        <f t="shared" si="537"/>
        <v>0.43065032175642121</v>
      </c>
      <c r="AG907" s="72">
        <f t="shared" si="538"/>
        <v>0.3460518382176283</v>
      </c>
      <c r="AH907" s="72">
        <f t="shared" si="539"/>
        <v>0.43652726695634841</v>
      </c>
      <c r="AI907" s="72">
        <f t="shared" si="540"/>
        <v>0.13373766447368421</v>
      </c>
      <c r="AJ907" s="72">
        <f>(AV907-Driver!$K$179)/(Driver!$L$179-Driver!$K$179)</f>
        <v>3.8675368624607194E-2</v>
      </c>
      <c r="AK907" s="72">
        <f>(AW907-Driver!$K$180)/(Driver!$L$180-Driver!$K$180)</f>
        <v>0.18646167065538571</v>
      </c>
      <c r="AL907" s="72">
        <f>(AX907-Driver!$K$181)/(Driver!$L$181-Driver!$K$181)</f>
        <v>0.27338265983684307</v>
      </c>
      <c r="AM907" s="72">
        <f>(AY907-Driver!$K$182)/(Driver!$L$182-Driver!$K$182)</f>
        <v>2.5562634094706438E-2</v>
      </c>
      <c r="AN907" s="72">
        <f>(AZ907-Driver!$K$183)/(Driver!$L$183-Driver!$K$183)</f>
        <v>0.18161764705882352</v>
      </c>
      <c r="AO907" s="72"/>
      <c r="AP907" s="72"/>
      <c r="AQ907" s="72">
        <f>(BC907-Driver!$K$188)/(Driver!$L$188-Driver!$K$188)</f>
        <v>1.0680301604100962E-2</v>
      </c>
      <c r="AR907" s="72">
        <f>MIN((BD907-Driver!$K$189)/(Driver!$L$189-Driver!$K$189),100%)</f>
        <v>0.11934967824357882</v>
      </c>
      <c r="AS907" s="72">
        <f>(BE907-Driver!$K$190)/(Driver!$L$190-Driver!$K$190)</f>
        <v>0.85605183821762831</v>
      </c>
      <c r="AT907" s="72">
        <f>(BF907-Driver!$K$191)/(Driver!$L$191-Driver!$K$191)</f>
        <v>7.3472733043651609E-2</v>
      </c>
      <c r="AU907" s="72">
        <f>(BG907-Driver!$K$192)/(Driver!$L$192-Driver!$K$192)</f>
        <v>0.11626233552631579</v>
      </c>
      <c r="AV907" s="70">
        <f t="shared" si="541"/>
        <v>0.81400081400081392</v>
      </c>
      <c r="AW907" s="70">
        <f t="shared" si="542"/>
        <v>20.044234645305092</v>
      </c>
      <c r="AX907" s="70">
        <f t="shared" si="543"/>
        <v>3.4604439385315877</v>
      </c>
      <c r="AY907" s="70">
        <f>IFERROR(Driver!$K$19/Data!BH907/Data!BI907*Data!BK907*Data!BL907,"")</f>
        <v>3.1296291285791172E-2</v>
      </c>
      <c r="AZ907" s="70">
        <f t="shared" si="544"/>
        <v>16.552494415487715</v>
      </c>
      <c r="BA907" s="70"/>
      <c r="BB907" s="70"/>
      <c r="BC907" s="70">
        <f t="shared" si="545"/>
        <v>5.5399466902993479</v>
      </c>
      <c r="BD907" s="70">
        <f t="shared" si="546"/>
        <v>12.283057933538245</v>
      </c>
      <c r="BE907" s="70">
        <f t="shared" si="547"/>
        <v>0.85607751694948475</v>
      </c>
      <c r="BF907" s="70">
        <f t="shared" si="548"/>
        <v>8.29822902211734</v>
      </c>
      <c r="BG907" s="70">
        <f t="shared" si="549"/>
        <v>0.44024336965460531</v>
      </c>
      <c r="BH907" s="67">
        <f>MAX((CE907-Driver!$F$200)/(Driver!$G$200-Driver!$F$200)*$BI$1,1)</f>
        <v>3.4604439385315877</v>
      </c>
      <c r="BI907" s="67">
        <f>MAX($BI$1*(BY907-Driver!$F$201)/(Driver!$G$201-Driver!$F$201),1)</f>
        <v>7.2151898734177218</v>
      </c>
      <c r="BJ907" s="67">
        <f>(CB907-Driver!$F$206)/(Driver!$G$206-Driver!$F$206)*$BI$1</f>
        <v>3.1746031746031744</v>
      </c>
      <c r="BK907" s="67">
        <f>(CD907-Driver!$F$203)/(Driver!$G$203-Driver!$F$203)*$BI$1</f>
        <v>0.59633027522935744</v>
      </c>
      <c r="BL907" s="67">
        <f>MAX((CR907-Driver!$F$202)/(Driver!$G$202-Driver!$F$202)*$BI$1,1)</f>
        <v>6.5517241379310338</v>
      </c>
      <c r="BM907" s="67">
        <f>MAX((CH907-Driver!$F$204)/(Driver!$G$204-Driver!$F$204)*$BI$1,1)</f>
        <v>1.0256410256410255</v>
      </c>
      <c r="BN907" s="67">
        <f>(CI907-Driver!$F$205)/(Driver!$G$205-Driver!$F$205)*$BI$1</f>
        <v>2.2941176470588234</v>
      </c>
      <c r="BO907" s="67">
        <f>(CK907-Driver!$F$207)/(Driver!$G$207-Driver!$F$207)*$BI$1</f>
        <v>1.3753877973112718</v>
      </c>
      <c r="BP907" s="67">
        <f>(CM907-Driver!$F$208)/(Driver!$G$208-Driver!$F$208)*$BI$1</f>
        <v>1.1333333333333333</v>
      </c>
      <c r="BQ907" s="67">
        <f>(CL907-Driver!$F$209)/(Driver!$G$209-Driver!$F$209)*$BI$1</f>
        <v>1.5625</v>
      </c>
      <c r="BR907" s="28" t="s">
        <v>155</v>
      </c>
      <c r="BS907" s="8" t="s">
        <v>262</v>
      </c>
      <c r="BT907" s="9" t="s">
        <v>581</v>
      </c>
      <c r="BU907" s="10">
        <v>159</v>
      </c>
      <c r="BV907" s="9" t="s">
        <v>163</v>
      </c>
      <c r="BW907" s="10">
        <v>159</v>
      </c>
      <c r="BX907" s="10">
        <v>156.9</v>
      </c>
      <c r="BY907" s="10">
        <v>122</v>
      </c>
      <c r="BZ907" s="10">
        <v>128</v>
      </c>
      <c r="CA907" s="10">
        <v>129</v>
      </c>
      <c r="CB907" s="10">
        <v>84</v>
      </c>
      <c r="CC907" s="10">
        <v>112</v>
      </c>
      <c r="CD907" s="10">
        <v>10.7</v>
      </c>
      <c r="CE907" s="10">
        <v>1508</v>
      </c>
      <c r="CF907" s="10">
        <v>1.03</v>
      </c>
      <c r="CG907" s="10">
        <v>1555</v>
      </c>
      <c r="CH907" s="10">
        <v>125</v>
      </c>
      <c r="CI907" s="10">
        <v>72</v>
      </c>
      <c r="CJ907" s="10">
        <v>40</v>
      </c>
      <c r="CK907" s="10">
        <v>243</v>
      </c>
      <c r="CL907" s="10">
        <v>10</v>
      </c>
      <c r="CM907" s="10">
        <v>102</v>
      </c>
      <c r="CN907" s="10">
        <v>0.26</v>
      </c>
      <c r="CO907" s="10">
        <v>176</v>
      </c>
      <c r="CP907" s="10">
        <v>111</v>
      </c>
      <c r="CQ907" s="10">
        <v>67</v>
      </c>
      <c r="CR907" s="10">
        <v>8</v>
      </c>
      <c r="CS907" s="10">
        <v>10.5</v>
      </c>
      <c r="CT907" s="9" t="s">
        <v>231</v>
      </c>
      <c r="CU907" s="9" t="s">
        <v>188</v>
      </c>
      <c r="CV907" s="10"/>
      <c r="CW907" s="10"/>
      <c r="CX907" t="e">
        <f>INDEX('Data_Price '!AG$2:AG$1266,MATCH(Data!$DN907,'Data_Price '!$AT$2:$AT$1266,0))</f>
        <v>#N/A</v>
      </c>
      <c r="CY907" t="e">
        <f>INDEX('Data_Price '!AH$2:AH$1266,MATCH(Data!$DN907,'Data_Price '!$AT$2:$AT$1266,0))</f>
        <v>#N/A</v>
      </c>
      <c r="CZ907" t="e">
        <f>INDEX('Data_Price '!AI$2:AI$1266,MATCH(Data!$DN907,'Data_Price '!$AT$2:$AT$1266,0))</f>
        <v>#N/A</v>
      </c>
      <c r="DA907" t="e">
        <f>INDEX('Data_Price '!AJ$2:AJ$1266,MATCH(Data!$DN907,'Data_Price '!$AT$2:$AT$1266,0))</f>
        <v>#N/A</v>
      </c>
      <c r="DB907" t="e">
        <f>INDEX('Data_Price '!AK$2:AK$1266,MATCH(Data!$DN907,'Data_Price '!$AT$2:$AT$1266,0))</f>
        <v>#N/A</v>
      </c>
      <c r="DC907" t="e">
        <f>INDEX('Data_Price '!AL$2:AL$1266,MATCH(Data!$DN907,'Data_Price '!$AT$2:$AT$1266,0))</f>
        <v>#N/A</v>
      </c>
      <c r="DD907" t="e">
        <f>INDEX('Data_Price '!AM$2:AM$1266,MATCH(Data!$DN907,'Data_Price '!$AT$2:$AT$1266,0))</f>
        <v>#N/A</v>
      </c>
      <c r="DE907" t="e">
        <f>INDEX('Data_Price '!AN$2:AN$1266,MATCH(Data!$DN907,'Data_Price '!$AT$2:$AT$1266,0))</f>
        <v>#N/A</v>
      </c>
      <c r="DF907" t="e">
        <f>INDEX('Data_Price '!AO$2:AO$1266,MATCH(Data!$DN907,'Data_Price '!$AT$2:$AT$1266,0))</f>
        <v>#N/A</v>
      </c>
      <c r="DG907" t="e">
        <f>INDEX('Data_Price '!AP$2:AP$1266,MATCH(Data!$DN907,'Data_Price '!$AT$2:$AT$1266,0))</f>
        <v>#N/A</v>
      </c>
      <c r="DH907" t="e">
        <f>INDEX('Data_Price '!AQ$2:AQ$1266,MATCH(Data!$DN907,'Data_Price '!$AT$2:$AT$1266,0))</f>
        <v>#N/A</v>
      </c>
      <c r="DI907" t="e">
        <f>INDEX('Data_Price '!AR$2:AR$1266,MATCH(Data!$DN907,'Data_Price '!$AT$2:$AT$1266,0))</f>
        <v>#N/A</v>
      </c>
      <c r="DJ907" s="89" t="e">
        <f t="shared" si="550"/>
        <v>#N/A</v>
      </c>
      <c r="DK907" s="89" t="e">
        <f t="shared" si="551"/>
        <v>#N/A</v>
      </c>
      <c r="DL907" s="89" t="e">
        <f t="shared" si="552"/>
        <v>#N/A</v>
      </c>
      <c r="DM907" s="219" t="str">
        <f t="shared" si="553"/>
        <v>Mindbender 85 Alliance</v>
      </c>
      <c r="DN907" s="89" t="str">
        <f t="shared" si="554"/>
        <v xml:space="preserve"> K2Mindbender 85 Alliance159 Women's</v>
      </c>
      <c r="DO907" s="221" t="s">
        <v>582</v>
      </c>
    </row>
    <row r="908" spans="2:119" ht="15.6" customHeight="1">
      <c r="B908" s="219" t="b">
        <f t="array" ref="B908">IF(OR(ISERROR(K908:P908)),FALSE,TRUE)</f>
        <v>1</v>
      </c>
      <c r="C908" s="43" t="b">
        <f>OR(BR908=Driver!$G$50,Data!BR671=Driver!$H$50)</f>
        <v>1</v>
      </c>
      <c r="D908" s="43" t="b">
        <f>OR(BV908=Driver!$G$51,BV908=Driver!$H$51)</f>
        <v>1</v>
      </c>
      <c r="E908" s="43" t="b">
        <f>AND(BX908&gt;Driver!$F$54,BX908&lt;Driver!$G$54)</f>
        <v>1</v>
      </c>
      <c r="F908" s="43" t="b">
        <f>CL908&gt;Driver!$F$56</f>
        <v>1</v>
      </c>
      <c r="G908" s="43" t="b">
        <f>AND(CB908&gt;Driver!$F$55,CB908&lt;Driver!$G$55)</f>
        <v>0</v>
      </c>
      <c r="H908" s="43" t="b">
        <f t="shared" si="518"/>
        <v>0</v>
      </c>
      <c r="I908" s="43">
        <f t="shared" si="519"/>
        <v>0</v>
      </c>
      <c r="J908" s="43" t="b">
        <f t="array" ref="J908">NOT(OR(($H$9:$H$1273=TRUE)*($I$9:$I$1273&gt;0)*($BT$9:$BT$1273=BT908)*($K$9:$K$1273&gt;K908)))</f>
        <v>1</v>
      </c>
      <c r="K908" s="72">
        <f t="shared" si="520"/>
        <v>0.73574210490907221</v>
      </c>
      <c r="L908" s="72">
        <f t="shared" si="521"/>
        <v>0.75045386442610629</v>
      </c>
      <c r="M908" s="72">
        <f t="shared" si="522"/>
        <v>0.72103034539203825</v>
      </c>
      <c r="N908" s="72">
        <f t="shared" si="523"/>
        <v>0.59874714523461314</v>
      </c>
      <c r="O908" s="72">
        <f t="shared" si="524"/>
        <v>0.57052408453792758</v>
      </c>
      <c r="P908" s="72">
        <f t="shared" si="525"/>
        <v>0.99381980640357404</v>
      </c>
      <c r="Q908" s="72"/>
      <c r="R908" s="72"/>
      <c r="S908" s="72">
        <f t="shared" si="526"/>
        <v>0.46028556162143774</v>
      </c>
      <c r="T908" s="72">
        <f t="shared" si="527"/>
        <v>0.55000000000000004</v>
      </c>
      <c r="U908" s="72">
        <f t="shared" si="528"/>
        <v>0.51</v>
      </c>
      <c r="V908" s="72">
        <f t="shared" si="529"/>
        <v>0.49037755918489645</v>
      </c>
      <c r="W908" s="72">
        <f t="shared" si="530"/>
        <v>0.76506179196704427</v>
      </c>
      <c r="X908" s="72">
        <f t="shared" si="531"/>
        <v>0.24954613557389371</v>
      </c>
      <c r="Y908" s="72">
        <f t="shared" si="532"/>
        <v>0.27896965460796175</v>
      </c>
      <c r="Z908" s="72">
        <f t="shared" si="533"/>
        <v>0.40125285476538686</v>
      </c>
      <c r="AA908" s="72">
        <f t="shared" si="534"/>
        <v>0.42947591546207237</v>
      </c>
      <c r="AB908" s="72">
        <f t="shared" si="535"/>
        <v>6.1801935964259647E-3</v>
      </c>
      <c r="AC908" s="72"/>
      <c r="AD908" s="72"/>
      <c r="AE908" s="72">
        <f t="shared" si="536"/>
        <v>0.53971443837856226</v>
      </c>
      <c r="AF908" s="72">
        <f t="shared" si="537"/>
        <v>0.44999999999999996</v>
      </c>
      <c r="AG908" s="72">
        <f t="shared" si="538"/>
        <v>0.49</v>
      </c>
      <c r="AH908" s="72">
        <f t="shared" si="539"/>
        <v>0.50962244081510355</v>
      </c>
      <c r="AI908" s="72">
        <f t="shared" si="540"/>
        <v>0.23493820803295573</v>
      </c>
      <c r="AJ908" s="72">
        <f>(AV908-Driver!$K$179)/(Driver!$L$179-Driver!$K$179)</f>
        <v>4.6732737088067029E-3</v>
      </c>
      <c r="AK908" s="72">
        <f>(AW908-Driver!$K$180)/(Driver!$L$180-Driver!$K$180)</f>
        <v>0.26967896529929791</v>
      </c>
      <c r="AL908" s="72">
        <f>(AX908-Driver!$K$181)/(Driver!$L$181-Driver!$K$181)</f>
        <v>0.50294061847846705</v>
      </c>
      <c r="AM908" s="72">
        <f>(AY908-Driver!$K$182)/(Driver!$L$182-Driver!$K$182)</f>
        <v>1.7909105634973995E-2</v>
      </c>
      <c r="AN908" s="72">
        <f>(AZ908-Driver!$K$183)/(Driver!$L$183-Driver!$K$183)</f>
        <v>0.24803921568627446</v>
      </c>
      <c r="AO908" s="72"/>
      <c r="AP908" s="72"/>
      <c r="AQ908" s="72">
        <f>(BC908-Driver!$K$188)/(Driver!$L$188-Driver!$K$188)</f>
        <v>8.0285561621437782E-2</v>
      </c>
      <c r="AR908" s="72">
        <f>MIN((BD908-Driver!$K$189)/(Driver!$L$189-Driver!$K$189),100%)</f>
        <v>1</v>
      </c>
      <c r="AS908" s="72">
        <f>(BE908-Driver!$K$190)/(Driver!$L$190-Driver!$K$190)</f>
        <v>1</v>
      </c>
      <c r="AT908" s="72">
        <f>(BF908-Driver!$K$191)/(Driver!$L$191-Driver!$K$191)</f>
        <v>3.7755918489647359E-4</v>
      </c>
      <c r="AU908" s="72">
        <f>(BG908-Driver!$K$192)/(Driver!$L$192-Driver!$K$192)</f>
        <v>1.5061791967044283E-2</v>
      </c>
      <c r="AV908" s="70">
        <f t="shared" si="541"/>
        <v>9.8358431691765016E-2</v>
      </c>
      <c r="AW908" s="70">
        <f t="shared" si="542"/>
        <v>28.154497388597402</v>
      </c>
      <c r="AX908" s="70">
        <f t="shared" si="543"/>
        <v>5.5264655663062037</v>
      </c>
      <c r="AY908" s="70">
        <f>IFERROR(Driver!$K$19/Data!BH908/Data!BI908*Data!BK908*Data!BL908,"")</f>
        <v>2.1926088858589786E-2</v>
      </c>
      <c r="AZ908" s="70">
        <f t="shared" si="544"/>
        <v>22.60610573343261</v>
      </c>
      <c r="BA908" s="70"/>
      <c r="BB908" s="70"/>
      <c r="BC908" s="70">
        <f t="shared" si="545"/>
        <v>41.644678949209201</v>
      </c>
      <c r="BD908" s="70">
        <f t="shared" si="546"/>
        <v>810.90254367146815</v>
      </c>
      <c r="BE908" s="70">
        <f t="shared" si="547"/>
        <v>1</v>
      </c>
      <c r="BF908" s="70">
        <f t="shared" si="548"/>
        <v>4.2642657430661562E-2</v>
      </c>
      <c r="BG908" s="70">
        <f t="shared" si="549"/>
        <v>5.7033552771760358E-2</v>
      </c>
      <c r="BH908" s="67">
        <f>MAX((CE908-Driver!$F$200)/(Driver!$G$200-Driver!$F$200)*$BI$1,1)</f>
        <v>5.5264655663062037</v>
      </c>
      <c r="BI908" s="67">
        <f>MAX($BI$1*(BY908-Driver!$F$201)/(Driver!$G$201-Driver!$F$201),1)</f>
        <v>8.3544303797468356</v>
      </c>
      <c r="BJ908" s="67">
        <f>(CB908-Driver!$F$206)/(Driver!$G$206-Driver!$F$206)*$BI$1</f>
        <v>0.15873015873015872</v>
      </c>
      <c r="BK908" s="67">
        <f>(CD908-Driver!$F$203)/(Driver!$G$203-Driver!$F$203)*$BI$1</f>
        <v>0.7339449541284403</v>
      </c>
      <c r="BL908" s="67">
        <f>MAX((CR908-Driver!$F$202)/(Driver!$G$202-Driver!$F$202)*$BI$1,1)</f>
        <v>6.8965517241379315</v>
      </c>
      <c r="BM908" s="67">
        <f>MAX((CH908-Driver!$F$204)/(Driver!$G$204-Driver!$F$204)*$BI$1,1)</f>
        <v>2.4786324786324787</v>
      </c>
      <c r="BN908" s="67">
        <f>(CI908-Driver!$F$205)/(Driver!$G$205-Driver!$F$205)*$BI$1</f>
        <v>2.7058823529411762</v>
      </c>
      <c r="BO908" s="67">
        <f>(CK908-Driver!$F$207)/(Driver!$G$207-Driver!$F$207)*$BI$1</f>
        <v>0.34126163391933811</v>
      </c>
      <c r="BP908" s="67">
        <f>(CM908-Driver!$F$208)/(Driver!$G$208-Driver!$F$208)*$BI$1</f>
        <v>0.57777777777777772</v>
      </c>
      <c r="BQ908" s="67">
        <f>(CL908-Driver!$F$209)/(Driver!$G$209-Driver!$F$209)*$BI$1</f>
        <v>0.78125</v>
      </c>
      <c r="BR908" s="28" t="s">
        <v>155</v>
      </c>
      <c r="BS908" s="8" t="s">
        <v>167</v>
      </c>
      <c r="BT908" s="9" t="s">
        <v>767</v>
      </c>
      <c r="BU908" s="10">
        <v>160</v>
      </c>
      <c r="BV908" s="9" t="s">
        <v>158</v>
      </c>
      <c r="BW908" s="10">
        <v>160</v>
      </c>
      <c r="BX908" s="10">
        <v>159.19999999999999</v>
      </c>
      <c r="BY908" s="10">
        <v>140</v>
      </c>
      <c r="BZ908" s="10">
        <v>145</v>
      </c>
      <c r="CA908" s="10">
        <v>121</v>
      </c>
      <c r="CB908" s="10">
        <v>65</v>
      </c>
      <c r="CC908" s="10">
        <v>106</v>
      </c>
      <c r="CD908" s="10">
        <v>11</v>
      </c>
      <c r="CE908" s="10">
        <v>1871</v>
      </c>
      <c r="CF908" s="10">
        <v>0.7</v>
      </c>
      <c r="CG908" s="10">
        <v>1318</v>
      </c>
      <c r="CH908" s="10">
        <v>159</v>
      </c>
      <c r="CI908" s="10">
        <v>79</v>
      </c>
      <c r="CJ908" s="10">
        <v>40</v>
      </c>
      <c r="CK908" s="10">
        <v>143</v>
      </c>
      <c r="CL908" s="10">
        <v>5</v>
      </c>
      <c r="CM908" s="10">
        <v>52</v>
      </c>
      <c r="CN908" s="10">
        <v>0.125</v>
      </c>
      <c r="CO908" s="10">
        <v>80</v>
      </c>
      <c r="CP908" s="10">
        <v>60</v>
      </c>
      <c r="CQ908" s="10">
        <v>63</v>
      </c>
      <c r="CR908" s="10">
        <v>9</v>
      </c>
      <c r="CS908" s="10">
        <v>12.8</v>
      </c>
      <c r="CT908" s="9" t="s">
        <v>349</v>
      </c>
      <c r="CU908" s="10"/>
      <c r="CV908" s="10"/>
      <c r="CW908" s="10"/>
      <c r="CX908" t="str">
        <f>INDEX('Data_Price '!AG$2:AG$1266,MATCH(Data!$DN908,'Data_Price '!$AT$2:$AT$1266,0))</f>
        <v>Head Worldcup Rebels e-SL White-Black 160 Ski Lady's Men</v>
      </c>
      <c r="CY908" t="str">
        <f>INDEX('Data_Price '!AH$2:AH$1266,MATCH(Data!$DN908,'Data_Price '!$AT$2:$AT$1266,0))</f>
        <v>! OutdoorXL.com</v>
      </c>
      <c r="CZ908">
        <f>INDEX('Data_Price '!AI$2:AI$1266,MATCH(Data!$DN908,'Data_Price '!$AT$2:$AT$1266,0))</f>
        <v>564.95000000000005</v>
      </c>
      <c r="DA908" t="str">
        <f>INDEX('Data_Price '!AJ$2:AJ$1266,MATCH(Data!$DN908,'Data_Price '!$AT$2:$AT$1266,0))</f>
        <v>https://tinyurl.com/yahr6vf4</v>
      </c>
      <c r="DB908" t="str">
        <f>INDEX('Data_Price '!AK$2:AK$1266,MATCH(Data!$DN908,'Data_Price '!$AT$2:$AT$1266,0))</f>
        <v>Head 2021 WC Rebels E-SL Skis w/Freeflex 14 Bindings</v>
      </c>
      <c r="DC908" t="str">
        <f>INDEX('Data_Price '!AL$2:AL$1266,MATCH(Data!$DN908,'Data_Price '!$AT$2:$AT$1266,0))</f>
        <v>Suburban Ski and Bike</v>
      </c>
      <c r="DD908">
        <f>INDEX('Data_Price '!AM$2:AM$1266,MATCH(Data!$DN908,'Data_Price '!$AT$2:$AT$1266,0))</f>
        <v>639.99</v>
      </c>
      <c r="DE908" t="str">
        <f>INDEX('Data_Price '!AN$2:AN$1266,MATCH(Data!$DN908,'Data_Price '!$AT$2:$AT$1266,0))</f>
        <v>https://tinyurl.com/ydywox26</v>
      </c>
      <c r="DF908" t="str">
        <f>INDEX('Data_Price '!AO$2:AO$1266,MATCH(Data!$DN908,'Data_Price '!$AT$2:$AT$1266,0))</f>
        <v>Head 2021 WC Rebels E-SL Skis w/Freeflex 14 Bindings</v>
      </c>
      <c r="DG908" t="str">
        <f>INDEX('Data_Price '!AP$2:AP$1266,MATCH(Data!$DN908,'Data_Price '!$AT$2:$AT$1266,0))</f>
        <v>Powder7 Ski Shop</v>
      </c>
      <c r="DH908">
        <f>INDEX('Data_Price '!AQ$2:AQ$1266,MATCH(Data!$DN908,'Data_Price '!$AT$2:$AT$1266,0))</f>
        <v>819</v>
      </c>
      <c r="DI908" t="str">
        <f>INDEX('Data_Price '!AR$2:AR$1266,MATCH(Data!$DN908,'Data_Price '!$AT$2:$AT$1266,0))</f>
        <v>https://tinyurl.com/y8dh3e3k</v>
      </c>
      <c r="DJ908" s="89" t="str">
        <f t="shared" si="550"/>
        <v>https://tinyurl.com/yahr6vf4</v>
      </c>
      <c r="DK908" s="89" t="str">
        <f t="shared" si="551"/>
        <v>https://tinyurl.com/ydywox26</v>
      </c>
      <c r="DL908" s="89" t="str">
        <f t="shared" si="552"/>
        <v>https://tinyurl.com/y8dh3e3k</v>
      </c>
      <c r="DM908" s="219" t="str">
        <f t="shared" si="553"/>
        <v>Worldcup Rebels I.SLR</v>
      </c>
      <c r="DN908" s="89" t="str">
        <f t="shared" si="554"/>
        <v xml:space="preserve"> HeadWorldcup Rebels I.SLR160 Unisex</v>
      </c>
      <c r="DO908" s="221"/>
    </row>
    <row r="909" spans="2:119" ht="15.6" customHeight="1">
      <c r="B909" s="219" t="b">
        <f t="array" ref="B909">IF(OR(ISERROR(K909:P909)),FALSE,TRUE)</f>
        <v>1</v>
      </c>
      <c r="C909" s="43" t="b">
        <f>OR(BR909=Driver!$G$50,Data!BR151=Driver!$H$50)</f>
        <v>1</v>
      </c>
      <c r="D909" s="43" t="b">
        <f>OR(BV909=Driver!$G$51,BV909=Driver!$H$51)</f>
        <v>0</v>
      </c>
      <c r="E909" s="43" t="b">
        <f>AND(BX909&gt;Driver!$F$54,BX909&lt;Driver!$G$54)</f>
        <v>0</v>
      </c>
      <c r="F909" s="43" t="b">
        <f>CL909&gt;Driver!$F$56</f>
        <v>1</v>
      </c>
      <c r="G909" s="43" t="b">
        <f>AND(CB909&gt;Driver!$F$55,CB909&lt;Driver!$G$55)</f>
        <v>0</v>
      </c>
      <c r="H909" s="43" t="b">
        <f t="shared" si="518"/>
        <v>0</v>
      </c>
      <c r="I909" s="43">
        <f t="shared" si="519"/>
        <v>0</v>
      </c>
      <c r="J909" s="43" t="b">
        <f t="array" ref="J909">NOT(OR(($H$9:$H$1273=TRUE)*($I$9:$I$1273&gt;0)*($BT$9:$BT$1273=BT909)*($K$9:$K$1273&gt;K909)))</f>
        <v>1</v>
      </c>
      <c r="K909" s="72">
        <f t="shared" si="520"/>
        <v>0.85900406182180777</v>
      </c>
      <c r="L909" s="72">
        <f t="shared" si="521"/>
        <v>0.88227241248830912</v>
      </c>
      <c r="M909" s="72">
        <f t="shared" si="522"/>
        <v>0.83573571115530643</v>
      </c>
      <c r="N909" s="72">
        <f t="shared" si="523"/>
        <v>0.93960593230853962</v>
      </c>
      <c r="O909" s="72">
        <f t="shared" si="524"/>
        <v>0.6605461006361586</v>
      </c>
      <c r="P909" s="72">
        <f t="shared" si="525"/>
        <v>0.90705510052122107</v>
      </c>
      <c r="Q909" s="72"/>
      <c r="R909" s="72"/>
      <c r="S909" s="72">
        <f t="shared" si="526"/>
        <v>0.41269259284012116</v>
      </c>
      <c r="T909" s="72">
        <f t="shared" si="527"/>
        <v>0.4849897715609286</v>
      </c>
      <c r="U909" s="72">
        <f t="shared" si="528"/>
        <v>0.76773954222872232</v>
      </c>
      <c r="V909" s="72">
        <f t="shared" si="529"/>
        <v>0.5514805594696669</v>
      </c>
      <c r="W909" s="72">
        <f t="shared" si="530"/>
        <v>0.81630140692640696</v>
      </c>
      <c r="X909" s="72">
        <f t="shared" si="531"/>
        <v>0.11772758751169085</v>
      </c>
      <c r="Y909" s="72">
        <f t="shared" si="532"/>
        <v>0.16426428884469355</v>
      </c>
      <c r="Z909" s="72">
        <f t="shared" si="533"/>
        <v>6.0394067691460399E-2</v>
      </c>
      <c r="AA909" s="72">
        <f t="shared" si="534"/>
        <v>0.33945389936384135</v>
      </c>
      <c r="AB909" s="72">
        <f t="shared" si="535"/>
        <v>9.2944899478778875E-2</v>
      </c>
      <c r="AC909" s="72"/>
      <c r="AD909" s="72"/>
      <c r="AE909" s="72">
        <f t="shared" si="536"/>
        <v>0.58730740715987884</v>
      </c>
      <c r="AF909" s="72">
        <f t="shared" si="537"/>
        <v>0.5150102284390714</v>
      </c>
      <c r="AG909" s="72">
        <f t="shared" si="538"/>
        <v>0.23226045777127763</v>
      </c>
      <c r="AH909" s="72">
        <f t="shared" si="539"/>
        <v>0.4485194405303331</v>
      </c>
      <c r="AI909" s="72">
        <f t="shared" si="540"/>
        <v>0.1836985930735931</v>
      </c>
      <c r="AJ909" s="72">
        <f>(AV909-Driver!$K$179)/(Driver!$L$179-Driver!$K$179)</f>
        <v>0.13649182177100957</v>
      </c>
      <c r="AK909" s="72">
        <f>(AW909-Driver!$K$180)/(Driver!$L$180-Driver!$K$180)</f>
        <v>0.15819413393185161</v>
      </c>
      <c r="AL909" s="72">
        <f>(AX909-Driver!$K$181)/(Driver!$L$181-Driver!$K$181)</f>
        <v>0.16208183140454058</v>
      </c>
      <c r="AM909" s="72">
        <f>(AY909-Driver!$K$182)/(Driver!$L$182-Driver!$K$182)</f>
        <v>0.10793112173320502</v>
      </c>
      <c r="AN909" s="72">
        <f>(AZ909-Driver!$K$183)/(Driver!$L$183-Driver!$K$183)</f>
        <v>0.16127450980392155</v>
      </c>
      <c r="AO909" s="72"/>
      <c r="AP909" s="72"/>
      <c r="AQ909" s="72">
        <f>(BC909-Driver!$K$188)/(Driver!$L$188-Driver!$K$188)</f>
        <v>3.269259284012118E-2</v>
      </c>
      <c r="AR909" s="72">
        <f>MIN((BD909-Driver!$K$189)/(Driver!$L$189-Driver!$K$189),100%)</f>
        <v>3.4989771560928619E-2</v>
      </c>
      <c r="AS909" s="72">
        <f>(BE909-Driver!$K$190)/(Driver!$L$190-Driver!$K$190)</f>
        <v>0.27773954222872238</v>
      </c>
      <c r="AT909" s="72">
        <f>(BF909-Driver!$K$191)/(Driver!$L$191-Driver!$K$191)</f>
        <v>6.1480559469666907E-2</v>
      </c>
      <c r="AU909" s="72">
        <f>(BG909-Driver!$K$192)/(Driver!$L$192-Driver!$K$192)</f>
        <v>6.6301406926406917E-2</v>
      </c>
      <c r="AV909" s="70">
        <f t="shared" si="541"/>
        <v>2.8727445394112059</v>
      </c>
      <c r="AW909" s="70">
        <f t="shared" si="542"/>
        <v>17.289312715740813</v>
      </c>
      <c r="AX909" s="70">
        <f t="shared" si="543"/>
        <v>2.4587364826408651</v>
      </c>
      <c r="AY909" s="70">
        <f>IFERROR(Driver!$K$19/Data!BH909/Data!BI909*Data!BK909*Data!BL909,"")</f>
        <v>0.13213989654000724</v>
      </c>
      <c r="AZ909" s="70">
        <f t="shared" si="544"/>
        <v>14.69843633655994</v>
      </c>
      <c r="BA909" s="70"/>
      <c r="BB909" s="70"/>
      <c r="BC909" s="70">
        <f t="shared" si="545"/>
        <v>16.957875181389063</v>
      </c>
      <c r="BD909" s="70">
        <f t="shared" si="546"/>
        <v>4.8173556690333301</v>
      </c>
      <c r="BE909" s="70">
        <f t="shared" si="547"/>
        <v>0.27786838536500108</v>
      </c>
      <c r="BF909" s="70">
        <f t="shared" si="548"/>
        <v>6.9437972667233305</v>
      </c>
      <c r="BG909" s="70">
        <f t="shared" si="549"/>
        <v>0.25105942234848483</v>
      </c>
      <c r="BH909" s="67">
        <f>MAX((CE909-Driver!$F$200)/(Driver!$G$200-Driver!$F$200)*$BI$1,1)</f>
        <v>2.4587364826408651</v>
      </c>
      <c r="BI909" s="67">
        <f>MAX($BI$1*(BY909-Driver!$F$201)/(Driver!$G$201-Driver!$F$201),1)</f>
        <v>5.9493670886075947</v>
      </c>
      <c r="BJ909" s="67">
        <f>(CB909-Driver!$F$206)/(Driver!$G$206-Driver!$F$206)*$BI$1</f>
        <v>3.4920634920634921</v>
      </c>
      <c r="BK909" s="67">
        <f>(CD909-Driver!$F$203)/(Driver!$G$203-Driver!$F$203)*$BI$1</f>
        <v>2.1559633027522933</v>
      </c>
      <c r="BL909" s="67">
        <f>MAX((CR909-Driver!$F$202)/(Driver!$G$202-Driver!$F$202)*$BI$1,1)</f>
        <v>4.4827586206896548</v>
      </c>
      <c r="BM909" s="67">
        <f>MAX((CH909-Driver!$F$204)/(Driver!$G$204-Driver!$F$204)*$BI$1,1)</f>
        <v>3.2905982905982905</v>
      </c>
      <c r="BN909" s="67">
        <f>(CI909-Driver!$F$205)/(Driver!$G$205-Driver!$F$205)*$BI$1</f>
        <v>2.4705882352941178</v>
      </c>
      <c r="BO909" s="67">
        <f>(CK909-Driver!$F$207)/(Driver!$G$207-Driver!$F$207)*$BI$1</f>
        <v>1.8821096173733196</v>
      </c>
      <c r="BP909" s="67">
        <f>(CM909-Driver!$F$208)/(Driver!$G$208-Driver!$F$208)*$BI$1</f>
        <v>2.2777777777777777</v>
      </c>
      <c r="BQ909" s="67">
        <f>(CL909-Driver!$F$209)/(Driver!$G$209-Driver!$F$209)*$BI$1</f>
        <v>2.03125</v>
      </c>
      <c r="BR909" s="28" t="s">
        <v>155</v>
      </c>
      <c r="BS909" s="8" t="s">
        <v>156</v>
      </c>
      <c r="BT909" s="9" t="s">
        <v>647</v>
      </c>
      <c r="BU909" s="10">
        <v>153</v>
      </c>
      <c r="BV909" s="9" t="s">
        <v>163</v>
      </c>
      <c r="BW909" s="10">
        <v>153</v>
      </c>
      <c r="BX909" s="10">
        <v>152</v>
      </c>
      <c r="BY909" s="10">
        <v>102</v>
      </c>
      <c r="BZ909" s="10">
        <v>126</v>
      </c>
      <c r="CA909" s="10">
        <v>120</v>
      </c>
      <c r="CB909" s="10">
        <v>86</v>
      </c>
      <c r="CC909" s="10">
        <v>103</v>
      </c>
      <c r="CD909" s="10">
        <v>14.1</v>
      </c>
      <c r="CE909" s="10">
        <v>1332</v>
      </c>
      <c r="CF909" s="10">
        <v>1.1000000000000001</v>
      </c>
      <c r="CG909" s="10">
        <v>1465</v>
      </c>
      <c r="CH909" s="10">
        <v>178</v>
      </c>
      <c r="CI909" s="10">
        <v>75</v>
      </c>
      <c r="CJ909" s="10">
        <v>49</v>
      </c>
      <c r="CK909" s="10">
        <v>292</v>
      </c>
      <c r="CL909" s="10">
        <v>13</v>
      </c>
      <c r="CM909" s="10">
        <v>205</v>
      </c>
      <c r="CN909" s="10">
        <v>0.27100000000000002</v>
      </c>
      <c r="CO909" s="10">
        <v>157</v>
      </c>
      <c r="CP909" s="10">
        <v>103</v>
      </c>
      <c r="CQ909" s="10">
        <v>135</v>
      </c>
      <c r="CR909" s="10">
        <v>2</v>
      </c>
      <c r="CS909" s="10">
        <v>8.5</v>
      </c>
      <c r="CT909" s="9" t="s">
        <v>188</v>
      </c>
      <c r="CU909" s="9" t="s">
        <v>185</v>
      </c>
      <c r="CV909" s="10"/>
      <c r="CW909" s="10"/>
      <c r="CX909" t="str">
        <f>INDEX('Data_Price '!AG$2:AG$1266,MATCH(Data!$DN909,'Data_Price '!$AT$2:$AT$1266,0))</f>
        <v>Atomic Maven 86 C Skis</v>
      </c>
      <c r="CY909" t="str">
        <f>INDEX('Data_Price '!AH$2:AH$1266,MATCH(Data!$DN909,'Data_Price '!$AT$2:$AT$1266,0))</f>
        <v>BlueZone Sports</v>
      </c>
      <c r="CZ909">
        <f>INDEX('Data_Price '!AI$2:AI$1266,MATCH(Data!$DN909,'Data_Price '!$AT$2:$AT$1266,0))</f>
        <v>399.99</v>
      </c>
      <c r="DA909" t="str">
        <f>INDEX('Data_Price '!AJ$2:AJ$1266,MATCH(Data!$DN909,'Data_Price '!$AT$2:$AT$1266,0))</f>
        <v>https://tinyurl.com/yaaxxuj9</v>
      </c>
      <c r="DB909" t="str">
        <f>INDEX('Data_Price '!AK$2:AK$1266,MATCH(Data!$DN909,'Data_Price '!$AT$2:$AT$1266,0))</f>
        <v>Atomic Maven 86 C Skis</v>
      </c>
      <c r="DC909" t="str">
        <f>INDEX('Data_Price '!AL$2:AL$1266,MATCH(Data!$DN909,'Data_Price '!$AT$2:$AT$1266,0))</f>
        <v>Hillcrest Ski &amp; Sports</v>
      </c>
      <c r="DD909">
        <f>INDEX('Data_Price '!AM$2:AM$1266,MATCH(Data!$DN909,'Data_Price '!$AT$2:$AT$1266,0))</f>
        <v>399.99</v>
      </c>
      <c r="DE909" t="str">
        <f>INDEX('Data_Price '!AN$2:AN$1266,MATCH(Data!$DN909,'Data_Price '!$AT$2:$AT$1266,0))</f>
        <v>https://tinyurl.com/yavx7k9y</v>
      </c>
      <c r="DF909" t="str">
        <f>INDEX('Data_Price '!AO$2:AO$1266,MATCH(Data!$DN909,'Data_Price '!$AT$2:$AT$1266,0))</f>
        <v>Atomic Maven 86 C Skis</v>
      </c>
      <c r="DG909" t="str">
        <f>INDEX('Data_Price '!AP$2:AP$1266,MATCH(Data!$DN909,'Data_Price '!$AT$2:$AT$1266,0))</f>
        <v>Peak Performance Ski Shop</v>
      </c>
      <c r="DH909">
        <f>INDEX('Data_Price '!AQ$2:AQ$1266,MATCH(Data!$DN909,'Data_Price '!$AT$2:$AT$1266,0))</f>
        <v>399.99</v>
      </c>
      <c r="DI909" t="str">
        <f>INDEX('Data_Price '!AR$2:AR$1266,MATCH(Data!$DN909,'Data_Price '!$AT$2:$AT$1266,0))</f>
        <v>https://tinyurl.com/yabnkat7</v>
      </c>
      <c r="DJ909" s="89" t="str">
        <f t="shared" si="550"/>
        <v>https://tinyurl.com/yaaxxuj9</v>
      </c>
      <c r="DK909" s="89" t="str">
        <f t="shared" si="551"/>
        <v>https://tinyurl.com/yavx7k9y</v>
      </c>
      <c r="DL909" s="89" t="str">
        <f t="shared" si="552"/>
        <v>https://tinyurl.com/yabnkat7</v>
      </c>
      <c r="DM909" s="219" t="str">
        <f t="shared" si="553"/>
        <v>Maven 86 C</v>
      </c>
      <c r="DN909" s="89" t="str">
        <f t="shared" si="554"/>
        <v xml:space="preserve"> AtomicMaven 86 C153 Women's</v>
      </c>
      <c r="DO909" s="221" t="s">
        <v>648</v>
      </c>
    </row>
    <row r="910" spans="2:119" ht="15.6" customHeight="1">
      <c r="B910" s="219" t="b">
        <f t="array" ref="B910">IF(OR(ISERROR(K910:P910)),FALSE,TRUE)</f>
        <v>1</v>
      </c>
      <c r="C910" s="43" t="b">
        <f>OR(BR910=Driver!$G$50,Data!BR496=Driver!$H$50)</f>
        <v>1</v>
      </c>
      <c r="D910" s="43" t="b">
        <f>OR(BV910=Driver!$G$51,BV910=Driver!$H$51)</f>
        <v>1</v>
      </c>
      <c r="E910" s="43" t="b">
        <f>AND(BX910&gt;Driver!$F$54,BX910&lt;Driver!$G$54)</f>
        <v>0</v>
      </c>
      <c r="F910" s="43" t="b">
        <f>CL910&gt;Driver!$F$56</f>
        <v>1</v>
      </c>
      <c r="G910" s="43" t="b">
        <f>AND(CB910&gt;Driver!$F$55,CB910&lt;Driver!$G$55)</f>
        <v>1</v>
      </c>
      <c r="H910" s="43" t="b">
        <f t="shared" si="518"/>
        <v>0</v>
      </c>
      <c r="I910" s="43">
        <f t="shared" si="519"/>
        <v>0</v>
      </c>
      <c r="J910" s="43" t="b">
        <f t="array" ref="J910">NOT(OR(($H$9:$H$1273=TRUE)*($I$9:$I$1273&gt;0)*($BT$9:$BT$1273=BT910)*($K$9:$K$1273&gt;K910)))</f>
        <v>1</v>
      </c>
      <c r="K910" s="72">
        <f t="shared" si="520"/>
        <v>0.7051195485783901</v>
      </c>
      <c r="L910" s="72">
        <f t="shared" si="521"/>
        <v>0.7223525170097167</v>
      </c>
      <c r="M910" s="72">
        <f t="shared" si="522"/>
        <v>0.68788658014706328</v>
      </c>
      <c r="N910" s="72">
        <f t="shared" si="523"/>
        <v>0.59748236309333702</v>
      </c>
      <c r="O910" s="72">
        <f t="shared" si="524"/>
        <v>0.68042202035273425</v>
      </c>
      <c r="P910" s="72">
        <f t="shared" si="525"/>
        <v>0.78575535699511867</v>
      </c>
      <c r="Q910" s="72"/>
      <c r="R910" s="72"/>
      <c r="S910" s="72">
        <f t="shared" si="526"/>
        <v>0.58868948761899709</v>
      </c>
      <c r="T910" s="72">
        <f t="shared" si="527"/>
        <v>0.48346115387222477</v>
      </c>
      <c r="U910" s="72">
        <f t="shared" si="528"/>
        <v>0.55478949409557743</v>
      </c>
      <c r="V910" s="72">
        <f t="shared" si="529"/>
        <v>0.54321251952899918</v>
      </c>
      <c r="W910" s="72">
        <f t="shared" si="530"/>
        <v>0.77490823667596531</v>
      </c>
      <c r="X910" s="72">
        <f t="shared" si="531"/>
        <v>0.27764748299028325</v>
      </c>
      <c r="Y910" s="72">
        <f t="shared" si="532"/>
        <v>0.31211341985293667</v>
      </c>
      <c r="Z910" s="72">
        <f t="shared" si="533"/>
        <v>0.40251763690666298</v>
      </c>
      <c r="AA910" s="72">
        <f t="shared" si="534"/>
        <v>0.31957797964726575</v>
      </c>
      <c r="AB910" s="72">
        <f t="shared" si="535"/>
        <v>0.21424464300488133</v>
      </c>
      <c r="AC910" s="72"/>
      <c r="AD910" s="72"/>
      <c r="AE910" s="72">
        <f t="shared" si="536"/>
        <v>0.41131051238100291</v>
      </c>
      <c r="AF910" s="72">
        <f t="shared" si="537"/>
        <v>0.51653884612777523</v>
      </c>
      <c r="AG910" s="72">
        <f t="shared" si="538"/>
        <v>0.44521050590442257</v>
      </c>
      <c r="AH910" s="72">
        <f t="shared" si="539"/>
        <v>0.45678748047100076</v>
      </c>
      <c r="AI910" s="72">
        <f t="shared" si="540"/>
        <v>0.22509176332403466</v>
      </c>
      <c r="AJ910" s="72">
        <f>(AV910-Driver!$K$179)/(Driver!$L$179-Driver!$K$179)</f>
        <v>0.53186689227298367</v>
      </c>
      <c r="AK910" s="72">
        <f>(AW910-Driver!$K$180)/(Driver!$L$180-Driver!$K$180)</f>
        <v>0.47730793728301513</v>
      </c>
      <c r="AL910" s="72">
        <f>(AX910-Driver!$K$181)/(Driver!$L$181-Driver!$K$181)</f>
        <v>0.50420540061974317</v>
      </c>
      <c r="AM910" s="72">
        <f>(AY910-Driver!$K$182)/(Driver!$L$182-Driver!$K$182)</f>
        <v>0.12780704144978064</v>
      </c>
      <c r="AN910" s="72">
        <f>(AZ910-Driver!$K$183)/(Driver!$L$183-Driver!$K$183)</f>
        <v>0.46846405228758176</v>
      </c>
      <c r="AO910" s="72"/>
      <c r="AP910" s="72"/>
      <c r="AQ910" s="72">
        <f>(BC910-Driver!$K$188)/(Driver!$L$188-Driver!$K$188)</f>
        <v>0.20868948761899708</v>
      </c>
      <c r="AR910" s="72">
        <f>MIN((BD910-Driver!$K$189)/(Driver!$L$189-Driver!$K$189),100%)</f>
        <v>3.3461153872224828E-2</v>
      </c>
      <c r="AS910" s="72">
        <f>(BE910-Driver!$K$190)/(Driver!$L$190-Driver!$K$190)</f>
        <v>6.4789494095577424E-2</v>
      </c>
      <c r="AT910" s="72">
        <f>(BF910-Driver!$K$191)/(Driver!$L$191-Driver!$K$191)</f>
        <v>5.321251952899924E-2</v>
      </c>
      <c r="AU910" s="72">
        <f>(BG910-Driver!$K$192)/(Driver!$L$192-Driver!$K$192)</f>
        <v>2.4908236675965346E-2</v>
      </c>
      <c r="AV910" s="70">
        <f t="shared" si="541"/>
        <v>11.194207027540362</v>
      </c>
      <c r="AW910" s="70">
        <f t="shared" si="542"/>
        <v>48.3897804882603</v>
      </c>
      <c r="AX910" s="70">
        <f t="shared" si="543"/>
        <v>5.5378486055776888</v>
      </c>
      <c r="AY910" s="70">
        <f>IFERROR(Driver!$K$19/Data!BH910/Data!BI910*Data!BK910*Data!BL910,"")</f>
        <v>0.15647395267515979</v>
      </c>
      <c r="AZ910" s="70">
        <f t="shared" si="544"/>
        <v>42.69545793000745</v>
      </c>
      <c r="BA910" s="70"/>
      <c r="BB910" s="70"/>
      <c r="BC910" s="70">
        <f t="shared" si="545"/>
        <v>108.24868801375477</v>
      </c>
      <c r="BD910" s="70">
        <f t="shared" si="546"/>
        <v>4.6820757121333161</v>
      </c>
      <c r="BE910" s="70">
        <f t="shared" si="547"/>
        <v>6.4956325123588163E-2</v>
      </c>
      <c r="BF910" s="70">
        <f t="shared" si="548"/>
        <v>6.0099802416929542</v>
      </c>
      <c r="BG910" s="70">
        <f t="shared" si="549"/>
        <v>9.431847379239465E-2</v>
      </c>
      <c r="BH910" s="67">
        <f>MAX((CE910-Driver!$F$200)/(Driver!$G$200-Driver!$F$200)*$BI$1,1)</f>
        <v>5.5378486055776888</v>
      </c>
      <c r="BI910" s="67">
        <f>MAX($BI$1*(BY910-Driver!$F$201)/(Driver!$G$201-Driver!$F$201),1)</f>
        <v>7.7215189873417724</v>
      </c>
      <c r="BJ910" s="67">
        <f>(CB910-Driver!$F$206)/(Driver!$G$206-Driver!$F$206)*$BI$1</f>
        <v>6.5079365079365079</v>
      </c>
      <c r="BK910" s="67">
        <f>(CD910-Driver!$F$203)/(Driver!$G$203-Driver!$F$203)*$BI$1</f>
        <v>6.4678899082568817</v>
      </c>
      <c r="BL910" s="67">
        <f>MAX((CR910-Driver!$F$202)/(Driver!$G$202-Driver!$F$202)*$BI$1,1)</f>
        <v>5.1724137931034484</v>
      </c>
      <c r="BM910" s="67">
        <f>MAX((CH910-Driver!$F$204)/(Driver!$G$204-Driver!$F$204)*$BI$1,1)</f>
        <v>6.8803418803418808</v>
      </c>
      <c r="BN910" s="67">
        <f>(CI910-Driver!$F$205)/(Driver!$G$205-Driver!$F$205)*$BI$1</f>
        <v>5.5294117647058822</v>
      </c>
      <c r="BO910" s="67">
        <f>(CK910-Driver!$F$207)/(Driver!$G$207-Driver!$F$207)*$BI$1</f>
        <v>2.3681489141675285</v>
      </c>
      <c r="BP910" s="67">
        <f>(CM910-Driver!$F$208)/(Driver!$G$208-Driver!$F$208)*$BI$1</f>
        <v>2.5222222222222221</v>
      </c>
      <c r="BQ910" s="67">
        <f>(CL910-Driver!$F$209)/(Driver!$G$209-Driver!$F$209)*$BI$1</f>
        <v>3.59375</v>
      </c>
      <c r="BR910" s="28" t="s">
        <v>155</v>
      </c>
      <c r="BS910" s="8" t="s">
        <v>205</v>
      </c>
      <c r="BT910" s="9" t="s">
        <v>277</v>
      </c>
      <c r="BU910" s="10">
        <v>188</v>
      </c>
      <c r="BV910" s="9" t="s">
        <v>158</v>
      </c>
      <c r="BW910" s="10">
        <v>188</v>
      </c>
      <c r="BX910" s="10">
        <v>186.5</v>
      </c>
      <c r="BY910" s="10">
        <v>130</v>
      </c>
      <c r="BZ910" s="10">
        <v>156</v>
      </c>
      <c r="CA910" s="10">
        <v>133</v>
      </c>
      <c r="CB910" s="10">
        <v>105</v>
      </c>
      <c r="CC910" s="10">
        <v>123</v>
      </c>
      <c r="CD910" s="10">
        <v>23.5</v>
      </c>
      <c r="CE910" s="10">
        <v>1873</v>
      </c>
      <c r="CF910" s="10">
        <v>1.1399999999999999</v>
      </c>
      <c r="CG910" s="10">
        <v>2138</v>
      </c>
      <c r="CH910" s="10">
        <v>262</v>
      </c>
      <c r="CI910" s="10">
        <v>127</v>
      </c>
      <c r="CJ910" s="10">
        <v>55</v>
      </c>
      <c r="CK910" s="10">
        <v>339</v>
      </c>
      <c r="CL910" s="10">
        <v>23</v>
      </c>
      <c r="CM910" s="10">
        <v>227</v>
      </c>
      <c r="CN910" s="10">
        <v>0.42</v>
      </c>
      <c r="CO910" s="10">
        <v>191</v>
      </c>
      <c r="CP910" s="10">
        <v>114</v>
      </c>
      <c r="CQ910" s="10">
        <v>148</v>
      </c>
      <c r="CR910" s="10">
        <v>4</v>
      </c>
      <c r="CS910" s="10">
        <v>11.7</v>
      </c>
      <c r="CT910" s="9" t="s">
        <v>169</v>
      </c>
      <c r="CU910" s="9" t="s">
        <v>185</v>
      </c>
      <c r="CV910" s="10"/>
      <c r="CW910" s="10"/>
      <c r="CX910" t="str">
        <f>INDEX('Data_Price '!AG$2:AG$1266,MATCH(Data!$DN910,'Data_Price '!$AT$2:$AT$1266,0))</f>
        <v>Faction Agent 3.0 Skis 2022</v>
      </c>
      <c r="CY910" t="str">
        <f>INDEX('Data_Price '!AH$2:AH$1266,MATCH(Data!$DN910,'Data_Price '!$AT$2:$AT$1266,0))</f>
        <v>Snowcountry.eu</v>
      </c>
      <c r="CZ910">
        <f>INDEX('Data_Price '!AI$2:AI$1266,MATCH(Data!$DN910,'Data_Price '!$AT$2:$AT$1266,0))</f>
        <v>515.29999999999995</v>
      </c>
      <c r="DA910" t="str">
        <f>INDEX('Data_Price '!AJ$2:AJ$1266,MATCH(Data!$DN910,'Data_Price '!$AT$2:$AT$1266,0))</f>
        <v>https://tinyurl.com/yaa73bkh</v>
      </c>
      <c r="DB910" t="str">
        <f>INDEX('Data_Price '!AK$2:AK$1266,MATCH(Data!$DN910,'Data_Price '!$AT$2:$AT$1266,0))</f>
        <v>Faction Agent 3.0 Skis 2022</v>
      </c>
      <c r="DC910" t="str">
        <f>INDEX('Data_Price '!AL$2:AL$1266,MATCH(Data!$DN910,'Data_Price '!$AT$2:$AT$1266,0))</f>
        <v>Backcountry.com</v>
      </c>
      <c r="DD910">
        <f>INDEX('Data_Price '!AM$2:AM$1266,MATCH(Data!$DN910,'Data_Price '!$AT$2:$AT$1266,0))</f>
        <v>524.26</v>
      </c>
      <c r="DE910" t="str">
        <f>INDEX('Data_Price '!AN$2:AN$1266,MATCH(Data!$DN910,'Data_Price '!$AT$2:$AT$1266,0))</f>
        <v>https://tinyurl.com/ybm7hmhe</v>
      </c>
      <c r="DF910" t="str">
        <f>INDEX('Data_Price '!AO$2:AO$1266,MATCH(Data!$DN910,'Data_Price '!$AT$2:$AT$1266,0))</f>
        <v>Faction Agent 3.0 Skis 2022</v>
      </c>
      <c r="DG910" t="str">
        <f>INDEX('Data_Price '!AP$2:AP$1266,MATCH(Data!$DN910,'Data_Price '!$AT$2:$AT$1266,0))</f>
        <v>Powder7 Ski Shop</v>
      </c>
      <c r="DH910">
        <f>INDEX('Data_Price '!AQ$2:AQ$1266,MATCH(Data!$DN910,'Data_Price '!$AT$2:$AT$1266,0))</f>
        <v>599.99</v>
      </c>
      <c r="DI910" t="str">
        <f>INDEX('Data_Price '!AR$2:AR$1266,MATCH(Data!$DN910,'Data_Price '!$AT$2:$AT$1266,0))</f>
        <v>https://tinyurl.com/y72tlbv9</v>
      </c>
      <c r="DJ910" s="89" t="str">
        <f t="shared" si="550"/>
        <v>https://tinyurl.com/yaa73bkh</v>
      </c>
      <c r="DK910" s="89" t="str">
        <f t="shared" si="551"/>
        <v>https://tinyurl.com/ybm7hmhe</v>
      </c>
      <c r="DL910" s="89" t="str">
        <f t="shared" si="552"/>
        <v>https://tinyurl.com/y72tlbv9</v>
      </c>
      <c r="DM910" s="219" t="str">
        <f t="shared" si="553"/>
        <v>Agent 3.0</v>
      </c>
      <c r="DN910" s="89" t="str">
        <f t="shared" si="554"/>
        <v xml:space="preserve"> FactionAgent 3.0188 Unisex</v>
      </c>
      <c r="DO910" s="221" t="s">
        <v>278</v>
      </c>
    </row>
    <row r="911" spans="2:119" ht="15.6" customHeight="1">
      <c r="B911" s="219" t="b">
        <f t="array" ref="B911">IF(OR(ISERROR(K911:P911)),FALSE,TRUE)</f>
        <v>1</v>
      </c>
      <c r="C911" s="43" t="b">
        <f>OR(BR911=Driver!$G$50,Data!BR1001=Driver!$H$50)</f>
        <v>1</v>
      </c>
      <c r="D911" s="43" t="b">
        <f>OR(BV911=Driver!$G$51,BV911=Driver!$H$51)</f>
        <v>0</v>
      </c>
      <c r="E911" s="43" t="b">
        <f>AND(BX911&gt;Driver!$F$54,BX911&lt;Driver!$G$54)</f>
        <v>0</v>
      </c>
      <c r="F911" s="43" t="b">
        <f>CL911&gt;Driver!$F$56</f>
        <v>1</v>
      </c>
      <c r="G911" s="43" t="b">
        <f>AND(CB911&gt;Driver!$F$55,CB911&lt;Driver!$G$55)</f>
        <v>0</v>
      </c>
      <c r="H911" s="43" t="b">
        <f t="shared" si="518"/>
        <v>0</v>
      </c>
      <c r="I911" s="43">
        <f t="shared" si="519"/>
        <v>0</v>
      </c>
      <c r="J911" s="43" t="b">
        <f t="array" ref="J911">NOT(OR(($H$9:$H$1273=TRUE)*($I$9:$I$1273&gt;0)*($BT$9:$BT$1273=BT911)*($K$9:$K$1273&gt;K911)))</f>
        <v>1</v>
      </c>
      <c r="K911" s="72">
        <f t="shared" si="520"/>
        <v>0.7812705413151293</v>
      </c>
      <c r="L911" s="72">
        <f t="shared" si="521"/>
        <v>0.80476052786982555</v>
      </c>
      <c r="M911" s="72">
        <f t="shared" si="522"/>
        <v>0.75778055476043304</v>
      </c>
      <c r="N911" s="72">
        <f t="shared" si="523"/>
        <v>0.8441148806421892</v>
      </c>
      <c r="O911" s="72">
        <f t="shared" si="524"/>
        <v>0.56212266351004569</v>
      </c>
      <c r="P911" s="72">
        <f t="shared" si="525"/>
        <v>0.86710412012906424</v>
      </c>
      <c r="Q911" s="72"/>
      <c r="R911" s="72"/>
      <c r="S911" s="72">
        <f t="shared" si="526"/>
        <v>0.38354259524055367</v>
      </c>
      <c r="T911" s="72">
        <f t="shared" si="527"/>
        <v>0.55000000000000004</v>
      </c>
      <c r="U911" s="72">
        <f t="shared" si="528"/>
        <v>0.51</v>
      </c>
      <c r="V911" s="72">
        <f t="shared" si="529"/>
        <v>0.53687436884600026</v>
      </c>
      <c r="W911" s="72">
        <f t="shared" si="530"/>
        <v>0.77862244467564601</v>
      </c>
      <c r="X911" s="72">
        <f t="shared" si="531"/>
        <v>0.19523947213017445</v>
      </c>
      <c r="Y911" s="72">
        <f t="shared" si="532"/>
        <v>0.24221944523956698</v>
      </c>
      <c r="Z911" s="72">
        <f t="shared" si="533"/>
        <v>0.15588511935781085</v>
      </c>
      <c r="AA911" s="72">
        <f t="shared" si="534"/>
        <v>0.43787733648995431</v>
      </c>
      <c r="AB911" s="72">
        <f t="shared" si="535"/>
        <v>0.13289587987093573</v>
      </c>
      <c r="AC911" s="72"/>
      <c r="AD911" s="72"/>
      <c r="AE911" s="72">
        <f t="shared" si="536"/>
        <v>0.61645740475944633</v>
      </c>
      <c r="AF911" s="72">
        <f t="shared" si="537"/>
        <v>0.44999999999999996</v>
      </c>
      <c r="AG911" s="72">
        <f t="shared" si="538"/>
        <v>0.49</v>
      </c>
      <c r="AH911" s="72">
        <f t="shared" si="539"/>
        <v>0.46312563115399979</v>
      </c>
      <c r="AI911" s="72">
        <f t="shared" si="540"/>
        <v>0.22137755532435396</v>
      </c>
      <c r="AJ911" s="72">
        <f>(AV911-Driver!$K$179)/(Driver!$L$179-Driver!$K$179)</f>
        <v>5.8979937152525981E-2</v>
      </c>
      <c r="AK911" s="72">
        <f>(AW911-Driver!$K$180)/(Driver!$L$180-Driver!$K$180)</f>
        <v>0.12841559791833396</v>
      </c>
      <c r="AL911" s="72">
        <f>(AX911-Driver!$K$181)/(Driver!$L$181-Driver!$K$181)</f>
        <v>0.25757288307089105</v>
      </c>
      <c r="AM911" s="72">
        <f>(AY911-Driver!$K$182)/(Driver!$L$182-Driver!$K$182)</f>
        <v>9.5076846070920578E-3</v>
      </c>
      <c r="AN911" s="72">
        <f>(AZ911-Driver!$K$183)/(Driver!$L$183-Driver!$K$183)</f>
        <v>0.12132352941176469</v>
      </c>
      <c r="AO911" s="72"/>
      <c r="AP911" s="72"/>
      <c r="AQ911" s="72">
        <f>(BC911-Driver!$K$188)/(Driver!$L$188-Driver!$K$188)</f>
        <v>3.542595240553639E-3</v>
      </c>
      <c r="AR911" s="72">
        <f>MIN((BD911-Driver!$K$189)/(Driver!$L$189-Driver!$K$189),100%)</f>
        <v>1</v>
      </c>
      <c r="AS911" s="72">
        <f>(BE911-Driver!$K$190)/(Driver!$L$190-Driver!$K$190)</f>
        <v>1</v>
      </c>
      <c r="AT911" s="72">
        <f>(BF911-Driver!$K$191)/(Driver!$L$191-Driver!$K$191)</f>
        <v>4.6874368846000235E-2</v>
      </c>
      <c r="AU911" s="72">
        <f>(BG911-Driver!$K$192)/(Driver!$L$192-Driver!$K$192)</f>
        <v>2.8622444675646033E-2</v>
      </c>
      <c r="AV911" s="70">
        <f t="shared" si="541"/>
        <v>1.2413512413512413</v>
      </c>
      <c r="AW911" s="70">
        <f t="shared" si="542"/>
        <v>14.387130516551904</v>
      </c>
      <c r="AX911" s="70">
        <f t="shared" si="543"/>
        <v>3.3181559476380196</v>
      </c>
      <c r="AY911" s="70">
        <f>IFERROR(Driver!$K$19/Data!BH911/Data!BI911*Data!BK911*Data!BL911,"")</f>
        <v>1.1640242778368618E-2</v>
      </c>
      <c r="AZ911" s="70">
        <f t="shared" si="544"/>
        <v>11.057334326135516</v>
      </c>
      <c r="BA911" s="70"/>
      <c r="BB911" s="70"/>
      <c r="BC911" s="70">
        <f t="shared" si="545"/>
        <v>1.8375687789977351</v>
      </c>
      <c r="BD911" s="70">
        <f t="shared" si="546"/>
        <v>116.06665997372139</v>
      </c>
      <c r="BE911" s="70">
        <f t="shared" si="547"/>
        <v>1</v>
      </c>
      <c r="BF911" s="70">
        <f t="shared" si="548"/>
        <v>5.294130650076875</v>
      </c>
      <c r="BG911" s="70">
        <f t="shared" si="549"/>
        <v>0.10838283468773725</v>
      </c>
      <c r="BH911" s="67">
        <f>MAX((CE911-Driver!$F$200)/(Driver!$G$200-Driver!$F$200)*$BI$1,1)</f>
        <v>3.3181559476380196</v>
      </c>
      <c r="BI911" s="67">
        <f>MAX($BI$1*(BY911-Driver!$F$201)/(Driver!$G$201-Driver!$F$201),1)</f>
        <v>6.962025316455696</v>
      </c>
      <c r="BJ911" s="67">
        <f>(CB911-Driver!$F$206)/(Driver!$G$206-Driver!$F$206)*$BI$1</f>
        <v>1.9047619047619047</v>
      </c>
      <c r="BK911" s="67">
        <f>(CD911-Driver!$F$203)/(Driver!$G$203-Driver!$F$203)*$BI$1</f>
        <v>0.22935779816513763</v>
      </c>
      <c r="BL911" s="67">
        <f>MAX((CR911-Driver!$F$202)/(Driver!$G$202-Driver!$F$202)*$BI$1,1)</f>
        <v>5.8620689655172411</v>
      </c>
      <c r="BM911" s="67">
        <f>MAX((CH911-Driver!$F$204)/(Driver!$G$204-Driver!$F$204)*$BI$1,1)</f>
        <v>2.6068376068376069</v>
      </c>
      <c r="BN911" s="67">
        <f>(CI911-Driver!$F$205)/(Driver!$G$205-Driver!$F$205)*$BI$1</f>
        <v>1.588235294117647</v>
      </c>
      <c r="BO911" s="67">
        <f>(CK911-Driver!$F$207)/(Driver!$G$207-Driver!$F$207)*$BI$1</f>
        <v>0.78593588417786964</v>
      </c>
      <c r="BP911" s="67">
        <f>(CM911-Driver!$F$208)/(Driver!$G$208-Driver!$F$208)*$BI$1</f>
        <v>0.81111111111111112</v>
      </c>
      <c r="BQ911" s="67">
        <f>(CL911-Driver!$F$209)/(Driver!$G$209-Driver!$F$209)*$BI$1</f>
        <v>0.9375</v>
      </c>
      <c r="BR911" s="28" t="s">
        <v>155</v>
      </c>
      <c r="BS911" s="8" t="s">
        <v>172</v>
      </c>
      <c r="BT911" s="9" t="s">
        <v>764</v>
      </c>
      <c r="BU911" s="10">
        <v>144</v>
      </c>
      <c r="BV911" s="9" t="s">
        <v>163</v>
      </c>
      <c r="BW911" s="10">
        <v>144</v>
      </c>
      <c r="BX911" s="10">
        <v>144.30000000000001</v>
      </c>
      <c r="BY911" s="10">
        <v>118</v>
      </c>
      <c r="BZ911" s="10">
        <v>129</v>
      </c>
      <c r="CA911" s="10">
        <v>123</v>
      </c>
      <c r="CB911" s="10">
        <v>76</v>
      </c>
      <c r="CC911" s="10">
        <v>109</v>
      </c>
      <c r="CD911" s="10">
        <v>9.9</v>
      </c>
      <c r="CE911" s="10">
        <v>1483</v>
      </c>
      <c r="CF911" s="10">
        <v>0.89</v>
      </c>
      <c r="CG911" s="10">
        <v>1325</v>
      </c>
      <c r="CH911" s="10">
        <v>162</v>
      </c>
      <c r="CI911" s="10">
        <v>60</v>
      </c>
      <c r="CJ911" s="10">
        <v>38</v>
      </c>
      <c r="CK911" s="10">
        <v>186</v>
      </c>
      <c r="CL911" s="10">
        <v>6</v>
      </c>
      <c r="CM911" s="10">
        <v>73</v>
      </c>
      <c r="CN911" s="10">
        <v>0.157</v>
      </c>
      <c r="CO911" s="10">
        <v>72</v>
      </c>
      <c r="CP911" s="10">
        <v>83</v>
      </c>
      <c r="CQ911" s="10">
        <v>114</v>
      </c>
      <c r="CR911" s="10">
        <v>6</v>
      </c>
      <c r="CS911" s="10">
        <v>8</v>
      </c>
      <c r="CT911" s="9" t="s">
        <v>349</v>
      </c>
      <c r="CU911" s="9" t="s">
        <v>231</v>
      </c>
      <c r="CV911" s="10"/>
      <c r="CW911" s="10"/>
      <c r="CX911" t="str">
        <f>INDEX('Data_Price '!AG$2:AG$1266,MATCH(Data!$DN911,'Data_Price '!$AT$2:$AT$1266,0))</f>
        <v>Rossignol Experience 76 Skis w/ Look Xpress 10 GW Bindings</v>
      </c>
      <c r="CY911" t="str">
        <f>INDEX('Data_Price '!AH$2:AH$1266,MATCH(Data!$DN911,'Data_Price '!$AT$2:$AT$1266,0))</f>
        <v>The-House.com</v>
      </c>
      <c r="CZ911">
        <f>INDEX('Data_Price '!AI$2:AI$1266,MATCH(Data!$DN911,'Data_Price '!$AT$2:$AT$1266,0))</f>
        <v>319.95</v>
      </c>
      <c r="DA911" t="str">
        <f>INDEX('Data_Price '!AJ$2:AJ$1266,MATCH(Data!$DN911,'Data_Price '!$AT$2:$AT$1266,0))</f>
        <v>https://tinyurl.com/y7dbfsy3</v>
      </c>
      <c r="DB911" t="str">
        <f>INDEX('Data_Price '!AK$2:AK$1266,MATCH(Data!$DN911,'Data_Price '!$AT$2:$AT$1266,0))</f>
        <v>Rossignol Experience 76 Skis with Xpress 10 GW Bindings 2022 Size 144cm for Men</v>
      </c>
      <c r="DC911" t="str">
        <f>INDEX('Data_Price '!AL$2:AL$1266,MATCH(Data!$DN911,'Data_Price '!$AT$2:$AT$1266,0))</f>
        <v>eBay - asogear</v>
      </c>
      <c r="DD911">
        <f>INDEX('Data_Price '!AM$2:AM$1266,MATCH(Data!$DN911,'Data_Price '!$AT$2:$AT$1266,0))</f>
        <v>349.99</v>
      </c>
      <c r="DE911" t="str">
        <f>INDEX('Data_Price '!AN$2:AN$1266,MATCH(Data!$DN911,'Data_Price '!$AT$2:$AT$1266,0))</f>
        <v>https://tinyurl.com/y8z2dnlp</v>
      </c>
      <c r="DF911" t="str">
        <f>INDEX('Data_Price '!AO$2:AO$1266,MATCH(Data!$DN911,'Data_Price '!$AT$2:$AT$1266,0))</f>
        <v>Rossignol Experience 76 Skis w/ Xpress 10 Bindings</v>
      </c>
      <c r="DG911" t="str">
        <f>INDEX('Data_Price '!AP$2:AP$1266,MATCH(Data!$DN911,'Data_Price '!$AT$2:$AT$1266,0))</f>
        <v>eBay - grassisport</v>
      </c>
      <c r="DH911">
        <f>INDEX('Data_Price '!AQ$2:AQ$1266,MATCH(Data!$DN911,'Data_Price '!$AT$2:$AT$1266,0))</f>
        <v>403.48</v>
      </c>
      <c r="DI911" t="str">
        <f>INDEX('Data_Price '!AR$2:AR$1266,MATCH(Data!$DN911,'Data_Price '!$AT$2:$AT$1266,0))</f>
        <v>https://tinyurl.com/y8oupash</v>
      </c>
      <c r="DJ911" s="89" t="str">
        <f t="shared" si="550"/>
        <v>https://tinyurl.com/y7dbfsy3</v>
      </c>
      <c r="DK911" s="89" t="str">
        <f t="shared" si="551"/>
        <v>https://tinyurl.com/y8z2dnlp</v>
      </c>
      <c r="DL911" s="89" t="str">
        <f t="shared" si="552"/>
        <v>https://tinyurl.com/y8oupash</v>
      </c>
      <c r="DM911" s="219" t="str">
        <f t="shared" si="553"/>
        <v>Experience 76 W</v>
      </c>
      <c r="DN911" s="89" t="str">
        <f t="shared" si="554"/>
        <v xml:space="preserve"> RossignolExperience 76 W144 Women's</v>
      </c>
      <c r="DO911" s="221"/>
    </row>
    <row r="912" spans="2:119" ht="15.6" customHeight="1">
      <c r="B912" s="219" t="b">
        <f t="array" ref="B912">IF(OR(ISERROR(K912:P912)),FALSE,TRUE)</f>
        <v>1</v>
      </c>
      <c r="C912" s="43" t="b">
        <f>OR(BR912=Driver!$G$50,Data!BR653=Driver!$H$50)</f>
        <v>1</v>
      </c>
      <c r="D912" s="43" t="b">
        <f>OR(BV912=Driver!$G$51,BV912=Driver!$H$51)</f>
        <v>1</v>
      </c>
      <c r="E912" s="43" t="b">
        <f>AND(BX912&gt;Driver!$F$54,BX912&lt;Driver!$G$54)</f>
        <v>0</v>
      </c>
      <c r="F912" s="43" t="b">
        <f>CL912&gt;Driver!$F$56</f>
        <v>1</v>
      </c>
      <c r="G912" s="43" t="b">
        <f>AND(CB912&gt;Driver!$F$55,CB912&lt;Driver!$G$55)</f>
        <v>0</v>
      </c>
      <c r="H912" s="43" t="b">
        <f t="shared" si="518"/>
        <v>0</v>
      </c>
      <c r="I912" s="43">
        <f t="shared" si="519"/>
        <v>0</v>
      </c>
      <c r="J912" s="43" t="b">
        <f t="array" ref="J912">NOT(OR(($H$9:$H$1273=TRUE)*($I$9:$I$1273&gt;0)*($BT$9:$BT$1273=BT912)*($K$9:$K$1273&gt;K912)))</f>
        <v>1</v>
      </c>
      <c r="K912" s="72">
        <f t="shared" si="520"/>
        <v>0.81545174011694732</v>
      </c>
      <c r="L912" s="72">
        <f t="shared" si="521"/>
        <v>0.91820827583534004</v>
      </c>
      <c r="M912" s="72">
        <f t="shared" si="522"/>
        <v>0.7126952043985546</v>
      </c>
      <c r="N912" s="72">
        <f t="shared" si="523"/>
        <v>0.65502995052140245</v>
      </c>
      <c r="O912" s="72">
        <f t="shared" si="524"/>
        <v>0.60667866672820359</v>
      </c>
      <c r="P912" s="72">
        <f t="shared" si="525"/>
        <v>0.87637699594605778</v>
      </c>
      <c r="Q912" s="72"/>
      <c r="R912" s="72"/>
      <c r="S912" s="72">
        <f t="shared" si="526"/>
        <v>0.4048120491641416</v>
      </c>
      <c r="T912" s="72">
        <f t="shared" si="527"/>
        <v>0.75227124584740734</v>
      </c>
      <c r="U912" s="72">
        <f t="shared" si="528"/>
        <v>0.51</v>
      </c>
      <c r="V912" s="72">
        <f t="shared" si="529"/>
        <v>0.49494527514904918</v>
      </c>
      <c r="W912" s="72">
        <f t="shared" si="530"/>
        <v>0.76438107953461754</v>
      </c>
      <c r="X912" s="72">
        <f t="shared" si="531"/>
        <v>8.179172416465999E-2</v>
      </c>
      <c r="Y912" s="72">
        <f t="shared" si="532"/>
        <v>0.2873047956014454</v>
      </c>
      <c r="Z912" s="72">
        <f t="shared" si="533"/>
        <v>0.34497004947859755</v>
      </c>
      <c r="AA912" s="72">
        <f t="shared" si="534"/>
        <v>0.39332133327179641</v>
      </c>
      <c r="AB912" s="72">
        <f t="shared" si="535"/>
        <v>0.12362300405394225</v>
      </c>
      <c r="AC912" s="72"/>
      <c r="AD912" s="72"/>
      <c r="AE912" s="72">
        <f t="shared" si="536"/>
        <v>0.5951879508358584</v>
      </c>
      <c r="AF912" s="72">
        <f t="shared" si="537"/>
        <v>0.24772875415259266</v>
      </c>
      <c r="AG912" s="72">
        <f t="shared" si="538"/>
        <v>0.49</v>
      </c>
      <c r="AH912" s="72">
        <f t="shared" si="539"/>
        <v>0.50505472485095082</v>
      </c>
      <c r="AI912" s="72">
        <f t="shared" si="540"/>
        <v>0.23561892046538241</v>
      </c>
      <c r="AJ912" s="72">
        <f>(AV912-Driver!$K$179)/(Driver!$L$179-Driver!$K$179)</f>
        <v>0.17242768511804044</v>
      </c>
      <c r="AK912" s="72">
        <f>(AW912-Driver!$K$180)/(Driver!$L$180-Driver!$K$180)</f>
        <v>0.15510826648088161</v>
      </c>
      <c r="AL912" s="72">
        <f>(AX912-Driver!$K$181)/(Driver!$L$181-Driver!$K$181)</f>
        <v>0.44665781319167774</v>
      </c>
      <c r="AM912" s="72">
        <f>(AY912-Driver!$K$182)/(Driver!$L$182-Driver!$K$182)</f>
        <v>5.4063687825249979E-2</v>
      </c>
      <c r="AN912" s="72">
        <f>(AZ912-Driver!$K$183)/(Driver!$L$183-Driver!$K$183)</f>
        <v>0.13059640522875818</v>
      </c>
      <c r="AO912" s="72"/>
      <c r="AP912" s="72"/>
      <c r="AQ912" s="72">
        <f>(BC912-Driver!$K$188)/(Driver!$L$188-Driver!$K$188)</f>
        <v>2.4812049164141547E-2</v>
      </c>
      <c r="AR912" s="72">
        <f>MIN((BD912-Driver!$K$189)/(Driver!$L$189-Driver!$K$189),100%)</f>
        <v>0.30227124584740739</v>
      </c>
      <c r="AS912" s="72">
        <f>(BE912-Driver!$K$190)/(Driver!$L$190-Driver!$K$190)</f>
        <v>1</v>
      </c>
      <c r="AT912" s="72">
        <f>(BF912-Driver!$K$191)/(Driver!$L$191-Driver!$K$191)</f>
        <v>4.9452751490491617E-3</v>
      </c>
      <c r="AU912" s="72">
        <f>(BG912-Driver!$K$192)/(Driver!$L$192-Driver!$K$192)</f>
        <v>1.4381079534617584E-2</v>
      </c>
      <c r="AV912" s="70">
        <f t="shared" si="541"/>
        <v>3.6290869624202955</v>
      </c>
      <c r="AW912" s="70">
        <f t="shared" si="542"/>
        <v>16.988567589076553</v>
      </c>
      <c r="AX912" s="70">
        <f t="shared" si="543"/>
        <v>5.0199203187250996</v>
      </c>
      <c r="AY912" s="70">
        <f>IFERROR(Driver!$K$19/Data!BH912/Data!BI912*Data!BK912*Data!BL912,"")</f>
        <v>6.6190084945646765E-2</v>
      </c>
      <c r="AZ912" s="70">
        <f t="shared" si="544"/>
        <v>11.902457185405808</v>
      </c>
      <c r="BA912" s="70"/>
      <c r="BB912" s="70"/>
      <c r="BC912" s="70">
        <f t="shared" si="545"/>
        <v>12.870182392007594</v>
      </c>
      <c r="BD912" s="70">
        <f t="shared" si="546"/>
        <v>28.471292548638342</v>
      </c>
      <c r="BE912" s="70">
        <f t="shared" si="547"/>
        <v>1</v>
      </c>
      <c r="BF912" s="70">
        <f t="shared" si="548"/>
        <v>0.5585340855608909</v>
      </c>
      <c r="BG912" s="70">
        <f t="shared" si="549"/>
        <v>5.4455941255006676E-2</v>
      </c>
      <c r="BH912" s="67">
        <f>MAX((CE912-Driver!$F$200)/(Driver!$G$200-Driver!$F$200)*$BI$1,1)</f>
        <v>5.0199203187250996</v>
      </c>
      <c r="BI912" s="67">
        <f>MAX($BI$1*(BY912-Driver!$F$201)/(Driver!$G$201-Driver!$F$201),1)</f>
        <v>8.7974683544303804</v>
      </c>
      <c r="BJ912" s="67">
        <f>(CB912-Driver!$F$206)/(Driver!$G$206-Driver!$F$206)*$BI$1</f>
        <v>3.1746031746031744</v>
      </c>
      <c r="BK912" s="67">
        <f>(CD912-Driver!$F$203)/(Driver!$G$203-Driver!$F$203)*$BI$1</f>
        <v>1.9266055045871557</v>
      </c>
      <c r="BL912" s="67">
        <f>MAX((CR912-Driver!$F$202)/(Driver!$G$202-Driver!$F$202)*$BI$1,1)</f>
        <v>7.5862068965517242</v>
      </c>
      <c r="BM912" s="67">
        <f>MAX((CH912-Driver!$F$204)/(Driver!$G$204-Driver!$F$204)*$BI$1,1)</f>
        <v>4.5726495726495724</v>
      </c>
      <c r="BN912" s="67">
        <f>(CI912-Driver!$F$205)/(Driver!$G$205-Driver!$F$205)*$BI$1</f>
        <v>1.3529411764705881</v>
      </c>
      <c r="BO912" s="67">
        <f>(CK912-Driver!$F$207)/(Driver!$G$207-Driver!$F$207)*$BI$1</f>
        <v>0.51706308169596693</v>
      </c>
      <c r="BP912" s="67">
        <f>(CM912-Driver!$F$208)/(Driver!$G$208-Driver!$F$208)*$BI$1</f>
        <v>0.65555555555555567</v>
      </c>
      <c r="BQ912" s="67">
        <f>(CL912-Driver!$F$209)/(Driver!$G$209-Driver!$F$209)*$BI$1</f>
        <v>1.25</v>
      </c>
      <c r="BR912" s="28" t="s">
        <v>155</v>
      </c>
      <c r="BS912" s="8" t="s">
        <v>167</v>
      </c>
      <c r="BT912" s="9" t="s">
        <v>734</v>
      </c>
      <c r="BU912" s="10">
        <v>170</v>
      </c>
      <c r="BV912" s="9" t="s">
        <v>158</v>
      </c>
      <c r="BW912" s="10">
        <v>170</v>
      </c>
      <c r="BX912" s="10">
        <v>169.1</v>
      </c>
      <c r="BY912" s="10">
        <v>147</v>
      </c>
      <c r="BZ912" s="10">
        <v>155</v>
      </c>
      <c r="CA912" s="10">
        <v>138</v>
      </c>
      <c r="CB912" s="10">
        <v>84</v>
      </c>
      <c r="CC912" s="10">
        <v>120</v>
      </c>
      <c r="CD912" s="10">
        <v>13.6</v>
      </c>
      <c r="CE912" s="10">
        <v>1782</v>
      </c>
      <c r="CF912" s="10">
        <v>0.95</v>
      </c>
      <c r="CG912" s="10">
        <v>1695</v>
      </c>
      <c r="CH912" s="10">
        <v>208</v>
      </c>
      <c r="CI912" s="10">
        <v>56</v>
      </c>
      <c r="CJ912" s="10">
        <v>44</v>
      </c>
      <c r="CK912" s="10">
        <v>160</v>
      </c>
      <c r="CL912" s="10">
        <v>8</v>
      </c>
      <c r="CM912" s="10">
        <v>59</v>
      </c>
      <c r="CN912" s="10">
        <v>0.188</v>
      </c>
      <c r="CO912" s="10">
        <v>85</v>
      </c>
      <c r="CP912" s="10">
        <v>55</v>
      </c>
      <c r="CQ912" s="10">
        <v>76</v>
      </c>
      <c r="CR912" s="10">
        <v>11</v>
      </c>
      <c r="CS912" s="10">
        <v>13.1</v>
      </c>
      <c r="CT912" s="9" t="s">
        <v>349</v>
      </c>
      <c r="CU912" s="9" t="s">
        <v>188</v>
      </c>
      <c r="CV912" s="10"/>
      <c r="CW912" s="10"/>
      <c r="CX912" t="str">
        <f>INDEX('Data_Price '!AG$2:AG$1266,MATCH(Data!$DN912,'Data_Price '!$AT$2:$AT$1266,0))</f>
        <v>Head V10 V-shape Lyt Alpine Skis + Prx 14 Bindings 170cm Free Ship</v>
      </c>
      <c r="CY912" t="str">
        <f>INDEX('Data_Price '!AH$2:AH$1266,MATCH(Data!$DN912,'Data_Price '!$AT$2:$AT$1266,0))</f>
        <v>eBay - suburbansports</v>
      </c>
      <c r="CZ912">
        <f>INDEX('Data_Price '!AI$2:AI$1266,MATCH(Data!$DN912,'Data_Price '!$AT$2:$AT$1266,0))</f>
        <v>619.99</v>
      </c>
      <c r="DA912" t="str">
        <f>INDEX('Data_Price '!AJ$2:AJ$1266,MATCH(Data!$DN912,'Data_Price '!$AT$2:$AT$1266,0))</f>
        <v>https://tinyurl.com/y9sylgnc</v>
      </c>
      <c r="DB912" t="str">
        <f>INDEX('Data_Price '!AK$2:AK$1266,MATCH(Data!$DN912,'Data_Price '!$AT$2:$AT$1266,0))</f>
        <v>Head V-Shape V2 Black-Grey-White 170 Ski Men</v>
      </c>
      <c r="DC912" t="str">
        <f>INDEX('Data_Price '!AL$2:AL$1266,MATCH(Data!$DN912,'Data_Price '!$AT$2:$AT$1266,0))</f>
        <v>! OutdoorXL.com</v>
      </c>
      <c r="DD912">
        <f>INDEX('Data_Price '!AM$2:AM$1266,MATCH(Data!$DN912,'Data_Price '!$AT$2:$AT$1266,0))</f>
        <v>234.95</v>
      </c>
      <c r="DE912" t="str">
        <f>INDEX('Data_Price '!AN$2:AN$1266,MATCH(Data!$DN912,'Data_Price '!$AT$2:$AT$1266,0))</f>
        <v>https://tinyurl.com/y7ehcmoe</v>
      </c>
      <c r="DF912" t="str">
        <f>INDEX('Data_Price '!AO$2:AO$1266,MATCH(Data!$DN912,'Data_Price '!$AT$2:$AT$1266,0))</f>
        <v>Head V-Shape V6 Unisex Skiing Ski Black / Red 170 cm</v>
      </c>
      <c r="DG912" t="str">
        <f>INDEX('Data_Price '!AP$2:AP$1266,MATCH(Data!$DN912,'Data_Price '!$AT$2:$AT$1266,0))</f>
        <v>Mike Sport</v>
      </c>
      <c r="DH912">
        <f>INDEX('Data_Price '!AQ$2:AQ$1266,MATCH(Data!$DN912,'Data_Price '!$AT$2:$AT$1266,0))</f>
        <v>353</v>
      </c>
      <c r="DI912" t="str">
        <f>INDEX('Data_Price '!AR$2:AR$1266,MATCH(Data!$DN912,'Data_Price '!$AT$2:$AT$1266,0))</f>
        <v>https://tinyurl.com/ybxdqlep</v>
      </c>
      <c r="DJ912" s="89" t="str">
        <f t="shared" si="550"/>
        <v>https://tinyurl.com/y9sylgnc</v>
      </c>
      <c r="DK912" s="89" t="str">
        <f t="shared" si="551"/>
        <v>https://tinyurl.com/y7ehcmoe</v>
      </c>
      <c r="DL912" s="89" t="str">
        <f t="shared" si="552"/>
        <v>https://tinyurl.com/ybxdqlep</v>
      </c>
      <c r="DM912" s="219" t="str">
        <f t="shared" si="553"/>
        <v>V-Shape V10</v>
      </c>
      <c r="DN912" s="89" t="str">
        <f t="shared" si="554"/>
        <v xml:space="preserve"> HeadV-Shape V10170 Unisex</v>
      </c>
      <c r="DO912" s="221"/>
    </row>
    <row r="913" spans="2:119" ht="15.6" customHeight="1">
      <c r="B913" s="219" t="b">
        <f t="array" ref="B913">IF(OR(ISERROR(K913:P913)),FALSE,TRUE)</f>
        <v>1</v>
      </c>
      <c r="C913" s="43" t="b">
        <f>OR(BR913=Driver!$G$50,Data!BR48=Driver!$H$50)</f>
        <v>1</v>
      </c>
      <c r="D913" s="43" t="b">
        <f>OR(BV913=Driver!$G$51,BV913=Driver!$H$51)</f>
        <v>0</v>
      </c>
      <c r="E913" s="43" t="b">
        <f>AND(BX913&gt;Driver!$F$54,BX913&lt;Driver!$G$54)</f>
        <v>0</v>
      </c>
      <c r="F913" s="43" t="b">
        <f>CL913&gt;Driver!$F$56</f>
        <v>1</v>
      </c>
      <c r="G913" s="43" t="b">
        <f>AND(CB913&gt;Driver!$F$55,CB913&lt;Driver!$G$55)</f>
        <v>1</v>
      </c>
      <c r="H913" s="43" t="b">
        <f t="shared" si="518"/>
        <v>0</v>
      </c>
      <c r="I913" s="43">
        <f t="shared" si="519"/>
        <v>0</v>
      </c>
      <c r="J913" s="43" t="b">
        <f t="array" ref="J913">NOT(OR(($H$9:$H$1273=TRUE)*($I$9:$I$1273&gt;0)*($BT$9:$BT$1273=BT913)*($K$9:$K$1273&gt;K913)))</f>
        <v>1</v>
      </c>
      <c r="K913" s="72">
        <f t="shared" si="520"/>
        <v>0.68755166306511128</v>
      </c>
      <c r="L913" s="72">
        <f t="shared" si="521"/>
        <v>0.70913843272964261</v>
      </c>
      <c r="M913" s="72">
        <f t="shared" si="522"/>
        <v>0.66596489340057974</v>
      </c>
      <c r="N913" s="72">
        <f t="shared" si="523"/>
        <v>0.54689107744229026</v>
      </c>
      <c r="O913" s="72">
        <f t="shared" si="524"/>
        <v>0.67129399739831741</v>
      </c>
      <c r="P913" s="72">
        <f t="shared" si="525"/>
        <v>0.77970960536113187</v>
      </c>
      <c r="Q913" s="72"/>
      <c r="R913" s="72"/>
      <c r="S913" s="72">
        <f t="shared" si="526"/>
        <v>0.56589686437660736</v>
      </c>
      <c r="T913" s="72">
        <f t="shared" si="527"/>
        <v>0.5061745656674459</v>
      </c>
      <c r="U913" s="72">
        <f t="shared" si="528"/>
        <v>0.53462818055113137</v>
      </c>
      <c r="V913" s="72">
        <f t="shared" si="529"/>
        <v>0.54439100753932923</v>
      </c>
      <c r="W913" s="72">
        <f t="shared" si="530"/>
        <v>0.78319865319865323</v>
      </c>
      <c r="X913" s="72">
        <f t="shared" si="531"/>
        <v>0.29086156727035734</v>
      </c>
      <c r="Y913" s="72">
        <f t="shared" si="532"/>
        <v>0.33403510659942021</v>
      </c>
      <c r="Z913" s="72">
        <f t="shared" si="533"/>
        <v>0.45310892255770974</v>
      </c>
      <c r="AA913" s="72">
        <f t="shared" si="534"/>
        <v>0.32870600260168259</v>
      </c>
      <c r="AB913" s="72">
        <f t="shared" si="535"/>
        <v>0.22029039463886813</v>
      </c>
      <c r="AC913" s="72"/>
      <c r="AD913" s="72"/>
      <c r="AE913" s="72">
        <f t="shared" si="536"/>
        <v>0.4341031356233927</v>
      </c>
      <c r="AF913" s="72">
        <f t="shared" si="537"/>
        <v>0.49382543433255405</v>
      </c>
      <c r="AG913" s="72">
        <f t="shared" si="538"/>
        <v>0.46537181944886863</v>
      </c>
      <c r="AH913" s="72">
        <f t="shared" si="539"/>
        <v>0.45560899246067083</v>
      </c>
      <c r="AI913" s="72">
        <f t="shared" si="540"/>
        <v>0.2168013468013468</v>
      </c>
      <c r="AJ913" s="72">
        <f>(AV913-Driver!$K$179)/(Driver!$L$179-Driver!$K$179)</f>
        <v>0.54508097655305776</v>
      </c>
      <c r="AK913" s="72">
        <f>(AW913-Driver!$K$180)/(Driver!$L$180-Driver!$K$180)</f>
        <v>0.48751892631193716</v>
      </c>
      <c r="AL913" s="72">
        <f>(AX913-Driver!$K$181)/(Driver!$L$181-Driver!$K$181)</f>
        <v>0.55479668627078993</v>
      </c>
      <c r="AM913" s="72">
        <f>(AY913-Driver!$K$182)/(Driver!$L$182-Driver!$K$182)</f>
        <v>0.11867901849536375</v>
      </c>
      <c r="AN913" s="72">
        <f>(AZ913-Driver!$K$183)/(Driver!$L$183-Driver!$K$183)</f>
        <v>0.47450980392156855</v>
      </c>
      <c r="AO913" s="72"/>
      <c r="AP913" s="72"/>
      <c r="AQ913" s="72">
        <f>(BC913-Driver!$K$188)/(Driver!$L$188-Driver!$K$188)</f>
        <v>0.1858968643766073</v>
      </c>
      <c r="AR913" s="72">
        <f>MIN((BD913-Driver!$K$189)/(Driver!$L$189-Driver!$K$189),100%)</f>
        <v>5.6174565667445997E-2</v>
      </c>
      <c r="AS913" s="72">
        <f>(BE913-Driver!$K$190)/(Driver!$L$190-Driver!$K$190)</f>
        <v>4.4628180551131394E-2</v>
      </c>
      <c r="AT913" s="72">
        <f>(BF913-Driver!$K$191)/(Driver!$L$191-Driver!$K$191)</f>
        <v>5.4391007539329204E-2</v>
      </c>
      <c r="AU913" s="72">
        <f>(BG913-Driver!$K$192)/(Driver!$L$192-Driver!$K$192)</f>
        <v>3.3198653198653193E-2</v>
      </c>
      <c r="AV913" s="70">
        <f t="shared" si="541"/>
        <v>11.472323972323974</v>
      </c>
      <c r="AW913" s="70">
        <f t="shared" si="542"/>
        <v>49.384931847695789</v>
      </c>
      <c r="AX913" s="70">
        <f t="shared" si="543"/>
        <v>5.9931701764371095</v>
      </c>
      <c r="AY913" s="70">
        <f>IFERROR(Driver!$K$19/Data!BH913/Data!BI913*Data!BK913*Data!BL913,"")</f>
        <v>0.14529852903976936</v>
      </c>
      <c r="AZ913" s="70">
        <f t="shared" si="544"/>
        <v>43.246463142218907</v>
      </c>
      <c r="BA913" s="70"/>
      <c r="BB913" s="70"/>
      <c r="BC913" s="70">
        <f t="shared" si="545"/>
        <v>96.42599588618107</v>
      </c>
      <c r="BD913" s="70">
        <f t="shared" si="546"/>
        <v>6.6921724102261564</v>
      </c>
      <c r="BE913" s="70">
        <f t="shared" si="547"/>
        <v>4.4798608130553204E-2</v>
      </c>
      <c r="BF913" s="70">
        <f t="shared" si="548"/>
        <v>6.143082183112873</v>
      </c>
      <c r="BG913" s="70">
        <f t="shared" si="549"/>
        <v>0.12571127946127944</v>
      </c>
      <c r="BH913" s="67">
        <f>MAX((CE913-Driver!$F$200)/(Driver!$G$200-Driver!$F$200)*$BI$1,1)</f>
        <v>5.9931701764371095</v>
      </c>
      <c r="BI913" s="67">
        <f>MAX($BI$1*(BY913-Driver!$F$201)/(Driver!$G$201-Driver!$F$201),1)</f>
        <v>7.6582278481012658</v>
      </c>
      <c r="BJ913" s="67">
        <f>(CB913-Driver!$F$206)/(Driver!$G$206-Driver!$F$206)*$BI$1</f>
        <v>6.5079365079365079</v>
      </c>
      <c r="BK913" s="67">
        <f>(CD913-Driver!$F$203)/(Driver!$G$203-Driver!$F$203)*$BI$1</f>
        <v>5.6880733944954143</v>
      </c>
      <c r="BL913" s="67">
        <f>MAX((CR913-Driver!$F$202)/(Driver!$G$202-Driver!$F$202)*$BI$1,1)</f>
        <v>5.8620689655172411</v>
      </c>
      <c r="BM913" s="67">
        <f>MAX((CH913-Driver!$F$204)/(Driver!$G$204-Driver!$F$204)*$BI$1,1)</f>
        <v>7.051282051282052</v>
      </c>
      <c r="BN913" s="67">
        <f>(CI913-Driver!$F$205)/(Driver!$G$205-Driver!$F$205)*$BI$1</f>
        <v>5.6470588235294112</v>
      </c>
      <c r="BO913" s="67">
        <f>(CK913-Driver!$F$207)/(Driver!$G$207-Driver!$F$207)*$BI$1</f>
        <v>2.047569803516029</v>
      </c>
      <c r="BP913" s="67">
        <f>(CM913-Driver!$F$208)/(Driver!$G$208-Driver!$F$208)*$BI$1</f>
        <v>2.6222222222222227</v>
      </c>
      <c r="BQ913" s="67">
        <f>(CL913-Driver!$F$209)/(Driver!$G$209-Driver!$F$209)*$BI$1</f>
        <v>5.3125</v>
      </c>
      <c r="BR913" s="28" t="s">
        <v>155</v>
      </c>
      <c r="BS913" s="8" t="s">
        <v>182</v>
      </c>
      <c r="BT913" s="9" t="s">
        <v>220</v>
      </c>
      <c r="BU913" s="10">
        <v>188</v>
      </c>
      <c r="BV913" s="9" t="s">
        <v>163</v>
      </c>
      <c r="BW913" s="10">
        <v>188</v>
      </c>
      <c r="BX913" s="10">
        <v>183.1</v>
      </c>
      <c r="BY913" s="10">
        <v>129</v>
      </c>
      <c r="BZ913" s="10">
        <v>150</v>
      </c>
      <c r="CA913" s="10">
        <v>136</v>
      </c>
      <c r="CB913" s="10">
        <v>105</v>
      </c>
      <c r="CC913" s="10">
        <v>125</v>
      </c>
      <c r="CD913" s="10">
        <v>21.8</v>
      </c>
      <c r="CE913" s="10">
        <v>1953</v>
      </c>
      <c r="CF913" s="10">
        <v>1.07</v>
      </c>
      <c r="CG913" s="10">
        <v>2093</v>
      </c>
      <c r="CH913" s="10">
        <v>266</v>
      </c>
      <c r="CI913" s="10">
        <v>129</v>
      </c>
      <c r="CJ913" s="10">
        <v>58</v>
      </c>
      <c r="CK913" s="10">
        <v>308</v>
      </c>
      <c r="CL913" s="10">
        <v>34</v>
      </c>
      <c r="CM913" s="10">
        <v>236</v>
      </c>
      <c r="CN913" s="10">
        <v>0.59</v>
      </c>
      <c r="CO913" s="10">
        <v>176</v>
      </c>
      <c r="CP913" s="10">
        <v>151</v>
      </c>
      <c r="CQ913" s="10">
        <v>132</v>
      </c>
      <c r="CR913" s="10">
        <v>6</v>
      </c>
      <c r="CS913" s="10">
        <v>4.0999999999999996</v>
      </c>
      <c r="CT913" s="9" t="s">
        <v>188</v>
      </c>
      <c r="CU913" s="9" t="s">
        <v>169</v>
      </c>
      <c r="CV913" s="9" t="s">
        <v>185</v>
      </c>
      <c r="CW913" s="10"/>
      <c r="CX913" t="str">
        <f>INDEX('Data_Price '!AG$2:AG$1266,MATCH(Data!$DN913,'Data_Price '!$AT$2:$AT$1266,0))</f>
        <v>Armada ARW 106 UL Women's Skis 188cm 2022</v>
      </c>
      <c r="CY913" t="str">
        <f>INDEX('Data_Price '!AH$2:AH$1266,MATCH(Data!$DN913,'Data_Price '!$AT$2:$AT$1266,0))</f>
        <v>Powder7 Ski Shop</v>
      </c>
      <c r="CZ913">
        <f>INDEX('Data_Price '!AI$2:AI$1266,MATCH(Data!$DN913,'Data_Price '!$AT$2:$AT$1266,0))</f>
        <v>559.95000000000005</v>
      </c>
      <c r="DA913" t="str">
        <f>INDEX('Data_Price '!AJ$2:AJ$1266,MATCH(Data!$DN913,'Data_Price '!$AT$2:$AT$1266,0))</f>
        <v>https://tinyurl.com/yaewrx9z</v>
      </c>
      <c r="DB913" t="str">
        <f>INDEX('Data_Price '!AK$2:AK$1266,MATCH(Data!$DN913,'Data_Price '!$AT$2:$AT$1266,0))</f>
        <v>Armada ARW 106 UL Women's Skis 188cm 2022</v>
      </c>
      <c r="DC913" t="str">
        <f>INDEX('Data_Price '!AL$2:AL$1266,MATCH(Data!$DN913,'Data_Price '!$AT$2:$AT$1266,0))</f>
        <v>evo.com</v>
      </c>
      <c r="DD913">
        <f>INDEX('Data_Price '!AM$2:AM$1266,MATCH(Data!$DN913,'Data_Price '!$AT$2:$AT$1266,0))</f>
        <v>559.96</v>
      </c>
      <c r="DE913" t="str">
        <f>INDEX('Data_Price '!AN$2:AN$1266,MATCH(Data!$DN913,'Data_Price '!$AT$2:$AT$1266,0))</f>
        <v>https://tinyurl.com/ydcete7l</v>
      </c>
      <c r="DF913" t="str">
        <f>INDEX('Data_Price '!AO$2:AO$1266,MATCH(Data!$DN913,'Data_Price '!$AT$2:$AT$1266,0))</f>
        <v>Armada ARW 106 Ul+shift 10 MNC Alpine Skis Woman 188</v>
      </c>
      <c r="DG913" t="str">
        <f>INDEX('Data_Price '!AP$2:AP$1266,MATCH(Data!$DN913,'Data_Price '!$AT$2:$AT$1266,0))</f>
        <v>Snowinn.com</v>
      </c>
      <c r="DH913">
        <f>INDEX('Data_Price '!AQ$2:AQ$1266,MATCH(Data!$DN913,'Data_Price '!$AT$2:$AT$1266,0))</f>
        <v>847.99</v>
      </c>
      <c r="DI913" t="str">
        <f>INDEX('Data_Price '!AR$2:AR$1266,MATCH(Data!$DN913,'Data_Price '!$AT$2:$AT$1266,0))</f>
        <v>https://tinyurl.com/y8tz5u8c</v>
      </c>
      <c r="DJ913" s="89" t="str">
        <f t="shared" si="550"/>
        <v>https://tinyurl.com/yaewrx9z</v>
      </c>
      <c r="DK913" s="89" t="str">
        <f t="shared" si="551"/>
        <v>https://tinyurl.com/ydcete7l</v>
      </c>
      <c r="DL913" s="89" t="str">
        <f t="shared" si="552"/>
        <v>https://tinyurl.com/y8tz5u8c</v>
      </c>
      <c r="DM913" s="219" t="str">
        <f t="shared" si="553"/>
        <v>ARW 106 UL</v>
      </c>
      <c r="DN913" s="89" t="str">
        <f t="shared" si="554"/>
        <v xml:space="preserve"> ArmadaARW 106 UL188 Women's</v>
      </c>
      <c r="DO913" s="221" t="s">
        <v>221</v>
      </c>
    </row>
    <row r="914" spans="2:119" ht="15.6" customHeight="1">
      <c r="B914" s="219" t="b">
        <f t="array" ref="B914">IF(OR(ISERROR(K914:P914)),FALSE,TRUE)</f>
        <v>1</v>
      </c>
      <c r="C914" s="43" t="b">
        <f>OR(BR914=Driver!$G$50,Data!BR868=Driver!$H$50)</f>
        <v>1</v>
      </c>
      <c r="D914" s="43" t="b">
        <f>OR(BV914=Driver!$G$51,BV914=Driver!$H$51)</f>
        <v>1</v>
      </c>
      <c r="E914" s="43" t="b">
        <f>AND(BX914&gt;Driver!$F$54,BX914&lt;Driver!$G$54)</f>
        <v>0</v>
      </c>
      <c r="F914" s="43" t="b">
        <f>CL914&gt;Driver!$F$56</f>
        <v>1</v>
      </c>
      <c r="G914" s="43" t="b">
        <f>AND(CB914&gt;Driver!$F$55,CB914&lt;Driver!$G$55)</f>
        <v>1</v>
      </c>
      <c r="H914" s="43" t="b">
        <f t="shared" si="518"/>
        <v>0</v>
      </c>
      <c r="I914" s="43">
        <f t="shared" si="519"/>
        <v>0</v>
      </c>
      <c r="J914" s="43" t="b">
        <f t="array" ref="J914">NOT(OR(($H$9:$H$1273=TRUE)*($I$9:$I$1273&gt;0)*($BT$9:$BT$1273=BT914)*($K$9:$K$1273&gt;K914)))</f>
        <v>1</v>
      </c>
      <c r="K914" s="72">
        <f t="shared" si="520"/>
        <v>0.79523464565187763</v>
      </c>
      <c r="L914" s="72">
        <f t="shared" si="521"/>
        <v>0.860839812375506</v>
      </c>
      <c r="M914" s="72">
        <f t="shared" si="522"/>
        <v>0.72962947892824914</v>
      </c>
      <c r="N914" s="72">
        <f t="shared" si="523"/>
        <v>0.68285515762947813</v>
      </c>
      <c r="O914" s="72">
        <f t="shared" si="524"/>
        <v>0.62348798255561699</v>
      </c>
      <c r="P914" s="72">
        <f t="shared" si="525"/>
        <v>0.88254529659965253</v>
      </c>
      <c r="Q914" s="72"/>
      <c r="R914" s="72"/>
      <c r="S914" s="72">
        <f t="shared" si="526"/>
        <v>0.40348060040886857</v>
      </c>
      <c r="T914" s="72">
        <f t="shared" si="527"/>
        <v>0.45303111968312104</v>
      </c>
      <c r="U914" s="72">
        <f t="shared" si="528"/>
        <v>0.50450985502565748</v>
      </c>
      <c r="V914" s="72">
        <f t="shared" si="529"/>
        <v>0.75772301757414806</v>
      </c>
      <c r="W914" s="72">
        <f t="shared" si="530"/>
        <v>0.97014776077495446</v>
      </c>
      <c r="X914" s="72">
        <f t="shared" si="531"/>
        <v>0.139160187624494</v>
      </c>
      <c r="Y914" s="72">
        <f t="shared" si="532"/>
        <v>0.2703705210717508</v>
      </c>
      <c r="Z914" s="72">
        <f t="shared" si="533"/>
        <v>0.31714484237052187</v>
      </c>
      <c r="AA914" s="72">
        <f t="shared" si="534"/>
        <v>0.37651201744438301</v>
      </c>
      <c r="AB914" s="72">
        <f t="shared" si="535"/>
        <v>0.1174547034003475</v>
      </c>
      <c r="AC914" s="72"/>
      <c r="AD914" s="72"/>
      <c r="AE914" s="72">
        <f t="shared" si="536"/>
        <v>0.59651939959113143</v>
      </c>
      <c r="AF914" s="72">
        <f t="shared" si="537"/>
        <v>0.54696888031687896</v>
      </c>
      <c r="AG914" s="72">
        <f t="shared" si="538"/>
        <v>0.49549014497434257</v>
      </c>
      <c r="AH914" s="72">
        <f t="shared" si="539"/>
        <v>0.24227698242585194</v>
      </c>
      <c r="AI914" s="72">
        <f t="shared" si="540"/>
        <v>2.9852239225045596E-2</v>
      </c>
      <c r="AJ914" s="72">
        <f>(AV914-Driver!$K$179)/(Driver!$L$179-Driver!$K$179)</f>
        <v>0.11505922165820642</v>
      </c>
      <c r="AK914" s="72">
        <f>(AW914-Driver!$K$180)/(Driver!$L$180-Driver!$K$180)</f>
        <v>0.15851818721795413</v>
      </c>
      <c r="AL914" s="72">
        <f>(AX914-Driver!$K$181)/(Driver!$L$181-Driver!$K$181)</f>
        <v>0.41883260608360207</v>
      </c>
      <c r="AM914" s="72">
        <f>(AY914-Driver!$K$182)/(Driver!$L$182-Driver!$K$182)</f>
        <v>7.0873003652663358E-2</v>
      </c>
      <c r="AN914" s="72">
        <f>(AZ914-Driver!$K$183)/(Driver!$L$183-Driver!$K$183)</f>
        <v>0.13676470588235293</v>
      </c>
      <c r="AO914" s="72"/>
      <c r="AP914" s="72"/>
      <c r="AQ914" s="72">
        <f>(BC914-Driver!$K$188)/(Driver!$L$188-Driver!$K$188)</f>
        <v>2.3480600408868554E-2</v>
      </c>
      <c r="AR914" s="72">
        <f>MIN((BD914-Driver!$K$189)/(Driver!$L$189-Driver!$K$189),100%)</f>
        <v>3.0311196831210598E-3</v>
      </c>
      <c r="AS914" s="72">
        <f>(BE914-Driver!$K$190)/(Driver!$L$190-Driver!$K$190)</f>
        <v>1.4509855025657456E-2</v>
      </c>
      <c r="AT914" s="72">
        <f>(BF914-Driver!$K$191)/(Driver!$L$191-Driver!$K$191)</f>
        <v>0.26772301757414807</v>
      </c>
      <c r="AU914" s="72">
        <f>(BG914-Driver!$K$192)/(Driver!$L$192-Driver!$K$192)</f>
        <v>0.2798522392250456</v>
      </c>
      <c r="AV914" s="70">
        <f t="shared" si="541"/>
        <v>2.4216524216524218</v>
      </c>
      <c r="AW914" s="70">
        <f t="shared" si="542"/>
        <v>17.320894579875723</v>
      </c>
      <c r="AX914" s="70">
        <f t="shared" si="543"/>
        <v>4.7694934547524186</v>
      </c>
      <c r="AY914" s="70">
        <f>IFERROR(Driver!$K$19/Data!BH914/Data!BI914*Data!BK914*Data!BL914,"")</f>
        <v>8.6769702934175116E-2</v>
      </c>
      <c r="AZ914" s="70">
        <f t="shared" si="544"/>
        <v>12.464631422189129</v>
      </c>
      <c r="BA914" s="70"/>
      <c r="BB914" s="70"/>
      <c r="BC914" s="70">
        <f t="shared" si="545"/>
        <v>12.179550666565914</v>
      </c>
      <c r="BD914" s="70">
        <f t="shared" si="546"/>
        <v>1.9890716052276707</v>
      </c>
      <c r="BE914" s="70">
        <f t="shared" si="547"/>
        <v>1.4685655375356819E-2</v>
      </c>
      <c r="BF914" s="70">
        <f t="shared" si="548"/>
        <v>30.237433974352271</v>
      </c>
      <c r="BG914" s="70">
        <f t="shared" si="549"/>
        <v>1.0596991041344939</v>
      </c>
      <c r="BH914" s="67">
        <f>MAX((CE914-Driver!$F$200)/(Driver!$G$200-Driver!$F$200)*$BI$1,1)</f>
        <v>4.7694934547524186</v>
      </c>
      <c r="BI914" s="67">
        <f>MAX($BI$1*(BY914-Driver!$F$201)/(Driver!$G$201-Driver!$F$201),1)</f>
        <v>5.8860759493670889</v>
      </c>
      <c r="BJ914" s="67">
        <f>(CB914-Driver!$F$206)/(Driver!$G$206-Driver!$F$206)*$BI$1</f>
        <v>6.6666666666666661</v>
      </c>
      <c r="BK914" s="67">
        <f>(CD914-Driver!$F$203)/(Driver!$G$203-Driver!$F$203)*$BI$1</f>
        <v>2.522935779816514</v>
      </c>
      <c r="BL914" s="67">
        <f>MAX((CR914-Driver!$F$202)/(Driver!$G$202-Driver!$F$202)*$BI$1,1)</f>
        <v>4.8275862068965516</v>
      </c>
      <c r="BM914" s="67">
        <f>MAX((CH914-Driver!$F$204)/(Driver!$G$204-Driver!$F$204)*$BI$1,1)</f>
        <v>1.4529914529914532</v>
      </c>
      <c r="BN914" s="67">
        <f>(CI914-Driver!$F$205)/(Driver!$G$205-Driver!$F$205)*$BI$1</f>
        <v>2.1176470588235294</v>
      </c>
      <c r="BO914" s="67">
        <f>(CK914-Driver!$F$207)/(Driver!$G$207-Driver!$F$207)*$BI$1</f>
        <v>2.96794208893485</v>
      </c>
      <c r="BP914" s="67">
        <f>(CM914-Driver!$F$208)/(Driver!$G$208-Driver!$F$208)*$BI$1</f>
        <v>3.8555555555555552</v>
      </c>
      <c r="BQ914" s="67">
        <f>(CL914-Driver!$F$209)/(Driver!$G$209-Driver!$F$209)*$BI$1</f>
        <v>7.34375</v>
      </c>
      <c r="BR914" s="28" t="s">
        <v>155</v>
      </c>
      <c r="BS914" s="8" t="s">
        <v>208</v>
      </c>
      <c r="BT914" s="9" t="s">
        <v>422</v>
      </c>
      <c r="BU914" s="10">
        <v>176</v>
      </c>
      <c r="BV914" s="9" t="s">
        <v>158</v>
      </c>
      <c r="BW914" s="10">
        <v>176</v>
      </c>
      <c r="BX914" s="10">
        <v>175</v>
      </c>
      <c r="BY914" s="10">
        <v>101</v>
      </c>
      <c r="BZ914" s="10">
        <v>143</v>
      </c>
      <c r="CA914" s="10">
        <v>142</v>
      </c>
      <c r="CB914" s="10">
        <v>106</v>
      </c>
      <c r="CC914" s="10">
        <v>138</v>
      </c>
      <c r="CD914" s="10">
        <v>14.9</v>
      </c>
      <c r="CE914" s="10">
        <v>1738</v>
      </c>
      <c r="CF914" s="10">
        <v>1.1599999999999999</v>
      </c>
      <c r="CG914" s="10">
        <v>2020</v>
      </c>
      <c r="CH914" s="10">
        <v>135</v>
      </c>
      <c r="CI914" s="10">
        <v>69</v>
      </c>
      <c r="CJ914" s="10">
        <v>47</v>
      </c>
      <c r="CK914" s="10">
        <v>397</v>
      </c>
      <c r="CL914" s="10">
        <v>47</v>
      </c>
      <c r="CM914" s="10">
        <v>347</v>
      </c>
      <c r="CN914" s="10">
        <v>1.004</v>
      </c>
      <c r="CO914" s="10">
        <v>159</v>
      </c>
      <c r="CP914" s="10">
        <v>161</v>
      </c>
      <c r="CQ914" s="10">
        <v>238</v>
      </c>
      <c r="CR914" s="10">
        <v>3</v>
      </c>
      <c r="CS914" s="10">
        <v>2.2999999999999998</v>
      </c>
      <c r="CT914" s="9" t="s">
        <v>184</v>
      </c>
      <c r="CU914" s="9" t="s">
        <v>169</v>
      </c>
      <c r="CV914" s="9" t="s">
        <v>185</v>
      </c>
      <c r="CW914" s="10"/>
      <c r="CX914" t="str">
        <f>INDEX('Data_Price '!AG$2:AG$1266,MATCH(Data!$DN914,'Data_Price '!$AT$2:$AT$1266,0))</f>
        <v>Line Sir Francis Bacon Skis 2022</v>
      </c>
      <c r="CY914" t="str">
        <f>INDEX('Data_Price '!AH$2:AH$1266,MATCH(Data!$DN914,'Data_Price '!$AT$2:$AT$1266,0))</f>
        <v>The-House.com</v>
      </c>
      <c r="CZ914">
        <f>INDEX('Data_Price '!AI$2:AI$1266,MATCH(Data!$DN914,'Data_Price '!$AT$2:$AT$1266,0))</f>
        <v>559.95000000000005</v>
      </c>
      <c r="DA914" t="str">
        <f>INDEX('Data_Price '!AJ$2:AJ$1266,MATCH(Data!$DN914,'Data_Price '!$AT$2:$AT$1266,0))</f>
        <v>https://tinyurl.com/ya2xspgt</v>
      </c>
      <c r="DB914" t="str">
        <f>INDEX('Data_Price '!AK$2:AK$1266,MATCH(Data!$DN914,'Data_Price '!$AT$2:$AT$1266,0))</f>
        <v>Line Sir Francis Bacon Skis 2022</v>
      </c>
      <c r="DC914" t="str">
        <f>INDEX('Data_Price '!AL$2:AL$1266,MATCH(Data!$DN914,'Data_Price '!$AT$2:$AT$1266,0))</f>
        <v>sunandski.com</v>
      </c>
      <c r="DD914">
        <f>INDEX('Data_Price '!AM$2:AM$1266,MATCH(Data!$DN914,'Data_Price '!$AT$2:$AT$1266,0))</f>
        <v>699.95</v>
      </c>
      <c r="DE914" t="str">
        <f>INDEX('Data_Price '!AN$2:AN$1266,MATCH(Data!$DN914,'Data_Price '!$AT$2:$AT$1266,0))</f>
        <v>https://tinyurl.com/ydxpcome</v>
      </c>
      <c r="DF914" t="str">
        <f>INDEX('Data_Price '!AO$2:AO$1266,MATCH(Data!$DN914,'Data_Price '!$AT$2:$AT$1266,0))</f>
        <v>Line Sir Francis Bacon Skis 2022</v>
      </c>
      <c r="DG914" t="str">
        <f>INDEX('Data_Price '!AP$2:AP$1266,MATCH(Data!$DN914,'Data_Price '!$AT$2:$AT$1266,0))</f>
        <v>Curated</v>
      </c>
      <c r="DH914">
        <f>INDEX('Data_Price '!AQ$2:AQ$1266,MATCH(Data!$DN914,'Data_Price '!$AT$2:$AT$1266,0))</f>
        <v>699.95</v>
      </c>
      <c r="DI914" t="str">
        <f>INDEX('Data_Price '!AR$2:AR$1266,MATCH(Data!$DN914,'Data_Price '!$AT$2:$AT$1266,0))</f>
        <v>https://tinyurl.com/yclp8uzs</v>
      </c>
      <c r="DJ914" s="89" t="str">
        <f t="shared" si="550"/>
        <v>https://tinyurl.com/ya2xspgt</v>
      </c>
      <c r="DK914" s="89" t="str">
        <f t="shared" si="551"/>
        <v>https://tinyurl.com/ydxpcome</v>
      </c>
      <c r="DL914" s="89" t="str">
        <f t="shared" si="552"/>
        <v>https://tinyurl.com/yclp8uzs</v>
      </c>
      <c r="DM914" s="219" t="str">
        <f t="shared" si="553"/>
        <v>Sir Francis Bacon</v>
      </c>
      <c r="DN914" s="89" t="str">
        <f t="shared" si="554"/>
        <v xml:space="preserve"> LineSir Francis Bacon176 Unisex</v>
      </c>
      <c r="DO914" s="221" t="s">
        <v>423</v>
      </c>
    </row>
    <row r="915" spans="2:119" ht="15.6" customHeight="1">
      <c r="B915" s="219" t="b">
        <f t="array" ref="B915">IF(OR(ISERROR(K915:P915)),FALSE,TRUE)</f>
        <v>1</v>
      </c>
      <c r="C915" s="43" t="b">
        <f>OR(BR915=Driver!$G$50,Data!BR901=Driver!$H$50)</f>
        <v>1</v>
      </c>
      <c r="D915" s="43" t="b">
        <f>OR(BV915=Driver!$G$51,BV915=Driver!$H$51)</f>
        <v>1</v>
      </c>
      <c r="E915" s="43" t="b">
        <f>AND(BX915&gt;Driver!$F$54,BX915&lt;Driver!$G$54)</f>
        <v>0</v>
      </c>
      <c r="F915" s="43" t="b">
        <f>CL915&gt;Driver!$F$56</f>
        <v>1</v>
      </c>
      <c r="G915" s="43" t="b">
        <f>AND(CB915&gt;Driver!$F$55,CB915&lt;Driver!$G$55)</f>
        <v>1</v>
      </c>
      <c r="H915" s="43" t="b">
        <f t="shared" si="518"/>
        <v>0</v>
      </c>
      <c r="I915" s="43">
        <f t="shared" si="519"/>
        <v>0</v>
      </c>
      <c r="J915" s="43" t="b">
        <f t="array" ref="J915">NOT(OR(($H$9:$H$1273=TRUE)*($I$9:$I$1273&gt;0)*($BT$9:$BT$1273=BT915)*($K$9:$K$1273&gt;K915)))</f>
        <v>1</v>
      </c>
      <c r="K915" s="72">
        <f t="shared" si="520"/>
        <v>0.76823775343627787</v>
      </c>
      <c r="L915" s="72">
        <f t="shared" si="521"/>
        <v>0.93152180232113413</v>
      </c>
      <c r="M915" s="72">
        <f t="shared" si="522"/>
        <v>0.60495370455142172</v>
      </c>
      <c r="N915" s="72">
        <f t="shared" si="523"/>
        <v>0.41914808117339764</v>
      </c>
      <c r="O915" s="72">
        <f t="shared" si="524"/>
        <v>0.62213087810012768</v>
      </c>
      <c r="P915" s="72">
        <f t="shared" si="525"/>
        <v>0.77358215438073963</v>
      </c>
      <c r="Q915" s="72"/>
      <c r="R915" s="72"/>
      <c r="S915" s="72">
        <f t="shared" si="526"/>
        <v>0.4887100147702792</v>
      </c>
      <c r="T915" s="72">
        <f t="shared" si="527"/>
        <v>0.50809234102030865</v>
      </c>
      <c r="U915" s="72">
        <f t="shared" si="528"/>
        <v>0.51806747507743356</v>
      </c>
      <c r="V915" s="72">
        <f t="shared" si="529"/>
        <v>0.60073942906714584</v>
      </c>
      <c r="W915" s="72">
        <f t="shared" si="530"/>
        <v>0.8061981288329827</v>
      </c>
      <c r="X915" s="72">
        <f t="shared" si="531"/>
        <v>6.8478197678865871E-2</v>
      </c>
      <c r="Y915" s="72">
        <f t="shared" si="532"/>
        <v>0.39504629544857833</v>
      </c>
      <c r="Z915" s="72">
        <f t="shared" si="533"/>
        <v>0.58085191882660236</v>
      </c>
      <c r="AA915" s="72">
        <f t="shared" si="534"/>
        <v>0.37786912189987232</v>
      </c>
      <c r="AB915" s="72">
        <f t="shared" si="535"/>
        <v>0.22641784561926037</v>
      </c>
      <c r="AC915" s="72"/>
      <c r="AD915" s="72"/>
      <c r="AE915" s="72">
        <f t="shared" si="536"/>
        <v>0.5112899852297208</v>
      </c>
      <c r="AF915" s="72">
        <f t="shared" si="537"/>
        <v>0.49190765897969141</v>
      </c>
      <c r="AG915" s="72">
        <f t="shared" si="538"/>
        <v>0.48193252492256644</v>
      </c>
      <c r="AH915" s="72">
        <f t="shared" si="539"/>
        <v>0.39926057093285416</v>
      </c>
      <c r="AI915" s="72">
        <f t="shared" si="540"/>
        <v>0.19380187116701733</v>
      </c>
      <c r="AJ915" s="72">
        <f>(AV915-Driver!$K$179)/(Driver!$L$179-Driver!$K$179)</f>
        <v>0.3226976069615663</v>
      </c>
      <c r="AK915" s="72">
        <f>(AW915-Driver!$K$180)/(Driver!$L$180-Driver!$K$180)</f>
        <v>0.50442809037245184</v>
      </c>
      <c r="AL915" s="72">
        <f>(AX915-Driver!$K$181)/(Driver!$L$181-Driver!$K$181)</f>
        <v>0.68253968253968256</v>
      </c>
      <c r="AM915" s="72">
        <f>(AY915-Driver!$K$182)/(Driver!$L$182-Driver!$K$182)</f>
        <v>6.9515899197174075E-2</v>
      </c>
      <c r="AN915" s="72">
        <f>(AZ915-Driver!$K$183)/(Driver!$L$183-Driver!$K$183)</f>
        <v>0.4806372549019608</v>
      </c>
      <c r="AO915" s="72"/>
      <c r="AP915" s="72"/>
      <c r="AQ915" s="72">
        <f>(BC915-Driver!$K$188)/(Driver!$L$188-Driver!$K$188)</f>
        <v>0.1087100147702792</v>
      </c>
      <c r="AR915" s="72">
        <f>MIN((BD915-Driver!$K$189)/(Driver!$L$189-Driver!$K$189),100%)</f>
        <v>5.8092341020308622E-2</v>
      </c>
      <c r="AS915" s="72">
        <f>(BE915-Driver!$K$190)/(Driver!$L$190-Driver!$K$190)</f>
        <v>2.8067475077433551E-2</v>
      </c>
      <c r="AT915" s="72">
        <f>(BF915-Driver!$K$191)/(Driver!$L$191-Driver!$K$191)</f>
        <v>0.11073942906714587</v>
      </c>
      <c r="AU915" s="72">
        <f>(BG915-Driver!$K$192)/(Driver!$L$192-Driver!$K$192)</f>
        <v>5.6198128832982662E-2</v>
      </c>
      <c r="AV915" s="70">
        <f t="shared" si="541"/>
        <v>6.7918192918192917</v>
      </c>
      <c r="AW915" s="70">
        <f t="shared" si="542"/>
        <v>51.032879715828528</v>
      </c>
      <c r="AX915" s="70">
        <f t="shared" si="543"/>
        <v>7.1428571428571432</v>
      </c>
      <c r="AY915" s="70">
        <f>IFERROR(Driver!$K$19/Data!BH915/Data!BI915*Data!BK915*Data!BL915,"")</f>
        <v>8.5108202159768109E-2</v>
      </c>
      <c r="AZ915" s="70">
        <f t="shared" si="544"/>
        <v>43.804914370811616</v>
      </c>
      <c r="BA915" s="70"/>
      <c r="BB915" s="70"/>
      <c r="BC915" s="70">
        <f t="shared" si="545"/>
        <v>56.388640401105697</v>
      </c>
      <c r="BD915" s="70">
        <f t="shared" si="546"/>
        <v>6.8618921308576493</v>
      </c>
      <c r="BE915" s="70">
        <f t="shared" si="547"/>
        <v>2.824085690031319E-2</v>
      </c>
      <c r="BF915" s="70">
        <f t="shared" si="548"/>
        <v>12.507240524613849</v>
      </c>
      <c r="BG915" s="70">
        <f t="shared" si="549"/>
        <v>0.2128019662921348</v>
      </c>
      <c r="BH915" s="67">
        <f>MAX((CE915-Driver!$F$200)/(Driver!$G$200-Driver!$F$200)*$BI$1,1)</f>
        <v>7.1428571428571432</v>
      </c>
      <c r="BI915" s="67">
        <f>MAX($BI$1*(BY915-Driver!$F$201)/(Driver!$G$201-Driver!$F$201),1)</f>
        <v>7.0253164556962027</v>
      </c>
      <c r="BJ915" s="67">
        <f>(CB915-Driver!$F$206)/(Driver!$G$206-Driver!$F$206)*$BI$1</f>
        <v>7.1428571428571432</v>
      </c>
      <c r="BK915" s="67">
        <f>(CD915-Driver!$F$203)/(Driver!$G$203-Driver!$F$203)*$BI$1</f>
        <v>3.4403669724770634</v>
      </c>
      <c r="BL915" s="67">
        <f>MAX((CR915-Driver!$F$202)/(Driver!$G$202-Driver!$F$202)*$BI$1,1)</f>
        <v>6.2068965517241379</v>
      </c>
      <c r="BM915" s="67">
        <f>MAX((CH915-Driver!$F$204)/(Driver!$G$204-Driver!$F$204)*$BI$1,1)</f>
        <v>3.8034188034188032</v>
      </c>
      <c r="BN915" s="67">
        <f>(CI915-Driver!$F$205)/(Driver!$G$205-Driver!$F$205)*$BI$1</f>
        <v>6.2352941176470589</v>
      </c>
      <c r="BO915" s="67">
        <f>(CK915-Driver!$F$207)/(Driver!$G$207-Driver!$F$207)*$BI$1</f>
        <v>2.1096173733195451</v>
      </c>
      <c r="BP915" s="67">
        <f>(CM915-Driver!$F$208)/(Driver!$G$208-Driver!$F$208)*$BI$1</f>
        <v>2.8555555555555556</v>
      </c>
      <c r="BQ915" s="67">
        <f>(CL915-Driver!$F$209)/(Driver!$G$209-Driver!$F$209)*$BI$1</f>
        <v>5.78125</v>
      </c>
      <c r="BR915" s="28" t="s">
        <v>155</v>
      </c>
      <c r="BS915" s="8" t="s">
        <v>332</v>
      </c>
      <c r="BT915" s="9" t="s">
        <v>809</v>
      </c>
      <c r="BU915" s="10">
        <v>177</v>
      </c>
      <c r="BV915" s="9" t="s">
        <v>158</v>
      </c>
      <c r="BW915" s="10">
        <v>177</v>
      </c>
      <c r="BX915" s="10">
        <v>176.4</v>
      </c>
      <c r="BY915" s="10">
        <v>119</v>
      </c>
      <c r="BZ915" s="10">
        <v>145</v>
      </c>
      <c r="CA915" s="10">
        <v>140</v>
      </c>
      <c r="CB915" s="10">
        <v>109</v>
      </c>
      <c r="CC915" s="10">
        <v>130</v>
      </c>
      <c r="CD915" s="10">
        <v>16.899999999999999</v>
      </c>
      <c r="CE915" s="10">
        <v>2155</v>
      </c>
      <c r="CF915" s="10">
        <v>0.97</v>
      </c>
      <c r="CG915" s="10">
        <v>2101</v>
      </c>
      <c r="CH915" s="10">
        <v>190</v>
      </c>
      <c r="CI915" s="10">
        <v>139</v>
      </c>
      <c r="CJ915" s="10">
        <v>56</v>
      </c>
      <c r="CK915" s="10">
        <v>314</v>
      </c>
      <c r="CL915" s="10">
        <v>37</v>
      </c>
      <c r="CM915" s="10">
        <v>257</v>
      </c>
      <c r="CN915" s="10">
        <v>0.65600000000000003</v>
      </c>
      <c r="CO915" s="10">
        <v>159</v>
      </c>
      <c r="CP915" s="10">
        <v>152</v>
      </c>
      <c r="CQ915" s="10">
        <v>155</v>
      </c>
      <c r="CR915" s="10">
        <v>7</v>
      </c>
      <c r="CS915" s="10">
        <v>8.4</v>
      </c>
      <c r="CT915" s="9" t="s">
        <v>169</v>
      </c>
      <c r="CU915" s="10"/>
      <c r="CV915" s="10"/>
      <c r="CW915" s="10"/>
      <c r="CX915" t="str">
        <f>INDEX('Data_Price '!AG$2:AG$1266,MATCH(Data!$DN915,'Data_Price '!$AT$2:$AT$1266,0))</f>
        <v>2022 Nordica Enforcer 110 Free snow skis 177</v>
      </c>
      <c r="CY915" t="str">
        <f>INDEX('Data_Price '!AH$2:AH$1266,MATCH(Data!$DN915,'Data_Price '!$AT$2:$AT$1266,0))</f>
        <v>The Pro Shop</v>
      </c>
      <c r="CZ915">
        <f>INDEX('Data_Price '!AI$2:AI$1266,MATCH(Data!$DN915,'Data_Price '!$AT$2:$AT$1266,0))</f>
        <v>799.99</v>
      </c>
      <c r="DA915" t="str">
        <f>INDEX('Data_Price '!AJ$2:AJ$1266,MATCH(Data!$DN915,'Data_Price '!$AT$2:$AT$1266,0))</f>
        <v>https://tinyurl.com/yb2y69a7</v>
      </c>
      <c r="DB915" t="str">
        <f>INDEX('Data_Price '!AK$2:AK$1266,MATCH(Data!$DN915,'Data_Price '!$AT$2:$AT$1266,0))</f>
        <v>2022 Nordica Enforcer 110 Free Skis w/ Tyrolia Attack2 14 GW Bindings - 177| Ski Essentials</v>
      </c>
      <c r="DC915" t="str">
        <f>INDEX('Data_Price '!AL$2:AL$1266,MATCH(Data!$DN915,'Data_Price '!$AT$2:$AT$1266,0))</f>
        <v>eBay - david110549</v>
      </c>
      <c r="DD915">
        <f>INDEX('Data_Price '!AM$2:AM$1266,MATCH(Data!$DN915,'Data_Price '!$AT$2:$AT$1266,0))</f>
        <v>814.99</v>
      </c>
      <c r="DE915" t="str">
        <f>INDEX('Data_Price '!AN$2:AN$1266,MATCH(Data!$DN915,'Data_Price '!$AT$2:$AT$1266,0))</f>
        <v>https://tinyurl.com/ya45kxta</v>
      </c>
      <c r="DF915" t="str">
        <f>INDEX('Data_Price '!AO$2:AO$1266,MATCH(Data!$DN915,'Data_Price '!$AT$2:$AT$1266,0))</f>
        <v>2022 Nordica Enforcer 110 Free Skis w/ Tyrolia Attack2 14 GW Bindings - 177| Ski Essentials</v>
      </c>
      <c r="DG915" t="str">
        <f>INDEX('Data_Price '!AP$2:AP$1266,MATCH(Data!$DN915,'Data_Price '!$AT$2:$AT$1266,0))</f>
        <v>SkiEssentials.com</v>
      </c>
      <c r="DH915">
        <f>INDEX('Data_Price '!AQ$2:AQ$1266,MATCH(Data!$DN915,'Data_Price '!$AT$2:$AT$1266,0))</f>
        <v>814.99</v>
      </c>
      <c r="DI915" t="str">
        <f>INDEX('Data_Price '!AR$2:AR$1266,MATCH(Data!$DN915,'Data_Price '!$AT$2:$AT$1266,0))</f>
        <v>https://tinyurl.com/y7ne8pt4</v>
      </c>
      <c r="DJ915" s="89" t="str">
        <f t="shared" si="550"/>
        <v>https://tinyurl.com/yb2y69a7</v>
      </c>
      <c r="DK915" s="89" t="str">
        <f t="shared" si="551"/>
        <v>https://tinyurl.com/ya45kxta</v>
      </c>
      <c r="DL915" s="89" t="str">
        <f t="shared" si="552"/>
        <v>https://tinyurl.com/y7ne8pt4</v>
      </c>
      <c r="DM915" s="219" t="str">
        <f t="shared" si="553"/>
        <v>Enforcer 110 Free</v>
      </c>
      <c r="DN915" s="89" t="str">
        <f t="shared" si="554"/>
        <v xml:space="preserve"> NordicaEnforcer 110 Free177 Unisex</v>
      </c>
      <c r="DO915" s="221" t="s">
        <v>810</v>
      </c>
    </row>
    <row r="916" spans="2:119" ht="15.6" customHeight="1">
      <c r="B916" s="219" t="b">
        <f t="array" ref="B916">IF(OR(ISERROR(K916:P916)),FALSE,TRUE)</f>
        <v>1</v>
      </c>
      <c r="C916" s="43" t="b">
        <f>OR(BR916=Driver!$G$50,Data!BR159=Driver!$H$50)</f>
        <v>1</v>
      </c>
      <c r="D916" s="43" t="b">
        <f>OR(BV916=Driver!$G$51,BV916=Driver!$H$51)</f>
        <v>1</v>
      </c>
      <c r="E916" s="43" t="b">
        <f>AND(BX916&gt;Driver!$F$54,BX916&lt;Driver!$G$54)</f>
        <v>1</v>
      </c>
      <c r="F916" s="43" t="b">
        <f>CL916&gt;Driver!$F$56</f>
        <v>1</v>
      </c>
      <c r="G916" s="43" t="b">
        <f>AND(CB916&gt;Driver!$F$55,CB916&lt;Driver!$G$55)</f>
        <v>0</v>
      </c>
      <c r="H916" s="43" t="b">
        <f t="shared" si="518"/>
        <v>0</v>
      </c>
      <c r="I916" s="43">
        <f t="shared" si="519"/>
        <v>0</v>
      </c>
      <c r="J916" s="43" t="b">
        <f t="array" ref="J916">NOT(OR(($H$9:$H$1273=TRUE)*($I$9:$I$1273&gt;0)*($BT$9:$BT$1273=BT916)*($K$9:$K$1273&gt;K916)))</f>
        <v>1</v>
      </c>
      <c r="K916" s="72">
        <f t="shared" si="520"/>
        <v>0.78242017922040097</v>
      </c>
      <c r="L916" s="72">
        <f t="shared" si="521"/>
        <v>0.81974723321186083</v>
      </c>
      <c r="M916" s="72">
        <f t="shared" si="522"/>
        <v>0.74509312522894122</v>
      </c>
      <c r="N916" s="72">
        <f t="shared" si="523"/>
        <v>0.70941558259627757</v>
      </c>
      <c r="O916" s="72">
        <f t="shared" si="524"/>
        <v>0.63424986903991298</v>
      </c>
      <c r="P916" s="72">
        <f t="shared" si="525"/>
        <v>0.89161392405063289</v>
      </c>
      <c r="Q916" s="72"/>
      <c r="R916" s="72"/>
      <c r="S916" s="72">
        <f t="shared" si="526"/>
        <v>0.41407326475309081</v>
      </c>
      <c r="T916" s="72">
        <f t="shared" si="527"/>
        <v>0.56235491409991523</v>
      </c>
      <c r="U916" s="72">
        <f t="shared" si="528"/>
        <v>0.927669655072623</v>
      </c>
      <c r="V916" s="72">
        <f t="shared" si="529"/>
        <v>0.49979078266482502</v>
      </c>
      <c r="W916" s="72">
        <f t="shared" si="530"/>
        <v>0.83775864617203666</v>
      </c>
      <c r="X916" s="72">
        <f t="shared" si="531"/>
        <v>0.18025276678813917</v>
      </c>
      <c r="Y916" s="72">
        <f t="shared" si="532"/>
        <v>0.25490687477105883</v>
      </c>
      <c r="Z916" s="72">
        <f t="shared" si="533"/>
        <v>0.29058441740372243</v>
      </c>
      <c r="AA916" s="72">
        <f t="shared" si="534"/>
        <v>0.36575013096008702</v>
      </c>
      <c r="AB916" s="72">
        <f t="shared" si="535"/>
        <v>0.10838607594936708</v>
      </c>
      <c r="AC916" s="72"/>
      <c r="AD916" s="72"/>
      <c r="AE916" s="72">
        <f t="shared" si="536"/>
        <v>0.58592673524690919</v>
      </c>
      <c r="AF916" s="72">
        <f t="shared" si="537"/>
        <v>0.43764508590008477</v>
      </c>
      <c r="AG916" s="72">
        <f t="shared" si="538"/>
        <v>7.2330344927376999E-2</v>
      </c>
      <c r="AH916" s="72">
        <f t="shared" si="539"/>
        <v>0.50020921733517498</v>
      </c>
      <c r="AI916" s="72">
        <f t="shared" si="540"/>
        <v>0.16224135382796337</v>
      </c>
      <c r="AJ916" s="72">
        <f>(AV916-Driver!$K$179)/(Driver!$L$179-Driver!$K$179)</f>
        <v>7.3966642494561266E-2</v>
      </c>
      <c r="AK916" s="72">
        <f>(AW916-Driver!$K$180)/(Driver!$L$180-Driver!$K$180)</f>
        <v>0.16468119536471915</v>
      </c>
      <c r="AL916" s="72">
        <f>(AX916-Driver!$K$181)/(Driver!$L$181-Driver!$K$181)</f>
        <v>0.39227218111680262</v>
      </c>
      <c r="AM916" s="72">
        <f>(AY916-Driver!$K$182)/(Driver!$L$182-Driver!$K$182)</f>
        <v>8.1634890136959321E-2</v>
      </c>
      <c r="AN916" s="72">
        <f>(AZ916-Driver!$K$183)/(Driver!$L$183-Driver!$K$183)</f>
        <v>0.14583333333333334</v>
      </c>
      <c r="AO916" s="72"/>
      <c r="AP916" s="72"/>
      <c r="AQ916" s="72">
        <f>(BC916-Driver!$K$188)/(Driver!$L$188-Driver!$K$188)</f>
        <v>3.4073264753090762E-2</v>
      </c>
      <c r="AR916" s="72">
        <f>MIN((BD916-Driver!$K$189)/(Driver!$L$189-Driver!$K$189),100%)</f>
        <v>0.11235491409991527</v>
      </c>
      <c r="AS916" s="72">
        <f>(BE916-Driver!$K$190)/(Driver!$L$190-Driver!$K$190)</f>
        <v>0.58233034492737701</v>
      </c>
      <c r="AT916" s="72">
        <f>(BF916-Driver!$K$191)/(Driver!$L$191-Driver!$K$191)</f>
        <v>9.7907826648250037E-3</v>
      </c>
      <c r="AU916" s="72">
        <f>(BG916-Driver!$K$192)/(Driver!$L$192-Driver!$K$192)</f>
        <v>8.7758646172036631E-2</v>
      </c>
      <c r="AV916" s="70">
        <f t="shared" si="541"/>
        <v>1.5567765567765568</v>
      </c>
      <c r="AW916" s="70">
        <f t="shared" si="542"/>
        <v>17.92153433358552</v>
      </c>
      <c r="AX916" s="70">
        <f t="shared" si="543"/>
        <v>4.5304496300512236</v>
      </c>
      <c r="AY916" s="70">
        <f>IFERROR(Driver!$K$19/Data!BH916/Data!BI916*Data!BK916*Data!BL916,"")</f>
        <v>9.9945463027963435E-2</v>
      </c>
      <c r="AZ916" s="70">
        <f t="shared" si="544"/>
        <v>13.291139240506331</v>
      </c>
      <c r="BA916" s="70"/>
      <c r="BB916" s="70"/>
      <c r="BC916" s="70">
        <f t="shared" si="545"/>
        <v>17.674039300921805</v>
      </c>
      <c r="BD916" s="70">
        <f t="shared" si="546"/>
        <v>11.664033700812693</v>
      </c>
      <c r="BE916" s="70">
        <f t="shared" si="547"/>
        <v>0.58240485249276974</v>
      </c>
      <c r="BF916" s="70">
        <f t="shared" si="548"/>
        <v>1.1058001178508527</v>
      </c>
      <c r="BG916" s="70">
        <f t="shared" si="549"/>
        <v>0.33231021837126806</v>
      </c>
      <c r="BH916" s="67">
        <f>MAX((CE916-Driver!$F$200)/(Driver!$G$200-Driver!$F$200)*$BI$1,1)</f>
        <v>4.5304496300512236</v>
      </c>
      <c r="BI916" s="67">
        <f>MAX($BI$1*(BY916-Driver!$F$201)/(Driver!$G$201-Driver!$F$201),1)</f>
        <v>7.5316455696202533</v>
      </c>
      <c r="BJ916" s="67">
        <f>(CB916-Driver!$F$206)/(Driver!$G$206-Driver!$F$206)*$BI$1</f>
        <v>2.8571428571428568</v>
      </c>
      <c r="BK916" s="67">
        <f>(CD916-Driver!$F$203)/(Driver!$G$203-Driver!$F$203)*$BI$1</f>
        <v>2.2477064220183491</v>
      </c>
      <c r="BL916" s="67">
        <f>MAX((CR916-Driver!$F$202)/(Driver!$G$202-Driver!$F$202)*$BI$1,1)</f>
        <v>7.5862068965517242</v>
      </c>
      <c r="BM916" s="67">
        <f>MAX((CH916-Driver!$F$204)/(Driver!$G$204-Driver!$F$204)*$BI$1,1)</f>
        <v>2.1794871794871797</v>
      </c>
      <c r="BN916" s="67">
        <f>(CI916-Driver!$F$205)/(Driver!$G$205-Driver!$F$205)*$BI$1</f>
        <v>1.7647058823529413</v>
      </c>
      <c r="BO916" s="67">
        <f>(CK916-Driver!$F$207)/(Driver!$G$207-Driver!$F$207)*$BI$1</f>
        <v>0.69286452947259558</v>
      </c>
      <c r="BP916" s="67">
        <f>(CM916-Driver!$F$208)/(Driver!$G$208-Driver!$F$208)*$BI$1</f>
        <v>1.2555555555555555</v>
      </c>
      <c r="BQ916" s="67">
        <f>(CL916-Driver!$F$209)/(Driver!$G$209-Driver!$F$209)*$BI$1</f>
        <v>3.28125</v>
      </c>
      <c r="BR916" s="28" t="s">
        <v>155</v>
      </c>
      <c r="BS916" s="8" t="s">
        <v>156</v>
      </c>
      <c r="BT916" s="9" t="s">
        <v>689</v>
      </c>
      <c r="BU916" s="10">
        <v>157</v>
      </c>
      <c r="BV916" s="9" t="s">
        <v>158</v>
      </c>
      <c r="BW916" s="10">
        <v>157</v>
      </c>
      <c r="BX916" s="10">
        <v>155.80000000000001</v>
      </c>
      <c r="BY916" s="10">
        <v>127</v>
      </c>
      <c r="BZ916" s="10">
        <v>136</v>
      </c>
      <c r="CA916" s="10">
        <v>119</v>
      </c>
      <c r="CB916" s="10">
        <v>82</v>
      </c>
      <c r="CC916" s="10">
        <v>103</v>
      </c>
      <c r="CD916" s="10">
        <v>14.3</v>
      </c>
      <c r="CE916" s="10">
        <v>1696</v>
      </c>
      <c r="CF916" s="10">
        <v>0.86</v>
      </c>
      <c r="CG916" s="10">
        <v>1459</v>
      </c>
      <c r="CH916" s="10">
        <v>152</v>
      </c>
      <c r="CI916" s="10">
        <v>63</v>
      </c>
      <c r="CJ916" s="10">
        <v>42</v>
      </c>
      <c r="CK916" s="10">
        <v>177</v>
      </c>
      <c r="CL916" s="10">
        <v>21</v>
      </c>
      <c r="CM916" s="10">
        <v>113</v>
      </c>
      <c r="CN916" s="10">
        <v>0.504</v>
      </c>
      <c r="CO916" s="10">
        <v>113</v>
      </c>
      <c r="CP916" s="10">
        <v>88</v>
      </c>
      <c r="CQ916" s="10">
        <v>63</v>
      </c>
      <c r="CR916" s="10">
        <v>11</v>
      </c>
      <c r="CS916" s="10">
        <v>8.1999999999999993</v>
      </c>
      <c r="CT916" s="9" t="s">
        <v>188</v>
      </c>
      <c r="CU916" s="10"/>
      <c r="CV916" s="10"/>
      <c r="CW916" s="10"/>
      <c r="CX916" t="str">
        <f>INDEX('Data_Price '!AG$2:AG$1266,MATCH(Data!$DN916,'Data_Price '!$AT$2:$AT$1266,0))</f>
        <v>Atomic Maverick 83 Skis + M10 GW Bindings 2022 - 157</v>
      </c>
      <c r="CY916" t="str">
        <f>INDEX('Data_Price '!AH$2:AH$1266,MATCH(Data!$DN916,'Data_Price '!$AT$2:$AT$1266,0))</f>
        <v>evo.com</v>
      </c>
      <c r="CZ916">
        <f>INDEX('Data_Price '!AI$2:AI$1266,MATCH(Data!$DN916,'Data_Price '!$AT$2:$AT$1266,0))</f>
        <v>399.99</v>
      </c>
      <c r="DA916" t="str">
        <f>INDEX('Data_Price '!AJ$2:AJ$1266,MATCH(Data!$DN916,'Data_Price '!$AT$2:$AT$1266,0))</f>
        <v>https://tinyurl.com/yc4pmvrl</v>
      </c>
      <c r="DB916" t="str">
        <f>INDEX('Data_Price '!AK$2:AK$1266,MATCH(Data!$DN916,'Data_Price '!$AT$2:$AT$1266,0))</f>
        <v>2022 Atomic Maverick 83 Aw Skis + Gw Bindings 157 Cm Sealed Red Gray</v>
      </c>
      <c r="DC916" t="str">
        <f>INDEX('Data_Price '!AL$2:AL$1266,MATCH(Data!$DN916,'Data_Price '!$AT$2:$AT$1266,0))</f>
        <v>eBay - suburbansports</v>
      </c>
      <c r="DD916">
        <f>INDEX('Data_Price '!AM$2:AM$1266,MATCH(Data!$DN916,'Data_Price '!$AT$2:$AT$1266,0))</f>
        <v>439.99</v>
      </c>
      <c r="DE916" t="str">
        <f>INDEX('Data_Price '!AN$2:AN$1266,MATCH(Data!$DN916,'Data_Price '!$AT$2:$AT$1266,0))</f>
        <v>https://tinyurl.com/ycf27cl9</v>
      </c>
      <c r="DF916" t="str">
        <f>INDEX('Data_Price '!AO$2:AO$1266,MATCH(Data!$DN916,'Data_Price '!$AT$2:$AT$1266,0))</f>
        <v>Atomic Maverick 83 Skis + M10 GW Bindings 157</v>
      </c>
      <c r="DG916" t="str">
        <f>INDEX('Data_Price '!AP$2:AP$1266,MATCH(Data!$DN916,'Data_Price '!$AT$2:$AT$1266,0))</f>
        <v>shop.petersonsskiandcycle.com</v>
      </c>
      <c r="DH916">
        <f>INDEX('Data_Price '!AQ$2:AQ$1266,MATCH(Data!$DN916,'Data_Price '!$AT$2:$AT$1266,0))</f>
        <v>499.99</v>
      </c>
      <c r="DI916" t="str">
        <f>INDEX('Data_Price '!AR$2:AR$1266,MATCH(Data!$DN916,'Data_Price '!$AT$2:$AT$1266,0))</f>
        <v>https://tinyurl.com/yd7qye5c</v>
      </c>
      <c r="DJ916" s="89" t="str">
        <f t="shared" si="550"/>
        <v>https://tinyurl.com/yc4pmvrl</v>
      </c>
      <c r="DK916" s="89" t="str">
        <f t="shared" si="551"/>
        <v>https://tinyurl.com/ycf27cl9</v>
      </c>
      <c r="DL916" s="89" t="str">
        <f t="shared" si="552"/>
        <v>https://tinyurl.com/yd7qye5c</v>
      </c>
      <c r="DM916" s="219" t="str">
        <f t="shared" si="553"/>
        <v>Maverick 83</v>
      </c>
      <c r="DN916" s="89" t="str">
        <f t="shared" si="554"/>
        <v xml:space="preserve"> AtomicMaverick 83157 Unisex</v>
      </c>
      <c r="DO916" s="221" t="s">
        <v>690</v>
      </c>
    </row>
    <row r="917" spans="2:119" ht="15.6" customHeight="1">
      <c r="B917" s="219" t="b">
        <f t="array" ref="B917">IF(OR(ISERROR(K917:P917)),FALSE,TRUE)</f>
        <v>1</v>
      </c>
      <c r="C917" s="43" t="b">
        <f>OR(BR917=Driver!$G$50,Data!BR479=Driver!$H$50)</f>
        <v>1</v>
      </c>
      <c r="D917" s="43" t="b">
        <f>OR(BV917=Driver!$G$51,BV917=Driver!$H$51)</f>
        <v>1</v>
      </c>
      <c r="E917" s="43" t="b">
        <f>AND(BX917&gt;Driver!$F$54,BX917&lt;Driver!$G$54)</f>
        <v>0</v>
      </c>
      <c r="F917" s="43" t="b">
        <f>CL917&gt;Driver!$F$56</f>
        <v>1</v>
      </c>
      <c r="G917" s="43" t="b">
        <f>AND(CB917&gt;Driver!$F$55,CB917&lt;Driver!$G$55)</f>
        <v>0</v>
      </c>
      <c r="H917" s="43" t="b">
        <f t="shared" si="518"/>
        <v>0</v>
      </c>
      <c r="I917" s="43">
        <f t="shared" si="519"/>
        <v>0</v>
      </c>
      <c r="J917" s="43" t="b">
        <f t="array" ref="J917">NOT(OR(($H$9:$H$1273=TRUE)*($I$9:$I$1273&gt;0)*($BT$9:$BT$1273=BT917)*($K$9:$K$1273&gt;K917)))</f>
        <v>1</v>
      </c>
      <c r="K917" s="72">
        <f t="shared" si="520"/>
        <v>0.79008129119382364</v>
      </c>
      <c r="L917" s="72">
        <f t="shared" si="521"/>
        <v>0.96494101292340706</v>
      </c>
      <c r="M917" s="72">
        <f t="shared" si="522"/>
        <v>0.61522156946424023</v>
      </c>
      <c r="N917" s="72">
        <f t="shared" si="523"/>
        <v>0.43495785793934982</v>
      </c>
      <c r="O917" s="72">
        <f t="shared" si="524"/>
        <v>0.59439593790269674</v>
      </c>
      <c r="P917" s="72">
        <f t="shared" si="525"/>
        <v>0.81631091255067423</v>
      </c>
      <c r="Q917" s="72"/>
      <c r="R917" s="72"/>
      <c r="S917" s="72">
        <f t="shared" si="526"/>
        <v>0.48313290863554514</v>
      </c>
      <c r="T917" s="72">
        <f t="shared" si="527"/>
        <v>0.94161512362892374</v>
      </c>
      <c r="U917" s="72">
        <f t="shared" si="528"/>
        <v>0.64491927885332179</v>
      </c>
      <c r="V917" s="72">
        <f t="shared" si="529"/>
        <v>0.49972500930793951</v>
      </c>
      <c r="W917" s="72">
        <f t="shared" si="530"/>
        <v>0.75862042682926822</v>
      </c>
      <c r="X917" s="72">
        <f t="shared" si="531"/>
        <v>3.505898707659294E-2</v>
      </c>
      <c r="Y917" s="72">
        <f t="shared" si="532"/>
        <v>0.38477843053575972</v>
      </c>
      <c r="Z917" s="72">
        <f t="shared" si="533"/>
        <v>0.56504214206065018</v>
      </c>
      <c r="AA917" s="72">
        <f t="shared" si="534"/>
        <v>0.40560406209730326</v>
      </c>
      <c r="AB917" s="72">
        <f t="shared" si="535"/>
        <v>0.18368908744932572</v>
      </c>
      <c r="AC917" s="72"/>
      <c r="AD917" s="72"/>
      <c r="AE917" s="72">
        <f t="shared" si="536"/>
        <v>0.51686709136445486</v>
      </c>
      <c r="AF917" s="72">
        <f t="shared" si="537"/>
        <v>5.8384876371076255E-2</v>
      </c>
      <c r="AG917" s="72">
        <f t="shared" si="538"/>
        <v>0.35508072114667821</v>
      </c>
      <c r="AH917" s="72">
        <f t="shared" si="539"/>
        <v>0.50027499069206049</v>
      </c>
      <c r="AI917" s="72">
        <f t="shared" si="540"/>
        <v>0.24137957317073172</v>
      </c>
      <c r="AJ917" s="72">
        <f>(AV917-Driver!$K$179)/(Driver!$L$179-Driver!$K$179)</f>
        <v>0.21916042220610749</v>
      </c>
      <c r="AK917" s="72">
        <f>(AW917-Driver!$K$180)/(Driver!$L$180-Driver!$K$180)</f>
        <v>0.46266164284022515</v>
      </c>
      <c r="AL917" s="72">
        <f>(AX917-Driver!$K$181)/(Driver!$L$181-Driver!$K$181)</f>
        <v>0.66672990577373037</v>
      </c>
      <c r="AM917" s="72">
        <f>(AY917-Driver!$K$182)/(Driver!$L$182-Driver!$K$182)</f>
        <v>4.1780958999743115E-2</v>
      </c>
      <c r="AN917" s="72">
        <f>(AZ917-Driver!$K$183)/(Driver!$L$183-Driver!$K$183)</f>
        <v>0.43790849673202614</v>
      </c>
      <c r="AO917" s="72"/>
      <c r="AP917" s="72"/>
      <c r="AQ917" s="72">
        <f>(BC917-Driver!$K$188)/(Driver!$L$188-Driver!$K$188)</f>
        <v>0.10313290863554511</v>
      </c>
      <c r="AR917" s="72">
        <f>MIN((BD917-Driver!$K$189)/(Driver!$L$189-Driver!$K$189),100%)</f>
        <v>0.6083848763710763</v>
      </c>
      <c r="AS917" s="72">
        <f>(BE917-Driver!$K$190)/(Driver!$L$190-Driver!$K$190)</f>
        <v>0.86508072114667822</v>
      </c>
      <c r="AT917" s="72">
        <f>(BF917-Driver!$K$191)/(Driver!$L$191-Driver!$K$191)</f>
        <v>9.7250093079394705E-3</v>
      </c>
      <c r="AU917" s="72">
        <f>(BG917-Driver!$K$192)/(Driver!$L$192-Driver!$K$192)</f>
        <v>8.6204268292682934E-3</v>
      </c>
      <c r="AV917" s="70">
        <f t="shared" si="541"/>
        <v>4.6126712793379463</v>
      </c>
      <c r="AW917" s="70">
        <f t="shared" si="542"/>
        <v>46.962369315439403</v>
      </c>
      <c r="AX917" s="70">
        <f t="shared" si="543"/>
        <v>7.0005691519635738</v>
      </c>
      <c r="AY917" s="70">
        <f>IFERROR(Driver!$K$19/Data!BH917/Data!BI917*Data!BK917*Data!BL917,"")</f>
        <v>5.1152360050658353E-2</v>
      </c>
      <c r="AZ917" s="70">
        <f t="shared" si="544"/>
        <v>39.910647803425171</v>
      </c>
      <c r="BA917" s="70"/>
      <c r="BB917" s="70"/>
      <c r="BC917" s="70">
        <f t="shared" si="545"/>
        <v>53.495756677606288</v>
      </c>
      <c r="BD917" s="70">
        <f t="shared" si="546"/>
        <v>55.561806448725321</v>
      </c>
      <c r="BE917" s="70">
        <f t="shared" si="547"/>
        <v>0.86510478922744449</v>
      </c>
      <c r="BF917" s="70">
        <f t="shared" si="548"/>
        <v>1.098371479274616</v>
      </c>
      <c r="BG917" s="70">
        <f t="shared" si="549"/>
        <v>3.2642435213414638E-2</v>
      </c>
      <c r="BH917" s="67">
        <f>MAX((CE917-Driver!$F$200)/(Driver!$G$200-Driver!$F$200)*$BI$1,1)</f>
        <v>7.0005691519635738</v>
      </c>
      <c r="BI917" s="67">
        <f>MAX($BI$1*(BY917-Driver!$F$201)/(Driver!$G$201-Driver!$F$201),1)</f>
        <v>8.4810126582278489</v>
      </c>
      <c r="BJ917" s="67">
        <f>(CB917-Driver!$F$206)/(Driver!$G$206-Driver!$F$206)*$BI$1</f>
        <v>2.6984126984126982</v>
      </c>
      <c r="BK917" s="67">
        <f>(CD917-Driver!$F$203)/(Driver!$G$203-Driver!$F$203)*$BI$1</f>
        <v>2.2018348623853208</v>
      </c>
      <c r="BL917" s="67">
        <f>MAX((CR917-Driver!$F$202)/(Driver!$G$202-Driver!$F$202)*$BI$1,1)</f>
        <v>6.8965517241379315</v>
      </c>
      <c r="BM917" s="67">
        <f>MAX((CH917-Driver!$F$204)/(Driver!$G$204-Driver!$F$204)*$BI$1,1)</f>
        <v>6.8376068376068382</v>
      </c>
      <c r="BN917" s="67">
        <f>(CI917-Driver!$F$205)/(Driver!$G$205-Driver!$F$205)*$BI$1</f>
        <v>4.7058823529411766</v>
      </c>
      <c r="BO917" s="67">
        <f>(CK917-Driver!$F$207)/(Driver!$G$207-Driver!$F$207)*$BI$1</f>
        <v>0.67218200620475699</v>
      </c>
      <c r="BP917" s="67">
        <f>(CM917-Driver!$F$208)/(Driver!$G$208-Driver!$F$208)*$BI$1</f>
        <v>1.3333333333333333</v>
      </c>
      <c r="BQ917" s="67">
        <f>(CL917-Driver!$F$209)/(Driver!$G$209-Driver!$F$209)*$BI$1</f>
        <v>1.5625</v>
      </c>
      <c r="BR917" s="28" t="s">
        <v>155</v>
      </c>
      <c r="BS917" s="8" t="s">
        <v>164</v>
      </c>
      <c r="BT917" s="9" t="s">
        <v>811</v>
      </c>
      <c r="BU917" s="10">
        <v>172</v>
      </c>
      <c r="BV917" s="9" t="s">
        <v>158</v>
      </c>
      <c r="BW917" s="10">
        <v>172</v>
      </c>
      <c r="BX917" s="10">
        <v>171.3</v>
      </c>
      <c r="BY917" s="10">
        <v>142</v>
      </c>
      <c r="BZ917" s="10">
        <v>151</v>
      </c>
      <c r="CA917" s="10">
        <v>128</v>
      </c>
      <c r="CB917" s="10">
        <v>81</v>
      </c>
      <c r="CC917" s="10">
        <v>111</v>
      </c>
      <c r="CD917" s="10">
        <v>14.2</v>
      </c>
      <c r="CE917" s="10">
        <v>2130</v>
      </c>
      <c r="CF917" s="10">
        <v>0.78</v>
      </c>
      <c r="CG917" s="10">
        <v>1653</v>
      </c>
      <c r="CH917" s="10">
        <v>261</v>
      </c>
      <c r="CI917" s="10">
        <v>113</v>
      </c>
      <c r="CJ917" s="10">
        <v>39</v>
      </c>
      <c r="CK917" s="10">
        <v>175</v>
      </c>
      <c r="CL917" s="10">
        <v>10</v>
      </c>
      <c r="CM917" s="10">
        <v>120</v>
      </c>
      <c r="CN917" s="10">
        <v>0.25800000000000001</v>
      </c>
      <c r="CO917" s="10">
        <v>110</v>
      </c>
      <c r="CP917" s="10">
        <v>92</v>
      </c>
      <c r="CQ917" s="10">
        <v>66</v>
      </c>
      <c r="CR917" s="10">
        <v>9</v>
      </c>
      <c r="CS917" s="10">
        <v>10</v>
      </c>
      <c r="CT917" s="9" t="s">
        <v>231</v>
      </c>
      <c r="CU917" s="9" t="s">
        <v>188</v>
      </c>
      <c r="CV917" s="10"/>
      <c r="CW917" s="10"/>
      <c r="CX917" t="str">
        <f>INDEX('Data_Price '!AG$2:AG$1266,MATCH(Data!$DN917,'Data_Price '!$AT$2:$AT$1266,0))</f>
        <v>Elan Wingman 82 CTI Skis 2022 172cm</v>
      </c>
      <c r="CY917" t="str">
        <f>INDEX('Data_Price '!AH$2:AH$1266,MATCH(Data!$DN917,'Data_Price '!$AT$2:$AT$1266,0))</f>
        <v>Berg's Ski &amp; Snowboard Shop</v>
      </c>
      <c r="CZ917">
        <f>INDEX('Data_Price '!AI$2:AI$1266,MATCH(Data!$DN917,'Data_Price '!$AT$2:$AT$1266,0))</f>
        <v>449.99</v>
      </c>
      <c r="DA917" t="str">
        <f>INDEX('Data_Price '!AJ$2:AJ$1266,MATCH(Data!$DN917,'Data_Price '!$AT$2:$AT$1266,0))</f>
        <v>https://tinyurl.com/yc997tko</v>
      </c>
      <c r="DB917" t="str">
        <f>INDEX('Data_Price '!AK$2:AK$1266,MATCH(Data!$DN917,'Data_Price '!$AT$2:$AT$1266,0))</f>
        <v>Elan Wingman 82 CTi Skis 2023 w/bindings 172</v>
      </c>
      <c r="DC917" t="str">
        <f>INDEX('Data_Price '!AL$2:AL$1266,MATCH(Data!$DN917,'Data_Price '!$AT$2:$AT$1266,0))</f>
        <v>Ski Depot RaceSkis.com</v>
      </c>
      <c r="DD917">
        <f>INDEX('Data_Price '!AM$2:AM$1266,MATCH(Data!$DN917,'Data_Price '!$AT$2:$AT$1266,0))</f>
        <v>849.99</v>
      </c>
      <c r="DE917" t="str">
        <f>INDEX('Data_Price '!AN$2:AN$1266,MATCH(Data!$DN917,'Data_Price '!$AT$2:$AT$1266,0))</f>
        <v>https://tinyurl.com/y8r84jjp</v>
      </c>
      <c r="DF917" t="str">
        <f>INDEX('Data_Price '!AO$2:AO$1266,MATCH(Data!$DN917,'Data_Price '!$AT$2:$AT$1266,0))</f>
        <v>Elan Wingman 82 Ti PS ELX 11.0 22</v>
      </c>
      <c r="DG917" t="str">
        <f>INDEX('Data_Price '!AP$2:AP$1266,MATCH(Data!$DN917,'Data_Price '!$AT$2:$AT$1266,0))</f>
        <v>Gorham Bike and Ski</v>
      </c>
      <c r="DH917">
        <f>INDEX('Data_Price '!AQ$2:AQ$1266,MATCH(Data!$DN917,'Data_Price '!$AT$2:$AT$1266,0))</f>
        <v>279.99</v>
      </c>
      <c r="DI917" t="str">
        <f>INDEX('Data_Price '!AR$2:AR$1266,MATCH(Data!$DN917,'Data_Price '!$AT$2:$AT$1266,0))</f>
        <v>https://tinyurl.com/yahrhthp</v>
      </c>
      <c r="DJ917" s="89" t="str">
        <f t="shared" si="550"/>
        <v>https://tinyurl.com/yc997tko</v>
      </c>
      <c r="DK917" s="89" t="str">
        <f t="shared" si="551"/>
        <v>https://tinyurl.com/y8r84jjp</v>
      </c>
      <c r="DL917" s="89" t="str">
        <f t="shared" si="552"/>
        <v>https://tinyurl.com/yahrhthp</v>
      </c>
      <c r="DM917" s="219" t="str">
        <f t="shared" si="553"/>
        <v>Wingman 82 CTi</v>
      </c>
      <c r="DN917" s="89" t="str">
        <f t="shared" si="554"/>
        <v xml:space="preserve"> ElanWingman 82 CTi172 Unisex</v>
      </c>
      <c r="DO917" s="221"/>
    </row>
    <row r="918" spans="2:119" ht="15.6" customHeight="1">
      <c r="B918" s="219" t="b">
        <f t="array" ref="B918">IF(OR(ISERROR(K918:P918)),FALSE,TRUE)</f>
        <v>1</v>
      </c>
      <c r="C918" s="43" t="b">
        <f>OR(BR918=Driver!$G$50,Data!BR431=Driver!$H$50)</f>
        <v>1</v>
      </c>
      <c r="D918" s="43" t="b">
        <f>OR(BV918=Driver!$G$51,BV918=Driver!$H$51)</f>
        <v>1</v>
      </c>
      <c r="E918" s="43" t="b">
        <f>AND(BX918&gt;Driver!$F$54,BX918&lt;Driver!$G$54)</f>
        <v>1</v>
      </c>
      <c r="F918" s="43" t="b">
        <f>CL918&gt;Driver!$F$56</f>
        <v>1</v>
      </c>
      <c r="G918" s="43" t="b">
        <f>AND(CB918&gt;Driver!$F$55,CB918&lt;Driver!$G$55)</f>
        <v>0</v>
      </c>
      <c r="H918" s="43" t="b">
        <f t="shared" si="518"/>
        <v>0</v>
      </c>
      <c r="I918" s="43">
        <f t="shared" si="519"/>
        <v>0</v>
      </c>
      <c r="J918" s="43" t="b">
        <f t="array" ref="J918">NOT(OR(($H$9:$H$1273=TRUE)*($I$9:$I$1273&gt;0)*($BT$9:$BT$1273=BT918)*($K$9:$K$1273&gt;K918)))</f>
        <v>1</v>
      </c>
      <c r="K918" s="72">
        <f t="shared" si="520"/>
        <v>0.77155393805062489</v>
      </c>
      <c r="L918" s="72">
        <f t="shared" si="521"/>
        <v>0.80870863841692087</v>
      </c>
      <c r="M918" s="72">
        <f t="shared" si="522"/>
        <v>0.73439923768432891</v>
      </c>
      <c r="N918" s="72">
        <f t="shared" si="523"/>
        <v>0.7005621076073445</v>
      </c>
      <c r="O918" s="72">
        <f t="shared" si="524"/>
        <v>0.60121775982638193</v>
      </c>
      <c r="P918" s="72">
        <f t="shared" si="525"/>
        <v>0.90141784561926042</v>
      </c>
      <c r="Q918" s="72"/>
      <c r="R918" s="72"/>
      <c r="S918" s="72">
        <f t="shared" si="526"/>
        <v>0.41892227296000428</v>
      </c>
      <c r="T918" s="72">
        <f t="shared" si="527"/>
        <v>0.71271343350972094</v>
      </c>
      <c r="U918" s="72">
        <f t="shared" si="528"/>
        <v>0.51</v>
      </c>
      <c r="V918" s="72">
        <f t="shared" si="529"/>
        <v>0.49398385151192825</v>
      </c>
      <c r="W918" s="72">
        <f t="shared" si="530"/>
        <v>0.77949921752738649</v>
      </c>
      <c r="X918" s="72">
        <f t="shared" si="531"/>
        <v>0.19129136158307913</v>
      </c>
      <c r="Y918" s="72">
        <f t="shared" si="532"/>
        <v>0.26560076231567104</v>
      </c>
      <c r="Z918" s="72">
        <f t="shared" si="533"/>
        <v>0.29943789239265556</v>
      </c>
      <c r="AA918" s="72">
        <f t="shared" si="534"/>
        <v>0.39878224017361802</v>
      </c>
      <c r="AB918" s="72">
        <f t="shared" si="535"/>
        <v>9.8582154380739612E-2</v>
      </c>
      <c r="AC918" s="72"/>
      <c r="AD918" s="72"/>
      <c r="AE918" s="72">
        <f t="shared" si="536"/>
        <v>0.58107772703999572</v>
      </c>
      <c r="AF918" s="72">
        <f t="shared" si="537"/>
        <v>0.28728656649027906</v>
      </c>
      <c r="AG918" s="72">
        <f t="shared" si="538"/>
        <v>0.49</v>
      </c>
      <c r="AH918" s="72">
        <f t="shared" si="539"/>
        <v>0.50601614848807175</v>
      </c>
      <c r="AI918" s="72">
        <f t="shared" si="540"/>
        <v>0.22050078247261345</v>
      </c>
      <c r="AJ918" s="72">
        <f>(AV918-Driver!$K$179)/(Driver!$L$179-Driver!$K$179)</f>
        <v>6.2928047699621292E-2</v>
      </c>
      <c r="AK918" s="72">
        <f>(AW918-Driver!$K$180)/(Driver!$L$180-Driver!$K$180)</f>
        <v>0.17425202427154218</v>
      </c>
      <c r="AL918" s="72">
        <f>(AX918-Driver!$K$181)/(Driver!$L$181-Driver!$K$181)</f>
        <v>0.40112565610573575</v>
      </c>
      <c r="AM918" s="72">
        <f>(AY918-Driver!$K$182)/(Driver!$L$182-Driver!$K$182)</f>
        <v>4.8602780923428325E-2</v>
      </c>
      <c r="AN918" s="72">
        <f>(AZ918-Driver!$K$183)/(Driver!$L$183-Driver!$K$183)</f>
        <v>0.15563725490196081</v>
      </c>
      <c r="AO918" s="72"/>
      <c r="AP918" s="72"/>
      <c r="AQ918" s="72">
        <f>(BC918-Driver!$K$188)/(Driver!$L$188-Driver!$K$188)</f>
        <v>3.8922272960004257E-2</v>
      </c>
      <c r="AR918" s="72">
        <f>MIN((BD918-Driver!$K$189)/(Driver!$L$189-Driver!$K$189),100%)</f>
        <v>0.26271343350972098</v>
      </c>
      <c r="AS918" s="72">
        <f>(BE918-Driver!$K$190)/(Driver!$L$190-Driver!$K$190)</f>
        <v>1</v>
      </c>
      <c r="AT918" s="72">
        <f>(BF918-Driver!$K$191)/(Driver!$L$191-Driver!$K$191)</f>
        <v>3.9838515119282689E-3</v>
      </c>
      <c r="AU918" s="72">
        <f>(BG918-Driver!$K$192)/(Driver!$L$192-Driver!$K$192)</f>
        <v>2.9499217527386542E-2</v>
      </c>
      <c r="AV918" s="70">
        <f t="shared" si="541"/>
        <v>1.324447157780491</v>
      </c>
      <c r="AW918" s="70">
        <f t="shared" si="542"/>
        <v>18.854296416726736</v>
      </c>
      <c r="AX918" s="70">
        <f t="shared" si="543"/>
        <v>4.6101309049516219</v>
      </c>
      <c r="AY918" s="70">
        <f>IFERROR(Driver!$K$19/Data!BH918/Data!BI918*Data!BK918*Data!BL918,"")</f>
        <v>5.9504305520458753E-2</v>
      </c>
      <c r="AZ918" s="70">
        <f t="shared" si="544"/>
        <v>14.184661206254656</v>
      </c>
      <c r="BA918" s="70"/>
      <c r="BB918" s="70"/>
      <c r="BC918" s="70">
        <f t="shared" si="545"/>
        <v>20.189253567605999</v>
      </c>
      <c r="BD918" s="70">
        <f t="shared" si="546"/>
        <v>24.970496249048981</v>
      </c>
      <c r="BE918" s="70">
        <f t="shared" si="547"/>
        <v>1</v>
      </c>
      <c r="BF918" s="70">
        <f t="shared" si="548"/>
        <v>0.44994804013140832</v>
      </c>
      <c r="BG918" s="70">
        <f t="shared" si="549"/>
        <v>0.11170285602503914</v>
      </c>
      <c r="BH918" s="67">
        <f>MAX((CE918-Driver!$F$200)/(Driver!$G$200-Driver!$F$200)*$BI$1,1)</f>
        <v>4.6101309049516219</v>
      </c>
      <c r="BI918" s="67">
        <f>MAX($BI$1*(BY918-Driver!$F$201)/(Driver!$G$201-Driver!$F$201),1)</f>
        <v>8.037974683544304</v>
      </c>
      <c r="BJ918" s="67">
        <f>(CB918-Driver!$F$206)/(Driver!$G$206-Driver!$F$206)*$BI$1</f>
        <v>1.746031746031746</v>
      </c>
      <c r="BK918" s="67">
        <f>(CD918-Driver!$F$203)/(Driver!$G$203-Driver!$F$203)*$BI$1</f>
        <v>1.8807339449541285</v>
      </c>
      <c r="BL918" s="67">
        <f>MAX((CR918-Driver!$F$202)/(Driver!$G$202-Driver!$F$202)*$BI$1,1)</f>
        <v>5.8620689655172411</v>
      </c>
      <c r="BM918" s="67">
        <f>MAX((CH918-Driver!$F$204)/(Driver!$G$204-Driver!$F$204)*$BI$1,1)</f>
        <v>3.0341880341880341</v>
      </c>
      <c r="BN918" s="67">
        <f>(CI918-Driver!$F$205)/(Driver!$G$205-Driver!$F$205)*$BI$1</f>
        <v>1.7647058823529413</v>
      </c>
      <c r="BO918" s="67">
        <f>(CK918-Driver!$F$207)/(Driver!$G$207-Driver!$F$207)*$BI$1</f>
        <v>0.58945191313340228</v>
      </c>
      <c r="BP918" s="67">
        <f>(CM918-Driver!$F$208)/(Driver!$G$208-Driver!$F$208)*$BI$1</f>
        <v>0.82222222222222219</v>
      </c>
      <c r="BQ918" s="67">
        <f>(CL918-Driver!$F$209)/(Driver!$G$209-Driver!$F$209)*$BI$1</f>
        <v>1.5625</v>
      </c>
      <c r="BR918" s="28" t="s">
        <v>155</v>
      </c>
      <c r="BS918" s="8" t="s">
        <v>164</v>
      </c>
      <c r="BT918" s="9" t="s">
        <v>717</v>
      </c>
      <c r="BU918" s="10">
        <v>160</v>
      </c>
      <c r="BV918" s="9" t="s">
        <v>158</v>
      </c>
      <c r="BW918" s="10">
        <v>160</v>
      </c>
      <c r="BX918" s="10">
        <v>159.5</v>
      </c>
      <c r="BY918" s="10">
        <v>135</v>
      </c>
      <c r="BZ918" s="10">
        <v>146</v>
      </c>
      <c r="CA918" s="10">
        <v>126</v>
      </c>
      <c r="CB918" s="10">
        <v>75</v>
      </c>
      <c r="CC918" s="10">
        <v>101</v>
      </c>
      <c r="CD918" s="10">
        <v>13.5</v>
      </c>
      <c r="CE918" s="10">
        <v>1710</v>
      </c>
      <c r="CF918" s="10">
        <v>0.84</v>
      </c>
      <c r="CG918" s="10">
        <v>1435</v>
      </c>
      <c r="CH918" s="10">
        <v>172</v>
      </c>
      <c r="CI918" s="10">
        <v>63</v>
      </c>
      <c r="CJ918" s="10">
        <v>38</v>
      </c>
      <c r="CK918" s="10">
        <v>167</v>
      </c>
      <c r="CL918" s="10">
        <v>10</v>
      </c>
      <c r="CM918" s="10">
        <v>74</v>
      </c>
      <c r="CN918" s="10">
        <v>0.25800000000000001</v>
      </c>
      <c r="CO918" s="10">
        <v>80</v>
      </c>
      <c r="CP918" s="10">
        <v>56</v>
      </c>
      <c r="CQ918" s="10">
        <v>87</v>
      </c>
      <c r="CR918" s="10">
        <v>6</v>
      </c>
      <c r="CS918" s="10">
        <v>11.3</v>
      </c>
      <c r="CT918" s="9" t="s">
        <v>349</v>
      </c>
      <c r="CU918" s="10"/>
      <c r="CV918" s="10"/>
      <c r="CW918" s="10"/>
      <c r="CX918" t="str">
        <f>INDEX('Data_Price '!AG$2:AG$1266,MATCH(Data!$DN918,'Data_Price '!$AT$2:$AT$1266,0))</f>
        <v>Elan Element Ls+elw 9.0 Alpine Skis 160</v>
      </c>
      <c r="CY918" t="str">
        <f>INDEX('Data_Price '!AH$2:AH$1266,MATCH(Data!$DN918,'Data_Price '!$AT$2:$AT$1266,0))</f>
        <v>! OutdoorXL.com</v>
      </c>
      <c r="CZ918">
        <f>INDEX('Data_Price '!AI$2:AI$1266,MATCH(Data!$DN918,'Data_Price '!$AT$2:$AT$1266,0))</f>
        <v>284.95</v>
      </c>
      <c r="DA918" t="str">
        <f>INDEX('Data_Price '!AJ$2:AJ$1266,MATCH(Data!$DN918,'Data_Price '!$AT$2:$AT$1266,0))</f>
        <v>https://tinyurl.com/y79rwesp</v>
      </c>
      <c r="DB918" t="str">
        <f>INDEX('Data_Price '!AK$2:AK$1266,MATCH(Data!$DN918,'Data_Price '!$AT$2:$AT$1266,0))</f>
        <v>Elan Element LS EL 10.0 Orange / 160cm</v>
      </c>
      <c r="DC918" t="str">
        <f>INDEX('Data_Price '!AL$2:AL$1266,MATCH(Data!$DN918,'Data_Price '!$AT$2:$AT$1266,0))</f>
        <v>Sundance Ski and Board Shop</v>
      </c>
      <c r="DD918">
        <f>INDEX('Data_Price '!AM$2:AM$1266,MATCH(Data!$DN918,'Data_Price '!$AT$2:$AT$1266,0))</f>
        <v>424.76</v>
      </c>
      <c r="DE918" t="str">
        <f>INDEX('Data_Price '!AN$2:AN$1266,MATCH(Data!$DN918,'Data_Price '!$AT$2:$AT$1266,0))</f>
        <v>https://tinyurl.com/ybuy5fjt</v>
      </c>
      <c r="DF918" t="str">
        <f>INDEX('Data_Price '!AO$2:AO$1266,MATCH(Data!$DN918,'Data_Price '!$AT$2:$AT$1266,0))</f>
        <v>ELAN Men's ELEMENT BLACK SKI + ELW 10.0 Binding 160</v>
      </c>
      <c r="DG918" t="str">
        <f>INDEX('Data_Price '!AP$2:AP$1266,MATCH(Data!$DN918,'Data_Price '!$AT$2:$AT$1266,0))</f>
        <v>Elevation Skate Snow</v>
      </c>
      <c r="DH918">
        <f>INDEX('Data_Price '!AQ$2:AQ$1266,MATCH(Data!$DN918,'Data_Price '!$AT$2:$AT$1266,0))</f>
        <v>449.99</v>
      </c>
      <c r="DI918" t="str">
        <f>INDEX('Data_Price '!AR$2:AR$1266,MATCH(Data!$DN918,'Data_Price '!$AT$2:$AT$1266,0))</f>
        <v>https://tinyurl.com/y7xrtj9j</v>
      </c>
      <c r="DJ918" s="89" t="str">
        <f t="shared" si="550"/>
        <v>https://tinyurl.com/y79rwesp</v>
      </c>
      <c r="DK918" s="89" t="str">
        <f t="shared" si="551"/>
        <v>https://tinyurl.com/ybuy5fjt</v>
      </c>
      <c r="DL918" s="89" t="str">
        <f t="shared" si="552"/>
        <v>https://tinyurl.com/y7xrtj9j</v>
      </c>
      <c r="DM918" s="219" t="str">
        <f t="shared" si="553"/>
        <v>Element</v>
      </c>
      <c r="DN918" s="89" t="str">
        <f t="shared" si="554"/>
        <v xml:space="preserve"> ElanElement160 Unisex</v>
      </c>
      <c r="DO918" s="221"/>
    </row>
    <row r="919" spans="2:119" ht="15.6" customHeight="1">
      <c r="B919" s="219" t="b">
        <f t="array" ref="B919">IF(OR(ISERROR(K919:P919)),FALSE,TRUE)</f>
        <v>1</v>
      </c>
      <c r="C919" s="43" t="b">
        <f>OR(BR919=Driver!$G$50,Data!BR485=Driver!$H$50)</f>
        <v>1</v>
      </c>
      <c r="D919" s="43" t="b">
        <f>OR(BV919=Driver!$G$51,BV919=Driver!$H$51)</f>
        <v>1</v>
      </c>
      <c r="E919" s="43" t="b">
        <f>AND(BX919&gt;Driver!$F$54,BX919&lt;Driver!$G$54)</f>
        <v>0</v>
      </c>
      <c r="F919" s="43" t="b">
        <f>CL919&gt;Driver!$F$56</f>
        <v>1</v>
      </c>
      <c r="G919" s="43" t="b">
        <f>AND(CB919&gt;Driver!$F$55,CB919&lt;Driver!$G$55)</f>
        <v>0</v>
      </c>
      <c r="H919" s="43" t="b">
        <f t="shared" si="518"/>
        <v>0</v>
      </c>
      <c r="I919" s="43">
        <f t="shared" si="519"/>
        <v>0</v>
      </c>
      <c r="J919" s="43" t="b">
        <f t="array" ref="J919">NOT(OR(($H$9:$H$1273=TRUE)*($I$9:$I$1273&gt;0)*($BT$9:$BT$1273=BT919)*($K$9:$K$1273&gt;K919)))</f>
        <v>1</v>
      </c>
      <c r="K919" s="72">
        <f t="shared" si="520"/>
        <v>0.78715094357769921</v>
      </c>
      <c r="L919" s="72">
        <f t="shared" si="521"/>
        <v>0.9602677392146004</v>
      </c>
      <c r="M919" s="72">
        <f t="shared" si="522"/>
        <v>0.61403414794079803</v>
      </c>
      <c r="N919" s="72">
        <f t="shared" si="523"/>
        <v>0.40460308654872179</v>
      </c>
      <c r="O919" s="72">
        <f t="shared" si="524"/>
        <v>0.60791230093214832</v>
      </c>
      <c r="P919" s="72">
        <f t="shared" si="525"/>
        <v>0.82958705634152397</v>
      </c>
      <c r="Q919" s="72"/>
      <c r="R919" s="72"/>
      <c r="S919" s="72">
        <f t="shared" si="526"/>
        <v>0.50820261904823438</v>
      </c>
      <c r="T919" s="72">
        <f t="shared" si="527"/>
        <v>0.67888343543497354</v>
      </c>
      <c r="U919" s="72">
        <f t="shared" si="528"/>
        <v>0.88972833966213349</v>
      </c>
      <c r="V919" s="72">
        <f t="shared" si="529"/>
        <v>0.50458678474337026</v>
      </c>
      <c r="W919" s="72">
        <f t="shared" si="530"/>
        <v>0.7587766267023629</v>
      </c>
      <c r="X919" s="72">
        <f t="shared" si="531"/>
        <v>3.9732260785399653E-2</v>
      </c>
      <c r="Y919" s="72">
        <f t="shared" si="532"/>
        <v>0.38596585205920197</v>
      </c>
      <c r="Z919" s="72">
        <f t="shared" si="533"/>
        <v>0.59539691345127821</v>
      </c>
      <c r="AA919" s="72">
        <f t="shared" si="534"/>
        <v>0.39208769906785162</v>
      </c>
      <c r="AB919" s="72">
        <f t="shared" si="535"/>
        <v>0.17041294365847598</v>
      </c>
      <c r="AC919" s="72"/>
      <c r="AD919" s="72"/>
      <c r="AE919" s="72">
        <f t="shared" si="536"/>
        <v>0.49179738095176562</v>
      </c>
      <c r="AF919" s="72">
        <f t="shared" si="537"/>
        <v>0.32111656456502641</v>
      </c>
      <c r="AG919" s="72">
        <f t="shared" si="538"/>
        <v>0.11027166033786651</v>
      </c>
      <c r="AH919" s="72">
        <f t="shared" si="539"/>
        <v>0.49541321525662974</v>
      </c>
      <c r="AI919" s="72">
        <f t="shared" si="540"/>
        <v>0.24122337329763707</v>
      </c>
      <c r="AJ919" s="72">
        <f>(AV919-Driver!$K$179)/(Driver!$L$179-Driver!$K$179)</f>
        <v>0.21448714849730077</v>
      </c>
      <c r="AK919" s="72">
        <f>(AW919-Driver!$K$180)/(Driver!$L$180-Driver!$K$180)</f>
        <v>0.45321933405801362</v>
      </c>
      <c r="AL919" s="72">
        <f>(AX919-Driver!$K$181)/(Driver!$L$181-Driver!$K$181)</f>
        <v>0.6970846771643584</v>
      </c>
      <c r="AM919" s="72">
        <f>(AY919-Driver!$K$182)/(Driver!$L$182-Driver!$K$182)</f>
        <v>5.5297322029194726E-2</v>
      </c>
      <c r="AN919" s="72">
        <f>(AZ919-Driver!$K$183)/(Driver!$L$183-Driver!$K$183)</f>
        <v>0.42463235294117641</v>
      </c>
      <c r="AO919" s="72"/>
      <c r="AP919" s="72"/>
      <c r="AQ919" s="72">
        <f>(BC919-Driver!$K$188)/(Driver!$L$188-Driver!$K$188)</f>
        <v>0.12820261904823438</v>
      </c>
      <c r="AR919" s="72">
        <f>MIN((BD919-Driver!$K$189)/(Driver!$L$189-Driver!$K$189),100%)</f>
        <v>0.22888343543497364</v>
      </c>
      <c r="AS919" s="72">
        <f>(BE919-Driver!$K$190)/(Driver!$L$190-Driver!$K$190)</f>
        <v>0.62027166033786652</v>
      </c>
      <c r="AT919" s="72">
        <f>(BF919-Driver!$K$191)/(Driver!$L$191-Driver!$K$191)</f>
        <v>1.4586784743370284E-2</v>
      </c>
      <c r="AU919" s="72">
        <f>(BG919-Driver!$K$192)/(Driver!$L$192-Driver!$K$192)</f>
        <v>8.7766267023629378E-3</v>
      </c>
      <c r="AV919" s="70">
        <f t="shared" si="541"/>
        <v>4.5143128476461811</v>
      </c>
      <c r="AW919" s="70">
        <f t="shared" si="542"/>
        <v>46.04213265724573</v>
      </c>
      <c r="AX919" s="70">
        <f t="shared" si="543"/>
        <v>7.2737620944792258</v>
      </c>
      <c r="AY919" s="70">
        <f>IFERROR(Driver!$K$19/Data!BH919/Data!BI919*Data!BK919*Data!BL919,"")</f>
        <v>6.7700421292195848E-2</v>
      </c>
      <c r="AZ919" s="70">
        <f t="shared" si="544"/>
        <v>38.700670141474305</v>
      </c>
      <c r="BA919" s="70"/>
      <c r="BB919" s="70"/>
      <c r="BC919" s="70">
        <f t="shared" si="545"/>
        <v>66.499589750467521</v>
      </c>
      <c r="BD919" s="70">
        <f t="shared" si="546"/>
        <v>21.9766013626434</v>
      </c>
      <c r="BE919" s="70">
        <f t="shared" si="547"/>
        <v>0.62033939959963769</v>
      </c>
      <c r="BF919" s="70">
        <f t="shared" si="548"/>
        <v>1.6474748588010029</v>
      </c>
      <c r="BG919" s="70">
        <f t="shared" si="549"/>
        <v>3.3233907577697591E-2</v>
      </c>
      <c r="BH919" s="67">
        <f>MAX((CE919-Driver!$F$200)/(Driver!$G$200-Driver!$F$200)*$BI$1,1)</f>
        <v>7.2737620944792258</v>
      </c>
      <c r="BI919" s="67">
        <f>MAX($BI$1*(BY919-Driver!$F$201)/(Driver!$G$201-Driver!$F$201),1)</f>
        <v>8.5443037974683538</v>
      </c>
      <c r="BJ919" s="67">
        <f>(CB919-Driver!$F$206)/(Driver!$G$206-Driver!$F$206)*$BI$1</f>
        <v>3.4920634920634921</v>
      </c>
      <c r="BK919" s="67">
        <f>(CD919-Driver!$F$203)/(Driver!$G$203-Driver!$F$203)*$BI$1</f>
        <v>3.2110091743119265</v>
      </c>
      <c r="BL919" s="67">
        <f>MAX((CR919-Driver!$F$202)/(Driver!$G$202-Driver!$F$202)*$BI$1,1)</f>
        <v>6.5517241379310338</v>
      </c>
      <c r="BM919" s="67">
        <f>MAX((CH919-Driver!$F$204)/(Driver!$G$204-Driver!$F$204)*$BI$1,1)</f>
        <v>5.1709401709401712</v>
      </c>
      <c r="BN919" s="67">
        <f>(CI919-Driver!$F$205)/(Driver!$G$205-Driver!$F$205)*$BI$1</f>
        <v>4.5294117647058822</v>
      </c>
      <c r="BO919" s="67">
        <f>(CK919-Driver!$F$207)/(Driver!$G$207-Driver!$F$207)*$BI$1</f>
        <v>1.0651499482936919</v>
      </c>
      <c r="BP919" s="67">
        <f>(CM919-Driver!$F$208)/(Driver!$G$208-Driver!$F$208)*$BI$1</f>
        <v>1.4222222222222223</v>
      </c>
      <c r="BQ919" s="67">
        <f>(CL919-Driver!$F$209)/(Driver!$G$209-Driver!$F$209)*$BI$1</f>
        <v>1.25</v>
      </c>
      <c r="BR919" s="28" t="s">
        <v>155</v>
      </c>
      <c r="BS919" s="8" t="s">
        <v>164</v>
      </c>
      <c r="BT919" s="9" t="s">
        <v>627</v>
      </c>
      <c r="BU919" s="10">
        <v>178</v>
      </c>
      <c r="BV919" s="9" t="s">
        <v>158</v>
      </c>
      <c r="BW919" s="10">
        <v>178</v>
      </c>
      <c r="BX919" s="10">
        <v>177.4</v>
      </c>
      <c r="BY919" s="10">
        <v>143</v>
      </c>
      <c r="BZ919" s="10">
        <v>158</v>
      </c>
      <c r="CA919" s="10">
        <v>130</v>
      </c>
      <c r="CB919" s="10">
        <v>86</v>
      </c>
      <c r="CC919" s="10">
        <v>114</v>
      </c>
      <c r="CD919" s="10">
        <v>16.399999999999999</v>
      </c>
      <c r="CE919" s="10">
        <v>2178</v>
      </c>
      <c r="CF919" s="10">
        <v>0.81</v>
      </c>
      <c r="CG919" s="10">
        <v>1770</v>
      </c>
      <c r="CH919" s="10">
        <v>222</v>
      </c>
      <c r="CI919" s="10">
        <v>110</v>
      </c>
      <c r="CJ919" s="10">
        <v>39</v>
      </c>
      <c r="CK919" s="10">
        <v>213</v>
      </c>
      <c r="CL919" s="10">
        <v>8</v>
      </c>
      <c r="CM919" s="10">
        <v>128</v>
      </c>
      <c r="CN919" s="10">
        <v>0.20499999999999999</v>
      </c>
      <c r="CO919" s="10">
        <v>100</v>
      </c>
      <c r="CP919" s="10">
        <v>96</v>
      </c>
      <c r="CQ919" s="10">
        <v>113</v>
      </c>
      <c r="CR919" s="10">
        <v>8</v>
      </c>
      <c r="CS919" s="10">
        <v>9</v>
      </c>
      <c r="CT919" s="9" t="s">
        <v>188</v>
      </c>
      <c r="CU919" s="10"/>
      <c r="CV919" s="10"/>
      <c r="CW919" s="10"/>
      <c r="CX919" t="str">
        <f>INDEX('Data_Price '!AG$2:AG$1266,MATCH(Data!$DN919,'Data_Price '!$AT$2:$AT$1266,0))</f>
        <v>Elan Wingman 86 Ti Skis 2022</v>
      </c>
      <c r="CY919" t="str">
        <f>INDEX('Data_Price '!AH$2:AH$1266,MATCH(Data!$DN919,'Data_Price '!$AT$2:$AT$1266,0))</f>
        <v>Next Adventure</v>
      </c>
      <c r="CZ919">
        <f>INDEX('Data_Price '!AI$2:AI$1266,MATCH(Data!$DN919,'Data_Price '!$AT$2:$AT$1266,0))</f>
        <v>374.99</v>
      </c>
      <c r="DA919" t="str">
        <f>INDEX('Data_Price '!AJ$2:AJ$1266,MATCH(Data!$DN919,'Data_Price '!$AT$2:$AT$1266,0))</f>
        <v>https://tinyurl.com/ybq9chel</v>
      </c>
      <c r="DB919" t="str">
        <f>INDEX('Data_Price '!AK$2:AK$1266,MATCH(Data!$DN919,'Data_Price '!$AT$2:$AT$1266,0))</f>
        <v>Elan Wingman 86 Ti Skis 2022</v>
      </c>
      <c r="DC919" t="str">
        <f>INDEX('Data_Price '!AL$2:AL$1266,MATCH(Data!$DN919,'Data_Price '!$AT$2:$AT$1266,0))</f>
        <v>Suburban Ski and Bike</v>
      </c>
      <c r="DD919">
        <f>INDEX('Data_Price '!AM$2:AM$1266,MATCH(Data!$DN919,'Data_Price '!$AT$2:$AT$1266,0))</f>
        <v>480</v>
      </c>
      <c r="DE919" t="str">
        <f>INDEX('Data_Price '!AN$2:AN$1266,MATCH(Data!$DN919,'Data_Price '!$AT$2:$AT$1266,0))</f>
        <v>https://tinyurl.com/y8qmzs44</v>
      </c>
      <c r="DF919" t="str">
        <f>INDEX('Data_Price '!AO$2:AO$1266,MATCH(Data!$DN919,'Data_Price '!$AT$2:$AT$1266,0))</f>
        <v>Elan Wingman 86 Ti Skis 2023 178</v>
      </c>
      <c r="DG919" t="str">
        <f>INDEX('Data_Price '!AP$2:AP$1266,MATCH(Data!$DN919,'Data_Price '!$AT$2:$AT$1266,0))</f>
        <v>Ski Depot RaceSkis.com</v>
      </c>
      <c r="DH919">
        <f>INDEX('Data_Price '!AQ$2:AQ$1266,MATCH(Data!$DN919,'Data_Price '!$AT$2:$AT$1266,0))</f>
        <v>499.99</v>
      </c>
      <c r="DI919" t="str">
        <f>INDEX('Data_Price '!AR$2:AR$1266,MATCH(Data!$DN919,'Data_Price '!$AT$2:$AT$1266,0))</f>
        <v>https://tinyurl.com/yax434yo</v>
      </c>
      <c r="DJ919" s="89" t="str">
        <f t="shared" si="550"/>
        <v>https://tinyurl.com/ybq9chel</v>
      </c>
      <c r="DK919" s="89" t="str">
        <f t="shared" si="551"/>
        <v>https://tinyurl.com/y8qmzs44</v>
      </c>
      <c r="DL919" s="89" t="str">
        <f t="shared" si="552"/>
        <v>https://tinyurl.com/yax434yo</v>
      </c>
      <c r="DM919" s="219" t="str">
        <f t="shared" si="553"/>
        <v>Wingman 86 Ti</v>
      </c>
      <c r="DN919" s="89" t="str">
        <f t="shared" si="554"/>
        <v xml:space="preserve"> ElanWingman 86 Ti178 Unisex</v>
      </c>
      <c r="DO919" s="221"/>
    </row>
    <row r="920" spans="2:119" ht="15.6" customHeight="1">
      <c r="B920" s="219" t="b">
        <f t="array" ref="B920">IF(OR(ISERROR(K920:P920)),FALSE,TRUE)</f>
        <v>1</v>
      </c>
      <c r="C920" s="43" t="b">
        <f>OR(BR920=Driver!$G$50,Data!BR1097=Driver!$H$50)</f>
        <v>1</v>
      </c>
      <c r="D920" s="43" t="b">
        <f>OR(BV920=Driver!$G$51,BV920=Driver!$H$51)</f>
        <v>1</v>
      </c>
      <c r="E920" s="43" t="b">
        <f>AND(BX920&gt;Driver!$F$54,BX920&lt;Driver!$G$54)</f>
        <v>0</v>
      </c>
      <c r="F920" s="43" t="b">
        <f>CL920&gt;Driver!$F$56</f>
        <v>1</v>
      </c>
      <c r="G920" s="43" t="b">
        <f>AND(CB920&gt;Driver!$F$55,CB920&lt;Driver!$G$55)</f>
        <v>0</v>
      </c>
      <c r="H920" s="43" t="b">
        <f t="shared" si="518"/>
        <v>0</v>
      </c>
      <c r="I920" s="43">
        <f t="shared" si="519"/>
        <v>0</v>
      </c>
      <c r="J920" s="43" t="b">
        <f t="array" ref="J920">NOT(OR(($H$9:$H$1273=TRUE)*($I$9:$I$1273&gt;0)*($BT$9:$BT$1273=BT920)*($K$9:$K$1273&gt;K920)))</f>
        <v>1</v>
      </c>
      <c r="K920" s="72">
        <f t="shared" si="520"/>
        <v>0.74148309541936952</v>
      </c>
      <c r="L920" s="72">
        <f t="shared" si="521"/>
        <v>0.83151099116851213</v>
      </c>
      <c r="M920" s="72">
        <f t="shared" si="522"/>
        <v>0.65145519967022691</v>
      </c>
      <c r="N920" s="72">
        <f t="shared" si="523"/>
        <v>0.49377022750869137</v>
      </c>
      <c r="O920" s="72">
        <f t="shared" si="524"/>
        <v>0.60380243280752421</v>
      </c>
      <c r="P920" s="72">
        <f t="shared" si="525"/>
        <v>0.85679293869446516</v>
      </c>
      <c r="Q920" s="72"/>
      <c r="R920" s="72"/>
      <c r="S920" s="72">
        <f t="shared" si="526"/>
        <v>0.52781287278945843</v>
      </c>
      <c r="T920" s="72">
        <f t="shared" si="527"/>
        <v>0.55000000000000004</v>
      </c>
      <c r="U920" s="72">
        <f t="shared" si="528"/>
        <v>0.51</v>
      </c>
      <c r="V920" s="72">
        <f t="shared" si="529"/>
        <v>0.49076906443256663</v>
      </c>
      <c r="W920" s="72">
        <f t="shared" si="530"/>
        <v>0.75448747197809829</v>
      </c>
      <c r="X920" s="72">
        <f t="shared" si="531"/>
        <v>0.16848900883148782</v>
      </c>
      <c r="Y920" s="72">
        <f t="shared" si="532"/>
        <v>0.34854480032977309</v>
      </c>
      <c r="Z920" s="72">
        <f t="shared" si="533"/>
        <v>0.50622977249130863</v>
      </c>
      <c r="AA920" s="72">
        <f t="shared" si="534"/>
        <v>0.39619756719247579</v>
      </c>
      <c r="AB920" s="72">
        <f t="shared" si="535"/>
        <v>0.14320706130553484</v>
      </c>
      <c r="AC920" s="72"/>
      <c r="AD920" s="72"/>
      <c r="AE920" s="72">
        <f t="shared" si="536"/>
        <v>0.47218712721054162</v>
      </c>
      <c r="AF920" s="72">
        <f t="shared" si="537"/>
        <v>0.44999999999999996</v>
      </c>
      <c r="AG920" s="72">
        <f t="shared" si="538"/>
        <v>0.49</v>
      </c>
      <c r="AH920" s="72">
        <f t="shared" si="539"/>
        <v>0.50923093556743337</v>
      </c>
      <c r="AI920" s="72">
        <f t="shared" si="540"/>
        <v>0.24551252802190171</v>
      </c>
      <c r="AJ920" s="72">
        <f>(AV920-Driver!$K$179)/(Driver!$L$179-Driver!$K$179)</f>
        <v>8.5730400451212607E-2</v>
      </c>
      <c r="AK920" s="72">
        <f>(AW920-Driver!$K$180)/(Driver!$L$180-Driver!$K$180)</f>
        <v>0.41949167299118123</v>
      </c>
      <c r="AL920" s="72">
        <f>(AX920-Driver!$K$181)/(Driver!$L$181-Driver!$K$181)</f>
        <v>0.60791753620438882</v>
      </c>
      <c r="AM920" s="72">
        <f>(AY920-Driver!$K$182)/(Driver!$L$182-Driver!$K$182)</f>
        <v>5.11874539045706E-2</v>
      </c>
      <c r="AN920" s="72">
        <f>(AZ920-Driver!$K$183)/(Driver!$L$183-Driver!$K$183)</f>
        <v>0.39742647058823527</v>
      </c>
      <c r="AO920" s="72"/>
      <c r="AP920" s="72"/>
      <c r="AQ920" s="72">
        <f>(BC920-Driver!$K$188)/(Driver!$L$188-Driver!$K$188)</f>
        <v>0.14781287278945837</v>
      </c>
      <c r="AR920" s="72">
        <f>MIN((BD920-Driver!$K$189)/(Driver!$L$189-Driver!$K$189),100%)</f>
        <v>1</v>
      </c>
      <c r="AS920" s="72">
        <f>(BE920-Driver!$K$190)/(Driver!$L$190-Driver!$K$190)</f>
        <v>1</v>
      </c>
      <c r="AT920" s="72">
        <f>(BF920-Driver!$K$191)/(Driver!$L$191-Driver!$K$191)</f>
        <v>7.6906443256660208E-4</v>
      </c>
      <c r="AU920" s="72">
        <f>(BG920-Driver!$K$192)/(Driver!$L$192-Driver!$K$192)</f>
        <v>4.4874719780982801E-3</v>
      </c>
      <c r="AV920" s="70">
        <f t="shared" si="541"/>
        <v>1.8043684710351373</v>
      </c>
      <c r="AW920" s="70">
        <f t="shared" si="542"/>
        <v>42.755073228803568</v>
      </c>
      <c r="AX920" s="70">
        <f t="shared" si="543"/>
        <v>6.4712578258394995</v>
      </c>
      <c r="AY920" s="70">
        <f>IFERROR(Driver!$K$19/Data!BH920/Data!BI920*Data!BK920*Data!BL920,"")</f>
        <v>6.2668716441362002E-2</v>
      </c>
      <c r="AZ920" s="70">
        <f t="shared" si="544"/>
        <v>36.221146686522708</v>
      </c>
      <c r="BA920" s="70"/>
      <c r="BB920" s="70"/>
      <c r="BC920" s="70">
        <f t="shared" si="545"/>
        <v>76.671564694312693</v>
      </c>
      <c r="BD920" s="70">
        <f t="shared" si="546"/>
        <v>92.119777876862287</v>
      </c>
      <c r="BE920" s="70">
        <f t="shared" si="547"/>
        <v>1</v>
      </c>
      <c r="BF920" s="70">
        <f t="shared" si="548"/>
        <v>8.6860424674971376E-2</v>
      </c>
      <c r="BG920" s="70">
        <f t="shared" si="549"/>
        <v>1.699243160672129E-2</v>
      </c>
      <c r="BH920" s="67">
        <f>MAX((CE920-Driver!$F$200)/(Driver!$G$200-Driver!$F$200)*$BI$1,1)</f>
        <v>6.4712578258394995</v>
      </c>
      <c r="BI920" s="67">
        <f>MAX($BI$1*(BY920-Driver!$F$201)/(Driver!$G$201-Driver!$F$201),1)</f>
        <v>8.924050632911392</v>
      </c>
      <c r="BJ920" s="67">
        <f>(CB920-Driver!$F$206)/(Driver!$G$206-Driver!$F$206)*$BI$1</f>
        <v>1.2698412698412698</v>
      </c>
      <c r="BK920" s="67">
        <f>(CD920-Driver!$F$203)/(Driver!$G$203-Driver!$F$203)*$BI$1</f>
        <v>2.3853211009174311</v>
      </c>
      <c r="BL920" s="67">
        <f>MAX((CR920-Driver!$F$202)/(Driver!$G$202-Driver!$F$202)*$BI$1,1)</f>
        <v>7.5862068965517242</v>
      </c>
      <c r="BM920" s="67">
        <f>MAX((CH920-Driver!$F$204)/(Driver!$G$204-Driver!$F$204)*$BI$1,1)</f>
        <v>5.6837606837606831</v>
      </c>
      <c r="BN920" s="67">
        <f>(CI920-Driver!$F$205)/(Driver!$G$205-Driver!$F$205)*$BI$1</f>
        <v>4.0588235294117645</v>
      </c>
      <c r="BO920" s="67">
        <f>(CK920-Driver!$F$207)/(Driver!$G$207-Driver!$F$207)*$BI$1</f>
        <v>0.20682523267838676</v>
      </c>
      <c r="BP920" s="67">
        <f>(CM920-Driver!$F$208)/(Driver!$G$208-Driver!$F$208)*$BI$1</f>
        <v>0.78888888888888886</v>
      </c>
      <c r="BQ920" s="67">
        <f>(CL920-Driver!$F$209)/(Driver!$G$209-Driver!$F$209)*$BI$1</f>
        <v>0.625</v>
      </c>
      <c r="BR920" s="28" t="s">
        <v>155</v>
      </c>
      <c r="BS920" s="8" t="s">
        <v>174</v>
      </c>
      <c r="BT920" s="9" t="s">
        <v>672</v>
      </c>
      <c r="BU920" s="10">
        <v>170</v>
      </c>
      <c r="BV920" s="9" t="s">
        <v>158</v>
      </c>
      <c r="BW920" s="10">
        <v>170</v>
      </c>
      <c r="BX920" s="10">
        <v>169.4</v>
      </c>
      <c r="BY920" s="10">
        <v>149</v>
      </c>
      <c r="BZ920" s="10">
        <v>158</v>
      </c>
      <c r="CA920" s="10">
        <v>121</v>
      </c>
      <c r="CB920" s="10">
        <v>72</v>
      </c>
      <c r="CC920" s="10">
        <v>104</v>
      </c>
      <c r="CD920" s="10">
        <v>14.6</v>
      </c>
      <c r="CE920" s="10">
        <v>2037</v>
      </c>
      <c r="CF920" s="10">
        <v>0.73</v>
      </c>
      <c r="CG920" s="10">
        <v>1494</v>
      </c>
      <c r="CH920" s="10">
        <v>234</v>
      </c>
      <c r="CI920" s="10">
        <v>102</v>
      </c>
      <c r="CJ920" s="10">
        <v>30</v>
      </c>
      <c r="CK920" s="10">
        <v>130</v>
      </c>
      <c r="CL920" s="10">
        <v>4</v>
      </c>
      <c r="CM920" s="10">
        <v>71</v>
      </c>
      <c r="CN920" s="10">
        <v>0.14599999999999999</v>
      </c>
      <c r="CO920" s="10">
        <v>81</v>
      </c>
      <c r="CP920" s="10">
        <v>38</v>
      </c>
      <c r="CQ920" s="10">
        <v>49</v>
      </c>
      <c r="CR920" s="10">
        <v>11</v>
      </c>
      <c r="CS920" s="10">
        <v>11.4</v>
      </c>
      <c r="CT920" s="9" t="s">
        <v>349</v>
      </c>
      <c r="CU920" s="10"/>
      <c r="CV920" s="10"/>
      <c r="CW920" s="10"/>
      <c r="CX920" t="str">
        <f>INDEX('Data_Price '!AG$2:AG$1266,MATCH(Data!$DN920,'Data_Price '!$AT$2:$AT$1266,0))</f>
        <v>Salomon S/MAX 8 M11 GW Skis, 170cm Black 2021</v>
      </c>
      <c r="CY920" t="str">
        <f>INDEX('Data_Price '!AH$2:AH$1266,MATCH(Data!$DN920,'Data_Price '!$AT$2:$AT$1266,0))</f>
        <v>Absolute-Snow.co.uk</v>
      </c>
      <c r="CZ920">
        <f>INDEX('Data_Price '!AI$2:AI$1266,MATCH(Data!$DN920,'Data_Price '!$AT$2:$AT$1266,0))</f>
        <v>355.98</v>
      </c>
      <c r="DA920" t="str">
        <f>INDEX('Data_Price '!AJ$2:AJ$1266,MATCH(Data!$DN920,'Data_Price '!$AT$2:$AT$1266,0))</f>
        <v>https://tinyurl.com/y9fg9t6q</v>
      </c>
      <c r="DB920" t="str">
        <f>INDEX('Data_Price '!AK$2:AK$1266,MATCH(Data!$DN920,'Data_Price '!$AT$2:$AT$1266,0))</f>
        <v>Salomon Ski Set E S/Max 8 + M11 GW L80 Skis - Dark Grey/Yellow/Black</v>
      </c>
      <c r="DC920" t="str">
        <f>INDEX('Data_Price '!AL$2:AL$1266,MATCH(Data!$DN920,'Data_Price '!$AT$2:$AT$1266,0))</f>
        <v>Surfdome US</v>
      </c>
      <c r="DD920">
        <f>INDEX('Data_Price '!AM$2:AM$1266,MATCH(Data!$DN920,'Data_Price '!$AT$2:$AT$1266,0))</f>
        <v>453.95</v>
      </c>
      <c r="DE920" t="str">
        <f>INDEX('Data_Price '!AN$2:AN$1266,MATCH(Data!$DN920,'Data_Price '!$AT$2:$AT$1266,0))</f>
        <v>https://tinyurl.com/y72k8bbj</v>
      </c>
      <c r="DF920" t="str">
        <f>INDEX('Data_Price '!AO$2:AO$1266,MATCH(Data!$DN920,'Data_Price '!$AT$2:$AT$1266,0))</f>
        <v>Salomon Ski Set E S/Max 8 + M11 GW L80 Skis - Dark Grey/Yellow/Black</v>
      </c>
      <c r="DG920" t="str">
        <f>INDEX('Data_Price '!AP$2:AP$1266,MATCH(Data!$DN920,'Data_Price '!$AT$2:$AT$1266,0))</f>
        <v>eBay - extremepiestores</v>
      </c>
      <c r="DH920">
        <f>INDEX('Data_Price '!AQ$2:AQ$1266,MATCH(Data!$DN920,'Data_Price '!$AT$2:$AT$1266,0))</f>
        <v>500.62</v>
      </c>
      <c r="DI920" t="str">
        <f>INDEX('Data_Price '!AR$2:AR$1266,MATCH(Data!$DN920,'Data_Price '!$AT$2:$AT$1266,0))</f>
        <v>https://tinyurl.com/y8gpduku</v>
      </c>
      <c r="DJ920" s="89" t="str">
        <f t="shared" si="550"/>
        <v>https://tinyurl.com/y9fg9t6q</v>
      </c>
      <c r="DK920" s="89" t="str">
        <f t="shared" si="551"/>
        <v>https://tinyurl.com/y72k8bbj</v>
      </c>
      <c r="DL920" s="89" t="str">
        <f t="shared" si="552"/>
        <v>https://tinyurl.com/y8gpduku</v>
      </c>
      <c r="DM920" s="219" t="str">
        <f t="shared" si="553"/>
        <v>S/Max 8</v>
      </c>
      <c r="DN920" s="89" t="str">
        <f t="shared" si="554"/>
        <v xml:space="preserve"> SalomonS/Max 8170 Unisex</v>
      </c>
      <c r="DO920" s="221"/>
    </row>
    <row r="921" spans="2:119" ht="15.6" customHeight="1">
      <c r="B921" s="219" t="b">
        <f t="array" ref="B921">IF(OR(ISERROR(K921:P921)),FALSE,TRUE)</f>
        <v>1</v>
      </c>
      <c r="C921" s="43" t="b">
        <f>OR(BR921=Driver!$G$50,Data!BR556=Driver!$H$50)</f>
        <v>1</v>
      </c>
      <c r="D921" s="43" t="b">
        <f>OR(BV921=Driver!$G$51,BV921=Driver!$H$51)</f>
        <v>1</v>
      </c>
      <c r="E921" s="43" t="b">
        <f>AND(BX921&gt;Driver!$F$54,BX921&lt;Driver!$G$54)</f>
        <v>0</v>
      </c>
      <c r="F921" s="43" t="b">
        <f>CL921&gt;Driver!$F$56</f>
        <v>1</v>
      </c>
      <c r="G921" s="43" t="b">
        <f>AND(CB921&gt;Driver!$F$55,CB921&lt;Driver!$G$55)</f>
        <v>0</v>
      </c>
      <c r="H921" s="43" t="b">
        <f t="shared" si="518"/>
        <v>0</v>
      </c>
      <c r="I921" s="43">
        <f t="shared" si="519"/>
        <v>0</v>
      </c>
      <c r="J921" s="43" t="b">
        <f t="array" ref="J921">NOT(OR(($H$9:$H$1273=TRUE)*($I$9:$I$1273&gt;0)*($BT$9:$BT$1273=BT921)*($K$9:$K$1273&gt;K921)))</f>
        <v>1</v>
      </c>
      <c r="K921" s="72">
        <f t="shared" si="520"/>
        <v>0.89763257598035562</v>
      </c>
      <c r="L921" s="72">
        <f t="shared" si="521"/>
        <v>0.88066093879561724</v>
      </c>
      <c r="M921" s="72">
        <f t="shared" si="522"/>
        <v>0.91460421316509399</v>
      </c>
      <c r="N921" s="72">
        <f t="shared" si="523"/>
        <v>0.98197613404129114</v>
      </c>
      <c r="O921" s="72">
        <f t="shared" si="524"/>
        <v>0.85159513042296586</v>
      </c>
      <c r="P921" s="72">
        <f t="shared" si="525"/>
        <v>0.91024137503102509</v>
      </c>
      <c r="Q921" s="72"/>
      <c r="R921" s="72"/>
      <c r="S921" s="72">
        <f t="shared" si="526"/>
        <v>0.44931649861219569</v>
      </c>
      <c r="T921" s="72">
        <f t="shared" si="527"/>
        <v>0.44196996520248022</v>
      </c>
      <c r="U921" s="72">
        <f t="shared" si="528"/>
        <v>0.51</v>
      </c>
      <c r="V921" s="72">
        <f t="shared" si="529"/>
        <v>0.51677386561627126</v>
      </c>
      <c r="W921" s="72">
        <f t="shared" si="530"/>
        <v>0.79303652968036531</v>
      </c>
      <c r="X921" s="72">
        <f t="shared" si="531"/>
        <v>0.11933906120438281</v>
      </c>
      <c r="Y921" s="72">
        <f t="shared" si="532"/>
        <v>8.5395786834906007E-2</v>
      </c>
      <c r="Z921" s="72">
        <f t="shared" si="533"/>
        <v>1.8023865958708876E-2</v>
      </c>
      <c r="AA921" s="72">
        <f t="shared" si="534"/>
        <v>0.14840486957703419</v>
      </c>
      <c r="AB921" s="72">
        <f t="shared" si="535"/>
        <v>8.9758624968974937E-2</v>
      </c>
      <c r="AC921" s="72"/>
      <c r="AD921" s="72"/>
      <c r="AE921" s="72">
        <f t="shared" si="536"/>
        <v>0.55068350138780431</v>
      </c>
      <c r="AF921" s="72">
        <f t="shared" si="537"/>
        <v>0.55803003479751978</v>
      </c>
      <c r="AG921" s="72">
        <f t="shared" si="538"/>
        <v>0.49</v>
      </c>
      <c r="AH921" s="72">
        <f t="shared" si="539"/>
        <v>0.48322613438372874</v>
      </c>
      <c r="AI921" s="72">
        <f t="shared" si="540"/>
        <v>0.20696347031963472</v>
      </c>
      <c r="AJ921" s="72">
        <f>(AV921-Driver!$K$179)/(Driver!$L$179-Driver!$K$179)</f>
        <v>0.13488034807831761</v>
      </c>
      <c r="AK921" s="72">
        <f>(AW921-Driver!$K$180)/(Driver!$L$180-Driver!$K$180)</f>
        <v>0.15966104866837674</v>
      </c>
      <c r="AL921" s="72">
        <f>(AX921-Driver!$K$181)/(Driver!$L$181-Driver!$K$181)</f>
        <v>0.11971162967178905</v>
      </c>
      <c r="AM921" s="72">
        <f>(AY921-Driver!$K$182)/(Driver!$L$182-Driver!$K$182)</f>
        <v>0.29898015152001217</v>
      </c>
      <c r="AN921" s="72">
        <f>(AZ921-Driver!$K$183)/(Driver!$L$183-Driver!$K$183)</f>
        <v>0.16446078431372549</v>
      </c>
      <c r="AO921" s="72"/>
      <c r="AP921" s="72"/>
      <c r="AQ921" s="72">
        <f>(BC921-Driver!$K$188)/(Driver!$L$188-Driver!$K$188)</f>
        <v>6.9316498612195687E-2</v>
      </c>
      <c r="AR921" s="72">
        <f>MIN((BD921-Driver!$K$189)/(Driver!$L$189-Driver!$K$189),100%)</f>
        <v>-8.0300347975197483E-3</v>
      </c>
      <c r="AS921" s="72">
        <f>(BE921-Driver!$K$190)/(Driver!$L$190-Driver!$K$190)</f>
        <v>1</v>
      </c>
      <c r="AT921" s="72">
        <f>(BF921-Driver!$K$191)/(Driver!$L$191-Driver!$K$191)</f>
        <v>2.6773865616271285E-2</v>
      </c>
      <c r="AU921" s="72">
        <f>(BG921-Driver!$K$192)/(Driver!$L$192-Driver!$K$192)</f>
        <v>4.3036529680365289E-2</v>
      </c>
      <c r="AV921" s="70">
        <f t="shared" si="541"/>
        <v>2.838827838827839</v>
      </c>
      <c r="AW921" s="70">
        <f t="shared" si="542"/>
        <v>17.432276555002037</v>
      </c>
      <c r="AX921" s="70">
        <f t="shared" si="543"/>
        <v>2.0774046670461015</v>
      </c>
      <c r="AY921" s="70">
        <f>IFERROR(Driver!$K$19/Data!BH921/Data!BI921*Data!BK921*Data!BL921,"")</f>
        <v>0.36604091252778764</v>
      </c>
      <c r="AZ921" s="70">
        <f t="shared" si="544"/>
        <v>14.988830975428147</v>
      </c>
      <c r="BA921" s="70"/>
      <c r="BB921" s="70"/>
      <c r="BC921" s="70">
        <f t="shared" si="545"/>
        <v>35.95494971062643</v>
      </c>
      <c r="BD921" s="70">
        <f t="shared" si="546"/>
        <v>1.0101790328969529</v>
      </c>
      <c r="BE921" s="70">
        <f t="shared" si="547"/>
        <v>1</v>
      </c>
      <c r="BF921" s="70">
        <f t="shared" si="548"/>
        <v>3.023920024306336</v>
      </c>
      <c r="BG921" s="70">
        <f t="shared" si="549"/>
        <v>0.16296375570776253</v>
      </c>
      <c r="BH921" s="67">
        <f>MAX((CE921-Driver!$F$200)/(Driver!$G$200-Driver!$F$200)*$BI$1,1)</f>
        <v>2.0774046670461015</v>
      </c>
      <c r="BI921" s="67">
        <f>MAX($BI$1*(BY921-Driver!$F$201)/(Driver!$G$201-Driver!$F$201),1)</f>
        <v>7.7215189873417724</v>
      </c>
      <c r="BJ921" s="67">
        <f>(CB921-Driver!$F$206)/(Driver!$G$206-Driver!$F$206)*$BI$1</f>
        <v>4.92063492063492</v>
      </c>
      <c r="BK921" s="67">
        <f>(CD921-Driver!$F$203)/(Driver!$G$203-Driver!$F$203)*$BI$1</f>
        <v>5.3211009174311927</v>
      </c>
      <c r="BL921" s="67">
        <f>MAX((CR921-Driver!$F$202)/(Driver!$G$202-Driver!$F$202)*$BI$1,1)</f>
        <v>5.5172413793103452</v>
      </c>
      <c r="BM921" s="67">
        <f>MAX((CH921-Driver!$F$204)/(Driver!$G$204-Driver!$F$204)*$BI$1,1)</f>
        <v>2.3076923076923079</v>
      </c>
      <c r="BN921" s="67">
        <f>(CI921-Driver!$F$205)/(Driver!$G$205-Driver!$F$205)*$BI$1</f>
        <v>1.9411764705882353</v>
      </c>
      <c r="BO921" s="67">
        <f>(CK921-Driver!$F$207)/(Driver!$G$207-Driver!$F$207)*$BI$1</f>
        <v>1.9751809720785938</v>
      </c>
      <c r="BP921" s="67">
        <f>(CM921-Driver!$F$208)/(Driver!$G$208-Driver!$F$208)*$BI$1</f>
        <v>1.6555555555555557</v>
      </c>
      <c r="BQ921" s="67">
        <f>(CL921-Driver!$F$209)/(Driver!$G$209-Driver!$F$209)*$BI$1</f>
        <v>0.78125</v>
      </c>
      <c r="BR921" s="28" t="s">
        <v>155</v>
      </c>
      <c r="BS921" s="8" t="s">
        <v>245</v>
      </c>
      <c r="BT921" s="9" t="s">
        <v>616</v>
      </c>
      <c r="BU921" s="10">
        <v>176</v>
      </c>
      <c r="BV921" s="9" t="s">
        <v>158</v>
      </c>
      <c r="BW921" s="10">
        <v>176</v>
      </c>
      <c r="BX921" s="10">
        <v>174.7</v>
      </c>
      <c r="BY921" s="10">
        <v>130</v>
      </c>
      <c r="BZ921" s="10">
        <v>150</v>
      </c>
      <c r="CA921" s="10">
        <v>126</v>
      </c>
      <c r="CB921" s="10">
        <v>95</v>
      </c>
      <c r="CC921" s="10">
        <v>112</v>
      </c>
      <c r="CD921" s="10">
        <v>21</v>
      </c>
      <c r="CE921" s="10">
        <v>1265</v>
      </c>
      <c r="CF921" s="10">
        <v>1.44</v>
      </c>
      <c r="CG921" s="10">
        <v>1824</v>
      </c>
      <c r="CH921" s="10">
        <v>155</v>
      </c>
      <c r="CI921" s="10">
        <v>66</v>
      </c>
      <c r="CJ921" s="10">
        <v>65</v>
      </c>
      <c r="CK921" s="10">
        <v>301</v>
      </c>
      <c r="CL921" s="10">
        <v>5</v>
      </c>
      <c r="CM921" s="10">
        <v>149</v>
      </c>
      <c r="CN921" s="10">
        <v>7.5999999999999998E-2</v>
      </c>
      <c r="CO921" s="10">
        <v>161</v>
      </c>
      <c r="CP921" s="10">
        <v>90</v>
      </c>
      <c r="CQ921" s="10">
        <v>140</v>
      </c>
      <c r="CR921" s="10">
        <v>5</v>
      </c>
      <c r="CS921" s="10">
        <v>9.3000000000000007</v>
      </c>
      <c r="CT921" s="9" t="s">
        <v>185</v>
      </c>
      <c r="CU921" s="9" t="s">
        <v>198</v>
      </c>
      <c r="CV921" s="10"/>
      <c r="CW921" s="10"/>
      <c r="CX921" t="str">
        <f>INDEX('Data_Price '!AG$2:AG$1266,MATCH(Data!$DN921,'Data_Price '!$AT$2:$AT$1266,0))</f>
        <v>Fischer Hannibal 96 Carbon</v>
      </c>
      <c r="CY921" t="str">
        <f>INDEX('Data_Price '!AH$2:AH$1266,MATCH(Data!$DN921,'Data_Price '!$AT$2:$AT$1266,0))</f>
        <v>Snowcountry.eu</v>
      </c>
      <c r="CZ921">
        <f>INDEX('Data_Price '!AI$2:AI$1266,MATCH(Data!$DN921,'Data_Price '!$AT$2:$AT$1266,0))</f>
        <v>419.41</v>
      </c>
      <c r="DA921" t="str">
        <f>INDEX('Data_Price '!AJ$2:AJ$1266,MATCH(Data!$DN921,'Data_Price '!$AT$2:$AT$1266,0))</f>
        <v>https://tinyurl.com/y95aa5u9</v>
      </c>
      <c r="DB921" t="str">
        <f>INDEX('Data_Price '!AK$2:AK$1266,MATCH(Data!$DN921,'Data_Price '!$AT$2:$AT$1266,0))</f>
        <v>Fischer Hannibal 96 Carbon</v>
      </c>
      <c r="DC921" t="str">
        <f>INDEX('Data_Price '!AL$2:AL$1266,MATCH(Data!$DN921,'Data_Price '!$AT$2:$AT$1266,0))</f>
        <v>Gorham Bike and Ski</v>
      </c>
      <c r="DD921">
        <f>INDEX('Data_Price '!AM$2:AM$1266,MATCH(Data!$DN921,'Data_Price '!$AT$2:$AT$1266,0))</f>
        <v>489.99</v>
      </c>
      <c r="DE921" t="str">
        <f>INDEX('Data_Price '!AN$2:AN$1266,MATCH(Data!$DN921,'Data_Price '!$AT$2:$AT$1266,0))</f>
        <v>https://tinyurl.com/ybz6bnpg</v>
      </c>
      <c r="DF921" t="str">
        <f>INDEX('Data_Price '!AO$2:AO$1266,MATCH(Data!$DN921,'Data_Price '!$AT$2:$AT$1266,0))</f>
        <v>Fischer Hannibal 96 Carbon</v>
      </c>
      <c r="DG921" t="str">
        <f>INDEX('Data_Price '!AP$2:AP$1266,MATCH(Data!$DN921,'Data_Price '!$AT$2:$AT$1266,0))</f>
        <v>ColoradoSkiShop.com</v>
      </c>
      <c r="DH921">
        <f>INDEX('Data_Price '!AQ$2:AQ$1266,MATCH(Data!$DN921,'Data_Price '!$AT$2:$AT$1266,0))</f>
        <v>509.99</v>
      </c>
      <c r="DI921" t="str">
        <f>INDEX('Data_Price '!AR$2:AR$1266,MATCH(Data!$DN921,'Data_Price '!$AT$2:$AT$1266,0))</f>
        <v>https://tinyurl.com/y8r5gyvm</v>
      </c>
      <c r="DJ921" s="89" t="str">
        <f t="shared" si="550"/>
        <v>https://tinyurl.com/y95aa5u9</v>
      </c>
      <c r="DK921" s="89" t="str">
        <f t="shared" si="551"/>
        <v>https://tinyurl.com/ybz6bnpg</v>
      </c>
      <c r="DL921" s="89" t="str">
        <f t="shared" si="552"/>
        <v>https://tinyurl.com/y8r5gyvm</v>
      </c>
      <c r="DM921" s="219" t="str">
        <f t="shared" si="553"/>
        <v>Hannibal 96</v>
      </c>
      <c r="DN921" s="89" t="str">
        <f t="shared" si="554"/>
        <v xml:space="preserve"> FischerHannibal 96176 Unisex</v>
      </c>
      <c r="DO921" s="221" t="s">
        <v>617</v>
      </c>
    </row>
    <row r="922" spans="2:119" ht="15.6" customHeight="1">
      <c r="B922" s="219" t="b">
        <f t="array" ref="B922">IF(OR(ISERROR(K922:P922)),FALSE,TRUE)</f>
        <v>1</v>
      </c>
      <c r="C922" s="43" t="b">
        <f>OR(BR922=Driver!$G$50,Data!BR881=Driver!$H$50)</f>
        <v>1</v>
      </c>
      <c r="D922" s="43" t="b">
        <f>OR(BV922=Driver!$G$51,BV922=Driver!$H$51)</f>
        <v>1</v>
      </c>
      <c r="E922" s="43" t="b">
        <f>AND(BX922&gt;Driver!$F$54,BX922&lt;Driver!$G$54)</f>
        <v>0</v>
      </c>
      <c r="F922" s="43" t="b">
        <f>CL922&gt;Driver!$F$56</f>
        <v>1</v>
      </c>
      <c r="G922" s="43" t="b">
        <f>AND(CB922&gt;Driver!$F$55,CB922&lt;Driver!$G$55)</f>
        <v>0</v>
      </c>
      <c r="H922" s="43" t="b">
        <f t="shared" si="518"/>
        <v>0</v>
      </c>
      <c r="I922" s="43">
        <f t="shared" si="519"/>
        <v>0</v>
      </c>
      <c r="J922" s="43" t="b">
        <f t="array" ref="J922">NOT(OR(($H$9:$H$1273=TRUE)*($I$9:$I$1273&gt;0)*($BT$9:$BT$1273=BT922)*($K$9:$K$1273&gt;K922)))</f>
        <v>1</v>
      </c>
      <c r="K922" s="72">
        <f t="shared" si="520"/>
        <v>0.86682383195931134</v>
      </c>
      <c r="L922" s="72">
        <f t="shared" si="521"/>
        <v>0.89202182832909549</v>
      </c>
      <c r="M922" s="72">
        <f t="shared" si="522"/>
        <v>0.84162583558952708</v>
      </c>
      <c r="N922" s="72">
        <f t="shared" si="523"/>
        <v>0.93012006624896837</v>
      </c>
      <c r="O922" s="72">
        <f t="shared" si="524"/>
        <v>0.71854384326636545</v>
      </c>
      <c r="P922" s="72">
        <f t="shared" si="525"/>
        <v>0.87621359725324732</v>
      </c>
      <c r="Q922" s="72"/>
      <c r="R922" s="72"/>
      <c r="S922" s="72">
        <f t="shared" si="526"/>
        <v>0.41261264338342152</v>
      </c>
      <c r="T922" s="72">
        <f t="shared" si="527"/>
        <v>0.45104170251365894</v>
      </c>
      <c r="U922" s="72">
        <f t="shared" si="528"/>
        <v>0.55909936217165901</v>
      </c>
      <c r="V922" s="72">
        <f t="shared" si="529"/>
        <v>0.59216596101814001</v>
      </c>
      <c r="W922" s="72">
        <f t="shared" si="530"/>
        <v>0.97771812080536902</v>
      </c>
      <c r="X922" s="72">
        <f t="shared" si="531"/>
        <v>0.10797817167090445</v>
      </c>
      <c r="Y922" s="72">
        <f t="shared" si="532"/>
        <v>0.15837416441047295</v>
      </c>
      <c r="Z922" s="72">
        <f t="shared" si="533"/>
        <v>6.9879933751031645E-2</v>
      </c>
      <c r="AA922" s="72">
        <f t="shared" si="534"/>
        <v>0.28145615673363455</v>
      </c>
      <c r="AB922" s="72">
        <f t="shared" si="535"/>
        <v>0.12378640274675271</v>
      </c>
      <c r="AC922" s="72"/>
      <c r="AD922" s="72"/>
      <c r="AE922" s="72">
        <f t="shared" si="536"/>
        <v>0.58738735661657848</v>
      </c>
      <c r="AF922" s="72">
        <f t="shared" si="537"/>
        <v>0.54895829748634106</v>
      </c>
      <c r="AG922" s="72">
        <f t="shared" si="538"/>
        <v>0.44090063782834099</v>
      </c>
      <c r="AH922" s="72">
        <f t="shared" si="539"/>
        <v>0.40783403898185999</v>
      </c>
      <c r="AI922" s="72">
        <f t="shared" si="540"/>
        <v>2.2281879194630955E-2</v>
      </c>
      <c r="AJ922" s="72">
        <f>(AV922-Driver!$K$179)/(Driver!$L$179-Driver!$K$179)</f>
        <v>0.14624123761179597</v>
      </c>
      <c r="AK922" s="72">
        <f>(AW922-Driver!$K$180)/(Driver!$L$180-Driver!$K$180)</f>
        <v>0.13095708413470375</v>
      </c>
      <c r="AL922" s="72">
        <f>(AX922-Driver!$K$181)/(Driver!$L$181-Driver!$K$181)</f>
        <v>0.17156769746411182</v>
      </c>
      <c r="AM922" s="72">
        <f>(AY922-Driver!$K$182)/(Driver!$L$182-Driver!$K$182)</f>
        <v>0.16592886436341181</v>
      </c>
      <c r="AN922" s="72">
        <f>(AZ922-Driver!$K$183)/(Driver!$L$183-Driver!$K$183)</f>
        <v>0.13043300653594772</v>
      </c>
      <c r="AO922" s="72"/>
      <c r="AP922" s="72"/>
      <c r="AQ922" s="72">
        <f>(BC922-Driver!$K$188)/(Driver!$L$188-Driver!$K$188)</f>
        <v>3.2612643383421472E-2</v>
      </c>
      <c r="AR922" s="72">
        <f>MIN((BD922-Driver!$K$189)/(Driver!$L$189-Driver!$K$189),100%)</f>
        <v>1.0417025136589351E-3</v>
      </c>
      <c r="AS922" s="72">
        <f>(BE922-Driver!$K$190)/(Driver!$L$190-Driver!$K$190)</f>
        <v>6.9099362171659004E-2</v>
      </c>
      <c r="AT922" s="72">
        <f>(BF922-Driver!$K$191)/(Driver!$L$191-Driver!$K$191)</f>
        <v>0.10216596101814003</v>
      </c>
      <c r="AU922" s="72">
        <f>(BG922-Driver!$K$192)/(Driver!$L$192-Driver!$K$192)</f>
        <v>0.22771812080536905</v>
      </c>
      <c r="AV922" s="70">
        <f t="shared" si="541"/>
        <v>3.077940577940578</v>
      </c>
      <c r="AW922" s="70">
        <f t="shared" si="542"/>
        <v>14.634820868195927</v>
      </c>
      <c r="AX922" s="70">
        <f t="shared" si="543"/>
        <v>2.5441092771770064</v>
      </c>
      <c r="AY922" s="70">
        <f>IFERROR(Driver!$K$19/Data!BH922/Data!BI922*Data!BK922*Data!BL922,"")</f>
        <v>0.20314643837558347</v>
      </c>
      <c r="AZ922" s="70">
        <f t="shared" si="544"/>
        <v>11.887565152643337</v>
      </c>
      <c r="BA922" s="70"/>
      <c r="BB922" s="70"/>
      <c r="BC922" s="70">
        <f t="shared" si="545"/>
        <v>16.916404842399317</v>
      </c>
      <c r="BD922" s="70">
        <f t="shared" si="546"/>
        <v>1.8130117107689094</v>
      </c>
      <c r="BE922" s="70">
        <f t="shared" si="547"/>
        <v>6.9265424367714601E-2</v>
      </c>
      <c r="BF922" s="70">
        <f t="shared" si="548"/>
        <v>11.538927540500577</v>
      </c>
      <c r="BG922" s="70">
        <f t="shared" si="549"/>
        <v>0.86228607382550315</v>
      </c>
      <c r="BH922" s="67">
        <f>MAX((CE922-Driver!$F$200)/(Driver!$G$200-Driver!$F$200)*$BI$1,1)</f>
        <v>2.5441092771770064</v>
      </c>
      <c r="BI922" s="67">
        <f>MAX($BI$1*(BY922-Driver!$F$201)/(Driver!$G$201-Driver!$F$201),1)</f>
        <v>6.518987341772152</v>
      </c>
      <c r="BJ922" s="67">
        <f>(CB922-Driver!$F$206)/(Driver!$G$206-Driver!$F$206)*$BI$1</f>
        <v>5.2380952380952381</v>
      </c>
      <c r="BK922" s="67">
        <f>(CD922-Driver!$F$203)/(Driver!$G$203-Driver!$F$203)*$BI$1</f>
        <v>3.2568807339449544</v>
      </c>
      <c r="BL922" s="67">
        <f>MAX((CR922-Driver!$F$202)/(Driver!$G$202-Driver!$F$202)*$BI$1,1)</f>
        <v>5.1724137931034484</v>
      </c>
      <c r="BM922" s="67">
        <f>MAX((CH922-Driver!$F$204)/(Driver!$G$204-Driver!$F$204)*$BI$1,1)</f>
        <v>2.3504273504273505</v>
      </c>
      <c r="BN922" s="67">
        <f>(CI922-Driver!$F$205)/(Driver!$G$205-Driver!$F$205)*$BI$1</f>
        <v>1.8235294117647058</v>
      </c>
      <c r="BO922" s="67">
        <f>(CK922-Driver!$F$207)/(Driver!$G$207-Driver!$F$207)*$BI$1</f>
        <v>2.3061013443640124</v>
      </c>
      <c r="BP922" s="67">
        <f>(CM922-Driver!$F$208)/(Driver!$G$208-Driver!$F$208)*$BI$1</f>
        <v>3.1111111111111112</v>
      </c>
      <c r="BQ922" s="67">
        <f>(CL922-Driver!$F$209)/(Driver!$G$209-Driver!$F$209)*$BI$1</f>
        <v>5.15625</v>
      </c>
      <c r="BR922" s="28" t="s">
        <v>155</v>
      </c>
      <c r="BS922" s="8" t="s">
        <v>208</v>
      </c>
      <c r="BT922" s="9" t="s">
        <v>209</v>
      </c>
      <c r="BU922" s="10">
        <v>172</v>
      </c>
      <c r="BV922" s="9" t="s">
        <v>158</v>
      </c>
      <c r="BW922" s="10">
        <v>172</v>
      </c>
      <c r="BX922" s="10">
        <v>171.9</v>
      </c>
      <c r="BY922" s="10">
        <v>111</v>
      </c>
      <c r="BZ922" s="10">
        <v>138</v>
      </c>
      <c r="CA922" s="10">
        <v>130</v>
      </c>
      <c r="CB922" s="10">
        <v>97</v>
      </c>
      <c r="CC922" s="10">
        <v>117</v>
      </c>
      <c r="CD922" s="10">
        <v>16.5</v>
      </c>
      <c r="CE922" s="10">
        <v>1347</v>
      </c>
      <c r="CF922" s="10">
        <v>1.37</v>
      </c>
      <c r="CG922" s="10">
        <v>1840</v>
      </c>
      <c r="CH922" s="10">
        <v>156</v>
      </c>
      <c r="CI922" s="10">
        <v>64</v>
      </c>
      <c r="CJ922" s="10">
        <v>51</v>
      </c>
      <c r="CK922" s="10">
        <v>333</v>
      </c>
      <c r="CL922" s="10">
        <v>33</v>
      </c>
      <c r="CM922" s="10">
        <v>280</v>
      </c>
      <c r="CN922" s="10">
        <v>0.65</v>
      </c>
      <c r="CO922" s="10">
        <v>167</v>
      </c>
      <c r="CP922" s="10">
        <v>173</v>
      </c>
      <c r="CQ922" s="10">
        <v>166</v>
      </c>
      <c r="CR922" s="10">
        <v>4</v>
      </c>
      <c r="CS922" s="10">
        <v>6.3</v>
      </c>
      <c r="CT922" s="9" t="s">
        <v>185</v>
      </c>
      <c r="CU922" s="9" t="s">
        <v>198</v>
      </c>
      <c r="CV922" s="10"/>
      <c r="CW922" s="10"/>
      <c r="CX922" t="str">
        <f>INDEX('Data_Price '!AG$2:AG$1266,MATCH(Data!$DN922,'Data_Price '!$AT$2:$AT$1266,0))</f>
        <v>Line Vision 98 Skis 2022</v>
      </c>
      <c r="CY922" t="str">
        <f>INDEX('Data_Price '!AH$2:AH$1266,MATCH(Data!$DN922,'Data_Price '!$AT$2:$AT$1266,0))</f>
        <v>Telemark Pyrenees</v>
      </c>
      <c r="CZ922">
        <f>INDEX('Data_Price '!AI$2:AI$1266,MATCH(Data!$DN922,'Data_Price '!$AT$2:$AT$1266,0))</f>
        <v>394.15</v>
      </c>
      <c r="DA922" t="str">
        <f>INDEX('Data_Price '!AJ$2:AJ$1266,MATCH(Data!$DN922,'Data_Price '!$AT$2:$AT$1266,0))</f>
        <v>https://tinyurl.com/y9ezq7s8</v>
      </c>
      <c r="DB922" t="str">
        <f>INDEX('Data_Price '!AK$2:AK$1266,MATCH(Data!$DN922,'Data_Price '!$AT$2:$AT$1266,0))</f>
        <v>Line Vision 98 Skis 2022</v>
      </c>
      <c r="DC922" t="str">
        <f>INDEX('Data_Price '!AL$2:AL$1266,MATCH(Data!$DN922,'Data_Price '!$AT$2:$AT$1266,0))</f>
        <v>Snowcountry.eu</v>
      </c>
      <c r="DD922">
        <f>INDEX('Data_Price '!AM$2:AM$1266,MATCH(Data!$DN922,'Data_Price '!$AT$2:$AT$1266,0))</f>
        <v>395.47</v>
      </c>
      <c r="DE922" t="str">
        <f>INDEX('Data_Price '!AN$2:AN$1266,MATCH(Data!$DN922,'Data_Price '!$AT$2:$AT$1266,0))</f>
        <v>https://tinyurl.com/y73db39w</v>
      </c>
      <c r="DF922" t="str">
        <f>INDEX('Data_Price '!AO$2:AO$1266,MATCH(Data!$DN922,'Data_Price '!$AT$2:$AT$1266,0))</f>
        <v>Line Vision 98 Skis 2022</v>
      </c>
      <c r="DG922" t="str">
        <f>INDEX('Data_Price '!AP$2:AP$1266,MATCH(Data!$DN922,'Data_Price '!$AT$2:$AT$1266,0))</f>
        <v>The-House.com</v>
      </c>
      <c r="DH922">
        <f>INDEX('Data_Price '!AQ$2:AQ$1266,MATCH(Data!$DN922,'Data_Price '!$AT$2:$AT$1266,0))</f>
        <v>559.95000000000005</v>
      </c>
      <c r="DI922" t="str">
        <f>INDEX('Data_Price '!AR$2:AR$1266,MATCH(Data!$DN922,'Data_Price '!$AT$2:$AT$1266,0))</f>
        <v>https://tinyurl.com/y7fdeudz</v>
      </c>
      <c r="DJ922" s="89" t="str">
        <f t="shared" si="550"/>
        <v>https://tinyurl.com/y9ezq7s8</v>
      </c>
      <c r="DK922" s="89" t="str">
        <f t="shared" si="551"/>
        <v>https://tinyurl.com/y73db39w</v>
      </c>
      <c r="DL922" s="89" t="str">
        <f t="shared" si="552"/>
        <v>https://tinyurl.com/y7fdeudz</v>
      </c>
      <c r="DM922" s="219" t="str">
        <f t="shared" si="553"/>
        <v>Vision 98</v>
      </c>
      <c r="DN922" s="89" t="str">
        <f t="shared" si="554"/>
        <v xml:space="preserve"> LineVision 98172 Unisex</v>
      </c>
      <c r="DO922" s="221" t="s">
        <v>210</v>
      </c>
    </row>
    <row r="923" spans="2:119" ht="15.6" customHeight="1">
      <c r="B923" s="219" t="b">
        <f t="array" ref="B923">IF(OR(ISERROR(K923:P923)),FALSE,TRUE)</f>
        <v>1</v>
      </c>
      <c r="C923" s="43" t="b">
        <f>OR(BR923=Driver!$G$50,Data!BR638=Driver!$H$50)</f>
        <v>1</v>
      </c>
      <c r="D923" s="43" t="b">
        <f>OR(BV923=Driver!$G$51,BV923=Driver!$H$51)</f>
        <v>0</v>
      </c>
      <c r="E923" s="43" t="b">
        <f>AND(BX923&gt;Driver!$F$54,BX923&lt;Driver!$G$54)</f>
        <v>0</v>
      </c>
      <c r="F923" s="43" t="b">
        <f>CL923&gt;Driver!$F$56</f>
        <v>1</v>
      </c>
      <c r="G923" s="43" t="b">
        <f>AND(CB923&gt;Driver!$F$55,CB923&lt;Driver!$G$55)</f>
        <v>0</v>
      </c>
      <c r="H923" s="43" t="b">
        <f t="shared" si="518"/>
        <v>0</v>
      </c>
      <c r="I923" s="43">
        <f t="shared" si="519"/>
        <v>0</v>
      </c>
      <c r="J923" s="43" t="b">
        <f t="array" ref="J923">NOT(OR(($H$9:$H$1273=TRUE)*($I$9:$I$1273&gt;0)*($BT$9:$BT$1273=BT923)*($K$9:$K$1273&gt;K923)))</f>
        <v>1</v>
      </c>
      <c r="K923" s="72">
        <f t="shared" si="520"/>
        <v>0.73445862579734211</v>
      </c>
      <c r="L923" s="72">
        <f t="shared" si="521"/>
        <v>0.75143686337864835</v>
      </c>
      <c r="M923" s="72">
        <f t="shared" si="522"/>
        <v>0.71748038821603588</v>
      </c>
      <c r="N923" s="72">
        <f t="shared" si="523"/>
        <v>0.69360580583032549</v>
      </c>
      <c r="O923" s="72">
        <f t="shared" si="524"/>
        <v>0.57629006221812973</v>
      </c>
      <c r="P923" s="72">
        <f t="shared" si="525"/>
        <v>0.88254529659965253</v>
      </c>
      <c r="Q923" s="72"/>
      <c r="R923" s="72"/>
      <c r="S923" s="72">
        <f t="shared" si="526"/>
        <v>0.40555821439003059</v>
      </c>
      <c r="T923" s="72">
        <f t="shared" si="527"/>
        <v>0.55000000000000004</v>
      </c>
      <c r="U923" s="72">
        <f t="shared" si="528"/>
        <v>0.51</v>
      </c>
      <c r="V923" s="72">
        <f t="shared" si="529"/>
        <v>0.49114059837675017</v>
      </c>
      <c r="W923" s="72">
        <f t="shared" si="530"/>
        <v>0.85596833130328864</v>
      </c>
      <c r="X923" s="72">
        <f t="shared" si="531"/>
        <v>0.24856313662135163</v>
      </c>
      <c r="Y923" s="72">
        <f t="shared" si="532"/>
        <v>0.28251961178396412</v>
      </c>
      <c r="Z923" s="72">
        <f t="shared" si="533"/>
        <v>0.30639419416967451</v>
      </c>
      <c r="AA923" s="72">
        <f t="shared" si="534"/>
        <v>0.42370993778187033</v>
      </c>
      <c r="AB923" s="72">
        <f t="shared" si="535"/>
        <v>0.1174547034003475</v>
      </c>
      <c r="AC923" s="72"/>
      <c r="AD923" s="72"/>
      <c r="AE923" s="72">
        <f t="shared" si="536"/>
        <v>0.59444178560996941</v>
      </c>
      <c r="AF923" s="72">
        <f t="shared" si="537"/>
        <v>0.44999999999999996</v>
      </c>
      <c r="AG923" s="72">
        <f t="shared" si="538"/>
        <v>0.49</v>
      </c>
      <c r="AH923" s="72">
        <f t="shared" si="539"/>
        <v>0.50885940162324983</v>
      </c>
      <c r="AI923" s="72">
        <f t="shared" si="540"/>
        <v>0.14403166869671136</v>
      </c>
      <c r="AJ923" s="72">
        <f>(AV923-Driver!$K$179)/(Driver!$L$179-Driver!$K$179)</f>
        <v>5.6562726613488025E-3</v>
      </c>
      <c r="AK923" s="72">
        <f>(AW923-Driver!$K$180)/(Driver!$L$180-Driver!$K$180)</f>
        <v>0.15693249075719523</v>
      </c>
      <c r="AL923" s="72">
        <f>(AX923-Driver!$K$181)/(Driver!$L$181-Driver!$K$181)</f>
        <v>0.4080819578827547</v>
      </c>
      <c r="AM923" s="72">
        <f>(AY923-Driver!$K$182)/(Driver!$L$182-Driver!$K$182)</f>
        <v>2.3675083315176034E-2</v>
      </c>
      <c r="AN923" s="72">
        <f>(AZ923-Driver!$K$183)/(Driver!$L$183-Driver!$K$183)</f>
        <v>0.13676470588235293</v>
      </c>
      <c r="AO923" s="72"/>
      <c r="AP923" s="72"/>
      <c r="AQ923" s="72">
        <f>(BC923-Driver!$K$188)/(Driver!$L$188-Driver!$K$188)</f>
        <v>2.5558214390030611E-2</v>
      </c>
      <c r="AR923" s="72">
        <f>MIN((BD923-Driver!$K$189)/(Driver!$L$189-Driver!$K$189),100%)</f>
        <v>1</v>
      </c>
      <c r="AS923" s="72">
        <f>(BE923-Driver!$K$190)/(Driver!$L$190-Driver!$K$190)</f>
        <v>1</v>
      </c>
      <c r="AT923" s="72">
        <f>(BF923-Driver!$K$191)/(Driver!$L$191-Driver!$K$191)</f>
        <v>1.1405983767501862E-3</v>
      </c>
      <c r="AU923" s="72">
        <f>(BG923-Driver!$K$192)/(Driver!$L$192-Driver!$K$192)</f>
        <v>0.10596833130328866</v>
      </c>
      <c r="AV923" s="70">
        <f t="shared" si="541"/>
        <v>0.11904761904761904</v>
      </c>
      <c r="AW923" s="70">
        <f t="shared" si="542"/>
        <v>17.166354409074771</v>
      </c>
      <c r="AX923" s="70">
        <f t="shared" si="543"/>
        <v>4.6727376209447922</v>
      </c>
      <c r="AY923" s="70">
        <f>IFERROR(Driver!$K$19/Data!BH923/Data!BI923*Data!BK923*Data!BL923,"")</f>
        <v>2.8985365940850341E-2</v>
      </c>
      <c r="AZ923" s="70">
        <f t="shared" si="544"/>
        <v>12.464631422189129</v>
      </c>
      <c r="BA923" s="70"/>
      <c r="BB923" s="70"/>
      <c r="BC923" s="70">
        <f t="shared" si="545"/>
        <v>13.257223481932748</v>
      </c>
      <c r="BD923" s="70">
        <f t="shared" si="546"/>
        <v>96.816303750515189</v>
      </c>
      <c r="BE923" s="70">
        <f t="shared" si="547"/>
        <v>1</v>
      </c>
      <c r="BF923" s="70">
        <f t="shared" si="548"/>
        <v>0.12882257349682377</v>
      </c>
      <c r="BG923" s="70">
        <f t="shared" si="549"/>
        <v>0.40126370280146162</v>
      </c>
      <c r="BH923" s="67">
        <f>MAX((CE923-Driver!$F$200)/(Driver!$G$200-Driver!$F$200)*$BI$1,1)</f>
        <v>4.6727376209447922</v>
      </c>
      <c r="BI923" s="67">
        <f>MAX($BI$1*(BY923-Driver!$F$201)/(Driver!$G$201-Driver!$F$201),1)</f>
        <v>7.8481012658227849</v>
      </c>
      <c r="BJ923" s="67">
        <f>(CB923-Driver!$F$206)/(Driver!$G$206-Driver!$F$206)*$BI$1</f>
        <v>0.47619047619047616</v>
      </c>
      <c r="BK923" s="67">
        <f>(CD923-Driver!$F$203)/(Driver!$G$203-Driver!$F$203)*$BI$1</f>
        <v>0.7339449541284403</v>
      </c>
      <c r="BL923" s="67">
        <f>MAX((CR923-Driver!$F$202)/(Driver!$G$202-Driver!$F$202)*$BI$1,1)</f>
        <v>7.2413793103448274</v>
      </c>
      <c r="BM923" s="67">
        <f>MAX((CH923-Driver!$F$204)/(Driver!$G$204-Driver!$F$204)*$BI$1,1)</f>
        <v>1</v>
      </c>
      <c r="BN923" s="67">
        <f>(CI923-Driver!$F$205)/(Driver!$G$205-Driver!$F$205)*$BI$1</f>
        <v>1.588235294117647</v>
      </c>
      <c r="BO923" s="67">
        <f>(CK923-Driver!$F$207)/(Driver!$G$207-Driver!$F$207)*$BI$1</f>
        <v>0.24819027921406411</v>
      </c>
      <c r="BP923" s="67">
        <f>(CM923-Driver!$F$208)/(Driver!$G$208-Driver!$F$208)*$BI$1</f>
        <v>0.8</v>
      </c>
      <c r="BQ923" s="67">
        <f>(CL923-Driver!$F$209)/(Driver!$G$209-Driver!$F$209)*$BI$1</f>
        <v>1.875</v>
      </c>
      <c r="BR923" s="28" t="s">
        <v>155</v>
      </c>
      <c r="BS923" s="8" t="s">
        <v>167</v>
      </c>
      <c r="BT923" s="9" t="s">
        <v>739</v>
      </c>
      <c r="BU923" s="10">
        <v>153</v>
      </c>
      <c r="BV923" s="9" t="s">
        <v>163</v>
      </c>
      <c r="BW923" s="10">
        <v>153</v>
      </c>
      <c r="BX923" s="10">
        <v>152.5</v>
      </c>
      <c r="BY923" s="10">
        <v>132</v>
      </c>
      <c r="BZ923" s="10">
        <v>137</v>
      </c>
      <c r="CA923" s="10">
        <v>121</v>
      </c>
      <c r="CB923" s="10">
        <v>67</v>
      </c>
      <c r="CC923" s="10">
        <v>100</v>
      </c>
      <c r="CD923" s="10">
        <v>11</v>
      </c>
      <c r="CE923" s="10">
        <v>1721</v>
      </c>
      <c r="CF923" s="10">
        <v>0.74</v>
      </c>
      <c r="CG923" s="10">
        <v>1269</v>
      </c>
      <c r="CH923" s="10">
        <v>123</v>
      </c>
      <c r="CI923" s="10">
        <v>60</v>
      </c>
      <c r="CJ923" s="10">
        <v>39</v>
      </c>
      <c r="CK923" s="10">
        <v>134</v>
      </c>
      <c r="CL923" s="10">
        <v>12</v>
      </c>
      <c r="CM923" s="10">
        <v>72</v>
      </c>
      <c r="CN923" s="10">
        <v>0.308</v>
      </c>
      <c r="CO923" s="10">
        <v>89</v>
      </c>
      <c r="CP923" s="10">
        <v>62</v>
      </c>
      <c r="CQ923" s="10">
        <v>45</v>
      </c>
      <c r="CR923" s="10">
        <v>10</v>
      </c>
      <c r="CS923" s="10">
        <v>9.4</v>
      </c>
      <c r="CT923" s="9" t="s">
        <v>349</v>
      </c>
      <c r="CU923" s="10"/>
      <c r="CV923" s="10"/>
      <c r="CW923" s="10"/>
      <c r="CX923" t="str">
        <f>INDEX('Data_Price '!AG$2:AG$1266,MATCH(Data!$DN923,'Data_Price '!$AT$2:$AT$1266,0))</f>
        <v>Head Power Joy Ski w/ Joy 12 GW PRD Binding 2021</v>
      </c>
      <c r="CY923" t="str">
        <f>INDEX('Data_Price '!AH$2:AH$1266,MATCH(Data!$DN923,'Data_Price '!$AT$2:$AT$1266,0))</f>
        <v>Powder7 Ski Shop</v>
      </c>
      <c r="CZ923">
        <f>INDEX('Data_Price '!AI$2:AI$1266,MATCH(Data!$DN923,'Data_Price '!$AT$2:$AT$1266,0))</f>
        <v>649</v>
      </c>
      <c r="DA923" t="str">
        <f>INDEX('Data_Price '!AJ$2:AJ$1266,MATCH(Data!$DN923,'Data_Price '!$AT$2:$AT$1266,0))</f>
        <v>https://tinyurl.com/yb3lmzhz</v>
      </c>
      <c r="DB923" t="str">
        <f>INDEX('Data_Price '!AK$2:AK$1266,MATCH(Data!$DN923,'Data_Price '!$AT$2:$AT$1266,0))</f>
        <v>Head Power Joy Ski w/ Joy 12 GW PRD Binding 2021</v>
      </c>
      <c r="DC923" t="str">
        <f>INDEX('Data_Price '!AL$2:AL$1266,MATCH(Data!$DN923,'Data_Price '!$AT$2:$AT$1266,0))</f>
        <v>SkiEssentials.com</v>
      </c>
      <c r="DD923">
        <f>INDEX('Data_Price '!AM$2:AM$1266,MATCH(Data!$DN923,'Data_Price '!$AT$2:$AT$1266,0))</f>
        <v>699</v>
      </c>
      <c r="DE923" t="str">
        <f>INDEX('Data_Price '!AN$2:AN$1266,MATCH(Data!$DN923,'Data_Price '!$AT$2:$AT$1266,0))</f>
        <v>https://tinyurl.com/ybc7kjy8</v>
      </c>
      <c r="DF923" t="str">
        <f>INDEX('Data_Price '!AO$2:AO$1266,MATCH(Data!$DN923,'Data_Price '!$AT$2:$AT$1266,0))</f>
        <v>Head Power Joy Ski w/ Joy 12 GW PRD Binding 2021</v>
      </c>
      <c r="DG923" t="str">
        <f>INDEX('Data_Price '!AP$2:AP$1266,MATCH(Data!$DN923,'Data_Price '!$AT$2:$AT$1266,0))</f>
        <v>eBay - david110549</v>
      </c>
      <c r="DH923">
        <f>INDEX('Data_Price '!AQ$2:AQ$1266,MATCH(Data!$DN923,'Data_Price '!$AT$2:$AT$1266,0))</f>
        <v>699</v>
      </c>
      <c r="DI923" t="str">
        <f>INDEX('Data_Price '!AR$2:AR$1266,MATCH(Data!$DN923,'Data_Price '!$AT$2:$AT$1266,0))</f>
        <v>https://tinyurl.com/yal7cur3</v>
      </c>
      <c r="DJ923" s="89" t="str">
        <f t="shared" si="550"/>
        <v>https://tinyurl.com/yb3lmzhz</v>
      </c>
      <c r="DK923" s="89" t="str">
        <f t="shared" si="551"/>
        <v>https://tinyurl.com/ybc7kjy8</v>
      </c>
      <c r="DL923" s="89" t="str">
        <f t="shared" si="552"/>
        <v>https://tinyurl.com/yal7cur3</v>
      </c>
      <c r="DM923" s="219" t="str">
        <f t="shared" si="553"/>
        <v>Power Joy</v>
      </c>
      <c r="DN923" s="89" t="str">
        <f t="shared" si="554"/>
        <v xml:space="preserve"> HeadPower Joy153 Women's</v>
      </c>
      <c r="DO923" s="221"/>
    </row>
    <row r="924" spans="2:119" ht="15.6" customHeight="1">
      <c r="B924" s="219" t="b">
        <f t="array" ref="B924">IF(OR(ISERROR(K924:P924)),FALSE,TRUE)</f>
        <v>1</v>
      </c>
      <c r="C924" s="43" t="b">
        <f>OR(BR924=Driver!$G$50,Data!BR725=Driver!$H$50)</f>
        <v>1</v>
      </c>
      <c r="D924" s="43" t="b">
        <f>OR(BV924=Driver!$G$51,BV924=Driver!$H$51)</f>
        <v>1</v>
      </c>
      <c r="E924" s="43" t="b">
        <f>AND(BX924&gt;Driver!$F$54,BX924&lt;Driver!$G$54)</f>
        <v>1</v>
      </c>
      <c r="F924" s="43" t="b">
        <f>CL924&gt;Driver!$F$56</f>
        <v>1</v>
      </c>
      <c r="G924" s="43" t="b">
        <f>AND(CB924&gt;Driver!$F$55,CB924&lt;Driver!$G$55)</f>
        <v>0</v>
      </c>
      <c r="H924" s="43" t="b">
        <f t="shared" si="518"/>
        <v>0</v>
      </c>
      <c r="I924" s="43">
        <f t="shared" si="519"/>
        <v>0</v>
      </c>
      <c r="J924" s="43" t="b">
        <f t="array" ref="J924">NOT(OR(($H$9:$H$1273=TRUE)*($I$9:$I$1273&gt;0)*($BT$9:$BT$1273=BT924)*($K$9:$K$1273&gt;K924)))</f>
        <v>1</v>
      </c>
      <c r="K924" s="72">
        <f t="shared" si="520"/>
        <v>0.77898696654534838</v>
      </c>
      <c r="L924" s="72">
        <f t="shared" si="521"/>
        <v>0.78445595934190671</v>
      </c>
      <c r="M924" s="72">
        <f t="shared" si="522"/>
        <v>0.77351797374879017</v>
      </c>
      <c r="N924" s="72">
        <f t="shared" si="523"/>
        <v>0.81186293603964699</v>
      </c>
      <c r="O924" s="72">
        <f t="shared" si="524"/>
        <v>0.58370287814955457</v>
      </c>
      <c r="P924" s="72">
        <f t="shared" si="525"/>
        <v>0.92498810705716883</v>
      </c>
      <c r="Q924" s="72"/>
      <c r="R924" s="72"/>
      <c r="S924" s="72">
        <f t="shared" si="526"/>
        <v>0.39134922945293393</v>
      </c>
      <c r="T924" s="72">
        <f t="shared" si="527"/>
        <v>0.57909364062895141</v>
      </c>
      <c r="U924" s="72">
        <f t="shared" si="528"/>
        <v>0.86168383340324262</v>
      </c>
      <c r="V924" s="72">
        <f t="shared" si="529"/>
        <v>0.60783165770395431</v>
      </c>
      <c r="W924" s="72">
        <f t="shared" si="530"/>
        <v>0.88379337539432179</v>
      </c>
      <c r="X924" s="72">
        <f t="shared" si="531"/>
        <v>0.21554404065809324</v>
      </c>
      <c r="Y924" s="72">
        <f t="shared" si="532"/>
        <v>0.22648202625120986</v>
      </c>
      <c r="Z924" s="72">
        <f t="shared" si="533"/>
        <v>0.18813706396035301</v>
      </c>
      <c r="AA924" s="72">
        <f t="shared" si="534"/>
        <v>0.41629712185044548</v>
      </c>
      <c r="AB924" s="72">
        <f t="shared" si="535"/>
        <v>7.5011892942831171E-2</v>
      </c>
      <c r="AC924" s="72"/>
      <c r="AD924" s="72"/>
      <c r="AE924" s="72">
        <f t="shared" si="536"/>
        <v>0.60865077054706607</v>
      </c>
      <c r="AF924" s="72">
        <f t="shared" si="537"/>
        <v>0.42090635937104859</v>
      </c>
      <c r="AG924" s="72">
        <f t="shared" si="538"/>
        <v>0.13831616659675744</v>
      </c>
      <c r="AH924" s="72">
        <f t="shared" si="539"/>
        <v>0.39216834229604569</v>
      </c>
      <c r="AI924" s="72">
        <f t="shared" si="540"/>
        <v>0.11620662460567821</v>
      </c>
      <c r="AJ924" s="72">
        <f>(AV924-Driver!$K$179)/(Driver!$L$179-Driver!$K$179)</f>
        <v>3.8675368624607194E-2</v>
      </c>
      <c r="AK924" s="72">
        <f>(AW924-Driver!$K$180)/(Driver!$L$180-Driver!$K$180)</f>
        <v>0.18579561116124801</v>
      </c>
      <c r="AL924" s="72">
        <f>(AX924-Driver!$K$181)/(Driver!$L$181-Driver!$K$181)</f>
        <v>0.28982482767343321</v>
      </c>
      <c r="AM924" s="72">
        <f>(AY924-Driver!$K$182)/(Driver!$L$182-Driver!$K$182)</f>
        <v>3.1087899246600877E-2</v>
      </c>
      <c r="AN924" s="72">
        <f>(AZ924-Driver!$K$183)/(Driver!$L$183-Driver!$K$183)</f>
        <v>0.17920751633986925</v>
      </c>
      <c r="AO924" s="72"/>
      <c r="AP924" s="72"/>
      <c r="AQ924" s="72">
        <f>(BC924-Driver!$K$188)/(Driver!$L$188-Driver!$K$188)</f>
        <v>1.1349229452933898E-2</v>
      </c>
      <c r="AR924" s="72">
        <f>MIN((BD924-Driver!$K$189)/(Driver!$L$189-Driver!$K$189),100%)</f>
        <v>0.12909364062895146</v>
      </c>
      <c r="AS924" s="72">
        <f>(BE924-Driver!$K$190)/(Driver!$L$190-Driver!$K$190)</f>
        <v>0.37168383340324257</v>
      </c>
      <c r="AT924" s="72">
        <f>(BF924-Driver!$K$191)/(Driver!$L$191-Driver!$K$191)</f>
        <v>0.11783165770395432</v>
      </c>
      <c r="AU924" s="72">
        <f>(BG924-Driver!$K$192)/(Driver!$L$192-Driver!$K$192)</f>
        <v>0.13379337539432179</v>
      </c>
      <c r="AV924" s="70">
        <f t="shared" si="541"/>
        <v>0.81400081400081392</v>
      </c>
      <c r="AW924" s="70">
        <f t="shared" si="542"/>
        <v>19.979321245713866</v>
      </c>
      <c r="AX924" s="70">
        <f t="shared" si="543"/>
        <v>3.6084234490608988</v>
      </c>
      <c r="AY924" s="70">
        <f>IFERROR(Driver!$K$19/Data!BH924/Data!BI924*Data!BK924*Data!BL924,"")</f>
        <v>3.806086441171673E-2</v>
      </c>
      <c r="AZ924" s="70">
        <f t="shared" si="544"/>
        <v>16.33283693224125</v>
      </c>
      <c r="BA924" s="70"/>
      <c r="BB924" s="70"/>
      <c r="BC924" s="70">
        <f t="shared" si="545"/>
        <v>5.8869242157999526</v>
      </c>
      <c r="BD924" s="70">
        <f t="shared" si="546"/>
        <v>13.145381339364018</v>
      </c>
      <c r="BE924" s="70">
        <f t="shared" si="547"/>
        <v>0.37179591793536376</v>
      </c>
      <c r="BF924" s="70">
        <f t="shared" si="548"/>
        <v>13.308257923415249</v>
      </c>
      <c r="BG924" s="70">
        <f t="shared" si="549"/>
        <v>0.50662707018927455</v>
      </c>
      <c r="BH924" s="67">
        <f>MAX((CE924-Driver!$F$200)/(Driver!$G$200-Driver!$F$200)*$BI$1,1)</f>
        <v>3.6084234490608988</v>
      </c>
      <c r="BI924" s="67">
        <f>MAX($BI$1*(BY924-Driver!$F$201)/(Driver!$G$201-Driver!$F$201),1)</f>
        <v>6.7721518987341769</v>
      </c>
      <c r="BJ924" s="67">
        <f>(CB924-Driver!$F$206)/(Driver!$G$206-Driver!$F$206)*$BI$1</f>
        <v>3.1746031746031744</v>
      </c>
      <c r="BK924" s="67">
        <f>(CD924-Driver!$F$203)/(Driver!$G$203-Driver!$F$203)*$BI$1</f>
        <v>0.64220183486238569</v>
      </c>
      <c r="BL924" s="67">
        <f>MAX((CR924-Driver!$F$202)/(Driver!$G$202-Driver!$F$202)*$BI$1,1)</f>
        <v>7.2413793103448274</v>
      </c>
      <c r="BM924" s="67">
        <f>MAX((CH924-Driver!$F$204)/(Driver!$G$204-Driver!$F$204)*$BI$1,1)</f>
        <v>1.0256410256410255</v>
      </c>
      <c r="BN924" s="67">
        <f>(CI924-Driver!$F$205)/(Driver!$G$205-Driver!$F$205)*$BI$1</f>
        <v>2.4117647058823528</v>
      </c>
      <c r="BO924" s="67">
        <f>(CK924-Driver!$F$207)/(Driver!$G$207-Driver!$F$207)*$BI$1</f>
        <v>1.468459152016546</v>
      </c>
      <c r="BP924" s="67">
        <f>(CM924-Driver!$F$208)/(Driver!$G$208-Driver!$F$208)*$BI$1</f>
        <v>1.8333333333333333</v>
      </c>
      <c r="BQ924" s="67">
        <f>(CL924-Driver!$F$209)/(Driver!$G$209-Driver!$F$209)*$BI$1</f>
        <v>1.875</v>
      </c>
      <c r="BR924" s="28" t="s">
        <v>155</v>
      </c>
      <c r="BS924" s="8" t="s">
        <v>262</v>
      </c>
      <c r="BT924" s="9" t="s">
        <v>539</v>
      </c>
      <c r="BU924" s="10">
        <v>156</v>
      </c>
      <c r="BV924" s="9" t="s">
        <v>158</v>
      </c>
      <c r="BW924" s="10">
        <v>156</v>
      </c>
      <c r="BX924" s="10">
        <v>156.69999999999999</v>
      </c>
      <c r="BY924" s="10">
        <v>115</v>
      </c>
      <c r="BZ924" s="10">
        <v>128</v>
      </c>
      <c r="CA924" s="10">
        <v>129</v>
      </c>
      <c r="CB924" s="10">
        <v>84</v>
      </c>
      <c r="CC924" s="10">
        <v>112</v>
      </c>
      <c r="CD924" s="10">
        <v>10.8</v>
      </c>
      <c r="CE924" s="10">
        <v>1534</v>
      </c>
      <c r="CF924" s="10">
        <v>1.02</v>
      </c>
      <c r="CG924" s="10">
        <v>1558</v>
      </c>
      <c r="CH924" s="10">
        <v>125</v>
      </c>
      <c r="CI924" s="10">
        <v>74</v>
      </c>
      <c r="CJ924" s="10">
        <v>42</v>
      </c>
      <c r="CK924" s="10">
        <v>252</v>
      </c>
      <c r="CL924" s="10">
        <v>12</v>
      </c>
      <c r="CM924" s="10">
        <v>165</v>
      </c>
      <c r="CN924" s="10">
        <v>0.29199999999999998</v>
      </c>
      <c r="CO924" s="10">
        <v>176</v>
      </c>
      <c r="CP924" s="10">
        <v>112</v>
      </c>
      <c r="CQ924" s="10">
        <v>76</v>
      </c>
      <c r="CR924" s="10">
        <v>10</v>
      </c>
      <c r="CS924" s="10">
        <v>10.3</v>
      </c>
      <c r="CT924" s="9" t="s">
        <v>231</v>
      </c>
      <c r="CU924" s="9" t="s">
        <v>188</v>
      </c>
      <c r="CV924" s="10"/>
      <c r="CW924" s="10"/>
      <c r="CX924" t="e">
        <f>INDEX('Data_Price '!AG$2:AG$1266,MATCH(Data!$DN924,'Data_Price '!$AT$2:$AT$1266,0))</f>
        <v>#N/A</v>
      </c>
      <c r="CY924" t="e">
        <f>INDEX('Data_Price '!AH$2:AH$1266,MATCH(Data!$DN924,'Data_Price '!$AT$2:$AT$1266,0))</f>
        <v>#N/A</v>
      </c>
      <c r="CZ924" t="e">
        <f>INDEX('Data_Price '!AI$2:AI$1266,MATCH(Data!$DN924,'Data_Price '!$AT$2:$AT$1266,0))</f>
        <v>#N/A</v>
      </c>
      <c r="DA924" t="e">
        <f>INDEX('Data_Price '!AJ$2:AJ$1266,MATCH(Data!$DN924,'Data_Price '!$AT$2:$AT$1266,0))</f>
        <v>#N/A</v>
      </c>
      <c r="DB924" t="e">
        <f>INDEX('Data_Price '!AK$2:AK$1266,MATCH(Data!$DN924,'Data_Price '!$AT$2:$AT$1266,0))</f>
        <v>#N/A</v>
      </c>
      <c r="DC924" t="e">
        <f>INDEX('Data_Price '!AL$2:AL$1266,MATCH(Data!$DN924,'Data_Price '!$AT$2:$AT$1266,0))</f>
        <v>#N/A</v>
      </c>
      <c r="DD924" t="e">
        <f>INDEX('Data_Price '!AM$2:AM$1266,MATCH(Data!$DN924,'Data_Price '!$AT$2:$AT$1266,0))</f>
        <v>#N/A</v>
      </c>
      <c r="DE924" t="e">
        <f>INDEX('Data_Price '!AN$2:AN$1266,MATCH(Data!$DN924,'Data_Price '!$AT$2:$AT$1266,0))</f>
        <v>#N/A</v>
      </c>
      <c r="DF924" t="e">
        <f>INDEX('Data_Price '!AO$2:AO$1266,MATCH(Data!$DN924,'Data_Price '!$AT$2:$AT$1266,0))</f>
        <v>#N/A</v>
      </c>
      <c r="DG924" t="e">
        <f>INDEX('Data_Price '!AP$2:AP$1266,MATCH(Data!$DN924,'Data_Price '!$AT$2:$AT$1266,0))</f>
        <v>#N/A</v>
      </c>
      <c r="DH924" t="e">
        <f>INDEX('Data_Price '!AQ$2:AQ$1266,MATCH(Data!$DN924,'Data_Price '!$AT$2:$AT$1266,0))</f>
        <v>#N/A</v>
      </c>
      <c r="DI924" t="e">
        <f>INDEX('Data_Price '!AR$2:AR$1266,MATCH(Data!$DN924,'Data_Price '!$AT$2:$AT$1266,0))</f>
        <v>#N/A</v>
      </c>
      <c r="DJ924" s="89" t="e">
        <f t="shared" si="550"/>
        <v>#N/A</v>
      </c>
      <c r="DK924" s="89" t="e">
        <f t="shared" si="551"/>
        <v>#N/A</v>
      </c>
      <c r="DL924" s="89" t="e">
        <f t="shared" si="552"/>
        <v>#N/A</v>
      </c>
      <c r="DM924" s="219" t="str">
        <f t="shared" si="553"/>
        <v>Mindbender 85</v>
      </c>
      <c r="DN924" s="89" t="str">
        <f t="shared" si="554"/>
        <v xml:space="preserve"> K2Mindbender 85156 Unisex</v>
      </c>
      <c r="DO924" s="221" t="s">
        <v>540</v>
      </c>
    </row>
    <row r="925" spans="2:119" ht="15.6" customHeight="1">
      <c r="B925" s="219" t="b">
        <f t="array" ref="B925">IF(OR(ISERROR(K925:P925)),FALSE,TRUE)</f>
        <v>1</v>
      </c>
      <c r="C925" s="43" t="b">
        <f>OR(BR925=Driver!$G$50,Data!BR1252=Driver!$H$50)</f>
        <v>1</v>
      </c>
      <c r="D925" s="43" t="b">
        <f>OR(BV925=Driver!$G$51,BV925=Driver!$H$51)</f>
        <v>1</v>
      </c>
      <c r="E925" s="43" t="b">
        <f>AND(BX925&gt;Driver!$F$54,BX925&lt;Driver!$G$54)</f>
        <v>0</v>
      </c>
      <c r="F925" s="43" t="b">
        <f>CL925&gt;Driver!$F$56</f>
        <v>1</v>
      </c>
      <c r="G925" s="43" t="b">
        <f>AND(CB925&gt;Driver!$F$55,CB925&lt;Driver!$G$55)</f>
        <v>0</v>
      </c>
      <c r="H925" s="43" t="b">
        <f t="shared" si="518"/>
        <v>0</v>
      </c>
      <c r="I925" s="43">
        <f t="shared" si="519"/>
        <v>0</v>
      </c>
      <c r="J925" s="43" t="b">
        <f t="array" ref="J925">NOT(OR(($H$9:$H$1273=TRUE)*($I$9:$I$1273&gt;0)*($BT$9:$BT$1273=BT925)*($K$9:$K$1273&gt;K925)))</f>
        <v>1</v>
      </c>
      <c r="K925" s="72">
        <f t="shared" si="520"/>
        <v>0.87642306049212748</v>
      </c>
      <c r="L925" s="72">
        <f t="shared" si="521"/>
        <v>0.88066093879561724</v>
      </c>
      <c r="M925" s="72">
        <f t="shared" si="522"/>
        <v>0.87218518218863783</v>
      </c>
      <c r="N925" s="72">
        <f t="shared" si="523"/>
        <v>0.98513808939448155</v>
      </c>
      <c r="O925" s="72">
        <f t="shared" si="524"/>
        <v>0.7012414416175311</v>
      </c>
      <c r="P925" s="72">
        <f t="shared" si="525"/>
        <v>0.93017601555390095</v>
      </c>
      <c r="Q925" s="72"/>
      <c r="R925" s="72"/>
      <c r="S925" s="72">
        <f t="shared" si="526"/>
        <v>0.42354915861084919</v>
      </c>
      <c r="T925" s="72">
        <f t="shared" si="527"/>
        <v>0.44813557681761618</v>
      </c>
      <c r="U925" s="72">
        <f t="shared" si="528"/>
        <v>0.51</v>
      </c>
      <c r="V925" s="72">
        <f t="shared" si="529"/>
        <v>0.51611092899391187</v>
      </c>
      <c r="W925" s="72">
        <f t="shared" si="530"/>
        <v>0.79363425925925923</v>
      </c>
      <c r="X925" s="72">
        <f t="shared" si="531"/>
        <v>0.11933906120438281</v>
      </c>
      <c r="Y925" s="72">
        <f t="shared" si="532"/>
        <v>0.12781481781136214</v>
      </c>
      <c r="Z925" s="72">
        <f t="shared" si="533"/>
        <v>1.4861910605518419E-2</v>
      </c>
      <c r="AA925" s="72">
        <f t="shared" si="534"/>
        <v>0.2987585583824689</v>
      </c>
      <c r="AB925" s="72">
        <f t="shared" si="535"/>
        <v>6.9823984446099108E-2</v>
      </c>
      <c r="AC925" s="72"/>
      <c r="AD925" s="72"/>
      <c r="AE925" s="72">
        <f t="shared" si="536"/>
        <v>0.57645084138915081</v>
      </c>
      <c r="AF925" s="72">
        <f t="shared" si="537"/>
        <v>0.55186442318238382</v>
      </c>
      <c r="AG925" s="72">
        <f t="shared" si="538"/>
        <v>0.49</v>
      </c>
      <c r="AH925" s="72">
        <f t="shared" si="539"/>
        <v>0.48388907100608808</v>
      </c>
      <c r="AI925" s="72">
        <f t="shared" si="540"/>
        <v>0.20636574074074077</v>
      </c>
      <c r="AJ925" s="72">
        <f>(AV925-Driver!$K$179)/(Driver!$L$179-Driver!$K$179)</f>
        <v>0.13488034807831761</v>
      </c>
      <c r="AK925" s="72">
        <f>(AW925-Driver!$K$180)/(Driver!$L$180-Driver!$K$180)</f>
        <v>0.17612227761868335</v>
      </c>
      <c r="AL925" s="72">
        <f>(AX925-Driver!$K$181)/(Driver!$L$181-Driver!$K$181)</f>
        <v>0.1165496743185986</v>
      </c>
      <c r="AM925" s="72">
        <f>(AY925-Driver!$K$182)/(Driver!$L$182-Driver!$K$182)</f>
        <v>0.14862646271457747</v>
      </c>
      <c r="AN925" s="72">
        <f>(AZ925-Driver!$K$183)/(Driver!$L$183-Driver!$K$183)</f>
        <v>0.18439542483660132</v>
      </c>
      <c r="AO925" s="72"/>
      <c r="AP925" s="72"/>
      <c r="AQ925" s="72">
        <f>(BC925-Driver!$K$188)/(Driver!$L$188-Driver!$K$188)</f>
        <v>4.3549158610849181E-2</v>
      </c>
      <c r="AR925" s="72">
        <f>MIN((BD925-Driver!$K$189)/(Driver!$L$189-Driver!$K$189),100%)</f>
        <v>-1.8644231823837394E-3</v>
      </c>
      <c r="AS925" s="72">
        <f>(BE925-Driver!$K$190)/(Driver!$L$190-Driver!$K$190)</f>
        <v>1</v>
      </c>
      <c r="AT925" s="72">
        <f>(BF925-Driver!$K$191)/(Driver!$L$191-Driver!$K$191)</f>
        <v>2.6110928993911937E-2</v>
      </c>
      <c r="AU925" s="72">
        <f>(BG925-Driver!$K$192)/(Driver!$L$192-Driver!$K$192)</f>
        <v>4.3634259259259248E-2</v>
      </c>
      <c r="AV925" s="70">
        <f t="shared" si="541"/>
        <v>2.838827838827839</v>
      </c>
      <c r="AW925" s="70">
        <f t="shared" si="542"/>
        <v>19.036569177536155</v>
      </c>
      <c r="AX925" s="70">
        <f t="shared" si="543"/>
        <v>2.0489470688673874</v>
      </c>
      <c r="AY925" s="70">
        <f>IFERROR(Driver!$K$19/Data!BH925/Data!BI925*Data!BK925*Data!BL925,"")</f>
        <v>0.18196313621902643</v>
      </c>
      <c r="AZ925" s="70">
        <f t="shared" si="544"/>
        <v>16.805658972449741</v>
      </c>
      <c r="BA925" s="70"/>
      <c r="BB925" s="70"/>
      <c r="BC925" s="70">
        <f t="shared" si="545"/>
        <v>22.589251320286461</v>
      </c>
      <c r="BD925" s="70">
        <f t="shared" si="546"/>
        <v>1.555824736019163</v>
      </c>
      <c r="BE925" s="70">
        <f t="shared" si="547"/>
        <v>1</v>
      </c>
      <c r="BF925" s="70">
        <f t="shared" si="548"/>
        <v>2.9490459902042101</v>
      </c>
      <c r="BG925" s="70">
        <f t="shared" si="549"/>
        <v>0.16522714120370369</v>
      </c>
      <c r="BH925" s="67">
        <f>MAX((CE925-Driver!$F$200)/(Driver!$G$200-Driver!$F$200)*$BI$1,1)</f>
        <v>2.0489470688673874</v>
      </c>
      <c r="BI925" s="67">
        <f>MAX($BI$1*(BY925-Driver!$F$201)/(Driver!$G$201-Driver!$F$201),1)</f>
        <v>7.7215189873417724</v>
      </c>
      <c r="BJ925" s="67">
        <f>(CB925-Driver!$F$206)/(Driver!$G$206-Driver!$F$206)*$BI$1</f>
        <v>4.92063492063492</v>
      </c>
      <c r="BK925" s="67">
        <f>(CD925-Driver!$F$203)/(Driver!$G$203-Driver!$F$203)*$BI$1</f>
        <v>2.9816513761467895</v>
      </c>
      <c r="BL925" s="67">
        <f>MAX((CR925-Driver!$F$202)/(Driver!$G$202-Driver!$F$202)*$BI$1,1)</f>
        <v>4.8275862068965516</v>
      </c>
      <c r="BM925" s="67">
        <f>MAX((CH925-Driver!$F$204)/(Driver!$G$204-Driver!$F$204)*$BI$1,1)</f>
        <v>2.3076923076923079</v>
      </c>
      <c r="BN925" s="67">
        <f>(CI925-Driver!$F$205)/(Driver!$G$205-Driver!$F$205)*$BI$1</f>
        <v>2.1764705882352944</v>
      </c>
      <c r="BO925" s="67">
        <f>(CK925-Driver!$F$207)/(Driver!$G$207-Driver!$F$207)*$BI$1</f>
        <v>2.2337125129265769</v>
      </c>
      <c r="BP925" s="67">
        <f>(CM925-Driver!$F$208)/(Driver!$G$208-Driver!$F$208)*$BI$1</f>
        <v>0.8</v>
      </c>
      <c r="BQ925" s="67">
        <f>(CL925-Driver!$F$209)/(Driver!$G$209-Driver!$F$209)*$BI$1</f>
        <v>0.78125</v>
      </c>
      <c r="BR925" s="28" t="s">
        <v>155</v>
      </c>
      <c r="BS925" s="8" t="s">
        <v>229</v>
      </c>
      <c r="BT925" s="9" t="s">
        <v>461</v>
      </c>
      <c r="BU925" s="10">
        <v>170</v>
      </c>
      <c r="BV925" s="9" t="s">
        <v>158</v>
      </c>
      <c r="BW925" s="10">
        <v>170</v>
      </c>
      <c r="BX925" s="10">
        <v>169.5</v>
      </c>
      <c r="BY925" s="10">
        <v>130</v>
      </c>
      <c r="BZ925" s="10">
        <v>148</v>
      </c>
      <c r="CA925" s="10">
        <v>137</v>
      </c>
      <c r="CB925" s="10">
        <v>95</v>
      </c>
      <c r="CC925" s="10">
        <v>118</v>
      </c>
      <c r="CD925" s="10">
        <v>15.9</v>
      </c>
      <c r="CE925" s="10">
        <v>1260</v>
      </c>
      <c r="CF925" s="10">
        <v>1.45</v>
      </c>
      <c r="CG925" s="10">
        <v>1830</v>
      </c>
      <c r="CH925" s="10">
        <v>155</v>
      </c>
      <c r="CI925" s="10">
        <v>70</v>
      </c>
      <c r="CJ925" s="10">
        <v>39</v>
      </c>
      <c r="CK925" s="10">
        <v>326</v>
      </c>
      <c r="CL925" s="10">
        <v>5</v>
      </c>
      <c r="CM925" s="10">
        <v>72</v>
      </c>
      <c r="CN925" s="10">
        <v>0.13500000000000001</v>
      </c>
      <c r="CO925" s="10">
        <v>123</v>
      </c>
      <c r="CP925" s="10">
        <v>89</v>
      </c>
      <c r="CQ925" s="10">
        <v>204</v>
      </c>
      <c r="CR925" s="10">
        <v>3</v>
      </c>
      <c r="CS925" s="10">
        <v>11.3</v>
      </c>
      <c r="CT925" s="9" t="s">
        <v>185</v>
      </c>
      <c r="CU925" s="9" t="s">
        <v>198</v>
      </c>
      <c r="CV925" s="10"/>
      <c r="CW925" s="10"/>
      <c r="CX925" t="e">
        <f>INDEX('Data_Price '!AG$2:AG$1266,MATCH(Data!$DN925,'Data_Price '!$AT$2:$AT$1266,0))</f>
        <v>#N/A</v>
      </c>
      <c r="CY925" t="e">
        <f>INDEX('Data_Price '!AH$2:AH$1266,MATCH(Data!$DN925,'Data_Price '!$AT$2:$AT$1266,0))</f>
        <v>#N/A</v>
      </c>
      <c r="CZ925" t="e">
        <f>INDEX('Data_Price '!AI$2:AI$1266,MATCH(Data!$DN925,'Data_Price '!$AT$2:$AT$1266,0))</f>
        <v>#N/A</v>
      </c>
      <c r="DA925" t="e">
        <f>INDEX('Data_Price '!AJ$2:AJ$1266,MATCH(Data!$DN925,'Data_Price '!$AT$2:$AT$1266,0))</f>
        <v>#N/A</v>
      </c>
      <c r="DB925" t="e">
        <f>INDEX('Data_Price '!AK$2:AK$1266,MATCH(Data!$DN925,'Data_Price '!$AT$2:$AT$1266,0))</f>
        <v>#N/A</v>
      </c>
      <c r="DC925" t="e">
        <f>INDEX('Data_Price '!AL$2:AL$1266,MATCH(Data!$DN925,'Data_Price '!$AT$2:$AT$1266,0))</f>
        <v>#N/A</v>
      </c>
      <c r="DD925" t="e">
        <f>INDEX('Data_Price '!AM$2:AM$1266,MATCH(Data!$DN925,'Data_Price '!$AT$2:$AT$1266,0))</f>
        <v>#N/A</v>
      </c>
      <c r="DE925" t="e">
        <f>INDEX('Data_Price '!AN$2:AN$1266,MATCH(Data!$DN925,'Data_Price '!$AT$2:$AT$1266,0))</f>
        <v>#N/A</v>
      </c>
      <c r="DF925" t="e">
        <f>INDEX('Data_Price '!AO$2:AO$1266,MATCH(Data!$DN925,'Data_Price '!$AT$2:$AT$1266,0))</f>
        <v>#N/A</v>
      </c>
      <c r="DG925" t="e">
        <f>INDEX('Data_Price '!AP$2:AP$1266,MATCH(Data!$DN925,'Data_Price '!$AT$2:$AT$1266,0))</f>
        <v>#N/A</v>
      </c>
      <c r="DH925" t="e">
        <f>INDEX('Data_Price '!AQ$2:AQ$1266,MATCH(Data!$DN925,'Data_Price '!$AT$2:$AT$1266,0))</f>
        <v>#N/A</v>
      </c>
      <c r="DI925" t="e">
        <f>INDEX('Data_Price '!AR$2:AR$1266,MATCH(Data!$DN925,'Data_Price '!$AT$2:$AT$1266,0))</f>
        <v>#N/A</v>
      </c>
      <c r="DJ925" s="89" t="e">
        <f t="shared" si="550"/>
        <v>#N/A</v>
      </c>
      <c r="DK925" s="89" t="e">
        <f t="shared" si="551"/>
        <v>#N/A</v>
      </c>
      <c r="DL925" s="89" t="e">
        <f t="shared" si="552"/>
        <v>#N/A</v>
      </c>
      <c r="DM925" s="219" t="str">
        <f t="shared" si="553"/>
        <v>Rise Beyond 96</v>
      </c>
      <c r="DN925" s="89" t="str">
        <f t="shared" si="554"/>
        <v xml:space="preserve"> VölklRise Beyond 96170 Unisex</v>
      </c>
      <c r="DO925" s="221"/>
    </row>
    <row r="926" spans="2:119" ht="15.6" customHeight="1">
      <c r="B926" s="219" t="b">
        <f t="array" ref="B926">IF(OR(ISERROR(K926:P926)),FALSE,TRUE)</f>
        <v>1</v>
      </c>
      <c r="C926" s="43" t="b">
        <f>OR(BR926=Driver!$G$50,Data!BR843=Driver!$H$50)</f>
        <v>1</v>
      </c>
      <c r="D926" s="43" t="b">
        <f>OR(BV926=Driver!$G$51,BV926=Driver!$H$51)</f>
        <v>0</v>
      </c>
      <c r="E926" s="43" t="b">
        <f>AND(BX926&gt;Driver!$F$54,BX926&lt;Driver!$G$54)</f>
        <v>1</v>
      </c>
      <c r="F926" s="43" t="b">
        <f>CL926&gt;Driver!$F$56</f>
        <v>1</v>
      </c>
      <c r="G926" s="43" t="b">
        <f>AND(CB926&gt;Driver!$F$55,CB926&lt;Driver!$G$55)</f>
        <v>1</v>
      </c>
      <c r="H926" s="43" t="b">
        <f t="shared" si="518"/>
        <v>0</v>
      </c>
      <c r="I926" s="43">
        <f t="shared" si="519"/>
        <v>0</v>
      </c>
      <c r="J926" s="43" t="b">
        <f t="array" ref="J926">NOT(OR(($H$9:$H$1273=TRUE)*($I$9:$I$1273&gt;0)*($BT$9:$BT$1273=BT926)*($K$9:$K$1273&gt;K926)))</f>
        <v>1</v>
      </c>
      <c r="K926" s="72">
        <f t="shared" si="520"/>
        <v>0.80662069956663085</v>
      </c>
      <c r="L926" s="72">
        <f t="shared" si="521"/>
        <v>0.81931213531483404</v>
      </c>
      <c r="M926" s="72">
        <f t="shared" si="522"/>
        <v>0.79392926381842777</v>
      </c>
      <c r="N926" s="72">
        <f t="shared" si="523"/>
        <v>0.84727683599537951</v>
      </c>
      <c r="O926" s="72">
        <f t="shared" si="524"/>
        <v>0.63578918827201591</v>
      </c>
      <c r="P926" s="72">
        <f t="shared" si="525"/>
        <v>0.89872176718788777</v>
      </c>
      <c r="Q926" s="72"/>
      <c r="R926" s="72"/>
      <c r="S926" s="72">
        <f t="shared" si="526"/>
        <v>0.40031295458169269</v>
      </c>
      <c r="T926" s="72">
        <f t="shared" si="527"/>
        <v>0.44927162769118856</v>
      </c>
      <c r="U926" s="72">
        <f t="shared" si="528"/>
        <v>0.75224524709483243</v>
      </c>
      <c r="V926" s="72">
        <f t="shared" si="529"/>
        <v>0.5915977442994147</v>
      </c>
      <c r="W926" s="72">
        <f t="shared" si="530"/>
        <v>0.9256055363321799</v>
      </c>
      <c r="X926" s="72">
        <f t="shared" si="531"/>
        <v>0.18068786468516598</v>
      </c>
      <c r="Y926" s="72">
        <f t="shared" si="532"/>
        <v>0.20607073618157226</v>
      </c>
      <c r="Z926" s="72">
        <f t="shared" si="533"/>
        <v>0.15272316400462044</v>
      </c>
      <c r="AA926" s="72">
        <f t="shared" si="534"/>
        <v>0.36421081172798409</v>
      </c>
      <c r="AB926" s="72">
        <f t="shared" si="535"/>
        <v>0.10127823281211218</v>
      </c>
      <c r="AC926" s="72"/>
      <c r="AD926" s="72"/>
      <c r="AE926" s="72">
        <f t="shared" si="536"/>
        <v>0.59968704541830731</v>
      </c>
      <c r="AF926" s="72">
        <f t="shared" si="537"/>
        <v>0.55072837230881144</v>
      </c>
      <c r="AG926" s="72">
        <f t="shared" si="538"/>
        <v>0.24775475290516763</v>
      </c>
      <c r="AH926" s="72">
        <f t="shared" si="539"/>
        <v>0.4084022557005853</v>
      </c>
      <c r="AI926" s="72">
        <f t="shared" si="540"/>
        <v>7.4394463667820071E-2</v>
      </c>
      <c r="AJ926" s="72">
        <f>(AV926-Driver!$K$179)/(Driver!$L$179-Driver!$K$179)</f>
        <v>7.3531544597534443E-2</v>
      </c>
      <c r="AK926" s="72">
        <f>(AW926-Driver!$K$180)/(Driver!$L$180-Driver!$K$180)</f>
        <v>0.15861644903043032</v>
      </c>
      <c r="AL926" s="72">
        <f>(AX926-Driver!$K$181)/(Driver!$L$181-Driver!$K$181)</f>
        <v>0.25441092771770063</v>
      </c>
      <c r="AM926" s="72">
        <f>(AY926-Driver!$K$182)/(Driver!$L$182-Driver!$K$182)</f>
        <v>8.3174209369062294E-2</v>
      </c>
      <c r="AN926" s="72">
        <f>(AZ926-Driver!$K$183)/(Driver!$L$183-Driver!$K$183)</f>
        <v>0.15294117647058825</v>
      </c>
      <c r="AO926" s="72"/>
      <c r="AP926" s="72"/>
      <c r="AQ926" s="72">
        <f>(BC926-Driver!$K$188)/(Driver!$L$188-Driver!$K$188)</f>
        <v>2.0312954581692671E-2</v>
      </c>
      <c r="AR926" s="72">
        <f>MIN((BD926-Driver!$K$189)/(Driver!$L$189-Driver!$K$189),100%)</f>
        <v>-7.2837230881144758E-4</v>
      </c>
      <c r="AS926" s="72">
        <f>(BE926-Driver!$K$190)/(Driver!$L$190-Driver!$K$190)</f>
        <v>0.26224524709483238</v>
      </c>
      <c r="AT926" s="72">
        <f>(BF926-Driver!$K$191)/(Driver!$L$191-Driver!$K$191)</f>
        <v>0.10159774429941473</v>
      </c>
      <c r="AU926" s="72">
        <f>(BG926-Driver!$K$192)/(Driver!$L$192-Driver!$K$192)</f>
        <v>0.17560553633217993</v>
      </c>
      <c r="AV926" s="70">
        <f t="shared" si="541"/>
        <v>1.5476190476190477</v>
      </c>
      <c r="AW926" s="70">
        <f t="shared" si="542"/>
        <v>17.330471064189759</v>
      </c>
      <c r="AX926" s="70">
        <f t="shared" si="543"/>
        <v>3.2896983494593055</v>
      </c>
      <c r="AY926" s="70">
        <f>IFERROR(Driver!$K$19/Data!BH926/Data!BI926*Data!BK926*Data!BL926,"")</f>
        <v>0.10183004905658757</v>
      </c>
      <c r="AZ926" s="70">
        <f t="shared" si="544"/>
        <v>13.938942665673865</v>
      </c>
      <c r="BA926" s="70"/>
      <c r="BB926" s="70"/>
      <c r="BC926" s="70">
        <f t="shared" si="545"/>
        <v>10.536470754893253</v>
      </c>
      <c r="BD926" s="70">
        <f t="shared" si="546"/>
        <v>1.6563632253672762</v>
      </c>
      <c r="BE926" s="70">
        <f t="shared" si="547"/>
        <v>0.26237685423896723</v>
      </c>
      <c r="BF926" s="70">
        <f t="shared" si="548"/>
        <v>11.474751454068933</v>
      </c>
      <c r="BG926" s="70">
        <f t="shared" si="549"/>
        <v>0.66495458477508651</v>
      </c>
      <c r="BH926" s="67">
        <f>MAX((CE926-Driver!$F$200)/(Driver!$G$200-Driver!$F$200)*$BI$1,1)</f>
        <v>3.2896983494593055</v>
      </c>
      <c r="BI926" s="67">
        <f>MAX($BI$1*(BY926-Driver!$F$201)/(Driver!$G$201-Driver!$F$201),1)</f>
        <v>6.5822784810126587</v>
      </c>
      <c r="BJ926" s="67">
        <f>(CB926-Driver!$F$206)/(Driver!$G$206-Driver!$F$206)*$BI$1</f>
        <v>6.1904761904761907</v>
      </c>
      <c r="BK926" s="67">
        <f>(CD926-Driver!$F$203)/(Driver!$G$203-Driver!$F$203)*$BI$1</f>
        <v>1.8807339449541285</v>
      </c>
      <c r="BL926" s="67">
        <f>MAX((CR926-Driver!$F$202)/(Driver!$G$202-Driver!$F$202)*$BI$1,1)</f>
        <v>5.8620689655172411</v>
      </c>
      <c r="BM926" s="67">
        <f>MAX((CH926-Driver!$F$204)/(Driver!$G$204-Driver!$F$204)*$BI$1,1)</f>
        <v>1</v>
      </c>
      <c r="BN926" s="67">
        <f>(CI926-Driver!$F$205)/(Driver!$G$205-Driver!$F$205)*$BI$1</f>
        <v>2.1176470588235294</v>
      </c>
      <c r="BO926" s="67">
        <f>(CK926-Driver!$F$207)/(Driver!$G$207-Driver!$F$207)*$BI$1</f>
        <v>1.9131334022750777</v>
      </c>
      <c r="BP926" s="67">
        <f>(CM926-Driver!$F$208)/(Driver!$G$208-Driver!$F$208)*$BI$1</f>
        <v>1.8222222222222224</v>
      </c>
      <c r="BQ926" s="67">
        <f>(CL926-Driver!$F$209)/(Driver!$G$209-Driver!$F$209)*$BI$1</f>
        <v>2.1875</v>
      </c>
      <c r="BR926" s="28" t="s">
        <v>155</v>
      </c>
      <c r="BS926" s="8" t="s">
        <v>208</v>
      </c>
      <c r="BT926" s="9" t="s">
        <v>614</v>
      </c>
      <c r="BU926" s="10">
        <v>158</v>
      </c>
      <c r="BV926" s="9" t="s">
        <v>163</v>
      </c>
      <c r="BW926" s="10">
        <v>158</v>
      </c>
      <c r="BX926" s="10">
        <v>158.19999999999999</v>
      </c>
      <c r="BY926" s="10">
        <v>112</v>
      </c>
      <c r="BZ926" s="10">
        <v>122</v>
      </c>
      <c r="CA926" s="10">
        <v>136</v>
      </c>
      <c r="CB926" s="10">
        <v>103</v>
      </c>
      <c r="CC926" s="10">
        <v>121</v>
      </c>
      <c r="CD926" s="10">
        <v>13.5</v>
      </c>
      <c r="CE926" s="10">
        <v>1478</v>
      </c>
      <c r="CF926" s="10">
        <v>1.21</v>
      </c>
      <c r="CG926" s="10">
        <v>1792</v>
      </c>
      <c r="CH926" s="10">
        <v>122</v>
      </c>
      <c r="CI926" s="10">
        <v>69</v>
      </c>
      <c r="CJ926" s="10">
        <v>46</v>
      </c>
      <c r="CK926" s="10">
        <v>295</v>
      </c>
      <c r="CL926" s="10">
        <v>14</v>
      </c>
      <c r="CM926" s="10">
        <v>164</v>
      </c>
      <c r="CN926" s="10">
        <v>0.30499999999999999</v>
      </c>
      <c r="CO926" s="10">
        <v>185</v>
      </c>
      <c r="CP926" s="10">
        <v>181</v>
      </c>
      <c r="CQ926" s="10">
        <v>109</v>
      </c>
      <c r="CR926" s="10">
        <v>6</v>
      </c>
      <c r="CS926" s="10">
        <v>9.6</v>
      </c>
      <c r="CT926" s="9" t="s">
        <v>188</v>
      </c>
      <c r="CU926" s="9" t="s">
        <v>178</v>
      </c>
      <c r="CV926" s="9" t="s">
        <v>185</v>
      </c>
      <c r="CW926" s="10"/>
      <c r="CX926" t="str">
        <f>INDEX('Data_Price '!AG$2:AG$1266,MATCH(Data!$DN926,'Data_Price '!$AT$2:$AT$1266,0))</f>
        <v>Line Pandora 104 Women's Skis Â· 2022 Â· 158 cm</v>
      </c>
      <c r="CY926" t="str">
        <f>INDEX('Data_Price '!AH$2:AH$1266,MATCH(Data!$DN926,'Data_Price '!$AT$2:$AT$1266,0))</f>
        <v>BlueZone Sports</v>
      </c>
      <c r="CZ926">
        <f>INDEX('Data_Price '!AI$2:AI$1266,MATCH(Data!$DN926,'Data_Price '!$AT$2:$AT$1266,0))</f>
        <v>479.96</v>
      </c>
      <c r="DA926" t="str">
        <f>INDEX('Data_Price '!AJ$2:AJ$1266,MATCH(Data!$DN926,'Data_Price '!$AT$2:$AT$1266,0))</f>
        <v>https://tinyurl.com/y8tce8hm</v>
      </c>
      <c r="DB926" t="str">
        <f>INDEX('Data_Price '!AK$2:AK$1266,MATCH(Data!$DN926,'Data_Price '!$AT$2:$AT$1266,0))</f>
        <v>'22 Line Pandora 104 Skis 158cm</v>
      </c>
      <c r="DC926" t="str">
        <f>INDEX('Data_Price '!AL$2:AL$1266,MATCH(Data!$DN926,'Data_Price '!$AT$2:$AT$1266,0))</f>
        <v>Al's Ski Equipment Barn</v>
      </c>
      <c r="DD926">
        <f>INDEX('Data_Price '!AM$2:AM$1266,MATCH(Data!$DN926,'Data_Price '!$AT$2:$AT$1266,0))</f>
        <v>549.95000000000005</v>
      </c>
      <c r="DE926" t="str">
        <f>INDEX('Data_Price '!AN$2:AN$1266,MATCH(Data!$DN926,'Data_Price '!$AT$2:$AT$1266,0))</f>
        <v>https://tinyurl.com/yc7wbovp</v>
      </c>
      <c r="DF926" t="str">
        <f>INDEX('Data_Price '!AO$2:AO$1266,MATCH(Data!$DN926,'Data_Price '!$AT$2:$AT$1266,0))</f>
        <v>Line Skis Pandora 104 Skis , 158 mm + Salomon Warden MNC 11 Demo</v>
      </c>
      <c r="DG926" t="str">
        <f>INDEX('Data_Price '!AP$2:AP$1266,MATCH(Data!$DN926,'Data_Price '!$AT$2:$AT$1266,0))</f>
        <v>Geartrade.com</v>
      </c>
      <c r="DH926">
        <f>INDEX('Data_Price '!AQ$2:AQ$1266,MATCH(Data!$DN926,'Data_Price '!$AT$2:$AT$1266,0))</f>
        <v>550</v>
      </c>
      <c r="DI926" t="str">
        <f>INDEX('Data_Price '!AR$2:AR$1266,MATCH(Data!$DN926,'Data_Price '!$AT$2:$AT$1266,0))</f>
        <v>https://tinyurl.com/ybghw8m4</v>
      </c>
      <c r="DJ926" s="89" t="str">
        <f t="shared" si="550"/>
        <v>https://tinyurl.com/y8tce8hm</v>
      </c>
      <c r="DK926" s="89" t="str">
        <f t="shared" si="551"/>
        <v>https://tinyurl.com/yc7wbovp</v>
      </c>
      <c r="DL926" s="89" t="str">
        <f t="shared" si="552"/>
        <v>https://tinyurl.com/ybghw8m4</v>
      </c>
      <c r="DM926" s="219" t="str">
        <f t="shared" si="553"/>
        <v>Pandora 104</v>
      </c>
      <c r="DN926" s="89" t="str">
        <f t="shared" si="554"/>
        <v xml:space="preserve"> LinePandora 104158 Women's</v>
      </c>
      <c r="DO926" s="221" t="s">
        <v>615</v>
      </c>
    </row>
    <row r="927" spans="2:119" ht="15.6" customHeight="1">
      <c r="B927" s="219" t="b">
        <f t="array" ref="B927">IF(OR(ISERROR(K927:P927)),FALSE,TRUE)</f>
        <v>1</v>
      </c>
      <c r="C927" s="43" t="b">
        <f>OR(BR927=Driver!$G$50,Data!BR952=Driver!$H$50)</f>
        <v>1</v>
      </c>
      <c r="D927" s="43" t="b">
        <f>OR(BV927=Driver!$G$51,BV927=Driver!$H$51)</f>
        <v>1</v>
      </c>
      <c r="E927" s="43" t="b">
        <f>AND(BX927&gt;Driver!$F$54,BX927&lt;Driver!$G$54)</f>
        <v>0</v>
      </c>
      <c r="F927" s="43" t="b">
        <f>CL927&gt;Driver!$F$56</f>
        <v>1</v>
      </c>
      <c r="G927" s="43" t="b">
        <f>AND(CB927&gt;Driver!$F$55,CB927&lt;Driver!$G$55)</f>
        <v>0</v>
      </c>
      <c r="H927" s="43" t="b">
        <f t="shared" si="518"/>
        <v>0</v>
      </c>
      <c r="I927" s="43">
        <f t="shared" si="519"/>
        <v>0</v>
      </c>
      <c r="J927" s="43" t="b">
        <f t="array" ref="J927">NOT(OR(($H$9:$H$1273=TRUE)*($I$9:$I$1273&gt;0)*($BT$9:$BT$1273=BT927)*($K$9:$K$1273&gt;K927)))</f>
        <v>1</v>
      </c>
      <c r="K927" s="72">
        <f t="shared" si="520"/>
        <v>0.89137306171540287</v>
      </c>
      <c r="L927" s="72">
        <f t="shared" si="521"/>
        <v>0.99396640791294777</v>
      </c>
      <c r="M927" s="72">
        <f t="shared" si="522"/>
        <v>0.78877971551785786</v>
      </c>
      <c r="N927" s="72">
        <f t="shared" si="523"/>
        <v>0.8441148806421892</v>
      </c>
      <c r="O927" s="72">
        <f t="shared" si="524"/>
        <v>0.71700740068428104</v>
      </c>
      <c r="P927" s="72">
        <f t="shared" si="525"/>
        <v>0.80521686522710345</v>
      </c>
      <c r="Q927" s="72"/>
      <c r="R927" s="72"/>
      <c r="S927" s="72">
        <f t="shared" si="526"/>
        <v>0.39670299141417786</v>
      </c>
      <c r="T927" s="72">
        <f t="shared" si="527"/>
        <v>0.47243705722227491</v>
      </c>
      <c r="U927" s="72">
        <f t="shared" si="528"/>
        <v>0.53840326703068264</v>
      </c>
      <c r="V927" s="72">
        <f t="shared" si="529"/>
        <v>0.59810737792499169</v>
      </c>
      <c r="W927" s="72">
        <f t="shared" si="530"/>
        <v>0.83883000812494357</v>
      </c>
      <c r="X927" s="72">
        <f t="shared" si="531"/>
        <v>6.0335920870521753E-3</v>
      </c>
      <c r="Y927" s="72">
        <f t="shared" si="532"/>
        <v>0.21122028448214211</v>
      </c>
      <c r="Z927" s="72">
        <f t="shared" si="533"/>
        <v>0.15588511935781085</v>
      </c>
      <c r="AA927" s="72">
        <f t="shared" si="534"/>
        <v>0.28299259931571902</v>
      </c>
      <c r="AB927" s="72">
        <f t="shared" si="535"/>
        <v>0.19478313477289649</v>
      </c>
      <c r="AC927" s="72"/>
      <c r="AD927" s="72"/>
      <c r="AE927" s="72">
        <f t="shared" si="536"/>
        <v>0.60329700858582214</v>
      </c>
      <c r="AF927" s="72">
        <f t="shared" si="537"/>
        <v>0.52756294277772509</v>
      </c>
      <c r="AG927" s="72">
        <f t="shared" si="538"/>
        <v>0.4615967329693173</v>
      </c>
      <c r="AH927" s="72">
        <f t="shared" si="539"/>
        <v>0.40189262207500831</v>
      </c>
      <c r="AI927" s="72">
        <f t="shared" si="540"/>
        <v>0.16116999187505643</v>
      </c>
      <c r="AJ927" s="72">
        <f>(AV927-Driver!$K$179)/(Driver!$L$179-Driver!$K$179)</f>
        <v>0.2602530013697526</v>
      </c>
      <c r="AK927" s="72">
        <f>(AW927-Driver!$K$180)/(Driver!$L$180-Driver!$K$180)</f>
        <v>7.2487053023334358E-2</v>
      </c>
      <c r="AL927" s="72">
        <f>(AX927-Driver!$K$181)/(Driver!$L$181-Driver!$K$181)</f>
        <v>0.25757288307089105</v>
      </c>
      <c r="AM927" s="72">
        <f>(AY927-Driver!$K$182)/(Driver!$L$182-Driver!$K$182)</f>
        <v>0.16439242178132735</v>
      </c>
      <c r="AN927" s="72">
        <f>(AZ927-Driver!$K$183)/(Driver!$L$183-Driver!$K$183)</f>
        <v>5.9436274509803926E-2</v>
      </c>
      <c r="AO927" s="72"/>
      <c r="AP927" s="72"/>
      <c r="AQ927" s="72">
        <f>(BC927-Driver!$K$188)/(Driver!$L$188-Driver!$K$188)</f>
        <v>1.6702991414177869E-2</v>
      </c>
      <c r="AR927" s="72">
        <f>MIN((BD927-Driver!$K$189)/(Driver!$L$189-Driver!$K$189),100%)</f>
        <v>2.2437057222274993E-2</v>
      </c>
      <c r="AS927" s="72">
        <f>(BE927-Driver!$K$190)/(Driver!$L$190-Driver!$K$190)</f>
        <v>4.8403267030682727E-2</v>
      </c>
      <c r="AT927" s="72">
        <f>(BF927-Driver!$K$191)/(Driver!$L$191-Driver!$K$191)</f>
        <v>0.10810737792499168</v>
      </c>
      <c r="AU927" s="72">
        <f>(BG927-Driver!$K$192)/(Driver!$L$192-Driver!$K$192)</f>
        <v>8.8830008124943557E-2</v>
      </c>
      <c r="AV927" s="70">
        <f t="shared" si="541"/>
        <v>5.4775471442138102</v>
      </c>
      <c r="AW927" s="70">
        <f t="shared" si="542"/>
        <v>8.9363982392121297</v>
      </c>
      <c r="AX927" s="70">
        <f t="shared" si="543"/>
        <v>3.3181559476380196</v>
      </c>
      <c r="AY927" s="70">
        <f>IFERROR(Driver!$K$19/Data!BH927/Data!BI927*Data!BK927*Data!BL927,"")</f>
        <v>0.20126537422489152</v>
      </c>
      <c r="AZ927" s="70">
        <f t="shared" si="544"/>
        <v>5.4169769173492188</v>
      </c>
      <c r="BA927" s="70"/>
      <c r="BB927" s="70"/>
      <c r="BC927" s="70">
        <f t="shared" si="545"/>
        <v>8.6639577638465344</v>
      </c>
      <c r="BD927" s="70">
        <f t="shared" si="546"/>
        <v>3.7064626921561588</v>
      </c>
      <c r="BE927" s="70">
        <f t="shared" si="547"/>
        <v>4.857302117716699E-2</v>
      </c>
      <c r="BF927" s="70">
        <f t="shared" si="548"/>
        <v>12.209968839313335</v>
      </c>
      <c r="BG927" s="70">
        <f t="shared" si="549"/>
        <v>0.3363670781800126</v>
      </c>
      <c r="BH927" s="67">
        <f>MAX((CE927-Driver!$F$200)/(Driver!$G$200-Driver!$F$200)*$BI$1,1)</f>
        <v>3.3181559476380196</v>
      </c>
      <c r="BI927" s="67">
        <f>MAX($BI$1*(BY927-Driver!$F$201)/(Driver!$G$201-Driver!$F$201),1)</f>
        <v>6.1392405063291138</v>
      </c>
      <c r="BJ927" s="67">
        <f>(CB927-Driver!$F$206)/(Driver!$G$206-Driver!$F$206)*$BI$1</f>
        <v>5.3968253968253963</v>
      </c>
      <c r="BK927" s="67">
        <f>(CD927-Driver!$F$203)/(Driver!$G$203-Driver!$F$203)*$BI$1</f>
        <v>3.71559633027523</v>
      </c>
      <c r="BL927" s="67">
        <f>MAX((CR927-Driver!$F$202)/(Driver!$G$202-Driver!$F$202)*$BI$1,1)</f>
        <v>5.5172413793103452</v>
      </c>
      <c r="BM927" s="67">
        <f>MAX((CH927-Driver!$F$204)/(Driver!$G$204-Driver!$F$204)*$BI$1,1)</f>
        <v>4.0598290598290596</v>
      </c>
      <c r="BN927" s="67">
        <f>(CI927-Driver!$F$205)/(Driver!$G$205-Driver!$F$205)*$BI$1</f>
        <v>0.88235294117647067</v>
      </c>
      <c r="BO927" s="67">
        <f>(CK927-Driver!$F$207)/(Driver!$G$207-Driver!$F$207)*$BI$1</f>
        <v>3.0506721820062048</v>
      </c>
      <c r="BP927" s="67">
        <f>(CM927-Driver!$F$208)/(Driver!$G$208-Driver!$F$208)*$BI$1</f>
        <v>2.7555555555555555</v>
      </c>
      <c r="BQ927" s="67">
        <f>(CL927-Driver!$F$209)/(Driver!$G$209-Driver!$F$209)*$BI$1</f>
        <v>4.53125</v>
      </c>
      <c r="BR927" s="28" t="s">
        <v>155</v>
      </c>
      <c r="BS927" s="8" t="s">
        <v>227</v>
      </c>
      <c r="BT927" s="9" t="s">
        <v>681</v>
      </c>
      <c r="BU927" s="10">
        <v>172</v>
      </c>
      <c r="BV927" s="9" t="s">
        <v>158</v>
      </c>
      <c r="BW927" s="10">
        <v>172</v>
      </c>
      <c r="BX927" s="10">
        <v>170.3</v>
      </c>
      <c r="BY927" s="10">
        <v>105</v>
      </c>
      <c r="BZ927" s="10">
        <v>142</v>
      </c>
      <c r="CA927" s="10">
        <v>129</v>
      </c>
      <c r="CB927" s="10">
        <v>98</v>
      </c>
      <c r="CC927" s="10">
        <v>120</v>
      </c>
      <c r="CD927" s="10">
        <v>17.5</v>
      </c>
      <c r="CE927" s="10">
        <v>1483</v>
      </c>
      <c r="CF927" s="10">
        <v>1.26</v>
      </c>
      <c r="CG927" s="10">
        <v>1862</v>
      </c>
      <c r="CH927" s="10">
        <v>196</v>
      </c>
      <c r="CI927" s="10">
        <v>48</v>
      </c>
      <c r="CJ927" s="10">
        <v>73</v>
      </c>
      <c r="CK927" s="10">
        <v>405</v>
      </c>
      <c r="CL927" s="10">
        <v>29</v>
      </c>
      <c r="CM927" s="10">
        <v>248</v>
      </c>
      <c r="CN927" s="10">
        <v>0.39900000000000002</v>
      </c>
      <c r="CO927" s="10">
        <v>155</v>
      </c>
      <c r="CP927" s="10">
        <v>131</v>
      </c>
      <c r="CQ927" s="10">
        <v>249</v>
      </c>
      <c r="CR927" s="10">
        <v>5</v>
      </c>
      <c r="CS927" s="10">
        <v>10.8</v>
      </c>
      <c r="CT927" s="9" t="s">
        <v>188</v>
      </c>
      <c r="CU927" s="9" t="s">
        <v>185</v>
      </c>
      <c r="CV927" s="9" t="s">
        <v>198</v>
      </c>
      <c r="CW927" s="10"/>
      <c r="CX927">
        <f>INDEX('Data_Price '!AG$2:AG$1266,MATCH(Data!$DN927,'Data_Price '!$AT$2:$AT$1266,0))</f>
        <v>0</v>
      </c>
      <c r="CY927">
        <f>INDEX('Data_Price '!AH$2:AH$1266,MATCH(Data!$DN927,'Data_Price '!$AT$2:$AT$1266,0))</f>
        <v>0</v>
      </c>
      <c r="CZ927">
        <f>INDEX('Data_Price '!AI$2:AI$1266,MATCH(Data!$DN927,'Data_Price '!$AT$2:$AT$1266,0))</f>
        <v>0</v>
      </c>
      <c r="DA927">
        <f>INDEX('Data_Price '!AJ$2:AJ$1266,MATCH(Data!$DN927,'Data_Price '!$AT$2:$AT$1266,0))</f>
        <v>0</v>
      </c>
      <c r="DB927">
        <f>INDEX('Data_Price '!AK$2:AK$1266,MATCH(Data!$DN927,'Data_Price '!$AT$2:$AT$1266,0))</f>
        <v>0</v>
      </c>
      <c r="DC927">
        <f>INDEX('Data_Price '!AL$2:AL$1266,MATCH(Data!$DN927,'Data_Price '!$AT$2:$AT$1266,0))</f>
        <v>0</v>
      </c>
      <c r="DD927">
        <f>INDEX('Data_Price '!AM$2:AM$1266,MATCH(Data!$DN927,'Data_Price '!$AT$2:$AT$1266,0))</f>
        <v>0</v>
      </c>
      <c r="DE927">
        <f>INDEX('Data_Price '!AN$2:AN$1266,MATCH(Data!$DN927,'Data_Price '!$AT$2:$AT$1266,0))</f>
        <v>0</v>
      </c>
      <c r="DF927">
        <f>INDEX('Data_Price '!AO$2:AO$1266,MATCH(Data!$DN927,'Data_Price '!$AT$2:$AT$1266,0))</f>
        <v>0</v>
      </c>
      <c r="DG927">
        <f>INDEX('Data_Price '!AP$2:AP$1266,MATCH(Data!$DN927,'Data_Price '!$AT$2:$AT$1266,0))</f>
        <v>0</v>
      </c>
      <c r="DH927">
        <f>INDEX('Data_Price '!AQ$2:AQ$1266,MATCH(Data!$DN927,'Data_Price '!$AT$2:$AT$1266,0))</f>
        <v>0</v>
      </c>
      <c r="DI927">
        <f>INDEX('Data_Price '!AR$2:AR$1266,MATCH(Data!$DN927,'Data_Price '!$AT$2:$AT$1266,0))</f>
        <v>0</v>
      </c>
      <c r="DJ927" s="89">
        <f t="shared" si="550"/>
        <v>0</v>
      </c>
      <c r="DK927" s="89">
        <f t="shared" si="551"/>
        <v>0</v>
      </c>
      <c r="DL927" s="89">
        <f t="shared" si="552"/>
        <v>0</v>
      </c>
      <c r="DM927" s="219" t="str">
        <f t="shared" si="553"/>
        <v>Chinook 99</v>
      </c>
      <c r="DN927" s="89" t="str">
        <f t="shared" si="554"/>
        <v xml:space="preserve"> RaccoonChinook 99172 Unisex</v>
      </c>
      <c r="DO927" s="221"/>
    </row>
    <row r="928" spans="2:119" ht="15.6" customHeight="1">
      <c r="B928" s="219" t="b">
        <f t="array" ref="B928">IF(OR(ISERROR(K928:P928)),FALSE,TRUE)</f>
        <v>1</v>
      </c>
      <c r="C928" s="43" t="b">
        <f>OR(BR928=Driver!$G$50,Data!BR1179=Driver!$H$50)</f>
        <v>1</v>
      </c>
      <c r="D928" s="43" t="b">
        <f>OR(BV928=Driver!$G$51,BV928=Driver!$H$51)</f>
        <v>0</v>
      </c>
      <c r="E928" s="43" t="b">
        <f>AND(BX928&gt;Driver!$F$54,BX928&lt;Driver!$G$54)</f>
        <v>0</v>
      </c>
      <c r="F928" s="43" t="b">
        <f>CL928&gt;Driver!$F$56</f>
        <v>1</v>
      </c>
      <c r="G928" s="43" t="b">
        <f>AND(CB928&gt;Driver!$F$55,CB928&lt;Driver!$G$55)</f>
        <v>0</v>
      </c>
      <c r="H928" s="43" t="b">
        <f t="shared" si="518"/>
        <v>0</v>
      </c>
      <c r="I928" s="43">
        <f t="shared" si="519"/>
        <v>0</v>
      </c>
      <c r="J928" s="43" t="b">
        <f t="array" ref="J928">NOT(OR(($H$9:$H$1273=TRUE)*($I$9:$I$1273&gt;0)*($BT$9:$BT$1273=BT928)*($K$9:$K$1273&gt;K928)))</f>
        <v>1</v>
      </c>
      <c r="K928" s="72">
        <f t="shared" si="520"/>
        <v>0.84936920553212736</v>
      </c>
      <c r="L928" s="72">
        <f t="shared" si="521"/>
        <v>0.89298871254471068</v>
      </c>
      <c r="M928" s="72">
        <f t="shared" si="522"/>
        <v>0.80574969851954403</v>
      </c>
      <c r="N928" s="72">
        <f t="shared" si="523"/>
        <v>0.82830510387623713</v>
      </c>
      <c r="O928" s="72">
        <f t="shared" si="524"/>
        <v>0.72159477351411505</v>
      </c>
      <c r="P928" s="72">
        <f t="shared" si="525"/>
        <v>0.86734921816827992</v>
      </c>
      <c r="Q928" s="72"/>
      <c r="R928" s="72"/>
      <c r="S928" s="72">
        <f t="shared" si="526"/>
        <v>0.41379491448593564</v>
      </c>
      <c r="T928" s="72">
        <f t="shared" si="527"/>
        <v>0.45843398364018562</v>
      </c>
      <c r="U928" s="72">
        <f t="shared" si="528"/>
        <v>0.50309497771356615</v>
      </c>
      <c r="V928" s="72">
        <f t="shared" si="529"/>
        <v>0.77547841534120421</v>
      </c>
      <c r="W928" s="72">
        <f t="shared" si="530"/>
        <v>0.85186795112781954</v>
      </c>
      <c r="X928" s="72">
        <f t="shared" si="531"/>
        <v>0.10701128745528929</v>
      </c>
      <c r="Y928" s="72">
        <f t="shared" si="532"/>
        <v>0.19425030148045597</v>
      </c>
      <c r="Z928" s="72">
        <f t="shared" si="533"/>
        <v>0.17169489612376287</v>
      </c>
      <c r="AA928" s="72">
        <f t="shared" si="534"/>
        <v>0.278405226485885</v>
      </c>
      <c r="AB928" s="72">
        <f t="shared" si="535"/>
        <v>0.13265078183172005</v>
      </c>
      <c r="AC928" s="72"/>
      <c r="AD928" s="72"/>
      <c r="AE928" s="72">
        <f t="shared" si="536"/>
        <v>0.58620508551406436</v>
      </c>
      <c r="AF928" s="72">
        <f t="shared" si="537"/>
        <v>0.54156601635981438</v>
      </c>
      <c r="AG928" s="72">
        <f t="shared" si="538"/>
        <v>0.49690502228643385</v>
      </c>
      <c r="AH928" s="72">
        <f t="shared" si="539"/>
        <v>0.22452158465879585</v>
      </c>
      <c r="AI928" s="72">
        <f t="shared" si="540"/>
        <v>0.14813204887218046</v>
      </c>
      <c r="AJ928" s="72">
        <f>(AV928-Driver!$K$179)/(Driver!$L$179-Driver!$K$179)</f>
        <v>0.14720812182741114</v>
      </c>
      <c r="AK928" s="72">
        <f>(AW928-Driver!$K$180)/(Driver!$L$180-Driver!$K$180)</f>
        <v>0.13210810449227725</v>
      </c>
      <c r="AL928" s="72">
        <f>(AX928-Driver!$K$181)/(Driver!$L$181-Driver!$K$181)</f>
        <v>0.27338265983684307</v>
      </c>
      <c r="AM928" s="72">
        <f>(AY928-Driver!$K$182)/(Driver!$L$182-Driver!$K$182)</f>
        <v>0.16897979461116136</v>
      </c>
      <c r="AN928" s="72">
        <f>(AZ928-Driver!$K$183)/(Driver!$L$183-Driver!$K$183)</f>
        <v>0.12156862745098038</v>
      </c>
      <c r="AO928" s="72"/>
      <c r="AP928" s="72"/>
      <c r="AQ928" s="72">
        <f>(BC928-Driver!$K$188)/(Driver!$L$188-Driver!$K$188)</f>
        <v>3.379491448593569E-2</v>
      </c>
      <c r="AR928" s="72">
        <f>MIN((BD928-Driver!$K$189)/(Driver!$L$189-Driver!$K$189),100%)</f>
        <v>8.4339836401857108E-3</v>
      </c>
      <c r="AS928" s="72">
        <f>(BE928-Driver!$K$190)/(Driver!$L$190-Driver!$K$190)</f>
        <v>1.3094977713566158E-2</v>
      </c>
      <c r="AT928" s="72">
        <f>(BF928-Driver!$K$191)/(Driver!$L$191-Driver!$K$191)</f>
        <v>0.28547841534120416</v>
      </c>
      <c r="AU928" s="72">
        <f>(BG928-Driver!$K$192)/(Driver!$L$192-Driver!$K$192)</f>
        <v>0.10186795112781954</v>
      </c>
      <c r="AV928" s="70">
        <f t="shared" si="541"/>
        <v>3.0982905982905979</v>
      </c>
      <c r="AW928" s="70">
        <f t="shared" si="542"/>
        <v>14.746998001119369</v>
      </c>
      <c r="AX928" s="70">
        <f t="shared" si="543"/>
        <v>3.4604439385315877</v>
      </c>
      <c r="AY928" s="70">
        <f>IFERROR(Driver!$K$19/Data!BH928/Data!BI928*Data!BK928*Data!BL928,"")</f>
        <v>0.20688168730855527</v>
      </c>
      <c r="AZ928" s="70">
        <f t="shared" si="544"/>
        <v>11.079672375279225</v>
      </c>
      <c r="BA928" s="70"/>
      <c r="BB928" s="70"/>
      <c r="BC928" s="70">
        <f t="shared" si="545"/>
        <v>17.529657082288807</v>
      </c>
      <c r="BD928" s="70">
        <f t="shared" si="546"/>
        <v>2.4672154921194429</v>
      </c>
      <c r="BE928" s="70">
        <f t="shared" si="547"/>
        <v>1.3271030461452877E-2</v>
      </c>
      <c r="BF928" s="70">
        <f t="shared" si="548"/>
        <v>32.242781413412224</v>
      </c>
      <c r="BG928" s="70">
        <f t="shared" si="549"/>
        <v>0.38573704769736844</v>
      </c>
      <c r="BH928" s="67">
        <f>MAX((CE928-Driver!$F$200)/(Driver!$G$200-Driver!$F$200)*$BI$1,1)</f>
        <v>3.4604439385315877</v>
      </c>
      <c r="BI928" s="67">
        <f>MAX($BI$1*(BY928-Driver!$F$201)/(Driver!$G$201-Driver!$F$201),1)</f>
        <v>3.9240506329113924</v>
      </c>
      <c r="BJ928" s="67">
        <f>(CB928-Driver!$F$206)/(Driver!$G$206-Driver!$F$206)*$BI$1</f>
        <v>4.6031746031746028</v>
      </c>
      <c r="BK928" s="67">
        <f>(CD928-Driver!$F$203)/(Driver!$G$203-Driver!$F$203)*$BI$1</f>
        <v>3.3944954128440372</v>
      </c>
      <c r="BL928" s="67">
        <f>MAX((CR928-Driver!$F$202)/(Driver!$G$202-Driver!$F$202)*$BI$1,1)</f>
        <v>4.1379310344827589</v>
      </c>
      <c r="BM928" s="67">
        <f>MAX((CH928-Driver!$F$204)/(Driver!$G$204-Driver!$F$204)*$BI$1,1)</f>
        <v>2.6923076923076921</v>
      </c>
      <c r="BN928" s="67">
        <f>(CI928-Driver!$F$205)/(Driver!$G$205-Driver!$F$205)*$BI$1</f>
        <v>2.8235294117647056</v>
      </c>
      <c r="BO928" s="67">
        <f>(CK928-Driver!$F$207)/(Driver!$G$207-Driver!$F$207)*$BI$1</f>
        <v>4.9534643226473634</v>
      </c>
      <c r="BP928" s="67">
        <f>(CM928-Driver!$F$208)/(Driver!$G$208-Driver!$F$208)*$BI$1</f>
        <v>4.8</v>
      </c>
      <c r="BQ928" s="67">
        <f>(CL928-Driver!$F$209)/(Driver!$G$209-Driver!$F$209)*$BI$1</f>
        <v>3.59375</v>
      </c>
      <c r="BR928" s="28" t="s">
        <v>155</v>
      </c>
      <c r="BS928" s="8" t="s">
        <v>229</v>
      </c>
      <c r="BT928" s="9" t="s">
        <v>778</v>
      </c>
      <c r="BU928" s="10">
        <v>172</v>
      </c>
      <c r="BV928" s="9" t="s">
        <v>163</v>
      </c>
      <c r="BW928" s="10">
        <v>172</v>
      </c>
      <c r="BX928" s="10">
        <v>171.9</v>
      </c>
      <c r="BY928" s="10">
        <v>70</v>
      </c>
      <c r="BZ928" s="10">
        <v>148</v>
      </c>
      <c r="CA928" s="10">
        <v>133</v>
      </c>
      <c r="CB928" s="10">
        <v>93</v>
      </c>
      <c r="CC928" s="10">
        <v>115</v>
      </c>
      <c r="CD928" s="10">
        <v>16.8</v>
      </c>
      <c r="CE928" s="10">
        <v>1508</v>
      </c>
      <c r="CF928" s="10">
        <v>1.21</v>
      </c>
      <c r="CG928" s="10">
        <v>1817</v>
      </c>
      <c r="CH928" s="10">
        <v>164</v>
      </c>
      <c r="CI928" s="10">
        <v>81</v>
      </c>
      <c r="CJ928" s="10">
        <v>53</v>
      </c>
      <c r="CK928" s="10">
        <v>589</v>
      </c>
      <c r="CL928" s="10">
        <v>23</v>
      </c>
      <c r="CM928" s="10">
        <v>432</v>
      </c>
      <c r="CN928" s="10">
        <v>0.437</v>
      </c>
      <c r="CO928" s="10">
        <v>136</v>
      </c>
      <c r="CP928" s="10">
        <v>104</v>
      </c>
      <c r="CQ928" s="10">
        <v>453</v>
      </c>
      <c r="CR928" s="10">
        <v>1</v>
      </c>
      <c r="CS928" s="10">
        <v>11</v>
      </c>
      <c r="CT928" s="9" t="s">
        <v>188</v>
      </c>
      <c r="CU928" s="9" t="s">
        <v>185</v>
      </c>
      <c r="CV928" s="10"/>
      <c r="CW928" s="10"/>
      <c r="CX928" t="e">
        <f>INDEX('Data_Price '!AG$2:AG$1266,MATCH(Data!$DN928,'Data_Price '!$AT$2:$AT$1266,0))</f>
        <v>#N/A</v>
      </c>
      <c r="CY928" t="e">
        <f>INDEX('Data_Price '!AH$2:AH$1266,MATCH(Data!$DN928,'Data_Price '!$AT$2:$AT$1266,0))</f>
        <v>#N/A</v>
      </c>
      <c r="CZ928" t="e">
        <f>INDEX('Data_Price '!AI$2:AI$1266,MATCH(Data!$DN928,'Data_Price '!$AT$2:$AT$1266,0))</f>
        <v>#N/A</v>
      </c>
      <c r="DA928" t="e">
        <f>INDEX('Data_Price '!AJ$2:AJ$1266,MATCH(Data!$DN928,'Data_Price '!$AT$2:$AT$1266,0))</f>
        <v>#N/A</v>
      </c>
      <c r="DB928" t="e">
        <f>INDEX('Data_Price '!AK$2:AK$1266,MATCH(Data!$DN928,'Data_Price '!$AT$2:$AT$1266,0))</f>
        <v>#N/A</v>
      </c>
      <c r="DC928" t="e">
        <f>INDEX('Data_Price '!AL$2:AL$1266,MATCH(Data!$DN928,'Data_Price '!$AT$2:$AT$1266,0))</f>
        <v>#N/A</v>
      </c>
      <c r="DD928" t="e">
        <f>INDEX('Data_Price '!AM$2:AM$1266,MATCH(Data!$DN928,'Data_Price '!$AT$2:$AT$1266,0))</f>
        <v>#N/A</v>
      </c>
      <c r="DE928" t="e">
        <f>INDEX('Data_Price '!AN$2:AN$1266,MATCH(Data!$DN928,'Data_Price '!$AT$2:$AT$1266,0))</f>
        <v>#N/A</v>
      </c>
      <c r="DF928" t="e">
        <f>INDEX('Data_Price '!AO$2:AO$1266,MATCH(Data!$DN928,'Data_Price '!$AT$2:$AT$1266,0))</f>
        <v>#N/A</v>
      </c>
      <c r="DG928" t="e">
        <f>INDEX('Data_Price '!AP$2:AP$1266,MATCH(Data!$DN928,'Data_Price '!$AT$2:$AT$1266,0))</f>
        <v>#N/A</v>
      </c>
      <c r="DH928" t="e">
        <f>INDEX('Data_Price '!AQ$2:AQ$1266,MATCH(Data!$DN928,'Data_Price '!$AT$2:$AT$1266,0))</f>
        <v>#N/A</v>
      </c>
      <c r="DI928" t="e">
        <f>INDEX('Data_Price '!AR$2:AR$1266,MATCH(Data!$DN928,'Data_Price '!$AT$2:$AT$1266,0))</f>
        <v>#N/A</v>
      </c>
      <c r="DJ928" s="89" t="e">
        <f t="shared" si="550"/>
        <v>#N/A</v>
      </c>
      <c r="DK928" s="89" t="e">
        <f t="shared" si="551"/>
        <v>#N/A</v>
      </c>
      <c r="DL928" s="89" t="e">
        <f t="shared" si="552"/>
        <v>#N/A</v>
      </c>
      <c r="DM928" s="219" t="str">
        <f t="shared" si="553"/>
        <v>Blaze 94 W</v>
      </c>
      <c r="DN928" s="89" t="str">
        <f t="shared" si="554"/>
        <v xml:space="preserve"> VölklBlaze 94 W172 Women's</v>
      </c>
      <c r="DO928" s="221" t="s">
        <v>779</v>
      </c>
    </row>
    <row r="929" spans="2:119" ht="15.6" customHeight="1">
      <c r="B929" s="219" t="b">
        <f t="array" ref="B929">IF(OR(ISERROR(K929:P929)),FALSE,TRUE)</f>
        <v>1</v>
      </c>
      <c r="C929" s="43" t="b">
        <f>OR(BR929=Driver!$G$50,Data!BR391=Driver!$H$50)</f>
        <v>1</v>
      </c>
      <c r="D929" s="43" t="b">
        <f>OR(BV929=Driver!$G$51,BV929=Driver!$H$51)</f>
        <v>1</v>
      </c>
      <c r="E929" s="43" t="b">
        <f>AND(BX929&gt;Driver!$F$54,BX929&lt;Driver!$G$54)</f>
        <v>1</v>
      </c>
      <c r="F929" s="43" t="b">
        <f>CL929&gt;Driver!$F$56</f>
        <v>1</v>
      </c>
      <c r="G929" s="43" t="b">
        <f>AND(CB929&gt;Driver!$F$55,CB929&lt;Driver!$G$55)</f>
        <v>0</v>
      </c>
      <c r="H929" s="43" t="b">
        <f t="shared" si="518"/>
        <v>0</v>
      </c>
      <c r="I929" s="43">
        <f t="shared" si="519"/>
        <v>0</v>
      </c>
      <c r="J929" s="43" t="b">
        <f t="array" ref="J929">NOT(OR(($H$9:$H$1273=TRUE)*($I$9:$I$1273&gt;0)*($BT$9:$BT$1273=BT929)*($K$9:$K$1273&gt;K929)))</f>
        <v>1</v>
      </c>
      <c r="K929" s="72">
        <f t="shared" si="520"/>
        <v>0.83145734921897119</v>
      </c>
      <c r="L929" s="72">
        <f t="shared" si="521"/>
        <v>0.85858374920573721</v>
      </c>
      <c r="M929" s="72">
        <f t="shared" si="522"/>
        <v>0.80433094923220527</v>
      </c>
      <c r="N929" s="72">
        <f t="shared" si="523"/>
        <v>0.81123054496900893</v>
      </c>
      <c r="O929" s="72">
        <f t="shared" si="524"/>
        <v>0.74552419567043815</v>
      </c>
      <c r="P929" s="72">
        <f t="shared" si="525"/>
        <v>0.85623810705716885</v>
      </c>
      <c r="Q929" s="72"/>
      <c r="R929" s="72"/>
      <c r="S929" s="72">
        <f t="shared" si="526"/>
        <v>0.42960727438921453</v>
      </c>
      <c r="T929" s="72">
        <f t="shared" si="527"/>
        <v>0.45724202885423582</v>
      </c>
      <c r="U929" s="72">
        <f t="shared" si="528"/>
        <v>0.60208791121042138</v>
      </c>
      <c r="V929" s="72">
        <f t="shared" si="529"/>
        <v>0.51470915902919778</v>
      </c>
      <c r="W929" s="72">
        <f t="shared" si="530"/>
        <v>0.88835348706411699</v>
      </c>
      <c r="X929" s="72">
        <f t="shared" si="531"/>
        <v>0.14141625079426276</v>
      </c>
      <c r="Y929" s="72">
        <f t="shared" si="532"/>
        <v>0.19566905076779473</v>
      </c>
      <c r="Z929" s="72">
        <f t="shared" si="533"/>
        <v>0.18876945503099113</v>
      </c>
      <c r="AA929" s="72">
        <f t="shared" si="534"/>
        <v>0.25447580432956185</v>
      </c>
      <c r="AB929" s="72">
        <f t="shared" si="535"/>
        <v>0.14376189294283115</v>
      </c>
      <c r="AC929" s="72"/>
      <c r="AD929" s="72"/>
      <c r="AE929" s="72">
        <f t="shared" si="536"/>
        <v>0.57039272561078547</v>
      </c>
      <c r="AF929" s="72">
        <f t="shared" si="537"/>
        <v>0.54275797114576418</v>
      </c>
      <c r="AG929" s="72">
        <f t="shared" si="538"/>
        <v>0.39791208878957862</v>
      </c>
      <c r="AH929" s="72">
        <f t="shared" si="539"/>
        <v>0.48529084097080222</v>
      </c>
      <c r="AI929" s="72">
        <f t="shared" si="540"/>
        <v>0.11164651293588301</v>
      </c>
      <c r="AJ929" s="72">
        <f>(AV929-Driver!$K$179)/(Driver!$L$179-Driver!$K$179)</f>
        <v>0.11280315848843767</v>
      </c>
      <c r="AK929" s="72">
        <f>(AW929-Driver!$K$180)/(Driver!$L$180-Driver!$K$180)</f>
        <v>0.12359486683036155</v>
      </c>
      <c r="AL929" s="72">
        <f>(AX929-Driver!$K$181)/(Driver!$L$181-Driver!$K$181)</f>
        <v>0.29045721874407132</v>
      </c>
      <c r="AM929" s="72">
        <f>(AY929-Driver!$K$182)/(Driver!$L$182-Driver!$K$182)</f>
        <v>0.19290921676748449</v>
      </c>
      <c r="AN929" s="72">
        <f>(AZ929-Driver!$K$183)/(Driver!$L$183-Driver!$K$183)</f>
        <v>0.11045751633986929</v>
      </c>
      <c r="AO929" s="72"/>
      <c r="AP929" s="72"/>
      <c r="AQ929" s="72">
        <f>(BC929-Driver!$K$188)/(Driver!$L$188-Driver!$K$188)</f>
        <v>4.9607274389214487E-2</v>
      </c>
      <c r="AR929" s="72">
        <f>MIN((BD929-Driver!$K$189)/(Driver!$L$189-Driver!$K$189),100%)</f>
        <v>7.2420288542358133E-3</v>
      </c>
      <c r="AS929" s="72">
        <f>(BE929-Driver!$K$190)/(Driver!$L$190-Driver!$K$190)</f>
        <v>0.11208791121042141</v>
      </c>
      <c r="AT929" s="72">
        <f>(BF929-Driver!$K$191)/(Driver!$L$191-Driver!$K$191)</f>
        <v>2.4709159029197805E-2</v>
      </c>
      <c r="AU929" s="72">
        <f>(BG929-Driver!$K$192)/(Driver!$L$192-Driver!$K$192)</f>
        <v>0.13835348706411699</v>
      </c>
      <c r="AV929" s="70">
        <f t="shared" si="541"/>
        <v>2.3741690408357075</v>
      </c>
      <c r="AW929" s="70">
        <f t="shared" si="542"/>
        <v>13.917307556006122</v>
      </c>
      <c r="AX929" s="70">
        <f t="shared" si="543"/>
        <v>3.6141149686966418</v>
      </c>
      <c r="AY929" s="70">
        <f>IFERROR(Driver!$K$19/Data!BH929/Data!BI929*Data!BK929*Data!BL929,"")</f>
        <v>0.23617843987835552</v>
      </c>
      <c r="AZ929" s="70">
        <f t="shared" si="544"/>
        <v>10.067014147431125</v>
      </c>
      <c r="BA929" s="70"/>
      <c r="BB929" s="70"/>
      <c r="BC929" s="70">
        <f t="shared" si="545"/>
        <v>25.731638089862177</v>
      </c>
      <c r="BD929" s="70">
        <f t="shared" si="546"/>
        <v>2.3617296055817829</v>
      </c>
      <c r="BE929" s="70">
        <f t="shared" si="547"/>
        <v>0.11224630473318523</v>
      </c>
      <c r="BF929" s="70">
        <f t="shared" si="548"/>
        <v>2.7907259206811084</v>
      </c>
      <c r="BG929" s="70">
        <f t="shared" si="549"/>
        <v>0.5238945620078741</v>
      </c>
      <c r="BH929" s="67">
        <f>MAX((CE929-Driver!$F$200)/(Driver!$G$200-Driver!$F$200)*$BI$1,1)</f>
        <v>3.6141149686966418</v>
      </c>
      <c r="BI929" s="67">
        <f>MAX($BI$1*(BY929-Driver!$F$201)/(Driver!$G$201-Driver!$F$201),1)</f>
        <v>6.5822784810126587</v>
      </c>
      <c r="BJ929" s="67">
        <f>(CB929-Driver!$F$206)/(Driver!$G$206-Driver!$F$206)*$BI$1</f>
        <v>3.9682539682539679</v>
      </c>
      <c r="BK929" s="67">
        <f>(CD929-Driver!$F$203)/(Driver!$G$203-Driver!$F$203)*$BI$1</f>
        <v>5.0917431192660558</v>
      </c>
      <c r="BL929" s="67">
        <f>MAX((CR929-Driver!$F$202)/(Driver!$G$202-Driver!$F$202)*$BI$1,1)</f>
        <v>5.5172413793103452</v>
      </c>
      <c r="BM929" s="67">
        <f>MAX((CH929-Driver!$F$204)/(Driver!$G$204-Driver!$F$204)*$BI$1,1)</f>
        <v>2.3931623931623931</v>
      </c>
      <c r="BN929" s="67">
        <f>(CI929-Driver!$F$205)/(Driver!$G$205-Driver!$F$205)*$BI$1</f>
        <v>1.5294117647058825</v>
      </c>
      <c r="BO929" s="67">
        <f>(CK929-Driver!$F$207)/(Driver!$G$207-Driver!$F$207)*$BI$1</f>
        <v>1.5201654601861427</v>
      </c>
      <c r="BP929" s="67">
        <f>(CM929-Driver!$F$208)/(Driver!$G$208-Driver!$F$208)*$BI$1</f>
        <v>2.3555555555555556</v>
      </c>
      <c r="BQ929" s="67">
        <f>(CL929-Driver!$F$209)/(Driver!$G$209-Driver!$F$209)*$BI$1</f>
        <v>4.53125</v>
      </c>
      <c r="BR929" s="28" t="s">
        <v>155</v>
      </c>
      <c r="BS929" s="8" t="s">
        <v>202</v>
      </c>
      <c r="BT929" s="9" t="s">
        <v>602</v>
      </c>
      <c r="BU929" s="10">
        <v>160</v>
      </c>
      <c r="BV929" s="9" t="s">
        <v>158</v>
      </c>
      <c r="BW929" s="10">
        <v>160</v>
      </c>
      <c r="BX929" s="10">
        <v>158.5</v>
      </c>
      <c r="BY929" s="10">
        <v>112</v>
      </c>
      <c r="BZ929" s="10">
        <v>134</v>
      </c>
      <c r="CA929" s="10">
        <v>117</v>
      </c>
      <c r="CB929" s="10">
        <v>89</v>
      </c>
      <c r="CC929" s="10">
        <v>107</v>
      </c>
      <c r="CD929" s="10">
        <v>20.5</v>
      </c>
      <c r="CE929" s="10">
        <v>1535</v>
      </c>
      <c r="CF929" s="10">
        <v>1.01</v>
      </c>
      <c r="CG929" s="10">
        <v>1545</v>
      </c>
      <c r="CH929" s="10">
        <v>157</v>
      </c>
      <c r="CI929" s="10">
        <v>59</v>
      </c>
      <c r="CJ929" s="10">
        <v>48</v>
      </c>
      <c r="CK929" s="10">
        <v>257</v>
      </c>
      <c r="CL929" s="10">
        <v>29</v>
      </c>
      <c r="CM929" s="10">
        <v>212</v>
      </c>
      <c r="CN929" s="10">
        <v>0.60099999999999998</v>
      </c>
      <c r="CO929" s="10">
        <v>117</v>
      </c>
      <c r="CP929" s="10">
        <v>126</v>
      </c>
      <c r="CQ929" s="10">
        <v>140</v>
      </c>
      <c r="CR929" s="10">
        <v>5</v>
      </c>
      <c r="CS929" s="10">
        <v>7.2</v>
      </c>
      <c r="CT929" s="9" t="s">
        <v>188</v>
      </c>
      <c r="CU929" s="10"/>
      <c r="CV929" s="10"/>
      <c r="CW929" s="10"/>
      <c r="CX929" t="str">
        <f>INDEX('Data_Price '!AG$2:AG$1266,MATCH(Data!$DN929,'Data_Price '!$AT$2:$AT$1266,0))</f>
        <v>Dynastar M-MENACE 90 Skis 2022</v>
      </c>
      <c r="CY929" t="str">
        <f>INDEX('Data_Price '!AH$2:AH$1266,MATCH(Data!$DN929,'Data_Price '!$AT$2:$AT$1266,0))</f>
        <v>Level Nine Sports</v>
      </c>
      <c r="CZ929">
        <f>INDEX('Data_Price '!AI$2:AI$1266,MATCH(Data!$DN929,'Data_Price '!$AT$2:$AT$1266,0))</f>
        <v>349.95</v>
      </c>
      <c r="DA929" t="str">
        <f>INDEX('Data_Price '!AJ$2:AJ$1266,MATCH(Data!$DN929,'Data_Price '!$AT$2:$AT$1266,0))</f>
        <v>https://tinyurl.com/y7b6kv9q</v>
      </c>
      <c r="DB929" t="str">
        <f>INDEX('Data_Price '!AK$2:AK$1266,MATCH(Data!$DN929,'Data_Price '!$AT$2:$AT$1266,0))</f>
        <v>Dynastar Menace 90 Skis Youth 2023</v>
      </c>
      <c r="DC929" t="str">
        <f>INDEX('Data_Price '!AL$2:AL$1266,MATCH(Data!$DN929,'Data_Price '!$AT$2:$AT$1266,0))</f>
        <v>BlueZone Sports</v>
      </c>
      <c r="DD929">
        <f>INDEX('Data_Price '!AM$2:AM$1266,MATCH(Data!$DN929,'Data_Price '!$AT$2:$AT$1266,0))</f>
        <v>349.95</v>
      </c>
      <c r="DE929" t="str">
        <f>INDEX('Data_Price '!AN$2:AN$1266,MATCH(Data!$DN929,'Data_Price '!$AT$2:$AT$1266,0))</f>
        <v>https://tinyurl.com/yanls4ss</v>
      </c>
      <c r="DF929" t="str">
        <f>INDEX('Data_Price '!AO$2:AO$1266,MATCH(Data!$DN929,'Data_Price '!$AT$2:$AT$1266,0))</f>
        <v xml:space="preserve"> Dynastar 157 12R SL</v>
      </c>
      <c r="DG929" t="str">
        <f>INDEX('Data_Price '!AP$2:AP$1266,MATCH(Data!$DN929,'Data_Price '!$AT$2:$AT$1266,0))</f>
        <v>SidelineSwap</v>
      </c>
      <c r="DH929">
        <f>INDEX('Data_Price '!AQ$2:AQ$1266,MATCH(Data!$DN929,'Data_Price '!$AT$2:$AT$1266,0))</f>
        <v>222</v>
      </c>
      <c r="DI929" t="str">
        <f>INDEX('Data_Price '!AR$2:AR$1266,MATCH(Data!$DN929,'Data_Price '!$AT$2:$AT$1266,0))</f>
        <v>https://tinyurl.com/y7u23ck4</v>
      </c>
      <c r="DJ929" s="89" t="str">
        <f t="shared" si="550"/>
        <v>https://tinyurl.com/y7b6kv9q</v>
      </c>
      <c r="DK929" s="89" t="str">
        <f t="shared" si="551"/>
        <v>https://tinyurl.com/yanls4ss</v>
      </c>
      <c r="DL929" s="89" t="str">
        <f t="shared" si="552"/>
        <v>https://tinyurl.com/y7u23ck4</v>
      </c>
      <c r="DM929" s="219" t="str">
        <f t="shared" si="553"/>
        <v>M-Menace 90</v>
      </c>
      <c r="DN929" s="89" t="str">
        <f t="shared" si="554"/>
        <v xml:space="preserve"> DynastarM-Menace 90160 Unisex</v>
      </c>
      <c r="DO929" s="221"/>
    </row>
    <row r="930" spans="2:119" ht="15.6" customHeight="1">
      <c r="B930" s="219" t="b">
        <f t="array" ref="B930">IF(OR(ISERROR(K930:P930)),FALSE,TRUE)</f>
        <v>1</v>
      </c>
      <c r="C930" s="43" t="b">
        <f>OR(BR930=Driver!$G$50,Data!BR68=Driver!$H$50)</f>
        <v>1</v>
      </c>
      <c r="D930" s="43" t="b">
        <f>OR(BV930=Driver!$G$51,BV930=Driver!$H$51)</f>
        <v>1</v>
      </c>
      <c r="E930" s="43" t="b">
        <f>AND(BX930&gt;Driver!$F$54,BX930&lt;Driver!$G$54)</f>
        <v>0</v>
      </c>
      <c r="F930" s="43" t="b">
        <f>CL930&gt;Driver!$F$56</f>
        <v>1</v>
      </c>
      <c r="G930" s="43" t="b">
        <f>AND(CB930&gt;Driver!$F$55,CB930&lt;Driver!$G$55)</f>
        <v>0</v>
      </c>
      <c r="H930" s="43" t="b">
        <f t="shared" si="518"/>
        <v>0</v>
      </c>
      <c r="I930" s="43">
        <f t="shared" si="519"/>
        <v>0</v>
      </c>
      <c r="J930" s="43" t="b">
        <f t="array" ref="J930">NOT(OR(($H$9:$H$1273=TRUE)*($I$9:$I$1273&gt;0)*($BT$9:$BT$1273=BT930)*($K$9:$K$1273&gt;K930)))</f>
        <v>1</v>
      </c>
      <c r="K930" s="72">
        <f t="shared" si="520"/>
        <v>0.80292416785204568</v>
      </c>
      <c r="L930" s="72">
        <f t="shared" si="521"/>
        <v>0.92247868112097375</v>
      </c>
      <c r="M930" s="72">
        <f t="shared" si="522"/>
        <v>0.6833696545831176</v>
      </c>
      <c r="N930" s="72">
        <f t="shared" si="523"/>
        <v>0.73977035398690549</v>
      </c>
      <c r="O930" s="72">
        <f t="shared" si="524"/>
        <v>0.63634795864968141</v>
      </c>
      <c r="P930" s="72">
        <f t="shared" si="525"/>
        <v>0.67399065111276579</v>
      </c>
      <c r="Q930" s="72"/>
      <c r="R930" s="72"/>
      <c r="S930" s="72">
        <f t="shared" si="526"/>
        <v>0.56504836992159013</v>
      </c>
      <c r="T930" s="72">
        <f t="shared" si="527"/>
        <v>0.63514245015763748</v>
      </c>
      <c r="U930" s="72">
        <f t="shared" si="528"/>
        <v>0.6416280214559934</v>
      </c>
      <c r="V930" s="72">
        <f t="shared" si="529"/>
        <v>0.49980373009334333</v>
      </c>
      <c r="W930" s="72">
        <f t="shared" si="530"/>
        <v>0.77109812212411388</v>
      </c>
      <c r="X930" s="72">
        <f t="shared" si="531"/>
        <v>7.7521318879026302E-2</v>
      </c>
      <c r="Y930" s="72">
        <f t="shared" si="532"/>
        <v>0.3166303454168824</v>
      </c>
      <c r="Z930" s="72">
        <f t="shared" si="533"/>
        <v>0.26022964601309451</v>
      </c>
      <c r="AA930" s="72">
        <f t="shared" si="534"/>
        <v>0.36365204135031853</v>
      </c>
      <c r="AB930" s="72">
        <f t="shared" si="535"/>
        <v>0.32600934888723426</v>
      </c>
      <c r="AC930" s="72"/>
      <c r="AD930" s="72"/>
      <c r="AE930" s="72">
        <f t="shared" si="536"/>
        <v>0.43495163007840987</v>
      </c>
      <c r="AF930" s="72">
        <f t="shared" si="537"/>
        <v>0.36485754984236257</v>
      </c>
      <c r="AG930" s="72">
        <f t="shared" si="538"/>
        <v>0.3583719785440066</v>
      </c>
      <c r="AH930" s="72">
        <f t="shared" si="539"/>
        <v>0.50019626990665667</v>
      </c>
      <c r="AI930" s="72">
        <f t="shared" si="540"/>
        <v>0.22890187787588609</v>
      </c>
      <c r="AJ930" s="72">
        <f>(AV930-Driver!$K$179)/(Driver!$L$179-Driver!$K$179)</f>
        <v>0.17669809040367412</v>
      </c>
      <c r="AK930" s="72">
        <f>(AW930-Driver!$K$180)/(Driver!$L$180-Driver!$K$180)</f>
        <v>0.56813188707746454</v>
      </c>
      <c r="AL930" s="72">
        <f>(AX930-Driver!$K$181)/(Driver!$L$181-Driver!$K$181)</f>
        <v>0.3619174097261747</v>
      </c>
      <c r="AM930" s="72">
        <f>(AY930-Driver!$K$182)/(Driver!$L$182-Driver!$K$182)</f>
        <v>8.3732979746727818E-2</v>
      </c>
      <c r="AN930" s="72">
        <f>(AZ930-Driver!$K$183)/(Driver!$L$183-Driver!$K$183)</f>
        <v>0.58022875816993469</v>
      </c>
      <c r="AO930" s="72"/>
      <c r="AP930" s="72"/>
      <c r="AQ930" s="72">
        <f>(BC930-Driver!$K$188)/(Driver!$L$188-Driver!$K$188)</f>
        <v>0.1850483699215901</v>
      </c>
      <c r="AR930" s="72">
        <f>MIN((BD930-Driver!$K$189)/(Driver!$L$189-Driver!$K$189),100%)</f>
        <v>0.18514245015763747</v>
      </c>
      <c r="AS930" s="72">
        <f>(BE930-Driver!$K$190)/(Driver!$L$190-Driver!$K$190)</f>
        <v>0.86837197854400661</v>
      </c>
      <c r="AT930" s="72">
        <f>(BF930-Driver!$K$191)/(Driver!$L$191-Driver!$K$191)</f>
        <v>9.80373009334338E-3</v>
      </c>
      <c r="AU930" s="72">
        <f>(BG930-Driver!$K$192)/(Driver!$L$192-Driver!$K$192)</f>
        <v>2.1098122124113914E-2</v>
      </c>
      <c r="AV930" s="70">
        <f t="shared" si="541"/>
        <v>3.7189662189662185</v>
      </c>
      <c r="AW930" s="70">
        <f t="shared" si="542"/>
        <v>57.241379177793767</v>
      </c>
      <c r="AX930" s="70">
        <f t="shared" si="543"/>
        <v>4.2572566875355724</v>
      </c>
      <c r="AY930" s="70">
        <f>IFERROR(Driver!$K$19/Data!BH930/Data!BI930*Data!BK930*Data!BL930,"")</f>
        <v>0.10251415071983962</v>
      </c>
      <c r="AZ930" s="70">
        <f t="shared" si="544"/>
        <v>52.881608339538353</v>
      </c>
      <c r="BA930" s="70"/>
      <c r="BB930" s="70"/>
      <c r="BC930" s="70">
        <f t="shared" si="545"/>
        <v>95.985875913725891</v>
      </c>
      <c r="BD930" s="70">
        <f t="shared" si="546"/>
        <v>18.105601670038883</v>
      </c>
      <c r="BE930" s="70">
        <f t="shared" si="547"/>
        <v>0.86839545950149788</v>
      </c>
      <c r="BF930" s="70">
        <f t="shared" si="548"/>
        <v>1.10726243894117</v>
      </c>
      <c r="BG930" s="70">
        <f t="shared" si="549"/>
        <v>7.9890949508767559E-2</v>
      </c>
      <c r="BH930" s="67">
        <f>MAX((CE930-Driver!$F$200)/(Driver!$G$200-Driver!$F$200)*$BI$1,1)</f>
        <v>4.2572566875355724</v>
      </c>
      <c r="BI930" s="67">
        <f>MAX($BI$1*(BY930-Driver!$F$201)/(Driver!$G$201-Driver!$F$201),1)</f>
        <v>8.4810126582278489</v>
      </c>
      <c r="BJ930" s="67">
        <f>(CB930-Driver!$F$206)/(Driver!$G$206-Driver!$F$206)*$BI$1</f>
        <v>2.6984126984126982</v>
      </c>
      <c r="BK930" s="67">
        <f>(CD930-Driver!$F$203)/(Driver!$G$203-Driver!$F$203)*$BI$1</f>
        <v>2.9816513761467895</v>
      </c>
      <c r="BL930" s="67">
        <f>MAX((CR930-Driver!$F$202)/(Driver!$G$202-Driver!$F$202)*$BI$1,1)</f>
        <v>6.2068965517241379</v>
      </c>
      <c r="BM930" s="67">
        <f>MAX((CH930-Driver!$F$204)/(Driver!$G$204-Driver!$F$204)*$BI$1,1)</f>
        <v>5.5128205128205128</v>
      </c>
      <c r="BN930" s="67">
        <f>(CI930-Driver!$F$205)/(Driver!$G$205-Driver!$F$205)*$BI$1</f>
        <v>6.2352941176470589</v>
      </c>
      <c r="BO930" s="67">
        <f>(CK930-Driver!$F$207)/(Driver!$G$207-Driver!$F$207)*$BI$1</f>
        <v>0.91003102378490175</v>
      </c>
      <c r="BP930" s="67">
        <f>(CM930-Driver!$F$208)/(Driver!$G$208-Driver!$F$208)*$BI$1</f>
        <v>1.3444444444444446</v>
      </c>
      <c r="BQ930" s="67">
        <f>(CL930-Driver!$F$209)/(Driver!$G$209-Driver!$F$209)*$BI$1</f>
        <v>1.875</v>
      </c>
      <c r="BR930" s="28" t="s">
        <v>155</v>
      </c>
      <c r="BS930" s="8" t="s">
        <v>182</v>
      </c>
      <c r="BT930" s="9" t="s">
        <v>667</v>
      </c>
      <c r="BU930" s="10">
        <v>174</v>
      </c>
      <c r="BV930" s="9" t="s">
        <v>158</v>
      </c>
      <c r="BW930" s="10">
        <v>174</v>
      </c>
      <c r="BX930" s="10">
        <v>173.5</v>
      </c>
      <c r="BY930" s="10">
        <v>142</v>
      </c>
      <c r="BZ930" s="10">
        <v>154</v>
      </c>
      <c r="CA930" s="10">
        <v>127</v>
      </c>
      <c r="CB930" s="10">
        <v>81</v>
      </c>
      <c r="CC930" s="10">
        <v>109</v>
      </c>
      <c r="CD930" s="10">
        <v>15.9</v>
      </c>
      <c r="CE930" s="10">
        <v>1648</v>
      </c>
      <c r="CF930" s="10">
        <v>1.01</v>
      </c>
      <c r="CG930" s="10">
        <v>1659</v>
      </c>
      <c r="CH930" s="10">
        <v>230</v>
      </c>
      <c r="CI930" s="10">
        <v>139</v>
      </c>
      <c r="CJ930" s="10">
        <v>42</v>
      </c>
      <c r="CK930" s="10">
        <v>198</v>
      </c>
      <c r="CL930" s="10">
        <v>12</v>
      </c>
      <c r="CM930" s="10">
        <v>121</v>
      </c>
      <c r="CN930" s="10">
        <v>0.29099999999999998</v>
      </c>
      <c r="CO930" s="10">
        <v>120</v>
      </c>
      <c r="CP930" s="10">
        <v>72</v>
      </c>
      <c r="CQ930" s="10">
        <v>78</v>
      </c>
      <c r="CR930" s="10">
        <v>7</v>
      </c>
      <c r="CS930" s="10">
        <v>9.4</v>
      </c>
      <c r="CT930" s="9" t="s">
        <v>231</v>
      </c>
      <c r="CU930" s="9" t="s">
        <v>188</v>
      </c>
      <c r="CV930" s="10"/>
      <c r="CW930" s="10"/>
      <c r="CX930" t="str">
        <f>INDEX('Data_Price '!AG$2:AG$1266,MATCH(Data!$DN930,'Data_Price '!$AT$2:$AT$1266,0))</f>
        <v>Demo Armada Declivity 82 Ti Ski w/ Armada Z12 GW Binding 2022</v>
      </c>
      <c r="CY930" t="str">
        <f>INDEX('Data_Price '!AH$2:AH$1266,MATCH(Data!$DN930,'Data_Price '!$AT$2:$AT$1266,0))</f>
        <v>High Mountain Sports</v>
      </c>
      <c r="CZ930">
        <f>INDEX('Data_Price '!AI$2:AI$1266,MATCH(Data!$DN930,'Data_Price '!$AT$2:$AT$1266,0))</f>
        <v>474.99</v>
      </c>
      <c r="DA930" t="str">
        <f>INDEX('Data_Price '!AJ$2:AJ$1266,MATCH(Data!$DN930,'Data_Price '!$AT$2:$AT$1266,0))</f>
        <v>https://tinyurl.com/y7awzh8z</v>
      </c>
      <c r="DB930" t="str">
        <f>INDEX('Data_Price '!AK$2:AK$1266,MATCH(Data!$DN930,'Data_Price '!$AT$2:$AT$1266,0))</f>
        <v>Armada Declivity 82 Ti Skis</v>
      </c>
      <c r="DC930" t="str">
        <f>INDEX('Data_Price '!AL$2:AL$1266,MATCH(Data!$DN930,'Data_Price '!$AT$2:$AT$1266,0))</f>
        <v>The-House.com</v>
      </c>
      <c r="DD930">
        <f>INDEX('Data_Price '!AM$2:AM$1266,MATCH(Data!$DN930,'Data_Price '!$AT$2:$AT$1266,0))</f>
        <v>599.95000000000005</v>
      </c>
      <c r="DE930" t="str">
        <f>INDEX('Data_Price '!AN$2:AN$1266,MATCH(Data!$DN930,'Data_Price '!$AT$2:$AT$1266,0))</f>
        <v>https://tinyurl.com/y962gowl</v>
      </c>
      <c r="DF930" t="str">
        <f>INDEX('Data_Price '!AO$2:AO$1266,MATCH(Data!$DN930,'Data_Price '!$AT$2:$AT$1266,0))</f>
        <v>Armada Declivity 82 Ti Skis 2022 w/bindings 174</v>
      </c>
      <c r="DG930" t="str">
        <f>INDEX('Data_Price '!AP$2:AP$1266,MATCH(Data!$DN930,'Data_Price '!$AT$2:$AT$1266,0))</f>
        <v>Ski Depot RaceSkis.com</v>
      </c>
      <c r="DH930">
        <f>INDEX('Data_Price '!AQ$2:AQ$1266,MATCH(Data!$DN930,'Data_Price '!$AT$2:$AT$1266,0))</f>
        <v>799.95</v>
      </c>
      <c r="DI930" t="str">
        <f>INDEX('Data_Price '!AR$2:AR$1266,MATCH(Data!$DN930,'Data_Price '!$AT$2:$AT$1266,0))</f>
        <v>https://tinyurl.com/ybnxvczf</v>
      </c>
      <c r="DJ930" s="89" t="str">
        <f t="shared" si="550"/>
        <v>https://tinyurl.com/y7awzh8z</v>
      </c>
      <c r="DK930" s="89" t="str">
        <f t="shared" si="551"/>
        <v>https://tinyurl.com/y962gowl</v>
      </c>
      <c r="DL930" s="89" t="str">
        <f t="shared" si="552"/>
        <v>https://tinyurl.com/ybnxvczf</v>
      </c>
      <c r="DM930" s="219" t="str">
        <f t="shared" si="553"/>
        <v>Declivity 82 Ti</v>
      </c>
      <c r="DN930" s="89" t="str">
        <f t="shared" si="554"/>
        <v xml:space="preserve"> ArmadaDeclivity 82 Ti174 Unisex</v>
      </c>
      <c r="DO930" s="221"/>
    </row>
    <row r="931" spans="2:119" ht="15.6" customHeight="1">
      <c r="B931" s="219" t="b">
        <f t="array" ref="B931">IF(OR(ISERROR(K931:P931)),FALSE,TRUE)</f>
        <v>1</v>
      </c>
      <c r="C931" s="43" t="b">
        <f>OR(BR931=Driver!$G$50,Data!BR1192=Driver!$H$50)</f>
        <v>1</v>
      </c>
      <c r="D931" s="43" t="b">
        <f>OR(BV931=Driver!$G$51,BV931=Driver!$H$51)</f>
        <v>0</v>
      </c>
      <c r="E931" s="43" t="b">
        <f>AND(BX931&gt;Driver!$F$54,BX931&lt;Driver!$G$54)</f>
        <v>1</v>
      </c>
      <c r="F931" s="43" t="b">
        <f>CL931&gt;Driver!$F$56</f>
        <v>1</v>
      </c>
      <c r="G931" s="43" t="b">
        <f>AND(CB931&gt;Driver!$F$55,CB931&lt;Driver!$G$55)</f>
        <v>0</v>
      </c>
      <c r="H931" s="43" t="b">
        <f t="shared" si="518"/>
        <v>0</v>
      </c>
      <c r="I931" s="43">
        <f t="shared" si="519"/>
        <v>0</v>
      </c>
      <c r="J931" s="43" t="b">
        <f t="array" ref="J931">NOT(OR(($H$9:$H$1273=TRUE)*($I$9:$I$1273&gt;0)*($BT$9:$BT$1273=BT931)*($K$9:$K$1273&gt;K931)))</f>
        <v>1</v>
      </c>
      <c r="K931" s="72">
        <f t="shared" si="520"/>
        <v>0.76081650954147051</v>
      </c>
      <c r="L931" s="72">
        <f t="shared" si="521"/>
        <v>0.79493053834440452</v>
      </c>
      <c r="M931" s="72">
        <f t="shared" si="522"/>
        <v>0.72670248073853649</v>
      </c>
      <c r="N931" s="72">
        <f t="shared" si="523"/>
        <v>0.64807364874438356</v>
      </c>
      <c r="O931" s="72">
        <f t="shared" si="524"/>
        <v>0.59066496745980845</v>
      </c>
      <c r="P931" s="72">
        <f t="shared" si="525"/>
        <v>0.94136882601141725</v>
      </c>
      <c r="Q931" s="72"/>
      <c r="R931" s="72"/>
      <c r="S931" s="72">
        <f t="shared" si="526"/>
        <v>0.43255198638288617</v>
      </c>
      <c r="T931" s="72">
        <f t="shared" si="527"/>
        <v>0.68377651395682226</v>
      </c>
      <c r="U931" s="72">
        <f t="shared" si="528"/>
        <v>0.51</v>
      </c>
      <c r="V931" s="72">
        <f t="shared" si="529"/>
        <v>0.49117596966679933</v>
      </c>
      <c r="W931" s="72">
        <f t="shared" si="530"/>
        <v>0.765571934719953</v>
      </c>
      <c r="X931" s="72">
        <f t="shared" si="531"/>
        <v>0.20506946165559545</v>
      </c>
      <c r="Y931" s="72">
        <f t="shared" si="532"/>
        <v>0.27329751926146356</v>
      </c>
      <c r="Z931" s="72">
        <f t="shared" si="533"/>
        <v>0.35192635125561644</v>
      </c>
      <c r="AA931" s="72">
        <f t="shared" si="534"/>
        <v>0.40933503254019155</v>
      </c>
      <c r="AB931" s="72">
        <f t="shared" si="535"/>
        <v>5.8631173988582752E-2</v>
      </c>
      <c r="AC931" s="72"/>
      <c r="AD931" s="72"/>
      <c r="AE931" s="72">
        <f t="shared" si="536"/>
        <v>0.56744801361711383</v>
      </c>
      <c r="AF931" s="72">
        <f t="shared" si="537"/>
        <v>0.31622348604317774</v>
      </c>
      <c r="AG931" s="72">
        <f t="shared" si="538"/>
        <v>0.49</v>
      </c>
      <c r="AH931" s="72">
        <f t="shared" si="539"/>
        <v>0.50882403033320067</v>
      </c>
      <c r="AI931" s="72">
        <f t="shared" si="540"/>
        <v>0.234428065280047</v>
      </c>
      <c r="AJ931" s="72">
        <f>(AV931-Driver!$K$179)/(Driver!$L$179-Driver!$K$179)</f>
        <v>4.9149947627104985E-2</v>
      </c>
      <c r="AK931" s="72">
        <f>(AW931-Driver!$K$180)/(Driver!$L$180-Driver!$K$180)</f>
        <v>0.21632699145008741</v>
      </c>
      <c r="AL931" s="72">
        <f>(AX931-Driver!$K$181)/(Driver!$L$181-Driver!$K$181)</f>
        <v>0.45361411496869664</v>
      </c>
      <c r="AM931" s="72">
        <f>(AY931-Driver!$K$182)/(Driver!$L$182-Driver!$K$182)</f>
        <v>3.8049988556854812E-2</v>
      </c>
      <c r="AN931" s="72">
        <f>(AZ931-Driver!$K$183)/(Driver!$L$183-Driver!$K$183)</f>
        <v>0.19558823529411767</v>
      </c>
      <c r="AO931" s="72"/>
      <c r="AP931" s="72"/>
      <c r="AQ931" s="72">
        <f>(BC931-Driver!$K$188)/(Driver!$L$188-Driver!$K$188)</f>
        <v>5.2551986382886211E-2</v>
      </c>
      <c r="AR931" s="72">
        <f>MIN((BD931-Driver!$K$189)/(Driver!$L$189-Driver!$K$189),100%)</f>
        <v>0.23377651395682228</v>
      </c>
      <c r="AS931" s="72">
        <f>(BE931-Driver!$K$190)/(Driver!$L$190-Driver!$K$190)</f>
        <v>1</v>
      </c>
      <c r="AT931" s="72">
        <f>(BF931-Driver!$K$191)/(Driver!$L$191-Driver!$K$191)</f>
        <v>1.1759696667993174E-3</v>
      </c>
      <c r="AU931" s="72">
        <f>(BG931-Driver!$K$192)/(Driver!$L$192-Driver!$K$192)</f>
        <v>1.5571934719953004E-2</v>
      </c>
      <c r="AV931" s="70">
        <f t="shared" si="541"/>
        <v>1.0344593677927012</v>
      </c>
      <c r="AW931" s="70">
        <f t="shared" si="542"/>
        <v>22.954874790411775</v>
      </c>
      <c r="AX931" s="70">
        <f t="shared" si="543"/>
        <v>5.0825270347182698</v>
      </c>
      <c r="AY931" s="70">
        <f>IFERROR(Driver!$K$19/Data!BH931/Data!BI931*Data!BK931*Data!BL931,"")</f>
        <v>4.6584539014426031E-2</v>
      </c>
      <c r="AZ931" s="70">
        <f t="shared" si="544"/>
        <v>17.825763216679078</v>
      </c>
      <c r="BA931" s="70"/>
      <c r="BB931" s="70"/>
      <c r="BC931" s="70">
        <f t="shared" si="545"/>
        <v>27.259080672285361</v>
      </c>
      <c r="BD931" s="70">
        <f t="shared" si="546"/>
        <v>22.409630141804897</v>
      </c>
      <c r="BE931" s="70">
        <f t="shared" si="547"/>
        <v>1</v>
      </c>
      <c r="BF931" s="70">
        <f t="shared" si="548"/>
        <v>0.13281751221049659</v>
      </c>
      <c r="BG931" s="70">
        <f t="shared" si="549"/>
        <v>5.8965278670166876E-2</v>
      </c>
      <c r="BH931" s="67">
        <f>MAX((CE931-Driver!$F$200)/(Driver!$G$200-Driver!$F$200)*$BI$1,1)</f>
        <v>5.0825270347182698</v>
      </c>
      <c r="BI931" s="67">
        <f>MAX($BI$1*(BY931-Driver!$F$201)/(Driver!$G$201-Driver!$F$201),1)</f>
        <v>8.4177215189873422</v>
      </c>
      <c r="BJ931" s="67">
        <f>(CB931-Driver!$F$206)/(Driver!$G$206-Driver!$F$206)*$BI$1</f>
        <v>1.5873015873015872</v>
      </c>
      <c r="BK931" s="67">
        <f>(CD931-Driver!$F$203)/(Driver!$G$203-Driver!$F$203)*$BI$1</f>
        <v>1.9266055045871557</v>
      </c>
      <c r="BL931" s="67">
        <f>MAX((CR931-Driver!$F$202)/(Driver!$G$202-Driver!$F$202)*$BI$1,1)</f>
        <v>5.1724137931034484</v>
      </c>
      <c r="BM931" s="67">
        <f>MAX((CH931-Driver!$F$204)/(Driver!$G$204-Driver!$F$204)*$BI$1,1)</f>
        <v>2.6068376068376069</v>
      </c>
      <c r="BN931" s="67">
        <f>(CI931-Driver!$F$205)/(Driver!$G$205-Driver!$F$205)*$BI$1</f>
        <v>2.1176470588235294</v>
      </c>
      <c r="BO931" s="67">
        <f>(CK931-Driver!$F$207)/(Driver!$G$207-Driver!$F$207)*$BI$1</f>
        <v>0.23784901758014479</v>
      </c>
      <c r="BP931" s="67">
        <f>(CM931-Driver!$F$208)/(Driver!$G$208-Driver!$F$208)*$BI$1</f>
        <v>0.67777777777777781</v>
      </c>
      <c r="BQ931" s="67">
        <f>(CL931-Driver!$F$209)/(Driver!$G$209-Driver!$F$209)*$BI$1</f>
        <v>0.78125</v>
      </c>
      <c r="BR931" s="28" t="s">
        <v>155</v>
      </c>
      <c r="BS931" s="8" t="s">
        <v>229</v>
      </c>
      <c r="BT931" s="9" t="s">
        <v>716</v>
      </c>
      <c r="BU931" s="10">
        <v>161</v>
      </c>
      <c r="BV931" s="9" t="s">
        <v>163</v>
      </c>
      <c r="BW931" s="10">
        <v>161</v>
      </c>
      <c r="BX931" s="10">
        <v>160.5</v>
      </c>
      <c r="BY931" s="10">
        <v>141</v>
      </c>
      <c r="BZ931" s="10">
        <v>148</v>
      </c>
      <c r="CA931" s="10">
        <v>125</v>
      </c>
      <c r="CB931" s="10">
        <v>74</v>
      </c>
      <c r="CC931" s="10">
        <v>105</v>
      </c>
      <c r="CD931" s="10">
        <v>13.6</v>
      </c>
      <c r="CE931" s="10">
        <v>1793</v>
      </c>
      <c r="CF931" s="10">
        <v>0.8</v>
      </c>
      <c r="CG931" s="10">
        <v>1433</v>
      </c>
      <c r="CH931" s="10">
        <v>162</v>
      </c>
      <c r="CI931" s="10">
        <v>69</v>
      </c>
      <c r="CJ931" s="10">
        <v>35</v>
      </c>
      <c r="CK931" s="10">
        <v>133</v>
      </c>
      <c r="CL931" s="10">
        <v>5</v>
      </c>
      <c r="CM931" s="10">
        <v>61</v>
      </c>
      <c r="CN931" s="10">
        <v>0.14699999999999999</v>
      </c>
      <c r="CO931" s="10">
        <v>71</v>
      </c>
      <c r="CP931" s="10">
        <v>58</v>
      </c>
      <c r="CQ931" s="10">
        <v>62</v>
      </c>
      <c r="CR931" s="10">
        <v>4</v>
      </c>
      <c r="CS931" s="10">
        <v>11.7</v>
      </c>
      <c r="CT931" s="9" t="s">
        <v>349</v>
      </c>
      <c r="CU931" s="10"/>
      <c r="CV931" s="10"/>
      <c r="CW931" s="10"/>
      <c r="CX931" t="e">
        <f>INDEX('Data_Price '!AG$2:AG$1266,MATCH(Data!$DN931,'Data_Price '!$AT$2:$AT$1266,0))</f>
        <v>#N/A</v>
      </c>
      <c r="CY931" t="e">
        <f>INDEX('Data_Price '!AH$2:AH$1266,MATCH(Data!$DN931,'Data_Price '!$AT$2:$AT$1266,0))</f>
        <v>#N/A</v>
      </c>
      <c r="CZ931" t="e">
        <f>INDEX('Data_Price '!AI$2:AI$1266,MATCH(Data!$DN931,'Data_Price '!$AT$2:$AT$1266,0))</f>
        <v>#N/A</v>
      </c>
      <c r="DA931" t="e">
        <f>INDEX('Data_Price '!AJ$2:AJ$1266,MATCH(Data!$DN931,'Data_Price '!$AT$2:$AT$1266,0))</f>
        <v>#N/A</v>
      </c>
      <c r="DB931" t="e">
        <f>INDEX('Data_Price '!AK$2:AK$1266,MATCH(Data!$DN931,'Data_Price '!$AT$2:$AT$1266,0))</f>
        <v>#N/A</v>
      </c>
      <c r="DC931" t="e">
        <f>INDEX('Data_Price '!AL$2:AL$1266,MATCH(Data!$DN931,'Data_Price '!$AT$2:$AT$1266,0))</f>
        <v>#N/A</v>
      </c>
      <c r="DD931" t="e">
        <f>INDEX('Data_Price '!AM$2:AM$1266,MATCH(Data!$DN931,'Data_Price '!$AT$2:$AT$1266,0))</f>
        <v>#N/A</v>
      </c>
      <c r="DE931" t="e">
        <f>INDEX('Data_Price '!AN$2:AN$1266,MATCH(Data!$DN931,'Data_Price '!$AT$2:$AT$1266,0))</f>
        <v>#N/A</v>
      </c>
      <c r="DF931" t="e">
        <f>INDEX('Data_Price '!AO$2:AO$1266,MATCH(Data!$DN931,'Data_Price '!$AT$2:$AT$1266,0))</f>
        <v>#N/A</v>
      </c>
      <c r="DG931" t="e">
        <f>INDEX('Data_Price '!AP$2:AP$1266,MATCH(Data!$DN931,'Data_Price '!$AT$2:$AT$1266,0))</f>
        <v>#N/A</v>
      </c>
      <c r="DH931" t="e">
        <f>INDEX('Data_Price '!AQ$2:AQ$1266,MATCH(Data!$DN931,'Data_Price '!$AT$2:$AT$1266,0))</f>
        <v>#N/A</v>
      </c>
      <c r="DI931" t="e">
        <f>INDEX('Data_Price '!AR$2:AR$1266,MATCH(Data!$DN931,'Data_Price '!$AT$2:$AT$1266,0))</f>
        <v>#N/A</v>
      </c>
      <c r="DJ931" s="89" t="e">
        <f t="shared" si="550"/>
        <v>#N/A</v>
      </c>
      <c r="DK931" s="89" t="e">
        <f t="shared" si="551"/>
        <v>#N/A</v>
      </c>
      <c r="DL931" s="89" t="e">
        <f t="shared" si="552"/>
        <v>#N/A</v>
      </c>
      <c r="DM931" s="219" t="str">
        <f t="shared" si="553"/>
        <v>Flair 75</v>
      </c>
      <c r="DN931" s="89" t="str">
        <f t="shared" si="554"/>
        <v xml:space="preserve"> VölklFlair 75161 Women's</v>
      </c>
      <c r="DO931" s="221"/>
    </row>
    <row r="932" spans="2:119" ht="15.6" customHeight="1">
      <c r="B932" s="219" t="b">
        <f t="array" ref="B932">IF(OR(ISERROR(K932:P932)),FALSE,TRUE)</f>
        <v>1</v>
      </c>
      <c r="C932" s="43" t="b">
        <f>OR(BR932=Driver!$G$50,Data!BR1191=Driver!$H$50)</f>
        <v>1</v>
      </c>
      <c r="D932" s="43" t="b">
        <f>OR(BV932=Driver!$G$51,BV932=Driver!$H$51)</f>
        <v>0</v>
      </c>
      <c r="E932" s="43" t="b">
        <f>AND(BX932&gt;Driver!$F$54,BX932&lt;Driver!$G$54)</f>
        <v>1</v>
      </c>
      <c r="F932" s="43" t="b">
        <f>CL932&gt;Driver!$F$56</f>
        <v>1</v>
      </c>
      <c r="G932" s="43" t="b">
        <f>AND(CB932&gt;Driver!$F$55,CB932&lt;Driver!$G$55)</f>
        <v>0</v>
      </c>
      <c r="H932" s="43" t="b">
        <f t="shared" si="518"/>
        <v>0</v>
      </c>
      <c r="I932" s="43">
        <f t="shared" si="519"/>
        <v>0</v>
      </c>
      <c r="J932" s="43" t="b">
        <f t="array" ref="J932">NOT(OR(($H$9:$H$1273=TRUE)*($I$9:$I$1273&gt;0)*($BT$9:$BT$1273=BT932)*($K$9:$K$1273&gt;K932)))</f>
        <v>1</v>
      </c>
      <c r="K932" s="72">
        <f t="shared" si="520"/>
        <v>0.76708107563661543</v>
      </c>
      <c r="L932" s="72">
        <f t="shared" si="521"/>
        <v>0.7981534857297885</v>
      </c>
      <c r="M932" s="72">
        <f t="shared" si="522"/>
        <v>0.73600866554344235</v>
      </c>
      <c r="N932" s="72">
        <f t="shared" si="523"/>
        <v>0.71763666651457259</v>
      </c>
      <c r="O932" s="72">
        <f t="shared" si="524"/>
        <v>0.58897148449649417</v>
      </c>
      <c r="P932" s="72">
        <f t="shared" si="525"/>
        <v>0.90141784561926042</v>
      </c>
      <c r="Q932" s="72"/>
      <c r="R932" s="72"/>
      <c r="S932" s="72">
        <f t="shared" si="526"/>
        <v>0.40787845559994385</v>
      </c>
      <c r="T932" s="72">
        <f t="shared" si="527"/>
        <v>0.85641488574516744</v>
      </c>
      <c r="U932" s="72">
        <f t="shared" si="528"/>
        <v>0.51</v>
      </c>
      <c r="V932" s="72">
        <f t="shared" si="529"/>
        <v>0.49081471312625014</v>
      </c>
      <c r="W932" s="72">
        <f t="shared" si="530"/>
        <v>0.76666666666666661</v>
      </c>
      <c r="X932" s="72">
        <f t="shared" si="531"/>
        <v>0.20184651427021152</v>
      </c>
      <c r="Y932" s="72">
        <f t="shared" si="532"/>
        <v>0.26399133445655759</v>
      </c>
      <c r="Z932" s="72">
        <f t="shared" si="533"/>
        <v>0.28236333348542741</v>
      </c>
      <c r="AA932" s="72">
        <f t="shared" si="534"/>
        <v>0.41102851550350578</v>
      </c>
      <c r="AB932" s="72">
        <f t="shared" si="535"/>
        <v>9.8582154380739612E-2</v>
      </c>
      <c r="AC932" s="72"/>
      <c r="AD932" s="72"/>
      <c r="AE932" s="72">
        <f t="shared" si="536"/>
        <v>0.59212154440005615</v>
      </c>
      <c r="AF932" s="72">
        <f t="shared" si="537"/>
        <v>0.14358511425483256</v>
      </c>
      <c r="AG932" s="72">
        <f t="shared" si="538"/>
        <v>0.49</v>
      </c>
      <c r="AH932" s="72">
        <f t="shared" si="539"/>
        <v>0.50918528687374986</v>
      </c>
      <c r="AI932" s="72">
        <f t="shared" si="540"/>
        <v>0.23333333333333334</v>
      </c>
      <c r="AJ932" s="72">
        <f>(AV932-Driver!$K$179)/(Driver!$L$179-Driver!$K$179)</f>
        <v>5.2372895012488908E-2</v>
      </c>
      <c r="AK932" s="72">
        <f>(AW932-Driver!$K$180)/(Driver!$L$180-Driver!$K$180)</f>
        <v>0.1725214055925966</v>
      </c>
      <c r="AL932" s="72">
        <f>(AX932-Driver!$K$181)/(Driver!$L$181-Driver!$K$181)</f>
        <v>0.38405109719850761</v>
      </c>
      <c r="AM932" s="72">
        <f>(AY932-Driver!$K$182)/(Driver!$L$182-Driver!$K$182)</f>
        <v>3.6356505593540603E-2</v>
      </c>
      <c r="AN932" s="72">
        <f>(AZ932-Driver!$K$183)/(Driver!$L$183-Driver!$K$183)</f>
        <v>0.15563725490196081</v>
      </c>
      <c r="AO932" s="72"/>
      <c r="AP932" s="72"/>
      <c r="AQ932" s="72">
        <f>(BC932-Driver!$K$188)/(Driver!$L$188-Driver!$K$188)</f>
        <v>2.7878455599943817E-2</v>
      </c>
      <c r="AR932" s="72">
        <f>MIN((BD932-Driver!$K$189)/(Driver!$L$189-Driver!$K$189),100%)</f>
        <v>0.40641488574516749</v>
      </c>
      <c r="AS932" s="72">
        <f>(BE932-Driver!$K$190)/(Driver!$L$190-Driver!$K$190)</f>
        <v>1</v>
      </c>
      <c r="AT932" s="72">
        <f>(BF932-Driver!$K$191)/(Driver!$L$191-Driver!$K$191)</f>
        <v>8.1471312625013286E-4</v>
      </c>
      <c r="AU932" s="72">
        <f>(BG932-Driver!$K$192)/(Driver!$L$192-Driver!$K$192)</f>
        <v>1.6666666666666663E-2</v>
      </c>
      <c r="AV932" s="70">
        <f t="shared" si="541"/>
        <v>1.1022927689594355</v>
      </c>
      <c r="AW932" s="70">
        <f t="shared" si="542"/>
        <v>18.685632291622007</v>
      </c>
      <c r="AX932" s="70">
        <f t="shared" si="543"/>
        <v>4.4564598747865682</v>
      </c>
      <c r="AY932" s="70">
        <f>IFERROR(Driver!$K$19/Data!BH932/Data!BI932*Data!BK932*Data!BL932,"")</f>
        <v>4.4511210580781488E-2</v>
      </c>
      <c r="AZ932" s="70">
        <f t="shared" si="544"/>
        <v>14.184661206254656</v>
      </c>
      <c r="BA932" s="70"/>
      <c r="BB932" s="70"/>
      <c r="BC932" s="70">
        <f t="shared" si="545"/>
        <v>14.46074872756993</v>
      </c>
      <c r="BD932" s="70">
        <f t="shared" si="546"/>
        <v>37.687820147979522</v>
      </c>
      <c r="BE932" s="70">
        <f t="shared" si="547"/>
        <v>1</v>
      </c>
      <c r="BF932" s="70">
        <f t="shared" si="548"/>
        <v>9.2016123926302679E-2</v>
      </c>
      <c r="BG932" s="70">
        <f t="shared" si="549"/>
        <v>6.3110632183908041E-2</v>
      </c>
      <c r="BH932" s="67">
        <f>MAX((CE932-Driver!$F$200)/(Driver!$G$200-Driver!$F$200)*$BI$1,1)</f>
        <v>4.4564598747865682</v>
      </c>
      <c r="BI932" s="67">
        <f>MAX($BI$1*(BY932-Driver!$F$201)/(Driver!$G$201-Driver!$F$201),1)</f>
        <v>8.037974683544304</v>
      </c>
      <c r="BJ932" s="67">
        <f>(CB932-Driver!$F$206)/(Driver!$G$206-Driver!$F$206)*$BI$1</f>
        <v>1.5873015873015872</v>
      </c>
      <c r="BK932" s="67">
        <f>(CD932-Driver!$F$203)/(Driver!$G$203-Driver!$F$203)*$BI$1</f>
        <v>1.2844036697247705</v>
      </c>
      <c r="BL932" s="67">
        <f>MAX((CR932-Driver!$F$202)/(Driver!$G$202-Driver!$F$202)*$BI$1,1)</f>
        <v>6.2068965517241379</v>
      </c>
      <c r="BM932" s="67">
        <f>MAX((CH932-Driver!$F$204)/(Driver!$G$204-Driver!$F$204)*$BI$1,1)</f>
        <v>2.7777777777777777</v>
      </c>
      <c r="BN932" s="67">
        <f>(CI932-Driver!$F$205)/(Driver!$G$205-Driver!$F$205)*$BI$1</f>
        <v>1.7647058823529413</v>
      </c>
      <c r="BO932" s="67">
        <f>(CK932-Driver!$F$207)/(Driver!$G$207-Driver!$F$207)*$BI$1</f>
        <v>0.12409513960703206</v>
      </c>
      <c r="BP932" s="67">
        <f>(CM932-Driver!$F$208)/(Driver!$G$208-Driver!$F$208)*$BI$1</f>
        <v>0.6</v>
      </c>
      <c r="BQ932" s="67">
        <f>(CL932-Driver!$F$209)/(Driver!$G$209-Driver!$F$209)*$BI$1</f>
        <v>0.78125</v>
      </c>
      <c r="BR932" s="28" t="s">
        <v>155</v>
      </c>
      <c r="BS932" s="8" t="s">
        <v>229</v>
      </c>
      <c r="BT932" s="9" t="s">
        <v>716</v>
      </c>
      <c r="BU932" s="10">
        <v>154</v>
      </c>
      <c r="BV932" s="9" t="s">
        <v>163</v>
      </c>
      <c r="BW932" s="10">
        <v>154</v>
      </c>
      <c r="BX932" s="10">
        <v>153</v>
      </c>
      <c r="BY932" s="10">
        <v>135</v>
      </c>
      <c r="BZ932" s="10">
        <v>140</v>
      </c>
      <c r="CA932" s="10">
        <v>125</v>
      </c>
      <c r="CB932" s="10">
        <v>74</v>
      </c>
      <c r="CC932" s="10">
        <v>104</v>
      </c>
      <c r="CD932" s="10">
        <v>12.2</v>
      </c>
      <c r="CE932" s="10">
        <v>1683</v>
      </c>
      <c r="CF932" s="10">
        <v>0.81</v>
      </c>
      <c r="CG932" s="10">
        <v>1365</v>
      </c>
      <c r="CH932" s="10">
        <v>166</v>
      </c>
      <c r="CI932" s="10">
        <v>63</v>
      </c>
      <c r="CJ932" s="10">
        <v>33</v>
      </c>
      <c r="CK932" s="10">
        <v>122</v>
      </c>
      <c r="CL932" s="10">
        <v>5</v>
      </c>
      <c r="CM932" s="10">
        <v>54</v>
      </c>
      <c r="CN932" s="10">
        <v>0.13600000000000001</v>
      </c>
      <c r="CO932" s="10">
        <v>69</v>
      </c>
      <c r="CP932" s="10">
        <v>59</v>
      </c>
      <c r="CQ932" s="10">
        <v>53</v>
      </c>
      <c r="CR932" s="10">
        <v>7</v>
      </c>
      <c r="CS932" s="10">
        <v>11.4</v>
      </c>
      <c r="CT932" s="9" t="s">
        <v>349</v>
      </c>
      <c r="CU932" s="10"/>
      <c r="CV932" s="10"/>
      <c r="CW932" s="10"/>
      <c r="CX932" t="e">
        <f>INDEX('Data_Price '!AG$2:AG$1266,MATCH(Data!$DN932,'Data_Price '!$AT$2:$AT$1266,0))</f>
        <v>#N/A</v>
      </c>
      <c r="CY932" t="e">
        <f>INDEX('Data_Price '!AH$2:AH$1266,MATCH(Data!$DN932,'Data_Price '!$AT$2:$AT$1266,0))</f>
        <v>#N/A</v>
      </c>
      <c r="CZ932" t="e">
        <f>INDEX('Data_Price '!AI$2:AI$1266,MATCH(Data!$DN932,'Data_Price '!$AT$2:$AT$1266,0))</f>
        <v>#N/A</v>
      </c>
      <c r="DA932" t="e">
        <f>INDEX('Data_Price '!AJ$2:AJ$1266,MATCH(Data!$DN932,'Data_Price '!$AT$2:$AT$1266,0))</f>
        <v>#N/A</v>
      </c>
      <c r="DB932" t="e">
        <f>INDEX('Data_Price '!AK$2:AK$1266,MATCH(Data!$DN932,'Data_Price '!$AT$2:$AT$1266,0))</f>
        <v>#N/A</v>
      </c>
      <c r="DC932" t="e">
        <f>INDEX('Data_Price '!AL$2:AL$1266,MATCH(Data!$DN932,'Data_Price '!$AT$2:$AT$1266,0))</f>
        <v>#N/A</v>
      </c>
      <c r="DD932" t="e">
        <f>INDEX('Data_Price '!AM$2:AM$1266,MATCH(Data!$DN932,'Data_Price '!$AT$2:$AT$1266,0))</f>
        <v>#N/A</v>
      </c>
      <c r="DE932" t="e">
        <f>INDEX('Data_Price '!AN$2:AN$1266,MATCH(Data!$DN932,'Data_Price '!$AT$2:$AT$1266,0))</f>
        <v>#N/A</v>
      </c>
      <c r="DF932" t="e">
        <f>INDEX('Data_Price '!AO$2:AO$1266,MATCH(Data!$DN932,'Data_Price '!$AT$2:$AT$1266,0))</f>
        <v>#N/A</v>
      </c>
      <c r="DG932" t="e">
        <f>INDEX('Data_Price '!AP$2:AP$1266,MATCH(Data!$DN932,'Data_Price '!$AT$2:$AT$1266,0))</f>
        <v>#N/A</v>
      </c>
      <c r="DH932" t="e">
        <f>INDEX('Data_Price '!AQ$2:AQ$1266,MATCH(Data!$DN932,'Data_Price '!$AT$2:$AT$1266,0))</f>
        <v>#N/A</v>
      </c>
      <c r="DI932" t="e">
        <f>INDEX('Data_Price '!AR$2:AR$1266,MATCH(Data!$DN932,'Data_Price '!$AT$2:$AT$1266,0))</f>
        <v>#N/A</v>
      </c>
      <c r="DJ932" s="89" t="e">
        <f t="shared" si="550"/>
        <v>#N/A</v>
      </c>
      <c r="DK932" s="89" t="e">
        <f t="shared" si="551"/>
        <v>#N/A</v>
      </c>
      <c r="DL932" s="89" t="e">
        <f t="shared" si="552"/>
        <v>#N/A</v>
      </c>
      <c r="DM932" s="219" t="str">
        <f t="shared" si="553"/>
        <v>Flair 75</v>
      </c>
      <c r="DN932" s="89" t="str">
        <f t="shared" si="554"/>
        <v xml:space="preserve"> VölklFlair 75154 Women's</v>
      </c>
      <c r="DO932" s="221"/>
    </row>
    <row r="933" spans="2:119" ht="15.6" customHeight="1">
      <c r="B933" s="219" t="b">
        <f t="array" ref="B933">IF(OR(ISERROR(K933:P933)),FALSE,TRUE)</f>
        <v>1</v>
      </c>
      <c r="C933" s="43" t="b">
        <f>OR(BR933=Driver!$G$50,Data!BR1180=Driver!$H$50)</f>
        <v>1</v>
      </c>
      <c r="D933" s="43" t="b">
        <f>OR(BV933=Driver!$G$51,BV933=Driver!$H$51)</f>
        <v>1</v>
      </c>
      <c r="E933" s="43" t="b">
        <f>AND(BX933&gt;Driver!$F$54,BX933&lt;Driver!$G$54)</f>
        <v>0</v>
      </c>
      <c r="F933" s="43" t="b">
        <f>CL933&gt;Driver!$F$56</f>
        <v>1</v>
      </c>
      <c r="G933" s="43" t="b">
        <f>AND(CB933&gt;Driver!$F$55,CB933&lt;Driver!$G$55)</f>
        <v>1</v>
      </c>
      <c r="H933" s="43" t="b">
        <f t="shared" si="518"/>
        <v>0</v>
      </c>
      <c r="I933" s="43">
        <f t="shared" si="519"/>
        <v>0</v>
      </c>
      <c r="J933" s="43" t="b">
        <f t="array" ref="J933">NOT(OR(($H$9:$H$1273=TRUE)*($I$9:$I$1273&gt;0)*($BT$9:$BT$1273=BT933)*($K$9:$K$1273&gt;K933)))</f>
        <v>1</v>
      </c>
      <c r="K933" s="72">
        <f t="shared" si="520"/>
        <v>0.84990120093955546</v>
      </c>
      <c r="L933" s="72">
        <f t="shared" si="521"/>
        <v>0.8784237441469338</v>
      </c>
      <c r="M933" s="72">
        <f t="shared" si="522"/>
        <v>0.82137865773217722</v>
      </c>
      <c r="N933" s="72">
        <f t="shared" si="523"/>
        <v>0.68095798441756372</v>
      </c>
      <c r="O933" s="72">
        <f t="shared" si="524"/>
        <v>0.96962779021853129</v>
      </c>
      <c r="P933" s="72">
        <f t="shared" si="525"/>
        <v>0.81355019856043675</v>
      </c>
      <c r="Q933" s="72"/>
      <c r="R933" s="72"/>
      <c r="S933" s="72">
        <f t="shared" si="526"/>
        <v>0.41658297483770101</v>
      </c>
      <c r="T933" s="72">
        <f t="shared" si="527"/>
        <v>0.43800470968069161</v>
      </c>
      <c r="U933" s="72">
        <f t="shared" si="528"/>
        <v>0.49035864850126687</v>
      </c>
      <c r="V933" s="72">
        <f t="shared" si="529"/>
        <v>0.83269984350225601</v>
      </c>
      <c r="W933" s="72">
        <f t="shared" si="530"/>
        <v>0.80328562134027326</v>
      </c>
      <c r="X933" s="72">
        <f t="shared" si="531"/>
        <v>0.1215762558530662</v>
      </c>
      <c r="Y933" s="72">
        <f t="shared" si="532"/>
        <v>0.17862134226782275</v>
      </c>
      <c r="Z933" s="72">
        <f t="shared" si="533"/>
        <v>0.31904201558243622</v>
      </c>
      <c r="AA933" s="72">
        <f t="shared" si="534"/>
        <v>3.0372209781468762E-2</v>
      </c>
      <c r="AB933" s="72">
        <f t="shared" si="535"/>
        <v>0.18644980143956319</v>
      </c>
      <c r="AC933" s="72"/>
      <c r="AD933" s="72"/>
      <c r="AE933" s="72">
        <f t="shared" si="536"/>
        <v>0.58341702516229899</v>
      </c>
      <c r="AF933" s="72">
        <f t="shared" si="537"/>
        <v>0.56199529031930839</v>
      </c>
      <c r="AG933" s="72">
        <f t="shared" si="538"/>
        <v>0.50964135149873313</v>
      </c>
      <c r="AH933" s="72">
        <f t="shared" si="539"/>
        <v>0.16730015649774399</v>
      </c>
      <c r="AI933" s="72">
        <f t="shared" si="540"/>
        <v>0.19671437865972674</v>
      </c>
      <c r="AJ933" s="72">
        <f>(AV933-Driver!$K$179)/(Driver!$L$179-Driver!$K$179)</f>
        <v>0.37579566513576662</v>
      </c>
      <c r="AK933" s="72">
        <f>(AW933-Driver!$K$180)/(Driver!$L$180-Driver!$K$180)</f>
        <v>9.9283567348691815E-2</v>
      </c>
      <c r="AL933" s="72">
        <f>(AX933-Driver!$K$181)/(Driver!$L$181-Driver!$K$181)</f>
        <v>0.42072977929551642</v>
      </c>
      <c r="AM933" s="72">
        <f>(AY933-Driver!$K$182)/(Driver!$L$182-Driver!$K$182)</f>
        <v>0.47775723087851513</v>
      </c>
      <c r="AN933" s="72">
        <f>(AZ933-Driver!$K$183)/(Driver!$L$183-Driver!$K$183)</f>
        <v>6.776960784313725E-2</v>
      </c>
      <c r="AO933" s="72"/>
      <c r="AP933" s="72"/>
      <c r="AQ933" s="72">
        <f>(BC933-Driver!$K$188)/(Driver!$L$188-Driver!$K$188)</f>
        <v>3.6582974837700954E-2</v>
      </c>
      <c r="AR933" s="72">
        <f>MIN((BD933-Driver!$K$189)/(Driver!$L$189-Driver!$K$189),100%)</f>
        <v>-1.1995290319308405E-2</v>
      </c>
      <c r="AS933" s="72">
        <f>(BE933-Driver!$K$190)/(Driver!$L$190-Driver!$K$190)</f>
        <v>3.586485012668769E-4</v>
      </c>
      <c r="AT933" s="72">
        <f>(BF933-Driver!$K$191)/(Driver!$L$191-Driver!$K$191)</f>
        <v>0.677300156497744</v>
      </c>
      <c r="AU933" s="72">
        <f>(BG933-Driver!$K$192)/(Driver!$L$192-Driver!$K$192)</f>
        <v>5.3285621340273252E-2</v>
      </c>
      <c r="AV933" s="70">
        <f t="shared" si="541"/>
        <v>7.9093745760412428</v>
      </c>
      <c r="AW933" s="70">
        <f t="shared" si="542"/>
        <v>11.547956001489661</v>
      </c>
      <c r="AX933" s="70">
        <f t="shared" si="543"/>
        <v>4.7865680136596476</v>
      </c>
      <c r="AY933" s="70">
        <f>IFERROR(Driver!$K$19/Data!BH933/Data!BI933*Data!BK933*Data!BL933,"")</f>
        <v>0.584917399594719</v>
      </c>
      <c r="AZ933" s="70">
        <f t="shared" si="544"/>
        <v>6.1764705882352944</v>
      </c>
      <c r="BA933" s="70"/>
      <c r="BB933" s="70"/>
      <c r="BC933" s="70">
        <f t="shared" si="545"/>
        <v>18.975843369030564</v>
      </c>
      <c r="BD933" s="70">
        <f t="shared" si="546"/>
        <v>0.65926094523569023</v>
      </c>
      <c r="BE933" s="70">
        <f t="shared" si="547"/>
        <v>5.3697326693157759E-4</v>
      </c>
      <c r="BF933" s="70">
        <f t="shared" si="548"/>
        <v>76.496294373519618</v>
      </c>
      <c r="BG933" s="70">
        <f t="shared" si="549"/>
        <v>0.20177335494581922</v>
      </c>
      <c r="BH933" s="67">
        <f>MAX((CE933-Driver!$F$200)/(Driver!$G$200-Driver!$F$200)*$BI$1,1)</f>
        <v>4.7865680136596476</v>
      </c>
      <c r="BI933" s="67">
        <f>MAX($BI$1*(BY933-Driver!$F$201)/(Driver!$G$201-Driver!$F$201),1)</f>
        <v>1</v>
      </c>
      <c r="BJ933" s="67">
        <f>(CB933-Driver!$F$206)/(Driver!$G$206-Driver!$F$206)*$BI$1</f>
        <v>6.9841269841269842</v>
      </c>
      <c r="BK933" s="67">
        <f>(CD933-Driver!$F$203)/(Driver!$G$203-Driver!$F$203)*$BI$1</f>
        <v>8.1192660550458733</v>
      </c>
      <c r="BL933" s="67">
        <f>MAX((CR933-Driver!$F$202)/(Driver!$G$202-Driver!$F$202)*$BI$1,1)</f>
        <v>1.7241379310344829</v>
      </c>
      <c r="BM933" s="67">
        <f>MAX((CH933-Driver!$F$204)/(Driver!$G$204-Driver!$F$204)*$BI$1,1)</f>
        <v>4.5299145299145298</v>
      </c>
      <c r="BN933" s="67">
        <f>(CI933-Driver!$F$205)/(Driver!$G$205-Driver!$F$205)*$BI$1</f>
        <v>6.1764705882352944</v>
      </c>
      <c r="BO933" s="67">
        <f>(CK933-Driver!$F$207)/(Driver!$G$207-Driver!$F$207)*$BI$1</f>
        <v>9.5966907962771444</v>
      </c>
      <c r="BP933" s="67">
        <f>(CM933-Driver!$F$208)/(Driver!$G$208-Driver!$F$208)*$BI$1</f>
        <v>9.2666666666666657</v>
      </c>
      <c r="BQ933" s="67">
        <f>(CL933-Driver!$F$209)/(Driver!$G$209-Driver!$F$209)*$BI$1</f>
        <v>4.375</v>
      </c>
      <c r="BR933" s="28" t="s">
        <v>155</v>
      </c>
      <c r="BS933" s="8" t="s">
        <v>229</v>
      </c>
      <c r="BT933" s="9" t="s">
        <v>812</v>
      </c>
      <c r="BU933" s="10">
        <v>186</v>
      </c>
      <c r="BV933" s="9" t="s">
        <v>158</v>
      </c>
      <c r="BW933" s="10">
        <v>186</v>
      </c>
      <c r="BX933" s="10">
        <v>187.2</v>
      </c>
      <c r="BY933" s="10">
        <v>0</v>
      </c>
      <c r="BZ933" s="10">
        <v>146</v>
      </c>
      <c r="CA933" s="10">
        <v>133</v>
      </c>
      <c r="CB933" s="10">
        <v>108</v>
      </c>
      <c r="CC933" s="10">
        <v>118</v>
      </c>
      <c r="CD933" s="10">
        <v>27.1</v>
      </c>
      <c r="CE933" s="10">
        <v>1741</v>
      </c>
      <c r="CF933" s="10">
        <v>1.25</v>
      </c>
      <c r="CG933" s="10">
        <v>2170</v>
      </c>
      <c r="CH933" s="10">
        <v>207</v>
      </c>
      <c r="CI933" s="10">
        <v>138</v>
      </c>
      <c r="CJ933" s="10">
        <v>52</v>
      </c>
      <c r="CK933" s="10">
        <v>1038</v>
      </c>
      <c r="CL933" s="10">
        <v>28</v>
      </c>
      <c r="CM933" s="10">
        <v>834</v>
      </c>
      <c r="CN933" s="10">
        <v>0.52800000000000002</v>
      </c>
      <c r="CO933" s="10">
        <v>205</v>
      </c>
      <c r="CP933" s="10">
        <v>210</v>
      </c>
      <c r="CQ933" s="10">
        <v>833</v>
      </c>
      <c r="CR933" s="10">
        <v>-6</v>
      </c>
      <c r="CS933" s="10">
        <v>10.199999999999999</v>
      </c>
      <c r="CT933" s="9" t="s">
        <v>169</v>
      </c>
      <c r="CU933" s="9" t="s">
        <v>185</v>
      </c>
      <c r="CV933" s="10"/>
      <c r="CW933" s="10"/>
      <c r="CX933" t="e">
        <f>INDEX('Data_Price '!AG$2:AG$1266,MATCH(Data!$DN933,'Data_Price '!$AT$2:$AT$1266,0))</f>
        <v>#N/A</v>
      </c>
      <c r="CY933" t="e">
        <f>INDEX('Data_Price '!AH$2:AH$1266,MATCH(Data!$DN933,'Data_Price '!$AT$2:$AT$1266,0))</f>
        <v>#N/A</v>
      </c>
      <c r="CZ933" t="e">
        <f>INDEX('Data_Price '!AI$2:AI$1266,MATCH(Data!$DN933,'Data_Price '!$AT$2:$AT$1266,0))</f>
        <v>#N/A</v>
      </c>
      <c r="DA933" t="e">
        <f>INDEX('Data_Price '!AJ$2:AJ$1266,MATCH(Data!$DN933,'Data_Price '!$AT$2:$AT$1266,0))</f>
        <v>#N/A</v>
      </c>
      <c r="DB933" t="e">
        <f>INDEX('Data_Price '!AK$2:AK$1266,MATCH(Data!$DN933,'Data_Price '!$AT$2:$AT$1266,0))</f>
        <v>#N/A</v>
      </c>
      <c r="DC933" t="e">
        <f>INDEX('Data_Price '!AL$2:AL$1266,MATCH(Data!$DN933,'Data_Price '!$AT$2:$AT$1266,0))</f>
        <v>#N/A</v>
      </c>
      <c r="DD933" t="e">
        <f>INDEX('Data_Price '!AM$2:AM$1266,MATCH(Data!$DN933,'Data_Price '!$AT$2:$AT$1266,0))</f>
        <v>#N/A</v>
      </c>
      <c r="DE933" t="e">
        <f>INDEX('Data_Price '!AN$2:AN$1266,MATCH(Data!$DN933,'Data_Price '!$AT$2:$AT$1266,0))</f>
        <v>#N/A</v>
      </c>
      <c r="DF933" t="e">
        <f>INDEX('Data_Price '!AO$2:AO$1266,MATCH(Data!$DN933,'Data_Price '!$AT$2:$AT$1266,0))</f>
        <v>#N/A</v>
      </c>
      <c r="DG933" t="e">
        <f>INDEX('Data_Price '!AP$2:AP$1266,MATCH(Data!$DN933,'Data_Price '!$AT$2:$AT$1266,0))</f>
        <v>#N/A</v>
      </c>
      <c r="DH933" t="e">
        <f>INDEX('Data_Price '!AQ$2:AQ$1266,MATCH(Data!$DN933,'Data_Price '!$AT$2:$AT$1266,0))</f>
        <v>#N/A</v>
      </c>
      <c r="DI933" t="e">
        <f>INDEX('Data_Price '!AR$2:AR$1266,MATCH(Data!$DN933,'Data_Price '!$AT$2:$AT$1266,0))</f>
        <v>#N/A</v>
      </c>
      <c r="DJ933" s="89" t="e">
        <f t="shared" si="550"/>
        <v>#N/A</v>
      </c>
      <c r="DK933" s="89" t="e">
        <f t="shared" si="551"/>
        <v>#N/A</v>
      </c>
      <c r="DL933" s="89" t="e">
        <f t="shared" si="552"/>
        <v>#N/A</v>
      </c>
      <c r="DM933" s="219" t="str">
        <f t="shared" si="553"/>
        <v>BMT109</v>
      </c>
      <c r="DN933" s="89" t="str">
        <f t="shared" si="554"/>
        <v xml:space="preserve"> VölklBMT109186 Unisex</v>
      </c>
      <c r="DO933" s="221"/>
    </row>
    <row r="934" spans="2:119" ht="15.6" customHeight="1">
      <c r="B934" s="219" t="b">
        <f t="array" ref="B934">IF(OR(ISERROR(K934:P934)),FALSE,TRUE)</f>
        <v>1</v>
      </c>
      <c r="C934" s="43" t="b">
        <f>OR(BR934=Driver!$G$50,Data!BR847=Driver!$H$50)</f>
        <v>1</v>
      </c>
      <c r="D934" s="43" t="b">
        <f>OR(BV934=Driver!$G$51,BV934=Driver!$H$51)</f>
        <v>0</v>
      </c>
      <c r="E934" s="43" t="b">
        <f>AND(BX934&gt;Driver!$F$54,BX934&lt;Driver!$G$54)</f>
        <v>0</v>
      </c>
      <c r="F934" s="43" t="b">
        <f>CL934&gt;Driver!$F$56</f>
        <v>1</v>
      </c>
      <c r="G934" s="43" t="b">
        <f>AND(CB934&gt;Driver!$F$55,CB934&lt;Driver!$G$55)</f>
        <v>1</v>
      </c>
      <c r="H934" s="43" t="b">
        <f t="shared" si="518"/>
        <v>0</v>
      </c>
      <c r="I934" s="43">
        <f t="shared" si="519"/>
        <v>0</v>
      </c>
      <c r="J934" s="43" t="b">
        <f t="array" ref="J934">NOT(OR(($H$9:$H$1273=TRUE)*($I$9:$I$1273&gt;0)*($BT$9:$BT$1273=BT934)*($K$9:$K$1273&gt;K934)))</f>
        <v>1</v>
      </c>
      <c r="K934" s="72">
        <f t="shared" si="520"/>
        <v>0.87131038745579148</v>
      </c>
      <c r="L934" s="72">
        <f t="shared" si="521"/>
        <v>0.91256811791091819</v>
      </c>
      <c r="M934" s="72">
        <f t="shared" si="522"/>
        <v>0.830052657000665</v>
      </c>
      <c r="N934" s="72">
        <f t="shared" si="523"/>
        <v>0.89027942879876909</v>
      </c>
      <c r="O934" s="72">
        <f t="shared" si="524"/>
        <v>0.71520906259703732</v>
      </c>
      <c r="P934" s="72">
        <f t="shared" si="525"/>
        <v>0.88466947960618847</v>
      </c>
      <c r="Q934" s="72"/>
      <c r="R934" s="72"/>
      <c r="S934" s="72">
        <f t="shared" si="526"/>
        <v>0.40848178980666161</v>
      </c>
      <c r="T934" s="72">
        <f t="shared" si="527"/>
        <v>0.44751944406488064</v>
      </c>
      <c r="U934" s="72">
        <f t="shared" si="528"/>
        <v>0.54793900448961241</v>
      </c>
      <c r="V934" s="72">
        <f t="shared" si="529"/>
        <v>0.6375509370707716</v>
      </c>
      <c r="W934" s="72">
        <f t="shared" si="530"/>
        <v>0.98863810741687974</v>
      </c>
      <c r="X934" s="72">
        <f t="shared" si="531"/>
        <v>8.7431882089081869E-2</v>
      </c>
      <c r="Y934" s="72">
        <f t="shared" si="532"/>
        <v>0.16994734299933503</v>
      </c>
      <c r="Z934" s="72">
        <f t="shared" si="533"/>
        <v>0.10972057120123087</v>
      </c>
      <c r="AA934" s="72">
        <f t="shared" si="534"/>
        <v>0.28479093740296274</v>
      </c>
      <c r="AB934" s="72">
        <f t="shared" si="535"/>
        <v>0.11533052039381153</v>
      </c>
      <c r="AC934" s="72"/>
      <c r="AD934" s="72"/>
      <c r="AE934" s="72">
        <f t="shared" si="536"/>
        <v>0.59151821019333839</v>
      </c>
      <c r="AF934" s="72">
        <f t="shared" si="537"/>
        <v>0.55248055593511936</v>
      </c>
      <c r="AG934" s="72">
        <f t="shared" si="538"/>
        <v>0.45206099551038759</v>
      </c>
      <c r="AH934" s="72">
        <f t="shared" si="539"/>
        <v>0.3624490629292284</v>
      </c>
      <c r="AI934" s="72">
        <f t="shared" si="540"/>
        <v>1.1361892583120231E-2</v>
      </c>
      <c r="AJ934" s="72">
        <f>(AV934-Driver!$K$179)/(Driver!$L$179-Driver!$K$179)</f>
        <v>0.16678752719361856</v>
      </c>
      <c r="AK934" s="72">
        <f>(AW934-Driver!$K$180)/(Driver!$L$180-Driver!$K$180)</f>
        <v>0.14250191090121195</v>
      </c>
      <c r="AL934" s="72">
        <f>(AX934-Driver!$K$181)/(Driver!$L$181-Driver!$K$181)</f>
        <v>0.21140833491431105</v>
      </c>
      <c r="AM934" s="72">
        <f>(AY934-Driver!$K$182)/(Driver!$L$182-Driver!$K$182)</f>
        <v>0.16259408369408362</v>
      </c>
      <c r="AN934" s="72">
        <f>(AZ934-Driver!$K$183)/(Driver!$L$183-Driver!$K$183)</f>
        <v>0.1388888888888889</v>
      </c>
      <c r="AO934" s="72"/>
      <c r="AP934" s="72"/>
      <c r="AQ934" s="72">
        <f>(BC934-Driver!$K$188)/(Driver!$L$188-Driver!$K$188)</f>
        <v>2.848178980666163E-2</v>
      </c>
      <c r="AR934" s="72">
        <f>MIN((BD934-Driver!$K$189)/(Driver!$L$189-Driver!$K$189),100%)</f>
        <v>-2.4805559351192916E-3</v>
      </c>
      <c r="AS934" s="72">
        <f>(BE934-Driver!$K$190)/(Driver!$L$190-Driver!$K$190)</f>
        <v>5.7939004489612395E-2</v>
      </c>
      <c r="AT934" s="72">
        <f>(BF934-Driver!$K$191)/(Driver!$L$191-Driver!$K$191)</f>
        <v>0.1475509370707716</v>
      </c>
      <c r="AU934" s="72">
        <f>(BG934-Driver!$K$192)/(Driver!$L$192-Driver!$K$192)</f>
        <v>0.23863810741687977</v>
      </c>
      <c r="AV934" s="70">
        <f t="shared" si="541"/>
        <v>3.5103785103785103</v>
      </c>
      <c r="AW934" s="70">
        <f t="shared" si="542"/>
        <v>15.759966534163873</v>
      </c>
      <c r="AX934" s="70">
        <f t="shared" si="543"/>
        <v>2.9026750142287994</v>
      </c>
      <c r="AY934" s="70">
        <f>IFERROR(Driver!$K$19/Data!BH934/Data!BI934*Data!BK934*Data!BL934,"")</f>
        <v>0.19906367183380785</v>
      </c>
      <c r="AZ934" s="70">
        <f t="shared" si="544"/>
        <v>12.658227848101266</v>
      </c>
      <c r="BA934" s="70"/>
      <c r="BB934" s="70"/>
      <c r="BC934" s="70">
        <f t="shared" si="545"/>
        <v>14.773702374905819</v>
      </c>
      <c r="BD934" s="70">
        <f t="shared" si="546"/>
        <v>1.5012980791247039</v>
      </c>
      <c r="BE934" s="70">
        <f t="shared" si="547"/>
        <v>5.8107057567863288E-2</v>
      </c>
      <c r="BF934" s="70">
        <f t="shared" si="548"/>
        <v>16.664841738143032</v>
      </c>
      <c r="BG934" s="70">
        <f t="shared" si="549"/>
        <v>0.90363610933503835</v>
      </c>
      <c r="BH934" s="67">
        <f>MAX((CE934-Driver!$F$200)/(Driver!$G$200-Driver!$F$200)*$BI$1,1)</f>
        <v>2.9026750142287994</v>
      </c>
      <c r="BI934" s="67">
        <f>MAX($BI$1*(BY934-Driver!$F$201)/(Driver!$G$201-Driver!$F$201),1)</f>
        <v>6.3291139240506329</v>
      </c>
      <c r="BJ934" s="67">
        <f>(CB934-Driver!$F$206)/(Driver!$G$206-Driver!$F$206)*$BI$1</f>
        <v>7.1428571428571432</v>
      </c>
      <c r="BK934" s="67">
        <f>(CD934-Driver!$F$203)/(Driver!$G$203-Driver!$F$203)*$BI$1</f>
        <v>3.1192660550458715</v>
      </c>
      <c r="BL934" s="67">
        <f>MAX((CR934-Driver!$F$202)/(Driver!$G$202-Driver!$F$202)*$BI$1,1)</f>
        <v>5.8620689655172411</v>
      </c>
      <c r="BM934" s="67">
        <f>MAX((CH934-Driver!$F$204)/(Driver!$G$204-Driver!$F$204)*$BI$1,1)</f>
        <v>1.9658119658119657</v>
      </c>
      <c r="BN934" s="67">
        <f>(CI934-Driver!$F$205)/(Driver!$G$205-Driver!$F$205)*$BI$1</f>
        <v>2</v>
      </c>
      <c r="BO934" s="67">
        <f>(CK934-Driver!$F$207)/(Driver!$G$207-Driver!$F$207)*$BI$1</f>
        <v>2.3991726990692861</v>
      </c>
      <c r="BP934" s="67">
        <f>(CM934-Driver!$F$208)/(Driver!$G$208-Driver!$F$208)*$BI$1</f>
        <v>3.0333333333333332</v>
      </c>
      <c r="BQ934" s="67">
        <f>(CL934-Driver!$F$209)/(Driver!$G$209-Driver!$F$209)*$BI$1</f>
        <v>5.15625</v>
      </c>
      <c r="BR934" s="28" t="s">
        <v>155</v>
      </c>
      <c r="BS934" s="8" t="s">
        <v>208</v>
      </c>
      <c r="BT934" s="9" t="s">
        <v>577</v>
      </c>
      <c r="BU934" s="10">
        <v>170</v>
      </c>
      <c r="BV934" s="9" t="s">
        <v>163</v>
      </c>
      <c r="BW934" s="10">
        <v>170</v>
      </c>
      <c r="BX934" s="10">
        <v>169.7</v>
      </c>
      <c r="BY934" s="10">
        <v>108</v>
      </c>
      <c r="BZ934" s="10">
        <v>137</v>
      </c>
      <c r="CA934" s="10">
        <v>143</v>
      </c>
      <c r="CB934" s="10">
        <v>109</v>
      </c>
      <c r="CC934" s="10">
        <v>129</v>
      </c>
      <c r="CD934" s="10">
        <v>16.2</v>
      </c>
      <c r="CE934" s="10">
        <v>1410</v>
      </c>
      <c r="CF934" s="10">
        <v>1.43</v>
      </c>
      <c r="CG934" s="10">
        <v>2019</v>
      </c>
      <c r="CH934" s="10">
        <v>147</v>
      </c>
      <c r="CI934" s="10">
        <v>67</v>
      </c>
      <c r="CJ934" s="10">
        <v>52</v>
      </c>
      <c r="CK934" s="10">
        <v>342</v>
      </c>
      <c r="CL934" s="10">
        <v>33</v>
      </c>
      <c r="CM934" s="10">
        <v>273</v>
      </c>
      <c r="CN934" s="10">
        <v>0.63</v>
      </c>
      <c r="CO934" s="10">
        <v>160</v>
      </c>
      <c r="CP934" s="10">
        <v>167</v>
      </c>
      <c r="CQ934" s="10">
        <v>181</v>
      </c>
      <c r="CR934" s="10">
        <v>6</v>
      </c>
      <c r="CS934" s="10">
        <v>6.4</v>
      </c>
      <c r="CT934" s="9" t="s">
        <v>169</v>
      </c>
      <c r="CU934" s="9" t="s">
        <v>185</v>
      </c>
      <c r="CV934" s="9" t="s">
        <v>198</v>
      </c>
      <c r="CW934" s="10"/>
      <c r="CX934" t="str">
        <f>INDEX('Data_Price '!AG$2:AG$1266,MATCH(Data!$DN934,'Data_Price '!$AT$2:$AT$1266,0))</f>
        <v>Line Pandora 110 Women's Ski 2022, 170</v>
      </c>
      <c r="CY934" t="str">
        <f>INDEX('Data_Price '!AH$2:AH$1266,MATCH(Data!$DN934,'Data_Price '!$AT$2:$AT$1266,0))</f>
        <v>Telemark Pyrenees</v>
      </c>
      <c r="CZ934">
        <f>INDEX('Data_Price '!AI$2:AI$1266,MATCH(Data!$DN934,'Data_Price '!$AT$2:$AT$1266,0))</f>
        <v>365.72</v>
      </c>
      <c r="DA934" t="str">
        <f>INDEX('Data_Price '!AJ$2:AJ$1266,MATCH(Data!$DN934,'Data_Price '!$AT$2:$AT$1266,0))</f>
        <v>https://tinyurl.com/y9g95bee</v>
      </c>
      <c r="DB934" t="str">
        <f>INDEX('Data_Price '!AK$2:AK$1266,MATCH(Data!$DN934,'Data_Price '!$AT$2:$AT$1266,0))</f>
        <v>Line 2021 Pandora 110 Skis W Marker Griffon Bindings</v>
      </c>
      <c r="DC934" t="str">
        <f>INDEX('Data_Price '!AL$2:AL$1266,MATCH(Data!$DN934,'Data_Price '!$AT$2:$AT$1266,0))</f>
        <v>The Locals Sale</v>
      </c>
      <c r="DD934">
        <f>INDEX('Data_Price '!AM$2:AM$1266,MATCH(Data!$DN934,'Data_Price '!$AT$2:$AT$1266,0))</f>
        <v>540</v>
      </c>
      <c r="DE934" t="str">
        <f>INDEX('Data_Price '!AN$2:AN$1266,MATCH(Data!$DN934,'Data_Price '!$AT$2:$AT$1266,0))</f>
        <v>https://tinyurl.com/y8hb6vra</v>
      </c>
      <c r="DF934" t="str">
        <f>INDEX('Data_Price '!AO$2:AO$1266,MATCH(Data!$DN934,'Data_Price '!$AT$2:$AT$1266,0))</f>
        <v>'22 Line Pandora 110 Skis 170cm</v>
      </c>
      <c r="DG934" t="str">
        <f>INDEX('Data_Price '!AP$2:AP$1266,MATCH(Data!$DN934,'Data_Price '!$AT$2:$AT$1266,0))</f>
        <v>Al's Ski Equipment Barn</v>
      </c>
      <c r="DH934">
        <f>INDEX('Data_Price '!AQ$2:AQ$1266,MATCH(Data!$DN934,'Data_Price '!$AT$2:$AT$1266,0))</f>
        <v>629.95000000000005</v>
      </c>
      <c r="DI934" t="str">
        <f>INDEX('Data_Price '!AR$2:AR$1266,MATCH(Data!$DN934,'Data_Price '!$AT$2:$AT$1266,0))</f>
        <v>https://tinyurl.com/ybollvgz</v>
      </c>
      <c r="DJ934" s="89" t="str">
        <f t="shared" si="550"/>
        <v>https://tinyurl.com/y9g95bee</v>
      </c>
      <c r="DK934" s="89" t="str">
        <f t="shared" si="551"/>
        <v>https://tinyurl.com/y8hb6vra</v>
      </c>
      <c r="DL934" s="89" t="str">
        <f t="shared" si="552"/>
        <v>https://tinyurl.com/ybollvgz</v>
      </c>
      <c r="DM934" s="219" t="str">
        <f t="shared" si="553"/>
        <v>Pandora 110</v>
      </c>
      <c r="DN934" s="89" t="str">
        <f t="shared" si="554"/>
        <v xml:space="preserve"> LinePandora 110170 Women's</v>
      </c>
      <c r="DO934" s="221" t="s">
        <v>578</v>
      </c>
    </row>
    <row r="935" spans="2:119" ht="15.6" customHeight="1">
      <c r="B935" s="219" t="b">
        <f t="array" ref="B935">IF(OR(ISERROR(K935:P935)),FALSE,TRUE)</f>
        <v>1</v>
      </c>
      <c r="C935" s="43" t="b">
        <f>OR(BR935=Driver!$G$50,Data!BR1003=Driver!$H$50)</f>
        <v>1</v>
      </c>
      <c r="D935" s="43" t="b">
        <f>OR(BV935=Driver!$G$51,BV935=Driver!$H$51)</f>
        <v>0</v>
      </c>
      <c r="E935" s="43" t="b">
        <f>AND(BX935&gt;Driver!$F$54,BX935&lt;Driver!$G$54)</f>
        <v>1</v>
      </c>
      <c r="F935" s="43" t="b">
        <f>CL935&gt;Driver!$F$56</f>
        <v>1</v>
      </c>
      <c r="G935" s="43" t="b">
        <f>AND(CB935&gt;Driver!$F$55,CB935&lt;Driver!$G$55)</f>
        <v>0</v>
      </c>
      <c r="H935" s="43" t="b">
        <f t="shared" si="518"/>
        <v>0</v>
      </c>
      <c r="I935" s="43">
        <f t="shared" si="519"/>
        <v>0</v>
      </c>
      <c r="J935" s="43" t="b">
        <f t="array" ref="J935">NOT(OR(($H$9:$H$1273=TRUE)*($I$9:$I$1273&gt;0)*($BT$9:$BT$1273=BT935)*($K$9:$K$1273&gt;K935)))</f>
        <v>1</v>
      </c>
      <c r="K935" s="72">
        <f t="shared" si="520"/>
        <v>0.7713814559740062</v>
      </c>
      <c r="L935" s="72">
        <f t="shared" si="521"/>
        <v>0.7981534857297885</v>
      </c>
      <c r="M935" s="72">
        <f t="shared" si="522"/>
        <v>0.7446094262182239</v>
      </c>
      <c r="N935" s="72">
        <f t="shared" si="523"/>
        <v>0.75494773968221951</v>
      </c>
      <c r="O935" s="72">
        <f t="shared" si="524"/>
        <v>0.61001988289567555</v>
      </c>
      <c r="P935" s="72">
        <f t="shared" si="525"/>
        <v>0.86886065607677665</v>
      </c>
      <c r="Q935" s="72"/>
      <c r="R935" s="72"/>
      <c r="S935" s="72">
        <f t="shared" si="526"/>
        <v>0.4027890960894368</v>
      </c>
      <c r="T935" s="72">
        <f t="shared" si="527"/>
        <v>0.68316844060264015</v>
      </c>
      <c r="U935" s="72">
        <f t="shared" si="528"/>
        <v>0.51</v>
      </c>
      <c r="V935" s="72">
        <f t="shared" si="529"/>
        <v>0.49320630609910243</v>
      </c>
      <c r="W935" s="72">
        <f t="shared" si="530"/>
        <v>0.77343232044198895</v>
      </c>
      <c r="X935" s="72">
        <f t="shared" si="531"/>
        <v>0.20184651427021152</v>
      </c>
      <c r="Y935" s="72">
        <f t="shared" si="532"/>
        <v>0.2553905737817761</v>
      </c>
      <c r="Z935" s="72">
        <f t="shared" si="533"/>
        <v>0.24505226031778049</v>
      </c>
      <c r="AA935" s="72">
        <f t="shared" si="534"/>
        <v>0.38998011710432451</v>
      </c>
      <c r="AB935" s="72">
        <f t="shared" si="535"/>
        <v>0.13113934392322332</v>
      </c>
      <c r="AC935" s="72"/>
      <c r="AD935" s="72"/>
      <c r="AE935" s="72">
        <f t="shared" si="536"/>
        <v>0.5972109039105632</v>
      </c>
      <c r="AF935" s="72">
        <f t="shared" si="537"/>
        <v>0.31683155939735985</v>
      </c>
      <c r="AG935" s="72">
        <f t="shared" si="538"/>
        <v>0.49</v>
      </c>
      <c r="AH935" s="72">
        <f t="shared" si="539"/>
        <v>0.50679369390089757</v>
      </c>
      <c r="AI935" s="72">
        <f t="shared" si="540"/>
        <v>0.22656767955801105</v>
      </c>
      <c r="AJ935" s="72">
        <f>(AV935-Driver!$K$179)/(Driver!$L$179-Driver!$K$179)</f>
        <v>5.2372895012488908E-2</v>
      </c>
      <c r="AK935" s="72">
        <f>(AW935-Driver!$K$180)/(Driver!$L$180-Driver!$K$180)</f>
        <v>0.13889421524537601</v>
      </c>
      <c r="AL935" s="72">
        <f>(AX935-Driver!$K$181)/(Driver!$L$181-Driver!$K$181)</f>
        <v>0.34674002403086068</v>
      </c>
      <c r="AM935" s="72">
        <f>(AY935-Driver!$K$182)/(Driver!$L$182-Driver!$K$182)</f>
        <v>5.740490399272187E-2</v>
      </c>
      <c r="AN935" s="72">
        <f>(AZ935-Driver!$K$183)/(Driver!$L$183-Driver!$K$183)</f>
        <v>0.1230800653594771</v>
      </c>
      <c r="AO935" s="72"/>
      <c r="AP935" s="72"/>
      <c r="AQ935" s="72">
        <f>(BC935-Driver!$K$188)/(Driver!$L$188-Driver!$K$188)</f>
        <v>2.2789096089436786E-2</v>
      </c>
      <c r="AR935" s="72">
        <f>MIN((BD935-Driver!$K$189)/(Driver!$L$189-Driver!$K$189),100%)</f>
        <v>0.23316844060264016</v>
      </c>
      <c r="AS935" s="72">
        <f>(BE935-Driver!$K$190)/(Driver!$L$190-Driver!$K$190)</f>
        <v>1</v>
      </c>
      <c r="AT935" s="72">
        <f>(BF935-Driver!$K$191)/(Driver!$L$191-Driver!$K$191)</f>
        <v>3.2063060991024675E-3</v>
      </c>
      <c r="AU935" s="72">
        <f>(BG935-Driver!$K$192)/(Driver!$L$192-Driver!$K$192)</f>
        <v>2.3432320441988952E-2</v>
      </c>
      <c r="AV935" s="70">
        <f t="shared" si="541"/>
        <v>1.1022927689594355</v>
      </c>
      <c r="AW935" s="70">
        <f t="shared" si="542"/>
        <v>15.408364625067154</v>
      </c>
      <c r="AX935" s="70">
        <f t="shared" si="543"/>
        <v>4.1206602162777459</v>
      </c>
      <c r="AY935" s="70">
        <f>IFERROR(Driver!$K$19/Data!BH935/Data!BI935*Data!BK935*Data!BL935,"")</f>
        <v>7.0280730457317614E-2</v>
      </c>
      <c r="AZ935" s="70">
        <f t="shared" si="544"/>
        <v>11.217423678332091</v>
      </c>
      <c r="BA935" s="70"/>
      <c r="BB935" s="70"/>
      <c r="BC935" s="70">
        <f t="shared" si="545"/>
        <v>11.820862568816619</v>
      </c>
      <c r="BD935" s="70">
        <f t="shared" si="546"/>
        <v>22.355816727402008</v>
      </c>
      <c r="BE935" s="70">
        <f t="shared" si="547"/>
        <v>1</v>
      </c>
      <c r="BF935" s="70">
        <f t="shared" si="548"/>
        <v>0.36212974831841882</v>
      </c>
      <c r="BG935" s="70">
        <f t="shared" si="549"/>
        <v>8.8729713397790066E-2</v>
      </c>
      <c r="BH935" s="67">
        <f>MAX((CE935-Driver!$F$200)/(Driver!$G$200-Driver!$F$200)*$BI$1,1)</f>
        <v>4.1206602162777459</v>
      </c>
      <c r="BI935" s="67">
        <f>MAX($BI$1*(BY935-Driver!$F$201)/(Driver!$G$201-Driver!$F$201),1)</f>
        <v>8.2911392405063289</v>
      </c>
      <c r="BJ935" s="67">
        <f>(CB935-Driver!$F$206)/(Driver!$G$206-Driver!$F$206)*$BI$1</f>
        <v>2.0634920634920633</v>
      </c>
      <c r="BK935" s="67">
        <f>(CD935-Driver!$F$203)/(Driver!$G$203-Driver!$F$203)*$BI$1</f>
        <v>1.5137614678899081</v>
      </c>
      <c r="BL935" s="67">
        <f>MAX((CR935-Driver!$F$202)/(Driver!$G$202-Driver!$F$202)*$BI$1,1)</f>
        <v>7.931034482758621</v>
      </c>
      <c r="BM935" s="67">
        <f>MAX((CH935-Driver!$F$204)/(Driver!$G$204-Driver!$F$204)*$BI$1,1)</f>
        <v>2.1367521367521367</v>
      </c>
      <c r="BN935" s="67">
        <f>(CI935-Driver!$F$205)/(Driver!$G$205-Driver!$F$205)*$BI$1</f>
        <v>1.3529411764705881</v>
      </c>
      <c r="BO935" s="67">
        <f>(CK935-Driver!$F$207)/(Driver!$G$207-Driver!$F$207)*$BI$1</f>
        <v>0.35160289555325747</v>
      </c>
      <c r="BP935" s="67">
        <f>(CM935-Driver!$F$208)/(Driver!$G$208-Driver!$F$208)*$BI$1</f>
        <v>0.75555555555555554</v>
      </c>
      <c r="BQ935" s="67">
        <f>(CL935-Driver!$F$209)/(Driver!$G$209-Driver!$F$209)*$BI$1</f>
        <v>0.78125</v>
      </c>
      <c r="BR935" s="28" t="s">
        <v>155</v>
      </c>
      <c r="BS935" s="8" t="s">
        <v>172</v>
      </c>
      <c r="BT935" s="9" t="s">
        <v>764</v>
      </c>
      <c r="BU935" s="10">
        <v>160</v>
      </c>
      <c r="BV935" s="9" t="s">
        <v>163</v>
      </c>
      <c r="BW935" s="10">
        <v>160</v>
      </c>
      <c r="BX935" s="10">
        <v>160.30000000000001</v>
      </c>
      <c r="BY935" s="10">
        <v>139</v>
      </c>
      <c r="BZ935" s="10">
        <v>145</v>
      </c>
      <c r="CA935" s="10">
        <v>124</v>
      </c>
      <c r="CB935" s="10">
        <v>77</v>
      </c>
      <c r="CC935" s="10">
        <v>110</v>
      </c>
      <c r="CD935" s="10">
        <v>12.7</v>
      </c>
      <c r="CE935" s="10">
        <v>1624</v>
      </c>
      <c r="CF935" s="10">
        <v>0.91</v>
      </c>
      <c r="CG935" s="10">
        <v>1471</v>
      </c>
      <c r="CH935" s="10">
        <v>151</v>
      </c>
      <c r="CI935" s="10">
        <v>56</v>
      </c>
      <c r="CJ935" s="10">
        <v>35</v>
      </c>
      <c r="CK935" s="10">
        <v>144</v>
      </c>
      <c r="CL935" s="10">
        <v>5</v>
      </c>
      <c r="CM935" s="10">
        <v>68</v>
      </c>
      <c r="CN935" s="10">
        <v>0.155</v>
      </c>
      <c r="CO935" s="10">
        <v>77</v>
      </c>
      <c r="CP935" s="10">
        <v>80</v>
      </c>
      <c r="CQ935" s="10">
        <v>66</v>
      </c>
      <c r="CR935" s="10">
        <v>12</v>
      </c>
      <c r="CS935" s="10">
        <v>8.1999999999999993</v>
      </c>
      <c r="CT935" s="9" t="s">
        <v>349</v>
      </c>
      <c r="CU935" s="10"/>
      <c r="CV935" s="10"/>
      <c r="CW935" s="10"/>
      <c r="CX935" t="str">
        <f>INDEX('Data_Price '!AG$2:AG$1266,MATCH(Data!$DN935,'Data_Price '!$AT$2:$AT$1266,0))</f>
        <v>Rossignol Women's All Mountain Skis Experience W 76 (xpress)</v>
      </c>
      <c r="CY935" t="str">
        <f>INDEX('Data_Price '!AH$2:AH$1266,MATCH(Data!$DN935,'Data_Price '!$AT$2:$AT$1266,0))</f>
        <v>Rossignol US</v>
      </c>
      <c r="CZ935">
        <f>INDEX('Data_Price '!AI$2:AI$1266,MATCH(Data!$DN935,'Data_Price '!$AT$2:$AT$1266,0))</f>
        <v>399.95</v>
      </c>
      <c r="DA935" t="str">
        <f>INDEX('Data_Price '!AJ$2:AJ$1266,MATCH(Data!$DN935,'Data_Price '!$AT$2:$AT$1266,0))</f>
        <v>https://tinyurl.com/ydfm73hy</v>
      </c>
      <c r="DB935" t="str">
        <f>INDEX('Data_Price '!AK$2:AK$1266,MATCH(Data!$DN935,'Data_Price '!$AT$2:$AT$1266,0))</f>
        <v>Rossignol Experience 76 Women's Skis w Rossignol Xpress 11 Demo Binding Bindings  Demo</v>
      </c>
      <c r="DC935" t="str">
        <f>INDEX('Data_Price '!AL$2:AL$1266,MATCH(Data!$DN935,'Data_Price '!$AT$2:$AT$1266,0))</f>
        <v>Powder7 Ski Shop</v>
      </c>
      <c r="DD935">
        <f>INDEX('Data_Price '!AM$2:AM$1266,MATCH(Data!$DN935,'Data_Price '!$AT$2:$AT$1266,0))</f>
        <v>419.99</v>
      </c>
      <c r="DE935" t="str">
        <f>INDEX('Data_Price '!AN$2:AN$1266,MATCH(Data!$DN935,'Data_Price '!$AT$2:$AT$1266,0))</f>
        <v>https://tinyurl.com/y74ffupe</v>
      </c>
      <c r="DF935" t="str">
        <f>INDEX('Data_Price '!AO$2:AO$1266,MATCH(Data!$DN935,'Data_Price '!$AT$2:$AT$1266,0))</f>
        <v>Rossignol Experience 76 Skis w/ Look Xpress 10 GW Bindings</v>
      </c>
      <c r="DG935" t="str">
        <f>INDEX('Data_Price '!AP$2:AP$1266,MATCH(Data!$DN935,'Data_Price '!$AT$2:$AT$1266,0))</f>
        <v>The-House.com</v>
      </c>
      <c r="DH935">
        <f>INDEX('Data_Price '!AQ$2:AQ$1266,MATCH(Data!$DN935,'Data_Price '!$AT$2:$AT$1266,0))</f>
        <v>319.95</v>
      </c>
      <c r="DI935" t="str">
        <f>INDEX('Data_Price '!AR$2:AR$1266,MATCH(Data!$DN935,'Data_Price '!$AT$2:$AT$1266,0))</f>
        <v>https://tinyurl.com/yapgl4s6</v>
      </c>
      <c r="DJ935" s="89" t="str">
        <f t="shared" si="550"/>
        <v>https://tinyurl.com/ydfm73hy</v>
      </c>
      <c r="DK935" s="89" t="str">
        <f t="shared" si="551"/>
        <v>https://tinyurl.com/y74ffupe</v>
      </c>
      <c r="DL935" s="89" t="str">
        <f t="shared" si="552"/>
        <v>https://tinyurl.com/yapgl4s6</v>
      </c>
      <c r="DM935" s="219" t="str">
        <f t="shared" si="553"/>
        <v>Experience 76 W</v>
      </c>
      <c r="DN935" s="89" t="str">
        <f t="shared" si="554"/>
        <v xml:space="preserve"> RossignolExperience 76 W160 Women's</v>
      </c>
      <c r="DO935" s="221"/>
    </row>
    <row r="936" spans="2:119" ht="15.6" customHeight="1">
      <c r="B936" s="219" t="b">
        <f t="array" ref="B936">IF(OR(ISERROR(K936:P936)),FALSE,TRUE)</f>
        <v>1</v>
      </c>
      <c r="C936" s="43" t="b">
        <f>OR(BR936=Driver!$G$50,Data!BR148=Driver!$H$50)</f>
        <v>1</v>
      </c>
      <c r="D936" s="43" t="b">
        <f>OR(BV936=Driver!$G$51,BV936=Driver!$H$51)</f>
        <v>0</v>
      </c>
      <c r="E936" s="43" t="b">
        <f>AND(BX936&gt;Driver!$F$54,BX936&lt;Driver!$G$54)</f>
        <v>0</v>
      </c>
      <c r="F936" s="43" t="b">
        <f>CL936&gt;Driver!$F$56</f>
        <v>1</v>
      </c>
      <c r="G936" s="43" t="b">
        <f>AND(CB936&gt;Driver!$F$55,CB936&lt;Driver!$G$55)</f>
        <v>0</v>
      </c>
      <c r="H936" s="43" t="b">
        <f t="shared" si="518"/>
        <v>0</v>
      </c>
      <c r="I936" s="43">
        <f t="shared" si="519"/>
        <v>0</v>
      </c>
      <c r="J936" s="43" t="b">
        <f t="array" ref="J936">NOT(OR(($H$9:$H$1273=TRUE)*($I$9:$I$1273&gt;0)*($BT$9:$BT$1273=BT936)*($K$9:$K$1273&gt;K936)))</f>
        <v>1</v>
      </c>
      <c r="K936" s="72">
        <f t="shared" si="520"/>
        <v>0.85572271549639245</v>
      </c>
      <c r="L936" s="72">
        <f t="shared" si="521"/>
        <v>0.86760800188481224</v>
      </c>
      <c r="M936" s="72">
        <f t="shared" si="522"/>
        <v>0.84383742910797255</v>
      </c>
      <c r="N936" s="72">
        <f t="shared" si="523"/>
        <v>0.97249026798171989</v>
      </c>
      <c r="O936" s="72">
        <f t="shared" si="524"/>
        <v>0.67108456587980014</v>
      </c>
      <c r="P936" s="72">
        <f t="shared" si="525"/>
        <v>0.88793745346239761</v>
      </c>
      <c r="Q936" s="72"/>
      <c r="R936" s="72"/>
      <c r="S936" s="72">
        <f t="shared" si="526"/>
        <v>0.40635752281849336</v>
      </c>
      <c r="T936" s="72">
        <f t="shared" si="527"/>
        <v>0.4830442132758298</v>
      </c>
      <c r="U936" s="72">
        <f t="shared" si="528"/>
        <v>0.74463611793542361</v>
      </c>
      <c r="V936" s="72">
        <f t="shared" si="529"/>
        <v>0.55998134299820046</v>
      </c>
      <c r="W936" s="72">
        <f t="shared" si="530"/>
        <v>0.83680921052631585</v>
      </c>
      <c r="X936" s="72">
        <f t="shared" si="531"/>
        <v>0.13239199811518776</v>
      </c>
      <c r="Y936" s="72">
        <f t="shared" si="532"/>
        <v>0.15616257089202748</v>
      </c>
      <c r="Z936" s="72">
        <f t="shared" si="533"/>
        <v>2.7509732018280095E-2</v>
      </c>
      <c r="AA936" s="72">
        <f t="shared" si="534"/>
        <v>0.32891543412019991</v>
      </c>
      <c r="AB936" s="72">
        <f t="shared" si="535"/>
        <v>0.11206254653760239</v>
      </c>
      <c r="AC936" s="72"/>
      <c r="AD936" s="72"/>
      <c r="AE936" s="72">
        <f t="shared" si="536"/>
        <v>0.59364247718150664</v>
      </c>
      <c r="AF936" s="72">
        <f t="shared" si="537"/>
        <v>0.5169557867241702</v>
      </c>
      <c r="AG936" s="72">
        <f t="shared" si="538"/>
        <v>0.25536388206457639</v>
      </c>
      <c r="AH936" s="72">
        <f t="shared" si="539"/>
        <v>0.44001865700179954</v>
      </c>
      <c r="AI936" s="72">
        <f t="shared" si="540"/>
        <v>0.16319078947368421</v>
      </c>
      <c r="AJ936" s="72">
        <f>(AV936-Driver!$K$179)/(Driver!$L$179-Driver!$K$179)</f>
        <v>0.12182741116751267</v>
      </c>
      <c r="AK936" s="72">
        <f>(AW936-Driver!$K$180)/(Driver!$L$180-Driver!$K$180)</f>
        <v>0.13741177910334482</v>
      </c>
      <c r="AL936" s="72">
        <f>(AX936-Driver!$K$181)/(Driver!$L$181-Driver!$K$181)</f>
        <v>0.12919749573136027</v>
      </c>
      <c r="AM936" s="72">
        <f>(AY936-Driver!$K$182)/(Driver!$L$182-Driver!$K$182)</f>
        <v>0.11846958697684647</v>
      </c>
      <c r="AN936" s="72">
        <f>(AZ936-Driver!$K$183)/(Driver!$L$183-Driver!$K$183)</f>
        <v>0.14215686274509803</v>
      </c>
      <c r="AO936" s="72"/>
      <c r="AP936" s="72"/>
      <c r="AQ936" s="72">
        <f>(BC936-Driver!$K$188)/(Driver!$L$188-Driver!$K$188)</f>
        <v>2.6357522818493389E-2</v>
      </c>
      <c r="AR936" s="72">
        <f>MIN((BD936-Driver!$K$189)/(Driver!$L$189-Driver!$K$189),100%)</f>
        <v>3.3044213275829806E-2</v>
      </c>
      <c r="AS936" s="72">
        <f>(BE936-Driver!$K$190)/(Driver!$L$190-Driver!$K$190)</f>
        <v>0.25463611793542362</v>
      </c>
      <c r="AT936" s="72">
        <f>(BF936-Driver!$K$191)/(Driver!$L$191-Driver!$K$191)</f>
        <v>6.9981342998200455E-2</v>
      </c>
      <c r="AU936" s="72">
        <f>(BG936-Driver!$K$192)/(Driver!$L$192-Driver!$K$192)</f>
        <v>8.680921052631578E-2</v>
      </c>
      <c r="AV936" s="70">
        <f t="shared" si="541"/>
        <v>2.5641025641025639</v>
      </c>
      <c r="AW936" s="70">
        <f t="shared" si="542"/>
        <v>15.26388808730572</v>
      </c>
      <c r="AX936" s="70">
        <f t="shared" si="543"/>
        <v>2.1627774615822424</v>
      </c>
      <c r="AY936" s="70">
        <f>IFERROR(Driver!$K$19/Data!BH936/Data!BI936*Data!BK936*Data!BL936,"")</f>
        <v>0.14504212237277023</v>
      </c>
      <c r="AZ936" s="70">
        <f t="shared" si="544"/>
        <v>12.956068503350707</v>
      </c>
      <c r="BA936" s="70"/>
      <c r="BB936" s="70"/>
      <c r="BC936" s="70">
        <f t="shared" si="545"/>
        <v>13.671830320478435</v>
      </c>
      <c r="BD936" s="70">
        <f t="shared" si="546"/>
        <v>4.6451772081273779</v>
      </c>
      <c r="BE936" s="70">
        <f t="shared" si="547"/>
        <v>0.25476908246255608</v>
      </c>
      <c r="BF936" s="70">
        <f t="shared" si="548"/>
        <v>7.9039010448869114</v>
      </c>
      <c r="BG936" s="70">
        <f t="shared" si="549"/>
        <v>0.32871504934210527</v>
      </c>
      <c r="BH936" s="67">
        <f>MAX((CE936-Driver!$F$200)/(Driver!$G$200-Driver!$F$200)*$BI$1,1)</f>
        <v>2.1627774615822424</v>
      </c>
      <c r="BI936" s="67">
        <f>MAX($BI$1*(BY936-Driver!$F$201)/(Driver!$G$201-Driver!$F$201),1)</f>
        <v>5.5063291139240507</v>
      </c>
      <c r="BJ936" s="67">
        <f>(CB936-Driver!$F$206)/(Driver!$G$206-Driver!$F$206)*$BI$1</f>
        <v>3.333333333333333</v>
      </c>
      <c r="BK936" s="67">
        <f>(CD936-Driver!$F$203)/(Driver!$G$203-Driver!$F$203)*$BI$1</f>
        <v>1.9266055045871557</v>
      </c>
      <c r="BL936" s="67">
        <f>MAX((CR936-Driver!$F$202)/(Driver!$G$202-Driver!$F$202)*$BI$1,1)</f>
        <v>4.4827586206896548</v>
      </c>
      <c r="BM936" s="67">
        <f>MAX((CH936-Driver!$F$204)/(Driver!$G$204-Driver!$F$204)*$BI$1,1)</f>
        <v>3.0769230769230771</v>
      </c>
      <c r="BN936" s="67">
        <f>(CI936-Driver!$F$205)/(Driver!$G$205-Driver!$F$205)*$BI$1</f>
        <v>2.3529411764705883</v>
      </c>
      <c r="BO936" s="67">
        <f>(CK936-Driver!$F$207)/(Driver!$G$207-Driver!$F$207)*$BI$1</f>
        <v>1.9958634953464323</v>
      </c>
      <c r="BP936" s="67">
        <f>(CM936-Driver!$F$208)/(Driver!$G$208-Driver!$F$208)*$BI$1</f>
        <v>2.2888888888888888</v>
      </c>
      <c r="BQ936" s="67">
        <f>(CL936-Driver!$F$209)/(Driver!$G$209-Driver!$F$209)*$BI$1</f>
        <v>2.1875</v>
      </c>
      <c r="BR936" s="28" t="s">
        <v>155</v>
      </c>
      <c r="BS936" s="8" t="s">
        <v>156</v>
      </c>
      <c r="BT936" s="9" t="s">
        <v>703</v>
      </c>
      <c r="BU936" s="10">
        <v>147</v>
      </c>
      <c r="BV936" s="9" t="s">
        <v>163</v>
      </c>
      <c r="BW936" s="10">
        <v>147</v>
      </c>
      <c r="BX936" s="10">
        <v>146</v>
      </c>
      <c r="BY936" s="10">
        <v>95</v>
      </c>
      <c r="BZ936" s="10">
        <v>121</v>
      </c>
      <c r="CA936" s="10">
        <v>118</v>
      </c>
      <c r="CB936" s="10">
        <v>85</v>
      </c>
      <c r="CC936" s="10">
        <v>101</v>
      </c>
      <c r="CD936" s="10">
        <v>13.6</v>
      </c>
      <c r="CE936" s="10">
        <v>1280</v>
      </c>
      <c r="CF936" s="10">
        <v>1.0900000000000001</v>
      </c>
      <c r="CG936" s="10">
        <v>1391</v>
      </c>
      <c r="CH936" s="10">
        <v>173</v>
      </c>
      <c r="CI936" s="10">
        <v>73</v>
      </c>
      <c r="CJ936" s="10">
        <v>52</v>
      </c>
      <c r="CK936" s="10">
        <v>303</v>
      </c>
      <c r="CL936" s="10">
        <v>14</v>
      </c>
      <c r="CM936" s="10">
        <v>206</v>
      </c>
      <c r="CN936" s="10">
        <v>0.27300000000000002</v>
      </c>
      <c r="CO936" s="10">
        <v>158</v>
      </c>
      <c r="CP936" s="10">
        <v>94</v>
      </c>
      <c r="CQ936" s="10">
        <v>144</v>
      </c>
      <c r="CR936" s="10">
        <v>2</v>
      </c>
      <c r="CS936" s="10">
        <v>8.3000000000000007</v>
      </c>
      <c r="CT936" s="9" t="s">
        <v>231</v>
      </c>
      <c r="CU936" s="9" t="s">
        <v>188</v>
      </c>
      <c r="CV936" s="9" t="s">
        <v>185</v>
      </c>
      <c r="CW936" s="10"/>
      <c r="CX936" t="str">
        <f>INDEX('Data_Price '!AG$2:AG$1266,MATCH(Data!$DN936,'Data_Price '!$AT$2:$AT$1266,0))</f>
        <v>Atomic Maven 86 Skis</v>
      </c>
      <c r="CY936" t="str">
        <f>INDEX('Data_Price '!AH$2:AH$1266,MATCH(Data!$DN936,'Data_Price '!$AT$2:$AT$1266,0))</f>
        <v>Curated</v>
      </c>
      <c r="CZ936">
        <f>INDEX('Data_Price '!AI$2:AI$1266,MATCH(Data!$DN936,'Data_Price '!$AT$2:$AT$1266,0))</f>
        <v>319.99</v>
      </c>
      <c r="DA936" t="str">
        <f>INDEX('Data_Price '!AJ$2:AJ$1266,MATCH(Data!$DN936,'Data_Price '!$AT$2:$AT$1266,0))</f>
        <v>https://tinyurl.com/yctywmzs</v>
      </c>
      <c r="DB936" t="str">
        <f>INDEX('Data_Price '!AK$2:AK$1266,MATCH(Data!$DN936,'Data_Price '!$AT$2:$AT$1266,0))</f>
        <v>Atomic Maven 86 Skis 2022 - - 147 cm</v>
      </c>
      <c r="DC936" t="str">
        <f>INDEX('Data_Price '!AL$2:AL$1266,MATCH(Data!$DN936,'Data_Price '!$AT$2:$AT$1266,0))</f>
        <v>Skirack</v>
      </c>
      <c r="DD936">
        <f>INDEX('Data_Price '!AM$2:AM$1266,MATCH(Data!$DN936,'Data_Price '!$AT$2:$AT$1266,0))</f>
        <v>319.99</v>
      </c>
      <c r="DE936" t="str">
        <f>INDEX('Data_Price '!AN$2:AN$1266,MATCH(Data!$DN936,'Data_Price '!$AT$2:$AT$1266,0))</f>
        <v>https://tinyurl.com/y7rt8lku</v>
      </c>
      <c r="DF936" t="str">
        <f>INDEX('Data_Price '!AO$2:AO$1266,MATCH(Data!$DN936,'Data_Price '!$AT$2:$AT$1266,0))</f>
        <v>Atomic Maven 86 Berry / 147cm</v>
      </c>
      <c r="DG936" t="str">
        <f>INDEX('Data_Price '!AP$2:AP$1266,MATCH(Data!$DN936,'Data_Price '!$AT$2:$AT$1266,0))</f>
        <v>Sundance Ski and Board Shop</v>
      </c>
      <c r="DH936">
        <f>INDEX('Data_Price '!AQ$2:AQ$1266,MATCH(Data!$DN936,'Data_Price '!$AT$2:$AT$1266,0))</f>
        <v>320.57</v>
      </c>
      <c r="DI936" t="str">
        <f>INDEX('Data_Price '!AR$2:AR$1266,MATCH(Data!$DN936,'Data_Price '!$AT$2:$AT$1266,0))</f>
        <v>https://tinyurl.com/y9datom3</v>
      </c>
      <c r="DJ936" s="89" t="str">
        <f t="shared" si="550"/>
        <v>https://tinyurl.com/yctywmzs</v>
      </c>
      <c r="DK936" s="89" t="str">
        <f t="shared" si="551"/>
        <v>https://tinyurl.com/y7rt8lku</v>
      </c>
      <c r="DL936" s="89" t="str">
        <f t="shared" si="552"/>
        <v>https://tinyurl.com/y9datom3</v>
      </c>
      <c r="DM936" s="219" t="str">
        <f t="shared" si="553"/>
        <v>Maven 86</v>
      </c>
      <c r="DN936" s="89" t="str">
        <f t="shared" si="554"/>
        <v xml:space="preserve"> AtomicMaven 86147 Women's</v>
      </c>
      <c r="DO936" s="221" t="s">
        <v>648</v>
      </c>
    </row>
    <row r="937" spans="2:119" ht="15.6" customHeight="1">
      <c r="B937" s="219" t="b">
        <f t="array" ref="B937">IF(OR(ISERROR(K937:P937)),FALSE,TRUE)</f>
        <v>1</v>
      </c>
      <c r="C937" s="43" t="b">
        <f>OR(BR937=Driver!$G$50,Data!BR652=Driver!$H$50)</f>
        <v>1</v>
      </c>
      <c r="D937" s="43" t="b">
        <f>OR(BV937=Driver!$G$51,BV937=Driver!$H$51)</f>
        <v>1</v>
      </c>
      <c r="E937" s="43" t="b">
        <f>AND(BX937&gt;Driver!$F$54,BX937&lt;Driver!$G$54)</f>
        <v>1</v>
      </c>
      <c r="F937" s="43" t="b">
        <f>CL937&gt;Driver!$F$56</f>
        <v>1</v>
      </c>
      <c r="G937" s="43" t="b">
        <f>AND(CB937&gt;Driver!$F$55,CB937&lt;Driver!$G$55)</f>
        <v>0</v>
      </c>
      <c r="H937" s="43" t="b">
        <f t="shared" si="518"/>
        <v>0</v>
      </c>
      <c r="I937" s="43">
        <f t="shared" si="519"/>
        <v>0</v>
      </c>
      <c r="J937" s="43" t="b">
        <f t="array" ref="J937">NOT(OR(($H$9:$H$1273=TRUE)*($I$9:$I$1273&gt;0)*($BT$9:$BT$1273=BT937)*($K$9:$K$1273&gt;K937)))</f>
        <v>1</v>
      </c>
      <c r="K937" s="72">
        <f t="shared" si="520"/>
        <v>0.81408286737223801</v>
      </c>
      <c r="L937" s="72">
        <f t="shared" si="521"/>
        <v>0.91659680214264805</v>
      </c>
      <c r="M937" s="72">
        <f t="shared" si="522"/>
        <v>0.71156893260182807</v>
      </c>
      <c r="N937" s="72">
        <f t="shared" si="523"/>
        <v>0.6885466772652209</v>
      </c>
      <c r="O937" s="72">
        <f t="shared" si="524"/>
        <v>0.59253639256806179</v>
      </c>
      <c r="P937" s="72">
        <f t="shared" si="525"/>
        <v>0.85362372797220154</v>
      </c>
      <c r="Q937" s="72"/>
      <c r="R937" s="72"/>
      <c r="S937" s="72">
        <f t="shared" si="526"/>
        <v>0.39414726964272073</v>
      </c>
      <c r="T937" s="72">
        <f t="shared" si="527"/>
        <v>0.84467751798465551</v>
      </c>
      <c r="U937" s="72">
        <f t="shared" si="528"/>
        <v>0.51</v>
      </c>
      <c r="V937" s="72">
        <f t="shared" si="529"/>
        <v>0.4971475556005801</v>
      </c>
      <c r="W937" s="72">
        <f t="shared" si="530"/>
        <v>0.76737544666226642</v>
      </c>
      <c r="X937" s="72">
        <f t="shared" si="531"/>
        <v>8.3403197857351979E-2</v>
      </c>
      <c r="Y937" s="72">
        <f t="shared" si="532"/>
        <v>0.28843106739817193</v>
      </c>
      <c r="Z937" s="72">
        <f t="shared" si="533"/>
        <v>0.31145332273477916</v>
      </c>
      <c r="AA937" s="72">
        <f t="shared" si="534"/>
        <v>0.40746360743193821</v>
      </c>
      <c r="AB937" s="72">
        <f t="shared" si="535"/>
        <v>0.14637627202779846</v>
      </c>
      <c r="AC937" s="72"/>
      <c r="AD937" s="72"/>
      <c r="AE937" s="72">
        <f t="shared" si="536"/>
        <v>0.60585273035727927</v>
      </c>
      <c r="AF937" s="72">
        <f t="shared" si="537"/>
        <v>0.15532248201534449</v>
      </c>
      <c r="AG937" s="72">
        <f t="shared" si="538"/>
        <v>0.49</v>
      </c>
      <c r="AH937" s="72">
        <f t="shared" si="539"/>
        <v>0.5028524443994199</v>
      </c>
      <c r="AI937" s="72">
        <f t="shared" si="540"/>
        <v>0.23262455333773358</v>
      </c>
      <c r="AJ937" s="72">
        <f>(AV937-Driver!$K$179)/(Driver!$L$179-Driver!$K$179)</f>
        <v>0.17081621142534845</v>
      </c>
      <c r="AK937" s="72">
        <f>(AW937-Driver!$K$180)/(Driver!$L$180-Driver!$K$180)</f>
        <v>0.13055759511085069</v>
      </c>
      <c r="AL937" s="72">
        <f>(AX937-Driver!$K$181)/(Driver!$L$181-Driver!$K$181)</f>
        <v>0.41314108644785935</v>
      </c>
      <c r="AM937" s="72">
        <f>(AY937-Driver!$K$182)/(Driver!$L$182-Driver!$K$182)</f>
        <v>3.9921413665108152E-2</v>
      </c>
      <c r="AN937" s="72">
        <f>(AZ937-Driver!$K$183)/(Driver!$L$183-Driver!$K$183)</f>
        <v>0.10784313725490197</v>
      </c>
      <c r="AO937" s="72"/>
      <c r="AP937" s="72"/>
      <c r="AQ937" s="72">
        <f>(BC937-Driver!$K$188)/(Driver!$L$188-Driver!$K$188)</f>
        <v>1.4147269642720688E-2</v>
      </c>
      <c r="AR937" s="72">
        <f>MIN((BD937-Driver!$K$189)/(Driver!$L$189-Driver!$K$189),100%)</f>
        <v>0.39467751798465556</v>
      </c>
      <c r="AS937" s="72">
        <f>(BE937-Driver!$K$190)/(Driver!$L$190-Driver!$K$190)</f>
        <v>1</v>
      </c>
      <c r="AT937" s="72">
        <f>(BF937-Driver!$K$191)/(Driver!$L$191-Driver!$K$191)</f>
        <v>7.1475556005801341E-3</v>
      </c>
      <c r="AU937" s="72">
        <f>(BG937-Driver!$K$192)/(Driver!$L$192-Driver!$K$192)</f>
        <v>1.7375446662266425E-2</v>
      </c>
      <c r="AV937" s="70">
        <f t="shared" si="541"/>
        <v>3.5951702618369281</v>
      </c>
      <c r="AW937" s="70">
        <f t="shared" si="542"/>
        <v>14.595887122988593</v>
      </c>
      <c r="AX937" s="70">
        <f t="shared" si="543"/>
        <v>4.7182697780307343</v>
      </c>
      <c r="AY937" s="70">
        <f>IFERROR(Driver!$K$19/Data!BH937/Data!BI937*Data!BK937*Data!BL937,"")</f>
        <v>4.8875721726287805E-2</v>
      </c>
      <c r="AZ937" s="70">
        <f t="shared" si="544"/>
        <v>9.8287416232315721</v>
      </c>
      <c r="BA937" s="70"/>
      <c r="BB937" s="70"/>
      <c r="BC937" s="70">
        <f t="shared" si="545"/>
        <v>7.3382871139021839</v>
      </c>
      <c r="BD937" s="70">
        <f t="shared" si="546"/>
        <v>36.64908389855924</v>
      </c>
      <c r="BE937" s="70">
        <f t="shared" si="547"/>
        <v>1</v>
      </c>
      <c r="BF937" s="70">
        <f t="shared" si="548"/>
        <v>0.80726619066549399</v>
      </c>
      <c r="BG937" s="70">
        <f t="shared" si="549"/>
        <v>6.579452540000455E-2</v>
      </c>
      <c r="BH937" s="67">
        <f>MAX((CE937-Driver!$F$200)/(Driver!$G$200-Driver!$F$200)*$BI$1,1)</f>
        <v>4.7182697780307343</v>
      </c>
      <c r="BI937" s="67">
        <f>MAX($BI$1*(BY937-Driver!$F$201)/(Driver!$G$201-Driver!$F$201),1)</f>
        <v>8.3544303797468356</v>
      </c>
      <c r="BJ937" s="67">
        <f>(CB937-Driver!$F$206)/(Driver!$G$206-Driver!$F$206)*$BI$1</f>
        <v>3.1746031746031744</v>
      </c>
      <c r="BK937" s="67">
        <f>(CD937-Driver!$F$203)/(Driver!$G$203-Driver!$F$203)*$BI$1</f>
        <v>1.3302752293577984</v>
      </c>
      <c r="BL937" s="67">
        <f>MAX((CR937-Driver!$F$202)/(Driver!$G$202-Driver!$F$202)*$BI$1,1)</f>
        <v>7.2413793103448274</v>
      </c>
      <c r="BM937" s="67">
        <f>MAX((CH937-Driver!$F$204)/(Driver!$G$204-Driver!$F$204)*$BI$1,1)</f>
        <v>4.5299145299145298</v>
      </c>
      <c r="BN937" s="67">
        <f>(CI937-Driver!$F$205)/(Driver!$G$205-Driver!$F$205)*$BI$1</f>
        <v>1.1764705882352942</v>
      </c>
      <c r="BO937" s="67">
        <f>(CK937-Driver!$F$207)/(Driver!$G$207-Driver!$F$207)*$BI$1</f>
        <v>0.47569803516028958</v>
      </c>
      <c r="BP937" s="67">
        <f>(CM937-Driver!$F$208)/(Driver!$G$208-Driver!$F$208)*$BI$1</f>
        <v>0.71111111111111114</v>
      </c>
      <c r="BQ937" s="67">
        <f>(CL937-Driver!$F$209)/(Driver!$G$209-Driver!$F$209)*$BI$1</f>
        <v>1.40625</v>
      </c>
      <c r="BR937" s="28" t="s">
        <v>155</v>
      </c>
      <c r="BS937" s="8" t="s">
        <v>167</v>
      </c>
      <c r="BT937" s="9" t="s">
        <v>734</v>
      </c>
      <c r="BU937" s="10">
        <v>163</v>
      </c>
      <c r="BV937" s="9" t="s">
        <v>158</v>
      </c>
      <c r="BW937" s="10">
        <v>163</v>
      </c>
      <c r="BX937" s="10">
        <v>162.4</v>
      </c>
      <c r="BY937" s="10">
        <v>140</v>
      </c>
      <c r="BZ937" s="10">
        <v>148</v>
      </c>
      <c r="CA937" s="10">
        <v>138</v>
      </c>
      <c r="CB937" s="10">
        <v>84</v>
      </c>
      <c r="CC937" s="10">
        <v>120</v>
      </c>
      <c r="CD937" s="10">
        <v>12.3</v>
      </c>
      <c r="CE937" s="10">
        <v>1729</v>
      </c>
      <c r="CF937" s="10">
        <v>0.94</v>
      </c>
      <c r="CG937" s="10">
        <v>1630</v>
      </c>
      <c r="CH937" s="10">
        <v>207</v>
      </c>
      <c r="CI937" s="10">
        <v>53</v>
      </c>
      <c r="CJ937" s="10">
        <v>42</v>
      </c>
      <c r="CK937" s="10">
        <v>156</v>
      </c>
      <c r="CL937" s="10">
        <v>9</v>
      </c>
      <c r="CM937" s="10">
        <v>64</v>
      </c>
      <c r="CN937" s="10">
        <v>0.22</v>
      </c>
      <c r="CO937" s="10">
        <v>87</v>
      </c>
      <c r="CP937" s="10">
        <v>54</v>
      </c>
      <c r="CQ937" s="10">
        <v>69</v>
      </c>
      <c r="CR937" s="10">
        <v>10</v>
      </c>
      <c r="CS937" s="10">
        <v>12.1</v>
      </c>
      <c r="CT937" s="9" t="s">
        <v>349</v>
      </c>
      <c r="CU937" s="9" t="s">
        <v>188</v>
      </c>
      <c r="CV937" s="10"/>
      <c r="CW937" s="10"/>
      <c r="CX937" t="str">
        <f>INDEX('Data_Price '!AG$2:AG$1266,MATCH(Data!$DN937,'Data_Price '!$AT$2:$AT$1266,0))</f>
        <v>Head 2020 V-Shape V10 Skis w/PRD 12 GW Bindings</v>
      </c>
      <c r="CY937" t="str">
        <f>INDEX('Data_Price '!AH$2:AH$1266,MATCH(Data!$DN937,'Data_Price '!$AT$2:$AT$1266,0))</f>
        <v>Ridgeline Bike &amp; Ski</v>
      </c>
      <c r="CZ937">
        <f>INDEX('Data_Price '!AI$2:AI$1266,MATCH(Data!$DN937,'Data_Price '!$AT$2:$AT$1266,0))</f>
        <v>799</v>
      </c>
      <c r="DA937" t="str">
        <f>INDEX('Data_Price '!AJ$2:AJ$1266,MATCH(Data!$DN937,'Data_Price '!$AT$2:$AT$1266,0))</f>
        <v>https://tinyurl.com/ya3ymrlq</v>
      </c>
      <c r="DB937" t="str">
        <f>INDEX('Data_Price '!AK$2:AK$1266,MATCH(Data!$DN937,'Data_Price '!$AT$2:$AT$1266,0))</f>
        <v>Head V-Shape V10 + PR 11 GW 21/22</v>
      </c>
      <c r="DC937" t="str">
        <f>INDEX('Data_Price '!AL$2:AL$1266,MATCH(Data!$DN937,'Data_Price '!$AT$2:$AT$1266,0))</f>
        <v>Peter Glenn Ski &amp; Sports</v>
      </c>
      <c r="DD937">
        <f>INDEX('Data_Price '!AM$2:AM$1266,MATCH(Data!$DN937,'Data_Price '!$AT$2:$AT$1266,0))</f>
        <v>799.99</v>
      </c>
      <c r="DE937" t="str">
        <f>INDEX('Data_Price '!AN$2:AN$1266,MATCH(Data!$DN937,'Data_Price '!$AT$2:$AT$1266,0))</f>
        <v>https://tinyurl.com/y7qjr3df</v>
      </c>
      <c r="DF937" t="str">
        <f>INDEX('Data_Price '!AO$2:AO$1266,MATCH(Data!$DN937,'Data_Price '!$AT$2:$AT$1266,0))</f>
        <v>Head V-Shape V6 Unisex Skiing Ski Black / Red 163 cm</v>
      </c>
      <c r="DG937" t="str">
        <f>INDEX('Data_Price '!AP$2:AP$1266,MATCH(Data!$DN937,'Data_Price '!$AT$2:$AT$1266,0))</f>
        <v>Mike Sport</v>
      </c>
      <c r="DH937">
        <f>INDEX('Data_Price '!AQ$2:AQ$1266,MATCH(Data!$DN937,'Data_Price '!$AT$2:$AT$1266,0))</f>
        <v>353</v>
      </c>
      <c r="DI937" t="str">
        <f>INDEX('Data_Price '!AR$2:AR$1266,MATCH(Data!$DN937,'Data_Price '!$AT$2:$AT$1266,0))</f>
        <v>https://tinyurl.com/ybc95l2z</v>
      </c>
      <c r="DJ937" s="89" t="str">
        <f t="shared" si="550"/>
        <v>https://tinyurl.com/ya3ymrlq</v>
      </c>
      <c r="DK937" s="89" t="str">
        <f t="shared" si="551"/>
        <v>https://tinyurl.com/y7qjr3df</v>
      </c>
      <c r="DL937" s="89" t="str">
        <f t="shared" si="552"/>
        <v>https://tinyurl.com/ybc95l2z</v>
      </c>
      <c r="DM937" s="219" t="str">
        <f t="shared" si="553"/>
        <v>V-Shape V10</v>
      </c>
      <c r="DN937" s="89" t="str">
        <f t="shared" si="554"/>
        <v xml:space="preserve"> HeadV-Shape V10163 Unisex</v>
      </c>
      <c r="DO937" s="221"/>
    </row>
    <row r="938" spans="2:119" ht="15.6" customHeight="1">
      <c r="B938" s="219" t="b">
        <f t="array" ref="B938">IF(OR(ISERROR(K938:P938)),FALSE,TRUE)</f>
        <v>1</v>
      </c>
      <c r="C938" s="43" t="b">
        <f>OR(BR938=Driver!$G$50,Data!BR798=Driver!$H$50)</f>
        <v>1</v>
      </c>
      <c r="D938" s="43" t="b">
        <f>OR(BV938=Driver!$G$51,BV938=Driver!$H$51)</f>
        <v>1</v>
      </c>
      <c r="E938" s="43" t="b">
        <f>AND(BX938&gt;Driver!$F$54,BX938&lt;Driver!$G$54)</f>
        <v>0</v>
      </c>
      <c r="F938" s="43" t="b">
        <f>CL938&gt;Driver!$F$56</f>
        <v>1</v>
      </c>
      <c r="G938" s="43" t="b">
        <f>AND(CB938&gt;Driver!$F$55,CB938&lt;Driver!$G$55)</f>
        <v>0</v>
      </c>
      <c r="H938" s="43" t="b">
        <f t="shared" si="518"/>
        <v>0</v>
      </c>
      <c r="I938" s="43">
        <f t="shared" si="519"/>
        <v>0</v>
      </c>
      <c r="J938" s="43" t="b">
        <f t="array" ref="J938">NOT(OR(($H$9:$H$1273=TRUE)*($I$9:$I$1273&gt;0)*($BT$9:$BT$1273=BT938)*($K$9:$K$1273&gt;K938)))</f>
        <v>1</v>
      </c>
      <c r="K938" s="72">
        <f t="shared" si="520"/>
        <v>0.75528859225543832</v>
      </c>
      <c r="L938" s="72">
        <f t="shared" si="521"/>
        <v>0.86222843353537959</v>
      </c>
      <c r="M938" s="72">
        <f t="shared" si="522"/>
        <v>0.64834875097549705</v>
      </c>
      <c r="N938" s="72">
        <f t="shared" si="523"/>
        <v>0.52981651853506206</v>
      </c>
      <c r="O938" s="72">
        <f t="shared" si="524"/>
        <v>0.67146784144859784</v>
      </c>
      <c r="P938" s="72">
        <f t="shared" si="525"/>
        <v>0.74376189294283113</v>
      </c>
      <c r="Q938" s="72"/>
      <c r="R938" s="72"/>
      <c r="S938" s="72">
        <f t="shared" si="526"/>
        <v>0.59120688377667041</v>
      </c>
      <c r="T938" s="72">
        <f t="shared" si="527"/>
        <v>0.52744580429777199</v>
      </c>
      <c r="U938" s="72">
        <f t="shared" si="528"/>
        <v>0.9760833731773032</v>
      </c>
      <c r="V938" s="72">
        <f t="shared" si="529"/>
        <v>0.50550648206408311</v>
      </c>
      <c r="W938" s="72">
        <f t="shared" si="530"/>
        <v>0.76243105515587528</v>
      </c>
      <c r="X938" s="72">
        <f t="shared" si="531"/>
        <v>0.13777156646462047</v>
      </c>
      <c r="Y938" s="72">
        <f t="shared" si="532"/>
        <v>0.35165124902450295</v>
      </c>
      <c r="Z938" s="72">
        <f t="shared" si="533"/>
        <v>0.47018348146493794</v>
      </c>
      <c r="AA938" s="72">
        <f t="shared" si="534"/>
        <v>0.32853215855140216</v>
      </c>
      <c r="AB938" s="72">
        <f t="shared" si="535"/>
        <v>0.25623810705716882</v>
      </c>
      <c r="AC938" s="72"/>
      <c r="AD938" s="72"/>
      <c r="AE938" s="72">
        <f t="shared" si="536"/>
        <v>0.40879311622332953</v>
      </c>
      <c r="AF938" s="72">
        <f t="shared" si="537"/>
        <v>0.47255419570222801</v>
      </c>
      <c r="AG938" s="72">
        <f t="shared" si="538"/>
        <v>2.3916626822696796E-2</v>
      </c>
      <c r="AH938" s="72">
        <f t="shared" si="539"/>
        <v>0.49449351793591689</v>
      </c>
      <c r="AI938" s="72">
        <f t="shared" si="540"/>
        <v>0.23756894484412469</v>
      </c>
      <c r="AJ938" s="72">
        <f>(AV938-Driver!$K$179)/(Driver!$L$179-Driver!$K$179)</f>
        <v>0.39199097574732089</v>
      </c>
      <c r="AK938" s="72">
        <f>(AW938-Driver!$K$180)/(Driver!$L$180-Driver!$K$180)</f>
        <v>0.52271460829683769</v>
      </c>
      <c r="AL938" s="72">
        <f>(AX938-Driver!$K$181)/(Driver!$L$181-Driver!$K$181)</f>
        <v>0.57187124517801813</v>
      </c>
      <c r="AM938" s="72">
        <f>(AY938-Driver!$K$182)/(Driver!$L$182-Driver!$K$182)</f>
        <v>0.11885286254564421</v>
      </c>
      <c r="AN938" s="72">
        <f>(AZ938-Driver!$K$183)/(Driver!$L$183-Driver!$K$183)</f>
        <v>0.51045751633986924</v>
      </c>
      <c r="AO938" s="72"/>
      <c r="AP938" s="72"/>
      <c r="AQ938" s="72">
        <f>(BC938-Driver!$K$188)/(Driver!$L$188-Driver!$K$188)</f>
        <v>0.21120688377667046</v>
      </c>
      <c r="AR938" s="72">
        <f>MIN((BD938-Driver!$K$189)/(Driver!$L$189-Driver!$K$189),100%)</f>
        <v>7.7445804297772064E-2</v>
      </c>
      <c r="AS938" s="72">
        <f>(BE938-Driver!$K$190)/(Driver!$L$190-Driver!$K$190)</f>
        <v>0.48608337317730321</v>
      </c>
      <c r="AT938" s="72">
        <f>(BF938-Driver!$K$191)/(Driver!$L$191-Driver!$K$191)</f>
        <v>1.5506482064083107E-2</v>
      </c>
      <c r="AU938" s="72">
        <f>(BG938-Driver!$K$192)/(Driver!$L$192-Driver!$K$192)</f>
        <v>1.2431055155875297E-2</v>
      </c>
      <c r="AV938" s="70">
        <f t="shared" si="541"/>
        <v>8.2502374169040831</v>
      </c>
      <c r="AW938" s="70">
        <f t="shared" si="542"/>
        <v>52.815062922592304</v>
      </c>
      <c r="AX938" s="70">
        <f t="shared" si="543"/>
        <v>6.1468412066021632</v>
      </c>
      <c r="AY938" s="70">
        <f>IFERROR(Driver!$K$19/Data!BH938/Data!BI938*Data!BK938*Data!BL938,"")</f>
        <v>0.14551136602737097</v>
      </c>
      <c r="AZ938" s="70">
        <f t="shared" si="544"/>
        <v>46.522710349962772</v>
      </c>
      <c r="BA938" s="70"/>
      <c r="BB938" s="70"/>
      <c r="BC938" s="70">
        <f t="shared" si="545"/>
        <v>109.55447890139412</v>
      </c>
      <c r="BD938" s="70">
        <f t="shared" si="546"/>
        <v>8.5746393386054187</v>
      </c>
      <c r="BE938" s="70">
        <f t="shared" si="547"/>
        <v>0.48617505011915035</v>
      </c>
      <c r="BF938" s="70">
        <f t="shared" si="548"/>
        <v>1.7513482099361577</v>
      </c>
      <c r="BG938" s="70">
        <f t="shared" si="549"/>
        <v>4.707190497601918E-2</v>
      </c>
      <c r="BH938" s="67">
        <f>MAX((CE938-Driver!$F$200)/(Driver!$G$200-Driver!$F$200)*$BI$1,1)</f>
        <v>6.1468412066021632</v>
      </c>
      <c r="BI938" s="67">
        <f>MAX($BI$1*(BY938-Driver!$F$201)/(Driver!$G$201-Driver!$F$201),1)</f>
        <v>8.9873417721518987</v>
      </c>
      <c r="BJ938" s="67">
        <f>(CB938-Driver!$F$206)/(Driver!$G$206-Driver!$F$206)*$BI$1</f>
        <v>5.5555555555555554</v>
      </c>
      <c r="BK938" s="67">
        <f>(CD938-Driver!$F$203)/(Driver!$G$203-Driver!$F$203)*$BI$1</f>
        <v>5.5504587155963305</v>
      </c>
      <c r="BL938" s="67">
        <f>MAX((CR938-Driver!$F$202)/(Driver!$G$202-Driver!$F$202)*$BI$1,1)</f>
        <v>7.2413793103448274</v>
      </c>
      <c r="BM938" s="67">
        <f>MAX((CH938-Driver!$F$204)/(Driver!$G$204-Driver!$F$204)*$BI$1,1)</f>
        <v>5.9401709401709404</v>
      </c>
      <c r="BN938" s="67">
        <f>(CI938-Driver!$F$205)/(Driver!$G$205-Driver!$F$205)*$BI$1</f>
        <v>5.1764705882352944</v>
      </c>
      <c r="BO938" s="67">
        <f>(CK938-Driver!$F$207)/(Driver!$G$207-Driver!$F$207)*$BI$1</f>
        <v>1.1168562564632885</v>
      </c>
      <c r="BP938" s="67">
        <f>(CM938-Driver!$F$208)/(Driver!$G$208-Driver!$F$208)*$BI$1</f>
        <v>1.5666666666666669</v>
      </c>
      <c r="BQ938" s="67">
        <f>(CL938-Driver!$F$209)/(Driver!$G$209-Driver!$F$209)*$BI$1</f>
        <v>1.71875</v>
      </c>
      <c r="BR938" s="28" t="s">
        <v>155</v>
      </c>
      <c r="BS938" s="8" t="s">
        <v>215</v>
      </c>
      <c r="BT938" s="9" t="s">
        <v>216</v>
      </c>
      <c r="BU938" s="10">
        <v>186</v>
      </c>
      <c r="BV938" s="9" t="s">
        <v>158</v>
      </c>
      <c r="BW938" s="10">
        <v>186</v>
      </c>
      <c r="BX938" s="10">
        <v>185.9</v>
      </c>
      <c r="BY938" s="10">
        <v>150</v>
      </c>
      <c r="BZ938" s="10">
        <v>165</v>
      </c>
      <c r="CA938" s="10">
        <v>137</v>
      </c>
      <c r="CB938" s="10">
        <v>99</v>
      </c>
      <c r="CC938" s="10">
        <v>121</v>
      </c>
      <c r="CD938" s="10">
        <v>21.5</v>
      </c>
      <c r="CE938" s="10">
        <v>1980</v>
      </c>
      <c r="CF938" s="10">
        <v>1.04</v>
      </c>
      <c r="CG938" s="10">
        <v>2055</v>
      </c>
      <c r="CH938" s="10">
        <v>240</v>
      </c>
      <c r="CI938" s="10">
        <v>121</v>
      </c>
      <c r="CJ938" s="10">
        <v>38</v>
      </c>
      <c r="CK938" s="10">
        <v>218</v>
      </c>
      <c r="CL938" s="10">
        <v>11</v>
      </c>
      <c r="CM938" s="10">
        <v>141</v>
      </c>
      <c r="CN938" s="10">
        <v>0.3</v>
      </c>
      <c r="CO938" s="10">
        <v>119</v>
      </c>
      <c r="CP938" s="10">
        <v>92</v>
      </c>
      <c r="CQ938" s="10">
        <v>99</v>
      </c>
      <c r="CR938" s="10">
        <v>10</v>
      </c>
      <c r="CS938" s="10">
        <v>10.6</v>
      </c>
      <c r="CT938" s="9" t="s">
        <v>188</v>
      </c>
      <c r="CU938" s="10"/>
      <c r="CV938" s="10"/>
      <c r="CW938" s="10"/>
      <c r="CX938" t="str">
        <f>INDEX('Data_Price '!AG$2:AG$1266,MATCH(Data!$DN938,'Data_Price '!$AT$2:$AT$1266,0))</f>
        <v>Liberty 2022 Evolv 100 186 All Mtn Skis W/ Tyrolia Attack Bindings,</v>
      </c>
      <c r="CY938" t="str">
        <f>INDEX('Data_Price '!AH$2:AH$1266,MATCH(Data!$DN938,'Data_Price '!$AT$2:$AT$1266,0))</f>
        <v>eBay - sir_davahad</v>
      </c>
      <c r="CZ938">
        <f>INDEX('Data_Price '!AI$2:AI$1266,MATCH(Data!$DN938,'Data_Price '!$AT$2:$AT$1266,0))</f>
        <v>499</v>
      </c>
      <c r="DA938" t="str">
        <f>INDEX('Data_Price '!AJ$2:AJ$1266,MATCH(Data!$DN938,'Data_Price '!$AT$2:$AT$1266,0))</f>
        <v>https://tinyurl.com/ycpfgqmq</v>
      </c>
      <c r="DB938" t="str">
        <f>INDEX('Data_Price '!AK$2:AK$1266,MATCH(Data!$DN938,'Data_Price '!$AT$2:$AT$1266,0))</f>
        <v>Liberty 22 Evolv 100 Demo 186 cm Downhill Ski / Mens Combo</v>
      </c>
      <c r="DC938" t="str">
        <f>INDEX('Data_Price '!AL$2:AL$1266,MATCH(Data!$DN938,'Data_Price '!$AT$2:$AT$1266,0))</f>
        <v>Play It Again Sports</v>
      </c>
      <c r="DD938">
        <f>INDEX('Data_Price '!AM$2:AM$1266,MATCH(Data!$DN938,'Data_Price '!$AT$2:$AT$1266,0))</f>
        <v>499.91</v>
      </c>
      <c r="DE938" t="str">
        <f>INDEX('Data_Price '!AN$2:AN$1266,MATCH(Data!$DN938,'Data_Price '!$AT$2:$AT$1266,0))</f>
        <v>https://tinyurl.com/y79zfpu6</v>
      </c>
      <c r="DF938" t="str">
        <f>INDEX('Data_Price '!AO$2:AO$1266,MATCH(Data!$DN938,'Data_Price '!$AT$2:$AT$1266,0))</f>
        <v>Liberty 2022 Evolv 100 Skis - 186 cm</v>
      </c>
      <c r="DG938" t="str">
        <f>INDEX('Data_Price '!AP$2:AP$1266,MATCH(Data!$DN938,'Data_Price '!$AT$2:$AT$1266,0))</f>
        <v>REI</v>
      </c>
      <c r="DH938">
        <f>INDEX('Data_Price '!AQ$2:AQ$1266,MATCH(Data!$DN938,'Data_Price '!$AT$2:$AT$1266,0))</f>
        <v>523.92999999999995</v>
      </c>
      <c r="DI938" t="str">
        <f>INDEX('Data_Price '!AR$2:AR$1266,MATCH(Data!$DN938,'Data_Price '!$AT$2:$AT$1266,0))</f>
        <v>https://tinyurl.com/ycqovbu8</v>
      </c>
      <c r="DJ938" s="89" t="str">
        <f t="shared" si="550"/>
        <v>https://tinyurl.com/ycpfgqmq</v>
      </c>
      <c r="DK938" s="89" t="str">
        <f t="shared" si="551"/>
        <v>https://tinyurl.com/y79zfpu6</v>
      </c>
      <c r="DL938" s="89" t="str">
        <f t="shared" si="552"/>
        <v>https://tinyurl.com/ycqovbu8</v>
      </c>
      <c r="DM938" s="219" t="str">
        <f t="shared" si="553"/>
        <v>Evolv 100</v>
      </c>
      <c r="DN938" s="89" t="str">
        <f t="shared" si="554"/>
        <v xml:space="preserve"> LibertyEvolv 100186 Unisex</v>
      </c>
      <c r="DO938" s="221"/>
    </row>
    <row r="939" spans="2:119" ht="15.6" customHeight="1">
      <c r="B939" s="219" t="b">
        <f t="array" ref="B939">IF(OR(ISERROR(K939:P939)),FALSE,TRUE)</f>
        <v>1</v>
      </c>
      <c r="C939" s="43" t="b">
        <f>OR(BR939=Driver!$G$50,Data!BR1139=Driver!$H$50)</f>
        <v>1</v>
      </c>
      <c r="D939" s="43" t="b">
        <f>OR(BV939=Driver!$G$51,BV939=Driver!$H$51)</f>
        <v>0</v>
      </c>
      <c r="E939" s="43" t="b">
        <f>AND(BX939&gt;Driver!$F$54,BX939&lt;Driver!$G$54)</f>
        <v>1</v>
      </c>
      <c r="F939" s="43" t="b">
        <f>CL939&gt;Driver!$F$56</f>
        <v>1</v>
      </c>
      <c r="G939" s="43" t="b">
        <f>AND(CB939&gt;Driver!$F$55,CB939&lt;Driver!$G$55)</f>
        <v>0</v>
      </c>
      <c r="H939" s="43" t="b">
        <f t="shared" si="518"/>
        <v>0</v>
      </c>
      <c r="I939" s="43">
        <f t="shared" si="519"/>
        <v>0</v>
      </c>
      <c r="J939" s="43" t="b">
        <f t="array" ref="J939">NOT(OR(($H$9:$H$1273=TRUE)*($I$9:$I$1273&gt;0)*($BT$9:$BT$1273=BT939)*($K$9:$K$1273&gt;K939)))</f>
        <v>1</v>
      </c>
      <c r="K939" s="72">
        <f t="shared" si="520"/>
        <v>0.83587832208557655</v>
      </c>
      <c r="L939" s="72">
        <f t="shared" si="521"/>
        <v>0.92110892848218562</v>
      </c>
      <c r="M939" s="72">
        <f t="shared" si="522"/>
        <v>0.75064771568896749</v>
      </c>
      <c r="N939" s="72">
        <f t="shared" si="523"/>
        <v>0.72901970578605813</v>
      </c>
      <c r="O939" s="72">
        <f t="shared" si="524"/>
        <v>0.62666971827265361</v>
      </c>
      <c r="P939" s="72">
        <f t="shared" si="525"/>
        <v>0.89625372300819062</v>
      </c>
      <c r="Q939" s="72"/>
      <c r="R939" s="72"/>
      <c r="S939" s="72">
        <f t="shared" si="526"/>
        <v>0.45552931368053817</v>
      </c>
      <c r="T939" s="72">
        <f t="shared" si="527"/>
        <v>0.49152218673144243</v>
      </c>
      <c r="U939" s="72">
        <f t="shared" si="528"/>
        <v>0.51</v>
      </c>
      <c r="V939" s="72">
        <f t="shared" si="529"/>
        <v>0.50399935936109208</v>
      </c>
      <c r="W939" s="72">
        <f t="shared" si="530"/>
        <v>0.77608996539792385</v>
      </c>
      <c r="X939" s="72">
        <f t="shared" si="531"/>
        <v>7.8891071517814437E-2</v>
      </c>
      <c r="Y939" s="72">
        <f t="shared" si="532"/>
        <v>0.24935228431103251</v>
      </c>
      <c r="Z939" s="72">
        <f t="shared" si="533"/>
        <v>0.27098029421394187</v>
      </c>
      <c r="AA939" s="72">
        <f t="shared" si="534"/>
        <v>0.37333028172734639</v>
      </c>
      <c r="AB939" s="72">
        <f t="shared" si="535"/>
        <v>0.10374627699180933</v>
      </c>
      <c r="AC939" s="72"/>
      <c r="AD939" s="72"/>
      <c r="AE939" s="72">
        <f t="shared" si="536"/>
        <v>0.54447068631946183</v>
      </c>
      <c r="AF939" s="72">
        <f t="shared" si="537"/>
        <v>0.50847781326855757</v>
      </c>
      <c r="AG939" s="72">
        <f t="shared" si="538"/>
        <v>0.49</v>
      </c>
      <c r="AH939" s="72">
        <f t="shared" si="539"/>
        <v>0.49600064063890797</v>
      </c>
      <c r="AI939" s="72">
        <f t="shared" si="540"/>
        <v>0.22391003460207615</v>
      </c>
      <c r="AJ939" s="72">
        <f>(AV939-Driver!$K$179)/(Driver!$L$179-Driver!$K$179)</f>
        <v>0.17532833776488599</v>
      </c>
      <c r="AK939" s="72">
        <f>(AW939-Driver!$K$180)/(Driver!$L$180-Driver!$K$180)</f>
        <v>0.36115244366203425</v>
      </c>
      <c r="AL939" s="72">
        <f>(AX939-Driver!$K$181)/(Driver!$L$181-Driver!$K$181)</f>
        <v>0.37266805792702207</v>
      </c>
      <c r="AM939" s="72">
        <f>(AY939-Driver!$K$182)/(Driver!$L$182-Driver!$K$182)</f>
        <v>7.4054739369699987E-2</v>
      </c>
      <c r="AN939" s="72">
        <f>(AZ939-Driver!$K$183)/(Driver!$L$183-Driver!$K$183)</f>
        <v>0.35796568627450975</v>
      </c>
      <c r="AO939" s="72"/>
      <c r="AP939" s="72"/>
      <c r="AQ939" s="72">
        <f>(BC939-Driver!$K$188)/(Driver!$L$188-Driver!$K$188)</f>
        <v>7.5529313680538168E-2</v>
      </c>
      <c r="AR939" s="72">
        <f>MIN((BD939-Driver!$K$189)/(Driver!$L$189-Driver!$K$189),100%)</f>
        <v>4.1522186731442499E-2</v>
      </c>
      <c r="AS939" s="72">
        <f>(BE939-Driver!$K$190)/(Driver!$L$190-Driver!$K$190)</f>
        <v>1</v>
      </c>
      <c r="AT939" s="72">
        <f>(BF939-Driver!$K$191)/(Driver!$L$191-Driver!$K$191)</f>
        <v>1.399935936109205E-2</v>
      </c>
      <c r="AU939" s="72">
        <f>(BG939-Driver!$K$192)/(Driver!$L$192-Driver!$K$192)</f>
        <v>2.6089965397923867E-2</v>
      </c>
      <c r="AV939" s="70">
        <f t="shared" si="541"/>
        <v>3.6901370234703572</v>
      </c>
      <c r="AW939" s="70">
        <f t="shared" si="542"/>
        <v>37.069398392519041</v>
      </c>
      <c r="AX939" s="70">
        <f t="shared" si="543"/>
        <v>4.3540125213431988</v>
      </c>
      <c r="AY939" s="70">
        <f>IFERROR(Driver!$K$19/Data!BH939/Data!BI939*Data!BK939*Data!BL939,"")</f>
        <v>9.0665096790139468E-2</v>
      </c>
      <c r="AZ939" s="70">
        <f t="shared" si="544"/>
        <v>32.6247207743857</v>
      </c>
      <c r="BA939" s="70"/>
      <c r="BB939" s="70"/>
      <c r="BC939" s="70">
        <f t="shared" si="545"/>
        <v>39.17758007736532</v>
      </c>
      <c r="BD939" s="70">
        <f t="shared" si="546"/>
        <v>5.3954628368690409</v>
      </c>
      <c r="BE939" s="70">
        <f t="shared" si="547"/>
        <v>1</v>
      </c>
      <c r="BF939" s="70">
        <f t="shared" si="548"/>
        <v>1.5811292887695529</v>
      </c>
      <c r="BG939" s="70">
        <f t="shared" si="549"/>
        <v>9.8793252595155687E-2</v>
      </c>
      <c r="BH939" s="67">
        <f>MAX((CE939-Driver!$F$200)/(Driver!$G$200-Driver!$F$200)*$BI$1,1)</f>
        <v>4.3540125213431988</v>
      </c>
      <c r="BI939" s="67">
        <f>MAX($BI$1*(BY939-Driver!$F$201)/(Driver!$G$201-Driver!$F$201),1)</f>
        <v>8.037974683544304</v>
      </c>
      <c r="BJ939" s="67">
        <f>(CB939-Driver!$F$206)/(Driver!$G$206-Driver!$F$206)*$BI$1</f>
        <v>5.0793650793650791</v>
      </c>
      <c r="BK939" s="67">
        <f>(CD939-Driver!$F$203)/(Driver!$G$203-Driver!$F$203)*$BI$1</f>
        <v>2.7064220183486243</v>
      </c>
      <c r="BL939" s="67">
        <f>MAX((CR939-Driver!$F$202)/(Driver!$G$202-Driver!$F$202)*$BI$1,1)</f>
        <v>5.8620689655172411</v>
      </c>
      <c r="BM939" s="67">
        <f>MAX((CH939-Driver!$F$204)/(Driver!$G$204-Driver!$F$204)*$BI$1,1)</f>
        <v>2.9059829059829063</v>
      </c>
      <c r="BN939" s="67">
        <f>(CI939-Driver!$F$205)/(Driver!$G$205-Driver!$F$205)*$BI$1</f>
        <v>4.0588235294117645</v>
      </c>
      <c r="BO939" s="67">
        <f>(CK939-Driver!$F$207)/(Driver!$G$207-Driver!$F$207)*$BI$1</f>
        <v>0.97207859358841786</v>
      </c>
      <c r="BP939" s="67">
        <f>(CM939-Driver!$F$208)/(Driver!$G$208-Driver!$F$208)*$BI$1</f>
        <v>0.8666666666666667</v>
      </c>
      <c r="BQ939" s="67">
        <f>(CL939-Driver!$F$209)/(Driver!$G$209-Driver!$F$209)*$BI$1</f>
        <v>1.25</v>
      </c>
      <c r="BR939" s="28" t="s">
        <v>155</v>
      </c>
      <c r="BS939" s="8" t="s">
        <v>213</v>
      </c>
      <c r="BT939" s="9" t="s">
        <v>357</v>
      </c>
      <c r="BU939" s="10">
        <v>164</v>
      </c>
      <c r="BV939" s="9" t="s">
        <v>163</v>
      </c>
      <c r="BW939" s="10">
        <v>164</v>
      </c>
      <c r="BX939" s="10">
        <v>163.4</v>
      </c>
      <c r="BY939" s="10">
        <v>135</v>
      </c>
      <c r="BZ939" s="10">
        <v>141</v>
      </c>
      <c r="CA939" s="10">
        <v>133</v>
      </c>
      <c r="CB939" s="10">
        <v>96</v>
      </c>
      <c r="CC939" s="10">
        <v>121</v>
      </c>
      <c r="CD939" s="10">
        <v>15.3</v>
      </c>
      <c r="CE939" s="10">
        <v>1665</v>
      </c>
      <c r="CF939" s="10">
        <v>1.06</v>
      </c>
      <c r="CG939" s="10">
        <v>1760</v>
      </c>
      <c r="CH939" s="10">
        <v>169</v>
      </c>
      <c r="CI939" s="10">
        <v>102</v>
      </c>
      <c r="CJ939" s="10">
        <v>45</v>
      </c>
      <c r="CK939" s="10">
        <v>204</v>
      </c>
      <c r="CL939" s="10">
        <v>8</v>
      </c>
      <c r="CM939" s="10">
        <v>78</v>
      </c>
      <c r="CN939" s="10">
        <v>0.189</v>
      </c>
      <c r="CO939" s="10">
        <v>160</v>
      </c>
      <c r="CP939" s="10">
        <v>59</v>
      </c>
      <c r="CQ939" s="10">
        <v>44</v>
      </c>
      <c r="CR939" s="10">
        <v>6</v>
      </c>
      <c r="CS939" s="10">
        <v>13</v>
      </c>
      <c r="CT939" s="9" t="s">
        <v>188</v>
      </c>
      <c r="CU939" s="9" t="s">
        <v>185</v>
      </c>
      <c r="CV939" s="10"/>
      <c r="CW939" s="10"/>
      <c r="CX939" t="e">
        <f>INDEX('Data_Price '!AG$2:AG$1266,MATCH(Data!$DN939,'Data_Price '!$AT$2:$AT$1266,0))</f>
        <v>#N/A</v>
      </c>
      <c r="CY939" t="e">
        <f>INDEX('Data_Price '!AH$2:AH$1266,MATCH(Data!$DN939,'Data_Price '!$AT$2:$AT$1266,0))</f>
        <v>#N/A</v>
      </c>
      <c r="CZ939" t="e">
        <f>INDEX('Data_Price '!AI$2:AI$1266,MATCH(Data!$DN939,'Data_Price '!$AT$2:$AT$1266,0))</f>
        <v>#N/A</v>
      </c>
      <c r="DA939" t="e">
        <f>INDEX('Data_Price '!AJ$2:AJ$1266,MATCH(Data!$DN939,'Data_Price '!$AT$2:$AT$1266,0))</f>
        <v>#N/A</v>
      </c>
      <c r="DB939" t="e">
        <f>INDEX('Data_Price '!AK$2:AK$1266,MATCH(Data!$DN939,'Data_Price '!$AT$2:$AT$1266,0))</f>
        <v>#N/A</v>
      </c>
      <c r="DC939" t="e">
        <f>INDEX('Data_Price '!AL$2:AL$1266,MATCH(Data!$DN939,'Data_Price '!$AT$2:$AT$1266,0))</f>
        <v>#N/A</v>
      </c>
      <c r="DD939" t="e">
        <f>INDEX('Data_Price '!AM$2:AM$1266,MATCH(Data!$DN939,'Data_Price '!$AT$2:$AT$1266,0))</f>
        <v>#N/A</v>
      </c>
      <c r="DE939" t="e">
        <f>INDEX('Data_Price '!AN$2:AN$1266,MATCH(Data!$DN939,'Data_Price '!$AT$2:$AT$1266,0))</f>
        <v>#N/A</v>
      </c>
      <c r="DF939" t="e">
        <f>INDEX('Data_Price '!AO$2:AO$1266,MATCH(Data!$DN939,'Data_Price '!$AT$2:$AT$1266,0))</f>
        <v>#N/A</v>
      </c>
      <c r="DG939" t="e">
        <f>INDEX('Data_Price '!AP$2:AP$1266,MATCH(Data!$DN939,'Data_Price '!$AT$2:$AT$1266,0))</f>
        <v>#N/A</v>
      </c>
      <c r="DH939" t="e">
        <f>INDEX('Data_Price '!AQ$2:AQ$1266,MATCH(Data!$DN939,'Data_Price '!$AT$2:$AT$1266,0))</f>
        <v>#N/A</v>
      </c>
      <c r="DI939" t="e">
        <f>INDEX('Data_Price '!AR$2:AR$1266,MATCH(Data!$DN939,'Data_Price '!$AT$2:$AT$1266,0))</f>
        <v>#N/A</v>
      </c>
      <c r="DJ939" s="89" t="e">
        <f t="shared" si="550"/>
        <v>#N/A</v>
      </c>
      <c r="DK939" s="89" t="e">
        <f t="shared" si="551"/>
        <v>#N/A</v>
      </c>
      <c r="DL939" s="89" t="e">
        <f t="shared" si="552"/>
        <v>#N/A</v>
      </c>
      <c r="DM939" s="219" t="str">
        <f t="shared" si="553"/>
        <v>Nela 96</v>
      </c>
      <c r="DN939" s="89" t="str">
        <f t="shared" si="554"/>
        <v xml:space="preserve"> StöckliNela 96164 Women's</v>
      </c>
      <c r="DO939" s="221" t="s">
        <v>358</v>
      </c>
    </row>
    <row r="940" spans="2:119" ht="15.6" customHeight="1">
      <c r="B940" s="219" t="b">
        <f t="array" ref="B940">IF(OR(ISERROR(K940:P940)),FALSE,TRUE)</f>
        <v>1</v>
      </c>
      <c r="C940" s="43" t="b">
        <f>OR(BR940=Driver!$G$50,Data!BR382=Driver!$H$50)</f>
        <v>1</v>
      </c>
      <c r="D940" s="43" t="b">
        <f>OR(BV940=Driver!$G$51,BV940=Driver!$H$51)</f>
        <v>1</v>
      </c>
      <c r="E940" s="43" t="b">
        <f>AND(BX940&gt;Driver!$F$54,BX940&lt;Driver!$G$54)</f>
        <v>0</v>
      </c>
      <c r="F940" s="43" t="b">
        <f>CL940&gt;Driver!$F$56</f>
        <v>1</v>
      </c>
      <c r="G940" s="43" t="b">
        <f>AND(CB940&gt;Driver!$F$55,CB940&lt;Driver!$G$55)</f>
        <v>1</v>
      </c>
      <c r="H940" s="43" t="b">
        <f t="shared" si="518"/>
        <v>0</v>
      </c>
      <c r="I940" s="43">
        <f t="shared" si="519"/>
        <v>0</v>
      </c>
      <c r="J940" s="43" t="b">
        <f t="array" ref="J940">NOT(OR(($H$9:$H$1273=TRUE)*($I$9:$I$1273&gt;0)*($BT$9:$BT$1273=BT940)*($K$9:$K$1273&gt;K940)))</f>
        <v>1</v>
      </c>
      <c r="K940" s="72">
        <f t="shared" si="520"/>
        <v>0.67072713039910226</v>
      </c>
      <c r="L940" s="72">
        <f t="shared" si="521"/>
        <v>0.70333712743595145</v>
      </c>
      <c r="M940" s="72">
        <f t="shared" si="522"/>
        <v>0.63811713336225306</v>
      </c>
      <c r="N940" s="72">
        <f t="shared" si="523"/>
        <v>0.39574961155978861</v>
      </c>
      <c r="O940" s="72">
        <f t="shared" si="524"/>
        <v>0.63497061453838799</v>
      </c>
      <c r="P940" s="72">
        <f t="shared" si="525"/>
        <v>0.88363117398858271</v>
      </c>
      <c r="Q940" s="72"/>
      <c r="R940" s="72"/>
      <c r="S940" s="72">
        <f t="shared" si="526"/>
        <v>0.48175236790666287</v>
      </c>
      <c r="T940" s="72">
        <f t="shared" si="527"/>
        <v>0.55631760178894174</v>
      </c>
      <c r="U940" s="72">
        <f t="shared" si="528"/>
        <v>0.50785476118111295</v>
      </c>
      <c r="V940" s="72">
        <f t="shared" si="529"/>
        <v>0.60912758160722946</v>
      </c>
      <c r="W940" s="72">
        <f t="shared" si="530"/>
        <v>0.78385930837081608</v>
      </c>
      <c r="X940" s="72">
        <f t="shared" si="531"/>
        <v>0.2966628725640485</v>
      </c>
      <c r="Y940" s="72">
        <f t="shared" si="532"/>
        <v>0.36188286663774688</v>
      </c>
      <c r="Z940" s="72">
        <f t="shared" si="533"/>
        <v>0.60425038844021139</v>
      </c>
      <c r="AA940" s="72">
        <f t="shared" si="534"/>
        <v>0.36502938546161201</v>
      </c>
      <c r="AB940" s="72">
        <f t="shared" si="535"/>
        <v>0.11636882601141724</v>
      </c>
      <c r="AC940" s="72"/>
      <c r="AD940" s="72"/>
      <c r="AE940" s="72">
        <f t="shared" si="536"/>
        <v>0.51824763209333713</v>
      </c>
      <c r="AF940" s="72">
        <f t="shared" si="537"/>
        <v>0.44368239821105832</v>
      </c>
      <c r="AG940" s="72">
        <f t="shared" si="538"/>
        <v>0.49214523881888705</v>
      </c>
      <c r="AH940" s="72">
        <f t="shared" si="539"/>
        <v>0.39087241839277048</v>
      </c>
      <c r="AI940" s="72">
        <f t="shared" si="540"/>
        <v>0.21614069162918395</v>
      </c>
      <c r="AJ940" s="72">
        <f>(AV940-Driver!$K$179)/(Driver!$L$179-Driver!$K$179)</f>
        <v>0.55088228184674892</v>
      </c>
      <c r="AK940" s="72">
        <f>(AW940-Driver!$K$180)/(Driver!$L$180-Driver!$K$180)</f>
        <v>0.40383715302800499</v>
      </c>
      <c r="AL940" s="72">
        <f>(AX940-Driver!$K$181)/(Driver!$L$181-Driver!$K$181)</f>
        <v>0.70593815215329159</v>
      </c>
      <c r="AM940" s="72">
        <f>(AY940-Driver!$K$182)/(Driver!$L$182-Driver!$K$182)</f>
        <v>8.2355635635434382E-2</v>
      </c>
      <c r="AN940" s="72">
        <f>(AZ940-Driver!$K$183)/(Driver!$L$183-Driver!$K$183)</f>
        <v>0.37058823529411766</v>
      </c>
      <c r="AO940" s="72"/>
      <c r="AP940" s="72"/>
      <c r="AQ940" s="72">
        <f>(BC940-Driver!$K$188)/(Driver!$L$188-Driver!$K$188)</f>
        <v>0.10175236790666281</v>
      </c>
      <c r="AR940" s="72">
        <f>MIN((BD940-Driver!$K$189)/(Driver!$L$189-Driver!$K$189),100%)</f>
        <v>0.10631760178894172</v>
      </c>
      <c r="AS940" s="72">
        <f>(BE940-Driver!$K$190)/(Driver!$L$190-Driver!$K$190)</f>
        <v>1.7854761181112976E-2</v>
      </c>
      <c r="AT940" s="72">
        <f>(BF940-Driver!$K$191)/(Driver!$L$191-Driver!$K$191)</f>
        <v>0.11912758160722951</v>
      </c>
      <c r="AU940" s="72">
        <f>(BG940-Driver!$K$192)/(Driver!$L$192-Driver!$K$192)</f>
        <v>3.3859308370816042E-2</v>
      </c>
      <c r="AV940" s="70">
        <f t="shared" si="541"/>
        <v>11.594424094424097</v>
      </c>
      <c r="AW940" s="70">
        <f t="shared" si="542"/>
        <v>41.229401545234097</v>
      </c>
      <c r="AX940" s="70">
        <f t="shared" si="543"/>
        <v>7.3534433693796242</v>
      </c>
      <c r="AY940" s="70">
        <f>IFERROR(Driver!$K$19/Data!BH940/Data!BI940*Data!BK940*Data!BL940,"")</f>
        <v>0.10082787056779788</v>
      </c>
      <c r="AZ940" s="70">
        <f t="shared" si="544"/>
        <v>33.775130305286673</v>
      </c>
      <c r="BA940" s="70"/>
      <c r="BB940" s="70"/>
      <c r="BC940" s="70">
        <f t="shared" si="545"/>
        <v>52.779660604171596</v>
      </c>
      <c r="BD940" s="70">
        <f t="shared" si="546"/>
        <v>11.129742258775945</v>
      </c>
      <c r="BE940" s="70">
        <f t="shared" si="547"/>
        <v>1.8029964837202726E-2</v>
      </c>
      <c r="BF940" s="70">
        <f t="shared" si="548"/>
        <v>13.45462342390949</v>
      </c>
      <c r="BG940" s="70">
        <f t="shared" si="549"/>
        <v>0.12821294139552541</v>
      </c>
      <c r="BH940" s="67">
        <f>MAX((CE940-Driver!$F$200)/(Driver!$G$200-Driver!$F$200)*$BI$1,1)</f>
        <v>7.3534433693796242</v>
      </c>
      <c r="BI940" s="67">
        <f>MAX($BI$1*(BY940-Driver!$F$201)/(Driver!$G$201-Driver!$F$201),1)</f>
        <v>6.8354430379746836</v>
      </c>
      <c r="BJ940" s="67">
        <f>(CB940-Driver!$F$206)/(Driver!$G$206-Driver!$F$206)*$BI$1</f>
        <v>6.825396825396826</v>
      </c>
      <c r="BK940" s="67">
        <f>(CD940-Driver!$F$203)/(Driver!$G$203-Driver!$F$203)*$BI$1</f>
        <v>4.0825688073394497</v>
      </c>
      <c r="BL940" s="67">
        <f>MAX((CR940-Driver!$F$202)/(Driver!$G$202-Driver!$F$202)*$BI$1,1)</f>
        <v>6.2068965517241379</v>
      </c>
      <c r="BM940" s="67">
        <f>MAX((CH940-Driver!$F$204)/(Driver!$G$204-Driver!$F$204)*$BI$1,1)</f>
        <v>6.7948717948717956</v>
      </c>
      <c r="BN940" s="67">
        <f>(CI940-Driver!$F$205)/(Driver!$G$205-Driver!$F$205)*$BI$1</f>
        <v>4.9411764705882355</v>
      </c>
      <c r="BO940" s="67">
        <f>(CK940-Driver!$F$207)/(Driver!$G$207-Driver!$F$207)*$BI$1</f>
        <v>2.1302998965873838</v>
      </c>
      <c r="BP940" s="67">
        <f>(CM940-Driver!$F$208)/(Driver!$G$208-Driver!$F$208)*$BI$1</f>
        <v>3.7777777777777777</v>
      </c>
      <c r="BQ940" s="67">
        <f>(CL940-Driver!$F$209)/(Driver!$G$209-Driver!$F$209)*$BI$1</f>
        <v>6.40625</v>
      </c>
      <c r="BR940" s="28" t="s">
        <v>155</v>
      </c>
      <c r="BS940" s="8" t="s">
        <v>202</v>
      </c>
      <c r="BT940" s="9" t="s">
        <v>493</v>
      </c>
      <c r="BU940" s="10">
        <v>182</v>
      </c>
      <c r="BV940" s="9" t="s">
        <v>158</v>
      </c>
      <c r="BW940" s="10">
        <v>182</v>
      </c>
      <c r="BX940" s="10">
        <v>181.7</v>
      </c>
      <c r="BY940" s="10">
        <v>116</v>
      </c>
      <c r="BZ940" s="10">
        <v>145</v>
      </c>
      <c r="CA940" s="10">
        <v>136</v>
      </c>
      <c r="CB940" s="10">
        <v>107</v>
      </c>
      <c r="CC940" s="10">
        <v>127</v>
      </c>
      <c r="CD940" s="10">
        <v>18.3</v>
      </c>
      <c r="CE940" s="10">
        <v>2192</v>
      </c>
      <c r="CF940" s="10">
        <v>0.97</v>
      </c>
      <c r="CG940" s="10">
        <v>2122</v>
      </c>
      <c r="CH940" s="10">
        <v>260</v>
      </c>
      <c r="CI940" s="10">
        <v>117</v>
      </c>
      <c r="CJ940" s="10">
        <v>58</v>
      </c>
      <c r="CK940" s="10">
        <v>316</v>
      </c>
      <c r="CL940" s="10">
        <v>41</v>
      </c>
      <c r="CM940" s="10">
        <v>340</v>
      </c>
      <c r="CN940" s="10">
        <v>0.71599999999999997</v>
      </c>
      <c r="CO940" s="10">
        <v>189</v>
      </c>
      <c r="CP940" s="10">
        <v>180</v>
      </c>
      <c r="CQ940" s="10">
        <v>127</v>
      </c>
      <c r="CR940" s="10">
        <v>7</v>
      </c>
      <c r="CS940" s="10">
        <v>8.4</v>
      </c>
      <c r="CT940" s="9" t="s">
        <v>169</v>
      </c>
      <c r="CU940" s="10"/>
      <c r="CV940" s="10"/>
      <c r="CW940" s="10"/>
      <c r="CX940" t="str">
        <f>INDEX('Data_Price '!AG$2:AG$1266,MATCH(Data!$DN940,'Data_Price '!$AT$2:$AT$1266,0))</f>
        <v>Dynastar M-Free 108 Skis</v>
      </c>
      <c r="CY940" t="str">
        <f>INDEX('Data_Price '!AH$2:AH$1266,MATCH(Data!$DN940,'Data_Price '!$AT$2:$AT$1266,0))</f>
        <v>Cole Sport</v>
      </c>
      <c r="CZ940">
        <f>INDEX('Data_Price '!AI$2:AI$1266,MATCH(Data!$DN940,'Data_Price '!$AT$2:$AT$1266,0))</f>
        <v>559.96</v>
      </c>
      <c r="DA940" t="str">
        <f>INDEX('Data_Price '!AJ$2:AJ$1266,MATCH(Data!$DN940,'Data_Price '!$AT$2:$AT$1266,0))</f>
        <v>https://tinyurl.com/yavollr8</v>
      </c>
      <c r="DB940" t="str">
        <f>INDEX('Data_Price '!AK$2:AK$1266,MATCH(Data!$DN940,'Data_Price '!$AT$2:$AT$1266,0))</f>
        <v>2022 Dynastar M-Free 108 Ski w/ Marker Griffon 13 Bindings - 182| Ski Essentials</v>
      </c>
      <c r="DC940" t="str">
        <f>INDEX('Data_Price '!AL$2:AL$1266,MATCH(Data!$DN940,'Data_Price '!$AT$2:$AT$1266,0))</f>
        <v>SkiEssentials.com</v>
      </c>
      <c r="DD940">
        <f>INDEX('Data_Price '!AM$2:AM$1266,MATCH(Data!$DN940,'Data_Price '!$AT$2:$AT$1266,0))</f>
        <v>734.96</v>
      </c>
      <c r="DE940" t="str">
        <f>INDEX('Data_Price '!AN$2:AN$1266,MATCH(Data!$DN940,'Data_Price '!$AT$2:$AT$1266,0))</f>
        <v>https://tinyurl.com/ycutww8v</v>
      </c>
      <c r="DF940" t="str">
        <f>INDEX('Data_Price '!AO$2:AO$1266,MATCH(Data!$DN940,'Data_Price '!$AT$2:$AT$1266,0))</f>
        <v>Dynastar M Free 108 Skis</v>
      </c>
      <c r="DG940" t="str">
        <f>INDEX('Data_Price '!AP$2:AP$1266,MATCH(Data!$DN940,'Data_Price '!$AT$2:$AT$1266,0))</f>
        <v>Next Adventure</v>
      </c>
      <c r="DH940">
        <f>INDEX('Data_Price '!AQ$2:AQ$1266,MATCH(Data!$DN940,'Data_Price '!$AT$2:$AT$1266,0))</f>
        <v>559.96</v>
      </c>
      <c r="DI940" t="str">
        <f>INDEX('Data_Price '!AR$2:AR$1266,MATCH(Data!$DN940,'Data_Price '!$AT$2:$AT$1266,0))</f>
        <v>https://tinyurl.com/yaoqlgwd</v>
      </c>
      <c r="DJ940" s="89" t="str">
        <f t="shared" si="550"/>
        <v>https://tinyurl.com/yavollr8</v>
      </c>
      <c r="DK940" s="89" t="str">
        <f t="shared" si="551"/>
        <v>https://tinyurl.com/ycutww8v</v>
      </c>
      <c r="DL940" s="89" t="str">
        <f t="shared" si="552"/>
        <v>https://tinyurl.com/yaoqlgwd</v>
      </c>
      <c r="DM940" s="219" t="str">
        <f t="shared" si="553"/>
        <v>M-Free 108</v>
      </c>
      <c r="DN940" s="89" t="str">
        <f t="shared" si="554"/>
        <v xml:space="preserve"> DynastarM-Free 108182 Unisex</v>
      </c>
      <c r="DO940" s="221" t="s">
        <v>494</v>
      </c>
    </row>
    <row r="941" spans="2:119" ht="15.6" customHeight="1">
      <c r="B941" s="219" t="b">
        <f t="array" ref="B941">IF(OR(ISERROR(K941:P941)),FALSE,TRUE)</f>
        <v>1</v>
      </c>
      <c r="C941" s="43" t="b">
        <f>OR(BR941=Driver!$G$50,Data!BR810=Driver!$H$50)</f>
        <v>1</v>
      </c>
      <c r="D941" s="43" t="b">
        <f>OR(BV941=Driver!$G$51,BV941=Driver!$H$51)</f>
        <v>0</v>
      </c>
      <c r="E941" s="43" t="b">
        <f>AND(BX941&gt;Driver!$F$54,BX941&lt;Driver!$G$54)</f>
        <v>1</v>
      </c>
      <c r="F941" s="43" t="b">
        <f>CL941&gt;Driver!$F$56</f>
        <v>1</v>
      </c>
      <c r="G941" s="43" t="b">
        <f>AND(CB941&gt;Driver!$F$55,CB941&lt;Driver!$G$55)</f>
        <v>0</v>
      </c>
      <c r="H941" s="43" t="b">
        <f t="shared" si="518"/>
        <v>0</v>
      </c>
      <c r="I941" s="43">
        <f t="shared" si="519"/>
        <v>0</v>
      </c>
      <c r="J941" s="43" t="b">
        <f t="array" ref="J941">NOT(OR(($H$9:$H$1273=TRUE)*($I$9:$I$1273&gt;0)*($BT$9:$BT$1273=BT941)*($K$9:$K$1273&gt;K941)))</f>
        <v>1</v>
      </c>
      <c r="K941" s="72">
        <f t="shared" si="520"/>
        <v>0.83600364028062202</v>
      </c>
      <c r="L941" s="72">
        <f t="shared" si="521"/>
        <v>0.86865545978506198</v>
      </c>
      <c r="M941" s="72">
        <f t="shared" si="522"/>
        <v>0.80335182077618206</v>
      </c>
      <c r="N941" s="72">
        <f t="shared" si="523"/>
        <v>0.87699921631536937</v>
      </c>
      <c r="O941" s="72">
        <f t="shared" si="524"/>
        <v>0.63457957686450461</v>
      </c>
      <c r="P941" s="72">
        <f t="shared" si="525"/>
        <v>0.89847666914867208</v>
      </c>
      <c r="Q941" s="72"/>
      <c r="R941" s="72"/>
      <c r="S941" s="72">
        <f t="shared" si="526"/>
        <v>0.40224116324167003</v>
      </c>
      <c r="T941" s="72">
        <f t="shared" si="527"/>
        <v>0.50082204882277459</v>
      </c>
      <c r="U941" s="72">
        <f t="shared" si="528"/>
        <v>0.56565458839968619</v>
      </c>
      <c r="V941" s="72">
        <f t="shared" si="529"/>
        <v>0.63553777127205946</v>
      </c>
      <c r="W941" s="72">
        <f t="shared" si="530"/>
        <v>0.87046401778271743</v>
      </c>
      <c r="X941" s="72">
        <f t="shared" si="531"/>
        <v>0.13134454021493797</v>
      </c>
      <c r="Y941" s="72">
        <f t="shared" si="532"/>
        <v>0.19664817922381797</v>
      </c>
      <c r="Z941" s="72">
        <f t="shared" si="533"/>
        <v>0.12300078368463059</v>
      </c>
      <c r="AA941" s="72">
        <f t="shared" si="534"/>
        <v>0.36542042313549544</v>
      </c>
      <c r="AB941" s="72">
        <f t="shared" si="535"/>
        <v>0.10152333085132789</v>
      </c>
      <c r="AC941" s="72"/>
      <c r="AD941" s="72"/>
      <c r="AE941" s="72">
        <f t="shared" si="536"/>
        <v>0.59775883675832997</v>
      </c>
      <c r="AF941" s="72">
        <f t="shared" si="537"/>
        <v>0.49917795117722535</v>
      </c>
      <c r="AG941" s="72">
        <f t="shared" si="538"/>
        <v>0.43434541160031376</v>
      </c>
      <c r="AH941" s="72">
        <f t="shared" si="539"/>
        <v>0.36446222872794054</v>
      </c>
      <c r="AI941" s="72">
        <f t="shared" si="540"/>
        <v>0.12953598221728257</v>
      </c>
      <c r="AJ941" s="72">
        <f>(AV941-Driver!$K$179)/(Driver!$L$179-Driver!$K$179)</f>
        <v>0.12287486906776245</v>
      </c>
      <c r="AK941" s="72">
        <f>(AW941-Driver!$K$180)/(Driver!$L$180-Driver!$K$180)</f>
        <v>0.15562728627390746</v>
      </c>
      <c r="AL941" s="72">
        <f>(AX941-Driver!$K$181)/(Driver!$L$181-Driver!$K$181)</f>
        <v>0.22468854739771077</v>
      </c>
      <c r="AM941" s="72">
        <f>(AY941-Driver!$K$182)/(Driver!$L$182-Driver!$K$182)</f>
        <v>8.1964597961550922E-2</v>
      </c>
      <c r="AN941" s="72">
        <f>(AZ941-Driver!$K$183)/(Driver!$L$183-Driver!$K$183)</f>
        <v>0.15269607843137253</v>
      </c>
      <c r="AO941" s="72"/>
      <c r="AP941" s="72"/>
      <c r="AQ941" s="72">
        <f>(BC941-Driver!$K$188)/(Driver!$L$188-Driver!$K$188)</f>
        <v>2.2241163241670046E-2</v>
      </c>
      <c r="AR941" s="72">
        <f>MIN((BD941-Driver!$K$189)/(Driver!$L$189-Driver!$K$189),100%)</f>
        <v>5.0822048822774697E-2</v>
      </c>
      <c r="AS941" s="72">
        <f>(BE941-Driver!$K$190)/(Driver!$L$190-Driver!$K$190)</f>
        <v>7.5654588399686265E-2</v>
      </c>
      <c r="AT941" s="72">
        <f>(BF941-Driver!$K$191)/(Driver!$L$191-Driver!$K$191)</f>
        <v>0.14553777127205947</v>
      </c>
      <c r="AU941" s="72">
        <f>(BG941-Driver!$K$192)/(Driver!$L$192-Driver!$K$192)</f>
        <v>0.12046401778271741</v>
      </c>
      <c r="AV941" s="70">
        <f t="shared" si="541"/>
        <v>2.5861484194817526</v>
      </c>
      <c r="AW941" s="70">
        <f t="shared" si="542"/>
        <v>17.039150666890137</v>
      </c>
      <c r="AX941" s="70">
        <f t="shared" si="543"/>
        <v>3.0221969265793969</v>
      </c>
      <c r="AY941" s="70">
        <f>IFERROR(Driver!$K$19/Data!BH941/Data!BI941*Data!BK941*Data!BL941,"")</f>
        <v>0.1003491237805836</v>
      </c>
      <c r="AZ941" s="70">
        <f t="shared" si="544"/>
        <v>13.916604616530156</v>
      </c>
      <c r="BA941" s="70"/>
      <c r="BB941" s="70"/>
      <c r="BC941" s="70">
        <f t="shared" si="545"/>
        <v>11.53664599151265</v>
      </c>
      <c r="BD941" s="70">
        <f t="shared" si="546"/>
        <v>6.2184841535713913</v>
      </c>
      <c r="BE941" s="70">
        <f t="shared" si="547"/>
        <v>7.5819481217164988E-2</v>
      </c>
      <c r="BF941" s="70">
        <f t="shared" si="548"/>
        <v>16.437468804468686</v>
      </c>
      <c r="BG941" s="70">
        <f t="shared" si="549"/>
        <v>0.45615361906085022</v>
      </c>
      <c r="BH941" s="67">
        <f>MAX((CE941-Driver!$F$200)/(Driver!$G$200-Driver!$F$200)*$BI$1,1)</f>
        <v>3.0221969265793969</v>
      </c>
      <c r="BI941" s="67">
        <f>MAX($BI$1*(BY941-Driver!$F$201)/(Driver!$G$201-Driver!$F$201),1)</f>
        <v>5.6329113924050631</v>
      </c>
      <c r="BJ941" s="67">
        <f>(CB941-Driver!$F$206)/(Driver!$G$206-Driver!$F$206)*$BI$1</f>
        <v>3.9682539682539679</v>
      </c>
      <c r="BK941" s="67">
        <f>(CD941-Driver!$F$203)/(Driver!$G$203-Driver!$F$203)*$BI$1</f>
        <v>1.6513761467889909</v>
      </c>
      <c r="BL941" s="67">
        <f>MAX((CR941-Driver!$F$202)/(Driver!$G$202-Driver!$F$202)*$BI$1,1)</f>
        <v>5.1724137931034484</v>
      </c>
      <c r="BM941" s="67">
        <f>MAX((CH941-Driver!$F$204)/(Driver!$G$204-Driver!$F$204)*$BI$1,1)</f>
        <v>2.6068376068376069</v>
      </c>
      <c r="BN941" s="67">
        <f>(CI941-Driver!$F$205)/(Driver!$G$205-Driver!$F$205)*$BI$1</f>
        <v>2.4705882352941178</v>
      </c>
      <c r="BO941" s="67">
        <f>(CK941-Driver!$F$207)/(Driver!$G$207-Driver!$F$207)*$BI$1</f>
        <v>2.5025853154084796</v>
      </c>
      <c r="BP941" s="67">
        <f>(CM941-Driver!$F$208)/(Driver!$G$208-Driver!$F$208)*$BI$1</f>
        <v>2.7333333333333334</v>
      </c>
      <c r="BQ941" s="67">
        <f>(CL941-Driver!$F$209)/(Driver!$G$209-Driver!$F$209)*$BI$1</f>
        <v>3.59375</v>
      </c>
      <c r="BR941" s="28" t="s">
        <v>155</v>
      </c>
      <c r="BS941" s="8" t="s">
        <v>215</v>
      </c>
      <c r="BT941" s="9" t="s">
        <v>727</v>
      </c>
      <c r="BU941" s="10">
        <v>158</v>
      </c>
      <c r="BV941" s="9" t="s">
        <v>163</v>
      </c>
      <c r="BW941" s="10">
        <v>158</v>
      </c>
      <c r="BX941" s="10">
        <v>157.1</v>
      </c>
      <c r="BY941" s="10">
        <v>97</v>
      </c>
      <c r="BZ941" s="10">
        <v>127</v>
      </c>
      <c r="CA941" s="10">
        <v>125</v>
      </c>
      <c r="CB941" s="10">
        <v>89</v>
      </c>
      <c r="CC941" s="10">
        <v>111</v>
      </c>
      <c r="CD941" s="10">
        <v>13</v>
      </c>
      <c r="CE941" s="10">
        <v>1431</v>
      </c>
      <c r="CF941" s="10">
        <v>1.1000000000000001</v>
      </c>
      <c r="CG941" s="10">
        <v>1572</v>
      </c>
      <c r="CH941" s="10">
        <v>162</v>
      </c>
      <c r="CI941" s="10">
        <v>75</v>
      </c>
      <c r="CJ941" s="10">
        <v>44</v>
      </c>
      <c r="CK941" s="10">
        <v>352</v>
      </c>
      <c r="CL941" s="10">
        <v>23</v>
      </c>
      <c r="CM941" s="10">
        <v>246</v>
      </c>
      <c r="CN941" s="10">
        <v>0.51800000000000002</v>
      </c>
      <c r="CO941" s="10">
        <v>136</v>
      </c>
      <c r="CP941" s="10">
        <v>160</v>
      </c>
      <c r="CQ941" s="10">
        <v>216</v>
      </c>
      <c r="CR941" s="10">
        <v>4</v>
      </c>
      <c r="CS941" s="10">
        <v>8.3000000000000007</v>
      </c>
      <c r="CT941" s="9" t="s">
        <v>188</v>
      </c>
      <c r="CU941" s="9" t="s">
        <v>185</v>
      </c>
      <c r="CV941" s="10"/>
      <c r="CW941" s="10"/>
      <c r="CX941" t="str">
        <f>INDEX('Data_Price '!AG$2:AG$1266,MATCH(Data!$DN941,'Data_Price '!$AT$2:$AT$1266,0))</f>
        <v>'21 Liberty Genesis 90 Skis 158cm</v>
      </c>
      <c r="CY941" t="str">
        <f>INDEX('Data_Price '!AH$2:AH$1266,MATCH(Data!$DN941,'Data_Price '!$AT$2:$AT$1266,0))</f>
        <v>Al's Ski Equipment Barn</v>
      </c>
      <c r="CZ941">
        <f>INDEX('Data_Price '!AI$2:AI$1266,MATCH(Data!$DN941,'Data_Price '!$AT$2:$AT$1266,0))</f>
        <v>399.95</v>
      </c>
      <c r="DA941" t="str">
        <f>INDEX('Data_Price '!AJ$2:AJ$1266,MATCH(Data!$DN941,'Data_Price '!$AT$2:$AT$1266,0))</f>
        <v>https://tinyurl.com/yd4b6od7</v>
      </c>
      <c r="DB941" t="str">
        <f>INDEX('Data_Price '!AK$2:AK$1266,MATCH(Data!$DN941,'Data_Price '!$AT$2:$AT$1266,0))</f>
        <v>Liberty Skis Women ' S Genesis 90 Ski</v>
      </c>
      <c r="DC941" t="str">
        <f>INDEX('Data_Price '!AL$2:AL$1266,MATCH(Data!$DN941,'Data_Price '!$AT$2:$AT$1266,0))</f>
        <v>ColoradoSkiShop.com</v>
      </c>
      <c r="DD941">
        <f>INDEX('Data_Price '!AM$2:AM$1266,MATCH(Data!$DN941,'Data_Price '!$AT$2:$AT$1266,0))</f>
        <v>439.99</v>
      </c>
      <c r="DE941" t="str">
        <f>INDEX('Data_Price '!AN$2:AN$1266,MATCH(Data!$DN941,'Data_Price '!$AT$2:$AT$1266,0))</f>
        <v>https://tinyurl.com/ydab8lfx</v>
      </c>
      <c r="DF941" t="str">
        <f>INDEX('Data_Price '!AO$2:AO$1266,MATCH(Data!$DN941,'Data_Price '!$AT$2:$AT$1266,0))</f>
        <v>Liberty Skis Women ' S Genesis 90 Ski</v>
      </c>
      <c r="DG941" t="str">
        <f>INDEX('Data_Price '!AP$2:AP$1266,MATCH(Data!$DN941,'Data_Price '!$AT$2:$AT$1266,0))</f>
        <v>Christy Sports</v>
      </c>
      <c r="DH941">
        <f>INDEX('Data_Price '!AQ$2:AQ$1266,MATCH(Data!$DN941,'Data_Price '!$AT$2:$AT$1266,0))</f>
        <v>529.99</v>
      </c>
      <c r="DI941" t="str">
        <f>INDEX('Data_Price '!AR$2:AR$1266,MATCH(Data!$DN941,'Data_Price '!$AT$2:$AT$1266,0))</f>
        <v>https://tinyurl.com/yc3yemce</v>
      </c>
      <c r="DJ941" s="89" t="str">
        <f t="shared" si="550"/>
        <v>https://tinyurl.com/yd4b6od7</v>
      </c>
      <c r="DK941" s="89" t="str">
        <f t="shared" si="551"/>
        <v>https://tinyurl.com/ydab8lfx</v>
      </c>
      <c r="DL941" s="89" t="str">
        <f t="shared" si="552"/>
        <v>https://tinyurl.com/yc3yemce</v>
      </c>
      <c r="DM941" s="219" t="str">
        <f t="shared" si="553"/>
        <v>Genesis 90</v>
      </c>
      <c r="DN941" s="89" t="str">
        <f t="shared" si="554"/>
        <v xml:space="preserve"> LibertyGenesis 90158 Women's</v>
      </c>
      <c r="DO941" s="221"/>
    </row>
    <row r="942" spans="2:119" ht="15.6" customHeight="1">
      <c r="B942" s="219" t="b">
        <f t="array" ref="B942">IF(OR(ISERROR(K942:P942)),FALSE,TRUE)</f>
        <v>1</v>
      </c>
      <c r="C942" s="43" t="b">
        <f>OR(BR942=Driver!$G$50,Data!BR74=Driver!$H$50)</f>
        <v>1</v>
      </c>
      <c r="D942" s="43" t="b">
        <f>OR(BV942=Driver!$G$51,BV942=Driver!$H$51)</f>
        <v>1</v>
      </c>
      <c r="E942" s="43" t="b">
        <f>AND(BX942&gt;Driver!$F$54,BX942&lt;Driver!$G$54)</f>
        <v>0</v>
      </c>
      <c r="F942" s="43" t="b">
        <f>CL942&gt;Driver!$F$56</f>
        <v>1</v>
      </c>
      <c r="G942" s="43" t="b">
        <f>AND(CB942&gt;Driver!$F$55,CB942&lt;Driver!$G$55)</f>
        <v>0</v>
      </c>
      <c r="H942" s="43" t="b">
        <f t="shared" si="518"/>
        <v>0</v>
      </c>
      <c r="I942" s="43">
        <f t="shared" si="519"/>
        <v>0</v>
      </c>
      <c r="J942" s="43" t="b">
        <f t="array" ref="J942">NOT(OR(($H$9:$H$1273=TRUE)*($I$9:$I$1273&gt;0)*($BT$9:$BT$1273=BT942)*($K$9:$K$1273&gt;K942)))</f>
        <v>1</v>
      </c>
      <c r="K942" s="72">
        <f t="shared" si="520"/>
        <v>0.79716842757634454</v>
      </c>
      <c r="L942" s="72">
        <f t="shared" si="521"/>
        <v>0.95182637084905286</v>
      </c>
      <c r="M942" s="72">
        <f t="shared" si="522"/>
        <v>0.64251048430363622</v>
      </c>
      <c r="N942" s="72">
        <f t="shared" si="523"/>
        <v>0.60696822915290816</v>
      </c>
      <c r="O942" s="72">
        <f t="shared" si="524"/>
        <v>0.65310852035765321</v>
      </c>
      <c r="P942" s="72">
        <f t="shared" si="525"/>
        <v>0.66745470340034752</v>
      </c>
      <c r="Q942" s="72"/>
      <c r="R942" s="72"/>
      <c r="S942" s="72">
        <f t="shared" si="526"/>
        <v>0.57417715973070971</v>
      </c>
      <c r="T942" s="72">
        <f t="shared" si="527"/>
        <v>0.58915184500943085</v>
      </c>
      <c r="U942" s="72">
        <f t="shared" si="528"/>
        <v>0.77245244138106983</v>
      </c>
      <c r="V942" s="72">
        <f t="shared" si="529"/>
        <v>0.51126768679158019</v>
      </c>
      <c r="W942" s="72">
        <f t="shared" si="530"/>
        <v>0.77038419368889022</v>
      </c>
      <c r="X942" s="72">
        <f t="shared" si="531"/>
        <v>4.8173629150947139E-2</v>
      </c>
      <c r="Y942" s="72">
        <f t="shared" si="532"/>
        <v>0.35748951569636372</v>
      </c>
      <c r="Z942" s="72">
        <f t="shared" si="533"/>
        <v>0.39303177084709184</v>
      </c>
      <c r="AA942" s="72">
        <f t="shared" si="534"/>
        <v>0.34689147964234684</v>
      </c>
      <c r="AB942" s="72">
        <f t="shared" si="535"/>
        <v>0.33254529659965243</v>
      </c>
      <c r="AC942" s="72"/>
      <c r="AD942" s="72"/>
      <c r="AE942" s="72">
        <f t="shared" si="536"/>
        <v>0.42582284026929024</v>
      </c>
      <c r="AF942" s="72">
        <f t="shared" si="537"/>
        <v>0.41084815499056909</v>
      </c>
      <c r="AG942" s="72">
        <f t="shared" si="538"/>
        <v>0.22754755861893017</v>
      </c>
      <c r="AH942" s="72">
        <f t="shared" si="539"/>
        <v>0.48873231320841981</v>
      </c>
      <c r="AI942" s="72">
        <f t="shared" si="540"/>
        <v>0.22961580631110978</v>
      </c>
      <c r="AJ942" s="72">
        <f>(AV942-Driver!$K$179)/(Driver!$L$179-Driver!$K$179)</f>
        <v>0.30239303843364757</v>
      </c>
      <c r="AK942" s="72">
        <f>(AW942-Driver!$K$180)/(Driver!$L$180-Driver!$K$180)</f>
        <v>0.58671839984449636</v>
      </c>
      <c r="AL942" s="72">
        <f>(AX942-Driver!$K$181)/(Driver!$L$181-Driver!$K$181)</f>
        <v>0.49471953456017204</v>
      </c>
      <c r="AM942" s="72">
        <f>(AY942-Driver!$K$182)/(Driver!$L$182-Driver!$K$182)</f>
        <v>0.10049354145469953</v>
      </c>
      <c r="AN942" s="72">
        <f>(AZ942-Driver!$K$183)/(Driver!$L$183-Driver!$K$183)</f>
        <v>0.58676470588235285</v>
      </c>
      <c r="AO942" s="72"/>
      <c r="AP942" s="72"/>
      <c r="AQ942" s="72">
        <f>(BC942-Driver!$K$188)/(Driver!$L$188-Driver!$K$188)</f>
        <v>0.19417715973070976</v>
      </c>
      <c r="AR942" s="72">
        <f>MIN((BD942-Driver!$K$189)/(Driver!$L$189-Driver!$K$189),100%)</f>
        <v>0.13915184500943095</v>
      </c>
      <c r="AS942" s="72">
        <f>(BE942-Driver!$K$190)/(Driver!$L$190-Driver!$K$190)</f>
        <v>0.28245244138106984</v>
      </c>
      <c r="AT942" s="72">
        <f>(BF942-Driver!$K$191)/(Driver!$L$191-Driver!$K$191)</f>
        <v>2.1267686791580181E-2</v>
      </c>
      <c r="AU942" s="72">
        <f>(BG942-Driver!$K$192)/(Driver!$L$192-Driver!$K$192)</f>
        <v>2.0384193688890221E-2</v>
      </c>
      <c r="AV942" s="70">
        <f t="shared" si="541"/>
        <v>6.364468864468865</v>
      </c>
      <c r="AW942" s="70">
        <f t="shared" si="542"/>
        <v>59.052799540198123</v>
      </c>
      <c r="AX942" s="70">
        <f t="shared" si="543"/>
        <v>5.4524758110415483</v>
      </c>
      <c r="AY942" s="70">
        <f>IFERROR(Driver!$K$19/Data!BH942/Data!BI942*Data!BK942*Data!BL942,"")</f>
        <v>0.12303407911934613</v>
      </c>
      <c r="AZ942" s="70">
        <f t="shared" si="544"/>
        <v>53.477289650037228</v>
      </c>
      <c r="BA942" s="70"/>
      <c r="BB942" s="70"/>
      <c r="BC942" s="70">
        <f t="shared" si="545"/>
        <v>100.72104265003343</v>
      </c>
      <c r="BD942" s="70">
        <f t="shared" si="546"/>
        <v>14.035514604952878</v>
      </c>
      <c r="BE942" s="70">
        <f t="shared" si="547"/>
        <v>0.28258044378918568</v>
      </c>
      <c r="BF942" s="70">
        <f t="shared" si="548"/>
        <v>2.4020358091530301</v>
      </c>
      <c r="BG942" s="70">
        <f t="shared" si="549"/>
        <v>7.7187561015905432E-2</v>
      </c>
      <c r="BH942" s="67">
        <f>MAX((CE942-Driver!$F$200)/(Driver!$G$200-Driver!$F$200)*$BI$1,1)</f>
        <v>5.4524758110415483</v>
      </c>
      <c r="BI942" s="67">
        <f>MAX($BI$1*(BY942-Driver!$F$201)/(Driver!$G$201-Driver!$F$201),1)</f>
        <v>8.4177215189873422</v>
      </c>
      <c r="BJ942" s="67">
        <f>(CB942-Driver!$F$206)/(Driver!$G$206-Driver!$F$206)*$BI$1</f>
        <v>4.2857142857142856</v>
      </c>
      <c r="BK942" s="67">
        <f>(CD942-Driver!$F$203)/(Driver!$G$203-Driver!$F$203)*$BI$1</f>
        <v>3.8990825688073394</v>
      </c>
      <c r="BL942" s="67">
        <f>MAX((CR942-Driver!$F$202)/(Driver!$G$202-Driver!$F$202)*$BI$1,1)</f>
        <v>7.2413793103448274</v>
      </c>
      <c r="BM942" s="67">
        <f>MAX((CH942-Driver!$F$204)/(Driver!$G$204-Driver!$F$204)*$BI$1,1)</f>
        <v>5.9401709401709404</v>
      </c>
      <c r="BN942" s="67">
        <f>(CI942-Driver!$F$205)/(Driver!$G$205-Driver!$F$205)*$BI$1</f>
        <v>6.3529411764705879</v>
      </c>
      <c r="BO942" s="67">
        <f>(CK942-Driver!$F$207)/(Driver!$G$207-Driver!$F$207)*$BI$1</f>
        <v>1.3753877973112718</v>
      </c>
      <c r="BP942" s="67">
        <f>(CM942-Driver!$F$208)/(Driver!$G$208-Driver!$F$208)*$BI$1</f>
        <v>1.5888888888888888</v>
      </c>
      <c r="BQ942" s="67">
        <f>(CL942-Driver!$F$209)/(Driver!$G$209-Driver!$F$209)*$BI$1</f>
        <v>2.5</v>
      </c>
      <c r="BR942" s="28" t="s">
        <v>155</v>
      </c>
      <c r="BS942" s="8" t="s">
        <v>182</v>
      </c>
      <c r="BT942" s="9" t="s">
        <v>271</v>
      </c>
      <c r="BU942" s="10">
        <v>180</v>
      </c>
      <c r="BV942" s="9" t="s">
        <v>158</v>
      </c>
      <c r="BW942" s="10">
        <v>180</v>
      </c>
      <c r="BX942" s="10">
        <v>179.8</v>
      </c>
      <c r="BY942" s="10">
        <v>141</v>
      </c>
      <c r="BZ942" s="10">
        <v>154</v>
      </c>
      <c r="CA942" s="10">
        <v>130</v>
      </c>
      <c r="CB942" s="10">
        <v>91</v>
      </c>
      <c r="CC942" s="10">
        <v>116</v>
      </c>
      <c r="CD942" s="10">
        <v>17.899999999999999</v>
      </c>
      <c r="CE942" s="10">
        <v>1858</v>
      </c>
      <c r="CF942" s="10">
        <v>1.01</v>
      </c>
      <c r="CG942" s="10">
        <v>1871</v>
      </c>
      <c r="CH942" s="10">
        <v>240</v>
      </c>
      <c r="CI942" s="10">
        <v>141</v>
      </c>
      <c r="CJ942" s="10">
        <v>45</v>
      </c>
      <c r="CK942" s="10">
        <v>243</v>
      </c>
      <c r="CL942" s="10">
        <v>16</v>
      </c>
      <c r="CM942" s="10">
        <v>143</v>
      </c>
      <c r="CN942" s="10">
        <v>0.35599999999999998</v>
      </c>
      <c r="CO942" s="10">
        <v>159</v>
      </c>
      <c r="CP942" s="10">
        <v>95</v>
      </c>
      <c r="CQ942" s="10">
        <v>84</v>
      </c>
      <c r="CR942" s="10">
        <v>10</v>
      </c>
      <c r="CS942" s="10">
        <v>10.5</v>
      </c>
      <c r="CT942" s="9" t="s">
        <v>188</v>
      </c>
      <c r="CU942" s="10"/>
      <c r="CV942" s="10"/>
      <c r="CW942" s="10"/>
      <c r="CX942" t="str">
        <f>INDEX('Data_Price '!AG$2:AG$1266,MATCH(Data!$DN942,'Data_Price '!$AT$2:$AT$1266,0))</f>
        <v>Armada Declivity 92 Ti</v>
      </c>
      <c r="CY942" t="str">
        <f>INDEX('Data_Price '!AH$2:AH$1266,MATCH(Data!$DN942,'Data_Price '!$AT$2:$AT$1266,0))</f>
        <v>Ski Pro  - Snow Ski &amp; Snowboard</v>
      </c>
      <c r="CZ942">
        <f>INDEX('Data_Price '!AI$2:AI$1266,MATCH(Data!$DN942,'Data_Price '!$AT$2:$AT$1266,0))</f>
        <v>519.95000000000005</v>
      </c>
      <c r="DA942" t="str">
        <f>INDEX('Data_Price '!AJ$2:AJ$1266,MATCH(Data!$DN942,'Data_Price '!$AT$2:$AT$1266,0))</f>
        <v>https://tinyurl.com/y93lne35</v>
      </c>
      <c r="DB942" t="str">
        <f>INDEX('Data_Price '!AK$2:AK$1266,MATCH(Data!$DN942,'Data_Price '!$AT$2:$AT$1266,0))</f>
        <v>Armada Declivity 92 Ti</v>
      </c>
      <c r="DC942" t="str">
        <f>INDEX('Data_Price '!AL$2:AL$1266,MATCH(Data!$DN942,'Data_Price '!$AT$2:$AT$1266,0))</f>
        <v>Powder7 Ski Shop</v>
      </c>
      <c r="DD942">
        <f>INDEX('Data_Price '!AM$2:AM$1266,MATCH(Data!$DN942,'Data_Price '!$AT$2:$AT$1266,0))</f>
        <v>619.95000000000005</v>
      </c>
      <c r="DE942" t="str">
        <f>INDEX('Data_Price '!AN$2:AN$1266,MATCH(Data!$DN942,'Data_Price '!$AT$2:$AT$1266,0))</f>
        <v>https://tinyurl.com/ybshsqyv</v>
      </c>
      <c r="DF942" t="str">
        <f>INDEX('Data_Price '!AO$2:AO$1266,MATCH(Data!$DN942,'Data_Price '!$AT$2:$AT$1266,0))</f>
        <v>Armada Declivity 92 Ti</v>
      </c>
      <c r="DG942" t="str">
        <f>INDEX('Data_Price '!AP$2:AP$1266,MATCH(Data!$DN942,'Data_Price '!$AT$2:$AT$1266,0))</f>
        <v xml:space="preserve">Aspen East </v>
      </c>
      <c r="DH942">
        <f>INDEX('Data_Price '!AQ$2:AQ$1266,MATCH(Data!$DN942,'Data_Price '!$AT$2:$AT$1266,0))</f>
        <v>649</v>
      </c>
      <c r="DI942" t="str">
        <f>INDEX('Data_Price '!AR$2:AR$1266,MATCH(Data!$DN942,'Data_Price '!$AT$2:$AT$1266,0))</f>
        <v>https://tinyurl.com/ybj3l2d9</v>
      </c>
      <c r="DJ942" s="89" t="str">
        <f t="shared" si="550"/>
        <v>https://tinyurl.com/y93lne35</v>
      </c>
      <c r="DK942" s="89" t="str">
        <f t="shared" si="551"/>
        <v>https://tinyurl.com/ybshsqyv</v>
      </c>
      <c r="DL942" s="89" t="str">
        <f t="shared" si="552"/>
        <v>https://tinyurl.com/ybj3l2d9</v>
      </c>
      <c r="DM942" s="219" t="str">
        <f t="shared" si="553"/>
        <v>Declivity 92 Ti</v>
      </c>
      <c r="DN942" s="89" t="str">
        <f t="shared" si="554"/>
        <v xml:space="preserve"> ArmadaDeclivity 92 Ti180 Unisex</v>
      </c>
      <c r="DO942" s="221" t="s">
        <v>272</v>
      </c>
    </row>
    <row r="943" spans="2:119" ht="15.6" customHeight="1">
      <c r="B943" s="219" t="b">
        <f t="array" ref="B943">IF(OR(ISERROR(K943:P943)),FALSE,TRUE)</f>
        <v>1</v>
      </c>
      <c r="C943" s="43" t="b">
        <f>OR(BR943=Driver!$G$50,Data!BR1012=Driver!$H$50)</f>
        <v>1</v>
      </c>
      <c r="D943" s="43" t="b">
        <f>OR(BV943=Driver!$G$51,BV943=Driver!$H$51)</f>
        <v>0</v>
      </c>
      <c r="E943" s="43" t="b">
        <f>AND(BX943&gt;Driver!$F$54,BX943&lt;Driver!$G$54)</f>
        <v>0</v>
      </c>
      <c r="F943" s="43" t="b">
        <f>CL943&gt;Driver!$F$56</f>
        <v>1</v>
      </c>
      <c r="G943" s="43" t="b">
        <f>AND(CB943&gt;Driver!$F$55,CB943&lt;Driver!$G$55)</f>
        <v>0</v>
      </c>
      <c r="H943" s="43" t="b">
        <f t="shared" si="518"/>
        <v>0</v>
      </c>
      <c r="I943" s="43">
        <f t="shared" si="519"/>
        <v>0</v>
      </c>
      <c r="J943" s="43" t="b">
        <f t="array" ref="J943">NOT(OR(($H$9:$H$1273=TRUE)*($I$9:$I$1273&gt;0)*($BT$9:$BT$1273=BT943)*($K$9:$K$1273&gt;K943)))</f>
        <v>1</v>
      </c>
      <c r="K943" s="72">
        <f t="shared" si="520"/>
        <v>0.7905205333490023</v>
      </c>
      <c r="L943" s="72">
        <f t="shared" si="521"/>
        <v>0.83989065437051047</v>
      </c>
      <c r="M943" s="72">
        <f t="shared" si="522"/>
        <v>0.74115041232749412</v>
      </c>
      <c r="N943" s="72">
        <f t="shared" si="523"/>
        <v>0.76949273430689535</v>
      </c>
      <c r="O943" s="72">
        <f t="shared" si="524"/>
        <v>0.59036745444194771</v>
      </c>
      <c r="P943" s="72">
        <f t="shared" si="525"/>
        <v>0.86359104823363941</v>
      </c>
      <c r="Q943" s="72"/>
      <c r="R943" s="72"/>
      <c r="S943" s="72">
        <f t="shared" si="526"/>
        <v>0.39191656166194344</v>
      </c>
      <c r="T943" s="72">
        <f t="shared" si="527"/>
        <v>0.8260323940603217</v>
      </c>
      <c r="U943" s="72">
        <f t="shared" si="528"/>
        <v>0.85016932957720937</v>
      </c>
      <c r="V943" s="72">
        <f t="shared" si="529"/>
        <v>0.54472337545341443</v>
      </c>
      <c r="W943" s="72">
        <f t="shared" si="530"/>
        <v>0.79309792273269109</v>
      </c>
      <c r="X943" s="72">
        <f t="shared" si="531"/>
        <v>0.16010934562948959</v>
      </c>
      <c r="Y943" s="72">
        <f t="shared" si="532"/>
        <v>0.25884958767250582</v>
      </c>
      <c r="Z943" s="72">
        <f t="shared" si="533"/>
        <v>0.23050726569310465</v>
      </c>
      <c r="AA943" s="72">
        <f t="shared" si="534"/>
        <v>0.40963254555805229</v>
      </c>
      <c r="AB943" s="72">
        <f t="shared" si="535"/>
        <v>0.13640895176636056</v>
      </c>
      <c r="AC943" s="72"/>
      <c r="AD943" s="72"/>
      <c r="AE943" s="72">
        <f t="shared" si="536"/>
        <v>0.60808343833805656</v>
      </c>
      <c r="AF943" s="72">
        <f t="shared" si="537"/>
        <v>0.1739676059396783</v>
      </c>
      <c r="AG943" s="72">
        <f t="shared" si="538"/>
        <v>0.14983067042279063</v>
      </c>
      <c r="AH943" s="72">
        <f t="shared" si="539"/>
        <v>0.45527662454658557</v>
      </c>
      <c r="AI943" s="72">
        <f t="shared" si="540"/>
        <v>0.20690207726730894</v>
      </c>
      <c r="AJ943" s="72">
        <f>(AV943-Driver!$K$179)/(Driver!$L$179-Driver!$K$179)</f>
        <v>9.411006365321084E-2</v>
      </c>
      <c r="AK943" s="72">
        <f>(AW943-Driver!$K$180)/(Driver!$L$180-Driver!$K$180)</f>
        <v>0.13237625024473321</v>
      </c>
      <c r="AL943" s="72">
        <f>(AX943-Driver!$K$181)/(Driver!$L$181-Driver!$K$181)</f>
        <v>0.33219502940618484</v>
      </c>
      <c r="AM943" s="72">
        <f>(AY943-Driver!$K$182)/(Driver!$L$182-Driver!$K$182)</f>
        <v>3.7752475538994093E-2</v>
      </c>
      <c r="AN943" s="72">
        <f>(AZ943-Driver!$K$183)/(Driver!$L$183-Driver!$K$183)</f>
        <v>0.11781045751633987</v>
      </c>
      <c r="AO943" s="72"/>
      <c r="AP943" s="72"/>
      <c r="AQ943" s="72">
        <f>(BC943-Driver!$K$188)/(Driver!$L$188-Driver!$K$188)</f>
        <v>1.1916561661943478E-2</v>
      </c>
      <c r="AR943" s="72">
        <f>MIN((BD943-Driver!$K$189)/(Driver!$L$189-Driver!$K$189),100%)</f>
        <v>0.37603239406032174</v>
      </c>
      <c r="AS943" s="72">
        <f>(BE943-Driver!$K$190)/(Driver!$L$190-Driver!$K$190)</f>
        <v>0.36016932957720937</v>
      </c>
      <c r="AT943" s="72">
        <f>(BF943-Driver!$K$191)/(Driver!$L$191-Driver!$K$191)</f>
        <v>5.4723375453414463E-2</v>
      </c>
      <c r="AU943" s="72">
        <f>(BG943-Driver!$K$192)/(Driver!$L$192-Driver!$K$192)</f>
        <v>4.3097922732691064E-2</v>
      </c>
      <c r="AV943" s="70">
        <f t="shared" si="541"/>
        <v>1.9807353140686472</v>
      </c>
      <c r="AW943" s="70">
        <f t="shared" si="542"/>
        <v>14.773131180709278</v>
      </c>
      <c r="AX943" s="70">
        <f t="shared" si="543"/>
        <v>3.9897552646556633</v>
      </c>
      <c r="AY943" s="70">
        <f>IFERROR(Driver!$K$19/Data!BH943/Data!BI943*Data!BK943*Data!BL943,"")</f>
        <v>4.6220294311247648E-2</v>
      </c>
      <c r="AZ943" s="70">
        <f t="shared" si="544"/>
        <v>10.737155621742367</v>
      </c>
      <c r="BA943" s="70"/>
      <c r="BB943" s="70"/>
      <c r="BC943" s="70">
        <f t="shared" si="545"/>
        <v>6.1812033766427525</v>
      </c>
      <c r="BD943" s="70">
        <f t="shared" si="546"/>
        <v>34.999023468460379</v>
      </c>
      <c r="BE943" s="70">
        <f t="shared" si="547"/>
        <v>0.36028346816721185</v>
      </c>
      <c r="BF943" s="70">
        <f t="shared" si="548"/>
        <v>6.1806208039920536</v>
      </c>
      <c r="BG943" s="70">
        <f t="shared" si="549"/>
        <v>0.1631962289684013</v>
      </c>
      <c r="BH943" s="67">
        <f>MAX((CE943-Driver!$F$200)/(Driver!$G$200-Driver!$F$200)*$BI$1,1)</f>
        <v>3.9897552646556633</v>
      </c>
      <c r="BI943" s="67">
        <f>MAX($BI$1*(BY943-Driver!$F$201)/(Driver!$G$201-Driver!$F$201),1)</f>
        <v>6.518987341772152</v>
      </c>
      <c r="BJ943" s="67">
        <f>(CB943-Driver!$F$206)/(Driver!$G$206-Driver!$F$206)*$BI$1</f>
        <v>2.5396825396825395</v>
      </c>
      <c r="BK943" s="67">
        <f>(CD943-Driver!$F$203)/(Driver!$G$203-Driver!$F$203)*$BI$1</f>
        <v>0.91743119266055051</v>
      </c>
      <c r="BL943" s="67">
        <f>MAX((CR943-Driver!$F$202)/(Driver!$G$202-Driver!$F$202)*$BI$1,1)</f>
        <v>6.5517241379310338</v>
      </c>
      <c r="BM943" s="67">
        <f>MAX((CH943-Driver!$F$204)/(Driver!$G$204-Driver!$F$204)*$BI$1,1)</f>
        <v>3.1196581196581197</v>
      </c>
      <c r="BN943" s="67">
        <f>(CI943-Driver!$F$205)/(Driver!$G$205-Driver!$F$205)*$BI$1</f>
        <v>1.6470588235294117</v>
      </c>
      <c r="BO943" s="67">
        <f>(CK943-Driver!$F$207)/(Driver!$G$207-Driver!$F$207)*$BI$1</f>
        <v>1.5822130299896586</v>
      </c>
      <c r="BP943" s="67">
        <f>(CM943-Driver!$F$208)/(Driver!$G$208-Driver!$F$208)*$BI$1</f>
        <v>1.411111111111111</v>
      </c>
      <c r="BQ943" s="67">
        <f>(CL943-Driver!$F$209)/(Driver!$G$209-Driver!$F$209)*$BI$1</f>
        <v>2.03125</v>
      </c>
      <c r="BR943" s="28" t="s">
        <v>155</v>
      </c>
      <c r="BS943" s="8" t="s">
        <v>172</v>
      </c>
      <c r="BT943" s="9" t="s">
        <v>701</v>
      </c>
      <c r="BU943" s="10">
        <v>151</v>
      </c>
      <c r="BV943" s="9" t="s">
        <v>163</v>
      </c>
      <c r="BW943" s="10">
        <v>151</v>
      </c>
      <c r="BX943" s="10">
        <v>150.4</v>
      </c>
      <c r="BY943" s="10">
        <v>111</v>
      </c>
      <c r="BZ943" s="10">
        <v>136</v>
      </c>
      <c r="CA943" s="10">
        <v>125</v>
      </c>
      <c r="CB943" s="10">
        <v>80</v>
      </c>
      <c r="CC943" s="10">
        <v>113</v>
      </c>
      <c r="CD943" s="10">
        <v>11.4</v>
      </c>
      <c r="CE943" s="10">
        <v>1601</v>
      </c>
      <c r="CF943" s="10">
        <v>0.89</v>
      </c>
      <c r="CG943" s="10">
        <v>1425</v>
      </c>
      <c r="CH943" s="10">
        <v>174</v>
      </c>
      <c r="CI943" s="10">
        <v>61</v>
      </c>
      <c r="CJ943" s="10">
        <v>49</v>
      </c>
      <c r="CK943" s="10">
        <v>263</v>
      </c>
      <c r="CL943" s="10">
        <v>13</v>
      </c>
      <c r="CM943" s="10">
        <v>127</v>
      </c>
      <c r="CN943" s="10">
        <v>0.25900000000000001</v>
      </c>
      <c r="CO943" s="10">
        <v>76</v>
      </c>
      <c r="CP943" s="10">
        <v>68</v>
      </c>
      <c r="CQ943" s="10">
        <v>187</v>
      </c>
      <c r="CR943" s="10">
        <v>8</v>
      </c>
      <c r="CS943" s="10">
        <v>6.8</v>
      </c>
      <c r="CT943" s="9" t="s">
        <v>160</v>
      </c>
      <c r="CU943" s="10"/>
      <c r="CV943" s="10"/>
      <c r="CW943" s="10"/>
      <c r="CX943" t="str">
        <f>INDEX('Data_Price '!AG$2:AG$1266,MATCH(Data!$DN943,'Data_Price '!$AT$2:$AT$1266,0))</f>
        <v>Rossignol Experience W 82 Basalt W XP11 151cm</v>
      </c>
      <c r="CY943" t="str">
        <f>INDEX('Data_Price '!AH$2:AH$1266,MATCH(Data!$DN943,'Data_Price '!$AT$2:$AT$1266,0))</f>
        <v>Sundance Ski and Board Shop</v>
      </c>
      <c r="CZ943">
        <f>INDEX('Data_Price '!AI$2:AI$1266,MATCH(Data!$DN943,'Data_Price '!$AT$2:$AT$1266,0))</f>
        <v>641.15</v>
      </c>
      <c r="DA943" t="str">
        <f>INDEX('Data_Price '!AJ$2:AJ$1266,MATCH(Data!$DN943,'Data_Price '!$AT$2:$AT$1266,0))</f>
        <v>https://tinyurl.com/yawxgekz</v>
      </c>
      <c r="DB943" t="str">
        <f>INDEX('Data_Price '!AK$2:AK$1266,MATCH(Data!$DN943,'Data_Price '!$AT$2:$AT$1266,0))</f>
        <v>Rossignol Experience W 82 Basalt Skis w/ XPRess W 11 GW Bindings</v>
      </c>
      <c r="DC943" t="str">
        <f>INDEX('Data_Price '!AL$2:AL$1266,MATCH(Data!$DN943,'Data_Price '!$AT$2:$AT$1266,0))</f>
        <v>Cole Sport</v>
      </c>
      <c r="DD943">
        <f>INDEX('Data_Price '!AM$2:AM$1266,MATCH(Data!$DN943,'Data_Price '!$AT$2:$AT$1266,0))</f>
        <v>699.95</v>
      </c>
      <c r="DE943" t="str">
        <f>INDEX('Data_Price '!AN$2:AN$1266,MATCH(Data!$DN943,'Data_Price '!$AT$2:$AT$1266,0))</f>
        <v>https://tinyurl.com/y98e34mz</v>
      </c>
      <c r="DF943" t="str">
        <f>INDEX('Data_Price '!AO$2:AO$1266,MATCH(Data!$DN943,'Data_Price '!$AT$2:$AT$1266,0))</f>
        <v>Rossignol Experience W 82 Ti Skis Womens 2022</v>
      </c>
      <c r="DG943" t="str">
        <f>INDEX('Data_Price '!AP$2:AP$1266,MATCH(Data!$DN943,'Data_Price '!$AT$2:$AT$1266,0))</f>
        <v>BlueZone Sports</v>
      </c>
      <c r="DH943">
        <f>INDEX('Data_Price '!AQ$2:AQ$1266,MATCH(Data!$DN943,'Data_Price '!$AT$2:$AT$1266,0))</f>
        <v>559.96</v>
      </c>
      <c r="DI943" t="str">
        <f>INDEX('Data_Price '!AR$2:AR$1266,MATCH(Data!$DN943,'Data_Price '!$AT$2:$AT$1266,0))</f>
        <v>https://tinyurl.com/yabx9ouq</v>
      </c>
      <c r="DJ943" s="89" t="str">
        <f t="shared" si="550"/>
        <v>https://tinyurl.com/yawxgekz</v>
      </c>
      <c r="DK943" s="89" t="str">
        <f t="shared" si="551"/>
        <v>https://tinyurl.com/y98e34mz</v>
      </c>
      <c r="DL943" s="89" t="str">
        <f t="shared" si="552"/>
        <v>https://tinyurl.com/yabx9ouq</v>
      </c>
      <c r="DM943" s="219" t="str">
        <f t="shared" si="553"/>
        <v>Experience 82 Basalt W</v>
      </c>
      <c r="DN943" s="89" t="str">
        <f t="shared" si="554"/>
        <v xml:space="preserve"> RossignolExperience 82 Basalt W151 Women's</v>
      </c>
      <c r="DO943" s="221"/>
    </row>
    <row r="944" spans="2:119" ht="15.6" customHeight="1">
      <c r="B944" s="219" t="b">
        <f t="array" ref="B944">IF(OR(ISERROR(K944:P944)),FALSE,TRUE)</f>
        <v>1</v>
      </c>
      <c r="C944" s="43" t="b">
        <f>OR(BR944=Driver!$G$50,Data!BR486=Driver!$H$50)</f>
        <v>1</v>
      </c>
      <c r="D944" s="43" t="b">
        <f>OR(BV944=Driver!$G$51,BV944=Driver!$H$51)</f>
        <v>0</v>
      </c>
      <c r="E944" s="43" t="b">
        <f>AND(BX944&gt;Driver!$F$54,BX944&lt;Driver!$G$54)</f>
        <v>0</v>
      </c>
      <c r="F944" s="43" t="b">
        <f>CL944&gt;Driver!$F$56</f>
        <v>1</v>
      </c>
      <c r="G944" s="43" t="b">
        <f>AND(CB944&gt;Driver!$F$55,CB944&lt;Driver!$G$55)</f>
        <v>0</v>
      </c>
      <c r="H944" s="43" t="b">
        <f t="shared" si="518"/>
        <v>0</v>
      </c>
      <c r="I944" s="43">
        <f t="shared" si="519"/>
        <v>0</v>
      </c>
      <c r="J944" s="43" t="b">
        <f t="array" ref="J944">NOT(OR(($H$9:$H$1273=TRUE)*($I$9:$I$1273&gt;0)*($BT$9:$BT$1273=BT944)*($K$9:$K$1273&gt;K944)))</f>
        <v>1</v>
      </c>
      <c r="K944" s="72">
        <f t="shared" si="520"/>
        <v>0.85953574550980982</v>
      </c>
      <c r="L944" s="72">
        <f t="shared" si="521"/>
        <v>0.86591595450748571</v>
      </c>
      <c r="M944" s="72">
        <f t="shared" si="522"/>
        <v>0.85315553651213405</v>
      </c>
      <c r="N944" s="72">
        <f t="shared" si="523"/>
        <v>0.96173961978087252</v>
      </c>
      <c r="O944" s="72">
        <f t="shared" si="524"/>
        <v>0.65872744478986411</v>
      </c>
      <c r="P944" s="72">
        <f t="shared" si="525"/>
        <v>0.93899954496566551</v>
      </c>
      <c r="Q944" s="72"/>
      <c r="R944" s="72"/>
      <c r="S944" s="72">
        <f t="shared" si="526"/>
        <v>0.41241311679937054</v>
      </c>
      <c r="T944" s="72">
        <f t="shared" si="527"/>
        <v>0.50871297814681959</v>
      </c>
      <c r="U944" s="72">
        <f t="shared" si="528"/>
        <v>0.80261264924480347</v>
      </c>
      <c r="V944" s="72">
        <f t="shared" si="529"/>
        <v>0.51483969798255957</v>
      </c>
      <c r="W944" s="72">
        <f t="shared" si="530"/>
        <v>0.86435590875226165</v>
      </c>
      <c r="X944" s="72">
        <f t="shared" si="531"/>
        <v>0.13408404549251432</v>
      </c>
      <c r="Y944" s="72">
        <f t="shared" si="532"/>
        <v>0.14684446348786595</v>
      </c>
      <c r="Z944" s="72">
        <f t="shared" si="533"/>
        <v>3.8260380219127518E-2</v>
      </c>
      <c r="AA944" s="72">
        <f t="shared" si="534"/>
        <v>0.34127255521013583</v>
      </c>
      <c r="AB944" s="72">
        <f t="shared" si="535"/>
        <v>6.1000455034334461E-2</v>
      </c>
      <c r="AC944" s="72"/>
      <c r="AD944" s="72"/>
      <c r="AE944" s="72">
        <f t="shared" si="536"/>
        <v>0.58758688320062946</v>
      </c>
      <c r="AF944" s="72">
        <f t="shared" si="537"/>
        <v>0.49128702185318046</v>
      </c>
      <c r="AG944" s="72">
        <f t="shared" si="538"/>
        <v>0.19738735075519653</v>
      </c>
      <c r="AH944" s="72">
        <f t="shared" si="539"/>
        <v>0.48516030201744043</v>
      </c>
      <c r="AI944" s="72">
        <f t="shared" si="540"/>
        <v>0.13564409124773832</v>
      </c>
      <c r="AJ944" s="72">
        <f>(AV944-Driver!$K$179)/(Driver!$L$179-Driver!$K$179)</f>
        <v>0.12013536379018611</v>
      </c>
      <c r="AK944" s="72">
        <f>(AW944-Driver!$K$180)/(Driver!$L$180-Driver!$K$180)</f>
        <v>0.18600035509386006</v>
      </c>
      <c r="AL944" s="72">
        <f>(AX944-Driver!$K$181)/(Driver!$L$181-Driver!$K$181)</f>
        <v>0.1399481439322077</v>
      </c>
      <c r="AM944" s="72">
        <f>(AY944-Driver!$K$182)/(Driver!$L$182-Driver!$K$182)</f>
        <v>0.10611246588691053</v>
      </c>
      <c r="AN944" s="72">
        <f>(AZ944-Driver!$K$183)/(Driver!$L$183-Driver!$K$183)</f>
        <v>0.19321895424836596</v>
      </c>
      <c r="AO944" s="72"/>
      <c r="AP944" s="72"/>
      <c r="AQ944" s="72">
        <f>(BC944-Driver!$K$188)/(Driver!$L$188-Driver!$K$188)</f>
        <v>3.2413116799370562E-2</v>
      </c>
      <c r="AR944" s="72">
        <f>MIN((BD944-Driver!$K$189)/(Driver!$L$189-Driver!$K$189),100%)</f>
        <v>5.8712978146819604E-2</v>
      </c>
      <c r="AS944" s="72">
        <f>(BE944-Driver!$K$190)/(Driver!$L$190-Driver!$K$190)</f>
        <v>0.70738735075519654</v>
      </c>
      <c r="AT944" s="72">
        <f>(BF944-Driver!$K$191)/(Driver!$L$191-Driver!$K$191)</f>
        <v>2.4839697982559607E-2</v>
      </c>
      <c r="AU944" s="72">
        <f>(BG944-Driver!$K$192)/(Driver!$L$192-Driver!$K$192)</f>
        <v>0.11435590875226168</v>
      </c>
      <c r="AV944" s="70">
        <f t="shared" si="541"/>
        <v>2.5284900284900282</v>
      </c>
      <c r="AW944" s="70">
        <f t="shared" si="542"/>
        <v>19.999275356162709</v>
      </c>
      <c r="AX944" s="70">
        <f t="shared" si="543"/>
        <v>2.2595332953898692</v>
      </c>
      <c r="AY944" s="70">
        <f>IFERROR(Driver!$K$19/Data!BH944/Data!BI944*Data!BK944*Data!BL944,"")</f>
        <v>0.12991331914961124</v>
      </c>
      <c r="AZ944" s="70">
        <f t="shared" si="544"/>
        <v>17.609828741623229</v>
      </c>
      <c r="BA944" s="70"/>
      <c r="BB944" s="70"/>
      <c r="BC944" s="70">
        <f t="shared" si="545"/>
        <v>16.812909016165801</v>
      </c>
      <c r="BD944" s="70">
        <f t="shared" si="546"/>
        <v>6.9168174168499563</v>
      </c>
      <c r="BE944" s="70">
        <f t="shared" si="547"/>
        <v>0.70743954955832622</v>
      </c>
      <c r="BF944" s="70">
        <f t="shared" si="548"/>
        <v>2.8054693783752729</v>
      </c>
      <c r="BG944" s="70">
        <f t="shared" si="549"/>
        <v>0.43302442171923228</v>
      </c>
      <c r="BH944" s="67">
        <f>MAX((CE944-Driver!$F$200)/(Driver!$G$200-Driver!$F$200)*$BI$1,1)</f>
        <v>2.2595332953898692</v>
      </c>
      <c r="BI944" s="67">
        <f>MAX($BI$1*(BY944-Driver!$F$201)/(Driver!$G$201-Driver!$F$201),1)</f>
        <v>6.962025316455696</v>
      </c>
      <c r="BJ944" s="67">
        <f>(CB944-Driver!$F$206)/(Driver!$G$206-Driver!$F$206)*$BI$1</f>
        <v>3.333333333333333</v>
      </c>
      <c r="BK944" s="67">
        <f>(CD944-Driver!$F$203)/(Driver!$G$203-Driver!$F$203)*$BI$1</f>
        <v>1.7431192660550456</v>
      </c>
      <c r="BL944" s="67">
        <f>MAX((CR944-Driver!$F$202)/(Driver!$G$202-Driver!$F$202)*$BI$1,1)</f>
        <v>5.8620689655172411</v>
      </c>
      <c r="BM944" s="67">
        <f>MAX((CH944-Driver!$F$204)/(Driver!$G$204-Driver!$F$204)*$BI$1,1)</f>
        <v>3.0341880341880341</v>
      </c>
      <c r="BN944" s="67">
        <f>(CI944-Driver!$F$205)/(Driver!$G$205-Driver!$F$205)*$BI$1</f>
        <v>2.5294117647058822</v>
      </c>
      <c r="BO944" s="67">
        <f>(CK944-Driver!$F$207)/(Driver!$G$207-Driver!$F$207)*$BI$1</f>
        <v>0.99276111685625645</v>
      </c>
      <c r="BP944" s="67">
        <f>(CM944-Driver!$F$208)/(Driver!$G$208-Driver!$F$208)*$BI$1</f>
        <v>1.4777777777777779</v>
      </c>
      <c r="BQ944" s="67">
        <f>(CL944-Driver!$F$209)/(Driver!$G$209-Driver!$F$209)*$BI$1</f>
        <v>2.96875</v>
      </c>
      <c r="BR944" s="28" t="s">
        <v>155</v>
      </c>
      <c r="BS944" s="8" t="s">
        <v>205</v>
      </c>
      <c r="BT944" s="9" t="s">
        <v>407</v>
      </c>
      <c r="BU944" s="10">
        <v>154</v>
      </c>
      <c r="BV944" s="9" t="s">
        <v>163</v>
      </c>
      <c r="BW944" s="10">
        <v>154</v>
      </c>
      <c r="BX944" s="10">
        <v>152.19999999999999</v>
      </c>
      <c r="BY944" s="10">
        <v>118</v>
      </c>
      <c r="BZ944" s="10">
        <v>129</v>
      </c>
      <c r="CA944" s="10">
        <v>119</v>
      </c>
      <c r="CB944" s="10">
        <v>85</v>
      </c>
      <c r="CC944" s="10">
        <v>109</v>
      </c>
      <c r="CD944" s="10">
        <v>13.2</v>
      </c>
      <c r="CE944" s="10">
        <v>1297</v>
      </c>
      <c r="CF944" s="10">
        <v>1.1399999999999999</v>
      </c>
      <c r="CG944" s="10">
        <v>1476</v>
      </c>
      <c r="CH944" s="10">
        <v>172</v>
      </c>
      <c r="CI944" s="10">
        <v>76</v>
      </c>
      <c r="CJ944" s="10">
        <v>51</v>
      </c>
      <c r="CK944" s="10">
        <v>206</v>
      </c>
      <c r="CL944" s="10">
        <v>19</v>
      </c>
      <c r="CM944" s="10">
        <v>133</v>
      </c>
      <c r="CN944" s="10">
        <v>0.376</v>
      </c>
      <c r="CO944" s="10">
        <v>138</v>
      </c>
      <c r="CP944" s="10">
        <v>96</v>
      </c>
      <c r="CQ944" s="10">
        <v>68</v>
      </c>
      <c r="CR944" s="10">
        <v>6</v>
      </c>
      <c r="CS944" s="10">
        <v>9.1999999999999993</v>
      </c>
      <c r="CT944" s="9" t="s">
        <v>188</v>
      </c>
      <c r="CU944" s="9" t="s">
        <v>185</v>
      </c>
      <c r="CV944" s="10"/>
      <c r="CW944" s="10"/>
      <c r="CX944" t="str">
        <f>INDEX('Data_Price '!AG$2:AG$1266,MATCH(Data!$DN944,'Data_Price '!$AT$2:$AT$1266,0))</f>
        <v>Faction Dictator 1.0x Skis</v>
      </c>
      <c r="CY944" t="str">
        <f>INDEX('Data_Price '!AH$2:AH$1266,MATCH(Data!$DN944,'Data_Price '!$AT$2:$AT$1266,0))</f>
        <v>Backcountry Freeskier</v>
      </c>
      <c r="CZ944">
        <f>INDEX('Data_Price '!AI$2:AI$1266,MATCH(Data!$DN944,'Data_Price '!$AT$2:$AT$1266,0))</f>
        <v>489</v>
      </c>
      <c r="DA944" t="str">
        <f>INDEX('Data_Price '!AJ$2:AJ$1266,MATCH(Data!$DN944,'Data_Price '!$AT$2:$AT$1266,0))</f>
        <v>https://tinyurl.com/ybmytm5k</v>
      </c>
      <c r="DB944">
        <f>INDEX('Data_Price '!AK$2:AK$1266,MATCH(Data!$DN944,'Data_Price '!$AT$2:$AT$1266,0))</f>
        <v>0</v>
      </c>
      <c r="DC944">
        <f>INDEX('Data_Price '!AL$2:AL$1266,MATCH(Data!$DN944,'Data_Price '!$AT$2:$AT$1266,0))</f>
        <v>0</v>
      </c>
      <c r="DD944">
        <f>INDEX('Data_Price '!AM$2:AM$1266,MATCH(Data!$DN944,'Data_Price '!$AT$2:$AT$1266,0))</f>
        <v>0</v>
      </c>
      <c r="DE944">
        <f>INDEX('Data_Price '!AN$2:AN$1266,MATCH(Data!$DN944,'Data_Price '!$AT$2:$AT$1266,0))</f>
        <v>0</v>
      </c>
      <c r="DF944">
        <f>INDEX('Data_Price '!AO$2:AO$1266,MATCH(Data!$DN944,'Data_Price '!$AT$2:$AT$1266,0))</f>
        <v>0</v>
      </c>
      <c r="DG944">
        <f>INDEX('Data_Price '!AP$2:AP$1266,MATCH(Data!$DN944,'Data_Price '!$AT$2:$AT$1266,0))</f>
        <v>0</v>
      </c>
      <c r="DH944">
        <f>INDEX('Data_Price '!AQ$2:AQ$1266,MATCH(Data!$DN944,'Data_Price '!$AT$2:$AT$1266,0))</f>
        <v>0</v>
      </c>
      <c r="DI944">
        <f>INDEX('Data_Price '!AR$2:AR$1266,MATCH(Data!$DN944,'Data_Price '!$AT$2:$AT$1266,0))</f>
        <v>0</v>
      </c>
      <c r="DJ944" s="89" t="str">
        <f t="shared" si="550"/>
        <v>https://tinyurl.com/ybmytm5k</v>
      </c>
      <c r="DK944" s="89">
        <f t="shared" si="551"/>
        <v>0</v>
      </c>
      <c r="DL944" s="89">
        <f t="shared" si="552"/>
        <v>0</v>
      </c>
      <c r="DM944" s="219" t="str">
        <f t="shared" si="553"/>
        <v>Agent 1.0 X</v>
      </c>
      <c r="DN944" s="89" t="str">
        <f t="shared" si="554"/>
        <v xml:space="preserve"> FactionAgent 1.0 X154 Women's</v>
      </c>
      <c r="DO944" s="221"/>
    </row>
    <row r="945" spans="2:119" ht="15.6" customHeight="1">
      <c r="B945" s="219" t="b">
        <f t="array" ref="B945">IF(OR(ISERROR(K945:P945)),FALSE,TRUE)</f>
        <v>1</v>
      </c>
      <c r="C945" s="43" t="b">
        <f>OR(BR945=Driver!$G$50,Data!BR1059=Driver!$H$50)</f>
        <v>1</v>
      </c>
      <c r="D945" s="43" t="b">
        <f>OR(BV945=Driver!$G$51,BV945=Driver!$H$51)</f>
        <v>1</v>
      </c>
      <c r="E945" s="43" t="b">
        <f>AND(BX945&gt;Driver!$F$54,BX945&lt;Driver!$G$54)</f>
        <v>0</v>
      </c>
      <c r="F945" s="43" t="b">
        <f>CL945&gt;Driver!$F$56</f>
        <v>1</v>
      </c>
      <c r="G945" s="43" t="b">
        <f>AND(CB945&gt;Driver!$F$55,CB945&lt;Driver!$G$55)</f>
        <v>0</v>
      </c>
      <c r="H945" s="43" t="b">
        <f t="shared" si="518"/>
        <v>0</v>
      </c>
      <c r="I945" s="43">
        <f t="shared" si="519"/>
        <v>0</v>
      </c>
      <c r="J945" s="43" t="b">
        <f t="array" ref="J945">NOT(OR(($H$9:$H$1273=TRUE)*($I$9:$I$1273&gt;0)*($BT$9:$BT$1273=BT945)*($K$9:$K$1273&gt;K945)))</f>
        <v>1</v>
      </c>
      <c r="K945" s="72">
        <f t="shared" si="520"/>
        <v>0.88004142341811786</v>
      </c>
      <c r="L945" s="72">
        <f t="shared" si="521"/>
        <v>0.87727684404096407</v>
      </c>
      <c r="M945" s="72">
        <f t="shared" si="522"/>
        <v>0.88280600279527155</v>
      </c>
      <c r="N945" s="72">
        <f t="shared" si="523"/>
        <v>0.94782701622683474</v>
      </c>
      <c r="O945" s="72">
        <f t="shared" si="524"/>
        <v>0.78495746026520985</v>
      </c>
      <c r="P945" s="72">
        <f t="shared" si="525"/>
        <v>0.91563353189377017</v>
      </c>
      <c r="Q945" s="72"/>
      <c r="R945" s="72"/>
      <c r="S945" s="72">
        <f t="shared" si="526"/>
        <v>0.44312582656338562</v>
      </c>
      <c r="T945" s="72">
        <f t="shared" si="527"/>
        <v>0.46317646203664742</v>
      </c>
      <c r="U945" s="72">
        <f t="shared" si="528"/>
        <v>0.51</v>
      </c>
      <c r="V945" s="72">
        <f t="shared" si="529"/>
        <v>0.50217764785448837</v>
      </c>
      <c r="W945" s="72">
        <f t="shared" si="530"/>
        <v>0.83336024147129018</v>
      </c>
      <c r="X945" s="72">
        <f t="shared" si="531"/>
        <v>0.12272315595903593</v>
      </c>
      <c r="Y945" s="72">
        <f t="shared" si="532"/>
        <v>0.11719399720472841</v>
      </c>
      <c r="Z945" s="72">
        <f t="shared" si="533"/>
        <v>5.2172983773165302E-2</v>
      </c>
      <c r="AA945" s="72">
        <f t="shared" si="534"/>
        <v>0.21504253973479009</v>
      </c>
      <c r="AB945" s="72">
        <f t="shared" si="535"/>
        <v>8.4366468106229858E-2</v>
      </c>
      <c r="AC945" s="72"/>
      <c r="AD945" s="72"/>
      <c r="AE945" s="72">
        <f t="shared" si="536"/>
        <v>0.55687417343661438</v>
      </c>
      <c r="AF945" s="72">
        <f t="shared" si="537"/>
        <v>0.53682353796335258</v>
      </c>
      <c r="AG945" s="72">
        <f t="shared" si="538"/>
        <v>0.49</v>
      </c>
      <c r="AH945" s="72">
        <f t="shared" si="539"/>
        <v>0.49782235214551163</v>
      </c>
      <c r="AI945" s="72">
        <f t="shared" si="540"/>
        <v>0.16663975852870982</v>
      </c>
      <c r="AJ945" s="72">
        <f>(AV945-Driver!$K$179)/(Driver!$L$179-Driver!$K$179)</f>
        <v>0.13149625332366449</v>
      </c>
      <c r="AK945" s="72">
        <f>(AW945-Driver!$K$180)/(Driver!$L$180-Driver!$K$180)</f>
        <v>0.16701999729370878</v>
      </c>
      <c r="AL945" s="72">
        <f>(AX945-Driver!$K$181)/(Driver!$L$181-Driver!$K$181)</f>
        <v>0.15386074748624548</v>
      </c>
      <c r="AM945" s="72">
        <f>(AY945-Driver!$K$182)/(Driver!$L$182-Driver!$K$182)</f>
        <v>0.23234248136225627</v>
      </c>
      <c r="AN945" s="72">
        <f>(AZ945-Driver!$K$183)/(Driver!$L$183-Driver!$K$183)</f>
        <v>0.16985294117647057</v>
      </c>
      <c r="AO945" s="72"/>
      <c r="AP945" s="72"/>
      <c r="AQ945" s="72">
        <f>(BC945-Driver!$K$188)/(Driver!$L$188-Driver!$K$188)</f>
        <v>6.3125826563385598E-2</v>
      </c>
      <c r="AR945" s="72">
        <f>MIN((BD945-Driver!$K$189)/(Driver!$L$189-Driver!$K$189),100%)</f>
        <v>1.3176462036647419E-2</v>
      </c>
      <c r="AS945" s="72">
        <f>(BE945-Driver!$K$190)/(Driver!$L$190-Driver!$K$190)</f>
        <v>1</v>
      </c>
      <c r="AT945" s="72">
        <f>(BF945-Driver!$K$191)/(Driver!$L$191-Driver!$K$191)</f>
        <v>1.2177647854488407E-2</v>
      </c>
      <c r="AU945" s="72">
        <f>(BG945-Driver!$K$192)/(Driver!$L$192-Driver!$K$192)</f>
        <v>8.3360241471290175E-2</v>
      </c>
      <c r="AV945" s="70">
        <f t="shared" si="541"/>
        <v>2.7676027676027677</v>
      </c>
      <c r="AW945" s="70">
        <f t="shared" si="542"/>
        <v>18.14947130545886</v>
      </c>
      <c r="AX945" s="70">
        <f t="shared" si="543"/>
        <v>2.3847467273762093</v>
      </c>
      <c r="AY945" s="70">
        <f>IFERROR(Driver!$K$19/Data!BH945/Data!BI945*Data!BK945*Data!BL945,"")</f>
        <v>0.28445652149292655</v>
      </c>
      <c r="AZ945" s="70">
        <f t="shared" si="544"/>
        <v>15.480268056589724</v>
      </c>
      <c r="BA945" s="70"/>
      <c r="BB945" s="70"/>
      <c r="BC945" s="70">
        <f t="shared" si="545"/>
        <v>32.743805082054763</v>
      </c>
      <c r="BD945" s="70">
        <f t="shared" si="546"/>
        <v>2.8869164270318275</v>
      </c>
      <c r="BE945" s="70">
        <f t="shared" si="547"/>
        <v>1</v>
      </c>
      <c r="BF945" s="70">
        <f t="shared" si="548"/>
        <v>1.3753797723463357</v>
      </c>
      <c r="BG945" s="70">
        <f t="shared" si="549"/>
        <v>0.31565505229538116</v>
      </c>
      <c r="BH945" s="67">
        <f>MAX((CE945-Driver!$F$200)/(Driver!$G$200-Driver!$F$200)*$BI$1,1)</f>
        <v>2.3847467273762093</v>
      </c>
      <c r="BI945" s="67">
        <f>MAX($BI$1*(BY945-Driver!$F$201)/(Driver!$G$201-Driver!$F$201),1)</f>
        <v>7.9746835443037973</v>
      </c>
      <c r="BJ945" s="67">
        <f>(CB945-Driver!$F$206)/(Driver!$G$206-Driver!$F$206)*$BI$1</f>
        <v>3.8095238095238093</v>
      </c>
      <c r="BK945" s="67">
        <f>(CD945-Driver!$F$203)/(Driver!$G$203-Driver!$F$203)*$BI$1</f>
        <v>4.1284403669724767</v>
      </c>
      <c r="BL945" s="67">
        <f>MAX((CR945-Driver!$F$202)/(Driver!$G$202-Driver!$F$202)*$BI$1,1)</f>
        <v>6.5517241379310338</v>
      </c>
      <c r="BM945" s="67">
        <f>MAX((CH945-Driver!$F$204)/(Driver!$G$204-Driver!$F$204)*$BI$1,1)</f>
        <v>2.9059829059829063</v>
      </c>
      <c r="BN945" s="67">
        <f>(CI945-Driver!$F$205)/(Driver!$G$205-Driver!$F$205)*$BI$1</f>
        <v>1.9411764705882353</v>
      </c>
      <c r="BO945" s="67">
        <f>(CK945-Driver!$F$207)/(Driver!$G$207-Driver!$F$207)*$BI$1</f>
        <v>0.97207859358841786</v>
      </c>
      <c r="BP945" s="67">
        <f>(CM945-Driver!$F$208)/(Driver!$G$208-Driver!$F$208)*$BI$1</f>
        <v>1.5333333333333332</v>
      </c>
      <c r="BQ945" s="67">
        <f>(CL945-Driver!$F$209)/(Driver!$G$209-Driver!$F$209)*$BI$1</f>
        <v>2.1875</v>
      </c>
      <c r="BR945" s="28" t="s">
        <v>155</v>
      </c>
      <c r="BS945" s="8" t="s">
        <v>174</v>
      </c>
      <c r="BT945" s="9" t="s">
        <v>509</v>
      </c>
      <c r="BU945" s="10">
        <v>169</v>
      </c>
      <c r="BV945" s="9" t="s">
        <v>158</v>
      </c>
      <c r="BW945" s="10">
        <v>169</v>
      </c>
      <c r="BX945" s="10">
        <v>167.7</v>
      </c>
      <c r="BY945" s="10">
        <v>134</v>
      </c>
      <c r="BZ945" s="10">
        <v>146</v>
      </c>
      <c r="CA945" s="10">
        <v>123</v>
      </c>
      <c r="CB945" s="10">
        <v>88</v>
      </c>
      <c r="CC945" s="10">
        <v>109</v>
      </c>
      <c r="CD945" s="10">
        <v>18.399999999999999</v>
      </c>
      <c r="CE945" s="10">
        <v>1319</v>
      </c>
      <c r="CF945" s="10">
        <v>1.27</v>
      </c>
      <c r="CG945" s="10">
        <v>1673</v>
      </c>
      <c r="CH945" s="10">
        <v>169</v>
      </c>
      <c r="CI945" s="10">
        <v>66</v>
      </c>
      <c r="CJ945" s="10">
        <v>50</v>
      </c>
      <c r="CK945" s="10">
        <v>204</v>
      </c>
      <c r="CL945" s="10">
        <v>14</v>
      </c>
      <c r="CM945" s="10">
        <v>138</v>
      </c>
      <c r="CN945" s="10">
        <v>0.28299999999999997</v>
      </c>
      <c r="CO945" s="10">
        <v>137</v>
      </c>
      <c r="CP945" s="10">
        <v>76</v>
      </c>
      <c r="CQ945" s="10">
        <v>66</v>
      </c>
      <c r="CR945" s="10">
        <v>8</v>
      </c>
      <c r="CS945" s="10">
        <v>11.6</v>
      </c>
      <c r="CT945" s="9" t="s">
        <v>188</v>
      </c>
      <c r="CU945" s="9" t="s">
        <v>185</v>
      </c>
      <c r="CV945" s="9" t="s">
        <v>198</v>
      </c>
      <c r="CW945" s="10"/>
      <c r="CX945" t="str">
        <f>INDEX('Data_Price '!AG$2:AG$1266,MATCH(Data!$DN945,'Data_Price '!$AT$2:$AT$1266,0))</f>
        <v>Salomon N MTN Explore 88 W 169cm</v>
      </c>
      <c r="CY945" t="str">
        <f>INDEX('Data_Price '!AH$2:AH$1266,MATCH(Data!$DN945,'Data_Price '!$AT$2:$AT$1266,0))</f>
        <v>Sundance Ski and Board Shop</v>
      </c>
      <c r="CZ945">
        <f>INDEX('Data_Price '!AI$2:AI$1266,MATCH(Data!$DN945,'Data_Price '!$AT$2:$AT$1266,0))</f>
        <v>320.57</v>
      </c>
      <c r="DA945" t="str">
        <f>INDEX('Data_Price '!AJ$2:AJ$1266,MATCH(Data!$DN945,'Data_Price '!$AT$2:$AT$1266,0))</f>
        <v>https://tinyurl.com/y9fcwfde</v>
      </c>
      <c r="DB945" t="str">
        <f>INDEX('Data_Price '!AK$2:AK$1266,MATCH(Data!$DN945,'Data_Price '!$AT$2:$AT$1266,0))</f>
        <v>2021 Salomon Mtn Explore 88 Womens Skis</v>
      </c>
      <c r="DC945" t="str">
        <f>INDEX('Data_Price '!AL$2:AL$1266,MATCH(Data!$DN945,'Data_Price '!$AT$2:$AT$1266,0))</f>
        <v>eBay - asogear</v>
      </c>
      <c r="DD945">
        <f>INDEX('Data_Price '!AM$2:AM$1266,MATCH(Data!$DN945,'Data_Price '!$AT$2:$AT$1266,0))</f>
        <v>479.99</v>
      </c>
      <c r="DE945" t="str">
        <f>INDEX('Data_Price '!AN$2:AN$1266,MATCH(Data!$DN945,'Data_Price '!$AT$2:$AT$1266,0))</f>
        <v>https://tinyurl.com/ya8w372g</v>
      </c>
      <c r="DF945" t="str">
        <f>INDEX('Data_Price '!AO$2:AO$1266,MATCH(Data!$DN945,'Data_Price '!$AT$2:$AT$1266,0))</f>
        <v>Salomon MTN Explore 88 Skis</v>
      </c>
      <c r="DG945" t="str">
        <f>INDEX('Data_Price '!AP$2:AP$1266,MATCH(Data!$DN945,'Data_Price '!$AT$2:$AT$1266,0))</f>
        <v>Outdoor Gear Exchange</v>
      </c>
      <c r="DH945">
        <f>INDEX('Data_Price '!AQ$2:AQ$1266,MATCH(Data!$DN945,'Data_Price '!$AT$2:$AT$1266,0))</f>
        <v>519.99</v>
      </c>
      <c r="DI945" t="str">
        <f>INDEX('Data_Price '!AR$2:AR$1266,MATCH(Data!$DN945,'Data_Price '!$AT$2:$AT$1266,0))</f>
        <v>https://tinyurl.com/y8pf3vcg</v>
      </c>
      <c r="DJ945" s="89" t="str">
        <f t="shared" si="550"/>
        <v>https://tinyurl.com/y9fcwfde</v>
      </c>
      <c r="DK945" s="89" t="str">
        <f t="shared" si="551"/>
        <v>https://tinyurl.com/ya8w372g</v>
      </c>
      <c r="DL945" s="89" t="str">
        <f t="shared" si="552"/>
        <v>https://tinyurl.com/y8pf3vcg</v>
      </c>
      <c r="DM945" s="219" t="str">
        <f t="shared" si="553"/>
        <v>MTN Explore 88</v>
      </c>
      <c r="DN945" s="89" t="str">
        <f t="shared" si="554"/>
        <v xml:space="preserve"> SalomonMTN Explore 88169 Unisex</v>
      </c>
      <c r="DO945" s="221" t="s">
        <v>510</v>
      </c>
    </row>
    <row r="946" spans="2:119" ht="15.6" customHeight="1">
      <c r="B946" s="219" t="b">
        <f t="array" ref="B946">IF(OR(ISERROR(K946:P946)),FALSE,TRUE)</f>
        <v>1</v>
      </c>
      <c r="C946" s="43" t="b">
        <f>OR(BR946=Driver!$G$50,Data!BR1051=Driver!$H$50)</f>
        <v>1</v>
      </c>
      <c r="D946" s="43" t="b">
        <f>OR(BV946=Driver!$G$51,BV946=Driver!$H$51)</f>
        <v>0</v>
      </c>
      <c r="E946" s="43" t="b">
        <f>AND(BX946&gt;Driver!$F$54,BX946&lt;Driver!$G$54)</f>
        <v>1</v>
      </c>
      <c r="F946" s="43" t="b">
        <f>CL946&gt;Driver!$F$56</f>
        <v>1</v>
      </c>
      <c r="G946" s="43" t="b">
        <f>AND(CB946&gt;Driver!$F$55,CB946&lt;Driver!$G$55)</f>
        <v>0</v>
      </c>
      <c r="H946" s="43" t="b">
        <f t="shared" si="518"/>
        <v>0</v>
      </c>
      <c r="I946" s="43">
        <f t="shared" si="519"/>
        <v>0</v>
      </c>
      <c r="J946" s="43" t="b">
        <f t="array" ref="J946">NOT(OR(($H$9:$H$1273=TRUE)*($I$9:$I$1273&gt;0)*($BT$9:$BT$1273=BT946)*($K$9:$K$1273&gt;K946)))</f>
        <v>1</v>
      </c>
      <c r="K946" s="72">
        <f t="shared" si="520"/>
        <v>0.7684310577868847</v>
      </c>
      <c r="L946" s="72">
        <f t="shared" si="521"/>
        <v>0.78058842247944604</v>
      </c>
      <c r="M946" s="72">
        <f t="shared" si="522"/>
        <v>0.75627369309432335</v>
      </c>
      <c r="N946" s="72">
        <f t="shared" si="523"/>
        <v>0.76063925931796228</v>
      </c>
      <c r="O946" s="72">
        <f t="shared" si="524"/>
        <v>0.6146071116006494</v>
      </c>
      <c r="P946" s="72">
        <f t="shared" si="525"/>
        <v>0.89357470836435837</v>
      </c>
      <c r="Q946" s="72"/>
      <c r="R946" s="72"/>
      <c r="S946" s="72">
        <f t="shared" si="526"/>
        <v>0.41587860201906646</v>
      </c>
      <c r="T946" s="72">
        <f t="shared" si="527"/>
        <v>0.74766310708508399</v>
      </c>
      <c r="U946" s="72">
        <f t="shared" si="528"/>
        <v>0.51</v>
      </c>
      <c r="V946" s="72">
        <f t="shared" si="529"/>
        <v>0.49209109702404197</v>
      </c>
      <c r="W946" s="72">
        <f t="shared" si="530"/>
        <v>0.76977272727272728</v>
      </c>
      <c r="X946" s="72">
        <f t="shared" si="531"/>
        <v>0.21941157752055396</v>
      </c>
      <c r="Y946" s="72">
        <f t="shared" si="532"/>
        <v>0.24372630690567668</v>
      </c>
      <c r="Z946" s="72">
        <f t="shared" si="533"/>
        <v>0.23936074068203778</v>
      </c>
      <c r="AA946" s="72">
        <f t="shared" si="534"/>
        <v>0.3853928883993506</v>
      </c>
      <c r="AB946" s="72">
        <f t="shared" si="535"/>
        <v>0.1064252916356416</v>
      </c>
      <c r="AC946" s="72"/>
      <c r="AD946" s="72"/>
      <c r="AE946" s="72">
        <f t="shared" si="536"/>
        <v>0.58412139798093354</v>
      </c>
      <c r="AF946" s="72">
        <f t="shared" si="537"/>
        <v>0.25233689291491601</v>
      </c>
      <c r="AG946" s="72">
        <f t="shared" si="538"/>
        <v>0.49</v>
      </c>
      <c r="AH946" s="72">
        <f t="shared" si="539"/>
        <v>0.50790890297595803</v>
      </c>
      <c r="AI946" s="72">
        <f t="shared" si="540"/>
        <v>0.23022727272727272</v>
      </c>
      <c r="AJ946" s="72">
        <f>(AV946-Driver!$K$179)/(Driver!$L$179-Driver!$K$179)</f>
        <v>3.4807831762146475E-2</v>
      </c>
      <c r="AK946" s="72">
        <f>(AW946-Driver!$K$180)/(Driver!$L$180-Driver!$K$180)</f>
        <v>0.16153774293309012</v>
      </c>
      <c r="AL946" s="72">
        <f>(AX946-Driver!$K$181)/(Driver!$L$181-Driver!$K$181)</f>
        <v>0.34104850439511797</v>
      </c>
      <c r="AM946" s="72">
        <f>(AY946-Driver!$K$182)/(Driver!$L$182-Driver!$K$182)</f>
        <v>6.1992132697695761E-2</v>
      </c>
      <c r="AN946" s="72">
        <f>(AZ946-Driver!$K$183)/(Driver!$L$183-Driver!$K$183)</f>
        <v>0.14779411764705883</v>
      </c>
      <c r="AO946" s="72"/>
      <c r="AP946" s="72"/>
      <c r="AQ946" s="72">
        <f>(BC946-Driver!$K$188)/(Driver!$L$188-Driver!$K$188)</f>
        <v>3.5878602019066452E-2</v>
      </c>
      <c r="AR946" s="72">
        <f>MIN((BD946-Driver!$K$189)/(Driver!$L$189-Driver!$K$189),100%)</f>
        <v>0.29766310708508403</v>
      </c>
      <c r="AS946" s="72">
        <f>(BE946-Driver!$K$190)/(Driver!$L$190-Driver!$K$190)</f>
        <v>1</v>
      </c>
      <c r="AT946" s="72">
        <f>(BF946-Driver!$K$191)/(Driver!$L$191-Driver!$K$191)</f>
        <v>2.0910970240420076E-3</v>
      </c>
      <c r="AU946" s="72">
        <f>(BG946-Driver!$K$192)/(Driver!$L$192-Driver!$K$192)</f>
        <v>1.9772727272727272E-2</v>
      </c>
      <c r="AV946" s="70">
        <f t="shared" si="541"/>
        <v>0.73260073260073244</v>
      </c>
      <c r="AW946" s="70">
        <f t="shared" si="542"/>
        <v>17.615177040301205</v>
      </c>
      <c r="AX946" s="70">
        <f t="shared" si="543"/>
        <v>4.0694365395560617</v>
      </c>
      <c r="AY946" s="70">
        <f>IFERROR(Driver!$K$19/Data!BH946/Data!BI946*Data!BK946*Data!BL946,"")</f>
        <v>7.5896867089149889E-2</v>
      </c>
      <c r="AZ946" s="70">
        <f t="shared" si="544"/>
        <v>13.469843633655994</v>
      </c>
      <c r="BA946" s="70"/>
      <c r="BB946" s="70"/>
      <c r="BC946" s="70">
        <f t="shared" si="545"/>
        <v>18.610480291284453</v>
      </c>
      <c r="BD946" s="70">
        <f t="shared" si="546"/>
        <v>28.063480433311454</v>
      </c>
      <c r="BE946" s="70">
        <f t="shared" si="547"/>
        <v>1</v>
      </c>
      <c r="BF946" s="70">
        <f t="shared" si="548"/>
        <v>0.2361747180775102</v>
      </c>
      <c r="BG946" s="70">
        <f t="shared" si="549"/>
        <v>7.4872159090909093E-2</v>
      </c>
      <c r="BH946" s="67">
        <f>MAX((CE946-Driver!$F$200)/(Driver!$G$200-Driver!$F$200)*$BI$1,1)</f>
        <v>4.0694365395560617</v>
      </c>
      <c r="BI946" s="67">
        <f>MAX($BI$1*(BY946-Driver!$F$201)/(Driver!$G$201-Driver!$F$201),1)</f>
        <v>8.4810126582278489</v>
      </c>
      <c r="BJ946" s="67">
        <f>(CB946-Driver!$F$206)/(Driver!$G$206-Driver!$F$206)*$BI$1</f>
        <v>1.4285714285714284</v>
      </c>
      <c r="BK946" s="67">
        <f>(CD946-Driver!$F$203)/(Driver!$G$203-Driver!$F$203)*$BI$1</f>
        <v>1.6513761467889909</v>
      </c>
      <c r="BL946" s="67">
        <f>MAX((CR946-Driver!$F$202)/(Driver!$G$202-Driver!$F$202)*$BI$1,1)</f>
        <v>7.931034482758621</v>
      </c>
      <c r="BM946" s="67">
        <f>MAX((CH946-Driver!$F$204)/(Driver!$G$204-Driver!$F$204)*$BI$1,1)</f>
        <v>2.0512820512820511</v>
      </c>
      <c r="BN946" s="67">
        <f>(CI946-Driver!$F$205)/(Driver!$G$205-Driver!$F$205)*$BI$1</f>
        <v>1.588235294117647</v>
      </c>
      <c r="BO946" s="67">
        <f>(CK946-Driver!$F$207)/(Driver!$G$207-Driver!$F$207)*$BI$1</f>
        <v>0.45501551189245087</v>
      </c>
      <c r="BP946" s="67">
        <f>(CM946-Driver!$F$208)/(Driver!$G$208-Driver!$F$208)*$BI$1</f>
        <v>0.6</v>
      </c>
      <c r="BQ946" s="67">
        <f>(CL946-Driver!$F$209)/(Driver!$G$209-Driver!$F$209)*$BI$1</f>
        <v>0.625</v>
      </c>
      <c r="BR946" s="28" t="s">
        <v>155</v>
      </c>
      <c r="BS946" s="8" t="s">
        <v>172</v>
      </c>
      <c r="BT946" s="9" t="s">
        <v>813</v>
      </c>
      <c r="BU946" s="10">
        <v>163</v>
      </c>
      <c r="BV946" s="9" t="s">
        <v>163</v>
      </c>
      <c r="BW946" s="10">
        <v>163</v>
      </c>
      <c r="BX946" s="10">
        <v>162.5</v>
      </c>
      <c r="BY946" s="10">
        <v>142</v>
      </c>
      <c r="BZ946" s="10">
        <v>150</v>
      </c>
      <c r="CA946" s="10">
        <v>123</v>
      </c>
      <c r="CB946" s="10">
        <v>73</v>
      </c>
      <c r="CC946" s="10">
        <v>109</v>
      </c>
      <c r="CD946" s="10">
        <v>13</v>
      </c>
      <c r="CE946" s="10">
        <v>1615</v>
      </c>
      <c r="CF946" s="10">
        <v>0.89</v>
      </c>
      <c r="CG946" s="10">
        <v>1444</v>
      </c>
      <c r="CH946" s="10">
        <v>149</v>
      </c>
      <c r="CI946" s="10">
        <v>60</v>
      </c>
      <c r="CJ946" s="10">
        <v>38</v>
      </c>
      <c r="CK946" s="10">
        <v>154</v>
      </c>
      <c r="CL946" s="10">
        <v>4</v>
      </c>
      <c r="CM946" s="10">
        <v>54</v>
      </c>
      <c r="CN946" s="10">
        <v>0.11799999999999999</v>
      </c>
      <c r="CO946" s="10">
        <v>69</v>
      </c>
      <c r="CP946" s="10">
        <v>61</v>
      </c>
      <c r="CQ946" s="10">
        <v>85</v>
      </c>
      <c r="CR946" s="10">
        <v>12</v>
      </c>
      <c r="CS946" s="10">
        <v>9.5</v>
      </c>
      <c r="CT946" s="9" t="s">
        <v>349</v>
      </c>
      <c r="CU946" s="10"/>
      <c r="CV946" s="10"/>
      <c r="CW946" s="10"/>
      <c r="CX946" t="str">
        <f>INDEX('Data_Price '!AG$2:AG$1266,MATCH(Data!$DN946,'Data_Price '!$AT$2:$AT$1266,0))</f>
        <v>Rossignol NOVA 6 F/XP W 11 GW 163cm</v>
      </c>
      <c r="CY946" t="str">
        <f>INDEX('Data_Price '!AH$2:AH$1266,MATCH(Data!$DN946,'Data_Price '!$AT$2:$AT$1266,0))</f>
        <v>Sundance Ski and Board Shop</v>
      </c>
      <c r="CZ946">
        <f>INDEX('Data_Price '!AI$2:AI$1266,MATCH(Data!$DN946,'Data_Price '!$AT$2:$AT$1266,0))</f>
        <v>400.72</v>
      </c>
      <c r="DA946" t="str">
        <f>INDEX('Data_Price '!AJ$2:AJ$1266,MATCH(Data!$DN946,'Data_Price '!$AT$2:$AT$1266,0))</f>
        <v>https://tinyurl.com/ycvvuhxl</v>
      </c>
      <c r="DB946" t="str">
        <f>INDEX('Data_Price '!AK$2:AK$1266,MATCH(Data!$DN946,'Data_Price '!$AT$2:$AT$1266,0))</f>
        <v>Women's Rossignol Nova 6 Skis + Xpress 11 GW Bindings 2021 - 163</v>
      </c>
      <c r="DC946" t="str">
        <f>INDEX('Data_Price '!AL$2:AL$1266,MATCH(Data!$DN946,'Data_Price '!$AT$2:$AT$1266,0))</f>
        <v>Spoke-N-Sport</v>
      </c>
      <c r="DD946">
        <f>INDEX('Data_Price '!AM$2:AM$1266,MATCH(Data!$DN946,'Data_Price '!$AT$2:$AT$1266,0))</f>
        <v>419.99</v>
      </c>
      <c r="DE946" t="str">
        <f>INDEX('Data_Price '!AN$2:AN$1266,MATCH(Data!$DN946,'Data_Price '!$AT$2:$AT$1266,0))</f>
        <v>https://tinyurl.com/y8x6ph8e</v>
      </c>
      <c r="DF946" t="str">
        <f>INDEX('Data_Price '!AO$2:AO$1266,MATCH(Data!$DN946,'Data_Price '!$AT$2:$AT$1266,0))</f>
        <v>Women's Rossignol Nova 6 Skis + Xpress 11 GW Bindings 2021 - 163</v>
      </c>
      <c r="DG946" t="str">
        <f>INDEX('Data_Price '!AP$2:AP$1266,MATCH(Data!$DN946,'Data_Price '!$AT$2:$AT$1266,0))</f>
        <v>The-House.com</v>
      </c>
      <c r="DH946">
        <f>INDEX('Data_Price '!AQ$2:AQ$1266,MATCH(Data!$DN946,'Data_Price '!$AT$2:$AT$1266,0))</f>
        <v>479.95</v>
      </c>
      <c r="DI946" t="str">
        <f>INDEX('Data_Price '!AR$2:AR$1266,MATCH(Data!$DN946,'Data_Price '!$AT$2:$AT$1266,0))</f>
        <v>https://tinyurl.com/yash3mr3</v>
      </c>
      <c r="DJ946" s="89" t="str">
        <f t="shared" si="550"/>
        <v>https://tinyurl.com/ycvvuhxl</v>
      </c>
      <c r="DK946" s="89" t="str">
        <f t="shared" si="551"/>
        <v>https://tinyurl.com/y8x6ph8e</v>
      </c>
      <c r="DL946" s="89" t="str">
        <f t="shared" si="552"/>
        <v>https://tinyurl.com/yash3mr3</v>
      </c>
      <c r="DM946" s="219" t="str">
        <f t="shared" si="553"/>
        <v>Nova 6</v>
      </c>
      <c r="DN946" s="89" t="str">
        <f t="shared" si="554"/>
        <v xml:space="preserve"> RossignolNova 6163 Women's</v>
      </c>
      <c r="DO946" s="221" t="s">
        <v>771</v>
      </c>
    </row>
    <row r="947" spans="2:119" ht="15.6" customHeight="1">
      <c r="B947" s="219" t="b">
        <f t="array" ref="B947">IF(OR(ISERROR(K947:P947)),FALSE,TRUE)</f>
        <v>1</v>
      </c>
      <c r="C947" s="43" t="b">
        <f>OR(BR947=Driver!$G$50,Data!BR932=Driver!$H$50)</f>
        <v>1</v>
      </c>
      <c r="D947" s="43" t="b">
        <f>OR(BV947=Driver!$G$51,BV947=Driver!$H$51)</f>
        <v>1</v>
      </c>
      <c r="E947" s="43" t="b">
        <f>AND(BX947&gt;Driver!$F$54,BX947&lt;Driver!$G$54)</f>
        <v>1</v>
      </c>
      <c r="F947" s="43" t="b">
        <f>CL947&gt;Driver!$F$56</f>
        <v>1</v>
      </c>
      <c r="G947" s="43" t="b">
        <f>AND(CB947&gt;Driver!$F$55,CB947&lt;Driver!$G$55)</f>
        <v>0</v>
      </c>
      <c r="H947" s="43" t="b">
        <f t="shared" si="518"/>
        <v>0</v>
      </c>
      <c r="I947" s="43">
        <f t="shared" si="519"/>
        <v>0</v>
      </c>
      <c r="J947" s="43" t="b">
        <f t="array" ref="J947">NOT(OR(($H$9:$H$1273=TRUE)*($I$9:$I$1273&gt;0)*($BT$9:$BT$1273=BT947)*($K$9:$K$1273&gt;K947)))</f>
        <v>1</v>
      </c>
      <c r="K947" s="72">
        <f t="shared" si="520"/>
        <v>0.81444600099232778</v>
      </c>
      <c r="L947" s="72">
        <f t="shared" si="521"/>
        <v>0.79235218043609734</v>
      </c>
      <c r="M947" s="72">
        <f t="shared" si="522"/>
        <v>0.8365398215485581</v>
      </c>
      <c r="N947" s="72">
        <f t="shared" si="523"/>
        <v>0.88016117166855978</v>
      </c>
      <c r="O947" s="72">
        <f t="shared" si="524"/>
        <v>0.71308946696569719</v>
      </c>
      <c r="P947" s="72">
        <f t="shared" si="525"/>
        <v>0.91636882601141723</v>
      </c>
      <c r="Q947" s="72"/>
      <c r="R947" s="72"/>
      <c r="S947" s="72">
        <f t="shared" si="526"/>
        <v>0.43440453342667984</v>
      </c>
      <c r="T947" s="72">
        <f t="shared" si="527"/>
        <v>0.47479359442991143</v>
      </c>
      <c r="U947" s="72">
        <f t="shared" si="528"/>
        <v>0.99847878381513067</v>
      </c>
      <c r="V947" s="72">
        <f t="shared" si="529"/>
        <v>0.49599566964386288</v>
      </c>
      <c r="W947" s="72">
        <f t="shared" si="530"/>
        <v>0.86106855289644391</v>
      </c>
      <c r="X947" s="72">
        <f t="shared" si="531"/>
        <v>0.2076478195639026</v>
      </c>
      <c r="Y947" s="72">
        <f t="shared" si="532"/>
        <v>0.16346017845144192</v>
      </c>
      <c r="Z947" s="72">
        <f t="shared" si="533"/>
        <v>0.11983882833144018</v>
      </c>
      <c r="AA947" s="72">
        <f t="shared" si="534"/>
        <v>0.28691053303430281</v>
      </c>
      <c r="AB947" s="72">
        <f t="shared" si="535"/>
        <v>8.3631173988582774E-2</v>
      </c>
      <c r="AC947" s="72"/>
      <c r="AD947" s="72"/>
      <c r="AE947" s="72">
        <f t="shared" si="536"/>
        <v>0.56559546657332016</v>
      </c>
      <c r="AF947" s="72">
        <f t="shared" si="537"/>
        <v>0.52520640557008857</v>
      </c>
      <c r="AG947" s="72">
        <f t="shared" si="538"/>
        <v>1.521216184869334E-3</v>
      </c>
      <c r="AH947" s="72">
        <f t="shared" si="539"/>
        <v>0.50400433035613712</v>
      </c>
      <c r="AI947" s="72">
        <f t="shared" si="540"/>
        <v>0.13893144710355609</v>
      </c>
      <c r="AJ947" s="72">
        <f>(AV947-Driver!$K$179)/(Driver!$L$179-Driver!$K$179)</f>
        <v>4.6571589718797837E-2</v>
      </c>
      <c r="AK947" s="72">
        <f>(AW947-Driver!$K$180)/(Driver!$L$180-Driver!$K$180)</f>
        <v>0.17305350595447894</v>
      </c>
      <c r="AL947" s="72">
        <f>(AX947-Driver!$K$181)/(Driver!$L$181-Driver!$K$181)</f>
        <v>0.22152659204452035</v>
      </c>
      <c r="AM947" s="72">
        <f>(AY947-Driver!$K$182)/(Driver!$L$182-Driver!$K$182)</f>
        <v>0.16047448806274359</v>
      </c>
      <c r="AN947" s="72">
        <f>(AZ947-Driver!$K$183)/(Driver!$L$183-Driver!$K$183)</f>
        <v>0.17058823529411765</v>
      </c>
      <c r="AO947" s="72"/>
      <c r="AP947" s="72"/>
      <c r="AQ947" s="72">
        <f>(BC947-Driver!$K$188)/(Driver!$L$188-Driver!$K$188)</f>
        <v>5.4404533426679814E-2</v>
      </c>
      <c r="AR947" s="72">
        <f>MIN((BD947-Driver!$K$189)/(Driver!$L$189-Driver!$K$189),100%)</f>
        <v>2.4793594429911487E-2</v>
      </c>
      <c r="AS947" s="72">
        <f>(BE947-Driver!$K$190)/(Driver!$L$190-Driver!$K$190)</f>
        <v>0.51152121618486934</v>
      </c>
      <c r="AT947" s="72">
        <f>(BF947-Driver!$K$191)/(Driver!$L$191-Driver!$K$191)</f>
        <v>5.995669643862893E-3</v>
      </c>
      <c r="AU947" s="72">
        <f>(BG947-Driver!$K$192)/(Driver!$L$192-Driver!$K$192)</f>
        <v>0.38893144710355609</v>
      </c>
      <c r="AV947" s="70">
        <f t="shared" si="541"/>
        <v>0.98019264685931351</v>
      </c>
      <c r="AW947" s="70">
        <f t="shared" si="542"/>
        <v>18.737490186776284</v>
      </c>
      <c r="AX947" s="70">
        <f t="shared" si="543"/>
        <v>2.9937393284006832</v>
      </c>
      <c r="AY947" s="70">
        <f>IFERROR(Driver!$K$19/Data!BH947/Data!BI947*Data!BK947*Data!BL947,"")</f>
        <v>0.19646865435475058</v>
      </c>
      <c r="AZ947" s="70">
        <f t="shared" si="544"/>
        <v>15.547282204020849</v>
      </c>
      <c r="BA947" s="70"/>
      <c r="BB947" s="70"/>
      <c r="BC947" s="70">
        <f t="shared" si="545"/>
        <v>28.220009702599214</v>
      </c>
      <c r="BD947" s="70">
        <f t="shared" si="546"/>
        <v>3.9150120594951359</v>
      </c>
      <c r="BE947" s="70">
        <f t="shared" si="547"/>
        <v>0.51160835530183901</v>
      </c>
      <c r="BF947" s="70">
        <f t="shared" si="548"/>
        <v>0.67716876431112871</v>
      </c>
      <c r="BG947" s="70">
        <f t="shared" si="549"/>
        <v>1.4727425701744572</v>
      </c>
      <c r="BH947" s="67">
        <f>MAX((CE947-Driver!$F$200)/(Driver!$G$200-Driver!$F$200)*$BI$1,1)</f>
        <v>2.9937393284006832</v>
      </c>
      <c r="BI947" s="67">
        <f>MAX($BI$1*(BY947-Driver!$F$201)/(Driver!$G$201-Driver!$F$201),1)</f>
        <v>7.3417721518987342</v>
      </c>
      <c r="BJ947" s="67">
        <f>(CB947-Driver!$F$206)/(Driver!$G$206-Driver!$F$206)*$BI$1</f>
        <v>2.6984126984126982</v>
      </c>
      <c r="BK947" s="67">
        <f>(CD947-Driver!$F$203)/(Driver!$G$203-Driver!$F$203)*$BI$1</f>
        <v>2.9816513761467895</v>
      </c>
      <c r="BL947" s="67">
        <f>MAX((CR947-Driver!$F$202)/(Driver!$G$202-Driver!$F$202)*$BI$1,1)</f>
        <v>7.2413793103448274</v>
      </c>
      <c r="BM947" s="67">
        <f>MAX((CH947-Driver!$F$204)/(Driver!$G$204-Driver!$F$204)*$BI$1,1)</f>
        <v>1.4529914529914532</v>
      </c>
      <c r="BN947" s="67">
        <f>(CI947-Driver!$F$205)/(Driver!$G$205-Driver!$F$205)*$BI$1</f>
        <v>2.1176470588235294</v>
      </c>
      <c r="BO947" s="67">
        <f>(CK947-Driver!$F$207)/(Driver!$G$207-Driver!$F$207)*$BI$1</f>
        <v>0.45501551189245087</v>
      </c>
      <c r="BP947" s="67">
        <f>(CM947-Driver!$F$208)/(Driver!$G$208-Driver!$F$208)*$BI$1</f>
        <v>1.6444444444444444</v>
      </c>
      <c r="BQ947" s="67">
        <f>(CL947-Driver!$F$209)/(Driver!$G$209-Driver!$F$209)*$BI$1</f>
        <v>6.40625</v>
      </c>
      <c r="BR947" s="28" t="s">
        <v>155</v>
      </c>
      <c r="BS947" s="8" t="s">
        <v>332</v>
      </c>
      <c r="BT947" s="9" t="s">
        <v>454</v>
      </c>
      <c r="BU947" s="10">
        <v>156</v>
      </c>
      <c r="BV947" s="9" t="s">
        <v>158</v>
      </c>
      <c r="BW947" s="10">
        <v>156</v>
      </c>
      <c r="BX947" s="10">
        <v>154.4</v>
      </c>
      <c r="BY947" s="10">
        <v>124</v>
      </c>
      <c r="BZ947" s="10">
        <v>138</v>
      </c>
      <c r="CA947" s="10">
        <v>115</v>
      </c>
      <c r="CB947" s="10">
        <v>81</v>
      </c>
      <c r="CC947" s="10">
        <v>106</v>
      </c>
      <c r="CD947" s="10">
        <v>15.9</v>
      </c>
      <c r="CE947" s="10">
        <v>1426</v>
      </c>
      <c r="CF947" s="10">
        <v>0.99</v>
      </c>
      <c r="CG947" s="10">
        <v>1417</v>
      </c>
      <c r="CH947" s="10">
        <v>135</v>
      </c>
      <c r="CI947" s="10">
        <v>69</v>
      </c>
      <c r="CJ947" s="10">
        <v>48</v>
      </c>
      <c r="CK947" s="10">
        <v>154</v>
      </c>
      <c r="CL947" s="10">
        <v>41</v>
      </c>
      <c r="CM947" s="10">
        <v>148</v>
      </c>
      <c r="CN947" s="10">
        <v>0.85499999999999998</v>
      </c>
      <c r="CO947" s="10">
        <v>92</v>
      </c>
      <c r="CP947" s="10">
        <v>72</v>
      </c>
      <c r="CQ947" s="10">
        <v>62</v>
      </c>
      <c r="CR947" s="10">
        <v>10</v>
      </c>
      <c r="CS947" s="10">
        <v>8.6999999999999993</v>
      </c>
      <c r="CT947" s="9" t="s">
        <v>188</v>
      </c>
      <c r="CU947" s="9" t="s">
        <v>184</v>
      </c>
      <c r="CV947" s="10"/>
      <c r="CW947" s="10"/>
      <c r="CX947" t="str">
        <f>INDEX('Data_Price '!AG$2:AG$1266,MATCH(Data!$DN947,'Data_Price '!$AT$2:$AT$1266,0))</f>
        <v>Nordica Men's Soul Rider 84 Ski 2021</v>
      </c>
      <c r="CY947" t="str">
        <f>INDEX('Data_Price '!AH$2:AH$1266,MATCH(Data!$DN947,'Data_Price '!$AT$2:$AT$1266,0))</f>
        <v>BobsSportsChalet.com</v>
      </c>
      <c r="CZ947">
        <f>INDEX('Data_Price '!AI$2:AI$1266,MATCH(Data!$DN947,'Data_Price '!$AT$2:$AT$1266,0))</f>
        <v>349.99</v>
      </c>
      <c r="DA947" t="str">
        <f>INDEX('Data_Price '!AJ$2:AJ$1266,MATCH(Data!$DN947,'Data_Price '!$AT$2:$AT$1266,0))</f>
        <v>https://tinyurl.com/y8xof2sy</v>
      </c>
      <c r="DB947" t="str">
        <f>INDEX('Data_Price '!AK$2:AK$1266,MATCH(Data!$DN947,'Data_Price '!$AT$2:$AT$1266,0))</f>
        <v>Nordica Men's Soul Rider 84 Ski 2021</v>
      </c>
      <c r="DC947" t="str">
        <f>INDEX('Data_Price '!AL$2:AL$1266,MATCH(Data!$DN947,'Data_Price '!$AT$2:$AT$1266,0))</f>
        <v>Buyr.com</v>
      </c>
      <c r="DD947">
        <f>INDEX('Data_Price '!AM$2:AM$1266,MATCH(Data!$DN947,'Data_Price '!$AT$2:$AT$1266,0))</f>
        <v>356.96</v>
      </c>
      <c r="DE947" t="str">
        <f>INDEX('Data_Price '!AN$2:AN$1266,MATCH(Data!$DN947,'Data_Price '!$AT$2:$AT$1266,0))</f>
        <v>https://tinyurl.com/yd9q4gdt</v>
      </c>
      <c r="DF947" t="str">
        <f>INDEX('Data_Price '!AO$2:AO$1266,MATCH(Data!$DN947,'Data_Price '!$AT$2:$AT$1266,0))</f>
        <v>Nordica Wild Belle DC 84 Ski &amp; Binding (156CM)</v>
      </c>
      <c r="DG947" t="str">
        <f>INDEX('Data_Price '!AP$2:AP$1266,MATCH(Data!$DN947,'Data_Price '!$AT$2:$AT$1266,0))</f>
        <v>Ski World</v>
      </c>
      <c r="DH947">
        <f>INDEX('Data_Price '!AQ$2:AQ$1266,MATCH(Data!$DN947,'Data_Price '!$AT$2:$AT$1266,0))</f>
        <v>599.99</v>
      </c>
      <c r="DI947" t="str">
        <f>INDEX('Data_Price '!AR$2:AR$1266,MATCH(Data!$DN947,'Data_Price '!$AT$2:$AT$1266,0))</f>
        <v>https://tinyurl.com/yc3bk7g9</v>
      </c>
      <c r="DJ947" s="89" t="str">
        <f t="shared" si="550"/>
        <v>https://tinyurl.com/y8xof2sy</v>
      </c>
      <c r="DK947" s="89" t="str">
        <f t="shared" si="551"/>
        <v>https://tinyurl.com/yd9q4gdt</v>
      </c>
      <c r="DL947" s="89" t="str">
        <f t="shared" si="552"/>
        <v>https://tinyurl.com/yc3bk7g9</v>
      </c>
      <c r="DM947" s="219" t="str">
        <f t="shared" si="553"/>
        <v>Soul Rider 84</v>
      </c>
      <c r="DN947" s="89" t="str">
        <f t="shared" si="554"/>
        <v xml:space="preserve"> NordicaSoul Rider 84156 Unisex</v>
      </c>
      <c r="DO947" s="221"/>
    </row>
    <row r="948" spans="2:119" ht="15.6" customHeight="1">
      <c r="B948" s="219" t="b">
        <f t="array" ref="B948">IF(OR(ISERROR(K948:P948)),FALSE,TRUE)</f>
        <v>1</v>
      </c>
      <c r="C948" s="43" t="b">
        <f>OR(BR948=Driver!$G$50,Data!BR1221=Driver!$H$50)</f>
        <v>1</v>
      </c>
      <c r="D948" s="43" t="b">
        <f>OR(BV948=Driver!$G$51,BV948=Driver!$H$51)</f>
        <v>1</v>
      </c>
      <c r="E948" s="43" t="b">
        <f>AND(BX948&gt;Driver!$F$54,BX948&lt;Driver!$G$54)</f>
        <v>0</v>
      </c>
      <c r="F948" s="43" t="b">
        <f>CL948&gt;Driver!$F$56</f>
        <v>1</v>
      </c>
      <c r="G948" s="43" t="b">
        <f>AND(CB948&gt;Driver!$F$55,CB948&lt;Driver!$G$55)</f>
        <v>1</v>
      </c>
      <c r="H948" s="43" t="b">
        <f t="shared" si="518"/>
        <v>0</v>
      </c>
      <c r="I948" s="43">
        <f t="shared" si="519"/>
        <v>0</v>
      </c>
      <c r="J948" s="43" t="b">
        <f t="array" ref="J948">NOT(OR(($H$9:$H$1273=TRUE)*($I$9:$I$1273&gt;0)*($BT$9:$BT$1273=BT948)*($K$9:$K$1273&gt;K948)))</f>
        <v>1</v>
      </c>
      <c r="K948" s="72">
        <f t="shared" si="520"/>
        <v>0.72201709996080887</v>
      </c>
      <c r="L948" s="72">
        <f t="shared" si="521"/>
        <v>0.8547350808643619</v>
      </c>
      <c r="M948" s="72">
        <f t="shared" si="522"/>
        <v>0.58929911905725585</v>
      </c>
      <c r="N948" s="72">
        <f t="shared" si="523"/>
        <v>0.47606327753082511</v>
      </c>
      <c r="O948" s="72">
        <f t="shared" si="524"/>
        <v>0.62846434356085634</v>
      </c>
      <c r="P948" s="72">
        <f t="shared" si="525"/>
        <v>0.66336973608008609</v>
      </c>
      <c r="Q948" s="72"/>
      <c r="R948" s="72"/>
      <c r="S948" s="72">
        <f t="shared" si="526"/>
        <v>0.55095921221172739</v>
      </c>
      <c r="T948" s="72">
        <f t="shared" si="527"/>
        <v>0.53155184403884292</v>
      </c>
      <c r="U948" s="72">
        <f t="shared" si="528"/>
        <v>0.57291588168741858</v>
      </c>
      <c r="V948" s="72">
        <f t="shared" si="529"/>
        <v>0.54698217135331162</v>
      </c>
      <c r="W948" s="72">
        <f t="shared" si="530"/>
        <v>0.77064794055473707</v>
      </c>
      <c r="X948" s="72">
        <f t="shared" si="531"/>
        <v>0.1452649191356381</v>
      </c>
      <c r="Y948" s="72">
        <f t="shared" si="532"/>
        <v>0.41070088094274415</v>
      </c>
      <c r="Z948" s="72">
        <f t="shared" si="533"/>
        <v>0.52393672246917489</v>
      </c>
      <c r="AA948" s="72">
        <f t="shared" si="534"/>
        <v>0.3715356564391436</v>
      </c>
      <c r="AB948" s="72">
        <f t="shared" si="535"/>
        <v>0.33663026391991385</v>
      </c>
      <c r="AC948" s="72"/>
      <c r="AD948" s="72"/>
      <c r="AE948" s="72">
        <f t="shared" si="536"/>
        <v>0.44904078778827261</v>
      </c>
      <c r="AF948" s="72">
        <f t="shared" si="537"/>
        <v>0.46844815596115713</v>
      </c>
      <c r="AG948" s="72">
        <f t="shared" si="538"/>
        <v>0.42708411831258142</v>
      </c>
      <c r="AH948" s="72">
        <f t="shared" si="539"/>
        <v>0.45301782864668844</v>
      </c>
      <c r="AI948" s="72">
        <f t="shared" si="540"/>
        <v>0.22935205944526296</v>
      </c>
      <c r="AJ948" s="72">
        <f>(AV948-Driver!$K$179)/(Driver!$L$179-Driver!$K$179)</f>
        <v>0.39948432841833853</v>
      </c>
      <c r="AK948" s="72">
        <f>(AW948-Driver!$K$180)/(Driver!$L$180-Driver!$K$180)</f>
        <v>0.60231753104803665</v>
      </c>
      <c r="AL948" s="72">
        <f>(AX948-Driver!$K$181)/(Driver!$L$181-Driver!$K$181)</f>
        <v>0.62562448618225508</v>
      </c>
      <c r="AM948" s="72">
        <f>(AY948-Driver!$K$182)/(Driver!$L$182-Driver!$K$182)</f>
        <v>7.5849364657902776E-2</v>
      </c>
      <c r="AN948" s="72">
        <f>(AZ948-Driver!$K$183)/(Driver!$L$183-Driver!$K$183)</f>
        <v>0.59084967320261428</v>
      </c>
      <c r="AO948" s="72"/>
      <c r="AP948" s="72"/>
      <c r="AQ948" s="72">
        <f>(BC948-Driver!$K$188)/(Driver!$L$188-Driver!$K$188)</f>
        <v>0.17095921221172738</v>
      </c>
      <c r="AR948" s="72">
        <f>MIN((BD948-Driver!$K$189)/(Driver!$L$189-Driver!$K$189),100%)</f>
        <v>8.1551844038842927E-2</v>
      </c>
      <c r="AS948" s="72">
        <f>(BE948-Driver!$K$190)/(Driver!$L$190-Driver!$K$190)</f>
        <v>8.2915881687418577E-2</v>
      </c>
      <c r="AT948" s="72">
        <f>(BF948-Driver!$K$191)/(Driver!$L$191-Driver!$K$191)</f>
        <v>5.6982171353311559E-2</v>
      </c>
      <c r="AU948" s="72">
        <f>(BG948-Driver!$K$192)/(Driver!$L$192-Driver!$K$192)</f>
        <v>2.0647940554737048E-2</v>
      </c>
      <c r="AV948" s="70">
        <f t="shared" si="541"/>
        <v>8.4079500746167408</v>
      </c>
      <c r="AW948" s="70">
        <f t="shared" si="542"/>
        <v>60.573073098346725</v>
      </c>
      <c r="AX948" s="70">
        <f t="shared" si="543"/>
        <v>6.6306203756402962</v>
      </c>
      <c r="AY948" s="70">
        <f>IFERROR(Driver!$K$19/Data!BH948/Data!BI948*Data!BK948*Data!BL948,"")</f>
        <v>9.2862253607404716E-2</v>
      </c>
      <c r="AZ948" s="70">
        <f t="shared" si="544"/>
        <v>53.849590469099027</v>
      </c>
      <c r="BA948" s="70"/>
      <c r="BB948" s="70"/>
      <c r="BC948" s="70">
        <f t="shared" si="545"/>
        <v>88.677731863384736</v>
      </c>
      <c r="BD948" s="70">
        <f t="shared" si="546"/>
        <v>8.9380165802182816</v>
      </c>
      <c r="BE948" s="70">
        <f t="shared" si="547"/>
        <v>8.3079479171904114E-2</v>
      </c>
      <c r="BF948" s="70">
        <f t="shared" si="548"/>
        <v>6.4357359319461143</v>
      </c>
      <c r="BG948" s="70">
        <f t="shared" si="549"/>
        <v>7.8186274902312489E-2</v>
      </c>
      <c r="BH948" s="67">
        <f>MAX((CE948-Driver!$F$200)/(Driver!$G$200-Driver!$F$200)*$BI$1,1)</f>
        <v>6.6306203756402962</v>
      </c>
      <c r="BI948" s="67">
        <f>MAX($BI$1*(BY948-Driver!$F$201)/(Driver!$G$201-Driver!$F$201),1)</f>
        <v>7.1518987341772151</v>
      </c>
      <c r="BJ948" s="67">
        <f>(CB948-Driver!$F$206)/(Driver!$G$206-Driver!$F$206)*$BI$1</f>
        <v>5.8730158730158735</v>
      </c>
      <c r="BK948" s="67">
        <f>(CD948-Driver!$F$203)/(Driver!$G$203-Driver!$F$203)*$BI$1</f>
        <v>3.9908256880733957</v>
      </c>
      <c r="BL948" s="67">
        <f>MAX((CR948-Driver!$F$202)/(Driver!$G$202-Driver!$F$202)*$BI$1,1)</f>
        <v>5.5172413793103452</v>
      </c>
      <c r="BM948" s="67">
        <f>MAX((CH948-Driver!$F$204)/(Driver!$G$204-Driver!$F$204)*$BI$1,1)</f>
        <v>5.7264957264957257</v>
      </c>
      <c r="BN948" s="67">
        <f>(CI948-Driver!$F$205)/(Driver!$G$205-Driver!$F$205)*$BI$1</f>
        <v>7.5294117647058822</v>
      </c>
      <c r="BO948" s="67">
        <f>(CK948-Driver!$F$207)/(Driver!$G$207-Driver!$F$207)*$BI$1</f>
        <v>1.7890382626680454</v>
      </c>
      <c r="BP948" s="67">
        <f>(CM948-Driver!$F$208)/(Driver!$G$208-Driver!$F$208)*$BI$1</f>
        <v>2.4444444444444442</v>
      </c>
      <c r="BQ948" s="67">
        <f>(CL948-Driver!$F$209)/(Driver!$G$209-Driver!$F$209)*$BI$1</f>
        <v>2.96875</v>
      </c>
      <c r="BR948" s="28" t="s">
        <v>155</v>
      </c>
      <c r="BS948" s="8" t="s">
        <v>229</v>
      </c>
      <c r="BT948" s="9" t="s">
        <v>814</v>
      </c>
      <c r="BU948" s="10">
        <v>170</v>
      </c>
      <c r="BV948" s="9" t="s">
        <v>158</v>
      </c>
      <c r="BW948" s="10">
        <v>170</v>
      </c>
      <c r="BX948" s="10">
        <v>171</v>
      </c>
      <c r="BY948" s="10">
        <v>121</v>
      </c>
      <c r="BZ948" s="10">
        <v>148</v>
      </c>
      <c r="CA948" s="10">
        <v>139</v>
      </c>
      <c r="CB948" s="10">
        <v>101</v>
      </c>
      <c r="CC948" s="10">
        <v>122</v>
      </c>
      <c r="CD948" s="10">
        <v>18.100000000000001</v>
      </c>
      <c r="CE948" s="10">
        <v>2065</v>
      </c>
      <c r="CF948" s="10">
        <v>0.93</v>
      </c>
      <c r="CG948" s="10">
        <v>1928</v>
      </c>
      <c r="CH948" s="10">
        <v>235</v>
      </c>
      <c r="CI948" s="10">
        <v>161</v>
      </c>
      <c r="CJ948" s="10">
        <v>46</v>
      </c>
      <c r="CK948" s="10">
        <v>283</v>
      </c>
      <c r="CL948" s="10">
        <v>19</v>
      </c>
      <c r="CM948" s="10">
        <v>220</v>
      </c>
      <c r="CN948" s="10">
        <v>0.42099999999999999</v>
      </c>
      <c r="CO948" s="10">
        <v>130</v>
      </c>
      <c r="CP948" s="10">
        <v>100</v>
      </c>
      <c r="CQ948" s="10">
        <v>152</v>
      </c>
      <c r="CR948" s="10">
        <v>5</v>
      </c>
      <c r="CS948" s="10">
        <v>11.3</v>
      </c>
      <c r="CT948" s="9" t="s">
        <v>188</v>
      </c>
      <c r="CU948" s="9" t="s">
        <v>169</v>
      </c>
      <c r="CV948" s="10"/>
      <c r="CW948" s="10"/>
      <c r="CX948" t="e">
        <f>INDEX('Data_Price '!AG$2:AG$1266,MATCH(Data!$DN948,'Data_Price '!$AT$2:$AT$1266,0))</f>
        <v>#N/A</v>
      </c>
      <c r="CY948" t="e">
        <f>INDEX('Data_Price '!AH$2:AH$1266,MATCH(Data!$DN948,'Data_Price '!$AT$2:$AT$1266,0))</f>
        <v>#N/A</v>
      </c>
      <c r="CZ948" t="e">
        <f>INDEX('Data_Price '!AI$2:AI$1266,MATCH(Data!$DN948,'Data_Price '!$AT$2:$AT$1266,0))</f>
        <v>#N/A</v>
      </c>
      <c r="DA948" t="e">
        <f>INDEX('Data_Price '!AJ$2:AJ$1266,MATCH(Data!$DN948,'Data_Price '!$AT$2:$AT$1266,0))</f>
        <v>#N/A</v>
      </c>
      <c r="DB948" t="e">
        <f>INDEX('Data_Price '!AK$2:AK$1266,MATCH(Data!$DN948,'Data_Price '!$AT$2:$AT$1266,0))</f>
        <v>#N/A</v>
      </c>
      <c r="DC948" t="e">
        <f>INDEX('Data_Price '!AL$2:AL$1266,MATCH(Data!$DN948,'Data_Price '!$AT$2:$AT$1266,0))</f>
        <v>#N/A</v>
      </c>
      <c r="DD948" t="e">
        <f>INDEX('Data_Price '!AM$2:AM$1266,MATCH(Data!$DN948,'Data_Price '!$AT$2:$AT$1266,0))</f>
        <v>#N/A</v>
      </c>
      <c r="DE948" t="e">
        <f>INDEX('Data_Price '!AN$2:AN$1266,MATCH(Data!$DN948,'Data_Price '!$AT$2:$AT$1266,0))</f>
        <v>#N/A</v>
      </c>
      <c r="DF948" t="e">
        <f>INDEX('Data_Price '!AO$2:AO$1266,MATCH(Data!$DN948,'Data_Price '!$AT$2:$AT$1266,0))</f>
        <v>#N/A</v>
      </c>
      <c r="DG948" t="e">
        <f>INDEX('Data_Price '!AP$2:AP$1266,MATCH(Data!$DN948,'Data_Price '!$AT$2:$AT$1266,0))</f>
        <v>#N/A</v>
      </c>
      <c r="DH948" t="e">
        <f>INDEX('Data_Price '!AQ$2:AQ$1266,MATCH(Data!$DN948,'Data_Price '!$AT$2:$AT$1266,0))</f>
        <v>#N/A</v>
      </c>
      <c r="DI948" t="e">
        <f>INDEX('Data_Price '!AR$2:AR$1266,MATCH(Data!$DN948,'Data_Price '!$AT$2:$AT$1266,0))</f>
        <v>#N/A</v>
      </c>
      <c r="DJ948" s="89" t="e">
        <f t="shared" si="550"/>
        <v>#N/A</v>
      </c>
      <c r="DK948" s="89" t="e">
        <f t="shared" si="551"/>
        <v>#N/A</v>
      </c>
      <c r="DL948" s="89" t="e">
        <f t="shared" si="552"/>
        <v>#N/A</v>
      </c>
      <c r="DM948" s="219" t="str">
        <f t="shared" si="553"/>
        <v>Mantra 102</v>
      </c>
      <c r="DN948" s="89" t="str">
        <f t="shared" si="554"/>
        <v xml:space="preserve"> VölklMantra 102170 Unisex</v>
      </c>
      <c r="DO948" s="221" t="s">
        <v>815</v>
      </c>
    </row>
    <row r="949" spans="2:119" ht="15.6" customHeight="1">
      <c r="B949" s="219" t="b">
        <f t="array" ref="B949">IF(OR(ISERROR(K949:P949)),FALSE,TRUE)</f>
        <v>1</v>
      </c>
      <c r="C949" s="43" t="b">
        <f>OR(BR949=Driver!$G$50,Data!BR663=Driver!$H$50)</f>
        <v>1</v>
      </c>
      <c r="D949" s="43" t="b">
        <f>OR(BV949=Driver!$G$51,BV949=Driver!$H$51)</f>
        <v>1</v>
      </c>
      <c r="E949" s="43" t="b">
        <f>AND(BX949&gt;Driver!$F$54,BX949&lt;Driver!$G$54)</f>
        <v>0</v>
      </c>
      <c r="F949" s="43" t="b">
        <f>CL949&gt;Driver!$F$56</f>
        <v>1</v>
      </c>
      <c r="G949" s="43" t="b">
        <f>AND(CB949&gt;Driver!$F$55,CB949&lt;Driver!$G$55)</f>
        <v>0</v>
      </c>
      <c r="H949" s="43" t="b">
        <f t="shared" si="518"/>
        <v>0</v>
      </c>
      <c r="I949" s="43">
        <f t="shared" si="519"/>
        <v>0</v>
      </c>
      <c r="J949" s="43" t="b">
        <f t="array" ref="J949">NOT(OR(($H$9:$H$1273=TRUE)*($I$9:$I$1273&gt;0)*($BT$9:$BT$1273=BT949)*($K$9:$K$1273&gt;K949)))</f>
        <v>1</v>
      </c>
      <c r="K949" s="72">
        <f t="shared" si="520"/>
        <v>0.78057868504279304</v>
      </c>
      <c r="L949" s="72">
        <f t="shared" si="521"/>
        <v>0.82635427535189787</v>
      </c>
      <c r="M949" s="72">
        <f t="shared" si="522"/>
        <v>0.73480309473368821</v>
      </c>
      <c r="N949" s="72">
        <f t="shared" si="523"/>
        <v>0.74862382897583868</v>
      </c>
      <c r="O949" s="72">
        <f t="shared" si="524"/>
        <v>0.60706368803733812</v>
      </c>
      <c r="P949" s="72">
        <f t="shared" si="525"/>
        <v>0.84872176718788783</v>
      </c>
      <c r="Q949" s="72"/>
      <c r="R949" s="72"/>
      <c r="S949" s="72">
        <f t="shared" si="526"/>
        <v>0.40568330161569632</v>
      </c>
      <c r="T949" s="72">
        <f t="shared" si="527"/>
        <v>0.92049009667752668</v>
      </c>
      <c r="U949" s="72">
        <f t="shared" si="528"/>
        <v>0.51</v>
      </c>
      <c r="V949" s="72">
        <f t="shared" si="529"/>
        <v>0.49210409529614174</v>
      </c>
      <c r="W949" s="72">
        <f t="shared" si="530"/>
        <v>0.76849046321525882</v>
      </c>
      <c r="X949" s="72">
        <f t="shared" si="531"/>
        <v>0.1736457246481021</v>
      </c>
      <c r="Y949" s="72">
        <f t="shared" si="532"/>
        <v>0.26519690526631179</v>
      </c>
      <c r="Z949" s="72">
        <f t="shared" si="533"/>
        <v>0.25137617102416138</v>
      </c>
      <c r="AA949" s="72">
        <f t="shared" si="534"/>
        <v>0.39293631196266188</v>
      </c>
      <c r="AB949" s="72">
        <f t="shared" si="535"/>
        <v>0.1512782328121122</v>
      </c>
      <c r="AC949" s="72"/>
      <c r="AD949" s="72"/>
      <c r="AE949" s="72">
        <f t="shared" si="536"/>
        <v>0.59431669838430368</v>
      </c>
      <c r="AF949" s="72">
        <f t="shared" si="537"/>
        <v>7.9509903322473263E-2</v>
      </c>
      <c r="AG949" s="72">
        <f t="shared" si="538"/>
        <v>0.49</v>
      </c>
      <c r="AH949" s="72">
        <f t="shared" si="539"/>
        <v>0.50789590470385826</v>
      </c>
      <c r="AI949" s="72">
        <f t="shared" si="540"/>
        <v>0.23150953678474115</v>
      </c>
      <c r="AJ949" s="72">
        <f>(AV949-Driver!$K$179)/(Driver!$L$179-Driver!$K$179)</f>
        <v>8.0573684634598325E-2</v>
      </c>
      <c r="AK949" s="72">
        <f>(AW949-Driver!$K$180)/(Driver!$L$180-Driver!$K$180)</f>
        <v>0.12060806773981275</v>
      </c>
      <c r="AL949" s="72">
        <f>(AX949-Driver!$K$181)/(Driver!$L$181-Driver!$K$181)</f>
        <v>0.35306393473724157</v>
      </c>
      <c r="AM949" s="72">
        <f>(AY949-Driver!$K$182)/(Driver!$L$182-Driver!$K$182)</f>
        <v>5.4448709134384495E-2</v>
      </c>
      <c r="AN949" s="72">
        <f>(AZ949-Driver!$K$183)/(Driver!$L$183-Driver!$K$183)</f>
        <v>0.10294117647058823</v>
      </c>
      <c r="AO949" s="72"/>
      <c r="AP949" s="72"/>
      <c r="AQ949" s="72">
        <f>(BC949-Driver!$K$188)/(Driver!$L$188-Driver!$K$188)</f>
        <v>2.568330161569627E-2</v>
      </c>
      <c r="AR949" s="72">
        <f>MIN((BD949-Driver!$K$189)/(Driver!$L$189-Driver!$K$189),100%)</f>
        <v>0.47049009667752678</v>
      </c>
      <c r="AS949" s="72">
        <f>(BE949-Driver!$K$190)/(Driver!$L$190-Driver!$K$190)</f>
        <v>1</v>
      </c>
      <c r="AT949" s="72">
        <f>(BF949-Driver!$K$191)/(Driver!$L$191-Driver!$K$191)</f>
        <v>2.1040952961417247E-3</v>
      </c>
      <c r="AU949" s="72">
        <f>(BG949-Driver!$K$192)/(Driver!$L$192-Driver!$K$192)</f>
        <v>1.8490463215258851E-2</v>
      </c>
      <c r="AV949" s="70">
        <f t="shared" si="541"/>
        <v>1.6958350291683624</v>
      </c>
      <c r="AW949" s="70">
        <f t="shared" si="542"/>
        <v>13.626217518899882</v>
      </c>
      <c r="AX949" s="70">
        <f t="shared" si="543"/>
        <v>4.1775754126351741</v>
      </c>
      <c r="AY949" s="70">
        <f>IFERROR(Driver!$K$19/Data!BH949/Data!BI949*Data!BK949*Data!BL949,"")</f>
        <v>6.6661465907298351E-2</v>
      </c>
      <c r="AZ949" s="70">
        <f t="shared" si="544"/>
        <v>9.3819806403574084</v>
      </c>
      <c r="BA949" s="70"/>
      <c r="BB949" s="70"/>
      <c r="BC949" s="70">
        <f t="shared" si="545"/>
        <v>13.32210709547781</v>
      </c>
      <c r="BD949" s="70">
        <f t="shared" si="546"/>
        <v>43.358362780937739</v>
      </c>
      <c r="BE949" s="70">
        <f t="shared" si="547"/>
        <v>1</v>
      </c>
      <c r="BF949" s="70">
        <f t="shared" si="548"/>
        <v>0.2376427815931435</v>
      </c>
      <c r="BG949" s="70">
        <f t="shared" si="549"/>
        <v>7.0016689373296997E-2</v>
      </c>
      <c r="BH949" s="67">
        <f>MAX((CE949-Driver!$F$200)/(Driver!$G$200-Driver!$F$200)*$BI$1,1)</f>
        <v>4.1775754126351741</v>
      </c>
      <c r="BI949" s="67">
        <f>MAX($BI$1*(BY949-Driver!$F$201)/(Driver!$G$201-Driver!$F$201),1)</f>
        <v>8.8607594936708853</v>
      </c>
      <c r="BJ949" s="67">
        <f>(CB949-Driver!$F$206)/(Driver!$G$206-Driver!$F$206)*$BI$1</f>
        <v>1.5873015873015872</v>
      </c>
      <c r="BK949" s="67">
        <f>(CD949-Driver!$F$203)/(Driver!$G$203-Driver!$F$203)*$BI$1</f>
        <v>1.7889908256880738</v>
      </c>
      <c r="BL949" s="67">
        <f>MAX((CR949-Driver!$F$202)/(Driver!$G$202-Driver!$F$202)*$BI$1,1)</f>
        <v>6.8965517241379315</v>
      </c>
      <c r="BM949" s="67">
        <f>MAX((CH949-Driver!$F$204)/(Driver!$G$204-Driver!$F$204)*$BI$1,1)</f>
        <v>4.2735042735042734</v>
      </c>
      <c r="BN949" s="67">
        <f>(CI949-Driver!$F$205)/(Driver!$G$205-Driver!$F$205)*$BI$1</f>
        <v>1.0588235294117647</v>
      </c>
      <c r="BO949" s="67">
        <f>(CK949-Driver!$F$207)/(Driver!$G$207-Driver!$F$207)*$BI$1</f>
        <v>0.38262668045501552</v>
      </c>
      <c r="BP949" s="67">
        <f>(CM949-Driver!$F$208)/(Driver!$G$208-Driver!$F$208)*$BI$1</f>
        <v>0.70000000000000007</v>
      </c>
      <c r="BQ949" s="67">
        <f>(CL949-Driver!$F$209)/(Driver!$G$209-Driver!$F$209)*$BI$1</f>
        <v>1.25</v>
      </c>
      <c r="BR949" s="28" t="s">
        <v>155</v>
      </c>
      <c r="BS949" s="8" t="s">
        <v>167</v>
      </c>
      <c r="BT949" s="9" t="s">
        <v>816</v>
      </c>
      <c r="BU949" s="10">
        <v>170</v>
      </c>
      <c r="BV949" s="9" t="s">
        <v>158</v>
      </c>
      <c r="BW949" s="10">
        <v>170</v>
      </c>
      <c r="BX949" s="10">
        <v>169.4</v>
      </c>
      <c r="BY949" s="10">
        <v>148</v>
      </c>
      <c r="BZ949" s="10">
        <v>155</v>
      </c>
      <c r="CA949" s="10">
        <v>129</v>
      </c>
      <c r="CB949" s="10">
        <v>74</v>
      </c>
      <c r="CC949" s="10">
        <v>110</v>
      </c>
      <c r="CD949" s="10">
        <v>13.3</v>
      </c>
      <c r="CE949" s="10">
        <v>1634</v>
      </c>
      <c r="CF949" s="10">
        <v>0.94</v>
      </c>
      <c r="CG949" s="10">
        <v>1534</v>
      </c>
      <c r="CH949" s="10">
        <v>201</v>
      </c>
      <c r="CI949" s="10">
        <v>51</v>
      </c>
      <c r="CJ949" s="10">
        <v>38</v>
      </c>
      <c r="CK949" s="10">
        <v>147</v>
      </c>
      <c r="CL949" s="10">
        <v>8</v>
      </c>
      <c r="CM949" s="10">
        <v>63</v>
      </c>
      <c r="CN949" s="10">
        <v>0.219</v>
      </c>
      <c r="CO949" s="10">
        <v>84</v>
      </c>
      <c r="CP949" s="10">
        <v>55</v>
      </c>
      <c r="CQ949" s="10">
        <v>62</v>
      </c>
      <c r="CR949" s="10">
        <v>9</v>
      </c>
      <c r="CS949" s="10">
        <v>13.5</v>
      </c>
      <c r="CT949" s="9" t="s">
        <v>349</v>
      </c>
      <c r="CU949" s="10"/>
      <c r="CV949" s="10"/>
      <c r="CW949" s="10"/>
      <c r="CX949" t="str">
        <f>INDEX('Data_Price '!AG$2:AG$1266,MATCH(Data!$DN949,'Data_Price '!$AT$2:$AT$1266,0))</f>
        <v>Head V-Shape V2 Black-Grey-White 170 Ski Men</v>
      </c>
      <c r="CY949" t="str">
        <f>INDEX('Data_Price '!AH$2:AH$1266,MATCH(Data!$DN949,'Data_Price '!$AT$2:$AT$1266,0))</f>
        <v>! OutdoorXL.com</v>
      </c>
      <c r="CZ949">
        <f>INDEX('Data_Price '!AI$2:AI$1266,MATCH(Data!$DN949,'Data_Price '!$AT$2:$AT$1266,0))</f>
        <v>234.95</v>
      </c>
      <c r="DA949" t="str">
        <f>INDEX('Data_Price '!AJ$2:AJ$1266,MATCH(Data!$DN949,'Data_Price '!$AT$2:$AT$1266,0))</f>
        <v>https://tinyurl.com/y8leuqsf</v>
      </c>
      <c r="DB949" t="str">
        <f>INDEX('Data_Price '!AK$2:AK$1266,MATCH(Data!$DN949,'Data_Price '!$AT$2:$AT$1266,0))</f>
        <v>Head V-Shape V6 Unisex Skiing Ski Black / Red 170 cm</v>
      </c>
      <c r="DC949" t="str">
        <f>INDEX('Data_Price '!AL$2:AL$1266,MATCH(Data!$DN949,'Data_Price '!$AT$2:$AT$1266,0))</f>
        <v>Mike Sport</v>
      </c>
      <c r="DD949">
        <f>INDEX('Data_Price '!AM$2:AM$1266,MATCH(Data!$DN949,'Data_Price '!$AT$2:$AT$1266,0))</f>
        <v>353</v>
      </c>
      <c r="DE949" t="str">
        <f>INDEX('Data_Price '!AN$2:AN$1266,MATCH(Data!$DN949,'Data_Price '!$AT$2:$AT$1266,0))</f>
        <v>https://tinyurl.com/yavavd69</v>
      </c>
      <c r="DF949" t="str">
        <f>INDEX('Data_Price '!AO$2:AO$1266,MATCH(Data!$DN949,'Data_Price '!$AT$2:$AT$1266,0))</f>
        <v>Head 2021 V Shape V8 Skis W/Pr 11 GW Bindings</v>
      </c>
      <c r="DG949" t="str">
        <f>INDEX('Data_Price '!AP$2:AP$1266,MATCH(Data!$DN949,'Data_Price '!$AT$2:$AT$1266,0))</f>
        <v>Snowcountry.eu</v>
      </c>
      <c r="DH949">
        <f>INDEX('Data_Price '!AQ$2:AQ$1266,MATCH(Data!$DN949,'Data_Price '!$AT$2:$AT$1266,0))</f>
        <v>478.43</v>
      </c>
      <c r="DI949" t="str">
        <f>INDEX('Data_Price '!AR$2:AR$1266,MATCH(Data!$DN949,'Data_Price '!$AT$2:$AT$1266,0))</f>
        <v>https://tinyurl.com/yczuaojt</v>
      </c>
      <c r="DJ949" s="89" t="str">
        <f t="shared" si="550"/>
        <v>https://tinyurl.com/y8leuqsf</v>
      </c>
      <c r="DK949" s="89" t="str">
        <f t="shared" si="551"/>
        <v>https://tinyurl.com/yavavd69</v>
      </c>
      <c r="DL949" s="89" t="str">
        <f t="shared" si="552"/>
        <v>https://tinyurl.com/yczuaojt</v>
      </c>
      <c r="DM949" s="219" t="str">
        <f t="shared" si="553"/>
        <v>V-Shape V8</v>
      </c>
      <c r="DN949" s="89" t="str">
        <f t="shared" si="554"/>
        <v xml:space="preserve"> HeadV-Shape V8170 Unisex</v>
      </c>
      <c r="DO949" s="221"/>
    </row>
    <row r="950" spans="2:119" ht="15.6" customHeight="1">
      <c r="B950" s="219" t="b">
        <f t="array" ref="B950">IF(OR(ISERROR(K950:P950)),FALSE,TRUE)</f>
        <v>1</v>
      </c>
      <c r="C950" s="43" t="b">
        <f>OR(BR950=Driver!$G$50,Data!BR460=Driver!$H$50)</f>
        <v>1</v>
      </c>
      <c r="D950" s="43" t="b">
        <f>OR(BV950=Driver!$G$51,BV950=Driver!$H$51)</f>
        <v>0</v>
      </c>
      <c r="E950" s="43" t="b">
        <f>AND(BX950&gt;Driver!$F$54,BX950&lt;Driver!$G$54)</f>
        <v>1</v>
      </c>
      <c r="F950" s="43" t="b">
        <f>CL950&gt;Driver!$F$56</f>
        <v>1</v>
      </c>
      <c r="G950" s="43" t="b">
        <f>AND(CB950&gt;Driver!$F$55,CB950&lt;Driver!$G$55)</f>
        <v>0</v>
      </c>
      <c r="H950" s="43" t="b">
        <f t="shared" si="518"/>
        <v>0</v>
      </c>
      <c r="I950" s="43">
        <f t="shared" si="519"/>
        <v>0</v>
      </c>
      <c r="J950" s="43" t="b">
        <f t="array" ref="J950">NOT(OR(($H$9:$H$1273=TRUE)*($I$9:$I$1273&gt;0)*($BT$9:$BT$1273=BT950)*($K$9:$K$1273&gt;K950)))</f>
        <v>1</v>
      </c>
      <c r="K950" s="72">
        <f t="shared" si="520"/>
        <v>0.83735398282194795</v>
      </c>
      <c r="L950" s="72">
        <f t="shared" si="521"/>
        <v>0.87872717036438686</v>
      </c>
      <c r="M950" s="72">
        <f t="shared" si="522"/>
        <v>0.79598079527950905</v>
      </c>
      <c r="N950" s="72">
        <f t="shared" si="523"/>
        <v>0.86435139490260782</v>
      </c>
      <c r="O950" s="72">
        <f t="shared" si="524"/>
        <v>0.65869275315979625</v>
      </c>
      <c r="P950" s="72">
        <f t="shared" si="525"/>
        <v>0.86489823777612307</v>
      </c>
      <c r="Q950" s="72"/>
      <c r="R950" s="72"/>
      <c r="S950" s="72">
        <f t="shared" si="526"/>
        <v>0.4041977667425587</v>
      </c>
      <c r="T950" s="72">
        <f t="shared" si="527"/>
        <v>0.46880490895782179</v>
      </c>
      <c r="U950" s="72">
        <f t="shared" si="528"/>
        <v>0.77026640982571437</v>
      </c>
      <c r="V950" s="72">
        <f t="shared" si="529"/>
        <v>0.54938600336322052</v>
      </c>
      <c r="W950" s="72">
        <f t="shared" si="530"/>
        <v>0.82837320574162676</v>
      </c>
      <c r="X950" s="72">
        <f t="shared" si="531"/>
        <v>0.12127282963561317</v>
      </c>
      <c r="Y950" s="72">
        <f t="shared" si="532"/>
        <v>0.20401920472049095</v>
      </c>
      <c r="Z950" s="72">
        <f t="shared" si="533"/>
        <v>0.13564860509739224</v>
      </c>
      <c r="AA950" s="72">
        <f t="shared" si="534"/>
        <v>0.34130724684020375</v>
      </c>
      <c r="AB950" s="72">
        <f t="shared" si="535"/>
        <v>0.13510176222387693</v>
      </c>
      <c r="AC950" s="72"/>
      <c r="AD950" s="72"/>
      <c r="AE950" s="72">
        <f t="shared" si="536"/>
        <v>0.5958022332574413</v>
      </c>
      <c r="AF950" s="72">
        <f t="shared" si="537"/>
        <v>0.53119509104217821</v>
      </c>
      <c r="AG950" s="72">
        <f t="shared" si="538"/>
        <v>0.22973359017428557</v>
      </c>
      <c r="AH950" s="72">
        <f t="shared" si="539"/>
        <v>0.45061399663677948</v>
      </c>
      <c r="AI950" s="72">
        <f t="shared" si="540"/>
        <v>0.17162679425837324</v>
      </c>
      <c r="AJ950" s="72">
        <f>(AV950-Driver!$K$179)/(Driver!$L$179-Driver!$K$179)</f>
        <v>0.13294657964708725</v>
      </c>
      <c r="AK950" s="72">
        <f>(AW950-Driver!$K$180)/(Driver!$L$180-Driver!$K$180)</f>
        <v>0.12569711275729648</v>
      </c>
      <c r="AL950" s="72">
        <f>(AX950-Driver!$K$181)/(Driver!$L$181-Driver!$K$181)</f>
        <v>0.23733636881047243</v>
      </c>
      <c r="AM950" s="72">
        <f>(AY950-Driver!$K$182)/(Driver!$L$182-Driver!$K$182)</f>
        <v>0.10607777425684262</v>
      </c>
      <c r="AN950" s="72">
        <f>(AZ950-Driver!$K$183)/(Driver!$L$183-Driver!$K$183)</f>
        <v>0.11911764705882351</v>
      </c>
      <c r="AO950" s="72"/>
      <c r="AP950" s="72"/>
      <c r="AQ950" s="72">
        <f>(BC950-Driver!$K$188)/(Driver!$L$188-Driver!$K$188)</f>
        <v>2.4197766742558652E-2</v>
      </c>
      <c r="AR950" s="72">
        <f>MIN((BD950-Driver!$K$189)/(Driver!$L$189-Driver!$K$189),100%)</f>
        <v>1.8804908957821807E-2</v>
      </c>
      <c r="AS950" s="72">
        <f>(BE950-Driver!$K$190)/(Driver!$L$190-Driver!$K$190)</f>
        <v>0.28026640982571444</v>
      </c>
      <c r="AT950" s="72">
        <f>(BF950-Driver!$K$191)/(Driver!$L$191-Driver!$K$191)</f>
        <v>5.9386003363220537E-2</v>
      </c>
      <c r="AU950" s="72">
        <f>(BG950-Driver!$K$192)/(Driver!$L$192-Driver!$K$192)</f>
        <v>7.8373205741626775E-2</v>
      </c>
      <c r="AV950" s="70">
        <f t="shared" si="541"/>
        <v>2.7981277981277981</v>
      </c>
      <c r="AW950" s="70">
        <f t="shared" si="542"/>
        <v>14.122190049379819</v>
      </c>
      <c r="AX950" s="70">
        <f t="shared" si="543"/>
        <v>3.1360273192942518</v>
      </c>
      <c r="AY950" s="70">
        <f>IFERROR(Driver!$K$19/Data!BH950/Data!BI950*Data!BK950*Data!BL950,"")</f>
        <v>0.12987084624342474</v>
      </c>
      <c r="AZ950" s="70">
        <f t="shared" si="544"/>
        <v>10.856291883842143</v>
      </c>
      <c r="BA950" s="70"/>
      <c r="BB950" s="70"/>
      <c r="BC950" s="70">
        <f t="shared" si="545"/>
        <v>12.551549829510435</v>
      </c>
      <c r="BD950" s="70">
        <f t="shared" si="546"/>
        <v>3.3850240065379511</v>
      </c>
      <c r="BE950" s="70">
        <f t="shared" si="547"/>
        <v>0.28039480219725493</v>
      </c>
      <c r="BF950" s="70">
        <f t="shared" si="548"/>
        <v>6.7072318695896769</v>
      </c>
      <c r="BG950" s="70">
        <f t="shared" si="549"/>
        <v>0.29677095363801348</v>
      </c>
      <c r="BH950" s="67">
        <f>MAX((CE950-Driver!$F$200)/(Driver!$G$200-Driver!$F$200)*$BI$1,1)</f>
        <v>3.1360273192942518</v>
      </c>
      <c r="BI950" s="67">
        <f>MAX($BI$1*(BY950-Driver!$F$201)/(Driver!$G$201-Driver!$F$201),1)</f>
        <v>6.8354430379746836</v>
      </c>
      <c r="BJ950" s="67">
        <f>(CB950-Driver!$F$206)/(Driver!$G$206-Driver!$F$206)*$BI$1</f>
        <v>4.7619047619047619</v>
      </c>
      <c r="BK950" s="67">
        <f>(CD950-Driver!$F$203)/(Driver!$G$203-Driver!$F$203)*$BI$1</f>
        <v>2.522935779816514</v>
      </c>
      <c r="BL950" s="67">
        <f>MAX((CR950-Driver!$F$202)/(Driver!$G$202-Driver!$F$202)*$BI$1,1)</f>
        <v>5.5172413793103452</v>
      </c>
      <c r="BM950" s="67">
        <f>MAX((CH950-Driver!$F$204)/(Driver!$G$204-Driver!$F$204)*$BI$1,1)</f>
        <v>2.3504273504273505</v>
      </c>
      <c r="BN950" s="67">
        <f>(CI950-Driver!$F$205)/(Driver!$G$205-Driver!$F$205)*$BI$1</f>
        <v>1.588235294117647</v>
      </c>
      <c r="BO950" s="67">
        <f>(CK950-Driver!$F$207)/(Driver!$G$207-Driver!$F$207)*$BI$1</f>
        <v>1.7476732161323683</v>
      </c>
      <c r="BP950" s="67">
        <f>(CM950-Driver!$F$208)/(Driver!$G$208-Driver!$F$208)*$BI$1</f>
        <v>2.0333333333333332</v>
      </c>
      <c r="BQ950" s="67">
        <f>(CL950-Driver!$F$209)/(Driver!$G$209-Driver!$F$209)*$BI$1</f>
        <v>2.1875</v>
      </c>
      <c r="BR950" s="28" t="s">
        <v>155</v>
      </c>
      <c r="BS950" s="8" t="s">
        <v>164</v>
      </c>
      <c r="BT950" s="9" t="s">
        <v>518</v>
      </c>
      <c r="BU950" s="10">
        <v>162</v>
      </c>
      <c r="BV950" s="9" t="s">
        <v>163</v>
      </c>
      <c r="BW950" s="10">
        <v>162</v>
      </c>
      <c r="BX950" s="10">
        <v>162.1</v>
      </c>
      <c r="BY950" s="10">
        <v>116</v>
      </c>
      <c r="BZ950" s="10">
        <v>129</v>
      </c>
      <c r="CA950" s="10">
        <v>133</v>
      </c>
      <c r="CB950" s="10">
        <v>94</v>
      </c>
      <c r="CC950" s="10">
        <v>108</v>
      </c>
      <c r="CD950" s="10">
        <v>14.9</v>
      </c>
      <c r="CE950" s="10">
        <v>1451</v>
      </c>
      <c r="CF950" s="10">
        <v>1.18</v>
      </c>
      <c r="CG950" s="10">
        <v>1717</v>
      </c>
      <c r="CH950" s="10">
        <v>156</v>
      </c>
      <c r="CI950" s="10">
        <v>60</v>
      </c>
      <c r="CJ950" s="10">
        <v>45</v>
      </c>
      <c r="CK950" s="10">
        <v>279</v>
      </c>
      <c r="CL950" s="10">
        <v>14</v>
      </c>
      <c r="CM950" s="10">
        <v>183</v>
      </c>
      <c r="CN950" s="10">
        <v>0.31</v>
      </c>
      <c r="CO950" s="10">
        <v>166</v>
      </c>
      <c r="CP950" s="10">
        <v>162</v>
      </c>
      <c r="CQ950" s="10">
        <v>113</v>
      </c>
      <c r="CR950" s="10">
        <v>5</v>
      </c>
      <c r="CS950" s="10">
        <v>7.2</v>
      </c>
      <c r="CT950" s="9" t="s">
        <v>188</v>
      </c>
      <c r="CU950" s="9" t="s">
        <v>185</v>
      </c>
      <c r="CV950" s="10"/>
      <c r="CW950" s="10"/>
      <c r="CX950" t="str">
        <f>INDEX('Data_Price '!AG$2:AG$1266,MATCH(Data!$DN950,'Data_Price '!$AT$2:$AT$1266,0))</f>
        <v>Elan Ripstick 94 W Women's Skis</v>
      </c>
      <c r="CY950" t="str">
        <f>INDEX('Data_Price '!AH$2:AH$1266,MATCH(Data!$DN950,'Data_Price '!$AT$2:$AT$1266,0))</f>
        <v>Ski Pro  - Snow Ski &amp; Snowboard</v>
      </c>
      <c r="CZ950">
        <f>INDEX('Data_Price '!AI$2:AI$1266,MATCH(Data!$DN950,'Data_Price '!$AT$2:$AT$1266,0))</f>
        <v>449.95</v>
      </c>
      <c r="DA950" t="str">
        <f>INDEX('Data_Price '!AJ$2:AJ$1266,MATCH(Data!$DN950,'Data_Price '!$AT$2:$AT$1266,0))</f>
        <v>https://tinyurl.com/y9dvmeba</v>
      </c>
      <c r="DB950" t="str">
        <f>INDEX('Data_Price '!AK$2:AK$1266,MATCH(Data!$DN950,'Data_Price '!$AT$2:$AT$1266,0))</f>
        <v>Elan Ripstick 94 W Women's Skis</v>
      </c>
      <c r="DC950" t="str">
        <f>INDEX('Data_Price '!AL$2:AL$1266,MATCH(Data!$DN950,'Data_Price '!$AT$2:$AT$1266,0))</f>
        <v>SkiEssentials.com</v>
      </c>
      <c r="DD950">
        <f>INDEX('Data_Price '!AM$2:AM$1266,MATCH(Data!$DN950,'Data_Price '!$AT$2:$AT$1266,0))</f>
        <v>449.99</v>
      </c>
      <c r="DE950" t="str">
        <f>INDEX('Data_Price '!AN$2:AN$1266,MATCH(Data!$DN950,'Data_Price '!$AT$2:$AT$1266,0))</f>
        <v>https://tinyurl.com/y89ltdq4</v>
      </c>
      <c r="DF950" t="str">
        <f>INDEX('Data_Price '!AO$2:AO$1266,MATCH(Data!$DN950,'Data_Price '!$AT$2:$AT$1266,0))</f>
        <v>Elan Ripstick 94 W Women's Skis</v>
      </c>
      <c r="DG950" t="str">
        <f>INDEX('Data_Price '!AP$2:AP$1266,MATCH(Data!$DN950,'Data_Price '!$AT$2:$AT$1266,0))</f>
        <v>Geiger's</v>
      </c>
      <c r="DH950">
        <f>INDEX('Data_Price '!AQ$2:AQ$1266,MATCH(Data!$DN950,'Data_Price '!$AT$2:$AT$1266,0))</f>
        <v>449.99</v>
      </c>
      <c r="DI950" t="str">
        <f>INDEX('Data_Price '!AR$2:AR$1266,MATCH(Data!$DN950,'Data_Price '!$AT$2:$AT$1266,0))</f>
        <v>https://tinyurl.com/yayho8vj</v>
      </c>
      <c r="DJ950" s="89" t="str">
        <f t="shared" si="550"/>
        <v>https://tinyurl.com/y9dvmeba</v>
      </c>
      <c r="DK950" s="89" t="str">
        <f t="shared" si="551"/>
        <v>https://tinyurl.com/y89ltdq4</v>
      </c>
      <c r="DL950" s="89" t="str">
        <f t="shared" si="552"/>
        <v>https://tinyurl.com/yayho8vj</v>
      </c>
      <c r="DM950" s="219" t="str">
        <f t="shared" si="553"/>
        <v>Ripstick 94 W</v>
      </c>
      <c r="DN950" s="89" t="str">
        <f t="shared" si="554"/>
        <v xml:space="preserve"> ElanRipstick 94 W162 Women's</v>
      </c>
      <c r="DO950" s="221" t="s">
        <v>519</v>
      </c>
    </row>
    <row r="951" spans="2:119" ht="15.6" customHeight="1">
      <c r="B951" s="219" t="b">
        <f t="array" ref="B951">IF(OR(ISERROR(K951:P951)),FALSE,TRUE)</f>
        <v>1</v>
      </c>
      <c r="C951" s="43" t="b">
        <f>OR(BR951=Driver!$G$50,Data!BR517=Driver!$H$50)</f>
        <v>1</v>
      </c>
      <c r="D951" s="43" t="b">
        <f>OR(BV951=Driver!$G$51,BV951=Driver!$H$51)</f>
        <v>1</v>
      </c>
      <c r="E951" s="43" t="b">
        <f>AND(BX951&gt;Driver!$F$54,BX951&lt;Driver!$G$54)</f>
        <v>0</v>
      </c>
      <c r="F951" s="43" t="b">
        <f>CL951&gt;Driver!$F$56</f>
        <v>1</v>
      </c>
      <c r="G951" s="43" t="b">
        <f>AND(CB951&gt;Driver!$F$55,CB951&lt;Driver!$G$55)</f>
        <v>0</v>
      </c>
      <c r="H951" s="43" t="b">
        <f t="shared" si="518"/>
        <v>0</v>
      </c>
      <c r="I951" s="43">
        <f t="shared" si="519"/>
        <v>0</v>
      </c>
      <c r="J951" s="43" t="b">
        <f t="array" ref="J951">NOT(OR(($H$9:$H$1273=TRUE)*($I$9:$I$1273&gt;0)*($BT$9:$BT$1273=BT951)*($K$9:$K$1273&gt;K951)))</f>
        <v>1</v>
      </c>
      <c r="K951" s="72">
        <f t="shared" si="520"/>
        <v>0.81999351636681217</v>
      </c>
      <c r="L951" s="72">
        <f t="shared" si="521"/>
        <v>0.81853862794234189</v>
      </c>
      <c r="M951" s="72">
        <f t="shared" si="522"/>
        <v>0.82144840479128256</v>
      </c>
      <c r="N951" s="72">
        <f t="shared" si="523"/>
        <v>0.90925116091791169</v>
      </c>
      <c r="O951" s="72">
        <f t="shared" si="524"/>
        <v>0.66102914901314647</v>
      </c>
      <c r="P951" s="72">
        <f t="shared" si="525"/>
        <v>0.89406490444278974</v>
      </c>
      <c r="Q951" s="72"/>
      <c r="R951" s="72"/>
      <c r="S951" s="72">
        <f t="shared" si="526"/>
        <v>0.40487518265998201</v>
      </c>
      <c r="T951" s="72">
        <f t="shared" si="527"/>
        <v>0.50125260371855895</v>
      </c>
      <c r="U951" s="72">
        <f t="shared" si="528"/>
        <v>0.91858307308312381</v>
      </c>
      <c r="V951" s="72">
        <f t="shared" si="529"/>
        <v>0.51593694028066139</v>
      </c>
      <c r="W951" s="72">
        <f t="shared" si="530"/>
        <v>0.89795058139534878</v>
      </c>
      <c r="X951" s="72">
        <f t="shared" si="531"/>
        <v>0.18146137205765811</v>
      </c>
      <c r="Y951" s="72">
        <f t="shared" si="532"/>
        <v>0.17855159520871741</v>
      </c>
      <c r="Z951" s="72">
        <f t="shared" si="533"/>
        <v>9.0748839082088348E-2</v>
      </c>
      <c r="AA951" s="72">
        <f t="shared" si="534"/>
        <v>0.33897085098685353</v>
      </c>
      <c r="AB951" s="72">
        <f t="shared" si="535"/>
        <v>0.10593509555721026</v>
      </c>
      <c r="AC951" s="72"/>
      <c r="AD951" s="72"/>
      <c r="AE951" s="72">
        <f t="shared" si="536"/>
        <v>0.59512481734001799</v>
      </c>
      <c r="AF951" s="72">
        <f t="shared" si="537"/>
        <v>0.49874739628144099</v>
      </c>
      <c r="AG951" s="72">
        <f t="shared" si="538"/>
        <v>8.1416926916876187E-2</v>
      </c>
      <c r="AH951" s="72">
        <f t="shared" si="539"/>
        <v>0.48406305971933861</v>
      </c>
      <c r="AI951" s="72">
        <f t="shared" si="540"/>
        <v>0.10204941860465122</v>
      </c>
      <c r="AJ951" s="72">
        <f>(AV951-Driver!$K$179)/(Driver!$L$179-Driver!$K$179)</f>
        <v>7.2758037225042302E-2</v>
      </c>
      <c r="AK951" s="72">
        <f>(AW951-Driver!$K$180)/(Driver!$L$180-Driver!$K$180)</f>
        <v>0.14885550367964231</v>
      </c>
      <c r="AL951" s="72">
        <f>(AX951-Driver!$K$181)/(Driver!$L$181-Driver!$K$181)</f>
        <v>0.19243660279516853</v>
      </c>
      <c r="AM951" s="72">
        <f>(AY951-Driver!$K$182)/(Driver!$L$182-Driver!$K$182)</f>
        <v>0.1084141701101928</v>
      </c>
      <c r="AN951" s="72">
        <f>(AZ951-Driver!$K$183)/(Driver!$L$183-Driver!$K$183)</f>
        <v>0.14828431372549017</v>
      </c>
      <c r="AO951" s="72"/>
      <c r="AP951" s="72"/>
      <c r="AQ951" s="72">
        <f>(BC951-Driver!$K$188)/(Driver!$L$188-Driver!$K$188)</f>
        <v>2.4875182659982061E-2</v>
      </c>
      <c r="AR951" s="72">
        <f>MIN((BD951-Driver!$K$189)/(Driver!$L$189-Driver!$K$189),100%)</f>
        <v>5.1252603718559046E-2</v>
      </c>
      <c r="AS951" s="72">
        <f>(BE951-Driver!$K$190)/(Driver!$L$190-Driver!$K$190)</f>
        <v>0.5914169269168762</v>
      </c>
      <c r="AT951" s="72">
        <f>(BF951-Driver!$K$191)/(Driver!$L$191-Driver!$K$191)</f>
        <v>2.5936940280661396E-2</v>
      </c>
      <c r="AU951" s="72">
        <f>(BG951-Driver!$K$192)/(Driver!$L$192-Driver!$K$192)</f>
        <v>0.14795058139534878</v>
      </c>
      <c r="AV951" s="70">
        <f t="shared" si="541"/>
        <v>1.5313390313390314</v>
      </c>
      <c r="AW951" s="70">
        <f t="shared" si="542"/>
        <v>16.379180448981092</v>
      </c>
      <c r="AX951" s="70">
        <f t="shared" si="543"/>
        <v>2.7319294251565167</v>
      </c>
      <c r="AY951" s="70">
        <f>IFERROR(Driver!$K$19/Data!BH951/Data!BI951*Data!BK951*Data!BL951,"")</f>
        <v>0.13273129188116534</v>
      </c>
      <c r="AZ951" s="70">
        <f t="shared" si="544"/>
        <v>13.514519731943409</v>
      </c>
      <c r="BA951" s="70"/>
      <c r="BB951" s="70"/>
      <c r="BC951" s="70">
        <f t="shared" si="545"/>
        <v>12.902930175197012</v>
      </c>
      <c r="BD951" s="70">
        <f t="shared" si="546"/>
        <v>6.2565874989501742</v>
      </c>
      <c r="BE951" s="70">
        <f t="shared" si="547"/>
        <v>0.59148981353831587</v>
      </c>
      <c r="BF951" s="70">
        <f t="shared" si="548"/>
        <v>2.9293951873824517</v>
      </c>
      <c r="BG951" s="70">
        <f t="shared" si="549"/>
        <v>0.56023528343023243</v>
      </c>
      <c r="BH951" s="67">
        <f>MAX((CE951-Driver!$F$200)/(Driver!$G$200-Driver!$F$200)*$BI$1,1)</f>
        <v>2.7319294251565167</v>
      </c>
      <c r="BI951" s="67">
        <f>MAX($BI$1*(BY951-Driver!$F$201)/(Driver!$G$201-Driver!$F$201),1)</f>
        <v>6.962025316455696</v>
      </c>
      <c r="BJ951" s="67">
        <f>(CB951-Driver!$F$206)/(Driver!$G$206-Driver!$F$206)*$BI$1</f>
        <v>3.333333333333333</v>
      </c>
      <c r="BK951" s="67">
        <f>(CD951-Driver!$F$203)/(Driver!$G$203-Driver!$F$203)*$BI$1</f>
        <v>1.7431192660550456</v>
      </c>
      <c r="BL951" s="67">
        <f>MAX((CR951-Driver!$F$202)/(Driver!$G$202-Driver!$F$202)*$BI$1,1)</f>
        <v>7.2413793103448274</v>
      </c>
      <c r="BM951" s="67">
        <f>MAX((CH951-Driver!$F$204)/(Driver!$G$204-Driver!$F$204)*$BI$1,1)</f>
        <v>1.8376068376068377</v>
      </c>
      <c r="BN951" s="67">
        <f>(CI951-Driver!$F$205)/(Driver!$G$205-Driver!$F$205)*$BI$1</f>
        <v>1.9411764705882353</v>
      </c>
      <c r="BO951" s="67">
        <f>(CK951-Driver!$F$207)/(Driver!$G$207-Driver!$F$207)*$BI$1</f>
        <v>1.0444674250258532</v>
      </c>
      <c r="BP951" s="67">
        <f>(CM951-Driver!$F$208)/(Driver!$G$208-Driver!$F$208)*$BI$1</f>
        <v>1.4666666666666668</v>
      </c>
      <c r="BQ951" s="67">
        <f>(CL951-Driver!$F$209)/(Driver!$G$209-Driver!$F$209)*$BI$1</f>
        <v>2.8125</v>
      </c>
      <c r="BR951" s="28" t="s">
        <v>155</v>
      </c>
      <c r="BS951" s="8" t="s">
        <v>205</v>
      </c>
      <c r="BT951" s="9" t="s">
        <v>347</v>
      </c>
      <c r="BU951" s="10">
        <v>154</v>
      </c>
      <c r="BV951" s="9" t="s">
        <v>158</v>
      </c>
      <c r="BW951" s="10">
        <v>154</v>
      </c>
      <c r="BX951" s="10">
        <v>152.30000000000001</v>
      </c>
      <c r="BY951" s="10">
        <v>118</v>
      </c>
      <c r="BZ951" s="10">
        <v>128</v>
      </c>
      <c r="CA951" s="10">
        <v>119</v>
      </c>
      <c r="CB951" s="10">
        <v>85</v>
      </c>
      <c r="CC951" s="10">
        <v>109</v>
      </c>
      <c r="CD951" s="10">
        <v>13.2</v>
      </c>
      <c r="CE951" s="10">
        <v>1380</v>
      </c>
      <c r="CF951" s="10">
        <v>1.07</v>
      </c>
      <c r="CG951" s="10">
        <v>1471</v>
      </c>
      <c r="CH951" s="10">
        <v>144</v>
      </c>
      <c r="CI951" s="10">
        <v>66</v>
      </c>
      <c r="CJ951" s="10">
        <v>48</v>
      </c>
      <c r="CK951" s="10">
        <v>211</v>
      </c>
      <c r="CL951" s="10">
        <v>18</v>
      </c>
      <c r="CM951" s="10">
        <v>132</v>
      </c>
      <c r="CN951" s="10">
        <v>0.38200000000000001</v>
      </c>
      <c r="CO951" s="10">
        <v>151</v>
      </c>
      <c r="CP951" s="10">
        <v>95</v>
      </c>
      <c r="CQ951" s="10">
        <v>59</v>
      </c>
      <c r="CR951" s="10">
        <v>10</v>
      </c>
      <c r="CS951" s="10">
        <v>9.1</v>
      </c>
      <c r="CT951" s="9" t="s">
        <v>231</v>
      </c>
      <c r="CU951" s="9" t="s">
        <v>188</v>
      </c>
      <c r="CV951" s="9" t="s">
        <v>185</v>
      </c>
      <c r="CW951" s="10"/>
      <c r="CX951" t="str">
        <f>INDEX('Data_Price '!AG$2:AG$1266,MATCH(Data!$DN951,'Data_Price '!$AT$2:$AT$1266,0))</f>
        <v>Faction Dictator 1.0x Skis</v>
      </c>
      <c r="CY951" t="str">
        <f>INDEX('Data_Price '!AH$2:AH$1266,MATCH(Data!$DN951,'Data_Price '!$AT$2:$AT$1266,0))</f>
        <v>Backcountry Freeskier</v>
      </c>
      <c r="CZ951">
        <f>INDEX('Data_Price '!AI$2:AI$1266,MATCH(Data!$DN951,'Data_Price '!$AT$2:$AT$1266,0))</f>
        <v>489</v>
      </c>
      <c r="DA951" t="str">
        <f>INDEX('Data_Price '!AJ$2:AJ$1266,MATCH(Data!$DN951,'Data_Price '!$AT$2:$AT$1266,0))</f>
        <v>https://tinyurl.com/ycnaavss</v>
      </c>
      <c r="DB951" t="str">
        <f>INDEX('Data_Price '!AK$2:AK$1266,MATCH(Data!$DN951,'Data_Price '!$AT$2:$AT$1266,0))</f>
        <v>Faction Women's Dictator 1.0X Ski 2022 - 154</v>
      </c>
      <c r="DC951" t="str">
        <f>INDEX('Data_Price '!AL$2:AL$1266,MATCH(Data!$DN951,'Data_Price '!$AT$2:$AT$1266,0))</f>
        <v>Gear West Ski &amp; Bike</v>
      </c>
      <c r="DD951">
        <f>INDEX('Data_Price '!AM$2:AM$1266,MATCH(Data!$DN951,'Data_Price '!$AT$2:$AT$1266,0))</f>
        <v>619</v>
      </c>
      <c r="DE951" t="str">
        <f>INDEX('Data_Price '!AN$2:AN$1266,MATCH(Data!$DN951,'Data_Price '!$AT$2:$AT$1266,0))</f>
        <v>https://tinyurl.com/ybnaxf2h</v>
      </c>
      <c r="DF951" t="str">
        <f>INDEX('Data_Price '!AO$2:AO$1266,MATCH(Data!$DN951,'Data_Price '!$AT$2:$AT$1266,0))</f>
        <v>Faction Prodigy 2.0x 154cm (BRAND New, Still in Wrap)</v>
      </c>
      <c r="DG951" t="str">
        <f>INDEX('Data_Price '!AP$2:AP$1266,MATCH(Data!$DN951,'Data_Price '!$AT$2:$AT$1266,0))</f>
        <v>Requipper</v>
      </c>
      <c r="DH951">
        <f>INDEX('Data_Price '!AQ$2:AQ$1266,MATCH(Data!$DN951,'Data_Price '!$AT$2:$AT$1266,0))</f>
        <v>350</v>
      </c>
      <c r="DI951" t="str">
        <f>INDEX('Data_Price '!AR$2:AR$1266,MATCH(Data!$DN951,'Data_Price '!$AT$2:$AT$1266,0))</f>
        <v>https://tinyurl.com/yaw9pqsc</v>
      </c>
      <c r="DJ951" s="89" t="str">
        <f t="shared" si="550"/>
        <v>https://tinyurl.com/ycnaavss</v>
      </c>
      <c r="DK951" s="89" t="str">
        <f t="shared" si="551"/>
        <v>https://tinyurl.com/ybnaxf2h</v>
      </c>
      <c r="DL951" s="89" t="str">
        <f t="shared" si="552"/>
        <v>https://tinyurl.com/yaw9pqsc</v>
      </c>
      <c r="DM951" s="219" t="str">
        <f t="shared" si="553"/>
        <v>Dictator FG 1.0</v>
      </c>
      <c r="DN951" s="89" t="str">
        <f t="shared" si="554"/>
        <v xml:space="preserve"> FactionDictator FG 1.0154 Unisex</v>
      </c>
      <c r="DO951" s="221"/>
    </row>
    <row r="952" spans="2:119" ht="15.6" customHeight="1">
      <c r="B952" s="219" t="b">
        <f t="array" ref="B952">IF(OR(ISERROR(K952:P952)),FALSE,TRUE)</f>
        <v>1</v>
      </c>
      <c r="C952" s="43" t="b">
        <f>OR(BR952=Driver!$G$50,Data!BR384=Driver!$H$50)</f>
        <v>1</v>
      </c>
      <c r="D952" s="43" t="b">
        <f>OR(BV952=Driver!$G$51,BV952=Driver!$H$51)</f>
        <v>1</v>
      </c>
      <c r="E952" s="43" t="b">
        <f>AND(BX952&gt;Driver!$F$54,BX952&lt;Driver!$G$54)</f>
        <v>0</v>
      </c>
      <c r="F952" s="43" t="b">
        <f>CL952&gt;Driver!$F$56</f>
        <v>1</v>
      </c>
      <c r="G952" s="43" t="b">
        <f>AND(CB952&gt;Driver!$F$55,CB952&lt;Driver!$G$55)</f>
        <v>0</v>
      </c>
      <c r="H952" s="43" t="b">
        <f t="shared" si="518"/>
        <v>0</v>
      </c>
      <c r="I952" s="43">
        <f t="shared" si="519"/>
        <v>0</v>
      </c>
      <c r="J952" s="43" t="b">
        <f t="array" ref="J952">NOT(OR(($H$9:$H$1273=TRUE)*($I$9:$I$1273&gt;0)*($BT$9:$BT$1273=BT952)*($K$9:$K$1273&gt;K952)))</f>
        <v>1</v>
      </c>
      <c r="K952" s="72">
        <f t="shared" si="520"/>
        <v>0.68242841970621548</v>
      </c>
      <c r="L952" s="72">
        <f t="shared" si="521"/>
        <v>0.72041874857848653</v>
      </c>
      <c r="M952" s="72">
        <f t="shared" si="522"/>
        <v>0.64443809083394443</v>
      </c>
      <c r="N952" s="72">
        <f t="shared" si="523"/>
        <v>0.34705549912065625</v>
      </c>
      <c r="O952" s="72">
        <f t="shared" si="524"/>
        <v>0.63481714187625471</v>
      </c>
      <c r="P952" s="72">
        <f t="shared" si="525"/>
        <v>0.95144163150492256</v>
      </c>
      <c r="Q952" s="72"/>
      <c r="R952" s="72"/>
      <c r="S952" s="72">
        <f t="shared" si="526"/>
        <v>0.4557226300002134</v>
      </c>
      <c r="T952" s="72">
        <f t="shared" si="527"/>
        <v>0.51927610161293991</v>
      </c>
      <c r="U952" s="72">
        <f t="shared" si="528"/>
        <v>0.51337735673694529</v>
      </c>
      <c r="V952" s="72">
        <f t="shared" si="529"/>
        <v>0.62565563632353682</v>
      </c>
      <c r="W952" s="72">
        <f t="shared" si="530"/>
        <v>0.78172417823228635</v>
      </c>
      <c r="X952" s="72">
        <f t="shared" si="531"/>
        <v>0.27958125142151352</v>
      </c>
      <c r="Y952" s="72">
        <f t="shared" si="532"/>
        <v>0.35556190916605551</v>
      </c>
      <c r="Z952" s="72">
        <f t="shared" si="533"/>
        <v>0.65294450087934375</v>
      </c>
      <c r="AA952" s="72">
        <f t="shared" si="534"/>
        <v>0.36518285812374535</v>
      </c>
      <c r="AB952" s="72">
        <f t="shared" si="535"/>
        <v>4.8558368495077386E-2</v>
      </c>
      <c r="AC952" s="72"/>
      <c r="AD952" s="72"/>
      <c r="AE952" s="72">
        <f t="shared" si="536"/>
        <v>0.5442773699997866</v>
      </c>
      <c r="AF952" s="72">
        <f t="shared" si="537"/>
        <v>0.48072389838706009</v>
      </c>
      <c r="AG952" s="72">
        <f t="shared" si="538"/>
        <v>0.48662264326305477</v>
      </c>
      <c r="AH952" s="72">
        <f t="shared" si="539"/>
        <v>0.37434436367646318</v>
      </c>
      <c r="AI952" s="72">
        <f t="shared" si="540"/>
        <v>0.21827582176771365</v>
      </c>
      <c r="AJ952" s="72">
        <f>(AV952-Driver!$K$179)/(Driver!$L$179-Driver!$K$179)</f>
        <v>0.53380066070421395</v>
      </c>
      <c r="AK952" s="72">
        <f>(AW952-Driver!$K$180)/(Driver!$L$180-Driver!$K$180)</f>
        <v>0.34491860598472435</v>
      </c>
      <c r="AL952" s="72">
        <f>(AX952-Driver!$K$181)/(Driver!$L$181-Driver!$K$181)</f>
        <v>0.75463226459242394</v>
      </c>
      <c r="AM952" s="72">
        <f>(AY952-Driver!$K$182)/(Driver!$L$182-Driver!$K$182)</f>
        <v>8.2202162973301032E-2</v>
      </c>
      <c r="AN952" s="72">
        <f>(AZ952-Driver!$K$183)/(Driver!$L$183-Driver!$K$183)</f>
        <v>0.30277777777777781</v>
      </c>
      <c r="AO952" s="72"/>
      <c r="AP952" s="72"/>
      <c r="AQ952" s="72">
        <f>(BC952-Driver!$K$188)/(Driver!$L$188-Driver!$K$188)</f>
        <v>7.5722630000213398E-2</v>
      </c>
      <c r="AR952" s="72">
        <f>MIN((BD952-Driver!$K$189)/(Driver!$L$189-Driver!$K$189),100%)</f>
        <v>6.9276101612939969E-2</v>
      </c>
      <c r="AS952" s="72">
        <f>(BE952-Driver!$K$190)/(Driver!$L$190-Driver!$K$190)</f>
        <v>2.3377356736945226E-2</v>
      </c>
      <c r="AT952" s="72">
        <f>(BF952-Driver!$K$191)/(Driver!$L$191-Driver!$K$191)</f>
        <v>0.13565563632353686</v>
      </c>
      <c r="AU952" s="72">
        <f>(BG952-Driver!$K$192)/(Driver!$L$192-Driver!$K$192)</f>
        <v>3.1724178232286342E-2</v>
      </c>
      <c r="AV952" s="70">
        <f t="shared" si="541"/>
        <v>11.234907068240402</v>
      </c>
      <c r="AW952" s="70">
        <f t="shared" si="542"/>
        <v>35.4872670644301</v>
      </c>
      <c r="AX952" s="70">
        <f t="shared" si="543"/>
        <v>7.7916903813318159</v>
      </c>
      <c r="AY952" s="70">
        <f>IFERROR(Driver!$K$19/Data!BH952/Data!BI952*Data!BK952*Data!BL952,"")</f>
        <v>0.10063997423752394</v>
      </c>
      <c r="AZ952" s="70">
        <f t="shared" si="544"/>
        <v>27.594936708860761</v>
      </c>
      <c r="BA952" s="70"/>
      <c r="BB952" s="70"/>
      <c r="BC952" s="70">
        <f t="shared" si="545"/>
        <v>39.277854596294112</v>
      </c>
      <c r="BD952" s="70">
        <f t="shared" si="546"/>
        <v>7.8516351268543545</v>
      </c>
      <c r="BE952" s="70">
        <f t="shared" si="547"/>
        <v>2.3551575224147275E-2</v>
      </c>
      <c r="BF952" s="70">
        <f t="shared" si="548"/>
        <v>15.321351087960307</v>
      </c>
      <c r="BG952" s="70">
        <f t="shared" si="549"/>
        <v>0.12012797662527393</v>
      </c>
      <c r="BH952" s="67">
        <f>MAX((CE952-Driver!$F$200)/(Driver!$G$200-Driver!$F$200)*$BI$1,1)</f>
        <v>7.7916903813318159</v>
      </c>
      <c r="BI952" s="67">
        <f>MAX($BI$1*(BY952-Driver!$F$201)/(Driver!$G$201-Driver!$F$201),1)</f>
        <v>6.8987341772151902</v>
      </c>
      <c r="BJ952" s="67">
        <f>(CB952-Driver!$F$206)/(Driver!$G$206-Driver!$F$206)*$BI$1</f>
        <v>8.412698412698413</v>
      </c>
      <c r="BK952" s="67">
        <f>(CD952-Driver!$F$203)/(Driver!$G$203-Driver!$F$203)*$BI$1</f>
        <v>4.1284403669724767</v>
      </c>
      <c r="BL952" s="67">
        <f>MAX((CR952-Driver!$F$202)/(Driver!$G$202-Driver!$F$202)*$BI$1,1)</f>
        <v>6.5517241379310338</v>
      </c>
      <c r="BM952" s="67">
        <f>MAX((CH952-Driver!$F$204)/(Driver!$G$204-Driver!$F$204)*$BI$1,1)</f>
        <v>5.3418803418803416</v>
      </c>
      <c r="BN952" s="67">
        <f>(CI952-Driver!$F$205)/(Driver!$G$205-Driver!$F$205)*$BI$1</f>
        <v>4</v>
      </c>
      <c r="BO952" s="67">
        <f>(CK952-Driver!$F$207)/(Driver!$G$207-Driver!$F$207)*$BI$1</f>
        <v>2.3578076525336091</v>
      </c>
      <c r="BP952" s="67">
        <f>(CM952-Driver!$F$208)/(Driver!$G$208-Driver!$F$208)*$BI$1</f>
        <v>3.1888888888888891</v>
      </c>
      <c r="BQ952" s="67">
        <f>(CL952-Driver!$F$209)/(Driver!$G$209-Driver!$F$209)*$BI$1</f>
        <v>5</v>
      </c>
      <c r="BR952" s="28" t="s">
        <v>155</v>
      </c>
      <c r="BS952" s="8" t="s">
        <v>202</v>
      </c>
      <c r="BT952" s="9" t="s">
        <v>817</v>
      </c>
      <c r="BU952" s="10">
        <v>180</v>
      </c>
      <c r="BV952" s="9" t="s">
        <v>158</v>
      </c>
      <c r="BW952" s="10">
        <v>180</v>
      </c>
      <c r="BX952" s="10">
        <v>179.3</v>
      </c>
      <c r="BY952" s="10">
        <v>117</v>
      </c>
      <c r="BZ952" s="10">
        <v>135</v>
      </c>
      <c r="CA952" s="10">
        <v>144</v>
      </c>
      <c r="CB952" s="10">
        <v>117</v>
      </c>
      <c r="CC952" s="10">
        <v>134</v>
      </c>
      <c r="CD952" s="10">
        <v>18.399999999999999</v>
      </c>
      <c r="CE952" s="10">
        <v>2269</v>
      </c>
      <c r="CF952" s="10">
        <v>0.99</v>
      </c>
      <c r="CG952" s="10">
        <v>2240</v>
      </c>
      <c r="CH952" s="10">
        <v>226</v>
      </c>
      <c r="CI952" s="10">
        <v>101</v>
      </c>
      <c r="CJ952" s="10">
        <v>56</v>
      </c>
      <c r="CK952" s="10">
        <v>338</v>
      </c>
      <c r="CL952" s="10">
        <v>32</v>
      </c>
      <c r="CM952" s="10">
        <v>287</v>
      </c>
      <c r="CN952" s="10">
        <v>0.57699999999999996</v>
      </c>
      <c r="CO952" s="10">
        <v>264</v>
      </c>
      <c r="CP952" s="10">
        <v>182</v>
      </c>
      <c r="CQ952" s="10">
        <v>74</v>
      </c>
      <c r="CR952" s="10">
        <v>8</v>
      </c>
      <c r="CS952" s="10">
        <v>9.4</v>
      </c>
      <c r="CT952" s="9" t="s">
        <v>169</v>
      </c>
      <c r="CU952" s="10"/>
      <c r="CV952" s="10"/>
      <c r="CW952" s="10"/>
      <c r="CX952" t="str">
        <f>INDEX('Data_Price '!AG$2:AG$1266,MATCH(Data!$DN952,'Data_Price '!$AT$2:$AT$1266,0))</f>
        <v>Dynastar M-FREE 118 180cm</v>
      </c>
      <c r="CY952" t="str">
        <f>INDEX('Data_Price '!AH$2:AH$1266,MATCH(Data!$DN952,'Data_Price '!$AT$2:$AT$1266,0))</f>
        <v>Sundance Ski and Board Shop</v>
      </c>
      <c r="CZ952">
        <f>INDEX('Data_Price '!AI$2:AI$1266,MATCH(Data!$DN952,'Data_Price '!$AT$2:$AT$1266,0))</f>
        <v>681.22</v>
      </c>
      <c r="DA952" t="str">
        <f>INDEX('Data_Price '!AJ$2:AJ$1266,MATCH(Data!$DN952,'Data_Price '!$AT$2:$AT$1266,0))</f>
        <v>https://tinyurl.com/y9m7xa9l</v>
      </c>
      <c r="DB952" t="str">
        <f>INDEX('Data_Price '!AK$2:AK$1266,MATCH(Data!$DN952,'Data_Price '!$AT$2:$AT$1266,0))</f>
        <v>Dynastar M-Free 118 Skis - 2022 180cm</v>
      </c>
      <c r="DC952" t="str">
        <f>INDEX('Data_Price '!AL$2:AL$1266,MATCH(Data!$DN952,'Data_Price '!$AT$2:$AT$1266,0))</f>
        <v>Glacier Ski Shop</v>
      </c>
      <c r="DD952">
        <f>INDEX('Data_Price '!AM$2:AM$1266,MATCH(Data!$DN952,'Data_Price '!$AT$2:$AT$1266,0))</f>
        <v>719</v>
      </c>
      <c r="DE952" t="str">
        <f>INDEX('Data_Price '!AN$2:AN$1266,MATCH(Data!$DN952,'Data_Price '!$AT$2:$AT$1266,0))</f>
        <v>https://tinyurl.com/y9buftgx</v>
      </c>
      <c r="DF952" t="str">
        <f>INDEX('Data_Price '!AO$2:AO$1266,MATCH(Data!$DN952,'Data_Price '!$AT$2:$AT$1266,0))</f>
        <v>Dynastar M Free 118 Skis 180cm 2022</v>
      </c>
      <c r="DG952" t="str">
        <f>INDEX('Data_Price '!AP$2:AP$1266,MATCH(Data!$DN952,'Data_Price '!$AT$2:$AT$1266,0))</f>
        <v>Snowcountry.eu</v>
      </c>
      <c r="DH952">
        <f>INDEX('Data_Price '!AQ$2:AQ$1266,MATCH(Data!$DN952,'Data_Price '!$AT$2:$AT$1266,0))</f>
        <v>413.9</v>
      </c>
      <c r="DI952" t="str">
        <f>INDEX('Data_Price '!AR$2:AR$1266,MATCH(Data!$DN952,'Data_Price '!$AT$2:$AT$1266,0))</f>
        <v>https://tinyurl.com/y9se4lcm</v>
      </c>
      <c r="DJ952" s="89" t="str">
        <f t="shared" si="550"/>
        <v>https://tinyurl.com/y9m7xa9l</v>
      </c>
      <c r="DK952" s="89" t="str">
        <f t="shared" si="551"/>
        <v>https://tinyurl.com/y9buftgx</v>
      </c>
      <c r="DL952" s="89" t="str">
        <f t="shared" si="552"/>
        <v>https://tinyurl.com/y9se4lcm</v>
      </c>
      <c r="DM952" s="219" t="str">
        <f t="shared" si="553"/>
        <v>M-Free 118</v>
      </c>
      <c r="DN952" s="89" t="str">
        <f t="shared" si="554"/>
        <v xml:space="preserve"> DynastarM-Free 118180 Unisex</v>
      </c>
      <c r="DO952" s="221" t="s">
        <v>818</v>
      </c>
    </row>
    <row r="953" spans="2:119" ht="15.6" customHeight="1">
      <c r="B953" s="219" t="b">
        <f t="array" ref="B953">IF(OR(ISERROR(K953:P953)),FALSE,TRUE)</f>
        <v>1</v>
      </c>
      <c r="C953" s="43" t="b">
        <f>OR(BR953=Driver!$G$50,Data!BR467=Driver!$H$50)</f>
        <v>1</v>
      </c>
      <c r="D953" s="43" t="b">
        <f>OR(BV953=Driver!$G$51,BV953=Driver!$H$51)</f>
        <v>0</v>
      </c>
      <c r="E953" s="43" t="b">
        <f>AND(BX953&gt;Driver!$F$54,BX953&lt;Driver!$G$54)</f>
        <v>1</v>
      </c>
      <c r="F953" s="43" t="b">
        <f>CL953&gt;Driver!$F$56</f>
        <v>1</v>
      </c>
      <c r="G953" s="43" t="b">
        <f>AND(CB953&gt;Driver!$F$55,CB953&lt;Driver!$G$55)</f>
        <v>0</v>
      </c>
      <c r="H953" s="43" t="b">
        <f t="shared" si="518"/>
        <v>0</v>
      </c>
      <c r="I953" s="43">
        <f t="shared" si="519"/>
        <v>0</v>
      </c>
      <c r="J953" s="43" t="b">
        <f t="array" ref="J953">NOT(OR(($H$9:$H$1273=TRUE)*($I$9:$I$1273&gt;0)*($BT$9:$BT$1273=BT953)*($K$9:$K$1273&gt;K953)))</f>
        <v>1</v>
      </c>
      <c r="K953" s="72">
        <f t="shared" si="520"/>
        <v>0.7977154014857718</v>
      </c>
      <c r="L953" s="72">
        <f t="shared" si="521"/>
        <v>0.81507395950305417</v>
      </c>
      <c r="M953" s="72">
        <f t="shared" si="522"/>
        <v>0.78035684346848944</v>
      </c>
      <c r="N953" s="72">
        <f t="shared" si="523"/>
        <v>0.81945162888730394</v>
      </c>
      <c r="O953" s="72">
        <f t="shared" si="524"/>
        <v>0.63245595785968822</v>
      </c>
      <c r="P953" s="72">
        <f t="shared" si="525"/>
        <v>0.88916294365847603</v>
      </c>
      <c r="Q953" s="72"/>
      <c r="R953" s="72"/>
      <c r="S953" s="72">
        <f t="shared" si="526"/>
        <v>0.42127673473951188</v>
      </c>
      <c r="T953" s="72">
        <f t="shared" si="527"/>
        <v>0.74000006976257215</v>
      </c>
      <c r="U953" s="72">
        <f t="shared" si="528"/>
        <v>0.51</v>
      </c>
      <c r="V953" s="72">
        <f t="shared" si="529"/>
        <v>0.491721849812913</v>
      </c>
      <c r="W953" s="72">
        <f t="shared" si="530"/>
        <v>0.76902901368428922</v>
      </c>
      <c r="X953" s="72">
        <f t="shared" si="531"/>
        <v>0.18492604049694586</v>
      </c>
      <c r="Y953" s="72">
        <f t="shared" si="532"/>
        <v>0.21964315653151059</v>
      </c>
      <c r="Z953" s="72">
        <f t="shared" si="533"/>
        <v>0.18054837111269606</v>
      </c>
      <c r="AA953" s="72">
        <f t="shared" si="534"/>
        <v>0.36754404214031178</v>
      </c>
      <c r="AB953" s="72">
        <f t="shared" si="535"/>
        <v>0.11083705634152397</v>
      </c>
      <c r="AC953" s="72"/>
      <c r="AD953" s="72"/>
      <c r="AE953" s="72">
        <f t="shared" si="536"/>
        <v>0.57872326526048812</v>
      </c>
      <c r="AF953" s="72">
        <f t="shared" si="537"/>
        <v>0.2599999302374279</v>
      </c>
      <c r="AG953" s="72">
        <f t="shared" si="538"/>
        <v>0.49</v>
      </c>
      <c r="AH953" s="72">
        <f t="shared" si="539"/>
        <v>0.508278150187087</v>
      </c>
      <c r="AI953" s="72">
        <f t="shared" si="540"/>
        <v>0.23097098631571075</v>
      </c>
      <c r="AJ953" s="72">
        <f>(AV953-Driver!$K$179)/(Driver!$L$179-Driver!$K$179)</f>
        <v>6.9293368785754567E-2</v>
      </c>
      <c r="AK953" s="72">
        <f>(AW953-Driver!$K$180)/(Driver!$L$180-Driver!$K$180)</f>
        <v>0.15220514978665284</v>
      </c>
      <c r="AL953" s="72">
        <f>(AX953-Driver!$K$181)/(Driver!$L$181-Driver!$K$181)</f>
        <v>0.28223613482577625</v>
      </c>
      <c r="AM953" s="72">
        <f>(AY953-Driver!$K$182)/(Driver!$L$182-Driver!$K$182)</f>
        <v>7.9840978956734587E-2</v>
      </c>
      <c r="AN953" s="72">
        <f>(AZ953-Driver!$K$183)/(Driver!$L$183-Driver!$K$183)</f>
        <v>0.14338235294117646</v>
      </c>
      <c r="AO953" s="72"/>
      <c r="AP953" s="72"/>
      <c r="AQ953" s="72">
        <f>(BC953-Driver!$K$188)/(Driver!$L$188-Driver!$K$188)</f>
        <v>4.1276734739511864E-2</v>
      </c>
      <c r="AR953" s="72">
        <f>MIN((BD953-Driver!$K$189)/(Driver!$L$189-Driver!$K$189),100%)</f>
        <v>0.29000006976257214</v>
      </c>
      <c r="AS953" s="72">
        <f>(BE953-Driver!$K$190)/(Driver!$L$190-Driver!$K$190)</f>
        <v>1</v>
      </c>
      <c r="AT953" s="72">
        <f>(BF953-Driver!$K$191)/(Driver!$L$191-Driver!$K$191)</f>
        <v>1.7218498129130035E-3</v>
      </c>
      <c r="AU953" s="72">
        <f>(BG953-Driver!$K$192)/(Driver!$L$192-Driver!$K$192)</f>
        <v>1.9029013684289237E-2</v>
      </c>
      <c r="AV953" s="70">
        <f t="shared" si="541"/>
        <v>1.4584181250847918</v>
      </c>
      <c r="AW953" s="70">
        <f t="shared" si="542"/>
        <v>16.705633142993165</v>
      </c>
      <c r="AX953" s="70">
        <f t="shared" si="543"/>
        <v>3.5401252134319865</v>
      </c>
      <c r="AY953" s="70">
        <f>IFERROR(Driver!$K$19/Data!BH953/Data!BI953*Data!BK953*Data!BL953,"")</f>
        <v>9.7749180491932569E-2</v>
      </c>
      <c r="AZ953" s="70">
        <f t="shared" si="544"/>
        <v>13.067758749069247</v>
      </c>
      <c r="BA953" s="70"/>
      <c r="BB953" s="70"/>
      <c r="BC953" s="70">
        <f t="shared" si="545"/>
        <v>21.410529260589335</v>
      </c>
      <c r="BD953" s="70">
        <f t="shared" si="546"/>
        <v>27.385315208367832</v>
      </c>
      <c r="BE953" s="70">
        <f t="shared" si="547"/>
        <v>1</v>
      </c>
      <c r="BF953" s="70">
        <f t="shared" si="548"/>
        <v>0.1944708396889637</v>
      </c>
      <c r="BG953" s="70">
        <f t="shared" si="549"/>
        <v>7.2055985007103862E-2</v>
      </c>
      <c r="BH953" s="67">
        <f>MAX((CE953-Driver!$F$200)/(Driver!$G$200-Driver!$F$200)*$BI$1,1)</f>
        <v>3.5401252134319865</v>
      </c>
      <c r="BI953" s="67">
        <f>MAX($BI$1*(BY953-Driver!$F$201)/(Driver!$G$201-Driver!$F$201),1)</f>
        <v>8.2278481012658222</v>
      </c>
      <c r="BJ953" s="67">
        <f>(CB953-Driver!$F$206)/(Driver!$G$206-Driver!$F$206)*$BI$1</f>
        <v>1.5873015873015872</v>
      </c>
      <c r="BK953" s="67">
        <f>(CD953-Driver!$F$203)/(Driver!$G$203-Driver!$F$203)*$BI$1</f>
        <v>2.0642201834862388</v>
      </c>
      <c r="BL953" s="67">
        <f>MAX((CR953-Driver!$F$202)/(Driver!$G$202-Driver!$F$202)*$BI$1,1)</f>
        <v>6.8965517241379315</v>
      </c>
      <c r="BM953" s="67">
        <f>MAX((CH953-Driver!$F$204)/(Driver!$G$204-Driver!$F$204)*$BI$1,1)</f>
        <v>3.6752136752136755</v>
      </c>
      <c r="BN953" s="67">
        <f>(CI953-Driver!$F$205)/(Driver!$G$205-Driver!$F$205)*$BI$1</f>
        <v>1.588235294117647</v>
      </c>
      <c r="BO953" s="67">
        <f>(CK953-Driver!$F$207)/(Driver!$G$207-Driver!$F$207)*$BI$1</f>
        <v>0.32057911065149947</v>
      </c>
      <c r="BP953" s="67">
        <f>(CM953-Driver!$F$208)/(Driver!$G$208-Driver!$F$208)*$BI$1</f>
        <v>0.78888888888888886</v>
      </c>
      <c r="BQ953" s="67">
        <f>(CL953-Driver!$F$209)/(Driver!$G$209-Driver!$F$209)*$BI$1</f>
        <v>0.9375</v>
      </c>
      <c r="BR953" s="28" t="s">
        <v>155</v>
      </c>
      <c r="BS953" s="8" t="s">
        <v>164</v>
      </c>
      <c r="BT953" s="9" t="s">
        <v>819</v>
      </c>
      <c r="BU953" s="10">
        <v>158</v>
      </c>
      <c r="BV953" s="9" t="s">
        <v>163</v>
      </c>
      <c r="BW953" s="10">
        <v>158</v>
      </c>
      <c r="BX953" s="10">
        <v>159.19999999999999</v>
      </c>
      <c r="BY953" s="10">
        <v>138</v>
      </c>
      <c r="BZ953" s="10">
        <v>147</v>
      </c>
      <c r="CA953" s="10">
        <v>122</v>
      </c>
      <c r="CB953" s="10">
        <v>74</v>
      </c>
      <c r="CC953" s="10">
        <v>103</v>
      </c>
      <c r="CD953" s="10">
        <v>13.9</v>
      </c>
      <c r="CE953" s="10">
        <v>1522</v>
      </c>
      <c r="CF953" s="10">
        <v>0.92</v>
      </c>
      <c r="CG953" s="10">
        <v>1401</v>
      </c>
      <c r="CH953" s="10">
        <v>187</v>
      </c>
      <c r="CI953" s="10">
        <v>60</v>
      </c>
      <c r="CJ953" s="10">
        <v>34</v>
      </c>
      <c r="CK953" s="10">
        <v>141</v>
      </c>
      <c r="CL953" s="10">
        <v>6</v>
      </c>
      <c r="CM953" s="10">
        <v>71</v>
      </c>
      <c r="CN953" s="10">
        <v>0.186</v>
      </c>
      <c r="CO953" s="10">
        <v>79</v>
      </c>
      <c r="CP953" s="10">
        <v>39</v>
      </c>
      <c r="CQ953" s="10">
        <v>62</v>
      </c>
      <c r="CR953" s="10">
        <v>9</v>
      </c>
      <c r="CS953" s="10">
        <v>9.1</v>
      </c>
      <c r="CT953" s="9" t="s">
        <v>349</v>
      </c>
      <c r="CU953" s="10"/>
      <c r="CV953" s="10"/>
      <c r="CW953" s="10"/>
      <c r="CX953" t="str">
        <f>INDEX('Data_Price '!AG$2:AG$1266,MATCH(Data!$DN953,'Data_Price '!$AT$2:$AT$1266,0))</f>
        <v>Elan Delight Magic 19/20 Black 158 Ski Lady's Ladies / Women</v>
      </c>
      <c r="CY953" t="str">
        <f>INDEX('Data_Price '!AH$2:AH$1266,MATCH(Data!$DN953,'Data_Price '!$AT$2:$AT$1266,0))</f>
        <v>! OutdoorXL.com</v>
      </c>
      <c r="CZ953">
        <f>INDEX('Data_Price '!AI$2:AI$1266,MATCH(Data!$DN953,'Data_Price '!$AT$2:$AT$1266,0))</f>
        <v>319.95</v>
      </c>
      <c r="DA953" t="str">
        <f>INDEX('Data_Price '!AJ$2:AJ$1266,MATCH(Data!$DN953,'Data_Price '!$AT$2:$AT$1266,0))</f>
        <v>https://tinyurl.com/ydfz7qzd</v>
      </c>
      <c r="DB953" t="str">
        <f>INDEX('Data_Price '!AK$2:AK$1266,MATCH(Data!$DN953,'Data_Price '!$AT$2:$AT$1266,0))</f>
        <v>Elan Black Magic '22 Model 158 Cm All Mountain Skis With El 9 Bindings</v>
      </c>
      <c r="DC953" t="str">
        <f>INDEX('Data_Price '!AL$2:AL$1266,MATCH(Data!$DN953,'Data_Price '!$AT$2:$AT$1266,0))</f>
        <v>eBay - skitrucks</v>
      </c>
      <c r="DD953">
        <f>INDEX('Data_Price '!AM$2:AM$1266,MATCH(Data!$DN953,'Data_Price '!$AT$2:$AT$1266,0))</f>
        <v>319.99</v>
      </c>
      <c r="DE953" t="str">
        <f>INDEX('Data_Price '!AN$2:AN$1266,MATCH(Data!$DN953,'Data_Price '!$AT$2:$AT$1266,0))</f>
        <v>https://tinyurl.com/y8aqxtod</v>
      </c>
      <c r="DF953" t="str">
        <f>INDEX('Data_Price '!AO$2:AO$1266,MATCH(Data!$DN953,'Data_Price '!$AT$2:$AT$1266,0))</f>
        <v>Elan Women's Snow LS Skis w/EL 7.5 GW AC Shift BLK/SIL Bindings 2022 White 158</v>
      </c>
      <c r="DG953" t="str">
        <f>INDEX('Data_Price '!AP$2:AP$1266,MATCH(Data!$DN953,'Data_Price '!$AT$2:$AT$1266,0))</f>
        <v>Scheels</v>
      </c>
      <c r="DH953">
        <f>INDEX('Data_Price '!AQ$2:AQ$1266,MATCH(Data!$DN953,'Data_Price '!$AT$2:$AT$1266,0))</f>
        <v>349.99</v>
      </c>
      <c r="DI953" t="str">
        <f>INDEX('Data_Price '!AR$2:AR$1266,MATCH(Data!$DN953,'Data_Price '!$AT$2:$AT$1266,0))</f>
        <v>https://tinyurl.com/y962oynd</v>
      </c>
      <c r="DJ953" s="89" t="str">
        <f t="shared" si="550"/>
        <v>https://tinyurl.com/ydfz7qzd</v>
      </c>
      <c r="DK953" s="89" t="str">
        <f t="shared" si="551"/>
        <v>https://tinyurl.com/y8aqxtod</v>
      </c>
      <c r="DL953" s="89" t="str">
        <f t="shared" si="552"/>
        <v>https://tinyurl.com/y962oynd</v>
      </c>
      <c r="DM953" s="219" t="str">
        <f t="shared" si="553"/>
        <v>Snow Black</v>
      </c>
      <c r="DN953" s="89" t="str">
        <f t="shared" si="554"/>
        <v xml:space="preserve"> ElanSnow Black158 Women's</v>
      </c>
      <c r="DO953" s="221"/>
    </row>
    <row r="954" spans="2:119" ht="15.6" customHeight="1">
      <c r="B954" s="219" t="b">
        <f t="array" ref="B954">IF(OR(ISERROR(K954:P954)),FALSE,TRUE)</f>
        <v>1</v>
      </c>
      <c r="C954" s="43" t="b">
        <f>OR(BR954=Driver!$G$50,Data!BR523=Driver!$H$50)</f>
        <v>1</v>
      </c>
      <c r="D954" s="43" t="b">
        <f>OR(BV954=Driver!$G$51,BV954=Driver!$H$51)</f>
        <v>1</v>
      </c>
      <c r="E954" s="43" t="b">
        <f>AND(BX954&gt;Driver!$F$54,BX954&lt;Driver!$G$54)</f>
        <v>0</v>
      </c>
      <c r="F954" s="43" t="b">
        <f>CL954&gt;Driver!$F$56</f>
        <v>1</v>
      </c>
      <c r="G954" s="43" t="b">
        <f>AND(CB954&gt;Driver!$F$55,CB954&lt;Driver!$G$55)</f>
        <v>0</v>
      </c>
      <c r="H954" s="43" t="b">
        <f t="shared" si="518"/>
        <v>0</v>
      </c>
      <c r="I954" s="43">
        <f t="shared" si="519"/>
        <v>0</v>
      </c>
      <c r="J954" s="43" t="b">
        <f t="array" ref="J954">NOT(OR(($H$9:$H$1273=TRUE)*($I$9:$I$1273&gt;0)*($BT$9:$BT$1273=BT954)*($K$9:$K$1273&gt;K954)))</f>
        <v>1</v>
      </c>
      <c r="K954" s="72">
        <f t="shared" si="520"/>
        <v>0.77463079289569881</v>
      </c>
      <c r="L954" s="72">
        <f t="shared" si="521"/>
        <v>0.78348907512629162</v>
      </c>
      <c r="M954" s="72">
        <f t="shared" si="522"/>
        <v>0.76577251066510599</v>
      </c>
      <c r="N954" s="72">
        <f t="shared" si="523"/>
        <v>0.8630866127613317</v>
      </c>
      <c r="O954" s="72">
        <f t="shared" si="524"/>
        <v>0.60781307361472614</v>
      </c>
      <c r="P954" s="72">
        <f t="shared" si="525"/>
        <v>0.82641784561926035</v>
      </c>
      <c r="Q954" s="72"/>
      <c r="R954" s="72"/>
      <c r="S954" s="72">
        <f t="shared" si="526"/>
        <v>0.38911922357455941</v>
      </c>
      <c r="T954" s="72">
        <f t="shared" si="527"/>
        <v>0.48445268462010516</v>
      </c>
      <c r="U954" s="72">
        <f t="shared" si="528"/>
        <v>0.58205800927425067</v>
      </c>
      <c r="V954" s="72">
        <f t="shared" si="529"/>
        <v>0.5768995148469227</v>
      </c>
      <c r="W954" s="72">
        <f t="shared" si="530"/>
        <v>0.7649186256781193</v>
      </c>
      <c r="X954" s="72">
        <f t="shared" si="531"/>
        <v>0.2165109248737084</v>
      </c>
      <c r="Y954" s="72">
        <f t="shared" si="532"/>
        <v>0.23422748933489398</v>
      </c>
      <c r="Z954" s="72">
        <f t="shared" si="533"/>
        <v>0.13691338723866836</v>
      </c>
      <c r="AA954" s="72">
        <f t="shared" si="534"/>
        <v>0.39218692638527386</v>
      </c>
      <c r="AB954" s="72">
        <f t="shared" si="535"/>
        <v>0.17358215438073965</v>
      </c>
      <c r="AC954" s="72"/>
      <c r="AD954" s="72"/>
      <c r="AE954" s="72">
        <f t="shared" si="536"/>
        <v>0.61088077642544059</v>
      </c>
      <c r="AF954" s="72">
        <f t="shared" si="537"/>
        <v>0.51554731537989484</v>
      </c>
      <c r="AG954" s="72">
        <f t="shared" si="538"/>
        <v>0.41794199072574933</v>
      </c>
      <c r="AH954" s="72">
        <f t="shared" si="539"/>
        <v>0.42310048515307724</v>
      </c>
      <c r="AI954" s="72">
        <f t="shared" si="540"/>
        <v>0.23508137432188064</v>
      </c>
      <c r="AJ954" s="72">
        <f>(AV954-Driver!$K$179)/(Driver!$L$179-Driver!$K$179)</f>
        <v>3.7708484408992021E-2</v>
      </c>
      <c r="AK954" s="72">
        <f>(AW954-Driver!$K$180)/(Driver!$L$180-Driver!$K$180)</f>
        <v>8.9189579710255637E-2</v>
      </c>
      <c r="AL954" s="72">
        <f>(AX954-Driver!$K$181)/(Driver!$L$181-Driver!$K$181)</f>
        <v>0.23860115095174855</v>
      </c>
      <c r="AM954" s="72">
        <f>(AY954-Driver!$K$182)/(Driver!$L$182-Driver!$K$182)</f>
        <v>5.5198094711772533E-2</v>
      </c>
      <c r="AN954" s="72">
        <f>(AZ954-Driver!$K$183)/(Driver!$L$183-Driver!$K$183)</f>
        <v>8.0637254901960775E-2</v>
      </c>
      <c r="AO954" s="72"/>
      <c r="AP954" s="72"/>
      <c r="AQ954" s="72">
        <f>(BC954-Driver!$K$188)/(Driver!$L$188-Driver!$K$188)</f>
        <v>9.1192235745593767E-3</v>
      </c>
      <c r="AR954" s="72">
        <f>MIN((BD954-Driver!$K$189)/(Driver!$L$189-Driver!$K$189),100%)</f>
        <v>3.445268462010518E-2</v>
      </c>
      <c r="AS954" s="72">
        <f>(BE954-Driver!$K$190)/(Driver!$L$190-Driver!$K$190)</f>
        <v>9.2058009274250646E-2</v>
      </c>
      <c r="AT954" s="72">
        <f>(BF954-Driver!$K$191)/(Driver!$L$191-Driver!$K$191)</f>
        <v>8.6899514846922779E-2</v>
      </c>
      <c r="AU954" s="72">
        <f>(BG954-Driver!$K$192)/(Driver!$L$192-Driver!$K$192)</f>
        <v>0.48508137432188064</v>
      </c>
      <c r="AV954" s="70">
        <f t="shared" si="541"/>
        <v>0.79365079365079361</v>
      </c>
      <c r="AW954" s="70">
        <f t="shared" si="542"/>
        <v>10.564207464294803</v>
      </c>
      <c r="AX954" s="70">
        <f t="shared" si="543"/>
        <v>3.1474103585657369</v>
      </c>
      <c r="AY954" s="70">
        <f>IFERROR(Driver!$K$19/Data!BH954/Data!BI954*Data!BK954*Data!BL954,"")</f>
        <v>6.7578937449097071E-2</v>
      </c>
      <c r="AZ954" s="70">
        <f t="shared" si="544"/>
        <v>7.34921816827997</v>
      </c>
      <c r="BA954" s="70"/>
      <c r="BB954" s="70"/>
      <c r="BC954" s="70">
        <f t="shared" si="545"/>
        <v>4.730204663937732</v>
      </c>
      <c r="BD954" s="70">
        <f t="shared" si="546"/>
        <v>4.7698244264322023</v>
      </c>
      <c r="BE954" s="70">
        <f t="shared" si="547"/>
        <v>9.2219975906073726E-2</v>
      </c>
      <c r="BF954" s="70">
        <f t="shared" si="548"/>
        <v>9.8146896983160303</v>
      </c>
      <c r="BG954" s="70">
        <f t="shared" si="549"/>
        <v>1.8368275316455698</v>
      </c>
      <c r="BH954" s="67">
        <f>MAX((CE954-Driver!$F$200)/(Driver!$G$200-Driver!$F$200)*$BI$1,1)</f>
        <v>3.1474103585657369</v>
      </c>
      <c r="BI954" s="67">
        <f>MAX($BI$1*(BY954-Driver!$F$201)/(Driver!$G$201-Driver!$F$201),1)</f>
        <v>5.9493670886075947</v>
      </c>
      <c r="BJ954" s="67">
        <f>(CB954-Driver!$F$206)/(Driver!$G$206-Driver!$F$206)*$BI$1</f>
        <v>3.1746031746031744</v>
      </c>
      <c r="BK954" s="67">
        <f>(CD954-Driver!$F$203)/(Driver!$G$203-Driver!$F$203)*$BI$1</f>
        <v>1.1467889908256883</v>
      </c>
      <c r="BL954" s="67">
        <f>MAX((CR954-Driver!$F$202)/(Driver!$G$202-Driver!$F$202)*$BI$1,1)</f>
        <v>5.5172413793103452</v>
      </c>
      <c r="BM954" s="67">
        <f>MAX((CH954-Driver!$F$204)/(Driver!$G$204-Driver!$F$204)*$BI$1,1)</f>
        <v>1</v>
      </c>
      <c r="BN954" s="67">
        <f>(CI954-Driver!$F$205)/(Driver!$G$205-Driver!$F$205)*$BI$1</f>
        <v>1.2352941176470589</v>
      </c>
      <c r="BO954" s="67">
        <f>(CK954-Driver!$F$207)/(Driver!$G$207-Driver!$F$207)*$BI$1</f>
        <v>1.5718717683557393</v>
      </c>
      <c r="BP954" s="67">
        <f>(CM954-Driver!$F$208)/(Driver!$G$208-Driver!$F$208)*$BI$1</f>
        <v>2.2555555555555555</v>
      </c>
      <c r="BQ954" s="67">
        <f>(CL954-Driver!$F$209)/(Driver!$G$209-Driver!$F$209)*$BI$1</f>
        <v>5.78125</v>
      </c>
      <c r="BR954" s="28" t="s">
        <v>155</v>
      </c>
      <c r="BS954" s="8" t="s">
        <v>205</v>
      </c>
      <c r="BT954" s="9" t="s">
        <v>673</v>
      </c>
      <c r="BU954" s="10">
        <v>150</v>
      </c>
      <c r="BV954" s="9" t="s">
        <v>158</v>
      </c>
      <c r="BW954" s="10">
        <v>150</v>
      </c>
      <c r="BX954" s="10">
        <v>148.1</v>
      </c>
      <c r="BY954" s="10">
        <v>102</v>
      </c>
      <c r="BZ954" s="10">
        <v>124</v>
      </c>
      <c r="CA954" s="10">
        <v>116</v>
      </c>
      <c r="CB954" s="10">
        <v>84</v>
      </c>
      <c r="CC954" s="10">
        <v>108</v>
      </c>
      <c r="CD954" s="10">
        <v>11.9</v>
      </c>
      <c r="CE954" s="10">
        <v>1453</v>
      </c>
      <c r="CF954" s="10">
        <v>0.97</v>
      </c>
      <c r="CG954" s="10">
        <v>1415</v>
      </c>
      <c r="CH954" s="10">
        <v>123</v>
      </c>
      <c r="CI954" s="10">
        <v>54</v>
      </c>
      <c r="CJ954" s="10">
        <v>50</v>
      </c>
      <c r="CK954" s="10">
        <v>262</v>
      </c>
      <c r="CL954" s="10">
        <v>37</v>
      </c>
      <c r="CM954" s="10">
        <v>203</v>
      </c>
      <c r="CN954" s="10">
        <v>0.74299999999999999</v>
      </c>
      <c r="CO954" s="10">
        <v>131</v>
      </c>
      <c r="CP954" s="10">
        <v>112</v>
      </c>
      <c r="CQ954" s="10">
        <v>130</v>
      </c>
      <c r="CR954" s="10">
        <v>5</v>
      </c>
      <c r="CS954" s="10">
        <v>5.7</v>
      </c>
      <c r="CT954" s="9" t="s">
        <v>188</v>
      </c>
      <c r="CU954" s="10"/>
      <c r="CV954" s="10"/>
      <c r="CW954" s="10"/>
      <c r="CX954" t="str">
        <f>INDEX('Data_Price '!AG$2:AG$1266,MATCH(Data!$DN954,'Data_Price '!$AT$2:$AT$1266,0))</f>
        <v>Faction Prodigy 0.0 with M10 GW Binding Skis</v>
      </c>
      <c r="CY954" t="str">
        <f>INDEX('Data_Price '!AH$2:AH$1266,MATCH(Data!$DN954,'Data_Price '!$AT$2:$AT$1266,0))</f>
        <v>Gorham Bike and Ski</v>
      </c>
      <c r="CZ954">
        <f>INDEX('Data_Price '!AI$2:AI$1266,MATCH(Data!$DN954,'Data_Price '!$AT$2:$AT$1266,0))</f>
        <v>314.99</v>
      </c>
      <c r="DA954" t="str">
        <f>INDEX('Data_Price '!AJ$2:AJ$1266,MATCH(Data!$DN954,'Data_Price '!$AT$2:$AT$1266,0))</f>
        <v>https://tinyurl.com/y9jym9g2</v>
      </c>
      <c r="DB954" t="str">
        <f>INDEX('Data_Price '!AK$2:AK$1266,MATCH(Data!$DN954,'Data_Price '!$AT$2:$AT$1266,0))</f>
        <v>Faction Prodigy 0.0 Ski - 2022</v>
      </c>
      <c r="DC954" t="str">
        <f>INDEX('Data_Price '!AL$2:AL$1266,MATCH(Data!$DN954,'Data_Price '!$AT$2:$AT$1266,0))</f>
        <v>Aspen Ski and Board</v>
      </c>
      <c r="DD954">
        <f>INDEX('Data_Price '!AM$2:AM$1266,MATCH(Data!$DN954,'Data_Price '!$AT$2:$AT$1266,0))</f>
        <v>319.95</v>
      </c>
      <c r="DE954" t="str">
        <f>INDEX('Data_Price '!AN$2:AN$1266,MATCH(Data!$DN954,'Data_Price '!$AT$2:$AT$1266,0))</f>
        <v>https://tinyurl.com/ya8bahd9</v>
      </c>
      <c r="DF954" t="str">
        <f>INDEX('Data_Price '!AO$2:AO$1266,MATCH(Data!$DN954,'Data_Price '!$AT$2:$AT$1266,0))</f>
        <v>Faction Prodigy 0.0 Ski - 2022</v>
      </c>
      <c r="DG954" t="str">
        <f>INDEX('Data_Price '!AP$2:AP$1266,MATCH(Data!$DN954,'Data_Price '!$AT$2:$AT$1266,0))</f>
        <v>Gear West Ski &amp; Bike</v>
      </c>
      <c r="DH954">
        <f>INDEX('Data_Price '!AQ$2:AQ$1266,MATCH(Data!$DN954,'Data_Price '!$AT$2:$AT$1266,0))</f>
        <v>329</v>
      </c>
      <c r="DI954" t="str">
        <f>INDEX('Data_Price '!AR$2:AR$1266,MATCH(Data!$DN954,'Data_Price '!$AT$2:$AT$1266,0))</f>
        <v>https://tinyurl.com/y7dxwbrk</v>
      </c>
      <c r="DJ954" s="89" t="str">
        <f t="shared" si="550"/>
        <v>https://tinyurl.com/y9jym9g2</v>
      </c>
      <c r="DK954" s="89" t="str">
        <f t="shared" si="551"/>
        <v>https://tinyurl.com/ya8bahd9</v>
      </c>
      <c r="DL954" s="89" t="str">
        <f t="shared" si="552"/>
        <v>https://tinyurl.com/y7dxwbrk</v>
      </c>
      <c r="DM954" s="219" t="str">
        <f t="shared" si="553"/>
        <v>Prodigy 0.0</v>
      </c>
      <c r="DN954" s="89" t="str">
        <f t="shared" si="554"/>
        <v xml:space="preserve"> FactionProdigy 0.0150 Unisex</v>
      </c>
      <c r="DO954" s="221"/>
    </row>
    <row r="955" spans="2:119" ht="15.6" customHeight="1">
      <c r="B955" s="219" t="b">
        <f t="array" ref="B955">IF(OR(ISERROR(K955:P955)),FALSE,TRUE)</f>
        <v>1</v>
      </c>
      <c r="C955" s="43" t="b">
        <f>OR(BR955=Driver!$G$50,Data!BR887=Driver!$H$50)</f>
        <v>1</v>
      </c>
      <c r="D955" s="43" t="b">
        <f>OR(BV955=Driver!$G$51,BV955=Driver!$H$51)</f>
        <v>0</v>
      </c>
      <c r="E955" s="43" t="b">
        <f>AND(BX955&gt;Driver!$F$54,BX955&lt;Driver!$G$54)</f>
        <v>0</v>
      </c>
      <c r="F955" s="43" t="b">
        <f>CL955&gt;Driver!$F$56</f>
        <v>1</v>
      </c>
      <c r="G955" s="43" t="b">
        <f>AND(CB955&gt;Driver!$F$55,CB955&lt;Driver!$G$55)</f>
        <v>0</v>
      </c>
      <c r="H955" s="43" t="b">
        <f t="shared" si="518"/>
        <v>0</v>
      </c>
      <c r="I955" s="43">
        <f t="shared" si="519"/>
        <v>0</v>
      </c>
      <c r="J955" s="43" t="b">
        <f t="array" ref="J955">NOT(OR(($H$9:$H$1273=TRUE)*($I$9:$I$1273&gt;0)*($BT$9:$BT$1273=BT955)*($K$9:$K$1273&gt;K955)))</f>
        <v>1</v>
      </c>
      <c r="K955" s="72">
        <f t="shared" si="520"/>
        <v>0.75683983659848741</v>
      </c>
      <c r="L955" s="72">
        <f t="shared" si="521"/>
        <v>0.77156416980037101</v>
      </c>
      <c r="M955" s="72">
        <f t="shared" si="522"/>
        <v>0.74211550339660393</v>
      </c>
      <c r="N955" s="72">
        <f t="shared" si="523"/>
        <v>0.76949273430689535</v>
      </c>
      <c r="O955" s="72">
        <f t="shared" si="524"/>
        <v>0.59440651849895021</v>
      </c>
      <c r="P955" s="72">
        <f t="shared" si="525"/>
        <v>0.86244725738396621</v>
      </c>
      <c r="Q955" s="72"/>
      <c r="R955" s="72"/>
      <c r="S955" s="72">
        <f t="shared" si="526"/>
        <v>0.40253007710204369</v>
      </c>
      <c r="T955" s="72">
        <f t="shared" si="527"/>
        <v>0.73469533506850304</v>
      </c>
      <c r="U955" s="72">
        <f t="shared" si="528"/>
        <v>0.51</v>
      </c>
      <c r="V955" s="72">
        <f t="shared" si="529"/>
        <v>0.49245017429079674</v>
      </c>
      <c r="W955" s="72">
        <f t="shared" si="530"/>
        <v>0.80445256776034235</v>
      </c>
      <c r="X955" s="72">
        <f t="shared" si="531"/>
        <v>0.22843583019962896</v>
      </c>
      <c r="Y955" s="72">
        <f t="shared" si="532"/>
        <v>0.25788449660339607</v>
      </c>
      <c r="Z955" s="72">
        <f t="shared" si="533"/>
        <v>0.23050726569310465</v>
      </c>
      <c r="AA955" s="72">
        <f t="shared" si="534"/>
        <v>0.40559348150104979</v>
      </c>
      <c r="AB955" s="72">
        <f t="shared" si="535"/>
        <v>0.13755274261603379</v>
      </c>
      <c r="AC955" s="72"/>
      <c r="AD955" s="72"/>
      <c r="AE955" s="72">
        <f t="shared" si="536"/>
        <v>0.59746992289795631</v>
      </c>
      <c r="AF955" s="72">
        <f t="shared" si="537"/>
        <v>0.2653046649314969</v>
      </c>
      <c r="AG955" s="72">
        <f t="shared" si="538"/>
        <v>0.49</v>
      </c>
      <c r="AH955" s="72">
        <f t="shared" si="539"/>
        <v>0.50754982570920326</v>
      </c>
      <c r="AI955" s="72">
        <f t="shared" si="540"/>
        <v>0.19554743223965765</v>
      </c>
      <c r="AJ955" s="72">
        <f>(AV955-Driver!$K$179)/(Driver!$L$179-Driver!$K$179)</f>
        <v>2.5783579083071467E-2</v>
      </c>
      <c r="AK955" s="72">
        <f>(AW955-Driver!$K$180)/(Driver!$L$180-Driver!$K$180)</f>
        <v>0.13135736690387834</v>
      </c>
      <c r="AL955" s="72">
        <f>(AX955-Driver!$K$181)/(Driver!$L$181-Driver!$K$181)</f>
        <v>0.33219502940618484</v>
      </c>
      <c r="AM955" s="72">
        <f>(AY955-Driver!$K$182)/(Driver!$L$182-Driver!$K$182)</f>
        <v>4.1791539595996602E-2</v>
      </c>
      <c r="AN955" s="72">
        <f>(AZ955-Driver!$K$183)/(Driver!$L$183-Driver!$K$183)</f>
        <v>0.11666666666666665</v>
      </c>
      <c r="AO955" s="72"/>
      <c r="AP955" s="72"/>
      <c r="AQ955" s="72">
        <f>(BC955-Driver!$K$188)/(Driver!$L$188-Driver!$K$188)</f>
        <v>2.2530077102043678E-2</v>
      </c>
      <c r="AR955" s="72">
        <f>MIN((BD955-Driver!$K$189)/(Driver!$L$189-Driver!$K$189),100%)</f>
        <v>0.28469533506850314</v>
      </c>
      <c r="AS955" s="72">
        <f>(BE955-Driver!$K$190)/(Driver!$L$190-Driver!$K$190)</f>
        <v>1</v>
      </c>
      <c r="AT955" s="72">
        <f>(BF955-Driver!$K$191)/(Driver!$L$191-Driver!$K$191)</f>
        <v>2.4501742907966956E-3</v>
      </c>
      <c r="AU955" s="72">
        <f>(BG955-Driver!$K$192)/(Driver!$L$192-Driver!$K$192)</f>
        <v>5.4452567760342352E-2</v>
      </c>
      <c r="AV955" s="70">
        <f t="shared" si="541"/>
        <v>0.54266720933387602</v>
      </c>
      <c r="AW955" s="70">
        <f t="shared" si="542"/>
        <v>14.673831970918144</v>
      </c>
      <c r="AX955" s="70">
        <f t="shared" si="543"/>
        <v>3.9897552646556633</v>
      </c>
      <c r="AY955" s="70">
        <f>IFERROR(Driver!$K$19/Data!BH955/Data!BI955*Data!BK955*Data!BL955,"")</f>
        <v>5.1165313857417842E-2</v>
      </c>
      <c r="AZ955" s="70">
        <f t="shared" si="544"/>
        <v>10.632911392405063</v>
      </c>
      <c r="BA955" s="70"/>
      <c r="BB955" s="70"/>
      <c r="BC955" s="70">
        <f t="shared" si="545"/>
        <v>11.686507619385026</v>
      </c>
      <c r="BD955" s="70">
        <f t="shared" si="546"/>
        <v>26.915855587376409</v>
      </c>
      <c r="BE955" s="70">
        <f t="shared" si="547"/>
        <v>1</v>
      </c>
      <c r="BF955" s="70">
        <f t="shared" si="548"/>
        <v>0.27672997269688066</v>
      </c>
      <c r="BG955" s="70">
        <f t="shared" si="549"/>
        <v>0.20619215852353776</v>
      </c>
      <c r="BH955" s="67">
        <f>MAX((CE955-Driver!$F$200)/(Driver!$G$200-Driver!$F$200)*$BI$1,1)</f>
        <v>3.9897552646556633</v>
      </c>
      <c r="BI955" s="67">
        <f>MAX($BI$1*(BY955-Driver!$F$201)/(Driver!$G$201-Driver!$F$201),1)</f>
        <v>7.5316455696202533</v>
      </c>
      <c r="BJ955" s="67">
        <f>(CB955-Driver!$F$206)/(Driver!$G$206-Driver!$F$206)*$BI$1</f>
        <v>1.2698412698412698</v>
      </c>
      <c r="BK955" s="67">
        <f>(CD955-Driver!$F$203)/(Driver!$G$203-Driver!$F$203)*$BI$1</f>
        <v>1.238532110091743</v>
      </c>
      <c r="BL955" s="67">
        <f>MAX((CR955-Driver!$F$202)/(Driver!$G$202-Driver!$F$202)*$BI$1,1)</f>
        <v>6.2068965517241379</v>
      </c>
      <c r="BM955" s="67">
        <f>MAX((CH955-Driver!$F$204)/(Driver!$G$204-Driver!$F$204)*$BI$1,1)</f>
        <v>1.7094017094017095</v>
      </c>
      <c r="BN955" s="67">
        <f>(CI955-Driver!$F$205)/(Driver!$G$205-Driver!$F$205)*$BI$1</f>
        <v>1.4117647058823528</v>
      </c>
      <c r="BO955" s="67">
        <f>(CK955-Driver!$F$207)/(Driver!$G$207-Driver!$F$207)*$BI$1</f>
        <v>0.27921406411582211</v>
      </c>
      <c r="BP955" s="67">
        <f>(CM955-Driver!$F$208)/(Driver!$G$208-Driver!$F$208)*$BI$1</f>
        <v>0.96666666666666667</v>
      </c>
      <c r="BQ955" s="67">
        <f>(CL955-Driver!$F$209)/(Driver!$G$209-Driver!$F$209)*$BI$1</f>
        <v>1.40625</v>
      </c>
      <c r="BR955" s="28" t="s">
        <v>155</v>
      </c>
      <c r="BS955" s="8" t="s">
        <v>332</v>
      </c>
      <c r="BT955" s="9" t="s">
        <v>738</v>
      </c>
      <c r="BU955" s="10">
        <v>150</v>
      </c>
      <c r="BV955" s="9" t="s">
        <v>163</v>
      </c>
      <c r="BW955" s="10">
        <v>150</v>
      </c>
      <c r="BX955" s="10">
        <v>149.19999999999999</v>
      </c>
      <c r="BY955" s="10">
        <v>127</v>
      </c>
      <c r="BZ955" s="10">
        <v>135</v>
      </c>
      <c r="CA955" s="10">
        <v>121</v>
      </c>
      <c r="CB955" s="10">
        <v>72</v>
      </c>
      <c r="CC955" s="10">
        <v>98</v>
      </c>
      <c r="CD955" s="10">
        <v>12.1</v>
      </c>
      <c r="CE955" s="10">
        <v>1601</v>
      </c>
      <c r="CF955" s="10">
        <v>0.8</v>
      </c>
      <c r="CG955" s="10">
        <v>1287</v>
      </c>
      <c r="CH955" s="10">
        <v>141</v>
      </c>
      <c r="CI955" s="10">
        <v>57</v>
      </c>
      <c r="CJ955" s="10">
        <v>36</v>
      </c>
      <c r="CK955" s="10">
        <v>137</v>
      </c>
      <c r="CL955" s="10">
        <v>9</v>
      </c>
      <c r="CM955" s="10">
        <v>87</v>
      </c>
      <c r="CN955" s="10">
        <v>0.255</v>
      </c>
      <c r="CO955" s="10">
        <v>65</v>
      </c>
      <c r="CP955" s="10">
        <v>82</v>
      </c>
      <c r="CQ955" s="10">
        <v>72</v>
      </c>
      <c r="CR955" s="10">
        <v>7</v>
      </c>
      <c r="CS955" s="10">
        <v>9.1999999999999993</v>
      </c>
      <c r="CT955" s="9" t="s">
        <v>349</v>
      </c>
      <c r="CU955" s="10"/>
      <c r="CV955" s="10"/>
      <c r="CW955" s="10"/>
      <c r="CX955" t="str">
        <f>INDEX('Data_Price '!AG$2:AG$1266,MATCH(Data!$DN955,'Data_Price '!$AT$2:$AT$1266,0))</f>
        <v>Nordica Wild Belle 78 CA Women's Ski &amp; 10 FDT Binding 2022 - 150</v>
      </c>
      <c r="CY955" t="str">
        <f>INDEX('Data_Price '!AH$2:AH$1266,MATCH(Data!$DN955,'Data_Price '!$AT$2:$AT$1266,0))</f>
        <v>Gear West Ski &amp; Bike</v>
      </c>
      <c r="CZ955">
        <f>INDEX('Data_Price '!AI$2:AI$1266,MATCH(Data!$DN955,'Data_Price '!$AT$2:$AT$1266,0))</f>
        <v>499.99</v>
      </c>
      <c r="DA955" t="str">
        <f>INDEX('Data_Price '!AJ$2:AJ$1266,MATCH(Data!$DN955,'Data_Price '!$AT$2:$AT$1266,0))</f>
        <v>https://tinyurl.com/yc9x5r3m</v>
      </c>
      <c r="DB955" t="str">
        <f>INDEX('Data_Price '!AK$2:AK$1266,MATCH(Data!$DN955,'Data_Price '!$AT$2:$AT$1266,0))</f>
        <v>Nordica Wild Belle DC 84 w/ TP2 11 Women's</v>
      </c>
      <c r="DC955" t="str">
        <f>INDEX('Data_Price '!AL$2:AL$1266,MATCH(Data!$DN955,'Data_Price '!$AT$2:$AT$1266,0))</f>
        <v>Buyr.com</v>
      </c>
      <c r="DD955">
        <f>INDEX('Data_Price '!AM$2:AM$1266,MATCH(Data!$DN955,'Data_Price '!$AT$2:$AT$1266,0))</f>
        <v>599.99</v>
      </c>
      <c r="DE955" t="str">
        <f>INDEX('Data_Price '!AN$2:AN$1266,MATCH(Data!$DN955,'Data_Price '!$AT$2:$AT$1266,0))</f>
        <v>https://tinyurl.com/y73jol5v</v>
      </c>
      <c r="DF955" t="str">
        <f>INDEX('Data_Price '!AO$2:AO$1266,MATCH(Data!$DN955,'Data_Price '!$AT$2:$AT$1266,0))</f>
        <v>Nordica Wild Belle DC 84 w/ TP2 11 Women's</v>
      </c>
      <c r="DG955" t="str">
        <f>INDEX('Data_Price '!AP$2:AP$1266,MATCH(Data!$DN955,'Data_Price '!$AT$2:$AT$1266,0))</f>
        <v>GritrOutdoors</v>
      </c>
      <c r="DH955">
        <f>INDEX('Data_Price '!AQ$2:AQ$1266,MATCH(Data!$DN955,'Data_Price '!$AT$2:$AT$1266,0))</f>
        <v>599.99</v>
      </c>
      <c r="DI955" t="str">
        <f>INDEX('Data_Price '!AR$2:AR$1266,MATCH(Data!$DN955,'Data_Price '!$AT$2:$AT$1266,0))</f>
        <v>https://tinyurl.com/yclx9l78</v>
      </c>
      <c r="DJ955" s="89" t="str">
        <f t="shared" si="550"/>
        <v>https://tinyurl.com/yc9x5r3m</v>
      </c>
      <c r="DK955" s="89" t="str">
        <f t="shared" si="551"/>
        <v>https://tinyurl.com/y73jol5v</v>
      </c>
      <c r="DL955" s="89" t="str">
        <f t="shared" si="552"/>
        <v>https://tinyurl.com/yclx9l78</v>
      </c>
      <c r="DM955" s="219" t="str">
        <f t="shared" si="553"/>
        <v>Belle 73</v>
      </c>
      <c r="DN955" s="89" t="str">
        <f t="shared" si="554"/>
        <v xml:space="preserve"> NordicaBelle 73150 Women's</v>
      </c>
      <c r="DO955" s="221"/>
    </row>
    <row r="956" spans="2:119" ht="15.6" customHeight="1">
      <c r="B956" s="219" t="b">
        <f t="array" ref="B956">IF(OR(ISERROR(K956:P956)),FALSE,TRUE)</f>
        <v>1</v>
      </c>
      <c r="C956" s="43" t="b">
        <f>OR(BR956=Driver!$G$50,Data!BR418=Driver!$H$50)</f>
        <v>1</v>
      </c>
      <c r="D956" s="43" t="b">
        <f>OR(BV956=Driver!$G$51,BV956=Driver!$H$51)</f>
        <v>1</v>
      </c>
      <c r="E956" s="43" t="b">
        <f>AND(BX956&gt;Driver!$F$54,BX956&lt;Driver!$G$54)</f>
        <v>1</v>
      </c>
      <c r="F956" s="43" t="b">
        <f>CL956&gt;Driver!$F$56</f>
        <v>1</v>
      </c>
      <c r="G956" s="43" t="b">
        <f>AND(CB956&gt;Driver!$F$55,CB956&lt;Driver!$G$55)</f>
        <v>0</v>
      </c>
      <c r="H956" s="43" t="b">
        <f t="shared" si="518"/>
        <v>0</v>
      </c>
      <c r="I956" s="43">
        <f t="shared" si="519"/>
        <v>0</v>
      </c>
      <c r="J956" s="43" t="b">
        <f t="array" ref="J956">NOT(OR(($H$9:$H$1273=TRUE)*($I$9:$I$1273&gt;0)*($BT$9:$BT$1273=BT956)*($K$9:$K$1273&gt;K956)))</f>
        <v>1</v>
      </c>
      <c r="K956" s="72">
        <f t="shared" si="520"/>
        <v>0.73660891794208827</v>
      </c>
      <c r="L956" s="72">
        <f t="shared" si="521"/>
        <v>0.81797461214989964</v>
      </c>
      <c r="M956" s="72">
        <f t="shared" si="522"/>
        <v>0.65524322373427668</v>
      </c>
      <c r="N956" s="72">
        <f t="shared" si="523"/>
        <v>0.52096304354612888</v>
      </c>
      <c r="O956" s="72">
        <f t="shared" si="524"/>
        <v>0.59610277392955657</v>
      </c>
      <c r="P956" s="72">
        <f t="shared" si="525"/>
        <v>0.84866385372714492</v>
      </c>
      <c r="Q956" s="72"/>
      <c r="R956" s="72"/>
      <c r="S956" s="72">
        <f t="shared" si="526"/>
        <v>0.49892860805364503</v>
      </c>
      <c r="T956" s="72">
        <f t="shared" si="527"/>
        <v>0.55000000000000004</v>
      </c>
      <c r="U956" s="72">
        <f t="shared" si="528"/>
        <v>0.51</v>
      </c>
      <c r="V956" s="72">
        <f t="shared" si="529"/>
        <v>0.49171312999193917</v>
      </c>
      <c r="W956" s="72">
        <f t="shared" si="530"/>
        <v>0.75969207038391229</v>
      </c>
      <c r="X956" s="72">
        <f t="shared" si="531"/>
        <v>0.18202538785010031</v>
      </c>
      <c r="Y956" s="72">
        <f t="shared" si="532"/>
        <v>0.34475677626572326</v>
      </c>
      <c r="Z956" s="72">
        <f t="shared" si="533"/>
        <v>0.47903695645387112</v>
      </c>
      <c r="AA956" s="72">
        <f t="shared" si="534"/>
        <v>0.40389722607044343</v>
      </c>
      <c r="AB956" s="72">
        <f t="shared" si="535"/>
        <v>0.15133614627285508</v>
      </c>
      <c r="AC956" s="72"/>
      <c r="AD956" s="72"/>
      <c r="AE956" s="72">
        <f t="shared" si="536"/>
        <v>0.50107139194635497</v>
      </c>
      <c r="AF956" s="72">
        <f t="shared" si="537"/>
        <v>0.44999999999999996</v>
      </c>
      <c r="AG956" s="72">
        <f t="shared" si="538"/>
        <v>0.49</v>
      </c>
      <c r="AH956" s="72">
        <f t="shared" si="539"/>
        <v>0.50828687000806083</v>
      </c>
      <c r="AI956" s="72">
        <f t="shared" si="540"/>
        <v>0.24030792961608777</v>
      </c>
      <c r="AJ956" s="72">
        <f>(AV956-Driver!$K$179)/(Driver!$L$179-Driver!$K$179)</f>
        <v>7.2194021432600106E-2</v>
      </c>
      <c r="AK956" s="72">
        <f>(AW956-Driver!$K$180)/(Driver!$L$180-Driver!$K$180)</f>
        <v>0.42448574537486455</v>
      </c>
      <c r="AL956" s="72">
        <f>(AX956-Driver!$K$181)/(Driver!$L$181-Driver!$K$181)</f>
        <v>0.58072472016695131</v>
      </c>
      <c r="AM956" s="72">
        <f>(AY956-Driver!$K$182)/(Driver!$L$182-Driver!$K$182)</f>
        <v>4.3487795026602952E-2</v>
      </c>
      <c r="AN956" s="72">
        <f>(AZ956-Driver!$K$183)/(Driver!$L$183-Driver!$K$183)</f>
        <v>0.4055555555555555</v>
      </c>
      <c r="AO956" s="72"/>
      <c r="AP956" s="72"/>
      <c r="AQ956" s="72">
        <f>(BC956-Driver!$K$188)/(Driver!$L$188-Driver!$K$188)</f>
        <v>0.11892860805364504</v>
      </c>
      <c r="AR956" s="72">
        <f>MIN((BD956-Driver!$K$189)/(Driver!$L$189-Driver!$K$189),100%)</f>
        <v>1</v>
      </c>
      <c r="AS956" s="72">
        <f>(BE956-Driver!$K$190)/(Driver!$L$190-Driver!$K$190)</f>
        <v>1</v>
      </c>
      <c r="AT956" s="72">
        <f>(BF956-Driver!$K$191)/(Driver!$L$191-Driver!$K$191)</f>
        <v>1.7131299919391526E-3</v>
      </c>
      <c r="AU956" s="72">
        <f>(BG956-Driver!$K$192)/(Driver!$L$192-Driver!$K$192)</f>
        <v>9.6920703839122463E-3</v>
      </c>
      <c r="AV956" s="70">
        <f t="shared" si="541"/>
        <v>1.5194681861348527</v>
      </c>
      <c r="AW956" s="70">
        <f t="shared" si="542"/>
        <v>43.241789834576508</v>
      </c>
      <c r="AX956" s="70">
        <f t="shared" si="543"/>
        <v>6.2265224815025615</v>
      </c>
      <c r="AY956" s="70">
        <f>IFERROR(Driver!$K$19/Data!BH956/Data!BI956*Data!BK956*Data!BL956,"")</f>
        <v>5.3242036618252372E-2</v>
      </c>
      <c r="AZ956" s="70">
        <f t="shared" si="544"/>
        <v>36.962025316455694</v>
      </c>
      <c r="BA956" s="70"/>
      <c r="BB956" s="70"/>
      <c r="BC956" s="70">
        <f t="shared" si="545"/>
        <v>61.689095775695563</v>
      </c>
      <c r="BD956" s="70">
        <f t="shared" si="546"/>
        <v>94.666344649222225</v>
      </c>
      <c r="BE956" s="70">
        <f t="shared" si="547"/>
        <v>1</v>
      </c>
      <c r="BF956" s="70">
        <f t="shared" si="548"/>
        <v>0.19348599717017667</v>
      </c>
      <c r="BG956" s="70">
        <f t="shared" si="549"/>
        <v>3.6700361345978059E-2</v>
      </c>
      <c r="BH956" s="67">
        <f>MAX((CE956-Driver!$F$200)/(Driver!$G$200-Driver!$F$200)*$BI$1,1)</f>
        <v>6.2265224815025615</v>
      </c>
      <c r="BI956" s="67">
        <f>MAX($BI$1*(BY956-Driver!$F$201)/(Driver!$G$201-Driver!$F$201),1)</f>
        <v>8.6075949367088604</v>
      </c>
      <c r="BJ956" s="67">
        <f>(CB956-Driver!$F$206)/(Driver!$G$206-Driver!$F$206)*$BI$1</f>
        <v>1.2698412698412698</v>
      </c>
      <c r="BK956" s="67">
        <f>(CD956-Driver!$F$203)/(Driver!$G$203-Driver!$F$203)*$BI$1</f>
        <v>1.8807339449541285</v>
      </c>
      <c r="BL956" s="67">
        <f>MAX((CR956-Driver!$F$202)/(Driver!$G$202-Driver!$F$202)*$BI$1,1)</f>
        <v>7.5862068965517242</v>
      </c>
      <c r="BM956" s="67">
        <f>MAX((CH956-Driver!$F$204)/(Driver!$G$204-Driver!$F$204)*$BI$1,1)</f>
        <v>4.7863247863247862</v>
      </c>
      <c r="BN956" s="67">
        <f>(CI956-Driver!$F$205)/(Driver!$G$205-Driver!$F$205)*$BI$1</f>
        <v>4.2941176470588234</v>
      </c>
      <c r="BO956" s="67">
        <f>(CK956-Driver!$F$207)/(Driver!$G$207-Driver!$F$207)*$BI$1</f>
        <v>0.44467425025853152</v>
      </c>
      <c r="BP956" s="67">
        <f>(CM956-Driver!$F$208)/(Driver!$G$208-Driver!$F$208)*$BI$1</f>
        <v>0.64444444444444438</v>
      </c>
      <c r="BQ956" s="67">
        <f>(CL956-Driver!$F$209)/(Driver!$G$209-Driver!$F$209)*$BI$1</f>
        <v>1.09375</v>
      </c>
      <c r="BR956" s="28" t="s">
        <v>155</v>
      </c>
      <c r="BS956" s="8" t="s">
        <v>202</v>
      </c>
      <c r="BT956" s="9" t="s">
        <v>798</v>
      </c>
      <c r="BU956" s="10">
        <v>166</v>
      </c>
      <c r="BV956" s="9" t="s">
        <v>158</v>
      </c>
      <c r="BW956" s="10">
        <v>166</v>
      </c>
      <c r="BX956" s="10">
        <v>165.1</v>
      </c>
      <c r="BY956" s="10">
        <v>144</v>
      </c>
      <c r="BZ956" s="10">
        <v>150</v>
      </c>
      <c r="CA956" s="10">
        <v>120</v>
      </c>
      <c r="CB956" s="10">
        <v>72</v>
      </c>
      <c r="CC956" s="10">
        <v>106</v>
      </c>
      <c r="CD956" s="10">
        <v>13.5</v>
      </c>
      <c r="CE956" s="10">
        <v>1994</v>
      </c>
      <c r="CF956" s="10">
        <v>0.72</v>
      </c>
      <c r="CG956" s="10">
        <v>1439</v>
      </c>
      <c r="CH956" s="10">
        <v>213</v>
      </c>
      <c r="CI956" s="10">
        <v>106</v>
      </c>
      <c r="CJ956" s="10">
        <v>41</v>
      </c>
      <c r="CK956" s="10">
        <v>153</v>
      </c>
      <c r="CL956" s="10">
        <v>7</v>
      </c>
      <c r="CM956" s="10">
        <v>58</v>
      </c>
      <c r="CN956" s="10">
        <v>0.16400000000000001</v>
      </c>
      <c r="CO956" s="10">
        <v>87</v>
      </c>
      <c r="CP956" s="10">
        <v>62</v>
      </c>
      <c r="CQ956" s="10">
        <v>66</v>
      </c>
      <c r="CR956" s="10">
        <v>11</v>
      </c>
      <c r="CS956" s="10">
        <v>11.5</v>
      </c>
      <c r="CT956" s="9" t="s">
        <v>349</v>
      </c>
      <c r="CU956" s="10"/>
      <c r="CV956" s="10"/>
      <c r="CW956" s="10"/>
      <c r="CX956" t="str">
        <f>INDEX('Data_Price '!AG$2:AG$1266,MATCH(Data!$DN956,'Data_Price '!$AT$2:$AT$1266,0))</f>
        <v>2022 Dynastar Speed 4x4 763 Skis with SPX 12 GW Bindings - 166| Ski Essentials</v>
      </c>
      <c r="CY956" t="str">
        <f>INDEX('Data_Price '!AH$2:AH$1266,MATCH(Data!$DN956,'Data_Price '!$AT$2:$AT$1266,0))</f>
        <v>eBay - asogear</v>
      </c>
      <c r="CZ956">
        <f>INDEX('Data_Price '!AI$2:AI$1266,MATCH(Data!$DN956,'Data_Price '!$AT$2:$AT$1266,0))</f>
        <v>699.99</v>
      </c>
      <c r="DA956" t="str">
        <f>INDEX('Data_Price '!AJ$2:AJ$1266,MATCH(Data!$DN956,'Data_Price '!$AT$2:$AT$1266,0))</f>
        <v>https://tinyurl.com/y7fqutap</v>
      </c>
      <c r="DB956" t="str">
        <f>INDEX('Data_Price '!AK$2:AK$1266,MATCH(Data!$DN956,'Data_Price '!$AT$2:$AT$1266,0))</f>
        <v>2022 Dynastar Speed 4x4 763 Skis with SPX 12 GW Bindings - 166| Ski Essentials</v>
      </c>
      <c r="DC956" t="str">
        <f>INDEX('Data_Price '!AL$2:AL$1266,MATCH(Data!$DN956,'Data_Price '!$AT$2:$AT$1266,0))</f>
        <v>SkiEssentials.com</v>
      </c>
      <c r="DD956">
        <f>INDEX('Data_Price '!AM$2:AM$1266,MATCH(Data!$DN956,'Data_Price '!$AT$2:$AT$1266,0))</f>
        <v>899.95</v>
      </c>
      <c r="DE956" t="str">
        <f>INDEX('Data_Price '!AN$2:AN$1266,MATCH(Data!$DN956,'Data_Price '!$AT$2:$AT$1266,0))</f>
        <v>https://tinyurl.com/y7am5mdv</v>
      </c>
      <c r="DF956" t="str">
        <f>INDEX('Data_Price '!AO$2:AO$1266,MATCH(Data!$DN956,'Data_Price '!$AT$2:$AT$1266,0))</f>
        <v>2019 Dynastar Speed Zone 12 Ti snow skis (CLEARANCE) 166</v>
      </c>
      <c r="DG956" t="str">
        <f>INDEX('Data_Price '!AP$2:AP$1266,MATCH(Data!$DN956,'Data_Price '!$AT$2:$AT$1266,0))</f>
        <v>The Pro Shop</v>
      </c>
      <c r="DH956">
        <f>INDEX('Data_Price '!AQ$2:AQ$1266,MATCH(Data!$DN956,'Data_Price '!$AT$2:$AT$1266,0))</f>
        <v>827</v>
      </c>
      <c r="DI956" t="str">
        <f>INDEX('Data_Price '!AR$2:AR$1266,MATCH(Data!$DN956,'Data_Price '!$AT$2:$AT$1266,0))</f>
        <v>https://tinyurl.com/yad95pqm</v>
      </c>
      <c r="DJ956" s="89" t="str">
        <f t="shared" si="550"/>
        <v>https://tinyurl.com/y7fqutap</v>
      </c>
      <c r="DK956" s="89" t="str">
        <f t="shared" si="551"/>
        <v>https://tinyurl.com/y7am5mdv</v>
      </c>
      <c r="DL956" s="89" t="str">
        <f t="shared" si="552"/>
        <v>https://tinyurl.com/yad95pqm</v>
      </c>
      <c r="DM956" s="219" t="str">
        <f t="shared" si="553"/>
        <v>Speed 763</v>
      </c>
      <c r="DN956" s="89" t="str">
        <f t="shared" si="554"/>
        <v xml:space="preserve"> DynastarSpeed 763166 Unisex</v>
      </c>
      <c r="DO956" s="221"/>
    </row>
    <row r="957" spans="2:119" ht="15.6" customHeight="1">
      <c r="B957" s="219" t="b">
        <f t="array" ref="B957">IF(OR(ISERROR(K957:P957)),FALSE,TRUE)</f>
        <v>1</v>
      </c>
      <c r="C957" s="43" t="b">
        <f>OR(BR957=Driver!$G$50,Data!BR997=Driver!$H$50)</f>
        <v>1</v>
      </c>
      <c r="D957" s="43" t="b">
        <f>OR(BV957=Driver!$G$51,BV957=Driver!$H$51)</f>
        <v>1</v>
      </c>
      <c r="E957" s="43" t="b">
        <f>AND(BX957&gt;Driver!$F$54,BX957&lt;Driver!$G$54)</f>
        <v>0</v>
      </c>
      <c r="F957" s="43" t="b">
        <f>CL957&gt;Driver!$F$56</f>
        <v>1</v>
      </c>
      <c r="G957" s="43" t="b">
        <f>AND(CB957&gt;Driver!$F$55,CB957&lt;Driver!$G$55)</f>
        <v>0</v>
      </c>
      <c r="H957" s="43" t="b">
        <f t="shared" si="518"/>
        <v>0</v>
      </c>
      <c r="I957" s="43">
        <f t="shared" si="519"/>
        <v>0</v>
      </c>
      <c r="J957" s="43" t="b">
        <f t="array" ref="J957">NOT(OR(($H$9:$H$1273=TRUE)*($I$9:$I$1273&gt;0)*($BT$9:$BT$1273=BT957)*($K$9:$K$1273&gt;K957)))</f>
        <v>1</v>
      </c>
      <c r="K957" s="72">
        <f t="shared" si="520"/>
        <v>0.78172317401682867</v>
      </c>
      <c r="L957" s="72">
        <f t="shared" si="521"/>
        <v>0.80282675943859516</v>
      </c>
      <c r="M957" s="72">
        <f t="shared" si="522"/>
        <v>0.76061958859506229</v>
      </c>
      <c r="N957" s="72">
        <f t="shared" si="523"/>
        <v>0.81755445567538976</v>
      </c>
      <c r="O957" s="72">
        <f t="shared" si="524"/>
        <v>0.58788646449053683</v>
      </c>
      <c r="P957" s="72">
        <f t="shared" si="525"/>
        <v>0.87641784561926039</v>
      </c>
      <c r="Q957" s="72"/>
      <c r="R957" s="72"/>
      <c r="S957" s="72">
        <f t="shared" si="526"/>
        <v>0.39373238736883698</v>
      </c>
      <c r="T957" s="72">
        <f t="shared" si="527"/>
        <v>0.89718718279764542</v>
      </c>
      <c r="U957" s="72">
        <f t="shared" si="528"/>
        <v>0.51</v>
      </c>
      <c r="V957" s="72">
        <f t="shared" si="529"/>
        <v>0.49566074749942679</v>
      </c>
      <c r="W957" s="72">
        <f t="shared" si="530"/>
        <v>0.77300338983050843</v>
      </c>
      <c r="X957" s="72">
        <f t="shared" si="531"/>
        <v>0.19717324056140481</v>
      </c>
      <c r="Y957" s="72">
        <f t="shared" si="532"/>
        <v>0.23938041140493771</v>
      </c>
      <c r="Z957" s="72">
        <f t="shared" si="533"/>
        <v>0.1824455443246103</v>
      </c>
      <c r="AA957" s="72">
        <f t="shared" si="534"/>
        <v>0.41211353550946322</v>
      </c>
      <c r="AB957" s="72">
        <f t="shared" si="535"/>
        <v>0.12358215438073963</v>
      </c>
      <c r="AC957" s="72"/>
      <c r="AD957" s="72"/>
      <c r="AE957" s="72">
        <f t="shared" si="536"/>
        <v>0.60626761263116302</v>
      </c>
      <c r="AF957" s="72">
        <f t="shared" si="537"/>
        <v>0.10281281720235463</v>
      </c>
      <c r="AG957" s="72">
        <f t="shared" si="538"/>
        <v>0.49</v>
      </c>
      <c r="AH957" s="72">
        <f t="shared" si="539"/>
        <v>0.50433925250057321</v>
      </c>
      <c r="AI957" s="72">
        <f t="shared" si="540"/>
        <v>0.22699661016949152</v>
      </c>
      <c r="AJ957" s="72">
        <f>(AV957-Driver!$K$179)/(Driver!$L$179-Driver!$K$179)</f>
        <v>5.7046168721295608E-2</v>
      </c>
      <c r="AK957" s="72">
        <f>(AW957-Driver!$K$180)/(Driver!$L$180-Driver!$K$180)</f>
        <v>0.13990180103403607</v>
      </c>
      <c r="AL957" s="72">
        <f>(AX957-Driver!$K$181)/(Driver!$L$181-Driver!$K$181)</f>
        <v>0.28413330803769049</v>
      </c>
      <c r="AM957" s="72">
        <f>(AY957-Driver!$K$182)/(Driver!$L$182-Driver!$K$182)</f>
        <v>3.5271485587583119E-2</v>
      </c>
      <c r="AN957" s="72">
        <f>(AZ957-Driver!$K$183)/(Driver!$L$183-Driver!$K$183)</f>
        <v>0.13063725490196079</v>
      </c>
      <c r="AO957" s="72"/>
      <c r="AP957" s="72"/>
      <c r="AQ957" s="72">
        <f>(BC957-Driver!$K$188)/(Driver!$L$188-Driver!$K$188)</f>
        <v>1.3732387368837008E-2</v>
      </c>
      <c r="AR957" s="72">
        <f>MIN((BD957-Driver!$K$189)/(Driver!$L$189-Driver!$K$189),100%)</f>
        <v>0.44718718279764541</v>
      </c>
      <c r="AS957" s="72">
        <f>(BE957-Driver!$K$190)/(Driver!$L$190-Driver!$K$190)</f>
        <v>1</v>
      </c>
      <c r="AT957" s="72">
        <f>(BF957-Driver!$K$191)/(Driver!$L$191-Driver!$K$191)</f>
        <v>5.6607474994268513E-3</v>
      </c>
      <c r="AU957" s="72">
        <f>(BG957-Driver!$K$192)/(Driver!$L$192-Driver!$K$192)</f>
        <v>2.3003389830508474E-2</v>
      </c>
      <c r="AV957" s="70">
        <f t="shared" si="541"/>
        <v>1.2006512006512005</v>
      </c>
      <c r="AW957" s="70">
        <f t="shared" si="542"/>
        <v>15.506562788290408</v>
      </c>
      <c r="AX957" s="70">
        <f t="shared" si="543"/>
        <v>3.5571997723392146</v>
      </c>
      <c r="AY957" s="70">
        <f>IFERROR(Driver!$K$19/Data!BH957/Data!BI957*Data!BK957*Data!BL957,"")</f>
        <v>4.3182822354765761E-2</v>
      </c>
      <c r="AZ957" s="70">
        <f t="shared" si="544"/>
        <v>11.906180193596427</v>
      </c>
      <c r="BA957" s="70"/>
      <c r="BB957" s="70"/>
      <c r="BC957" s="70">
        <f t="shared" si="545"/>
        <v>7.1230847942239439</v>
      </c>
      <c r="BD957" s="70">
        <f t="shared" si="546"/>
        <v>41.296096192888356</v>
      </c>
      <c r="BE957" s="70">
        <f t="shared" si="547"/>
        <v>1</v>
      </c>
      <c r="BF957" s="70">
        <f t="shared" si="548"/>
        <v>0.6393416610583107</v>
      </c>
      <c r="BG957" s="70">
        <f t="shared" si="549"/>
        <v>8.7105508474576279E-2</v>
      </c>
      <c r="BH957" s="67">
        <f>MAX((CE957-Driver!$F$200)/(Driver!$G$200-Driver!$F$200)*$BI$1,1)</f>
        <v>3.5571997723392146</v>
      </c>
      <c r="BI957" s="67">
        <f>MAX($BI$1*(BY957-Driver!$F$201)/(Driver!$G$201-Driver!$F$201),1)</f>
        <v>7.7848101265822782</v>
      </c>
      <c r="BJ957" s="67">
        <f>(CB957-Driver!$F$206)/(Driver!$G$206-Driver!$F$206)*$BI$1</f>
        <v>1.9047619047619047</v>
      </c>
      <c r="BK957" s="67">
        <f>(CD957-Driver!$F$203)/(Driver!$G$203-Driver!$F$203)*$BI$1</f>
        <v>0.82568807339449501</v>
      </c>
      <c r="BL957" s="67">
        <f>MAX((CR957-Driver!$F$202)/(Driver!$G$202-Driver!$F$202)*$BI$1,1)</f>
        <v>7.2413793103448274</v>
      </c>
      <c r="BM957" s="67">
        <f>MAX((CH957-Driver!$F$204)/(Driver!$G$204-Driver!$F$204)*$BI$1,1)</f>
        <v>2.5213675213675213</v>
      </c>
      <c r="BN957" s="67">
        <f>(CI957-Driver!$F$205)/(Driver!$G$205-Driver!$F$205)*$BI$1</f>
        <v>1.5294117647058825</v>
      </c>
      <c r="BO957" s="67">
        <f>(CK957-Driver!$F$207)/(Driver!$G$207-Driver!$F$207)*$BI$1</f>
        <v>0.37228541882109617</v>
      </c>
      <c r="BP957" s="67">
        <f>(CM957-Driver!$F$208)/(Driver!$G$208-Driver!$F$208)*$BI$1</f>
        <v>0.74444444444444435</v>
      </c>
      <c r="BQ957" s="67">
        <f>(CL957-Driver!$F$209)/(Driver!$G$209-Driver!$F$209)*$BI$1</f>
        <v>0.78125</v>
      </c>
      <c r="BR957" s="28" t="s">
        <v>155</v>
      </c>
      <c r="BS957" s="8" t="s">
        <v>172</v>
      </c>
      <c r="BT957" s="9" t="s">
        <v>711</v>
      </c>
      <c r="BU957" s="10">
        <v>152</v>
      </c>
      <c r="BV957" s="9" t="s">
        <v>158</v>
      </c>
      <c r="BW957" s="10">
        <v>152</v>
      </c>
      <c r="BX957" s="10">
        <v>152.30000000000001</v>
      </c>
      <c r="BY957" s="10">
        <v>131</v>
      </c>
      <c r="BZ957" s="10">
        <v>137</v>
      </c>
      <c r="CA957" s="10">
        <v>123</v>
      </c>
      <c r="CB957" s="10">
        <v>76</v>
      </c>
      <c r="CC957" s="10">
        <v>110</v>
      </c>
      <c r="CD957" s="10">
        <v>11.2</v>
      </c>
      <c r="CE957" s="10">
        <v>1525</v>
      </c>
      <c r="CF957" s="10">
        <v>0.92</v>
      </c>
      <c r="CG957" s="10">
        <v>1397</v>
      </c>
      <c r="CH957" s="10">
        <v>160</v>
      </c>
      <c r="CI957" s="10">
        <v>59</v>
      </c>
      <c r="CJ957" s="10">
        <v>36</v>
      </c>
      <c r="CK957" s="10">
        <v>146</v>
      </c>
      <c r="CL957" s="10">
        <v>5</v>
      </c>
      <c r="CM957" s="10">
        <v>67</v>
      </c>
      <c r="CN957" s="10">
        <v>0.14299999999999999</v>
      </c>
      <c r="CO957" s="10">
        <v>73</v>
      </c>
      <c r="CP957" s="10">
        <v>83</v>
      </c>
      <c r="CQ957" s="10">
        <v>73</v>
      </c>
      <c r="CR957" s="10">
        <v>10</v>
      </c>
      <c r="CS957" s="10">
        <v>7.6</v>
      </c>
      <c r="CT957" s="9" t="s">
        <v>349</v>
      </c>
      <c r="CU957" s="9" t="s">
        <v>231</v>
      </c>
      <c r="CV957" s="10"/>
      <c r="CW957" s="10"/>
      <c r="CX957" t="str">
        <f>INDEX('Data_Price '!AG$2:AG$1266,MATCH(Data!$DN957,'Data_Price '!$AT$2:$AT$1266,0))</f>
        <v>Rossignol Experience 76 Skis w/ Look Xpress 10 GW Bindings</v>
      </c>
      <c r="CY957" t="str">
        <f>INDEX('Data_Price '!AH$2:AH$1266,MATCH(Data!$DN957,'Data_Price '!$AT$2:$AT$1266,0))</f>
        <v>The-House.com</v>
      </c>
      <c r="CZ957">
        <f>INDEX('Data_Price '!AI$2:AI$1266,MATCH(Data!$DN957,'Data_Price '!$AT$2:$AT$1266,0))</f>
        <v>319.95</v>
      </c>
      <c r="DA957" t="str">
        <f>INDEX('Data_Price '!AJ$2:AJ$1266,MATCH(Data!$DN957,'Data_Price '!$AT$2:$AT$1266,0))</f>
        <v>https://tinyurl.com/y7eajcjt</v>
      </c>
      <c r="DB957" t="str">
        <f>INDEX('Data_Price '!AK$2:AK$1266,MATCH(Data!$DN957,'Data_Price '!$AT$2:$AT$1266,0))</f>
        <v>Rossignol Experience 76 Skis w/ Xpress 10 Bindings</v>
      </c>
      <c r="DC957" t="str">
        <f>INDEX('Data_Price '!AL$2:AL$1266,MATCH(Data!$DN957,'Data_Price '!$AT$2:$AT$1266,0))</f>
        <v>Rossignol US</v>
      </c>
      <c r="DD957">
        <f>INDEX('Data_Price '!AM$2:AM$1266,MATCH(Data!$DN957,'Data_Price '!$AT$2:$AT$1266,0))</f>
        <v>399.95</v>
      </c>
      <c r="DE957" t="str">
        <f>INDEX('Data_Price '!AN$2:AN$1266,MATCH(Data!$DN957,'Data_Price '!$AT$2:$AT$1266,0))</f>
        <v>https://tinyurl.com/yagg95ca</v>
      </c>
      <c r="DF957" t="str">
        <f>INDEX('Data_Price '!AO$2:AO$1266,MATCH(Data!$DN957,'Data_Price '!$AT$2:$AT$1266,0))</f>
        <v>Rossignol ALL MOUNTAIN Women's Skis EXPERIENCE W 76 (XPRESS) 152</v>
      </c>
      <c r="DG957" t="str">
        <f>INDEX('Data_Price '!AP$2:AP$1266,MATCH(Data!$DN957,'Data_Price '!$AT$2:$AT$1266,0))</f>
        <v>shop.petersonsskiandcycle.com</v>
      </c>
      <c r="DH957">
        <f>INDEX('Data_Price '!AQ$2:AQ$1266,MATCH(Data!$DN957,'Data_Price '!$AT$2:$AT$1266,0))</f>
        <v>399.99</v>
      </c>
      <c r="DI957" t="str">
        <f>INDEX('Data_Price '!AR$2:AR$1266,MATCH(Data!$DN957,'Data_Price '!$AT$2:$AT$1266,0))</f>
        <v>https://tinyurl.com/yaqpqj5v</v>
      </c>
      <c r="DJ957" s="89" t="str">
        <f t="shared" si="550"/>
        <v>https://tinyurl.com/y7eajcjt</v>
      </c>
      <c r="DK957" s="89" t="str">
        <f t="shared" si="551"/>
        <v>https://tinyurl.com/yagg95ca</v>
      </c>
      <c r="DL957" s="89" t="str">
        <f t="shared" si="552"/>
        <v>https://tinyurl.com/yaqpqj5v</v>
      </c>
      <c r="DM957" s="219" t="str">
        <f t="shared" si="553"/>
        <v>Experience 76</v>
      </c>
      <c r="DN957" s="89" t="str">
        <f t="shared" si="554"/>
        <v xml:space="preserve"> RossignolExperience 76152 Unisex</v>
      </c>
      <c r="DO957" s="221" t="s">
        <v>712</v>
      </c>
    </row>
    <row r="958" spans="2:119" ht="15.6" customHeight="1">
      <c r="B958" s="219" t="b">
        <f t="array" ref="B958">IF(OR(ISERROR(K958:P958)),FALSE,TRUE)</f>
        <v>1</v>
      </c>
      <c r="C958" s="43" t="b">
        <f>OR(BR958=Driver!$G$50,Data!BR1225=Driver!$H$50)</f>
        <v>1</v>
      </c>
      <c r="D958" s="43" t="b">
        <f>OR(BV958=Driver!$G$51,BV958=Driver!$H$51)</f>
        <v>1</v>
      </c>
      <c r="E958" s="43" t="b">
        <f>AND(BX958&gt;Driver!$F$54,BX958&lt;Driver!$G$54)</f>
        <v>0</v>
      </c>
      <c r="F958" s="43" t="b">
        <f>CL958&gt;Driver!$F$56</f>
        <v>1</v>
      </c>
      <c r="G958" s="43" t="b">
        <f>AND(CB958&gt;Driver!$F$55,CB958&lt;Driver!$G$55)</f>
        <v>0</v>
      </c>
      <c r="H958" s="43" t="b">
        <f t="shared" si="518"/>
        <v>0</v>
      </c>
      <c r="I958" s="43">
        <f t="shared" si="519"/>
        <v>0</v>
      </c>
      <c r="J958" s="43" t="b">
        <f t="array" ref="J958">NOT(OR(($H$9:$H$1273=TRUE)*($I$9:$I$1273&gt;0)*($BT$9:$BT$1273=BT958)*($K$9:$K$1273&gt;K958)))</f>
        <v>1</v>
      </c>
      <c r="K958" s="72">
        <f t="shared" si="520"/>
        <v>0.7806513919588397</v>
      </c>
      <c r="L958" s="72">
        <f t="shared" si="521"/>
        <v>0.94948973399464953</v>
      </c>
      <c r="M958" s="72">
        <f t="shared" si="522"/>
        <v>0.61181304992302987</v>
      </c>
      <c r="N958" s="72">
        <f t="shared" si="523"/>
        <v>0.53550803817080483</v>
      </c>
      <c r="O958" s="72">
        <f t="shared" si="524"/>
        <v>0.62402052584499623</v>
      </c>
      <c r="P958" s="72">
        <f t="shared" si="525"/>
        <v>0.67591058575328855</v>
      </c>
      <c r="Q958" s="72"/>
      <c r="R958" s="72"/>
      <c r="S958" s="72">
        <f t="shared" si="526"/>
        <v>0.56070681880994544</v>
      </c>
      <c r="T958" s="72">
        <f t="shared" si="527"/>
        <v>0.52624323781321203</v>
      </c>
      <c r="U958" s="72">
        <f t="shared" si="528"/>
        <v>0.67392870297374663</v>
      </c>
      <c r="V958" s="72">
        <f t="shared" si="529"/>
        <v>0.52015070127688467</v>
      </c>
      <c r="W958" s="72">
        <f t="shared" si="530"/>
        <v>0.7707742113238738</v>
      </c>
      <c r="X958" s="72">
        <f t="shared" si="531"/>
        <v>5.0510266005350413E-2</v>
      </c>
      <c r="Y958" s="72">
        <f t="shared" si="532"/>
        <v>0.38818695007697013</v>
      </c>
      <c r="Z958" s="72">
        <f t="shared" si="533"/>
        <v>0.46449196182919517</v>
      </c>
      <c r="AA958" s="72">
        <f t="shared" si="534"/>
        <v>0.37597947415500382</v>
      </c>
      <c r="AB958" s="72">
        <f t="shared" si="535"/>
        <v>0.32408941424671139</v>
      </c>
      <c r="AC958" s="72"/>
      <c r="AD958" s="72"/>
      <c r="AE958" s="72">
        <f t="shared" si="536"/>
        <v>0.43929318119005456</v>
      </c>
      <c r="AF958" s="72">
        <f t="shared" si="537"/>
        <v>0.47375676218678797</v>
      </c>
      <c r="AG958" s="72">
        <f t="shared" si="538"/>
        <v>0.32607129702625332</v>
      </c>
      <c r="AH958" s="72">
        <f t="shared" si="539"/>
        <v>0.47984929872311527</v>
      </c>
      <c r="AI958" s="72">
        <f t="shared" si="540"/>
        <v>0.2292257886761262</v>
      </c>
      <c r="AJ958" s="72">
        <f>(AV958-Driver!$K$179)/(Driver!$L$179-Driver!$K$179)</f>
        <v>0.30472967528805084</v>
      </c>
      <c r="AK958" s="72">
        <f>(AW958-Driver!$K$180)/(Driver!$L$180-Driver!$K$180)</f>
        <v>0.58504453089698816</v>
      </c>
      <c r="AL958" s="72">
        <f>(AX958-Driver!$K$181)/(Driver!$L$181-Driver!$K$181)</f>
        <v>0.56617972554227536</v>
      </c>
      <c r="AM958" s="72">
        <f>(AY958-Driver!$K$182)/(Driver!$L$182-Driver!$K$182)</f>
        <v>7.1405546942042541E-2</v>
      </c>
      <c r="AN958" s="72">
        <f>(AZ958-Driver!$K$183)/(Driver!$L$183-Driver!$K$183)</f>
        <v>0.57830882352941182</v>
      </c>
      <c r="AO958" s="72"/>
      <c r="AP958" s="72"/>
      <c r="AQ958" s="72">
        <f>(BC958-Driver!$K$188)/(Driver!$L$188-Driver!$K$188)</f>
        <v>0.18070681880994546</v>
      </c>
      <c r="AR958" s="72">
        <f>MIN((BD958-Driver!$K$189)/(Driver!$L$189-Driver!$K$189),100%)</f>
        <v>7.6243237813212059E-2</v>
      </c>
      <c r="AS958" s="72">
        <f>(BE958-Driver!$K$190)/(Driver!$L$190-Driver!$K$190)</f>
        <v>0.18392870297374669</v>
      </c>
      <c r="AT958" s="72">
        <f>(BF958-Driver!$K$191)/(Driver!$L$191-Driver!$K$191)</f>
        <v>3.0150701276884757E-2</v>
      </c>
      <c r="AU958" s="72">
        <f>(BG958-Driver!$K$192)/(Driver!$L$192-Driver!$K$192)</f>
        <v>2.077421132387381E-2</v>
      </c>
      <c r="AV958" s="70">
        <f t="shared" si="541"/>
        <v>6.4136480803147462</v>
      </c>
      <c r="AW958" s="70">
        <f t="shared" si="542"/>
        <v>58.889666179275743</v>
      </c>
      <c r="AX958" s="70">
        <f t="shared" si="543"/>
        <v>6.095617529880478</v>
      </c>
      <c r="AY958" s="70">
        <f>IFERROR(Driver!$K$19/Data!BH958/Data!BI958*Data!BK958*Data!BL958,"")</f>
        <v>8.742169481595681E-2</v>
      </c>
      <c r="AZ958" s="70">
        <f t="shared" si="544"/>
        <v>52.706626954579306</v>
      </c>
      <c r="BA958" s="70"/>
      <c r="BB958" s="70"/>
      <c r="BC958" s="70">
        <f t="shared" si="545"/>
        <v>93.73388317014215</v>
      </c>
      <c r="BD958" s="70">
        <f t="shared" si="546"/>
        <v>8.4682143355435819</v>
      </c>
      <c r="BE958" s="70">
        <f t="shared" si="547"/>
        <v>0.18407428090786246</v>
      </c>
      <c r="BF958" s="70">
        <f t="shared" si="548"/>
        <v>3.405309888559449</v>
      </c>
      <c r="BG958" s="70">
        <f t="shared" si="549"/>
        <v>7.8664416586306657E-2</v>
      </c>
      <c r="BH958" s="67">
        <f>MAX((CE958-Driver!$F$200)/(Driver!$G$200-Driver!$F$200)*$BI$1,1)</f>
        <v>6.095617529880478</v>
      </c>
      <c r="BI958" s="67">
        <f>MAX($BI$1*(BY958-Driver!$F$201)/(Driver!$G$201-Driver!$F$201),1)</f>
        <v>7.6582278481012658</v>
      </c>
      <c r="BJ958" s="67">
        <f>(CB958-Driver!$F$206)/(Driver!$G$206-Driver!$F$206)*$BI$1</f>
        <v>4.92063492063492</v>
      </c>
      <c r="BK958" s="67">
        <f>(CD958-Driver!$F$203)/(Driver!$G$203-Driver!$F$203)*$BI$1</f>
        <v>3.9449541284403673</v>
      </c>
      <c r="BL958" s="67">
        <f>MAX((CR958-Driver!$F$202)/(Driver!$G$202-Driver!$F$202)*$BI$1,1)</f>
        <v>5.1724137931034484</v>
      </c>
      <c r="BM958" s="67">
        <f>MAX((CH958-Driver!$F$204)/(Driver!$G$204-Driver!$F$204)*$BI$1,1)</f>
        <v>5.2136752136752138</v>
      </c>
      <c r="BN958" s="67">
        <f>(CI958-Driver!$F$205)/(Driver!$G$205-Driver!$F$205)*$BI$1</f>
        <v>6.882352941176471</v>
      </c>
      <c r="BO958" s="67">
        <f>(CK958-Driver!$F$207)/(Driver!$G$207-Driver!$F$207)*$BI$1</f>
        <v>1.3960703205791105</v>
      </c>
      <c r="BP958" s="67">
        <f>(CM958-Driver!$F$208)/(Driver!$G$208-Driver!$F$208)*$BI$1</f>
        <v>1.9555555555555557</v>
      </c>
      <c r="BQ958" s="67">
        <f>(CL958-Driver!$F$209)/(Driver!$G$209-Driver!$F$209)*$BI$1</f>
        <v>2.5</v>
      </c>
      <c r="BR958" s="28" t="s">
        <v>155</v>
      </c>
      <c r="BS958" s="8" t="s">
        <v>229</v>
      </c>
      <c r="BT958" s="9" t="s">
        <v>820</v>
      </c>
      <c r="BU958" s="10">
        <v>170</v>
      </c>
      <c r="BV958" s="9" t="s">
        <v>158</v>
      </c>
      <c r="BW958" s="10">
        <v>170</v>
      </c>
      <c r="BX958" s="10">
        <v>171.3</v>
      </c>
      <c r="BY958" s="10">
        <v>129</v>
      </c>
      <c r="BZ958" s="10">
        <v>148</v>
      </c>
      <c r="CA958" s="10">
        <v>133</v>
      </c>
      <c r="CB958" s="10">
        <v>95</v>
      </c>
      <c r="CC958" s="10">
        <v>116</v>
      </c>
      <c r="CD958" s="10">
        <v>18</v>
      </c>
      <c r="CE958" s="10">
        <v>1971</v>
      </c>
      <c r="CF958" s="10">
        <v>0.93</v>
      </c>
      <c r="CG958" s="10">
        <v>1826</v>
      </c>
      <c r="CH958" s="10">
        <v>223</v>
      </c>
      <c r="CI958" s="10">
        <v>150</v>
      </c>
      <c r="CJ958" s="10">
        <v>45</v>
      </c>
      <c r="CK958" s="10">
        <v>245</v>
      </c>
      <c r="CL958" s="10">
        <v>16</v>
      </c>
      <c r="CM958" s="10">
        <v>176</v>
      </c>
      <c r="CN958" s="10">
        <v>0.35099999999999998</v>
      </c>
      <c r="CO958" s="10">
        <v>127</v>
      </c>
      <c r="CP958" s="10">
        <v>103</v>
      </c>
      <c r="CQ958" s="10">
        <v>117</v>
      </c>
      <c r="CR958" s="10">
        <v>4</v>
      </c>
      <c r="CS958" s="10">
        <v>11.7</v>
      </c>
      <c r="CT958" s="9" t="s">
        <v>188</v>
      </c>
      <c r="CU958" s="10"/>
      <c r="CV958" s="10"/>
      <c r="CW958" s="10"/>
      <c r="CX958" t="e">
        <f>INDEX('Data_Price '!AG$2:AG$1266,MATCH(Data!$DN958,'Data_Price '!$AT$2:$AT$1266,0))</f>
        <v>#N/A</v>
      </c>
      <c r="CY958" t="e">
        <f>INDEX('Data_Price '!AH$2:AH$1266,MATCH(Data!$DN958,'Data_Price '!$AT$2:$AT$1266,0))</f>
        <v>#N/A</v>
      </c>
      <c r="CZ958" t="e">
        <f>INDEX('Data_Price '!AI$2:AI$1266,MATCH(Data!$DN958,'Data_Price '!$AT$2:$AT$1266,0))</f>
        <v>#N/A</v>
      </c>
      <c r="DA958" t="e">
        <f>INDEX('Data_Price '!AJ$2:AJ$1266,MATCH(Data!$DN958,'Data_Price '!$AT$2:$AT$1266,0))</f>
        <v>#N/A</v>
      </c>
      <c r="DB958" t="e">
        <f>INDEX('Data_Price '!AK$2:AK$1266,MATCH(Data!$DN958,'Data_Price '!$AT$2:$AT$1266,0))</f>
        <v>#N/A</v>
      </c>
      <c r="DC958" t="e">
        <f>INDEX('Data_Price '!AL$2:AL$1266,MATCH(Data!$DN958,'Data_Price '!$AT$2:$AT$1266,0))</f>
        <v>#N/A</v>
      </c>
      <c r="DD958" t="e">
        <f>INDEX('Data_Price '!AM$2:AM$1266,MATCH(Data!$DN958,'Data_Price '!$AT$2:$AT$1266,0))</f>
        <v>#N/A</v>
      </c>
      <c r="DE958" t="e">
        <f>INDEX('Data_Price '!AN$2:AN$1266,MATCH(Data!$DN958,'Data_Price '!$AT$2:$AT$1266,0))</f>
        <v>#N/A</v>
      </c>
      <c r="DF958" t="e">
        <f>INDEX('Data_Price '!AO$2:AO$1266,MATCH(Data!$DN958,'Data_Price '!$AT$2:$AT$1266,0))</f>
        <v>#N/A</v>
      </c>
      <c r="DG958" t="e">
        <f>INDEX('Data_Price '!AP$2:AP$1266,MATCH(Data!$DN958,'Data_Price '!$AT$2:$AT$1266,0))</f>
        <v>#N/A</v>
      </c>
      <c r="DH958" t="e">
        <f>INDEX('Data_Price '!AQ$2:AQ$1266,MATCH(Data!$DN958,'Data_Price '!$AT$2:$AT$1266,0))</f>
        <v>#N/A</v>
      </c>
      <c r="DI958" t="e">
        <f>INDEX('Data_Price '!AR$2:AR$1266,MATCH(Data!$DN958,'Data_Price '!$AT$2:$AT$1266,0))</f>
        <v>#N/A</v>
      </c>
      <c r="DJ958" s="89" t="e">
        <f t="shared" si="550"/>
        <v>#N/A</v>
      </c>
      <c r="DK958" s="89" t="e">
        <f t="shared" si="551"/>
        <v>#N/A</v>
      </c>
      <c r="DL958" s="89" t="e">
        <f t="shared" si="552"/>
        <v>#N/A</v>
      </c>
      <c r="DM958" s="219" t="str">
        <f t="shared" si="553"/>
        <v>Mantra M5</v>
      </c>
      <c r="DN958" s="89" t="str">
        <f t="shared" si="554"/>
        <v xml:space="preserve"> VölklMantra M5170 Unisex</v>
      </c>
      <c r="DO958" s="221"/>
    </row>
    <row r="959" spans="2:119" ht="15.6" customHeight="1">
      <c r="B959" s="219" t="b">
        <f t="array" ref="B959">IF(OR(ISERROR(K959:P959)),FALSE,TRUE)</f>
        <v>1</v>
      </c>
      <c r="C959" s="43" t="b">
        <f>OR(BR959=Driver!$G$50,Data!BR271=Driver!$H$50)</f>
        <v>1</v>
      </c>
      <c r="D959" s="43" t="b">
        <f>OR(BV959=Driver!$G$51,BV959=Driver!$H$51)</f>
        <v>1</v>
      </c>
      <c r="E959" s="43" t="b">
        <f>AND(BX959&gt;Driver!$F$54,BX959&lt;Driver!$G$54)</f>
        <v>0</v>
      </c>
      <c r="F959" s="43" t="b">
        <f>CL959&gt;Driver!$F$56</f>
        <v>1</v>
      </c>
      <c r="G959" s="43" t="b">
        <f>AND(CB959&gt;Driver!$F$55,CB959&lt;Driver!$G$55)</f>
        <v>0</v>
      </c>
      <c r="H959" s="43" t="b">
        <f t="shared" si="518"/>
        <v>0</v>
      </c>
      <c r="I959" s="43">
        <f t="shared" si="519"/>
        <v>0</v>
      </c>
      <c r="J959" s="43" t="b">
        <f t="array" ref="J959">NOT(OR(($H$9:$H$1273=TRUE)*($I$9:$I$1273&gt;0)*($BT$9:$BT$1273=BT959)*($K$9:$K$1273&gt;K959)))</f>
        <v>1</v>
      </c>
      <c r="K959" s="72">
        <f t="shared" si="520"/>
        <v>0.76620000183164849</v>
      </c>
      <c r="L959" s="72">
        <f t="shared" si="521"/>
        <v>0.86768857556944678</v>
      </c>
      <c r="M959" s="72">
        <f t="shared" si="522"/>
        <v>0.6647114280938502</v>
      </c>
      <c r="N959" s="72">
        <f t="shared" si="523"/>
        <v>0.58799649703376577</v>
      </c>
      <c r="O959" s="72">
        <f t="shared" si="524"/>
        <v>0.61727785508926725</v>
      </c>
      <c r="P959" s="72">
        <f t="shared" si="525"/>
        <v>0.78885993215851746</v>
      </c>
      <c r="Q959" s="72"/>
      <c r="R959" s="72"/>
      <c r="S959" s="72">
        <f t="shared" si="526"/>
        <v>0.55353009801264363</v>
      </c>
      <c r="T959" s="72">
        <f t="shared" si="527"/>
        <v>0.56343312053637995</v>
      </c>
      <c r="U959" s="72">
        <f t="shared" si="528"/>
        <v>0.51</v>
      </c>
      <c r="V959" s="72">
        <f t="shared" si="529"/>
        <v>0.50076995565220139</v>
      </c>
      <c r="W959" s="72">
        <f t="shared" si="530"/>
        <v>0.75964665878178594</v>
      </c>
      <c r="X959" s="72">
        <f t="shared" si="531"/>
        <v>0.13231142443055316</v>
      </c>
      <c r="Y959" s="72">
        <f t="shared" si="532"/>
        <v>0.3352885719061498</v>
      </c>
      <c r="Z959" s="72">
        <f t="shared" si="533"/>
        <v>0.41200350296623423</v>
      </c>
      <c r="AA959" s="72">
        <f t="shared" si="534"/>
        <v>0.3827221449107327</v>
      </c>
      <c r="AB959" s="72">
        <f t="shared" si="535"/>
        <v>0.21114006784148259</v>
      </c>
      <c r="AC959" s="72"/>
      <c r="AD959" s="72"/>
      <c r="AE959" s="72">
        <f t="shared" si="536"/>
        <v>0.44646990198735637</v>
      </c>
      <c r="AF959" s="72">
        <f t="shared" si="537"/>
        <v>0.43656687946362005</v>
      </c>
      <c r="AG959" s="72">
        <f t="shared" si="538"/>
        <v>0.49</v>
      </c>
      <c r="AH959" s="72">
        <f t="shared" si="539"/>
        <v>0.49923004434779855</v>
      </c>
      <c r="AI959" s="72">
        <f t="shared" si="540"/>
        <v>0.24035334121821408</v>
      </c>
      <c r="AJ959" s="72">
        <f>(AV959-Driver!$K$179)/(Driver!$L$179-Driver!$K$179)</f>
        <v>0.12190798485214727</v>
      </c>
      <c r="AK959" s="72">
        <f>(AW959-Driver!$K$180)/(Driver!$L$180-Driver!$K$180)</f>
        <v>0.47448743308163821</v>
      </c>
      <c r="AL959" s="72">
        <f>(AX959-Driver!$K$181)/(Driver!$L$181-Driver!$K$181)</f>
        <v>0.51369126667931442</v>
      </c>
      <c r="AM959" s="72">
        <f>(AY959-Driver!$K$182)/(Driver!$L$182-Driver!$K$182)</f>
        <v>6.4662876186313681E-2</v>
      </c>
      <c r="AN959" s="72">
        <f>(AZ959-Driver!$K$183)/(Driver!$L$183-Driver!$K$183)</f>
        <v>0.46535947712418302</v>
      </c>
      <c r="AO959" s="72"/>
      <c r="AP959" s="72"/>
      <c r="AQ959" s="72">
        <f>(BC959-Driver!$K$188)/(Driver!$L$188-Driver!$K$188)</f>
        <v>0.1735300980126436</v>
      </c>
      <c r="AR959" s="72">
        <f>MIN((BD959-Driver!$K$189)/(Driver!$L$189-Driver!$K$189),100%)</f>
        <v>0.11343312053638002</v>
      </c>
      <c r="AS959" s="72">
        <f>(BE959-Driver!$K$190)/(Driver!$L$190-Driver!$K$190)</f>
        <v>1</v>
      </c>
      <c r="AT959" s="72">
        <f>(BF959-Driver!$K$191)/(Driver!$L$191-Driver!$K$191)</f>
        <v>1.0769955652201468E-2</v>
      </c>
      <c r="AU959" s="72">
        <f>(BG959-Driver!$K$192)/(Driver!$L$192-Driver!$K$192)</f>
        <v>9.6466587817859249E-3</v>
      </c>
      <c r="AV959" s="70">
        <f t="shared" si="541"/>
        <v>2.5657983991317321</v>
      </c>
      <c r="AW959" s="70">
        <f t="shared" si="542"/>
        <v>48.114897361626475</v>
      </c>
      <c r="AX959" s="70">
        <f t="shared" si="543"/>
        <v>5.6232214001138301</v>
      </c>
      <c r="AY959" s="70">
        <f>IFERROR(Driver!$K$19/Data!BH959/Data!BI959*Data!BK959*Data!BL959,"")</f>
        <v>7.9166653992164132E-2</v>
      </c>
      <c r="AZ959" s="70">
        <f t="shared" si="544"/>
        <v>42.41250930752048</v>
      </c>
      <c r="BA959" s="70"/>
      <c r="BB959" s="70"/>
      <c r="BC959" s="70">
        <f t="shared" si="545"/>
        <v>90.011268200828113</v>
      </c>
      <c r="BD959" s="70">
        <f t="shared" si="546"/>
        <v>11.759453059971067</v>
      </c>
      <c r="BE959" s="70">
        <f t="shared" si="547"/>
        <v>1</v>
      </c>
      <c r="BF959" s="70">
        <f t="shared" si="548"/>
        <v>1.2163908276954591</v>
      </c>
      <c r="BG959" s="70">
        <f t="shared" si="549"/>
        <v>3.6528404050857478E-2</v>
      </c>
      <c r="BH959" s="67">
        <f>MAX((CE959-Driver!$F$200)/(Driver!$G$200-Driver!$F$200)*$BI$1,1)</f>
        <v>5.6232214001138301</v>
      </c>
      <c r="BI959" s="67">
        <f>MAX($BI$1*(BY959-Driver!$F$201)/(Driver!$G$201-Driver!$F$201),1)</f>
        <v>8.1012658227848107</v>
      </c>
      <c r="BJ959" s="67">
        <f>(CB959-Driver!$F$206)/(Driver!$G$206-Driver!$F$206)*$BI$1</f>
        <v>2.6984126984126982</v>
      </c>
      <c r="BK959" s="67">
        <f>(CD959-Driver!$F$203)/(Driver!$G$203-Driver!$F$203)*$BI$1</f>
        <v>3.4862385321100922</v>
      </c>
      <c r="BL959" s="67">
        <f>MAX((CR959-Driver!$F$202)/(Driver!$G$202-Driver!$F$202)*$BI$1,1)</f>
        <v>5.1724137931034484</v>
      </c>
      <c r="BM959" s="67">
        <f>MAX((CH959-Driver!$F$204)/(Driver!$G$204-Driver!$F$204)*$BI$1,1)</f>
        <v>3.8034188034188032</v>
      </c>
      <c r="BN959" s="67">
        <f>(CI959-Driver!$F$205)/(Driver!$G$205-Driver!$F$205)*$BI$1</f>
        <v>5.2352941176470589</v>
      </c>
      <c r="BO959" s="67">
        <f>(CK959-Driver!$F$207)/(Driver!$G$207-Driver!$F$207)*$BI$1</f>
        <v>1.4581178903826266</v>
      </c>
      <c r="BP959" s="67">
        <f>(CM959-Driver!$F$208)/(Driver!$G$208-Driver!$F$208)*$BI$1</f>
        <v>1.0777777777777777</v>
      </c>
      <c r="BQ959" s="67">
        <f>(CL959-Driver!$F$209)/(Driver!$G$209-Driver!$F$209)*$BI$1</f>
        <v>0.78125</v>
      </c>
      <c r="BR959" s="28" t="s">
        <v>155</v>
      </c>
      <c r="BS959" s="8" t="s">
        <v>317</v>
      </c>
      <c r="BT959" s="9" t="s">
        <v>821</v>
      </c>
      <c r="BU959" s="10">
        <v>173</v>
      </c>
      <c r="BV959" s="9" t="s">
        <v>158</v>
      </c>
      <c r="BW959" s="10">
        <v>173</v>
      </c>
      <c r="BX959" s="10">
        <v>171.1</v>
      </c>
      <c r="BY959" s="10">
        <v>136</v>
      </c>
      <c r="BZ959" s="10">
        <v>147</v>
      </c>
      <c r="CA959" s="10">
        <v>121</v>
      </c>
      <c r="CB959" s="10">
        <v>81</v>
      </c>
      <c r="CC959" s="10">
        <v>104</v>
      </c>
      <c r="CD959" s="10">
        <v>17</v>
      </c>
      <c r="CE959" s="10">
        <v>1888</v>
      </c>
      <c r="CF959" s="10">
        <v>0.85</v>
      </c>
      <c r="CG959" s="10">
        <v>1600</v>
      </c>
      <c r="CH959" s="10">
        <v>190</v>
      </c>
      <c r="CI959" s="10">
        <v>122</v>
      </c>
      <c r="CJ959" s="10">
        <v>53</v>
      </c>
      <c r="CK959" s="10">
        <v>251</v>
      </c>
      <c r="CL959" s="10">
        <v>5</v>
      </c>
      <c r="CM959" s="10">
        <v>97</v>
      </c>
      <c r="CN959" s="10">
        <v>0.10299999999999999</v>
      </c>
      <c r="CO959" s="10">
        <v>126</v>
      </c>
      <c r="CP959" s="10">
        <v>112</v>
      </c>
      <c r="CQ959" s="10">
        <v>125</v>
      </c>
      <c r="CR959" s="10">
        <v>4</v>
      </c>
      <c r="CS959" s="10">
        <v>10.6</v>
      </c>
      <c r="CT959" s="9" t="s">
        <v>349</v>
      </c>
      <c r="CU959" s="9" t="s">
        <v>231</v>
      </c>
      <c r="CV959" s="9" t="s">
        <v>188</v>
      </c>
      <c r="CW959" s="10"/>
      <c r="CX959" t="str">
        <f>INDEX('Data_Price '!AG$2:AG$1266,MATCH(Data!$DN959,'Data_Price '!$AT$2:$AT$1266,0))</f>
        <v>Blizzard Brahma 82 SP Skis w Marker TCX 11 GW Demo Bindings  Demo</v>
      </c>
      <c r="CY959" t="str">
        <f>INDEX('Data_Price '!AH$2:AH$1266,MATCH(Data!$DN959,'Data_Price '!$AT$2:$AT$1266,0))</f>
        <v>Powder7 Ski Shop</v>
      </c>
      <c r="CZ959">
        <f>INDEX('Data_Price '!AI$2:AI$1266,MATCH(Data!$DN959,'Data_Price '!$AT$2:$AT$1266,0))</f>
        <v>449.99</v>
      </c>
      <c r="DA959" t="str">
        <f>INDEX('Data_Price '!AJ$2:AJ$1266,MATCH(Data!$DN959,'Data_Price '!$AT$2:$AT$1266,0))</f>
        <v>https://tinyurl.com/y9v3nuth</v>
      </c>
      <c r="DB959" t="str">
        <f>INDEX('Data_Price '!AK$2:AK$1266,MATCH(Data!$DN959,'Data_Price '!$AT$2:$AT$1266,0))</f>
        <v>Blizzard Brahma 82 Skis</v>
      </c>
      <c r="DC959" t="str">
        <f>INDEX('Data_Price '!AL$2:AL$1266,MATCH(Data!$DN959,'Data_Price '!$AT$2:$AT$1266,0))</f>
        <v>Paragon Sports</v>
      </c>
      <c r="DD959">
        <f>INDEX('Data_Price '!AM$2:AM$1266,MATCH(Data!$DN959,'Data_Price '!$AT$2:$AT$1266,0))</f>
        <v>479.96</v>
      </c>
      <c r="DE959" t="str">
        <f>INDEX('Data_Price '!AN$2:AN$1266,MATCH(Data!$DN959,'Data_Price '!$AT$2:$AT$1266,0))</f>
        <v>https://tinyurl.com/y7kcdldo</v>
      </c>
      <c r="DF959" t="str">
        <f>INDEX('Data_Price '!AO$2:AO$1266,MATCH(Data!$DN959,'Data_Price '!$AT$2:$AT$1266,0))</f>
        <v>Blizzard Brahma 82 Skis</v>
      </c>
      <c r="DG959" t="str">
        <f>INDEX('Data_Price '!AP$2:AP$1266,MATCH(Data!$DN959,'Data_Price '!$AT$2:$AT$1266,0))</f>
        <v>The-House.com</v>
      </c>
      <c r="DH959">
        <f>INDEX('Data_Price '!AQ$2:AQ$1266,MATCH(Data!$DN959,'Data_Price '!$AT$2:$AT$1266,0))</f>
        <v>480</v>
      </c>
      <c r="DI959" t="str">
        <f>INDEX('Data_Price '!AR$2:AR$1266,MATCH(Data!$DN959,'Data_Price '!$AT$2:$AT$1266,0))</f>
        <v>https://tinyurl.com/ya2rb9ns</v>
      </c>
      <c r="DJ959" s="89" t="str">
        <f t="shared" si="550"/>
        <v>https://tinyurl.com/y9v3nuth</v>
      </c>
      <c r="DK959" s="89" t="str">
        <f t="shared" si="551"/>
        <v>https://tinyurl.com/y7kcdldo</v>
      </c>
      <c r="DL959" s="89" t="str">
        <f t="shared" si="552"/>
        <v>https://tinyurl.com/ya2rb9ns</v>
      </c>
      <c r="DM959" s="219" t="str">
        <f t="shared" si="553"/>
        <v>Brahma 82</v>
      </c>
      <c r="DN959" s="89" t="str">
        <f t="shared" si="554"/>
        <v xml:space="preserve"> BlizzardBrahma 82173 Unisex</v>
      </c>
      <c r="DO959" s="221" t="s">
        <v>822</v>
      </c>
    </row>
    <row r="960" spans="2:119" ht="15.6" customHeight="1">
      <c r="B960" s="219" t="b">
        <f t="array" ref="B960">IF(OR(ISERROR(K960:P960)),FALSE,TRUE)</f>
        <v>1</v>
      </c>
      <c r="C960" s="43" t="b">
        <f>OR(BR960=Driver!$G$50,Data!BR693=Driver!$H$50)</f>
        <v>1</v>
      </c>
      <c r="D960" s="43" t="b">
        <f>OR(BV960=Driver!$G$51,BV960=Driver!$H$51)</f>
        <v>1</v>
      </c>
      <c r="E960" s="43" t="b">
        <f>AND(BX960&gt;Driver!$F$54,BX960&lt;Driver!$G$54)</f>
        <v>0</v>
      </c>
      <c r="F960" s="43" t="b">
        <f>CL960&gt;Driver!$F$56</f>
        <v>1</v>
      </c>
      <c r="G960" s="43" t="b">
        <f>AND(CB960&gt;Driver!$F$55,CB960&lt;Driver!$G$55)</f>
        <v>0</v>
      </c>
      <c r="H960" s="43" t="b">
        <f t="shared" si="518"/>
        <v>0</v>
      </c>
      <c r="I960" s="43">
        <f t="shared" si="519"/>
        <v>0</v>
      </c>
      <c r="J960" s="43" t="b">
        <f t="array" ref="J960">NOT(OR(($H$9:$H$1273=TRUE)*($I$9:$I$1273&gt;0)*($BT$9:$BT$1273=BT960)*($K$9:$K$1273&gt;K960)))</f>
        <v>1</v>
      </c>
      <c r="K960" s="72">
        <f t="shared" si="520"/>
        <v>0.81581940515134332</v>
      </c>
      <c r="L960" s="72">
        <f t="shared" si="521"/>
        <v>0.92127007585145471</v>
      </c>
      <c r="M960" s="72">
        <f t="shared" si="522"/>
        <v>0.71036873445123194</v>
      </c>
      <c r="N960" s="72">
        <f t="shared" si="523"/>
        <v>0.57977541311547065</v>
      </c>
      <c r="O960" s="72">
        <f t="shared" si="524"/>
        <v>0.68095869625295147</v>
      </c>
      <c r="P960" s="72">
        <f t="shared" si="525"/>
        <v>0.87037209398527349</v>
      </c>
      <c r="Q960" s="72"/>
      <c r="R960" s="72"/>
      <c r="S960" s="72">
        <f t="shared" si="526"/>
        <v>0.43045757959416098</v>
      </c>
      <c r="T960" s="72">
        <f t="shared" si="527"/>
        <v>0.47360761669966656</v>
      </c>
      <c r="U960" s="72">
        <f t="shared" si="528"/>
        <v>0.55192294558849042</v>
      </c>
      <c r="V960" s="72">
        <f t="shared" si="529"/>
        <v>0.51729336202684395</v>
      </c>
      <c r="W960" s="72">
        <f t="shared" si="530"/>
        <v>0.86555489964580867</v>
      </c>
      <c r="X960" s="72">
        <f t="shared" si="531"/>
        <v>7.8729924148545266E-2</v>
      </c>
      <c r="Y960" s="72">
        <f t="shared" si="532"/>
        <v>0.28963126554876811</v>
      </c>
      <c r="Z960" s="72">
        <f t="shared" si="533"/>
        <v>0.42022458688452935</v>
      </c>
      <c r="AA960" s="72">
        <f t="shared" si="534"/>
        <v>0.31904130374704848</v>
      </c>
      <c r="AB960" s="72">
        <f t="shared" si="535"/>
        <v>0.12962790601472657</v>
      </c>
      <c r="AC960" s="72"/>
      <c r="AD960" s="72"/>
      <c r="AE960" s="72">
        <f t="shared" si="536"/>
        <v>0.56954242040583902</v>
      </c>
      <c r="AF960" s="72">
        <f t="shared" si="537"/>
        <v>0.52639238330033344</v>
      </c>
      <c r="AG960" s="72">
        <f t="shared" si="538"/>
        <v>0.44807705441150958</v>
      </c>
      <c r="AH960" s="72">
        <f t="shared" si="539"/>
        <v>0.48270663797315605</v>
      </c>
      <c r="AI960" s="72">
        <f t="shared" si="540"/>
        <v>0.13444510035419127</v>
      </c>
      <c r="AJ960" s="72">
        <f>(AV960-Driver!$K$179)/(Driver!$L$179-Driver!$K$179)</f>
        <v>0.17548948513415516</v>
      </c>
      <c r="AK960" s="72">
        <f>(AW960-Driver!$K$180)/(Driver!$L$180-Driver!$K$180)</f>
        <v>0.15737537231147486</v>
      </c>
      <c r="AL960" s="72">
        <f>(AX960-Driver!$K$181)/(Driver!$L$181-Driver!$K$181)</f>
        <v>0.52191235059760954</v>
      </c>
      <c r="AM960" s="72">
        <f>(AY960-Driver!$K$182)/(Driver!$L$182-Driver!$K$182)</f>
        <v>0.12834371734999789</v>
      </c>
      <c r="AN960" s="72">
        <f>(AZ960-Driver!$K$183)/(Driver!$L$183-Driver!$K$183)</f>
        <v>0.12459150326797387</v>
      </c>
      <c r="AO960" s="72"/>
      <c r="AP960" s="72"/>
      <c r="AQ960" s="72">
        <f>(BC960-Driver!$K$188)/(Driver!$L$188-Driver!$K$188)</f>
        <v>5.0457579594160994E-2</v>
      </c>
      <c r="AR960" s="72">
        <f>MIN((BD960-Driver!$K$189)/(Driver!$L$189-Driver!$K$189),100%)</f>
        <v>2.3607616699666576E-2</v>
      </c>
      <c r="AS960" s="72">
        <f>(BE960-Driver!$K$190)/(Driver!$L$190-Driver!$K$190)</f>
        <v>6.192294558849043E-2</v>
      </c>
      <c r="AT960" s="72">
        <f>(BF960-Driver!$K$191)/(Driver!$L$191-Driver!$K$191)</f>
        <v>2.7293362026843942E-2</v>
      </c>
      <c r="AU960" s="72">
        <f>(BG960-Driver!$K$192)/(Driver!$L$192-Driver!$K$192)</f>
        <v>0.11555489964580871</v>
      </c>
      <c r="AV960" s="70">
        <f t="shared" si="541"/>
        <v>3.6935286935286933</v>
      </c>
      <c r="AW960" s="70">
        <f t="shared" si="542"/>
        <v>17.209517140869107</v>
      </c>
      <c r="AX960" s="70">
        <f t="shared" si="543"/>
        <v>5.6972111553784863</v>
      </c>
      <c r="AY960" s="70">
        <f>IFERROR(Driver!$K$19/Data!BH960/Data!BI960*Data!BK960*Data!BL960,"")</f>
        <v>0.15713100410565931</v>
      </c>
      <c r="AZ960" s="70">
        <f t="shared" si="544"/>
        <v>11.355174981384961</v>
      </c>
      <c r="BA960" s="70"/>
      <c r="BB960" s="70"/>
      <c r="BC960" s="70">
        <f t="shared" si="545"/>
        <v>26.172697310893813</v>
      </c>
      <c r="BD960" s="70">
        <f t="shared" si="546"/>
        <v>3.8100551317966511</v>
      </c>
      <c r="BE960" s="70">
        <f t="shared" si="547"/>
        <v>6.2090287976490445E-2</v>
      </c>
      <c r="BF960" s="70">
        <f t="shared" si="548"/>
        <v>3.0825934942116766</v>
      </c>
      <c r="BG960" s="70">
        <f t="shared" si="549"/>
        <v>0.43756456611570244</v>
      </c>
      <c r="BH960" s="67">
        <f>MAX((CE960-Driver!$F$200)/(Driver!$G$200-Driver!$F$200)*$BI$1,1)</f>
        <v>5.6972111553784863</v>
      </c>
      <c r="BI960" s="67">
        <f>MAX($BI$1*(BY960-Driver!$F$201)/(Driver!$G$201-Driver!$F$201),1)</f>
        <v>7.7215189873417724</v>
      </c>
      <c r="BJ960" s="67">
        <f>(CB960-Driver!$F$206)/(Driver!$G$206-Driver!$F$206)*$BI$1</f>
        <v>5.2380952380952381</v>
      </c>
      <c r="BK960" s="67">
        <f>(CD960-Driver!$F$203)/(Driver!$G$203-Driver!$F$203)*$BI$1</f>
        <v>5.2752293577981648</v>
      </c>
      <c r="BL960" s="67">
        <f>MAX((CR960-Driver!$F$202)/(Driver!$G$202-Driver!$F$202)*$BI$1,1)</f>
        <v>6.5517241379310338</v>
      </c>
      <c r="BM960" s="67">
        <f>MAX((CH960-Driver!$F$204)/(Driver!$G$204-Driver!$F$204)*$BI$1,1)</f>
        <v>2.8205128205128203</v>
      </c>
      <c r="BN960" s="67">
        <f>(CI960-Driver!$F$205)/(Driver!$G$205-Driver!$F$205)*$BI$1</f>
        <v>1.4705882352941178</v>
      </c>
      <c r="BO960" s="67">
        <f>(CK960-Driver!$F$207)/(Driver!$G$207-Driver!$F$207)*$BI$1</f>
        <v>1.1789038262668046</v>
      </c>
      <c r="BP960" s="67">
        <f>(CM960-Driver!$F$208)/(Driver!$G$208-Driver!$F$208)*$BI$1</f>
        <v>2.6333333333333329</v>
      </c>
      <c r="BQ960" s="67">
        <f>(CL960-Driver!$F$209)/(Driver!$G$209-Driver!$F$209)*$BI$1</f>
        <v>7.03125</v>
      </c>
      <c r="BR960" s="28" t="s">
        <v>155</v>
      </c>
      <c r="BS960" s="8" t="s">
        <v>561</v>
      </c>
      <c r="BT960" s="9" t="s">
        <v>631</v>
      </c>
      <c r="BU960" s="10">
        <v>178</v>
      </c>
      <c r="BV960" s="9" t="s">
        <v>158</v>
      </c>
      <c r="BW960" s="10">
        <v>178</v>
      </c>
      <c r="BX960" s="10">
        <v>176</v>
      </c>
      <c r="BY960" s="10">
        <v>130</v>
      </c>
      <c r="BZ960" s="10">
        <v>143</v>
      </c>
      <c r="CA960" s="10">
        <v>118</v>
      </c>
      <c r="CB960" s="10">
        <v>97</v>
      </c>
      <c r="CC960" s="10">
        <v>117</v>
      </c>
      <c r="CD960" s="10">
        <v>20.9</v>
      </c>
      <c r="CE960" s="10">
        <v>1901</v>
      </c>
      <c r="CF960" s="10">
        <v>0.97</v>
      </c>
      <c r="CG960" s="10">
        <v>1852</v>
      </c>
      <c r="CH960" s="10">
        <v>167</v>
      </c>
      <c r="CI960" s="10">
        <v>58</v>
      </c>
      <c r="CJ960" s="10">
        <v>43</v>
      </c>
      <c r="CK960" s="10">
        <v>224</v>
      </c>
      <c r="CL960" s="10">
        <v>45</v>
      </c>
      <c r="CM960" s="10">
        <v>237</v>
      </c>
      <c r="CN960" s="10">
        <v>1.042</v>
      </c>
      <c r="CO960" s="10">
        <v>188</v>
      </c>
      <c r="CP960" s="10">
        <v>140</v>
      </c>
      <c r="CQ960" s="10">
        <v>36</v>
      </c>
      <c r="CR960" s="10">
        <v>8</v>
      </c>
      <c r="CS960" s="10">
        <v>4.5</v>
      </c>
      <c r="CT960" s="9" t="s">
        <v>184</v>
      </c>
      <c r="CU960" s="10"/>
      <c r="CV960" s="10"/>
      <c r="CW960" s="10"/>
      <c r="CX960" t="str">
        <f>INDEX('Data_Price '!AG$2:AG$1266,MATCH(Data!$DN960,'Data_Price '!$AT$2:$AT$1266,0))</f>
        <v>Single Skis, Allplay - Rat Rod 178cm - Right Single Ski</v>
      </c>
      <c r="CY960" t="str">
        <f>INDEX('Data_Price '!AH$2:AH$1266,MATCH(Data!$DN960,'Data_Price '!$AT$2:$AT$1266,0))</f>
        <v>J Skis</v>
      </c>
      <c r="CZ960">
        <f>INDEX('Data_Price '!AI$2:AI$1266,MATCH(Data!$DN960,'Data_Price '!$AT$2:$AT$1266,0))</f>
        <v>199</v>
      </c>
      <c r="DA960" t="str">
        <f>INDEX('Data_Price '!AJ$2:AJ$1266,MATCH(Data!$DN960,'Data_Price '!$AT$2:$AT$1266,0))</f>
        <v>https://tinyurl.com/y73b2auf</v>
      </c>
      <c r="DB960" t="str">
        <f>INDEX('Data_Price '!AK$2:AK$1266,MATCH(Data!$DN960,'Data_Price '!$AT$2:$AT$1266,0))</f>
        <v>Juventus - Handmade Skis</v>
      </c>
      <c r="DC960" t="str">
        <f>INDEX('Data_Price '!AL$2:AL$1266,MATCH(Data!$DN960,'Data_Price '!$AT$2:$AT$1266,0))</f>
        <v>Juventus Official Store</v>
      </c>
      <c r="DD960">
        <f>INDEX('Data_Price '!AM$2:AM$1266,MATCH(Data!$DN960,'Data_Price '!$AT$2:$AT$1266,0))</f>
        <v>2118.17</v>
      </c>
      <c r="DE960" t="str">
        <f>INDEX('Data_Price '!AN$2:AN$1266,MATCH(Data!$DN960,'Data_Price '!$AT$2:$AT$1266,0))</f>
        <v>https://tinyurl.com/ycb3a68s</v>
      </c>
      <c r="DF960" t="str">
        <f>INDEX('Data_Price '!AO$2:AO$1266,MATCH(Data!$DN960,'Data_Price '!$AT$2:$AT$1266,0))</f>
        <v>Rossignol Sprayer Skis w/ Xpress 10 GW Bindings</v>
      </c>
      <c r="DG960" t="str">
        <f>INDEX('Data_Price '!AP$2:AP$1266,MATCH(Data!$DN960,'Data_Price '!$AT$2:$AT$1266,0))</f>
        <v>Rossignol US</v>
      </c>
      <c r="DH960">
        <f>INDEX('Data_Price '!AQ$2:AQ$1266,MATCH(Data!$DN960,'Data_Price '!$AT$2:$AT$1266,0))</f>
        <v>399.95</v>
      </c>
      <c r="DI960" t="str">
        <f>INDEX('Data_Price '!AR$2:AR$1266,MATCH(Data!$DN960,'Data_Price '!$AT$2:$AT$1266,0))</f>
        <v>https://tinyurl.com/yajvb4s7</v>
      </c>
      <c r="DJ960" s="89" t="str">
        <f t="shared" si="550"/>
        <v>https://tinyurl.com/y73b2auf</v>
      </c>
      <c r="DK960" s="89" t="str">
        <f t="shared" si="551"/>
        <v>https://tinyurl.com/ycb3a68s</v>
      </c>
      <c r="DL960" s="89" t="str">
        <f t="shared" si="552"/>
        <v>https://tinyurl.com/yajvb4s7</v>
      </c>
      <c r="DM960" s="219" t="str">
        <f t="shared" si="553"/>
        <v>The Allplay</v>
      </c>
      <c r="DN960" s="89" t="str">
        <f t="shared" si="554"/>
        <v xml:space="preserve"> J SkisThe Allplay178 Unisex</v>
      </c>
      <c r="DO960" s="221"/>
    </row>
    <row r="961" spans="2:119" ht="15.6" customHeight="1">
      <c r="B961" s="219" t="b">
        <f t="array" ref="B961">IF(OR(ISERROR(K961:P961)),FALSE,TRUE)</f>
        <v>1</v>
      </c>
      <c r="C961" s="43" t="b">
        <f>OR(BR961=Driver!$G$50,Data!BR1232=Driver!$H$50)</f>
        <v>1</v>
      </c>
      <c r="D961" s="43" t="b">
        <f>OR(BV961=Driver!$G$51,BV961=Driver!$H$51)</f>
        <v>1</v>
      </c>
      <c r="E961" s="43" t="b">
        <f>AND(BX961&gt;Driver!$F$54,BX961&lt;Driver!$G$54)</f>
        <v>0</v>
      </c>
      <c r="F961" s="43" t="b">
        <f>CL961&gt;Driver!$F$56</f>
        <v>1</v>
      </c>
      <c r="G961" s="43" t="b">
        <f>AND(CB961&gt;Driver!$F$55,CB961&lt;Driver!$G$55)</f>
        <v>0</v>
      </c>
      <c r="H961" s="43" t="b">
        <f t="shared" si="518"/>
        <v>0</v>
      </c>
      <c r="I961" s="43">
        <f t="shared" si="519"/>
        <v>0</v>
      </c>
      <c r="J961" s="43" t="b">
        <f t="array" ref="J961">NOT(OR(($H$9:$H$1273=TRUE)*($I$9:$I$1273&gt;0)*($BT$9:$BT$1273=BT961)*($K$9:$K$1273&gt;K961)))</f>
        <v>1</v>
      </c>
      <c r="K961" s="72">
        <f t="shared" si="520"/>
        <v>0.73012898084588129</v>
      </c>
      <c r="L961" s="72">
        <f t="shared" si="521"/>
        <v>0.80339077523103741</v>
      </c>
      <c r="M961" s="72">
        <f t="shared" si="522"/>
        <v>0.65686718646072517</v>
      </c>
      <c r="N961" s="72">
        <f t="shared" si="523"/>
        <v>0.52538978104059553</v>
      </c>
      <c r="O961" s="72">
        <f t="shared" si="524"/>
        <v>0.58841883964711461</v>
      </c>
      <c r="P961" s="72">
        <f t="shared" si="525"/>
        <v>0.85679293869446516</v>
      </c>
      <c r="Q961" s="72"/>
      <c r="R961" s="72"/>
      <c r="S961" s="72">
        <f t="shared" si="526"/>
        <v>0.54180108113718206</v>
      </c>
      <c r="T961" s="72">
        <f t="shared" si="527"/>
        <v>0.55000000000000004</v>
      </c>
      <c r="U961" s="72">
        <f t="shared" si="528"/>
        <v>0.51</v>
      </c>
      <c r="V961" s="72">
        <f t="shared" si="529"/>
        <v>0.49080851057775809</v>
      </c>
      <c r="W961" s="72">
        <f t="shared" si="530"/>
        <v>0.75654846533411391</v>
      </c>
      <c r="X961" s="72">
        <f t="shared" si="531"/>
        <v>0.19660922476896261</v>
      </c>
      <c r="Y961" s="72">
        <f t="shared" si="532"/>
        <v>0.34313281353927488</v>
      </c>
      <c r="Z961" s="72">
        <f t="shared" si="533"/>
        <v>0.47461021895940447</v>
      </c>
      <c r="AA961" s="72">
        <f t="shared" si="534"/>
        <v>0.41158116035288539</v>
      </c>
      <c r="AB961" s="72">
        <f t="shared" si="535"/>
        <v>0.14320706130553484</v>
      </c>
      <c r="AC961" s="72"/>
      <c r="AD961" s="72"/>
      <c r="AE961" s="72">
        <f t="shared" si="536"/>
        <v>0.45819891886281794</v>
      </c>
      <c r="AF961" s="72">
        <f t="shared" si="537"/>
        <v>0.44999999999999996</v>
      </c>
      <c r="AG961" s="72">
        <f t="shared" si="538"/>
        <v>0.49</v>
      </c>
      <c r="AH961" s="72">
        <f t="shared" si="539"/>
        <v>0.50919148942224191</v>
      </c>
      <c r="AI961" s="72">
        <f t="shared" si="540"/>
        <v>0.24345153466588609</v>
      </c>
      <c r="AJ961" s="72">
        <f>(AV961-Driver!$K$179)/(Driver!$L$179-Driver!$K$179)</f>
        <v>5.7610184513737804E-2</v>
      </c>
      <c r="AK961" s="72">
        <f>(AW961-Driver!$K$180)/(Driver!$L$180-Driver!$K$180)</f>
        <v>0.4163784610468757</v>
      </c>
      <c r="AL961" s="72">
        <f>(AX961-Driver!$K$181)/(Driver!$L$181-Driver!$K$181)</f>
        <v>0.57629798267248467</v>
      </c>
      <c r="AM961" s="72">
        <f>(AY961-Driver!$K$182)/(Driver!$L$182-Driver!$K$182)</f>
        <v>3.5803860744160997E-2</v>
      </c>
      <c r="AN961" s="72">
        <f>(AZ961-Driver!$K$183)/(Driver!$L$183-Driver!$K$183)</f>
        <v>0.39742647058823527</v>
      </c>
      <c r="AO961" s="72"/>
      <c r="AP961" s="72"/>
      <c r="AQ961" s="72">
        <f>(BC961-Driver!$K$188)/(Driver!$L$188-Driver!$K$188)</f>
        <v>0.16180108113718206</v>
      </c>
      <c r="AR961" s="72">
        <f>MIN((BD961-Driver!$K$189)/(Driver!$L$189-Driver!$K$189),100%)</f>
        <v>1</v>
      </c>
      <c r="AS961" s="72">
        <f>(BE961-Driver!$K$190)/(Driver!$L$190-Driver!$K$190)</f>
        <v>1</v>
      </c>
      <c r="AT961" s="72">
        <f>(BF961-Driver!$K$191)/(Driver!$L$191-Driver!$K$191)</f>
        <v>8.0851057775810484E-4</v>
      </c>
      <c r="AU961" s="72">
        <f>(BG961-Driver!$K$192)/(Driver!$L$192-Driver!$K$192)</f>
        <v>6.5484653341139065E-3</v>
      </c>
      <c r="AV961" s="70">
        <f t="shared" si="541"/>
        <v>1.2125220458553791</v>
      </c>
      <c r="AW961" s="70">
        <f t="shared" si="542"/>
        <v>42.4516631389669</v>
      </c>
      <c r="AX961" s="70">
        <f t="shared" si="543"/>
        <v>6.1866818440523623</v>
      </c>
      <c r="AY961" s="70">
        <f>IFERROR(Driver!$K$19/Data!BH961/Data!BI961*Data!BK961*Data!BL961,"")</f>
        <v>4.3834608391832661E-2</v>
      </c>
      <c r="AZ961" s="70">
        <f t="shared" si="544"/>
        <v>36.221146686522708</v>
      </c>
      <c r="BA961" s="70"/>
      <c r="BB961" s="70"/>
      <c r="BC961" s="70">
        <f t="shared" si="545"/>
        <v>83.927345608723741</v>
      </c>
      <c r="BD961" s="70">
        <f t="shared" si="546"/>
        <v>135.28305780708584</v>
      </c>
      <c r="BE961" s="70">
        <f t="shared" si="547"/>
        <v>1</v>
      </c>
      <c r="BF961" s="70">
        <f t="shared" si="548"/>
        <v>9.1315589649497472E-2</v>
      </c>
      <c r="BG961" s="70">
        <f t="shared" si="549"/>
        <v>2.479666722422012E-2</v>
      </c>
      <c r="BH961" s="67">
        <f>MAX((CE961-Driver!$F$200)/(Driver!$G$200-Driver!$F$200)*$BI$1,1)</f>
        <v>6.1866818440523623</v>
      </c>
      <c r="BI961" s="67">
        <f>MAX($BI$1*(BY961-Driver!$F$201)/(Driver!$G$201-Driver!$F$201),1)</f>
        <v>8.924050632911392</v>
      </c>
      <c r="BJ961" s="67">
        <f>(CB961-Driver!$F$206)/(Driver!$G$206-Driver!$F$206)*$BI$1</f>
        <v>0.79365079365079361</v>
      </c>
      <c r="BK961" s="67">
        <f>(CD961-Driver!$F$203)/(Driver!$G$203-Driver!$F$203)*$BI$1</f>
        <v>2.0642201834862388</v>
      </c>
      <c r="BL961" s="67">
        <f>MAX((CR961-Driver!$F$202)/(Driver!$G$202-Driver!$F$202)*$BI$1,1)</f>
        <v>5.8620689655172411</v>
      </c>
      <c r="BM961" s="67">
        <f>MAX((CH961-Driver!$F$204)/(Driver!$G$204-Driver!$F$204)*$BI$1,1)</f>
        <v>6.1111111111111116</v>
      </c>
      <c r="BN961" s="67">
        <f>(CI961-Driver!$F$205)/(Driver!$G$205-Driver!$F$205)*$BI$1</f>
        <v>4.0588235294117645</v>
      </c>
      <c r="BO961" s="67">
        <f>(CK961-Driver!$F$207)/(Driver!$G$207-Driver!$F$207)*$BI$1</f>
        <v>0.40330920372285417</v>
      </c>
      <c r="BP961" s="67">
        <f>(CM961-Driver!$F$208)/(Driver!$G$208-Driver!$F$208)*$BI$1</f>
        <v>0.58888888888888891</v>
      </c>
      <c r="BQ961" s="67">
        <f>(CL961-Driver!$F$209)/(Driver!$G$209-Driver!$F$209)*$BI$1</f>
        <v>0.9375</v>
      </c>
      <c r="BR961" s="28" t="s">
        <v>155</v>
      </c>
      <c r="BS961" s="8" t="s">
        <v>229</v>
      </c>
      <c r="BT961" s="9" t="s">
        <v>823</v>
      </c>
      <c r="BU961" s="10">
        <v>170</v>
      </c>
      <c r="BV961" s="9" t="s">
        <v>158</v>
      </c>
      <c r="BW961" s="10">
        <v>170</v>
      </c>
      <c r="BX961" s="10">
        <v>169.3</v>
      </c>
      <c r="BY961" s="10">
        <v>149</v>
      </c>
      <c r="BZ961" s="10">
        <v>154</v>
      </c>
      <c r="CA961" s="10">
        <v>122</v>
      </c>
      <c r="CB961" s="10">
        <v>69</v>
      </c>
      <c r="CC961" s="10">
        <v>102</v>
      </c>
      <c r="CD961" s="10">
        <v>13.9</v>
      </c>
      <c r="CE961" s="10">
        <v>1987</v>
      </c>
      <c r="CF961" s="10">
        <v>0.73</v>
      </c>
      <c r="CG961" s="10">
        <v>1441</v>
      </c>
      <c r="CH961" s="10">
        <v>244</v>
      </c>
      <c r="CI961" s="10">
        <v>102</v>
      </c>
      <c r="CJ961" s="10">
        <v>41</v>
      </c>
      <c r="CK961" s="10">
        <v>149</v>
      </c>
      <c r="CL961" s="10">
        <v>6</v>
      </c>
      <c r="CM961" s="10">
        <v>53</v>
      </c>
      <c r="CN961" s="10">
        <v>0.14099999999999999</v>
      </c>
      <c r="CO961" s="10">
        <v>71</v>
      </c>
      <c r="CP961" s="10">
        <v>79</v>
      </c>
      <c r="CQ961" s="10">
        <v>78</v>
      </c>
      <c r="CR961" s="10">
        <v>6</v>
      </c>
      <c r="CS961" s="10">
        <v>11.5</v>
      </c>
      <c r="CT961" s="9" t="s">
        <v>349</v>
      </c>
      <c r="CU961" s="10"/>
      <c r="CV961" s="10"/>
      <c r="CW961" s="10"/>
      <c r="CX961" t="e">
        <f>INDEX('Data_Price '!AG$2:AG$1266,MATCH(Data!$DN961,'Data_Price '!$AT$2:$AT$1266,0))</f>
        <v>#N/A</v>
      </c>
      <c r="CY961" t="e">
        <f>INDEX('Data_Price '!AH$2:AH$1266,MATCH(Data!$DN961,'Data_Price '!$AT$2:$AT$1266,0))</f>
        <v>#N/A</v>
      </c>
      <c r="CZ961" t="e">
        <f>INDEX('Data_Price '!AI$2:AI$1266,MATCH(Data!$DN961,'Data_Price '!$AT$2:$AT$1266,0))</f>
        <v>#N/A</v>
      </c>
      <c r="DA961" t="e">
        <f>INDEX('Data_Price '!AJ$2:AJ$1266,MATCH(Data!$DN961,'Data_Price '!$AT$2:$AT$1266,0))</f>
        <v>#N/A</v>
      </c>
      <c r="DB961" t="e">
        <f>INDEX('Data_Price '!AK$2:AK$1266,MATCH(Data!$DN961,'Data_Price '!$AT$2:$AT$1266,0))</f>
        <v>#N/A</v>
      </c>
      <c r="DC961" t="e">
        <f>INDEX('Data_Price '!AL$2:AL$1266,MATCH(Data!$DN961,'Data_Price '!$AT$2:$AT$1266,0))</f>
        <v>#N/A</v>
      </c>
      <c r="DD961" t="e">
        <f>INDEX('Data_Price '!AM$2:AM$1266,MATCH(Data!$DN961,'Data_Price '!$AT$2:$AT$1266,0))</f>
        <v>#N/A</v>
      </c>
      <c r="DE961" t="e">
        <f>INDEX('Data_Price '!AN$2:AN$1266,MATCH(Data!$DN961,'Data_Price '!$AT$2:$AT$1266,0))</f>
        <v>#N/A</v>
      </c>
      <c r="DF961" t="e">
        <f>INDEX('Data_Price '!AO$2:AO$1266,MATCH(Data!$DN961,'Data_Price '!$AT$2:$AT$1266,0))</f>
        <v>#N/A</v>
      </c>
      <c r="DG961" t="e">
        <f>INDEX('Data_Price '!AP$2:AP$1266,MATCH(Data!$DN961,'Data_Price '!$AT$2:$AT$1266,0))</f>
        <v>#N/A</v>
      </c>
      <c r="DH961" t="e">
        <f>INDEX('Data_Price '!AQ$2:AQ$1266,MATCH(Data!$DN961,'Data_Price '!$AT$2:$AT$1266,0))</f>
        <v>#N/A</v>
      </c>
      <c r="DI961" t="e">
        <f>INDEX('Data_Price '!AR$2:AR$1266,MATCH(Data!$DN961,'Data_Price '!$AT$2:$AT$1266,0))</f>
        <v>#N/A</v>
      </c>
      <c r="DJ961" s="89" t="e">
        <f t="shared" si="550"/>
        <v>#N/A</v>
      </c>
      <c r="DK961" s="89" t="e">
        <f t="shared" si="551"/>
        <v>#N/A</v>
      </c>
      <c r="DL961" s="89" t="e">
        <f t="shared" si="552"/>
        <v>#N/A</v>
      </c>
      <c r="DM961" s="219" t="str">
        <f t="shared" si="553"/>
        <v>Racetiger SC</v>
      </c>
      <c r="DN961" s="89" t="str">
        <f t="shared" si="554"/>
        <v xml:space="preserve"> VölklRacetiger SC170 Unisex</v>
      </c>
      <c r="DO961" s="221"/>
    </row>
    <row r="962" spans="2:119" ht="15.6" customHeight="1">
      <c r="B962" s="219" t="b">
        <f t="array" ref="B962">IF(OR(ISERROR(K962:P962)),FALSE,TRUE)</f>
        <v>1</v>
      </c>
      <c r="C962" s="43" t="b">
        <f>OR(BR962=Driver!$G$50,Data!BR122=Driver!$H$50)</f>
        <v>1</v>
      </c>
      <c r="D962" s="43" t="b">
        <f>OR(BV962=Driver!$G$51,BV962=Driver!$H$51)</f>
        <v>1</v>
      </c>
      <c r="E962" s="43" t="b">
        <f>AND(BX962&gt;Driver!$F$54,BX962&lt;Driver!$G$54)</f>
        <v>1</v>
      </c>
      <c r="F962" s="43" t="b">
        <f>CL962&gt;Driver!$F$56</f>
        <v>1</v>
      </c>
      <c r="G962" s="43" t="b">
        <f>AND(CB962&gt;Driver!$F$55,CB962&lt;Driver!$G$55)</f>
        <v>1</v>
      </c>
      <c r="H962" s="43" t="b">
        <f t="shared" si="518"/>
        <v>1</v>
      </c>
      <c r="I962" s="43">
        <f t="shared" si="519"/>
        <v>1</v>
      </c>
      <c r="J962" s="43" t="b">
        <f t="array" ref="J962">NOT(OR(($H$9:$H$1273=TRUE)*($I$9:$I$1273&gt;0)*($BT$9:$BT$1273=BT962)*($K$9:$K$1273&gt;K962)))</f>
        <v>1</v>
      </c>
      <c r="K962" s="72">
        <f t="shared" si="520"/>
        <v>0.86319410968013399</v>
      </c>
      <c r="L962" s="72">
        <f t="shared" si="521"/>
        <v>0.87743799141023326</v>
      </c>
      <c r="M962" s="72">
        <f t="shared" si="522"/>
        <v>0.84895022795003472</v>
      </c>
      <c r="N962" s="72">
        <f t="shared" si="523"/>
        <v>0.92822289303705408</v>
      </c>
      <c r="O962" s="72">
        <f t="shared" si="524"/>
        <v>0.71541255957287475</v>
      </c>
      <c r="P962" s="72">
        <f t="shared" si="525"/>
        <v>0.90321523124017533</v>
      </c>
      <c r="Q962" s="72"/>
      <c r="R962" s="72"/>
      <c r="S962" s="72">
        <f t="shared" si="526"/>
        <v>0.409141670078494</v>
      </c>
      <c r="T962" s="72">
        <f t="shared" si="527"/>
        <v>0.44435827636753877</v>
      </c>
      <c r="U962" s="72">
        <f t="shared" si="528"/>
        <v>0.6813546053727233</v>
      </c>
      <c r="V962" s="72">
        <f t="shared" si="529"/>
        <v>0.62112164043044282</v>
      </c>
      <c r="W962" s="72">
        <f t="shared" si="530"/>
        <v>0.87897368421052635</v>
      </c>
      <c r="X962" s="72">
        <f t="shared" si="531"/>
        <v>0.12256200858976674</v>
      </c>
      <c r="Y962" s="72">
        <f t="shared" si="532"/>
        <v>0.15104977204996525</v>
      </c>
      <c r="Z962" s="72">
        <f t="shared" si="533"/>
        <v>7.1777106962945883E-2</v>
      </c>
      <c r="AA962" s="72">
        <f t="shared" si="534"/>
        <v>0.28458744042712525</v>
      </c>
      <c r="AB962" s="72">
        <f t="shared" si="535"/>
        <v>9.6784768759824641E-2</v>
      </c>
      <c r="AC962" s="72"/>
      <c r="AD962" s="72"/>
      <c r="AE962" s="72">
        <f t="shared" si="536"/>
        <v>0.590858329921506</v>
      </c>
      <c r="AF962" s="72">
        <f t="shared" si="537"/>
        <v>0.55564172363246123</v>
      </c>
      <c r="AG962" s="72">
        <f t="shared" si="538"/>
        <v>0.31864539462727665</v>
      </c>
      <c r="AH962" s="72">
        <f t="shared" si="539"/>
        <v>0.37887835956955718</v>
      </c>
      <c r="AI962" s="72">
        <f t="shared" si="540"/>
        <v>0.12102631578947368</v>
      </c>
      <c r="AJ962" s="72">
        <f>(AV962-Driver!$K$179)/(Driver!$L$179-Driver!$K$179)</f>
        <v>0.13165740069293369</v>
      </c>
      <c r="AK962" s="72">
        <f>(AW962-Driver!$K$180)/(Driver!$L$180-Driver!$K$180)</f>
        <v>0.15634368648667465</v>
      </c>
      <c r="AL962" s="72">
        <f>(AX962-Driver!$K$181)/(Driver!$L$181-Driver!$K$181)</f>
        <v>0.17346487067602606</v>
      </c>
      <c r="AM962" s="72">
        <f>(AY962-Driver!$K$182)/(Driver!$L$182-Driver!$K$182)</f>
        <v>0.16279758066992109</v>
      </c>
      <c r="AN962" s="72">
        <f>(AZ962-Driver!$K$183)/(Driver!$L$183-Driver!$K$183)</f>
        <v>0.15743464052287579</v>
      </c>
      <c r="AO962" s="72"/>
      <c r="AP962" s="72"/>
      <c r="AQ962" s="72">
        <f>(BC962-Driver!$K$188)/(Driver!$L$188-Driver!$K$188)</f>
        <v>2.9141670078494032E-2</v>
      </c>
      <c r="AR962" s="72">
        <f>MIN((BD962-Driver!$K$189)/(Driver!$L$189-Driver!$K$189),100%)</f>
        <v>-5.6417236324611594E-3</v>
      </c>
      <c r="AS962" s="72">
        <f>(BE962-Driver!$K$190)/(Driver!$L$190-Driver!$K$190)</f>
        <v>0.19135460537272336</v>
      </c>
      <c r="AT962" s="72">
        <f>(BF962-Driver!$K$191)/(Driver!$L$191-Driver!$K$191)</f>
        <v>0.1311216404304428</v>
      </c>
      <c r="AU962" s="72">
        <f>(BG962-Driver!$K$192)/(Driver!$L$192-Driver!$K$192)</f>
        <v>0.12897368421052632</v>
      </c>
      <c r="AV962" s="70">
        <f t="shared" si="541"/>
        <v>2.7709944376611046</v>
      </c>
      <c r="AW962" s="70">
        <f t="shared" si="542"/>
        <v>17.108970215575951</v>
      </c>
      <c r="AX962" s="70">
        <f t="shared" si="543"/>
        <v>2.5611838360842345</v>
      </c>
      <c r="AY962" s="70">
        <f>IFERROR(Driver!$K$19/Data!BH962/Data!BI962*Data!BK962*Data!BL962,"")</f>
        <v>0.19931281284987026</v>
      </c>
      <c r="AZ962" s="70">
        <f t="shared" si="544"/>
        <v>14.348473566641845</v>
      </c>
      <c r="BA962" s="70"/>
      <c r="BB962" s="70"/>
      <c r="BC962" s="70">
        <f t="shared" si="545"/>
        <v>15.115986859318511</v>
      </c>
      <c r="BD962" s="70">
        <f t="shared" si="546"/>
        <v>1.2215403391676645</v>
      </c>
      <c r="BE962" s="70">
        <f t="shared" si="547"/>
        <v>0.19149885860943325</v>
      </c>
      <c r="BF962" s="70">
        <f t="shared" si="548"/>
        <v>14.809268104959244</v>
      </c>
      <c r="BG962" s="70">
        <f t="shared" si="549"/>
        <v>0.48837664473684217</v>
      </c>
      <c r="BH962" s="67">
        <f>MAX((CE962-Driver!$F$200)/(Driver!$G$200-Driver!$F$200)*$BI$1,1)</f>
        <v>2.5611838360842345</v>
      </c>
      <c r="BI962" s="67">
        <f>MAX($BI$1*(BY962-Driver!$F$201)/(Driver!$G$201-Driver!$F$201),1)</f>
        <v>5.9493670886075947</v>
      </c>
      <c r="BJ962" s="67">
        <f>(CB962-Driver!$F$206)/(Driver!$G$206-Driver!$F$206)*$BI$1</f>
        <v>6.825396825396826</v>
      </c>
      <c r="BK962" s="67">
        <f>(CD962-Driver!$F$203)/(Driver!$G$203-Driver!$F$203)*$BI$1</f>
        <v>2.7522935779816518</v>
      </c>
      <c r="BL962" s="67">
        <f>MAX((CR962-Driver!$F$202)/(Driver!$G$202-Driver!$F$202)*$BI$1,1)</f>
        <v>5.5172413793103452</v>
      </c>
      <c r="BM962" s="67">
        <f>MAX((CH962-Driver!$F$204)/(Driver!$G$204-Driver!$F$204)*$BI$1,1)</f>
        <v>1.6239316239316239</v>
      </c>
      <c r="BN962" s="67">
        <f>(CI962-Driver!$F$205)/(Driver!$G$205-Driver!$F$205)*$BI$1</f>
        <v>2.4117647058823528</v>
      </c>
      <c r="BO962" s="67">
        <f>(CK962-Driver!$F$207)/(Driver!$G$207-Driver!$F$207)*$BI$1</f>
        <v>2.5232678386763183</v>
      </c>
      <c r="BP962" s="67">
        <f>(CM962-Driver!$F$208)/(Driver!$G$208-Driver!$F$208)*$BI$1</f>
        <v>2.3666666666666667</v>
      </c>
      <c r="BQ962" s="67">
        <f>(CL962-Driver!$F$209)/(Driver!$G$209-Driver!$F$209)*$BI$1</f>
        <v>2.03125</v>
      </c>
      <c r="BR962" s="28" t="s">
        <v>155</v>
      </c>
      <c r="BS962" s="8" t="s">
        <v>156</v>
      </c>
      <c r="BT962" s="9" t="s">
        <v>678</v>
      </c>
      <c r="BU962" s="10">
        <v>159</v>
      </c>
      <c r="BV962" s="9" t="s">
        <v>158</v>
      </c>
      <c r="BW962" s="10">
        <v>159</v>
      </c>
      <c r="BX962" s="10">
        <v>158.69999999999999</v>
      </c>
      <c r="BY962" s="10">
        <v>102</v>
      </c>
      <c r="BZ962" s="10">
        <v>121</v>
      </c>
      <c r="CA962" s="10">
        <v>133</v>
      </c>
      <c r="CB962" s="10">
        <v>107</v>
      </c>
      <c r="CC962" s="10">
        <v>120</v>
      </c>
      <c r="CD962" s="10">
        <v>15.4</v>
      </c>
      <c r="CE962" s="10">
        <v>1350</v>
      </c>
      <c r="CF962" s="10">
        <v>1.34</v>
      </c>
      <c r="CG962" s="10">
        <v>1816</v>
      </c>
      <c r="CH962" s="10">
        <v>139</v>
      </c>
      <c r="CI962" s="10">
        <v>74</v>
      </c>
      <c r="CJ962" s="10">
        <v>46</v>
      </c>
      <c r="CK962" s="10">
        <v>354</v>
      </c>
      <c r="CL962" s="10">
        <v>13</v>
      </c>
      <c r="CM962" s="10">
        <v>213</v>
      </c>
      <c r="CN962" s="10">
        <v>0.28799999999999998</v>
      </c>
      <c r="CO962" s="10">
        <v>207</v>
      </c>
      <c r="CP962" s="10">
        <v>171</v>
      </c>
      <c r="CQ962" s="10">
        <v>147</v>
      </c>
      <c r="CR962" s="10">
        <v>5</v>
      </c>
      <c r="CS962" s="10">
        <v>9.5</v>
      </c>
      <c r="CT962" s="9" t="s">
        <v>178</v>
      </c>
      <c r="CU962" s="9" t="s">
        <v>185</v>
      </c>
      <c r="CV962" s="9" t="s">
        <v>198</v>
      </c>
      <c r="CW962" s="10"/>
      <c r="CX962" t="str">
        <f>INDEX('Data_Price '!AG$2:AG$1266,MATCH(Data!$DN962,'Data_Price '!$AT$2:$AT$1266,0))</f>
        <v>Atomic Backland W 107 Anthra/Ber / 159cm</v>
      </c>
      <c r="CY962" t="str">
        <f>INDEX('Data_Price '!AH$2:AH$1266,MATCH(Data!$DN962,'Data_Price '!$AT$2:$AT$1266,0))</f>
        <v>Sundance Ski and Board Shop</v>
      </c>
      <c r="CZ962">
        <f>INDEX('Data_Price '!AI$2:AI$1266,MATCH(Data!$DN962,'Data_Price '!$AT$2:$AT$1266,0))</f>
        <v>520.92999999999995</v>
      </c>
      <c r="DA962" t="str">
        <f>INDEX('Data_Price '!AJ$2:AJ$1266,MATCH(Data!$DN962,'Data_Price '!$AT$2:$AT$1266,0))</f>
        <v>https://tinyurl.com/yb9bh39z</v>
      </c>
      <c r="DB962" t="str">
        <f>INDEX('Data_Price '!AK$2:AK$1266,MATCH(Data!$DN962,'Data_Price '!$AT$2:$AT$1266,0))</f>
        <v>Atomic W Backland 107 Alpine Touring Ski (2022) 159</v>
      </c>
      <c r="DC962" t="str">
        <f>INDEX('Data_Price '!AL$2:AL$1266,MATCH(Data!$DN962,'Data_Price '!$AT$2:$AT$1266,0))</f>
        <v>Cripple Creek Backcountry</v>
      </c>
      <c r="DD962">
        <f>INDEX('Data_Price '!AM$2:AM$1266,MATCH(Data!$DN962,'Data_Price '!$AT$2:$AT$1266,0))</f>
        <v>599</v>
      </c>
      <c r="DE962" t="str">
        <f>INDEX('Data_Price '!AN$2:AN$1266,MATCH(Data!$DN962,'Data_Price '!$AT$2:$AT$1266,0))</f>
        <v>https://tinyurl.com/ydz55ze5</v>
      </c>
      <c r="DF962" t="str">
        <f>INDEX('Data_Price '!AO$2:AO$1266,MATCH(Data!$DN962,'Data_Price '!$AT$2:$AT$1266,0))</f>
        <v>'22 Atomic Backland 107 W Skis 159cm</v>
      </c>
      <c r="DG962" t="str">
        <f>INDEX('Data_Price '!AP$2:AP$1266,MATCH(Data!$DN962,'Data_Price '!$AT$2:$AT$1266,0))</f>
        <v>Al's Ski Equipment Barn</v>
      </c>
      <c r="DH962">
        <f>INDEX('Data_Price '!AQ$2:AQ$1266,MATCH(Data!$DN962,'Data_Price '!$AT$2:$AT$1266,0))</f>
        <v>649.95000000000005</v>
      </c>
      <c r="DI962" t="str">
        <f>INDEX('Data_Price '!AR$2:AR$1266,MATCH(Data!$DN962,'Data_Price '!$AT$2:$AT$1266,0))</f>
        <v>https://tinyurl.com/yaf462gp</v>
      </c>
      <c r="DJ962" s="89" t="str">
        <f t="shared" si="550"/>
        <v>https://tinyurl.com/yb9bh39z</v>
      </c>
      <c r="DK962" s="89" t="str">
        <f t="shared" si="551"/>
        <v>https://tinyurl.com/ydz55ze5</v>
      </c>
      <c r="DL962" s="89" t="str">
        <f t="shared" si="552"/>
        <v>https://tinyurl.com/yaf462gp</v>
      </c>
      <c r="DM962" s="219" t="str">
        <f t="shared" si="553"/>
        <v>Backland 107 W</v>
      </c>
      <c r="DN962" s="89" t="str">
        <f t="shared" si="554"/>
        <v xml:space="preserve"> AtomicBackland 107 W159 Unisex</v>
      </c>
      <c r="DO962" s="221" t="s">
        <v>679</v>
      </c>
    </row>
    <row r="963" spans="2:119" ht="15.6" customHeight="1">
      <c r="B963" s="219" t="b">
        <f t="array" ref="B963">IF(OR(ISERROR(K963:P963)),FALSE,TRUE)</f>
        <v>1</v>
      </c>
      <c r="C963" s="43" t="b">
        <f>OR(BR963=Driver!$G$50,Data!BR670=Driver!$H$50)</f>
        <v>1</v>
      </c>
      <c r="D963" s="43" t="b">
        <f>OR(BV963=Driver!$G$51,BV963=Driver!$H$51)</f>
        <v>1</v>
      </c>
      <c r="E963" s="43" t="b">
        <f>AND(BX963&gt;Driver!$F$54,BX963&lt;Driver!$G$54)</f>
        <v>1</v>
      </c>
      <c r="F963" s="43" t="b">
        <f>CL963&gt;Driver!$F$56</f>
        <v>1</v>
      </c>
      <c r="G963" s="43" t="b">
        <f>AND(CB963&gt;Driver!$F$55,CB963&lt;Driver!$G$55)</f>
        <v>0</v>
      </c>
      <c r="H963" s="43" t="b">
        <f t="shared" si="518"/>
        <v>0</v>
      </c>
      <c r="I963" s="43">
        <f t="shared" si="519"/>
        <v>0</v>
      </c>
      <c r="J963" s="43" t="b">
        <f t="array" ref="J963">NOT(OR(($H$9:$H$1273=TRUE)*($I$9:$I$1273&gt;0)*($BT$9:$BT$1273=BT963)*($K$9:$K$1273&gt;K963)))</f>
        <v>1</v>
      </c>
      <c r="K963" s="72">
        <f t="shared" si="520"/>
        <v>0.72756867557185478</v>
      </c>
      <c r="L963" s="72">
        <f t="shared" si="521"/>
        <v>0.7485200959948759</v>
      </c>
      <c r="M963" s="72">
        <f t="shared" si="522"/>
        <v>0.70661725514883367</v>
      </c>
      <c r="N963" s="72">
        <f t="shared" si="523"/>
        <v>0.64617647553246926</v>
      </c>
      <c r="O963" s="72">
        <f t="shared" si="524"/>
        <v>0.5618816273013072</v>
      </c>
      <c r="P963" s="72">
        <f t="shared" si="525"/>
        <v>0.91179366261272443</v>
      </c>
      <c r="Q963" s="72"/>
      <c r="R963" s="72"/>
      <c r="S963" s="72">
        <f t="shared" si="526"/>
        <v>0.40350917795831953</v>
      </c>
      <c r="T963" s="72">
        <f t="shared" si="527"/>
        <v>0.55000000000000004</v>
      </c>
      <c r="U963" s="72">
        <f t="shared" si="528"/>
        <v>0.51</v>
      </c>
      <c r="V963" s="72">
        <f t="shared" si="529"/>
        <v>0.49087305060936437</v>
      </c>
      <c r="W963" s="72">
        <f t="shared" si="530"/>
        <v>0.78341320903361344</v>
      </c>
      <c r="X963" s="72">
        <f t="shared" si="531"/>
        <v>0.2514799040051241</v>
      </c>
      <c r="Y963" s="72">
        <f t="shared" si="532"/>
        <v>0.29338274485116633</v>
      </c>
      <c r="Z963" s="72">
        <f t="shared" si="533"/>
        <v>0.35382352446753068</v>
      </c>
      <c r="AA963" s="72">
        <f t="shared" si="534"/>
        <v>0.43811837269869275</v>
      </c>
      <c r="AB963" s="72">
        <f t="shared" si="535"/>
        <v>8.8206337387275596E-2</v>
      </c>
      <c r="AC963" s="72"/>
      <c r="AD963" s="72"/>
      <c r="AE963" s="72">
        <f t="shared" si="536"/>
        <v>0.59649082204168047</v>
      </c>
      <c r="AF963" s="72">
        <f t="shared" si="537"/>
        <v>0.44999999999999996</v>
      </c>
      <c r="AG963" s="72">
        <f t="shared" si="538"/>
        <v>0.49</v>
      </c>
      <c r="AH963" s="72">
        <f t="shared" si="539"/>
        <v>0.50912694939063563</v>
      </c>
      <c r="AI963" s="72">
        <f t="shared" si="540"/>
        <v>0.21658679096638656</v>
      </c>
      <c r="AJ963" s="72">
        <f>(AV963-Driver!$K$179)/(Driver!$L$179-Driver!$K$179)</f>
        <v>2.7395052775763436E-3</v>
      </c>
      <c r="AK963" s="72">
        <f>(AW963-Driver!$K$180)/(Driver!$L$180-Driver!$K$180)</f>
        <v>0.18848321467622092</v>
      </c>
      <c r="AL963" s="72">
        <f>(AX963-Driver!$K$181)/(Driver!$L$181-Driver!$K$181)</f>
        <v>0.45551128818061087</v>
      </c>
      <c r="AM963" s="72">
        <f>(AY963-Driver!$K$182)/(Driver!$L$182-Driver!$K$182)</f>
        <v>9.2666483983536076E-3</v>
      </c>
      <c r="AN963" s="72">
        <f>(AZ963-Driver!$K$183)/(Driver!$L$183-Driver!$K$183)</f>
        <v>0.16601307189542483</v>
      </c>
      <c r="AO963" s="72"/>
      <c r="AP963" s="72"/>
      <c r="AQ963" s="72">
        <f>(BC963-Driver!$K$188)/(Driver!$L$188-Driver!$K$188)</f>
        <v>2.3509177958319544E-2</v>
      </c>
      <c r="AR963" s="72">
        <f>MIN((BD963-Driver!$K$189)/(Driver!$L$189-Driver!$K$189),100%)</f>
        <v>1</v>
      </c>
      <c r="AS963" s="72">
        <f>(BE963-Driver!$K$190)/(Driver!$L$190-Driver!$K$190)</f>
        <v>1</v>
      </c>
      <c r="AT963" s="72">
        <f>(BF963-Driver!$K$191)/(Driver!$L$191-Driver!$K$191)</f>
        <v>8.7305060936434056E-4</v>
      </c>
      <c r="AU963" s="72">
        <f>(BG963-Driver!$K$192)/(Driver!$L$192-Driver!$K$192)</f>
        <v>3.3413209033613445E-2</v>
      </c>
      <c r="AV963" s="70">
        <f t="shared" si="541"/>
        <v>5.7658390991724331E-2</v>
      </c>
      <c r="AW963" s="70">
        <f t="shared" si="542"/>
        <v>20.241252022837738</v>
      </c>
      <c r="AX963" s="70">
        <f t="shared" si="543"/>
        <v>5.0996015936254979</v>
      </c>
      <c r="AY963" s="70">
        <f>IFERROR(Driver!$K$19/Data!BH963/Data!BI963*Data!BK963*Data!BL963,"")</f>
        <v>1.1345142540609339E-2</v>
      </c>
      <c r="AZ963" s="70">
        <f t="shared" si="544"/>
        <v>15.13030528667163</v>
      </c>
      <c r="BA963" s="70"/>
      <c r="BB963" s="70"/>
      <c r="BC963" s="70">
        <f t="shared" si="545"/>
        <v>12.194374040134043</v>
      </c>
      <c r="BD963" s="70">
        <f t="shared" si="546"/>
        <v>1052.736322614054</v>
      </c>
      <c r="BE963" s="70">
        <f t="shared" si="547"/>
        <v>1</v>
      </c>
      <c r="BF963" s="70">
        <f t="shared" si="548"/>
        <v>9.8604932800038014E-2</v>
      </c>
      <c r="BG963" s="70">
        <f t="shared" si="549"/>
        <v>0.12652372472426471</v>
      </c>
      <c r="BH963" s="67">
        <f>MAX((CE963-Driver!$F$200)/(Driver!$G$200-Driver!$F$200)*$BI$1,1)</f>
        <v>5.0996015936254979</v>
      </c>
      <c r="BI963" s="67">
        <f>MAX($BI$1*(BY963-Driver!$F$201)/(Driver!$G$201-Driver!$F$201),1)</f>
        <v>8.037974683544304</v>
      </c>
      <c r="BJ963" s="67">
        <f>(CB963-Driver!$F$206)/(Driver!$G$206-Driver!$F$206)*$BI$1</f>
        <v>0.15873015873015872</v>
      </c>
      <c r="BK963" s="67">
        <f>(CD963-Driver!$F$203)/(Driver!$G$203-Driver!$F$203)*$BI$1</f>
        <v>0.3211009174311924</v>
      </c>
      <c r="BL963" s="67">
        <f>MAX((CR963-Driver!$F$202)/(Driver!$G$202-Driver!$F$202)*$BI$1,1)</f>
        <v>7.2413793103448274</v>
      </c>
      <c r="BM963" s="67">
        <f>MAX((CH963-Driver!$F$204)/(Driver!$G$204-Driver!$F$204)*$BI$1,1)</f>
        <v>1.4529914529914532</v>
      </c>
      <c r="BN963" s="67">
        <f>(CI963-Driver!$F$205)/(Driver!$G$205-Driver!$F$205)*$BI$1</f>
        <v>1.8823529411764706</v>
      </c>
      <c r="BO963" s="67">
        <f>(CK963-Driver!$F$207)/(Driver!$G$207-Driver!$F$207)*$BI$1</f>
        <v>0.32057911065149947</v>
      </c>
      <c r="BP963" s="67">
        <f>(CM963-Driver!$F$208)/(Driver!$G$208-Driver!$F$208)*$BI$1</f>
        <v>0.62222222222222223</v>
      </c>
      <c r="BQ963" s="67">
        <f>(CL963-Driver!$F$209)/(Driver!$G$209-Driver!$F$209)*$BI$1</f>
        <v>0.9375</v>
      </c>
      <c r="BR963" s="28" t="s">
        <v>155</v>
      </c>
      <c r="BS963" s="8" t="s">
        <v>167</v>
      </c>
      <c r="BT963" s="9" t="s">
        <v>767</v>
      </c>
      <c r="BU963" s="10">
        <v>155</v>
      </c>
      <c r="BV963" s="9" t="s">
        <v>158</v>
      </c>
      <c r="BW963" s="10">
        <v>155</v>
      </c>
      <c r="BX963" s="10">
        <v>154.30000000000001</v>
      </c>
      <c r="BY963" s="10">
        <v>135</v>
      </c>
      <c r="BZ963" s="10">
        <v>140</v>
      </c>
      <c r="CA963" s="10">
        <v>120</v>
      </c>
      <c r="CB963" s="10">
        <v>65</v>
      </c>
      <c r="CC963" s="10">
        <v>105</v>
      </c>
      <c r="CD963" s="10">
        <v>10.1</v>
      </c>
      <c r="CE963" s="10">
        <v>1796</v>
      </c>
      <c r="CF963" s="10">
        <v>0.71</v>
      </c>
      <c r="CG963" s="10">
        <v>1273</v>
      </c>
      <c r="CH963" s="10">
        <v>135</v>
      </c>
      <c r="CI963" s="10">
        <v>65</v>
      </c>
      <c r="CJ963" s="10">
        <v>44</v>
      </c>
      <c r="CK963" s="10">
        <v>141</v>
      </c>
      <c r="CL963" s="10">
        <v>6</v>
      </c>
      <c r="CM963" s="10">
        <v>56</v>
      </c>
      <c r="CN963" s="10">
        <v>0.125</v>
      </c>
      <c r="CO963" s="10">
        <v>78</v>
      </c>
      <c r="CP963" s="10">
        <v>65</v>
      </c>
      <c r="CQ963" s="10">
        <v>63</v>
      </c>
      <c r="CR963" s="10">
        <v>10</v>
      </c>
      <c r="CS963" s="10">
        <v>12.4</v>
      </c>
      <c r="CT963" s="9" t="s">
        <v>349</v>
      </c>
      <c r="CU963" s="10"/>
      <c r="CV963" s="10"/>
      <c r="CW963" s="10"/>
      <c r="CX963" t="str">
        <f>INDEX('Data_Price '!AG$2:AG$1266,MATCH(Data!$DN963,'Data_Price '!$AT$2:$AT$1266,0))</f>
        <v>Head Worldcup Rebels i.SLR Skis w Head PR 11 GW Bindings  Demo</v>
      </c>
      <c r="CY963" t="str">
        <f>INDEX('Data_Price '!AH$2:AH$1266,MATCH(Data!$DN963,'Data_Price '!$AT$2:$AT$1266,0))</f>
        <v>Powder7 Ski Shop</v>
      </c>
      <c r="CZ963">
        <f>INDEX('Data_Price '!AI$2:AI$1266,MATCH(Data!$DN963,'Data_Price '!$AT$2:$AT$1266,0))</f>
        <v>429.99</v>
      </c>
      <c r="DA963" t="str">
        <f>INDEX('Data_Price '!AJ$2:AJ$1266,MATCH(Data!$DN963,'Data_Price '!$AT$2:$AT$1266,0))</f>
        <v>https://tinyurl.com/y7zaaumd</v>
      </c>
      <c r="DB963" t="str">
        <f>INDEX('Data_Price '!AK$2:AK$1266,MATCH(Data!$DN963,'Data_Price '!$AT$2:$AT$1266,0))</f>
        <v>Head WC Rebels E-SL SW Race Ski 2021</v>
      </c>
      <c r="DC963" t="str">
        <f>INDEX('Data_Price '!AL$2:AL$1266,MATCH(Data!$DN963,'Data_Price '!$AT$2:$AT$1266,0))</f>
        <v>eBay - gloliquidation</v>
      </c>
      <c r="DD963">
        <f>INDEX('Data_Price '!AM$2:AM$1266,MATCH(Data!$DN963,'Data_Price '!$AT$2:$AT$1266,0))</f>
        <v>560</v>
      </c>
      <c r="DE963" t="str">
        <f>INDEX('Data_Price '!AN$2:AN$1266,MATCH(Data!$DN963,'Data_Price '!$AT$2:$AT$1266,0))</f>
        <v>https://tinyurl.com/yazpea4t</v>
      </c>
      <c r="DF963" t="str">
        <f>INDEX('Data_Price '!AO$2:AO$1266,MATCH(Data!$DN963,'Data_Price '!$AT$2:$AT$1266,0))</f>
        <v>Head WC Rebels E-SL SW Race Ski 2021</v>
      </c>
      <c r="DG963" t="str">
        <f>INDEX('Data_Price '!AP$2:AP$1266,MATCH(Data!$DN963,'Data_Price '!$AT$2:$AT$1266,0))</f>
        <v>! OutdoorXL.com</v>
      </c>
      <c r="DH963">
        <f>INDEX('Data_Price '!AQ$2:AQ$1266,MATCH(Data!$DN963,'Data_Price '!$AT$2:$AT$1266,0))</f>
        <v>609.95000000000005</v>
      </c>
      <c r="DI963" t="str">
        <f>INDEX('Data_Price '!AR$2:AR$1266,MATCH(Data!$DN963,'Data_Price '!$AT$2:$AT$1266,0))</f>
        <v>https://tinyurl.com/y9wtvsrz</v>
      </c>
      <c r="DJ963" s="89" t="str">
        <f t="shared" si="550"/>
        <v>https://tinyurl.com/y7zaaumd</v>
      </c>
      <c r="DK963" s="89" t="str">
        <f t="shared" si="551"/>
        <v>https://tinyurl.com/yazpea4t</v>
      </c>
      <c r="DL963" s="89" t="str">
        <f t="shared" si="552"/>
        <v>https://tinyurl.com/y9wtvsrz</v>
      </c>
      <c r="DM963" s="219" t="str">
        <f t="shared" si="553"/>
        <v>Worldcup Rebels I.SLR</v>
      </c>
      <c r="DN963" s="89" t="str">
        <f t="shared" si="554"/>
        <v xml:space="preserve"> HeadWorldcup Rebels I.SLR155 Unisex</v>
      </c>
      <c r="DO963" s="221"/>
    </row>
    <row r="964" spans="2:119" ht="15.6" customHeight="1">
      <c r="B964" s="219" t="b">
        <f t="array" ref="B964">IF(OR(ISERROR(K964:P964)),FALSE,TRUE)</f>
        <v>1</v>
      </c>
      <c r="C964" s="43" t="b">
        <f>OR(BR964=Driver!$G$50,Data!BR239=Driver!$H$50)</f>
        <v>1</v>
      </c>
      <c r="D964" s="43" t="b">
        <f>OR(BV964=Driver!$G$51,BV964=Driver!$H$51)</f>
        <v>1</v>
      </c>
      <c r="E964" s="43" t="b">
        <f>AND(BX964&gt;Driver!$F$54,BX964&lt;Driver!$G$54)</f>
        <v>0</v>
      </c>
      <c r="F964" s="43" t="b">
        <f>CL964&gt;Driver!$F$56</f>
        <v>1</v>
      </c>
      <c r="G964" s="43" t="b">
        <f>AND(CB964&gt;Driver!$F$55,CB964&lt;Driver!$G$55)</f>
        <v>0</v>
      </c>
      <c r="H964" s="43" t="b">
        <f t="shared" si="518"/>
        <v>0</v>
      </c>
      <c r="I964" s="43">
        <f t="shared" si="519"/>
        <v>0</v>
      </c>
      <c r="J964" s="43" t="b">
        <f t="array" ref="J964">NOT(OR(($H$9:$H$1273=TRUE)*($I$9:$I$1273&gt;0)*($BT$9:$BT$1273=BT964)*($K$9:$K$1273&gt;K964)))</f>
        <v>1</v>
      </c>
      <c r="K964" s="72">
        <f t="shared" si="520"/>
        <v>0.85707262201489254</v>
      </c>
      <c r="L964" s="72">
        <f t="shared" si="521"/>
        <v>0.82893263326020505</v>
      </c>
      <c r="M964" s="72">
        <f t="shared" si="522"/>
        <v>0.88521261076958013</v>
      </c>
      <c r="N964" s="72">
        <f t="shared" si="523"/>
        <v>0.95604810014512975</v>
      </c>
      <c r="O964" s="72">
        <f t="shared" si="524"/>
        <v>0.76908691922408878</v>
      </c>
      <c r="P964" s="72">
        <f t="shared" si="525"/>
        <v>0.93050281293952186</v>
      </c>
      <c r="Q964" s="72"/>
      <c r="R964" s="72"/>
      <c r="S964" s="72">
        <f t="shared" si="526"/>
        <v>0.44178679387870778</v>
      </c>
      <c r="T964" s="72">
        <f t="shared" si="527"/>
        <v>0.45159537389388404</v>
      </c>
      <c r="U964" s="72">
        <f t="shared" si="528"/>
        <v>0.56298226401704698</v>
      </c>
      <c r="V964" s="72">
        <f t="shared" si="529"/>
        <v>0.50999567524673162</v>
      </c>
      <c r="W964" s="72">
        <f t="shared" si="530"/>
        <v>0.84717607973421927</v>
      </c>
      <c r="X964" s="72">
        <f t="shared" si="531"/>
        <v>0.17106736673979495</v>
      </c>
      <c r="Y964" s="72">
        <f t="shared" si="532"/>
        <v>0.11478738923041987</v>
      </c>
      <c r="Z964" s="72">
        <f t="shared" si="533"/>
        <v>4.3951899854870205E-2</v>
      </c>
      <c r="AA964" s="72">
        <f t="shared" si="534"/>
        <v>0.23091308077591119</v>
      </c>
      <c r="AB964" s="72">
        <f t="shared" si="535"/>
        <v>6.9497187060478194E-2</v>
      </c>
      <c r="AC964" s="72"/>
      <c r="AD964" s="72"/>
      <c r="AE964" s="72">
        <f t="shared" si="536"/>
        <v>0.55821320612129222</v>
      </c>
      <c r="AF964" s="72">
        <f t="shared" si="537"/>
        <v>0.54840462610611596</v>
      </c>
      <c r="AG964" s="72">
        <f t="shared" si="538"/>
        <v>0.43701773598295302</v>
      </c>
      <c r="AH964" s="72">
        <f t="shared" si="539"/>
        <v>0.49000432475326838</v>
      </c>
      <c r="AI964" s="72">
        <f t="shared" si="540"/>
        <v>0.15282392026578073</v>
      </c>
      <c r="AJ964" s="72">
        <f>(AV964-Driver!$K$179)/(Driver!$L$179-Driver!$K$179)</f>
        <v>8.315204254290548E-2</v>
      </c>
      <c r="AK964" s="72">
        <f>(AW964-Driver!$K$180)/(Driver!$L$180-Driver!$K$180)</f>
        <v>0.17996653634519658</v>
      </c>
      <c r="AL964" s="72">
        <f>(AX964-Driver!$K$181)/(Driver!$L$181-Driver!$K$181)</f>
        <v>0.14563966356795038</v>
      </c>
      <c r="AM964" s="72">
        <f>(AY964-Driver!$K$182)/(Driver!$L$182-Driver!$K$182)</f>
        <v>0.21647194032113518</v>
      </c>
      <c r="AN964" s="72">
        <f>(AZ964-Driver!$K$183)/(Driver!$L$183-Driver!$K$183)</f>
        <v>0.18472222222222223</v>
      </c>
      <c r="AO964" s="72"/>
      <c r="AP964" s="72"/>
      <c r="AQ964" s="72">
        <f>(BC964-Driver!$K$188)/(Driver!$L$188-Driver!$K$188)</f>
        <v>6.1786793878707745E-2</v>
      </c>
      <c r="AR964" s="72">
        <f>MIN((BD964-Driver!$K$189)/(Driver!$L$189-Driver!$K$189),100%)</f>
        <v>1.5953738938841242E-3</v>
      </c>
      <c r="AS964" s="72">
        <f>(BE964-Driver!$K$190)/(Driver!$L$190-Driver!$K$190)</f>
        <v>0.94701773598295302</v>
      </c>
      <c r="AT964" s="72">
        <f>(BF964-Driver!$K$191)/(Driver!$L$191-Driver!$K$191)</f>
        <v>1.9995675246731646E-2</v>
      </c>
      <c r="AU964" s="72">
        <f>(BG964-Driver!$K$192)/(Driver!$L$192-Driver!$K$192)</f>
        <v>9.7176079734219267E-2</v>
      </c>
      <c r="AV964" s="70">
        <f t="shared" si="541"/>
        <v>1.7501017501017502</v>
      </c>
      <c r="AW964" s="70">
        <f t="shared" si="542"/>
        <v>19.411226254032421</v>
      </c>
      <c r="AX964" s="70">
        <f t="shared" si="543"/>
        <v>2.3107569721115535</v>
      </c>
      <c r="AY964" s="70">
        <f>IFERROR(Driver!$K$19/Data!BH964/Data!BI964*Data!BK964*Data!BL964,"")</f>
        <v>0.26502624394618168</v>
      </c>
      <c r="AZ964" s="70">
        <f t="shared" si="544"/>
        <v>16.835443037974684</v>
      </c>
      <c r="BA964" s="70"/>
      <c r="BB964" s="70"/>
      <c r="BC964" s="70">
        <f t="shared" si="545"/>
        <v>32.049239519708159</v>
      </c>
      <c r="BD964" s="70">
        <f t="shared" si="546"/>
        <v>1.8620106468712045</v>
      </c>
      <c r="BE964" s="70">
        <f t="shared" si="547"/>
        <v>0.94702718742251291</v>
      </c>
      <c r="BF964" s="70">
        <f t="shared" si="548"/>
        <v>2.2583710415492551</v>
      </c>
      <c r="BG964" s="70">
        <f t="shared" si="549"/>
        <v>0.36797062951082599</v>
      </c>
      <c r="BH964" s="67">
        <f>MAX((CE964-Driver!$F$200)/(Driver!$G$200-Driver!$F$200)*$BI$1,1)</f>
        <v>2.3107569721115535</v>
      </c>
      <c r="BI964" s="67">
        <f>MAX($BI$1*(BY964-Driver!$F$201)/(Driver!$G$201-Driver!$F$201),1)</f>
        <v>7.5316455696202533</v>
      </c>
      <c r="BJ964" s="67">
        <f>(CB964-Driver!$F$206)/(Driver!$G$206-Driver!$F$206)*$BI$1</f>
        <v>3.8095238095238093</v>
      </c>
      <c r="BK964" s="67">
        <f>(CD964-Driver!$F$203)/(Driver!$G$203-Driver!$F$203)*$BI$1</f>
        <v>3.71559633027523</v>
      </c>
      <c r="BL964" s="67">
        <f>MAX((CR964-Driver!$F$202)/(Driver!$G$202-Driver!$F$202)*$BI$1,1)</f>
        <v>6.2068965517241379</v>
      </c>
      <c r="BM964" s="67">
        <f>MAX((CH964-Driver!$F$204)/(Driver!$G$204-Driver!$F$204)*$BI$1,1)</f>
        <v>1.8376068376068377</v>
      </c>
      <c r="BN964" s="67">
        <f>(CI964-Driver!$F$205)/(Driver!$G$205-Driver!$F$205)*$BI$1</f>
        <v>2.2352941176470589</v>
      </c>
      <c r="BO964" s="67">
        <f>(CK964-Driver!$F$207)/(Driver!$G$207-Driver!$F$207)*$BI$1</f>
        <v>1.3960703205791105</v>
      </c>
      <c r="BP964" s="67">
        <f>(CM964-Driver!$F$208)/(Driver!$G$208-Driver!$F$208)*$BI$1</f>
        <v>1.5777777777777777</v>
      </c>
      <c r="BQ964" s="67">
        <f>(CL964-Driver!$F$209)/(Driver!$G$209-Driver!$F$209)*$BI$1</f>
        <v>1.5625</v>
      </c>
      <c r="BR964" s="28" t="s">
        <v>155</v>
      </c>
      <c r="BS964" s="8" t="s">
        <v>237</v>
      </c>
      <c r="BT964" s="9" t="s">
        <v>391</v>
      </c>
      <c r="BU964" s="10">
        <v>167.2</v>
      </c>
      <c r="BV964" s="9" t="s">
        <v>158</v>
      </c>
      <c r="BW964" s="10">
        <v>167.2</v>
      </c>
      <c r="BX964" s="10">
        <v>166.1</v>
      </c>
      <c r="BY964" s="10">
        <v>127</v>
      </c>
      <c r="BZ964" s="10">
        <v>146</v>
      </c>
      <c r="CA964" s="10">
        <v>124</v>
      </c>
      <c r="CB964" s="10">
        <v>88</v>
      </c>
      <c r="CC964" s="10">
        <v>110</v>
      </c>
      <c r="CD964" s="10">
        <v>17.5</v>
      </c>
      <c r="CE964" s="10">
        <v>1306</v>
      </c>
      <c r="CF964" s="10">
        <v>1.27</v>
      </c>
      <c r="CG964" s="10">
        <v>1656</v>
      </c>
      <c r="CH964" s="10">
        <v>144</v>
      </c>
      <c r="CI964" s="10">
        <v>71</v>
      </c>
      <c r="CJ964" s="10">
        <v>40</v>
      </c>
      <c r="CK964" s="10">
        <v>245</v>
      </c>
      <c r="CL964" s="10">
        <v>10</v>
      </c>
      <c r="CM964" s="10">
        <v>142</v>
      </c>
      <c r="CN964" s="10">
        <v>0.251</v>
      </c>
      <c r="CO964" s="10">
        <v>96</v>
      </c>
      <c r="CP964" s="10">
        <v>103</v>
      </c>
      <c r="CQ964" s="10">
        <v>148</v>
      </c>
      <c r="CR964" s="10">
        <v>7</v>
      </c>
      <c r="CS964" s="10">
        <v>10.3</v>
      </c>
      <c r="CT964" s="9" t="s">
        <v>188</v>
      </c>
      <c r="CU964" s="9" t="s">
        <v>185</v>
      </c>
      <c r="CV964" s="9" t="s">
        <v>198</v>
      </c>
      <c r="CW964" s="10"/>
      <c r="CX964" t="str">
        <f>INDEX('Data_Price '!AG$2:AG$1266,MATCH(Data!$DN964,'Data_Price '!$AT$2:$AT$1266,0))</f>
        <v>Black Crows Orb Freebird Skis 167cm 2022</v>
      </c>
      <c r="CY964" t="str">
        <f>INDEX('Data_Price '!AH$2:AH$1266,MATCH(Data!$DN964,'Data_Price '!$AT$2:$AT$1266,0))</f>
        <v>Powder7 Ski Shop</v>
      </c>
      <c r="CZ964">
        <f>INDEX('Data_Price '!AI$2:AI$1266,MATCH(Data!$DN964,'Data_Price '!$AT$2:$AT$1266,0))</f>
        <v>583.96</v>
      </c>
      <c r="DA964" t="str">
        <f>INDEX('Data_Price '!AJ$2:AJ$1266,MATCH(Data!$DN964,'Data_Price '!$AT$2:$AT$1266,0))</f>
        <v>https://tinyurl.com/y7vbyh74</v>
      </c>
      <c r="DB964" t="str">
        <f>INDEX('Data_Price '!AK$2:AK$1266,MATCH(Data!$DN964,'Data_Price '!$AT$2:$AT$1266,0))</f>
        <v>Black Crows Orb Freebird 21/22</v>
      </c>
      <c r="DC964" t="str">
        <f>INDEX('Data_Price '!AL$2:AL$1266,MATCH(Data!$DN964,'Data_Price '!$AT$2:$AT$1266,0))</f>
        <v>PRFO Sports</v>
      </c>
      <c r="DD964">
        <f>INDEX('Data_Price '!AM$2:AM$1266,MATCH(Data!$DN964,'Data_Price '!$AT$2:$AT$1266,0))</f>
        <v>615.51</v>
      </c>
      <c r="DE964" t="str">
        <f>INDEX('Data_Price '!AN$2:AN$1266,MATCH(Data!$DN964,'Data_Price '!$AT$2:$AT$1266,0))</f>
        <v>https://tinyurl.com/yd5m4hgy</v>
      </c>
      <c r="DF964" t="str">
        <f>INDEX('Data_Price '!AO$2:AO$1266,MATCH(Data!$DN964,'Data_Price '!$AT$2:$AT$1266,0))</f>
        <v>2022 Black Crows Navis Freebird Skis w/ Marker Kingpin13 Bindings - 167| Ski Essentials</v>
      </c>
      <c r="DG964" t="str">
        <f>INDEX('Data_Price '!AP$2:AP$1266,MATCH(Data!$DN964,'Data_Price '!$AT$2:$AT$1266,0))</f>
        <v>SkiEssentials.com</v>
      </c>
      <c r="DH964">
        <f>INDEX('Data_Price '!AQ$2:AQ$1266,MATCH(Data!$DN964,'Data_Price '!$AT$2:$AT$1266,0))</f>
        <v>1058.96</v>
      </c>
      <c r="DI964" t="str">
        <f>INDEX('Data_Price '!AR$2:AR$1266,MATCH(Data!$DN964,'Data_Price '!$AT$2:$AT$1266,0))</f>
        <v>https://tinyurl.com/y78d6x66</v>
      </c>
      <c r="DJ964" s="89" t="str">
        <f t="shared" si="550"/>
        <v>https://tinyurl.com/y7vbyh74</v>
      </c>
      <c r="DK964" s="89" t="str">
        <f t="shared" si="551"/>
        <v>https://tinyurl.com/yd5m4hgy</v>
      </c>
      <c r="DL964" s="89" t="str">
        <f t="shared" si="552"/>
        <v>https://tinyurl.com/y78d6x66</v>
      </c>
      <c r="DM964" s="219" t="str">
        <f t="shared" si="553"/>
        <v>Orb Freebird</v>
      </c>
      <c r="DN964" s="89" t="str">
        <f t="shared" si="554"/>
        <v xml:space="preserve"> Black CrowsOrb Freebird167.2 Unisex</v>
      </c>
      <c r="DO964" s="221" t="s">
        <v>392</v>
      </c>
    </row>
    <row r="965" spans="2:119" ht="15.6" customHeight="1">
      <c r="B965" s="219" t="b">
        <f t="array" ref="B965">IF(OR(ISERROR(K965:P965)),FALSE,TRUE)</f>
        <v>1</v>
      </c>
      <c r="C965" s="43" t="b">
        <f>OR(BR965=Driver!$G$50,Data!BR591=Driver!$H$50)</f>
        <v>1</v>
      </c>
      <c r="D965" s="43" t="b">
        <f>OR(BV965=Driver!$G$51,BV965=Driver!$H$51)</f>
        <v>1</v>
      </c>
      <c r="E965" s="43" t="b">
        <f>AND(BX965&gt;Driver!$F$54,BX965&lt;Driver!$G$54)</f>
        <v>0</v>
      </c>
      <c r="F965" s="43" t="b">
        <f>CL965&gt;Driver!$F$56</f>
        <v>1</v>
      </c>
      <c r="G965" s="43" t="b">
        <f>AND(CB965&gt;Driver!$F$55,CB965&lt;Driver!$G$55)</f>
        <v>0</v>
      </c>
      <c r="H965" s="43" t="b">
        <f t="shared" si="518"/>
        <v>0</v>
      </c>
      <c r="I965" s="43">
        <f t="shared" si="519"/>
        <v>0</v>
      </c>
      <c r="J965" s="43" t="b">
        <f t="array" ref="J965">NOT(OR(($H$9:$H$1273=TRUE)*($I$9:$I$1273&gt;0)*($BT$9:$BT$1273=BT965)*($K$9:$K$1273&gt;K965)))</f>
        <v>1</v>
      </c>
      <c r="K965" s="72">
        <f t="shared" si="520"/>
        <v>0.78108499868630443</v>
      </c>
      <c r="L965" s="72">
        <f t="shared" si="521"/>
        <v>0.86986406505458103</v>
      </c>
      <c r="M965" s="72">
        <f t="shared" si="522"/>
        <v>0.69230593231802784</v>
      </c>
      <c r="N965" s="72">
        <f t="shared" si="523"/>
        <v>0.54878825065420456</v>
      </c>
      <c r="O965" s="72">
        <f t="shared" si="524"/>
        <v>0.59999601440610895</v>
      </c>
      <c r="P965" s="72">
        <f t="shared" si="525"/>
        <v>0.92813353189377013</v>
      </c>
      <c r="Q965" s="72"/>
      <c r="R965" s="72"/>
      <c r="S965" s="72">
        <f t="shared" si="526"/>
        <v>0.422394969568884</v>
      </c>
      <c r="T965" s="72">
        <f t="shared" si="527"/>
        <v>0.93000565462626383</v>
      </c>
      <c r="U965" s="72">
        <f t="shared" si="528"/>
        <v>0.74214953196969202</v>
      </c>
      <c r="V965" s="72">
        <f t="shared" si="529"/>
        <v>0.50661596076288151</v>
      </c>
      <c r="W965" s="72">
        <f t="shared" si="530"/>
        <v>0.77937662337662339</v>
      </c>
      <c r="X965" s="72">
        <f t="shared" si="531"/>
        <v>0.13013593494541897</v>
      </c>
      <c r="Y965" s="72">
        <f t="shared" si="532"/>
        <v>0.30769406768197211</v>
      </c>
      <c r="Z965" s="72">
        <f t="shared" si="533"/>
        <v>0.45121174934579544</v>
      </c>
      <c r="AA965" s="72">
        <f t="shared" si="534"/>
        <v>0.40000398559389105</v>
      </c>
      <c r="AB965" s="72">
        <f t="shared" si="535"/>
        <v>7.1866468106229847E-2</v>
      </c>
      <c r="AC965" s="72"/>
      <c r="AD965" s="72"/>
      <c r="AE965" s="72">
        <f t="shared" si="536"/>
        <v>0.577605030431116</v>
      </c>
      <c r="AF965" s="72">
        <f t="shared" si="537"/>
        <v>6.9994345373736222E-2</v>
      </c>
      <c r="AG965" s="72">
        <f t="shared" si="538"/>
        <v>0.25785046803030803</v>
      </c>
      <c r="AH965" s="72">
        <f t="shared" si="539"/>
        <v>0.49338403923711854</v>
      </c>
      <c r="AI965" s="72">
        <f t="shared" si="540"/>
        <v>0.22062337662337664</v>
      </c>
      <c r="AJ965" s="72">
        <f>(AV965-Driver!$K$179)/(Driver!$L$179-Driver!$K$179)</f>
        <v>0.12408347433728145</v>
      </c>
      <c r="AK965" s="72">
        <f>(AW965-Driver!$K$180)/(Driver!$L$180-Driver!$K$180)</f>
        <v>0.21323581962041216</v>
      </c>
      <c r="AL965" s="72">
        <f>(AX965-Driver!$K$181)/(Driver!$L$181-Driver!$K$181)</f>
        <v>0.55289951305887564</v>
      </c>
      <c r="AM965" s="72">
        <f>(AY965-Driver!$K$182)/(Driver!$L$182-Driver!$K$182)</f>
        <v>4.7381035503155311E-2</v>
      </c>
      <c r="AN965" s="72">
        <f>(AZ965-Driver!$K$183)/(Driver!$L$183-Driver!$K$183)</f>
        <v>0.18235294117647058</v>
      </c>
      <c r="AO965" s="72"/>
      <c r="AP965" s="72"/>
      <c r="AQ965" s="72">
        <f>(BC965-Driver!$K$188)/(Driver!$L$188-Driver!$K$188)</f>
        <v>4.2394969568883986E-2</v>
      </c>
      <c r="AR965" s="72">
        <f>MIN((BD965-Driver!$K$189)/(Driver!$L$189-Driver!$K$189),100%)</f>
        <v>0.48000565462626382</v>
      </c>
      <c r="AS965" s="72">
        <f>(BE965-Driver!$K$190)/(Driver!$L$190-Driver!$K$190)</f>
        <v>0.25214953196969198</v>
      </c>
      <c r="AT965" s="72">
        <f>(BF965-Driver!$K$191)/(Driver!$L$191-Driver!$K$191)</f>
        <v>1.6615960762881441E-2</v>
      </c>
      <c r="AU965" s="72">
        <f>(BG965-Driver!$K$192)/(Driver!$L$192-Driver!$K$192)</f>
        <v>2.9376623376623372E-2</v>
      </c>
      <c r="AV965" s="70">
        <f t="shared" si="541"/>
        <v>2.6115859449192786</v>
      </c>
      <c r="AW965" s="70">
        <f t="shared" si="542"/>
        <v>22.653612705041112</v>
      </c>
      <c r="AX965" s="70">
        <f t="shared" si="543"/>
        <v>5.9760956175298805</v>
      </c>
      <c r="AY965" s="70">
        <f>IFERROR(Driver!$K$19/Data!BH965/Data!BI965*Data!BK965*Data!BL965,"")</f>
        <v>5.8008524592394549E-2</v>
      </c>
      <c r="AZ965" s="70">
        <f t="shared" si="544"/>
        <v>16.619508562918838</v>
      </c>
      <c r="BA965" s="70"/>
      <c r="BB965" s="70"/>
      <c r="BC965" s="70">
        <f t="shared" si="545"/>
        <v>21.990565440427069</v>
      </c>
      <c r="BD965" s="70">
        <f t="shared" si="546"/>
        <v>44.200472798829978</v>
      </c>
      <c r="BE965" s="70">
        <f t="shared" si="547"/>
        <v>0.25228294007577301</v>
      </c>
      <c r="BF965" s="70">
        <f t="shared" si="548"/>
        <v>1.8766560344364309</v>
      </c>
      <c r="BG965" s="70">
        <f t="shared" si="549"/>
        <v>0.11123863636363636</v>
      </c>
      <c r="BH965" s="67">
        <f>MAX((CE965-Driver!$F$200)/(Driver!$G$200-Driver!$F$200)*$BI$1,1)</f>
        <v>5.9760956175298805</v>
      </c>
      <c r="BI965" s="67">
        <f>MAX($BI$1*(BY965-Driver!$F$201)/(Driver!$G$201-Driver!$F$201),1)</f>
        <v>7.8481012658227849</v>
      </c>
      <c r="BJ965" s="67">
        <f>(CB965-Driver!$F$206)/(Driver!$G$206-Driver!$F$206)*$BI$1</f>
        <v>2.2222222222222223</v>
      </c>
      <c r="BK965" s="67">
        <f>(CD965-Driver!$F$203)/(Driver!$G$203-Driver!$F$203)*$BI$1</f>
        <v>1.9724770642201834</v>
      </c>
      <c r="BL965" s="67">
        <f>MAX((CR965-Driver!$F$202)/(Driver!$G$202-Driver!$F$202)*$BI$1,1)</f>
        <v>6.8965517241379315</v>
      </c>
      <c r="BM965" s="67">
        <f>MAX((CH965-Driver!$F$204)/(Driver!$G$204-Driver!$F$204)*$BI$1,1)</f>
        <v>4.700854700854701</v>
      </c>
      <c r="BN965" s="67">
        <f>(CI965-Driver!$F$205)/(Driver!$G$205-Driver!$F$205)*$BI$1</f>
        <v>2.1176470588235294</v>
      </c>
      <c r="BO965" s="67">
        <f>(CK965-Driver!$F$207)/(Driver!$G$207-Driver!$F$207)*$BI$1</f>
        <v>1.3753877973112718</v>
      </c>
      <c r="BP965" s="67">
        <f>(CM965-Driver!$F$208)/(Driver!$G$208-Driver!$F$208)*$BI$1</f>
        <v>1.2111111111111112</v>
      </c>
      <c r="BQ965" s="67">
        <f>(CL965-Driver!$F$209)/(Driver!$G$209-Driver!$F$209)*$BI$1</f>
        <v>3.125</v>
      </c>
      <c r="BR965" s="28" t="s">
        <v>155</v>
      </c>
      <c r="BS965" s="8" t="s">
        <v>245</v>
      </c>
      <c r="BT965" s="9" t="s">
        <v>763</v>
      </c>
      <c r="BU965" s="10">
        <v>166</v>
      </c>
      <c r="BV965" s="9" t="s">
        <v>158</v>
      </c>
      <c r="BW965" s="10">
        <v>166</v>
      </c>
      <c r="BX965" s="10">
        <v>167.4</v>
      </c>
      <c r="BY965" s="10">
        <v>132</v>
      </c>
      <c r="BZ965" s="10">
        <v>151</v>
      </c>
      <c r="CA965" s="10">
        <v>123</v>
      </c>
      <c r="CB965" s="10">
        <v>78</v>
      </c>
      <c r="CC965" s="10">
        <v>109</v>
      </c>
      <c r="CD965" s="10">
        <v>13.7</v>
      </c>
      <c r="CE965" s="10">
        <v>1950</v>
      </c>
      <c r="CF965" s="10">
        <v>0.8</v>
      </c>
      <c r="CG965" s="10">
        <v>1556</v>
      </c>
      <c r="CH965" s="10">
        <v>211</v>
      </c>
      <c r="CI965" s="10">
        <v>69</v>
      </c>
      <c r="CJ965" s="10">
        <v>50</v>
      </c>
      <c r="CK965" s="10">
        <v>243</v>
      </c>
      <c r="CL965" s="10">
        <v>20</v>
      </c>
      <c r="CM965" s="10">
        <v>109</v>
      </c>
      <c r="CN965" s="10">
        <v>0.40799999999999997</v>
      </c>
      <c r="CO965" s="10">
        <v>68</v>
      </c>
      <c r="CP965" s="10">
        <v>96</v>
      </c>
      <c r="CQ965" s="10">
        <v>175</v>
      </c>
      <c r="CR965" s="10">
        <v>9</v>
      </c>
      <c r="CS965" s="10">
        <v>7</v>
      </c>
      <c r="CT965" s="9" t="s">
        <v>160</v>
      </c>
      <c r="CU965" s="10"/>
      <c r="CV965" s="10"/>
      <c r="CW965" s="10"/>
      <c r="CX965" t="str">
        <f>INDEX('Data_Price '!AG$2:AG$1266,MATCH(Data!$DN965,'Data_Price '!$AT$2:$AT$1266,0))</f>
        <v>Fischer XTR RC One 82 Gt Rentaltrack Skis 2021</v>
      </c>
      <c r="CY965" t="str">
        <f>INDEX('Data_Price '!AH$2:AH$1266,MATCH(Data!$DN965,'Data_Price '!$AT$2:$AT$1266,0))</f>
        <v>Level Nine Sports</v>
      </c>
      <c r="CZ965">
        <f>INDEX('Data_Price '!AI$2:AI$1266,MATCH(Data!$DN965,'Data_Price '!$AT$2:$AT$1266,0))</f>
        <v>469.94</v>
      </c>
      <c r="DA965" t="str">
        <f>INDEX('Data_Price '!AJ$2:AJ$1266,MATCH(Data!$DN965,'Data_Price '!$AT$2:$AT$1266,0))</f>
        <v>https://tinyurl.com/y99n8jxa</v>
      </c>
      <c r="DB965" t="str">
        <f>INDEX('Data_Price '!AK$2:AK$1266,MATCH(Data!$DN965,'Data_Price '!$AT$2:$AT$1266,0))</f>
        <v>Fischer RC One 82 GT + RSW 11 21/22</v>
      </c>
      <c r="DC965" t="str">
        <f>INDEX('Data_Price '!AL$2:AL$1266,MATCH(Data!$DN965,'Data_Price '!$AT$2:$AT$1266,0))</f>
        <v>GritrOutdoors</v>
      </c>
      <c r="DD965">
        <f>INDEX('Data_Price '!AM$2:AM$1266,MATCH(Data!$DN965,'Data_Price '!$AT$2:$AT$1266,0))</f>
        <v>639.99</v>
      </c>
      <c r="DE965" t="str">
        <f>INDEX('Data_Price '!AN$2:AN$1266,MATCH(Data!$DN965,'Data_Price '!$AT$2:$AT$1266,0))</f>
        <v>https://tinyurl.com/yatsg2be</v>
      </c>
      <c r="DF965" t="str">
        <f>INDEX('Data_Price '!AO$2:AO$1266,MATCH(Data!$DN965,'Data_Price '!$AT$2:$AT$1266,0))</f>
        <v>Fischer RC One 82 GT + RSW 11 21/22</v>
      </c>
      <c r="DG965" t="str">
        <f>INDEX('Data_Price '!AP$2:AP$1266,MATCH(Data!$DN965,'Data_Price '!$AT$2:$AT$1266,0))</f>
        <v>Next Adventure</v>
      </c>
      <c r="DH965">
        <f>INDEX('Data_Price '!AQ$2:AQ$1266,MATCH(Data!$DN965,'Data_Price '!$AT$2:$AT$1266,0))</f>
        <v>664.99</v>
      </c>
      <c r="DI965" t="str">
        <f>INDEX('Data_Price '!AR$2:AR$1266,MATCH(Data!$DN965,'Data_Price '!$AT$2:$AT$1266,0))</f>
        <v>https://tinyurl.com/y7sz2wnw</v>
      </c>
      <c r="DJ965" s="89" t="str">
        <f t="shared" si="550"/>
        <v>https://tinyurl.com/y99n8jxa</v>
      </c>
      <c r="DK965" s="89" t="str">
        <f t="shared" si="551"/>
        <v>https://tinyurl.com/yatsg2be</v>
      </c>
      <c r="DL965" s="89" t="str">
        <f t="shared" si="552"/>
        <v>https://tinyurl.com/y7sz2wnw</v>
      </c>
      <c r="DM965" s="219" t="str">
        <f t="shared" si="553"/>
        <v>RC One 78 GT</v>
      </c>
      <c r="DN965" s="89" t="str">
        <f t="shared" si="554"/>
        <v xml:space="preserve"> FischerRC One 78 GT166 Unisex</v>
      </c>
      <c r="DO965" s="221"/>
    </row>
    <row r="966" spans="2:119" ht="15.6" customHeight="1">
      <c r="B966" s="219" t="b">
        <f t="array" ref="B966">IF(OR(ISERROR(K966:P966)),FALSE,TRUE)</f>
        <v>1</v>
      </c>
      <c r="C966" s="43" t="b">
        <f>OR(BR966=Driver!$G$50,Data!BR854=Driver!$H$50)</f>
        <v>1</v>
      </c>
      <c r="D966" s="43" t="b">
        <f>OR(BV966=Driver!$G$51,BV966=Driver!$H$51)</f>
        <v>0</v>
      </c>
      <c r="E966" s="43" t="b">
        <f>AND(BX966&gt;Driver!$F$54,BX966&lt;Driver!$G$54)</f>
        <v>1</v>
      </c>
      <c r="F966" s="43" t="b">
        <f>CL966&gt;Driver!$F$56</f>
        <v>1</v>
      </c>
      <c r="G966" s="43" t="b">
        <f>AND(CB966&gt;Driver!$F$55,CB966&lt;Driver!$G$55)</f>
        <v>0</v>
      </c>
      <c r="H966" s="43" t="b">
        <f t="shared" si="518"/>
        <v>0</v>
      </c>
      <c r="I966" s="43">
        <f t="shared" si="519"/>
        <v>0</v>
      </c>
      <c r="J966" s="43" t="b">
        <f t="array" ref="J966">NOT(OR(($H$9:$H$1273=TRUE)*($I$9:$I$1273&gt;0)*($BT$9:$BT$1273=BT966)*($K$9:$K$1273&gt;K966)))</f>
        <v>1</v>
      </c>
      <c r="K966" s="72">
        <f t="shared" si="520"/>
        <v>0.80974696947504665</v>
      </c>
      <c r="L966" s="72">
        <f t="shared" si="521"/>
        <v>0.81120642264059339</v>
      </c>
      <c r="M966" s="72">
        <f t="shared" si="522"/>
        <v>0.80828751630949991</v>
      </c>
      <c r="N966" s="72">
        <f t="shared" si="523"/>
        <v>0.87067530560898865</v>
      </c>
      <c r="O966" s="72">
        <f t="shared" si="524"/>
        <v>0.65938704475907439</v>
      </c>
      <c r="P966" s="72">
        <f t="shared" si="525"/>
        <v>0.8948001985604368</v>
      </c>
      <c r="Q966" s="72"/>
      <c r="R966" s="72"/>
      <c r="S966" s="72">
        <f t="shared" si="526"/>
        <v>0.41022980144949439</v>
      </c>
      <c r="T966" s="72">
        <f t="shared" si="527"/>
        <v>0.45195900677795364</v>
      </c>
      <c r="U966" s="72">
        <f t="shared" si="528"/>
        <v>0.8367112743174413</v>
      </c>
      <c r="V966" s="72">
        <f t="shared" si="529"/>
        <v>0.53743053441937305</v>
      </c>
      <c r="W966" s="72">
        <f t="shared" si="530"/>
        <v>0.91799247425402697</v>
      </c>
      <c r="X966" s="72">
        <f t="shared" si="531"/>
        <v>0.18879357735940661</v>
      </c>
      <c r="Y966" s="72">
        <f t="shared" si="532"/>
        <v>0.19171248369050009</v>
      </c>
      <c r="Z966" s="72">
        <f t="shared" si="533"/>
        <v>0.12932469439101141</v>
      </c>
      <c r="AA966" s="72">
        <f t="shared" si="534"/>
        <v>0.34061295524092566</v>
      </c>
      <c r="AB966" s="72">
        <f t="shared" si="535"/>
        <v>0.10519980143956317</v>
      </c>
      <c r="AC966" s="72"/>
      <c r="AD966" s="72"/>
      <c r="AE966" s="72">
        <f t="shared" si="536"/>
        <v>0.58977019855050561</v>
      </c>
      <c r="AF966" s="72">
        <f t="shared" si="537"/>
        <v>0.54804099322204636</v>
      </c>
      <c r="AG966" s="72">
        <f t="shared" si="538"/>
        <v>0.1632887256825587</v>
      </c>
      <c r="AH966" s="72">
        <f t="shared" si="539"/>
        <v>0.46256946558062695</v>
      </c>
      <c r="AI966" s="72">
        <f t="shared" si="540"/>
        <v>8.2007525745973031E-2</v>
      </c>
      <c r="AJ966" s="72">
        <f>(AV966-Driver!$K$179)/(Driver!$L$179-Driver!$K$179)</f>
        <v>6.5425831923293834E-2</v>
      </c>
      <c r="AK966" s="72">
        <f>(AW966-Driver!$K$180)/(Driver!$L$180-Driver!$K$180)</f>
        <v>0.15308484122612584</v>
      </c>
      <c r="AL966" s="72">
        <f>(AX966-Driver!$K$181)/(Driver!$L$181-Driver!$K$181)</f>
        <v>0.23101245810409157</v>
      </c>
      <c r="AM966" s="72">
        <f>(AY966-Driver!$K$182)/(Driver!$L$182-Driver!$K$182)</f>
        <v>0.1067720658561207</v>
      </c>
      <c r="AN966" s="72">
        <f>(AZ966-Driver!$K$183)/(Driver!$L$183-Driver!$K$183)</f>
        <v>0.14901960784313725</v>
      </c>
      <c r="AO966" s="72"/>
      <c r="AP966" s="72"/>
      <c r="AQ966" s="72">
        <f>(BC966-Driver!$K$188)/(Driver!$L$188-Driver!$K$188)</f>
        <v>3.0229801449494345E-2</v>
      </c>
      <c r="AR966" s="72">
        <f>MIN((BD966-Driver!$K$189)/(Driver!$L$189-Driver!$K$189),100%)</f>
        <v>1.9590067779537415E-3</v>
      </c>
      <c r="AS966" s="72">
        <f>(BE966-Driver!$K$190)/(Driver!$L$190-Driver!$K$190)</f>
        <v>0.34671127431744131</v>
      </c>
      <c r="AT966" s="72">
        <f>(BF966-Driver!$K$191)/(Driver!$L$191-Driver!$K$191)</f>
        <v>4.743053441937306E-2</v>
      </c>
      <c r="AU966" s="72">
        <f>(BG966-Driver!$K$192)/(Driver!$L$192-Driver!$K$192)</f>
        <v>0.16799247425402697</v>
      </c>
      <c r="AV966" s="70">
        <f t="shared" si="541"/>
        <v>1.3770180436847101</v>
      </c>
      <c r="AW966" s="70">
        <f t="shared" si="542"/>
        <v>16.79136686862892</v>
      </c>
      <c r="AX966" s="70">
        <f t="shared" si="543"/>
        <v>3.0791121229368241</v>
      </c>
      <c r="AY966" s="70">
        <f>IFERROR(Driver!$K$19/Data!BH966/Data!BI966*Data!BK966*Data!BL966,"")</f>
        <v>0.13072086631756039</v>
      </c>
      <c r="AZ966" s="70">
        <f t="shared" si="544"/>
        <v>13.581533879374534</v>
      </c>
      <c r="BA966" s="70"/>
      <c r="BB966" s="70"/>
      <c r="BC966" s="70">
        <f t="shared" si="545"/>
        <v>15.680408166022941</v>
      </c>
      <c r="BD966" s="70">
        <f t="shared" si="546"/>
        <v>1.8941915127920215</v>
      </c>
      <c r="BE966" s="70">
        <f t="shared" si="547"/>
        <v>0.34682781367302529</v>
      </c>
      <c r="BF966" s="70">
        <f t="shared" si="548"/>
        <v>5.3569456443050463</v>
      </c>
      <c r="BG966" s="70">
        <f t="shared" si="549"/>
        <v>0.6361266751386323</v>
      </c>
      <c r="BH966" s="67">
        <f>MAX((CE966-Driver!$F$200)/(Driver!$G$200-Driver!$F$200)*$BI$1,1)</f>
        <v>3.0791121229368241</v>
      </c>
      <c r="BI966" s="67">
        <f>MAX($BI$1*(BY966-Driver!$F$201)/(Driver!$G$201-Driver!$F$201),1)</f>
        <v>7.2151898734177218</v>
      </c>
      <c r="BJ966" s="67">
        <f>(CB966-Driver!$F$206)/(Driver!$G$206-Driver!$F$206)*$BI$1</f>
        <v>4.6031746031746028</v>
      </c>
      <c r="BK966" s="67">
        <f>(CD966-Driver!$F$203)/(Driver!$G$203-Driver!$F$203)*$BI$1</f>
        <v>2.4770642201834865</v>
      </c>
      <c r="BL966" s="67">
        <f>MAX((CR966-Driver!$F$202)/(Driver!$G$202-Driver!$F$202)*$BI$1,1)</f>
        <v>5.8620689655172411</v>
      </c>
      <c r="BM966" s="67">
        <f>MAX((CH966-Driver!$F$204)/(Driver!$G$204-Driver!$F$204)*$BI$1,1)</f>
        <v>1.1965811965811965</v>
      </c>
      <c r="BN966" s="67">
        <f>(CI966-Driver!$F$205)/(Driver!$G$205-Driver!$F$205)*$BI$1</f>
        <v>1.8823529411764706</v>
      </c>
      <c r="BO966" s="67">
        <f>(CK966-Driver!$F$207)/(Driver!$G$207-Driver!$F$207)*$BI$1</f>
        <v>2.0268872802481903</v>
      </c>
      <c r="BP966" s="67">
        <f>(CM966-Driver!$F$208)/(Driver!$G$208-Driver!$F$208)*$BI$1</f>
        <v>1.4222222222222223</v>
      </c>
      <c r="BQ966" s="67">
        <f>(CL966-Driver!$F$209)/(Driver!$G$209-Driver!$F$209)*$BI$1</f>
        <v>2.34375</v>
      </c>
      <c r="BR966" s="28" t="s">
        <v>155</v>
      </c>
      <c r="BS966" s="8" t="s">
        <v>208</v>
      </c>
      <c r="BT966" s="9" t="s">
        <v>698</v>
      </c>
      <c r="BU966" s="10">
        <v>165</v>
      </c>
      <c r="BV966" s="9" t="s">
        <v>163</v>
      </c>
      <c r="BW966" s="10">
        <v>165</v>
      </c>
      <c r="BX966" s="10">
        <v>165</v>
      </c>
      <c r="BY966" s="10">
        <v>122</v>
      </c>
      <c r="BZ966" s="10">
        <v>138</v>
      </c>
      <c r="CA966" s="10">
        <v>130</v>
      </c>
      <c r="CB966" s="10">
        <v>93</v>
      </c>
      <c r="CC966" s="10">
        <v>116</v>
      </c>
      <c r="CD966" s="10">
        <v>14.8</v>
      </c>
      <c r="CE966" s="10">
        <v>1441</v>
      </c>
      <c r="CF966" s="10">
        <v>1.2</v>
      </c>
      <c r="CG966" s="10">
        <v>1736</v>
      </c>
      <c r="CH966" s="10">
        <v>129</v>
      </c>
      <c r="CI966" s="10">
        <v>65</v>
      </c>
      <c r="CJ966" s="10">
        <v>47</v>
      </c>
      <c r="CK966" s="10">
        <v>306</v>
      </c>
      <c r="CL966" s="10">
        <v>15</v>
      </c>
      <c r="CM966" s="10">
        <v>128</v>
      </c>
      <c r="CN966" s="10">
        <v>0.318</v>
      </c>
      <c r="CO966" s="10">
        <v>146</v>
      </c>
      <c r="CP966" s="10">
        <v>125</v>
      </c>
      <c r="CQ966" s="10">
        <v>160</v>
      </c>
      <c r="CR966" s="10">
        <v>6</v>
      </c>
      <c r="CS966" s="10">
        <v>9.1</v>
      </c>
      <c r="CT966" s="9" t="s">
        <v>188</v>
      </c>
      <c r="CU966" s="9" t="s">
        <v>185</v>
      </c>
      <c r="CV966" s="10"/>
      <c r="CW966" s="10"/>
      <c r="CX966" t="str">
        <f>INDEX('Data_Price '!AG$2:AG$1266,MATCH(Data!$DN966,'Data_Price '!$AT$2:$AT$1266,0))</f>
        <v>'22 Line Pandora 94 Skis 165cm</v>
      </c>
      <c r="CY966" t="str">
        <f>INDEX('Data_Price '!AH$2:AH$1266,MATCH(Data!$DN966,'Data_Price '!$AT$2:$AT$1266,0))</f>
        <v>Al's Ski Equipment Barn</v>
      </c>
      <c r="CZ966">
        <f>INDEX('Data_Price '!AI$2:AI$1266,MATCH(Data!$DN966,'Data_Price '!$AT$2:$AT$1266,0))</f>
        <v>469.95</v>
      </c>
      <c r="DA966" t="str">
        <f>INDEX('Data_Price '!AJ$2:AJ$1266,MATCH(Data!$DN966,'Data_Price '!$AT$2:$AT$1266,0))</f>
        <v>https://tinyurl.com/ycgu5s5e</v>
      </c>
      <c r="DB966" t="str">
        <f>INDEX('Data_Price '!AK$2:AK$1266,MATCH(Data!$DN966,'Data_Price '!$AT$2:$AT$1266,0))</f>
        <v>Line Pandora 94 Skis - Women's 2022</v>
      </c>
      <c r="DC966" t="str">
        <f>INDEX('Data_Price '!AL$2:AL$1266,MATCH(Data!$DN966,'Data_Price '!$AT$2:$AT$1266,0))</f>
        <v>evo.com</v>
      </c>
      <c r="DD966">
        <f>INDEX('Data_Price '!AM$2:AM$1266,MATCH(Data!$DN966,'Data_Price '!$AT$2:$AT$1266,0))</f>
        <v>499.95</v>
      </c>
      <c r="DE966" t="str">
        <f>INDEX('Data_Price '!AN$2:AN$1266,MATCH(Data!$DN966,'Data_Price '!$AT$2:$AT$1266,0))</f>
        <v>https://tinyurl.com/y9vy2d8e</v>
      </c>
      <c r="DF966" t="str">
        <f>INDEX('Data_Price '!AO$2:AO$1266,MATCH(Data!$DN966,'Data_Price '!$AT$2:$AT$1266,0))</f>
        <v>Line Pandora 94 Skis - Women's 2022</v>
      </c>
      <c r="DG966" t="str">
        <f>INDEX('Data_Price '!AP$2:AP$1266,MATCH(Data!$DN966,'Data_Price '!$AT$2:$AT$1266,0))</f>
        <v>Powder7 Ski Shop</v>
      </c>
      <c r="DH966">
        <f>INDEX('Data_Price '!AQ$2:AQ$1266,MATCH(Data!$DN966,'Data_Price '!$AT$2:$AT$1266,0))</f>
        <v>499.95</v>
      </c>
      <c r="DI966" t="str">
        <f>INDEX('Data_Price '!AR$2:AR$1266,MATCH(Data!$DN966,'Data_Price '!$AT$2:$AT$1266,0))</f>
        <v>https://tinyurl.com/y9nae2tn</v>
      </c>
      <c r="DJ966" s="89" t="str">
        <f t="shared" si="550"/>
        <v>https://tinyurl.com/ycgu5s5e</v>
      </c>
      <c r="DK966" s="89" t="str">
        <f t="shared" si="551"/>
        <v>https://tinyurl.com/y9vy2d8e</v>
      </c>
      <c r="DL966" s="89" t="str">
        <f t="shared" si="552"/>
        <v>https://tinyurl.com/y9nae2tn</v>
      </c>
      <c r="DM966" s="219" t="str">
        <f t="shared" si="553"/>
        <v>Pandora 94</v>
      </c>
      <c r="DN966" s="89" t="str">
        <f t="shared" si="554"/>
        <v xml:space="preserve"> LinePandora 94165 Women's</v>
      </c>
      <c r="DO966" s="221" t="s">
        <v>699</v>
      </c>
    </row>
    <row r="967" spans="2:119" ht="15.6" customHeight="1">
      <c r="B967" s="219" t="b">
        <f t="array" ref="B967">IF(OR(ISERROR(K967:P967)),FALSE,TRUE)</f>
        <v>1</v>
      </c>
      <c r="C967" s="43" t="b">
        <f>OR(BR967=Driver!$G$50,Data!BR59=Driver!$H$50)</f>
        <v>1</v>
      </c>
      <c r="D967" s="43" t="b">
        <f>OR(BV967=Driver!$G$51,BV967=Driver!$H$51)</f>
        <v>1</v>
      </c>
      <c r="E967" s="43" t="b">
        <f>AND(BX967&gt;Driver!$F$54,BX967&lt;Driver!$G$54)</f>
        <v>1</v>
      </c>
      <c r="F967" s="43" t="b">
        <f>CL967&gt;Driver!$F$56</f>
        <v>1</v>
      </c>
      <c r="G967" s="43" t="b">
        <f>AND(CB967&gt;Driver!$F$55,CB967&lt;Driver!$G$55)</f>
        <v>0</v>
      </c>
      <c r="H967" s="43" t="b">
        <f t="shared" si="518"/>
        <v>0</v>
      </c>
      <c r="I967" s="43">
        <f t="shared" si="519"/>
        <v>0</v>
      </c>
      <c r="J967" s="43" t="b">
        <f t="array" ref="J967">NOT(OR(($H$9:$H$1273=TRUE)*($I$9:$I$1273&gt;0)*($BT$9:$BT$1273=BT967)*($K$9:$K$1273&gt;K967)))</f>
        <v>1</v>
      </c>
      <c r="K967" s="72">
        <f t="shared" si="520"/>
        <v>0.78810650511097613</v>
      </c>
      <c r="L967" s="72">
        <f t="shared" si="521"/>
        <v>0.86494907029187051</v>
      </c>
      <c r="M967" s="72">
        <f t="shared" si="522"/>
        <v>0.71126393993008186</v>
      </c>
      <c r="N967" s="72">
        <f t="shared" si="523"/>
        <v>0.64870603981502173</v>
      </c>
      <c r="O967" s="72">
        <f t="shared" si="524"/>
        <v>0.62990976442132307</v>
      </c>
      <c r="P967" s="72">
        <f t="shared" si="525"/>
        <v>0.85517601555390088</v>
      </c>
      <c r="Q967" s="72"/>
      <c r="R967" s="72"/>
      <c r="S967" s="72">
        <f t="shared" si="526"/>
        <v>0.40260268160887769</v>
      </c>
      <c r="T967" s="72">
        <f t="shared" si="527"/>
        <v>0.49737793500229632</v>
      </c>
      <c r="U967" s="72">
        <f t="shared" si="528"/>
        <v>0.53809024348149948</v>
      </c>
      <c r="V967" s="72">
        <f t="shared" si="529"/>
        <v>0.56053532049263211</v>
      </c>
      <c r="W967" s="72">
        <f t="shared" si="530"/>
        <v>0.89543985755737265</v>
      </c>
      <c r="X967" s="72">
        <f t="shared" si="531"/>
        <v>0.13505092970812949</v>
      </c>
      <c r="Y967" s="72">
        <f t="shared" si="532"/>
        <v>0.28873606006991814</v>
      </c>
      <c r="Z967" s="72">
        <f t="shared" si="533"/>
        <v>0.35129396018497833</v>
      </c>
      <c r="AA967" s="72">
        <f t="shared" si="534"/>
        <v>0.37009023557867693</v>
      </c>
      <c r="AB967" s="72">
        <f t="shared" si="535"/>
        <v>0.14482398444609912</v>
      </c>
      <c r="AC967" s="72"/>
      <c r="AD967" s="72"/>
      <c r="AE967" s="72">
        <f t="shared" si="536"/>
        <v>0.59739731839112231</v>
      </c>
      <c r="AF967" s="72">
        <f t="shared" si="537"/>
        <v>0.50262206499770368</v>
      </c>
      <c r="AG967" s="72">
        <f t="shared" si="538"/>
        <v>0.46190975651850052</v>
      </c>
      <c r="AH967" s="72">
        <f t="shared" si="539"/>
        <v>0.43946467950736789</v>
      </c>
      <c r="AI967" s="72">
        <f t="shared" si="540"/>
        <v>0.10456014244262732</v>
      </c>
      <c r="AJ967" s="72">
        <f>(AV967-Driver!$K$179)/(Driver!$L$179-Driver!$K$179)</f>
        <v>0.11916847957457094</v>
      </c>
      <c r="AK967" s="72">
        <f>(AW967-Driver!$K$180)/(Driver!$L$180-Driver!$K$180)</f>
        <v>0.13615786789809087</v>
      </c>
      <c r="AL967" s="72">
        <f>(AX967-Driver!$K$181)/(Driver!$L$181-Driver!$K$181)</f>
        <v>0.45298172389805852</v>
      </c>
      <c r="AM967" s="72">
        <f>(AY967-Driver!$K$182)/(Driver!$L$182-Driver!$K$182)</f>
        <v>7.7294785518369463E-2</v>
      </c>
      <c r="AN967" s="72">
        <f>(AZ967-Driver!$K$183)/(Driver!$L$183-Driver!$K$183)</f>
        <v>0.10939542483660132</v>
      </c>
      <c r="AO967" s="72"/>
      <c r="AP967" s="72"/>
      <c r="AQ967" s="72">
        <f>(BC967-Driver!$K$188)/(Driver!$L$188-Driver!$K$188)</f>
        <v>2.2602681608877632E-2</v>
      </c>
      <c r="AR967" s="72">
        <f>MIN((BD967-Driver!$K$189)/(Driver!$L$189-Driver!$K$189),100%)</f>
        <v>4.7377935002296326E-2</v>
      </c>
      <c r="AS967" s="72">
        <f>(BE967-Driver!$K$190)/(Driver!$L$190-Driver!$K$190)</f>
        <v>4.8090243481499512E-2</v>
      </c>
      <c r="AT967" s="72">
        <f>(BF967-Driver!$K$191)/(Driver!$L$191-Driver!$K$191)</f>
        <v>7.0535320492632128E-2</v>
      </c>
      <c r="AU967" s="72">
        <f>(BG967-Driver!$K$192)/(Driver!$L$192-Driver!$K$192)</f>
        <v>0.14543985755737268</v>
      </c>
      <c r="AV967" s="70">
        <f t="shared" si="541"/>
        <v>2.5081400081400083</v>
      </c>
      <c r="AW967" s="70">
        <f t="shared" si="542"/>
        <v>15.14168332957016</v>
      </c>
      <c r="AX967" s="70">
        <f t="shared" si="543"/>
        <v>5.0768355150825268</v>
      </c>
      <c r="AY967" s="70">
        <f>IFERROR(Driver!$K$19/Data!BH967/Data!BI967*Data!BK967*Data!BL967,"")</f>
        <v>9.4631880012575997E-2</v>
      </c>
      <c r="AZ967" s="70">
        <f t="shared" si="544"/>
        <v>9.9702159344750569</v>
      </c>
      <c r="BA967" s="70"/>
      <c r="BB967" s="70"/>
      <c r="BC967" s="70">
        <f t="shared" si="545"/>
        <v>11.72416808181814</v>
      </c>
      <c r="BD967" s="70">
        <f t="shared" si="546"/>
        <v>5.913686183067635</v>
      </c>
      <c r="BE967" s="70">
        <f t="shared" si="547"/>
        <v>4.8260053467861726E-2</v>
      </c>
      <c r="BF967" s="70">
        <f t="shared" si="548"/>
        <v>7.9664689109708045</v>
      </c>
      <c r="BG967" s="70">
        <f t="shared" si="549"/>
        <v>0.5507280813109996</v>
      </c>
      <c r="BH967" s="67">
        <f>MAX((CE967-Driver!$F$200)/(Driver!$G$200-Driver!$F$200)*$BI$1,1)</f>
        <v>5.0768355150825268</v>
      </c>
      <c r="BI967" s="67">
        <f>MAX($BI$1*(BY967-Driver!$F$201)/(Driver!$G$201-Driver!$F$201),1)</f>
        <v>6.518987341772152</v>
      </c>
      <c r="BJ967" s="67">
        <f>(CB967-Driver!$F$206)/(Driver!$G$206-Driver!$F$206)*$BI$1</f>
        <v>4.6031746031746028</v>
      </c>
      <c r="BK967" s="67">
        <f>(CD967-Driver!$F$203)/(Driver!$G$203-Driver!$F$203)*$BI$1</f>
        <v>2.522935779816514</v>
      </c>
      <c r="BL967" s="67">
        <f>MAX((CR967-Driver!$F$202)/(Driver!$G$202-Driver!$F$202)*$BI$1,1)</f>
        <v>6.2068965517241379</v>
      </c>
      <c r="BM967" s="67">
        <f>MAX((CH967-Driver!$F$204)/(Driver!$G$204-Driver!$F$204)*$BI$1,1)</f>
        <v>2.1794871794871797</v>
      </c>
      <c r="BN967" s="67">
        <f>(CI967-Driver!$F$205)/(Driver!$G$205-Driver!$F$205)*$BI$1</f>
        <v>1.5294117647058825</v>
      </c>
      <c r="BO967" s="67">
        <f>(CK967-Driver!$F$207)/(Driver!$G$207-Driver!$F$207)*$BI$1</f>
        <v>1.5718717683557393</v>
      </c>
      <c r="BP967" s="67">
        <f>(CM967-Driver!$F$208)/(Driver!$G$208-Driver!$F$208)*$BI$1</f>
        <v>2.7777777777777777</v>
      </c>
      <c r="BQ967" s="67">
        <f>(CL967-Driver!$F$209)/(Driver!$G$209-Driver!$F$209)*$BI$1</f>
        <v>6.09375</v>
      </c>
      <c r="BR967" s="28" t="s">
        <v>155</v>
      </c>
      <c r="BS967" s="8" t="s">
        <v>182</v>
      </c>
      <c r="BT967" s="9" t="s">
        <v>743</v>
      </c>
      <c r="BU967" s="10">
        <v>164</v>
      </c>
      <c r="BV967" s="9" t="s">
        <v>158</v>
      </c>
      <c r="BW967" s="10">
        <v>164</v>
      </c>
      <c r="BX967" s="10">
        <v>162.69999999999999</v>
      </c>
      <c r="BY967" s="10">
        <v>111</v>
      </c>
      <c r="BZ967" s="10">
        <v>133</v>
      </c>
      <c r="CA967" s="10">
        <v>121</v>
      </c>
      <c r="CB967" s="10">
        <v>93</v>
      </c>
      <c r="CC967" s="10">
        <v>116</v>
      </c>
      <c r="CD967" s="10">
        <v>14.9</v>
      </c>
      <c r="CE967" s="10">
        <v>1792</v>
      </c>
      <c r="CF967" s="10">
        <v>0.94</v>
      </c>
      <c r="CG967" s="10">
        <v>1693</v>
      </c>
      <c r="CH967" s="10">
        <v>152</v>
      </c>
      <c r="CI967" s="10">
        <v>59</v>
      </c>
      <c r="CJ967" s="10">
        <v>43</v>
      </c>
      <c r="CK967" s="10">
        <v>262</v>
      </c>
      <c r="CL967" s="10">
        <v>39</v>
      </c>
      <c r="CM967" s="10">
        <v>250</v>
      </c>
      <c r="CN967" s="10">
        <v>0.89500000000000002</v>
      </c>
      <c r="CO967" s="10">
        <v>165</v>
      </c>
      <c r="CP967" s="10">
        <v>131</v>
      </c>
      <c r="CQ967" s="10">
        <v>98</v>
      </c>
      <c r="CR967" s="10">
        <v>7</v>
      </c>
      <c r="CS967" s="10">
        <v>0.2</v>
      </c>
      <c r="CT967" s="9" t="s">
        <v>184</v>
      </c>
      <c r="CU967" s="10"/>
      <c r="CV967" s="10"/>
      <c r="CW967" s="10"/>
      <c r="CX967" t="str">
        <f>INDEX('Data_Price '!AG$2:AG$1266,MATCH(Data!$DN967,'Data_Price '!$AT$2:$AT$1266,0))</f>
        <v>Armada Bdog Edgeless 94mm 164 2022 Skis Men, Freestyle Ski, Freeski</v>
      </c>
      <c r="CY967" t="str">
        <f>INDEX('Data_Price '!AH$2:AH$1266,MATCH(Data!$DN967,'Data_Price '!$AT$2:$AT$1266,0))</f>
        <v>Blue Tomato</v>
      </c>
      <c r="CZ967">
        <f>INDEX('Data_Price '!AI$2:AI$1266,MATCH(Data!$DN967,'Data_Price '!$AT$2:$AT$1266,0))</f>
        <v>405.53</v>
      </c>
      <c r="DA967" t="str">
        <f>INDEX('Data_Price '!AJ$2:AJ$1266,MATCH(Data!$DN967,'Data_Price '!$AT$2:$AT$1266,0))</f>
        <v>https://tinyurl.com/y9q3ckcs</v>
      </c>
      <c r="DB967" t="str">
        <f>INDEX('Data_Price '!AK$2:AK$1266,MATCH(Data!$DN967,'Data_Price '!$AT$2:$AT$1266,0))</f>
        <v>Armada Bdog Skis 2022</v>
      </c>
      <c r="DC967" t="str">
        <f>INDEX('Data_Price '!AL$2:AL$1266,MATCH(Data!$DN967,'Data_Price '!$AT$2:$AT$1266,0))</f>
        <v>BobsSportsChalet.com</v>
      </c>
      <c r="DD967">
        <f>INDEX('Data_Price '!AM$2:AM$1266,MATCH(Data!$DN967,'Data_Price '!$AT$2:$AT$1266,0))</f>
        <v>549.95000000000005</v>
      </c>
      <c r="DE967" t="str">
        <f>INDEX('Data_Price '!AN$2:AN$1266,MATCH(Data!$DN967,'Data_Price '!$AT$2:$AT$1266,0))</f>
        <v>https://tinyurl.com/yauragxh</v>
      </c>
      <c r="DF967" t="str">
        <f>INDEX('Data_Price '!AO$2:AO$1266,MATCH(Data!$DN967,'Data_Price '!$AT$2:$AT$1266,0))</f>
        <v>Armada Bdog Skis 2022</v>
      </c>
      <c r="DG967" t="str">
        <f>INDEX('Data_Price '!AP$2:AP$1266,MATCH(Data!$DN967,'Data_Price '!$AT$2:$AT$1266,0))</f>
        <v>Gear West Ski &amp; Bike</v>
      </c>
      <c r="DH967">
        <f>INDEX('Data_Price '!AQ$2:AQ$1266,MATCH(Data!$DN967,'Data_Price '!$AT$2:$AT$1266,0))</f>
        <v>549.95000000000005</v>
      </c>
      <c r="DI967" t="str">
        <f>INDEX('Data_Price '!AR$2:AR$1266,MATCH(Data!$DN967,'Data_Price '!$AT$2:$AT$1266,0))</f>
        <v>https://tinyurl.com/ycortjzd</v>
      </c>
      <c r="DJ967" s="89" t="str">
        <f t="shared" si="550"/>
        <v>https://tinyurl.com/y9q3ckcs</v>
      </c>
      <c r="DK967" s="89" t="str">
        <f t="shared" si="551"/>
        <v>https://tinyurl.com/yauragxh</v>
      </c>
      <c r="DL967" s="89" t="str">
        <f t="shared" si="552"/>
        <v>https://tinyurl.com/ycortjzd</v>
      </c>
      <c r="DM967" s="219" t="str">
        <f t="shared" si="553"/>
        <v>Bdog</v>
      </c>
      <c r="DN967" s="89" t="str">
        <f t="shared" si="554"/>
        <v xml:space="preserve"> ArmadaBdog164 Unisex</v>
      </c>
      <c r="DO967" s="221" t="s">
        <v>744</v>
      </c>
    </row>
    <row r="968" spans="2:119" ht="15.6" customHeight="1">
      <c r="B968" s="219" t="b">
        <f t="array" ref="B968">IF(OR(ISERROR(K968:P968)),FALSE,TRUE)</f>
        <v>1</v>
      </c>
      <c r="C968" s="43" t="b">
        <f>OR(BR968=Driver!$G$50,Data!BR850=Driver!$H$50)</f>
        <v>1</v>
      </c>
      <c r="D968" s="43" t="b">
        <f>OR(BV968=Driver!$G$51,BV968=Driver!$H$51)</f>
        <v>0</v>
      </c>
      <c r="E968" s="43" t="b">
        <f>AND(BX968&gt;Driver!$F$54,BX968&lt;Driver!$G$54)</f>
        <v>1</v>
      </c>
      <c r="F968" s="43" t="b">
        <f>CL968&gt;Driver!$F$56</f>
        <v>1</v>
      </c>
      <c r="G968" s="43" t="b">
        <f>AND(CB968&gt;Driver!$F$55,CB968&lt;Driver!$G$55)</f>
        <v>0</v>
      </c>
      <c r="H968" s="43" t="b">
        <f t="shared" si="518"/>
        <v>0</v>
      </c>
      <c r="I968" s="43">
        <f t="shared" si="519"/>
        <v>0</v>
      </c>
      <c r="J968" s="43" t="b">
        <f t="array" ref="J968">NOT(OR(($H$9:$H$1273=TRUE)*($I$9:$I$1273&gt;0)*($BT$9:$BT$1273=BT968)*($K$9:$K$1273&gt;K968)))</f>
        <v>1</v>
      </c>
      <c r="K968" s="72">
        <f t="shared" si="520"/>
        <v>0.80734735411318892</v>
      </c>
      <c r="L968" s="72">
        <f t="shared" si="521"/>
        <v>0.78160365090584194</v>
      </c>
      <c r="M968" s="72">
        <f t="shared" si="522"/>
        <v>0.83309105732053579</v>
      </c>
      <c r="N968" s="72">
        <f t="shared" si="523"/>
        <v>0.93264963053152072</v>
      </c>
      <c r="O968" s="72">
        <f t="shared" si="524"/>
        <v>0.64437236247749297</v>
      </c>
      <c r="P968" s="72">
        <f t="shared" si="525"/>
        <v>0.92225117895259368</v>
      </c>
      <c r="Q968" s="72"/>
      <c r="R968" s="72"/>
      <c r="S968" s="72">
        <f t="shared" si="526"/>
        <v>0.4127606599500655</v>
      </c>
      <c r="T968" s="72">
        <f t="shared" si="527"/>
        <v>0.46073615493247333</v>
      </c>
      <c r="U968" s="72">
        <f t="shared" si="528"/>
        <v>0.51</v>
      </c>
      <c r="V968" s="72">
        <f t="shared" si="529"/>
        <v>0.50442082466209714</v>
      </c>
      <c r="W968" s="72">
        <f t="shared" si="530"/>
        <v>0.98814898419864561</v>
      </c>
      <c r="X968" s="72">
        <f t="shared" si="531"/>
        <v>0.218396349094158</v>
      </c>
      <c r="Y968" s="72">
        <f t="shared" si="532"/>
        <v>0.16690894267946421</v>
      </c>
      <c r="Z968" s="72">
        <f t="shared" si="533"/>
        <v>6.735036946847929E-2</v>
      </c>
      <c r="AA968" s="72">
        <f t="shared" si="534"/>
        <v>0.35562763752250703</v>
      </c>
      <c r="AB968" s="72">
        <f t="shared" si="535"/>
        <v>7.7748821047406325E-2</v>
      </c>
      <c r="AC968" s="72"/>
      <c r="AD968" s="72"/>
      <c r="AE968" s="72">
        <f t="shared" si="536"/>
        <v>0.5872393400499345</v>
      </c>
      <c r="AF968" s="72">
        <f t="shared" si="537"/>
        <v>0.53926384506752667</v>
      </c>
      <c r="AG968" s="72">
        <f t="shared" si="538"/>
        <v>0.49</v>
      </c>
      <c r="AH968" s="72">
        <f t="shared" si="539"/>
        <v>0.49557917533790291</v>
      </c>
      <c r="AI968" s="72">
        <f t="shared" si="540"/>
        <v>1.1851015801354392E-2</v>
      </c>
      <c r="AJ968" s="72">
        <f>(AV968-Driver!$K$179)/(Driver!$L$179-Driver!$K$179)</f>
        <v>3.5823060188542422E-2</v>
      </c>
      <c r="AK968" s="72">
        <f>(AW968-Driver!$K$180)/(Driver!$L$180-Driver!$K$180)</f>
        <v>0.17284405153209492</v>
      </c>
      <c r="AL968" s="72">
        <f>(AX968-Driver!$K$181)/(Driver!$L$181-Driver!$K$181)</f>
        <v>0.16903813318155947</v>
      </c>
      <c r="AM968" s="72">
        <f>(AY968-Driver!$K$182)/(Driver!$L$182-Driver!$K$182)</f>
        <v>9.1757383574539317E-2</v>
      </c>
      <c r="AN968" s="72">
        <f>(AZ968-Driver!$K$183)/(Driver!$L$183-Driver!$K$183)</f>
        <v>0.1764705882352941</v>
      </c>
      <c r="AO968" s="72"/>
      <c r="AP968" s="72"/>
      <c r="AQ968" s="72">
        <f>(BC968-Driver!$K$188)/(Driver!$L$188-Driver!$K$188)</f>
        <v>3.2760659950065454E-2</v>
      </c>
      <c r="AR968" s="72">
        <f>MIN((BD968-Driver!$K$189)/(Driver!$L$189-Driver!$K$189),100%)</f>
        <v>1.0736154932473367E-2</v>
      </c>
      <c r="AS968" s="72">
        <f>(BE968-Driver!$K$190)/(Driver!$L$190-Driver!$K$190)</f>
        <v>1</v>
      </c>
      <c r="AT968" s="72">
        <f>(BF968-Driver!$K$191)/(Driver!$L$191-Driver!$K$191)</f>
        <v>1.4420824662097103E-2</v>
      </c>
      <c r="AU968" s="72">
        <f>(BG968-Driver!$K$192)/(Driver!$L$192-Driver!$K$192)</f>
        <v>0.26185101580135439</v>
      </c>
      <c r="AV968" s="70">
        <f t="shared" si="541"/>
        <v>0.75396825396825395</v>
      </c>
      <c r="AW968" s="70">
        <f t="shared" si="542"/>
        <v>18.717076997359975</v>
      </c>
      <c r="AX968" s="70">
        <f t="shared" si="543"/>
        <v>2.5213431986340353</v>
      </c>
      <c r="AY968" s="70">
        <f>IFERROR(Driver!$K$19/Data!BH968/Data!BI968*Data!BK968*Data!BL968,"")</f>
        <v>0.11233841525609926</v>
      </c>
      <c r="AZ968" s="70">
        <f t="shared" si="544"/>
        <v>16.083395383469842</v>
      </c>
      <c r="BA968" s="70"/>
      <c r="BB968" s="70"/>
      <c r="BC968" s="70">
        <f t="shared" si="545"/>
        <v>16.99318206451203</v>
      </c>
      <c r="BD968" s="70">
        <f t="shared" si="546"/>
        <v>2.6709535722807498</v>
      </c>
      <c r="BE968" s="70">
        <f t="shared" si="547"/>
        <v>1</v>
      </c>
      <c r="BF968" s="70">
        <f t="shared" si="548"/>
        <v>1.6287308335567554</v>
      </c>
      <c r="BG968" s="70">
        <f t="shared" si="549"/>
        <v>0.99153498871331835</v>
      </c>
      <c r="BH968" s="67">
        <f>MAX((CE968-Driver!$F$200)/(Driver!$G$200-Driver!$F$200)*$BI$1,1)</f>
        <v>2.5213431986340353</v>
      </c>
      <c r="BI968" s="67">
        <f>MAX($BI$1*(BY968-Driver!$F$201)/(Driver!$G$201-Driver!$F$201),1)</f>
        <v>7.5949367088607591</v>
      </c>
      <c r="BJ968" s="67">
        <f>(CB968-Driver!$F$206)/(Driver!$G$206-Driver!$F$206)*$BI$1</f>
        <v>3.0158730158730158</v>
      </c>
      <c r="BK968" s="67">
        <f>(CD968-Driver!$F$203)/(Driver!$G$203-Driver!$F$203)*$BI$1</f>
        <v>1.834862385321101</v>
      </c>
      <c r="BL968" s="67">
        <f>MAX((CR968-Driver!$F$202)/(Driver!$G$202-Driver!$F$202)*$BI$1,1)</f>
        <v>5.8620689655172411</v>
      </c>
      <c r="BM968" s="67">
        <f>MAX((CH968-Driver!$F$204)/(Driver!$G$204-Driver!$F$204)*$BI$1,1)</f>
        <v>1</v>
      </c>
      <c r="BN968" s="67">
        <f>(CI968-Driver!$F$205)/(Driver!$G$205-Driver!$F$205)*$BI$1</f>
        <v>2.1176470588235294</v>
      </c>
      <c r="BO968" s="67">
        <f>(CK968-Driver!$F$207)/(Driver!$G$207-Driver!$F$207)*$BI$1</f>
        <v>0.79627714581178899</v>
      </c>
      <c r="BP968" s="67">
        <f>(CM968-Driver!$F$208)/(Driver!$G$208-Driver!$F$208)*$BI$1</f>
        <v>1.2444444444444445</v>
      </c>
      <c r="BQ968" s="67">
        <f>(CL968-Driver!$F$209)/(Driver!$G$209-Driver!$F$209)*$BI$1</f>
        <v>2.5</v>
      </c>
      <c r="BR968" s="28" t="s">
        <v>155</v>
      </c>
      <c r="BS968" s="8" t="s">
        <v>208</v>
      </c>
      <c r="BT968" s="9" t="s">
        <v>824</v>
      </c>
      <c r="BU968" s="10">
        <v>158</v>
      </c>
      <c r="BV968" s="9" t="s">
        <v>163</v>
      </c>
      <c r="BW968" s="10">
        <v>158</v>
      </c>
      <c r="BX968" s="10">
        <v>157.6</v>
      </c>
      <c r="BY968" s="10">
        <v>128</v>
      </c>
      <c r="BZ968" s="10">
        <v>135</v>
      </c>
      <c r="CA968" s="10">
        <v>121</v>
      </c>
      <c r="CB968" s="10">
        <v>83</v>
      </c>
      <c r="CC968" s="10">
        <v>109</v>
      </c>
      <c r="CD968" s="10">
        <v>13.4</v>
      </c>
      <c r="CE968" s="10">
        <v>1343</v>
      </c>
      <c r="CF968" s="10">
        <v>1.1200000000000001</v>
      </c>
      <c r="CG968" s="10">
        <v>1509</v>
      </c>
      <c r="CH968" s="10">
        <v>116</v>
      </c>
      <c r="CI968" s="10">
        <v>69</v>
      </c>
      <c r="CJ968" s="10">
        <v>44</v>
      </c>
      <c r="CK968" s="10">
        <v>187</v>
      </c>
      <c r="CL968" s="10">
        <v>16</v>
      </c>
      <c r="CM968" s="10">
        <v>112</v>
      </c>
      <c r="CN968" s="10">
        <v>0.35799999999999998</v>
      </c>
      <c r="CO968" s="10">
        <v>132</v>
      </c>
      <c r="CP968" s="10">
        <v>96</v>
      </c>
      <c r="CQ968" s="10">
        <v>55</v>
      </c>
      <c r="CR968" s="10">
        <v>6</v>
      </c>
      <c r="CS968" s="10">
        <v>9.3000000000000007</v>
      </c>
      <c r="CT968" s="9" t="s">
        <v>231</v>
      </c>
      <c r="CU968" s="9" t="s">
        <v>188</v>
      </c>
      <c r="CV968" s="9" t="s">
        <v>185</v>
      </c>
      <c r="CW968" s="10"/>
      <c r="CX968" t="str">
        <f>INDEX('Data_Price '!AG$2:AG$1266,MATCH(Data!$DN968,'Data_Price '!$AT$2:$AT$1266,0))</f>
        <v>Line Pandora 84 Skis - Women's 2022</v>
      </c>
      <c r="CY968" t="str">
        <f>INDEX('Data_Price '!AH$2:AH$1266,MATCH(Data!$DN968,'Data_Price '!$AT$2:$AT$1266,0))</f>
        <v>The-House.com</v>
      </c>
      <c r="CZ968">
        <f>INDEX('Data_Price '!AI$2:AI$1266,MATCH(Data!$DN968,'Data_Price '!$AT$2:$AT$1266,0))</f>
        <v>319.95</v>
      </c>
      <c r="DA968" t="str">
        <f>INDEX('Data_Price '!AJ$2:AJ$1266,MATCH(Data!$DN968,'Data_Price '!$AT$2:$AT$1266,0))</f>
        <v>https://tinyurl.com/y7lgwnqh</v>
      </c>
      <c r="DB968" t="str">
        <f>INDEX('Data_Price '!AK$2:AK$1266,MATCH(Data!$DN968,'Data_Price '!$AT$2:$AT$1266,0))</f>
        <v>Line Pandora 84 Skis - Women's 2022</v>
      </c>
      <c r="DC968" t="str">
        <f>INDEX('Data_Price '!AL$2:AL$1266,MATCH(Data!$DN968,'Data_Price '!$AT$2:$AT$1266,0))</f>
        <v>Stowesports.com</v>
      </c>
      <c r="DD968">
        <f>INDEX('Data_Price '!AM$2:AM$1266,MATCH(Data!$DN968,'Data_Price '!$AT$2:$AT$1266,0))</f>
        <v>319.95</v>
      </c>
      <c r="DE968" t="str">
        <f>INDEX('Data_Price '!AN$2:AN$1266,MATCH(Data!$DN968,'Data_Price '!$AT$2:$AT$1266,0))</f>
        <v>https://tinyurl.com/y8xh3hu3</v>
      </c>
      <c r="DF968" t="str">
        <f>INDEX('Data_Price '!AO$2:AO$1266,MATCH(Data!$DN968,'Data_Price '!$AT$2:$AT$1266,0))</f>
        <v>'22 Line Pandora 84 Skis 158cm</v>
      </c>
      <c r="DG968" t="str">
        <f>INDEX('Data_Price '!AP$2:AP$1266,MATCH(Data!$DN968,'Data_Price '!$AT$2:$AT$1266,0))</f>
        <v>Al's Ski Equipment Barn</v>
      </c>
      <c r="DH968">
        <f>INDEX('Data_Price '!AQ$2:AQ$1266,MATCH(Data!$DN968,'Data_Price '!$AT$2:$AT$1266,0))</f>
        <v>399.95</v>
      </c>
      <c r="DI968" t="str">
        <f>INDEX('Data_Price '!AR$2:AR$1266,MATCH(Data!$DN968,'Data_Price '!$AT$2:$AT$1266,0))</f>
        <v>https://tinyurl.com/y9z3euqa</v>
      </c>
      <c r="DJ968" s="89" t="str">
        <f t="shared" si="550"/>
        <v>https://tinyurl.com/y7lgwnqh</v>
      </c>
      <c r="DK968" s="89" t="str">
        <f t="shared" si="551"/>
        <v>https://tinyurl.com/y8xh3hu3</v>
      </c>
      <c r="DL968" s="89" t="str">
        <f t="shared" si="552"/>
        <v>https://tinyurl.com/y9z3euqa</v>
      </c>
      <c r="DM968" s="219" t="str">
        <f t="shared" si="553"/>
        <v>Pandora 84</v>
      </c>
      <c r="DN968" s="89" t="str">
        <f t="shared" si="554"/>
        <v xml:space="preserve"> LinePandora 84158 Women's</v>
      </c>
      <c r="DO968" s="221" t="s">
        <v>825</v>
      </c>
    </row>
    <row r="969" spans="2:119" ht="15.6" customHeight="1">
      <c r="B969" s="219" t="b">
        <f t="array" ref="B969">IF(OR(ISERROR(K969:P969)),FALSE,TRUE)</f>
        <v>1</v>
      </c>
      <c r="C969" s="43" t="b">
        <f>OR(BR969=Driver!$G$50,Data!BR134=Driver!$H$50)</f>
        <v>1</v>
      </c>
      <c r="D969" s="43" t="b">
        <f>OR(BV969=Driver!$G$51,BV969=Driver!$H$51)</f>
        <v>1</v>
      </c>
      <c r="E969" s="43" t="b">
        <f>AND(BX969&gt;Driver!$F$54,BX969&lt;Driver!$G$54)</f>
        <v>0</v>
      </c>
      <c r="F969" s="43" t="b">
        <f>CL969&gt;Driver!$F$56</f>
        <v>1</v>
      </c>
      <c r="G969" s="43" t="b">
        <f>AND(CB969&gt;Driver!$F$55,CB969&lt;Driver!$G$55)</f>
        <v>0</v>
      </c>
      <c r="H969" s="43" t="b">
        <f t="shared" ref="H969:H1032" si="555">AND(B969:G969)</f>
        <v>0</v>
      </c>
      <c r="I969" s="43">
        <f t="shared" ref="I969:I1032" si="556">COUNTIFS($H$9:$H$1273,TRUE,$BT$9:$BT$1273,BT969)</f>
        <v>0</v>
      </c>
      <c r="J969" s="43" t="b">
        <f t="array" ref="J969">NOT(OR(($H$9:$H$1273=TRUE)*($I$9:$I$1273&gt;0)*($BT$9:$BT$1273=BT969)*($K$9:$K$1273&gt;K969)))</f>
        <v>1</v>
      </c>
      <c r="K969" s="72">
        <f t="shared" ref="K969:K1032" si="557">IFERROR(1-AVERAGE(X969:Y969),"")</f>
        <v>0.76839004902635788</v>
      </c>
      <c r="L969" s="72">
        <f t="shared" ref="L969:L1032" si="558">1-X969</f>
        <v>0.87914890730864526</v>
      </c>
      <c r="M969" s="72">
        <f t="shared" ref="M969:M1032" si="559">1-Y969</f>
        <v>0.65763119074407039</v>
      </c>
      <c r="N969" s="72">
        <f t="shared" ref="N969:N1032" si="560">1-Z969</f>
        <v>0.59495279881078456</v>
      </c>
      <c r="O969" s="72">
        <f t="shared" ref="O969:O1032" si="561">1-AA969</f>
        <v>0.69038803080539313</v>
      </c>
      <c r="P969" s="72">
        <f t="shared" ref="P969:P1032" si="562">1-AB969</f>
        <v>0.68755274261603372</v>
      </c>
      <c r="Q969" s="72"/>
      <c r="R969" s="72"/>
      <c r="S969" s="72">
        <f t="shared" ref="S969:S1032" si="563">1-AE969</f>
        <v>0.60477538560636712</v>
      </c>
      <c r="T969" s="72">
        <f t="shared" ref="T969:T1032" si="564">1-AF969</f>
        <v>0.52220259020853566</v>
      </c>
      <c r="U969" s="72">
        <f t="shared" ref="U969:U1032" si="565">1-AG969</f>
        <v>0.61080274541765323</v>
      </c>
      <c r="V969" s="72">
        <f t="shared" ref="V969:V1032" si="566">1-AH969</f>
        <v>0.51804153097374339</v>
      </c>
      <c r="W969" s="72">
        <f t="shared" ref="W969:W1032" si="567">1-AI969</f>
        <v>0.78525099853010216</v>
      </c>
      <c r="X969" s="72">
        <f t="shared" ref="X969:X1032" si="568">ABS(AJ969-AJ$1)</f>
        <v>0.12085109269135474</v>
      </c>
      <c r="Y969" s="72">
        <f t="shared" ref="Y969:Y1032" si="569">AVERAGE(Z969:AB969)</f>
        <v>0.34236880925592955</v>
      </c>
      <c r="Z969" s="72">
        <f t="shared" ref="Z969:Z1032" si="570">ABS(AL969-AL$1)</f>
        <v>0.40504720118921544</v>
      </c>
      <c r="AA969" s="72">
        <f t="shared" ref="AA969:AA1032" si="571">ABS(AM969-AM$1)</f>
        <v>0.30961196919460687</v>
      </c>
      <c r="AB969" s="72">
        <f t="shared" ref="AB969:AB1032" si="572">ABS(AN969-AN$1)</f>
        <v>0.31244725738396623</v>
      </c>
      <c r="AC969" s="72"/>
      <c r="AD969" s="72"/>
      <c r="AE969" s="72">
        <f t="shared" ref="AE969:AE1032" si="573">ABS(AQ$1-AQ969)</f>
        <v>0.39522461439363288</v>
      </c>
      <c r="AF969" s="72">
        <f t="shared" ref="AF969:AF1032" si="574">ABS(AR$1-AR969)</f>
        <v>0.47779740979146434</v>
      </c>
      <c r="AG969" s="72">
        <f t="shared" ref="AG969:AG1032" si="575">ABS(AS$1-AS969)</f>
        <v>0.38919725458234672</v>
      </c>
      <c r="AH969" s="72">
        <f t="shared" ref="AH969:AH1032" si="576">ABS(AT$1-AT969)</f>
        <v>0.48195846902625661</v>
      </c>
      <c r="AI969" s="72">
        <f t="shared" ref="AI969:AI1032" si="577">ABS(AU$1-AU969)</f>
        <v>0.21474900146989789</v>
      </c>
      <c r="AJ969" s="72">
        <f>(AV969-Driver!$K$179)/(Driver!$L$179-Driver!$K$179)</f>
        <v>0.37507050197405517</v>
      </c>
      <c r="AK969" s="72">
        <f>(AW969-Driver!$K$180)/(Driver!$L$180-Driver!$K$180)</f>
        <v>0.56950149522171345</v>
      </c>
      <c r="AL969" s="72">
        <f>(AX969-Driver!$K$181)/(Driver!$L$181-Driver!$K$181)</f>
        <v>0.50673496490229564</v>
      </c>
      <c r="AM969" s="72">
        <f>(AY969-Driver!$K$182)/(Driver!$L$182-Driver!$K$182)</f>
        <v>0.13777305190243952</v>
      </c>
      <c r="AN969" s="72">
        <f>(AZ969-Driver!$K$183)/(Driver!$L$183-Driver!$K$183)</f>
        <v>0.56666666666666665</v>
      </c>
      <c r="AO969" s="72"/>
      <c r="AP969" s="72"/>
      <c r="AQ969" s="72">
        <f>(BC969-Driver!$K$188)/(Driver!$L$188-Driver!$K$188)</f>
        <v>0.22477538560636715</v>
      </c>
      <c r="AR969" s="72">
        <f>MIN((BD969-Driver!$K$189)/(Driver!$L$189-Driver!$K$189),100%)</f>
        <v>7.2202590208535714E-2</v>
      </c>
      <c r="AS969" s="72">
        <f>(BE969-Driver!$K$190)/(Driver!$L$190-Driver!$K$190)</f>
        <v>0.1208027454176533</v>
      </c>
      <c r="AT969" s="72">
        <f>(BF969-Driver!$K$191)/(Driver!$L$191-Driver!$K$191)</f>
        <v>2.8041530973743397E-2</v>
      </c>
      <c r="AU969" s="72">
        <f>(BG969-Driver!$K$192)/(Driver!$L$192-Driver!$K$192)</f>
        <v>3.5250998530102121E-2</v>
      </c>
      <c r="AV969" s="70">
        <f t="shared" ref="AV969:AV1032" si="578">IFERROR(BM969*BJ969^1/4,"")</f>
        <v>7.8941120607787258</v>
      </c>
      <c r="AW969" s="70">
        <f t="shared" ref="AW969:AW1032" si="579">IFERROR(SUM(AX969:AZ969),"")</f>
        <v>57.374859627413556</v>
      </c>
      <c r="AX969" s="70">
        <f t="shared" ref="AX969:AX1032" si="580">IFERROR(BH969,"")</f>
        <v>5.5606146841206607</v>
      </c>
      <c r="AY969" s="70">
        <f>IFERROR(Driver!$K$19/Data!BH969/Data!BI969*Data!BK969*Data!BL969,"")</f>
        <v>0.16867532303973581</v>
      </c>
      <c r="AZ969" s="70">
        <f t="shared" ref="AZ969:AZ1032" si="581">IFERROR(BI969*BN969,"")</f>
        <v>51.645569620253163</v>
      </c>
      <c r="BA969" s="70"/>
      <c r="BB969" s="70"/>
      <c r="BC969" s="70">
        <f t="shared" ref="BC969:BC1032" si="582">IFERROR(BI969*BN969*BK969/BJ969^(1/2),"")</f>
        <v>116.5925551271522</v>
      </c>
      <c r="BD969" s="70">
        <f t="shared" ref="BD969:BD1032" si="583">IFERROR(BH969*BM969*BL969/BJ969/BK969,"")</f>
        <v>8.1106241821336251</v>
      </c>
      <c r="BE969" s="70">
        <f t="shared" ref="BE969:BE1032" si="584">IFERROR(MIN(BI969/BQ969/BP969/BO969/BH969,$BE$1),"")</f>
        <v>0.12095958431208419</v>
      </c>
      <c r="BF969" s="70">
        <f t="shared" ref="BF969:BF1032" si="585">IFERROR(BJ969*BO969*BP969/BK969,"")</f>
        <v>3.1670939205796387</v>
      </c>
      <c r="BG969" s="70">
        <f t="shared" ref="BG969:BG1032" si="586">IFERROR(1/BM969/BH969*BQ969,"")</f>
        <v>0.1334827681409255</v>
      </c>
      <c r="BH969" s="67">
        <f>MAX((CE969-Driver!$F$200)/(Driver!$G$200-Driver!$F$200)*$BI$1,1)</f>
        <v>5.5606146841206607</v>
      </c>
      <c r="BI969" s="67">
        <f>MAX($BI$1*(BY969-Driver!$F$201)/(Driver!$G$201-Driver!$F$201),1)</f>
        <v>8.6075949367088604</v>
      </c>
      <c r="BJ969" s="67">
        <f>(CB969-Driver!$F$206)/(Driver!$G$206-Driver!$F$206)*$BI$1</f>
        <v>5.5555555555555554</v>
      </c>
      <c r="BK969" s="67">
        <f>(CD969-Driver!$F$203)/(Driver!$G$203-Driver!$F$203)*$BI$1</f>
        <v>5.3211009174311927</v>
      </c>
      <c r="BL969" s="67">
        <f>MAX((CR969-Driver!$F$202)/(Driver!$G$202-Driver!$F$202)*$BI$1,1)</f>
        <v>7.5862068965517242</v>
      </c>
      <c r="BM969" s="67">
        <f>MAX((CH969-Driver!$F$204)/(Driver!$G$204-Driver!$F$204)*$BI$1,1)</f>
        <v>5.6837606837606831</v>
      </c>
      <c r="BN969" s="67">
        <f>(CI969-Driver!$F$205)/(Driver!$G$205-Driver!$F$205)*$BI$1</f>
        <v>6</v>
      </c>
      <c r="BO969" s="67">
        <f>(CK969-Driver!$F$207)/(Driver!$G$207-Driver!$F$207)*$BI$1</f>
        <v>1.6546018614270941</v>
      </c>
      <c r="BP969" s="67">
        <f>(CM969-Driver!$F$208)/(Driver!$G$208-Driver!$F$208)*$BI$1</f>
        <v>1.8333333333333333</v>
      </c>
      <c r="BQ969" s="67">
        <f>(CL969-Driver!$F$209)/(Driver!$G$209-Driver!$F$209)*$BI$1</f>
        <v>4.21875</v>
      </c>
      <c r="BR969" s="28" t="s">
        <v>155</v>
      </c>
      <c r="BS969" s="8" t="s">
        <v>156</v>
      </c>
      <c r="BT969" s="9" t="s">
        <v>257</v>
      </c>
      <c r="BU969" s="10">
        <v>188</v>
      </c>
      <c r="BV969" s="9" t="s">
        <v>158</v>
      </c>
      <c r="BW969" s="10">
        <v>188</v>
      </c>
      <c r="BX969" s="10">
        <v>187.2</v>
      </c>
      <c r="BY969" s="10">
        <v>144</v>
      </c>
      <c r="BZ969" s="10">
        <v>155</v>
      </c>
      <c r="CA969" s="10">
        <v>130</v>
      </c>
      <c r="CB969" s="10">
        <v>99</v>
      </c>
      <c r="CC969" s="10">
        <v>120</v>
      </c>
      <c r="CD969" s="10">
        <v>21</v>
      </c>
      <c r="CE969" s="10">
        <v>1877</v>
      </c>
      <c r="CF969" s="10">
        <v>1.07</v>
      </c>
      <c r="CG969" s="10">
        <v>2007</v>
      </c>
      <c r="CH969" s="10">
        <v>234</v>
      </c>
      <c r="CI969" s="10">
        <v>135</v>
      </c>
      <c r="CJ969" s="10">
        <v>41</v>
      </c>
      <c r="CK969" s="10">
        <v>270</v>
      </c>
      <c r="CL969" s="10">
        <v>27</v>
      </c>
      <c r="CM969" s="10">
        <v>165</v>
      </c>
      <c r="CN969" s="10">
        <v>0.66500000000000004</v>
      </c>
      <c r="CO969" s="10">
        <v>176</v>
      </c>
      <c r="CP969" s="10">
        <v>149</v>
      </c>
      <c r="CQ969" s="10">
        <v>94</v>
      </c>
      <c r="CR969" s="10">
        <v>11</v>
      </c>
      <c r="CS969" s="10">
        <v>8.1</v>
      </c>
      <c r="CT969" s="9" t="s">
        <v>188</v>
      </c>
      <c r="CU969" s="9" t="s">
        <v>185</v>
      </c>
      <c r="CV969" s="10"/>
      <c r="CW969" s="10"/>
      <c r="CX969" t="str">
        <f>INDEX('Data_Price '!AG$2:AG$1266,MATCH(Data!$DN969,'Data_Price '!$AT$2:$AT$1266,0))</f>
        <v>Atomic Bent Chetler 100</v>
      </c>
      <c r="CY969" t="str">
        <f>INDEX('Data_Price '!AH$2:AH$1266,MATCH(Data!$DN969,'Data_Price '!$AT$2:$AT$1266,0))</f>
        <v>sunandski.com</v>
      </c>
      <c r="CZ969">
        <f>INDEX('Data_Price '!AI$2:AI$1266,MATCH(Data!$DN969,'Data_Price '!$AT$2:$AT$1266,0))</f>
        <v>479.93</v>
      </c>
      <c r="DA969" t="str">
        <f>INDEX('Data_Price '!AJ$2:AJ$1266,MATCH(Data!$DN969,'Data_Price '!$AT$2:$AT$1266,0))</f>
        <v>https://tinyurl.com/y8nxr6sz</v>
      </c>
      <c r="DB969" t="str">
        <f>INDEX('Data_Price '!AK$2:AK$1266,MATCH(Data!$DN969,'Data_Price '!$AT$2:$AT$1266,0))</f>
        <v>Atomic Bent Chetler 100</v>
      </c>
      <c r="DC969" t="str">
        <f>INDEX('Data_Price '!AL$2:AL$1266,MATCH(Data!$DN969,'Data_Price '!$AT$2:$AT$1266,0))</f>
        <v>SkiEssentials.com</v>
      </c>
      <c r="DD969">
        <f>INDEX('Data_Price '!AM$2:AM$1266,MATCH(Data!$DN969,'Data_Price '!$AT$2:$AT$1266,0))</f>
        <v>479.99</v>
      </c>
      <c r="DE969" t="str">
        <f>INDEX('Data_Price '!AN$2:AN$1266,MATCH(Data!$DN969,'Data_Price '!$AT$2:$AT$1266,0))</f>
        <v>https://tinyurl.com/ybetwzrb</v>
      </c>
      <c r="DF969" t="str">
        <f>INDEX('Data_Price '!AO$2:AO$1266,MATCH(Data!$DN969,'Data_Price '!$AT$2:$AT$1266,0))</f>
        <v>Atomic Bent Chetler 100</v>
      </c>
      <c r="DG969" t="str">
        <f>INDEX('Data_Price '!AP$2:AP$1266,MATCH(Data!$DN969,'Data_Price '!$AT$2:$AT$1266,0))</f>
        <v>evo.com</v>
      </c>
      <c r="DH969">
        <f>INDEX('Data_Price '!AQ$2:AQ$1266,MATCH(Data!$DN969,'Data_Price '!$AT$2:$AT$1266,0))</f>
        <v>479.99</v>
      </c>
      <c r="DI969" t="str">
        <f>INDEX('Data_Price '!AR$2:AR$1266,MATCH(Data!$DN969,'Data_Price '!$AT$2:$AT$1266,0))</f>
        <v>https://tinyurl.com/ydxbklsh</v>
      </c>
      <c r="DJ969" s="89" t="str">
        <f t="shared" ref="DJ969:DJ1032" si="587">DA969</f>
        <v>https://tinyurl.com/y8nxr6sz</v>
      </c>
      <c r="DK969" s="89" t="str">
        <f t="shared" ref="DK969:DK1032" si="588">DE969</f>
        <v>https://tinyurl.com/ybetwzrb</v>
      </c>
      <c r="DL969" s="89" t="str">
        <f t="shared" ref="DL969:DL1032" si="589">DI969</f>
        <v>https://tinyurl.com/ydxbklsh</v>
      </c>
      <c r="DM969" s="219" t="str">
        <f t="shared" ref="DM969:DM1032" si="590">IF(LEFT(BT969,1)=" ",RIGHT(BT969,LEN(BT969)-1),BT969)</f>
        <v>Bent Chetler 100</v>
      </c>
      <c r="DN969" s="89" t="str">
        <f t="shared" ref="DN969:DN1032" si="591">_xlfn.CONCAT(BS969,DM969,BU969,BV969)</f>
        <v xml:space="preserve"> AtomicBent Chetler 100188 Unisex</v>
      </c>
      <c r="DO969" s="221" t="s">
        <v>258</v>
      </c>
    </row>
    <row r="970" spans="2:119" ht="15.6" customHeight="1">
      <c r="B970" s="219" t="b">
        <f t="array" ref="B970">IF(OR(ISERROR(K970:P970)),FALSE,TRUE)</f>
        <v>1</v>
      </c>
      <c r="C970" s="43" t="b">
        <f>OR(BR970=Driver!$G$50,Data!BR609=Driver!$H$50)</f>
        <v>1</v>
      </c>
      <c r="D970" s="43" t="b">
        <f>OR(BV970=Driver!$G$51,BV970=Driver!$H$51)</f>
        <v>1</v>
      </c>
      <c r="E970" s="43" t="b">
        <f>AND(BX970&gt;Driver!$F$54,BX970&lt;Driver!$G$54)</f>
        <v>1</v>
      </c>
      <c r="F970" s="43" t="b">
        <f>CL970&gt;Driver!$F$56</f>
        <v>1</v>
      </c>
      <c r="G970" s="43" t="b">
        <f>AND(CB970&gt;Driver!$F$55,CB970&lt;Driver!$G$55)</f>
        <v>0</v>
      </c>
      <c r="H970" s="43" t="b">
        <f t="shared" si="555"/>
        <v>0</v>
      </c>
      <c r="I970" s="43">
        <f t="shared" si="556"/>
        <v>0</v>
      </c>
      <c r="J970" s="43" t="b">
        <f t="array" ref="J970">NOT(OR(($H$9:$H$1273=TRUE)*($I$9:$I$1273&gt;0)*($BT$9:$BT$1273=BT970)*($K$9:$K$1273&gt;K970)))</f>
        <v>1</v>
      </c>
      <c r="K970" s="72">
        <f t="shared" si="557"/>
        <v>0.75283719135127147</v>
      </c>
      <c r="L970" s="72">
        <f t="shared" si="558"/>
        <v>0.7702911055831444</v>
      </c>
      <c r="M970" s="72">
        <f t="shared" si="559"/>
        <v>0.73538327711939844</v>
      </c>
      <c r="N970" s="72">
        <f t="shared" si="560"/>
        <v>0.72522535936222965</v>
      </c>
      <c r="O970" s="72">
        <f t="shared" si="561"/>
        <v>0.5795883257231107</v>
      </c>
      <c r="P970" s="72">
        <f t="shared" si="562"/>
        <v>0.90133614627285508</v>
      </c>
      <c r="Q970" s="72"/>
      <c r="R970" s="72"/>
      <c r="S970" s="72">
        <f t="shared" si="563"/>
        <v>0.39309188635738701</v>
      </c>
      <c r="T970" s="72">
        <f t="shared" si="564"/>
        <v>0.70753011843831903</v>
      </c>
      <c r="U970" s="72">
        <f t="shared" si="565"/>
        <v>0.51</v>
      </c>
      <c r="V970" s="72">
        <f t="shared" si="566"/>
        <v>0.51306543384094816</v>
      </c>
      <c r="W970" s="72">
        <f t="shared" si="567"/>
        <v>0.81582360570687418</v>
      </c>
      <c r="X970" s="72">
        <f t="shared" si="568"/>
        <v>0.2297088944168556</v>
      </c>
      <c r="Y970" s="72">
        <f t="shared" si="569"/>
        <v>0.26461672288060151</v>
      </c>
      <c r="Z970" s="72">
        <f t="shared" si="570"/>
        <v>0.27477464063777035</v>
      </c>
      <c r="AA970" s="72">
        <f t="shared" si="571"/>
        <v>0.42041167427688925</v>
      </c>
      <c r="AB970" s="72">
        <f t="shared" si="572"/>
        <v>9.8663853727144868E-2</v>
      </c>
      <c r="AC970" s="72"/>
      <c r="AD970" s="72"/>
      <c r="AE970" s="72">
        <f t="shared" si="573"/>
        <v>0.60690811364261299</v>
      </c>
      <c r="AF970" s="72">
        <f t="shared" si="574"/>
        <v>0.29246988156168097</v>
      </c>
      <c r="AG970" s="72">
        <f t="shared" si="575"/>
        <v>0.49</v>
      </c>
      <c r="AH970" s="72">
        <f t="shared" si="576"/>
        <v>0.48693456615905178</v>
      </c>
      <c r="AI970" s="72">
        <f t="shared" si="577"/>
        <v>0.18417639429312582</v>
      </c>
      <c r="AJ970" s="72">
        <f>(AV970-Driver!$K$179)/(Driver!$L$179-Driver!$K$179)</f>
        <v>2.451051486584481E-2</v>
      </c>
      <c r="AK970" s="72">
        <f>(AW970-Driver!$K$180)/(Driver!$L$180-Driver!$K$180)</f>
        <v>0.17162634035987873</v>
      </c>
      <c r="AL970" s="72">
        <f>(AX970-Driver!$K$181)/(Driver!$L$181-Driver!$K$181)</f>
        <v>0.37646240435085054</v>
      </c>
      <c r="AM970" s="72">
        <f>(AY970-Driver!$K$182)/(Driver!$L$182-Driver!$K$182)</f>
        <v>2.6973346820157135E-2</v>
      </c>
      <c r="AN970" s="72">
        <f>(AZ970-Driver!$K$183)/(Driver!$L$183-Driver!$K$183)</f>
        <v>0.15555555555555556</v>
      </c>
      <c r="AO970" s="72"/>
      <c r="AP970" s="72"/>
      <c r="AQ970" s="72">
        <f>(BC970-Driver!$K$188)/(Driver!$L$188-Driver!$K$188)</f>
        <v>1.3091886357386978E-2</v>
      </c>
      <c r="AR970" s="72">
        <f>MIN((BD970-Driver!$K$189)/(Driver!$L$189-Driver!$K$189),100%)</f>
        <v>0.25753011843831908</v>
      </c>
      <c r="AS970" s="72">
        <f>(BE970-Driver!$K$190)/(Driver!$L$190-Driver!$K$190)</f>
        <v>1</v>
      </c>
      <c r="AT970" s="72">
        <f>(BF970-Driver!$K$191)/(Driver!$L$191-Driver!$K$191)</f>
        <v>2.3065433840948203E-2</v>
      </c>
      <c r="AU970" s="72">
        <f>(BG970-Driver!$K$192)/(Driver!$L$192-Driver!$K$192)</f>
        <v>6.5823605706874178E-2</v>
      </c>
      <c r="AV970" s="70">
        <f t="shared" si="578"/>
        <v>0.51587301587301582</v>
      </c>
      <c r="AW970" s="70">
        <f t="shared" si="579"/>
        <v>18.598400253608869</v>
      </c>
      <c r="AX970" s="70">
        <f t="shared" si="580"/>
        <v>4.388161639157655</v>
      </c>
      <c r="AY970" s="70">
        <f>IFERROR(Driver!$K$19/Data!BH970/Data!BI970*Data!BK970*Data!BL970,"")</f>
        <v>3.3023424577794912E-2</v>
      </c>
      <c r="AZ970" s="70">
        <f t="shared" si="581"/>
        <v>14.177215189873419</v>
      </c>
      <c r="BA970" s="70"/>
      <c r="BB970" s="70"/>
      <c r="BC970" s="70">
        <f t="shared" si="582"/>
        <v>6.7908524668940204</v>
      </c>
      <c r="BD970" s="70">
        <f t="shared" si="583"/>
        <v>24.511782049520754</v>
      </c>
      <c r="BE970" s="70">
        <f t="shared" si="584"/>
        <v>1</v>
      </c>
      <c r="BF970" s="70">
        <f t="shared" si="585"/>
        <v>2.6050787084913245</v>
      </c>
      <c r="BG970" s="70">
        <f t="shared" si="586"/>
        <v>0.24925016212710766</v>
      </c>
      <c r="BH970" s="67">
        <f>MAX((CE970-Driver!$F$200)/(Driver!$G$200-Driver!$F$200)*$BI$1,1)</f>
        <v>4.388161639157655</v>
      </c>
      <c r="BI970" s="67">
        <f>MAX($BI$1*(BY970-Driver!$F$201)/(Driver!$G$201-Driver!$F$201),1)</f>
        <v>7.5316455696202533</v>
      </c>
      <c r="BJ970" s="67">
        <f>(CB970-Driver!$F$206)/(Driver!$G$206-Driver!$F$206)*$BI$1</f>
        <v>2.0634920634920633</v>
      </c>
      <c r="BK970" s="67">
        <f>(CD970-Driver!$F$203)/(Driver!$G$203-Driver!$F$203)*$BI$1</f>
        <v>0.68807339449541294</v>
      </c>
      <c r="BL970" s="67">
        <f>MAX((CR970-Driver!$F$202)/(Driver!$G$202-Driver!$F$202)*$BI$1,1)</f>
        <v>7.931034482758621</v>
      </c>
      <c r="BM970" s="67">
        <f>MAX((CH970-Driver!$F$204)/(Driver!$G$204-Driver!$F$204)*$BI$1,1)</f>
        <v>1</v>
      </c>
      <c r="BN970" s="67">
        <f>(CI970-Driver!$F$205)/(Driver!$G$205-Driver!$F$205)*$BI$1</f>
        <v>1.8823529411764706</v>
      </c>
      <c r="BO970" s="67">
        <f>(CK970-Driver!$F$207)/(Driver!$G$207-Driver!$F$207)*$BI$1</f>
        <v>0.93071354705274045</v>
      </c>
      <c r="BP970" s="67">
        <f>(CM970-Driver!$F$208)/(Driver!$G$208-Driver!$F$208)*$BI$1</f>
        <v>0.93333333333333335</v>
      </c>
      <c r="BQ970" s="67">
        <f>(CL970-Driver!$F$209)/(Driver!$G$209-Driver!$F$209)*$BI$1</f>
        <v>1.09375</v>
      </c>
      <c r="BR970" s="28" t="s">
        <v>155</v>
      </c>
      <c r="BS970" s="8" t="s">
        <v>167</v>
      </c>
      <c r="BT970" s="9" t="s">
        <v>702</v>
      </c>
      <c r="BU970" s="10">
        <v>156</v>
      </c>
      <c r="BV970" s="9" t="s">
        <v>158</v>
      </c>
      <c r="BW970" s="10">
        <v>156</v>
      </c>
      <c r="BX970" s="10">
        <v>155.1</v>
      </c>
      <c r="BY970" s="10">
        <v>127</v>
      </c>
      <c r="BZ970" s="10">
        <v>131</v>
      </c>
      <c r="CA970" s="10">
        <v>122</v>
      </c>
      <c r="CB970" s="10">
        <v>77</v>
      </c>
      <c r="CC970" s="10">
        <v>102</v>
      </c>
      <c r="CD970" s="10">
        <v>10.9</v>
      </c>
      <c r="CE970" s="10">
        <v>1671</v>
      </c>
      <c r="CF970" s="10">
        <v>0.86</v>
      </c>
      <c r="CG970" s="10">
        <v>1429</v>
      </c>
      <c r="CH970" s="10">
        <v>124</v>
      </c>
      <c r="CI970" s="10">
        <v>65</v>
      </c>
      <c r="CJ970" s="10">
        <v>41</v>
      </c>
      <c r="CK970" s="10">
        <v>200</v>
      </c>
      <c r="CL970" s="10">
        <v>7</v>
      </c>
      <c r="CM970" s="10">
        <v>84</v>
      </c>
      <c r="CN970" s="10">
        <v>0.17100000000000001</v>
      </c>
      <c r="CO970" s="10">
        <v>126</v>
      </c>
      <c r="CP970" s="10">
        <v>114</v>
      </c>
      <c r="CQ970" s="10">
        <v>73</v>
      </c>
      <c r="CR970" s="10">
        <v>12</v>
      </c>
      <c r="CS970" s="10">
        <v>9.3000000000000007</v>
      </c>
      <c r="CT970" s="9" t="s">
        <v>349</v>
      </c>
      <c r="CU970" s="9" t="s">
        <v>231</v>
      </c>
      <c r="CV970" s="10"/>
      <c r="CW970" s="10"/>
      <c r="CX970" t="str">
        <f>INDEX('Data_Price '!AG$2:AG$1266,MATCH(Data!$DN970,'Data_Price '!$AT$2:$AT$1266,0))</f>
        <v>Head Kore 80 X LYT-PR + PRW 11 GW 156cm</v>
      </c>
      <c r="CY970" t="str">
        <f>INDEX('Data_Price '!AH$2:AH$1266,MATCH(Data!$DN970,'Data_Price '!$AT$2:$AT$1266,0))</f>
        <v>Sundance Ski and Board Shop</v>
      </c>
      <c r="CZ970">
        <f>INDEX('Data_Price '!AI$2:AI$1266,MATCH(Data!$DN970,'Data_Price '!$AT$2:$AT$1266,0))</f>
        <v>416.75</v>
      </c>
      <c r="DA970" t="str">
        <f>INDEX('Data_Price '!AJ$2:AJ$1266,MATCH(Data!$DN970,'Data_Price '!$AT$2:$AT$1266,0))</f>
        <v>https://tinyurl.com/yaaxokug</v>
      </c>
      <c r="DB970" t="str">
        <f>INDEX('Data_Price '!AK$2:AK$1266,MATCH(Data!$DN970,'Data_Price '!$AT$2:$AT$1266,0))</f>
        <v>Head Kore 80 x LYT w/ PR 11 GW 2021/2022</v>
      </c>
      <c r="DC970" t="str">
        <f>INDEX('Data_Price '!AL$2:AL$1266,MATCH(Data!$DN970,'Data_Price '!$AT$2:$AT$1266,0))</f>
        <v>GritrOutdoors</v>
      </c>
      <c r="DD970">
        <f>INDEX('Data_Price '!AM$2:AM$1266,MATCH(Data!$DN970,'Data_Price '!$AT$2:$AT$1266,0))</f>
        <v>549</v>
      </c>
      <c r="DE970" t="str">
        <f>INDEX('Data_Price '!AN$2:AN$1266,MATCH(Data!$DN970,'Data_Price '!$AT$2:$AT$1266,0))</f>
        <v>https://tinyurl.com/y7zzo4y6</v>
      </c>
      <c r="DF970" t="str">
        <f>INDEX('Data_Price '!AO$2:AO$1266,MATCH(Data!$DN970,'Data_Price '!$AT$2:$AT$1266,0))</f>
        <v>Head Kore 80 x LYT w/ PR 11 GW 2021/2022</v>
      </c>
      <c r="DG970" t="str">
        <f>INDEX('Data_Price '!AP$2:AP$1266,MATCH(Data!$DN970,'Data_Price '!$AT$2:$AT$1266,0))</f>
        <v>eBay - webyshops</v>
      </c>
      <c r="DH970">
        <f>INDEX('Data_Price '!AQ$2:AQ$1266,MATCH(Data!$DN970,'Data_Price '!$AT$2:$AT$1266,0))</f>
        <v>549</v>
      </c>
      <c r="DI970" t="str">
        <f>INDEX('Data_Price '!AR$2:AR$1266,MATCH(Data!$DN970,'Data_Price '!$AT$2:$AT$1266,0))</f>
        <v>https://tinyurl.com/yc66ywrq</v>
      </c>
      <c r="DJ970" s="89" t="str">
        <f t="shared" si="587"/>
        <v>https://tinyurl.com/yaaxokug</v>
      </c>
      <c r="DK970" s="89" t="str">
        <f t="shared" si="588"/>
        <v>https://tinyurl.com/y7zzo4y6</v>
      </c>
      <c r="DL970" s="89" t="str">
        <f t="shared" si="589"/>
        <v>https://tinyurl.com/yc66ywrq</v>
      </c>
      <c r="DM970" s="219" t="str">
        <f t="shared" si="590"/>
        <v>Kore 80 X</v>
      </c>
      <c r="DN970" s="89" t="str">
        <f t="shared" si="591"/>
        <v xml:space="preserve"> HeadKore 80 X156 Unisex</v>
      </c>
      <c r="DO970" s="221"/>
    </row>
    <row r="971" spans="2:119" ht="15.6" customHeight="1">
      <c r="B971" s="219" t="b">
        <f t="array" ref="B971">IF(OR(ISERROR(K971:P971)),FALSE,TRUE)</f>
        <v>1</v>
      </c>
      <c r="C971" s="43" t="b">
        <f>OR(BR971=Driver!$G$50,Data!BR220=Driver!$H$50)</f>
        <v>1</v>
      </c>
      <c r="D971" s="43" t="b">
        <f>OR(BV971=Driver!$G$51,BV971=Driver!$H$51)</f>
        <v>1</v>
      </c>
      <c r="E971" s="43" t="b">
        <f>AND(BX971&gt;Driver!$F$54,BX971&lt;Driver!$G$54)</f>
        <v>0</v>
      </c>
      <c r="F971" s="43" t="b">
        <f>CL971&gt;Driver!$F$56</f>
        <v>1</v>
      </c>
      <c r="G971" s="43" t="b">
        <f>AND(CB971&gt;Driver!$F$55,CB971&lt;Driver!$G$55)</f>
        <v>1</v>
      </c>
      <c r="H971" s="43" t="b">
        <f t="shared" si="555"/>
        <v>0</v>
      </c>
      <c r="I971" s="43">
        <f t="shared" si="556"/>
        <v>0</v>
      </c>
      <c r="J971" s="43" t="b">
        <f t="array" ref="J971">NOT(OR(($H$9:$H$1273=TRUE)*($I$9:$I$1273&gt;0)*($BT$9:$BT$1273=BT971)*($K$9:$K$1273&gt;K971)))</f>
        <v>1</v>
      </c>
      <c r="K971" s="72">
        <f t="shared" si="557"/>
        <v>0.73925374553503143</v>
      </c>
      <c r="L971" s="72">
        <f t="shared" si="558"/>
        <v>0.83467223339034691</v>
      </c>
      <c r="M971" s="72">
        <f t="shared" si="559"/>
        <v>0.64383525767971594</v>
      </c>
      <c r="N971" s="72">
        <f t="shared" si="560"/>
        <v>0.56206846313760428</v>
      </c>
      <c r="O971" s="72">
        <f t="shared" si="561"/>
        <v>0.66607574375609802</v>
      </c>
      <c r="P971" s="72">
        <f t="shared" si="562"/>
        <v>0.70336156614544554</v>
      </c>
      <c r="Q971" s="72"/>
      <c r="R971" s="72"/>
      <c r="S971" s="72">
        <f t="shared" si="563"/>
        <v>0.58536514394910577</v>
      </c>
      <c r="T971" s="72">
        <f t="shared" si="564"/>
        <v>0.5008722429374266</v>
      </c>
      <c r="U971" s="72">
        <f t="shared" si="565"/>
        <v>0.51</v>
      </c>
      <c r="V971" s="72">
        <f t="shared" si="566"/>
        <v>0.5036433251220217</v>
      </c>
      <c r="W971" s="72">
        <f t="shared" si="567"/>
        <v>0.75259635912857825</v>
      </c>
      <c r="X971" s="72">
        <f t="shared" si="568"/>
        <v>0.16532776660965304</v>
      </c>
      <c r="Y971" s="72">
        <f t="shared" si="569"/>
        <v>0.35616474232028406</v>
      </c>
      <c r="Z971" s="72">
        <f t="shared" si="570"/>
        <v>0.43793153686239572</v>
      </c>
      <c r="AA971" s="72">
        <f t="shared" si="571"/>
        <v>0.33392425624390193</v>
      </c>
      <c r="AB971" s="72">
        <f t="shared" si="572"/>
        <v>0.29663843385455441</v>
      </c>
      <c r="AC971" s="72"/>
      <c r="AD971" s="72"/>
      <c r="AE971" s="72">
        <f t="shared" si="573"/>
        <v>0.41463485605089423</v>
      </c>
      <c r="AF971" s="72">
        <f t="shared" si="574"/>
        <v>0.4991277570625734</v>
      </c>
      <c r="AG971" s="72">
        <f t="shared" si="575"/>
        <v>0.49</v>
      </c>
      <c r="AH971" s="72">
        <f t="shared" si="576"/>
        <v>0.4963566748779783</v>
      </c>
      <c r="AI971" s="72">
        <f t="shared" si="577"/>
        <v>0.24740364087142169</v>
      </c>
      <c r="AJ971" s="72">
        <f>(AV971-Driver!$K$179)/(Driver!$L$179-Driver!$K$179)</f>
        <v>0.41954717589235346</v>
      </c>
      <c r="AK971" s="72">
        <f>(AW971-Driver!$K$180)/(Driver!$L$180-Driver!$K$180)</f>
        <v>0.55744912121199153</v>
      </c>
      <c r="AL971" s="72">
        <f>(AX971-Driver!$K$181)/(Driver!$L$181-Driver!$K$181)</f>
        <v>0.53961930057547591</v>
      </c>
      <c r="AM971" s="72">
        <f>(AY971-Driver!$K$182)/(Driver!$L$182-Driver!$K$182)</f>
        <v>0.11346076485314445</v>
      </c>
      <c r="AN971" s="72">
        <f>(AZ971-Driver!$K$183)/(Driver!$L$183-Driver!$K$183)</f>
        <v>0.55085784313725483</v>
      </c>
      <c r="AO971" s="72"/>
      <c r="AP971" s="72"/>
      <c r="AQ971" s="72">
        <f>(BC971-Driver!$K$188)/(Driver!$L$188-Driver!$K$188)</f>
        <v>0.20536514394910579</v>
      </c>
      <c r="AR971" s="72">
        <f>MIN((BD971-Driver!$K$189)/(Driver!$L$189-Driver!$K$189),100%)</f>
        <v>5.0872242937426655E-2</v>
      </c>
      <c r="AS971" s="72">
        <f>(BE971-Driver!$K$190)/(Driver!$L$190-Driver!$K$190)</f>
        <v>1</v>
      </c>
      <c r="AT971" s="72">
        <f>(BF971-Driver!$K$191)/(Driver!$L$191-Driver!$K$191)</f>
        <v>1.3643325122021726E-2</v>
      </c>
      <c r="AU971" s="72">
        <f>(BG971-Driver!$K$192)/(Driver!$L$192-Driver!$K$192)</f>
        <v>2.5963591285783154E-3</v>
      </c>
      <c r="AV971" s="70">
        <f t="shared" si="578"/>
        <v>8.8302129968796628</v>
      </c>
      <c r="AW971" s="70">
        <f t="shared" si="579"/>
        <v>56.200248985268352</v>
      </c>
      <c r="AX971" s="70">
        <f t="shared" si="580"/>
        <v>5.856573705179283</v>
      </c>
      <c r="AY971" s="70">
        <f>IFERROR(Driver!$K$19/Data!BH971/Data!BI971*Data!BK971*Data!BL971,"")</f>
        <v>0.13890982960507947</v>
      </c>
      <c r="AZ971" s="70">
        <f t="shared" si="581"/>
        <v>50.20476545048399</v>
      </c>
      <c r="BA971" s="70"/>
      <c r="BB971" s="70"/>
      <c r="BC971" s="70">
        <f t="shared" si="582"/>
        <v>106.52432784171991</v>
      </c>
      <c r="BD971" s="70">
        <f t="shared" si="583"/>
        <v>6.2229262437793817</v>
      </c>
      <c r="BE971" s="70">
        <f t="shared" si="584"/>
        <v>1</v>
      </c>
      <c r="BF971" s="70">
        <f t="shared" si="585"/>
        <v>1.5409177227486521</v>
      </c>
      <c r="BG971" s="70">
        <f t="shared" si="586"/>
        <v>9.8314719588622861E-3</v>
      </c>
      <c r="BH971" s="67">
        <f>MAX((CE971-Driver!$F$200)/(Driver!$G$200-Driver!$F$200)*$BI$1,1)</f>
        <v>5.856573705179283</v>
      </c>
      <c r="BI971" s="67">
        <f>MAX($BI$1*(BY971-Driver!$F$201)/(Driver!$G$201-Driver!$F$201),1)</f>
        <v>9.1772151898734169</v>
      </c>
      <c r="BJ971" s="67">
        <f>(CB971-Driver!$F$206)/(Driver!$G$206-Driver!$F$206)*$BI$1</f>
        <v>6.5079365079365079</v>
      </c>
      <c r="BK971" s="67">
        <f>(CD971-Driver!$F$203)/(Driver!$G$203-Driver!$F$203)*$BI$1</f>
        <v>5.4128440366972477</v>
      </c>
      <c r="BL971" s="67">
        <f>MAX((CR971-Driver!$F$202)/(Driver!$G$202-Driver!$F$202)*$BI$1,1)</f>
        <v>6.8965517241379315</v>
      </c>
      <c r="BM971" s="67">
        <f>MAX((CH971-Driver!$F$204)/(Driver!$G$204-Driver!$F$204)*$BI$1,1)</f>
        <v>5.4273504273504267</v>
      </c>
      <c r="BN971" s="67">
        <f>(CI971-Driver!$F$205)/(Driver!$G$205-Driver!$F$205)*$BI$1</f>
        <v>5.4705882352941178</v>
      </c>
      <c r="BO971" s="67">
        <f>(CK971-Driver!$F$207)/(Driver!$G$207-Driver!$F$207)*$BI$1</f>
        <v>1.7476732161323683</v>
      </c>
      <c r="BP971" s="67">
        <f>(CM971-Driver!$F$208)/(Driver!$G$208-Driver!$F$208)*$BI$1</f>
        <v>0.73333333333333339</v>
      </c>
      <c r="BQ971" s="67">
        <f>(CL971-Driver!$F$209)/(Driver!$G$209-Driver!$F$209)*$BI$1</f>
        <v>0.3125</v>
      </c>
      <c r="BR971" s="28" t="s">
        <v>155</v>
      </c>
      <c r="BS971" s="8" t="s">
        <v>237</v>
      </c>
      <c r="BT971" s="9" t="s">
        <v>443</v>
      </c>
      <c r="BU971" s="10">
        <v>188.2</v>
      </c>
      <c r="BV971" s="9" t="s">
        <v>158</v>
      </c>
      <c r="BW971" s="10">
        <v>188.2</v>
      </c>
      <c r="BX971" s="10">
        <v>187.1</v>
      </c>
      <c r="BY971" s="10">
        <v>153</v>
      </c>
      <c r="BZ971" s="10">
        <v>151</v>
      </c>
      <c r="CA971" s="10">
        <v>142</v>
      </c>
      <c r="CB971" s="10">
        <v>105</v>
      </c>
      <c r="CC971" s="10">
        <v>119</v>
      </c>
      <c r="CD971" s="10">
        <v>21.2</v>
      </c>
      <c r="CE971" s="10">
        <v>1929</v>
      </c>
      <c r="CF971" s="10">
        <v>1.1299999999999999</v>
      </c>
      <c r="CG971" s="10">
        <v>2173</v>
      </c>
      <c r="CH971" s="10">
        <v>228</v>
      </c>
      <c r="CI971" s="10">
        <v>126</v>
      </c>
      <c r="CJ971" s="10">
        <v>44</v>
      </c>
      <c r="CK971" s="10">
        <v>279</v>
      </c>
      <c r="CL971" s="10">
        <v>2</v>
      </c>
      <c r="CM971" s="10">
        <v>66</v>
      </c>
      <c r="CN971" s="10">
        <v>5.5E-2</v>
      </c>
      <c r="CO971" s="10">
        <v>205</v>
      </c>
      <c r="CP971" s="10">
        <v>156</v>
      </c>
      <c r="CQ971" s="10">
        <v>74</v>
      </c>
      <c r="CR971" s="10">
        <v>9</v>
      </c>
      <c r="CS971" s="10">
        <v>10.6</v>
      </c>
      <c r="CT971" s="9" t="s">
        <v>178</v>
      </c>
      <c r="CU971" s="9" t="s">
        <v>185</v>
      </c>
      <c r="CV971" s="10"/>
      <c r="CW971" s="10"/>
      <c r="CX971" t="str">
        <f>INDEX('Data_Price '!AG$2:AG$1266,MATCH(Data!$DN971,'Data_Price '!$AT$2:$AT$1266,0))</f>
        <v>2022 Black Crows Corvus Freebird Skis w/ Marker Kingpin 13 Bindings - 188| Ski Essentials</v>
      </c>
      <c r="CY971" t="str">
        <f>INDEX('Data_Price '!AH$2:AH$1266,MATCH(Data!$DN971,'Data_Price '!$AT$2:$AT$1266,0))</f>
        <v>SkiEssentials.com</v>
      </c>
      <c r="CZ971">
        <f>INDEX('Data_Price '!AI$2:AI$1266,MATCH(Data!$DN971,'Data_Price '!$AT$2:$AT$1266,0))</f>
        <v>1114.96</v>
      </c>
      <c r="DA971" t="str">
        <f>INDEX('Data_Price '!AJ$2:AJ$1266,MATCH(Data!$DN971,'Data_Price '!$AT$2:$AT$1266,0))</f>
        <v>https://tinyurl.com/y94o8xr6</v>
      </c>
      <c r="DB971" t="str">
        <f>INDEX('Data_Price '!AK$2:AK$1266,MATCH(Data!$DN971,'Data_Price '!$AT$2:$AT$1266,0))</f>
        <v>Black Crows Corvus Freebird Skis (2022) 188</v>
      </c>
      <c r="DC971" t="str">
        <f>INDEX('Data_Price '!AL$2:AL$1266,MATCH(Data!$DN971,'Data_Price '!$AT$2:$AT$1266,0))</f>
        <v>Cripple Creek Backcountry</v>
      </c>
      <c r="DD971">
        <f>INDEX('Data_Price '!AM$2:AM$1266,MATCH(Data!$DN971,'Data_Price '!$AT$2:$AT$1266,0))</f>
        <v>719.95</v>
      </c>
      <c r="DE971" t="str">
        <f>INDEX('Data_Price '!AN$2:AN$1266,MATCH(Data!$DN971,'Data_Price '!$AT$2:$AT$1266,0))</f>
        <v>https://tinyurl.com/ybvawq2u</v>
      </c>
      <c r="DF971" t="str">
        <f>INDEX('Data_Price '!AO$2:AO$1266,MATCH(Data!$DN971,'Data_Price '!$AT$2:$AT$1266,0))</f>
        <v>Black Crows Corvus Freebird Skis 188cm 2021</v>
      </c>
      <c r="DG971" t="str">
        <f>INDEX('Data_Price '!AP$2:AP$1266,MATCH(Data!$DN971,'Data_Price '!$AT$2:$AT$1266,0))</f>
        <v>Powder7 Ski Shop</v>
      </c>
      <c r="DH971">
        <f>INDEX('Data_Price '!AQ$2:AQ$1266,MATCH(Data!$DN971,'Data_Price '!$AT$2:$AT$1266,0))</f>
        <v>720.93</v>
      </c>
      <c r="DI971" t="str">
        <f>INDEX('Data_Price '!AR$2:AR$1266,MATCH(Data!$DN971,'Data_Price '!$AT$2:$AT$1266,0))</f>
        <v>https://tinyurl.com/ycab3k6g</v>
      </c>
      <c r="DJ971" s="89" t="str">
        <f t="shared" si="587"/>
        <v>https://tinyurl.com/y94o8xr6</v>
      </c>
      <c r="DK971" s="89" t="str">
        <f t="shared" si="588"/>
        <v>https://tinyurl.com/ybvawq2u</v>
      </c>
      <c r="DL971" s="89" t="str">
        <f t="shared" si="589"/>
        <v>https://tinyurl.com/ycab3k6g</v>
      </c>
      <c r="DM971" s="219" t="str">
        <f t="shared" si="590"/>
        <v>Corvus Freebird</v>
      </c>
      <c r="DN971" s="89" t="str">
        <f t="shared" si="591"/>
        <v xml:space="preserve"> Black CrowsCorvus Freebird188.2 Unisex</v>
      </c>
      <c r="DO971" s="221" t="s">
        <v>444</v>
      </c>
    </row>
    <row r="972" spans="2:119" ht="15.6" customHeight="1">
      <c r="B972" s="219" t="b">
        <f t="array" ref="B972">IF(OR(ISERROR(K972:P972)),FALSE,TRUE)</f>
        <v>1</v>
      </c>
      <c r="C972" s="43" t="b">
        <f>OR(BR972=Driver!$G$50,Data!BR458=Driver!$H$50)</f>
        <v>1</v>
      </c>
      <c r="D972" s="43" t="b">
        <f>OR(BV972=Driver!$G$51,BV972=Driver!$H$51)</f>
        <v>0</v>
      </c>
      <c r="E972" s="43" t="b">
        <f>AND(BX972&gt;Driver!$F$54,BX972&lt;Driver!$G$54)</f>
        <v>0</v>
      </c>
      <c r="F972" s="43" t="b">
        <f>CL972&gt;Driver!$F$56</f>
        <v>1</v>
      </c>
      <c r="G972" s="43" t="b">
        <f>AND(CB972&gt;Driver!$F$55,CB972&lt;Driver!$G$55)</f>
        <v>0</v>
      </c>
      <c r="H972" s="43" t="b">
        <f t="shared" si="555"/>
        <v>0</v>
      </c>
      <c r="I972" s="43">
        <f t="shared" si="556"/>
        <v>0</v>
      </c>
      <c r="J972" s="43" t="b">
        <f t="array" ref="J972">NOT(OR(($H$9:$H$1273=TRUE)*($I$9:$I$1273&gt;0)*($BT$9:$BT$1273=BT972)*($K$9:$K$1273&gt;K972)))</f>
        <v>1</v>
      </c>
      <c r="K972" s="72">
        <f t="shared" si="557"/>
        <v>0.81920198021835688</v>
      </c>
      <c r="L972" s="72">
        <f t="shared" si="558"/>
        <v>0.85407162286619975</v>
      </c>
      <c r="M972" s="72">
        <f t="shared" si="559"/>
        <v>0.78433233757051413</v>
      </c>
      <c r="N972" s="72">
        <f t="shared" si="560"/>
        <v>0.83273184137070366</v>
      </c>
      <c r="O972" s="72">
        <f t="shared" si="561"/>
        <v>0.64213163944706841</v>
      </c>
      <c r="P972" s="72">
        <f t="shared" si="562"/>
        <v>0.87813353189377019</v>
      </c>
      <c r="Q972" s="72"/>
      <c r="R972" s="72"/>
      <c r="S972" s="72">
        <f t="shared" si="563"/>
        <v>0.41279263717578474</v>
      </c>
      <c r="T972" s="72">
        <f t="shared" si="564"/>
        <v>0.4761871385777442</v>
      </c>
      <c r="U972" s="72">
        <f t="shared" si="565"/>
        <v>0.81250551343740396</v>
      </c>
      <c r="V972" s="72">
        <f t="shared" si="566"/>
        <v>0.52373636532121104</v>
      </c>
      <c r="W972" s="72">
        <f t="shared" si="567"/>
        <v>0.83065129545994765</v>
      </c>
      <c r="X972" s="72">
        <f t="shared" si="568"/>
        <v>0.1459283771338003</v>
      </c>
      <c r="Y972" s="72">
        <f t="shared" si="569"/>
        <v>0.2156676624294859</v>
      </c>
      <c r="Z972" s="72">
        <f t="shared" si="570"/>
        <v>0.16726815862929634</v>
      </c>
      <c r="AA972" s="72">
        <f t="shared" si="571"/>
        <v>0.35786836055293159</v>
      </c>
      <c r="AB972" s="72">
        <f t="shared" si="572"/>
        <v>0.12186646810622986</v>
      </c>
      <c r="AC972" s="72"/>
      <c r="AD972" s="72"/>
      <c r="AE972" s="72">
        <f t="shared" si="573"/>
        <v>0.58720736282421526</v>
      </c>
      <c r="AF972" s="72">
        <f t="shared" si="574"/>
        <v>0.5238128614222558</v>
      </c>
      <c r="AG972" s="72">
        <f t="shared" si="575"/>
        <v>0.1874944865625961</v>
      </c>
      <c r="AH972" s="72">
        <f t="shared" si="576"/>
        <v>0.47626363467878896</v>
      </c>
      <c r="AI972" s="72">
        <f t="shared" si="577"/>
        <v>0.1693487045400523</v>
      </c>
      <c r="AJ972" s="72">
        <f>(AV972-Driver!$K$179)/(Driver!$L$179-Driver!$K$179)</f>
        <v>0.10829103214890014</v>
      </c>
      <c r="AK972" s="72">
        <f>(AW972-Driver!$K$180)/(Driver!$L$180-Driver!$K$180)</f>
        <v>0.14078609366064684</v>
      </c>
      <c r="AL972" s="72">
        <f>(AX972-Driver!$K$181)/(Driver!$L$181-Driver!$K$181)</f>
        <v>0.26895592234237653</v>
      </c>
      <c r="AM972" s="72">
        <f>(AY972-Driver!$K$182)/(Driver!$L$182-Driver!$K$182)</f>
        <v>8.9516660544114793E-2</v>
      </c>
      <c r="AN972" s="72">
        <f>(AZ972-Driver!$K$183)/(Driver!$L$183-Driver!$K$183)</f>
        <v>0.13235294117647056</v>
      </c>
      <c r="AO972" s="72"/>
      <c r="AP972" s="72"/>
      <c r="AQ972" s="72">
        <f>(BC972-Driver!$K$188)/(Driver!$L$188-Driver!$K$188)</f>
        <v>3.2792637175784727E-2</v>
      </c>
      <c r="AR972" s="72">
        <f>MIN((BD972-Driver!$K$189)/(Driver!$L$189-Driver!$K$189),100%)</f>
        <v>2.6187138577744202E-2</v>
      </c>
      <c r="AS972" s="72">
        <f>(BE972-Driver!$K$190)/(Driver!$L$190-Driver!$K$190)</f>
        <v>0.32250551343740391</v>
      </c>
      <c r="AT972" s="72">
        <f>(BF972-Driver!$K$191)/(Driver!$L$191-Driver!$K$191)</f>
        <v>3.3736365321211048E-2</v>
      </c>
      <c r="AU972" s="72">
        <f>(BG972-Driver!$K$192)/(Driver!$L$192-Driver!$K$192)</f>
        <v>8.0651295459947703E-2</v>
      </c>
      <c r="AV972" s="70">
        <f t="shared" si="578"/>
        <v>2.2792022792022788</v>
      </c>
      <c r="AW972" s="70">
        <f t="shared" si="579"/>
        <v>15.592744940383405</v>
      </c>
      <c r="AX972" s="70">
        <f t="shared" si="580"/>
        <v>3.4206033010813885</v>
      </c>
      <c r="AY972" s="70">
        <f>IFERROR(Driver!$K$19/Data!BH972/Data!BI972*Data!BK972*Data!BL972,"")</f>
        <v>0.10959510169963489</v>
      </c>
      <c r="AZ972" s="70">
        <f t="shared" si="581"/>
        <v>12.062546537602381</v>
      </c>
      <c r="BA972" s="70"/>
      <c r="BB972" s="70"/>
      <c r="BC972" s="70">
        <f t="shared" si="582"/>
        <v>17.009768873794684</v>
      </c>
      <c r="BD972" s="70">
        <f t="shared" si="583"/>
        <v>4.0383382473642122</v>
      </c>
      <c r="BE972" s="70">
        <f t="shared" si="584"/>
        <v>0.32262637082828144</v>
      </c>
      <c r="BF972" s="70">
        <f t="shared" si="585"/>
        <v>3.8102854516504974</v>
      </c>
      <c r="BG972" s="70">
        <f t="shared" si="586"/>
        <v>0.30539725457570716</v>
      </c>
      <c r="BH972" s="67">
        <f>MAX((CE972-Driver!$F$200)/(Driver!$G$200-Driver!$F$200)*$BI$1,1)</f>
        <v>3.4206033010813885</v>
      </c>
      <c r="BI972" s="67">
        <f>MAX($BI$1*(BY972-Driver!$F$201)/(Driver!$G$201-Driver!$F$201),1)</f>
        <v>7.5949367088607591</v>
      </c>
      <c r="BJ972" s="67">
        <f>(CB972-Driver!$F$206)/(Driver!$G$206-Driver!$F$206)*$BI$1</f>
        <v>3.8095238095238093</v>
      </c>
      <c r="BK972" s="67">
        <f>(CD972-Driver!$F$203)/(Driver!$G$203-Driver!$F$203)*$BI$1</f>
        <v>2.7522935779816518</v>
      </c>
      <c r="BL972" s="67">
        <f>MAX((CR972-Driver!$F$202)/(Driver!$G$202-Driver!$F$202)*$BI$1,1)</f>
        <v>5.1724137931034484</v>
      </c>
      <c r="BM972" s="67">
        <f>MAX((CH972-Driver!$F$204)/(Driver!$G$204-Driver!$F$204)*$BI$1,1)</f>
        <v>2.3931623931623931</v>
      </c>
      <c r="BN972" s="67">
        <f>(CI972-Driver!$F$205)/(Driver!$G$205-Driver!$F$205)*$BI$1</f>
        <v>1.588235294117647</v>
      </c>
      <c r="BO972" s="67">
        <f>(CK972-Driver!$F$207)/(Driver!$G$207-Driver!$F$207)*$BI$1</f>
        <v>1.2512926577042398</v>
      </c>
      <c r="BP972" s="67">
        <f>(CM972-Driver!$F$208)/(Driver!$G$208-Driver!$F$208)*$BI$1</f>
        <v>2.2000000000000002</v>
      </c>
      <c r="BQ972" s="67">
        <f>(CL972-Driver!$F$209)/(Driver!$G$209-Driver!$F$209)*$BI$1</f>
        <v>2.5</v>
      </c>
      <c r="BR972" s="28" t="s">
        <v>155</v>
      </c>
      <c r="BS972" s="8" t="s">
        <v>164</v>
      </c>
      <c r="BT972" s="9" t="s">
        <v>826</v>
      </c>
      <c r="BU972" s="10">
        <v>170</v>
      </c>
      <c r="BV972" s="9" t="s">
        <v>163</v>
      </c>
      <c r="BW972" s="10">
        <v>170</v>
      </c>
      <c r="BX972" s="10">
        <v>170.5</v>
      </c>
      <c r="BY972" s="10">
        <v>128</v>
      </c>
      <c r="BZ972" s="10">
        <v>138</v>
      </c>
      <c r="CA972" s="10">
        <v>129</v>
      </c>
      <c r="CB972" s="10">
        <v>88</v>
      </c>
      <c r="CC972" s="10">
        <v>105</v>
      </c>
      <c r="CD972" s="10">
        <v>15.4</v>
      </c>
      <c r="CE972" s="10">
        <v>1501</v>
      </c>
      <c r="CF972" s="10">
        <v>1.1399999999999999</v>
      </c>
      <c r="CG972" s="10">
        <v>1718</v>
      </c>
      <c r="CH972" s="10">
        <v>157</v>
      </c>
      <c r="CI972" s="10">
        <v>60</v>
      </c>
      <c r="CJ972" s="10">
        <v>49</v>
      </c>
      <c r="CK972" s="10">
        <v>231</v>
      </c>
      <c r="CL972" s="10">
        <v>16</v>
      </c>
      <c r="CM972" s="10">
        <v>198</v>
      </c>
      <c r="CN972" s="10">
        <v>0.33800000000000002</v>
      </c>
      <c r="CO972" s="10">
        <v>157</v>
      </c>
      <c r="CP972" s="10">
        <v>168</v>
      </c>
      <c r="CQ972" s="10">
        <v>74</v>
      </c>
      <c r="CR972" s="10">
        <v>4</v>
      </c>
      <c r="CS972" s="10">
        <v>8.6999999999999993</v>
      </c>
      <c r="CT972" s="9" t="s">
        <v>188</v>
      </c>
      <c r="CU972" s="9" t="s">
        <v>185</v>
      </c>
      <c r="CV972" s="10"/>
      <c r="CW972" s="10"/>
      <c r="CX972" t="str">
        <f>INDEX('Data_Price '!AG$2:AG$1266,MATCH(Data!$DN972,'Data_Price '!$AT$2:$AT$1266,0))</f>
        <v>2023 Elan Ripstick Tour 88 Skis w/ ATK C-Raider 12 Bindings - 170| Ski Essentials</v>
      </c>
      <c r="CY972" t="str">
        <f>INDEX('Data_Price '!AH$2:AH$1266,MATCH(Data!$DN972,'Data_Price '!$AT$2:$AT$1266,0))</f>
        <v>SkiEssentials.com</v>
      </c>
      <c r="CZ972">
        <f>INDEX('Data_Price '!AI$2:AI$1266,MATCH(Data!$DN972,'Data_Price '!$AT$2:$AT$1266,0))</f>
        <v>1394.95</v>
      </c>
      <c r="DA972" t="str">
        <f>INDEX('Data_Price '!AJ$2:AJ$1266,MATCH(Data!$DN972,'Data_Price '!$AT$2:$AT$1266,0))</f>
        <v>https://tinyurl.com/y6wpu7bv</v>
      </c>
      <c r="DB972" t="str">
        <f>INDEX('Data_Price '!AK$2:AK$1266,MATCH(Data!$DN972,'Data_Price '!$AT$2:$AT$1266,0))</f>
        <v>2021 Elan All Mountain Ripstick 88 Skis with Bindings Max DIN 11</v>
      </c>
      <c r="DC972" t="str">
        <f>INDEX('Data_Price '!AL$2:AL$1266,MATCH(Data!$DN972,'Data_Price '!$AT$2:$AT$1266,0))</f>
        <v>SidelineSwap</v>
      </c>
      <c r="DD972">
        <f>INDEX('Data_Price '!AM$2:AM$1266,MATCH(Data!$DN972,'Data_Price '!$AT$2:$AT$1266,0))</f>
        <v>472</v>
      </c>
      <c r="DE972" t="str">
        <f>INDEX('Data_Price '!AN$2:AN$1266,MATCH(Data!$DN972,'Data_Price '!$AT$2:$AT$1266,0))</f>
        <v>https://tinyurl.com/y8so558x</v>
      </c>
      <c r="DF972" t="str">
        <f>INDEX('Data_Price '!AO$2:AO$1266,MATCH(Data!$DN972,'Data_Price '!$AT$2:$AT$1266,0))</f>
        <v>Elan Ripstick 102 W Women's Skis 2022</v>
      </c>
      <c r="DG972" t="str">
        <f>INDEX('Data_Price '!AP$2:AP$1266,MATCH(Data!$DN972,'Data_Price '!$AT$2:$AT$1266,0))</f>
        <v>PRFO Sports</v>
      </c>
      <c r="DH972">
        <f>INDEX('Data_Price '!AQ$2:AQ$1266,MATCH(Data!$DN972,'Data_Price '!$AT$2:$AT$1266,0))</f>
        <v>601.08000000000004</v>
      </c>
      <c r="DI972" t="str">
        <f>INDEX('Data_Price '!AR$2:AR$1266,MATCH(Data!$DN972,'Data_Price '!$AT$2:$AT$1266,0))</f>
        <v>https://tinyurl.com/y8vv8hql</v>
      </c>
      <c r="DJ972" s="89" t="str">
        <f t="shared" si="587"/>
        <v>https://tinyurl.com/y6wpu7bv</v>
      </c>
      <c r="DK972" s="89" t="str">
        <f t="shared" si="588"/>
        <v>https://tinyurl.com/y8so558x</v>
      </c>
      <c r="DL972" s="89" t="str">
        <f t="shared" si="589"/>
        <v>https://tinyurl.com/y8vv8hql</v>
      </c>
      <c r="DM972" s="219" t="str">
        <f t="shared" si="590"/>
        <v>Ripstick 88 W</v>
      </c>
      <c r="DN972" s="89" t="str">
        <f t="shared" si="591"/>
        <v xml:space="preserve"> ElanRipstick 88 W170 Women's</v>
      </c>
      <c r="DO972" s="221" t="s">
        <v>636</v>
      </c>
    </row>
    <row r="973" spans="2:119" ht="15.6" customHeight="1">
      <c r="B973" s="219" t="b">
        <f t="array" ref="B973">IF(OR(ISERROR(K973:P973)),FALSE,TRUE)</f>
        <v>1</v>
      </c>
      <c r="C973" s="43" t="b">
        <f>OR(BR973=Driver!$G$50,Data!BR851=Driver!$H$50)</f>
        <v>1</v>
      </c>
      <c r="D973" s="43" t="b">
        <f>OR(BV973=Driver!$G$51,BV973=Driver!$H$51)</f>
        <v>0</v>
      </c>
      <c r="E973" s="43" t="b">
        <f>AND(BX973&gt;Driver!$F$54,BX973&lt;Driver!$G$54)</f>
        <v>1</v>
      </c>
      <c r="F973" s="43" t="b">
        <f>CL973&gt;Driver!$F$56</f>
        <v>1</v>
      </c>
      <c r="G973" s="43" t="b">
        <f>AND(CB973&gt;Driver!$F$55,CB973&lt;Driver!$G$55)</f>
        <v>0</v>
      </c>
      <c r="H973" s="43" t="b">
        <f t="shared" si="555"/>
        <v>0</v>
      </c>
      <c r="I973" s="43">
        <f t="shared" si="556"/>
        <v>0</v>
      </c>
      <c r="J973" s="43" t="b">
        <f t="array" ref="J973">NOT(OR(($H$9:$H$1273=TRUE)*($I$9:$I$1273&gt;0)*($BT$9:$BT$1273=BT973)*($K$9:$K$1273&gt;K973)))</f>
        <v>1</v>
      </c>
      <c r="K973" s="72">
        <f t="shared" si="557"/>
        <v>0.81592940004087278</v>
      </c>
      <c r="L973" s="72">
        <f t="shared" si="558"/>
        <v>0.810078391055709</v>
      </c>
      <c r="M973" s="72">
        <f t="shared" si="559"/>
        <v>0.82178040902603655</v>
      </c>
      <c r="N973" s="72">
        <f t="shared" si="560"/>
        <v>0.89407377522259768</v>
      </c>
      <c r="O973" s="72">
        <f t="shared" si="561"/>
        <v>0.66600973695520582</v>
      </c>
      <c r="P973" s="72">
        <f t="shared" si="562"/>
        <v>0.90525771490030604</v>
      </c>
      <c r="Q973" s="72"/>
      <c r="R973" s="72"/>
      <c r="S973" s="72">
        <f t="shared" si="563"/>
        <v>0.41996800513907984</v>
      </c>
      <c r="T973" s="72">
        <f t="shared" si="564"/>
        <v>0.47889252130264726</v>
      </c>
      <c r="U973" s="72">
        <f t="shared" si="565"/>
        <v>0.94642554541997148</v>
      </c>
      <c r="V973" s="72">
        <f t="shared" si="566"/>
        <v>0.5073410589972307</v>
      </c>
      <c r="W973" s="72">
        <f t="shared" si="567"/>
        <v>0.90227465986394551</v>
      </c>
      <c r="X973" s="72">
        <f t="shared" si="568"/>
        <v>0.18992160894429094</v>
      </c>
      <c r="Y973" s="72">
        <f t="shared" si="569"/>
        <v>0.17821959097396345</v>
      </c>
      <c r="Z973" s="72">
        <f t="shared" si="570"/>
        <v>0.10592622477740234</v>
      </c>
      <c r="AA973" s="72">
        <f t="shared" si="571"/>
        <v>0.33399026304479418</v>
      </c>
      <c r="AB973" s="72">
        <f t="shared" si="572"/>
        <v>9.4742285099693901E-2</v>
      </c>
      <c r="AC973" s="72"/>
      <c r="AD973" s="72"/>
      <c r="AE973" s="72">
        <f t="shared" si="573"/>
        <v>0.58003199486092016</v>
      </c>
      <c r="AF973" s="72">
        <f t="shared" si="574"/>
        <v>0.52110747869735274</v>
      </c>
      <c r="AG973" s="72">
        <f t="shared" si="575"/>
        <v>5.3574454580028519E-2</v>
      </c>
      <c r="AH973" s="72">
        <f t="shared" si="576"/>
        <v>0.49265894100276925</v>
      </c>
      <c r="AI973" s="72">
        <f t="shared" si="577"/>
        <v>9.7725340136054439E-2</v>
      </c>
      <c r="AJ973" s="72">
        <f>(AV973-Driver!$K$179)/(Driver!$L$179-Driver!$K$179)</f>
        <v>6.4297800338409469E-2</v>
      </c>
      <c r="AK973" s="72">
        <f>(AW973-Driver!$K$180)/(Driver!$L$180-Driver!$K$180)</f>
        <v>0.16078667577048594</v>
      </c>
      <c r="AL973" s="72">
        <f>(AX973-Driver!$K$181)/(Driver!$L$181-Driver!$K$181)</f>
        <v>0.20761398849048252</v>
      </c>
      <c r="AM973" s="72">
        <f>(AY973-Driver!$K$182)/(Driver!$L$182-Driver!$K$182)</f>
        <v>0.11339475805225219</v>
      </c>
      <c r="AN973" s="72">
        <f>(AZ973-Driver!$K$183)/(Driver!$L$183-Driver!$K$183)</f>
        <v>0.15947712418300652</v>
      </c>
      <c r="AO973" s="72"/>
      <c r="AP973" s="72"/>
      <c r="AQ973" s="72">
        <f>(BC973-Driver!$K$188)/(Driver!$L$188-Driver!$K$188)</f>
        <v>3.996800513907986E-2</v>
      </c>
      <c r="AR973" s="72">
        <f>MIN((BD973-Driver!$K$189)/(Driver!$L$189-Driver!$K$189),100%)</f>
        <v>2.8892521302647325E-2</v>
      </c>
      <c r="AS973" s="72">
        <f>(BE973-Driver!$K$190)/(Driver!$L$190-Driver!$K$190)</f>
        <v>0.56357445458002853</v>
      </c>
      <c r="AT973" s="72">
        <f>(BF973-Driver!$K$191)/(Driver!$L$191-Driver!$K$191)</f>
        <v>1.7341058997230763E-2</v>
      </c>
      <c r="AU973" s="72">
        <f>(BG973-Driver!$K$192)/(Driver!$L$192-Driver!$K$192)</f>
        <v>0.15227465986394556</v>
      </c>
      <c r="AV973" s="70">
        <f t="shared" si="578"/>
        <v>1.3532763532763532</v>
      </c>
      <c r="AW973" s="70">
        <f t="shared" si="579"/>
        <v>17.54197889017335</v>
      </c>
      <c r="AX973" s="70">
        <f t="shared" si="580"/>
        <v>2.8685258964143427</v>
      </c>
      <c r="AY973" s="70">
        <f>IFERROR(Driver!$K$19/Data!BH973/Data!BI973*Data!BK973*Data!BL973,"")</f>
        <v>0.13882901758625879</v>
      </c>
      <c r="AZ973" s="70">
        <f t="shared" si="581"/>
        <v>14.534623976172748</v>
      </c>
      <c r="BA973" s="70"/>
      <c r="BB973" s="70"/>
      <c r="BC973" s="70">
        <f t="shared" si="582"/>
        <v>20.731682118704679</v>
      </c>
      <c r="BD973" s="70">
        <f t="shared" si="583"/>
        <v>4.2777598248636055</v>
      </c>
      <c r="BE973" s="70">
        <f t="shared" si="584"/>
        <v>0.56365230798515276</v>
      </c>
      <c r="BF973" s="70">
        <f t="shared" si="585"/>
        <v>1.9585507859027844</v>
      </c>
      <c r="BG973" s="70">
        <f t="shared" si="586"/>
        <v>0.57660900297619044</v>
      </c>
      <c r="BH973" s="67">
        <f>MAX((CE973-Driver!$F$200)/(Driver!$G$200-Driver!$F$200)*$BI$1,1)</f>
        <v>2.8685258964143427</v>
      </c>
      <c r="BI973" s="67">
        <f>MAX($BI$1*(BY973-Driver!$F$201)/(Driver!$G$201-Driver!$F$201),1)</f>
        <v>7.7215189873417724</v>
      </c>
      <c r="BJ973" s="67">
        <f>(CB973-Driver!$F$206)/(Driver!$G$206-Driver!$F$206)*$BI$1</f>
        <v>3.0158730158730158</v>
      </c>
      <c r="BK973" s="67">
        <f>(CD973-Driver!$F$203)/(Driver!$G$203-Driver!$F$203)*$BI$1</f>
        <v>2.4770642201834865</v>
      </c>
      <c r="BL973" s="67">
        <f>MAX((CR973-Driver!$F$202)/(Driver!$G$202-Driver!$F$202)*$BI$1,1)</f>
        <v>6.2068965517241379</v>
      </c>
      <c r="BM973" s="67">
        <f>MAX((CH973-Driver!$F$204)/(Driver!$G$204-Driver!$F$204)*$BI$1,1)</f>
        <v>1.7948717948717949</v>
      </c>
      <c r="BN973" s="67">
        <f>(CI973-Driver!$F$205)/(Driver!$G$205-Driver!$F$205)*$BI$1</f>
        <v>1.8823529411764706</v>
      </c>
      <c r="BO973" s="67">
        <f>(CK973-Driver!$F$207)/(Driver!$G$207-Driver!$F$207)*$BI$1</f>
        <v>1.0341261633919339</v>
      </c>
      <c r="BP973" s="67">
        <f>(CM973-Driver!$F$208)/(Driver!$G$208-Driver!$F$208)*$BI$1</f>
        <v>1.5555555555555556</v>
      </c>
      <c r="BQ973" s="67">
        <f>(CL973-Driver!$F$209)/(Driver!$G$209-Driver!$F$209)*$BI$1</f>
        <v>2.96875</v>
      </c>
      <c r="BR973" s="28" t="s">
        <v>155</v>
      </c>
      <c r="BS973" s="8" t="s">
        <v>208</v>
      </c>
      <c r="BT973" s="9" t="s">
        <v>824</v>
      </c>
      <c r="BU973" s="10">
        <v>165</v>
      </c>
      <c r="BV973" s="9" t="s">
        <v>163</v>
      </c>
      <c r="BW973" s="10">
        <v>165</v>
      </c>
      <c r="BX973" s="10">
        <v>164.6</v>
      </c>
      <c r="BY973" s="10">
        <v>130</v>
      </c>
      <c r="BZ973" s="10">
        <v>139</v>
      </c>
      <c r="CA973" s="10">
        <v>121</v>
      </c>
      <c r="CB973" s="10">
        <v>83</v>
      </c>
      <c r="CC973" s="10">
        <v>109</v>
      </c>
      <c r="CD973" s="10">
        <v>14.8</v>
      </c>
      <c r="CE973" s="10">
        <v>1404</v>
      </c>
      <c r="CF973" s="10">
        <v>1.1200000000000001</v>
      </c>
      <c r="CG973" s="10">
        <v>1574</v>
      </c>
      <c r="CH973" s="10">
        <v>143</v>
      </c>
      <c r="CI973" s="10">
        <v>65</v>
      </c>
      <c r="CJ973" s="10">
        <v>45</v>
      </c>
      <c r="CK973" s="10">
        <v>210</v>
      </c>
      <c r="CL973" s="10">
        <v>19</v>
      </c>
      <c r="CM973" s="10">
        <v>140</v>
      </c>
      <c r="CN973" s="10">
        <v>0.42299999999999999</v>
      </c>
      <c r="CO973" s="10">
        <v>146</v>
      </c>
      <c r="CP973" s="10">
        <v>108</v>
      </c>
      <c r="CQ973" s="10">
        <v>64</v>
      </c>
      <c r="CR973" s="10">
        <v>7</v>
      </c>
      <c r="CS973" s="10">
        <v>9.1</v>
      </c>
      <c r="CT973" s="9" t="s">
        <v>231</v>
      </c>
      <c r="CU973" s="9" t="s">
        <v>188</v>
      </c>
      <c r="CV973" s="9" t="s">
        <v>185</v>
      </c>
      <c r="CW973" s="10"/>
      <c r="CX973" t="str">
        <f>INDEX('Data_Price '!AG$2:AG$1266,MATCH(Data!$DN973,'Data_Price '!$AT$2:$AT$1266,0))</f>
        <v>Line Pandora 84 Skis - Women's 2022</v>
      </c>
      <c r="CY973" t="str">
        <f>INDEX('Data_Price '!AH$2:AH$1266,MATCH(Data!$DN973,'Data_Price '!$AT$2:$AT$1266,0))</f>
        <v>The-House.com</v>
      </c>
      <c r="CZ973">
        <f>INDEX('Data_Price '!AI$2:AI$1266,MATCH(Data!$DN973,'Data_Price '!$AT$2:$AT$1266,0))</f>
        <v>319.95</v>
      </c>
      <c r="DA973" t="str">
        <f>INDEX('Data_Price '!AJ$2:AJ$1266,MATCH(Data!$DN973,'Data_Price '!$AT$2:$AT$1266,0))</f>
        <v>https://tinyurl.com/yb7lc9e4</v>
      </c>
      <c r="DB973" t="str">
        <f>INDEX('Data_Price '!AK$2:AK$1266,MATCH(Data!$DN973,'Data_Price '!$AT$2:$AT$1266,0))</f>
        <v>Line Pandora 84 Skis - Women's 2022</v>
      </c>
      <c r="DC973" t="str">
        <f>INDEX('Data_Price '!AL$2:AL$1266,MATCH(Data!$DN973,'Data_Price '!$AT$2:$AT$1266,0))</f>
        <v>BlueZone Sports</v>
      </c>
      <c r="DD973">
        <f>INDEX('Data_Price '!AM$2:AM$1266,MATCH(Data!$DN973,'Data_Price '!$AT$2:$AT$1266,0))</f>
        <v>319.95999999999998</v>
      </c>
      <c r="DE973" t="str">
        <f>INDEX('Data_Price '!AN$2:AN$1266,MATCH(Data!$DN973,'Data_Price '!$AT$2:$AT$1266,0))</f>
        <v>https://tinyurl.com/y6v5shj4</v>
      </c>
      <c r="DF973" t="str">
        <f>INDEX('Data_Price '!AO$2:AO$1266,MATCH(Data!$DN973,'Data_Price '!$AT$2:$AT$1266,0))</f>
        <v>Line Pandora 84 Skis - Women's 2022</v>
      </c>
      <c r="DG973" t="str">
        <f>INDEX('Data_Price '!AP$2:AP$1266,MATCH(Data!$DN973,'Data_Price '!$AT$2:$AT$1266,0))</f>
        <v>AlpineShopVT.com</v>
      </c>
      <c r="DH973">
        <f>INDEX('Data_Price '!AQ$2:AQ$1266,MATCH(Data!$DN973,'Data_Price '!$AT$2:$AT$1266,0))</f>
        <v>399.95</v>
      </c>
      <c r="DI973" t="str">
        <f>INDEX('Data_Price '!AR$2:AR$1266,MATCH(Data!$DN973,'Data_Price '!$AT$2:$AT$1266,0))</f>
        <v>https://tinyurl.com/y8d6arxe</v>
      </c>
      <c r="DJ973" s="89" t="str">
        <f t="shared" si="587"/>
        <v>https://tinyurl.com/yb7lc9e4</v>
      </c>
      <c r="DK973" s="89" t="str">
        <f t="shared" si="588"/>
        <v>https://tinyurl.com/y6v5shj4</v>
      </c>
      <c r="DL973" s="89" t="str">
        <f t="shared" si="589"/>
        <v>https://tinyurl.com/y8d6arxe</v>
      </c>
      <c r="DM973" s="219" t="str">
        <f t="shared" si="590"/>
        <v>Pandora 84</v>
      </c>
      <c r="DN973" s="89" t="str">
        <f t="shared" si="591"/>
        <v xml:space="preserve"> LinePandora 84165 Women's</v>
      </c>
      <c r="DO973" s="221" t="s">
        <v>825</v>
      </c>
    </row>
    <row r="974" spans="2:119" ht="15.6" customHeight="1">
      <c r="B974" s="219" t="b">
        <f t="array" ref="B974">IF(OR(ISERROR(K974:P974)),FALSE,TRUE)</f>
        <v>1</v>
      </c>
      <c r="C974" s="43" t="b">
        <f>OR(BR974=Driver!$G$50,Data!BR1199=Driver!$H$50)</f>
        <v>1</v>
      </c>
      <c r="D974" s="43" t="b">
        <f>OR(BV974=Driver!$G$51,BV974=Driver!$H$51)</f>
        <v>1</v>
      </c>
      <c r="E974" s="43" t="b">
        <f>AND(BX974&gt;Driver!$F$54,BX974&lt;Driver!$G$54)</f>
        <v>1</v>
      </c>
      <c r="F974" s="43" t="b">
        <f>CL974&gt;Driver!$F$56</f>
        <v>1</v>
      </c>
      <c r="G974" s="43" t="b">
        <f>AND(CB974&gt;Driver!$F$55,CB974&lt;Driver!$G$55)</f>
        <v>0</v>
      </c>
      <c r="H974" s="43" t="b">
        <f t="shared" si="555"/>
        <v>0</v>
      </c>
      <c r="I974" s="43">
        <f t="shared" si="556"/>
        <v>0</v>
      </c>
      <c r="J974" s="43" t="b">
        <f t="array" ref="J974">NOT(OR(($H$9:$H$1273=TRUE)*($I$9:$I$1273&gt;0)*($BT$9:$BT$1273=BT974)*($K$9:$K$1273&gt;K974)))</f>
        <v>1</v>
      </c>
      <c r="K974" s="72">
        <f t="shared" si="557"/>
        <v>0.83783248347614425</v>
      </c>
      <c r="L974" s="72">
        <f t="shared" si="558"/>
        <v>0.86059809132160225</v>
      </c>
      <c r="M974" s="72">
        <f t="shared" si="559"/>
        <v>0.81506687563068636</v>
      </c>
      <c r="N974" s="72">
        <f t="shared" si="560"/>
        <v>0.89533855736387391</v>
      </c>
      <c r="O974" s="72">
        <f t="shared" si="561"/>
        <v>0.64235762260173535</v>
      </c>
      <c r="P974" s="72">
        <f t="shared" si="562"/>
        <v>0.90750444692644994</v>
      </c>
      <c r="Q974" s="72"/>
      <c r="R974" s="72"/>
      <c r="S974" s="72">
        <f t="shared" si="563"/>
        <v>0.41602762576175256</v>
      </c>
      <c r="T974" s="72">
        <f t="shared" si="564"/>
        <v>0.50578250705726047</v>
      </c>
      <c r="U974" s="72">
        <f t="shared" si="565"/>
        <v>0.81469889459244027</v>
      </c>
      <c r="V974" s="72">
        <f t="shared" si="566"/>
        <v>0.53356708826728372</v>
      </c>
      <c r="W974" s="72">
        <f t="shared" si="567"/>
        <v>0.80857768924302786</v>
      </c>
      <c r="X974" s="72">
        <f t="shared" si="568"/>
        <v>0.1394019086783978</v>
      </c>
      <c r="Y974" s="72">
        <f t="shared" si="569"/>
        <v>0.18493312436931364</v>
      </c>
      <c r="Z974" s="72">
        <f t="shared" si="570"/>
        <v>0.10466144263612613</v>
      </c>
      <c r="AA974" s="72">
        <f t="shared" si="571"/>
        <v>0.35764237739826465</v>
      </c>
      <c r="AB974" s="72">
        <f t="shared" si="572"/>
        <v>9.2495553073550091E-2</v>
      </c>
      <c r="AC974" s="72"/>
      <c r="AD974" s="72"/>
      <c r="AE974" s="72">
        <f t="shared" si="573"/>
        <v>0.58397237423824744</v>
      </c>
      <c r="AF974" s="72">
        <f t="shared" si="574"/>
        <v>0.49421749294273953</v>
      </c>
      <c r="AG974" s="72">
        <f t="shared" si="575"/>
        <v>0.18530110540755979</v>
      </c>
      <c r="AH974" s="72">
        <f t="shared" si="576"/>
        <v>0.46643291173271628</v>
      </c>
      <c r="AI974" s="72">
        <f t="shared" si="577"/>
        <v>0.19142231075697211</v>
      </c>
      <c r="AJ974" s="72">
        <f>(AV974-Driver!$K$179)/(Driver!$L$179-Driver!$K$179)</f>
        <v>0.11481750060430262</v>
      </c>
      <c r="AK974" s="72">
        <f>(AW974-Driver!$K$180)/(Driver!$L$180-Driver!$K$180)</f>
        <v>0.16247379959497227</v>
      </c>
      <c r="AL974" s="72">
        <f>(AX974-Driver!$K$181)/(Driver!$L$181-Driver!$K$181)</f>
        <v>0.20634920634920631</v>
      </c>
      <c r="AM974" s="72">
        <f>(AY974-Driver!$K$182)/(Driver!$L$182-Driver!$K$182)</f>
        <v>8.9742643698781738E-2</v>
      </c>
      <c r="AN974" s="72">
        <f>(AZ974-Driver!$K$183)/(Driver!$L$183-Driver!$K$183)</f>
        <v>0.16172385620915034</v>
      </c>
      <c r="AO974" s="72"/>
      <c r="AP974" s="72"/>
      <c r="AQ974" s="72">
        <f>(BC974-Driver!$K$188)/(Driver!$L$188-Driver!$K$188)</f>
        <v>3.6027625761752537E-2</v>
      </c>
      <c r="AR974" s="72">
        <f>MIN((BD974-Driver!$K$189)/(Driver!$L$189-Driver!$K$189),100%)</f>
        <v>5.578250705726049E-2</v>
      </c>
      <c r="AS974" s="72">
        <f>(BE974-Driver!$K$190)/(Driver!$L$190-Driver!$K$190)</f>
        <v>0.32469889459244022</v>
      </c>
      <c r="AT974" s="72">
        <f>(BF974-Driver!$K$191)/(Driver!$L$191-Driver!$K$191)</f>
        <v>4.3567088267283754E-2</v>
      </c>
      <c r="AU974" s="72">
        <f>(BG974-Driver!$K$192)/(Driver!$L$192-Driver!$K$192)</f>
        <v>5.8577689243027899E-2</v>
      </c>
      <c r="AV974" s="70">
        <f t="shared" si="578"/>
        <v>2.4165649165649166</v>
      </c>
      <c r="AW974" s="70">
        <f t="shared" si="579"/>
        <v>17.706404056307409</v>
      </c>
      <c r="AX974" s="70">
        <f t="shared" si="580"/>
        <v>2.8571428571428568</v>
      </c>
      <c r="AY974" s="70">
        <f>IFERROR(Driver!$K$19/Data!BH974/Data!BI974*Data!BK974*Data!BL974,"")</f>
        <v>0.1098717725078128</v>
      </c>
      <c r="AZ974" s="70">
        <f t="shared" si="581"/>
        <v>14.739389426656739</v>
      </c>
      <c r="BA974" s="70"/>
      <c r="BB974" s="70"/>
      <c r="BC974" s="70">
        <f t="shared" si="582"/>
        <v>18.687779942611979</v>
      </c>
      <c r="BD974" s="70">
        <f t="shared" si="583"/>
        <v>6.6574759179114897</v>
      </c>
      <c r="BE974" s="70">
        <f t="shared" si="584"/>
        <v>0.32481936070880724</v>
      </c>
      <c r="BF974" s="70">
        <f t="shared" si="585"/>
        <v>4.9205965436719215</v>
      </c>
      <c r="BG974" s="70">
        <f t="shared" si="586"/>
        <v>0.22181250000000005</v>
      </c>
      <c r="BH974" s="67">
        <f>MAX((CE974-Driver!$F$200)/(Driver!$G$200-Driver!$F$200)*$BI$1,1)</f>
        <v>2.8571428571428568</v>
      </c>
      <c r="BI974" s="67">
        <f>MAX($BI$1*(BY974-Driver!$F$201)/(Driver!$G$201-Driver!$F$201),1)</f>
        <v>6.7721518987341769</v>
      </c>
      <c r="BJ974" s="67">
        <f>(CB974-Driver!$F$206)/(Driver!$G$206-Driver!$F$206)*$BI$1</f>
        <v>3.0158730158730158</v>
      </c>
      <c r="BK974" s="67">
        <f>(CD974-Driver!$F$203)/(Driver!$G$203-Driver!$F$203)*$BI$1</f>
        <v>2.2018348623853208</v>
      </c>
      <c r="BL974" s="67">
        <f>MAX((CR974-Driver!$F$202)/(Driver!$G$202-Driver!$F$202)*$BI$1,1)</f>
        <v>4.8275862068965516</v>
      </c>
      <c r="BM974" s="67">
        <f>MAX((CH974-Driver!$F$204)/(Driver!$G$204-Driver!$F$204)*$BI$1,1)</f>
        <v>3.2051282051282053</v>
      </c>
      <c r="BN974" s="67">
        <f>(CI974-Driver!$F$205)/(Driver!$G$205-Driver!$F$205)*$BI$1</f>
        <v>2.1764705882352944</v>
      </c>
      <c r="BO974" s="67">
        <f>(CK974-Driver!$F$207)/(Driver!$G$207-Driver!$F$207)*$BI$1</f>
        <v>1.7476732161323683</v>
      </c>
      <c r="BP974" s="67">
        <f>(CM974-Driver!$F$208)/(Driver!$G$208-Driver!$F$208)*$BI$1</f>
        <v>2.0555555555555554</v>
      </c>
      <c r="BQ974" s="67">
        <f>(CL974-Driver!$F$209)/(Driver!$G$209-Driver!$F$209)*$BI$1</f>
        <v>2.03125</v>
      </c>
      <c r="BR974" s="28" t="s">
        <v>155</v>
      </c>
      <c r="BS974" s="8" t="s">
        <v>229</v>
      </c>
      <c r="BT974" s="9" t="s">
        <v>230</v>
      </c>
      <c r="BU974" s="10">
        <v>161</v>
      </c>
      <c r="BV974" s="9" t="s">
        <v>158</v>
      </c>
      <c r="BW974" s="10">
        <v>161</v>
      </c>
      <c r="BX974" s="10">
        <v>161.19999999999999</v>
      </c>
      <c r="BY974" s="10">
        <v>115</v>
      </c>
      <c r="BZ974" s="10">
        <v>137</v>
      </c>
      <c r="CA974" s="10">
        <v>124</v>
      </c>
      <c r="CB974" s="10">
        <v>83</v>
      </c>
      <c r="CC974" s="10">
        <v>106</v>
      </c>
      <c r="CD974" s="10">
        <v>14.2</v>
      </c>
      <c r="CE974" s="10">
        <v>1402</v>
      </c>
      <c r="CF974" s="10">
        <v>1.1100000000000001</v>
      </c>
      <c r="CG974" s="10">
        <v>1549</v>
      </c>
      <c r="CH974" s="10">
        <v>176</v>
      </c>
      <c r="CI974" s="10">
        <v>70</v>
      </c>
      <c r="CJ974" s="10">
        <v>38</v>
      </c>
      <c r="CK974" s="10">
        <v>279</v>
      </c>
      <c r="CL974" s="10">
        <v>13</v>
      </c>
      <c r="CM974" s="10">
        <v>185</v>
      </c>
      <c r="CN974" s="10">
        <v>0.34899999999999998</v>
      </c>
      <c r="CO974" s="10">
        <v>132</v>
      </c>
      <c r="CP974" s="10">
        <v>108</v>
      </c>
      <c r="CQ974" s="10">
        <v>147</v>
      </c>
      <c r="CR974" s="10">
        <v>3</v>
      </c>
      <c r="CS974" s="10">
        <v>11.8</v>
      </c>
      <c r="CT974" s="9" t="s">
        <v>231</v>
      </c>
      <c r="CU974" s="9" t="s">
        <v>188</v>
      </c>
      <c r="CV974" s="9" t="s">
        <v>185</v>
      </c>
      <c r="CW974" s="10"/>
      <c r="CX974" t="e">
        <f>INDEX('Data_Price '!AG$2:AG$1266,MATCH(Data!$DN974,'Data_Price '!$AT$2:$AT$1266,0))</f>
        <v>#N/A</v>
      </c>
      <c r="CY974" t="e">
        <f>INDEX('Data_Price '!AH$2:AH$1266,MATCH(Data!$DN974,'Data_Price '!$AT$2:$AT$1266,0))</f>
        <v>#N/A</v>
      </c>
      <c r="CZ974" t="e">
        <f>INDEX('Data_Price '!AI$2:AI$1266,MATCH(Data!$DN974,'Data_Price '!$AT$2:$AT$1266,0))</f>
        <v>#N/A</v>
      </c>
      <c r="DA974" t="e">
        <f>INDEX('Data_Price '!AJ$2:AJ$1266,MATCH(Data!$DN974,'Data_Price '!$AT$2:$AT$1266,0))</f>
        <v>#N/A</v>
      </c>
      <c r="DB974" t="e">
        <f>INDEX('Data_Price '!AK$2:AK$1266,MATCH(Data!$DN974,'Data_Price '!$AT$2:$AT$1266,0))</f>
        <v>#N/A</v>
      </c>
      <c r="DC974" t="e">
        <f>INDEX('Data_Price '!AL$2:AL$1266,MATCH(Data!$DN974,'Data_Price '!$AT$2:$AT$1266,0))</f>
        <v>#N/A</v>
      </c>
      <c r="DD974" t="e">
        <f>INDEX('Data_Price '!AM$2:AM$1266,MATCH(Data!$DN974,'Data_Price '!$AT$2:$AT$1266,0))</f>
        <v>#N/A</v>
      </c>
      <c r="DE974" t="e">
        <f>INDEX('Data_Price '!AN$2:AN$1266,MATCH(Data!$DN974,'Data_Price '!$AT$2:$AT$1266,0))</f>
        <v>#N/A</v>
      </c>
      <c r="DF974" t="e">
        <f>INDEX('Data_Price '!AO$2:AO$1266,MATCH(Data!$DN974,'Data_Price '!$AT$2:$AT$1266,0))</f>
        <v>#N/A</v>
      </c>
      <c r="DG974" t="e">
        <f>INDEX('Data_Price '!AP$2:AP$1266,MATCH(Data!$DN974,'Data_Price '!$AT$2:$AT$1266,0))</f>
        <v>#N/A</v>
      </c>
      <c r="DH974" t="e">
        <f>INDEX('Data_Price '!AQ$2:AQ$1266,MATCH(Data!$DN974,'Data_Price '!$AT$2:$AT$1266,0))</f>
        <v>#N/A</v>
      </c>
      <c r="DI974" t="e">
        <f>INDEX('Data_Price '!AR$2:AR$1266,MATCH(Data!$DN974,'Data_Price '!$AT$2:$AT$1266,0))</f>
        <v>#N/A</v>
      </c>
      <c r="DJ974" s="89" t="e">
        <f t="shared" si="587"/>
        <v>#N/A</v>
      </c>
      <c r="DK974" s="89" t="e">
        <f t="shared" si="588"/>
        <v>#N/A</v>
      </c>
      <c r="DL974" s="89" t="e">
        <f t="shared" si="589"/>
        <v>#N/A</v>
      </c>
      <c r="DM974" s="219" t="str">
        <f t="shared" si="590"/>
        <v>Kanjo 84</v>
      </c>
      <c r="DN974" s="89" t="str">
        <f t="shared" si="591"/>
        <v xml:space="preserve"> VölklKanjo 84161 Unisex</v>
      </c>
      <c r="DO974" s="221"/>
    </row>
    <row r="975" spans="2:119" ht="15.6" customHeight="1">
      <c r="B975" s="219" t="b">
        <f t="array" ref="B975">IF(OR(ISERROR(K975:P975)),FALSE,TRUE)</f>
        <v>1</v>
      </c>
      <c r="C975" s="43" t="b">
        <f>OR(BR975=Driver!$G$50,Data!BR177=Driver!$H$50)</f>
        <v>1</v>
      </c>
      <c r="D975" s="43" t="b">
        <f>OR(BV975=Driver!$G$51,BV975=Driver!$H$51)</f>
        <v>1</v>
      </c>
      <c r="E975" s="43" t="b">
        <f>AND(BX975&gt;Driver!$F$54,BX975&lt;Driver!$G$54)</f>
        <v>1</v>
      </c>
      <c r="F975" s="43" t="b">
        <f>CL975&gt;Driver!$F$56</f>
        <v>1</v>
      </c>
      <c r="G975" s="43" t="b">
        <f>AND(CB975&gt;Driver!$F$55,CB975&lt;Driver!$G$55)</f>
        <v>0</v>
      </c>
      <c r="H975" s="43" t="b">
        <f t="shared" si="555"/>
        <v>0</v>
      </c>
      <c r="I975" s="43">
        <f t="shared" si="556"/>
        <v>0</v>
      </c>
      <c r="J975" s="43" t="b">
        <f t="array" ref="J975">NOT(OR(($H$9:$H$1273=TRUE)*($I$9:$I$1273&gt;0)*($BT$9:$BT$1273=BT975)*($K$9:$K$1273&gt;K975)))</f>
        <v>1</v>
      </c>
      <c r="K975" s="72">
        <f t="shared" si="557"/>
        <v>0.71020389293160668</v>
      </c>
      <c r="L975" s="72">
        <f t="shared" si="558"/>
        <v>0.77454539613185114</v>
      </c>
      <c r="M975" s="72">
        <f t="shared" si="559"/>
        <v>0.64586238973136223</v>
      </c>
      <c r="N975" s="72">
        <f t="shared" si="560"/>
        <v>0.47163654003635846</v>
      </c>
      <c r="O975" s="72">
        <f t="shared" si="561"/>
        <v>0.59228677543058339</v>
      </c>
      <c r="P975" s="72">
        <f t="shared" si="562"/>
        <v>0.87366385372714483</v>
      </c>
      <c r="Q975" s="72"/>
      <c r="R975" s="72"/>
      <c r="S975" s="72">
        <f t="shared" si="563"/>
        <v>0.5444584833207966</v>
      </c>
      <c r="T975" s="72">
        <f t="shared" si="564"/>
        <v>0.55000000000000004</v>
      </c>
      <c r="U975" s="72">
        <f t="shared" si="565"/>
        <v>0.51</v>
      </c>
      <c r="V975" s="72">
        <f t="shared" si="566"/>
        <v>0.49046154844224354</v>
      </c>
      <c r="W975" s="72">
        <f t="shared" si="567"/>
        <v>0.7548656322597298</v>
      </c>
      <c r="X975" s="72">
        <f t="shared" si="568"/>
        <v>0.22545460386814883</v>
      </c>
      <c r="Y975" s="72">
        <f t="shared" si="569"/>
        <v>0.35413761026863777</v>
      </c>
      <c r="Z975" s="72">
        <f t="shared" si="570"/>
        <v>0.52836345996364154</v>
      </c>
      <c r="AA975" s="72">
        <f t="shared" si="571"/>
        <v>0.40771322456941667</v>
      </c>
      <c r="AB975" s="72">
        <f t="shared" si="572"/>
        <v>0.12633614627285511</v>
      </c>
      <c r="AC975" s="72"/>
      <c r="AD975" s="72"/>
      <c r="AE975" s="72">
        <f t="shared" si="573"/>
        <v>0.4555415166792034</v>
      </c>
      <c r="AF975" s="72">
        <f t="shared" si="574"/>
        <v>0.44999999999999996</v>
      </c>
      <c r="AG975" s="72">
        <f t="shared" si="575"/>
        <v>0.49</v>
      </c>
      <c r="AH975" s="72">
        <f t="shared" si="576"/>
        <v>0.50953845155775646</v>
      </c>
      <c r="AI975" s="72">
        <f t="shared" si="577"/>
        <v>0.24513436774027017</v>
      </c>
      <c r="AJ975" s="72">
        <f>(AV975-Driver!$K$179)/(Driver!$L$179-Driver!$K$179)</f>
        <v>2.8764805414551602E-2</v>
      </c>
      <c r="AK975" s="72">
        <f>(AW975-Driver!$K$180)/(Driver!$L$180-Driver!$K$180)</f>
        <v>0.40561404520511041</v>
      </c>
      <c r="AL975" s="72">
        <f>(AX975-Driver!$K$181)/(Driver!$L$181-Driver!$K$181)</f>
        <v>0.63005122367672173</v>
      </c>
      <c r="AM975" s="72">
        <f>(AY975-Driver!$K$182)/(Driver!$L$182-Driver!$K$182)</f>
        <v>3.9671796527629699E-2</v>
      </c>
      <c r="AN975" s="72">
        <f>(AZ975-Driver!$K$183)/(Driver!$L$183-Driver!$K$183)</f>
        <v>0.38055555555555554</v>
      </c>
      <c r="AO975" s="72"/>
      <c r="AP975" s="72"/>
      <c r="AQ975" s="72">
        <f>(BC975-Driver!$K$188)/(Driver!$L$188-Driver!$K$188)</f>
        <v>0.1644584833207966</v>
      </c>
      <c r="AR975" s="72">
        <f>MIN((BD975-Driver!$K$189)/(Driver!$L$189-Driver!$K$189),100%)</f>
        <v>1</v>
      </c>
      <c r="AS975" s="72">
        <f>(BE975-Driver!$K$190)/(Driver!$L$190-Driver!$K$190)</f>
        <v>1</v>
      </c>
      <c r="AT975" s="72">
        <f>(BF975-Driver!$K$191)/(Driver!$L$191-Driver!$K$191)</f>
        <v>4.6154844224350608E-4</v>
      </c>
      <c r="AU975" s="72">
        <f>(BG975-Driver!$K$192)/(Driver!$L$192-Driver!$K$192)</f>
        <v>4.8656322597298305E-3</v>
      </c>
      <c r="AV975" s="70">
        <f t="shared" si="578"/>
        <v>0.60541310541310533</v>
      </c>
      <c r="AW975" s="70">
        <f t="shared" si="579"/>
        <v>41.402575432759413</v>
      </c>
      <c r="AX975" s="70">
        <f t="shared" si="580"/>
        <v>6.6704610130904953</v>
      </c>
      <c r="AY975" s="70">
        <f>IFERROR(Driver!$K$19/Data!BH975/Data!BI975*Data!BK975*Data!BL975,"")</f>
        <v>4.8570115871448744E-2</v>
      </c>
      <c r="AZ975" s="70">
        <f t="shared" si="581"/>
        <v>34.683544303797468</v>
      </c>
      <c r="BA975" s="70"/>
      <c r="BB975" s="70"/>
      <c r="BC975" s="70">
        <f t="shared" si="582"/>
        <v>85.305758595324875</v>
      </c>
      <c r="BD975" s="70">
        <f t="shared" si="583"/>
        <v>347.35556590756494</v>
      </c>
      <c r="BE975" s="70">
        <f t="shared" si="584"/>
        <v>1</v>
      </c>
      <c r="BF975" s="70">
        <f t="shared" si="585"/>
        <v>5.212865399008107E-2</v>
      </c>
      <c r="BG975" s="70">
        <f t="shared" si="586"/>
        <v>1.8424387673158002E-2</v>
      </c>
      <c r="BH975" s="67">
        <f>MAX((CE975-Driver!$F$200)/(Driver!$G$200-Driver!$F$200)*$BI$1,1)</f>
        <v>6.6704610130904953</v>
      </c>
      <c r="BI975" s="67">
        <f>MAX($BI$1*(BY975-Driver!$F$201)/(Driver!$G$201-Driver!$F$201),1)</f>
        <v>8.6708860759493671</v>
      </c>
      <c r="BJ975" s="67">
        <f>(CB975-Driver!$F$206)/(Driver!$G$206-Driver!$F$206)*$BI$1</f>
        <v>0.47619047619047616</v>
      </c>
      <c r="BK975" s="67">
        <f>(CD975-Driver!$F$203)/(Driver!$G$203-Driver!$F$203)*$BI$1</f>
        <v>1.6972477064220182</v>
      </c>
      <c r="BL975" s="67">
        <f>MAX((CR975-Driver!$F$202)/(Driver!$G$202-Driver!$F$202)*$BI$1,1)</f>
        <v>8.2758620689655178</v>
      </c>
      <c r="BM975" s="67">
        <f>MAX((CH975-Driver!$F$204)/(Driver!$G$204-Driver!$F$204)*$BI$1,1)</f>
        <v>5.0854700854700852</v>
      </c>
      <c r="BN975" s="67">
        <f>(CI975-Driver!$F$205)/(Driver!$G$205-Driver!$F$205)*$BI$1</f>
        <v>4</v>
      </c>
      <c r="BO975" s="67">
        <f>(CK975-Driver!$F$207)/(Driver!$G$207-Driver!$F$207)*$BI$1</f>
        <v>0.34126163391933811</v>
      </c>
      <c r="BP975" s="67">
        <f>(CM975-Driver!$F$208)/(Driver!$G$208-Driver!$F$208)*$BI$1</f>
        <v>0.5444444444444444</v>
      </c>
      <c r="BQ975" s="67">
        <f>(CL975-Driver!$F$209)/(Driver!$G$209-Driver!$F$209)*$BI$1</f>
        <v>0.625</v>
      </c>
      <c r="BR975" s="28" t="s">
        <v>155</v>
      </c>
      <c r="BS975" s="8" t="s">
        <v>156</v>
      </c>
      <c r="BT975" s="9" t="s">
        <v>762</v>
      </c>
      <c r="BU975" s="10">
        <v>165</v>
      </c>
      <c r="BV975" s="9" t="s">
        <v>158</v>
      </c>
      <c r="BW975" s="10">
        <v>165</v>
      </c>
      <c r="BX975" s="10">
        <v>164.7</v>
      </c>
      <c r="BY975" s="10">
        <v>145</v>
      </c>
      <c r="BZ975" s="10">
        <v>151</v>
      </c>
      <c r="CA975" s="10">
        <v>116</v>
      </c>
      <c r="CB975" s="10">
        <v>67</v>
      </c>
      <c r="CC975" s="10">
        <v>102</v>
      </c>
      <c r="CD975" s="10">
        <v>13.1</v>
      </c>
      <c r="CE975" s="10">
        <v>2072</v>
      </c>
      <c r="CF975" s="10">
        <v>0.66</v>
      </c>
      <c r="CG975" s="10">
        <v>1364</v>
      </c>
      <c r="CH975" s="10">
        <v>220</v>
      </c>
      <c r="CI975" s="10">
        <v>101</v>
      </c>
      <c r="CJ975" s="10">
        <v>33</v>
      </c>
      <c r="CK975" s="10">
        <v>143</v>
      </c>
      <c r="CL975" s="10">
        <v>4</v>
      </c>
      <c r="CM975" s="10">
        <v>49</v>
      </c>
      <c r="CN975" s="10">
        <v>0.13100000000000001</v>
      </c>
      <c r="CO975" s="10">
        <v>82</v>
      </c>
      <c r="CP975" s="10">
        <v>56</v>
      </c>
      <c r="CQ975" s="10">
        <v>61</v>
      </c>
      <c r="CR975" s="10">
        <v>13</v>
      </c>
      <c r="CS975" s="10">
        <v>13.8</v>
      </c>
      <c r="CT975" s="9" t="s">
        <v>349</v>
      </c>
      <c r="CU975" s="10"/>
      <c r="CV975" s="10"/>
      <c r="CW975" s="10"/>
      <c r="CX975" t="str">
        <f>INDEX('Data_Price '!AG$2:AG$1266,MATCH(Data!$DN975,'Data_Price '!$AT$2:$AT$1266,0))</f>
        <v>Atomic Redster S9 + x 14 GW Ski,Unisex Adult, Unisex_Adult</v>
      </c>
      <c r="CY975" t="str">
        <f>INDEX('Data_Price '!AH$2:AH$1266,MATCH(Data!$DN975,'Data_Price '!$AT$2:$AT$1266,0))</f>
        <v>eBay - asogear</v>
      </c>
      <c r="CZ975">
        <f>INDEX('Data_Price '!AI$2:AI$1266,MATCH(Data!$DN975,'Data_Price '!$AT$2:$AT$1266,0))</f>
        <v>549.99</v>
      </c>
      <c r="DA975" t="str">
        <f>INDEX('Data_Price '!AJ$2:AJ$1266,MATCH(Data!$DN975,'Data_Price '!$AT$2:$AT$1266,0))</f>
        <v>https://tinyurl.com/y7gzdpyu</v>
      </c>
      <c r="DB975" t="str">
        <f>INDEX('Data_Price '!AK$2:AK$1266,MATCH(Data!$DN975,'Data_Price '!$AT$2:$AT$1266,0))</f>
        <v>Redster S9 Fis 2022 165cm</v>
      </c>
      <c r="DC975" t="str">
        <f>INDEX('Data_Price '!AL$2:AL$1266,MATCH(Data!$DN975,'Data_Price '!$AT$2:$AT$1266,0))</f>
        <v>Suburban Ski and Bike</v>
      </c>
      <c r="DD975">
        <f>INDEX('Data_Price '!AM$2:AM$1266,MATCH(Data!$DN975,'Data_Price '!$AT$2:$AT$1266,0))</f>
        <v>749.99</v>
      </c>
      <c r="DE975" t="str">
        <f>INDEX('Data_Price '!AN$2:AN$1266,MATCH(Data!$DN975,'Data_Price '!$AT$2:$AT$1266,0))</f>
        <v>https://tinyurl.com/ya99sr5m</v>
      </c>
      <c r="DF975">
        <f>INDEX('Data_Price '!AO$2:AO$1266,MATCH(Data!$DN975,'Data_Price '!$AT$2:$AT$1266,0))</f>
        <v>0</v>
      </c>
      <c r="DG975">
        <f>INDEX('Data_Price '!AP$2:AP$1266,MATCH(Data!$DN975,'Data_Price '!$AT$2:$AT$1266,0))</f>
        <v>0</v>
      </c>
      <c r="DH975">
        <f>INDEX('Data_Price '!AQ$2:AQ$1266,MATCH(Data!$DN975,'Data_Price '!$AT$2:$AT$1266,0))</f>
        <v>0</v>
      </c>
      <c r="DI975">
        <f>INDEX('Data_Price '!AR$2:AR$1266,MATCH(Data!$DN975,'Data_Price '!$AT$2:$AT$1266,0))</f>
        <v>0</v>
      </c>
      <c r="DJ975" s="89" t="str">
        <f t="shared" si="587"/>
        <v>https://tinyurl.com/y7gzdpyu</v>
      </c>
      <c r="DK975" s="89" t="str">
        <f t="shared" si="588"/>
        <v>https://tinyurl.com/ya99sr5m</v>
      </c>
      <c r="DL975" s="89">
        <f t="shared" si="589"/>
        <v>0</v>
      </c>
      <c r="DM975" s="219" t="str">
        <f t="shared" si="590"/>
        <v>Redster S9 Revo</v>
      </c>
      <c r="DN975" s="89" t="str">
        <f t="shared" si="591"/>
        <v xml:space="preserve"> AtomicRedster S9 Revo165 Unisex</v>
      </c>
      <c r="DO975" s="221"/>
    </row>
    <row r="976" spans="2:119" ht="15.6" customHeight="1">
      <c r="B976" s="219" t="b">
        <f t="array" ref="B976">IF(OR(ISERROR(K976:P976)),FALSE,TRUE)</f>
        <v>1</v>
      </c>
      <c r="C976" s="43" t="b">
        <f>OR(BR976=Driver!$G$50,Data!BR729=Driver!$H$50)</f>
        <v>1</v>
      </c>
      <c r="D976" s="43" t="b">
        <f>OR(BV976=Driver!$G$51,BV976=Driver!$H$51)</f>
        <v>0</v>
      </c>
      <c r="E976" s="43" t="b">
        <f>AND(BX976&gt;Driver!$F$54,BX976&lt;Driver!$G$54)</f>
        <v>0</v>
      </c>
      <c r="F976" s="43" t="b">
        <f>CL976&gt;Driver!$F$56</f>
        <v>1</v>
      </c>
      <c r="G976" s="43" t="b">
        <f>AND(CB976&gt;Driver!$F$55,CB976&lt;Driver!$G$55)</f>
        <v>0</v>
      </c>
      <c r="H976" s="43" t="b">
        <f t="shared" si="555"/>
        <v>0</v>
      </c>
      <c r="I976" s="43">
        <f t="shared" si="556"/>
        <v>0</v>
      </c>
      <c r="J976" s="43" t="b">
        <f t="array" ref="J976">NOT(OR(($H$9:$H$1273=TRUE)*($I$9:$I$1273&gt;0)*($BT$9:$BT$1273=BT976)*($K$9:$K$1273&gt;K976)))</f>
        <v>1</v>
      </c>
      <c r="K976" s="72">
        <f t="shared" si="557"/>
        <v>0.77998593872275479</v>
      </c>
      <c r="L976" s="72">
        <f t="shared" si="558"/>
        <v>0.78348907512629162</v>
      </c>
      <c r="M976" s="72">
        <f t="shared" si="559"/>
        <v>0.77648280231921796</v>
      </c>
      <c r="N976" s="72">
        <f t="shared" si="560"/>
        <v>0.88016117166855978</v>
      </c>
      <c r="O976" s="72">
        <f t="shared" si="561"/>
        <v>0.55791840927767677</v>
      </c>
      <c r="P976" s="72">
        <f t="shared" si="562"/>
        <v>0.8913688260114172</v>
      </c>
      <c r="Q976" s="72"/>
      <c r="R976" s="72"/>
      <c r="S976" s="72">
        <f t="shared" si="563"/>
        <v>0.38131715958742574</v>
      </c>
      <c r="T976" s="72">
        <f t="shared" si="564"/>
        <v>0.72836384463080517</v>
      </c>
      <c r="U976" s="72">
        <f t="shared" si="565"/>
        <v>0.5164466979800475</v>
      </c>
      <c r="V976" s="72">
        <f t="shared" si="566"/>
        <v>0.94060676612353167</v>
      </c>
      <c r="W976" s="72">
        <f t="shared" si="567"/>
        <v>0.88783269961977185</v>
      </c>
      <c r="X976" s="72">
        <f t="shared" si="568"/>
        <v>0.2165109248737084</v>
      </c>
      <c r="Y976" s="72">
        <f t="shared" si="569"/>
        <v>0.22351719768078207</v>
      </c>
      <c r="Z976" s="72">
        <f t="shared" si="570"/>
        <v>0.11983882833144018</v>
      </c>
      <c r="AA976" s="72">
        <f t="shared" si="571"/>
        <v>0.44208159072232323</v>
      </c>
      <c r="AB976" s="72">
        <f t="shared" si="572"/>
        <v>0.10863117398858277</v>
      </c>
      <c r="AC976" s="72"/>
      <c r="AD976" s="72"/>
      <c r="AE976" s="72">
        <f t="shared" si="573"/>
        <v>0.61868284041257426</v>
      </c>
      <c r="AF976" s="72">
        <f t="shared" si="574"/>
        <v>0.27163615536919483</v>
      </c>
      <c r="AG976" s="72">
        <f t="shared" si="575"/>
        <v>0.4835533020199525</v>
      </c>
      <c r="AH976" s="72">
        <f t="shared" si="576"/>
        <v>5.9393233876468332E-2</v>
      </c>
      <c r="AI976" s="72">
        <f t="shared" si="577"/>
        <v>0.11216730038022818</v>
      </c>
      <c r="AJ976" s="72">
        <f>(AV976-Driver!$K$179)/(Driver!$L$179-Driver!$K$179)</f>
        <v>3.7708484408992021E-2</v>
      </c>
      <c r="AK976" s="72">
        <f>(AW976-Driver!$K$180)/(Driver!$L$180-Driver!$K$180)</f>
        <v>0.14772531452055027</v>
      </c>
      <c r="AL976" s="72">
        <f>(AX976-Driver!$K$181)/(Driver!$L$181-Driver!$K$181)</f>
        <v>0.22152659204452035</v>
      </c>
      <c r="AM976" s="72">
        <f>(AY976-Driver!$K$182)/(Driver!$L$182-Driver!$K$182)</f>
        <v>5.3034303747231315E-3</v>
      </c>
      <c r="AN976" s="72">
        <f>(AZ976-Driver!$K$183)/(Driver!$L$183-Driver!$K$183)</f>
        <v>0.14558823529411766</v>
      </c>
      <c r="AO976" s="72"/>
      <c r="AP976" s="72"/>
      <c r="AQ976" s="72">
        <f>(BC976-Driver!$K$188)/(Driver!$L$188-Driver!$K$188)</f>
        <v>1.3171595874257144E-3</v>
      </c>
      <c r="AR976" s="72">
        <f>MIN((BD976-Driver!$K$189)/(Driver!$L$189-Driver!$K$189),100%)</f>
        <v>0.82163615536919488</v>
      </c>
      <c r="AS976" s="72">
        <f>(BE976-Driver!$K$190)/(Driver!$L$190-Driver!$K$190)</f>
        <v>0.99355330201995251</v>
      </c>
      <c r="AT976" s="72">
        <f>(BF976-Driver!$K$191)/(Driver!$L$191-Driver!$K$191)</f>
        <v>0.45060676612353168</v>
      </c>
      <c r="AU976" s="72">
        <f>(BG976-Driver!$K$192)/(Driver!$L$192-Driver!$K$192)</f>
        <v>0.13783269961977182</v>
      </c>
      <c r="AV976" s="70">
        <f t="shared" si="578"/>
        <v>0.79365079365079361</v>
      </c>
      <c r="AW976" s="70">
        <f t="shared" si="579"/>
        <v>16.269033500932863</v>
      </c>
      <c r="AX976" s="70">
        <f t="shared" si="580"/>
        <v>2.9937393284006832</v>
      </c>
      <c r="AY976" s="70">
        <f>IFERROR(Driver!$K$19/Data!BH976/Data!BI976*Data!BK976*Data!BL976,"")</f>
        <v>6.4929811695586858E-3</v>
      </c>
      <c r="AZ976" s="70">
        <f t="shared" si="581"/>
        <v>13.268801191362622</v>
      </c>
      <c r="BA976" s="70"/>
      <c r="BB976" s="70"/>
      <c r="BC976" s="70">
        <f t="shared" si="582"/>
        <v>0.68321983474261472</v>
      </c>
      <c r="BD976" s="70">
        <f t="shared" si="583"/>
        <v>74.434166781151518</v>
      </c>
      <c r="BE976" s="70">
        <f t="shared" si="584"/>
        <v>0.9935544520383115</v>
      </c>
      <c r="BF976" s="70">
        <f t="shared" si="585"/>
        <v>50.892868541955224</v>
      </c>
      <c r="BG976" s="70">
        <f t="shared" si="586"/>
        <v>0.52192252851711018</v>
      </c>
      <c r="BH976" s="67">
        <f>MAX((CE976-Driver!$F$200)/(Driver!$G$200-Driver!$F$200)*$BI$1,1)</f>
        <v>2.9937393284006832</v>
      </c>
      <c r="BI976" s="67">
        <f>MAX($BI$1*(BY976-Driver!$F$201)/(Driver!$G$201-Driver!$F$201),1)</f>
        <v>6.8354430379746836</v>
      </c>
      <c r="BJ976" s="67">
        <f>(CB976-Driver!$F$206)/(Driver!$G$206-Driver!$F$206)*$BI$1</f>
        <v>3.1746031746031744</v>
      </c>
      <c r="BK976" s="67">
        <f>(CD976-Driver!$F$203)/(Driver!$G$203-Driver!$F$203)*$BI$1</f>
        <v>9.1743119266054746E-2</v>
      </c>
      <c r="BL976" s="67">
        <f>MAX((CR976-Driver!$F$202)/(Driver!$G$202-Driver!$F$202)*$BI$1,1)</f>
        <v>7.2413793103448274</v>
      </c>
      <c r="BM976" s="67">
        <f>MAX((CH976-Driver!$F$204)/(Driver!$G$204-Driver!$F$204)*$BI$1,1)</f>
        <v>1</v>
      </c>
      <c r="BN976" s="67">
        <f>(CI976-Driver!$F$205)/(Driver!$G$205-Driver!$F$205)*$BI$1</f>
        <v>1.9411764705882353</v>
      </c>
      <c r="BO976" s="67">
        <f>(CK976-Driver!$F$207)/(Driver!$G$207-Driver!$F$207)*$BI$1</f>
        <v>1.3236814891416753</v>
      </c>
      <c r="BP976" s="67">
        <f>(CM976-Driver!$F$208)/(Driver!$G$208-Driver!$F$208)*$BI$1</f>
        <v>1.1111111111111112</v>
      </c>
      <c r="BQ976" s="67">
        <f>(CL976-Driver!$F$209)/(Driver!$G$209-Driver!$F$209)*$BI$1</f>
        <v>1.5625</v>
      </c>
      <c r="BR976" s="28" t="s">
        <v>155</v>
      </c>
      <c r="BS976" s="8" t="s">
        <v>262</v>
      </c>
      <c r="BT976" s="9" t="s">
        <v>581</v>
      </c>
      <c r="BU976" s="10">
        <v>149</v>
      </c>
      <c r="BV976" s="9" t="s">
        <v>163</v>
      </c>
      <c r="BW976" s="10">
        <v>149</v>
      </c>
      <c r="BX976" s="10">
        <v>149.9</v>
      </c>
      <c r="BY976" s="10">
        <v>116</v>
      </c>
      <c r="BZ976" s="10">
        <v>122</v>
      </c>
      <c r="CA976" s="10">
        <v>129</v>
      </c>
      <c r="CB976" s="10">
        <v>84</v>
      </c>
      <c r="CC976" s="10">
        <v>112</v>
      </c>
      <c r="CD976" s="10">
        <v>9.6</v>
      </c>
      <c r="CE976" s="10">
        <v>1426</v>
      </c>
      <c r="CF976" s="10">
        <v>1.04</v>
      </c>
      <c r="CG976" s="10">
        <v>1489</v>
      </c>
      <c r="CH976" s="10">
        <v>109</v>
      </c>
      <c r="CI976" s="10">
        <v>66</v>
      </c>
      <c r="CJ976" s="10">
        <v>40</v>
      </c>
      <c r="CK976" s="10">
        <v>238</v>
      </c>
      <c r="CL976" s="10">
        <v>10</v>
      </c>
      <c r="CM976" s="10">
        <v>100</v>
      </c>
      <c r="CN976" s="10">
        <v>0.248</v>
      </c>
      <c r="CO976" s="10">
        <v>169</v>
      </c>
      <c r="CP976" s="10">
        <v>106</v>
      </c>
      <c r="CQ976" s="10">
        <v>69</v>
      </c>
      <c r="CR976" s="10">
        <v>10</v>
      </c>
      <c r="CS976" s="10">
        <v>10.199999999999999</v>
      </c>
      <c r="CT976" s="9" t="s">
        <v>231</v>
      </c>
      <c r="CU976" s="9" t="s">
        <v>188</v>
      </c>
      <c r="CV976" s="10"/>
      <c r="CW976" s="10"/>
      <c r="CX976" t="e">
        <f>INDEX('Data_Price '!AG$2:AG$1266,MATCH(Data!$DN976,'Data_Price '!$AT$2:$AT$1266,0))</f>
        <v>#N/A</v>
      </c>
      <c r="CY976" t="e">
        <f>INDEX('Data_Price '!AH$2:AH$1266,MATCH(Data!$DN976,'Data_Price '!$AT$2:$AT$1266,0))</f>
        <v>#N/A</v>
      </c>
      <c r="CZ976" t="e">
        <f>INDEX('Data_Price '!AI$2:AI$1266,MATCH(Data!$DN976,'Data_Price '!$AT$2:$AT$1266,0))</f>
        <v>#N/A</v>
      </c>
      <c r="DA976" t="e">
        <f>INDEX('Data_Price '!AJ$2:AJ$1266,MATCH(Data!$DN976,'Data_Price '!$AT$2:$AT$1266,0))</f>
        <v>#N/A</v>
      </c>
      <c r="DB976" t="e">
        <f>INDEX('Data_Price '!AK$2:AK$1266,MATCH(Data!$DN976,'Data_Price '!$AT$2:$AT$1266,0))</f>
        <v>#N/A</v>
      </c>
      <c r="DC976" t="e">
        <f>INDEX('Data_Price '!AL$2:AL$1266,MATCH(Data!$DN976,'Data_Price '!$AT$2:$AT$1266,0))</f>
        <v>#N/A</v>
      </c>
      <c r="DD976" t="e">
        <f>INDEX('Data_Price '!AM$2:AM$1266,MATCH(Data!$DN976,'Data_Price '!$AT$2:$AT$1266,0))</f>
        <v>#N/A</v>
      </c>
      <c r="DE976" t="e">
        <f>INDEX('Data_Price '!AN$2:AN$1266,MATCH(Data!$DN976,'Data_Price '!$AT$2:$AT$1266,0))</f>
        <v>#N/A</v>
      </c>
      <c r="DF976" t="e">
        <f>INDEX('Data_Price '!AO$2:AO$1266,MATCH(Data!$DN976,'Data_Price '!$AT$2:$AT$1266,0))</f>
        <v>#N/A</v>
      </c>
      <c r="DG976" t="e">
        <f>INDEX('Data_Price '!AP$2:AP$1266,MATCH(Data!$DN976,'Data_Price '!$AT$2:$AT$1266,0))</f>
        <v>#N/A</v>
      </c>
      <c r="DH976" t="e">
        <f>INDEX('Data_Price '!AQ$2:AQ$1266,MATCH(Data!$DN976,'Data_Price '!$AT$2:$AT$1266,0))</f>
        <v>#N/A</v>
      </c>
      <c r="DI976" t="e">
        <f>INDEX('Data_Price '!AR$2:AR$1266,MATCH(Data!$DN976,'Data_Price '!$AT$2:$AT$1266,0))</f>
        <v>#N/A</v>
      </c>
      <c r="DJ976" s="89" t="e">
        <f t="shared" si="587"/>
        <v>#N/A</v>
      </c>
      <c r="DK976" s="89" t="e">
        <f t="shared" si="588"/>
        <v>#N/A</v>
      </c>
      <c r="DL976" s="89" t="e">
        <f t="shared" si="589"/>
        <v>#N/A</v>
      </c>
      <c r="DM976" s="219" t="str">
        <f t="shared" si="590"/>
        <v>Mindbender 85 Alliance</v>
      </c>
      <c r="DN976" s="89" t="str">
        <f t="shared" si="591"/>
        <v xml:space="preserve"> K2Mindbender 85 Alliance149 Women's</v>
      </c>
      <c r="DO976" s="221" t="s">
        <v>582</v>
      </c>
    </row>
    <row r="977" spans="2:119" ht="15.6" customHeight="1">
      <c r="B977" s="219" t="b">
        <f t="array" ref="B977">IF(OR(ISERROR(K977:P977)),FALSE,TRUE)</f>
        <v>1</v>
      </c>
      <c r="C977" s="43" t="b">
        <f>OR(BR977=Driver!$G$50,Data!BR909=Driver!$H$50)</f>
        <v>1</v>
      </c>
      <c r="D977" s="43" t="b">
        <f>OR(BV977=Driver!$G$51,BV977=Driver!$H$51)</f>
        <v>1</v>
      </c>
      <c r="E977" s="43" t="b">
        <f>AND(BX977&gt;Driver!$F$54,BX977&lt;Driver!$G$54)</f>
        <v>0</v>
      </c>
      <c r="F977" s="43" t="b">
        <f>CL977&gt;Driver!$F$56</f>
        <v>1</v>
      </c>
      <c r="G977" s="43" t="b">
        <f>AND(CB977&gt;Driver!$F$55,CB977&lt;Driver!$G$55)</f>
        <v>0</v>
      </c>
      <c r="H977" s="43" t="b">
        <f t="shared" si="555"/>
        <v>0</v>
      </c>
      <c r="I977" s="43">
        <f t="shared" si="556"/>
        <v>0</v>
      </c>
      <c r="J977" s="43" t="b">
        <f t="array" ref="J977">NOT(OR(($H$9:$H$1273=TRUE)*($I$9:$I$1273&gt;0)*($BT$9:$BT$1273=BT977)*($K$9:$K$1273&gt;K977)))</f>
        <v>1</v>
      </c>
      <c r="K977" s="72">
        <f t="shared" si="557"/>
        <v>0.79109373575265396</v>
      </c>
      <c r="L977" s="72">
        <f t="shared" si="558"/>
        <v>0.97221151306160625</v>
      </c>
      <c r="M977" s="72">
        <f t="shared" si="559"/>
        <v>0.60997595844370167</v>
      </c>
      <c r="N977" s="72">
        <f t="shared" si="560"/>
        <v>0.48934349001422484</v>
      </c>
      <c r="O977" s="72">
        <f t="shared" si="561"/>
        <v>0.61234536819104268</v>
      </c>
      <c r="P977" s="72">
        <f t="shared" si="562"/>
        <v>0.72823901712583772</v>
      </c>
      <c r="Q977" s="72"/>
      <c r="R977" s="72"/>
      <c r="S977" s="72">
        <f t="shared" si="563"/>
        <v>0.51070765200393364</v>
      </c>
      <c r="T977" s="72">
        <f t="shared" si="564"/>
        <v>0.60441157988545546</v>
      </c>
      <c r="U977" s="72">
        <f t="shared" si="565"/>
        <v>0.61853317039194589</v>
      </c>
      <c r="V977" s="72">
        <f t="shared" si="566"/>
        <v>0.53933970778757989</v>
      </c>
      <c r="W977" s="72">
        <f t="shared" si="567"/>
        <v>0.76779545454545461</v>
      </c>
      <c r="X977" s="72">
        <f t="shared" si="568"/>
        <v>2.7788486938393753E-2</v>
      </c>
      <c r="Y977" s="72">
        <f t="shared" si="569"/>
        <v>0.39002404155629827</v>
      </c>
      <c r="Z977" s="72">
        <f t="shared" si="570"/>
        <v>0.51065650998577516</v>
      </c>
      <c r="AA977" s="72">
        <f t="shared" si="571"/>
        <v>0.38765463180895726</v>
      </c>
      <c r="AB977" s="72">
        <f t="shared" si="572"/>
        <v>0.27176098287416234</v>
      </c>
      <c r="AC977" s="72"/>
      <c r="AD977" s="72"/>
      <c r="AE977" s="72">
        <f t="shared" si="573"/>
        <v>0.48929234799606636</v>
      </c>
      <c r="AF977" s="72">
        <f t="shared" si="574"/>
        <v>0.39558842011454459</v>
      </c>
      <c r="AG977" s="72">
        <f t="shared" si="575"/>
        <v>0.38146682960805411</v>
      </c>
      <c r="AH977" s="72">
        <f t="shared" si="576"/>
        <v>0.46066029221242005</v>
      </c>
      <c r="AI977" s="72">
        <f t="shared" si="577"/>
        <v>0.23220454545454544</v>
      </c>
      <c r="AJ977" s="72">
        <f>(AV977-Driver!$K$179)/(Driver!$L$179-Driver!$K$179)</f>
        <v>0.28200789622109418</v>
      </c>
      <c r="AK977" s="72">
        <f>(AW977-Driver!$K$180)/(Driver!$L$180-Driver!$K$180)</f>
        <v>0.54022575921351224</v>
      </c>
      <c r="AL977" s="72">
        <f>(AX977-Driver!$K$181)/(Driver!$L$181-Driver!$K$181)</f>
        <v>0.61234427369885536</v>
      </c>
      <c r="AM977" s="72">
        <f>(AY977-Driver!$K$182)/(Driver!$L$182-Driver!$K$182)</f>
        <v>5.9730389288089124E-2</v>
      </c>
      <c r="AN977" s="72">
        <f>(AZ977-Driver!$K$183)/(Driver!$L$183-Driver!$K$183)</f>
        <v>0.52598039215686276</v>
      </c>
      <c r="AO977" s="72"/>
      <c r="AP977" s="72"/>
      <c r="AQ977" s="72">
        <f>(BC977-Driver!$K$188)/(Driver!$L$188-Driver!$K$188)</f>
        <v>0.13070765200393367</v>
      </c>
      <c r="AR977" s="72">
        <f>MIN((BD977-Driver!$K$189)/(Driver!$L$189-Driver!$K$189),100%)</f>
        <v>0.15441157988545545</v>
      </c>
      <c r="AS977" s="72">
        <f>(BE977-Driver!$K$190)/(Driver!$L$190-Driver!$K$190)</f>
        <v>0.12853317039194587</v>
      </c>
      <c r="AT977" s="72">
        <f>(BF977-Driver!$K$191)/(Driver!$L$191-Driver!$K$191)</f>
        <v>4.9339707787579935E-2</v>
      </c>
      <c r="AU977" s="72">
        <f>(BG977-Driver!$K$192)/(Driver!$L$192-Driver!$K$192)</f>
        <v>1.7795454545454545E-2</v>
      </c>
      <c r="AV977" s="70">
        <f t="shared" si="578"/>
        <v>5.9354226020892691</v>
      </c>
      <c r="AW977" s="70">
        <f t="shared" si="579"/>
        <v>54.521679744004011</v>
      </c>
      <c r="AX977" s="70">
        <f t="shared" si="580"/>
        <v>6.5110984632896987</v>
      </c>
      <c r="AY977" s="70">
        <f>IFERROR(Driver!$K$19/Data!BH977/Data!BI977*Data!BK977*Data!BL977,"")</f>
        <v>7.3127818316690796E-2</v>
      </c>
      <c r="AZ977" s="70">
        <f t="shared" si="581"/>
        <v>47.93745346239762</v>
      </c>
      <c r="BA977" s="70"/>
      <c r="BB977" s="70"/>
      <c r="BC977" s="70">
        <f t="shared" si="582"/>
        <v>67.798967759295323</v>
      </c>
      <c r="BD977" s="70">
        <f t="shared" si="583"/>
        <v>15.385974102830808</v>
      </c>
      <c r="BE977" s="70">
        <f t="shared" si="584"/>
        <v>0.12868863026557095</v>
      </c>
      <c r="BF977" s="70">
        <f t="shared" si="585"/>
        <v>5.572573363541995</v>
      </c>
      <c r="BG977" s="70">
        <f t="shared" si="586"/>
        <v>6.7384943181818188E-2</v>
      </c>
      <c r="BH977" s="67">
        <f>MAX((CE977-Driver!$F$200)/(Driver!$G$200-Driver!$F$200)*$BI$1,1)</f>
        <v>6.5110984632896987</v>
      </c>
      <c r="BI977" s="67">
        <f>MAX($BI$1*(BY977-Driver!$F$201)/(Driver!$G$201-Driver!$F$201),1)</f>
        <v>7.3417721518987342</v>
      </c>
      <c r="BJ977" s="67">
        <f>(CB977-Driver!$F$206)/(Driver!$G$206-Driver!$F$206)*$BI$1</f>
        <v>4.4444444444444446</v>
      </c>
      <c r="BK977" s="67">
        <f>(CD977-Driver!$F$203)/(Driver!$G$203-Driver!$F$203)*$BI$1</f>
        <v>2.9816513761467895</v>
      </c>
      <c r="BL977" s="67">
        <f>MAX((CR977-Driver!$F$202)/(Driver!$G$202-Driver!$F$202)*$BI$1,1)</f>
        <v>5.8620689655172411</v>
      </c>
      <c r="BM977" s="67">
        <f>MAX((CH977-Driver!$F$204)/(Driver!$G$204-Driver!$F$204)*$BI$1,1)</f>
        <v>5.3418803418803416</v>
      </c>
      <c r="BN977" s="67">
        <f>(CI977-Driver!$F$205)/(Driver!$G$205-Driver!$F$205)*$BI$1</f>
        <v>6.5294117647058822</v>
      </c>
      <c r="BO977" s="67">
        <f>(CK977-Driver!$F$207)/(Driver!$G$207-Driver!$F$207)*$BI$1</f>
        <v>1.7166494312306102</v>
      </c>
      <c r="BP977" s="67">
        <f>(CM977-Driver!$F$208)/(Driver!$G$208-Driver!$F$208)*$BI$1</f>
        <v>2.1777777777777776</v>
      </c>
      <c r="BQ977" s="67">
        <f>(CL977-Driver!$F$209)/(Driver!$G$209-Driver!$F$209)*$BI$1</f>
        <v>2.34375</v>
      </c>
      <c r="BR977" s="28" t="s">
        <v>155</v>
      </c>
      <c r="BS977" s="8" t="s">
        <v>332</v>
      </c>
      <c r="BT977" s="9" t="s">
        <v>788</v>
      </c>
      <c r="BU977" s="10">
        <v>172</v>
      </c>
      <c r="BV977" s="9" t="s">
        <v>158</v>
      </c>
      <c r="BW977" s="10">
        <v>172</v>
      </c>
      <c r="BX977" s="10">
        <v>171.3</v>
      </c>
      <c r="BY977" s="10">
        <v>124</v>
      </c>
      <c r="BZ977" s="10">
        <v>143</v>
      </c>
      <c r="CA977" s="10">
        <v>127</v>
      </c>
      <c r="CB977" s="10">
        <v>92</v>
      </c>
      <c r="CC977" s="10">
        <v>113</v>
      </c>
      <c r="CD977" s="10">
        <v>15.9</v>
      </c>
      <c r="CE977" s="10">
        <v>2044</v>
      </c>
      <c r="CF977" s="10">
        <v>0.87</v>
      </c>
      <c r="CG977" s="10">
        <v>1774</v>
      </c>
      <c r="CH977" s="10">
        <v>226</v>
      </c>
      <c r="CI977" s="10">
        <v>144</v>
      </c>
      <c r="CJ977" s="10">
        <v>54</v>
      </c>
      <c r="CK977" s="10">
        <v>276</v>
      </c>
      <c r="CL977" s="10">
        <v>15</v>
      </c>
      <c r="CM977" s="10">
        <v>196</v>
      </c>
      <c r="CN977" s="10">
        <v>0.27900000000000003</v>
      </c>
      <c r="CO977" s="10">
        <v>132</v>
      </c>
      <c r="CP977" s="10">
        <v>150</v>
      </c>
      <c r="CQ977" s="10">
        <v>144</v>
      </c>
      <c r="CR977" s="10">
        <v>6</v>
      </c>
      <c r="CS977" s="10">
        <v>9.1</v>
      </c>
      <c r="CT977" s="9" t="s">
        <v>188</v>
      </c>
      <c r="CU977" s="10"/>
      <c r="CV977" s="10"/>
      <c r="CW977" s="10"/>
      <c r="CX977" t="str">
        <f>INDEX('Data_Price '!AG$2:AG$1266,MATCH(Data!$DN977,'Data_Price '!$AT$2:$AT$1266,0))</f>
        <v>Nordica Enforcer 94 / Santa Ana 93 Ski Skins - 2022 172 cm</v>
      </c>
      <c r="CY977" t="str">
        <f>INDEX('Data_Price '!AH$2:AH$1266,MATCH(Data!$DN977,'Data_Price '!$AT$2:$AT$1266,0))</f>
        <v>Arlberg Ski &amp; Surf Shops</v>
      </c>
      <c r="CZ977">
        <f>INDEX('Data_Price '!AI$2:AI$1266,MATCH(Data!$DN977,'Data_Price '!$AT$2:$AT$1266,0))</f>
        <v>209.95</v>
      </c>
      <c r="DA977" t="str">
        <f>INDEX('Data_Price '!AJ$2:AJ$1266,MATCH(Data!$DN977,'Data_Price '!$AT$2:$AT$1266,0))</f>
        <v>https://tinyurl.com/y7f63cfk</v>
      </c>
      <c r="DB977" t="str">
        <f>INDEX('Data_Price '!AK$2:AK$1266,MATCH(Data!$DN977,'Data_Price '!$AT$2:$AT$1266,0))</f>
        <v>Nordica Enforcer 94 Skis</v>
      </c>
      <c r="DC977" t="str">
        <f>INDEX('Data_Price '!AL$2:AL$1266,MATCH(Data!$DN977,'Data_Price '!$AT$2:$AT$1266,0))</f>
        <v>AlpineShopVT.com</v>
      </c>
      <c r="DD977">
        <f>INDEX('Data_Price '!AM$2:AM$1266,MATCH(Data!$DN977,'Data_Price '!$AT$2:$AT$1266,0))</f>
        <v>559.99</v>
      </c>
      <c r="DE977" t="str">
        <f>INDEX('Data_Price '!AN$2:AN$1266,MATCH(Data!$DN977,'Data_Price '!$AT$2:$AT$1266,0))</f>
        <v>https://tinyurl.com/ycva6r9f</v>
      </c>
      <c r="DF977" t="str">
        <f>INDEX('Data_Price '!AO$2:AO$1266,MATCH(Data!$DN977,'Data_Price '!$AT$2:$AT$1266,0))</f>
        <v>Nordica Enforcer 94 Skis</v>
      </c>
      <c r="DG977" t="str">
        <f>INDEX('Data_Price '!AP$2:AP$1266,MATCH(Data!$DN977,'Data_Price '!$AT$2:$AT$1266,0))</f>
        <v>evo.com</v>
      </c>
      <c r="DH977">
        <f>INDEX('Data_Price '!AQ$2:AQ$1266,MATCH(Data!$DN977,'Data_Price '!$AT$2:$AT$1266,0))</f>
        <v>559.99</v>
      </c>
      <c r="DI977" t="str">
        <f>INDEX('Data_Price '!AR$2:AR$1266,MATCH(Data!$DN977,'Data_Price '!$AT$2:$AT$1266,0))</f>
        <v>https://tinyurl.com/y7mmm8q3</v>
      </c>
      <c r="DJ977" s="89" t="str">
        <f t="shared" si="587"/>
        <v>https://tinyurl.com/y7f63cfk</v>
      </c>
      <c r="DK977" s="89" t="str">
        <f t="shared" si="588"/>
        <v>https://tinyurl.com/ycva6r9f</v>
      </c>
      <c r="DL977" s="89" t="str">
        <f t="shared" si="589"/>
        <v>https://tinyurl.com/y7mmm8q3</v>
      </c>
      <c r="DM977" s="219" t="str">
        <f t="shared" si="590"/>
        <v>Enforcer 94</v>
      </c>
      <c r="DN977" s="89" t="str">
        <f t="shared" si="591"/>
        <v xml:space="preserve"> NordicaEnforcer 94172 Unisex</v>
      </c>
      <c r="DO977" s="221" t="s">
        <v>789</v>
      </c>
    </row>
    <row r="978" spans="2:119" ht="15.6" customHeight="1">
      <c r="B978" s="219" t="b">
        <f t="array" ref="B978">IF(OR(ISERROR(K978:P978)),FALSE,TRUE)</f>
        <v>1</v>
      </c>
      <c r="C978" s="43" t="b">
        <f>OR(BR978=Driver!$G$50,Data!BR974=Driver!$H$50)</f>
        <v>1</v>
      </c>
      <c r="D978" s="43" t="b">
        <f>OR(BV978=Driver!$G$51,BV978=Driver!$H$51)</f>
        <v>1</v>
      </c>
      <c r="E978" s="43" t="b">
        <f>AND(BX978&gt;Driver!$F$54,BX978&lt;Driver!$G$54)</f>
        <v>0</v>
      </c>
      <c r="F978" s="43" t="b">
        <f>CL978&gt;Driver!$F$56</f>
        <v>1</v>
      </c>
      <c r="G978" s="43" t="b">
        <f>AND(CB978&gt;Driver!$F$55,CB978&lt;Driver!$G$55)</f>
        <v>0</v>
      </c>
      <c r="H978" s="43" t="b">
        <f t="shared" si="555"/>
        <v>0</v>
      </c>
      <c r="I978" s="43">
        <f t="shared" si="556"/>
        <v>0</v>
      </c>
      <c r="J978" s="43" t="b">
        <f t="array" ref="J978">NOT(OR(($H$9:$H$1273=TRUE)*($I$9:$I$1273&gt;0)*($BT$9:$BT$1273=BT978)*($K$9:$K$1273&gt;K978)))</f>
        <v>1</v>
      </c>
      <c r="K978" s="72">
        <f t="shared" si="557"/>
        <v>0.72729735345728663</v>
      </c>
      <c r="L978" s="72">
        <f t="shared" si="558"/>
        <v>0.80091185952845012</v>
      </c>
      <c r="M978" s="72">
        <f t="shared" si="559"/>
        <v>0.65368284738612314</v>
      </c>
      <c r="N978" s="72">
        <f t="shared" si="560"/>
        <v>0.59937953630525109</v>
      </c>
      <c r="O978" s="72">
        <f t="shared" si="561"/>
        <v>0.67362606715865292</v>
      </c>
      <c r="P978" s="72">
        <f t="shared" si="562"/>
        <v>0.68804293869446509</v>
      </c>
      <c r="Q978" s="72"/>
      <c r="R978" s="72"/>
      <c r="S978" s="72">
        <f t="shared" si="563"/>
        <v>0.63522968329068696</v>
      </c>
      <c r="T978" s="72">
        <f t="shared" si="564"/>
        <v>0.55724564605386573</v>
      </c>
      <c r="U978" s="72">
        <f t="shared" si="565"/>
        <v>0.68203451137857662</v>
      </c>
      <c r="V978" s="72">
        <f t="shared" si="566"/>
        <v>0.51665245145211069</v>
      </c>
      <c r="W978" s="72">
        <f t="shared" si="567"/>
        <v>0.76262142629397389</v>
      </c>
      <c r="X978" s="72">
        <f t="shared" si="568"/>
        <v>0.19908814047154982</v>
      </c>
      <c r="Y978" s="72">
        <f t="shared" si="569"/>
        <v>0.34631715261387691</v>
      </c>
      <c r="Z978" s="72">
        <f t="shared" si="570"/>
        <v>0.40062046369474891</v>
      </c>
      <c r="AA978" s="72">
        <f t="shared" si="571"/>
        <v>0.32637393284134708</v>
      </c>
      <c r="AB978" s="72">
        <f t="shared" si="572"/>
        <v>0.31195706130553486</v>
      </c>
      <c r="AC978" s="72"/>
      <c r="AD978" s="72"/>
      <c r="AE978" s="72">
        <f t="shared" si="573"/>
        <v>0.36477031670931298</v>
      </c>
      <c r="AF978" s="72">
        <f t="shared" si="574"/>
        <v>0.44275435394613427</v>
      </c>
      <c r="AG978" s="72">
        <f t="shared" si="575"/>
        <v>0.31796548862142338</v>
      </c>
      <c r="AH978" s="72">
        <f t="shared" si="576"/>
        <v>0.48334754854788931</v>
      </c>
      <c r="AI978" s="72">
        <f t="shared" si="577"/>
        <v>0.23737857370602614</v>
      </c>
      <c r="AJ978" s="72">
        <f>(AV978-Driver!$K$179)/(Driver!$L$179-Driver!$K$179)</f>
        <v>0.45330754975425025</v>
      </c>
      <c r="AK978" s="72">
        <f>(AW978-Driver!$K$180)/(Driver!$L$180-Driver!$K$180)</f>
        <v>0.56842372374401551</v>
      </c>
      <c r="AL978" s="72">
        <f>(AX978-Driver!$K$181)/(Driver!$L$181-Driver!$K$181)</f>
        <v>0.5023082274078291</v>
      </c>
      <c r="AM978" s="72">
        <f>(AY978-Driver!$K$182)/(Driver!$L$182-Driver!$K$182)</f>
        <v>0.12101108825569931</v>
      </c>
      <c r="AN978" s="72">
        <f>(AZ978-Driver!$K$183)/(Driver!$L$183-Driver!$K$183)</f>
        <v>0.56617647058823528</v>
      </c>
      <c r="AO978" s="72"/>
      <c r="AP978" s="72"/>
      <c r="AQ978" s="72">
        <f>(BC978-Driver!$K$188)/(Driver!$L$188-Driver!$K$188)</f>
        <v>0.25522968329068701</v>
      </c>
      <c r="AR978" s="72">
        <f>MIN((BD978-Driver!$K$189)/(Driver!$L$189-Driver!$K$189),100%)</f>
        <v>0.10724564605386577</v>
      </c>
      <c r="AS978" s="72">
        <f>(BE978-Driver!$K$190)/(Driver!$L$190-Driver!$K$190)</f>
        <v>0.19203451137857663</v>
      </c>
      <c r="AT978" s="72">
        <f>(BF978-Driver!$K$191)/(Driver!$L$191-Driver!$K$191)</f>
        <v>2.6652451452110721E-2</v>
      </c>
      <c r="AU978" s="72">
        <f>(BG978-Driver!$K$192)/(Driver!$L$192-Driver!$K$192)</f>
        <v>1.2621426293973852E-2</v>
      </c>
      <c r="AV978" s="70">
        <f t="shared" si="578"/>
        <v>9.5407678741012081</v>
      </c>
      <c r="AW978" s="70">
        <f t="shared" si="579"/>
        <v>57.269821246885094</v>
      </c>
      <c r="AX978" s="70">
        <f t="shared" si="580"/>
        <v>5.5207740466704616</v>
      </c>
      <c r="AY978" s="70">
        <f>IFERROR(Driver!$K$19/Data!BH978/Data!BI978*Data!BK978*Data!BL978,"")</f>
        <v>0.14815367824887848</v>
      </c>
      <c r="AZ978" s="70">
        <f t="shared" si="581"/>
        <v>51.600893521965752</v>
      </c>
      <c r="BA978" s="70"/>
      <c r="BB978" s="70"/>
      <c r="BC978" s="70">
        <f t="shared" si="582"/>
        <v>132.38941105085163</v>
      </c>
      <c r="BD978" s="70">
        <f t="shared" si="583"/>
        <v>11.211872531824591</v>
      </c>
      <c r="BE978" s="70">
        <f t="shared" si="584"/>
        <v>0.19217864332770773</v>
      </c>
      <c r="BF978" s="70">
        <f t="shared" si="585"/>
        <v>3.0102071474471792</v>
      </c>
      <c r="BG978" s="70">
        <f t="shared" si="586"/>
        <v>4.7792771548517368E-2</v>
      </c>
      <c r="BH978" s="67">
        <f>MAX((CE978-Driver!$F$200)/(Driver!$G$200-Driver!$F$200)*$BI$1,1)</f>
        <v>5.5207740466704616</v>
      </c>
      <c r="BI978" s="67">
        <f>MAX($BI$1*(BY978-Driver!$F$201)/(Driver!$G$201-Driver!$F$201),1)</f>
        <v>8.3544303797468356</v>
      </c>
      <c r="BJ978" s="67">
        <f>(CB978-Driver!$F$206)/(Driver!$G$206-Driver!$F$206)*$BI$1</f>
        <v>4.6031746031746028</v>
      </c>
      <c r="BK978" s="67">
        <f>(CD978-Driver!$F$203)/(Driver!$G$203-Driver!$F$203)*$BI$1</f>
        <v>5.5045871559633035</v>
      </c>
      <c r="BL978" s="67">
        <f>MAX((CR978-Driver!$F$202)/(Driver!$G$202-Driver!$F$202)*$BI$1,1)</f>
        <v>6.2068965517241379</v>
      </c>
      <c r="BM978" s="67">
        <f>MAX((CH978-Driver!$F$204)/(Driver!$G$204-Driver!$F$204)*$BI$1,1)</f>
        <v>8.2905982905982913</v>
      </c>
      <c r="BN978" s="67">
        <f>(CI978-Driver!$F$205)/(Driver!$G$205-Driver!$F$205)*$BI$1</f>
        <v>6.1764705882352944</v>
      </c>
      <c r="BO978" s="67">
        <f>(CK978-Driver!$F$207)/(Driver!$G$207-Driver!$F$207)*$BI$1</f>
        <v>1.8200620475698035</v>
      </c>
      <c r="BP978" s="67">
        <f>(CM978-Driver!$F$208)/(Driver!$G$208-Driver!$F$208)*$BI$1</f>
        <v>1.9777777777777779</v>
      </c>
      <c r="BQ978" s="67">
        <f>(CL978-Driver!$F$209)/(Driver!$G$209-Driver!$F$209)*$BI$1</f>
        <v>2.1875</v>
      </c>
      <c r="BR978" s="28" t="s">
        <v>155</v>
      </c>
      <c r="BS978" s="8" t="s">
        <v>172</v>
      </c>
      <c r="BT978" s="9" t="s">
        <v>599</v>
      </c>
      <c r="BU978" s="10">
        <v>186</v>
      </c>
      <c r="BV978" s="9" t="s">
        <v>158</v>
      </c>
      <c r="BW978" s="10">
        <v>186</v>
      </c>
      <c r="BX978" s="10">
        <v>186.5</v>
      </c>
      <c r="BY978" s="10">
        <v>140</v>
      </c>
      <c r="BZ978" s="10">
        <v>161</v>
      </c>
      <c r="CA978" s="10">
        <v>126</v>
      </c>
      <c r="CB978" s="10">
        <v>93</v>
      </c>
      <c r="CC978" s="10">
        <v>116</v>
      </c>
      <c r="CD978" s="10">
        <v>21.4</v>
      </c>
      <c r="CE978" s="10">
        <v>1870</v>
      </c>
      <c r="CF978" s="10">
        <v>1.04</v>
      </c>
      <c r="CG978" s="10">
        <v>1948</v>
      </c>
      <c r="CH978" s="10">
        <v>295</v>
      </c>
      <c r="CI978" s="10">
        <v>138</v>
      </c>
      <c r="CJ978" s="10">
        <v>46</v>
      </c>
      <c r="CK978" s="10">
        <v>286</v>
      </c>
      <c r="CL978" s="10">
        <v>14</v>
      </c>
      <c r="CM978" s="10">
        <v>178</v>
      </c>
      <c r="CN978" s="10">
        <v>0.31</v>
      </c>
      <c r="CO978" s="10">
        <v>148</v>
      </c>
      <c r="CP978" s="10">
        <v>103</v>
      </c>
      <c r="CQ978" s="10">
        <v>138</v>
      </c>
      <c r="CR978" s="10">
        <v>7</v>
      </c>
      <c r="CS978" s="10">
        <v>8.3000000000000007</v>
      </c>
      <c r="CT978" s="9" t="s">
        <v>188</v>
      </c>
      <c r="CU978" s="10"/>
      <c r="CV978" s="10"/>
      <c r="CW978" s="10"/>
      <c r="CX978" t="str">
        <f>INDEX('Data_Price '!AG$2:AG$1266,MATCH(Data!$DN978,'Data_Price '!$AT$2:$AT$1266,0))</f>
        <v>Rossignol Men's Blackops Escaper Flat Ski 2020-2021 | BLACK / 186</v>
      </c>
      <c r="CY978" t="str">
        <f>INDEX('Data_Price '!AH$2:AH$1266,MATCH(Data!$DN978,'Data_Price '!$AT$2:$AT$1266,0))</f>
        <v>Ski Pro  - Snow Ski &amp; Snowboard</v>
      </c>
      <c r="CZ978">
        <f>INDEX('Data_Price '!AI$2:AI$1266,MATCH(Data!$DN978,'Data_Price '!$AT$2:$AT$1266,0))</f>
        <v>399.95</v>
      </c>
      <c r="DA978" t="str">
        <f>INDEX('Data_Price '!AJ$2:AJ$1266,MATCH(Data!$DN978,'Data_Price '!$AT$2:$AT$1266,0))</f>
        <v>https://tinyurl.com/y9pjqhdy</v>
      </c>
      <c r="DB978" t="str">
        <f>INDEX('Data_Price '!AK$2:AK$1266,MATCH(Data!$DN978,'Data_Price '!$AT$2:$AT$1266,0))</f>
        <v>Rossignol Blackops Escaper Open 186cm</v>
      </c>
      <c r="DC978" t="str">
        <f>INDEX('Data_Price '!AL$2:AL$1266,MATCH(Data!$DN978,'Data_Price '!$AT$2:$AT$1266,0))</f>
        <v>Sundance Ski and Board Shop</v>
      </c>
      <c r="DD978">
        <f>INDEX('Data_Price '!AM$2:AM$1266,MATCH(Data!$DN978,'Data_Price '!$AT$2:$AT$1266,0))</f>
        <v>400.72</v>
      </c>
      <c r="DE978" t="str">
        <f>INDEX('Data_Price '!AN$2:AN$1266,MATCH(Data!$DN978,'Data_Price '!$AT$2:$AT$1266,0))</f>
        <v>https://tinyurl.com/ycrpga5f</v>
      </c>
      <c r="DF978" t="str">
        <f>INDEX('Data_Price '!AO$2:AO$1266,MATCH(Data!$DN978,'Data_Price '!$AT$2:$AT$1266,0))</f>
        <v>Rossignol Blackops Escaper Skis 2022</v>
      </c>
      <c r="DG978" t="str">
        <f>INDEX('Data_Price '!AP$2:AP$1266,MATCH(Data!$DN978,'Data_Price '!$AT$2:$AT$1266,0))</f>
        <v>Saint Bernard</v>
      </c>
      <c r="DH978">
        <f>INDEX('Data_Price '!AQ$2:AQ$1266,MATCH(Data!$DN978,'Data_Price '!$AT$2:$AT$1266,0))</f>
        <v>473.9</v>
      </c>
      <c r="DI978" t="str">
        <f>INDEX('Data_Price '!AR$2:AR$1266,MATCH(Data!$DN978,'Data_Price '!$AT$2:$AT$1266,0))</f>
        <v>https://tinyurl.com/y8exhyzk</v>
      </c>
      <c r="DJ978" s="89" t="str">
        <f t="shared" si="587"/>
        <v>https://tinyurl.com/y9pjqhdy</v>
      </c>
      <c r="DK978" s="89" t="str">
        <f t="shared" si="588"/>
        <v>https://tinyurl.com/ycrpga5f</v>
      </c>
      <c r="DL978" s="89" t="str">
        <f t="shared" si="589"/>
        <v>https://tinyurl.com/y8exhyzk</v>
      </c>
      <c r="DM978" s="219" t="str">
        <f t="shared" si="590"/>
        <v>Blackops Escaper</v>
      </c>
      <c r="DN978" s="89" t="str">
        <f t="shared" si="591"/>
        <v xml:space="preserve"> RossignolBlackops Escaper186 Unisex</v>
      </c>
      <c r="DO978" s="221"/>
    </row>
    <row r="979" spans="2:119" ht="15.6" customHeight="1">
      <c r="B979" s="219" t="b">
        <f t="array" ref="B979">IF(OR(ISERROR(K979:P979)),FALSE,TRUE)</f>
        <v>1</v>
      </c>
      <c r="C979" s="43" t="b">
        <f>OR(BR979=Driver!$G$50,Data!BR707=Driver!$H$50)</f>
        <v>1</v>
      </c>
      <c r="D979" s="43" t="b">
        <f>OR(BV979=Driver!$G$51,BV979=Driver!$H$51)</f>
        <v>1</v>
      </c>
      <c r="E979" s="43" t="b">
        <f>AND(BX979&gt;Driver!$F$54,BX979&lt;Driver!$G$54)</f>
        <v>0</v>
      </c>
      <c r="F979" s="43" t="b">
        <f>CL979&gt;Driver!$F$56</f>
        <v>1</v>
      </c>
      <c r="G979" s="43" t="b">
        <f>AND(CB979&gt;Driver!$F$55,CB979&lt;Driver!$G$55)</f>
        <v>0</v>
      </c>
      <c r="H979" s="43" t="b">
        <f t="shared" si="555"/>
        <v>0</v>
      </c>
      <c r="I979" s="43">
        <f t="shared" si="556"/>
        <v>0</v>
      </c>
      <c r="J979" s="43" t="b">
        <f t="array" ref="J979">NOT(OR(($H$9:$H$1273=TRUE)*($I$9:$I$1273&gt;0)*($BT$9:$BT$1273=BT979)*($K$9:$K$1273&gt;K979)))</f>
        <v>1</v>
      </c>
      <c r="K979" s="72">
        <f t="shared" si="557"/>
        <v>0.76334034982104992</v>
      </c>
      <c r="L979" s="72">
        <f t="shared" si="558"/>
        <v>0.88090265984952099</v>
      </c>
      <c r="M979" s="72">
        <f t="shared" si="559"/>
        <v>0.64577803979257897</v>
      </c>
      <c r="N979" s="72">
        <f t="shared" si="560"/>
        <v>0.48491675251975819</v>
      </c>
      <c r="O979" s="72">
        <f t="shared" si="561"/>
        <v>0.62381070267331729</v>
      </c>
      <c r="P979" s="72">
        <f t="shared" si="562"/>
        <v>0.82860666418466122</v>
      </c>
      <c r="Q979" s="72"/>
      <c r="R979" s="72"/>
      <c r="S979" s="72">
        <f t="shared" si="563"/>
        <v>0.55910236864182628</v>
      </c>
      <c r="T979" s="72">
        <f t="shared" si="564"/>
        <v>0.88645057399072713</v>
      </c>
      <c r="U979" s="72">
        <f t="shared" si="565"/>
        <v>0.51</v>
      </c>
      <c r="V979" s="72">
        <f t="shared" si="566"/>
        <v>0.49086953024400404</v>
      </c>
      <c r="W979" s="72">
        <f t="shared" si="567"/>
        <v>0.75685551492130199</v>
      </c>
      <c r="X979" s="72">
        <f t="shared" si="568"/>
        <v>0.11909734015047904</v>
      </c>
      <c r="Y979" s="72">
        <f t="shared" si="569"/>
        <v>0.35422196020742108</v>
      </c>
      <c r="Z979" s="72">
        <f t="shared" si="570"/>
        <v>0.51508324748024181</v>
      </c>
      <c r="AA979" s="72">
        <f t="shared" si="571"/>
        <v>0.37618929732668266</v>
      </c>
      <c r="AB979" s="72">
        <f t="shared" si="572"/>
        <v>0.17139333581533878</v>
      </c>
      <c r="AC979" s="72"/>
      <c r="AD979" s="72"/>
      <c r="AE979" s="72">
        <f t="shared" si="573"/>
        <v>0.44089763135817372</v>
      </c>
      <c r="AF979" s="72">
        <f t="shared" si="574"/>
        <v>0.11354942600927292</v>
      </c>
      <c r="AG979" s="72">
        <f t="shared" si="575"/>
        <v>0.49</v>
      </c>
      <c r="AH979" s="72">
        <f t="shared" si="576"/>
        <v>0.50913046975599596</v>
      </c>
      <c r="AI979" s="72">
        <f t="shared" si="577"/>
        <v>0.24314448507869799</v>
      </c>
      <c r="AJ979" s="72">
        <f>(AV979-Driver!$K$179)/(Driver!$L$179-Driver!$K$179)</f>
        <v>0.13512206913222138</v>
      </c>
      <c r="AK979" s="72">
        <f>(AW979-Driver!$K$180)/(Driver!$L$180-Driver!$K$180)</f>
        <v>0.44691917413279936</v>
      </c>
      <c r="AL979" s="72">
        <f>(AX979-Driver!$K$181)/(Driver!$L$181-Driver!$K$181)</f>
        <v>0.61677101119332201</v>
      </c>
      <c r="AM979" s="72">
        <f>(AY979-Driver!$K$182)/(Driver!$L$182-Driver!$K$182)</f>
        <v>7.1195723770363692E-2</v>
      </c>
      <c r="AN979" s="72">
        <f>(AZ979-Driver!$K$183)/(Driver!$L$183-Driver!$K$183)</f>
        <v>0.4256127450980392</v>
      </c>
      <c r="AO979" s="72"/>
      <c r="AP979" s="72"/>
      <c r="AQ979" s="72">
        <f>(BC979-Driver!$K$188)/(Driver!$L$188-Driver!$K$188)</f>
        <v>0.17910236864182624</v>
      </c>
      <c r="AR979" s="72">
        <f>MIN((BD979-Driver!$K$189)/(Driver!$L$189-Driver!$K$189),100%)</f>
        <v>0.43645057399072712</v>
      </c>
      <c r="AS979" s="72">
        <f>(BE979-Driver!$K$190)/(Driver!$L$190-Driver!$K$190)</f>
        <v>1</v>
      </c>
      <c r="AT979" s="72">
        <f>(BF979-Driver!$K$191)/(Driver!$L$191-Driver!$K$191)</f>
        <v>8.6953024400400003E-4</v>
      </c>
      <c r="AU979" s="72">
        <f>(BG979-Driver!$K$192)/(Driver!$L$192-Driver!$K$192)</f>
        <v>6.8555149213020026E-3</v>
      </c>
      <c r="AV979" s="70">
        <f t="shared" si="578"/>
        <v>2.8439153439153437</v>
      </c>
      <c r="AW979" s="70">
        <f t="shared" si="579"/>
        <v>45.428126247437667</v>
      </c>
      <c r="AX979" s="70">
        <f t="shared" si="580"/>
        <v>6.5509391007398978</v>
      </c>
      <c r="AY979" s="70">
        <f>IFERROR(Driver!$K$19/Data!BH979/Data!BI979*Data!BK979*Data!BL979,"")</f>
        <v>8.7164808648629882E-2</v>
      </c>
      <c r="AZ979" s="70">
        <f t="shared" si="581"/>
        <v>38.790022338049141</v>
      </c>
      <c r="BA979" s="70"/>
      <c r="BB979" s="70"/>
      <c r="BC979" s="70">
        <f t="shared" si="582"/>
        <v>92.901643713982097</v>
      </c>
      <c r="BD979" s="70">
        <f t="shared" si="583"/>
        <v>40.345925337621175</v>
      </c>
      <c r="BE979" s="70">
        <f t="shared" si="584"/>
        <v>1</v>
      </c>
      <c r="BF979" s="70">
        <f t="shared" si="585"/>
        <v>9.8207332264553943E-2</v>
      </c>
      <c r="BG979" s="70">
        <f t="shared" si="586"/>
        <v>2.5959352837775042E-2</v>
      </c>
      <c r="BH979" s="67">
        <f>MAX((CE979-Driver!$F$200)/(Driver!$G$200-Driver!$F$200)*$BI$1,1)</f>
        <v>6.5509391007398978</v>
      </c>
      <c r="BI979" s="67">
        <f>MAX($BI$1*(BY979-Driver!$F$201)/(Driver!$G$201-Driver!$F$201),1)</f>
        <v>9.5569620253164551</v>
      </c>
      <c r="BJ979" s="67">
        <f>(CB979-Driver!$F$206)/(Driver!$G$206-Driver!$F$206)*$BI$1</f>
        <v>2.0634920634920633</v>
      </c>
      <c r="BK979" s="67">
        <f>(CD979-Driver!$F$203)/(Driver!$G$203-Driver!$F$203)*$BI$1</f>
        <v>3.4403669724770634</v>
      </c>
      <c r="BL979" s="67">
        <f>MAX((CR979-Driver!$F$202)/(Driver!$G$202-Driver!$F$202)*$BI$1,1)</f>
        <v>7.931034482758621</v>
      </c>
      <c r="BM979" s="67">
        <f>MAX((CH979-Driver!$F$204)/(Driver!$G$204-Driver!$F$204)*$BI$1,1)</f>
        <v>5.5128205128205128</v>
      </c>
      <c r="BN979" s="67">
        <f>(CI979-Driver!$F$205)/(Driver!$G$205-Driver!$F$205)*$BI$1</f>
        <v>4.0588235294117645</v>
      </c>
      <c r="BO979" s="67">
        <f>(CK979-Driver!$F$207)/(Driver!$G$207-Driver!$F$207)*$BI$1</f>
        <v>0.25853154084798347</v>
      </c>
      <c r="BP979" s="67">
        <f>(CM979-Driver!$F$208)/(Driver!$G$208-Driver!$F$208)*$BI$1</f>
        <v>0.63333333333333341</v>
      </c>
      <c r="BQ979" s="67">
        <f>(CL979-Driver!$F$209)/(Driver!$G$209-Driver!$F$209)*$BI$1</f>
        <v>0.9375</v>
      </c>
      <c r="BR979" s="28" t="s">
        <v>155</v>
      </c>
      <c r="BS979" s="8" t="s">
        <v>262</v>
      </c>
      <c r="BT979" s="9" t="s">
        <v>583</v>
      </c>
      <c r="BU979" s="10">
        <v>177</v>
      </c>
      <c r="BV979" s="9" t="s">
        <v>158</v>
      </c>
      <c r="BW979" s="10">
        <v>177</v>
      </c>
      <c r="BX979" s="10">
        <v>177.8</v>
      </c>
      <c r="BY979" s="10">
        <v>159</v>
      </c>
      <c r="BZ979" s="10">
        <v>166</v>
      </c>
      <c r="CA979" s="10">
        <v>124</v>
      </c>
      <c r="CB979" s="10">
        <v>77</v>
      </c>
      <c r="CC979" s="10">
        <v>110</v>
      </c>
      <c r="CD979" s="10">
        <v>16.899999999999999</v>
      </c>
      <c r="CE979" s="10">
        <v>2051</v>
      </c>
      <c r="CF979" s="10">
        <v>0.79</v>
      </c>
      <c r="CG979" s="10">
        <v>1627</v>
      </c>
      <c r="CH979" s="10">
        <v>230</v>
      </c>
      <c r="CI979" s="10">
        <v>102</v>
      </c>
      <c r="CJ979" s="10">
        <v>33</v>
      </c>
      <c r="CK979" s="10">
        <v>135</v>
      </c>
      <c r="CL979" s="10">
        <v>6</v>
      </c>
      <c r="CM979" s="10">
        <v>57</v>
      </c>
      <c r="CN979" s="10">
        <v>0.191</v>
      </c>
      <c r="CO979" s="10">
        <v>81</v>
      </c>
      <c r="CP979" s="10">
        <v>42</v>
      </c>
      <c r="CQ979" s="10">
        <v>54</v>
      </c>
      <c r="CR979" s="10">
        <v>12</v>
      </c>
      <c r="CS979" s="10">
        <v>10.4</v>
      </c>
      <c r="CT979" s="9" t="s">
        <v>349</v>
      </c>
      <c r="CU979" s="10"/>
      <c r="CV979" s="10"/>
      <c r="CW979" s="10"/>
      <c r="CX979" t="e">
        <f>INDEX('Data_Price '!AG$2:AG$1266,MATCH(Data!$DN979,'Data_Price '!$AT$2:$AT$1266,0))</f>
        <v>#N/A</v>
      </c>
      <c r="CY979" t="e">
        <f>INDEX('Data_Price '!AH$2:AH$1266,MATCH(Data!$DN979,'Data_Price '!$AT$2:$AT$1266,0))</f>
        <v>#N/A</v>
      </c>
      <c r="CZ979" t="e">
        <f>INDEX('Data_Price '!AI$2:AI$1266,MATCH(Data!$DN979,'Data_Price '!$AT$2:$AT$1266,0))</f>
        <v>#N/A</v>
      </c>
      <c r="DA979" t="e">
        <f>INDEX('Data_Price '!AJ$2:AJ$1266,MATCH(Data!$DN979,'Data_Price '!$AT$2:$AT$1266,0))</f>
        <v>#N/A</v>
      </c>
      <c r="DB979" t="e">
        <f>INDEX('Data_Price '!AK$2:AK$1266,MATCH(Data!$DN979,'Data_Price '!$AT$2:$AT$1266,0))</f>
        <v>#N/A</v>
      </c>
      <c r="DC979" t="e">
        <f>INDEX('Data_Price '!AL$2:AL$1266,MATCH(Data!$DN979,'Data_Price '!$AT$2:$AT$1266,0))</f>
        <v>#N/A</v>
      </c>
      <c r="DD979" t="e">
        <f>INDEX('Data_Price '!AM$2:AM$1266,MATCH(Data!$DN979,'Data_Price '!$AT$2:$AT$1266,0))</f>
        <v>#N/A</v>
      </c>
      <c r="DE979" t="e">
        <f>INDEX('Data_Price '!AN$2:AN$1266,MATCH(Data!$DN979,'Data_Price '!$AT$2:$AT$1266,0))</f>
        <v>#N/A</v>
      </c>
      <c r="DF979" t="e">
        <f>INDEX('Data_Price '!AO$2:AO$1266,MATCH(Data!$DN979,'Data_Price '!$AT$2:$AT$1266,0))</f>
        <v>#N/A</v>
      </c>
      <c r="DG979" t="e">
        <f>INDEX('Data_Price '!AP$2:AP$1266,MATCH(Data!$DN979,'Data_Price '!$AT$2:$AT$1266,0))</f>
        <v>#N/A</v>
      </c>
      <c r="DH979" t="e">
        <f>INDEX('Data_Price '!AQ$2:AQ$1266,MATCH(Data!$DN979,'Data_Price '!$AT$2:$AT$1266,0))</f>
        <v>#N/A</v>
      </c>
      <c r="DI979" t="e">
        <f>INDEX('Data_Price '!AR$2:AR$1266,MATCH(Data!$DN979,'Data_Price '!$AT$2:$AT$1266,0))</f>
        <v>#N/A</v>
      </c>
      <c r="DJ979" s="89" t="e">
        <f t="shared" si="587"/>
        <v>#N/A</v>
      </c>
      <c r="DK979" s="89" t="e">
        <f t="shared" si="588"/>
        <v>#N/A</v>
      </c>
      <c r="DL979" s="89" t="e">
        <f t="shared" si="589"/>
        <v>#N/A</v>
      </c>
      <c r="DM979" s="219" t="str">
        <f t="shared" si="590"/>
        <v>Disruption 78C</v>
      </c>
      <c r="DN979" s="89" t="str">
        <f t="shared" si="591"/>
        <v xml:space="preserve"> K2Disruption 78C177 Unisex</v>
      </c>
      <c r="DO979" s="221" t="s">
        <v>584</v>
      </c>
    </row>
    <row r="980" spans="2:119" ht="15.6" customHeight="1">
      <c r="B980" s="219" t="b">
        <f t="array" ref="B980">IF(OR(ISERROR(K980:P980)),FALSE,TRUE)</f>
        <v>1</v>
      </c>
      <c r="C980" s="43" t="b">
        <f>OR(BR980=Driver!$G$50,Data!BR258=Driver!$H$50)</f>
        <v>1</v>
      </c>
      <c r="D980" s="43" t="b">
        <f>OR(BV980=Driver!$G$51,BV980=Driver!$H$51)</f>
        <v>0</v>
      </c>
      <c r="E980" s="43" t="b">
        <f>AND(BX980&gt;Driver!$F$54,BX980&lt;Driver!$G$54)</f>
        <v>0</v>
      </c>
      <c r="F980" s="43" t="b">
        <f>CL980&gt;Driver!$F$56</f>
        <v>1</v>
      </c>
      <c r="G980" s="43" t="b">
        <f>AND(CB980&gt;Driver!$F$55,CB980&lt;Driver!$G$55)</f>
        <v>0</v>
      </c>
      <c r="H980" s="43" t="b">
        <f t="shared" si="555"/>
        <v>0</v>
      </c>
      <c r="I980" s="43">
        <f t="shared" si="556"/>
        <v>0</v>
      </c>
      <c r="J980" s="43" t="b">
        <f t="array" ref="J980">NOT(OR(($H$9:$H$1273=TRUE)*($I$9:$I$1273&gt;0)*($BT$9:$BT$1273=BT980)*($K$9:$K$1273&gt;K980)))</f>
        <v>1</v>
      </c>
      <c r="K980" s="72">
        <f t="shared" si="557"/>
        <v>0.78184126557200051</v>
      </c>
      <c r="L980" s="72">
        <f t="shared" si="558"/>
        <v>0.79186873832828986</v>
      </c>
      <c r="M980" s="72">
        <f t="shared" si="559"/>
        <v>0.77181379281571127</v>
      </c>
      <c r="N980" s="72">
        <f t="shared" si="560"/>
        <v>0.8441148806421892</v>
      </c>
      <c r="O980" s="72">
        <f t="shared" si="561"/>
        <v>0.59997401166280839</v>
      </c>
      <c r="P980" s="72">
        <f t="shared" si="562"/>
        <v>0.87135248614213623</v>
      </c>
      <c r="Q980" s="72"/>
      <c r="R980" s="72"/>
      <c r="S980" s="72">
        <f t="shared" si="563"/>
        <v>0.3929983871681475</v>
      </c>
      <c r="T980" s="72">
        <f t="shared" si="564"/>
        <v>0.49407868685582523</v>
      </c>
      <c r="U980" s="72">
        <f t="shared" si="565"/>
        <v>0.51</v>
      </c>
      <c r="V980" s="72">
        <f t="shared" si="566"/>
        <v>0.52318003024876525</v>
      </c>
      <c r="W980" s="72">
        <f t="shared" si="567"/>
        <v>0.82834476843910809</v>
      </c>
      <c r="X980" s="72">
        <f t="shared" si="568"/>
        <v>0.20813126167171017</v>
      </c>
      <c r="Y980" s="72">
        <f t="shared" si="569"/>
        <v>0.22818620718428875</v>
      </c>
      <c r="Z980" s="72">
        <f t="shared" si="570"/>
        <v>0.15588511935781085</v>
      </c>
      <c r="AA980" s="72">
        <f t="shared" si="571"/>
        <v>0.40002598833719161</v>
      </c>
      <c r="AB980" s="72">
        <f t="shared" si="572"/>
        <v>0.1286475138578638</v>
      </c>
      <c r="AC980" s="72"/>
      <c r="AD980" s="72"/>
      <c r="AE980" s="72">
        <f t="shared" si="573"/>
        <v>0.6070016128318525</v>
      </c>
      <c r="AF980" s="72">
        <f t="shared" si="574"/>
        <v>0.50592131314417477</v>
      </c>
      <c r="AG980" s="72">
        <f t="shared" si="575"/>
        <v>0.49</v>
      </c>
      <c r="AH980" s="72">
        <f t="shared" si="576"/>
        <v>0.4768199697512347</v>
      </c>
      <c r="AI980" s="72">
        <f t="shared" si="577"/>
        <v>0.17165523156089196</v>
      </c>
      <c r="AJ980" s="72">
        <f>(AV980-Driver!$K$179)/(Driver!$L$179-Driver!$K$179)</f>
        <v>4.6088147610990247E-2</v>
      </c>
      <c r="AK980" s="72">
        <f>(AW980-Driver!$K$180)/(Driver!$L$180-Driver!$K$180)</f>
        <v>0.13286397943752803</v>
      </c>
      <c r="AL980" s="72">
        <f>(AX980-Driver!$K$181)/(Driver!$L$181-Driver!$K$181)</f>
        <v>0.25757288307089105</v>
      </c>
      <c r="AM980" s="72">
        <f>(AY980-Driver!$K$182)/(Driver!$L$182-Driver!$K$182)</f>
        <v>4.7359032759854786E-2</v>
      </c>
      <c r="AN980" s="72">
        <f>(AZ980-Driver!$K$183)/(Driver!$L$183-Driver!$K$183)</f>
        <v>0.12557189542483663</v>
      </c>
      <c r="AO980" s="72"/>
      <c r="AP980" s="72"/>
      <c r="AQ980" s="72">
        <f>(BC980-Driver!$K$188)/(Driver!$L$188-Driver!$K$188)</f>
        <v>1.2998387168147522E-2</v>
      </c>
      <c r="AR980" s="72">
        <f>MIN((BD980-Driver!$K$189)/(Driver!$L$189-Driver!$K$189),100%)</f>
        <v>4.4078686855825285E-2</v>
      </c>
      <c r="AS980" s="72">
        <f>(BE980-Driver!$K$190)/(Driver!$L$190-Driver!$K$190)</f>
        <v>1</v>
      </c>
      <c r="AT980" s="72">
        <f>(BF980-Driver!$K$191)/(Driver!$L$191-Driver!$K$191)</f>
        <v>3.3180030248765306E-2</v>
      </c>
      <c r="AU980" s="72">
        <f>(BG980-Driver!$K$192)/(Driver!$L$192-Driver!$K$192)</f>
        <v>7.8344768439108051E-2</v>
      </c>
      <c r="AV980" s="70">
        <f t="shared" si="578"/>
        <v>0.97001763668430341</v>
      </c>
      <c r="AW980" s="70">
        <f t="shared" si="579"/>
        <v>14.820664712267423</v>
      </c>
      <c r="AX980" s="70">
        <f t="shared" si="580"/>
        <v>3.3181559476380196</v>
      </c>
      <c r="AY980" s="70">
        <f>IFERROR(Driver!$K$19/Data!BH980/Data!BI980*Data!BK980*Data!BL980,"")</f>
        <v>5.798158666960973E-2</v>
      </c>
      <c r="AZ980" s="70">
        <f t="shared" si="581"/>
        <v>11.444527177959793</v>
      </c>
      <c r="BA980" s="70"/>
      <c r="BB980" s="70"/>
      <c r="BC980" s="70">
        <f t="shared" si="582"/>
        <v>6.7423537874396962</v>
      </c>
      <c r="BD980" s="70">
        <f t="shared" si="583"/>
        <v>5.621708568026742</v>
      </c>
      <c r="BE980" s="70">
        <f t="shared" si="584"/>
        <v>1</v>
      </c>
      <c r="BF980" s="70">
        <f t="shared" si="585"/>
        <v>3.7474513136928387</v>
      </c>
      <c r="BG980" s="70">
        <f t="shared" si="586"/>
        <v>0.29666327186963976</v>
      </c>
      <c r="BH980" s="67">
        <f>MAX((CE980-Driver!$F$200)/(Driver!$G$200-Driver!$F$200)*$BI$1,1)</f>
        <v>3.3181559476380196</v>
      </c>
      <c r="BI980" s="67">
        <f>MAX($BI$1*(BY980-Driver!$F$201)/(Driver!$G$201-Driver!$F$201),1)</f>
        <v>6.7088607594936711</v>
      </c>
      <c r="BJ980" s="67">
        <f>(CB980-Driver!$F$206)/(Driver!$G$206-Driver!$F$206)*$BI$1</f>
        <v>3.4920634920634921</v>
      </c>
      <c r="BK980" s="67">
        <f>(CD980-Driver!$F$203)/(Driver!$G$203-Driver!$F$203)*$BI$1</f>
        <v>1.1009174311926608</v>
      </c>
      <c r="BL980" s="67">
        <f>MAX((CR980-Driver!$F$202)/(Driver!$G$202-Driver!$F$202)*$BI$1,1)</f>
        <v>5.8620689655172411</v>
      </c>
      <c r="BM980" s="67">
        <f>MAX((CH980-Driver!$F$204)/(Driver!$G$204-Driver!$F$204)*$BI$1,1)</f>
        <v>1.1111111111111112</v>
      </c>
      <c r="BN980" s="67">
        <f>(CI980-Driver!$F$205)/(Driver!$G$205-Driver!$F$205)*$BI$1</f>
        <v>1.7058823529411766</v>
      </c>
      <c r="BO980" s="67">
        <f>(CK980-Driver!$F$207)/(Driver!$G$207-Driver!$F$207)*$BI$1</f>
        <v>1.0031023784901758</v>
      </c>
      <c r="BP980" s="67">
        <f>(CM980-Driver!$F$208)/(Driver!$G$208-Driver!$F$208)*$BI$1</f>
        <v>1.1777777777777778</v>
      </c>
      <c r="BQ980" s="67">
        <f>(CL980-Driver!$F$209)/(Driver!$G$209-Driver!$F$209)*$BI$1</f>
        <v>1.09375</v>
      </c>
      <c r="BR980" s="28" t="s">
        <v>155</v>
      </c>
      <c r="BS980" s="8" t="s">
        <v>317</v>
      </c>
      <c r="BT980" s="9" t="s">
        <v>502</v>
      </c>
      <c r="BU980" s="10">
        <v>147</v>
      </c>
      <c r="BV980" s="9" t="s">
        <v>163</v>
      </c>
      <c r="BW980" s="10">
        <v>147</v>
      </c>
      <c r="BX980" s="10">
        <v>145.4</v>
      </c>
      <c r="BY980" s="10">
        <v>114</v>
      </c>
      <c r="BZ980" s="10">
        <v>124</v>
      </c>
      <c r="CA980" s="10">
        <v>125</v>
      </c>
      <c r="CB980" s="10">
        <v>86</v>
      </c>
      <c r="CC980" s="10">
        <v>107</v>
      </c>
      <c r="CD980" s="10">
        <v>11.8</v>
      </c>
      <c r="CE980" s="10">
        <v>1483</v>
      </c>
      <c r="CF980" s="10">
        <v>0.96</v>
      </c>
      <c r="CG980" s="10">
        <v>1422</v>
      </c>
      <c r="CH980" s="10">
        <v>127</v>
      </c>
      <c r="CI980" s="10">
        <v>62</v>
      </c>
      <c r="CJ980" s="10">
        <v>62</v>
      </c>
      <c r="CK980" s="10">
        <v>207</v>
      </c>
      <c r="CL980" s="10">
        <v>7</v>
      </c>
      <c r="CM980" s="10">
        <v>106</v>
      </c>
      <c r="CN980" s="10">
        <v>0.112</v>
      </c>
      <c r="CO980" s="10">
        <v>113</v>
      </c>
      <c r="CP980" s="10">
        <v>104</v>
      </c>
      <c r="CQ980" s="10">
        <v>95</v>
      </c>
      <c r="CR980" s="10">
        <v>6</v>
      </c>
      <c r="CS980" s="10">
        <v>11.1</v>
      </c>
      <c r="CT980" s="9" t="s">
        <v>188</v>
      </c>
      <c r="CU980" s="10"/>
      <c r="CV980" s="10"/>
      <c r="CW980" s="10"/>
      <c r="CX980" t="str">
        <f>INDEX('Data_Price '!AG$2:AG$1266,MATCH(Data!$DN980,'Data_Price '!$AT$2:$AT$1266,0))</f>
        <v>Blizzard Black Pearl 88</v>
      </c>
      <c r="CY980" t="str">
        <f>INDEX('Data_Price '!AH$2:AH$1266,MATCH(Data!$DN980,'Data_Price '!$AT$2:$AT$1266,0))</f>
        <v>Fox Chapel Ski and Board</v>
      </c>
      <c r="CZ980">
        <f>INDEX('Data_Price '!AI$2:AI$1266,MATCH(Data!$DN980,'Data_Price '!$AT$2:$AT$1266,0))</f>
        <v>449.97</v>
      </c>
      <c r="DA980" t="str">
        <f>INDEX('Data_Price '!AJ$2:AJ$1266,MATCH(Data!$DN980,'Data_Price '!$AT$2:$AT$1266,0))</f>
        <v>https://tinyurl.com/yce66w53</v>
      </c>
      <c r="DB980" t="str">
        <f>INDEX('Data_Price '!AK$2:AK$1266,MATCH(Data!$DN980,'Data_Price '!$AT$2:$AT$1266,0))</f>
        <v>Blizzard Black Pearl 88</v>
      </c>
      <c r="DC980" t="str">
        <f>INDEX('Data_Price '!AL$2:AL$1266,MATCH(Data!$DN980,'Data_Price '!$AT$2:$AT$1266,0))</f>
        <v>Ski Country Sports</v>
      </c>
      <c r="DD980">
        <f>INDEX('Data_Price '!AM$2:AM$1266,MATCH(Data!$DN980,'Data_Price '!$AT$2:$AT$1266,0))</f>
        <v>545.98</v>
      </c>
      <c r="DE980" t="str">
        <f>INDEX('Data_Price '!AN$2:AN$1266,MATCH(Data!$DN980,'Data_Price '!$AT$2:$AT$1266,0))</f>
        <v>https://tinyurl.com/y7pnjd6h</v>
      </c>
      <c r="DF980" t="str">
        <f>INDEX('Data_Price '!AO$2:AO$1266,MATCH(Data!$DN980,'Data_Price '!$AT$2:$AT$1266,0))</f>
        <v>2022 Blizzard Black Pearl 88 ladies skis (SKI ONLY or with BINDINGS) 147</v>
      </c>
      <c r="DG980" t="str">
        <f>INDEX('Data_Price '!AP$2:AP$1266,MATCH(Data!$DN980,'Data_Price '!$AT$2:$AT$1266,0))</f>
        <v>The Pro Shop</v>
      </c>
      <c r="DH980">
        <f>INDEX('Data_Price '!AQ$2:AQ$1266,MATCH(Data!$DN980,'Data_Price '!$AT$2:$AT$1266,0))</f>
        <v>647</v>
      </c>
      <c r="DI980" t="str">
        <f>INDEX('Data_Price '!AR$2:AR$1266,MATCH(Data!$DN980,'Data_Price '!$AT$2:$AT$1266,0))</f>
        <v>https://tinyurl.com/ycnkemqp</v>
      </c>
      <c r="DJ980" s="89" t="str">
        <f t="shared" si="587"/>
        <v>https://tinyurl.com/yce66w53</v>
      </c>
      <c r="DK980" s="89" t="str">
        <f t="shared" si="588"/>
        <v>https://tinyurl.com/y7pnjd6h</v>
      </c>
      <c r="DL980" s="89" t="str">
        <f t="shared" si="589"/>
        <v>https://tinyurl.com/ycnkemqp</v>
      </c>
      <c r="DM980" s="219" t="str">
        <f t="shared" si="590"/>
        <v>Black Pearl 88</v>
      </c>
      <c r="DN980" s="89" t="str">
        <f t="shared" si="591"/>
        <v xml:space="preserve"> BlizzardBlack Pearl 88147 Women's</v>
      </c>
      <c r="DO980" s="221" t="s">
        <v>503</v>
      </c>
    </row>
    <row r="981" spans="2:119" ht="15.6" customHeight="1">
      <c r="B981" s="219" t="b">
        <f t="array" ref="B981">IF(OR(ISERROR(K981:P981)),FALSE,TRUE)</f>
        <v>1</v>
      </c>
      <c r="C981" s="43" t="b">
        <f>OR(BR981=Driver!$G$50,Data!BR955=Driver!$H$50)</f>
        <v>1</v>
      </c>
      <c r="D981" s="43" t="b">
        <f>OR(BV981=Driver!$G$51,BV981=Driver!$H$51)</f>
        <v>1</v>
      </c>
      <c r="E981" s="43" t="b">
        <f>AND(BX981&gt;Driver!$F$54,BX981&lt;Driver!$G$54)</f>
        <v>0</v>
      </c>
      <c r="F981" s="43" t="b">
        <f>CL981&gt;Driver!$F$56</f>
        <v>1</v>
      </c>
      <c r="G981" s="43" t="b">
        <f>AND(CB981&gt;Driver!$F$55,CB981&lt;Driver!$G$55)</f>
        <v>0</v>
      </c>
      <c r="H981" s="43" t="b">
        <f t="shared" si="555"/>
        <v>0</v>
      </c>
      <c r="I981" s="43">
        <f t="shared" si="556"/>
        <v>0</v>
      </c>
      <c r="J981" s="43" t="b">
        <f t="array" ref="J981">NOT(OR(($H$9:$H$1273=TRUE)*($I$9:$I$1273&gt;0)*($BT$9:$BT$1273=BT981)*($K$9:$K$1273&gt;K981)))</f>
        <v>1</v>
      </c>
      <c r="K981" s="72">
        <f t="shared" si="557"/>
        <v>0.75603974407142593</v>
      </c>
      <c r="L981" s="72">
        <f t="shared" si="558"/>
        <v>0.84416105965614419</v>
      </c>
      <c r="M981" s="72">
        <f t="shared" si="559"/>
        <v>0.66791842848670768</v>
      </c>
      <c r="N981" s="72">
        <f t="shared" si="560"/>
        <v>0.66957494514607829</v>
      </c>
      <c r="O981" s="72">
        <f t="shared" si="561"/>
        <v>0.59997727090062525</v>
      </c>
      <c r="P981" s="72">
        <f t="shared" si="562"/>
        <v>0.7342030694134194</v>
      </c>
      <c r="Q981" s="72"/>
      <c r="R981" s="72"/>
      <c r="S981" s="72">
        <f t="shared" si="563"/>
        <v>0.50687549703113866</v>
      </c>
      <c r="T981" s="72">
        <f t="shared" si="564"/>
        <v>0.96646782252636443</v>
      </c>
      <c r="U981" s="72">
        <f t="shared" si="565"/>
        <v>0.51</v>
      </c>
      <c r="V981" s="72">
        <f t="shared" si="566"/>
        <v>0.49676121371106918</v>
      </c>
      <c r="W981" s="72">
        <f t="shared" si="567"/>
        <v>0.7624547714186829</v>
      </c>
      <c r="X981" s="72">
        <f t="shared" si="568"/>
        <v>0.15583894034385587</v>
      </c>
      <c r="Y981" s="72">
        <f t="shared" si="569"/>
        <v>0.33208157151329237</v>
      </c>
      <c r="Z981" s="72">
        <f t="shared" si="570"/>
        <v>0.33042505485392171</v>
      </c>
      <c r="AA981" s="72">
        <f t="shared" si="571"/>
        <v>0.40002272909937481</v>
      </c>
      <c r="AB981" s="72">
        <f t="shared" si="572"/>
        <v>0.26579693058658066</v>
      </c>
      <c r="AC981" s="72"/>
      <c r="AD981" s="72"/>
      <c r="AE981" s="72">
        <f t="shared" si="573"/>
        <v>0.49312450296886134</v>
      </c>
      <c r="AF981" s="72">
        <f t="shared" si="574"/>
        <v>3.3532177473635572E-2</v>
      </c>
      <c r="AG981" s="72">
        <f t="shared" si="575"/>
        <v>0.49</v>
      </c>
      <c r="AH981" s="72">
        <f t="shared" si="576"/>
        <v>0.50323878628893082</v>
      </c>
      <c r="AI981" s="72">
        <f t="shared" si="577"/>
        <v>0.23754522858131705</v>
      </c>
      <c r="AJ981" s="72">
        <f>(AV981-Driver!$K$179)/(Driver!$L$179-Driver!$K$179)</f>
        <v>9.838046893884457E-2</v>
      </c>
      <c r="AK981" s="72">
        <f>(AW981-Driver!$K$180)/(Driver!$L$180-Driver!$K$180)</f>
        <v>0.51784929684555325</v>
      </c>
      <c r="AL981" s="72">
        <f>(AX981-Driver!$K$181)/(Driver!$L$181-Driver!$K$181)</f>
        <v>0.4321128185670019</v>
      </c>
      <c r="AM981" s="72">
        <f>(AY981-Driver!$K$182)/(Driver!$L$182-Driver!$K$182)</f>
        <v>4.7362291997671536E-2</v>
      </c>
      <c r="AN981" s="72">
        <f>(AZ981-Driver!$K$183)/(Driver!$L$183-Driver!$K$183)</f>
        <v>0.52001633986928109</v>
      </c>
      <c r="AO981" s="72"/>
      <c r="AP981" s="72"/>
      <c r="AQ981" s="72">
        <f>(BC981-Driver!$K$188)/(Driver!$L$188-Driver!$K$188)</f>
        <v>0.12687549703113865</v>
      </c>
      <c r="AR981" s="72">
        <f>MIN((BD981-Driver!$K$189)/(Driver!$L$189-Driver!$K$189),100%)</f>
        <v>0.51646782252636447</v>
      </c>
      <c r="AS981" s="72">
        <f>(BE981-Driver!$K$190)/(Driver!$L$190-Driver!$K$190)</f>
        <v>1</v>
      </c>
      <c r="AT981" s="72">
        <f>(BF981-Driver!$K$191)/(Driver!$L$191-Driver!$K$191)</f>
        <v>6.7612137110691587E-3</v>
      </c>
      <c r="AU981" s="72">
        <f>(BG981-Driver!$K$192)/(Driver!$L$192-Driver!$K$192)</f>
        <v>1.2454771418682942E-2</v>
      </c>
      <c r="AV981" s="70">
        <f t="shared" si="578"/>
        <v>2.0706145706145707</v>
      </c>
      <c r="AW981" s="70">
        <f t="shared" si="579"/>
        <v>52.340895210619564</v>
      </c>
      <c r="AX981" s="70">
        <f t="shared" si="580"/>
        <v>4.889015367103017</v>
      </c>
      <c r="AY981" s="70">
        <f>IFERROR(Driver!$K$19/Data!BH981/Data!BI981*Data!BK981*Data!BL981,"")</f>
        <v>5.7985576949160143E-2</v>
      </c>
      <c r="AZ981" s="70">
        <f t="shared" si="581"/>
        <v>47.393894266567386</v>
      </c>
      <c r="BA981" s="70"/>
      <c r="BB981" s="70"/>
      <c r="BC981" s="70">
        <f t="shared" si="582"/>
        <v>65.81120233419739</v>
      </c>
      <c r="BD981" s="70">
        <f t="shared" si="583"/>
        <v>47.427310050850366</v>
      </c>
      <c r="BE981" s="70">
        <f t="shared" si="584"/>
        <v>1</v>
      </c>
      <c r="BF981" s="70">
        <f t="shared" si="585"/>
        <v>0.76363158845061641</v>
      </c>
      <c r="BG981" s="70">
        <f t="shared" si="586"/>
        <v>4.7161709876348989E-2</v>
      </c>
      <c r="BH981" s="67">
        <f>MAX((CE981-Driver!$F$200)/(Driver!$G$200-Driver!$F$200)*$BI$1,1)</f>
        <v>4.889015367103017</v>
      </c>
      <c r="BI981" s="67">
        <f>MAX($BI$1*(BY981-Driver!$F$201)/(Driver!$G$201-Driver!$F$201),1)</f>
        <v>8.4810126582278489</v>
      </c>
      <c r="BJ981" s="67">
        <f>(CB981-Driver!$F$206)/(Driver!$G$206-Driver!$F$206)*$BI$1</f>
        <v>1.746031746031746</v>
      </c>
      <c r="BK981" s="67">
        <f>(CD981-Driver!$F$203)/(Driver!$G$203-Driver!$F$203)*$BI$1</f>
        <v>1.834862385321101</v>
      </c>
      <c r="BL981" s="67">
        <f>MAX((CR981-Driver!$F$202)/(Driver!$G$202-Driver!$F$202)*$BI$1,1)</f>
        <v>6.5517241379310338</v>
      </c>
      <c r="BM981" s="67">
        <f>MAX((CH981-Driver!$F$204)/(Driver!$G$204-Driver!$F$204)*$BI$1,1)</f>
        <v>4.7435897435897436</v>
      </c>
      <c r="BN981" s="67">
        <f>(CI981-Driver!$F$205)/(Driver!$G$205-Driver!$F$205)*$BI$1</f>
        <v>5.5882352941176467</v>
      </c>
      <c r="BO981" s="67">
        <f>(CK981-Driver!$F$207)/(Driver!$G$207-Driver!$F$207)*$BI$1</f>
        <v>1.0031023784901758</v>
      </c>
      <c r="BP981" s="67">
        <f>(CM981-Driver!$F$208)/(Driver!$G$208-Driver!$F$208)*$BI$1</f>
        <v>0.8</v>
      </c>
      <c r="BQ981" s="67">
        <f>(CL981-Driver!$F$209)/(Driver!$G$209-Driver!$F$209)*$BI$1</f>
        <v>1.09375</v>
      </c>
      <c r="BR981" s="28" t="s">
        <v>155</v>
      </c>
      <c r="BS981" s="8" t="s">
        <v>227</v>
      </c>
      <c r="BT981" s="9" t="s">
        <v>827</v>
      </c>
      <c r="BU981" s="10">
        <v>171</v>
      </c>
      <c r="BV981" s="9" t="s">
        <v>158</v>
      </c>
      <c r="BW981" s="10">
        <v>171</v>
      </c>
      <c r="BX981" s="10">
        <v>169.6</v>
      </c>
      <c r="BY981" s="10">
        <v>142</v>
      </c>
      <c r="BZ981" s="10">
        <v>160</v>
      </c>
      <c r="CA981" s="10">
        <v>131</v>
      </c>
      <c r="CB981" s="10">
        <v>75</v>
      </c>
      <c r="CC981" s="10">
        <v>115</v>
      </c>
      <c r="CD981" s="10">
        <v>13.4</v>
      </c>
      <c r="CE981" s="10">
        <v>1759</v>
      </c>
      <c r="CF981" s="10">
        <v>0.89</v>
      </c>
      <c r="CG981" s="10">
        <v>1567</v>
      </c>
      <c r="CH981" s="10">
        <v>212</v>
      </c>
      <c r="CI981" s="10">
        <v>128</v>
      </c>
      <c r="CJ981" s="10">
        <v>49</v>
      </c>
      <c r="CK981" s="10">
        <v>207</v>
      </c>
      <c r="CL981" s="10">
        <v>7</v>
      </c>
      <c r="CM981" s="10">
        <v>72</v>
      </c>
      <c r="CN981" s="10">
        <v>0.13800000000000001</v>
      </c>
      <c r="CO981" s="10">
        <v>51</v>
      </c>
      <c r="CP981" s="10">
        <v>42</v>
      </c>
      <c r="CQ981" s="10">
        <v>156</v>
      </c>
      <c r="CR981" s="10">
        <v>8</v>
      </c>
      <c r="CS981" s="10">
        <v>12.2</v>
      </c>
      <c r="CT981" s="9" t="s">
        <v>349</v>
      </c>
      <c r="CU981" s="10"/>
      <c r="CV981" s="10"/>
      <c r="CW981" s="10"/>
      <c r="CX981">
        <f>INDEX('Data_Price '!AG$2:AG$1266,MATCH(Data!$DN981,'Data_Price '!$AT$2:$AT$1266,0))</f>
        <v>0</v>
      </c>
      <c r="CY981">
        <f>INDEX('Data_Price '!AH$2:AH$1266,MATCH(Data!$DN981,'Data_Price '!$AT$2:$AT$1266,0))</f>
        <v>0</v>
      </c>
      <c r="CZ981">
        <f>INDEX('Data_Price '!AI$2:AI$1266,MATCH(Data!$DN981,'Data_Price '!$AT$2:$AT$1266,0))</f>
        <v>0</v>
      </c>
      <c r="DA981">
        <f>INDEX('Data_Price '!AJ$2:AJ$1266,MATCH(Data!$DN981,'Data_Price '!$AT$2:$AT$1266,0))</f>
        <v>0</v>
      </c>
      <c r="DB981">
        <f>INDEX('Data_Price '!AK$2:AK$1266,MATCH(Data!$DN981,'Data_Price '!$AT$2:$AT$1266,0))</f>
        <v>0</v>
      </c>
      <c r="DC981">
        <f>INDEX('Data_Price '!AL$2:AL$1266,MATCH(Data!$DN981,'Data_Price '!$AT$2:$AT$1266,0))</f>
        <v>0</v>
      </c>
      <c r="DD981">
        <f>INDEX('Data_Price '!AM$2:AM$1266,MATCH(Data!$DN981,'Data_Price '!$AT$2:$AT$1266,0))</f>
        <v>0</v>
      </c>
      <c r="DE981">
        <f>INDEX('Data_Price '!AN$2:AN$1266,MATCH(Data!$DN981,'Data_Price '!$AT$2:$AT$1266,0))</f>
        <v>0</v>
      </c>
      <c r="DF981">
        <f>INDEX('Data_Price '!AO$2:AO$1266,MATCH(Data!$DN981,'Data_Price '!$AT$2:$AT$1266,0))</f>
        <v>0</v>
      </c>
      <c r="DG981">
        <f>INDEX('Data_Price '!AP$2:AP$1266,MATCH(Data!$DN981,'Data_Price '!$AT$2:$AT$1266,0))</f>
        <v>0</v>
      </c>
      <c r="DH981">
        <f>INDEX('Data_Price '!AQ$2:AQ$1266,MATCH(Data!$DN981,'Data_Price '!$AT$2:$AT$1266,0))</f>
        <v>0</v>
      </c>
      <c r="DI981">
        <f>INDEX('Data_Price '!AR$2:AR$1266,MATCH(Data!$DN981,'Data_Price '!$AT$2:$AT$1266,0))</f>
        <v>0</v>
      </c>
      <c r="DJ981" s="89">
        <f t="shared" si="587"/>
        <v>0</v>
      </c>
      <c r="DK981" s="89">
        <f t="shared" si="588"/>
        <v>0</v>
      </c>
      <c r="DL981" s="89">
        <f t="shared" si="589"/>
        <v>0</v>
      </c>
      <c r="DM981" s="219" t="str">
        <f t="shared" si="590"/>
        <v>Le Condor Ti</v>
      </c>
      <c r="DN981" s="89" t="str">
        <f t="shared" si="591"/>
        <v xml:space="preserve"> RaccoonLe Condor Ti171 Unisex</v>
      </c>
      <c r="DO981" s="221"/>
    </row>
    <row r="982" spans="2:119" ht="15.6" customHeight="1">
      <c r="B982" s="219" t="b">
        <f t="array" ref="B982">IF(OR(ISERROR(K982:P982)),FALSE,TRUE)</f>
        <v>1</v>
      </c>
      <c r="C982" s="43" t="b">
        <f>OR(BR982=Driver!$G$50,Data!BR157=Driver!$H$50)</f>
        <v>1</v>
      </c>
      <c r="D982" s="43" t="b">
        <f>OR(BV982=Driver!$G$51,BV982=Driver!$H$51)</f>
        <v>1</v>
      </c>
      <c r="E982" s="43" t="b">
        <f>AND(BX982&gt;Driver!$F$54,BX982&lt;Driver!$G$54)</f>
        <v>0</v>
      </c>
      <c r="F982" s="43" t="b">
        <f>CL982&gt;Driver!$F$56</f>
        <v>1</v>
      </c>
      <c r="G982" s="43" t="b">
        <f>AND(CB982&gt;Driver!$F$55,CB982&lt;Driver!$G$55)</f>
        <v>0</v>
      </c>
      <c r="H982" s="43" t="b">
        <f t="shared" si="555"/>
        <v>0</v>
      </c>
      <c r="I982" s="43">
        <f t="shared" si="556"/>
        <v>0</v>
      </c>
      <c r="J982" s="43" t="b">
        <f t="array" ref="J982">NOT(OR(($H$9:$H$1273=TRUE)*($I$9:$I$1273&gt;0)*($BT$9:$BT$1273=BT982)*($K$9:$K$1273&gt;K982)))</f>
        <v>1</v>
      </c>
      <c r="K982" s="72">
        <f t="shared" si="557"/>
        <v>0.77611008502751822</v>
      </c>
      <c r="L982" s="72">
        <f t="shared" si="558"/>
        <v>0.89888946004412174</v>
      </c>
      <c r="M982" s="72">
        <f t="shared" si="559"/>
        <v>0.65333071001091447</v>
      </c>
      <c r="N982" s="72">
        <f t="shared" si="560"/>
        <v>0.67906081120564954</v>
      </c>
      <c r="O982" s="72">
        <f t="shared" si="561"/>
        <v>0.68410570039406682</v>
      </c>
      <c r="P982" s="72">
        <f t="shared" si="562"/>
        <v>0.59682561843302717</v>
      </c>
      <c r="Q982" s="72"/>
      <c r="R982" s="72"/>
      <c r="S982" s="72">
        <f t="shared" si="563"/>
        <v>0.61378790144037343</v>
      </c>
      <c r="T982" s="72">
        <f t="shared" si="564"/>
        <v>0.49900331601625703</v>
      </c>
      <c r="U982" s="72">
        <f t="shared" si="565"/>
        <v>0.62531161745056107</v>
      </c>
      <c r="V982" s="72">
        <f t="shared" si="566"/>
        <v>0.53314461621598719</v>
      </c>
      <c r="W982" s="72">
        <f t="shared" si="567"/>
        <v>0.77871530128639133</v>
      </c>
      <c r="X982" s="72">
        <f t="shared" si="568"/>
        <v>0.10111053995587821</v>
      </c>
      <c r="Y982" s="72">
        <f t="shared" si="569"/>
        <v>0.34666928998908547</v>
      </c>
      <c r="Z982" s="72">
        <f t="shared" si="570"/>
        <v>0.32093918879435046</v>
      </c>
      <c r="AA982" s="72">
        <f t="shared" si="571"/>
        <v>0.31589429960593318</v>
      </c>
      <c r="AB982" s="72">
        <f t="shared" si="572"/>
        <v>0.40317438156697277</v>
      </c>
      <c r="AC982" s="72"/>
      <c r="AD982" s="72"/>
      <c r="AE982" s="72">
        <f t="shared" si="573"/>
        <v>0.38621209855962657</v>
      </c>
      <c r="AF982" s="72">
        <f t="shared" si="574"/>
        <v>0.50099668398374297</v>
      </c>
      <c r="AG982" s="72">
        <f t="shared" si="575"/>
        <v>0.37468838254943893</v>
      </c>
      <c r="AH982" s="72">
        <f t="shared" si="576"/>
        <v>0.46685538378401287</v>
      </c>
      <c r="AI982" s="72">
        <f t="shared" si="577"/>
        <v>0.22128469871360867</v>
      </c>
      <c r="AJ982" s="72">
        <f>(AV982-Driver!$K$179)/(Driver!$L$179-Driver!$K$179)</f>
        <v>0.35532994923857864</v>
      </c>
      <c r="AK982" s="72">
        <f>(AW982-Driver!$K$180)/(Driver!$L$180-Driver!$K$180)</f>
        <v>0.64649949790215189</v>
      </c>
      <c r="AL982" s="72">
        <f>(AX982-Driver!$K$181)/(Driver!$L$181-Driver!$K$181)</f>
        <v>0.42262695250743065</v>
      </c>
      <c r="AM982" s="72">
        <f>(AY982-Driver!$K$182)/(Driver!$L$182-Driver!$K$182)</f>
        <v>0.13149072149111315</v>
      </c>
      <c r="AN982" s="72">
        <f>(AZ982-Driver!$K$183)/(Driver!$L$183-Driver!$K$183)</f>
        <v>0.6573937908496732</v>
      </c>
      <c r="AO982" s="72"/>
      <c r="AP982" s="72"/>
      <c r="AQ982" s="72">
        <f>(BC982-Driver!$K$188)/(Driver!$L$188-Driver!$K$188)</f>
        <v>0.23378790144037342</v>
      </c>
      <c r="AR982" s="72">
        <f>MIN((BD982-Driver!$K$189)/(Driver!$L$189-Driver!$K$189),100%)</f>
        <v>4.9003316016257036E-2</v>
      </c>
      <c r="AS982" s="72">
        <f>(BE982-Driver!$K$190)/(Driver!$L$190-Driver!$K$190)</f>
        <v>0.13531161745056108</v>
      </c>
      <c r="AT982" s="72">
        <f>(BF982-Driver!$K$191)/(Driver!$L$191-Driver!$K$191)</f>
        <v>4.3144616215987155E-2</v>
      </c>
      <c r="AU982" s="72">
        <f>(BG982-Driver!$K$192)/(Driver!$L$192-Driver!$K$192)</f>
        <v>2.8715301286391333E-2</v>
      </c>
      <c r="AV982" s="70">
        <f t="shared" si="578"/>
        <v>7.4786324786324778</v>
      </c>
      <c r="AW982" s="70">
        <f t="shared" si="579"/>
        <v>64.878997260332454</v>
      </c>
      <c r="AX982" s="70">
        <f t="shared" si="580"/>
        <v>4.8036425725668757</v>
      </c>
      <c r="AY982" s="70">
        <f>IFERROR(Driver!$K$19/Data!BH982/Data!BI982*Data!BK982*Data!BL982,"")</f>
        <v>0.16098387614979384</v>
      </c>
      <c r="AZ982" s="70">
        <f t="shared" si="581"/>
        <v>59.914370811615782</v>
      </c>
      <c r="BA982" s="70"/>
      <c r="BB982" s="70"/>
      <c r="BC982" s="70">
        <f t="shared" si="582"/>
        <v>121.26740974424486</v>
      </c>
      <c r="BD982" s="70">
        <f t="shared" si="583"/>
        <v>6.0575295227984203</v>
      </c>
      <c r="BE982" s="70">
        <f t="shared" si="584"/>
        <v>0.13546586812552558</v>
      </c>
      <c r="BF982" s="70">
        <f t="shared" si="585"/>
        <v>4.8728812935121102</v>
      </c>
      <c r="BG982" s="70">
        <f t="shared" si="586"/>
        <v>0.10873444905213271</v>
      </c>
      <c r="BH982" s="67">
        <f>MAX((CE982-Driver!$F$200)/(Driver!$G$200-Driver!$F$200)*$BI$1,1)</f>
        <v>4.8036425725668757</v>
      </c>
      <c r="BI982" s="67">
        <f>MAX($BI$1*(BY982-Driver!$F$201)/(Driver!$G$201-Driver!$F$201),1)</f>
        <v>7.6582278481012658</v>
      </c>
      <c r="BJ982" s="67">
        <f>(CB982-Driver!$F$206)/(Driver!$G$206-Driver!$F$206)*$BI$1</f>
        <v>5.5555555555555554</v>
      </c>
      <c r="BK982" s="67">
        <f>(CD982-Driver!$F$203)/(Driver!$G$203-Driver!$F$203)*$BI$1</f>
        <v>4.7706422018348631</v>
      </c>
      <c r="BL982" s="67">
        <f>MAX((CR982-Driver!$F$202)/(Driver!$G$202-Driver!$F$202)*$BI$1,1)</f>
        <v>6.2068965517241379</v>
      </c>
      <c r="BM982" s="67">
        <f>MAX((CH982-Driver!$F$204)/(Driver!$G$204-Driver!$F$204)*$BI$1,1)</f>
        <v>5.3846153846153841</v>
      </c>
      <c r="BN982" s="67">
        <f>(CI982-Driver!$F$205)/(Driver!$G$205-Driver!$F$205)*$BI$1</f>
        <v>7.8235294117647056</v>
      </c>
      <c r="BO982" s="67">
        <f>(CK982-Driver!$F$207)/(Driver!$G$207-Driver!$F$207)*$BI$1</f>
        <v>1.892450879007239</v>
      </c>
      <c r="BP982" s="67">
        <f>(CM982-Driver!$F$208)/(Driver!$G$208-Driver!$F$208)*$BI$1</f>
        <v>2.2111111111111112</v>
      </c>
      <c r="BQ982" s="67">
        <f>(CL982-Driver!$F$209)/(Driver!$G$209-Driver!$F$209)*$BI$1</f>
        <v>2.8125</v>
      </c>
      <c r="BR982" s="28" t="s">
        <v>155</v>
      </c>
      <c r="BS982" s="8" t="s">
        <v>156</v>
      </c>
      <c r="BT982" s="9" t="s">
        <v>718</v>
      </c>
      <c r="BU982" s="10">
        <v>180</v>
      </c>
      <c r="BV982" s="9" t="s">
        <v>158</v>
      </c>
      <c r="BW982" s="10">
        <v>180</v>
      </c>
      <c r="BX982" s="10">
        <v>178</v>
      </c>
      <c r="BY982" s="10">
        <v>129</v>
      </c>
      <c r="BZ982" s="10">
        <v>144</v>
      </c>
      <c r="CA982" s="10">
        <v>128</v>
      </c>
      <c r="CB982" s="10">
        <v>99</v>
      </c>
      <c r="CC982" s="10">
        <v>118</v>
      </c>
      <c r="CD982" s="10">
        <v>19.8</v>
      </c>
      <c r="CE982" s="10">
        <v>1744</v>
      </c>
      <c r="CF982" s="10">
        <v>1.1000000000000001</v>
      </c>
      <c r="CG982" s="10">
        <v>1914</v>
      </c>
      <c r="CH982" s="10">
        <v>227</v>
      </c>
      <c r="CI982" s="10">
        <v>166</v>
      </c>
      <c r="CJ982" s="10">
        <v>60</v>
      </c>
      <c r="CK982" s="10">
        <v>293</v>
      </c>
      <c r="CL982" s="10">
        <v>18</v>
      </c>
      <c r="CM982" s="10">
        <v>199</v>
      </c>
      <c r="CN982" s="10">
        <v>0.29899999999999999</v>
      </c>
      <c r="CO982" s="10">
        <v>180</v>
      </c>
      <c r="CP982" s="10">
        <v>163</v>
      </c>
      <c r="CQ982" s="10">
        <v>114</v>
      </c>
      <c r="CR982" s="10">
        <v>7</v>
      </c>
      <c r="CS982" s="10">
        <v>9.1999999999999993</v>
      </c>
      <c r="CT982" s="9" t="s">
        <v>188</v>
      </c>
      <c r="CU982" s="9" t="s">
        <v>185</v>
      </c>
      <c r="CV982" s="10"/>
      <c r="CW982" s="10"/>
      <c r="CX982" t="str">
        <f>INDEX('Data_Price '!AG$2:AG$1266,MATCH(Data!$DN982,'Data_Price '!$AT$2:$AT$1266,0))</f>
        <v>Atomic Maverick 100 Ti Bk/Darkgreen / 180cm</v>
      </c>
      <c r="CY982" t="str">
        <f>INDEX('Data_Price '!AH$2:AH$1266,MATCH(Data!$DN982,'Data_Price '!$AT$2:$AT$1266,0))</f>
        <v>Sundance Ski and Board Shop</v>
      </c>
      <c r="CZ982">
        <f>INDEX('Data_Price '!AI$2:AI$1266,MATCH(Data!$DN982,'Data_Price '!$AT$2:$AT$1266,0))</f>
        <v>561.01</v>
      </c>
      <c r="DA982" t="str">
        <f>INDEX('Data_Price '!AJ$2:AJ$1266,MATCH(Data!$DN982,'Data_Price '!$AT$2:$AT$1266,0))</f>
        <v>https://tinyurl.com/y8x3kzwt</v>
      </c>
      <c r="DB982" t="str">
        <f>INDEX('Data_Price '!AK$2:AK$1266,MATCH(Data!$DN982,'Data_Price '!$AT$2:$AT$1266,0))</f>
        <v>Atomic Maverick 100 Ti Skis 2022</v>
      </c>
      <c r="DC982" t="str">
        <f>INDEX('Data_Price '!AL$2:AL$1266,MATCH(Data!$DN982,'Data_Price '!$AT$2:$AT$1266,0))</f>
        <v>The-House.com</v>
      </c>
      <c r="DD982">
        <f>INDEX('Data_Price '!AM$2:AM$1266,MATCH(Data!$DN982,'Data_Price '!$AT$2:$AT$1266,0))</f>
        <v>599.95000000000005</v>
      </c>
      <c r="DE982" t="str">
        <f>INDEX('Data_Price '!AN$2:AN$1266,MATCH(Data!$DN982,'Data_Price '!$AT$2:$AT$1266,0))</f>
        <v>https://tinyurl.com/y7sghumm</v>
      </c>
      <c r="DF982" t="str">
        <f>INDEX('Data_Price '!AO$2:AO$1266,MATCH(Data!$DN982,'Data_Price '!$AT$2:$AT$1266,0))</f>
        <v>Atomic Maverick 100 Ti Skis 2022</v>
      </c>
      <c r="DG982" t="str">
        <f>INDEX('Data_Price '!AP$2:AP$1266,MATCH(Data!$DN982,'Data_Price '!$AT$2:$AT$1266,0))</f>
        <v>Ski Pro  - Snow Ski &amp; Snowboard</v>
      </c>
      <c r="DH982">
        <f>INDEX('Data_Price '!AQ$2:AQ$1266,MATCH(Data!$DN982,'Data_Price '!$AT$2:$AT$1266,0))</f>
        <v>599.95000000000005</v>
      </c>
      <c r="DI982" t="str">
        <f>INDEX('Data_Price '!AR$2:AR$1266,MATCH(Data!$DN982,'Data_Price '!$AT$2:$AT$1266,0))</f>
        <v>https://tinyurl.com/ya4vdlvx</v>
      </c>
      <c r="DJ982" s="89" t="str">
        <f t="shared" si="587"/>
        <v>https://tinyurl.com/y8x3kzwt</v>
      </c>
      <c r="DK982" s="89" t="str">
        <f t="shared" si="588"/>
        <v>https://tinyurl.com/y7sghumm</v>
      </c>
      <c r="DL982" s="89" t="str">
        <f t="shared" si="589"/>
        <v>https://tinyurl.com/ya4vdlvx</v>
      </c>
      <c r="DM982" s="219" t="str">
        <f t="shared" si="590"/>
        <v>Maverick 100 Ti</v>
      </c>
      <c r="DN982" s="89" t="str">
        <f t="shared" si="591"/>
        <v xml:space="preserve"> AtomicMaverick 100 Ti180 Unisex</v>
      </c>
      <c r="DO982" s="221" t="s">
        <v>719</v>
      </c>
    </row>
    <row r="983" spans="2:119" ht="15.6" customHeight="1">
      <c r="B983" s="219" t="b">
        <f t="array" ref="B983">IF(OR(ISERROR(K983:P983)),FALSE,TRUE)</f>
        <v>1</v>
      </c>
      <c r="C983" s="43" t="b">
        <f>OR(BR983=Driver!$G$50,Data!BR1269=Driver!$H$50)</f>
        <v>1</v>
      </c>
      <c r="D983" s="43" t="b">
        <f>OR(BV983=Driver!$G$51,BV983=Driver!$H$51)</f>
        <v>0</v>
      </c>
      <c r="E983" s="43" t="b">
        <f>AND(BX983&gt;Driver!$F$54,BX983&lt;Driver!$G$54)</f>
        <v>0</v>
      </c>
      <c r="F983" s="43" t="b">
        <f>CL983&gt;Driver!$F$56</f>
        <v>1</v>
      </c>
      <c r="G983" s="43" t="b">
        <f>AND(CB983&gt;Driver!$F$55,CB983&lt;Driver!$G$55)</f>
        <v>0</v>
      </c>
      <c r="H983" s="43" t="b">
        <f t="shared" si="555"/>
        <v>0</v>
      </c>
      <c r="I983" s="43">
        <f t="shared" si="556"/>
        <v>0</v>
      </c>
      <c r="J983" s="43" t="b">
        <f t="array" ref="J983">NOT(OR(($H$9:$H$1273=TRUE)*($I$9:$I$1273&gt;0)*($BT$9:$BT$1273=BT983)*($K$9:$K$1273&gt;K983)))</f>
        <v>1</v>
      </c>
      <c r="K983" s="72">
        <f t="shared" si="557"/>
        <v>0.81747741494213588</v>
      </c>
      <c r="L983" s="72">
        <f t="shared" si="558"/>
        <v>0.83159156485314678</v>
      </c>
      <c r="M983" s="72">
        <f t="shared" si="559"/>
        <v>0.80336326503112498</v>
      </c>
      <c r="N983" s="72">
        <f t="shared" si="560"/>
        <v>0.87446965203281712</v>
      </c>
      <c r="O983" s="72">
        <f t="shared" si="561"/>
        <v>0.65127746083999027</v>
      </c>
      <c r="P983" s="72">
        <f t="shared" si="562"/>
        <v>0.88434268222056756</v>
      </c>
      <c r="Q983" s="72"/>
      <c r="R983" s="72"/>
      <c r="S983" s="72">
        <f t="shared" si="563"/>
        <v>0.42704454525612834</v>
      </c>
      <c r="T983" s="72">
        <f t="shared" si="564"/>
        <v>0.49140598899404064</v>
      </c>
      <c r="U983" s="72">
        <f t="shared" si="565"/>
        <v>0.67543545316838705</v>
      </c>
      <c r="V983" s="72">
        <f t="shared" si="566"/>
        <v>0.52837252402237767</v>
      </c>
      <c r="W983" s="72">
        <f t="shared" si="567"/>
        <v>0.8125273134131894</v>
      </c>
      <c r="X983" s="72">
        <f t="shared" si="568"/>
        <v>0.16840843514685322</v>
      </c>
      <c r="Y983" s="72">
        <f t="shared" si="569"/>
        <v>0.19663673496887499</v>
      </c>
      <c r="Z983" s="72">
        <f t="shared" si="570"/>
        <v>0.12553034796718288</v>
      </c>
      <c r="AA983" s="72">
        <f t="shared" si="571"/>
        <v>0.34872253916000967</v>
      </c>
      <c r="AB983" s="72">
        <f t="shared" si="572"/>
        <v>0.11565731777943244</v>
      </c>
      <c r="AC983" s="72"/>
      <c r="AD983" s="72"/>
      <c r="AE983" s="72">
        <f t="shared" si="573"/>
        <v>0.57295545474387166</v>
      </c>
      <c r="AF983" s="72">
        <f t="shared" si="574"/>
        <v>0.50859401100595936</v>
      </c>
      <c r="AG983" s="72">
        <f t="shared" si="575"/>
        <v>0.32456454683161295</v>
      </c>
      <c r="AH983" s="72">
        <f t="shared" si="576"/>
        <v>0.47162747597762233</v>
      </c>
      <c r="AI983" s="72">
        <f t="shared" si="577"/>
        <v>0.1874726865868106</v>
      </c>
      <c r="AJ983" s="72">
        <f>(AV983-Driver!$K$179)/(Driver!$L$179-Driver!$K$179)</f>
        <v>8.5810974135847221E-2</v>
      </c>
      <c r="AK983" s="72">
        <f>(AW983-Driver!$K$180)/(Driver!$L$180-Driver!$K$180)</f>
        <v>0.14285316238468401</v>
      </c>
      <c r="AL983" s="72">
        <f>(AX983-Driver!$K$181)/(Driver!$L$181-Driver!$K$181)</f>
        <v>0.22721811168026307</v>
      </c>
      <c r="AM983" s="72">
        <f>(AY983-Driver!$K$182)/(Driver!$L$182-Driver!$K$182)</f>
        <v>9.8662481937036695E-2</v>
      </c>
      <c r="AN983" s="72">
        <f>(AZ983-Driver!$K$183)/(Driver!$L$183-Driver!$K$183)</f>
        <v>0.13856209150326798</v>
      </c>
      <c r="AO983" s="72"/>
      <c r="AP983" s="72"/>
      <c r="AQ983" s="72">
        <f>(BC983-Driver!$K$188)/(Driver!$L$188-Driver!$K$188)</f>
        <v>4.7044545256128334E-2</v>
      </c>
      <c r="AR983" s="72">
        <f>MIN((BD983-Driver!$K$189)/(Driver!$L$189-Driver!$K$189),100%)</f>
        <v>4.1405988994040722E-2</v>
      </c>
      <c r="AS983" s="72">
        <f>(BE983-Driver!$K$190)/(Driver!$L$190-Driver!$K$190)</f>
        <v>0.18543545316838708</v>
      </c>
      <c r="AT983" s="72">
        <f>(BF983-Driver!$K$191)/(Driver!$L$191-Driver!$K$191)</f>
        <v>3.8372524022377688E-2</v>
      </c>
      <c r="AU983" s="72">
        <f>(BG983-Driver!$K$192)/(Driver!$L$192-Driver!$K$192)</f>
        <v>6.2527313413189414E-2</v>
      </c>
      <c r="AV983" s="70">
        <f t="shared" si="578"/>
        <v>1.806064306064306</v>
      </c>
      <c r="AW983" s="70">
        <f t="shared" si="579"/>
        <v>15.794199103632987</v>
      </c>
      <c r="AX983" s="70">
        <f t="shared" si="580"/>
        <v>3.0449630051223675</v>
      </c>
      <c r="AY983" s="70">
        <f>IFERROR(Driver!$K$19/Data!BH983/Data!BI983*Data!BK983*Data!BL983,"")</f>
        <v>0.12079231593429693</v>
      </c>
      <c r="AZ983" s="70">
        <f t="shared" si="581"/>
        <v>12.628443782576323</v>
      </c>
      <c r="BA983" s="70"/>
      <c r="BB983" s="70"/>
      <c r="BC983" s="70">
        <f t="shared" si="582"/>
        <v>24.402332672726491</v>
      </c>
      <c r="BD983" s="70">
        <f t="shared" si="583"/>
        <v>5.3851795429991913</v>
      </c>
      <c r="BE983" s="70">
        <f t="shared" si="584"/>
        <v>0.18558076231522733</v>
      </c>
      <c r="BF983" s="70">
        <f t="shared" si="585"/>
        <v>4.333907006089011</v>
      </c>
      <c r="BG983" s="70">
        <f t="shared" si="586"/>
        <v>0.23676829669606425</v>
      </c>
      <c r="BH983" s="67">
        <f>MAX((CE983-Driver!$F$200)/(Driver!$G$200-Driver!$F$200)*$BI$1,1)</f>
        <v>3.0449630051223675</v>
      </c>
      <c r="BI983" s="67">
        <f>MAX($BI$1*(BY983-Driver!$F$201)/(Driver!$G$201-Driver!$F$201),1)</f>
        <v>6.7088607594936711</v>
      </c>
      <c r="BJ983" s="67">
        <f>(CB983-Driver!$F$206)/(Driver!$G$206-Driver!$F$206)*$BI$1</f>
        <v>2.3809523809523809</v>
      </c>
      <c r="BK983" s="67">
        <f>(CD983-Driver!$F$203)/(Driver!$G$203-Driver!$F$203)*$BI$1</f>
        <v>2.9816513761467895</v>
      </c>
      <c r="BL983" s="67">
        <f>MAX((CR983-Driver!$F$202)/(Driver!$G$202-Driver!$F$202)*$BI$1,1)</f>
        <v>4.1379310344827589</v>
      </c>
      <c r="BM983" s="67">
        <f>MAX((CH983-Driver!$F$204)/(Driver!$G$204-Driver!$F$204)*$BI$1,1)</f>
        <v>3.0341880341880341</v>
      </c>
      <c r="BN983" s="67">
        <f>(CI983-Driver!$F$205)/(Driver!$G$205-Driver!$F$205)*$BI$1</f>
        <v>1.8823529411764706</v>
      </c>
      <c r="BO983" s="67">
        <f>(CK983-Driver!$F$207)/(Driver!$G$207-Driver!$F$207)*$BI$1</f>
        <v>2.3371251292657704</v>
      </c>
      <c r="BP983" s="67">
        <f>(CM983-Driver!$F$208)/(Driver!$G$208-Driver!$F$208)*$BI$1</f>
        <v>2.322222222222222</v>
      </c>
      <c r="BQ983" s="67">
        <f>(CL983-Driver!$F$209)/(Driver!$G$209-Driver!$F$209)*$BI$1</f>
        <v>2.1875</v>
      </c>
      <c r="BR983" s="28" t="s">
        <v>155</v>
      </c>
      <c r="BS983" s="8" t="s">
        <v>229</v>
      </c>
      <c r="BT983" s="9" t="s">
        <v>807</v>
      </c>
      <c r="BU983" s="10">
        <v>168</v>
      </c>
      <c r="BV983" s="9" t="s">
        <v>163</v>
      </c>
      <c r="BW983" s="10">
        <v>168</v>
      </c>
      <c r="BX983" s="10">
        <v>168.7</v>
      </c>
      <c r="BY983" s="10">
        <v>114</v>
      </c>
      <c r="BZ983" s="10">
        <v>144</v>
      </c>
      <c r="CA983" s="10">
        <v>120</v>
      </c>
      <c r="CB983" s="10">
        <v>79</v>
      </c>
      <c r="CC983" s="10">
        <v>102</v>
      </c>
      <c r="CD983" s="10">
        <v>15.9</v>
      </c>
      <c r="CE983" s="10">
        <v>1435</v>
      </c>
      <c r="CF983" s="10">
        <v>1.08</v>
      </c>
      <c r="CG983" s="10">
        <v>1556</v>
      </c>
      <c r="CH983" s="10">
        <v>172</v>
      </c>
      <c r="CI983" s="10">
        <v>65</v>
      </c>
      <c r="CJ983" s="10">
        <v>40</v>
      </c>
      <c r="CK983" s="10">
        <v>336</v>
      </c>
      <c r="CL983" s="10">
        <v>14</v>
      </c>
      <c r="CM983" s="10">
        <v>209</v>
      </c>
      <c r="CN983" s="10">
        <v>0.35399999999999998</v>
      </c>
      <c r="CO983" s="10">
        <v>137</v>
      </c>
      <c r="CP983" s="10">
        <v>108</v>
      </c>
      <c r="CQ983" s="10">
        <v>200</v>
      </c>
      <c r="CR983" s="10">
        <v>1</v>
      </c>
      <c r="CS983" s="10">
        <v>12</v>
      </c>
      <c r="CT983" s="9" t="s">
        <v>231</v>
      </c>
      <c r="CU983" s="9" t="s">
        <v>185</v>
      </c>
      <c r="CV983" s="10"/>
      <c r="CW983" s="10"/>
      <c r="CX983" t="e">
        <f>INDEX('Data_Price '!AG$2:AG$1266,MATCH(Data!$DN983,'Data_Price '!$AT$2:$AT$1266,0))</f>
        <v>#N/A</v>
      </c>
      <c r="CY983" t="e">
        <f>INDEX('Data_Price '!AH$2:AH$1266,MATCH(Data!$DN983,'Data_Price '!$AT$2:$AT$1266,0))</f>
        <v>#N/A</v>
      </c>
      <c r="CZ983" t="e">
        <f>INDEX('Data_Price '!AI$2:AI$1266,MATCH(Data!$DN983,'Data_Price '!$AT$2:$AT$1266,0))</f>
        <v>#N/A</v>
      </c>
      <c r="DA983" t="e">
        <f>INDEX('Data_Price '!AJ$2:AJ$1266,MATCH(Data!$DN983,'Data_Price '!$AT$2:$AT$1266,0))</f>
        <v>#N/A</v>
      </c>
      <c r="DB983" t="e">
        <f>INDEX('Data_Price '!AK$2:AK$1266,MATCH(Data!$DN983,'Data_Price '!$AT$2:$AT$1266,0))</f>
        <v>#N/A</v>
      </c>
      <c r="DC983" t="e">
        <f>INDEX('Data_Price '!AL$2:AL$1266,MATCH(Data!$DN983,'Data_Price '!$AT$2:$AT$1266,0))</f>
        <v>#N/A</v>
      </c>
      <c r="DD983" t="e">
        <f>INDEX('Data_Price '!AM$2:AM$1266,MATCH(Data!$DN983,'Data_Price '!$AT$2:$AT$1266,0))</f>
        <v>#N/A</v>
      </c>
      <c r="DE983" t="e">
        <f>INDEX('Data_Price '!AN$2:AN$1266,MATCH(Data!$DN983,'Data_Price '!$AT$2:$AT$1266,0))</f>
        <v>#N/A</v>
      </c>
      <c r="DF983" t="e">
        <f>INDEX('Data_Price '!AO$2:AO$1266,MATCH(Data!$DN983,'Data_Price '!$AT$2:$AT$1266,0))</f>
        <v>#N/A</v>
      </c>
      <c r="DG983" t="e">
        <f>INDEX('Data_Price '!AP$2:AP$1266,MATCH(Data!$DN983,'Data_Price '!$AT$2:$AT$1266,0))</f>
        <v>#N/A</v>
      </c>
      <c r="DH983" t="e">
        <f>INDEX('Data_Price '!AQ$2:AQ$1266,MATCH(Data!$DN983,'Data_Price '!$AT$2:$AT$1266,0))</f>
        <v>#N/A</v>
      </c>
      <c r="DI983" t="e">
        <f>INDEX('Data_Price '!AR$2:AR$1266,MATCH(Data!$DN983,'Data_Price '!$AT$2:$AT$1266,0))</f>
        <v>#N/A</v>
      </c>
      <c r="DJ983" s="89" t="e">
        <f t="shared" si="587"/>
        <v>#N/A</v>
      </c>
      <c r="DK983" s="89" t="e">
        <f t="shared" si="588"/>
        <v>#N/A</v>
      </c>
      <c r="DL983" s="89" t="e">
        <f t="shared" si="589"/>
        <v>#N/A</v>
      </c>
      <c r="DM983" s="219" t="str">
        <f t="shared" si="590"/>
        <v>Yumi 80</v>
      </c>
      <c r="DN983" s="89" t="str">
        <f t="shared" si="591"/>
        <v xml:space="preserve"> VölklYumi 80168 Women's</v>
      </c>
      <c r="DO983" s="221"/>
    </row>
    <row r="984" spans="2:119" ht="15.6" customHeight="1">
      <c r="B984" s="219" t="b">
        <f t="array" ref="B984">IF(OR(ISERROR(K984:P984)),FALSE,TRUE)</f>
        <v>1</v>
      </c>
      <c r="C984" s="43" t="b">
        <f>OR(BR984=Driver!$G$50,Data!BR1231=Driver!$H$50)</f>
        <v>1</v>
      </c>
      <c r="D984" s="43" t="b">
        <f>OR(BV984=Driver!$G$51,BV984=Driver!$H$51)</f>
        <v>1</v>
      </c>
      <c r="E984" s="43" t="b">
        <f>AND(BX984&gt;Driver!$F$54,BX984&lt;Driver!$G$54)</f>
        <v>0</v>
      </c>
      <c r="F984" s="43" t="b">
        <f>CL984&gt;Driver!$F$56</f>
        <v>1</v>
      </c>
      <c r="G984" s="43" t="b">
        <f>AND(CB984&gt;Driver!$F$55,CB984&lt;Driver!$G$55)</f>
        <v>0</v>
      </c>
      <c r="H984" s="43" t="b">
        <f t="shared" si="555"/>
        <v>0</v>
      </c>
      <c r="I984" s="43">
        <f t="shared" si="556"/>
        <v>0</v>
      </c>
      <c r="J984" s="43" t="b">
        <f t="array" ref="J984">NOT(OR(($H$9:$H$1273=TRUE)*($I$9:$I$1273&gt;0)*($BT$9:$BT$1273=BT984)*($K$9:$K$1273&gt;K984)))</f>
        <v>1</v>
      </c>
      <c r="K984" s="72">
        <f t="shared" si="557"/>
        <v>0.83215362860418507</v>
      </c>
      <c r="L984" s="72">
        <f t="shared" si="558"/>
        <v>0.98959656042159416</v>
      </c>
      <c r="M984" s="72">
        <f t="shared" si="559"/>
        <v>0.67471069678677598</v>
      </c>
      <c r="N984" s="72">
        <f t="shared" si="560"/>
        <v>0.65945668801586899</v>
      </c>
      <c r="O984" s="72">
        <f t="shared" si="561"/>
        <v>0.68325011070881714</v>
      </c>
      <c r="P984" s="72">
        <f t="shared" si="562"/>
        <v>0.68142529163564181</v>
      </c>
      <c r="Q984" s="72"/>
      <c r="R984" s="72"/>
      <c r="S984" s="72">
        <f t="shared" si="563"/>
        <v>0.65821737207029218</v>
      </c>
      <c r="T984" s="72">
        <f t="shared" si="564"/>
        <v>0.46036761936490811</v>
      </c>
      <c r="U984" s="72">
        <f t="shared" si="565"/>
        <v>0.58469358234235325</v>
      </c>
      <c r="V984" s="72">
        <f t="shared" si="566"/>
        <v>0.53359796480513166</v>
      </c>
      <c r="W984" s="72">
        <f t="shared" si="567"/>
        <v>0.7892128410914927</v>
      </c>
      <c r="X984" s="72">
        <f t="shared" si="568"/>
        <v>1.0403439578405893E-2</v>
      </c>
      <c r="Y984" s="72">
        <f t="shared" si="569"/>
        <v>0.32528930321322402</v>
      </c>
      <c r="Z984" s="72">
        <f t="shared" si="570"/>
        <v>0.34054331198413096</v>
      </c>
      <c r="AA984" s="72">
        <f t="shared" si="571"/>
        <v>0.31674988929118286</v>
      </c>
      <c r="AB984" s="72">
        <f t="shared" si="572"/>
        <v>0.31857470836435825</v>
      </c>
      <c r="AC984" s="72"/>
      <c r="AD984" s="72"/>
      <c r="AE984" s="72">
        <f t="shared" si="573"/>
        <v>0.34178262792970782</v>
      </c>
      <c r="AF984" s="72">
        <f t="shared" si="574"/>
        <v>0.53963238063509189</v>
      </c>
      <c r="AG984" s="72">
        <f t="shared" si="575"/>
        <v>0.41530641765764675</v>
      </c>
      <c r="AH984" s="72">
        <f t="shared" si="576"/>
        <v>0.46640203519486828</v>
      </c>
      <c r="AI984" s="72">
        <f t="shared" si="577"/>
        <v>0.21078715890850724</v>
      </c>
      <c r="AJ984" s="72">
        <f>(AV984-Driver!$K$179)/(Driver!$L$179-Driver!$K$179)</f>
        <v>0.24381596970429453</v>
      </c>
      <c r="AK984" s="72">
        <f>(AW984-Driver!$K$180)/(Driver!$L$180-Driver!$K$180)</f>
        <v>0.56918523133440768</v>
      </c>
      <c r="AL984" s="72">
        <f>(AX984-Driver!$K$181)/(Driver!$L$181-Driver!$K$181)</f>
        <v>0.44223107569721115</v>
      </c>
      <c r="AM984" s="72">
        <f>(AY984-Driver!$K$182)/(Driver!$L$182-Driver!$K$182)</f>
        <v>0.1306351318058635</v>
      </c>
      <c r="AN984" s="72">
        <f>(AZ984-Driver!$K$183)/(Driver!$L$183-Driver!$K$183)</f>
        <v>0.57279411764705868</v>
      </c>
      <c r="AO984" s="72"/>
      <c r="AP984" s="72"/>
      <c r="AQ984" s="72">
        <f>(BC984-Driver!$K$188)/(Driver!$L$188-Driver!$K$188)</f>
        <v>0.27821737207029218</v>
      </c>
      <c r="AR984" s="72">
        <f>MIN((BD984-Driver!$K$189)/(Driver!$L$189-Driver!$K$189),100%)</f>
        <v>1.0367619364908133E-2</v>
      </c>
      <c r="AS984" s="72">
        <f>(BE984-Driver!$K$190)/(Driver!$L$190-Driver!$K$190)</f>
        <v>9.4693582342353241E-2</v>
      </c>
      <c r="AT984" s="72">
        <f>(BF984-Driver!$K$191)/(Driver!$L$191-Driver!$K$191)</f>
        <v>4.3597964805131714E-2</v>
      </c>
      <c r="AU984" s="72">
        <f>(BG984-Driver!$K$192)/(Driver!$L$192-Driver!$K$192)</f>
        <v>3.921284109149277E-2</v>
      </c>
      <c r="AV984" s="70">
        <f t="shared" si="578"/>
        <v>5.1315967982634643</v>
      </c>
      <c r="AW984" s="70">
        <f t="shared" si="579"/>
        <v>57.344036909212484</v>
      </c>
      <c r="AX984" s="70">
        <f t="shared" si="580"/>
        <v>4.9800796812749004</v>
      </c>
      <c r="AY984" s="70">
        <f>IFERROR(Driver!$K$19/Data!BH984/Data!BI984*Data!BK984*Data!BL984,"")</f>
        <v>0.15993637909172514</v>
      </c>
      <c r="AZ984" s="70">
        <f t="shared" si="581"/>
        <v>52.204020848845857</v>
      </c>
      <c r="BA984" s="70"/>
      <c r="BB984" s="70"/>
      <c r="BC984" s="70">
        <f t="shared" si="582"/>
        <v>144.31328502865259</v>
      </c>
      <c r="BD984" s="70">
        <f t="shared" si="583"/>
        <v>2.6383388275576118</v>
      </c>
      <c r="BE984" s="70">
        <f t="shared" si="584"/>
        <v>9.4855078817605604E-2</v>
      </c>
      <c r="BF984" s="70">
        <f t="shared" si="585"/>
        <v>4.9240838317018936</v>
      </c>
      <c r="BG984" s="70">
        <f t="shared" si="586"/>
        <v>0.14848483146067415</v>
      </c>
      <c r="BH984" s="67">
        <f>MAX((CE984-Driver!$F$200)/(Driver!$G$200-Driver!$F$200)*$BI$1,1)</f>
        <v>4.9800796812749004</v>
      </c>
      <c r="BI984" s="67">
        <f>MAX($BI$1*(BY984-Driver!$F$201)/(Driver!$G$201-Driver!$F$201),1)</f>
        <v>7.7848101265822782</v>
      </c>
      <c r="BJ984" s="67">
        <f>(CB984-Driver!$F$206)/(Driver!$G$206-Driver!$F$206)*$BI$1</f>
        <v>5.3968253968253963</v>
      </c>
      <c r="BK984" s="67">
        <f>(CD984-Driver!$F$203)/(Driver!$G$203-Driver!$F$203)*$BI$1</f>
        <v>6.4220183486238538</v>
      </c>
      <c r="BL984" s="67">
        <f>MAX((CR984-Driver!$F$202)/(Driver!$G$202-Driver!$F$202)*$BI$1,1)</f>
        <v>4.8275862068965516</v>
      </c>
      <c r="BM984" s="67">
        <f>MAX((CH984-Driver!$F$204)/(Driver!$G$204-Driver!$F$204)*$BI$1,1)</f>
        <v>3.8034188034188032</v>
      </c>
      <c r="BN984" s="67">
        <f>(CI984-Driver!$F$205)/(Driver!$G$205-Driver!$F$205)*$BI$1</f>
        <v>6.7058823529411757</v>
      </c>
      <c r="BO984" s="67">
        <f>(CK984-Driver!$F$207)/(Driver!$G$207-Driver!$F$207)*$BI$1</f>
        <v>2.2440537745604963</v>
      </c>
      <c r="BP984" s="67">
        <f>(CM984-Driver!$F$208)/(Driver!$G$208-Driver!$F$208)*$BI$1</f>
        <v>2.6111111111111112</v>
      </c>
      <c r="BQ984" s="67">
        <f>(CL984-Driver!$F$209)/(Driver!$G$209-Driver!$F$209)*$BI$1</f>
        <v>2.8125</v>
      </c>
      <c r="BR984" s="28" t="s">
        <v>155</v>
      </c>
      <c r="BS984" s="8" t="s">
        <v>229</v>
      </c>
      <c r="BT984" s="9" t="s">
        <v>534</v>
      </c>
      <c r="BU984" s="10">
        <v>186</v>
      </c>
      <c r="BV984" s="9" t="s">
        <v>158</v>
      </c>
      <c r="BW984" s="10">
        <v>186</v>
      </c>
      <c r="BX984" s="10">
        <v>187.1</v>
      </c>
      <c r="BY984" s="10">
        <v>131</v>
      </c>
      <c r="BZ984" s="10">
        <v>159</v>
      </c>
      <c r="CA984" s="10">
        <v>134</v>
      </c>
      <c r="CB984" s="10">
        <v>98</v>
      </c>
      <c r="CC984" s="10">
        <v>116</v>
      </c>
      <c r="CD984" s="10">
        <v>23.4</v>
      </c>
      <c r="CE984" s="10">
        <v>1775</v>
      </c>
      <c r="CF984" s="10">
        <v>1.1499999999999999</v>
      </c>
      <c r="CG984" s="10">
        <v>2038</v>
      </c>
      <c r="CH984" s="10">
        <v>190</v>
      </c>
      <c r="CI984" s="10">
        <v>147</v>
      </c>
      <c r="CJ984" s="10">
        <v>49</v>
      </c>
      <c r="CK984" s="10">
        <v>327</v>
      </c>
      <c r="CL984" s="10">
        <v>18</v>
      </c>
      <c r="CM984" s="10">
        <v>235</v>
      </c>
      <c r="CN984" s="10">
        <v>0.36699999999999999</v>
      </c>
      <c r="CO984" s="10">
        <v>151</v>
      </c>
      <c r="CP984" s="10">
        <v>126</v>
      </c>
      <c r="CQ984" s="10">
        <v>177</v>
      </c>
      <c r="CR984" s="10">
        <v>3</v>
      </c>
      <c r="CS984" s="10">
        <v>10.7</v>
      </c>
      <c r="CT984" s="9" t="s">
        <v>188</v>
      </c>
      <c r="CU984" s="9" t="s">
        <v>185</v>
      </c>
      <c r="CV984" s="10"/>
      <c r="CW984" s="10"/>
      <c r="CX984" t="e">
        <f>INDEX('Data_Price '!AG$2:AG$1266,MATCH(Data!$DN984,'Data_Price '!$AT$2:$AT$1266,0))</f>
        <v>#N/A</v>
      </c>
      <c r="CY984" t="e">
        <f>INDEX('Data_Price '!AH$2:AH$1266,MATCH(Data!$DN984,'Data_Price '!$AT$2:$AT$1266,0))</f>
        <v>#N/A</v>
      </c>
      <c r="CZ984" t="e">
        <f>INDEX('Data_Price '!AI$2:AI$1266,MATCH(Data!$DN984,'Data_Price '!$AT$2:$AT$1266,0))</f>
        <v>#N/A</v>
      </c>
      <c r="DA984" t="e">
        <f>INDEX('Data_Price '!AJ$2:AJ$1266,MATCH(Data!$DN984,'Data_Price '!$AT$2:$AT$1266,0))</f>
        <v>#N/A</v>
      </c>
      <c r="DB984" t="e">
        <f>INDEX('Data_Price '!AK$2:AK$1266,MATCH(Data!$DN984,'Data_Price '!$AT$2:$AT$1266,0))</f>
        <v>#N/A</v>
      </c>
      <c r="DC984" t="e">
        <f>INDEX('Data_Price '!AL$2:AL$1266,MATCH(Data!$DN984,'Data_Price '!$AT$2:$AT$1266,0))</f>
        <v>#N/A</v>
      </c>
      <c r="DD984" t="e">
        <f>INDEX('Data_Price '!AM$2:AM$1266,MATCH(Data!$DN984,'Data_Price '!$AT$2:$AT$1266,0))</f>
        <v>#N/A</v>
      </c>
      <c r="DE984" t="e">
        <f>INDEX('Data_Price '!AN$2:AN$1266,MATCH(Data!$DN984,'Data_Price '!$AT$2:$AT$1266,0))</f>
        <v>#N/A</v>
      </c>
      <c r="DF984" t="e">
        <f>INDEX('Data_Price '!AO$2:AO$1266,MATCH(Data!$DN984,'Data_Price '!$AT$2:$AT$1266,0))</f>
        <v>#N/A</v>
      </c>
      <c r="DG984" t="e">
        <f>INDEX('Data_Price '!AP$2:AP$1266,MATCH(Data!$DN984,'Data_Price '!$AT$2:$AT$1266,0))</f>
        <v>#N/A</v>
      </c>
      <c r="DH984" t="e">
        <f>INDEX('Data_Price '!AQ$2:AQ$1266,MATCH(Data!$DN984,'Data_Price '!$AT$2:$AT$1266,0))</f>
        <v>#N/A</v>
      </c>
      <c r="DI984" t="e">
        <f>INDEX('Data_Price '!AR$2:AR$1266,MATCH(Data!$DN984,'Data_Price '!$AT$2:$AT$1266,0))</f>
        <v>#N/A</v>
      </c>
      <c r="DJ984" s="89" t="e">
        <f t="shared" si="587"/>
        <v>#N/A</v>
      </c>
      <c r="DK984" s="89" t="e">
        <f t="shared" si="588"/>
        <v>#N/A</v>
      </c>
      <c r="DL984" s="89" t="e">
        <f t="shared" si="589"/>
        <v>#N/A</v>
      </c>
      <c r="DM984" s="219" t="str">
        <f t="shared" si="590"/>
        <v>Mantra V.Werks</v>
      </c>
      <c r="DN984" s="89" t="str">
        <f t="shared" si="591"/>
        <v xml:space="preserve"> VölklMantra V.Werks186 Unisex</v>
      </c>
      <c r="DO984" s="221"/>
    </row>
    <row r="985" spans="2:119" ht="15.6" customHeight="1">
      <c r="B985" s="219" t="b">
        <f t="array" ref="B985">IF(OR(ISERROR(K985:P985)),FALSE,TRUE)</f>
        <v>1</v>
      </c>
      <c r="C985" s="43" t="b">
        <f>OR(BR985=Driver!$G$50,Data!BR885=Driver!$H$50)</f>
        <v>1</v>
      </c>
      <c r="D985" s="43" t="b">
        <f>OR(BV985=Driver!$G$51,BV985=Driver!$H$51)</f>
        <v>0</v>
      </c>
      <c r="E985" s="43" t="b">
        <f>AND(BX985&gt;Driver!$F$54,BX985&lt;Driver!$G$54)</f>
        <v>1</v>
      </c>
      <c r="F985" s="43" t="b">
        <f>CL985&gt;Driver!$F$56</f>
        <v>1</v>
      </c>
      <c r="G985" s="43" t="b">
        <f>AND(CB985&gt;Driver!$F$55,CB985&lt;Driver!$G$55)</f>
        <v>0</v>
      </c>
      <c r="H985" s="43" t="b">
        <f t="shared" si="555"/>
        <v>0</v>
      </c>
      <c r="I985" s="43">
        <f t="shared" si="556"/>
        <v>0</v>
      </c>
      <c r="J985" s="43" t="b">
        <f t="array" ref="J985">NOT(OR(($H$9:$H$1273=TRUE)*($I$9:$I$1273&gt;0)*($BT$9:$BT$1273=BT985)*($K$9:$K$1273&gt;K985)))</f>
        <v>1</v>
      </c>
      <c r="K985" s="72">
        <f t="shared" si="557"/>
        <v>0.75454816904037192</v>
      </c>
      <c r="L985" s="72">
        <f t="shared" si="558"/>
        <v>0.79597799624465437</v>
      </c>
      <c r="M985" s="72">
        <f t="shared" si="559"/>
        <v>0.71311834183608958</v>
      </c>
      <c r="N985" s="72">
        <f t="shared" si="560"/>
        <v>0.63542582733162201</v>
      </c>
      <c r="O985" s="72">
        <f t="shared" si="561"/>
        <v>0.60006037216522956</v>
      </c>
      <c r="P985" s="72">
        <f t="shared" si="562"/>
        <v>0.90386882601141727</v>
      </c>
      <c r="Q985" s="72"/>
      <c r="R985" s="72"/>
      <c r="S985" s="72">
        <f t="shared" si="563"/>
        <v>0.42956002376147429</v>
      </c>
      <c r="T985" s="72">
        <f t="shared" si="564"/>
        <v>0.86926529955393683</v>
      </c>
      <c r="U985" s="72">
        <f t="shared" si="565"/>
        <v>0.51</v>
      </c>
      <c r="V985" s="72">
        <f t="shared" si="566"/>
        <v>0.49272630831515896</v>
      </c>
      <c r="W985" s="72">
        <f t="shared" si="567"/>
        <v>0.76670256101012835</v>
      </c>
      <c r="X985" s="72">
        <f t="shared" si="568"/>
        <v>0.20402200375534565</v>
      </c>
      <c r="Y985" s="72">
        <f t="shared" si="569"/>
        <v>0.28688165816391037</v>
      </c>
      <c r="Z985" s="72">
        <f t="shared" si="570"/>
        <v>0.36457417266837805</v>
      </c>
      <c r="AA985" s="72">
        <f t="shared" si="571"/>
        <v>0.39993962783477038</v>
      </c>
      <c r="AB985" s="72">
        <f t="shared" si="572"/>
        <v>9.6131173988582758E-2</v>
      </c>
      <c r="AC985" s="72"/>
      <c r="AD985" s="72"/>
      <c r="AE985" s="72">
        <f t="shared" si="573"/>
        <v>0.57043997623852571</v>
      </c>
      <c r="AF985" s="72">
        <f t="shared" si="574"/>
        <v>0.13073470044606317</v>
      </c>
      <c r="AG985" s="72">
        <f t="shared" si="575"/>
        <v>0.49</v>
      </c>
      <c r="AH985" s="72">
        <f t="shared" si="576"/>
        <v>0.50727369168484104</v>
      </c>
      <c r="AI985" s="72">
        <f t="shared" si="577"/>
        <v>0.23329743898987165</v>
      </c>
      <c r="AJ985" s="72">
        <f>(AV985-Driver!$K$179)/(Driver!$L$179-Driver!$K$179)</f>
        <v>5.0197405527354765E-2</v>
      </c>
      <c r="AK985" s="72">
        <f>(AW985-Driver!$K$180)/(Driver!$L$180-Driver!$K$180)</f>
        <v>0.18254465173112017</v>
      </c>
      <c r="AL985" s="72">
        <f>(AX985-Driver!$K$181)/(Driver!$L$181-Driver!$K$181)</f>
        <v>0.46626193638145824</v>
      </c>
      <c r="AM985" s="72">
        <f>(AY985-Driver!$K$182)/(Driver!$L$182-Driver!$K$182)</f>
        <v>4.7445393262275995E-2</v>
      </c>
      <c r="AN985" s="72">
        <f>(AZ985-Driver!$K$183)/(Driver!$L$183-Driver!$K$183)</f>
        <v>0.15808823529411767</v>
      </c>
      <c r="AO985" s="72"/>
      <c r="AP985" s="72"/>
      <c r="AQ985" s="72">
        <f>(BC985-Driver!$K$188)/(Driver!$L$188-Driver!$K$188)</f>
        <v>4.9560023761474309E-2</v>
      </c>
      <c r="AR985" s="72">
        <f>MIN((BD985-Driver!$K$189)/(Driver!$L$189-Driver!$K$189),100%)</f>
        <v>0.68073470044606321</v>
      </c>
      <c r="AS985" s="72">
        <f>(BE985-Driver!$K$190)/(Driver!$L$190-Driver!$K$190)</f>
        <v>1</v>
      </c>
      <c r="AT985" s="72">
        <f>(BF985-Driver!$K$191)/(Driver!$L$191-Driver!$K$191)</f>
        <v>2.7263083151589811E-3</v>
      </c>
      <c r="AU985" s="72">
        <f>(BG985-Driver!$K$192)/(Driver!$L$192-Driver!$K$192)</f>
        <v>1.6702561010128358E-2</v>
      </c>
      <c r="AV985" s="70">
        <f t="shared" si="578"/>
        <v>1.0565052231718899</v>
      </c>
      <c r="AW985" s="70">
        <f t="shared" si="579"/>
        <v>19.662486442816924</v>
      </c>
      <c r="AX985" s="70">
        <f t="shared" si="580"/>
        <v>5.1963574274331243</v>
      </c>
      <c r="AY985" s="70">
        <f>IFERROR(Driver!$K$19/Data!BH985/Data!BI985*Data!BK985*Data!BL985,"")</f>
        <v>5.8087317692060235E-2</v>
      </c>
      <c r="AZ985" s="70">
        <f t="shared" si="581"/>
        <v>14.408041697691738</v>
      </c>
      <c r="BA985" s="70"/>
      <c r="BB985" s="70"/>
      <c r="BC985" s="70">
        <f t="shared" si="582"/>
        <v>25.707128860772311</v>
      </c>
      <c r="BD985" s="70">
        <f t="shared" si="583"/>
        <v>61.964637683059181</v>
      </c>
      <c r="BE985" s="70">
        <f t="shared" si="584"/>
        <v>1</v>
      </c>
      <c r="BF985" s="70">
        <f t="shared" si="585"/>
        <v>0.30791737079728604</v>
      </c>
      <c r="BG985" s="70">
        <f t="shared" si="586"/>
        <v>6.3246551066369672E-2</v>
      </c>
      <c r="BH985" s="67">
        <f>MAX((CE985-Driver!$F$200)/(Driver!$G$200-Driver!$F$200)*$BI$1,1)</f>
        <v>5.1963574274331243</v>
      </c>
      <c r="BI985" s="67">
        <f>MAX($BI$1*(BY985-Driver!$F$201)/(Driver!$G$201-Driver!$F$201),1)</f>
        <v>8.1645569620253173</v>
      </c>
      <c r="BJ985" s="67">
        <f>(CB985-Driver!$F$206)/(Driver!$G$206-Driver!$F$206)*$BI$1</f>
        <v>1.1111111111111112</v>
      </c>
      <c r="BK985" s="67">
        <f>(CD985-Driver!$F$203)/(Driver!$G$203-Driver!$F$203)*$BI$1</f>
        <v>1.8807339449541285</v>
      </c>
      <c r="BL985" s="67">
        <f>MAX((CR985-Driver!$F$202)/(Driver!$G$202-Driver!$F$202)*$BI$1,1)</f>
        <v>6.5517241379310338</v>
      </c>
      <c r="BM985" s="67">
        <f>MAX((CH985-Driver!$F$204)/(Driver!$G$204-Driver!$F$204)*$BI$1,1)</f>
        <v>3.8034188034188032</v>
      </c>
      <c r="BN985" s="67">
        <f>(CI985-Driver!$F$205)/(Driver!$G$205-Driver!$F$205)*$BI$1</f>
        <v>1.7647058823529413</v>
      </c>
      <c r="BO985" s="67">
        <f>(CK985-Driver!$F$207)/(Driver!$G$207-Driver!$F$207)*$BI$1</f>
        <v>0.55842812823164423</v>
      </c>
      <c r="BP985" s="67">
        <f>(CM985-Driver!$F$208)/(Driver!$G$208-Driver!$F$208)*$BI$1</f>
        <v>0.93333333333333335</v>
      </c>
      <c r="BQ985" s="67">
        <f>(CL985-Driver!$F$209)/(Driver!$G$209-Driver!$F$209)*$BI$1</f>
        <v>1.25</v>
      </c>
      <c r="BR985" s="28" t="s">
        <v>155</v>
      </c>
      <c r="BS985" s="8" t="s">
        <v>332</v>
      </c>
      <c r="BT985" s="9" t="s">
        <v>828</v>
      </c>
      <c r="BU985" s="10">
        <v>162</v>
      </c>
      <c r="BV985" s="9" t="s">
        <v>163</v>
      </c>
      <c r="BW985" s="10">
        <v>162</v>
      </c>
      <c r="BX985" s="10">
        <v>161.30000000000001</v>
      </c>
      <c r="BY985" s="10">
        <v>137</v>
      </c>
      <c r="BZ985" s="10">
        <v>146</v>
      </c>
      <c r="CA985" s="10">
        <v>120</v>
      </c>
      <c r="CB985" s="10">
        <v>71</v>
      </c>
      <c r="CC985" s="10">
        <v>99</v>
      </c>
      <c r="CD985" s="10">
        <v>13.5</v>
      </c>
      <c r="CE985" s="10">
        <v>1813</v>
      </c>
      <c r="CF985" s="10">
        <v>0.76</v>
      </c>
      <c r="CG985" s="10">
        <v>1384</v>
      </c>
      <c r="CH985" s="10">
        <v>190</v>
      </c>
      <c r="CI985" s="10">
        <v>63</v>
      </c>
      <c r="CJ985" s="10">
        <v>39</v>
      </c>
      <c r="CK985" s="10">
        <v>164</v>
      </c>
      <c r="CL985" s="10">
        <v>8</v>
      </c>
      <c r="CM985" s="10">
        <v>84</v>
      </c>
      <c r="CN985" s="10">
        <v>0.214</v>
      </c>
      <c r="CO985" s="10">
        <v>64</v>
      </c>
      <c r="CP985" s="10">
        <v>86</v>
      </c>
      <c r="CQ985" s="10">
        <v>99</v>
      </c>
      <c r="CR985" s="10">
        <v>8</v>
      </c>
      <c r="CS985" s="10">
        <v>9.1</v>
      </c>
      <c r="CT985" s="9" t="s">
        <v>349</v>
      </c>
      <c r="CU985" s="10"/>
      <c r="CV985" s="10"/>
      <c r="CW985" s="10"/>
      <c r="CX985" t="str">
        <f>INDEX('Data_Price '!AG$2:AG$1266,MATCH(Data!$DN985,'Data_Price '!$AT$2:$AT$1266,0))</f>
        <v>Nordica Women's Wild Belle 78 CA System Ski 2022 162</v>
      </c>
      <c r="CY985" t="str">
        <f>INDEX('Data_Price '!AH$2:AH$1266,MATCH(Data!$DN985,'Data_Price '!$AT$2:$AT$1266,0))</f>
        <v>Boyne Country Sports</v>
      </c>
      <c r="CZ985">
        <f>INDEX('Data_Price '!AI$2:AI$1266,MATCH(Data!$DN985,'Data_Price '!$AT$2:$AT$1266,0))</f>
        <v>499.99</v>
      </c>
      <c r="DA985" t="str">
        <f>INDEX('Data_Price '!AJ$2:AJ$1266,MATCH(Data!$DN985,'Data_Price '!$AT$2:$AT$1266,0))</f>
        <v>https://tinyurl.com/y8ona4zn</v>
      </c>
      <c r="DB985" t="str">
        <f>INDEX('Data_Price '!AK$2:AK$1266,MATCH(Data!$DN985,'Data_Price '!$AT$2:$AT$1266,0))</f>
        <v>Nordica Women's Wild Belle 74 w/ TP2 10 Skis 162</v>
      </c>
      <c r="DC985" t="str">
        <f>INDEX('Data_Price '!AL$2:AL$1266,MATCH(Data!$DN985,'Data_Price '!$AT$2:$AT$1266,0))</f>
        <v>WinterWomen.com</v>
      </c>
      <c r="DD985">
        <f>INDEX('Data_Price '!AM$2:AM$1266,MATCH(Data!$DN985,'Data_Price '!$AT$2:$AT$1266,0))</f>
        <v>399.95</v>
      </c>
      <c r="DE985" t="str">
        <f>INDEX('Data_Price '!AN$2:AN$1266,MATCH(Data!$DN985,'Data_Price '!$AT$2:$AT$1266,0))</f>
        <v>https://tinyurl.com/ya5x6xn2</v>
      </c>
      <c r="DF985" t="str">
        <f>INDEX('Data_Price '!AO$2:AO$1266,MATCH(Data!$DN985,'Data_Price '!$AT$2:$AT$1266,0))</f>
        <v>Nordica Women's Wild Belle 74 w/ TP2 10 Skis 162</v>
      </c>
      <c r="DG985" t="str">
        <f>INDEX('Data_Price '!AP$2:AP$1266,MATCH(Data!$DN985,'Data_Price '!$AT$2:$AT$1266,0))</f>
        <v>Buckman's Ski and Snowboard Shop</v>
      </c>
      <c r="DH985">
        <f>INDEX('Data_Price '!AQ$2:AQ$1266,MATCH(Data!$DN985,'Data_Price '!$AT$2:$AT$1266,0))</f>
        <v>399.95</v>
      </c>
      <c r="DI985" t="str">
        <f>INDEX('Data_Price '!AR$2:AR$1266,MATCH(Data!$DN985,'Data_Price '!$AT$2:$AT$1266,0))</f>
        <v>https://tinyurl.com/y9nxy823</v>
      </c>
      <c r="DJ985" s="89" t="str">
        <f t="shared" si="587"/>
        <v>https://tinyurl.com/y8ona4zn</v>
      </c>
      <c r="DK985" s="89" t="str">
        <f t="shared" si="588"/>
        <v>https://tinyurl.com/ya5x6xn2</v>
      </c>
      <c r="DL985" s="89" t="str">
        <f t="shared" si="589"/>
        <v>https://tinyurl.com/y9nxy823</v>
      </c>
      <c r="DM985" s="219" t="str">
        <f t="shared" si="590"/>
        <v>Belle 72 Ca</v>
      </c>
      <c r="DN985" s="89" t="str">
        <f t="shared" si="591"/>
        <v xml:space="preserve"> NordicaBelle 72 Ca162 Women's</v>
      </c>
      <c r="DO985" s="221"/>
    </row>
    <row r="986" spans="2:119" ht="15.6" customHeight="1">
      <c r="B986" s="219" t="b">
        <f t="array" ref="B986">IF(OR(ISERROR(K986:P986)),FALSE,TRUE)</f>
        <v>1</v>
      </c>
      <c r="C986" s="43" t="b">
        <f>OR(BR986=Driver!$G$50,Data!BR200=Driver!$H$50)</f>
        <v>1</v>
      </c>
      <c r="D986" s="43" t="b">
        <f>OR(BV986=Driver!$G$51,BV986=Driver!$H$51)</f>
        <v>0</v>
      </c>
      <c r="E986" s="43" t="b">
        <f>AND(BX986&gt;Driver!$F$54,BX986&lt;Driver!$G$54)</f>
        <v>1</v>
      </c>
      <c r="F986" s="43" t="b">
        <f>CL986&gt;Driver!$F$56</f>
        <v>1</v>
      </c>
      <c r="G986" s="43" t="b">
        <f>AND(CB986&gt;Driver!$F$55,CB986&lt;Driver!$G$55)</f>
        <v>1</v>
      </c>
      <c r="H986" s="43" t="b">
        <f t="shared" si="555"/>
        <v>0</v>
      </c>
      <c r="I986" s="43">
        <f t="shared" si="556"/>
        <v>0</v>
      </c>
      <c r="J986" s="43" t="b">
        <f t="array" ref="J986">NOT(OR(($H$9:$H$1273=TRUE)*($I$9:$I$1273&gt;0)*($BT$9:$BT$1273=BT986)*($K$9:$K$1273&gt;K986)))</f>
        <v>1</v>
      </c>
      <c r="K986" s="72">
        <f t="shared" si="557"/>
        <v>0.79614039249565749</v>
      </c>
      <c r="L986" s="72">
        <f t="shared" si="558"/>
        <v>0.82496840797618276</v>
      </c>
      <c r="M986" s="72">
        <f t="shared" si="559"/>
        <v>0.76731237701513222</v>
      </c>
      <c r="N986" s="72">
        <f t="shared" si="560"/>
        <v>0.73913796291626754</v>
      </c>
      <c r="O986" s="72">
        <f t="shared" si="561"/>
        <v>0.71505779309810424</v>
      </c>
      <c r="P986" s="72">
        <f t="shared" si="562"/>
        <v>0.84774137503102498</v>
      </c>
      <c r="Q986" s="72"/>
      <c r="R986" s="72"/>
      <c r="S986" s="72">
        <f t="shared" si="563"/>
        <v>0.41119117358972801</v>
      </c>
      <c r="T986" s="72">
        <f t="shared" si="564"/>
        <v>0.44053163403681828</v>
      </c>
      <c r="U986" s="72">
        <f t="shared" si="565"/>
        <v>0.57989723942506877</v>
      </c>
      <c r="V986" s="72">
        <f t="shared" si="566"/>
        <v>0.53802583006443372</v>
      </c>
      <c r="W986" s="72">
        <f t="shared" si="567"/>
        <v>0.95961281708945267</v>
      </c>
      <c r="X986" s="72">
        <f t="shared" si="568"/>
        <v>0.17503159202381718</v>
      </c>
      <c r="Y986" s="72">
        <f t="shared" si="569"/>
        <v>0.23268762298486778</v>
      </c>
      <c r="Z986" s="72">
        <f t="shared" si="570"/>
        <v>0.26086203708373251</v>
      </c>
      <c r="AA986" s="72">
        <f t="shared" si="571"/>
        <v>0.28494220690189576</v>
      </c>
      <c r="AB986" s="72">
        <f t="shared" si="572"/>
        <v>0.15225862496897496</v>
      </c>
      <c r="AC986" s="72"/>
      <c r="AD986" s="72"/>
      <c r="AE986" s="72">
        <f t="shared" si="573"/>
        <v>0.58880882641027199</v>
      </c>
      <c r="AF986" s="72">
        <f t="shared" si="574"/>
        <v>0.55946836596318172</v>
      </c>
      <c r="AG986" s="72">
        <f t="shared" si="575"/>
        <v>0.42010276057493118</v>
      </c>
      <c r="AH986" s="72">
        <f t="shared" si="576"/>
        <v>0.46197416993556628</v>
      </c>
      <c r="AI986" s="72">
        <f t="shared" si="577"/>
        <v>4.0387182910547381E-2</v>
      </c>
      <c r="AJ986" s="72">
        <f>(AV986-Driver!$K$179)/(Driver!$L$179-Driver!$K$179)</f>
        <v>7.9187817258883242E-2</v>
      </c>
      <c r="AK986" s="72">
        <f>(AW986-Driver!$K$180)/(Driver!$L$180-Driver!$K$180)</f>
        <v>0.12192388041913796</v>
      </c>
      <c r="AL986" s="72">
        <f>(AX986-Driver!$K$181)/(Driver!$L$181-Driver!$K$181)</f>
        <v>0.3625498007968127</v>
      </c>
      <c r="AM986" s="72">
        <f>(AY986-Driver!$K$182)/(Driver!$L$182-Driver!$K$182)</f>
        <v>0.16244281419515061</v>
      </c>
      <c r="AN986" s="72">
        <f>(AZ986-Driver!$K$183)/(Driver!$L$183-Driver!$K$183)</f>
        <v>0.10196078431372547</v>
      </c>
      <c r="AO986" s="72"/>
      <c r="AP986" s="72"/>
      <c r="AQ986" s="72">
        <f>(BC986-Driver!$K$188)/(Driver!$L$188-Driver!$K$188)</f>
        <v>3.1191173589728029E-2</v>
      </c>
      <c r="AR986" s="72">
        <f>MIN((BD986-Driver!$K$189)/(Driver!$L$189-Driver!$K$189),100%)</f>
        <v>-9.4683659631816363E-3</v>
      </c>
      <c r="AS986" s="72">
        <f>(BE986-Driver!$K$190)/(Driver!$L$190-Driver!$K$190)</f>
        <v>8.9897239425068817E-2</v>
      </c>
      <c r="AT986" s="72">
        <f>(BF986-Driver!$K$191)/(Driver!$L$191-Driver!$K$191)</f>
        <v>4.8025830064433755E-2</v>
      </c>
      <c r="AU986" s="72">
        <f>(BG986-Driver!$K$192)/(Driver!$L$192-Driver!$K$192)</f>
        <v>0.29038718291054738</v>
      </c>
      <c r="AV986" s="70">
        <f t="shared" si="578"/>
        <v>1.6666666666666665</v>
      </c>
      <c r="AW986" s="70">
        <f t="shared" si="579"/>
        <v>13.754455123786542</v>
      </c>
      <c r="AX986" s="70">
        <f t="shared" si="580"/>
        <v>4.2629482071713145</v>
      </c>
      <c r="AY986" s="70">
        <f>IFERROR(Driver!$K$19/Data!BH986/Data!BI986*Data!BK986*Data!BL986,"")</f>
        <v>0.19887847283265156</v>
      </c>
      <c r="AZ986" s="70">
        <f t="shared" si="581"/>
        <v>9.2926284437825757</v>
      </c>
      <c r="BA986" s="70"/>
      <c r="BB986" s="70"/>
      <c r="BC986" s="70">
        <f t="shared" si="582"/>
        <v>16.179078578512843</v>
      </c>
      <c r="BD986" s="70">
        <f t="shared" si="583"/>
        <v>0.88288927330789435</v>
      </c>
      <c r="BE986" s="70">
        <f t="shared" si="584"/>
        <v>9.005959151391249E-2</v>
      </c>
      <c r="BF986" s="70">
        <f t="shared" si="585"/>
        <v>5.4241801052260499</v>
      </c>
      <c r="BG986" s="70">
        <f t="shared" si="586"/>
        <v>1.0995911214953271</v>
      </c>
      <c r="BH986" s="67">
        <f>MAX((CE986-Driver!$F$200)/(Driver!$G$200-Driver!$F$200)*$BI$1,1)</f>
        <v>4.2629482071713145</v>
      </c>
      <c r="BI986" s="67">
        <f>MAX($BI$1*(BY986-Driver!$F$201)/(Driver!$G$201-Driver!$F$201),1)</f>
        <v>6.5822784810126587</v>
      </c>
      <c r="BJ986" s="67">
        <f>(CB986-Driver!$F$206)/(Driver!$G$206-Driver!$F$206)*$BI$1</f>
        <v>6.6666666666666661</v>
      </c>
      <c r="BK986" s="67">
        <f>(CD986-Driver!$F$203)/(Driver!$G$203-Driver!$F$203)*$BI$1</f>
        <v>4.4954128440366974</v>
      </c>
      <c r="BL986" s="67">
        <f>MAX((CR986-Driver!$F$202)/(Driver!$G$202-Driver!$F$202)*$BI$1,1)</f>
        <v>6.2068965517241379</v>
      </c>
      <c r="BM986" s="67">
        <f>MAX((CH986-Driver!$F$204)/(Driver!$G$204-Driver!$F$204)*$BI$1,1)</f>
        <v>1</v>
      </c>
      <c r="BN986" s="67">
        <f>(CI986-Driver!$F$205)/(Driver!$G$205-Driver!$F$205)*$BI$1</f>
        <v>1.4117647058823528</v>
      </c>
      <c r="BO986" s="67">
        <f>(CK986-Driver!$F$207)/(Driver!$G$207-Driver!$F$207)*$BI$1</f>
        <v>1.7890382626680454</v>
      </c>
      <c r="BP986" s="67">
        <f>(CM986-Driver!$F$208)/(Driver!$G$208-Driver!$F$208)*$BI$1</f>
        <v>2.0444444444444447</v>
      </c>
      <c r="BQ986" s="67">
        <f>(CL986-Driver!$F$209)/(Driver!$G$209-Driver!$F$209)*$BI$1</f>
        <v>4.6875</v>
      </c>
      <c r="BR986" s="28" t="s">
        <v>155</v>
      </c>
      <c r="BS986" s="8" t="s">
        <v>237</v>
      </c>
      <c r="BT986" s="9" t="s">
        <v>665</v>
      </c>
      <c r="BU986" s="10">
        <v>160.1</v>
      </c>
      <c r="BV986" s="9" t="s">
        <v>163</v>
      </c>
      <c r="BW986" s="10">
        <v>160.1</v>
      </c>
      <c r="BX986" s="10">
        <v>158.9</v>
      </c>
      <c r="BY986" s="10">
        <v>112</v>
      </c>
      <c r="BZ986" s="10">
        <v>133</v>
      </c>
      <c r="CA986" s="10">
        <v>135</v>
      </c>
      <c r="CB986" s="10">
        <v>106</v>
      </c>
      <c r="CC986" s="10">
        <v>121</v>
      </c>
      <c r="CD986" s="10">
        <v>19.2</v>
      </c>
      <c r="CE986" s="10">
        <v>1649</v>
      </c>
      <c r="CF986" s="10">
        <v>1.1100000000000001</v>
      </c>
      <c r="CG986" s="10">
        <v>1831</v>
      </c>
      <c r="CH986" s="10">
        <v>121</v>
      </c>
      <c r="CI986" s="10">
        <v>57</v>
      </c>
      <c r="CJ986" s="10">
        <v>50</v>
      </c>
      <c r="CK986" s="10">
        <v>283</v>
      </c>
      <c r="CL986" s="10">
        <v>30</v>
      </c>
      <c r="CM986" s="10">
        <v>184</v>
      </c>
      <c r="CN986" s="10">
        <v>0.60399999999999998</v>
      </c>
      <c r="CO986" s="10">
        <v>155</v>
      </c>
      <c r="CP986" s="10">
        <v>100</v>
      </c>
      <c r="CQ986" s="10">
        <v>128</v>
      </c>
      <c r="CR986" s="10">
        <v>7</v>
      </c>
      <c r="CS986" s="10">
        <v>8.5</v>
      </c>
      <c r="CT986" s="9" t="s">
        <v>169</v>
      </c>
      <c r="CU986" s="9" t="s">
        <v>185</v>
      </c>
      <c r="CV986" s="10"/>
      <c r="CW986" s="10"/>
      <c r="CX986" t="str">
        <f>INDEX('Data_Price '!AG$2:AG$1266,MATCH(Data!$DN986,'Data_Price '!$AT$2:$AT$1266,0))</f>
        <v>Black Crows Atris Birdie Skis - Women's - 2022</v>
      </c>
      <c r="CY986" t="str">
        <f>INDEX('Data_Price '!AH$2:AH$1266,MATCH(Data!$DN986,'Data_Price '!$AT$2:$AT$1266,0))</f>
        <v>eBay - asogear</v>
      </c>
      <c r="CZ986">
        <f>INDEX('Data_Price '!AI$2:AI$1266,MATCH(Data!$DN986,'Data_Price '!$AT$2:$AT$1266,0))</f>
        <v>611.99</v>
      </c>
      <c r="DA986" t="str">
        <f>INDEX('Data_Price '!AJ$2:AJ$1266,MATCH(Data!$DN986,'Data_Price '!$AT$2:$AT$1266,0))</f>
        <v>https://tinyurl.com/yc24aq9f</v>
      </c>
      <c r="DB986" t="str">
        <f>INDEX('Data_Price '!AK$2:AK$1266,MATCH(Data!$DN986,'Data_Price '!$AT$2:$AT$1266,0))</f>
        <v>Black Crows Atris Birdie Skis - Women's - 2022</v>
      </c>
      <c r="DC986" t="str">
        <f>INDEX('Data_Price '!AL$2:AL$1266,MATCH(Data!$DN986,'Data_Price '!$AT$2:$AT$1266,0))</f>
        <v>! OutdoorXL.com</v>
      </c>
      <c r="DD986">
        <f>INDEX('Data_Price '!AM$2:AM$1266,MATCH(Data!$DN986,'Data_Price '!$AT$2:$AT$1266,0))</f>
        <v>649.95000000000005</v>
      </c>
      <c r="DE986" t="str">
        <f>INDEX('Data_Price '!AN$2:AN$1266,MATCH(Data!$DN986,'Data_Price '!$AT$2:$AT$1266,0))</f>
        <v>https://tinyurl.com/y7cqdh5u</v>
      </c>
      <c r="DF986" t="str">
        <f>INDEX('Data_Price '!AO$2:AO$1266,MATCH(Data!$DN986,'Data_Price '!$AT$2:$AT$1266,0))</f>
        <v>Black Crows Atris Birdie Skis - Women's - 2022</v>
      </c>
      <c r="DG986" t="str">
        <f>INDEX('Data_Price '!AP$2:AP$1266,MATCH(Data!$DN986,'Data_Price '!$AT$2:$AT$1266,0))</f>
        <v>Powder7 Ski Shop</v>
      </c>
      <c r="DH986">
        <f>INDEX('Data_Price '!AQ$2:AQ$1266,MATCH(Data!$DN986,'Data_Price '!$AT$2:$AT$1266,0))</f>
        <v>671.93</v>
      </c>
      <c r="DI986" t="str">
        <f>INDEX('Data_Price '!AR$2:AR$1266,MATCH(Data!$DN986,'Data_Price '!$AT$2:$AT$1266,0))</f>
        <v>https://tinyurl.com/y88vdc9t</v>
      </c>
      <c r="DJ986" s="89" t="str">
        <f t="shared" si="587"/>
        <v>https://tinyurl.com/yc24aq9f</v>
      </c>
      <c r="DK986" s="89" t="str">
        <f t="shared" si="588"/>
        <v>https://tinyurl.com/y7cqdh5u</v>
      </c>
      <c r="DL986" s="89" t="str">
        <f t="shared" si="589"/>
        <v>https://tinyurl.com/y88vdc9t</v>
      </c>
      <c r="DM986" s="219" t="str">
        <f t="shared" si="590"/>
        <v>Atris Birdie</v>
      </c>
      <c r="DN986" s="89" t="str">
        <f t="shared" si="591"/>
        <v xml:space="preserve"> Black CrowsAtris Birdie160.1 Women's</v>
      </c>
      <c r="DO986" s="221" t="s">
        <v>666</v>
      </c>
    </row>
    <row r="987" spans="2:119" ht="15.6" customHeight="1">
      <c r="B987" s="219" t="b">
        <f t="array" ref="B987">IF(OR(ISERROR(K987:P987)),FALSE,TRUE)</f>
        <v>1</v>
      </c>
      <c r="C987" s="43" t="b">
        <f>OR(BR987=Driver!$G$50,Data!BR1177=Driver!$H$50)</f>
        <v>1</v>
      </c>
      <c r="D987" s="43" t="b">
        <f>OR(BV987=Driver!$G$51,BV987=Driver!$H$51)</f>
        <v>0</v>
      </c>
      <c r="E987" s="43" t="b">
        <f>AND(BX987&gt;Driver!$F$54,BX987&lt;Driver!$G$54)</f>
        <v>1</v>
      </c>
      <c r="F987" s="43" t="b">
        <f>CL987&gt;Driver!$F$56</f>
        <v>1</v>
      </c>
      <c r="G987" s="43" t="b">
        <f>AND(CB987&gt;Driver!$F$55,CB987&lt;Driver!$G$55)</f>
        <v>0</v>
      </c>
      <c r="H987" s="43" t="b">
        <f t="shared" si="555"/>
        <v>0</v>
      </c>
      <c r="I987" s="43">
        <f t="shared" si="556"/>
        <v>0</v>
      </c>
      <c r="J987" s="43" t="b">
        <f t="array" ref="J987">NOT(OR(($H$9:$H$1273=TRUE)*($I$9:$I$1273&gt;0)*($BT$9:$BT$1273=BT987)*($K$9:$K$1273&gt;K987)))</f>
        <v>1</v>
      </c>
      <c r="K987" s="72">
        <f t="shared" si="557"/>
        <v>0.85775528185206118</v>
      </c>
      <c r="L987" s="72">
        <f t="shared" si="558"/>
        <v>0.89766198625351745</v>
      </c>
      <c r="M987" s="72">
        <f t="shared" si="559"/>
        <v>0.81784857745060491</v>
      </c>
      <c r="N987" s="72">
        <f t="shared" si="560"/>
        <v>0.89723573057578809</v>
      </c>
      <c r="O987" s="72">
        <f t="shared" si="561"/>
        <v>0.67037418230055712</v>
      </c>
      <c r="P987" s="72">
        <f t="shared" si="562"/>
        <v>0.88593581947546951</v>
      </c>
      <c r="Q987" s="72"/>
      <c r="R987" s="72"/>
      <c r="S987" s="72">
        <f t="shared" si="563"/>
        <v>0.40421950456651989</v>
      </c>
      <c r="T987" s="72">
        <f t="shared" si="564"/>
        <v>0.47169660944101421</v>
      </c>
      <c r="U987" s="72">
        <f t="shared" si="565"/>
        <v>0.52589552594171995</v>
      </c>
      <c r="V987" s="72">
        <f t="shared" si="566"/>
        <v>0.7434399032042831</v>
      </c>
      <c r="W987" s="72">
        <f t="shared" si="567"/>
        <v>0.86507014028056117</v>
      </c>
      <c r="X987" s="72">
        <f t="shared" si="568"/>
        <v>0.10233801374648258</v>
      </c>
      <c r="Y987" s="72">
        <f t="shared" si="569"/>
        <v>0.18215142254939512</v>
      </c>
      <c r="Z987" s="72">
        <f t="shared" si="570"/>
        <v>0.10276426942421195</v>
      </c>
      <c r="AA987" s="72">
        <f t="shared" si="571"/>
        <v>0.32962581769944288</v>
      </c>
      <c r="AB987" s="72">
        <f t="shared" si="572"/>
        <v>0.11406418052453052</v>
      </c>
      <c r="AC987" s="72"/>
      <c r="AD987" s="72"/>
      <c r="AE987" s="72">
        <f t="shared" si="573"/>
        <v>0.59578049543348011</v>
      </c>
      <c r="AF987" s="72">
        <f t="shared" si="574"/>
        <v>0.52830339055898579</v>
      </c>
      <c r="AG987" s="72">
        <f t="shared" si="575"/>
        <v>0.47410447405828005</v>
      </c>
      <c r="AH987" s="72">
        <f t="shared" si="576"/>
        <v>0.25656009679571684</v>
      </c>
      <c r="AI987" s="72">
        <f t="shared" si="577"/>
        <v>0.13492985971943888</v>
      </c>
      <c r="AJ987" s="72">
        <f>(AV987-Driver!$K$179)/(Driver!$L$179-Driver!$K$179)</f>
        <v>0.15188139553621785</v>
      </c>
      <c r="AK987" s="72">
        <f>(AW987-Driver!$K$180)/(Driver!$L$180-Driver!$K$180)</f>
        <v>0.14248051999858119</v>
      </c>
      <c r="AL987" s="72">
        <f>(AX987-Driver!$K$181)/(Driver!$L$181-Driver!$K$181)</f>
        <v>0.20445203313729213</v>
      </c>
      <c r="AM987" s="72">
        <f>(AY987-Driver!$K$182)/(Driver!$L$182-Driver!$K$182)</f>
        <v>0.11775920339760346</v>
      </c>
      <c r="AN987" s="72">
        <f>(AZ987-Driver!$K$183)/(Driver!$L$183-Driver!$K$183)</f>
        <v>0.14015522875816991</v>
      </c>
      <c r="AO987" s="72"/>
      <c r="AP987" s="72"/>
      <c r="AQ987" s="72">
        <f>(BC987-Driver!$K$188)/(Driver!$L$188-Driver!$K$188)</f>
        <v>2.4219504566519931E-2</v>
      </c>
      <c r="AR987" s="72">
        <f>MIN((BD987-Driver!$K$189)/(Driver!$L$189-Driver!$K$189),100%)</f>
        <v>2.1696609441014262E-2</v>
      </c>
      <c r="AS987" s="72">
        <f>(BE987-Driver!$K$190)/(Driver!$L$190-Driver!$K$190)</f>
        <v>3.589552594171995E-2</v>
      </c>
      <c r="AT987" s="72">
        <f>(BF987-Driver!$K$191)/(Driver!$L$191-Driver!$K$191)</f>
        <v>0.25343990320428317</v>
      </c>
      <c r="AU987" s="72">
        <f>(BG987-Driver!$K$192)/(Driver!$L$192-Driver!$K$192)</f>
        <v>0.1150701402805611</v>
      </c>
      <c r="AV987" s="70">
        <f t="shared" si="578"/>
        <v>3.1966490299823631</v>
      </c>
      <c r="AW987" s="70">
        <f t="shared" si="579"/>
        <v>15.757881801159826</v>
      </c>
      <c r="AX987" s="70">
        <f t="shared" si="580"/>
        <v>2.8400682982356291</v>
      </c>
      <c r="AY987" s="70">
        <f>IFERROR(Driver!$K$19/Data!BH987/Data!BI987*Data!BK987*Data!BL987,"")</f>
        <v>0.14417240091377409</v>
      </c>
      <c r="AZ987" s="70">
        <f t="shared" si="581"/>
        <v>12.773641102010423</v>
      </c>
      <c r="BA987" s="70"/>
      <c r="BB987" s="70"/>
      <c r="BC987" s="70">
        <f t="shared" si="582"/>
        <v>12.56282538991805</v>
      </c>
      <c r="BD987" s="70">
        <f t="shared" si="583"/>
        <v>3.6409343755104175</v>
      </c>
      <c r="BE987" s="70">
        <f t="shared" si="584"/>
        <v>3.6067511328433867E-2</v>
      </c>
      <c r="BF987" s="70">
        <f t="shared" si="585"/>
        <v>28.624256550833589</v>
      </c>
      <c r="BG987" s="70">
        <f t="shared" si="586"/>
        <v>0.43572895791583161</v>
      </c>
      <c r="BH987" s="67">
        <f>MAX((CE987-Driver!$F$200)/(Driver!$G$200-Driver!$F$200)*$BI$1,1)</f>
        <v>2.8400682982356291</v>
      </c>
      <c r="BI987" s="67">
        <f>MAX($BI$1*(BY987-Driver!$F$201)/(Driver!$G$201-Driver!$F$201),1)</f>
        <v>4.6202531645569618</v>
      </c>
      <c r="BJ987" s="67">
        <f>(CB987-Driver!$F$206)/(Driver!$G$206-Driver!$F$206)*$BI$1</f>
        <v>4.6031746031746028</v>
      </c>
      <c r="BK987" s="67">
        <f>(CD987-Driver!$F$203)/(Driver!$G$203-Driver!$F$203)*$BI$1</f>
        <v>2.1100917431192663</v>
      </c>
      <c r="BL987" s="67">
        <f>MAX((CR987-Driver!$F$202)/(Driver!$G$202-Driver!$F$202)*$BI$1,1)</f>
        <v>4.4827586206896548</v>
      </c>
      <c r="BM987" s="67">
        <f>MAX((CH987-Driver!$F$204)/(Driver!$G$204-Driver!$F$204)*$BI$1,1)</f>
        <v>2.7777777777777777</v>
      </c>
      <c r="BN987" s="67">
        <f>(CI987-Driver!$F$205)/(Driver!$G$205-Driver!$F$205)*$BI$1</f>
        <v>2.7647058823529411</v>
      </c>
      <c r="BO987" s="67">
        <f>(CK987-Driver!$F$207)/(Driver!$G$207-Driver!$F$207)*$BI$1</f>
        <v>3.5677352637021715</v>
      </c>
      <c r="BP987" s="67">
        <f>(CM987-Driver!$F$208)/(Driver!$G$208-Driver!$F$208)*$BI$1</f>
        <v>3.6777777777777776</v>
      </c>
      <c r="BQ987" s="67">
        <f>(CL987-Driver!$F$209)/(Driver!$G$209-Driver!$F$209)*$BI$1</f>
        <v>3.4375</v>
      </c>
      <c r="BR987" s="28" t="s">
        <v>155</v>
      </c>
      <c r="BS987" s="8" t="s">
        <v>229</v>
      </c>
      <c r="BT987" s="9" t="s">
        <v>778</v>
      </c>
      <c r="BU987" s="10">
        <v>158</v>
      </c>
      <c r="BV987" s="9" t="s">
        <v>163</v>
      </c>
      <c r="BW987" s="10">
        <v>158</v>
      </c>
      <c r="BX987" s="10">
        <v>159.69999999999999</v>
      </c>
      <c r="BY987" s="10">
        <v>81</v>
      </c>
      <c r="BZ987" s="10">
        <v>136</v>
      </c>
      <c r="CA987" s="10">
        <v>133</v>
      </c>
      <c r="CB987" s="10">
        <v>93</v>
      </c>
      <c r="CC987" s="10">
        <v>115</v>
      </c>
      <c r="CD987" s="10">
        <v>14</v>
      </c>
      <c r="CE987" s="10">
        <v>1399</v>
      </c>
      <c r="CF987" s="10">
        <v>1.21</v>
      </c>
      <c r="CG987" s="10">
        <v>1689</v>
      </c>
      <c r="CH987" s="10">
        <v>166</v>
      </c>
      <c r="CI987" s="10">
        <v>80</v>
      </c>
      <c r="CJ987" s="10">
        <v>51</v>
      </c>
      <c r="CK987" s="10">
        <v>455</v>
      </c>
      <c r="CL987" s="10">
        <v>22</v>
      </c>
      <c r="CM987" s="10">
        <v>331</v>
      </c>
      <c r="CN987" s="10">
        <v>0.43099999999999999</v>
      </c>
      <c r="CO987" s="10">
        <v>137</v>
      </c>
      <c r="CP987" s="10">
        <v>103</v>
      </c>
      <c r="CQ987" s="10">
        <v>318</v>
      </c>
      <c r="CR987" s="10">
        <v>2</v>
      </c>
      <c r="CS987" s="10">
        <v>11.5</v>
      </c>
      <c r="CT987" s="9" t="s">
        <v>188</v>
      </c>
      <c r="CU987" s="9" t="s">
        <v>185</v>
      </c>
      <c r="CV987" s="10"/>
      <c r="CW987" s="10"/>
      <c r="CX987" t="e">
        <f>INDEX('Data_Price '!AG$2:AG$1266,MATCH(Data!$DN987,'Data_Price '!$AT$2:$AT$1266,0))</f>
        <v>#N/A</v>
      </c>
      <c r="CY987" t="e">
        <f>INDEX('Data_Price '!AH$2:AH$1266,MATCH(Data!$DN987,'Data_Price '!$AT$2:$AT$1266,0))</f>
        <v>#N/A</v>
      </c>
      <c r="CZ987" t="e">
        <f>INDEX('Data_Price '!AI$2:AI$1266,MATCH(Data!$DN987,'Data_Price '!$AT$2:$AT$1266,0))</f>
        <v>#N/A</v>
      </c>
      <c r="DA987" t="e">
        <f>INDEX('Data_Price '!AJ$2:AJ$1266,MATCH(Data!$DN987,'Data_Price '!$AT$2:$AT$1266,0))</f>
        <v>#N/A</v>
      </c>
      <c r="DB987" t="e">
        <f>INDEX('Data_Price '!AK$2:AK$1266,MATCH(Data!$DN987,'Data_Price '!$AT$2:$AT$1266,0))</f>
        <v>#N/A</v>
      </c>
      <c r="DC987" t="e">
        <f>INDEX('Data_Price '!AL$2:AL$1266,MATCH(Data!$DN987,'Data_Price '!$AT$2:$AT$1266,0))</f>
        <v>#N/A</v>
      </c>
      <c r="DD987" t="e">
        <f>INDEX('Data_Price '!AM$2:AM$1266,MATCH(Data!$DN987,'Data_Price '!$AT$2:$AT$1266,0))</f>
        <v>#N/A</v>
      </c>
      <c r="DE987" t="e">
        <f>INDEX('Data_Price '!AN$2:AN$1266,MATCH(Data!$DN987,'Data_Price '!$AT$2:$AT$1266,0))</f>
        <v>#N/A</v>
      </c>
      <c r="DF987" t="e">
        <f>INDEX('Data_Price '!AO$2:AO$1266,MATCH(Data!$DN987,'Data_Price '!$AT$2:$AT$1266,0))</f>
        <v>#N/A</v>
      </c>
      <c r="DG987" t="e">
        <f>INDEX('Data_Price '!AP$2:AP$1266,MATCH(Data!$DN987,'Data_Price '!$AT$2:$AT$1266,0))</f>
        <v>#N/A</v>
      </c>
      <c r="DH987" t="e">
        <f>INDEX('Data_Price '!AQ$2:AQ$1266,MATCH(Data!$DN987,'Data_Price '!$AT$2:$AT$1266,0))</f>
        <v>#N/A</v>
      </c>
      <c r="DI987" t="e">
        <f>INDEX('Data_Price '!AR$2:AR$1266,MATCH(Data!$DN987,'Data_Price '!$AT$2:$AT$1266,0))</f>
        <v>#N/A</v>
      </c>
      <c r="DJ987" s="89" t="e">
        <f t="shared" si="587"/>
        <v>#N/A</v>
      </c>
      <c r="DK987" s="89" t="e">
        <f t="shared" si="588"/>
        <v>#N/A</v>
      </c>
      <c r="DL987" s="89" t="e">
        <f t="shared" si="589"/>
        <v>#N/A</v>
      </c>
      <c r="DM987" s="219" t="str">
        <f t="shared" si="590"/>
        <v>Blaze 94 W</v>
      </c>
      <c r="DN987" s="89" t="str">
        <f t="shared" si="591"/>
        <v xml:space="preserve"> VölklBlaze 94 W158 Women's</v>
      </c>
      <c r="DO987" s="221" t="s">
        <v>779</v>
      </c>
    </row>
    <row r="988" spans="2:119" ht="15.6" customHeight="1">
      <c r="B988" s="219" t="b">
        <f t="array" ref="B988">IF(OR(ISERROR(K988:P988)),FALSE,TRUE)</f>
        <v>1</v>
      </c>
      <c r="C988" s="43" t="b">
        <f>OR(BR988=Driver!$G$50,Data!BR137=Driver!$H$50)</f>
        <v>1</v>
      </c>
      <c r="D988" s="43" t="b">
        <f>OR(BV988=Driver!$G$51,BV988=Driver!$H$51)</f>
        <v>1</v>
      </c>
      <c r="E988" s="43" t="b">
        <f>AND(BX988&gt;Driver!$F$54,BX988&lt;Driver!$G$54)</f>
        <v>0</v>
      </c>
      <c r="F988" s="43" t="b">
        <f>CL988&gt;Driver!$F$56</f>
        <v>1</v>
      </c>
      <c r="G988" s="43" t="b">
        <f>AND(CB988&gt;Driver!$F$55,CB988&lt;Driver!$G$55)</f>
        <v>0</v>
      </c>
      <c r="H988" s="43" t="b">
        <f t="shared" si="555"/>
        <v>0</v>
      </c>
      <c r="I988" s="43">
        <f t="shared" si="556"/>
        <v>0</v>
      </c>
      <c r="J988" s="43" t="b">
        <f t="array" ref="J988">NOT(OR(($H$9:$H$1273=TRUE)*($I$9:$I$1273&gt;0)*($BT$9:$BT$1273=BT988)*($K$9:$K$1273&gt;K988)))</f>
        <v>1</v>
      </c>
      <c r="K988" s="72">
        <f t="shared" si="557"/>
        <v>0.59237390115686406</v>
      </c>
      <c r="L988" s="72">
        <f t="shared" si="558"/>
        <v>0.48312924732959428</v>
      </c>
      <c r="M988" s="72">
        <f t="shared" si="559"/>
        <v>0.70161855498413384</v>
      </c>
      <c r="N988" s="72">
        <f t="shared" si="560"/>
        <v>0.53614042924144301</v>
      </c>
      <c r="O988" s="72">
        <f t="shared" si="561"/>
        <v>0.6729108591079962</v>
      </c>
      <c r="P988" s="72">
        <f t="shared" si="562"/>
        <v>0.89580437660296197</v>
      </c>
      <c r="Q988" s="72"/>
      <c r="R988" s="72"/>
      <c r="S988" s="72">
        <f t="shared" si="563"/>
        <v>0.49732302053516531</v>
      </c>
      <c r="T988" s="72">
        <f t="shared" si="564"/>
        <v>0.4893023154648144</v>
      </c>
      <c r="U988" s="72">
        <f t="shared" si="565"/>
        <v>0.50538852604378848</v>
      </c>
      <c r="V988" s="72">
        <f t="shared" si="566"/>
        <v>0.642882426868849</v>
      </c>
      <c r="W988" s="72">
        <f t="shared" si="567"/>
        <v>0.78827102803738325</v>
      </c>
      <c r="X988" s="72">
        <f t="shared" si="568"/>
        <v>0.51687075267040572</v>
      </c>
      <c r="Y988" s="72">
        <f t="shared" si="569"/>
        <v>0.29838144501586622</v>
      </c>
      <c r="Z988" s="72">
        <f t="shared" si="570"/>
        <v>0.46385957075855699</v>
      </c>
      <c r="AA988" s="72">
        <f t="shared" si="571"/>
        <v>0.32708914089200375</v>
      </c>
      <c r="AB988" s="72">
        <f t="shared" si="572"/>
        <v>0.10419562339703808</v>
      </c>
      <c r="AC988" s="72"/>
      <c r="AD988" s="72"/>
      <c r="AE988" s="72">
        <f t="shared" si="573"/>
        <v>0.50267697946483469</v>
      </c>
      <c r="AF988" s="72">
        <f t="shared" si="574"/>
        <v>0.5106976845351856</v>
      </c>
      <c r="AG988" s="72">
        <f t="shared" si="575"/>
        <v>0.49461147395621152</v>
      </c>
      <c r="AH988" s="72">
        <f t="shared" si="576"/>
        <v>0.357117573131151</v>
      </c>
      <c r="AI988" s="72">
        <f t="shared" si="577"/>
        <v>0.21172897196261681</v>
      </c>
      <c r="AJ988" s="72">
        <f>(AV988-Driver!$K$179)/(Driver!$L$179-Driver!$K$179)</f>
        <v>0.77109016195310609</v>
      </c>
      <c r="AK988" s="72">
        <f>(AW988-Driver!$K$180)/(Driver!$L$180-Driver!$K$180)</f>
        <v>0.37996529982972976</v>
      </c>
      <c r="AL988" s="72">
        <f>(AX988-Driver!$K$181)/(Driver!$L$181-Driver!$K$181)</f>
        <v>0.56554733447163719</v>
      </c>
      <c r="AM988" s="72">
        <f>(AY988-Driver!$K$182)/(Driver!$L$182-Driver!$K$182)</f>
        <v>0.1202958802050426</v>
      </c>
      <c r="AN988" s="72">
        <f>(AZ988-Driver!$K$183)/(Driver!$L$183-Driver!$K$183)</f>
        <v>0.35841503267973851</v>
      </c>
      <c r="AO988" s="72"/>
      <c r="AP988" s="72"/>
      <c r="AQ988" s="72">
        <f>(BC988-Driver!$K$188)/(Driver!$L$188-Driver!$K$188)</f>
        <v>0.11732302053516531</v>
      </c>
      <c r="AR988" s="72">
        <f>MIN((BD988-Driver!$K$189)/(Driver!$L$189-Driver!$K$189),100%)</f>
        <v>3.93023154648144E-2</v>
      </c>
      <c r="AS988" s="72">
        <f>(BE988-Driver!$K$190)/(Driver!$L$190-Driver!$K$190)</f>
        <v>1.5388526043788467E-2</v>
      </c>
      <c r="AT988" s="72">
        <f>(BF988-Driver!$K$191)/(Driver!$L$191-Driver!$K$191)</f>
        <v>0.15288242686884901</v>
      </c>
      <c r="AU988" s="72">
        <f>(BG988-Driver!$K$192)/(Driver!$L$192-Driver!$K$192)</f>
        <v>3.8271028037383178E-2</v>
      </c>
      <c r="AV988" s="70">
        <f t="shared" si="578"/>
        <v>16.229141229141231</v>
      </c>
      <c r="AW988" s="70">
        <f t="shared" si="579"/>
        <v>38.902877924924624</v>
      </c>
      <c r="AX988" s="70">
        <f t="shared" si="580"/>
        <v>6.089926010244735</v>
      </c>
      <c r="AY988" s="70">
        <f>IFERROR(Driver!$K$19/Data!BH988/Data!BI988*Data!BK988*Data!BL988,"")</f>
        <v>0.14727805019738865</v>
      </c>
      <c r="AZ988" s="70">
        <f t="shared" si="581"/>
        <v>32.6656738644825</v>
      </c>
      <c r="BA988" s="70"/>
      <c r="BB988" s="70"/>
      <c r="BC988" s="70">
        <f t="shared" si="582"/>
        <v>60.856266367996788</v>
      </c>
      <c r="BD988" s="70">
        <f t="shared" si="583"/>
        <v>5.1990081631515883</v>
      </c>
      <c r="BE988" s="70">
        <f t="shared" si="584"/>
        <v>1.556416964846806E-2</v>
      </c>
      <c r="BF988" s="70">
        <f t="shared" si="585"/>
        <v>17.266996055000192</v>
      </c>
      <c r="BG988" s="70">
        <f t="shared" si="586"/>
        <v>0.14491852642603933</v>
      </c>
      <c r="BH988" s="67">
        <f>MAX((CE988-Driver!$F$200)/(Driver!$G$200-Driver!$F$200)*$BI$1,1)</f>
        <v>6.089926010244735</v>
      </c>
      <c r="BI988" s="67">
        <f>MAX($BI$1*(BY988-Driver!$F$201)/(Driver!$G$201-Driver!$F$201),1)</f>
        <v>6.7721518987341769</v>
      </c>
      <c r="BJ988" s="67">
        <f>(CB988-Driver!$F$206)/(Driver!$G$206-Driver!$F$206)*$BI$1</f>
        <v>8.7301587301587311</v>
      </c>
      <c r="BK988" s="67">
        <f>(CD988-Driver!$F$203)/(Driver!$G$203-Driver!$F$203)*$BI$1</f>
        <v>5.5045871559633035</v>
      </c>
      <c r="BL988" s="67">
        <f>MAX((CR988-Driver!$F$202)/(Driver!$G$202-Driver!$F$202)*$BI$1,1)</f>
        <v>5.5172413793103452</v>
      </c>
      <c r="BM988" s="67">
        <f>MAX((CH988-Driver!$F$204)/(Driver!$G$204-Driver!$F$204)*$BI$1,1)</f>
        <v>7.4358974358974361</v>
      </c>
      <c r="BN988" s="67">
        <f>(CI988-Driver!$F$205)/(Driver!$G$205-Driver!$F$205)*$BI$1</f>
        <v>4.8235294117647056</v>
      </c>
      <c r="BO988" s="67">
        <f>(CK988-Driver!$F$207)/(Driver!$G$207-Driver!$F$207)*$BI$1</f>
        <v>2.9782833505687694</v>
      </c>
      <c r="BP988" s="67">
        <f>(CM988-Driver!$F$208)/(Driver!$G$208-Driver!$F$208)*$BI$1</f>
        <v>3.6555555555555559</v>
      </c>
      <c r="BQ988" s="67">
        <f>(CL988-Driver!$F$209)/(Driver!$G$209-Driver!$F$209)*$BI$1</f>
        <v>6.5625</v>
      </c>
      <c r="BR988" s="28" t="s">
        <v>155</v>
      </c>
      <c r="BS988" s="8" t="s">
        <v>156</v>
      </c>
      <c r="BT988" s="9" t="s">
        <v>696</v>
      </c>
      <c r="BU988" s="10">
        <v>192</v>
      </c>
      <c r="BV988" s="9" t="s">
        <v>158</v>
      </c>
      <c r="BW988" s="10">
        <v>192</v>
      </c>
      <c r="BX988" s="10">
        <v>188.1</v>
      </c>
      <c r="BY988" s="10">
        <v>115</v>
      </c>
      <c r="BZ988" s="10">
        <v>143</v>
      </c>
      <c r="CA988" s="10">
        <v>143</v>
      </c>
      <c r="CB988" s="10">
        <v>119</v>
      </c>
      <c r="CC988" s="10">
        <v>134</v>
      </c>
      <c r="CD988" s="10">
        <v>21.4</v>
      </c>
      <c r="CE988" s="10">
        <v>1970</v>
      </c>
      <c r="CF988" s="10">
        <v>1.19</v>
      </c>
      <c r="CG988" s="10">
        <v>2341</v>
      </c>
      <c r="CH988" s="10">
        <v>275</v>
      </c>
      <c r="CI988" s="10">
        <v>115</v>
      </c>
      <c r="CJ988" s="10">
        <v>56</v>
      </c>
      <c r="CK988" s="10">
        <v>398</v>
      </c>
      <c r="CL988" s="10">
        <v>42</v>
      </c>
      <c r="CM988" s="10">
        <v>329</v>
      </c>
      <c r="CN988" s="10">
        <v>0.76200000000000001</v>
      </c>
      <c r="CO988" s="10">
        <v>204</v>
      </c>
      <c r="CP988" s="10">
        <v>252</v>
      </c>
      <c r="CQ988" s="10">
        <v>194</v>
      </c>
      <c r="CR988" s="10">
        <v>5</v>
      </c>
      <c r="CS988" s="10">
        <v>6.5</v>
      </c>
      <c r="CT988" s="9" t="s">
        <v>169</v>
      </c>
      <c r="CU988" s="9" t="s">
        <v>185</v>
      </c>
      <c r="CV988" s="10"/>
      <c r="CW988" s="10"/>
      <c r="CX988" t="str">
        <f>INDEX('Data_Price '!AG$2:AG$1266,MATCH(Data!$DN988,'Data_Price '!$AT$2:$AT$1266,0))</f>
        <v>Atomic Bent Chetler 120 Multicolor / 192cm</v>
      </c>
      <c r="CY988" t="str">
        <f>INDEX('Data_Price '!AH$2:AH$1266,MATCH(Data!$DN988,'Data_Price '!$AT$2:$AT$1266,0))</f>
        <v>Sundance Ski and Board Shop</v>
      </c>
      <c r="CZ988">
        <f>INDEX('Data_Price '!AI$2:AI$1266,MATCH(Data!$DN988,'Data_Price '!$AT$2:$AT$1266,0))</f>
        <v>681.22</v>
      </c>
      <c r="DA988" t="str">
        <f>INDEX('Data_Price '!AJ$2:AJ$1266,MATCH(Data!$DN988,'Data_Price '!$AT$2:$AT$1266,0))</f>
        <v>https://tinyurl.com/y7elsdah</v>
      </c>
      <c r="DB988" t="str">
        <f>INDEX('Data_Price '!AK$2:AK$1266,MATCH(Data!$DN988,'Data_Price '!$AT$2:$AT$1266,0))</f>
        <v>Atomic Bent Chetler 120 Skis 2023</v>
      </c>
      <c r="DC988" t="str">
        <f>INDEX('Data_Price '!AL$2:AL$1266,MATCH(Data!$DN988,'Data_Price '!$AT$2:$AT$1266,0))</f>
        <v>Telemark Pyrenees</v>
      </c>
      <c r="DD988">
        <f>INDEX('Data_Price '!AM$2:AM$1266,MATCH(Data!$DN988,'Data_Price '!$AT$2:$AT$1266,0))</f>
        <v>686.7</v>
      </c>
      <c r="DE988" t="str">
        <f>INDEX('Data_Price '!AN$2:AN$1266,MATCH(Data!$DN988,'Data_Price '!$AT$2:$AT$1266,0))</f>
        <v>https://tinyurl.com/y7fv9vhw</v>
      </c>
      <c r="DF988" t="str">
        <f>INDEX('Data_Price '!AO$2:AO$1266,MATCH(Data!$DN988,'Data_Price '!$AT$2:$AT$1266,0))</f>
        <v>Atomic Bent Chetler 120 Skis 2023</v>
      </c>
      <c r="DG988" t="str">
        <f>INDEX('Data_Price '!AP$2:AP$1266,MATCH(Data!$DN988,'Data_Price '!$AT$2:$AT$1266,0))</f>
        <v>Blue Tomato</v>
      </c>
      <c r="DH988">
        <f>INDEX('Data_Price '!AQ$2:AQ$1266,MATCH(Data!$DN988,'Data_Price '!$AT$2:$AT$1266,0))</f>
        <v>692.77</v>
      </c>
      <c r="DI988" t="str">
        <f>INDEX('Data_Price '!AR$2:AR$1266,MATCH(Data!$DN988,'Data_Price '!$AT$2:$AT$1266,0))</f>
        <v>https://tinyurl.com/y732te9e</v>
      </c>
      <c r="DJ988" s="89" t="str">
        <f t="shared" si="587"/>
        <v>https://tinyurl.com/y7elsdah</v>
      </c>
      <c r="DK988" s="89" t="str">
        <f t="shared" si="588"/>
        <v>https://tinyurl.com/y7fv9vhw</v>
      </c>
      <c r="DL988" s="89" t="str">
        <f t="shared" si="589"/>
        <v>https://tinyurl.com/y732te9e</v>
      </c>
      <c r="DM988" s="219" t="str">
        <f t="shared" si="590"/>
        <v>Bent Chetler 120</v>
      </c>
      <c r="DN988" s="89" t="str">
        <f t="shared" si="591"/>
        <v xml:space="preserve"> AtomicBent Chetler 120192 Unisex</v>
      </c>
      <c r="DO988" s="221" t="s">
        <v>697</v>
      </c>
    </row>
    <row r="989" spans="2:119" ht="15.6" customHeight="1">
      <c r="B989" s="219" t="b">
        <f t="array" ref="B989">IF(OR(ISERROR(K989:P989)),FALSE,TRUE)</f>
        <v>1</v>
      </c>
      <c r="C989" s="43" t="b">
        <f>OR(BR989=Driver!$G$50,Data!BR130=Driver!$H$50)</f>
        <v>1</v>
      </c>
      <c r="D989" s="43" t="b">
        <f>OR(BV989=Driver!$G$51,BV989=Driver!$H$51)</f>
        <v>1</v>
      </c>
      <c r="E989" s="43" t="b">
        <f>AND(BX989&gt;Driver!$F$54,BX989&lt;Driver!$G$54)</f>
        <v>1</v>
      </c>
      <c r="F989" s="43" t="b">
        <f>CL989&gt;Driver!$F$56</f>
        <v>1</v>
      </c>
      <c r="G989" s="43" t="b">
        <f>AND(CB989&gt;Driver!$F$55,CB989&lt;Driver!$G$55)</f>
        <v>0</v>
      </c>
      <c r="H989" s="43" t="b">
        <f t="shared" si="555"/>
        <v>0</v>
      </c>
      <c r="I989" s="43">
        <f t="shared" si="556"/>
        <v>0</v>
      </c>
      <c r="J989" s="43" t="b">
        <f t="array" ref="J989">NOT(OR(($H$9:$H$1273=TRUE)*($I$9:$I$1273&gt;0)*($BT$9:$BT$1273=BT989)*($K$9:$K$1273&gt;K989)))</f>
        <v>1</v>
      </c>
      <c r="K989" s="72">
        <f t="shared" si="557"/>
        <v>0.88169562805061708</v>
      </c>
      <c r="L989" s="72">
        <f t="shared" si="558"/>
        <v>0.88936289673615376</v>
      </c>
      <c r="M989" s="72">
        <f t="shared" si="559"/>
        <v>0.87402835936508039</v>
      </c>
      <c r="N989" s="72">
        <f t="shared" si="560"/>
        <v>0.94656367497660554</v>
      </c>
      <c r="O989" s="72">
        <f t="shared" si="561"/>
        <v>0.77140747906800278</v>
      </c>
      <c r="P989" s="72">
        <f t="shared" si="562"/>
        <v>0.90411392405063284</v>
      </c>
      <c r="Q989" s="72"/>
      <c r="R989" s="72"/>
      <c r="S989" s="72">
        <f t="shared" si="563"/>
        <v>0.41122486214223863</v>
      </c>
      <c r="T989" s="72">
        <f t="shared" si="564"/>
        <v>0.44397357575172902</v>
      </c>
      <c r="U989" s="72">
        <f t="shared" si="565"/>
        <v>0.80435192912699238</v>
      </c>
      <c r="V989" s="72">
        <f t="shared" si="566"/>
        <v>0.58187964999486164</v>
      </c>
      <c r="W989" s="72">
        <f t="shared" si="567"/>
        <v>0.97440476190476188</v>
      </c>
      <c r="X989" s="72">
        <f t="shared" si="568"/>
        <v>0.11063710326384618</v>
      </c>
      <c r="Y989" s="72">
        <f t="shared" si="569"/>
        <v>0.12597164063491958</v>
      </c>
      <c r="Z989" s="72">
        <f t="shared" si="570"/>
        <v>5.3436325023394474E-2</v>
      </c>
      <c r="AA989" s="72">
        <f t="shared" si="571"/>
        <v>0.2285925209319972</v>
      </c>
      <c r="AB989" s="72">
        <f t="shared" si="572"/>
        <v>9.58860759493671E-2</v>
      </c>
      <c r="AC989" s="72"/>
      <c r="AD989" s="72"/>
      <c r="AE989" s="72">
        <f t="shared" si="573"/>
        <v>0.58877513785776137</v>
      </c>
      <c r="AF989" s="72">
        <f t="shared" si="574"/>
        <v>0.55602642424827098</v>
      </c>
      <c r="AG989" s="72">
        <f t="shared" si="575"/>
        <v>0.19564807087300762</v>
      </c>
      <c r="AH989" s="72">
        <f t="shared" si="576"/>
        <v>0.41812035000513836</v>
      </c>
      <c r="AI989" s="72">
        <f t="shared" si="577"/>
        <v>2.5595238095238143E-2</v>
      </c>
      <c r="AJ989" s="72">
        <f>(AV989-Driver!$K$179)/(Driver!$L$179-Driver!$K$179)</f>
        <v>0.14358230601885424</v>
      </c>
      <c r="AK989" s="72">
        <f>(AW989-Driver!$K$180)/(Driver!$L$180-Driver!$K$180)</f>
        <v>0.14632448238436307</v>
      </c>
      <c r="AL989" s="72">
        <f>(AX989-Driver!$K$181)/(Driver!$L$181-Driver!$K$181)</f>
        <v>4.8251438689685705E-2</v>
      </c>
      <c r="AM989" s="72">
        <f>(AY989-Driver!$K$182)/(Driver!$L$182-Driver!$K$182)</f>
        <v>0.21879250016504917</v>
      </c>
      <c r="AN989" s="72">
        <f>(AZ989-Driver!$K$183)/(Driver!$L$183-Driver!$K$183)</f>
        <v>0.15833333333333333</v>
      </c>
      <c r="AO989" s="72"/>
      <c r="AP989" s="72"/>
      <c r="AQ989" s="72">
        <f>(BC989-Driver!$K$188)/(Driver!$L$188-Driver!$K$188)</f>
        <v>3.1224862142238657E-2</v>
      </c>
      <c r="AR989" s="72">
        <f>MIN((BD989-Driver!$K$189)/(Driver!$L$189-Driver!$K$189),100%)</f>
        <v>-6.0264242482709176E-3</v>
      </c>
      <c r="AS989" s="72">
        <f>(BE989-Driver!$K$190)/(Driver!$L$190-Driver!$K$190)</f>
        <v>0.31435192912699239</v>
      </c>
      <c r="AT989" s="72">
        <f>(BF989-Driver!$K$191)/(Driver!$L$191-Driver!$K$191)</f>
        <v>9.1879649994861631E-2</v>
      </c>
      <c r="AU989" s="72">
        <f>(BG989-Driver!$K$192)/(Driver!$L$192-Driver!$K$192)</f>
        <v>0.22440476190476186</v>
      </c>
      <c r="AV989" s="70">
        <f t="shared" si="578"/>
        <v>3.0219780219780223</v>
      </c>
      <c r="AW989" s="70">
        <f t="shared" si="579"/>
        <v>16.132509996625977</v>
      </c>
      <c r="AX989" s="70">
        <f t="shared" si="580"/>
        <v>1.4342629482071714</v>
      </c>
      <c r="AY989" s="70">
        <f>IFERROR(Driver!$K$19/Data!BH989/Data!BI989*Data!BK989*Data!BL989,"")</f>
        <v>0.26786730158336319</v>
      </c>
      <c r="AZ989" s="70">
        <f t="shared" si="581"/>
        <v>14.430379746835444</v>
      </c>
      <c r="BA989" s="70"/>
      <c r="BB989" s="70"/>
      <c r="BC989" s="70">
        <f t="shared" si="582"/>
        <v>16.196553064899124</v>
      </c>
      <c r="BD989" s="70">
        <f t="shared" si="583"/>
        <v>1.1874950163176567</v>
      </c>
      <c r="BE989" s="70">
        <f t="shared" si="584"/>
        <v>0.31447424102553839</v>
      </c>
      <c r="BF989" s="70">
        <f t="shared" si="585"/>
        <v>10.377160975846159</v>
      </c>
      <c r="BG989" s="70">
        <f t="shared" si="586"/>
        <v>0.84973958333333321</v>
      </c>
      <c r="BH989" s="67">
        <f>MAX((CE989-Driver!$F$200)/(Driver!$G$200-Driver!$F$200)*$BI$1,1)</f>
        <v>1.4342629482071714</v>
      </c>
      <c r="BI989" s="67">
        <f>MAX($BI$1*(BY989-Driver!$F$201)/(Driver!$G$201-Driver!$F$201),1)</f>
        <v>6.4556962025316453</v>
      </c>
      <c r="BJ989" s="67">
        <f>(CB989-Driver!$F$206)/(Driver!$G$206-Driver!$F$206)*$BI$1</f>
        <v>5.2380952380952381</v>
      </c>
      <c r="BK989" s="67">
        <f>(CD989-Driver!$F$203)/(Driver!$G$203-Driver!$F$203)*$BI$1</f>
        <v>2.5688073394495414</v>
      </c>
      <c r="BL989" s="67">
        <f>MAX((CR989-Driver!$F$202)/(Driver!$G$202-Driver!$F$202)*$BI$1,1)</f>
        <v>4.8275862068965516</v>
      </c>
      <c r="BM989" s="67">
        <f>MAX((CH989-Driver!$F$204)/(Driver!$G$204-Driver!$F$204)*$BI$1,1)</f>
        <v>2.3076923076923079</v>
      </c>
      <c r="BN989" s="67">
        <f>(CI989-Driver!$F$205)/(Driver!$G$205-Driver!$F$205)*$BI$1</f>
        <v>2.2352941176470589</v>
      </c>
      <c r="BO989" s="67">
        <f>(CK989-Driver!$F$207)/(Driver!$G$207-Driver!$F$207)*$BI$1</f>
        <v>2.1302998965873838</v>
      </c>
      <c r="BP989" s="67">
        <f>(CM989-Driver!$F$208)/(Driver!$G$208-Driver!$F$208)*$BI$1</f>
        <v>2.3888888888888888</v>
      </c>
      <c r="BQ989" s="67">
        <f>(CL989-Driver!$F$209)/(Driver!$G$209-Driver!$F$209)*$BI$1</f>
        <v>2.8125</v>
      </c>
      <c r="BR989" s="28" t="s">
        <v>155</v>
      </c>
      <c r="BS989" s="8" t="s">
        <v>156</v>
      </c>
      <c r="BT989" s="9" t="s">
        <v>829</v>
      </c>
      <c r="BU989" s="10">
        <v>164</v>
      </c>
      <c r="BV989" s="9" t="s">
        <v>158</v>
      </c>
      <c r="BW989" s="10">
        <v>164</v>
      </c>
      <c r="BX989" s="10">
        <v>162.9</v>
      </c>
      <c r="BY989" s="10">
        <v>110</v>
      </c>
      <c r="BZ989" s="10">
        <v>126</v>
      </c>
      <c r="CA989" s="10">
        <v>126</v>
      </c>
      <c r="CB989" s="10">
        <v>97</v>
      </c>
      <c r="CC989" s="10">
        <v>116</v>
      </c>
      <c r="CD989" s="10">
        <v>15</v>
      </c>
      <c r="CE989" s="10">
        <v>1152</v>
      </c>
      <c r="CF989" s="10">
        <v>1.49</v>
      </c>
      <c r="CG989" s="10">
        <v>1722</v>
      </c>
      <c r="CH989" s="10">
        <v>155</v>
      </c>
      <c r="CI989" s="10">
        <v>71</v>
      </c>
      <c r="CJ989" s="10">
        <v>56</v>
      </c>
      <c r="CK989" s="10">
        <v>316</v>
      </c>
      <c r="CL989" s="10">
        <v>18</v>
      </c>
      <c r="CM989" s="10">
        <v>215</v>
      </c>
      <c r="CN989" s="10">
        <v>0.32400000000000001</v>
      </c>
      <c r="CO989" s="10">
        <v>201</v>
      </c>
      <c r="CP989" s="10">
        <v>168</v>
      </c>
      <c r="CQ989" s="10">
        <v>115</v>
      </c>
      <c r="CR989" s="10">
        <v>3</v>
      </c>
      <c r="CS989" s="10">
        <v>8.1999999999999993</v>
      </c>
      <c r="CT989" s="9" t="s">
        <v>185</v>
      </c>
      <c r="CU989" s="9" t="s">
        <v>198</v>
      </c>
      <c r="CV989" s="10"/>
      <c r="CW989" s="10"/>
      <c r="CX989" t="str">
        <f>INDEX('Data_Price '!AG$2:AG$1266,MATCH(Data!$DN989,'Data_Price '!$AT$2:$AT$1266,0))</f>
        <v>Atomic Backland W 98 Dark Blue/Bl / 164cm</v>
      </c>
      <c r="CY989" t="str">
        <f>INDEX('Data_Price '!AH$2:AH$1266,MATCH(Data!$DN989,'Data_Price '!$AT$2:$AT$1266,0))</f>
        <v>Sundance Ski and Board Shop</v>
      </c>
      <c r="CZ989">
        <f>INDEX('Data_Price '!AI$2:AI$1266,MATCH(Data!$DN989,'Data_Price '!$AT$2:$AT$1266,0))</f>
        <v>480.86</v>
      </c>
      <c r="DA989" t="str">
        <f>INDEX('Data_Price '!AJ$2:AJ$1266,MATCH(Data!$DN989,'Data_Price '!$AT$2:$AT$1266,0))</f>
        <v>https://tinyurl.com/y7sx64dk</v>
      </c>
      <c r="DB989" t="str">
        <f>INDEX('Data_Price '!AK$2:AK$1266,MATCH(Data!$DN989,'Data_Price '!$AT$2:$AT$1266,0))</f>
        <v>Atomic W Backland 98 Alpine Touring Ski (2022) 164</v>
      </c>
      <c r="DC989" t="str">
        <f>INDEX('Data_Price '!AL$2:AL$1266,MATCH(Data!$DN989,'Data_Price '!$AT$2:$AT$1266,0))</f>
        <v>Cripple Creek Backcountry</v>
      </c>
      <c r="DD989">
        <f>INDEX('Data_Price '!AM$2:AM$1266,MATCH(Data!$DN989,'Data_Price '!$AT$2:$AT$1266,0))</f>
        <v>489</v>
      </c>
      <c r="DE989" t="str">
        <f>INDEX('Data_Price '!AN$2:AN$1266,MATCH(Data!$DN989,'Data_Price '!$AT$2:$AT$1266,0))</f>
        <v>https://tinyurl.com/y8h9rcar</v>
      </c>
      <c r="DF989" t="str">
        <f>INDEX('Data_Price '!AO$2:AO$1266,MATCH(Data!$DN989,'Data_Price '!$AT$2:$AT$1266,0))</f>
        <v>Skiing Ladies Ski Mountaineering Atomic Backland 98 W 21/22</v>
      </c>
      <c r="DG989" t="str">
        <f>INDEX('Data_Price '!AP$2:AP$1266,MATCH(Data!$DN989,'Data_Price '!$AT$2:$AT$1266,0))</f>
        <v>eBay</v>
      </c>
      <c r="DH989">
        <f>INDEX('Data_Price '!AQ$2:AQ$1266,MATCH(Data!$DN989,'Data_Price '!$AT$2:$AT$1266,0))</f>
        <v>598.41999999999996</v>
      </c>
      <c r="DI989" t="str">
        <f>INDEX('Data_Price '!AR$2:AR$1266,MATCH(Data!$DN989,'Data_Price '!$AT$2:$AT$1266,0))</f>
        <v>https://tinyurl.com/ybqaspax</v>
      </c>
      <c r="DJ989" s="89" t="str">
        <f t="shared" si="587"/>
        <v>https://tinyurl.com/y7sx64dk</v>
      </c>
      <c r="DK989" s="89" t="str">
        <f t="shared" si="588"/>
        <v>https://tinyurl.com/y8h9rcar</v>
      </c>
      <c r="DL989" s="89" t="str">
        <f t="shared" si="589"/>
        <v>https://tinyurl.com/ybqaspax</v>
      </c>
      <c r="DM989" s="219" t="str">
        <f t="shared" si="590"/>
        <v>Backland 98 W</v>
      </c>
      <c r="DN989" s="89" t="str">
        <f t="shared" si="591"/>
        <v xml:space="preserve"> AtomicBackland 98 W164 Unisex</v>
      </c>
      <c r="DO989" s="221" t="s">
        <v>830</v>
      </c>
    </row>
    <row r="990" spans="2:119" ht="15.6" customHeight="1">
      <c r="B990" s="219" t="b">
        <f t="array" ref="B990">IF(OR(ISERROR(K990:P990)),FALSE,TRUE)</f>
        <v>1</v>
      </c>
      <c r="C990" s="43" t="b">
        <f>OR(BR990=Driver!$G$50,Data!BR666=Driver!$H$50)</f>
        <v>1</v>
      </c>
      <c r="D990" s="43" t="b">
        <f>OR(BV990=Driver!$G$51,BV990=Driver!$H$51)</f>
        <v>1</v>
      </c>
      <c r="E990" s="43" t="b">
        <f>AND(BX990&gt;Driver!$F$54,BX990&lt;Driver!$G$54)</f>
        <v>1</v>
      </c>
      <c r="F990" s="43" t="b">
        <f>CL990&gt;Driver!$F$56</f>
        <v>1</v>
      </c>
      <c r="G990" s="43" t="b">
        <f>AND(CB990&gt;Driver!$F$55,CB990&lt;Driver!$G$55)</f>
        <v>0</v>
      </c>
      <c r="H990" s="43" t="b">
        <f t="shared" si="555"/>
        <v>0</v>
      </c>
      <c r="I990" s="43">
        <f t="shared" si="556"/>
        <v>0</v>
      </c>
      <c r="J990" s="43" t="b">
        <f t="array" ref="J990">NOT(OR(($H$9:$H$1273=TRUE)*($I$9:$I$1273&gt;0)*($BT$9:$BT$1273=BT990)*($K$9:$K$1273&gt;K990)))</f>
        <v>1</v>
      </c>
      <c r="K990" s="72">
        <f t="shared" si="557"/>
        <v>0.69260285495507179</v>
      </c>
      <c r="L990" s="72">
        <f t="shared" si="558"/>
        <v>0.77091958032329422</v>
      </c>
      <c r="M990" s="72">
        <f t="shared" si="559"/>
        <v>0.61428612958684936</v>
      </c>
      <c r="N990" s="72">
        <f t="shared" si="560"/>
        <v>0.35717375625086556</v>
      </c>
      <c r="O990" s="72">
        <f t="shared" si="561"/>
        <v>0.5711711055799229</v>
      </c>
      <c r="P990" s="72">
        <f t="shared" si="562"/>
        <v>0.91451352692975929</v>
      </c>
      <c r="Q990" s="72"/>
      <c r="R990" s="72"/>
      <c r="S990" s="72">
        <f t="shared" si="563"/>
        <v>0.46332184005782162</v>
      </c>
      <c r="T990" s="72">
        <f t="shared" si="564"/>
        <v>0.55000000000000004</v>
      </c>
      <c r="U990" s="72">
        <f t="shared" si="565"/>
        <v>0.51</v>
      </c>
      <c r="V990" s="72">
        <f t="shared" si="566"/>
        <v>0.49078152110999551</v>
      </c>
      <c r="W990" s="72">
        <f t="shared" si="567"/>
        <v>0.75361696230598674</v>
      </c>
      <c r="X990" s="72">
        <f t="shared" si="568"/>
        <v>0.22908041967670575</v>
      </c>
      <c r="Y990" s="72">
        <f t="shared" si="569"/>
        <v>0.38571387041315069</v>
      </c>
      <c r="Z990" s="72">
        <f t="shared" si="570"/>
        <v>0.64282624374913444</v>
      </c>
      <c r="AA990" s="72">
        <f t="shared" si="571"/>
        <v>0.4288288944200771</v>
      </c>
      <c r="AB990" s="72">
        <f t="shared" si="572"/>
        <v>8.5486473070240765E-2</v>
      </c>
      <c r="AC990" s="72"/>
      <c r="AD990" s="72"/>
      <c r="AE990" s="72">
        <f t="shared" si="573"/>
        <v>0.53667815994217838</v>
      </c>
      <c r="AF990" s="72">
        <f t="shared" si="574"/>
        <v>0.44999999999999996</v>
      </c>
      <c r="AG990" s="72">
        <f t="shared" si="575"/>
        <v>0.49</v>
      </c>
      <c r="AH990" s="72">
        <f t="shared" si="576"/>
        <v>0.50921847889000449</v>
      </c>
      <c r="AI990" s="72">
        <f t="shared" si="577"/>
        <v>0.24638303769401332</v>
      </c>
      <c r="AJ990" s="72">
        <f>(AV990-Driver!$K$179)/(Driver!$L$179-Driver!$K$179)</f>
        <v>2.5138989605994679E-2</v>
      </c>
      <c r="AK990" s="72">
        <f>(AW990-Driver!$K$180)/(Driver!$L$180-Driver!$K$180)</f>
        <v>0.37771822340288386</v>
      </c>
      <c r="AL990" s="72">
        <f>(AX990-Driver!$K$181)/(Driver!$L$181-Driver!$K$181)</f>
        <v>0.74451400746221463</v>
      </c>
      <c r="AM990" s="72">
        <f>(AY990-Driver!$K$182)/(Driver!$L$182-Driver!$K$182)</f>
        <v>1.8556126676969244E-2</v>
      </c>
      <c r="AN990" s="72">
        <f>(AZ990-Driver!$K$183)/(Driver!$L$183-Driver!$K$183)</f>
        <v>0.33970588235294119</v>
      </c>
      <c r="AO990" s="72"/>
      <c r="AP990" s="72"/>
      <c r="AQ990" s="72">
        <f>(BC990-Driver!$K$188)/(Driver!$L$188-Driver!$K$188)</f>
        <v>8.3321840057821575E-2</v>
      </c>
      <c r="AR990" s="72">
        <f>MIN((BD990-Driver!$K$189)/(Driver!$L$189-Driver!$K$189),100%)</f>
        <v>1</v>
      </c>
      <c r="AS990" s="72">
        <f>(BE990-Driver!$K$190)/(Driver!$L$190-Driver!$K$190)</f>
        <v>1</v>
      </c>
      <c r="AT990" s="72">
        <f>(BF990-Driver!$K$191)/(Driver!$L$191-Driver!$K$191)</f>
        <v>7.8152110999549793E-4</v>
      </c>
      <c r="AU990" s="72">
        <f>(BG990-Driver!$K$192)/(Driver!$L$192-Driver!$K$192)</f>
        <v>3.6169623059866957E-3</v>
      </c>
      <c r="AV990" s="70">
        <f t="shared" si="578"/>
        <v>0.52910052910052907</v>
      </c>
      <c r="AW990" s="70">
        <f t="shared" si="579"/>
        <v>38.68388041600582</v>
      </c>
      <c r="AX990" s="70">
        <f t="shared" si="580"/>
        <v>7.7006260671599316</v>
      </c>
      <c r="AY990" s="70">
        <f>IFERROR(Driver!$K$19/Data!BH990/Data!BI990*Data!BK990*Data!BL990,"")</f>
        <v>2.2718235666438227E-2</v>
      </c>
      <c r="AZ990" s="70">
        <f t="shared" si="581"/>
        <v>30.960536113179451</v>
      </c>
      <c r="BA990" s="70"/>
      <c r="BB990" s="70"/>
      <c r="BC990" s="70">
        <f t="shared" si="582"/>
        <v>43.219617682026723</v>
      </c>
      <c r="BD990" s="70">
        <f t="shared" si="583"/>
        <v>566.01076809347194</v>
      </c>
      <c r="BE990" s="70">
        <f t="shared" si="584"/>
        <v>1</v>
      </c>
      <c r="BF990" s="70">
        <f t="shared" si="585"/>
        <v>8.826731887745333E-2</v>
      </c>
      <c r="BG990" s="70">
        <f t="shared" si="586"/>
        <v>1.3696126662971174E-2</v>
      </c>
      <c r="BH990" s="67">
        <f>MAX((CE990-Driver!$F$200)/(Driver!$G$200-Driver!$F$200)*$BI$1,1)</f>
        <v>7.7006260671599316</v>
      </c>
      <c r="BI990" s="67">
        <f>MAX($BI$1*(BY990-Driver!$F$201)/(Driver!$G$201-Driver!$F$201),1)</f>
        <v>8.3544303797468356</v>
      </c>
      <c r="BJ990" s="67">
        <f>(CB990-Driver!$F$206)/(Driver!$G$206-Driver!$F$206)*$BI$1</f>
        <v>0.47619047619047616</v>
      </c>
      <c r="BK990" s="67">
        <f>(CD990-Driver!$F$203)/(Driver!$G$203-Driver!$F$203)*$BI$1</f>
        <v>0.96330275229357787</v>
      </c>
      <c r="BL990" s="67">
        <f>MAX((CR990-Driver!$F$202)/(Driver!$G$202-Driver!$F$202)*$BI$1,1)</f>
        <v>7.5862068965517242</v>
      </c>
      <c r="BM990" s="67">
        <f>MAX((CH990-Driver!$F$204)/(Driver!$G$204-Driver!$F$204)*$BI$1,1)</f>
        <v>4.4444444444444446</v>
      </c>
      <c r="BN990" s="67">
        <f>(CI990-Driver!$F$205)/(Driver!$G$205-Driver!$F$205)*$BI$1</f>
        <v>3.7058823529411766</v>
      </c>
      <c r="BO990" s="67">
        <f>(CK990-Driver!$F$207)/(Driver!$G$207-Driver!$F$207)*$BI$1</f>
        <v>0.38262668045501552</v>
      </c>
      <c r="BP990" s="67">
        <f>(CM990-Driver!$F$208)/(Driver!$G$208-Driver!$F$208)*$BI$1</f>
        <v>0.46666666666666667</v>
      </c>
      <c r="BQ990" s="67">
        <f>(CL990-Driver!$F$209)/(Driver!$G$209-Driver!$F$209)*$BI$1</f>
        <v>0.46875</v>
      </c>
      <c r="BR990" s="28" t="s">
        <v>155</v>
      </c>
      <c r="BS990" s="8" t="s">
        <v>167</v>
      </c>
      <c r="BT990" s="9" t="s">
        <v>831</v>
      </c>
      <c r="BU990" s="10">
        <v>160</v>
      </c>
      <c r="BV990" s="9" t="s">
        <v>158</v>
      </c>
      <c r="BW990" s="10">
        <v>160</v>
      </c>
      <c r="BX990" s="10">
        <v>158.80000000000001</v>
      </c>
      <c r="BY990" s="10">
        <v>140</v>
      </c>
      <c r="BZ990" s="10">
        <v>149</v>
      </c>
      <c r="CA990" s="10">
        <v>122</v>
      </c>
      <c r="CB990" s="10">
        <v>67</v>
      </c>
      <c r="CC990" s="10">
        <v>107</v>
      </c>
      <c r="CD990" s="10">
        <v>11.5</v>
      </c>
      <c r="CE990" s="10">
        <v>2253</v>
      </c>
      <c r="CF990" s="10">
        <v>0.59</v>
      </c>
      <c r="CG990" s="10">
        <v>1338</v>
      </c>
      <c r="CH990" s="10">
        <v>205</v>
      </c>
      <c r="CI990" s="10">
        <v>96</v>
      </c>
      <c r="CJ990" s="10">
        <v>42</v>
      </c>
      <c r="CK990" s="10">
        <v>147</v>
      </c>
      <c r="CL990" s="10">
        <v>3</v>
      </c>
      <c r="CM990" s="10">
        <v>42</v>
      </c>
      <c r="CN990" s="10">
        <v>6.3E-2</v>
      </c>
      <c r="CO990" s="10">
        <v>59</v>
      </c>
      <c r="CP990" s="10">
        <v>43</v>
      </c>
      <c r="CQ990" s="10">
        <v>88</v>
      </c>
      <c r="CR990" s="10">
        <v>11</v>
      </c>
      <c r="CS990" s="10">
        <v>11.9</v>
      </c>
      <c r="CT990" s="9" t="s">
        <v>349</v>
      </c>
      <c r="CU990" s="10"/>
      <c r="CV990" s="10"/>
      <c r="CW990" s="10"/>
      <c r="CX990" t="str">
        <f>INDEX('Data_Price '!AG$2:AG$1266,MATCH(Data!$DN990,'Data_Price '!$AT$2:$AT$1266,0))</f>
        <v>Head Worldcup Rebels e-SL White-Black 160 Ski Lady's Men</v>
      </c>
      <c r="CY990" t="str">
        <f>INDEX('Data_Price '!AH$2:AH$1266,MATCH(Data!$DN990,'Data_Price '!$AT$2:$AT$1266,0))</f>
        <v>! OutdoorXL.com</v>
      </c>
      <c r="CZ990">
        <f>INDEX('Data_Price '!AI$2:AI$1266,MATCH(Data!$DN990,'Data_Price '!$AT$2:$AT$1266,0))</f>
        <v>564.95000000000005</v>
      </c>
      <c r="DA990" t="str">
        <f>INDEX('Data_Price '!AJ$2:AJ$1266,MATCH(Data!$DN990,'Data_Price '!$AT$2:$AT$1266,0))</f>
        <v>https://tinyurl.com/yaccpkyu</v>
      </c>
      <c r="DB990" t="str">
        <f>INDEX('Data_Price '!AK$2:AK$1266,MATCH(Data!$DN990,'Data_Price '!$AT$2:$AT$1266,0))</f>
        <v>Head 2021 WC Rebels E-SL Skis w/Freeflex 14 Bindings</v>
      </c>
      <c r="DC990" t="str">
        <f>INDEX('Data_Price '!AL$2:AL$1266,MATCH(Data!$DN990,'Data_Price '!$AT$2:$AT$1266,0))</f>
        <v>Suburban Ski and Bike</v>
      </c>
      <c r="DD990">
        <f>INDEX('Data_Price '!AM$2:AM$1266,MATCH(Data!$DN990,'Data_Price '!$AT$2:$AT$1266,0))</f>
        <v>639.99</v>
      </c>
      <c r="DE990" t="str">
        <f>INDEX('Data_Price '!AN$2:AN$1266,MATCH(Data!$DN990,'Data_Price '!$AT$2:$AT$1266,0))</f>
        <v>https://tinyurl.com/y8q2rqsp</v>
      </c>
      <c r="DF990" t="str">
        <f>INDEX('Data_Price '!AO$2:AO$1266,MATCH(Data!$DN990,'Data_Price '!$AT$2:$AT$1266,0))</f>
        <v>Head 2021 WC Rebels E-SL Skis w/Freeflex 14 Bindings</v>
      </c>
      <c r="DG990" t="str">
        <f>INDEX('Data_Price '!AP$2:AP$1266,MATCH(Data!$DN990,'Data_Price '!$AT$2:$AT$1266,0))</f>
        <v>Powder7 Ski Shop</v>
      </c>
      <c r="DH990">
        <f>INDEX('Data_Price '!AQ$2:AQ$1266,MATCH(Data!$DN990,'Data_Price '!$AT$2:$AT$1266,0))</f>
        <v>819</v>
      </c>
      <c r="DI990" t="str">
        <f>INDEX('Data_Price '!AR$2:AR$1266,MATCH(Data!$DN990,'Data_Price '!$AT$2:$AT$1266,0))</f>
        <v>https://tinyurl.com/y9whc2qc</v>
      </c>
      <c r="DJ990" s="89" t="str">
        <f t="shared" si="587"/>
        <v>https://tinyurl.com/yaccpkyu</v>
      </c>
      <c r="DK990" s="89" t="str">
        <f t="shared" si="588"/>
        <v>https://tinyurl.com/y8q2rqsp</v>
      </c>
      <c r="DL990" s="89" t="str">
        <f t="shared" si="589"/>
        <v>https://tinyurl.com/y9whc2qc</v>
      </c>
      <c r="DM990" s="219" t="str">
        <f t="shared" si="590"/>
        <v>Worldcup Rebels e-SL</v>
      </c>
      <c r="DN990" s="89" t="str">
        <f t="shared" si="591"/>
        <v xml:space="preserve"> HeadWorldcup Rebels e-SL160 Unisex</v>
      </c>
      <c r="DO990" s="221"/>
    </row>
    <row r="991" spans="2:119" ht="15.6" customHeight="1">
      <c r="B991" s="219" t="b">
        <f t="array" ref="B991">IF(OR(ISERROR(K991:P991)),FALSE,TRUE)</f>
        <v>1</v>
      </c>
      <c r="C991" s="43" t="b">
        <f>OR(BR991=Driver!$G$50,Data!BR1050=Driver!$H$50)</f>
        <v>1</v>
      </c>
      <c r="D991" s="43" t="b">
        <f>OR(BV991=Driver!$G$51,BV991=Driver!$H$51)</f>
        <v>0</v>
      </c>
      <c r="E991" s="43" t="b">
        <f>AND(BX991&gt;Driver!$F$54,BX991&lt;Driver!$G$54)</f>
        <v>1</v>
      </c>
      <c r="F991" s="43" t="b">
        <f>CL991&gt;Driver!$F$56</f>
        <v>1</v>
      </c>
      <c r="G991" s="43" t="b">
        <f>AND(CB991&gt;Driver!$F$55,CB991&lt;Driver!$G$55)</f>
        <v>0</v>
      </c>
      <c r="H991" s="43" t="b">
        <f t="shared" si="555"/>
        <v>0</v>
      </c>
      <c r="I991" s="43">
        <f t="shared" si="556"/>
        <v>0</v>
      </c>
      <c r="J991" s="43" t="b">
        <f t="array" ref="J991">NOT(OR(($H$9:$H$1273=TRUE)*($I$9:$I$1273&gt;0)*($BT$9:$BT$1273=BT991)*($K$9:$K$1273&gt;K991)))</f>
        <v>1</v>
      </c>
      <c r="K991" s="72">
        <f t="shared" si="557"/>
        <v>0.7656694081319837</v>
      </c>
      <c r="L991" s="72">
        <f t="shared" si="558"/>
        <v>0.77043613821548673</v>
      </c>
      <c r="M991" s="72">
        <f t="shared" si="559"/>
        <v>0.76090267804848077</v>
      </c>
      <c r="N991" s="72">
        <f t="shared" si="560"/>
        <v>0.82324597531113231</v>
      </c>
      <c r="O991" s="72">
        <f t="shared" si="561"/>
        <v>0.59864878837844837</v>
      </c>
      <c r="P991" s="72">
        <f t="shared" si="562"/>
        <v>0.86081327045586176</v>
      </c>
      <c r="Q991" s="72"/>
      <c r="R991" s="72"/>
      <c r="S991" s="72">
        <f t="shared" si="563"/>
        <v>0.39784123591587506</v>
      </c>
      <c r="T991" s="72">
        <f t="shared" si="564"/>
        <v>0.72028218151278622</v>
      </c>
      <c r="U991" s="72">
        <f t="shared" si="565"/>
        <v>0.51</v>
      </c>
      <c r="V991" s="72">
        <f t="shared" si="566"/>
        <v>0.49255532607351638</v>
      </c>
      <c r="W991" s="72">
        <f t="shared" si="567"/>
        <v>0.78240068754774639</v>
      </c>
      <c r="X991" s="72">
        <f t="shared" si="568"/>
        <v>0.22956386178451332</v>
      </c>
      <c r="Y991" s="72">
        <f t="shared" si="569"/>
        <v>0.2390973219515192</v>
      </c>
      <c r="Z991" s="72">
        <f t="shared" si="570"/>
        <v>0.17675402468886764</v>
      </c>
      <c r="AA991" s="72">
        <f t="shared" si="571"/>
        <v>0.40135121162155163</v>
      </c>
      <c r="AB991" s="72">
        <f t="shared" si="572"/>
        <v>0.1391867295441383</v>
      </c>
      <c r="AC991" s="72"/>
      <c r="AD991" s="72"/>
      <c r="AE991" s="72">
        <f t="shared" si="573"/>
        <v>0.60215876408412494</v>
      </c>
      <c r="AF991" s="72">
        <f t="shared" si="574"/>
        <v>0.27971781848721372</v>
      </c>
      <c r="AG991" s="72">
        <f t="shared" si="575"/>
        <v>0.49</v>
      </c>
      <c r="AH991" s="72">
        <f t="shared" si="576"/>
        <v>0.50744467392648362</v>
      </c>
      <c r="AI991" s="72">
        <f t="shared" si="577"/>
        <v>0.21759931245225364</v>
      </c>
      <c r="AJ991" s="72">
        <f>(AV991-Driver!$K$179)/(Driver!$L$179-Driver!$K$179)</f>
        <v>2.4655547498187092E-2</v>
      </c>
      <c r="AK991" s="72">
        <f>(AW991-Driver!$K$180)/(Driver!$L$180-Driver!$K$180)</f>
        <v>0.12491869435265697</v>
      </c>
      <c r="AL991" s="72">
        <f>(AX991-Driver!$K$181)/(Driver!$L$181-Driver!$K$181)</f>
        <v>0.27844178840194783</v>
      </c>
      <c r="AM991" s="72">
        <f>(AY991-Driver!$K$182)/(Driver!$L$182-Driver!$K$182)</f>
        <v>4.6033809475494708E-2</v>
      </c>
      <c r="AN991" s="72">
        <f>(AZ991-Driver!$K$183)/(Driver!$L$183-Driver!$K$183)</f>
        <v>0.11503267973856211</v>
      </c>
      <c r="AO991" s="72"/>
      <c r="AP991" s="72"/>
      <c r="AQ991" s="72">
        <f>(BC991-Driver!$K$188)/(Driver!$L$188-Driver!$K$188)</f>
        <v>1.7841235915875064E-2</v>
      </c>
      <c r="AR991" s="72">
        <f>MIN((BD991-Driver!$K$189)/(Driver!$L$189-Driver!$K$189),100%)</f>
        <v>0.27028218151278632</v>
      </c>
      <c r="AS991" s="72">
        <f>(BE991-Driver!$K$190)/(Driver!$L$190-Driver!$K$190)</f>
        <v>1</v>
      </c>
      <c r="AT991" s="72">
        <f>(BF991-Driver!$K$191)/(Driver!$L$191-Driver!$K$191)</f>
        <v>2.5553260735164196E-3</v>
      </c>
      <c r="AU991" s="72">
        <f>(BG991-Driver!$K$192)/(Driver!$L$192-Driver!$K$192)</f>
        <v>3.240068754774636E-2</v>
      </c>
      <c r="AV991" s="70">
        <f t="shared" si="578"/>
        <v>0.51892551892551897</v>
      </c>
      <c r="AW991" s="70">
        <f t="shared" si="579"/>
        <v>14.046326278358963</v>
      </c>
      <c r="AX991" s="70">
        <f t="shared" si="580"/>
        <v>3.5059760956175303</v>
      </c>
      <c r="AY991" s="70">
        <f>IFERROR(Driver!$K$19/Data!BH991/Data!BI991*Data!BK991*Data!BL991,"")</f>
        <v>5.6359117961088237E-2</v>
      </c>
      <c r="AZ991" s="70">
        <f t="shared" si="581"/>
        <v>10.483991064780344</v>
      </c>
      <c r="BA991" s="70"/>
      <c r="BB991" s="70"/>
      <c r="BC991" s="70">
        <f t="shared" si="582"/>
        <v>9.2543730998242673</v>
      </c>
      <c r="BD991" s="70">
        <f t="shared" si="583"/>
        <v>25.640317036292373</v>
      </c>
      <c r="BE991" s="70">
        <f t="shared" si="584"/>
        <v>1</v>
      </c>
      <c r="BF991" s="70">
        <f t="shared" si="585"/>
        <v>0.28860612782199047</v>
      </c>
      <c r="BG991" s="70">
        <f t="shared" si="586"/>
        <v>0.12268967245989301</v>
      </c>
      <c r="BH991" s="67">
        <f>MAX((CE991-Driver!$F$200)/(Driver!$G$200-Driver!$F$200)*$BI$1,1)</f>
        <v>3.5059760956175303</v>
      </c>
      <c r="BI991" s="67">
        <f>MAX($BI$1*(BY991-Driver!$F$201)/(Driver!$G$201-Driver!$F$201),1)</f>
        <v>8.1012658227848107</v>
      </c>
      <c r="BJ991" s="67">
        <f>(CB991-Driver!$F$206)/(Driver!$G$206-Driver!$F$206)*$BI$1</f>
        <v>1.4285714285714284</v>
      </c>
      <c r="BK991" s="67">
        <f>(CD991-Driver!$F$203)/(Driver!$G$203-Driver!$F$203)*$BI$1</f>
        <v>1.0550458715596327</v>
      </c>
      <c r="BL991" s="67">
        <f>MAX((CR991-Driver!$F$202)/(Driver!$G$202-Driver!$F$202)*$BI$1,1)</f>
        <v>7.5862068965517242</v>
      </c>
      <c r="BM991" s="67">
        <f>MAX((CH991-Driver!$F$204)/(Driver!$G$204-Driver!$F$204)*$BI$1,1)</f>
        <v>1.4529914529914532</v>
      </c>
      <c r="BN991" s="67">
        <f>(CI991-Driver!$F$205)/(Driver!$G$205-Driver!$F$205)*$BI$1</f>
        <v>1.2941176470588236</v>
      </c>
      <c r="BO991" s="67">
        <f>(CK991-Driver!$F$207)/(Driver!$G$207-Driver!$F$207)*$BI$1</f>
        <v>0.36194415718717682</v>
      </c>
      <c r="BP991" s="67">
        <f>(CM991-Driver!$F$208)/(Driver!$G$208-Driver!$F$208)*$BI$1</f>
        <v>0.58888888888888891</v>
      </c>
      <c r="BQ991" s="67">
        <f>(CL991-Driver!$F$209)/(Driver!$G$209-Driver!$F$209)*$BI$1</f>
        <v>0.625</v>
      </c>
      <c r="BR991" s="28" t="s">
        <v>155</v>
      </c>
      <c r="BS991" s="8" t="s">
        <v>172</v>
      </c>
      <c r="BT991" s="9" t="s">
        <v>813</v>
      </c>
      <c r="BU991" s="10">
        <v>156</v>
      </c>
      <c r="BV991" s="9" t="s">
        <v>163</v>
      </c>
      <c r="BW991" s="10">
        <v>156</v>
      </c>
      <c r="BX991" s="10">
        <v>155.69999999999999</v>
      </c>
      <c r="BY991" s="10">
        <v>136</v>
      </c>
      <c r="BZ991" s="10">
        <v>142</v>
      </c>
      <c r="CA991" s="10">
        <v>122</v>
      </c>
      <c r="CB991" s="10">
        <v>73</v>
      </c>
      <c r="CC991" s="10">
        <v>109</v>
      </c>
      <c r="CD991" s="10">
        <v>11.7</v>
      </c>
      <c r="CE991" s="10">
        <v>1516</v>
      </c>
      <c r="CF991" s="10">
        <v>0.91</v>
      </c>
      <c r="CG991" s="10">
        <v>1383</v>
      </c>
      <c r="CH991" s="10">
        <v>135</v>
      </c>
      <c r="CI991" s="10">
        <v>55</v>
      </c>
      <c r="CJ991" s="10">
        <v>37</v>
      </c>
      <c r="CK991" s="10">
        <v>145</v>
      </c>
      <c r="CL991" s="10">
        <v>4</v>
      </c>
      <c r="CM991" s="10">
        <v>53</v>
      </c>
      <c r="CN991" s="10">
        <v>0.121</v>
      </c>
      <c r="CO991" s="10">
        <v>72</v>
      </c>
      <c r="CP991" s="10">
        <v>61</v>
      </c>
      <c r="CQ991" s="10">
        <v>74</v>
      </c>
      <c r="CR991" s="10">
        <v>11</v>
      </c>
      <c r="CS991" s="10">
        <v>9.5</v>
      </c>
      <c r="CT991" s="9" t="s">
        <v>349</v>
      </c>
      <c r="CU991" s="10"/>
      <c r="CV991" s="10"/>
      <c r="CW991" s="10"/>
      <c r="CX991" t="str">
        <f>INDEX('Data_Price '!AG$2:AG$1266,MATCH(Data!$DN991,'Data_Price '!$AT$2:$AT$1266,0))</f>
        <v>Rossignol NOVA 6 F/XP W 11 GW 156cm</v>
      </c>
      <c r="CY991" t="str">
        <f>INDEX('Data_Price '!AH$2:AH$1266,MATCH(Data!$DN991,'Data_Price '!$AT$2:$AT$1266,0))</f>
        <v>Sundance Ski and Board Shop</v>
      </c>
      <c r="CZ991">
        <f>INDEX('Data_Price '!AI$2:AI$1266,MATCH(Data!$DN991,'Data_Price '!$AT$2:$AT$1266,0))</f>
        <v>400.72</v>
      </c>
      <c r="DA991" t="str">
        <f>INDEX('Data_Price '!AJ$2:AJ$1266,MATCH(Data!$DN991,'Data_Price '!$AT$2:$AT$1266,0))</f>
        <v>https://tinyurl.com/y6ux5wjz</v>
      </c>
      <c r="DB991" t="str">
        <f>INDEX('Data_Price '!AK$2:AK$1266,MATCH(Data!$DN991,'Data_Price '!$AT$2:$AT$1266,0))</f>
        <v>Women's Rossignol Nova 6 Skis + Xpress 11 GW Bindings 2021 - 156</v>
      </c>
      <c r="DC991" t="str">
        <f>INDEX('Data_Price '!AL$2:AL$1266,MATCH(Data!$DN991,'Data_Price '!$AT$2:$AT$1266,0))</f>
        <v>The-House.com</v>
      </c>
      <c r="DD991">
        <f>INDEX('Data_Price '!AM$2:AM$1266,MATCH(Data!$DN991,'Data_Price '!$AT$2:$AT$1266,0))</f>
        <v>479.95</v>
      </c>
      <c r="DE991" t="str">
        <f>INDEX('Data_Price '!AN$2:AN$1266,MATCH(Data!$DN991,'Data_Price '!$AT$2:$AT$1266,0))</f>
        <v>https://tinyurl.com/y9mlwh27</v>
      </c>
      <c r="DF991" t="str">
        <f>INDEX('Data_Price '!AO$2:AO$1266,MATCH(Data!$DN991,'Data_Price '!$AT$2:$AT$1266,0))</f>
        <v>Women's Rossignol Nova 6 Skis + Xpress 11 GW Bindings 2021 - 156</v>
      </c>
      <c r="DG991" t="str">
        <f>INDEX('Data_Price '!AP$2:AP$1266,MATCH(Data!$DN991,'Data_Price '!$AT$2:$AT$1266,0))</f>
        <v>WinterWomen.com</v>
      </c>
      <c r="DH991">
        <f>INDEX('Data_Price '!AQ$2:AQ$1266,MATCH(Data!$DN991,'Data_Price '!$AT$2:$AT$1266,0))</f>
        <v>599.95000000000005</v>
      </c>
      <c r="DI991" t="str">
        <f>INDEX('Data_Price '!AR$2:AR$1266,MATCH(Data!$DN991,'Data_Price '!$AT$2:$AT$1266,0))</f>
        <v>https://tinyurl.com/ydy8uxga</v>
      </c>
      <c r="DJ991" s="89" t="str">
        <f t="shared" si="587"/>
        <v>https://tinyurl.com/y6ux5wjz</v>
      </c>
      <c r="DK991" s="89" t="str">
        <f t="shared" si="588"/>
        <v>https://tinyurl.com/y9mlwh27</v>
      </c>
      <c r="DL991" s="89" t="str">
        <f t="shared" si="589"/>
        <v>https://tinyurl.com/ydy8uxga</v>
      </c>
      <c r="DM991" s="219" t="str">
        <f t="shared" si="590"/>
        <v>Nova 6</v>
      </c>
      <c r="DN991" s="89" t="str">
        <f t="shared" si="591"/>
        <v xml:space="preserve"> RossignolNova 6156 Women's</v>
      </c>
      <c r="DO991" s="221" t="s">
        <v>771</v>
      </c>
    </row>
    <row r="992" spans="2:119" ht="15.6" customHeight="1">
      <c r="B992" s="219" t="b">
        <f t="array" ref="B992">IF(OR(ISERROR(K992:P992)),FALSE,TRUE)</f>
        <v>1</v>
      </c>
      <c r="C992" s="43" t="b">
        <f>OR(BR992=Driver!$G$50,Data!BR559=Driver!$H$50)</f>
        <v>1</v>
      </c>
      <c r="D992" s="43" t="b">
        <f>OR(BV992=Driver!$G$51,BV992=Driver!$H$51)</f>
        <v>0</v>
      </c>
      <c r="E992" s="43" t="b">
        <f>AND(BX992&gt;Driver!$F$54,BX992&lt;Driver!$G$54)</f>
        <v>1</v>
      </c>
      <c r="F992" s="43" t="b">
        <f>CL992&gt;Driver!$F$56</f>
        <v>1</v>
      </c>
      <c r="G992" s="43" t="b">
        <f>AND(CB992&gt;Driver!$F$55,CB992&lt;Driver!$G$55)</f>
        <v>0</v>
      </c>
      <c r="H992" s="43" t="b">
        <f t="shared" si="555"/>
        <v>0</v>
      </c>
      <c r="I992" s="43">
        <f t="shared" si="556"/>
        <v>0</v>
      </c>
      <c r="J992" s="43" t="b">
        <f t="array" ref="J992">NOT(OR(($H$9:$H$1273=TRUE)*($I$9:$I$1273&gt;0)*($BT$9:$BT$1273=BT992)*($K$9:$K$1273&gt;K992)))</f>
        <v>1</v>
      </c>
      <c r="K992" s="72">
        <f t="shared" si="557"/>
        <v>0.79902162126286824</v>
      </c>
      <c r="L992" s="72">
        <f t="shared" si="558"/>
        <v>0.82554853850555188</v>
      </c>
      <c r="M992" s="72">
        <f t="shared" si="559"/>
        <v>0.77249470402018461</v>
      </c>
      <c r="N992" s="72">
        <f t="shared" si="560"/>
        <v>0.79289120392050449</v>
      </c>
      <c r="O992" s="72">
        <f t="shared" si="561"/>
        <v>0.66418813441621372</v>
      </c>
      <c r="P992" s="72">
        <f t="shared" si="562"/>
        <v>0.8604047737238355</v>
      </c>
      <c r="Q992" s="72"/>
      <c r="R992" s="72"/>
      <c r="S992" s="72">
        <f t="shared" si="563"/>
        <v>0.41443322241194691</v>
      </c>
      <c r="T992" s="72">
        <f t="shared" si="564"/>
        <v>0.51439012836656328</v>
      </c>
      <c r="U992" s="72">
        <f t="shared" si="565"/>
        <v>0.98431182703064879</v>
      </c>
      <c r="V992" s="72">
        <f t="shared" si="566"/>
        <v>0.49643120460400414</v>
      </c>
      <c r="W992" s="72">
        <f t="shared" si="567"/>
        <v>0.91723439211391011</v>
      </c>
      <c r="X992" s="72">
        <f t="shared" si="568"/>
        <v>0.17445146149444807</v>
      </c>
      <c r="Y992" s="72">
        <f t="shared" si="569"/>
        <v>0.22750529597981542</v>
      </c>
      <c r="Z992" s="72">
        <f t="shared" si="570"/>
        <v>0.20710879607949551</v>
      </c>
      <c r="AA992" s="72">
        <f t="shared" si="571"/>
        <v>0.33581186558378623</v>
      </c>
      <c r="AB992" s="72">
        <f t="shared" si="572"/>
        <v>0.1395952262761645</v>
      </c>
      <c r="AC992" s="72"/>
      <c r="AD992" s="72"/>
      <c r="AE992" s="72">
        <f t="shared" si="573"/>
        <v>0.58556677758805309</v>
      </c>
      <c r="AF992" s="72">
        <f t="shared" si="574"/>
        <v>0.48560987163343672</v>
      </c>
      <c r="AG992" s="72">
        <f t="shared" si="575"/>
        <v>1.5688172969351266E-2</v>
      </c>
      <c r="AH992" s="72">
        <f t="shared" si="576"/>
        <v>0.50356879539599586</v>
      </c>
      <c r="AI992" s="72">
        <f t="shared" si="577"/>
        <v>8.2765607886089859E-2</v>
      </c>
      <c r="AJ992" s="72">
        <f>(AV992-Driver!$K$179)/(Driver!$L$179-Driver!$K$179)</f>
        <v>7.9767947788252344E-2</v>
      </c>
      <c r="AK992" s="72">
        <f>(AW992-Driver!$K$180)/(Driver!$L$180-Driver!$K$180)</f>
        <v>0.12816316665911109</v>
      </c>
      <c r="AL992" s="72">
        <f>(AX992-Driver!$K$181)/(Driver!$L$181-Driver!$K$181)</f>
        <v>0.3087965597925757</v>
      </c>
      <c r="AM992" s="72">
        <f>(AY992-Driver!$K$182)/(Driver!$L$182-Driver!$K$182)</f>
        <v>0.11157315551326015</v>
      </c>
      <c r="AN992" s="72">
        <f>(AZ992-Driver!$K$183)/(Driver!$L$183-Driver!$K$183)</f>
        <v>0.11462418300653594</v>
      </c>
      <c r="AO992" s="72"/>
      <c r="AP992" s="72"/>
      <c r="AQ992" s="72">
        <f>(BC992-Driver!$K$188)/(Driver!$L$188-Driver!$K$188)</f>
        <v>3.4433222411946927E-2</v>
      </c>
      <c r="AR992" s="72">
        <f>MIN((BD992-Driver!$K$189)/(Driver!$L$189-Driver!$K$189),100%)</f>
        <v>6.4390128366563326E-2</v>
      </c>
      <c r="AS992" s="72">
        <f>(BE992-Driver!$K$190)/(Driver!$L$190-Driver!$K$190)</f>
        <v>0.49431182703064874</v>
      </c>
      <c r="AT992" s="72">
        <f>(BF992-Driver!$K$191)/(Driver!$L$191-Driver!$K$191)</f>
        <v>6.4312046040041343E-3</v>
      </c>
      <c r="AU992" s="72">
        <f>(BG992-Driver!$K$192)/(Driver!$L$192-Driver!$K$192)</f>
        <v>0.16723439211391014</v>
      </c>
      <c r="AV992" s="70">
        <f t="shared" si="578"/>
        <v>1.6788766788766787</v>
      </c>
      <c r="AW992" s="70">
        <f t="shared" si="579"/>
        <v>14.362528853572137</v>
      </c>
      <c r="AX992" s="70">
        <f t="shared" si="580"/>
        <v>3.7791690381331815</v>
      </c>
      <c r="AY992" s="70">
        <f>IFERROR(Driver!$K$19/Data!BH992/Data!BI992*Data!BK992*Data!BL992,"")</f>
        <v>0.13659883256479274</v>
      </c>
      <c r="AZ992" s="70">
        <f t="shared" si="581"/>
        <v>10.446760982874162</v>
      </c>
      <c r="BA992" s="70"/>
      <c r="BB992" s="70"/>
      <c r="BC992" s="70">
        <f t="shared" si="582"/>
        <v>17.860751840955544</v>
      </c>
      <c r="BD992" s="70">
        <f t="shared" si="583"/>
        <v>7.4192351519823276</v>
      </c>
      <c r="BE992" s="70">
        <f t="shared" si="584"/>
        <v>0.49440203610894368</v>
      </c>
      <c r="BF992" s="70">
        <f t="shared" si="585"/>
        <v>0.72635937825281394</v>
      </c>
      <c r="BG992" s="70">
        <f t="shared" si="586"/>
        <v>0.6332560925520262</v>
      </c>
      <c r="BH992" s="67">
        <f>MAX((CE992-Driver!$F$200)/(Driver!$G$200-Driver!$F$200)*$BI$1,1)</f>
        <v>3.7791690381331815</v>
      </c>
      <c r="BI992" s="67">
        <f>MAX($BI$1*(BY992-Driver!$F$201)/(Driver!$G$201-Driver!$F$201),1)</f>
        <v>7.7215189873417724</v>
      </c>
      <c r="BJ992" s="67">
        <f>(CB992-Driver!$F$206)/(Driver!$G$206-Driver!$F$206)*$BI$1</f>
        <v>2.8571428571428568</v>
      </c>
      <c r="BK992" s="67">
        <f>(CD992-Driver!$F$203)/(Driver!$G$203-Driver!$F$203)*$BI$1</f>
        <v>2.8899082568807337</v>
      </c>
      <c r="BL992" s="67">
        <f>MAX((CR992-Driver!$F$202)/(Driver!$G$202-Driver!$F$202)*$BI$1,1)</f>
        <v>6.8965517241379315</v>
      </c>
      <c r="BM992" s="67">
        <f>MAX((CH992-Driver!$F$204)/(Driver!$G$204-Driver!$F$204)*$BI$1,1)</f>
        <v>2.3504273504273505</v>
      </c>
      <c r="BN992" s="67">
        <f>(CI992-Driver!$F$205)/(Driver!$G$205-Driver!$F$205)*$BI$1</f>
        <v>1.3529411764705881</v>
      </c>
      <c r="BO992" s="67">
        <f>(CK992-Driver!$F$207)/(Driver!$G$207-Driver!$F$207)*$BI$1</f>
        <v>0.47569803516028958</v>
      </c>
      <c r="BP992" s="67">
        <f>(CM992-Driver!$F$208)/(Driver!$G$208-Driver!$F$208)*$BI$1</f>
        <v>1.5444444444444443</v>
      </c>
      <c r="BQ992" s="67">
        <f>(CL992-Driver!$F$209)/(Driver!$G$209-Driver!$F$209)*$BI$1</f>
        <v>5.625</v>
      </c>
      <c r="BR992" s="28" t="s">
        <v>155</v>
      </c>
      <c r="BS992" s="8" t="s">
        <v>245</v>
      </c>
      <c r="BT992" s="9" t="s">
        <v>832</v>
      </c>
      <c r="BU992" s="10">
        <v>161</v>
      </c>
      <c r="BV992" s="9" t="s">
        <v>385</v>
      </c>
      <c r="BW992" s="10">
        <v>161</v>
      </c>
      <c r="BX992" s="10">
        <v>159.1</v>
      </c>
      <c r="BY992" s="10">
        <v>130</v>
      </c>
      <c r="BZ992" s="10">
        <v>141</v>
      </c>
      <c r="CA992" s="10">
        <v>118</v>
      </c>
      <c r="CB992" s="10">
        <v>82</v>
      </c>
      <c r="CC992" s="10">
        <v>107</v>
      </c>
      <c r="CD992" s="10">
        <v>15.7</v>
      </c>
      <c r="CE992" s="10">
        <v>1564</v>
      </c>
      <c r="CF992" s="10">
        <v>0.95</v>
      </c>
      <c r="CG992" s="10">
        <v>1482</v>
      </c>
      <c r="CH992" s="10">
        <v>156</v>
      </c>
      <c r="CI992" s="10">
        <v>56</v>
      </c>
      <c r="CJ992" s="10">
        <v>47</v>
      </c>
      <c r="CK992" s="10">
        <v>156</v>
      </c>
      <c r="CL992" s="10">
        <v>36</v>
      </c>
      <c r="CM992" s="10">
        <v>139</v>
      </c>
      <c r="CN992" s="10">
        <v>0.752</v>
      </c>
      <c r="CO992" s="10">
        <v>94</v>
      </c>
      <c r="CP992" s="10">
        <v>90</v>
      </c>
      <c r="CQ992" s="10">
        <v>62</v>
      </c>
      <c r="CR992" s="10">
        <v>9</v>
      </c>
      <c r="CS992" s="10">
        <v>-1.3</v>
      </c>
      <c r="CT992" s="9" t="s">
        <v>188</v>
      </c>
      <c r="CU992" s="10"/>
      <c r="CV992" s="10"/>
      <c r="CW992" s="10"/>
      <c r="CX992" t="str">
        <f>INDEX('Data_Price '!AG$2:AG$1266,MATCH(Data!$DN992,'Data_Price '!$AT$2:$AT$1266,0))</f>
        <v>Fischer Nightstick Team Jr. 161cm</v>
      </c>
      <c r="CY992" t="str">
        <f>INDEX('Data_Price '!AH$2:AH$1266,MATCH(Data!$DN992,'Data_Price '!$AT$2:$AT$1266,0))</f>
        <v>Sundance Ski and Board Shop</v>
      </c>
      <c r="CZ992">
        <f>INDEX('Data_Price '!AI$2:AI$1266,MATCH(Data!$DN992,'Data_Price '!$AT$2:$AT$1266,0))</f>
        <v>200.35</v>
      </c>
      <c r="DA992" t="str">
        <f>INDEX('Data_Price '!AJ$2:AJ$1266,MATCH(Data!$DN992,'Data_Price '!$AT$2:$AT$1266,0))</f>
        <v>https://tinyurl.com/yamwxwht</v>
      </c>
      <c r="DB992" t="str">
        <f>INDEX('Data_Price '!AK$2:AK$1266,MATCH(Data!$DN992,'Data_Price '!$AT$2:$AT$1266,0))</f>
        <v>Fischer RC ONE 86 GT Flat Skis 2021</v>
      </c>
      <c r="DC992" t="str">
        <f>INDEX('Data_Price '!AL$2:AL$1266,MATCH(Data!$DN992,'Data_Price '!$AT$2:$AT$1266,0))</f>
        <v>Level Nine Sports</v>
      </c>
      <c r="DD992">
        <f>INDEX('Data_Price '!AM$2:AM$1266,MATCH(Data!$DN992,'Data_Price '!$AT$2:$AT$1266,0))</f>
        <v>399.99</v>
      </c>
      <c r="DE992" t="str">
        <f>INDEX('Data_Price '!AN$2:AN$1266,MATCH(Data!$DN992,'Data_Price '!$AT$2:$AT$1266,0))</f>
        <v>https://tinyurl.com/yb5dak8b</v>
      </c>
      <c r="DF992" t="str">
        <f>INDEX('Data_Price '!AO$2:AO$1266,MATCH(Data!$DN992,'Data_Price '!$AT$2:$AT$1266,0))</f>
        <v>Fischer GT 86 Skis with Integrated Fischer Binding 161cm (2100702)</v>
      </c>
      <c r="DG992" t="str">
        <f>INDEX('Data_Price '!AP$2:AP$1266,MATCH(Data!$DN992,'Data_Price '!$AT$2:$AT$1266,0))</f>
        <v>SidelineSwap</v>
      </c>
      <c r="DH992">
        <f>INDEX('Data_Price '!AQ$2:AQ$1266,MATCH(Data!$DN992,'Data_Price '!$AT$2:$AT$1266,0))</f>
        <v>499</v>
      </c>
      <c r="DI992" t="str">
        <f>INDEX('Data_Price '!AR$2:AR$1266,MATCH(Data!$DN992,'Data_Price '!$AT$2:$AT$1266,0))</f>
        <v>https://tinyurl.com/ycswnu6b</v>
      </c>
      <c r="DJ992" s="89" t="str">
        <f t="shared" si="587"/>
        <v>https://tinyurl.com/yamwxwht</v>
      </c>
      <c r="DK992" s="89" t="str">
        <f t="shared" si="588"/>
        <v>https://tinyurl.com/yb5dak8b</v>
      </c>
      <c r="DL992" s="89" t="str">
        <f t="shared" si="589"/>
        <v>https://tinyurl.com/ycswnu6b</v>
      </c>
      <c r="DM992" s="219" t="str">
        <f t="shared" si="590"/>
        <v>Nightstick Team</v>
      </c>
      <c r="DN992" s="89" t="str">
        <f t="shared" si="591"/>
        <v xml:space="preserve"> FischerNightstick Team161 Junior</v>
      </c>
      <c r="DO992" s="221"/>
    </row>
    <row r="993" spans="2:119" ht="15.6" customHeight="1">
      <c r="B993" s="219" t="b">
        <f t="array" ref="B993">IF(OR(ISERROR(K993:P993)),FALSE,TRUE)</f>
        <v>1</v>
      </c>
      <c r="C993" s="43" t="b">
        <f>OR(BR993=Driver!$G$50,Data!BR390=Driver!$H$50)</f>
        <v>1</v>
      </c>
      <c r="D993" s="43" t="b">
        <f>OR(BV993=Driver!$G$51,BV993=Driver!$H$51)</f>
        <v>1</v>
      </c>
      <c r="E993" s="43" t="b">
        <f>AND(BX993&gt;Driver!$F$54,BX993&lt;Driver!$G$54)</f>
        <v>0</v>
      </c>
      <c r="F993" s="43" t="b">
        <f>CL993&gt;Driver!$F$56</f>
        <v>1</v>
      </c>
      <c r="G993" s="43" t="b">
        <f>AND(CB993&gt;Driver!$F$55,CB993&lt;Driver!$G$55)</f>
        <v>0</v>
      </c>
      <c r="H993" s="43" t="b">
        <f t="shared" si="555"/>
        <v>0</v>
      </c>
      <c r="I993" s="43">
        <f t="shared" si="556"/>
        <v>0</v>
      </c>
      <c r="J993" s="43" t="b">
        <f t="array" ref="J993">NOT(OR(($H$9:$H$1273=TRUE)*($I$9:$I$1273&gt;0)*($BT$9:$BT$1273=BT993)*($K$9:$K$1273&gt;K993)))</f>
        <v>1</v>
      </c>
      <c r="K993" s="72">
        <f t="shared" si="557"/>
        <v>0.82525161718453488</v>
      </c>
      <c r="L993" s="72">
        <f t="shared" si="558"/>
        <v>0.84246901227881754</v>
      </c>
      <c r="M993" s="72">
        <f t="shared" si="559"/>
        <v>0.80803422209025222</v>
      </c>
      <c r="N993" s="72">
        <f t="shared" si="560"/>
        <v>0.85613031098431269</v>
      </c>
      <c r="O993" s="72">
        <f t="shared" si="561"/>
        <v>0.72072117633385047</v>
      </c>
      <c r="P993" s="72">
        <f t="shared" si="562"/>
        <v>0.84725117895259361</v>
      </c>
      <c r="Q993" s="72"/>
      <c r="R993" s="72"/>
      <c r="S993" s="72">
        <f t="shared" si="563"/>
        <v>0.41120188872105878</v>
      </c>
      <c r="T993" s="72">
        <f t="shared" si="564"/>
        <v>0.46022842898018923</v>
      </c>
      <c r="U993" s="72">
        <f t="shared" si="565"/>
        <v>0.58685035906321958</v>
      </c>
      <c r="V993" s="72">
        <f t="shared" si="566"/>
        <v>0.52890466929144253</v>
      </c>
      <c r="W993" s="72">
        <f t="shared" si="567"/>
        <v>0.94426529255319147</v>
      </c>
      <c r="X993" s="72">
        <f t="shared" si="568"/>
        <v>0.15753098772118246</v>
      </c>
      <c r="Y993" s="72">
        <f t="shared" si="569"/>
        <v>0.19196577790974775</v>
      </c>
      <c r="Z993" s="72">
        <f t="shared" si="570"/>
        <v>0.14386968901568731</v>
      </c>
      <c r="AA993" s="72">
        <f t="shared" si="571"/>
        <v>0.27927882366614953</v>
      </c>
      <c r="AB993" s="72">
        <f t="shared" si="572"/>
        <v>0.15274882104740634</v>
      </c>
      <c r="AC993" s="72"/>
      <c r="AD993" s="72"/>
      <c r="AE993" s="72">
        <f t="shared" si="573"/>
        <v>0.58879811127894122</v>
      </c>
      <c r="AF993" s="72">
        <f t="shared" si="574"/>
        <v>0.53977157101981077</v>
      </c>
      <c r="AG993" s="72">
        <f t="shared" si="575"/>
        <v>0.41314964093678042</v>
      </c>
      <c r="AH993" s="72">
        <f t="shared" si="576"/>
        <v>0.47109533070855747</v>
      </c>
      <c r="AI993" s="72">
        <f t="shared" si="577"/>
        <v>5.5734707446808501E-2</v>
      </c>
      <c r="AJ993" s="72">
        <f>(AV993-Driver!$K$179)/(Driver!$L$179-Driver!$K$179)</f>
        <v>9.6688421561517982E-2</v>
      </c>
      <c r="AK993" s="72">
        <f>(AW993-Driver!$K$180)/(Driver!$L$180-Driver!$K$180)</f>
        <v>0.11073276295746161</v>
      </c>
      <c r="AL993" s="72">
        <f>(AX993-Driver!$K$181)/(Driver!$L$181-Driver!$K$181)</f>
        <v>0.24555745272876747</v>
      </c>
      <c r="AM993" s="72">
        <f>(AY993-Driver!$K$182)/(Driver!$L$182-Driver!$K$182)</f>
        <v>0.1681061974308968</v>
      </c>
      <c r="AN993" s="72">
        <f>(AZ993-Driver!$K$183)/(Driver!$L$183-Driver!$K$183)</f>
        <v>0.1014705882352941</v>
      </c>
      <c r="AO993" s="72"/>
      <c r="AP993" s="72"/>
      <c r="AQ993" s="72">
        <f>(BC993-Driver!$K$188)/(Driver!$L$188-Driver!$K$188)</f>
        <v>3.1201888721058776E-2</v>
      </c>
      <c r="AR993" s="72">
        <f>MIN((BD993-Driver!$K$189)/(Driver!$L$189-Driver!$K$189),100%)</f>
        <v>1.022842898018927E-2</v>
      </c>
      <c r="AS993" s="72">
        <f>(BE993-Driver!$K$190)/(Driver!$L$190-Driver!$K$190)</f>
        <v>9.6850359063219607E-2</v>
      </c>
      <c r="AT993" s="72">
        <f>(BF993-Driver!$K$191)/(Driver!$L$191-Driver!$K$191)</f>
        <v>3.8904669291442533E-2</v>
      </c>
      <c r="AU993" s="72">
        <f>(BG993-Driver!$K$192)/(Driver!$L$192-Driver!$K$192)</f>
        <v>0.1942652925531915</v>
      </c>
      <c r="AV993" s="70">
        <f t="shared" si="578"/>
        <v>2.0350020350020346</v>
      </c>
      <c r="AW993" s="70">
        <f t="shared" si="579"/>
        <v>12.663781563757738</v>
      </c>
      <c r="AX993" s="70">
        <f t="shared" si="580"/>
        <v>3.2100170745589072</v>
      </c>
      <c r="AY993" s="70">
        <f>IFERROR(Driver!$K$19/Data!BH993/Data!BI993*Data!BK993*Data!BL993,"")</f>
        <v>0.2058121437036704</v>
      </c>
      <c r="AZ993" s="70">
        <f t="shared" si="581"/>
        <v>9.2479523454951593</v>
      </c>
      <c r="BA993" s="70"/>
      <c r="BB993" s="70"/>
      <c r="BC993" s="70">
        <f t="shared" si="582"/>
        <v>16.184636591624486</v>
      </c>
      <c r="BD993" s="70">
        <f t="shared" si="583"/>
        <v>2.6260207251407603</v>
      </c>
      <c r="BE993" s="70">
        <f t="shared" si="584"/>
        <v>9.701147079378053E-2</v>
      </c>
      <c r="BF993" s="70">
        <f t="shared" si="585"/>
        <v>4.3940090756977845</v>
      </c>
      <c r="BG993" s="70">
        <f t="shared" si="586"/>
        <v>0.73561232546542565</v>
      </c>
      <c r="BH993" s="67">
        <f>MAX((CE993-Driver!$F$200)/(Driver!$G$200-Driver!$F$200)*$BI$1,1)</f>
        <v>3.2100170745589072</v>
      </c>
      <c r="BI993" s="67">
        <f>MAX($BI$1*(BY993-Driver!$F$201)/(Driver!$G$201-Driver!$F$201),1)</f>
        <v>5.8227848101265822</v>
      </c>
      <c r="BJ993" s="67">
        <f>(CB993-Driver!$F$206)/(Driver!$G$206-Driver!$F$206)*$BI$1</f>
        <v>3.9682539682539679</v>
      </c>
      <c r="BK993" s="67">
        <f>(CD993-Driver!$F$203)/(Driver!$G$203-Driver!$F$203)*$BI$1</f>
        <v>3.4862385321100922</v>
      </c>
      <c r="BL993" s="67">
        <f>MAX((CR993-Driver!$F$202)/(Driver!$G$202-Driver!$F$202)*$BI$1,1)</f>
        <v>5.5172413793103452</v>
      </c>
      <c r="BM993" s="67">
        <f>MAX((CH993-Driver!$F$204)/(Driver!$G$204-Driver!$F$204)*$BI$1,1)</f>
        <v>2.0512820512820511</v>
      </c>
      <c r="BN993" s="67">
        <f>(CI993-Driver!$F$205)/(Driver!$G$205-Driver!$F$205)*$BI$1</f>
        <v>1.588235294117647</v>
      </c>
      <c r="BO993" s="67">
        <f>(CK993-Driver!$F$207)/(Driver!$G$207-Driver!$F$207)*$BI$1</f>
        <v>1.5305067218200621</v>
      </c>
      <c r="BP993" s="67">
        <f>(CM993-Driver!$F$208)/(Driver!$G$208-Driver!$F$208)*$BI$1</f>
        <v>2.5222222222222221</v>
      </c>
      <c r="BQ993" s="67">
        <f>(CL993-Driver!$F$209)/(Driver!$G$209-Driver!$F$209)*$BI$1</f>
        <v>4.84375</v>
      </c>
      <c r="BR993" s="28" t="s">
        <v>155</v>
      </c>
      <c r="BS993" s="8" t="s">
        <v>202</v>
      </c>
      <c r="BT993" s="9" t="s">
        <v>602</v>
      </c>
      <c r="BU993" s="10">
        <v>150</v>
      </c>
      <c r="BV993" s="9" t="s">
        <v>158</v>
      </c>
      <c r="BW993" s="10">
        <v>150</v>
      </c>
      <c r="BX993" s="10">
        <v>148.5</v>
      </c>
      <c r="BY993" s="10">
        <v>100</v>
      </c>
      <c r="BZ993" s="10">
        <v>123</v>
      </c>
      <c r="CA993" s="10">
        <v>118</v>
      </c>
      <c r="CB993" s="10">
        <v>89</v>
      </c>
      <c r="CC993" s="10">
        <v>107</v>
      </c>
      <c r="CD993" s="10">
        <v>17</v>
      </c>
      <c r="CE993" s="10">
        <v>1464</v>
      </c>
      <c r="CF993" s="10">
        <v>0.99</v>
      </c>
      <c r="CG993" s="10">
        <v>1453</v>
      </c>
      <c r="CH993" s="10">
        <v>149</v>
      </c>
      <c r="CI993" s="10">
        <v>60</v>
      </c>
      <c r="CJ993" s="10">
        <v>50</v>
      </c>
      <c r="CK993" s="10">
        <v>258</v>
      </c>
      <c r="CL993" s="10">
        <v>31</v>
      </c>
      <c r="CM993" s="10">
        <v>227</v>
      </c>
      <c r="CN993" s="10">
        <v>0.63</v>
      </c>
      <c r="CO993" s="10">
        <v>126</v>
      </c>
      <c r="CP993" s="10">
        <v>132</v>
      </c>
      <c r="CQ993" s="10">
        <v>132</v>
      </c>
      <c r="CR993" s="10">
        <v>5</v>
      </c>
      <c r="CS993" s="10">
        <v>6.8</v>
      </c>
      <c r="CT993" s="9" t="s">
        <v>188</v>
      </c>
      <c r="CU993" s="10"/>
      <c r="CV993" s="10"/>
      <c r="CW993" s="10"/>
      <c r="CX993" t="str">
        <f>INDEX('Data_Price '!AG$2:AG$1266,MATCH(Data!$DN993,'Data_Price '!$AT$2:$AT$1266,0))</f>
        <v>Dynastar M-MENACE 90 Skis 2022</v>
      </c>
      <c r="CY993" t="str">
        <f>INDEX('Data_Price '!AH$2:AH$1266,MATCH(Data!$DN993,'Data_Price '!$AT$2:$AT$1266,0))</f>
        <v>Level Nine Sports</v>
      </c>
      <c r="CZ993">
        <f>INDEX('Data_Price '!AI$2:AI$1266,MATCH(Data!$DN993,'Data_Price '!$AT$2:$AT$1266,0))</f>
        <v>349.95</v>
      </c>
      <c r="DA993" t="str">
        <f>INDEX('Data_Price '!AJ$2:AJ$1266,MATCH(Data!$DN993,'Data_Price '!$AT$2:$AT$1266,0))</f>
        <v>https://tinyurl.com/ycvf2a44</v>
      </c>
      <c r="DB993" t="str">
        <f>INDEX('Data_Price '!AK$2:AK$1266,MATCH(Data!$DN993,'Data_Price '!$AT$2:$AT$1266,0))</f>
        <v>Dynastar Menace 90 Xpress Ski w/ Look XP 11 GW Ski Bindings - 2022 150cm w/Look XP 10 GW 93mm Bindings</v>
      </c>
      <c r="DC993" t="str">
        <f>INDEX('Data_Price '!AL$2:AL$1266,MATCH(Data!$DN993,'Data_Price '!$AT$2:$AT$1266,0))</f>
        <v>Glacier Ski Shop</v>
      </c>
      <c r="DD993">
        <f>INDEX('Data_Price '!AM$2:AM$1266,MATCH(Data!$DN993,'Data_Price '!$AT$2:$AT$1266,0))</f>
        <v>398</v>
      </c>
      <c r="DE993" t="str">
        <f>INDEX('Data_Price '!AN$2:AN$1266,MATCH(Data!$DN993,'Data_Price '!$AT$2:$AT$1266,0))</f>
        <v>https://tinyurl.com/y8aroeah</v>
      </c>
      <c r="DF993" t="str">
        <f>INDEX('Data_Price '!AO$2:AO$1266,MATCH(Data!$DN993,'Data_Price '!$AT$2:$AT$1266,0))</f>
        <v>M Menace 90 150</v>
      </c>
      <c r="DG993" t="str">
        <f>INDEX('Data_Price '!AP$2:AP$1266,MATCH(Data!$DN993,'Data_Price '!$AT$2:$AT$1266,0))</f>
        <v>Suburban Ski and Bike</v>
      </c>
      <c r="DH993">
        <f>INDEX('Data_Price '!AQ$2:AQ$1266,MATCH(Data!$DN993,'Data_Price '!$AT$2:$AT$1266,0))</f>
        <v>349.95</v>
      </c>
      <c r="DI993" t="str">
        <f>INDEX('Data_Price '!AR$2:AR$1266,MATCH(Data!$DN993,'Data_Price '!$AT$2:$AT$1266,0))</f>
        <v>https://tinyurl.com/ybz56dwp</v>
      </c>
      <c r="DJ993" s="89" t="str">
        <f t="shared" si="587"/>
        <v>https://tinyurl.com/ycvf2a44</v>
      </c>
      <c r="DK993" s="89" t="str">
        <f t="shared" si="588"/>
        <v>https://tinyurl.com/y8aroeah</v>
      </c>
      <c r="DL993" s="89" t="str">
        <f t="shared" si="589"/>
        <v>https://tinyurl.com/ybz56dwp</v>
      </c>
      <c r="DM993" s="219" t="str">
        <f t="shared" si="590"/>
        <v>M-Menace 90</v>
      </c>
      <c r="DN993" s="89" t="str">
        <f t="shared" si="591"/>
        <v xml:space="preserve"> DynastarM-Menace 90150 Unisex</v>
      </c>
      <c r="DO993" s="221"/>
    </row>
    <row r="994" spans="2:119" ht="15.6" customHeight="1">
      <c r="B994" s="219" t="b">
        <f t="array" ref="B994">IF(OR(ISERROR(K994:P994)),FALSE,TRUE)</f>
        <v>1</v>
      </c>
      <c r="C994" s="43" t="b">
        <f>OR(BR994=Driver!$G$50,Data!BR1112=Driver!$H$50)</f>
        <v>1</v>
      </c>
      <c r="D994" s="43" t="b">
        <f>OR(BV994=Driver!$G$51,BV994=Driver!$H$51)</f>
        <v>1</v>
      </c>
      <c r="E994" s="43" t="b">
        <f>AND(BX994&gt;Driver!$F$54,BX994&lt;Driver!$G$54)</f>
        <v>0</v>
      </c>
      <c r="F994" s="43" t="b">
        <f>CL994&gt;Driver!$F$56</f>
        <v>1</v>
      </c>
      <c r="G994" s="43" t="b">
        <f>AND(CB994&gt;Driver!$F$55,CB994&lt;Driver!$G$55)</f>
        <v>0</v>
      </c>
      <c r="H994" s="43" t="b">
        <f t="shared" si="555"/>
        <v>0</v>
      </c>
      <c r="I994" s="43">
        <f t="shared" si="556"/>
        <v>0</v>
      </c>
      <c r="J994" s="43" t="b">
        <f t="array" ref="J994">NOT(OR(($H$9:$H$1273=TRUE)*($I$9:$I$1273&gt;0)*($BT$9:$BT$1273=BT994)*($K$9:$K$1273&gt;K994)))</f>
        <v>1</v>
      </c>
      <c r="K994" s="72">
        <f t="shared" si="557"/>
        <v>0.75881918978799334</v>
      </c>
      <c r="L994" s="72">
        <f t="shared" si="558"/>
        <v>0.91202297063956128</v>
      </c>
      <c r="M994" s="72">
        <f t="shared" si="559"/>
        <v>0.6056154089364254</v>
      </c>
      <c r="N994" s="72">
        <f t="shared" si="560"/>
        <v>0.4469732882814732</v>
      </c>
      <c r="O994" s="72">
        <f t="shared" si="561"/>
        <v>0.64261431355882814</v>
      </c>
      <c r="P994" s="72">
        <f t="shared" si="562"/>
        <v>0.72725862496897498</v>
      </c>
      <c r="Q994" s="72"/>
      <c r="R994" s="72"/>
      <c r="S994" s="72">
        <f t="shared" si="563"/>
        <v>0.56763793434387222</v>
      </c>
      <c r="T994" s="72">
        <f t="shared" si="564"/>
        <v>0.57271737026694058</v>
      </c>
      <c r="U994" s="72">
        <f t="shared" si="565"/>
        <v>0.77124037009045199</v>
      </c>
      <c r="V994" s="72">
        <f t="shared" si="566"/>
        <v>0.51901445615687225</v>
      </c>
      <c r="W994" s="72">
        <f t="shared" si="567"/>
        <v>0.75920304749046152</v>
      </c>
      <c r="X994" s="72">
        <f t="shared" si="568"/>
        <v>8.7977029360438663E-2</v>
      </c>
      <c r="Y994" s="72">
        <f t="shared" si="569"/>
        <v>0.3943845910635746</v>
      </c>
      <c r="Z994" s="72">
        <f t="shared" si="570"/>
        <v>0.5530267117185268</v>
      </c>
      <c r="AA994" s="72">
        <f t="shared" si="571"/>
        <v>0.35738568644117186</v>
      </c>
      <c r="AB994" s="72">
        <f t="shared" si="572"/>
        <v>0.27274137503102508</v>
      </c>
      <c r="AC994" s="72"/>
      <c r="AD994" s="72"/>
      <c r="AE994" s="72">
        <f t="shared" si="573"/>
        <v>0.43236206565612784</v>
      </c>
      <c r="AF994" s="72">
        <f t="shared" si="574"/>
        <v>0.42728262973305942</v>
      </c>
      <c r="AG994" s="72">
        <f t="shared" si="575"/>
        <v>0.22875962990954807</v>
      </c>
      <c r="AH994" s="72">
        <f t="shared" si="576"/>
        <v>0.48098554384312775</v>
      </c>
      <c r="AI994" s="72">
        <f t="shared" si="577"/>
        <v>0.24079695250953848</v>
      </c>
      <c r="AJ994" s="72">
        <f>(AV994-Driver!$K$179)/(Driver!$L$179-Driver!$K$179)</f>
        <v>0.34219643864313909</v>
      </c>
      <c r="AK994" s="72">
        <f>(AW994-Driver!$K$180)/(Driver!$L$180-Driver!$K$180)</f>
        <v>0.5454355700812491</v>
      </c>
      <c r="AL994" s="72">
        <f>(AX994-Driver!$K$181)/(Driver!$L$181-Driver!$K$181)</f>
        <v>0.65471447543160699</v>
      </c>
      <c r="AM994" s="72">
        <f>(AY994-Driver!$K$182)/(Driver!$L$182-Driver!$K$182)</f>
        <v>8.999933465587448E-2</v>
      </c>
      <c r="AN994" s="72">
        <f>(AZ994-Driver!$K$183)/(Driver!$L$183-Driver!$K$183)</f>
        <v>0.52696078431372551</v>
      </c>
      <c r="AO994" s="72"/>
      <c r="AP994" s="72"/>
      <c r="AQ994" s="72">
        <f>(BC994-Driver!$K$188)/(Driver!$L$188-Driver!$K$188)</f>
        <v>0.18763793434387216</v>
      </c>
      <c r="AR994" s="72">
        <f>MIN((BD994-Driver!$K$189)/(Driver!$L$189-Driver!$K$189),100%)</f>
        <v>0.12271737026694064</v>
      </c>
      <c r="AS994" s="72">
        <f>(BE994-Driver!$K$190)/(Driver!$L$190-Driver!$K$190)</f>
        <v>0.28124037009045194</v>
      </c>
      <c r="AT994" s="72">
        <f>(BF994-Driver!$K$191)/(Driver!$L$191-Driver!$K$191)</f>
        <v>2.9014456156872283E-2</v>
      </c>
      <c r="AU994" s="72">
        <f>(BG994-Driver!$K$192)/(Driver!$L$192-Driver!$K$192)</f>
        <v>9.203047490461521E-3</v>
      </c>
      <c r="AV994" s="70">
        <f t="shared" si="578"/>
        <v>7.2022113688780349</v>
      </c>
      <c r="AW994" s="70">
        <f t="shared" si="579"/>
        <v>55.029421976685406</v>
      </c>
      <c r="AX994" s="70">
        <f t="shared" si="580"/>
        <v>6.8924302788844631</v>
      </c>
      <c r="AY994" s="70">
        <f>IFERROR(Driver!$K$19/Data!BH994/Data!BI994*Data!BK994*Data!BL994,"")</f>
        <v>0.11018603882848382</v>
      </c>
      <c r="AZ994" s="70">
        <f t="shared" si="581"/>
        <v>48.026805658972457</v>
      </c>
      <c r="BA994" s="70"/>
      <c r="BB994" s="70"/>
      <c r="BC994" s="70">
        <f t="shared" si="582"/>
        <v>97.329100981923389</v>
      </c>
      <c r="BD994" s="70">
        <f t="shared" si="583"/>
        <v>12.581092710408599</v>
      </c>
      <c r="BE994" s="70">
        <f t="shared" si="584"/>
        <v>0.28136858871844361</v>
      </c>
      <c r="BF994" s="70">
        <f t="shared" si="585"/>
        <v>3.2769789848277906</v>
      </c>
      <c r="BG994" s="70">
        <f t="shared" si="586"/>
        <v>3.4848608708493309E-2</v>
      </c>
      <c r="BH994" s="67">
        <f>MAX((CE994-Driver!$F$200)/(Driver!$G$200-Driver!$F$200)*$BI$1,1)</f>
        <v>6.8924302788844631</v>
      </c>
      <c r="BI994" s="67">
        <f>MAX($BI$1*(BY994-Driver!$F$201)/(Driver!$G$201-Driver!$F$201),1)</f>
        <v>8.1645569620253173</v>
      </c>
      <c r="BJ994" s="67">
        <f>(CB994-Driver!$F$206)/(Driver!$G$206-Driver!$F$206)*$BI$1</f>
        <v>4.92063492063492</v>
      </c>
      <c r="BK994" s="67">
        <f>(CD994-Driver!$F$203)/(Driver!$G$203-Driver!$F$203)*$BI$1</f>
        <v>4.4954128440366974</v>
      </c>
      <c r="BL994" s="67">
        <f>MAX((CR994-Driver!$F$202)/(Driver!$G$202-Driver!$F$202)*$BI$1,1)</f>
        <v>6.8965517241379315</v>
      </c>
      <c r="BM994" s="67">
        <f>MAX((CH994-Driver!$F$204)/(Driver!$G$204-Driver!$F$204)*$BI$1,1)</f>
        <v>5.8547008547008552</v>
      </c>
      <c r="BN994" s="67">
        <f>(CI994-Driver!$F$205)/(Driver!$G$205-Driver!$F$205)*$BI$1</f>
        <v>5.882352941176471</v>
      </c>
      <c r="BO994" s="67">
        <f>(CK994-Driver!$F$207)/(Driver!$G$207-Driver!$F$207)*$BI$1</f>
        <v>1.3960703205791105</v>
      </c>
      <c r="BP994" s="67">
        <f>(CM994-Driver!$F$208)/(Driver!$G$208-Driver!$F$208)*$BI$1</f>
        <v>2.1444444444444444</v>
      </c>
      <c r="BQ994" s="67">
        <f>(CL994-Driver!$F$209)/(Driver!$G$209-Driver!$F$209)*$BI$1</f>
        <v>1.40625</v>
      </c>
      <c r="BR994" s="28" t="s">
        <v>155</v>
      </c>
      <c r="BS994" s="8" t="s">
        <v>174</v>
      </c>
      <c r="BT994" s="9" t="s">
        <v>516</v>
      </c>
      <c r="BU994" s="10">
        <v>182</v>
      </c>
      <c r="BV994" s="9" t="s">
        <v>158</v>
      </c>
      <c r="BW994" s="10">
        <v>182</v>
      </c>
      <c r="BX994" s="10">
        <v>181</v>
      </c>
      <c r="BY994" s="10">
        <v>137</v>
      </c>
      <c r="BZ994" s="10">
        <v>152</v>
      </c>
      <c r="CA994" s="10">
        <v>132</v>
      </c>
      <c r="CB994" s="10">
        <v>95</v>
      </c>
      <c r="CC994" s="10">
        <v>113</v>
      </c>
      <c r="CD994" s="10">
        <v>19.2</v>
      </c>
      <c r="CE994" s="10">
        <v>2111</v>
      </c>
      <c r="CF994" s="10">
        <v>0.92</v>
      </c>
      <c r="CG994" s="10">
        <v>1936</v>
      </c>
      <c r="CH994" s="10">
        <v>238</v>
      </c>
      <c r="CI994" s="10">
        <v>133</v>
      </c>
      <c r="CJ994" s="10">
        <v>49</v>
      </c>
      <c r="CK994" s="10">
        <v>245</v>
      </c>
      <c r="CL994" s="10">
        <v>9</v>
      </c>
      <c r="CM994" s="10">
        <v>193</v>
      </c>
      <c r="CN994" s="10">
        <v>0.191</v>
      </c>
      <c r="CO994" s="10">
        <v>159</v>
      </c>
      <c r="CP994" s="10">
        <v>134</v>
      </c>
      <c r="CQ994" s="10">
        <v>86</v>
      </c>
      <c r="CR994" s="10">
        <v>9</v>
      </c>
      <c r="CS994" s="10">
        <v>9.6</v>
      </c>
      <c r="CT994" s="9" t="s">
        <v>188</v>
      </c>
      <c r="CU994" s="10"/>
      <c r="CV994" s="10"/>
      <c r="CW994" s="10"/>
      <c r="CX994" t="str">
        <f>INDEX('Data_Price '!AG$2:AG$1266,MATCH(Data!$DN994,'Data_Price '!$AT$2:$AT$1266,0))</f>
        <v xml:space="preserve"> 2021 Salomon Stance 96 Demo Ski with Bindings Size 182 (Option 210067)</v>
      </c>
      <c r="CY994" t="str">
        <f>INDEX('Data_Price '!AH$2:AH$1266,MATCH(Data!$DN994,'Data_Price '!$AT$2:$AT$1266,0))</f>
        <v>SidelineSwap</v>
      </c>
      <c r="CZ994">
        <f>INDEX('Data_Price '!AI$2:AI$1266,MATCH(Data!$DN994,'Data_Price '!$AT$2:$AT$1266,0))</f>
        <v>449</v>
      </c>
      <c r="DA994" t="str">
        <f>INDEX('Data_Price '!AJ$2:AJ$1266,MATCH(Data!$DN994,'Data_Price '!$AT$2:$AT$1266,0))</f>
        <v>https://tinyurl.com/yarcy6qs</v>
      </c>
      <c r="DB994" t="str">
        <f>INDEX('Data_Price '!AK$2:AK$1266,MATCH(Data!$DN994,'Data_Price '!$AT$2:$AT$1266,0))</f>
        <v>Salomon N Stance 96 182cm</v>
      </c>
      <c r="DC994" t="str">
        <f>INDEX('Data_Price '!AL$2:AL$1266,MATCH(Data!$DN994,'Data_Price '!$AT$2:$AT$1266,0))</f>
        <v>Sundance Ski and Board Shop</v>
      </c>
      <c r="DD994">
        <f>INDEX('Data_Price '!AM$2:AM$1266,MATCH(Data!$DN994,'Data_Price '!$AT$2:$AT$1266,0))</f>
        <v>480.86</v>
      </c>
      <c r="DE994" t="str">
        <f>INDEX('Data_Price '!AN$2:AN$1266,MATCH(Data!$DN994,'Data_Price '!$AT$2:$AT$1266,0))</f>
        <v>https://tinyurl.com/y9v7ybmt</v>
      </c>
      <c r="DF994" t="str">
        <f>INDEX('Data_Price '!AO$2:AO$1266,MATCH(Data!$DN994,'Data_Price '!$AT$2:$AT$1266,0))</f>
        <v>Salomon Stance 96 Skis</v>
      </c>
      <c r="DG994" t="str">
        <f>INDEX('Data_Price '!AP$2:AP$1266,MATCH(Data!$DN994,'Data_Price '!$AT$2:$AT$1266,0))</f>
        <v>Gorham Bike and Ski</v>
      </c>
      <c r="DH994">
        <f>INDEX('Data_Price '!AQ$2:AQ$1266,MATCH(Data!$DN994,'Data_Price '!$AT$2:$AT$1266,0))</f>
        <v>489.99</v>
      </c>
      <c r="DI994" t="str">
        <f>INDEX('Data_Price '!AR$2:AR$1266,MATCH(Data!$DN994,'Data_Price '!$AT$2:$AT$1266,0))</f>
        <v>https://tinyurl.com/ya22cxc8</v>
      </c>
      <c r="DJ994" s="89" t="str">
        <f t="shared" si="587"/>
        <v>https://tinyurl.com/yarcy6qs</v>
      </c>
      <c r="DK994" s="89" t="str">
        <f t="shared" si="588"/>
        <v>https://tinyurl.com/y9v7ybmt</v>
      </c>
      <c r="DL994" s="89" t="str">
        <f t="shared" si="589"/>
        <v>https://tinyurl.com/ya22cxc8</v>
      </c>
      <c r="DM994" s="219" t="str">
        <f t="shared" si="590"/>
        <v>Stance 96</v>
      </c>
      <c r="DN994" s="89" t="str">
        <f t="shared" si="591"/>
        <v xml:space="preserve"> SalomonStance 96182 Unisex</v>
      </c>
      <c r="DO994" s="221" t="s">
        <v>517</v>
      </c>
    </row>
    <row r="995" spans="2:119" ht="15.6" customHeight="1">
      <c r="B995" s="219" t="b">
        <f t="array" ref="B995">IF(OR(ISERROR(K995:P995)),FALSE,TRUE)</f>
        <v>1</v>
      </c>
      <c r="C995" s="43" t="b">
        <f>OR(BR995=Driver!$G$50,Data!BR809=Driver!$H$50)</f>
        <v>1</v>
      </c>
      <c r="D995" s="43" t="b">
        <f>OR(BV995=Driver!$G$51,BV995=Driver!$H$51)</f>
        <v>0</v>
      </c>
      <c r="E995" s="43" t="b">
        <f>AND(BX995&gt;Driver!$F$54,BX995&lt;Driver!$G$54)</f>
        <v>0</v>
      </c>
      <c r="F995" s="43" t="b">
        <f>CL995&gt;Driver!$F$56</f>
        <v>1</v>
      </c>
      <c r="G995" s="43" t="b">
        <f>AND(CB995&gt;Driver!$F$55,CB995&lt;Driver!$G$55)</f>
        <v>0</v>
      </c>
      <c r="H995" s="43" t="b">
        <f t="shared" si="555"/>
        <v>0</v>
      </c>
      <c r="I995" s="43">
        <f t="shared" si="556"/>
        <v>0</v>
      </c>
      <c r="J995" s="43" t="b">
        <f t="array" ref="J995">NOT(OR(($H$9:$H$1273=TRUE)*($I$9:$I$1273&gt;0)*($BT$9:$BT$1273=BT995)*($K$9:$K$1273&gt;K995)))</f>
        <v>1</v>
      </c>
      <c r="K995" s="72">
        <f t="shared" si="557"/>
        <v>0.81366667125468695</v>
      </c>
      <c r="L995" s="72">
        <f t="shared" si="558"/>
        <v>0.8358619701387805</v>
      </c>
      <c r="M995" s="72">
        <f t="shared" si="559"/>
        <v>0.7914713723705934</v>
      </c>
      <c r="N995" s="72">
        <f t="shared" si="560"/>
        <v>0.88395551809238837</v>
      </c>
      <c r="O995" s="72">
        <f t="shared" si="561"/>
        <v>0.61244761614522947</v>
      </c>
      <c r="P995" s="72">
        <f t="shared" si="562"/>
        <v>0.87801098287416224</v>
      </c>
      <c r="Q995" s="72"/>
      <c r="R995" s="72"/>
      <c r="S995" s="72">
        <f t="shared" si="563"/>
        <v>0.39259078973523953</v>
      </c>
      <c r="T995" s="72">
        <f t="shared" si="564"/>
        <v>0.50051617330810849</v>
      </c>
      <c r="U995" s="72">
        <f t="shared" si="565"/>
        <v>0.57022476392823029</v>
      </c>
      <c r="V995" s="72">
        <f t="shared" si="566"/>
        <v>0.71334341964739567</v>
      </c>
      <c r="W995" s="72">
        <f t="shared" si="567"/>
        <v>0.90933139534883711</v>
      </c>
      <c r="X995" s="72">
        <f t="shared" si="568"/>
        <v>0.1641380298612195</v>
      </c>
      <c r="Y995" s="72">
        <f t="shared" si="569"/>
        <v>0.20852862762940663</v>
      </c>
      <c r="Z995" s="72">
        <f t="shared" si="570"/>
        <v>0.11604448190761167</v>
      </c>
      <c r="AA995" s="72">
        <f t="shared" si="571"/>
        <v>0.38755238385477059</v>
      </c>
      <c r="AB995" s="72">
        <f t="shared" si="572"/>
        <v>0.12198901712583771</v>
      </c>
      <c r="AC995" s="72"/>
      <c r="AD995" s="72"/>
      <c r="AE995" s="72">
        <f t="shared" si="573"/>
        <v>0.60740921026476047</v>
      </c>
      <c r="AF995" s="72">
        <f t="shared" si="574"/>
        <v>0.49948382669189156</v>
      </c>
      <c r="AG995" s="72">
        <f t="shared" si="575"/>
        <v>0.42977523607176971</v>
      </c>
      <c r="AH995" s="72">
        <f t="shared" si="576"/>
        <v>0.28665658035260433</v>
      </c>
      <c r="AI995" s="72">
        <f t="shared" si="577"/>
        <v>9.0668604651162832E-2</v>
      </c>
      <c r="AJ995" s="72">
        <f>(AV995-Driver!$K$179)/(Driver!$L$179-Driver!$K$179)</f>
        <v>9.0081379421480937E-2</v>
      </c>
      <c r="AK995" s="72">
        <f>(AW995-Driver!$K$180)/(Driver!$L$180-Driver!$K$180)</f>
        <v>0.13556825906107522</v>
      </c>
      <c r="AL995" s="72">
        <f>(AX995-Driver!$K$181)/(Driver!$L$181-Driver!$K$181)</f>
        <v>0.21773224562069185</v>
      </c>
      <c r="AM995" s="72">
        <f>(AY995-Driver!$K$182)/(Driver!$L$182-Driver!$K$182)</f>
        <v>5.9832637242275798E-2</v>
      </c>
      <c r="AN995" s="72">
        <f>(AZ995-Driver!$K$183)/(Driver!$L$183-Driver!$K$183)</f>
        <v>0.13223039215686272</v>
      </c>
      <c r="AO995" s="72"/>
      <c r="AP995" s="72"/>
      <c r="AQ995" s="72">
        <f>(BC995-Driver!$K$188)/(Driver!$L$188-Driver!$K$188)</f>
        <v>1.2590789735239546E-2</v>
      </c>
      <c r="AR995" s="72">
        <f>MIN((BD995-Driver!$K$189)/(Driver!$L$189-Driver!$K$189),100%)</f>
        <v>5.0516173308108488E-2</v>
      </c>
      <c r="AS995" s="72">
        <f>(BE995-Driver!$K$190)/(Driver!$L$190-Driver!$K$190)</f>
        <v>8.0224763928230275E-2</v>
      </c>
      <c r="AT995" s="72">
        <f>(BF995-Driver!$K$191)/(Driver!$L$191-Driver!$K$191)</f>
        <v>0.22334341964739571</v>
      </c>
      <c r="AU995" s="72">
        <f>(BG995-Driver!$K$192)/(Driver!$L$192-Driver!$K$192)</f>
        <v>0.15933139534883717</v>
      </c>
      <c r="AV995" s="70">
        <f t="shared" si="578"/>
        <v>1.8959435626102292</v>
      </c>
      <c r="AW995" s="70">
        <f t="shared" si="579"/>
        <v>15.084220723937214</v>
      </c>
      <c r="AX995" s="70">
        <f t="shared" si="580"/>
        <v>2.9595902105862266</v>
      </c>
      <c r="AY995" s="70">
        <f>IFERROR(Driver!$K$19/Data!BH995/Data!BI995*Data!BK995*Data!BL995,"")</f>
        <v>7.325300032046031E-2</v>
      </c>
      <c r="AZ995" s="70">
        <f t="shared" si="581"/>
        <v>12.051377513030527</v>
      </c>
      <c r="BA995" s="70"/>
      <c r="BB995" s="70"/>
      <c r="BC995" s="70">
        <f t="shared" si="582"/>
        <v>6.5309301654189458</v>
      </c>
      <c r="BD995" s="70">
        <f t="shared" si="583"/>
        <v>6.1914147125027732</v>
      </c>
      <c r="BE995" s="70">
        <f t="shared" si="584"/>
        <v>8.0388841477834233E-2</v>
      </c>
      <c r="BF995" s="70">
        <f t="shared" si="585"/>
        <v>25.225070172846792</v>
      </c>
      <c r="BG995" s="70">
        <f t="shared" si="586"/>
        <v>0.60333030523255804</v>
      </c>
      <c r="BH995" s="67">
        <f>MAX((CE995-Driver!$F$200)/(Driver!$G$200-Driver!$F$200)*$BI$1,1)</f>
        <v>2.9595902105862266</v>
      </c>
      <c r="BI995" s="67">
        <f>MAX($BI$1*(BY995-Driver!$F$201)/(Driver!$G$201-Driver!$F$201),1)</f>
        <v>5.2531645569620249</v>
      </c>
      <c r="BJ995" s="67">
        <f>(CB995-Driver!$F$206)/(Driver!$G$206-Driver!$F$206)*$BI$1</f>
        <v>4.1269841269841265</v>
      </c>
      <c r="BK995" s="67">
        <f>(CD995-Driver!$F$203)/(Driver!$G$203-Driver!$F$203)*$BI$1</f>
        <v>1.1009174311926608</v>
      </c>
      <c r="BL995" s="67">
        <f>MAX((CR995-Driver!$F$202)/(Driver!$G$202-Driver!$F$202)*$BI$1,1)</f>
        <v>5.1724137931034484</v>
      </c>
      <c r="BM995" s="67">
        <f>MAX((CH995-Driver!$F$204)/(Driver!$G$204-Driver!$F$204)*$BI$1,1)</f>
        <v>1.8376068376068377</v>
      </c>
      <c r="BN995" s="67">
        <f>(CI995-Driver!$F$205)/(Driver!$G$205-Driver!$F$205)*$BI$1</f>
        <v>2.2941176470588234</v>
      </c>
      <c r="BO995" s="67">
        <f>(CK995-Driver!$F$207)/(Driver!$G$207-Driver!$F$207)*$BI$1</f>
        <v>2.4922440537745603</v>
      </c>
      <c r="BP995" s="67">
        <f>(CM995-Driver!$F$208)/(Driver!$G$208-Driver!$F$208)*$BI$1</f>
        <v>2.7</v>
      </c>
      <c r="BQ995" s="67">
        <f>(CL995-Driver!$F$209)/(Driver!$G$209-Driver!$F$209)*$BI$1</f>
        <v>3.28125</v>
      </c>
      <c r="BR995" s="28" t="s">
        <v>155</v>
      </c>
      <c r="BS995" s="8" t="s">
        <v>215</v>
      </c>
      <c r="BT995" s="9" t="s">
        <v>727</v>
      </c>
      <c r="BU995" s="10">
        <v>151</v>
      </c>
      <c r="BV995" s="9" t="s">
        <v>163</v>
      </c>
      <c r="BW995" s="10">
        <v>151</v>
      </c>
      <c r="BX995" s="10">
        <v>150.19999999999999</v>
      </c>
      <c r="BY995" s="10">
        <v>91</v>
      </c>
      <c r="BZ995" s="10">
        <v>121</v>
      </c>
      <c r="CA995" s="10">
        <v>125</v>
      </c>
      <c r="CB995" s="10">
        <v>90</v>
      </c>
      <c r="CC995" s="10">
        <v>111</v>
      </c>
      <c r="CD995" s="10">
        <v>11.8</v>
      </c>
      <c r="CE995" s="10">
        <v>1420</v>
      </c>
      <c r="CF995" s="10">
        <v>1.07</v>
      </c>
      <c r="CG995" s="10">
        <v>1516</v>
      </c>
      <c r="CH995" s="10">
        <v>144</v>
      </c>
      <c r="CI995" s="10">
        <v>72</v>
      </c>
      <c r="CJ995" s="10">
        <v>44</v>
      </c>
      <c r="CK995" s="10">
        <v>351</v>
      </c>
      <c r="CL995" s="10">
        <v>21</v>
      </c>
      <c r="CM995" s="10">
        <v>243</v>
      </c>
      <c r="CN995" s="10">
        <v>0.48599999999999999</v>
      </c>
      <c r="CO995" s="10">
        <v>135</v>
      </c>
      <c r="CP995" s="10">
        <v>157</v>
      </c>
      <c r="CQ995" s="10">
        <v>216</v>
      </c>
      <c r="CR995" s="10">
        <v>4</v>
      </c>
      <c r="CS995" s="10">
        <v>7.8</v>
      </c>
      <c r="CT995" s="9" t="s">
        <v>188</v>
      </c>
      <c r="CU995" s="9" t="s">
        <v>185</v>
      </c>
      <c r="CV995" s="10"/>
      <c r="CW995" s="10"/>
      <c r="CX995" t="str">
        <f>INDEX('Data_Price '!AG$2:AG$1266,MATCH(Data!$DN995,'Data_Price '!$AT$2:$AT$1266,0))</f>
        <v>'21 Liberty Genesis 90 151cm (Tail Blem)</v>
      </c>
      <c r="CY995" t="str">
        <f>INDEX('Data_Price '!AH$2:AH$1266,MATCH(Data!$DN995,'Data_Price '!$AT$2:$AT$1266,0))</f>
        <v>Al's Ski Equipment Barn</v>
      </c>
      <c r="CZ995">
        <f>INDEX('Data_Price '!AI$2:AI$1266,MATCH(Data!$DN995,'Data_Price '!$AT$2:$AT$1266,0))</f>
        <v>369.95</v>
      </c>
      <c r="DA995" t="str">
        <f>INDEX('Data_Price '!AJ$2:AJ$1266,MATCH(Data!$DN995,'Data_Price '!$AT$2:$AT$1266,0))</f>
        <v>https://tinyurl.com/yd7rhmxo</v>
      </c>
      <c r="DB995" t="str">
        <f>INDEX('Data_Price '!AK$2:AK$1266,MATCH(Data!$DN995,'Data_Price '!$AT$2:$AT$1266,0))</f>
        <v>Liberty Genesis 90 Women's Skis - 2022 - 151cm</v>
      </c>
      <c r="DC995" t="str">
        <f>INDEX('Data_Price '!AL$2:AL$1266,MATCH(Data!$DN995,'Data_Price '!$AT$2:$AT$1266,0))</f>
        <v>ColoradoSkiShop.com</v>
      </c>
      <c r="DD995">
        <f>INDEX('Data_Price '!AM$2:AM$1266,MATCH(Data!$DN995,'Data_Price '!$AT$2:$AT$1266,0))</f>
        <v>439.99</v>
      </c>
      <c r="DE995" t="str">
        <f>INDEX('Data_Price '!AN$2:AN$1266,MATCH(Data!$DN995,'Data_Price '!$AT$2:$AT$1266,0))</f>
        <v>https://tinyurl.com/y8ugo7xp</v>
      </c>
      <c r="DF995" t="str">
        <f>INDEX('Data_Price '!AO$2:AO$1266,MATCH(Data!$DN995,'Data_Price '!$AT$2:$AT$1266,0))</f>
        <v>2022 Liberty Genesis 101 Women's Skis w/ Tyrolia Attack2 13 GW Bindings - 151| Ski Essentials</v>
      </c>
      <c r="DG995" t="str">
        <f>INDEX('Data_Price '!AP$2:AP$1266,MATCH(Data!$DN995,'Data_Price '!$AT$2:$AT$1266,0))</f>
        <v>eBay - david110549</v>
      </c>
      <c r="DH995">
        <f>INDEX('Data_Price '!AQ$2:AQ$1266,MATCH(Data!$DN995,'Data_Price '!$AT$2:$AT$1266,0))</f>
        <v>624.99</v>
      </c>
      <c r="DI995" t="str">
        <f>INDEX('Data_Price '!AR$2:AR$1266,MATCH(Data!$DN995,'Data_Price '!$AT$2:$AT$1266,0))</f>
        <v>https://tinyurl.com/y7ts6e3n</v>
      </c>
      <c r="DJ995" s="89" t="str">
        <f t="shared" si="587"/>
        <v>https://tinyurl.com/yd7rhmxo</v>
      </c>
      <c r="DK995" s="89" t="str">
        <f t="shared" si="588"/>
        <v>https://tinyurl.com/y8ugo7xp</v>
      </c>
      <c r="DL995" s="89" t="str">
        <f t="shared" si="589"/>
        <v>https://tinyurl.com/y7ts6e3n</v>
      </c>
      <c r="DM995" s="219" t="str">
        <f t="shared" si="590"/>
        <v>Genesis 90</v>
      </c>
      <c r="DN995" s="89" t="str">
        <f t="shared" si="591"/>
        <v xml:space="preserve"> LibertyGenesis 90151 Women's</v>
      </c>
      <c r="DO995" s="221"/>
    </row>
    <row r="996" spans="2:119" ht="15.6" customHeight="1">
      <c r="B996" s="219" t="b">
        <f t="array" ref="B996">IF(OR(ISERROR(K996:P996)),FALSE,TRUE)</f>
        <v>1</v>
      </c>
      <c r="C996" s="43" t="b">
        <f>OR(BR996=Driver!$G$50,Data!BR434=Driver!$H$50)</f>
        <v>1</v>
      </c>
      <c r="D996" s="43" t="b">
        <f>OR(BV996=Driver!$G$51,BV996=Driver!$H$51)</f>
        <v>0</v>
      </c>
      <c r="E996" s="43" t="b">
        <f>AND(BX996&gt;Driver!$F$54,BX996&lt;Driver!$G$54)</f>
        <v>0</v>
      </c>
      <c r="F996" s="43" t="b">
        <f>CL996&gt;Driver!$F$56</f>
        <v>1</v>
      </c>
      <c r="G996" s="43" t="b">
        <f>AND(CB996&gt;Driver!$F$55,CB996&lt;Driver!$G$55)</f>
        <v>0</v>
      </c>
      <c r="H996" s="43" t="b">
        <f t="shared" si="555"/>
        <v>0</v>
      </c>
      <c r="I996" s="43">
        <f t="shared" si="556"/>
        <v>0</v>
      </c>
      <c r="J996" s="43" t="b">
        <f t="array" ref="J996">NOT(OR(($H$9:$H$1273=TRUE)*($I$9:$I$1273&gt;0)*($BT$9:$BT$1273=BT996)*($K$9:$K$1273&gt;K996)))</f>
        <v>1</v>
      </c>
      <c r="K996" s="72">
        <f t="shared" si="557"/>
        <v>0.76913808649527193</v>
      </c>
      <c r="L996" s="72">
        <f t="shared" si="558"/>
        <v>0.79331906465171254</v>
      </c>
      <c r="M996" s="72">
        <f t="shared" si="559"/>
        <v>0.74495710833883111</v>
      </c>
      <c r="N996" s="72">
        <f t="shared" si="560"/>
        <v>0.79984750569752339</v>
      </c>
      <c r="O996" s="72">
        <f t="shared" si="561"/>
        <v>0.59447198677160529</v>
      </c>
      <c r="P996" s="72">
        <f t="shared" si="562"/>
        <v>0.84055183254736487</v>
      </c>
      <c r="Q996" s="72"/>
      <c r="R996" s="72"/>
      <c r="S996" s="72">
        <f t="shared" si="563"/>
        <v>0.39576329622973949</v>
      </c>
      <c r="T996" s="72">
        <f t="shared" si="564"/>
        <v>0.75843731575598916</v>
      </c>
      <c r="U996" s="72">
        <f t="shared" si="565"/>
        <v>0.51</v>
      </c>
      <c r="V996" s="72">
        <f t="shared" si="566"/>
        <v>0.49884424097451596</v>
      </c>
      <c r="W996" s="72">
        <f t="shared" si="567"/>
        <v>0.79843745944402622</v>
      </c>
      <c r="X996" s="72">
        <f t="shared" si="568"/>
        <v>0.20668093534828741</v>
      </c>
      <c r="Y996" s="72">
        <f t="shared" si="569"/>
        <v>0.25504289166116884</v>
      </c>
      <c r="Z996" s="72">
        <f t="shared" si="570"/>
        <v>0.20015249430247661</v>
      </c>
      <c r="AA996" s="72">
        <f t="shared" si="571"/>
        <v>0.40552801322839466</v>
      </c>
      <c r="AB996" s="72">
        <f t="shared" si="572"/>
        <v>0.15944816745263507</v>
      </c>
      <c r="AC996" s="72"/>
      <c r="AD996" s="72"/>
      <c r="AE996" s="72">
        <f t="shared" si="573"/>
        <v>0.60423670377026051</v>
      </c>
      <c r="AF996" s="72">
        <f t="shared" si="574"/>
        <v>0.24156268424401089</v>
      </c>
      <c r="AG996" s="72">
        <f t="shared" si="575"/>
        <v>0.49</v>
      </c>
      <c r="AH996" s="72">
        <f t="shared" si="576"/>
        <v>0.50115575902548404</v>
      </c>
      <c r="AI996" s="72">
        <f t="shared" si="577"/>
        <v>0.20156254055597372</v>
      </c>
      <c r="AJ996" s="72">
        <f>(AV996-Driver!$K$179)/(Driver!$L$179-Driver!$K$179)</f>
        <v>4.7538473934413017E-2</v>
      </c>
      <c r="AK996" s="72">
        <f>(AW996-Driver!$K$180)/(Driver!$L$180-Driver!$K$180)</f>
        <v>0.10807938931410931</v>
      </c>
      <c r="AL996" s="72">
        <f>(AX996-Driver!$K$181)/(Driver!$L$181-Driver!$K$181)</f>
        <v>0.30184025801555681</v>
      </c>
      <c r="AM996" s="72">
        <f>(AY996-Driver!$K$182)/(Driver!$L$182-Driver!$K$182)</f>
        <v>4.1857007868651729E-2</v>
      </c>
      <c r="AN996" s="72">
        <f>(AZ996-Driver!$K$183)/(Driver!$L$183-Driver!$K$183)</f>
        <v>9.4771241830065356E-2</v>
      </c>
      <c r="AO996" s="72"/>
      <c r="AP996" s="72"/>
      <c r="AQ996" s="72">
        <f>(BC996-Driver!$K$188)/(Driver!$L$188-Driver!$K$188)</f>
        <v>1.5763296229739508E-2</v>
      </c>
      <c r="AR996" s="72">
        <f>MIN((BD996-Driver!$K$189)/(Driver!$L$189-Driver!$K$189),100%)</f>
        <v>0.30843731575598915</v>
      </c>
      <c r="AS996" s="72">
        <f>(BE996-Driver!$K$190)/(Driver!$L$190-Driver!$K$190)</f>
        <v>1</v>
      </c>
      <c r="AT996" s="72">
        <f>(BF996-Driver!$K$191)/(Driver!$L$191-Driver!$K$191)</f>
        <v>8.844240974515926E-3</v>
      </c>
      <c r="AU996" s="72">
        <f>(BG996-Driver!$K$192)/(Driver!$L$192-Driver!$K$192)</f>
        <v>4.8437459444026269E-2</v>
      </c>
      <c r="AV996" s="70">
        <f t="shared" si="578"/>
        <v>1.0005426672093338</v>
      </c>
      <c r="AW996" s="70">
        <f t="shared" si="579"/>
        <v>12.405186790930811</v>
      </c>
      <c r="AX996" s="70">
        <f t="shared" si="580"/>
        <v>3.7165623221400113</v>
      </c>
      <c r="AY996" s="70">
        <f>IFERROR(Driver!$K$19/Data!BH996/Data!BI996*Data!BK996*Data!BL996,"")</f>
        <v>5.1245466556994947E-2</v>
      </c>
      <c r="AZ996" s="70">
        <f t="shared" si="581"/>
        <v>8.6373790022338053</v>
      </c>
      <c r="BA996" s="70"/>
      <c r="BB996" s="70"/>
      <c r="BC996" s="70">
        <f t="shared" si="582"/>
        <v>8.1765313390234162</v>
      </c>
      <c r="BD996" s="70">
        <f t="shared" si="583"/>
        <v>29.016978809918456</v>
      </c>
      <c r="BE996" s="70">
        <f t="shared" si="584"/>
        <v>1</v>
      </c>
      <c r="BF996" s="70">
        <f t="shared" si="585"/>
        <v>0.99889488376217106</v>
      </c>
      <c r="BG996" s="70">
        <f t="shared" si="586"/>
        <v>0.18341512121369433</v>
      </c>
      <c r="BH996" s="67">
        <f>MAX((CE996-Driver!$F$200)/(Driver!$G$200-Driver!$F$200)*$BI$1,1)</f>
        <v>3.7165623221400113</v>
      </c>
      <c r="BI996" s="67">
        <f>MAX($BI$1*(BY996-Driver!$F$201)/(Driver!$G$201-Driver!$F$201),1)</f>
        <v>7.3417721518987342</v>
      </c>
      <c r="BJ996" s="67">
        <f>(CB996-Driver!$F$206)/(Driver!$G$206-Driver!$F$206)*$BI$1</f>
        <v>1.5873015873015872</v>
      </c>
      <c r="BK996" s="67">
        <f>(CD996-Driver!$F$203)/(Driver!$G$203-Driver!$F$203)*$BI$1</f>
        <v>1.1926605504587156</v>
      </c>
      <c r="BL996" s="67">
        <f>MAX((CR996-Driver!$F$202)/(Driver!$G$202-Driver!$F$202)*$BI$1,1)</f>
        <v>5.8620689655172411</v>
      </c>
      <c r="BM996" s="67">
        <f>MAX((CH996-Driver!$F$204)/(Driver!$G$204-Driver!$F$204)*$BI$1,1)</f>
        <v>2.5213675213675213</v>
      </c>
      <c r="BN996" s="67">
        <f>(CI996-Driver!$F$205)/(Driver!$G$205-Driver!$F$205)*$BI$1</f>
        <v>1.1764705882352942</v>
      </c>
      <c r="BO996" s="67">
        <f>(CK996-Driver!$F$207)/(Driver!$G$207-Driver!$F$207)*$BI$1</f>
        <v>0.73422957600827299</v>
      </c>
      <c r="BP996" s="67">
        <f>(CM996-Driver!$F$208)/(Driver!$G$208-Driver!$F$208)*$BI$1</f>
        <v>1.0222222222222224</v>
      </c>
      <c r="BQ996" s="67">
        <f>(CL996-Driver!$F$209)/(Driver!$G$209-Driver!$F$209)*$BI$1</f>
        <v>1.71875</v>
      </c>
      <c r="BR996" s="28" t="s">
        <v>155</v>
      </c>
      <c r="BS996" s="8" t="s">
        <v>164</v>
      </c>
      <c r="BT996" s="9" t="s">
        <v>777</v>
      </c>
      <c r="BU996" s="10">
        <v>152</v>
      </c>
      <c r="BV996" s="9" t="s">
        <v>163</v>
      </c>
      <c r="BW996" s="10">
        <v>152</v>
      </c>
      <c r="BX996" s="10">
        <v>151.30000000000001</v>
      </c>
      <c r="BY996" s="10">
        <v>124</v>
      </c>
      <c r="BZ996" s="10">
        <v>138</v>
      </c>
      <c r="CA996" s="10">
        <v>126</v>
      </c>
      <c r="CB996" s="10">
        <v>74</v>
      </c>
      <c r="CC996" s="10">
        <v>101</v>
      </c>
      <c r="CD996" s="10">
        <v>12</v>
      </c>
      <c r="CE996" s="10">
        <v>1553</v>
      </c>
      <c r="CF996" s="10">
        <v>0.87</v>
      </c>
      <c r="CG996" s="10">
        <v>1355</v>
      </c>
      <c r="CH996" s="10">
        <v>160</v>
      </c>
      <c r="CI996" s="10">
        <v>53</v>
      </c>
      <c r="CJ996" s="10">
        <v>38</v>
      </c>
      <c r="CK996" s="10">
        <v>181</v>
      </c>
      <c r="CL996" s="10">
        <v>11</v>
      </c>
      <c r="CM996" s="10">
        <v>92</v>
      </c>
      <c r="CN996" s="10">
        <v>0.27800000000000002</v>
      </c>
      <c r="CO996" s="10">
        <v>76</v>
      </c>
      <c r="CP996" s="10">
        <v>55</v>
      </c>
      <c r="CQ996" s="10">
        <v>105</v>
      </c>
      <c r="CR996" s="10">
        <v>6</v>
      </c>
      <c r="CS996" s="10">
        <v>10.4</v>
      </c>
      <c r="CT996" s="9" t="s">
        <v>160</v>
      </c>
      <c r="CU996" s="10"/>
      <c r="CV996" s="10"/>
      <c r="CW996" s="10"/>
      <c r="CX996" t="str">
        <f>INDEX('Data_Price '!AG$2:AG$1266,MATCH(Data!$DN996,'Data_Price '!$AT$2:$AT$1266,0))</f>
        <v>Elan Men's Element Skis with El 10.0 Gripwalk Shift Bindings '22</v>
      </c>
      <c r="CY996" t="str">
        <f>INDEX('Data_Price '!AH$2:AH$1266,MATCH(Data!$DN996,'Data_Price '!$AT$2:$AT$1266,0))</f>
        <v>Peter Glenn Ski &amp; Sports</v>
      </c>
      <c r="CZ996">
        <f>INDEX('Data_Price '!AI$2:AI$1266,MATCH(Data!$DN996,'Data_Price '!$AT$2:$AT$1266,0))</f>
        <v>449.99</v>
      </c>
      <c r="DA996" t="str">
        <f>INDEX('Data_Price '!AJ$2:AJ$1266,MATCH(Data!$DN996,'Data_Price '!$AT$2:$AT$1266,0))</f>
        <v>https://tinyurl.com/yaoocojt</v>
      </c>
      <c r="DB996" t="str">
        <f>INDEX('Data_Price '!AK$2:AK$1266,MATCH(Data!$DN996,'Data_Price '!$AT$2:$AT$1266,0))</f>
        <v>ELAN Men's ELEMENT BLACK SKI + ELW 10.0 Binding 152</v>
      </c>
      <c r="DC996" t="str">
        <f>INDEX('Data_Price '!AL$2:AL$1266,MATCH(Data!$DN996,'Data_Price '!$AT$2:$AT$1266,0))</f>
        <v>Elevation Skate Snow</v>
      </c>
      <c r="DD996">
        <f>INDEX('Data_Price '!AM$2:AM$1266,MATCH(Data!$DN996,'Data_Price '!$AT$2:$AT$1266,0))</f>
        <v>449.99</v>
      </c>
      <c r="DE996" t="str">
        <f>INDEX('Data_Price '!AN$2:AN$1266,MATCH(Data!$DN996,'Data_Price '!$AT$2:$AT$1266,0))</f>
        <v>https://tinyurl.com/y7at6998</v>
      </c>
      <c r="DF996" t="str">
        <f>INDEX('Data_Price '!AO$2:AO$1266,MATCH(Data!$DN996,'Data_Price '!$AT$2:$AT$1266,0))</f>
        <v>Elan Element Black Blue Light Shift Ski with Bindings 152</v>
      </c>
      <c r="DG996" t="str">
        <f>INDEX('Data_Price '!AP$2:AP$1266,MATCH(Data!$DN996,'Data_Price '!$AT$2:$AT$1266,0))</f>
        <v>shop.petersonsskiandcycle.com</v>
      </c>
      <c r="DH996">
        <f>INDEX('Data_Price '!AQ$2:AQ$1266,MATCH(Data!$DN996,'Data_Price '!$AT$2:$AT$1266,0))</f>
        <v>449.99</v>
      </c>
      <c r="DI996" t="str">
        <f>INDEX('Data_Price '!AR$2:AR$1266,MATCH(Data!$DN996,'Data_Price '!$AT$2:$AT$1266,0))</f>
        <v>https://tinyurl.com/y8pjye56</v>
      </c>
      <c r="DJ996" s="89" t="str">
        <f t="shared" si="587"/>
        <v>https://tinyurl.com/yaoocojt</v>
      </c>
      <c r="DK996" s="89" t="str">
        <f t="shared" si="588"/>
        <v>https://tinyurl.com/y7at6998</v>
      </c>
      <c r="DL996" s="89" t="str">
        <f t="shared" si="589"/>
        <v>https://tinyurl.com/y8pjye56</v>
      </c>
      <c r="DM996" s="219" t="str">
        <f t="shared" si="590"/>
        <v>Element W</v>
      </c>
      <c r="DN996" s="89" t="str">
        <f t="shared" si="591"/>
        <v xml:space="preserve"> ElanElement W152 Women's</v>
      </c>
      <c r="DO996" s="221"/>
    </row>
    <row r="997" spans="2:119" ht="15.6" customHeight="1">
      <c r="B997" s="219" t="b">
        <f t="array" ref="B997">IF(OR(ISERROR(K997:P997)),FALSE,TRUE)</f>
        <v>1</v>
      </c>
      <c r="C997" s="43" t="b">
        <f>OR(BR997=Driver!$G$50,Data!BR651=Driver!$H$50)</f>
        <v>1</v>
      </c>
      <c r="D997" s="43" t="b">
        <f>OR(BV997=Driver!$G$51,BV997=Driver!$H$51)</f>
        <v>0</v>
      </c>
      <c r="E997" s="43" t="b">
        <f>AND(BX997&gt;Driver!$F$54,BX997&lt;Driver!$G$54)</f>
        <v>1</v>
      </c>
      <c r="F997" s="43" t="b">
        <f>CL997&gt;Driver!$F$56</f>
        <v>1</v>
      </c>
      <c r="G997" s="43" t="b">
        <f>AND(CB997&gt;Driver!$F$55,CB997&lt;Driver!$G$55)</f>
        <v>0</v>
      </c>
      <c r="H997" s="43" t="b">
        <f t="shared" si="555"/>
        <v>0</v>
      </c>
      <c r="I997" s="43">
        <f t="shared" si="556"/>
        <v>0</v>
      </c>
      <c r="J997" s="43" t="b">
        <f t="array" ref="J997">NOT(OR(($H$9:$H$1273=TRUE)*($I$9:$I$1273&gt;0)*($BT$9:$BT$1273=BT997)*($K$9:$K$1273&gt;K997)))</f>
        <v>1</v>
      </c>
      <c r="K997" s="72">
        <f t="shared" si="557"/>
        <v>0.82421454376867143</v>
      </c>
      <c r="L997" s="72">
        <f t="shared" si="558"/>
        <v>0.85374932812766136</v>
      </c>
      <c r="M997" s="72">
        <f t="shared" si="559"/>
        <v>0.79467975940968161</v>
      </c>
      <c r="N997" s="72">
        <f t="shared" si="560"/>
        <v>0.87446965203281712</v>
      </c>
      <c r="O997" s="72">
        <f t="shared" si="561"/>
        <v>0.63208968907369933</v>
      </c>
      <c r="P997" s="72">
        <f t="shared" si="562"/>
        <v>0.87747993712252836</v>
      </c>
      <c r="Q997" s="72"/>
      <c r="R997" s="72"/>
      <c r="S997" s="72">
        <f t="shared" si="563"/>
        <v>0.40085133106693571</v>
      </c>
      <c r="T997" s="72">
        <f t="shared" si="564"/>
        <v>0.57052261822862427</v>
      </c>
      <c r="U997" s="72">
        <f t="shared" si="565"/>
        <v>0.51</v>
      </c>
      <c r="V997" s="72">
        <f t="shared" si="566"/>
        <v>0.50086284168333517</v>
      </c>
      <c r="W997" s="72">
        <f t="shared" si="567"/>
        <v>0.80679453201283302</v>
      </c>
      <c r="X997" s="72">
        <f t="shared" si="568"/>
        <v>0.14625067187233867</v>
      </c>
      <c r="Y997" s="72">
        <f t="shared" si="569"/>
        <v>0.20532024059031839</v>
      </c>
      <c r="Z997" s="72">
        <f t="shared" si="570"/>
        <v>0.12553034796718288</v>
      </c>
      <c r="AA997" s="72">
        <f t="shared" si="571"/>
        <v>0.36791031092630061</v>
      </c>
      <c r="AB997" s="72">
        <f t="shared" si="572"/>
        <v>0.12252006287747166</v>
      </c>
      <c r="AC997" s="72"/>
      <c r="AD997" s="72"/>
      <c r="AE997" s="72">
        <f t="shared" si="573"/>
        <v>0.59914866893306429</v>
      </c>
      <c r="AF997" s="72">
        <f t="shared" si="574"/>
        <v>0.42947738177137568</v>
      </c>
      <c r="AG997" s="72">
        <f t="shared" si="575"/>
        <v>0.49</v>
      </c>
      <c r="AH997" s="72">
        <f t="shared" si="576"/>
        <v>0.49913715831666489</v>
      </c>
      <c r="AI997" s="72">
        <f t="shared" si="577"/>
        <v>0.19320546798716698</v>
      </c>
      <c r="AJ997" s="72">
        <f>(AV997-Driver!$K$179)/(Driver!$L$179-Driver!$K$179)</f>
        <v>0.10796873741036175</v>
      </c>
      <c r="AK997" s="72">
        <f>(AW997-Driver!$K$180)/(Driver!$L$180-Driver!$K$180)</f>
        <v>0.13619438423211747</v>
      </c>
      <c r="AL997" s="72">
        <f>(AX997-Driver!$K$181)/(Driver!$L$181-Driver!$K$181)</f>
        <v>0.22721811168026307</v>
      </c>
      <c r="AM997" s="72">
        <f>(AY997-Driver!$K$182)/(Driver!$L$182-Driver!$K$182)</f>
        <v>7.9474710170745741E-2</v>
      </c>
      <c r="AN997" s="72">
        <f>(AZ997-Driver!$K$183)/(Driver!$L$183-Driver!$K$183)</f>
        <v>0.13169934640522876</v>
      </c>
      <c r="AO997" s="72"/>
      <c r="AP997" s="72"/>
      <c r="AQ997" s="72">
        <f>(BC997-Driver!$K$188)/(Driver!$L$188-Driver!$K$188)</f>
        <v>2.085133106693576E-2</v>
      </c>
      <c r="AR997" s="72">
        <f>MIN((BD997-Driver!$K$189)/(Driver!$L$189-Driver!$K$189),100%)</f>
        <v>0.12052261822862438</v>
      </c>
      <c r="AS997" s="72">
        <f>(BE997-Driver!$K$190)/(Driver!$L$190-Driver!$K$190)</f>
        <v>1</v>
      </c>
      <c r="AT997" s="72">
        <f>(BF997-Driver!$K$191)/(Driver!$L$191-Driver!$K$191)</f>
        <v>1.0862841683335104E-2</v>
      </c>
      <c r="AU997" s="72">
        <f>(BG997-Driver!$K$192)/(Driver!$L$192-Driver!$K$192)</f>
        <v>5.6794532012833035E-2</v>
      </c>
      <c r="AV997" s="70">
        <f t="shared" si="578"/>
        <v>2.2724189390856053</v>
      </c>
      <c r="AW997" s="70">
        <f t="shared" si="579"/>
        <v>15.145242169888688</v>
      </c>
      <c r="AX997" s="70">
        <f t="shared" si="580"/>
        <v>3.0449630051223675</v>
      </c>
      <c r="AY997" s="70">
        <f>IFERROR(Driver!$K$19/Data!BH997/Data!BI997*Data!BK997*Data!BL997,"")</f>
        <v>9.7300758213824154E-2</v>
      </c>
      <c r="AZ997" s="70">
        <f t="shared" si="581"/>
        <v>12.002978406552495</v>
      </c>
      <c r="BA997" s="70"/>
      <c r="BB997" s="70"/>
      <c r="BC997" s="70">
        <f t="shared" si="582"/>
        <v>10.815730380521449</v>
      </c>
      <c r="BD997" s="70">
        <f t="shared" si="583"/>
        <v>12.386861043888105</v>
      </c>
      <c r="BE997" s="70">
        <f t="shared" si="584"/>
        <v>1</v>
      </c>
      <c r="BF997" s="70">
        <f t="shared" si="585"/>
        <v>1.2268816523507022</v>
      </c>
      <c r="BG997" s="70">
        <f t="shared" si="586"/>
        <v>0.21506032919514581</v>
      </c>
      <c r="BH997" s="67">
        <f>MAX((CE997-Driver!$F$200)/(Driver!$G$200-Driver!$F$200)*$BI$1,1)</f>
        <v>3.0449630051223675</v>
      </c>
      <c r="BI997" s="67">
        <f>MAX($BI$1*(BY997-Driver!$F$201)/(Driver!$G$201-Driver!$F$201),1)</f>
        <v>7.8481012658227849</v>
      </c>
      <c r="BJ997" s="67">
        <f>(CB997-Driver!$F$206)/(Driver!$G$206-Driver!$F$206)*$BI$1</f>
        <v>3.1746031746031744</v>
      </c>
      <c r="BK997" s="67">
        <f>(CD997-Driver!$F$203)/(Driver!$G$203-Driver!$F$203)*$BI$1</f>
        <v>1.6055045871559634</v>
      </c>
      <c r="BL997" s="67">
        <f>MAX((CR997-Driver!$F$202)/(Driver!$G$202-Driver!$F$202)*$BI$1,1)</f>
        <v>7.2413793103448274</v>
      </c>
      <c r="BM997" s="67">
        <f>MAX((CH997-Driver!$F$204)/(Driver!$G$204-Driver!$F$204)*$BI$1,1)</f>
        <v>2.8632478632478628</v>
      </c>
      <c r="BN997" s="67">
        <f>(CI997-Driver!$F$205)/(Driver!$G$205-Driver!$F$205)*$BI$1</f>
        <v>1.5294117647058825</v>
      </c>
      <c r="BO997" s="67">
        <f>(CK997-Driver!$F$207)/(Driver!$G$207-Driver!$F$207)*$BI$1</f>
        <v>0.7755946225439504</v>
      </c>
      <c r="BP997" s="67">
        <f>(CM997-Driver!$F$208)/(Driver!$G$208-Driver!$F$208)*$BI$1</f>
        <v>0.8</v>
      </c>
      <c r="BQ997" s="67">
        <f>(CL997-Driver!$F$209)/(Driver!$G$209-Driver!$F$209)*$BI$1</f>
        <v>1.875</v>
      </c>
      <c r="BR997" s="28" t="s">
        <v>155</v>
      </c>
      <c r="BS997" s="8" t="s">
        <v>167</v>
      </c>
      <c r="BT997" s="9" t="s">
        <v>833</v>
      </c>
      <c r="BU997" s="10">
        <v>158</v>
      </c>
      <c r="BV997" s="9" t="s">
        <v>163</v>
      </c>
      <c r="BW997" s="10">
        <v>158</v>
      </c>
      <c r="BX997" s="10">
        <v>157.6</v>
      </c>
      <c r="BY997" s="10">
        <v>132</v>
      </c>
      <c r="BZ997" s="10">
        <v>140</v>
      </c>
      <c r="CA997" s="10">
        <v>132</v>
      </c>
      <c r="CB997" s="10">
        <v>84</v>
      </c>
      <c r="CC997" s="10">
        <v>111</v>
      </c>
      <c r="CD997" s="10">
        <v>12.9</v>
      </c>
      <c r="CE997" s="10">
        <v>1435</v>
      </c>
      <c r="CF997" s="10">
        <v>1.08</v>
      </c>
      <c r="CG997" s="10">
        <v>1549</v>
      </c>
      <c r="CH997" s="10">
        <v>168</v>
      </c>
      <c r="CI997" s="10">
        <v>59</v>
      </c>
      <c r="CJ997" s="10">
        <v>44</v>
      </c>
      <c r="CK997" s="10">
        <v>185</v>
      </c>
      <c r="CL997" s="10">
        <v>12</v>
      </c>
      <c r="CM997" s="10">
        <v>72</v>
      </c>
      <c r="CN997" s="10">
        <v>0.26600000000000001</v>
      </c>
      <c r="CO997" s="10">
        <v>111</v>
      </c>
      <c r="CP997" s="10">
        <v>66</v>
      </c>
      <c r="CQ997" s="10">
        <v>74</v>
      </c>
      <c r="CR997" s="10">
        <v>10</v>
      </c>
      <c r="CS997" s="10">
        <v>10.1</v>
      </c>
      <c r="CT997" s="9" t="s">
        <v>231</v>
      </c>
      <c r="CU997" s="9" t="s">
        <v>188</v>
      </c>
      <c r="CV997" s="9" t="s">
        <v>185</v>
      </c>
      <c r="CW997" s="10"/>
      <c r="CX997" t="str">
        <f>INDEX('Data_Price '!AG$2:AG$1266,MATCH(Data!$DN997,'Data_Price '!$AT$2:$AT$1266,0))</f>
        <v>16-17 Head Total Joy  Women's Demo Skis W/bindings Size 158cm</v>
      </c>
      <c r="CY997" t="str">
        <f>INDEX('Data_Price '!AH$2:AH$1266,MATCH(Data!$DN997,'Data_Price '!$AT$2:$AT$1266,0))</f>
        <v>eBay - demo-skis</v>
      </c>
      <c r="CZ997">
        <f>INDEX('Data_Price '!AI$2:AI$1266,MATCH(Data!$DN997,'Data_Price '!$AT$2:$AT$1266,0))</f>
        <v>229</v>
      </c>
      <c r="DA997" t="str">
        <f>INDEX('Data_Price '!AJ$2:AJ$1266,MATCH(Data!$DN997,'Data_Price '!$AT$2:$AT$1266,0))</f>
        <v>https://tinyurl.com/y7dmfosy</v>
      </c>
      <c r="DB997" t="str">
        <f>INDEX('Data_Price '!AK$2:AK$1266,MATCH(Data!$DN997,'Data_Price '!$AT$2:$AT$1266,0))</f>
        <v>2018 Head Total Joy 158cm W/ Head Joy 11 Binding</v>
      </c>
      <c r="DC997" t="str">
        <f>INDEX('Data_Price '!AL$2:AL$1266,MATCH(Data!$DN997,'Data_Price '!$AT$2:$AT$1266,0))</f>
        <v>eBay - riverpirate999</v>
      </c>
      <c r="DD997">
        <f>INDEX('Data_Price '!AM$2:AM$1266,MATCH(Data!$DN997,'Data_Price '!$AT$2:$AT$1266,0))</f>
        <v>249</v>
      </c>
      <c r="DE997" t="str">
        <f>INDEX('Data_Price '!AN$2:AN$1266,MATCH(Data!$DN997,'Data_Price '!$AT$2:$AT$1266,0))</f>
        <v>https://tinyurl.com/ya24fa6v</v>
      </c>
      <c r="DF997" t="str">
        <f>INDEX('Data_Price '!AO$2:AO$1266,MATCH(Data!$DN997,'Data_Price '!$AT$2:$AT$1266,0))</f>
        <v>Head Total Joy Skis w/ Joy 11 GW SLR Bindings</v>
      </c>
      <c r="DG997" t="str">
        <f>INDEX('Data_Price '!AP$2:AP$1266,MATCH(Data!$DN997,'Data_Price '!$AT$2:$AT$1266,0))</f>
        <v>BobWards.com</v>
      </c>
      <c r="DH997">
        <f>INDEX('Data_Price '!AQ$2:AQ$1266,MATCH(Data!$DN997,'Data_Price '!$AT$2:$AT$1266,0))</f>
        <v>570</v>
      </c>
      <c r="DI997" t="str">
        <f>INDEX('Data_Price '!AR$2:AR$1266,MATCH(Data!$DN997,'Data_Price '!$AT$2:$AT$1266,0))</f>
        <v>https://tinyurl.com/yakzpteq</v>
      </c>
      <c r="DJ997" s="89" t="str">
        <f t="shared" si="587"/>
        <v>https://tinyurl.com/y7dmfosy</v>
      </c>
      <c r="DK997" s="89" t="str">
        <f t="shared" si="588"/>
        <v>https://tinyurl.com/ya24fa6v</v>
      </c>
      <c r="DL997" s="89" t="str">
        <f t="shared" si="589"/>
        <v>https://tinyurl.com/yakzpteq</v>
      </c>
      <c r="DM997" s="219" t="str">
        <f t="shared" si="590"/>
        <v>Total Joy</v>
      </c>
      <c r="DN997" s="89" t="str">
        <f t="shared" si="591"/>
        <v xml:space="preserve"> HeadTotal Joy158 Women's</v>
      </c>
      <c r="DO997" s="221" t="s">
        <v>834</v>
      </c>
    </row>
    <row r="998" spans="2:119" ht="15.6" customHeight="1">
      <c r="B998" s="219" t="b">
        <f t="array" ref="B998">IF(OR(ISERROR(K998:P998)),FALSE,TRUE)</f>
        <v>1</v>
      </c>
      <c r="C998" s="43" t="b">
        <f>OR(BR998=Driver!$G$50,Data!BR607=Driver!$H$50)</f>
        <v>1</v>
      </c>
      <c r="D998" s="43" t="b">
        <f>OR(BV998=Driver!$G$51,BV998=Driver!$H$51)</f>
        <v>1</v>
      </c>
      <c r="E998" s="43" t="b">
        <f>AND(BX998&gt;Driver!$F$54,BX998&lt;Driver!$G$54)</f>
        <v>0</v>
      </c>
      <c r="F998" s="43" t="b">
        <f>CL998&gt;Driver!$F$56</f>
        <v>1</v>
      </c>
      <c r="G998" s="43" t="b">
        <f>AND(CB998&gt;Driver!$F$55,CB998&lt;Driver!$G$55)</f>
        <v>0</v>
      </c>
      <c r="H998" s="43" t="b">
        <f t="shared" si="555"/>
        <v>0</v>
      </c>
      <c r="I998" s="43">
        <f t="shared" si="556"/>
        <v>0</v>
      </c>
      <c r="J998" s="43" t="b">
        <f t="array" ref="J998">NOT(OR(($H$9:$H$1273=TRUE)*($I$9:$I$1273&gt;0)*($BT$9:$BT$1273=BT998)*($K$9:$K$1273&gt;K998)))</f>
        <v>1</v>
      </c>
      <c r="K998" s="72">
        <f t="shared" si="557"/>
        <v>0.63706079312508712</v>
      </c>
      <c r="L998" s="72">
        <f t="shared" si="558"/>
        <v>0.56128572142515476</v>
      </c>
      <c r="M998" s="72">
        <f t="shared" si="559"/>
        <v>0.71283586482501948</v>
      </c>
      <c r="N998" s="72">
        <f t="shared" si="560"/>
        <v>0.621513223777584</v>
      </c>
      <c r="O998" s="72">
        <f t="shared" si="561"/>
        <v>0.70456417710104846</v>
      </c>
      <c r="P998" s="72">
        <f t="shared" si="562"/>
        <v>0.81243019359642588</v>
      </c>
      <c r="Q998" s="72"/>
      <c r="R998" s="72"/>
      <c r="S998" s="72">
        <f t="shared" si="563"/>
        <v>0.55189614381559249</v>
      </c>
      <c r="T998" s="72">
        <f t="shared" si="564"/>
        <v>0.47672947105055652</v>
      </c>
      <c r="U998" s="72">
        <f t="shared" si="565"/>
        <v>0.54069799641259886</v>
      </c>
      <c r="V998" s="72">
        <f t="shared" si="566"/>
        <v>0.57267034462930977</v>
      </c>
      <c r="W998" s="72">
        <f t="shared" si="567"/>
        <v>0.77215302823031962</v>
      </c>
      <c r="X998" s="72">
        <f t="shared" si="568"/>
        <v>0.4387142785748453</v>
      </c>
      <c r="Y998" s="72">
        <f t="shared" si="569"/>
        <v>0.28716413517498057</v>
      </c>
      <c r="Z998" s="72">
        <f t="shared" si="570"/>
        <v>0.378486776222416</v>
      </c>
      <c r="AA998" s="72">
        <f t="shared" si="571"/>
        <v>0.29543582289895148</v>
      </c>
      <c r="AB998" s="72">
        <f t="shared" si="572"/>
        <v>0.18756980640357412</v>
      </c>
      <c r="AC998" s="72"/>
      <c r="AD998" s="72"/>
      <c r="AE998" s="72">
        <f t="shared" si="573"/>
        <v>0.44810385618440746</v>
      </c>
      <c r="AF998" s="72">
        <f t="shared" si="574"/>
        <v>0.52327052894944348</v>
      </c>
      <c r="AG998" s="72">
        <f t="shared" si="575"/>
        <v>0.4593020035874012</v>
      </c>
      <c r="AH998" s="72">
        <f t="shared" si="576"/>
        <v>0.42732965537069023</v>
      </c>
      <c r="AI998" s="72">
        <f t="shared" si="577"/>
        <v>0.22784697176968038</v>
      </c>
      <c r="AJ998" s="72">
        <f>(AV998-Driver!$K$179)/(Driver!$L$179-Driver!$K$179)</f>
        <v>0.69293368785754572</v>
      </c>
      <c r="AK998" s="72">
        <f>(AW998-Driver!$K$180)/(Driver!$L$180-Driver!$K$180)</f>
        <v>0.45044691236198853</v>
      </c>
      <c r="AL998" s="72">
        <f>(AX998-Driver!$K$181)/(Driver!$L$181-Driver!$K$181)</f>
        <v>0.48017453993549619</v>
      </c>
      <c r="AM998" s="72">
        <f>(AY998-Driver!$K$182)/(Driver!$L$182-Driver!$K$182)</f>
        <v>0.15194919819809488</v>
      </c>
      <c r="AN998" s="72">
        <f>(AZ998-Driver!$K$183)/(Driver!$L$183-Driver!$K$183)</f>
        <v>0.44178921568627455</v>
      </c>
      <c r="AO998" s="72"/>
      <c r="AP998" s="72"/>
      <c r="AQ998" s="72">
        <f>(BC998-Driver!$K$188)/(Driver!$L$188-Driver!$K$188)</f>
        <v>0.17189614381559254</v>
      </c>
      <c r="AR998" s="72">
        <f>MIN((BD998-Driver!$K$189)/(Driver!$L$189-Driver!$K$189),100%)</f>
        <v>2.6729471050556619E-2</v>
      </c>
      <c r="AS998" s="72">
        <f>(BE998-Driver!$K$190)/(Driver!$L$190-Driver!$K$190)</f>
        <v>5.0697996412598798E-2</v>
      </c>
      <c r="AT998" s="72">
        <f>(BF998-Driver!$K$191)/(Driver!$L$191-Driver!$K$191)</f>
        <v>8.2670344629309778E-2</v>
      </c>
      <c r="AU998" s="72">
        <f>(BG998-Driver!$K$192)/(Driver!$L$192-Driver!$K$192)</f>
        <v>2.2153028230319605E-2</v>
      </c>
      <c r="AV998" s="70">
        <f t="shared" si="578"/>
        <v>14.584181250847918</v>
      </c>
      <c r="AW998" s="70">
        <f t="shared" si="579"/>
        <v>45.771935596812781</v>
      </c>
      <c r="AX998" s="70">
        <f t="shared" si="580"/>
        <v>5.3215708594194657</v>
      </c>
      <c r="AY998" s="70">
        <f>IFERROR(Driver!$K$19/Data!BH998/Data!BI998*Data!BK998*Data!BL998,"")</f>
        <v>0.18603115585943314</v>
      </c>
      <c r="AZ998" s="70">
        <f t="shared" si="581"/>
        <v>40.264333581533883</v>
      </c>
      <c r="BA998" s="70"/>
      <c r="BB998" s="70"/>
      <c r="BC998" s="70">
        <f t="shared" si="582"/>
        <v>89.16372479975243</v>
      </c>
      <c r="BD998" s="70">
        <f t="shared" si="583"/>
        <v>4.0863337102518322</v>
      </c>
      <c r="BE998" s="70">
        <f t="shared" si="584"/>
        <v>5.0867341205189612E-2</v>
      </c>
      <c r="BF998" s="70">
        <f t="shared" si="585"/>
        <v>9.3370346338389805</v>
      </c>
      <c r="BG998" s="70">
        <f t="shared" si="586"/>
        <v>8.3885496984205929E-2</v>
      </c>
      <c r="BH998" s="67">
        <f>MAX((CE998-Driver!$F$200)/(Driver!$G$200-Driver!$F$200)*$BI$1,1)</f>
        <v>5.3215708594194657</v>
      </c>
      <c r="BI998" s="67">
        <f>MAX($BI$1*(BY998-Driver!$F$201)/(Driver!$G$201-Driver!$F$201),1)</f>
        <v>6.518987341772152</v>
      </c>
      <c r="BJ998" s="67">
        <f>(CB998-Driver!$F$206)/(Driver!$G$206-Driver!$F$206)*$BI$1</f>
        <v>7.9365079365079358</v>
      </c>
      <c r="BK998" s="67">
        <f>(CD998-Driver!$F$203)/(Driver!$G$203-Driver!$F$203)*$BI$1</f>
        <v>6.238532110091743</v>
      </c>
      <c r="BL998" s="67">
        <f>MAX((CR998-Driver!$F$202)/(Driver!$G$202-Driver!$F$202)*$BI$1,1)</f>
        <v>5.1724137931034484</v>
      </c>
      <c r="BM998" s="67">
        <f>MAX((CH998-Driver!$F$204)/(Driver!$G$204-Driver!$F$204)*$BI$1,1)</f>
        <v>7.350427350427351</v>
      </c>
      <c r="BN998" s="67">
        <f>(CI998-Driver!$F$205)/(Driver!$G$205-Driver!$F$205)*$BI$1</f>
        <v>6.1764705882352944</v>
      </c>
      <c r="BO998" s="67">
        <f>(CK998-Driver!$F$207)/(Driver!$G$207-Driver!$F$207)*$BI$1</f>
        <v>1.8097207859358841</v>
      </c>
      <c r="BP998" s="67">
        <f>(CM998-Driver!$F$208)/(Driver!$G$208-Driver!$F$208)*$BI$1</f>
        <v>4.0555555555555554</v>
      </c>
      <c r="BQ998" s="67">
        <f>(CL998-Driver!$F$209)/(Driver!$G$209-Driver!$F$209)*$BI$1</f>
        <v>3.28125</v>
      </c>
      <c r="BR998" s="28" t="s">
        <v>155</v>
      </c>
      <c r="BS998" s="8" t="s">
        <v>167</v>
      </c>
      <c r="BT998" s="9" t="s">
        <v>835</v>
      </c>
      <c r="BU998" s="10">
        <v>177</v>
      </c>
      <c r="BV998" s="9" t="s">
        <v>158</v>
      </c>
      <c r="BW998" s="10">
        <v>177</v>
      </c>
      <c r="BX998" s="10">
        <v>175.7</v>
      </c>
      <c r="BY998" s="10">
        <v>111</v>
      </c>
      <c r="BZ998" s="10">
        <v>137</v>
      </c>
      <c r="CA998" s="10">
        <v>142</v>
      </c>
      <c r="CB998" s="10">
        <v>114</v>
      </c>
      <c r="CC998" s="10">
        <v>126</v>
      </c>
      <c r="CD998" s="10">
        <v>23</v>
      </c>
      <c r="CE998" s="10">
        <v>1835</v>
      </c>
      <c r="CF998" s="10">
        <v>1.17</v>
      </c>
      <c r="CG998" s="10">
        <v>2150</v>
      </c>
      <c r="CH998" s="10">
        <v>273</v>
      </c>
      <c r="CI998" s="10">
        <v>138</v>
      </c>
      <c r="CJ998" s="10">
        <v>67</v>
      </c>
      <c r="CK998" s="10">
        <v>285</v>
      </c>
      <c r="CL998" s="10">
        <v>21</v>
      </c>
      <c r="CM998" s="10">
        <v>365</v>
      </c>
      <c r="CN998" s="10">
        <v>0.309</v>
      </c>
      <c r="CO998" s="10">
        <v>233</v>
      </c>
      <c r="CP998" s="10">
        <v>152</v>
      </c>
      <c r="CQ998" s="10">
        <v>52</v>
      </c>
      <c r="CR998" s="10">
        <v>4</v>
      </c>
      <c r="CS998" s="10">
        <v>6.6</v>
      </c>
      <c r="CT998" s="9" t="s">
        <v>178</v>
      </c>
      <c r="CU998" s="9" t="s">
        <v>185</v>
      </c>
      <c r="CV998" s="10"/>
      <c r="CW998" s="10"/>
      <c r="CX998" t="str">
        <f>INDEX('Data_Price '!AG$2:AG$1266,MATCH(Data!$DN998,'Data_Price '!$AT$2:$AT$1266,0))</f>
        <v>Head Kore 117 Skis Â· 2022 Â· 177 cm</v>
      </c>
      <c r="CY998" t="str">
        <f>INDEX('Data_Price '!AH$2:AH$1266,MATCH(Data!$DN998,'Data_Price '!$AT$2:$AT$1266,0))</f>
        <v>! OutdoorXL.com</v>
      </c>
      <c r="CZ998">
        <f>INDEX('Data_Price '!AI$2:AI$1266,MATCH(Data!$DN998,'Data_Price '!$AT$2:$AT$1266,0))</f>
        <v>564.95000000000005</v>
      </c>
      <c r="DA998" t="str">
        <f>INDEX('Data_Price '!AJ$2:AJ$1266,MATCH(Data!$DN998,'Data_Price '!$AT$2:$AT$1266,0))</f>
        <v>https://tinyurl.com/y7fk4j67</v>
      </c>
      <c r="DB998" t="str">
        <f>INDEX('Data_Price '!AK$2:AK$1266,MATCH(Data!$DN998,'Data_Price '!$AT$2:$AT$1266,0))</f>
        <v>Head Kore 117 Skis Â· 2022 Â· 177 cm</v>
      </c>
      <c r="DC998" t="str">
        <f>INDEX('Data_Price '!AL$2:AL$1266,MATCH(Data!$DN998,'Data_Price '!$AT$2:$AT$1266,0))</f>
        <v>Powder7 Ski Shop</v>
      </c>
      <c r="DD998">
        <f>INDEX('Data_Price '!AM$2:AM$1266,MATCH(Data!$DN998,'Data_Price '!$AT$2:$AT$1266,0))</f>
        <v>569</v>
      </c>
      <c r="DE998" t="str">
        <f>INDEX('Data_Price '!AN$2:AN$1266,MATCH(Data!$DN998,'Data_Price '!$AT$2:$AT$1266,0))</f>
        <v>https://tinyurl.com/yag27vln</v>
      </c>
      <c r="DF998" t="str">
        <f>INDEX('Data_Price '!AO$2:AO$1266,MATCH(Data!$DN998,'Data_Price '!$AT$2:$AT$1266,0))</f>
        <v>Head Kore 117 Skis Â· 2022 Â· 177 cm</v>
      </c>
      <c r="DG998" t="str">
        <f>INDEX('Data_Price '!AP$2:AP$1266,MATCH(Data!$DN998,'Data_Price '!$AT$2:$AT$1266,0))</f>
        <v>evo.com</v>
      </c>
      <c r="DH998">
        <f>INDEX('Data_Price '!AQ$2:AQ$1266,MATCH(Data!$DN998,'Data_Price '!$AT$2:$AT$1266,0))</f>
        <v>599</v>
      </c>
      <c r="DI998" t="str">
        <f>INDEX('Data_Price '!AR$2:AR$1266,MATCH(Data!$DN998,'Data_Price '!$AT$2:$AT$1266,0))</f>
        <v>https://tinyurl.com/yc9lm743</v>
      </c>
      <c r="DJ998" s="89" t="str">
        <f t="shared" si="587"/>
        <v>https://tinyurl.com/y7fk4j67</v>
      </c>
      <c r="DK998" s="89" t="str">
        <f t="shared" si="588"/>
        <v>https://tinyurl.com/yag27vln</v>
      </c>
      <c r="DL998" s="89" t="str">
        <f t="shared" si="589"/>
        <v>https://tinyurl.com/yc9lm743</v>
      </c>
      <c r="DM998" s="219" t="str">
        <f t="shared" si="590"/>
        <v>Kore 117</v>
      </c>
      <c r="DN998" s="89" t="str">
        <f t="shared" si="591"/>
        <v xml:space="preserve"> HeadKore 117177 Unisex</v>
      </c>
      <c r="DO998" s="221" t="s">
        <v>836</v>
      </c>
    </row>
    <row r="999" spans="2:119" ht="15.6" customHeight="1">
      <c r="B999" s="219" t="b">
        <f t="array" ref="B999">IF(OR(ISERROR(K999:P999)),FALSE,TRUE)</f>
        <v>1</v>
      </c>
      <c r="C999" s="43" t="b">
        <f>OR(BR999=Driver!$G$50,Data!BR1152=Driver!$H$50)</f>
        <v>1</v>
      </c>
      <c r="D999" s="43" t="b">
        <f>OR(BV999=Driver!$G$51,BV999=Driver!$H$51)</f>
        <v>0</v>
      </c>
      <c r="E999" s="43" t="b">
        <f>AND(BX999&gt;Driver!$F$54,BX999&lt;Driver!$G$54)</f>
        <v>0</v>
      </c>
      <c r="F999" s="43" t="b">
        <f>CL999&gt;Driver!$F$56</f>
        <v>1</v>
      </c>
      <c r="G999" s="43" t="b">
        <f>AND(CB999&gt;Driver!$F$55,CB999&lt;Driver!$G$55)</f>
        <v>0</v>
      </c>
      <c r="H999" s="43" t="b">
        <f t="shared" si="555"/>
        <v>0</v>
      </c>
      <c r="I999" s="43">
        <f t="shared" si="556"/>
        <v>0</v>
      </c>
      <c r="J999" s="43" t="b">
        <f t="array" ref="J999">NOT(OR(($H$9:$H$1273=TRUE)*($I$9:$I$1273&gt;0)*($BT$9:$BT$1273=BT999)*($K$9:$K$1273&gt;K999)))</f>
        <v>1</v>
      </c>
      <c r="K999" s="72">
        <f t="shared" si="557"/>
        <v>0.81279192144923562</v>
      </c>
      <c r="L999" s="72">
        <f t="shared" si="558"/>
        <v>0.81853862794234189</v>
      </c>
      <c r="M999" s="72">
        <f t="shared" si="559"/>
        <v>0.80704521495612924</v>
      </c>
      <c r="N999" s="72">
        <f t="shared" si="560"/>
        <v>0.8782639984566456</v>
      </c>
      <c r="O999" s="72">
        <f t="shared" si="561"/>
        <v>0.65125772236110913</v>
      </c>
      <c r="P999" s="72">
        <f t="shared" si="562"/>
        <v>0.89161392405063289</v>
      </c>
      <c r="Q999" s="72"/>
      <c r="R999" s="72"/>
      <c r="S999" s="72">
        <f t="shared" si="563"/>
        <v>0.41412087364865313</v>
      </c>
      <c r="T999" s="72">
        <f t="shared" si="564"/>
        <v>0.46779735755021801</v>
      </c>
      <c r="U999" s="72">
        <f t="shared" si="565"/>
        <v>0.67196946460926821</v>
      </c>
      <c r="V999" s="72">
        <f t="shared" si="566"/>
        <v>0.51345460026823564</v>
      </c>
      <c r="W999" s="72">
        <f t="shared" si="567"/>
        <v>0.959133072493076</v>
      </c>
      <c r="X999" s="72">
        <f t="shared" si="568"/>
        <v>0.18146137205765811</v>
      </c>
      <c r="Y999" s="72">
        <f t="shared" si="569"/>
        <v>0.19295478504387079</v>
      </c>
      <c r="Z999" s="72">
        <f t="shared" si="570"/>
        <v>0.12173600154335436</v>
      </c>
      <c r="AA999" s="72">
        <f t="shared" si="571"/>
        <v>0.34874227763889093</v>
      </c>
      <c r="AB999" s="72">
        <f t="shared" si="572"/>
        <v>0.10838607594936711</v>
      </c>
      <c r="AC999" s="72"/>
      <c r="AD999" s="72"/>
      <c r="AE999" s="72">
        <f t="shared" si="573"/>
        <v>0.58587912635134687</v>
      </c>
      <c r="AF999" s="72">
        <f t="shared" si="574"/>
        <v>0.53220264244978199</v>
      </c>
      <c r="AG999" s="72">
        <f t="shared" si="575"/>
        <v>0.32803053539073174</v>
      </c>
      <c r="AH999" s="72">
        <f t="shared" si="576"/>
        <v>0.48654539973176442</v>
      </c>
      <c r="AI999" s="72">
        <f t="shared" si="577"/>
        <v>4.0866927506923945E-2</v>
      </c>
      <c r="AJ999" s="72">
        <f>(AV999-Driver!$K$179)/(Driver!$L$179-Driver!$K$179)</f>
        <v>7.2758037225042302E-2</v>
      </c>
      <c r="AK999" s="72">
        <f>(AW999-Driver!$K$180)/(Driver!$L$180-Driver!$K$180)</f>
        <v>0.14930226479071199</v>
      </c>
      <c r="AL999" s="72">
        <f>(AX999-Driver!$K$181)/(Driver!$L$181-Driver!$K$181)</f>
        <v>0.22342376525643454</v>
      </c>
      <c r="AM999" s="72">
        <f>(AY999-Driver!$K$182)/(Driver!$L$182-Driver!$K$182)</f>
        <v>9.8642743458155421E-2</v>
      </c>
      <c r="AN999" s="72">
        <f>(AZ999-Driver!$K$183)/(Driver!$L$183-Driver!$K$183)</f>
        <v>0.14583333333333331</v>
      </c>
      <c r="AO999" s="72"/>
      <c r="AP999" s="72"/>
      <c r="AQ999" s="72">
        <f>(BC999-Driver!$K$188)/(Driver!$L$188-Driver!$K$188)</f>
        <v>3.4120873648653086E-2</v>
      </c>
      <c r="AR999" s="72">
        <f>MIN((BD999-Driver!$K$189)/(Driver!$L$189-Driver!$K$189),100%)</f>
        <v>1.7797357550218031E-2</v>
      </c>
      <c r="AS999" s="72">
        <f>(BE999-Driver!$K$190)/(Driver!$L$190-Driver!$K$190)</f>
        <v>0.18196946460926827</v>
      </c>
      <c r="AT999" s="72">
        <f>(BF999-Driver!$K$191)/(Driver!$L$191-Driver!$K$191)</f>
        <v>2.3454600268235613E-2</v>
      </c>
      <c r="AU999" s="72">
        <f>(BG999-Driver!$K$192)/(Driver!$L$192-Driver!$K$192)</f>
        <v>0.29086692750692394</v>
      </c>
      <c r="AV999" s="70">
        <f t="shared" si="578"/>
        <v>1.5313390313390314</v>
      </c>
      <c r="AW999" s="70">
        <f t="shared" si="579"/>
        <v>16.422721277960989</v>
      </c>
      <c r="AX999" s="70">
        <f t="shared" si="580"/>
        <v>3.0108138873079109</v>
      </c>
      <c r="AY999" s="70">
        <f>IFERROR(Driver!$K$19/Data!BH999/Data!BI999*Data!BK999*Data!BL999,"")</f>
        <v>0.12076815014675257</v>
      </c>
      <c r="AZ999" s="70">
        <f t="shared" si="581"/>
        <v>13.291139240506327</v>
      </c>
      <c r="BA999" s="70"/>
      <c r="BB999" s="70"/>
      <c r="BC999" s="70">
        <f t="shared" si="582"/>
        <v>17.698734366021654</v>
      </c>
      <c r="BD999" s="70">
        <f t="shared" si="583"/>
        <v>3.2958574922404709</v>
      </c>
      <c r="BE999" s="70">
        <f t="shared" si="584"/>
        <v>0.18211539204945609</v>
      </c>
      <c r="BF999" s="70">
        <f t="shared" si="585"/>
        <v>2.6490323224045493</v>
      </c>
      <c r="BG999" s="70">
        <f t="shared" si="586"/>
        <v>1.1014077405811755</v>
      </c>
      <c r="BH999" s="67">
        <f>MAX((CE999-Driver!$F$200)/(Driver!$G$200-Driver!$F$200)*$BI$1,1)</f>
        <v>3.0108138873079109</v>
      </c>
      <c r="BI999" s="67">
        <f>MAX($BI$1*(BY999-Driver!$F$201)/(Driver!$G$201-Driver!$F$201),1)</f>
        <v>6.4556962025316453</v>
      </c>
      <c r="BJ999" s="67">
        <f>(CB999-Driver!$F$206)/(Driver!$G$206-Driver!$F$206)*$BI$1</f>
        <v>3.333333333333333</v>
      </c>
      <c r="BK999" s="67">
        <f>(CD999-Driver!$F$203)/(Driver!$G$203-Driver!$F$203)*$BI$1</f>
        <v>2.4311926605504586</v>
      </c>
      <c r="BL999" s="67">
        <f>MAX((CR999-Driver!$F$202)/(Driver!$G$202-Driver!$F$202)*$BI$1,1)</f>
        <v>4.8275862068965516</v>
      </c>
      <c r="BM999" s="67">
        <f>MAX((CH999-Driver!$F$204)/(Driver!$G$204-Driver!$F$204)*$BI$1,1)</f>
        <v>1.8376068376068377</v>
      </c>
      <c r="BN999" s="67">
        <f>(CI999-Driver!$F$205)/(Driver!$G$205-Driver!$F$205)*$BI$1</f>
        <v>2.0588235294117645</v>
      </c>
      <c r="BO999" s="67">
        <f>(CK999-Driver!$F$207)/(Driver!$G$207-Driver!$F$207)*$BI$1</f>
        <v>0.98241985522233721</v>
      </c>
      <c r="BP999" s="67">
        <f>(CM999-Driver!$F$208)/(Driver!$G$208-Driver!$F$208)*$BI$1</f>
        <v>1.9666666666666666</v>
      </c>
      <c r="BQ999" s="67">
        <f>(CL999-Driver!$F$209)/(Driver!$G$209-Driver!$F$209)*$BI$1</f>
        <v>6.09375</v>
      </c>
      <c r="BR999" s="28" t="s">
        <v>155</v>
      </c>
      <c r="BS999" s="8" t="s">
        <v>229</v>
      </c>
      <c r="BT999" s="9" t="s">
        <v>445</v>
      </c>
      <c r="BU999" s="10">
        <v>148</v>
      </c>
      <c r="BV999" s="9" t="s">
        <v>163</v>
      </c>
      <c r="BW999" s="10">
        <v>148</v>
      </c>
      <c r="BX999" s="10">
        <v>147.80000000000001</v>
      </c>
      <c r="BY999" s="10">
        <v>110</v>
      </c>
      <c r="BZ999" s="10">
        <v>133</v>
      </c>
      <c r="CA999" s="10">
        <v>119</v>
      </c>
      <c r="CB999" s="10">
        <v>85</v>
      </c>
      <c r="CC999" s="10">
        <v>109</v>
      </c>
      <c r="CD999" s="10">
        <v>14.7</v>
      </c>
      <c r="CE999" s="10">
        <v>1429</v>
      </c>
      <c r="CF999" s="10">
        <v>0.99</v>
      </c>
      <c r="CG999" s="10">
        <v>1414</v>
      </c>
      <c r="CH999" s="10">
        <v>144</v>
      </c>
      <c r="CI999" s="10">
        <v>68</v>
      </c>
      <c r="CJ999" s="10">
        <v>39</v>
      </c>
      <c r="CK999" s="10">
        <v>205</v>
      </c>
      <c r="CL999" s="10">
        <v>39</v>
      </c>
      <c r="CM999" s="10">
        <v>177</v>
      </c>
      <c r="CN999" s="10">
        <v>1.0029999999999999</v>
      </c>
      <c r="CO999" s="10">
        <v>78</v>
      </c>
      <c r="CP999" s="10">
        <v>71</v>
      </c>
      <c r="CQ999" s="10">
        <v>127</v>
      </c>
      <c r="CR999" s="10">
        <v>3</v>
      </c>
      <c r="CS999" s="10">
        <v>1.9</v>
      </c>
      <c r="CT999" s="9" t="s">
        <v>184</v>
      </c>
      <c r="CU999" s="10"/>
      <c r="CV999" s="10"/>
      <c r="CW999" s="10"/>
      <c r="CX999" t="e">
        <f>INDEX('Data_Price '!AG$2:AG$1266,MATCH(Data!$DN999,'Data_Price '!$AT$2:$AT$1266,0))</f>
        <v>#N/A</v>
      </c>
      <c r="CY999" t="e">
        <f>INDEX('Data_Price '!AH$2:AH$1266,MATCH(Data!$DN999,'Data_Price '!$AT$2:$AT$1266,0))</f>
        <v>#N/A</v>
      </c>
      <c r="CZ999" t="e">
        <f>INDEX('Data_Price '!AI$2:AI$1266,MATCH(Data!$DN999,'Data_Price '!$AT$2:$AT$1266,0))</f>
        <v>#N/A</v>
      </c>
      <c r="DA999" t="e">
        <f>INDEX('Data_Price '!AJ$2:AJ$1266,MATCH(Data!$DN999,'Data_Price '!$AT$2:$AT$1266,0))</f>
        <v>#N/A</v>
      </c>
      <c r="DB999" t="e">
        <f>INDEX('Data_Price '!AK$2:AK$1266,MATCH(Data!$DN999,'Data_Price '!$AT$2:$AT$1266,0))</f>
        <v>#N/A</v>
      </c>
      <c r="DC999" t="e">
        <f>INDEX('Data_Price '!AL$2:AL$1266,MATCH(Data!$DN999,'Data_Price '!$AT$2:$AT$1266,0))</f>
        <v>#N/A</v>
      </c>
      <c r="DD999" t="e">
        <f>INDEX('Data_Price '!AM$2:AM$1266,MATCH(Data!$DN999,'Data_Price '!$AT$2:$AT$1266,0))</f>
        <v>#N/A</v>
      </c>
      <c r="DE999" t="e">
        <f>INDEX('Data_Price '!AN$2:AN$1266,MATCH(Data!$DN999,'Data_Price '!$AT$2:$AT$1266,0))</f>
        <v>#N/A</v>
      </c>
      <c r="DF999" t="e">
        <f>INDEX('Data_Price '!AO$2:AO$1266,MATCH(Data!$DN999,'Data_Price '!$AT$2:$AT$1266,0))</f>
        <v>#N/A</v>
      </c>
      <c r="DG999" t="e">
        <f>INDEX('Data_Price '!AP$2:AP$1266,MATCH(Data!$DN999,'Data_Price '!$AT$2:$AT$1266,0))</f>
        <v>#N/A</v>
      </c>
      <c r="DH999" t="e">
        <f>INDEX('Data_Price '!AQ$2:AQ$1266,MATCH(Data!$DN999,'Data_Price '!$AT$2:$AT$1266,0))</f>
        <v>#N/A</v>
      </c>
      <c r="DI999" t="e">
        <f>INDEX('Data_Price '!AR$2:AR$1266,MATCH(Data!$DN999,'Data_Price '!$AT$2:$AT$1266,0))</f>
        <v>#N/A</v>
      </c>
      <c r="DJ999" s="89" t="e">
        <f t="shared" si="587"/>
        <v>#N/A</v>
      </c>
      <c r="DK999" s="89" t="e">
        <f t="shared" si="588"/>
        <v>#N/A</v>
      </c>
      <c r="DL999" s="89" t="e">
        <f t="shared" si="589"/>
        <v>#N/A</v>
      </c>
      <c r="DM999" s="219" t="str">
        <f t="shared" si="590"/>
        <v>Bash 86 W</v>
      </c>
      <c r="DN999" s="89" t="str">
        <f t="shared" si="591"/>
        <v xml:space="preserve"> VölklBash 86 W148 Women's</v>
      </c>
      <c r="DO999" s="221" t="s">
        <v>446</v>
      </c>
    </row>
    <row r="1000" spans="2:119" ht="15.6" customHeight="1">
      <c r="B1000" s="219" t="b">
        <f t="array" ref="B1000">IF(OR(ISERROR(K1000:P1000)),FALSE,TRUE)</f>
        <v>1</v>
      </c>
      <c r="C1000" s="43" t="b">
        <f>OR(BR1000=Driver!$G$50,Data!BR95=Driver!$H$50)</f>
        <v>1</v>
      </c>
      <c r="D1000" s="43" t="b">
        <f>OR(BV1000=Driver!$G$51,BV1000=Driver!$H$51)</f>
        <v>0</v>
      </c>
      <c r="E1000" s="43" t="b">
        <f>AND(BX1000&gt;Driver!$F$54,BX1000&lt;Driver!$G$54)</f>
        <v>0</v>
      </c>
      <c r="F1000" s="43" t="b">
        <f>CL1000&gt;Driver!$F$56</f>
        <v>1</v>
      </c>
      <c r="G1000" s="43" t="b">
        <f>AND(CB1000&gt;Driver!$F$55,CB1000&lt;Driver!$G$55)</f>
        <v>0</v>
      </c>
      <c r="H1000" s="43" t="b">
        <f t="shared" si="555"/>
        <v>0</v>
      </c>
      <c r="I1000" s="43">
        <f t="shared" si="556"/>
        <v>0</v>
      </c>
      <c r="J1000" s="43" t="b">
        <f t="array" ref="J1000">NOT(OR(($H$9:$H$1273=TRUE)*($I$9:$I$1273&gt;0)*($BT$9:$BT$1273=BT1000)*($K$9:$K$1273&gt;K1000)))</f>
        <v>1</v>
      </c>
      <c r="K1000" s="72">
        <f t="shared" si="557"/>
        <v>0.79614386389107805</v>
      </c>
      <c r="L1000" s="72">
        <f t="shared" si="558"/>
        <v>0.80988501421258596</v>
      </c>
      <c r="M1000" s="72">
        <f t="shared" si="559"/>
        <v>0.78240271356957014</v>
      </c>
      <c r="N1000" s="72">
        <f t="shared" si="560"/>
        <v>0.89091181986940726</v>
      </c>
      <c r="O1000" s="72">
        <f t="shared" si="561"/>
        <v>0.57391442293246109</v>
      </c>
      <c r="P1000" s="72">
        <f t="shared" si="562"/>
        <v>0.88238189790684207</v>
      </c>
      <c r="Q1000" s="72"/>
      <c r="R1000" s="72"/>
      <c r="S1000" s="72">
        <f t="shared" si="563"/>
        <v>0.38331749711953733</v>
      </c>
      <c r="T1000" s="72">
        <f t="shared" si="564"/>
        <v>0.55431723174009018</v>
      </c>
      <c r="U1000" s="72">
        <f t="shared" si="565"/>
        <v>0.57653485583515685</v>
      </c>
      <c r="V1000" s="72">
        <f t="shared" si="566"/>
        <v>0.88883052634931814</v>
      </c>
      <c r="W1000" s="72">
        <f t="shared" si="567"/>
        <v>0.76571709233791752</v>
      </c>
      <c r="X1000" s="72">
        <f t="shared" si="568"/>
        <v>0.19011498578741398</v>
      </c>
      <c r="Y1000" s="72">
        <f t="shared" si="569"/>
        <v>0.21759728643042986</v>
      </c>
      <c r="Z1000" s="72">
        <f t="shared" si="570"/>
        <v>0.1090881801305927</v>
      </c>
      <c r="AA1000" s="72">
        <f t="shared" si="571"/>
        <v>0.42608557706753897</v>
      </c>
      <c r="AB1000" s="72">
        <f t="shared" si="572"/>
        <v>0.11761810209315793</v>
      </c>
      <c r="AC1000" s="72"/>
      <c r="AD1000" s="72"/>
      <c r="AE1000" s="72">
        <f t="shared" si="573"/>
        <v>0.61668250288046267</v>
      </c>
      <c r="AF1000" s="72">
        <f t="shared" si="574"/>
        <v>0.44568276825990977</v>
      </c>
      <c r="AG1000" s="72">
        <f t="shared" si="575"/>
        <v>0.42346514416484315</v>
      </c>
      <c r="AH1000" s="72">
        <f t="shared" si="576"/>
        <v>0.11116947365068186</v>
      </c>
      <c r="AI1000" s="72">
        <f t="shared" si="577"/>
        <v>0.23428290766208254</v>
      </c>
      <c r="AJ1000" s="72">
        <f>(AV1000-Driver!$K$179)/(Driver!$L$179-Driver!$K$179)</f>
        <v>6.4104423495286431E-2</v>
      </c>
      <c r="AK1000" s="72">
        <f>(AW1000-Driver!$K$180)/(Driver!$L$180-Driver!$K$180)</f>
        <v>0.13852929340978656</v>
      </c>
      <c r="AL1000" s="72">
        <f>(AX1000-Driver!$K$181)/(Driver!$L$181-Driver!$K$181)</f>
        <v>0.21077594384367287</v>
      </c>
      <c r="AM1000" s="72">
        <f>(AY1000-Driver!$K$182)/(Driver!$L$182-Driver!$K$182)</f>
        <v>2.1299444029507411E-2</v>
      </c>
      <c r="AN1000" s="72">
        <f>(AZ1000-Driver!$K$183)/(Driver!$L$183-Driver!$K$183)</f>
        <v>0.1366013071895425</v>
      </c>
      <c r="AO1000" s="72"/>
      <c r="AP1000" s="72"/>
      <c r="AQ1000" s="72">
        <f>(BC1000-Driver!$K$188)/(Driver!$L$188-Driver!$K$188)</f>
        <v>3.317497119537357E-3</v>
      </c>
      <c r="AR1000" s="72">
        <f>MIN((BD1000-Driver!$K$189)/(Driver!$L$189-Driver!$K$189),100%)</f>
        <v>0.10431723174009026</v>
      </c>
      <c r="AS1000" s="72">
        <f>(BE1000-Driver!$K$190)/(Driver!$L$190-Driver!$K$190)</f>
        <v>8.6534855835156854E-2</v>
      </c>
      <c r="AT1000" s="72">
        <f>(BF1000-Driver!$K$191)/(Driver!$L$191-Driver!$K$191)</f>
        <v>0.62116947365068187</v>
      </c>
      <c r="AU1000" s="72">
        <f>(BG1000-Driver!$K$192)/(Driver!$L$192-Driver!$K$192)</f>
        <v>0.48428290766208254</v>
      </c>
      <c r="AV1000" s="70">
        <f t="shared" si="578"/>
        <v>1.3492063492063491</v>
      </c>
      <c r="AW1000" s="70">
        <f t="shared" si="579"/>
        <v>15.372799758652555</v>
      </c>
      <c r="AX1000" s="70">
        <f t="shared" si="580"/>
        <v>2.8969834945930559</v>
      </c>
      <c r="AY1000" s="70">
        <f>IFERROR(Driver!$K$19/Data!BH1000/Data!BI1000*Data!BK1000*Data!BL1000,"")</f>
        <v>2.6076874632841893E-2</v>
      </c>
      <c r="AZ1000" s="70">
        <f t="shared" si="581"/>
        <v>12.449739389426657</v>
      </c>
      <c r="BA1000" s="70"/>
      <c r="BB1000" s="70"/>
      <c r="BC1000" s="70">
        <f t="shared" si="582"/>
        <v>1.7208088187698398</v>
      </c>
      <c r="BD1000" s="70">
        <f t="shared" si="583"/>
        <v>10.952713053898583</v>
      </c>
      <c r="BE1000" s="70">
        <f t="shared" si="584"/>
        <v>8.6697807735387725E-2</v>
      </c>
      <c r="BF1000" s="70">
        <f t="shared" si="585"/>
        <v>70.156728086309059</v>
      </c>
      <c r="BG1000" s="70">
        <f t="shared" si="586"/>
        <v>1.8338040275049119</v>
      </c>
      <c r="BH1000" s="67">
        <f>MAX((CE1000-Driver!$F$200)/(Driver!$G$200-Driver!$F$200)*$BI$1,1)</f>
        <v>2.8969834945930559</v>
      </c>
      <c r="BI1000" s="67">
        <f>MAX($BI$1*(BY1000-Driver!$F$201)/(Driver!$G$201-Driver!$F$201),1)</f>
        <v>5.5696202531645573</v>
      </c>
      <c r="BJ1000" s="67">
        <f>(CB1000-Driver!$F$206)/(Driver!$G$206-Driver!$F$206)*$BI$1</f>
        <v>5.3968253968253963</v>
      </c>
      <c r="BK1000" s="67">
        <f>(CD1000-Driver!$F$203)/(Driver!$G$203-Driver!$F$203)*$BI$1</f>
        <v>0.3211009174311924</v>
      </c>
      <c r="BL1000" s="67">
        <f>MAX((CR1000-Driver!$F$202)/(Driver!$G$202-Driver!$F$202)*$BI$1,1)</f>
        <v>6.5517241379310338</v>
      </c>
      <c r="BM1000" s="67">
        <f>MAX((CH1000-Driver!$F$204)/(Driver!$G$204-Driver!$F$204)*$BI$1,1)</f>
        <v>1</v>
      </c>
      <c r="BN1000" s="67">
        <f>(CI1000-Driver!$F$205)/(Driver!$G$205-Driver!$F$205)*$BI$1</f>
        <v>2.2352941176470589</v>
      </c>
      <c r="BO1000" s="67">
        <f>(CK1000-Driver!$F$207)/(Driver!$G$207-Driver!$F$207)*$BI$1</f>
        <v>2.4715615305067216</v>
      </c>
      <c r="BP1000" s="67">
        <f>(CM1000-Driver!$F$208)/(Driver!$G$208-Driver!$F$208)*$BI$1</f>
        <v>1.6888888888888889</v>
      </c>
      <c r="BQ1000" s="67">
        <f>(CL1000-Driver!$F$209)/(Driver!$G$209-Driver!$F$209)*$BI$1</f>
        <v>5.3125</v>
      </c>
      <c r="BR1000" s="28" t="s">
        <v>155</v>
      </c>
      <c r="BS1000" s="8" t="s">
        <v>182</v>
      </c>
      <c r="BT1000" s="9" t="s">
        <v>837</v>
      </c>
      <c r="BU1000" s="10">
        <v>147</v>
      </c>
      <c r="BV1000" s="9" t="s">
        <v>385</v>
      </c>
      <c r="BW1000" s="10">
        <v>147</v>
      </c>
      <c r="BX1000" s="10">
        <v>146</v>
      </c>
      <c r="BY1000" s="10">
        <v>96</v>
      </c>
      <c r="BZ1000" s="10">
        <v>106</v>
      </c>
      <c r="CA1000" s="10">
        <v>127</v>
      </c>
      <c r="CB1000" s="10">
        <v>98</v>
      </c>
      <c r="CC1000" s="10">
        <v>117</v>
      </c>
      <c r="CD1000" s="10">
        <v>10.1</v>
      </c>
      <c r="CE1000" s="10">
        <v>1409</v>
      </c>
      <c r="CF1000" s="10">
        <v>1.1299999999999999</v>
      </c>
      <c r="CG1000" s="10">
        <v>1591</v>
      </c>
      <c r="CH1000" s="10">
        <v>123</v>
      </c>
      <c r="CI1000" s="10">
        <v>71</v>
      </c>
      <c r="CJ1000" s="10">
        <v>46</v>
      </c>
      <c r="CK1000" s="10">
        <v>349</v>
      </c>
      <c r="CL1000" s="10">
        <v>34</v>
      </c>
      <c r="CM1000" s="10">
        <v>152</v>
      </c>
      <c r="CN1000" s="10">
        <v>0.74099999999999999</v>
      </c>
      <c r="CO1000" s="10">
        <v>262</v>
      </c>
      <c r="CP1000" s="10">
        <v>135</v>
      </c>
      <c r="CQ1000" s="10">
        <v>87</v>
      </c>
      <c r="CR1000" s="10">
        <v>8</v>
      </c>
      <c r="CS1000" s="10">
        <v>8</v>
      </c>
      <c r="CT1000" s="9" t="s">
        <v>188</v>
      </c>
      <c r="CU1000" s="9" t="s">
        <v>185</v>
      </c>
      <c r="CV1000" s="10"/>
      <c r="CW1000" s="10"/>
      <c r="CX1000" t="str">
        <f>INDEX('Data_Price '!AG$2:AG$1266,MATCH(Data!$DN1000,'Data_Price '!$AT$2:$AT$1266,0))</f>
        <v>Armada Tantrum Skis Â· 2022 Â· 147 cm</v>
      </c>
      <c r="CY1000" t="str">
        <f>INDEX('Data_Price '!AH$2:AH$1266,MATCH(Data!$DN1000,'Data_Price '!$AT$2:$AT$1266,0))</f>
        <v>Ski Pro  - Snow Ski &amp; Snowboard</v>
      </c>
      <c r="CZ1000">
        <f>INDEX('Data_Price '!AI$2:AI$1266,MATCH(Data!$DN1000,'Data_Price '!$AT$2:$AT$1266,0))</f>
        <v>319.95</v>
      </c>
      <c r="DA1000" t="str">
        <f>INDEX('Data_Price '!AJ$2:AJ$1266,MATCH(Data!$DN1000,'Data_Price '!$AT$2:$AT$1266,0))</f>
        <v>https://tinyurl.com/yaqjnwck</v>
      </c>
      <c r="DB1000" t="str">
        <f>INDEX('Data_Price '!AK$2:AK$1266,MATCH(Data!$DN1000,'Data_Price '!$AT$2:$AT$1266,0))</f>
        <v>Armada Tantrum Skis Â· 2022 Â· 147 cm</v>
      </c>
      <c r="DC1000" t="str">
        <f>INDEX('Data_Price '!AL$2:AL$1266,MATCH(Data!$DN1000,'Data_Price '!$AT$2:$AT$1266,0))</f>
        <v>evo.com</v>
      </c>
      <c r="DD1000">
        <f>INDEX('Data_Price '!AM$2:AM$1266,MATCH(Data!$DN1000,'Data_Price '!$AT$2:$AT$1266,0))</f>
        <v>319.95999999999998</v>
      </c>
      <c r="DE1000" t="str">
        <f>INDEX('Data_Price '!AN$2:AN$1266,MATCH(Data!$DN1000,'Data_Price '!$AT$2:$AT$1266,0))</f>
        <v>https://tinyurl.com/y9y9o94m</v>
      </c>
      <c r="DF1000" t="str">
        <f>INDEX('Data_Price '!AO$2:AO$1266,MATCH(Data!$DN1000,'Data_Price '!$AT$2:$AT$1266,0))</f>
        <v>Armada Tantrum Skis Â· 2022 Â· 147 cm</v>
      </c>
      <c r="DG1000" t="str">
        <f>INDEX('Data_Price '!AP$2:AP$1266,MATCH(Data!$DN1000,'Data_Price '!$AT$2:$AT$1266,0))</f>
        <v>Next Adventure</v>
      </c>
      <c r="DH1000">
        <f>INDEX('Data_Price '!AQ$2:AQ$1266,MATCH(Data!$DN1000,'Data_Price '!$AT$2:$AT$1266,0))</f>
        <v>319.95999999999998</v>
      </c>
      <c r="DI1000" t="str">
        <f>INDEX('Data_Price '!AR$2:AR$1266,MATCH(Data!$DN1000,'Data_Price '!$AT$2:$AT$1266,0))</f>
        <v>https://tinyurl.com/ybnkxhlz</v>
      </c>
      <c r="DJ1000" s="89" t="str">
        <f t="shared" si="587"/>
        <v>https://tinyurl.com/yaqjnwck</v>
      </c>
      <c r="DK1000" s="89" t="str">
        <f t="shared" si="588"/>
        <v>https://tinyurl.com/y9y9o94m</v>
      </c>
      <c r="DL1000" s="89" t="str">
        <f t="shared" si="589"/>
        <v>https://tinyurl.com/ybnkxhlz</v>
      </c>
      <c r="DM1000" s="219" t="str">
        <f t="shared" si="590"/>
        <v>Tantrum</v>
      </c>
      <c r="DN1000" s="89" t="str">
        <f t="shared" si="591"/>
        <v xml:space="preserve"> ArmadaTantrum147 Junior</v>
      </c>
      <c r="DO1000" s="221" t="s">
        <v>838</v>
      </c>
    </row>
    <row r="1001" spans="2:119" ht="15.6" customHeight="1">
      <c r="B1001" s="219" t="b">
        <f t="array" ref="B1001">IF(OR(ISERROR(K1001:P1001)),FALSE,TRUE)</f>
        <v>1</v>
      </c>
      <c r="C1001" s="43" t="b">
        <f>OR(BR1001=Driver!$G$50,Data!BR301=Driver!$H$50)</f>
        <v>1</v>
      </c>
      <c r="D1001" s="43" t="b">
        <f>OR(BV1001=Driver!$G$51,BV1001=Driver!$H$51)</f>
        <v>0</v>
      </c>
      <c r="E1001" s="43" t="b">
        <f>AND(BX1001&gt;Driver!$F$54,BX1001&lt;Driver!$G$54)</f>
        <v>0</v>
      </c>
      <c r="F1001" s="43" t="b">
        <f>CL1001&gt;Driver!$F$56</f>
        <v>1</v>
      </c>
      <c r="G1001" s="43" t="b">
        <f>AND(CB1001&gt;Driver!$F$55,CB1001&lt;Driver!$G$55)</f>
        <v>0</v>
      </c>
      <c r="H1001" s="43" t="b">
        <f t="shared" si="555"/>
        <v>0</v>
      </c>
      <c r="I1001" s="43">
        <f t="shared" si="556"/>
        <v>0</v>
      </c>
      <c r="J1001" s="43" t="b">
        <f t="array" ref="J1001">NOT(OR(($H$9:$H$1273=TRUE)*($I$9:$I$1273&gt;0)*($BT$9:$BT$1273=BT1001)*($K$9:$K$1273&gt;K1001)))</f>
        <v>1</v>
      </c>
      <c r="K1001" s="72">
        <f t="shared" si="557"/>
        <v>0.80293192232912947</v>
      </c>
      <c r="L1001" s="72">
        <f t="shared" si="558"/>
        <v>0.79291619622853959</v>
      </c>
      <c r="M1001" s="72">
        <f t="shared" si="559"/>
        <v>0.81294764842971934</v>
      </c>
      <c r="N1001" s="72">
        <f t="shared" si="560"/>
        <v>0.94529745194428239</v>
      </c>
      <c r="O1001" s="72">
        <f t="shared" si="561"/>
        <v>0.64686620981711851</v>
      </c>
      <c r="P1001" s="72">
        <f t="shared" si="562"/>
        <v>0.84667928352775712</v>
      </c>
      <c r="Q1001" s="72"/>
      <c r="R1001" s="72"/>
      <c r="S1001" s="72">
        <f t="shared" si="563"/>
        <v>0.39347182997316243</v>
      </c>
      <c r="T1001" s="72">
        <f t="shared" si="564"/>
        <v>0.4555414209024411</v>
      </c>
      <c r="U1001" s="72">
        <f t="shared" si="565"/>
        <v>0.73208033619175916</v>
      </c>
      <c r="V1001" s="72">
        <f t="shared" si="566"/>
        <v>0.5629355696019549</v>
      </c>
      <c r="W1001" s="72">
        <f t="shared" si="567"/>
        <v>0.89007092198581561</v>
      </c>
      <c r="X1001" s="72">
        <f t="shared" si="568"/>
        <v>0.20708380377146041</v>
      </c>
      <c r="Y1001" s="72">
        <f t="shared" si="569"/>
        <v>0.18705235157028066</v>
      </c>
      <c r="Z1001" s="72">
        <f t="shared" si="570"/>
        <v>5.4702548055717629E-2</v>
      </c>
      <c r="AA1001" s="72">
        <f t="shared" si="571"/>
        <v>0.35313379018288155</v>
      </c>
      <c r="AB1001" s="72">
        <f t="shared" si="572"/>
        <v>0.15332071647224288</v>
      </c>
      <c r="AC1001" s="72"/>
      <c r="AD1001" s="72"/>
      <c r="AE1001" s="72">
        <f t="shared" si="573"/>
        <v>0.60652817002683757</v>
      </c>
      <c r="AF1001" s="72">
        <f t="shared" si="574"/>
        <v>0.5444585790975589</v>
      </c>
      <c r="AG1001" s="72">
        <f t="shared" si="575"/>
        <v>0.26791966380824078</v>
      </c>
      <c r="AH1001" s="72">
        <f t="shared" si="576"/>
        <v>0.4370644303980451</v>
      </c>
      <c r="AI1001" s="72">
        <f t="shared" si="577"/>
        <v>0.10992907801418433</v>
      </c>
      <c r="AJ1001" s="72">
        <f>(AV1001-Driver!$K$179)/(Driver!$L$179-Driver!$K$179)</f>
        <v>4.713560551124002E-2</v>
      </c>
      <c r="AK1001" s="72">
        <f>(AW1001-Driver!$K$180)/(Driver!$L$180-Driver!$K$180)</f>
        <v>0.10103588275817343</v>
      </c>
      <c r="AL1001" s="72">
        <f>(AX1001-Driver!$K$181)/(Driver!$L$181-Driver!$K$181)</f>
        <v>0.15639031176879781</v>
      </c>
      <c r="AM1001" s="72">
        <f>(AY1001-Driver!$K$182)/(Driver!$L$182-Driver!$K$182)</f>
        <v>9.4251230914164819E-2</v>
      </c>
      <c r="AN1001" s="72">
        <f>(AZ1001-Driver!$K$183)/(Driver!$L$183-Driver!$K$183)</f>
        <v>0.10089869281045753</v>
      </c>
      <c r="AO1001" s="72"/>
      <c r="AP1001" s="72"/>
      <c r="AQ1001" s="72">
        <f>(BC1001-Driver!$K$188)/(Driver!$L$188-Driver!$K$188)</f>
        <v>1.3471829973162455E-2</v>
      </c>
      <c r="AR1001" s="72">
        <f>MIN((BD1001-Driver!$K$189)/(Driver!$L$189-Driver!$K$189),100%)</f>
        <v>5.5414209024411149E-3</v>
      </c>
      <c r="AS1001" s="72">
        <f>(BE1001-Driver!$K$190)/(Driver!$L$190-Driver!$K$190)</f>
        <v>0.24208033619175923</v>
      </c>
      <c r="AT1001" s="72">
        <f>(BF1001-Driver!$K$191)/(Driver!$L$191-Driver!$K$191)</f>
        <v>7.2935569601954936E-2</v>
      </c>
      <c r="AU1001" s="72">
        <f>(BG1001-Driver!$K$192)/(Driver!$L$192-Driver!$K$192)</f>
        <v>0.35992907801418433</v>
      </c>
      <c r="AV1001" s="70">
        <f t="shared" si="578"/>
        <v>0.99206349206349198</v>
      </c>
      <c r="AW1001" s="70">
        <f t="shared" si="579"/>
        <v>11.718734665237719</v>
      </c>
      <c r="AX1001" s="70">
        <f t="shared" si="580"/>
        <v>2.4075128059191804</v>
      </c>
      <c r="AY1001" s="70">
        <f>IFERROR(Driver!$K$19/Data!BH1001/Data!BI1001*Data!BK1001*Data!BL1001,"")</f>
        <v>0.11539162849203012</v>
      </c>
      <c r="AZ1001" s="70">
        <f t="shared" si="581"/>
        <v>9.195830230826509</v>
      </c>
      <c r="BA1001" s="70"/>
      <c r="BB1001" s="70"/>
      <c r="BC1001" s="70">
        <f t="shared" si="582"/>
        <v>6.9879318617219246</v>
      </c>
      <c r="BD1001" s="70">
        <f t="shared" si="583"/>
        <v>2.2112288151469364</v>
      </c>
      <c r="BE1001" s="70">
        <f t="shared" si="584"/>
        <v>0.24221554052903341</v>
      </c>
      <c r="BF1001" s="70">
        <f t="shared" si="585"/>
        <v>8.23756018516446</v>
      </c>
      <c r="BG1001" s="70">
        <f t="shared" si="586"/>
        <v>1.3629210992907801</v>
      </c>
      <c r="BH1001" s="67">
        <f>MAX((CE1001-Driver!$F$200)/(Driver!$G$200-Driver!$F$200)*$BI$1,1)</f>
        <v>2.4075128059191804</v>
      </c>
      <c r="BI1001" s="67">
        <f>MAX($BI$1*(BY1001-Driver!$F$201)/(Driver!$G$201-Driver!$F$201),1)</f>
        <v>6.0126582278481013</v>
      </c>
      <c r="BJ1001" s="67">
        <f>(CB1001-Driver!$F$206)/(Driver!$G$206-Driver!$F$206)*$BI$1</f>
        <v>3.9682539682539679</v>
      </c>
      <c r="BK1001" s="67">
        <f>(CD1001-Driver!$F$203)/(Driver!$G$203-Driver!$F$203)*$BI$1</f>
        <v>1.5137614678899081</v>
      </c>
      <c r="BL1001" s="67">
        <f>MAX((CR1001-Driver!$F$202)/(Driver!$G$202-Driver!$F$202)*$BI$1,1)</f>
        <v>5.5172413793103452</v>
      </c>
      <c r="BM1001" s="67">
        <f>MAX((CH1001-Driver!$F$204)/(Driver!$G$204-Driver!$F$204)*$BI$1,1)</f>
        <v>1</v>
      </c>
      <c r="BN1001" s="67">
        <f>(CI1001-Driver!$F$205)/(Driver!$G$205-Driver!$F$205)*$BI$1</f>
        <v>1.5294117647058825</v>
      </c>
      <c r="BO1001" s="67">
        <f>(CK1001-Driver!$F$207)/(Driver!$G$207-Driver!$F$207)*$BI$1</f>
        <v>1.6442605997931747</v>
      </c>
      <c r="BP1001" s="67">
        <f>(CM1001-Driver!$F$208)/(Driver!$G$208-Driver!$F$208)*$BI$1</f>
        <v>1.9111111111111112</v>
      </c>
      <c r="BQ1001" s="67">
        <f>(CL1001-Driver!$F$209)/(Driver!$G$209-Driver!$F$209)*$BI$1</f>
        <v>3.28125</v>
      </c>
      <c r="BR1001" s="28" t="s">
        <v>155</v>
      </c>
      <c r="BS1001" s="8" t="s">
        <v>317</v>
      </c>
      <c r="BT1001" s="9" t="s">
        <v>571</v>
      </c>
      <c r="BU1001" s="10">
        <v>148</v>
      </c>
      <c r="BV1001" s="9" t="s">
        <v>163</v>
      </c>
      <c r="BW1001" s="10">
        <v>148</v>
      </c>
      <c r="BX1001" s="10">
        <v>147.30000000000001</v>
      </c>
      <c r="BY1001" s="10">
        <v>103</v>
      </c>
      <c r="BZ1001" s="10">
        <v>115</v>
      </c>
      <c r="CA1001" s="10">
        <v>117</v>
      </c>
      <c r="CB1001" s="10">
        <v>89</v>
      </c>
      <c r="CC1001" s="10">
        <v>107</v>
      </c>
      <c r="CD1001" s="10">
        <v>12.7</v>
      </c>
      <c r="CE1001" s="10">
        <v>1323</v>
      </c>
      <c r="CF1001" s="10">
        <v>1.1000000000000001</v>
      </c>
      <c r="CG1001" s="10">
        <v>1457</v>
      </c>
      <c r="CH1001" s="10">
        <v>122</v>
      </c>
      <c r="CI1001" s="10">
        <v>59</v>
      </c>
      <c r="CJ1001" s="10">
        <v>48</v>
      </c>
      <c r="CK1001" s="10">
        <v>269</v>
      </c>
      <c r="CL1001" s="10">
        <v>21</v>
      </c>
      <c r="CM1001" s="10">
        <v>172</v>
      </c>
      <c r="CN1001" s="10">
        <v>0.435</v>
      </c>
      <c r="CO1001" s="10">
        <v>149</v>
      </c>
      <c r="CP1001" s="10">
        <v>174</v>
      </c>
      <c r="CQ1001" s="10">
        <v>121</v>
      </c>
      <c r="CR1001" s="10">
        <v>5</v>
      </c>
      <c r="CS1001" s="10">
        <v>6.5</v>
      </c>
      <c r="CT1001" s="9" t="s">
        <v>188</v>
      </c>
      <c r="CU1001" s="9" t="s">
        <v>185</v>
      </c>
      <c r="CV1001" s="10"/>
      <c r="CW1001" s="10"/>
      <c r="CX1001" t="str">
        <f>INDEX('Data_Price '!AG$2:AG$1266,MATCH(Data!$DN1001,'Data_Price '!$AT$2:$AT$1266,0))</f>
        <v>Blizzard Sheeva 9 (Flat) Skis - Women's 2021 148cm / Teal</v>
      </c>
      <c r="CY1001" t="str">
        <f>INDEX('Data_Price '!AH$2:AH$1266,MATCH(Data!$DN1001,'Data_Price '!$AT$2:$AT$1266,0))</f>
        <v>SportÃ¨que</v>
      </c>
      <c r="CZ1001">
        <f>INDEX('Data_Price '!AI$2:AI$1266,MATCH(Data!$DN1001,'Data_Price '!$AT$2:$AT$1266,0))</f>
        <v>476.85</v>
      </c>
      <c r="DA1001" t="str">
        <f>INDEX('Data_Price '!AJ$2:AJ$1266,MATCH(Data!$DN1001,'Data_Price '!$AT$2:$AT$1266,0))</f>
        <v>https://tinyurl.com/yatcmgsp</v>
      </c>
      <c r="DB1001" t="str">
        <f>INDEX('Data_Price '!AK$2:AK$1266,MATCH(Data!$DN1001,'Data_Price '!$AT$2:$AT$1266,0))</f>
        <v>Blizzard Sheeva 9 Skis</v>
      </c>
      <c r="DC1001" t="str">
        <f>INDEX('Data_Price '!AL$2:AL$1266,MATCH(Data!$DN1001,'Data_Price '!$AT$2:$AT$1266,0))</f>
        <v>Powder7 Ski Shop</v>
      </c>
      <c r="DD1001">
        <f>INDEX('Data_Price '!AM$2:AM$1266,MATCH(Data!$DN1001,'Data_Price '!$AT$2:$AT$1266,0))</f>
        <v>479.93</v>
      </c>
      <c r="DE1001" t="str">
        <f>INDEX('Data_Price '!AN$2:AN$1266,MATCH(Data!$DN1001,'Data_Price '!$AT$2:$AT$1266,0))</f>
        <v>https://tinyurl.com/y9uxj965</v>
      </c>
      <c r="DF1001" t="str">
        <f>INDEX('Data_Price '!AO$2:AO$1266,MATCH(Data!$DN1001,'Data_Price '!$AT$2:$AT$1266,0))</f>
        <v>Blizzard Sheeva 9 Skis</v>
      </c>
      <c r="DG1001" t="str">
        <f>INDEX('Data_Price '!AP$2:AP$1266,MATCH(Data!$DN1001,'Data_Price '!$AT$2:$AT$1266,0))</f>
        <v>AlpineShopVT.com</v>
      </c>
      <c r="DH1001">
        <f>INDEX('Data_Price '!AQ$2:AQ$1266,MATCH(Data!$DN1001,'Data_Price '!$AT$2:$AT$1266,0))</f>
        <v>479.95</v>
      </c>
      <c r="DI1001" t="str">
        <f>INDEX('Data_Price '!AR$2:AR$1266,MATCH(Data!$DN1001,'Data_Price '!$AT$2:$AT$1266,0))</f>
        <v>https://tinyurl.com/y78zjnr8</v>
      </c>
      <c r="DJ1001" s="89" t="str">
        <f t="shared" si="587"/>
        <v>https://tinyurl.com/yatcmgsp</v>
      </c>
      <c r="DK1001" s="89" t="str">
        <f t="shared" si="588"/>
        <v>https://tinyurl.com/y9uxj965</v>
      </c>
      <c r="DL1001" s="89" t="str">
        <f t="shared" si="589"/>
        <v>https://tinyurl.com/y78zjnr8</v>
      </c>
      <c r="DM1001" s="219" t="str">
        <f t="shared" si="590"/>
        <v>Sheeva 9</v>
      </c>
      <c r="DN1001" s="89" t="str">
        <f t="shared" si="591"/>
        <v xml:space="preserve"> BlizzardSheeva 9148 Women's</v>
      </c>
      <c r="DO1001" s="221" t="s">
        <v>572</v>
      </c>
    </row>
    <row r="1002" spans="2:119" ht="15.6" customHeight="1">
      <c r="B1002" s="219" t="b">
        <f t="array" ref="B1002">IF(OR(ISERROR(K1002:P1002)),FALSE,TRUE)</f>
        <v>1</v>
      </c>
      <c r="C1002" s="43" t="b">
        <f>OR(BR1002=Driver!$G$50,Data!BR253=Driver!$H$50)</f>
        <v>1</v>
      </c>
      <c r="D1002" s="43" t="b">
        <f>OR(BV1002=Driver!$G$51,BV1002=Driver!$H$51)</f>
        <v>0</v>
      </c>
      <c r="E1002" s="43" t="b">
        <f>AND(BX1002&gt;Driver!$F$54,BX1002&lt;Driver!$G$54)</f>
        <v>0</v>
      </c>
      <c r="F1002" s="43" t="b">
        <f>CL1002&gt;Driver!$F$56</f>
        <v>1</v>
      </c>
      <c r="G1002" s="43" t="b">
        <f>AND(CB1002&gt;Driver!$F$55,CB1002&lt;Driver!$G$55)</f>
        <v>0</v>
      </c>
      <c r="H1002" s="43" t="b">
        <f t="shared" si="555"/>
        <v>0</v>
      </c>
      <c r="I1002" s="43">
        <f t="shared" si="556"/>
        <v>0</v>
      </c>
      <c r="J1002" s="43" t="b">
        <f t="array" ref="J1002">NOT(OR(($H$9:$H$1273=TRUE)*($I$9:$I$1273&gt;0)*($BT$9:$BT$1273=BT1002)*($K$9:$K$1273&gt;K1002)))</f>
        <v>1</v>
      </c>
      <c r="K1002" s="72">
        <f t="shared" si="557"/>
        <v>0.78718879890006987</v>
      </c>
      <c r="L1002" s="72">
        <f t="shared" si="558"/>
        <v>0.7778328024649428</v>
      </c>
      <c r="M1002" s="72">
        <f t="shared" si="559"/>
        <v>0.79654479533519706</v>
      </c>
      <c r="N1002" s="72">
        <f t="shared" si="560"/>
        <v>0.89976529485834045</v>
      </c>
      <c r="O1002" s="72">
        <f t="shared" si="561"/>
        <v>0.60389242199857851</v>
      </c>
      <c r="P1002" s="72">
        <f t="shared" si="562"/>
        <v>0.88597666914867212</v>
      </c>
      <c r="Q1002" s="72"/>
      <c r="R1002" s="72"/>
      <c r="S1002" s="72">
        <f t="shared" si="563"/>
        <v>0.3958210884562644</v>
      </c>
      <c r="T1002" s="72">
        <f t="shared" si="564"/>
        <v>0.4922490290854632</v>
      </c>
      <c r="U1002" s="72">
        <f t="shared" si="565"/>
        <v>0.51</v>
      </c>
      <c r="V1002" s="72">
        <f t="shared" si="566"/>
        <v>0.51714936377766962</v>
      </c>
      <c r="W1002" s="72">
        <f t="shared" si="567"/>
        <v>0.85252525252525246</v>
      </c>
      <c r="X1002" s="72">
        <f t="shared" si="568"/>
        <v>0.2221671975350572</v>
      </c>
      <c r="Y1002" s="72">
        <f t="shared" si="569"/>
        <v>0.20345520466480296</v>
      </c>
      <c r="Z1002" s="72">
        <f t="shared" si="570"/>
        <v>0.10023470514165957</v>
      </c>
      <c r="AA1002" s="72">
        <f t="shared" si="571"/>
        <v>0.39610757800142149</v>
      </c>
      <c r="AB1002" s="72">
        <f t="shared" si="572"/>
        <v>0.11402333085132788</v>
      </c>
      <c r="AC1002" s="72"/>
      <c r="AD1002" s="72"/>
      <c r="AE1002" s="72">
        <f t="shared" si="573"/>
        <v>0.6041789115437356</v>
      </c>
      <c r="AF1002" s="72">
        <f t="shared" si="574"/>
        <v>0.5077509709145368</v>
      </c>
      <c r="AG1002" s="72">
        <f t="shared" si="575"/>
        <v>0.49</v>
      </c>
      <c r="AH1002" s="72">
        <f t="shared" si="576"/>
        <v>0.48285063622233032</v>
      </c>
      <c r="AI1002" s="72">
        <f t="shared" si="577"/>
        <v>0.14747474747474748</v>
      </c>
      <c r="AJ1002" s="72">
        <f>(AV1002-Driver!$K$179)/(Driver!$L$179-Driver!$K$179)</f>
        <v>3.2052211747643215E-2</v>
      </c>
      <c r="AK1002" s="72">
        <f>(AW1002-Driver!$K$180)/(Driver!$L$180-Driver!$K$180)</f>
        <v>0.14144996638574617</v>
      </c>
      <c r="AL1002" s="72">
        <f>(AX1002-Driver!$K$181)/(Driver!$L$181-Driver!$K$181)</f>
        <v>0.20192246885473975</v>
      </c>
      <c r="AM1002" s="72">
        <f>(AY1002-Driver!$K$182)/(Driver!$L$182-Driver!$K$182)</f>
        <v>5.1277443095624903E-2</v>
      </c>
      <c r="AN1002" s="72">
        <f>(AZ1002-Driver!$K$183)/(Driver!$L$183-Driver!$K$183)</f>
        <v>0.14019607843137255</v>
      </c>
      <c r="AO1002" s="72"/>
      <c r="AP1002" s="72"/>
      <c r="AQ1002" s="72">
        <f>(BC1002-Driver!$K$188)/(Driver!$L$188-Driver!$K$188)</f>
        <v>1.5821088456264353E-2</v>
      </c>
      <c r="AR1002" s="72">
        <f>MIN((BD1002-Driver!$K$189)/(Driver!$L$189-Driver!$K$189),100%)</f>
        <v>4.2249029085463269E-2</v>
      </c>
      <c r="AS1002" s="72">
        <f>(BE1002-Driver!$K$190)/(Driver!$L$190-Driver!$K$190)</f>
        <v>1</v>
      </c>
      <c r="AT1002" s="72">
        <f>(BF1002-Driver!$K$191)/(Driver!$L$191-Driver!$K$191)</f>
        <v>2.7149363777669695E-2</v>
      </c>
      <c r="AU1002" s="72">
        <f>(BG1002-Driver!$K$192)/(Driver!$L$192-Driver!$K$192)</f>
        <v>0.10252525252525253</v>
      </c>
      <c r="AV1002" s="70">
        <f t="shared" si="578"/>
        <v>0.67460317460317454</v>
      </c>
      <c r="AW1002" s="70">
        <f t="shared" si="579"/>
        <v>15.657445219955097</v>
      </c>
      <c r="AX1002" s="70">
        <f t="shared" si="580"/>
        <v>2.8173022196926576</v>
      </c>
      <c r="AY1002" s="70">
        <f>IFERROR(Driver!$K$19/Data!BH1002/Data!BI1002*Data!BK1002*Data!BL1002,"")</f>
        <v>6.2778890061395601E-2</v>
      </c>
      <c r="AZ1002" s="70">
        <f t="shared" si="581"/>
        <v>12.777364110201043</v>
      </c>
      <c r="BA1002" s="70"/>
      <c r="BB1002" s="70"/>
      <c r="BC1002" s="70">
        <f t="shared" si="582"/>
        <v>8.2065085686868944</v>
      </c>
      <c r="BD1002" s="70">
        <f t="shared" si="583"/>
        <v>5.4597870973114357</v>
      </c>
      <c r="BE1002" s="70">
        <f t="shared" si="584"/>
        <v>1</v>
      </c>
      <c r="BF1002" s="70">
        <f t="shared" si="585"/>
        <v>3.066329903612401</v>
      </c>
      <c r="BG1002" s="70">
        <f t="shared" si="586"/>
        <v>0.38822601010101015</v>
      </c>
      <c r="BH1002" s="67">
        <f>MAX((CE1002-Driver!$F$200)/(Driver!$G$200-Driver!$F$200)*$BI$1,1)</f>
        <v>2.8173022196926576</v>
      </c>
      <c r="BI1002" s="67">
        <f>MAX($BI$1*(BY1002-Driver!$F$201)/(Driver!$G$201-Driver!$F$201),1)</f>
        <v>6.5822784810126587</v>
      </c>
      <c r="BJ1002" s="67">
        <f>(CB1002-Driver!$F$206)/(Driver!$G$206-Driver!$F$206)*$BI$1</f>
        <v>2.6984126984126982</v>
      </c>
      <c r="BK1002" s="67">
        <f>(CD1002-Driver!$F$203)/(Driver!$G$203-Driver!$F$203)*$BI$1</f>
        <v>1.0550458715596327</v>
      </c>
      <c r="BL1002" s="67">
        <f>MAX((CR1002-Driver!$F$202)/(Driver!$G$202-Driver!$F$202)*$BI$1,1)</f>
        <v>5.5172413793103452</v>
      </c>
      <c r="BM1002" s="67">
        <f>MAX((CH1002-Driver!$F$204)/(Driver!$G$204-Driver!$F$204)*$BI$1,1)</f>
        <v>1</v>
      </c>
      <c r="BN1002" s="67">
        <f>(CI1002-Driver!$F$205)/(Driver!$G$205-Driver!$F$205)*$BI$1</f>
        <v>1.9411764705882353</v>
      </c>
      <c r="BO1002" s="67">
        <f>(CK1002-Driver!$F$207)/(Driver!$G$207-Driver!$F$207)*$BI$1</f>
        <v>0.97207859358841786</v>
      </c>
      <c r="BP1002" s="67">
        <f>(CM1002-Driver!$F$208)/(Driver!$G$208-Driver!$F$208)*$BI$1</f>
        <v>1.2333333333333334</v>
      </c>
      <c r="BQ1002" s="67">
        <f>(CL1002-Driver!$F$209)/(Driver!$G$209-Driver!$F$209)*$BI$1</f>
        <v>1.09375</v>
      </c>
      <c r="BR1002" s="28" t="s">
        <v>155</v>
      </c>
      <c r="BS1002" s="8" t="s">
        <v>317</v>
      </c>
      <c r="BT1002" s="9" t="s">
        <v>618</v>
      </c>
      <c r="BU1002" s="10">
        <v>145</v>
      </c>
      <c r="BV1002" s="9" t="s">
        <v>163</v>
      </c>
      <c r="BW1002" s="10">
        <v>145</v>
      </c>
      <c r="BX1002" s="10">
        <v>143.5</v>
      </c>
      <c r="BY1002" s="10">
        <v>112</v>
      </c>
      <c r="BZ1002" s="10">
        <v>121</v>
      </c>
      <c r="CA1002" s="10">
        <v>118</v>
      </c>
      <c r="CB1002" s="10">
        <v>81</v>
      </c>
      <c r="CC1002" s="10">
        <v>102</v>
      </c>
      <c r="CD1002" s="10">
        <v>11.7</v>
      </c>
      <c r="CE1002" s="10">
        <v>1395</v>
      </c>
      <c r="CF1002" s="10">
        <v>0.96</v>
      </c>
      <c r="CG1002" s="10">
        <v>1335</v>
      </c>
      <c r="CH1002" s="10">
        <v>123</v>
      </c>
      <c r="CI1002" s="10">
        <v>66</v>
      </c>
      <c r="CJ1002" s="10">
        <v>52</v>
      </c>
      <c r="CK1002" s="10">
        <v>204</v>
      </c>
      <c r="CL1002" s="10">
        <v>7</v>
      </c>
      <c r="CM1002" s="10">
        <v>111</v>
      </c>
      <c r="CN1002" s="10">
        <v>0.14000000000000001</v>
      </c>
      <c r="CO1002" s="10">
        <v>121</v>
      </c>
      <c r="CP1002" s="10">
        <v>107</v>
      </c>
      <c r="CQ1002" s="10">
        <v>83</v>
      </c>
      <c r="CR1002" s="10">
        <v>5</v>
      </c>
      <c r="CS1002" s="10">
        <v>10.9</v>
      </c>
      <c r="CT1002" s="9" t="s">
        <v>231</v>
      </c>
      <c r="CU1002" s="9" t="s">
        <v>188</v>
      </c>
      <c r="CV1002" s="10"/>
      <c r="CW1002" s="10"/>
      <c r="CX1002" t="str">
        <f>INDEX('Data_Price '!AG$2:AG$1266,MATCH(Data!$DN1002,'Data_Price '!$AT$2:$AT$1266,0))</f>
        <v>Blizzard Black Pearl 82 145cm with Marker Squire Bindings</v>
      </c>
      <c r="CY1002" t="str">
        <f>INDEX('Data_Price '!AH$2:AH$1266,MATCH(Data!$DN1002,'Data_Price '!$AT$2:$AT$1266,0))</f>
        <v>Requipper</v>
      </c>
      <c r="CZ1002">
        <f>INDEX('Data_Price '!AI$2:AI$1266,MATCH(Data!$DN1002,'Data_Price '!$AT$2:$AT$1266,0))</f>
        <v>450</v>
      </c>
      <c r="DA1002" t="str">
        <f>INDEX('Data_Price '!AJ$2:AJ$1266,MATCH(Data!$DN1002,'Data_Price '!$AT$2:$AT$1266,0))</f>
        <v>https://tinyurl.com/y6v5hjgg</v>
      </c>
      <c r="DB1002" t="str">
        <f>INDEX('Data_Price '!AK$2:AK$1266,MATCH(Data!$DN1002,'Data_Price '!$AT$2:$AT$1266,0))</f>
        <v>Blizzard Black Pearl 82 2021</v>
      </c>
      <c r="DC1002" t="str">
        <f>INDEX('Data_Price '!AL$2:AL$1266,MATCH(Data!$DN1002,'Data_Price '!$AT$2:$AT$1266,0))</f>
        <v>Powder7 Ski Shop</v>
      </c>
      <c r="DD1002">
        <f>INDEX('Data_Price '!AM$2:AM$1266,MATCH(Data!$DN1002,'Data_Price '!$AT$2:$AT$1266,0))</f>
        <v>489.93</v>
      </c>
      <c r="DE1002" t="str">
        <f>INDEX('Data_Price '!AN$2:AN$1266,MATCH(Data!$DN1002,'Data_Price '!$AT$2:$AT$1266,0))</f>
        <v>https://tinyurl.com/ycgsh4p8</v>
      </c>
      <c r="DF1002" t="str">
        <f>INDEX('Data_Price '!AO$2:AO$1266,MATCH(Data!$DN1002,'Data_Price '!$AT$2:$AT$1266,0))</f>
        <v>Blizzard Black Pearl 82 2021</v>
      </c>
      <c r="DG1002" t="str">
        <f>INDEX('Data_Price '!AP$2:AP$1266,MATCH(Data!$DN1002,'Data_Price '!$AT$2:$AT$1266,0))</f>
        <v>Eskimo Ski &amp; Board Shop</v>
      </c>
      <c r="DH1002">
        <f>INDEX('Data_Price '!AQ$2:AQ$1266,MATCH(Data!$DN1002,'Data_Price '!$AT$2:$AT$1266,0))</f>
        <v>539.95000000000005</v>
      </c>
      <c r="DI1002" t="str">
        <f>INDEX('Data_Price '!AR$2:AR$1266,MATCH(Data!$DN1002,'Data_Price '!$AT$2:$AT$1266,0))</f>
        <v>https://tinyurl.com/y8oaqwtd</v>
      </c>
      <c r="DJ1002" s="89" t="str">
        <f t="shared" si="587"/>
        <v>https://tinyurl.com/y6v5hjgg</v>
      </c>
      <c r="DK1002" s="89" t="str">
        <f t="shared" si="588"/>
        <v>https://tinyurl.com/ycgsh4p8</v>
      </c>
      <c r="DL1002" s="89" t="str">
        <f t="shared" si="589"/>
        <v>https://tinyurl.com/y8oaqwtd</v>
      </c>
      <c r="DM1002" s="219" t="str">
        <f t="shared" si="590"/>
        <v>Black Pearl 82</v>
      </c>
      <c r="DN1002" s="89" t="str">
        <f t="shared" si="591"/>
        <v xml:space="preserve"> BlizzardBlack Pearl 82145 Women's</v>
      </c>
      <c r="DO1002" s="221" t="s">
        <v>619</v>
      </c>
    </row>
    <row r="1003" spans="2:119" ht="15.6" customHeight="1">
      <c r="B1003" s="219" t="b">
        <f t="array" ref="B1003">IF(OR(ISERROR(K1003:P1003)),FALSE,TRUE)</f>
        <v>1</v>
      </c>
      <c r="C1003" s="43" t="b">
        <f>OR(BR1003=Driver!$G$50,Data!BR430=Driver!$H$50)</f>
        <v>1</v>
      </c>
      <c r="D1003" s="43" t="b">
        <f>OR(BV1003=Driver!$G$51,BV1003=Driver!$H$51)</f>
        <v>1</v>
      </c>
      <c r="E1003" s="43" t="b">
        <f>AND(BX1003&gt;Driver!$F$54,BX1003&lt;Driver!$G$54)</f>
        <v>0</v>
      </c>
      <c r="F1003" s="43" t="b">
        <f>CL1003&gt;Driver!$F$56</f>
        <v>1</v>
      </c>
      <c r="G1003" s="43" t="b">
        <f>AND(CB1003&gt;Driver!$F$55,CB1003&lt;Driver!$G$55)</f>
        <v>0</v>
      </c>
      <c r="H1003" s="43" t="b">
        <f t="shared" si="555"/>
        <v>0</v>
      </c>
      <c r="I1003" s="43">
        <f t="shared" si="556"/>
        <v>0</v>
      </c>
      <c r="J1003" s="43" t="b">
        <f t="array" ref="J1003">NOT(OR(($H$9:$H$1273=TRUE)*($I$9:$I$1273&gt;0)*($BT$9:$BT$1273=BT1003)*($K$9:$K$1273&gt;K1003)))</f>
        <v>1</v>
      </c>
      <c r="K1003" s="72">
        <f t="shared" si="557"/>
        <v>0.7649801712731833</v>
      </c>
      <c r="L1003" s="72">
        <f t="shared" si="558"/>
        <v>0.78042727511017684</v>
      </c>
      <c r="M1003" s="72">
        <f t="shared" si="559"/>
        <v>0.74953306743618975</v>
      </c>
      <c r="N1003" s="72">
        <f t="shared" si="560"/>
        <v>0.80617141640390422</v>
      </c>
      <c r="O1003" s="72">
        <f t="shared" si="561"/>
        <v>0.59370601871677731</v>
      </c>
      <c r="P1003" s="72">
        <f t="shared" si="562"/>
        <v>0.84872176718788783</v>
      </c>
      <c r="Q1003" s="72"/>
      <c r="R1003" s="72"/>
      <c r="S1003" s="72">
        <f t="shared" si="563"/>
        <v>0.39712220107713081</v>
      </c>
      <c r="T1003" s="72">
        <f t="shared" si="564"/>
        <v>0.66586066203232208</v>
      </c>
      <c r="U1003" s="72">
        <f t="shared" si="565"/>
        <v>0.51</v>
      </c>
      <c r="V1003" s="72">
        <f t="shared" si="566"/>
        <v>0.49464417430229479</v>
      </c>
      <c r="W1003" s="72">
        <f t="shared" si="567"/>
        <v>0.80522261202936818</v>
      </c>
      <c r="X1003" s="72">
        <f t="shared" si="568"/>
        <v>0.21957272488982316</v>
      </c>
      <c r="Y1003" s="72">
        <f t="shared" si="569"/>
        <v>0.2504669325638102</v>
      </c>
      <c r="Z1003" s="72">
        <f t="shared" si="570"/>
        <v>0.19382858359609578</v>
      </c>
      <c r="AA1003" s="72">
        <f t="shared" si="571"/>
        <v>0.40629398128322275</v>
      </c>
      <c r="AB1003" s="72">
        <f t="shared" si="572"/>
        <v>0.1512782328121122</v>
      </c>
      <c r="AC1003" s="72"/>
      <c r="AD1003" s="72"/>
      <c r="AE1003" s="72">
        <f t="shared" si="573"/>
        <v>0.60287779892286919</v>
      </c>
      <c r="AF1003" s="72">
        <f t="shared" si="574"/>
        <v>0.33413933796767792</v>
      </c>
      <c r="AG1003" s="72">
        <f t="shared" si="575"/>
        <v>0.49</v>
      </c>
      <c r="AH1003" s="72">
        <f t="shared" si="576"/>
        <v>0.50535582569770521</v>
      </c>
      <c r="AI1003" s="72">
        <f t="shared" si="577"/>
        <v>0.19477738797063188</v>
      </c>
      <c r="AJ1003" s="72">
        <f>(AV1003-Driver!$K$179)/(Driver!$L$179-Driver!$K$179)</f>
        <v>3.4646684392877283E-2</v>
      </c>
      <c r="AK1003" s="72">
        <f>(AW1003-Driver!$K$180)/(Driver!$L$180-Driver!$K$180)</f>
        <v>0.1151259386167839</v>
      </c>
      <c r="AL1003" s="72">
        <f>(AX1003-Driver!$K$181)/(Driver!$L$181-Driver!$K$181)</f>
        <v>0.29551634730917598</v>
      </c>
      <c r="AM1003" s="72">
        <f>(AY1003-Driver!$K$182)/(Driver!$L$182-Driver!$K$182)</f>
        <v>4.1091039813823629E-2</v>
      </c>
      <c r="AN1003" s="72">
        <f>(AZ1003-Driver!$K$183)/(Driver!$L$183-Driver!$K$183)</f>
        <v>0.10294117647058823</v>
      </c>
      <c r="AO1003" s="72"/>
      <c r="AP1003" s="72"/>
      <c r="AQ1003" s="72">
        <f>(BC1003-Driver!$K$188)/(Driver!$L$188-Driver!$K$188)</f>
        <v>1.7122201077130843E-2</v>
      </c>
      <c r="AR1003" s="72">
        <f>MIN((BD1003-Driver!$K$189)/(Driver!$L$189-Driver!$K$189),100%)</f>
        <v>0.2158606620323221</v>
      </c>
      <c r="AS1003" s="72">
        <f>(BE1003-Driver!$K$190)/(Driver!$L$190-Driver!$K$190)</f>
        <v>1</v>
      </c>
      <c r="AT1003" s="72">
        <f>(BF1003-Driver!$K$191)/(Driver!$L$191-Driver!$K$191)</f>
        <v>4.6441743022947977E-3</v>
      </c>
      <c r="AU1003" s="72">
        <f>(BG1003-Driver!$K$192)/(Driver!$L$192-Driver!$K$192)</f>
        <v>5.522261202936813E-2</v>
      </c>
      <c r="AV1003" s="70">
        <f t="shared" si="578"/>
        <v>0.72920906254239592</v>
      </c>
      <c r="AW1003" s="70">
        <f t="shared" si="579"/>
        <v>13.091935459255069</v>
      </c>
      <c r="AX1003" s="70">
        <f t="shared" si="580"/>
        <v>3.659647125782584</v>
      </c>
      <c r="AY1003" s="70">
        <f>IFERROR(Driver!$K$19/Data!BH1003/Data!BI1003*Data!BK1003*Data!BL1003,"")</f>
        <v>5.0307693115075859E-2</v>
      </c>
      <c r="AZ1003" s="70">
        <f t="shared" si="581"/>
        <v>9.3819806403574084</v>
      </c>
      <c r="BA1003" s="70"/>
      <c r="BB1003" s="70"/>
      <c r="BC1003" s="70">
        <f t="shared" si="582"/>
        <v>8.8814047303185379</v>
      </c>
      <c r="BD1003" s="70">
        <f t="shared" si="583"/>
        <v>20.824108991497791</v>
      </c>
      <c r="BE1003" s="70">
        <f t="shared" si="584"/>
        <v>1</v>
      </c>
      <c r="BF1003" s="70">
        <f t="shared" si="585"/>
        <v>0.52452686027315465</v>
      </c>
      <c r="BG1003" s="70">
        <f t="shared" si="586"/>
        <v>0.20910803736120651</v>
      </c>
      <c r="BH1003" s="67">
        <f>MAX((CE1003-Driver!$F$200)/(Driver!$G$200-Driver!$F$200)*$BI$1,1)</f>
        <v>3.659647125782584</v>
      </c>
      <c r="BI1003" s="67">
        <f>MAX($BI$1*(BY1003-Driver!$F$201)/(Driver!$G$201-Driver!$F$201),1)</f>
        <v>7.5949367088607591</v>
      </c>
      <c r="BJ1003" s="67">
        <f>(CB1003-Driver!$F$206)/(Driver!$G$206-Driver!$F$206)*$BI$1</f>
        <v>1.5873015873015872</v>
      </c>
      <c r="BK1003" s="67">
        <f>(CD1003-Driver!$F$203)/(Driver!$G$203-Driver!$F$203)*$BI$1</f>
        <v>1.1926605504587156</v>
      </c>
      <c r="BL1003" s="67">
        <f>MAX((CR1003-Driver!$F$202)/(Driver!$G$202-Driver!$F$202)*$BI$1,1)</f>
        <v>5.8620689655172411</v>
      </c>
      <c r="BM1003" s="67">
        <f>MAX((CH1003-Driver!$F$204)/(Driver!$G$204-Driver!$F$204)*$BI$1,1)</f>
        <v>1.8376068376068377</v>
      </c>
      <c r="BN1003" s="67">
        <f>(CI1003-Driver!$F$205)/(Driver!$G$205-Driver!$F$205)*$BI$1</f>
        <v>1.2352941176470589</v>
      </c>
      <c r="BO1003" s="67">
        <f>(CK1003-Driver!$F$207)/(Driver!$G$207-Driver!$F$207)*$BI$1</f>
        <v>0.50672182006204758</v>
      </c>
      <c r="BP1003" s="67">
        <f>(CM1003-Driver!$F$208)/(Driver!$G$208-Driver!$F$208)*$BI$1</f>
        <v>0.77777777777777779</v>
      </c>
      <c r="BQ1003" s="67">
        <f>(CL1003-Driver!$F$209)/(Driver!$G$209-Driver!$F$209)*$BI$1</f>
        <v>1.40625</v>
      </c>
      <c r="BR1003" s="28" t="s">
        <v>155</v>
      </c>
      <c r="BS1003" s="8" t="s">
        <v>164</v>
      </c>
      <c r="BT1003" s="9" t="s">
        <v>717</v>
      </c>
      <c r="BU1003" s="10">
        <v>152</v>
      </c>
      <c r="BV1003" s="9" t="s">
        <v>158</v>
      </c>
      <c r="BW1003" s="10">
        <v>152</v>
      </c>
      <c r="BX1003" s="10">
        <v>151.30000000000001</v>
      </c>
      <c r="BY1003" s="10">
        <v>128</v>
      </c>
      <c r="BZ1003" s="10">
        <v>137</v>
      </c>
      <c r="CA1003" s="10">
        <v>125</v>
      </c>
      <c r="CB1003" s="10">
        <v>74</v>
      </c>
      <c r="CC1003" s="10">
        <v>100</v>
      </c>
      <c r="CD1003" s="10">
        <v>12</v>
      </c>
      <c r="CE1003" s="10">
        <v>1543</v>
      </c>
      <c r="CF1003" s="10">
        <v>0.87</v>
      </c>
      <c r="CG1003" s="10">
        <v>1349</v>
      </c>
      <c r="CH1003" s="10">
        <v>144</v>
      </c>
      <c r="CI1003" s="10">
        <v>54</v>
      </c>
      <c r="CJ1003" s="10">
        <v>35</v>
      </c>
      <c r="CK1003" s="10">
        <v>159</v>
      </c>
      <c r="CL1003" s="10">
        <v>9</v>
      </c>
      <c r="CM1003" s="10">
        <v>70</v>
      </c>
      <c r="CN1003" s="10">
        <v>0.25600000000000001</v>
      </c>
      <c r="CO1003" s="10">
        <v>91</v>
      </c>
      <c r="CP1003" s="10">
        <v>53</v>
      </c>
      <c r="CQ1003" s="10">
        <v>69</v>
      </c>
      <c r="CR1003" s="10">
        <v>6</v>
      </c>
      <c r="CS1003" s="10">
        <v>11.5</v>
      </c>
      <c r="CT1003" s="9" t="s">
        <v>349</v>
      </c>
      <c r="CU1003" s="10"/>
      <c r="CV1003" s="10"/>
      <c r="CW1003" s="10"/>
      <c r="CX1003" t="str">
        <f>INDEX('Data_Price '!AG$2:AG$1266,MATCH(Data!$DN1003,'Data_Price '!$AT$2:$AT$1266,0))</f>
        <v>Elan Men's Element Skis with El 10.0 Gripwalk Shift Bindings '22</v>
      </c>
      <c r="CY1003" t="str">
        <f>INDEX('Data_Price '!AH$2:AH$1266,MATCH(Data!$DN1003,'Data_Price '!$AT$2:$AT$1266,0))</f>
        <v>Peter Glenn Ski &amp; Sports</v>
      </c>
      <c r="CZ1003">
        <f>INDEX('Data_Price '!AI$2:AI$1266,MATCH(Data!$DN1003,'Data_Price '!$AT$2:$AT$1266,0))</f>
        <v>449.99</v>
      </c>
      <c r="DA1003" t="str">
        <f>INDEX('Data_Price '!AJ$2:AJ$1266,MATCH(Data!$DN1003,'Data_Price '!$AT$2:$AT$1266,0))</f>
        <v>https://tinyurl.com/y7d5mc4f</v>
      </c>
      <c r="DB1003" t="str">
        <f>INDEX('Data_Price '!AK$2:AK$1266,MATCH(Data!$DN1003,'Data_Price '!$AT$2:$AT$1266,0))</f>
        <v>ELAN Men's ELEMENT BLACK SKI + ELW 10.0 Binding 152</v>
      </c>
      <c r="DC1003" t="str">
        <f>INDEX('Data_Price '!AL$2:AL$1266,MATCH(Data!$DN1003,'Data_Price '!$AT$2:$AT$1266,0))</f>
        <v>Elevation Skate Snow</v>
      </c>
      <c r="DD1003">
        <f>INDEX('Data_Price '!AM$2:AM$1266,MATCH(Data!$DN1003,'Data_Price '!$AT$2:$AT$1266,0))</f>
        <v>449.99</v>
      </c>
      <c r="DE1003" t="str">
        <f>INDEX('Data_Price '!AN$2:AN$1266,MATCH(Data!$DN1003,'Data_Price '!$AT$2:$AT$1266,0))</f>
        <v>https://tinyurl.com/yctvx32y</v>
      </c>
      <c r="DF1003" t="str">
        <f>INDEX('Data_Price '!AO$2:AO$1266,MATCH(Data!$DN1003,'Data_Price '!$AT$2:$AT$1266,0))</f>
        <v>Elan Element Black Blue Light Shift Ski with Bindings 152</v>
      </c>
      <c r="DG1003" t="str">
        <f>INDEX('Data_Price '!AP$2:AP$1266,MATCH(Data!$DN1003,'Data_Price '!$AT$2:$AT$1266,0))</f>
        <v>shop.petersonsskiandcycle.com</v>
      </c>
      <c r="DH1003">
        <f>INDEX('Data_Price '!AQ$2:AQ$1266,MATCH(Data!$DN1003,'Data_Price '!$AT$2:$AT$1266,0))</f>
        <v>449.99</v>
      </c>
      <c r="DI1003" t="str">
        <f>INDEX('Data_Price '!AR$2:AR$1266,MATCH(Data!$DN1003,'Data_Price '!$AT$2:$AT$1266,0))</f>
        <v>https://tinyurl.com/ycplhja6</v>
      </c>
      <c r="DJ1003" s="89" t="str">
        <f t="shared" si="587"/>
        <v>https://tinyurl.com/y7d5mc4f</v>
      </c>
      <c r="DK1003" s="89" t="str">
        <f t="shared" si="588"/>
        <v>https://tinyurl.com/yctvx32y</v>
      </c>
      <c r="DL1003" s="89" t="str">
        <f t="shared" si="589"/>
        <v>https://tinyurl.com/ycplhja6</v>
      </c>
      <c r="DM1003" s="219" t="str">
        <f t="shared" si="590"/>
        <v>Element</v>
      </c>
      <c r="DN1003" s="89" t="str">
        <f t="shared" si="591"/>
        <v xml:space="preserve"> ElanElement152 Unisex</v>
      </c>
      <c r="DO1003" s="221"/>
    </row>
    <row r="1004" spans="2:119" ht="15.6" customHeight="1">
      <c r="B1004" s="219" t="b">
        <f t="array" ref="B1004">IF(OR(ISERROR(K1004:P1004)),FALSE,TRUE)</f>
        <v>1</v>
      </c>
      <c r="C1004" s="43" t="b">
        <f>OR(BR1004=Driver!$G$50,Data!BR65=Driver!$H$50)</f>
        <v>1</v>
      </c>
      <c r="D1004" s="43" t="b">
        <f>OR(BV1004=Driver!$G$51,BV1004=Driver!$H$51)</f>
        <v>1</v>
      </c>
      <c r="E1004" s="43" t="b">
        <f>AND(BX1004&gt;Driver!$F$54,BX1004&lt;Driver!$G$54)</f>
        <v>0</v>
      </c>
      <c r="F1004" s="43" t="b">
        <f>CL1004&gt;Driver!$F$56</f>
        <v>1</v>
      </c>
      <c r="G1004" s="43" t="b">
        <f>AND(CB1004&gt;Driver!$F$55,CB1004&lt;Driver!$G$55)</f>
        <v>1</v>
      </c>
      <c r="H1004" s="43" t="b">
        <f t="shared" si="555"/>
        <v>0</v>
      </c>
      <c r="I1004" s="43">
        <f t="shared" si="556"/>
        <v>0</v>
      </c>
      <c r="J1004" s="43" t="b">
        <f t="array" ref="J1004">NOT(OR(($H$9:$H$1273=TRUE)*($I$9:$I$1273&gt;0)*($BT$9:$BT$1273=BT1004)*($K$9:$K$1273&gt;K1004)))</f>
        <v>1</v>
      </c>
      <c r="K1004" s="72">
        <f t="shared" si="557"/>
        <v>0.68480569979546568</v>
      </c>
      <c r="L1004" s="72">
        <f t="shared" si="558"/>
        <v>0.73451914338954105</v>
      </c>
      <c r="M1004" s="72">
        <f t="shared" si="559"/>
        <v>0.63509225620139031</v>
      </c>
      <c r="N1004" s="72">
        <f t="shared" si="560"/>
        <v>0.5411995578065476</v>
      </c>
      <c r="O1004" s="72">
        <f t="shared" si="561"/>
        <v>0.68346891262603415</v>
      </c>
      <c r="P1004" s="72">
        <f t="shared" si="562"/>
        <v>0.6806082981715893</v>
      </c>
      <c r="Q1004" s="72"/>
      <c r="R1004" s="72"/>
      <c r="S1004" s="72">
        <f t="shared" si="563"/>
        <v>0.60474196102647071</v>
      </c>
      <c r="T1004" s="72">
        <f t="shared" si="564"/>
        <v>0.49889811379894666</v>
      </c>
      <c r="U1004" s="72">
        <f t="shared" si="565"/>
        <v>0.54666984558554799</v>
      </c>
      <c r="V1004" s="72">
        <f t="shared" si="566"/>
        <v>0.5477289746959535</v>
      </c>
      <c r="W1004" s="72">
        <f t="shared" si="567"/>
        <v>0.77662429378531073</v>
      </c>
      <c r="X1004" s="72">
        <f t="shared" si="568"/>
        <v>0.26548085661045889</v>
      </c>
      <c r="Y1004" s="72">
        <f t="shared" si="569"/>
        <v>0.36490774379860963</v>
      </c>
      <c r="Z1004" s="72">
        <f t="shared" si="570"/>
        <v>0.4588004421934524</v>
      </c>
      <c r="AA1004" s="72">
        <f t="shared" si="571"/>
        <v>0.31653108737396585</v>
      </c>
      <c r="AB1004" s="72">
        <f t="shared" si="572"/>
        <v>0.31939170182841065</v>
      </c>
      <c r="AC1004" s="72"/>
      <c r="AD1004" s="72"/>
      <c r="AE1004" s="72">
        <f t="shared" si="573"/>
        <v>0.39525803897352929</v>
      </c>
      <c r="AF1004" s="72">
        <f t="shared" si="574"/>
        <v>0.50110188620105334</v>
      </c>
      <c r="AG1004" s="72">
        <f t="shared" si="575"/>
        <v>0.45333015441445201</v>
      </c>
      <c r="AH1004" s="72">
        <f t="shared" si="576"/>
        <v>0.4522710253040465</v>
      </c>
      <c r="AI1004" s="72">
        <f t="shared" si="577"/>
        <v>0.22337570621468927</v>
      </c>
      <c r="AJ1004" s="72">
        <f>(AV1004-Driver!$K$179)/(Driver!$L$179-Driver!$K$179)</f>
        <v>0.51970026589315932</v>
      </c>
      <c r="AK1004" s="72">
        <f>(AW1004-Driver!$K$180)/(Driver!$L$180-Driver!$K$180)</f>
        <v>0.58087264696795826</v>
      </c>
      <c r="AL1004" s="72">
        <f>(AX1004-Driver!$K$181)/(Driver!$L$181-Driver!$K$181)</f>
        <v>0.56048820590653259</v>
      </c>
      <c r="AM1004" s="72">
        <f>(AY1004-Driver!$K$182)/(Driver!$L$182-Driver!$K$182)</f>
        <v>0.13085393372308052</v>
      </c>
      <c r="AN1004" s="72">
        <f>(AZ1004-Driver!$K$183)/(Driver!$L$183-Driver!$K$183)</f>
        <v>0.57361111111111107</v>
      </c>
      <c r="AO1004" s="72"/>
      <c r="AP1004" s="72"/>
      <c r="AQ1004" s="72">
        <f>(BC1004-Driver!$K$188)/(Driver!$L$188-Driver!$K$188)</f>
        <v>0.2247419610264707</v>
      </c>
      <c r="AR1004" s="72">
        <f>MIN((BD1004-Driver!$K$189)/(Driver!$L$189-Driver!$K$189),100%)</f>
        <v>4.88981137989467E-2</v>
      </c>
      <c r="AS1004" s="72">
        <f>(BE1004-Driver!$K$190)/(Driver!$L$190-Driver!$K$190)</f>
        <v>5.6669845585547975E-2</v>
      </c>
      <c r="AT1004" s="72">
        <f>(BF1004-Driver!$K$191)/(Driver!$L$191-Driver!$K$191)</f>
        <v>5.7728974695953519E-2</v>
      </c>
      <c r="AU1004" s="72">
        <f>(BG1004-Driver!$K$192)/(Driver!$L$192-Driver!$K$192)</f>
        <v>2.6624293785310733E-2</v>
      </c>
      <c r="AV1004" s="70">
        <f t="shared" si="578"/>
        <v>10.93813593813594</v>
      </c>
      <c r="AW1004" s="70">
        <f t="shared" si="579"/>
        <v>58.483079123739607</v>
      </c>
      <c r="AX1004" s="70">
        <f t="shared" si="580"/>
        <v>6.0443938531587937</v>
      </c>
      <c r="AY1004" s="70">
        <f>IFERROR(Driver!$K$19/Data!BH1004/Data!BI1004*Data!BK1004*Data!BL1004,"")</f>
        <v>0.16020425792258991</v>
      </c>
      <c r="AZ1004" s="70">
        <f t="shared" si="581"/>
        <v>52.278481012658226</v>
      </c>
      <c r="BA1004" s="70"/>
      <c r="BB1004" s="70"/>
      <c r="BC1004" s="70">
        <f t="shared" si="582"/>
        <v>116.575217565196</v>
      </c>
      <c r="BD1004" s="70">
        <f t="shared" si="583"/>
        <v>6.048219312973754</v>
      </c>
      <c r="BE1004" s="70">
        <f t="shared" si="584"/>
        <v>5.6838125067462358E-2</v>
      </c>
      <c r="BF1004" s="70">
        <f t="shared" si="585"/>
        <v>6.5200821229071053</v>
      </c>
      <c r="BG1004" s="70">
        <f t="shared" si="586"/>
        <v>0.10081656073446328</v>
      </c>
      <c r="BH1004" s="67">
        <f>MAX((CE1004-Driver!$F$200)/(Driver!$G$200-Driver!$F$200)*$BI$1,1)</f>
        <v>6.0443938531587937</v>
      </c>
      <c r="BI1004" s="67">
        <f>MAX($BI$1*(BY1004-Driver!$F$201)/(Driver!$G$201-Driver!$F$201),1)</f>
        <v>7.4683544303797467</v>
      </c>
      <c r="BJ1004" s="67">
        <f>(CB1004-Driver!$F$206)/(Driver!$G$206-Driver!$F$206)*$BI$1</f>
        <v>6.825396825396826</v>
      </c>
      <c r="BK1004" s="67">
        <f>(CD1004-Driver!$F$203)/(Driver!$G$203-Driver!$F$203)*$BI$1</f>
        <v>5.8256880733944971</v>
      </c>
      <c r="BL1004" s="67">
        <f>MAX((CR1004-Driver!$F$202)/(Driver!$G$202-Driver!$F$202)*$BI$1,1)</f>
        <v>6.2068965517241379</v>
      </c>
      <c r="BM1004" s="67">
        <f>MAX((CH1004-Driver!$F$204)/(Driver!$G$204-Driver!$F$204)*$BI$1,1)</f>
        <v>6.4102564102564106</v>
      </c>
      <c r="BN1004" s="67">
        <f>(CI1004-Driver!$F$205)/(Driver!$G$205-Driver!$F$205)*$BI$1</f>
        <v>7</v>
      </c>
      <c r="BO1004" s="67">
        <f>(CK1004-Driver!$F$207)/(Driver!$G$207-Driver!$F$207)*$BI$1</f>
        <v>2.6783867631851086</v>
      </c>
      <c r="BP1004" s="67">
        <f>(CM1004-Driver!$F$208)/(Driver!$G$208-Driver!$F$208)*$BI$1</f>
        <v>2.0777777777777779</v>
      </c>
      <c r="BQ1004" s="67">
        <f>(CL1004-Driver!$F$209)/(Driver!$G$209-Driver!$F$209)*$BI$1</f>
        <v>3.90625</v>
      </c>
      <c r="BR1004" s="28" t="s">
        <v>155</v>
      </c>
      <c r="BS1004" s="8" t="s">
        <v>182</v>
      </c>
      <c r="BT1004" s="9" t="s">
        <v>839</v>
      </c>
      <c r="BU1004" s="10">
        <v>182</v>
      </c>
      <c r="BV1004" s="9" t="s">
        <v>158</v>
      </c>
      <c r="BW1004" s="10">
        <v>182</v>
      </c>
      <c r="BX1004" s="10">
        <v>181.5</v>
      </c>
      <c r="BY1004" s="10">
        <v>126</v>
      </c>
      <c r="BZ1004" s="10">
        <v>147</v>
      </c>
      <c r="CA1004" s="10">
        <v>135</v>
      </c>
      <c r="CB1004" s="10">
        <v>107</v>
      </c>
      <c r="CC1004" s="10">
        <v>124</v>
      </c>
      <c r="CD1004" s="10">
        <v>22.1</v>
      </c>
      <c r="CE1004" s="10">
        <v>1962</v>
      </c>
      <c r="CF1004" s="10">
        <v>1.07</v>
      </c>
      <c r="CG1004" s="10">
        <v>2102</v>
      </c>
      <c r="CH1004" s="10">
        <v>251</v>
      </c>
      <c r="CI1004" s="10">
        <v>152</v>
      </c>
      <c r="CJ1004" s="10">
        <v>56</v>
      </c>
      <c r="CK1004" s="10">
        <v>369</v>
      </c>
      <c r="CL1004" s="10">
        <v>25</v>
      </c>
      <c r="CM1004" s="10">
        <v>187</v>
      </c>
      <c r="CN1004" s="10">
        <v>0.45300000000000001</v>
      </c>
      <c r="CO1004" s="10">
        <v>210</v>
      </c>
      <c r="CP1004" s="10">
        <v>139</v>
      </c>
      <c r="CQ1004" s="10">
        <v>159</v>
      </c>
      <c r="CR1004" s="10">
        <v>7</v>
      </c>
      <c r="CS1004" s="10">
        <v>10.6</v>
      </c>
      <c r="CT1004" s="9" t="s">
        <v>169</v>
      </c>
      <c r="CU1004" s="9" t="s">
        <v>185</v>
      </c>
      <c r="CV1004" s="10"/>
      <c r="CW1004" s="10"/>
      <c r="CX1004" t="str">
        <f>INDEX('Data_Price '!AG$2:AG$1266,MATCH(Data!$DN1004,'Data_Price '!$AT$2:$AT$1266,0))</f>
        <v>Armada Declivity 108 Ti Skis Â· 2022 Â· 182 cm</v>
      </c>
      <c r="CY1004" t="str">
        <f>INDEX('Data_Price '!AH$2:AH$1266,MATCH(Data!$DN1004,'Data_Price '!$AT$2:$AT$1266,0))</f>
        <v>Snowcountry.eu</v>
      </c>
      <c r="CZ1004">
        <f>INDEX('Data_Price '!AI$2:AI$1266,MATCH(Data!$DN1004,'Data_Price '!$AT$2:$AT$1266,0))</f>
        <v>483.95</v>
      </c>
      <c r="DA1004" t="str">
        <f>INDEX('Data_Price '!AJ$2:AJ$1266,MATCH(Data!$DN1004,'Data_Price '!$AT$2:$AT$1266,0))</f>
        <v>https://tinyurl.com/yajj29tm</v>
      </c>
      <c r="DB1004" t="str">
        <f>INDEX('Data_Price '!AK$2:AK$1266,MATCH(Data!$DN1004,'Data_Price '!$AT$2:$AT$1266,0))</f>
        <v>Armada Declivity 108 Ti Skis Â· 2022 Â· 182 cm</v>
      </c>
      <c r="DC1004" t="str">
        <f>INDEX('Data_Price '!AL$2:AL$1266,MATCH(Data!$DN1004,'Data_Price '!$AT$2:$AT$1266,0))</f>
        <v>REI</v>
      </c>
      <c r="DD1004">
        <f>INDEX('Data_Price '!AM$2:AM$1266,MATCH(Data!$DN1004,'Data_Price '!$AT$2:$AT$1266,0))</f>
        <v>639.92999999999995</v>
      </c>
      <c r="DE1004" t="str">
        <f>INDEX('Data_Price '!AN$2:AN$1266,MATCH(Data!$DN1004,'Data_Price '!$AT$2:$AT$1266,0))</f>
        <v>https://tinyurl.com/ychbebjq</v>
      </c>
      <c r="DF1004" t="str">
        <f>INDEX('Data_Price '!AO$2:AO$1266,MATCH(Data!$DN1004,'Data_Price '!$AT$2:$AT$1266,0))</f>
        <v>Armada Declivity 108 Ti Skis Â· 2022 Â· 182 cm</v>
      </c>
      <c r="DG1004" t="str">
        <f>INDEX('Data_Price '!AP$2:AP$1266,MATCH(Data!$DN1004,'Data_Price '!$AT$2:$AT$1266,0))</f>
        <v>Ski Pro  - Snow Ski &amp; Snowboard</v>
      </c>
      <c r="DH1004">
        <f>INDEX('Data_Price '!AQ$2:AQ$1266,MATCH(Data!$DN1004,'Data_Price '!$AT$2:$AT$1266,0))</f>
        <v>639.95000000000005</v>
      </c>
      <c r="DI1004" t="str">
        <f>INDEX('Data_Price '!AR$2:AR$1266,MATCH(Data!$DN1004,'Data_Price '!$AT$2:$AT$1266,0))</f>
        <v>https://tinyurl.com/y8ha5adf</v>
      </c>
      <c r="DJ1004" s="89" t="str">
        <f t="shared" si="587"/>
        <v>https://tinyurl.com/yajj29tm</v>
      </c>
      <c r="DK1004" s="89" t="str">
        <f t="shared" si="588"/>
        <v>https://tinyurl.com/ychbebjq</v>
      </c>
      <c r="DL1004" s="89" t="str">
        <f t="shared" si="589"/>
        <v>https://tinyurl.com/y8ha5adf</v>
      </c>
      <c r="DM1004" s="219" t="str">
        <f t="shared" si="590"/>
        <v>Declivity 108 Ti</v>
      </c>
      <c r="DN1004" s="89" t="str">
        <f t="shared" si="591"/>
        <v xml:space="preserve"> ArmadaDeclivity 108 Ti182 Unisex</v>
      </c>
      <c r="DO1004" s="221" t="s">
        <v>840</v>
      </c>
    </row>
    <row r="1005" spans="2:119" ht="15.6" customHeight="1">
      <c r="B1005" s="219" t="b">
        <f t="array" ref="B1005">IF(OR(ISERROR(K1005:P1005)),FALSE,TRUE)</f>
        <v>1</v>
      </c>
      <c r="C1005" s="43" t="b">
        <f>OR(BR1005=Driver!$G$50,Data!BR370=Driver!$H$50)</f>
        <v>1</v>
      </c>
      <c r="D1005" s="43" t="b">
        <f>OR(BV1005=Driver!$G$51,BV1005=Driver!$H$51)</f>
        <v>1</v>
      </c>
      <c r="E1005" s="43" t="b">
        <f>AND(BX1005&gt;Driver!$F$54,BX1005&lt;Driver!$G$54)</f>
        <v>1</v>
      </c>
      <c r="F1005" s="43" t="b">
        <f>CL1005&gt;Driver!$F$56</f>
        <v>1</v>
      </c>
      <c r="G1005" s="43" t="b">
        <f>AND(CB1005&gt;Driver!$F$55,CB1005&lt;Driver!$G$55)</f>
        <v>0</v>
      </c>
      <c r="H1005" s="43" t="b">
        <f t="shared" si="555"/>
        <v>0</v>
      </c>
      <c r="I1005" s="43">
        <f t="shared" si="556"/>
        <v>0</v>
      </c>
      <c r="J1005" s="43" t="b">
        <f t="array" ref="J1005">NOT(OR(($H$9:$H$1273=TRUE)*($I$9:$I$1273&gt;0)*($BT$9:$BT$1273=BT1005)*($K$9:$K$1273&gt;K1005)))</f>
        <v>1</v>
      </c>
      <c r="K1005" s="72">
        <f t="shared" si="557"/>
        <v>0.95063233388083479</v>
      </c>
      <c r="L1005" s="72">
        <f t="shared" si="558"/>
        <v>0.97090346558636731</v>
      </c>
      <c r="M1005" s="72">
        <f t="shared" si="559"/>
        <v>0.93036120217530216</v>
      </c>
      <c r="N1005" s="72">
        <f t="shared" si="560"/>
        <v>0.91431173037406333</v>
      </c>
      <c r="O1005" s="72">
        <f t="shared" si="561"/>
        <v>0.94046840961755018</v>
      </c>
      <c r="P1005" s="72">
        <f t="shared" si="562"/>
        <v>0.93630346653429308</v>
      </c>
      <c r="Q1005" s="72"/>
      <c r="R1005" s="72"/>
      <c r="S1005" s="72">
        <f t="shared" si="563"/>
        <v>0.4391650726274301</v>
      </c>
      <c r="T1005" s="72">
        <f t="shared" si="564"/>
        <v>0.46411678985102311</v>
      </c>
      <c r="U1005" s="72">
        <f t="shared" si="565"/>
        <v>0.73107150853930103</v>
      </c>
      <c r="V1005" s="72">
        <f t="shared" si="566"/>
        <v>0.52758811440747111</v>
      </c>
      <c r="W1005" s="72">
        <f t="shared" si="567"/>
        <v>0.82975085203901755</v>
      </c>
      <c r="X1005" s="72">
        <f t="shared" si="568"/>
        <v>2.9096534413632691E-2</v>
      </c>
      <c r="Y1005" s="72">
        <f t="shared" si="569"/>
        <v>6.9638797824697798E-2</v>
      </c>
      <c r="Z1005" s="72">
        <f t="shared" si="570"/>
        <v>8.5688269625936689E-2</v>
      </c>
      <c r="AA1005" s="72">
        <f t="shared" si="571"/>
        <v>5.9531590382449762E-2</v>
      </c>
      <c r="AB1005" s="72">
        <f t="shared" si="572"/>
        <v>6.3696533465706945E-2</v>
      </c>
      <c r="AC1005" s="72"/>
      <c r="AD1005" s="72"/>
      <c r="AE1005" s="72">
        <f t="shared" si="573"/>
        <v>0.5608349273725699</v>
      </c>
      <c r="AF1005" s="72">
        <f t="shared" si="574"/>
        <v>0.53588321014897689</v>
      </c>
      <c r="AG1005" s="72">
        <f t="shared" si="575"/>
        <v>0.26892849146069897</v>
      </c>
      <c r="AH1005" s="72">
        <f t="shared" si="576"/>
        <v>0.47241188559252889</v>
      </c>
      <c r="AI1005" s="72">
        <f t="shared" si="577"/>
        <v>0.17024914796098251</v>
      </c>
      <c r="AJ1005" s="72">
        <f>(AV1005-Driver!$K$179)/(Driver!$L$179-Driver!$K$179)</f>
        <v>0.22512287486906774</v>
      </c>
      <c r="AK1005" s="72">
        <f>(AW1005-Driver!$K$180)/(Driver!$L$180-Driver!$K$180)</f>
        <v>0.17557214594543785</v>
      </c>
      <c r="AL1005" s="72">
        <f>(AX1005-Driver!$K$181)/(Driver!$L$181-Driver!$K$181)</f>
        <v>1.5999494087143493E-2</v>
      </c>
      <c r="AM1005" s="72">
        <f>(AY1005-Driver!$K$182)/(Driver!$L$182-Driver!$K$182)</f>
        <v>0.3878534307145966</v>
      </c>
      <c r="AN1005" s="72">
        <f>(AZ1005-Driver!$K$183)/(Driver!$L$183-Driver!$K$183)</f>
        <v>0.19052287581699348</v>
      </c>
      <c r="AO1005" s="72"/>
      <c r="AP1005" s="72"/>
      <c r="AQ1005" s="72">
        <f>(BC1005-Driver!$K$188)/(Driver!$L$188-Driver!$K$188)</f>
        <v>5.9165072627430093E-2</v>
      </c>
      <c r="AR1005" s="72">
        <f>MIN((BD1005-Driver!$K$189)/(Driver!$L$189-Driver!$K$189),100%)</f>
        <v>1.4116789851023112E-2</v>
      </c>
      <c r="AS1005" s="72">
        <f>(BE1005-Driver!$K$190)/(Driver!$L$190-Driver!$K$190)</f>
        <v>0.77892849146069898</v>
      </c>
      <c r="AT1005" s="72">
        <f>(BF1005-Driver!$K$191)/(Driver!$L$191-Driver!$K$191)</f>
        <v>3.7588114407471146E-2</v>
      </c>
      <c r="AU1005" s="72">
        <f>(BG1005-Driver!$K$192)/(Driver!$L$192-Driver!$K$192)</f>
        <v>7.9750852039017495E-2</v>
      </c>
      <c r="AV1005" s="70">
        <f t="shared" si="578"/>
        <v>4.7381630714964045</v>
      </c>
      <c r="AW1005" s="70">
        <f t="shared" si="579"/>
        <v>18.982953971315865</v>
      </c>
      <c r="AX1005" s="70">
        <f t="shared" si="580"/>
        <v>1.1439954467842914</v>
      </c>
      <c r="AY1005" s="70">
        <f>IFERROR(Driver!$K$19/Data!BH1005/Data!BI1005*Data!BK1005*Data!BL1005,"")</f>
        <v>0.47484832348913053</v>
      </c>
      <c r="AZ1005" s="70">
        <f t="shared" si="581"/>
        <v>17.364110201042443</v>
      </c>
      <c r="BA1005" s="70"/>
      <c r="BB1005" s="70"/>
      <c r="BC1005" s="70">
        <f t="shared" si="582"/>
        <v>30.689334480759992</v>
      </c>
      <c r="BD1005" s="70">
        <f t="shared" si="583"/>
        <v>2.9701337724417813</v>
      </c>
      <c r="BE1005" s="70">
        <f t="shared" si="584"/>
        <v>0.77896792812955662</v>
      </c>
      <c r="BF1005" s="70">
        <f t="shared" si="585"/>
        <v>4.2453134508747512</v>
      </c>
      <c r="BG1005" s="70">
        <f t="shared" si="586"/>
        <v>0.30198760136326241</v>
      </c>
      <c r="BH1005" s="67">
        <f>MAX((CE1005-Driver!$F$200)/(Driver!$G$200-Driver!$F$200)*$BI$1,1)</f>
        <v>1.1439954467842914</v>
      </c>
      <c r="BI1005" s="67">
        <f>MAX($BI$1*(BY1005-Driver!$F$201)/(Driver!$G$201-Driver!$F$201),1)</f>
        <v>6.7088607594936711</v>
      </c>
      <c r="BJ1005" s="67">
        <f>(CB1005-Driver!$F$206)/(Driver!$G$206-Driver!$F$206)*$BI$1</f>
        <v>3.4920634920634921</v>
      </c>
      <c r="BK1005" s="67">
        <f>(CD1005-Driver!$F$203)/(Driver!$G$203-Driver!$F$203)*$BI$1</f>
        <v>3.3027522935779823</v>
      </c>
      <c r="BL1005" s="67">
        <f>MAX((CR1005-Driver!$F$202)/(Driver!$G$202-Driver!$F$202)*$BI$1,1)</f>
        <v>5.5172413793103452</v>
      </c>
      <c r="BM1005" s="67">
        <f>MAX((CH1005-Driver!$F$204)/(Driver!$G$204-Driver!$F$204)*$BI$1,1)</f>
        <v>5.4273504273504267</v>
      </c>
      <c r="BN1005" s="67">
        <f>(CI1005-Driver!$F$205)/(Driver!$G$205-Driver!$F$205)*$BI$1</f>
        <v>2.5882352941176472</v>
      </c>
      <c r="BO1005" s="67">
        <f>(CK1005-Driver!$F$207)/(Driver!$G$207-Driver!$F$207)*$BI$1</f>
        <v>2.1509824198552225</v>
      </c>
      <c r="BP1005" s="67">
        <f>(CM1005-Driver!$F$208)/(Driver!$G$208-Driver!$F$208)*$BI$1</f>
        <v>1.8666666666666667</v>
      </c>
      <c r="BQ1005" s="67">
        <f>(CL1005-Driver!$F$209)/(Driver!$G$209-Driver!$F$209)*$BI$1</f>
        <v>1.875</v>
      </c>
      <c r="BR1005" s="28" t="s">
        <v>155</v>
      </c>
      <c r="BS1005" s="8" t="s">
        <v>329</v>
      </c>
      <c r="BT1005" s="9" t="s">
        <v>520</v>
      </c>
      <c r="BU1005" s="10">
        <v>165</v>
      </c>
      <c r="BV1005" s="9" t="s">
        <v>158</v>
      </c>
      <c r="BW1005" s="10">
        <v>165</v>
      </c>
      <c r="BX1005" s="10">
        <v>163.1</v>
      </c>
      <c r="BY1005" s="10">
        <v>114</v>
      </c>
      <c r="BZ1005" s="10">
        <v>140</v>
      </c>
      <c r="CA1005" s="10">
        <v>121</v>
      </c>
      <c r="CB1005" s="10">
        <v>86</v>
      </c>
      <c r="CC1005" s="10">
        <v>109</v>
      </c>
      <c r="CD1005" s="10">
        <v>16.600000000000001</v>
      </c>
      <c r="CE1005" s="10">
        <v>1101</v>
      </c>
      <c r="CF1005" s="10">
        <v>1.43</v>
      </c>
      <c r="CG1005" s="10">
        <v>1571</v>
      </c>
      <c r="CH1005" s="10">
        <v>228</v>
      </c>
      <c r="CI1005" s="10">
        <v>77</v>
      </c>
      <c r="CJ1005" s="10">
        <v>54</v>
      </c>
      <c r="CK1005" s="10">
        <v>318</v>
      </c>
      <c r="CL1005" s="10">
        <v>12</v>
      </c>
      <c r="CM1005" s="10">
        <v>168</v>
      </c>
      <c r="CN1005" s="10">
        <v>0.22500000000000001</v>
      </c>
      <c r="CO1005" s="10">
        <v>140</v>
      </c>
      <c r="CP1005" s="10">
        <v>93</v>
      </c>
      <c r="CQ1005" s="10">
        <v>179</v>
      </c>
      <c r="CR1005" s="10">
        <v>5</v>
      </c>
      <c r="CS1005" s="10">
        <v>12.4</v>
      </c>
      <c r="CT1005" s="9" t="s">
        <v>185</v>
      </c>
      <c r="CU1005" s="9" t="s">
        <v>198</v>
      </c>
      <c r="CV1005" s="10"/>
      <c r="CW1005" s="10"/>
      <c r="CX1005" t="str">
        <f>INDEX('Data_Price '!AG$2:AG$1266,MATCH(Data!$DN1005,'Data_Price '!$AT$2:$AT$1266,0))</f>
        <v>Dynafit - Blacklight 88 - 165 Black/Blue</v>
      </c>
      <c r="CY1005" t="str">
        <f>INDEX('Data_Price '!AH$2:AH$1266,MATCH(Data!$DN1005,'Data_Price '!$AT$2:$AT$1266,0))</f>
        <v>Curated</v>
      </c>
      <c r="CZ1005">
        <f>INDEX('Data_Price '!AI$2:AI$1266,MATCH(Data!$DN1005,'Data_Price '!$AT$2:$AT$1266,0))</f>
        <v>559.99</v>
      </c>
      <c r="DA1005" t="str">
        <f>INDEX('Data_Price '!AJ$2:AJ$1266,MATCH(Data!$DN1005,'Data_Price '!$AT$2:$AT$1266,0))</f>
        <v>https://tinyurl.com/y8s7uxar</v>
      </c>
      <c r="DB1005" t="str">
        <f>INDEX('Data_Price '!AK$2:AK$1266,MATCH(Data!$DN1005,'Data_Price '!$AT$2:$AT$1266,0))</f>
        <v>Dynafit - Blacklight 88 - 165 Black/Blue</v>
      </c>
      <c r="DC1005" t="str">
        <f>INDEX('Data_Price '!AL$2:AL$1266,MATCH(Data!$DN1005,'Data_Price '!$AT$2:$AT$1266,0))</f>
        <v>SportÃ¨que</v>
      </c>
      <c r="DD1005">
        <f>INDEX('Data_Price '!AM$2:AM$1266,MATCH(Data!$DN1005,'Data_Price '!$AT$2:$AT$1266,0))</f>
        <v>560.97</v>
      </c>
      <c r="DE1005" t="str">
        <f>INDEX('Data_Price '!AN$2:AN$1266,MATCH(Data!$DN1005,'Data_Price '!$AT$2:$AT$1266,0))</f>
        <v>https://tinyurl.com/y9wvrsvg</v>
      </c>
      <c r="DF1005" t="str">
        <f>INDEX('Data_Price '!AO$2:AO$1266,MATCH(Data!$DN1005,'Data_Price '!$AT$2:$AT$1266,0))</f>
        <v>Dynafit Blacklight 88 Touring Ski 165</v>
      </c>
      <c r="DG1005" t="str">
        <f>INDEX('Data_Price '!AP$2:AP$1266,MATCH(Data!$DN1005,'Data_Price '!$AT$2:$AT$1266,0))</f>
        <v>Cripple Creek Backcountry</v>
      </c>
      <c r="DH1005">
        <f>INDEX('Data_Price '!AQ$2:AQ$1266,MATCH(Data!$DN1005,'Data_Price '!$AT$2:$AT$1266,0))</f>
        <v>599.95000000000005</v>
      </c>
      <c r="DI1005" t="str">
        <f>INDEX('Data_Price '!AR$2:AR$1266,MATCH(Data!$DN1005,'Data_Price '!$AT$2:$AT$1266,0))</f>
        <v>https://tinyurl.com/y9gm8z32</v>
      </c>
      <c r="DJ1005" s="89" t="str">
        <f t="shared" si="587"/>
        <v>https://tinyurl.com/y8s7uxar</v>
      </c>
      <c r="DK1005" s="89" t="str">
        <f t="shared" si="588"/>
        <v>https://tinyurl.com/y9wvrsvg</v>
      </c>
      <c r="DL1005" s="89" t="str">
        <f t="shared" si="589"/>
        <v>https://tinyurl.com/y9gm8z32</v>
      </c>
      <c r="DM1005" s="219" t="str">
        <f t="shared" si="590"/>
        <v>Blacklight 88</v>
      </c>
      <c r="DN1005" s="89" t="str">
        <f t="shared" si="591"/>
        <v xml:space="preserve"> DynafitBlacklight 88165 Unisex</v>
      </c>
      <c r="DO1005" s="221" t="s">
        <v>521</v>
      </c>
    </row>
    <row r="1006" spans="2:119" ht="15.6" customHeight="1">
      <c r="B1006" s="219" t="b">
        <f t="array" ref="B1006">IF(OR(ISERROR(K1006:P1006)),FALSE,TRUE)</f>
        <v>1</v>
      </c>
      <c r="C1006" s="43" t="b">
        <f>OR(BR1006=Driver!$G$50,Data!BR1163=Driver!$H$50)</f>
        <v>1</v>
      </c>
      <c r="D1006" s="43" t="b">
        <f>OR(BV1006=Driver!$G$51,BV1006=Driver!$H$51)</f>
        <v>1</v>
      </c>
      <c r="E1006" s="43" t="b">
        <f>AND(BX1006&gt;Driver!$F$54,BX1006&lt;Driver!$G$54)</f>
        <v>1</v>
      </c>
      <c r="F1006" s="43" t="b">
        <f>CL1006&gt;Driver!$F$56</f>
        <v>1</v>
      </c>
      <c r="G1006" s="43" t="b">
        <f>AND(CB1006&gt;Driver!$F$55,CB1006&lt;Driver!$G$55)</f>
        <v>0</v>
      </c>
      <c r="H1006" s="43" t="b">
        <f t="shared" si="555"/>
        <v>0</v>
      </c>
      <c r="I1006" s="43">
        <f t="shared" si="556"/>
        <v>0</v>
      </c>
      <c r="J1006" s="43" t="b">
        <f t="array" ref="J1006">NOT(OR(($H$9:$H$1273=TRUE)*($I$9:$I$1273&gt;0)*($BT$9:$BT$1273=BT1006)*($K$9:$K$1273&gt;K1006)))</f>
        <v>1</v>
      </c>
      <c r="K1006" s="72">
        <f t="shared" si="557"/>
        <v>0.84406812516680851</v>
      </c>
      <c r="L1006" s="72">
        <f t="shared" si="558"/>
        <v>0.83884319647026062</v>
      </c>
      <c r="M1006" s="72">
        <f t="shared" si="559"/>
        <v>0.84929305386335652</v>
      </c>
      <c r="N1006" s="72">
        <f t="shared" si="560"/>
        <v>0.9826085251119292</v>
      </c>
      <c r="O1006" s="72">
        <f t="shared" si="561"/>
        <v>0.64028252942097152</v>
      </c>
      <c r="P1006" s="72">
        <f t="shared" si="562"/>
        <v>0.92498810705716883</v>
      </c>
      <c r="Q1006" s="72"/>
      <c r="R1006" s="72"/>
      <c r="S1006" s="72">
        <f t="shared" si="563"/>
        <v>0.40689816220963904</v>
      </c>
      <c r="T1006" s="72">
        <f t="shared" si="564"/>
        <v>0.48164938363626997</v>
      </c>
      <c r="U1006" s="72">
        <f t="shared" si="565"/>
        <v>0.8671410290971463</v>
      </c>
      <c r="V1006" s="72">
        <f t="shared" si="566"/>
        <v>0.55172960659356329</v>
      </c>
      <c r="W1006" s="72">
        <f t="shared" si="567"/>
        <v>0.89405844155844161</v>
      </c>
      <c r="X1006" s="72">
        <f t="shared" si="568"/>
        <v>0.16115680352973935</v>
      </c>
      <c r="Y1006" s="72">
        <f t="shared" si="569"/>
        <v>0.15070694613664348</v>
      </c>
      <c r="Z1006" s="72">
        <f t="shared" si="570"/>
        <v>1.739147488807076E-2</v>
      </c>
      <c r="AA1006" s="72">
        <f t="shared" si="571"/>
        <v>0.35971747057902853</v>
      </c>
      <c r="AB1006" s="72">
        <f t="shared" si="572"/>
        <v>7.5011892942831171E-2</v>
      </c>
      <c r="AC1006" s="72"/>
      <c r="AD1006" s="72"/>
      <c r="AE1006" s="72">
        <f t="shared" si="573"/>
        <v>0.59310183779036096</v>
      </c>
      <c r="AF1006" s="72">
        <f t="shared" si="574"/>
        <v>0.51835061636373003</v>
      </c>
      <c r="AG1006" s="72">
        <f t="shared" si="575"/>
        <v>0.1328589709028537</v>
      </c>
      <c r="AH1006" s="72">
        <f t="shared" si="576"/>
        <v>0.44827039340643671</v>
      </c>
      <c r="AI1006" s="72">
        <f t="shared" si="577"/>
        <v>0.10594155844155845</v>
      </c>
      <c r="AJ1006" s="72">
        <f>(AV1006-Driver!$K$179)/(Driver!$L$179-Driver!$K$179)</f>
        <v>9.3062605752961075E-2</v>
      </c>
      <c r="AK1006" s="72">
        <f>(AW1006-Driver!$K$180)/(Driver!$L$180-Driver!$K$180)</f>
        <v>0.17073859209511827</v>
      </c>
      <c r="AL1006" s="72">
        <f>(AX1006-Driver!$K$181)/(Driver!$L$181-Driver!$K$181)</f>
        <v>0.11907923860115094</v>
      </c>
      <c r="AM1006" s="72">
        <f>(AY1006-Driver!$K$182)/(Driver!$L$182-Driver!$K$182)</f>
        <v>8.766755051801782E-2</v>
      </c>
      <c r="AN1006" s="72">
        <f>(AZ1006-Driver!$K$183)/(Driver!$L$183-Driver!$K$183)</f>
        <v>0.17920751633986925</v>
      </c>
      <c r="AO1006" s="72"/>
      <c r="AP1006" s="72"/>
      <c r="AQ1006" s="72">
        <f>(BC1006-Driver!$K$188)/(Driver!$L$188-Driver!$K$188)</f>
        <v>2.6898162209639018E-2</v>
      </c>
      <c r="AR1006" s="72">
        <f>MIN((BD1006-Driver!$K$189)/(Driver!$L$189-Driver!$K$189),100%)</f>
        <v>3.1649383636270033E-2</v>
      </c>
      <c r="AS1006" s="72">
        <f>(BE1006-Driver!$K$190)/(Driver!$L$190-Driver!$K$190)</f>
        <v>0.37714102909714631</v>
      </c>
      <c r="AT1006" s="72">
        <f>(BF1006-Driver!$K$191)/(Driver!$L$191-Driver!$K$191)</f>
        <v>6.1729606593563295E-2</v>
      </c>
      <c r="AU1006" s="72">
        <f>(BG1006-Driver!$K$192)/(Driver!$L$192-Driver!$K$192)</f>
        <v>0.14405844155844155</v>
      </c>
      <c r="AV1006" s="70">
        <f t="shared" si="578"/>
        <v>1.9586894586894585</v>
      </c>
      <c r="AW1006" s="70">
        <f t="shared" si="579"/>
        <v>18.511881318958118</v>
      </c>
      <c r="AX1006" s="70">
        <f t="shared" si="580"/>
        <v>2.0717131474103585</v>
      </c>
      <c r="AY1006" s="70">
        <f>IFERROR(Driver!$K$19/Data!BH1006/Data!BI1006*Data!BK1006*Data!BL1006,"")</f>
        <v>0.1073312393065104</v>
      </c>
      <c r="AZ1006" s="70">
        <f t="shared" si="581"/>
        <v>16.33283693224125</v>
      </c>
      <c r="BA1006" s="70"/>
      <c r="BB1006" s="70"/>
      <c r="BC1006" s="70">
        <f t="shared" si="582"/>
        <v>13.952263731129744</v>
      </c>
      <c r="BD1006" s="70">
        <f t="shared" si="583"/>
        <v>4.5217372565182128</v>
      </c>
      <c r="BE1006" s="70">
        <f t="shared" si="584"/>
        <v>0.37725214012697905</v>
      </c>
      <c r="BF1006" s="70">
        <f t="shared" si="585"/>
        <v>6.9719253897123581</v>
      </c>
      <c r="BG1006" s="70">
        <f t="shared" si="586"/>
        <v>0.54549715909090912</v>
      </c>
      <c r="BH1006" s="67">
        <f>MAX((CE1006-Driver!$F$200)/(Driver!$G$200-Driver!$F$200)*$BI$1,1)</f>
        <v>2.0717131474103585</v>
      </c>
      <c r="BI1006" s="67">
        <f>MAX($BI$1*(BY1006-Driver!$F$201)/(Driver!$G$201-Driver!$F$201),1)</f>
        <v>6.7721518987341769</v>
      </c>
      <c r="BJ1006" s="67">
        <f>(CB1006-Driver!$F$206)/(Driver!$G$206-Driver!$F$206)*$BI$1</f>
        <v>3.333333333333333</v>
      </c>
      <c r="BK1006" s="67">
        <f>(CD1006-Driver!$F$203)/(Driver!$G$203-Driver!$F$203)*$BI$1</f>
        <v>1.5596330275229362</v>
      </c>
      <c r="BL1006" s="67">
        <f>MAX((CR1006-Driver!$F$202)/(Driver!$G$202-Driver!$F$202)*$BI$1,1)</f>
        <v>4.8275862068965516</v>
      </c>
      <c r="BM1006" s="67">
        <f>MAX((CH1006-Driver!$F$204)/(Driver!$G$204-Driver!$F$204)*$BI$1,1)</f>
        <v>2.3504273504273505</v>
      </c>
      <c r="BN1006" s="67">
        <f>(CI1006-Driver!$F$205)/(Driver!$G$205-Driver!$F$205)*$BI$1</f>
        <v>2.4117647058823528</v>
      </c>
      <c r="BO1006" s="67">
        <f>(CK1006-Driver!$F$207)/(Driver!$G$207-Driver!$F$207)*$BI$1</f>
        <v>1.7269906928645296</v>
      </c>
      <c r="BP1006" s="67">
        <f>(CM1006-Driver!$F$208)/(Driver!$G$208-Driver!$F$208)*$BI$1</f>
        <v>1.8888888888888888</v>
      </c>
      <c r="BQ1006" s="67">
        <f>(CL1006-Driver!$F$209)/(Driver!$G$209-Driver!$F$209)*$BI$1</f>
        <v>2.65625</v>
      </c>
      <c r="BR1006" s="28" t="s">
        <v>155</v>
      </c>
      <c r="BS1006" s="8" t="s">
        <v>229</v>
      </c>
      <c r="BT1006" s="9" t="s">
        <v>624</v>
      </c>
      <c r="BU1006" s="10">
        <v>159</v>
      </c>
      <c r="BV1006" s="9" t="s">
        <v>158</v>
      </c>
      <c r="BW1006" s="10">
        <v>159</v>
      </c>
      <c r="BX1006" s="10">
        <v>159.69999999999999</v>
      </c>
      <c r="BY1006" s="10">
        <v>115</v>
      </c>
      <c r="BZ1006" s="10">
        <v>135</v>
      </c>
      <c r="CA1006" s="10">
        <v>128</v>
      </c>
      <c r="CB1006" s="10">
        <v>85</v>
      </c>
      <c r="CC1006" s="10">
        <v>110</v>
      </c>
      <c r="CD1006" s="10">
        <v>12.8</v>
      </c>
      <c r="CE1006" s="10">
        <v>1264</v>
      </c>
      <c r="CF1006" s="10">
        <v>1.26</v>
      </c>
      <c r="CG1006" s="10">
        <v>1587</v>
      </c>
      <c r="CH1006" s="10">
        <v>156</v>
      </c>
      <c r="CI1006" s="10">
        <v>74</v>
      </c>
      <c r="CJ1006" s="10">
        <v>47</v>
      </c>
      <c r="CK1006" s="10">
        <v>277</v>
      </c>
      <c r="CL1006" s="10">
        <v>17</v>
      </c>
      <c r="CM1006" s="10">
        <v>170</v>
      </c>
      <c r="CN1006" s="10">
        <v>0.36799999999999999</v>
      </c>
      <c r="CO1006" s="10">
        <v>145</v>
      </c>
      <c r="CP1006" s="10">
        <v>98</v>
      </c>
      <c r="CQ1006" s="10">
        <v>133</v>
      </c>
      <c r="CR1006" s="10">
        <v>3</v>
      </c>
      <c r="CS1006" s="10">
        <v>11.6</v>
      </c>
      <c r="CT1006" s="9" t="s">
        <v>188</v>
      </c>
      <c r="CU1006" s="9" t="s">
        <v>185</v>
      </c>
      <c r="CV1006" s="9" t="s">
        <v>198</v>
      </c>
      <c r="CW1006" s="10"/>
      <c r="CX1006" t="e">
        <f>INDEX('Data_Price '!AG$2:AG$1266,MATCH(Data!$DN1006,'Data_Price '!$AT$2:$AT$1266,0))</f>
        <v>#N/A</v>
      </c>
      <c r="CY1006" t="e">
        <f>INDEX('Data_Price '!AH$2:AH$1266,MATCH(Data!$DN1006,'Data_Price '!$AT$2:$AT$1266,0))</f>
        <v>#N/A</v>
      </c>
      <c r="CZ1006" t="e">
        <f>INDEX('Data_Price '!AI$2:AI$1266,MATCH(Data!$DN1006,'Data_Price '!$AT$2:$AT$1266,0))</f>
        <v>#N/A</v>
      </c>
      <c r="DA1006" t="e">
        <f>INDEX('Data_Price '!AJ$2:AJ$1266,MATCH(Data!$DN1006,'Data_Price '!$AT$2:$AT$1266,0))</f>
        <v>#N/A</v>
      </c>
      <c r="DB1006" t="e">
        <f>INDEX('Data_Price '!AK$2:AK$1266,MATCH(Data!$DN1006,'Data_Price '!$AT$2:$AT$1266,0))</f>
        <v>#N/A</v>
      </c>
      <c r="DC1006" t="e">
        <f>INDEX('Data_Price '!AL$2:AL$1266,MATCH(Data!$DN1006,'Data_Price '!$AT$2:$AT$1266,0))</f>
        <v>#N/A</v>
      </c>
      <c r="DD1006" t="e">
        <f>INDEX('Data_Price '!AM$2:AM$1266,MATCH(Data!$DN1006,'Data_Price '!$AT$2:$AT$1266,0))</f>
        <v>#N/A</v>
      </c>
      <c r="DE1006" t="e">
        <f>INDEX('Data_Price '!AN$2:AN$1266,MATCH(Data!$DN1006,'Data_Price '!$AT$2:$AT$1266,0))</f>
        <v>#N/A</v>
      </c>
      <c r="DF1006" t="e">
        <f>INDEX('Data_Price '!AO$2:AO$1266,MATCH(Data!$DN1006,'Data_Price '!$AT$2:$AT$1266,0))</f>
        <v>#N/A</v>
      </c>
      <c r="DG1006" t="e">
        <f>INDEX('Data_Price '!AP$2:AP$1266,MATCH(Data!$DN1006,'Data_Price '!$AT$2:$AT$1266,0))</f>
        <v>#N/A</v>
      </c>
      <c r="DH1006" t="e">
        <f>INDEX('Data_Price '!AQ$2:AQ$1266,MATCH(Data!$DN1006,'Data_Price '!$AT$2:$AT$1266,0))</f>
        <v>#N/A</v>
      </c>
      <c r="DI1006" t="e">
        <f>INDEX('Data_Price '!AR$2:AR$1266,MATCH(Data!$DN1006,'Data_Price '!$AT$2:$AT$1266,0))</f>
        <v>#N/A</v>
      </c>
      <c r="DJ1006" s="89" t="e">
        <f t="shared" si="587"/>
        <v>#N/A</v>
      </c>
      <c r="DK1006" s="89" t="e">
        <f t="shared" si="588"/>
        <v>#N/A</v>
      </c>
      <c r="DL1006" s="89" t="e">
        <f t="shared" si="589"/>
        <v>#N/A</v>
      </c>
      <c r="DM1006" s="219" t="str">
        <f t="shared" si="590"/>
        <v>Blaze 86</v>
      </c>
      <c r="DN1006" s="89" t="str">
        <f t="shared" si="591"/>
        <v xml:space="preserve"> VölklBlaze 86159 Unisex</v>
      </c>
      <c r="DO1006" s="221" t="s">
        <v>625</v>
      </c>
    </row>
    <row r="1007" spans="2:119" ht="15.6" customHeight="1">
      <c r="B1007" s="219" t="b">
        <f t="array" ref="B1007">IF(OR(ISERROR(K1007:P1007)),FALSE,TRUE)</f>
        <v>1</v>
      </c>
      <c r="C1007" s="43" t="b">
        <f>OR(BR1007=Driver!$G$50,Data!BR124=Driver!$H$50)</f>
        <v>1</v>
      </c>
      <c r="D1007" s="43" t="b">
        <f>OR(BV1007=Driver!$G$51,BV1007=Driver!$H$51)</f>
        <v>1</v>
      </c>
      <c r="E1007" s="43" t="b">
        <f>AND(BX1007&gt;Driver!$F$54,BX1007&lt;Driver!$G$54)</f>
        <v>1</v>
      </c>
      <c r="F1007" s="43" t="b">
        <f>CL1007&gt;Driver!$F$56</f>
        <v>1</v>
      </c>
      <c r="G1007" s="43" t="b">
        <f>AND(CB1007&gt;Driver!$F$55,CB1007&lt;Driver!$G$55)</f>
        <v>0</v>
      </c>
      <c r="H1007" s="43" t="b">
        <f t="shared" si="555"/>
        <v>0</v>
      </c>
      <c r="I1007" s="43">
        <f t="shared" si="556"/>
        <v>0</v>
      </c>
      <c r="J1007" s="43" t="b">
        <f t="array" ref="J1007">NOT(OR(($H$9:$H$1273=TRUE)*($I$9:$I$1273&gt;0)*($BT$9:$BT$1273=BT1007)*($K$9:$K$1273&gt;K1007)))</f>
        <v>1</v>
      </c>
      <c r="K1007" s="72">
        <f t="shared" si="557"/>
        <v>0.85818269803329406</v>
      </c>
      <c r="L1007" s="72">
        <f t="shared" si="558"/>
        <v>0.83263902275339663</v>
      </c>
      <c r="M1007" s="72">
        <f t="shared" si="559"/>
        <v>0.88372637331319137</v>
      </c>
      <c r="N1007" s="72">
        <f t="shared" si="560"/>
        <v>0.92379759643363457</v>
      </c>
      <c r="O1007" s="72">
        <f t="shared" si="561"/>
        <v>0.82432969095857478</v>
      </c>
      <c r="P1007" s="72">
        <f t="shared" si="562"/>
        <v>0.90305183254736487</v>
      </c>
      <c r="Q1007" s="72"/>
      <c r="R1007" s="72"/>
      <c r="S1007" s="72">
        <f t="shared" si="563"/>
        <v>0.42069924414229665</v>
      </c>
      <c r="T1007" s="72">
        <f t="shared" si="564"/>
        <v>0.44620995765779903</v>
      </c>
      <c r="U1007" s="72">
        <f t="shared" si="565"/>
        <v>0.51</v>
      </c>
      <c r="V1007" s="72">
        <f t="shared" si="566"/>
        <v>0.51546491487055601</v>
      </c>
      <c r="W1007" s="72">
        <f t="shared" si="567"/>
        <v>0.9263180272108843</v>
      </c>
      <c r="X1007" s="72">
        <f t="shared" si="568"/>
        <v>0.16736097724660343</v>
      </c>
      <c r="Y1007" s="72">
        <f t="shared" si="569"/>
        <v>0.11627362668680859</v>
      </c>
      <c r="Z1007" s="72">
        <f t="shared" si="570"/>
        <v>7.6202403566365456E-2</v>
      </c>
      <c r="AA1007" s="72">
        <f t="shared" si="571"/>
        <v>0.17567030904142522</v>
      </c>
      <c r="AB1007" s="72">
        <f t="shared" si="572"/>
        <v>9.6948167452635098E-2</v>
      </c>
      <c r="AC1007" s="72"/>
      <c r="AD1007" s="72"/>
      <c r="AE1007" s="72">
        <f t="shared" si="573"/>
        <v>0.57930075585770335</v>
      </c>
      <c r="AF1007" s="72">
        <f t="shared" si="574"/>
        <v>0.55379004234220097</v>
      </c>
      <c r="AG1007" s="72">
        <f t="shared" si="575"/>
        <v>0.49</v>
      </c>
      <c r="AH1007" s="72">
        <f t="shared" si="576"/>
        <v>0.48453508512944399</v>
      </c>
      <c r="AI1007" s="72">
        <f t="shared" si="577"/>
        <v>7.3681972789115674E-2</v>
      </c>
      <c r="AJ1007" s="72">
        <f>(AV1007-Driver!$K$179)/(Driver!$L$179-Driver!$K$179)</f>
        <v>8.6858432036097014E-2</v>
      </c>
      <c r="AK1007" s="72">
        <f>(AW1007-Driver!$K$180)/(Driver!$L$180-Driver!$K$180)</f>
        <v>0.14389370964770637</v>
      </c>
      <c r="AL1007" s="72">
        <f>(AX1007-Driver!$K$181)/(Driver!$L$181-Driver!$K$181)</f>
        <v>2.5485360146714726E-2</v>
      </c>
      <c r="AM1007" s="72">
        <f>(AY1007-Driver!$K$182)/(Driver!$L$182-Driver!$K$182)</f>
        <v>0.27171471205562114</v>
      </c>
      <c r="AN1007" s="72">
        <f>(AZ1007-Driver!$K$183)/(Driver!$L$183-Driver!$K$183)</f>
        <v>0.15727124183006533</v>
      </c>
      <c r="AO1007" s="72"/>
      <c r="AP1007" s="72"/>
      <c r="AQ1007" s="72">
        <f>(BC1007-Driver!$K$188)/(Driver!$L$188-Driver!$K$188)</f>
        <v>4.0699244142296635E-2</v>
      </c>
      <c r="AR1007" s="72">
        <f>MIN((BD1007-Driver!$K$189)/(Driver!$L$189-Driver!$K$189),100%)</f>
        <v>-3.790042342200874E-3</v>
      </c>
      <c r="AS1007" s="72">
        <f>(BE1007-Driver!$K$190)/(Driver!$L$190-Driver!$K$190)</f>
        <v>1</v>
      </c>
      <c r="AT1007" s="72">
        <f>(BF1007-Driver!$K$191)/(Driver!$L$191-Driver!$K$191)</f>
        <v>2.5464914870555997E-2</v>
      </c>
      <c r="AU1007" s="72">
        <f>(BG1007-Driver!$K$192)/(Driver!$L$192-Driver!$K$192)</f>
        <v>0.17631802721088433</v>
      </c>
      <c r="AV1007" s="70">
        <f t="shared" si="578"/>
        <v>1.8281101614434949</v>
      </c>
      <c r="AW1007" s="70">
        <f t="shared" si="579"/>
        <v>15.895609654601223</v>
      </c>
      <c r="AX1007" s="70">
        <f t="shared" si="580"/>
        <v>1.2293682413204325</v>
      </c>
      <c r="AY1007" s="70">
        <f>IFERROR(Driver!$K$19/Data!BH1007/Data!BI1007*Data!BK1007*Data!BL1007,"")</f>
        <v>0.332659879401417</v>
      </c>
      <c r="AZ1007" s="70">
        <f t="shared" si="581"/>
        <v>14.333581533879373</v>
      </c>
      <c r="BA1007" s="70"/>
      <c r="BB1007" s="70"/>
      <c r="BC1007" s="70">
        <f t="shared" si="582"/>
        <v>21.110980873164298</v>
      </c>
      <c r="BD1007" s="70">
        <f t="shared" si="583"/>
        <v>1.3854108523705995</v>
      </c>
      <c r="BE1007" s="70">
        <f t="shared" si="584"/>
        <v>1</v>
      </c>
      <c r="BF1007" s="70">
        <f t="shared" si="585"/>
        <v>2.8760832334772348</v>
      </c>
      <c r="BG1007" s="70">
        <f t="shared" si="586"/>
        <v>0.6676525297619047</v>
      </c>
      <c r="BH1007" s="67">
        <f>MAX((CE1007-Driver!$F$200)/(Driver!$G$200-Driver!$F$200)*$BI$1,1)</f>
        <v>1.2293682413204325</v>
      </c>
      <c r="BI1007" s="67">
        <f>MAX($BI$1*(BY1007-Driver!$F$201)/(Driver!$G$201-Driver!$F$201),1)</f>
        <v>6.962025316455696</v>
      </c>
      <c r="BJ1007" s="67">
        <f>(CB1007-Driver!$F$206)/(Driver!$G$206-Driver!$F$206)*$BI$1</f>
        <v>3.4920634920634921</v>
      </c>
      <c r="BK1007" s="67">
        <f>(CD1007-Driver!$F$203)/(Driver!$G$203-Driver!$F$203)*$BI$1</f>
        <v>2.7522935779816518</v>
      </c>
      <c r="BL1007" s="67">
        <f>MAX((CR1007-Driver!$F$202)/(Driver!$G$202-Driver!$F$202)*$BI$1,1)</f>
        <v>5.1724137931034484</v>
      </c>
      <c r="BM1007" s="67">
        <f>MAX((CH1007-Driver!$F$204)/(Driver!$G$204-Driver!$F$204)*$BI$1,1)</f>
        <v>2.0940170940170941</v>
      </c>
      <c r="BN1007" s="67">
        <f>(CI1007-Driver!$F$205)/(Driver!$G$205-Driver!$F$205)*$BI$1</f>
        <v>2.0588235294117645</v>
      </c>
      <c r="BO1007" s="67">
        <f>(CK1007-Driver!$F$207)/(Driver!$G$207-Driver!$F$207)*$BI$1</f>
        <v>1.4167528438469492</v>
      </c>
      <c r="BP1007" s="67">
        <f>(CM1007-Driver!$F$208)/(Driver!$G$208-Driver!$F$208)*$BI$1</f>
        <v>1.6</v>
      </c>
      <c r="BQ1007" s="67">
        <f>(CL1007-Driver!$F$209)/(Driver!$G$209-Driver!$F$209)*$BI$1</f>
        <v>1.71875</v>
      </c>
      <c r="BR1007" s="28" t="s">
        <v>155</v>
      </c>
      <c r="BS1007" s="8" t="s">
        <v>156</v>
      </c>
      <c r="BT1007" s="9" t="s">
        <v>536</v>
      </c>
      <c r="BU1007" s="10">
        <v>158</v>
      </c>
      <c r="BV1007" s="9" t="s">
        <v>158</v>
      </c>
      <c r="BW1007" s="10">
        <v>158</v>
      </c>
      <c r="BX1007" s="10">
        <v>157.1</v>
      </c>
      <c r="BY1007" s="10">
        <v>118</v>
      </c>
      <c r="BZ1007" s="10">
        <v>130</v>
      </c>
      <c r="CA1007" s="10">
        <v>115</v>
      </c>
      <c r="CB1007" s="10">
        <v>86</v>
      </c>
      <c r="CC1007" s="10">
        <v>103</v>
      </c>
      <c r="CD1007" s="10">
        <v>15.4</v>
      </c>
      <c r="CE1007" s="10">
        <v>1116</v>
      </c>
      <c r="CF1007" s="10">
        <v>1.34</v>
      </c>
      <c r="CG1007" s="10">
        <v>1490</v>
      </c>
      <c r="CH1007" s="10">
        <v>150</v>
      </c>
      <c r="CI1007" s="10">
        <v>68</v>
      </c>
      <c r="CJ1007" s="10">
        <v>52</v>
      </c>
      <c r="CK1007" s="10">
        <v>247</v>
      </c>
      <c r="CL1007" s="10">
        <v>11</v>
      </c>
      <c r="CM1007" s="10">
        <v>144</v>
      </c>
      <c r="CN1007" s="10">
        <v>0.216</v>
      </c>
      <c r="CO1007" s="10">
        <v>156</v>
      </c>
      <c r="CP1007" s="10">
        <v>117</v>
      </c>
      <c r="CQ1007" s="10">
        <v>91</v>
      </c>
      <c r="CR1007" s="10">
        <v>4</v>
      </c>
      <c r="CS1007" s="10">
        <v>12.4</v>
      </c>
      <c r="CT1007" s="9" t="s">
        <v>185</v>
      </c>
      <c r="CU1007" s="9" t="s">
        <v>198</v>
      </c>
      <c r="CV1007" s="10"/>
      <c r="CW1007" s="10"/>
      <c r="CX1007" t="str">
        <f>INDEX('Data_Price '!AG$2:AG$1266,MATCH(Data!$DN1007,'Data_Price '!$AT$2:$AT$1266,0))</f>
        <v>Ski Mountaineering Speed Touring Women's Atomic Backland Wmn 86 Sl</v>
      </c>
      <c r="CY1007" t="str">
        <f>INDEX('Data_Price '!AH$2:AH$1266,MATCH(Data!$DN1007,'Data_Price '!$AT$2:$AT$1266,0))</f>
        <v>eBay - grassisport</v>
      </c>
      <c r="CZ1007">
        <f>INDEX('Data_Price '!AI$2:AI$1266,MATCH(Data!$DN1007,'Data_Price '!$AT$2:$AT$1266,0))</f>
        <v>501.79</v>
      </c>
      <c r="DA1007" t="str">
        <f>INDEX('Data_Price '!AJ$2:AJ$1266,MATCH(Data!$DN1007,'Data_Price '!$AT$2:$AT$1266,0))</f>
        <v>https://tinyurl.com/y9dcv7as</v>
      </c>
      <c r="DB1007" t="str">
        <f>INDEX('Data_Price '!AK$2:AK$1266,MATCH(Data!$DN1007,'Data_Price '!$AT$2:$AT$1266,0))</f>
        <v>2022 Atomic Backland 85 W Skis w/ Salomon Shift 10 MNC Bindings &amp; Hybrid Skin 85 - 158| Ski Essentials</v>
      </c>
      <c r="DC1007" t="str">
        <f>INDEX('Data_Price '!AL$2:AL$1266,MATCH(Data!$DN1007,'Data_Price '!$AT$2:$AT$1266,0))</f>
        <v>SkiEssentials.com</v>
      </c>
      <c r="DD1007">
        <f>INDEX('Data_Price '!AM$2:AM$1266,MATCH(Data!$DN1007,'Data_Price '!$AT$2:$AT$1266,0))</f>
        <v>1100</v>
      </c>
      <c r="DE1007" t="str">
        <f>INDEX('Data_Price '!AN$2:AN$1266,MATCH(Data!$DN1007,'Data_Price '!$AT$2:$AT$1266,0))</f>
        <v>https://tinyurl.com/y9a5rrp7</v>
      </c>
      <c r="DF1007" t="str">
        <f>INDEX('Data_Price '!AO$2:AO$1266,MATCH(Data!$DN1007,'Data_Price '!$AT$2:$AT$1266,0))</f>
        <v>Atomic Backland 85 Women Ski 2022</v>
      </c>
      <c r="DG1007" t="str">
        <f>INDEX('Data_Price '!AP$2:AP$1266,MATCH(Data!$DN1007,'Data_Price '!$AT$2:$AT$1266,0))</f>
        <v>Telemark Pyrenees</v>
      </c>
      <c r="DH1007">
        <f>INDEX('Data_Price '!AQ$2:AQ$1266,MATCH(Data!$DN1007,'Data_Price '!$AT$2:$AT$1266,0))</f>
        <v>302.45999999999998</v>
      </c>
      <c r="DI1007" t="str">
        <f>INDEX('Data_Price '!AR$2:AR$1266,MATCH(Data!$DN1007,'Data_Price '!$AT$2:$AT$1266,0))</f>
        <v>https://tinyurl.com/yc7drrm2</v>
      </c>
      <c r="DJ1007" s="89" t="str">
        <f t="shared" si="587"/>
        <v>https://tinyurl.com/y9dcv7as</v>
      </c>
      <c r="DK1007" s="89" t="str">
        <f t="shared" si="588"/>
        <v>https://tinyurl.com/y9a5rrp7</v>
      </c>
      <c r="DL1007" s="89" t="str">
        <f t="shared" si="589"/>
        <v>https://tinyurl.com/yc7drrm2</v>
      </c>
      <c r="DM1007" s="219" t="str">
        <f t="shared" si="590"/>
        <v>Backland 86 SL</v>
      </c>
      <c r="DN1007" s="89" t="str">
        <f t="shared" si="591"/>
        <v xml:space="preserve"> AtomicBackland 86 SL158 Unisex</v>
      </c>
      <c r="DO1007" s="221"/>
    </row>
    <row r="1008" spans="2:119" ht="15.6" customHeight="1">
      <c r="B1008" s="219" t="b">
        <f t="array" ref="B1008">IF(OR(ISERROR(K1008:P1008)),FALSE,TRUE)</f>
        <v>1</v>
      </c>
      <c r="C1008" s="43" t="b">
        <f>OR(BR1008=Driver!$G$50,Data!BR752=Driver!$H$50)</f>
        <v>1</v>
      </c>
      <c r="D1008" s="43" t="b">
        <f>OR(BV1008=Driver!$G$51,BV1008=Driver!$H$51)</f>
        <v>1</v>
      </c>
      <c r="E1008" s="43" t="b">
        <f>AND(BX1008&gt;Driver!$F$54,BX1008&lt;Driver!$G$54)</f>
        <v>0</v>
      </c>
      <c r="F1008" s="43" t="b">
        <f>CL1008&gt;Driver!$F$56</f>
        <v>1</v>
      </c>
      <c r="G1008" s="43" t="b">
        <f>AND(CB1008&gt;Driver!$F$55,CB1008&lt;Driver!$G$55)</f>
        <v>0</v>
      </c>
      <c r="H1008" s="43" t="b">
        <f t="shared" si="555"/>
        <v>0</v>
      </c>
      <c r="I1008" s="43">
        <f t="shared" si="556"/>
        <v>0</v>
      </c>
      <c r="J1008" s="43" t="b">
        <f t="array" ref="J1008">NOT(OR(($H$9:$H$1273=TRUE)*($I$9:$I$1273&gt;0)*($BT$9:$BT$1273=BT1008)*($K$9:$K$1273&gt;K1008)))</f>
        <v>1</v>
      </c>
      <c r="K1008" s="72">
        <f t="shared" si="557"/>
        <v>0.74496086198596523</v>
      </c>
      <c r="L1008" s="72">
        <f t="shared" si="558"/>
        <v>0.90630223903050489</v>
      </c>
      <c r="M1008" s="72">
        <f t="shared" si="559"/>
        <v>0.58361948494142557</v>
      </c>
      <c r="N1008" s="72">
        <f t="shared" si="560"/>
        <v>0.39638200263042667</v>
      </c>
      <c r="O1008" s="72">
        <f t="shared" si="561"/>
        <v>0.63040410173467909</v>
      </c>
      <c r="P1008" s="72">
        <f t="shared" si="562"/>
        <v>0.72407235045917107</v>
      </c>
      <c r="Q1008" s="72"/>
      <c r="R1008" s="72"/>
      <c r="S1008" s="72">
        <f t="shared" si="563"/>
        <v>0.56025199959419314</v>
      </c>
      <c r="T1008" s="72">
        <f t="shared" si="564"/>
        <v>0.5458406884743664</v>
      </c>
      <c r="U1008" s="72">
        <f t="shared" si="565"/>
        <v>0.58248994926911546</v>
      </c>
      <c r="V1008" s="72">
        <f t="shared" si="566"/>
        <v>0.53687546087770377</v>
      </c>
      <c r="W1008" s="72">
        <f t="shared" si="567"/>
        <v>0.76759028281805597</v>
      </c>
      <c r="X1008" s="72">
        <f t="shared" si="568"/>
        <v>9.3697760969495114E-2</v>
      </c>
      <c r="Y1008" s="72">
        <f t="shared" si="569"/>
        <v>0.41638051505857437</v>
      </c>
      <c r="Z1008" s="72">
        <f t="shared" si="570"/>
        <v>0.60361799736957333</v>
      </c>
      <c r="AA1008" s="72">
        <f t="shared" si="571"/>
        <v>0.36959589826532091</v>
      </c>
      <c r="AB1008" s="72">
        <f t="shared" si="572"/>
        <v>0.27592764954082888</v>
      </c>
      <c r="AC1008" s="72"/>
      <c r="AD1008" s="72"/>
      <c r="AE1008" s="72">
        <f t="shared" si="573"/>
        <v>0.43974800040580686</v>
      </c>
      <c r="AF1008" s="72">
        <f t="shared" si="574"/>
        <v>0.4541593115256336</v>
      </c>
      <c r="AG1008" s="72">
        <f t="shared" si="575"/>
        <v>0.41751005073088454</v>
      </c>
      <c r="AH1008" s="72">
        <f t="shared" si="576"/>
        <v>0.46312453912229617</v>
      </c>
      <c r="AI1008" s="72">
        <f t="shared" si="577"/>
        <v>0.23240971718194403</v>
      </c>
      <c r="AJ1008" s="72">
        <f>(AV1008-Driver!$K$179)/(Driver!$L$179-Driver!$K$179)</f>
        <v>0.34791717025219554</v>
      </c>
      <c r="AK1008" s="72">
        <f>(AW1008-Driver!$K$180)/(Driver!$L$180-Driver!$K$180)</f>
        <v>0.55293378276832894</v>
      </c>
      <c r="AL1008" s="72">
        <f>(AX1008-Driver!$K$181)/(Driver!$L$181-Driver!$K$181)</f>
        <v>0.70530576108265353</v>
      </c>
      <c r="AM1008" s="72">
        <f>(AY1008-Driver!$K$182)/(Driver!$L$182-Driver!$K$182)</f>
        <v>7.7789122831725455E-2</v>
      </c>
      <c r="AN1008" s="72">
        <f>(AZ1008-Driver!$K$183)/(Driver!$L$183-Driver!$K$183)</f>
        <v>0.5301470588235293</v>
      </c>
      <c r="AO1008" s="72"/>
      <c r="AP1008" s="72"/>
      <c r="AQ1008" s="72">
        <f>(BC1008-Driver!$K$188)/(Driver!$L$188-Driver!$K$188)</f>
        <v>0.18025199959419314</v>
      </c>
      <c r="AR1008" s="72">
        <f>MIN((BD1008-Driver!$K$189)/(Driver!$L$189-Driver!$K$189),100%)</f>
        <v>9.5840688474366414E-2</v>
      </c>
      <c r="AS1008" s="72">
        <f>(BE1008-Driver!$K$190)/(Driver!$L$190-Driver!$K$190)</f>
        <v>9.2489949269115482E-2</v>
      </c>
      <c r="AT1008" s="72">
        <f>(BF1008-Driver!$K$191)/(Driver!$L$191-Driver!$K$191)</f>
        <v>4.6875460877703848E-2</v>
      </c>
      <c r="AU1008" s="72">
        <f>(BG1008-Driver!$K$192)/(Driver!$L$192-Driver!$K$192)</f>
        <v>1.7590282818055955E-2</v>
      </c>
      <c r="AV1008" s="70">
        <f t="shared" si="578"/>
        <v>7.3226156559489874</v>
      </c>
      <c r="AW1008" s="70">
        <f t="shared" si="579"/>
        <v>55.760189243964675</v>
      </c>
      <c r="AX1008" s="70">
        <f t="shared" si="580"/>
        <v>7.3477518497438821</v>
      </c>
      <c r="AY1008" s="70">
        <f>IFERROR(Driver!$K$19/Data!BH1008/Data!BI1008*Data!BK1008*Data!BL1008,"")</f>
        <v>9.5237096380142286E-2</v>
      </c>
      <c r="AZ1008" s="70">
        <f t="shared" si="581"/>
        <v>48.31720029784065</v>
      </c>
      <c r="BA1008" s="70"/>
      <c r="BB1008" s="70"/>
      <c r="BC1008" s="70">
        <f t="shared" si="582"/>
        <v>93.49796528107953</v>
      </c>
      <c r="BD1008" s="70">
        <f t="shared" si="583"/>
        <v>10.202553994427936</v>
      </c>
      <c r="BE1008" s="70">
        <f t="shared" si="584"/>
        <v>9.265183884770517E-2</v>
      </c>
      <c r="BF1008" s="70">
        <f t="shared" si="585"/>
        <v>5.2942539873858419</v>
      </c>
      <c r="BG1008" s="70">
        <f t="shared" si="586"/>
        <v>6.6608032136474815E-2</v>
      </c>
      <c r="BH1008" s="67">
        <f>MAX((CE1008-Driver!$F$200)/(Driver!$G$200-Driver!$F$200)*$BI$1,1)</f>
        <v>7.3477518497438821</v>
      </c>
      <c r="BI1008" s="67">
        <f>MAX($BI$1*(BY1008-Driver!$F$201)/(Driver!$G$201-Driver!$F$201),1)</f>
        <v>7.9746835443037973</v>
      </c>
      <c r="BJ1008" s="67">
        <f>(CB1008-Driver!$F$206)/(Driver!$G$206-Driver!$F$206)*$BI$1</f>
        <v>5.3968253968253963</v>
      </c>
      <c r="BK1008" s="67">
        <f>(CD1008-Driver!$F$203)/(Driver!$G$203-Driver!$F$203)*$BI$1</f>
        <v>4.4954128440366974</v>
      </c>
      <c r="BL1008" s="67">
        <f>MAX((CR1008-Driver!$F$202)/(Driver!$G$202-Driver!$F$202)*$BI$1,1)</f>
        <v>6.2068965517241379</v>
      </c>
      <c r="BM1008" s="67">
        <f>MAX((CH1008-Driver!$F$204)/(Driver!$G$204-Driver!$F$204)*$BI$1,1)</f>
        <v>5.4273504273504267</v>
      </c>
      <c r="BN1008" s="67">
        <f>(CI1008-Driver!$F$205)/(Driver!$G$205-Driver!$F$205)*$BI$1</f>
        <v>6.0588235294117645</v>
      </c>
      <c r="BO1008" s="67">
        <f>(CK1008-Driver!$F$207)/(Driver!$G$207-Driver!$F$207)*$BI$1</f>
        <v>2.0889348500517064</v>
      </c>
      <c r="BP1008" s="67">
        <f>(CM1008-Driver!$F$208)/(Driver!$G$208-Driver!$F$208)*$BI$1</f>
        <v>2.1111111111111112</v>
      </c>
      <c r="BQ1008" s="67">
        <f>(CL1008-Driver!$F$209)/(Driver!$G$209-Driver!$F$209)*$BI$1</f>
        <v>2.65625</v>
      </c>
      <c r="BR1008" s="28" t="s">
        <v>155</v>
      </c>
      <c r="BS1008" s="8" t="s">
        <v>262</v>
      </c>
      <c r="BT1008" s="9" t="s">
        <v>522</v>
      </c>
      <c r="BU1008" s="10">
        <v>184</v>
      </c>
      <c r="BV1008" s="9" t="s">
        <v>158</v>
      </c>
      <c r="BW1008" s="10">
        <v>184</v>
      </c>
      <c r="BX1008" s="10">
        <v>183.8</v>
      </c>
      <c r="BY1008" s="10">
        <v>134</v>
      </c>
      <c r="BZ1008" s="10">
        <v>157</v>
      </c>
      <c r="CA1008" s="10">
        <v>137</v>
      </c>
      <c r="CB1008" s="10">
        <v>98</v>
      </c>
      <c r="CC1008" s="10">
        <v>122</v>
      </c>
      <c r="CD1008" s="10">
        <v>19.2</v>
      </c>
      <c r="CE1008" s="10">
        <v>2191</v>
      </c>
      <c r="CF1008" s="10">
        <v>0.93</v>
      </c>
      <c r="CG1008" s="10">
        <v>2027</v>
      </c>
      <c r="CH1008" s="10">
        <v>228</v>
      </c>
      <c r="CI1008" s="10">
        <v>136</v>
      </c>
      <c r="CJ1008" s="10">
        <v>50</v>
      </c>
      <c r="CK1008" s="10">
        <v>312</v>
      </c>
      <c r="CL1008" s="10">
        <v>17</v>
      </c>
      <c r="CM1008" s="10">
        <v>190</v>
      </c>
      <c r="CN1008" s="10">
        <v>0.32900000000000001</v>
      </c>
      <c r="CO1008" s="10">
        <v>149</v>
      </c>
      <c r="CP1008" s="10">
        <v>120</v>
      </c>
      <c r="CQ1008" s="10">
        <v>163</v>
      </c>
      <c r="CR1008" s="10">
        <v>7</v>
      </c>
      <c r="CS1008" s="10">
        <v>11.3</v>
      </c>
      <c r="CT1008" s="9" t="s">
        <v>188</v>
      </c>
      <c r="CU1008" s="10"/>
      <c r="CV1008" s="10"/>
      <c r="CW1008" s="10"/>
      <c r="CX1008" t="e">
        <f>INDEX('Data_Price '!AG$2:AG$1266,MATCH(Data!$DN1008,'Data_Price '!$AT$2:$AT$1266,0))</f>
        <v>#N/A</v>
      </c>
      <c r="CY1008" t="e">
        <f>INDEX('Data_Price '!AH$2:AH$1266,MATCH(Data!$DN1008,'Data_Price '!$AT$2:$AT$1266,0))</f>
        <v>#N/A</v>
      </c>
      <c r="CZ1008" t="e">
        <f>INDEX('Data_Price '!AI$2:AI$1266,MATCH(Data!$DN1008,'Data_Price '!$AT$2:$AT$1266,0))</f>
        <v>#N/A</v>
      </c>
      <c r="DA1008" t="e">
        <f>INDEX('Data_Price '!AJ$2:AJ$1266,MATCH(Data!$DN1008,'Data_Price '!$AT$2:$AT$1266,0))</f>
        <v>#N/A</v>
      </c>
      <c r="DB1008" t="e">
        <f>INDEX('Data_Price '!AK$2:AK$1266,MATCH(Data!$DN1008,'Data_Price '!$AT$2:$AT$1266,0))</f>
        <v>#N/A</v>
      </c>
      <c r="DC1008" t="e">
        <f>INDEX('Data_Price '!AL$2:AL$1266,MATCH(Data!$DN1008,'Data_Price '!$AT$2:$AT$1266,0))</f>
        <v>#N/A</v>
      </c>
      <c r="DD1008" t="e">
        <f>INDEX('Data_Price '!AM$2:AM$1266,MATCH(Data!$DN1008,'Data_Price '!$AT$2:$AT$1266,0))</f>
        <v>#N/A</v>
      </c>
      <c r="DE1008" t="e">
        <f>INDEX('Data_Price '!AN$2:AN$1266,MATCH(Data!$DN1008,'Data_Price '!$AT$2:$AT$1266,0))</f>
        <v>#N/A</v>
      </c>
      <c r="DF1008" t="e">
        <f>INDEX('Data_Price '!AO$2:AO$1266,MATCH(Data!$DN1008,'Data_Price '!$AT$2:$AT$1266,0))</f>
        <v>#N/A</v>
      </c>
      <c r="DG1008" t="e">
        <f>INDEX('Data_Price '!AP$2:AP$1266,MATCH(Data!$DN1008,'Data_Price '!$AT$2:$AT$1266,0))</f>
        <v>#N/A</v>
      </c>
      <c r="DH1008" t="e">
        <f>INDEX('Data_Price '!AQ$2:AQ$1266,MATCH(Data!$DN1008,'Data_Price '!$AT$2:$AT$1266,0))</f>
        <v>#N/A</v>
      </c>
      <c r="DI1008" t="e">
        <f>INDEX('Data_Price '!AR$2:AR$1266,MATCH(Data!$DN1008,'Data_Price '!$AT$2:$AT$1266,0))</f>
        <v>#N/A</v>
      </c>
      <c r="DJ1008" s="89" t="e">
        <f t="shared" si="587"/>
        <v>#N/A</v>
      </c>
      <c r="DK1008" s="89" t="e">
        <f t="shared" si="588"/>
        <v>#N/A</v>
      </c>
      <c r="DL1008" s="89" t="e">
        <f t="shared" si="589"/>
        <v>#N/A</v>
      </c>
      <c r="DM1008" s="219" t="str">
        <f t="shared" si="590"/>
        <v>Mindbender 99 Ti</v>
      </c>
      <c r="DN1008" s="89" t="str">
        <f t="shared" si="591"/>
        <v xml:space="preserve"> K2Mindbender 99 Ti184 Unisex</v>
      </c>
      <c r="DO1008" s="221"/>
    </row>
    <row r="1009" spans="2:119" ht="15.6" customHeight="1">
      <c r="B1009" s="219" t="b">
        <f t="array" ref="B1009">IF(OR(ISERROR(K1009:P1009)),FALSE,TRUE)</f>
        <v>1</v>
      </c>
      <c r="C1009" s="43" t="b">
        <f>OR(BR1009=Driver!$G$50,Data!BR1194=Driver!$H$50)</f>
        <v>1</v>
      </c>
      <c r="D1009" s="43" t="b">
        <f>OR(BV1009=Driver!$G$51,BV1009=Driver!$H$51)</f>
        <v>0</v>
      </c>
      <c r="E1009" s="43" t="b">
        <f>AND(BX1009&gt;Driver!$F$54,BX1009&lt;Driver!$G$54)</f>
        <v>1</v>
      </c>
      <c r="F1009" s="43" t="b">
        <f>CL1009&gt;Driver!$F$56</f>
        <v>1</v>
      </c>
      <c r="G1009" s="43" t="b">
        <f>AND(CB1009&gt;Driver!$F$55,CB1009&lt;Driver!$G$55)</f>
        <v>0</v>
      </c>
      <c r="H1009" s="43" t="b">
        <f t="shared" si="555"/>
        <v>0</v>
      </c>
      <c r="I1009" s="43">
        <f t="shared" si="556"/>
        <v>0</v>
      </c>
      <c r="J1009" s="43" t="b">
        <f t="array" ref="J1009">NOT(OR(($H$9:$H$1273=TRUE)*($I$9:$I$1273&gt;0)*($BT$9:$BT$1273=BT1009)*($K$9:$K$1273&gt;K1009)))</f>
        <v>1</v>
      </c>
      <c r="K1009" s="72">
        <f t="shared" si="557"/>
        <v>0.79790601438966402</v>
      </c>
      <c r="L1009" s="72">
        <f t="shared" si="558"/>
        <v>0.8050022489237294</v>
      </c>
      <c r="M1009" s="72">
        <f t="shared" si="559"/>
        <v>0.79080977985559875</v>
      </c>
      <c r="N1009" s="72">
        <f t="shared" si="560"/>
        <v>0.86371900383196976</v>
      </c>
      <c r="O1009" s="72">
        <f t="shared" si="561"/>
        <v>0.61129575808942238</v>
      </c>
      <c r="P1009" s="72">
        <f t="shared" si="562"/>
        <v>0.89741457764540411</v>
      </c>
      <c r="Q1009" s="72"/>
      <c r="R1009" s="72"/>
      <c r="S1009" s="72">
        <f t="shared" si="563"/>
        <v>0.40692941748768796</v>
      </c>
      <c r="T1009" s="72">
        <f t="shared" si="564"/>
        <v>0.54790735411234726</v>
      </c>
      <c r="U1009" s="72">
        <f t="shared" si="565"/>
        <v>0.51</v>
      </c>
      <c r="V1009" s="72">
        <f t="shared" si="566"/>
        <v>0.49200039584593447</v>
      </c>
      <c r="W1009" s="72">
        <f t="shared" si="567"/>
        <v>0.78136091393078977</v>
      </c>
      <c r="X1009" s="72">
        <f t="shared" si="568"/>
        <v>0.19499775107627065</v>
      </c>
      <c r="Y1009" s="72">
        <f t="shared" si="569"/>
        <v>0.20919022014440128</v>
      </c>
      <c r="Z1009" s="72">
        <f t="shared" si="570"/>
        <v>0.1362809961680303</v>
      </c>
      <c r="AA1009" s="72">
        <f t="shared" si="571"/>
        <v>0.38870424191057762</v>
      </c>
      <c r="AB1009" s="72">
        <f t="shared" si="572"/>
        <v>0.10258542235459583</v>
      </c>
      <c r="AC1009" s="72"/>
      <c r="AD1009" s="72"/>
      <c r="AE1009" s="72">
        <f t="shared" si="573"/>
        <v>0.59307058251231204</v>
      </c>
      <c r="AF1009" s="72">
        <f t="shared" si="574"/>
        <v>0.45209264588765274</v>
      </c>
      <c r="AG1009" s="72">
        <f t="shared" si="575"/>
        <v>0.49</v>
      </c>
      <c r="AH1009" s="72">
        <f t="shared" si="576"/>
        <v>0.50799960415406553</v>
      </c>
      <c r="AI1009" s="72">
        <f t="shared" si="577"/>
        <v>0.21863908606921029</v>
      </c>
      <c r="AJ1009" s="72">
        <f>(AV1009-Driver!$K$179)/(Driver!$L$179-Driver!$K$179)</f>
        <v>5.9221658206429779E-2</v>
      </c>
      <c r="AK1009" s="72">
        <f>(AW1009-Driver!$K$180)/(Driver!$L$180-Driver!$K$180)</f>
        <v>0.15556795208968155</v>
      </c>
      <c r="AL1009" s="72">
        <f>(AX1009-Driver!$K$181)/(Driver!$L$181-Driver!$K$181)</f>
        <v>0.23796875988111049</v>
      </c>
      <c r="AM1009" s="72">
        <f>(AY1009-Driver!$K$182)/(Driver!$L$182-Driver!$K$182)</f>
        <v>5.8680779186468718E-2</v>
      </c>
      <c r="AN1009" s="72">
        <f>(AZ1009-Driver!$K$183)/(Driver!$L$183-Driver!$K$183)</f>
        <v>0.15163398692810459</v>
      </c>
      <c r="AO1009" s="72"/>
      <c r="AP1009" s="72"/>
      <c r="AQ1009" s="72">
        <f>(BC1009-Driver!$K$188)/(Driver!$L$188-Driver!$K$188)</f>
        <v>2.6929417487687981E-2</v>
      </c>
      <c r="AR1009" s="72">
        <f>MIN((BD1009-Driver!$K$189)/(Driver!$L$189-Driver!$K$189),100%)</f>
        <v>9.7907354112347272E-2</v>
      </c>
      <c r="AS1009" s="72">
        <f>(BE1009-Driver!$K$190)/(Driver!$L$190-Driver!$K$190)</f>
        <v>1</v>
      </c>
      <c r="AT1009" s="72">
        <f>(BF1009-Driver!$K$191)/(Driver!$L$191-Driver!$K$191)</f>
        <v>2.0003958459344218E-3</v>
      </c>
      <c r="AU1009" s="72">
        <f>(BG1009-Driver!$K$192)/(Driver!$L$192-Driver!$K$192)</f>
        <v>3.1360913930789699E-2</v>
      </c>
      <c r="AV1009" s="70">
        <f t="shared" si="578"/>
        <v>1.2464387464387465</v>
      </c>
      <c r="AW1009" s="70">
        <f t="shared" si="579"/>
        <v>17.033368024882964</v>
      </c>
      <c r="AX1009" s="70">
        <f t="shared" si="580"/>
        <v>3.1417188389299944</v>
      </c>
      <c r="AY1009" s="70">
        <f>IFERROR(Driver!$K$19/Data!BH1009/Data!BI1009*Data!BK1009*Data!BL1009,"")</f>
        <v>7.184278237887938E-2</v>
      </c>
      <c r="AZ1009" s="70">
        <f t="shared" si="581"/>
        <v>13.81980640357409</v>
      </c>
      <c r="BA1009" s="70"/>
      <c r="BB1009" s="70"/>
      <c r="BC1009" s="70">
        <f t="shared" si="582"/>
        <v>13.96847606113691</v>
      </c>
      <c r="BD1009" s="70">
        <f t="shared" si="583"/>
        <v>10.385450241474418</v>
      </c>
      <c r="BE1009" s="70">
        <f t="shared" si="584"/>
        <v>1</v>
      </c>
      <c r="BF1009" s="70">
        <f t="shared" si="585"/>
        <v>0.22593065722209829</v>
      </c>
      <c r="BG1009" s="70">
        <f t="shared" si="586"/>
        <v>0.118752426242236</v>
      </c>
      <c r="BH1009" s="67">
        <f>MAX((CE1009-Driver!$F$200)/(Driver!$G$200-Driver!$F$200)*$BI$1,1)</f>
        <v>3.1417188389299944</v>
      </c>
      <c r="BI1009" s="67">
        <f>MAX($BI$1*(BY1009-Driver!$F$201)/(Driver!$G$201-Driver!$F$201),1)</f>
        <v>8.1012658227848107</v>
      </c>
      <c r="BJ1009" s="67">
        <f>(CB1009-Driver!$F$206)/(Driver!$G$206-Driver!$F$206)*$BI$1</f>
        <v>2.3809523809523809</v>
      </c>
      <c r="BK1009" s="67">
        <f>(CD1009-Driver!$F$203)/(Driver!$G$203-Driver!$F$203)*$BI$1</f>
        <v>1.5596330275229362</v>
      </c>
      <c r="BL1009" s="67">
        <f>MAX((CR1009-Driver!$F$202)/(Driver!$G$202-Driver!$F$202)*$BI$1,1)</f>
        <v>5.8620689655172411</v>
      </c>
      <c r="BM1009" s="67">
        <f>MAX((CH1009-Driver!$F$204)/(Driver!$G$204-Driver!$F$204)*$BI$1,1)</f>
        <v>2.0940170940170941</v>
      </c>
      <c r="BN1009" s="67">
        <f>(CI1009-Driver!$F$205)/(Driver!$G$205-Driver!$F$205)*$BI$1</f>
        <v>1.7058823529411766</v>
      </c>
      <c r="BO1009" s="67">
        <f>(CK1009-Driver!$F$207)/(Driver!$G$207-Driver!$F$207)*$BI$1</f>
        <v>0.23784901758014479</v>
      </c>
      <c r="BP1009" s="67">
        <f>(CM1009-Driver!$F$208)/(Driver!$G$208-Driver!$F$208)*$BI$1</f>
        <v>0.62222222222222223</v>
      </c>
      <c r="BQ1009" s="67">
        <f>(CL1009-Driver!$F$209)/(Driver!$G$209-Driver!$F$209)*$BI$1</f>
        <v>0.78125</v>
      </c>
      <c r="BR1009" s="28" t="s">
        <v>155</v>
      </c>
      <c r="BS1009" s="8" t="s">
        <v>229</v>
      </c>
      <c r="BT1009" s="9" t="s">
        <v>725</v>
      </c>
      <c r="BU1009" s="10">
        <v>156</v>
      </c>
      <c r="BV1009" s="9" t="s">
        <v>163</v>
      </c>
      <c r="BW1009" s="10">
        <v>156</v>
      </c>
      <c r="BX1009" s="10">
        <v>154.69999999999999</v>
      </c>
      <c r="BY1009" s="10">
        <v>136</v>
      </c>
      <c r="BZ1009" s="10">
        <v>143</v>
      </c>
      <c r="CA1009" s="10">
        <v>128</v>
      </c>
      <c r="CB1009" s="10">
        <v>79</v>
      </c>
      <c r="CC1009" s="10">
        <v>109</v>
      </c>
      <c r="CD1009" s="10">
        <v>12.8</v>
      </c>
      <c r="CE1009" s="10">
        <v>1452</v>
      </c>
      <c r="CF1009" s="10">
        <v>0.99</v>
      </c>
      <c r="CG1009" s="10">
        <v>1442</v>
      </c>
      <c r="CH1009" s="10">
        <v>150</v>
      </c>
      <c r="CI1009" s="10">
        <v>62</v>
      </c>
      <c r="CJ1009" s="10">
        <v>36</v>
      </c>
      <c r="CK1009" s="10">
        <v>133</v>
      </c>
      <c r="CL1009" s="10">
        <v>5</v>
      </c>
      <c r="CM1009" s="10">
        <v>56</v>
      </c>
      <c r="CN1009" s="10">
        <v>0.14599999999999999</v>
      </c>
      <c r="CO1009" s="10">
        <v>68</v>
      </c>
      <c r="CP1009" s="10">
        <v>49</v>
      </c>
      <c r="CQ1009" s="10">
        <v>65</v>
      </c>
      <c r="CR1009" s="10">
        <v>6</v>
      </c>
      <c r="CS1009" s="10">
        <v>10.8</v>
      </c>
      <c r="CT1009" s="9" t="s">
        <v>349</v>
      </c>
      <c r="CU1009" s="10"/>
      <c r="CV1009" s="10"/>
      <c r="CW1009" s="10"/>
      <c r="CX1009" t="e">
        <f>INDEX('Data_Price '!AG$2:AG$1266,MATCH(Data!$DN1009,'Data_Price '!$AT$2:$AT$1266,0))</f>
        <v>#N/A</v>
      </c>
      <c r="CY1009" t="e">
        <f>INDEX('Data_Price '!AH$2:AH$1266,MATCH(Data!$DN1009,'Data_Price '!$AT$2:$AT$1266,0))</f>
        <v>#N/A</v>
      </c>
      <c r="CZ1009" t="e">
        <f>INDEX('Data_Price '!AI$2:AI$1266,MATCH(Data!$DN1009,'Data_Price '!$AT$2:$AT$1266,0))</f>
        <v>#N/A</v>
      </c>
      <c r="DA1009" t="e">
        <f>INDEX('Data_Price '!AJ$2:AJ$1266,MATCH(Data!$DN1009,'Data_Price '!$AT$2:$AT$1266,0))</f>
        <v>#N/A</v>
      </c>
      <c r="DB1009" t="e">
        <f>INDEX('Data_Price '!AK$2:AK$1266,MATCH(Data!$DN1009,'Data_Price '!$AT$2:$AT$1266,0))</f>
        <v>#N/A</v>
      </c>
      <c r="DC1009" t="e">
        <f>INDEX('Data_Price '!AL$2:AL$1266,MATCH(Data!$DN1009,'Data_Price '!$AT$2:$AT$1266,0))</f>
        <v>#N/A</v>
      </c>
      <c r="DD1009" t="e">
        <f>INDEX('Data_Price '!AM$2:AM$1266,MATCH(Data!$DN1009,'Data_Price '!$AT$2:$AT$1266,0))</f>
        <v>#N/A</v>
      </c>
      <c r="DE1009" t="e">
        <f>INDEX('Data_Price '!AN$2:AN$1266,MATCH(Data!$DN1009,'Data_Price '!$AT$2:$AT$1266,0))</f>
        <v>#N/A</v>
      </c>
      <c r="DF1009" t="e">
        <f>INDEX('Data_Price '!AO$2:AO$1266,MATCH(Data!$DN1009,'Data_Price '!$AT$2:$AT$1266,0))</f>
        <v>#N/A</v>
      </c>
      <c r="DG1009" t="e">
        <f>INDEX('Data_Price '!AP$2:AP$1266,MATCH(Data!$DN1009,'Data_Price '!$AT$2:$AT$1266,0))</f>
        <v>#N/A</v>
      </c>
      <c r="DH1009" t="e">
        <f>INDEX('Data_Price '!AQ$2:AQ$1266,MATCH(Data!$DN1009,'Data_Price '!$AT$2:$AT$1266,0))</f>
        <v>#N/A</v>
      </c>
      <c r="DI1009" t="e">
        <f>INDEX('Data_Price '!AR$2:AR$1266,MATCH(Data!$DN1009,'Data_Price '!$AT$2:$AT$1266,0))</f>
        <v>#N/A</v>
      </c>
      <c r="DJ1009" s="89" t="e">
        <f t="shared" si="587"/>
        <v>#N/A</v>
      </c>
      <c r="DK1009" s="89" t="e">
        <f t="shared" si="588"/>
        <v>#N/A</v>
      </c>
      <c r="DL1009" s="89" t="e">
        <f t="shared" si="589"/>
        <v>#N/A</v>
      </c>
      <c r="DM1009" s="219" t="str">
        <f t="shared" si="590"/>
        <v>Flair 79</v>
      </c>
      <c r="DN1009" s="89" t="str">
        <f t="shared" si="591"/>
        <v xml:space="preserve"> VölklFlair 79156 Women's</v>
      </c>
      <c r="DO1009" s="221"/>
    </row>
    <row r="1010" spans="2:119" ht="15.6" customHeight="1">
      <c r="B1010" s="219" t="b">
        <f t="array" ref="B1010">IF(OR(ISERROR(K1010:P1010)),FALSE,TRUE)</f>
        <v>1</v>
      </c>
      <c r="C1010" s="43" t="b">
        <f>OR(BR1010=Driver!$G$50,Data!BR644=Driver!$H$50)</f>
        <v>1</v>
      </c>
      <c r="D1010" s="43" t="b">
        <f>OR(BV1010=Driver!$G$51,BV1010=Driver!$H$51)</f>
        <v>0</v>
      </c>
      <c r="E1010" s="43" t="b">
        <f>AND(BX1010&gt;Driver!$F$54,BX1010&lt;Driver!$G$54)</f>
        <v>1</v>
      </c>
      <c r="F1010" s="43" t="b">
        <f>CL1010&gt;Driver!$F$56</f>
        <v>1</v>
      </c>
      <c r="G1010" s="43" t="b">
        <f>AND(CB1010&gt;Driver!$F$55,CB1010&lt;Driver!$G$55)</f>
        <v>0</v>
      </c>
      <c r="H1010" s="43" t="b">
        <f t="shared" si="555"/>
        <v>0</v>
      </c>
      <c r="I1010" s="43">
        <f t="shared" si="556"/>
        <v>0</v>
      </c>
      <c r="J1010" s="43" t="b">
        <f t="array" ref="J1010">NOT(OR(($H$9:$H$1273=TRUE)*($I$9:$I$1273&gt;0)*($BT$9:$BT$1273=BT1010)*($K$9:$K$1273&gt;K1010)))</f>
        <v>1</v>
      </c>
      <c r="K1010" s="72">
        <f t="shared" si="557"/>
        <v>0.77002256500379551</v>
      </c>
      <c r="L1010" s="72">
        <f t="shared" si="558"/>
        <v>0.79573627519075052</v>
      </c>
      <c r="M1010" s="72">
        <f t="shared" si="559"/>
        <v>0.74430885481684039</v>
      </c>
      <c r="N1010" s="72">
        <f t="shared" si="560"/>
        <v>0.80743619854518034</v>
      </c>
      <c r="O1010" s="72">
        <f t="shared" si="561"/>
        <v>0.59082088629915208</v>
      </c>
      <c r="P1010" s="72">
        <f t="shared" si="562"/>
        <v>0.83466947960618842</v>
      </c>
      <c r="Q1010" s="72"/>
      <c r="R1010" s="72"/>
      <c r="S1010" s="72">
        <f t="shared" si="563"/>
        <v>0.39080433884818222</v>
      </c>
      <c r="T1010" s="72">
        <f t="shared" si="564"/>
        <v>0.9432623905136519</v>
      </c>
      <c r="U1010" s="72">
        <f t="shared" si="565"/>
        <v>0.51</v>
      </c>
      <c r="V1010" s="72">
        <f t="shared" si="566"/>
        <v>0.49478769689006252</v>
      </c>
      <c r="W1010" s="72">
        <f t="shared" si="567"/>
        <v>0.80976297116400786</v>
      </c>
      <c r="X1010" s="72">
        <f t="shared" si="568"/>
        <v>0.20426372480924945</v>
      </c>
      <c r="Y1010" s="72">
        <f t="shared" si="569"/>
        <v>0.25569114518315966</v>
      </c>
      <c r="Z1010" s="72">
        <f t="shared" si="570"/>
        <v>0.19256380145481961</v>
      </c>
      <c r="AA1010" s="72">
        <f t="shared" si="571"/>
        <v>0.40917911370084792</v>
      </c>
      <c r="AB1010" s="72">
        <f t="shared" si="572"/>
        <v>0.16533052039381152</v>
      </c>
      <c r="AC1010" s="72"/>
      <c r="AD1010" s="72"/>
      <c r="AE1010" s="72">
        <f t="shared" si="573"/>
        <v>0.60919566115181778</v>
      </c>
      <c r="AF1010" s="72">
        <f t="shared" si="574"/>
        <v>5.6737609486348095E-2</v>
      </c>
      <c r="AG1010" s="72">
        <f t="shared" si="575"/>
        <v>0.49</v>
      </c>
      <c r="AH1010" s="72">
        <f t="shared" si="576"/>
        <v>0.50521230310993748</v>
      </c>
      <c r="AI1010" s="72">
        <f t="shared" si="577"/>
        <v>0.19023702883599214</v>
      </c>
      <c r="AJ1010" s="72">
        <f>(AV1010-Driver!$K$179)/(Driver!$L$179-Driver!$K$179)</f>
        <v>4.9955684473450966E-2</v>
      </c>
      <c r="AK1010" s="72">
        <f>(AW1010-Driver!$K$180)/(Driver!$L$180-Driver!$K$180)</f>
        <v>0.10183181525252238</v>
      </c>
      <c r="AL1010" s="72">
        <f>(AX1010-Driver!$K$181)/(Driver!$L$181-Driver!$K$181)</f>
        <v>0.2942515651678998</v>
      </c>
      <c r="AM1010" s="72">
        <f>(AY1010-Driver!$K$182)/(Driver!$L$182-Driver!$K$182)</f>
        <v>3.8205907396198453E-2</v>
      </c>
      <c r="AN1010" s="72">
        <f>(AZ1010-Driver!$K$183)/(Driver!$L$183-Driver!$K$183)</f>
        <v>8.8888888888888892E-2</v>
      </c>
      <c r="AO1010" s="72"/>
      <c r="AP1010" s="72"/>
      <c r="AQ1010" s="72">
        <f>(BC1010-Driver!$K$188)/(Driver!$L$188-Driver!$K$188)</f>
        <v>1.0804338848182203E-2</v>
      </c>
      <c r="AR1010" s="72">
        <f>MIN((BD1010-Driver!$K$189)/(Driver!$L$189-Driver!$K$189),100%)</f>
        <v>0.60673760948634814</v>
      </c>
      <c r="AS1010" s="72">
        <f>(BE1010-Driver!$K$190)/(Driver!$L$190-Driver!$K$190)</f>
        <v>1</v>
      </c>
      <c r="AT1010" s="72">
        <f>(BF1010-Driver!$K$191)/(Driver!$L$191-Driver!$K$191)</f>
        <v>4.7876968900625065E-3</v>
      </c>
      <c r="AU1010" s="72">
        <f>(BG1010-Driver!$K$192)/(Driver!$L$192-Driver!$K$192)</f>
        <v>5.9762971164007854E-2</v>
      </c>
      <c r="AV1010" s="70">
        <f t="shared" si="578"/>
        <v>1.0514177180843847</v>
      </c>
      <c r="AW1010" s="70">
        <f t="shared" si="579"/>
        <v>11.796305339491383</v>
      </c>
      <c r="AX1010" s="70">
        <f t="shared" si="580"/>
        <v>3.648264086511098</v>
      </c>
      <c r="AY1010" s="70">
        <f>IFERROR(Driver!$K$19/Data!BH1010/Data!BI1010*Data!BK1010*Data!BL1010,"")</f>
        <v>4.6775430195474213E-2</v>
      </c>
      <c r="AZ1010" s="70">
        <f t="shared" si="581"/>
        <v>8.1012658227848107</v>
      </c>
      <c r="BA1010" s="70"/>
      <c r="BB1010" s="70"/>
      <c r="BC1010" s="70">
        <f t="shared" si="582"/>
        <v>5.6042856710972195</v>
      </c>
      <c r="BD1010" s="70">
        <f t="shared" si="583"/>
        <v>55.416026248211089</v>
      </c>
      <c r="BE1010" s="70">
        <f t="shared" si="584"/>
        <v>1</v>
      </c>
      <c r="BF1010" s="70">
        <f t="shared" si="585"/>
        <v>0.54073672825827224</v>
      </c>
      <c r="BG1010" s="70">
        <f t="shared" si="586"/>
        <v>0.22630073348095217</v>
      </c>
      <c r="BH1010" s="67">
        <f>MAX((CE1010-Driver!$F$200)/(Driver!$G$200-Driver!$F$200)*$BI$1,1)</f>
        <v>3.648264086511098</v>
      </c>
      <c r="BI1010" s="67">
        <f>MAX($BI$1*(BY1010-Driver!$F$201)/(Driver!$G$201-Driver!$F$201),1)</f>
        <v>8.1012658227848107</v>
      </c>
      <c r="BJ1010" s="67">
        <f>(CB1010-Driver!$F$206)/(Driver!$G$206-Driver!$F$206)*$BI$1</f>
        <v>1.5873015873015872</v>
      </c>
      <c r="BK1010" s="67">
        <f>(CD1010-Driver!$F$203)/(Driver!$G$203-Driver!$F$203)*$BI$1</f>
        <v>0.87155963302752326</v>
      </c>
      <c r="BL1010" s="67">
        <f>MAX((CR1010-Driver!$F$202)/(Driver!$G$202-Driver!$F$202)*$BI$1,1)</f>
        <v>7.931034482758621</v>
      </c>
      <c r="BM1010" s="67">
        <f>MAX((CH1010-Driver!$F$204)/(Driver!$G$204-Driver!$F$204)*$BI$1,1)</f>
        <v>2.6495726495726495</v>
      </c>
      <c r="BN1010" s="67">
        <f>(CI1010-Driver!$F$205)/(Driver!$G$205-Driver!$F$205)*$BI$1</f>
        <v>1</v>
      </c>
      <c r="BO1010" s="67">
        <f>(CK1010-Driver!$F$207)/(Driver!$G$207-Driver!$F$207)*$BI$1</f>
        <v>0.35160289555325747</v>
      </c>
      <c r="BP1010" s="67">
        <f>(CM1010-Driver!$F$208)/(Driver!$G$208-Driver!$F$208)*$BI$1</f>
        <v>0.84444444444444444</v>
      </c>
      <c r="BQ1010" s="67">
        <f>(CL1010-Driver!$F$209)/(Driver!$G$209-Driver!$F$209)*$BI$1</f>
        <v>2.1875</v>
      </c>
      <c r="BR1010" s="28" t="s">
        <v>155</v>
      </c>
      <c r="BS1010" s="8" t="s">
        <v>167</v>
      </c>
      <c r="BT1010" s="9" t="s">
        <v>841</v>
      </c>
      <c r="BU1010" s="10">
        <v>158</v>
      </c>
      <c r="BV1010" s="9" t="s">
        <v>163</v>
      </c>
      <c r="BW1010" s="10">
        <v>158</v>
      </c>
      <c r="BX1010" s="10">
        <v>157.6</v>
      </c>
      <c r="BY1010" s="10">
        <v>136</v>
      </c>
      <c r="BZ1010" s="10">
        <v>141</v>
      </c>
      <c r="CA1010" s="10">
        <v>128</v>
      </c>
      <c r="CB1010" s="10">
        <v>74</v>
      </c>
      <c r="CC1010" s="10">
        <v>107</v>
      </c>
      <c r="CD1010" s="10">
        <v>11.3</v>
      </c>
      <c r="CE1010" s="10">
        <v>1541</v>
      </c>
      <c r="CF1010" s="10">
        <v>0.93</v>
      </c>
      <c r="CG1010" s="10">
        <v>1432</v>
      </c>
      <c r="CH1010" s="10">
        <v>163</v>
      </c>
      <c r="CI1010" s="10">
        <v>50</v>
      </c>
      <c r="CJ1010" s="10">
        <v>38</v>
      </c>
      <c r="CK1010" s="10">
        <v>144</v>
      </c>
      <c r="CL1010" s="10">
        <v>14</v>
      </c>
      <c r="CM1010" s="10">
        <v>76</v>
      </c>
      <c r="CN1010" s="10">
        <v>0.35799999999999998</v>
      </c>
      <c r="CO1010" s="10">
        <v>102</v>
      </c>
      <c r="CP1010" s="10">
        <v>65</v>
      </c>
      <c r="CQ1010" s="10">
        <v>43</v>
      </c>
      <c r="CR1010" s="10">
        <v>12</v>
      </c>
      <c r="CS1010" s="10">
        <v>11.1</v>
      </c>
      <c r="CT1010" s="9" t="s">
        <v>349</v>
      </c>
      <c r="CU1010" s="9" t="s">
        <v>231</v>
      </c>
      <c r="CV1010" s="10"/>
      <c r="CW1010" s="10"/>
      <c r="CX1010" t="str">
        <f>INDEX('Data_Price '!AG$2:AG$1266,MATCH(Data!$DN1010,'Data_Price '!$AT$2:$AT$1266,0))</f>
        <v>Head Easy Joy Skis w/Joy 9 GW Bindings Womens</v>
      </c>
      <c r="CY1010" t="str">
        <f>INDEX('Data_Price '!AH$2:AH$1266,MATCH(Data!$DN1010,'Data_Price '!$AT$2:$AT$1266,0))</f>
        <v>! OutdoorXL.com</v>
      </c>
      <c r="CZ1010">
        <f>INDEX('Data_Price '!AI$2:AI$1266,MATCH(Data!$DN1010,'Data_Price '!$AT$2:$AT$1266,0))</f>
        <v>189.95</v>
      </c>
      <c r="DA1010" t="str">
        <f>INDEX('Data_Price '!AJ$2:AJ$1266,MATCH(Data!$DN1010,'Data_Price '!$AT$2:$AT$1266,0))</f>
        <v>https://tinyurl.com/ybzc56m4</v>
      </c>
      <c r="DB1010" t="str">
        <f>INDEX('Data_Price '!AK$2:AK$1266,MATCH(Data!$DN1010,'Data_Price '!$AT$2:$AT$1266,0))</f>
        <v>16-17 Head Total Joy  Women's Demo Skis W/bindings Size 158cm</v>
      </c>
      <c r="DC1010" t="str">
        <f>INDEX('Data_Price '!AL$2:AL$1266,MATCH(Data!$DN1010,'Data_Price '!$AT$2:$AT$1266,0))</f>
        <v>eBay - demo-skis</v>
      </c>
      <c r="DD1010">
        <f>INDEX('Data_Price '!AM$2:AM$1266,MATCH(Data!$DN1010,'Data_Price '!$AT$2:$AT$1266,0))</f>
        <v>229</v>
      </c>
      <c r="DE1010" t="str">
        <f>INDEX('Data_Price '!AN$2:AN$1266,MATCH(Data!$DN1010,'Data_Price '!$AT$2:$AT$1266,0))</f>
        <v>https://tinyurl.com/y72koowy</v>
      </c>
      <c r="DF1010" t="str">
        <f>INDEX('Data_Price '!AO$2:AO$1266,MATCH(Data!$DN1010,'Data_Price '!$AT$2:$AT$1266,0))</f>
        <v>2018 Head Total Joy 158cm W/ Head Joy 11 Binding</v>
      </c>
      <c r="DG1010" t="str">
        <f>INDEX('Data_Price '!AP$2:AP$1266,MATCH(Data!$DN1010,'Data_Price '!$AT$2:$AT$1266,0))</f>
        <v>eBay - riverpirate999</v>
      </c>
      <c r="DH1010">
        <f>INDEX('Data_Price '!AQ$2:AQ$1266,MATCH(Data!$DN1010,'Data_Price '!$AT$2:$AT$1266,0))</f>
        <v>249</v>
      </c>
      <c r="DI1010" t="str">
        <f>INDEX('Data_Price '!AR$2:AR$1266,MATCH(Data!$DN1010,'Data_Price '!$AT$2:$AT$1266,0))</f>
        <v>https://tinyurl.com/y9x2gm3q</v>
      </c>
      <c r="DJ1010" s="89" t="str">
        <f t="shared" si="587"/>
        <v>https://tinyurl.com/ybzc56m4</v>
      </c>
      <c r="DK1010" s="89" t="str">
        <f t="shared" si="588"/>
        <v>https://tinyurl.com/y72koowy</v>
      </c>
      <c r="DL1010" s="89" t="str">
        <f t="shared" si="589"/>
        <v>https://tinyurl.com/y9x2gm3q</v>
      </c>
      <c r="DM1010" s="219" t="str">
        <f t="shared" si="590"/>
        <v>Super Joy</v>
      </c>
      <c r="DN1010" s="89" t="str">
        <f t="shared" si="591"/>
        <v xml:space="preserve"> HeadSuper Joy158 Women's</v>
      </c>
      <c r="DO1010" s="221"/>
    </row>
    <row r="1011" spans="2:119" ht="15.6" customHeight="1">
      <c r="B1011" s="219" t="b">
        <f t="array" ref="B1011">IF(OR(ISERROR(K1011:P1011)),FALSE,TRUE)</f>
        <v>1</v>
      </c>
      <c r="C1011" s="43" t="b">
        <f>OR(BR1011=Driver!$G$50,Data!BR1176=Driver!$H$50)</f>
        <v>1</v>
      </c>
      <c r="D1011" s="43" t="b">
        <f>OR(BV1011=Driver!$G$51,BV1011=Driver!$H$51)</f>
        <v>0</v>
      </c>
      <c r="E1011" s="43" t="b">
        <f>AND(BX1011&gt;Driver!$F$54,BX1011&lt;Driver!$G$54)</f>
        <v>0</v>
      </c>
      <c r="F1011" s="43" t="b">
        <f>CL1011&gt;Driver!$F$56</f>
        <v>1</v>
      </c>
      <c r="G1011" s="43" t="b">
        <f>AND(CB1011&gt;Driver!$F$55,CB1011&lt;Driver!$G$55)</f>
        <v>0</v>
      </c>
      <c r="H1011" s="43" t="b">
        <f t="shared" si="555"/>
        <v>0</v>
      </c>
      <c r="I1011" s="43">
        <f t="shared" si="556"/>
        <v>0</v>
      </c>
      <c r="J1011" s="43" t="b">
        <f t="array" ref="J1011">NOT(OR(($H$9:$H$1273=TRUE)*($I$9:$I$1273&gt;0)*($BT$9:$BT$1273=BT1011)*($K$9:$K$1273&gt;K1011)))</f>
        <v>1</v>
      </c>
      <c r="K1011" s="72">
        <f t="shared" si="557"/>
        <v>0.85123858396352547</v>
      </c>
      <c r="L1011" s="72">
        <f t="shared" si="558"/>
        <v>0.88831543883590403</v>
      </c>
      <c r="M1011" s="72">
        <f t="shared" si="559"/>
        <v>0.81416172909114692</v>
      </c>
      <c r="N1011" s="72">
        <f t="shared" si="560"/>
        <v>0.92569332875450183</v>
      </c>
      <c r="O1011" s="72">
        <f t="shared" si="561"/>
        <v>0.64323349002386176</v>
      </c>
      <c r="P1011" s="72">
        <f t="shared" si="562"/>
        <v>0.87355836849507729</v>
      </c>
      <c r="Q1011" s="72"/>
      <c r="R1011" s="72"/>
      <c r="S1011" s="72">
        <f t="shared" si="563"/>
        <v>0.39440040493025375</v>
      </c>
      <c r="T1011" s="72">
        <f t="shared" si="564"/>
        <v>0.48441780059858219</v>
      </c>
      <c r="U1011" s="72">
        <f t="shared" si="565"/>
        <v>0.52903409781838062</v>
      </c>
      <c r="V1011" s="72">
        <f t="shared" si="566"/>
        <v>0.85602541186639125</v>
      </c>
      <c r="W1011" s="72">
        <f t="shared" si="567"/>
        <v>0.88476926410052714</v>
      </c>
      <c r="X1011" s="72">
        <f t="shared" si="568"/>
        <v>0.11168456116409597</v>
      </c>
      <c r="Y1011" s="72">
        <f t="shared" si="569"/>
        <v>0.18583827090885305</v>
      </c>
      <c r="Z1011" s="72">
        <f t="shared" si="570"/>
        <v>7.430667124549821E-2</v>
      </c>
      <c r="AA1011" s="72">
        <f t="shared" si="571"/>
        <v>0.35676650997613824</v>
      </c>
      <c r="AB1011" s="72">
        <f t="shared" si="572"/>
        <v>0.12644163150492269</v>
      </c>
      <c r="AC1011" s="72"/>
      <c r="AD1011" s="72"/>
      <c r="AE1011" s="72">
        <f t="shared" si="573"/>
        <v>0.60559959506974625</v>
      </c>
      <c r="AF1011" s="72">
        <f t="shared" si="574"/>
        <v>0.51558219940141781</v>
      </c>
      <c r="AG1011" s="72">
        <f t="shared" si="575"/>
        <v>0.47096590218161938</v>
      </c>
      <c r="AH1011" s="72">
        <f t="shared" si="576"/>
        <v>0.14397458813360869</v>
      </c>
      <c r="AI1011" s="72">
        <f t="shared" si="577"/>
        <v>0.11523073589947283</v>
      </c>
      <c r="AJ1011" s="72">
        <f>(AV1011-Driver!$K$179)/(Driver!$L$179-Driver!$K$179)</f>
        <v>0.14253484811860445</v>
      </c>
      <c r="AK1011" s="72">
        <f>(AW1011-Driver!$K$180)/(Driver!$L$180-Driver!$K$180)</f>
        <v>0.1279367611489135</v>
      </c>
      <c r="AL1011" s="72">
        <f>(AX1011-Driver!$K$181)/(Driver!$L$181-Driver!$K$181)</f>
        <v>0.17599443495857839</v>
      </c>
      <c r="AM1011" s="72">
        <f>(AY1011-Driver!$K$182)/(Driver!$L$182-Driver!$K$182)</f>
        <v>9.0618511120908102E-2</v>
      </c>
      <c r="AN1011" s="72">
        <f>(AZ1011-Driver!$K$183)/(Driver!$L$183-Driver!$K$183)</f>
        <v>0.12777777777777774</v>
      </c>
      <c r="AO1011" s="72"/>
      <c r="AP1011" s="72"/>
      <c r="AQ1011" s="72">
        <f>(BC1011-Driver!$K$188)/(Driver!$L$188-Driver!$K$188)</f>
        <v>1.4400404930253763E-2</v>
      </c>
      <c r="AR1011" s="72">
        <f>MIN((BD1011-Driver!$K$189)/(Driver!$L$189-Driver!$K$189),100%)</f>
        <v>3.4417800598582217E-2</v>
      </c>
      <c r="AS1011" s="72">
        <f>(BE1011-Driver!$K$190)/(Driver!$L$190-Driver!$K$190)</f>
        <v>3.9034097818380645E-2</v>
      </c>
      <c r="AT1011" s="72">
        <f>(BF1011-Driver!$K$191)/(Driver!$L$191-Driver!$K$191)</f>
        <v>0.36602541186639131</v>
      </c>
      <c r="AU1011" s="72">
        <f>(BG1011-Driver!$K$192)/(Driver!$L$192-Driver!$K$192)</f>
        <v>0.13476926410052717</v>
      </c>
      <c r="AV1011" s="70">
        <f t="shared" si="578"/>
        <v>2.9999321665988332</v>
      </c>
      <c r="AW1011" s="70">
        <f t="shared" si="579"/>
        <v>14.340463630446479</v>
      </c>
      <c r="AX1011" s="70">
        <f t="shared" si="580"/>
        <v>2.5839499146272056</v>
      </c>
      <c r="AY1011" s="70">
        <f>IFERROR(Driver!$K$19/Data!BH1011/Data!BI1011*Data!BK1011*Data!BL1011,"")</f>
        <v>0.11094409556611132</v>
      </c>
      <c r="AZ1011" s="70">
        <f t="shared" si="581"/>
        <v>11.645569620253163</v>
      </c>
      <c r="BA1011" s="70"/>
      <c r="BB1011" s="70"/>
      <c r="BC1011" s="70">
        <f t="shared" si="582"/>
        <v>7.4695901473135597</v>
      </c>
      <c r="BD1011" s="70">
        <f t="shared" si="583"/>
        <v>4.766737252338249</v>
      </c>
      <c r="BE1011" s="70">
        <f t="shared" si="584"/>
        <v>3.9205523319197896E-2</v>
      </c>
      <c r="BF1011" s="70">
        <f t="shared" si="585"/>
        <v>41.339998796255252</v>
      </c>
      <c r="BG1011" s="70">
        <f t="shared" si="586"/>
        <v>0.51032240738066004</v>
      </c>
      <c r="BH1011" s="67">
        <f>MAX((CE1011-Driver!$F$200)/(Driver!$G$200-Driver!$F$200)*$BI$1,1)</f>
        <v>2.5839499146272056</v>
      </c>
      <c r="BI1011" s="67">
        <f>MAX($BI$1*(BY1011-Driver!$F$201)/(Driver!$G$201-Driver!$F$201),1)</f>
        <v>4.3037974683544302</v>
      </c>
      <c r="BJ1011" s="67">
        <f>(CB1011-Driver!$F$206)/(Driver!$G$206-Driver!$F$206)*$BI$1</f>
        <v>4.6031746031746028</v>
      </c>
      <c r="BK1011" s="67">
        <f>(CD1011-Driver!$F$203)/(Driver!$G$203-Driver!$F$203)*$BI$1</f>
        <v>1.3761467889908259</v>
      </c>
      <c r="BL1011" s="67">
        <f>MAX((CR1011-Driver!$F$202)/(Driver!$G$202-Driver!$F$202)*$BI$1,1)</f>
        <v>4.4827586206896548</v>
      </c>
      <c r="BM1011" s="67">
        <f>MAX((CH1011-Driver!$F$204)/(Driver!$G$204-Driver!$F$204)*$BI$1,1)</f>
        <v>2.6068376068376069</v>
      </c>
      <c r="BN1011" s="67">
        <f>(CI1011-Driver!$F$205)/(Driver!$G$205-Driver!$F$205)*$BI$1</f>
        <v>2.7058823529411762</v>
      </c>
      <c r="BO1011" s="67">
        <f>(CK1011-Driver!$F$207)/(Driver!$G$207-Driver!$F$207)*$BI$1</f>
        <v>3.4436401240951398</v>
      </c>
      <c r="BP1011" s="67">
        <f>(CM1011-Driver!$F$208)/(Driver!$G$208-Driver!$F$208)*$BI$1</f>
        <v>3.5888888888888886</v>
      </c>
      <c r="BQ1011" s="67">
        <f>(CL1011-Driver!$F$209)/(Driver!$G$209-Driver!$F$209)*$BI$1</f>
        <v>3.4375</v>
      </c>
      <c r="BR1011" s="28" t="s">
        <v>155</v>
      </c>
      <c r="BS1011" s="8" t="s">
        <v>229</v>
      </c>
      <c r="BT1011" s="9" t="s">
        <v>778</v>
      </c>
      <c r="BU1011" s="10">
        <v>151</v>
      </c>
      <c r="BV1011" s="9" t="s">
        <v>163</v>
      </c>
      <c r="BW1011" s="10">
        <v>151</v>
      </c>
      <c r="BX1011" s="10">
        <v>152.69999999999999</v>
      </c>
      <c r="BY1011" s="10">
        <v>76</v>
      </c>
      <c r="BZ1011" s="10">
        <v>128</v>
      </c>
      <c r="CA1011" s="10">
        <v>133</v>
      </c>
      <c r="CB1011" s="10">
        <v>93</v>
      </c>
      <c r="CC1011" s="10">
        <v>115</v>
      </c>
      <c r="CD1011" s="10">
        <v>12.4</v>
      </c>
      <c r="CE1011" s="10">
        <v>1354</v>
      </c>
      <c r="CF1011" s="10">
        <v>1.2</v>
      </c>
      <c r="CG1011" s="10">
        <v>1618</v>
      </c>
      <c r="CH1011" s="10">
        <v>162</v>
      </c>
      <c r="CI1011" s="10">
        <v>79</v>
      </c>
      <c r="CJ1011" s="10">
        <v>50</v>
      </c>
      <c r="CK1011" s="10">
        <v>443</v>
      </c>
      <c r="CL1011" s="10">
        <v>22</v>
      </c>
      <c r="CM1011" s="10">
        <v>323</v>
      </c>
      <c r="CN1011" s="10">
        <v>0.442</v>
      </c>
      <c r="CO1011" s="10">
        <v>144</v>
      </c>
      <c r="CP1011" s="10">
        <v>106</v>
      </c>
      <c r="CQ1011" s="10">
        <v>299</v>
      </c>
      <c r="CR1011" s="10">
        <v>2</v>
      </c>
      <c r="CS1011" s="10">
        <v>11.4</v>
      </c>
      <c r="CT1011" s="9" t="s">
        <v>188</v>
      </c>
      <c r="CU1011" s="9" t="s">
        <v>185</v>
      </c>
      <c r="CV1011" s="10"/>
      <c r="CW1011" s="10"/>
      <c r="CX1011" t="e">
        <f>INDEX('Data_Price '!AG$2:AG$1266,MATCH(Data!$DN1011,'Data_Price '!$AT$2:$AT$1266,0))</f>
        <v>#N/A</v>
      </c>
      <c r="CY1011" t="e">
        <f>INDEX('Data_Price '!AH$2:AH$1266,MATCH(Data!$DN1011,'Data_Price '!$AT$2:$AT$1266,0))</f>
        <v>#N/A</v>
      </c>
      <c r="CZ1011" t="e">
        <f>INDEX('Data_Price '!AI$2:AI$1266,MATCH(Data!$DN1011,'Data_Price '!$AT$2:$AT$1266,0))</f>
        <v>#N/A</v>
      </c>
      <c r="DA1011" t="e">
        <f>INDEX('Data_Price '!AJ$2:AJ$1266,MATCH(Data!$DN1011,'Data_Price '!$AT$2:$AT$1266,0))</f>
        <v>#N/A</v>
      </c>
      <c r="DB1011" t="e">
        <f>INDEX('Data_Price '!AK$2:AK$1266,MATCH(Data!$DN1011,'Data_Price '!$AT$2:$AT$1266,0))</f>
        <v>#N/A</v>
      </c>
      <c r="DC1011" t="e">
        <f>INDEX('Data_Price '!AL$2:AL$1266,MATCH(Data!$DN1011,'Data_Price '!$AT$2:$AT$1266,0))</f>
        <v>#N/A</v>
      </c>
      <c r="DD1011" t="e">
        <f>INDEX('Data_Price '!AM$2:AM$1266,MATCH(Data!$DN1011,'Data_Price '!$AT$2:$AT$1266,0))</f>
        <v>#N/A</v>
      </c>
      <c r="DE1011" t="e">
        <f>INDEX('Data_Price '!AN$2:AN$1266,MATCH(Data!$DN1011,'Data_Price '!$AT$2:$AT$1266,0))</f>
        <v>#N/A</v>
      </c>
      <c r="DF1011" t="e">
        <f>INDEX('Data_Price '!AO$2:AO$1266,MATCH(Data!$DN1011,'Data_Price '!$AT$2:$AT$1266,0))</f>
        <v>#N/A</v>
      </c>
      <c r="DG1011" t="e">
        <f>INDEX('Data_Price '!AP$2:AP$1266,MATCH(Data!$DN1011,'Data_Price '!$AT$2:$AT$1266,0))</f>
        <v>#N/A</v>
      </c>
      <c r="DH1011" t="e">
        <f>INDEX('Data_Price '!AQ$2:AQ$1266,MATCH(Data!$DN1011,'Data_Price '!$AT$2:$AT$1266,0))</f>
        <v>#N/A</v>
      </c>
      <c r="DI1011" t="e">
        <f>INDEX('Data_Price '!AR$2:AR$1266,MATCH(Data!$DN1011,'Data_Price '!$AT$2:$AT$1266,0))</f>
        <v>#N/A</v>
      </c>
      <c r="DJ1011" s="89" t="e">
        <f t="shared" si="587"/>
        <v>#N/A</v>
      </c>
      <c r="DK1011" s="89" t="e">
        <f t="shared" si="588"/>
        <v>#N/A</v>
      </c>
      <c r="DL1011" s="89" t="e">
        <f t="shared" si="589"/>
        <v>#N/A</v>
      </c>
      <c r="DM1011" s="219" t="str">
        <f t="shared" si="590"/>
        <v>Blaze 94 W</v>
      </c>
      <c r="DN1011" s="89" t="str">
        <f t="shared" si="591"/>
        <v xml:space="preserve"> VölklBlaze 94 W151 Women's</v>
      </c>
      <c r="DO1011" s="221" t="s">
        <v>779</v>
      </c>
    </row>
    <row r="1012" spans="2:119" ht="15.6" customHeight="1">
      <c r="B1012" s="219" t="b">
        <f t="array" ref="B1012">IF(OR(ISERROR(K1012:P1012)),FALSE,TRUE)</f>
        <v>1</v>
      </c>
      <c r="C1012" s="43" t="b">
        <f>OR(BR1012=Driver!$G$50,Data!BR389=Driver!$H$50)</f>
        <v>1</v>
      </c>
      <c r="D1012" s="43" t="b">
        <f>OR(BV1012=Driver!$G$51,BV1012=Driver!$H$51)</f>
        <v>1</v>
      </c>
      <c r="E1012" s="43" t="b">
        <f>AND(BX1012&gt;Driver!$F$54,BX1012&lt;Driver!$G$54)</f>
        <v>0</v>
      </c>
      <c r="F1012" s="43" t="b">
        <f>CL1012&gt;Driver!$F$56</f>
        <v>1</v>
      </c>
      <c r="G1012" s="43" t="b">
        <f>AND(CB1012&gt;Driver!$F$55,CB1012&lt;Driver!$G$55)</f>
        <v>0</v>
      </c>
      <c r="H1012" s="43" t="b">
        <f t="shared" si="555"/>
        <v>0</v>
      </c>
      <c r="I1012" s="43">
        <f t="shared" si="556"/>
        <v>0</v>
      </c>
      <c r="J1012" s="43" t="b">
        <f t="array" ref="J1012">NOT(OR(($H$9:$H$1273=TRUE)*($I$9:$I$1273&gt;0)*($BT$9:$BT$1273=BT1012)*($K$9:$K$1273&gt;K1012)))</f>
        <v>1</v>
      </c>
      <c r="K1012" s="72">
        <f t="shared" si="557"/>
        <v>0.82703780850426789</v>
      </c>
      <c r="L1012" s="72">
        <f t="shared" si="558"/>
        <v>0.85052638074227738</v>
      </c>
      <c r="M1012" s="72">
        <f t="shared" si="559"/>
        <v>0.8035492362662584</v>
      </c>
      <c r="N1012" s="72">
        <f t="shared" si="560"/>
        <v>0.88901464665749297</v>
      </c>
      <c r="O1012" s="72">
        <f t="shared" si="561"/>
        <v>0.6619635825350938</v>
      </c>
      <c r="P1012" s="72">
        <f t="shared" si="562"/>
        <v>0.85966947960618845</v>
      </c>
      <c r="Q1012" s="72"/>
      <c r="R1012" s="72"/>
      <c r="S1012" s="72">
        <f t="shared" si="563"/>
        <v>0.39843183018779382</v>
      </c>
      <c r="T1012" s="72">
        <f t="shared" si="564"/>
        <v>0.48600127377895297</v>
      </c>
      <c r="U1012" s="72">
        <f t="shared" si="565"/>
        <v>0.58030727563922613</v>
      </c>
      <c r="V1012" s="72">
        <f t="shared" si="566"/>
        <v>0.56310698739251241</v>
      </c>
      <c r="W1012" s="72">
        <f t="shared" si="567"/>
        <v>0.96027832031249993</v>
      </c>
      <c r="X1012" s="72">
        <f t="shared" si="568"/>
        <v>0.14947361925772262</v>
      </c>
      <c r="Y1012" s="72">
        <f t="shared" si="569"/>
        <v>0.1964507637337416</v>
      </c>
      <c r="Z1012" s="72">
        <f t="shared" si="570"/>
        <v>0.11098535334250705</v>
      </c>
      <c r="AA1012" s="72">
        <f t="shared" si="571"/>
        <v>0.33803641746490615</v>
      </c>
      <c r="AB1012" s="72">
        <f t="shared" si="572"/>
        <v>0.14033052039381155</v>
      </c>
      <c r="AC1012" s="72"/>
      <c r="AD1012" s="72"/>
      <c r="AE1012" s="72">
        <f t="shared" si="573"/>
        <v>0.60156816981220618</v>
      </c>
      <c r="AF1012" s="72">
        <f t="shared" si="574"/>
        <v>0.51399872622104703</v>
      </c>
      <c r="AG1012" s="72">
        <f t="shared" si="575"/>
        <v>0.41969272436077387</v>
      </c>
      <c r="AH1012" s="72">
        <f t="shared" si="576"/>
        <v>0.43689301260748759</v>
      </c>
      <c r="AI1012" s="72">
        <f t="shared" si="577"/>
        <v>3.9721679687500067E-2</v>
      </c>
      <c r="AJ1012" s="72">
        <f>(AV1012-Driver!$K$179)/(Driver!$L$179-Driver!$K$179)</f>
        <v>0.10474579002497782</v>
      </c>
      <c r="AK1012" s="72">
        <f>(AW1012-Driver!$K$180)/(Driver!$L$180-Driver!$K$180)</f>
        <v>0.11857092806056566</v>
      </c>
      <c r="AL1012" s="72">
        <f>(AX1012-Driver!$K$181)/(Driver!$L$181-Driver!$K$181)</f>
        <v>0.21267311705558722</v>
      </c>
      <c r="AM1012" s="72">
        <f>(AY1012-Driver!$K$182)/(Driver!$L$182-Driver!$K$182)</f>
        <v>0.1093486036321402</v>
      </c>
      <c r="AN1012" s="72">
        <f>(AZ1012-Driver!$K$183)/(Driver!$L$183-Driver!$K$183)</f>
        <v>0.11388888888888889</v>
      </c>
      <c r="AO1012" s="72"/>
      <c r="AP1012" s="72"/>
      <c r="AQ1012" s="72">
        <f>(BC1012-Driver!$K$188)/(Driver!$L$188-Driver!$K$188)</f>
        <v>1.8431830187793857E-2</v>
      </c>
      <c r="AR1012" s="72">
        <f>MIN((BD1012-Driver!$K$189)/(Driver!$L$189-Driver!$K$189),100%)</f>
        <v>3.6001273778953062E-2</v>
      </c>
      <c r="AS1012" s="72">
        <f>(BE1012-Driver!$K$190)/(Driver!$L$190-Driver!$K$190)</f>
        <v>9.0307275639226109E-2</v>
      </c>
      <c r="AT1012" s="72">
        <f>(BF1012-Driver!$K$191)/(Driver!$L$191-Driver!$K$191)</f>
        <v>7.310698739251241E-2</v>
      </c>
      <c r="AU1012" s="72">
        <f>(BG1012-Driver!$K$192)/(Driver!$L$192-Driver!$K$192)</f>
        <v>0.21027832031249993</v>
      </c>
      <c r="AV1012" s="70">
        <f t="shared" si="578"/>
        <v>2.204585537918871</v>
      </c>
      <c r="AW1012" s="70">
        <f t="shared" si="579"/>
        <v>13.427680206263405</v>
      </c>
      <c r="AX1012" s="70">
        <f t="shared" si="580"/>
        <v>2.9140580535002849</v>
      </c>
      <c r="AY1012" s="70">
        <f>IFERROR(Driver!$K$19/Data!BH1012/Data!BI1012*Data!BK1012*Data!BL1012,"")</f>
        <v>0.13387531732008243</v>
      </c>
      <c r="AZ1012" s="70">
        <f t="shared" si="581"/>
        <v>10.379746835443038</v>
      </c>
      <c r="BA1012" s="70"/>
      <c r="BB1012" s="70"/>
      <c r="BC1012" s="70">
        <f t="shared" si="582"/>
        <v>9.5607184544133137</v>
      </c>
      <c r="BD1012" s="70">
        <f t="shared" si="583"/>
        <v>4.9068718230526178</v>
      </c>
      <c r="BE1012" s="70">
        <f t="shared" si="584"/>
        <v>9.0469554582224318E-2</v>
      </c>
      <c r="BF1012" s="70">
        <f t="shared" si="585"/>
        <v>8.2569206203297902</v>
      </c>
      <c r="BG1012" s="70">
        <f t="shared" si="586"/>
        <v>0.79624786376953105</v>
      </c>
      <c r="BH1012" s="67">
        <f>MAX((CE1012-Driver!$F$200)/(Driver!$G$200-Driver!$F$200)*$BI$1,1)</f>
        <v>2.9140580535002849</v>
      </c>
      <c r="BI1012" s="67">
        <f>MAX($BI$1*(BY1012-Driver!$F$201)/(Driver!$G$201-Driver!$F$201),1)</f>
        <v>5.1898734177215191</v>
      </c>
      <c r="BJ1012" s="67">
        <f>(CB1012-Driver!$F$206)/(Driver!$G$206-Driver!$F$206)*$BI$1</f>
        <v>3.9682539682539679</v>
      </c>
      <c r="BK1012" s="67">
        <f>(CD1012-Driver!$F$203)/(Driver!$G$203-Driver!$F$203)*$BI$1</f>
        <v>1.834862385321101</v>
      </c>
      <c r="BL1012" s="67">
        <f>MAX((CR1012-Driver!$F$202)/(Driver!$G$202-Driver!$F$202)*$BI$1,1)</f>
        <v>5.5172413793103452</v>
      </c>
      <c r="BM1012" s="67">
        <f>MAX((CH1012-Driver!$F$204)/(Driver!$G$204-Driver!$F$204)*$BI$1,1)</f>
        <v>2.2222222222222223</v>
      </c>
      <c r="BN1012" s="67">
        <f>(CI1012-Driver!$F$205)/(Driver!$G$205-Driver!$F$205)*$BI$1</f>
        <v>2</v>
      </c>
      <c r="BO1012" s="67">
        <f>(CK1012-Driver!$F$207)/(Driver!$G$207-Driver!$F$207)*$BI$1</f>
        <v>1.5408479834539814</v>
      </c>
      <c r="BP1012" s="67">
        <f>(CM1012-Driver!$F$208)/(Driver!$G$208-Driver!$F$208)*$BI$1</f>
        <v>2.4777777777777779</v>
      </c>
      <c r="BQ1012" s="67">
        <f>(CL1012-Driver!$F$209)/(Driver!$G$209-Driver!$F$209)*$BI$1</f>
        <v>5.15625</v>
      </c>
      <c r="BR1012" s="28" t="s">
        <v>155</v>
      </c>
      <c r="BS1012" s="8" t="s">
        <v>202</v>
      </c>
      <c r="BT1012" s="9" t="s">
        <v>602</v>
      </c>
      <c r="BU1012" s="10">
        <v>140</v>
      </c>
      <c r="BV1012" s="9" t="s">
        <v>158</v>
      </c>
      <c r="BW1012" s="10">
        <v>140</v>
      </c>
      <c r="BX1012" s="10">
        <v>138.6</v>
      </c>
      <c r="BY1012" s="10">
        <v>90</v>
      </c>
      <c r="BZ1012" s="10">
        <v>115</v>
      </c>
      <c r="CA1012" s="10">
        <v>117</v>
      </c>
      <c r="CB1012" s="10">
        <v>89</v>
      </c>
      <c r="CC1012" s="10">
        <v>107</v>
      </c>
      <c r="CD1012" s="10">
        <v>13.4</v>
      </c>
      <c r="CE1012" s="10">
        <v>1412</v>
      </c>
      <c r="CF1012" s="10">
        <v>0.96</v>
      </c>
      <c r="CG1012" s="10">
        <v>1359</v>
      </c>
      <c r="CH1012" s="10">
        <v>153</v>
      </c>
      <c r="CI1012" s="10">
        <v>67</v>
      </c>
      <c r="CJ1012" s="10">
        <v>49</v>
      </c>
      <c r="CK1012" s="10">
        <v>259</v>
      </c>
      <c r="CL1012" s="10">
        <v>33</v>
      </c>
      <c r="CM1012" s="10">
        <v>223</v>
      </c>
      <c r="CN1012" s="10">
        <v>0.67</v>
      </c>
      <c r="CO1012" s="10">
        <v>114</v>
      </c>
      <c r="CP1012" s="10">
        <v>124</v>
      </c>
      <c r="CQ1012" s="10">
        <v>145</v>
      </c>
      <c r="CR1012" s="10">
        <v>5</v>
      </c>
      <c r="CS1012" s="10">
        <v>6.8</v>
      </c>
      <c r="CT1012" s="9" t="s">
        <v>188</v>
      </c>
      <c r="CU1012" s="10"/>
      <c r="CV1012" s="10"/>
      <c r="CW1012" s="10"/>
      <c r="CX1012" t="str">
        <f>INDEX('Data_Price '!AG$2:AG$1266,MATCH(Data!$DN1012,'Data_Price '!$AT$2:$AT$1266,0))</f>
        <v>Dynastar M-Menace 90 Open Skis Â· 140 cm</v>
      </c>
      <c r="CY1012" t="str">
        <f>INDEX('Data_Price '!AH$2:AH$1266,MATCH(Data!$DN1012,'Data_Price '!$AT$2:$AT$1266,0))</f>
        <v>eBay - asogear</v>
      </c>
      <c r="CZ1012">
        <f>INDEX('Data_Price '!AI$2:AI$1266,MATCH(Data!$DN1012,'Data_Price '!$AT$2:$AT$1266,0))</f>
        <v>230.99</v>
      </c>
      <c r="DA1012" t="str">
        <f>INDEX('Data_Price '!AJ$2:AJ$1266,MATCH(Data!$DN1012,'Data_Price '!$AT$2:$AT$1266,0))</f>
        <v>https://tinyurl.com/y9dfjovv</v>
      </c>
      <c r="DB1012" t="str">
        <f>INDEX('Data_Price '!AK$2:AK$1266,MATCH(Data!$DN1012,'Data_Price '!$AT$2:$AT$1266,0))</f>
        <v>Dynastar M-MENACE 90 Skis 2022</v>
      </c>
      <c r="DC1012" t="str">
        <f>INDEX('Data_Price '!AL$2:AL$1266,MATCH(Data!$DN1012,'Data_Price '!$AT$2:$AT$1266,0))</f>
        <v>Level Nine Sports</v>
      </c>
      <c r="DD1012">
        <f>INDEX('Data_Price '!AM$2:AM$1266,MATCH(Data!$DN1012,'Data_Price '!$AT$2:$AT$1266,0))</f>
        <v>349.95</v>
      </c>
      <c r="DE1012" t="str">
        <f>INDEX('Data_Price '!AN$2:AN$1266,MATCH(Data!$DN1012,'Data_Price '!$AT$2:$AT$1266,0))</f>
        <v>https://tinyurl.com/y7ndtxkz</v>
      </c>
      <c r="DF1012" t="str">
        <f>INDEX('Data_Price '!AO$2:AO$1266,MATCH(Data!$DN1012,'Data_Price '!$AT$2:$AT$1266,0))</f>
        <v>Dynastar M-Menace 90 Skis</v>
      </c>
      <c r="DG1012" t="str">
        <f>INDEX('Data_Price '!AP$2:AP$1266,MATCH(Data!$DN1012,'Data_Price '!$AT$2:$AT$1266,0))</f>
        <v>Cole Sport</v>
      </c>
      <c r="DH1012">
        <f>INDEX('Data_Price '!AQ$2:AQ$1266,MATCH(Data!$DN1012,'Data_Price '!$AT$2:$AT$1266,0))</f>
        <v>349.95</v>
      </c>
      <c r="DI1012" t="str">
        <f>INDEX('Data_Price '!AR$2:AR$1266,MATCH(Data!$DN1012,'Data_Price '!$AT$2:$AT$1266,0))</f>
        <v>https://tinyurl.com/y7gxrrr6</v>
      </c>
      <c r="DJ1012" s="89" t="str">
        <f t="shared" si="587"/>
        <v>https://tinyurl.com/y9dfjovv</v>
      </c>
      <c r="DK1012" s="89" t="str">
        <f t="shared" si="588"/>
        <v>https://tinyurl.com/y7ndtxkz</v>
      </c>
      <c r="DL1012" s="89" t="str">
        <f t="shared" si="589"/>
        <v>https://tinyurl.com/y7gxrrr6</v>
      </c>
      <c r="DM1012" s="219" t="str">
        <f t="shared" si="590"/>
        <v>M-Menace 90</v>
      </c>
      <c r="DN1012" s="89" t="str">
        <f t="shared" si="591"/>
        <v xml:space="preserve"> DynastarM-Menace 90140 Unisex</v>
      </c>
      <c r="DO1012" s="221"/>
    </row>
    <row r="1013" spans="2:119" ht="15.6" customHeight="1">
      <c r="B1013" s="219" t="b">
        <f t="array" ref="B1013">IF(OR(ISERROR(K1013:P1013)),FALSE,TRUE)</f>
        <v>1</v>
      </c>
      <c r="C1013" s="43" t="b">
        <f>OR(BR1013=Driver!$G$50,Data!BR62=Driver!$H$50)</f>
        <v>1</v>
      </c>
      <c r="D1013" s="43" t="b">
        <f>OR(BV1013=Driver!$G$51,BV1013=Driver!$H$51)</f>
        <v>1</v>
      </c>
      <c r="E1013" s="43" t="b">
        <f>AND(BX1013&gt;Driver!$F$54,BX1013&lt;Driver!$G$54)</f>
        <v>0</v>
      </c>
      <c r="F1013" s="43" t="b">
        <f>CL1013&gt;Driver!$F$56</f>
        <v>1</v>
      </c>
      <c r="G1013" s="43" t="b">
        <f>AND(CB1013&gt;Driver!$F$55,CB1013&lt;Driver!$G$55)</f>
        <v>0</v>
      </c>
      <c r="H1013" s="43" t="b">
        <f t="shared" si="555"/>
        <v>0</v>
      </c>
      <c r="I1013" s="43">
        <f t="shared" si="556"/>
        <v>0</v>
      </c>
      <c r="J1013" s="43" t="b">
        <f t="array" ref="J1013">NOT(OR(($H$9:$H$1273=TRUE)*($I$9:$I$1273&gt;0)*($BT$9:$BT$1273=BT1013)*($K$9:$K$1273&gt;K1013)))</f>
        <v>1</v>
      </c>
      <c r="K1013" s="72">
        <f t="shared" si="557"/>
        <v>0.7662057562958724</v>
      </c>
      <c r="L1013" s="72">
        <f t="shared" si="558"/>
        <v>0.82055297005820682</v>
      </c>
      <c r="M1013" s="72">
        <f t="shared" si="559"/>
        <v>0.71185854253353797</v>
      </c>
      <c r="N1013" s="72">
        <f t="shared" si="560"/>
        <v>0.64301452017927885</v>
      </c>
      <c r="O1013" s="72">
        <f t="shared" si="561"/>
        <v>0.60658443827266262</v>
      </c>
      <c r="P1013" s="72">
        <f t="shared" si="562"/>
        <v>0.88597666914867212</v>
      </c>
      <c r="Q1013" s="72"/>
      <c r="R1013" s="72"/>
      <c r="S1013" s="72">
        <f t="shared" si="563"/>
        <v>0.40475322801438252</v>
      </c>
      <c r="T1013" s="72">
        <f t="shared" si="564"/>
        <v>0.47185499633442662</v>
      </c>
      <c r="U1013" s="72">
        <f t="shared" si="565"/>
        <v>0.51860817963322936</v>
      </c>
      <c r="V1013" s="72">
        <f t="shared" si="566"/>
        <v>0.60480196065353453</v>
      </c>
      <c r="W1013" s="72">
        <f t="shared" si="567"/>
        <v>0.97344790510543844</v>
      </c>
      <c r="X1013" s="72">
        <f t="shared" si="568"/>
        <v>0.17944702994179318</v>
      </c>
      <c r="Y1013" s="72">
        <f t="shared" si="569"/>
        <v>0.28814145746646208</v>
      </c>
      <c r="Z1013" s="72">
        <f t="shared" si="570"/>
        <v>0.35698547982072115</v>
      </c>
      <c r="AA1013" s="72">
        <f t="shared" si="571"/>
        <v>0.39341556172733733</v>
      </c>
      <c r="AB1013" s="72">
        <f t="shared" si="572"/>
        <v>0.11402333085132788</v>
      </c>
      <c r="AC1013" s="72"/>
      <c r="AD1013" s="72"/>
      <c r="AE1013" s="72">
        <f t="shared" si="573"/>
        <v>0.59524677198561748</v>
      </c>
      <c r="AF1013" s="72">
        <f t="shared" si="574"/>
        <v>0.52814500366557338</v>
      </c>
      <c r="AG1013" s="72">
        <f t="shared" si="575"/>
        <v>0.48139182036677064</v>
      </c>
      <c r="AH1013" s="72">
        <f t="shared" si="576"/>
        <v>0.39519803934646547</v>
      </c>
      <c r="AI1013" s="72">
        <f t="shared" si="577"/>
        <v>2.6552094894561562E-2</v>
      </c>
      <c r="AJ1013" s="72">
        <f>(AV1013-Driver!$K$179)/(Driver!$L$179-Driver!$K$179)</f>
        <v>7.4772379340907247E-2</v>
      </c>
      <c r="AK1013" s="72">
        <f>(AW1013-Driver!$K$180)/(Driver!$L$180-Driver!$K$180)</f>
        <v>0.16519385977674514</v>
      </c>
      <c r="AL1013" s="72">
        <f>(AX1013-Driver!$K$181)/(Driver!$L$181-Driver!$K$181)</f>
        <v>0.45867324353380134</v>
      </c>
      <c r="AM1013" s="72">
        <f>(AY1013-Driver!$K$182)/(Driver!$L$182-Driver!$K$182)</f>
        <v>5.3969459369709059E-2</v>
      </c>
      <c r="AN1013" s="72">
        <f>(AZ1013-Driver!$K$183)/(Driver!$L$183-Driver!$K$183)</f>
        <v>0.14019607843137255</v>
      </c>
      <c r="AO1013" s="72"/>
      <c r="AP1013" s="72"/>
      <c r="AQ1013" s="72">
        <f>(BC1013-Driver!$K$188)/(Driver!$L$188-Driver!$K$188)</f>
        <v>2.475322801438249E-2</v>
      </c>
      <c r="AR1013" s="72">
        <f>MIN((BD1013-Driver!$K$189)/(Driver!$L$189-Driver!$K$189),100%)</f>
        <v>2.1854996334426714E-2</v>
      </c>
      <c r="AS1013" s="72">
        <f>(BE1013-Driver!$K$190)/(Driver!$L$190-Driver!$K$190)</f>
        <v>2.8608179633229352E-2</v>
      </c>
      <c r="AT1013" s="72">
        <f>(BF1013-Driver!$K$191)/(Driver!$L$191-Driver!$K$191)</f>
        <v>0.11480196065353454</v>
      </c>
      <c r="AU1013" s="72">
        <f>(BG1013-Driver!$K$192)/(Driver!$L$192-Driver!$K$192)</f>
        <v>0.27655209489456156</v>
      </c>
      <c r="AV1013" s="70">
        <f t="shared" si="578"/>
        <v>1.5737349070682403</v>
      </c>
      <c r="AW1013" s="70">
        <f t="shared" si="579"/>
        <v>17.971498023206262</v>
      </c>
      <c r="AX1013" s="70">
        <f t="shared" si="580"/>
        <v>5.128059191804212</v>
      </c>
      <c r="AY1013" s="70">
        <f>IFERROR(Driver!$K$19/Data!BH1013/Data!BI1013*Data!BK1013*Data!BL1013,"")</f>
        <v>6.6074721201007103E-2</v>
      </c>
      <c r="AZ1013" s="70">
        <f t="shared" si="581"/>
        <v>12.777364110201043</v>
      </c>
      <c r="BA1013" s="70"/>
      <c r="BB1013" s="70"/>
      <c r="BC1013" s="70">
        <f t="shared" si="582"/>
        <v>12.839671452709574</v>
      </c>
      <c r="BD1013" s="70">
        <f t="shared" si="583"/>
        <v>3.6549513349324512</v>
      </c>
      <c r="BE1013" s="70">
        <f t="shared" si="584"/>
        <v>2.8781465000502125E-2</v>
      </c>
      <c r="BF1013" s="70">
        <f t="shared" si="585"/>
        <v>12.966074926396752</v>
      </c>
      <c r="BG1013" s="70">
        <f t="shared" si="586"/>
        <v>1.0472026524347946</v>
      </c>
      <c r="BH1013" s="67">
        <f>MAX((CE1013-Driver!$F$200)/(Driver!$G$200-Driver!$F$200)*$BI$1,1)</f>
        <v>5.128059191804212</v>
      </c>
      <c r="BI1013" s="67">
        <f>MAX($BI$1*(BY1013-Driver!$F$201)/(Driver!$G$201-Driver!$F$201),1)</f>
        <v>6.5822784810126587</v>
      </c>
      <c r="BJ1013" s="67">
        <f>(CB1013-Driver!$F$206)/(Driver!$G$206-Driver!$F$206)*$BI$1</f>
        <v>4.6031746031746028</v>
      </c>
      <c r="BK1013" s="67">
        <f>(CD1013-Driver!$F$203)/(Driver!$G$203-Driver!$F$203)*$BI$1</f>
        <v>2.1559633027522933</v>
      </c>
      <c r="BL1013" s="67">
        <f>MAX((CR1013-Driver!$F$202)/(Driver!$G$202-Driver!$F$202)*$BI$1,1)</f>
        <v>5.1724137931034484</v>
      </c>
      <c r="BM1013" s="67">
        <f>MAX((CH1013-Driver!$F$204)/(Driver!$G$204-Driver!$F$204)*$BI$1,1)</f>
        <v>1.3675213675213675</v>
      </c>
      <c r="BN1013" s="67">
        <f>(CI1013-Driver!$F$205)/(Driver!$G$205-Driver!$F$205)*$BI$1</f>
        <v>1.9411764705882353</v>
      </c>
      <c r="BO1013" s="67">
        <f>(CK1013-Driver!$F$207)/(Driver!$G$207-Driver!$F$207)*$BI$1</f>
        <v>1.8717683557394003</v>
      </c>
      <c r="BP1013" s="67">
        <f>(CM1013-Driver!$F$208)/(Driver!$G$208-Driver!$F$208)*$BI$1</f>
        <v>3.2444444444444445</v>
      </c>
      <c r="BQ1013" s="67">
        <f>(CL1013-Driver!$F$209)/(Driver!$G$209-Driver!$F$209)*$BI$1</f>
        <v>7.34375</v>
      </c>
      <c r="BR1013" s="28" t="s">
        <v>155</v>
      </c>
      <c r="BS1013" s="8" t="s">
        <v>182</v>
      </c>
      <c r="BT1013" s="9" t="s">
        <v>842</v>
      </c>
      <c r="BU1013" s="10">
        <v>172</v>
      </c>
      <c r="BV1013" s="9" t="s">
        <v>158</v>
      </c>
      <c r="BW1013" s="10">
        <v>172</v>
      </c>
      <c r="BX1013" s="10">
        <v>170.2</v>
      </c>
      <c r="BY1013" s="10">
        <v>112</v>
      </c>
      <c r="BZ1013" s="10">
        <v>127</v>
      </c>
      <c r="CA1013" s="10">
        <v>120</v>
      </c>
      <c r="CB1013" s="10">
        <v>93</v>
      </c>
      <c r="CC1013" s="10">
        <v>116</v>
      </c>
      <c r="CD1013" s="10">
        <v>14.1</v>
      </c>
      <c r="CE1013" s="10">
        <v>1801</v>
      </c>
      <c r="CF1013" s="10">
        <v>0.99</v>
      </c>
      <c r="CG1013" s="10">
        <v>1789</v>
      </c>
      <c r="CH1013" s="10">
        <v>133</v>
      </c>
      <c r="CI1013" s="10">
        <v>66</v>
      </c>
      <c r="CJ1013" s="10">
        <v>50</v>
      </c>
      <c r="CK1013" s="10">
        <v>291</v>
      </c>
      <c r="CL1013" s="10">
        <v>47</v>
      </c>
      <c r="CM1013" s="10">
        <v>292</v>
      </c>
      <c r="CN1013" s="10">
        <v>0.93799999999999994</v>
      </c>
      <c r="CO1013" s="10">
        <v>227</v>
      </c>
      <c r="CP1013" s="10">
        <v>207</v>
      </c>
      <c r="CQ1013" s="10">
        <v>64</v>
      </c>
      <c r="CR1013" s="10">
        <v>4</v>
      </c>
      <c r="CS1013" s="10">
        <v>0.2</v>
      </c>
      <c r="CT1013" s="9" t="s">
        <v>184</v>
      </c>
      <c r="CU1013" s="10"/>
      <c r="CV1013" s="10"/>
      <c r="CW1013" s="10"/>
      <c r="CX1013" t="str">
        <f>INDEX('Data_Price '!AG$2:AG$1266,MATCH(Data!$DN1013,'Data_Price '!$AT$2:$AT$1266,0))</f>
        <v>Armada Bdog Edgeless Skis 2021</v>
      </c>
      <c r="CY1013" t="str">
        <f>INDEX('Data_Price '!AH$2:AH$1266,MATCH(Data!$DN1013,'Data_Price '!$AT$2:$AT$1266,0))</f>
        <v>Powder7 Ski Shop</v>
      </c>
      <c r="CZ1013">
        <f>INDEX('Data_Price '!AI$2:AI$1266,MATCH(Data!$DN1013,'Data_Price '!$AT$2:$AT$1266,0))</f>
        <v>419.95</v>
      </c>
      <c r="DA1013" t="str">
        <f>INDEX('Data_Price '!AJ$2:AJ$1266,MATCH(Data!$DN1013,'Data_Price '!$AT$2:$AT$1266,0))</f>
        <v>https://tinyurl.com/ya8wcaw6</v>
      </c>
      <c r="DB1013" t="str">
        <f>INDEX('Data_Price '!AK$2:AK$1266,MATCH(Data!$DN1013,'Data_Price '!$AT$2:$AT$1266,0))</f>
        <v>Armada Bdog Skis 2022</v>
      </c>
      <c r="DC1013" t="str">
        <f>INDEX('Data_Price '!AL$2:AL$1266,MATCH(Data!$DN1013,'Data_Price '!$AT$2:$AT$1266,0))</f>
        <v>Gear West Ski &amp; Bike</v>
      </c>
      <c r="DD1013">
        <f>INDEX('Data_Price '!AM$2:AM$1266,MATCH(Data!$DN1013,'Data_Price '!$AT$2:$AT$1266,0))</f>
        <v>549.95000000000005</v>
      </c>
      <c r="DE1013" t="str">
        <f>INDEX('Data_Price '!AN$2:AN$1266,MATCH(Data!$DN1013,'Data_Price '!$AT$2:$AT$1266,0))</f>
        <v>https://tinyurl.com/y82vmdao</v>
      </c>
      <c r="DF1013" t="str">
        <f>INDEX('Data_Price '!AO$2:AO$1266,MATCH(Data!$DN1013,'Data_Price '!$AT$2:$AT$1266,0))</f>
        <v>2020 Armada Tracer 88 Skis 172</v>
      </c>
      <c r="DG1013" t="str">
        <f>INDEX('Data_Price '!AP$2:AP$1266,MATCH(Data!$DN1013,'Data_Price '!$AT$2:$AT$1266,0))</f>
        <v>SkiYard</v>
      </c>
      <c r="DH1013">
        <f>INDEX('Data_Price '!AQ$2:AQ$1266,MATCH(Data!$DN1013,'Data_Price '!$AT$2:$AT$1266,0))</f>
        <v>379.99</v>
      </c>
      <c r="DI1013" t="str">
        <f>INDEX('Data_Price '!AR$2:AR$1266,MATCH(Data!$DN1013,'Data_Price '!$AT$2:$AT$1266,0))</f>
        <v>https://tinyurl.com/y8mjzne6</v>
      </c>
      <c r="DJ1013" s="89" t="str">
        <f t="shared" si="587"/>
        <v>https://tinyurl.com/ya8wcaw6</v>
      </c>
      <c r="DK1013" s="89" t="str">
        <f t="shared" si="588"/>
        <v>https://tinyurl.com/y82vmdao</v>
      </c>
      <c r="DL1013" s="89" t="str">
        <f t="shared" si="589"/>
        <v>https://tinyurl.com/y8mjzne6</v>
      </c>
      <c r="DM1013" s="219" t="str">
        <f t="shared" si="590"/>
        <v>Bdog Edgeless</v>
      </c>
      <c r="DN1013" s="89" t="str">
        <f t="shared" si="591"/>
        <v xml:space="preserve"> ArmadaBdog Edgeless172 Unisex</v>
      </c>
      <c r="DO1013" s="221" t="s">
        <v>744</v>
      </c>
    </row>
    <row r="1014" spans="2:119" ht="15.6" customHeight="1">
      <c r="B1014" s="219" t="b">
        <f t="array" ref="B1014">IF(OR(ISERROR(K1014:P1014)),FALSE,TRUE)</f>
        <v>1</v>
      </c>
      <c r="C1014" s="43" t="b">
        <f>OR(BR1014=Driver!$G$50,Data!BR171=Driver!$H$50)</f>
        <v>1</v>
      </c>
      <c r="D1014" s="43" t="b">
        <f>OR(BV1014=Driver!$G$51,BV1014=Driver!$H$51)</f>
        <v>1</v>
      </c>
      <c r="E1014" s="43" t="b">
        <f>AND(BX1014&gt;Driver!$F$54,BX1014&lt;Driver!$G$54)</f>
        <v>0</v>
      </c>
      <c r="F1014" s="43" t="b">
        <f>CL1014&gt;Driver!$F$56</f>
        <v>1</v>
      </c>
      <c r="G1014" s="43" t="b">
        <f>AND(CB1014&gt;Driver!$F$55,CB1014&lt;Driver!$G$55)</f>
        <v>0</v>
      </c>
      <c r="H1014" s="43" t="b">
        <f t="shared" si="555"/>
        <v>0</v>
      </c>
      <c r="I1014" s="43">
        <f t="shared" si="556"/>
        <v>0</v>
      </c>
      <c r="J1014" s="43" t="b">
        <f t="array" ref="J1014">NOT(OR(($H$9:$H$1273=TRUE)*($I$9:$I$1273&gt;0)*($BT$9:$BT$1273=BT1014)*($K$9:$K$1273&gt;K1014)))</f>
        <v>1</v>
      </c>
      <c r="K1014" s="72">
        <f t="shared" si="557"/>
        <v>0.78175033177176689</v>
      </c>
      <c r="L1014" s="72">
        <f t="shared" si="558"/>
        <v>0.92942688652063454</v>
      </c>
      <c r="M1014" s="72">
        <f t="shared" si="559"/>
        <v>0.63407377702289924</v>
      </c>
      <c r="N1014" s="72">
        <f t="shared" si="560"/>
        <v>0.65566234159204062</v>
      </c>
      <c r="O1014" s="72">
        <f t="shared" si="561"/>
        <v>0.65900624686062337</v>
      </c>
      <c r="P1014" s="72">
        <f t="shared" si="562"/>
        <v>0.58755274261603385</v>
      </c>
      <c r="Q1014" s="72"/>
      <c r="R1014" s="72"/>
      <c r="S1014" s="72">
        <f t="shared" si="563"/>
        <v>0.62543298837649897</v>
      </c>
      <c r="T1014" s="72">
        <f t="shared" si="564"/>
        <v>0.52029061520427211</v>
      </c>
      <c r="U1014" s="72">
        <f t="shared" si="565"/>
        <v>0.63979766720952658</v>
      </c>
      <c r="V1014" s="72">
        <f t="shared" si="566"/>
        <v>0.53186547806060269</v>
      </c>
      <c r="W1014" s="72">
        <f t="shared" si="567"/>
        <v>0.76939506283735781</v>
      </c>
      <c r="X1014" s="72">
        <f t="shared" si="568"/>
        <v>7.0573113479365457E-2</v>
      </c>
      <c r="Y1014" s="72">
        <f t="shared" si="569"/>
        <v>0.36592622297710076</v>
      </c>
      <c r="Z1014" s="72">
        <f t="shared" si="570"/>
        <v>0.34433765840795943</v>
      </c>
      <c r="AA1014" s="72">
        <f t="shared" si="571"/>
        <v>0.34099375313937663</v>
      </c>
      <c r="AB1014" s="72">
        <f t="shared" si="572"/>
        <v>0.4124472573839662</v>
      </c>
      <c r="AC1014" s="72"/>
      <c r="AD1014" s="72"/>
      <c r="AE1014" s="72">
        <f t="shared" si="573"/>
        <v>0.37456701162350103</v>
      </c>
      <c r="AF1014" s="72">
        <f t="shared" si="574"/>
        <v>0.47970938479572794</v>
      </c>
      <c r="AG1014" s="72">
        <f t="shared" si="575"/>
        <v>0.36020233279047342</v>
      </c>
      <c r="AH1014" s="72">
        <f t="shared" si="576"/>
        <v>0.46813452193939731</v>
      </c>
      <c r="AI1014" s="72">
        <f t="shared" si="577"/>
        <v>0.23060493716264219</v>
      </c>
      <c r="AJ1014" s="72">
        <f>(AV1014-Driver!$K$179)/(Driver!$L$179-Driver!$K$179)</f>
        <v>0.32479252276206588</v>
      </c>
      <c r="AK1014" s="72">
        <f>(AW1014-Driver!$K$180)/(Driver!$L$180-Driver!$K$180)</f>
        <v>0.65701654946866495</v>
      </c>
      <c r="AL1014" s="72">
        <f>(AX1014-Driver!$K$181)/(Driver!$L$181-Driver!$K$181)</f>
        <v>0.44602542212103963</v>
      </c>
      <c r="AM1014" s="72">
        <f>(AY1014-Driver!$K$182)/(Driver!$L$182-Driver!$K$182)</f>
        <v>0.10639126795766976</v>
      </c>
      <c r="AN1014" s="72">
        <f>(AZ1014-Driver!$K$183)/(Driver!$L$183-Driver!$K$183)</f>
        <v>0.66666666666666663</v>
      </c>
      <c r="AO1014" s="72"/>
      <c r="AP1014" s="72"/>
      <c r="AQ1014" s="72">
        <f>(BC1014-Driver!$K$188)/(Driver!$L$188-Driver!$K$188)</f>
        <v>0.24543298837649893</v>
      </c>
      <c r="AR1014" s="72">
        <f>MIN((BD1014-Driver!$K$189)/(Driver!$L$189-Driver!$K$189),100%)</f>
        <v>7.0290615204272114E-2</v>
      </c>
      <c r="AS1014" s="72">
        <f>(BE1014-Driver!$K$190)/(Driver!$L$190-Driver!$K$190)</f>
        <v>0.14979766720952656</v>
      </c>
      <c r="AT1014" s="72">
        <f>(BF1014-Driver!$K$191)/(Driver!$L$191-Driver!$K$191)</f>
        <v>4.1865478060602715E-2</v>
      </c>
      <c r="AU1014" s="72">
        <f>(BG1014-Driver!$K$192)/(Driver!$L$192-Driver!$K$192)</f>
        <v>1.9395062837357809E-2</v>
      </c>
      <c r="AV1014" s="70">
        <f t="shared" si="578"/>
        <v>6.835911002577669</v>
      </c>
      <c r="AW1014" s="70">
        <f t="shared" si="579"/>
        <v>65.903977126046158</v>
      </c>
      <c r="AX1014" s="70">
        <f t="shared" si="580"/>
        <v>5.0142287990893566</v>
      </c>
      <c r="AY1014" s="70">
        <f>IFERROR(Driver!$K$19/Data!BH1014/Data!BI1014*Data!BK1014*Data!BL1014,"")</f>
        <v>0.13025465607072961</v>
      </c>
      <c r="AZ1014" s="70">
        <f t="shared" si="581"/>
        <v>60.759493670886073</v>
      </c>
      <c r="BA1014" s="70"/>
      <c r="BB1014" s="70"/>
      <c r="BC1014" s="70">
        <f t="shared" si="582"/>
        <v>127.30779729334415</v>
      </c>
      <c r="BD1014" s="70">
        <f t="shared" si="583"/>
        <v>7.9414177820755363</v>
      </c>
      <c r="BE1014" s="70">
        <f t="shared" si="584"/>
        <v>0.14994933373626149</v>
      </c>
      <c r="BF1014" s="70">
        <f t="shared" si="585"/>
        <v>4.7284116253155766</v>
      </c>
      <c r="BG1014" s="70">
        <f t="shared" si="586"/>
        <v>7.3442080614736366E-2</v>
      </c>
      <c r="BH1014" s="67">
        <f>MAX((CE1014-Driver!$F$200)/(Driver!$G$200-Driver!$F$200)*$BI$1,1)</f>
        <v>5.0142287990893566</v>
      </c>
      <c r="BI1014" s="67">
        <f>MAX($BI$1*(BY1014-Driver!$F$201)/(Driver!$G$201-Driver!$F$201),1)</f>
        <v>7.5949367088607591</v>
      </c>
      <c r="BJ1014" s="67">
        <f>(CB1014-Driver!$F$206)/(Driver!$G$206-Driver!$F$206)*$BI$1</f>
        <v>4.6031746031746028</v>
      </c>
      <c r="BK1014" s="67">
        <f>(CD1014-Driver!$F$203)/(Driver!$G$203-Driver!$F$203)*$BI$1</f>
        <v>4.4954128440366974</v>
      </c>
      <c r="BL1014" s="67">
        <f>MAX((CR1014-Driver!$F$202)/(Driver!$G$202-Driver!$F$202)*$BI$1,1)</f>
        <v>5.5172413793103452</v>
      </c>
      <c r="BM1014" s="67">
        <f>MAX((CH1014-Driver!$F$204)/(Driver!$G$204-Driver!$F$204)*$BI$1,1)</f>
        <v>5.9401709401709404</v>
      </c>
      <c r="BN1014" s="67">
        <f>(CI1014-Driver!$F$205)/(Driver!$G$205-Driver!$F$205)*$BI$1</f>
        <v>8</v>
      </c>
      <c r="BO1014" s="67">
        <f>(CK1014-Driver!$F$207)/(Driver!$G$207-Driver!$F$207)*$BI$1</f>
        <v>2.1096173733195451</v>
      </c>
      <c r="BP1014" s="67">
        <f>(CM1014-Driver!$F$208)/(Driver!$G$208-Driver!$F$208)*$BI$1</f>
        <v>2.1888888888888887</v>
      </c>
      <c r="BQ1014" s="67">
        <f>(CL1014-Driver!$F$209)/(Driver!$G$209-Driver!$F$209)*$BI$1</f>
        <v>2.1875</v>
      </c>
      <c r="BR1014" s="28" t="s">
        <v>155</v>
      </c>
      <c r="BS1014" s="8" t="s">
        <v>156</v>
      </c>
      <c r="BT1014" s="9" t="s">
        <v>611</v>
      </c>
      <c r="BU1014" s="10">
        <v>180</v>
      </c>
      <c r="BV1014" s="9" t="s">
        <v>158</v>
      </c>
      <c r="BW1014" s="10">
        <v>180</v>
      </c>
      <c r="BX1014" s="10">
        <v>179.1</v>
      </c>
      <c r="BY1014" s="10">
        <v>128</v>
      </c>
      <c r="BZ1014" s="10">
        <v>148</v>
      </c>
      <c r="CA1014" s="10">
        <v>128</v>
      </c>
      <c r="CB1014" s="10">
        <v>93</v>
      </c>
      <c r="CC1014" s="10">
        <v>112</v>
      </c>
      <c r="CD1014" s="10">
        <v>19.2</v>
      </c>
      <c r="CE1014" s="10">
        <v>1781</v>
      </c>
      <c r="CF1014" s="10">
        <v>1.05</v>
      </c>
      <c r="CG1014" s="10">
        <v>1863</v>
      </c>
      <c r="CH1014" s="10">
        <v>240</v>
      </c>
      <c r="CI1014" s="10">
        <v>169</v>
      </c>
      <c r="CJ1014" s="10">
        <v>55</v>
      </c>
      <c r="CK1014" s="10">
        <v>314</v>
      </c>
      <c r="CL1014" s="10">
        <v>14</v>
      </c>
      <c r="CM1014" s="10">
        <v>197</v>
      </c>
      <c r="CN1014" s="10">
        <v>0.254</v>
      </c>
      <c r="CO1014" s="10">
        <v>169</v>
      </c>
      <c r="CP1014" s="10">
        <v>142</v>
      </c>
      <c r="CQ1014" s="10">
        <v>145</v>
      </c>
      <c r="CR1014" s="10">
        <v>5</v>
      </c>
      <c r="CS1014" s="10">
        <v>9</v>
      </c>
      <c r="CT1014" s="9" t="s">
        <v>188</v>
      </c>
      <c r="CU1014" s="10"/>
      <c r="CV1014" s="10"/>
      <c r="CW1014" s="10"/>
      <c r="CX1014" t="str">
        <f>INDEX('Data_Price '!AG$2:AG$1266,MATCH(Data!$DN1014,'Data_Price '!$AT$2:$AT$1266,0))</f>
        <v>Atomic Maverick 95 Ti Skis</v>
      </c>
      <c r="CY1014" t="str">
        <f>INDEX('Data_Price '!AH$2:AH$1266,MATCH(Data!$DN1014,'Data_Price '!$AT$2:$AT$1266,0))</f>
        <v>REI</v>
      </c>
      <c r="CZ1014">
        <f>INDEX('Data_Price '!AI$2:AI$1266,MATCH(Data!$DN1014,'Data_Price '!$AT$2:$AT$1266,0))</f>
        <v>559.92999999999995</v>
      </c>
      <c r="DA1014" t="str">
        <f>INDEX('Data_Price '!AJ$2:AJ$1266,MATCH(Data!$DN1014,'Data_Price '!$AT$2:$AT$1266,0))</f>
        <v>https://tinyurl.com/y7x9jvnl</v>
      </c>
      <c r="DB1014" t="str">
        <f>INDEX('Data_Price '!AK$2:AK$1266,MATCH(Data!$DN1014,'Data_Price '!$AT$2:$AT$1266,0))</f>
        <v>Atomic Maverick 95 Ti Skis</v>
      </c>
      <c r="DC1014" t="str">
        <f>INDEX('Data_Price '!AL$2:AL$1266,MATCH(Data!$DN1014,'Data_Price '!$AT$2:$AT$1266,0))</f>
        <v>evo.com</v>
      </c>
      <c r="DD1014">
        <f>INDEX('Data_Price '!AM$2:AM$1266,MATCH(Data!$DN1014,'Data_Price '!$AT$2:$AT$1266,0))</f>
        <v>559.98</v>
      </c>
      <c r="DE1014" t="str">
        <f>INDEX('Data_Price '!AN$2:AN$1266,MATCH(Data!$DN1014,'Data_Price '!$AT$2:$AT$1266,0))</f>
        <v>https://tinyurl.com/y72sg25z</v>
      </c>
      <c r="DF1014" t="str">
        <f>INDEX('Data_Price '!AO$2:AO$1266,MATCH(Data!$DN1014,'Data_Price '!$AT$2:$AT$1266,0))</f>
        <v>Atomic Maverick 95 Ti Skis</v>
      </c>
      <c r="DG1014" t="str">
        <f>INDEX('Data_Price '!AP$2:AP$1266,MATCH(Data!$DN1014,'Data_Price '!$AT$2:$AT$1266,0))</f>
        <v>SkiEssentials.com</v>
      </c>
      <c r="DH1014">
        <f>INDEX('Data_Price '!AQ$2:AQ$1266,MATCH(Data!$DN1014,'Data_Price '!$AT$2:$AT$1266,0))</f>
        <v>559.99</v>
      </c>
      <c r="DI1014" t="str">
        <f>INDEX('Data_Price '!AR$2:AR$1266,MATCH(Data!$DN1014,'Data_Price '!$AT$2:$AT$1266,0))</f>
        <v>https://tinyurl.com/yca6j2ef</v>
      </c>
      <c r="DJ1014" s="89" t="str">
        <f t="shared" si="587"/>
        <v>https://tinyurl.com/y7x9jvnl</v>
      </c>
      <c r="DK1014" s="89" t="str">
        <f t="shared" si="588"/>
        <v>https://tinyurl.com/y72sg25z</v>
      </c>
      <c r="DL1014" s="89" t="str">
        <f t="shared" si="589"/>
        <v>https://tinyurl.com/yca6j2ef</v>
      </c>
      <c r="DM1014" s="219" t="str">
        <f t="shared" si="590"/>
        <v>Maverick 95 Ti</v>
      </c>
      <c r="DN1014" s="89" t="str">
        <f t="shared" si="591"/>
        <v xml:space="preserve"> AtomicMaverick 95 Ti180 Unisex</v>
      </c>
      <c r="DO1014" s="221" t="s">
        <v>612</v>
      </c>
    </row>
    <row r="1015" spans="2:119" ht="15.6" customHeight="1">
      <c r="B1015" s="219" t="b">
        <f t="array" ref="B1015">IF(OR(ISERROR(K1015:P1015)),FALSE,TRUE)</f>
        <v>1</v>
      </c>
      <c r="C1015" s="43" t="b">
        <f>OR(BR1015=Driver!$G$50,Data!BR344=Driver!$H$50)</f>
        <v>1</v>
      </c>
      <c r="D1015" s="43" t="b">
        <f>OR(BV1015=Driver!$G$51,BV1015=Driver!$H$51)</f>
        <v>1</v>
      </c>
      <c r="E1015" s="43" t="b">
        <f>AND(BX1015&gt;Driver!$F$54,BX1015&lt;Driver!$G$54)</f>
        <v>0</v>
      </c>
      <c r="F1015" s="43" t="b">
        <f>CL1015&gt;Driver!$F$56</f>
        <v>1</v>
      </c>
      <c r="G1015" s="43" t="b">
        <f>AND(CB1015&gt;Driver!$F$55,CB1015&lt;Driver!$G$55)</f>
        <v>0</v>
      </c>
      <c r="H1015" s="43" t="b">
        <f t="shared" si="555"/>
        <v>0</v>
      </c>
      <c r="I1015" s="43">
        <f t="shared" si="556"/>
        <v>0</v>
      </c>
      <c r="J1015" s="43" t="b">
        <f t="array" ref="J1015">NOT(OR(($H$9:$H$1273=TRUE)*($I$9:$I$1273&gt;0)*($BT$9:$BT$1273=BT1015)*($K$9:$K$1273&gt;K1015)))</f>
        <v>1</v>
      </c>
      <c r="K1015" s="72">
        <f t="shared" si="557"/>
        <v>0.63089878293247548</v>
      </c>
      <c r="L1015" s="72">
        <f t="shared" si="558"/>
        <v>0.61220829011422095</v>
      </c>
      <c r="M1015" s="72">
        <f t="shared" si="559"/>
        <v>0.64958927575073</v>
      </c>
      <c r="N1015" s="72">
        <f t="shared" si="560"/>
        <v>0.47796045074273941</v>
      </c>
      <c r="O1015" s="72">
        <f t="shared" si="561"/>
        <v>0.60854058160583513</v>
      </c>
      <c r="P1015" s="72">
        <f t="shared" si="562"/>
        <v>0.86226679490361557</v>
      </c>
      <c r="Q1015" s="72"/>
      <c r="R1015" s="72"/>
      <c r="S1015" s="72">
        <f t="shared" si="563"/>
        <v>0.44981357849561765</v>
      </c>
      <c r="T1015" s="72">
        <f t="shared" si="564"/>
        <v>0.55917609826497627</v>
      </c>
      <c r="U1015" s="72">
        <f t="shared" si="565"/>
        <v>0.50578260194142488</v>
      </c>
      <c r="V1015" s="72">
        <f t="shared" si="566"/>
        <v>0.76486274033918744</v>
      </c>
      <c r="W1015" s="72">
        <f t="shared" si="567"/>
        <v>0.77990326192895509</v>
      </c>
      <c r="X1015" s="72">
        <f t="shared" si="568"/>
        <v>0.3877917098857791</v>
      </c>
      <c r="Y1015" s="72">
        <f t="shared" si="569"/>
        <v>0.35041072424926994</v>
      </c>
      <c r="Z1015" s="72">
        <f t="shared" si="570"/>
        <v>0.52203954925726059</v>
      </c>
      <c r="AA1015" s="72">
        <f t="shared" si="571"/>
        <v>0.39145941839416482</v>
      </c>
      <c r="AB1015" s="72">
        <f t="shared" si="572"/>
        <v>0.13773320509638448</v>
      </c>
      <c r="AC1015" s="72"/>
      <c r="AD1015" s="72"/>
      <c r="AE1015" s="72">
        <f t="shared" si="573"/>
        <v>0.55018642150438235</v>
      </c>
      <c r="AF1015" s="72">
        <f t="shared" si="574"/>
        <v>0.44082390173502373</v>
      </c>
      <c r="AG1015" s="72">
        <f t="shared" si="575"/>
        <v>0.49421739805857506</v>
      </c>
      <c r="AH1015" s="72">
        <f t="shared" si="576"/>
        <v>0.23513725966081256</v>
      </c>
      <c r="AI1015" s="72">
        <f t="shared" si="577"/>
        <v>0.22009673807104493</v>
      </c>
      <c r="AJ1015" s="72">
        <f>(AV1015-Driver!$K$179)/(Driver!$L$179-Driver!$K$179)</f>
        <v>0.64201111916847953</v>
      </c>
      <c r="AK1015" s="72">
        <f>(AW1015-Driver!$K$180)/(Driver!$L$180-Driver!$K$180)</f>
        <v>0.41589226504049892</v>
      </c>
      <c r="AL1015" s="72">
        <f>(AX1015-Driver!$K$181)/(Driver!$L$181-Driver!$K$181)</f>
        <v>0.62372731297034079</v>
      </c>
      <c r="AM1015" s="72">
        <f>(AY1015-Driver!$K$182)/(Driver!$L$182-Driver!$K$182)</f>
        <v>5.5925602702881543E-2</v>
      </c>
      <c r="AN1015" s="72">
        <f>(AZ1015-Driver!$K$183)/(Driver!$L$183-Driver!$K$183)</f>
        <v>0.39195261437908491</v>
      </c>
      <c r="AO1015" s="72"/>
      <c r="AP1015" s="72"/>
      <c r="AQ1015" s="72">
        <f>(BC1015-Driver!$K$188)/(Driver!$L$188-Driver!$K$188)</f>
        <v>6.981357849561759E-2</v>
      </c>
      <c r="AR1015" s="72">
        <f>MIN((BD1015-Driver!$K$189)/(Driver!$L$189-Driver!$K$189),100%)</f>
        <v>0.1091760982649763</v>
      </c>
      <c r="AS1015" s="72">
        <f>(BE1015-Driver!$K$190)/(Driver!$L$190-Driver!$K$190)</f>
        <v>1.5782601941424966E-2</v>
      </c>
      <c r="AT1015" s="72">
        <f>(BF1015-Driver!$K$191)/(Driver!$L$191-Driver!$K$191)</f>
        <v>0.27486274033918745</v>
      </c>
      <c r="AU1015" s="72">
        <f>(BG1015-Driver!$K$192)/(Driver!$L$192-Driver!$K$192)</f>
        <v>2.9903261928955063E-2</v>
      </c>
      <c r="AV1015" s="70">
        <f t="shared" si="578"/>
        <v>13.512413512413513</v>
      </c>
      <c r="AW1015" s="70">
        <f t="shared" si="579"/>
        <v>42.404279030010606</v>
      </c>
      <c r="AX1015" s="70">
        <f t="shared" si="580"/>
        <v>6.6135458167330672</v>
      </c>
      <c r="AY1015" s="70">
        <f>IFERROR(Driver!$K$19/Data!BH1015/Data!BI1015*Data!BK1015*Data!BL1015,"")</f>
        <v>6.8469624297648538E-2</v>
      </c>
      <c r="AZ1015" s="70">
        <f t="shared" si="581"/>
        <v>35.722263588979892</v>
      </c>
      <c r="BA1015" s="70"/>
      <c r="BB1015" s="70"/>
      <c r="BC1015" s="70">
        <f t="shared" si="582"/>
        <v>36.212788501800652</v>
      </c>
      <c r="BD1015" s="70">
        <f t="shared" si="583"/>
        <v>11.38271413194896</v>
      </c>
      <c r="BE1015" s="70">
        <f t="shared" si="584"/>
        <v>1.5958175247399932E-2</v>
      </c>
      <c r="BF1015" s="70">
        <f t="shared" si="585"/>
        <v>31.043815501272221</v>
      </c>
      <c r="BG1015" s="70">
        <f t="shared" si="586"/>
        <v>0.11323282588184062</v>
      </c>
      <c r="BH1015" s="67">
        <f>MAX((CE1015-Driver!$F$200)/(Driver!$G$200-Driver!$F$200)*$BI$1,1)</f>
        <v>6.6135458167330672</v>
      </c>
      <c r="BI1015" s="67">
        <f>MAX($BI$1*(BY1015-Driver!$F$201)/(Driver!$G$201-Driver!$F$201),1)</f>
        <v>6.3924050632911396</v>
      </c>
      <c r="BJ1015" s="67">
        <f>(CB1015-Driver!$F$206)/(Driver!$G$206-Driver!$F$206)*$BI$1</f>
        <v>7.6190476190476186</v>
      </c>
      <c r="BK1015" s="67">
        <f>(CD1015-Driver!$F$203)/(Driver!$G$203-Driver!$F$203)*$BI$1</f>
        <v>2.7981651376146792</v>
      </c>
      <c r="BL1015" s="67">
        <f>MAX((CR1015-Driver!$F$202)/(Driver!$G$202-Driver!$F$202)*$BI$1,1)</f>
        <v>5.1724137931034484</v>
      </c>
      <c r="BM1015" s="67">
        <f>MAX((CH1015-Driver!$F$204)/(Driver!$G$204-Driver!$F$204)*$BI$1,1)</f>
        <v>7.0940170940170946</v>
      </c>
      <c r="BN1015" s="67">
        <f>(CI1015-Driver!$F$205)/(Driver!$G$205-Driver!$F$205)*$BI$1</f>
        <v>5.5882352941176467</v>
      </c>
      <c r="BO1015" s="67">
        <f>(CK1015-Driver!$F$207)/(Driver!$G$207-Driver!$F$207)*$BI$1</f>
        <v>3.2471561530506721</v>
      </c>
      <c r="BP1015" s="67">
        <f>(CM1015-Driver!$F$208)/(Driver!$G$208-Driver!$F$208)*$BI$1</f>
        <v>3.5111111111111111</v>
      </c>
      <c r="BQ1015" s="67">
        <f>(CL1015-Driver!$F$209)/(Driver!$G$209-Driver!$F$209)*$BI$1</f>
        <v>5.3125</v>
      </c>
      <c r="BR1015" s="28" t="s">
        <v>155</v>
      </c>
      <c r="BS1015" s="8" t="s">
        <v>218</v>
      </c>
      <c r="BT1015" s="9" t="s">
        <v>273</v>
      </c>
      <c r="BU1015" s="10">
        <v>184</v>
      </c>
      <c r="BV1015" s="9" t="s">
        <v>158</v>
      </c>
      <c r="BW1015" s="10">
        <v>184</v>
      </c>
      <c r="BX1015" s="10">
        <v>182.6</v>
      </c>
      <c r="BY1015" s="10">
        <v>109</v>
      </c>
      <c r="BZ1015" s="10">
        <v>125</v>
      </c>
      <c r="CA1015" s="10">
        <v>140</v>
      </c>
      <c r="CB1015" s="10">
        <v>112</v>
      </c>
      <c r="CC1015" s="10">
        <v>127</v>
      </c>
      <c r="CD1015" s="10">
        <v>15.5</v>
      </c>
      <c r="CE1015" s="10">
        <v>2062</v>
      </c>
      <c r="CF1015" s="10">
        <v>1.07</v>
      </c>
      <c r="CG1015" s="10">
        <v>2207</v>
      </c>
      <c r="CH1015" s="10">
        <v>267</v>
      </c>
      <c r="CI1015" s="10">
        <v>128</v>
      </c>
      <c r="CJ1015" s="10">
        <v>77</v>
      </c>
      <c r="CK1015" s="10">
        <v>424</v>
      </c>
      <c r="CL1015" s="10">
        <v>34</v>
      </c>
      <c r="CM1015" s="10">
        <v>316</v>
      </c>
      <c r="CN1015" s="10">
        <v>0.44400000000000001</v>
      </c>
      <c r="CO1015" s="10">
        <v>310</v>
      </c>
      <c r="CP1015" s="10">
        <v>270</v>
      </c>
      <c r="CQ1015" s="10">
        <v>114</v>
      </c>
      <c r="CR1015" s="10">
        <v>4</v>
      </c>
      <c r="CS1015" s="10">
        <v>13.5</v>
      </c>
      <c r="CT1015" s="9" t="s">
        <v>169</v>
      </c>
      <c r="CU1015" s="9" t="s">
        <v>185</v>
      </c>
      <c r="CV1015" s="10"/>
      <c r="CW1015" s="10"/>
      <c r="CX1015" t="str">
        <f>INDEX('Data_Price '!AG$2:AG$1266,MATCH(Data!$DN1015,'Data_Price '!$AT$2:$AT$1266,0))</f>
        <v>DPS Pagoda 112 RP Light Green Skis 184cm 2022</v>
      </c>
      <c r="CY1015" t="str">
        <f>INDEX('Data_Price '!AH$2:AH$1266,MATCH(Data!$DN1015,'Data_Price '!$AT$2:$AT$1266,0))</f>
        <v>Telemark Pyrenees</v>
      </c>
      <c r="CZ1015">
        <f>INDEX('Data_Price '!AI$2:AI$1266,MATCH(Data!$DN1015,'Data_Price '!$AT$2:$AT$1266,0))</f>
        <v>1008.42</v>
      </c>
      <c r="DA1015" t="str">
        <f>INDEX('Data_Price '!AJ$2:AJ$1266,MATCH(Data!$DN1015,'Data_Price '!$AT$2:$AT$1266,0))</f>
        <v>https://tinyurl.com/ycnx77uv</v>
      </c>
      <c r="DB1015" t="str">
        <f>INDEX('Data_Price '!AK$2:AK$1266,MATCH(Data!$DN1015,'Data_Price '!$AT$2:$AT$1266,0))</f>
        <v>DPS Pagoda 112 RP Ski 184 / Yellow</v>
      </c>
      <c r="DC1015" t="str">
        <f>INDEX('Data_Price '!AL$2:AL$1266,MATCH(Data!$DN1015,'Data_Price '!$AT$2:$AT$1266,0))</f>
        <v>Cripple Creek Backcountry</v>
      </c>
      <c r="DD1015">
        <f>INDEX('Data_Price '!AM$2:AM$1266,MATCH(Data!$DN1015,'Data_Price '!$AT$2:$AT$1266,0))</f>
        <v>1029</v>
      </c>
      <c r="DE1015" t="str">
        <f>INDEX('Data_Price '!AN$2:AN$1266,MATCH(Data!$DN1015,'Data_Price '!$AT$2:$AT$1266,0))</f>
        <v>https://tinyurl.com/y8anspnp</v>
      </c>
      <c r="DF1015" t="str">
        <f>INDEX('Data_Price '!AO$2:AO$1266,MATCH(Data!$DN1015,'Data_Price '!$AT$2:$AT$1266,0))</f>
        <v>DPS Pagoda 112 RP Light Green Skis 184cm 2022</v>
      </c>
      <c r="DG1015" t="str">
        <f>INDEX('Data_Price '!AP$2:AP$1266,MATCH(Data!$DN1015,'Data_Price '!$AT$2:$AT$1266,0))</f>
        <v>Powder7 Ski Shop</v>
      </c>
      <c r="DH1015">
        <f>INDEX('Data_Price '!AQ$2:AQ$1266,MATCH(Data!$DN1015,'Data_Price '!$AT$2:$AT$1266,0))</f>
        <v>1039.2</v>
      </c>
      <c r="DI1015" t="str">
        <f>INDEX('Data_Price '!AR$2:AR$1266,MATCH(Data!$DN1015,'Data_Price '!$AT$2:$AT$1266,0))</f>
        <v>https://tinyurl.com/y9aayeek</v>
      </c>
      <c r="DJ1015" s="89" t="str">
        <f t="shared" si="587"/>
        <v>https://tinyurl.com/ycnx77uv</v>
      </c>
      <c r="DK1015" s="89" t="str">
        <f t="shared" si="588"/>
        <v>https://tinyurl.com/y8anspnp</v>
      </c>
      <c r="DL1015" s="89" t="str">
        <f t="shared" si="589"/>
        <v>https://tinyurl.com/y9aayeek</v>
      </c>
      <c r="DM1015" s="219" t="str">
        <f t="shared" si="590"/>
        <v>Pagoda 112 RP</v>
      </c>
      <c r="DN1015" s="89" t="str">
        <f t="shared" si="591"/>
        <v xml:space="preserve"> DPSPagoda 112 RP184 Unisex</v>
      </c>
      <c r="DO1015" s="221" t="s">
        <v>274</v>
      </c>
    </row>
    <row r="1016" spans="2:119" ht="15.6" customHeight="1">
      <c r="B1016" s="219" t="b">
        <f t="array" ref="B1016">IF(OR(ISERROR(K1016:P1016)),FALSE,TRUE)</f>
        <v>1</v>
      </c>
      <c r="C1016" s="43" t="b">
        <f>OR(BR1016=Driver!$G$50,Data!BR99=Driver!$H$50)</f>
        <v>1</v>
      </c>
      <c r="D1016" s="43" t="b">
        <f>OR(BV1016=Driver!$G$51,BV1016=Driver!$H$51)</f>
        <v>0</v>
      </c>
      <c r="E1016" s="43" t="b">
        <f>AND(BX1016&gt;Driver!$F$54,BX1016&lt;Driver!$G$54)</f>
        <v>1</v>
      </c>
      <c r="F1016" s="43" t="b">
        <f>CL1016&gt;Driver!$F$56</f>
        <v>1</v>
      </c>
      <c r="G1016" s="43" t="b">
        <f>AND(CB1016&gt;Driver!$F$55,CB1016&lt;Driver!$G$55)</f>
        <v>0</v>
      </c>
      <c r="H1016" s="43" t="b">
        <f t="shared" si="555"/>
        <v>0</v>
      </c>
      <c r="I1016" s="43">
        <f t="shared" si="556"/>
        <v>0</v>
      </c>
      <c r="J1016" s="43" t="b">
        <f t="array" ref="J1016">NOT(OR(($H$9:$H$1273=TRUE)*($I$9:$I$1273&gt;0)*($BT$9:$BT$1273=BT1016)*($K$9:$K$1273&gt;K1016)))</f>
        <v>1</v>
      </c>
      <c r="K1016" s="72">
        <f t="shared" si="557"/>
        <v>0.90941930682680505</v>
      </c>
      <c r="L1016" s="72">
        <f t="shared" si="558"/>
        <v>0.87921061247219445</v>
      </c>
      <c r="M1016" s="72">
        <f t="shared" si="559"/>
        <v>0.93962800118141565</v>
      </c>
      <c r="N1016" s="72">
        <f t="shared" si="560"/>
        <v>0.95541714996553873</v>
      </c>
      <c r="O1016" s="72">
        <f t="shared" si="561"/>
        <v>0.91335619750193153</v>
      </c>
      <c r="P1016" s="72">
        <f t="shared" si="562"/>
        <v>0.95011065607677669</v>
      </c>
      <c r="Q1016" s="72"/>
      <c r="R1016" s="72"/>
      <c r="S1016" s="72">
        <f t="shared" si="563"/>
        <v>0.46791553946301789</v>
      </c>
      <c r="T1016" s="72">
        <f t="shared" si="564"/>
        <v>0.44755661672542124</v>
      </c>
      <c r="U1016" s="72">
        <f t="shared" si="565"/>
        <v>0.51</v>
      </c>
      <c r="V1016" s="72">
        <f t="shared" si="566"/>
        <v>0.49820162296833115</v>
      </c>
      <c r="W1016" s="72">
        <f t="shared" si="567"/>
        <v>0.84743890977443614</v>
      </c>
      <c r="X1016" s="72">
        <f t="shared" si="568"/>
        <v>0.12078938752780558</v>
      </c>
      <c r="Y1016" s="72">
        <f t="shared" si="569"/>
        <v>6.0371998818584384E-2</v>
      </c>
      <c r="Z1016" s="72">
        <f t="shared" si="570"/>
        <v>4.4582850034461323E-2</v>
      </c>
      <c r="AA1016" s="72">
        <f t="shared" si="571"/>
        <v>8.6643802498068523E-2</v>
      </c>
      <c r="AB1016" s="72">
        <f t="shared" si="572"/>
        <v>4.9889343923223306E-2</v>
      </c>
      <c r="AC1016" s="72"/>
      <c r="AD1016" s="72"/>
      <c r="AE1016" s="72">
        <f t="shared" si="573"/>
        <v>0.53208446053698211</v>
      </c>
      <c r="AF1016" s="72">
        <f t="shared" si="574"/>
        <v>0.55244338327457876</v>
      </c>
      <c r="AG1016" s="72">
        <f t="shared" si="575"/>
        <v>0.49</v>
      </c>
      <c r="AH1016" s="72">
        <f t="shared" si="576"/>
        <v>0.50179837703166885</v>
      </c>
      <c r="AI1016" s="72">
        <f t="shared" si="577"/>
        <v>0.15256109022556391</v>
      </c>
      <c r="AJ1016" s="72">
        <f>(AV1016-Driver!$K$179)/(Driver!$L$179-Driver!$K$179)</f>
        <v>0.13343002175489485</v>
      </c>
      <c r="AK1016" s="72">
        <f>(AW1016-Driver!$K$180)/(Driver!$L$180-Driver!$K$180)</f>
        <v>0.19193938123698351</v>
      </c>
      <c r="AL1016" s="72">
        <f>(AX1016-Driver!$K$181)/(Driver!$L$181-Driver!$K$181)</f>
        <v>5.7104913678618856E-2</v>
      </c>
      <c r="AM1016" s="72">
        <f>(AY1016-Driver!$K$182)/(Driver!$L$182-Driver!$K$182)</f>
        <v>0.36074121859897784</v>
      </c>
      <c r="AN1016" s="72">
        <f>(AZ1016-Driver!$K$183)/(Driver!$L$183-Driver!$K$183)</f>
        <v>0.20433006535947712</v>
      </c>
      <c r="AO1016" s="72"/>
      <c r="AP1016" s="72"/>
      <c r="AQ1016" s="72">
        <f>(BC1016-Driver!$K$188)/(Driver!$L$188-Driver!$K$188)</f>
        <v>8.7915539463017875E-2</v>
      </c>
      <c r="AR1016" s="72">
        <f>MIN((BD1016-Driver!$K$189)/(Driver!$L$189-Driver!$K$189),100%)</f>
        <v>-2.4433832745787021E-3</v>
      </c>
      <c r="AS1016" s="72">
        <f>(BE1016-Driver!$K$190)/(Driver!$L$190-Driver!$K$190)</f>
        <v>1</v>
      </c>
      <c r="AT1016" s="72">
        <f>(BF1016-Driver!$K$191)/(Driver!$L$191-Driver!$K$191)</f>
        <v>8.2016229683311275E-3</v>
      </c>
      <c r="AU1016" s="72">
        <f>(BG1016-Driver!$K$192)/(Driver!$L$192-Driver!$K$192)</f>
        <v>9.7438909774436075E-2</v>
      </c>
      <c r="AV1016" s="70">
        <f t="shared" si="578"/>
        <v>2.8083028083028085</v>
      </c>
      <c r="AW1016" s="70">
        <f t="shared" si="579"/>
        <v>20.578086078935186</v>
      </c>
      <c r="AX1016" s="70">
        <f t="shared" si="580"/>
        <v>1.5139442231075697</v>
      </c>
      <c r="AY1016" s="70">
        <f>IFERROR(Driver!$K$19/Data!BH1016/Data!BI1016*Data!BK1016*Data!BL1016,"")</f>
        <v>0.44165488635628541</v>
      </c>
      <c r="AZ1016" s="70">
        <f t="shared" si="581"/>
        <v>18.622486969471332</v>
      </c>
      <c r="BA1016" s="70"/>
      <c r="BB1016" s="70"/>
      <c r="BC1016" s="70">
        <f t="shared" si="582"/>
        <v>45.602401498382207</v>
      </c>
      <c r="BD1016" s="70">
        <f t="shared" si="583"/>
        <v>1.5045877937164891</v>
      </c>
      <c r="BE1016" s="70">
        <f t="shared" si="584"/>
        <v>1</v>
      </c>
      <c r="BF1016" s="70">
        <f t="shared" si="585"/>
        <v>0.92631569461060281</v>
      </c>
      <c r="BG1016" s="70">
        <f t="shared" si="586"/>
        <v>0.36896587171052631</v>
      </c>
      <c r="BH1016" s="67">
        <f>MAX((CE1016-Driver!$F$200)/(Driver!$G$200-Driver!$F$200)*$BI$1,1)</f>
        <v>1.5139442231075697</v>
      </c>
      <c r="BI1016" s="67">
        <f>MAX($BI$1*(BY1016-Driver!$F$201)/(Driver!$G$201-Driver!$F$201),1)</f>
        <v>7.7215189873417724</v>
      </c>
      <c r="BJ1016" s="67">
        <f>(CB1016-Driver!$F$206)/(Driver!$G$206-Driver!$F$206)*$BI$1</f>
        <v>3.6507936507936507</v>
      </c>
      <c r="BK1016" s="67">
        <f>(CD1016-Driver!$F$203)/(Driver!$G$203-Driver!$F$203)*$BI$1</f>
        <v>4.678899082568809</v>
      </c>
      <c r="BL1016" s="67">
        <f>MAX((CR1016-Driver!$F$202)/(Driver!$G$202-Driver!$F$202)*$BI$1,1)</f>
        <v>5.5172413793103452</v>
      </c>
      <c r="BM1016" s="67">
        <f>MAX((CH1016-Driver!$F$204)/(Driver!$G$204-Driver!$F$204)*$BI$1,1)</f>
        <v>3.0769230769230771</v>
      </c>
      <c r="BN1016" s="67">
        <f>(CI1016-Driver!$F$205)/(Driver!$G$205-Driver!$F$205)*$BI$1</f>
        <v>2.4117647058823528</v>
      </c>
      <c r="BO1016" s="67">
        <f>(CK1016-Driver!$F$207)/(Driver!$G$207-Driver!$F$207)*$BI$1</f>
        <v>0.86866597724922445</v>
      </c>
      <c r="BP1016" s="67">
        <f>(CM1016-Driver!$F$208)/(Driver!$G$208-Driver!$F$208)*$BI$1</f>
        <v>1.3666666666666667</v>
      </c>
      <c r="BQ1016" s="67">
        <f>(CL1016-Driver!$F$209)/(Driver!$G$209-Driver!$F$209)*$BI$1</f>
        <v>1.71875</v>
      </c>
      <c r="BR1016" s="28" t="s">
        <v>155</v>
      </c>
      <c r="BS1016" s="8" t="s">
        <v>182</v>
      </c>
      <c r="BT1016" s="9" t="s">
        <v>668</v>
      </c>
      <c r="BU1016" s="10">
        <v>162</v>
      </c>
      <c r="BV1016" s="9" t="s">
        <v>163</v>
      </c>
      <c r="BW1016" s="10">
        <v>162</v>
      </c>
      <c r="BX1016" s="10">
        <v>161.19999999999999</v>
      </c>
      <c r="BY1016" s="10">
        <v>130</v>
      </c>
      <c r="BZ1016" s="10">
        <v>135</v>
      </c>
      <c r="CA1016" s="10">
        <v>114</v>
      </c>
      <c r="CB1016" s="10">
        <v>87</v>
      </c>
      <c r="CC1016" s="10">
        <v>106</v>
      </c>
      <c r="CD1016" s="10">
        <v>19.600000000000001</v>
      </c>
      <c r="CE1016" s="10">
        <v>1166</v>
      </c>
      <c r="CF1016" s="10">
        <v>1.32</v>
      </c>
      <c r="CG1016" s="10">
        <v>1535</v>
      </c>
      <c r="CH1016" s="10">
        <v>173</v>
      </c>
      <c r="CI1016" s="10">
        <v>74</v>
      </c>
      <c r="CJ1016" s="10">
        <v>38</v>
      </c>
      <c r="CK1016" s="10">
        <v>194</v>
      </c>
      <c r="CL1016" s="10">
        <v>11</v>
      </c>
      <c r="CM1016" s="10">
        <v>123</v>
      </c>
      <c r="CN1016" s="10">
        <v>0.29799999999999999</v>
      </c>
      <c r="CO1016" s="10">
        <v>153</v>
      </c>
      <c r="CP1016" s="10">
        <v>104</v>
      </c>
      <c r="CQ1016" s="10">
        <v>40</v>
      </c>
      <c r="CR1016" s="10">
        <v>5</v>
      </c>
      <c r="CS1016" s="10">
        <v>6.1</v>
      </c>
      <c r="CT1016" s="9" t="s">
        <v>185</v>
      </c>
      <c r="CU1016" s="9" t="s">
        <v>198</v>
      </c>
      <c r="CV1016" s="10"/>
      <c r="CW1016" s="10"/>
      <c r="CX1016" t="str">
        <f>INDEX('Data_Price '!AG$2:AG$1266,MATCH(Data!$DN1016,'Data_Price '!$AT$2:$AT$1266,0))</f>
        <v>Armada Women's Trace 88 Ski</v>
      </c>
      <c r="CY1016" t="str">
        <f>INDEX('Data_Price '!AH$2:AH$1266,MATCH(Data!$DN1016,'Data_Price '!$AT$2:$AT$1266,0))</f>
        <v>Snowcountry.eu</v>
      </c>
      <c r="CZ1016">
        <f>INDEX('Data_Price '!AI$2:AI$1266,MATCH(Data!$DN1016,'Data_Price '!$AT$2:$AT$1266,0))</f>
        <v>367.81</v>
      </c>
      <c r="DA1016" t="str">
        <f>INDEX('Data_Price '!AJ$2:AJ$1266,MATCH(Data!$DN1016,'Data_Price '!$AT$2:$AT$1266,0))</f>
        <v>https://tinyurl.com/ya4rwjpp</v>
      </c>
      <c r="DB1016" t="str">
        <f>INDEX('Data_Price '!AK$2:AK$1266,MATCH(Data!$DN1016,'Data_Price '!$AT$2:$AT$1266,0))</f>
        <v>Armada Women's Trace 88 Ski</v>
      </c>
      <c r="DC1016" t="str">
        <f>INDEX('Data_Price '!AL$2:AL$1266,MATCH(Data!$DN1016,'Data_Price '!$AT$2:$AT$1266,0))</f>
        <v>Ski Pro  - Snow Ski &amp; Snowboard</v>
      </c>
      <c r="DD1016">
        <f>INDEX('Data_Price '!AM$2:AM$1266,MATCH(Data!$DN1016,'Data_Price '!$AT$2:$AT$1266,0))</f>
        <v>479.95</v>
      </c>
      <c r="DE1016" t="str">
        <f>INDEX('Data_Price '!AN$2:AN$1266,MATCH(Data!$DN1016,'Data_Price '!$AT$2:$AT$1266,0))</f>
        <v>https://tinyurl.com/y8yd5pj7</v>
      </c>
      <c r="DF1016" t="str">
        <f>INDEX('Data_Price '!AO$2:AO$1266,MATCH(Data!$DN1016,'Data_Price '!$AT$2:$AT$1266,0))</f>
        <v>Armada Women's Trace 88 Ski</v>
      </c>
      <c r="DG1016" t="str">
        <f>INDEX('Data_Price '!AP$2:AP$1266,MATCH(Data!$DN1016,'Data_Price '!$AT$2:$AT$1266,0))</f>
        <v>SkiEssentials.com</v>
      </c>
      <c r="DH1016">
        <f>INDEX('Data_Price '!AQ$2:AQ$1266,MATCH(Data!$DN1016,'Data_Price '!$AT$2:$AT$1266,0))</f>
        <v>479.96</v>
      </c>
      <c r="DI1016" t="str">
        <f>INDEX('Data_Price '!AR$2:AR$1266,MATCH(Data!$DN1016,'Data_Price '!$AT$2:$AT$1266,0))</f>
        <v>https://tinyurl.com/ybae75zd</v>
      </c>
      <c r="DJ1016" s="89" t="str">
        <f t="shared" si="587"/>
        <v>https://tinyurl.com/ya4rwjpp</v>
      </c>
      <c r="DK1016" s="89" t="str">
        <f t="shared" si="588"/>
        <v>https://tinyurl.com/y8yd5pj7</v>
      </c>
      <c r="DL1016" s="89" t="str">
        <f t="shared" si="589"/>
        <v>https://tinyurl.com/ybae75zd</v>
      </c>
      <c r="DM1016" s="219" t="str">
        <f t="shared" si="590"/>
        <v>Trace 88</v>
      </c>
      <c r="DN1016" s="89" t="str">
        <f t="shared" si="591"/>
        <v xml:space="preserve"> ArmadaTrace 88162 Women's</v>
      </c>
      <c r="DO1016" s="221"/>
    </row>
    <row r="1017" spans="2:119" ht="15.6" customHeight="1">
      <c r="B1017" s="219" t="b">
        <f t="array" ref="B1017">IF(OR(ISERROR(K1017:P1017)),FALSE,TRUE)</f>
        <v>1</v>
      </c>
      <c r="C1017" s="43" t="b">
        <f>OR(BR1017=Driver!$G$50,Data!BR906=Driver!$H$50)</f>
        <v>1</v>
      </c>
      <c r="D1017" s="43" t="b">
        <f>OR(BV1017=Driver!$G$51,BV1017=Driver!$H$51)</f>
        <v>1</v>
      </c>
      <c r="E1017" s="43" t="b">
        <f>AND(BX1017&gt;Driver!$F$54,BX1017&lt;Driver!$G$54)</f>
        <v>0</v>
      </c>
      <c r="F1017" s="43" t="b">
        <f>CL1017&gt;Driver!$F$56</f>
        <v>1</v>
      </c>
      <c r="G1017" s="43" t="b">
        <f>AND(CB1017&gt;Driver!$F$55,CB1017&lt;Driver!$G$55)</f>
        <v>0</v>
      </c>
      <c r="H1017" s="43" t="b">
        <f t="shared" si="555"/>
        <v>0</v>
      </c>
      <c r="I1017" s="43">
        <f t="shared" si="556"/>
        <v>0</v>
      </c>
      <c r="J1017" s="43" t="b">
        <f t="array" ref="J1017">NOT(OR(($H$9:$H$1273=TRUE)*($I$9:$I$1273&gt;0)*($BT$9:$BT$1273=BT1017)*($K$9:$K$1273&gt;K1017)))</f>
        <v>1</v>
      </c>
      <c r="K1017" s="72">
        <f t="shared" si="557"/>
        <v>0.78088224407140372</v>
      </c>
      <c r="L1017" s="72">
        <f t="shared" si="558"/>
        <v>0.93110006537687573</v>
      </c>
      <c r="M1017" s="72">
        <f t="shared" si="559"/>
        <v>0.63066442276593171</v>
      </c>
      <c r="N1017" s="72">
        <f t="shared" si="560"/>
        <v>0.50894761320400539</v>
      </c>
      <c r="O1017" s="72">
        <f t="shared" si="561"/>
        <v>0.6241285333927884</v>
      </c>
      <c r="P1017" s="72">
        <f t="shared" si="562"/>
        <v>0.75891712170100112</v>
      </c>
      <c r="Q1017" s="72"/>
      <c r="R1017" s="72"/>
      <c r="S1017" s="72">
        <f t="shared" si="563"/>
        <v>0.53251985846289651</v>
      </c>
      <c r="T1017" s="72">
        <f t="shared" si="564"/>
        <v>0.59449150543593532</v>
      </c>
      <c r="U1017" s="72">
        <f t="shared" si="565"/>
        <v>0.68448175484183049</v>
      </c>
      <c r="V1017" s="72">
        <f t="shared" si="566"/>
        <v>0.52303621769764075</v>
      </c>
      <c r="W1017" s="72">
        <f t="shared" si="567"/>
        <v>0.76829110512129384</v>
      </c>
      <c r="X1017" s="72">
        <f t="shared" si="568"/>
        <v>6.889993462312427E-2</v>
      </c>
      <c r="Y1017" s="72">
        <f t="shared" si="569"/>
        <v>0.36933557723406835</v>
      </c>
      <c r="Z1017" s="72">
        <f t="shared" si="570"/>
        <v>0.49105238679599461</v>
      </c>
      <c r="AA1017" s="72">
        <f t="shared" si="571"/>
        <v>0.3758714666072116</v>
      </c>
      <c r="AB1017" s="72">
        <f t="shared" si="572"/>
        <v>0.24108287829899888</v>
      </c>
      <c r="AC1017" s="72"/>
      <c r="AD1017" s="72"/>
      <c r="AE1017" s="72">
        <f t="shared" si="573"/>
        <v>0.46748014153710343</v>
      </c>
      <c r="AF1017" s="72">
        <f t="shared" si="574"/>
        <v>0.40550849456406468</v>
      </c>
      <c r="AG1017" s="72">
        <f t="shared" si="575"/>
        <v>0.31551824515816951</v>
      </c>
      <c r="AH1017" s="72">
        <f t="shared" si="576"/>
        <v>0.47696378230235925</v>
      </c>
      <c r="AI1017" s="72">
        <f t="shared" si="577"/>
        <v>0.23170889487870619</v>
      </c>
      <c r="AJ1017" s="72">
        <f>(AV1017-Driver!$K$179)/(Driver!$L$179-Driver!$K$179)</f>
        <v>0.18531947465957616</v>
      </c>
      <c r="AK1017" s="72">
        <f>(AW1017-Driver!$K$180)/(Driver!$L$180-Driver!$K$180)</f>
        <v>0.50987459234639154</v>
      </c>
      <c r="AL1017" s="72">
        <f>(AX1017-Driver!$K$181)/(Driver!$L$181-Driver!$K$181)</f>
        <v>0.5927401505090748</v>
      </c>
      <c r="AM1017" s="72">
        <f>(AY1017-Driver!$K$182)/(Driver!$L$182-Driver!$K$182)</f>
        <v>7.1513554489834791E-2</v>
      </c>
      <c r="AN1017" s="72">
        <f>(AZ1017-Driver!$K$183)/(Driver!$L$183-Driver!$K$183)</f>
        <v>0.49530228758169931</v>
      </c>
      <c r="AO1017" s="72"/>
      <c r="AP1017" s="72"/>
      <c r="AQ1017" s="72">
        <f>(BC1017-Driver!$K$188)/(Driver!$L$188-Driver!$K$188)</f>
        <v>0.15251985846289656</v>
      </c>
      <c r="AR1017" s="72">
        <f>MIN((BD1017-Driver!$K$189)/(Driver!$L$189-Driver!$K$189),100%)</f>
        <v>0.14449150543593539</v>
      </c>
      <c r="AS1017" s="72">
        <f>(BE1017-Driver!$K$190)/(Driver!$L$190-Driver!$K$190)</f>
        <v>0.19448175484183047</v>
      </c>
      <c r="AT1017" s="72">
        <f>(BF1017-Driver!$K$191)/(Driver!$L$191-Driver!$K$191)</f>
        <v>3.303621769764073E-2</v>
      </c>
      <c r="AU1017" s="72">
        <f>(BG1017-Driver!$K$192)/(Driver!$L$192-Driver!$K$192)</f>
        <v>1.8291105121293803E-2</v>
      </c>
      <c r="AV1017" s="70">
        <f t="shared" si="578"/>
        <v>3.9004205670872336</v>
      </c>
      <c r="AW1017" s="70">
        <f t="shared" si="579"/>
        <v>51.563689594105952</v>
      </c>
      <c r="AX1017" s="70">
        <f t="shared" si="580"/>
        <v>6.334661354581673</v>
      </c>
      <c r="AY1017" s="70">
        <f>IFERROR(Driver!$K$19/Data!BH1017/Data!BI1017*Data!BK1017*Data!BL1017,"")</f>
        <v>8.7553928280796417E-2</v>
      </c>
      <c r="AZ1017" s="70">
        <f t="shared" si="581"/>
        <v>45.141474311243485</v>
      </c>
      <c r="BA1017" s="70"/>
      <c r="BB1017" s="70"/>
      <c r="BC1017" s="70">
        <f t="shared" si="582"/>
        <v>79.113110885558598</v>
      </c>
      <c r="BD1017" s="70">
        <f t="shared" si="583"/>
        <v>14.5080650913801</v>
      </c>
      <c r="BE1017" s="70">
        <f t="shared" si="584"/>
        <v>0.19462545023027264</v>
      </c>
      <c r="BF1017" s="70">
        <f t="shared" si="585"/>
        <v>3.7312086963836708</v>
      </c>
      <c r="BG1017" s="70">
        <f t="shared" si="586"/>
        <v>6.9261792452830206E-2</v>
      </c>
      <c r="BH1017" s="67">
        <f>MAX((CE1017-Driver!$F$200)/(Driver!$G$200-Driver!$F$200)*$BI$1,1)</f>
        <v>6.334661354581673</v>
      </c>
      <c r="BI1017" s="67">
        <f>MAX($BI$1*(BY1017-Driver!$F$201)/(Driver!$G$201-Driver!$F$201),1)</f>
        <v>7.9113924050632916</v>
      </c>
      <c r="BJ1017" s="67">
        <f>(CB1017-Driver!$F$206)/(Driver!$G$206-Driver!$F$206)*$BI$1</f>
        <v>3.6507936507936507</v>
      </c>
      <c r="BK1017" s="67">
        <f>(CD1017-Driver!$F$203)/(Driver!$G$203-Driver!$F$203)*$BI$1</f>
        <v>3.3486238532110093</v>
      </c>
      <c r="BL1017" s="67">
        <f>MAX((CR1017-Driver!$F$202)/(Driver!$G$202-Driver!$F$202)*$BI$1,1)</f>
        <v>6.5517241379310338</v>
      </c>
      <c r="BM1017" s="67">
        <f>MAX((CH1017-Driver!$F$204)/(Driver!$G$204-Driver!$F$204)*$BI$1,1)</f>
        <v>4.2735042735042734</v>
      </c>
      <c r="BN1017" s="67">
        <f>(CI1017-Driver!$F$205)/(Driver!$G$205-Driver!$F$205)*$BI$1</f>
        <v>5.7058823529411757</v>
      </c>
      <c r="BO1017" s="67">
        <f>(CK1017-Driver!$F$207)/(Driver!$G$207-Driver!$F$207)*$BI$1</f>
        <v>1.6649431230610134</v>
      </c>
      <c r="BP1017" s="67">
        <f>(CM1017-Driver!$F$208)/(Driver!$G$208-Driver!$F$208)*$BI$1</f>
        <v>2.0555555555555554</v>
      </c>
      <c r="BQ1017" s="67">
        <f>(CL1017-Driver!$F$209)/(Driver!$G$209-Driver!$F$209)*$BI$1</f>
        <v>1.875</v>
      </c>
      <c r="BR1017" s="28" t="s">
        <v>155</v>
      </c>
      <c r="BS1017" s="8" t="s">
        <v>332</v>
      </c>
      <c r="BT1017" s="9" t="s">
        <v>455</v>
      </c>
      <c r="BU1017" s="10">
        <v>179</v>
      </c>
      <c r="BV1017" s="9" t="s">
        <v>158</v>
      </c>
      <c r="BW1017" s="10">
        <v>179</v>
      </c>
      <c r="BX1017" s="10">
        <v>178.5</v>
      </c>
      <c r="BY1017" s="10">
        <v>133</v>
      </c>
      <c r="BZ1017" s="10">
        <v>150</v>
      </c>
      <c r="CA1017" s="10">
        <v>123</v>
      </c>
      <c r="CB1017" s="10">
        <v>87</v>
      </c>
      <c r="CC1017" s="10">
        <v>109</v>
      </c>
      <c r="CD1017" s="10">
        <v>16.7</v>
      </c>
      <c r="CE1017" s="10">
        <v>2013</v>
      </c>
      <c r="CF1017" s="10">
        <v>0.88</v>
      </c>
      <c r="CG1017" s="10">
        <v>1773</v>
      </c>
      <c r="CH1017" s="10">
        <v>201</v>
      </c>
      <c r="CI1017" s="10">
        <v>130</v>
      </c>
      <c r="CJ1017" s="10">
        <v>52</v>
      </c>
      <c r="CK1017" s="10">
        <v>271</v>
      </c>
      <c r="CL1017" s="10">
        <v>12</v>
      </c>
      <c r="CM1017" s="10">
        <v>185</v>
      </c>
      <c r="CN1017" s="10">
        <v>0.23499999999999999</v>
      </c>
      <c r="CO1017" s="10">
        <v>132</v>
      </c>
      <c r="CP1017" s="10">
        <v>152</v>
      </c>
      <c r="CQ1017" s="10">
        <v>139</v>
      </c>
      <c r="CR1017" s="10">
        <v>8</v>
      </c>
      <c r="CS1017" s="10">
        <v>8.3000000000000007</v>
      </c>
      <c r="CT1017" s="9" t="s">
        <v>188</v>
      </c>
      <c r="CU1017" s="10"/>
      <c r="CV1017" s="10"/>
      <c r="CW1017" s="10"/>
      <c r="CX1017" t="str">
        <f>INDEX('Data_Price '!AG$2:AG$1266,MATCH(Data!$DN1017,'Data_Price '!$AT$2:$AT$1266,0))</f>
        <v>Nordica Enforcer 88 / Santa Ana 93 Ski Skins - 2022 179 cm</v>
      </c>
      <c r="CY1017" t="str">
        <f>INDEX('Data_Price '!AH$2:AH$1266,MATCH(Data!$DN1017,'Data_Price '!$AT$2:$AT$1266,0))</f>
        <v>Arlberg Ski &amp; Surf Shops</v>
      </c>
      <c r="CZ1017">
        <f>INDEX('Data_Price '!AI$2:AI$1266,MATCH(Data!$DN1017,'Data_Price '!$AT$2:$AT$1266,0))</f>
        <v>209.95</v>
      </c>
      <c r="DA1017" t="str">
        <f>INDEX('Data_Price '!AJ$2:AJ$1266,MATCH(Data!$DN1017,'Data_Price '!$AT$2:$AT$1266,0))</f>
        <v>https://tinyurl.com/yd4lsn4h</v>
      </c>
      <c r="DB1017" t="str">
        <f>INDEX('Data_Price '!AK$2:AK$1266,MATCH(Data!$DN1017,'Data_Price '!$AT$2:$AT$1266,0))</f>
        <v>Nordica Enforcer 88 Skis Â· 2022 Â· 179 cm</v>
      </c>
      <c r="DC1017" t="str">
        <f>INDEX('Data_Price '!AL$2:AL$1266,MATCH(Data!$DN1017,'Data_Price '!$AT$2:$AT$1266,0))</f>
        <v>AlpineShopVT.com</v>
      </c>
      <c r="DD1017">
        <f>INDEX('Data_Price '!AM$2:AM$1266,MATCH(Data!$DN1017,'Data_Price '!$AT$2:$AT$1266,0))</f>
        <v>519.99</v>
      </c>
      <c r="DE1017" t="str">
        <f>INDEX('Data_Price '!AN$2:AN$1266,MATCH(Data!$DN1017,'Data_Price '!$AT$2:$AT$1266,0))</f>
        <v>https://tinyurl.com/y7ntzuob</v>
      </c>
      <c r="DF1017" t="str">
        <f>INDEX('Data_Price '!AO$2:AO$1266,MATCH(Data!$DN1017,'Data_Price '!$AT$2:$AT$1266,0))</f>
        <v>Nordica Enforcer 88 Skis Â· 2022 Â· 179 cm</v>
      </c>
      <c r="DG1017" t="str">
        <f>INDEX('Data_Price '!AP$2:AP$1266,MATCH(Data!$DN1017,'Data_Price '!$AT$2:$AT$1266,0))</f>
        <v xml:space="preserve">Aspen East </v>
      </c>
      <c r="DH1017">
        <f>INDEX('Data_Price '!AQ$2:AQ$1266,MATCH(Data!$DN1017,'Data_Price '!$AT$2:$AT$1266,0))</f>
        <v>559</v>
      </c>
      <c r="DI1017" t="str">
        <f>INDEX('Data_Price '!AR$2:AR$1266,MATCH(Data!$DN1017,'Data_Price '!$AT$2:$AT$1266,0))</f>
        <v>https://tinyurl.com/y9j6jjgm</v>
      </c>
      <c r="DJ1017" s="89" t="str">
        <f t="shared" si="587"/>
        <v>https://tinyurl.com/yd4lsn4h</v>
      </c>
      <c r="DK1017" s="89" t="str">
        <f t="shared" si="588"/>
        <v>https://tinyurl.com/y7ntzuob</v>
      </c>
      <c r="DL1017" s="89" t="str">
        <f t="shared" si="589"/>
        <v>https://tinyurl.com/y9j6jjgm</v>
      </c>
      <c r="DM1017" s="219" t="str">
        <f t="shared" si="590"/>
        <v>Enforcer 88</v>
      </c>
      <c r="DN1017" s="89" t="str">
        <f t="shared" si="591"/>
        <v xml:space="preserve"> NordicaEnforcer 88179 Unisex</v>
      </c>
      <c r="DO1017" s="221"/>
    </row>
    <row r="1018" spans="2:119" ht="15.6" customHeight="1">
      <c r="B1018" s="219" t="b">
        <f t="array" ref="B1018">IF(OR(ISERROR(K1018:P1018)),FALSE,TRUE)</f>
        <v>1</v>
      </c>
      <c r="C1018" s="43" t="b">
        <f>OR(BR1018=Driver!$G$50,Data!BR689=Driver!$H$50)</f>
        <v>1</v>
      </c>
      <c r="D1018" s="43" t="b">
        <f>OR(BV1018=Driver!$G$51,BV1018=Driver!$H$51)</f>
        <v>0</v>
      </c>
      <c r="E1018" s="43" t="b">
        <f>AND(BX1018&gt;Driver!$F$54,BX1018&lt;Driver!$G$54)</f>
        <v>1</v>
      </c>
      <c r="F1018" s="43" t="b">
        <f>CL1018&gt;Driver!$F$56</f>
        <v>1</v>
      </c>
      <c r="G1018" s="43" t="b">
        <f>AND(CB1018&gt;Driver!$F$55,CB1018&lt;Driver!$G$55)</f>
        <v>0</v>
      </c>
      <c r="H1018" s="43" t="b">
        <f t="shared" si="555"/>
        <v>0</v>
      </c>
      <c r="I1018" s="43">
        <f t="shared" si="556"/>
        <v>0</v>
      </c>
      <c r="J1018" s="43" t="b">
        <f t="array" ref="J1018">NOT(OR(($H$9:$H$1273=TRUE)*($I$9:$I$1273&gt;0)*($BT$9:$BT$1273=BT1018)*($K$9:$K$1273&gt;K1018)))</f>
        <v>1</v>
      </c>
      <c r="K1018" s="72">
        <f t="shared" si="557"/>
        <v>0.8166381312704809</v>
      </c>
      <c r="L1018" s="72">
        <f t="shared" si="558"/>
        <v>0.83441164381535771</v>
      </c>
      <c r="M1018" s="72">
        <f t="shared" si="559"/>
        <v>0.79886461872560399</v>
      </c>
      <c r="N1018" s="72">
        <f t="shared" si="560"/>
        <v>0.89217660201068338</v>
      </c>
      <c r="O1018" s="72">
        <f t="shared" si="561"/>
        <v>0.63968241508281587</v>
      </c>
      <c r="P1018" s="72">
        <f t="shared" si="562"/>
        <v>0.86473483908331261</v>
      </c>
      <c r="Q1018" s="72"/>
      <c r="R1018" s="72"/>
      <c r="S1018" s="72">
        <f t="shared" si="563"/>
        <v>0.39795699983975275</v>
      </c>
      <c r="T1018" s="72">
        <f t="shared" si="564"/>
        <v>0.49911737812498447</v>
      </c>
      <c r="U1018" s="72">
        <f t="shared" si="565"/>
        <v>0.63253090555196678</v>
      </c>
      <c r="V1018" s="72">
        <f t="shared" si="566"/>
        <v>0.59775677437013086</v>
      </c>
      <c r="W1018" s="72">
        <f t="shared" si="567"/>
        <v>0.85707692307692307</v>
      </c>
      <c r="X1018" s="72">
        <f t="shared" si="568"/>
        <v>0.16558835618464224</v>
      </c>
      <c r="Y1018" s="72">
        <f t="shared" si="569"/>
        <v>0.20113538127439601</v>
      </c>
      <c r="Z1018" s="72">
        <f t="shared" si="570"/>
        <v>0.10782339798931657</v>
      </c>
      <c r="AA1018" s="72">
        <f t="shared" si="571"/>
        <v>0.36031758491718413</v>
      </c>
      <c r="AB1018" s="72">
        <f t="shared" si="572"/>
        <v>0.13526516091668736</v>
      </c>
      <c r="AC1018" s="72"/>
      <c r="AD1018" s="72"/>
      <c r="AE1018" s="72">
        <f t="shared" si="573"/>
        <v>0.60204300016024725</v>
      </c>
      <c r="AF1018" s="72">
        <f t="shared" si="574"/>
        <v>0.50088262187501553</v>
      </c>
      <c r="AG1018" s="72">
        <f t="shared" si="575"/>
        <v>0.36746909444803316</v>
      </c>
      <c r="AH1018" s="72">
        <f t="shared" si="576"/>
        <v>0.40224322562986914</v>
      </c>
      <c r="AI1018" s="72">
        <f t="shared" si="577"/>
        <v>0.14292307692307693</v>
      </c>
      <c r="AJ1018" s="72">
        <f>(AV1018-Driver!$K$179)/(Driver!$L$179-Driver!$K$179)</f>
        <v>8.8631053098058174E-2</v>
      </c>
      <c r="AK1018" s="72">
        <f>(AW1018-Driver!$K$180)/(Driver!$L$180-Driver!$K$180)</f>
        <v>0.12273593282958563</v>
      </c>
      <c r="AL1018" s="72">
        <f>(AX1018-Driver!$K$181)/(Driver!$L$181-Driver!$K$181)</f>
        <v>0.20951116170239675</v>
      </c>
      <c r="AM1018" s="72">
        <f>(AY1018-Driver!$K$182)/(Driver!$L$182-Driver!$K$182)</f>
        <v>8.706743617986222E-2</v>
      </c>
      <c r="AN1018" s="72">
        <f>(AZ1018-Driver!$K$183)/(Driver!$L$183-Driver!$K$183)</f>
        <v>0.11895424836601307</v>
      </c>
      <c r="AO1018" s="72"/>
      <c r="AP1018" s="72"/>
      <c r="AQ1018" s="72">
        <f>(BC1018-Driver!$K$188)/(Driver!$L$188-Driver!$K$188)</f>
        <v>1.7956999839752696E-2</v>
      </c>
      <c r="AR1018" s="72">
        <f>MIN((BD1018-Driver!$K$189)/(Driver!$L$189-Driver!$K$189),100%)</f>
        <v>4.9117378124984568E-2</v>
      </c>
      <c r="AS1018" s="72">
        <f>(BE1018-Driver!$K$190)/(Driver!$L$190-Driver!$K$190)</f>
        <v>0.14253090555196685</v>
      </c>
      <c r="AT1018" s="72">
        <f>(BF1018-Driver!$K$191)/(Driver!$L$191-Driver!$K$191)</f>
        <v>0.10775677437013084</v>
      </c>
      <c r="AU1018" s="72">
        <f>(BG1018-Driver!$K$192)/(Driver!$L$192-Driver!$K$192)</f>
        <v>0.10707692307692307</v>
      </c>
      <c r="AV1018" s="70">
        <f t="shared" si="578"/>
        <v>1.8654185320851988</v>
      </c>
      <c r="AW1018" s="70">
        <f t="shared" si="579"/>
        <v>13.833596826701013</v>
      </c>
      <c r="AX1018" s="70">
        <f t="shared" si="580"/>
        <v>2.8856004553215708</v>
      </c>
      <c r="AY1018" s="70">
        <f>IFERROR(Driver!$K$19/Data!BH1018/Data!BI1018*Data!BK1018*Data!BL1018,"")</f>
        <v>0.10659652029977131</v>
      </c>
      <c r="AZ1018" s="70">
        <f t="shared" si="581"/>
        <v>10.841399851079672</v>
      </c>
      <c r="BA1018" s="70"/>
      <c r="BB1018" s="70"/>
      <c r="BC1018" s="70">
        <f t="shared" si="582"/>
        <v>9.314420651917338</v>
      </c>
      <c r="BD1018" s="70">
        <f t="shared" si="583"/>
        <v>6.0676238173147095</v>
      </c>
      <c r="BE1018" s="70">
        <f t="shared" si="584"/>
        <v>0.1426838683871906</v>
      </c>
      <c r="BF1018" s="70">
        <f t="shared" si="585"/>
        <v>12.17037063092118</v>
      </c>
      <c r="BG1018" s="70">
        <f t="shared" si="586"/>
        <v>0.40546153846153848</v>
      </c>
      <c r="BH1018" s="67">
        <f>MAX((CE1018-Driver!$F$200)/(Driver!$G$200-Driver!$F$200)*$BI$1,1)</f>
        <v>2.8856004553215708</v>
      </c>
      <c r="BI1018" s="67">
        <f>MAX($BI$1*(BY1018-Driver!$F$201)/(Driver!$G$201-Driver!$F$201),1)</f>
        <v>5.7594936708860756</v>
      </c>
      <c r="BJ1018" s="67">
        <f>(CB1018-Driver!$F$206)/(Driver!$G$206-Driver!$F$206)*$BI$1</f>
        <v>3.4920634920634921</v>
      </c>
      <c r="BK1018" s="67">
        <f>(CD1018-Driver!$F$203)/(Driver!$G$203-Driver!$F$203)*$BI$1</f>
        <v>1.6055045871559634</v>
      </c>
      <c r="BL1018" s="67">
        <f>MAX((CR1018-Driver!$F$202)/(Driver!$G$202-Driver!$F$202)*$BI$1,1)</f>
        <v>5.5172413793103452</v>
      </c>
      <c r="BM1018" s="67">
        <f>MAX((CH1018-Driver!$F$204)/(Driver!$G$204-Driver!$F$204)*$BI$1,1)</f>
        <v>2.1367521367521367</v>
      </c>
      <c r="BN1018" s="67">
        <f>(CI1018-Driver!$F$205)/(Driver!$G$205-Driver!$F$205)*$BI$1</f>
        <v>1.8823529411764706</v>
      </c>
      <c r="BO1018" s="67">
        <f>(CK1018-Driver!$F$207)/(Driver!$G$207-Driver!$F$207)*$BI$1</f>
        <v>2.1613236814891419</v>
      </c>
      <c r="BP1018" s="67">
        <f>(CM1018-Driver!$F$208)/(Driver!$G$208-Driver!$F$208)*$BI$1</f>
        <v>2.588888888888889</v>
      </c>
      <c r="BQ1018" s="67">
        <f>(CL1018-Driver!$F$209)/(Driver!$G$209-Driver!$F$209)*$BI$1</f>
        <v>2.5</v>
      </c>
      <c r="BR1018" s="28" t="s">
        <v>155</v>
      </c>
      <c r="BS1018" s="8" t="s">
        <v>295</v>
      </c>
      <c r="BT1018" s="9" t="s">
        <v>803</v>
      </c>
      <c r="BU1018" s="10">
        <v>155</v>
      </c>
      <c r="BV1018" s="9" t="s">
        <v>163</v>
      </c>
      <c r="BW1018" s="10">
        <v>155</v>
      </c>
      <c r="BX1018" s="10">
        <v>154.1</v>
      </c>
      <c r="BY1018" s="10">
        <v>99</v>
      </c>
      <c r="BZ1018" s="10">
        <v>125</v>
      </c>
      <c r="CA1018" s="10">
        <v>120</v>
      </c>
      <c r="CB1018" s="10">
        <v>86</v>
      </c>
      <c r="CC1018" s="10">
        <v>107</v>
      </c>
      <c r="CD1018" s="10">
        <v>12.9</v>
      </c>
      <c r="CE1018" s="10">
        <v>1407</v>
      </c>
      <c r="CF1018" s="10">
        <v>1.06</v>
      </c>
      <c r="CG1018" s="10">
        <v>1492</v>
      </c>
      <c r="CH1018" s="10">
        <v>151</v>
      </c>
      <c r="CI1018" s="10">
        <v>65</v>
      </c>
      <c r="CJ1018" s="10">
        <v>57</v>
      </c>
      <c r="CK1018" s="10">
        <v>319</v>
      </c>
      <c r="CL1018" s="10">
        <v>16</v>
      </c>
      <c r="CM1018" s="10">
        <v>233</v>
      </c>
      <c r="CN1018" s="10">
        <v>0.28999999999999998</v>
      </c>
      <c r="CO1018" s="10">
        <v>184</v>
      </c>
      <c r="CP1018" s="10">
        <v>109</v>
      </c>
      <c r="CQ1018" s="10">
        <v>135</v>
      </c>
      <c r="CR1018" s="10">
        <v>5</v>
      </c>
      <c r="CS1018" s="10">
        <v>8.1999999999999993</v>
      </c>
      <c r="CT1018" s="9" t="s">
        <v>188</v>
      </c>
      <c r="CU1018" s="9" t="s">
        <v>185</v>
      </c>
      <c r="CV1018" s="10"/>
      <c r="CW1018" s="10"/>
      <c r="CX1018" t="str">
        <f>INDEX('Data_Price '!AG$2:AG$1266,MATCH(Data!$DN1018,'Data_Price '!$AT$2:$AT$1266,0))</f>
        <v>Icelantic Riveter 85 Skis - Women's 2022 155cm</v>
      </c>
      <c r="CY1018" t="str">
        <f>INDEX('Data_Price '!AH$2:AH$1266,MATCH(Data!$DN1018,'Data_Price '!$AT$2:$AT$1266,0))</f>
        <v>Glacier Ski Shop</v>
      </c>
      <c r="CZ1018">
        <f>INDEX('Data_Price '!AI$2:AI$1266,MATCH(Data!$DN1018,'Data_Price '!$AT$2:$AT$1266,0))</f>
        <v>469</v>
      </c>
      <c r="DA1018" t="str">
        <f>INDEX('Data_Price '!AJ$2:AJ$1266,MATCH(Data!$DN1018,'Data_Price '!$AT$2:$AT$1266,0))</f>
        <v>https://tinyurl.com/y8qex67h</v>
      </c>
      <c r="DB1018" t="str">
        <f>INDEX('Data_Price '!AK$2:AK$1266,MATCH(Data!$DN1018,'Data_Price '!$AT$2:$AT$1266,0))</f>
        <v>Icelantic Riveter 85 Skis Women's Â· 2022 Â· 155 cm</v>
      </c>
      <c r="DC1018" t="str">
        <f>INDEX('Data_Price '!AL$2:AL$1266,MATCH(Data!$DN1018,'Data_Price '!$AT$2:$AT$1266,0))</f>
        <v>Teton Wasatch Ski Co.</v>
      </c>
      <c r="DD1018">
        <f>INDEX('Data_Price '!AM$2:AM$1266,MATCH(Data!$DN1018,'Data_Price '!$AT$2:$AT$1266,0))</f>
        <v>471</v>
      </c>
      <c r="DE1018" t="str">
        <f>INDEX('Data_Price '!AN$2:AN$1266,MATCH(Data!$DN1018,'Data_Price '!$AT$2:$AT$1266,0))</f>
        <v>https://tinyurl.com/ybfa4jlu</v>
      </c>
      <c r="DF1018" t="str">
        <f>INDEX('Data_Price '!AO$2:AO$1266,MATCH(Data!$DN1018,'Data_Price '!$AT$2:$AT$1266,0))</f>
        <v>Icelantic Riveter 85 Skis Women's Â· 2022 Â· 155 cm</v>
      </c>
      <c r="DG1018" t="str">
        <f>INDEX('Data_Price '!AP$2:AP$1266,MATCH(Data!$DN1018,'Data_Price '!$AT$2:$AT$1266,0))</f>
        <v>Curated</v>
      </c>
      <c r="DH1018">
        <f>INDEX('Data_Price '!AQ$2:AQ$1266,MATCH(Data!$DN1018,'Data_Price '!$AT$2:$AT$1266,0))</f>
        <v>471</v>
      </c>
      <c r="DI1018" t="str">
        <f>INDEX('Data_Price '!AR$2:AR$1266,MATCH(Data!$DN1018,'Data_Price '!$AT$2:$AT$1266,0))</f>
        <v>https://tinyurl.com/ybqevnkh</v>
      </c>
      <c r="DJ1018" s="89" t="str">
        <f t="shared" si="587"/>
        <v>https://tinyurl.com/y8qex67h</v>
      </c>
      <c r="DK1018" s="89" t="str">
        <f t="shared" si="588"/>
        <v>https://tinyurl.com/ybfa4jlu</v>
      </c>
      <c r="DL1018" s="89" t="str">
        <f t="shared" si="589"/>
        <v>https://tinyurl.com/ybqevnkh</v>
      </c>
      <c r="DM1018" s="219" t="str">
        <f t="shared" si="590"/>
        <v>Riveter 85</v>
      </c>
      <c r="DN1018" s="89" t="str">
        <f t="shared" si="591"/>
        <v xml:space="preserve"> IcelanticRiveter 85155 Women's</v>
      </c>
      <c r="DO1018" s="221" t="s">
        <v>804</v>
      </c>
    </row>
    <row r="1019" spans="2:119" ht="15.6" customHeight="1">
      <c r="B1019" s="219" t="b">
        <f t="array" ref="B1019">IF(OR(ISERROR(K1019:P1019)),FALSE,TRUE)</f>
        <v>1</v>
      </c>
      <c r="C1019" s="43" t="b">
        <f>OR(BR1019=Driver!$G$50,Data!BR967=Driver!$H$50)</f>
        <v>1</v>
      </c>
      <c r="D1019" s="43" t="b">
        <f>OR(BV1019=Driver!$G$51,BV1019=Driver!$H$51)</f>
        <v>0</v>
      </c>
      <c r="E1019" s="43" t="b">
        <f>AND(BX1019&gt;Driver!$F$54,BX1019&lt;Driver!$G$54)</f>
        <v>0</v>
      </c>
      <c r="F1019" s="43" t="b">
        <f>CL1019&gt;Driver!$F$56</f>
        <v>1</v>
      </c>
      <c r="G1019" s="43" t="b">
        <f>AND(CB1019&gt;Driver!$F$55,CB1019&lt;Driver!$G$55)</f>
        <v>0</v>
      </c>
      <c r="H1019" s="43" t="b">
        <f t="shared" si="555"/>
        <v>0</v>
      </c>
      <c r="I1019" s="43">
        <f t="shared" si="556"/>
        <v>0</v>
      </c>
      <c r="J1019" s="43" t="b">
        <f t="array" ref="J1019">NOT(OR(($H$9:$H$1273=TRUE)*($I$9:$I$1273&gt;0)*($BT$9:$BT$1273=BT1019)*($K$9:$K$1273&gt;K1019)))</f>
        <v>1</v>
      </c>
      <c r="K1019" s="72">
        <f t="shared" si="557"/>
        <v>0.8053553041457906</v>
      </c>
      <c r="L1019" s="72">
        <f t="shared" si="558"/>
        <v>0.85455506497400735</v>
      </c>
      <c r="M1019" s="72">
        <f t="shared" si="559"/>
        <v>0.75615554331757373</v>
      </c>
      <c r="N1019" s="72">
        <f t="shared" si="560"/>
        <v>0.7960531592736948</v>
      </c>
      <c r="O1019" s="72">
        <f t="shared" si="561"/>
        <v>0.64722111525584436</v>
      </c>
      <c r="P1019" s="72">
        <f t="shared" si="562"/>
        <v>0.82519235542318192</v>
      </c>
      <c r="Q1019" s="72"/>
      <c r="R1019" s="72"/>
      <c r="S1019" s="72">
        <f t="shared" si="563"/>
        <v>0.39413724019855756</v>
      </c>
      <c r="T1019" s="72">
        <f t="shared" si="564"/>
        <v>0.49792788665131604</v>
      </c>
      <c r="U1019" s="72">
        <f t="shared" si="565"/>
        <v>0.55482666897727539</v>
      </c>
      <c r="V1019" s="72">
        <f t="shared" si="566"/>
        <v>0.56099936865376787</v>
      </c>
      <c r="W1019" s="72">
        <f t="shared" si="567"/>
        <v>0.90732169954476483</v>
      </c>
      <c r="X1019" s="72">
        <f t="shared" si="568"/>
        <v>0.14544493502599268</v>
      </c>
      <c r="Y1019" s="72">
        <f t="shared" si="569"/>
        <v>0.24384445668242627</v>
      </c>
      <c r="Z1019" s="72">
        <f t="shared" si="570"/>
        <v>0.20394684072630515</v>
      </c>
      <c r="AA1019" s="72">
        <f t="shared" si="571"/>
        <v>0.35277888474415564</v>
      </c>
      <c r="AB1019" s="72">
        <f t="shared" si="572"/>
        <v>0.17480764457681808</v>
      </c>
      <c r="AC1019" s="72"/>
      <c r="AD1019" s="72"/>
      <c r="AE1019" s="72">
        <f t="shared" si="573"/>
        <v>0.60586275980144244</v>
      </c>
      <c r="AF1019" s="72">
        <f t="shared" si="574"/>
        <v>0.50207211334868396</v>
      </c>
      <c r="AG1019" s="72">
        <f t="shared" si="575"/>
        <v>0.44517333102272461</v>
      </c>
      <c r="AH1019" s="72">
        <f t="shared" si="576"/>
        <v>0.43900063134623213</v>
      </c>
      <c r="AI1019" s="72">
        <f t="shared" si="577"/>
        <v>9.267830045523523E-2</v>
      </c>
      <c r="AJ1019" s="72">
        <f>(AV1019-Driver!$K$179)/(Driver!$L$179-Driver!$K$179)</f>
        <v>0.10877447425670775</v>
      </c>
      <c r="AK1019" s="72">
        <f>(AW1019-Driver!$K$180)/(Driver!$L$180-Driver!$K$180)</f>
        <v>9.4728922483919245E-2</v>
      </c>
      <c r="AL1019" s="72">
        <f>(AX1019-Driver!$K$181)/(Driver!$L$181-Driver!$K$181)</f>
        <v>0.30563460443938534</v>
      </c>
      <c r="AM1019" s="72">
        <f>(AY1019-Driver!$K$182)/(Driver!$L$182-Driver!$K$182)</f>
        <v>9.4606136352890696E-2</v>
      </c>
      <c r="AN1019" s="72">
        <f>(AZ1019-Driver!$K$183)/(Driver!$L$183-Driver!$K$183)</f>
        <v>7.9411764705882348E-2</v>
      </c>
      <c r="AO1019" s="72"/>
      <c r="AP1019" s="72"/>
      <c r="AQ1019" s="72">
        <f>(BC1019-Driver!$K$188)/(Driver!$L$188-Driver!$K$188)</f>
        <v>1.4137240198557525E-2</v>
      </c>
      <c r="AR1019" s="72">
        <f>MIN((BD1019-Driver!$K$189)/(Driver!$L$189-Driver!$K$189),100%)</f>
        <v>4.7927886651316122E-2</v>
      </c>
      <c r="AS1019" s="72">
        <f>(BE1019-Driver!$K$190)/(Driver!$L$190-Driver!$K$190)</f>
        <v>6.482666897727539E-2</v>
      </c>
      <c r="AT1019" s="72">
        <f>(BF1019-Driver!$K$191)/(Driver!$L$191-Driver!$K$191)</f>
        <v>7.0999368653767866E-2</v>
      </c>
      <c r="AU1019" s="72">
        <f>(BG1019-Driver!$K$192)/(Driver!$L$192-Driver!$K$192)</f>
        <v>0.15732169954476477</v>
      </c>
      <c r="AV1019" s="70">
        <f t="shared" si="578"/>
        <v>2.2893772893772892</v>
      </c>
      <c r="AW1019" s="70">
        <f t="shared" si="579"/>
        <v>11.104065501158491</v>
      </c>
      <c r="AX1019" s="70">
        <f t="shared" si="580"/>
        <v>3.7507114399544679</v>
      </c>
      <c r="AY1019" s="70">
        <f>IFERROR(Driver!$K$19/Data!BH1019/Data!BI1019*Data!BK1019*Data!BL1019,"")</f>
        <v>0.11582613864259307</v>
      </c>
      <c r="AZ1019" s="70">
        <f t="shared" si="581"/>
        <v>7.2375279225614291</v>
      </c>
      <c r="BA1019" s="70"/>
      <c r="BB1019" s="70"/>
      <c r="BC1019" s="70">
        <f t="shared" si="582"/>
        <v>7.3330847714911869</v>
      </c>
      <c r="BD1019" s="70">
        <f t="shared" si="583"/>
        <v>5.9623559295492266</v>
      </c>
      <c r="BE1019" s="70">
        <f t="shared" si="584"/>
        <v>6.4993493373705649E-2</v>
      </c>
      <c r="BF1019" s="70">
        <f t="shared" si="585"/>
        <v>8.0188798906482432</v>
      </c>
      <c r="BG1019" s="70">
        <f t="shared" si="586"/>
        <v>0.59572031487101662</v>
      </c>
      <c r="BH1019" s="67">
        <f>MAX((CE1019-Driver!$F$200)/(Driver!$G$200-Driver!$F$200)*$BI$1,1)</f>
        <v>3.7507114399544679</v>
      </c>
      <c r="BI1019" s="67">
        <f>MAX($BI$1*(BY1019-Driver!$F$201)/(Driver!$G$201-Driver!$F$201),1)</f>
        <v>5.1265822784810124</v>
      </c>
      <c r="BJ1019" s="67">
        <f>(CB1019-Driver!$F$206)/(Driver!$G$206-Driver!$F$206)*$BI$1</f>
        <v>3.9682539682539679</v>
      </c>
      <c r="BK1019" s="67">
        <f>(CD1019-Driver!$F$203)/(Driver!$G$203-Driver!$F$203)*$BI$1</f>
        <v>2.0183486238532113</v>
      </c>
      <c r="BL1019" s="67">
        <f>MAX((CR1019-Driver!$F$202)/(Driver!$G$202-Driver!$F$202)*$BI$1,1)</f>
        <v>5.5172413793103452</v>
      </c>
      <c r="BM1019" s="67">
        <f>MAX((CH1019-Driver!$F$204)/(Driver!$G$204-Driver!$F$204)*$BI$1,1)</f>
        <v>2.3076923076923079</v>
      </c>
      <c r="BN1019" s="67">
        <f>(CI1019-Driver!$F$205)/(Driver!$G$205-Driver!$F$205)*$BI$1</f>
        <v>1.4117647058823528</v>
      </c>
      <c r="BO1019" s="67">
        <f>(CK1019-Driver!$F$207)/(Driver!$G$207-Driver!$F$207)*$BI$1</f>
        <v>1.5822130299896586</v>
      </c>
      <c r="BP1019" s="67">
        <f>(CM1019-Driver!$F$208)/(Driver!$G$208-Driver!$F$208)*$BI$1</f>
        <v>2.5777777777777775</v>
      </c>
      <c r="BQ1019" s="67">
        <f>(CL1019-Driver!$F$209)/(Driver!$G$209-Driver!$F$209)*$BI$1</f>
        <v>5.15625</v>
      </c>
      <c r="BR1019" s="28" t="s">
        <v>155</v>
      </c>
      <c r="BS1019" s="8" t="s">
        <v>172</v>
      </c>
      <c r="BT1019" s="9" t="s">
        <v>805</v>
      </c>
      <c r="BU1019" s="10">
        <v>140</v>
      </c>
      <c r="BV1019" s="9" t="s">
        <v>163</v>
      </c>
      <c r="BW1019" s="10">
        <v>140</v>
      </c>
      <c r="BX1019" s="10">
        <v>138.6</v>
      </c>
      <c r="BY1019" s="10">
        <v>89</v>
      </c>
      <c r="BZ1019" s="10">
        <v>114</v>
      </c>
      <c r="CA1019" s="10">
        <v>118</v>
      </c>
      <c r="CB1019" s="10">
        <v>89</v>
      </c>
      <c r="CC1019" s="10">
        <v>107</v>
      </c>
      <c r="CD1019" s="10">
        <v>13.8</v>
      </c>
      <c r="CE1019" s="10">
        <v>1559</v>
      </c>
      <c r="CF1019" s="10">
        <v>0.87</v>
      </c>
      <c r="CG1019" s="10">
        <v>1361</v>
      </c>
      <c r="CH1019" s="10">
        <v>155</v>
      </c>
      <c r="CI1019" s="10">
        <v>57</v>
      </c>
      <c r="CJ1019" s="10">
        <v>52</v>
      </c>
      <c r="CK1019" s="10">
        <v>263</v>
      </c>
      <c r="CL1019" s="10">
        <v>33</v>
      </c>
      <c r="CM1019" s="10">
        <v>232</v>
      </c>
      <c r="CN1019" s="10">
        <v>0.623</v>
      </c>
      <c r="CO1019" s="10">
        <v>118</v>
      </c>
      <c r="CP1019" s="10">
        <v>124</v>
      </c>
      <c r="CQ1019" s="10">
        <v>145</v>
      </c>
      <c r="CR1019" s="10">
        <v>5</v>
      </c>
      <c r="CS1019" s="10">
        <v>5</v>
      </c>
      <c r="CT1019" s="9" t="s">
        <v>188</v>
      </c>
      <c r="CU1019" s="10"/>
      <c r="CV1019" s="10"/>
      <c r="CW1019" s="10"/>
      <c r="CX1019" t="str">
        <f>INDEX('Data_Price '!AG$2:AG$1266,MATCH(Data!$DN1019,'Data_Price '!$AT$2:$AT$1266,0))</f>
        <v>Rossignol Blackops W Dreamer XP/XP W10GW 140cm</v>
      </c>
      <c r="CY1019" t="str">
        <f>INDEX('Data_Price '!AH$2:AH$1266,MATCH(Data!$DN1019,'Data_Price '!$AT$2:$AT$1266,0))</f>
        <v>Sundance Ski and Board Shop</v>
      </c>
      <c r="CZ1019">
        <f>INDEX('Data_Price '!AI$2:AI$1266,MATCH(Data!$DN1019,'Data_Price '!$AT$2:$AT$1266,0))</f>
        <v>296.52999999999997</v>
      </c>
      <c r="DA1019" t="str">
        <f>INDEX('Data_Price '!AJ$2:AJ$1266,MATCH(Data!$DN1019,'Data_Price '!$AT$2:$AT$1266,0))</f>
        <v>https://tinyurl.com/y6vxeqv2</v>
      </c>
      <c r="DB1019" t="str">
        <f>INDEX('Data_Price '!AK$2:AK$1266,MATCH(Data!$DN1019,'Data_Price '!$AT$2:$AT$1266,0))</f>
        <v>Rossignol 2022 Blackops W Dreamer Xpress 140cm Teen All Mtn Skis W/</v>
      </c>
      <c r="DC1019" t="str">
        <f>INDEX('Data_Price '!AL$2:AL$1266,MATCH(Data!$DN1019,'Data_Price '!$AT$2:$AT$1266,0))</f>
        <v>eBay - sir_davahad</v>
      </c>
      <c r="DD1019">
        <f>INDEX('Data_Price '!AM$2:AM$1266,MATCH(Data!$DN1019,'Data_Price '!$AT$2:$AT$1266,0))</f>
        <v>299</v>
      </c>
      <c r="DE1019" t="str">
        <f>INDEX('Data_Price '!AN$2:AN$1266,MATCH(Data!$DN1019,'Data_Price '!$AT$2:$AT$1266,0))</f>
        <v>https://tinyurl.com/y8dxu3cc</v>
      </c>
      <c r="DF1019" t="str">
        <f>INDEX('Data_Price '!AO$2:AO$1266,MATCH(Data!$DN1019,'Data_Price '!$AT$2:$AT$1266,0))</f>
        <v>Rossignol Teen's Skis Blackops W Dreamer (xpress)</v>
      </c>
      <c r="DG1019" t="str">
        <f>INDEX('Data_Price '!AP$2:AP$1266,MATCH(Data!$DN1019,'Data_Price '!$AT$2:$AT$1266,0))</f>
        <v>Spoke-N-Sport</v>
      </c>
      <c r="DH1019">
        <f>INDEX('Data_Price '!AQ$2:AQ$1266,MATCH(Data!$DN1019,'Data_Price '!$AT$2:$AT$1266,0))</f>
        <v>314.99</v>
      </c>
      <c r="DI1019" t="str">
        <f>INDEX('Data_Price '!AR$2:AR$1266,MATCH(Data!$DN1019,'Data_Price '!$AT$2:$AT$1266,0))</f>
        <v>https://tinyurl.com/y9gtz8s2</v>
      </c>
      <c r="DJ1019" s="89" t="str">
        <f t="shared" si="587"/>
        <v>https://tinyurl.com/y6vxeqv2</v>
      </c>
      <c r="DK1019" s="89" t="str">
        <f t="shared" si="588"/>
        <v>https://tinyurl.com/y8dxu3cc</v>
      </c>
      <c r="DL1019" s="89" t="str">
        <f t="shared" si="589"/>
        <v>https://tinyurl.com/y9gtz8s2</v>
      </c>
      <c r="DM1019" s="219" t="str">
        <f t="shared" si="590"/>
        <v>Blackops Dreamer W</v>
      </c>
      <c r="DN1019" s="89" t="str">
        <f t="shared" si="591"/>
        <v xml:space="preserve"> RossignolBlackops Dreamer W140 Women's</v>
      </c>
      <c r="DO1019" s="221"/>
    </row>
    <row r="1020" spans="2:119" ht="15.6" customHeight="1">
      <c r="B1020" s="219" t="b">
        <f t="array" ref="B1020">IF(OR(ISERROR(K1020:P1020)),FALSE,TRUE)</f>
        <v>1</v>
      </c>
      <c r="C1020" s="43" t="b">
        <f>OR(BR1020=Driver!$G$50,Data!BR998=Driver!$H$50)</f>
        <v>1</v>
      </c>
      <c r="D1020" s="43" t="b">
        <f>OR(BV1020=Driver!$G$51,BV1020=Driver!$H$51)</f>
        <v>1</v>
      </c>
      <c r="E1020" s="43" t="b">
        <f>AND(BX1020&gt;Driver!$F$54,BX1020&lt;Driver!$G$54)</f>
        <v>1</v>
      </c>
      <c r="F1020" s="43" t="b">
        <f>CL1020&gt;Driver!$F$56</f>
        <v>1</v>
      </c>
      <c r="G1020" s="43" t="b">
        <f>AND(CB1020&gt;Driver!$F$55,CB1020&lt;Driver!$G$55)</f>
        <v>0</v>
      </c>
      <c r="H1020" s="43" t="b">
        <f t="shared" si="555"/>
        <v>0</v>
      </c>
      <c r="I1020" s="43">
        <f t="shared" si="556"/>
        <v>0</v>
      </c>
      <c r="J1020" s="43" t="b">
        <f t="array" ref="J1020">NOT(OR(($H$9:$H$1273=TRUE)*($I$9:$I$1273&gt;0)*($BT$9:$BT$1273=BT1020)*($K$9:$K$1273&gt;K1020)))</f>
        <v>1</v>
      </c>
      <c r="K1020" s="72">
        <f t="shared" si="557"/>
        <v>0.77464361232201373</v>
      </c>
      <c r="L1020" s="72">
        <f t="shared" si="558"/>
        <v>0.80089299100736477</v>
      </c>
      <c r="M1020" s="72">
        <f t="shared" si="559"/>
        <v>0.74839423363666246</v>
      </c>
      <c r="N1020" s="72">
        <f t="shared" si="560"/>
        <v>0.77202229858944771</v>
      </c>
      <c r="O1020" s="72">
        <f t="shared" si="561"/>
        <v>0.60965105343330572</v>
      </c>
      <c r="P1020" s="72">
        <f t="shared" si="562"/>
        <v>0.86350934888723418</v>
      </c>
      <c r="Q1020" s="72"/>
      <c r="R1020" s="72"/>
      <c r="S1020" s="72">
        <f t="shared" si="563"/>
        <v>0.40268835440727913</v>
      </c>
      <c r="T1020" s="72">
        <f t="shared" si="564"/>
        <v>0.71783964181349358</v>
      </c>
      <c r="U1020" s="72">
        <f t="shared" si="565"/>
        <v>0.51</v>
      </c>
      <c r="V1020" s="72">
        <f t="shared" si="566"/>
        <v>0.49335650835447697</v>
      </c>
      <c r="W1020" s="72">
        <f t="shared" si="567"/>
        <v>0.77562108283621534</v>
      </c>
      <c r="X1020" s="72">
        <f t="shared" si="568"/>
        <v>0.19910700899263517</v>
      </c>
      <c r="Y1020" s="72">
        <f t="shared" si="569"/>
        <v>0.25160576636333748</v>
      </c>
      <c r="Z1020" s="72">
        <f t="shared" si="570"/>
        <v>0.22797770141055229</v>
      </c>
      <c r="AA1020" s="72">
        <f t="shared" si="571"/>
        <v>0.39034894656669433</v>
      </c>
      <c r="AB1020" s="72">
        <f t="shared" si="572"/>
        <v>0.13649065111276579</v>
      </c>
      <c r="AC1020" s="72"/>
      <c r="AD1020" s="72"/>
      <c r="AE1020" s="72">
        <f t="shared" si="573"/>
        <v>0.59731164559272087</v>
      </c>
      <c r="AF1020" s="72">
        <f t="shared" si="574"/>
        <v>0.28216035818650637</v>
      </c>
      <c r="AG1020" s="72">
        <f t="shared" si="575"/>
        <v>0.49</v>
      </c>
      <c r="AH1020" s="72">
        <f t="shared" si="576"/>
        <v>0.50664349164552303</v>
      </c>
      <c r="AI1020" s="72">
        <f t="shared" si="577"/>
        <v>0.22437891716378464</v>
      </c>
      <c r="AJ1020" s="72">
        <f>(AV1020-Driver!$K$179)/(Driver!$L$179-Driver!$K$179)</f>
        <v>5.5112400290065255E-2</v>
      </c>
      <c r="AK1020" s="72">
        <f>(AW1020-Driver!$K$180)/(Driver!$L$180-Driver!$K$180)</f>
        <v>0.13230849636348432</v>
      </c>
      <c r="AL1020" s="72">
        <f>(AX1020-Driver!$K$181)/(Driver!$L$181-Driver!$K$181)</f>
        <v>0.32966546512363248</v>
      </c>
      <c r="AM1020" s="72">
        <f>(AY1020-Driver!$K$182)/(Driver!$L$182-Driver!$K$182)</f>
        <v>5.7036074530352053E-2</v>
      </c>
      <c r="AN1020" s="72">
        <f>(AZ1020-Driver!$K$183)/(Driver!$L$183-Driver!$K$183)</f>
        <v>0.11772875816993464</v>
      </c>
      <c r="AO1020" s="72"/>
      <c r="AP1020" s="72"/>
      <c r="AQ1020" s="72">
        <f>(BC1020-Driver!$K$188)/(Driver!$L$188-Driver!$K$188)</f>
        <v>2.2688354407279079E-2</v>
      </c>
      <c r="AR1020" s="72">
        <f>MIN((BD1020-Driver!$K$189)/(Driver!$L$189-Driver!$K$189),100%)</f>
        <v>0.26783964181349368</v>
      </c>
      <c r="AS1020" s="72">
        <f>(BE1020-Driver!$K$190)/(Driver!$L$190-Driver!$K$190)</f>
        <v>1</v>
      </c>
      <c r="AT1020" s="72">
        <f>(BF1020-Driver!$K$191)/(Driver!$L$191-Driver!$K$191)</f>
        <v>3.3565083544769784E-3</v>
      </c>
      <c r="AU1020" s="72">
        <f>(BG1020-Driver!$K$192)/(Driver!$L$192-Driver!$K$192)</f>
        <v>2.5621082836215357E-2</v>
      </c>
      <c r="AV1020" s="70">
        <f t="shared" si="578"/>
        <v>1.1599511599511598</v>
      </c>
      <c r="AW1020" s="70">
        <f t="shared" si="579"/>
        <v>14.766527964621112</v>
      </c>
      <c r="AX1020" s="70">
        <f t="shared" si="580"/>
        <v>3.9669891861126922</v>
      </c>
      <c r="AY1020" s="70">
        <f>IFERROR(Driver!$K$19/Data!BH1020/Data!BI1020*Data!BK1020*Data!BL1020,"")</f>
        <v>6.9829173147286802E-2</v>
      </c>
      <c r="AZ1020" s="70">
        <f t="shared" si="581"/>
        <v>10.729709605361132</v>
      </c>
      <c r="BA1020" s="70"/>
      <c r="BB1020" s="70"/>
      <c r="BC1020" s="70">
        <f t="shared" si="582"/>
        <v>11.768607157936604</v>
      </c>
      <c r="BD1020" s="70">
        <f t="shared" si="583"/>
        <v>25.424156600829225</v>
      </c>
      <c r="BE1020" s="70">
        <f t="shared" si="584"/>
        <v>1</v>
      </c>
      <c r="BF1020" s="70">
        <f t="shared" si="585"/>
        <v>0.37909403783240392</v>
      </c>
      <c r="BG1020" s="70">
        <f t="shared" si="586"/>
        <v>9.7017764101789625E-2</v>
      </c>
      <c r="BH1020" s="67">
        <f>MAX((CE1020-Driver!$F$200)/(Driver!$G$200-Driver!$F$200)*$BI$1,1)</f>
        <v>3.9669891861126922</v>
      </c>
      <c r="BI1020" s="67">
        <f>MAX($BI$1*(BY1020-Driver!$F$201)/(Driver!$G$201-Driver!$F$201),1)</f>
        <v>8.2911392405063289</v>
      </c>
      <c r="BJ1020" s="67">
        <f>(CB1020-Driver!$F$206)/(Driver!$G$206-Driver!$F$206)*$BI$1</f>
        <v>1.9047619047619047</v>
      </c>
      <c r="BK1020" s="67">
        <f>(CD1020-Driver!$F$203)/(Driver!$G$203-Driver!$F$203)*$BI$1</f>
        <v>1.5137614678899081</v>
      </c>
      <c r="BL1020" s="67">
        <f>MAX((CR1020-Driver!$F$202)/(Driver!$G$202-Driver!$F$202)*$BI$1,1)</f>
        <v>7.5862068965517242</v>
      </c>
      <c r="BM1020" s="67">
        <f>MAX((CH1020-Driver!$F$204)/(Driver!$G$204-Driver!$F$204)*$BI$1,1)</f>
        <v>2.4358974358974357</v>
      </c>
      <c r="BN1020" s="67">
        <f>(CI1020-Driver!$F$205)/(Driver!$G$205-Driver!$F$205)*$BI$1</f>
        <v>1.2941176470588236</v>
      </c>
      <c r="BO1020" s="67">
        <f>(CK1020-Driver!$F$207)/(Driver!$G$207-Driver!$F$207)*$BI$1</f>
        <v>0.39296794208893482</v>
      </c>
      <c r="BP1020" s="67">
        <f>(CM1020-Driver!$F$208)/(Driver!$G$208-Driver!$F$208)*$BI$1</f>
        <v>0.76666666666666661</v>
      </c>
      <c r="BQ1020" s="67">
        <f>(CL1020-Driver!$F$209)/(Driver!$G$209-Driver!$F$209)*$BI$1</f>
        <v>0.9375</v>
      </c>
      <c r="BR1020" s="28" t="s">
        <v>155</v>
      </c>
      <c r="BS1020" s="8" t="s">
        <v>172</v>
      </c>
      <c r="BT1020" s="9" t="s">
        <v>711</v>
      </c>
      <c r="BU1020" s="10">
        <v>160</v>
      </c>
      <c r="BV1020" s="9" t="s">
        <v>158</v>
      </c>
      <c r="BW1020" s="10">
        <v>160</v>
      </c>
      <c r="BX1020" s="10">
        <v>160.4</v>
      </c>
      <c r="BY1020" s="10">
        <v>139</v>
      </c>
      <c r="BZ1020" s="10">
        <v>145</v>
      </c>
      <c r="CA1020" s="10">
        <v>124</v>
      </c>
      <c r="CB1020" s="10">
        <v>76</v>
      </c>
      <c r="CC1020" s="10">
        <v>110</v>
      </c>
      <c r="CD1020" s="10">
        <v>12.7</v>
      </c>
      <c r="CE1020" s="10">
        <v>1597</v>
      </c>
      <c r="CF1020" s="10">
        <v>0.92</v>
      </c>
      <c r="CG1020" s="10">
        <v>1470</v>
      </c>
      <c r="CH1020" s="10">
        <v>158</v>
      </c>
      <c r="CI1020" s="10">
        <v>55</v>
      </c>
      <c r="CJ1020" s="10">
        <v>36</v>
      </c>
      <c r="CK1020" s="10">
        <v>148</v>
      </c>
      <c r="CL1020" s="10">
        <v>6</v>
      </c>
      <c r="CM1020" s="10">
        <v>69</v>
      </c>
      <c r="CN1020" s="10">
        <v>0.17599999999999999</v>
      </c>
      <c r="CO1020" s="10">
        <v>74</v>
      </c>
      <c r="CP1020" s="10">
        <v>82</v>
      </c>
      <c r="CQ1020" s="10">
        <v>74</v>
      </c>
      <c r="CR1020" s="10">
        <v>11</v>
      </c>
      <c r="CS1020" s="10">
        <v>8.1999999999999993</v>
      </c>
      <c r="CT1020" s="9" t="s">
        <v>349</v>
      </c>
      <c r="CU1020" s="10"/>
      <c r="CV1020" s="10"/>
      <c r="CW1020" s="10"/>
      <c r="CX1020" t="str">
        <f>INDEX('Data_Price '!AG$2:AG$1266,MATCH(Data!$DN1020,'Data_Price '!$AT$2:$AT$1266,0))</f>
        <v>Rossignol Experience 76 Skis w/ Look Xpress 10 GW Bindings</v>
      </c>
      <c r="CY1020" t="str">
        <f>INDEX('Data_Price '!AH$2:AH$1266,MATCH(Data!$DN1020,'Data_Price '!$AT$2:$AT$1266,0))</f>
        <v>The-House.com</v>
      </c>
      <c r="CZ1020">
        <f>INDEX('Data_Price '!AI$2:AI$1266,MATCH(Data!$DN1020,'Data_Price '!$AT$2:$AT$1266,0))</f>
        <v>319.95</v>
      </c>
      <c r="DA1020" t="str">
        <f>INDEX('Data_Price '!AJ$2:AJ$1266,MATCH(Data!$DN1020,'Data_Price '!$AT$2:$AT$1266,0))</f>
        <v>https://tinyurl.com/y8oqvgen</v>
      </c>
      <c r="DB1020" t="str">
        <f>INDEX('Data_Price '!AK$2:AK$1266,MATCH(Data!$DN1020,'Data_Price '!$AT$2:$AT$1266,0))</f>
        <v>Rossignol Women's All Mountain Skis Experience W 76 (xpress)</v>
      </c>
      <c r="DC1020" t="str">
        <f>INDEX('Data_Price '!AL$2:AL$1266,MATCH(Data!$DN1020,'Data_Price '!$AT$2:$AT$1266,0))</f>
        <v>Rossignol US</v>
      </c>
      <c r="DD1020">
        <f>INDEX('Data_Price '!AM$2:AM$1266,MATCH(Data!$DN1020,'Data_Price '!$AT$2:$AT$1266,0))</f>
        <v>399.95</v>
      </c>
      <c r="DE1020" t="str">
        <f>INDEX('Data_Price '!AN$2:AN$1266,MATCH(Data!$DN1020,'Data_Price '!$AT$2:$AT$1266,0))</f>
        <v>https://tinyurl.com/y8mnzxcr</v>
      </c>
      <c r="DF1020" t="str">
        <f>INDEX('Data_Price '!AO$2:AO$1266,MATCH(Data!$DN1020,'Data_Price '!$AT$2:$AT$1266,0))</f>
        <v>Rossignol Experience 76 Women's Skis w Rossignol Xpress 11 Demo Binding Bindings  Demo</v>
      </c>
      <c r="DG1020" t="str">
        <f>INDEX('Data_Price '!AP$2:AP$1266,MATCH(Data!$DN1020,'Data_Price '!$AT$2:$AT$1266,0))</f>
        <v>Powder7 Ski Shop</v>
      </c>
      <c r="DH1020">
        <f>INDEX('Data_Price '!AQ$2:AQ$1266,MATCH(Data!$DN1020,'Data_Price '!$AT$2:$AT$1266,0))</f>
        <v>419.99</v>
      </c>
      <c r="DI1020" t="str">
        <f>INDEX('Data_Price '!AR$2:AR$1266,MATCH(Data!$DN1020,'Data_Price '!$AT$2:$AT$1266,0))</f>
        <v>https://tinyurl.com/y7nh6edu</v>
      </c>
      <c r="DJ1020" s="89" t="str">
        <f t="shared" si="587"/>
        <v>https://tinyurl.com/y8oqvgen</v>
      </c>
      <c r="DK1020" s="89" t="str">
        <f t="shared" si="588"/>
        <v>https://tinyurl.com/y8mnzxcr</v>
      </c>
      <c r="DL1020" s="89" t="str">
        <f t="shared" si="589"/>
        <v>https://tinyurl.com/y7nh6edu</v>
      </c>
      <c r="DM1020" s="219" t="str">
        <f t="shared" si="590"/>
        <v>Experience 76</v>
      </c>
      <c r="DN1020" s="89" t="str">
        <f t="shared" si="591"/>
        <v xml:space="preserve"> RossignolExperience 76160 Unisex</v>
      </c>
      <c r="DO1020" s="221" t="s">
        <v>712</v>
      </c>
    </row>
    <row r="1021" spans="2:119" ht="15.6" customHeight="1">
      <c r="B1021" s="219" t="b">
        <f t="array" ref="B1021">IF(OR(ISERROR(K1021:P1021)),FALSE,TRUE)</f>
        <v>1</v>
      </c>
      <c r="C1021" s="43" t="b">
        <f>OR(BR1021=Driver!$G$50,Data!BR840=Driver!$H$50)</f>
        <v>1</v>
      </c>
      <c r="D1021" s="43" t="b">
        <f>OR(BV1021=Driver!$G$51,BV1021=Driver!$H$51)</f>
        <v>0</v>
      </c>
      <c r="E1021" s="43" t="b">
        <f>AND(BX1021&gt;Driver!$F$54,BX1021&lt;Driver!$G$54)</f>
        <v>1</v>
      </c>
      <c r="F1021" s="43" t="b">
        <f>CL1021&gt;Driver!$F$56</f>
        <v>1</v>
      </c>
      <c r="G1021" s="43" t="b">
        <f>AND(CB1021&gt;Driver!$F$55,CB1021&lt;Driver!$G$55)</f>
        <v>0</v>
      </c>
      <c r="H1021" s="43" t="b">
        <f t="shared" si="555"/>
        <v>0</v>
      </c>
      <c r="I1021" s="43">
        <f t="shared" si="556"/>
        <v>0</v>
      </c>
      <c r="J1021" s="43" t="b">
        <f t="array" ref="J1021">NOT(OR(($H$9:$H$1273=TRUE)*($I$9:$I$1273&gt;0)*($BT$9:$BT$1273=BT1021)*($K$9:$K$1273&gt;K1021)))</f>
        <v>1</v>
      </c>
      <c r="K1021" s="72">
        <f t="shared" si="557"/>
        <v>0.79000270146664542</v>
      </c>
      <c r="L1021" s="72">
        <f t="shared" si="558"/>
        <v>0.79668704466943874</v>
      </c>
      <c r="M1021" s="72">
        <f t="shared" si="559"/>
        <v>0.78331835826385199</v>
      </c>
      <c r="N1021" s="72">
        <f t="shared" si="560"/>
        <v>0.80680380747454228</v>
      </c>
      <c r="O1021" s="72">
        <f t="shared" si="561"/>
        <v>0.69851446744938739</v>
      </c>
      <c r="P1021" s="72">
        <f t="shared" si="562"/>
        <v>0.84463679986762641</v>
      </c>
      <c r="Q1021" s="72"/>
      <c r="R1021" s="72"/>
      <c r="S1021" s="72">
        <f t="shared" si="563"/>
        <v>0.41040508902756656</v>
      </c>
      <c r="T1021" s="72">
        <f t="shared" si="564"/>
        <v>0.44888969167973325</v>
      </c>
      <c r="U1021" s="72">
        <f t="shared" si="565"/>
        <v>0.71866982919839262</v>
      </c>
      <c r="V1021" s="72">
        <f t="shared" si="566"/>
        <v>0.50497215843911314</v>
      </c>
      <c r="W1021" s="72">
        <f t="shared" si="567"/>
        <v>0.78699376947040511</v>
      </c>
      <c r="X1021" s="72">
        <f t="shared" si="568"/>
        <v>0.20331295533056121</v>
      </c>
      <c r="Y1021" s="72">
        <f t="shared" si="569"/>
        <v>0.21668164173614798</v>
      </c>
      <c r="Z1021" s="72">
        <f t="shared" si="570"/>
        <v>0.19319619252545772</v>
      </c>
      <c r="AA1021" s="72">
        <f t="shared" si="571"/>
        <v>0.30148553255061261</v>
      </c>
      <c r="AB1021" s="72">
        <f t="shared" si="572"/>
        <v>0.15536320013237362</v>
      </c>
      <c r="AC1021" s="72"/>
      <c r="AD1021" s="72"/>
      <c r="AE1021" s="72">
        <f t="shared" si="573"/>
        <v>0.58959491097243344</v>
      </c>
      <c r="AF1021" s="72">
        <f t="shared" si="574"/>
        <v>0.55111030832026675</v>
      </c>
      <c r="AG1021" s="72">
        <f t="shared" si="575"/>
        <v>0.28133017080160738</v>
      </c>
      <c r="AH1021" s="72">
        <f t="shared" si="576"/>
        <v>0.49502784156088681</v>
      </c>
      <c r="AI1021" s="72">
        <f t="shared" si="577"/>
        <v>0.21300623052959489</v>
      </c>
      <c r="AJ1021" s="72">
        <f>(AV1021-Driver!$K$179)/(Driver!$L$179-Driver!$K$179)</f>
        <v>5.0906453952139226E-2</v>
      </c>
      <c r="AK1021" s="72">
        <f>(AW1021-Driver!$K$180)/(Driver!$L$180-Driver!$K$180)</f>
        <v>0.11256408304699074</v>
      </c>
      <c r="AL1021" s="72">
        <f>(AX1021-Driver!$K$181)/(Driver!$L$181-Driver!$K$181)</f>
        <v>0.29488395623853791</v>
      </c>
      <c r="AM1021" s="72">
        <f>(AY1021-Driver!$K$182)/(Driver!$L$182-Driver!$K$182)</f>
        <v>0.14589948854643375</v>
      </c>
      <c r="AN1021" s="72">
        <f>(AZ1021-Driver!$K$183)/(Driver!$L$183-Driver!$K$183)</f>
        <v>9.8856209150326807E-2</v>
      </c>
      <c r="AO1021" s="72"/>
      <c r="AP1021" s="72"/>
      <c r="AQ1021" s="72">
        <f>(BC1021-Driver!$K$188)/(Driver!$L$188-Driver!$K$188)</f>
        <v>3.0405089027566549E-2</v>
      </c>
      <c r="AR1021" s="72">
        <f>MIN((BD1021-Driver!$K$189)/(Driver!$L$189-Driver!$K$189),100%)</f>
        <v>-1.1103083202667007E-3</v>
      </c>
      <c r="AS1021" s="72">
        <f>(BE1021-Driver!$K$190)/(Driver!$L$190-Driver!$K$190)</f>
        <v>0.22866982919839265</v>
      </c>
      <c r="AT1021" s="72">
        <f>(BF1021-Driver!$K$191)/(Driver!$L$191-Driver!$K$191)</f>
        <v>1.4972158439113195E-2</v>
      </c>
      <c r="AU1021" s="72">
        <f>(BG1021-Driver!$K$192)/(Driver!$L$192-Driver!$K$192)</f>
        <v>0.46300623052959489</v>
      </c>
      <c r="AV1021" s="70">
        <f t="shared" si="578"/>
        <v>1.0714285714285714</v>
      </c>
      <c r="AW1021" s="70">
        <f t="shared" si="579"/>
        <v>12.842259933629107</v>
      </c>
      <c r="AX1021" s="70">
        <f t="shared" si="580"/>
        <v>3.6539556061468415</v>
      </c>
      <c r="AY1021" s="70">
        <f>IFERROR(Driver!$K$19/Data!BH1021/Data!BI1021*Data!BK1021*Data!BL1021,"")</f>
        <v>0.17862450618665718</v>
      </c>
      <c r="AZ1021" s="70">
        <f t="shared" si="581"/>
        <v>9.0096798212956077</v>
      </c>
      <c r="BA1021" s="70"/>
      <c r="BB1021" s="70"/>
      <c r="BC1021" s="70">
        <f t="shared" si="582"/>
        <v>15.771331051348467</v>
      </c>
      <c r="BD1021" s="70">
        <f t="shared" si="583"/>
        <v>1.6225625651040532</v>
      </c>
      <c r="BE1021" s="70">
        <f t="shared" si="584"/>
        <v>0.22880742581917277</v>
      </c>
      <c r="BF1021" s="70">
        <f t="shared" si="585"/>
        <v>1.6910001103317238</v>
      </c>
      <c r="BG1021" s="70">
        <f t="shared" si="586"/>
        <v>1.7532369548286602</v>
      </c>
      <c r="BH1021" s="67">
        <f>MAX((CE1021-Driver!$F$200)/(Driver!$G$200-Driver!$F$200)*$BI$1,1)</f>
        <v>3.6539556061468415</v>
      </c>
      <c r="BI1021" s="67">
        <f>MAX($BI$1*(BY1021-Driver!$F$201)/(Driver!$G$201-Driver!$F$201),1)</f>
        <v>7.6582278481012658</v>
      </c>
      <c r="BJ1021" s="67">
        <f>(CB1021-Driver!$F$206)/(Driver!$G$206-Driver!$F$206)*$BI$1</f>
        <v>4.2857142857142856</v>
      </c>
      <c r="BK1021" s="67">
        <f>(CD1021-Driver!$F$203)/(Driver!$G$203-Driver!$F$203)*$BI$1</f>
        <v>3.623853211009175</v>
      </c>
      <c r="BL1021" s="67">
        <f>MAX((CR1021-Driver!$F$202)/(Driver!$G$202-Driver!$F$202)*$BI$1,1)</f>
        <v>6.8965517241379315</v>
      </c>
      <c r="BM1021" s="67">
        <f>MAX((CH1021-Driver!$F$204)/(Driver!$G$204-Driver!$F$204)*$BI$1,1)</f>
        <v>1</v>
      </c>
      <c r="BN1021" s="67">
        <f>(CI1021-Driver!$F$205)/(Driver!$G$205-Driver!$F$205)*$BI$1</f>
        <v>1.1764705882352942</v>
      </c>
      <c r="BO1021" s="67">
        <f>(CK1021-Driver!$F$207)/(Driver!$G$207-Driver!$F$207)*$BI$1</f>
        <v>0.70320579110651493</v>
      </c>
      <c r="BP1021" s="67">
        <f>(CM1021-Driver!$F$208)/(Driver!$G$208-Driver!$F$208)*$BI$1</f>
        <v>2.0333333333333332</v>
      </c>
      <c r="BQ1021" s="67">
        <f>(CL1021-Driver!$F$209)/(Driver!$G$209-Driver!$F$209)*$BI$1</f>
        <v>6.40625</v>
      </c>
      <c r="BR1021" s="28" t="s">
        <v>155</v>
      </c>
      <c r="BS1021" s="8" t="s">
        <v>208</v>
      </c>
      <c r="BT1021" s="9" t="s">
        <v>843</v>
      </c>
      <c r="BU1021" s="10">
        <v>166</v>
      </c>
      <c r="BV1021" s="9" t="s">
        <v>163</v>
      </c>
      <c r="BW1021" s="10">
        <v>166</v>
      </c>
      <c r="BX1021" s="10">
        <v>165.3</v>
      </c>
      <c r="BY1021" s="10">
        <v>129</v>
      </c>
      <c r="BZ1021" s="10">
        <v>141</v>
      </c>
      <c r="CA1021" s="10">
        <v>120</v>
      </c>
      <c r="CB1021" s="10">
        <v>91</v>
      </c>
      <c r="CC1021" s="10">
        <v>117</v>
      </c>
      <c r="CD1021" s="10">
        <v>17.3</v>
      </c>
      <c r="CE1021" s="10">
        <v>1542</v>
      </c>
      <c r="CF1021" s="10">
        <v>1.08</v>
      </c>
      <c r="CG1021" s="10">
        <v>1668</v>
      </c>
      <c r="CH1021" s="10">
        <v>116</v>
      </c>
      <c r="CI1021" s="10">
        <v>53</v>
      </c>
      <c r="CJ1021" s="10">
        <v>42</v>
      </c>
      <c r="CK1021" s="10">
        <v>178</v>
      </c>
      <c r="CL1021" s="10">
        <v>41</v>
      </c>
      <c r="CM1021" s="10">
        <v>183</v>
      </c>
      <c r="CN1021" s="10">
        <v>0.98599999999999999</v>
      </c>
      <c r="CO1021" s="10">
        <v>125</v>
      </c>
      <c r="CP1021" s="10">
        <v>115</v>
      </c>
      <c r="CQ1021" s="10">
        <v>53</v>
      </c>
      <c r="CR1021" s="10">
        <v>9</v>
      </c>
      <c r="CS1021" s="10">
        <v>3.5</v>
      </c>
      <c r="CT1021" s="9" t="s">
        <v>184</v>
      </c>
      <c r="CU1021" s="9" t="s">
        <v>185</v>
      </c>
      <c r="CV1021" s="10"/>
      <c r="CW1021" s="10"/>
      <c r="CX1021" t="str">
        <f>INDEX('Data_Price '!AG$2:AG$1266,MATCH(Data!$DN1021,'Data_Price '!$AT$2:$AT$1266,0))</f>
        <v>Line Honey Bee Skis</v>
      </c>
      <c r="CY1021" t="str">
        <f>INDEX('Data_Price '!AH$2:AH$1266,MATCH(Data!$DN1021,'Data_Price '!$AT$2:$AT$1266,0))</f>
        <v>LINE Skis</v>
      </c>
      <c r="CZ1021">
        <f>INDEX('Data_Price '!AI$2:AI$1266,MATCH(Data!$DN1021,'Data_Price '!$AT$2:$AT$1266,0))</f>
        <v>349.95</v>
      </c>
      <c r="DA1021" t="str">
        <f>INDEX('Data_Price '!AJ$2:AJ$1266,MATCH(Data!$DN1021,'Data_Price '!$AT$2:$AT$1266,0))</f>
        <v>https://tinyurl.com/ybr8yfzu</v>
      </c>
      <c r="DB1021">
        <f>INDEX('Data_Price '!AK$2:AK$1266,MATCH(Data!$DN1021,'Data_Price '!$AT$2:$AT$1266,0))</f>
        <v>0</v>
      </c>
      <c r="DC1021">
        <f>INDEX('Data_Price '!AL$2:AL$1266,MATCH(Data!$DN1021,'Data_Price '!$AT$2:$AT$1266,0))</f>
        <v>0</v>
      </c>
      <c r="DD1021">
        <f>INDEX('Data_Price '!AM$2:AM$1266,MATCH(Data!$DN1021,'Data_Price '!$AT$2:$AT$1266,0))</f>
        <v>0</v>
      </c>
      <c r="DE1021">
        <f>INDEX('Data_Price '!AN$2:AN$1266,MATCH(Data!$DN1021,'Data_Price '!$AT$2:$AT$1266,0))</f>
        <v>0</v>
      </c>
      <c r="DF1021">
        <f>INDEX('Data_Price '!AO$2:AO$1266,MATCH(Data!$DN1021,'Data_Price '!$AT$2:$AT$1266,0))</f>
        <v>0</v>
      </c>
      <c r="DG1021">
        <f>INDEX('Data_Price '!AP$2:AP$1266,MATCH(Data!$DN1021,'Data_Price '!$AT$2:$AT$1266,0))</f>
        <v>0</v>
      </c>
      <c r="DH1021">
        <f>INDEX('Data_Price '!AQ$2:AQ$1266,MATCH(Data!$DN1021,'Data_Price '!$AT$2:$AT$1266,0))</f>
        <v>0</v>
      </c>
      <c r="DI1021">
        <f>INDEX('Data_Price '!AR$2:AR$1266,MATCH(Data!$DN1021,'Data_Price '!$AT$2:$AT$1266,0))</f>
        <v>0</v>
      </c>
      <c r="DJ1021" s="89" t="str">
        <f t="shared" si="587"/>
        <v>https://tinyurl.com/ybr8yfzu</v>
      </c>
      <c r="DK1021" s="89">
        <f t="shared" si="588"/>
        <v>0</v>
      </c>
      <c r="DL1021" s="89">
        <f t="shared" si="589"/>
        <v>0</v>
      </c>
      <c r="DM1021" s="219" t="str">
        <f t="shared" si="590"/>
        <v>Honey Bee</v>
      </c>
      <c r="DN1021" s="89" t="str">
        <f t="shared" si="591"/>
        <v xml:space="preserve"> LineHoney Bee166 Women's</v>
      </c>
      <c r="DO1021" s="221" t="s">
        <v>844</v>
      </c>
    </row>
    <row r="1022" spans="2:119" ht="15.6" customHeight="1">
      <c r="B1022" s="219" t="b">
        <f t="array" ref="B1022">IF(OR(ISERROR(K1022:P1022)),FALSE,TRUE)</f>
        <v>1</v>
      </c>
      <c r="C1022" s="43" t="b">
        <f>OR(BR1022=Driver!$G$50,Data!BR143=Driver!$H$50)</f>
        <v>1</v>
      </c>
      <c r="D1022" s="43" t="b">
        <f>OR(BV1022=Driver!$G$51,BV1022=Driver!$H$51)</f>
        <v>0</v>
      </c>
      <c r="E1022" s="43" t="b">
        <f>AND(BX1022&gt;Driver!$F$54,BX1022&lt;Driver!$G$54)</f>
        <v>1</v>
      </c>
      <c r="F1022" s="43" t="b">
        <f>CL1022&gt;Driver!$F$56</f>
        <v>1</v>
      </c>
      <c r="G1022" s="43" t="b">
        <f>AND(CB1022&gt;Driver!$F$55,CB1022&lt;Driver!$G$55)</f>
        <v>0</v>
      </c>
      <c r="H1022" s="43" t="b">
        <f t="shared" si="555"/>
        <v>0</v>
      </c>
      <c r="I1022" s="43">
        <f t="shared" si="556"/>
        <v>0</v>
      </c>
      <c r="J1022" s="43" t="b">
        <f t="array" ref="J1022">NOT(OR(($H$9:$H$1273=TRUE)*($I$9:$I$1273&gt;0)*($BT$9:$BT$1273=BT1022)*($K$9:$K$1273&gt;K1022)))</f>
        <v>1</v>
      </c>
      <c r="K1022" s="72">
        <f t="shared" si="557"/>
        <v>0.73920935852297598</v>
      </c>
      <c r="L1022" s="72">
        <f t="shared" si="558"/>
        <v>0.77075843295402502</v>
      </c>
      <c r="M1022" s="72">
        <f t="shared" si="559"/>
        <v>0.70766028409192683</v>
      </c>
      <c r="N1022" s="72">
        <f t="shared" si="560"/>
        <v>0.64174973803800273</v>
      </c>
      <c r="O1022" s="72">
        <f t="shared" si="561"/>
        <v>0.61049137319368108</v>
      </c>
      <c r="P1022" s="72">
        <f t="shared" si="562"/>
        <v>0.8707397410440969</v>
      </c>
      <c r="Q1022" s="72"/>
      <c r="R1022" s="72"/>
      <c r="S1022" s="72">
        <f t="shared" si="563"/>
        <v>0.43765677611523546</v>
      </c>
      <c r="T1022" s="72">
        <f t="shared" si="564"/>
        <v>0.97351762844201573</v>
      </c>
      <c r="U1022" s="72">
        <f t="shared" si="565"/>
        <v>0.51</v>
      </c>
      <c r="V1022" s="72">
        <f t="shared" si="566"/>
        <v>0.49060398425299956</v>
      </c>
      <c r="W1022" s="72">
        <f t="shared" si="567"/>
        <v>0.7621208873646983</v>
      </c>
      <c r="X1022" s="72">
        <f t="shared" si="568"/>
        <v>0.22924156704597495</v>
      </c>
      <c r="Y1022" s="72">
        <f t="shared" si="569"/>
        <v>0.29233971590807312</v>
      </c>
      <c r="Z1022" s="72">
        <f t="shared" si="570"/>
        <v>0.35825026196199727</v>
      </c>
      <c r="AA1022" s="72">
        <f t="shared" si="571"/>
        <v>0.38950862680631892</v>
      </c>
      <c r="AB1022" s="72">
        <f t="shared" si="572"/>
        <v>0.12926025895590304</v>
      </c>
      <c r="AC1022" s="72"/>
      <c r="AD1022" s="72"/>
      <c r="AE1022" s="72">
        <f t="shared" si="573"/>
        <v>0.56234322388476454</v>
      </c>
      <c r="AF1022" s="72">
        <f t="shared" si="574"/>
        <v>2.6482371557984274E-2</v>
      </c>
      <c r="AG1022" s="72">
        <f t="shared" si="575"/>
        <v>0.49</v>
      </c>
      <c r="AH1022" s="72">
        <f t="shared" si="576"/>
        <v>0.50939601574700044</v>
      </c>
      <c r="AI1022" s="72">
        <f t="shared" si="577"/>
        <v>0.23787911263530168</v>
      </c>
      <c r="AJ1022" s="72">
        <f>(AV1022-Driver!$K$179)/(Driver!$L$179-Driver!$K$179)</f>
        <v>2.4977842236725483E-2</v>
      </c>
      <c r="AK1022" s="72">
        <f>(AW1022-Driver!$K$180)/(Driver!$L$180-Driver!$K$180)</f>
        <v>0.15111083285570043</v>
      </c>
      <c r="AL1022" s="72">
        <f>(AX1022-Driver!$K$181)/(Driver!$L$181-Driver!$K$181)</f>
        <v>0.45993802567507747</v>
      </c>
      <c r="AM1022" s="72">
        <f>(AY1022-Driver!$K$182)/(Driver!$L$182-Driver!$K$182)</f>
        <v>5.7876394290727454E-2</v>
      </c>
      <c r="AN1022" s="72">
        <f>(AZ1022-Driver!$K$183)/(Driver!$L$183-Driver!$K$183)</f>
        <v>0.12495915032679737</v>
      </c>
      <c r="AO1022" s="72"/>
      <c r="AP1022" s="72"/>
      <c r="AQ1022" s="72">
        <f>(BC1022-Driver!$K$188)/(Driver!$L$188-Driver!$K$188)</f>
        <v>5.7656776115235397E-2</v>
      </c>
      <c r="AR1022" s="72">
        <f>MIN((BD1022-Driver!$K$189)/(Driver!$L$189-Driver!$K$189),100%)</f>
        <v>0.52351762844201577</v>
      </c>
      <c r="AS1022" s="72">
        <f>(BE1022-Driver!$K$190)/(Driver!$L$190-Driver!$K$190)</f>
        <v>1</v>
      </c>
      <c r="AT1022" s="72">
        <f>(BF1022-Driver!$K$191)/(Driver!$L$191-Driver!$K$191)</f>
        <v>6.0398425299952358E-4</v>
      </c>
      <c r="AU1022" s="72">
        <f>(BG1022-Driver!$K$192)/(Driver!$L$192-Driver!$K$192)</f>
        <v>1.2120887364698319E-2</v>
      </c>
      <c r="AV1022" s="70">
        <f t="shared" si="578"/>
        <v>0.52570885904219233</v>
      </c>
      <c r="AW1022" s="70">
        <f t="shared" si="579"/>
        <v>16.598982261437421</v>
      </c>
      <c r="AX1022" s="70">
        <f t="shared" si="580"/>
        <v>5.1394422310756971</v>
      </c>
      <c r="AY1022" s="70">
        <f>IFERROR(Driver!$K$19/Data!BH1022/Data!BI1022*Data!BK1022*Data!BL1022,"")</f>
        <v>7.0857975261203562E-2</v>
      </c>
      <c r="AZ1022" s="70">
        <f t="shared" si="581"/>
        <v>11.388682055100521</v>
      </c>
      <c r="BA1022" s="70"/>
      <c r="BB1022" s="70"/>
      <c r="BC1022" s="70">
        <f t="shared" si="582"/>
        <v>29.906970594377363</v>
      </c>
      <c r="BD1022" s="70">
        <f t="shared" si="583"/>
        <v>48.051205382868588</v>
      </c>
      <c r="BE1022" s="70">
        <f t="shared" si="584"/>
        <v>1</v>
      </c>
      <c r="BF1022" s="70">
        <f t="shared" si="585"/>
        <v>6.821577814676881E-2</v>
      </c>
      <c r="BG1022" s="70">
        <f t="shared" si="586"/>
        <v>4.5897411852963248E-2</v>
      </c>
      <c r="BH1022" s="67">
        <f>MAX((CE1022-Driver!$F$200)/(Driver!$G$200-Driver!$F$200)*$BI$1,1)</f>
        <v>5.1394422310756971</v>
      </c>
      <c r="BI1022" s="67">
        <f>MAX($BI$1*(BY1022-Driver!$F$201)/(Driver!$G$201-Driver!$F$201),1)</f>
        <v>8.4177215189873422</v>
      </c>
      <c r="BJ1022" s="67">
        <f>(CB1022-Driver!$F$206)/(Driver!$G$206-Driver!$F$206)*$BI$1</f>
        <v>0.79365079365079361</v>
      </c>
      <c r="BK1022" s="67">
        <f>(CD1022-Driver!$F$203)/(Driver!$G$203-Driver!$F$203)*$BI$1</f>
        <v>2.3394495412844036</v>
      </c>
      <c r="BL1022" s="67">
        <f>MAX((CR1022-Driver!$F$202)/(Driver!$G$202-Driver!$F$202)*$BI$1,1)</f>
        <v>6.5517241379310338</v>
      </c>
      <c r="BM1022" s="67">
        <f>MAX((CH1022-Driver!$F$204)/(Driver!$G$204-Driver!$F$204)*$BI$1,1)</f>
        <v>2.6495726495726495</v>
      </c>
      <c r="BN1022" s="67">
        <f>(CI1022-Driver!$F$205)/(Driver!$G$205-Driver!$F$205)*$BI$1</f>
        <v>1.3529411764705881</v>
      </c>
      <c r="BO1022" s="67">
        <f>(CK1022-Driver!$F$207)/(Driver!$G$207-Driver!$F$207)*$BI$1</f>
        <v>0.36194415718717682</v>
      </c>
      <c r="BP1022" s="67">
        <f>(CM1022-Driver!$F$208)/(Driver!$G$208-Driver!$F$208)*$BI$1</f>
        <v>0.55555555555555558</v>
      </c>
      <c r="BQ1022" s="67">
        <f>(CL1022-Driver!$F$209)/(Driver!$G$209-Driver!$F$209)*$BI$1</f>
        <v>0.625</v>
      </c>
      <c r="BR1022" s="28" t="s">
        <v>155</v>
      </c>
      <c r="BS1022" s="8" t="s">
        <v>156</v>
      </c>
      <c r="BT1022" s="9" t="s">
        <v>845</v>
      </c>
      <c r="BU1022" s="10">
        <v>161</v>
      </c>
      <c r="BV1022" s="9" t="s">
        <v>163</v>
      </c>
      <c r="BW1022" s="10">
        <v>161</v>
      </c>
      <c r="BX1022" s="10">
        <v>160.30000000000001</v>
      </c>
      <c r="BY1022" s="10">
        <v>141</v>
      </c>
      <c r="BZ1022" s="10">
        <v>147</v>
      </c>
      <c r="CA1022" s="10">
        <v>110</v>
      </c>
      <c r="CB1022" s="10">
        <v>69</v>
      </c>
      <c r="CC1022" s="10">
        <v>99</v>
      </c>
      <c r="CD1022" s="10">
        <v>14.5</v>
      </c>
      <c r="CE1022" s="10">
        <v>1803</v>
      </c>
      <c r="CF1022" s="10">
        <v>0.73</v>
      </c>
      <c r="CG1022" s="10">
        <v>1319</v>
      </c>
      <c r="CH1022" s="10">
        <v>163</v>
      </c>
      <c r="CI1022" s="10">
        <v>56</v>
      </c>
      <c r="CJ1022" s="10">
        <v>38</v>
      </c>
      <c r="CK1022" s="10">
        <v>145</v>
      </c>
      <c r="CL1022" s="10">
        <v>4</v>
      </c>
      <c r="CM1022" s="10">
        <v>50</v>
      </c>
      <c r="CN1022" s="10">
        <v>9.7000000000000003E-2</v>
      </c>
      <c r="CO1022" s="10">
        <v>80</v>
      </c>
      <c r="CP1022" s="10">
        <v>53</v>
      </c>
      <c r="CQ1022" s="10">
        <v>65</v>
      </c>
      <c r="CR1022" s="10">
        <v>8</v>
      </c>
      <c r="CS1022" s="10">
        <v>12.5</v>
      </c>
      <c r="CT1022" s="9" t="s">
        <v>349</v>
      </c>
      <c r="CU1022" s="10"/>
      <c r="CV1022" s="10"/>
      <c r="CW1022" s="10"/>
      <c r="CX1022" t="str">
        <f>INDEX('Data_Price '!AG$2:AG$1266,MATCH(Data!$DN1022,'Data_Price '!$AT$2:$AT$1266,0))</f>
        <v>Atomic Cloud C12 Servo Skis w/ x 12 GW Bindings</v>
      </c>
      <c r="CY1022" t="str">
        <f>INDEX('Data_Price '!AH$2:AH$1266,MATCH(Data!$DN1022,'Data_Price '!$AT$2:$AT$1266,0))</f>
        <v>The-House.com</v>
      </c>
      <c r="CZ1022">
        <f>INDEX('Data_Price '!AI$2:AI$1266,MATCH(Data!$DN1022,'Data_Price '!$AT$2:$AT$1266,0))</f>
        <v>639.95000000000005</v>
      </c>
      <c r="DA1022" t="str">
        <f>INDEX('Data_Price '!AJ$2:AJ$1266,MATCH(Data!$DN1022,'Data_Price '!$AT$2:$AT$1266,0))</f>
        <v>https://tinyurl.com/y8mukee2</v>
      </c>
      <c r="DB1022" t="str">
        <f>INDEX('Data_Price '!AK$2:AK$1266,MATCH(Data!$DN1022,'Data_Price '!$AT$2:$AT$1266,0))</f>
        <v>2020 Atomic Cloud 12 ladies snow skis with bindings 161</v>
      </c>
      <c r="DC1022" t="str">
        <f>INDEX('Data_Price '!AL$2:AL$1266,MATCH(Data!$DN1022,'Data_Price '!$AT$2:$AT$1266,0))</f>
        <v>The Pro Shop</v>
      </c>
      <c r="DD1022">
        <f>INDEX('Data_Price '!AM$2:AM$1266,MATCH(Data!$DN1022,'Data_Price '!$AT$2:$AT$1266,0))</f>
        <v>797</v>
      </c>
      <c r="DE1022" t="str">
        <f>INDEX('Data_Price '!AN$2:AN$1266,MATCH(Data!$DN1022,'Data_Price '!$AT$2:$AT$1266,0))</f>
        <v>https://tinyurl.com/y9xhowq2</v>
      </c>
      <c r="DF1022" t="str">
        <f>INDEX('Data_Price '!AO$2:AO$1266,MATCH(Data!$DN1022,'Data_Price '!$AT$2:$AT$1266,0))</f>
        <v>Atomic Cloud 12 Ladies Snow Skis 161 Cm W-bind (inc Poles Buyitnow)</v>
      </c>
      <c r="DG1022" t="str">
        <f>INDEX('Data_Price '!AP$2:AP$1266,MATCH(Data!$DN1022,'Data_Price '!$AT$2:$AT$1266,0))</f>
        <v>eBay - proskiguy</v>
      </c>
      <c r="DH1022">
        <f>INDEX('Data_Price '!AQ$2:AQ$1266,MATCH(Data!$DN1022,'Data_Price '!$AT$2:$AT$1266,0))</f>
        <v>799</v>
      </c>
      <c r="DI1022" t="str">
        <f>INDEX('Data_Price '!AR$2:AR$1266,MATCH(Data!$DN1022,'Data_Price '!$AT$2:$AT$1266,0))</f>
        <v>https://tinyurl.com/y727ncgb</v>
      </c>
      <c r="DJ1022" s="89" t="str">
        <f t="shared" si="587"/>
        <v>https://tinyurl.com/y8mukee2</v>
      </c>
      <c r="DK1022" s="89" t="str">
        <f t="shared" si="588"/>
        <v>https://tinyurl.com/y9xhowq2</v>
      </c>
      <c r="DL1022" s="89" t="str">
        <f t="shared" si="589"/>
        <v>https://tinyurl.com/y727ncgb</v>
      </c>
      <c r="DM1022" s="219" t="str">
        <f t="shared" si="590"/>
        <v>Cloud C12 Servo</v>
      </c>
      <c r="DN1022" s="89" t="str">
        <f t="shared" si="591"/>
        <v xml:space="preserve"> AtomicCloud C12 Servo161 Women's</v>
      </c>
      <c r="DO1022" s="221"/>
    </row>
    <row r="1023" spans="2:119" ht="15.6" customHeight="1">
      <c r="B1023" s="219" t="b">
        <f t="array" ref="B1023">IF(OR(ISERROR(K1023:P1023)),FALSE,TRUE)</f>
        <v>1</v>
      </c>
      <c r="C1023" s="43" t="b">
        <f>OR(BR1023=Driver!$G$50,Data!BR513=Driver!$H$50)</f>
        <v>1</v>
      </c>
      <c r="D1023" s="43" t="b">
        <f>OR(BV1023=Driver!$G$51,BV1023=Driver!$H$51)</f>
        <v>1</v>
      </c>
      <c r="E1023" s="43" t="b">
        <f>AND(BX1023&gt;Driver!$F$54,BX1023&lt;Driver!$G$54)</f>
        <v>0</v>
      </c>
      <c r="F1023" s="43" t="b">
        <f>CL1023&gt;Driver!$F$56</f>
        <v>1</v>
      </c>
      <c r="G1023" s="43" t="b">
        <f>AND(CB1023&gt;Driver!$F$55,CB1023&lt;Driver!$G$55)</f>
        <v>0</v>
      </c>
      <c r="H1023" s="43" t="b">
        <f t="shared" si="555"/>
        <v>0</v>
      </c>
      <c r="I1023" s="43">
        <f t="shared" si="556"/>
        <v>0</v>
      </c>
      <c r="J1023" s="43" t="b">
        <f t="array" ref="J1023">NOT(OR(($H$9:$H$1273=TRUE)*($I$9:$I$1273&gt;0)*($BT$9:$BT$1273=BT1023)*($K$9:$K$1273&gt;K1023)))</f>
        <v>1</v>
      </c>
      <c r="K1023" s="72">
        <f t="shared" si="557"/>
        <v>0.76871504683812297</v>
      </c>
      <c r="L1023" s="72">
        <f t="shared" si="558"/>
        <v>0.89324930211969988</v>
      </c>
      <c r="M1023" s="72">
        <f t="shared" si="559"/>
        <v>0.64418079155654606</v>
      </c>
      <c r="N1023" s="72">
        <f t="shared" si="560"/>
        <v>0.61582170414184123</v>
      </c>
      <c r="O1023" s="72">
        <f t="shared" si="561"/>
        <v>0.67467446385947583</v>
      </c>
      <c r="P1023" s="72">
        <f t="shared" si="562"/>
        <v>0.64204620666832124</v>
      </c>
      <c r="Q1023" s="72"/>
      <c r="R1023" s="72"/>
      <c r="S1023" s="72">
        <f t="shared" si="563"/>
        <v>0.60330405783811303</v>
      </c>
      <c r="T1023" s="72">
        <f t="shared" si="564"/>
        <v>0.53595919550190707</v>
      </c>
      <c r="U1023" s="72">
        <f t="shared" si="565"/>
        <v>0.66198340496652008</v>
      </c>
      <c r="V1023" s="72">
        <f t="shared" si="566"/>
        <v>0.51813972988740542</v>
      </c>
      <c r="W1023" s="72">
        <f t="shared" si="567"/>
        <v>0.77438975484261507</v>
      </c>
      <c r="X1023" s="72">
        <f t="shared" si="568"/>
        <v>0.10675069788030012</v>
      </c>
      <c r="Y1023" s="72">
        <f t="shared" si="569"/>
        <v>0.35581920844345388</v>
      </c>
      <c r="Z1023" s="72">
        <f t="shared" si="570"/>
        <v>0.38417829585815871</v>
      </c>
      <c r="AA1023" s="72">
        <f t="shared" si="571"/>
        <v>0.32532553614052417</v>
      </c>
      <c r="AB1023" s="72">
        <f t="shared" si="572"/>
        <v>0.3579537933316787</v>
      </c>
      <c r="AC1023" s="72"/>
      <c r="AD1023" s="72"/>
      <c r="AE1023" s="72">
        <f t="shared" si="573"/>
        <v>0.39669594216188703</v>
      </c>
      <c r="AF1023" s="72">
        <f t="shared" si="574"/>
        <v>0.46404080449809293</v>
      </c>
      <c r="AG1023" s="72">
        <f t="shared" si="575"/>
        <v>0.33801659503347992</v>
      </c>
      <c r="AH1023" s="72">
        <f t="shared" si="576"/>
        <v>0.48186027011259458</v>
      </c>
      <c r="AI1023" s="72">
        <f t="shared" si="577"/>
        <v>0.22561024515738498</v>
      </c>
      <c r="AJ1023" s="72">
        <f>(AV1023-Driver!$K$179)/(Driver!$L$179-Driver!$K$179)</f>
        <v>0.36097010716300054</v>
      </c>
      <c r="AK1023" s="72">
        <f>(AW1023-Driver!$K$180)/(Driver!$L$180-Driver!$K$180)</f>
        <v>0.60993263555627564</v>
      </c>
      <c r="AL1023" s="72">
        <f>(AX1023-Driver!$K$181)/(Driver!$L$181-Driver!$K$181)</f>
        <v>0.48586605957123891</v>
      </c>
      <c r="AM1023" s="72">
        <f>(AY1023-Driver!$K$182)/(Driver!$L$182-Driver!$K$182)</f>
        <v>0.1220594849565222</v>
      </c>
      <c r="AN1023" s="72">
        <f>(AZ1023-Driver!$K$183)/(Driver!$L$183-Driver!$K$183)</f>
        <v>0.61217320261437913</v>
      </c>
      <c r="AO1023" s="72"/>
      <c r="AP1023" s="72"/>
      <c r="AQ1023" s="72">
        <f>(BC1023-Driver!$K$188)/(Driver!$L$188-Driver!$K$188)</f>
        <v>0.22330405783811297</v>
      </c>
      <c r="AR1023" s="72">
        <f>MIN((BD1023-Driver!$K$189)/(Driver!$L$189-Driver!$K$189),100%)</f>
        <v>8.5959195501907143E-2</v>
      </c>
      <c r="AS1023" s="72">
        <f>(BE1023-Driver!$K$190)/(Driver!$L$190-Driver!$K$190)</f>
        <v>0.17198340496652012</v>
      </c>
      <c r="AT1023" s="72">
        <f>(BF1023-Driver!$K$191)/(Driver!$L$191-Driver!$K$191)</f>
        <v>2.813972988740545E-2</v>
      </c>
      <c r="AU1023" s="72">
        <f>(BG1023-Driver!$K$192)/(Driver!$L$192-Driver!$K$192)</f>
        <v>2.4389754842615009E-2</v>
      </c>
      <c r="AV1023" s="70">
        <f t="shared" si="578"/>
        <v>7.5973409306742639</v>
      </c>
      <c r="AW1023" s="70">
        <f t="shared" si="579"/>
        <v>61.315232509364861</v>
      </c>
      <c r="AX1023" s="70">
        <f t="shared" si="580"/>
        <v>5.37279453614115</v>
      </c>
      <c r="AY1023" s="70">
        <f>IFERROR(Driver!$K$19/Data!BH1023/Data!BI1023*Data!BK1023*Data!BL1023,"")</f>
        <v>0.1494372286220699</v>
      </c>
      <c r="AZ1023" s="70">
        <f t="shared" si="581"/>
        <v>55.793000744601642</v>
      </c>
      <c r="BA1023" s="70"/>
      <c r="BB1023" s="70"/>
      <c r="BC1023" s="70">
        <f t="shared" si="582"/>
        <v>115.82936718525404</v>
      </c>
      <c r="BD1023" s="70">
        <f t="shared" si="583"/>
        <v>9.3280593753347762</v>
      </c>
      <c r="BE1023" s="70">
        <f t="shared" si="584"/>
        <v>0.17213111380735033</v>
      </c>
      <c r="BF1023" s="70">
        <f t="shared" si="585"/>
        <v>3.1781847979913542</v>
      </c>
      <c r="BG1023" s="70">
        <f t="shared" si="586"/>
        <v>9.2355170815677956E-2</v>
      </c>
      <c r="BH1023" s="67">
        <f>MAX((CE1023-Driver!$F$200)/(Driver!$G$200-Driver!$F$200)*$BI$1,1)</f>
        <v>5.37279453614115</v>
      </c>
      <c r="BI1023" s="67">
        <f>MAX($BI$1*(BY1023-Driver!$F$201)/(Driver!$G$201-Driver!$F$201),1)</f>
        <v>8.037974683544304</v>
      </c>
      <c r="BJ1023" s="67">
        <f>(CB1023-Driver!$F$206)/(Driver!$G$206-Driver!$F$206)*$BI$1</f>
        <v>5.0793650793650791</v>
      </c>
      <c r="BK1023" s="67">
        <f>(CD1023-Driver!$F$203)/(Driver!$G$203-Driver!$F$203)*$BI$1</f>
        <v>4.678899082568809</v>
      </c>
      <c r="BL1023" s="67">
        <f>MAX((CR1023-Driver!$F$202)/(Driver!$G$202-Driver!$F$202)*$BI$1,1)</f>
        <v>6.8965517241379315</v>
      </c>
      <c r="BM1023" s="67">
        <f>MAX((CH1023-Driver!$F$204)/(Driver!$G$204-Driver!$F$204)*$BI$1,1)</f>
        <v>5.982905982905983</v>
      </c>
      <c r="BN1023" s="67">
        <f>(CI1023-Driver!$F$205)/(Driver!$G$205-Driver!$F$205)*$BI$1</f>
        <v>6.9411764705882355</v>
      </c>
      <c r="BO1023" s="67">
        <f>(CK1023-Driver!$F$207)/(Driver!$G$207-Driver!$F$207)*$BI$1</f>
        <v>1.5408479834539814</v>
      </c>
      <c r="BP1023" s="67">
        <f>(CM1023-Driver!$F$208)/(Driver!$G$208-Driver!$F$208)*$BI$1</f>
        <v>1.9</v>
      </c>
      <c r="BQ1023" s="67">
        <f>(CL1023-Driver!$F$209)/(Driver!$G$209-Driver!$F$209)*$BI$1</f>
        <v>2.96875</v>
      </c>
      <c r="BR1023" s="28" t="s">
        <v>155</v>
      </c>
      <c r="BS1023" s="8" t="s">
        <v>205</v>
      </c>
      <c r="BT1023" s="9" t="s">
        <v>378</v>
      </c>
      <c r="BU1023" s="10">
        <v>179</v>
      </c>
      <c r="BV1023" s="9" t="s">
        <v>158</v>
      </c>
      <c r="BW1023" s="10">
        <v>179</v>
      </c>
      <c r="BX1023" s="10">
        <v>177.5</v>
      </c>
      <c r="BY1023" s="10">
        <v>135</v>
      </c>
      <c r="BZ1023" s="10">
        <v>151</v>
      </c>
      <c r="CA1023" s="10">
        <v>127</v>
      </c>
      <c r="CB1023" s="10">
        <v>96</v>
      </c>
      <c r="CC1023" s="10">
        <v>117</v>
      </c>
      <c r="CD1023" s="10">
        <v>19.600000000000001</v>
      </c>
      <c r="CE1023" s="10">
        <v>1844</v>
      </c>
      <c r="CF1023" s="10">
        <v>1.02</v>
      </c>
      <c r="CG1023" s="10">
        <v>1887</v>
      </c>
      <c r="CH1023" s="10">
        <v>241</v>
      </c>
      <c r="CI1023" s="10">
        <v>151</v>
      </c>
      <c r="CJ1023" s="10">
        <v>53</v>
      </c>
      <c r="CK1023" s="10">
        <v>259</v>
      </c>
      <c r="CL1023" s="10">
        <v>19</v>
      </c>
      <c r="CM1023" s="10">
        <v>171</v>
      </c>
      <c r="CN1023" s="10">
        <v>0.35799999999999998</v>
      </c>
      <c r="CO1023" s="10">
        <v>165</v>
      </c>
      <c r="CP1023" s="10">
        <v>103</v>
      </c>
      <c r="CQ1023" s="10">
        <v>94</v>
      </c>
      <c r="CR1023" s="10">
        <v>9</v>
      </c>
      <c r="CS1023" s="10">
        <v>11.1</v>
      </c>
      <c r="CT1023" s="9" t="s">
        <v>188</v>
      </c>
      <c r="CU1023" s="10"/>
      <c r="CV1023" s="10"/>
      <c r="CW1023" s="10"/>
      <c r="CX1023" t="str">
        <f>INDEX('Data_Price '!AG$2:AG$1266,MATCH(Data!$DN1023,'Data_Price '!$AT$2:$AT$1266,0))</f>
        <v>Faction Dictator 2.0 Skis 2022</v>
      </c>
      <c r="CY1023" t="str">
        <f>INDEX('Data_Price '!AH$2:AH$1266,MATCH(Data!$DN1023,'Data_Price '!$AT$2:$AT$1266,0))</f>
        <v>Next Adventure</v>
      </c>
      <c r="CZ1023">
        <f>INDEX('Data_Price '!AI$2:AI$1266,MATCH(Data!$DN1023,'Data_Price '!$AT$2:$AT$1266,0))</f>
        <v>623.20000000000005</v>
      </c>
      <c r="DA1023" t="str">
        <f>INDEX('Data_Price '!AJ$2:AJ$1266,MATCH(Data!$DN1023,'Data_Price '!$AT$2:$AT$1266,0))</f>
        <v>https://tinyurl.com/yben82so</v>
      </c>
      <c r="DB1023" t="str">
        <f>INDEX('Data_Price '!AK$2:AK$1266,MATCH(Data!$DN1023,'Data_Price '!$AT$2:$AT$1266,0))</f>
        <v>Brand Faction Chapter 2.0 Snow Ski, 179cm Retail $629</v>
      </c>
      <c r="DC1023" t="str">
        <f>INDEX('Data_Price '!AL$2:AL$1266,MATCH(Data!$DN1023,'Data_Price '!$AT$2:$AT$1266,0))</f>
        <v>eBay</v>
      </c>
      <c r="DD1023">
        <f>INDEX('Data_Price '!AM$2:AM$1266,MATCH(Data!$DN1023,'Data_Price '!$AT$2:$AT$1266,0))</f>
        <v>439</v>
      </c>
      <c r="DE1023" t="str">
        <f>INDEX('Data_Price '!AN$2:AN$1266,MATCH(Data!$DN1023,'Data_Price '!$AT$2:$AT$1266,0))</f>
        <v>https://tinyurl.com/y976y5vj</v>
      </c>
      <c r="DF1023" t="str">
        <f>INDEX('Data_Price '!AO$2:AO$1266,MATCH(Data!$DN1023,'Data_Price '!$AT$2:$AT$1266,0))</f>
        <v>Faction Agent 2.0 Skis</v>
      </c>
      <c r="DG1023" t="str">
        <f>INDEX('Data_Price '!AP$2:AP$1266,MATCH(Data!$DN1023,'Data_Price '!$AT$2:$AT$1266,0))</f>
        <v>Gorham Bike and Ski</v>
      </c>
      <c r="DH1023">
        <f>INDEX('Data_Price '!AQ$2:AQ$1266,MATCH(Data!$DN1023,'Data_Price '!$AT$2:$AT$1266,0))</f>
        <v>489.99</v>
      </c>
      <c r="DI1023" t="str">
        <f>INDEX('Data_Price '!AR$2:AR$1266,MATCH(Data!$DN1023,'Data_Price '!$AT$2:$AT$1266,0))</f>
        <v>https://tinyurl.com/y9yk43w9</v>
      </c>
      <c r="DJ1023" s="89" t="str">
        <f t="shared" si="587"/>
        <v>https://tinyurl.com/yben82so</v>
      </c>
      <c r="DK1023" s="89" t="str">
        <f t="shared" si="588"/>
        <v>https://tinyurl.com/y976y5vj</v>
      </c>
      <c r="DL1023" s="89" t="str">
        <f t="shared" si="589"/>
        <v>https://tinyurl.com/y9yk43w9</v>
      </c>
      <c r="DM1023" s="219" t="str">
        <f t="shared" si="590"/>
        <v>Dictator 2.0</v>
      </c>
      <c r="DN1023" s="89" t="str">
        <f t="shared" si="591"/>
        <v xml:space="preserve"> FactionDictator 2.0179 Unisex</v>
      </c>
      <c r="DO1023" s="221" t="s">
        <v>379</v>
      </c>
    </row>
    <row r="1024" spans="2:119" ht="15.6" customHeight="1">
      <c r="B1024" s="219" t="b">
        <f t="array" ref="B1024">IF(OR(ISERROR(K1024:P1024)),FALSE,TRUE)</f>
        <v>1</v>
      </c>
      <c r="C1024" s="43" t="b">
        <f>OR(BR1024=Driver!$G$50,Data!BR524=Driver!$H$50)</f>
        <v>1</v>
      </c>
      <c r="D1024" s="43" t="b">
        <f>OR(BV1024=Driver!$G$51,BV1024=Driver!$H$51)</f>
        <v>1</v>
      </c>
      <c r="E1024" s="43" t="b">
        <f>AND(BX1024&gt;Driver!$F$54,BX1024&lt;Driver!$G$54)</f>
        <v>1</v>
      </c>
      <c r="F1024" s="43" t="b">
        <f>CL1024&gt;Driver!$F$56</f>
        <v>1</v>
      </c>
      <c r="G1024" s="43" t="b">
        <f>AND(CB1024&gt;Driver!$F$55,CB1024&lt;Driver!$G$55)</f>
        <v>0</v>
      </c>
      <c r="H1024" s="43" t="b">
        <f t="shared" si="555"/>
        <v>0</v>
      </c>
      <c r="I1024" s="43">
        <f t="shared" si="556"/>
        <v>0</v>
      </c>
      <c r="J1024" s="43" t="b">
        <f t="array" ref="J1024">NOT(OR(($H$9:$H$1273=TRUE)*($I$9:$I$1273&gt;0)*($BT$9:$BT$1273=BT1024)*($K$9:$K$1273&gt;K1024)))</f>
        <v>1</v>
      </c>
      <c r="K1024" s="72">
        <f t="shared" si="557"/>
        <v>0.77338668991964998</v>
      </c>
      <c r="L1024" s="72">
        <f t="shared" si="558"/>
        <v>0.78767890672729068</v>
      </c>
      <c r="M1024" s="72">
        <f t="shared" si="559"/>
        <v>0.75909447311200928</v>
      </c>
      <c r="N1024" s="72">
        <f t="shared" si="560"/>
        <v>0.79984750569752339</v>
      </c>
      <c r="O1024" s="72">
        <f t="shared" si="561"/>
        <v>0.6254461725944076</v>
      </c>
      <c r="P1024" s="72">
        <f t="shared" si="562"/>
        <v>0.85198974104409697</v>
      </c>
      <c r="Q1024" s="72"/>
      <c r="R1024" s="72"/>
      <c r="S1024" s="72">
        <f t="shared" si="563"/>
        <v>0.39873737123526487</v>
      </c>
      <c r="T1024" s="72">
        <f t="shared" si="564"/>
        <v>0.47871874656083246</v>
      </c>
      <c r="U1024" s="72">
        <f t="shared" si="565"/>
        <v>0.57317405583140646</v>
      </c>
      <c r="V1024" s="72">
        <f t="shared" si="566"/>
        <v>0.54707685704231379</v>
      </c>
      <c r="W1024" s="72">
        <f t="shared" si="567"/>
        <v>0.89027565084226645</v>
      </c>
      <c r="X1024" s="72">
        <f t="shared" si="568"/>
        <v>0.21232109327270929</v>
      </c>
      <c r="Y1024" s="72">
        <f t="shared" si="569"/>
        <v>0.24090552688799069</v>
      </c>
      <c r="Z1024" s="72">
        <f t="shared" si="570"/>
        <v>0.20015249430247661</v>
      </c>
      <c r="AA1024" s="72">
        <f t="shared" si="571"/>
        <v>0.37455382740559234</v>
      </c>
      <c r="AB1024" s="72">
        <f t="shared" si="572"/>
        <v>0.14801025895590303</v>
      </c>
      <c r="AC1024" s="72"/>
      <c r="AD1024" s="72"/>
      <c r="AE1024" s="72">
        <f t="shared" si="573"/>
        <v>0.60126262876473513</v>
      </c>
      <c r="AF1024" s="72">
        <f t="shared" si="574"/>
        <v>0.52128125343916754</v>
      </c>
      <c r="AG1024" s="72">
        <f t="shared" si="575"/>
        <v>0.4268259441685936</v>
      </c>
      <c r="AH1024" s="72">
        <f t="shared" si="576"/>
        <v>0.45292314295768621</v>
      </c>
      <c r="AI1024" s="72">
        <f t="shared" si="577"/>
        <v>0.10972434915773349</v>
      </c>
      <c r="AJ1024" s="72">
        <f>(AV1024-Driver!$K$179)/(Driver!$L$179-Driver!$K$179)</f>
        <v>4.1898316009991131E-2</v>
      </c>
      <c r="AK1024" s="72">
        <f>(AW1024-Driver!$K$180)/(Driver!$L$180-Driver!$K$180)</f>
        <v>0.11916472243449305</v>
      </c>
      <c r="AL1024" s="72">
        <f>(AX1024-Driver!$K$181)/(Driver!$L$181-Driver!$K$181)</f>
        <v>0.30184025801555681</v>
      </c>
      <c r="AM1024" s="72">
        <f>(AY1024-Driver!$K$182)/(Driver!$L$182-Driver!$K$182)</f>
        <v>7.2831193691454021E-2</v>
      </c>
      <c r="AN1024" s="72">
        <f>(AZ1024-Driver!$K$183)/(Driver!$L$183-Driver!$K$183)</f>
        <v>0.1062091503267974</v>
      </c>
      <c r="AO1024" s="72"/>
      <c r="AP1024" s="72"/>
      <c r="AQ1024" s="72">
        <f>(BC1024-Driver!$K$188)/(Driver!$L$188-Driver!$K$188)</f>
        <v>1.8737371235264859E-2</v>
      </c>
      <c r="AR1024" s="72">
        <f>MIN((BD1024-Driver!$K$189)/(Driver!$L$189-Driver!$K$189),100%)</f>
        <v>2.8718746560832474E-2</v>
      </c>
      <c r="AS1024" s="72">
        <f>(BE1024-Driver!$K$190)/(Driver!$L$190-Driver!$K$190)</f>
        <v>8.3174055831406413E-2</v>
      </c>
      <c r="AT1024" s="72">
        <f>(BF1024-Driver!$K$191)/(Driver!$L$191-Driver!$K$191)</f>
        <v>5.7076857042313814E-2</v>
      </c>
      <c r="AU1024" s="72">
        <f>(BG1024-Driver!$K$192)/(Driver!$L$192-Driver!$K$192)</f>
        <v>0.35972434915773349</v>
      </c>
      <c r="AV1024" s="70">
        <f t="shared" si="578"/>
        <v>0.88183421516754845</v>
      </c>
      <c r="AW1024" s="70">
        <f t="shared" si="579"/>
        <v>13.485550729556033</v>
      </c>
      <c r="AX1024" s="70">
        <f t="shared" si="580"/>
        <v>3.7165623221400113</v>
      </c>
      <c r="AY1024" s="70">
        <f>IFERROR(Driver!$K$19/Data!BH1024/Data!BI1024*Data!BK1024*Data!BL1024,"")</f>
        <v>8.9167111809171223E-2</v>
      </c>
      <c r="AZ1024" s="70">
        <f t="shared" si="581"/>
        <v>9.6798212956068515</v>
      </c>
      <c r="BA1024" s="70"/>
      <c r="BB1024" s="70"/>
      <c r="BC1024" s="70">
        <f t="shared" si="582"/>
        <v>9.7192047198234253</v>
      </c>
      <c r="BD1024" s="70">
        <f t="shared" si="583"/>
        <v>4.2623810681236138</v>
      </c>
      <c r="BE1024" s="70">
        <f t="shared" si="584"/>
        <v>8.3337607260530536E-2</v>
      </c>
      <c r="BF1024" s="70">
        <f t="shared" si="585"/>
        <v>6.4464300153143057</v>
      </c>
      <c r="BG1024" s="70">
        <f t="shared" si="586"/>
        <v>1.3621458652373659</v>
      </c>
      <c r="BH1024" s="67">
        <f>MAX((CE1024-Driver!$F$200)/(Driver!$G$200-Driver!$F$200)*$BI$1,1)</f>
        <v>3.7165623221400113</v>
      </c>
      <c r="BI1024" s="67">
        <f>MAX($BI$1*(BY1024-Driver!$F$201)/(Driver!$G$201-Driver!$F$201),1)</f>
        <v>6.3291139240506329</v>
      </c>
      <c r="BJ1024" s="67">
        <f>(CB1024-Driver!$F$206)/(Driver!$G$206-Driver!$F$206)*$BI$1</f>
        <v>3.1746031746031744</v>
      </c>
      <c r="BK1024" s="67">
        <f>(CD1024-Driver!$F$203)/(Driver!$G$203-Driver!$F$203)*$BI$1</f>
        <v>1.7889908256880738</v>
      </c>
      <c r="BL1024" s="67">
        <f>MAX((CR1024-Driver!$F$202)/(Driver!$G$202-Driver!$F$202)*$BI$1,1)</f>
        <v>5.8620689655172411</v>
      </c>
      <c r="BM1024" s="67">
        <f>MAX((CH1024-Driver!$F$204)/(Driver!$G$204-Driver!$F$204)*$BI$1,1)</f>
        <v>1.1111111111111112</v>
      </c>
      <c r="BN1024" s="67">
        <f>(CI1024-Driver!$F$205)/(Driver!$G$205-Driver!$F$205)*$BI$1</f>
        <v>1.5294117647058825</v>
      </c>
      <c r="BO1024" s="67">
        <f>(CK1024-Driver!$F$207)/(Driver!$G$207-Driver!$F$207)*$BI$1</f>
        <v>1.5718717683557393</v>
      </c>
      <c r="BP1024" s="67">
        <f>(CM1024-Driver!$F$208)/(Driver!$G$208-Driver!$F$208)*$BI$1</f>
        <v>2.3111111111111109</v>
      </c>
      <c r="BQ1024" s="67">
        <f>(CL1024-Driver!$F$209)/(Driver!$G$209-Driver!$F$209)*$BI$1</f>
        <v>5.625</v>
      </c>
      <c r="BR1024" s="28" t="s">
        <v>155</v>
      </c>
      <c r="BS1024" s="8" t="s">
        <v>205</v>
      </c>
      <c r="BT1024" s="9" t="s">
        <v>673</v>
      </c>
      <c r="BU1024" s="10">
        <v>157</v>
      </c>
      <c r="BV1024" s="9" t="s">
        <v>158</v>
      </c>
      <c r="BW1024" s="10">
        <v>157</v>
      </c>
      <c r="BX1024" s="10">
        <v>155.19999999999999</v>
      </c>
      <c r="BY1024" s="10">
        <v>108</v>
      </c>
      <c r="BZ1024" s="10">
        <v>130</v>
      </c>
      <c r="CA1024" s="10">
        <v>116</v>
      </c>
      <c r="CB1024" s="10">
        <v>84</v>
      </c>
      <c r="CC1024" s="10">
        <v>108</v>
      </c>
      <c r="CD1024" s="10">
        <v>13.3</v>
      </c>
      <c r="CE1024" s="10">
        <v>1553</v>
      </c>
      <c r="CF1024" s="10">
        <v>0.95</v>
      </c>
      <c r="CG1024" s="10">
        <v>1480</v>
      </c>
      <c r="CH1024" s="10">
        <v>127</v>
      </c>
      <c r="CI1024" s="10">
        <v>59</v>
      </c>
      <c r="CJ1024" s="10">
        <v>47</v>
      </c>
      <c r="CK1024" s="10">
        <v>262</v>
      </c>
      <c r="CL1024" s="10">
        <v>36</v>
      </c>
      <c r="CM1024" s="10">
        <v>208</v>
      </c>
      <c r="CN1024" s="10">
        <v>0.76300000000000001</v>
      </c>
      <c r="CO1024" s="10">
        <v>131</v>
      </c>
      <c r="CP1024" s="10">
        <v>120</v>
      </c>
      <c r="CQ1024" s="10">
        <v>131</v>
      </c>
      <c r="CR1024" s="10">
        <v>6</v>
      </c>
      <c r="CS1024" s="10">
        <v>6.4</v>
      </c>
      <c r="CT1024" s="9" t="s">
        <v>188</v>
      </c>
      <c r="CU1024" s="10"/>
      <c r="CV1024" s="10"/>
      <c r="CW1024" s="10"/>
      <c r="CX1024" t="str">
        <f>INDEX('Data_Price '!AG$2:AG$1266,MATCH(Data!$DN1024,'Data_Price '!$AT$2:$AT$1266,0))</f>
        <v>Faction Prodigy 0.0 Ski - 2022</v>
      </c>
      <c r="CY1024" t="str">
        <f>INDEX('Data_Price '!AH$2:AH$1266,MATCH(Data!$DN1024,'Data_Price '!$AT$2:$AT$1266,0))</f>
        <v>Absolute-Snow.co.uk</v>
      </c>
      <c r="CZ1024">
        <f>INDEX('Data_Price '!AI$2:AI$1266,MATCH(Data!$DN1024,'Data_Price '!$AT$2:$AT$1266,0))</f>
        <v>310.61</v>
      </c>
      <c r="DA1024" t="str">
        <f>INDEX('Data_Price '!AJ$2:AJ$1266,MATCH(Data!$DN1024,'Data_Price '!$AT$2:$AT$1266,0))</f>
        <v>https://tinyurl.com/y7lydfyk</v>
      </c>
      <c r="DB1024" t="str">
        <f>INDEX('Data_Price '!AK$2:AK$1266,MATCH(Data!$DN1024,'Data_Price '!$AT$2:$AT$1266,0))</f>
        <v>Faction Prodigy 0.0 with M10 GW Binding Skis</v>
      </c>
      <c r="DC1024" t="str">
        <f>INDEX('Data_Price '!AL$2:AL$1266,MATCH(Data!$DN1024,'Data_Price '!$AT$2:$AT$1266,0))</f>
        <v>Gorham Bike and Ski</v>
      </c>
      <c r="DD1024">
        <f>INDEX('Data_Price '!AM$2:AM$1266,MATCH(Data!$DN1024,'Data_Price '!$AT$2:$AT$1266,0))</f>
        <v>314.99</v>
      </c>
      <c r="DE1024" t="str">
        <f>INDEX('Data_Price '!AN$2:AN$1266,MATCH(Data!$DN1024,'Data_Price '!$AT$2:$AT$1266,0))</f>
        <v>https://tinyurl.com/y8dp7gzn</v>
      </c>
      <c r="DF1024">
        <f>INDEX('Data_Price '!AO$2:AO$1266,MATCH(Data!$DN1024,'Data_Price '!$AT$2:$AT$1266,0))</f>
        <v>0</v>
      </c>
      <c r="DG1024">
        <f>INDEX('Data_Price '!AP$2:AP$1266,MATCH(Data!$DN1024,'Data_Price '!$AT$2:$AT$1266,0))</f>
        <v>0</v>
      </c>
      <c r="DH1024">
        <f>INDEX('Data_Price '!AQ$2:AQ$1266,MATCH(Data!$DN1024,'Data_Price '!$AT$2:$AT$1266,0))</f>
        <v>0</v>
      </c>
      <c r="DI1024">
        <f>INDEX('Data_Price '!AR$2:AR$1266,MATCH(Data!$DN1024,'Data_Price '!$AT$2:$AT$1266,0))</f>
        <v>0</v>
      </c>
      <c r="DJ1024" s="89" t="str">
        <f t="shared" si="587"/>
        <v>https://tinyurl.com/y7lydfyk</v>
      </c>
      <c r="DK1024" s="89" t="str">
        <f t="shared" si="588"/>
        <v>https://tinyurl.com/y8dp7gzn</v>
      </c>
      <c r="DL1024" s="89">
        <f t="shared" si="589"/>
        <v>0</v>
      </c>
      <c r="DM1024" s="219" t="str">
        <f t="shared" si="590"/>
        <v>Prodigy 0.0</v>
      </c>
      <c r="DN1024" s="89" t="str">
        <f t="shared" si="591"/>
        <v xml:space="preserve"> FactionProdigy 0.0157 Unisex</v>
      </c>
      <c r="DO1024" s="221"/>
    </row>
    <row r="1025" spans="2:119" ht="15.6" customHeight="1">
      <c r="B1025" s="219" t="b">
        <f t="array" ref="B1025">IF(OR(ISERROR(K1025:P1025)),FALSE,TRUE)</f>
        <v>1</v>
      </c>
      <c r="C1025" s="43" t="b">
        <f>OR(BR1025=Driver!$G$50,Data!BR138=Driver!$H$50)</f>
        <v>1</v>
      </c>
      <c r="D1025" s="43" t="b">
        <f>OR(BV1025=Driver!$G$51,BV1025=Driver!$H$51)</f>
        <v>0</v>
      </c>
      <c r="E1025" s="43" t="b">
        <f>AND(BX1025&gt;Driver!$F$54,BX1025&lt;Driver!$G$54)</f>
        <v>0</v>
      </c>
      <c r="F1025" s="43" t="b">
        <f>CL1025&gt;Driver!$F$56</f>
        <v>1</v>
      </c>
      <c r="G1025" s="43" t="b">
        <f>AND(CB1025&gt;Driver!$F$55,CB1025&lt;Driver!$G$55)</f>
        <v>0</v>
      </c>
      <c r="H1025" s="43" t="b">
        <f t="shared" si="555"/>
        <v>0</v>
      </c>
      <c r="I1025" s="43">
        <f t="shared" si="556"/>
        <v>0</v>
      </c>
      <c r="J1025" s="43" t="b">
        <f t="array" ref="J1025">NOT(OR(($H$9:$H$1273=TRUE)*($I$9:$I$1273&gt;0)*($BT$9:$BT$1273=BT1025)*($K$9:$K$1273&gt;K1025)))</f>
        <v>1</v>
      </c>
      <c r="K1025" s="72">
        <f t="shared" si="557"/>
        <v>0.77087938973182535</v>
      </c>
      <c r="L1025" s="72">
        <f t="shared" si="558"/>
        <v>0.78160365090584194</v>
      </c>
      <c r="M1025" s="72">
        <f t="shared" si="559"/>
        <v>0.76015512855780865</v>
      </c>
      <c r="N1025" s="72">
        <f t="shared" si="560"/>
        <v>0.8441148806421892</v>
      </c>
      <c r="O1025" s="72">
        <f t="shared" si="561"/>
        <v>0.58039834568648641</v>
      </c>
      <c r="P1025" s="72">
        <f t="shared" si="562"/>
        <v>0.85595215934475055</v>
      </c>
      <c r="Q1025" s="72"/>
      <c r="R1025" s="72"/>
      <c r="S1025" s="72">
        <f t="shared" si="563"/>
        <v>0.38715843170367226</v>
      </c>
      <c r="T1025" s="72">
        <f t="shared" si="564"/>
        <v>0.53068682197758243</v>
      </c>
      <c r="U1025" s="72">
        <f t="shared" si="565"/>
        <v>0.69107285185566114</v>
      </c>
      <c r="V1025" s="72">
        <f t="shared" si="566"/>
        <v>0.56820039029592007</v>
      </c>
      <c r="W1025" s="72">
        <f t="shared" si="567"/>
        <v>0.87692967409948552</v>
      </c>
      <c r="X1025" s="72">
        <f t="shared" si="568"/>
        <v>0.218396349094158</v>
      </c>
      <c r="Y1025" s="72">
        <f t="shared" si="569"/>
        <v>0.23984487144219133</v>
      </c>
      <c r="Z1025" s="72">
        <f t="shared" si="570"/>
        <v>0.15588511935781085</v>
      </c>
      <c r="AA1025" s="72">
        <f t="shared" si="571"/>
        <v>0.41960165431351359</v>
      </c>
      <c r="AB1025" s="72">
        <f t="shared" si="572"/>
        <v>0.14404784065524945</v>
      </c>
      <c r="AC1025" s="72"/>
      <c r="AD1025" s="72"/>
      <c r="AE1025" s="72">
        <f t="shared" si="573"/>
        <v>0.61284156829632774</v>
      </c>
      <c r="AF1025" s="72">
        <f t="shared" si="574"/>
        <v>0.46931317802241762</v>
      </c>
      <c r="AG1025" s="72">
        <f t="shared" si="575"/>
        <v>0.30892714814433886</v>
      </c>
      <c r="AH1025" s="72">
        <f t="shared" si="576"/>
        <v>0.43179960970407988</v>
      </c>
      <c r="AI1025" s="72">
        <f t="shared" si="577"/>
        <v>0.12307032590051448</v>
      </c>
      <c r="AJ1025" s="72">
        <f>(AV1025-Driver!$K$179)/(Driver!$L$179-Driver!$K$179)</f>
        <v>3.5823060188542422E-2</v>
      </c>
      <c r="AK1025" s="72">
        <f>(AW1025-Driver!$K$180)/(Driver!$L$180-Driver!$K$180)</f>
        <v>0.11821635755246225</v>
      </c>
      <c r="AL1025" s="72">
        <f>(AX1025-Driver!$K$181)/(Driver!$L$181-Driver!$K$181)</f>
        <v>0.25757288307089105</v>
      </c>
      <c r="AM1025" s="72">
        <f>(AY1025-Driver!$K$182)/(Driver!$L$182-Driver!$K$182)</f>
        <v>2.7783366783532781E-2</v>
      </c>
      <c r="AN1025" s="72">
        <f>(AZ1025-Driver!$K$183)/(Driver!$L$183-Driver!$K$183)</f>
        <v>0.11017156862745099</v>
      </c>
      <c r="AO1025" s="72"/>
      <c r="AP1025" s="72"/>
      <c r="AQ1025" s="72">
        <f>(BC1025-Driver!$K$188)/(Driver!$L$188-Driver!$K$188)</f>
        <v>7.1584317036722947E-3</v>
      </c>
      <c r="AR1025" s="72">
        <f>MIN((BD1025-Driver!$K$189)/(Driver!$L$189-Driver!$K$189),100%)</f>
        <v>8.0686821977582424E-2</v>
      </c>
      <c r="AS1025" s="72">
        <f>(BE1025-Driver!$K$190)/(Driver!$L$190-Driver!$K$190)</f>
        <v>0.20107285185566112</v>
      </c>
      <c r="AT1025" s="72">
        <f>(BF1025-Driver!$K$191)/(Driver!$L$191-Driver!$K$191)</f>
        <v>7.8200390295920116E-2</v>
      </c>
      <c r="AU1025" s="72">
        <f>(BG1025-Driver!$K$192)/(Driver!$L$192-Driver!$K$192)</f>
        <v>0.37307032590051448</v>
      </c>
      <c r="AV1025" s="70">
        <f t="shared" si="578"/>
        <v>0.75396825396825395</v>
      </c>
      <c r="AW1025" s="70">
        <f t="shared" si="579"/>
        <v>13.393124168434415</v>
      </c>
      <c r="AX1025" s="70">
        <f t="shared" si="580"/>
        <v>3.3181559476380196</v>
      </c>
      <c r="AY1025" s="70">
        <f>IFERROR(Driver!$K$19/Data!BH1025/Data!BI1025*Data!BK1025*Data!BL1025,"")</f>
        <v>3.4015130699597114E-2</v>
      </c>
      <c r="AZ1025" s="70">
        <f t="shared" si="581"/>
        <v>10.040953090096799</v>
      </c>
      <c r="BA1025" s="70"/>
      <c r="BB1025" s="70"/>
      <c r="BC1025" s="70">
        <f t="shared" si="582"/>
        <v>3.7131282893046631</v>
      </c>
      <c r="BD1025" s="70">
        <f t="shared" si="583"/>
        <v>8.8614636605251231</v>
      </c>
      <c r="BE1025" s="70">
        <f t="shared" si="584"/>
        <v>0.20121537146658197</v>
      </c>
      <c r="BF1025" s="70">
        <f t="shared" si="585"/>
        <v>8.8321846950891079</v>
      </c>
      <c r="BG1025" s="70">
        <f t="shared" si="586"/>
        <v>1.4126822469982845</v>
      </c>
      <c r="BH1025" s="67">
        <f>MAX((CE1025-Driver!$F$200)/(Driver!$G$200-Driver!$F$200)*$BI$1,1)</f>
        <v>3.3181559476380196</v>
      </c>
      <c r="BI1025" s="67">
        <f>MAX($BI$1*(BY1025-Driver!$F$201)/(Driver!$G$201-Driver!$F$201),1)</f>
        <v>5.8860759493670889</v>
      </c>
      <c r="BJ1025" s="67">
        <f>(CB1025-Driver!$F$206)/(Driver!$G$206-Driver!$F$206)*$BI$1</f>
        <v>3.0158730158730158</v>
      </c>
      <c r="BK1025" s="67">
        <f>(CD1025-Driver!$F$203)/(Driver!$G$203-Driver!$F$203)*$BI$1</f>
        <v>0.64220183486238569</v>
      </c>
      <c r="BL1025" s="67">
        <f>MAX((CR1025-Driver!$F$202)/(Driver!$G$202-Driver!$F$202)*$BI$1,1)</f>
        <v>5.1724137931034484</v>
      </c>
      <c r="BM1025" s="67">
        <f>MAX((CH1025-Driver!$F$204)/(Driver!$G$204-Driver!$F$204)*$BI$1,1)</f>
        <v>1</v>
      </c>
      <c r="BN1025" s="67">
        <f>(CI1025-Driver!$F$205)/(Driver!$G$205-Driver!$F$205)*$BI$1</f>
        <v>1.7058823529411766</v>
      </c>
      <c r="BO1025" s="67">
        <f>(CK1025-Driver!$F$207)/(Driver!$G$207-Driver!$F$207)*$BI$1</f>
        <v>0.91003102378490175</v>
      </c>
      <c r="BP1025" s="67">
        <f>(CM1025-Driver!$F$208)/(Driver!$G$208-Driver!$F$208)*$BI$1</f>
        <v>2.0666666666666664</v>
      </c>
      <c r="BQ1025" s="67">
        <f>(CL1025-Driver!$F$209)/(Driver!$G$209-Driver!$F$209)*$BI$1</f>
        <v>4.6875</v>
      </c>
      <c r="BR1025" s="28" t="s">
        <v>155</v>
      </c>
      <c r="BS1025" s="8" t="s">
        <v>156</v>
      </c>
      <c r="BT1025" s="9" t="s">
        <v>784</v>
      </c>
      <c r="BU1025" s="10">
        <v>140</v>
      </c>
      <c r="BV1025" s="9" t="s">
        <v>385</v>
      </c>
      <c r="BW1025" s="10">
        <v>140</v>
      </c>
      <c r="BX1025" s="10">
        <v>139.6</v>
      </c>
      <c r="BY1025" s="10">
        <v>101</v>
      </c>
      <c r="BZ1025" s="10">
        <v>121</v>
      </c>
      <c r="CA1025" s="10">
        <v>121</v>
      </c>
      <c r="CB1025" s="10">
        <v>83</v>
      </c>
      <c r="CC1025" s="10">
        <v>111</v>
      </c>
      <c r="CD1025" s="10">
        <v>10.8</v>
      </c>
      <c r="CE1025" s="10">
        <v>1483</v>
      </c>
      <c r="CF1025" s="10">
        <v>0.9</v>
      </c>
      <c r="CG1025" s="10">
        <v>1331</v>
      </c>
      <c r="CH1025" s="10">
        <v>114</v>
      </c>
      <c r="CI1025" s="10">
        <v>62</v>
      </c>
      <c r="CJ1025" s="10">
        <v>40</v>
      </c>
      <c r="CK1025" s="10">
        <v>198</v>
      </c>
      <c r="CL1025" s="10">
        <v>30</v>
      </c>
      <c r="CM1025" s="10">
        <v>186</v>
      </c>
      <c r="CN1025" s="10">
        <v>0.75900000000000001</v>
      </c>
      <c r="CO1025" s="10">
        <v>89</v>
      </c>
      <c r="CP1025" s="10">
        <v>93</v>
      </c>
      <c r="CQ1025" s="10">
        <v>109</v>
      </c>
      <c r="CR1025" s="10">
        <v>4</v>
      </c>
      <c r="CS1025" s="10">
        <v>3.7</v>
      </c>
      <c r="CT1025" s="9" t="s">
        <v>188</v>
      </c>
      <c r="CU1025" s="10"/>
      <c r="CV1025" s="10"/>
      <c r="CW1025" s="10"/>
      <c r="CX1025" t="str">
        <f>INDEX('Data_Price '!AG$2:AG$1266,MATCH(Data!$DN1025,'Data_Price '!$AT$2:$AT$1266,0))</f>
        <v>Atomic Bent Chetler Jr Skis 2022</v>
      </c>
      <c r="CY1025" t="str">
        <f>INDEX('Data_Price '!AH$2:AH$1266,MATCH(Data!$DN1025,'Data_Price '!$AT$2:$AT$1266,0))</f>
        <v>BlueZone Sports</v>
      </c>
      <c r="CZ1025">
        <f>INDEX('Data_Price '!AI$2:AI$1266,MATCH(Data!$DN1025,'Data_Price '!$AT$2:$AT$1266,0))</f>
        <v>207.99</v>
      </c>
      <c r="DA1025" t="str">
        <f>INDEX('Data_Price '!AJ$2:AJ$1266,MATCH(Data!$DN1025,'Data_Price '!$AT$2:$AT$1266,0))</f>
        <v>https://tinyurl.com/ycvchdru</v>
      </c>
      <c r="DB1025" t="str">
        <f>INDEX('Data_Price '!AK$2:AK$1266,MATCH(Data!$DN1025,'Data_Price '!$AT$2:$AT$1266,0))</f>
        <v>Atomic Bent Chetler Jr Skis 2022</v>
      </c>
      <c r="DC1025" t="str">
        <f>INDEX('Data_Price '!AL$2:AL$1266,MATCH(Data!$DN1025,'Data_Price '!$AT$2:$AT$1266,0))</f>
        <v>evo.com</v>
      </c>
      <c r="DD1025">
        <f>INDEX('Data_Price '!AM$2:AM$1266,MATCH(Data!$DN1025,'Data_Price '!$AT$2:$AT$1266,0))</f>
        <v>233.99</v>
      </c>
      <c r="DE1025" t="str">
        <f>INDEX('Data_Price '!AN$2:AN$1266,MATCH(Data!$DN1025,'Data_Price '!$AT$2:$AT$1266,0))</f>
        <v>https://tinyurl.com/yazuko26</v>
      </c>
      <c r="DF1025" t="str">
        <f>INDEX('Data_Price '!AO$2:AO$1266,MATCH(Data!$DN1025,'Data_Price '!$AT$2:$AT$1266,0))</f>
        <v>Atomic Bent Chetler Jr Skis 2022</v>
      </c>
      <c r="DG1025" t="str">
        <f>INDEX('Data_Price '!AP$2:AP$1266,MATCH(Data!$DN1025,'Data_Price '!$AT$2:$AT$1266,0))</f>
        <v>Erik's Bike, Board and Ski</v>
      </c>
      <c r="DH1025">
        <f>INDEX('Data_Price '!AQ$2:AQ$1266,MATCH(Data!$DN1025,'Data_Price '!$AT$2:$AT$1266,0))</f>
        <v>251.99</v>
      </c>
      <c r="DI1025" t="str">
        <f>INDEX('Data_Price '!AR$2:AR$1266,MATCH(Data!$DN1025,'Data_Price '!$AT$2:$AT$1266,0))</f>
        <v>https://tinyurl.com/yaw763d7</v>
      </c>
      <c r="DJ1025" s="89" t="str">
        <f t="shared" si="587"/>
        <v>https://tinyurl.com/ycvchdru</v>
      </c>
      <c r="DK1025" s="89" t="str">
        <f t="shared" si="588"/>
        <v>https://tinyurl.com/yazuko26</v>
      </c>
      <c r="DL1025" s="89" t="str">
        <f t="shared" si="589"/>
        <v>https://tinyurl.com/yaw763d7</v>
      </c>
      <c r="DM1025" s="219" t="str">
        <f t="shared" si="590"/>
        <v>Bent Chetler JR</v>
      </c>
      <c r="DN1025" s="89" t="str">
        <f t="shared" si="591"/>
        <v xml:space="preserve"> AtomicBent Chetler JR140 Junior</v>
      </c>
      <c r="DO1025" s="221" t="s">
        <v>785</v>
      </c>
    </row>
    <row r="1026" spans="2:119" ht="15.6" customHeight="1">
      <c r="B1026" s="219" t="b">
        <f t="array" ref="B1026">IF(OR(ISERROR(K1026:P1026)),FALSE,TRUE)</f>
        <v>1</v>
      </c>
      <c r="C1026" s="43" t="b">
        <f>OR(BR1026=Driver!$G$50,Data!BR754=Driver!$H$50)</f>
        <v>1</v>
      </c>
      <c r="D1026" s="43" t="b">
        <f>OR(BV1026=Driver!$G$51,BV1026=Driver!$H$51)</f>
        <v>0</v>
      </c>
      <c r="E1026" s="43" t="b">
        <f>AND(BX1026&gt;Driver!$F$54,BX1026&lt;Driver!$G$54)</f>
        <v>0</v>
      </c>
      <c r="F1026" s="43" t="b">
        <f>CL1026&gt;Driver!$F$56</f>
        <v>1</v>
      </c>
      <c r="G1026" s="43" t="b">
        <f>AND(CB1026&gt;Driver!$F$55,CB1026&lt;Driver!$G$55)</f>
        <v>0</v>
      </c>
      <c r="H1026" s="43" t="b">
        <f t="shared" si="555"/>
        <v>0</v>
      </c>
      <c r="I1026" s="43">
        <f t="shared" si="556"/>
        <v>0</v>
      </c>
      <c r="J1026" s="43" t="b">
        <f t="array" ref="J1026">NOT(OR(($H$9:$H$1273=TRUE)*($I$9:$I$1273&gt;0)*($BT$9:$BT$1273=BT1026)*($K$9:$K$1273&gt;K1026)))</f>
        <v>1</v>
      </c>
      <c r="K1026" s="72">
        <f t="shared" si="557"/>
        <v>0.81625443597697855</v>
      </c>
      <c r="L1026" s="72">
        <f t="shared" si="558"/>
        <v>0.80988501421258596</v>
      </c>
      <c r="M1026" s="72">
        <f t="shared" si="559"/>
        <v>0.82262385774137103</v>
      </c>
      <c r="N1026" s="72">
        <f t="shared" si="560"/>
        <v>0.9535185358625774</v>
      </c>
      <c r="O1026" s="72">
        <f t="shared" si="561"/>
        <v>0.63707734860502052</v>
      </c>
      <c r="P1026" s="72">
        <f t="shared" si="562"/>
        <v>0.87727568875651529</v>
      </c>
      <c r="Q1026" s="72"/>
      <c r="R1026" s="72"/>
      <c r="S1026" s="72">
        <f t="shared" si="563"/>
        <v>0.39277395122941483</v>
      </c>
      <c r="T1026" s="72">
        <f t="shared" si="564"/>
        <v>0.45023101528062792</v>
      </c>
      <c r="U1026" s="72">
        <f t="shared" si="565"/>
        <v>0.70377798887324006</v>
      </c>
      <c r="V1026" s="72">
        <f t="shared" si="566"/>
        <v>0.65414960765928609</v>
      </c>
      <c r="W1026" s="72">
        <f t="shared" si="567"/>
        <v>0.96707317073170729</v>
      </c>
      <c r="X1026" s="72">
        <f t="shared" si="568"/>
        <v>0.19011498578741398</v>
      </c>
      <c r="Y1026" s="72">
        <f t="shared" si="569"/>
        <v>0.17737614225862894</v>
      </c>
      <c r="Z1026" s="72">
        <f t="shared" si="570"/>
        <v>4.6481464137422615E-2</v>
      </c>
      <c r="AA1026" s="72">
        <f t="shared" si="571"/>
        <v>0.36292265139497948</v>
      </c>
      <c r="AB1026" s="72">
        <f t="shared" si="572"/>
        <v>0.12272431124348473</v>
      </c>
      <c r="AC1026" s="72"/>
      <c r="AD1026" s="72"/>
      <c r="AE1026" s="72">
        <f t="shared" si="573"/>
        <v>0.60722604877058517</v>
      </c>
      <c r="AF1026" s="72">
        <f t="shared" si="574"/>
        <v>0.54976898471937208</v>
      </c>
      <c r="AG1026" s="72">
        <f t="shared" si="575"/>
        <v>0.29622201112675994</v>
      </c>
      <c r="AH1026" s="72">
        <f t="shared" si="576"/>
        <v>0.34585039234071396</v>
      </c>
      <c r="AI1026" s="72">
        <f t="shared" si="577"/>
        <v>3.2926829268292657E-2</v>
      </c>
      <c r="AJ1026" s="72">
        <f>(AV1026-Driver!$K$179)/(Driver!$L$179-Driver!$K$179)</f>
        <v>6.4104423495286431E-2</v>
      </c>
      <c r="AK1026" s="72">
        <f>(AW1026-Driver!$K$180)/(Driver!$L$180-Driver!$K$180)</f>
        <v>0.1287661359919394</v>
      </c>
      <c r="AL1026" s="72">
        <f>(AX1026-Driver!$K$181)/(Driver!$L$181-Driver!$K$181)</f>
        <v>0.14816922785050279</v>
      </c>
      <c r="AM1026" s="72">
        <f>(AY1026-Driver!$K$182)/(Driver!$L$182-Driver!$K$182)</f>
        <v>8.4462369702066886E-2</v>
      </c>
      <c r="AN1026" s="72">
        <f>(AZ1026-Driver!$K$183)/(Driver!$L$183-Driver!$K$183)</f>
        <v>0.13149509803921569</v>
      </c>
      <c r="AO1026" s="72"/>
      <c r="AP1026" s="72"/>
      <c r="AQ1026" s="72">
        <f>(BC1026-Driver!$K$188)/(Driver!$L$188-Driver!$K$188)</f>
        <v>1.2773951229414784E-2</v>
      </c>
      <c r="AR1026" s="72">
        <f>MIN((BD1026-Driver!$K$189)/(Driver!$L$189-Driver!$K$189),100%)</f>
        <v>2.3101528062795861E-4</v>
      </c>
      <c r="AS1026" s="72">
        <f>(BE1026-Driver!$K$190)/(Driver!$L$190-Driver!$K$190)</f>
        <v>0.21377798887324004</v>
      </c>
      <c r="AT1026" s="72">
        <f>(BF1026-Driver!$K$191)/(Driver!$L$191-Driver!$K$191)</f>
        <v>0.16414960765928605</v>
      </c>
      <c r="AU1026" s="72">
        <f>(BG1026-Driver!$K$192)/(Driver!$L$192-Driver!$K$192)</f>
        <v>0.28292682926829266</v>
      </c>
      <c r="AV1026" s="70">
        <f t="shared" si="578"/>
        <v>1.3492063492063491</v>
      </c>
      <c r="AW1026" s="70">
        <f t="shared" si="579"/>
        <v>14.421293557908063</v>
      </c>
      <c r="AX1026" s="70">
        <f t="shared" si="580"/>
        <v>2.333523050654525</v>
      </c>
      <c r="AY1026" s="70">
        <f>IFERROR(Driver!$K$19/Data!BH1026/Data!BI1026*Data!BK1026*Data!BL1026,"")</f>
        <v>0.1034071416541326</v>
      </c>
      <c r="AZ1026" s="70">
        <f t="shared" si="581"/>
        <v>11.984363365599405</v>
      </c>
      <c r="BA1026" s="70"/>
      <c r="BB1026" s="70"/>
      <c r="BC1026" s="70">
        <f t="shared" si="582"/>
        <v>6.6259373057656914</v>
      </c>
      <c r="BD1026" s="70">
        <f t="shared" si="583"/>
        <v>1.7412673270984456</v>
      </c>
      <c r="BE1026" s="70">
        <f t="shared" si="584"/>
        <v>0.21391824203071935</v>
      </c>
      <c r="BF1026" s="70">
        <f t="shared" si="585"/>
        <v>18.539544968855061</v>
      </c>
      <c r="BG1026" s="70">
        <f t="shared" si="586"/>
        <v>1.0713414634146341</v>
      </c>
      <c r="BH1026" s="67">
        <f>MAX((CE1026-Driver!$F$200)/(Driver!$G$200-Driver!$F$200)*$BI$1,1)</f>
        <v>2.333523050654525</v>
      </c>
      <c r="BI1026" s="67">
        <f>MAX($BI$1*(BY1026-Driver!$F$201)/(Driver!$G$201-Driver!$F$201),1)</f>
        <v>5.5063291139240507</v>
      </c>
      <c r="BJ1026" s="67">
        <f>(CB1026-Driver!$F$206)/(Driver!$G$206-Driver!$F$206)*$BI$1</f>
        <v>5.3968253968253963</v>
      </c>
      <c r="BK1026" s="67">
        <f>(CD1026-Driver!$F$203)/(Driver!$G$203-Driver!$F$203)*$BI$1</f>
        <v>1.2844036697247705</v>
      </c>
      <c r="BL1026" s="67">
        <f>MAX((CR1026-Driver!$F$202)/(Driver!$G$202-Driver!$F$202)*$BI$1,1)</f>
        <v>5.1724137931034484</v>
      </c>
      <c r="BM1026" s="67">
        <f>MAX((CH1026-Driver!$F$204)/(Driver!$G$204-Driver!$F$204)*$BI$1,1)</f>
        <v>1</v>
      </c>
      <c r="BN1026" s="67">
        <f>(CI1026-Driver!$F$205)/(Driver!$G$205-Driver!$F$205)*$BI$1</f>
        <v>2.1764705882352944</v>
      </c>
      <c r="BO1026" s="67">
        <f>(CK1026-Driver!$F$207)/(Driver!$G$207-Driver!$F$207)*$BI$1</f>
        <v>2.0682523267838677</v>
      </c>
      <c r="BP1026" s="67">
        <f>(CM1026-Driver!$F$208)/(Driver!$G$208-Driver!$F$208)*$BI$1</f>
        <v>2.1333333333333333</v>
      </c>
      <c r="BQ1026" s="67">
        <f>(CL1026-Driver!$F$209)/(Driver!$G$209-Driver!$F$209)*$BI$1</f>
        <v>2.5</v>
      </c>
      <c r="BR1026" s="28" t="s">
        <v>155</v>
      </c>
      <c r="BS1026" s="8" t="s">
        <v>262</v>
      </c>
      <c r="BT1026" s="9" t="s">
        <v>606</v>
      </c>
      <c r="BU1026" s="10">
        <v>145</v>
      </c>
      <c r="BV1026" s="9" t="s">
        <v>385</v>
      </c>
      <c r="BW1026" s="10">
        <v>145</v>
      </c>
      <c r="BX1026" s="10">
        <v>145.1</v>
      </c>
      <c r="BY1026" s="10">
        <v>95</v>
      </c>
      <c r="BZ1026" s="10">
        <v>110</v>
      </c>
      <c r="CA1026" s="10">
        <v>126</v>
      </c>
      <c r="CB1026" s="10">
        <v>98</v>
      </c>
      <c r="CC1026" s="10">
        <v>116</v>
      </c>
      <c r="CD1026" s="10">
        <v>12.2</v>
      </c>
      <c r="CE1026" s="10">
        <v>1310</v>
      </c>
      <c r="CF1026" s="10">
        <v>1.19</v>
      </c>
      <c r="CG1026" s="10">
        <v>1554</v>
      </c>
      <c r="CH1026" s="10">
        <v>112</v>
      </c>
      <c r="CI1026" s="10">
        <v>70</v>
      </c>
      <c r="CJ1026" s="10">
        <v>43</v>
      </c>
      <c r="CK1026" s="10">
        <v>310</v>
      </c>
      <c r="CL1026" s="10">
        <v>16</v>
      </c>
      <c r="CM1026" s="10">
        <v>192</v>
      </c>
      <c r="CN1026" s="10">
        <v>0.38400000000000001</v>
      </c>
      <c r="CO1026" s="10">
        <v>192</v>
      </c>
      <c r="CP1026" s="10">
        <v>156</v>
      </c>
      <c r="CQ1026" s="10">
        <v>119</v>
      </c>
      <c r="CR1026" s="10">
        <v>4</v>
      </c>
      <c r="CS1026" s="10">
        <v>8.1</v>
      </c>
      <c r="CT1026" s="9" t="s">
        <v>188</v>
      </c>
      <c r="CU1026" s="9" t="s">
        <v>185</v>
      </c>
      <c r="CV1026" s="10"/>
      <c r="CW1026" s="10"/>
      <c r="CX1026" t="e">
        <f>INDEX('Data_Price '!AG$2:AG$1266,MATCH(Data!$DN1026,'Data_Price '!$AT$2:$AT$1266,0))</f>
        <v>#N/A</v>
      </c>
      <c r="CY1026" t="e">
        <f>INDEX('Data_Price '!AH$2:AH$1266,MATCH(Data!$DN1026,'Data_Price '!$AT$2:$AT$1266,0))</f>
        <v>#N/A</v>
      </c>
      <c r="CZ1026" t="e">
        <f>INDEX('Data_Price '!AI$2:AI$1266,MATCH(Data!$DN1026,'Data_Price '!$AT$2:$AT$1266,0))</f>
        <v>#N/A</v>
      </c>
      <c r="DA1026" t="e">
        <f>INDEX('Data_Price '!AJ$2:AJ$1266,MATCH(Data!$DN1026,'Data_Price '!$AT$2:$AT$1266,0))</f>
        <v>#N/A</v>
      </c>
      <c r="DB1026" t="e">
        <f>INDEX('Data_Price '!AK$2:AK$1266,MATCH(Data!$DN1026,'Data_Price '!$AT$2:$AT$1266,0))</f>
        <v>#N/A</v>
      </c>
      <c r="DC1026" t="e">
        <f>INDEX('Data_Price '!AL$2:AL$1266,MATCH(Data!$DN1026,'Data_Price '!$AT$2:$AT$1266,0))</f>
        <v>#N/A</v>
      </c>
      <c r="DD1026" t="e">
        <f>INDEX('Data_Price '!AM$2:AM$1266,MATCH(Data!$DN1026,'Data_Price '!$AT$2:$AT$1266,0))</f>
        <v>#N/A</v>
      </c>
      <c r="DE1026" t="e">
        <f>INDEX('Data_Price '!AN$2:AN$1266,MATCH(Data!$DN1026,'Data_Price '!$AT$2:$AT$1266,0))</f>
        <v>#N/A</v>
      </c>
      <c r="DF1026" t="e">
        <f>INDEX('Data_Price '!AO$2:AO$1266,MATCH(Data!$DN1026,'Data_Price '!$AT$2:$AT$1266,0))</f>
        <v>#N/A</v>
      </c>
      <c r="DG1026" t="e">
        <f>INDEX('Data_Price '!AP$2:AP$1266,MATCH(Data!$DN1026,'Data_Price '!$AT$2:$AT$1266,0))</f>
        <v>#N/A</v>
      </c>
      <c r="DH1026" t="e">
        <f>INDEX('Data_Price '!AQ$2:AQ$1266,MATCH(Data!$DN1026,'Data_Price '!$AT$2:$AT$1266,0))</f>
        <v>#N/A</v>
      </c>
      <c r="DI1026" t="e">
        <f>INDEX('Data_Price '!AR$2:AR$1266,MATCH(Data!$DN1026,'Data_Price '!$AT$2:$AT$1266,0))</f>
        <v>#N/A</v>
      </c>
      <c r="DJ1026" s="89" t="e">
        <f t="shared" si="587"/>
        <v>#N/A</v>
      </c>
      <c r="DK1026" s="89" t="e">
        <f t="shared" si="588"/>
        <v>#N/A</v>
      </c>
      <c r="DL1026" s="89" t="e">
        <f t="shared" si="589"/>
        <v>#N/A</v>
      </c>
      <c r="DM1026" s="219" t="str">
        <f t="shared" si="590"/>
        <v>Mindbender Team</v>
      </c>
      <c r="DN1026" s="89" t="str">
        <f t="shared" si="591"/>
        <v xml:space="preserve"> K2Mindbender Team145 Junior</v>
      </c>
      <c r="DO1026" s="221" t="s">
        <v>607</v>
      </c>
    </row>
    <row r="1027" spans="2:119" ht="15.6" customHeight="1">
      <c r="B1027" s="219" t="b">
        <f t="array" ref="B1027">IF(OR(ISERROR(K1027:P1027)),FALSE,TRUE)</f>
        <v>1</v>
      </c>
      <c r="C1027" s="43" t="b">
        <f>OR(BR1027=Driver!$G$50,Data!BR1079=Driver!$H$50)</f>
        <v>1</v>
      </c>
      <c r="D1027" s="43" t="b">
        <f>OR(BV1027=Driver!$G$51,BV1027=Driver!$H$51)</f>
        <v>1</v>
      </c>
      <c r="E1027" s="43" t="b">
        <f>AND(BX1027&gt;Driver!$F$54,BX1027&lt;Driver!$G$54)</f>
        <v>0</v>
      </c>
      <c r="F1027" s="43" t="b">
        <f>CL1027&gt;Driver!$F$56</f>
        <v>1</v>
      </c>
      <c r="G1027" s="43" t="b">
        <f>AND(CB1027&gt;Driver!$F$55,CB1027&lt;Driver!$G$55)</f>
        <v>0</v>
      </c>
      <c r="H1027" s="43" t="b">
        <f t="shared" si="555"/>
        <v>0</v>
      </c>
      <c r="I1027" s="43">
        <f t="shared" si="556"/>
        <v>0</v>
      </c>
      <c r="J1027" s="43" t="b">
        <f t="array" ref="J1027">NOT(OR(($H$9:$H$1273=TRUE)*($I$9:$I$1273&gt;0)*($BT$9:$BT$1273=BT1027)*($K$9:$K$1273&gt;K1027)))</f>
        <v>1</v>
      </c>
      <c r="K1027" s="72">
        <f t="shared" si="557"/>
        <v>0.67678912551623605</v>
      </c>
      <c r="L1027" s="72">
        <f t="shared" si="558"/>
        <v>0.77206648042926407</v>
      </c>
      <c r="M1027" s="72">
        <f t="shared" si="559"/>
        <v>0.58151177060320802</v>
      </c>
      <c r="N1027" s="72">
        <f t="shared" si="560"/>
        <v>0.32934854914278988</v>
      </c>
      <c r="O1027" s="72">
        <f t="shared" si="561"/>
        <v>0.59961114423380701</v>
      </c>
      <c r="P1027" s="72">
        <f t="shared" si="562"/>
        <v>0.81557561843302728</v>
      </c>
      <c r="Q1027" s="72"/>
      <c r="R1027" s="72"/>
      <c r="S1027" s="72">
        <f t="shared" si="563"/>
        <v>0.4713105367470749</v>
      </c>
      <c r="T1027" s="72">
        <f t="shared" si="564"/>
        <v>0.71293159673836182</v>
      </c>
      <c r="U1027" s="72">
        <f t="shared" si="565"/>
        <v>0.52765248670044451</v>
      </c>
      <c r="V1027" s="72">
        <f t="shared" si="566"/>
        <v>0.61542169953000414</v>
      </c>
      <c r="W1027" s="72">
        <f t="shared" si="567"/>
        <v>0.76517984967788122</v>
      </c>
      <c r="X1027" s="72">
        <f t="shared" si="568"/>
        <v>0.22793351957073593</v>
      </c>
      <c r="Y1027" s="72">
        <f t="shared" si="569"/>
        <v>0.41848822939679192</v>
      </c>
      <c r="Z1027" s="72">
        <f t="shared" si="570"/>
        <v>0.67065145085721012</v>
      </c>
      <c r="AA1027" s="72">
        <f t="shared" si="571"/>
        <v>0.40038885576619293</v>
      </c>
      <c r="AB1027" s="72">
        <f t="shared" si="572"/>
        <v>0.18442438156697272</v>
      </c>
      <c r="AC1027" s="72"/>
      <c r="AD1027" s="72"/>
      <c r="AE1027" s="72">
        <f t="shared" si="573"/>
        <v>0.5286894632529251</v>
      </c>
      <c r="AF1027" s="72">
        <f t="shared" si="574"/>
        <v>0.28706840326163824</v>
      </c>
      <c r="AG1027" s="72">
        <f t="shared" si="575"/>
        <v>0.47234751329955549</v>
      </c>
      <c r="AH1027" s="72">
        <f t="shared" si="576"/>
        <v>0.38457830046999586</v>
      </c>
      <c r="AI1027" s="72">
        <f t="shared" si="577"/>
        <v>0.23482015032211884</v>
      </c>
      <c r="AJ1027" s="72">
        <f>(AV1027-Driver!$K$179)/(Driver!$L$179-Driver!$K$179)</f>
        <v>0.48215292885343636</v>
      </c>
      <c r="AK1027" s="72">
        <f>(AW1027-Driver!$K$180)/(Driver!$L$180-Driver!$K$180)</f>
        <v>0.47316743867804673</v>
      </c>
      <c r="AL1027" s="72">
        <f>(AX1027-Driver!$K$181)/(Driver!$L$181-Driver!$K$181)</f>
        <v>0.77233921457029031</v>
      </c>
      <c r="AM1027" s="72">
        <f>(AY1027-Driver!$K$182)/(Driver!$L$182-Driver!$K$182)</f>
        <v>4.6996165330853455E-2</v>
      </c>
      <c r="AN1027" s="72">
        <f>(AZ1027-Driver!$K$183)/(Driver!$L$183-Driver!$K$183)</f>
        <v>0.43864379084967314</v>
      </c>
      <c r="AO1027" s="72"/>
      <c r="AP1027" s="72"/>
      <c r="AQ1027" s="72">
        <f>(BC1027-Driver!$K$188)/(Driver!$L$188-Driver!$K$188)</f>
        <v>9.1310536747074927E-2</v>
      </c>
      <c r="AR1027" s="72">
        <f>MIN((BD1027-Driver!$K$189)/(Driver!$L$189-Driver!$K$189),100%)</f>
        <v>0.26293159673836181</v>
      </c>
      <c r="AS1027" s="72">
        <f>(BE1027-Driver!$K$190)/(Driver!$L$190-Driver!$K$190)</f>
        <v>3.7652486700444521E-2</v>
      </c>
      <c r="AT1027" s="72">
        <f>(BF1027-Driver!$K$191)/(Driver!$L$191-Driver!$K$191)</f>
        <v>0.12542169953000415</v>
      </c>
      <c r="AU1027" s="72">
        <f>(BG1027-Driver!$K$192)/(Driver!$L$192-Driver!$K$192)</f>
        <v>1.5179849677881174E-2</v>
      </c>
      <c r="AV1027" s="70">
        <f t="shared" si="578"/>
        <v>10.14787681454348</v>
      </c>
      <c r="AW1027" s="70">
        <f t="shared" si="579"/>
        <v>47.986252210656218</v>
      </c>
      <c r="AX1027" s="70">
        <f t="shared" si="580"/>
        <v>7.9510529311326126</v>
      </c>
      <c r="AY1027" s="70">
        <f>IFERROR(Driver!$K$19/Data!BH1027/Data!BI1027*Data!BK1027*Data!BL1027,"")</f>
        <v>5.753732866732101E-2</v>
      </c>
      <c r="AZ1027" s="70">
        <f t="shared" si="581"/>
        <v>39.977661950856287</v>
      </c>
      <c r="BA1027" s="70"/>
      <c r="BB1027" s="70"/>
      <c r="BC1027" s="70">
        <f t="shared" si="582"/>
        <v>47.363410191260819</v>
      </c>
      <c r="BD1027" s="70">
        <f t="shared" si="583"/>
        <v>24.989803308221322</v>
      </c>
      <c r="BE1027" s="70">
        <f t="shared" si="584"/>
        <v>3.7824158665134514E-2</v>
      </c>
      <c r="BF1027" s="70">
        <f t="shared" si="585"/>
        <v>14.165499824605876</v>
      </c>
      <c r="BG1027" s="70">
        <f t="shared" si="586"/>
        <v>5.7480594577666431E-2</v>
      </c>
      <c r="BH1027" s="67">
        <f>MAX((CE1027-Driver!$F$200)/(Driver!$G$200-Driver!$F$200)*$BI$1,1)</f>
        <v>7.9510529311326126</v>
      </c>
      <c r="BI1027" s="67">
        <f>MAX($BI$1*(BY1027-Driver!$F$201)/(Driver!$G$201-Driver!$F$201),1)</f>
        <v>7.4683544303797467</v>
      </c>
      <c r="BJ1027" s="67">
        <f>(CB1027-Driver!$F$206)/(Driver!$G$206-Driver!$F$206)*$BI$1</f>
        <v>5.3968253968253963</v>
      </c>
      <c r="BK1027" s="67">
        <f>(CD1027-Driver!$F$203)/(Driver!$G$203-Driver!$F$203)*$BI$1</f>
        <v>2.7522935779816518</v>
      </c>
      <c r="BL1027" s="67">
        <f>MAX((CR1027-Driver!$F$202)/(Driver!$G$202-Driver!$F$202)*$BI$1,1)</f>
        <v>6.2068965517241379</v>
      </c>
      <c r="BM1027" s="67">
        <f>MAX((CH1027-Driver!$F$204)/(Driver!$G$204-Driver!$F$204)*$BI$1,1)</f>
        <v>7.5213675213675213</v>
      </c>
      <c r="BN1027" s="67">
        <f>(CI1027-Driver!$F$205)/(Driver!$G$205-Driver!$F$205)*$BI$1</f>
        <v>5.3529411764705879</v>
      </c>
      <c r="BO1027" s="67">
        <f>(CK1027-Driver!$F$207)/(Driver!$G$207-Driver!$F$207)*$BI$1</f>
        <v>2.3991726990692861</v>
      </c>
      <c r="BP1027" s="67">
        <f>(CM1027-Driver!$F$208)/(Driver!$G$208-Driver!$F$208)*$BI$1</f>
        <v>3.0111111111111111</v>
      </c>
      <c r="BQ1027" s="67">
        <f>(CL1027-Driver!$F$209)/(Driver!$G$209-Driver!$F$209)*$BI$1</f>
        <v>3.4375</v>
      </c>
      <c r="BR1027" s="28" t="s">
        <v>155</v>
      </c>
      <c r="BS1027" s="8" t="s">
        <v>174</v>
      </c>
      <c r="BT1027" s="9" t="s">
        <v>544</v>
      </c>
      <c r="BU1027" s="10">
        <v>188</v>
      </c>
      <c r="BV1027" s="9" t="s">
        <v>158</v>
      </c>
      <c r="BW1027" s="10">
        <v>188</v>
      </c>
      <c r="BX1027" s="10">
        <v>187.2</v>
      </c>
      <c r="BY1027" s="10">
        <v>126</v>
      </c>
      <c r="BZ1027" s="10">
        <v>148</v>
      </c>
      <c r="CA1027" s="10">
        <v>139</v>
      </c>
      <c r="CB1027" s="10">
        <v>98</v>
      </c>
      <c r="CC1027" s="10">
        <v>121</v>
      </c>
      <c r="CD1027" s="10">
        <v>15.4</v>
      </c>
      <c r="CE1027" s="10">
        <v>2297</v>
      </c>
      <c r="CF1027" s="10">
        <v>0.92</v>
      </c>
      <c r="CG1027" s="10">
        <v>2102</v>
      </c>
      <c r="CH1027" s="10">
        <v>277</v>
      </c>
      <c r="CI1027" s="10">
        <v>124</v>
      </c>
      <c r="CJ1027" s="10">
        <v>60</v>
      </c>
      <c r="CK1027" s="10">
        <v>342</v>
      </c>
      <c r="CL1027" s="10">
        <v>22</v>
      </c>
      <c r="CM1027" s="10">
        <v>271</v>
      </c>
      <c r="CN1027" s="10">
        <v>0.36899999999999999</v>
      </c>
      <c r="CO1027" s="10">
        <v>236</v>
      </c>
      <c r="CP1027" s="10">
        <v>155</v>
      </c>
      <c r="CQ1027" s="10">
        <v>106</v>
      </c>
      <c r="CR1027" s="10">
        <v>7</v>
      </c>
      <c r="CS1027" s="10">
        <v>10.3</v>
      </c>
      <c r="CT1027" s="9" t="s">
        <v>188</v>
      </c>
      <c r="CU1027" s="10"/>
      <c r="CV1027" s="10"/>
      <c r="CW1027" s="10"/>
      <c r="CX1027" t="str">
        <f>INDEX('Data_Price '!AG$2:AG$1266,MATCH(Data!$DN1027,'Data_Price '!$AT$2:$AT$1266,0))</f>
        <v>Salomon Men's QST 99 Flat Ski 2019-2020 | DRK/BLUE / 188</v>
      </c>
      <c r="CY1027" t="str">
        <f>INDEX('Data_Price '!AH$2:AH$1266,MATCH(Data!$DN1027,'Data_Price '!$AT$2:$AT$1266,0))</f>
        <v>Ski Pro  - Snow Ski &amp; Snowboard</v>
      </c>
      <c r="CZ1027">
        <f>INDEX('Data_Price '!AI$2:AI$1266,MATCH(Data!$DN1027,'Data_Price '!$AT$2:$AT$1266,0))</f>
        <v>449.95</v>
      </c>
      <c r="DA1027" t="str">
        <f>INDEX('Data_Price '!AJ$2:AJ$1266,MATCH(Data!$DN1027,'Data_Price '!$AT$2:$AT$1266,0))</f>
        <v>https://tinyurl.com/yctbaswk</v>
      </c>
      <c r="DB1027" t="str">
        <f>INDEX('Data_Price '!AK$2:AK$1266,MATCH(Data!$DN1027,'Data_Price '!$AT$2:$AT$1266,0))</f>
        <v>19-20 Salomon Qst 99  Men's Demo Skis W/bindings Size 188cm 088121</v>
      </c>
      <c r="DC1027" t="str">
        <f>INDEX('Data_Price '!AL$2:AL$1266,MATCH(Data!$DN1027,'Data_Price '!$AT$2:$AT$1266,0))</f>
        <v>eBay - demo-skis</v>
      </c>
      <c r="DD1027">
        <f>INDEX('Data_Price '!AM$2:AM$1266,MATCH(Data!$DN1027,'Data_Price '!$AT$2:$AT$1266,0))</f>
        <v>499</v>
      </c>
      <c r="DE1027" t="str">
        <f>INDEX('Data_Price '!AN$2:AN$1266,MATCH(Data!$DN1027,'Data_Price '!$AT$2:$AT$1266,0))</f>
        <v>https://www.google.com/url?q=https://www.ebay.com/itm/294316668563%3Fchn%3Dps%26mkevt%3D1%26mkcid%3D28&amp;sa=U&amp;ved=0ahUKEwif7erUze72AhUgIEQIHQdECkwQ2SkIaQ&amp;usg=AOvVaw01AOb-ineJn2fC5eTmTpet</v>
      </c>
      <c r="DF1027" t="str">
        <f>INDEX('Data_Price '!AO$2:AO$1266,MATCH(Data!$DN1027,'Data_Price '!$AT$2:$AT$1266,0))</f>
        <v>2021 Salomon QST 99 Skis w/ Tyrolia Attack2 14 GW Bindings - 188| Ski Essentials</v>
      </c>
      <c r="DG1027" t="str">
        <f>INDEX('Data_Price '!AP$2:AP$1266,MATCH(Data!$DN1027,'Data_Price '!$AT$2:$AT$1266,0))</f>
        <v>SkiEssentials.com</v>
      </c>
      <c r="DH1027">
        <f>INDEX('Data_Price '!AQ$2:AQ$1266,MATCH(Data!$DN1027,'Data_Price '!$AT$2:$AT$1266,0))</f>
        <v>619.95000000000005</v>
      </c>
      <c r="DI1027" t="str">
        <f>INDEX('Data_Price '!AR$2:AR$1266,MATCH(Data!$DN1027,'Data_Price '!$AT$2:$AT$1266,0))</f>
        <v>https://tinyurl.com/y8goc972</v>
      </c>
      <c r="DJ1027" s="89" t="str">
        <f t="shared" si="587"/>
        <v>https://tinyurl.com/yctbaswk</v>
      </c>
      <c r="DK1027" s="89" t="str">
        <f t="shared" si="588"/>
        <v>https://www.google.com/url?q=https://www.ebay.com/itm/294316668563%3Fchn%3Dps%26mkevt%3D1%26mkcid%3D28&amp;sa=U&amp;ved=0ahUKEwif7erUze72AhUgIEQIHQdECkwQ2SkIaQ&amp;usg=AOvVaw01AOb-ineJn2fC5eTmTpet</v>
      </c>
      <c r="DL1027" s="89" t="str">
        <f t="shared" si="589"/>
        <v>https://tinyurl.com/y8goc972</v>
      </c>
      <c r="DM1027" s="219" t="str">
        <f t="shared" si="590"/>
        <v>QST 99</v>
      </c>
      <c r="DN1027" s="89" t="str">
        <f t="shared" si="591"/>
        <v xml:space="preserve"> SalomonQST 99188 Unisex</v>
      </c>
      <c r="DO1027" s="221" t="s">
        <v>176</v>
      </c>
    </row>
    <row r="1028" spans="2:119" ht="15.6" customHeight="1">
      <c r="B1028" s="219" t="b">
        <f t="array" ref="B1028">IF(OR(ISERROR(K1028:P1028)),FALSE,TRUE)</f>
        <v>1</v>
      </c>
      <c r="C1028" s="43" t="b">
        <f>OR(BR1028=Driver!$G$50,Data!BR783=Driver!$H$50)</f>
        <v>1</v>
      </c>
      <c r="D1028" s="43" t="b">
        <f>OR(BV1028=Driver!$G$51,BV1028=Driver!$H$51)</f>
        <v>0</v>
      </c>
      <c r="E1028" s="43" t="b">
        <f>AND(BX1028&gt;Driver!$F$54,BX1028&lt;Driver!$G$54)</f>
        <v>0</v>
      </c>
      <c r="F1028" s="43" t="b">
        <f>CL1028&gt;Driver!$F$56</f>
        <v>1</v>
      </c>
      <c r="G1028" s="43" t="b">
        <f>AND(CB1028&gt;Driver!$F$55,CB1028&lt;Driver!$G$55)</f>
        <v>0</v>
      </c>
      <c r="H1028" s="43" t="b">
        <f t="shared" si="555"/>
        <v>0</v>
      </c>
      <c r="I1028" s="43">
        <f t="shared" si="556"/>
        <v>0</v>
      </c>
      <c r="J1028" s="43" t="b">
        <f t="array" ref="J1028">NOT(OR(($H$9:$H$1273=TRUE)*($I$9:$I$1273&gt;0)*($BT$9:$BT$1273=BT1028)*($K$9:$K$1273&gt;K1028)))</f>
        <v>1</v>
      </c>
      <c r="K1028" s="72">
        <f t="shared" si="557"/>
        <v>0.89238745711605949</v>
      </c>
      <c r="L1028" s="72">
        <f t="shared" si="558"/>
        <v>0.85141269127325803</v>
      </c>
      <c r="M1028" s="72">
        <f t="shared" si="559"/>
        <v>0.93336222295886095</v>
      </c>
      <c r="N1028" s="72">
        <f t="shared" si="560"/>
        <v>0.96743258030766222</v>
      </c>
      <c r="O1028" s="72">
        <f t="shared" si="561"/>
        <v>0.90746173314573886</v>
      </c>
      <c r="P1028" s="72">
        <f t="shared" si="562"/>
        <v>0.9251923554231819</v>
      </c>
      <c r="Q1028" s="72"/>
      <c r="R1028" s="72"/>
      <c r="S1028" s="72">
        <f t="shared" si="563"/>
        <v>0.44508524872728439</v>
      </c>
      <c r="T1028" s="72">
        <f t="shared" si="564"/>
        <v>0.45193491874403457</v>
      </c>
      <c r="U1028" s="72">
        <f t="shared" si="565"/>
        <v>0.51</v>
      </c>
      <c r="V1028" s="72">
        <f t="shared" si="566"/>
        <v>0.50556288030636853</v>
      </c>
      <c r="W1028" s="72">
        <f t="shared" si="567"/>
        <v>0.82310249307479222</v>
      </c>
      <c r="X1028" s="72">
        <f t="shared" si="568"/>
        <v>0.14858730872674203</v>
      </c>
      <c r="Y1028" s="72">
        <f t="shared" si="569"/>
        <v>6.663777704113899E-2</v>
      </c>
      <c r="Z1028" s="72">
        <f t="shared" si="570"/>
        <v>3.2567419692337743E-2</v>
      </c>
      <c r="AA1028" s="72">
        <f t="shared" si="571"/>
        <v>9.2538266854261142E-2</v>
      </c>
      <c r="AB1028" s="72">
        <f t="shared" si="572"/>
        <v>7.48076445768181E-2</v>
      </c>
      <c r="AC1028" s="72"/>
      <c r="AD1028" s="72"/>
      <c r="AE1028" s="72">
        <f t="shared" si="573"/>
        <v>0.55491475127271561</v>
      </c>
      <c r="AF1028" s="72">
        <f t="shared" si="574"/>
        <v>0.54806508125596543</v>
      </c>
      <c r="AG1028" s="72">
        <f t="shared" si="575"/>
        <v>0.49</v>
      </c>
      <c r="AH1028" s="72">
        <f t="shared" si="576"/>
        <v>0.49443711969363147</v>
      </c>
      <c r="AI1028" s="72">
        <f t="shared" si="577"/>
        <v>0.17689750692520775</v>
      </c>
      <c r="AJ1028" s="72">
        <f>(AV1028-Driver!$K$179)/(Driver!$L$179-Driver!$K$179)</f>
        <v>0.10563210055595841</v>
      </c>
      <c r="AK1028" s="72">
        <f>(AW1028-Driver!$K$180)/(Driver!$L$180-Driver!$K$180)</f>
        <v>0.16967241970842964</v>
      </c>
      <c r="AL1028" s="72">
        <f>(AX1028-Driver!$K$181)/(Driver!$L$181-Driver!$K$181)</f>
        <v>6.9120344020742436E-2</v>
      </c>
      <c r="AM1028" s="72">
        <f>(AY1028-Driver!$K$182)/(Driver!$L$182-Driver!$K$182)</f>
        <v>0.35484675424278522</v>
      </c>
      <c r="AN1028" s="72">
        <f>(AZ1028-Driver!$K$183)/(Driver!$L$183-Driver!$K$183)</f>
        <v>0.17941176470588233</v>
      </c>
      <c r="AO1028" s="72"/>
      <c r="AP1028" s="72"/>
      <c r="AQ1028" s="72">
        <f>(BC1028-Driver!$K$188)/(Driver!$L$188-Driver!$K$188)</f>
        <v>6.5085248727284384E-2</v>
      </c>
      <c r="AR1028" s="72">
        <f>MIN((BD1028-Driver!$K$189)/(Driver!$L$189-Driver!$K$189),100%)</f>
        <v>1.9349187440346697E-3</v>
      </c>
      <c r="AS1028" s="72">
        <f>(BE1028-Driver!$K$190)/(Driver!$L$190-Driver!$K$190)</f>
        <v>1</v>
      </c>
      <c r="AT1028" s="72">
        <f>(BF1028-Driver!$K$191)/(Driver!$L$191-Driver!$K$191)</f>
        <v>1.5562880306368546E-2</v>
      </c>
      <c r="AU1028" s="72">
        <f>(BG1028-Driver!$K$192)/(Driver!$L$192-Driver!$K$192)</f>
        <v>7.3102493074792246E-2</v>
      </c>
      <c r="AV1028" s="70">
        <f t="shared" si="578"/>
        <v>2.2232397232397232</v>
      </c>
      <c r="AW1028" s="70">
        <f t="shared" si="579"/>
        <v>18.407973372626909</v>
      </c>
      <c r="AX1028" s="70">
        <f t="shared" si="580"/>
        <v>1.6220830961866819</v>
      </c>
      <c r="AY1028" s="70">
        <f>IFERROR(Driver!$K$19/Data!BH1028/Data!BI1028*Data!BK1028*Data!BL1028,"")</f>
        <v>0.43443830324588839</v>
      </c>
      <c r="AZ1028" s="70">
        <f t="shared" si="581"/>
        <v>16.35145197319434</v>
      </c>
      <c r="BA1028" s="70"/>
      <c r="BB1028" s="70"/>
      <c r="BC1028" s="70">
        <f t="shared" si="582"/>
        <v>33.760170980150953</v>
      </c>
      <c r="BD1028" s="70">
        <f t="shared" si="583"/>
        <v>1.8920597644716541</v>
      </c>
      <c r="BE1028" s="70">
        <f t="shared" si="584"/>
        <v>1</v>
      </c>
      <c r="BF1028" s="70">
        <f t="shared" si="585"/>
        <v>1.7577179951822215</v>
      </c>
      <c r="BG1028" s="70">
        <f t="shared" si="586"/>
        <v>0.27681267313019392</v>
      </c>
      <c r="BH1028" s="67">
        <f>MAX((CE1028-Driver!$F$200)/(Driver!$G$200-Driver!$F$200)*$BI$1,1)</f>
        <v>1.6220830961866819</v>
      </c>
      <c r="BI1028" s="67">
        <f>MAX($BI$1*(BY1028-Driver!$F$201)/(Driver!$G$201-Driver!$F$201),1)</f>
        <v>7.7215189873417724</v>
      </c>
      <c r="BJ1028" s="67">
        <f>(CB1028-Driver!$F$206)/(Driver!$G$206-Driver!$F$206)*$BI$1</f>
        <v>3.6507936507936507</v>
      </c>
      <c r="BK1028" s="67">
        <f>(CD1028-Driver!$F$203)/(Driver!$G$203-Driver!$F$203)*$BI$1</f>
        <v>3.9449541284403673</v>
      </c>
      <c r="BL1028" s="67">
        <f>MAX((CR1028-Driver!$F$202)/(Driver!$G$202-Driver!$F$202)*$BI$1,1)</f>
        <v>6.8965517241379315</v>
      </c>
      <c r="BM1028" s="67">
        <f>MAX((CH1028-Driver!$F$204)/(Driver!$G$204-Driver!$F$204)*$BI$1,1)</f>
        <v>2.4358974358974357</v>
      </c>
      <c r="BN1028" s="67">
        <f>(CI1028-Driver!$F$205)/(Driver!$G$205-Driver!$F$205)*$BI$1</f>
        <v>2.1176470588235294</v>
      </c>
      <c r="BO1028" s="67">
        <f>(CK1028-Driver!$F$207)/(Driver!$G$207-Driver!$F$207)*$BI$1</f>
        <v>1.499482936918304</v>
      </c>
      <c r="BP1028" s="67">
        <f>(CM1028-Driver!$F$208)/(Driver!$G$208-Driver!$F$208)*$BI$1</f>
        <v>1.2666666666666668</v>
      </c>
      <c r="BQ1028" s="67">
        <f>(CL1028-Driver!$F$209)/(Driver!$G$209-Driver!$F$209)*$BI$1</f>
        <v>1.09375</v>
      </c>
      <c r="BR1028" s="28" t="s">
        <v>155</v>
      </c>
      <c r="BS1028" s="8" t="s">
        <v>262</v>
      </c>
      <c r="BT1028" s="9" t="s">
        <v>846</v>
      </c>
      <c r="BU1028" s="10">
        <v>167</v>
      </c>
      <c r="BV1028" s="9" t="s">
        <v>163</v>
      </c>
      <c r="BW1028" s="10">
        <v>167</v>
      </c>
      <c r="BX1028" s="10">
        <v>166.6</v>
      </c>
      <c r="BY1028" s="10">
        <v>130</v>
      </c>
      <c r="BZ1028" s="10">
        <v>141</v>
      </c>
      <c r="CA1028" s="10">
        <v>120</v>
      </c>
      <c r="CB1028" s="10">
        <v>87</v>
      </c>
      <c r="CC1028" s="10">
        <v>108</v>
      </c>
      <c r="CD1028" s="10">
        <v>18</v>
      </c>
      <c r="CE1028" s="10">
        <v>1185</v>
      </c>
      <c r="CF1028" s="10">
        <v>1.37</v>
      </c>
      <c r="CG1028" s="10">
        <v>1625</v>
      </c>
      <c r="CH1028" s="10">
        <v>158</v>
      </c>
      <c r="CI1028" s="10">
        <v>69</v>
      </c>
      <c r="CJ1028" s="10">
        <v>46</v>
      </c>
      <c r="CK1028" s="10">
        <v>255</v>
      </c>
      <c r="CL1028" s="10">
        <v>7</v>
      </c>
      <c r="CM1028" s="10">
        <v>114</v>
      </c>
      <c r="CN1028" s="10">
        <v>0.159</v>
      </c>
      <c r="CO1028" s="10">
        <v>154</v>
      </c>
      <c r="CP1028" s="10">
        <v>101</v>
      </c>
      <c r="CQ1028" s="10">
        <v>101</v>
      </c>
      <c r="CR1028" s="10">
        <v>9</v>
      </c>
      <c r="CS1028" s="10">
        <v>11.8</v>
      </c>
      <c r="CT1028" s="9" t="s">
        <v>185</v>
      </c>
      <c r="CU1028" s="9" t="s">
        <v>198</v>
      </c>
      <c r="CV1028" s="10"/>
      <c r="CW1028" s="10"/>
      <c r="CX1028" t="e">
        <f>INDEX('Data_Price '!AG$2:AG$1266,MATCH(Data!$DN1028,'Data_Price '!$AT$2:$AT$1266,0))</f>
        <v>#N/A</v>
      </c>
      <c r="CY1028" t="e">
        <f>INDEX('Data_Price '!AH$2:AH$1266,MATCH(Data!$DN1028,'Data_Price '!$AT$2:$AT$1266,0))</f>
        <v>#N/A</v>
      </c>
      <c r="CZ1028" t="e">
        <f>INDEX('Data_Price '!AI$2:AI$1266,MATCH(Data!$DN1028,'Data_Price '!$AT$2:$AT$1266,0))</f>
        <v>#N/A</v>
      </c>
      <c r="DA1028" t="e">
        <f>INDEX('Data_Price '!AJ$2:AJ$1266,MATCH(Data!$DN1028,'Data_Price '!$AT$2:$AT$1266,0))</f>
        <v>#N/A</v>
      </c>
      <c r="DB1028" t="e">
        <f>INDEX('Data_Price '!AK$2:AK$1266,MATCH(Data!$DN1028,'Data_Price '!$AT$2:$AT$1266,0))</f>
        <v>#N/A</v>
      </c>
      <c r="DC1028" t="e">
        <f>INDEX('Data_Price '!AL$2:AL$1266,MATCH(Data!$DN1028,'Data_Price '!$AT$2:$AT$1266,0))</f>
        <v>#N/A</v>
      </c>
      <c r="DD1028" t="e">
        <f>INDEX('Data_Price '!AM$2:AM$1266,MATCH(Data!$DN1028,'Data_Price '!$AT$2:$AT$1266,0))</f>
        <v>#N/A</v>
      </c>
      <c r="DE1028" t="e">
        <f>INDEX('Data_Price '!AN$2:AN$1266,MATCH(Data!$DN1028,'Data_Price '!$AT$2:$AT$1266,0))</f>
        <v>#N/A</v>
      </c>
      <c r="DF1028" t="e">
        <f>INDEX('Data_Price '!AO$2:AO$1266,MATCH(Data!$DN1028,'Data_Price '!$AT$2:$AT$1266,0))</f>
        <v>#N/A</v>
      </c>
      <c r="DG1028" t="e">
        <f>INDEX('Data_Price '!AP$2:AP$1266,MATCH(Data!$DN1028,'Data_Price '!$AT$2:$AT$1266,0))</f>
        <v>#N/A</v>
      </c>
      <c r="DH1028" t="e">
        <f>INDEX('Data_Price '!AQ$2:AQ$1266,MATCH(Data!$DN1028,'Data_Price '!$AT$2:$AT$1266,0))</f>
        <v>#N/A</v>
      </c>
      <c r="DI1028" t="e">
        <f>INDEX('Data_Price '!AR$2:AR$1266,MATCH(Data!$DN1028,'Data_Price '!$AT$2:$AT$1266,0))</f>
        <v>#N/A</v>
      </c>
      <c r="DJ1028" s="89" t="e">
        <f t="shared" si="587"/>
        <v>#N/A</v>
      </c>
      <c r="DK1028" s="89" t="e">
        <f t="shared" si="588"/>
        <v>#N/A</v>
      </c>
      <c r="DL1028" s="89" t="e">
        <f t="shared" si="589"/>
        <v>#N/A</v>
      </c>
      <c r="DM1028" s="219" t="str">
        <f t="shared" si="590"/>
        <v>Talkback 88</v>
      </c>
      <c r="DN1028" s="89" t="str">
        <f t="shared" si="591"/>
        <v xml:space="preserve"> K2Talkback 88167 Women's</v>
      </c>
      <c r="DO1028" s="221"/>
    </row>
    <row r="1029" spans="2:119" ht="15.6" customHeight="1">
      <c r="B1029" s="219" t="b">
        <f t="array" ref="B1029">IF(OR(ISERROR(K1029:P1029)),FALSE,TRUE)</f>
        <v>1</v>
      </c>
      <c r="C1029" s="43" t="b">
        <f>OR(BR1029=Driver!$G$50,Data!BR884=Driver!$H$50)</f>
        <v>1</v>
      </c>
      <c r="D1029" s="43" t="b">
        <f>OR(BV1029=Driver!$G$51,BV1029=Driver!$H$51)</f>
        <v>0</v>
      </c>
      <c r="E1029" s="43" t="b">
        <f>AND(BX1029&gt;Driver!$F$54,BX1029&lt;Driver!$G$54)</f>
        <v>1</v>
      </c>
      <c r="F1029" s="43" t="b">
        <f>CL1029&gt;Driver!$F$56</f>
        <v>1</v>
      </c>
      <c r="G1029" s="43" t="b">
        <f>AND(CB1029&gt;Driver!$F$55,CB1029&lt;Driver!$G$55)</f>
        <v>0</v>
      </c>
      <c r="H1029" s="43" t="b">
        <f t="shared" si="555"/>
        <v>0</v>
      </c>
      <c r="I1029" s="43">
        <f t="shared" si="556"/>
        <v>0</v>
      </c>
      <c r="J1029" s="43" t="b">
        <f t="array" ref="J1029">NOT(OR(($H$9:$H$1273=TRUE)*($I$9:$I$1273&gt;0)*($BT$9:$BT$1273=BT1029)*($K$9:$K$1273&gt;K1029)))</f>
        <v>1</v>
      </c>
      <c r="K1029" s="72">
        <f t="shared" si="557"/>
        <v>0.7520405420498586</v>
      </c>
      <c r="L1029" s="72">
        <f t="shared" si="558"/>
        <v>0.77680145930161992</v>
      </c>
      <c r="M1029" s="72">
        <f t="shared" si="559"/>
        <v>0.72727962479809727</v>
      </c>
      <c r="N1029" s="72">
        <f t="shared" si="560"/>
        <v>0.73154927006861037</v>
      </c>
      <c r="O1029" s="72">
        <f t="shared" si="561"/>
        <v>0.602384830601846</v>
      </c>
      <c r="P1029" s="72">
        <f t="shared" si="562"/>
        <v>0.84790477372383555</v>
      </c>
      <c r="Q1029" s="72"/>
      <c r="R1029" s="72"/>
      <c r="S1029" s="72">
        <f t="shared" si="563"/>
        <v>0.40576858864512277</v>
      </c>
      <c r="T1029" s="72">
        <f t="shared" si="564"/>
        <v>0.90222958352700822</v>
      </c>
      <c r="U1029" s="72">
        <f t="shared" si="565"/>
        <v>0.51</v>
      </c>
      <c r="V1029" s="72">
        <f t="shared" si="566"/>
        <v>0.49218347994531642</v>
      </c>
      <c r="W1029" s="72">
        <f t="shared" si="567"/>
        <v>0.78647951260303428</v>
      </c>
      <c r="X1029" s="72">
        <f t="shared" si="568"/>
        <v>0.22319854069838008</v>
      </c>
      <c r="Y1029" s="72">
        <f t="shared" si="569"/>
        <v>0.27272037520190268</v>
      </c>
      <c r="Z1029" s="72">
        <f t="shared" si="570"/>
        <v>0.26845072993138958</v>
      </c>
      <c r="AA1029" s="72">
        <f t="shared" si="571"/>
        <v>0.39761516939815394</v>
      </c>
      <c r="AB1029" s="72">
        <f t="shared" si="572"/>
        <v>0.15209522627616448</v>
      </c>
      <c r="AC1029" s="72"/>
      <c r="AD1029" s="72"/>
      <c r="AE1029" s="72">
        <f t="shared" si="573"/>
        <v>0.59423141135487723</v>
      </c>
      <c r="AF1029" s="72">
        <f t="shared" si="574"/>
        <v>9.7770416472991784E-2</v>
      </c>
      <c r="AG1029" s="72">
        <f t="shared" si="575"/>
        <v>0.49</v>
      </c>
      <c r="AH1029" s="72">
        <f t="shared" si="576"/>
        <v>0.50781652005468358</v>
      </c>
      <c r="AI1029" s="72">
        <f t="shared" si="577"/>
        <v>0.21352048739696572</v>
      </c>
      <c r="AJ1029" s="72">
        <f>(AV1029-Driver!$K$179)/(Driver!$L$179-Driver!$K$179)</f>
        <v>3.1020868584320363E-2</v>
      </c>
      <c r="AK1029" s="72">
        <f>(AW1029-Driver!$K$180)/(Driver!$L$180-Driver!$K$180)</f>
        <v>0.12136205304331091</v>
      </c>
      <c r="AL1029" s="72">
        <f>(AX1029-Driver!$K$181)/(Driver!$L$181-Driver!$K$181)</f>
        <v>0.37013849364446977</v>
      </c>
      <c r="AM1029" s="72">
        <f>(AY1029-Driver!$K$182)/(Driver!$L$182-Driver!$K$182)</f>
        <v>4.9769851698892427E-2</v>
      </c>
      <c r="AN1029" s="72">
        <f>(AZ1029-Driver!$K$183)/(Driver!$L$183-Driver!$K$183)</f>
        <v>0.10212418300653595</v>
      </c>
      <c r="AO1029" s="72"/>
      <c r="AP1029" s="72"/>
      <c r="AQ1029" s="72">
        <f>(BC1029-Driver!$K$188)/(Driver!$L$188-Driver!$K$188)</f>
        <v>2.5768588645122766E-2</v>
      </c>
      <c r="AR1029" s="72">
        <f>MIN((BD1029-Driver!$K$189)/(Driver!$L$189-Driver!$K$189),100%)</f>
        <v>0.45222958352700826</v>
      </c>
      <c r="AS1029" s="72">
        <f>(BE1029-Driver!$K$190)/(Driver!$L$190-Driver!$K$190)</f>
        <v>1</v>
      </c>
      <c r="AT1029" s="72">
        <f>(BF1029-Driver!$K$191)/(Driver!$L$191-Driver!$K$191)</f>
        <v>2.1834799453163867E-3</v>
      </c>
      <c r="AU1029" s="72">
        <f>(BG1029-Driver!$K$192)/(Driver!$L$192-Driver!$K$192)</f>
        <v>3.6479512603034281E-2</v>
      </c>
      <c r="AV1029" s="70">
        <f t="shared" si="578"/>
        <v>0.65289648622981966</v>
      </c>
      <c r="AW1029" s="70">
        <f t="shared" si="579"/>
        <v>13.699700067715213</v>
      </c>
      <c r="AX1029" s="70">
        <f t="shared" si="580"/>
        <v>4.3312464428002277</v>
      </c>
      <c r="AY1029" s="70">
        <f>IFERROR(Driver!$K$19/Data!BH1029/Data!BI1029*Data!BK1029*Data!BL1029,"")</f>
        <v>6.093314836993733E-2</v>
      </c>
      <c r="AZ1029" s="70">
        <f t="shared" si="581"/>
        <v>9.307520476545049</v>
      </c>
      <c r="BA1029" s="70"/>
      <c r="BB1029" s="70"/>
      <c r="BC1029" s="70">
        <f t="shared" si="582"/>
        <v>13.366346070547142</v>
      </c>
      <c r="BD1029" s="70">
        <f t="shared" si="583"/>
        <v>41.742339722831566</v>
      </c>
      <c r="BE1029" s="70">
        <f t="shared" si="584"/>
        <v>1</v>
      </c>
      <c r="BF1029" s="70">
        <f t="shared" si="585"/>
        <v>0.24660872000869705</v>
      </c>
      <c r="BG1029" s="70">
        <f t="shared" si="586"/>
        <v>0.13813470612830009</v>
      </c>
      <c r="BH1029" s="67">
        <f>MAX((CE1029-Driver!$F$200)/(Driver!$G$200-Driver!$F$200)*$BI$1,1)</f>
        <v>4.3312464428002277</v>
      </c>
      <c r="BI1029" s="67">
        <f>MAX($BI$1*(BY1029-Driver!$F$201)/(Driver!$G$201-Driver!$F$201),1)</f>
        <v>7.9113924050632916</v>
      </c>
      <c r="BJ1029" s="67">
        <f>(CB1029-Driver!$F$206)/(Driver!$G$206-Driver!$F$206)*$BI$1</f>
        <v>1.1111111111111112</v>
      </c>
      <c r="BK1029" s="67">
        <f>(CD1029-Driver!$F$203)/(Driver!$G$203-Driver!$F$203)*$BI$1</f>
        <v>1.5137614678899081</v>
      </c>
      <c r="BL1029" s="67">
        <f>MAX((CR1029-Driver!$F$202)/(Driver!$G$202-Driver!$F$202)*$BI$1,1)</f>
        <v>6.8965517241379315</v>
      </c>
      <c r="BM1029" s="67">
        <f>MAX((CH1029-Driver!$F$204)/(Driver!$G$204-Driver!$F$204)*$BI$1,1)</f>
        <v>2.3504273504273505</v>
      </c>
      <c r="BN1029" s="67">
        <f>(CI1029-Driver!$F$205)/(Driver!$G$205-Driver!$F$205)*$BI$1</f>
        <v>1.1764705882352942</v>
      </c>
      <c r="BO1029" s="67">
        <f>(CK1029-Driver!$F$207)/(Driver!$G$207-Driver!$F$207)*$BI$1</f>
        <v>0.35160289555325747</v>
      </c>
      <c r="BP1029" s="67">
        <f>(CM1029-Driver!$F$208)/(Driver!$G$208-Driver!$F$208)*$BI$1</f>
        <v>0.9555555555555556</v>
      </c>
      <c r="BQ1029" s="67">
        <f>(CL1029-Driver!$F$209)/(Driver!$G$209-Driver!$F$209)*$BI$1</f>
        <v>1.40625</v>
      </c>
      <c r="BR1029" s="28" t="s">
        <v>155</v>
      </c>
      <c r="BS1029" s="8" t="s">
        <v>332</v>
      </c>
      <c r="BT1029" s="9" t="s">
        <v>828</v>
      </c>
      <c r="BU1029" s="10">
        <v>156</v>
      </c>
      <c r="BV1029" s="9" t="s">
        <v>163</v>
      </c>
      <c r="BW1029" s="10">
        <v>156</v>
      </c>
      <c r="BX1029" s="10">
        <v>155.6</v>
      </c>
      <c r="BY1029" s="10">
        <v>133</v>
      </c>
      <c r="BZ1029" s="10">
        <v>140</v>
      </c>
      <c r="CA1029" s="10">
        <v>119</v>
      </c>
      <c r="CB1029" s="10">
        <v>71</v>
      </c>
      <c r="CC1029" s="10">
        <v>98</v>
      </c>
      <c r="CD1029" s="10">
        <v>12.7</v>
      </c>
      <c r="CE1029" s="10">
        <v>1661</v>
      </c>
      <c r="CF1029" s="10">
        <v>0.8</v>
      </c>
      <c r="CG1029" s="10">
        <v>1327</v>
      </c>
      <c r="CH1029" s="10">
        <v>156</v>
      </c>
      <c r="CI1029" s="10">
        <v>53</v>
      </c>
      <c r="CJ1029" s="10">
        <v>36</v>
      </c>
      <c r="CK1029" s="10">
        <v>144</v>
      </c>
      <c r="CL1029" s="10">
        <v>9</v>
      </c>
      <c r="CM1029" s="10">
        <v>86</v>
      </c>
      <c r="CN1029" s="10">
        <v>0.246</v>
      </c>
      <c r="CO1029" s="10">
        <v>65</v>
      </c>
      <c r="CP1029" s="10">
        <v>86</v>
      </c>
      <c r="CQ1029" s="10">
        <v>79</v>
      </c>
      <c r="CR1029" s="10">
        <v>9</v>
      </c>
      <c r="CS1029" s="10">
        <v>9.3000000000000007</v>
      </c>
      <c r="CT1029" s="9" t="s">
        <v>349</v>
      </c>
      <c r="CU1029" s="10"/>
      <c r="CV1029" s="10"/>
      <c r="CW1029" s="10"/>
      <c r="CX1029" t="str">
        <f>INDEX('Data_Price '!AG$2:AG$1266,MATCH(Data!$DN1029,'Data_Price '!$AT$2:$AT$1266,0))</f>
        <v>Nordica Wild Belle 78 CA Women's Ski &amp; 10 FDT Binding 2022 - 156</v>
      </c>
      <c r="CY1029" t="str">
        <f>INDEX('Data_Price '!AH$2:AH$1266,MATCH(Data!$DN1029,'Data_Price '!$AT$2:$AT$1266,0))</f>
        <v>Gear West Ski &amp; Bike</v>
      </c>
      <c r="CZ1029">
        <f>INDEX('Data_Price '!AI$2:AI$1266,MATCH(Data!$DN1029,'Data_Price '!$AT$2:$AT$1266,0))</f>
        <v>499.99</v>
      </c>
      <c r="DA1029" t="str">
        <f>INDEX('Data_Price '!AJ$2:AJ$1266,MATCH(Data!$DN1029,'Data_Price '!$AT$2:$AT$1266,0))</f>
        <v>https://tinyurl.com/ya2xn9w2</v>
      </c>
      <c r="DB1029" t="str">
        <f>INDEX('Data_Price '!AK$2:AK$1266,MATCH(Data!$DN1029,'Data_Price '!$AT$2:$AT$1266,0))</f>
        <v>Nordica Navigator 75 CA Skis w/ TP2 Compact 10 Bindings</v>
      </c>
      <c r="DC1029" t="str">
        <f>INDEX('Data_Price '!AL$2:AL$1266,MATCH(Data!$DN1029,'Data_Price '!$AT$2:$AT$1266,0))</f>
        <v>Moosejaw</v>
      </c>
      <c r="DD1029">
        <f>INDEX('Data_Price '!AM$2:AM$1266,MATCH(Data!$DN1029,'Data_Price '!$AT$2:$AT$1266,0))</f>
        <v>319.99</v>
      </c>
      <c r="DE1029" t="str">
        <f>INDEX('Data_Price '!AN$2:AN$1266,MATCH(Data!$DN1029,'Data_Price '!$AT$2:$AT$1266,0))</f>
        <v>https://tinyurl.com/ya3o9n9x</v>
      </c>
      <c r="DF1029" t="str">
        <f>INDEX('Data_Price '!AO$2:AO$1266,MATCH(Data!$DN1029,'Data_Price '!$AT$2:$AT$1266,0))</f>
        <v>Nordica Navigator 75 CA FDT 156cm</v>
      </c>
      <c r="DG1029" t="str">
        <f>INDEX('Data_Price '!AP$2:AP$1266,MATCH(Data!$DN1029,'Data_Price '!$AT$2:$AT$1266,0))</f>
        <v>Sundance Ski and Board Shop</v>
      </c>
      <c r="DH1029">
        <f>INDEX('Data_Price '!AQ$2:AQ$1266,MATCH(Data!$DN1029,'Data_Price '!$AT$2:$AT$1266,0))</f>
        <v>320.57</v>
      </c>
      <c r="DI1029" t="str">
        <f>INDEX('Data_Price '!AR$2:AR$1266,MATCH(Data!$DN1029,'Data_Price '!$AT$2:$AT$1266,0))</f>
        <v>https://tinyurl.com/y95ezjpk</v>
      </c>
      <c r="DJ1029" s="89" t="str">
        <f t="shared" si="587"/>
        <v>https://tinyurl.com/ya2xn9w2</v>
      </c>
      <c r="DK1029" s="89" t="str">
        <f t="shared" si="588"/>
        <v>https://tinyurl.com/ya3o9n9x</v>
      </c>
      <c r="DL1029" s="89" t="str">
        <f t="shared" si="589"/>
        <v>https://tinyurl.com/y95ezjpk</v>
      </c>
      <c r="DM1029" s="219" t="str">
        <f t="shared" si="590"/>
        <v>Belle 72 Ca</v>
      </c>
      <c r="DN1029" s="89" t="str">
        <f t="shared" si="591"/>
        <v xml:space="preserve"> NordicaBelle 72 Ca156 Women's</v>
      </c>
      <c r="DO1029" s="221"/>
    </row>
    <row r="1030" spans="2:119" ht="15.6" customHeight="1">
      <c r="B1030" s="219" t="b">
        <f t="array" ref="B1030">IF(OR(ISERROR(K1030:P1030)),FALSE,TRUE)</f>
        <v>1</v>
      </c>
      <c r="C1030" s="43" t="b">
        <f>OR(BR1030=Driver!$G$50,Data!BR199=Driver!$H$50)</f>
        <v>1</v>
      </c>
      <c r="D1030" s="43" t="b">
        <f>OR(BV1030=Driver!$G$51,BV1030=Driver!$H$51)</f>
        <v>1</v>
      </c>
      <c r="E1030" s="43" t="b">
        <f>AND(BX1030&gt;Driver!$F$54,BX1030&lt;Driver!$G$54)</f>
        <v>0</v>
      </c>
      <c r="F1030" s="43" t="b">
        <f>CL1030&gt;Driver!$F$56</f>
        <v>1</v>
      </c>
      <c r="G1030" s="43" t="b">
        <f>AND(CB1030&gt;Driver!$F$55,CB1030&lt;Driver!$G$55)</f>
        <v>1</v>
      </c>
      <c r="H1030" s="43" t="b">
        <f t="shared" si="555"/>
        <v>0</v>
      </c>
      <c r="I1030" s="43">
        <f t="shared" si="556"/>
        <v>0</v>
      </c>
      <c r="J1030" s="43" t="b">
        <f t="array" ref="J1030">NOT(OR(($H$9:$H$1273=TRUE)*($I$9:$I$1273&gt;0)*($BT$9:$BT$1273=BT1030)*($K$9:$K$1273&gt;K1030)))</f>
        <v>1</v>
      </c>
      <c r="K1030" s="72">
        <f t="shared" si="557"/>
        <v>0.68099022059928505</v>
      </c>
      <c r="L1030" s="72">
        <f t="shared" si="558"/>
        <v>0.73451914338954105</v>
      </c>
      <c r="M1030" s="72">
        <f t="shared" si="559"/>
        <v>0.62746129780902904</v>
      </c>
      <c r="N1030" s="72">
        <f t="shared" si="560"/>
        <v>0.43432546686871165</v>
      </c>
      <c r="O1030" s="72">
        <f t="shared" si="561"/>
        <v>0.63599588002077301</v>
      </c>
      <c r="P1030" s="72">
        <f t="shared" si="562"/>
        <v>0.81206254653760235</v>
      </c>
      <c r="Q1030" s="72"/>
      <c r="R1030" s="72"/>
      <c r="S1030" s="72">
        <f t="shared" si="563"/>
        <v>0.53004859912756497</v>
      </c>
      <c r="T1030" s="72">
        <f t="shared" si="564"/>
        <v>0.51185424707270188</v>
      </c>
      <c r="U1030" s="72">
        <f t="shared" si="565"/>
        <v>0.52455482588092761</v>
      </c>
      <c r="V1030" s="72">
        <f t="shared" si="566"/>
        <v>0.56213190219351072</v>
      </c>
      <c r="W1030" s="72">
        <f t="shared" si="567"/>
        <v>0.78123801787164904</v>
      </c>
      <c r="X1030" s="72">
        <f t="shared" si="568"/>
        <v>0.26548085661045889</v>
      </c>
      <c r="Y1030" s="72">
        <f t="shared" si="569"/>
        <v>0.37253870219097102</v>
      </c>
      <c r="Z1030" s="72">
        <f t="shared" si="570"/>
        <v>0.56567453313128835</v>
      </c>
      <c r="AA1030" s="72">
        <f t="shared" si="571"/>
        <v>0.36400411997922705</v>
      </c>
      <c r="AB1030" s="72">
        <f t="shared" si="572"/>
        <v>0.18793745346239765</v>
      </c>
      <c r="AC1030" s="72"/>
      <c r="AD1030" s="72"/>
      <c r="AE1030" s="72">
        <f t="shared" si="573"/>
        <v>0.46995140087243503</v>
      </c>
      <c r="AF1030" s="72">
        <f t="shared" si="574"/>
        <v>0.48814575292729806</v>
      </c>
      <c r="AG1030" s="72">
        <f t="shared" si="575"/>
        <v>0.47544517411907244</v>
      </c>
      <c r="AH1030" s="72">
        <f t="shared" si="576"/>
        <v>0.43786809780648928</v>
      </c>
      <c r="AI1030" s="72">
        <f t="shared" si="577"/>
        <v>0.21876198212835093</v>
      </c>
      <c r="AJ1030" s="72">
        <f>(AV1030-Driver!$K$179)/(Driver!$L$179-Driver!$K$179)</f>
        <v>0.51970026589315932</v>
      </c>
      <c r="AK1030" s="72">
        <f>(AW1030-Driver!$K$180)/(Driver!$L$180-Driver!$K$180)</f>
        <v>0.46721551417354884</v>
      </c>
      <c r="AL1030" s="72">
        <f>(AX1030-Driver!$K$181)/(Driver!$L$181-Driver!$K$181)</f>
        <v>0.66736229684436854</v>
      </c>
      <c r="AM1030" s="72">
        <f>(AY1030-Driver!$K$182)/(Driver!$L$182-Driver!$K$182)</f>
        <v>8.3380901117819331E-2</v>
      </c>
      <c r="AN1030" s="72">
        <f>(AZ1030-Driver!$K$183)/(Driver!$L$183-Driver!$K$183)</f>
        <v>0.44215686274509808</v>
      </c>
      <c r="AO1030" s="72"/>
      <c r="AP1030" s="72"/>
      <c r="AQ1030" s="72">
        <f>(BC1030-Driver!$K$188)/(Driver!$L$188-Driver!$K$188)</f>
        <v>0.15004859912756499</v>
      </c>
      <c r="AR1030" s="72">
        <f>MIN((BD1030-Driver!$K$189)/(Driver!$L$189-Driver!$K$189),100%)</f>
        <v>6.1854247072701971E-2</v>
      </c>
      <c r="AS1030" s="72">
        <f>(BE1030-Driver!$K$190)/(Driver!$L$190-Driver!$K$190)</f>
        <v>3.4554825880927557E-2</v>
      </c>
      <c r="AT1030" s="72">
        <f>(BF1030-Driver!$K$191)/(Driver!$L$191-Driver!$K$191)</f>
        <v>7.2131902193510761E-2</v>
      </c>
      <c r="AU1030" s="72">
        <f>(BG1030-Driver!$K$192)/(Driver!$L$192-Driver!$K$192)</f>
        <v>3.1238017871649062E-2</v>
      </c>
      <c r="AV1030" s="70">
        <f t="shared" si="578"/>
        <v>10.93813593813594</v>
      </c>
      <c r="AW1030" s="70">
        <f t="shared" si="579"/>
        <v>47.406184428276696</v>
      </c>
      <c r="AX1030" s="70">
        <f t="shared" si="580"/>
        <v>7.0062606715993168</v>
      </c>
      <c r="AY1030" s="70">
        <f>IFERROR(Driver!$K$19/Data!BH1030/Data!BI1030*Data!BK1030*Data!BL1030,"")</f>
        <v>0.10208310142793178</v>
      </c>
      <c r="AZ1030" s="70">
        <f t="shared" si="581"/>
        <v>40.297840655249445</v>
      </c>
      <c r="BA1030" s="70"/>
      <c r="BB1030" s="70"/>
      <c r="BC1030" s="70">
        <f t="shared" si="582"/>
        <v>77.83125148840594</v>
      </c>
      <c r="BD1030" s="70">
        <f t="shared" si="583"/>
        <v>7.1948141507913661</v>
      </c>
      <c r="BE1030" s="70">
        <f t="shared" si="584"/>
        <v>3.4727050433442097E-2</v>
      </c>
      <c r="BF1030" s="70">
        <f t="shared" si="585"/>
        <v>8.1467915974637801</v>
      </c>
      <c r="BG1030" s="70">
        <f t="shared" si="586"/>
        <v>0.11828706336311941</v>
      </c>
      <c r="BH1030" s="67">
        <f>MAX((CE1030-Driver!$F$200)/(Driver!$G$200-Driver!$F$200)*$BI$1,1)</f>
        <v>7.0062606715993168</v>
      </c>
      <c r="BI1030" s="67">
        <f>MAX($BI$1*(BY1030-Driver!$F$201)/(Driver!$G$201-Driver!$F$201),1)</f>
        <v>7.7848101265822782</v>
      </c>
      <c r="BJ1030" s="67">
        <f>(CB1030-Driver!$F$206)/(Driver!$G$206-Driver!$F$206)*$BI$1</f>
        <v>6.825396825396826</v>
      </c>
      <c r="BK1030" s="67">
        <f>(CD1030-Driver!$F$203)/(Driver!$G$203-Driver!$F$203)*$BI$1</f>
        <v>5.045871559633027</v>
      </c>
      <c r="BL1030" s="67">
        <f>MAX((CR1030-Driver!$F$202)/(Driver!$G$202-Driver!$F$202)*$BI$1,1)</f>
        <v>5.5172413793103452</v>
      </c>
      <c r="BM1030" s="67">
        <f>MAX((CH1030-Driver!$F$204)/(Driver!$G$204-Driver!$F$204)*$BI$1,1)</f>
        <v>6.4102564102564106</v>
      </c>
      <c r="BN1030" s="67">
        <f>(CI1030-Driver!$F$205)/(Driver!$G$205-Driver!$F$205)*$BI$1</f>
        <v>5.1764705882352944</v>
      </c>
      <c r="BO1030" s="67">
        <f>(CK1030-Driver!$F$207)/(Driver!$G$207-Driver!$F$207)*$BI$1</f>
        <v>2.3164426059979317</v>
      </c>
      <c r="BP1030" s="67">
        <f>(CM1030-Driver!$F$208)/(Driver!$G$208-Driver!$F$208)*$BI$1</f>
        <v>2.6</v>
      </c>
      <c r="BQ1030" s="67">
        <f>(CL1030-Driver!$F$209)/(Driver!$G$209-Driver!$F$209)*$BI$1</f>
        <v>5.3125</v>
      </c>
      <c r="BR1030" s="28" t="s">
        <v>155</v>
      </c>
      <c r="BS1030" s="8" t="s">
        <v>237</v>
      </c>
      <c r="BT1030" s="9" t="s">
        <v>541</v>
      </c>
      <c r="BU1030" s="10">
        <v>189.7</v>
      </c>
      <c r="BV1030" s="9" t="s">
        <v>158</v>
      </c>
      <c r="BW1030" s="10">
        <v>189.7</v>
      </c>
      <c r="BX1030" s="10">
        <v>187.6</v>
      </c>
      <c r="BY1030" s="10">
        <v>131</v>
      </c>
      <c r="BZ1030" s="10">
        <v>151</v>
      </c>
      <c r="CA1030" s="10">
        <v>139</v>
      </c>
      <c r="CB1030" s="10">
        <v>107</v>
      </c>
      <c r="CC1030" s="10">
        <v>126</v>
      </c>
      <c r="CD1030" s="10">
        <v>20.399999999999999</v>
      </c>
      <c r="CE1030" s="10">
        <v>2131</v>
      </c>
      <c r="CF1030" s="10">
        <v>1.04</v>
      </c>
      <c r="CG1030" s="10">
        <v>2208</v>
      </c>
      <c r="CH1030" s="10">
        <v>251</v>
      </c>
      <c r="CI1030" s="10">
        <v>121</v>
      </c>
      <c r="CJ1030" s="10">
        <v>52</v>
      </c>
      <c r="CK1030" s="10">
        <v>334</v>
      </c>
      <c r="CL1030" s="10">
        <v>34</v>
      </c>
      <c r="CM1030" s="10">
        <v>234</v>
      </c>
      <c r="CN1030" s="10">
        <v>0.65</v>
      </c>
      <c r="CO1030" s="10">
        <v>227</v>
      </c>
      <c r="CP1030" s="10">
        <v>141</v>
      </c>
      <c r="CQ1030" s="10">
        <v>108</v>
      </c>
      <c r="CR1030" s="10">
        <v>5</v>
      </c>
      <c r="CS1030" s="10">
        <v>8.1</v>
      </c>
      <c r="CT1030" s="9" t="s">
        <v>169</v>
      </c>
      <c r="CU1030" s="10"/>
      <c r="CV1030" s="10"/>
      <c r="CW1030" s="10"/>
      <c r="CX1030" t="str">
        <f>INDEX('Data_Price '!AG$2:AG$1266,MATCH(Data!$DN1030,'Data_Price '!$AT$2:$AT$1266,0))</f>
        <v>Black Crows Atris Skis</v>
      </c>
      <c r="CY1030" t="str">
        <f>INDEX('Data_Price '!AH$2:AH$1266,MATCH(Data!$DN1030,'Data_Price '!$AT$2:$AT$1266,0))</f>
        <v>Basin Sports</v>
      </c>
      <c r="CZ1030">
        <f>INDEX('Data_Price '!AI$2:AI$1266,MATCH(Data!$DN1030,'Data_Price '!$AT$2:$AT$1266,0))</f>
        <v>669.95</v>
      </c>
      <c r="DA1030" t="str">
        <f>INDEX('Data_Price '!AJ$2:AJ$1266,MATCH(Data!$DN1030,'Data_Price '!$AT$2:$AT$1266,0))</f>
        <v>https://tinyurl.com/y8sygfes</v>
      </c>
      <c r="DB1030" t="str">
        <f>INDEX('Data_Price '!AK$2:AK$1266,MATCH(Data!$DN1030,'Data_Price '!$AT$2:$AT$1266,0))</f>
        <v>Black Crows Atris Skis</v>
      </c>
      <c r="DC1030" t="str">
        <f>INDEX('Data_Price '!AL$2:AL$1266,MATCH(Data!$DN1030,'Data_Price '!$AT$2:$AT$1266,0))</f>
        <v>Powder7 Ski Shop</v>
      </c>
      <c r="DD1030">
        <f>INDEX('Data_Price '!AM$2:AM$1266,MATCH(Data!$DN1030,'Data_Price '!$AT$2:$AT$1266,0))</f>
        <v>671.93</v>
      </c>
      <c r="DE1030" t="str">
        <f>INDEX('Data_Price '!AN$2:AN$1266,MATCH(Data!$DN1030,'Data_Price '!$AT$2:$AT$1266,0))</f>
        <v>https://tinyurl.com/yd42sc7c</v>
      </c>
      <c r="DF1030" t="str">
        <f>INDEX('Data_Price '!AO$2:AO$1266,MATCH(Data!$DN1030,'Data_Price '!$AT$2:$AT$1266,0))</f>
        <v>Black Crows Atris Skis</v>
      </c>
      <c r="DG1030" t="str">
        <f>INDEX('Data_Price '!AP$2:AP$1266,MATCH(Data!$DN1030,'Data_Price '!$AT$2:$AT$1266,0))</f>
        <v>SkiEssentials.com</v>
      </c>
      <c r="DH1030">
        <f>INDEX('Data_Price '!AQ$2:AQ$1266,MATCH(Data!$DN1030,'Data_Price '!$AT$2:$AT$1266,0))</f>
        <v>671.96</v>
      </c>
      <c r="DI1030" t="str">
        <f>INDEX('Data_Price '!AR$2:AR$1266,MATCH(Data!$DN1030,'Data_Price '!$AT$2:$AT$1266,0))</f>
        <v>https://tinyurl.com/y97yk9ze</v>
      </c>
      <c r="DJ1030" s="89" t="str">
        <f t="shared" si="587"/>
        <v>https://tinyurl.com/y8sygfes</v>
      </c>
      <c r="DK1030" s="89" t="str">
        <f t="shared" si="588"/>
        <v>https://tinyurl.com/yd42sc7c</v>
      </c>
      <c r="DL1030" s="89" t="str">
        <f t="shared" si="589"/>
        <v>https://tinyurl.com/y97yk9ze</v>
      </c>
      <c r="DM1030" s="219" t="str">
        <f t="shared" si="590"/>
        <v>Atris</v>
      </c>
      <c r="DN1030" s="89" t="str">
        <f t="shared" si="591"/>
        <v xml:space="preserve"> Black CrowsAtris189.7 Unisex</v>
      </c>
      <c r="DO1030" s="221" t="s">
        <v>542</v>
      </c>
    </row>
    <row r="1031" spans="2:119" ht="15.6" customHeight="1">
      <c r="B1031" s="219" t="b">
        <f t="array" ref="B1031">IF(OR(ISERROR(K1031:P1031)),FALSE,TRUE)</f>
        <v>1</v>
      </c>
      <c r="C1031" s="43" t="b">
        <f>OR(BR1031=Driver!$G$50,Data!BR886=Driver!$H$50)</f>
        <v>1</v>
      </c>
      <c r="D1031" s="43" t="b">
        <f>OR(BV1031=Driver!$G$51,BV1031=Driver!$H$51)</f>
        <v>0</v>
      </c>
      <c r="E1031" s="43" t="b">
        <f>AND(BX1031&gt;Driver!$F$54,BX1031&lt;Driver!$G$54)</f>
        <v>0</v>
      </c>
      <c r="F1031" s="43" t="b">
        <f>CL1031&gt;Driver!$F$56</f>
        <v>1</v>
      </c>
      <c r="G1031" s="43" t="b">
        <f>AND(CB1031&gt;Driver!$F$55,CB1031&lt;Driver!$G$55)</f>
        <v>0</v>
      </c>
      <c r="H1031" s="43" t="b">
        <f t="shared" si="555"/>
        <v>0</v>
      </c>
      <c r="I1031" s="43">
        <f t="shared" si="556"/>
        <v>0</v>
      </c>
      <c r="J1031" s="43" t="b">
        <f t="array" ref="J1031">NOT(OR(($H$9:$H$1273=TRUE)*($I$9:$I$1273&gt;0)*($BT$9:$BT$1273=BT1031)*($K$9:$K$1273&gt;K1031)))</f>
        <v>1</v>
      </c>
      <c r="K1031" s="72">
        <f t="shared" si="557"/>
        <v>0.75880659587837995</v>
      </c>
      <c r="L1031" s="72">
        <f t="shared" si="558"/>
        <v>0.76511827502960317</v>
      </c>
      <c r="M1031" s="72">
        <f t="shared" si="559"/>
        <v>0.75249491672715674</v>
      </c>
      <c r="N1031" s="72">
        <f t="shared" si="560"/>
        <v>0.82071641102858006</v>
      </c>
      <c r="O1031" s="72">
        <f t="shared" si="561"/>
        <v>0.59576716020029619</v>
      </c>
      <c r="P1031" s="72">
        <f t="shared" si="562"/>
        <v>0.84100117895259374</v>
      </c>
      <c r="Q1031" s="72"/>
      <c r="R1031" s="72"/>
      <c r="S1031" s="72">
        <f t="shared" si="563"/>
        <v>0.39566429380215618</v>
      </c>
      <c r="T1031" s="72">
        <f t="shared" si="564"/>
        <v>0.667389517225211</v>
      </c>
      <c r="U1031" s="72">
        <f t="shared" si="565"/>
        <v>0.51</v>
      </c>
      <c r="V1031" s="72">
        <f t="shared" si="566"/>
        <v>0.49412280701504874</v>
      </c>
      <c r="W1031" s="72">
        <f t="shared" si="567"/>
        <v>0.83208870967741932</v>
      </c>
      <c r="X1031" s="72">
        <f t="shared" si="568"/>
        <v>0.23488172497039683</v>
      </c>
      <c r="Y1031" s="72">
        <f t="shared" si="569"/>
        <v>0.24750508327284329</v>
      </c>
      <c r="Z1031" s="72">
        <f t="shared" si="570"/>
        <v>0.17928358897141988</v>
      </c>
      <c r="AA1031" s="72">
        <f t="shared" si="571"/>
        <v>0.40423283979970381</v>
      </c>
      <c r="AB1031" s="72">
        <f t="shared" si="572"/>
        <v>0.15899882104740631</v>
      </c>
      <c r="AC1031" s="72"/>
      <c r="AD1031" s="72"/>
      <c r="AE1031" s="72">
        <f t="shared" si="573"/>
        <v>0.60433570619784382</v>
      </c>
      <c r="AF1031" s="72">
        <f t="shared" si="574"/>
        <v>0.332610482774789</v>
      </c>
      <c r="AG1031" s="72">
        <f t="shared" si="575"/>
        <v>0.49</v>
      </c>
      <c r="AH1031" s="72">
        <f t="shared" si="576"/>
        <v>0.50587719298495126</v>
      </c>
      <c r="AI1031" s="72">
        <f t="shared" si="577"/>
        <v>0.16791129032258065</v>
      </c>
      <c r="AJ1031" s="72">
        <f>(AV1031-Driver!$K$179)/(Driver!$L$179-Driver!$K$179)</f>
        <v>1.9337684312303597E-2</v>
      </c>
      <c r="AK1031" s="72">
        <f>(AW1031-Driver!$K$180)/(Driver!$L$180-Driver!$K$180)</f>
        <v>0.10658869490397746</v>
      </c>
      <c r="AL1031" s="72">
        <f>(AX1031-Driver!$K$181)/(Driver!$L$181-Driver!$K$181)</f>
        <v>0.28097135268450008</v>
      </c>
      <c r="AM1031" s="72">
        <f>(AY1031-Driver!$K$182)/(Driver!$L$182-Driver!$K$182)</f>
        <v>4.3152181297342565E-2</v>
      </c>
      <c r="AN1031" s="72">
        <f>(AZ1031-Driver!$K$183)/(Driver!$L$183-Driver!$K$183)</f>
        <v>9.5220588235294112E-2</v>
      </c>
      <c r="AO1031" s="72"/>
      <c r="AP1031" s="72"/>
      <c r="AQ1031" s="72">
        <f>(BC1031-Driver!$K$188)/(Driver!$L$188-Driver!$K$188)</f>
        <v>1.5664293802156184E-2</v>
      </c>
      <c r="AR1031" s="72">
        <f>MIN((BD1031-Driver!$K$189)/(Driver!$L$189-Driver!$K$189),100%)</f>
        <v>0.21738951722521108</v>
      </c>
      <c r="AS1031" s="72">
        <f>(BE1031-Driver!$K$190)/(Driver!$L$190-Driver!$K$190)</f>
        <v>1</v>
      </c>
      <c r="AT1031" s="72">
        <f>(BF1031-Driver!$K$191)/(Driver!$L$191-Driver!$K$191)</f>
        <v>4.122807015048714E-3</v>
      </c>
      <c r="AU1031" s="72">
        <f>(BG1031-Driver!$K$192)/(Driver!$L$192-Driver!$K$192)</f>
        <v>8.2088709677419353E-2</v>
      </c>
      <c r="AV1031" s="70">
        <f t="shared" si="578"/>
        <v>0.40700040700040696</v>
      </c>
      <c r="AW1031" s="70">
        <f t="shared" si="579"/>
        <v>12.259905411767269</v>
      </c>
      <c r="AX1031" s="70">
        <f t="shared" si="580"/>
        <v>3.5287421741605005</v>
      </c>
      <c r="AY1031" s="70">
        <f>IFERROR(Driver!$K$19/Data!BH1031/Data!BI1031*Data!BK1031*Data!BL1031,"")</f>
        <v>5.2831145276165725E-2</v>
      </c>
      <c r="AZ1031" s="70">
        <f t="shared" si="581"/>
        <v>8.6783320923306029</v>
      </c>
      <c r="BA1031" s="70"/>
      <c r="BB1031" s="70"/>
      <c r="BC1031" s="70">
        <f t="shared" si="582"/>
        <v>8.1251780915822351</v>
      </c>
      <c r="BD1031" s="70">
        <f t="shared" si="583"/>
        <v>20.959409967097361</v>
      </c>
      <c r="BE1031" s="70">
        <f t="shared" si="584"/>
        <v>1</v>
      </c>
      <c r="BF1031" s="70">
        <f t="shared" si="585"/>
        <v>0.4656420879912031</v>
      </c>
      <c r="BG1031" s="70">
        <f t="shared" si="586"/>
        <v>0.31084022177419357</v>
      </c>
      <c r="BH1031" s="67">
        <f>MAX((CE1031-Driver!$F$200)/(Driver!$G$200-Driver!$F$200)*$BI$1,1)</f>
        <v>3.5287421741605005</v>
      </c>
      <c r="BI1031" s="67">
        <f>MAX($BI$1*(BY1031-Driver!$F$201)/(Driver!$G$201-Driver!$F$201),1)</f>
        <v>7.0253164556962027</v>
      </c>
      <c r="BJ1031" s="67">
        <f>(CB1031-Driver!$F$206)/(Driver!$G$206-Driver!$F$206)*$BI$1</f>
        <v>1.2698412698412698</v>
      </c>
      <c r="BK1031" s="67">
        <f>(CD1031-Driver!$F$203)/(Driver!$G$203-Driver!$F$203)*$BI$1</f>
        <v>1.0550458715596327</v>
      </c>
      <c r="BL1031" s="67">
        <f>MAX((CR1031-Driver!$F$202)/(Driver!$G$202-Driver!$F$202)*$BI$1,1)</f>
        <v>6.2068965517241379</v>
      </c>
      <c r="BM1031" s="67">
        <f>MAX((CH1031-Driver!$F$204)/(Driver!$G$204-Driver!$F$204)*$BI$1,1)</f>
        <v>1.2820512820512819</v>
      </c>
      <c r="BN1031" s="67">
        <f>(CI1031-Driver!$F$205)/(Driver!$G$205-Driver!$F$205)*$BI$1</f>
        <v>1.2352941176470589</v>
      </c>
      <c r="BO1031" s="67">
        <f>(CK1031-Driver!$F$207)/(Driver!$G$207-Driver!$F$207)*$BI$1</f>
        <v>0.38262668045501552</v>
      </c>
      <c r="BP1031" s="67">
        <f>(CM1031-Driver!$F$208)/(Driver!$G$208-Driver!$F$208)*$BI$1</f>
        <v>1.0111111111111111</v>
      </c>
      <c r="BQ1031" s="67">
        <f>(CL1031-Driver!$F$209)/(Driver!$G$209-Driver!$F$209)*$BI$1</f>
        <v>1.40625</v>
      </c>
      <c r="BR1031" s="28" t="s">
        <v>155</v>
      </c>
      <c r="BS1031" s="8" t="s">
        <v>332</v>
      </c>
      <c r="BT1031" s="9" t="s">
        <v>738</v>
      </c>
      <c r="BU1031" s="10">
        <v>144</v>
      </c>
      <c r="BV1031" s="9" t="s">
        <v>163</v>
      </c>
      <c r="BW1031" s="10">
        <v>144</v>
      </c>
      <c r="BX1031" s="10">
        <v>143.19999999999999</v>
      </c>
      <c r="BY1031" s="10">
        <v>119</v>
      </c>
      <c r="BZ1031" s="10">
        <v>129</v>
      </c>
      <c r="CA1031" s="10">
        <v>119</v>
      </c>
      <c r="CB1031" s="10">
        <v>72</v>
      </c>
      <c r="CC1031" s="10">
        <v>96</v>
      </c>
      <c r="CD1031" s="10">
        <v>11.7</v>
      </c>
      <c r="CE1031" s="10">
        <v>1520</v>
      </c>
      <c r="CF1031" s="10">
        <v>0.8</v>
      </c>
      <c r="CG1031" s="10">
        <v>1224</v>
      </c>
      <c r="CH1031" s="10">
        <v>131</v>
      </c>
      <c r="CI1031" s="10">
        <v>54</v>
      </c>
      <c r="CJ1031" s="10">
        <v>38</v>
      </c>
      <c r="CK1031" s="10">
        <v>147</v>
      </c>
      <c r="CL1031" s="10">
        <v>9</v>
      </c>
      <c r="CM1031" s="10">
        <v>91</v>
      </c>
      <c r="CN1031" s="10">
        <v>0.248</v>
      </c>
      <c r="CO1031" s="10">
        <v>66</v>
      </c>
      <c r="CP1031" s="10">
        <v>79</v>
      </c>
      <c r="CQ1031" s="10">
        <v>81</v>
      </c>
      <c r="CR1031" s="10">
        <v>7</v>
      </c>
      <c r="CS1031" s="10">
        <v>9.3000000000000007</v>
      </c>
      <c r="CT1031" s="9" t="s">
        <v>231</v>
      </c>
      <c r="CU1031" s="10"/>
      <c r="CV1031" s="10"/>
      <c r="CW1031" s="10"/>
      <c r="CX1031" t="str">
        <f>INDEX('Data_Price '!AG$2:AG$1266,MATCH(Data!$DN1031,'Data_Price '!$AT$2:$AT$1266,0))</f>
        <v>Nordica Wild Belle 74 Skis w/ TP2 Compact 10 Bindings</v>
      </c>
      <c r="CY1031" t="str">
        <f>INDEX('Data_Price '!AH$2:AH$1266,MATCH(Data!$DN1031,'Data_Price '!$AT$2:$AT$1266,0))</f>
        <v>Ski Country Sports</v>
      </c>
      <c r="CZ1031">
        <f>INDEX('Data_Price '!AI$2:AI$1266,MATCH(Data!$DN1031,'Data_Price '!$AT$2:$AT$1266,0))</f>
        <v>399.95</v>
      </c>
      <c r="DA1031" t="str">
        <f>INDEX('Data_Price '!AJ$2:AJ$1266,MATCH(Data!$DN1031,'Data_Price '!$AT$2:$AT$1266,0))</f>
        <v>https://tinyurl.com/y9ewbxvd</v>
      </c>
      <c r="DB1031" t="str">
        <f>INDEX('Data_Price '!AK$2:AK$1266,MATCH(Data!$DN1031,'Data_Price '!$AT$2:$AT$1266,0))</f>
        <v>Nordica Wild Belle 74 Skis w/ TP2 Compact 10 Bindings</v>
      </c>
      <c r="DC1031" t="str">
        <f>INDEX('Data_Price '!AL$2:AL$1266,MATCH(Data!$DN1031,'Data_Price '!$AT$2:$AT$1266,0))</f>
        <v>Hillcrest Ski &amp; Sports</v>
      </c>
      <c r="DD1031">
        <f>INDEX('Data_Price '!AM$2:AM$1266,MATCH(Data!$DN1031,'Data_Price '!$AT$2:$AT$1266,0))</f>
        <v>499.99</v>
      </c>
      <c r="DE1031" t="str">
        <f>INDEX('Data_Price '!AN$2:AN$1266,MATCH(Data!$DN1031,'Data_Price '!$AT$2:$AT$1266,0))</f>
        <v>https://tinyurl.com/yaezgmm8</v>
      </c>
      <c r="DF1031" t="str">
        <f>INDEX('Data_Price '!AO$2:AO$1266,MATCH(Data!$DN1031,'Data_Price '!$AT$2:$AT$1266,0))</f>
        <v>Nordica Wild Belle 78 CA Women's Ski &amp; 10 FDT Binding 2022 - 144</v>
      </c>
      <c r="DG1031" t="str">
        <f>INDEX('Data_Price '!AP$2:AP$1266,MATCH(Data!$DN1031,'Data_Price '!$AT$2:$AT$1266,0))</f>
        <v>Gear West Ski &amp; Bike</v>
      </c>
      <c r="DH1031">
        <f>INDEX('Data_Price '!AQ$2:AQ$1266,MATCH(Data!$DN1031,'Data_Price '!$AT$2:$AT$1266,0))</f>
        <v>499.99</v>
      </c>
      <c r="DI1031" t="str">
        <f>INDEX('Data_Price '!AR$2:AR$1266,MATCH(Data!$DN1031,'Data_Price '!$AT$2:$AT$1266,0))</f>
        <v>https://tinyurl.com/yakzzjoy</v>
      </c>
      <c r="DJ1031" s="89" t="str">
        <f t="shared" si="587"/>
        <v>https://tinyurl.com/y9ewbxvd</v>
      </c>
      <c r="DK1031" s="89" t="str">
        <f t="shared" si="588"/>
        <v>https://tinyurl.com/yaezgmm8</v>
      </c>
      <c r="DL1031" s="89" t="str">
        <f t="shared" si="589"/>
        <v>https://tinyurl.com/yakzzjoy</v>
      </c>
      <c r="DM1031" s="219" t="str">
        <f t="shared" si="590"/>
        <v>Belle 73</v>
      </c>
      <c r="DN1031" s="89" t="str">
        <f t="shared" si="591"/>
        <v xml:space="preserve"> NordicaBelle 73144 Women's</v>
      </c>
      <c r="DO1031" s="221"/>
    </row>
    <row r="1032" spans="2:119" ht="15.6" customHeight="1">
      <c r="B1032" s="219" t="b">
        <f t="array" ref="B1032">IF(OR(ISERROR(K1032:P1032)),FALSE,TRUE)</f>
        <v>1</v>
      </c>
      <c r="C1032" s="43" t="b">
        <f>OR(BR1032=Driver!$G$50,Data!BR598=Driver!$H$50)</f>
        <v>1</v>
      </c>
      <c r="D1032" s="43" t="b">
        <f>OR(BV1032=Driver!$G$51,BV1032=Driver!$H$51)</f>
        <v>0</v>
      </c>
      <c r="E1032" s="43" t="b">
        <f>AND(BX1032&gt;Driver!$F$54,BX1032&lt;Driver!$G$54)</f>
        <v>1</v>
      </c>
      <c r="F1032" s="43" t="b">
        <f>CL1032&gt;Driver!$F$56</f>
        <v>1</v>
      </c>
      <c r="G1032" s="43" t="b">
        <f>AND(CB1032&gt;Driver!$F$55,CB1032&lt;Driver!$G$55)</f>
        <v>0</v>
      </c>
      <c r="H1032" s="43" t="b">
        <f t="shared" si="555"/>
        <v>0</v>
      </c>
      <c r="I1032" s="43">
        <f t="shared" si="556"/>
        <v>0</v>
      </c>
      <c r="J1032" s="43" t="b">
        <f t="array" ref="J1032">NOT(OR(($H$9:$H$1273=TRUE)*($I$9:$I$1273&gt;0)*($BT$9:$BT$1273=BT1032)*($K$9:$K$1273&gt;K1032)))</f>
        <v>1</v>
      </c>
      <c r="K1032" s="72">
        <f t="shared" si="557"/>
        <v>0.89606739371405408</v>
      </c>
      <c r="L1032" s="72">
        <f t="shared" si="558"/>
        <v>0.86696341240773545</v>
      </c>
      <c r="M1032" s="72">
        <f t="shared" si="559"/>
        <v>0.92517137502037272</v>
      </c>
      <c r="N1032" s="72">
        <f t="shared" si="560"/>
        <v>0.90862021073832056</v>
      </c>
      <c r="O1032" s="72">
        <f t="shared" si="561"/>
        <v>0.89456103602379888</v>
      </c>
      <c r="P1032" s="72">
        <f t="shared" si="562"/>
        <v>0.97233287829899884</v>
      </c>
      <c r="Q1032" s="72"/>
      <c r="R1032" s="72"/>
      <c r="S1032" s="72">
        <f t="shared" si="563"/>
        <v>0.44874748714681545</v>
      </c>
      <c r="T1032" s="72">
        <f t="shared" si="564"/>
        <v>0.47460135842724072</v>
      </c>
      <c r="U1032" s="72">
        <f t="shared" si="565"/>
        <v>0.51</v>
      </c>
      <c r="V1032" s="72">
        <f t="shared" si="566"/>
        <v>0.50248556247800613</v>
      </c>
      <c r="W1032" s="72">
        <f t="shared" si="567"/>
        <v>0.84399933510638303</v>
      </c>
      <c r="X1032" s="72">
        <f t="shared" si="568"/>
        <v>0.13303658759226455</v>
      </c>
      <c r="Y1032" s="72">
        <f t="shared" si="569"/>
        <v>7.4828624979627223E-2</v>
      </c>
      <c r="Z1032" s="72">
        <f t="shared" si="570"/>
        <v>9.1379789261679431E-2</v>
      </c>
      <c r="AA1032" s="72">
        <f t="shared" si="571"/>
        <v>0.10543896397620112</v>
      </c>
      <c r="AB1032" s="72">
        <f t="shared" si="572"/>
        <v>2.7667121701001107E-2</v>
      </c>
      <c r="AC1032" s="72"/>
      <c r="AD1032" s="72"/>
      <c r="AE1032" s="72">
        <f t="shared" si="573"/>
        <v>0.55125251285318455</v>
      </c>
      <c r="AF1032" s="72">
        <f t="shared" si="574"/>
        <v>0.52539864157275928</v>
      </c>
      <c r="AG1032" s="72">
        <f t="shared" si="575"/>
        <v>0.49</v>
      </c>
      <c r="AH1032" s="72">
        <f t="shared" si="576"/>
        <v>0.49751443752199387</v>
      </c>
      <c r="AI1032" s="72">
        <f t="shared" si="577"/>
        <v>0.15600066489361702</v>
      </c>
      <c r="AJ1032" s="72">
        <f>(AV1032-Driver!$K$179)/(Driver!$L$179-Driver!$K$179)</f>
        <v>0.12118282169043589</v>
      </c>
      <c r="AK1032" s="72">
        <f>(AW1032-Driver!$K$180)/(Driver!$L$180-Driver!$K$180)</f>
        <v>0.20816297653086482</v>
      </c>
      <c r="AL1032" s="72">
        <f>(AX1032-Driver!$K$181)/(Driver!$L$181-Driver!$K$181)</f>
        <v>1.0307974451400748E-2</v>
      </c>
      <c r="AM1032" s="72">
        <f>(AY1032-Driver!$K$182)/(Driver!$L$182-Driver!$K$182)</f>
        <v>0.34194605712084525</v>
      </c>
      <c r="AN1032" s="72">
        <f>(AZ1032-Driver!$K$183)/(Driver!$L$183-Driver!$K$183)</f>
        <v>0.22655228758169932</v>
      </c>
      <c r="AO1032" s="72"/>
      <c r="AP1032" s="72"/>
      <c r="AQ1032" s="72">
        <f>(BC1032-Driver!$K$188)/(Driver!$L$188-Driver!$K$188)</f>
        <v>6.8747487146815403E-2</v>
      </c>
      <c r="AR1032" s="72">
        <f>MIN((BD1032-Driver!$K$189)/(Driver!$L$189-Driver!$K$189),100%)</f>
        <v>2.460135842724074E-2</v>
      </c>
      <c r="AS1032" s="72">
        <f>(BE1032-Driver!$K$190)/(Driver!$L$190-Driver!$K$190)</f>
        <v>1</v>
      </c>
      <c r="AT1032" s="72">
        <f>(BF1032-Driver!$K$191)/(Driver!$L$191-Driver!$K$191)</f>
        <v>1.2485562478006149E-2</v>
      </c>
      <c r="AU1032" s="72">
        <f>(BG1032-Driver!$K$192)/(Driver!$L$192-Driver!$K$192)</f>
        <v>9.3999335106382975E-2</v>
      </c>
      <c r="AV1032" s="70">
        <f t="shared" si="578"/>
        <v>2.5505358838692169</v>
      </c>
      <c r="AW1032" s="70">
        <f t="shared" si="579"/>
        <v>22.159219196002262</v>
      </c>
      <c r="AX1032" s="70">
        <f t="shared" si="580"/>
        <v>1.0927717700626067</v>
      </c>
      <c r="AY1032" s="70">
        <f>IFERROR(Driver!$K$19/Data!BH1032/Data!BI1032*Data!BK1032*Data!BL1032,"")</f>
        <v>0.41864400077212222</v>
      </c>
      <c r="AZ1032" s="70">
        <f t="shared" si="581"/>
        <v>20.647803425167535</v>
      </c>
      <c r="BA1032" s="70"/>
      <c r="BB1032" s="70"/>
      <c r="BC1032" s="70">
        <f t="shared" si="582"/>
        <v>35.659799507830144</v>
      </c>
      <c r="BD1032" s="70">
        <f t="shared" si="583"/>
        <v>3.8979995138808161</v>
      </c>
      <c r="BE1032" s="70">
        <f t="shared" si="584"/>
        <v>1</v>
      </c>
      <c r="BF1032" s="70">
        <f t="shared" si="585"/>
        <v>1.4101565658500046</v>
      </c>
      <c r="BG1032" s="70">
        <f t="shared" si="586"/>
        <v>0.35594144780585107</v>
      </c>
      <c r="BH1032" s="67">
        <f>MAX((CE1032-Driver!$F$200)/(Driver!$G$200-Driver!$F$200)*$BI$1,1)</f>
        <v>1.0927717700626067</v>
      </c>
      <c r="BI1032" s="67">
        <f>MAX($BI$1*(BY1032-Driver!$F$201)/(Driver!$G$201-Driver!$F$201),1)</f>
        <v>7.4683544303797467</v>
      </c>
      <c r="BJ1032" s="67">
        <f>(CB1032-Driver!$F$206)/(Driver!$G$206-Driver!$F$206)*$BI$1</f>
        <v>2.5396825396825395</v>
      </c>
      <c r="BK1032" s="67">
        <f>(CD1032-Driver!$F$203)/(Driver!$G$203-Driver!$F$203)*$BI$1</f>
        <v>2.7522935779816518</v>
      </c>
      <c r="BL1032" s="67">
        <f>MAX((CR1032-Driver!$F$202)/(Driver!$G$202-Driver!$F$202)*$BI$1,1)</f>
        <v>6.2068965517241379</v>
      </c>
      <c r="BM1032" s="67">
        <f>MAX((CH1032-Driver!$F$204)/(Driver!$G$204-Driver!$F$204)*$BI$1,1)</f>
        <v>4.017094017094017</v>
      </c>
      <c r="BN1032" s="67">
        <f>(CI1032-Driver!$F$205)/(Driver!$G$205-Driver!$F$205)*$BI$1</f>
        <v>2.7647058823529411</v>
      </c>
      <c r="BO1032" s="67">
        <f>(CK1032-Driver!$F$207)/(Driver!$G$207-Driver!$F$207)*$BI$1</f>
        <v>1.4477766287487073</v>
      </c>
      <c r="BP1032" s="67">
        <f>(CM1032-Driver!$F$208)/(Driver!$G$208-Driver!$F$208)*$BI$1</f>
        <v>1.0555555555555556</v>
      </c>
      <c r="BQ1032" s="67">
        <f>(CL1032-Driver!$F$209)/(Driver!$G$209-Driver!$F$209)*$BI$1</f>
        <v>1.5625</v>
      </c>
      <c r="BR1032" s="28" t="s">
        <v>155</v>
      </c>
      <c r="BS1032" s="8" t="s">
        <v>245</v>
      </c>
      <c r="BT1032" s="9" t="s">
        <v>847</v>
      </c>
      <c r="BU1032" s="10">
        <v>162</v>
      </c>
      <c r="BV1032" s="9" t="s">
        <v>163</v>
      </c>
      <c r="BW1032" s="10">
        <v>162</v>
      </c>
      <c r="BX1032" s="10">
        <v>160.69999999999999</v>
      </c>
      <c r="BY1032" s="10">
        <v>126</v>
      </c>
      <c r="BZ1032" s="10">
        <v>143</v>
      </c>
      <c r="CA1032" s="10">
        <v>116</v>
      </c>
      <c r="CB1032" s="10">
        <v>80</v>
      </c>
      <c r="CC1032" s="10">
        <v>106</v>
      </c>
      <c r="CD1032" s="10">
        <v>15.4</v>
      </c>
      <c r="CE1032" s="10">
        <v>1092</v>
      </c>
      <c r="CF1032" s="10">
        <v>1.35</v>
      </c>
      <c r="CG1032" s="10">
        <v>1473</v>
      </c>
      <c r="CH1032" s="10">
        <v>195</v>
      </c>
      <c r="CI1032" s="10">
        <v>80</v>
      </c>
      <c r="CJ1032" s="10">
        <v>47</v>
      </c>
      <c r="CK1032" s="10">
        <v>250</v>
      </c>
      <c r="CL1032" s="10">
        <v>10</v>
      </c>
      <c r="CM1032" s="10">
        <v>95</v>
      </c>
      <c r="CN1032" s="10">
        <v>0.20300000000000001</v>
      </c>
      <c r="CO1032" s="10">
        <v>74</v>
      </c>
      <c r="CP1032" s="10">
        <v>103</v>
      </c>
      <c r="CQ1032" s="10">
        <v>175</v>
      </c>
      <c r="CR1032" s="10">
        <v>7</v>
      </c>
      <c r="CS1032" s="10">
        <v>9.9</v>
      </c>
      <c r="CT1032" s="9" t="s">
        <v>185</v>
      </c>
      <c r="CU1032" s="9" t="s">
        <v>198</v>
      </c>
      <c r="CV1032" s="10"/>
      <c r="CW1032" s="10"/>
      <c r="CX1032" t="str">
        <f>INDEX('Data_Price '!AG$2:AG$1266,MATCH(Data!$DN1032,'Data_Price '!$AT$2:$AT$1266,0))</f>
        <v>Fischer Transalp 82 Skis 2020</v>
      </c>
      <c r="CY1032" t="str">
        <f>INDEX('Data_Price '!AH$2:AH$1266,MATCH(Data!$DN1032,'Data_Price '!$AT$2:$AT$1266,0))</f>
        <v>Level Nine Sports</v>
      </c>
      <c r="CZ1032">
        <f>INDEX('Data_Price '!AI$2:AI$1266,MATCH(Data!$DN1032,'Data_Price '!$AT$2:$AT$1266,0))</f>
        <v>209</v>
      </c>
      <c r="DA1032" t="str">
        <f>INDEX('Data_Price '!AJ$2:AJ$1266,MATCH(Data!$DN1032,'Data_Price '!$AT$2:$AT$1266,0))</f>
        <v>https://tinyurl.com/y7qam9kg</v>
      </c>
      <c r="DB1032" t="str">
        <f>INDEX('Data_Price '!AK$2:AK$1266,MATCH(Data!$DN1032,'Data_Price '!$AT$2:$AT$1266,0))</f>
        <v>Fischer Transalp 82 Carbon Touring Skis 162</v>
      </c>
      <c r="DC1032" t="str">
        <f>INDEX('Data_Price '!AL$2:AL$1266,MATCH(Data!$DN1032,'Data_Price '!$AT$2:$AT$1266,0))</f>
        <v>Telemark Pyrenees</v>
      </c>
      <c r="DD1032">
        <f>INDEX('Data_Price '!AM$2:AM$1266,MATCH(Data!$DN1032,'Data_Price '!$AT$2:$AT$1266,0))</f>
        <v>329.96</v>
      </c>
      <c r="DE1032" t="str">
        <f>INDEX('Data_Price '!AN$2:AN$1266,MATCH(Data!$DN1032,'Data_Price '!$AT$2:$AT$1266,0))</f>
        <v>https://tinyurl.com/y8c64nur</v>
      </c>
      <c r="DF1032" t="str">
        <f>INDEX('Data_Price '!AO$2:AO$1266,MATCH(Data!$DN1032,'Data_Price '!$AT$2:$AT$1266,0))</f>
        <v>Fischer Transalp 82 Carbon Backcountry Ski (2021) 162</v>
      </c>
      <c r="DG1032" t="str">
        <f>INDEX('Data_Price '!AP$2:AP$1266,MATCH(Data!$DN1032,'Data_Price '!$AT$2:$AT$1266,0))</f>
        <v>Ski The Whites</v>
      </c>
      <c r="DH1032">
        <f>INDEX('Data_Price '!AQ$2:AQ$1266,MATCH(Data!$DN1032,'Data_Price '!$AT$2:$AT$1266,0))</f>
        <v>599.99</v>
      </c>
      <c r="DI1032" t="str">
        <f>INDEX('Data_Price '!AR$2:AR$1266,MATCH(Data!$DN1032,'Data_Price '!$AT$2:$AT$1266,0))</f>
        <v>https://tinyurl.com/yazkwglp</v>
      </c>
      <c r="DJ1032" s="89" t="str">
        <f t="shared" si="587"/>
        <v>https://tinyurl.com/y7qam9kg</v>
      </c>
      <c r="DK1032" s="89" t="str">
        <f t="shared" si="588"/>
        <v>https://tinyurl.com/y8c64nur</v>
      </c>
      <c r="DL1032" s="89" t="str">
        <f t="shared" si="589"/>
        <v>https://tinyurl.com/yazkwglp</v>
      </c>
      <c r="DM1032" s="219" t="str">
        <f t="shared" si="590"/>
        <v>Transalp 82</v>
      </c>
      <c r="DN1032" s="89" t="str">
        <f t="shared" si="591"/>
        <v xml:space="preserve"> FischerTransalp 82162 Women's</v>
      </c>
      <c r="DO1032" s="221"/>
    </row>
    <row r="1033" spans="2:119" ht="15.6" customHeight="1">
      <c r="B1033" s="219" t="b">
        <f t="array" ref="B1033">IF(OR(ISERROR(K1033:P1033)),FALSE,TRUE)</f>
        <v>1</v>
      </c>
      <c r="C1033" s="43" t="b">
        <f>OR(BR1033=Driver!$G$50,Data!BR144=Driver!$H$50)</f>
        <v>1</v>
      </c>
      <c r="D1033" s="43" t="b">
        <f>OR(BV1033=Driver!$G$51,BV1033=Driver!$H$51)</f>
        <v>0</v>
      </c>
      <c r="E1033" s="43" t="b">
        <f>AND(BX1033&gt;Driver!$F$54,BX1033&lt;Driver!$G$54)</f>
        <v>0</v>
      </c>
      <c r="F1033" s="43" t="b">
        <f>CL1033&gt;Driver!$F$56</f>
        <v>1</v>
      </c>
      <c r="G1033" s="43" t="b">
        <f>AND(CB1033&gt;Driver!$F$55,CB1033&lt;Driver!$G$55)</f>
        <v>0</v>
      </c>
      <c r="H1033" s="43" t="b">
        <f t="shared" ref="H1033:H1096" si="592">AND(B1033:G1033)</f>
        <v>0</v>
      </c>
      <c r="I1033" s="43">
        <f t="shared" ref="I1033:I1096" si="593">COUNTIFS($H$9:$H$1273,TRUE,$BT$9:$BT$1273,BT1033)</f>
        <v>0</v>
      </c>
      <c r="J1033" s="43" t="b">
        <f t="array" ref="J1033">NOT(OR(($H$9:$H$1273=TRUE)*($I$9:$I$1273&gt;0)*($BT$9:$BT$1273=BT1033)*($K$9:$K$1273&gt;K1033)))</f>
        <v>1</v>
      </c>
      <c r="K1033" s="72">
        <f t="shared" ref="K1033:K1096" si="594">IFERROR(1-AVERAGE(X1033:Y1033),"")</f>
        <v>0.77388582658159089</v>
      </c>
      <c r="L1033" s="72">
        <f t="shared" ref="L1033:L1096" si="595">1-X1033</f>
        <v>0.76086398448089643</v>
      </c>
      <c r="M1033" s="72">
        <f t="shared" ref="M1033:M1096" si="596">1-Y1033</f>
        <v>0.78690766868228534</v>
      </c>
      <c r="N1033" s="72">
        <f t="shared" ref="N1033:N1096" si="597">1-Z1033</f>
        <v>0.84727683599537951</v>
      </c>
      <c r="O1033" s="72">
        <f t="shared" ref="O1033:O1096" si="598">1-AA1033</f>
        <v>0.65295969698123568</v>
      </c>
      <c r="P1033" s="72">
        <f t="shared" ref="P1033:P1096" si="599">1-AB1033</f>
        <v>0.86048647307024073</v>
      </c>
      <c r="Q1033" s="72"/>
      <c r="R1033" s="72"/>
      <c r="S1033" s="72">
        <f t="shared" ref="S1033:S1096" si="600">1-AE1033</f>
        <v>0.41527818795530091</v>
      </c>
      <c r="T1033" s="72">
        <f t="shared" ref="T1033:T1096" si="601">1-AF1033</f>
        <v>0.54314138679080426</v>
      </c>
      <c r="U1033" s="72">
        <f t="shared" ref="U1033:U1096" si="602">1-AG1033</f>
        <v>0.51</v>
      </c>
      <c r="V1033" s="72">
        <f t="shared" ref="V1033:V1096" si="603">1-AH1033</f>
        <v>0.49072306667122145</v>
      </c>
      <c r="W1033" s="72">
        <f t="shared" ref="W1033:W1096" si="604">1-AI1033</f>
        <v>0.80017301038062283</v>
      </c>
      <c r="X1033" s="72">
        <f t="shared" ref="X1033:X1096" si="605">ABS(AJ1033-AJ$1)</f>
        <v>0.23913601551910363</v>
      </c>
      <c r="Y1033" s="72">
        <f t="shared" ref="Y1033:Y1096" si="606">AVERAGE(Z1033:AB1033)</f>
        <v>0.21309233131771466</v>
      </c>
      <c r="Z1033" s="72">
        <f t="shared" ref="Z1033:Z1096" si="607">ABS(AL1033-AL$1)</f>
        <v>0.15272316400462044</v>
      </c>
      <c r="AA1033" s="72">
        <f t="shared" ref="AA1033:AA1096" si="608">ABS(AM1033-AM$1)</f>
        <v>0.34704030301876432</v>
      </c>
      <c r="AB1033" s="72">
        <f t="shared" ref="AB1033:AB1096" si="609">ABS(AN1033-AN$1)</f>
        <v>0.13951352692975927</v>
      </c>
      <c r="AC1033" s="72"/>
      <c r="AD1033" s="72"/>
      <c r="AE1033" s="72">
        <f t="shared" ref="AE1033:AE1096" si="610">ABS(AQ$1-AQ1033)</f>
        <v>0.58472181204469909</v>
      </c>
      <c r="AF1033" s="72">
        <f t="shared" ref="AF1033:AF1096" si="611">ABS(AR$1-AR1033)</f>
        <v>0.45685861320919574</v>
      </c>
      <c r="AG1033" s="72">
        <f t="shared" ref="AG1033:AG1096" si="612">ABS(AS$1-AS1033)</f>
        <v>0.49</v>
      </c>
      <c r="AH1033" s="72">
        <f t="shared" ref="AH1033:AH1096" si="613">ABS(AT$1-AT1033)</f>
        <v>0.50927693332877855</v>
      </c>
      <c r="AI1033" s="72">
        <f t="shared" ref="AI1033:AI1096" si="614">ABS(AU$1-AU1033)</f>
        <v>0.19982698961937717</v>
      </c>
      <c r="AJ1033" s="72">
        <f>(AV1033-Driver!$K$179)/(Driver!$L$179-Driver!$K$179)</f>
        <v>1.5083393763596808E-2</v>
      </c>
      <c r="AK1033" s="72">
        <f>(AW1033-Driver!$K$180)/(Driver!$L$180-Driver!$K$180)</f>
        <v>0.12307618302960838</v>
      </c>
      <c r="AL1033" s="72">
        <f>(AX1033-Driver!$K$181)/(Driver!$L$181-Driver!$K$181)</f>
        <v>0.25441092771770063</v>
      </c>
      <c r="AM1033" s="72">
        <f>(AY1033-Driver!$K$182)/(Driver!$L$182-Driver!$K$182)</f>
        <v>0.10034471807828206</v>
      </c>
      <c r="AN1033" s="72">
        <f>(AZ1033-Driver!$K$183)/(Driver!$L$183-Driver!$K$183)</f>
        <v>0.11470588235294117</v>
      </c>
      <c r="AO1033" s="72"/>
      <c r="AP1033" s="72"/>
      <c r="AQ1033" s="72">
        <f>(BC1033-Driver!$K$188)/(Driver!$L$188-Driver!$K$188)</f>
        <v>3.527818795530089E-2</v>
      </c>
      <c r="AR1033" s="72">
        <f>MIN((BD1033-Driver!$K$189)/(Driver!$L$189-Driver!$K$189),100%)</f>
        <v>9.314138679080429E-2</v>
      </c>
      <c r="AS1033" s="72">
        <f>(BE1033-Driver!$K$190)/(Driver!$L$190-Driver!$K$190)</f>
        <v>1</v>
      </c>
      <c r="AT1033" s="72">
        <f>(BF1033-Driver!$K$191)/(Driver!$L$191-Driver!$K$191)</f>
        <v>7.2306667122147886E-4</v>
      </c>
      <c r="AU1033" s="72">
        <f>(BG1033-Driver!$K$192)/(Driver!$L$192-Driver!$K$192)</f>
        <v>5.0173010380622829E-2</v>
      </c>
      <c r="AV1033" s="70">
        <f t="shared" ref="AV1033:AV1096" si="615">IFERROR(BM1033*BJ1033^1/4,"")</f>
        <v>0.31746031746031744</v>
      </c>
      <c r="AW1033" s="70">
        <f t="shared" ref="AW1033:AW1096" si="616">IFERROR(SUM(AX1033:AZ1033),"")</f>
        <v>13.866757223616705</v>
      </c>
      <c r="AX1033" s="70">
        <f t="shared" ref="AX1033:AX1096" si="617">IFERROR(BH1033,"")</f>
        <v>3.2896983494593055</v>
      </c>
      <c r="AY1033" s="70">
        <f>IFERROR(Driver!$K$19/Data!BH1033/Data!BI1033*Data!BK1033*Data!BL1033,"")</f>
        <v>0.12285187490200139</v>
      </c>
      <c r="AZ1033" s="70">
        <f t="shared" ref="AZ1033:AZ1096" si="618">IFERROR(BI1033*BN1033,"")</f>
        <v>10.454206999255398</v>
      </c>
      <c r="BA1033" s="70"/>
      <c r="BB1033" s="70"/>
      <c r="BC1033" s="70">
        <f t="shared" ref="BC1033:BC1096" si="619">IFERROR(BI1033*BN1033*BK1033/BJ1033^(1/2),"")</f>
        <v>18.299041342398404</v>
      </c>
      <c r="BD1033" s="70">
        <f t="shared" ref="BD1033:BD1096" si="620">IFERROR(BH1033*BM1033*BL1033/BJ1033/BK1033,"")</f>
        <v>9.9636705783122519</v>
      </c>
      <c r="BE1033" s="70">
        <f t="shared" ref="BE1033:BE1096" si="621">IFERROR(MIN(BI1033/BQ1033/BP1033/BO1033/BH1033,$BE$1),"")</f>
        <v>1</v>
      </c>
      <c r="BF1033" s="70">
        <f t="shared" ref="BF1033:BF1096" si="622">IFERROR(BJ1033*BO1033*BP1033/BK1033,"")</f>
        <v>8.1665300683602324E-2</v>
      </c>
      <c r="BG1033" s="70">
        <f t="shared" ref="BG1033:BG1096" si="623">IFERROR(1/BM1033/BH1033*BQ1033,"")</f>
        <v>0.18998702422145328</v>
      </c>
      <c r="BH1033" s="67">
        <f>MAX((CE1033-Driver!$F$200)/(Driver!$G$200-Driver!$F$200)*$BI$1,1)</f>
        <v>3.2896983494593055</v>
      </c>
      <c r="BI1033" s="67">
        <f>MAX($BI$1*(BY1033-Driver!$F$201)/(Driver!$G$201-Driver!$F$201),1)</f>
        <v>7.4050632911392409</v>
      </c>
      <c r="BJ1033" s="67">
        <f>(CB1033-Driver!$F$206)/(Driver!$G$206-Driver!$F$206)*$BI$1</f>
        <v>1.2698412698412698</v>
      </c>
      <c r="BK1033" s="67">
        <f>(CD1033-Driver!$F$203)/(Driver!$G$203-Driver!$F$203)*$BI$1</f>
        <v>1.9724770642201834</v>
      </c>
      <c r="BL1033" s="67">
        <f>MAX((CR1033-Driver!$F$202)/(Driver!$G$202-Driver!$F$202)*$BI$1,1)</f>
        <v>7.5862068965517242</v>
      </c>
      <c r="BM1033" s="67">
        <f>MAX((CH1033-Driver!$F$204)/(Driver!$G$204-Driver!$F$204)*$BI$1,1)</f>
        <v>1</v>
      </c>
      <c r="BN1033" s="67">
        <f>(CI1033-Driver!$F$205)/(Driver!$G$205-Driver!$F$205)*$BI$1</f>
        <v>1.4117647058823528</v>
      </c>
      <c r="BO1033" s="67">
        <f>(CK1033-Driver!$F$207)/(Driver!$G$207-Driver!$F$207)*$BI$1</f>
        <v>0.23784901758014479</v>
      </c>
      <c r="BP1033" s="67">
        <f>(CM1033-Driver!$F$208)/(Driver!$G$208-Driver!$F$208)*$BI$1</f>
        <v>0.53333333333333333</v>
      </c>
      <c r="BQ1033" s="67">
        <f>(CL1033-Driver!$F$209)/(Driver!$G$209-Driver!$F$209)*$BI$1</f>
        <v>0.625</v>
      </c>
      <c r="BR1033" s="28" t="s">
        <v>155</v>
      </c>
      <c r="BS1033" s="8" t="s">
        <v>156</v>
      </c>
      <c r="BT1033" s="9" t="s">
        <v>587</v>
      </c>
      <c r="BU1033" s="10">
        <v>143</v>
      </c>
      <c r="BV1033" s="9" t="s">
        <v>163</v>
      </c>
      <c r="BW1033" s="10">
        <v>143</v>
      </c>
      <c r="BX1033" s="10">
        <v>142.9</v>
      </c>
      <c r="BY1033" s="10">
        <v>125</v>
      </c>
      <c r="BZ1033" s="10">
        <v>129</v>
      </c>
      <c r="CA1033" s="10">
        <v>108</v>
      </c>
      <c r="CB1033" s="10">
        <v>72</v>
      </c>
      <c r="CC1033" s="10">
        <v>94</v>
      </c>
      <c r="CD1033" s="10">
        <v>13.7</v>
      </c>
      <c r="CE1033" s="10">
        <v>1478</v>
      </c>
      <c r="CF1033" s="10">
        <v>0.8</v>
      </c>
      <c r="CG1033" s="10">
        <v>1189</v>
      </c>
      <c r="CH1033" s="10">
        <v>119</v>
      </c>
      <c r="CI1033" s="10">
        <v>57</v>
      </c>
      <c r="CJ1033" s="10">
        <v>32</v>
      </c>
      <c r="CK1033" s="10">
        <v>133</v>
      </c>
      <c r="CL1033" s="10">
        <v>4</v>
      </c>
      <c r="CM1033" s="10">
        <v>48</v>
      </c>
      <c r="CN1033" s="10">
        <v>0.11700000000000001</v>
      </c>
      <c r="CO1033" s="10">
        <v>89</v>
      </c>
      <c r="CP1033" s="10">
        <v>52</v>
      </c>
      <c r="CQ1033" s="10">
        <v>45</v>
      </c>
      <c r="CR1033" s="10">
        <v>11</v>
      </c>
      <c r="CS1033" s="10">
        <v>12.6</v>
      </c>
      <c r="CT1033" s="9" t="s">
        <v>349</v>
      </c>
      <c r="CU1033" s="10"/>
      <c r="CV1033" s="10"/>
      <c r="CW1033" s="10"/>
      <c r="CX1033" t="str">
        <f>INDEX('Data_Price '!AG$2:AG$1266,MATCH(Data!$DN1033,'Data_Price '!$AT$2:$AT$1266,0))</f>
        <v>â€˜20/21 Atomic Cloud 9 143 Cm W/ Demo Bindings</v>
      </c>
      <c r="CY1033" t="str">
        <f>INDEX('Data_Price '!AH$2:AH$1266,MATCH(Data!$DN1033,'Data_Price '!$AT$2:$AT$1266,0))</f>
        <v>eBay</v>
      </c>
      <c r="CZ1033">
        <f>INDEX('Data_Price '!AI$2:AI$1266,MATCH(Data!$DN1033,'Data_Price '!$AT$2:$AT$1266,0))</f>
        <v>449.99</v>
      </c>
      <c r="DA1033" t="str">
        <f>INDEX('Data_Price '!AJ$2:AJ$1266,MATCH(Data!$DN1033,'Data_Price '!$AT$2:$AT$1266,0))</f>
        <v>https://tinyurl.com/ybacw4gp</v>
      </c>
      <c r="DB1033" t="str">
        <f>INDEX('Data_Price '!AK$2:AK$1266,MATCH(Data!$DN1033,'Data_Price '!$AT$2:$AT$1266,0))</f>
        <v>Atomic Cloud 9 Women's Skis with M 10 GW Bindings Â· 143 cm</v>
      </c>
      <c r="DC1033" t="str">
        <f>INDEX('Data_Price '!AL$2:AL$1266,MATCH(Data!$DN1033,'Data_Price '!$AT$2:$AT$1266,0))</f>
        <v>The-House.com</v>
      </c>
      <c r="DD1033">
        <f>INDEX('Data_Price '!AM$2:AM$1266,MATCH(Data!$DN1033,'Data_Price '!$AT$2:$AT$1266,0))</f>
        <v>599.99</v>
      </c>
      <c r="DE1033" t="str">
        <f>INDEX('Data_Price '!AN$2:AN$1266,MATCH(Data!$DN1033,'Data_Price '!$AT$2:$AT$1266,0))</f>
        <v>https://tinyurl.com/y7627jzj</v>
      </c>
      <c r="DF1033" t="str">
        <f>INDEX('Data_Price '!AO$2:AO$1266,MATCH(Data!$DN1033,'Data_Price '!$AT$2:$AT$1266,0))</f>
        <v>Atomic Cloud 9 Skis 2022 w/bindings 143</v>
      </c>
      <c r="DG1033" t="str">
        <f>INDEX('Data_Price '!AP$2:AP$1266,MATCH(Data!$DN1033,'Data_Price '!$AT$2:$AT$1266,0))</f>
        <v>Ski Depot RaceSkis.com</v>
      </c>
      <c r="DH1033">
        <f>INDEX('Data_Price '!AQ$2:AQ$1266,MATCH(Data!$DN1033,'Data_Price '!$AT$2:$AT$1266,0))</f>
        <v>599.99</v>
      </c>
      <c r="DI1033" t="str">
        <f>INDEX('Data_Price '!AR$2:AR$1266,MATCH(Data!$DN1033,'Data_Price '!$AT$2:$AT$1266,0))</f>
        <v>https://tinyurl.com/ybxvods3</v>
      </c>
      <c r="DJ1033" s="89" t="str">
        <f t="shared" ref="DJ1033:DJ1096" si="624">DA1033</f>
        <v>https://tinyurl.com/ybacw4gp</v>
      </c>
      <c r="DK1033" s="89" t="str">
        <f t="shared" ref="DK1033:DK1096" si="625">DE1033</f>
        <v>https://tinyurl.com/y7627jzj</v>
      </c>
      <c r="DL1033" s="89" t="str">
        <f t="shared" ref="DL1033:DL1096" si="626">DI1033</f>
        <v>https://tinyurl.com/ybxvods3</v>
      </c>
      <c r="DM1033" s="219" t="str">
        <f t="shared" ref="DM1033:DM1096" si="627">IF(LEFT(BT1033,1)=" ",RIGHT(BT1033,LEN(BT1033)-1),BT1033)</f>
        <v>Cloud C9</v>
      </c>
      <c r="DN1033" s="89" t="str">
        <f t="shared" ref="DN1033:DN1096" si="628">_xlfn.CONCAT(BS1033,DM1033,BU1033,BV1033)</f>
        <v xml:space="preserve"> AtomicCloud C9143 Women's</v>
      </c>
      <c r="DO1033" s="221" t="s">
        <v>588</v>
      </c>
    </row>
    <row r="1034" spans="2:119" ht="15.6" customHeight="1">
      <c r="B1034" s="219" t="b">
        <f t="array" ref="B1034">IF(OR(ISERROR(K1034:P1034)),FALSE,TRUE)</f>
        <v>1</v>
      </c>
      <c r="C1034" s="43" t="b">
        <f>OR(BR1034=Driver!$G$50,Data!BR989=Driver!$H$50)</f>
        <v>1</v>
      </c>
      <c r="D1034" s="43" t="b">
        <f>OR(BV1034=Driver!$G$51,BV1034=Driver!$H$51)</f>
        <v>1</v>
      </c>
      <c r="E1034" s="43" t="b">
        <f>AND(BX1034&gt;Driver!$F$54,BX1034&lt;Driver!$G$54)</f>
        <v>0</v>
      </c>
      <c r="F1034" s="43" t="b">
        <f>CL1034&gt;Driver!$F$56</f>
        <v>1</v>
      </c>
      <c r="G1034" s="43" t="b">
        <f>AND(CB1034&gt;Driver!$F$55,CB1034&lt;Driver!$G$55)</f>
        <v>1</v>
      </c>
      <c r="H1034" s="43" t="b">
        <f t="shared" si="592"/>
        <v>0</v>
      </c>
      <c r="I1034" s="43">
        <f t="shared" si="593"/>
        <v>0</v>
      </c>
      <c r="J1034" s="43" t="b">
        <f t="array" ref="J1034">NOT(OR(($H$9:$H$1273=TRUE)*($I$9:$I$1273&gt;0)*($BT$9:$BT$1273=BT1034)*($K$9:$K$1273&gt;K1034)))</f>
        <v>1</v>
      </c>
      <c r="K1034" s="72">
        <f t="shared" si="594"/>
        <v>0.69057601280377412</v>
      </c>
      <c r="L1034" s="72">
        <f t="shared" si="595"/>
        <v>0.74821666977742307</v>
      </c>
      <c r="M1034" s="72">
        <f t="shared" si="596"/>
        <v>0.63293535583012517</v>
      </c>
      <c r="N1034" s="72">
        <f t="shared" si="597"/>
        <v>0.41788329903212151</v>
      </c>
      <c r="O1034" s="72">
        <f t="shared" si="598"/>
        <v>0.63977525460038998</v>
      </c>
      <c r="P1034" s="72">
        <f t="shared" si="599"/>
        <v>0.84114751385786368</v>
      </c>
      <c r="Q1034" s="72"/>
      <c r="R1034" s="72"/>
      <c r="S1034" s="72">
        <f t="shared" si="600"/>
        <v>0.53194646816677293</v>
      </c>
      <c r="T1034" s="72">
        <f t="shared" si="601"/>
        <v>0.5254851509245223</v>
      </c>
      <c r="U1034" s="72">
        <f t="shared" si="602"/>
        <v>0.61715238980502707</v>
      </c>
      <c r="V1034" s="72">
        <f t="shared" si="603"/>
        <v>0.53666473874176013</v>
      </c>
      <c r="W1034" s="72">
        <f t="shared" si="604"/>
        <v>0.76117537965735826</v>
      </c>
      <c r="X1034" s="72">
        <f t="shared" si="605"/>
        <v>0.25178333022257698</v>
      </c>
      <c r="Y1034" s="72">
        <f t="shared" si="606"/>
        <v>0.36706464416987489</v>
      </c>
      <c r="Z1034" s="72">
        <f t="shared" si="607"/>
        <v>0.58211670096787849</v>
      </c>
      <c r="AA1034" s="72">
        <f t="shared" si="608"/>
        <v>0.36022474539961002</v>
      </c>
      <c r="AB1034" s="72">
        <f t="shared" si="609"/>
        <v>0.15885248614213626</v>
      </c>
      <c r="AC1034" s="72"/>
      <c r="AD1034" s="72"/>
      <c r="AE1034" s="72">
        <f t="shared" si="610"/>
        <v>0.46805353183322707</v>
      </c>
      <c r="AF1034" s="72">
        <f t="shared" si="611"/>
        <v>0.4745148490754777</v>
      </c>
      <c r="AG1034" s="72">
        <f t="shared" si="612"/>
        <v>0.38284761019497299</v>
      </c>
      <c r="AH1034" s="72">
        <f t="shared" si="613"/>
        <v>0.46333526125823987</v>
      </c>
      <c r="AI1034" s="72">
        <f t="shared" si="614"/>
        <v>0.23882462034264171</v>
      </c>
      <c r="AJ1034" s="72">
        <f>(AV1034-Driver!$K$179)/(Driver!$L$179-Driver!$K$179)</f>
        <v>0.50600273950527741</v>
      </c>
      <c r="AK1034" s="72">
        <f>(AW1034-Driver!$K$180)/(Driver!$L$180-Driver!$K$180)</f>
        <v>0.44158238840188591</v>
      </c>
      <c r="AL1034" s="72">
        <f>(AX1034-Driver!$K$181)/(Driver!$L$181-Driver!$K$181)</f>
        <v>0.68380446468095868</v>
      </c>
      <c r="AM1034" s="72">
        <f>(AY1034-Driver!$K$182)/(Driver!$L$182-Driver!$K$182)</f>
        <v>8.7160275697436326E-2</v>
      </c>
      <c r="AN1034" s="72">
        <f>(AZ1034-Driver!$K$183)/(Driver!$L$183-Driver!$K$183)</f>
        <v>0.41307189542483669</v>
      </c>
      <c r="AO1034" s="72"/>
      <c r="AP1034" s="72"/>
      <c r="AQ1034" s="72">
        <f>(BC1034-Driver!$K$188)/(Driver!$L$188-Driver!$K$188)</f>
        <v>0.1519464681667729</v>
      </c>
      <c r="AR1034" s="72">
        <f>MIN((BD1034-Driver!$K$189)/(Driver!$L$189-Driver!$K$189),100%)</f>
        <v>7.5485150924522321E-2</v>
      </c>
      <c r="AS1034" s="72">
        <f>(BE1034-Driver!$K$190)/(Driver!$L$190-Driver!$K$190)</f>
        <v>0.12715238980502702</v>
      </c>
      <c r="AT1034" s="72">
        <f>(BF1034-Driver!$K$191)/(Driver!$L$191-Driver!$K$191)</f>
        <v>4.6664738741760158E-2</v>
      </c>
      <c r="AU1034" s="72">
        <f>(BG1034-Driver!$K$192)/(Driver!$L$192-Driver!$K$192)</f>
        <v>1.1175379657358285E-2</v>
      </c>
      <c r="AV1034" s="70">
        <f t="shared" si="615"/>
        <v>10.649843983177314</v>
      </c>
      <c r="AW1034" s="70">
        <f t="shared" si="616"/>
        <v>44.908009189227968</v>
      </c>
      <c r="AX1034" s="70">
        <f t="shared" si="617"/>
        <v>7.1542401821286283</v>
      </c>
      <c r="AY1034" s="70">
        <f>IFERROR(Driver!$K$19/Data!BH1034/Data!BI1034*Data!BK1034*Data!BL1034,"")</f>
        <v>0.1067101835699205</v>
      </c>
      <c r="AZ1034" s="70">
        <f t="shared" si="618"/>
        <v>37.64705882352942</v>
      </c>
      <c r="BA1034" s="70"/>
      <c r="BB1034" s="70"/>
      <c r="BC1034" s="70">
        <f t="shared" si="619"/>
        <v>78.815689352814587</v>
      </c>
      <c r="BD1034" s="70">
        <f t="shared" si="620"/>
        <v>8.401124989145023</v>
      </c>
      <c r="BE1034" s="70">
        <f t="shared" si="621"/>
        <v>0.12730809599436746</v>
      </c>
      <c r="BF1034" s="70">
        <f t="shared" si="622"/>
        <v>5.2704544025377915</v>
      </c>
      <c r="BG1034" s="70">
        <f t="shared" si="623"/>
        <v>4.2317116504264028E-2</v>
      </c>
      <c r="BH1034" s="67">
        <f>MAX((CE1034-Driver!$F$200)/(Driver!$G$200-Driver!$F$200)*$BI$1,1)</f>
        <v>7.1542401821286283</v>
      </c>
      <c r="BI1034" s="67">
        <f>MAX($BI$1*(BY1034-Driver!$F$201)/(Driver!$G$201-Driver!$F$201),1)</f>
        <v>8.1012658227848107</v>
      </c>
      <c r="BJ1034" s="67">
        <f>(CB1034-Driver!$F$206)/(Driver!$G$206-Driver!$F$206)*$BI$1</f>
        <v>6.3492063492063489</v>
      </c>
      <c r="BK1034" s="67">
        <f>(CD1034-Driver!$F$203)/(Driver!$G$203-Driver!$F$203)*$BI$1</f>
        <v>5.2752293577981648</v>
      </c>
      <c r="BL1034" s="67">
        <f>MAX((CR1034-Driver!$F$202)/(Driver!$G$202-Driver!$F$202)*$BI$1,1)</f>
        <v>5.8620689655172411</v>
      </c>
      <c r="BM1034" s="67">
        <f>MAX((CH1034-Driver!$F$204)/(Driver!$G$204-Driver!$F$204)*$BI$1,1)</f>
        <v>6.7094017094017087</v>
      </c>
      <c r="BN1034" s="67">
        <f>(CI1034-Driver!$F$205)/(Driver!$G$205-Driver!$F$205)*$BI$1</f>
        <v>4.6470588235294121</v>
      </c>
      <c r="BO1034" s="67">
        <f>(CK1034-Driver!$F$207)/(Driver!$G$207-Driver!$F$207)*$BI$1</f>
        <v>1.9131334022750777</v>
      </c>
      <c r="BP1034" s="67">
        <f>(CM1034-Driver!$F$208)/(Driver!$G$208-Driver!$F$208)*$BI$1</f>
        <v>2.2888888888888888</v>
      </c>
      <c r="BQ1034" s="67">
        <f>(CL1034-Driver!$F$209)/(Driver!$G$209-Driver!$F$209)*$BI$1</f>
        <v>2.03125</v>
      </c>
      <c r="BR1034" s="28" t="s">
        <v>155</v>
      </c>
      <c r="BS1034" s="8" t="s">
        <v>172</v>
      </c>
      <c r="BT1034" s="9" t="s">
        <v>652</v>
      </c>
      <c r="BU1034" s="10">
        <v>187</v>
      </c>
      <c r="BV1034" s="9" t="s">
        <v>158</v>
      </c>
      <c r="BW1034" s="10">
        <v>187</v>
      </c>
      <c r="BX1034" s="10">
        <v>186.4</v>
      </c>
      <c r="BY1034" s="10">
        <v>136</v>
      </c>
      <c r="BZ1034" s="10">
        <v>160</v>
      </c>
      <c r="CA1034" s="10">
        <v>137</v>
      </c>
      <c r="CB1034" s="10">
        <v>104</v>
      </c>
      <c r="CC1034" s="10">
        <v>127</v>
      </c>
      <c r="CD1034" s="10">
        <v>20.9</v>
      </c>
      <c r="CE1034" s="10">
        <v>2157</v>
      </c>
      <c r="CF1034" s="10">
        <v>0.99</v>
      </c>
      <c r="CG1034" s="10">
        <v>2140</v>
      </c>
      <c r="CH1034" s="10">
        <v>258</v>
      </c>
      <c r="CI1034" s="10">
        <v>112</v>
      </c>
      <c r="CJ1034" s="10">
        <v>48</v>
      </c>
      <c r="CK1034" s="10">
        <v>295</v>
      </c>
      <c r="CL1034" s="10">
        <v>13</v>
      </c>
      <c r="CM1034" s="10">
        <v>206</v>
      </c>
      <c r="CN1034" s="10">
        <v>0.26800000000000002</v>
      </c>
      <c r="CO1034" s="10">
        <v>156</v>
      </c>
      <c r="CP1034" s="10">
        <v>107</v>
      </c>
      <c r="CQ1034" s="10">
        <v>139</v>
      </c>
      <c r="CR1034" s="10">
        <v>6</v>
      </c>
      <c r="CS1034" s="10">
        <v>7.5</v>
      </c>
      <c r="CT1034" s="9" t="s">
        <v>188</v>
      </c>
      <c r="CU1034" s="9" t="s">
        <v>178</v>
      </c>
      <c r="CV1034" s="10"/>
      <c r="CW1034" s="10"/>
      <c r="CX1034" t="str">
        <f>INDEX('Data_Price '!AG$2:AG$1266,MATCH(Data!$DN1034,'Data_Price '!$AT$2:$AT$1266,0))</f>
        <v>Rossignol Blackops Sender Ti Skis 187 cm</v>
      </c>
      <c r="CY1034" t="str">
        <f>INDEX('Data_Price '!AH$2:AH$1266,MATCH(Data!$DN1034,'Data_Price '!$AT$2:$AT$1266,0))</f>
        <v>Snowcountry.eu</v>
      </c>
      <c r="CZ1034">
        <f>INDEX('Data_Price '!AI$2:AI$1266,MATCH(Data!$DN1034,'Data_Price '!$AT$2:$AT$1266,0))</f>
        <v>460</v>
      </c>
      <c r="DA1034" t="str">
        <f>INDEX('Data_Price '!AJ$2:AJ$1266,MATCH(Data!$DN1034,'Data_Price '!$AT$2:$AT$1266,0))</f>
        <v>https://tinyurl.com/ybkfe495</v>
      </c>
      <c r="DB1034" t="str">
        <f>INDEX('Data_Price '!AK$2:AK$1266,MATCH(Data!$DN1034,'Data_Price '!$AT$2:$AT$1266,0))</f>
        <v>Rossignol Blackops Sender TI 187cm</v>
      </c>
      <c r="DC1034" t="str">
        <f>INDEX('Data_Price '!AL$2:AL$1266,MATCH(Data!$DN1034,'Data_Price '!$AT$2:$AT$1266,0))</f>
        <v>Sundance Ski and Board Shop</v>
      </c>
      <c r="DD1034">
        <f>INDEX('Data_Price '!AM$2:AM$1266,MATCH(Data!$DN1034,'Data_Price '!$AT$2:$AT$1266,0))</f>
        <v>544.98</v>
      </c>
      <c r="DE1034" t="str">
        <f>INDEX('Data_Price '!AN$2:AN$1266,MATCH(Data!$DN1034,'Data_Price '!$AT$2:$AT$1266,0))</f>
        <v>https://tinyurl.com/y92xfhel</v>
      </c>
      <c r="DF1034" t="str">
        <f>INDEX('Data_Price '!AO$2:AO$1266,MATCH(Data!$DN1034,'Data_Price '!$AT$2:$AT$1266,0))</f>
        <v>Rossignol Blackops Sender Ti Skis 187 cm</v>
      </c>
      <c r="DG1034" t="str">
        <f>INDEX('Data_Price '!AP$2:AP$1266,MATCH(Data!$DN1034,'Data_Price '!$AT$2:$AT$1266,0))</f>
        <v>Ski Pro  - Snow Ski &amp; Snowboard</v>
      </c>
      <c r="DH1034">
        <f>INDEX('Data_Price '!AQ$2:AQ$1266,MATCH(Data!$DN1034,'Data_Price '!$AT$2:$AT$1266,0))</f>
        <v>559.95000000000005</v>
      </c>
      <c r="DI1034" t="str">
        <f>INDEX('Data_Price '!AR$2:AR$1266,MATCH(Data!$DN1034,'Data_Price '!$AT$2:$AT$1266,0))</f>
        <v>https://tinyurl.com/y9s5eey7</v>
      </c>
      <c r="DJ1034" s="89" t="str">
        <f t="shared" si="624"/>
        <v>https://tinyurl.com/ybkfe495</v>
      </c>
      <c r="DK1034" s="89" t="str">
        <f t="shared" si="625"/>
        <v>https://tinyurl.com/y92xfhel</v>
      </c>
      <c r="DL1034" s="89" t="str">
        <f t="shared" si="626"/>
        <v>https://tinyurl.com/y9s5eey7</v>
      </c>
      <c r="DM1034" s="219" t="str">
        <f t="shared" si="627"/>
        <v>Blackops Sender Ti</v>
      </c>
      <c r="DN1034" s="89" t="str">
        <f t="shared" si="628"/>
        <v xml:space="preserve"> RossignolBlackops Sender Ti187 Unisex</v>
      </c>
      <c r="DO1034" s="221"/>
    </row>
    <row r="1035" spans="2:119" ht="15.6" customHeight="1">
      <c r="B1035" s="219" t="b">
        <f t="array" ref="B1035">IF(OR(ISERROR(K1035:P1035)),FALSE,TRUE)</f>
        <v>1</v>
      </c>
      <c r="C1035" s="43" t="b">
        <f>OR(BR1035=Driver!$G$50,Data!BR116=Driver!$H$50)</f>
        <v>1</v>
      </c>
      <c r="D1035" s="43" t="b">
        <f>OR(BV1035=Driver!$G$51,BV1035=Driver!$H$51)</f>
        <v>1</v>
      </c>
      <c r="E1035" s="43" t="b">
        <f>AND(BX1035&gt;Driver!$F$54,BX1035&lt;Driver!$G$54)</f>
        <v>1</v>
      </c>
      <c r="F1035" s="43" t="b">
        <f>CL1035&gt;Driver!$F$56</f>
        <v>1</v>
      </c>
      <c r="G1035" s="43" t="b">
        <f>AND(CB1035&gt;Driver!$F$55,CB1035&lt;Driver!$G$55)</f>
        <v>0</v>
      </c>
      <c r="H1035" s="43" t="b">
        <f t="shared" si="592"/>
        <v>0</v>
      </c>
      <c r="I1035" s="43">
        <f t="shared" si="593"/>
        <v>0</v>
      </c>
      <c r="J1035" s="43" t="b">
        <f t="array" ref="J1035">NOT(OR(($H$9:$H$1273=TRUE)*($I$9:$I$1273&gt;0)*($BT$9:$BT$1273=BT1035)*($K$9:$K$1273&gt;K1035)))</f>
        <v>1</v>
      </c>
      <c r="K1035" s="72">
        <f t="shared" si="594"/>
        <v>0.88639825011144235</v>
      </c>
      <c r="L1035" s="72">
        <f t="shared" si="595"/>
        <v>0.90265755470086251</v>
      </c>
      <c r="M1035" s="72">
        <f t="shared" si="596"/>
        <v>0.87013894552202209</v>
      </c>
      <c r="N1035" s="72">
        <f t="shared" si="597"/>
        <v>0.96553540709574803</v>
      </c>
      <c r="O1035" s="72">
        <f t="shared" si="598"/>
        <v>0.75204201522360692</v>
      </c>
      <c r="P1035" s="72">
        <f t="shared" si="599"/>
        <v>0.89283941424671132</v>
      </c>
      <c r="Q1035" s="72"/>
      <c r="R1035" s="72"/>
      <c r="S1035" s="72">
        <f t="shared" si="600"/>
        <v>0.40900141994635175</v>
      </c>
      <c r="T1035" s="72">
        <f t="shared" si="601"/>
        <v>0.44696133464740462</v>
      </c>
      <c r="U1035" s="72">
        <f t="shared" si="602"/>
        <v>0.77096184020863923</v>
      </c>
      <c r="V1035" s="72">
        <f t="shared" si="603"/>
        <v>0.59131240611422564</v>
      </c>
      <c r="W1035" s="72">
        <f t="shared" si="604"/>
        <v>0.91314460872701042</v>
      </c>
      <c r="X1035" s="72">
        <f t="shared" si="605"/>
        <v>9.7342445299137464E-2</v>
      </c>
      <c r="Y1035" s="72">
        <f t="shared" si="606"/>
        <v>0.12986105447797791</v>
      </c>
      <c r="Z1035" s="72">
        <f t="shared" si="607"/>
        <v>3.4464592904252009E-2</v>
      </c>
      <c r="AA1035" s="72">
        <f t="shared" si="608"/>
        <v>0.24795798477639303</v>
      </c>
      <c r="AB1035" s="72">
        <f t="shared" si="609"/>
        <v>0.10716058575328866</v>
      </c>
      <c r="AC1035" s="72"/>
      <c r="AD1035" s="72"/>
      <c r="AE1035" s="72">
        <f t="shared" si="610"/>
        <v>0.59099858005364825</v>
      </c>
      <c r="AF1035" s="72">
        <f t="shared" si="611"/>
        <v>0.55303866535259538</v>
      </c>
      <c r="AG1035" s="72">
        <f t="shared" si="612"/>
        <v>0.22903815979136077</v>
      </c>
      <c r="AH1035" s="72">
        <f t="shared" si="613"/>
        <v>0.4086875938857743</v>
      </c>
      <c r="AI1035" s="72">
        <f t="shared" si="614"/>
        <v>8.6855391272989552E-2</v>
      </c>
      <c r="AJ1035" s="72">
        <f>(AV1035-Driver!$K$179)/(Driver!$L$179-Driver!$K$179)</f>
        <v>0.15687696398356296</v>
      </c>
      <c r="AK1035" s="72">
        <f>(AW1035-Driver!$K$180)/(Driver!$L$180-Driver!$K$180)</f>
        <v>0.13728975974101784</v>
      </c>
      <c r="AL1035" s="72">
        <f>(AX1035-Driver!$K$181)/(Driver!$L$181-Driver!$K$181)</f>
        <v>6.722317080882817E-2</v>
      </c>
      <c r="AM1035" s="72">
        <f>(AY1035-Driver!$K$182)/(Driver!$L$182-Driver!$K$182)</f>
        <v>0.19942703632065334</v>
      </c>
      <c r="AN1035" s="72">
        <f>(AZ1035-Driver!$K$183)/(Driver!$L$183-Driver!$K$183)</f>
        <v>0.14705882352941177</v>
      </c>
      <c r="AO1035" s="72"/>
      <c r="AP1035" s="72"/>
      <c r="AQ1035" s="72">
        <f>(BC1035-Driver!$K$188)/(Driver!$L$188-Driver!$K$188)</f>
        <v>2.9001419946351695E-2</v>
      </c>
      <c r="AR1035" s="72">
        <f>MIN((BD1035-Driver!$K$189)/(Driver!$L$189-Driver!$K$189),100%)</f>
        <v>-3.0386653525953326E-3</v>
      </c>
      <c r="AS1035" s="72">
        <f>(BE1035-Driver!$K$190)/(Driver!$L$190-Driver!$K$190)</f>
        <v>0.28096184020863924</v>
      </c>
      <c r="AT1035" s="72">
        <f>(BF1035-Driver!$K$191)/(Driver!$L$191-Driver!$K$191)</f>
        <v>0.10131240611422571</v>
      </c>
      <c r="AU1035" s="72">
        <f>(BG1035-Driver!$K$192)/(Driver!$L$192-Driver!$K$192)</f>
        <v>0.16314460872701045</v>
      </c>
      <c r="AV1035" s="70">
        <f t="shared" si="615"/>
        <v>3.3017908017908018</v>
      </c>
      <c r="AW1035" s="70">
        <f t="shared" si="616"/>
        <v>15.251996219245415</v>
      </c>
      <c r="AX1035" s="70">
        <f t="shared" si="617"/>
        <v>1.6050085372794536</v>
      </c>
      <c r="AY1035" s="70">
        <f>IFERROR(Driver!$K$19/Data!BH1035/Data!BI1035*Data!BK1035*Data!BL1035,"")</f>
        <v>0.24415819574109107</v>
      </c>
      <c r="AZ1035" s="70">
        <f t="shared" si="618"/>
        <v>13.402829486224871</v>
      </c>
      <c r="BA1035" s="70"/>
      <c r="BB1035" s="70"/>
      <c r="BC1035" s="70">
        <f t="shared" si="619"/>
        <v>15.04323814077318</v>
      </c>
      <c r="BD1035" s="70">
        <f t="shared" si="620"/>
        <v>1.4519063845894451</v>
      </c>
      <c r="BE1035" s="70">
        <f t="shared" si="621"/>
        <v>0.2810901085232268</v>
      </c>
      <c r="BF1035" s="70">
        <f t="shared" si="622"/>
        <v>11.442524510666036</v>
      </c>
      <c r="BG1035" s="70">
        <f t="shared" si="623"/>
        <v>0.6177695636494771</v>
      </c>
      <c r="BH1035" s="67">
        <f>MAX((CE1035-Driver!$F$200)/(Driver!$G$200-Driver!$F$200)*$BI$1,1)</f>
        <v>1.6050085372794536</v>
      </c>
      <c r="BI1035" s="67">
        <f>MAX($BI$1*(BY1035-Driver!$F$201)/(Driver!$G$201-Driver!$F$201),1)</f>
        <v>6.3291139240506329</v>
      </c>
      <c r="BJ1035" s="67">
        <f>(CB1035-Driver!$F$206)/(Driver!$G$206-Driver!$F$206)*$BI$1</f>
        <v>5.2380952380952381</v>
      </c>
      <c r="BK1035" s="67">
        <f>(CD1035-Driver!$F$203)/(Driver!$G$203-Driver!$F$203)*$BI$1</f>
        <v>2.5688073394495414</v>
      </c>
      <c r="BL1035" s="67">
        <f>MAX((CR1035-Driver!$F$202)/(Driver!$G$202-Driver!$F$202)*$BI$1,1)</f>
        <v>4.8275862068965516</v>
      </c>
      <c r="BM1035" s="67">
        <f>MAX((CH1035-Driver!$F$204)/(Driver!$G$204-Driver!$F$204)*$BI$1,1)</f>
        <v>2.5213675213675213</v>
      </c>
      <c r="BN1035" s="67">
        <f>(CI1035-Driver!$F$205)/(Driver!$G$205-Driver!$F$205)*$BI$1</f>
        <v>2.1176470588235294</v>
      </c>
      <c r="BO1035" s="67">
        <f>(CK1035-Driver!$F$207)/(Driver!$G$207-Driver!$F$207)*$BI$1</f>
        <v>2.264736297828335</v>
      </c>
      <c r="BP1035" s="67">
        <f>(CM1035-Driver!$F$208)/(Driver!$G$208-Driver!$F$208)*$BI$1</f>
        <v>2.4777777777777779</v>
      </c>
      <c r="BQ1035" s="67">
        <f>(CL1035-Driver!$F$209)/(Driver!$G$209-Driver!$F$209)*$BI$1</f>
        <v>2.5</v>
      </c>
      <c r="BR1035" s="28" t="s">
        <v>155</v>
      </c>
      <c r="BS1035" s="8" t="s">
        <v>156</v>
      </c>
      <c r="BT1035" s="9" t="s">
        <v>399</v>
      </c>
      <c r="BU1035" s="10">
        <v>164</v>
      </c>
      <c r="BV1035" s="9" t="s">
        <v>158</v>
      </c>
      <c r="BW1035" s="10">
        <v>164</v>
      </c>
      <c r="BX1035" s="10">
        <v>163</v>
      </c>
      <c r="BY1035" s="10">
        <v>108</v>
      </c>
      <c r="BZ1035" s="10">
        <v>129</v>
      </c>
      <c r="CA1035" s="10">
        <v>126</v>
      </c>
      <c r="CB1035" s="10">
        <v>97</v>
      </c>
      <c r="CC1035" s="10">
        <v>117</v>
      </c>
      <c r="CD1035" s="10">
        <v>15</v>
      </c>
      <c r="CE1035" s="10">
        <v>1182</v>
      </c>
      <c r="CF1035" s="10">
        <v>1.46</v>
      </c>
      <c r="CG1035" s="10">
        <v>1728</v>
      </c>
      <c r="CH1035" s="10">
        <v>160</v>
      </c>
      <c r="CI1035" s="10">
        <v>69</v>
      </c>
      <c r="CJ1035" s="10">
        <v>56</v>
      </c>
      <c r="CK1035" s="10">
        <v>329</v>
      </c>
      <c r="CL1035" s="10">
        <v>16</v>
      </c>
      <c r="CM1035" s="10">
        <v>223</v>
      </c>
      <c r="CN1035" s="10">
        <v>0.28000000000000003</v>
      </c>
      <c r="CO1035" s="10">
        <v>173</v>
      </c>
      <c r="CP1035" s="10">
        <v>165</v>
      </c>
      <c r="CQ1035" s="10">
        <v>156</v>
      </c>
      <c r="CR1035" s="10">
        <v>3</v>
      </c>
      <c r="CS1035" s="10">
        <v>8.3000000000000007</v>
      </c>
      <c r="CT1035" s="9" t="s">
        <v>185</v>
      </c>
      <c r="CU1035" s="9" t="s">
        <v>198</v>
      </c>
      <c r="CV1035" s="10"/>
      <c r="CW1035" s="10"/>
      <c r="CX1035" t="str">
        <f>INDEX('Data_Price '!AG$2:AG$1266,MATCH(Data!$DN1035,'Data_Price '!$AT$2:$AT$1266,0))</f>
        <v>Atomic Backland 100</v>
      </c>
      <c r="CY1035" t="str">
        <f>INDEX('Data_Price '!AH$2:AH$1266,MATCH(Data!$DN1035,'Data_Price '!$AT$2:$AT$1266,0))</f>
        <v>Telemark Pyrenees</v>
      </c>
      <c r="CZ1035">
        <f>INDEX('Data_Price '!AI$2:AI$1266,MATCH(Data!$DN1035,'Data_Price '!$AT$2:$AT$1266,0))</f>
        <v>365.82</v>
      </c>
      <c r="DA1035" t="str">
        <f>INDEX('Data_Price '!AJ$2:AJ$1266,MATCH(Data!$DN1035,'Data_Price '!$AT$2:$AT$1266,0))</f>
        <v>https://tinyurl.com/y9mvtscb</v>
      </c>
      <c r="DB1035" t="str">
        <f>INDEX('Data_Price '!AK$2:AK$1266,MATCH(Data!$DN1035,'Data_Price '!$AT$2:$AT$1266,0))</f>
        <v>Atomic Bent Chetler 100 Grey/Green / 164cm</v>
      </c>
      <c r="DC1035" t="str">
        <f>INDEX('Data_Price '!AL$2:AL$1266,MATCH(Data!$DN1035,'Data_Price '!$AT$2:$AT$1266,0))</f>
        <v>Sundance Ski and Board Shop</v>
      </c>
      <c r="DD1035">
        <f>INDEX('Data_Price '!AM$2:AM$1266,MATCH(Data!$DN1035,'Data_Price '!$AT$2:$AT$1266,0))</f>
        <v>400.72</v>
      </c>
      <c r="DE1035" t="str">
        <f>INDEX('Data_Price '!AN$2:AN$1266,MATCH(Data!$DN1035,'Data_Price '!$AT$2:$AT$1266,0))</f>
        <v>https://tinyurl.com/y9hc3khx</v>
      </c>
      <c r="DF1035" t="str">
        <f>INDEX('Data_Price '!AO$2:AO$1266,MATCH(Data!$DN1035,'Data_Price '!$AT$2:$AT$1266,0))</f>
        <v>Atomic Bent Chetler 100 Skis</v>
      </c>
      <c r="DG1035" t="str">
        <f>INDEX('Data_Price '!AP$2:AP$1266,MATCH(Data!$DN1035,'Data_Price '!$AT$2:$AT$1266,0))</f>
        <v>Level Nine Sports</v>
      </c>
      <c r="DH1035">
        <f>INDEX('Data_Price '!AQ$2:AQ$1266,MATCH(Data!$DN1035,'Data_Price '!$AT$2:$AT$1266,0))</f>
        <v>479.99</v>
      </c>
      <c r="DI1035" t="str">
        <f>INDEX('Data_Price '!AR$2:AR$1266,MATCH(Data!$DN1035,'Data_Price '!$AT$2:$AT$1266,0))</f>
        <v>https://tinyurl.com/yberonhq</v>
      </c>
      <c r="DJ1035" s="89" t="str">
        <f t="shared" si="624"/>
        <v>https://tinyurl.com/y9mvtscb</v>
      </c>
      <c r="DK1035" s="89" t="str">
        <f t="shared" si="625"/>
        <v>https://tinyurl.com/y9hc3khx</v>
      </c>
      <c r="DL1035" s="89" t="str">
        <f t="shared" si="626"/>
        <v>https://tinyurl.com/yberonhq</v>
      </c>
      <c r="DM1035" s="219" t="str">
        <f t="shared" si="627"/>
        <v>Backland 100</v>
      </c>
      <c r="DN1035" s="89" t="str">
        <f t="shared" si="628"/>
        <v xml:space="preserve"> AtomicBackland 100164 Unisex</v>
      </c>
      <c r="DO1035" s="221" t="s">
        <v>400</v>
      </c>
    </row>
    <row r="1036" spans="2:119" ht="15.6" customHeight="1">
      <c r="B1036" s="219" t="b">
        <f t="array" ref="B1036">IF(OR(ISERROR(K1036:P1036)),FALSE,TRUE)</f>
        <v>1</v>
      </c>
      <c r="C1036" s="43" t="b">
        <f>OR(BR1036=Driver!$G$50,Data!BR306=Driver!$H$50)</f>
        <v>1</v>
      </c>
      <c r="D1036" s="43" t="b">
        <f>OR(BV1036=Driver!$G$51,BV1036=Driver!$H$51)</f>
        <v>1</v>
      </c>
      <c r="E1036" s="43" t="b">
        <f>AND(BX1036&gt;Driver!$F$54,BX1036&lt;Driver!$G$54)</f>
        <v>0</v>
      </c>
      <c r="F1036" s="43" t="b">
        <f>CL1036&gt;Driver!$F$56</f>
        <v>1</v>
      </c>
      <c r="G1036" s="43" t="b">
        <f>AND(CB1036&gt;Driver!$F$55,CB1036&lt;Driver!$G$55)</f>
        <v>0</v>
      </c>
      <c r="H1036" s="43" t="b">
        <f t="shared" si="592"/>
        <v>0</v>
      </c>
      <c r="I1036" s="43">
        <f t="shared" si="593"/>
        <v>0</v>
      </c>
      <c r="J1036" s="43" t="b">
        <f t="array" ref="J1036">NOT(OR(($H$9:$H$1273=TRUE)*($I$9:$I$1273&gt;0)*($BT$9:$BT$1273=BT1036)*($K$9:$K$1273&gt;K1036)))</f>
        <v>1</v>
      </c>
      <c r="K1036" s="72">
        <f t="shared" si="594"/>
        <v>0.62639636003023957</v>
      </c>
      <c r="L1036" s="72">
        <f t="shared" si="595"/>
        <v>0.58980880578580264</v>
      </c>
      <c r="M1036" s="72">
        <f t="shared" si="596"/>
        <v>0.66298391427467651</v>
      </c>
      <c r="N1036" s="72">
        <f t="shared" si="597"/>
        <v>0.45772393648232068</v>
      </c>
      <c r="O1036" s="72">
        <f t="shared" si="598"/>
        <v>0.66508029248384504</v>
      </c>
      <c r="P1036" s="72">
        <f t="shared" si="599"/>
        <v>0.86614751385786382</v>
      </c>
      <c r="Q1036" s="72"/>
      <c r="R1036" s="72"/>
      <c r="S1036" s="72">
        <f t="shared" si="600"/>
        <v>0.53553855613787316</v>
      </c>
      <c r="T1036" s="72">
        <f t="shared" si="601"/>
        <v>0.45619999340142936</v>
      </c>
      <c r="U1036" s="72">
        <f t="shared" si="602"/>
        <v>0.52507248535262452</v>
      </c>
      <c r="V1036" s="72">
        <f t="shared" si="603"/>
        <v>0.61113577204930214</v>
      </c>
      <c r="W1036" s="72">
        <f t="shared" si="604"/>
        <v>0.76816129519779341</v>
      </c>
      <c r="X1036" s="72">
        <f t="shared" si="605"/>
        <v>0.41019119421419731</v>
      </c>
      <c r="Y1036" s="72">
        <f t="shared" si="606"/>
        <v>0.33701608572532349</v>
      </c>
      <c r="Z1036" s="72">
        <f t="shared" si="607"/>
        <v>0.54227606351767932</v>
      </c>
      <c r="AA1036" s="72">
        <f t="shared" si="608"/>
        <v>0.33491970751615491</v>
      </c>
      <c r="AB1036" s="72">
        <f t="shared" si="609"/>
        <v>0.13385248614213613</v>
      </c>
      <c r="AC1036" s="72"/>
      <c r="AD1036" s="72"/>
      <c r="AE1036" s="72">
        <f t="shared" si="610"/>
        <v>0.46446144386212684</v>
      </c>
      <c r="AF1036" s="72">
        <f t="shared" si="611"/>
        <v>0.54380000659857064</v>
      </c>
      <c r="AG1036" s="72">
        <f t="shared" si="612"/>
        <v>0.47492751464737554</v>
      </c>
      <c r="AH1036" s="72">
        <f t="shared" si="613"/>
        <v>0.38886422795069786</v>
      </c>
      <c r="AI1036" s="72">
        <f t="shared" si="614"/>
        <v>0.23183870480220653</v>
      </c>
      <c r="AJ1036" s="72">
        <f>(AV1036-Driver!$K$179)/(Driver!$L$179-Driver!$K$179)</f>
        <v>0.66441060349689773</v>
      </c>
      <c r="AK1036" s="72">
        <f>(AW1036-Driver!$K$180)/(Driver!$L$180-Driver!$K$180)</f>
        <v>0.41484222533264448</v>
      </c>
      <c r="AL1036" s="72">
        <f>(AX1036-Driver!$K$181)/(Driver!$L$181-Driver!$K$181)</f>
        <v>0.64396382723075951</v>
      </c>
      <c r="AM1036" s="72">
        <f>(AY1036-Driver!$K$182)/(Driver!$L$182-Driver!$K$182)</f>
        <v>0.11246531358089147</v>
      </c>
      <c r="AN1036" s="72">
        <f>(AZ1036-Driver!$K$183)/(Driver!$L$183-Driver!$K$183)</f>
        <v>0.38807189542483655</v>
      </c>
      <c r="AO1036" s="72"/>
      <c r="AP1036" s="72"/>
      <c r="AQ1036" s="72">
        <f>(BC1036-Driver!$K$188)/(Driver!$L$188-Driver!$K$188)</f>
        <v>0.15553855613787318</v>
      </c>
      <c r="AR1036" s="72">
        <f>MIN((BD1036-Driver!$K$189)/(Driver!$L$189-Driver!$K$189),100%)</f>
        <v>6.1999934014293646E-3</v>
      </c>
      <c r="AS1036" s="72">
        <f>(BE1036-Driver!$K$190)/(Driver!$L$190-Driver!$K$190)</f>
        <v>3.5072485352624451E-2</v>
      </c>
      <c r="AT1036" s="72">
        <f>(BF1036-Driver!$K$191)/(Driver!$L$191-Driver!$K$191)</f>
        <v>0.12113577204930212</v>
      </c>
      <c r="AU1036" s="72">
        <f>(BG1036-Driver!$K$192)/(Driver!$L$192-Driver!$K$192)</f>
        <v>1.8161295197793477E-2</v>
      </c>
      <c r="AV1036" s="70">
        <f t="shared" si="615"/>
        <v>13.983855650522313</v>
      </c>
      <c r="AW1036" s="70">
        <f t="shared" si="616"/>
        <v>42.301943356181866</v>
      </c>
      <c r="AX1036" s="70">
        <f t="shared" si="617"/>
        <v>6.7956744450768358</v>
      </c>
      <c r="AY1036" s="70">
        <f>IFERROR(Driver!$K$19/Data!BH1036/Data!BI1036*Data!BK1036*Data!BL1036,"")</f>
        <v>0.13769110023384881</v>
      </c>
      <c r="AZ1036" s="70">
        <f t="shared" si="618"/>
        <v>35.36857781087118</v>
      </c>
      <c r="BA1036" s="70"/>
      <c r="BB1036" s="70"/>
      <c r="BC1036" s="70">
        <f t="shared" si="619"/>
        <v>80.678930355214746</v>
      </c>
      <c r="BD1036" s="70">
        <f t="shared" si="620"/>
        <v>2.2695113143859786</v>
      </c>
      <c r="BE1036" s="70">
        <f t="shared" si="621"/>
        <v>3.5244617560515744E-2</v>
      </c>
      <c r="BF1036" s="70">
        <f t="shared" si="622"/>
        <v>13.681434426005259</v>
      </c>
      <c r="BG1036" s="70">
        <f t="shared" si="623"/>
        <v>6.877024927267919E-2</v>
      </c>
      <c r="BH1036" s="67">
        <f>MAX((CE1036-Driver!$F$200)/(Driver!$G$200-Driver!$F$200)*$BI$1,1)</f>
        <v>6.7956744450768358</v>
      </c>
      <c r="BI1036" s="67">
        <f>MAX($BI$1*(BY1036-Driver!$F$201)/(Driver!$G$201-Driver!$F$201),1)</f>
        <v>6.3291139240506329</v>
      </c>
      <c r="BJ1036" s="67">
        <f>(CB1036-Driver!$F$206)/(Driver!$G$206-Driver!$F$206)*$BI$1</f>
        <v>9.8412698412698401</v>
      </c>
      <c r="BK1036" s="67">
        <f>(CD1036-Driver!$F$203)/(Driver!$G$203-Driver!$F$203)*$BI$1</f>
        <v>7.1559633027522942</v>
      </c>
      <c r="BL1036" s="67">
        <f>MAX((CR1036-Driver!$F$202)/(Driver!$G$202-Driver!$F$202)*$BI$1,1)</f>
        <v>4.1379310344827589</v>
      </c>
      <c r="BM1036" s="67">
        <f>MAX((CH1036-Driver!$F$204)/(Driver!$G$204-Driver!$F$204)*$BI$1,1)</f>
        <v>5.6837606837606831</v>
      </c>
      <c r="BN1036" s="67">
        <f>(CI1036-Driver!$F$205)/(Driver!$G$205-Driver!$F$205)*$BI$1</f>
        <v>5.5882352941176467</v>
      </c>
      <c r="BO1036" s="67">
        <f>(CK1036-Driver!$F$207)/(Driver!$G$207-Driver!$F$207)*$BI$1</f>
        <v>3.4436401240951398</v>
      </c>
      <c r="BP1036" s="67">
        <f>(CM1036-Driver!$F$208)/(Driver!$G$208-Driver!$F$208)*$BI$1</f>
        <v>2.8888888888888884</v>
      </c>
      <c r="BQ1036" s="67">
        <f>(CL1036-Driver!$F$209)/(Driver!$G$209-Driver!$F$209)*$BI$1</f>
        <v>2.65625</v>
      </c>
      <c r="BR1036" s="28" t="s">
        <v>155</v>
      </c>
      <c r="BS1036" s="8" t="s">
        <v>317</v>
      </c>
      <c r="BT1036" s="9" t="s">
        <v>684</v>
      </c>
      <c r="BU1036" s="10">
        <v>179</v>
      </c>
      <c r="BV1036" s="9" t="s">
        <v>158</v>
      </c>
      <c r="BW1036" s="10">
        <v>179</v>
      </c>
      <c r="BX1036" s="10">
        <v>177.8</v>
      </c>
      <c r="BY1036" s="10">
        <v>108</v>
      </c>
      <c r="BZ1036" s="10">
        <v>132</v>
      </c>
      <c r="CA1036" s="10">
        <v>147</v>
      </c>
      <c r="CB1036" s="10">
        <v>126</v>
      </c>
      <c r="CC1036" s="10">
        <v>135</v>
      </c>
      <c r="CD1036" s="10">
        <v>25</v>
      </c>
      <c r="CE1036" s="10">
        <v>2094</v>
      </c>
      <c r="CF1036" s="10">
        <v>1.1100000000000001</v>
      </c>
      <c r="CG1036" s="10">
        <v>2332</v>
      </c>
      <c r="CH1036" s="10">
        <v>234</v>
      </c>
      <c r="CI1036" s="10">
        <v>128</v>
      </c>
      <c r="CJ1036" s="10">
        <v>61</v>
      </c>
      <c r="CK1036" s="10">
        <v>443</v>
      </c>
      <c r="CL1036" s="10">
        <v>17</v>
      </c>
      <c r="CM1036" s="10">
        <v>260</v>
      </c>
      <c r="CN1036" s="10">
        <v>0.27500000000000002</v>
      </c>
      <c r="CO1036" s="10">
        <v>233</v>
      </c>
      <c r="CP1036" s="10">
        <v>229</v>
      </c>
      <c r="CQ1036" s="10">
        <v>209</v>
      </c>
      <c r="CR1036" s="10">
        <v>1</v>
      </c>
      <c r="CS1036" s="10">
        <v>10.6</v>
      </c>
      <c r="CT1036" s="9" t="s">
        <v>178</v>
      </c>
      <c r="CU1036" s="9" t="s">
        <v>185</v>
      </c>
      <c r="CV1036" s="10"/>
      <c r="CW1036" s="10"/>
      <c r="CX1036" t="str">
        <f>INDEX('Data_Price '!AG$2:AG$1266,MATCH(Data!$DN1036,'Data_Price '!$AT$2:$AT$1266,0))</f>
        <v>Blizzard Spur 127 Flat Ski 2021-2022 | GREEN / 179</v>
      </c>
      <c r="CY1036" t="str">
        <f>INDEX('Data_Price '!AH$2:AH$1266,MATCH(Data!$DN1036,'Data_Price '!$AT$2:$AT$1266,0))</f>
        <v>Ski Pro  - Snow Ski &amp; Snowboard</v>
      </c>
      <c r="CZ1036">
        <f>INDEX('Data_Price '!AI$2:AI$1266,MATCH(Data!$DN1036,'Data_Price '!$AT$2:$AT$1266,0))</f>
        <v>449.95</v>
      </c>
      <c r="DA1036" t="str">
        <f>INDEX('Data_Price '!AJ$2:AJ$1266,MATCH(Data!$DN1036,'Data_Price '!$AT$2:$AT$1266,0))</f>
        <v>https://tinyurl.com/y72luvro</v>
      </c>
      <c r="DB1036" t="str">
        <f>INDEX('Data_Price '!AK$2:AK$1266,MATCH(Data!$DN1036,'Data_Price '!$AT$2:$AT$1266,0))</f>
        <v>Blizzard Spur Skis 179cm 2022</v>
      </c>
      <c r="DC1036" t="str">
        <f>INDEX('Data_Price '!AL$2:AL$1266,MATCH(Data!$DN1036,'Data_Price '!$AT$2:$AT$1266,0))</f>
        <v>Backcountry.com</v>
      </c>
      <c r="DD1036">
        <f>INDEX('Data_Price '!AM$2:AM$1266,MATCH(Data!$DN1036,'Data_Price '!$AT$2:$AT$1266,0))</f>
        <v>639.96</v>
      </c>
      <c r="DE1036" t="str">
        <f>INDEX('Data_Price '!AN$2:AN$1266,MATCH(Data!$DN1036,'Data_Price '!$AT$2:$AT$1266,0))</f>
        <v>https://tinyurl.com/ycjx3rmr</v>
      </c>
      <c r="DF1036" t="str">
        <f>INDEX('Data_Price '!AO$2:AO$1266,MATCH(Data!$DN1036,'Data_Price '!$AT$2:$AT$1266,0))</f>
        <v>Blizzard Spur Skis 179cm 2022</v>
      </c>
      <c r="DG1036" t="str">
        <f>INDEX('Data_Price '!AP$2:AP$1266,MATCH(Data!$DN1036,'Data_Price '!$AT$2:$AT$1266,0))</f>
        <v>Steep &amp; Cheap</v>
      </c>
      <c r="DH1036">
        <f>INDEX('Data_Price '!AQ$2:AQ$1266,MATCH(Data!$DN1036,'Data_Price '!$AT$2:$AT$1266,0))</f>
        <v>639.96</v>
      </c>
      <c r="DI1036" t="str">
        <f>INDEX('Data_Price '!AR$2:AR$1266,MATCH(Data!$DN1036,'Data_Price '!$AT$2:$AT$1266,0))</f>
        <v>https://tinyurl.com/y8b86g4p</v>
      </c>
      <c r="DJ1036" s="89" t="str">
        <f t="shared" si="624"/>
        <v>https://tinyurl.com/y72luvro</v>
      </c>
      <c r="DK1036" s="89" t="str">
        <f t="shared" si="625"/>
        <v>https://tinyurl.com/ycjx3rmr</v>
      </c>
      <c r="DL1036" s="89" t="str">
        <f t="shared" si="626"/>
        <v>https://tinyurl.com/y8b86g4p</v>
      </c>
      <c r="DM1036" s="219" t="str">
        <f t="shared" si="627"/>
        <v>Spur</v>
      </c>
      <c r="DN1036" s="89" t="str">
        <f t="shared" si="628"/>
        <v xml:space="preserve"> BlizzardSpur179 Unisex</v>
      </c>
      <c r="DO1036" s="221" t="s">
        <v>685</v>
      </c>
    </row>
    <row r="1037" spans="2:119" ht="15.6" customHeight="1">
      <c r="B1037" s="219" t="b">
        <f t="array" ref="B1037">IF(OR(ISERROR(K1037:P1037)),FALSE,TRUE)</f>
        <v>1</v>
      </c>
      <c r="C1037" s="43" t="b">
        <f>OR(BR1037=Driver!$G$50,Data!BR872=Driver!$H$50)</f>
        <v>1</v>
      </c>
      <c r="D1037" s="43" t="b">
        <f>OR(BV1037=Driver!$G$51,BV1037=Driver!$H$51)</f>
        <v>1</v>
      </c>
      <c r="E1037" s="43" t="b">
        <f>AND(BX1037&gt;Driver!$F$54,BX1037&lt;Driver!$G$54)</f>
        <v>1</v>
      </c>
      <c r="F1037" s="43" t="b">
        <f>CL1037&gt;Driver!$F$56</f>
        <v>1</v>
      </c>
      <c r="G1037" s="43" t="b">
        <f>AND(CB1037&gt;Driver!$F$55,CB1037&lt;Driver!$G$55)</f>
        <v>0</v>
      </c>
      <c r="H1037" s="43" t="b">
        <f t="shared" si="592"/>
        <v>0</v>
      </c>
      <c r="I1037" s="43">
        <f t="shared" si="593"/>
        <v>0</v>
      </c>
      <c r="J1037" s="43" t="b">
        <f t="array" ref="J1037">NOT(OR(($H$9:$H$1273=TRUE)*($I$9:$I$1273&gt;0)*($BT$9:$BT$1273=BT1037)*($K$9:$K$1273&gt;K1037)))</f>
        <v>1</v>
      </c>
      <c r="K1037" s="72">
        <f t="shared" si="594"/>
        <v>0.79984561921437081</v>
      </c>
      <c r="L1037" s="72">
        <f t="shared" si="595"/>
        <v>0.79291619622853959</v>
      </c>
      <c r="M1037" s="72">
        <f t="shared" si="596"/>
        <v>0.80677504220020191</v>
      </c>
      <c r="N1037" s="72">
        <f t="shared" si="597"/>
        <v>0.87446965203281712</v>
      </c>
      <c r="O1037" s="72">
        <f t="shared" si="598"/>
        <v>0.65987880541911659</v>
      </c>
      <c r="P1037" s="72">
        <f t="shared" si="599"/>
        <v>0.88597666914867212</v>
      </c>
      <c r="Q1037" s="72"/>
      <c r="R1037" s="72"/>
      <c r="S1037" s="72">
        <f t="shared" si="600"/>
        <v>0.40949621720439777</v>
      </c>
      <c r="T1037" s="72">
        <f t="shared" si="601"/>
        <v>0.45061030529393309</v>
      </c>
      <c r="U1037" s="72">
        <f t="shared" si="602"/>
        <v>0.62341373378826626</v>
      </c>
      <c r="V1037" s="72">
        <f t="shared" si="603"/>
        <v>0.52912006006677914</v>
      </c>
      <c r="W1037" s="72">
        <f t="shared" si="604"/>
        <v>0.72149532710280384</v>
      </c>
      <c r="X1037" s="72">
        <f t="shared" si="605"/>
        <v>0.20708380377146041</v>
      </c>
      <c r="Y1037" s="72">
        <f t="shared" si="606"/>
        <v>0.19322495779979806</v>
      </c>
      <c r="Z1037" s="72">
        <f t="shared" si="607"/>
        <v>0.12553034796718288</v>
      </c>
      <c r="AA1037" s="72">
        <f t="shared" si="608"/>
        <v>0.34012119458088341</v>
      </c>
      <c r="AB1037" s="72">
        <f t="shared" si="609"/>
        <v>0.11402333085132788</v>
      </c>
      <c r="AC1037" s="72"/>
      <c r="AD1037" s="72"/>
      <c r="AE1037" s="72">
        <f t="shared" si="610"/>
        <v>0.59050378279560223</v>
      </c>
      <c r="AF1037" s="72">
        <f t="shared" si="611"/>
        <v>0.54938969470606691</v>
      </c>
      <c r="AG1037" s="72">
        <f t="shared" si="612"/>
        <v>0.37658626621173374</v>
      </c>
      <c r="AH1037" s="72">
        <f t="shared" si="613"/>
        <v>0.47087993993322086</v>
      </c>
      <c r="AI1037" s="72">
        <f t="shared" si="614"/>
        <v>0.27850467289719616</v>
      </c>
      <c r="AJ1037" s="72">
        <f>(AV1037-Driver!$K$179)/(Driver!$L$179-Driver!$K$179)</f>
        <v>4.713560551124002E-2</v>
      </c>
      <c r="AK1037" s="72">
        <f>(AW1037-Driver!$K$180)/(Driver!$L$180-Driver!$K$180)</f>
        <v>0.14448924696753587</v>
      </c>
      <c r="AL1037" s="72">
        <f>(AX1037-Driver!$K$181)/(Driver!$L$181-Driver!$K$181)</f>
        <v>0.22721811168026307</v>
      </c>
      <c r="AM1037" s="72">
        <f>(AY1037-Driver!$K$182)/(Driver!$L$182-Driver!$K$182)</f>
        <v>0.10726382651616292</v>
      </c>
      <c r="AN1037" s="72">
        <f>(AZ1037-Driver!$K$183)/(Driver!$L$183-Driver!$K$183)</f>
        <v>0.14019607843137255</v>
      </c>
      <c r="AO1037" s="72"/>
      <c r="AP1037" s="72"/>
      <c r="AQ1037" s="72">
        <f>(BC1037-Driver!$K$188)/(Driver!$L$188-Driver!$K$188)</f>
        <v>2.9496217204397795E-2</v>
      </c>
      <c r="AR1037" s="72">
        <f>MIN((BD1037-Driver!$K$189)/(Driver!$L$189-Driver!$K$189),100%)</f>
        <v>6.1030529393314074E-4</v>
      </c>
      <c r="AS1037" s="72">
        <f>(BE1037-Driver!$K$190)/(Driver!$L$190-Driver!$K$190)</f>
        <v>0.13341373378826626</v>
      </c>
      <c r="AT1037" s="72">
        <f>(BF1037-Driver!$K$191)/(Driver!$L$191-Driver!$K$191)</f>
        <v>3.9120060066779136E-2</v>
      </c>
      <c r="AU1037" s="72">
        <f>(BG1037-Driver!$K$192)/(Driver!$L$192-Driver!$K$192)</f>
        <v>0.52850467289719616</v>
      </c>
      <c r="AV1037" s="70">
        <f t="shared" si="615"/>
        <v>0.99206349206349198</v>
      </c>
      <c r="AW1037" s="70">
        <f t="shared" si="616"/>
        <v>15.953650043416083</v>
      </c>
      <c r="AX1037" s="70">
        <f t="shared" si="617"/>
        <v>3.0449630051223675</v>
      </c>
      <c r="AY1037" s="70">
        <f>IFERROR(Driver!$K$19/Data!BH1037/Data!BI1037*Data!BK1037*Data!BL1037,"")</f>
        <v>0.13132292809267149</v>
      </c>
      <c r="AZ1037" s="70">
        <f t="shared" si="618"/>
        <v>12.777364110201043</v>
      </c>
      <c r="BA1037" s="70"/>
      <c r="BB1037" s="70"/>
      <c r="BC1037" s="70">
        <f t="shared" si="619"/>
        <v>15.299892918296425</v>
      </c>
      <c r="BD1037" s="70">
        <f t="shared" si="620"/>
        <v>1.7748338212138186</v>
      </c>
      <c r="BE1037" s="70">
        <f t="shared" si="621"/>
        <v>0.13356832302431454</v>
      </c>
      <c r="BF1037" s="70">
        <f t="shared" si="622"/>
        <v>4.418335950566215</v>
      </c>
      <c r="BG1037" s="70">
        <f t="shared" si="623"/>
        <v>2.0012558411214951</v>
      </c>
      <c r="BH1037" s="67">
        <f>MAX((CE1037-Driver!$F$200)/(Driver!$G$200-Driver!$F$200)*$BI$1,1)</f>
        <v>3.0449630051223675</v>
      </c>
      <c r="BI1037" s="67">
        <f>MAX($BI$1*(BY1037-Driver!$F$201)/(Driver!$G$201-Driver!$F$201),1)</f>
        <v>6.5822784810126587</v>
      </c>
      <c r="BJ1037" s="67">
        <f>(CB1037-Driver!$F$206)/(Driver!$G$206-Driver!$F$206)*$BI$1</f>
        <v>3.9682539682539679</v>
      </c>
      <c r="BK1037" s="67">
        <f>(CD1037-Driver!$F$203)/(Driver!$G$203-Driver!$F$203)*$BI$1</f>
        <v>2.3853211009174311</v>
      </c>
      <c r="BL1037" s="67">
        <f>MAX((CR1037-Driver!$F$202)/(Driver!$G$202-Driver!$F$202)*$BI$1,1)</f>
        <v>5.5172413793103452</v>
      </c>
      <c r="BM1037" s="67">
        <f>MAX((CH1037-Driver!$F$204)/(Driver!$G$204-Driver!$F$204)*$BI$1,1)</f>
        <v>1</v>
      </c>
      <c r="BN1037" s="67">
        <f>(CI1037-Driver!$F$205)/(Driver!$G$205-Driver!$F$205)*$BI$1</f>
        <v>1.9411764705882353</v>
      </c>
      <c r="BO1037" s="67">
        <f>(CK1037-Driver!$F$207)/(Driver!$G$207-Driver!$F$207)*$BI$1</f>
        <v>0.9410548086866598</v>
      </c>
      <c r="BP1037" s="67">
        <f>(CM1037-Driver!$F$208)/(Driver!$G$208-Driver!$F$208)*$BI$1</f>
        <v>2.822222222222222</v>
      </c>
      <c r="BQ1037" s="67">
        <f>(CL1037-Driver!$F$209)/(Driver!$G$209-Driver!$F$209)*$BI$1</f>
        <v>6.09375</v>
      </c>
      <c r="BR1037" s="28" t="s">
        <v>155</v>
      </c>
      <c r="BS1037" s="8" t="s">
        <v>208</v>
      </c>
      <c r="BT1037" s="9" t="s">
        <v>530</v>
      </c>
      <c r="BU1037" s="10">
        <v>157</v>
      </c>
      <c r="BV1037" s="9" t="s">
        <v>158</v>
      </c>
      <c r="BW1037" s="10">
        <v>157</v>
      </c>
      <c r="BX1037" s="10">
        <v>157.4</v>
      </c>
      <c r="BY1037" s="10">
        <v>112</v>
      </c>
      <c r="BZ1037" s="10">
        <v>131</v>
      </c>
      <c r="CA1037" s="10">
        <v>117</v>
      </c>
      <c r="CB1037" s="10">
        <v>89</v>
      </c>
      <c r="CC1037" s="10">
        <v>116</v>
      </c>
      <c r="CD1037" s="10">
        <v>14.6</v>
      </c>
      <c r="CE1037" s="10">
        <v>1435</v>
      </c>
      <c r="CF1037" s="10">
        <v>1.0900000000000001</v>
      </c>
      <c r="CG1037" s="10">
        <v>1562</v>
      </c>
      <c r="CH1037" s="10">
        <v>124</v>
      </c>
      <c r="CI1037" s="10">
        <v>66</v>
      </c>
      <c r="CJ1037" s="10">
        <v>36</v>
      </c>
      <c r="CK1037" s="10">
        <v>201</v>
      </c>
      <c r="CL1037" s="10">
        <v>39</v>
      </c>
      <c r="CM1037" s="10">
        <v>254</v>
      </c>
      <c r="CN1037" s="10">
        <v>1.095</v>
      </c>
      <c r="CO1037" s="10">
        <v>123</v>
      </c>
      <c r="CP1037" s="10">
        <v>141</v>
      </c>
      <c r="CQ1037" s="10">
        <v>78</v>
      </c>
      <c r="CR1037" s="10">
        <v>5</v>
      </c>
      <c r="CS1037" s="10">
        <v>1.9</v>
      </c>
      <c r="CT1037" s="9" t="s">
        <v>184</v>
      </c>
      <c r="CU1037" s="9" t="s">
        <v>185</v>
      </c>
      <c r="CV1037" s="10"/>
      <c r="CW1037" s="10"/>
      <c r="CX1037" t="str">
        <f>INDEX('Data_Price '!AG$2:AG$1266,MATCH(Data!$DN1037,'Data_Price '!$AT$2:$AT$1266,0))</f>
        <v>Line Skis Tom Wallisch Pro</v>
      </c>
      <c r="CY1037" t="str">
        <f>INDEX('Data_Price '!AH$2:AH$1266,MATCH(Data!$DN1037,'Data_Price '!$AT$2:$AT$1266,0))</f>
        <v>LINE Skis</v>
      </c>
      <c r="CZ1037">
        <f>INDEX('Data_Price '!AI$2:AI$1266,MATCH(Data!$DN1037,'Data_Price '!$AT$2:$AT$1266,0))</f>
        <v>449.95</v>
      </c>
      <c r="DA1037" t="str">
        <f>INDEX('Data_Price '!AJ$2:AJ$1266,MATCH(Data!$DN1037,'Data_Price '!$AT$2:$AT$1266,0))</f>
        <v>https://tinyurl.com/y9jrfxeq</v>
      </c>
      <c r="DB1037" t="str">
        <f>INDEX('Data_Price '!AK$2:AK$1266,MATCH(Data!$DN1037,'Data_Price '!$AT$2:$AT$1266,0))</f>
        <v>Line Skis Tom Wallisch Pro</v>
      </c>
      <c r="DC1037" t="str">
        <f>INDEX('Data_Price '!AL$2:AL$1266,MATCH(Data!$DN1037,'Data_Price '!$AT$2:$AT$1266,0))</f>
        <v>eBay - fun-sport-vision-shop</v>
      </c>
      <c r="DD1037">
        <f>INDEX('Data_Price '!AM$2:AM$1266,MATCH(Data!$DN1037,'Data_Price '!$AT$2:$AT$1266,0))</f>
        <v>492.18</v>
      </c>
      <c r="DE1037" t="str">
        <f>INDEX('Data_Price '!AN$2:AN$1266,MATCH(Data!$DN1037,'Data_Price '!$AT$2:$AT$1266,0))</f>
        <v>https://tinyurl.com/y9yk6s86</v>
      </c>
      <c r="DF1037">
        <f>INDEX('Data_Price '!AO$2:AO$1266,MATCH(Data!$DN1037,'Data_Price '!$AT$2:$AT$1266,0))</f>
        <v>0</v>
      </c>
      <c r="DG1037">
        <f>INDEX('Data_Price '!AP$2:AP$1266,MATCH(Data!$DN1037,'Data_Price '!$AT$2:$AT$1266,0))</f>
        <v>0</v>
      </c>
      <c r="DH1037">
        <f>INDEX('Data_Price '!AQ$2:AQ$1266,MATCH(Data!$DN1037,'Data_Price '!$AT$2:$AT$1266,0))</f>
        <v>0</v>
      </c>
      <c r="DI1037">
        <f>INDEX('Data_Price '!AR$2:AR$1266,MATCH(Data!$DN1037,'Data_Price '!$AT$2:$AT$1266,0))</f>
        <v>0</v>
      </c>
      <c r="DJ1037" s="89" t="str">
        <f t="shared" si="624"/>
        <v>https://tinyurl.com/y9jrfxeq</v>
      </c>
      <c r="DK1037" s="89" t="str">
        <f t="shared" si="625"/>
        <v>https://tinyurl.com/y9yk6s86</v>
      </c>
      <c r="DL1037" s="89">
        <f t="shared" si="626"/>
        <v>0</v>
      </c>
      <c r="DM1037" s="219" t="str">
        <f t="shared" si="627"/>
        <v>Tom Wallisch Pro</v>
      </c>
      <c r="DN1037" s="89" t="str">
        <f t="shared" si="628"/>
        <v xml:space="preserve"> LineTom Wallisch Pro157 Unisex</v>
      </c>
      <c r="DO1037" s="221"/>
    </row>
    <row r="1038" spans="2:119" ht="15.6" customHeight="1">
      <c r="B1038" s="219" t="b">
        <f t="array" ref="B1038">IF(OR(ISERROR(K1038:P1038)),FALSE,TRUE)</f>
        <v>1</v>
      </c>
      <c r="C1038" s="43" t="b">
        <f>OR(BR1038=Driver!$G$50,Data!BR712=Driver!$H$50)</f>
        <v>1</v>
      </c>
      <c r="D1038" s="43" t="b">
        <f>OR(BV1038=Driver!$G$51,BV1038=Driver!$H$51)</f>
        <v>0</v>
      </c>
      <c r="E1038" s="43" t="b">
        <f>AND(BX1038&gt;Driver!$F$54,BX1038&lt;Driver!$G$54)</f>
        <v>1</v>
      </c>
      <c r="F1038" s="43" t="b">
        <f>CL1038&gt;Driver!$F$56</f>
        <v>1</v>
      </c>
      <c r="G1038" s="43" t="b">
        <f>AND(CB1038&gt;Driver!$F$55,CB1038&lt;Driver!$G$55)</f>
        <v>0</v>
      </c>
      <c r="H1038" s="43" t="b">
        <f t="shared" si="592"/>
        <v>0</v>
      </c>
      <c r="I1038" s="43">
        <f t="shared" si="593"/>
        <v>0</v>
      </c>
      <c r="J1038" s="43" t="b">
        <f t="array" ref="J1038">NOT(OR(($H$9:$H$1273=TRUE)*($I$9:$I$1273&gt;0)*($BT$9:$BT$1273=BT1038)*($K$9:$K$1273&gt;K1038)))</f>
        <v>1</v>
      </c>
      <c r="K1038" s="72">
        <f t="shared" si="594"/>
        <v>0.73066260473260702</v>
      </c>
      <c r="L1038" s="72">
        <f t="shared" si="595"/>
        <v>0.79484996465976998</v>
      </c>
      <c r="M1038" s="72">
        <f t="shared" si="596"/>
        <v>0.66647524480544407</v>
      </c>
      <c r="N1038" s="72">
        <f t="shared" si="597"/>
        <v>0.60001192737588938</v>
      </c>
      <c r="O1038" s="72">
        <f t="shared" si="598"/>
        <v>0.61945910364009515</v>
      </c>
      <c r="P1038" s="72">
        <f t="shared" si="599"/>
        <v>0.77995470340034756</v>
      </c>
      <c r="Q1038" s="72"/>
      <c r="R1038" s="72"/>
      <c r="S1038" s="72">
        <f t="shared" si="600"/>
        <v>0.572196189709132</v>
      </c>
      <c r="T1038" s="72">
        <f t="shared" si="601"/>
        <v>0.8891864822766562</v>
      </c>
      <c r="U1038" s="72">
        <f t="shared" si="602"/>
        <v>0.51</v>
      </c>
      <c r="V1038" s="72">
        <f t="shared" si="603"/>
        <v>0.4905467858046475</v>
      </c>
      <c r="W1038" s="72">
        <f t="shared" si="604"/>
        <v>0.7560371517027864</v>
      </c>
      <c r="X1038" s="72">
        <f t="shared" si="605"/>
        <v>0.20515003534023002</v>
      </c>
      <c r="Y1038" s="72">
        <f t="shared" si="606"/>
        <v>0.33352475519455593</v>
      </c>
      <c r="Z1038" s="72">
        <f t="shared" si="607"/>
        <v>0.39998807262411062</v>
      </c>
      <c r="AA1038" s="72">
        <f t="shared" si="608"/>
        <v>0.38054089635990479</v>
      </c>
      <c r="AB1038" s="72">
        <f t="shared" si="609"/>
        <v>0.2200452965996525</v>
      </c>
      <c r="AC1038" s="72"/>
      <c r="AD1038" s="72"/>
      <c r="AE1038" s="72">
        <f t="shared" si="610"/>
        <v>0.427803810290868</v>
      </c>
      <c r="AF1038" s="72">
        <f t="shared" si="611"/>
        <v>0.1108135177233438</v>
      </c>
      <c r="AG1038" s="72">
        <f t="shared" si="612"/>
        <v>0.49</v>
      </c>
      <c r="AH1038" s="72">
        <f t="shared" si="613"/>
        <v>0.5094532141953525</v>
      </c>
      <c r="AI1038" s="72">
        <f t="shared" si="614"/>
        <v>0.24396284829721362</v>
      </c>
      <c r="AJ1038" s="72">
        <f>(AV1038-Driver!$K$179)/(Driver!$L$179-Driver!$K$179)</f>
        <v>4.9069373942470393E-2</v>
      </c>
      <c r="AK1038" s="72">
        <f>(AW1038-Driver!$K$180)/(Driver!$L$180-Driver!$K$180)</f>
        <v>0.48173302783815758</v>
      </c>
      <c r="AL1038" s="72">
        <f>(AX1038-Driver!$K$181)/(Driver!$L$181-Driver!$K$181)</f>
        <v>0.50167583633719082</v>
      </c>
      <c r="AM1038" s="72">
        <f>(AY1038-Driver!$K$182)/(Driver!$L$182-Driver!$K$182)</f>
        <v>6.6844124737141589E-2</v>
      </c>
      <c r="AN1038" s="72">
        <f>(AZ1038-Driver!$K$183)/(Driver!$L$183-Driver!$K$183)</f>
        <v>0.47426470588235292</v>
      </c>
      <c r="AO1038" s="72"/>
      <c r="AP1038" s="72"/>
      <c r="AQ1038" s="72">
        <f>(BC1038-Driver!$K$188)/(Driver!$L$188-Driver!$K$188)</f>
        <v>0.19219618970913199</v>
      </c>
      <c r="AR1038" s="72">
        <f>MIN((BD1038-Driver!$K$189)/(Driver!$L$189-Driver!$K$189),100%)</f>
        <v>0.66081351772334385</v>
      </c>
      <c r="AS1038" s="72">
        <f>(BE1038-Driver!$K$190)/(Driver!$L$190-Driver!$K$190)</f>
        <v>1</v>
      </c>
      <c r="AT1038" s="72">
        <f>(BF1038-Driver!$K$191)/(Driver!$L$191-Driver!$K$191)</f>
        <v>5.4678580464753853E-4</v>
      </c>
      <c r="AU1038" s="72">
        <f>(BG1038-Driver!$K$192)/(Driver!$L$192-Driver!$K$192)</f>
        <v>6.0371517027863779E-3</v>
      </c>
      <c r="AV1038" s="70">
        <f t="shared" si="615"/>
        <v>1.0327635327635329</v>
      </c>
      <c r="AW1038" s="70">
        <f t="shared" si="616"/>
        <v>48.821044773150049</v>
      </c>
      <c r="AX1038" s="70">
        <f t="shared" si="617"/>
        <v>5.5150825270347177</v>
      </c>
      <c r="AY1038" s="70">
        <f>IFERROR(Driver!$K$19/Data!BH1038/Data!BI1038*Data!BK1038*Data!BL1038,"")</f>
        <v>8.1837153040130256E-2</v>
      </c>
      <c r="AZ1038" s="70">
        <f t="shared" si="618"/>
        <v>43.224125093075202</v>
      </c>
      <c r="BA1038" s="70"/>
      <c r="BB1038" s="70"/>
      <c r="BC1038" s="70">
        <f t="shared" si="619"/>
        <v>99.693499728360877</v>
      </c>
      <c r="BD1038" s="70">
        <f t="shared" si="620"/>
        <v>60.201648310345597</v>
      </c>
      <c r="BE1038" s="70">
        <f t="shared" si="621"/>
        <v>1</v>
      </c>
      <c r="BF1038" s="70">
        <f t="shared" si="622"/>
        <v>6.1755615247254439E-2</v>
      </c>
      <c r="BG1038" s="70">
        <f t="shared" si="623"/>
        <v>2.2860507633180316E-2</v>
      </c>
      <c r="BH1038" s="67">
        <f>MAX((CE1038-Driver!$F$200)/(Driver!$G$200-Driver!$F$200)*$BI$1,1)</f>
        <v>5.5150825270347177</v>
      </c>
      <c r="BI1038" s="67">
        <f>MAX($BI$1*(BY1038-Driver!$F$201)/(Driver!$G$201-Driver!$F$201),1)</f>
        <v>8.5443037974683538</v>
      </c>
      <c r="BJ1038" s="67">
        <f>(CB1038-Driver!$F$206)/(Driver!$G$206-Driver!$F$206)*$BI$1</f>
        <v>1.1111111111111112</v>
      </c>
      <c r="BK1038" s="67">
        <f>(CD1038-Driver!$F$203)/(Driver!$G$203-Driver!$F$203)*$BI$1</f>
        <v>2.4311926605504586</v>
      </c>
      <c r="BL1038" s="67">
        <f>MAX((CR1038-Driver!$F$202)/(Driver!$G$202-Driver!$F$202)*$BI$1,1)</f>
        <v>7.931034482758621</v>
      </c>
      <c r="BM1038" s="67">
        <f>MAX((CH1038-Driver!$F$204)/(Driver!$G$204-Driver!$F$204)*$BI$1,1)</f>
        <v>3.7179487179487181</v>
      </c>
      <c r="BN1038" s="67">
        <f>(CI1038-Driver!$F$205)/(Driver!$G$205-Driver!$F$205)*$BI$1</f>
        <v>5.0588235294117645</v>
      </c>
      <c r="BO1038" s="67">
        <f>(CK1038-Driver!$F$207)/(Driver!$G$207-Driver!$F$207)*$BI$1</f>
        <v>0.28955532574974147</v>
      </c>
      <c r="BP1038" s="67">
        <f>(CM1038-Driver!$F$208)/(Driver!$G$208-Driver!$F$208)*$BI$1</f>
        <v>0.46666666666666667</v>
      </c>
      <c r="BQ1038" s="67">
        <f>(CL1038-Driver!$F$209)/(Driver!$G$209-Driver!$F$209)*$BI$1</f>
        <v>0.46875</v>
      </c>
      <c r="BR1038" s="28" t="s">
        <v>155</v>
      </c>
      <c r="BS1038" s="8" t="s">
        <v>262</v>
      </c>
      <c r="BT1038" s="9" t="s">
        <v>848</v>
      </c>
      <c r="BU1038" s="10">
        <v>160</v>
      </c>
      <c r="BV1038" s="9" t="s">
        <v>163</v>
      </c>
      <c r="BW1038" s="10">
        <v>160</v>
      </c>
      <c r="BX1038" s="10">
        <v>160.69999999999999</v>
      </c>
      <c r="BY1038" s="10">
        <v>143</v>
      </c>
      <c r="BZ1038" s="10">
        <v>150</v>
      </c>
      <c r="CA1038" s="10">
        <v>115</v>
      </c>
      <c r="CB1038" s="10">
        <v>71</v>
      </c>
      <c r="CC1038" s="10">
        <v>103</v>
      </c>
      <c r="CD1038" s="10">
        <v>14.7</v>
      </c>
      <c r="CE1038" s="10">
        <v>1869</v>
      </c>
      <c r="CF1038" s="10">
        <v>0.73</v>
      </c>
      <c r="CG1038" s="10">
        <v>1368</v>
      </c>
      <c r="CH1038" s="10">
        <v>188</v>
      </c>
      <c r="CI1038" s="10">
        <v>119</v>
      </c>
      <c r="CJ1038" s="10">
        <v>31</v>
      </c>
      <c r="CK1038" s="10">
        <v>138</v>
      </c>
      <c r="CL1038" s="10">
        <v>3</v>
      </c>
      <c r="CM1038" s="10">
        <v>42</v>
      </c>
      <c r="CN1038" s="10">
        <v>9.0999999999999998E-2</v>
      </c>
      <c r="CO1038" s="10">
        <v>81</v>
      </c>
      <c r="CP1038" s="10">
        <v>29</v>
      </c>
      <c r="CQ1038" s="10">
        <v>56</v>
      </c>
      <c r="CR1038" s="10">
        <v>12</v>
      </c>
      <c r="CS1038" s="10">
        <v>10.4</v>
      </c>
      <c r="CT1038" s="9" t="s">
        <v>349</v>
      </c>
      <c r="CU1038" s="10"/>
      <c r="CV1038" s="10"/>
      <c r="CW1038" s="10"/>
      <c r="CX1038" t="e">
        <f>INDEX('Data_Price '!AG$2:AG$1266,MATCH(Data!$DN1038,'Data_Price '!$AT$2:$AT$1266,0))</f>
        <v>#N/A</v>
      </c>
      <c r="CY1038" t="e">
        <f>INDEX('Data_Price '!AH$2:AH$1266,MATCH(Data!$DN1038,'Data_Price '!$AT$2:$AT$1266,0))</f>
        <v>#N/A</v>
      </c>
      <c r="CZ1038" t="e">
        <f>INDEX('Data_Price '!AI$2:AI$1266,MATCH(Data!$DN1038,'Data_Price '!$AT$2:$AT$1266,0))</f>
        <v>#N/A</v>
      </c>
      <c r="DA1038" t="e">
        <f>INDEX('Data_Price '!AJ$2:AJ$1266,MATCH(Data!$DN1038,'Data_Price '!$AT$2:$AT$1266,0))</f>
        <v>#N/A</v>
      </c>
      <c r="DB1038" t="e">
        <f>INDEX('Data_Price '!AK$2:AK$1266,MATCH(Data!$DN1038,'Data_Price '!$AT$2:$AT$1266,0))</f>
        <v>#N/A</v>
      </c>
      <c r="DC1038" t="e">
        <f>INDEX('Data_Price '!AL$2:AL$1266,MATCH(Data!$DN1038,'Data_Price '!$AT$2:$AT$1266,0))</f>
        <v>#N/A</v>
      </c>
      <c r="DD1038" t="e">
        <f>INDEX('Data_Price '!AM$2:AM$1266,MATCH(Data!$DN1038,'Data_Price '!$AT$2:$AT$1266,0))</f>
        <v>#N/A</v>
      </c>
      <c r="DE1038" t="e">
        <f>INDEX('Data_Price '!AN$2:AN$1266,MATCH(Data!$DN1038,'Data_Price '!$AT$2:$AT$1266,0))</f>
        <v>#N/A</v>
      </c>
      <c r="DF1038" t="e">
        <f>INDEX('Data_Price '!AO$2:AO$1266,MATCH(Data!$DN1038,'Data_Price '!$AT$2:$AT$1266,0))</f>
        <v>#N/A</v>
      </c>
      <c r="DG1038" t="e">
        <f>INDEX('Data_Price '!AP$2:AP$1266,MATCH(Data!$DN1038,'Data_Price '!$AT$2:$AT$1266,0))</f>
        <v>#N/A</v>
      </c>
      <c r="DH1038" t="e">
        <f>INDEX('Data_Price '!AQ$2:AQ$1266,MATCH(Data!$DN1038,'Data_Price '!$AT$2:$AT$1266,0))</f>
        <v>#N/A</v>
      </c>
      <c r="DI1038" t="e">
        <f>INDEX('Data_Price '!AR$2:AR$1266,MATCH(Data!$DN1038,'Data_Price '!$AT$2:$AT$1266,0))</f>
        <v>#N/A</v>
      </c>
      <c r="DJ1038" s="89" t="e">
        <f t="shared" si="624"/>
        <v>#N/A</v>
      </c>
      <c r="DK1038" s="89" t="e">
        <f t="shared" si="625"/>
        <v>#N/A</v>
      </c>
      <c r="DL1038" s="89" t="e">
        <f t="shared" si="626"/>
        <v>#N/A</v>
      </c>
      <c r="DM1038" s="219" t="str">
        <f t="shared" si="627"/>
        <v>Disruption Mti Alliance</v>
      </c>
      <c r="DN1038" s="89" t="str">
        <f t="shared" si="628"/>
        <v xml:space="preserve"> K2Disruption Mti Alliance160 Women's</v>
      </c>
      <c r="DO1038" s="221" t="s">
        <v>849</v>
      </c>
    </row>
    <row r="1039" spans="2:119" ht="15.6" customHeight="1">
      <c r="B1039" s="219" t="b">
        <f t="array" ref="B1039">IF(OR(ISERROR(K1039:P1039)),FALSE,TRUE)</f>
        <v>1</v>
      </c>
      <c r="C1039" s="43" t="b">
        <f>OR(BR1039=Driver!$G$50,Data!BR457=Driver!$H$50)</f>
        <v>1</v>
      </c>
      <c r="D1039" s="43" t="b">
        <f>OR(BV1039=Driver!$G$51,BV1039=Driver!$H$51)</f>
        <v>0</v>
      </c>
      <c r="E1039" s="43" t="b">
        <f>AND(BX1039&gt;Driver!$F$54,BX1039&lt;Driver!$G$54)</f>
        <v>1</v>
      </c>
      <c r="F1039" s="43" t="b">
        <f>CL1039&gt;Driver!$F$56</f>
        <v>1</v>
      </c>
      <c r="G1039" s="43" t="b">
        <f>AND(CB1039&gt;Driver!$F$55,CB1039&lt;Driver!$G$55)</f>
        <v>0</v>
      </c>
      <c r="H1039" s="43" t="b">
        <f t="shared" si="592"/>
        <v>0</v>
      </c>
      <c r="I1039" s="43">
        <f t="shared" si="593"/>
        <v>0</v>
      </c>
      <c r="J1039" s="43" t="b">
        <f t="array" ref="J1039">NOT(OR(($H$9:$H$1273=TRUE)*($I$9:$I$1273&gt;0)*($BT$9:$BT$1273=BT1039)*($K$9:$K$1273&gt;K1039)))</f>
        <v>1</v>
      </c>
      <c r="K1039" s="72">
        <f t="shared" si="594"/>
        <v>0.80163791599036904</v>
      </c>
      <c r="L1039" s="72">
        <f t="shared" si="595"/>
        <v>0.79952323836857664</v>
      </c>
      <c r="M1039" s="72">
        <f t="shared" si="596"/>
        <v>0.80375259361216134</v>
      </c>
      <c r="N1039" s="72">
        <f t="shared" si="597"/>
        <v>0.89407377522259768</v>
      </c>
      <c r="O1039" s="72">
        <f t="shared" si="598"/>
        <v>0.63986746718416865</v>
      </c>
      <c r="P1039" s="72">
        <f t="shared" si="599"/>
        <v>0.87731653842971791</v>
      </c>
      <c r="Q1039" s="72"/>
      <c r="R1039" s="72"/>
      <c r="S1039" s="72">
        <f t="shared" si="600"/>
        <v>0.40607807414746477</v>
      </c>
      <c r="T1039" s="72">
        <f t="shared" si="601"/>
        <v>0.45695327980231504</v>
      </c>
      <c r="U1039" s="72">
        <f t="shared" si="602"/>
        <v>0.97632683517238927</v>
      </c>
      <c r="V1039" s="72">
        <f t="shared" si="603"/>
        <v>0.5285030598613365</v>
      </c>
      <c r="W1039" s="72">
        <f t="shared" si="604"/>
        <v>0.90089285714285716</v>
      </c>
      <c r="X1039" s="72">
        <f t="shared" si="605"/>
        <v>0.20047676163142333</v>
      </c>
      <c r="Y1039" s="72">
        <f t="shared" si="606"/>
        <v>0.19624740638783864</v>
      </c>
      <c r="Z1039" s="72">
        <f t="shared" si="607"/>
        <v>0.10592622477740234</v>
      </c>
      <c r="AA1039" s="72">
        <f t="shared" si="608"/>
        <v>0.36013253281583141</v>
      </c>
      <c r="AB1039" s="72">
        <f t="shared" si="609"/>
        <v>0.12268346157028212</v>
      </c>
      <c r="AC1039" s="72"/>
      <c r="AD1039" s="72"/>
      <c r="AE1039" s="72">
        <f t="shared" si="610"/>
        <v>0.59392192585253523</v>
      </c>
      <c r="AF1039" s="72">
        <f t="shared" si="611"/>
        <v>0.54304672019768496</v>
      </c>
      <c r="AG1039" s="72">
        <f t="shared" si="612"/>
        <v>2.3673164827610671E-2</v>
      </c>
      <c r="AH1039" s="72">
        <f t="shared" si="613"/>
        <v>0.47149694013866345</v>
      </c>
      <c r="AI1039" s="72">
        <f t="shared" si="614"/>
        <v>9.9107142857142866E-2</v>
      </c>
      <c r="AJ1039" s="72">
        <f>(AV1039-Driver!$K$179)/(Driver!$L$179-Driver!$K$179)</f>
        <v>5.3742647651277092E-2</v>
      </c>
      <c r="AK1039" s="72">
        <f>(AW1039-Driver!$K$180)/(Driver!$L$180-Driver!$K$180)</f>
        <v>0.13432891177823558</v>
      </c>
      <c r="AL1039" s="72">
        <f>(AX1039-Driver!$K$181)/(Driver!$L$181-Driver!$K$181)</f>
        <v>0.20761398849048252</v>
      </c>
      <c r="AM1039" s="72">
        <f>(AY1039-Driver!$K$182)/(Driver!$L$182-Driver!$K$182)</f>
        <v>8.7252488281214957E-2</v>
      </c>
      <c r="AN1039" s="72">
        <f>(AZ1039-Driver!$K$183)/(Driver!$L$183-Driver!$K$183)</f>
        <v>0.13153594771241831</v>
      </c>
      <c r="AO1039" s="72"/>
      <c r="AP1039" s="72"/>
      <c r="AQ1039" s="72">
        <f>(BC1039-Driver!$K$188)/(Driver!$L$188-Driver!$K$188)</f>
        <v>2.607807414746478E-2</v>
      </c>
      <c r="AR1039" s="72">
        <f>MIN((BD1039-Driver!$K$189)/(Driver!$L$189-Driver!$K$189),100%)</f>
        <v>6.9532798023150856E-3</v>
      </c>
      <c r="AS1039" s="72">
        <f>(BE1039-Driver!$K$190)/(Driver!$L$190-Driver!$K$190)</f>
        <v>0.48632683517238934</v>
      </c>
      <c r="AT1039" s="72">
        <f>(BF1039-Driver!$K$191)/(Driver!$L$191-Driver!$K$191)</f>
        <v>3.8503059861336571E-2</v>
      </c>
      <c r="AU1039" s="72">
        <f>(BG1039-Driver!$K$192)/(Driver!$L$192-Driver!$K$192)</f>
        <v>0.15089285714285713</v>
      </c>
      <c r="AV1039" s="70">
        <f t="shared" si="615"/>
        <v>1.1311219644552979</v>
      </c>
      <c r="AW1039" s="70">
        <f t="shared" si="616"/>
        <v>14.96343534949041</v>
      </c>
      <c r="AX1039" s="70">
        <f t="shared" si="617"/>
        <v>2.8685258964143427</v>
      </c>
      <c r="AY1039" s="70">
        <f>IFERROR(Driver!$K$19/Data!BH1039/Data!BI1039*Data!BK1039*Data!BL1039,"")</f>
        <v>0.10682307928604505</v>
      </c>
      <c r="AZ1039" s="70">
        <f t="shared" si="618"/>
        <v>11.988086373790022</v>
      </c>
      <c r="BA1039" s="70"/>
      <c r="BB1039" s="70"/>
      <c r="BC1039" s="70">
        <f t="shared" si="619"/>
        <v>13.526878352120251</v>
      </c>
      <c r="BD1039" s="70">
        <f t="shared" si="620"/>
        <v>2.3361758261198435</v>
      </c>
      <c r="BE1039" s="70">
        <f t="shared" si="621"/>
        <v>0.48641846868335686</v>
      </c>
      <c r="BF1039" s="70">
        <f t="shared" si="622"/>
        <v>4.3486501120332459</v>
      </c>
      <c r="BG1039" s="70">
        <f t="shared" si="623"/>
        <v>0.57137661637931036</v>
      </c>
      <c r="BH1039" s="67">
        <f>MAX((CE1039-Driver!$F$200)/(Driver!$G$200-Driver!$F$200)*$BI$1,1)</f>
        <v>2.8685258964143427</v>
      </c>
      <c r="BI1039" s="67">
        <f>MAX($BI$1*(BY1039-Driver!$F$201)/(Driver!$G$201-Driver!$F$201),1)</f>
        <v>7.2784810126582276</v>
      </c>
      <c r="BJ1039" s="67">
        <f>(CB1039-Driver!$F$206)/(Driver!$G$206-Driver!$F$206)*$BI$1</f>
        <v>3.6507936507936507</v>
      </c>
      <c r="BK1039" s="67">
        <f>(CD1039-Driver!$F$203)/(Driver!$G$203-Driver!$F$203)*$BI$1</f>
        <v>2.1559633027522933</v>
      </c>
      <c r="BL1039" s="67">
        <f>MAX((CR1039-Driver!$F$202)/(Driver!$G$202-Driver!$F$202)*$BI$1,1)</f>
        <v>5.1724137931034484</v>
      </c>
      <c r="BM1039" s="67">
        <f>MAX((CH1039-Driver!$F$204)/(Driver!$G$204-Driver!$F$204)*$BI$1,1)</f>
        <v>1.2393162393162394</v>
      </c>
      <c r="BN1039" s="67">
        <f>(CI1039-Driver!$F$205)/(Driver!$G$205-Driver!$F$205)*$BI$1</f>
        <v>1.6470588235294117</v>
      </c>
      <c r="BO1039" s="67">
        <f>(CK1039-Driver!$F$207)/(Driver!$G$207-Driver!$F$207)*$BI$1</f>
        <v>1.5511892450879008</v>
      </c>
      <c r="BP1039" s="67">
        <f>(CM1039-Driver!$F$208)/(Driver!$G$208-Driver!$F$208)*$BI$1</f>
        <v>1.6555555555555557</v>
      </c>
      <c r="BQ1039" s="67">
        <f>(CL1039-Driver!$F$209)/(Driver!$G$209-Driver!$F$209)*$BI$1</f>
        <v>2.03125</v>
      </c>
      <c r="BR1039" s="28" t="s">
        <v>155</v>
      </c>
      <c r="BS1039" s="8" t="s">
        <v>164</v>
      </c>
      <c r="BT1039" s="9" t="s">
        <v>826</v>
      </c>
      <c r="BU1039" s="10">
        <v>162</v>
      </c>
      <c r="BV1039" s="9" t="s">
        <v>163</v>
      </c>
      <c r="BW1039" s="10">
        <v>162</v>
      </c>
      <c r="BX1039" s="10">
        <v>163.9</v>
      </c>
      <c r="BY1039" s="10">
        <v>123</v>
      </c>
      <c r="BZ1039" s="10">
        <v>133</v>
      </c>
      <c r="CA1039" s="10">
        <v>130</v>
      </c>
      <c r="CB1039" s="10">
        <v>87</v>
      </c>
      <c r="CC1039" s="10">
        <v>105</v>
      </c>
      <c r="CD1039" s="10">
        <v>14.1</v>
      </c>
      <c r="CE1039" s="10">
        <v>1404</v>
      </c>
      <c r="CF1039" s="10">
        <v>1.18</v>
      </c>
      <c r="CG1039" s="10">
        <v>1651</v>
      </c>
      <c r="CH1039" s="10">
        <v>130</v>
      </c>
      <c r="CI1039" s="10">
        <v>61</v>
      </c>
      <c r="CJ1039" s="10">
        <v>46</v>
      </c>
      <c r="CK1039" s="10">
        <v>260</v>
      </c>
      <c r="CL1039" s="10">
        <v>13</v>
      </c>
      <c r="CM1039" s="10">
        <v>149</v>
      </c>
      <c r="CN1039" s="10">
        <v>0.27500000000000002</v>
      </c>
      <c r="CO1039" s="10">
        <v>157</v>
      </c>
      <c r="CP1039" s="10">
        <v>153</v>
      </c>
      <c r="CQ1039" s="10">
        <v>103</v>
      </c>
      <c r="CR1039" s="10">
        <v>4</v>
      </c>
      <c r="CS1039" s="10">
        <v>8.5</v>
      </c>
      <c r="CT1039" s="9" t="s">
        <v>188</v>
      </c>
      <c r="CU1039" s="9" t="s">
        <v>185</v>
      </c>
      <c r="CV1039" s="10"/>
      <c r="CW1039" s="10"/>
      <c r="CX1039" t="str">
        <f>INDEX('Data_Price '!AG$2:AG$1266,MATCH(Data!$DN1039,'Data_Price '!$AT$2:$AT$1266,0))</f>
        <v>Elan Ripstick 88 W</v>
      </c>
      <c r="CY1039" t="str">
        <f>INDEX('Data_Price '!AH$2:AH$1266,MATCH(Data!$DN1039,'Data_Price '!$AT$2:$AT$1266,0))</f>
        <v>Varuste.net</v>
      </c>
      <c r="CZ1039">
        <f>INDEX('Data_Price '!AI$2:AI$1266,MATCH(Data!$DN1039,'Data_Price '!$AT$2:$AT$1266,0))</f>
        <v>306.45</v>
      </c>
      <c r="DA1039" t="str">
        <f>INDEX('Data_Price '!AJ$2:AJ$1266,MATCH(Data!$DN1039,'Data_Price '!$AT$2:$AT$1266,0))</f>
        <v>https://tinyurl.com/yaee5hzx</v>
      </c>
      <c r="DB1039" t="str">
        <f>INDEX('Data_Price '!AK$2:AK$1266,MATCH(Data!$DN1039,'Data_Price '!$AT$2:$AT$1266,0))</f>
        <v>Elan Ripstick 88 W</v>
      </c>
      <c r="DC1039" t="str">
        <f>INDEX('Data_Price '!AL$2:AL$1266,MATCH(Data!$DN1039,'Data_Price '!$AT$2:$AT$1266,0))</f>
        <v>U.S. Outdoor</v>
      </c>
      <c r="DD1039">
        <f>INDEX('Data_Price '!AM$2:AM$1266,MATCH(Data!$DN1039,'Data_Price '!$AT$2:$AT$1266,0))</f>
        <v>549.99</v>
      </c>
      <c r="DE1039" t="str">
        <f>INDEX('Data_Price '!AN$2:AN$1266,MATCH(Data!$DN1039,'Data_Price '!$AT$2:$AT$1266,0))</f>
        <v>https://tinyurl.com/y7q9q3of</v>
      </c>
      <c r="DF1039" t="str">
        <f>INDEX('Data_Price '!AO$2:AO$1266,MATCH(Data!$DN1039,'Data_Price '!$AT$2:$AT$1266,0))</f>
        <v>Elan Ripstick 94 W 162cm</v>
      </c>
      <c r="DG1039" t="str">
        <f>INDEX('Data_Price '!AP$2:AP$1266,MATCH(Data!$DN1039,'Data_Price '!$AT$2:$AT$1266,0))</f>
        <v>Sundance Ski and Board Shop</v>
      </c>
      <c r="DH1039">
        <f>INDEX('Data_Price '!AQ$2:AQ$1266,MATCH(Data!$DN1039,'Data_Price '!$AT$2:$AT$1266,0))</f>
        <v>480.86</v>
      </c>
      <c r="DI1039" t="str">
        <f>INDEX('Data_Price '!AR$2:AR$1266,MATCH(Data!$DN1039,'Data_Price '!$AT$2:$AT$1266,0))</f>
        <v>https://tinyurl.com/ycsg3u3z</v>
      </c>
      <c r="DJ1039" s="89" t="str">
        <f t="shared" si="624"/>
        <v>https://tinyurl.com/yaee5hzx</v>
      </c>
      <c r="DK1039" s="89" t="str">
        <f t="shared" si="625"/>
        <v>https://tinyurl.com/y7q9q3of</v>
      </c>
      <c r="DL1039" s="89" t="str">
        <f t="shared" si="626"/>
        <v>https://tinyurl.com/ycsg3u3z</v>
      </c>
      <c r="DM1039" s="219" t="str">
        <f t="shared" si="627"/>
        <v>Ripstick 88 W</v>
      </c>
      <c r="DN1039" s="89" t="str">
        <f t="shared" si="628"/>
        <v xml:space="preserve"> ElanRipstick 88 W162 Women's</v>
      </c>
      <c r="DO1039" s="221" t="s">
        <v>636</v>
      </c>
    </row>
    <row r="1040" spans="2:119" ht="15.6" customHeight="1">
      <c r="B1040" s="219" t="b">
        <f t="array" ref="B1040">IF(OR(ISERROR(K1040:P1040)),FALSE,TRUE)</f>
        <v>1</v>
      </c>
      <c r="C1040" s="43" t="b">
        <f>OR(BR1040=Driver!$G$50,Data!BR469=Driver!$H$50)</f>
        <v>1</v>
      </c>
      <c r="D1040" s="43" t="b">
        <f>OR(BV1040=Driver!$G$51,BV1040=Driver!$H$51)</f>
        <v>0</v>
      </c>
      <c r="E1040" s="43" t="b">
        <f>AND(BX1040&gt;Driver!$F$54,BX1040&lt;Driver!$G$54)</f>
        <v>0</v>
      </c>
      <c r="F1040" s="43" t="b">
        <f>CL1040&gt;Driver!$F$56</f>
        <v>1</v>
      </c>
      <c r="G1040" s="43" t="b">
        <f>AND(CB1040&gt;Driver!$F$55,CB1040&lt;Driver!$G$55)</f>
        <v>0</v>
      </c>
      <c r="H1040" s="43" t="b">
        <f t="shared" si="592"/>
        <v>0</v>
      </c>
      <c r="I1040" s="43">
        <f t="shared" si="593"/>
        <v>0</v>
      </c>
      <c r="J1040" s="43" t="b">
        <f t="array" ref="J1040">NOT(OR(($H$9:$H$1273=TRUE)*($I$9:$I$1273&gt;0)*($BT$9:$BT$1273=BT1040)*($K$9:$K$1273&gt;K1040)))</f>
        <v>1</v>
      </c>
      <c r="K1040" s="72">
        <f t="shared" si="594"/>
        <v>0.78235058695986737</v>
      </c>
      <c r="L1040" s="72">
        <f t="shared" si="595"/>
        <v>0.77591514877063938</v>
      </c>
      <c r="M1040" s="72">
        <f t="shared" si="596"/>
        <v>0.78878602514909535</v>
      </c>
      <c r="N1040" s="72">
        <f t="shared" si="597"/>
        <v>0.88711747344557879</v>
      </c>
      <c r="O1040" s="72">
        <f t="shared" si="598"/>
        <v>0.59779824657852543</v>
      </c>
      <c r="P1040" s="72">
        <f t="shared" si="599"/>
        <v>0.88144235542318194</v>
      </c>
      <c r="Q1040" s="72"/>
      <c r="R1040" s="72"/>
      <c r="S1040" s="72">
        <f t="shared" si="600"/>
        <v>0.39737710926639558</v>
      </c>
      <c r="T1040" s="72">
        <f t="shared" si="601"/>
        <v>0.61801356003474517</v>
      </c>
      <c r="U1040" s="72">
        <f t="shared" si="602"/>
        <v>0.51</v>
      </c>
      <c r="V1040" s="72">
        <f t="shared" si="603"/>
        <v>0.49255578525160693</v>
      </c>
      <c r="W1040" s="72">
        <f t="shared" si="604"/>
        <v>0.80813249571673329</v>
      </c>
      <c r="X1040" s="72">
        <f t="shared" si="605"/>
        <v>0.22408485122936064</v>
      </c>
      <c r="Y1040" s="72">
        <f t="shared" si="606"/>
        <v>0.21121397485090465</v>
      </c>
      <c r="Z1040" s="72">
        <f t="shared" si="607"/>
        <v>0.11288252655442123</v>
      </c>
      <c r="AA1040" s="72">
        <f t="shared" si="608"/>
        <v>0.40220175342147463</v>
      </c>
      <c r="AB1040" s="72">
        <f t="shared" si="609"/>
        <v>0.11855764457681808</v>
      </c>
      <c r="AC1040" s="72"/>
      <c r="AD1040" s="72"/>
      <c r="AE1040" s="72">
        <f t="shared" si="610"/>
        <v>0.60262289073360442</v>
      </c>
      <c r="AF1040" s="72">
        <f t="shared" si="611"/>
        <v>0.38198643996525483</v>
      </c>
      <c r="AG1040" s="72">
        <f t="shared" si="612"/>
        <v>0.49</v>
      </c>
      <c r="AH1040" s="72">
        <f t="shared" si="613"/>
        <v>0.50744421474839307</v>
      </c>
      <c r="AI1040" s="72">
        <f t="shared" si="614"/>
        <v>0.19186750428326671</v>
      </c>
      <c r="AJ1040" s="72">
        <f>(AV1040-Driver!$K$179)/(Driver!$L$179-Driver!$K$179)</f>
        <v>3.0134558053339779E-2</v>
      </c>
      <c r="AK1040" s="72">
        <f>(AW1040-Driver!$K$180)/(Driver!$L$180-Driver!$K$180)</f>
        <v>0.13830110334090923</v>
      </c>
      <c r="AL1040" s="72">
        <f>(AX1040-Driver!$K$181)/(Driver!$L$181-Driver!$K$181)</f>
        <v>0.21457029026750141</v>
      </c>
      <c r="AM1040" s="72">
        <f>(AY1040-Driver!$K$182)/(Driver!$L$182-Driver!$K$182)</f>
        <v>4.5183267675571716E-2</v>
      </c>
      <c r="AN1040" s="72">
        <f>(AZ1040-Driver!$K$183)/(Driver!$L$183-Driver!$K$183)</f>
        <v>0.13566176470588234</v>
      </c>
      <c r="AO1040" s="72"/>
      <c r="AP1040" s="72"/>
      <c r="AQ1040" s="72">
        <f>(BC1040-Driver!$K$188)/(Driver!$L$188-Driver!$K$188)</f>
        <v>1.7377109266395595E-2</v>
      </c>
      <c r="AR1040" s="72">
        <f>MIN((BD1040-Driver!$K$189)/(Driver!$L$189-Driver!$K$189),100%)</f>
        <v>0.16801356003474524</v>
      </c>
      <c r="AS1040" s="72">
        <f>(BE1040-Driver!$K$190)/(Driver!$L$190-Driver!$K$190)</f>
        <v>1</v>
      </c>
      <c r="AT1040" s="72">
        <f>(BF1040-Driver!$K$191)/(Driver!$L$191-Driver!$K$191)</f>
        <v>2.5557852516068986E-3</v>
      </c>
      <c r="AU1040" s="72">
        <f>(BG1040-Driver!$K$192)/(Driver!$L$192-Driver!$K$192)</f>
        <v>5.8132495716733283E-2</v>
      </c>
      <c r="AV1040" s="70">
        <f t="shared" si="615"/>
        <v>0.6342423009089676</v>
      </c>
      <c r="AW1040" s="70">
        <f t="shared" si="616"/>
        <v>15.350560614470757</v>
      </c>
      <c r="AX1040" s="70">
        <f t="shared" si="617"/>
        <v>2.9311326124075125</v>
      </c>
      <c r="AY1040" s="70">
        <f>IFERROR(Driver!$K$19/Data!BH1040/Data!BI1040*Data!BK1040*Data!BL1040,"")</f>
        <v>5.5317801020802984E-2</v>
      </c>
      <c r="AZ1040" s="70">
        <f t="shared" si="618"/>
        <v>12.364110201042442</v>
      </c>
      <c r="BA1040" s="70"/>
      <c r="BB1040" s="70"/>
      <c r="BC1040" s="70">
        <f t="shared" si="619"/>
        <v>9.0136273801831468</v>
      </c>
      <c r="BD1040" s="70">
        <f t="shared" si="620"/>
        <v>16.589725244760277</v>
      </c>
      <c r="BE1040" s="70">
        <f t="shared" si="621"/>
        <v>1</v>
      </c>
      <c r="BF1040" s="70">
        <f t="shared" si="622"/>
        <v>0.28865798876140142</v>
      </c>
      <c r="BG1040" s="70">
        <f t="shared" si="623"/>
        <v>0.22012671330668188</v>
      </c>
      <c r="BH1040" s="67">
        <f>MAX((CE1040-Driver!$F$200)/(Driver!$G$200-Driver!$F$200)*$BI$1,1)</f>
        <v>2.9311326124075125</v>
      </c>
      <c r="BI1040" s="67">
        <f>MAX($BI$1*(BY1040-Driver!$F$201)/(Driver!$G$201-Driver!$F$201),1)</f>
        <v>7.7848101265822782</v>
      </c>
      <c r="BJ1040" s="67">
        <f>(CB1040-Driver!$F$206)/(Driver!$G$206-Driver!$F$206)*$BI$1</f>
        <v>1.746031746031746</v>
      </c>
      <c r="BK1040" s="67">
        <f>(CD1040-Driver!$F$203)/(Driver!$G$203-Driver!$F$203)*$BI$1</f>
        <v>0.96330275229357787</v>
      </c>
      <c r="BL1040" s="67">
        <f>MAX((CR1040-Driver!$F$202)/(Driver!$G$202-Driver!$F$202)*$BI$1,1)</f>
        <v>6.5517241379310338</v>
      </c>
      <c r="BM1040" s="67">
        <f>MAX((CH1040-Driver!$F$204)/(Driver!$G$204-Driver!$F$204)*$BI$1,1)</f>
        <v>1.4529914529914532</v>
      </c>
      <c r="BN1040" s="67">
        <f>(CI1040-Driver!$F$205)/(Driver!$G$205-Driver!$F$205)*$BI$1</f>
        <v>1.588235294117647</v>
      </c>
      <c r="BO1040" s="67">
        <f>(CK1040-Driver!$F$207)/(Driver!$G$207-Driver!$F$207)*$BI$1</f>
        <v>0.22750775594622544</v>
      </c>
      <c r="BP1040" s="67">
        <f>(CM1040-Driver!$F$208)/(Driver!$G$208-Driver!$F$208)*$BI$1</f>
        <v>0.70000000000000007</v>
      </c>
      <c r="BQ1040" s="67">
        <f>(CL1040-Driver!$F$209)/(Driver!$G$209-Driver!$F$209)*$BI$1</f>
        <v>0.9375</v>
      </c>
      <c r="BR1040" s="28" t="s">
        <v>155</v>
      </c>
      <c r="BS1040" s="8" t="s">
        <v>164</v>
      </c>
      <c r="BT1040" s="9" t="s">
        <v>601</v>
      </c>
      <c r="BU1040" s="10">
        <v>150</v>
      </c>
      <c r="BV1040" s="9" t="s">
        <v>163</v>
      </c>
      <c r="BW1040" s="10">
        <v>150</v>
      </c>
      <c r="BX1040" s="10">
        <v>150.19999999999999</v>
      </c>
      <c r="BY1040" s="10">
        <v>131</v>
      </c>
      <c r="BZ1040" s="10">
        <v>136</v>
      </c>
      <c r="CA1040" s="10">
        <v>127</v>
      </c>
      <c r="CB1040" s="10">
        <v>75</v>
      </c>
      <c r="CC1040" s="10">
        <v>105</v>
      </c>
      <c r="CD1040" s="10">
        <v>11.5</v>
      </c>
      <c r="CE1040" s="10">
        <v>1415</v>
      </c>
      <c r="CF1040" s="10">
        <v>0.96</v>
      </c>
      <c r="CG1040" s="10">
        <v>1365</v>
      </c>
      <c r="CH1040" s="10">
        <v>135</v>
      </c>
      <c r="CI1040" s="10">
        <v>60</v>
      </c>
      <c r="CJ1040" s="10">
        <v>38</v>
      </c>
      <c r="CK1040" s="10">
        <v>132</v>
      </c>
      <c r="CL1040" s="10">
        <v>6</v>
      </c>
      <c r="CM1040" s="10">
        <v>63</v>
      </c>
      <c r="CN1040" s="10">
        <v>0.159</v>
      </c>
      <c r="CO1040" s="10">
        <v>89</v>
      </c>
      <c r="CP1040" s="10">
        <v>49</v>
      </c>
      <c r="CQ1040" s="10">
        <v>43</v>
      </c>
      <c r="CR1040" s="10">
        <v>8</v>
      </c>
      <c r="CS1040" s="10">
        <v>9.6999999999999993</v>
      </c>
      <c r="CT1040" s="9" t="s">
        <v>349</v>
      </c>
      <c r="CU1040" s="10"/>
      <c r="CV1040" s="10"/>
      <c r="CW1040" s="10"/>
      <c r="CX1040" t="str">
        <f>INDEX('Data_Price '!AG$2:AG$1266,MATCH(Data!$DN1040,'Data_Price '!$AT$2:$AT$1266,0))</f>
        <v>Elan Wildcat 76 LS ELW 9.0 150cm</v>
      </c>
      <c r="CY1040" t="str">
        <f>INDEX('Data_Price '!AH$2:AH$1266,MATCH(Data!$DN1040,'Data_Price '!$AT$2:$AT$1266,0))</f>
        <v>Sundance Ski and Board Shop</v>
      </c>
      <c r="CZ1040">
        <f>INDEX('Data_Price '!AI$2:AI$1266,MATCH(Data!$DN1040,'Data_Price '!$AT$2:$AT$1266,0))</f>
        <v>400.72</v>
      </c>
      <c r="DA1040" t="str">
        <f>INDEX('Data_Price '!AJ$2:AJ$1266,MATCH(Data!$DN1040,'Data_Price '!$AT$2:$AT$1266,0))</f>
        <v>https://tinyurl.com/yalr6nbc</v>
      </c>
      <c r="DB1040" t="str">
        <f>INDEX('Data_Price '!AK$2:AK$1266,MATCH(Data!$DN1040,'Data_Price '!$AT$2:$AT$1266,0))</f>
        <v>Elan Wildcat 76 Skis + PS ELW 9.0 GW Bindings - Women's 2022 150</v>
      </c>
      <c r="DC1040" t="str">
        <f>INDEX('Data_Price '!AL$2:AL$1266,MATCH(Data!$DN1040,'Data_Price '!$AT$2:$AT$1266,0))</f>
        <v>Winteriscalling.com</v>
      </c>
      <c r="DD1040">
        <f>INDEX('Data_Price '!AM$2:AM$1266,MATCH(Data!$DN1040,'Data_Price '!$AT$2:$AT$1266,0))</f>
        <v>499.99</v>
      </c>
      <c r="DE1040" t="str">
        <f>INDEX('Data_Price '!AN$2:AN$1266,MATCH(Data!$DN1040,'Data_Price '!$AT$2:$AT$1266,0))</f>
        <v>https://tinyurl.com/yb5w2obp</v>
      </c>
      <c r="DF1040" t="str">
        <f>INDEX('Data_Price '!AO$2:AO$1266,MATCH(Data!$DN1040,'Data_Price '!$AT$2:$AT$1266,0))</f>
        <v>Elan Wildcat 76 C Black Edition 150 Ski Lady's Ladies / Women</v>
      </c>
      <c r="DG1040" t="str">
        <f>INDEX('Data_Price '!AP$2:AP$1266,MATCH(Data!$DN1040,'Data_Price '!$AT$2:$AT$1266,0))</f>
        <v>! OutdoorXL.com</v>
      </c>
      <c r="DH1040">
        <f>INDEX('Data_Price '!AQ$2:AQ$1266,MATCH(Data!$DN1040,'Data_Price '!$AT$2:$AT$1266,0))</f>
        <v>509.95</v>
      </c>
      <c r="DI1040" t="str">
        <f>INDEX('Data_Price '!AR$2:AR$1266,MATCH(Data!$DN1040,'Data_Price '!$AT$2:$AT$1266,0))</f>
        <v>https://tinyurl.com/y965h4qb</v>
      </c>
      <c r="DJ1040" s="89" t="str">
        <f t="shared" si="624"/>
        <v>https://tinyurl.com/yalr6nbc</v>
      </c>
      <c r="DK1040" s="89" t="str">
        <f t="shared" si="625"/>
        <v>https://tinyurl.com/yb5w2obp</v>
      </c>
      <c r="DL1040" s="89" t="str">
        <f t="shared" si="626"/>
        <v>https://tinyurl.com/y965h4qb</v>
      </c>
      <c r="DM1040" s="219" t="str">
        <f t="shared" si="627"/>
        <v>Wildcat 76</v>
      </c>
      <c r="DN1040" s="89" t="str">
        <f t="shared" si="628"/>
        <v xml:space="preserve"> ElanWildcat 76150 Women's</v>
      </c>
      <c r="DO1040" s="221"/>
    </row>
    <row r="1041" spans="2:119" ht="15.6" customHeight="1">
      <c r="B1041" s="219" t="b">
        <f t="array" ref="B1041">IF(OR(ISERROR(K1041:P1041)),FALSE,TRUE)</f>
        <v>1</v>
      </c>
      <c r="C1041" s="43" t="b">
        <f>OR(BR1041=Driver!$G$50,Data!BR94=Driver!$H$50)</f>
        <v>1</v>
      </c>
      <c r="D1041" s="43" t="b">
        <f>OR(BV1041=Driver!$G$51,BV1041=Driver!$H$51)</f>
        <v>0</v>
      </c>
      <c r="E1041" s="43" t="b">
        <f>AND(BX1041&gt;Driver!$F$54,BX1041&lt;Driver!$G$54)</f>
        <v>0</v>
      </c>
      <c r="F1041" s="43" t="b">
        <f>CL1041&gt;Driver!$F$56</f>
        <v>1</v>
      </c>
      <c r="G1041" s="43" t="b">
        <f>AND(CB1041&gt;Driver!$F$55,CB1041&lt;Driver!$G$55)</f>
        <v>0</v>
      </c>
      <c r="H1041" s="43" t="b">
        <f t="shared" si="592"/>
        <v>0</v>
      </c>
      <c r="I1041" s="43">
        <f t="shared" si="593"/>
        <v>0</v>
      </c>
      <c r="J1041" s="43" t="b">
        <f t="array" ref="J1041">NOT(OR(($H$9:$H$1273=TRUE)*($I$9:$I$1273&gt;0)*($BT$9:$BT$1273=BT1041)*($K$9:$K$1273&gt;K1041)))</f>
        <v>1</v>
      </c>
      <c r="K1041" s="72">
        <f t="shared" si="594"/>
        <v>0.79757173579908769</v>
      </c>
      <c r="L1041" s="72">
        <f t="shared" si="595"/>
        <v>0.80799958999213639</v>
      </c>
      <c r="M1041" s="72">
        <f t="shared" si="596"/>
        <v>0.78714388160603888</v>
      </c>
      <c r="N1041" s="72">
        <f t="shared" si="597"/>
        <v>0.9484594072974728</v>
      </c>
      <c r="O1041" s="72">
        <f t="shared" si="598"/>
        <v>0.57225700628046838</v>
      </c>
      <c r="P1041" s="72">
        <f t="shared" si="599"/>
        <v>0.84071523124017533</v>
      </c>
      <c r="Q1041" s="72"/>
      <c r="R1041" s="72"/>
      <c r="S1041" s="72">
        <f t="shared" si="600"/>
        <v>0.38167160962190783</v>
      </c>
      <c r="T1041" s="72">
        <f t="shared" si="601"/>
        <v>0.57715686290204393</v>
      </c>
      <c r="U1041" s="72">
        <f t="shared" si="602"/>
        <v>0.62556622220129521</v>
      </c>
      <c r="V1041" s="72">
        <f t="shared" si="603"/>
        <v>0.83081168659115601</v>
      </c>
      <c r="W1041" s="72">
        <f t="shared" si="604"/>
        <v>0.71232057416267947</v>
      </c>
      <c r="X1041" s="72">
        <f t="shared" si="605"/>
        <v>0.19200041000786361</v>
      </c>
      <c r="Y1041" s="72">
        <f t="shared" si="606"/>
        <v>0.21285611839396115</v>
      </c>
      <c r="Z1041" s="72">
        <f t="shared" si="607"/>
        <v>5.1540592702527241E-2</v>
      </c>
      <c r="AA1041" s="72">
        <f t="shared" si="608"/>
        <v>0.42774299371953162</v>
      </c>
      <c r="AB1041" s="72">
        <f t="shared" si="609"/>
        <v>0.15928476875982461</v>
      </c>
      <c r="AC1041" s="72"/>
      <c r="AD1041" s="72"/>
      <c r="AE1041" s="72">
        <f t="shared" si="610"/>
        <v>0.61832839037809217</v>
      </c>
      <c r="AF1041" s="72">
        <f t="shared" si="611"/>
        <v>0.42284313709795607</v>
      </c>
      <c r="AG1041" s="72">
        <f t="shared" si="612"/>
        <v>0.37443377779870485</v>
      </c>
      <c r="AH1041" s="72">
        <f t="shared" si="613"/>
        <v>0.16918831340884399</v>
      </c>
      <c r="AI1041" s="72">
        <f t="shared" si="614"/>
        <v>0.28767942583732053</v>
      </c>
      <c r="AJ1041" s="72">
        <f>(AV1041-Driver!$K$179)/(Driver!$L$179-Driver!$K$179)</f>
        <v>6.2218999274836831E-2</v>
      </c>
      <c r="AK1041" s="72">
        <f>(AW1041-Driver!$K$180)/(Driver!$L$180-Driver!$K$180)</f>
        <v>9.4229311100757232E-2</v>
      </c>
      <c r="AL1041" s="72">
        <f>(AX1041-Driver!$K$181)/(Driver!$L$181-Driver!$K$181)</f>
        <v>0.15322835641560742</v>
      </c>
      <c r="AM1041" s="72">
        <f>(AY1041-Driver!$K$182)/(Driver!$L$182-Driver!$K$182)</f>
        <v>1.9642027377514776E-2</v>
      </c>
      <c r="AN1041" s="72">
        <f>(AZ1041-Driver!$K$183)/(Driver!$L$183-Driver!$K$183)</f>
        <v>9.4934640522875799E-2</v>
      </c>
      <c r="AO1041" s="72"/>
      <c r="AP1041" s="72"/>
      <c r="AQ1041" s="72">
        <f>(BC1041-Driver!$K$188)/(Driver!$L$188-Driver!$K$188)</f>
        <v>1.6716096219077708E-3</v>
      </c>
      <c r="AR1041" s="72">
        <f>MIN((BD1041-Driver!$K$189)/(Driver!$L$189-Driver!$K$189),100%)</f>
        <v>0.12715686290204395</v>
      </c>
      <c r="AS1041" s="72">
        <f>(BE1041-Driver!$K$190)/(Driver!$L$190-Driver!$K$190)</f>
        <v>0.13556622220129516</v>
      </c>
      <c r="AT1041" s="72">
        <f>(BF1041-Driver!$K$191)/(Driver!$L$191-Driver!$K$191)</f>
        <v>0.679188313408844</v>
      </c>
      <c r="AU1041" s="72">
        <f>(BG1041-Driver!$K$192)/(Driver!$L$192-Driver!$K$192)</f>
        <v>0.53767942583732053</v>
      </c>
      <c r="AV1041" s="70">
        <f t="shared" si="615"/>
        <v>1.3095238095238095</v>
      </c>
      <c r="AW1041" s="70">
        <f t="shared" si="616"/>
        <v>11.055373944862145</v>
      </c>
      <c r="AX1041" s="70">
        <f t="shared" si="617"/>
        <v>2.3790552077404667</v>
      </c>
      <c r="AY1041" s="70">
        <f>IFERROR(Driver!$K$19/Data!BH1041/Data!BI1041*Data!BK1041*Data!BL1041,"")</f>
        <v>2.4047702125403629E-2</v>
      </c>
      <c r="AZ1041" s="70">
        <f t="shared" si="618"/>
        <v>8.652271034996275</v>
      </c>
      <c r="BA1041" s="70"/>
      <c r="BB1041" s="70"/>
      <c r="BC1041" s="70">
        <f t="shared" si="619"/>
        <v>0.86707553172512053</v>
      </c>
      <c r="BD1041" s="70">
        <f t="shared" si="620"/>
        <v>12.973979942299765</v>
      </c>
      <c r="BE1041" s="70">
        <f t="shared" si="621"/>
        <v>0.13572042745763782</v>
      </c>
      <c r="BF1041" s="70">
        <f t="shared" si="622"/>
        <v>76.709548431575314</v>
      </c>
      <c r="BG1041" s="70">
        <f t="shared" si="623"/>
        <v>2.0359973086124401</v>
      </c>
      <c r="BH1041" s="67">
        <f>MAX((CE1041-Driver!$F$200)/(Driver!$G$200-Driver!$F$200)*$BI$1,1)</f>
        <v>2.3790552077404667</v>
      </c>
      <c r="BI1041" s="67">
        <f>MAX($BI$1*(BY1041-Driver!$F$201)/(Driver!$G$201-Driver!$F$201),1)</f>
        <v>5.2531645569620249</v>
      </c>
      <c r="BJ1041" s="67">
        <f>(CB1041-Driver!$F$206)/(Driver!$G$206-Driver!$F$206)*$BI$1</f>
        <v>5.2380952380952381</v>
      </c>
      <c r="BK1041" s="67">
        <f>(CD1041-Driver!$F$203)/(Driver!$G$203-Driver!$F$203)*$BI$1</f>
        <v>0.22935779816513763</v>
      </c>
      <c r="BL1041" s="67">
        <f>MAX((CR1041-Driver!$F$202)/(Driver!$G$202-Driver!$F$202)*$BI$1,1)</f>
        <v>6.5517241379310338</v>
      </c>
      <c r="BM1041" s="67">
        <f>MAX((CH1041-Driver!$F$204)/(Driver!$G$204-Driver!$F$204)*$BI$1,1)</f>
        <v>1</v>
      </c>
      <c r="BN1041" s="67">
        <f>(CI1041-Driver!$F$205)/(Driver!$G$205-Driver!$F$205)*$BI$1</f>
        <v>1.6470588235294117</v>
      </c>
      <c r="BO1041" s="67">
        <f>(CK1041-Driver!$F$207)/(Driver!$G$207-Driver!$F$207)*$BI$1</f>
        <v>2.0992761116856258</v>
      </c>
      <c r="BP1041" s="67">
        <f>(CM1041-Driver!$F$208)/(Driver!$G$208-Driver!$F$208)*$BI$1</f>
        <v>1.6</v>
      </c>
      <c r="BQ1041" s="67">
        <f>(CL1041-Driver!$F$209)/(Driver!$G$209-Driver!$F$209)*$BI$1</f>
        <v>4.84375</v>
      </c>
      <c r="BR1041" s="28" t="s">
        <v>155</v>
      </c>
      <c r="BS1041" s="8" t="s">
        <v>182</v>
      </c>
      <c r="BT1041" s="9" t="s">
        <v>837</v>
      </c>
      <c r="BU1041" s="10">
        <v>138</v>
      </c>
      <c r="BV1041" s="9" t="s">
        <v>385</v>
      </c>
      <c r="BW1041" s="10">
        <v>138</v>
      </c>
      <c r="BX1041" s="10">
        <v>137</v>
      </c>
      <c r="BY1041" s="10">
        <v>91</v>
      </c>
      <c r="BZ1041" s="10">
        <v>100</v>
      </c>
      <c r="CA1041" s="10">
        <v>124</v>
      </c>
      <c r="CB1041" s="10">
        <v>97</v>
      </c>
      <c r="CC1041" s="10">
        <v>114</v>
      </c>
      <c r="CD1041" s="10">
        <v>9.9</v>
      </c>
      <c r="CE1041" s="10">
        <v>1318</v>
      </c>
      <c r="CF1041" s="10">
        <v>1.1100000000000001</v>
      </c>
      <c r="CG1041" s="10">
        <v>1457</v>
      </c>
      <c r="CH1041" s="10">
        <v>124</v>
      </c>
      <c r="CI1041" s="10">
        <v>61</v>
      </c>
      <c r="CJ1041" s="10">
        <v>47</v>
      </c>
      <c r="CK1041" s="10">
        <v>313</v>
      </c>
      <c r="CL1041" s="10">
        <v>31</v>
      </c>
      <c r="CM1041" s="10">
        <v>144</v>
      </c>
      <c r="CN1041" s="10">
        <v>0.66800000000000004</v>
      </c>
      <c r="CO1041" s="10">
        <v>229</v>
      </c>
      <c r="CP1041" s="10">
        <v>137</v>
      </c>
      <c r="CQ1041" s="10">
        <v>84</v>
      </c>
      <c r="CR1041" s="10">
        <v>8</v>
      </c>
      <c r="CS1041" s="10">
        <v>6.9</v>
      </c>
      <c r="CT1041" s="9" t="s">
        <v>188</v>
      </c>
      <c r="CU1041" s="9" t="s">
        <v>185</v>
      </c>
      <c r="CV1041" s="10"/>
      <c r="CW1041" s="10"/>
      <c r="CX1041" t="str">
        <f>INDEX('Data_Price '!AG$2:AG$1266,MATCH(Data!$DN1041,'Data_Price '!$AT$2:$AT$1266,0))</f>
        <v>Armada TANTRUM Skis 2022 138 cm</v>
      </c>
      <c r="CY1041" t="str">
        <f>INDEX('Data_Price '!AH$2:AH$1266,MATCH(Data!$DN1041,'Data_Price '!$AT$2:$AT$1266,0))</f>
        <v>PRFO Sports</v>
      </c>
      <c r="CZ1041">
        <f>INDEX('Data_Price '!AI$2:AI$1266,MATCH(Data!$DN1041,'Data_Price '!$AT$2:$AT$1266,0))</f>
        <v>287.70999999999998</v>
      </c>
      <c r="DA1041" t="str">
        <f>INDEX('Data_Price '!AJ$2:AJ$1266,MATCH(Data!$DN1041,'Data_Price '!$AT$2:$AT$1266,0))</f>
        <v>https://tinyurl.com/yd2wmqey</v>
      </c>
      <c r="DB1041" t="str">
        <f>INDEX('Data_Price '!AK$2:AK$1266,MATCH(Data!$DN1041,'Data_Price '!$AT$2:$AT$1266,0))</f>
        <v>Armada Tantrum Skis 138cm 2022</v>
      </c>
      <c r="DC1041" t="str">
        <f>INDEX('Data_Price '!AL$2:AL$1266,MATCH(Data!$DN1041,'Data_Price '!$AT$2:$AT$1266,0))</f>
        <v>Ski Pro  - Snow Ski &amp; Snowboard</v>
      </c>
      <c r="DD1041">
        <f>INDEX('Data_Price '!AM$2:AM$1266,MATCH(Data!$DN1041,'Data_Price '!$AT$2:$AT$1266,0))</f>
        <v>319.95</v>
      </c>
      <c r="DE1041" t="str">
        <f>INDEX('Data_Price '!AN$2:AN$1266,MATCH(Data!$DN1041,'Data_Price '!$AT$2:$AT$1266,0))</f>
        <v>https://tinyurl.com/yb4ml64a</v>
      </c>
      <c r="DF1041" t="str">
        <f>INDEX('Data_Price '!AO$2:AO$1266,MATCH(Data!$DN1041,'Data_Price '!$AT$2:$AT$1266,0))</f>
        <v>Armada Tantrum Skis 138cm 2022</v>
      </c>
      <c r="DG1041" t="str">
        <f>INDEX('Data_Price '!AP$2:AP$1266,MATCH(Data!$DN1041,'Data_Price '!$AT$2:$AT$1266,0))</f>
        <v>Next Adventure</v>
      </c>
      <c r="DH1041">
        <f>INDEX('Data_Price '!AQ$2:AQ$1266,MATCH(Data!$DN1041,'Data_Price '!$AT$2:$AT$1266,0))</f>
        <v>319.95999999999998</v>
      </c>
      <c r="DI1041" t="str">
        <f>INDEX('Data_Price '!AR$2:AR$1266,MATCH(Data!$DN1041,'Data_Price '!$AT$2:$AT$1266,0))</f>
        <v>https://tinyurl.com/yczrqpdl</v>
      </c>
      <c r="DJ1041" s="89" t="str">
        <f t="shared" si="624"/>
        <v>https://tinyurl.com/yd2wmqey</v>
      </c>
      <c r="DK1041" s="89" t="str">
        <f t="shared" si="625"/>
        <v>https://tinyurl.com/yb4ml64a</v>
      </c>
      <c r="DL1041" s="89" t="str">
        <f t="shared" si="626"/>
        <v>https://tinyurl.com/yczrqpdl</v>
      </c>
      <c r="DM1041" s="219" t="str">
        <f t="shared" si="627"/>
        <v>Tantrum</v>
      </c>
      <c r="DN1041" s="89" t="str">
        <f t="shared" si="628"/>
        <v xml:space="preserve"> ArmadaTantrum138 Junior</v>
      </c>
      <c r="DO1041" s="221" t="s">
        <v>838</v>
      </c>
    </row>
    <row r="1042" spans="2:119" ht="15.6" customHeight="1">
      <c r="B1042" s="219" t="b">
        <f t="array" ref="B1042">IF(OR(ISERROR(K1042:P1042)),FALSE,TRUE)</f>
        <v>1</v>
      </c>
      <c r="C1042" s="43" t="b">
        <f>OR(BR1042=Driver!$G$50,Data!BR180=Driver!$H$50)</f>
        <v>1</v>
      </c>
      <c r="D1042" s="43" t="b">
        <f>OR(BV1042=Driver!$G$51,BV1042=Driver!$H$51)</f>
        <v>1</v>
      </c>
      <c r="E1042" s="43" t="b">
        <f>AND(BX1042&gt;Driver!$F$54,BX1042&lt;Driver!$G$54)</f>
        <v>1</v>
      </c>
      <c r="F1042" s="43" t="b">
        <f>CL1042&gt;Driver!$F$56</f>
        <v>1</v>
      </c>
      <c r="G1042" s="43" t="b">
        <f>AND(CB1042&gt;Driver!$F$55,CB1042&lt;Driver!$G$55)</f>
        <v>0</v>
      </c>
      <c r="H1042" s="43" t="b">
        <f t="shared" si="592"/>
        <v>0</v>
      </c>
      <c r="I1042" s="43">
        <f t="shared" si="593"/>
        <v>0</v>
      </c>
      <c r="J1042" s="43" t="b">
        <f t="array" ref="J1042">NOT(OR(($H$9:$H$1273=TRUE)*($I$9:$I$1273&gt;0)*($BT$9:$BT$1273=BT1042)*($K$9:$K$1273&gt;K1042)))</f>
        <v>1</v>
      </c>
      <c r="K1042" s="72">
        <f t="shared" si="594"/>
        <v>0.69429430780322055</v>
      </c>
      <c r="L1042" s="72">
        <f t="shared" si="595"/>
        <v>0.77285334875452461</v>
      </c>
      <c r="M1042" s="72">
        <f t="shared" si="596"/>
        <v>0.61573526685191649</v>
      </c>
      <c r="N1042" s="72">
        <f t="shared" si="597"/>
        <v>0.42357481866786417</v>
      </c>
      <c r="O1042" s="72">
        <f t="shared" si="598"/>
        <v>0.58301451378165514</v>
      </c>
      <c r="P1042" s="72">
        <f t="shared" si="599"/>
        <v>0.84061646810622981</v>
      </c>
      <c r="Q1042" s="72"/>
      <c r="R1042" s="72"/>
      <c r="S1042" s="72">
        <f t="shared" si="600"/>
        <v>0.54424759751657781</v>
      </c>
      <c r="T1042" s="72">
        <f t="shared" si="601"/>
        <v>0.55000000000000004</v>
      </c>
      <c r="U1042" s="72">
        <f t="shared" si="602"/>
        <v>0.51</v>
      </c>
      <c r="V1042" s="72">
        <f t="shared" si="603"/>
        <v>0.49072126073823907</v>
      </c>
      <c r="W1042" s="72">
        <f t="shared" si="604"/>
        <v>0.75606863839285721</v>
      </c>
      <c r="X1042" s="72">
        <f t="shared" si="605"/>
        <v>0.22714665124547539</v>
      </c>
      <c r="Y1042" s="72">
        <f t="shared" si="606"/>
        <v>0.38426473314808357</v>
      </c>
      <c r="Z1042" s="72">
        <f t="shared" si="607"/>
        <v>0.57642518133213583</v>
      </c>
      <c r="AA1042" s="72">
        <f t="shared" si="608"/>
        <v>0.4169854862183448</v>
      </c>
      <c r="AB1042" s="72">
        <f t="shared" si="609"/>
        <v>0.15938353189377014</v>
      </c>
      <c r="AC1042" s="72"/>
      <c r="AD1042" s="72"/>
      <c r="AE1042" s="72">
        <f t="shared" si="610"/>
        <v>0.45575240248342219</v>
      </c>
      <c r="AF1042" s="72">
        <f t="shared" si="611"/>
        <v>0.44999999999999996</v>
      </c>
      <c r="AG1042" s="72">
        <f t="shared" si="612"/>
        <v>0.49</v>
      </c>
      <c r="AH1042" s="72">
        <f t="shared" si="613"/>
        <v>0.50927873926176093</v>
      </c>
      <c r="AI1042" s="72">
        <f t="shared" si="614"/>
        <v>0.24393136160714285</v>
      </c>
      <c r="AJ1042" s="72">
        <f>(AV1042-Driver!$K$179)/(Driver!$L$179-Driver!$K$179)</f>
        <v>2.7072758037225034E-2</v>
      </c>
      <c r="AK1042" s="72">
        <f>(AW1042-Driver!$K$180)/(Driver!$L$180-Driver!$K$180)</f>
        <v>0.44084036605412386</v>
      </c>
      <c r="AL1042" s="72">
        <f>(AX1042-Driver!$K$181)/(Driver!$L$181-Driver!$K$181)</f>
        <v>0.67811294504521602</v>
      </c>
      <c r="AM1042" s="72">
        <f>(AY1042-Driver!$K$182)/(Driver!$L$182-Driver!$K$182)</f>
        <v>3.0399534878701544E-2</v>
      </c>
      <c r="AN1042" s="72">
        <f>(AZ1042-Driver!$K$183)/(Driver!$L$183-Driver!$K$183)</f>
        <v>0.41360294117647056</v>
      </c>
      <c r="AO1042" s="72"/>
      <c r="AP1042" s="72"/>
      <c r="AQ1042" s="72">
        <f>(BC1042-Driver!$K$188)/(Driver!$L$188-Driver!$K$188)</f>
        <v>0.16424759751657783</v>
      </c>
      <c r="AR1042" s="72">
        <f>MIN((BD1042-Driver!$K$189)/(Driver!$L$189-Driver!$K$189),100%)</f>
        <v>1</v>
      </c>
      <c r="AS1042" s="72">
        <f>(BE1042-Driver!$K$190)/(Driver!$L$190-Driver!$K$190)</f>
        <v>1</v>
      </c>
      <c r="AT1042" s="72">
        <f>(BF1042-Driver!$K$191)/(Driver!$L$191-Driver!$K$191)</f>
        <v>7.2126073823908796E-4</v>
      </c>
      <c r="AU1042" s="72">
        <f>(BG1042-Driver!$K$192)/(Driver!$L$192-Driver!$K$192)</f>
        <v>6.0686383928571421E-3</v>
      </c>
      <c r="AV1042" s="70">
        <f t="shared" si="615"/>
        <v>0.5698005698005697</v>
      </c>
      <c r="AW1042" s="70">
        <f t="shared" si="616"/>
        <v>44.835692536451688</v>
      </c>
      <c r="AX1042" s="70">
        <f t="shared" si="617"/>
        <v>7.1030165054069441</v>
      </c>
      <c r="AY1042" s="70">
        <f>IFERROR(Driver!$K$19/Data!BH1042/Data!BI1042*Data!BK1042*Data!BL1042,"")</f>
        <v>3.721810103730383E-2</v>
      </c>
      <c r="AZ1042" s="70">
        <f t="shared" si="618"/>
        <v>37.695457930007443</v>
      </c>
      <c r="BA1042" s="70"/>
      <c r="BB1042" s="70"/>
      <c r="BC1042" s="70">
        <f t="shared" si="619"/>
        <v>85.196370662622272</v>
      </c>
      <c r="BD1042" s="70">
        <f t="shared" si="620"/>
        <v>331.484447605117</v>
      </c>
      <c r="BE1042" s="70">
        <f t="shared" si="621"/>
        <v>1</v>
      </c>
      <c r="BF1042" s="70">
        <f t="shared" si="622"/>
        <v>8.146133324063852E-2</v>
      </c>
      <c r="BG1042" s="70">
        <f t="shared" si="623"/>
        <v>2.2979736328125E-2</v>
      </c>
      <c r="BH1042" s="67">
        <f>MAX((CE1042-Driver!$F$200)/(Driver!$G$200-Driver!$F$200)*$BI$1,1)</f>
        <v>7.1030165054069441</v>
      </c>
      <c r="BI1042" s="67">
        <f>MAX($BI$1*(BY1042-Driver!$F$201)/(Driver!$G$201-Driver!$F$201),1)</f>
        <v>8.5443037974683538</v>
      </c>
      <c r="BJ1042" s="67">
        <f>(CB1042-Driver!$F$206)/(Driver!$G$206-Driver!$F$206)*$BI$1</f>
        <v>0.47619047619047616</v>
      </c>
      <c r="BK1042" s="67">
        <f>(CD1042-Driver!$F$203)/(Driver!$G$203-Driver!$F$203)*$BI$1</f>
        <v>1.5596330275229362</v>
      </c>
      <c r="BL1042" s="67">
        <f>MAX((CR1042-Driver!$F$202)/(Driver!$G$202-Driver!$F$202)*$BI$1,1)</f>
        <v>7.2413793103448274</v>
      </c>
      <c r="BM1042" s="67">
        <f>MAX((CH1042-Driver!$F$204)/(Driver!$G$204-Driver!$F$204)*$BI$1,1)</f>
        <v>4.7863247863247862</v>
      </c>
      <c r="BN1042" s="67">
        <f>(CI1042-Driver!$F$205)/(Driver!$G$205-Driver!$F$205)*$BI$1</f>
        <v>4.4117647058823533</v>
      </c>
      <c r="BO1042" s="67">
        <f>(CK1042-Driver!$F$207)/(Driver!$G$207-Driver!$F$207)*$BI$1</f>
        <v>0.44467425025853152</v>
      </c>
      <c r="BP1042" s="67">
        <f>(CM1042-Driver!$F$208)/(Driver!$G$208-Driver!$F$208)*$BI$1</f>
        <v>0.6</v>
      </c>
      <c r="BQ1042" s="67">
        <f>(CL1042-Driver!$F$209)/(Driver!$G$209-Driver!$F$209)*$BI$1</f>
        <v>0.78125</v>
      </c>
      <c r="BR1042" s="28" t="s">
        <v>155</v>
      </c>
      <c r="BS1042" s="8" t="s">
        <v>156</v>
      </c>
      <c r="BT1042" s="9" t="s">
        <v>800</v>
      </c>
      <c r="BU1042" s="10">
        <v>165</v>
      </c>
      <c r="BV1042" s="9" t="s">
        <v>158</v>
      </c>
      <c r="BW1042" s="10">
        <v>165</v>
      </c>
      <c r="BX1042" s="10">
        <v>163.80000000000001</v>
      </c>
      <c r="BY1042" s="10">
        <v>143</v>
      </c>
      <c r="BZ1042" s="10">
        <v>151</v>
      </c>
      <c r="CA1042" s="10">
        <v>117</v>
      </c>
      <c r="CB1042" s="10">
        <v>67</v>
      </c>
      <c r="CC1042" s="10">
        <v>103</v>
      </c>
      <c r="CD1042" s="10">
        <v>12.8</v>
      </c>
      <c r="CE1042" s="10">
        <v>2148</v>
      </c>
      <c r="CF1042" s="10">
        <v>0.63</v>
      </c>
      <c r="CG1042" s="10">
        <v>1362</v>
      </c>
      <c r="CH1042" s="10">
        <v>213</v>
      </c>
      <c r="CI1042" s="10">
        <v>108</v>
      </c>
      <c r="CJ1042" s="10">
        <v>34</v>
      </c>
      <c r="CK1042" s="10">
        <v>153</v>
      </c>
      <c r="CL1042" s="10">
        <v>5</v>
      </c>
      <c r="CM1042" s="10">
        <v>54</v>
      </c>
      <c r="CN1042" s="10">
        <v>0.16</v>
      </c>
      <c r="CO1042" s="10">
        <v>79</v>
      </c>
      <c r="CP1042" s="10">
        <v>53</v>
      </c>
      <c r="CQ1042" s="10">
        <v>74</v>
      </c>
      <c r="CR1042" s="10">
        <v>10</v>
      </c>
      <c r="CS1042" s="10">
        <v>13.6</v>
      </c>
      <c r="CT1042" s="9" t="s">
        <v>349</v>
      </c>
      <c r="CU1042" s="10"/>
      <c r="CV1042" s="10"/>
      <c r="CW1042" s="10"/>
      <c r="CX1042" t="str">
        <f>INDEX('Data_Price '!AG$2:AG$1266,MATCH(Data!$DN1042,'Data_Price '!$AT$2:$AT$1266,0))</f>
        <v>Atomic Redster S9 + x 14 GW Ski,Unisex Adult, Unisex_Adult</v>
      </c>
      <c r="CY1042" t="str">
        <f>INDEX('Data_Price '!AH$2:AH$1266,MATCH(Data!$DN1042,'Data_Price '!$AT$2:$AT$1266,0))</f>
        <v>eBay - asogear</v>
      </c>
      <c r="CZ1042">
        <f>INDEX('Data_Price '!AI$2:AI$1266,MATCH(Data!$DN1042,'Data_Price '!$AT$2:$AT$1266,0))</f>
        <v>549.99</v>
      </c>
      <c r="DA1042" t="str">
        <f>INDEX('Data_Price '!AJ$2:AJ$1266,MATCH(Data!$DN1042,'Data_Price '!$AT$2:$AT$1266,0))</f>
        <v>https://tinyurl.com/yacsek2o</v>
      </c>
      <c r="DB1042" t="str">
        <f>INDEX('Data_Price '!AK$2:AK$1266,MATCH(Data!$DN1042,'Data_Price '!$AT$2:$AT$1266,0))</f>
        <v>Redster S9 Fis 2022 165cm</v>
      </c>
      <c r="DC1042" t="str">
        <f>INDEX('Data_Price '!AL$2:AL$1266,MATCH(Data!$DN1042,'Data_Price '!$AT$2:$AT$1266,0))</f>
        <v>Suburban Ski and Bike</v>
      </c>
      <c r="DD1042">
        <f>INDEX('Data_Price '!AM$2:AM$1266,MATCH(Data!$DN1042,'Data_Price '!$AT$2:$AT$1266,0))</f>
        <v>749.99</v>
      </c>
      <c r="DE1042" t="str">
        <f>INDEX('Data_Price '!AN$2:AN$1266,MATCH(Data!$DN1042,'Data_Price '!$AT$2:$AT$1266,0))</f>
        <v>https://tinyurl.com/y7p8oosq</v>
      </c>
      <c r="DF1042">
        <f>INDEX('Data_Price '!AO$2:AO$1266,MATCH(Data!$DN1042,'Data_Price '!$AT$2:$AT$1266,0))</f>
        <v>0</v>
      </c>
      <c r="DG1042">
        <f>INDEX('Data_Price '!AP$2:AP$1266,MATCH(Data!$DN1042,'Data_Price '!$AT$2:$AT$1266,0))</f>
        <v>0</v>
      </c>
      <c r="DH1042">
        <f>INDEX('Data_Price '!AQ$2:AQ$1266,MATCH(Data!$DN1042,'Data_Price '!$AT$2:$AT$1266,0))</f>
        <v>0</v>
      </c>
      <c r="DI1042">
        <f>INDEX('Data_Price '!AR$2:AR$1266,MATCH(Data!$DN1042,'Data_Price '!$AT$2:$AT$1266,0))</f>
        <v>0</v>
      </c>
      <c r="DJ1042" s="89" t="str">
        <f t="shared" si="624"/>
        <v>https://tinyurl.com/yacsek2o</v>
      </c>
      <c r="DK1042" s="89" t="str">
        <f t="shared" si="625"/>
        <v>https://tinyurl.com/y7p8oosq</v>
      </c>
      <c r="DL1042" s="89">
        <f t="shared" si="626"/>
        <v>0</v>
      </c>
      <c r="DM1042" s="219" t="str">
        <f t="shared" si="627"/>
        <v>Redster S9 Servo</v>
      </c>
      <c r="DN1042" s="89" t="str">
        <f t="shared" si="628"/>
        <v xml:space="preserve"> AtomicRedster S9 Servo165 Unisex</v>
      </c>
      <c r="DO1042" s="221"/>
    </row>
    <row r="1043" spans="2:119" ht="15.6" customHeight="1">
      <c r="B1043" s="219" t="b">
        <f t="array" ref="B1043">IF(OR(ISERROR(K1043:P1043)),FALSE,TRUE)</f>
        <v>1</v>
      </c>
      <c r="C1043" s="43" t="b">
        <f>OR(BR1043=Driver!$G$50,Data!BR839=Driver!$H$50)</f>
        <v>1</v>
      </c>
      <c r="D1043" s="43" t="b">
        <f>OR(BV1043=Driver!$G$51,BV1043=Driver!$H$51)</f>
        <v>0</v>
      </c>
      <c r="E1043" s="43" t="b">
        <f>AND(BX1043&gt;Driver!$F$54,BX1043&lt;Driver!$G$54)</f>
        <v>1</v>
      </c>
      <c r="F1043" s="43" t="b">
        <f>CL1043&gt;Driver!$F$56</f>
        <v>1</v>
      </c>
      <c r="G1043" s="43" t="b">
        <f>AND(CB1043&gt;Driver!$F$55,CB1043&lt;Driver!$G$55)</f>
        <v>0</v>
      </c>
      <c r="H1043" s="43" t="b">
        <f t="shared" si="592"/>
        <v>0</v>
      </c>
      <c r="I1043" s="43">
        <f t="shared" si="593"/>
        <v>0</v>
      </c>
      <c r="J1043" s="43" t="b">
        <f t="array" ref="J1043">NOT(OR(($H$9:$H$1273=TRUE)*($I$9:$I$1273&gt;0)*($BT$9:$BT$1273=BT1043)*($K$9:$K$1273&gt;K1043)))</f>
        <v>1</v>
      </c>
      <c r="K1043" s="72">
        <f t="shared" si="594"/>
        <v>0.79633091129262246</v>
      </c>
      <c r="L1043" s="72">
        <f t="shared" si="595"/>
        <v>0.80016782784565343</v>
      </c>
      <c r="M1043" s="72">
        <f t="shared" si="596"/>
        <v>0.79249399473959159</v>
      </c>
      <c r="N1043" s="72">
        <f t="shared" si="597"/>
        <v>0.88648508237494072</v>
      </c>
      <c r="O1043" s="72">
        <f t="shared" si="598"/>
        <v>0.66433395818535779</v>
      </c>
      <c r="P1043" s="72">
        <f t="shared" si="599"/>
        <v>0.82666294365847603</v>
      </c>
      <c r="Q1043" s="72"/>
      <c r="R1043" s="72"/>
      <c r="S1043" s="72">
        <f t="shared" si="600"/>
        <v>0.39637466244522568</v>
      </c>
      <c r="T1043" s="72">
        <f t="shared" si="601"/>
        <v>0.45088579906535309</v>
      </c>
      <c r="U1043" s="72">
        <f t="shared" si="602"/>
        <v>0.73562245257497949</v>
      </c>
      <c r="V1043" s="72">
        <f t="shared" si="603"/>
        <v>0.51455211121235334</v>
      </c>
      <c r="W1043" s="72">
        <f t="shared" si="604"/>
        <v>0.72395348837209295</v>
      </c>
      <c r="X1043" s="72">
        <f t="shared" si="605"/>
        <v>0.19983217215434657</v>
      </c>
      <c r="Y1043" s="72">
        <f t="shared" si="606"/>
        <v>0.20750600526040844</v>
      </c>
      <c r="Z1043" s="72">
        <f t="shared" si="607"/>
        <v>0.11351491762505929</v>
      </c>
      <c r="AA1043" s="72">
        <f t="shared" si="608"/>
        <v>0.33566604181464216</v>
      </c>
      <c r="AB1043" s="72">
        <f t="shared" si="609"/>
        <v>0.17333705634152397</v>
      </c>
      <c r="AC1043" s="72"/>
      <c r="AD1043" s="72"/>
      <c r="AE1043" s="72">
        <f t="shared" si="610"/>
        <v>0.60362533755477432</v>
      </c>
      <c r="AF1043" s="72">
        <f t="shared" si="611"/>
        <v>0.54911420093464691</v>
      </c>
      <c r="AG1043" s="72">
        <f t="shared" si="612"/>
        <v>0.26437754742502045</v>
      </c>
      <c r="AH1043" s="72">
        <f t="shared" si="613"/>
        <v>0.48544788878764666</v>
      </c>
      <c r="AI1043" s="72">
        <f t="shared" si="614"/>
        <v>0.27604651162790705</v>
      </c>
      <c r="AJ1043" s="72">
        <f>(AV1043-Driver!$K$179)/(Driver!$L$179-Driver!$K$179)</f>
        <v>5.4387237128353874E-2</v>
      </c>
      <c r="AK1043" s="72">
        <f>(AW1043-Driver!$K$180)/(Driver!$L$180-Driver!$K$180)</f>
        <v>8.7968041213304912E-2</v>
      </c>
      <c r="AL1043" s="72">
        <f>(AX1043-Driver!$K$181)/(Driver!$L$181-Driver!$K$181)</f>
        <v>0.21520268133813947</v>
      </c>
      <c r="AM1043" s="72">
        <f>(AY1043-Driver!$K$182)/(Driver!$L$182-Driver!$K$182)</f>
        <v>0.11171897928240422</v>
      </c>
      <c r="AN1043" s="72">
        <f>(AZ1043-Driver!$K$183)/(Driver!$L$183-Driver!$K$183)</f>
        <v>8.0882352941176461E-2</v>
      </c>
      <c r="AO1043" s="72"/>
      <c r="AP1043" s="72"/>
      <c r="AQ1043" s="72">
        <f>(BC1043-Driver!$K$188)/(Driver!$L$188-Driver!$K$188)</f>
        <v>1.6374662445225709E-2</v>
      </c>
      <c r="AR1043" s="72">
        <f>MIN((BD1043-Driver!$K$189)/(Driver!$L$189-Driver!$K$189),100%)</f>
        <v>8.8579906535316032E-4</v>
      </c>
      <c r="AS1043" s="72">
        <f>(BE1043-Driver!$K$190)/(Driver!$L$190-Driver!$K$190)</f>
        <v>0.24562245257497956</v>
      </c>
      <c r="AT1043" s="72">
        <f>(BF1043-Driver!$K$191)/(Driver!$L$191-Driver!$K$191)</f>
        <v>2.4552111212353369E-2</v>
      </c>
      <c r="AU1043" s="72">
        <f>(BG1043-Driver!$K$192)/(Driver!$L$192-Driver!$K$192)</f>
        <v>0.52604651162790705</v>
      </c>
      <c r="AV1043" s="70">
        <f t="shared" si="615"/>
        <v>1.1446886446886446</v>
      </c>
      <c r="AW1043" s="70">
        <f t="shared" si="616"/>
        <v>10.445157713834771</v>
      </c>
      <c r="AX1043" s="70">
        <f t="shared" si="617"/>
        <v>2.9368241320432551</v>
      </c>
      <c r="AY1043" s="70">
        <f>IFERROR(Driver!$K$19/Data!BH1043/Data!BI1043*Data!BK1043*Data!BL1043,"")</f>
        <v>0.13677736436783841</v>
      </c>
      <c r="AZ1043" s="70">
        <f t="shared" si="618"/>
        <v>7.3715562174236782</v>
      </c>
      <c r="BA1043" s="70"/>
      <c r="BB1043" s="70"/>
      <c r="BC1043" s="70">
        <f t="shared" si="619"/>
        <v>8.4936512451450863</v>
      </c>
      <c r="BD1043" s="70">
        <f t="shared" si="620"/>
        <v>1.7992145318384125</v>
      </c>
      <c r="BE1043" s="70">
        <f t="shared" si="621"/>
        <v>0.2457570250385592</v>
      </c>
      <c r="BF1043" s="70">
        <f t="shared" si="622"/>
        <v>2.7729884730918863</v>
      </c>
      <c r="BG1043" s="70">
        <f t="shared" si="623"/>
        <v>1.9919476744186051</v>
      </c>
      <c r="BH1043" s="67">
        <f>MAX((CE1043-Driver!$F$200)/(Driver!$G$200-Driver!$F$200)*$BI$1,1)</f>
        <v>2.9368241320432551</v>
      </c>
      <c r="BI1043" s="67">
        <f>MAX($BI$1*(BY1043-Driver!$F$201)/(Driver!$G$201-Driver!$F$201),1)</f>
        <v>6.962025316455696</v>
      </c>
      <c r="BJ1043" s="67">
        <f>(CB1043-Driver!$F$206)/(Driver!$G$206-Driver!$F$206)*$BI$1</f>
        <v>4.2857142857142856</v>
      </c>
      <c r="BK1043" s="67">
        <f>(CD1043-Driver!$F$203)/(Driver!$G$203-Driver!$F$203)*$BI$1</f>
        <v>2.3853211009174311</v>
      </c>
      <c r="BL1043" s="67">
        <f>MAX((CR1043-Driver!$F$202)/(Driver!$G$202-Driver!$F$202)*$BI$1,1)</f>
        <v>5.8620689655172411</v>
      </c>
      <c r="BM1043" s="67">
        <f>MAX((CH1043-Driver!$F$204)/(Driver!$G$204-Driver!$F$204)*$BI$1,1)</f>
        <v>1.0683760683760684</v>
      </c>
      <c r="BN1043" s="67">
        <f>(CI1043-Driver!$F$205)/(Driver!$G$205-Driver!$F$205)*$BI$1</f>
        <v>1.0588235294117647</v>
      </c>
      <c r="BO1043" s="67">
        <f>(CK1043-Driver!$F$207)/(Driver!$G$207-Driver!$F$207)*$BI$1</f>
        <v>0.75491209927611169</v>
      </c>
      <c r="BP1043" s="67">
        <f>(CM1043-Driver!$F$208)/(Driver!$G$208-Driver!$F$208)*$BI$1</f>
        <v>2.0444444444444447</v>
      </c>
      <c r="BQ1043" s="67">
        <f>(CL1043-Driver!$F$209)/(Driver!$G$209-Driver!$F$209)*$BI$1</f>
        <v>6.25</v>
      </c>
      <c r="BR1043" s="28" t="s">
        <v>155</v>
      </c>
      <c r="BS1043" s="8" t="s">
        <v>208</v>
      </c>
      <c r="BT1043" s="9" t="s">
        <v>843</v>
      </c>
      <c r="BU1043" s="10">
        <v>155</v>
      </c>
      <c r="BV1043" s="9" t="s">
        <v>163</v>
      </c>
      <c r="BW1043" s="10">
        <v>155</v>
      </c>
      <c r="BX1043" s="10">
        <v>154.4</v>
      </c>
      <c r="BY1043" s="10">
        <v>118</v>
      </c>
      <c r="BZ1043" s="10">
        <v>130</v>
      </c>
      <c r="CA1043" s="10">
        <v>120</v>
      </c>
      <c r="CB1043" s="10">
        <v>91</v>
      </c>
      <c r="CC1043" s="10">
        <v>117</v>
      </c>
      <c r="CD1043" s="10">
        <v>14.6</v>
      </c>
      <c r="CE1043" s="10">
        <v>1416</v>
      </c>
      <c r="CF1043" s="10">
        <v>1.1000000000000001</v>
      </c>
      <c r="CG1043" s="10">
        <v>1559</v>
      </c>
      <c r="CH1043" s="10">
        <v>126</v>
      </c>
      <c r="CI1043" s="10">
        <v>51</v>
      </c>
      <c r="CJ1043" s="10">
        <v>40</v>
      </c>
      <c r="CK1043" s="10">
        <v>183</v>
      </c>
      <c r="CL1043" s="10">
        <v>40</v>
      </c>
      <c r="CM1043" s="10">
        <v>184</v>
      </c>
      <c r="CN1043" s="10">
        <v>0.99199999999999999</v>
      </c>
      <c r="CO1043" s="10">
        <v>119</v>
      </c>
      <c r="CP1043" s="10">
        <v>123</v>
      </c>
      <c r="CQ1043" s="10">
        <v>64</v>
      </c>
      <c r="CR1043" s="10">
        <v>6</v>
      </c>
      <c r="CS1043" s="10">
        <v>3.2</v>
      </c>
      <c r="CT1043" s="9" t="s">
        <v>184</v>
      </c>
      <c r="CU1043" s="9" t="s">
        <v>185</v>
      </c>
      <c r="CV1043" s="10"/>
      <c r="CW1043" s="10"/>
      <c r="CX1043" t="str">
        <f>INDEX('Data_Price '!AG$2:AG$1266,MATCH(Data!$DN1043,'Data_Price '!$AT$2:$AT$1266,0))</f>
        <v>Line Honey Bee Skis</v>
      </c>
      <c r="CY1043" t="str">
        <f>INDEX('Data_Price '!AH$2:AH$1266,MATCH(Data!$DN1043,'Data_Price '!$AT$2:$AT$1266,0))</f>
        <v>LINE Skis</v>
      </c>
      <c r="CZ1043">
        <f>INDEX('Data_Price '!AI$2:AI$1266,MATCH(Data!$DN1043,'Data_Price '!$AT$2:$AT$1266,0))</f>
        <v>349.95</v>
      </c>
      <c r="DA1043" t="str">
        <f>INDEX('Data_Price '!AJ$2:AJ$1266,MATCH(Data!$DN1043,'Data_Price '!$AT$2:$AT$1266,0))</f>
        <v>https://tinyurl.com/y9cdw86u</v>
      </c>
      <c r="DB1043">
        <f>INDEX('Data_Price '!AK$2:AK$1266,MATCH(Data!$DN1043,'Data_Price '!$AT$2:$AT$1266,0))</f>
        <v>0</v>
      </c>
      <c r="DC1043">
        <f>INDEX('Data_Price '!AL$2:AL$1266,MATCH(Data!$DN1043,'Data_Price '!$AT$2:$AT$1266,0))</f>
        <v>0</v>
      </c>
      <c r="DD1043">
        <f>INDEX('Data_Price '!AM$2:AM$1266,MATCH(Data!$DN1043,'Data_Price '!$AT$2:$AT$1266,0))</f>
        <v>0</v>
      </c>
      <c r="DE1043">
        <f>INDEX('Data_Price '!AN$2:AN$1266,MATCH(Data!$DN1043,'Data_Price '!$AT$2:$AT$1266,0))</f>
        <v>0</v>
      </c>
      <c r="DF1043">
        <f>INDEX('Data_Price '!AO$2:AO$1266,MATCH(Data!$DN1043,'Data_Price '!$AT$2:$AT$1266,0))</f>
        <v>0</v>
      </c>
      <c r="DG1043">
        <f>INDEX('Data_Price '!AP$2:AP$1266,MATCH(Data!$DN1043,'Data_Price '!$AT$2:$AT$1266,0))</f>
        <v>0</v>
      </c>
      <c r="DH1043">
        <f>INDEX('Data_Price '!AQ$2:AQ$1266,MATCH(Data!$DN1043,'Data_Price '!$AT$2:$AT$1266,0))</f>
        <v>0</v>
      </c>
      <c r="DI1043">
        <f>INDEX('Data_Price '!AR$2:AR$1266,MATCH(Data!$DN1043,'Data_Price '!$AT$2:$AT$1266,0))</f>
        <v>0</v>
      </c>
      <c r="DJ1043" s="89" t="str">
        <f t="shared" si="624"/>
        <v>https://tinyurl.com/y9cdw86u</v>
      </c>
      <c r="DK1043" s="89">
        <f t="shared" si="625"/>
        <v>0</v>
      </c>
      <c r="DL1043" s="89">
        <f t="shared" si="626"/>
        <v>0</v>
      </c>
      <c r="DM1043" s="219" t="str">
        <f t="shared" si="627"/>
        <v>Honey Bee</v>
      </c>
      <c r="DN1043" s="89" t="str">
        <f t="shared" si="628"/>
        <v xml:space="preserve"> LineHoney Bee155 Women's</v>
      </c>
      <c r="DO1043" s="221" t="s">
        <v>844</v>
      </c>
    </row>
    <row r="1044" spans="2:119" ht="15.6" customHeight="1">
      <c r="B1044" s="219" t="b">
        <f t="array" ref="B1044">IF(OR(ISERROR(K1044:P1044)),FALSE,TRUE)</f>
        <v>1</v>
      </c>
      <c r="C1044" s="43" t="b">
        <f>OR(BR1044=Driver!$G$50,Data!BR340=Driver!$H$50)</f>
        <v>1</v>
      </c>
      <c r="D1044" s="43" t="b">
        <f>OR(BV1044=Driver!$G$51,BV1044=Driver!$H$51)</f>
        <v>1</v>
      </c>
      <c r="E1044" s="43" t="b">
        <f>AND(BX1044&gt;Driver!$F$54,BX1044&lt;Driver!$G$54)</f>
        <v>0</v>
      </c>
      <c r="F1044" s="43" t="b">
        <f>CL1044&gt;Driver!$F$56</f>
        <v>1</v>
      </c>
      <c r="G1044" s="43" t="b">
        <f>AND(CB1044&gt;Driver!$F$55,CB1044&lt;Driver!$G$55)</f>
        <v>1</v>
      </c>
      <c r="H1044" s="43" t="b">
        <f t="shared" si="592"/>
        <v>0</v>
      </c>
      <c r="I1044" s="43">
        <f t="shared" si="593"/>
        <v>2</v>
      </c>
      <c r="J1044" s="43" t="b">
        <f t="array" ref="J1044">NOT(OR(($H$9:$H$1273=TRUE)*($I$9:$I$1273&gt;0)*($BT$9:$BT$1273=BT1044)*($K$9:$K$1273&gt;K1044)))</f>
        <v>0</v>
      </c>
      <c r="K1044" s="72">
        <f t="shared" si="594"/>
        <v>0.67131010387850354</v>
      </c>
      <c r="L1044" s="72">
        <f t="shared" si="595"/>
        <v>0.70261196427424033</v>
      </c>
      <c r="M1044" s="72">
        <f t="shared" si="596"/>
        <v>0.64000824348276675</v>
      </c>
      <c r="N1044" s="72">
        <f t="shared" si="597"/>
        <v>0.5140067417691101</v>
      </c>
      <c r="O1044" s="72">
        <f t="shared" si="598"/>
        <v>0.65735413495204542</v>
      </c>
      <c r="P1044" s="72">
        <f t="shared" si="599"/>
        <v>0.74866385372714483</v>
      </c>
      <c r="Q1044" s="72"/>
      <c r="R1044" s="72"/>
      <c r="S1044" s="72">
        <f t="shared" si="600"/>
        <v>0.53149998600725046</v>
      </c>
      <c r="T1044" s="72">
        <f t="shared" si="601"/>
        <v>0.5468436335303154</v>
      </c>
      <c r="U1044" s="72">
        <f t="shared" si="602"/>
        <v>0.56431227204380441</v>
      </c>
      <c r="V1044" s="72">
        <f t="shared" si="603"/>
        <v>0.54997382437009368</v>
      </c>
      <c r="W1044" s="72">
        <f t="shared" si="604"/>
        <v>0.77166365932876224</v>
      </c>
      <c r="X1044" s="72">
        <f t="shared" si="605"/>
        <v>0.29738803572575973</v>
      </c>
      <c r="Y1044" s="72">
        <f t="shared" si="606"/>
        <v>0.3599917565172332</v>
      </c>
      <c r="Z1044" s="72">
        <f t="shared" si="607"/>
        <v>0.4859932582308899</v>
      </c>
      <c r="AA1044" s="72">
        <f t="shared" si="608"/>
        <v>0.34264586504795458</v>
      </c>
      <c r="AB1044" s="72">
        <f t="shared" si="609"/>
        <v>0.25133614627285511</v>
      </c>
      <c r="AC1044" s="72"/>
      <c r="AD1044" s="72"/>
      <c r="AE1044" s="72">
        <f t="shared" si="610"/>
        <v>0.46850001399274954</v>
      </c>
      <c r="AF1044" s="72">
        <f t="shared" si="611"/>
        <v>0.4531563664696846</v>
      </c>
      <c r="AG1044" s="72">
        <f t="shared" si="612"/>
        <v>0.43568772795619559</v>
      </c>
      <c r="AH1044" s="72">
        <f t="shared" si="613"/>
        <v>0.45002617562990632</v>
      </c>
      <c r="AI1044" s="72">
        <f t="shared" si="614"/>
        <v>0.22833634067123781</v>
      </c>
      <c r="AJ1044" s="72">
        <f>(AV1044-Driver!$K$179)/(Driver!$L$179-Driver!$K$179)</f>
        <v>0.55160744500846015</v>
      </c>
      <c r="AK1044" s="72">
        <f>(AW1044-Driver!$K$180)/(Driver!$L$180-Driver!$K$180)</f>
        <v>0.51941319088973847</v>
      </c>
      <c r="AL1044" s="72">
        <f>(AX1044-Driver!$K$181)/(Driver!$L$181-Driver!$K$181)</f>
        <v>0.58768102194397009</v>
      </c>
      <c r="AM1044" s="72">
        <f>(AY1044-Driver!$K$182)/(Driver!$L$182-Driver!$K$182)</f>
        <v>0.10473915604909176</v>
      </c>
      <c r="AN1044" s="72">
        <f>(AZ1044-Driver!$K$183)/(Driver!$L$183-Driver!$K$183)</f>
        <v>0.50555555555555554</v>
      </c>
      <c r="AO1044" s="72"/>
      <c r="AP1044" s="72"/>
      <c r="AQ1044" s="72">
        <f>(BC1044-Driver!$K$188)/(Driver!$L$188-Driver!$K$188)</f>
        <v>0.15149998600725045</v>
      </c>
      <c r="AR1044" s="72">
        <f>MIN((BD1044-Driver!$K$189)/(Driver!$L$189-Driver!$K$189),100%)</f>
        <v>9.6843633530315415E-2</v>
      </c>
      <c r="AS1044" s="72">
        <f>(BE1044-Driver!$K$190)/(Driver!$L$190-Driver!$K$190)</f>
        <v>7.4312272043804389E-2</v>
      </c>
      <c r="AT1044" s="72">
        <f>(BF1044-Driver!$K$191)/(Driver!$L$191-Driver!$K$191)</f>
        <v>5.997382437009368E-2</v>
      </c>
      <c r="AU1044" s="72">
        <f>(BG1044-Driver!$K$192)/(Driver!$L$192-Driver!$K$192)</f>
        <v>2.1663659328762182E-2</v>
      </c>
      <c r="AV1044" s="70">
        <f t="shared" si="615"/>
        <v>11.609686609686609</v>
      </c>
      <c r="AW1044" s="70">
        <f t="shared" si="616"/>
        <v>52.493310542736353</v>
      </c>
      <c r="AX1044" s="70">
        <f t="shared" si="617"/>
        <v>6.2891291974957308</v>
      </c>
      <c r="AY1044" s="70">
        <f>IFERROR(Driver!$K$19/Data!BH1044/Data!BI1044*Data!BK1044*Data!BL1044,"")</f>
        <v>0.12823197815201354</v>
      </c>
      <c r="AZ1044" s="70">
        <f t="shared" si="618"/>
        <v>46.075949367088612</v>
      </c>
      <c r="BA1044" s="70"/>
      <c r="BB1044" s="70"/>
      <c r="BC1044" s="70">
        <f t="shared" si="619"/>
        <v>78.584095952776678</v>
      </c>
      <c r="BD1044" s="70">
        <f t="shared" si="620"/>
        <v>10.291312854765939</v>
      </c>
      <c r="BE1044" s="70">
        <f t="shared" si="621"/>
        <v>7.4477404315412596E-2</v>
      </c>
      <c r="BF1044" s="70">
        <f t="shared" si="622"/>
        <v>6.7736221226397015</v>
      </c>
      <c r="BG1044" s="70">
        <f t="shared" si="623"/>
        <v>8.2032434139299906E-2</v>
      </c>
      <c r="BH1044" s="67">
        <f>MAX((CE1044-Driver!$F$200)/(Driver!$G$200-Driver!$F$200)*$BI$1,1)</f>
        <v>6.2891291974957308</v>
      </c>
      <c r="BI1044" s="67">
        <f>MAX($BI$1*(BY1044-Driver!$F$201)/(Driver!$G$201-Driver!$F$201),1)</f>
        <v>7.5316455696202533</v>
      </c>
      <c r="BJ1044" s="67">
        <f>(CB1044-Driver!$F$206)/(Driver!$G$206-Driver!$F$206)*$BI$1</f>
        <v>6.6666666666666661</v>
      </c>
      <c r="BK1044" s="67">
        <f>(CD1044-Driver!$F$203)/(Driver!$G$203-Driver!$F$203)*$BI$1</f>
        <v>4.4036697247706424</v>
      </c>
      <c r="BL1044" s="67">
        <f>MAX((CR1044-Driver!$F$202)/(Driver!$G$202-Driver!$F$202)*$BI$1,1)</f>
        <v>6.8965517241379315</v>
      </c>
      <c r="BM1044" s="67">
        <f>MAX((CH1044-Driver!$F$204)/(Driver!$G$204-Driver!$F$204)*$BI$1,1)</f>
        <v>6.9658119658119659</v>
      </c>
      <c r="BN1044" s="67">
        <f>(CI1044-Driver!$F$205)/(Driver!$G$205-Driver!$F$205)*$BI$1</f>
        <v>6.1176470588235299</v>
      </c>
      <c r="BO1044" s="67">
        <f>(CK1044-Driver!$F$207)/(Driver!$G$207-Driver!$F$207)*$BI$1</f>
        <v>1.8304033092037229</v>
      </c>
      <c r="BP1044" s="67">
        <f>(CM1044-Driver!$F$208)/(Driver!$G$208-Driver!$F$208)*$BI$1</f>
        <v>2.4444444444444442</v>
      </c>
      <c r="BQ1044" s="67">
        <f>(CL1044-Driver!$F$209)/(Driver!$G$209-Driver!$F$209)*$BI$1</f>
        <v>3.59375</v>
      </c>
      <c r="BR1044" s="28" t="s">
        <v>155</v>
      </c>
      <c r="BS1044" s="8" t="s">
        <v>218</v>
      </c>
      <c r="BT1044" s="9" t="s">
        <v>250</v>
      </c>
      <c r="BU1044" s="10">
        <v>179</v>
      </c>
      <c r="BV1044" s="9" t="s">
        <v>158</v>
      </c>
      <c r="BW1044" s="10">
        <v>179</v>
      </c>
      <c r="BX1044" s="10">
        <v>177.3</v>
      </c>
      <c r="BY1044" s="10">
        <v>127</v>
      </c>
      <c r="BZ1044" s="10">
        <v>138</v>
      </c>
      <c r="CA1044" s="10">
        <v>137</v>
      </c>
      <c r="CB1044" s="10">
        <v>106</v>
      </c>
      <c r="CC1044" s="10">
        <v>121</v>
      </c>
      <c r="CD1044" s="10">
        <v>19</v>
      </c>
      <c r="CE1044" s="10">
        <v>2005</v>
      </c>
      <c r="CF1044" s="10">
        <v>1.02</v>
      </c>
      <c r="CG1044" s="10">
        <v>2052</v>
      </c>
      <c r="CH1044" s="10">
        <v>264</v>
      </c>
      <c r="CI1044" s="10">
        <v>137</v>
      </c>
      <c r="CJ1044" s="10">
        <v>47</v>
      </c>
      <c r="CK1044" s="10">
        <v>287</v>
      </c>
      <c r="CL1044" s="10">
        <v>23</v>
      </c>
      <c r="CM1044" s="10">
        <v>220</v>
      </c>
      <c r="CN1044" s="10">
        <v>0.499</v>
      </c>
      <c r="CO1044" s="10">
        <v>202</v>
      </c>
      <c r="CP1044" s="10">
        <v>188</v>
      </c>
      <c r="CQ1044" s="10">
        <v>86</v>
      </c>
      <c r="CR1044" s="10">
        <v>9</v>
      </c>
      <c r="CS1044" s="10">
        <v>11.8</v>
      </c>
      <c r="CT1044" s="9" t="s">
        <v>169</v>
      </c>
      <c r="CU1044" s="10"/>
      <c r="CV1044" s="10"/>
      <c r="CW1044" s="10"/>
      <c r="CX1044" t="str">
        <f>INDEX('Data_Price '!AG$2:AG$1266,MATCH(Data!$DN1044,'Data_Price '!$AT$2:$AT$1266,0))</f>
        <v>DPS Pagoda Tour 106 C2 Skis Â· 2022 Â· 179 cm</v>
      </c>
      <c r="CY1044" t="str">
        <f>INDEX('Data_Price '!AH$2:AH$1266,MATCH(Data!$DN1044,'Data_Price '!$AT$2:$AT$1266,0))</f>
        <v>Backcountry.com</v>
      </c>
      <c r="CZ1044">
        <f>INDEX('Data_Price '!AI$2:AI$1266,MATCH(Data!$DN1044,'Data_Price '!$AT$2:$AT$1266,0))</f>
        <v>1039.2</v>
      </c>
      <c r="DA1044" t="str">
        <f>INDEX('Data_Price '!AJ$2:AJ$1266,MATCH(Data!$DN1044,'Data_Price '!$AT$2:$AT$1266,0))</f>
        <v>https://tinyurl.com/yc3lubyw</v>
      </c>
      <c r="DB1044" t="str">
        <f>INDEX('Data_Price '!AK$2:AK$1266,MATCH(Data!$DN1044,'Data_Price '!$AT$2:$AT$1266,0))</f>
        <v>DPS Pagoda Tour 106 C2 Skis Â· 2022 Â· 179 cm</v>
      </c>
      <c r="DC1044" t="str">
        <f>INDEX('Data_Price '!AL$2:AL$1266,MATCH(Data!$DN1044,'Data_Price '!$AT$2:$AT$1266,0))</f>
        <v>Skimo &amp; SkyRun</v>
      </c>
      <c r="DD1044">
        <f>INDEX('Data_Price '!AM$2:AM$1266,MATCH(Data!$DN1044,'Data_Price '!$AT$2:$AT$1266,0))</f>
        <v>1098.95</v>
      </c>
      <c r="DE1044" t="str">
        <f>INDEX('Data_Price '!AN$2:AN$1266,MATCH(Data!$DN1044,'Data_Price '!$AT$2:$AT$1266,0))</f>
        <v>https://tinyurl.com/ybejbh6x</v>
      </c>
      <c r="DF1044" t="str">
        <f>INDEX('Data_Price '!AO$2:AO$1266,MATCH(Data!$DN1044,'Data_Price '!$AT$2:$AT$1266,0))</f>
        <v>2022 DPS Pagoda 106 C2 Skis w/ Tyrolia Attack2 13 GW Bindings - Purple - 179| Ski Essentials</v>
      </c>
      <c r="DG1044" t="str">
        <f>INDEX('Data_Price '!AP$2:AP$1266,MATCH(Data!$DN1044,'Data_Price '!$AT$2:$AT$1266,0))</f>
        <v>SkiEssentials.com</v>
      </c>
      <c r="DH1044">
        <f>INDEX('Data_Price '!AQ$2:AQ$1266,MATCH(Data!$DN1044,'Data_Price '!$AT$2:$AT$1266,0))</f>
        <v>1214</v>
      </c>
      <c r="DI1044" t="str">
        <f>INDEX('Data_Price '!AR$2:AR$1266,MATCH(Data!$DN1044,'Data_Price '!$AT$2:$AT$1266,0))</f>
        <v>https://tinyurl.com/y7qb3t2x</v>
      </c>
      <c r="DJ1044" s="89" t="str">
        <f t="shared" si="624"/>
        <v>https://tinyurl.com/yc3lubyw</v>
      </c>
      <c r="DK1044" s="89" t="str">
        <f t="shared" si="625"/>
        <v>https://tinyurl.com/ybejbh6x</v>
      </c>
      <c r="DL1044" s="89" t="str">
        <f t="shared" si="626"/>
        <v>https://tinyurl.com/y7qb3t2x</v>
      </c>
      <c r="DM1044" s="219" t="str">
        <f t="shared" si="627"/>
        <v>Pagoda 106 C2</v>
      </c>
      <c r="DN1044" s="89" t="str">
        <f t="shared" si="628"/>
        <v xml:space="preserve"> DPSPagoda 106 C2179 Unisex</v>
      </c>
      <c r="DO1044" s="221" t="s">
        <v>251</v>
      </c>
    </row>
    <row r="1045" spans="2:119" ht="15.6" customHeight="1">
      <c r="B1045" s="219" t="b">
        <f t="array" ref="B1045">IF(OR(ISERROR(K1045:P1045)),FALSE,TRUE)</f>
        <v>1</v>
      </c>
      <c r="C1045" s="43" t="b">
        <f>OR(BR1045=Driver!$G$50,Data!BR662=Driver!$H$50)</f>
        <v>1</v>
      </c>
      <c r="D1045" s="43" t="b">
        <f>OR(BV1045=Driver!$G$51,BV1045=Driver!$H$51)</f>
        <v>1</v>
      </c>
      <c r="E1045" s="43" t="b">
        <f>AND(BX1045&gt;Driver!$F$54,BX1045&lt;Driver!$G$54)</f>
        <v>1</v>
      </c>
      <c r="F1045" s="43" t="b">
        <f>CL1045&gt;Driver!$F$56</f>
        <v>1</v>
      </c>
      <c r="G1045" s="43" t="b">
        <f>AND(CB1045&gt;Driver!$F$55,CB1045&lt;Driver!$G$55)</f>
        <v>0</v>
      </c>
      <c r="H1045" s="43" t="b">
        <f t="shared" si="592"/>
        <v>0</v>
      </c>
      <c r="I1045" s="43">
        <f t="shared" si="593"/>
        <v>0</v>
      </c>
      <c r="J1045" s="43" t="b">
        <f t="array" ref="J1045">NOT(OR(($H$9:$H$1273=TRUE)*($I$9:$I$1273&gt;0)*($BT$9:$BT$1273=BT1045)*($K$9:$K$1273&gt;K1045)))</f>
        <v>1</v>
      </c>
      <c r="K1045" s="72">
        <f t="shared" si="594"/>
        <v>0.76692643413367356</v>
      </c>
      <c r="L1045" s="72">
        <f t="shared" si="595"/>
        <v>0.80540511734690234</v>
      </c>
      <c r="M1045" s="72">
        <f t="shared" si="596"/>
        <v>0.72844775092044478</v>
      </c>
      <c r="N1045" s="72">
        <f t="shared" si="597"/>
        <v>0.77834620929582865</v>
      </c>
      <c r="O1045" s="72">
        <f t="shared" si="598"/>
        <v>0.60100403444755246</v>
      </c>
      <c r="P1045" s="72">
        <f t="shared" si="599"/>
        <v>0.80599300901795323</v>
      </c>
      <c r="Q1045" s="72"/>
      <c r="R1045" s="72"/>
      <c r="S1045" s="72">
        <f t="shared" si="600"/>
        <v>0.39040032598393859</v>
      </c>
      <c r="T1045" s="72">
        <f t="shared" si="601"/>
        <v>0.99423107081775053</v>
      </c>
      <c r="U1045" s="72">
        <f t="shared" si="602"/>
        <v>0.51</v>
      </c>
      <c r="V1045" s="72">
        <f t="shared" si="603"/>
        <v>0.49242514058156761</v>
      </c>
      <c r="W1045" s="72">
        <f t="shared" si="604"/>
        <v>0.7800336362563437</v>
      </c>
      <c r="X1045" s="72">
        <f t="shared" si="605"/>
        <v>0.19459488265309766</v>
      </c>
      <c r="Y1045" s="72">
        <f t="shared" si="606"/>
        <v>0.27155224907955527</v>
      </c>
      <c r="Z1045" s="72">
        <f t="shared" si="607"/>
        <v>0.22165379070417141</v>
      </c>
      <c r="AA1045" s="72">
        <f t="shared" si="608"/>
        <v>0.3989959655524476</v>
      </c>
      <c r="AB1045" s="72">
        <f t="shared" si="609"/>
        <v>0.19400699098204682</v>
      </c>
      <c r="AC1045" s="72"/>
      <c r="AD1045" s="72"/>
      <c r="AE1045" s="72">
        <f t="shared" si="610"/>
        <v>0.60959967401606141</v>
      </c>
      <c r="AF1045" s="72">
        <f t="shared" si="611"/>
        <v>5.7689291822494715E-3</v>
      </c>
      <c r="AG1045" s="72">
        <f t="shared" si="612"/>
        <v>0.49</v>
      </c>
      <c r="AH1045" s="72">
        <f t="shared" si="613"/>
        <v>0.50757485941843239</v>
      </c>
      <c r="AI1045" s="72">
        <f t="shared" si="614"/>
        <v>0.21996636374365633</v>
      </c>
      <c r="AJ1045" s="72">
        <f>(AV1045-Driver!$K$179)/(Driver!$L$179-Driver!$K$179)</f>
        <v>5.9624526629602756E-2</v>
      </c>
      <c r="AK1045" s="72">
        <f>(AW1045-Driver!$K$180)/(Driver!$L$180-Driver!$K$180)</f>
        <v>7.7829127213264279E-2</v>
      </c>
      <c r="AL1045" s="72">
        <f>(AX1045-Driver!$K$181)/(Driver!$L$181-Driver!$K$181)</f>
        <v>0.3233415544172516</v>
      </c>
      <c r="AM1045" s="72">
        <f>(AY1045-Driver!$K$182)/(Driver!$L$182-Driver!$K$182)</f>
        <v>4.8389055544598776E-2</v>
      </c>
      <c r="AN1045" s="72">
        <f>(AZ1045-Driver!$K$183)/(Driver!$L$183-Driver!$K$183)</f>
        <v>6.0212418300653603E-2</v>
      </c>
      <c r="AO1045" s="72"/>
      <c r="AP1045" s="72"/>
      <c r="AQ1045" s="72">
        <f>(BC1045-Driver!$K$188)/(Driver!$L$188-Driver!$K$188)</f>
        <v>1.0400325983938545E-2</v>
      </c>
      <c r="AR1045" s="72">
        <f>MIN((BD1045-Driver!$K$189)/(Driver!$L$189-Driver!$K$189),100%)</f>
        <v>0.54423107081775057</v>
      </c>
      <c r="AS1045" s="72">
        <f>(BE1045-Driver!$K$190)/(Driver!$L$190-Driver!$K$190)</f>
        <v>1</v>
      </c>
      <c r="AT1045" s="72">
        <f>(BF1045-Driver!$K$191)/(Driver!$L$191-Driver!$K$191)</f>
        <v>2.425140581567611E-3</v>
      </c>
      <c r="AU1045" s="72">
        <f>(BG1045-Driver!$K$192)/(Driver!$L$192-Driver!$K$192)</f>
        <v>3.0033636256343674E-2</v>
      </c>
      <c r="AV1045" s="70">
        <f t="shared" si="615"/>
        <v>1.254917921584588</v>
      </c>
      <c r="AW1045" s="70">
        <f t="shared" si="616"/>
        <v>9.4570307046134978</v>
      </c>
      <c r="AX1045" s="70">
        <f t="shared" si="617"/>
        <v>3.9100739897552645</v>
      </c>
      <c r="AY1045" s="70">
        <f>IFERROR(Driver!$K$19/Data!BH1045/Data!BI1045*Data!BK1045*Data!BL1045,"")</f>
        <v>5.9242641887273122E-2</v>
      </c>
      <c r="AZ1045" s="70">
        <f t="shared" si="618"/>
        <v>5.4877140729709613</v>
      </c>
      <c r="BA1045" s="70"/>
      <c r="BB1045" s="70"/>
      <c r="BC1045" s="70">
        <f t="shared" si="619"/>
        <v>5.394721389762168</v>
      </c>
      <c r="BD1045" s="70">
        <f t="shared" si="620"/>
        <v>49.884308331073001</v>
      </c>
      <c r="BE1045" s="70">
        <f t="shared" si="621"/>
        <v>1</v>
      </c>
      <c r="BF1045" s="70">
        <f t="shared" si="622"/>
        <v>0.27390259111121651</v>
      </c>
      <c r="BG1045" s="70">
        <f t="shared" si="623"/>
        <v>0.11372650625516345</v>
      </c>
      <c r="BH1045" s="67">
        <f>MAX((CE1045-Driver!$F$200)/(Driver!$G$200-Driver!$F$200)*$BI$1,1)</f>
        <v>3.9100739897552645</v>
      </c>
      <c r="BI1045" s="67">
        <f>MAX($BI$1*(BY1045-Driver!$F$201)/(Driver!$G$201-Driver!$F$201),1)</f>
        <v>8.4810126582278489</v>
      </c>
      <c r="BJ1045" s="67">
        <f>(CB1045-Driver!$F$206)/(Driver!$G$206-Driver!$F$206)*$BI$1</f>
        <v>1.5873015873015872</v>
      </c>
      <c r="BK1045" s="67">
        <f>(CD1045-Driver!$F$203)/(Driver!$G$203-Driver!$F$203)*$BI$1</f>
        <v>1.238532110091743</v>
      </c>
      <c r="BL1045" s="67">
        <f>MAX((CR1045-Driver!$F$202)/(Driver!$G$202-Driver!$F$202)*$BI$1,1)</f>
        <v>7.931034482758621</v>
      </c>
      <c r="BM1045" s="67">
        <f>MAX((CH1045-Driver!$F$204)/(Driver!$G$204-Driver!$F$204)*$BI$1,1)</f>
        <v>3.1623931623931623</v>
      </c>
      <c r="BN1045" s="67">
        <f>(CI1045-Driver!$F$205)/(Driver!$G$205-Driver!$F$205)*$BI$1</f>
        <v>0.6470588235294118</v>
      </c>
      <c r="BO1045" s="67">
        <f>(CK1045-Driver!$F$207)/(Driver!$G$207-Driver!$F$207)*$BI$1</f>
        <v>0.31023784901758011</v>
      </c>
      <c r="BP1045" s="67">
        <f>(CM1045-Driver!$F$208)/(Driver!$G$208-Driver!$F$208)*$BI$1</f>
        <v>0.68888888888888888</v>
      </c>
      <c r="BQ1045" s="67">
        <f>(CL1045-Driver!$F$209)/(Driver!$G$209-Driver!$F$209)*$BI$1</f>
        <v>1.40625</v>
      </c>
      <c r="BR1045" s="28" t="s">
        <v>155</v>
      </c>
      <c r="BS1045" s="8" t="s">
        <v>167</v>
      </c>
      <c r="BT1045" s="9" t="s">
        <v>816</v>
      </c>
      <c r="BU1045" s="10">
        <v>163</v>
      </c>
      <c r="BV1045" s="9" t="s">
        <v>158</v>
      </c>
      <c r="BW1045" s="10">
        <v>163</v>
      </c>
      <c r="BX1045" s="10">
        <v>162.5</v>
      </c>
      <c r="BY1045" s="10">
        <v>142</v>
      </c>
      <c r="BZ1045" s="10">
        <v>149</v>
      </c>
      <c r="CA1045" s="10">
        <v>129</v>
      </c>
      <c r="CB1045" s="10">
        <v>74</v>
      </c>
      <c r="CC1045" s="10">
        <v>110</v>
      </c>
      <c r="CD1045" s="10">
        <v>12.1</v>
      </c>
      <c r="CE1045" s="10">
        <v>1587</v>
      </c>
      <c r="CF1045" s="10">
        <v>0.93</v>
      </c>
      <c r="CG1045" s="10">
        <v>1476</v>
      </c>
      <c r="CH1045" s="10">
        <v>175</v>
      </c>
      <c r="CI1045" s="10">
        <v>44</v>
      </c>
      <c r="CJ1045" s="10">
        <v>37</v>
      </c>
      <c r="CK1045" s="10">
        <v>140</v>
      </c>
      <c r="CL1045" s="10">
        <v>9</v>
      </c>
      <c r="CM1045" s="10">
        <v>62</v>
      </c>
      <c r="CN1045" s="10">
        <v>0.23300000000000001</v>
      </c>
      <c r="CO1045" s="10">
        <v>83</v>
      </c>
      <c r="CP1045" s="10">
        <v>56</v>
      </c>
      <c r="CQ1045" s="10">
        <v>57</v>
      </c>
      <c r="CR1045" s="10">
        <v>12</v>
      </c>
      <c r="CS1045" s="10">
        <v>12.4</v>
      </c>
      <c r="CT1045" s="9" t="s">
        <v>349</v>
      </c>
      <c r="CU1045" s="10"/>
      <c r="CV1045" s="10"/>
      <c r="CW1045" s="10"/>
      <c r="CX1045" t="str">
        <f>INDEX('Data_Price '!AG$2:AG$1266,MATCH(Data!$DN1045,'Data_Price '!$AT$2:$AT$1266,0))</f>
        <v>Head V-Shape V8 SW LYT Skis + PR 11 GW Bindings (21/22)</v>
      </c>
      <c r="CY1045" t="str">
        <f>INDEX('Data_Price '!AH$2:AH$1266,MATCH(Data!$DN1045,'Data_Price '!$AT$2:$AT$1266,0))</f>
        <v>Snowcountry.eu</v>
      </c>
      <c r="CZ1045">
        <f>INDEX('Data_Price '!AI$2:AI$1266,MATCH(Data!$DN1045,'Data_Price '!$AT$2:$AT$1266,0))</f>
        <v>478.43</v>
      </c>
      <c r="DA1045" t="str">
        <f>INDEX('Data_Price '!AJ$2:AJ$1266,MATCH(Data!$DN1045,'Data_Price '!$AT$2:$AT$1266,0))</f>
        <v>https://tinyurl.com/yapd7wpu</v>
      </c>
      <c r="DB1045" t="str">
        <f>INDEX('Data_Price '!AK$2:AK$1266,MATCH(Data!$DN1045,'Data_Price '!$AT$2:$AT$1266,0))</f>
        <v>Head V-Shape V8 SW LYT Skis + PR 11 GW Bindings (21/22)</v>
      </c>
      <c r="DC1045" t="str">
        <f>INDEX('Data_Price '!AL$2:AL$1266,MATCH(Data!$DN1045,'Data_Price '!$AT$2:$AT$1266,0))</f>
        <v>The-House.com</v>
      </c>
      <c r="DD1045">
        <f>INDEX('Data_Price '!AM$2:AM$1266,MATCH(Data!$DN1045,'Data_Price '!$AT$2:$AT$1266,0))</f>
        <v>600</v>
      </c>
      <c r="DE1045" t="str">
        <f>INDEX('Data_Price '!AN$2:AN$1266,MATCH(Data!$DN1045,'Data_Price '!$AT$2:$AT$1266,0))</f>
        <v>https://tinyurl.com/yd64j7q3</v>
      </c>
      <c r="DF1045" t="str">
        <f>INDEX('Data_Price '!AO$2:AO$1266,MATCH(Data!$DN1045,'Data_Price '!$AT$2:$AT$1266,0))</f>
        <v>Head V-Shape V8 SW LYT Skis + PR 11 GW Bindings (21/22)</v>
      </c>
      <c r="DG1045" t="str">
        <f>INDEX('Data_Price '!AP$2:AP$1266,MATCH(Data!$DN1045,'Data_Price '!$AT$2:$AT$1266,0))</f>
        <v>Walmart - WEBY Corporation</v>
      </c>
      <c r="DH1045">
        <f>INDEX('Data_Price '!AQ$2:AQ$1266,MATCH(Data!$DN1045,'Data_Price '!$AT$2:$AT$1266,0))</f>
        <v>636</v>
      </c>
      <c r="DI1045" t="str">
        <f>INDEX('Data_Price '!AR$2:AR$1266,MATCH(Data!$DN1045,'Data_Price '!$AT$2:$AT$1266,0))</f>
        <v>https://tinyurl.com/ybdrjhz5</v>
      </c>
      <c r="DJ1045" s="89" t="str">
        <f t="shared" si="624"/>
        <v>https://tinyurl.com/yapd7wpu</v>
      </c>
      <c r="DK1045" s="89" t="str">
        <f t="shared" si="625"/>
        <v>https://tinyurl.com/yd64j7q3</v>
      </c>
      <c r="DL1045" s="89" t="str">
        <f t="shared" si="626"/>
        <v>https://tinyurl.com/ybdrjhz5</v>
      </c>
      <c r="DM1045" s="219" t="str">
        <f t="shared" si="627"/>
        <v>V-Shape V8</v>
      </c>
      <c r="DN1045" s="89" t="str">
        <f t="shared" si="628"/>
        <v xml:space="preserve"> HeadV-Shape V8163 Unisex</v>
      </c>
      <c r="DO1045" s="221"/>
    </row>
    <row r="1046" spans="2:119" ht="15.6" customHeight="1">
      <c r="B1046" s="219" t="b">
        <f t="array" ref="B1046">IF(OR(ISERROR(K1046:P1046)),FALSE,TRUE)</f>
        <v>1</v>
      </c>
      <c r="C1046" s="43" t="b">
        <f>OR(BR1046=Driver!$G$50,Data!BR1122=Driver!$H$50)</f>
        <v>1</v>
      </c>
      <c r="D1046" s="43" t="b">
        <f>OR(BV1046=Driver!$G$51,BV1046=Driver!$H$51)</f>
        <v>1</v>
      </c>
      <c r="E1046" s="43" t="b">
        <f>AND(BX1046&gt;Driver!$F$54,BX1046&lt;Driver!$G$54)</f>
        <v>1</v>
      </c>
      <c r="F1046" s="43" t="b">
        <f>CL1046&gt;Driver!$F$56</f>
        <v>1</v>
      </c>
      <c r="G1046" s="43" t="b">
        <f>AND(CB1046&gt;Driver!$F$55,CB1046&lt;Driver!$G$55)</f>
        <v>0</v>
      </c>
      <c r="H1046" s="43" t="b">
        <f t="shared" si="592"/>
        <v>0</v>
      </c>
      <c r="I1046" s="43">
        <f t="shared" si="593"/>
        <v>0</v>
      </c>
      <c r="J1046" s="43" t="b">
        <f t="array" ref="J1046">NOT(OR(($H$9:$H$1273=TRUE)*($I$9:$I$1273&gt;0)*($BT$9:$BT$1273=BT1046)*($K$9:$K$1273&gt;K1046)))</f>
        <v>1</v>
      </c>
      <c r="K1046" s="72">
        <f t="shared" si="594"/>
        <v>0.88584989962500882</v>
      </c>
      <c r="L1046" s="72">
        <f t="shared" si="595"/>
        <v>0.88203069143440538</v>
      </c>
      <c r="M1046" s="72">
        <f t="shared" si="596"/>
        <v>0.88966910781561237</v>
      </c>
      <c r="N1046" s="72">
        <f t="shared" si="597"/>
        <v>0.99841974276892831</v>
      </c>
      <c r="O1046" s="72">
        <f t="shared" si="598"/>
        <v>0.77448019257498846</v>
      </c>
      <c r="P1046" s="72">
        <f t="shared" si="599"/>
        <v>0.89610738810292045</v>
      </c>
      <c r="Q1046" s="72"/>
      <c r="R1046" s="72"/>
      <c r="S1046" s="72">
        <f t="shared" si="600"/>
        <v>0.42604692759648088</v>
      </c>
      <c r="T1046" s="72">
        <f t="shared" si="601"/>
        <v>0.48609303581057872</v>
      </c>
      <c r="U1046" s="72">
        <f t="shared" si="602"/>
        <v>0.6502332475829572</v>
      </c>
      <c r="V1046" s="72">
        <f t="shared" si="603"/>
        <v>0.50675821924807707</v>
      </c>
      <c r="W1046" s="72">
        <f t="shared" si="604"/>
        <v>0.83560687613536966</v>
      </c>
      <c r="X1046" s="72">
        <f t="shared" si="605"/>
        <v>0.11796930856559465</v>
      </c>
      <c r="Y1046" s="72">
        <f t="shared" si="606"/>
        <v>0.11033089218438759</v>
      </c>
      <c r="Z1046" s="72">
        <f t="shared" si="607"/>
        <v>1.580257231071705E-3</v>
      </c>
      <c r="AA1046" s="72">
        <f t="shared" si="608"/>
        <v>0.22551980742501157</v>
      </c>
      <c r="AB1046" s="72">
        <f t="shared" si="609"/>
        <v>0.10389261189707952</v>
      </c>
      <c r="AC1046" s="72"/>
      <c r="AD1046" s="72"/>
      <c r="AE1046" s="72">
        <f t="shared" si="610"/>
        <v>0.57395307240351912</v>
      </c>
      <c r="AF1046" s="72">
        <f t="shared" si="611"/>
        <v>0.51390696418942128</v>
      </c>
      <c r="AG1046" s="72">
        <f t="shared" si="612"/>
        <v>0.3497667524170428</v>
      </c>
      <c r="AH1046" s="72">
        <f t="shared" si="613"/>
        <v>0.49324178075192293</v>
      </c>
      <c r="AI1046" s="72">
        <f t="shared" si="614"/>
        <v>0.16439312386463029</v>
      </c>
      <c r="AJ1046" s="72">
        <f>(AV1046-Driver!$K$179)/(Driver!$L$179-Driver!$K$179)</f>
        <v>0.13625010071710578</v>
      </c>
      <c r="AK1046" s="72">
        <f>(AW1046-Driver!$K$180)/(Driver!$L$180-Driver!$K$180)</f>
        <v>0.14366445665975794</v>
      </c>
      <c r="AL1046" s="72">
        <f>(AX1046-Driver!$K$181)/(Driver!$L$181-Driver!$K$181)</f>
        <v>0.10010750648200847</v>
      </c>
      <c r="AM1046" s="72">
        <f>(AY1046-Driver!$K$182)/(Driver!$L$182-Driver!$K$182)</f>
        <v>0.22186521367203479</v>
      </c>
      <c r="AN1046" s="72">
        <f>(AZ1046-Driver!$K$183)/(Driver!$L$183-Driver!$K$183)</f>
        <v>0.15032679738562091</v>
      </c>
      <c r="AO1046" s="72"/>
      <c r="AP1046" s="72"/>
      <c r="AQ1046" s="72">
        <f>(BC1046-Driver!$K$188)/(Driver!$L$188-Driver!$K$188)</f>
        <v>4.6046927596480901E-2</v>
      </c>
      <c r="AR1046" s="72">
        <f>MIN((BD1046-Driver!$K$189)/(Driver!$L$189-Driver!$K$189),100%)</f>
        <v>3.6093035810578773E-2</v>
      </c>
      <c r="AS1046" s="72">
        <f>(BE1046-Driver!$K$190)/(Driver!$L$190-Driver!$K$190)</f>
        <v>0.85976675241704281</v>
      </c>
      <c r="AT1046" s="72">
        <f>(BF1046-Driver!$K$191)/(Driver!$L$191-Driver!$K$191)</f>
        <v>1.6758219248077088E-2</v>
      </c>
      <c r="AU1046" s="72">
        <f>(BG1046-Driver!$K$192)/(Driver!$L$192-Driver!$K$192)</f>
        <v>8.56068761353697E-2</v>
      </c>
      <c r="AV1046" s="70">
        <f t="shared" si="615"/>
        <v>2.8676570343237007</v>
      </c>
      <c r="AW1046" s="70">
        <f t="shared" si="616"/>
        <v>15.873266919537524</v>
      </c>
      <c r="AX1046" s="70">
        <f t="shared" si="617"/>
        <v>1.9009675583380763</v>
      </c>
      <c r="AY1046" s="70">
        <f>IFERROR(Driver!$K$19/Data!BH1046/Data!BI1046*Data!BK1046*Data!BL1046,"")</f>
        <v>0.27162921972513721</v>
      </c>
      <c r="AZ1046" s="70">
        <f t="shared" si="618"/>
        <v>13.70067014147431</v>
      </c>
      <c r="BA1046" s="70"/>
      <c r="BB1046" s="70"/>
      <c r="BC1046" s="70">
        <f t="shared" si="619"/>
        <v>23.884861457341913</v>
      </c>
      <c r="BD1046" s="70">
        <f t="shared" si="620"/>
        <v>4.9149926002587945</v>
      </c>
      <c r="BE1046" s="70">
        <f t="shared" si="621"/>
        <v>0.85979176845001914</v>
      </c>
      <c r="BF1046" s="70">
        <f t="shared" si="622"/>
        <v>1.8927231309168573</v>
      </c>
      <c r="BG1046" s="70">
        <f t="shared" si="623"/>
        <v>0.3241622443315616</v>
      </c>
      <c r="BH1046" s="67">
        <f>MAX((CE1046-Driver!$F$200)/(Driver!$G$200-Driver!$F$200)*$BI$1,1)</f>
        <v>1.9009675583380763</v>
      </c>
      <c r="BI1046" s="67">
        <f>MAX($BI$1*(BY1046-Driver!$F$201)/(Driver!$G$201-Driver!$F$201),1)</f>
        <v>7.2784810126582276</v>
      </c>
      <c r="BJ1046" s="67">
        <f>(CB1046-Driver!$F$206)/(Driver!$G$206-Driver!$F$206)*$BI$1</f>
        <v>3.0158730158730158</v>
      </c>
      <c r="BK1046" s="67">
        <f>(CD1046-Driver!$F$203)/(Driver!$G$203-Driver!$F$203)*$BI$1</f>
        <v>3.0275229357798166</v>
      </c>
      <c r="BL1046" s="67">
        <f>MAX((CR1046-Driver!$F$202)/(Driver!$G$202-Driver!$F$202)*$BI$1,1)</f>
        <v>6.2068965517241379</v>
      </c>
      <c r="BM1046" s="67">
        <f>MAX((CH1046-Driver!$F$204)/(Driver!$G$204-Driver!$F$204)*$BI$1,1)</f>
        <v>3.8034188034188032</v>
      </c>
      <c r="BN1046" s="67">
        <f>(CI1046-Driver!$F$205)/(Driver!$G$205-Driver!$F$205)*$BI$1</f>
        <v>1.8823529411764706</v>
      </c>
      <c r="BO1046" s="67">
        <f>(CK1046-Driver!$F$207)/(Driver!$G$207-Driver!$F$207)*$BI$1</f>
        <v>1.6132368148914167</v>
      </c>
      <c r="BP1046" s="67">
        <f>(CM1046-Driver!$F$208)/(Driver!$G$208-Driver!$F$208)*$BI$1</f>
        <v>1.1777777777777778</v>
      </c>
      <c r="BQ1046" s="67">
        <f>(CL1046-Driver!$F$209)/(Driver!$G$209-Driver!$F$209)*$BI$1</f>
        <v>2.34375</v>
      </c>
      <c r="BR1046" s="28" t="s">
        <v>155</v>
      </c>
      <c r="BS1046" s="8" t="s">
        <v>180</v>
      </c>
      <c r="BT1046" s="9" t="s">
        <v>451</v>
      </c>
      <c r="BU1046" s="10">
        <v>162</v>
      </c>
      <c r="BV1046" s="9" t="s">
        <v>158</v>
      </c>
      <c r="BW1046" s="10">
        <v>162</v>
      </c>
      <c r="BX1046" s="10">
        <v>159.9</v>
      </c>
      <c r="BY1046" s="10">
        <v>123</v>
      </c>
      <c r="BZ1046" s="10">
        <v>141</v>
      </c>
      <c r="CA1046" s="10">
        <v>121</v>
      </c>
      <c r="CB1046" s="10">
        <v>83</v>
      </c>
      <c r="CC1046" s="10">
        <v>105</v>
      </c>
      <c r="CD1046" s="10">
        <v>16</v>
      </c>
      <c r="CE1046" s="10">
        <v>1234</v>
      </c>
      <c r="CF1046" s="10">
        <v>1.23</v>
      </c>
      <c r="CG1046" s="10">
        <v>1519</v>
      </c>
      <c r="CH1046" s="10">
        <v>190</v>
      </c>
      <c r="CI1046" s="10">
        <v>65</v>
      </c>
      <c r="CJ1046" s="10">
        <v>57</v>
      </c>
      <c r="CK1046" s="10">
        <v>266</v>
      </c>
      <c r="CL1046" s="10">
        <v>15</v>
      </c>
      <c r="CM1046" s="10">
        <v>106</v>
      </c>
      <c r="CN1046" s="10">
        <v>0.27200000000000002</v>
      </c>
      <c r="CO1046" s="10">
        <v>106</v>
      </c>
      <c r="CP1046" s="10">
        <v>88</v>
      </c>
      <c r="CQ1046" s="10">
        <v>160</v>
      </c>
      <c r="CR1046" s="10">
        <v>7</v>
      </c>
      <c r="CS1046" s="10">
        <v>11</v>
      </c>
      <c r="CT1046" s="9" t="s">
        <v>188</v>
      </c>
      <c r="CU1046" s="9" t="s">
        <v>185</v>
      </c>
      <c r="CV1046" s="10"/>
      <c r="CW1046" s="10"/>
      <c r="CX1046" t="str">
        <f>INDEX('Data_Price '!AG$2:AG$1266,MATCH(Data!$DN1046,'Data_Price '!$AT$2:$AT$1266,0))</f>
        <v>Scott Superguide 88 Ski 2022</v>
      </c>
      <c r="CY1046" t="str">
        <f>INDEX('Data_Price '!AH$2:AH$1266,MATCH(Data!$DN1046,'Data_Price '!$AT$2:$AT$1266,0))</f>
        <v>Telemark Pyrenees</v>
      </c>
      <c r="CZ1046">
        <f>INDEX('Data_Price '!AI$2:AI$1266,MATCH(Data!$DN1046,'Data_Price '!$AT$2:$AT$1266,0))</f>
        <v>352.89</v>
      </c>
      <c r="DA1046" t="str">
        <f>INDEX('Data_Price '!AJ$2:AJ$1266,MATCH(Data!$DN1046,'Data_Price '!$AT$2:$AT$1266,0))</f>
        <v>https://tinyurl.com/y8t6593z</v>
      </c>
      <c r="DB1046" t="str">
        <f>INDEX('Data_Price '!AK$2:AK$1266,MATCH(Data!$DN1046,'Data_Price '!$AT$2:$AT$1266,0))</f>
        <v>Scott Superguide 88 Ski 2022</v>
      </c>
      <c r="DC1046" t="str">
        <f>INDEX('Data_Price '!AL$2:AL$1266,MATCH(Data!$DN1046,'Data_Price '!$AT$2:$AT$1266,0))</f>
        <v>Bobleisure</v>
      </c>
      <c r="DD1046">
        <f>INDEX('Data_Price '!AM$2:AM$1266,MATCH(Data!$DN1046,'Data_Price '!$AT$2:$AT$1266,0))</f>
        <v>362.87</v>
      </c>
      <c r="DE1046" t="str">
        <f>INDEX('Data_Price '!AN$2:AN$1266,MATCH(Data!$DN1046,'Data_Price '!$AT$2:$AT$1266,0))</f>
        <v>https://tinyurl.com/y9lymkfm</v>
      </c>
      <c r="DF1046" t="str">
        <f>INDEX('Data_Price '!AO$2:AO$1266,MATCH(Data!$DN1046,'Data_Price '!$AT$2:$AT$1266,0))</f>
        <v>Scott Superguide 95 A Version 162cm</v>
      </c>
      <c r="DG1046" t="str">
        <f>INDEX('Data_Price '!AP$2:AP$1266,MATCH(Data!$DN1046,'Data_Price '!$AT$2:$AT$1266,0))</f>
        <v>Sundance Ski and Board Shop</v>
      </c>
      <c r="DH1046">
        <f>INDEX('Data_Price '!AQ$2:AQ$1266,MATCH(Data!$DN1046,'Data_Price '!$AT$2:$AT$1266,0))</f>
        <v>480.86</v>
      </c>
      <c r="DI1046" t="str">
        <f>INDEX('Data_Price '!AR$2:AR$1266,MATCH(Data!$DN1046,'Data_Price '!$AT$2:$AT$1266,0))</f>
        <v>https://tinyurl.com/yc7q2phl</v>
      </c>
      <c r="DJ1046" s="89" t="str">
        <f t="shared" si="624"/>
        <v>https://tinyurl.com/y8t6593z</v>
      </c>
      <c r="DK1046" s="89" t="str">
        <f t="shared" si="625"/>
        <v>https://tinyurl.com/y9lymkfm</v>
      </c>
      <c r="DL1046" s="89" t="str">
        <f t="shared" si="626"/>
        <v>https://tinyurl.com/yc7q2phl</v>
      </c>
      <c r="DM1046" s="219" t="str">
        <f t="shared" si="627"/>
        <v>Superguide 88</v>
      </c>
      <c r="DN1046" s="89" t="str">
        <f t="shared" si="628"/>
        <v xml:space="preserve"> ScottSuperguide 88162 Unisex</v>
      </c>
      <c r="DO1046" s="221"/>
    </row>
    <row r="1047" spans="2:119" ht="15.6" customHeight="1">
      <c r="B1047" s="219" t="b">
        <f t="array" ref="B1047">IF(OR(ISERROR(K1047:P1047)),FALSE,TRUE)</f>
        <v>1</v>
      </c>
      <c r="C1047" s="43" t="b">
        <f>OR(BR1047=Driver!$G$50,Data!BR459=Driver!$H$50)</f>
        <v>1</v>
      </c>
      <c r="D1047" s="43" t="b">
        <f>OR(BV1047=Driver!$G$51,BV1047=Driver!$H$51)</f>
        <v>0</v>
      </c>
      <c r="E1047" s="43" t="b">
        <f>AND(BX1047&gt;Driver!$F$54,BX1047&lt;Driver!$G$54)</f>
        <v>1</v>
      </c>
      <c r="F1047" s="43" t="b">
        <f>CL1047&gt;Driver!$F$56</f>
        <v>1</v>
      </c>
      <c r="G1047" s="43" t="b">
        <f>AND(CB1047&gt;Driver!$F$55,CB1047&lt;Driver!$G$55)</f>
        <v>0</v>
      </c>
      <c r="H1047" s="43" t="b">
        <f t="shared" si="592"/>
        <v>0</v>
      </c>
      <c r="I1047" s="43">
        <f t="shared" si="593"/>
        <v>0</v>
      </c>
      <c r="J1047" s="43" t="b">
        <f t="array" ref="J1047">NOT(OR(($H$9:$H$1273=TRUE)*($I$9:$I$1273&gt;0)*($BT$9:$BT$1273=BT1047)*($K$9:$K$1273&gt;K1047)))</f>
        <v>1</v>
      </c>
      <c r="K1047" s="72">
        <f t="shared" si="594"/>
        <v>0.82861314038002931</v>
      </c>
      <c r="L1047" s="72">
        <f t="shared" si="595"/>
        <v>0.85455506497400735</v>
      </c>
      <c r="M1047" s="72">
        <f t="shared" si="596"/>
        <v>0.80267121578605138</v>
      </c>
      <c r="N1047" s="72">
        <f t="shared" si="597"/>
        <v>0.90039768592897851</v>
      </c>
      <c r="O1047" s="72">
        <f t="shared" si="598"/>
        <v>0.64692523999292173</v>
      </c>
      <c r="P1047" s="72">
        <f t="shared" si="599"/>
        <v>0.8606907214362538</v>
      </c>
      <c r="Q1047" s="72"/>
      <c r="R1047" s="72"/>
      <c r="S1047" s="72">
        <f t="shared" si="600"/>
        <v>0.39909885461470751</v>
      </c>
      <c r="T1047" s="72">
        <f t="shared" si="601"/>
        <v>0.46056145537107329</v>
      </c>
      <c r="U1047" s="72">
        <f t="shared" si="602"/>
        <v>0.68903198869771876</v>
      </c>
      <c r="V1047" s="72">
        <f t="shared" si="603"/>
        <v>0.57956748240801259</v>
      </c>
      <c r="W1047" s="72">
        <f t="shared" si="604"/>
        <v>0.87210526315789472</v>
      </c>
      <c r="X1047" s="72">
        <f t="shared" si="605"/>
        <v>0.14544493502599268</v>
      </c>
      <c r="Y1047" s="72">
        <f t="shared" si="606"/>
        <v>0.19732878421394864</v>
      </c>
      <c r="Z1047" s="72">
        <f t="shared" si="607"/>
        <v>9.9602314071021505E-2</v>
      </c>
      <c r="AA1047" s="72">
        <f t="shared" si="608"/>
        <v>0.35307476000707827</v>
      </c>
      <c r="AB1047" s="72">
        <f t="shared" si="609"/>
        <v>0.13930927856374617</v>
      </c>
      <c r="AC1047" s="72"/>
      <c r="AD1047" s="72"/>
      <c r="AE1047" s="72">
        <f t="shared" si="610"/>
        <v>0.60090114538529249</v>
      </c>
      <c r="AF1047" s="72">
        <f t="shared" si="611"/>
        <v>0.53943854462892671</v>
      </c>
      <c r="AG1047" s="72">
        <f t="shared" si="612"/>
        <v>0.31096801130228124</v>
      </c>
      <c r="AH1047" s="72">
        <f t="shared" si="613"/>
        <v>0.42043251759198746</v>
      </c>
      <c r="AI1047" s="72">
        <f t="shared" si="614"/>
        <v>0.12789473684210528</v>
      </c>
      <c r="AJ1047" s="72">
        <f>(AV1047-Driver!$K$179)/(Driver!$L$179-Driver!$K$179)</f>
        <v>0.10877447425670775</v>
      </c>
      <c r="AK1047" s="72">
        <f>(AW1047-Driver!$K$180)/(Driver!$L$180-Driver!$K$180)</f>
        <v>0.11828584811297638</v>
      </c>
      <c r="AL1047" s="72">
        <f>(AX1047-Driver!$K$181)/(Driver!$L$181-Driver!$K$181)</f>
        <v>0.20129007778410168</v>
      </c>
      <c r="AM1047" s="72">
        <f>(AY1047-Driver!$K$182)/(Driver!$L$182-Driver!$K$182)</f>
        <v>9.4310261089968081E-2</v>
      </c>
      <c r="AN1047" s="72">
        <f>(AZ1047-Driver!$K$183)/(Driver!$L$183-Driver!$K$183)</f>
        <v>0.11491013071895426</v>
      </c>
      <c r="AO1047" s="72"/>
      <c r="AP1047" s="72"/>
      <c r="AQ1047" s="72">
        <f>(BC1047-Driver!$K$188)/(Driver!$L$188-Driver!$K$188)</f>
        <v>1.9098854614707499E-2</v>
      </c>
      <c r="AR1047" s="72">
        <f>MIN((BD1047-Driver!$K$189)/(Driver!$L$189-Driver!$K$189),100%)</f>
        <v>1.0561455371073312E-2</v>
      </c>
      <c r="AS1047" s="72">
        <f>(BE1047-Driver!$K$190)/(Driver!$L$190-Driver!$K$190)</f>
        <v>0.19903198869771876</v>
      </c>
      <c r="AT1047" s="72">
        <f>(BF1047-Driver!$K$191)/(Driver!$L$191-Driver!$K$191)</f>
        <v>8.956748240801253E-2</v>
      </c>
      <c r="AU1047" s="72">
        <f>(BG1047-Driver!$K$192)/(Driver!$L$192-Driver!$K$192)</f>
        <v>0.12210526315789473</v>
      </c>
      <c r="AV1047" s="70">
        <f t="shared" si="615"/>
        <v>2.2893772893772892</v>
      </c>
      <c r="AW1047" s="70">
        <f t="shared" si="616"/>
        <v>13.399896639305522</v>
      </c>
      <c r="AX1047" s="70">
        <f t="shared" si="617"/>
        <v>2.811610700056915</v>
      </c>
      <c r="AY1047" s="70">
        <f>IFERROR(Driver!$K$19/Data!BH1047/Data!BI1047*Data!BK1047*Data!BL1047,"")</f>
        <v>0.11546389904011785</v>
      </c>
      <c r="AZ1047" s="70">
        <f t="shared" si="618"/>
        <v>10.47282204020849</v>
      </c>
      <c r="BA1047" s="70"/>
      <c r="BB1047" s="70"/>
      <c r="BC1047" s="70">
        <f t="shared" si="619"/>
        <v>9.9067086617320061</v>
      </c>
      <c r="BD1047" s="70">
        <f t="shared" si="620"/>
        <v>2.6554929706461508</v>
      </c>
      <c r="BE1047" s="70">
        <f t="shared" si="621"/>
        <v>0.19917487237565609</v>
      </c>
      <c r="BF1047" s="70">
        <f t="shared" si="622"/>
        <v>10.116017890808191</v>
      </c>
      <c r="BG1047" s="70">
        <f t="shared" si="623"/>
        <v>0.4623684210526316</v>
      </c>
      <c r="BH1047" s="67">
        <f>MAX((CE1047-Driver!$F$200)/(Driver!$G$200-Driver!$F$200)*$BI$1,1)</f>
        <v>2.811610700056915</v>
      </c>
      <c r="BI1047" s="67">
        <f>MAX($BI$1*(BY1047-Driver!$F$201)/(Driver!$G$201-Driver!$F$201),1)</f>
        <v>6.1392405063291138</v>
      </c>
      <c r="BJ1047" s="67">
        <f>(CB1047-Driver!$F$206)/(Driver!$G$206-Driver!$F$206)*$BI$1</f>
        <v>4.7619047619047619</v>
      </c>
      <c r="BK1047" s="67">
        <f>(CD1047-Driver!$F$203)/(Driver!$G$203-Driver!$F$203)*$BI$1</f>
        <v>2.0642201834862388</v>
      </c>
      <c r="BL1047" s="67">
        <f>MAX((CR1047-Driver!$F$202)/(Driver!$G$202-Driver!$F$202)*$BI$1,1)</f>
        <v>4.8275862068965516</v>
      </c>
      <c r="BM1047" s="67">
        <f>MAX((CH1047-Driver!$F$204)/(Driver!$G$204-Driver!$F$204)*$BI$1,1)</f>
        <v>1.9230769230769231</v>
      </c>
      <c r="BN1047" s="67">
        <f>(CI1047-Driver!$F$205)/(Driver!$G$205-Driver!$F$205)*$BI$1</f>
        <v>1.7058823529411766</v>
      </c>
      <c r="BO1047" s="67">
        <f>(CK1047-Driver!$F$207)/(Driver!$G$207-Driver!$F$207)*$BI$1</f>
        <v>1.9441571871768357</v>
      </c>
      <c r="BP1047" s="67">
        <f>(CM1047-Driver!$F$208)/(Driver!$G$208-Driver!$F$208)*$BI$1</f>
        <v>2.2555555555555555</v>
      </c>
      <c r="BQ1047" s="67">
        <f>(CL1047-Driver!$F$209)/(Driver!$G$209-Driver!$F$209)*$BI$1</f>
        <v>2.5</v>
      </c>
      <c r="BR1047" s="28" t="s">
        <v>155</v>
      </c>
      <c r="BS1047" s="8" t="s">
        <v>164</v>
      </c>
      <c r="BT1047" s="9" t="s">
        <v>518</v>
      </c>
      <c r="BU1047" s="10">
        <v>154</v>
      </c>
      <c r="BV1047" s="9" t="s">
        <v>163</v>
      </c>
      <c r="BW1047" s="10">
        <v>154</v>
      </c>
      <c r="BX1047" s="10">
        <v>154.9</v>
      </c>
      <c r="BY1047" s="10">
        <v>105</v>
      </c>
      <c r="BZ1047" s="10">
        <v>121</v>
      </c>
      <c r="CA1047" s="10">
        <v>131</v>
      </c>
      <c r="CB1047" s="10">
        <v>94</v>
      </c>
      <c r="CC1047" s="10">
        <v>107</v>
      </c>
      <c r="CD1047" s="10">
        <v>13.9</v>
      </c>
      <c r="CE1047" s="10">
        <v>1394</v>
      </c>
      <c r="CF1047" s="10">
        <v>1.17</v>
      </c>
      <c r="CG1047" s="10">
        <v>1628</v>
      </c>
      <c r="CH1047" s="10">
        <v>146</v>
      </c>
      <c r="CI1047" s="10">
        <v>62</v>
      </c>
      <c r="CJ1047" s="10">
        <v>49</v>
      </c>
      <c r="CK1047" s="10">
        <v>298</v>
      </c>
      <c r="CL1047" s="10">
        <v>16</v>
      </c>
      <c r="CM1047" s="10">
        <v>203</v>
      </c>
      <c r="CN1047" s="10">
        <v>0.32200000000000001</v>
      </c>
      <c r="CO1047" s="10">
        <v>176</v>
      </c>
      <c r="CP1047" s="10">
        <v>161</v>
      </c>
      <c r="CQ1047" s="10">
        <v>122</v>
      </c>
      <c r="CR1047" s="10">
        <v>3</v>
      </c>
      <c r="CS1047" s="10">
        <v>7</v>
      </c>
      <c r="CT1047" s="9" t="s">
        <v>188</v>
      </c>
      <c r="CU1047" s="9" t="s">
        <v>185</v>
      </c>
      <c r="CV1047" s="10"/>
      <c r="CW1047" s="10"/>
      <c r="CX1047" t="str">
        <f>INDEX('Data_Price '!AG$2:AG$1266,MATCH(Data!$DN1047,'Data_Price '!$AT$2:$AT$1266,0))</f>
        <v>Elan Ripstick 94 W Women's Skis</v>
      </c>
      <c r="CY1047" t="str">
        <f>INDEX('Data_Price '!AH$2:AH$1266,MATCH(Data!$DN1047,'Data_Price '!$AT$2:$AT$1266,0))</f>
        <v>eBay - asogear</v>
      </c>
      <c r="CZ1047">
        <f>INDEX('Data_Price '!AI$2:AI$1266,MATCH(Data!$DN1047,'Data_Price '!$AT$2:$AT$1266,0))</f>
        <v>419.99</v>
      </c>
      <c r="DA1047" t="str">
        <f>INDEX('Data_Price '!AJ$2:AJ$1266,MATCH(Data!$DN1047,'Data_Price '!$AT$2:$AT$1266,0))</f>
        <v>https://tinyurl.com/yay45zpf</v>
      </c>
      <c r="DB1047" t="str">
        <f>INDEX('Data_Price '!AK$2:AK$1266,MATCH(Data!$DN1047,'Data_Price '!$AT$2:$AT$1266,0))</f>
        <v>Elan Ripstick 94 W Women's Skis</v>
      </c>
      <c r="DC1047" t="str">
        <f>INDEX('Data_Price '!AL$2:AL$1266,MATCH(Data!$DN1047,'Data_Price '!$AT$2:$AT$1266,0))</f>
        <v>Ski Pro  - Snow Ski &amp; Snowboard</v>
      </c>
      <c r="DD1047">
        <f>INDEX('Data_Price '!AM$2:AM$1266,MATCH(Data!$DN1047,'Data_Price '!$AT$2:$AT$1266,0))</f>
        <v>449.95</v>
      </c>
      <c r="DE1047" t="str">
        <f>INDEX('Data_Price '!AN$2:AN$1266,MATCH(Data!$DN1047,'Data_Price '!$AT$2:$AT$1266,0))</f>
        <v>https://tinyurl.com/ybtsb2k9</v>
      </c>
      <c r="DF1047" t="str">
        <f>INDEX('Data_Price '!AO$2:AO$1266,MATCH(Data!$DN1047,'Data_Price '!$AT$2:$AT$1266,0))</f>
        <v>Elan Ripstick 94 W Women's Skis</v>
      </c>
      <c r="DG1047" t="str">
        <f>INDEX('Data_Price '!AP$2:AP$1266,MATCH(Data!$DN1047,'Data_Price '!$AT$2:$AT$1266,0))</f>
        <v>SkiEssentials.com</v>
      </c>
      <c r="DH1047">
        <f>INDEX('Data_Price '!AQ$2:AQ$1266,MATCH(Data!$DN1047,'Data_Price '!$AT$2:$AT$1266,0))</f>
        <v>449.99</v>
      </c>
      <c r="DI1047" t="str">
        <f>INDEX('Data_Price '!AR$2:AR$1266,MATCH(Data!$DN1047,'Data_Price '!$AT$2:$AT$1266,0))</f>
        <v>https://tinyurl.com/yb56t59d</v>
      </c>
      <c r="DJ1047" s="89" t="str">
        <f t="shared" si="624"/>
        <v>https://tinyurl.com/yay45zpf</v>
      </c>
      <c r="DK1047" s="89" t="str">
        <f t="shared" si="625"/>
        <v>https://tinyurl.com/ybtsb2k9</v>
      </c>
      <c r="DL1047" s="89" t="str">
        <f t="shared" si="626"/>
        <v>https://tinyurl.com/yb56t59d</v>
      </c>
      <c r="DM1047" s="219" t="str">
        <f t="shared" si="627"/>
        <v>Ripstick 94 W</v>
      </c>
      <c r="DN1047" s="89" t="str">
        <f t="shared" si="628"/>
        <v xml:space="preserve"> ElanRipstick 94 W154 Women's</v>
      </c>
      <c r="DO1047" s="221" t="s">
        <v>519</v>
      </c>
    </row>
    <row r="1048" spans="2:119" ht="15.6" customHeight="1">
      <c r="B1048" s="219" t="b">
        <f t="array" ref="B1048">IF(OR(ISERROR(K1048:P1048)),FALSE,TRUE)</f>
        <v>1</v>
      </c>
      <c r="C1048" s="43" t="b">
        <f>OR(BR1048=Driver!$G$50,Data!BR308=Driver!$H$50)</f>
        <v>1</v>
      </c>
      <c r="D1048" s="43" t="b">
        <f>OR(BV1048=Driver!$G$51,BV1048=Driver!$H$51)</f>
        <v>1</v>
      </c>
      <c r="E1048" s="43" t="b">
        <f>AND(BX1048&gt;Driver!$F$54,BX1048&lt;Driver!$G$54)</f>
        <v>1</v>
      </c>
      <c r="F1048" s="43" t="b">
        <f>CL1048&gt;Driver!$F$56</f>
        <v>1</v>
      </c>
      <c r="G1048" s="43" t="b">
        <f>AND(CB1048&gt;Driver!$F$55,CB1048&lt;Driver!$G$55)</f>
        <v>0</v>
      </c>
      <c r="H1048" s="43" t="b">
        <f t="shared" si="592"/>
        <v>0</v>
      </c>
      <c r="I1048" s="43">
        <f t="shared" si="593"/>
        <v>0</v>
      </c>
      <c r="J1048" s="43" t="b">
        <f t="array" ref="J1048">NOT(OR(($H$9:$H$1273=TRUE)*($I$9:$I$1273&gt;0)*($BT$9:$BT$1273=BT1048)*($K$9:$K$1273&gt;K1048)))</f>
        <v>1</v>
      </c>
      <c r="K1048" s="72">
        <f t="shared" si="594"/>
        <v>0.71510514499190614</v>
      </c>
      <c r="L1048" s="72">
        <f t="shared" si="595"/>
        <v>0.78397251723409922</v>
      </c>
      <c r="M1048" s="72">
        <f t="shared" si="596"/>
        <v>0.64623777274971306</v>
      </c>
      <c r="N1048" s="72">
        <f t="shared" si="597"/>
        <v>0.56080368099632805</v>
      </c>
      <c r="O1048" s="72">
        <f t="shared" si="598"/>
        <v>0.5802261756825291</v>
      </c>
      <c r="P1048" s="72">
        <f t="shared" si="599"/>
        <v>0.79768346157028214</v>
      </c>
      <c r="Q1048" s="72"/>
      <c r="R1048" s="72"/>
      <c r="S1048" s="72">
        <f t="shared" si="600"/>
        <v>0.45918004912148125</v>
      </c>
      <c r="T1048" s="72">
        <f t="shared" si="601"/>
        <v>0.55000000000000004</v>
      </c>
      <c r="U1048" s="72">
        <f t="shared" si="602"/>
        <v>0.51</v>
      </c>
      <c r="V1048" s="72">
        <f t="shared" si="603"/>
        <v>0.4914182043308799</v>
      </c>
      <c r="W1048" s="72">
        <f t="shared" si="604"/>
        <v>0.76041449250451199</v>
      </c>
      <c r="X1048" s="72">
        <f t="shared" si="605"/>
        <v>0.21602748276590081</v>
      </c>
      <c r="Y1048" s="72">
        <f t="shared" si="606"/>
        <v>0.35376222725028694</v>
      </c>
      <c r="Z1048" s="72">
        <f t="shared" si="607"/>
        <v>0.43919631900367195</v>
      </c>
      <c r="AA1048" s="72">
        <f t="shared" si="608"/>
        <v>0.4197738243174709</v>
      </c>
      <c r="AB1048" s="72">
        <f t="shared" si="609"/>
        <v>0.20231653842971792</v>
      </c>
      <c r="AC1048" s="72"/>
      <c r="AD1048" s="72"/>
      <c r="AE1048" s="72">
        <f t="shared" si="610"/>
        <v>0.54081995087851875</v>
      </c>
      <c r="AF1048" s="72">
        <f t="shared" si="611"/>
        <v>0.44999999999999996</v>
      </c>
      <c r="AG1048" s="72">
        <f t="shared" si="612"/>
        <v>0.49</v>
      </c>
      <c r="AH1048" s="72">
        <f t="shared" si="613"/>
        <v>0.5085817956691201</v>
      </c>
      <c r="AI1048" s="72">
        <f t="shared" si="614"/>
        <v>0.23958550749548799</v>
      </c>
      <c r="AJ1048" s="72">
        <f>(AV1048-Driver!$K$179)/(Driver!$L$179-Driver!$K$179)</f>
        <v>3.8191926516799618E-2</v>
      </c>
      <c r="AK1048" s="72">
        <f>(AW1048-Driver!$K$180)/(Driver!$L$180-Driver!$K$180)</f>
        <v>0.46828177122605402</v>
      </c>
      <c r="AL1048" s="72">
        <f>(AX1048-Driver!$K$181)/(Driver!$L$181-Driver!$K$181)</f>
        <v>0.54088408271675215</v>
      </c>
      <c r="AM1048" s="72">
        <f>(AY1048-Driver!$K$182)/(Driver!$L$182-Driver!$K$182)</f>
        <v>2.7611196779575457E-2</v>
      </c>
      <c r="AN1048" s="72">
        <f>(AZ1048-Driver!$K$183)/(Driver!$L$183-Driver!$K$183)</f>
        <v>0.45653594771241834</v>
      </c>
      <c r="AO1048" s="72"/>
      <c r="AP1048" s="72"/>
      <c r="AQ1048" s="72">
        <f>(BC1048-Driver!$K$188)/(Driver!$L$188-Driver!$K$188)</f>
        <v>7.9180049121481202E-2</v>
      </c>
      <c r="AR1048" s="72">
        <f>MIN((BD1048-Driver!$K$189)/(Driver!$L$189-Driver!$K$189),100%)</f>
        <v>1</v>
      </c>
      <c r="AS1048" s="72">
        <f>(BE1048-Driver!$K$190)/(Driver!$L$190-Driver!$K$190)</f>
        <v>1</v>
      </c>
      <c r="AT1048" s="72">
        <f>(BF1048-Driver!$K$191)/(Driver!$L$191-Driver!$K$191)</f>
        <v>1.418204330879861E-3</v>
      </c>
      <c r="AU1048" s="72">
        <f>(BG1048-Driver!$K$192)/(Driver!$L$192-Driver!$K$192)</f>
        <v>1.0414492504512023E-2</v>
      </c>
      <c r="AV1048" s="70">
        <f t="shared" si="615"/>
        <v>0.80382580382580393</v>
      </c>
      <c r="AW1048" s="70">
        <f t="shared" si="616"/>
        <v>47.51010062604194</v>
      </c>
      <c r="AX1048" s="70">
        <f t="shared" si="617"/>
        <v>5.867956744450769</v>
      </c>
      <c r="AY1048" s="70">
        <f>IFERROR(Driver!$K$19/Data!BH1048/Data!BI1048*Data!BK1048*Data!BL1048,"")</f>
        <v>3.3804343244182258E-2</v>
      </c>
      <c r="AZ1048" s="70">
        <f t="shared" si="618"/>
        <v>41.608339538346989</v>
      </c>
      <c r="BA1048" s="70"/>
      <c r="BB1048" s="70"/>
      <c r="BC1048" s="70">
        <f t="shared" si="619"/>
        <v>41.071241930083509</v>
      </c>
      <c r="BD1048" s="70">
        <f t="shared" si="620"/>
        <v>178.70548373639465</v>
      </c>
      <c r="BE1048" s="70">
        <f t="shared" si="621"/>
        <v>1</v>
      </c>
      <c r="BF1048" s="70">
        <f t="shared" si="622"/>
        <v>0.16017621572356394</v>
      </c>
      <c r="BG1048" s="70">
        <f t="shared" si="623"/>
        <v>3.943591235005954E-2</v>
      </c>
      <c r="BH1048" s="67">
        <f>MAX((CE1048-Driver!$F$200)/(Driver!$G$200-Driver!$F$200)*$BI$1,1)</f>
        <v>5.867956744450769</v>
      </c>
      <c r="BI1048" s="67">
        <f>MAX($BI$1*(BY1048-Driver!$F$201)/(Driver!$G$201-Driver!$F$201),1)</f>
        <v>8.037974683544304</v>
      </c>
      <c r="BJ1048" s="67">
        <f>(CB1048-Driver!$F$206)/(Driver!$G$206-Driver!$F$206)*$BI$1</f>
        <v>0.95238095238095233</v>
      </c>
      <c r="BK1048" s="67">
        <f>(CD1048-Driver!$F$203)/(Driver!$G$203-Driver!$F$203)*$BI$1</f>
        <v>0.96330275229357787</v>
      </c>
      <c r="BL1048" s="67">
        <f>MAX((CR1048-Driver!$F$202)/(Driver!$G$202-Driver!$F$202)*$BI$1,1)</f>
        <v>8.2758620689655178</v>
      </c>
      <c r="BM1048" s="67">
        <f>MAX((CH1048-Driver!$F$204)/(Driver!$G$204-Driver!$F$204)*$BI$1,1)</f>
        <v>3.3760683760683765</v>
      </c>
      <c r="BN1048" s="67">
        <f>(CI1048-Driver!$F$205)/(Driver!$G$205-Driver!$F$205)*$BI$1</f>
        <v>5.1764705882352944</v>
      </c>
      <c r="BO1048" s="67">
        <f>(CK1048-Driver!$F$207)/(Driver!$G$207-Driver!$F$207)*$BI$1</f>
        <v>0.31023784901758011</v>
      </c>
      <c r="BP1048" s="67">
        <f>(CM1048-Driver!$F$208)/(Driver!$G$208-Driver!$F$208)*$BI$1</f>
        <v>0.52222222222222225</v>
      </c>
      <c r="BQ1048" s="67">
        <f>(CL1048-Driver!$F$209)/(Driver!$G$209-Driver!$F$209)*$BI$1</f>
        <v>0.78125</v>
      </c>
      <c r="BR1048" s="28" t="s">
        <v>155</v>
      </c>
      <c r="BS1048" s="8" t="s">
        <v>317</v>
      </c>
      <c r="BT1048" s="9" t="s">
        <v>850</v>
      </c>
      <c r="BU1048" s="10">
        <v>155</v>
      </c>
      <c r="BV1048" s="9" t="s">
        <v>158</v>
      </c>
      <c r="BW1048" s="10">
        <v>155</v>
      </c>
      <c r="BX1048" s="10">
        <v>154.1</v>
      </c>
      <c r="BY1048" s="10">
        <v>135</v>
      </c>
      <c r="BZ1048" s="10">
        <v>141</v>
      </c>
      <c r="CA1048" s="10">
        <v>120</v>
      </c>
      <c r="CB1048" s="10">
        <v>70</v>
      </c>
      <c r="CC1048" s="10">
        <v>103</v>
      </c>
      <c r="CD1048" s="10">
        <v>11.5</v>
      </c>
      <c r="CE1048" s="10">
        <v>1931</v>
      </c>
      <c r="CF1048" s="10">
        <v>0.68</v>
      </c>
      <c r="CG1048" s="10">
        <v>1318</v>
      </c>
      <c r="CH1048" s="10">
        <v>180</v>
      </c>
      <c r="CI1048" s="10">
        <v>121</v>
      </c>
      <c r="CJ1048" s="10">
        <v>40</v>
      </c>
      <c r="CK1048" s="10">
        <v>140</v>
      </c>
      <c r="CL1048" s="10">
        <v>5</v>
      </c>
      <c r="CM1048" s="10">
        <v>47</v>
      </c>
      <c r="CN1048" s="10">
        <v>0.124</v>
      </c>
      <c r="CO1048" s="10">
        <v>74</v>
      </c>
      <c r="CP1048" s="10">
        <v>56</v>
      </c>
      <c r="CQ1048" s="10">
        <v>66</v>
      </c>
      <c r="CR1048" s="10">
        <v>13</v>
      </c>
      <c r="CS1048" s="10">
        <v>12.3</v>
      </c>
      <c r="CT1048" s="9" t="s">
        <v>349</v>
      </c>
      <c r="CU1048" s="10"/>
      <c r="CV1048" s="10"/>
      <c r="CW1048" s="10"/>
      <c r="CX1048" t="str">
        <f>INDEX('Data_Price '!AG$2:AG$1266,MATCH(Data!$DN1048,'Data_Price '!$AT$2:$AT$1266,0))</f>
        <v>Blizzard Firebird SRC Skis w Marker Race Xcell GW Bindings  Demo</v>
      </c>
      <c r="CY1048" t="str">
        <f>INDEX('Data_Price '!AH$2:AH$1266,MATCH(Data!$DN1048,'Data_Price '!$AT$2:$AT$1266,0))</f>
        <v>Powder7 Ski Shop</v>
      </c>
      <c r="CZ1048">
        <f>INDEX('Data_Price '!AI$2:AI$1266,MATCH(Data!$DN1048,'Data_Price '!$AT$2:$AT$1266,0))</f>
        <v>479.99</v>
      </c>
      <c r="DA1048" t="str">
        <f>INDEX('Data_Price '!AJ$2:AJ$1266,MATCH(Data!$DN1048,'Data_Price '!$AT$2:$AT$1266,0))</f>
        <v>https://tinyurl.com/ydy5435f</v>
      </c>
      <c r="DB1048" t="str">
        <f>INDEX('Data_Price '!AK$2:AK$1266,MATCH(Data!$DN1048,'Data_Price '!$AT$2:$AT$1266,0))</f>
        <v>2022 Blizzard Phoenix R13 CA Women's Skis with TPC 11 Bindings - 155</v>
      </c>
      <c r="DC1048" t="str">
        <f>INDEX('Data_Price '!AL$2:AL$1266,MATCH(Data!$DN1048,'Data_Price '!$AT$2:$AT$1266,0))</f>
        <v>evo.com</v>
      </c>
      <c r="DD1048">
        <f>INDEX('Data_Price '!AM$2:AM$1266,MATCH(Data!$DN1048,'Data_Price '!$AT$2:$AT$1266,0))</f>
        <v>599.95000000000005</v>
      </c>
      <c r="DE1048" t="str">
        <f>INDEX('Data_Price '!AN$2:AN$1266,MATCH(Data!$DN1048,'Data_Price '!$AT$2:$AT$1266,0))</f>
        <v>https://tinyurl.com/y9qrm3g7</v>
      </c>
      <c r="DF1048">
        <f>INDEX('Data_Price '!AO$2:AO$1266,MATCH(Data!$DN1048,'Data_Price '!$AT$2:$AT$1266,0))</f>
        <v>0</v>
      </c>
      <c r="DG1048">
        <f>INDEX('Data_Price '!AP$2:AP$1266,MATCH(Data!$DN1048,'Data_Price '!$AT$2:$AT$1266,0))</f>
        <v>0</v>
      </c>
      <c r="DH1048">
        <f>INDEX('Data_Price '!AQ$2:AQ$1266,MATCH(Data!$DN1048,'Data_Price '!$AT$2:$AT$1266,0))</f>
        <v>0</v>
      </c>
      <c r="DI1048">
        <f>INDEX('Data_Price '!AR$2:AR$1266,MATCH(Data!$DN1048,'Data_Price '!$AT$2:$AT$1266,0))</f>
        <v>0</v>
      </c>
      <c r="DJ1048" s="89" t="str">
        <f t="shared" si="624"/>
        <v>https://tinyurl.com/ydy5435f</v>
      </c>
      <c r="DK1048" s="89" t="str">
        <f t="shared" si="625"/>
        <v>https://tinyurl.com/y9qrm3g7</v>
      </c>
      <c r="DL1048" s="89">
        <f t="shared" si="626"/>
        <v>0</v>
      </c>
      <c r="DM1048" s="219" t="str">
        <f t="shared" si="627"/>
        <v>SRC</v>
      </c>
      <c r="DN1048" s="89" t="str">
        <f t="shared" si="628"/>
        <v xml:space="preserve"> BlizzardSRC155 Unisex</v>
      </c>
      <c r="DO1048" s="221"/>
    </row>
    <row r="1049" spans="2:119" ht="15.6" customHeight="1">
      <c r="B1049" s="219" t="b">
        <f t="array" ref="B1049">IF(OR(ISERROR(K1049:P1049)),FALSE,TRUE)</f>
        <v>1</v>
      </c>
      <c r="C1049" s="43" t="b">
        <f>OR(BR1049=Driver!$G$50,Data!BR328=Driver!$H$50)</f>
        <v>1</v>
      </c>
      <c r="D1049" s="43" t="b">
        <f>OR(BV1049=Driver!$G$51,BV1049=Driver!$H$51)</f>
        <v>1</v>
      </c>
      <c r="E1049" s="43" t="b">
        <f>AND(BX1049&gt;Driver!$F$54,BX1049&lt;Driver!$G$54)</f>
        <v>1</v>
      </c>
      <c r="F1049" s="43" t="b">
        <f>CL1049&gt;Driver!$F$56</f>
        <v>1</v>
      </c>
      <c r="G1049" s="43" t="b">
        <f>AND(CB1049&gt;Driver!$F$55,CB1049&lt;Driver!$G$55)</f>
        <v>0</v>
      </c>
      <c r="H1049" s="43" t="b">
        <f t="shared" si="592"/>
        <v>0</v>
      </c>
      <c r="I1049" s="43">
        <f t="shared" si="593"/>
        <v>0</v>
      </c>
      <c r="J1049" s="43" t="b">
        <f t="array" ref="J1049">NOT(OR(($H$9:$H$1273=TRUE)*($I$9:$I$1273&gt;0)*($BT$9:$BT$1273=BT1049)*($K$9:$K$1273&gt;K1049)))</f>
        <v>1</v>
      </c>
      <c r="K1049" s="72">
        <f t="shared" si="594"/>
        <v>0.93754681027475317</v>
      </c>
      <c r="L1049" s="72">
        <f t="shared" si="595"/>
        <v>0.94439472334158447</v>
      </c>
      <c r="M1049" s="72">
        <f t="shared" si="596"/>
        <v>0.93069889720792198</v>
      </c>
      <c r="N1049" s="72">
        <f t="shared" si="597"/>
        <v>0.92190042322172028</v>
      </c>
      <c r="O1049" s="72">
        <f t="shared" si="598"/>
        <v>0.99765914173703352</v>
      </c>
      <c r="P1049" s="72">
        <f t="shared" si="599"/>
        <v>0.87253712666501193</v>
      </c>
      <c r="Q1049" s="72"/>
      <c r="R1049" s="72"/>
      <c r="S1049" s="72">
        <f t="shared" si="600"/>
        <v>0.42809388433883544</v>
      </c>
      <c r="T1049" s="72">
        <f t="shared" si="601"/>
        <v>0.44181906132183046</v>
      </c>
      <c r="U1049" s="72">
        <f t="shared" si="602"/>
        <v>0.61366480132842438</v>
      </c>
      <c r="V1049" s="72">
        <f t="shared" si="603"/>
        <v>0.52189775168922081</v>
      </c>
      <c r="W1049" s="72">
        <f t="shared" si="604"/>
        <v>0.85307373653686824</v>
      </c>
      <c r="X1049" s="72">
        <f t="shared" si="605"/>
        <v>5.5605276658415553E-2</v>
      </c>
      <c r="Y1049" s="72">
        <f t="shared" si="606"/>
        <v>6.9301102792078073E-2</v>
      </c>
      <c r="Z1049" s="72">
        <f t="shared" si="607"/>
        <v>7.8099576778279708E-2</v>
      </c>
      <c r="AA1049" s="72">
        <f t="shared" si="608"/>
        <v>2.3408582629664831E-3</v>
      </c>
      <c r="AB1049" s="72">
        <f t="shared" si="609"/>
        <v>0.12746287333498801</v>
      </c>
      <c r="AC1049" s="72"/>
      <c r="AD1049" s="72"/>
      <c r="AE1049" s="72">
        <f t="shared" si="610"/>
        <v>0.57190611566116456</v>
      </c>
      <c r="AF1049" s="72">
        <f t="shared" si="611"/>
        <v>0.55818093867816954</v>
      </c>
      <c r="AG1049" s="72">
        <f t="shared" si="612"/>
        <v>0.38633519867157562</v>
      </c>
      <c r="AH1049" s="72">
        <f t="shared" si="613"/>
        <v>0.47810224831077919</v>
      </c>
      <c r="AI1049" s="72">
        <f t="shared" si="614"/>
        <v>0.14692626346313173</v>
      </c>
      <c r="AJ1049" s="72">
        <f>(AV1049-Driver!$K$179)/(Driver!$L$179-Driver!$K$179)</f>
        <v>0.19861413262428487</v>
      </c>
      <c r="AK1049" s="72">
        <f>(AW1049-Driver!$K$180)/(Driver!$L$180-Driver!$K$180)</f>
        <v>0.11735990154537786</v>
      </c>
      <c r="AL1049" s="72">
        <f>(AX1049-Driver!$K$181)/(Driver!$L$181-Driver!$K$181)</f>
        <v>2.358818693480047E-2</v>
      </c>
      <c r="AM1049" s="72">
        <f>(AY1049-Driver!$K$182)/(Driver!$L$182-Driver!$K$182)</f>
        <v>0.44504416283407988</v>
      </c>
      <c r="AN1049" s="72">
        <f>(AZ1049-Driver!$K$183)/(Driver!$L$183-Driver!$K$183)</f>
        <v>0.12675653594771241</v>
      </c>
      <c r="AO1049" s="72"/>
      <c r="AP1049" s="72"/>
      <c r="AQ1049" s="72">
        <f>(BC1049-Driver!$K$188)/(Driver!$L$188-Driver!$K$188)</f>
        <v>4.809388433883547E-2</v>
      </c>
      <c r="AR1049" s="72">
        <f>MIN((BD1049-Driver!$K$189)/(Driver!$L$189-Driver!$K$189),100%)</f>
        <v>-8.1809386781694377E-3</v>
      </c>
      <c r="AS1049" s="72">
        <f>(BE1049-Driver!$K$190)/(Driver!$L$190-Driver!$K$190)</f>
        <v>0.89633519867157563</v>
      </c>
      <c r="AT1049" s="72">
        <f>(BF1049-Driver!$K$191)/(Driver!$L$191-Driver!$K$191)</f>
        <v>3.1897751689220842E-2</v>
      </c>
      <c r="AU1049" s="72">
        <f>(BG1049-Driver!$K$192)/(Driver!$L$192-Driver!$K$192)</f>
        <v>0.10307373653686827</v>
      </c>
      <c r="AV1049" s="70">
        <f t="shared" si="615"/>
        <v>4.180233346900013</v>
      </c>
      <c r="AW1049" s="70">
        <f t="shared" si="616"/>
        <v>13.309654941571804</v>
      </c>
      <c r="AX1049" s="70">
        <f t="shared" si="617"/>
        <v>1.2122936824132042</v>
      </c>
      <c r="AY1049" s="70">
        <f>IFERROR(Driver!$K$19/Data!BH1049/Data!BI1049*Data!BK1049*Data!BL1049,"")</f>
        <v>0.54486684367088478</v>
      </c>
      <c r="AZ1049" s="70">
        <f t="shared" si="618"/>
        <v>11.552494415487715</v>
      </c>
      <c r="BA1049" s="70"/>
      <c r="BB1049" s="70"/>
      <c r="BC1049" s="70">
        <f t="shared" si="619"/>
        <v>24.946632149813638</v>
      </c>
      <c r="BD1049" s="70">
        <f t="shared" si="620"/>
        <v>0.99682430684530976</v>
      </c>
      <c r="BE1049" s="70">
        <f t="shared" si="621"/>
        <v>0.8963536913053356</v>
      </c>
      <c r="BF1049" s="70">
        <f t="shared" si="622"/>
        <v>3.6026269589090187</v>
      </c>
      <c r="BG1049" s="70">
        <f t="shared" si="623"/>
        <v>0.39030292046396026</v>
      </c>
      <c r="BH1049" s="67">
        <f>MAX((CE1049-Driver!$F$200)/(Driver!$G$200-Driver!$F$200)*$BI$1,1)</f>
        <v>1.2122936824132042</v>
      </c>
      <c r="BI1049" s="67">
        <f>MAX($BI$1*(BY1049-Driver!$F$201)/(Driver!$G$201-Driver!$F$201),1)</f>
        <v>6.7721518987341769</v>
      </c>
      <c r="BJ1049" s="67">
        <f>(CB1049-Driver!$F$206)/(Driver!$G$206-Driver!$F$206)*$BI$1</f>
        <v>4.6031746031746028</v>
      </c>
      <c r="BK1049" s="67">
        <f>(CD1049-Driver!$F$203)/(Driver!$G$203-Driver!$F$203)*$BI$1</f>
        <v>4.6330275229357802</v>
      </c>
      <c r="BL1049" s="67">
        <f>MAX((CR1049-Driver!$F$202)/(Driver!$G$202-Driver!$F$202)*$BI$1,1)</f>
        <v>4.8275862068965516</v>
      </c>
      <c r="BM1049" s="67">
        <f>MAX((CH1049-Driver!$F$204)/(Driver!$G$204-Driver!$F$204)*$BI$1,1)</f>
        <v>3.6324786324786325</v>
      </c>
      <c r="BN1049" s="67">
        <f>(CI1049-Driver!$F$205)/(Driver!$G$205-Driver!$F$205)*$BI$1</f>
        <v>1.7058823529411766</v>
      </c>
      <c r="BO1049" s="67">
        <f>(CK1049-Driver!$F$207)/(Driver!$G$207-Driver!$F$207)*$BI$1</f>
        <v>1.623578076525336</v>
      </c>
      <c r="BP1049" s="67">
        <f>(CM1049-Driver!$F$208)/(Driver!$G$208-Driver!$F$208)*$BI$1</f>
        <v>2.2333333333333334</v>
      </c>
      <c r="BQ1049" s="67">
        <f>(CL1049-Driver!$F$209)/(Driver!$G$209-Driver!$F$209)*$BI$1</f>
        <v>1.71875</v>
      </c>
      <c r="BR1049" s="28" t="s">
        <v>155</v>
      </c>
      <c r="BS1049" s="8" t="s">
        <v>317</v>
      </c>
      <c r="BT1049" s="9" t="s">
        <v>449</v>
      </c>
      <c r="BU1049" s="10">
        <v>164</v>
      </c>
      <c r="BV1049" s="9" t="s">
        <v>158</v>
      </c>
      <c r="BW1049" s="10">
        <v>164</v>
      </c>
      <c r="BX1049" s="10">
        <v>161.69999999999999</v>
      </c>
      <c r="BY1049" s="10">
        <v>115</v>
      </c>
      <c r="BZ1049" s="10">
        <v>135</v>
      </c>
      <c r="CA1049" s="10">
        <v>124</v>
      </c>
      <c r="CB1049" s="10">
        <v>93</v>
      </c>
      <c r="CC1049" s="10">
        <v>108</v>
      </c>
      <c r="CD1049" s="10">
        <v>19.5</v>
      </c>
      <c r="CE1049" s="10">
        <v>1113</v>
      </c>
      <c r="CF1049" s="10">
        <v>1.47</v>
      </c>
      <c r="CG1049" s="10">
        <v>1639</v>
      </c>
      <c r="CH1049" s="10">
        <v>186</v>
      </c>
      <c r="CI1049" s="10">
        <v>62</v>
      </c>
      <c r="CJ1049" s="10">
        <v>58</v>
      </c>
      <c r="CK1049" s="10">
        <v>267</v>
      </c>
      <c r="CL1049" s="10">
        <v>11</v>
      </c>
      <c r="CM1049" s="10">
        <v>201</v>
      </c>
      <c r="CN1049" s="10">
        <v>0.19600000000000001</v>
      </c>
      <c r="CO1049" s="10">
        <v>142</v>
      </c>
      <c r="CP1049" s="10">
        <v>120</v>
      </c>
      <c r="CQ1049" s="10">
        <v>125</v>
      </c>
      <c r="CR1049" s="10">
        <v>3</v>
      </c>
      <c r="CS1049" s="10">
        <v>10</v>
      </c>
      <c r="CT1049" s="9" t="s">
        <v>185</v>
      </c>
      <c r="CU1049" s="9" t="s">
        <v>198</v>
      </c>
      <c r="CV1049" s="10"/>
      <c r="CW1049" s="10"/>
      <c r="CX1049" t="str">
        <f>INDEX('Data_Price '!AG$2:AG$1266,MATCH(Data!$DN1049,'Data_Price '!$AT$2:$AT$1266,0))</f>
        <v>2022 Blizzard Zero G 95 Skis w/ Marker Kingpin 13 Binding - Light Blue - 164| Ski Essentials</v>
      </c>
      <c r="CY1049" t="str">
        <f>INDEX('Data_Price '!AH$2:AH$1266,MATCH(Data!$DN1049,'Data_Price '!$AT$2:$AT$1266,0))</f>
        <v>SkiEssentials.com</v>
      </c>
      <c r="CZ1049">
        <f>INDEX('Data_Price '!AI$2:AI$1266,MATCH(Data!$DN1049,'Data_Price '!$AT$2:$AT$1266,0))</f>
        <v>1050</v>
      </c>
      <c r="DA1049" t="str">
        <f>INDEX('Data_Price '!AJ$2:AJ$1266,MATCH(Data!$DN1049,'Data_Price '!$AT$2:$AT$1266,0))</f>
        <v>https://tinyurl.com/yatofs9r</v>
      </c>
      <c r="DB1049" t="str">
        <f>INDEX('Data_Price '!AK$2:AK$1266,MATCH(Data!$DN1049,'Data_Price '!$AT$2:$AT$1266,0))</f>
        <v>Blizzard Zero G 95 Ski - 2022 Light Blue, 164cm</v>
      </c>
      <c r="DC1049" t="str">
        <f>INDEX('Data_Price '!AL$2:AL$1266,MATCH(Data!$DN1049,'Data_Price '!$AT$2:$AT$1266,0))</f>
        <v>sunandski.com</v>
      </c>
      <c r="DD1049">
        <f>INDEX('Data_Price '!AM$2:AM$1266,MATCH(Data!$DN1049,'Data_Price '!$AT$2:$AT$1266,0))</f>
        <v>559.92999999999995</v>
      </c>
      <c r="DE1049" t="str">
        <f>INDEX('Data_Price '!AN$2:AN$1266,MATCH(Data!$DN1049,'Data_Price '!$AT$2:$AT$1266,0))</f>
        <v>https://tinyurl.com/ycatlej5</v>
      </c>
      <c r="DF1049" t="str">
        <f>INDEX('Data_Price '!AO$2:AO$1266,MATCH(Data!$DN1049,'Data_Price '!$AT$2:$AT$1266,0))</f>
        <v>Blizzard Zero G 95 Skis Men's 2022</v>
      </c>
      <c r="DG1049" t="str">
        <f>INDEX('Data_Price '!AP$2:AP$1266,MATCH(Data!$DN1049,'Data_Price '!$AT$2:$AT$1266,0))</f>
        <v>Level Nine Sports</v>
      </c>
      <c r="DH1049">
        <f>INDEX('Data_Price '!AQ$2:AQ$1266,MATCH(Data!$DN1049,'Data_Price '!$AT$2:$AT$1266,0))</f>
        <v>559.95000000000005</v>
      </c>
      <c r="DI1049" t="str">
        <f>INDEX('Data_Price '!AR$2:AR$1266,MATCH(Data!$DN1049,'Data_Price '!$AT$2:$AT$1266,0))</f>
        <v>https://tinyurl.com/ycmtp8mo</v>
      </c>
      <c r="DJ1049" s="89" t="str">
        <f t="shared" si="624"/>
        <v>https://tinyurl.com/yatofs9r</v>
      </c>
      <c r="DK1049" s="89" t="str">
        <f t="shared" si="625"/>
        <v>https://tinyurl.com/ycatlej5</v>
      </c>
      <c r="DL1049" s="89" t="str">
        <f t="shared" si="626"/>
        <v>https://tinyurl.com/ycmtp8mo</v>
      </c>
      <c r="DM1049" s="219" t="str">
        <f t="shared" si="627"/>
        <v>Zero G 95</v>
      </c>
      <c r="DN1049" s="89" t="str">
        <f t="shared" si="628"/>
        <v xml:space="preserve"> BlizzardZero G 95164 Unisex</v>
      </c>
      <c r="DO1049" s="221" t="s">
        <v>450</v>
      </c>
    </row>
    <row r="1050" spans="2:119" ht="15.6" customHeight="1">
      <c r="B1050" s="219" t="b">
        <f t="array" ref="B1050">IF(OR(ISERROR(K1050:P1050)),FALSE,TRUE)</f>
        <v>1</v>
      </c>
      <c r="C1050" s="43" t="b">
        <f>OR(BR1050=Driver!$G$50,Data!BR349=Driver!$H$50)</f>
        <v>1</v>
      </c>
      <c r="D1050" s="43" t="b">
        <f>OR(BV1050=Driver!$G$51,BV1050=Driver!$H$51)</f>
        <v>1</v>
      </c>
      <c r="E1050" s="43" t="b">
        <f>AND(BX1050&gt;Driver!$F$54,BX1050&lt;Driver!$G$54)</f>
        <v>0</v>
      </c>
      <c r="F1050" s="43" t="b">
        <f>CL1050&gt;Driver!$F$56</f>
        <v>1</v>
      </c>
      <c r="G1050" s="43" t="b">
        <f>AND(CB1050&gt;Driver!$F$55,CB1050&lt;Driver!$G$55)</f>
        <v>0</v>
      </c>
      <c r="H1050" s="43" t="b">
        <f t="shared" si="592"/>
        <v>0</v>
      </c>
      <c r="I1050" s="43">
        <f t="shared" si="593"/>
        <v>0</v>
      </c>
      <c r="J1050" s="43" t="b">
        <f t="array" ref="J1050">NOT(OR(($H$9:$H$1273=TRUE)*($I$9:$I$1273&gt;0)*($BT$9:$BT$1273=BT1050)*($K$9:$K$1273&gt;K1050)))</f>
        <v>1</v>
      </c>
      <c r="K1050" s="72">
        <f t="shared" si="594"/>
        <v>0.72313141039225159</v>
      </c>
      <c r="L1050" s="72">
        <f t="shared" si="595"/>
        <v>0.81912151225586949</v>
      </c>
      <c r="M1050" s="72">
        <f t="shared" si="596"/>
        <v>0.6271413085286337</v>
      </c>
      <c r="N1050" s="72">
        <f t="shared" si="597"/>
        <v>0.53297847388825248</v>
      </c>
      <c r="O1050" s="72">
        <f t="shared" si="598"/>
        <v>0.6514155848986084</v>
      </c>
      <c r="P1050" s="72">
        <f t="shared" si="599"/>
        <v>0.69702986679904022</v>
      </c>
      <c r="Q1050" s="72"/>
      <c r="R1050" s="72"/>
      <c r="S1050" s="72">
        <f t="shared" si="600"/>
        <v>0.57162360042797888</v>
      </c>
      <c r="T1050" s="72">
        <f t="shared" si="601"/>
        <v>0.53343894459883767</v>
      </c>
      <c r="U1050" s="72">
        <f t="shared" si="602"/>
        <v>0.62290641570130501</v>
      </c>
      <c r="V1050" s="72">
        <f t="shared" si="603"/>
        <v>0.52706323483492157</v>
      </c>
      <c r="W1050" s="72">
        <f t="shared" si="604"/>
        <v>0.76893767441860461</v>
      </c>
      <c r="X1050" s="72">
        <f t="shared" si="605"/>
        <v>0.18087848774413057</v>
      </c>
      <c r="Y1050" s="72">
        <f t="shared" si="606"/>
        <v>0.3728586914713663</v>
      </c>
      <c r="Z1050" s="72">
        <f t="shared" si="607"/>
        <v>0.46702152611174752</v>
      </c>
      <c r="AA1050" s="72">
        <f t="shared" si="608"/>
        <v>0.3485844151013916</v>
      </c>
      <c r="AB1050" s="72">
        <f t="shared" si="609"/>
        <v>0.30297013320095972</v>
      </c>
      <c r="AC1050" s="72"/>
      <c r="AD1050" s="72"/>
      <c r="AE1050" s="72">
        <f t="shared" si="610"/>
        <v>0.42837639957202112</v>
      </c>
      <c r="AF1050" s="72">
        <f t="shared" si="611"/>
        <v>0.46656105540116233</v>
      </c>
      <c r="AG1050" s="72">
        <f t="shared" si="612"/>
        <v>0.37709358429869499</v>
      </c>
      <c r="AH1050" s="72">
        <f t="shared" si="613"/>
        <v>0.47293676516507843</v>
      </c>
      <c r="AI1050" s="72">
        <f t="shared" si="614"/>
        <v>0.23106232558139536</v>
      </c>
      <c r="AJ1050" s="72">
        <f>(AV1050-Driver!$K$179)/(Driver!$L$179-Driver!$K$179)</f>
        <v>0.43509789702683099</v>
      </c>
      <c r="AK1050" s="72">
        <f>(AW1050-Driver!$K$180)/(Driver!$L$180-Driver!$K$180)</f>
        <v>0.56587244728605324</v>
      </c>
      <c r="AL1050" s="72">
        <f>(AX1050-Driver!$K$181)/(Driver!$L$181-Driver!$K$181)</f>
        <v>0.56870928982482771</v>
      </c>
      <c r="AM1050" s="72">
        <f>(AY1050-Driver!$K$182)/(Driver!$L$182-Driver!$K$182)</f>
        <v>9.8800605995654753E-2</v>
      </c>
      <c r="AN1050" s="72">
        <f>(AZ1050-Driver!$K$183)/(Driver!$L$183-Driver!$K$183)</f>
        <v>0.55718954248366015</v>
      </c>
      <c r="AO1050" s="72"/>
      <c r="AP1050" s="72"/>
      <c r="AQ1050" s="72">
        <f>(BC1050-Driver!$K$188)/(Driver!$L$188-Driver!$K$188)</f>
        <v>0.19162360042797888</v>
      </c>
      <c r="AR1050" s="72">
        <f>MIN((BD1050-Driver!$K$189)/(Driver!$L$189-Driver!$K$189),100%)</f>
        <v>8.3438944598837744E-2</v>
      </c>
      <c r="AS1050" s="72">
        <f>(BE1050-Driver!$K$190)/(Driver!$L$190-Driver!$K$190)</f>
        <v>0.13290641570130504</v>
      </c>
      <c r="AT1050" s="72">
        <f>(BF1050-Driver!$K$191)/(Driver!$L$191-Driver!$K$191)</f>
        <v>3.7063234834921605E-2</v>
      </c>
      <c r="AU1050" s="72">
        <f>(BG1050-Driver!$K$192)/(Driver!$L$192-Driver!$K$192)</f>
        <v>1.8937674418604649E-2</v>
      </c>
      <c r="AV1050" s="70">
        <f t="shared" si="615"/>
        <v>9.1575091575091569</v>
      </c>
      <c r="AW1050" s="70">
        <f t="shared" si="616"/>
        <v>57.02117674944752</v>
      </c>
      <c r="AX1050" s="70">
        <f t="shared" si="617"/>
        <v>6.1183836084234491</v>
      </c>
      <c r="AY1050" s="70">
        <f>IFERROR(Driver!$K$19/Data!BH1050/Data!BI1050*Data!BK1050*Data!BL1050,"")</f>
        <v>0.12096142099428689</v>
      </c>
      <c r="AZ1050" s="70">
        <f t="shared" si="618"/>
        <v>50.781831720029786</v>
      </c>
      <c r="BA1050" s="70"/>
      <c r="BB1050" s="70"/>
      <c r="BC1050" s="70">
        <f t="shared" si="619"/>
        <v>99.396493687650647</v>
      </c>
      <c r="BD1050" s="70">
        <f t="shared" si="620"/>
        <v>9.1050216360334897</v>
      </c>
      <c r="BE1050" s="70">
        <f t="shared" si="621"/>
        <v>0.13306109543718991</v>
      </c>
      <c r="BF1050" s="70">
        <f t="shared" si="622"/>
        <v>4.1860319906429746</v>
      </c>
      <c r="BG1050" s="70">
        <f t="shared" si="623"/>
        <v>7.1710116279069772E-2</v>
      </c>
      <c r="BH1050" s="67">
        <f>MAX((CE1050-Driver!$F$200)/(Driver!$G$200-Driver!$F$200)*$BI$1,1)</f>
        <v>6.1183836084234491</v>
      </c>
      <c r="BI1050" s="67">
        <f>MAX($BI$1*(BY1050-Driver!$F$201)/(Driver!$G$201-Driver!$F$201),1)</f>
        <v>7.8481012658227849</v>
      </c>
      <c r="BJ1050" s="67">
        <f>(CB1050-Driver!$F$206)/(Driver!$G$206-Driver!$F$206)*$BI$1</f>
        <v>5.7142857142857135</v>
      </c>
      <c r="BK1050" s="67">
        <f>(CD1050-Driver!$F$203)/(Driver!$G$203-Driver!$F$203)*$BI$1</f>
        <v>4.678899082568809</v>
      </c>
      <c r="BL1050" s="67">
        <f>MAX((CR1050-Driver!$F$202)/(Driver!$G$202-Driver!$F$202)*$BI$1,1)</f>
        <v>6.2068965517241379</v>
      </c>
      <c r="BM1050" s="67">
        <f>MAX((CH1050-Driver!$F$204)/(Driver!$G$204-Driver!$F$204)*$BI$1,1)</f>
        <v>6.4102564102564106</v>
      </c>
      <c r="BN1050" s="67">
        <f>(CI1050-Driver!$F$205)/(Driver!$G$205-Driver!$F$205)*$BI$1</f>
        <v>6.4705882352941178</v>
      </c>
      <c r="BO1050" s="67">
        <f>(CK1050-Driver!$F$207)/(Driver!$G$207-Driver!$F$207)*$BI$1</f>
        <v>1.623578076525336</v>
      </c>
      <c r="BP1050" s="67">
        <f>(CM1050-Driver!$F$208)/(Driver!$G$208-Driver!$F$208)*$BI$1</f>
        <v>2.1111111111111112</v>
      </c>
      <c r="BQ1050" s="67">
        <f>(CL1050-Driver!$F$209)/(Driver!$G$209-Driver!$F$209)*$BI$1</f>
        <v>2.8125</v>
      </c>
      <c r="BR1050" s="28" t="s">
        <v>155</v>
      </c>
      <c r="BS1050" s="8" t="s">
        <v>218</v>
      </c>
      <c r="BT1050" s="9" t="s">
        <v>254</v>
      </c>
      <c r="BU1050" s="10">
        <v>179</v>
      </c>
      <c r="BV1050" s="9" t="s">
        <v>158</v>
      </c>
      <c r="BW1050" s="10">
        <v>179</v>
      </c>
      <c r="BX1050" s="10">
        <v>177.7</v>
      </c>
      <c r="BY1050" s="10">
        <v>132</v>
      </c>
      <c r="BZ1050" s="10">
        <v>142</v>
      </c>
      <c r="CA1050" s="10">
        <v>132</v>
      </c>
      <c r="CB1050" s="10">
        <v>100</v>
      </c>
      <c r="CC1050" s="10">
        <v>115</v>
      </c>
      <c r="CD1050" s="10">
        <v>19.600000000000001</v>
      </c>
      <c r="CE1050" s="10">
        <v>1975</v>
      </c>
      <c r="CF1050" s="10">
        <v>0.99</v>
      </c>
      <c r="CG1050" s="10">
        <v>1953</v>
      </c>
      <c r="CH1050" s="10">
        <v>251</v>
      </c>
      <c r="CI1050" s="10">
        <v>143</v>
      </c>
      <c r="CJ1050" s="10">
        <v>47</v>
      </c>
      <c r="CK1050" s="10">
        <v>267</v>
      </c>
      <c r="CL1050" s="10">
        <v>18</v>
      </c>
      <c r="CM1050" s="10">
        <v>190</v>
      </c>
      <c r="CN1050" s="10">
        <v>0.38700000000000001</v>
      </c>
      <c r="CO1050" s="10">
        <v>189</v>
      </c>
      <c r="CP1050" s="10">
        <v>173</v>
      </c>
      <c r="CQ1050" s="10">
        <v>78</v>
      </c>
      <c r="CR1050" s="10">
        <v>7</v>
      </c>
      <c r="CS1050" s="10">
        <v>11.3</v>
      </c>
      <c r="CT1050" s="9" t="s">
        <v>188</v>
      </c>
      <c r="CU1050" s="10"/>
      <c r="CV1050" s="10"/>
      <c r="CW1050" s="10"/>
      <c r="CX1050" t="str">
        <f>INDEX('Data_Price '!AG$2:AG$1266,MATCH(Data!$DN1050,'Data_Price '!$AT$2:$AT$1266,0))</f>
        <v>DPS Pagoda Piste 100 C2 Ski 179 / Red</v>
      </c>
      <c r="CY1050" t="str">
        <f>INDEX('Data_Price '!AH$2:AH$1266,MATCH(Data!$DN1050,'Data_Price '!$AT$2:$AT$1266,0))</f>
        <v>Cripple Creek Backcountry</v>
      </c>
      <c r="CZ1050">
        <f>INDEX('Data_Price '!AI$2:AI$1266,MATCH(Data!$DN1050,'Data_Price '!$AT$2:$AT$1266,0))</f>
        <v>1029</v>
      </c>
      <c r="DA1050" t="str">
        <f>INDEX('Data_Price '!AJ$2:AJ$1266,MATCH(Data!$DN1050,'Data_Price '!$AT$2:$AT$1266,0))</f>
        <v>https://tinyurl.com/yasccpe9</v>
      </c>
      <c r="DB1050" t="str">
        <f>INDEX('Data_Price '!AK$2:AK$1266,MATCH(Data!$DN1050,'Data_Price '!$AT$2:$AT$1266,0))</f>
        <v>DPS Pagoda Piste 100 C2 Pinot Skis 179cm 2022</v>
      </c>
      <c r="DC1050" t="str">
        <f>INDEX('Data_Price '!AL$2:AL$1266,MATCH(Data!$DN1050,'Data_Price '!$AT$2:$AT$1266,0))</f>
        <v>SkiEssentials.com</v>
      </c>
      <c r="DD1050">
        <f>INDEX('Data_Price '!AM$2:AM$1266,MATCH(Data!$DN1050,'Data_Price '!$AT$2:$AT$1266,0))</f>
        <v>1039</v>
      </c>
      <c r="DE1050" t="str">
        <f>INDEX('Data_Price '!AN$2:AN$1266,MATCH(Data!$DN1050,'Data_Price '!$AT$2:$AT$1266,0))</f>
        <v>https://tinyurl.com/ybkutom6</v>
      </c>
      <c r="DF1050" t="str">
        <f>INDEX('Data_Price '!AO$2:AO$1266,MATCH(Data!$DN1050,'Data_Price '!$AT$2:$AT$1266,0))</f>
        <v>DPS Pagoda Piste 100 C2 Pinot Skis 179cm 2022</v>
      </c>
      <c r="DG1050" t="str">
        <f>INDEX('Data_Price '!AP$2:AP$1266,MATCH(Data!$DN1050,'Data_Price '!$AT$2:$AT$1266,0))</f>
        <v>Powder7 Ski Shop</v>
      </c>
      <c r="DH1050">
        <f>INDEX('Data_Price '!AQ$2:AQ$1266,MATCH(Data!$DN1050,'Data_Price '!$AT$2:$AT$1266,0))</f>
        <v>1039.2</v>
      </c>
      <c r="DI1050" t="str">
        <f>INDEX('Data_Price '!AR$2:AR$1266,MATCH(Data!$DN1050,'Data_Price '!$AT$2:$AT$1266,0))</f>
        <v>https://tinyurl.com/y7hfetsw</v>
      </c>
      <c r="DJ1050" s="89" t="str">
        <f t="shared" si="624"/>
        <v>https://tinyurl.com/yasccpe9</v>
      </c>
      <c r="DK1050" s="89" t="str">
        <f t="shared" si="625"/>
        <v>https://tinyurl.com/ybkutom6</v>
      </c>
      <c r="DL1050" s="89" t="str">
        <f t="shared" si="626"/>
        <v>https://tinyurl.com/y7hfetsw</v>
      </c>
      <c r="DM1050" s="219" t="str">
        <f t="shared" si="627"/>
        <v>Pagoda Piste 100 C2</v>
      </c>
      <c r="DN1050" s="89" t="str">
        <f t="shared" si="628"/>
        <v xml:space="preserve"> DPSPagoda Piste 100 C2179 Unisex</v>
      </c>
      <c r="DO1050" s="221"/>
    </row>
    <row r="1051" spans="2:119" ht="15.6" customHeight="1">
      <c r="B1051" s="219" t="b">
        <f t="array" ref="B1051">IF(OR(ISERROR(K1051:P1051)),FALSE,TRUE)</f>
        <v>1</v>
      </c>
      <c r="C1051" s="43" t="b">
        <f>OR(BR1051=Driver!$G$50,Data!BR737=Driver!$H$50)</f>
        <v>1</v>
      </c>
      <c r="D1051" s="43" t="b">
        <f>OR(BV1051=Driver!$G$51,BV1051=Driver!$H$51)</f>
        <v>0</v>
      </c>
      <c r="E1051" s="43" t="b">
        <f>AND(BX1051&gt;Driver!$F$54,BX1051&lt;Driver!$G$54)</f>
        <v>1</v>
      </c>
      <c r="F1051" s="43" t="b">
        <f>CL1051&gt;Driver!$F$56</f>
        <v>1</v>
      </c>
      <c r="G1051" s="43" t="b">
        <f>AND(CB1051&gt;Driver!$F$55,CB1051&lt;Driver!$G$55)</f>
        <v>0</v>
      </c>
      <c r="H1051" s="43" t="b">
        <f t="shared" si="592"/>
        <v>0</v>
      </c>
      <c r="I1051" s="43">
        <f t="shared" si="593"/>
        <v>0</v>
      </c>
      <c r="J1051" s="43" t="b">
        <f t="array" ref="J1051">NOT(OR(($H$9:$H$1273=TRUE)*($I$9:$I$1273&gt;0)*($BT$9:$BT$1273=BT1051)*($K$9:$K$1273&gt;K1051)))</f>
        <v>1</v>
      </c>
      <c r="K1051" s="72">
        <f t="shared" si="594"/>
        <v>0.79707233982730041</v>
      </c>
      <c r="L1051" s="72">
        <f t="shared" si="595"/>
        <v>0.79291619622853959</v>
      </c>
      <c r="M1051" s="72">
        <f t="shared" si="596"/>
        <v>0.80122848342606123</v>
      </c>
      <c r="N1051" s="72">
        <f t="shared" si="597"/>
        <v>0.89091181986940726</v>
      </c>
      <c r="O1051" s="72">
        <f t="shared" si="598"/>
        <v>0.64346362792677103</v>
      </c>
      <c r="P1051" s="72">
        <f t="shared" si="599"/>
        <v>0.86931000248200541</v>
      </c>
      <c r="Q1051" s="72"/>
      <c r="R1051" s="72"/>
      <c r="S1051" s="72">
        <f t="shared" si="600"/>
        <v>0.39899245400412275</v>
      </c>
      <c r="T1051" s="72">
        <f t="shared" si="601"/>
        <v>0.46156090903856983</v>
      </c>
      <c r="U1051" s="72">
        <f t="shared" si="602"/>
        <v>0.90102337472138128</v>
      </c>
      <c r="V1051" s="72">
        <f t="shared" si="603"/>
        <v>0.52701942099978671</v>
      </c>
      <c r="W1051" s="72">
        <f t="shared" si="604"/>
        <v>0.9494106090373281</v>
      </c>
      <c r="X1051" s="72">
        <f t="shared" si="605"/>
        <v>0.20708380377146041</v>
      </c>
      <c r="Y1051" s="72">
        <f t="shared" si="606"/>
        <v>0.19877151657393874</v>
      </c>
      <c r="Z1051" s="72">
        <f t="shared" si="607"/>
        <v>0.1090881801305927</v>
      </c>
      <c r="AA1051" s="72">
        <f t="shared" si="608"/>
        <v>0.35653637207322897</v>
      </c>
      <c r="AB1051" s="72">
        <f t="shared" si="609"/>
        <v>0.13068999751799457</v>
      </c>
      <c r="AC1051" s="72"/>
      <c r="AD1051" s="72"/>
      <c r="AE1051" s="72">
        <f t="shared" si="610"/>
        <v>0.60100754599587725</v>
      </c>
      <c r="AF1051" s="72">
        <f t="shared" si="611"/>
        <v>0.53843909096143017</v>
      </c>
      <c r="AG1051" s="72">
        <f t="shared" si="612"/>
        <v>9.8976625278618724E-2</v>
      </c>
      <c r="AH1051" s="72">
        <f t="shared" si="613"/>
        <v>0.47298057900021329</v>
      </c>
      <c r="AI1051" s="72">
        <f t="shared" si="614"/>
        <v>5.0589390962671898E-2</v>
      </c>
      <c r="AJ1051" s="72">
        <f>(AV1051-Driver!$K$179)/(Driver!$L$179-Driver!$K$179)</f>
        <v>4.713560551124002E-2</v>
      </c>
      <c r="AK1051" s="72">
        <f>(AW1051-Driver!$K$180)/(Driver!$L$180-Driver!$K$180)</f>
        <v>0.12717872320638637</v>
      </c>
      <c r="AL1051" s="72">
        <f>(AX1051-Driver!$K$181)/(Driver!$L$181-Driver!$K$181)</f>
        <v>0.21077594384367287</v>
      </c>
      <c r="AM1051" s="72">
        <f>(AY1051-Driver!$K$182)/(Driver!$L$182-Driver!$K$182)</f>
        <v>9.0848649023817396E-2</v>
      </c>
      <c r="AN1051" s="72">
        <f>(AZ1051-Driver!$K$183)/(Driver!$L$183-Driver!$K$183)</f>
        <v>0.12352941176470586</v>
      </c>
      <c r="AO1051" s="72"/>
      <c r="AP1051" s="72"/>
      <c r="AQ1051" s="72">
        <f>(BC1051-Driver!$K$188)/(Driver!$L$188-Driver!$K$188)</f>
        <v>1.8992454004122725E-2</v>
      </c>
      <c r="AR1051" s="72">
        <f>MIN((BD1051-Driver!$K$189)/(Driver!$L$189-Driver!$K$189),100%)</f>
        <v>1.1560909038569833E-2</v>
      </c>
      <c r="AS1051" s="72">
        <f>(BE1051-Driver!$K$190)/(Driver!$L$190-Driver!$K$190)</f>
        <v>0.60897662527861873</v>
      </c>
      <c r="AT1051" s="72">
        <f>(BF1051-Driver!$K$191)/(Driver!$L$191-Driver!$K$191)</f>
        <v>3.7019420999786744E-2</v>
      </c>
      <c r="AU1051" s="72">
        <f>(BG1051-Driver!$K$192)/(Driver!$L$192-Driver!$K$192)</f>
        <v>0.1994106090373281</v>
      </c>
      <c r="AV1051" s="70">
        <f t="shared" si="615"/>
        <v>0.99206349206349198</v>
      </c>
      <c r="AW1051" s="70">
        <f t="shared" si="616"/>
        <v>14.266586116047741</v>
      </c>
      <c r="AX1051" s="70">
        <f t="shared" si="617"/>
        <v>2.8969834945930559</v>
      </c>
      <c r="AY1051" s="70">
        <f>IFERROR(Driver!$K$19/Data!BH1051/Data!BI1051*Data!BK1051*Data!BL1051,"")</f>
        <v>0.1112258530257951</v>
      </c>
      <c r="AZ1051" s="70">
        <f t="shared" si="618"/>
        <v>11.258376768428889</v>
      </c>
      <c r="BA1051" s="70"/>
      <c r="BB1051" s="70"/>
      <c r="BC1051" s="70">
        <f t="shared" si="619"/>
        <v>9.8515179253366405</v>
      </c>
      <c r="BD1051" s="70">
        <f t="shared" si="620"/>
        <v>2.7439428492924853</v>
      </c>
      <c r="BE1051" s="70">
        <f t="shared" si="621"/>
        <v>0.6090463794475135</v>
      </c>
      <c r="BF1051" s="70">
        <f t="shared" si="622"/>
        <v>4.1810835257741052</v>
      </c>
      <c r="BG1051" s="70">
        <f t="shared" si="623"/>
        <v>0.7550957760314343</v>
      </c>
      <c r="BH1051" s="67">
        <f>MAX((CE1051-Driver!$F$200)/(Driver!$G$200-Driver!$F$200)*$BI$1,1)</f>
        <v>2.8969834945930559</v>
      </c>
      <c r="BI1051" s="67">
        <f>MAX($BI$1*(BY1051-Driver!$F$201)/(Driver!$G$201-Driver!$F$201),1)</f>
        <v>7.0886075949367084</v>
      </c>
      <c r="BJ1051" s="67">
        <f>(CB1051-Driver!$F$206)/(Driver!$G$206-Driver!$F$206)*$BI$1</f>
        <v>3.9682539682539679</v>
      </c>
      <c r="BK1051" s="67">
        <f>(CD1051-Driver!$F$203)/(Driver!$G$203-Driver!$F$203)*$BI$1</f>
        <v>1.7431192660550456</v>
      </c>
      <c r="BL1051" s="67">
        <f>MAX((CR1051-Driver!$F$202)/(Driver!$G$202-Driver!$F$202)*$BI$1,1)</f>
        <v>6.5517241379310338</v>
      </c>
      <c r="BM1051" s="67">
        <f>MAX((CH1051-Driver!$F$204)/(Driver!$G$204-Driver!$F$204)*$BI$1,1)</f>
        <v>1</v>
      </c>
      <c r="BN1051" s="67">
        <f>(CI1051-Driver!$F$205)/(Driver!$G$205-Driver!$F$205)*$BI$1</f>
        <v>1.588235294117647</v>
      </c>
      <c r="BO1051" s="67">
        <f>(CK1051-Driver!$F$207)/(Driver!$G$207-Driver!$F$207)*$BI$1</f>
        <v>1.1478800413650465</v>
      </c>
      <c r="BP1051" s="67">
        <f>(CM1051-Driver!$F$208)/(Driver!$G$208-Driver!$F$208)*$BI$1</f>
        <v>1.6</v>
      </c>
      <c r="BQ1051" s="67">
        <f>(CL1051-Driver!$F$209)/(Driver!$G$209-Driver!$F$209)*$BI$1</f>
        <v>2.1875</v>
      </c>
      <c r="BR1051" s="28" t="s">
        <v>155</v>
      </c>
      <c r="BS1051" s="8" t="s">
        <v>262</v>
      </c>
      <c r="BT1051" s="9" t="s">
        <v>808</v>
      </c>
      <c r="BU1051" s="10">
        <v>156</v>
      </c>
      <c r="BV1051" s="9" t="s">
        <v>163</v>
      </c>
      <c r="BW1051" s="10">
        <v>156</v>
      </c>
      <c r="BX1051" s="10">
        <v>156.5</v>
      </c>
      <c r="BY1051" s="10">
        <v>120</v>
      </c>
      <c r="BZ1051" s="10">
        <v>130</v>
      </c>
      <c r="CA1051" s="10">
        <v>126</v>
      </c>
      <c r="CB1051" s="10">
        <v>89</v>
      </c>
      <c r="CC1051" s="10">
        <v>112</v>
      </c>
      <c r="CD1051" s="10">
        <v>13.2</v>
      </c>
      <c r="CE1051" s="10">
        <v>1409</v>
      </c>
      <c r="CF1051" s="10">
        <v>1.1299999999999999</v>
      </c>
      <c r="CG1051" s="10">
        <v>1593</v>
      </c>
      <c r="CH1051" s="10">
        <v>118</v>
      </c>
      <c r="CI1051" s="10">
        <v>60</v>
      </c>
      <c r="CJ1051" s="10">
        <v>44</v>
      </c>
      <c r="CK1051" s="10">
        <v>221</v>
      </c>
      <c r="CL1051" s="10">
        <v>14</v>
      </c>
      <c r="CM1051" s="10">
        <v>144</v>
      </c>
      <c r="CN1051" s="10">
        <v>0.315</v>
      </c>
      <c r="CO1051" s="10">
        <v>145</v>
      </c>
      <c r="CP1051" s="10">
        <v>120</v>
      </c>
      <c r="CQ1051" s="10">
        <v>76</v>
      </c>
      <c r="CR1051" s="10">
        <v>8</v>
      </c>
      <c r="CS1051" s="10">
        <v>10.1</v>
      </c>
      <c r="CT1051" s="9" t="s">
        <v>188</v>
      </c>
      <c r="CU1051" s="9" t="s">
        <v>185</v>
      </c>
      <c r="CV1051" s="10"/>
      <c r="CW1051" s="10"/>
      <c r="CX1051" t="e">
        <f>INDEX('Data_Price '!AG$2:AG$1266,MATCH(Data!$DN1051,'Data_Price '!$AT$2:$AT$1266,0))</f>
        <v>#N/A</v>
      </c>
      <c r="CY1051" t="e">
        <f>INDEX('Data_Price '!AH$2:AH$1266,MATCH(Data!$DN1051,'Data_Price '!$AT$2:$AT$1266,0))</f>
        <v>#N/A</v>
      </c>
      <c r="CZ1051" t="e">
        <f>INDEX('Data_Price '!AI$2:AI$1266,MATCH(Data!$DN1051,'Data_Price '!$AT$2:$AT$1266,0))</f>
        <v>#N/A</v>
      </c>
      <c r="DA1051" t="e">
        <f>INDEX('Data_Price '!AJ$2:AJ$1266,MATCH(Data!$DN1051,'Data_Price '!$AT$2:$AT$1266,0))</f>
        <v>#N/A</v>
      </c>
      <c r="DB1051" t="e">
        <f>INDEX('Data_Price '!AK$2:AK$1266,MATCH(Data!$DN1051,'Data_Price '!$AT$2:$AT$1266,0))</f>
        <v>#N/A</v>
      </c>
      <c r="DC1051" t="e">
        <f>INDEX('Data_Price '!AL$2:AL$1266,MATCH(Data!$DN1051,'Data_Price '!$AT$2:$AT$1266,0))</f>
        <v>#N/A</v>
      </c>
      <c r="DD1051" t="e">
        <f>INDEX('Data_Price '!AM$2:AM$1266,MATCH(Data!$DN1051,'Data_Price '!$AT$2:$AT$1266,0))</f>
        <v>#N/A</v>
      </c>
      <c r="DE1051" t="e">
        <f>INDEX('Data_Price '!AN$2:AN$1266,MATCH(Data!$DN1051,'Data_Price '!$AT$2:$AT$1266,0))</f>
        <v>#N/A</v>
      </c>
      <c r="DF1051" t="e">
        <f>INDEX('Data_Price '!AO$2:AO$1266,MATCH(Data!$DN1051,'Data_Price '!$AT$2:$AT$1266,0))</f>
        <v>#N/A</v>
      </c>
      <c r="DG1051" t="e">
        <f>INDEX('Data_Price '!AP$2:AP$1266,MATCH(Data!$DN1051,'Data_Price '!$AT$2:$AT$1266,0))</f>
        <v>#N/A</v>
      </c>
      <c r="DH1051" t="e">
        <f>INDEX('Data_Price '!AQ$2:AQ$1266,MATCH(Data!$DN1051,'Data_Price '!$AT$2:$AT$1266,0))</f>
        <v>#N/A</v>
      </c>
      <c r="DI1051" t="e">
        <f>INDEX('Data_Price '!AR$2:AR$1266,MATCH(Data!$DN1051,'Data_Price '!$AT$2:$AT$1266,0))</f>
        <v>#N/A</v>
      </c>
      <c r="DJ1051" s="89" t="e">
        <f t="shared" si="624"/>
        <v>#N/A</v>
      </c>
      <c r="DK1051" s="89" t="e">
        <f t="shared" si="625"/>
        <v>#N/A</v>
      </c>
      <c r="DL1051" s="89" t="e">
        <f t="shared" si="626"/>
        <v>#N/A</v>
      </c>
      <c r="DM1051" s="219" t="str">
        <f t="shared" si="627"/>
        <v>Mindbender 90 C Alliance</v>
      </c>
      <c r="DN1051" s="89" t="str">
        <f t="shared" si="628"/>
        <v xml:space="preserve"> K2Mindbender 90 C Alliance156 Women's</v>
      </c>
      <c r="DO1051" s="221"/>
    </row>
    <row r="1052" spans="2:119" ht="15.6" customHeight="1">
      <c r="B1052" s="219" t="b">
        <f t="array" ref="B1052">IF(OR(ISERROR(K1052:P1052)),FALSE,TRUE)</f>
        <v>1</v>
      </c>
      <c r="C1052" s="43" t="b">
        <f>OR(BR1052=Driver!$G$50,Data!BR125=Driver!$H$50)</f>
        <v>1</v>
      </c>
      <c r="D1052" s="43" t="b">
        <f>OR(BV1052=Driver!$G$51,BV1052=Driver!$H$51)</f>
        <v>1</v>
      </c>
      <c r="E1052" s="43" t="b">
        <f>AND(BX1052&gt;Driver!$F$54,BX1052&lt;Driver!$G$54)</f>
        <v>1</v>
      </c>
      <c r="F1052" s="43" t="b">
        <f>CL1052&gt;Driver!$F$56</f>
        <v>1</v>
      </c>
      <c r="G1052" s="43" t="b">
        <f>AND(CB1052&gt;Driver!$F$55,CB1052&lt;Driver!$G$55)</f>
        <v>0</v>
      </c>
      <c r="H1052" s="43" t="b">
        <f t="shared" si="592"/>
        <v>0</v>
      </c>
      <c r="I1052" s="43">
        <f t="shared" si="593"/>
        <v>0</v>
      </c>
      <c r="J1052" s="43" t="b">
        <f t="array" ref="J1052">NOT(OR(($H$9:$H$1273=TRUE)*($I$9:$I$1273&gt;0)*($BT$9:$BT$1273=BT1052)*($K$9:$K$1273&gt;K1052)))</f>
        <v>1</v>
      </c>
      <c r="K1052" s="72">
        <f t="shared" si="594"/>
        <v>0.87746844746831432</v>
      </c>
      <c r="L1052" s="72">
        <f t="shared" si="595"/>
        <v>0.85068752811154658</v>
      </c>
      <c r="M1052" s="72">
        <f t="shared" si="596"/>
        <v>0.90424936682508217</v>
      </c>
      <c r="N1052" s="72">
        <f t="shared" si="597"/>
        <v>0.9642706249544718</v>
      </c>
      <c r="O1052" s="72">
        <f t="shared" si="598"/>
        <v>0.83398773447667773</v>
      </c>
      <c r="P1052" s="72">
        <f t="shared" si="599"/>
        <v>0.91448974104409697</v>
      </c>
      <c r="Q1052" s="72"/>
      <c r="R1052" s="72"/>
      <c r="S1052" s="72">
        <f t="shared" si="600"/>
        <v>0.43362392573417619</v>
      </c>
      <c r="T1052" s="72">
        <f t="shared" si="601"/>
        <v>0.45745497496680387</v>
      </c>
      <c r="U1052" s="72">
        <f t="shared" si="602"/>
        <v>0.51</v>
      </c>
      <c r="V1052" s="72">
        <f t="shared" si="603"/>
        <v>0.50940601404887476</v>
      </c>
      <c r="W1052" s="72">
        <f t="shared" si="604"/>
        <v>0.84772465437788025</v>
      </c>
      <c r="X1052" s="72">
        <f t="shared" si="605"/>
        <v>0.14931247188845342</v>
      </c>
      <c r="Y1052" s="72">
        <f t="shared" si="606"/>
        <v>9.5750633174917832E-2</v>
      </c>
      <c r="Z1052" s="72">
        <f t="shared" si="607"/>
        <v>3.5729375045528172E-2</v>
      </c>
      <c r="AA1052" s="72">
        <f t="shared" si="608"/>
        <v>0.16601226552332227</v>
      </c>
      <c r="AB1052" s="72">
        <f t="shared" si="609"/>
        <v>8.5510258955903057E-2</v>
      </c>
      <c r="AC1052" s="72"/>
      <c r="AD1052" s="72"/>
      <c r="AE1052" s="72">
        <f t="shared" si="610"/>
        <v>0.56637607426582381</v>
      </c>
      <c r="AF1052" s="72">
        <f t="shared" si="611"/>
        <v>0.54254502503319613</v>
      </c>
      <c r="AG1052" s="72">
        <f t="shared" si="612"/>
        <v>0.49</v>
      </c>
      <c r="AH1052" s="72">
        <f t="shared" si="613"/>
        <v>0.4905939859511253</v>
      </c>
      <c r="AI1052" s="72">
        <f t="shared" si="614"/>
        <v>0.15227534562211981</v>
      </c>
      <c r="AJ1052" s="72">
        <f>(AV1052-Driver!$K$179)/(Driver!$L$179-Driver!$K$179)</f>
        <v>0.10490693739424702</v>
      </c>
      <c r="AK1052" s="72">
        <f>(AW1052-Driver!$K$180)/(Driver!$L$180-Driver!$K$180)</f>
        <v>0.15844881386182036</v>
      </c>
      <c r="AL1052" s="72">
        <f>(AX1052-Driver!$K$181)/(Driver!$L$181-Driver!$K$181)</f>
        <v>6.5958388667552006E-2</v>
      </c>
      <c r="AM1052" s="72">
        <f>(AY1052-Driver!$K$182)/(Driver!$L$182-Driver!$K$182)</f>
        <v>0.2813727555737241</v>
      </c>
      <c r="AN1052" s="72">
        <f>(AZ1052-Driver!$K$183)/(Driver!$L$183-Driver!$K$183)</f>
        <v>0.16870915032679737</v>
      </c>
      <c r="AO1052" s="72"/>
      <c r="AP1052" s="72"/>
      <c r="AQ1052" s="72">
        <f>(BC1052-Driver!$K$188)/(Driver!$L$188-Driver!$K$188)</f>
        <v>5.3623925734176223E-2</v>
      </c>
      <c r="AR1052" s="72">
        <f>MIN((BD1052-Driver!$K$189)/(Driver!$L$189-Driver!$K$189),100%)</f>
        <v>7.4549749668038788E-3</v>
      </c>
      <c r="AS1052" s="72">
        <f>(BE1052-Driver!$K$190)/(Driver!$L$190-Driver!$K$190)</f>
        <v>1</v>
      </c>
      <c r="AT1052" s="72">
        <f>(BF1052-Driver!$K$191)/(Driver!$L$191-Driver!$K$191)</f>
        <v>1.9406014048874685E-2</v>
      </c>
      <c r="AU1052" s="72">
        <f>(BG1052-Driver!$K$192)/(Driver!$L$192-Driver!$K$192)</f>
        <v>9.7724654377880193E-2</v>
      </c>
      <c r="AV1052" s="70">
        <f t="shared" si="615"/>
        <v>2.2079772079772075</v>
      </c>
      <c r="AW1052" s="70">
        <f t="shared" si="616"/>
        <v>17.314133531610018</v>
      </c>
      <c r="AX1052" s="70">
        <f t="shared" si="617"/>
        <v>1.593625498007968</v>
      </c>
      <c r="AY1052" s="70">
        <f>IFERROR(Driver!$K$19/Data!BH1052/Data!BI1052*Data!BK1052*Data!BL1052,"")</f>
        <v>0.34448420634963201</v>
      </c>
      <c r="AZ1052" s="70">
        <f t="shared" si="618"/>
        <v>15.376023827252418</v>
      </c>
      <c r="BA1052" s="70"/>
      <c r="BB1052" s="70"/>
      <c r="BC1052" s="70">
        <f t="shared" si="619"/>
        <v>27.815103065800962</v>
      </c>
      <c r="BD1052" s="70">
        <f t="shared" si="620"/>
        <v>2.3805749592258723</v>
      </c>
      <c r="BE1052" s="70">
        <f t="shared" si="621"/>
        <v>1</v>
      </c>
      <c r="BF1052" s="70">
        <f t="shared" si="622"/>
        <v>2.1917729518556812</v>
      </c>
      <c r="BG1052" s="70">
        <f t="shared" si="623"/>
        <v>0.37004788306451619</v>
      </c>
      <c r="BH1052" s="67">
        <f>MAX((CE1052-Driver!$F$200)/(Driver!$G$200-Driver!$F$200)*$BI$1,1)</f>
        <v>1.593625498007968</v>
      </c>
      <c r="BI1052" s="67">
        <f>MAX($BI$1*(BY1052-Driver!$F$201)/(Driver!$G$201-Driver!$F$201),1)</f>
        <v>7.4683544303797467</v>
      </c>
      <c r="BJ1052" s="67">
        <f>(CB1052-Driver!$F$206)/(Driver!$G$206-Driver!$F$206)*$BI$1</f>
        <v>3.333333333333333</v>
      </c>
      <c r="BK1052" s="67">
        <f>(CD1052-Driver!$F$203)/(Driver!$G$203-Driver!$F$203)*$BI$1</f>
        <v>3.3027522935779823</v>
      </c>
      <c r="BL1052" s="67">
        <f>MAX((CR1052-Driver!$F$202)/(Driver!$G$202-Driver!$F$202)*$BI$1,1)</f>
        <v>6.2068965517241379</v>
      </c>
      <c r="BM1052" s="67">
        <f>MAX((CH1052-Driver!$F$204)/(Driver!$G$204-Driver!$F$204)*$BI$1,1)</f>
        <v>2.6495726495726495</v>
      </c>
      <c r="BN1052" s="67">
        <f>(CI1052-Driver!$F$205)/(Driver!$G$205-Driver!$F$205)*$BI$1</f>
        <v>2.0588235294117645</v>
      </c>
      <c r="BO1052" s="67">
        <f>(CK1052-Driver!$F$207)/(Driver!$G$207-Driver!$F$207)*$BI$1</f>
        <v>1.3960703205791105</v>
      </c>
      <c r="BP1052" s="67">
        <f>(CM1052-Driver!$F$208)/(Driver!$G$208-Driver!$F$208)*$BI$1</f>
        <v>1.5555555555555556</v>
      </c>
      <c r="BQ1052" s="67">
        <f>(CL1052-Driver!$F$209)/(Driver!$G$209-Driver!$F$209)*$BI$1</f>
        <v>1.5625</v>
      </c>
      <c r="BR1052" s="28" t="s">
        <v>155</v>
      </c>
      <c r="BS1052" s="8" t="s">
        <v>156</v>
      </c>
      <c r="BT1052" s="9" t="s">
        <v>536</v>
      </c>
      <c r="BU1052" s="10">
        <v>165</v>
      </c>
      <c r="BV1052" s="9" t="s">
        <v>158</v>
      </c>
      <c r="BW1052" s="10">
        <v>165</v>
      </c>
      <c r="BX1052" s="10">
        <v>164.1</v>
      </c>
      <c r="BY1052" s="10">
        <v>126</v>
      </c>
      <c r="BZ1052" s="10">
        <v>135</v>
      </c>
      <c r="CA1052" s="10">
        <v>115</v>
      </c>
      <c r="CB1052" s="10">
        <v>85</v>
      </c>
      <c r="CC1052" s="10">
        <v>104</v>
      </c>
      <c r="CD1052" s="10">
        <v>16.600000000000001</v>
      </c>
      <c r="CE1052" s="10">
        <v>1180</v>
      </c>
      <c r="CF1052" s="10">
        <v>1.32</v>
      </c>
      <c r="CG1052" s="10">
        <v>1557</v>
      </c>
      <c r="CH1052" s="10">
        <v>163</v>
      </c>
      <c r="CI1052" s="10">
        <v>68</v>
      </c>
      <c r="CJ1052" s="10">
        <v>52</v>
      </c>
      <c r="CK1052" s="10">
        <v>245</v>
      </c>
      <c r="CL1052" s="10">
        <v>10</v>
      </c>
      <c r="CM1052" s="10">
        <v>140</v>
      </c>
      <c r="CN1052" s="10">
        <v>0.2</v>
      </c>
      <c r="CO1052" s="10">
        <v>172</v>
      </c>
      <c r="CP1052" s="10">
        <v>118</v>
      </c>
      <c r="CQ1052" s="10">
        <v>74</v>
      </c>
      <c r="CR1052" s="10">
        <v>7</v>
      </c>
      <c r="CS1052" s="10">
        <v>12.5</v>
      </c>
      <c r="CT1052" s="9" t="s">
        <v>185</v>
      </c>
      <c r="CU1052" s="9" t="s">
        <v>198</v>
      </c>
      <c r="CV1052" s="10"/>
      <c r="CW1052" s="10"/>
      <c r="CX1052" t="str">
        <f>INDEX('Data_Price '!AG$2:AG$1266,MATCH(Data!$DN1052,'Data_Price '!$AT$2:$AT$1266,0))</f>
        <v>Atomic W Backland 86 SL Alpine Touring Ski 165</v>
      </c>
      <c r="CY1052" t="str">
        <f>INDEX('Data_Price '!AH$2:AH$1266,MATCH(Data!$DN1052,'Data_Price '!$AT$2:$AT$1266,0))</f>
        <v>Cripple Creek Backcountry</v>
      </c>
      <c r="CZ1052">
        <f>INDEX('Data_Price '!AI$2:AI$1266,MATCH(Data!$DN1052,'Data_Price '!$AT$2:$AT$1266,0))</f>
        <v>850</v>
      </c>
      <c r="DA1052" t="str">
        <f>INDEX('Data_Price '!AJ$2:AJ$1266,MATCH(Data!$DN1052,'Data_Price '!$AT$2:$AT$1266,0))</f>
        <v>https://tinyurl.com/y9qpxzs4</v>
      </c>
      <c r="DB1052" t="str">
        <f>INDEX('Data_Price '!AK$2:AK$1266,MATCH(Data!$DN1052,'Data_Price '!$AT$2:$AT$1266,0))</f>
        <v>2022 Atomic Backland 85 W Skis w/ Salomon Shift 10 MNC Bindings &amp; Hybrid Skin 85 - 165| Ski Essentials</v>
      </c>
      <c r="DC1052" t="str">
        <f>INDEX('Data_Price '!AL$2:AL$1266,MATCH(Data!$DN1052,'Data_Price '!$AT$2:$AT$1266,0))</f>
        <v>SkiEssentials.com</v>
      </c>
      <c r="DD1052">
        <f>INDEX('Data_Price '!AM$2:AM$1266,MATCH(Data!$DN1052,'Data_Price '!$AT$2:$AT$1266,0))</f>
        <v>1100</v>
      </c>
      <c r="DE1052" t="str">
        <f>INDEX('Data_Price '!AN$2:AN$1266,MATCH(Data!$DN1052,'Data_Price '!$AT$2:$AT$1266,0))</f>
        <v>https://tinyurl.com/y7fr9ogc</v>
      </c>
      <c r="DF1052" t="str">
        <f>INDEX('Data_Price '!AO$2:AO$1266,MATCH(Data!$DN1052,'Data_Price '!$AT$2:$AT$1266,0))</f>
        <v>Atomic Backland 85 Women Ski 2023</v>
      </c>
      <c r="DG1052" t="str">
        <f>INDEX('Data_Price '!AP$2:AP$1266,MATCH(Data!$DN1052,'Data_Price '!$AT$2:$AT$1266,0))</f>
        <v>Telemark Pyrenees</v>
      </c>
      <c r="DH1052">
        <f>INDEX('Data_Price '!AQ$2:AQ$1266,MATCH(Data!$DN1052,'Data_Price '!$AT$2:$AT$1266,0))</f>
        <v>302.45999999999998</v>
      </c>
      <c r="DI1052" t="str">
        <f>INDEX('Data_Price '!AR$2:AR$1266,MATCH(Data!$DN1052,'Data_Price '!$AT$2:$AT$1266,0))</f>
        <v>https://tinyurl.com/yd49zv3x</v>
      </c>
      <c r="DJ1052" s="89" t="str">
        <f t="shared" si="624"/>
        <v>https://tinyurl.com/y9qpxzs4</v>
      </c>
      <c r="DK1052" s="89" t="str">
        <f t="shared" si="625"/>
        <v>https://tinyurl.com/y7fr9ogc</v>
      </c>
      <c r="DL1052" s="89" t="str">
        <f t="shared" si="626"/>
        <v>https://tinyurl.com/yd49zv3x</v>
      </c>
      <c r="DM1052" s="219" t="str">
        <f t="shared" si="627"/>
        <v>Backland 86 SL</v>
      </c>
      <c r="DN1052" s="89" t="str">
        <f t="shared" si="628"/>
        <v xml:space="preserve"> AtomicBackland 86 SL165 Unisex</v>
      </c>
      <c r="DO1052" s="221"/>
    </row>
    <row r="1053" spans="2:119" ht="15.6" customHeight="1">
      <c r="B1053" s="219" t="b">
        <f t="array" ref="B1053">IF(OR(ISERROR(K1053:P1053)),FALSE,TRUE)</f>
        <v>1</v>
      </c>
      <c r="C1053" s="43" t="b">
        <f>OR(BR1053=Driver!$G$50,Data!BR834=Driver!$H$50)</f>
        <v>1</v>
      </c>
      <c r="D1053" s="43" t="b">
        <f>OR(BV1053=Driver!$G$51,BV1053=Driver!$H$51)</f>
        <v>1</v>
      </c>
      <c r="E1053" s="43" t="b">
        <f>AND(BX1053&gt;Driver!$F$54,BX1053&lt;Driver!$G$54)</f>
        <v>1</v>
      </c>
      <c r="F1053" s="43" t="b">
        <f>CL1053&gt;Driver!$F$56</f>
        <v>1</v>
      </c>
      <c r="G1053" s="43" t="b">
        <f>AND(CB1053&gt;Driver!$F$55,CB1053&lt;Driver!$G$55)</f>
        <v>0</v>
      </c>
      <c r="H1053" s="43" t="b">
        <f t="shared" si="592"/>
        <v>0</v>
      </c>
      <c r="I1053" s="43">
        <f t="shared" si="593"/>
        <v>0</v>
      </c>
      <c r="J1053" s="43" t="b">
        <f t="array" ref="J1053">NOT(OR(($H$9:$H$1273=TRUE)*($I$9:$I$1273&gt;0)*($BT$9:$BT$1273=BT1053)*($K$9:$K$1273&gt;K1053)))</f>
        <v>1</v>
      </c>
      <c r="K1053" s="72">
        <f t="shared" si="594"/>
        <v>0.80354874440796942</v>
      </c>
      <c r="L1053" s="72">
        <f t="shared" si="595"/>
        <v>0.83715114909293409</v>
      </c>
      <c r="M1053" s="72">
        <f t="shared" si="596"/>
        <v>0.76994633972300475</v>
      </c>
      <c r="N1053" s="72">
        <f t="shared" si="597"/>
        <v>0.82324597531113231</v>
      </c>
      <c r="O1053" s="72">
        <f t="shared" si="598"/>
        <v>0.65159676686607271</v>
      </c>
      <c r="P1053" s="72">
        <f t="shared" si="599"/>
        <v>0.83499627699180934</v>
      </c>
      <c r="Q1053" s="72"/>
      <c r="R1053" s="72"/>
      <c r="S1053" s="72">
        <f t="shared" si="600"/>
        <v>0.39771440755438059</v>
      </c>
      <c r="T1053" s="72">
        <f t="shared" si="601"/>
        <v>0.46479269787738875</v>
      </c>
      <c r="U1053" s="72">
        <f t="shared" si="602"/>
        <v>0.52055561656490612</v>
      </c>
      <c r="V1053" s="72">
        <f t="shared" si="603"/>
        <v>0.5989942390018046</v>
      </c>
      <c r="W1053" s="72">
        <f t="shared" si="604"/>
        <v>0.941807745825603</v>
      </c>
      <c r="X1053" s="72">
        <f t="shared" si="605"/>
        <v>0.16284885090706591</v>
      </c>
      <c r="Y1053" s="72">
        <f t="shared" si="606"/>
        <v>0.23005366027699523</v>
      </c>
      <c r="Z1053" s="72">
        <f t="shared" si="607"/>
        <v>0.17675402468886764</v>
      </c>
      <c r="AA1053" s="72">
        <f t="shared" si="608"/>
        <v>0.34840323313392729</v>
      </c>
      <c r="AB1053" s="72">
        <f t="shared" si="609"/>
        <v>0.16500372300819061</v>
      </c>
      <c r="AC1053" s="72"/>
      <c r="AD1053" s="72"/>
      <c r="AE1053" s="72">
        <f t="shared" si="610"/>
        <v>0.60228559244561941</v>
      </c>
      <c r="AF1053" s="72">
        <f t="shared" si="611"/>
        <v>0.53520730212261125</v>
      </c>
      <c r="AG1053" s="72">
        <f t="shared" si="612"/>
        <v>0.47944438343509382</v>
      </c>
      <c r="AH1053" s="72">
        <f t="shared" si="613"/>
        <v>0.40100576099819546</v>
      </c>
      <c r="AI1053" s="72">
        <f t="shared" si="614"/>
        <v>5.8192254174396996E-2</v>
      </c>
      <c r="AJ1053" s="72">
        <f>(AV1053-Driver!$K$179)/(Driver!$L$179-Driver!$K$179)</f>
        <v>9.1370558375634514E-2</v>
      </c>
      <c r="AK1053" s="72">
        <f>(AW1053-Driver!$K$180)/(Driver!$L$180-Driver!$K$180)</f>
        <v>0.10144092094666042</v>
      </c>
      <c r="AL1053" s="72">
        <f>(AX1053-Driver!$K$181)/(Driver!$L$181-Driver!$K$181)</f>
        <v>0.27844178840194783</v>
      </c>
      <c r="AM1053" s="72">
        <f>(AY1053-Driver!$K$182)/(Driver!$L$182-Driver!$K$182)</f>
        <v>9.89817879631191E-2</v>
      </c>
      <c r="AN1053" s="72">
        <f>(AZ1053-Driver!$K$183)/(Driver!$L$183-Driver!$K$183)</f>
        <v>8.921568627450982E-2</v>
      </c>
      <c r="AO1053" s="72"/>
      <c r="AP1053" s="72"/>
      <c r="AQ1053" s="72">
        <f>(BC1053-Driver!$K$188)/(Driver!$L$188-Driver!$K$188)</f>
        <v>1.7714407554380543E-2</v>
      </c>
      <c r="AR1053" s="72">
        <f>MIN((BD1053-Driver!$K$189)/(Driver!$L$189-Driver!$K$189),100%)</f>
        <v>1.479269787738882E-2</v>
      </c>
      <c r="AS1053" s="72">
        <f>(BE1053-Driver!$K$190)/(Driver!$L$190-Driver!$K$190)</f>
        <v>3.0555616564906178E-2</v>
      </c>
      <c r="AT1053" s="72">
        <f>(BF1053-Driver!$K$191)/(Driver!$L$191-Driver!$K$191)</f>
        <v>0.10899423900180455</v>
      </c>
      <c r="AU1053" s="72">
        <f>(BG1053-Driver!$K$192)/(Driver!$L$192-Driver!$K$192)</f>
        <v>0.308192254174397</v>
      </c>
      <c r="AV1053" s="70">
        <f t="shared" si="615"/>
        <v>1.9230769230769231</v>
      </c>
      <c r="AW1053" s="70">
        <f t="shared" si="616"/>
        <v>11.75820922570923</v>
      </c>
      <c r="AX1053" s="70">
        <f t="shared" si="617"/>
        <v>3.5059760956175303</v>
      </c>
      <c r="AY1053" s="70">
        <f>IFERROR(Driver!$K$19/Data!BH1053/Data!BI1053*Data!BK1053*Data!BL1053,"")</f>
        <v>0.12118324178194471</v>
      </c>
      <c r="AZ1053" s="70">
        <f t="shared" si="618"/>
        <v>8.1310498883097555</v>
      </c>
      <c r="BA1053" s="70"/>
      <c r="BB1053" s="70"/>
      <c r="BC1053" s="70">
        <f t="shared" si="619"/>
        <v>9.1885863470205944</v>
      </c>
      <c r="BD1053" s="70">
        <f t="shared" si="620"/>
        <v>3.0299504351369917</v>
      </c>
      <c r="BE1053" s="70">
        <f t="shared" si="621"/>
        <v>3.0728554531349678E-2</v>
      </c>
      <c r="BF1053" s="70">
        <f t="shared" si="622"/>
        <v>12.310133567387659</v>
      </c>
      <c r="BG1053" s="70">
        <f t="shared" si="623"/>
        <v>1.1670124797077921</v>
      </c>
      <c r="BH1053" s="67">
        <f>MAX((CE1053-Driver!$F$200)/(Driver!$G$200-Driver!$F$200)*$BI$1,1)</f>
        <v>3.5059760956175303</v>
      </c>
      <c r="BI1053" s="67">
        <f>MAX($BI$1*(BY1053-Driver!$F$201)/(Driver!$G$201-Driver!$F$201),1)</f>
        <v>5.3164556962025316</v>
      </c>
      <c r="BJ1053" s="67">
        <f>(CB1053-Driver!$F$206)/(Driver!$G$206-Driver!$F$206)*$BI$1</f>
        <v>4.2857142857142856</v>
      </c>
      <c r="BK1053" s="67">
        <f>(CD1053-Driver!$F$203)/(Driver!$G$203-Driver!$F$203)*$BI$1</f>
        <v>2.3394495412844036</v>
      </c>
      <c r="BL1053" s="67">
        <f>MAX((CR1053-Driver!$F$202)/(Driver!$G$202-Driver!$F$202)*$BI$1,1)</f>
        <v>4.8275862068965516</v>
      </c>
      <c r="BM1053" s="67">
        <f>MAX((CH1053-Driver!$F$204)/(Driver!$G$204-Driver!$F$204)*$BI$1,1)</f>
        <v>1.7948717948717949</v>
      </c>
      <c r="BN1053" s="67">
        <f>(CI1053-Driver!$F$205)/(Driver!$G$205-Driver!$F$205)*$BI$1</f>
        <v>1.5294117647058825</v>
      </c>
      <c r="BO1053" s="67">
        <f>(CK1053-Driver!$F$207)/(Driver!$G$207-Driver!$F$207)*$BI$1</f>
        <v>1.768355739400207</v>
      </c>
      <c r="BP1053" s="67">
        <f>(CM1053-Driver!$F$208)/(Driver!$G$208-Driver!$F$208)*$BI$1</f>
        <v>3.8</v>
      </c>
      <c r="BQ1053" s="67">
        <f>(CL1053-Driver!$F$209)/(Driver!$G$209-Driver!$F$209)*$BI$1</f>
        <v>7.34375</v>
      </c>
      <c r="BR1053" s="28" t="s">
        <v>155</v>
      </c>
      <c r="BS1053" s="8" t="s">
        <v>208</v>
      </c>
      <c r="BT1053" s="9" t="s">
        <v>482</v>
      </c>
      <c r="BU1053" s="10">
        <v>155</v>
      </c>
      <c r="BV1053" s="9" t="s">
        <v>158</v>
      </c>
      <c r="BW1053" s="10">
        <v>155</v>
      </c>
      <c r="BX1053" s="10">
        <v>153.80000000000001</v>
      </c>
      <c r="BY1053" s="10">
        <v>92</v>
      </c>
      <c r="BZ1053" s="10">
        <v>129</v>
      </c>
      <c r="CA1053" s="10">
        <v>120</v>
      </c>
      <c r="CB1053" s="10">
        <v>91</v>
      </c>
      <c r="CC1053" s="10">
        <v>117</v>
      </c>
      <c r="CD1053" s="10">
        <v>14.5</v>
      </c>
      <c r="CE1053" s="10">
        <v>1516</v>
      </c>
      <c r="CF1053" s="10">
        <v>1.03</v>
      </c>
      <c r="CG1053" s="10">
        <v>1555</v>
      </c>
      <c r="CH1053" s="10">
        <v>143</v>
      </c>
      <c r="CI1053" s="10">
        <v>59</v>
      </c>
      <c r="CJ1053" s="10">
        <v>48</v>
      </c>
      <c r="CK1053" s="10">
        <v>281</v>
      </c>
      <c r="CL1053" s="10">
        <v>47</v>
      </c>
      <c r="CM1053" s="10">
        <v>342</v>
      </c>
      <c r="CN1053" s="10">
        <v>0.97199999999999998</v>
      </c>
      <c r="CO1053" s="10">
        <v>128</v>
      </c>
      <c r="CP1053" s="10">
        <v>117</v>
      </c>
      <c r="CQ1053" s="10">
        <v>153</v>
      </c>
      <c r="CR1053" s="10">
        <v>3</v>
      </c>
      <c r="CS1053" s="10">
        <v>3.6</v>
      </c>
      <c r="CT1053" s="9" t="s">
        <v>184</v>
      </c>
      <c r="CU1053" s="10"/>
      <c r="CV1053" s="10"/>
      <c r="CW1053" s="10"/>
      <c r="CX1053" t="str">
        <f>INDEX('Data_Price '!AG$2:AG$1266,MATCH(Data!$DN1053,'Data_Price '!$AT$2:$AT$1266,0))</f>
        <v>'22 Line Honey Badger Skis 155cm</v>
      </c>
      <c r="CY1053" t="str">
        <f>INDEX('Data_Price '!AH$2:AH$1266,MATCH(Data!$DN1053,'Data_Price '!$AT$2:$AT$1266,0))</f>
        <v>Al's Ski Equipment Barn</v>
      </c>
      <c r="CZ1053">
        <f>INDEX('Data_Price '!AI$2:AI$1266,MATCH(Data!$DN1053,'Data_Price '!$AT$2:$AT$1266,0))</f>
        <v>329.95</v>
      </c>
      <c r="DA1053" t="str">
        <f>INDEX('Data_Price '!AJ$2:AJ$1266,MATCH(Data!$DN1053,'Data_Price '!$AT$2:$AT$1266,0))</f>
        <v>https://tinyurl.com/y9m94h7a</v>
      </c>
      <c r="DB1053" t="str">
        <f>INDEX('Data_Price '!AK$2:AK$1266,MATCH(Data!$DN1053,'Data_Price '!$AT$2:$AT$1266,0))</f>
        <v>Line 2022 Honey Badger Skis</v>
      </c>
      <c r="DC1053" t="str">
        <f>INDEX('Data_Price '!AL$2:AL$1266,MATCH(Data!$DN1053,'Data_Price '!$AT$2:$AT$1266,0))</f>
        <v>UtahSkis</v>
      </c>
      <c r="DD1053">
        <f>INDEX('Data_Price '!AM$2:AM$1266,MATCH(Data!$DN1053,'Data_Price '!$AT$2:$AT$1266,0))</f>
        <v>349.95</v>
      </c>
      <c r="DE1053" t="str">
        <f>INDEX('Data_Price '!AN$2:AN$1266,MATCH(Data!$DN1053,'Data_Price '!$AT$2:$AT$1266,0))</f>
        <v>https://tinyurl.com/y9nwnuh8</v>
      </c>
      <c r="DF1053" t="str">
        <f>INDEX('Data_Price '!AO$2:AO$1266,MATCH(Data!$DN1053,'Data_Price '!$AT$2:$AT$1266,0))</f>
        <v>Line 2022 Honey Badger Skis</v>
      </c>
      <c r="DG1053" t="str">
        <f>INDEX('Data_Price '!AP$2:AP$1266,MATCH(Data!$DN1053,'Data_Price '!$AT$2:$AT$1266,0))</f>
        <v>Christy Sports</v>
      </c>
      <c r="DH1053">
        <f>INDEX('Data_Price '!AQ$2:AQ$1266,MATCH(Data!$DN1053,'Data_Price '!$AT$2:$AT$1266,0))</f>
        <v>349.95</v>
      </c>
      <c r="DI1053" t="str">
        <f>INDEX('Data_Price '!AR$2:AR$1266,MATCH(Data!$DN1053,'Data_Price '!$AT$2:$AT$1266,0))</f>
        <v>https://tinyurl.com/y8s8sufp</v>
      </c>
      <c r="DJ1053" s="89" t="str">
        <f t="shared" si="624"/>
        <v>https://tinyurl.com/y9m94h7a</v>
      </c>
      <c r="DK1053" s="89" t="str">
        <f t="shared" si="625"/>
        <v>https://tinyurl.com/y9nwnuh8</v>
      </c>
      <c r="DL1053" s="89" t="str">
        <f t="shared" si="626"/>
        <v>https://tinyurl.com/y8s8sufp</v>
      </c>
      <c r="DM1053" s="219" t="str">
        <f t="shared" si="627"/>
        <v>Honey Badger</v>
      </c>
      <c r="DN1053" s="89" t="str">
        <f t="shared" si="628"/>
        <v xml:space="preserve"> LineHoney Badger155 Unisex</v>
      </c>
      <c r="DO1053" s="221" t="s">
        <v>483</v>
      </c>
    </row>
    <row r="1054" spans="2:119" ht="15.6" customHeight="1">
      <c r="B1054" s="219" t="b">
        <f t="array" ref="B1054">IF(OR(ISERROR(K1054:P1054)),FALSE,TRUE)</f>
        <v>1</v>
      </c>
      <c r="C1054" s="43" t="b">
        <f>OR(BR1054=Driver!$G$50,Data!BR449=Driver!$H$50)</f>
        <v>1</v>
      </c>
      <c r="D1054" s="43" t="b">
        <f>OR(BV1054=Driver!$G$51,BV1054=Driver!$H$51)</f>
        <v>1</v>
      </c>
      <c r="E1054" s="43" t="b">
        <f>AND(BX1054&gt;Driver!$F$54,BX1054&lt;Driver!$G$54)</f>
        <v>0</v>
      </c>
      <c r="F1054" s="43" t="b">
        <f>CL1054&gt;Driver!$F$56</f>
        <v>1</v>
      </c>
      <c r="G1054" s="43" t="b">
        <f>AND(CB1054&gt;Driver!$F$55,CB1054&lt;Driver!$G$55)</f>
        <v>1</v>
      </c>
      <c r="H1054" s="43" t="b">
        <f t="shared" si="592"/>
        <v>0</v>
      </c>
      <c r="I1054" s="43">
        <f t="shared" si="593"/>
        <v>0</v>
      </c>
      <c r="J1054" s="43" t="b">
        <f t="array" ref="J1054">NOT(OR(($H$9:$H$1273=TRUE)*($I$9:$I$1273&gt;0)*($BT$9:$BT$1273=BT1054)*($K$9:$K$1273&gt;K1054)))</f>
        <v>1</v>
      </c>
      <c r="K1054" s="72">
        <f t="shared" si="594"/>
        <v>0.64544978800252406</v>
      </c>
      <c r="L1054" s="72">
        <f t="shared" si="595"/>
        <v>0.64508235344513709</v>
      </c>
      <c r="M1054" s="72">
        <f t="shared" si="596"/>
        <v>0.64581722255991103</v>
      </c>
      <c r="N1054" s="72">
        <f t="shared" si="597"/>
        <v>0.49124066322613913</v>
      </c>
      <c r="O1054" s="72">
        <f t="shared" si="598"/>
        <v>0.63190172588984761</v>
      </c>
      <c r="P1054" s="72">
        <f t="shared" si="599"/>
        <v>0.81430927856374624</v>
      </c>
      <c r="Q1054" s="72"/>
      <c r="R1054" s="72"/>
      <c r="S1054" s="72">
        <f t="shared" si="600"/>
        <v>0.53337606219901412</v>
      </c>
      <c r="T1054" s="72">
        <f t="shared" si="601"/>
        <v>0.52068455271971059</v>
      </c>
      <c r="U1054" s="72">
        <f t="shared" si="602"/>
        <v>0.56979359249866635</v>
      </c>
      <c r="V1054" s="72">
        <f t="shared" si="603"/>
        <v>0.55242738176429862</v>
      </c>
      <c r="W1054" s="72">
        <f t="shared" si="604"/>
        <v>0.76337381578398233</v>
      </c>
      <c r="X1054" s="72">
        <f t="shared" si="605"/>
        <v>0.35491764655486296</v>
      </c>
      <c r="Y1054" s="72">
        <f t="shared" si="606"/>
        <v>0.35418277744008897</v>
      </c>
      <c r="Z1054" s="72">
        <f t="shared" si="607"/>
        <v>0.50875933677386087</v>
      </c>
      <c r="AA1054" s="72">
        <f t="shared" si="608"/>
        <v>0.36809827411015233</v>
      </c>
      <c r="AB1054" s="72">
        <f t="shared" si="609"/>
        <v>0.18569072143625376</v>
      </c>
      <c r="AC1054" s="72"/>
      <c r="AD1054" s="72"/>
      <c r="AE1054" s="72">
        <f t="shared" si="610"/>
        <v>0.46662393780098588</v>
      </c>
      <c r="AF1054" s="72">
        <f t="shared" si="611"/>
        <v>0.47931544728028946</v>
      </c>
      <c r="AG1054" s="72">
        <f t="shared" si="612"/>
        <v>0.43020640750133365</v>
      </c>
      <c r="AH1054" s="72">
        <f t="shared" si="613"/>
        <v>0.44757261823570144</v>
      </c>
      <c r="AI1054" s="72">
        <f t="shared" si="614"/>
        <v>0.23662618421601769</v>
      </c>
      <c r="AJ1054" s="72">
        <f>(AV1054-Driver!$K$179)/(Driver!$L$179-Driver!$K$179)</f>
        <v>0.60913705583756339</v>
      </c>
      <c r="AK1054" s="72">
        <f>(AW1054-Driver!$K$180)/(Driver!$L$180-Driver!$K$180)</f>
        <v>0.45980710946558478</v>
      </c>
      <c r="AL1054" s="72">
        <f>(AX1054-Driver!$K$181)/(Driver!$L$181-Driver!$K$181)</f>
        <v>0.61044710048694106</v>
      </c>
      <c r="AM1054" s="72">
        <f>(AY1054-Driver!$K$182)/(Driver!$L$182-Driver!$K$182)</f>
        <v>7.928674698689403E-2</v>
      </c>
      <c r="AN1054" s="72">
        <f>(AZ1054-Driver!$K$183)/(Driver!$L$183-Driver!$K$183)</f>
        <v>0.43991013071895418</v>
      </c>
      <c r="AO1054" s="72"/>
      <c r="AP1054" s="72"/>
      <c r="AQ1054" s="72">
        <f>(BC1054-Driver!$K$188)/(Driver!$L$188-Driver!$K$188)</f>
        <v>0.15337606219901409</v>
      </c>
      <c r="AR1054" s="72">
        <f>MIN((BD1054-Driver!$K$189)/(Driver!$L$189-Driver!$K$189),100%)</f>
        <v>7.0684552719710581E-2</v>
      </c>
      <c r="AS1054" s="72">
        <f>(BE1054-Driver!$K$190)/(Driver!$L$190-Driver!$K$190)</f>
        <v>7.9793592498666369E-2</v>
      </c>
      <c r="AT1054" s="72">
        <f>(BF1054-Driver!$K$191)/(Driver!$L$191-Driver!$K$191)</f>
        <v>6.2427381764298587E-2</v>
      </c>
      <c r="AU1054" s="72">
        <f>(BG1054-Driver!$K$192)/(Driver!$L$192-Driver!$K$192)</f>
        <v>1.3373815783982305E-2</v>
      </c>
      <c r="AV1054" s="70">
        <f t="shared" si="615"/>
        <v>12.820512820512819</v>
      </c>
      <c r="AW1054" s="70">
        <f t="shared" si="616"/>
        <v>46.684169744341908</v>
      </c>
      <c r="AX1054" s="70">
        <f t="shared" si="617"/>
        <v>6.4940239043824697</v>
      </c>
      <c r="AY1054" s="70">
        <f>IFERROR(Driver!$K$19/Data!BH1054/Data!BI1054*Data!BK1054*Data!BL1054,"")</f>
        <v>9.7070635193988494E-2</v>
      </c>
      <c r="AZ1054" s="70">
        <f t="shared" si="618"/>
        <v>40.093075204765448</v>
      </c>
      <c r="BA1054" s="70"/>
      <c r="BB1054" s="70"/>
      <c r="BC1054" s="70">
        <f t="shared" si="619"/>
        <v>79.55722971571457</v>
      </c>
      <c r="BD1054" s="70">
        <f t="shared" si="620"/>
        <v>7.976280554175867</v>
      </c>
      <c r="BE1054" s="70">
        <f t="shared" si="621"/>
        <v>7.995774696440032E-2</v>
      </c>
      <c r="BF1054" s="70">
        <f t="shared" si="622"/>
        <v>7.0507341930988927</v>
      </c>
      <c r="BG1054" s="70">
        <f t="shared" si="623"/>
        <v>5.0641798130295068E-2</v>
      </c>
      <c r="BH1054" s="67">
        <f>MAX((CE1054-Driver!$F$200)/(Driver!$G$200-Driver!$F$200)*$BI$1,1)</f>
        <v>6.4940239043824697</v>
      </c>
      <c r="BI1054" s="67">
        <f>MAX($BI$1*(BY1054-Driver!$F$201)/(Driver!$G$201-Driver!$F$201),1)</f>
        <v>7.6582278481012658</v>
      </c>
      <c r="BJ1054" s="67">
        <f>(CB1054-Driver!$F$206)/(Driver!$G$206-Driver!$F$206)*$BI$1</f>
        <v>6.3492063492063489</v>
      </c>
      <c r="BK1054" s="67">
        <f>(CD1054-Driver!$F$203)/(Driver!$G$203-Driver!$F$203)*$BI$1</f>
        <v>5.0000000000000009</v>
      </c>
      <c r="BL1054" s="67">
        <f>MAX((CR1054-Driver!$F$202)/(Driver!$G$202-Driver!$F$202)*$BI$1,1)</f>
        <v>4.8275862068965516</v>
      </c>
      <c r="BM1054" s="67">
        <f>MAX((CH1054-Driver!$F$204)/(Driver!$G$204-Driver!$F$204)*$BI$1,1)</f>
        <v>8.0769230769230766</v>
      </c>
      <c r="BN1054" s="67">
        <f>(CI1054-Driver!$F$205)/(Driver!$G$205-Driver!$F$205)*$BI$1</f>
        <v>5.2352941176470589</v>
      </c>
      <c r="BO1054" s="67">
        <f>(CK1054-Driver!$F$207)/(Driver!$G$207-Driver!$F$207)*$BI$1</f>
        <v>1.9751809720785938</v>
      </c>
      <c r="BP1054" s="67">
        <f>(CM1054-Driver!$F$208)/(Driver!$G$208-Driver!$F$208)*$BI$1</f>
        <v>2.8111111111111109</v>
      </c>
      <c r="BQ1054" s="67">
        <f>(CL1054-Driver!$F$209)/(Driver!$G$209-Driver!$F$209)*$BI$1</f>
        <v>2.65625</v>
      </c>
      <c r="BR1054" s="28" t="s">
        <v>155</v>
      </c>
      <c r="BS1054" s="8" t="s">
        <v>164</v>
      </c>
      <c r="BT1054" s="9" t="s">
        <v>801</v>
      </c>
      <c r="BU1054" s="10">
        <v>188</v>
      </c>
      <c r="BV1054" s="9" t="s">
        <v>158</v>
      </c>
      <c r="BW1054" s="10">
        <v>188</v>
      </c>
      <c r="BX1054" s="10">
        <v>184.7</v>
      </c>
      <c r="BY1054" s="10">
        <v>129</v>
      </c>
      <c r="BZ1054" s="10">
        <v>149</v>
      </c>
      <c r="CA1054" s="10">
        <v>143</v>
      </c>
      <c r="CB1054" s="10">
        <v>104</v>
      </c>
      <c r="CC1054" s="10">
        <v>120</v>
      </c>
      <c r="CD1054" s="10">
        <v>20.3</v>
      </c>
      <c r="CE1054" s="10">
        <v>2041</v>
      </c>
      <c r="CF1054" s="10">
        <v>1.05</v>
      </c>
      <c r="CG1054" s="10">
        <v>2137</v>
      </c>
      <c r="CH1054" s="10">
        <v>290</v>
      </c>
      <c r="CI1054" s="10">
        <v>122</v>
      </c>
      <c r="CJ1054" s="10">
        <v>51</v>
      </c>
      <c r="CK1054" s="10">
        <v>301</v>
      </c>
      <c r="CL1054" s="10">
        <v>17</v>
      </c>
      <c r="CM1054" s="10">
        <v>253</v>
      </c>
      <c r="CN1054" s="10">
        <v>0.33200000000000002</v>
      </c>
      <c r="CO1054" s="10">
        <v>185</v>
      </c>
      <c r="CP1054" s="10">
        <v>170</v>
      </c>
      <c r="CQ1054" s="10">
        <v>117</v>
      </c>
      <c r="CR1054" s="10">
        <v>3</v>
      </c>
      <c r="CS1054" s="10">
        <v>10</v>
      </c>
      <c r="CT1054" s="9" t="s">
        <v>188</v>
      </c>
      <c r="CU1054" s="9" t="s">
        <v>178</v>
      </c>
      <c r="CV1054" s="10"/>
      <c r="CW1054" s="10"/>
      <c r="CX1054" t="str">
        <f>INDEX('Data_Price '!AG$2:AG$1266,MATCH(Data!$DN1054,'Data_Price '!$AT$2:$AT$1266,0))</f>
        <v>Elan 2022 Ripstick 106 Black Edition Skis</v>
      </c>
      <c r="CY1054" t="str">
        <f>INDEX('Data_Price '!AH$2:AH$1266,MATCH(Data!$DN1054,'Data_Price '!$AT$2:$AT$1266,0))</f>
        <v>Erik's Bike, Board and Ski</v>
      </c>
      <c r="CZ1054">
        <f>INDEX('Data_Price '!AI$2:AI$1266,MATCH(Data!$DN1054,'Data_Price '!$AT$2:$AT$1266,0))</f>
        <v>637.49</v>
      </c>
      <c r="DA1054" t="str">
        <f>INDEX('Data_Price '!AJ$2:AJ$1266,MATCH(Data!$DN1054,'Data_Price '!$AT$2:$AT$1266,0))</f>
        <v>https://tinyurl.com/yd6myglv</v>
      </c>
      <c r="DB1054" t="str">
        <f>INDEX('Data_Price '!AK$2:AK$1266,MATCH(Data!$DN1054,'Data_Price '!$AT$2:$AT$1266,0))</f>
        <v>Elan 2022 Ripstick 106 Black Edition Skis</v>
      </c>
      <c r="DC1054" t="str">
        <f>INDEX('Data_Price '!AL$2:AL$1266,MATCH(Data!$DN1054,'Data_Price '!$AT$2:$AT$1266,0))</f>
        <v>Berg's Ski &amp; Snowboard Shop</v>
      </c>
      <c r="DD1054">
        <f>INDEX('Data_Price '!AM$2:AM$1266,MATCH(Data!$DN1054,'Data_Price '!$AT$2:$AT$1266,0))</f>
        <v>637.49</v>
      </c>
      <c r="DE1054" t="str">
        <f>INDEX('Data_Price '!AN$2:AN$1266,MATCH(Data!$DN1054,'Data_Price '!$AT$2:$AT$1266,0))</f>
        <v>https://tinyurl.com/y9okv6kw</v>
      </c>
      <c r="DF1054" t="str">
        <f>INDEX('Data_Price '!AO$2:AO$1266,MATCH(Data!$DN1054,'Data_Price '!$AT$2:$AT$1266,0))</f>
        <v>Elan 2022 Ripstick 106 Black Edition Skis</v>
      </c>
      <c r="DG1054" t="str">
        <f>INDEX('Data_Price '!AP$2:AP$1266,MATCH(Data!$DN1054,'Data_Price '!$AT$2:$AT$1266,0))</f>
        <v>Powder7 Ski Shop</v>
      </c>
      <c r="DH1054">
        <f>INDEX('Data_Price '!AQ$2:AQ$1266,MATCH(Data!$DN1054,'Data_Price '!$AT$2:$AT$1266,0))</f>
        <v>879.99</v>
      </c>
      <c r="DI1054" t="str">
        <f>INDEX('Data_Price '!AR$2:AR$1266,MATCH(Data!$DN1054,'Data_Price '!$AT$2:$AT$1266,0))</f>
        <v>https://tinyurl.com/y8sfvbhx</v>
      </c>
      <c r="DJ1054" s="89" t="str">
        <f t="shared" si="624"/>
        <v>https://tinyurl.com/yd6myglv</v>
      </c>
      <c r="DK1054" s="89" t="str">
        <f t="shared" si="625"/>
        <v>https://tinyurl.com/y9okv6kw</v>
      </c>
      <c r="DL1054" s="89" t="str">
        <f t="shared" si="626"/>
        <v>https://tinyurl.com/y8sfvbhx</v>
      </c>
      <c r="DM1054" s="219" t="str">
        <f t="shared" si="627"/>
        <v>Ripstick 106 Black Edition</v>
      </c>
      <c r="DN1054" s="89" t="str">
        <f t="shared" si="628"/>
        <v xml:space="preserve"> ElanRipstick 106 Black Edition188 Unisex</v>
      </c>
      <c r="DO1054" s="221" t="s">
        <v>802</v>
      </c>
    </row>
    <row r="1055" spans="2:119" ht="15.6" customHeight="1">
      <c r="B1055" s="219" t="b">
        <f t="array" ref="B1055">IF(OR(ISERROR(K1055:P1055)),FALSE,TRUE)</f>
        <v>1</v>
      </c>
      <c r="C1055" s="43" t="b">
        <f>OR(BR1055=Driver!$G$50,Data!BR1053=Driver!$H$50)</f>
        <v>1</v>
      </c>
      <c r="D1055" s="43" t="b">
        <f>OR(BV1055=Driver!$G$51,BV1055=Driver!$H$51)</f>
        <v>1</v>
      </c>
      <c r="E1055" s="43" t="b">
        <f>AND(BX1055&gt;Driver!$F$54,BX1055&lt;Driver!$G$54)</f>
        <v>1</v>
      </c>
      <c r="F1055" s="43" t="b">
        <f>CL1055&gt;Driver!$F$56</f>
        <v>1</v>
      </c>
      <c r="G1055" s="43" t="b">
        <f>AND(CB1055&gt;Driver!$F$55,CB1055&lt;Driver!$G$55)</f>
        <v>0</v>
      </c>
      <c r="H1055" s="43" t="b">
        <f t="shared" si="592"/>
        <v>0</v>
      </c>
      <c r="I1055" s="43">
        <f t="shared" si="593"/>
        <v>0</v>
      </c>
      <c r="J1055" s="43" t="b">
        <f t="array" ref="J1055">NOT(OR(($H$9:$H$1273=TRUE)*($I$9:$I$1273&gt;0)*($BT$9:$BT$1273=BT1055)*($K$9:$K$1273&gt;K1055)))</f>
        <v>1</v>
      </c>
      <c r="K1055" s="72">
        <f t="shared" si="594"/>
        <v>0.77977096902891474</v>
      </c>
      <c r="L1055" s="72">
        <f t="shared" si="595"/>
        <v>0.79170759095902055</v>
      </c>
      <c r="M1055" s="72">
        <f t="shared" si="596"/>
        <v>0.76783434709880893</v>
      </c>
      <c r="N1055" s="72">
        <f t="shared" si="597"/>
        <v>0.81628967353411364</v>
      </c>
      <c r="O1055" s="72">
        <f t="shared" si="598"/>
        <v>0.6237040188750792</v>
      </c>
      <c r="P1055" s="72">
        <f t="shared" si="599"/>
        <v>0.86350934888723418</v>
      </c>
      <c r="Q1055" s="72"/>
      <c r="R1055" s="72"/>
      <c r="S1055" s="72">
        <f t="shared" si="600"/>
        <v>0.4078664345186015</v>
      </c>
      <c r="T1055" s="72">
        <f t="shared" si="601"/>
        <v>0.70714765971543792</v>
      </c>
      <c r="U1055" s="72">
        <f t="shared" si="602"/>
        <v>0.51</v>
      </c>
      <c r="V1055" s="72">
        <f t="shared" si="603"/>
        <v>0.4920703554119189</v>
      </c>
      <c r="W1055" s="72">
        <f t="shared" si="604"/>
        <v>0.7737345756736338</v>
      </c>
      <c r="X1055" s="72">
        <f t="shared" si="605"/>
        <v>0.2082924090409794</v>
      </c>
      <c r="Y1055" s="72">
        <f t="shared" si="606"/>
        <v>0.23216565290119104</v>
      </c>
      <c r="Z1055" s="72">
        <f t="shared" si="607"/>
        <v>0.18371032646588642</v>
      </c>
      <c r="AA1055" s="72">
        <f t="shared" si="608"/>
        <v>0.3762959811249208</v>
      </c>
      <c r="AB1055" s="72">
        <f t="shared" si="609"/>
        <v>0.13649065111276579</v>
      </c>
      <c r="AC1055" s="72"/>
      <c r="AD1055" s="72"/>
      <c r="AE1055" s="72">
        <f t="shared" si="610"/>
        <v>0.5921335654813985</v>
      </c>
      <c r="AF1055" s="72">
        <f t="shared" si="611"/>
        <v>0.29285234028456208</v>
      </c>
      <c r="AG1055" s="72">
        <f t="shared" si="612"/>
        <v>0.49</v>
      </c>
      <c r="AH1055" s="72">
        <f t="shared" si="613"/>
        <v>0.5079296445880811</v>
      </c>
      <c r="AI1055" s="72">
        <f t="shared" si="614"/>
        <v>0.22626542432636615</v>
      </c>
      <c r="AJ1055" s="72">
        <f>(AV1055-Driver!$K$179)/(Driver!$L$179-Driver!$K$179)</f>
        <v>4.5927000241721042E-2</v>
      </c>
      <c r="AK1055" s="72">
        <f>(AW1055-Driver!$K$180)/(Driver!$L$180-Driver!$K$180)</f>
        <v>0.1283970885317561</v>
      </c>
      <c r="AL1055" s="72">
        <f>(AX1055-Driver!$K$181)/(Driver!$L$181-Driver!$K$181)</f>
        <v>0.28539809017896661</v>
      </c>
      <c r="AM1055" s="72">
        <f>(AY1055-Driver!$K$182)/(Driver!$L$182-Driver!$K$182)</f>
        <v>7.1089039972125539E-2</v>
      </c>
      <c r="AN1055" s="72">
        <f>(AZ1055-Driver!$K$183)/(Driver!$L$183-Driver!$K$183)</f>
        <v>0.11772875816993464</v>
      </c>
      <c r="AO1055" s="72"/>
      <c r="AP1055" s="72"/>
      <c r="AQ1055" s="72">
        <f>(BC1055-Driver!$K$188)/(Driver!$L$188-Driver!$K$188)</f>
        <v>2.7866434518601501E-2</v>
      </c>
      <c r="AR1055" s="72">
        <f>MIN((BD1055-Driver!$K$189)/(Driver!$L$189-Driver!$K$189),100%)</f>
        <v>0.25714765971543796</v>
      </c>
      <c r="AS1055" s="72">
        <f>(BE1055-Driver!$K$190)/(Driver!$L$190-Driver!$K$190)</f>
        <v>1</v>
      </c>
      <c r="AT1055" s="72">
        <f>(BF1055-Driver!$K$191)/(Driver!$L$191-Driver!$K$191)</f>
        <v>2.0703554119189224E-3</v>
      </c>
      <c r="AU1055" s="72">
        <f>(BG1055-Driver!$K$192)/(Driver!$L$192-Driver!$K$192)</f>
        <v>2.3734575673633847E-2</v>
      </c>
      <c r="AV1055" s="70">
        <f t="shared" si="615"/>
        <v>0.96662596662596645</v>
      </c>
      <c r="AW1055" s="70">
        <f t="shared" si="616"/>
        <v>14.385326612820045</v>
      </c>
      <c r="AX1055" s="70">
        <f t="shared" si="617"/>
        <v>3.5685828116106997</v>
      </c>
      <c r="AY1055" s="70">
        <f>IFERROR(Driver!$K$19/Data!BH1055/Data!BI1055*Data!BK1055*Data!BL1055,"")</f>
        <v>8.7034195848213231E-2</v>
      </c>
      <c r="AZ1055" s="70">
        <f t="shared" si="618"/>
        <v>10.729709605361132</v>
      </c>
      <c r="BA1055" s="70"/>
      <c r="BB1055" s="70"/>
      <c r="BC1055" s="70">
        <f t="shared" si="619"/>
        <v>14.454513309108471</v>
      </c>
      <c r="BD1055" s="70">
        <f t="shared" si="620"/>
        <v>24.47793513022253</v>
      </c>
      <c r="BE1055" s="70">
        <f t="shared" si="621"/>
        <v>1</v>
      </c>
      <c r="BF1055" s="70">
        <f t="shared" si="622"/>
        <v>0.23383209870627999</v>
      </c>
      <c r="BG1055" s="70">
        <f t="shared" si="623"/>
        <v>8.9874244522790248E-2</v>
      </c>
      <c r="BH1055" s="67">
        <f>MAX((CE1055-Driver!$F$200)/(Driver!$G$200-Driver!$F$200)*$BI$1,1)</f>
        <v>3.5685828116106997</v>
      </c>
      <c r="BI1055" s="67">
        <f>MAX($BI$1*(BY1055-Driver!$F$201)/(Driver!$G$201-Driver!$F$201),1)</f>
        <v>8.2911392405063289</v>
      </c>
      <c r="BJ1055" s="67">
        <f>(CB1055-Driver!$F$206)/(Driver!$G$206-Driver!$F$206)*$BI$1</f>
        <v>1.5873015873015872</v>
      </c>
      <c r="BK1055" s="67">
        <f>(CD1055-Driver!$F$203)/(Driver!$G$203-Driver!$F$203)*$BI$1</f>
        <v>1.6972477064220182</v>
      </c>
      <c r="BL1055" s="67">
        <f>MAX((CR1055-Driver!$F$202)/(Driver!$G$202-Driver!$F$202)*$BI$1,1)</f>
        <v>7.5862068965517242</v>
      </c>
      <c r="BM1055" s="67">
        <f>MAX((CH1055-Driver!$F$204)/(Driver!$G$204-Driver!$F$204)*$BI$1,1)</f>
        <v>2.4358974358974357</v>
      </c>
      <c r="BN1055" s="67">
        <f>(CI1055-Driver!$F$205)/(Driver!$G$205-Driver!$F$205)*$BI$1</f>
        <v>1.2941176470588236</v>
      </c>
      <c r="BO1055" s="67">
        <f>(CK1055-Driver!$F$207)/(Driver!$G$207-Driver!$F$207)*$BI$1</f>
        <v>0.33092037228541882</v>
      </c>
      <c r="BP1055" s="67">
        <f>(CM1055-Driver!$F$208)/(Driver!$G$208-Driver!$F$208)*$BI$1</f>
        <v>0.75555555555555554</v>
      </c>
      <c r="BQ1055" s="67">
        <f>(CL1055-Driver!$F$209)/(Driver!$G$209-Driver!$F$209)*$BI$1</f>
        <v>0.78125</v>
      </c>
      <c r="BR1055" s="28" t="s">
        <v>155</v>
      </c>
      <c r="BS1055" s="8" t="s">
        <v>172</v>
      </c>
      <c r="BT1055" s="9" t="s">
        <v>674</v>
      </c>
      <c r="BU1055" s="10">
        <v>162</v>
      </c>
      <c r="BV1055" s="9" t="s">
        <v>158</v>
      </c>
      <c r="BW1055" s="10">
        <v>162</v>
      </c>
      <c r="BX1055" s="10">
        <v>160.30000000000001</v>
      </c>
      <c r="BY1055" s="10">
        <v>139</v>
      </c>
      <c r="BZ1055" s="10">
        <v>144</v>
      </c>
      <c r="CA1055" s="10">
        <v>121</v>
      </c>
      <c r="CB1055" s="10">
        <v>74</v>
      </c>
      <c r="CC1055" s="10">
        <v>107</v>
      </c>
      <c r="CD1055" s="10">
        <v>13.1</v>
      </c>
      <c r="CE1055" s="10">
        <v>1527</v>
      </c>
      <c r="CF1055" s="10">
        <v>0.93</v>
      </c>
      <c r="CG1055" s="10">
        <v>1426</v>
      </c>
      <c r="CH1055" s="10">
        <v>158</v>
      </c>
      <c r="CI1055" s="10">
        <v>55</v>
      </c>
      <c r="CJ1055" s="10">
        <v>36</v>
      </c>
      <c r="CK1055" s="10">
        <v>142</v>
      </c>
      <c r="CL1055" s="10">
        <v>5</v>
      </c>
      <c r="CM1055" s="10">
        <v>68</v>
      </c>
      <c r="CN1055" s="10">
        <v>0.14399999999999999</v>
      </c>
      <c r="CO1055" s="10">
        <v>81</v>
      </c>
      <c r="CP1055" s="10">
        <v>78</v>
      </c>
      <c r="CQ1055" s="10">
        <v>61</v>
      </c>
      <c r="CR1055" s="10">
        <v>11</v>
      </c>
      <c r="CS1055" s="10">
        <v>8.1999999999999993</v>
      </c>
      <c r="CT1055" s="9" t="s">
        <v>349</v>
      </c>
      <c r="CU1055" s="10"/>
      <c r="CV1055" s="10"/>
      <c r="CW1055" s="10"/>
      <c r="CX1055" t="str">
        <f>INDEX('Data_Price '!AG$2:AG$1266,MATCH(Data!$DN1055,'Data_Price '!$AT$2:$AT$1266,0))</f>
        <v>Rossignol React 2 Skis W Xpress 10 Gw Bindings 2022 - Na</v>
      </c>
      <c r="CY1055" t="str">
        <f>INDEX('Data_Price '!AH$2:AH$1266,MATCH(Data!$DN1055,'Data_Price '!$AT$2:$AT$1266,0))</f>
        <v>Geiger's</v>
      </c>
      <c r="CZ1055">
        <f>INDEX('Data_Price '!AI$2:AI$1266,MATCH(Data!$DN1055,'Data_Price '!$AT$2:$AT$1266,0))</f>
        <v>299.99</v>
      </c>
      <c r="DA1055" t="str">
        <f>INDEX('Data_Price '!AJ$2:AJ$1266,MATCH(Data!$DN1055,'Data_Price '!$AT$2:$AT$1266,0))</f>
        <v>https://tinyurl.com/yd3pz8lm</v>
      </c>
      <c r="DB1055" t="str">
        <f>INDEX('Data_Price '!AK$2:AK$1266,MATCH(Data!$DN1055,'Data_Price '!$AT$2:$AT$1266,0))</f>
        <v>Rossignol Saphir 2 162 Cm Rossignol Axium 100 Bindings</v>
      </c>
      <c r="DC1055" t="str">
        <f>INDEX('Data_Price '!AL$2:AL$1266,MATCH(Data!$DN1055,'Data_Price '!$AT$2:$AT$1266,0))</f>
        <v>eBay - billstore2012</v>
      </c>
      <c r="DD1055">
        <f>INDEX('Data_Price '!AM$2:AM$1266,MATCH(Data!$DN1055,'Data_Price '!$AT$2:$AT$1266,0))</f>
        <v>115</v>
      </c>
      <c r="DE1055" t="str">
        <f>INDEX('Data_Price '!AN$2:AN$1266,MATCH(Data!$DN1055,'Data_Price '!$AT$2:$AT$1266,0))</f>
        <v>https://tinyurl.com/yb86mr3y</v>
      </c>
      <c r="DF1055" t="str">
        <f>INDEX('Data_Price '!AO$2:AO$1266,MATCH(Data!$DN1055,'Data_Price '!$AT$2:$AT$1266,0))</f>
        <v>Demo React 2 Carbon 162 Alpine Ski 162</v>
      </c>
      <c r="DG1055" t="str">
        <f>INDEX('Data_Price '!AP$2:AP$1266,MATCH(Data!$DN1055,'Data_Price '!$AT$2:$AT$1266,0))</f>
        <v>ExploreVI</v>
      </c>
      <c r="DH1055">
        <f>INDEX('Data_Price '!AQ$2:AQ$1266,MATCH(Data!$DN1055,'Data_Price '!$AT$2:$AT$1266,0))</f>
        <v>250</v>
      </c>
      <c r="DI1055" t="str">
        <f>INDEX('Data_Price '!AR$2:AR$1266,MATCH(Data!$DN1055,'Data_Price '!$AT$2:$AT$1266,0))</f>
        <v>https://tinyurl.com/ybj66spf</v>
      </c>
      <c r="DJ1055" s="89" t="str">
        <f t="shared" si="624"/>
        <v>https://tinyurl.com/yd3pz8lm</v>
      </c>
      <c r="DK1055" s="89" t="str">
        <f t="shared" si="625"/>
        <v>https://tinyurl.com/yb86mr3y</v>
      </c>
      <c r="DL1055" s="89" t="str">
        <f t="shared" si="626"/>
        <v>https://tinyurl.com/ybj66spf</v>
      </c>
      <c r="DM1055" s="219" t="str">
        <f t="shared" si="627"/>
        <v>React 2</v>
      </c>
      <c r="DN1055" s="89" t="str">
        <f t="shared" si="628"/>
        <v xml:space="preserve"> RossignolReact 2162 Unisex</v>
      </c>
      <c r="DO1055" s="221"/>
    </row>
    <row r="1056" spans="2:119" ht="15.6" customHeight="1">
      <c r="B1056" s="219" t="b">
        <f t="array" ref="B1056">IF(OR(ISERROR(K1056:P1056)),FALSE,TRUE)</f>
        <v>1</v>
      </c>
      <c r="C1056" s="43" t="b">
        <f>OR(BR1056=Driver!$G$50,Data!BR1033=Driver!$H$50)</f>
        <v>1</v>
      </c>
      <c r="D1056" s="43" t="b">
        <f>OR(BV1056=Driver!$G$51,BV1056=Driver!$H$51)</f>
        <v>1</v>
      </c>
      <c r="E1056" s="43" t="b">
        <f>AND(BX1056&gt;Driver!$F$54,BX1056&lt;Driver!$G$54)</f>
        <v>0</v>
      </c>
      <c r="F1056" s="43" t="b">
        <f>CL1056&gt;Driver!$F$56</f>
        <v>1</v>
      </c>
      <c r="G1056" s="43" t="b">
        <f>AND(CB1056&gt;Driver!$F$55,CB1056&lt;Driver!$G$55)</f>
        <v>0</v>
      </c>
      <c r="H1056" s="43" t="b">
        <f t="shared" si="592"/>
        <v>0</v>
      </c>
      <c r="I1056" s="43">
        <f t="shared" si="593"/>
        <v>0</v>
      </c>
      <c r="J1056" s="43" t="b">
        <f t="array" ref="J1056">NOT(OR(($H$9:$H$1273=TRUE)*($I$9:$I$1273&gt;0)*($BT$9:$BT$1273=BT1056)*($K$9:$K$1273&gt;K1056)))</f>
        <v>1</v>
      </c>
      <c r="K1056" s="72">
        <f t="shared" si="594"/>
        <v>0.74522405841517891</v>
      </c>
      <c r="L1056" s="72">
        <f t="shared" si="595"/>
        <v>0.87921061247219445</v>
      </c>
      <c r="M1056" s="72">
        <f t="shared" si="596"/>
        <v>0.61123750435816349</v>
      </c>
      <c r="N1056" s="72">
        <f t="shared" si="597"/>
        <v>0.39195526513596002</v>
      </c>
      <c r="O1056" s="72">
        <f t="shared" si="598"/>
        <v>0.60216202166236554</v>
      </c>
      <c r="P1056" s="72">
        <f t="shared" si="599"/>
        <v>0.83959522627616456</v>
      </c>
      <c r="Q1056" s="72"/>
      <c r="R1056" s="72"/>
      <c r="S1056" s="72">
        <f t="shared" si="600"/>
        <v>0.50591123016594008</v>
      </c>
      <c r="T1056" s="72">
        <f t="shared" si="601"/>
        <v>0.63536046703037929</v>
      </c>
      <c r="U1056" s="72">
        <f t="shared" si="602"/>
        <v>0.51</v>
      </c>
      <c r="V1056" s="72">
        <f t="shared" si="603"/>
        <v>0.4916117857403649</v>
      </c>
      <c r="W1056" s="72">
        <f t="shared" si="604"/>
        <v>0.75378843706036047</v>
      </c>
      <c r="X1056" s="72">
        <f t="shared" si="605"/>
        <v>0.12078938752780558</v>
      </c>
      <c r="Y1056" s="72">
        <f t="shared" si="606"/>
        <v>0.38876249564183657</v>
      </c>
      <c r="Z1056" s="72">
        <f t="shared" si="607"/>
        <v>0.60804473486403998</v>
      </c>
      <c r="AA1056" s="72">
        <f t="shared" si="608"/>
        <v>0.39783797833763446</v>
      </c>
      <c r="AB1056" s="72">
        <f t="shared" si="609"/>
        <v>0.16040477372383544</v>
      </c>
      <c r="AC1056" s="72"/>
      <c r="AD1056" s="72"/>
      <c r="AE1056" s="72">
        <f t="shared" si="610"/>
        <v>0.49408876983405992</v>
      </c>
      <c r="AF1056" s="72">
        <f t="shared" si="611"/>
        <v>0.36463953296962071</v>
      </c>
      <c r="AG1056" s="72">
        <f t="shared" si="612"/>
        <v>0.49</v>
      </c>
      <c r="AH1056" s="72">
        <f t="shared" si="613"/>
        <v>0.5083882142596351</v>
      </c>
      <c r="AI1056" s="72">
        <f t="shared" si="614"/>
        <v>0.24621156293963958</v>
      </c>
      <c r="AJ1056" s="72">
        <f>(AV1056-Driver!$K$179)/(Driver!$L$179-Driver!$K$179)</f>
        <v>0.13343002175489485</v>
      </c>
      <c r="AK1056" s="72">
        <f>(AW1056-Driver!$K$180)/(Driver!$L$180-Driver!$K$180)</f>
        <v>0.44495588151935478</v>
      </c>
      <c r="AL1056" s="72">
        <f>(AX1056-Driver!$K$181)/(Driver!$L$181-Driver!$K$181)</f>
        <v>0.70973249857712017</v>
      </c>
      <c r="AM1056" s="72">
        <f>(AY1056-Driver!$K$182)/(Driver!$L$182-Driver!$K$182)</f>
        <v>4.9547042759411894E-2</v>
      </c>
      <c r="AN1056" s="72">
        <f>(AZ1056-Driver!$K$183)/(Driver!$L$183-Driver!$K$183)</f>
        <v>0.41462418300653586</v>
      </c>
      <c r="AO1056" s="72"/>
      <c r="AP1056" s="72"/>
      <c r="AQ1056" s="72">
        <f>(BC1056-Driver!$K$188)/(Driver!$L$188-Driver!$K$188)</f>
        <v>0.12591123016594008</v>
      </c>
      <c r="AR1056" s="72">
        <f>MIN((BD1056-Driver!$K$189)/(Driver!$L$189-Driver!$K$189),100%)</f>
        <v>0.91463953296962075</v>
      </c>
      <c r="AS1056" s="72">
        <f>(BE1056-Driver!$K$190)/(Driver!$L$190-Driver!$K$190)</f>
        <v>1</v>
      </c>
      <c r="AT1056" s="72">
        <f>(BF1056-Driver!$K$191)/(Driver!$L$191-Driver!$K$191)</f>
        <v>1.6117857403649353E-3</v>
      </c>
      <c r="AU1056" s="72">
        <f>(BG1056-Driver!$K$192)/(Driver!$L$192-Driver!$K$192)</f>
        <v>3.7884370603604198E-3</v>
      </c>
      <c r="AV1056" s="70">
        <f t="shared" si="615"/>
        <v>2.8083028083028085</v>
      </c>
      <c r="AW1056" s="70">
        <f t="shared" si="616"/>
        <v>45.236785985715215</v>
      </c>
      <c r="AX1056" s="70">
        <f t="shared" si="617"/>
        <v>7.3875924871940812</v>
      </c>
      <c r="AY1056" s="70">
        <f>IFERROR(Driver!$K$19/Data!BH1056/Data!BI1056*Data!BK1056*Data!BL1056,"")</f>
        <v>6.0660363748241991E-2</v>
      </c>
      <c r="AZ1056" s="70">
        <f t="shared" si="618"/>
        <v>37.788533134772891</v>
      </c>
      <c r="BA1056" s="70"/>
      <c r="BB1056" s="70"/>
      <c r="BC1056" s="70">
        <f t="shared" si="619"/>
        <v>65.311030407744397</v>
      </c>
      <c r="BD1056" s="70">
        <f t="shared" si="620"/>
        <v>82.664800906555371</v>
      </c>
      <c r="BE1056" s="70">
        <f t="shared" si="621"/>
        <v>1</v>
      </c>
      <c r="BF1056" s="70">
        <f t="shared" si="622"/>
        <v>0.18203987593853158</v>
      </c>
      <c r="BG1056" s="70">
        <f t="shared" si="623"/>
        <v>1.434543947209754E-2</v>
      </c>
      <c r="BH1056" s="67">
        <f>MAX((CE1056-Driver!$F$200)/(Driver!$G$200-Driver!$F$200)*$BI$1,1)</f>
        <v>7.3875924871940812</v>
      </c>
      <c r="BI1056" s="67">
        <f>MAX($BI$1*(BY1056-Driver!$F$201)/(Driver!$G$201-Driver!$F$201),1)</f>
        <v>9.1772151898734169</v>
      </c>
      <c r="BJ1056" s="67">
        <f>(CB1056-Driver!$F$206)/(Driver!$G$206-Driver!$F$206)*$BI$1</f>
        <v>1.9047619047619047</v>
      </c>
      <c r="BK1056" s="67">
        <f>(CD1056-Driver!$F$203)/(Driver!$G$203-Driver!$F$203)*$BI$1</f>
        <v>2.3853211009174311</v>
      </c>
      <c r="BL1056" s="67">
        <f>MAX((CR1056-Driver!$F$202)/(Driver!$G$202-Driver!$F$202)*$BI$1,1)</f>
        <v>8.6206896551724128</v>
      </c>
      <c r="BM1056" s="67">
        <f>MAX((CH1056-Driver!$F$204)/(Driver!$G$204-Driver!$F$204)*$BI$1,1)</f>
        <v>5.8974358974358978</v>
      </c>
      <c r="BN1056" s="67">
        <f>(CI1056-Driver!$F$205)/(Driver!$G$205-Driver!$F$205)*$BI$1</f>
        <v>4.117647058823529</v>
      </c>
      <c r="BO1056" s="67">
        <f>(CK1056-Driver!$F$207)/(Driver!$G$207-Driver!$F$207)*$BI$1</f>
        <v>0.32057911065149947</v>
      </c>
      <c r="BP1056" s="67">
        <f>(CM1056-Driver!$F$208)/(Driver!$G$208-Driver!$F$208)*$BI$1</f>
        <v>0.71111111111111114</v>
      </c>
      <c r="BQ1056" s="67">
        <f>(CL1056-Driver!$F$209)/(Driver!$G$209-Driver!$F$209)*$BI$1</f>
        <v>0.625</v>
      </c>
      <c r="BR1056" s="28" t="s">
        <v>155</v>
      </c>
      <c r="BS1056" s="8" t="s">
        <v>172</v>
      </c>
      <c r="BT1056" s="9" t="s">
        <v>653</v>
      </c>
      <c r="BU1056" s="10">
        <v>174</v>
      </c>
      <c r="BV1056" s="9" t="s">
        <v>158</v>
      </c>
      <c r="BW1056" s="10">
        <v>174</v>
      </c>
      <c r="BX1056" s="10">
        <v>173.6</v>
      </c>
      <c r="BY1056" s="10">
        <v>153</v>
      </c>
      <c r="BZ1056" s="10">
        <v>159</v>
      </c>
      <c r="CA1056" s="10">
        <v>128</v>
      </c>
      <c r="CB1056" s="10">
        <v>76</v>
      </c>
      <c r="CC1056" s="10">
        <v>108</v>
      </c>
      <c r="CD1056" s="10">
        <v>14.6</v>
      </c>
      <c r="CE1056" s="10">
        <v>2198</v>
      </c>
      <c r="CF1056" s="10">
        <v>0.73</v>
      </c>
      <c r="CG1056" s="10">
        <v>1595</v>
      </c>
      <c r="CH1056" s="10">
        <v>239</v>
      </c>
      <c r="CI1056" s="10">
        <v>103</v>
      </c>
      <c r="CJ1056" s="10">
        <v>38</v>
      </c>
      <c r="CK1056" s="10">
        <v>141</v>
      </c>
      <c r="CL1056" s="10">
        <v>4</v>
      </c>
      <c r="CM1056" s="10">
        <v>64</v>
      </c>
      <c r="CN1056" s="10">
        <v>0.115</v>
      </c>
      <c r="CO1056" s="10">
        <v>85</v>
      </c>
      <c r="CP1056" s="10">
        <v>64</v>
      </c>
      <c r="CQ1056" s="10">
        <v>56</v>
      </c>
      <c r="CR1056" s="10">
        <v>14</v>
      </c>
      <c r="CS1056" s="10">
        <v>10.1</v>
      </c>
      <c r="CT1056" s="9" t="s">
        <v>349</v>
      </c>
      <c r="CU1056" s="10"/>
      <c r="CV1056" s="10"/>
      <c r="CW1056" s="10"/>
      <c r="CX1056" t="str">
        <f>INDEX('Data_Price '!AG$2:AG$1266,MATCH(Data!$DN1056,'Data_Price '!$AT$2:$AT$1266,0))</f>
        <v>Rossignol Hero Elite Plus Ti Mens Skis W/SPX 12 Konect GW Bindings</v>
      </c>
      <c r="CY1056" t="str">
        <f>INDEX('Data_Price '!AH$2:AH$1266,MATCH(Data!$DN1056,'Data_Price '!$AT$2:$AT$1266,0))</f>
        <v>Buyr.com</v>
      </c>
      <c r="CZ1056">
        <f>INDEX('Data_Price '!AI$2:AI$1266,MATCH(Data!$DN1056,'Data_Price '!$AT$2:$AT$1266,0))</f>
        <v>1049.95</v>
      </c>
      <c r="DA1056" t="str">
        <f>INDEX('Data_Price '!AJ$2:AJ$1266,MATCH(Data!$DN1056,'Data_Price '!$AT$2:$AT$1266,0))</f>
        <v>https://tinyurl.com/y8hngnsr</v>
      </c>
      <c r="DB1056" t="str">
        <f>INDEX('Data_Price '!AK$2:AK$1266,MATCH(Data!$DN1056,'Data_Price '!$AT$2:$AT$1266,0))</f>
        <v>Rossignol Hero Elite Plus Ti Mens Skis W/SPX 12 Konect GW Bindings</v>
      </c>
      <c r="DC1056" t="str">
        <f>INDEX('Data_Price '!AL$2:AL$1266,MATCH(Data!$DN1056,'Data_Price '!$AT$2:$AT$1266,0))</f>
        <v>The-House.com</v>
      </c>
      <c r="DD1056">
        <f>INDEX('Data_Price '!AM$2:AM$1266,MATCH(Data!$DN1056,'Data_Price '!$AT$2:$AT$1266,0))</f>
        <v>799.95</v>
      </c>
      <c r="DE1056" t="str">
        <f>INDEX('Data_Price '!AN$2:AN$1266,MATCH(Data!$DN1056,'Data_Price '!$AT$2:$AT$1266,0))</f>
        <v>https://tinyurl.com/y9cj2xpb</v>
      </c>
      <c r="DF1056" t="str">
        <f>INDEX('Data_Price '!AO$2:AO$1266,MATCH(Data!$DN1056,'Data_Price '!$AT$2:$AT$1266,0))</f>
        <v>Rossignol Power Cobra Skis With Bindings | Color: Black</v>
      </c>
      <c r="DG1056" t="str">
        <f>INDEX('Data_Price '!AP$2:AP$1266,MATCH(Data!$DN1056,'Data_Price '!$AT$2:$AT$1266,0))</f>
        <v>Mercari</v>
      </c>
      <c r="DH1056">
        <f>INDEX('Data_Price '!AQ$2:AQ$1266,MATCH(Data!$DN1056,'Data_Price '!$AT$2:$AT$1266,0))</f>
        <v>122</v>
      </c>
      <c r="DI1056" t="str">
        <f>INDEX('Data_Price '!AR$2:AR$1266,MATCH(Data!$DN1056,'Data_Price '!$AT$2:$AT$1266,0))</f>
        <v>https://tinyurl.com/y7zwkp9v</v>
      </c>
      <c r="DJ1056" s="89" t="str">
        <f t="shared" si="624"/>
        <v>https://tinyurl.com/y8hngnsr</v>
      </c>
      <c r="DK1056" s="89" t="str">
        <f t="shared" si="625"/>
        <v>https://tinyurl.com/y9cj2xpb</v>
      </c>
      <c r="DL1056" s="89" t="str">
        <f t="shared" si="626"/>
        <v>https://tinyurl.com/y7zwkp9v</v>
      </c>
      <c r="DM1056" s="219" t="str">
        <f t="shared" si="627"/>
        <v>Hero Elite Plus Ti</v>
      </c>
      <c r="DN1056" s="89" t="str">
        <f t="shared" si="628"/>
        <v xml:space="preserve"> RossignolHero Elite Plus Ti174 Unisex</v>
      </c>
      <c r="DO1056" s="221"/>
    </row>
    <row r="1057" spans="2:119" ht="15.6" customHeight="1">
      <c r="B1057" s="219" t="b">
        <f t="array" ref="B1057">IF(OR(ISERROR(K1057:P1057)),FALSE,TRUE)</f>
        <v>1</v>
      </c>
      <c r="C1057" s="43" t="b">
        <f>OR(BR1057=Driver!$G$50,Data!BR1090=Driver!$H$50)</f>
        <v>1</v>
      </c>
      <c r="D1057" s="43" t="b">
        <f>OR(BV1057=Driver!$G$51,BV1057=Driver!$H$51)</f>
        <v>1</v>
      </c>
      <c r="E1057" s="43" t="b">
        <f>AND(BX1057&gt;Driver!$F$54,BX1057&lt;Driver!$G$54)</f>
        <v>0</v>
      </c>
      <c r="F1057" s="43" t="b">
        <f>CL1057&gt;Driver!$F$56</f>
        <v>1</v>
      </c>
      <c r="G1057" s="43" t="b">
        <f>AND(CB1057&gt;Driver!$F$55,CB1057&lt;Driver!$G$55)</f>
        <v>0</v>
      </c>
      <c r="H1057" s="43" t="b">
        <f t="shared" si="592"/>
        <v>0</v>
      </c>
      <c r="I1057" s="43">
        <f t="shared" si="593"/>
        <v>0</v>
      </c>
      <c r="J1057" s="43" t="b">
        <f t="array" ref="J1057">NOT(OR(($H$9:$H$1273=TRUE)*($I$9:$I$1273&gt;0)*($BT$9:$BT$1273=BT1057)*($K$9:$K$1273&gt;K1057)))</f>
        <v>1</v>
      </c>
      <c r="K1057" s="72">
        <f t="shared" si="594"/>
        <v>0.77087460190760915</v>
      </c>
      <c r="L1057" s="72">
        <f t="shared" si="595"/>
        <v>0.94302497070279623</v>
      </c>
      <c r="M1057" s="72">
        <f t="shared" si="596"/>
        <v>0.59872423311242207</v>
      </c>
      <c r="N1057" s="72">
        <f t="shared" si="597"/>
        <v>0.40017634905425514</v>
      </c>
      <c r="O1057" s="72">
        <f t="shared" si="598"/>
        <v>0.59610700635978742</v>
      </c>
      <c r="P1057" s="72">
        <f t="shared" si="599"/>
        <v>0.79988934392322331</v>
      </c>
      <c r="Q1057" s="72"/>
      <c r="R1057" s="72"/>
      <c r="S1057" s="72">
        <f t="shared" si="600"/>
        <v>0.51327128867267424</v>
      </c>
      <c r="T1057" s="72">
        <f t="shared" si="601"/>
        <v>0.92691432691300091</v>
      </c>
      <c r="U1057" s="72">
        <f t="shared" si="602"/>
        <v>0.51</v>
      </c>
      <c r="V1057" s="72">
        <f t="shared" si="603"/>
        <v>0.49659012395455659</v>
      </c>
      <c r="W1057" s="72">
        <f t="shared" si="604"/>
        <v>0.7534515907530327</v>
      </c>
      <c r="X1057" s="72">
        <f t="shared" si="605"/>
        <v>5.6975029297203716E-2</v>
      </c>
      <c r="Y1057" s="72">
        <f t="shared" si="606"/>
        <v>0.40127576688757799</v>
      </c>
      <c r="Z1057" s="72">
        <f t="shared" si="607"/>
        <v>0.59982365094574486</v>
      </c>
      <c r="AA1057" s="72">
        <f t="shared" si="608"/>
        <v>0.40389299364021258</v>
      </c>
      <c r="AB1057" s="72">
        <f t="shared" si="609"/>
        <v>0.20011065607677669</v>
      </c>
      <c r="AC1057" s="72"/>
      <c r="AD1057" s="72"/>
      <c r="AE1057" s="72">
        <f t="shared" si="610"/>
        <v>0.48672871132732576</v>
      </c>
      <c r="AF1057" s="72">
        <f t="shared" si="611"/>
        <v>7.3085673086999037E-2</v>
      </c>
      <c r="AG1057" s="72">
        <f t="shared" si="612"/>
        <v>0.49</v>
      </c>
      <c r="AH1057" s="72">
        <f t="shared" si="613"/>
        <v>0.50340987604544341</v>
      </c>
      <c r="AI1057" s="72">
        <f t="shared" si="614"/>
        <v>0.24654840924696728</v>
      </c>
      <c r="AJ1057" s="72">
        <f>(AV1057-Driver!$K$179)/(Driver!$L$179-Driver!$K$179)</f>
        <v>0.19724437998549671</v>
      </c>
      <c r="AK1057" s="72">
        <f>(AW1057-Driver!$K$180)/(Driver!$L$180-Driver!$K$180)</f>
        <v>0.48125182247255449</v>
      </c>
      <c r="AL1057" s="72">
        <f>(AX1057-Driver!$K$181)/(Driver!$L$181-Driver!$K$181)</f>
        <v>0.70151141465882505</v>
      </c>
      <c r="AM1057" s="72">
        <f>(AY1057-Driver!$K$182)/(Driver!$L$182-Driver!$K$182)</f>
        <v>4.3492027456833761E-2</v>
      </c>
      <c r="AN1057" s="72">
        <f>(AZ1057-Driver!$K$183)/(Driver!$L$183-Driver!$K$183)</f>
        <v>0.45433006535947712</v>
      </c>
      <c r="AO1057" s="72"/>
      <c r="AP1057" s="72"/>
      <c r="AQ1057" s="72">
        <f>(BC1057-Driver!$K$188)/(Driver!$L$188-Driver!$K$188)</f>
        <v>0.13327128867267427</v>
      </c>
      <c r="AR1057" s="72">
        <f>MIN((BD1057-Driver!$K$189)/(Driver!$L$189-Driver!$K$189),100%)</f>
        <v>0.47691432691300101</v>
      </c>
      <c r="AS1057" s="72">
        <f>(BE1057-Driver!$K$190)/(Driver!$L$190-Driver!$K$190)</f>
        <v>1</v>
      </c>
      <c r="AT1057" s="72">
        <f>(BF1057-Driver!$K$191)/(Driver!$L$191-Driver!$K$191)</f>
        <v>6.5901239545566306E-3</v>
      </c>
      <c r="AU1057" s="72">
        <f>(BG1057-Driver!$K$192)/(Driver!$L$192-Driver!$K$192)</f>
        <v>3.4515907530327308E-3</v>
      </c>
      <c r="AV1057" s="70">
        <f t="shared" si="615"/>
        <v>4.1514041514041509</v>
      </c>
      <c r="AW1057" s="70">
        <f t="shared" si="616"/>
        <v>48.774147046358728</v>
      </c>
      <c r="AX1057" s="70">
        <f t="shared" si="617"/>
        <v>7.313602731929425</v>
      </c>
      <c r="AY1057" s="70">
        <f>IFERROR(Driver!$K$19/Data!BH1057/Data!BI1057*Data!BK1057*Data!BL1057,"")</f>
        <v>5.3247218375690172E-2</v>
      </c>
      <c r="AZ1057" s="70">
        <f t="shared" si="618"/>
        <v>41.407297096053611</v>
      </c>
      <c r="BA1057" s="70"/>
      <c r="BB1057" s="70"/>
      <c r="BC1057" s="70">
        <f t="shared" si="619"/>
        <v>69.128743921484059</v>
      </c>
      <c r="BD1057" s="70">
        <f t="shared" si="620"/>
        <v>43.926895773714804</v>
      </c>
      <c r="BE1057" s="70">
        <f t="shared" si="621"/>
        <v>1</v>
      </c>
      <c r="BF1057" s="70">
        <f t="shared" si="622"/>
        <v>0.74430820242609286</v>
      </c>
      <c r="BG1057" s="70">
        <f t="shared" si="623"/>
        <v>1.3069924467841613E-2</v>
      </c>
      <c r="BH1057" s="67">
        <f>MAX((CE1057-Driver!$F$200)/(Driver!$G$200-Driver!$F$200)*$BI$1,1)</f>
        <v>7.313602731929425</v>
      </c>
      <c r="BI1057" s="67">
        <f>MAX($BI$1*(BY1057-Driver!$F$201)/(Driver!$G$201-Driver!$F$201),1)</f>
        <v>8.4810126582278489</v>
      </c>
      <c r="BJ1057" s="67">
        <f>(CB1057-Driver!$F$206)/(Driver!$G$206-Driver!$F$206)*$BI$1</f>
        <v>2.5396825396825395</v>
      </c>
      <c r="BK1057" s="67">
        <f>(CD1057-Driver!$F$203)/(Driver!$G$203-Driver!$F$203)*$BI$1</f>
        <v>2.6605504587155959</v>
      </c>
      <c r="BL1057" s="67">
        <f>MAX((CR1057-Driver!$F$202)/(Driver!$G$202-Driver!$F$202)*$BI$1,1)</f>
        <v>6.2068965517241379</v>
      </c>
      <c r="BM1057" s="67">
        <f>MAX((CH1057-Driver!$F$204)/(Driver!$G$204-Driver!$F$204)*$BI$1,1)</f>
        <v>6.5384615384615383</v>
      </c>
      <c r="BN1057" s="67">
        <f>(CI1057-Driver!$F$205)/(Driver!$G$205-Driver!$F$205)*$BI$1</f>
        <v>4.8823529411764701</v>
      </c>
      <c r="BO1057" s="67">
        <f>(CK1057-Driver!$F$207)/(Driver!$G$207-Driver!$F$207)*$BI$1</f>
        <v>0.80661840744570834</v>
      </c>
      <c r="BP1057" s="67">
        <f>(CM1057-Driver!$F$208)/(Driver!$G$208-Driver!$F$208)*$BI$1</f>
        <v>0.96666666666666667</v>
      </c>
      <c r="BQ1057" s="67">
        <f>(CL1057-Driver!$F$209)/(Driver!$G$209-Driver!$F$209)*$BI$1</f>
        <v>0.625</v>
      </c>
      <c r="BR1057" s="28" t="s">
        <v>155</v>
      </c>
      <c r="BS1057" s="8" t="s">
        <v>174</v>
      </c>
      <c r="BT1057" s="9" t="s">
        <v>736</v>
      </c>
      <c r="BU1057" s="10">
        <v>170</v>
      </c>
      <c r="BV1057" s="9" t="s">
        <v>158</v>
      </c>
      <c r="BW1057" s="10">
        <v>170</v>
      </c>
      <c r="BX1057" s="10">
        <v>169.4</v>
      </c>
      <c r="BY1057" s="10">
        <v>142</v>
      </c>
      <c r="BZ1057" s="10">
        <v>156</v>
      </c>
      <c r="CA1057" s="10">
        <v>127</v>
      </c>
      <c r="CB1057" s="10">
        <v>80</v>
      </c>
      <c r="CC1057" s="10">
        <v>109</v>
      </c>
      <c r="CD1057" s="10">
        <v>15.2</v>
      </c>
      <c r="CE1057" s="10">
        <v>2185</v>
      </c>
      <c r="CF1057" s="10">
        <v>0.74</v>
      </c>
      <c r="CG1057" s="10">
        <v>1608</v>
      </c>
      <c r="CH1057" s="10">
        <v>254</v>
      </c>
      <c r="CI1057" s="10">
        <v>116</v>
      </c>
      <c r="CJ1057" s="10">
        <v>44</v>
      </c>
      <c r="CK1057" s="10">
        <v>188</v>
      </c>
      <c r="CL1057" s="10">
        <v>4</v>
      </c>
      <c r="CM1057" s="10">
        <v>87</v>
      </c>
      <c r="CN1057" s="10">
        <v>8.5000000000000006E-2</v>
      </c>
      <c r="CO1057" s="10">
        <v>88</v>
      </c>
      <c r="CP1057" s="10">
        <v>45</v>
      </c>
      <c r="CQ1057" s="10">
        <v>100</v>
      </c>
      <c r="CR1057" s="10">
        <v>7</v>
      </c>
      <c r="CS1057" s="10">
        <v>11.6</v>
      </c>
      <c r="CT1057" s="9" t="s">
        <v>349</v>
      </c>
      <c r="CU1057" s="9" t="s">
        <v>188</v>
      </c>
      <c r="CV1057" s="10"/>
      <c r="CW1057" s="10"/>
      <c r="CX1057" t="str">
        <f>INDEX('Data_Price '!AG$2:AG$1266,MATCH(Data!$DN1057,'Data_Price '!$AT$2:$AT$1266,0))</f>
        <v>Salomon S/Force Fx.80 Skis w/ M11 GW Bindings</v>
      </c>
      <c r="CY1057" t="str">
        <f>INDEX('Data_Price '!AH$2:AH$1266,MATCH(Data!$DN1057,'Data_Price '!$AT$2:$AT$1266,0))</f>
        <v>Peter Glenn Ski &amp; Sports</v>
      </c>
      <c r="CZ1057">
        <f>INDEX('Data_Price '!AI$2:AI$1266,MATCH(Data!$DN1057,'Data_Price '!$AT$2:$AT$1266,0))</f>
        <v>479.99</v>
      </c>
      <c r="DA1057" t="str">
        <f>INDEX('Data_Price '!AJ$2:AJ$1266,MATCH(Data!$DN1057,'Data_Price '!$AT$2:$AT$1266,0))</f>
        <v>https://tinyurl.com/yb47retz</v>
      </c>
      <c r="DB1057" t="str">
        <f>INDEX('Data_Price '!AK$2:AK$1266,MATCH(Data!$DN1057,'Data_Price '!$AT$2:$AT$1266,0))</f>
        <v>Salomon S/Force Fx.80 Skis w/ M11 GW Bindings</v>
      </c>
      <c r="DC1057" t="str">
        <f>INDEX('Data_Price '!AL$2:AL$1266,MATCH(Data!$DN1057,'Data_Price '!$AT$2:$AT$1266,0))</f>
        <v>Curated</v>
      </c>
      <c r="DD1057">
        <f>INDEX('Data_Price '!AM$2:AM$1266,MATCH(Data!$DN1057,'Data_Price '!$AT$2:$AT$1266,0))</f>
        <v>479.99</v>
      </c>
      <c r="DE1057" t="str">
        <f>INDEX('Data_Price '!AN$2:AN$1266,MATCH(Data!$DN1057,'Data_Price '!$AT$2:$AT$1266,0))</f>
        <v>https://tinyurl.com/yaxj8nf3</v>
      </c>
      <c r="DF1057" t="str">
        <f>INDEX('Data_Price '!AO$2:AO$1266,MATCH(Data!$DN1057,'Data_Price '!$AT$2:$AT$1266,0))</f>
        <v>Salomon S/Force Fx.80 Skis w/ M11 GW Bindings</v>
      </c>
      <c r="DG1057" t="str">
        <f>INDEX('Data_Price '!AP$2:AP$1266,MATCH(Data!$DN1057,'Data_Price '!$AT$2:$AT$1266,0))</f>
        <v>Buckman's Ski and Snowboard Shop</v>
      </c>
      <c r="DH1057">
        <f>INDEX('Data_Price '!AQ$2:AQ$1266,MATCH(Data!$DN1057,'Data_Price '!$AT$2:$AT$1266,0))</f>
        <v>599.95000000000005</v>
      </c>
      <c r="DI1057" t="str">
        <f>INDEX('Data_Price '!AR$2:AR$1266,MATCH(Data!$DN1057,'Data_Price '!$AT$2:$AT$1266,0))</f>
        <v>https://tinyurl.com/yboqt9gr</v>
      </c>
      <c r="DJ1057" s="89" t="str">
        <f t="shared" si="624"/>
        <v>https://tinyurl.com/yb47retz</v>
      </c>
      <c r="DK1057" s="89" t="str">
        <f t="shared" si="625"/>
        <v>https://tinyurl.com/yaxj8nf3</v>
      </c>
      <c r="DL1057" s="89" t="str">
        <f t="shared" si="626"/>
        <v>https://tinyurl.com/yboqt9gr</v>
      </c>
      <c r="DM1057" s="219" t="str">
        <f t="shared" si="627"/>
        <v>S/Force 80FX</v>
      </c>
      <c r="DN1057" s="89" t="str">
        <f t="shared" si="628"/>
        <v xml:space="preserve"> SalomonS/Force 80FX170 Unisex</v>
      </c>
      <c r="DO1057" s="221"/>
    </row>
    <row r="1058" spans="2:119" ht="15.6" customHeight="1">
      <c r="B1058" s="219" t="b">
        <f t="array" ref="B1058">IF(OR(ISERROR(K1058:P1058)),FALSE,TRUE)</f>
        <v>1</v>
      </c>
      <c r="C1058" s="43" t="b">
        <f>OR(BR1058=Driver!$G$50,Data!BR51=Driver!$H$50)</f>
        <v>1</v>
      </c>
      <c r="D1058" s="43" t="b">
        <f>OR(BV1058=Driver!$G$51,BV1058=Driver!$H$51)</f>
        <v>0</v>
      </c>
      <c r="E1058" s="43" t="b">
        <f>AND(BX1058&gt;Driver!$F$54,BX1058&lt;Driver!$G$54)</f>
        <v>1</v>
      </c>
      <c r="F1058" s="43" t="b">
        <f>CL1058&gt;Driver!$F$56</f>
        <v>1</v>
      </c>
      <c r="G1058" s="43" t="b">
        <f>AND(CB1058&gt;Driver!$F$55,CB1058&lt;Driver!$G$55)</f>
        <v>0</v>
      </c>
      <c r="H1058" s="43" t="b">
        <f t="shared" si="592"/>
        <v>0</v>
      </c>
      <c r="I1058" s="43">
        <f t="shared" si="593"/>
        <v>0</v>
      </c>
      <c r="J1058" s="43" t="b">
        <f t="array" ref="J1058">NOT(OR(($H$9:$H$1273=TRUE)*($I$9:$I$1273&gt;0)*($BT$9:$BT$1273=BT1058)*($K$9:$K$1273&gt;K1058)))</f>
        <v>1</v>
      </c>
      <c r="K1058" s="72">
        <f t="shared" si="594"/>
        <v>0.77435327484829064</v>
      </c>
      <c r="L1058" s="72">
        <f t="shared" si="595"/>
        <v>0.80218216996151837</v>
      </c>
      <c r="M1058" s="72">
        <f t="shared" si="596"/>
        <v>0.74652437973506292</v>
      </c>
      <c r="N1058" s="72">
        <f t="shared" si="597"/>
        <v>0.80427424319199003</v>
      </c>
      <c r="O1058" s="72">
        <f t="shared" si="598"/>
        <v>0.63535163862923272</v>
      </c>
      <c r="P1058" s="72">
        <f t="shared" si="599"/>
        <v>0.79994725738396621</v>
      </c>
      <c r="Q1058" s="72"/>
      <c r="R1058" s="72"/>
      <c r="S1058" s="72">
        <f t="shared" si="600"/>
        <v>0.38980108649229239</v>
      </c>
      <c r="T1058" s="72">
        <f t="shared" si="601"/>
        <v>0.50044946641395249</v>
      </c>
      <c r="U1058" s="72">
        <f t="shared" si="602"/>
        <v>0.58064753992359242</v>
      </c>
      <c r="V1058" s="72">
        <f t="shared" si="603"/>
        <v>0.53988533733869914</v>
      </c>
      <c r="W1058" s="72">
        <f t="shared" si="604"/>
        <v>0.96487394957983197</v>
      </c>
      <c r="X1058" s="72">
        <f t="shared" si="605"/>
        <v>0.19781783003848158</v>
      </c>
      <c r="Y1058" s="72">
        <f t="shared" si="606"/>
        <v>0.25347562026493703</v>
      </c>
      <c r="Z1058" s="72">
        <f t="shared" si="607"/>
        <v>0.19572575680801002</v>
      </c>
      <c r="AA1058" s="72">
        <f t="shared" si="608"/>
        <v>0.36464836137076728</v>
      </c>
      <c r="AB1058" s="72">
        <f t="shared" si="609"/>
        <v>0.20005274261603376</v>
      </c>
      <c r="AC1058" s="72"/>
      <c r="AD1058" s="72"/>
      <c r="AE1058" s="72">
        <f t="shared" si="610"/>
        <v>0.61019891350770761</v>
      </c>
      <c r="AF1058" s="72">
        <f t="shared" si="611"/>
        <v>0.49955053358604751</v>
      </c>
      <c r="AG1058" s="72">
        <f t="shared" si="612"/>
        <v>0.41935246007640753</v>
      </c>
      <c r="AH1058" s="72">
        <f t="shared" si="613"/>
        <v>0.46011466266130091</v>
      </c>
      <c r="AI1058" s="72">
        <f t="shared" si="614"/>
        <v>3.5126050420168087E-2</v>
      </c>
      <c r="AJ1058" s="72">
        <f>(AV1058-Driver!$K$179)/(Driver!$L$179-Driver!$K$179)</f>
        <v>5.6401579244218833E-2</v>
      </c>
      <c r="AK1058" s="72">
        <f>(AW1058-Driver!$K$180)/(Driver!$L$180-Driver!$K$180)</f>
        <v>7.021252063119536E-2</v>
      </c>
      <c r="AL1058" s="72">
        <f>(AX1058-Driver!$K$181)/(Driver!$L$181-Driver!$K$181)</f>
        <v>0.29741352052109021</v>
      </c>
      <c r="AM1058" s="72">
        <f>(AY1058-Driver!$K$182)/(Driver!$L$182-Driver!$K$182)</f>
        <v>8.2736659726279069E-2</v>
      </c>
      <c r="AN1058" s="72">
        <f>(AZ1058-Driver!$K$183)/(Driver!$L$183-Driver!$K$183)</f>
        <v>5.4166666666666669E-2</v>
      </c>
      <c r="AO1058" s="72"/>
      <c r="AP1058" s="72"/>
      <c r="AQ1058" s="72">
        <f>(BC1058-Driver!$K$188)/(Driver!$L$188-Driver!$K$188)</f>
        <v>9.8010864922923862E-3</v>
      </c>
      <c r="AR1058" s="72">
        <f>MIN((BD1058-Driver!$K$189)/(Driver!$L$189-Driver!$K$189),100%)</f>
        <v>5.0449466413952565E-2</v>
      </c>
      <c r="AS1058" s="72">
        <f>(BE1058-Driver!$K$190)/(Driver!$L$190-Driver!$K$190)</f>
        <v>9.0647539923592479E-2</v>
      </c>
      <c r="AT1058" s="72">
        <f>(BF1058-Driver!$K$191)/(Driver!$L$191-Driver!$K$191)</f>
        <v>4.9885337338699105E-2</v>
      </c>
      <c r="AU1058" s="72">
        <f>(BG1058-Driver!$K$192)/(Driver!$L$192-Driver!$K$192)</f>
        <v>0.28512605042016809</v>
      </c>
      <c r="AV1058" s="70">
        <f t="shared" si="615"/>
        <v>1.1870845204178537</v>
      </c>
      <c r="AW1058" s="70">
        <f t="shared" si="616"/>
        <v>8.7147249031909144</v>
      </c>
      <c r="AX1058" s="70">
        <f t="shared" si="617"/>
        <v>3.6767216846898121</v>
      </c>
      <c r="AY1058" s="70">
        <f>IFERROR(Driver!$K$19/Data!BH1058/Data!BI1058*Data!BK1058*Data!BL1058,"")</f>
        <v>0.1012943577416079</v>
      </c>
      <c r="AZ1058" s="70">
        <f t="shared" si="618"/>
        <v>4.9367088607594942</v>
      </c>
      <c r="BA1058" s="70"/>
      <c r="BB1058" s="70"/>
      <c r="BC1058" s="70">
        <f t="shared" si="619"/>
        <v>5.0838916995999446</v>
      </c>
      <c r="BD1058" s="70">
        <f t="shared" si="620"/>
        <v>6.1855112705675968</v>
      </c>
      <c r="BE1058" s="70">
        <f t="shared" si="621"/>
        <v>9.08097581672722E-2</v>
      </c>
      <c r="BF1058" s="70">
        <f t="shared" si="622"/>
        <v>5.6341983880763609</v>
      </c>
      <c r="BG1058" s="70">
        <f t="shared" si="623"/>
        <v>1.079669117647059</v>
      </c>
      <c r="BH1058" s="67">
        <f>MAX((CE1058-Driver!$F$200)/(Driver!$G$200-Driver!$F$200)*$BI$1,1)</f>
        <v>3.6767216846898121</v>
      </c>
      <c r="BI1058" s="67">
        <f>MAX($BI$1*(BY1058-Driver!$F$201)/(Driver!$G$201-Driver!$F$201),1)</f>
        <v>6.4556962025316453</v>
      </c>
      <c r="BJ1058" s="67">
        <f>(CB1058-Driver!$F$206)/(Driver!$G$206-Driver!$F$206)*$BI$1</f>
        <v>3.1746031746031744</v>
      </c>
      <c r="BK1058" s="67">
        <f>(CD1058-Driver!$F$203)/(Driver!$G$203-Driver!$F$203)*$BI$1</f>
        <v>1.834862385321101</v>
      </c>
      <c r="BL1058" s="67">
        <f>MAX((CR1058-Driver!$F$202)/(Driver!$G$202-Driver!$F$202)*$BI$1,1)</f>
        <v>6.5517241379310338</v>
      </c>
      <c r="BM1058" s="67">
        <f>MAX((CH1058-Driver!$F$204)/(Driver!$G$204-Driver!$F$204)*$BI$1,1)</f>
        <v>1.4957264957264957</v>
      </c>
      <c r="BN1058" s="67">
        <f>(CI1058-Driver!$F$205)/(Driver!$G$205-Driver!$F$205)*$BI$1</f>
        <v>0.76470588235294124</v>
      </c>
      <c r="BO1058" s="67">
        <f>(CK1058-Driver!$F$207)/(Driver!$G$207-Driver!$F$207)*$BI$1</f>
        <v>1.4581178903826266</v>
      </c>
      <c r="BP1058" s="67">
        <f>(CM1058-Driver!$F$208)/(Driver!$G$208-Driver!$F$208)*$BI$1</f>
        <v>2.2333333333333334</v>
      </c>
      <c r="BQ1058" s="67">
        <f>(CL1058-Driver!$F$209)/(Driver!$G$209-Driver!$F$209)*$BI$1</f>
        <v>5.9375</v>
      </c>
      <c r="BR1058" s="28" t="s">
        <v>155</v>
      </c>
      <c r="BS1058" s="8" t="s">
        <v>182</v>
      </c>
      <c r="BT1058" s="9" t="s">
        <v>721</v>
      </c>
      <c r="BU1058" s="10">
        <v>157</v>
      </c>
      <c r="BV1058" s="9" t="s">
        <v>163</v>
      </c>
      <c r="BW1058" s="10">
        <v>157</v>
      </c>
      <c r="BX1058" s="10">
        <v>155.4</v>
      </c>
      <c r="BY1058" s="10">
        <v>110</v>
      </c>
      <c r="BZ1058" s="10">
        <v>128</v>
      </c>
      <c r="CA1058" s="10">
        <v>116</v>
      </c>
      <c r="CB1058" s="10">
        <v>84</v>
      </c>
      <c r="CC1058" s="10">
        <v>108</v>
      </c>
      <c r="CD1058" s="10">
        <v>13.4</v>
      </c>
      <c r="CE1058" s="10">
        <v>1546</v>
      </c>
      <c r="CF1058" s="10">
        <v>0.96</v>
      </c>
      <c r="CG1058" s="10">
        <v>1484</v>
      </c>
      <c r="CH1058" s="10">
        <v>136</v>
      </c>
      <c r="CI1058" s="10">
        <v>46</v>
      </c>
      <c r="CJ1058" s="10">
        <v>46</v>
      </c>
      <c r="CK1058" s="10">
        <v>251</v>
      </c>
      <c r="CL1058" s="10">
        <v>38</v>
      </c>
      <c r="CM1058" s="10">
        <v>201</v>
      </c>
      <c r="CN1058" s="10">
        <v>0.81899999999999995</v>
      </c>
      <c r="CO1058" s="10">
        <v>142</v>
      </c>
      <c r="CP1058" s="10">
        <v>128</v>
      </c>
      <c r="CQ1058" s="10">
        <v>109</v>
      </c>
      <c r="CR1058" s="10">
        <v>8</v>
      </c>
      <c r="CS1058" s="10">
        <v>6.6</v>
      </c>
      <c r="CT1058" s="9" t="s">
        <v>188</v>
      </c>
      <c r="CU1058" s="9" t="s">
        <v>184</v>
      </c>
      <c r="CV1058" s="10"/>
      <c r="CW1058" s="10"/>
      <c r="CX1058" t="str">
        <f>INDEX('Data_Price '!AG$2:AG$1266,MATCH(Data!$DN1058,'Data_Price '!$AT$2:$AT$1266,0))</f>
        <v>Armada ARV 84 Ski 2022 - 157</v>
      </c>
      <c r="CY1058" t="str">
        <f>INDEX('Data_Price '!AH$2:AH$1266,MATCH(Data!$DN1058,'Data_Price '!$AT$2:$AT$1266,0))</f>
        <v>UtahSkis</v>
      </c>
      <c r="CZ1058">
        <f>INDEX('Data_Price '!AI$2:AI$1266,MATCH(Data!$DN1058,'Data_Price '!$AT$2:$AT$1266,0))</f>
        <v>279.95999999999998</v>
      </c>
      <c r="DA1058" t="str">
        <f>INDEX('Data_Price '!AJ$2:AJ$1266,MATCH(Data!$DN1058,'Data_Price '!$AT$2:$AT$1266,0))</f>
        <v>https://tinyurl.com/y8tj6lj8</v>
      </c>
      <c r="DB1058" t="str">
        <f>INDEX('Data_Price '!AK$2:AK$1266,MATCH(Data!$DN1058,'Data_Price '!$AT$2:$AT$1266,0))</f>
        <v>Armada Arv 84 Skis 2022 157cm</v>
      </c>
      <c r="DC1058" t="str">
        <f>INDEX('Data_Price '!AL$2:AL$1266,MATCH(Data!$DN1058,'Data_Price '!$AT$2:$AT$1266,0))</f>
        <v>eBay</v>
      </c>
      <c r="DD1058">
        <f>INDEX('Data_Price '!AM$2:AM$1266,MATCH(Data!$DN1058,'Data_Price '!$AT$2:$AT$1266,0))</f>
        <v>315.99</v>
      </c>
      <c r="DE1058" t="str">
        <f>INDEX('Data_Price '!AN$2:AN$1266,MATCH(Data!$DN1058,'Data_Price '!$AT$2:$AT$1266,0))</f>
        <v>https://tinyurl.com/y8y9ggk8</v>
      </c>
      <c r="DF1058" t="str">
        <f>INDEX('Data_Price '!AO$2:AO$1266,MATCH(Data!$DN1058,'Data_Price '!$AT$2:$AT$1266,0))</f>
        <v>Armada ARV 84 Ski 2022 - 157</v>
      </c>
      <c r="DG1058" t="str">
        <f>INDEX('Data_Price '!AP$2:AP$1266,MATCH(Data!$DN1058,'Data_Price '!$AT$2:$AT$1266,0))</f>
        <v xml:space="preserve">Aspen East </v>
      </c>
      <c r="DH1058">
        <f>INDEX('Data_Price '!AQ$2:AQ$1266,MATCH(Data!$DN1058,'Data_Price '!$AT$2:$AT$1266,0))</f>
        <v>349</v>
      </c>
      <c r="DI1058" t="str">
        <f>INDEX('Data_Price '!AR$2:AR$1266,MATCH(Data!$DN1058,'Data_Price '!$AT$2:$AT$1266,0))</f>
        <v>https://tinyurl.com/yboy83wv</v>
      </c>
      <c r="DJ1058" s="89" t="str">
        <f t="shared" si="624"/>
        <v>https://tinyurl.com/y8tj6lj8</v>
      </c>
      <c r="DK1058" s="89" t="str">
        <f t="shared" si="625"/>
        <v>https://tinyurl.com/y8y9ggk8</v>
      </c>
      <c r="DL1058" s="89" t="str">
        <f t="shared" si="626"/>
        <v>https://tinyurl.com/yboy83wv</v>
      </c>
      <c r="DM1058" s="219" t="str">
        <f t="shared" si="627"/>
        <v>ARW 84</v>
      </c>
      <c r="DN1058" s="89" t="str">
        <f t="shared" si="628"/>
        <v xml:space="preserve"> ArmadaARW 84157 Women's</v>
      </c>
      <c r="DO1058" s="221" t="s">
        <v>722</v>
      </c>
    </row>
    <row r="1059" spans="2:119" ht="15.6" customHeight="1">
      <c r="B1059" s="219" t="b">
        <f t="array" ref="B1059">IF(OR(ISERROR(K1059:P1059)),FALSE,TRUE)</f>
        <v>1</v>
      </c>
      <c r="C1059" s="43" t="b">
        <f>OR(BR1059=Driver!$G$50,Data!BR354=Driver!$H$50)</f>
        <v>1</v>
      </c>
      <c r="D1059" s="43" t="b">
        <f>OR(BV1059=Driver!$G$51,BV1059=Driver!$H$51)</f>
        <v>1</v>
      </c>
      <c r="E1059" s="43" t="b">
        <f>AND(BX1059&gt;Driver!$F$54,BX1059&lt;Driver!$G$54)</f>
        <v>0</v>
      </c>
      <c r="F1059" s="43" t="b">
        <f>CL1059&gt;Driver!$F$56</f>
        <v>1</v>
      </c>
      <c r="G1059" s="43" t="b">
        <f>AND(CB1059&gt;Driver!$F$55,CB1059&lt;Driver!$G$55)</f>
        <v>0</v>
      </c>
      <c r="H1059" s="43" t="b">
        <f t="shared" si="592"/>
        <v>0</v>
      </c>
      <c r="I1059" s="43">
        <f t="shared" si="593"/>
        <v>0</v>
      </c>
      <c r="J1059" s="43" t="b">
        <f t="array" ref="J1059">NOT(OR(($H$9:$H$1273=TRUE)*($I$9:$I$1273&gt;0)*($BT$9:$BT$1273=BT1059)*($K$9:$K$1273&gt;K1059)))</f>
        <v>1</v>
      </c>
      <c r="K1059" s="72">
        <f t="shared" si="594"/>
        <v>0.87737243406218124</v>
      </c>
      <c r="L1059" s="72">
        <f t="shared" si="595"/>
        <v>0.86760800188481224</v>
      </c>
      <c r="M1059" s="72">
        <f t="shared" si="596"/>
        <v>0.88713686623955024</v>
      </c>
      <c r="N1059" s="72">
        <f t="shared" si="597"/>
        <v>0.95794671424809097</v>
      </c>
      <c r="O1059" s="72">
        <f t="shared" si="598"/>
        <v>0.81409669244607064</v>
      </c>
      <c r="P1059" s="72">
        <f t="shared" si="599"/>
        <v>0.88936719202448911</v>
      </c>
      <c r="Q1059" s="72"/>
      <c r="R1059" s="72"/>
      <c r="S1059" s="72">
        <f t="shared" si="600"/>
        <v>0.40662701437003268</v>
      </c>
      <c r="T1059" s="72">
        <f t="shared" si="601"/>
        <v>0.44322811511637239</v>
      </c>
      <c r="U1059" s="72">
        <f t="shared" si="602"/>
        <v>0.90009887688218715</v>
      </c>
      <c r="V1059" s="72">
        <f t="shared" si="603"/>
        <v>0.56651226080806039</v>
      </c>
      <c r="W1059" s="72">
        <f t="shared" si="604"/>
        <v>0.98936507936507934</v>
      </c>
      <c r="X1059" s="72">
        <f t="shared" si="605"/>
        <v>0.13239199811518776</v>
      </c>
      <c r="Y1059" s="72">
        <f t="shared" si="606"/>
        <v>0.11286313376044972</v>
      </c>
      <c r="Z1059" s="72">
        <f t="shared" si="607"/>
        <v>4.2053285751908982E-2</v>
      </c>
      <c r="AA1059" s="72">
        <f t="shared" si="608"/>
        <v>0.18590330755392936</v>
      </c>
      <c r="AB1059" s="72">
        <f t="shared" si="609"/>
        <v>0.11063280797551087</v>
      </c>
      <c r="AC1059" s="72"/>
      <c r="AD1059" s="72"/>
      <c r="AE1059" s="72">
        <f t="shared" si="610"/>
        <v>0.59337298562996732</v>
      </c>
      <c r="AF1059" s="72">
        <f t="shared" si="611"/>
        <v>0.55677188488362761</v>
      </c>
      <c r="AG1059" s="72">
        <f t="shared" si="612"/>
        <v>9.9901123117812851E-2</v>
      </c>
      <c r="AH1059" s="72">
        <f t="shared" si="613"/>
        <v>0.43348773919193956</v>
      </c>
      <c r="AI1059" s="72">
        <f t="shared" si="614"/>
        <v>1.0634920634920692E-2</v>
      </c>
      <c r="AJ1059" s="72">
        <f>(AV1059-Driver!$K$179)/(Driver!$L$179-Driver!$K$179)</f>
        <v>0.12182741116751267</v>
      </c>
      <c r="AK1059" s="72">
        <f>(AW1059-Driver!$K$180)/(Driver!$L$180-Driver!$K$180)</f>
        <v>0.13412144350248853</v>
      </c>
      <c r="AL1059" s="72">
        <f>(AX1059-Driver!$K$181)/(Driver!$L$181-Driver!$K$181)</f>
        <v>5.9634477961171196E-2</v>
      </c>
      <c r="AM1059" s="72">
        <f>(AY1059-Driver!$K$182)/(Driver!$L$182-Driver!$K$182)</f>
        <v>0.261481713543117</v>
      </c>
      <c r="AN1059" s="72">
        <f>(AZ1059-Driver!$K$183)/(Driver!$L$183-Driver!$K$183)</f>
        <v>0.14358660130718956</v>
      </c>
      <c r="AO1059" s="72"/>
      <c r="AP1059" s="72"/>
      <c r="AQ1059" s="72">
        <f>(BC1059-Driver!$K$188)/(Driver!$L$188-Driver!$K$188)</f>
        <v>2.6627014370032637E-2</v>
      </c>
      <c r="AR1059" s="72">
        <f>MIN((BD1059-Driver!$K$189)/(Driver!$L$189-Driver!$K$189),100%)</f>
        <v>-6.7718848836275953E-3</v>
      </c>
      <c r="AS1059" s="72">
        <f>(BE1059-Driver!$K$190)/(Driver!$L$190-Driver!$K$190)</f>
        <v>0.41009887688218716</v>
      </c>
      <c r="AT1059" s="72">
        <f>(BF1059-Driver!$K$191)/(Driver!$L$191-Driver!$K$191)</f>
        <v>7.6512260808060437E-2</v>
      </c>
      <c r="AU1059" s="72">
        <f>(BG1059-Driver!$K$192)/(Driver!$L$192-Driver!$K$192)</f>
        <v>0.23936507936507931</v>
      </c>
      <c r="AV1059" s="70">
        <f t="shared" si="615"/>
        <v>2.5641025641025639</v>
      </c>
      <c r="AW1059" s="70">
        <f t="shared" si="616"/>
        <v>14.943215727662922</v>
      </c>
      <c r="AX1059" s="70">
        <f t="shared" si="617"/>
        <v>1.5367103016505408</v>
      </c>
      <c r="AY1059" s="70">
        <f>IFERROR(Driver!$K$19/Data!BH1059/Data!BI1059*Data!BK1059*Data!BL1059,"")</f>
        <v>0.32013163599004191</v>
      </c>
      <c r="AZ1059" s="70">
        <f t="shared" si="618"/>
        <v>13.086373790022339</v>
      </c>
      <c r="BA1059" s="70"/>
      <c r="BB1059" s="70"/>
      <c r="BC1059" s="70">
        <f t="shared" si="619"/>
        <v>13.811617461736715</v>
      </c>
      <c r="BD1059" s="70">
        <f t="shared" si="620"/>
        <v>1.1215230709666761</v>
      </c>
      <c r="BE1059" s="70">
        <f t="shared" si="621"/>
        <v>0.41020410860293144</v>
      </c>
      <c r="BF1059" s="70">
        <f t="shared" si="622"/>
        <v>8.641522329216226</v>
      </c>
      <c r="BG1059" s="70">
        <f t="shared" si="623"/>
        <v>0.9063888888888888</v>
      </c>
      <c r="BH1059" s="67">
        <f>MAX((CE1059-Driver!$F$200)/(Driver!$G$200-Driver!$F$200)*$BI$1,1)</f>
        <v>1.5367103016505408</v>
      </c>
      <c r="BI1059" s="67">
        <f>MAX($BI$1*(BY1059-Driver!$F$201)/(Driver!$G$201-Driver!$F$201),1)</f>
        <v>6.0126582278481013</v>
      </c>
      <c r="BJ1059" s="67">
        <f>(CB1059-Driver!$F$206)/(Driver!$G$206-Driver!$F$206)*$BI$1</f>
        <v>5.7142857142857135</v>
      </c>
      <c r="BK1059" s="67">
        <f>(CD1059-Driver!$F$203)/(Driver!$G$203-Driver!$F$203)*$BI$1</f>
        <v>2.522935779816514</v>
      </c>
      <c r="BL1059" s="67">
        <f>MAX((CR1059-Driver!$F$202)/(Driver!$G$202-Driver!$F$202)*$BI$1,1)</f>
        <v>5.8620689655172411</v>
      </c>
      <c r="BM1059" s="67">
        <f>MAX((CH1059-Driver!$F$204)/(Driver!$G$204-Driver!$F$204)*$BI$1,1)</f>
        <v>1.7948717948717949</v>
      </c>
      <c r="BN1059" s="67">
        <f>(CI1059-Driver!$F$205)/(Driver!$G$205-Driver!$F$205)*$BI$1</f>
        <v>2.1764705882352944</v>
      </c>
      <c r="BO1059" s="67">
        <f>(CK1059-Driver!$F$207)/(Driver!$G$207-Driver!$F$207)*$BI$1</f>
        <v>1.499482936918304</v>
      </c>
      <c r="BP1059" s="67">
        <f>(CM1059-Driver!$F$208)/(Driver!$G$208-Driver!$F$208)*$BI$1</f>
        <v>2.5444444444444443</v>
      </c>
      <c r="BQ1059" s="67">
        <f>(CL1059-Driver!$F$209)/(Driver!$G$209-Driver!$F$209)*$BI$1</f>
        <v>2.5</v>
      </c>
      <c r="BR1059" s="28" t="s">
        <v>155</v>
      </c>
      <c r="BS1059" s="8" t="s">
        <v>218</v>
      </c>
      <c r="BT1059" s="9" t="s">
        <v>222</v>
      </c>
      <c r="BU1059" s="10">
        <v>153</v>
      </c>
      <c r="BV1059" s="9" t="s">
        <v>158</v>
      </c>
      <c r="BW1059" s="10">
        <v>153</v>
      </c>
      <c r="BX1059" s="10">
        <v>151.80000000000001</v>
      </c>
      <c r="BY1059" s="10">
        <v>103</v>
      </c>
      <c r="BZ1059" s="10">
        <v>111</v>
      </c>
      <c r="CA1059" s="10">
        <v>124</v>
      </c>
      <c r="CB1059" s="10">
        <v>100</v>
      </c>
      <c r="CC1059" s="10">
        <v>112</v>
      </c>
      <c r="CD1059" s="10">
        <v>14.9</v>
      </c>
      <c r="CE1059" s="10">
        <v>1170</v>
      </c>
      <c r="CF1059" s="10">
        <v>1.4</v>
      </c>
      <c r="CG1059" s="10">
        <v>1633</v>
      </c>
      <c r="CH1059" s="10">
        <v>143</v>
      </c>
      <c r="CI1059" s="10">
        <v>70</v>
      </c>
      <c r="CJ1059" s="10">
        <v>33</v>
      </c>
      <c r="CK1059" s="10">
        <v>255</v>
      </c>
      <c r="CL1059" s="10">
        <v>16</v>
      </c>
      <c r="CM1059" s="10">
        <v>229</v>
      </c>
      <c r="CN1059" s="10">
        <v>0.46600000000000003</v>
      </c>
      <c r="CO1059" s="10">
        <v>215</v>
      </c>
      <c r="CP1059" s="10">
        <v>188</v>
      </c>
      <c r="CQ1059" s="10">
        <v>40</v>
      </c>
      <c r="CR1059" s="10">
        <v>6</v>
      </c>
      <c r="CS1059" s="10">
        <v>11.5</v>
      </c>
      <c r="CT1059" s="9" t="s">
        <v>185</v>
      </c>
      <c r="CU1059" s="9" t="s">
        <v>198</v>
      </c>
      <c r="CV1059" s="10"/>
      <c r="CW1059" s="10"/>
      <c r="CX1059" t="str">
        <f>INDEX('Data_Price '!AG$2:AG$1266,MATCH(Data!$DN1059,'Data_Price '!$AT$2:$AT$1266,0))</f>
        <v>DPS Pagoda Tour 100 RP 153cm</v>
      </c>
      <c r="CY1059" t="str">
        <f>INDEX('Data_Price '!AH$2:AH$1266,MATCH(Data!$DN1059,'Data_Price '!$AT$2:$AT$1266,0))</f>
        <v>Skimo &amp; SkyRun</v>
      </c>
      <c r="CZ1059">
        <f>INDEX('Data_Price '!AI$2:AI$1266,MATCH(Data!$DN1059,'Data_Price '!$AT$2:$AT$1266,0))</f>
        <v>1029</v>
      </c>
      <c r="DA1059" t="str">
        <f>INDEX('Data_Price '!AJ$2:AJ$1266,MATCH(Data!$DN1059,'Data_Price '!$AT$2:$AT$1266,0))</f>
        <v>https://tinyurl.com/yaj37rby</v>
      </c>
      <c r="DB1059" t="str">
        <f>INDEX('Data_Price '!AK$2:AK$1266,MATCH(Data!$DN1059,'Data_Price '!$AT$2:$AT$1266,0))</f>
        <v>DPS Pagoda Tour 100 RP 153cm</v>
      </c>
      <c r="DC1059" t="str">
        <f>INDEX('Data_Price '!AL$2:AL$1266,MATCH(Data!$DN1059,'Data_Price '!$AT$2:$AT$1266,0))</f>
        <v>REI</v>
      </c>
      <c r="DD1059">
        <f>INDEX('Data_Price '!AM$2:AM$1266,MATCH(Data!$DN1059,'Data_Price '!$AT$2:$AT$1266,0))</f>
        <v>1038.93</v>
      </c>
      <c r="DE1059" t="str">
        <f>INDEX('Data_Price '!AN$2:AN$1266,MATCH(Data!$DN1059,'Data_Price '!$AT$2:$AT$1266,0))</f>
        <v>https://tinyurl.com/yc5d5kh6</v>
      </c>
      <c r="DF1059" t="str">
        <f>INDEX('Data_Price '!AO$2:AO$1266,MATCH(Data!$DN1059,'Data_Price '!$AT$2:$AT$1266,0))</f>
        <v>DPS Pagoda Tour 100 RP 153cm</v>
      </c>
      <c r="DG1059" t="str">
        <f>INDEX('Data_Price '!AP$2:AP$1266,MATCH(Data!$DN1059,'Data_Price '!$AT$2:$AT$1266,0))</f>
        <v>eBay - david110549</v>
      </c>
      <c r="DH1059">
        <f>INDEX('Data_Price '!AQ$2:AQ$1266,MATCH(Data!$DN1059,'Data_Price '!$AT$2:$AT$1266,0))</f>
        <v>1039</v>
      </c>
      <c r="DI1059" t="str">
        <f>INDEX('Data_Price '!AR$2:AR$1266,MATCH(Data!$DN1059,'Data_Price '!$AT$2:$AT$1266,0))</f>
        <v>https://tinyurl.com/y8jgolqs</v>
      </c>
      <c r="DJ1059" s="89" t="str">
        <f t="shared" si="624"/>
        <v>https://tinyurl.com/yaj37rby</v>
      </c>
      <c r="DK1059" s="89" t="str">
        <f t="shared" si="625"/>
        <v>https://tinyurl.com/yc5d5kh6</v>
      </c>
      <c r="DL1059" s="89" t="str">
        <f t="shared" si="626"/>
        <v>https://tinyurl.com/y8jgolqs</v>
      </c>
      <c r="DM1059" s="219" t="str">
        <f t="shared" si="627"/>
        <v>Pagoda Tour 100 RP</v>
      </c>
      <c r="DN1059" s="89" t="str">
        <f t="shared" si="628"/>
        <v xml:space="preserve"> DPSPagoda Tour 100 RP153 Unisex</v>
      </c>
      <c r="DO1059" s="221" t="s">
        <v>223</v>
      </c>
    </row>
    <row r="1060" spans="2:119" ht="15.6" customHeight="1">
      <c r="B1060" s="219" t="b">
        <f t="array" ref="B1060">IF(OR(ISERROR(K1060:P1060)),FALSE,TRUE)</f>
        <v>1</v>
      </c>
      <c r="C1060" s="43" t="b">
        <f>OR(BR1060=Driver!$G$50,Data!BR311=Driver!$H$50)</f>
        <v>1</v>
      </c>
      <c r="D1060" s="43" t="b">
        <f>OR(BV1060=Driver!$G$51,BV1060=Driver!$H$51)</f>
        <v>1</v>
      </c>
      <c r="E1060" s="43" t="b">
        <f>AND(BX1060&gt;Driver!$F$54,BX1060&lt;Driver!$G$54)</f>
        <v>1</v>
      </c>
      <c r="F1060" s="43" t="b">
        <f>CL1060&gt;Driver!$F$56</f>
        <v>1</v>
      </c>
      <c r="G1060" s="43" t="b">
        <f>AND(CB1060&gt;Driver!$F$55,CB1060&lt;Driver!$G$55)</f>
        <v>0</v>
      </c>
      <c r="H1060" s="43" t="b">
        <f t="shared" si="592"/>
        <v>0</v>
      </c>
      <c r="I1060" s="43">
        <f t="shared" si="593"/>
        <v>0</v>
      </c>
      <c r="J1060" s="43" t="b">
        <f t="array" ref="J1060">NOT(OR(($H$9:$H$1273=TRUE)*($I$9:$I$1273&gt;0)*($BT$9:$BT$1273=BT1060)*($K$9:$K$1273&gt;K1060)))</f>
        <v>1</v>
      </c>
      <c r="K1060" s="72">
        <f t="shared" si="594"/>
        <v>0.70702862124096055</v>
      </c>
      <c r="L1060" s="72">
        <f t="shared" si="595"/>
        <v>0.78920980673534813</v>
      </c>
      <c r="M1060" s="72">
        <f t="shared" si="596"/>
        <v>0.62484743574657298</v>
      </c>
      <c r="N1060" s="72">
        <f t="shared" si="597"/>
        <v>0.46657741147125376</v>
      </c>
      <c r="O1060" s="72">
        <f t="shared" si="598"/>
        <v>0.58185006164916331</v>
      </c>
      <c r="P1060" s="72">
        <f t="shared" si="599"/>
        <v>0.82611483411930176</v>
      </c>
      <c r="Q1060" s="72"/>
      <c r="R1060" s="72"/>
      <c r="S1060" s="72">
        <f t="shared" si="600"/>
        <v>0.47820174872759513</v>
      </c>
      <c r="T1060" s="72">
        <f t="shared" si="601"/>
        <v>0.55000000000000004</v>
      </c>
      <c r="U1060" s="72">
        <f t="shared" si="602"/>
        <v>0.51</v>
      </c>
      <c r="V1060" s="72">
        <f t="shared" si="603"/>
        <v>0.491490874730104</v>
      </c>
      <c r="W1060" s="72">
        <f t="shared" si="604"/>
        <v>0.76307010785824347</v>
      </c>
      <c r="X1060" s="72">
        <f t="shared" si="605"/>
        <v>0.21079019326465193</v>
      </c>
      <c r="Y1060" s="72">
        <f t="shared" si="606"/>
        <v>0.37515256425342702</v>
      </c>
      <c r="Z1060" s="72">
        <f t="shared" si="607"/>
        <v>0.53342258852874624</v>
      </c>
      <c r="AA1060" s="72">
        <f t="shared" si="608"/>
        <v>0.41814993835083669</v>
      </c>
      <c r="AB1060" s="72">
        <f t="shared" si="609"/>
        <v>0.17388516588069824</v>
      </c>
      <c r="AC1060" s="72"/>
      <c r="AD1060" s="72"/>
      <c r="AE1060" s="72">
        <f t="shared" si="610"/>
        <v>0.52179825127240487</v>
      </c>
      <c r="AF1060" s="72">
        <f t="shared" si="611"/>
        <v>0.44999999999999996</v>
      </c>
      <c r="AG1060" s="72">
        <f t="shared" si="612"/>
        <v>0.49</v>
      </c>
      <c r="AH1060" s="72">
        <f t="shared" si="613"/>
        <v>0.508509125269896</v>
      </c>
      <c r="AI1060" s="72">
        <f t="shared" si="614"/>
        <v>0.23692989214175655</v>
      </c>
      <c r="AJ1060" s="72">
        <f>(AV1060-Driver!$K$179)/(Driver!$L$179-Driver!$K$179)</f>
        <v>4.34292160180485E-2</v>
      </c>
      <c r="AK1060" s="72">
        <f>(AW1060-Driver!$K$180)/(Driver!$L$180-Driver!$K$180)</f>
        <v>0.45041588260498766</v>
      </c>
      <c r="AL1060" s="72">
        <f>(AX1060-Driver!$K$181)/(Driver!$L$181-Driver!$K$181)</f>
        <v>0.63511035224182644</v>
      </c>
      <c r="AM1060" s="72">
        <f>(AY1060-Driver!$K$182)/(Driver!$L$182-Driver!$K$182)</f>
        <v>2.9235082746209666E-2</v>
      </c>
      <c r="AN1060" s="72">
        <f>(AZ1060-Driver!$K$183)/(Driver!$L$183-Driver!$K$183)</f>
        <v>0.42810457516339867</v>
      </c>
      <c r="AO1060" s="72"/>
      <c r="AP1060" s="72"/>
      <c r="AQ1060" s="72">
        <f>(BC1060-Driver!$K$188)/(Driver!$L$188-Driver!$K$188)</f>
        <v>9.8201748727595142E-2</v>
      </c>
      <c r="AR1060" s="72">
        <f>MIN((BD1060-Driver!$K$189)/(Driver!$L$189-Driver!$K$189),100%)</f>
        <v>1</v>
      </c>
      <c r="AS1060" s="72">
        <f>(BE1060-Driver!$K$190)/(Driver!$L$190-Driver!$K$190)</f>
        <v>1</v>
      </c>
      <c r="AT1060" s="72">
        <f>(BF1060-Driver!$K$191)/(Driver!$L$191-Driver!$K$191)</f>
        <v>1.4908747301040236E-3</v>
      </c>
      <c r="AU1060" s="72">
        <f>(BG1060-Driver!$K$192)/(Driver!$L$192-Driver!$K$192)</f>
        <v>1.3070107858243448E-2</v>
      </c>
      <c r="AV1060" s="70">
        <f t="shared" si="615"/>
        <v>0.91405508072174735</v>
      </c>
      <c r="AW1060" s="70">
        <f t="shared" si="616"/>
        <v>45.768911472041431</v>
      </c>
      <c r="AX1060" s="70">
        <f t="shared" si="617"/>
        <v>6.7159931701764375</v>
      </c>
      <c r="AY1060" s="70">
        <f>IFERROR(Driver!$K$19/Data!BH1060/Data!BI1060*Data!BK1060*Data!BL1060,"")</f>
        <v>3.5792464188150901E-2</v>
      </c>
      <c r="AZ1060" s="70">
        <f t="shared" si="618"/>
        <v>39.017125837676844</v>
      </c>
      <c r="BA1060" s="70"/>
      <c r="BB1060" s="70"/>
      <c r="BC1060" s="70">
        <f t="shared" si="619"/>
        <v>50.937929752485118</v>
      </c>
      <c r="BD1060" s="70">
        <f t="shared" si="620"/>
        <v>104.66082619125619</v>
      </c>
      <c r="BE1060" s="70">
        <f t="shared" si="621"/>
        <v>1</v>
      </c>
      <c r="BF1060" s="70">
        <f t="shared" si="622"/>
        <v>0.16838382677748409</v>
      </c>
      <c r="BG1060" s="70">
        <f t="shared" si="623"/>
        <v>4.9491766178736511E-2</v>
      </c>
      <c r="BH1060" s="67">
        <f>MAX((CE1060-Driver!$F$200)/(Driver!$G$200-Driver!$F$200)*$BI$1,1)</f>
        <v>6.7159931701764375</v>
      </c>
      <c r="BI1060" s="67">
        <f>MAX($BI$1*(BY1060-Driver!$F$201)/(Driver!$G$201-Driver!$F$201),1)</f>
        <v>8.2911392405063289</v>
      </c>
      <c r="BJ1060" s="67">
        <f>(CB1060-Driver!$F$206)/(Driver!$G$206-Driver!$F$206)*$BI$1</f>
        <v>1.1111111111111112</v>
      </c>
      <c r="BK1060" s="67">
        <f>(CD1060-Driver!$F$203)/(Driver!$G$203-Driver!$F$203)*$BI$1</f>
        <v>1.3761467889908259</v>
      </c>
      <c r="BL1060" s="67">
        <f>MAX((CR1060-Driver!$F$202)/(Driver!$G$202-Driver!$F$202)*$BI$1,1)</f>
        <v>7.2413793103448274</v>
      </c>
      <c r="BM1060" s="67">
        <f>MAX((CH1060-Driver!$F$204)/(Driver!$G$204-Driver!$F$204)*$BI$1,1)</f>
        <v>3.2905982905982905</v>
      </c>
      <c r="BN1060" s="67">
        <f>(CI1060-Driver!$F$205)/(Driver!$G$205-Driver!$F$205)*$BI$1</f>
        <v>4.7058823529411766</v>
      </c>
      <c r="BO1060" s="67">
        <f>(CK1060-Driver!$F$207)/(Driver!$G$207-Driver!$F$207)*$BI$1</f>
        <v>0.34126163391933811</v>
      </c>
      <c r="BP1060" s="67">
        <f>(CM1060-Driver!$F$208)/(Driver!$G$208-Driver!$F$208)*$BI$1</f>
        <v>0.61111111111111105</v>
      </c>
      <c r="BQ1060" s="67">
        <f>(CL1060-Driver!$F$209)/(Driver!$G$209-Driver!$F$209)*$BI$1</f>
        <v>1.09375</v>
      </c>
      <c r="BR1060" s="28" t="s">
        <v>155</v>
      </c>
      <c r="BS1060" s="8" t="s">
        <v>317</v>
      </c>
      <c r="BT1060" s="9" t="s">
        <v>851</v>
      </c>
      <c r="BU1060" s="10">
        <v>160</v>
      </c>
      <c r="BV1060" s="9" t="s">
        <v>158</v>
      </c>
      <c r="BW1060" s="10">
        <v>160</v>
      </c>
      <c r="BX1060" s="10">
        <v>158.9</v>
      </c>
      <c r="BY1060" s="10">
        <v>139</v>
      </c>
      <c r="BZ1060" s="10">
        <v>146</v>
      </c>
      <c r="CA1060" s="10">
        <v>122</v>
      </c>
      <c r="CB1060" s="10">
        <v>71</v>
      </c>
      <c r="CC1060" s="10">
        <v>105</v>
      </c>
      <c r="CD1060" s="10">
        <v>12.4</v>
      </c>
      <c r="CE1060" s="10">
        <v>2080</v>
      </c>
      <c r="CF1060" s="10">
        <v>0.67</v>
      </c>
      <c r="CG1060" s="10">
        <v>1384</v>
      </c>
      <c r="CH1060" s="10">
        <v>178</v>
      </c>
      <c r="CI1060" s="10">
        <v>113</v>
      </c>
      <c r="CJ1060" s="10">
        <v>43</v>
      </c>
      <c r="CK1060" s="10">
        <v>143</v>
      </c>
      <c r="CL1060" s="10">
        <v>7</v>
      </c>
      <c r="CM1060" s="10">
        <v>55</v>
      </c>
      <c r="CN1060" s="10">
        <v>0.156</v>
      </c>
      <c r="CO1060" s="10">
        <v>75</v>
      </c>
      <c r="CP1060" s="10">
        <v>54</v>
      </c>
      <c r="CQ1060" s="10">
        <v>68</v>
      </c>
      <c r="CR1060" s="10">
        <v>10</v>
      </c>
      <c r="CS1060" s="10">
        <v>12.1</v>
      </c>
      <c r="CT1060" s="9" t="s">
        <v>349</v>
      </c>
      <c r="CU1060" s="10"/>
      <c r="CV1060" s="10"/>
      <c r="CW1060" s="10"/>
      <c r="CX1060" t="str">
        <f>INDEX('Data_Price '!AG$2:AG$1266,MATCH(Data!$DN1060,'Data_Price '!$AT$2:$AT$1266,0))</f>
        <v>Blizzard Men's Thunderbird Sport 7.2 Skis with TLT 10 Bindings '22</v>
      </c>
      <c r="CY1060" t="str">
        <f>INDEX('Data_Price '!AH$2:AH$1266,MATCH(Data!$DN1060,'Data_Price '!$AT$2:$AT$1266,0))</f>
        <v>sunandski.com</v>
      </c>
      <c r="CZ1060">
        <f>INDEX('Data_Price '!AI$2:AI$1266,MATCH(Data!$DN1060,'Data_Price '!$AT$2:$AT$1266,0))</f>
        <v>319.93</v>
      </c>
      <c r="DA1060" t="str">
        <f>INDEX('Data_Price '!AJ$2:AJ$1266,MATCH(Data!$DN1060,'Data_Price '!$AT$2:$AT$1266,0))</f>
        <v>https://tinyurl.com/yc3a6ntr</v>
      </c>
      <c r="DB1060" t="str">
        <f>INDEX('Data_Price '!AK$2:AK$1266,MATCH(Data!$DN1060,'Data_Price '!$AT$2:$AT$1266,0))</f>
        <v>Blizzard Thunderbird 72 Ski + TLT10 - Winter 2021/2022 160</v>
      </c>
      <c r="DC1060" t="str">
        <f>INDEX('Data_Price '!AL$2:AL$1266,MATCH(Data!$DN1060,'Data_Price '!$AT$2:$AT$1266,0))</f>
        <v>Equipe Sport</v>
      </c>
      <c r="DD1060">
        <f>INDEX('Data_Price '!AM$2:AM$1266,MATCH(Data!$DN1060,'Data_Price '!$AT$2:$AT$1266,0))</f>
        <v>399</v>
      </c>
      <c r="DE1060" t="str">
        <f>INDEX('Data_Price '!AN$2:AN$1266,MATCH(Data!$DN1060,'Data_Price '!$AT$2:$AT$1266,0))</f>
        <v>https://tinyurl.com/y6u5xzb8</v>
      </c>
      <c r="DF1060" t="str">
        <f>INDEX('Data_Price '!AO$2:AO$1266,MATCH(Data!$DN1060,'Data_Price '!$AT$2:$AT$1266,0))</f>
        <v>Blizzard Thunderbird SP 7.7 Ski System with TPX 11 Bindings Men's, 160</v>
      </c>
      <c r="DG1060" t="str">
        <f>INDEX('Data_Price '!AP$2:AP$1266,MATCH(Data!$DN1060,'Data_Price '!$AT$2:$AT$1266,0))</f>
        <v>Stowesports.com</v>
      </c>
      <c r="DH1060">
        <f>INDEX('Data_Price '!AQ$2:AQ$1266,MATCH(Data!$DN1060,'Data_Price '!$AT$2:$AT$1266,0))</f>
        <v>399.95</v>
      </c>
      <c r="DI1060" t="str">
        <f>INDEX('Data_Price '!AR$2:AR$1266,MATCH(Data!$DN1060,'Data_Price '!$AT$2:$AT$1266,0))</f>
        <v>https://tinyurl.com/ybsjzdz3</v>
      </c>
      <c r="DJ1060" s="89" t="str">
        <f t="shared" si="624"/>
        <v>https://tinyurl.com/yc3a6ntr</v>
      </c>
      <c r="DK1060" s="89" t="str">
        <f t="shared" si="625"/>
        <v>https://tinyurl.com/y6u5xzb8</v>
      </c>
      <c r="DL1060" s="89" t="str">
        <f t="shared" si="626"/>
        <v>https://tinyurl.com/ybsjzdz3</v>
      </c>
      <c r="DM1060" s="219" t="str">
        <f t="shared" si="627"/>
        <v>Thunderbird R13</v>
      </c>
      <c r="DN1060" s="89" t="str">
        <f t="shared" si="628"/>
        <v xml:space="preserve"> BlizzardThunderbird R13160 Unisex</v>
      </c>
      <c r="DO1060" s="221"/>
    </row>
    <row r="1061" spans="2:119" ht="15.6" customHeight="1">
      <c r="B1061" s="219" t="b">
        <f t="array" ref="B1061">IF(OR(ISERROR(K1061:P1061)),FALSE,TRUE)</f>
        <v>1</v>
      </c>
      <c r="C1061" s="43" t="b">
        <f>OR(BR1061=Driver!$G$50,Data!BR114=Driver!$H$50)</f>
        <v>1</v>
      </c>
      <c r="D1061" s="43" t="b">
        <f>OR(BV1061=Driver!$G$51,BV1061=Driver!$H$51)</f>
        <v>1</v>
      </c>
      <c r="E1061" s="43" t="b">
        <f>AND(BX1061&gt;Driver!$F$54,BX1061&lt;Driver!$G$54)</f>
        <v>0</v>
      </c>
      <c r="F1061" s="43" t="b">
        <f>CL1061&gt;Driver!$F$56</f>
        <v>1</v>
      </c>
      <c r="G1061" s="43" t="b">
        <f>AND(CB1061&gt;Driver!$F$55,CB1061&lt;Driver!$G$55)</f>
        <v>0</v>
      </c>
      <c r="H1061" s="43" t="b">
        <f t="shared" si="592"/>
        <v>0</v>
      </c>
      <c r="I1061" s="43">
        <f t="shared" si="593"/>
        <v>0</v>
      </c>
      <c r="J1061" s="43" t="b">
        <f t="array" ref="J1061">NOT(OR(($H$9:$H$1273=TRUE)*($I$9:$I$1273&gt;0)*($BT$9:$BT$1273=BT1061)*($K$9:$K$1273&gt;K1061)))</f>
        <v>1</v>
      </c>
      <c r="K1061" s="72">
        <f t="shared" si="594"/>
        <v>0.59807837520623774</v>
      </c>
      <c r="L1061" s="72">
        <f t="shared" si="595"/>
        <v>0.5268807580861814</v>
      </c>
      <c r="M1061" s="72">
        <f t="shared" si="596"/>
        <v>0.6692759923262942</v>
      </c>
      <c r="N1061" s="72">
        <f t="shared" si="597"/>
        <v>0.58609932382185137</v>
      </c>
      <c r="O1061" s="72">
        <f t="shared" si="598"/>
        <v>0.6436121850508012</v>
      </c>
      <c r="P1061" s="72">
        <f t="shared" si="599"/>
        <v>0.77811646810622992</v>
      </c>
      <c r="Q1061" s="72"/>
      <c r="R1061" s="72"/>
      <c r="S1061" s="72">
        <f t="shared" si="600"/>
        <v>0.49868492676686382</v>
      </c>
      <c r="T1061" s="72">
        <f t="shared" si="601"/>
        <v>0.50686189826606132</v>
      </c>
      <c r="U1061" s="72">
        <f t="shared" si="602"/>
        <v>0.50245467206244232</v>
      </c>
      <c r="V1061" s="72">
        <f t="shared" si="603"/>
        <v>0.6637770754153256</v>
      </c>
      <c r="W1061" s="72">
        <f t="shared" si="604"/>
        <v>0.80899793052728797</v>
      </c>
      <c r="X1061" s="72">
        <f t="shared" si="605"/>
        <v>0.47311924191381866</v>
      </c>
      <c r="Y1061" s="72">
        <f t="shared" si="606"/>
        <v>0.3307240076737058</v>
      </c>
      <c r="Z1061" s="72">
        <f t="shared" si="607"/>
        <v>0.41390067617814863</v>
      </c>
      <c r="AA1061" s="72">
        <f t="shared" si="608"/>
        <v>0.35638781494919874</v>
      </c>
      <c r="AB1061" s="72">
        <f t="shared" si="609"/>
        <v>0.22188353189377008</v>
      </c>
      <c r="AC1061" s="72"/>
      <c r="AD1061" s="72"/>
      <c r="AE1061" s="72">
        <f t="shared" si="610"/>
        <v>0.50131507323313618</v>
      </c>
      <c r="AF1061" s="72">
        <f t="shared" si="611"/>
        <v>0.49313810173393874</v>
      </c>
      <c r="AG1061" s="72">
        <f t="shared" si="612"/>
        <v>0.49754532793755774</v>
      </c>
      <c r="AH1061" s="72">
        <f t="shared" si="613"/>
        <v>0.3362229245846744</v>
      </c>
      <c r="AI1061" s="72">
        <f t="shared" si="614"/>
        <v>0.19100206947271203</v>
      </c>
      <c r="AJ1061" s="72">
        <f>(AV1061-Driver!$K$179)/(Driver!$L$179-Driver!$K$179)</f>
        <v>0.72733865119651908</v>
      </c>
      <c r="AK1061" s="72">
        <f>(AW1061-Driver!$K$180)/(Driver!$L$180-Driver!$K$180)</f>
        <v>0.48504026307375991</v>
      </c>
      <c r="AL1061" s="72">
        <f>(AX1061-Driver!$K$181)/(Driver!$L$181-Driver!$K$181)</f>
        <v>0.51558843989122882</v>
      </c>
      <c r="AM1061" s="72">
        <f>(AY1061-Driver!$K$182)/(Driver!$L$182-Driver!$K$182)</f>
        <v>9.099720614784762E-2</v>
      </c>
      <c r="AN1061" s="72">
        <f>(AZ1061-Driver!$K$183)/(Driver!$L$183-Driver!$K$183)</f>
        <v>0.47610294117647051</v>
      </c>
      <c r="AO1061" s="72"/>
      <c r="AP1061" s="72"/>
      <c r="AQ1061" s="72">
        <f>(BC1061-Driver!$K$188)/(Driver!$L$188-Driver!$K$188)</f>
        <v>0.11868492676686376</v>
      </c>
      <c r="AR1061" s="72">
        <f>MIN((BD1061-Driver!$K$189)/(Driver!$L$189-Driver!$K$189),100%)</f>
        <v>5.6861898266061299E-2</v>
      </c>
      <c r="AS1061" s="72">
        <f>(BE1061-Driver!$K$190)/(Driver!$L$190-Driver!$K$190)</f>
        <v>1.2454672062442284E-2</v>
      </c>
      <c r="AT1061" s="72">
        <f>(BF1061-Driver!$K$191)/(Driver!$L$191-Driver!$K$191)</f>
        <v>0.17377707541532564</v>
      </c>
      <c r="AU1061" s="72">
        <f>(BG1061-Driver!$K$192)/(Driver!$L$192-Driver!$K$192)</f>
        <v>5.8997930527287953E-2</v>
      </c>
      <c r="AV1061" s="70">
        <f t="shared" si="615"/>
        <v>15.308302808302807</v>
      </c>
      <c r="AW1061" s="70">
        <f t="shared" si="616"/>
        <v>49.143364151944844</v>
      </c>
      <c r="AX1061" s="70">
        <f t="shared" si="617"/>
        <v>5.6402959590210591</v>
      </c>
      <c r="AY1061" s="70">
        <f>IFERROR(Driver!$K$19/Data!BH1061/Data!BI1061*Data!BK1061*Data!BL1061,"")</f>
        <v>0.11140773127077581</v>
      </c>
      <c r="AZ1061" s="70">
        <f t="shared" si="618"/>
        <v>43.391660461653011</v>
      </c>
      <c r="BA1061" s="70"/>
      <c r="BB1061" s="70"/>
      <c r="BC1061" s="70">
        <f t="shared" si="619"/>
        <v>61.562696598197299</v>
      </c>
      <c r="BD1061" s="70">
        <f t="shared" si="620"/>
        <v>6.7530001273223119</v>
      </c>
      <c r="BE1061" s="70">
        <f t="shared" si="621"/>
        <v>1.2630839033650216E-2</v>
      </c>
      <c r="BF1061" s="70">
        <f t="shared" si="622"/>
        <v>19.626899815110772</v>
      </c>
      <c r="BG1061" s="70">
        <f t="shared" si="623"/>
        <v>0.22340380158716583</v>
      </c>
      <c r="BH1061" s="67">
        <f>MAX((CE1061-Driver!$F$200)/(Driver!$G$200-Driver!$F$200)*$BI$1,1)</f>
        <v>5.6402959590210591</v>
      </c>
      <c r="BI1061" s="67">
        <f>MAX($BI$1*(BY1061-Driver!$F$201)/(Driver!$G$201-Driver!$F$201),1)</f>
        <v>6.6455696202531644</v>
      </c>
      <c r="BJ1061" s="67">
        <f>(CB1061-Driver!$F$206)/(Driver!$G$206-Driver!$F$206)*$BI$1</f>
        <v>8.0952380952380949</v>
      </c>
      <c r="BK1061" s="67">
        <f>(CD1061-Driver!$F$203)/(Driver!$G$203-Driver!$F$203)*$BI$1</f>
        <v>4.0366972477064227</v>
      </c>
      <c r="BL1061" s="67">
        <f>MAX((CR1061-Driver!$F$202)/(Driver!$G$202-Driver!$F$202)*$BI$1,1)</f>
        <v>5.1724137931034484</v>
      </c>
      <c r="BM1061" s="67">
        <f>MAX((CH1061-Driver!$F$204)/(Driver!$G$204-Driver!$F$204)*$BI$1,1)</f>
        <v>7.5641025641025639</v>
      </c>
      <c r="BN1061" s="67">
        <f>(CI1061-Driver!$F$205)/(Driver!$G$205-Driver!$F$205)*$BI$1</f>
        <v>6.5294117647058822</v>
      </c>
      <c r="BO1061" s="67">
        <f>(CK1061-Driver!$F$207)/(Driver!$G$207-Driver!$F$207)*$BI$1</f>
        <v>2.6059979317476731</v>
      </c>
      <c r="BP1061" s="67">
        <f>(CM1061-Driver!$F$208)/(Driver!$G$208-Driver!$F$208)*$BI$1</f>
        <v>3.7555555555555555</v>
      </c>
      <c r="BQ1061" s="67">
        <f>(CL1061-Driver!$F$209)/(Driver!$G$209-Driver!$F$209)*$BI$1</f>
        <v>9.53125</v>
      </c>
      <c r="BR1061" s="28" t="s">
        <v>155</v>
      </c>
      <c r="BS1061" s="8" t="s">
        <v>182</v>
      </c>
      <c r="BT1061" s="9" t="s">
        <v>852</v>
      </c>
      <c r="BU1061" s="10">
        <v>185</v>
      </c>
      <c r="BV1061" s="9" t="s">
        <v>158</v>
      </c>
      <c r="BW1061" s="10">
        <v>185</v>
      </c>
      <c r="BX1061" s="10">
        <v>183.2</v>
      </c>
      <c r="BY1061" s="10">
        <v>113</v>
      </c>
      <c r="BZ1061" s="10">
        <v>133</v>
      </c>
      <c r="CA1061" s="10">
        <v>138</v>
      </c>
      <c r="CB1061" s="10">
        <v>115</v>
      </c>
      <c r="CC1061" s="10">
        <v>134</v>
      </c>
      <c r="CD1061" s="10">
        <v>18.2</v>
      </c>
      <c r="CE1061" s="10">
        <v>1891</v>
      </c>
      <c r="CF1061" s="10">
        <v>1.19</v>
      </c>
      <c r="CG1061" s="10">
        <v>2242</v>
      </c>
      <c r="CH1061" s="10">
        <v>278</v>
      </c>
      <c r="CI1061" s="10">
        <v>144</v>
      </c>
      <c r="CJ1061" s="10">
        <v>64</v>
      </c>
      <c r="CK1061" s="10">
        <v>362</v>
      </c>
      <c r="CL1061" s="10">
        <v>61</v>
      </c>
      <c r="CM1061" s="10">
        <v>338</v>
      </c>
      <c r="CN1061" s="10">
        <v>0.95699999999999996</v>
      </c>
      <c r="CO1061" s="10">
        <v>256</v>
      </c>
      <c r="CP1061" s="10">
        <v>248</v>
      </c>
      <c r="CQ1061" s="10">
        <v>106</v>
      </c>
      <c r="CR1061" s="10">
        <v>4</v>
      </c>
      <c r="CS1061" s="10">
        <v>5.7</v>
      </c>
      <c r="CT1061" s="9" t="s">
        <v>184</v>
      </c>
      <c r="CU1061" s="9" t="s">
        <v>169</v>
      </c>
      <c r="CV1061" s="9" t="s">
        <v>185</v>
      </c>
      <c r="CW1061" s="10"/>
      <c r="CX1061" t="str">
        <f>INDEX('Data_Price '!AG$2:AG$1266,MATCH(Data!$DN1061,'Data_Price '!$AT$2:$AT$1266,0))</f>
        <v>Armada Whitewalker Skis - 2022 185cm</v>
      </c>
      <c r="CY1061" t="str">
        <f>INDEX('Data_Price '!AH$2:AH$1266,MATCH(Data!$DN1061,'Data_Price '!$AT$2:$AT$1266,0))</f>
        <v>Glacier Ski Shop</v>
      </c>
      <c r="CZ1061">
        <f>INDEX('Data_Price '!AI$2:AI$1266,MATCH(Data!$DN1061,'Data_Price '!$AT$2:$AT$1266,0))</f>
        <v>719</v>
      </c>
      <c r="DA1061" t="str">
        <f>INDEX('Data_Price '!AJ$2:AJ$1266,MATCH(Data!$DN1061,'Data_Price '!$AT$2:$AT$1266,0))</f>
        <v>https://tinyurl.com/ycjg8b84</v>
      </c>
      <c r="DB1061" t="str">
        <f>INDEX('Data_Price '!AK$2:AK$1266,MATCH(Data!$DN1061,'Data_Price '!$AT$2:$AT$1266,0))</f>
        <v>Armada Whitewalker Powder Skis Whitewalker / 185</v>
      </c>
      <c r="DC1061" t="str">
        <f>INDEX('Data_Price '!AL$2:AL$1266,MATCH(Data!$DN1061,'Data_Price '!$AT$2:$AT$1266,0))</f>
        <v>Gravity Coalition</v>
      </c>
      <c r="DD1061">
        <f>INDEX('Data_Price '!AM$2:AM$1266,MATCH(Data!$DN1061,'Data_Price '!$AT$2:$AT$1266,0))</f>
        <v>749.95</v>
      </c>
      <c r="DE1061" t="str">
        <f>INDEX('Data_Price '!AN$2:AN$1266,MATCH(Data!$DN1061,'Data_Price '!$AT$2:$AT$1266,0))</f>
        <v>https://tinyurl.com/yd3l4c8h</v>
      </c>
      <c r="DF1061" t="str">
        <f>INDEX('Data_Price '!AO$2:AO$1266,MATCH(Data!$DN1061,'Data_Price '!$AT$2:$AT$1266,0))</f>
        <v>Armada Skin ARV 116 JJ Skis Â· 185 cm</v>
      </c>
      <c r="DG1061" t="str">
        <f>INDEX('Data_Price '!AP$2:AP$1266,MATCH(Data!$DN1061,'Data_Price '!$AT$2:$AT$1266,0))</f>
        <v>Curated</v>
      </c>
      <c r="DH1061">
        <f>INDEX('Data_Price '!AQ$2:AQ$1266,MATCH(Data!$DN1061,'Data_Price '!$AT$2:$AT$1266,0))</f>
        <v>199.95</v>
      </c>
      <c r="DI1061" t="str">
        <f>INDEX('Data_Price '!AR$2:AR$1266,MATCH(Data!$DN1061,'Data_Price '!$AT$2:$AT$1266,0))</f>
        <v>https://tinyurl.com/yb6rjo7g</v>
      </c>
      <c r="DJ1061" s="89" t="str">
        <f t="shared" si="624"/>
        <v>https://tinyurl.com/ycjg8b84</v>
      </c>
      <c r="DK1061" s="89" t="str">
        <f t="shared" si="625"/>
        <v>https://tinyurl.com/yd3l4c8h</v>
      </c>
      <c r="DL1061" s="89" t="str">
        <f t="shared" si="626"/>
        <v>https://tinyurl.com/yb6rjo7g</v>
      </c>
      <c r="DM1061" s="219" t="str">
        <f t="shared" si="627"/>
        <v>Whitewalker</v>
      </c>
      <c r="DN1061" s="89" t="str">
        <f t="shared" si="628"/>
        <v xml:space="preserve"> ArmadaWhitewalker185 Unisex</v>
      </c>
      <c r="DO1061" s="221" t="s">
        <v>853</v>
      </c>
    </row>
    <row r="1062" spans="2:119" ht="15.6" customHeight="1">
      <c r="B1062" s="219" t="b">
        <f t="array" ref="B1062">IF(OR(ISERROR(K1062:P1062)),FALSE,TRUE)</f>
        <v>1</v>
      </c>
      <c r="C1062" s="43" t="b">
        <f>OR(BR1062=Driver!$G$50,Data!BR942=Driver!$H$50)</f>
        <v>1</v>
      </c>
      <c r="D1062" s="43" t="b">
        <f>OR(BV1062=Driver!$G$51,BV1062=Driver!$H$51)</f>
        <v>1</v>
      </c>
      <c r="E1062" s="43" t="b">
        <f>AND(BX1062&gt;Driver!$F$54,BX1062&lt;Driver!$G$54)</f>
        <v>1</v>
      </c>
      <c r="F1062" s="43" t="b">
        <f>CL1062&gt;Driver!$F$56</f>
        <v>1</v>
      </c>
      <c r="G1062" s="43" t="b">
        <f>AND(CB1062&gt;Driver!$F$55,CB1062&lt;Driver!$G$55)</f>
        <v>0</v>
      </c>
      <c r="H1062" s="43" t="b">
        <f t="shared" si="592"/>
        <v>0</v>
      </c>
      <c r="I1062" s="43">
        <f t="shared" si="593"/>
        <v>0</v>
      </c>
      <c r="J1062" s="43" t="b">
        <f t="array" ref="J1062">NOT(OR(($H$9:$H$1273=TRUE)*($I$9:$I$1273&gt;0)*($BT$9:$BT$1273=BT1062)*($K$9:$K$1273&gt;K1062)))</f>
        <v>1</v>
      </c>
      <c r="K1062" s="72">
        <f t="shared" si="594"/>
        <v>0.711047880315685</v>
      </c>
      <c r="L1062" s="72">
        <f t="shared" si="595"/>
        <v>0.77236990664671701</v>
      </c>
      <c r="M1062" s="72">
        <f t="shared" si="596"/>
        <v>0.6497258539846531</v>
      </c>
      <c r="N1062" s="72">
        <f t="shared" si="597"/>
        <v>0.51780108819293857</v>
      </c>
      <c r="O1062" s="72">
        <f t="shared" si="598"/>
        <v>0.60558843702733944</v>
      </c>
      <c r="P1062" s="72">
        <f t="shared" si="599"/>
        <v>0.82578803673368084</v>
      </c>
      <c r="Q1062" s="72"/>
      <c r="R1062" s="72"/>
      <c r="S1062" s="72">
        <f t="shared" si="600"/>
        <v>0.59706080419853325</v>
      </c>
      <c r="T1062" s="72">
        <f t="shared" si="601"/>
        <v>0.89508682569083997</v>
      </c>
      <c r="U1062" s="72">
        <f t="shared" si="602"/>
        <v>0.51</v>
      </c>
      <c r="V1062" s="72">
        <f t="shared" si="603"/>
        <v>0.49031054651571571</v>
      </c>
      <c r="W1062" s="72">
        <f t="shared" si="604"/>
        <v>0.76637232194557037</v>
      </c>
      <c r="X1062" s="72">
        <f t="shared" si="605"/>
        <v>0.22763009335328299</v>
      </c>
      <c r="Y1062" s="72">
        <f t="shared" si="606"/>
        <v>0.35027414601534695</v>
      </c>
      <c r="Z1062" s="72">
        <f t="shared" si="607"/>
        <v>0.48219891180706143</v>
      </c>
      <c r="AA1062" s="72">
        <f t="shared" si="608"/>
        <v>0.3944115629726605</v>
      </c>
      <c r="AB1062" s="72">
        <f t="shared" si="609"/>
        <v>0.17421196326631916</v>
      </c>
      <c r="AC1062" s="72"/>
      <c r="AD1062" s="72"/>
      <c r="AE1062" s="72">
        <f t="shared" si="610"/>
        <v>0.40293919580146675</v>
      </c>
      <c r="AF1062" s="72">
        <f t="shared" si="611"/>
        <v>0.10491317430916003</v>
      </c>
      <c r="AG1062" s="72">
        <f t="shared" si="612"/>
        <v>0.49</v>
      </c>
      <c r="AH1062" s="72">
        <f t="shared" si="613"/>
        <v>0.50968945348428429</v>
      </c>
      <c r="AI1062" s="72">
        <f t="shared" si="614"/>
        <v>0.23362767805442963</v>
      </c>
      <c r="AJ1062" s="72">
        <f>(AV1062-Driver!$K$179)/(Driver!$L$179-Driver!$K$179)</f>
        <v>2.6589315929417448E-2</v>
      </c>
      <c r="AK1062" s="72">
        <f>(AW1062-Driver!$K$180)/(Driver!$L$180-Driver!$K$180)</f>
        <v>0.44628936022477456</v>
      </c>
      <c r="AL1062" s="72">
        <f>(AX1062-Driver!$K$181)/(Driver!$L$181-Driver!$K$181)</f>
        <v>0.58388667552014162</v>
      </c>
      <c r="AM1062" s="72">
        <f>(AY1062-Driver!$K$182)/(Driver!$L$182-Driver!$K$182)</f>
        <v>5.2973458124385843E-2</v>
      </c>
      <c r="AN1062" s="72">
        <f>(AZ1062-Driver!$K$183)/(Driver!$L$183-Driver!$K$183)</f>
        <v>0.42843137254901958</v>
      </c>
      <c r="AO1062" s="72"/>
      <c r="AP1062" s="72"/>
      <c r="AQ1062" s="72">
        <f>(BC1062-Driver!$K$188)/(Driver!$L$188-Driver!$K$188)</f>
        <v>0.21706080419853327</v>
      </c>
      <c r="AR1062" s="72">
        <f>MIN((BD1062-Driver!$K$189)/(Driver!$L$189-Driver!$K$189),100%)</f>
        <v>0.65491317430916007</v>
      </c>
      <c r="AS1062" s="72">
        <f>(BE1062-Driver!$K$190)/(Driver!$L$190-Driver!$K$190)</f>
        <v>1</v>
      </c>
      <c r="AT1062" s="72">
        <f>(BF1062-Driver!$K$191)/(Driver!$L$191-Driver!$K$191)</f>
        <v>3.1054651571571414E-4</v>
      </c>
      <c r="AU1062" s="72">
        <f>(BG1062-Driver!$K$192)/(Driver!$L$192-Driver!$K$192)</f>
        <v>1.6372321945570353E-2</v>
      </c>
      <c r="AV1062" s="70">
        <f t="shared" si="615"/>
        <v>0.5596255596255596</v>
      </c>
      <c r="AW1062" s="70">
        <f t="shared" si="616"/>
        <v>45.366745301381705</v>
      </c>
      <c r="AX1062" s="70">
        <f t="shared" si="617"/>
        <v>6.2549800796812747</v>
      </c>
      <c r="AY1062" s="70">
        <f>IFERROR(Driver!$K$19/Data!BH1062/Data!BI1062*Data!BK1062*Data!BL1062,"")</f>
        <v>6.4855318498642359E-2</v>
      </c>
      <c r="AZ1062" s="70">
        <f t="shared" si="618"/>
        <v>39.046909903201787</v>
      </c>
      <c r="BA1062" s="70"/>
      <c r="BB1062" s="70"/>
      <c r="BC1062" s="70">
        <f t="shared" si="619"/>
        <v>112.5909481200089</v>
      </c>
      <c r="BD1062" s="70">
        <f t="shared" si="620"/>
        <v>59.679478372980221</v>
      </c>
      <c r="BE1062" s="70">
        <f t="shared" si="621"/>
        <v>1</v>
      </c>
      <c r="BF1062" s="70">
        <f t="shared" si="622"/>
        <v>3.5074047237340672E-2</v>
      </c>
      <c r="BG1062" s="70">
        <f t="shared" si="623"/>
        <v>6.1996055298204983E-2</v>
      </c>
      <c r="BH1062" s="67">
        <f>MAX((CE1062-Driver!$F$200)/(Driver!$G$200-Driver!$F$200)*$BI$1,1)</f>
        <v>6.2549800796812747</v>
      </c>
      <c r="BI1062" s="67">
        <f>MAX($BI$1*(BY1062-Driver!$F$201)/(Driver!$G$201-Driver!$F$201),1)</f>
        <v>8.7341772151898738</v>
      </c>
      <c r="BJ1062" s="67">
        <f>(CB1062-Driver!$F$206)/(Driver!$G$206-Driver!$F$206)*$BI$1</f>
        <v>0.79365079365079361</v>
      </c>
      <c r="BK1062" s="67">
        <f>(CD1062-Driver!$F$203)/(Driver!$G$203-Driver!$F$203)*$BI$1</f>
        <v>2.5688073394495414</v>
      </c>
      <c r="BL1062" s="67">
        <f>MAX((CR1062-Driver!$F$202)/(Driver!$G$202-Driver!$F$202)*$BI$1,1)</f>
        <v>6.8965517241379315</v>
      </c>
      <c r="BM1062" s="67">
        <f>MAX((CH1062-Driver!$F$204)/(Driver!$G$204-Driver!$F$204)*$BI$1,1)</f>
        <v>2.8205128205128203</v>
      </c>
      <c r="BN1062" s="67">
        <f>(CI1062-Driver!$F$205)/(Driver!$G$205-Driver!$F$205)*$BI$1</f>
        <v>4.4705882352941178</v>
      </c>
      <c r="BO1062" s="67">
        <f>(CK1062-Driver!$F$207)/(Driver!$G$207-Driver!$F$207)*$BI$1</f>
        <v>0.19648397104446741</v>
      </c>
      <c r="BP1062" s="67">
        <f>(CM1062-Driver!$F$208)/(Driver!$G$208-Driver!$F$208)*$BI$1</f>
        <v>0.57777777777777772</v>
      </c>
      <c r="BQ1062" s="67">
        <f>(CL1062-Driver!$F$209)/(Driver!$G$209-Driver!$F$209)*$BI$1</f>
        <v>1.09375</v>
      </c>
      <c r="BR1062" s="28" t="s">
        <v>155</v>
      </c>
      <c r="BS1062" s="8" t="s">
        <v>332</v>
      </c>
      <c r="BT1062" s="9" t="s">
        <v>790</v>
      </c>
      <c r="BU1062" s="10">
        <v>165</v>
      </c>
      <c r="BV1062" s="9" t="s">
        <v>158</v>
      </c>
      <c r="BW1062" s="10">
        <v>165</v>
      </c>
      <c r="BX1062" s="10">
        <v>164.6</v>
      </c>
      <c r="BY1062" s="10">
        <v>146</v>
      </c>
      <c r="BZ1062" s="10">
        <v>153</v>
      </c>
      <c r="CA1062" s="10">
        <v>118</v>
      </c>
      <c r="CB1062" s="10">
        <v>69</v>
      </c>
      <c r="CC1062" s="10">
        <v>97</v>
      </c>
      <c r="CD1062" s="10">
        <v>15</v>
      </c>
      <c r="CE1062" s="10">
        <v>1999</v>
      </c>
      <c r="CF1062" s="10">
        <v>0.69</v>
      </c>
      <c r="CG1062" s="10">
        <v>1377</v>
      </c>
      <c r="CH1062" s="10">
        <v>167</v>
      </c>
      <c r="CI1062" s="10">
        <v>109</v>
      </c>
      <c r="CJ1062" s="10">
        <v>35</v>
      </c>
      <c r="CK1062" s="10">
        <v>129</v>
      </c>
      <c r="CL1062" s="10">
        <v>7</v>
      </c>
      <c r="CM1062" s="10">
        <v>52</v>
      </c>
      <c r="CN1062" s="10">
        <v>0.189</v>
      </c>
      <c r="CO1062" s="10">
        <v>61</v>
      </c>
      <c r="CP1062" s="10">
        <v>57</v>
      </c>
      <c r="CQ1062" s="10">
        <v>68</v>
      </c>
      <c r="CR1062" s="10">
        <v>9</v>
      </c>
      <c r="CS1062" s="10">
        <v>13</v>
      </c>
      <c r="CT1062" s="9" t="s">
        <v>349</v>
      </c>
      <c r="CU1062" s="10"/>
      <c r="CV1062" s="10"/>
      <c r="CW1062" s="10"/>
      <c r="CX1062" t="str">
        <f>INDEX('Data_Price '!AG$2:AG$1266,MATCH(Data!$DN1062,'Data_Price '!$AT$2:$AT$1266,0))</f>
        <v>Nordica Doberman Spitfire Ti FTD 165 + TPX 12 Red/Black One</v>
      </c>
      <c r="CY1062" t="str">
        <f>INDEX('Data_Price '!AH$2:AH$1266,MATCH(Data!$DN1062,'Data_Price '!$AT$2:$AT$1266,0))</f>
        <v>fruugo.com</v>
      </c>
      <c r="CZ1062">
        <f>INDEX('Data_Price '!AI$2:AI$1266,MATCH(Data!$DN1062,'Data_Price '!$AT$2:$AT$1266,0))</f>
        <v>574</v>
      </c>
      <c r="DA1062" t="str">
        <f>INDEX('Data_Price '!AJ$2:AJ$1266,MATCH(Data!$DN1062,'Data_Price '!$AT$2:$AT$1266,0))</f>
        <v>https://tinyurl.com/ycrf9rvl</v>
      </c>
      <c r="DB1062" t="str">
        <f>INDEX('Data_Price '!AK$2:AK$1266,MATCH(Data!$DN1062,'Data_Price '!$AT$2:$AT$1266,0))</f>
        <v>Nordica Enforcer 94 Unlimited Skis</v>
      </c>
      <c r="DC1062" t="str">
        <f>INDEX('Data_Price '!AL$2:AL$1266,MATCH(Data!$DN1062,'Data_Price '!$AT$2:$AT$1266,0))</f>
        <v>REI</v>
      </c>
      <c r="DD1062">
        <f>INDEX('Data_Price '!AM$2:AM$1266,MATCH(Data!$DN1062,'Data_Price '!$AT$2:$AT$1266,0))</f>
        <v>799.95</v>
      </c>
      <c r="DE1062" t="str">
        <f>INDEX('Data_Price '!AN$2:AN$1266,MATCH(Data!$DN1062,'Data_Price '!$AT$2:$AT$1266,0))</f>
        <v>https://tinyurl.com/yacxc6lh</v>
      </c>
      <c r="DF1062" t="str">
        <f>INDEX('Data_Price '!AO$2:AO$1266,MATCH(Data!$DN1062,'Data_Price '!$AT$2:$AT$1266,0))</f>
        <v>Nordica Enforcer 94 Unlimited Skis</v>
      </c>
      <c r="DG1062" t="str">
        <f>INDEX('Data_Price '!AP$2:AP$1266,MATCH(Data!$DN1062,'Data_Price '!$AT$2:$AT$1266,0))</f>
        <v>Level Nine Sports</v>
      </c>
      <c r="DH1062">
        <f>INDEX('Data_Price '!AQ$2:AQ$1266,MATCH(Data!$DN1062,'Data_Price '!$AT$2:$AT$1266,0))</f>
        <v>799.99</v>
      </c>
      <c r="DI1062" t="str">
        <f>INDEX('Data_Price '!AR$2:AR$1266,MATCH(Data!$DN1062,'Data_Price '!$AT$2:$AT$1266,0))</f>
        <v>https://tinyurl.com/ybbjhscc</v>
      </c>
      <c r="DJ1062" s="89" t="str">
        <f t="shared" si="624"/>
        <v>https://tinyurl.com/ycrf9rvl</v>
      </c>
      <c r="DK1062" s="89" t="str">
        <f t="shared" si="625"/>
        <v>https://tinyurl.com/yacxc6lh</v>
      </c>
      <c r="DL1062" s="89" t="str">
        <f t="shared" si="626"/>
        <v>https://tinyurl.com/ybbjhscc</v>
      </c>
      <c r="DM1062" s="219" t="str">
        <f t="shared" si="627"/>
        <v>Spitfire 70 Pro</v>
      </c>
      <c r="DN1062" s="89" t="str">
        <f t="shared" si="628"/>
        <v xml:space="preserve"> NordicaSpitfire 70 Pro165 Unisex</v>
      </c>
      <c r="DO1062" s="221"/>
    </row>
    <row r="1063" spans="2:119" ht="15.6" customHeight="1">
      <c r="B1063" s="219" t="b">
        <f t="array" ref="B1063">IF(OR(ISERROR(K1063:P1063)),FALSE,TRUE)</f>
        <v>1</v>
      </c>
      <c r="C1063" s="43" t="b">
        <f>OR(BR1063=Driver!$G$50,Data!BR844=Driver!$H$50)</f>
        <v>1</v>
      </c>
      <c r="D1063" s="43" t="b">
        <f>OR(BV1063=Driver!$G$51,BV1063=Driver!$H$51)</f>
        <v>0</v>
      </c>
      <c r="E1063" s="43" t="b">
        <f>AND(BX1063&gt;Driver!$F$54,BX1063&lt;Driver!$G$54)</f>
        <v>1</v>
      </c>
      <c r="F1063" s="43" t="b">
        <f>CL1063&gt;Driver!$F$56</f>
        <v>1</v>
      </c>
      <c r="G1063" s="43" t="b">
        <f>AND(CB1063&gt;Driver!$F$55,CB1063&lt;Driver!$G$55)</f>
        <v>1</v>
      </c>
      <c r="H1063" s="43" t="b">
        <f t="shared" si="592"/>
        <v>0</v>
      </c>
      <c r="I1063" s="43">
        <f t="shared" si="593"/>
        <v>0</v>
      </c>
      <c r="J1063" s="43" t="b">
        <f t="array" ref="J1063">NOT(OR(($H$9:$H$1273=TRUE)*($I$9:$I$1273&gt;0)*($BT$9:$BT$1273=BT1063)*($K$9:$K$1273&gt;K1063)))</f>
        <v>1</v>
      </c>
      <c r="K1063" s="72">
        <f t="shared" si="594"/>
        <v>0.80308639956069172</v>
      </c>
      <c r="L1063" s="72">
        <f t="shared" si="595"/>
        <v>0.85455506497400735</v>
      </c>
      <c r="M1063" s="72">
        <f t="shared" si="596"/>
        <v>0.7516177341473762</v>
      </c>
      <c r="N1063" s="72">
        <f t="shared" si="597"/>
        <v>0.79731794141497103</v>
      </c>
      <c r="O1063" s="72">
        <f t="shared" si="598"/>
        <v>0.64190172913338728</v>
      </c>
      <c r="P1063" s="72">
        <f t="shared" si="599"/>
        <v>0.81563353189377019</v>
      </c>
      <c r="Q1063" s="72"/>
      <c r="R1063" s="72"/>
      <c r="S1063" s="72">
        <f t="shared" si="600"/>
        <v>0.38969021447314878</v>
      </c>
      <c r="T1063" s="72">
        <f t="shared" si="601"/>
        <v>0.4503848458951486</v>
      </c>
      <c r="U1063" s="72">
        <f t="shared" si="602"/>
        <v>0.53864222473324752</v>
      </c>
      <c r="V1063" s="72">
        <f t="shared" si="603"/>
        <v>0.71171414098785313</v>
      </c>
      <c r="W1063" s="72">
        <f t="shared" si="604"/>
        <v>0.98239726027397256</v>
      </c>
      <c r="X1063" s="72">
        <f t="shared" si="605"/>
        <v>0.14544493502599268</v>
      </c>
      <c r="Y1063" s="72">
        <f t="shared" si="606"/>
        <v>0.24838226585262382</v>
      </c>
      <c r="Z1063" s="72">
        <f t="shared" si="607"/>
        <v>0.20268205858502897</v>
      </c>
      <c r="AA1063" s="72">
        <f t="shared" si="608"/>
        <v>0.35809827086661272</v>
      </c>
      <c r="AB1063" s="72">
        <f t="shared" si="609"/>
        <v>0.18436646810622984</v>
      </c>
      <c r="AC1063" s="72"/>
      <c r="AD1063" s="72"/>
      <c r="AE1063" s="72">
        <f t="shared" si="610"/>
        <v>0.61030978552685122</v>
      </c>
      <c r="AF1063" s="72">
        <f t="shared" si="611"/>
        <v>0.5496151541048514</v>
      </c>
      <c r="AG1063" s="72">
        <f t="shared" si="612"/>
        <v>0.46135777526675248</v>
      </c>
      <c r="AH1063" s="72">
        <f t="shared" si="613"/>
        <v>0.28828585901214682</v>
      </c>
      <c r="AI1063" s="72">
        <f t="shared" si="614"/>
        <v>1.7602739726027411E-2</v>
      </c>
      <c r="AJ1063" s="72">
        <f>(AV1063-Driver!$K$179)/(Driver!$L$179-Driver!$K$179)</f>
        <v>0.10877447425670775</v>
      </c>
      <c r="AK1063" s="72">
        <f>(AW1063-Driver!$K$180)/(Driver!$L$180-Driver!$K$180)</f>
        <v>8.5606309481689902E-2</v>
      </c>
      <c r="AL1063" s="72">
        <f>(AX1063-Driver!$K$181)/(Driver!$L$181-Driver!$K$181)</f>
        <v>0.30436982229810916</v>
      </c>
      <c r="AM1063" s="72">
        <f>(AY1063-Driver!$K$182)/(Driver!$L$182-Driver!$K$182)</f>
        <v>8.9286750230433629E-2</v>
      </c>
      <c r="AN1063" s="72">
        <f>(AZ1063-Driver!$K$183)/(Driver!$L$183-Driver!$K$183)</f>
        <v>6.985294117647059E-2</v>
      </c>
      <c r="AO1063" s="72"/>
      <c r="AP1063" s="72"/>
      <c r="AQ1063" s="72">
        <f>(BC1063-Driver!$K$188)/(Driver!$L$188-Driver!$K$188)</f>
        <v>9.6902144731488074E-3</v>
      </c>
      <c r="AR1063" s="72">
        <f>MIN((BD1063-Driver!$K$189)/(Driver!$L$189-Driver!$K$189),100%)</f>
        <v>3.8484589514865407E-4</v>
      </c>
      <c r="AS1063" s="72">
        <f>(BE1063-Driver!$K$190)/(Driver!$L$190-Driver!$K$190)</f>
        <v>4.8642224733247523E-2</v>
      </c>
      <c r="AT1063" s="72">
        <f>(BF1063-Driver!$K$191)/(Driver!$L$191-Driver!$K$191)</f>
        <v>0.22171414098785319</v>
      </c>
      <c r="AU1063" s="72">
        <f>(BG1063-Driver!$K$192)/(Driver!$L$192-Driver!$K$192)</f>
        <v>0.23239726027397259</v>
      </c>
      <c r="AV1063" s="70">
        <f t="shared" si="615"/>
        <v>2.2893772893772892</v>
      </c>
      <c r="AW1063" s="70">
        <f t="shared" si="616"/>
        <v>10.214986029516869</v>
      </c>
      <c r="AX1063" s="70">
        <f t="shared" si="617"/>
        <v>3.7393284006829823</v>
      </c>
      <c r="AY1063" s="70">
        <f>IFERROR(Driver!$K$19/Data!BH1063/Data!BI1063*Data!BK1063*Data!BL1063,"")</f>
        <v>0.10931362287707241</v>
      </c>
      <c r="AZ1063" s="70">
        <f t="shared" si="618"/>
        <v>6.3663440059568135</v>
      </c>
      <c r="BA1063" s="70"/>
      <c r="BB1063" s="70"/>
      <c r="BC1063" s="70">
        <f t="shared" si="619"/>
        <v>5.0263816125003977</v>
      </c>
      <c r="BD1063" s="70">
        <f t="shared" si="620"/>
        <v>1.7548810639118071</v>
      </c>
      <c r="BE1063" s="70">
        <f t="shared" si="621"/>
        <v>4.8811936252367238E-2</v>
      </c>
      <c r="BF1063" s="70">
        <f t="shared" si="622"/>
        <v>25.041054594581865</v>
      </c>
      <c r="BG1063" s="70">
        <f t="shared" si="623"/>
        <v>0.88000428082191784</v>
      </c>
      <c r="BH1063" s="67">
        <f>MAX((CE1063-Driver!$F$200)/(Driver!$G$200-Driver!$F$200)*$BI$1,1)</f>
        <v>3.7393284006829823</v>
      </c>
      <c r="BI1063" s="67">
        <f>MAX($BI$1*(BY1063-Driver!$F$201)/(Driver!$G$201-Driver!$F$201),1)</f>
        <v>5.6962025316455698</v>
      </c>
      <c r="BJ1063" s="67">
        <f>(CB1063-Driver!$F$206)/(Driver!$G$206-Driver!$F$206)*$BI$1</f>
        <v>7.1428571428571432</v>
      </c>
      <c r="BK1063" s="67">
        <f>(CD1063-Driver!$F$203)/(Driver!$G$203-Driver!$F$203)*$BI$1</f>
        <v>2.1100917431192663</v>
      </c>
      <c r="BL1063" s="67">
        <f>MAX((CR1063-Driver!$F$202)/(Driver!$G$202-Driver!$F$202)*$BI$1,1)</f>
        <v>5.5172413793103452</v>
      </c>
      <c r="BM1063" s="67">
        <f>MAX((CH1063-Driver!$F$204)/(Driver!$G$204-Driver!$F$204)*$BI$1,1)</f>
        <v>1.2820512820512819</v>
      </c>
      <c r="BN1063" s="67">
        <f>(CI1063-Driver!$F$205)/(Driver!$G$205-Driver!$F$205)*$BI$1</f>
        <v>1.1176470588235294</v>
      </c>
      <c r="BO1063" s="67">
        <f>(CK1063-Driver!$F$207)/(Driver!$G$207-Driver!$F$207)*$BI$1</f>
        <v>2.295760082730093</v>
      </c>
      <c r="BP1063" s="67">
        <f>(CM1063-Driver!$F$208)/(Driver!$G$208-Driver!$F$208)*$BI$1</f>
        <v>3.2222222222222223</v>
      </c>
      <c r="BQ1063" s="67">
        <f>(CL1063-Driver!$F$209)/(Driver!$G$209-Driver!$F$209)*$BI$1</f>
        <v>4.21875</v>
      </c>
      <c r="BR1063" s="28" t="s">
        <v>155</v>
      </c>
      <c r="BS1063" s="8" t="s">
        <v>208</v>
      </c>
      <c r="BT1063" s="9" t="s">
        <v>614</v>
      </c>
      <c r="BU1063" s="10">
        <v>165</v>
      </c>
      <c r="BV1063" s="9" t="s">
        <v>163</v>
      </c>
      <c r="BW1063" s="10">
        <v>165</v>
      </c>
      <c r="BX1063" s="10">
        <v>160</v>
      </c>
      <c r="BY1063" s="10">
        <v>98</v>
      </c>
      <c r="BZ1063" s="10">
        <v>126</v>
      </c>
      <c r="CA1063" s="10">
        <v>143</v>
      </c>
      <c r="CB1063" s="10">
        <v>109</v>
      </c>
      <c r="CC1063" s="10">
        <v>129</v>
      </c>
      <c r="CD1063" s="10">
        <v>14</v>
      </c>
      <c r="CE1063" s="10">
        <v>1557</v>
      </c>
      <c r="CF1063" s="10">
        <v>1.22</v>
      </c>
      <c r="CG1063" s="10">
        <v>1902</v>
      </c>
      <c r="CH1063" s="10">
        <v>131</v>
      </c>
      <c r="CI1063" s="10">
        <v>52</v>
      </c>
      <c r="CJ1063" s="10">
        <v>47</v>
      </c>
      <c r="CK1063" s="10">
        <v>332</v>
      </c>
      <c r="CL1063" s="10">
        <v>27</v>
      </c>
      <c r="CM1063" s="10">
        <v>290</v>
      </c>
      <c r="CN1063" s="10">
        <v>0.57899999999999996</v>
      </c>
      <c r="CO1063" s="10">
        <v>169</v>
      </c>
      <c r="CP1063" s="10">
        <v>168</v>
      </c>
      <c r="CQ1063" s="10">
        <v>163</v>
      </c>
      <c r="CR1063" s="10">
        <v>5</v>
      </c>
      <c r="CS1063" s="10">
        <v>6.3</v>
      </c>
      <c r="CT1063" s="9" t="s">
        <v>169</v>
      </c>
      <c r="CU1063" s="9" t="s">
        <v>185</v>
      </c>
      <c r="CV1063" s="10"/>
      <c r="CW1063" s="10"/>
      <c r="CX1063" t="str">
        <f>INDEX('Data_Price '!AG$2:AG$1266,MATCH(Data!$DN1063,'Data_Price '!$AT$2:$AT$1266,0))</f>
        <v>Line Pandora 104 Skis</v>
      </c>
      <c r="CY1063" t="str">
        <f>INDEX('Data_Price '!AH$2:AH$1266,MATCH(Data!$DN1063,'Data_Price '!$AT$2:$AT$1266,0))</f>
        <v>Backcountry Freeskier</v>
      </c>
      <c r="CZ1063">
        <f>INDEX('Data_Price '!AI$2:AI$1266,MATCH(Data!$DN1063,'Data_Price '!$AT$2:$AT$1266,0))</f>
        <v>449</v>
      </c>
      <c r="DA1063" t="str">
        <f>INDEX('Data_Price '!AJ$2:AJ$1266,MATCH(Data!$DN1063,'Data_Price '!$AT$2:$AT$1266,0))</f>
        <v>https://tinyurl.com/y98zst8a</v>
      </c>
      <c r="DB1063" t="str">
        <f>INDEX('Data_Price '!AK$2:AK$1266,MATCH(Data!$DN1063,'Data_Price '!$AT$2:$AT$1266,0))</f>
        <v>'22 Line Pandora 104 Skis 165cm</v>
      </c>
      <c r="DC1063" t="str">
        <f>INDEX('Data_Price '!AL$2:AL$1266,MATCH(Data!$DN1063,'Data_Price '!$AT$2:$AT$1266,0))</f>
        <v>Al's Ski Equipment Barn</v>
      </c>
      <c r="DD1063">
        <f>INDEX('Data_Price '!AM$2:AM$1266,MATCH(Data!$DN1063,'Data_Price '!$AT$2:$AT$1266,0))</f>
        <v>549.95000000000005</v>
      </c>
      <c r="DE1063" t="str">
        <f>INDEX('Data_Price '!AN$2:AN$1266,MATCH(Data!$DN1063,'Data_Price '!$AT$2:$AT$1266,0))</f>
        <v>https://tinyurl.com/yav9wgyb</v>
      </c>
      <c r="DF1063" t="str">
        <f>INDEX('Data_Price '!AO$2:AO$1266,MATCH(Data!$DN1063,'Data_Price '!$AT$2:$AT$1266,0))</f>
        <v>Line Pandora 104 Skis Women's 2022 - - 165 cm</v>
      </c>
      <c r="DG1063" t="str">
        <f>INDEX('Data_Price '!AP$2:AP$1266,MATCH(Data!$DN1063,'Data_Price '!$AT$2:$AT$1266,0))</f>
        <v>Skirack</v>
      </c>
      <c r="DH1063">
        <f>INDEX('Data_Price '!AQ$2:AQ$1266,MATCH(Data!$DN1063,'Data_Price '!$AT$2:$AT$1266,0))</f>
        <v>599.95000000000005</v>
      </c>
      <c r="DI1063" t="str">
        <f>INDEX('Data_Price '!AR$2:AR$1266,MATCH(Data!$DN1063,'Data_Price '!$AT$2:$AT$1266,0))</f>
        <v>https://tinyurl.com/ybfeshyo</v>
      </c>
      <c r="DJ1063" s="89" t="str">
        <f t="shared" si="624"/>
        <v>https://tinyurl.com/y98zst8a</v>
      </c>
      <c r="DK1063" s="89" t="str">
        <f t="shared" si="625"/>
        <v>https://tinyurl.com/yav9wgyb</v>
      </c>
      <c r="DL1063" s="89" t="str">
        <f t="shared" si="626"/>
        <v>https://tinyurl.com/ybfeshyo</v>
      </c>
      <c r="DM1063" s="219" t="str">
        <f t="shared" si="627"/>
        <v>Pandora 104</v>
      </c>
      <c r="DN1063" s="89" t="str">
        <f t="shared" si="628"/>
        <v xml:space="preserve"> LinePandora 104165 Women's</v>
      </c>
      <c r="DO1063" s="221" t="s">
        <v>615</v>
      </c>
    </row>
    <row r="1064" spans="2:119" ht="15.6" customHeight="1">
      <c r="B1064" s="219" t="b">
        <f t="array" ref="B1064">IF(OR(ISERROR(K1064:P1064)),FALSE,TRUE)</f>
        <v>1</v>
      </c>
      <c r="C1064" s="43" t="b">
        <f>OR(BR1064=Driver!$G$50,Data!BR1257=Driver!$H$50)</f>
        <v>1</v>
      </c>
      <c r="D1064" s="43" t="b">
        <f>OR(BV1064=Driver!$G$51,BV1064=Driver!$H$51)</f>
        <v>0</v>
      </c>
      <c r="E1064" s="43" t="b">
        <f>AND(BX1064&gt;Driver!$F$54,BX1064&lt;Driver!$G$54)</f>
        <v>0</v>
      </c>
      <c r="F1064" s="43" t="b">
        <f>CL1064&gt;Driver!$F$56</f>
        <v>1</v>
      </c>
      <c r="G1064" s="43" t="b">
        <f>AND(CB1064&gt;Driver!$F$55,CB1064&lt;Driver!$G$55)</f>
        <v>0</v>
      </c>
      <c r="H1064" s="43" t="b">
        <f t="shared" si="592"/>
        <v>0</v>
      </c>
      <c r="I1064" s="43">
        <f t="shared" si="593"/>
        <v>0</v>
      </c>
      <c r="J1064" s="43" t="b">
        <f t="array" ref="J1064">NOT(OR(($H$9:$H$1273=TRUE)*($I$9:$I$1273&gt;0)*($BT$9:$BT$1273=BT1064)*($K$9:$K$1273&gt;K1064)))</f>
        <v>1</v>
      </c>
      <c r="K1064" s="72">
        <f t="shared" si="594"/>
        <v>0.86793968260718268</v>
      </c>
      <c r="L1064" s="72">
        <f t="shared" si="595"/>
        <v>0.8606786650062368</v>
      </c>
      <c r="M1064" s="72">
        <f t="shared" si="596"/>
        <v>0.87520070020812868</v>
      </c>
      <c r="N1064" s="72">
        <f t="shared" si="597"/>
        <v>0.99146200010086238</v>
      </c>
      <c r="O1064" s="72">
        <f t="shared" si="598"/>
        <v>0.71985460784543964</v>
      </c>
      <c r="P1064" s="72">
        <f t="shared" si="599"/>
        <v>0.9142854926780839</v>
      </c>
      <c r="Q1064" s="72"/>
      <c r="R1064" s="72"/>
      <c r="S1064" s="72">
        <f t="shared" si="600"/>
        <v>0.42163300156894179</v>
      </c>
      <c r="T1064" s="72">
        <f t="shared" si="601"/>
        <v>0.44546685458295898</v>
      </c>
      <c r="U1064" s="72">
        <f t="shared" si="602"/>
        <v>0.51</v>
      </c>
      <c r="V1064" s="72">
        <f t="shared" si="603"/>
        <v>0.50992449138834239</v>
      </c>
      <c r="W1064" s="72">
        <f t="shared" si="604"/>
        <v>0.79214906832298138</v>
      </c>
      <c r="X1064" s="72">
        <f t="shared" si="605"/>
        <v>0.13932133499376323</v>
      </c>
      <c r="Y1064" s="72">
        <f t="shared" si="606"/>
        <v>0.12479929979187136</v>
      </c>
      <c r="Z1064" s="72">
        <f t="shared" si="607"/>
        <v>8.537999899137616E-3</v>
      </c>
      <c r="AA1064" s="72">
        <f t="shared" si="608"/>
        <v>0.28014539215456036</v>
      </c>
      <c r="AB1064" s="72">
        <f t="shared" si="609"/>
        <v>8.57145073219161E-2</v>
      </c>
      <c r="AC1064" s="72"/>
      <c r="AD1064" s="72"/>
      <c r="AE1064" s="72">
        <f t="shared" si="610"/>
        <v>0.57836699843105821</v>
      </c>
      <c r="AF1064" s="72">
        <f t="shared" si="611"/>
        <v>0.55453314541704102</v>
      </c>
      <c r="AG1064" s="72">
        <f t="shared" si="612"/>
        <v>0.49</v>
      </c>
      <c r="AH1064" s="72">
        <f t="shared" si="613"/>
        <v>0.49007550861165761</v>
      </c>
      <c r="AI1064" s="72">
        <f t="shared" si="614"/>
        <v>0.20785093167701862</v>
      </c>
      <c r="AJ1064" s="72">
        <f>(AV1064-Driver!$K$179)/(Driver!$L$179-Driver!$K$179)</f>
        <v>0.1148980742889372</v>
      </c>
      <c r="AK1064" s="72">
        <f>(AW1064-Driver!$K$180)/(Driver!$L$180-Driver!$K$180)</f>
        <v>0.16091198991676012</v>
      </c>
      <c r="AL1064" s="72">
        <f>(AX1064-Driver!$K$181)/(Driver!$L$181-Driver!$K$181)</f>
        <v>0.11022576361221779</v>
      </c>
      <c r="AM1064" s="72">
        <f>(AY1064-Driver!$K$182)/(Driver!$L$182-Driver!$K$182)</f>
        <v>0.16723962894248601</v>
      </c>
      <c r="AN1064" s="72">
        <f>(AZ1064-Driver!$K$183)/(Driver!$L$183-Driver!$K$183)</f>
        <v>0.16850490196078433</v>
      </c>
      <c r="AO1064" s="72"/>
      <c r="AP1064" s="72"/>
      <c r="AQ1064" s="72">
        <f>(BC1064-Driver!$K$188)/(Driver!$L$188-Driver!$K$188)</f>
        <v>4.1633001568941737E-2</v>
      </c>
      <c r="AR1064" s="72">
        <f>MIN((BD1064-Driver!$K$189)/(Driver!$L$189-Driver!$K$189),100%)</f>
        <v>-4.5331454170409275E-3</v>
      </c>
      <c r="AS1064" s="72">
        <f>(BE1064-Driver!$K$190)/(Driver!$L$190-Driver!$K$190)</f>
        <v>1</v>
      </c>
      <c r="AT1064" s="72">
        <f>(BF1064-Driver!$K$191)/(Driver!$L$191-Driver!$K$191)</f>
        <v>1.9924491388342423E-2</v>
      </c>
      <c r="AU1064" s="72">
        <f>(BG1064-Driver!$K$192)/(Driver!$L$192-Driver!$K$192)</f>
        <v>4.2149068322981362E-2</v>
      </c>
      <c r="AV1064" s="70">
        <f t="shared" si="615"/>
        <v>2.4182607515940844</v>
      </c>
      <c r="AW1064" s="70">
        <f t="shared" si="616"/>
        <v>17.554191864124064</v>
      </c>
      <c r="AX1064" s="70">
        <f t="shared" si="617"/>
        <v>1.9920318725099602</v>
      </c>
      <c r="AY1064" s="70">
        <f>IFERROR(Driver!$K$19/Data!BH1064/Data!BI1064*Data!BK1064*Data!BL1064,"")</f>
        <v>0.20475120531477378</v>
      </c>
      <c r="AZ1064" s="70">
        <f t="shared" si="618"/>
        <v>15.357408786299331</v>
      </c>
      <c r="BA1064" s="70"/>
      <c r="BB1064" s="70"/>
      <c r="BC1064" s="70">
        <f t="shared" si="619"/>
        <v>21.595327341741427</v>
      </c>
      <c r="BD1064" s="70">
        <f t="shared" si="620"/>
        <v>1.31964754694799</v>
      </c>
      <c r="BE1064" s="70">
        <f t="shared" si="621"/>
        <v>1</v>
      </c>
      <c r="BF1064" s="70">
        <f t="shared" si="622"/>
        <v>2.2503313248391006</v>
      </c>
      <c r="BG1064" s="70">
        <f t="shared" si="623"/>
        <v>0.15960326086956522</v>
      </c>
      <c r="BH1064" s="67">
        <f>MAX((CE1064-Driver!$F$200)/(Driver!$G$200-Driver!$F$200)*$BI$1,1)</f>
        <v>1.9920318725099602</v>
      </c>
      <c r="BI1064" s="67">
        <f>MAX($BI$1*(BY1064-Driver!$F$201)/(Driver!$G$201-Driver!$F$201),1)</f>
        <v>7.9113924050632916</v>
      </c>
      <c r="BJ1064" s="67">
        <f>(CB1064-Driver!$F$206)/(Driver!$G$206-Driver!$F$206)*$BI$1</f>
        <v>4.92063492063492</v>
      </c>
      <c r="BK1064" s="67">
        <f>(CD1064-Driver!$F$203)/(Driver!$G$203-Driver!$F$203)*$BI$1</f>
        <v>3.1192660550458715</v>
      </c>
      <c r="BL1064" s="67">
        <f>MAX((CR1064-Driver!$F$202)/(Driver!$G$202-Driver!$F$202)*$BI$1,1)</f>
        <v>5.1724137931034484</v>
      </c>
      <c r="BM1064" s="67">
        <f>MAX((CH1064-Driver!$F$204)/(Driver!$G$204-Driver!$F$204)*$BI$1,1)</f>
        <v>1.9658119658119657</v>
      </c>
      <c r="BN1064" s="67">
        <f>(CI1064-Driver!$F$205)/(Driver!$G$205-Driver!$F$205)*$BI$1</f>
        <v>1.9411764705882353</v>
      </c>
      <c r="BO1064" s="67">
        <f>(CK1064-Driver!$F$207)/(Driver!$G$207-Driver!$F$207)*$BI$1</f>
        <v>1.9751809720785938</v>
      </c>
      <c r="BP1064" s="67">
        <f>(CM1064-Driver!$F$208)/(Driver!$G$208-Driver!$F$208)*$BI$1</f>
        <v>0.7222222222222221</v>
      </c>
      <c r="BQ1064" s="67">
        <f>(CL1064-Driver!$F$209)/(Driver!$G$209-Driver!$F$209)*$BI$1</f>
        <v>0.625</v>
      </c>
      <c r="BR1064" s="28" t="s">
        <v>155</v>
      </c>
      <c r="BS1064" s="8" t="s">
        <v>229</v>
      </c>
      <c r="BT1064" s="9" t="s">
        <v>854</v>
      </c>
      <c r="BU1064" s="10">
        <v>170</v>
      </c>
      <c r="BV1064" s="9" t="s">
        <v>163</v>
      </c>
      <c r="BW1064" s="10">
        <v>170</v>
      </c>
      <c r="BX1064" s="10">
        <v>169.7</v>
      </c>
      <c r="BY1064" s="10">
        <v>133</v>
      </c>
      <c r="BZ1064" s="10">
        <v>149</v>
      </c>
      <c r="CA1064" s="10">
        <v>137</v>
      </c>
      <c r="CB1064" s="10">
        <v>95</v>
      </c>
      <c r="CC1064" s="10">
        <v>118</v>
      </c>
      <c r="CD1064" s="10">
        <v>16.2</v>
      </c>
      <c r="CE1064" s="10">
        <v>1250</v>
      </c>
      <c r="CF1064" s="10">
        <v>1.46</v>
      </c>
      <c r="CG1064" s="10">
        <v>1828</v>
      </c>
      <c r="CH1064" s="10">
        <v>147</v>
      </c>
      <c r="CI1064" s="10">
        <v>66</v>
      </c>
      <c r="CJ1064" s="10">
        <v>39</v>
      </c>
      <c r="CK1064" s="10">
        <v>301</v>
      </c>
      <c r="CL1064" s="10">
        <v>4</v>
      </c>
      <c r="CM1064" s="10">
        <v>65</v>
      </c>
      <c r="CN1064" s="10">
        <v>0.109</v>
      </c>
      <c r="CO1064" s="10">
        <v>123</v>
      </c>
      <c r="CP1064" s="10">
        <v>89</v>
      </c>
      <c r="CQ1064" s="10">
        <v>179</v>
      </c>
      <c r="CR1064" s="10">
        <v>4</v>
      </c>
      <c r="CS1064" s="10">
        <v>11.1</v>
      </c>
      <c r="CT1064" s="9" t="s">
        <v>185</v>
      </c>
      <c r="CU1064" s="9" t="s">
        <v>198</v>
      </c>
      <c r="CV1064" s="10"/>
      <c r="CW1064" s="10"/>
      <c r="CX1064" t="e">
        <f>INDEX('Data_Price '!AG$2:AG$1266,MATCH(Data!$DN1064,'Data_Price '!$AT$2:$AT$1266,0))</f>
        <v>#N/A</v>
      </c>
      <c r="CY1064" t="e">
        <f>INDEX('Data_Price '!AH$2:AH$1266,MATCH(Data!$DN1064,'Data_Price '!$AT$2:$AT$1266,0))</f>
        <v>#N/A</v>
      </c>
      <c r="CZ1064" t="e">
        <f>INDEX('Data_Price '!AI$2:AI$1266,MATCH(Data!$DN1064,'Data_Price '!$AT$2:$AT$1266,0))</f>
        <v>#N/A</v>
      </c>
      <c r="DA1064" t="e">
        <f>INDEX('Data_Price '!AJ$2:AJ$1266,MATCH(Data!$DN1064,'Data_Price '!$AT$2:$AT$1266,0))</f>
        <v>#N/A</v>
      </c>
      <c r="DB1064" t="e">
        <f>INDEX('Data_Price '!AK$2:AK$1266,MATCH(Data!$DN1064,'Data_Price '!$AT$2:$AT$1266,0))</f>
        <v>#N/A</v>
      </c>
      <c r="DC1064" t="e">
        <f>INDEX('Data_Price '!AL$2:AL$1266,MATCH(Data!$DN1064,'Data_Price '!$AT$2:$AT$1266,0))</f>
        <v>#N/A</v>
      </c>
      <c r="DD1064" t="e">
        <f>INDEX('Data_Price '!AM$2:AM$1266,MATCH(Data!$DN1064,'Data_Price '!$AT$2:$AT$1266,0))</f>
        <v>#N/A</v>
      </c>
      <c r="DE1064" t="e">
        <f>INDEX('Data_Price '!AN$2:AN$1266,MATCH(Data!$DN1064,'Data_Price '!$AT$2:$AT$1266,0))</f>
        <v>#N/A</v>
      </c>
      <c r="DF1064" t="e">
        <f>INDEX('Data_Price '!AO$2:AO$1266,MATCH(Data!$DN1064,'Data_Price '!$AT$2:$AT$1266,0))</f>
        <v>#N/A</v>
      </c>
      <c r="DG1064" t="e">
        <f>INDEX('Data_Price '!AP$2:AP$1266,MATCH(Data!$DN1064,'Data_Price '!$AT$2:$AT$1266,0))</f>
        <v>#N/A</v>
      </c>
      <c r="DH1064" t="e">
        <f>INDEX('Data_Price '!AQ$2:AQ$1266,MATCH(Data!$DN1064,'Data_Price '!$AT$2:$AT$1266,0))</f>
        <v>#N/A</v>
      </c>
      <c r="DI1064" t="e">
        <f>INDEX('Data_Price '!AR$2:AR$1266,MATCH(Data!$DN1064,'Data_Price '!$AT$2:$AT$1266,0))</f>
        <v>#N/A</v>
      </c>
      <c r="DJ1064" s="89" t="e">
        <f t="shared" si="624"/>
        <v>#N/A</v>
      </c>
      <c r="DK1064" s="89" t="e">
        <f t="shared" si="625"/>
        <v>#N/A</v>
      </c>
      <c r="DL1064" s="89" t="e">
        <f t="shared" si="626"/>
        <v>#N/A</v>
      </c>
      <c r="DM1064" s="219" t="str">
        <f t="shared" si="627"/>
        <v>Rise Beyond 96 W</v>
      </c>
      <c r="DN1064" s="89" t="str">
        <f t="shared" si="628"/>
        <v xml:space="preserve"> VölklRise Beyond 96 W170 Women's</v>
      </c>
      <c r="DO1064" s="221"/>
    </row>
    <row r="1065" spans="2:119" ht="15.6" customHeight="1">
      <c r="B1065" s="219" t="b">
        <f t="array" ref="B1065">IF(OR(ISERROR(K1065:P1065)),FALSE,TRUE)</f>
        <v>1</v>
      </c>
      <c r="C1065" s="43" t="b">
        <f>OR(BR1065=Driver!$G$50,Data!BR296=Driver!$H$50)</f>
        <v>1</v>
      </c>
      <c r="D1065" s="43" t="b">
        <f>OR(BV1065=Driver!$G$51,BV1065=Driver!$H$51)</f>
        <v>1</v>
      </c>
      <c r="E1065" s="43" t="b">
        <f>AND(BX1065&gt;Driver!$F$54,BX1065&lt;Driver!$G$54)</f>
        <v>0</v>
      </c>
      <c r="F1065" s="43" t="b">
        <f>CL1065&gt;Driver!$F$56</f>
        <v>1</v>
      </c>
      <c r="G1065" s="43" t="b">
        <f>AND(CB1065&gt;Driver!$F$55,CB1065&lt;Driver!$G$55)</f>
        <v>0</v>
      </c>
      <c r="H1065" s="43" t="b">
        <f t="shared" si="592"/>
        <v>0</v>
      </c>
      <c r="I1065" s="43">
        <f t="shared" si="593"/>
        <v>0</v>
      </c>
      <c r="J1065" s="43" t="b">
        <f t="array" ref="J1065">NOT(OR(($H$9:$H$1273=TRUE)*($I$9:$I$1273&gt;0)*($BT$9:$BT$1273=BT1065)*($K$9:$K$1273&gt;K1065)))</f>
        <v>1</v>
      </c>
      <c r="K1065" s="72">
        <f t="shared" si="594"/>
        <v>0.73282387860253162</v>
      </c>
      <c r="L1065" s="72">
        <f t="shared" si="595"/>
        <v>0.87802087572376086</v>
      </c>
      <c r="M1065" s="72">
        <f t="shared" si="596"/>
        <v>0.58762688148130238</v>
      </c>
      <c r="N1065" s="72">
        <f t="shared" si="597"/>
        <v>0.38752852764149348</v>
      </c>
      <c r="O1065" s="72">
        <f t="shared" si="598"/>
        <v>0.62529937418637993</v>
      </c>
      <c r="P1065" s="72">
        <f t="shared" si="599"/>
        <v>0.75005274261603372</v>
      </c>
      <c r="Q1065" s="72"/>
      <c r="R1065" s="72"/>
      <c r="S1065" s="72">
        <f t="shared" si="600"/>
        <v>0.56939663006094621</v>
      </c>
      <c r="T1065" s="72">
        <f t="shared" si="601"/>
        <v>0.58143651691150111</v>
      </c>
      <c r="U1065" s="72">
        <f t="shared" si="602"/>
        <v>0.52818517717085034</v>
      </c>
      <c r="V1065" s="72">
        <f t="shared" si="603"/>
        <v>0.54661331880076669</v>
      </c>
      <c r="W1065" s="72">
        <f t="shared" si="604"/>
        <v>0.77180124223602486</v>
      </c>
      <c r="X1065" s="72">
        <f t="shared" si="605"/>
        <v>0.12197912427623919</v>
      </c>
      <c r="Y1065" s="72">
        <f t="shared" si="606"/>
        <v>0.41237311851869762</v>
      </c>
      <c r="Z1065" s="72">
        <f t="shared" si="607"/>
        <v>0.61247147235850652</v>
      </c>
      <c r="AA1065" s="72">
        <f t="shared" si="608"/>
        <v>0.37470062581362001</v>
      </c>
      <c r="AB1065" s="72">
        <f t="shared" si="609"/>
        <v>0.24994725738396623</v>
      </c>
      <c r="AC1065" s="72"/>
      <c r="AD1065" s="72"/>
      <c r="AE1065" s="72">
        <f t="shared" si="610"/>
        <v>0.43060336993905379</v>
      </c>
      <c r="AF1065" s="72">
        <f t="shared" si="611"/>
        <v>0.41856348308849889</v>
      </c>
      <c r="AG1065" s="72">
        <f t="shared" si="612"/>
        <v>0.47181482282914972</v>
      </c>
      <c r="AH1065" s="72">
        <f t="shared" si="613"/>
        <v>0.45338668119923337</v>
      </c>
      <c r="AI1065" s="72">
        <f t="shared" si="614"/>
        <v>0.22819875776397516</v>
      </c>
      <c r="AJ1065" s="72">
        <f>(AV1065-Driver!$K$179)/(Driver!$L$179-Driver!$K$179)</f>
        <v>0.37619853355893962</v>
      </c>
      <c r="AK1065" s="72">
        <f>(AW1065-Driver!$K$180)/(Driver!$L$180-Driver!$K$180)</f>
        <v>0.52939152480702756</v>
      </c>
      <c r="AL1065" s="72">
        <f>(AX1065-Driver!$K$181)/(Driver!$L$181-Driver!$K$181)</f>
        <v>0.71415923607158671</v>
      </c>
      <c r="AM1065" s="72">
        <f>(AY1065-Driver!$K$182)/(Driver!$L$182-Driver!$K$182)</f>
        <v>7.2684395283426337E-2</v>
      </c>
      <c r="AN1065" s="72">
        <f>(AZ1065-Driver!$K$183)/(Driver!$L$183-Driver!$K$183)</f>
        <v>0.50416666666666665</v>
      </c>
      <c r="AO1065" s="72"/>
      <c r="AP1065" s="72"/>
      <c r="AQ1065" s="72">
        <f>(BC1065-Driver!$K$188)/(Driver!$L$188-Driver!$K$188)</f>
        <v>0.18939663006094623</v>
      </c>
      <c r="AR1065" s="72">
        <f>MIN((BD1065-Driver!$K$189)/(Driver!$L$189-Driver!$K$189),100%)</f>
        <v>0.13143651691150118</v>
      </c>
      <c r="AS1065" s="72">
        <f>(BE1065-Driver!$K$190)/(Driver!$L$190-Driver!$K$190)</f>
        <v>3.8185177170850314E-2</v>
      </c>
      <c r="AT1065" s="72">
        <f>(BF1065-Driver!$K$191)/(Driver!$L$191-Driver!$K$191)</f>
        <v>5.6613318800766636E-2</v>
      </c>
      <c r="AU1065" s="72">
        <f>(BG1065-Driver!$K$192)/(Driver!$L$192-Driver!$K$192)</f>
        <v>2.1801242236024837E-2</v>
      </c>
      <c r="AV1065" s="70">
        <f t="shared" si="615"/>
        <v>7.9178537511870841</v>
      </c>
      <c r="AW1065" s="70">
        <f t="shared" si="616"/>
        <v>53.4657876000092</v>
      </c>
      <c r="AX1065" s="70">
        <f t="shared" si="617"/>
        <v>7.4274331246442804</v>
      </c>
      <c r="AY1065" s="70">
        <f>IFERROR(Driver!$K$19/Data!BH1065/Data!BI1065*Data!BK1065*Data!BL1065,"")</f>
        <v>8.8987386757327827E-2</v>
      </c>
      <c r="AZ1065" s="70">
        <f t="shared" si="618"/>
        <v>45.949367088607595</v>
      </c>
      <c r="BA1065" s="70"/>
      <c r="BB1065" s="70"/>
      <c r="BC1065" s="70">
        <f t="shared" si="619"/>
        <v>98.241348676623986</v>
      </c>
      <c r="BD1065" s="70">
        <f t="shared" si="620"/>
        <v>13.352721739038543</v>
      </c>
      <c r="BE1065" s="70">
        <f t="shared" si="621"/>
        <v>3.8356754109556072E-2</v>
      </c>
      <c r="BF1065" s="70">
        <f t="shared" si="622"/>
        <v>6.394076627472006</v>
      </c>
      <c r="BG1065" s="70">
        <f t="shared" si="623"/>
        <v>8.2553410794602683E-2</v>
      </c>
      <c r="BH1065" s="67">
        <f>MAX((CE1065-Driver!$F$200)/(Driver!$G$200-Driver!$F$200)*$BI$1,1)</f>
        <v>7.4274331246442804</v>
      </c>
      <c r="BI1065" s="67">
        <f>MAX($BI$1*(BY1065-Driver!$F$201)/(Driver!$G$201-Driver!$F$201),1)</f>
        <v>7.6582278481012658</v>
      </c>
      <c r="BJ1065" s="67">
        <f>(CB1065-Driver!$F$206)/(Driver!$G$206-Driver!$F$206)*$BI$1</f>
        <v>4.6031746031746028</v>
      </c>
      <c r="BK1065" s="67">
        <f>(CD1065-Driver!$F$203)/(Driver!$G$203-Driver!$F$203)*$BI$1</f>
        <v>4.5871559633027523</v>
      </c>
      <c r="BL1065" s="67">
        <f>MAX((CR1065-Driver!$F$202)/(Driver!$G$202-Driver!$F$202)*$BI$1,1)</f>
        <v>5.5172413793103452</v>
      </c>
      <c r="BM1065" s="67">
        <f>MAX((CH1065-Driver!$F$204)/(Driver!$G$204-Driver!$F$204)*$BI$1,1)</f>
        <v>6.8803418803418808</v>
      </c>
      <c r="BN1065" s="67">
        <f>(CI1065-Driver!$F$205)/(Driver!$G$205-Driver!$F$205)*$BI$1</f>
        <v>6</v>
      </c>
      <c r="BO1065" s="67">
        <f>(CK1065-Driver!$F$207)/(Driver!$G$207-Driver!$F$207)*$BI$1</f>
        <v>2.4095139607032054</v>
      </c>
      <c r="BP1065" s="67">
        <f>(CM1065-Driver!$F$208)/(Driver!$G$208-Driver!$F$208)*$BI$1</f>
        <v>2.6444444444444444</v>
      </c>
      <c r="BQ1065" s="67">
        <f>(CL1065-Driver!$F$209)/(Driver!$G$209-Driver!$F$209)*$BI$1</f>
        <v>4.21875</v>
      </c>
      <c r="BR1065" s="28" t="s">
        <v>155</v>
      </c>
      <c r="BS1065" s="8" t="s">
        <v>317</v>
      </c>
      <c r="BT1065" s="9" t="s">
        <v>463</v>
      </c>
      <c r="BU1065" s="10">
        <v>188</v>
      </c>
      <c r="BV1065" s="9" t="s">
        <v>158</v>
      </c>
      <c r="BW1065" s="10">
        <v>188</v>
      </c>
      <c r="BX1065" s="10">
        <v>186.7</v>
      </c>
      <c r="BY1065" s="10">
        <v>129</v>
      </c>
      <c r="BZ1065" s="10">
        <v>158</v>
      </c>
      <c r="CA1065" s="10">
        <v>127</v>
      </c>
      <c r="CB1065" s="10">
        <v>93</v>
      </c>
      <c r="CC1065" s="10">
        <v>116</v>
      </c>
      <c r="CD1065" s="10">
        <v>19.399999999999999</v>
      </c>
      <c r="CE1065" s="10">
        <v>2205</v>
      </c>
      <c r="CF1065" s="10">
        <v>0.89</v>
      </c>
      <c r="CG1065" s="10">
        <v>1954</v>
      </c>
      <c r="CH1065" s="10">
        <v>262</v>
      </c>
      <c r="CI1065" s="10">
        <v>135</v>
      </c>
      <c r="CJ1065" s="10">
        <v>62</v>
      </c>
      <c r="CK1065" s="10">
        <v>343</v>
      </c>
      <c r="CL1065" s="10">
        <v>27</v>
      </c>
      <c r="CM1065" s="10">
        <v>238</v>
      </c>
      <c r="CN1065" s="10">
        <v>0.42699999999999999</v>
      </c>
      <c r="CO1065" s="10">
        <v>158</v>
      </c>
      <c r="CP1065" s="10">
        <v>131</v>
      </c>
      <c r="CQ1065" s="10">
        <v>185</v>
      </c>
      <c r="CR1065" s="10">
        <v>5</v>
      </c>
      <c r="CS1065" s="10">
        <v>7.5</v>
      </c>
      <c r="CT1065" s="9" t="s">
        <v>188</v>
      </c>
      <c r="CU1065" s="10"/>
      <c r="CV1065" s="10"/>
      <c r="CW1065" s="10"/>
      <c r="CX1065" t="str">
        <f>INDEX('Data_Price '!AG$2:AG$1266,MATCH(Data!$DN1065,'Data_Price '!$AT$2:$AT$1266,0))</f>
        <v>Blizzard Rustler 9 21/22</v>
      </c>
      <c r="CY1065" t="str">
        <f>INDEX('Data_Price '!AH$2:AH$1266,MATCH(Data!$DN1065,'Data_Price '!$AT$2:$AT$1266,0))</f>
        <v>Snowcountry.eu</v>
      </c>
      <c r="CZ1065">
        <f>INDEX('Data_Price '!AI$2:AI$1266,MATCH(Data!$DN1065,'Data_Price '!$AT$2:$AT$1266,0))</f>
        <v>322.61</v>
      </c>
      <c r="DA1065" t="str">
        <f>INDEX('Data_Price '!AJ$2:AJ$1266,MATCH(Data!$DN1065,'Data_Price '!$AT$2:$AT$1266,0))</f>
        <v>https://tinyurl.com/y9calrdz</v>
      </c>
      <c r="DB1065" t="str">
        <f>INDEX('Data_Price '!AK$2:AK$1266,MATCH(Data!$DN1065,'Data_Price '!$AT$2:$AT$1266,0))</f>
        <v>2022 Blizzard Rustler 9 Mens Skis</v>
      </c>
      <c r="DC1065" t="str">
        <f>INDEX('Data_Price '!AL$2:AL$1266,MATCH(Data!$DN1065,'Data_Price '!$AT$2:$AT$1266,0))</f>
        <v>eBay</v>
      </c>
      <c r="DD1065">
        <f>INDEX('Data_Price '!AM$2:AM$1266,MATCH(Data!$DN1065,'Data_Price '!$AT$2:$AT$1266,0))</f>
        <v>440</v>
      </c>
      <c r="DE1065" t="str">
        <f>INDEX('Data_Price '!AN$2:AN$1266,MATCH(Data!$DN1065,'Data_Price '!$AT$2:$AT$1266,0))</f>
        <v>https://tinyurl.com/ycfblaav</v>
      </c>
      <c r="DF1065" t="str">
        <f>INDEX('Data_Price '!AO$2:AO$1266,MATCH(Data!$DN1065,'Data_Price '!$AT$2:$AT$1266,0))</f>
        <v>Blizzard Rustler 9 Skis</v>
      </c>
      <c r="DG1065" t="str">
        <f>INDEX('Data_Price '!AP$2:AP$1266,MATCH(Data!$DN1065,'Data_Price '!$AT$2:$AT$1266,0))</f>
        <v>REI</v>
      </c>
      <c r="DH1065">
        <f>INDEX('Data_Price '!AQ$2:AQ$1266,MATCH(Data!$DN1065,'Data_Price '!$AT$2:$AT$1266,0))</f>
        <v>479.93</v>
      </c>
      <c r="DI1065" t="str">
        <f>INDEX('Data_Price '!AR$2:AR$1266,MATCH(Data!$DN1065,'Data_Price '!$AT$2:$AT$1266,0))</f>
        <v>https://tinyurl.com/yahfoz3n</v>
      </c>
      <c r="DJ1065" s="89" t="str">
        <f t="shared" si="624"/>
        <v>https://tinyurl.com/y9calrdz</v>
      </c>
      <c r="DK1065" s="89" t="str">
        <f t="shared" si="625"/>
        <v>https://tinyurl.com/ycfblaav</v>
      </c>
      <c r="DL1065" s="89" t="str">
        <f t="shared" si="626"/>
        <v>https://tinyurl.com/yahfoz3n</v>
      </c>
      <c r="DM1065" s="219" t="str">
        <f t="shared" si="627"/>
        <v>Rustler 9</v>
      </c>
      <c r="DN1065" s="89" t="str">
        <f t="shared" si="628"/>
        <v xml:space="preserve"> BlizzardRustler 9188 Unisex</v>
      </c>
      <c r="DO1065" s="221" t="s">
        <v>464</v>
      </c>
    </row>
    <row r="1066" spans="2:119" ht="15.6" customHeight="1">
      <c r="B1066" s="219" t="b">
        <f t="array" ref="B1066">IF(OR(ISERROR(K1066:P1066)),FALSE,TRUE)</f>
        <v>1</v>
      </c>
      <c r="C1066" s="43" t="b">
        <f>OR(BR1066=Driver!$G$50,Data!BR1248=Driver!$H$50)</f>
        <v>1</v>
      </c>
      <c r="D1066" s="43" t="b">
        <f>OR(BV1066=Driver!$G$51,BV1066=Driver!$H$51)</f>
        <v>0</v>
      </c>
      <c r="E1066" s="43" t="b">
        <f>AND(BX1066&gt;Driver!$F$54,BX1066&lt;Driver!$G$54)</f>
        <v>1</v>
      </c>
      <c r="F1066" s="43" t="b">
        <f>CL1066&gt;Driver!$F$56</f>
        <v>1</v>
      </c>
      <c r="G1066" s="43" t="b">
        <f>AND(CB1066&gt;Driver!$F$55,CB1066&lt;Driver!$G$55)</f>
        <v>0</v>
      </c>
      <c r="H1066" s="43" t="b">
        <f t="shared" si="592"/>
        <v>0</v>
      </c>
      <c r="I1066" s="43">
        <f t="shared" si="593"/>
        <v>0</v>
      </c>
      <c r="J1066" s="43" t="b">
        <f t="array" ref="J1066">NOT(OR(($H$9:$H$1273=TRUE)*($I$9:$I$1273&gt;0)*($BT$9:$BT$1273=BT1066)*($K$9:$K$1273&gt;K1066)))</f>
        <v>1</v>
      </c>
      <c r="K1066" s="72">
        <f t="shared" si="594"/>
        <v>0.8204382490664337</v>
      </c>
      <c r="L1066" s="72">
        <f t="shared" si="595"/>
        <v>0.80878921210155541</v>
      </c>
      <c r="M1066" s="72">
        <f t="shared" si="596"/>
        <v>0.83208728603131188</v>
      </c>
      <c r="N1066" s="72">
        <f t="shared" si="597"/>
        <v>0.92063564108044416</v>
      </c>
      <c r="O1066" s="72">
        <f t="shared" si="598"/>
        <v>0.70345673740730319</v>
      </c>
      <c r="P1066" s="72">
        <f t="shared" si="599"/>
        <v>0.87216947960618851</v>
      </c>
      <c r="Q1066" s="72"/>
      <c r="R1066" s="72"/>
      <c r="S1066" s="72">
        <f t="shared" si="600"/>
        <v>0.39759365353908049</v>
      </c>
      <c r="T1066" s="72">
        <f t="shared" si="601"/>
        <v>0.45023942362259683</v>
      </c>
      <c r="U1066" s="72">
        <f t="shared" si="602"/>
        <v>0.51</v>
      </c>
      <c r="V1066" s="72">
        <f t="shared" si="603"/>
        <v>0.50626728829691692</v>
      </c>
      <c r="W1066" s="72">
        <f t="shared" si="604"/>
        <v>0.84459158070811258</v>
      </c>
      <c r="X1066" s="72">
        <f t="shared" si="605"/>
        <v>0.19121078789844453</v>
      </c>
      <c r="Y1066" s="72">
        <f t="shared" si="606"/>
        <v>0.16791271396868809</v>
      </c>
      <c r="Z1066" s="72">
        <f t="shared" si="607"/>
        <v>7.9364358919555858E-2</v>
      </c>
      <c r="AA1066" s="72">
        <f t="shared" si="608"/>
        <v>0.29654326259269681</v>
      </c>
      <c r="AB1066" s="72">
        <f t="shared" si="609"/>
        <v>0.12783052039381154</v>
      </c>
      <c r="AC1066" s="72"/>
      <c r="AD1066" s="72"/>
      <c r="AE1066" s="72">
        <f t="shared" si="610"/>
        <v>0.60240634646091951</v>
      </c>
      <c r="AF1066" s="72">
        <f t="shared" si="611"/>
        <v>0.54976057637740317</v>
      </c>
      <c r="AG1066" s="72">
        <f t="shared" si="612"/>
        <v>0.49</v>
      </c>
      <c r="AH1066" s="72">
        <f t="shared" si="613"/>
        <v>0.49373271170308308</v>
      </c>
      <c r="AI1066" s="72">
        <f t="shared" si="614"/>
        <v>0.15540841929188742</v>
      </c>
      <c r="AJ1066" s="72">
        <f>(AV1066-Driver!$K$179)/(Driver!$L$179-Driver!$K$179)</f>
        <v>6.3008621384255906E-2</v>
      </c>
      <c r="AK1066" s="72">
        <f>(AW1066-Driver!$K$180)/(Driver!$L$180-Driver!$K$180)</f>
        <v>0.11320346431981292</v>
      </c>
      <c r="AL1066" s="72">
        <f>(AX1066-Driver!$K$181)/(Driver!$L$181-Driver!$K$181)</f>
        <v>2.2323404793524324E-2</v>
      </c>
      <c r="AM1066" s="72">
        <f>(AY1066-Driver!$K$182)/(Driver!$L$182-Driver!$K$182)</f>
        <v>0.15084175850434955</v>
      </c>
      <c r="AN1066" s="72">
        <f>(AZ1066-Driver!$K$183)/(Driver!$L$183-Driver!$K$183)</f>
        <v>0.12638888888888888</v>
      </c>
      <c r="AO1066" s="72"/>
      <c r="AP1066" s="72"/>
      <c r="AQ1066" s="72">
        <f>(BC1066-Driver!$K$188)/(Driver!$L$188-Driver!$K$188)</f>
        <v>1.7593653539080541E-2</v>
      </c>
      <c r="AR1066" s="72">
        <f>MIN((BD1066-Driver!$K$189)/(Driver!$L$189-Driver!$K$189),100%)</f>
        <v>2.3942362259691524E-4</v>
      </c>
      <c r="AS1066" s="72">
        <f>(BE1066-Driver!$K$190)/(Driver!$L$190-Driver!$K$190)</f>
        <v>1</v>
      </c>
      <c r="AT1066" s="72">
        <f>(BF1066-Driver!$K$191)/(Driver!$L$191-Driver!$K$191)</f>
        <v>1.6267288296916933E-2</v>
      </c>
      <c r="AU1066" s="72">
        <f>(BG1066-Driver!$K$192)/(Driver!$L$192-Driver!$K$192)</f>
        <v>9.4591580708112591E-2</v>
      </c>
      <c r="AV1066" s="70">
        <f t="shared" si="615"/>
        <v>1.3261429928096595</v>
      </c>
      <c r="AW1066" s="70">
        <f t="shared" si="616"/>
        <v>12.904573304160047</v>
      </c>
      <c r="AX1066" s="70">
        <f t="shared" si="617"/>
        <v>1.2009106431417189</v>
      </c>
      <c r="AY1066" s="70">
        <f>IFERROR(Driver!$K$19/Data!BH1066/Data!BI1066*Data!BK1066*Data!BL1066,"")</f>
        <v>0.18467531924617586</v>
      </c>
      <c r="AZ1066" s="70">
        <f t="shared" si="618"/>
        <v>11.518987341772153</v>
      </c>
      <c r="BA1066" s="70"/>
      <c r="BB1066" s="70"/>
      <c r="BC1066" s="70">
        <f t="shared" si="619"/>
        <v>9.1259503998161886</v>
      </c>
      <c r="BD1066" s="70">
        <f t="shared" si="620"/>
        <v>1.7420114504639979</v>
      </c>
      <c r="BE1066" s="70">
        <f t="shared" si="621"/>
        <v>1</v>
      </c>
      <c r="BF1066" s="70">
        <f t="shared" si="622"/>
        <v>1.8372759289684488</v>
      </c>
      <c r="BG1066" s="70">
        <f t="shared" si="623"/>
        <v>0.3581840674658488</v>
      </c>
      <c r="BH1066" s="67">
        <f>MAX((CE1066-Driver!$F$200)/(Driver!$G$200-Driver!$F$200)*$BI$1,1)</f>
        <v>1.2009106431417189</v>
      </c>
      <c r="BI1066" s="67">
        <f>MAX($BI$1*(BY1066-Driver!$F$201)/(Driver!$G$201-Driver!$F$201),1)</f>
        <v>7.5316455696202533</v>
      </c>
      <c r="BJ1066" s="67">
        <f>(CB1066-Driver!$F$206)/(Driver!$G$206-Driver!$F$206)*$BI$1</f>
        <v>3.6507936507936507</v>
      </c>
      <c r="BK1066" s="67">
        <f>(CD1066-Driver!$F$203)/(Driver!$G$203-Driver!$F$203)*$BI$1</f>
        <v>1.5137614678899081</v>
      </c>
      <c r="BL1066" s="67">
        <f>MAX((CR1066-Driver!$F$202)/(Driver!$G$202-Driver!$F$202)*$BI$1,1)</f>
        <v>5.5172413793103452</v>
      </c>
      <c r="BM1066" s="67">
        <f>MAX((CH1066-Driver!$F$204)/(Driver!$G$204-Driver!$F$204)*$BI$1,1)</f>
        <v>1.4529914529914532</v>
      </c>
      <c r="BN1066" s="67">
        <f>(CI1066-Driver!$F$205)/(Driver!$G$205-Driver!$F$205)*$BI$1</f>
        <v>1.5294117647058825</v>
      </c>
      <c r="BO1066" s="67">
        <f>(CK1066-Driver!$F$207)/(Driver!$G$207-Driver!$F$207)*$BI$1</f>
        <v>1.0548086866597726</v>
      </c>
      <c r="BP1066" s="67">
        <f>(CM1066-Driver!$F$208)/(Driver!$G$208-Driver!$F$208)*$BI$1</f>
        <v>0.7222222222222221</v>
      </c>
      <c r="BQ1066" s="67">
        <f>(CL1066-Driver!$F$209)/(Driver!$G$209-Driver!$F$209)*$BI$1</f>
        <v>0.625</v>
      </c>
      <c r="BR1066" s="28" t="s">
        <v>155</v>
      </c>
      <c r="BS1066" s="8" t="s">
        <v>229</v>
      </c>
      <c r="BT1066" s="9" t="s">
        <v>855</v>
      </c>
      <c r="BU1066" s="10">
        <v>156</v>
      </c>
      <c r="BV1066" s="9" t="s">
        <v>163</v>
      </c>
      <c r="BW1066" s="10">
        <v>156</v>
      </c>
      <c r="BX1066" s="10">
        <v>154.6</v>
      </c>
      <c r="BY1066" s="10">
        <v>127</v>
      </c>
      <c r="BZ1066" s="10">
        <v>132</v>
      </c>
      <c r="CA1066" s="10">
        <v>130</v>
      </c>
      <c r="CB1066" s="10">
        <v>87</v>
      </c>
      <c r="CC1066" s="10">
        <v>111</v>
      </c>
      <c r="CD1066" s="10">
        <v>12.7</v>
      </c>
      <c r="CE1066" s="10">
        <v>1111</v>
      </c>
      <c r="CF1066" s="10">
        <v>1.4</v>
      </c>
      <c r="CG1066" s="10">
        <v>1555</v>
      </c>
      <c r="CH1066" s="10">
        <v>135</v>
      </c>
      <c r="CI1066" s="10">
        <v>59</v>
      </c>
      <c r="CJ1066" s="10">
        <v>42</v>
      </c>
      <c r="CK1066" s="10">
        <v>212</v>
      </c>
      <c r="CL1066" s="10">
        <v>4</v>
      </c>
      <c r="CM1066" s="10">
        <v>65</v>
      </c>
      <c r="CN1066" s="10">
        <v>0.104</v>
      </c>
      <c r="CO1066" s="10">
        <v>131</v>
      </c>
      <c r="CP1066" s="10">
        <v>93</v>
      </c>
      <c r="CQ1066" s="10">
        <v>81</v>
      </c>
      <c r="CR1066" s="10">
        <v>5</v>
      </c>
      <c r="CS1066" s="10">
        <v>11.4</v>
      </c>
      <c r="CT1066" s="9" t="s">
        <v>185</v>
      </c>
      <c r="CU1066" s="9" t="s">
        <v>198</v>
      </c>
      <c r="CV1066" s="10"/>
      <c r="CW1066" s="10"/>
      <c r="CX1066" t="e">
        <f>INDEX('Data_Price '!AG$2:AG$1266,MATCH(Data!$DN1066,'Data_Price '!$AT$2:$AT$1266,0))</f>
        <v>#N/A</v>
      </c>
      <c r="CY1066" t="e">
        <f>INDEX('Data_Price '!AH$2:AH$1266,MATCH(Data!$DN1066,'Data_Price '!$AT$2:$AT$1266,0))</f>
        <v>#N/A</v>
      </c>
      <c r="CZ1066" t="e">
        <f>INDEX('Data_Price '!AI$2:AI$1266,MATCH(Data!$DN1066,'Data_Price '!$AT$2:$AT$1266,0))</f>
        <v>#N/A</v>
      </c>
      <c r="DA1066" t="e">
        <f>INDEX('Data_Price '!AJ$2:AJ$1266,MATCH(Data!$DN1066,'Data_Price '!$AT$2:$AT$1266,0))</f>
        <v>#N/A</v>
      </c>
      <c r="DB1066" t="e">
        <f>INDEX('Data_Price '!AK$2:AK$1266,MATCH(Data!$DN1066,'Data_Price '!$AT$2:$AT$1266,0))</f>
        <v>#N/A</v>
      </c>
      <c r="DC1066" t="e">
        <f>INDEX('Data_Price '!AL$2:AL$1266,MATCH(Data!$DN1066,'Data_Price '!$AT$2:$AT$1266,0))</f>
        <v>#N/A</v>
      </c>
      <c r="DD1066" t="e">
        <f>INDEX('Data_Price '!AM$2:AM$1266,MATCH(Data!$DN1066,'Data_Price '!$AT$2:$AT$1266,0))</f>
        <v>#N/A</v>
      </c>
      <c r="DE1066" t="e">
        <f>INDEX('Data_Price '!AN$2:AN$1266,MATCH(Data!$DN1066,'Data_Price '!$AT$2:$AT$1266,0))</f>
        <v>#N/A</v>
      </c>
      <c r="DF1066" t="e">
        <f>INDEX('Data_Price '!AO$2:AO$1266,MATCH(Data!$DN1066,'Data_Price '!$AT$2:$AT$1266,0))</f>
        <v>#N/A</v>
      </c>
      <c r="DG1066" t="e">
        <f>INDEX('Data_Price '!AP$2:AP$1266,MATCH(Data!$DN1066,'Data_Price '!$AT$2:$AT$1266,0))</f>
        <v>#N/A</v>
      </c>
      <c r="DH1066" t="e">
        <f>INDEX('Data_Price '!AQ$2:AQ$1266,MATCH(Data!$DN1066,'Data_Price '!$AT$2:$AT$1266,0))</f>
        <v>#N/A</v>
      </c>
      <c r="DI1066" t="e">
        <f>INDEX('Data_Price '!AR$2:AR$1266,MATCH(Data!$DN1066,'Data_Price '!$AT$2:$AT$1266,0))</f>
        <v>#N/A</v>
      </c>
      <c r="DJ1066" s="89" t="e">
        <f t="shared" si="624"/>
        <v>#N/A</v>
      </c>
      <c r="DK1066" s="89" t="e">
        <f t="shared" si="625"/>
        <v>#N/A</v>
      </c>
      <c r="DL1066" s="89" t="e">
        <f t="shared" si="626"/>
        <v>#N/A</v>
      </c>
      <c r="DM1066" s="219" t="str">
        <f t="shared" si="627"/>
        <v>Rise Above 88 W</v>
      </c>
      <c r="DN1066" s="89" t="str">
        <f t="shared" si="628"/>
        <v xml:space="preserve"> VölklRise Above 88 W156 Women's</v>
      </c>
      <c r="DO1066" s="221"/>
    </row>
    <row r="1067" spans="2:119" ht="15.6" customHeight="1">
      <c r="B1067" s="219" t="b">
        <f t="array" ref="B1067">IF(OR(ISERROR(K1067:P1067)),FALSE,TRUE)</f>
        <v>1</v>
      </c>
      <c r="C1067" s="43" t="b">
        <f>OR(BR1067=Driver!$G$50,Data!BR1130=Driver!$H$50)</f>
        <v>1</v>
      </c>
      <c r="D1067" s="43" t="b">
        <f>OR(BV1067=Driver!$G$51,BV1067=Driver!$H$51)</f>
        <v>1</v>
      </c>
      <c r="E1067" s="43" t="b">
        <f>AND(BX1067&gt;Driver!$F$54,BX1067&lt;Driver!$G$54)</f>
        <v>0</v>
      </c>
      <c r="F1067" s="43" t="b">
        <f>CL1067&gt;Driver!$F$56</f>
        <v>1</v>
      </c>
      <c r="G1067" s="43" t="b">
        <f>AND(CB1067&gt;Driver!$F$55,CB1067&lt;Driver!$G$55)</f>
        <v>0</v>
      </c>
      <c r="H1067" s="43" t="b">
        <f t="shared" si="592"/>
        <v>0</v>
      </c>
      <c r="I1067" s="43">
        <f t="shared" si="593"/>
        <v>0</v>
      </c>
      <c r="J1067" s="43" t="b">
        <f t="array" ref="J1067">NOT(OR(($H$9:$H$1273=TRUE)*($I$9:$I$1273&gt;0)*($BT$9:$BT$1273=BT1067)*($K$9:$K$1273&gt;K1067)))</f>
        <v>1</v>
      </c>
      <c r="K1067" s="72">
        <f t="shared" si="594"/>
        <v>0.77424408546549028</v>
      </c>
      <c r="L1067" s="72">
        <f t="shared" si="595"/>
        <v>0.91836942320460913</v>
      </c>
      <c r="M1067" s="72">
        <f t="shared" si="596"/>
        <v>0.63011874772637144</v>
      </c>
      <c r="N1067" s="72">
        <f t="shared" si="597"/>
        <v>0.5633332452788804</v>
      </c>
      <c r="O1067" s="72">
        <f t="shared" si="598"/>
        <v>0.61998496116655288</v>
      </c>
      <c r="P1067" s="72">
        <f t="shared" si="599"/>
        <v>0.70703803673368082</v>
      </c>
      <c r="Q1067" s="72"/>
      <c r="R1067" s="72"/>
      <c r="S1067" s="72">
        <f t="shared" si="600"/>
        <v>0.55741939023037923</v>
      </c>
      <c r="T1067" s="72">
        <f t="shared" si="601"/>
        <v>0.69047716078519872</v>
      </c>
      <c r="U1067" s="72">
        <f t="shared" si="602"/>
        <v>0.51</v>
      </c>
      <c r="V1067" s="72">
        <f t="shared" si="603"/>
        <v>0.49447293481078503</v>
      </c>
      <c r="W1067" s="72">
        <f t="shared" si="604"/>
        <v>0.75694075098393787</v>
      </c>
      <c r="X1067" s="72">
        <f t="shared" si="605"/>
        <v>8.1630576795390847E-2</v>
      </c>
      <c r="Y1067" s="72">
        <f t="shared" si="606"/>
        <v>0.36988125227362861</v>
      </c>
      <c r="Z1067" s="72">
        <f t="shared" si="607"/>
        <v>0.4366667547211196</v>
      </c>
      <c r="AA1067" s="72">
        <f t="shared" si="608"/>
        <v>0.38001503883344712</v>
      </c>
      <c r="AB1067" s="72">
        <f t="shared" si="609"/>
        <v>0.29296196326631913</v>
      </c>
      <c r="AC1067" s="72"/>
      <c r="AD1067" s="72"/>
      <c r="AE1067" s="72">
        <f t="shared" si="610"/>
        <v>0.44258060976962077</v>
      </c>
      <c r="AF1067" s="72">
        <f t="shared" si="611"/>
        <v>0.30952283921480128</v>
      </c>
      <c r="AG1067" s="72">
        <f t="shared" si="612"/>
        <v>0.49</v>
      </c>
      <c r="AH1067" s="72">
        <f t="shared" si="613"/>
        <v>0.50552706518921497</v>
      </c>
      <c r="AI1067" s="72">
        <f t="shared" si="614"/>
        <v>0.24305924901606213</v>
      </c>
      <c r="AJ1067" s="72">
        <f>(AV1067-Driver!$K$179)/(Driver!$L$179-Driver!$K$179)</f>
        <v>0.17258883248730958</v>
      </c>
      <c r="AK1067" s="72">
        <f>(AW1067-Driver!$K$180)/(Driver!$L$180-Driver!$K$180)</f>
        <v>0.55331524725991943</v>
      </c>
      <c r="AL1067" s="72">
        <f>(AX1067-Driver!$K$181)/(Driver!$L$181-Driver!$K$181)</f>
        <v>0.53835451843419979</v>
      </c>
      <c r="AM1067" s="72">
        <f>(AY1067-Driver!$K$182)/(Driver!$L$182-Driver!$K$182)</f>
        <v>6.7369982263599262E-2</v>
      </c>
      <c r="AN1067" s="72">
        <f>(AZ1067-Driver!$K$183)/(Driver!$L$183-Driver!$K$183)</f>
        <v>0.54718137254901955</v>
      </c>
      <c r="AO1067" s="72"/>
      <c r="AP1067" s="72"/>
      <c r="AQ1067" s="72">
        <f>(BC1067-Driver!$K$188)/(Driver!$L$188-Driver!$K$188)</f>
        <v>0.1774193902303792</v>
      </c>
      <c r="AR1067" s="72">
        <f>MIN((BD1067-Driver!$K$189)/(Driver!$L$189-Driver!$K$189),100%)</f>
        <v>0.24047716078519873</v>
      </c>
      <c r="AS1067" s="72">
        <f>(BE1067-Driver!$K$190)/(Driver!$L$190-Driver!$K$190)</f>
        <v>1</v>
      </c>
      <c r="AT1067" s="72">
        <f>(BF1067-Driver!$K$191)/(Driver!$L$191-Driver!$K$191)</f>
        <v>4.4729348107850429E-3</v>
      </c>
      <c r="AU1067" s="72">
        <f>(BG1067-Driver!$K$192)/(Driver!$L$192-Driver!$K$192)</f>
        <v>6.940750983937879E-3</v>
      </c>
      <c r="AV1067" s="70">
        <f t="shared" si="615"/>
        <v>3.6324786324786316</v>
      </c>
      <c r="AW1067" s="70">
        <f t="shared" si="616"/>
        <v>55.797366338789416</v>
      </c>
      <c r="AX1067" s="70">
        <f t="shared" si="617"/>
        <v>5.8451906659077979</v>
      </c>
      <c r="AY1067" s="70">
        <f>IFERROR(Driver!$K$19/Data!BH1067/Data!BI1067*Data!BK1067*Data!BL1067,"")</f>
        <v>8.2480959553256905E-2</v>
      </c>
      <c r="AZ1067" s="70">
        <f t="shared" si="618"/>
        <v>49.869694713328364</v>
      </c>
      <c r="BA1067" s="70"/>
      <c r="BB1067" s="70"/>
      <c r="BC1067" s="70">
        <f t="shared" si="619"/>
        <v>92.028671112088418</v>
      </c>
      <c r="BD1067" s="70">
        <f t="shared" si="620"/>
        <v>23.002625513272587</v>
      </c>
      <c r="BE1067" s="70">
        <f t="shared" si="621"/>
        <v>1</v>
      </c>
      <c r="BF1067" s="70">
        <f t="shared" si="622"/>
        <v>0.50518656273264217</v>
      </c>
      <c r="BG1067" s="70">
        <f t="shared" si="623"/>
        <v>2.6282110945644081E-2</v>
      </c>
      <c r="BH1067" s="67">
        <f>MAX((CE1067-Driver!$F$200)/(Driver!$G$200-Driver!$F$200)*$BI$1,1)</f>
        <v>5.8451906659077979</v>
      </c>
      <c r="BI1067" s="67">
        <f>MAX($BI$1*(BY1067-Driver!$F$201)/(Driver!$G$201-Driver!$F$201),1)</f>
        <v>8.924050632911392</v>
      </c>
      <c r="BJ1067" s="67">
        <f>(CB1067-Driver!$F$206)/(Driver!$G$206-Driver!$F$206)*$BI$1</f>
        <v>2.8571428571428568</v>
      </c>
      <c r="BK1067" s="67">
        <f>(CD1067-Driver!$F$203)/(Driver!$G$203-Driver!$F$203)*$BI$1</f>
        <v>3.1192660550458715</v>
      </c>
      <c r="BL1067" s="67">
        <f>MAX((CR1067-Driver!$F$202)/(Driver!$G$202-Driver!$F$202)*$BI$1,1)</f>
        <v>6.8965517241379315</v>
      </c>
      <c r="BM1067" s="67">
        <f>MAX((CH1067-Driver!$F$204)/(Driver!$G$204-Driver!$F$204)*$BI$1,1)</f>
        <v>5.0854700854700852</v>
      </c>
      <c r="BN1067" s="67">
        <f>(CI1067-Driver!$F$205)/(Driver!$G$205-Driver!$F$205)*$BI$1</f>
        <v>5.5882352941176467</v>
      </c>
      <c r="BO1067" s="67">
        <f>(CK1067-Driver!$F$207)/(Driver!$G$207-Driver!$F$207)*$BI$1</f>
        <v>0.7755946225439504</v>
      </c>
      <c r="BP1067" s="67">
        <f>(CM1067-Driver!$F$208)/(Driver!$G$208-Driver!$F$208)*$BI$1</f>
        <v>0.71111111111111114</v>
      </c>
      <c r="BQ1067" s="67">
        <f>(CL1067-Driver!$F$209)/(Driver!$G$209-Driver!$F$209)*$BI$1</f>
        <v>0.78125</v>
      </c>
      <c r="BR1067" s="28" t="s">
        <v>155</v>
      </c>
      <c r="BS1067" s="8" t="s">
        <v>213</v>
      </c>
      <c r="BT1067" s="9" t="s">
        <v>856</v>
      </c>
      <c r="BU1067" s="10">
        <v>175</v>
      </c>
      <c r="BV1067" s="9" t="s">
        <v>158</v>
      </c>
      <c r="BW1067" s="10">
        <v>175</v>
      </c>
      <c r="BX1067" s="10">
        <v>174.2</v>
      </c>
      <c r="BY1067" s="10">
        <v>149</v>
      </c>
      <c r="BZ1067" s="10">
        <v>159</v>
      </c>
      <c r="CA1067" s="10">
        <v>130</v>
      </c>
      <c r="CB1067" s="10">
        <v>82</v>
      </c>
      <c r="CC1067" s="10">
        <v>112</v>
      </c>
      <c r="CD1067" s="10">
        <v>16.2</v>
      </c>
      <c r="CE1067" s="10">
        <v>1927</v>
      </c>
      <c r="CF1067" s="10">
        <v>0.87</v>
      </c>
      <c r="CG1067" s="10">
        <v>1679</v>
      </c>
      <c r="CH1067" s="10">
        <v>220</v>
      </c>
      <c r="CI1067" s="10">
        <v>128</v>
      </c>
      <c r="CJ1067" s="10">
        <v>42</v>
      </c>
      <c r="CK1067" s="10">
        <v>185</v>
      </c>
      <c r="CL1067" s="10">
        <v>5</v>
      </c>
      <c r="CM1067" s="10">
        <v>64</v>
      </c>
      <c r="CN1067" s="10">
        <v>0.114</v>
      </c>
      <c r="CO1067" s="10">
        <v>97</v>
      </c>
      <c r="CP1067" s="10">
        <v>54</v>
      </c>
      <c r="CQ1067" s="10">
        <v>88</v>
      </c>
      <c r="CR1067" s="10">
        <v>9</v>
      </c>
      <c r="CS1067" s="10">
        <v>14.4</v>
      </c>
      <c r="CT1067" s="9" t="s">
        <v>349</v>
      </c>
      <c r="CU1067" s="9" t="s">
        <v>188</v>
      </c>
      <c r="CV1067" s="10"/>
      <c r="CW1067" s="10"/>
      <c r="CX1067" t="e">
        <f>INDEX('Data_Price '!AG$2:AG$1266,MATCH(Data!$DN1067,'Data_Price '!$AT$2:$AT$1266,0))</f>
        <v>#N/A</v>
      </c>
      <c r="CY1067" t="e">
        <f>INDEX('Data_Price '!AH$2:AH$1266,MATCH(Data!$DN1067,'Data_Price '!$AT$2:$AT$1266,0))</f>
        <v>#N/A</v>
      </c>
      <c r="CZ1067" t="e">
        <f>INDEX('Data_Price '!AI$2:AI$1266,MATCH(Data!$DN1067,'Data_Price '!$AT$2:$AT$1266,0))</f>
        <v>#N/A</v>
      </c>
      <c r="DA1067" t="e">
        <f>INDEX('Data_Price '!AJ$2:AJ$1266,MATCH(Data!$DN1067,'Data_Price '!$AT$2:$AT$1266,0))</f>
        <v>#N/A</v>
      </c>
      <c r="DB1067" t="e">
        <f>INDEX('Data_Price '!AK$2:AK$1266,MATCH(Data!$DN1067,'Data_Price '!$AT$2:$AT$1266,0))</f>
        <v>#N/A</v>
      </c>
      <c r="DC1067" t="e">
        <f>INDEX('Data_Price '!AL$2:AL$1266,MATCH(Data!$DN1067,'Data_Price '!$AT$2:$AT$1266,0))</f>
        <v>#N/A</v>
      </c>
      <c r="DD1067" t="e">
        <f>INDEX('Data_Price '!AM$2:AM$1266,MATCH(Data!$DN1067,'Data_Price '!$AT$2:$AT$1266,0))</f>
        <v>#N/A</v>
      </c>
      <c r="DE1067" t="e">
        <f>INDEX('Data_Price '!AN$2:AN$1266,MATCH(Data!$DN1067,'Data_Price '!$AT$2:$AT$1266,0))</f>
        <v>#N/A</v>
      </c>
      <c r="DF1067" t="e">
        <f>INDEX('Data_Price '!AO$2:AO$1266,MATCH(Data!$DN1067,'Data_Price '!$AT$2:$AT$1266,0))</f>
        <v>#N/A</v>
      </c>
      <c r="DG1067" t="e">
        <f>INDEX('Data_Price '!AP$2:AP$1266,MATCH(Data!$DN1067,'Data_Price '!$AT$2:$AT$1266,0))</f>
        <v>#N/A</v>
      </c>
      <c r="DH1067" t="e">
        <f>INDEX('Data_Price '!AQ$2:AQ$1266,MATCH(Data!$DN1067,'Data_Price '!$AT$2:$AT$1266,0))</f>
        <v>#N/A</v>
      </c>
      <c r="DI1067" t="e">
        <f>INDEX('Data_Price '!AR$2:AR$1266,MATCH(Data!$DN1067,'Data_Price '!$AT$2:$AT$1266,0))</f>
        <v>#N/A</v>
      </c>
      <c r="DJ1067" s="89" t="e">
        <f t="shared" si="624"/>
        <v>#N/A</v>
      </c>
      <c r="DK1067" s="89" t="e">
        <f t="shared" si="625"/>
        <v>#N/A</v>
      </c>
      <c r="DL1067" s="89" t="e">
        <f t="shared" si="626"/>
        <v>#N/A</v>
      </c>
      <c r="DM1067" s="219" t="str">
        <f t="shared" si="627"/>
        <v>Laser AR</v>
      </c>
      <c r="DN1067" s="89" t="str">
        <f t="shared" si="628"/>
        <v xml:space="preserve"> StöckliLaser AR175 Unisex</v>
      </c>
      <c r="DO1067" s="221"/>
    </row>
    <row r="1068" spans="2:119" ht="15.6" customHeight="1">
      <c r="B1068" s="219" t="b">
        <f t="array" ref="B1068">IF(OR(ISERROR(K1068:P1068)),FALSE,TRUE)</f>
        <v>1</v>
      </c>
      <c r="C1068" s="43" t="b">
        <f>OR(BR1068=Driver!$G$50,Data!BR527=Driver!$H$50)</f>
        <v>1</v>
      </c>
      <c r="D1068" s="43" t="b">
        <f>OR(BV1068=Driver!$G$51,BV1068=Driver!$H$51)</f>
        <v>0</v>
      </c>
      <c r="E1068" s="43" t="b">
        <f>AND(BX1068&gt;Driver!$F$54,BX1068&lt;Driver!$G$54)</f>
        <v>0</v>
      </c>
      <c r="F1068" s="43" t="b">
        <f>CL1068&gt;Driver!$F$56</f>
        <v>1</v>
      </c>
      <c r="G1068" s="43" t="b">
        <f>AND(CB1068&gt;Driver!$F$55,CB1068&lt;Driver!$G$55)</f>
        <v>0</v>
      </c>
      <c r="H1068" s="43" t="b">
        <f t="shared" si="592"/>
        <v>0</v>
      </c>
      <c r="I1068" s="43">
        <f t="shared" si="593"/>
        <v>0</v>
      </c>
      <c r="J1068" s="43" t="b">
        <f t="array" ref="J1068">NOT(OR(($H$9:$H$1273=TRUE)*($I$9:$I$1273&gt;0)*($BT$9:$BT$1273=BT1068)*($K$9:$K$1273&gt;K1068)))</f>
        <v>1</v>
      </c>
      <c r="K1068" s="72">
        <f t="shared" si="594"/>
        <v>0.77470292514978245</v>
      </c>
      <c r="L1068" s="72">
        <f t="shared" si="595"/>
        <v>0.78348907512629162</v>
      </c>
      <c r="M1068" s="72">
        <f t="shared" si="596"/>
        <v>0.76591677517327328</v>
      </c>
      <c r="N1068" s="72">
        <f t="shared" si="597"/>
        <v>0.86435139490260782</v>
      </c>
      <c r="O1068" s="72">
        <f t="shared" si="598"/>
        <v>0.61703010460579488</v>
      </c>
      <c r="P1068" s="72">
        <f t="shared" si="599"/>
        <v>0.81636882601141725</v>
      </c>
      <c r="Q1068" s="72"/>
      <c r="R1068" s="72"/>
      <c r="S1068" s="72">
        <f t="shared" si="600"/>
        <v>0.38798278537833775</v>
      </c>
      <c r="T1068" s="72">
        <f t="shared" si="601"/>
        <v>0.49432697100053857</v>
      </c>
      <c r="U1068" s="72">
        <f t="shared" si="602"/>
        <v>0.59990547226322066</v>
      </c>
      <c r="V1068" s="72">
        <f t="shared" si="603"/>
        <v>0.56266597362199577</v>
      </c>
      <c r="W1068" s="72">
        <f t="shared" si="604"/>
        <v>0.75000000000000011</v>
      </c>
      <c r="X1068" s="72">
        <f t="shared" si="605"/>
        <v>0.2165109248737084</v>
      </c>
      <c r="Y1068" s="72">
        <f t="shared" si="606"/>
        <v>0.23408322482672672</v>
      </c>
      <c r="Z1068" s="72">
        <f t="shared" si="607"/>
        <v>0.13564860509739224</v>
      </c>
      <c r="AA1068" s="72">
        <f t="shared" si="608"/>
        <v>0.38296989539420517</v>
      </c>
      <c r="AB1068" s="72">
        <f t="shared" si="609"/>
        <v>0.18363117398858278</v>
      </c>
      <c r="AC1068" s="72"/>
      <c r="AD1068" s="72"/>
      <c r="AE1068" s="72">
        <f t="shared" si="610"/>
        <v>0.61201721462166225</v>
      </c>
      <c r="AF1068" s="72">
        <f t="shared" si="611"/>
        <v>0.50567302899946143</v>
      </c>
      <c r="AG1068" s="72">
        <f t="shared" si="612"/>
        <v>0.40009452773677934</v>
      </c>
      <c r="AH1068" s="72">
        <f t="shared" si="613"/>
        <v>0.43733402637800423</v>
      </c>
      <c r="AI1068" s="72">
        <f t="shared" si="614"/>
        <v>0.24999999999999989</v>
      </c>
      <c r="AJ1068" s="72">
        <f>(AV1068-Driver!$K$179)/(Driver!$L$179-Driver!$K$179)</f>
        <v>3.7708484408992021E-2</v>
      </c>
      <c r="AK1068" s="72">
        <f>(AW1068-Driver!$K$180)/(Driver!$L$180-Driver!$K$180)</f>
        <v>7.9791166372955705E-2</v>
      </c>
      <c r="AL1068" s="72">
        <f>(AX1068-Driver!$K$181)/(Driver!$L$181-Driver!$K$181)</f>
        <v>0.23733636881047243</v>
      </c>
      <c r="AM1068" s="72">
        <f>(AY1068-Driver!$K$182)/(Driver!$L$182-Driver!$K$182)</f>
        <v>6.4415125702841206E-2</v>
      </c>
      <c r="AN1068" s="72">
        <f>(AZ1068-Driver!$K$183)/(Driver!$L$183-Driver!$K$183)</f>
        <v>7.0588235294117646E-2</v>
      </c>
      <c r="AO1068" s="72"/>
      <c r="AP1068" s="72"/>
      <c r="AQ1068" s="72">
        <f>(BC1068-Driver!$K$188)/(Driver!$L$188-Driver!$K$188)</f>
        <v>7.982785378337692E-3</v>
      </c>
      <c r="AR1068" s="72">
        <f>MIN((BD1068-Driver!$K$189)/(Driver!$L$189-Driver!$K$189),100%)</f>
        <v>4.432697100053859E-2</v>
      </c>
      <c r="AS1068" s="72">
        <f>(BE1068-Driver!$K$190)/(Driver!$L$190-Driver!$K$190)</f>
        <v>0.1099054722632207</v>
      </c>
      <c r="AT1068" s="72">
        <f>(BF1068-Driver!$K$191)/(Driver!$L$191-Driver!$K$191)</f>
        <v>7.2665973621995769E-2</v>
      </c>
      <c r="AU1068" s="72">
        <f>(BG1068-Driver!$K$192)/(Driver!$L$192-Driver!$K$192)</f>
        <v>0.49999999999999989</v>
      </c>
      <c r="AV1068" s="70">
        <f t="shared" si="615"/>
        <v>0.79365079365079361</v>
      </c>
      <c r="AW1068" s="70">
        <f t="shared" si="616"/>
        <v>9.648248806160975</v>
      </c>
      <c r="AX1068" s="70">
        <f t="shared" si="617"/>
        <v>3.1360273192942518</v>
      </c>
      <c r="AY1068" s="70">
        <f>IFERROR(Driver!$K$19/Data!BH1068/Data!BI1068*Data!BK1068*Data!BL1068,"")</f>
        <v>7.8863333478784187E-2</v>
      </c>
      <c r="AZ1068" s="70">
        <f t="shared" si="618"/>
        <v>6.433358153387938</v>
      </c>
      <c r="BA1068" s="70"/>
      <c r="BB1068" s="70"/>
      <c r="BC1068" s="70">
        <f t="shared" si="619"/>
        <v>4.1407262711673765</v>
      </c>
      <c r="BD1068" s="70">
        <f t="shared" si="620"/>
        <v>5.6436812749003975</v>
      </c>
      <c r="BE1068" s="70">
        <f t="shared" si="621"/>
        <v>0.1100642551085283</v>
      </c>
      <c r="BF1068" s="70">
        <f t="shared" si="622"/>
        <v>8.2071112132470248</v>
      </c>
      <c r="BG1068" s="70">
        <f t="shared" si="623"/>
        <v>1.8933189655172411</v>
      </c>
      <c r="BH1068" s="67">
        <f>MAX((CE1068-Driver!$F$200)/(Driver!$G$200-Driver!$F$200)*$BI$1,1)</f>
        <v>3.1360273192942518</v>
      </c>
      <c r="BI1068" s="67">
        <f>MAX($BI$1*(BY1068-Driver!$F$201)/(Driver!$G$201-Driver!$F$201),1)</f>
        <v>6.075949367088608</v>
      </c>
      <c r="BJ1068" s="67">
        <f>(CB1068-Driver!$F$206)/(Driver!$G$206-Driver!$F$206)*$BI$1</f>
        <v>3.1746031746031744</v>
      </c>
      <c r="BK1068" s="67">
        <f>(CD1068-Driver!$F$203)/(Driver!$G$203-Driver!$F$203)*$BI$1</f>
        <v>1.1467889908256883</v>
      </c>
      <c r="BL1068" s="67">
        <f>MAX((CR1068-Driver!$F$202)/(Driver!$G$202-Driver!$F$202)*$BI$1,1)</f>
        <v>6.5517241379310338</v>
      </c>
      <c r="BM1068" s="67">
        <f>MAX((CH1068-Driver!$F$204)/(Driver!$G$204-Driver!$F$204)*$BI$1,1)</f>
        <v>1</v>
      </c>
      <c r="BN1068" s="67">
        <f>(CI1068-Driver!$F$205)/(Driver!$G$205-Driver!$F$205)*$BI$1</f>
        <v>1.0588235294117647</v>
      </c>
      <c r="BO1068" s="67">
        <f>(CK1068-Driver!$F$207)/(Driver!$G$207-Driver!$F$207)*$BI$1</f>
        <v>1.3753877973112718</v>
      </c>
      <c r="BP1068" s="67">
        <f>(CM1068-Driver!$F$208)/(Driver!$G$208-Driver!$F$208)*$BI$1</f>
        <v>2.1555555555555554</v>
      </c>
      <c r="BQ1068" s="67">
        <f>(CL1068-Driver!$F$209)/(Driver!$G$209-Driver!$F$209)*$BI$1</f>
        <v>5.9375</v>
      </c>
      <c r="BR1068" s="28" t="s">
        <v>155</v>
      </c>
      <c r="BS1068" s="8" t="s">
        <v>205</v>
      </c>
      <c r="BT1068" s="9" t="s">
        <v>857</v>
      </c>
      <c r="BU1068" s="10">
        <v>150</v>
      </c>
      <c r="BV1068" s="9" t="s">
        <v>163</v>
      </c>
      <c r="BW1068" s="10">
        <v>150</v>
      </c>
      <c r="BX1068" s="10">
        <v>148</v>
      </c>
      <c r="BY1068" s="10">
        <v>104</v>
      </c>
      <c r="BZ1068" s="10">
        <v>122</v>
      </c>
      <c r="CA1068" s="10">
        <v>116</v>
      </c>
      <c r="CB1068" s="10">
        <v>84</v>
      </c>
      <c r="CC1068" s="10">
        <v>108</v>
      </c>
      <c r="CD1068" s="10">
        <v>11.9</v>
      </c>
      <c r="CE1068" s="10">
        <v>1451</v>
      </c>
      <c r="CF1068" s="10">
        <v>0.98</v>
      </c>
      <c r="CG1068" s="10">
        <v>1416</v>
      </c>
      <c r="CH1068" s="10">
        <v>124</v>
      </c>
      <c r="CI1068" s="10">
        <v>51</v>
      </c>
      <c r="CJ1068" s="10">
        <v>46</v>
      </c>
      <c r="CK1068" s="10">
        <v>243</v>
      </c>
      <c r="CL1068" s="10">
        <v>38</v>
      </c>
      <c r="CM1068" s="10">
        <v>194</v>
      </c>
      <c r="CN1068" s="10">
        <v>0.81399999999999995</v>
      </c>
      <c r="CO1068" s="10">
        <v>135</v>
      </c>
      <c r="CP1068" s="10">
        <v>122</v>
      </c>
      <c r="CQ1068" s="10">
        <v>108</v>
      </c>
      <c r="CR1068" s="10">
        <v>8</v>
      </c>
      <c r="CS1068" s="10">
        <v>6.4</v>
      </c>
      <c r="CT1068" s="9" t="s">
        <v>188</v>
      </c>
      <c r="CU1068" s="9" t="s">
        <v>184</v>
      </c>
      <c r="CV1068" s="10"/>
      <c r="CW1068" s="10"/>
      <c r="CX1068" t="str">
        <f>INDEX('Data_Price '!AG$2:AG$1266,MATCH(Data!$DN1068,'Data_Price '!$AT$2:$AT$1266,0))</f>
        <v>Faction Prodigy 0.0 with M10 GW Binding Skis</v>
      </c>
      <c r="CY1068" t="str">
        <f>INDEX('Data_Price '!AH$2:AH$1266,MATCH(Data!$DN1068,'Data_Price '!$AT$2:$AT$1266,0))</f>
        <v>Gorham Bike and Ski</v>
      </c>
      <c r="CZ1068">
        <f>INDEX('Data_Price '!AI$2:AI$1266,MATCH(Data!$DN1068,'Data_Price '!$AT$2:$AT$1266,0))</f>
        <v>314.99</v>
      </c>
      <c r="DA1068" t="str">
        <f>INDEX('Data_Price '!AJ$2:AJ$1266,MATCH(Data!$DN1068,'Data_Price '!$AT$2:$AT$1266,0))</f>
        <v>https://tinyurl.com/ya688thx</v>
      </c>
      <c r="DB1068" t="str">
        <f>INDEX('Data_Price '!AK$2:AK$1266,MATCH(Data!$DN1068,'Data_Price '!$AT$2:$AT$1266,0))</f>
        <v>Faction Prodigy 0.0X Women's Ski 2022 - 150</v>
      </c>
      <c r="DC1068" t="str">
        <f>INDEX('Data_Price '!AL$2:AL$1266,MATCH(Data!$DN1068,'Data_Price '!$AT$2:$AT$1266,0))</f>
        <v>Backcountry.com</v>
      </c>
      <c r="DD1068">
        <f>INDEX('Data_Price '!AM$2:AM$1266,MATCH(Data!$DN1068,'Data_Price '!$AT$2:$AT$1266,0))</f>
        <v>230.27</v>
      </c>
      <c r="DE1068" t="str">
        <f>INDEX('Data_Price '!AN$2:AN$1266,MATCH(Data!$DN1068,'Data_Price '!$AT$2:$AT$1266,0))</f>
        <v>https://tinyurl.com/ycnksc5a</v>
      </c>
      <c r="DF1068" t="str">
        <f>INDEX('Data_Price '!AO$2:AO$1266,MATCH(Data!$DN1068,'Data_Price '!$AT$2:$AT$1266,0))</f>
        <v>Faction Prodigy 0.0X Women's Ski 2022 - 150</v>
      </c>
      <c r="DG1068" t="str">
        <f>INDEX('Data_Price '!AP$2:AP$1266,MATCH(Data!$DN1068,'Data_Price '!$AT$2:$AT$1266,0))</f>
        <v>Gear West Ski &amp; Bike</v>
      </c>
      <c r="DH1068">
        <f>INDEX('Data_Price '!AQ$2:AQ$1266,MATCH(Data!$DN1068,'Data_Price '!$AT$2:$AT$1266,0))</f>
        <v>329</v>
      </c>
      <c r="DI1068" t="str">
        <f>INDEX('Data_Price '!AR$2:AR$1266,MATCH(Data!$DN1068,'Data_Price '!$AT$2:$AT$1266,0))</f>
        <v>https://tinyurl.com/y72bwnel</v>
      </c>
      <c r="DJ1068" s="89" t="str">
        <f t="shared" si="624"/>
        <v>https://tinyurl.com/ya688thx</v>
      </c>
      <c r="DK1068" s="89" t="str">
        <f t="shared" si="625"/>
        <v>https://tinyurl.com/ycnksc5a</v>
      </c>
      <c r="DL1068" s="89" t="str">
        <f t="shared" si="626"/>
        <v>https://tinyurl.com/y72bwnel</v>
      </c>
      <c r="DM1068" s="219" t="str">
        <f t="shared" si="627"/>
        <v>Prodigy 0.0 X</v>
      </c>
      <c r="DN1068" s="89" t="str">
        <f t="shared" si="628"/>
        <v xml:space="preserve"> FactionProdigy 0.0 X150 Women's</v>
      </c>
      <c r="DO1068" s="221"/>
    </row>
    <row r="1069" spans="2:119" ht="15.6" customHeight="1">
      <c r="B1069" s="219" t="b">
        <f t="array" ref="B1069">IF(OR(ISERROR(K1069:P1069)),FALSE,TRUE)</f>
        <v>1</v>
      </c>
      <c r="C1069" s="43" t="b">
        <f>OR(BR1069=Driver!$G$50,Data!BR369=Driver!$H$50)</f>
        <v>1</v>
      </c>
      <c r="D1069" s="43" t="b">
        <f>OR(BV1069=Driver!$G$51,BV1069=Driver!$H$51)</f>
        <v>1</v>
      </c>
      <c r="E1069" s="43" t="b">
        <f>AND(BX1069&gt;Driver!$F$54,BX1069&lt;Driver!$G$54)</f>
        <v>1</v>
      </c>
      <c r="F1069" s="43" t="b">
        <f>CL1069&gt;Driver!$F$56</f>
        <v>1</v>
      </c>
      <c r="G1069" s="43" t="b">
        <f>AND(CB1069&gt;Driver!$F$55,CB1069&lt;Driver!$G$55)</f>
        <v>0</v>
      </c>
      <c r="H1069" s="43" t="b">
        <f t="shared" si="592"/>
        <v>0</v>
      </c>
      <c r="I1069" s="43">
        <f t="shared" si="593"/>
        <v>0</v>
      </c>
      <c r="J1069" s="43" t="b">
        <f t="array" ref="J1069">NOT(OR(($H$9:$H$1273=TRUE)*($I$9:$I$1273&gt;0)*($BT$9:$BT$1273=BT1069)*($K$9:$K$1273&gt;K1069)))</f>
        <v>1</v>
      </c>
      <c r="K1069" s="72">
        <f t="shared" si="594"/>
        <v>0.91124279148506171</v>
      </c>
      <c r="L1069" s="72">
        <f t="shared" si="595"/>
        <v>0.92006147058193577</v>
      </c>
      <c r="M1069" s="72">
        <f t="shared" si="596"/>
        <v>0.90242411238818776</v>
      </c>
      <c r="N1069" s="72">
        <f t="shared" si="597"/>
        <v>0.89831223628691981</v>
      </c>
      <c r="O1069" s="72">
        <f t="shared" si="598"/>
        <v>0.90484617682701041</v>
      </c>
      <c r="P1069" s="72">
        <f t="shared" si="599"/>
        <v>0.90411392405063284</v>
      </c>
      <c r="Q1069" s="72"/>
      <c r="R1069" s="72"/>
      <c r="S1069" s="72">
        <f t="shared" si="600"/>
        <v>0.4184434641108814</v>
      </c>
      <c r="T1069" s="72">
        <f t="shared" si="601"/>
        <v>0.4631857923464221</v>
      </c>
      <c r="U1069" s="72">
        <f t="shared" si="602"/>
        <v>0.51</v>
      </c>
      <c r="V1069" s="72">
        <f t="shared" si="603"/>
        <v>0.52963598561199765</v>
      </c>
      <c r="W1069" s="72">
        <f t="shared" si="604"/>
        <v>0.85311873173049824</v>
      </c>
      <c r="X1069" s="72">
        <f t="shared" si="605"/>
        <v>7.993852941806423E-2</v>
      </c>
      <c r="Y1069" s="72">
        <f t="shared" si="606"/>
        <v>9.7575887611812295E-2</v>
      </c>
      <c r="Z1069" s="72">
        <f t="shared" si="607"/>
        <v>0.10168776371308018</v>
      </c>
      <c r="AA1069" s="72">
        <f t="shared" si="608"/>
        <v>9.5153823172989593E-2</v>
      </c>
      <c r="AB1069" s="72">
        <f t="shared" si="609"/>
        <v>9.58860759493671E-2</v>
      </c>
      <c r="AC1069" s="72"/>
      <c r="AD1069" s="72"/>
      <c r="AE1069" s="72">
        <f t="shared" si="610"/>
        <v>0.5815565358891186</v>
      </c>
      <c r="AF1069" s="72">
        <f t="shared" si="611"/>
        <v>0.5368142076535779</v>
      </c>
      <c r="AG1069" s="72">
        <f t="shared" si="612"/>
        <v>0.49</v>
      </c>
      <c r="AH1069" s="72">
        <f t="shared" si="613"/>
        <v>0.47036401438800229</v>
      </c>
      <c r="AI1069" s="72">
        <f t="shared" si="614"/>
        <v>0.14688126826950176</v>
      </c>
      <c r="AJ1069" s="72">
        <f>(AV1069-Driver!$K$179)/(Driver!$L$179-Driver!$K$179)</f>
        <v>0.1742808798646362</v>
      </c>
      <c r="AK1069" s="72">
        <f>(AW1069-Driver!$K$180)/(Driver!$L$180-Driver!$K$180)</f>
        <v>0.14354490785024757</v>
      </c>
      <c r="AL1069" s="72">
        <f>(AX1069-Driver!$K$181)/(Driver!$L$181-Driver!$K$181)</f>
        <v>0</v>
      </c>
      <c r="AM1069" s="72">
        <f>(AY1069-Driver!$K$182)/(Driver!$L$182-Driver!$K$182)</f>
        <v>0.35223119792405677</v>
      </c>
      <c r="AN1069" s="72">
        <f>(AZ1069-Driver!$K$183)/(Driver!$L$183-Driver!$K$183)</f>
        <v>0.15833333333333333</v>
      </c>
      <c r="AO1069" s="72"/>
      <c r="AP1069" s="72"/>
      <c r="AQ1069" s="72">
        <f>(BC1069-Driver!$K$188)/(Driver!$L$188-Driver!$K$188)</f>
        <v>3.8443464110881384E-2</v>
      </c>
      <c r="AR1069" s="72">
        <f>MIN((BD1069-Driver!$K$189)/(Driver!$L$189-Driver!$K$189),100%)</f>
        <v>1.3185792346422115E-2</v>
      </c>
      <c r="AS1069" s="72">
        <f>(BE1069-Driver!$K$190)/(Driver!$L$190-Driver!$K$190)</f>
        <v>1</v>
      </c>
      <c r="AT1069" s="72">
        <f>(BF1069-Driver!$K$191)/(Driver!$L$191-Driver!$K$191)</f>
        <v>3.9635985611997701E-2</v>
      </c>
      <c r="AU1069" s="72">
        <f>(BG1069-Driver!$K$192)/(Driver!$L$192-Driver!$K$192)</f>
        <v>0.10311873173049825</v>
      </c>
      <c r="AV1069" s="70">
        <f t="shared" si="615"/>
        <v>3.6680911680911681</v>
      </c>
      <c r="AW1069" s="70">
        <f t="shared" si="616"/>
        <v>15.861615828740526</v>
      </c>
      <c r="AX1069" s="70">
        <f t="shared" si="617"/>
        <v>1</v>
      </c>
      <c r="AY1069" s="70">
        <f>IFERROR(Driver!$K$19/Data!BH1069/Data!BI1069*Data!BK1069*Data!BL1069,"")</f>
        <v>0.43123608190508106</v>
      </c>
      <c r="AZ1069" s="70">
        <f t="shared" si="618"/>
        <v>14.430379746835444</v>
      </c>
      <c r="BA1069" s="70"/>
      <c r="BB1069" s="70"/>
      <c r="BC1069" s="70">
        <f t="shared" si="619"/>
        <v>19.940892088940846</v>
      </c>
      <c r="BD1069" s="70">
        <f t="shared" si="620"/>
        <v>2.8877421429145573</v>
      </c>
      <c r="BE1069" s="70">
        <f t="shared" si="621"/>
        <v>1</v>
      </c>
      <c r="BF1069" s="70">
        <f t="shared" si="622"/>
        <v>4.4766061163165602</v>
      </c>
      <c r="BG1069" s="70">
        <f t="shared" si="623"/>
        <v>0.39047330097087379</v>
      </c>
      <c r="BH1069" s="67">
        <f>MAX((CE1069-Driver!$F$200)/(Driver!$G$200-Driver!$F$200)*$BI$1,1)</f>
        <v>1</v>
      </c>
      <c r="BI1069" s="67">
        <f>MAX($BI$1*(BY1069-Driver!$F$201)/(Driver!$G$201-Driver!$F$201),1)</f>
        <v>6.4556962025316453</v>
      </c>
      <c r="BJ1069" s="67">
        <f>(CB1069-Driver!$F$206)/(Driver!$G$206-Driver!$F$206)*$BI$1</f>
        <v>3.333333333333333</v>
      </c>
      <c r="BK1069" s="67">
        <f>(CD1069-Driver!$F$203)/(Driver!$G$203-Driver!$F$203)*$BI$1</f>
        <v>2.522935779816514</v>
      </c>
      <c r="BL1069" s="67">
        <f>MAX((CR1069-Driver!$F$202)/(Driver!$G$202-Driver!$F$202)*$BI$1,1)</f>
        <v>5.5172413793103452</v>
      </c>
      <c r="BM1069" s="67">
        <f>MAX((CH1069-Driver!$F$204)/(Driver!$G$204-Driver!$F$204)*$BI$1,1)</f>
        <v>4.4017094017094021</v>
      </c>
      <c r="BN1069" s="67">
        <f>(CI1069-Driver!$F$205)/(Driver!$G$205-Driver!$F$205)*$BI$1</f>
        <v>2.2352941176470589</v>
      </c>
      <c r="BO1069" s="67">
        <f>(CK1069-Driver!$F$207)/(Driver!$G$207-Driver!$F$207)*$BI$1</f>
        <v>2.0062047569803516</v>
      </c>
      <c r="BP1069" s="67">
        <f>(CM1069-Driver!$F$208)/(Driver!$G$208-Driver!$F$208)*$BI$1</f>
        <v>1.6888888888888889</v>
      </c>
      <c r="BQ1069" s="67">
        <f>(CL1069-Driver!$F$209)/(Driver!$G$209-Driver!$F$209)*$BI$1</f>
        <v>1.71875</v>
      </c>
      <c r="BR1069" s="28" t="s">
        <v>155</v>
      </c>
      <c r="BS1069" s="8" t="s">
        <v>329</v>
      </c>
      <c r="BT1069" s="9" t="s">
        <v>520</v>
      </c>
      <c r="BU1069" s="10">
        <v>158</v>
      </c>
      <c r="BV1069" s="9" t="s">
        <v>158</v>
      </c>
      <c r="BW1069" s="10">
        <v>158</v>
      </c>
      <c r="BX1069" s="10">
        <v>156</v>
      </c>
      <c r="BY1069" s="10">
        <v>110</v>
      </c>
      <c r="BZ1069" s="10">
        <v>133</v>
      </c>
      <c r="CA1069" s="10">
        <v>120</v>
      </c>
      <c r="CB1069" s="10">
        <v>85</v>
      </c>
      <c r="CC1069" s="10">
        <v>108</v>
      </c>
      <c r="CD1069" s="10">
        <v>14.9</v>
      </c>
      <c r="CE1069" s="10">
        <v>1056</v>
      </c>
      <c r="CF1069" s="10">
        <v>1.41</v>
      </c>
      <c r="CG1069" s="10">
        <v>1491</v>
      </c>
      <c r="CH1069" s="10">
        <v>204</v>
      </c>
      <c r="CI1069" s="10">
        <v>71</v>
      </c>
      <c r="CJ1069" s="10">
        <v>54</v>
      </c>
      <c r="CK1069" s="10">
        <v>304</v>
      </c>
      <c r="CL1069" s="10">
        <v>11</v>
      </c>
      <c r="CM1069" s="10">
        <v>152</v>
      </c>
      <c r="CN1069" s="10">
        <v>0.19700000000000001</v>
      </c>
      <c r="CO1069" s="10">
        <v>137</v>
      </c>
      <c r="CP1069" s="10">
        <v>90</v>
      </c>
      <c r="CQ1069" s="10">
        <v>168</v>
      </c>
      <c r="CR1069" s="10">
        <v>5</v>
      </c>
      <c r="CS1069" s="10">
        <v>12.3</v>
      </c>
      <c r="CT1069" s="9" t="s">
        <v>185</v>
      </c>
      <c r="CU1069" s="9" t="s">
        <v>198</v>
      </c>
      <c r="CV1069" s="10"/>
      <c r="CW1069" s="10"/>
      <c r="CX1069" t="str">
        <f>INDEX('Data_Price '!AG$2:AG$1266,MATCH(Data!$DN1069,'Data_Price '!$AT$2:$AT$1266,0))</f>
        <v>Dynafit Blacklight 88 W Alpine Touring Ski 158</v>
      </c>
      <c r="CY1069" t="str">
        <f>INDEX('Data_Price '!AH$2:AH$1266,MATCH(Data!$DN1069,'Data_Price '!$AT$2:$AT$1266,0))</f>
        <v>Cripple Creek Backcountry</v>
      </c>
      <c r="CZ1069">
        <f>INDEX('Data_Price '!AI$2:AI$1266,MATCH(Data!$DN1069,'Data_Price '!$AT$2:$AT$1266,0))</f>
        <v>549.95000000000005</v>
      </c>
      <c r="DA1069" t="str">
        <f>INDEX('Data_Price '!AJ$2:AJ$1266,MATCH(Data!$DN1069,'Data_Price '!$AT$2:$AT$1266,0))</f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B1069" t="str">
        <f>INDEX('Data_Price '!AK$2:AK$1266,MATCH(Data!$DN1069,'Data_Price '!$AT$2:$AT$1266,0))</f>
        <v>Dynafit Blacklight 88 Ski Touring (Black/Blue)</v>
      </c>
      <c r="DC1069" t="str">
        <f>INDEX('Data_Price '!AL$2:AL$1266,MATCH(Data!$DN1069,'Data_Price '!$AT$2:$AT$1266,0))</f>
        <v>Curated</v>
      </c>
      <c r="DD1069">
        <f>INDEX('Data_Price '!AM$2:AM$1266,MATCH(Data!$DN1069,'Data_Price '!$AT$2:$AT$1266,0))</f>
        <v>559.99</v>
      </c>
      <c r="DE1069" t="str">
        <f>INDEX('Data_Price '!AN$2:AN$1266,MATCH(Data!$DN1069,'Data_Price '!$AT$2:$AT$1266,0))</f>
        <v>https://tinyurl.com/y9x7tflt</v>
      </c>
      <c r="DF1069" t="str">
        <f>INDEX('Data_Price '!AO$2:AO$1266,MATCH(Data!$DN1069,'Data_Price '!$AT$2:$AT$1266,0))</f>
        <v>Dynafit Blacklight 88 Ski Touring (Black/Blue)</v>
      </c>
      <c r="DG1069" t="str">
        <f>INDEX('Data_Price '!AP$2:AP$1266,MATCH(Data!$DN1069,'Data_Price '!$AT$2:$AT$1266,0))</f>
        <v>Idaho Mountain Touring</v>
      </c>
      <c r="DH1069">
        <f>INDEX('Data_Price '!AQ$2:AQ$1266,MATCH(Data!$DN1069,'Data_Price '!$AT$2:$AT$1266,0))</f>
        <v>599.95000000000005</v>
      </c>
      <c r="DI1069" t="str">
        <f>INDEX('Data_Price '!AR$2:AR$1266,MATCH(Data!$DN1069,'Data_Price '!$AT$2:$AT$1266,0))</f>
        <v>https://tinyurl.com/y8y2smxh</v>
      </c>
      <c r="DJ1069" s="89" t="str">
        <f t="shared" si="624"/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K1069" s="89" t="str">
        <f t="shared" si="625"/>
        <v>https://tinyurl.com/y9x7tflt</v>
      </c>
      <c r="DL1069" s="89" t="str">
        <f t="shared" si="626"/>
        <v>https://tinyurl.com/y8y2smxh</v>
      </c>
      <c r="DM1069" s="219" t="str">
        <f t="shared" si="627"/>
        <v>Blacklight 88</v>
      </c>
      <c r="DN1069" s="89" t="str">
        <f t="shared" si="628"/>
        <v xml:space="preserve"> DynafitBlacklight 88158 Unisex</v>
      </c>
      <c r="DO1069" s="221" t="s">
        <v>521</v>
      </c>
    </row>
    <row r="1070" spans="2:119" ht="15.6" customHeight="1">
      <c r="B1070" s="219" t="b">
        <f t="array" ref="B1070">IF(OR(ISERROR(K1070:P1070)),FALSE,TRUE)</f>
        <v>1</v>
      </c>
      <c r="C1070" s="43" t="b">
        <f>OR(BR1070=Driver!$G$50,Data!BR669=Driver!$H$50)</f>
        <v>1</v>
      </c>
      <c r="D1070" s="43" t="b">
        <f>OR(BV1070=Driver!$G$51,BV1070=Driver!$H$51)</f>
        <v>1</v>
      </c>
      <c r="E1070" s="43" t="b">
        <f>AND(BX1070&gt;Driver!$F$54,BX1070&lt;Driver!$G$54)</f>
        <v>0</v>
      </c>
      <c r="F1070" s="43" t="b">
        <f>CL1070&gt;Driver!$F$56</f>
        <v>1</v>
      </c>
      <c r="G1070" s="43" t="b">
        <f>AND(CB1070&gt;Driver!$F$55,CB1070&lt;Driver!$G$55)</f>
        <v>0</v>
      </c>
      <c r="H1070" s="43" t="b">
        <f t="shared" si="592"/>
        <v>0</v>
      </c>
      <c r="I1070" s="43">
        <f t="shared" si="593"/>
        <v>0</v>
      </c>
      <c r="J1070" s="43" t="b">
        <f t="array" ref="J1070">NOT(OR(($H$9:$H$1273=TRUE)*($I$9:$I$1273&gt;0)*($BT$9:$BT$1273=BT1070)*($K$9:$K$1273&gt;K1070)))</f>
        <v>1</v>
      </c>
      <c r="K1070" s="72">
        <f t="shared" si="594"/>
        <v>0.72685574882644688</v>
      </c>
      <c r="L1070" s="72">
        <f t="shared" si="595"/>
        <v>0.74578059071729963</v>
      </c>
      <c r="M1070" s="72">
        <f t="shared" si="596"/>
        <v>0.70793090693559413</v>
      </c>
      <c r="N1070" s="72">
        <f t="shared" si="597"/>
        <v>0.70182688974862062</v>
      </c>
      <c r="O1070" s="72">
        <f t="shared" si="598"/>
        <v>0.55261497890295364</v>
      </c>
      <c r="P1070" s="72">
        <f t="shared" si="599"/>
        <v>0.86935085215520802</v>
      </c>
      <c r="Q1070" s="72"/>
      <c r="R1070" s="72"/>
      <c r="S1070" s="72" t="e">
        <f t="shared" si="600"/>
        <v>#VALUE!</v>
      </c>
      <c r="T1070" s="72" t="e">
        <f t="shared" si="601"/>
        <v>#VALUE!</v>
      </c>
      <c r="U1070" s="72">
        <f t="shared" si="602"/>
        <v>0.51</v>
      </c>
      <c r="V1070" s="72" t="e">
        <f t="shared" si="603"/>
        <v>#VALUE!</v>
      </c>
      <c r="W1070" s="72">
        <f t="shared" si="604"/>
        <v>0.79486386138613863</v>
      </c>
      <c r="X1070" s="72">
        <f t="shared" si="605"/>
        <v>0.25421940928270043</v>
      </c>
      <c r="Y1070" s="72">
        <f t="shared" si="606"/>
        <v>0.29206909306440593</v>
      </c>
      <c r="Z1070" s="72">
        <f t="shared" si="607"/>
        <v>0.29817311025137944</v>
      </c>
      <c r="AA1070" s="72">
        <f t="shared" si="608"/>
        <v>0.44738502109704636</v>
      </c>
      <c r="AB1070" s="72">
        <f t="shared" si="609"/>
        <v>0.13064914784479192</v>
      </c>
      <c r="AC1070" s="72"/>
      <c r="AD1070" s="72"/>
      <c r="AE1070" s="72" t="e">
        <f t="shared" si="610"/>
        <v>#VALUE!</v>
      </c>
      <c r="AF1070" s="72" t="e">
        <f t="shared" si="611"/>
        <v>#VALUE!</v>
      </c>
      <c r="AG1070" s="72">
        <f t="shared" si="612"/>
        <v>0.49</v>
      </c>
      <c r="AH1070" s="72" t="e">
        <f t="shared" si="613"/>
        <v>#VALUE!</v>
      </c>
      <c r="AI1070" s="72">
        <f t="shared" si="614"/>
        <v>0.2051361386138614</v>
      </c>
      <c r="AJ1070" s="72">
        <f>(AV1070-Driver!$K$179)/(Driver!$L$179-Driver!$K$179)</f>
        <v>0</v>
      </c>
      <c r="AK1070" s="72">
        <f>(AW1070-Driver!$K$180)/(Driver!$L$180-Driver!$K$180)</f>
        <v>0.1435370256891616</v>
      </c>
      <c r="AL1070" s="72">
        <f>(AX1070-Driver!$K$181)/(Driver!$L$181-Driver!$K$181)</f>
        <v>0.39986087396445963</v>
      </c>
      <c r="AM1070" s="72">
        <f>(AY1070-Driver!$K$182)/(Driver!$L$182-Driver!$K$182)</f>
        <v>0</v>
      </c>
      <c r="AN1070" s="72">
        <f>(AZ1070-Driver!$K$183)/(Driver!$L$183-Driver!$K$183)</f>
        <v>0.1235702614379085</v>
      </c>
      <c r="AO1070" s="72"/>
      <c r="AP1070" s="72"/>
      <c r="AQ1070" s="72" t="e">
        <f>(BC1070-Driver!$K$188)/(Driver!$L$188-Driver!$K$188)</f>
        <v>#VALUE!</v>
      </c>
      <c r="AR1070" s="72" t="e">
        <f>MIN((BD1070-Driver!$K$189)/(Driver!$L$189-Driver!$K$189),100%)</f>
        <v>#VALUE!</v>
      </c>
      <c r="AS1070" s="72">
        <f>(BE1070-Driver!$K$190)/(Driver!$L$190-Driver!$K$190)</f>
        <v>1</v>
      </c>
      <c r="AT1070" s="72" t="e">
        <f>(BF1070-Driver!$K$191)/(Driver!$L$191-Driver!$K$191)</f>
        <v>#VALUE!</v>
      </c>
      <c r="AU1070" s="72">
        <f>(BG1070-Driver!$K$192)/(Driver!$L$192-Driver!$K$192)</f>
        <v>4.4863861386138605E-2</v>
      </c>
      <c r="AV1070" s="70">
        <f t="shared" si="615"/>
        <v>0</v>
      </c>
      <c r="AW1070" s="70">
        <f t="shared" si="616"/>
        <v>15.860847642299646</v>
      </c>
      <c r="AX1070" s="70">
        <f t="shared" si="617"/>
        <v>4.5987478656801368</v>
      </c>
      <c r="AY1070" s="70">
        <f>IFERROR(Driver!$K$19/Data!BH1070/Data!BI1070*Data!BK1070*Data!BL1070,"")</f>
        <v>0</v>
      </c>
      <c r="AZ1070" s="70">
        <f t="shared" si="618"/>
        <v>11.262099776619509</v>
      </c>
      <c r="BA1070" s="70"/>
      <c r="BB1070" s="70"/>
      <c r="BC1070" s="70" t="str">
        <f t="shared" si="619"/>
        <v/>
      </c>
      <c r="BD1070" s="70" t="str">
        <f t="shared" si="620"/>
        <v/>
      </c>
      <c r="BE1070" s="70">
        <f t="shared" si="621"/>
        <v>1</v>
      </c>
      <c r="BF1070" s="70" t="str">
        <f t="shared" si="622"/>
        <v/>
      </c>
      <c r="BG1070" s="70">
        <f t="shared" si="623"/>
        <v>0.16988319925742573</v>
      </c>
      <c r="BH1070" s="67">
        <f>MAX((CE1070-Driver!$F$200)/(Driver!$G$200-Driver!$F$200)*$BI$1,1)</f>
        <v>4.5987478656801368</v>
      </c>
      <c r="BI1070" s="67">
        <f>MAX($BI$1*(BY1070-Driver!$F$201)/(Driver!$G$201-Driver!$F$201),1)</f>
        <v>7.6582278481012658</v>
      </c>
      <c r="BJ1070" s="67">
        <f>(CB1070-Driver!$F$206)/(Driver!$G$206-Driver!$F$206)*$BI$1</f>
        <v>0</v>
      </c>
      <c r="BK1070" s="67">
        <f>(CD1070-Driver!$F$203)/(Driver!$G$203-Driver!$F$203)*$BI$1</f>
        <v>0</v>
      </c>
      <c r="BL1070" s="67">
        <f>MAX((CR1070-Driver!$F$202)/(Driver!$G$202-Driver!$F$202)*$BI$1,1)</f>
        <v>6.8965517241379315</v>
      </c>
      <c r="BM1070" s="67">
        <f>MAX((CH1070-Driver!$F$204)/(Driver!$G$204-Driver!$F$204)*$BI$1,1)</f>
        <v>1</v>
      </c>
      <c r="BN1070" s="67">
        <f>(CI1070-Driver!$F$205)/(Driver!$G$205-Driver!$F$205)*$BI$1</f>
        <v>1.4705882352941178</v>
      </c>
      <c r="BO1070" s="67">
        <f>(CK1070-Driver!$F$207)/(Driver!$G$207-Driver!$F$207)*$BI$1</f>
        <v>0.32057911065149947</v>
      </c>
      <c r="BP1070" s="67">
        <f>(CM1070-Driver!$F$208)/(Driver!$G$208-Driver!$F$208)*$BI$1</f>
        <v>0.6</v>
      </c>
      <c r="BQ1070" s="67">
        <f>(CL1070-Driver!$F$209)/(Driver!$G$209-Driver!$F$209)*$BI$1</f>
        <v>0.78125</v>
      </c>
      <c r="BR1070" s="28" t="s">
        <v>155</v>
      </c>
      <c r="BS1070" s="8" t="s">
        <v>167</v>
      </c>
      <c r="BT1070" s="9" t="s">
        <v>767</v>
      </c>
      <c r="BU1070" s="10">
        <v>150</v>
      </c>
      <c r="BV1070" s="9" t="s">
        <v>158</v>
      </c>
      <c r="BW1070" s="10">
        <v>150</v>
      </c>
      <c r="BX1070" s="10">
        <v>149</v>
      </c>
      <c r="BY1070" s="10">
        <v>129</v>
      </c>
      <c r="BZ1070" s="10">
        <v>135</v>
      </c>
      <c r="CA1070" s="10">
        <v>119</v>
      </c>
      <c r="CB1070" s="10">
        <v>64</v>
      </c>
      <c r="CC1070" s="10">
        <v>104</v>
      </c>
      <c r="CD1070" s="10">
        <v>9.4</v>
      </c>
      <c r="CE1070" s="10">
        <v>1708</v>
      </c>
      <c r="CF1070" s="10">
        <v>0.71</v>
      </c>
      <c r="CG1070" s="10">
        <v>1221</v>
      </c>
      <c r="CH1070" s="10">
        <v>123</v>
      </c>
      <c r="CI1070" s="10">
        <v>58</v>
      </c>
      <c r="CJ1070" s="10">
        <v>43</v>
      </c>
      <c r="CK1070" s="10">
        <v>141</v>
      </c>
      <c r="CL1070" s="10">
        <v>5</v>
      </c>
      <c r="CM1070" s="10">
        <v>54</v>
      </c>
      <c r="CN1070" s="10">
        <v>0.122</v>
      </c>
      <c r="CO1070" s="10">
        <v>78</v>
      </c>
      <c r="CP1070" s="10">
        <v>59</v>
      </c>
      <c r="CQ1070" s="10">
        <v>63</v>
      </c>
      <c r="CR1070" s="10">
        <v>9</v>
      </c>
      <c r="CS1070" s="10">
        <v>12.4</v>
      </c>
      <c r="CT1070" s="9" t="s">
        <v>349</v>
      </c>
      <c r="CU1070" s="10"/>
      <c r="CV1070" s="10"/>
      <c r="CW1070" s="10"/>
      <c r="CX1070" t="str">
        <f>INDEX('Data_Price '!AG$2:AG$1266,MATCH(Data!$DN1070,'Data_Price '!$AT$2:$AT$1266,0))</f>
        <v>Head WC Rebels Isl RD Team Ski - Size 150 - 314030</v>
      </c>
      <c r="CY1070" t="str">
        <f>INDEX('Data_Price '!AH$2:AH$1266,MATCH(Data!$DN1070,'Data_Price '!$AT$2:$AT$1266,0))</f>
        <v>Gear West Ski &amp; Bike</v>
      </c>
      <c r="CZ1070">
        <f>INDEX('Data_Price '!AI$2:AI$1266,MATCH(Data!$DN1070,'Data_Price '!$AT$2:$AT$1266,0))</f>
        <v>549</v>
      </c>
      <c r="DA1070" t="str">
        <f>INDEX('Data_Price '!AJ$2:AJ$1266,MATCH(Data!$DN1070,'Data_Price '!$AT$2:$AT$1266,0))</f>
        <v>https://tinyurl.com/ya9kmbbr</v>
      </c>
      <c r="DB1070" t="str">
        <f>INDEX('Data_Price '!AK$2:AK$1266,MATCH(Data!$DN1070,'Data_Price '!$AT$2:$AT$1266,0))</f>
        <v>Head WC Rebels Isl RD Team Ski - Size 150 - 314030</v>
      </c>
      <c r="DC1070" t="str">
        <f>INDEX('Data_Price '!AL$2:AL$1266,MATCH(Data!$DN1070,'Data_Price '!$AT$2:$AT$1266,0))</f>
        <v>BlueZone Sports</v>
      </c>
      <c r="DD1070">
        <f>INDEX('Data_Price '!AM$2:AM$1266,MATCH(Data!$DN1070,'Data_Price '!$AT$2:$AT$1266,0))</f>
        <v>549</v>
      </c>
      <c r="DE1070" t="str">
        <f>INDEX('Data_Price '!AN$2:AN$1266,MATCH(Data!$DN1070,'Data_Price '!$AT$2:$AT$1266,0))</f>
        <v>https://tinyurl.com/ydcllr97</v>
      </c>
      <c r="DF1070" t="str">
        <f>INDEX('Data_Price '!AO$2:AO$1266,MATCH(Data!$DN1070,'Data_Price '!$AT$2:$AT$1266,0))</f>
        <v>Head 150cm Pretuned Racing Base Laser Controlled Carve 7 Skis</v>
      </c>
      <c r="DG1070" t="str">
        <f>INDEX('Data_Price '!AP$2:AP$1266,MATCH(Data!$DN1070,'Data_Price '!$AT$2:$AT$1266,0))</f>
        <v>eBay</v>
      </c>
      <c r="DH1070">
        <f>INDEX('Data_Price '!AQ$2:AQ$1266,MATCH(Data!$DN1070,'Data_Price '!$AT$2:$AT$1266,0))</f>
        <v>80</v>
      </c>
      <c r="DI1070" t="str">
        <f>INDEX('Data_Price '!AR$2:AR$1266,MATCH(Data!$DN1070,'Data_Price '!$AT$2:$AT$1266,0))</f>
        <v>https://tinyurl.com/y8yy3a8f</v>
      </c>
      <c r="DJ1070" s="89" t="str">
        <f t="shared" si="624"/>
        <v>https://tinyurl.com/ya9kmbbr</v>
      </c>
      <c r="DK1070" s="89" t="str">
        <f t="shared" si="625"/>
        <v>https://tinyurl.com/ydcllr97</v>
      </c>
      <c r="DL1070" s="89" t="str">
        <f t="shared" si="626"/>
        <v>https://tinyurl.com/y8yy3a8f</v>
      </c>
      <c r="DM1070" s="219" t="str">
        <f t="shared" si="627"/>
        <v>Worldcup Rebels I.SLR</v>
      </c>
      <c r="DN1070" s="89" t="str">
        <f t="shared" si="628"/>
        <v xml:space="preserve"> HeadWorldcup Rebels I.SLR150 Unisex</v>
      </c>
      <c r="DO1070" s="221"/>
    </row>
    <row r="1071" spans="2:119" ht="15.6" customHeight="1">
      <c r="B1071" s="219" t="b">
        <f t="array" ref="B1071">IF(OR(ISERROR(K1071:P1071)),FALSE,TRUE)</f>
        <v>1</v>
      </c>
      <c r="C1071" s="43" t="b">
        <f>OR(BR1071=Driver!$G$50,Data!BR1271=Driver!$H$50)</f>
        <v>1</v>
      </c>
      <c r="D1071" s="43" t="b">
        <f>OR(BV1071=Driver!$G$51,BV1071=Driver!$H$51)</f>
        <v>0</v>
      </c>
      <c r="E1071" s="43" t="b">
        <f>AND(BX1071&gt;Driver!$F$54,BX1071&lt;Driver!$G$54)</f>
        <v>1</v>
      </c>
      <c r="F1071" s="43" t="b">
        <f>CL1071&gt;Driver!$F$56</f>
        <v>1</v>
      </c>
      <c r="G1071" s="43" t="b">
        <f>AND(CB1071&gt;Driver!$F$55,CB1071&lt;Driver!$G$55)</f>
        <v>0</v>
      </c>
      <c r="H1071" s="43" t="b">
        <f t="shared" si="592"/>
        <v>0</v>
      </c>
      <c r="I1071" s="43">
        <f t="shared" si="593"/>
        <v>0</v>
      </c>
      <c r="J1071" s="43" t="b">
        <f t="array" ref="J1071">NOT(OR(($H$9:$H$1273=TRUE)*($I$9:$I$1273&gt;0)*($BT$9:$BT$1273=BT1071)*($K$9:$K$1273&gt;K1071)))</f>
        <v>1</v>
      </c>
      <c r="K1071" s="72">
        <f t="shared" si="594"/>
        <v>0.82269207532587785</v>
      </c>
      <c r="L1071" s="72">
        <f t="shared" si="595"/>
        <v>0.84069639121685635</v>
      </c>
      <c r="M1071" s="72">
        <f t="shared" si="596"/>
        <v>0.80468775943489923</v>
      </c>
      <c r="N1071" s="72">
        <f t="shared" si="597"/>
        <v>0.92885528410769225</v>
      </c>
      <c r="O1071" s="72">
        <f t="shared" si="598"/>
        <v>0.63023622700911774</v>
      </c>
      <c r="P1071" s="72">
        <f t="shared" si="599"/>
        <v>0.85497176718788781</v>
      </c>
      <c r="Q1071" s="72"/>
      <c r="R1071" s="72"/>
      <c r="S1071" s="72">
        <f t="shared" si="600"/>
        <v>0.39875035896829525</v>
      </c>
      <c r="T1071" s="72">
        <f t="shared" si="601"/>
        <v>0.49755962044593893</v>
      </c>
      <c r="U1071" s="72">
        <f t="shared" si="602"/>
        <v>0.72978257734854879</v>
      </c>
      <c r="V1071" s="72">
        <f t="shared" si="603"/>
        <v>0.55431450621815026</v>
      </c>
      <c r="W1071" s="72">
        <f t="shared" si="604"/>
        <v>0.84750700481356422</v>
      </c>
      <c r="X1071" s="72">
        <f t="shared" si="605"/>
        <v>0.15930360878314359</v>
      </c>
      <c r="Y1071" s="72">
        <f t="shared" si="606"/>
        <v>0.19531224056510074</v>
      </c>
      <c r="Z1071" s="72">
        <f t="shared" si="607"/>
        <v>7.1144715892307767E-2</v>
      </c>
      <c r="AA1071" s="72">
        <f t="shared" si="608"/>
        <v>0.36976377299088231</v>
      </c>
      <c r="AB1071" s="72">
        <f t="shared" si="609"/>
        <v>0.14502823281211219</v>
      </c>
      <c r="AC1071" s="72"/>
      <c r="AD1071" s="72"/>
      <c r="AE1071" s="72">
        <f t="shared" si="610"/>
        <v>0.60124964103170475</v>
      </c>
      <c r="AF1071" s="72">
        <f t="shared" si="611"/>
        <v>0.50244037955406107</v>
      </c>
      <c r="AG1071" s="72">
        <f t="shared" si="612"/>
        <v>0.27021742265145121</v>
      </c>
      <c r="AH1071" s="72">
        <f t="shared" si="613"/>
        <v>0.44568549378184968</v>
      </c>
      <c r="AI1071" s="72">
        <f t="shared" si="614"/>
        <v>0.1524929951864358</v>
      </c>
      <c r="AJ1071" s="72">
        <f>(AV1071-Driver!$K$179)/(Driver!$L$179-Driver!$K$179)</f>
        <v>9.4915800499556835E-2</v>
      </c>
      <c r="AK1071" s="72">
        <f>(AW1071-Driver!$K$180)/(Driver!$L$180-Driver!$K$180)</f>
        <v>0.11010011872593724</v>
      </c>
      <c r="AL1071" s="72">
        <f>(AX1071-Driver!$K$181)/(Driver!$L$181-Driver!$K$181)</f>
        <v>0.17283247960538795</v>
      </c>
      <c r="AM1071" s="72">
        <f>(AY1071-Driver!$K$182)/(Driver!$L$182-Driver!$K$182)</f>
        <v>7.7621248106164054E-2</v>
      </c>
      <c r="AN1071" s="72">
        <f>(AZ1071-Driver!$K$183)/(Driver!$L$183-Driver!$K$183)</f>
        <v>0.10919117647058822</v>
      </c>
      <c r="AO1071" s="72"/>
      <c r="AP1071" s="72"/>
      <c r="AQ1071" s="72">
        <f>(BC1071-Driver!$K$188)/(Driver!$L$188-Driver!$K$188)</f>
        <v>1.8750358968295276E-2</v>
      </c>
      <c r="AR1071" s="72">
        <f>MIN((BD1071-Driver!$K$189)/(Driver!$L$189-Driver!$K$189),100%)</f>
        <v>4.7559620445938984E-2</v>
      </c>
      <c r="AS1071" s="72">
        <f>(BE1071-Driver!$K$190)/(Driver!$L$190-Driver!$K$190)</f>
        <v>0.2397825773485488</v>
      </c>
      <c r="AT1071" s="72">
        <f>(BF1071-Driver!$K$191)/(Driver!$L$191-Driver!$K$191)</f>
        <v>6.4314506218150325E-2</v>
      </c>
      <c r="AU1071" s="72">
        <f>(BG1071-Driver!$K$192)/(Driver!$L$192-Driver!$K$192)</f>
        <v>9.7507004813564196E-2</v>
      </c>
      <c r="AV1071" s="70">
        <f t="shared" si="615"/>
        <v>1.9976936643603309</v>
      </c>
      <c r="AW1071" s="70">
        <f t="shared" si="616"/>
        <v>12.602124777597528</v>
      </c>
      <c r="AX1071" s="70">
        <f t="shared" si="617"/>
        <v>2.5554923164484915</v>
      </c>
      <c r="AY1071" s="70">
        <f>IFERROR(Driver!$K$19/Data!BH1071/Data!BI1071*Data!BK1071*Data!BL1071,"")</f>
        <v>9.5031567627071434E-2</v>
      </c>
      <c r="AZ1071" s="70">
        <f t="shared" si="618"/>
        <v>9.9516008935219649</v>
      </c>
      <c r="BA1071" s="70"/>
      <c r="BB1071" s="70"/>
      <c r="BC1071" s="70">
        <f t="shared" si="619"/>
        <v>9.725941547235557</v>
      </c>
      <c r="BD1071" s="70">
        <f t="shared" si="620"/>
        <v>5.9297650229024539</v>
      </c>
      <c r="BE1071" s="70">
        <f t="shared" si="621"/>
        <v>0.23991819158013825</v>
      </c>
      <c r="BF1071" s="70">
        <f t="shared" si="622"/>
        <v>7.2638716423618188</v>
      </c>
      <c r="BG1071" s="70">
        <f t="shared" si="623"/>
        <v>0.36922372296860412</v>
      </c>
      <c r="BH1071" s="67">
        <f>MAX((CE1071-Driver!$F$200)/(Driver!$G$200-Driver!$F$200)*$BI$1,1)</f>
        <v>2.5554923164484915</v>
      </c>
      <c r="BI1071" s="67">
        <f>MAX($BI$1*(BY1071-Driver!$F$201)/(Driver!$G$201-Driver!$F$201),1)</f>
        <v>6.2658227848101262</v>
      </c>
      <c r="BJ1071" s="67">
        <f>(CB1071-Driver!$F$206)/(Driver!$G$206-Driver!$F$206)*$BI$1</f>
        <v>3.0158730158730158</v>
      </c>
      <c r="BK1071" s="67">
        <f>(CD1071-Driver!$F$203)/(Driver!$G$203-Driver!$F$203)*$BI$1</f>
        <v>1.6972477064220182</v>
      </c>
      <c r="BL1071" s="67">
        <f>MAX((CR1071-Driver!$F$202)/(Driver!$G$202-Driver!$F$202)*$BI$1,1)</f>
        <v>4.4827586206896548</v>
      </c>
      <c r="BM1071" s="67">
        <f>MAX((CH1071-Driver!$F$204)/(Driver!$G$204-Driver!$F$204)*$BI$1,1)</f>
        <v>2.6495726495726495</v>
      </c>
      <c r="BN1071" s="67">
        <f>(CI1071-Driver!$F$205)/(Driver!$G$205-Driver!$F$205)*$BI$1</f>
        <v>1.588235294117647</v>
      </c>
      <c r="BO1071" s="67">
        <f>(CK1071-Driver!$F$207)/(Driver!$G$207-Driver!$F$207)*$BI$1</f>
        <v>1.8304033092037229</v>
      </c>
      <c r="BP1071" s="67">
        <f>(CM1071-Driver!$F$208)/(Driver!$G$208-Driver!$F$208)*$BI$1</f>
        <v>2.2333333333333334</v>
      </c>
      <c r="BQ1071" s="67">
        <f>(CL1071-Driver!$F$209)/(Driver!$G$209-Driver!$F$209)*$BI$1</f>
        <v>2.5</v>
      </c>
      <c r="BR1071" s="28" t="s">
        <v>155</v>
      </c>
      <c r="BS1071" s="8" t="s">
        <v>229</v>
      </c>
      <c r="BT1071" s="9" t="s">
        <v>775</v>
      </c>
      <c r="BU1071" s="10">
        <v>154</v>
      </c>
      <c r="BV1071" s="9" t="s">
        <v>163</v>
      </c>
      <c r="BW1071" s="10">
        <v>154</v>
      </c>
      <c r="BX1071" s="10">
        <v>156.19999999999999</v>
      </c>
      <c r="BY1071" s="10">
        <v>107</v>
      </c>
      <c r="BZ1071" s="10">
        <v>132</v>
      </c>
      <c r="CA1071" s="10">
        <v>124</v>
      </c>
      <c r="CB1071" s="10">
        <v>83</v>
      </c>
      <c r="CC1071" s="10">
        <v>106</v>
      </c>
      <c r="CD1071" s="10">
        <v>13.1</v>
      </c>
      <c r="CE1071" s="10">
        <v>1349</v>
      </c>
      <c r="CF1071" s="10">
        <v>1.1100000000000001</v>
      </c>
      <c r="CG1071" s="10">
        <v>1503</v>
      </c>
      <c r="CH1071" s="10">
        <v>163</v>
      </c>
      <c r="CI1071" s="10">
        <v>60</v>
      </c>
      <c r="CJ1071" s="10">
        <v>42</v>
      </c>
      <c r="CK1071" s="10">
        <v>287</v>
      </c>
      <c r="CL1071" s="10">
        <v>16</v>
      </c>
      <c r="CM1071" s="10">
        <v>201</v>
      </c>
      <c r="CN1071" s="10">
        <v>0.36799999999999999</v>
      </c>
      <c r="CO1071" s="10">
        <v>135</v>
      </c>
      <c r="CP1071" s="10">
        <v>102</v>
      </c>
      <c r="CQ1071" s="10">
        <v>152</v>
      </c>
      <c r="CR1071" s="10">
        <v>2</v>
      </c>
      <c r="CS1071" s="10">
        <v>11.6</v>
      </c>
      <c r="CT1071" s="9" t="s">
        <v>231</v>
      </c>
      <c r="CU1071" s="9" t="s">
        <v>188</v>
      </c>
      <c r="CV1071" s="9" t="s">
        <v>185</v>
      </c>
      <c r="CW1071" s="10"/>
      <c r="CX1071" t="e">
        <f>INDEX('Data_Price '!AG$2:AG$1266,MATCH(Data!$DN1071,'Data_Price '!$AT$2:$AT$1266,0))</f>
        <v>#N/A</v>
      </c>
      <c r="CY1071" t="e">
        <f>INDEX('Data_Price '!AH$2:AH$1266,MATCH(Data!$DN1071,'Data_Price '!$AT$2:$AT$1266,0))</f>
        <v>#N/A</v>
      </c>
      <c r="CZ1071" t="e">
        <f>INDEX('Data_Price '!AI$2:AI$1266,MATCH(Data!$DN1071,'Data_Price '!$AT$2:$AT$1266,0))</f>
        <v>#N/A</v>
      </c>
      <c r="DA1071" t="e">
        <f>INDEX('Data_Price '!AJ$2:AJ$1266,MATCH(Data!$DN1071,'Data_Price '!$AT$2:$AT$1266,0))</f>
        <v>#N/A</v>
      </c>
      <c r="DB1071" t="e">
        <f>INDEX('Data_Price '!AK$2:AK$1266,MATCH(Data!$DN1071,'Data_Price '!$AT$2:$AT$1266,0))</f>
        <v>#N/A</v>
      </c>
      <c r="DC1071" t="e">
        <f>INDEX('Data_Price '!AL$2:AL$1266,MATCH(Data!$DN1071,'Data_Price '!$AT$2:$AT$1266,0))</f>
        <v>#N/A</v>
      </c>
      <c r="DD1071" t="e">
        <f>INDEX('Data_Price '!AM$2:AM$1266,MATCH(Data!$DN1071,'Data_Price '!$AT$2:$AT$1266,0))</f>
        <v>#N/A</v>
      </c>
      <c r="DE1071" t="e">
        <f>INDEX('Data_Price '!AN$2:AN$1266,MATCH(Data!$DN1071,'Data_Price '!$AT$2:$AT$1266,0))</f>
        <v>#N/A</v>
      </c>
      <c r="DF1071" t="e">
        <f>INDEX('Data_Price '!AO$2:AO$1266,MATCH(Data!$DN1071,'Data_Price '!$AT$2:$AT$1266,0))</f>
        <v>#N/A</v>
      </c>
      <c r="DG1071" t="e">
        <f>INDEX('Data_Price '!AP$2:AP$1266,MATCH(Data!$DN1071,'Data_Price '!$AT$2:$AT$1266,0))</f>
        <v>#N/A</v>
      </c>
      <c r="DH1071" t="e">
        <f>INDEX('Data_Price '!AQ$2:AQ$1266,MATCH(Data!$DN1071,'Data_Price '!$AT$2:$AT$1266,0))</f>
        <v>#N/A</v>
      </c>
      <c r="DI1071" t="e">
        <f>INDEX('Data_Price '!AR$2:AR$1266,MATCH(Data!$DN1071,'Data_Price '!$AT$2:$AT$1266,0))</f>
        <v>#N/A</v>
      </c>
      <c r="DJ1071" s="89" t="e">
        <f t="shared" si="624"/>
        <v>#N/A</v>
      </c>
      <c r="DK1071" s="89" t="e">
        <f t="shared" si="625"/>
        <v>#N/A</v>
      </c>
      <c r="DL1071" s="89" t="e">
        <f t="shared" si="626"/>
        <v>#N/A</v>
      </c>
      <c r="DM1071" s="219" t="str">
        <f t="shared" si="627"/>
        <v>Yumi 84</v>
      </c>
      <c r="DN1071" s="89" t="str">
        <f t="shared" si="628"/>
        <v xml:space="preserve"> VölklYumi 84154 Women's</v>
      </c>
      <c r="DO1071" s="221" t="s">
        <v>776</v>
      </c>
    </row>
    <row r="1072" spans="2:119" ht="15.6" customHeight="1">
      <c r="B1072" s="219" t="b">
        <f t="array" ref="B1072">IF(OR(ISERROR(K1072:P1072)),FALSE,TRUE)</f>
        <v>1</v>
      </c>
      <c r="C1072" s="43" t="b">
        <f>OR(BR1072=Driver!$G$50,Data!BR451=Driver!$H$50)</f>
        <v>1</v>
      </c>
      <c r="D1072" s="43" t="b">
        <f>OR(BV1072=Driver!$G$51,BV1072=Driver!$H$51)</f>
        <v>1</v>
      </c>
      <c r="E1072" s="43" t="b">
        <f>AND(BX1072&gt;Driver!$F$54,BX1072&lt;Driver!$G$54)</f>
        <v>1</v>
      </c>
      <c r="F1072" s="43" t="b">
        <f>CL1072&gt;Driver!$F$56</f>
        <v>1</v>
      </c>
      <c r="G1072" s="43" t="b">
        <f>AND(CB1072&gt;Driver!$F$55,CB1072&lt;Driver!$G$55)</f>
        <v>0</v>
      </c>
      <c r="H1072" s="43" t="b">
        <f t="shared" si="592"/>
        <v>0</v>
      </c>
      <c r="I1072" s="43">
        <f t="shared" si="593"/>
        <v>0</v>
      </c>
      <c r="J1072" s="43" t="b">
        <f t="array" ref="J1072">NOT(OR(($H$9:$H$1273=TRUE)*($I$9:$I$1273&gt;0)*($BT$9:$BT$1273=BT1072)*($K$9:$K$1273&gt;K1072)))</f>
        <v>1</v>
      </c>
      <c r="K1072" s="72">
        <f t="shared" si="594"/>
        <v>0.8083115577550346</v>
      </c>
      <c r="L1072" s="72">
        <f t="shared" si="595"/>
        <v>0.81064240684815125</v>
      </c>
      <c r="M1072" s="72">
        <f t="shared" si="596"/>
        <v>0.80598070866191796</v>
      </c>
      <c r="N1072" s="72">
        <f t="shared" si="597"/>
        <v>0.9073539877059974</v>
      </c>
      <c r="O1072" s="72">
        <f t="shared" si="598"/>
        <v>0.65010166520951573</v>
      </c>
      <c r="P1072" s="72">
        <f t="shared" si="599"/>
        <v>0.86048647307024073</v>
      </c>
      <c r="Q1072" s="72"/>
      <c r="R1072" s="72"/>
      <c r="S1072" s="72">
        <f t="shared" si="600"/>
        <v>0.40322523553516509</v>
      </c>
      <c r="T1072" s="72">
        <f t="shared" si="601"/>
        <v>0.46244443371667798</v>
      </c>
      <c r="U1072" s="72">
        <f t="shared" si="602"/>
        <v>0.90390357894477813</v>
      </c>
      <c r="V1072" s="72">
        <f t="shared" si="603"/>
        <v>0.52211746663750258</v>
      </c>
      <c r="W1072" s="72">
        <f t="shared" si="604"/>
        <v>0.88046140195208511</v>
      </c>
      <c r="X1072" s="72">
        <f t="shared" si="605"/>
        <v>0.18935759315184875</v>
      </c>
      <c r="Y1072" s="72">
        <f t="shared" si="606"/>
        <v>0.19401929133808204</v>
      </c>
      <c r="Z1072" s="72">
        <f t="shared" si="607"/>
        <v>9.2646012294002586E-2</v>
      </c>
      <c r="AA1072" s="72">
        <f t="shared" si="608"/>
        <v>0.34989833479048432</v>
      </c>
      <c r="AB1072" s="72">
        <f t="shared" si="609"/>
        <v>0.13951352692975927</v>
      </c>
      <c r="AC1072" s="72"/>
      <c r="AD1072" s="72"/>
      <c r="AE1072" s="72">
        <f t="shared" si="610"/>
        <v>0.59677476446483491</v>
      </c>
      <c r="AF1072" s="72">
        <f t="shared" si="611"/>
        <v>0.53755556628332202</v>
      </c>
      <c r="AG1072" s="72">
        <f t="shared" si="612"/>
        <v>9.609642105522187E-2</v>
      </c>
      <c r="AH1072" s="72">
        <f t="shared" si="613"/>
        <v>0.47788253336249736</v>
      </c>
      <c r="AI1072" s="72">
        <f t="shared" si="614"/>
        <v>0.11953859804791483</v>
      </c>
      <c r="AJ1072" s="72">
        <f>(AV1072-Driver!$K$179)/(Driver!$L$179-Driver!$K$179)</f>
        <v>6.4861816130851666E-2</v>
      </c>
      <c r="AK1072" s="72">
        <f>(AW1072-Driver!$K$180)/(Driver!$L$180-Driver!$K$180)</f>
        <v>0.11749235572026748</v>
      </c>
      <c r="AL1072" s="72">
        <f>(AX1072-Driver!$K$181)/(Driver!$L$181-Driver!$K$181)</f>
        <v>0.19433377600708276</v>
      </c>
      <c r="AM1072" s="72">
        <f>(AY1072-Driver!$K$182)/(Driver!$L$182-Driver!$K$182)</f>
        <v>9.7486686306562056E-2</v>
      </c>
      <c r="AN1072" s="72">
        <f>(AZ1072-Driver!$K$183)/(Driver!$L$183-Driver!$K$183)</f>
        <v>0.11470588235294117</v>
      </c>
      <c r="AO1072" s="72"/>
      <c r="AP1072" s="72"/>
      <c r="AQ1072" s="72">
        <f>(BC1072-Driver!$K$188)/(Driver!$L$188-Driver!$K$188)</f>
        <v>2.3225235535165142E-2</v>
      </c>
      <c r="AR1072" s="72">
        <f>MIN((BD1072-Driver!$K$189)/(Driver!$L$189-Driver!$K$189),100%)</f>
        <v>1.2444433716677972E-2</v>
      </c>
      <c r="AS1072" s="72">
        <f>(BE1072-Driver!$K$190)/(Driver!$L$190-Driver!$K$190)</f>
        <v>0.60609642105522188</v>
      </c>
      <c r="AT1072" s="72">
        <f>(BF1072-Driver!$K$191)/(Driver!$L$191-Driver!$K$191)</f>
        <v>3.2117466637502666E-2</v>
      </c>
      <c r="AU1072" s="72">
        <f>(BG1072-Driver!$K$192)/(Driver!$L$192-Driver!$K$192)</f>
        <v>0.13046140195208517</v>
      </c>
      <c r="AV1072" s="70">
        <f t="shared" si="615"/>
        <v>1.3651471984805319</v>
      </c>
      <c r="AW1072" s="70">
        <f t="shared" si="616"/>
        <v>13.322563774578182</v>
      </c>
      <c r="AX1072" s="70">
        <f t="shared" si="617"/>
        <v>2.7490039840637448</v>
      </c>
      <c r="AY1072" s="70">
        <f>IFERROR(Driver!$K$19/Data!BH1072/Data!BI1072*Data!BK1072*Data!BL1072,"")</f>
        <v>0.11935279125903997</v>
      </c>
      <c r="AZ1072" s="70">
        <f t="shared" si="618"/>
        <v>10.454206999255398</v>
      </c>
      <c r="BA1072" s="70"/>
      <c r="BB1072" s="70"/>
      <c r="BC1072" s="70">
        <f t="shared" si="619"/>
        <v>12.047091131308154</v>
      </c>
      <c r="BD1072" s="70">
        <f t="shared" si="620"/>
        <v>2.8221332177919622</v>
      </c>
      <c r="BE1072" s="70">
        <f t="shared" si="621"/>
        <v>0.60616668902013204</v>
      </c>
      <c r="BF1072" s="70">
        <f t="shared" si="622"/>
        <v>3.6274422187325785</v>
      </c>
      <c r="BG1072" s="70">
        <f t="shared" si="623"/>
        <v>0.49401009316770189</v>
      </c>
      <c r="BH1072" s="67">
        <f>MAX((CE1072-Driver!$F$200)/(Driver!$G$200-Driver!$F$200)*$BI$1,1)</f>
        <v>2.7490039840637448</v>
      </c>
      <c r="BI1072" s="67">
        <f>MAX($BI$1*(BY1072-Driver!$F$201)/(Driver!$G$201-Driver!$F$201),1)</f>
        <v>7.4050632911392409</v>
      </c>
      <c r="BJ1072" s="67">
        <f>(CB1072-Driver!$F$206)/(Driver!$G$206-Driver!$F$206)*$BI$1</f>
        <v>3.6507936507936507</v>
      </c>
      <c r="BK1072" s="67">
        <f>(CD1072-Driver!$F$203)/(Driver!$G$203-Driver!$F$203)*$BI$1</f>
        <v>2.2018348623853208</v>
      </c>
      <c r="BL1072" s="67">
        <f>MAX((CR1072-Driver!$F$202)/(Driver!$G$202-Driver!$F$202)*$BI$1,1)</f>
        <v>5.5172413793103452</v>
      </c>
      <c r="BM1072" s="67">
        <f>MAX((CH1072-Driver!$F$204)/(Driver!$G$204-Driver!$F$204)*$BI$1,1)</f>
        <v>1.4957264957264957</v>
      </c>
      <c r="BN1072" s="67">
        <f>(CI1072-Driver!$F$205)/(Driver!$G$205-Driver!$F$205)*$BI$1</f>
        <v>1.4117647058823528</v>
      </c>
      <c r="BO1072" s="67">
        <f>(CK1072-Driver!$F$207)/(Driver!$G$207-Driver!$F$207)*$BI$1</f>
        <v>1.2306101344364011</v>
      </c>
      <c r="BP1072" s="67">
        <f>(CM1072-Driver!$F$208)/(Driver!$G$208-Driver!$F$208)*$BI$1</f>
        <v>1.7777777777777779</v>
      </c>
      <c r="BQ1072" s="67">
        <f>(CL1072-Driver!$F$209)/(Driver!$G$209-Driver!$F$209)*$BI$1</f>
        <v>2.03125</v>
      </c>
      <c r="BR1072" s="28" t="s">
        <v>155</v>
      </c>
      <c r="BS1072" s="8" t="s">
        <v>164</v>
      </c>
      <c r="BT1072" s="9" t="s">
        <v>635</v>
      </c>
      <c r="BU1072" s="10">
        <v>164</v>
      </c>
      <c r="BV1072" s="9" t="s">
        <v>158</v>
      </c>
      <c r="BW1072" s="10">
        <v>164</v>
      </c>
      <c r="BX1072" s="10">
        <v>163.80000000000001</v>
      </c>
      <c r="BY1072" s="10">
        <v>125</v>
      </c>
      <c r="BZ1072" s="10">
        <v>134</v>
      </c>
      <c r="CA1072" s="10">
        <v>129</v>
      </c>
      <c r="CB1072" s="10">
        <v>87</v>
      </c>
      <c r="CC1072" s="10">
        <v>104</v>
      </c>
      <c r="CD1072" s="10">
        <v>14.2</v>
      </c>
      <c r="CE1072" s="10">
        <v>1383</v>
      </c>
      <c r="CF1072" s="10">
        <v>1.19</v>
      </c>
      <c r="CG1072" s="10">
        <v>1644</v>
      </c>
      <c r="CH1072" s="10">
        <v>136</v>
      </c>
      <c r="CI1072" s="10">
        <v>57</v>
      </c>
      <c r="CJ1072" s="10">
        <v>48</v>
      </c>
      <c r="CK1072" s="10">
        <v>229</v>
      </c>
      <c r="CL1072" s="10">
        <v>13</v>
      </c>
      <c r="CM1072" s="10">
        <v>160</v>
      </c>
      <c r="CN1072" s="10">
        <v>0.26300000000000001</v>
      </c>
      <c r="CO1072" s="10">
        <v>159</v>
      </c>
      <c r="CP1072" s="10">
        <v>141</v>
      </c>
      <c r="CQ1072" s="10">
        <v>70</v>
      </c>
      <c r="CR1072" s="10">
        <v>5</v>
      </c>
      <c r="CS1072" s="10">
        <v>9.6</v>
      </c>
      <c r="CT1072" s="9" t="s">
        <v>188</v>
      </c>
      <c r="CU1072" s="9" t="s">
        <v>185</v>
      </c>
      <c r="CV1072" s="10"/>
      <c r="CW1072" s="10"/>
      <c r="CX1072" t="str">
        <f>INDEX('Data_Price '!AG$2:AG$1266,MATCH(Data!$DN1072,'Data_Price '!$AT$2:$AT$1266,0))</f>
        <v>Elan Ripstick 88 PS Blue-Red 164 Ski Men</v>
      </c>
      <c r="CY1072" t="str">
        <f>INDEX('Data_Price '!AH$2:AH$1266,MATCH(Data!$DN1072,'Data_Price '!$AT$2:$AT$1266,0))</f>
        <v>! OutdoorXL.com</v>
      </c>
      <c r="CZ1072">
        <f>INDEX('Data_Price '!AI$2:AI$1266,MATCH(Data!$DN1072,'Data_Price '!$AT$2:$AT$1266,0))</f>
        <v>509.95</v>
      </c>
      <c r="DA1072" t="str">
        <f>INDEX('Data_Price '!AJ$2:AJ$1266,MATCH(Data!$DN1072,'Data_Price '!$AT$2:$AT$1266,0))</f>
        <v>https://tinyurl.com/y8p8dcgs</v>
      </c>
      <c r="DB1072" t="str">
        <f>INDEX('Data_Price '!AK$2:AK$1266,MATCH(Data!$DN1072,'Data_Price '!$AT$2:$AT$1266,0))</f>
        <v>2023 Elan Ripstick Tour 94 Skis w/ ATK C-Raider 12 Bindings - 164| Ski Essentials</v>
      </c>
      <c r="DC1072" t="str">
        <f>INDEX('Data_Price '!AL$2:AL$1266,MATCH(Data!$DN1072,'Data_Price '!$AT$2:$AT$1266,0))</f>
        <v>SkiEssentials.com</v>
      </c>
      <c r="DD1072">
        <f>INDEX('Data_Price '!AM$2:AM$1266,MATCH(Data!$DN1072,'Data_Price '!$AT$2:$AT$1266,0))</f>
        <v>1444.95</v>
      </c>
      <c r="DE1072" t="str">
        <f>INDEX('Data_Price '!AN$2:AN$1266,MATCH(Data!$DN1072,'Data_Price '!$AT$2:$AT$1266,0))</f>
        <v>https://tinyurl.com/yb84qqw3</v>
      </c>
      <c r="DF1072" t="str">
        <f>INDEX('Data_Price '!AO$2:AO$1266,MATCH(Data!$DN1072,'Data_Price '!$AT$2:$AT$1266,0))</f>
        <v>Elan Ripstick 96 Skis</v>
      </c>
      <c r="DG1072" t="str">
        <f>INDEX('Data_Price '!AP$2:AP$1266,MATCH(Data!$DN1072,'Data_Price '!$AT$2:$AT$1266,0))</f>
        <v>eBay - cashinwhi</v>
      </c>
      <c r="DH1072">
        <f>INDEX('Data_Price '!AQ$2:AQ$1266,MATCH(Data!$DN1072,'Data_Price '!$AT$2:$AT$1266,0))</f>
        <v>439.62</v>
      </c>
      <c r="DI1072" t="str">
        <f>INDEX('Data_Price '!AR$2:AR$1266,MATCH(Data!$DN1072,'Data_Price '!$AT$2:$AT$1266,0))</f>
        <v>https://tinyurl.com/y8or8hec</v>
      </c>
      <c r="DJ1072" s="89" t="str">
        <f t="shared" si="624"/>
        <v>https://tinyurl.com/y8p8dcgs</v>
      </c>
      <c r="DK1072" s="89" t="str">
        <f t="shared" si="625"/>
        <v>https://tinyurl.com/yb84qqw3</v>
      </c>
      <c r="DL1072" s="89" t="str">
        <f t="shared" si="626"/>
        <v>https://tinyurl.com/y8or8hec</v>
      </c>
      <c r="DM1072" s="219" t="str">
        <f t="shared" si="627"/>
        <v>Ripstick 88</v>
      </c>
      <c r="DN1072" s="89" t="str">
        <f t="shared" si="628"/>
        <v xml:space="preserve"> ElanRipstick 88164 Unisex</v>
      </c>
      <c r="DO1072" s="221" t="s">
        <v>636</v>
      </c>
    </row>
    <row r="1073" spans="2:119" ht="15.6" customHeight="1">
      <c r="B1073" s="219" t="b">
        <f t="array" ref="B1073">IF(OR(ISERROR(K1073:P1073)),FALSE,TRUE)</f>
        <v>1</v>
      </c>
      <c r="C1073" s="43" t="b">
        <f>OR(BR1073=Driver!$G$50,Data!BR366=Driver!$H$50)</f>
        <v>1</v>
      </c>
      <c r="D1073" s="43" t="b">
        <f>OR(BV1073=Driver!$G$51,BV1073=Driver!$H$51)</f>
        <v>1</v>
      </c>
      <c r="E1073" s="43" t="b">
        <f>AND(BX1073&gt;Driver!$F$54,BX1073&lt;Driver!$G$54)</f>
        <v>1</v>
      </c>
      <c r="F1073" s="43" t="b">
        <f>CL1073&gt;Driver!$F$56</f>
        <v>1</v>
      </c>
      <c r="G1073" s="43" t="b">
        <f>AND(CB1073&gt;Driver!$F$55,CB1073&lt;Driver!$G$55)</f>
        <v>0</v>
      </c>
      <c r="H1073" s="43" t="b">
        <f t="shared" si="592"/>
        <v>0</v>
      </c>
      <c r="I1073" s="43">
        <f t="shared" si="593"/>
        <v>0</v>
      </c>
      <c r="J1073" s="43" t="b">
        <f t="array" ref="J1073">NOT(OR(($H$9:$H$1273=TRUE)*($I$9:$I$1273&gt;0)*($BT$9:$BT$1273=BT1073)*($K$9:$K$1273&gt;K1073)))</f>
        <v>1</v>
      </c>
      <c r="K1073" s="72">
        <f t="shared" si="594"/>
        <v>0.90766982365991467</v>
      </c>
      <c r="L1073" s="72">
        <f t="shared" si="595"/>
        <v>0.87776028614877166</v>
      </c>
      <c r="M1073" s="72">
        <f t="shared" si="596"/>
        <v>0.93757936117105778</v>
      </c>
      <c r="N1073" s="72">
        <f t="shared" si="597"/>
        <v>0.89831223628691981</v>
      </c>
      <c r="O1073" s="72">
        <f t="shared" si="598"/>
        <v>0.98237074670503233</v>
      </c>
      <c r="P1073" s="72">
        <f t="shared" si="599"/>
        <v>0.9320551005212212</v>
      </c>
      <c r="Q1073" s="72"/>
      <c r="R1073" s="72"/>
      <c r="S1073" s="72">
        <f t="shared" si="600"/>
        <v>0.46057058482708635</v>
      </c>
      <c r="T1073" s="72">
        <f t="shared" si="601"/>
        <v>0.46639030920574276</v>
      </c>
      <c r="U1073" s="72">
        <f t="shared" si="602"/>
        <v>0.51</v>
      </c>
      <c r="V1073" s="72">
        <f t="shared" si="603"/>
        <v>0.5038589743505868</v>
      </c>
      <c r="W1073" s="72">
        <f t="shared" si="604"/>
        <v>0.84903244166192371</v>
      </c>
      <c r="X1073" s="72">
        <f t="shared" si="605"/>
        <v>0.12223971385122837</v>
      </c>
      <c r="Y1073" s="72">
        <f t="shared" si="606"/>
        <v>6.2420638828942242E-2</v>
      </c>
      <c r="Z1073" s="72">
        <f t="shared" si="607"/>
        <v>0.10168776371308018</v>
      </c>
      <c r="AA1073" s="72">
        <f t="shared" si="608"/>
        <v>1.7629253294967673E-2</v>
      </c>
      <c r="AB1073" s="72">
        <f t="shared" si="609"/>
        <v>6.7944899478778853E-2</v>
      </c>
      <c r="AC1073" s="72"/>
      <c r="AD1073" s="72"/>
      <c r="AE1073" s="72">
        <f t="shared" si="610"/>
        <v>0.53942941517291365</v>
      </c>
      <c r="AF1073" s="72">
        <f t="shared" si="611"/>
        <v>0.53360969079425724</v>
      </c>
      <c r="AG1073" s="72">
        <f t="shared" si="612"/>
        <v>0.49</v>
      </c>
      <c r="AH1073" s="72">
        <f t="shared" si="613"/>
        <v>0.4961410256494132</v>
      </c>
      <c r="AI1073" s="72">
        <f t="shared" si="614"/>
        <v>0.15096755833807629</v>
      </c>
      <c r="AJ1073" s="72">
        <f>(AV1073-Driver!$K$179)/(Driver!$L$179-Driver!$K$179)</f>
        <v>0.13197969543147206</v>
      </c>
      <c r="AK1073" s="72">
        <f>(AW1073-Driver!$K$180)/(Driver!$L$180-Driver!$K$180)</f>
        <v>0.1706481469254999</v>
      </c>
      <c r="AL1073" s="72">
        <f>(AX1073-Driver!$K$181)/(Driver!$L$181-Driver!$K$181)</f>
        <v>0</v>
      </c>
      <c r="AM1073" s="72">
        <f>(AY1073-Driver!$K$182)/(Driver!$L$182-Driver!$K$182)</f>
        <v>0.42975576780207869</v>
      </c>
      <c r="AN1073" s="72">
        <f>(AZ1073-Driver!$K$183)/(Driver!$L$183-Driver!$K$183)</f>
        <v>0.18627450980392157</v>
      </c>
      <c r="AO1073" s="72"/>
      <c r="AP1073" s="72"/>
      <c r="AQ1073" s="72">
        <f>(BC1073-Driver!$K$188)/(Driver!$L$188-Driver!$K$188)</f>
        <v>8.0570584827086331E-2</v>
      </c>
      <c r="AR1073" s="72">
        <f>MIN((BD1073-Driver!$K$189)/(Driver!$L$189-Driver!$K$189),100%)</f>
        <v>1.6390309205742793E-2</v>
      </c>
      <c r="AS1073" s="72">
        <f>(BE1073-Driver!$K$190)/(Driver!$L$190-Driver!$K$190)</f>
        <v>1</v>
      </c>
      <c r="AT1073" s="72">
        <f>(BF1073-Driver!$K$191)/(Driver!$L$191-Driver!$K$191)</f>
        <v>1.385897435058683E-2</v>
      </c>
      <c r="AU1073" s="72">
        <f>(BG1073-Driver!$K$192)/(Driver!$L$192-Driver!$K$192)</f>
        <v>9.9032441661923723E-2</v>
      </c>
      <c r="AV1073" s="70">
        <f t="shared" si="615"/>
        <v>2.7777777777777777</v>
      </c>
      <c r="AW1073" s="70">
        <f t="shared" si="616"/>
        <v>18.503066635753076</v>
      </c>
      <c r="AX1073" s="70">
        <f t="shared" si="617"/>
        <v>1</v>
      </c>
      <c r="AY1073" s="70">
        <f>IFERROR(Driver!$K$19/Data!BH1073/Data!BI1073*Data!BK1073*Data!BL1073,"")</f>
        <v>0.52614928653490733</v>
      </c>
      <c r="AZ1073" s="70">
        <f t="shared" si="618"/>
        <v>16.976917349218169</v>
      </c>
      <c r="BA1073" s="70"/>
      <c r="BB1073" s="70"/>
      <c r="BC1073" s="70">
        <f t="shared" si="619"/>
        <v>41.792522467428284</v>
      </c>
      <c r="BD1073" s="70">
        <f t="shared" si="620"/>
        <v>3.1713362068965516</v>
      </c>
      <c r="BE1073" s="70">
        <f t="shared" si="621"/>
        <v>1</v>
      </c>
      <c r="BF1073" s="70">
        <f t="shared" si="622"/>
        <v>1.5652737880935057</v>
      </c>
      <c r="BG1073" s="70">
        <f t="shared" si="623"/>
        <v>0.375</v>
      </c>
      <c r="BH1073" s="67">
        <f>MAX((CE1073-Driver!$F$200)/(Driver!$G$200-Driver!$F$200)*$BI$1,1)</f>
        <v>1</v>
      </c>
      <c r="BI1073" s="67">
        <f>MAX($BI$1*(BY1073-Driver!$F$201)/(Driver!$G$201-Driver!$F$201),1)</f>
        <v>7.2151898734177218</v>
      </c>
      <c r="BJ1073" s="67">
        <f>(CB1073-Driver!$F$206)/(Driver!$G$206-Driver!$F$206)*$BI$1</f>
        <v>2.2222222222222223</v>
      </c>
      <c r="BK1073" s="67">
        <f>(CD1073-Driver!$F$203)/(Driver!$G$203-Driver!$F$203)*$BI$1</f>
        <v>3.6697247706422016</v>
      </c>
      <c r="BL1073" s="67">
        <f>MAX((CR1073-Driver!$F$202)/(Driver!$G$202-Driver!$F$202)*$BI$1,1)</f>
        <v>5.1724137931034484</v>
      </c>
      <c r="BM1073" s="67">
        <f>MAX((CH1073-Driver!$F$204)/(Driver!$G$204-Driver!$F$204)*$BI$1,1)</f>
        <v>5</v>
      </c>
      <c r="BN1073" s="67">
        <f>(CI1073-Driver!$F$205)/(Driver!$G$205-Driver!$F$205)*$BI$1</f>
        <v>2.3529411764705883</v>
      </c>
      <c r="BO1073" s="67">
        <f>(CK1073-Driver!$F$207)/(Driver!$G$207-Driver!$F$207)*$BI$1</f>
        <v>1.5305067218200621</v>
      </c>
      <c r="BP1073" s="67">
        <f>(CM1073-Driver!$F$208)/(Driver!$G$208-Driver!$F$208)*$BI$1</f>
        <v>1.6888888888888889</v>
      </c>
      <c r="BQ1073" s="67">
        <f>(CL1073-Driver!$F$209)/(Driver!$G$209-Driver!$F$209)*$BI$1</f>
        <v>1.875</v>
      </c>
      <c r="BR1073" s="28" t="s">
        <v>155</v>
      </c>
      <c r="BS1073" s="8" t="s">
        <v>329</v>
      </c>
      <c r="BT1073" s="9" t="s">
        <v>570</v>
      </c>
      <c r="BU1073" s="10">
        <v>165</v>
      </c>
      <c r="BV1073" s="9" t="s">
        <v>158</v>
      </c>
      <c r="BW1073" s="10">
        <v>165</v>
      </c>
      <c r="BX1073" s="10">
        <v>162.9</v>
      </c>
      <c r="BY1073" s="10">
        <v>122</v>
      </c>
      <c r="BZ1073" s="10">
        <v>140</v>
      </c>
      <c r="CA1073" s="10">
        <v>114</v>
      </c>
      <c r="CB1073" s="10">
        <v>78</v>
      </c>
      <c r="CC1073" s="10">
        <v>98</v>
      </c>
      <c r="CD1073" s="10">
        <v>17.399999999999999</v>
      </c>
      <c r="CE1073" s="10">
        <v>1053</v>
      </c>
      <c r="CF1073" s="10">
        <v>1.37</v>
      </c>
      <c r="CG1073" s="10">
        <v>1440</v>
      </c>
      <c r="CH1073" s="10">
        <v>218</v>
      </c>
      <c r="CI1073" s="10">
        <v>73</v>
      </c>
      <c r="CJ1073" s="10">
        <v>58</v>
      </c>
      <c r="CK1073" s="10">
        <v>258</v>
      </c>
      <c r="CL1073" s="10">
        <v>12</v>
      </c>
      <c r="CM1073" s="10">
        <v>152</v>
      </c>
      <c r="CN1073" s="10">
        <v>0.19900000000000001</v>
      </c>
      <c r="CO1073" s="10">
        <v>135</v>
      </c>
      <c r="CP1073" s="10">
        <v>91</v>
      </c>
      <c r="CQ1073" s="10">
        <v>122</v>
      </c>
      <c r="CR1073" s="10">
        <v>4</v>
      </c>
      <c r="CS1073" s="10">
        <v>12.1</v>
      </c>
      <c r="CT1073" s="9" t="s">
        <v>185</v>
      </c>
      <c r="CU1073" s="9" t="s">
        <v>198</v>
      </c>
      <c r="CV1073" s="10"/>
      <c r="CW1073" s="10"/>
      <c r="CX1073" t="str">
        <f>INDEX('Data_Price '!AG$2:AG$1266,MATCH(Data!$DN1073,'Data_Price '!$AT$2:$AT$1266,0))</f>
        <v>Dynafit Blacklight 80</v>
      </c>
      <c r="CY1073" t="str">
        <f>INDEX('Data_Price '!AH$2:AH$1266,MATCH(Data!$DN1073,'Data_Price '!$AT$2:$AT$1266,0))</f>
        <v>eBay - backcountry</v>
      </c>
      <c r="CZ1073">
        <f>INDEX('Data_Price '!AI$2:AI$1266,MATCH(Data!$DN1073,'Data_Price '!$AT$2:$AT$1266,0))</f>
        <v>389.97</v>
      </c>
      <c r="DA1073" t="str">
        <f>INDEX('Data_Price '!AJ$2:AJ$1266,MATCH(Data!$DN1073,'Data_Price '!$AT$2:$AT$1266,0))</f>
        <v>https://tinyurl.com/y8o6c6d9</v>
      </c>
      <c r="DB1073" t="str">
        <f>INDEX('Data_Price '!AK$2:AK$1266,MATCH(Data!$DN1073,'Data_Price '!$AT$2:$AT$1266,0))</f>
        <v>Dynafit Blacklight 80</v>
      </c>
      <c r="DC1073" t="str">
        <f>INDEX('Data_Price '!AL$2:AL$1266,MATCH(Data!$DN1073,'Data_Price '!$AT$2:$AT$1266,0))</f>
        <v>Backcountry.com</v>
      </c>
      <c r="DD1073">
        <f>INDEX('Data_Price '!AM$2:AM$1266,MATCH(Data!$DN1073,'Data_Price '!$AT$2:$AT$1266,0))</f>
        <v>422.47</v>
      </c>
      <c r="DE1073" t="str">
        <f>INDEX('Data_Price '!AN$2:AN$1266,MATCH(Data!$DN1073,'Data_Price '!$AT$2:$AT$1266,0))</f>
        <v>https://tinyurl.com/ybynkyrr</v>
      </c>
      <c r="DF1073" t="str">
        <f>INDEX('Data_Price '!AO$2:AO$1266,MATCH(Data!$DN1073,'Data_Price '!$AT$2:$AT$1266,0))</f>
        <v>Dynafit Blacklight 80</v>
      </c>
      <c r="DG1073" t="str">
        <f>INDEX('Data_Price '!AP$2:AP$1266,MATCH(Data!$DN1073,'Data_Price '!$AT$2:$AT$1266,0))</f>
        <v>AlpinStore</v>
      </c>
      <c r="DH1073">
        <f>INDEX('Data_Price '!AQ$2:AQ$1266,MATCH(Data!$DN1073,'Data_Price '!$AT$2:$AT$1266,0))</f>
        <v>475.92</v>
      </c>
      <c r="DI1073" t="str">
        <f>INDEX('Data_Price '!AR$2:AR$1266,MATCH(Data!$DN1073,'Data_Price '!$AT$2:$AT$1266,0))</f>
        <v>https://tinyurl.com/ya8pnj9g</v>
      </c>
      <c r="DJ1073" s="89" t="str">
        <f t="shared" si="624"/>
        <v>https://tinyurl.com/y8o6c6d9</v>
      </c>
      <c r="DK1073" s="89" t="str">
        <f t="shared" si="625"/>
        <v>https://tinyurl.com/ybynkyrr</v>
      </c>
      <c r="DL1073" s="89" t="str">
        <f t="shared" si="626"/>
        <v>https://tinyurl.com/ya8pnj9g</v>
      </c>
      <c r="DM1073" s="219" t="str">
        <f t="shared" si="627"/>
        <v>Blacklight 80</v>
      </c>
      <c r="DN1073" s="89" t="str">
        <f t="shared" si="628"/>
        <v xml:space="preserve"> DynafitBlacklight 80165 Unisex</v>
      </c>
      <c r="DO1073" s="221"/>
    </row>
    <row r="1074" spans="2:119" ht="15.6" customHeight="1">
      <c r="B1074" s="219" t="b">
        <f t="array" ref="B1074">IF(OR(ISERROR(K1074:P1074)),FALSE,TRUE)</f>
        <v>1</v>
      </c>
      <c r="C1074" s="43" t="b">
        <f>OR(BR1074=Driver!$G$50,Data!BR276=Driver!$H$50)</f>
        <v>1</v>
      </c>
      <c r="D1074" s="43" t="b">
        <f>OR(BV1074=Driver!$G$51,BV1074=Driver!$H$51)</f>
        <v>1</v>
      </c>
      <c r="E1074" s="43" t="b">
        <f>AND(BX1074&gt;Driver!$F$54,BX1074&lt;Driver!$G$54)</f>
        <v>0</v>
      </c>
      <c r="F1074" s="43" t="b">
        <f>CL1074&gt;Driver!$F$56</f>
        <v>1</v>
      </c>
      <c r="G1074" s="43" t="b">
        <f>AND(CB1074&gt;Driver!$F$55,CB1074&lt;Driver!$G$55)</f>
        <v>0</v>
      </c>
      <c r="H1074" s="43" t="b">
        <f t="shared" si="592"/>
        <v>0</v>
      </c>
      <c r="I1074" s="43">
        <f t="shared" si="593"/>
        <v>0</v>
      </c>
      <c r="J1074" s="43" t="b">
        <f t="array" ref="J1074">NOT(OR(($H$9:$H$1273=TRUE)*($I$9:$I$1273&gt;0)*($BT$9:$BT$1273=BT1074)*($K$9:$K$1273&gt;K1074)))</f>
        <v>1</v>
      </c>
      <c r="K1074" s="72">
        <f t="shared" si="594"/>
        <v>0.77387366574968897</v>
      </c>
      <c r="L1074" s="72">
        <f t="shared" si="595"/>
        <v>0.9726760866483285</v>
      </c>
      <c r="M1074" s="72">
        <f t="shared" si="596"/>
        <v>0.57507124485104932</v>
      </c>
      <c r="N1074" s="72">
        <f t="shared" si="597"/>
        <v>0.39195526513596002</v>
      </c>
      <c r="O1074" s="72">
        <f t="shared" si="598"/>
        <v>0.63198023660507574</v>
      </c>
      <c r="P1074" s="72">
        <f t="shared" si="599"/>
        <v>0.7012782328121121</v>
      </c>
      <c r="Q1074" s="72"/>
      <c r="R1074" s="72"/>
      <c r="S1074" s="72">
        <f t="shared" si="600"/>
        <v>0.60417777947511686</v>
      </c>
      <c r="T1074" s="72">
        <f t="shared" si="601"/>
        <v>0.66061133460367505</v>
      </c>
      <c r="U1074" s="72">
        <f t="shared" si="602"/>
        <v>0.51</v>
      </c>
      <c r="V1074" s="72">
        <f t="shared" si="603"/>
        <v>0.49696620383698786</v>
      </c>
      <c r="W1074" s="72">
        <f t="shared" si="604"/>
        <v>0.7551055108821263</v>
      </c>
      <c r="X1074" s="72">
        <f t="shared" si="605"/>
        <v>2.732391335167153E-2</v>
      </c>
      <c r="Y1074" s="72">
        <f t="shared" si="606"/>
        <v>0.42492875514895068</v>
      </c>
      <c r="Z1074" s="72">
        <f t="shared" si="607"/>
        <v>0.60804473486403998</v>
      </c>
      <c r="AA1074" s="72">
        <f t="shared" si="608"/>
        <v>0.36801976339492426</v>
      </c>
      <c r="AB1074" s="72">
        <f t="shared" si="609"/>
        <v>0.29872176718788784</v>
      </c>
      <c r="AC1074" s="72"/>
      <c r="AD1074" s="72"/>
      <c r="AE1074" s="72">
        <f t="shared" si="610"/>
        <v>0.39582222052488319</v>
      </c>
      <c r="AF1074" s="72">
        <f t="shared" si="611"/>
        <v>0.33938866539632495</v>
      </c>
      <c r="AG1074" s="72">
        <f t="shared" si="612"/>
        <v>0.49</v>
      </c>
      <c r="AH1074" s="72">
        <f t="shared" si="613"/>
        <v>0.50303379616301214</v>
      </c>
      <c r="AI1074" s="72">
        <f t="shared" si="614"/>
        <v>0.24489448911787365</v>
      </c>
      <c r="AJ1074" s="72">
        <f>(AV1074-Driver!$K$179)/(Driver!$L$179-Driver!$K$179)</f>
        <v>0.2268954959310289</v>
      </c>
      <c r="AK1074" s="72">
        <f>(AW1074-Driver!$K$180)/(Driver!$L$180-Driver!$K$180)</f>
        <v>0.57467843325540557</v>
      </c>
      <c r="AL1074" s="72">
        <f>(AX1074-Driver!$K$181)/(Driver!$L$181-Driver!$K$181)</f>
        <v>0.70973249857712017</v>
      </c>
      <c r="AM1074" s="72">
        <f>(AY1074-Driver!$K$182)/(Driver!$L$182-Driver!$K$182)</f>
        <v>7.9365257702122105E-2</v>
      </c>
      <c r="AN1074" s="72">
        <f>(AZ1074-Driver!$K$183)/(Driver!$L$183-Driver!$K$183)</f>
        <v>0.55294117647058827</v>
      </c>
      <c r="AO1074" s="72"/>
      <c r="AP1074" s="72"/>
      <c r="AQ1074" s="72">
        <f>(BC1074-Driver!$K$188)/(Driver!$L$188-Driver!$K$188)</f>
        <v>0.2241777794751168</v>
      </c>
      <c r="AR1074" s="72">
        <f>MIN((BD1074-Driver!$K$189)/(Driver!$L$189-Driver!$K$189),100%)</f>
        <v>0.21061133460367512</v>
      </c>
      <c r="AS1074" s="72">
        <f>(BE1074-Driver!$K$190)/(Driver!$L$190-Driver!$K$190)</f>
        <v>1</v>
      </c>
      <c r="AT1074" s="72">
        <f>(BF1074-Driver!$K$191)/(Driver!$L$191-Driver!$K$191)</f>
        <v>6.966203836987853E-3</v>
      </c>
      <c r="AU1074" s="72">
        <f>(BG1074-Driver!$K$192)/(Driver!$L$192-Driver!$K$192)</f>
        <v>5.1055108821263474E-3</v>
      </c>
      <c r="AV1074" s="70">
        <f t="shared" si="615"/>
        <v>4.7754714421381088</v>
      </c>
      <c r="AW1074" s="70">
        <f t="shared" si="616"/>
        <v>57.879398111134357</v>
      </c>
      <c r="AX1074" s="70">
        <f t="shared" si="617"/>
        <v>7.3875924871940812</v>
      </c>
      <c r="AY1074" s="70">
        <f>IFERROR(Driver!$K$19/Data!BH1074/Data!BI1074*Data!BK1074*Data!BL1074,"")</f>
        <v>9.716675573476416E-2</v>
      </c>
      <c r="AZ1074" s="70">
        <f t="shared" si="618"/>
        <v>50.394638868205512</v>
      </c>
      <c r="BA1074" s="70"/>
      <c r="BB1074" s="70"/>
      <c r="BC1074" s="70">
        <f t="shared" si="619"/>
        <v>116.28257267238222</v>
      </c>
      <c r="BD1074" s="70">
        <f t="shared" si="620"/>
        <v>20.359552815320352</v>
      </c>
      <c r="BE1074" s="70">
        <f t="shared" si="621"/>
        <v>1</v>
      </c>
      <c r="BF1074" s="70">
        <f t="shared" si="622"/>
        <v>0.78678378303599228</v>
      </c>
      <c r="BG1074" s="70">
        <f t="shared" si="623"/>
        <v>1.9332721163568951E-2</v>
      </c>
      <c r="BH1074" s="67">
        <f>MAX((CE1074-Driver!$F$200)/(Driver!$G$200-Driver!$F$200)*$BI$1,1)</f>
        <v>7.3875924871940812</v>
      </c>
      <c r="BI1074" s="67">
        <f>MAX($BI$1*(BY1074-Driver!$F$201)/(Driver!$G$201-Driver!$F$201),1)</f>
        <v>9.113924050632912</v>
      </c>
      <c r="BJ1074" s="67">
        <f>(CB1074-Driver!$F$206)/(Driver!$G$206-Driver!$F$206)*$BI$1</f>
        <v>3.4920634920634921</v>
      </c>
      <c r="BK1074" s="67">
        <f>(CD1074-Driver!$F$203)/(Driver!$G$203-Driver!$F$203)*$BI$1</f>
        <v>4.3119266055045884</v>
      </c>
      <c r="BL1074" s="67">
        <f>MAX((CR1074-Driver!$F$202)/(Driver!$G$202-Driver!$F$202)*$BI$1,1)</f>
        <v>7.5862068965517242</v>
      </c>
      <c r="BM1074" s="67">
        <f>MAX((CH1074-Driver!$F$204)/(Driver!$G$204-Driver!$F$204)*$BI$1,1)</f>
        <v>5.4700854700854702</v>
      </c>
      <c r="BN1074" s="67">
        <f>(CI1074-Driver!$F$205)/(Driver!$G$205-Driver!$F$205)*$BI$1</f>
        <v>5.5294117647058822</v>
      </c>
      <c r="BO1074" s="67">
        <f>(CK1074-Driver!$F$207)/(Driver!$G$207-Driver!$F$207)*$BI$1</f>
        <v>0.98241985522233721</v>
      </c>
      <c r="BP1074" s="67">
        <f>(CM1074-Driver!$F$208)/(Driver!$G$208-Driver!$F$208)*$BI$1</f>
        <v>0.98888888888888893</v>
      </c>
      <c r="BQ1074" s="67">
        <f>(CL1074-Driver!$F$209)/(Driver!$G$209-Driver!$F$209)*$BI$1</f>
        <v>0.78125</v>
      </c>
      <c r="BR1074" s="28" t="s">
        <v>155</v>
      </c>
      <c r="BS1074" s="8" t="s">
        <v>317</v>
      </c>
      <c r="BT1074" s="9" t="s">
        <v>630</v>
      </c>
      <c r="BU1074" s="10">
        <v>183</v>
      </c>
      <c r="BV1074" s="9" t="s">
        <v>158</v>
      </c>
      <c r="BW1074" s="10">
        <v>183</v>
      </c>
      <c r="BX1074" s="10">
        <v>181.8</v>
      </c>
      <c r="BY1074" s="10">
        <v>152</v>
      </c>
      <c r="BZ1074" s="10">
        <v>159</v>
      </c>
      <c r="CA1074" s="10">
        <v>128</v>
      </c>
      <c r="CB1074" s="10">
        <v>86</v>
      </c>
      <c r="CC1074" s="10">
        <v>110</v>
      </c>
      <c r="CD1074" s="10">
        <v>18.8</v>
      </c>
      <c r="CE1074" s="10">
        <v>2198</v>
      </c>
      <c r="CF1074" s="10">
        <v>0.82</v>
      </c>
      <c r="CG1074" s="10">
        <v>1796</v>
      </c>
      <c r="CH1074" s="10">
        <v>229</v>
      </c>
      <c r="CI1074" s="10">
        <v>127</v>
      </c>
      <c r="CJ1074" s="10">
        <v>51</v>
      </c>
      <c r="CK1074" s="10">
        <v>205</v>
      </c>
      <c r="CL1074" s="10">
        <v>5</v>
      </c>
      <c r="CM1074" s="10">
        <v>89</v>
      </c>
      <c r="CN1074" s="10">
        <v>9.5000000000000001E-2</v>
      </c>
      <c r="CO1074" s="10">
        <v>122</v>
      </c>
      <c r="CP1074" s="10">
        <v>106</v>
      </c>
      <c r="CQ1074" s="10">
        <v>83</v>
      </c>
      <c r="CR1074" s="10">
        <v>11</v>
      </c>
      <c r="CS1074" s="10">
        <v>11.1</v>
      </c>
      <c r="CT1074" s="9" t="s">
        <v>188</v>
      </c>
      <c r="CU1074" s="10"/>
      <c r="CV1074" s="10"/>
      <c r="CW1074" s="10"/>
      <c r="CX1074" t="str">
        <f>INDEX('Data_Price '!AG$2:AG$1266,MATCH(Data!$DN1074,'Data_Price '!$AT$2:$AT$1266,0))</f>
        <v>2021 Blizzard Brahma 88 with Marker Griffon Bindings - 183cm - DEMO SKIS</v>
      </c>
      <c r="CY1074" t="str">
        <f>INDEX('Data_Price '!AH$2:AH$1266,MATCH(Data!$DN1074,'Data_Price '!$AT$2:$AT$1266,0))</f>
        <v>Race Room Skis</v>
      </c>
      <c r="CZ1074">
        <f>INDEX('Data_Price '!AI$2:AI$1266,MATCH(Data!$DN1074,'Data_Price '!$AT$2:$AT$1266,0))</f>
        <v>499</v>
      </c>
      <c r="DA1074" t="str">
        <f>INDEX('Data_Price '!AJ$2:AJ$1266,MATCH(Data!$DN1074,'Data_Price '!$AT$2:$AT$1266,0))</f>
        <v>https://tinyurl.com/yb6hp469</v>
      </c>
      <c r="DB1074" t="str">
        <f>INDEX('Data_Price '!AK$2:AK$1266,MATCH(Data!$DN1074,'Data_Price '!$AT$2:$AT$1266,0))</f>
        <v>Blizzard Brahma 88 Limited Edition Topsheet Skis w Marker Griffon 13 GW Demo Bindings  Demo</v>
      </c>
      <c r="DC1074" t="str">
        <f>INDEX('Data_Price '!AL$2:AL$1266,MATCH(Data!$DN1074,'Data_Price '!$AT$2:$AT$1266,0))</f>
        <v>Powder7 Ski Shop</v>
      </c>
      <c r="DD1074">
        <f>INDEX('Data_Price '!AM$2:AM$1266,MATCH(Data!$DN1074,'Data_Price '!$AT$2:$AT$1266,0))</f>
        <v>549.99</v>
      </c>
      <c r="DE1074" t="str">
        <f>INDEX('Data_Price '!AN$2:AN$1266,MATCH(Data!$DN1074,'Data_Price '!$AT$2:$AT$1266,0))</f>
        <v>https://tinyurl.com/y8rhx9gy</v>
      </c>
      <c r="DF1074" t="str">
        <f>INDEX('Data_Price '!AO$2:AO$1266,MATCH(Data!$DN1074,'Data_Price '!$AT$2:$AT$1266,0))</f>
        <v>Blizzard Brahma 88 Skis</v>
      </c>
      <c r="DG1074" t="str">
        <f>INDEX('Data_Price '!AP$2:AP$1266,MATCH(Data!$DN1074,'Data_Price '!$AT$2:$AT$1266,0))</f>
        <v>Ski Pro  - Snow Ski &amp; Snowboard</v>
      </c>
      <c r="DH1074">
        <f>INDEX('Data_Price '!AQ$2:AQ$1266,MATCH(Data!$DN1074,'Data_Price '!$AT$2:$AT$1266,0))</f>
        <v>559.95000000000005</v>
      </c>
      <c r="DI1074" t="str">
        <f>INDEX('Data_Price '!AR$2:AR$1266,MATCH(Data!$DN1074,'Data_Price '!$AT$2:$AT$1266,0))</f>
        <v>https://tinyurl.com/ybchry82</v>
      </c>
      <c r="DJ1074" s="89" t="str">
        <f t="shared" si="624"/>
        <v>https://tinyurl.com/yb6hp469</v>
      </c>
      <c r="DK1074" s="89" t="str">
        <f t="shared" si="625"/>
        <v>https://tinyurl.com/y8rhx9gy</v>
      </c>
      <c r="DL1074" s="89" t="str">
        <f t="shared" si="626"/>
        <v>https://tinyurl.com/ybchry82</v>
      </c>
      <c r="DM1074" s="219" t="str">
        <f t="shared" si="627"/>
        <v>Brahma 88</v>
      </c>
      <c r="DN1074" s="89" t="str">
        <f t="shared" si="628"/>
        <v xml:space="preserve"> BlizzardBrahma 88183 Unisex</v>
      </c>
      <c r="DO1074" s="221"/>
    </row>
    <row r="1075" spans="2:119" ht="15.6" customHeight="1">
      <c r="B1075" s="219" t="b">
        <f t="array" ref="B1075">IF(OR(ISERROR(K1075:P1075)),FALSE,TRUE)</f>
        <v>1</v>
      </c>
      <c r="C1075" s="43" t="b">
        <f>OR(BR1075=Driver!$G$50,Data!BR664=Driver!$H$50)</f>
        <v>1</v>
      </c>
      <c r="D1075" s="43" t="b">
        <f>OR(BV1075=Driver!$G$51,BV1075=Driver!$H$51)</f>
        <v>1</v>
      </c>
      <c r="E1075" s="43" t="b">
        <f>AND(BX1075&gt;Driver!$F$54,BX1075&lt;Driver!$G$54)</f>
        <v>1</v>
      </c>
      <c r="F1075" s="43" t="b">
        <f>CL1075&gt;Driver!$F$56</f>
        <v>1</v>
      </c>
      <c r="G1075" s="43" t="b">
        <f>AND(CB1075&gt;Driver!$F$55,CB1075&lt;Driver!$G$55)</f>
        <v>0</v>
      </c>
      <c r="H1075" s="43" t="b">
        <f t="shared" si="592"/>
        <v>0</v>
      </c>
      <c r="I1075" s="43">
        <f t="shared" si="593"/>
        <v>0</v>
      </c>
      <c r="J1075" s="43" t="b">
        <f t="array" ref="J1075">NOT(OR(($H$9:$H$1273=TRUE)*($I$9:$I$1273&gt;0)*($BT$9:$BT$1273=BT1075)*($K$9:$K$1273&gt;K1075)))</f>
        <v>1</v>
      </c>
      <c r="K1075" s="72">
        <f t="shared" si="594"/>
        <v>0.69299707679728106</v>
      </c>
      <c r="L1075" s="72">
        <f t="shared" si="595"/>
        <v>0.7672937645147373</v>
      </c>
      <c r="M1075" s="72">
        <f t="shared" si="596"/>
        <v>0.61870038907982483</v>
      </c>
      <c r="N1075" s="72">
        <f t="shared" si="597"/>
        <v>0.36982157766362722</v>
      </c>
      <c r="O1075" s="72">
        <f t="shared" si="598"/>
        <v>0.58978076852844086</v>
      </c>
      <c r="P1075" s="72">
        <f t="shared" si="599"/>
        <v>0.8964988210474063</v>
      </c>
      <c r="Q1075" s="72"/>
      <c r="R1075" s="72"/>
      <c r="S1075" s="72">
        <f t="shared" si="600"/>
        <v>0.54712461425739112</v>
      </c>
      <c r="T1075" s="72">
        <f t="shared" si="601"/>
        <v>0.55000000000000004</v>
      </c>
      <c r="U1075" s="72">
        <f t="shared" si="602"/>
        <v>0.51</v>
      </c>
      <c r="V1075" s="72">
        <f t="shared" si="603"/>
        <v>0.49025980296359306</v>
      </c>
      <c r="W1075" s="72">
        <f t="shared" si="604"/>
        <v>0.75428997698862921</v>
      </c>
      <c r="X1075" s="72">
        <f t="shared" si="605"/>
        <v>0.23270623548526267</v>
      </c>
      <c r="Y1075" s="72">
        <f t="shared" si="606"/>
        <v>0.38129961092017517</v>
      </c>
      <c r="Z1075" s="72">
        <f t="shared" si="607"/>
        <v>0.63017842233637278</v>
      </c>
      <c r="AA1075" s="72">
        <f t="shared" si="608"/>
        <v>0.41021923147155909</v>
      </c>
      <c r="AB1075" s="72">
        <f t="shared" si="609"/>
        <v>0.10350117895259375</v>
      </c>
      <c r="AC1075" s="72"/>
      <c r="AD1075" s="72"/>
      <c r="AE1075" s="72">
        <f t="shared" si="610"/>
        <v>0.45287538574260888</v>
      </c>
      <c r="AF1075" s="72">
        <f t="shared" si="611"/>
        <v>0.44999999999999996</v>
      </c>
      <c r="AG1075" s="72">
        <f t="shared" si="612"/>
        <v>0.49</v>
      </c>
      <c r="AH1075" s="72">
        <f t="shared" si="613"/>
        <v>0.50974019703640694</v>
      </c>
      <c r="AI1075" s="72">
        <f t="shared" si="614"/>
        <v>0.24571002301137082</v>
      </c>
      <c r="AJ1075" s="72">
        <f>(AV1075-Driver!$K$179)/(Driver!$L$179-Driver!$K$179)</f>
        <v>2.1513173797437755E-2</v>
      </c>
      <c r="AK1075" s="72">
        <f>(AW1075-Driver!$K$180)/(Driver!$L$180-Driver!$K$180)</f>
        <v>0.39363057847291766</v>
      </c>
      <c r="AL1075" s="72">
        <f>(AX1075-Driver!$K$181)/(Driver!$L$181-Driver!$K$181)</f>
        <v>0.73186618604945297</v>
      </c>
      <c r="AM1075" s="72">
        <f>(AY1075-Driver!$K$182)/(Driver!$L$182-Driver!$K$182)</f>
        <v>3.7165789625487278E-2</v>
      </c>
      <c r="AN1075" s="72">
        <f>(AZ1075-Driver!$K$183)/(Driver!$L$183-Driver!$K$183)</f>
        <v>0.35772058823529418</v>
      </c>
      <c r="AO1075" s="72"/>
      <c r="AP1075" s="72"/>
      <c r="AQ1075" s="72">
        <f>(BC1075-Driver!$K$188)/(Driver!$L$188-Driver!$K$188)</f>
        <v>0.16712461425739111</v>
      </c>
      <c r="AR1075" s="72">
        <f>MIN((BD1075-Driver!$K$189)/(Driver!$L$189-Driver!$K$189),100%)</f>
        <v>1</v>
      </c>
      <c r="AS1075" s="72">
        <f>(BE1075-Driver!$K$190)/(Driver!$L$190-Driver!$K$190)</f>
        <v>1</v>
      </c>
      <c r="AT1075" s="72">
        <f>(BF1075-Driver!$K$191)/(Driver!$L$191-Driver!$K$191)</f>
        <v>2.5980296359309795E-4</v>
      </c>
      <c r="AU1075" s="72">
        <f>(BG1075-Driver!$K$192)/(Driver!$L$192-Driver!$K$192)</f>
        <v>4.2899769886291786E-3</v>
      </c>
      <c r="AV1075" s="70">
        <f t="shared" si="615"/>
        <v>0.45278795278795275</v>
      </c>
      <c r="AW1075" s="70">
        <f t="shared" si="616"/>
        <v>40.234680415390017</v>
      </c>
      <c r="AX1075" s="70">
        <f t="shared" si="617"/>
        <v>7.5867956744450771</v>
      </c>
      <c r="AY1075" s="70">
        <f>IFERROR(Driver!$K$19/Data!BH1075/Data!BI1075*Data!BK1075*Data!BL1075,"")</f>
        <v>4.5502015702933885E-2</v>
      </c>
      <c r="AZ1075" s="70">
        <f t="shared" si="618"/>
        <v>32.602382725242002</v>
      </c>
      <c r="BA1075" s="70"/>
      <c r="BB1075" s="70"/>
      <c r="BC1075" s="70">
        <f t="shared" si="619"/>
        <v>86.688699246778015</v>
      </c>
      <c r="BD1075" s="70">
        <f t="shared" si="620"/>
        <v>273.31381106872249</v>
      </c>
      <c r="BE1075" s="70">
        <f t="shared" si="621"/>
        <v>1</v>
      </c>
      <c r="BF1075" s="70">
        <f t="shared" si="622"/>
        <v>2.9342919518720968E-2</v>
      </c>
      <c r="BG1075" s="70">
        <f t="shared" si="623"/>
        <v>1.6244589588408336E-2</v>
      </c>
      <c r="BH1075" s="67">
        <f>MAX((CE1075-Driver!$F$200)/(Driver!$G$200-Driver!$F$200)*$BI$1,1)</f>
        <v>7.5867956744450771</v>
      </c>
      <c r="BI1075" s="67">
        <f>MAX($BI$1*(BY1075-Driver!$F$201)/(Driver!$G$201-Driver!$F$201),1)</f>
        <v>8.7974683544303804</v>
      </c>
      <c r="BJ1075" s="67">
        <f>(CB1075-Driver!$F$206)/(Driver!$G$206-Driver!$F$206)*$BI$1</f>
        <v>0.47619047619047616</v>
      </c>
      <c r="BK1075" s="67">
        <f>(CD1075-Driver!$F$203)/(Driver!$G$203-Driver!$F$203)*$BI$1</f>
        <v>1.834862385321101</v>
      </c>
      <c r="BL1075" s="67">
        <f>MAX((CR1075-Driver!$F$202)/(Driver!$G$202-Driver!$F$202)*$BI$1,1)</f>
        <v>8.2758620689655178</v>
      </c>
      <c r="BM1075" s="67">
        <f>MAX((CH1075-Driver!$F$204)/(Driver!$G$204-Driver!$F$204)*$BI$1,1)</f>
        <v>3.8034188034188032</v>
      </c>
      <c r="BN1075" s="67">
        <f>(CI1075-Driver!$F$205)/(Driver!$G$205-Driver!$F$205)*$BI$1</f>
        <v>3.7058823529411766</v>
      </c>
      <c r="BO1075" s="67">
        <f>(CK1075-Driver!$F$207)/(Driver!$G$207-Driver!$F$207)*$BI$1</f>
        <v>0.24819027921406411</v>
      </c>
      <c r="BP1075" s="67">
        <f>(CM1075-Driver!$F$208)/(Driver!$G$208-Driver!$F$208)*$BI$1</f>
        <v>0.4555555555555556</v>
      </c>
      <c r="BQ1075" s="67">
        <f>(CL1075-Driver!$F$209)/(Driver!$G$209-Driver!$F$209)*$BI$1</f>
        <v>0.46875</v>
      </c>
      <c r="BR1075" s="28" t="s">
        <v>155</v>
      </c>
      <c r="BS1075" s="8" t="s">
        <v>167</v>
      </c>
      <c r="BT1075" s="9" t="s">
        <v>858</v>
      </c>
      <c r="BU1075" s="10">
        <v>165</v>
      </c>
      <c r="BV1075" s="9" t="s">
        <v>158</v>
      </c>
      <c r="BW1075" s="10">
        <v>165</v>
      </c>
      <c r="BX1075" s="10">
        <v>164</v>
      </c>
      <c r="BY1075" s="10">
        <v>147</v>
      </c>
      <c r="BZ1075" s="10">
        <v>154</v>
      </c>
      <c r="CA1075" s="10">
        <v>120</v>
      </c>
      <c r="CB1075" s="10">
        <v>67</v>
      </c>
      <c r="CC1075" s="10">
        <v>101</v>
      </c>
      <c r="CD1075" s="10">
        <v>13.4</v>
      </c>
      <c r="CE1075" s="10">
        <v>2233</v>
      </c>
      <c r="CF1075" s="10">
        <v>0.61</v>
      </c>
      <c r="CG1075" s="10">
        <v>1354</v>
      </c>
      <c r="CH1075" s="10">
        <v>190</v>
      </c>
      <c r="CI1075" s="10">
        <v>96</v>
      </c>
      <c r="CJ1075" s="10">
        <v>36</v>
      </c>
      <c r="CK1075" s="10">
        <v>134</v>
      </c>
      <c r="CL1075" s="10">
        <v>3</v>
      </c>
      <c r="CM1075" s="10">
        <v>41</v>
      </c>
      <c r="CN1075" s="10">
        <v>7.2999999999999995E-2</v>
      </c>
      <c r="CO1075" s="10">
        <v>59</v>
      </c>
      <c r="CP1075" s="10">
        <v>39</v>
      </c>
      <c r="CQ1075" s="10">
        <v>75</v>
      </c>
      <c r="CR1075" s="10">
        <v>13</v>
      </c>
      <c r="CS1075" s="10">
        <v>11.1</v>
      </c>
      <c r="CT1075" s="9" t="s">
        <v>349</v>
      </c>
      <c r="CU1075" s="10"/>
      <c r="CV1075" s="10"/>
      <c r="CW1075" s="10"/>
      <c r="CX1075" t="str">
        <f>INDEX('Data_Price '!AG$2:AG$1266,MATCH(Data!$DN1075,'Data_Price '!$AT$2:$AT$1266,0))</f>
        <v>Head Worldcup Rebels E-Race + FF St 14 21/22</v>
      </c>
      <c r="CY1075" t="str">
        <f>INDEX('Data_Price '!AH$2:AH$1266,MATCH(Data!$DN1075,'Data_Price '!$AT$2:$AT$1266,0))</f>
        <v>eBay - gloliquidation</v>
      </c>
      <c r="CZ1075">
        <f>INDEX('Data_Price '!AI$2:AI$1266,MATCH(Data!$DN1075,'Data_Price '!$AT$2:$AT$1266,0))</f>
        <v>560</v>
      </c>
      <c r="DA1075" t="str">
        <f>INDEX('Data_Price '!AJ$2:AJ$1266,MATCH(Data!$DN1075,'Data_Price '!$AT$2:$AT$1266,0))</f>
        <v>https://tinyurl.com/y7weczz9</v>
      </c>
      <c r="DB1075" t="str">
        <f>INDEX('Data_Price '!AK$2:AK$1266,MATCH(Data!$DN1075,'Data_Price '!$AT$2:$AT$1266,0))</f>
        <v>Head Worldcup Rebel GS Without Bindings Skis 165 Giant Slalom</v>
      </c>
      <c r="DC1075" t="str">
        <f>INDEX('Data_Price '!AL$2:AL$1266,MATCH(Data!$DN1075,'Data_Price '!$AT$2:$AT$1266,0))</f>
        <v>SidelineSwap</v>
      </c>
      <c r="DD1075">
        <f>INDEX('Data_Price '!AM$2:AM$1266,MATCH(Data!$DN1075,'Data_Price '!$AT$2:$AT$1266,0))</f>
        <v>250</v>
      </c>
      <c r="DE1075" t="str">
        <f>INDEX('Data_Price '!AN$2:AN$1266,MATCH(Data!$DN1075,'Data_Price '!$AT$2:$AT$1266,0))</f>
        <v>https://tinyurl.com/y89ntwbu</v>
      </c>
      <c r="DF1075" t="str">
        <f>INDEX('Data_Price '!AO$2:AO$1266,MATCH(Data!$DN1075,'Data_Price '!$AT$2:$AT$1266,0))</f>
        <v>HEAD World Cup Skis SL RD Liquidmetal 165 13 - Sports &amp; outdoors | Color: Red</v>
      </c>
      <c r="DG1075" t="str">
        <f>INDEX('Data_Price '!AP$2:AP$1266,MATCH(Data!$DN1075,'Data_Price '!$AT$2:$AT$1266,0))</f>
        <v>Mercari</v>
      </c>
      <c r="DH1075">
        <f>INDEX('Data_Price '!AQ$2:AQ$1266,MATCH(Data!$DN1075,'Data_Price '!$AT$2:$AT$1266,0))</f>
        <v>181</v>
      </c>
      <c r="DI1075" t="str">
        <f>INDEX('Data_Price '!AR$2:AR$1266,MATCH(Data!$DN1075,'Data_Price '!$AT$2:$AT$1266,0))</f>
        <v>https://tinyurl.com/ydeg3t5u</v>
      </c>
      <c r="DJ1075" s="89" t="str">
        <f t="shared" si="624"/>
        <v>https://tinyurl.com/y7weczz9</v>
      </c>
      <c r="DK1075" s="89" t="str">
        <f t="shared" si="625"/>
        <v>https://tinyurl.com/y89ntwbu</v>
      </c>
      <c r="DL1075" s="89" t="str">
        <f t="shared" si="626"/>
        <v>https://tinyurl.com/ydeg3t5u</v>
      </c>
      <c r="DM1075" s="219" t="str">
        <f t="shared" si="627"/>
        <v>Worldcup Rebels e-Race Pro</v>
      </c>
      <c r="DN1075" s="89" t="str">
        <f t="shared" si="628"/>
        <v xml:space="preserve"> HeadWorldcup Rebels e-Race Pro165 Unisex</v>
      </c>
      <c r="DO1075" s="221"/>
    </row>
    <row r="1076" spans="2:119" ht="15.6" customHeight="1">
      <c r="B1076" s="219" t="b">
        <f t="array" ref="B1076">IF(OR(ISERROR(K1076:P1076)),FALSE,TRUE)</f>
        <v>1</v>
      </c>
      <c r="C1076" s="43" t="b">
        <f>OR(BR1076=Driver!$G$50,Data!BR385=Driver!$H$50)</f>
        <v>1</v>
      </c>
      <c r="D1076" s="43" t="b">
        <f>OR(BV1076=Driver!$G$51,BV1076=Driver!$H$51)</f>
        <v>1</v>
      </c>
      <c r="E1076" s="43" t="b">
        <f>AND(BX1076&gt;Driver!$F$54,BX1076&lt;Driver!$G$54)</f>
        <v>0</v>
      </c>
      <c r="F1076" s="43" t="b">
        <f>CL1076&gt;Driver!$F$56</f>
        <v>1</v>
      </c>
      <c r="G1076" s="43" t="b">
        <f>AND(CB1076&gt;Driver!$F$55,CB1076&lt;Driver!$G$55)</f>
        <v>0</v>
      </c>
      <c r="H1076" s="43" t="b">
        <f t="shared" si="592"/>
        <v>0</v>
      </c>
      <c r="I1076" s="43">
        <f t="shared" si="593"/>
        <v>0</v>
      </c>
      <c r="J1076" s="43" t="b">
        <f t="array" ref="J1076">NOT(OR(($H$9:$H$1273=TRUE)*($I$9:$I$1273&gt;0)*($BT$9:$BT$1273=BT1076)*($K$9:$K$1273&gt;K1076)))</f>
        <v>1</v>
      </c>
      <c r="K1076" s="72">
        <f t="shared" si="594"/>
        <v>0.61911129595086201</v>
      </c>
      <c r="L1076" s="72">
        <f t="shared" si="595"/>
        <v>0.67344429043651544</v>
      </c>
      <c r="M1076" s="72">
        <f t="shared" si="596"/>
        <v>0.56477830146520858</v>
      </c>
      <c r="N1076" s="72">
        <f t="shared" si="597"/>
        <v>0.21868011178112545</v>
      </c>
      <c r="O1076" s="72">
        <f t="shared" si="598"/>
        <v>0.64680303039062337</v>
      </c>
      <c r="P1076" s="72">
        <f t="shared" si="599"/>
        <v>0.82885176222387691</v>
      </c>
      <c r="Q1076" s="72"/>
      <c r="R1076" s="72"/>
      <c r="S1076" s="72">
        <f t="shared" si="600"/>
        <v>0.51593192842253632</v>
      </c>
      <c r="T1076" s="72">
        <f t="shared" si="601"/>
        <v>0.52643216272361792</v>
      </c>
      <c r="U1076" s="72">
        <f t="shared" si="602"/>
        <v>0.51351910592318495</v>
      </c>
      <c r="V1076" s="72">
        <f t="shared" si="603"/>
        <v>0.59522427163427349</v>
      </c>
      <c r="W1076" s="72">
        <f t="shared" si="604"/>
        <v>0.77380584867534796</v>
      </c>
      <c r="X1076" s="72">
        <f t="shared" si="605"/>
        <v>0.32655570956348451</v>
      </c>
      <c r="Y1076" s="72">
        <f t="shared" si="606"/>
        <v>0.43522169853479142</v>
      </c>
      <c r="Z1076" s="72">
        <f t="shared" si="607"/>
        <v>0.78131988821887455</v>
      </c>
      <c r="AA1076" s="72">
        <f t="shared" si="608"/>
        <v>0.35319696960937663</v>
      </c>
      <c r="AB1076" s="72">
        <f t="shared" si="609"/>
        <v>0.17114823777612309</v>
      </c>
      <c r="AC1076" s="72"/>
      <c r="AD1076" s="72"/>
      <c r="AE1076" s="72">
        <f t="shared" si="610"/>
        <v>0.48406807157746368</v>
      </c>
      <c r="AF1076" s="72">
        <f t="shared" si="611"/>
        <v>0.47356783727638208</v>
      </c>
      <c r="AG1076" s="72">
        <f t="shared" si="612"/>
        <v>0.48648089407681511</v>
      </c>
      <c r="AH1076" s="72">
        <f t="shared" si="613"/>
        <v>0.40477572836572645</v>
      </c>
      <c r="AI1076" s="72">
        <f t="shared" si="614"/>
        <v>0.22619415132465201</v>
      </c>
      <c r="AJ1076" s="72">
        <f>(AV1076-Driver!$K$179)/(Driver!$L$179-Driver!$K$179)</f>
        <v>0.58077511884618493</v>
      </c>
      <c r="AK1076" s="72">
        <f>(AW1076-Driver!$K$180)/(Driver!$L$180-Driver!$K$180)</f>
        <v>0.4715648673479948</v>
      </c>
      <c r="AL1076" s="72">
        <f>(AX1076-Driver!$K$181)/(Driver!$L$181-Driver!$K$181)</f>
        <v>0.88300765193195474</v>
      </c>
      <c r="AM1076" s="72">
        <f>(AY1076-Driver!$K$182)/(Driver!$L$182-Driver!$K$182)</f>
        <v>9.4188051487669761E-2</v>
      </c>
      <c r="AN1076" s="72">
        <f>(AZ1076-Driver!$K$183)/(Driver!$L$183-Driver!$K$183)</f>
        <v>0.42536764705882352</v>
      </c>
      <c r="AO1076" s="72"/>
      <c r="AP1076" s="72"/>
      <c r="AQ1076" s="72">
        <f>(BC1076-Driver!$K$188)/(Driver!$L$188-Driver!$K$188)</f>
        <v>0.13593192842253632</v>
      </c>
      <c r="AR1076" s="72">
        <f>MIN((BD1076-Driver!$K$189)/(Driver!$L$189-Driver!$K$189),100%)</f>
        <v>7.6432162723617955E-2</v>
      </c>
      <c r="AS1076" s="72">
        <f>(BE1076-Driver!$K$190)/(Driver!$L$190-Driver!$K$190)</f>
        <v>2.3519105923184905E-2</v>
      </c>
      <c r="AT1076" s="72">
        <f>(BF1076-Driver!$K$191)/(Driver!$L$191-Driver!$K$191)</f>
        <v>0.10522427163427357</v>
      </c>
      <c r="AU1076" s="72">
        <f>(BG1076-Driver!$K$192)/(Driver!$L$192-Driver!$K$192)</f>
        <v>2.3805848675347997E-2</v>
      </c>
      <c r="AV1076" s="70">
        <f t="shared" si="615"/>
        <v>12.223578890245559</v>
      </c>
      <c r="AW1076" s="70">
        <f t="shared" si="616"/>
        <v>47.830067434316106</v>
      </c>
      <c r="AX1076" s="70">
        <f t="shared" si="617"/>
        <v>8.9470688673875927</v>
      </c>
      <c r="AY1076" s="70">
        <f>IFERROR(Driver!$K$19/Data!BH1076/Data!BI1076*Data!BK1076*Data!BL1076,"")</f>
        <v>0.11531427802307873</v>
      </c>
      <c r="AZ1076" s="70">
        <f t="shared" si="618"/>
        <v>38.767684288905436</v>
      </c>
      <c r="BA1076" s="70"/>
      <c r="BB1076" s="70"/>
      <c r="BC1076" s="70">
        <f t="shared" si="619"/>
        <v>70.508836256204972</v>
      </c>
      <c r="BD1076" s="70">
        <f t="shared" si="620"/>
        <v>8.4849338553593707</v>
      </c>
      <c r="BE1076" s="70">
        <f t="shared" si="621"/>
        <v>2.3693299123927588E-2</v>
      </c>
      <c r="BF1076" s="70">
        <f t="shared" si="622"/>
        <v>11.884342238744768</v>
      </c>
      <c r="BG1076" s="70">
        <f t="shared" si="623"/>
        <v>9.0144129574539725E-2</v>
      </c>
      <c r="BH1076" s="67">
        <f>MAX((CE1076-Driver!$F$200)/(Driver!$G$200-Driver!$F$200)*$BI$1,1)</f>
        <v>8.9470688673875927</v>
      </c>
      <c r="BI1076" s="67">
        <f>MAX($BI$1*(BY1076-Driver!$F$201)/(Driver!$G$201-Driver!$F$201),1)</f>
        <v>7.4050632911392409</v>
      </c>
      <c r="BJ1076" s="67">
        <f>(CB1076-Driver!$F$206)/(Driver!$G$206-Driver!$F$206)*$BI$1</f>
        <v>8.412698412698413</v>
      </c>
      <c r="BK1076" s="67">
        <f>(CD1076-Driver!$F$203)/(Driver!$G$203-Driver!$F$203)*$BI$1</f>
        <v>5.2752293577981648</v>
      </c>
      <c r="BL1076" s="67">
        <f>MAX((CR1076-Driver!$F$202)/(Driver!$G$202-Driver!$F$202)*$BI$1,1)</f>
        <v>7.2413793103448274</v>
      </c>
      <c r="BM1076" s="67">
        <f>MAX((CH1076-Driver!$F$204)/(Driver!$G$204-Driver!$F$204)*$BI$1,1)</f>
        <v>5.8119658119658126</v>
      </c>
      <c r="BN1076" s="67">
        <f>(CI1076-Driver!$F$205)/(Driver!$G$205-Driver!$F$205)*$BI$1</f>
        <v>5.2352941176470589</v>
      </c>
      <c r="BO1076" s="67">
        <f>(CK1076-Driver!$F$207)/(Driver!$G$207-Driver!$F$207)*$BI$1</f>
        <v>2.5025853154084796</v>
      </c>
      <c r="BP1076" s="67">
        <f>(CM1076-Driver!$F$208)/(Driver!$G$208-Driver!$F$208)*$BI$1</f>
        <v>2.9777777777777774</v>
      </c>
      <c r="BQ1076" s="67">
        <f>(CL1076-Driver!$F$209)/(Driver!$G$209-Driver!$F$209)*$BI$1</f>
        <v>4.6875</v>
      </c>
      <c r="BR1076" s="28" t="s">
        <v>155</v>
      </c>
      <c r="BS1076" s="8" t="s">
        <v>202</v>
      </c>
      <c r="BT1076" s="9" t="s">
        <v>817</v>
      </c>
      <c r="BU1076" s="10">
        <v>189</v>
      </c>
      <c r="BV1076" s="9" t="s">
        <v>158</v>
      </c>
      <c r="BW1076" s="10">
        <v>189</v>
      </c>
      <c r="BX1076" s="10">
        <v>186.9</v>
      </c>
      <c r="BY1076" s="10">
        <v>125</v>
      </c>
      <c r="BZ1076" s="10">
        <v>141</v>
      </c>
      <c r="CA1076" s="10">
        <v>144</v>
      </c>
      <c r="CB1076" s="10">
        <v>117</v>
      </c>
      <c r="CC1076" s="10">
        <v>134</v>
      </c>
      <c r="CD1076" s="10">
        <v>20.9</v>
      </c>
      <c r="CE1076" s="10">
        <v>2472</v>
      </c>
      <c r="CF1076" s="10">
        <v>0.94</v>
      </c>
      <c r="CG1076" s="10">
        <v>2327</v>
      </c>
      <c r="CH1076" s="10">
        <v>237</v>
      </c>
      <c r="CI1076" s="10">
        <v>122</v>
      </c>
      <c r="CJ1076" s="10">
        <v>61</v>
      </c>
      <c r="CK1076" s="10">
        <v>352</v>
      </c>
      <c r="CL1076" s="10">
        <v>30</v>
      </c>
      <c r="CM1076" s="10">
        <v>268</v>
      </c>
      <c r="CN1076" s="10">
        <v>0.48799999999999999</v>
      </c>
      <c r="CO1076" s="10">
        <v>271</v>
      </c>
      <c r="CP1076" s="10">
        <v>189</v>
      </c>
      <c r="CQ1076" s="10">
        <v>82</v>
      </c>
      <c r="CR1076" s="10">
        <v>10</v>
      </c>
      <c r="CS1076" s="10">
        <v>9.9</v>
      </c>
      <c r="CT1076" s="9" t="s">
        <v>169</v>
      </c>
      <c r="CU1076" s="10"/>
      <c r="CV1076" s="10"/>
      <c r="CW1076" s="10"/>
      <c r="CX1076" t="str">
        <f>INDEX('Data_Price '!AG$2:AG$1266,MATCH(Data!$DN1076,'Data_Price '!$AT$2:$AT$1266,0))</f>
        <v>Dynastar M-Free 118 Skis 2022 - 189</v>
      </c>
      <c r="CY1076" t="str">
        <f>INDEX('Data_Price '!AH$2:AH$1266,MATCH(Data!$DN1076,'Data_Price '!$AT$2:$AT$1266,0))</f>
        <v>Bobleisure</v>
      </c>
      <c r="CZ1076">
        <f>INDEX('Data_Price '!AI$2:AI$1266,MATCH(Data!$DN1076,'Data_Price '!$AT$2:$AT$1266,0))</f>
        <v>607.95000000000005</v>
      </c>
      <c r="DA1076" t="str">
        <f>INDEX('Data_Price '!AJ$2:AJ$1266,MATCH(Data!$DN1076,'Data_Price '!$AT$2:$AT$1266,0))</f>
        <v>https://tinyurl.com/y8nspyru</v>
      </c>
      <c r="DB1076" t="str">
        <f>INDEX('Data_Price '!AK$2:AK$1266,MATCH(Data!$DN1076,'Data_Price '!$AT$2:$AT$1266,0))</f>
        <v>Dynastar M-Free 118 Skis 2022 - 189</v>
      </c>
      <c r="DC1076" t="str">
        <f>INDEX('Data_Price '!AL$2:AL$1266,MATCH(Data!$DN1076,'Data_Price '!$AT$2:$AT$1266,0))</f>
        <v>Powder7 Ski Shop</v>
      </c>
      <c r="DD1076">
        <f>INDEX('Data_Price '!AM$2:AM$1266,MATCH(Data!$DN1076,'Data_Price '!$AT$2:$AT$1266,0))</f>
        <v>639.95000000000005</v>
      </c>
      <c r="DE1076" t="str">
        <f>INDEX('Data_Price '!AN$2:AN$1266,MATCH(Data!$DN1076,'Data_Price '!$AT$2:$AT$1266,0))</f>
        <v>https://tinyurl.com/ycpkkgb6</v>
      </c>
      <c r="DF1076" t="str">
        <f>INDEX('Data_Price '!AO$2:AO$1266,MATCH(Data!$DN1076,'Data_Price '!$AT$2:$AT$1266,0))</f>
        <v>Dynastar M-Free 118 Skis 2022 - 189</v>
      </c>
      <c r="DG1076" t="str">
        <f>INDEX('Data_Price '!AP$2:AP$1266,MATCH(Data!$DN1076,'Data_Price '!$AT$2:$AT$1266,0))</f>
        <v>evo.com</v>
      </c>
      <c r="DH1076">
        <f>INDEX('Data_Price '!AQ$2:AQ$1266,MATCH(Data!$DN1076,'Data_Price '!$AT$2:$AT$1266,0))</f>
        <v>639.96</v>
      </c>
      <c r="DI1076" t="str">
        <f>INDEX('Data_Price '!AR$2:AR$1266,MATCH(Data!$DN1076,'Data_Price '!$AT$2:$AT$1266,0))</f>
        <v>https://tinyurl.com/y78xx28l</v>
      </c>
      <c r="DJ1076" s="89" t="str">
        <f t="shared" si="624"/>
        <v>https://tinyurl.com/y8nspyru</v>
      </c>
      <c r="DK1076" s="89" t="str">
        <f t="shared" si="625"/>
        <v>https://tinyurl.com/ycpkkgb6</v>
      </c>
      <c r="DL1076" s="89" t="str">
        <f t="shared" si="626"/>
        <v>https://tinyurl.com/y78xx28l</v>
      </c>
      <c r="DM1076" s="219" t="str">
        <f t="shared" si="627"/>
        <v>M-Free 118</v>
      </c>
      <c r="DN1076" s="89" t="str">
        <f t="shared" si="628"/>
        <v xml:space="preserve"> DynastarM-Free 118189 Unisex</v>
      </c>
      <c r="DO1076" s="221" t="s">
        <v>818</v>
      </c>
    </row>
    <row r="1077" spans="2:119" ht="15.6" customHeight="1">
      <c r="B1077" s="219" t="b">
        <f t="array" ref="B1077">IF(OR(ISERROR(K1077:P1077)),FALSE,TRUE)</f>
        <v>1</v>
      </c>
      <c r="C1077" s="43" t="b">
        <f>OR(BR1077=Driver!$G$50,Data!BR835=Driver!$H$50)</f>
        <v>1</v>
      </c>
      <c r="D1077" s="43" t="b">
        <f>OR(BV1077=Driver!$G$51,BV1077=Driver!$H$51)</f>
        <v>1</v>
      </c>
      <c r="E1077" s="43" t="b">
        <f>AND(BX1077&gt;Driver!$F$54,BX1077&lt;Driver!$G$54)</f>
        <v>1</v>
      </c>
      <c r="F1077" s="43" t="b">
        <f>CL1077&gt;Driver!$F$56</f>
        <v>1</v>
      </c>
      <c r="G1077" s="43" t="b">
        <f>AND(CB1077&gt;Driver!$F$55,CB1077&lt;Driver!$G$55)</f>
        <v>0</v>
      </c>
      <c r="H1077" s="43" t="b">
        <f t="shared" si="592"/>
        <v>0</v>
      </c>
      <c r="I1077" s="43">
        <f t="shared" si="593"/>
        <v>0</v>
      </c>
      <c r="J1077" s="43" t="b">
        <f t="array" ref="J1077">NOT(OR(($H$9:$H$1273=TRUE)*($I$9:$I$1273&gt;0)*($BT$9:$BT$1273=BT1077)*($K$9:$K$1273&gt;K1077)))</f>
        <v>1</v>
      </c>
      <c r="K1077" s="72">
        <f t="shared" si="594"/>
        <v>0.79527707176675999</v>
      </c>
      <c r="L1077" s="72">
        <f t="shared" si="595"/>
        <v>0.8175717437267267</v>
      </c>
      <c r="M1077" s="72">
        <f t="shared" si="596"/>
        <v>0.77298239980679329</v>
      </c>
      <c r="N1077" s="72">
        <f t="shared" si="597"/>
        <v>0.81881923781666588</v>
      </c>
      <c r="O1077" s="72">
        <f t="shared" si="598"/>
        <v>0.66537678265112032</v>
      </c>
      <c r="P1077" s="72">
        <f t="shared" si="599"/>
        <v>0.83475117895259365</v>
      </c>
      <c r="Q1077" s="72"/>
      <c r="R1077" s="72"/>
      <c r="S1077" s="72">
        <f t="shared" si="600"/>
        <v>0.40736458012480992</v>
      </c>
      <c r="T1077" s="72">
        <f t="shared" si="601"/>
        <v>0.44937353462509799</v>
      </c>
      <c r="U1077" s="72">
        <f t="shared" si="602"/>
        <v>0.70202646430087368</v>
      </c>
      <c r="V1077" s="72">
        <f t="shared" si="603"/>
        <v>0.50624269840308811</v>
      </c>
      <c r="W1077" s="72">
        <f t="shared" si="604"/>
        <v>0.90342185903983663</v>
      </c>
      <c r="X1077" s="72">
        <f t="shared" si="605"/>
        <v>0.1824282562732733</v>
      </c>
      <c r="Y1077" s="72">
        <f t="shared" si="606"/>
        <v>0.22701760019320671</v>
      </c>
      <c r="Z1077" s="72">
        <f t="shared" si="607"/>
        <v>0.18118076218333418</v>
      </c>
      <c r="AA1077" s="72">
        <f t="shared" si="608"/>
        <v>0.33462321734887968</v>
      </c>
      <c r="AB1077" s="72">
        <f t="shared" si="609"/>
        <v>0.16524882104740629</v>
      </c>
      <c r="AC1077" s="72"/>
      <c r="AD1077" s="72"/>
      <c r="AE1077" s="72">
        <f t="shared" si="610"/>
        <v>0.59263541987519008</v>
      </c>
      <c r="AF1077" s="72">
        <f t="shared" si="611"/>
        <v>0.55062646537490201</v>
      </c>
      <c r="AG1077" s="72">
        <f t="shared" si="612"/>
        <v>0.29797353569912632</v>
      </c>
      <c r="AH1077" s="72">
        <f t="shared" si="613"/>
        <v>0.49375730159691195</v>
      </c>
      <c r="AI1077" s="72">
        <f t="shared" si="614"/>
        <v>9.6578140960163372E-2</v>
      </c>
      <c r="AJ1077" s="72">
        <f>(AV1077-Driver!$K$179)/(Driver!$L$179-Driver!$K$179)</f>
        <v>7.1791153009427108E-2</v>
      </c>
      <c r="AK1077" s="72">
        <f>(AW1077-Driver!$K$180)/(Driver!$L$180-Driver!$K$180)</f>
        <v>0.10179361785763746</v>
      </c>
      <c r="AL1077" s="72">
        <f>(AX1077-Driver!$K$181)/(Driver!$L$181-Driver!$K$181)</f>
        <v>0.28286852589641437</v>
      </c>
      <c r="AM1077" s="72">
        <f>(AY1077-Driver!$K$182)/(Driver!$L$182-Driver!$K$182)</f>
        <v>0.1127618037481667</v>
      </c>
      <c r="AN1077" s="72">
        <f>(AZ1077-Driver!$K$183)/(Driver!$L$183-Driver!$K$183)</f>
        <v>8.8970588235294121E-2</v>
      </c>
      <c r="AO1077" s="72"/>
      <c r="AP1077" s="72"/>
      <c r="AQ1077" s="72">
        <f>(BC1077-Driver!$K$188)/(Driver!$L$188-Driver!$K$188)</f>
        <v>2.7364580124809895E-2</v>
      </c>
      <c r="AR1077" s="72">
        <f>MIN((BD1077-Driver!$K$189)/(Driver!$L$189-Driver!$K$189),100%)</f>
        <v>-6.2646537490191527E-4</v>
      </c>
      <c r="AS1077" s="72">
        <f>(BE1077-Driver!$K$190)/(Driver!$L$190-Driver!$K$190)</f>
        <v>0.21202646430087371</v>
      </c>
      <c r="AT1077" s="72">
        <f>(BF1077-Driver!$K$191)/(Driver!$L$191-Driver!$K$191)</f>
        <v>1.6242698403088087E-2</v>
      </c>
      <c r="AU1077" s="72">
        <f>(BG1077-Driver!$K$192)/(Driver!$L$192-Driver!$K$192)</f>
        <v>0.34657814096016337</v>
      </c>
      <c r="AV1077" s="70">
        <f t="shared" si="615"/>
        <v>1.5109890109890107</v>
      </c>
      <c r="AW1077" s="70">
        <f t="shared" si="616"/>
        <v>11.792582664896496</v>
      </c>
      <c r="AX1077" s="70">
        <f t="shared" si="617"/>
        <v>3.5458167330677295</v>
      </c>
      <c r="AY1077" s="70">
        <f>IFERROR(Driver!$K$19/Data!BH1077/Data!BI1077*Data!BK1077*Data!BL1077,"")</f>
        <v>0.13805409266272139</v>
      </c>
      <c r="AZ1077" s="70">
        <f t="shared" si="618"/>
        <v>8.1087118391660464</v>
      </c>
      <c r="BA1077" s="70"/>
      <c r="BB1077" s="70"/>
      <c r="BC1077" s="70">
        <f t="shared" si="619"/>
        <v>14.194197946213619</v>
      </c>
      <c r="BD1077" s="70">
        <f t="shared" si="620"/>
        <v>1.6653818084498677</v>
      </c>
      <c r="BE1077" s="70">
        <f t="shared" si="621"/>
        <v>0.2121670299106225</v>
      </c>
      <c r="BF1077" s="70">
        <f t="shared" si="622"/>
        <v>1.8344986732142619</v>
      </c>
      <c r="BG1077" s="70">
        <f t="shared" si="623"/>
        <v>1.3123659346271705</v>
      </c>
      <c r="BH1077" s="67">
        <f>MAX((CE1077-Driver!$F$200)/(Driver!$G$200-Driver!$F$200)*$BI$1,1)</f>
        <v>3.5458167330677295</v>
      </c>
      <c r="BI1077" s="67">
        <f>MAX($BI$1*(BY1077-Driver!$F$201)/(Driver!$G$201-Driver!$F$201),1)</f>
        <v>7.6582278481012658</v>
      </c>
      <c r="BJ1077" s="67">
        <f>(CB1077-Driver!$F$206)/(Driver!$G$206-Driver!$F$206)*$BI$1</f>
        <v>4.2857142857142856</v>
      </c>
      <c r="BK1077" s="67">
        <f>(CD1077-Driver!$F$203)/(Driver!$G$203-Driver!$F$203)*$BI$1</f>
        <v>3.623853211009175</v>
      </c>
      <c r="BL1077" s="67">
        <f>MAX((CR1077-Driver!$F$202)/(Driver!$G$202-Driver!$F$202)*$BI$1,1)</f>
        <v>5.1724137931034484</v>
      </c>
      <c r="BM1077" s="67">
        <f>MAX((CH1077-Driver!$F$204)/(Driver!$G$204-Driver!$F$204)*$BI$1,1)</f>
        <v>1.4102564102564101</v>
      </c>
      <c r="BN1077" s="67">
        <f>(CI1077-Driver!$F$205)/(Driver!$G$205-Driver!$F$205)*$BI$1</f>
        <v>1.0588235294117647</v>
      </c>
      <c r="BO1077" s="67">
        <f>(CK1077-Driver!$F$207)/(Driver!$G$207-Driver!$F$207)*$BI$1</f>
        <v>0.7755946225439504</v>
      </c>
      <c r="BP1077" s="67">
        <f>(CM1077-Driver!$F$208)/(Driver!$G$208-Driver!$F$208)*$BI$1</f>
        <v>2</v>
      </c>
      <c r="BQ1077" s="67">
        <f>(CL1077-Driver!$F$209)/(Driver!$G$209-Driver!$F$209)*$BI$1</f>
        <v>6.5625</v>
      </c>
      <c r="BR1077" s="28" t="s">
        <v>155</v>
      </c>
      <c r="BS1077" s="8" t="s">
        <v>208</v>
      </c>
      <c r="BT1077" s="9" t="s">
        <v>482</v>
      </c>
      <c r="BU1077" s="10">
        <v>166</v>
      </c>
      <c r="BV1077" s="9" t="s">
        <v>158</v>
      </c>
      <c r="BW1077" s="10">
        <v>166</v>
      </c>
      <c r="BX1077" s="10">
        <v>165.4</v>
      </c>
      <c r="BY1077" s="10">
        <v>129</v>
      </c>
      <c r="BZ1077" s="10">
        <v>140</v>
      </c>
      <c r="CA1077" s="10">
        <v>120</v>
      </c>
      <c r="CB1077" s="10">
        <v>91</v>
      </c>
      <c r="CC1077" s="10">
        <v>117</v>
      </c>
      <c r="CD1077" s="10">
        <v>17.3</v>
      </c>
      <c r="CE1077" s="10">
        <v>1523</v>
      </c>
      <c r="CF1077" s="10">
        <v>1.0900000000000001</v>
      </c>
      <c r="CG1077" s="10">
        <v>1667</v>
      </c>
      <c r="CH1077" s="10">
        <v>134</v>
      </c>
      <c r="CI1077" s="10">
        <v>51</v>
      </c>
      <c r="CJ1077" s="10">
        <v>41</v>
      </c>
      <c r="CK1077" s="10">
        <v>185</v>
      </c>
      <c r="CL1077" s="10">
        <v>42</v>
      </c>
      <c r="CM1077" s="10">
        <v>180</v>
      </c>
      <c r="CN1077" s="10">
        <v>1.0109999999999999</v>
      </c>
      <c r="CO1077" s="10">
        <v>129</v>
      </c>
      <c r="CP1077" s="10">
        <v>124</v>
      </c>
      <c r="CQ1077" s="10">
        <v>56</v>
      </c>
      <c r="CR1077" s="10">
        <v>4</v>
      </c>
      <c r="CS1077" s="10">
        <v>3.3</v>
      </c>
      <c r="CT1077" s="9" t="s">
        <v>184</v>
      </c>
      <c r="CU1077" s="9" t="s">
        <v>185</v>
      </c>
      <c r="CV1077" s="10"/>
      <c r="CW1077" s="10"/>
      <c r="CX1077" t="str">
        <f>INDEX('Data_Price '!AG$2:AG$1266,MATCH(Data!$DN1077,'Data_Price '!$AT$2:$AT$1266,0))</f>
        <v>Line 2022 Honey Badger Skis</v>
      </c>
      <c r="CY1077" t="str">
        <f>INDEX('Data_Price '!AH$2:AH$1266,MATCH(Data!$DN1077,'Data_Price '!$AT$2:$AT$1266,0))</f>
        <v>Blue Tomato</v>
      </c>
      <c r="CZ1077">
        <f>INDEX('Data_Price '!AI$2:AI$1266,MATCH(Data!$DN1077,'Data_Price '!$AT$2:$AT$1266,0))</f>
        <v>314.02999999999997</v>
      </c>
      <c r="DA1077" t="str">
        <f>INDEX('Data_Price '!AJ$2:AJ$1266,MATCH(Data!$DN1077,'Data_Price '!$AT$2:$AT$1266,0))</f>
        <v>https://tinyurl.com/yc9gb7ov</v>
      </c>
      <c r="DB1077" t="str">
        <f>INDEX('Data_Price '!AK$2:AK$1266,MATCH(Data!$DN1077,'Data_Price '!$AT$2:$AT$1266,0))</f>
        <v>Line 2022 Honey Badger Skis</v>
      </c>
      <c r="DC1077" t="str">
        <f>INDEX('Data_Price '!AL$2:AL$1266,MATCH(Data!$DN1077,'Data_Price '!$AT$2:$AT$1266,0))</f>
        <v>Suburban Ski and Bike</v>
      </c>
      <c r="DD1077">
        <f>INDEX('Data_Price '!AM$2:AM$1266,MATCH(Data!$DN1077,'Data_Price '!$AT$2:$AT$1266,0))</f>
        <v>349.95</v>
      </c>
      <c r="DE1077" t="str">
        <f>INDEX('Data_Price '!AN$2:AN$1266,MATCH(Data!$DN1077,'Data_Price '!$AT$2:$AT$1266,0))</f>
        <v>https://tinyurl.com/y9yoodx7</v>
      </c>
      <c r="DF1077" t="str">
        <f>INDEX('Data_Price '!AO$2:AO$1266,MATCH(Data!$DN1077,'Data_Price '!$AT$2:$AT$1266,0))</f>
        <v>2022 Line Honey Badger 166 W Tyrolia Attack 13â€™s</v>
      </c>
      <c r="DG1077" t="str">
        <f>INDEX('Data_Price '!AP$2:AP$1266,MATCH(Data!$DN1077,'Data_Price '!$AT$2:$AT$1266,0))</f>
        <v>SidelineSwap</v>
      </c>
      <c r="DH1077">
        <f>INDEX('Data_Price '!AQ$2:AQ$1266,MATCH(Data!$DN1077,'Data_Price '!$AT$2:$AT$1266,0))</f>
        <v>450</v>
      </c>
      <c r="DI1077" t="str">
        <f>INDEX('Data_Price '!AR$2:AR$1266,MATCH(Data!$DN1077,'Data_Price '!$AT$2:$AT$1266,0))</f>
        <v>https://tinyurl.com/y8ejrdfe</v>
      </c>
      <c r="DJ1077" s="89" t="str">
        <f t="shared" si="624"/>
        <v>https://tinyurl.com/yc9gb7ov</v>
      </c>
      <c r="DK1077" s="89" t="str">
        <f t="shared" si="625"/>
        <v>https://tinyurl.com/y9yoodx7</v>
      </c>
      <c r="DL1077" s="89" t="str">
        <f t="shared" si="626"/>
        <v>https://tinyurl.com/y8ejrdfe</v>
      </c>
      <c r="DM1077" s="219" t="str">
        <f t="shared" si="627"/>
        <v>Honey Badger</v>
      </c>
      <c r="DN1077" s="89" t="str">
        <f t="shared" si="628"/>
        <v xml:space="preserve"> LineHoney Badger166 Unisex</v>
      </c>
      <c r="DO1077" s="221" t="s">
        <v>483</v>
      </c>
    </row>
    <row r="1078" spans="2:119" ht="15.6" customHeight="1">
      <c r="B1078" s="219" t="b">
        <f t="array" ref="B1078">IF(OR(ISERROR(K1078:P1078)),FALSE,TRUE)</f>
        <v>1</v>
      </c>
      <c r="C1078" s="43" t="b">
        <f>OR(BR1078=Driver!$G$50,Data!BR572=Driver!$H$50)</f>
        <v>1</v>
      </c>
      <c r="D1078" s="43" t="b">
        <f>OR(BV1078=Driver!$G$51,BV1078=Driver!$H$51)</f>
        <v>1</v>
      </c>
      <c r="E1078" s="43" t="b">
        <f>AND(BX1078&gt;Driver!$F$54,BX1078&lt;Driver!$G$54)</f>
        <v>0</v>
      </c>
      <c r="F1078" s="43" t="b">
        <f>CL1078&gt;Driver!$F$56</f>
        <v>1</v>
      </c>
      <c r="G1078" s="43" t="b">
        <f>AND(CB1078&gt;Driver!$F$55,CB1078&lt;Driver!$G$55)</f>
        <v>0</v>
      </c>
      <c r="H1078" s="43" t="b">
        <f t="shared" si="592"/>
        <v>0</v>
      </c>
      <c r="I1078" s="43">
        <f t="shared" si="593"/>
        <v>0</v>
      </c>
      <c r="J1078" s="43" t="b">
        <f t="array" ref="J1078">NOT(OR(($H$9:$H$1273=TRUE)*($I$9:$I$1273&gt;0)*($BT$9:$BT$1273=BT1078)*($K$9:$K$1273&gt;K1078)))</f>
        <v>1</v>
      </c>
      <c r="K1078" s="72">
        <f t="shared" si="594"/>
        <v>0.63745159940898644</v>
      </c>
      <c r="L1078" s="72">
        <f t="shared" si="595"/>
        <v>0.67183281674382367</v>
      </c>
      <c r="M1078" s="72">
        <f t="shared" si="596"/>
        <v>0.6030703820741492</v>
      </c>
      <c r="N1078" s="72">
        <f t="shared" si="597"/>
        <v>0.32302463843640905</v>
      </c>
      <c r="O1078" s="72">
        <f t="shared" si="598"/>
        <v>0.65549651026804368</v>
      </c>
      <c r="P1078" s="72">
        <f t="shared" si="599"/>
        <v>0.83068999751799455</v>
      </c>
      <c r="Q1078" s="72"/>
      <c r="R1078" s="72"/>
      <c r="S1078" s="72">
        <f t="shared" si="600"/>
        <v>0.52614505745506601</v>
      </c>
      <c r="T1078" s="72">
        <f t="shared" si="601"/>
        <v>0.51413417222570779</v>
      </c>
      <c r="U1078" s="72">
        <f t="shared" si="602"/>
        <v>0.51585155791123993</v>
      </c>
      <c r="V1078" s="72">
        <f t="shared" si="603"/>
        <v>0.5747979883827401</v>
      </c>
      <c r="W1078" s="72">
        <f t="shared" si="604"/>
        <v>0.78296313908361581</v>
      </c>
      <c r="X1078" s="72">
        <f t="shared" si="605"/>
        <v>0.32816718325617628</v>
      </c>
      <c r="Y1078" s="72">
        <f t="shared" si="606"/>
        <v>0.39692961792585085</v>
      </c>
      <c r="Z1078" s="72">
        <f t="shared" si="607"/>
        <v>0.67697536156359095</v>
      </c>
      <c r="AA1078" s="72">
        <f t="shared" si="608"/>
        <v>0.34450348973195627</v>
      </c>
      <c r="AB1078" s="72">
        <f t="shared" si="609"/>
        <v>0.16931000248200545</v>
      </c>
      <c r="AC1078" s="72"/>
      <c r="AD1078" s="72"/>
      <c r="AE1078" s="72">
        <f t="shared" si="610"/>
        <v>0.47385494254493399</v>
      </c>
      <c r="AF1078" s="72">
        <f t="shared" si="611"/>
        <v>0.48586582777429227</v>
      </c>
      <c r="AG1078" s="72">
        <f t="shared" si="612"/>
        <v>0.48414844208876007</v>
      </c>
      <c r="AH1078" s="72">
        <f t="shared" si="613"/>
        <v>0.4252020116172599</v>
      </c>
      <c r="AI1078" s="72">
        <f t="shared" si="614"/>
        <v>0.21703686091638416</v>
      </c>
      <c r="AJ1078" s="72">
        <f>(AV1078-Driver!$K$179)/(Driver!$L$179-Driver!$K$179)</f>
        <v>0.5823865925388767</v>
      </c>
      <c r="AK1078" s="72">
        <f>(AW1078-Driver!$K$180)/(Driver!$L$180-Driver!$K$180)</f>
        <v>0.46031917162485148</v>
      </c>
      <c r="AL1078" s="72">
        <f>(AX1078-Driver!$K$181)/(Driver!$L$181-Driver!$K$181)</f>
        <v>0.77866312527667114</v>
      </c>
      <c r="AM1078" s="72">
        <f>(AY1078-Driver!$K$182)/(Driver!$L$182-Driver!$K$182)</f>
        <v>0.10288153136509011</v>
      </c>
      <c r="AN1078" s="72">
        <f>(AZ1078-Driver!$K$183)/(Driver!$L$183-Driver!$K$183)</f>
        <v>0.42352941176470588</v>
      </c>
      <c r="AO1078" s="72"/>
      <c r="AP1078" s="72"/>
      <c r="AQ1078" s="72">
        <f>(BC1078-Driver!$K$188)/(Driver!$L$188-Driver!$K$188)</f>
        <v>0.14614505745506604</v>
      </c>
      <c r="AR1078" s="72">
        <f>MIN((BD1078-Driver!$K$189)/(Driver!$L$189-Driver!$K$189),100%)</f>
        <v>6.4134172225707775E-2</v>
      </c>
      <c r="AS1078" s="72">
        <f>(BE1078-Driver!$K$190)/(Driver!$L$190-Driver!$K$190)</f>
        <v>2.5851557911239924E-2</v>
      </c>
      <c r="AT1078" s="72">
        <f>(BF1078-Driver!$K$191)/(Driver!$L$191-Driver!$K$191)</f>
        <v>8.479798838274008E-2</v>
      </c>
      <c r="AU1078" s="72">
        <f>(BG1078-Driver!$K$192)/(Driver!$L$192-Driver!$K$192)</f>
        <v>3.2963139083615832E-2</v>
      </c>
      <c r="AV1078" s="70">
        <f t="shared" si="615"/>
        <v>12.257495590828924</v>
      </c>
      <c r="AW1078" s="70">
        <f t="shared" si="616"/>
        <v>46.734074739094751</v>
      </c>
      <c r="AX1078" s="70">
        <f t="shared" si="617"/>
        <v>8.0079681274900398</v>
      </c>
      <c r="AY1078" s="70">
        <f>IFERROR(Driver!$K$19/Data!BH1078/Data!BI1078*Data!BK1078*Data!BL1078,"")</f>
        <v>0.125957691277085</v>
      </c>
      <c r="AZ1078" s="70">
        <f t="shared" si="618"/>
        <v>38.600148920327626</v>
      </c>
      <c r="BA1078" s="70"/>
      <c r="BB1078" s="70"/>
      <c r="BC1078" s="70">
        <f t="shared" si="619"/>
        <v>75.806457285899285</v>
      </c>
      <c r="BD1078" s="70">
        <f t="shared" si="620"/>
        <v>7.3965834870440554</v>
      </c>
      <c r="BE1078" s="70">
        <f t="shared" si="621"/>
        <v>2.6025335028800802E-2</v>
      </c>
      <c r="BF1078" s="70">
        <f t="shared" si="622"/>
        <v>9.5773370482455924</v>
      </c>
      <c r="BG1078" s="70">
        <f t="shared" si="623"/>
        <v>0.12481947277998497</v>
      </c>
      <c r="BH1078" s="67">
        <f>MAX((CE1078-Driver!$F$200)/(Driver!$G$200-Driver!$F$200)*$BI$1,1)</f>
        <v>8.0079681274900398</v>
      </c>
      <c r="BI1078" s="67">
        <f>MAX($BI$1*(BY1078-Driver!$F$201)/(Driver!$G$201-Driver!$F$201),1)</f>
        <v>8.1012658227848107</v>
      </c>
      <c r="BJ1078" s="67">
        <f>(CB1078-Driver!$F$206)/(Driver!$G$206-Driver!$F$206)*$BI$1</f>
        <v>8.2539682539682531</v>
      </c>
      <c r="BK1078" s="67">
        <f>(CD1078-Driver!$F$203)/(Driver!$G$203-Driver!$F$203)*$BI$1</f>
        <v>5.6422018348623855</v>
      </c>
      <c r="BL1078" s="67">
        <f>MAX((CR1078-Driver!$F$202)/(Driver!$G$202-Driver!$F$202)*$BI$1,1)</f>
        <v>7.2413793103448274</v>
      </c>
      <c r="BM1078" s="67">
        <f>MAX((CH1078-Driver!$F$204)/(Driver!$G$204-Driver!$F$204)*$BI$1,1)</f>
        <v>5.9401709401709404</v>
      </c>
      <c r="BN1078" s="67">
        <f>(CI1078-Driver!$F$205)/(Driver!$G$205-Driver!$F$205)*$BI$1</f>
        <v>4.7647058823529411</v>
      </c>
      <c r="BO1078" s="67">
        <f>(CK1078-Driver!$F$207)/(Driver!$G$207-Driver!$F$207)*$BI$1</f>
        <v>2.5956566701137538</v>
      </c>
      <c r="BP1078" s="67">
        <f>(CM1078-Driver!$F$208)/(Driver!$G$208-Driver!$F$208)*$BI$1</f>
        <v>2.5222222222222221</v>
      </c>
      <c r="BQ1078" s="67">
        <f>(CL1078-Driver!$F$209)/(Driver!$G$209-Driver!$F$209)*$BI$1</f>
        <v>5.9375</v>
      </c>
      <c r="BR1078" s="28" t="s">
        <v>155</v>
      </c>
      <c r="BS1078" s="8" t="s">
        <v>245</v>
      </c>
      <c r="BT1078" s="9" t="s">
        <v>462</v>
      </c>
      <c r="BU1078" s="10">
        <v>196</v>
      </c>
      <c r="BV1078" s="9" t="s">
        <v>158</v>
      </c>
      <c r="BW1078" s="10">
        <v>196</v>
      </c>
      <c r="BX1078" s="10">
        <v>195.1</v>
      </c>
      <c r="BY1078" s="10">
        <v>136</v>
      </c>
      <c r="BZ1078" s="10">
        <v>159</v>
      </c>
      <c r="CA1078" s="10">
        <v>146</v>
      </c>
      <c r="CB1078" s="10">
        <v>116</v>
      </c>
      <c r="CC1078" s="10">
        <v>136</v>
      </c>
      <c r="CD1078" s="10">
        <v>21.7</v>
      </c>
      <c r="CE1078" s="10">
        <v>2307</v>
      </c>
      <c r="CF1078" s="10">
        <v>1.07</v>
      </c>
      <c r="CG1078" s="10">
        <v>2465</v>
      </c>
      <c r="CH1078" s="10">
        <v>240</v>
      </c>
      <c r="CI1078" s="10">
        <v>114</v>
      </c>
      <c r="CJ1078" s="10">
        <v>51</v>
      </c>
      <c r="CK1078" s="10">
        <v>361</v>
      </c>
      <c r="CL1078" s="10">
        <v>38</v>
      </c>
      <c r="CM1078" s="10">
        <v>227</v>
      </c>
      <c r="CN1078" s="10">
        <v>0.75700000000000001</v>
      </c>
      <c r="CO1078" s="10">
        <v>176</v>
      </c>
      <c r="CP1078" s="10">
        <v>184</v>
      </c>
      <c r="CQ1078" s="10">
        <v>185</v>
      </c>
      <c r="CR1078" s="10">
        <v>10</v>
      </c>
      <c r="CS1078" s="10">
        <v>8.6999999999999993</v>
      </c>
      <c r="CT1078" s="9" t="s">
        <v>169</v>
      </c>
      <c r="CU1078" s="9" t="s">
        <v>185</v>
      </c>
      <c r="CV1078" s="10"/>
      <c r="CW1078" s="10"/>
      <c r="CX1078" t="str">
        <f>INDEX('Data_Price '!AG$2:AG$1266,MATCH(Data!$DN1078,'Data_Price '!$AT$2:$AT$1266,0))</f>
        <v>2022 Fischer Ranger 115 FR Skis w/ Marker Griffon 13 ID Bindings - 196| Ski Essentials</v>
      </c>
      <c r="CY1078" t="str">
        <f>INDEX('Data_Price '!AH$2:AH$1266,MATCH(Data!$DN1078,'Data_Price '!$AT$2:$AT$1266,0))</f>
        <v>SkiEssentials.com</v>
      </c>
      <c r="CZ1078">
        <f>INDEX('Data_Price '!AI$2:AI$1266,MATCH(Data!$DN1078,'Data_Price '!$AT$2:$AT$1266,0))</f>
        <v>714.99</v>
      </c>
      <c r="DA1078" t="str">
        <f>INDEX('Data_Price '!AJ$2:AJ$1266,MATCH(Data!$DN1078,'Data_Price '!$AT$2:$AT$1266,0))</f>
        <v>https://tinyurl.com/y8fxw8hu</v>
      </c>
      <c r="DB1078" t="str">
        <f>INDEX('Data_Price '!AK$2:AK$1266,MATCH(Data!$DN1078,'Data_Price '!$AT$2:$AT$1266,0))</f>
        <v>Fischer Ranger 115 FR Skis Mens 2021</v>
      </c>
      <c r="DC1078" t="str">
        <f>INDEX('Data_Price '!AL$2:AL$1266,MATCH(Data!$DN1078,'Data_Price '!$AT$2:$AT$1266,0))</f>
        <v>BlueZone Sports</v>
      </c>
      <c r="DD1078">
        <f>INDEX('Data_Price '!AM$2:AM$1266,MATCH(Data!$DN1078,'Data_Price '!$AT$2:$AT$1266,0))</f>
        <v>799.99</v>
      </c>
      <c r="DE1078" t="str">
        <f>INDEX('Data_Price '!AN$2:AN$1266,MATCH(Data!$DN1078,'Data_Price '!$AT$2:$AT$1266,0))</f>
        <v>https://tinyurl.com/yd2la4bh</v>
      </c>
      <c r="DF1078">
        <f>INDEX('Data_Price '!AO$2:AO$1266,MATCH(Data!$DN1078,'Data_Price '!$AT$2:$AT$1266,0))</f>
        <v>0</v>
      </c>
      <c r="DG1078">
        <f>INDEX('Data_Price '!AP$2:AP$1266,MATCH(Data!$DN1078,'Data_Price '!$AT$2:$AT$1266,0))</f>
        <v>0</v>
      </c>
      <c r="DH1078">
        <f>INDEX('Data_Price '!AQ$2:AQ$1266,MATCH(Data!$DN1078,'Data_Price '!$AT$2:$AT$1266,0))</f>
        <v>0</v>
      </c>
      <c r="DI1078">
        <f>INDEX('Data_Price '!AR$2:AR$1266,MATCH(Data!$DN1078,'Data_Price '!$AT$2:$AT$1266,0))</f>
        <v>0</v>
      </c>
      <c r="DJ1078" s="89" t="str">
        <f t="shared" si="624"/>
        <v>https://tinyurl.com/y8fxw8hu</v>
      </c>
      <c r="DK1078" s="89" t="str">
        <f t="shared" si="625"/>
        <v>https://tinyurl.com/yd2la4bh</v>
      </c>
      <c r="DL1078" s="89">
        <f t="shared" si="626"/>
        <v>0</v>
      </c>
      <c r="DM1078" s="219" t="str">
        <f t="shared" si="627"/>
        <v>Ranger 115 FR Big Stix</v>
      </c>
      <c r="DN1078" s="89" t="str">
        <f t="shared" si="628"/>
        <v xml:space="preserve"> FischerRanger 115 FR Big Stix196 Unisex</v>
      </c>
      <c r="DO1078" s="221"/>
    </row>
    <row r="1079" spans="2:119" ht="15.6" customHeight="1">
      <c r="B1079" s="219" t="b">
        <f t="array" ref="B1079">IF(OR(ISERROR(K1079:P1079)),FALSE,TRUE)</f>
        <v>1</v>
      </c>
      <c r="C1079" s="43" t="b">
        <f>OR(BR1079=Driver!$G$50,Data!BR142=Driver!$H$50)</f>
        <v>1</v>
      </c>
      <c r="D1079" s="43" t="b">
        <f>OR(BV1079=Driver!$G$51,BV1079=Driver!$H$51)</f>
        <v>0</v>
      </c>
      <c r="E1079" s="43" t="b">
        <f>AND(BX1079&gt;Driver!$F$54,BX1079&lt;Driver!$G$54)</f>
        <v>1</v>
      </c>
      <c r="F1079" s="43" t="b">
        <f>CL1079&gt;Driver!$F$56</f>
        <v>1</v>
      </c>
      <c r="G1079" s="43" t="b">
        <f>AND(CB1079&gt;Driver!$F$55,CB1079&lt;Driver!$G$55)</f>
        <v>0</v>
      </c>
      <c r="H1079" s="43" t="b">
        <f t="shared" si="592"/>
        <v>0</v>
      </c>
      <c r="I1079" s="43">
        <f t="shared" si="593"/>
        <v>0</v>
      </c>
      <c r="J1079" s="43" t="b">
        <f t="array" ref="J1079">NOT(OR(($H$9:$H$1273=TRUE)*($I$9:$I$1273&gt;0)*($BT$9:$BT$1273=BT1079)*($K$9:$K$1273&gt;K1079)))</f>
        <v>1</v>
      </c>
      <c r="K1079" s="72">
        <f t="shared" si="594"/>
        <v>0.73600907667888116</v>
      </c>
      <c r="L1079" s="72">
        <f t="shared" si="595"/>
        <v>0.76874409083816009</v>
      </c>
      <c r="M1079" s="72">
        <f t="shared" si="596"/>
        <v>0.70327406251960234</v>
      </c>
      <c r="N1079" s="72">
        <f t="shared" si="597"/>
        <v>0.66451581658097369</v>
      </c>
      <c r="O1079" s="72">
        <f t="shared" si="598"/>
        <v>0.60173166261347488</v>
      </c>
      <c r="P1079" s="72">
        <f t="shared" si="599"/>
        <v>0.84357470836435844</v>
      </c>
      <c r="Q1079" s="72"/>
      <c r="R1079" s="72"/>
      <c r="S1079" s="72">
        <f t="shared" si="600"/>
        <v>0.4189293833616935</v>
      </c>
      <c r="T1079" s="72">
        <f t="shared" si="601"/>
        <v>0.92760181237702399</v>
      </c>
      <c r="U1079" s="72">
        <f t="shared" si="602"/>
        <v>0.51</v>
      </c>
      <c r="V1079" s="72">
        <f t="shared" si="603"/>
        <v>0.49073927672567141</v>
      </c>
      <c r="W1079" s="72">
        <f t="shared" si="604"/>
        <v>0.76716445091968677</v>
      </c>
      <c r="X1079" s="72">
        <f t="shared" si="605"/>
        <v>0.23125590916183991</v>
      </c>
      <c r="Y1079" s="72">
        <f t="shared" si="606"/>
        <v>0.29672593748039766</v>
      </c>
      <c r="Z1079" s="72">
        <f t="shared" si="607"/>
        <v>0.33548418341902631</v>
      </c>
      <c r="AA1079" s="72">
        <f t="shared" si="608"/>
        <v>0.39826833738652512</v>
      </c>
      <c r="AB1079" s="72">
        <f t="shared" si="609"/>
        <v>0.15642529163564159</v>
      </c>
      <c r="AC1079" s="72"/>
      <c r="AD1079" s="72"/>
      <c r="AE1079" s="72">
        <f t="shared" si="610"/>
        <v>0.5810706166383065</v>
      </c>
      <c r="AF1079" s="72">
        <f t="shared" si="611"/>
        <v>7.2398187622976007E-2</v>
      </c>
      <c r="AG1079" s="72">
        <f t="shared" si="612"/>
        <v>0.49</v>
      </c>
      <c r="AH1079" s="72">
        <f t="shared" si="613"/>
        <v>0.50926072327432859</v>
      </c>
      <c r="AI1079" s="72">
        <f t="shared" si="614"/>
        <v>0.23283554908031323</v>
      </c>
      <c r="AJ1079" s="72">
        <f>(AV1079-Driver!$K$179)/(Driver!$L$179-Driver!$K$179)</f>
        <v>2.2963500120860521E-2</v>
      </c>
      <c r="AK1079" s="72">
        <f>(AW1079-Driver!$K$180)/(Driver!$L$180-Driver!$K$180)</f>
        <v>0.12349487645984175</v>
      </c>
      <c r="AL1079" s="72">
        <f>(AX1079-Driver!$K$181)/(Driver!$L$181-Driver!$K$181)</f>
        <v>0.4371719471321065</v>
      </c>
      <c r="AM1079" s="72">
        <f>(AY1079-Driver!$K$182)/(Driver!$L$182-Driver!$K$182)</f>
        <v>4.911668371052124E-2</v>
      </c>
      <c r="AN1079" s="72">
        <f>(AZ1079-Driver!$K$183)/(Driver!$L$183-Driver!$K$183)</f>
        <v>9.7794117647058837E-2</v>
      </c>
      <c r="AO1079" s="72"/>
      <c r="AP1079" s="72"/>
      <c r="AQ1079" s="72">
        <f>(BC1079-Driver!$K$188)/(Driver!$L$188-Driver!$K$188)</f>
        <v>3.8929383361693479E-2</v>
      </c>
      <c r="AR1079" s="72">
        <f>MIN((BD1079-Driver!$K$189)/(Driver!$L$189-Driver!$K$189),100%)</f>
        <v>0.47760181237702404</v>
      </c>
      <c r="AS1079" s="72">
        <f>(BE1079-Driver!$K$190)/(Driver!$L$190-Driver!$K$190)</f>
        <v>1</v>
      </c>
      <c r="AT1079" s="72">
        <f>(BF1079-Driver!$K$191)/(Driver!$L$191-Driver!$K$191)</f>
        <v>7.3927672567141659E-4</v>
      </c>
      <c r="AU1079" s="72">
        <f>(BG1079-Driver!$K$192)/(Driver!$L$192-Driver!$K$192)</f>
        <v>1.7164450919686762E-2</v>
      </c>
      <c r="AV1079" s="70">
        <f t="shared" si="615"/>
        <v>0.48331298331298322</v>
      </c>
      <c r="AW1079" s="70">
        <f t="shared" si="616"/>
        <v>13.907562608394151</v>
      </c>
      <c r="AX1079" s="70">
        <f t="shared" si="617"/>
        <v>4.9345475241889583</v>
      </c>
      <c r="AY1079" s="70">
        <f>IFERROR(Driver!$K$19/Data!BH1079/Data!BI1079*Data!BK1079*Data!BL1079,"")</f>
        <v>6.0133475865652965E-2</v>
      </c>
      <c r="AZ1079" s="70">
        <f t="shared" si="618"/>
        <v>8.9128816083395392</v>
      </c>
      <c r="BA1079" s="70"/>
      <c r="BB1079" s="70"/>
      <c r="BC1079" s="70">
        <f t="shared" si="619"/>
        <v>20.192941782392907</v>
      </c>
      <c r="BD1079" s="70">
        <f t="shared" si="620"/>
        <v>43.98773701912868</v>
      </c>
      <c r="BE1079" s="70">
        <f t="shared" si="621"/>
        <v>1</v>
      </c>
      <c r="BF1079" s="70">
        <f t="shared" si="622"/>
        <v>8.3496112451644997E-2</v>
      </c>
      <c r="BG1079" s="70">
        <f t="shared" si="623"/>
        <v>6.4995560917865611E-2</v>
      </c>
      <c r="BH1079" s="67">
        <f>MAX((CE1079-Driver!$F$200)/(Driver!$G$200-Driver!$F$200)*$BI$1,1)</f>
        <v>4.9345475241889583</v>
      </c>
      <c r="BI1079" s="67">
        <f>MAX($BI$1*(BY1079-Driver!$F$201)/(Driver!$G$201-Driver!$F$201),1)</f>
        <v>7.9746835443037973</v>
      </c>
      <c r="BJ1079" s="67">
        <f>(CB1079-Driver!$F$206)/(Driver!$G$206-Driver!$F$206)*$BI$1</f>
        <v>0.79365079365079361</v>
      </c>
      <c r="BK1079" s="67">
        <f>(CD1079-Driver!$F$203)/(Driver!$G$203-Driver!$F$203)*$BI$1</f>
        <v>2.0183486238532113</v>
      </c>
      <c r="BL1079" s="67">
        <f>MAX((CR1079-Driver!$F$202)/(Driver!$G$202-Driver!$F$202)*$BI$1,1)</f>
        <v>5.8620689655172411</v>
      </c>
      <c r="BM1079" s="67">
        <f>MAX((CH1079-Driver!$F$204)/(Driver!$G$204-Driver!$F$204)*$BI$1,1)</f>
        <v>2.4358974358974357</v>
      </c>
      <c r="BN1079" s="67">
        <f>(CI1079-Driver!$F$205)/(Driver!$G$205-Driver!$F$205)*$BI$1</f>
        <v>1.1176470588235294</v>
      </c>
      <c r="BO1079" s="67">
        <f>(CK1079-Driver!$F$207)/(Driver!$G$207-Driver!$F$207)*$BI$1</f>
        <v>0.34126163391933811</v>
      </c>
      <c r="BP1079" s="67">
        <f>(CM1079-Driver!$F$208)/(Driver!$G$208-Driver!$F$208)*$BI$1</f>
        <v>0.62222222222222223</v>
      </c>
      <c r="BQ1079" s="67">
        <f>(CL1079-Driver!$F$209)/(Driver!$G$209-Driver!$F$209)*$BI$1</f>
        <v>0.78125</v>
      </c>
      <c r="BR1079" s="28" t="s">
        <v>155</v>
      </c>
      <c r="BS1079" s="8" t="s">
        <v>156</v>
      </c>
      <c r="BT1079" s="9" t="s">
        <v>845</v>
      </c>
      <c r="BU1079" s="10">
        <v>154</v>
      </c>
      <c r="BV1079" s="9" t="s">
        <v>163</v>
      </c>
      <c r="BW1079" s="10">
        <v>154</v>
      </c>
      <c r="BX1079" s="10">
        <v>153.6</v>
      </c>
      <c r="BY1079" s="10">
        <v>134</v>
      </c>
      <c r="BZ1079" s="10">
        <v>140</v>
      </c>
      <c r="CA1079" s="10">
        <v>109</v>
      </c>
      <c r="CB1079" s="10">
        <v>69</v>
      </c>
      <c r="CC1079" s="10">
        <v>97</v>
      </c>
      <c r="CD1079" s="10">
        <v>13.8</v>
      </c>
      <c r="CE1079" s="10">
        <v>1767</v>
      </c>
      <c r="CF1079" s="10">
        <v>0.71</v>
      </c>
      <c r="CG1079" s="10">
        <v>1256</v>
      </c>
      <c r="CH1079" s="10">
        <v>158</v>
      </c>
      <c r="CI1079" s="10">
        <v>52</v>
      </c>
      <c r="CJ1079" s="10">
        <v>37</v>
      </c>
      <c r="CK1079" s="10">
        <v>143</v>
      </c>
      <c r="CL1079" s="10">
        <v>5</v>
      </c>
      <c r="CM1079" s="10">
        <v>56</v>
      </c>
      <c r="CN1079" s="10">
        <v>0.123</v>
      </c>
      <c r="CO1079" s="10">
        <v>84</v>
      </c>
      <c r="CP1079" s="10">
        <v>53</v>
      </c>
      <c r="CQ1079" s="10">
        <v>59</v>
      </c>
      <c r="CR1079" s="10">
        <v>6</v>
      </c>
      <c r="CS1079" s="10">
        <v>12.4</v>
      </c>
      <c r="CT1079" s="9" t="s">
        <v>349</v>
      </c>
      <c r="CU1079" s="10"/>
      <c r="CV1079" s="10"/>
      <c r="CW1079" s="10"/>
      <c r="CX1079" t="str">
        <f>INDEX('Data_Price '!AG$2:AG$1266,MATCH(Data!$DN1079,'Data_Price '!$AT$2:$AT$1266,0))</f>
        <v>2020 Atomic Cloud 12 Ladies Snow Skis with L10 Bindings 154</v>
      </c>
      <c r="CY1079" t="str">
        <f>INDEX('Data_Price '!AH$2:AH$1266,MATCH(Data!$DN1079,'Data_Price '!$AT$2:$AT$1266,0))</f>
        <v>The Pro Shop</v>
      </c>
      <c r="CZ1079">
        <f>INDEX('Data_Price '!AI$2:AI$1266,MATCH(Data!$DN1079,'Data_Price '!$AT$2:$AT$1266,0))</f>
        <v>799.95</v>
      </c>
      <c r="DA1079" t="str">
        <f>INDEX('Data_Price '!AJ$2:AJ$1266,MATCH(Data!$DN1079,'Data_Price '!$AT$2:$AT$1266,0))</f>
        <v>https://tinyurl.com/ybvzjhrj</v>
      </c>
      <c r="DB1079" t="str">
        <f>INDEX('Data_Price '!AK$2:AK$1266,MATCH(Data!$DN1079,'Data_Price '!$AT$2:$AT$1266,0))</f>
        <v>Atomic Skis Vantage 75 + M 10 GW Womens - No Color - 154</v>
      </c>
      <c r="DC1079" t="str">
        <f>INDEX('Data_Price '!AL$2:AL$1266,MATCH(Data!$DN1079,'Data_Price '!$AT$2:$AT$1266,0))</f>
        <v>Level Nine Sports</v>
      </c>
      <c r="DD1079">
        <f>INDEX('Data_Price '!AM$2:AM$1266,MATCH(Data!$DN1079,'Data_Price '!$AT$2:$AT$1266,0))</f>
        <v>319.99</v>
      </c>
      <c r="DE1079" t="str">
        <f>INDEX('Data_Price '!AN$2:AN$1266,MATCH(Data!$DN1079,'Data_Price '!$AT$2:$AT$1266,0))</f>
        <v>https://tinyurl.com/ycwsbjsc</v>
      </c>
      <c r="DF1079">
        <f>INDEX('Data_Price '!AO$2:AO$1266,MATCH(Data!$DN1079,'Data_Price '!$AT$2:$AT$1266,0))</f>
        <v>0</v>
      </c>
      <c r="DG1079">
        <f>INDEX('Data_Price '!AP$2:AP$1266,MATCH(Data!$DN1079,'Data_Price '!$AT$2:$AT$1266,0))</f>
        <v>0</v>
      </c>
      <c r="DH1079">
        <f>INDEX('Data_Price '!AQ$2:AQ$1266,MATCH(Data!$DN1079,'Data_Price '!$AT$2:$AT$1266,0))</f>
        <v>0</v>
      </c>
      <c r="DI1079">
        <f>INDEX('Data_Price '!AR$2:AR$1266,MATCH(Data!$DN1079,'Data_Price '!$AT$2:$AT$1266,0))</f>
        <v>0</v>
      </c>
      <c r="DJ1079" s="89" t="str">
        <f t="shared" si="624"/>
        <v>https://tinyurl.com/ybvzjhrj</v>
      </c>
      <c r="DK1079" s="89" t="str">
        <f t="shared" si="625"/>
        <v>https://tinyurl.com/ycwsbjsc</v>
      </c>
      <c r="DL1079" s="89">
        <f t="shared" si="626"/>
        <v>0</v>
      </c>
      <c r="DM1079" s="219" t="str">
        <f t="shared" si="627"/>
        <v>Cloud C12 Servo</v>
      </c>
      <c r="DN1079" s="89" t="str">
        <f t="shared" si="628"/>
        <v xml:space="preserve"> AtomicCloud C12 Servo154 Women's</v>
      </c>
      <c r="DO1079" s="221"/>
    </row>
    <row r="1080" spans="2:119" ht="15.6" customHeight="1">
      <c r="B1080" s="219" t="b">
        <f t="array" ref="B1080">IF(OR(ISERROR(K1080:P1080)),FALSE,TRUE)</f>
        <v>1</v>
      </c>
      <c r="C1080" s="43" t="b">
        <f>OR(BR1080=Driver!$G$50,Data!BR429=Driver!$H$50)</f>
        <v>1</v>
      </c>
      <c r="D1080" s="43" t="b">
        <f>OR(BV1080=Driver!$G$51,BV1080=Driver!$H$51)</f>
        <v>1</v>
      </c>
      <c r="E1080" s="43" t="b">
        <f>AND(BX1080&gt;Driver!$F$54,BX1080&lt;Driver!$G$54)</f>
        <v>0</v>
      </c>
      <c r="F1080" s="43" t="b">
        <f>CL1080&gt;Driver!$F$56</f>
        <v>1</v>
      </c>
      <c r="G1080" s="43" t="b">
        <f>AND(CB1080&gt;Driver!$F$55,CB1080&lt;Driver!$G$55)</f>
        <v>0</v>
      </c>
      <c r="H1080" s="43" t="b">
        <f t="shared" si="592"/>
        <v>0</v>
      </c>
      <c r="I1080" s="43">
        <f t="shared" si="593"/>
        <v>0</v>
      </c>
      <c r="J1080" s="43" t="b">
        <f t="array" ref="J1080">NOT(OR(($H$9:$H$1273=TRUE)*($I$9:$I$1273&gt;0)*($BT$9:$BT$1273=BT1080)*($K$9:$K$1273&gt;K1080)))</f>
        <v>1</v>
      </c>
      <c r="K1080" s="72">
        <f t="shared" si="594"/>
        <v>0.76196030635428502</v>
      </c>
      <c r="L1080" s="72">
        <f t="shared" si="595"/>
        <v>0.77881580141748485</v>
      </c>
      <c r="M1080" s="72">
        <f t="shared" si="596"/>
        <v>0.74510481129108519</v>
      </c>
      <c r="N1080" s="72">
        <f t="shared" si="597"/>
        <v>0.84285009850091308</v>
      </c>
      <c r="O1080" s="72">
        <f t="shared" si="598"/>
        <v>0.57094845053739607</v>
      </c>
      <c r="P1080" s="72">
        <f t="shared" si="599"/>
        <v>0.82151588483494664</v>
      </c>
      <c r="Q1080" s="72"/>
      <c r="R1080" s="72"/>
      <c r="S1080" s="72">
        <f t="shared" si="600"/>
        <v>0.38532952028032674</v>
      </c>
      <c r="T1080" s="72">
        <f t="shared" si="601"/>
        <v>0.82788580296042014</v>
      </c>
      <c r="U1080" s="72">
        <f t="shared" si="602"/>
        <v>0.51</v>
      </c>
      <c r="V1080" s="72">
        <f t="shared" si="603"/>
        <v>0.52210573208630151</v>
      </c>
      <c r="W1080" s="72">
        <f t="shared" si="604"/>
        <v>0.82073170731707323</v>
      </c>
      <c r="X1080" s="72">
        <f t="shared" si="605"/>
        <v>0.22118419858251512</v>
      </c>
      <c r="Y1080" s="72">
        <f t="shared" si="606"/>
        <v>0.25489518870891475</v>
      </c>
      <c r="Z1080" s="72">
        <f t="shared" si="607"/>
        <v>0.15714990149908697</v>
      </c>
      <c r="AA1080" s="72">
        <f t="shared" si="608"/>
        <v>0.42905154946260388</v>
      </c>
      <c r="AB1080" s="72">
        <f t="shared" si="609"/>
        <v>0.17848411516505336</v>
      </c>
      <c r="AC1080" s="72"/>
      <c r="AD1080" s="72"/>
      <c r="AE1080" s="72">
        <f t="shared" si="610"/>
        <v>0.61467047971967326</v>
      </c>
      <c r="AF1080" s="72">
        <f t="shared" si="611"/>
        <v>0.17211419703957986</v>
      </c>
      <c r="AG1080" s="72">
        <f t="shared" si="612"/>
        <v>0.49</v>
      </c>
      <c r="AH1080" s="72">
        <f t="shared" si="613"/>
        <v>0.47789426791369849</v>
      </c>
      <c r="AI1080" s="72">
        <f t="shared" si="614"/>
        <v>0.17926829268292682</v>
      </c>
      <c r="AJ1080" s="72">
        <f>(AV1080-Driver!$K$179)/(Driver!$L$179-Driver!$K$179)</f>
        <v>3.3035210700185315E-2</v>
      </c>
      <c r="AK1080" s="72">
        <f>(AW1080-Driver!$K$180)/(Driver!$L$180-Driver!$K$180)</f>
        <v>8.6011154991826655E-2</v>
      </c>
      <c r="AL1080" s="72">
        <f>(AX1080-Driver!$K$181)/(Driver!$L$181-Driver!$K$181)</f>
        <v>0.25883766521216717</v>
      </c>
      <c r="AM1080" s="72">
        <f>(AY1080-Driver!$K$182)/(Driver!$L$182-Driver!$K$182)</f>
        <v>1.8333471634442502E-2</v>
      </c>
      <c r="AN1080" s="72">
        <f>(AZ1080-Driver!$K$183)/(Driver!$L$183-Driver!$K$183)</f>
        <v>7.5735294117647053E-2</v>
      </c>
      <c r="AO1080" s="72"/>
      <c r="AP1080" s="72"/>
      <c r="AQ1080" s="72">
        <f>(BC1080-Driver!$K$188)/(Driver!$L$188-Driver!$K$188)</f>
        <v>5.3295202803267149E-3</v>
      </c>
      <c r="AR1080" s="72">
        <f>MIN((BD1080-Driver!$K$189)/(Driver!$L$189-Driver!$K$189),100%)</f>
        <v>0.37788580296042018</v>
      </c>
      <c r="AS1080" s="72">
        <f>(BE1080-Driver!$K$190)/(Driver!$L$190-Driver!$K$190)</f>
        <v>1</v>
      </c>
      <c r="AT1080" s="72">
        <f>(BF1080-Driver!$K$191)/(Driver!$L$191-Driver!$K$191)</f>
        <v>3.210573208630154E-2</v>
      </c>
      <c r="AU1080" s="72">
        <f>(BG1080-Driver!$K$192)/(Driver!$L$192-Driver!$K$192)</f>
        <v>7.0731707317073164E-2</v>
      </c>
      <c r="AV1080" s="70">
        <f t="shared" si="615"/>
        <v>0.69529236195902855</v>
      </c>
      <c r="AW1080" s="70">
        <f t="shared" si="616"/>
        <v>10.254441811775845</v>
      </c>
      <c r="AX1080" s="70">
        <f t="shared" si="617"/>
        <v>3.3295389869095047</v>
      </c>
      <c r="AY1080" s="70">
        <f>IFERROR(Driver!$K$19/Data!BH1080/Data!BI1080*Data!BK1080*Data!BL1080,"")</f>
        <v>2.2445639460532744E-2</v>
      </c>
      <c r="AZ1080" s="70">
        <f t="shared" si="618"/>
        <v>6.9024571854058081</v>
      </c>
      <c r="BA1080" s="70"/>
      <c r="BB1080" s="70"/>
      <c r="BC1080" s="70">
        <f t="shared" si="619"/>
        <v>2.7644592196293685</v>
      </c>
      <c r="BD1080" s="70">
        <f t="shared" si="620"/>
        <v>35.163046872072847</v>
      </c>
      <c r="BE1080" s="70">
        <f t="shared" si="621"/>
        <v>1</v>
      </c>
      <c r="BF1080" s="70">
        <f t="shared" si="622"/>
        <v>3.6261168836142992</v>
      </c>
      <c r="BG1080" s="70">
        <f t="shared" si="623"/>
        <v>0.26783536585365852</v>
      </c>
      <c r="BH1080" s="67">
        <f>MAX((CE1080-Driver!$F$200)/(Driver!$G$200-Driver!$F$200)*$BI$1,1)</f>
        <v>3.3295389869095047</v>
      </c>
      <c r="BI1080" s="67">
        <f>MAX($BI$1*(BY1080-Driver!$F$201)/(Driver!$G$201-Driver!$F$201),1)</f>
        <v>6.518987341772152</v>
      </c>
      <c r="BJ1080" s="67">
        <f>(CB1080-Driver!$F$206)/(Driver!$G$206-Driver!$F$206)*$BI$1</f>
        <v>1.5873015873015872</v>
      </c>
      <c r="BK1080" s="67">
        <f>(CD1080-Driver!$F$203)/(Driver!$G$203-Driver!$F$203)*$BI$1</f>
        <v>0.50458715596330261</v>
      </c>
      <c r="BL1080" s="67">
        <f>MAX((CR1080-Driver!$F$202)/(Driver!$G$202-Driver!$F$202)*$BI$1,1)</f>
        <v>4.8275862068965516</v>
      </c>
      <c r="BM1080" s="67">
        <f>MAX((CH1080-Driver!$F$204)/(Driver!$G$204-Driver!$F$204)*$BI$1,1)</f>
        <v>1.7521367521367521</v>
      </c>
      <c r="BN1080" s="67">
        <f>(CI1080-Driver!$F$205)/(Driver!$G$205-Driver!$F$205)*$BI$1</f>
        <v>1.0588235294117647</v>
      </c>
      <c r="BO1080" s="67">
        <f>(CK1080-Driver!$F$207)/(Driver!$G$207-Driver!$F$207)*$BI$1</f>
        <v>0.78593588417786964</v>
      </c>
      <c r="BP1080" s="67">
        <f>(CM1080-Driver!$F$208)/(Driver!$G$208-Driver!$F$208)*$BI$1</f>
        <v>1.4666666666666668</v>
      </c>
      <c r="BQ1080" s="67">
        <f>(CL1080-Driver!$F$209)/(Driver!$G$209-Driver!$F$209)*$BI$1</f>
        <v>1.5625</v>
      </c>
      <c r="BR1080" s="28" t="s">
        <v>155</v>
      </c>
      <c r="BS1080" s="8" t="s">
        <v>164</v>
      </c>
      <c r="BT1080" s="9" t="s">
        <v>717</v>
      </c>
      <c r="BU1080" s="10">
        <v>144</v>
      </c>
      <c r="BV1080" s="9" t="s">
        <v>158</v>
      </c>
      <c r="BW1080" s="10">
        <v>144</v>
      </c>
      <c r="BX1080" s="10">
        <v>143.19999999999999</v>
      </c>
      <c r="BY1080" s="10">
        <v>111</v>
      </c>
      <c r="BZ1080" s="10">
        <v>130</v>
      </c>
      <c r="CA1080" s="10">
        <v>125</v>
      </c>
      <c r="CB1080" s="10">
        <v>74</v>
      </c>
      <c r="CC1080" s="10">
        <v>100</v>
      </c>
      <c r="CD1080" s="10">
        <v>10.5</v>
      </c>
      <c r="CE1080" s="10">
        <v>1485</v>
      </c>
      <c r="CF1080" s="10">
        <v>0.86</v>
      </c>
      <c r="CG1080" s="10">
        <v>1277</v>
      </c>
      <c r="CH1080" s="10">
        <v>142</v>
      </c>
      <c r="CI1080" s="10">
        <v>51</v>
      </c>
      <c r="CJ1080" s="10">
        <v>38</v>
      </c>
      <c r="CK1080" s="10">
        <v>186</v>
      </c>
      <c r="CL1080" s="10">
        <v>10</v>
      </c>
      <c r="CM1080" s="10">
        <v>132</v>
      </c>
      <c r="CN1080" s="10">
        <v>0.27400000000000002</v>
      </c>
      <c r="CO1080" s="10">
        <v>81</v>
      </c>
      <c r="CP1080" s="10">
        <v>55</v>
      </c>
      <c r="CQ1080" s="10">
        <v>105</v>
      </c>
      <c r="CR1080" s="10">
        <v>3</v>
      </c>
      <c r="CS1080" s="10">
        <v>10.1</v>
      </c>
      <c r="CT1080" s="9" t="s">
        <v>160</v>
      </c>
      <c r="CU1080" s="10"/>
      <c r="CV1080" s="10"/>
      <c r="CW1080" s="10"/>
      <c r="CX1080" t="str">
        <f>INDEX('Data_Price '!AG$2:AG$1266,MATCH(Data!$DN1080,'Data_Price '!$AT$2:$AT$1266,0))</f>
        <v>Elan Element LS Skis with El 10 GW Bindings 2022 144cm Black/Red</v>
      </c>
      <c r="CY1080" t="str">
        <f>INDEX('Data_Price '!AH$2:AH$1266,MATCH(Data!$DN1080,'Data_Price '!$AT$2:$AT$1266,0))</f>
        <v>eBay - asogear</v>
      </c>
      <c r="CZ1080">
        <f>INDEX('Data_Price '!AI$2:AI$1266,MATCH(Data!$DN1080,'Data_Price '!$AT$2:$AT$1266,0))</f>
        <v>317.99</v>
      </c>
      <c r="DA1080" t="str">
        <f>INDEX('Data_Price '!AJ$2:AJ$1266,MATCH(Data!$DN1080,'Data_Price '!$AT$2:$AT$1266,0))</f>
        <v>https://tinyurl.com/yb4wfq5h</v>
      </c>
      <c r="DB1080" t="str">
        <f>INDEX('Data_Price '!AK$2:AK$1266,MATCH(Data!$DN1080,'Data_Price '!$AT$2:$AT$1266,0))</f>
        <v>Mountain skiing with Mount Elan 2021-22 element W White LS + elw 9 shift (CM: 144) kant kaht</v>
      </c>
      <c r="DC1080" t="str">
        <f>INDEX('Data_Price '!AL$2:AL$1266,MATCH(Data!$DN1080,'Data_Price '!$AT$2:$AT$1266,0))</f>
        <v>AliExpress.com</v>
      </c>
      <c r="DD1080">
        <f>INDEX('Data_Price '!AM$2:AM$1266,MATCH(Data!$DN1080,'Data_Price '!$AT$2:$AT$1266,0))</f>
        <v>420.96</v>
      </c>
      <c r="DE1080" t="str">
        <f>INDEX('Data_Price '!AN$2:AN$1266,MATCH(Data!$DN1080,'Data_Price '!$AT$2:$AT$1266,0))</f>
        <v>https://tinyurl.com/ya8db2w2</v>
      </c>
      <c r="DF1080" t="str">
        <f>INDEX('Data_Price '!AO$2:AO$1266,MATCH(Data!$DN1080,'Data_Price '!$AT$2:$AT$1266,0))</f>
        <v>Elan Women's Element W Black Skis with Bindings Black 144 cm</v>
      </c>
      <c r="DG1080" t="str">
        <f>INDEX('Data_Price '!AP$2:AP$1266,MATCH(Data!$DN1080,'Data_Price '!$AT$2:$AT$1266,0))</f>
        <v>REI</v>
      </c>
      <c r="DH1080">
        <f>INDEX('Data_Price '!AQ$2:AQ$1266,MATCH(Data!$DN1080,'Data_Price '!$AT$2:$AT$1266,0))</f>
        <v>449.95</v>
      </c>
      <c r="DI1080" t="str">
        <f>INDEX('Data_Price '!AR$2:AR$1266,MATCH(Data!$DN1080,'Data_Price '!$AT$2:$AT$1266,0))</f>
        <v>https://tinyurl.com/ycszt33h</v>
      </c>
      <c r="DJ1080" s="89" t="str">
        <f t="shared" si="624"/>
        <v>https://tinyurl.com/yb4wfq5h</v>
      </c>
      <c r="DK1080" s="89" t="str">
        <f t="shared" si="625"/>
        <v>https://tinyurl.com/ya8db2w2</v>
      </c>
      <c r="DL1080" s="89" t="str">
        <f t="shared" si="626"/>
        <v>https://tinyurl.com/ycszt33h</v>
      </c>
      <c r="DM1080" s="219" t="str">
        <f t="shared" si="627"/>
        <v>Element</v>
      </c>
      <c r="DN1080" s="89" t="str">
        <f t="shared" si="628"/>
        <v xml:space="preserve"> ElanElement144 Unisex</v>
      </c>
      <c r="DO1080" s="221"/>
    </row>
    <row r="1081" spans="2:119" ht="15.6" customHeight="1">
      <c r="B1081" s="219" t="b">
        <f t="array" ref="B1081">IF(OR(ISERROR(K1081:P1081)),FALSE,TRUE)</f>
        <v>1</v>
      </c>
      <c r="C1081" s="43" t="b">
        <f>OR(BR1081=Driver!$G$50,Data!BR823=Driver!$H$50)</f>
        <v>1</v>
      </c>
      <c r="D1081" s="43" t="b">
        <f>OR(BV1081=Driver!$G$51,BV1081=Driver!$H$51)</f>
        <v>1</v>
      </c>
      <c r="E1081" s="43" t="b">
        <f>AND(BX1081&gt;Driver!$F$54,BX1081&lt;Driver!$G$54)</f>
        <v>0</v>
      </c>
      <c r="F1081" s="43" t="b">
        <f>CL1081&gt;Driver!$F$56</f>
        <v>1</v>
      </c>
      <c r="G1081" s="43" t="b">
        <f>AND(CB1081&gt;Driver!$F$55,CB1081&lt;Driver!$G$55)</f>
        <v>0</v>
      </c>
      <c r="H1081" s="43" t="b">
        <f t="shared" si="592"/>
        <v>0</v>
      </c>
      <c r="I1081" s="43">
        <f t="shared" si="593"/>
        <v>0</v>
      </c>
      <c r="J1081" s="43" t="b">
        <f t="array" ref="J1081">NOT(OR(($H$9:$H$1273=TRUE)*($I$9:$I$1273&gt;0)*($BT$9:$BT$1273=BT1081)*($K$9:$K$1273&gt;K1081)))</f>
        <v>1</v>
      </c>
      <c r="K1081" s="72">
        <f t="shared" si="594"/>
        <v>0.78405735964991552</v>
      </c>
      <c r="L1081" s="72">
        <f t="shared" si="595"/>
        <v>0.97557673929517397</v>
      </c>
      <c r="M1081" s="72">
        <f t="shared" si="596"/>
        <v>0.59253798000465707</v>
      </c>
      <c r="N1081" s="72">
        <f t="shared" si="597"/>
        <v>0.48491675251975819</v>
      </c>
      <c r="O1081" s="72">
        <f t="shared" si="598"/>
        <v>0.59926209193700286</v>
      </c>
      <c r="P1081" s="72">
        <f t="shared" si="599"/>
        <v>0.69343509555721017</v>
      </c>
      <c r="Q1081" s="72"/>
      <c r="R1081" s="72"/>
      <c r="S1081" s="72">
        <f t="shared" si="600"/>
        <v>0.48595353999286439</v>
      </c>
      <c r="T1081" s="72">
        <f t="shared" si="601"/>
        <v>0.59300859458974509</v>
      </c>
      <c r="U1081" s="72">
        <f t="shared" si="602"/>
        <v>0.64673918354891335</v>
      </c>
      <c r="V1081" s="72">
        <f t="shared" si="603"/>
        <v>0.53319082101134163</v>
      </c>
      <c r="W1081" s="72">
        <f t="shared" si="604"/>
        <v>0.78524628867147661</v>
      </c>
      <c r="X1081" s="72">
        <f t="shared" si="605"/>
        <v>2.4423260704826033E-2</v>
      </c>
      <c r="Y1081" s="72">
        <f t="shared" si="606"/>
        <v>0.40746201999534293</v>
      </c>
      <c r="Z1081" s="72">
        <f t="shared" si="607"/>
        <v>0.51508324748024181</v>
      </c>
      <c r="AA1081" s="72">
        <f t="shared" si="608"/>
        <v>0.40073790806299708</v>
      </c>
      <c r="AB1081" s="72">
        <f t="shared" si="609"/>
        <v>0.30656490444278978</v>
      </c>
      <c r="AC1081" s="72"/>
      <c r="AD1081" s="72"/>
      <c r="AE1081" s="72">
        <f t="shared" si="610"/>
        <v>0.51404646000713561</v>
      </c>
      <c r="AF1081" s="72">
        <f t="shared" si="611"/>
        <v>0.40699140541025491</v>
      </c>
      <c r="AG1081" s="72">
        <f t="shared" si="612"/>
        <v>0.35326081645108665</v>
      </c>
      <c r="AH1081" s="72">
        <f t="shared" si="613"/>
        <v>0.46680917898865837</v>
      </c>
      <c r="AI1081" s="72">
        <f t="shared" si="614"/>
        <v>0.21475371132852339</v>
      </c>
      <c r="AJ1081" s="72">
        <f>(AV1081-Driver!$K$179)/(Driver!$L$179-Driver!$K$179)</f>
        <v>0.22979614857787439</v>
      </c>
      <c r="AK1081" s="72">
        <f>(AW1081-Driver!$K$180)/(Driver!$L$180-Driver!$K$180)</f>
        <v>0.5730172955857874</v>
      </c>
      <c r="AL1081" s="72">
        <f>(AX1081-Driver!$K$181)/(Driver!$L$181-Driver!$K$181)</f>
        <v>0.61677101119332201</v>
      </c>
      <c r="AM1081" s="72">
        <f>(AY1081-Driver!$K$182)/(Driver!$L$182-Driver!$K$182)</f>
        <v>4.6647113034049281E-2</v>
      </c>
      <c r="AN1081" s="72">
        <f>(AZ1081-Driver!$K$183)/(Driver!$L$183-Driver!$K$183)</f>
        <v>0.5607843137254902</v>
      </c>
      <c r="AO1081" s="72"/>
      <c r="AP1081" s="72"/>
      <c r="AQ1081" s="72">
        <f>(BC1081-Driver!$K$188)/(Driver!$L$188-Driver!$K$188)</f>
        <v>0.1059535399928644</v>
      </c>
      <c r="AR1081" s="72">
        <f>MIN((BD1081-Driver!$K$189)/(Driver!$L$189-Driver!$K$189),100%)</f>
        <v>0.14300859458974513</v>
      </c>
      <c r="AS1081" s="72">
        <f>(BE1081-Driver!$K$190)/(Driver!$L$190-Driver!$K$190)</f>
        <v>0.15673918354891336</v>
      </c>
      <c r="AT1081" s="72">
        <f>(BF1081-Driver!$K$191)/(Driver!$L$191-Driver!$K$191)</f>
        <v>4.3190821011341619E-2</v>
      </c>
      <c r="AU1081" s="72">
        <f>(BG1081-Driver!$K$192)/(Driver!$L$192-Driver!$K$192)</f>
        <v>3.5246288671476597E-2</v>
      </c>
      <c r="AV1081" s="70">
        <f t="shared" si="615"/>
        <v>4.8365215031881688</v>
      </c>
      <c r="AW1081" s="70">
        <f t="shared" si="616"/>
        <v>57.717505526052953</v>
      </c>
      <c r="AX1081" s="70">
        <f t="shared" si="617"/>
        <v>6.5509391007398978</v>
      </c>
      <c r="AY1081" s="70">
        <f>IFERROR(Driver!$K$19/Data!BH1081/Data!BI1081*Data!BK1081*Data!BL1081,"")</f>
        <v>5.7109984508879212E-2</v>
      </c>
      <c r="AZ1081" s="70">
        <f t="shared" si="618"/>
        <v>51.109456440804173</v>
      </c>
      <c r="BA1081" s="70"/>
      <c r="BB1081" s="70"/>
      <c r="BC1081" s="70">
        <f t="shared" si="619"/>
        <v>54.95883777135888</v>
      </c>
      <c r="BD1081" s="70">
        <f t="shared" si="620"/>
        <v>14.376830109054801</v>
      </c>
      <c r="BE1081" s="70">
        <f t="shared" si="621"/>
        <v>0.15688961178726346</v>
      </c>
      <c r="BF1081" s="70">
        <f t="shared" si="622"/>
        <v>4.8780998005403378</v>
      </c>
      <c r="BG1081" s="70">
        <f t="shared" si="623"/>
        <v>0.13346493361160428</v>
      </c>
      <c r="BH1081" s="67">
        <f>MAX((CE1081-Driver!$F$200)/(Driver!$G$200-Driver!$F$200)*$BI$1,1)</f>
        <v>6.5509391007398978</v>
      </c>
      <c r="BI1081" s="67">
        <f>MAX($BI$1*(BY1081-Driver!$F$201)/(Driver!$G$201-Driver!$F$201),1)</f>
        <v>8.3544303797468356</v>
      </c>
      <c r="BJ1081" s="67">
        <f>(CB1081-Driver!$F$206)/(Driver!$G$206-Driver!$F$206)*$BI$1</f>
        <v>4.92063492063492</v>
      </c>
      <c r="BK1081" s="67">
        <f>(CD1081-Driver!$F$203)/(Driver!$G$203-Driver!$F$203)*$BI$1</f>
        <v>2.3853211009174311</v>
      </c>
      <c r="BL1081" s="67">
        <f>MAX((CR1081-Driver!$F$202)/(Driver!$G$202-Driver!$F$202)*$BI$1,1)</f>
        <v>6.5517241379310338</v>
      </c>
      <c r="BM1081" s="67">
        <f>MAX((CH1081-Driver!$F$204)/(Driver!$G$204-Driver!$F$204)*$BI$1,1)</f>
        <v>3.9316239316239314</v>
      </c>
      <c r="BN1081" s="67">
        <f>(CI1081-Driver!$F$205)/(Driver!$G$205-Driver!$F$205)*$BI$1</f>
        <v>6.1176470588235299</v>
      </c>
      <c r="BO1081" s="67">
        <f>(CK1081-Driver!$F$207)/(Driver!$G$207-Driver!$F$207)*$BI$1</f>
        <v>1.5201654601861427</v>
      </c>
      <c r="BP1081" s="67">
        <f>(CM1081-Driver!$F$208)/(Driver!$G$208-Driver!$F$208)*$BI$1</f>
        <v>1.5555555555555556</v>
      </c>
      <c r="BQ1081" s="67">
        <f>(CL1081-Driver!$F$209)/(Driver!$G$209-Driver!$F$209)*$BI$1</f>
        <v>3.4375</v>
      </c>
      <c r="BR1081" s="28" t="s">
        <v>155</v>
      </c>
      <c r="BS1081" s="8" t="s">
        <v>208</v>
      </c>
      <c r="BT1081" s="9" t="s">
        <v>633</v>
      </c>
      <c r="BU1081" s="10">
        <v>181</v>
      </c>
      <c r="BV1081" s="9" t="s">
        <v>158</v>
      </c>
      <c r="BW1081" s="10">
        <v>181</v>
      </c>
      <c r="BX1081" s="10">
        <v>179.7</v>
      </c>
      <c r="BY1081" s="10">
        <v>140</v>
      </c>
      <c r="BZ1081" s="10">
        <v>164</v>
      </c>
      <c r="CA1081" s="10">
        <v>154</v>
      </c>
      <c r="CB1081" s="10">
        <v>95</v>
      </c>
      <c r="CC1081" s="10">
        <v>124</v>
      </c>
      <c r="CD1081" s="10">
        <v>14.6</v>
      </c>
      <c r="CE1081" s="10">
        <v>2051</v>
      </c>
      <c r="CF1081" s="10">
        <v>0.99</v>
      </c>
      <c r="CG1081" s="10">
        <v>2027</v>
      </c>
      <c r="CH1081" s="10">
        <v>193</v>
      </c>
      <c r="CI1081" s="10">
        <v>137</v>
      </c>
      <c r="CJ1081" s="10">
        <v>35</v>
      </c>
      <c r="CK1081" s="10">
        <v>257</v>
      </c>
      <c r="CL1081" s="10">
        <v>22</v>
      </c>
      <c r="CM1081" s="10">
        <v>140</v>
      </c>
      <c r="CN1081" s="10">
        <v>0.628</v>
      </c>
      <c r="CO1081" s="10">
        <v>127</v>
      </c>
      <c r="CP1081" s="10">
        <v>26</v>
      </c>
      <c r="CQ1081" s="10">
        <v>130</v>
      </c>
      <c r="CR1081" s="10">
        <v>8</v>
      </c>
      <c r="CS1081" s="10">
        <v>6.8</v>
      </c>
      <c r="CT1081" s="9" t="s">
        <v>188</v>
      </c>
      <c r="CU1081" s="10"/>
      <c r="CV1081" s="10"/>
      <c r="CW1081" s="10"/>
      <c r="CX1081" t="str">
        <f>INDEX('Data_Price '!AG$2:AG$1266,MATCH(Data!$DN1081,'Data_Price '!$AT$2:$AT$1266,0))</f>
        <v>Line Blade Skis</v>
      </c>
      <c r="CY1081" t="str">
        <f>INDEX('Data_Price '!AH$2:AH$1266,MATCH(Data!$DN1081,'Data_Price '!$AT$2:$AT$1266,0))</f>
        <v>BobWards.com</v>
      </c>
      <c r="CZ1081">
        <f>INDEX('Data_Price '!AI$2:AI$1266,MATCH(Data!$DN1081,'Data_Price '!$AT$2:$AT$1266,0))</f>
        <v>540</v>
      </c>
      <c r="DA1081" t="str">
        <f>INDEX('Data_Price '!AJ$2:AJ$1266,MATCH(Data!$DN1081,'Data_Price '!$AT$2:$AT$1266,0))</f>
        <v>https://tinyurl.com/y8fwqm7x</v>
      </c>
      <c r="DB1081" t="str">
        <f>INDEX('Data_Price '!AK$2:AK$1266,MATCH(Data!$DN1081,'Data_Price '!$AT$2:$AT$1266,0))</f>
        <v>Line Blade Skis</v>
      </c>
      <c r="DC1081" t="str">
        <f>INDEX('Data_Price '!AL$2:AL$1266,MATCH(Data!$DN1081,'Data_Price '!$AT$2:$AT$1266,0))</f>
        <v>ColoradoSkiShop.com</v>
      </c>
      <c r="DD1081">
        <f>INDEX('Data_Price '!AM$2:AM$1266,MATCH(Data!$DN1081,'Data_Price '!$AT$2:$AT$1266,0))</f>
        <v>549</v>
      </c>
      <c r="DE1081" t="str">
        <f>INDEX('Data_Price '!AN$2:AN$1266,MATCH(Data!$DN1081,'Data_Price '!$AT$2:$AT$1266,0))</f>
        <v>https://tinyurl.com/ycxjq2mt</v>
      </c>
      <c r="DF1081" t="str">
        <f>INDEX('Data_Price '!AO$2:AO$1266,MATCH(Data!$DN1081,'Data_Price '!$AT$2:$AT$1266,0))</f>
        <v>Line Blade Skis</v>
      </c>
      <c r="DG1081" t="str">
        <f>INDEX('Data_Price '!AP$2:AP$1266,MATCH(Data!$DN1081,'Data_Price '!$AT$2:$AT$1266,0))</f>
        <v>The-House.com</v>
      </c>
      <c r="DH1081">
        <f>INDEX('Data_Price '!AQ$2:AQ$1266,MATCH(Data!$DN1081,'Data_Price '!$AT$2:$AT$1266,0))</f>
        <v>573.95000000000005</v>
      </c>
      <c r="DI1081" t="str">
        <f>INDEX('Data_Price '!AR$2:AR$1266,MATCH(Data!$DN1081,'Data_Price '!$AT$2:$AT$1266,0))</f>
        <v>https://tinyurl.com/ycokxnuy</v>
      </c>
      <c r="DJ1081" s="89" t="str">
        <f t="shared" si="624"/>
        <v>https://tinyurl.com/y8fwqm7x</v>
      </c>
      <c r="DK1081" s="89" t="str">
        <f t="shared" si="625"/>
        <v>https://tinyurl.com/ycxjq2mt</v>
      </c>
      <c r="DL1081" s="89" t="str">
        <f t="shared" si="626"/>
        <v>https://tinyurl.com/ycokxnuy</v>
      </c>
      <c r="DM1081" s="219" t="str">
        <f t="shared" si="627"/>
        <v>Blade</v>
      </c>
      <c r="DN1081" s="89" t="str">
        <f t="shared" si="628"/>
        <v xml:space="preserve"> LineBlade181 Unisex</v>
      </c>
      <c r="DO1081" s="221" t="s">
        <v>634</v>
      </c>
    </row>
    <row r="1082" spans="2:119" ht="15.6" customHeight="1">
      <c r="B1082" s="219" t="b">
        <f t="array" ref="B1082">IF(OR(ISERROR(K1082:P1082)),FALSE,TRUE)</f>
        <v>1</v>
      </c>
      <c r="C1082" s="43" t="b">
        <f>OR(BR1082=Driver!$G$50,Data!BR1169=Driver!$H$50)</f>
        <v>1</v>
      </c>
      <c r="D1082" s="43" t="b">
        <f>OR(BV1082=Driver!$G$51,BV1082=Driver!$H$51)</f>
        <v>0</v>
      </c>
      <c r="E1082" s="43" t="b">
        <f>AND(BX1082&gt;Driver!$F$54,BX1082&lt;Driver!$G$54)</f>
        <v>1</v>
      </c>
      <c r="F1082" s="43" t="b">
        <f>CL1082&gt;Driver!$F$56</f>
        <v>1</v>
      </c>
      <c r="G1082" s="43" t="b">
        <f>AND(CB1082&gt;Driver!$F$55,CB1082&lt;Driver!$G$55)</f>
        <v>0</v>
      </c>
      <c r="H1082" s="43" t="b">
        <f t="shared" si="592"/>
        <v>0</v>
      </c>
      <c r="I1082" s="43">
        <f t="shared" si="593"/>
        <v>0</v>
      </c>
      <c r="J1082" s="43" t="b">
        <f t="array" ref="J1082">NOT(OR(($H$9:$H$1273=TRUE)*($I$9:$I$1273&gt;0)*($BT$9:$BT$1273=BT1082)*($K$9:$K$1273&gt;K1082)))</f>
        <v>1</v>
      </c>
      <c r="K1082" s="72">
        <f t="shared" si="594"/>
        <v>0.84097716578853254</v>
      </c>
      <c r="L1082" s="72">
        <f t="shared" si="595"/>
        <v>0.84053524384758727</v>
      </c>
      <c r="M1082" s="72">
        <f t="shared" si="596"/>
        <v>0.84141908772947771</v>
      </c>
      <c r="N1082" s="72">
        <f t="shared" si="597"/>
        <v>0.98577048046511961</v>
      </c>
      <c r="O1082" s="72">
        <f t="shared" si="598"/>
        <v>0.63862122468575255</v>
      </c>
      <c r="P1082" s="72">
        <f t="shared" si="599"/>
        <v>0.89986555803756096</v>
      </c>
      <c r="Q1082" s="72"/>
      <c r="R1082" s="72"/>
      <c r="S1082" s="72">
        <f t="shared" si="600"/>
        <v>0.4024471744003475</v>
      </c>
      <c r="T1082" s="72">
        <f t="shared" si="601"/>
        <v>0.47586666938926414</v>
      </c>
      <c r="U1082" s="72">
        <f t="shared" si="602"/>
        <v>0.62227851742156193</v>
      </c>
      <c r="V1082" s="72">
        <f t="shared" si="603"/>
        <v>0.62425265338192926</v>
      </c>
      <c r="W1082" s="72">
        <f t="shared" si="604"/>
        <v>0.91877238360525271</v>
      </c>
      <c r="X1082" s="72">
        <f t="shared" si="605"/>
        <v>0.15946475615241279</v>
      </c>
      <c r="Y1082" s="72">
        <f t="shared" si="606"/>
        <v>0.15858091227052226</v>
      </c>
      <c r="Z1082" s="72">
        <f t="shared" si="607"/>
        <v>1.4229519534880358E-2</v>
      </c>
      <c r="AA1082" s="72">
        <f t="shared" si="608"/>
        <v>0.36137877531424739</v>
      </c>
      <c r="AB1082" s="72">
        <f t="shared" si="609"/>
        <v>0.10013444196243901</v>
      </c>
      <c r="AC1082" s="72"/>
      <c r="AD1082" s="72"/>
      <c r="AE1082" s="72">
        <f t="shared" si="610"/>
        <v>0.5975528255996525</v>
      </c>
      <c r="AF1082" s="72">
        <f t="shared" si="611"/>
        <v>0.52413333061073586</v>
      </c>
      <c r="AG1082" s="72">
        <f t="shared" si="612"/>
        <v>0.37772148257843807</v>
      </c>
      <c r="AH1082" s="72">
        <f t="shared" si="613"/>
        <v>0.37574734661807074</v>
      </c>
      <c r="AI1082" s="72">
        <f t="shared" si="614"/>
        <v>8.1227616394747321E-2</v>
      </c>
      <c r="AJ1082" s="72">
        <f>(AV1082-Driver!$K$179)/(Driver!$L$179-Driver!$K$179)</f>
        <v>9.4754653130287636E-2</v>
      </c>
      <c r="AK1082" s="72">
        <f>(AW1082-Driver!$K$180)/(Driver!$L$180-Driver!$K$180)</f>
        <v>0.14693222347320944</v>
      </c>
      <c r="AL1082" s="72">
        <f>(AX1082-Driver!$K$181)/(Driver!$L$181-Driver!$K$181)</f>
        <v>0.11591728324796054</v>
      </c>
      <c r="AM1082" s="72">
        <f>(AY1082-Driver!$K$182)/(Driver!$L$182-Driver!$K$182)</f>
        <v>8.6006245782798987E-2</v>
      </c>
      <c r="AN1082" s="72">
        <f>(AZ1082-Driver!$K$183)/(Driver!$L$183-Driver!$K$183)</f>
        <v>0.15408496732026142</v>
      </c>
      <c r="AO1082" s="72"/>
      <c r="AP1082" s="72"/>
      <c r="AQ1082" s="72">
        <f>(BC1082-Driver!$K$188)/(Driver!$L$188-Driver!$K$188)</f>
        <v>2.244717440034745E-2</v>
      </c>
      <c r="AR1082" s="72">
        <f>MIN((BD1082-Driver!$K$189)/(Driver!$L$189-Driver!$K$189),100%)</f>
        <v>2.5866669389264157E-2</v>
      </c>
      <c r="AS1082" s="72">
        <f>(BE1082-Driver!$K$190)/(Driver!$L$190-Driver!$K$190)</f>
        <v>0.13227851742156196</v>
      </c>
      <c r="AT1082" s="72">
        <f>(BF1082-Driver!$K$191)/(Driver!$L$191-Driver!$K$191)</f>
        <v>0.13425265338192929</v>
      </c>
      <c r="AU1082" s="72">
        <f>(BG1082-Driver!$K$192)/(Driver!$L$192-Driver!$K$192)</f>
        <v>0.16877238360525268</v>
      </c>
      <c r="AV1082" s="70">
        <f t="shared" si="615"/>
        <v>1.9943019943019942</v>
      </c>
      <c r="AW1082" s="70">
        <f t="shared" si="616"/>
        <v>16.191739750867924</v>
      </c>
      <c r="AX1082" s="70">
        <f t="shared" si="617"/>
        <v>2.0432555492316449</v>
      </c>
      <c r="AY1082" s="70">
        <f>IFERROR(Driver!$K$19/Data!BH1082/Data!BI1082*Data!BK1082*Data!BL1082,"")</f>
        <v>0.10529730662511121</v>
      </c>
      <c r="AZ1082" s="70">
        <f t="shared" si="618"/>
        <v>14.043186895011168</v>
      </c>
      <c r="BA1082" s="70"/>
      <c r="BB1082" s="70"/>
      <c r="BC1082" s="70">
        <f t="shared" si="619"/>
        <v>11.643505411684959</v>
      </c>
      <c r="BD1082" s="70">
        <f t="shared" si="620"/>
        <v>4.0099772920215297</v>
      </c>
      <c r="BE1082" s="70">
        <f t="shared" si="621"/>
        <v>0.13243330916743265</v>
      </c>
      <c r="BF1082" s="70">
        <f t="shared" si="622"/>
        <v>15.162894021218735</v>
      </c>
      <c r="BG1082" s="70">
        <f t="shared" si="623"/>
        <v>0.63907990947075211</v>
      </c>
      <c r="BH1082" s="67">
        <f>MAX((CE1082-Driver!$F$200)/(Driver!$G$200-Driver!$F$200)*$BI$1,1)</f>
        <v>2.0432555492316449</v>
      </c>
      <c r="BI1082" s="67">
        <f>MAX($BI$1*(BY1082-Driver!$F$201)/(Driver!$G$201-Driver!$F$201),1)</f>
        <v>5.8227848101265822</v>
      </c>
      <c r="BJ1082" s="67">
        <f>(CB1082-Driver!$F$206)/(Driver!$G$206-Driver!$F$206)*$BI$1</f>
        <v>3.333333333333333</v>
      </c>
      <c r="BK1082" s="67">
        <f>(CD1082-Driver!$F$203)/(Driver!$G$203-Driver!$F$203)*$BI$1</f>
        <v>1.5137614678899081</v>
      </c>
      <c r="BL1082" s="67">
        <f>MAX((CR1082-Driver!$F$202)/(Driver!$G$202-Driver!$F$202)*$BI$1,1)</f>
        <v>4.1379310344827589</v>
      </c>
      <c r="BM1082" s="67">
        <f>MAX((CH1082-Driver!$F$204)/(Driver!$G$204-Driver!$F$204)*$BI$1,1)</f>
        <v>2.3931623931623931</v>
      </c>
      <c r="BN1082" s="67">
        <f>(CI1082-Driver!$F$205)/(Driver!$G$205-Driver!$F$205)*$BI$1</f>
        <v>2.4117647058823528</v>
      </c>
      <c r="BO1082" s="67">
        <f>(CK1082-Driver!$F$207)/(Driver!$G$207-Driver!$F$207)*$BI$1</f>
        <v>2.7300930713547049</v>
      </c>
      <c r="BP1082" s="67">
        <f>(CM1082-Driver!$F$208)/(Driver!$G$208-Driver!$F$208)*$BI$1</f>
        <v>2.5222222222222221</v>
      </c>
      <c r="BQ1082" s="67">
        <f>(CL1082-Driver!$F$209)/(Driver!$G$209-Driver!$F$209)*$BI$1</f>
        <v>3.125</v>
      </c>
      <c r="BR1082" s="28" t="s">
        <v>155</v>
      </c>
      <c r="BS1082" s="8" t="s">
        <v>229</v>
      </c>
      <c r="BT1082" s="9" t="s">
        <v>806</v>
      </c>
      <c r="BU1082" s="10">
        <v>159</v>
      </c>
      <c r="BV1082" s="9" t="s">
        <v>163</v>
      </c>
      <c r="BW1082" s="10">
        <v>159</v>
      </c>
      <c r="BX1082" s="10">
        <v>160.19999999999999</v>
      </c>
      <c r="BY1082" s="10">
        <v>100</v>
      </c>
      <c r="BZ1082" s="10">
        <v>136</v>
      </c>
      <c r="CA1082" s="10">
        <v>128</v>
      </c>
      <c r="CB1082" s="10">
        <v>85</v>
      </c>
      <c r="CC1082" s="10">
        <v>110</v>
      </c>
      <c r="CD1082" s="10">
        <v>12.7</v>
      </c>
      <c r="CE1082" s="10">
        <v>1259</v>
      </c>
      <c r="CF1082" s="10">
        <v>1.26</v>
      </c>
      <c r="CG1082" s="10">
        <v>1589</v>
      </c>
      <c r="CH1082" s="10">
        <v>157</v>
      </c>
      <c r="CI1082" s="10">
        <v>74</v>
      </c>
      <c r="CJ1082" s="10">
        <v>49</v>
      </c>
      <c r="CK1082" s="10">
        <v>374</v>
      </c>
      <c r="CL1082" s="10">
        <v>20</v>
      </c>
      <c r="CM1082" s="10">
        <v>227</v>
      </c>
      <c r="CN1082" s="10">
        <v>0.40300000000000002</v>
      </c>
      <c r="CO1082" s="10">
        <v>143</v>
      </c>
      <c r="CP1082" s="10">
        <v>101</v>
      </c>
      <c r="CQ1082" s="10">
        <v>231</v>
      </c>
      <c r="CR1082" s="10">
        <v>1</v>
      </c>
      <c r="CS1082" s="10">
        <v>11.5</v>
      </c>
      <c r="CT1082" s="9" t="s">
        <v>188</v>
      </c>
      <c r="CU1082" s="9" t="s">
        <v>185</v>
      </c>
      <c r="CV1082" s="9" t="s">
        <v>198</v>
      </c>
      <c r="CW1082" s="10"/>
      <c r="CX1082" t="e">
        <f>INDEX('Data_Price '!AG$2:AG$1266,MATCH(Data!$DN1082,'Data_Price '!$AT$2:$AT$1266,0))</f>
        <v>#N/A</v>
      </c>
      <c r="CY1082" t="e">
        <f>INDEX('Data_Price '!AH$2:AH$1266,MATCH(Data!$DN1082,'Data_Price '!$AT$2:$AT$1266,0))</f>
        <v>#N/A</v>
      </c>
      <c r="CZ1082" t="e">
        <f>INDEX('Data_Price '!AI$2:AI$1266,MATCH(Data!$DN1082,'Data_Price '!$AT$2:$AT$1266,0))</f>
        <v>#N/A</v>
      </c>
      <c r="DA1082" t="e">
        <f>INDEX('Data_Price '!AJ$2:AJ$1266,MATCH(Data!$DN1082,'Data_Price '!$AT$2:$AT$1266,0))</f>
        <v>#N/A</v>
      </c>
      <c r="DB1082" t="e">
        <f>INDEX('Data_Price '!AK$2:AK$1266,MATCH(Data!$DN1082,'Data_Price '!$AT$2:$AT$1266,0))</f>
        <v>#N/A</v>
      </c>
      <c r="DC1082" t="e">
        <f>INDEX('Data_Price '!AL$2:AL$1266,MATCH(Data!$DN1082,'Data_Price '!$AT$2:$AT$1266,0))</f>
        <v>#N/A</v>
      </c>
      <c r="DD1082" t="e">
        <f>INDEX('Data_Price '!AM$2:AM$1266,MATCH(Data!$DN1082,'Data_Price '!$AT$2:$AT$1266,0))</f>
        <v>#N/A</v>
      </c>
      <c r="DE1082" t="e">
        <f>INDEX('Data_Price '!AN$2:AN$1266,MATCH(Data!$DN1082,'Data_Price '!$AT$2:$AT$1266,0))</f>
        <v>#N/A</v>
      </c>
      <c r="DF1082" t="e">
        <f>INDEX('Data_Price '!AO$2:AO$1266,MATCH(Data!$DN1082,'Data_Price '!$AT$2:$AT$1266,0))</f>
        <v>#N/A</v>
      </c>
      <c r="DG1082" t="e">
        <f>INDEX('Data_Price '!AP$2:AP$1266,MATCH(Data!$DN1082,'Data_Price '!$AT$2:$AT$1266,0))</f>
        <v>#N/A</v>
      </c>
      <c r="DH1082" t="e">
        <f>INDEX('Data_Price '!AQ$2:AQ$1266,MATCH(Data!$DN1082,'Data_Price '!$AT$2:$AT$1266,0))</f>
        <v>#N/A</v>
      </c>
      <c r="DI1082" t="e">
        <f>INDEX('Data_Price '!AR$2:AR$1266,MATCH(Data!$DN1082,'Data_Price '!$AT$2:$AT$1266,0))</f>
        <v>#N/A</v>
      </c>
      <c r="DJ1082" s="89" t="e">
        <f t="shared" si="624"/>
        <v>#N/A</v>
      </c>
      <c r="DK1082" s="89" t="e">
        <f t="shared" si="625"/>
        <v>#N/A</v>
      </c>
      <c r="DL1082" s="89" t="e">
        <f t="shared" si="626"/>
        <v>#N/A</v>
      </c>
      <c r="DM1082" s="219" t="str">
        <f t="shared" si="627"/>
        <v>Blaze 86 W</v>
      </c>
      <c r="DN1082" s="89" t="str">
        <f t="shared" si="628"/>
        <v xml:space="preserve"> VölklBlaze 86 W159 Women's</v>
      </c>
      <c r="DO1082" s="221" t="s">
        <v>625</v>
      </c>
    </row>
    <row r="1083" spans="2:119" ht="15.6" customHeight="1">
      <c r="B1083" s="219" t="b">
        <f t="array" ref="B1083">IF(OR(ISERROR(K1083:P1083)),FALSE,TRUE)</f>
        <v>1</v>
      </c>
      <c r="C1083" s="43" t="b">
        <f>OR(BR1083=Driver!$G$50,Data!BR539=Driver!$H$50)</f>
        <v>1</v>
      </c>
      <c r="D1083" s="43" t="b">
        <f>OR(BV1083=Driver!$G$51,BV1083=Driver!$H$51)</f>
        <v>0</v>
      </c>
      <c r="E1083" s="43" t="b">
        <f>AND(BX1083&gt;Driver!$F$54,BX1083&lt;Driver!$G$54)</f>
        <v>1</v>
      </c>
      <c r="F1083" s="43" t="b">
        <f>CL1083&gt;Driver!$F$56</f>
        <v>1</v>
      </c>
      <c r="G1083" s="43" t="b">
        <f>AND(CB1083&gt;Driver!$F$55,CB1083&lt;Driver!$G$55)</f>
        <v>0</v>
      </c>
      <c r="H1083" s="43" t="b">
        <f t="shared" si="592"/>
        <v>0</v>
      </c>
      <c r="I1083" s="43">
        <f t="shared" si="593"/>
        <v>0</v>
      </c>
      <c r="J1083" s="43" t="b">
        <f t="array" ref="J1083">NOT(OR(($H$9:$H$1273=TRUE)*($I$9:$I$1273&gt;0)*($BT$9:$BT$1273=BT1083)*($K$9:$K$1273&gt;K1083)))</f>
        <v>1</v>
      </c>
      <c r="K1083" s="72">
        <f t="shared" si="594"/>
        <v>0.7982461378131992</v>
      </c>
      <c r="L1083" s="72">
        <f t="shared" si="595"/>
        <v>0.82554853850555188</v>
      </c>
      <c r="M1083" s="72">
        <f t="shared" si="596"/>
        <v>0.77094373712084652</v>
      </c>
      <c r="N1083" s="72">
        <f t="shared" si="597"/>
        <v>0.85865987526686505</v>
      </c>
      <c r="O1083" s="72">
        <f t="shared" si="598"/>
        <v>0.65692015714308083</v>
      </c>
      <c r="P1083" s="72">
        <f t="shared" si="599"/>
        <v>0.79725117895259368</v>
      </c>
      <c r="Q1083" s="72"/>
      <c r="R1083" s="72"/>
      <c r="S1083" s="72">
        <f t="shared" si="600"/>
        <v>0.38815664935991145</v>
      </c>
      <c r="T1083" s="72">
        <f t="shared" si="601"/>
        <v>0.4585330661854855</v>
      </c>
      <c r="U1083" s="72">
        <f t="shared" si="602"/>
        <v>0.59438061131313691</v>
      </c>
      <c r="V1083" s="72">
        <f t="shared" si="603"/>
        <v>0.55373199041052468</v>
      </c>
      <c r="W1083" s="72">
        <f t="shared" si="604"/>
        <v>0.79558035714285713</v>
      </c>
      <c r="X1083" s="72">
        <f t="shared" si="605"/>
        <v>0.17445146149444807</v>
      </c>
      <c r="Y1083" s="72">
        <f t="shared" si="606"/>
        <v>0.22905626287915348</v>
      </c>
      <c r="Z1083" s="72">
        <f t="shared" si="607"/>
        <v>0.14134012473313495</v>
      </c>
      <c r="AA1083" s="72">
        <f t="shared" si="608"/>
        <v>0.34307984285691917</v>
      </c>
      <c r="AB1083" s="72">
        <f t="shared" si="609"/>
        <v>0.20274882104740632</v>
      </c>
      <c r="AC1083" s="72"/>
      <c r="AD1083" s="72"/>
      <c r="AE1083" s="72">
        <f t="shared" si="610"/>
        <v>0.61184335064008855</v>
      </c>
      <c r="AF1083" s="72">
        <f t="shared" si="611"/>
        <v>0.5414669338145145</v>
      </c>
      <c r="AG1083" s="72">
        <f t="shared" si="612"/>
        <v>0.40561938868686315</v>
      </c>
      <c r="AH1083" s="72">
        <f t="shared" si="613"/>
        <v>0.44626800958947527</v>
      </c>
      <c r="AI1083" s="72">
        <f t="shared" si="614"/>
        <v>0.20441964285714287</v>
      </c>
      <c r="AJ1083" s="72">
        <f>(AV1083-Driver!$K$179)/(Driver!$L$179-Driver!$K$179)</f>
        <v>7.9767947788252344E-2</v>
      </c>
      <c r="AK1083" s="72">
        <f>(AW1083-Driver!$K$180)/(Driver!$L$180-Driver!$K$180)</f>
        <v>6.2939883534749552E-2</v>
      </c>
      <c r="AL1083" s="72">
        <f>(AX1083-Driver!$K$181)/(Driver!$L$181-Driver!$K$181)</f>
        <v>0.24302788844621512</v>
      </c>
      <c r="AM1083" s="72">
        <f>(AY1083-Driver!$K$182)/(Driver!$L$182-Driver!$K$182)</f>
        <v>0.10430517824012718</v>
      </c>
      <c r="AN1083" s="72">
        <f>(AZ1083-Driver!$K$183)/(Driver!$L$183-Driver!$K$183)</f>
        <v>5.1470588235294115E-2</v>
      </c>
      <c r="AO1083" s="72"/>
      <c r="AP1083" s="72"/>
      <c r="AQ1083" s="72">
        <f>(BC1083-Driver!$K$188)/(Driver!$L$188-Driver!$K$188)</f>
        <v>8.1566493599114151E-3</v>
      </c>
      <c r="AR1083" s="72">
        <f>MIN((BD1083-Driver!$K$189)/(Driver!$L$189-Driver!$K$189),100%)</f>
        <v>8.5330661854854956E-3</v>
      </c>
      <c r="AS1083" s="72">
        <f>(BE1083-Driver!$K$190)/(Driver!$L$190-Driver!$K$190)</f>
        <v>0.10438061131313686</v>
      </c>
      <c r="AT1083" s="72">
        <f>(BF1083-Driver!$K$191)/(Driver!$L$191-Driver!$K$191)</f>
        <v>6.3731990410524741E-2</v>
      </c>
      <c r="AU1083" s="72">
        <f>(BG1083-Driver!$K$192)/(Driver!$L$192-Driver!$K$192)</f>
        <v>0.45441964285714287</v>
      </c>
      <c r="AV1083" s="70">
        <f t="shared" si="615"/>
        <v>1.6788766788766787</v>
      </c>
      <c r="AW1083" s="70">
        <f t="shared" si="616"/>
        <v>8.005941976022001</v>
      </c>
      <c r="AX1083" s="70">
        <f t="shared" si="617"/>
        <v>3.1872509960159361</v>
      </c>
      <c r="AY1083" s="70">
        <f>IFERROR(Driver!$K$19/Data!BH1083/Data!BI1083*Data!BK1083*Data!BL1083,"")</f>
        <v>0.12770065982736023</v>
      </c>
      <c r="AZ1083" s="70">
        <f t="shared" si="618"/>
        <v>4.6909903201787042</v>
      </c>
      <c r="BA1083" s="70"/>
      <c r="BB1083" s="70"/>
      <c r="BC1083" s="70">
        <f t="shared" si="619"/>
        <v>4.2309107270924571</v>
      </c>
      <c r="BD1083" s="70">
        <f t="shared" si="620"/>
        <v>2.4759841218145922</v>
      </c>
      <c r="BE1083" s="70">
        <f t="shared" si="621"/>
        <v>0.104540379731453</v>
      </c>
      <c r="BF1083" s="70">
        <f t="shared" si="622"/>
        <v>7.1980805742956715</v>
      </c>
      <c r="BG1083" s="70">
        <f t="shared" si="623"/>
        <v>1.7207226562500002</v>
      </c>
      <c r="BH1083" s="67">
        <f>MAX((CE1083-Driver!$F$200)/(Driver!$G$200-Driver!$F$200)*$BI$1,1)</f>
        <v>3.1872509960159361</v>
      </c>
      <c r="BI1083" s="67">
        <f>MAX($BI$1*(BY1083-Driver!$F$201)/(Driver!$G$201-Driver!$F$201),1)</f>
        <v>6.6455696202531644</v>
      </c>
      <c r="BJ1083" s="67">
        <f>(CB1083-Driver!$F$206)/(Driver!$G$206-Driver!$F$206)*$BI$1</f>
        <v>5.2380952380952381</v>
      </c>
      <c r="BK1083" s="67">
        <f>(CD1083-Driver!$F$203)/(Driver!$G$203-Driver!$F$203)*$BI$1</f>
        <v>2.0642201834862388</v>
      </c>
      <c r="BL1083" s="67">
        <f>MAX((CR1083-Driver!$F$202)/(Driver!$G$202-Driver!$F$202)*$BI$1,1)</f>
        <v>6.5517241379310338</v>
      </c>
      <c r="BM1083" s="67">
        <f>MAX((CH1083-Driver!$F$204)/(Driver!$G$204-Driver!$F$204)*$BI$1,1)</f>
        <v>1.2820512820512819</v>
      </c>
      <c r="BN1083" s="67">
        <f>(CI1083-Driver!$F$205)/(Driver!$G$205-Driver!$F$205)*$BI$1</f>
        <v>0.70588235294117641</v>
      </c>
      <c r="BO1083" s="67">
        <f>(CK1083-Driver!$F$207)/(Driver!$G$207-Driver!$F$207)*$BI$1</f>
        <v>1.2099276111685624</v>
      </c>
      <c r="BP1083" s="67">
        <f>(CM1083-Driver!$F$208)/(Driver!$G$208-Driver!$F$208)*$BI$1</f>
        <v>2.3444444444444446</v>
      </c>
      <c r="BQ1083" s="67">
        <f>(CL1083-Driver!$F$209)/(Driver!$G$209-Driver!$F$209)*$BI$1</f>
        <v>7.03125</v>
      </c>
      <c r="BR1083" s="28" t="s">
        <v>155</v>
      </c>
      <c r="BS1083" s="8" t="s">
        <v>205</v>
      </c>
      <c r="BT1083" s="9" t="s">
        <v>859</v>
      </c>
      <c r="BU1083" s="10">
        <v>159</v>
      </c>
      <c r="BV1083" s="9" t="s">
        <v>385</v>
      </c>
      <c r="BW1083" s="10">
        <v>159</v>
      </c>
      <c r="BX1083" s="10">
        <v>157.1</v>
      </c>
      <c r="BY1083" s="10">
        <v>113</v>
      </c>
      <c r="BZ1083" s="10">
        <v>133</v>
      </c>
      <c r="CA1083" s="10">
        <v>128</v>
      </c>
      <c r="CB1083" s="10">
        <v>97</v>
      </c>
      <c r="CC1083" s="10">
        <v>124</v>
      </c>
      <c r="CD1083" s="10">
        <v>13.9</v>
      </c>
      <c r="CE1083" s="10">
        <v>1460</v>
      </c>
      <c r="CF1083" s="10">
        <v>1.1599999999999999</v>
      </c>
      <c r="CG1083" s="10">
        <v>1699</v>
      </c>
      <c r="CH1083" s="10">
        <v>131</v>
      </c>
      <c r="CI1083" s="10">
        <v>45</v>
      </c>
      <c r="CJ1083" s="10">
        <v>52</v>
      </c>
      <c r="CK1083" s="10">
        <v>227</v>
      </c>
      <c r="CL1083" s="10">
        <v>45</v>
      </c>
      <c r="CM1083" s="10">
        <v>211</v>
      </c>
      <c r="CN1083" s="10">
        <v>0.874</v>
      </c>
      <c r="CO1083" s="10">
        <v>128</v>
      </c>
      <c r="CP1083" s="10">
        <v>113</v>
      </c>
      <c r="CQ1083" s="10">
        <v>99</v>
      </c>
      <c r="CR1083" s="10">
        <v>8</v>
      </c>
      <c r="CS1083" s="10">
        <v>3.4</v>
      </c>
      <c r="CT1083" s="9" t="s">
        <v>184</v>
      </c>
      <c r="CU1083" s="9" t="s">
        <v>185</v>
      </c>
      <c r="CV1083" s="10"/>
      <c r="CW1083" s="10"/>
      <c r="CX1083">
        <f>INDEX('Data_Price '!AG$2:AG$1266,MATCH(Data!$DN1083,'Data_Price '!$AT$2:$AT$1266,0))</f>
        <v>0</v>
      </c>
      <c r="CY1083">
        <f>INDEX('Data_Price '!AH$2:AH$1266,MATCH(Data!$DN1083,'Data_Price '!$AT$2:$AT$1266,0))</f>
        <v>0</v>
      </c>
      <c r="CZ1083">
        <f>INDEX('Data_Price '!AI$2:AI$1266,MATCH(Data!$DN1083,'Data_Price '!$AT$2:$AT$1266,0))</f>
        <v>0</v>
      </c>
      <c r="DA1083">
        <f>INDEX('Data_Price '!AJ$2:AJ$1266,MATCH(Data!$DN1083,'Data_Price '!$AT$2:$AT$1266,0))</f>
        <v>0</v>
      </c>
      <c r="DB1083">
        <f>INDEX('Data_Price '!AK$2:AK$1266,MATCH(Data!$DN1083,'Data_Price '!$AT$2:$AT$1266,0))</f>
        <v>0</v>
      </c>
      <c r="DC1083">
        <f>INDEX('Data_Price '!AL$2:AL$1266,MATCH(Data!$DN1083,'Data_Price '!$AT$2:$AT$1266,0))</f>
        <v>0</v>
      </c>
      <c r="DD1083">
        <f>INDEX('Data_Price '!AM$2:AM$1266,MATCH(Data!$DN1083,'Data_Price '!$AT$2:$AT$1266,0))</f>
        <v>0</v>
      </c>
      <c r="DE1083">
        <f>INDEX('Data_Price '!AN$2:AN$1266,MATCH(Data!$DN1083,'Data_Price '!$AT$2:$AT$1266,0))</f>
        <v>0</v>
      </c>
      <c r="DF1083">
        <f>INDEX('Data_Price '!AO$2:AO$1266,MATCH(Data!$DN1083,'Data_Price '!$AT$2:$AT$1266,0))</f>
        <v>0</v>
      </c>
      <c r="DG1083">
        <f>INDEX('Data_Price '!AP$2:AP$1266,MATCH(Data!$DN1083,'Data_Price '!$AT$2:$AT$1266,0))</f>
        <v>0</v>
      </c>
      <c r="DH1083">
        <f>INDEX('Data_Price '!AQ$2:AQ$1266,MATCH(Data!$DN1083,'Data_Price '!$AT$2:$AT$1266,0))</f>
        <v>0</v>
      </c>
      <c r="DI1083">
        <f>INDEX('Data_Price '!AR$2:AR$1266,MATCH(Data!$DN1083,'Data_Price '!$AT$2:$AT$1266,0))</f>
        <v>0</v>
      </c>
      <c r="DJ1083" s="89">
        <f t="shared" si="624"/>
        <v>0</v>
      </c>
      <c r="DK1083" s="89">
        <f t="shared" si="625"/>
        <v>0</v>
      </c>
      <c r="DL1083" s="89">
        <f t="shared" si="626"/>
        <v>0</v>
      </c>
      <c r="DM1083" s="219" t="str">
        <f t="shared" si="627"/>
        <v>Prodigy 2.0 Jr</v>
      </c>
      <c r="DN1083" s="89" t="str">
        <f t="shared" si="628"/>
        <v xml:space="preserve"> FactionProdigy 2.0 Jr159 Junior</v>
      </c>
      <c r="DO1083" s="221"/>
    </row>
    <row r="1084" spans="2:119" ht="15.6" customHeight="1">
      <c r="B1084" s="219" t="b">
        <f t="array" ref="B1084">IF(OR(ISERROR(K1084:P1084)),FALSE,TRUE)</f>
        <v>1</v>
      </c>
      <c r="C1084" s="43" t="b">
        <f>OR(BR1084=Driver!$G$50,Data!BR350=Driver!$H$50)</f>
        <v>1</v>
      </c>
      <c r="D1084" s="43" t="b">
        <f>OR(BV1084=Driver!$G$51,BV1084=Driver!$H$51)</f>
        <v>1</v>
      </c>
      <c r="E1084" s="43" t="b">
        <f>AND(BX1084&gt;Driver!$F$54,BX1084&lt;Driver!$G$54)</f>
        <v>0</v>
      </c>
      <c r="F1084" s="43" t="b">
        <f>CL1084&gt;Driver!$F$56</f>
        <v>1</v>
      </c>
      <c r="G1084" s="43" t="b">
        <f>AND(CB1084&gt;Driver!$F$55,CB1084&lt;Driver!$G$55)</f>
        <v>0</v>
      </c>
      <c r="H1084" s="43" t="b">
        <f t="shared" si="592"/>
        <v>0</v>
      </c>
      <c r="I1084" s="43">
        <f t="shared" si="593"/>
        <v>0</v>
      </c>
      <c r="J1084" s="43" t="b">
        <f t="array" ref="J1084">NOT(OR(($H$9:$H$1273=TRUE)*($I$9:$I$1273&gt;0)*($BT$9:$BT$1273=BT1084)*($K$9:$K$1273&gt;K1084)))</f>
        <v>1</v>
      </c>
      <c r="K1084" s="72">
        <f t="shared" si="594"/>
        <v>0.71700808355819368</v>
      </c>
      <c r="L1084" s="72">
        <f t="shared" si="595"/>
        <v>0.82492281754956065</v>
      </c>
      <c r="M1084" s="72">
        <f t="shared" si="596"/>
        <v>0.6090933495668267</v>
      </c>
      <c r="N1084" s="72">
        <f t="shared" si="597"/>
        <v>0.47037175789508234</v>
      </c>
      <c r="O1084" s="72">
        <f t="shared" si="598"/>
        <v>0.63884084230701121</v>
      </c>
      <c r="P1084" s="72">
        <f t="shared" si="599"/>
        <v>0.71806744849838666</v>
      </c>
      <c r="Q1084" s="72"/>
      <c r="R1084" s="72"/>
      <c r="S1084" s="72">
        <f t="shared" si="600"/>
        <v>0.55715762179466943</v>
      </c>
      <c r="T1084" s="72">
        <f t="shared" si="601"/>
        <v>0.5459406130697172</v>
      </c>
      <c r="U1084" s="72">
        <f t="shared" si="602"/>
        <v>0.56318129550331919</v>
      </c>
      <c r="V1084" s="72">
        <f t="shared" si="603"/>
        <v>0.53844827390767458</v>
      </c>
      <c r="W1084" s="72">
        <f t="shared" si="604"/>
        <v>0.77343339932777755</v>
      </c>
      <c r="X1084" s="72">
        <f t="shared" si="605"/>
        <v>0.17507718245043941</v>
      </c>
      <c r="Y1084" s="72">
        <f t="shared" si="606"/>
        <v>0.3909066504331733</v>
      </c>
      <c r="Z1084" s="72">
        <f t="shared" si="607"/>
        <v>0.52962824210491766</v>
      </c>
      <c r="AA1084" s="72">
        <f t="shared" si="608"/>
        <v>0.36115915769298879</v>
      </c>
      <c r="AB1084" s="72">
        <f t="shared" si="609"/>
        <v>0.28193255150161339</v>
      </c>
      <c r="AC1084" s="72"/>
      <c r="AD1084" s="72"/>
      <c r="AE1084" s="72">
        <f t="shared" si="610"/>
        <v>0.44284237820533051</v>
      </c>
      <c r="AF1084" s="72">
        <f t="shared" si="611"/>
        <v>0.4540593869302828</v>
      </c>
      <c r="AG1084" s="72">
        <f t="shared" si="612"/>
        <v>0.43681870449668081</v>
      </c>
      <c r="AH1084" s="72">
        <f t="shared" si="613"/>
        <v>0.46155172609232542</v>
      </c>
      <c r="AI1084" s="72">
        <f t="shared" si="614"/>
        <v>0.22656660067222248</v>
      </c>
      <c r="AJ1084" s="72">
        <f>(AV1084-Driver!$K$179)/(Driver!$L$179-Driver!$K$179)</f>
        <v>0.42929659173313983</v>
      </c>
      <c r="AK1084" s="72">
        <f>(AW1084-Driver!$K$180)/(Driver!$L$180-Driver!$K$180)</f>
        <v>0.55182258051726174</v>
      </c>
      <c r="AL1084" s="72">
        <f>(AX1084-Driver!$K$181)/(Driver!$L$181-Driver!$K$181)</f>
        <v>0.63131600581799785</v>
      </c>
      <c r="AM1084" s="72">
        <f>(AY1084-Driver!$K$182)/(Driver!$L$182-Driver!$K$182)</f>
        <v>8.6225863404057593E-2</v>
      </c>
      <c r="AN1084" s="72">
        <f>(AZ1084-Driver!$K$183)/(Driver!$L$183-Driver!$K$183)</f>
        <v>0.53615196078431382</v>
      </c>
      <c r="AO1084" s="72"/>
      <c r="AP1084" s="72"/>
      <c r="AQ1084" s="72">
        <f>(BC1084-Driver!$K$188)/(Driver!$L$188-Driver!$K$188)</f>
        <v>0.17715762179466948</v>
      </c>
      <c r="AR1084" s="72">
        <f>MIN((BD1084-Driver!$K$189)/(Driver!$L$189-Driver!$K$189),100%)</f>
        <v>9.5940613069717254E-2</v>
      </c>
      <c r="AS1084" s="72">
        <f>(BE1084-Driver!$K$190)/(Driver!$L$190-Driver!$K$190)</f>
        <v>7.3181295503319213E-2</v>
      </c>
      <c r="AT1084" s="72">
        <f>(BF1084-Driver!$K$191)/(Driver!$L$191-Driver!$K$191)</f>
        <v>4.8448273907674561E-2</v>
      </c>
      <c r="AU1084" s="72">
        <f>(BG1084-Driver!$K$192)/(Driver!$L$192-Driver!$K$192)</f>
        <v>2.3433399327777521E-2</v>
      </c>
      <c r="AV1084" s="70">
        <f t="shared" si="615"/>
        <v>9.0354090354090335</v>
      </c>
      <c r="AW1084" s="70">
        <f t="shared" si="616"/>
        <v>55.651892738344593</v>
      </c>
      <c r="AX1084" s="70">
        <f t="shared" si="617"/>
        <v>6.6818440523619804</v>
      </c>
      <c r="AY1084" s="70">
        <f>IFERROR(Driver!$K$19/Data!BH1084/Data!BI1084*Data!BK1084*Data!BL1084,"")</f>
        <v>0.10556618412110545</v>
      </c>
      <c r="AZ1084" s="70">
        <f t="shared" si="618"/>
        <v>48.864482501861509</v>
      </c>
      <c r="BA1084" s="70"/>
      <c r="BB1084" s="70"/>
      <c r="BC1084" s="70">
        <f t="shared" si="619"/>
        <v>91.892890004701144</v>
      </c>
      <c r="BD1084" s="70">
        <f t="shared" si="620"/>
        <v>10.211397144060578</v>
      </c>
      <c r="BE1084" s="70">
        <f t="shared" si="621"/>
        <v>7.334662952841256E-2</v>
      </c>
      <c r="BF1084" s="70">
        <f t="shared" si="622"/>
        <v>5.471892169484132</v>
      </c>
      <c r="BG1084" s="70">
        <f t="shared" si="623"/>
        <v>8.8733798747640313E-2</v>
      </c>
      <c r="BH1084" s="67">
        <f>MAX((CE1084-Driver!$F$200)/(Driver!$G$200-Driver!$F$200)*$BI$1,1)</f>
        <v>6.6818440523619804</v>
      </c>
      <c r="BI1084" s="67">
        <f>MAX($BI$1*(BY1084-Driver!$F$201)/(Driver!$G$201-Driver!$F$201),1)</f>
        <v>7.9113924050632916</v>
      </c>
      <c r="BJ1084" s="67">
        <f>(CB1084-Driver!$F$206)/(Driver!$G$206-Driver!$F$206)*$BI$1</f>
        <v>5.7142857142857135</v>
      </c>
      <c r="BK1084" s="67">
        <f>(CD1084-Driver!$F$203)/(Driver!$G$203-Driver!$F$203)*$BI$1</f>
        <v>4.4954128440366974</v>
      </c>
      <c r="BL1084" s="67">
        <f>MAX((CR1084-Driver!$F$202)/(Driver!$G$202-Driver!$F$202)*$BI$1,1)</f>
        <v>6.2068965517241379</v>
      </c>
      <c r="BM1084" s="67">
        <f>MAX((CH1084-Driver!$F$204)/(Driver!$G$204-Driver!$F$204)*$BI$1,1)</f>
        <v>6.3247863247863245</v>
      </c>
      <c r="BN1084" s="67">
        <f>(CI1084-Driver!$F$205)/(Driver!$G$205-Driver!$F$205)*$BI$1</f>
        <v>6.1764705882352944</v>
      </c>
      <c r="BO1084" s="67">
        <f>(CK1084-Driver!$F$207)/(Driver!$G$207-Driver!$F$207)*$BI$1</f>
        <v>1.7373319544984489</v>
      </c>
      <c r="BP1084" s="67">
        <f>(CM1084-Driver!$F$208)/(Driver!$G$208-Driver!$F$208)*$BI$1</f>
        <v>2.4777777777777779</v>
      </c>
      <c r="BQ1084" s="67">
        <f>(CL1084-Driver!$F$209)/(Driver!$G$209-Driver!$F$209)*$BI$1</f>
        <v>3.75</v>
      </c>
      <c r="BR1084" s="28" t="s">
        <v>155</v>
      </c>
      <c r="BS1084" s="8" t="s">
        <v>218</v>
      </c>
      <c r="BT1084" s="9" t="s">
        <v>254</v>
      </c>
      <c r="BU1084" s="10">
        <v>184</v>
      </c>
      <c r="BV1084" s="9" t="s">
        <v>158</v>
      </c>
      <c r="BW1084" s="10">
        <v>184</v>
      </c>
      <c r="BX1084" s="10">
        <v>183.4</v>
      </c>
      <c r="BY1084" s="10">
        <v>133</v>
      </c>
      <c r="BZ1084" s="10">
        <v>146</v>
      </c>
      <c r="CA1084" s="10">
        <v>132</v>
      </c>
      <c r="CB1084" s="10">
        <v>100</v>
      </c>
      <c r="CC1084" s="10">
        <v>116</v>
      </c>
      <c r="CD1084" s="10">
        <v>19.2</v>
      </c>
      <c r="CE1084" s="10">
        <v>2074</v>
      </c>
      <c r="CF1084" s="10">
        <v>0.97</v>
      </c>
      <c r="CG1084" s="10">
        <v>2019</v>
      </c>
      <c r="CH1084" s="10">
        <v>249</v>
      </c>
      <c r="CI1084" s="10">
        <v>138</v>
      </c>
      <c r="CJ1084" s="10">
        <v>54</v>
      </c>
      <c r="CK1084" s="10">
        <v>278</v>
      </c>
      <c r="CL1084" s="10">
        <v>24</v>
      </c>
      <c r="CM1084" s="10">
        <v>223</v>
      </c>
      <c r="CN1084" s="10">
        <v>0.45100000000000001</v>
      </c>
      <c r="CO1084" s="10">
        <v>181</v>
      </c>
      <c r="CP1084" s="10">
        <v>189</v>
      </c>
      <c r="CQ1084" s="10">
        <v>96</v>
      </c>
      <c r="CR1084" s="10">
        <v>7</v>
      </c>
      <c r="CS1084" s="10">
        <v>10.8</v>
      </c>
      <c r="CT1084" s="9" t="s">
        <v>188</v>
      </c>
      <c r="CU1084" s="10"/>
      <c r="CV1084" s="10"/>
      <c r="CW1084" s="10"/>
      <c r="CX1084" t="str">
        <f>INDEX('Data_Price '!AG$2:AG$1266,MATCH(Data!$DN1084,'Data_Price '!$AT$2:$AT$1266,0))</f>
        <v>DPS Pagoda Piste 100 C2 Pinot Skis 184cm 2022</v>
      </c>
      <c r="CY1084" t="str">
        <f>INDEX('Data_Price '!AH$2:AH$1266,MATCH(Data!$DN1084,'Data_Price '!$AT$2:$AT$1266,0))</f>
        <v>eBay - david110549</v>
      </c>
      <c r="CZ1084">
        <f>INDEX('Data_Price '!AI$2:AI$1266,MATCH(Data!$DN1084,'Data_Price '!$AT$2:$AT$1266,0))</f>
        <v>1039</v>
      </c>
      <c r="DA1084" t="str">
        <f>INDEX('Data_Price '!AJ$2:AJ$1266,MATCH(Data!$DN1084,'Data_Price '!$AT$2:$AT$1266,0))</f>
        <v>https://tinyurl.com/ya6eq2os</v>
      </c>
      <c r="DB1084" t="str">
        <f>INDEX('Data_Price '!AK$2:AK$1266,MATCH(Data!$DN1084,'Data_Price '!$AT$2:$AT$1266,0))</f>
        <v>DPS Pagoda Piste 100 C2 Pinot Skis 184cm 2022</v>
      </c>
      <c r="DC1084" t="str">
        <f>INDEX('Data_Price '!AL$2:AL$1266,MATCH(Data!$DN1084,'Data_Price '!$AT$2:$AT$1266,0))</f>
        <v>SkiEssentials.com</v>
      </c>
      <c r="DD1084">
        <f>INDEX('Data_Price '!AM$2:AM$1266,MATCH(Data!$DN1084,'Data_Price '!$AT$2:$AT$1266,0))</f>
        <v>1039</v>
      </c>
      <c r="DE1084" t="str">
        <f>INDEX('Data_Price '!AN$2:AN$1266,MATCH(Data!$DN1084,'Data_Price '!$AT$2:$AT$1266,0))</f>
        <v>https://tinyurl.com/ydhkzo3f</v>
      </c>
      <c r="DF1084" t="str">
        <f>INDEX('Data_Price '!AO$2:AO$1266,MATCH(Data!$DN1084,'Data_Price '!$AT$2:$AT$1266,0))</f>
        <v>DPS Pagoda Piste 100 C2 Pinot Skis 184cm 2022</v>
      </c>
      <c r="DG1084" t="str">
        <f>INDEX('Data_Price '!AP$2:AP$1266,MATCH(Data!$DN1084,'Data_Price '!$AT$2:$AT$1266,0))</f>
        <v>Powder7 Ski Shop</v>
      </c>
      <c r="DH1084">
        <f>INDEX('Data_Price '!AQ$2:AQ$1266,MATCH(Data!$DN1084,'Data_Price '!$AT$2:$AT$1266,0))</f>
        <v>1039.2</v>
      </c>
      <c r="DI1084" t="str">
        <f>INDEX('Data_Price '!AR$2:AR$1266,MATCH(Data!$DN1084,'Data_Price '!$AT$2:$AT$1266,0))</f>
        <v>https://tinyurl.com/y7twubgh</v>
      </c>
      <c r="DJ1084" s="89" t="str">
        <f t="shared" si="624"/>
        <v>https://tinyurl.com/ya6eq2os</v>
      </c>
      <c r="DK1084" s="89" t="str">
        <f t="shared" si="625"/>
        <v>https://tinyurl.com/ydhkzo3f</v>
      </c>
      <c r="DL1084" s="89" t="str">
        <f t="shared" si="626"/>
        <v>https://tinyurl.com/y7twubgh</v>
      </c>
      <c r="DM1084" s="219" t="str">
        <f t="shared" si="627"/>
        <v>Pagoda Piste 100 C2</v>
      </c>
      <c r="DN1084" s="89" t="str">
        <f t="shared" si="628"/>
        <v xml:space="preserve"> DPSPagoda Piste 100 C2184 Unisex</v>
      </c>
      <c r="DO1084" s="221"/>
    </row>
    <row r="1085" spans="2:119" ht="15.6" customHeight="1">
      <c r="B1085" s="219" t="b">
        <f t="array" ref="B1085">IF(OR(ISERROR(K1085:P1085)),FALSE,TRUE)</f>
        <v>1</v>
      </c>
      <c r="C1085" s="43" t="b">
        <f>OR(BR1085=Driver!$G$50,Data!BR891=Driver!$H$50)</f>
        <v>1</v>
      </c>
      <c r="D1085" s="43" t="b">
        <f>OR(BV1085=Driver!$G$51,BV1085=Driver!$H$51)</f>
        <v>1</v>
      </c>
      <c r="E1085" s="43" t="b">
        <f>AND(BX1085&gt;Driver!$F$54,BX1085&lt;Driver!$G$54)</f>
        <v>0</v>
      </c>
      <c r="F1085" s="43" t="b">
        <f>CL1085&gt;Driver!$F$56</f>
        <v>1</v>
      </c>
      <c r="G1085" s="43" t="b">
        <f>AND(CB1085&gt;Driver!$F$55,CB1085&lt;Driver!$G$55)</f>
        <v>0</v>
      </c>
      <c r="H1085" s="43" t="b">
        <f t="shared" si="592"/>
        <v>0</v>
      </c>
      <c r="I1085" s="43">
        <f t="shared" si="593"/>
        <v>0</v>
      </c>
      <c r="J1085" s="43" t="b">
        <f t="array" ref="J1085">NOT(OR(($H$9:$H$1273=TRUE)*($I$9:$I$1273&gt;0)*($BT$9:$BT$1273=BT1085)*($K$9:$K$1273&gt;K1085)))</f>
        <v>1</v>
      </c>
      <c r="K1085" s="72">
        <f t="shared" si="594"/>
        <v>0.71617175414226986</v>
      </c>
      <c r="L1085" s="72">
        <f t="shared" si="595"/>
        <v>0.80258503838469142</v>
      </c>
      <c r="M1085" s="72">
        <f t="shared" si="596"/>
        <v>0.62975846989984841</v>
      </c>
      <c r="N1085" s="72">
        <f t="shared" si="597"/>
        <v>0.48365197037848207</v>
      </c>
      <c r="O1085" s="72">
        <f t="shared" si="598"/>
        <v>0.58914912807757824</v>
      </c>
      <c r="P1085" s="72">
        <f t="shared" si="599"/>
        <v>0.81647431124348469</v>
      </c>
      <c r="Q1085" s="72"/>
      <c r="R1085" s="72"/>
      <c r="S1085" s="72">
        <f t="shared" si="600"/>
        <v>0.56217603209519762</v>
      </c>
      <c r="T1085" s="72">
        <f t="shared" si="601"/>
        <v>0.55000000000000004</v>
      </c>
      <c r="U1085" s="72">
        <f t="shared" si="602"/>
        <v>0.51</v>
      </c>
      <c r="V1085" s="72">
        <f t="shared" si="603"/>
        <v>0.49074999088111593</v>
      </c>
      <c r="W1085" s="72">
        <f t="shared" si="604"/>
        <v>0.75626118728202096</v>
      </c>
      <c r="X1085" s="72">
        <f t="shared" si="605"/>
        <v>0.19741496161530861</v>
      </c>
      <c r="Y1085" s="72">
        <f t="shared" si="606"/>
        <v>0.37024153010015165</v>
      </c>
      <c r="Z1085" s="72">
        <f t="shared" si="607"/>
        <v>0.51634802962151793</v>
      </c>
      <c r="AA1085" s="72">
        <f t="shared" si="608"/>
        <v>0.41085087192242181</v>
      </c>
      <c r="AB1085" s="72">
        <f t="shared" si="609"/>
        <v>0.18352568875651526</v>
      </c>
      <c r="AC1085" s="72"/>
      <c r="AD1085" s="72"/>
      <c r="AE1085" s="72">
        <f t="shared" si="610"/>
        <v>0.43782396790480244</v>
      </c>
      <c r="AF1085" s="72">
        <f t="shared" si="611"/>
        <v>0.44999999999999996</v>
      </c>
      <c r="AG1085" s="72">
        <f t="shared" si="612"/>
        <v>0.49</v>
      </c>
      <c r="AH1085" s="72">
        <f t="shared" si="613"/>
        <v>0.50925000911888407</v>
      </c>
      <c r="AI1085" s="72">
        <f t="shared" si="614"/>
        <v>0.24373881271797901</v>
      </c>
      <c r="AJ1085" s="72">
        <f>(AV1085-Driver!$K$179)/(Driver!$L$179-Driver!$K$179)</f>
        <v>5.6804447667391823E-2</v>
      </c>
      <c r="AK1085" s="72">
        <f>(AW1085-Driver!$K$180)/(Driver!$L$180-Driver!$K$180)</f>
        <v>0.4579461895588402</v>
      </c>
      <c r="AL1085" s="72">
        <f>(AX1085-Driver!$K$181)/(Driver!$L$181-Driver!$K$181)</f>
        <v>0.61803579333459813</v>
      </c>
      <c r="AM1085" s="72">
        <f>(AY1085-Driver!$K$182)/(Driver!$L$182-Driver!$K$182)</f>
        <v>3.6534149174624532E-2</v>
      </c>
      <c r="AN1085" s="72">
        <f>(AZ1085-Driver!$K$183)/(Driver!$L$183-Driver!$K$183)</f>
        <v>0.43774509803921569</v>
      </c>
      <c r="AO1085" s="72"/>
      <c r="AP1085" s="72"/>
      <c r="AQ1085" s="72">
        <f>(BC1085-Driver!$K$188)/(Driver!$L$188-Driver!$K$188)</f>
        <v>0.18217603209519756</v>
      </c>
      <c r="AR1085" s="72">
        <f>MIN((BD1085-Driver!$K$189)/(Driver!$L$189-Driver!$K$189),100%)</f>
        <v>1</v>
      </c>
      <c r="AS1085" s="72">
        <f>(BE1085-Driver!$K$190)/(Driver!$L$190-Driver!$K$190)</f>
        <v>1</v>
      </c>
      <c r="AT1085" s="72">
        <f>(BF1085-Driver!$K$191)/(Driver!$L$191-Driver!$K$191)</f>
        <v>7.4999088111593008E-4</v>
      </c>
      <c r="AU1085" s="72">
        <f>(BG1085-Driver!$K$192)/(Driver!$L$192-Driver!$K$192)</f>
        <v>6.2611872820209982E-3</v>
      </c>
      <c r="AV1085" s="70">
        <f t="shared" si="615"/>
        <v>1.1955636955636955</v>
      </c>
      <c r="AW1085" s="70">
        <f t="shared" si="616"/>
        <v>46.502806610001834</v>
      </c>
      <c r="AX1085" s="70">
        <f t="shared" si="617"/>
        <v>6.5623221400113829</v>
      </c>
      <c r="AY1085" s="70">
        <f>IFERROR(Driver!$K$19/Data!BH1085/Data!BI1085*Data!BK1085*Data!BL1085,"")</f>
        <v>4.4728699327757096E-2</v>
      </c>
      <c r="AZ1085" s="70">
        <f t="shared" si="618"/>
        <v>39.895755770662696</v>
      </c>
      <c r="BA1085" s="70"/>
      <c r="BB1085" s="70"/>
      <c r="BC1085" s="70">
        <f t="shared" si="619"/>
        <v>94.495974315007473</v>
      </c>
      <c r="BD1085" s="70">
        <f t="shared" si="620"/>
        <v>146.55630780993195</v>
      </c>
      <c r="BE1085" s="70">
        <f t="shared" si="621"/>
        <v>1</v>
      </c>
      <c r="BF1085" s="70">
        <f t="shared" si="622"/>
        <v>8.4706201037900747E-2</v>
      </c>
      <c r="BG1085" s="70">
        <f t="shared" si="623"/>
        <v>2.3708849255411411E-2</v>
      </c>
      <c r="BH1085" s="67">
        <f>MAX((CE1085-Driver!$F$200)/(Driver!$G$200-Driver!$F$200)*$BI$1,1)</f>
        <v>6.5623221400113829</v>
      </c>
      <c r="BI1085" s="67">
        <f>MAX($BI$1*(BY1085-Driver!$F$201)/(Driver!$G$201-Driver!$F$201),1)</f>
        <v>8.924050632911392</v>
      </c>
      <c r="BJ1085" s="67">
        <f>(CB1085-Driver!$F$206)/(Driver!$G$206-Driver!$F$206)*$BI$1</f>
        <v>0.79365079365079361</v>
      </c>
      <c r="BK1085" s="67">
        <f>(CD1085-Driver!$F$203)/(Driver!$G$203-Driver!$F$203)*$BI$1</f>
        <v>2.1100917431192663</v>
      </c>
      <c r="BL1085" s="67">
        <f>MAX((CR1085-Driver!$F$202)/(Driver!$G$202-Driver!$F$202)*$BI$1,1)</f>
        <v>6.2068965517241379</v>
      </c>
      <c r="BM1085" s="67">
        <f>MAX((CH1085-Driver!$F$204)/(Driver!$G$204-Driver!$F$204)*$BI$1,1)</f>
        <v>6.0256410256410255</v>
      </c>
      <c r="BN1085" s="67">
        <f>(CI1085-Driver!$F$205)/(Driver!$G$205-Driver!$F$205)*$BI$1</f>
        <v>4.4705882352941178</v>
      </c>
      <c r="BO1085" s="67">
        <f>(CK1085-Driver!$F$207)/(Driver!$G$207-Driver!$F$207)*$BI$1</f>
        <v>0.41365046535677352</v>
      </c>
      <c r="BP1085" s="67">
        <f>(CM1085-Driver!$F$208)/(Driver!$G$208-Driver!$F$208)*$BI$1</f>
        <v>0.5444444444444444</v>
      </c>
      <c r="BQ1085" s="67">
        <f>(CL1085-Driver!$F$209)/(Driver!$G$209-Driver!$F$209)*$BI$1</f>
        <v>0.9375</v>
      </c>
      <c r="BR1085" s="28" t="s">
        <v>155</v>
      </c>
      <c r="BS1085" s="8" t="s">
        <v>332</v>
      </c>
      <c r="BT1085" s="9" t="s">
        <v>741</v>
      </c>
      <c r="BU1085" s="10">
        <v>170</v>
      </c>
      <c r="BV1085" s="9" t="s">
        <v>158</v>
      </c>
      <c r="BW1085" s="10">
        <v>170</v>
      </c>
      <c r="BX1085" s="10">
        <v>168.9</v>
      </c>
      <c r="BY1085" s="10">
        <v>149</v>
      </c>
      <c r="BZ1085" s="10">
        <v>157</v>
      </c>
      <c r="CA1085" s="10">
        <v>120</v>
      </c>
      <c r="CB1085" s="10">
        <v>69</v>
      </c>
      <c r="CC1085" s="10">
        <v>103</v>
      </c>
      <c r="CD1085" s="10">
        <v>14</v>
      </c>
      <c r="CE1085" s="10">
        <v>2053</v>
      </c>
      <c r="CF1085" s="10">
        <v>0.7</v>
      </c>
      <c r="CG1085" s="10">
        <v>1428</v>
      </c>
      <c r="CH1085" s="10">
        <v>242</v>
      </c>
      <c r="CI1085" s="10">
        <v>109</v>
      </c>
      <c r="CJ1085" s="10">
        <v>45</v>
      </c>
      <c r="CK1085" s="10">
        <v>150</v>
      </c>
      <c r="CL1085" s="10">
        <v>6</v>
      </c>
      <c r="CM1085" s="10">
        <v>49</v>
      </c>
      <c r="CN1085" s="10">
        <v>0.127</v>
      </c>
      <c r="CO1085" s="10">
        <v>62</v>
      </c>
      <c r="CP1085" s="10">
        <v>55</v>
      </c>
      <c r="CQ1085" s="10">
        <v>89</v>
      </c>
      <c r="CR1085" s="10">
        <v>7</v>
      </c>
      <c r="CS1085" s="10">
        <v>12.1</v>
      </c>
      <c r="CT1085" s="9" t="s">
        <v>349</v>
      </c>
      <c r="CU1085" s="10"/>
      <c r="CV1085" s="10"/>
      <c r="CW1085" s="10"/>
      <c r="CX1085" t="str">
        <f>INDEX('Data_Price '!AG$2:AG$1266,MATCH(Data!$DN1085,'Data_Price '!$AT$2:$AT$1266,0))</f>
        <v>Nordica Dobermann GS Tweener | Giant Slalom Skis | Race Room Skis 170cm</v>
      </c>
      <c r="CY1085" t="str">
        <f>INDEX('Data_Price '!AH$2:AH$1266,MATCH(Data!$DN1085,'Data_Price '!$AT$2:$AT$1266,0))</f>
        <v>Race Room Skis</v>
      </c>
      <c r="CZ1085">
        <f>INDEX('Data_Price '!AI$2:AI$1266,MATCH(Data!$DN1085,'Data_Price '!$AT$2:$AT$1266,0))</f>
        <v>575</v>
      </c>
      <c r="DA1085" t="str">
        <f>INDEX('Data_Price '!AJ$2:AJ$1266,MATCH(Data!$DN1085,'Data_Price '!$AT$2:$AT$1266,0))</f>
        <v>https://tinyurl.com/ybqssbt9</v>
      </c>
      <c r="DB1085" t="str">
        <f>INDEX('Data_Price '!AK$2:AK$1266,MATCH(Data!$DN1085,'Data_Price '!$AT$2:$AT$1266,0))</f>
        <v>Nordica Dobermann GS Race Skis Â· 170 cm</v>
      </c>
      <c r="DC1085" t="str">
        <f>INDEX('Data_Price '!AL$2:AL$1266,MATCH(Data!$DN1085,'Data_Price '!$AT$2:$AT$1266,0))</f>
        <v>The-House.com</v>
      </c>
      <c r="DD1085">
        <f>INDEX('Data_Price '!AM$2:AM$1266,MATCH(Data!$DN1085,'Data_Price '!$AT$2:$AT$1266,0))</f>
        <v>799.99</v>
      </c>
      <c r="DE1085" t="str">
        <f>INDEX('Data_Price '!AN$2:AN$1266,MATCH(Data!$DN1085,'Data_Price '!$AT$2:$AT$1266,0))</f>
        <v>https://tinyurl.com/y7swaj2c</v>
      </c>
      <c r="DF1085" t="str">
        <f>INDEX('Data_Price '!AO$2:AO$1266,MATCH(Data!$DN1085,'Data_Price '!$AT$2:$AT$1266,0))</f>
        <v>2018 Nordica Fate 170 cm Ski + Nordica Bindings Winter Snow Sport Outdoor 2018 Nordica Fate 170 cm Ski + Nordica Bindings Winter Snow Sport Outdoor</v>
      </c>
      <c r="DG1085" t="str">
        <f>INDEX('Data_Price '!AP$2:AP$1266,MATCH(Data!$DN1085,'Data_Price '!$AT$2:$AT$1266,0))</f>
        <v>Traventuria</v>
      </c>
      <c r="DH1085">
        <f>INDEX('Data_Price '!AQ$2:AQ$1266,MATCH(Data!$DN1085,'Data_Price '!$AT$2:$AT$1266,0))</f>
        <v>124.99</v>
      </c>
      <c r="DI1085" t="str">
        <f>INDEX('Data_Price '!AR$2:AR$1266,MATCH(Data!$DN1085,'Data_Price '!$AT$2:$AT$1266,0))</f>
        <v>https://tinyurl.com/yacnmpjv</v>
      </c>
      <c r="DJ1085" s="89" t="str">
        <f t="shared" si="624"/>
        <v>https://tinyurl.com/ybqssbt9</v>
      </c>
      <c r="DK1085" s="89" t="str">
        <f t="shared" si="625"/>
        <v>https://tinyurl.com/y7swaj2c</v>
      </c>
      <c r="DL1085" s="89" t="str">
        <f t="shared" si="626"/>
        <v>https://tinyurl.com/yacnmpjv</v>
      </c>
      <c r="DM1085" s="219" t="str">
        <f t="shared" si="627"/>
        <v>Dobermann SLR Rb</v>
      </c>
      <c r="DN1085" s="89" t="str">
        <f t="shared" si="628"/>
        <v xml:space="preserve"> NordicaDobermann SLR Rb170 Unisex</v>
      </c>
      <c r="DO1085" s="221"/>
    </row>
    <row r="1086" spans="2:119" ht="15.6" customHeight="1">
      <c r="B1086" s="219" t="b">
        <f t="array" ref="B1086">IF(OR(ISERROR(K1086:P1086)),FALSE,TRUE)</f>
        <v>1</v>
      </c>
      <c r="C1086" s="43" t="b">
        <f>OR(BR1086=Driver!$G$50,Data!BR900=Driver!$H$50)</f>
        <v>1</v>
      </c>
      <c r="D1086" s="43" t="b">
        <f>OR(BV1086=Driver!$G$51,BV1086=Driver!$H$51)</f>
        <v>1</v>
      </c>
      <c r="E1086" s="43" t="b">
        <f>AND(BX1086&gt;Driver!$F$54,BX1086&lt;Driver!$G$54)</f>
        <v>0</v>
      </c>
      <c r="F1086" s="43" t="b">
        <f>CL1086&gt;Driver!$F$56</f>
        <v>1</v>
      </c>
      <c r="G1086" s="43" t="b">
        <f>AND(CB1086&gt;Driver!$F$55,CB1086&lt;Driver!$G$55)</f>
        <v>1</v>
      </c>
      <c r="H1086" s="43" t="b">
        <f t="shared" si="592"/>
        <v>0</v>
      </c>
      <c r="I1086" s="43">
        <f t="shared" si="593"/>
        <v>0</v>
      </c>
      <c r="J1086" s="43" t="b">
        <f t="array" ref="J1086">NOT(OR(($H$9:$H$1273=TRUE)*($I$9:$I$1273&gt;0)*($BT$9:$BT$1273=BT1086)*($K$9:$K$1273&gt;K1086)))</f>
        <v>1</v>
      </c>
      <c r="K1086" s="72">
        <f t="shared" si="594"/>
        <v>0.70226673650990001</v>
      </c>
      <c r="L1086" s="72">
        <f t="shared" si="595"/>
        <v>0.81186988063875554</v>
      </c>
      <c r="M1086" s="72">
        <f t="shared" si="596"/>
        <v>0.59266359238104438</v>
      </c>
      <c r="N1086" s="72">
        <f t="shared" si="597"/>
        <v>0.4128241704670168</v>
      </c>
      <c r="O1086" s="72">
        <f t="shared" si="598"/>
        <v>0.6213638640600827</v>
      </c>
      <c r="P1086" s="72">
        <f t="shared" si="599"/>
        <v>0.74380274261603385</v>
      </c>
      <c r="Q1086" s="72"/>
      <c r="R1086" s="72"/>
      <c r="S1086" s="72">
        <f t="shared" si="600"/>
        <v>0.48313130434037155</v>
      </c>
      <c r="T1086" s="72">
        <f t="shared" si="601"/>
        <v>0.55714356213052207</v>
      </c>
      <c r="U1086" s="72">
        <f t="shared" si="602"/>
        <v>0.52042927294702079</v>
      </c>
      <c r="V1086" s="72">
        <f t="shared" si="603"/>
        <v>0.60349237579603843</v>
      </c>
      <c r="W1086" s="72">
        <f t="shared" si="604"/>
        <v>0.78847437309661117</v>
      </c>
      <c r="X1086" s="72">
        <f t="shared" si="605"/>
        <v>0.18813011936124446</v>
      </c>
      <c r="Y1086" s="72">
        <f t="shared" si="606"/>
        <v>0.40733640761895556</v>
      </c>
      <c r="Z1086" s="72">
        <f t="shared" si="607"/>
        <v>0.5871758295329832</v>
      </c>
      <c r="AA1086" s="72">
        <f t="shared" si="608"/>
        <v>0.3786361359399173</v>
      </c>
      <c r="AB1086" s="72">
        <f t="shared" si="609"/>
        <v>0.2561972573839662</v>
      </c>
      <c r="AC1086" s="72"/>
      <c r="AD1086" s="72"/>
      <c r="AE1086" s="72">
        <f t="shared" si="610"/>
        <v>0.51686869565962845</v>
      </c>
      <c r="AF1086" s="72">
        <f t="shared" si="611"/>
        <v>0.44285643786947793</v>
      </c>
      <c r="AG1086" s="72">
        <f t="shared" si="612"/>
        <v>0.47957072705297926</v>
      </c>
      <c r="AH1086" s="72">
        <f t="shared" si="613"/>
        <v>0.39650762420396163</v>
      </c>
      <c r="AI1086" s="72">
        <f t="shared" si="614"/>
        <v>0.21152562690338883</v>
      </c>
      <c r="AJ1086" s="72">
        <f>(AV1086-Driver!$K$179)/(Driver!$L$179-Driver!$K$179)</f>
        <v>0.44234952864394489</v>
      </c>
      <c r="AK1086" s="72">
        <f>(AW1086-Driver!$K$180)/(Driver!$L$180-Driver!$K$180)</f>
        <v>0.53285084318997533</v>
      </c>
      <c r="AL1086" s="72">
        <f>(AX1086-Driver!$K$181)/(Driver!$L$181-Driver!$K$181)</f>
        <v>0.68886359324606339</v>
      </c>
      <c r="AM1086" s="72">
        <f>(AY1086-Driver!$K$182)/(Driver!$L$182-Driver!$K$182)</f>
        <v>6.8748885157129083E-2</v>
      </c>
      <c r="AN1086" s="72">
        <f>(AZ1086-Driver!$K$183)/(Driver!$L$183-Driver!$K$183)</f>
        <v>0.51041666666666663</v>
      </c>
      <c r="AO1086" s="72"/>
      <c r="AP1086" s="72"/>
      <c r="AQ1086" s="72">
        <f>(BC1086-Driver!$K$188)/(Driver!$L$188-Driver!$K$188)</f>
        <v>0.1031313043403715</v>
      </c>
      <c r="AR1086" s="72">
        <f>MIN((BD1086-Driver!$K$189)/(Driver!$L$189-Driver!$K$189),100%)</f>
        <v>0.10714356213052215</v>
      </c>
      <c r="AS1086" s="72">
        <f>(BE1086-Driver!$K$190)/(Driver!$L$190-Driver!$K$190)</f>
        <v>3.0429272947020764E-2</v>
      </c>
      <c r="AT1086" s="72">
        <f>(BF1086-Driver!$K$191)/(Driver!$L$191-Driver!$K$191)</f>
        <v>0.11349237579603838</v>
      </c>
      <c r="AU1086" s="72">
        <f>(BG1086-Driver!$K$192)/(Driver!$L$192-Driver!$K$192)</f>
        <v>3.8474373096611156E-2</v>
      </c>
      <c r="AV1086" s="70">
        <f t="shared" si="615"/>
        <v>9.3101343101343108</v>
      </c>
      <c r="AW1086" s="70">
        <f t="shared" si="616"/>
        <v>53.802928829106577</v>
      </c>
      <c r="AX1086" s="70">
        <f t="shared" si="617"/>
        <v>7.1997723392145705</v>
      </c>
      <c r="AY1086" s="70">
        <f>IFERROR(Driver!$K$19/Data!BH1086/Data!BI1086*Data!BK1086*Data!BL1086,"")</f>
        <v>8.4169148119851683E-2</v>
      </c>
      <c r="AZ1086" s="70">
        <f t="shared" si="618"/>
        <v>46.518987341772153</v>
      </c>
      <c r="BA1086" s="70"/>
      <c r="BB1086" s="70"/>
      <c r="BC1086" s="70">
        <f t="shared" si="619"/>
        <v>53.49492451854686</v>
      </c>
      <c r="BD1086" s="70">
        <f t="shared" si="620"/>
        <v>11.202838285490689</v>
      </c>
      <c r="BE1086" s="70">
        <f t="shared" si="621"/>
        <v>3.0602233451743635E-2</v>
      </c>
      <c r="BF1086" s="70">
        <f t="shared" si="622"/>
        <v>12.818166517096888</v>
      </c>
      <c r="BG1086" s="70">
        <f t="shared" si="623"/>
        <v>0.14568852054040043</v>
      </c>
      <c r="BH1086" s="67">
        <f>MAX((CE1086-Driver!$F$200)/(Driver!$G$200-Driver!$F$200)*$BI$1,1)</f>
        <v>7.1997723392145705</v>
      </c>
      <c r="BI1086" s="67">
        <f>MAX($BI$1*(BY1086-Driver!$F$201)/(Driver!$G$201-Driver!$F$201),1)</f>
        <v>6.6455696202531644</v>
      </c>
      <c r="BJ1086" s="67">
        <f>(CB1086-Driver!$F$206)/(Driver!$G$206-Driver!$F$206)*$BI$1</f>
        <v>7.1428571428571432</v>
      </c>
      <c r="BK1086" s="67">
        <f>(CD1086-Driver!$F$203)/(Driver!$G$203-Driver!$F$203)*$BI$1</f>
        <v>3.0733944954128449</v>
      </c>
      <c r="BL1086" s="67">
        <f>MAX((CR1086-Driver!$F$202)/(Driver!$G$202-Driver!$F$202)*$BI$1,1)</f>
        <v>6.5517241379310338</v>
      </c>
      <c r="BM1086" s="67">
        <f>MAX((CH1086-Driver!$F$204)/(Driver!$G$204-Driver!$F$204)*$BI$1,1)</f>
        <v>5.2136752136752138</v>
      </c>
      <c r="BN1086" s="67">
        <f>(CI1086-Driver!$F$205)/(Driver!$G$205-Driver!$F$205)*$BI$1</f>
        <v>7</v>
      </c>
      <c r="BO1086" s="67">
        <f>(CK1086-Driver!$F$207)/(Driver!$G$207-Driver!$F$207)*$BI$1</f>
        <v>1.9855222337125129</v>
      </c>
      <c r="BP1086" s="67">
        <f>(CM1086-Driver!$F$208)/(Driver!$G$208-Driver!$F$208)*$BI$1</f>
        <v>2.7777777777777777</v>
      </c>
      <c r="BQ1086" s="67">
        <f>(CL1086-Driver!$F$209)/(Driver!$G$209-Driver!$F$209)*$BI$1</f>
        <v>5.46875</v>
      </c>
      <c r="BR1086" s="28" t="s">
        <v>155</v>
      </c>
      <c r="BS1086" s="8" t="s">
        <v>332</v>
      </c>
      <c r="BT1086" s="9" t="s">
        <v>809</v>
      </c>
      <c r="BU1086" s="10">
        <v>169</v>
      </c>
      <c r="BV1086" s="9" t="s">
        <v>158</v>
      </c>
      <c r="BW1086" s="10">
        <v>169</v>
      </c>
      <c r="BX1086" s="10">
        <v>168.4</v>
      </c>
      <c r="BY1086" s="10">
        <v>113</v>
      </c>
      <c r="BZ1086" s="10">
        <v>137</v>
      </c>
      <c r="CA1086" s="10">
        <v>139</v>
      </c>
      <c r="CB1086" s="10">
        <v>109</v>
      </c>
      <c r="CC1086" s="10">
        <v>129</v>
      </c>
      <c r="CD1086" s="10">
        <v>16.100000000000001</v>
      </c>
      <c r="CE1086" s="10">
        <v>2165</v>
      </c>
      <c r="CF1086" s="10">
        <v>0.92</v>
      </c>
      <c r="CG1086" s="10">
        <v>1995</v>
      </c>
      <c r="CH1086" s="10">
        <v>223</v>
      </c>
      <c r="CI1086" s="10">
        <v>152</v>
      </c>
      <c r="CJ1086" s="10">
        <v>55</v>
      </c>
      <c r="CK1086" s="10">
        <v>302</v>
      </c>
      <c r="CL1086" s="10">
        <v>35</v>
      </c>
      <c r="CM1086" s="10">
        <v>250</v>
      </c>
      <c r="CN1086" s="10">
        <v>0.64100000000000001</v>
      </c>
      <c r="CO1086" s="10">
        <v>156</v>
      </c>
      <c r="CP1086" s="10">
        <v>157</v>
      </c>
      <c r="CQ1086" s="10">
        <v>146</v>
      </c>
      <c r="CR1086" s="10">
        <v>8</v>
      </c>
      <c r="CS1086" s="10">
        <v>8.9</v>
      </c>
      <c r="CT1086" s="9" t="s">
        <v>169</v>
      </c>
      <c r="CU1086" s="10"/>
      <c r="CV1086" s="10"/>
      <c r="CW1086" s="10"/>
      <c r="CX1086" t="str">
        <f>INDEX('Data_Price '!AG$2:AG$1266,MATCH(Data!$DN1086,'Data_Price '!$AT$2:$AT$1266,0))</f>
        <v>2021 Nordica Enforcer 110 Free</v>
      </c>
      <c r="CY1086" t="str">
        <f>INDEX('Data_Price '!AH$2:AH$1266,MATCH(Data!$DN1086,'Data_Price '!$AT$2:$AT$1266,0))</f>
        <v>eBay - larsonski</v>
      </c>
      <c r="CZ1086">
        <f>INDEX('Data_Price '!AI$2:AI$1266,MATCH(Data!$DN1086,'Data_Price '!$AT$2:$AT$1266,0))</f>
        <v>600</v>
      </c>
      <c r="DA1086" t="str">
        <f>INDEX('Data_Price '!AJ$2:AJ$1266,MATCH(Data!$DN1086,'Data_Price '!$AT$2:$AT$1266,0))</f>
        <v>https://tinyurl.com/yasfjhsp</v>
      </c>
      <c r="DB1086" t="str">
        <f>INDEX('Data_Price '!AK$2:AK$1266,MATCH(Data!$DN1086,'Data_Price '!$AT$2:$AT$1266,0))</f>
        <v>Nordica Enforcer 110 Skis W/ Salomon Warden 11 Binding (great</v>
      </c>
      <c r="DC1086" t="str">
        <f>INDEX('Data_Price '!AL$2:AL$1266,MATCH(Data!$DN1086,'Data_Price '!$AT$2:$AT$1266,0))</f>
        <v>eBay - livetoride6393</v>
      </c>
      <c r="DD1086">
        <f>INDEX('Data_Price '!AM$2:AM$1266,MATCH(Data!$DN1086,'Data_Price '!$AT$2:$AT$1266,0))</f>
        <v>499.99</v>
      </c>
      <c r="DE1086" t="str">
        <f>INDEX('Data_Price '!AN$2:AN$1266,MATCH(Data!$DN1086,'Data_Price '!$AT$2:$AT$1266,0))</f>
        <v>https://tinyurl.com/y8ysrpky</v>
      </c>
      <c r="DF1086" t="str">
        <f>INDEX('Data_Price '!AO$2:AO$1266,MATCH(Data!$DN1086,'Data_Price '!$AT$2:$AT$1266,0))</f>
        <v>2022 Nordica Santa Ana 110 Free Women's Skis w/ Tyrolia Attack2 14 GW Bindings - 169| Ski Essentials</v>
      </c>
      <c r="DG1086" t="str">
        <f>INDEX('Data_Price '!AP$2:AP$1266,MATCH(Data!$DN1086,'Data_Price '!$AT$2:$AT$1266,0))</f>
        <v>eBay - david110549</v>
      </c>
      <c r="DH1086">
        <f>INDEX('Data_Price '!AQ$2:AQ$1266,MATCH(Data!$DN1086,'Data_Price '!$AT$2:$AT$1266,0))</f>
        <v>814.99</v>
      </c>
      <c r="DI1086" t="str">
        <f>INDEX('Data_Price '!AR$2:AR$1266,MATCH(Data!$DN1086,'Data_Price '!$AT$2:$AT$1266,0))</f>
        <v>https://tinyurl.com/y8yxz2f2</v>
      </c>
      <c r="DJ1086" s="89" t="str">
        <f t="shared" si="624"/>
        <v>https://tinyurl.com/yasfjhsp</v>
      </c>
      <c r="DK1086" s="89" t="str">
        <f t="shared" si="625"/>
        <v>https://tinyurl.com/y8ysrpky</v>
      </c>
      <c r="DL1086" s="89" t="str">
        <f t="shared" si="626"/>
        <v>https://tinyurl.com/y8yxz2f2</v>
      </c>
      <c r="DM1086" s="219" t="str">
        <f t="shared" si="627"/>
        <v>Enforcer 110 Free</v>
      </c>
      <c r="DN1086" s="89" t="str">
        <f t="shared" si="628"/>
        <v xml:space="preserve"> NordicaEnforcer 110 Free169 Unisex</v>
      </c>
      <c r="DO1086" s="221" t="s">
        <v>810</v>
      </c>
    </row>
    <row r="1087" spans="2:119" ht="15.6" customHeight="1">
      <c r="B1087" s="219" t="b">
        <f t="array" ref="B1087">IF(OR(ISERROR(K1087:P1087)),FALSE,TRUE)</f>
        <v>1</v>
      </c>
      <c r="C1087" s="43" t="b">
        <f>OR(BR1087=Driver!$G$50,Data!BR1167=Driver!$H$50)</f>
        <v>1</v>
      </c>
      <c r="D1087" s="43" t="b">
        <f>OR(BV1087=Driver!$G$51,BV1087=Driver!$H$51)</f>
        <v>0</v>
      </c>
      <c r="E1087" s="43" t="b">
        <f>AND(BX1087&gt;Driver!$F$54,BX1087&lt;Driver!$G$54)</f>
        <v>0</v>
      </c>
      <c r="F1087" s="43" t="b">
        <f>CL1087&gt;Driver!$F$56</f>
        <v>1</v>
      </c>
      <c r="G1087" s="43" t="b">
        <f>AND(CB1087&gt;Driver!$F$55,CB1087&lt;Driver!$G$55)</f>
        <v>0</v>
      </c>
      <c r="H1087" s="43" t="b">
        <f t="shared" si="592"/>
        <v>0</v>
      </c>
      <c r="I1087" s="43">
        <f t="shared" si="593"/>
        <v>0</v>
      </c>
      <c r="J1087" s="43" t="b">
        <f t="array" ref="J1087">NOT(OR(($H$9:$H$1273=TRUE)*($I$9:$I$1273&gt;0)*($BT$9:$BT$1273=BT1087)*($K$9:$K$1273&gt;K1087)))</f>
        <v>1</v>
      </c>
      <c r="K1087" s="72">
        <f t="shared" si="594"/>
        <v>0.8276637876554539</v>
      </c>
      <c r="L1087" s="72">
        <f t="shared" si="595"/>
        <v>0.83884319647026062</v>
      </c>
      <c r="M1087" s="72">
        <f t="shared" si="596"/>
        <v>0.81648437884064706</v>
      </c>
      <c r="N1087" s="72">
        <f t="shared" si="597"/>
        <v>0.98387474814425246</v>
      </c>
      <c r="O1087" s="72">
        <f t="shared" si="598"/>
        <v>0.57568015060156585</v>
      </c>
      <c r="P1087" s="72">
        <f t="shared" si="599"/>
        <v>0.88989823777612309</v>
      </c>
      <c r="Q1087" s="72"/>
      <c r="R1087" s="72"/>
      <c r="S1087" s="72">
        <f t="shared" si="600"/>
        <v>0.38445351247622817</v>
      </c>
      <c r="T1087" s="72">
        <f t="shared" si="601"/>
        <v>0.61230085716342875</v>
      </c>
      <c r="U1087" s="72">
        <f t="shared" si="602"/>
        <v>0.67766896427901313</v>
      </c>
      <c r="V1087" s="72">
        <f t="shared" si="603"/>
        <v>0.98737359933463198</v>
      </c>
      <c r="W1087" s="72">
        <f t="shared" si="604"/>
        <v>0.92852674656533174</v>
      </c>
      <c r="X1087" s="72">
        <f t="shared" si="605"/>
        <v>0.16115680352973935</v>
      </c>
      <c r="Y1087" s="72">
        <f t="shared" si="606"/>
        <v>0.18351562115935291</v>
      </c>
      <c r="Z1087" s="72">
        <f t="shared" si="607"/>
        <v>1.6125251855747591E-2</v>
      </c>
      <c r="AA1087" s="72">
        <f t="shared" si="608"/>
        <v>0.4243198493984342</v>
      </c>
      <c r="AB1087" s="72">
        <f t="shared" si="609"/>
        <v>0.11010176222387691</v>
      </c>
      <c r="AC1087" s="72"/>
      <c r="AD1087" s="72"/>
      <c r="AE1087" s="72">
        <f t="shared" si="610"/>
        <v>0.61554648752377183</v>
      </c>
      <c r="AF1087" s="72">
        <f t="shared" si="611"/>
        <v>0.38769914283657131</v>
      </c>
      <c r="AG1087" s="72">
        <f t="shared" si="612"/>
        <v>0.32233103572098687</v>
      </c>
      <c r="AH1087" s="72">
        <f t="shared" si="613"/>
        <v>1.2626400665368021E-2</v>
      </c>
      <c r="AI1087" s="72">
        <f t="shared" si="614"/>
        <v>7.147325343466826E-2</v>
      </c>
      <c r="AJ1087" s="72">
        <f>(AV1087-Driver!$K$179)/(Driver!$L$179-Driver!$K$179)</f>
        <v>9.3062605752961075E-2</v>
      </c>
      <c r="AK1087" s="72">
        <f>(AW1087-Driver!$K$180)/(Driver!$L$180-Driver!$K$180)</f>
        <v>0.13401738346925354</v>
      </c>
      <c r="AL1087" s="72">
        <f>(AX1087-Driver!$K$181)/(Driver!$L$181-Driver!$K$181)</f>
        <v>8.5562511857332588E-2</v>
      </c>
      <c r="AM1087" s="72">
        <f>(AY1087-Driver!$K$182)/(Driver!$L$182-Driver!$K$182)</f>
        <v>2.3065171698612184E-2</v>
      </c>
      <c r="AN1087" s="72">
        <f>(AZ1087-Driver!$K$183)/(Driver!$L$183-Driver!$K$183)</f>
        <v>0.14411764705882352</v>
      </c>
      <c r="AO1087" s="72"/>
      <c r="AP1087" s="72"/>
      <c r="AQ1087" s="72">
        <f>(BC1087-Driver!$K$188)/(Driver!$L$188-Driver!$K$188)</f>
        <v>4.4535124762281903E-3</v>
      </c>
      <c r="AR1087" s="72">
        <f>MIN((BD1087-Driver!$K$189)/(Driver!$L$189-Driver!$K$189),100%)</f>
        <v>0.16230085716342874</v>
      </c>
      <c r="AS1087" s="72">
        <f>(BE1087-Driver!$K$190)/(Driver!$L$190-Driver!$K$190)</f>
        <v>0.18766896427901317</v>
      </c>
      <c r="AT1087" s="72">
        <f>(BF1087-Driver!$K$191)/(Driver!$L$191-Driver!$K$191)</f>
        <v>0.52262640066536803</v>
      </c>
      <c r="AU1087" s="72">
        <f>(BG1087-Driver!$K$192)/(Driver!$L$192-Driver!$K$192)</f>
        <v>0.17852674656533174</v>
      </c>
      <c r="AV1087" s="70">
        <f t="shared" si="615"/>
        <v>1.9586894586894585</v>
      </c>
      <c r="AW1087" s="70">
        <f t="shared" si="616"/>
        <v>14.933074155358479</v>
      </c>
      <c r="AX1087" s="70">
        <f t="shared" si="617"/>
        <v>1.7700626067159932</v>
      </c>
      <c r="AY1087" s="70">
        <f>IFERROR(Driver!$K$19/Data!BH1087/Data!BI1087*Data!BK1087*Data!BL1087,"")</f>
        <v>2.823865214211382E-2</v>
      </c>
      <c r="AZ1087" s="70">
        <f t="shared" si="618"/>
        <v>13.134772896500372</v>
      </c>
      <c r="BA1087" s="70"/>
      <c r="BB1087" s="70"/>
      <c r="BC1087" s="70">
        <f t="shared" si="619"/>
        <v>2.3100678817360101</v>
      </c>
      <c r="BD1087" s="70">
        <f t="shared" si="620"/>
        <v>16.084161162959287</v>
      </c>
      <c r="BE1087" s="70">
        <f t="shared" si="621"/>
        <v>0.18781387499261051</v>
      </c>
      <c r="BF1087" s="70">
        <f t="shared" si="622"/>
        <v>59.026980296887267</v>
      </c>
      <c r="BG1087" s="70">
        <f t="shared" si="623"/>
        <v>0.67601615024846529</v>
      </c>
      <c r="BH1087" s="67">
        <f>MAX((CE1087-Driver!$F$200)/(Driver!$G$200-Driver!$F$200)*$BI$1,1)</f>
        <v>1.7700626067159932</v>
      </c>
      <c r="BI1087" s="67">
        <f>MAX($BI$1*(BY1087-Driver!$F$201)/(Driver!$G$201-Driver!$F$201),1)</f>
        <v>5.3164556962025316</v>
      </c>
      <c r="BJ1087" s="67">
        <f>(CB1087-Driver!$F$206)/(Driver!$G$206-Driver!$F$206)*$BI$1</f>
        <v>3.333333333333333</v>
      </c>
      <c r="BK1087" s="67">
        <f>(CD1087-Driver!$F$203)/(Driver!$G$203-Driver!$F$203)*$BI$1</f>
        <v>0.3211009174311924</v>
      </c>
      <c r="BL1087" s="67">
        <f>MAX((CR1087-Driver!$F$202)/(Driver!$G$202-Driver!$F$202)*$BI$1,1)</f>
        <v>4.1379310344827589</v>
      </c>
      <c r="BM1087" s="67">
        <f>MAX((CH1087-Driver!$F$204)/(Driver!$G$204-Driver!$F$204)*$BI$1,1)</f>
        <v>2.3504273504273505</v>
      </c>
      <c r="BN1087" s="67">
        <f>(CI1087-Driver!$F$205)/(Driver!$G$205-Driver!$F$205)*$BI$1</f>
        <v>2.4705882352941178</v>
      </c>
      <c r="BO1087" s="67">
        <f>(CK1087-Driver!$F$207)/(Driver!$G$207-Driver!$F$207)*$BI$1</f>
        <v>2.3474663908996898</v>
      </c>
      <c r="BP1087" s="67">
        <f>(CM1087-Driver!$F$208)/(Driver!$G$208-Driver!$F$208)*$BI$1</f>
        <v>2.4222222222222225</v>
      </c>
      <c r="BQ1087" s="67">
        <f>(CL1087-Driver!$F$209)/(Driver!$G$209-Driver!$F$209)*$BI$1</f>
        <v>2.8125</v>
      </c>
      <c r="BR1087" s="28" t="s">
        <v>155</v>
      </c>
      <c r="BS1087" s="8" t="s">
        <v>229</v>
      </c>
      <c r="BT1087" s="9" t="s">
        <v>806</v>
      </c>
      <c r="BU1087" s="10">
        <v>146</v>
      </c>
      <c r="BV1087" s="9" t="s">
        <v>163</v>
      </c>
      <c r="BW1087" s="10">
        <v>146</v>
      </c>
      <c r="BX1087" s="10">
        <v>147.30000000000001</v>
      </c>
      <c r="BY1087" s="10">
        <v>92</v>
      </c>
      <c r="BZ1087" s="10">
        <v>122</v>
      </c>
      <c r="CA1087" s="10">
        <v>128</v>
      </c>
      <c r="CB1087" s="10">
        <v>85</v>
      </c>
      <c r="CC1087" s="10">
        <v>109</v>
      </c>
      <c r="CD1087" s="10">
        <v>10.1</v>
      </c>
      <c r="CE1087" s="10">
        <v>1211</v>
      </c>
      <c r="CF1087" s="10">
        <v>1.21</v>
      </c>
      <c r="CG1087" s="10">
        <v>1467</v>
      </c>
      <c r="CH1087" s="10">
        <v>156</v>
      </c>
      <c r="CI1087" s="10">
        <v>75</v>
      </c>
      <c r="CJ1087" s="10">
        <v>48</v>
      </c>
      <c r="CK1087" s="10">
        <v>337</v>
      </c>
      <c r="CL1087" s="10">
        <v>18</v>
      </c>
      <c r="CM1087" s="10">
        <v>218</v>
      </c>
      <c r="CN1087" s="10">
        <v>0.373</v>
      </c>
      <c r="CO1087" s="10">
        <v>149</v>
      </c>
      <c r="CP1087" s="10">
        <v>105</v>
      </c>
      <c r="CQ1087" s="10">
        <v>188</v>
      </c>
      <c r="CR1087" s="10">
        <v>1</v>
      </c>
      <c r="CS1087" s="10">
        <v>11.5</v>
      </c>
      <c r="CT1087" s="9" t="s">
        <v>188</v>
      </c>
      <c r="CU1087" s="9" t="s">
        <v>185</v>
      </c>
      <c r="CV1087" s="10"/>
      <c r="CW1087" s="10"/>
      <c r="CX1087" t="e">
        <f>INDEX('Data_Price '!AG$2:AG$1266,MATCH(Data!$DN1087,'Data_Price '!$AT$2:$AT$1266,0))</f>
        <v>#N/A</v>
      </c>
      <c r="CY1087" t="e">
        <f>INDEX('Data_Price '!AH$2:AH$1266,MATCH(Data!$DN1087,'Data_Price '!$AT$2:$AT$1266,0))</f>
        <v>#N/A</v>
      </c>
      <c r="CZ1087" t="e">
        <f>INDEX('Data_Price '!AI$2:AI$1266,MATCH(Data!$DN1087,'Data_Price '!$AT$2:$AT$1266,0))</f>
        <v>#N/A</v>
      </c>
      <c r="DA1087" t="e">
        <f>INDEX('Data_Price '!AJ$2:AJ$1266,MATCH(Data!$DN1087,'Data_Price '!$AT$2:$AT$1266,0))</f>
        <v>#N/A</v>
      </c>
      <c r="DB1087" t="e">
        <f>INDEX('Data_Price '!AK$2:AK$1266,MATCH(Data!$DN1087,'Data_Price '!$AT$2:$AT$1266,0))</f>
        <v>#N/A</v>
      </c>
      <c r="DC1087" t="e">
        <f>INDEX('Data_Price '!AL$2:AL$1266,MATCH(Data!$DN1087,'Data_Price '!$AT$2:$AT$1266,0))</f>
        <v>#N/A</v>
      </c>
      <c r="DD1087" t="e">
        <f>INDEX('Data_Price '!AM$2:AM$1266,MATCH(Data!$DN1087,'Data_Price '!$AT$2:$AT$1266,0))</f>
        <v>#N/A</v>
      </c>
      <c r="DE1087" t="e">
        <f>INDEX('Data_Price '!AN$2:AN$1266,MATCH(Data!$DN1087,'Data_Price '!$AT$2:$AT$1266,0))</f>
        <v>#N/A</v>
      </c>
      <c r="DF1087" t="e">
        <f>INDEX('Data_Price '!AO$2:AO$1266,MATCH(Data!$DN1087,'Data_Price '!$AT$2:$AT$1266,0))</f>
        <v>#N/A</v>
      </c>
      <c r="DG1087" t="e">
        <f>INDEX('Data_Price '!AP$2:AP$1266,MATCH(Data!$DN1087,'Data_Price '!$AT$2:$AT$1266,0))</f>
        <v>#N/A</v>
      </c>
      <c r="DH1087" t="e">
        <f>INDEX('Data_Price '!AQ$2:AQ$1266,MATCH(Data!$DN1087,'Data_Price '!$AT$2:$AT$1266,0))</f>
        <v>#N/A</v>
      </c>
      <c r="DI1087" t="e">
        <f>INDEX('Data_Price '!AR$2:AR$1266,MATCH(Data!$DN1087,'Data_Price '!$AT$2:$AT$1266,0))</f>
        <v>#N/A</v>
      </c>
      <c r="DJ1087" s="89" t="e">
        <f t="shared" si="624"/>
        <v>#N/A</v>
      </c>
      <c r="DK1087" s="89" t="e">
        <f t="shared" si="625"/>
        <v>#N/A</v>
      </c>
      <c r="DL1087" s="89" t="e">
        <f t="shared" si="626"/>
        <v>#N/A</v>
      </c>
      <c r="DM1087" s="219" t="str">
        <f t="shared" si="627"/>
        <v>Blaze 86 W</v>
      </c>
      <c r="DN1087" s="89" t="str">
        <f t="shared" si="628"/>
        <v xml:space="preserve"> VölklBlaze 86 W146 Women's</v>
      </c>
      <c r="DO1087" s="221" t="s">
        <v>625</v>
      </c>
    </row>
    <row r="1088" spans="2:119" ht="15.6" customHeight="1">
      <c r="B1088" s="219" t="b">
        <f t="array" ref="B1088">IF(OR(ISERROR(K1088:P1088)),FALSE,TRUE)</f>
        <v>1</v>
      </c>
      <c r="C1088" s="43" t="b">
        <f>OR(BR1088=Driver!$G$50,Data!BR325=Driver!$H$50)</f>
        <v>1</v>
      </c>
      <c r="D1088" s="43" t="b">
        <f>OR(BV1088=Driver!$G$51,BV1088=Driver!$H$51)</f>
        <v>1</v>
      </c>
      <c r="E1088" s="43" t="b">
        <f>AND(BX1088&gt;Driver!$F$54,BX1088&lt;Driver!$G$54)</f>
        <v>0</v>
      </c>
      <c r="F1088" s="43" t="b">
        <f>CL1088&gt;Driver!$F$56</f>
        <v>1</v>
      </c>
      <c r="G1088" s="43" t="b">
        <f>AND(CB1088&gt;Driver!$F$55,CB1088&lt;Driver!$G$55)</f>
        <v>0</v>
      </c>
      <c r="H1088" s="43" t="b">
        <f t="shared" si="592"/>
        <v>0</v>
      </c>
      <c r="I1088" s="43">
        <f t="shared" si="593"/>
        <v>0</v>
      </c>
      <c r="J1088" s="43" t="b">
        <f t="array" ref="J1088">NOT(OR(($H$9:$H$1273=TRUE)*($I$9:$I$1273&gt;0)*($BT$9:$BT$1273=BT1088)*($K$9:$K$1273&gt;K1088)))</f>
        <v>1</v>
      </c>
      <c r="K1088" s="72">
        <f t="shared" si="594"/>
        <v>0.91013460437457405</v>
      </c>
      <c r="L1088" s="72">
        <f t="shared" si="595"/>
        <v>0.89274699149080694</v>
      </c>
      <c r="M1088" s="72">
        <f t="shared" si="596"/>
        <v>0.92752221725834116</v>
      </c>
      <c r="N1088" s="72">
        <f t="shared" si="597"/>
        <v>0.92759194285746305</v>
      </c>
      <c r="O1088" s="72">
        <f t="shared" si="598"/>
        <v>0.93419411820026099</v>
      </c>
      <c r="P1088" s="72">
        <f t="shared" si="599"/>
        <v>0.92078059071729956</v>
      </c>
      <c r="Q1088" s="72"/>
      <c r="R1088" s="72"/>
      <c r="S1088" s="72">
        <f t="shared" si="600"/>
        <v>0.48233611151901701</v>
      </c>
      <c r="T1088" s="72">
        <f t="shared" si="601"/>
        <v>0.44793602064700477</v>
      </c>
      <c r="U1088" s="72">
        <f t="shared" si="602"/>
        <v>0.51</v>
      </c>
      <c r="V1088" s="72">
        <f t="shared" si="603"/>
        <v>0.50216386813864933</v>
      </c>
      <c r="W1088" s="72">
        <f t="shared" si="604"/>
        <v>0.82960304054054057</v>
      </c>
      <c r="X1088" s="72">
        <f t="shared" si="605"/>
        <v>0.10725300850919309</v>
      </c>
      <c r="Y1088" s="72">
        <f t="shared" si="606"/>
        <v>7.2477782741658794E-2</v>
      </c>
      <c r="Z1088" s="72">
        <f t="shared" si="607"/>
        <v>7.2408057142536966E-2</v>
      </c>
      <c r="AA1088" s="72">
        <f t="shared" si="608"/>
        <v>6.5805881799739008E-2</v>
      </c>
      <c r="AB1088" s="72">
        <f t="shared" si="609"/>
        <v>7.9219409282700437E-2</v>
      </c>
      <c r="AC1088" s="72"/>
      <c r="AD1088" s="72"/>
      <c r="AE1088" s="72">
        <f t="shared" si="610"/>
        <v>0.51766388848098299</v>
      </c>
      <c r="AF1088" s="72">
        <f t="shared" si="611"/>
        <v>0.55206397935299523</v>
      </c>
      <c r="AG1088" s="72">
        <f t="shared" si="612"/>
        <v>0.49</v>
      </c>
      <c r="AH1088" s="72">
        <f t="shared" si="613"/>
        <v>0.49783613186135067</v>
      </c>
      <c r="AI1088" s="72">
        <f t="shared" si="614"/>
        <v>0.17039695945945943</v>
      </c>
      <c r="AJ1088" s="72">
        <f>(AV1088-Driver!$K$179)/(Driver!$L$179-Driver!$K$179)</f>
        <v>0.14696640077350734</v>
      </c>
      <c r="AK1088" s="72">
        <f>(AW1088-Driver!$K$180)/(Driver!$L$180-Driver!$K$180)</f>
        <v>0.16385673365269565</v>
      </c>
      <c r="AL1088" s="72">
        <f>(AX1088-Driver!$K$181)/(Driver!$L$181-Driver!$K$181)</f>
        <v>2.9279706570543216E-2</v>
      </c>
      <c r="AM1088" s="72">
        <f>(AY1088-Driver!$K$182)/(Driver!$L$182-Driver!$K$182)</f>
        <v>0.51319090289678537</v>
      </c>
      <c r="AN1088" s="72">
        <f>(AZ1088-Driver!$K$183)/(Driver!$L$183-Driver!$K$183)</f>
        <v>0.17499999999999999</v>
      </c>
      <c r="AO1088" s="72"/>
      <c r="AP1088" s="72"/>
      <c r="AQ1088" s="72">
        <f>(BC1088-Driver!$K$188)/(Driver!$L$188-Driver!$K$188)</f>
        <v>0.10233611151901702</v>
      </c>
      <c r="AR1088" s="72">
        <f>MIN((BD1088-Driver!$K$189)/(Driver!$L$189-Driver!$K$189),100%)</f>
        <v>-2.0639793529951289E-3</v>
      </c>
      <c r="AS1088" s="72">
        <f>(BE1088-Driver!$K$190)/(Driver!$L$190-Driver!$K$190)</f>
        <v>1</v>
      </c>
      <c r="AT1088" s="72">
        <f>(BF1088-Driver!$K$191)/(Driver!$L$191-Driver!$K$191)</f>
        <v>1.2163868138649354E-2</v>
      </c>
      <c r="AU1088" s="72">
        <f>(BG1088-Driver!$K$192)/(Driver!$L$192-Driver!$K$192)</f>
        <v>7.9603040540540557E-2</v>
      </c>
      <c r="AV1088" s="70">
        <f t="shared" si="615"/>
        <v>3.0932030932030927</v>
      </c>
      <c r="AW1088" s="70">
        <f t="shared" si="616"/>
        <v>17.84118323427489</v>
      </c>
      <c r="AX1088" s="70">
        <f t="shared" si="617"/>
        <v>1.2635173591348889</v>
      </c>
      <c r="AY1088" s="70">
        <f>IFERROR(Driver!$K$19/Data!BH1088/Data!BI1088*Data!BK1088*Data!BL1088,"")</f>
        <v>0.62829878653240612</v>
      </c>
      <c r="AZ1088" s="70">
        <f t="shared" si="618"/>
        <v>15.949367088607595</v>
      </c>
      <c r="BA1088" s="70"/>
      <c r="BB1088" s="70"/>
      <c r="BC1088" s="70">
        <f t="shared" si="619"/>
        <v>53.082452474019476</v>
      </c>
      <c r="BD1088" s="70">
        <f t="shared" si="620"/>
        <v>1.5381643685126662</v>
      </c>
      <c r="BE1088" s="70">
        <f t="shared" si="621"/>
        <v>1</v>
      </c>
      <c r="BF1088" s="70">
        <f t="shared" si="622"/>
        <v>1.3738234502502975</v>
      </c>
      <c r="BG1088" s="70">
        <f t="shared" si="623"/>
        <v>0.30142789273648657</v>
      </c>
      <c r="BH1088" s="67">
        <f>MAX((CE1088-Driver!$F$200)/(Driver!$G$200-Driver!$F$200)*$BI$1,1)</f>
        <v>1.2635173591348889</v>
      </c>
      <c r="BI1088" s="67">
        <f>MAX($BI$1*(BY1088-Driver!$F$201)/(Driver!$G$201-Driver!$F$201),1)</f>
        <v>7.5316455696202533</v>
      </c>
      <c r="BJ1088" s="67">
        <f>(CB1088-Driver!$F$206)/(Driver!$G$206-Driver!$F$206)*$BI$1</f>
        <v>3.0158730158730158</v>
      </c>
      <c r="BK1088" s="67">
        <f>(CD1088-Driver!$F$203)/(Driver!$G$203-Driver!$F$203)*$BI$1</f>
        <v>5.7798165137614692</v>
      </c>
      <c r="BL1088" s="67">
        <f>MAX((CR1088-Driver!$F$202)/(Driver!$G$202-Driver!$F$202)*$BI$1,1)</f>
        <v>5.1724137931034484</v>
      </c>
      <c r="BM1088" s="67">
        <f>MAX((CH1088-Driver!$F$204)/(Driver!$G$204-Driver!$F$204)*$BI$1,1)</f>
        <v>4.1025641025641022</v>
      </c>
      <c r="BN1088" s="67">
        <f>(CI1088-Driver!$F$205)/(Driver!$G$205-Driver!$F$205)*$BI$1</f>
        <v>2.1176470588235294</v>
      </c>
      <c r="BO1088" s="67">
        <f>(CK1088-Driver!$F$207)/(Driver!$G$207-Driver!$F$207)*$BI$1</f>
        <v>1.3857290589451912</v>
      </c>
      <c r="BP1088" s="67">
        <f>(CM1088-Driver!$F$208)/(Driver!$G$208-Driver!$F$208)*$BI$1</f>
        <v>1.9</v>
      </c>
      <c r="BQ1088" s="67">
        <f>(CL1088-Driver!$F$209)/(Driver!$G$209-Driver!$F$209)*$BI$1</f>
        <v>1.5625</v>
      </c>
      <c r="BR1088" s="28" t="s">
        <v>155</v>
      </c>
      <c r="BS1088" s="8" t="s">
        <v>317</v>
      </c>
      <c r="BT1088" s="9" t="s">
        <v>680</v>
      </c>
      <c r="BU1088" s="10">
        <v>171</v>
      </c>
      <c r="BV1088" s="9" t="s">
        <v>158</v>
      </c>
      <c r="BW1088" s="10">
        <v>171</v>
      </c>
      <c r="BX1088" s="10">
        <v>168.9</v>
      </c>
      <c r="BY1088" s="10">
        <v>127</v>
      </c>
      <c r="BZ1088" s="10">
        <v>144</v>
      </c>
      <c r="CA1088" s="10">
        <v>114</v>
      </c>
      <c r="CB1088" s="10">
        <v>83</v>
      </c>
      <c r="CC1088" s="10">
        <v>98</v>
      </c>
      <c r="CD1088" s="10">
        <v>22</v>
      </c>
      <c r="CE1088" s="10">
        <v>1122</v>
      </c>
      <c r="CF1088" s="10">
        <v>1.38</v>
      </c>
      <c r="CG1088" s="10">
        <v>1546</v>
      </c>
      <c r="CH1088" s="10">
        <v>197</v>
      </c>
      <c r="CI1088" s="10">
        <v>69</v>
      </c>
      <c r="CJ1088" s="10">
        <v>55</v>
      </c>
      <c r="CK1088" s="10">
        <v>244</v>
      </c>
      <c r="CL1088" s="10">
        <v>10</v>
      </c>
      <c r="CM1088" s="10">
        <v>171</v>
      </c>
      <c r="CN1088" s="10">
        <v>0.188</v>
      </c>
      <c r="CO1088" s="10">
        <v>130</v>
      </c>
      <c r="CP1088" s="10">
        <v>122</v>
      </c>
      <c r="CQ1088" s="10">
        <v>114</v>
      </c>
      <c r="CR1088" s="10">
        <v>4</v>
      </c>
      <c r="CS1088" s="10">
        <v>10.5</v>
      </c>
      <c r="CT1088" s="9" t="s">
        <v>185</v>
      </c>
      <c r="CU1088" s="9" t="s">
        <v>198</v>
      </c>
      <c r="CV1088" s="10"/>
      <c r="CW1088" s="10"/>
      <c r="CX1088" t="str">
        <f>INDEX('Data_Price '!AG$2:AG$1266,MATCH(Data!$DN1088,'Data_Price '!$AT$2:$AT$1266,0))</f>
        <v>Blizzard Zero G 85 Ski 2022</v>
      </c>
      <c r="CY1088" t="str">
        <f>INDEX('Data_Price '!AH$2:AH$1266,MATCH(Data!$DN1088,'Data_Price '!$AT$2:$AT$1266,0))</f>
        <v>Telemark Pyrenees</v>
      </c>
      <c r="CZ1088">
        <f>INDEX('Data_Price '!AI$2:AI$1266,MATCH(Data!$DN1088,'Data_Price '!$AT$2:$AT$1266,0))</f>
        <v>384.97</v>
      </c>
      <c r="DA1088" t="str">
        <f>INDEX('Data_Price '!AJ$2:AJ$1266,MATCH(Data!$DN1088,'Data_Price '!$AT$2:$AT$1266,0))</f>
        <v>https://tinyurl.com/yc6rqjlv</v>
      </c>
      <c r="DB1088" t="str">
        <f>INDEX('Data_Price '!AK$2:AK$1266,MATCH(Data!$DN1088,'Data_Price '!$AT$2:$AT$1266,0))</f>
        <v>Blizzard Zero G 85 Skis (2021) LIGHT GREY / 171</v>
      </c>
      <c r="DC1088" t="str">
        <f>INDEX('Data_Price '!AL$2:AL$1266,MATCH(Data!$DN1088,'Data_Price '!$AT$2:$AT$1266,0))</f>
        <v>Neptune Mountaineering</v>
      </c>
      <c r="DD1088">
        <f>INDEX('Data_Price '!AM$2:AM$1266,MATCH(Data!$DN1088,'Data_Price '!$AT$2:$AT$1266,0))</f>
        <v>420</v>
      </c>
      <c r="DE1088" t="str">
        <f>INDEX('Data_Price '!AN$2:AN$1266,MATCH(Data!$DN1088,'Data_Price '!$AT$2:$AT$1266,0))</f>
        <v>https://tinyurl.com/ych4bxfj</v>
      </c>
      <c r="DF1088" t="str">
        <f>INDEX('Data_Price '!AO$2:AO$1266,MATCH(Data!$DN1088,'Data_Price '!$AT$2:$AT$1266,0))</f>
        <v>Blizzard Zero G 85 Ski 171 cm</v>
      </c>
      <c r="DG1088" t="str">
        <f>INDEX('Data_Price '!AP$2:AP$1266,MATCH(Data!$DN1088,'Data_Price '!$AT$2:$AT$1266,0))</f>
        <v>Skimo &amp; SkyRun</v>
      </c>
      <c r="DH1088">
        <f>INDEX('Data_Price '!AQ$2:AQ$1266,MATCH(Data!$DN1088,'Data_Price '!$AT$2:$AT$1266,0))</f>
        <v>479.96</v>
      </c>
      <c r="DI1088" t="str">
        <f>INDEX('Data_Price '!AR$2:AR$1266,MATCH(Data!$DN1088,'Data_Price '!$AT$2:$AT$1266,0))</f>
        <v>https://tinyurl.com/ybk4yf6l</v>
      </c>
      <c r="DJ1088" s="89" t="str">
        <f t="shared" si="624"/>
        <v>https://tinyurl.com/yc6rqjlv</v>
      </c>
      <c r="DK1088" s="89" t="str">
        <f t="shared" si="625"/>
        <v>https://tinyurl.com/ych4bxfj</v>
      </c>
      <c r="DL1088" s="89" t="str">
        <f t="shared" si="626"/>
        <v>https://tinyurl.com/ybk4yf6l</v>
      </c>
      <c r="DM1088" s="219" t="str">
        <f t="shared" si="627"/>
        <v>Zero G 85</v>
      </c>
      <c r="DN1088" s="89" t="str">
        <f t="shared" si="628"/>
        <v xml:space="preserve"> BlizzardZero G 85171 Unisex</v>
      </c>
      <c r="DO1088" s="221"/>
    </row>
    <row r="1089" spans="2:119" ht="15.6" customHeight="1">
      <c r="B1089" s="219" t="b">
        <f t="array" ref="B1089">IF(OR(ISERROR(K1089:P1089)),FALSE,TRUE)</f>
        <v>1</v>
      </c>
      <c r="C1089" s="43" t="b">
        <f>OR(BR1089=Driver!$G$50,Data!BR992=Driver!$H$50)</f>
        <v>1</v>
      </c>
      <c r="D1089" s="43" t="b">
        <f>OR(BV1089=Driver!$G$51,BV1089=Driver!$H$51)</f>
        <v>1</v>
      </c>
      <c r="E1089" s="43" t="b">
        <f>AND(BX1089&gt;Driver!$F$54,BX1089&lt;Driver!$G$54)</f>
        <v>0</v>
      </c>
      <c r="F1089" s="43" t="b">
        <f>CL1089&gt;Driver!$F$56</f>
        <v>1</v>
      </c>
      <c r="G1089" s="43" t="b">
        <f>AND(CB1089&gt;Driver!$F$55,CB1089&lt;Driver!$G$55)</f>
        <v>0</v>
      </c>
      <c r="H1089" s="43" t="b">
        <f t="shared" si="592"/>
        <v>0</v>
      </c>
      <c r="I1089" s="43">
        <f t="shared" si="593"/>
        <v>0</v>
      </c>
      <c r="J1089" s="43" t="b">
        <f t="array" ref="J1089">NOT(OR(($H$9:$H$1273=TRUE)*($I$9:$I$1273&gt;0)*($BT$9:$BT$1273=BT1089)*($K$9:$K$1273&gt;K1089)))</f>
        <v>1</v>
      </c>
      <c r="K1089" s="72">
        <f t="shared" si="594"/>
        <v>0.81931849245550858</v>
      </c>
      <c r="L1089" s="72">
        <f t="shared" si="595"/>
        <v>0.82635427535189798</v>
      </c>
      <c r="M1089" s="72">
        <f t="shared" si="596"/>
        <v>0.81228270955911908</v>
      </c>
      <c r="N1089" s="72">
        <f t="shared" si="597"/>
        <v>0.86371900383196976</v>
      </c>
      <c r="O1089" s="72">
        <f t="shared" si="598"/>
        <v>0.74671127922612723</v>
      </c>
      <c r="P1089" s="72">
        <f t="shared" si="599"/>
        <v>0.82641784561926035</v>
      </c>
      <c r="Q1089" s="72"/>
      <c r="R1089" s="72"/>
      <c r="S1089" s="72">
        <f t="shared" si="600"/>
        <v>0.40544822236078726</v>
      </c>
      <c r="T1089" s="72">
        <f t="shared" si="601"/>
        <v>0.45708385268387008</v>
      </c>
      <c r="U1089" s="72">
        <f t="shared" si="602"/>
        <v>0.60528270038658405</v>
      </c>
      <c r="V1089" s="72">
        <f t="shared" si="603"/>
        <v>0.52436418186362732</v>
      </c>
      <c r="W1089" s="72">
        <f t="shared" si="604"/>
        <v>0.98050271739130435</v>
      </c>
      <c r="X1089" s="72">
        <f t="shared" si="605"/>
        <v>0.17364572464810207</v>
      </c>
      <c r="Y1089" s="72">
        <f t="shared" si="606"/>
        <v>0.1877172904408809</v>
      </c>
      <c r="Z1089" s="72">
        <f t="shared" si="607"/>
        <v>0.1362809961680303</v>
      </c>
      <c r="AA1089" s="72">
        <f t="shared" si="608"/>
        <v>0.25328872077387277</v>
      </c>
      <c r="AB1089" s="72">
        <f t="shared" si="609"/>
        <v>0.17358215438073965</v>
      </c>
      <c r="AC1089" s="72"/>
      <c r="AD1089" s="72"/>
      <c r="AE1089" s="72">
        <f t="shared" si="610"/>
        <v>0.59455177763921274</v>
      </c>
      <c r="AF1089" s="72">
        <f t="shared" si="611"/>
        <v>0.54291614731612992</v>
      </c>
      <c r="AG1089" s="72">
        <f t="shared" si="612"/>
        <v>0.39471729961341595</v>
      </c>
      <c r="AH1089" s="72">
        <f t="shared" si="613"/>
        <v>0.47563581813637262</v>
      </c>
      <c r="AI1089" s="72">
        <f t="shared" si="614"/>
        <v>1.9497282608695682E-2</v>
      </c>
      <c r="AJ1089" s="72">
        <f>(AV1089-Driver!$K$179)/(Driver!$L$179-Driver!$K$179)</f>
        <v>8.0573684634598339E-2</v>
      </c>
      <c r="AK1089" s="72">
        <f>(AW1089-Driver!$K$180)/(Driver!$L$180-Driver!$K$180)</f>
        <v>9.0876048500646123E-2</v>
      </c>
      <c r="AL1089" s="72">
        <f>(AX1089-Driver!$K$181)/(Driver!$L$181-Driver!$K$181)</f>
        <v>0.23796875988111049</v>
      </c>
      <c r="AM1089" s="72">
        <f>(AY1089-Driver!$K$182)/(Driver!$L$182-Driver!$K$182)</f>
        <v>0.1940963003231736</v>
      </c>
      <c r="AN1089" s="72">
        <f>(AZ1089-Driver!$K$183)/(Driver!$L$183-Driver!$K$183)</f>
        <v>8.0637254901960775E-2</v>
      </c>
      <c r="AO1089" s="72"/>
      <c r="AP1089" s="72"/>
      <c r="AQ1089" s="72">
        <f>(BC1089-Driver!$K$188)/(Driver!$L$188-Driver!$K$188)</f>
        <v>2.5448222360787261E-2</v>
      </c>
      <c r="AR1089" s="72">
        <f>MIN((BD1089-Driver!$K$189)/(Driver!$L$189-Driver!$K$189),100%)</f>
        <v>7.0838526838701062E-3</v>
      </c>
      <c r="AS1089" s="72">
        <f>(BE1089-Driver!$K$190)/(Driver!$L$190-Driver!$K$190)</f>
        <v>0.11528270038658403</v>
      </c>
      <c r="AT1089" s="72">
        <f>(BF1089-Driver!$K$191)/(Driver!$L$191-Driver!$K$191)</f>
        <v>3.4364181863627392E-2</v>
      </c>
      <c r="AU1089" s="72">
        <f>(BG1089-Driver!$K$192)/(Driver!$L$192-Driver!$K$192)</f>
        <v>0.23050271739130432</v>
      </c>
      <c r="AV1089" s="70">
        <f t="shared" si="615"/>
        <v>1.6958350291683626</v>
      </c>
      <c r="AW1089" s="70">
        <f t="shared" si="616"/>
        <v>10.728568791552032</v>
      </c>
      <c r="AX1089" s="70">
        <f t="shared" si="617"/>
        <v>3.1417188389299944</v>
      </c>
      <c r="AY1089" s="70">
        <f>IFERROR(Driver!$K$19/Data!BH1089/Data!BI1089*Data!BK1089*Data!BL1089,"")</f>
        <v>0.2376317843420668</v>
      </c>
      <c r="AZ1089" s="70">
        <f t="shared" si="618"/>
        <v>7.34921816827997</v>
      </c>
      <c r="BA1089" s="70"/>
      <c r="BB1089" s="70"/>
      <c r="BC1089" s="70">
        <f t="shared" si="619"/>
        <v>13.200169851712038</v>
      </c>
      <c r="BD1089" s="70">
        <f t="shared" si="620"/>
        <v>2.3477312947760072</v>
      </c>
      <c r="BE1089" s="70">
        <f t="shared" si="621"/>
        <v>0.11544052399491769</v>
      </c>
      <c r="BF1089" s="70">
        <f t="shared" si="622"/>
        <v>3.8811929194555868</v>
      </c>
      <c r="BG1089" s="70">
        <f t="shared" si="623"/>
        <v>0.87283033288043477</v>
      </c>
      <c r="BH1089" s="67">
        <f>MAX((CE1089-Driver!$F$200)/(Driver!$G$200-Driver!$F$200)*$BI$1,1)</f>
        <v>3.1417188389299944</v>
      </c>
      <c r="BI1089" s="67">
        <f>MAX($BI$1*(BY1089-Driver!$F$201)/(Driver!$G$201-Driver!$F$201),1)</f>
        <v>5.9493670886075947</v>
      </c>
      <c r="BJ1089" s="67">
        <f>(CB1089-Driver!$F$206)/(Driver!$G$206-Driver!$F$206)*$BI$1</f>
        <v>3.9682539682539679</v>
      </c>
      <c r="BK1089" s="67">
        <f>(CD1089-Driver!$F$203)/(Driver!$G$203-Driver!$F$203)*$BI$1</f>
        <v>3.5779816513761471</v>
      </c>
      <c r="BL1089" s="67">
        <f>MAX((CR1089-Driver!$F$202)/(Driver!$G$202-Driver!$F$202)*$BI$1,1)</f>
        <v>6.2068965517241379</v>
      </c>
      <c r="BM1089" s="67">
        <f>MAX((CH1089-Driver!$F$204)/(Driver!$G$204-Driver!$F$204)*$BI$1,1)</f>
        <v>1.7094017094017095</v>
      </c>
      <c r="BN1089" s="67">
        <f>(CI1089-Driver!$F$205)/(Driver!$G$205-Driver!$F$205)*$BI$1</f>
        <v>1.2352941176470589</v>
      </c>
      <c r="BO1089" s="67">
        <f>(CK1089-Driver!$F$207)/(Driver!$G$207-Driver!$F$207)*$BI$1</f>
        <v>1.4581178903826266</v>
      </c>
      <c r="BP1089" s="67">
        <f>(CM1089-Driver!$F$208)/(Driver!$G$208-Driver!$F$208)*$BI$1</f>
        <v>2.4</v>
      </c>
      <c r="BQ1089" s="67">
        <f>(CL1089-Driver!$F$209)/(Driver!$G$209-Driver!$F$209)*$BI$1</f>
        <v>4.6875</v>
      </c>
      <c r="BR1089" s="28" t="s">
        <v>155</v>
      </c>
      <c r="BS1089" s="8" t="s">
        <v>172</v>
      </c>
      <c r="BT1089" s="9" t="s">
        <v>720</v>
      </c>
      <c r="BU1089" s="10">
        <v>150</v>
      </c>
      <c r="BV1089" s="9" t="s">
        <v>158</v>
      </c>
      <c r="BW1089" s="10">
        <v>150</v>
      </c>
      <c r="BX1089" s="10">
        <v>148.80000000000001</v>
      </c>
      <c r="BY1089" s="10">
        <v>102</v>
      </c>
      <c r="BZ1089" s="10">
        <v>122</v>
      </c>
      <c r="CA1089" s="10">
        <v>117</v>
      </c>
      <c r="CB1089" s="10">
        <v>89</v>
      </c>
      <c r="CC1089" s="10">
        <v>107</v>
      </c>
      <c r="CD1089" s="10">
        <v>17.2</v>
      </c>
      <c r="CE1089" s="10">
        <v>1452</v>
      </c>
      <c r="CF1089" s="10">
        <v>1</v>
      </c>
      <c r="CG1089" s="10">
        <v>1449</v>
      </c>
      <c r="CH1089" s="10">
        <v>141</v>
      </c>
      <c r="CI1089" s="10">
        <v>54</v>
      </c>
      <c r="CJ1089" s="10">
        <v>48</v>
      </c>
      <c r="CK1089" s="10">
        <v>251</v>
      </c>
      <c r="CL1089" s="10">
        <v>30</v>
      </c>
      <c r="CM1089" s="10">
        <v>216</v>
      </c>
      <c r="CN1089" s="10">
        <v>0.626</v>
      </c>
      <c r="CO1089" s="10">
        <v>128</v>
      </c>
      <c r="CP1089" s="10">
        <v>137</v>
      </c>
      <c r="CQ1089" s="10">
        <v>123</v>
      </c>
      <c r="CR1089" s="10">
        <v>7</v>
      </c>
      <c r="CS1089" s="10">
        <v>5.4</v>
      </c>
      <c r="CT1089" s="9" t="s">
        <v>188</v>
      </c>
      <c r="CU1089" s="10"/>
      <c r="CV1089" s="10"/>
      <c r="CW1089" s="10"/>
      <c r="CX1089" t="str">
        <f>INDEX('Data_Price '!AG$2:AG$1266,MATCH(Data!$DN1089,'Data_Price '!$AT$2:$AT$1266,0))</f>
        <v>Rossignol Blackops Smasher Skis w/ Look Xpress 10 GW Bindings</v>
      </c>
      <c r="CY1089" t="str">
        <f>INDEX('Data_Price '!AH$2:AH$1266,MATCH(Data!$DN1089,'Data_Price '!$AT$2:$AT$1266,0))</f>
        <v>Spoke-N-Sport</v>
      </c>
      <c r="CZ1089">
        <f>INDEX('Data_Price '!AI$2:AI$1266,MATCH(Data!$DN1089,'Data_Price '!$AT$2:$AT$1266,0))</f>
        <v>314.99</v>
      </c>
      <c r="DA1089" t="str">
        <f>INDEX('Data_Price '!AJ$2:AJ$1266,MATCH(Data!$DN1089,'Data_Price '!$AT$2:$AT$1266,0))</f>
        <v>https://tinyurl.com/y9vupjws</v>
      </c>
      <c r="DB1089" t="str">
        <f>INDEX('Data_Price '!AK$2:AK$1266,MATCH(Data!$DN1089,'Data_Price '!$AT$2:$AT$1266,0))</f>
        <v>Rossignol Blackops Smasher Skis w/ Look Xpress 10 GW Bindings</v>
      </c>
      <c r="DC1089" t="str">
        <f>INDEX('Data_Price '!AL$2:AL$1266,MATCH(Data!$DN1089,'Data_Price '!$AT$2:$AT$1266,0))</f>
        <v>The-House.com</v>
      </c>
      <c r="DD1089">
        <f>INDEX('Data_Price '!AM$2:AM$1266,MATCH(Data!$DN1089,'Data_Price '!$AT$2:$AT$1266,0))</f>
        <v>359.95</v>
      </c>
      <c r="DE1089" t="str">
        <f>INDEX('Data_Price '!AN$2:AN$1266,MATCH(Data!$DN1089,'Data_Price '!$AT$2:$AT$1266,0))</f>
        <v>https://tinyurl.com/ybeqhjj4</v>
      </c>
      <c r="DF1089" t="str">
        <f>INDEX('Data_Price '!AO$2:AO$1266,MATCH(Data!$DN1089,'Data_Price '!$AT$2:$AT$1266,0))</f>
        <v>Rossignol Blackops Smasher Skis w/ Look Xpress 10 GW Bindings</v>
      </c>
      <c r="DG1089" t="str">
        <f>INDEX('Data_Price '!AP$2:AP$1266,MATCH(Data!$DN1089,'Data_Price '!$AT$2:$AT$1266,0))</f>
        <v>ColoradoSkiShop.com</v>
      </c>
      <c r="DH1089">
        <f>INDEX('Data_Price '!AQ$2:AQ$1266,MATCH(Data!$DN1089,'Data_Price '!$AT$2:$AT$1266,0))</f>
        <v>359.95</v>
      </c>
      <c r="DI1089" t="str">
        <f>INDEX('Data_Price '!AR$2:AR$1266,MATCH(Data!$DN1089,'Data_Price '!$AT$2:$AT$1266,0))</f>
        <v>https://tinyurl.com/ycr83pzh</v>
      </c>
      <c r="DJ1089" s="89" t="str">
        <f t="shared" si="624"/>
        <v>https://tinyurl.com/y9vupjws</v>
      </c>
      <c r="DK1089" s="89" t="str">
        <f t="shared" si="625"/>
        <v>https://tinyurl.com/ybeqhjj4</v>
      </c>
      <c r="DL1089" s="89" t="str">
        <f t="shared" si="626"/>
        <v>https://tinyurl.com/ycr83pzh</v>
      </c>
      <c r="DM1089" s="219" t="str">
        <f t="shared" si="627"/>
        <v>Blackops Smasher</v>
      </c>
      <c r="DN1089" s="89" t="str">
        <f t="shared" si="628"/>
        <v xml:space="preserve"> RossignolBlackops Smasher150 Unisex</v>
      </c>
      <c r="DO1089" s="221"/>
    </row>
    <row r="1090" spans="2:119" ht="15.6" customHeight="1">
      <c r="B1090" s="219" t="b">
        <f t="array" ref="B1090">IF(OR(ISERROR(K1090:P1090)),FALSE,TRUE)</f>
        <v>1</v>
      </c>
      <c r="C1090" s="43" t="b">
        <f>OR(BR1090=Driver!$G$50,Data!BR341=Driver!$H$50)</f>
        <v>1</v>
      </c>
      <c r="D1090" s="43" t="b">
        <f>OR(BV1090=Driver!$G$51,BV1090=Driver!$H$51)</f>
        <v>1</v>
      </c>
      <c r="E1090" s="43" t="b">
        <f>AND(BX1090&gt;Driver!$F$54,BX1090&lt;Driver!$G$54)</f>
        <v>0</v>
      </c>
      <c r="F1090" s="43" t="b">
        <f>CL1090&gt;Driver!$F$56</f>
        <v>1</v>
      </c>
      <c r="G1090" s="43" t="b">
        <f>AND(CB1090&gt;Driver!$F$55,CB1090&lt;Driver!$G$55)</f>
        <v>1</v>
      </c>
      <c r="H1090" s="43" t="b">
        <f t="shared" si="592"/>
        <v>0</v>
      </c>
      <c r="I1090" s="43">
        <f t="shared" si="593"/>
        <v>2</v>
      </c>
      <c r="J1090" s="43" t="b">
        <f t="array" ref="J1090">NOT(OR(($H$9:$H$1273=TRUE)*($I$9:$I$1273&gt;0)*($BT$9:$BT$1273=BT1090)*($K$9:$K$1273&gt;K1090)))</f>
        <v>0</v>
      </c>
      <c r="K1090" s="72">
        <f t="shared" si="594"/>
        <v>0.68342813543866854</v>
      </c>
      <c r="L1090" s="72">
        <f t="shared" si="595"/>
        <v>0.73645291182077166</v>
      </c>
      <c r="M1090" s="72">
        <f t="shared" si="596"/>
        <v>0.63040335905656542</v>
      </c>
      <c r="N1090" s="72">
        <f t="shared" si="597"/>
        <v>0.49187305429677708</v>
      </c>
      <c r="O1090" s="72">
        <f t="shared" si="598"/>
        <v>0.6560653260085193</v>
      </c>
      <c r="P1090" s="72">
        <f t="shared" si="599"/>
        <v>0.74327169686439976</v>
      </c>
      <c r="Q1090" s="72"/>
      <c r="R1090" s="72"/>
      <c r="S1090" s="72">
        <f t="shared" si="600"/>
        <v>0.53471081210856086</v>
      </c>
      <c r="T1090" s="72">
        <f t="shared" si="601"/>
        <v>0.5420058055617758</v>
      </c>
      <c r="U1090" s="72">
        <f t="shared" si="602"/>
        <v>0.53335072498293745</v>
      </c>
      <c r="V1090" s="72">
        <f t="shared" si="603"/>
        <v>0.57316482093326293</v>
      </c>
      <c r="W1090" s="72">
        <f t="shared" si="604"/>
        <v>0.77626160990712068</v>
      </c>
      <c r="X1090" s="72">
        <f t="shared" si="605"/>
        <v>0.26354708817922839</v>
      </c>
      <c r="Y1090" s="72">
        <f t="shared" si="606"/>
        <v>0.36959664094343458</v>
      </c>
      <c r="Z1090" s="72">
        <f t="shared" si="607"/>
        <v>0.50812694570322292</v>
      </c>
      <c r="AA1090" s="72">
        <f t="shared" si="608"/>
        <v>0.3439346739914807</v>
      </c>
      <c r="AB1090" s="72">
        <f t="shared" si="609"/>
        <v>0.25672830313560019</v>
      </c>
      <c r="AC1090" s="72"/>
      <c r="AD1090" s="72"/>
      <c r="AE1090" s="72">
        <f t="shared" si="610"/>
        <v>0.46528918789143914</v>
      </c>
      <c r="AF1090" s="72">
        <f t="shared" si="611"/>
        <v>0.4579941944382242</v>
      </c>
      <c r="AG1090" s="72">
        <f t="shared" si="612"/>
        <v>0.46664927501706249</v>
      </c>
      <c r="AH1090" s="72">
        <f t="shared" si="613"/>
        <v>0.42683517906673712</v>
      </c>
      <c r="AI1090" s="72">
        <f t="shared" si="614"/>
        <v>0.22373839009287927</v>
      </c>
      <c r="AJ1090" s="72">
        <f>(AV1090-Driver!$K$179)/(Driver!$L$179-Driver!$K$179)</f>
        <v>0.51776649746192882</v>
      </c>
      <c r="AK1090" s="72">
        <f>(AW1090-Driver!$K$180)/(Driver!$L$180-Driver!$K$180)</f>
        <v>0.52648348060325478</v>
      </c>
      <c r="AL1090" s="72">
        <f>(AX1090-Driver!$K$181)/(Driver!$L$181-Driver!$K$181)</f>
        <v>0.60981470941630311</v>
      </c>
      <c r="AM1090" s="72">
        <f>(AY1090-Driver!$K$182)/(Driver!$L$182-Driver!$K$182)</f>
        <v>0.10345034710556565</v>
      </c>
      <c r="AN1090" s="72">
        <f>(AZ1090-Driver!$K$183)/(Driver!$L$183-Driver!$K$183)</f>
        <v>0.51094771241830061</v>
      </c>
      <c r="AO1090" s="72"/>
      <c r="AP1090" s="72"/>
      <c r="AQ1090" s="72">
        <f>(BC1090-Driver!$K$188)/(Driver!$L$188-Driver!$K$188)</f>
        <v>0.15471081210856089</v>
      </c>
      <c r="AR1090" s="72">
        <f>MIN((BD1090-Driver!$K$189)/(Driver!$L$189-Driver!$K$189),100%)</f>
        <v>9.2005805561775872E-2</v>
      </c>
      <c r="AS1090" s="72">
        <f>(BE1090-Driver!$K$190)/(Driver!$L$190-Driver!$K$190)</f>
        <v>4.3350724982937516E-2</v>
      </c>
      <c r="AT1090" s="72">
        <f>(BF1090-Driver!$K$191)/(Driver!$L$191-Driver!$K$191)</f>
        <v>8.316482093326287E-2</v>
      </c>
      <c r="AU1090" s="72">
        <f>(BG1090-Driver!$K$192)/(Driver!$L$192-Driver!$K$192)</f>
        <v>2.6261609907120741E-2</v>
      </c>
      <c r="AV1090" s="70">
        <f t="shared" si="615"/>
        <v>10.897435897435896</v>
      </c>
      <c r="AW1090" s="70">
        <f t="shared" si="616"/>
        <v>53.182372924458576</v>
      </c>
      <c r="AX1090" s="70">
        <f t="shared" si="617"/>
        <v>6.4883323847467276</v>
      </c>
      <c r="AY1090" s="70">
        <f>IFERROR(Driver!$K$19/Data!BH1090/Data!BI1090*Data!BK1090*Data!BL1090,"")</f>
        <v>0.12665409146166348</v>
      </c>
      <c r="AZ1090" s="70">
        <f t="shared" si="618"/>
        <v>46.567386448250183</v>
      </c>
      <c r="BA1090" s="70"/>
      <c r="BB1090" s="70"/>
      <c r="BC1090" s="70">
        <f t="shared" si="619"/>
        <v>80.249573772827333</v>
      </c>
      <c r="BD1090" s="70">
        <f t="shared" si="620"/>
        <v>9.8631736516741118</v>
      </c>
      <c r="BE1090" s="70">
        <f t="shared" si="621"/>
        <v>4.3521380446054317E-2</v>
      </c>
      <c r="BF1090" s="70">
        <f t="shared" si="622"/>
        <v>9.3928822584778384</v>
      </c>
      <c r="BG1090" s="70">
        <f t="shared" si="623"/>
        <v>9.9443208204334374E-2</v>
      </c>
      <c r="BH1090" s="67">
        <f>MAX((CE1090-Driver!$F$200)/(Driver!$G$200-Driver!$F$200)*$BI$1,1)</f>
        <v>6.4883323847467276</v>
      </c>
      <c r="BI1090" s="67">
        <f>MAX($BI$1*(BY1090-Driver!$F$201)/(Driver!$G$201-Driver!$F$201),1)</f>
        <v>7.4683544303797467</v>
      </c>
      <c r="BJ1090" s="67">
        <f>(CB1090-Driver!$F$206)/(Driver!$G$206-Driver!$F$206)*$BI$1</f>
        <v>6.6666666666666661</v>
      </c>
      <c r="BK1090" s="67">
        <f>(CD1090-Driver!$F$203)/(Driver!$G$203-Driver!$F$203)*$BI$1</f>
        <v>4.4495412844036704</v>
      </c>
      <c r="BL1090" s="67">
        <f>MAX((CR1090-Driver!$F$202)/(Driver!$G$202-Driver!$F$202)*$BI$1,1)</f>
        <v>6.8965517241379315</v>
      </c>
      <c r="BM1090" s="67">
        <f>MAX((CH1090-Driver!$F$204)/(Driver!$G$204-Driver!$F$204)*$BI$1,1)</f>
        <v>6.5384615384615383</v>
      </c>
      <c r="BN1090" s="67">
        <f>(CI1090-Driver!$F$205)/(Driver!$G$205-Driver!$F$205)*$BI$1</f>
        <v>6.2352941176470589</v>
      </c>
      <c r="BO1090" s="67">
        <f>(CK1090-Driver!$F$207)/(Driver!$G$207-Driver!$F$207)*$BI$1</f>
        <v>2.2750775594622543</v>
      </c>
      <c r="BP1090" s="67">
        <f>(CM1090-Driver!$F$208)/(Driver!$G$208-Driver!$F$208)*$BI$1</f>
        <v>2.7555555555555555</v>
      </c>
      <c r="BQ1090" s="67">
        <f>(CL1090-Driver!$F$209)/(Driver!$G$209-Driver!$F$209)*$BI$1</f>
        <v>4.21875</v>
      </c>
      <c r="BR1090" s="28" t="s">
        <v>155</v>
      </c>
      <c r="BS1090" s="8" t="s">
        <v>218</v>
      </c>
      <c r="BT1090" s="9" t="s">
        <v>250</v>
      </c>
      <c r="BU1090" s="10">
        <v>184</v>
      </c>
      <c r="BV1090" s="9" t="s">
        <v>158</v>
      </c>
      <c r="BW1090" s="10">
        <v>184</v>
      </c>
      <c r="BX1090" s="10">
        <v>183.7</v>
      </c>
      <c r="BY1090" s="10">
        <v>126</v>
      </c>
      <c r="BZ1090" s="10">
        <v>143</v>
      </c>
      <c r="CA1090" s="10">
        <v>138</v>
      </c>
      <c r="CB1090" s="10">
        <v>106</v>
      </c>
      <c r="CC1090" s="10">
        <v>121</v>
      </c>
      <c r="CD1090" s="10">
        <v>19.100000000000001</v>
      </c>
      <c r="CE1090" s="10">
        <v>2040</v>
      </c>
      <c r="CF1090" s="10">
        <v>1.04</v>
      </c>
      <c r="CG1090" s="10">
        <v>2125</v>
      </c>
      <c r="CH1090" s="10">
        <v>254</v>
      </c>
      <c r="CI1090" s="10">
        <v>139</v>
      </c>
      <c r="CJ1090" s="10">
        <v>54</v>
      </c>
      <c r="CK1090" s="10">
        <v>330</v>
      </c>
      <c r="CL1090" s="10">
        <v>27</v>
      </c>
      <c r="CM1090" s="10">
        <v>248</v>
      </c>
      <c r="CN1090" s="10">
        <v>0.501</v>
      </c>
      <c r="CO1090" s="10">
        <v>214</v>
      </c>
      <c r="CP1090" s="10">
        <v>196</v>
      </c>
      <c r="CQ1090" s="10">
        <v>116</v>
      </c>
      <c r="CR1090" s="10">
        <v>9</v>
      </c>
      <c r="CS1090" s="10">
        <v>10.8</v>
      </c>
      <c r="CT1090" s="9" t="s">
        <v>169</v>
      </c>
      <c r="CU1090" s="10"/>
      <c r="CV1090" s="10"/>
      <c r="CW1090" s="10"/>
      <c r="CX1090" t="str">
        <f>INDEX('Data_Price '!AG$2:AG$1266,MATCH(Data!$DN1090,'Data_Price '!$AT$2:$AT$1266,0))</f>
        <v>DPS Pagoda 106 C2 Ski 184 / Blue</v>
      </c>
      <c r="CY1090" t="str">
        <f>INDEX('Data_Price '!AH$2:AH$1266,MATCH(Data!$DN1090,'Data_Price '!$AT$2:$AT$1266,0))</f>
        <v>Cripple Creek Backcountry</v>
      </c>
      <c r="CZ1090">
        <f>INDEX('Data_Price '!AI$2:AI$1266,MATCH(Data!$DN1090,'Data_Price '!$AT$2:$AT$1266,0))</f>
        <v>1029</v>
      </c>
      <c r="DA1090" t="str">
        <f>INDEX('Data_Price '!AJ$2:AJ$1266,MATCH(Data!$DN1090,'Data_Price '!$AT$2:$AT$1266,0))</f>
        <v>https://tinyurl.com/yambzasb</v>
      </c>
      <c r="DB1090" t="str">
        <f>INDEX('Data_Price '!AK$2:AK$1266,MATCH(Data!$DN1090,'Data_Price '!$AT$2:$AT$1266,0))</f>
        <v>DPS Pagoda 106 C2 Blue Skis 184cm 2022</v>
      </c>
      <c r="DC1090" t="str">
        <f>INDEX('Data_Price '!AL$2:AL$1266,MATCH(Data!$DN1090,'Data_Price '!$AT$2:$AT$1266,0))</f>
        <v>Powder7 Ski Shop</v>
      </c>
      <c r="DD1090">
        <f>INDEX('Data_Price '!AM$2:AM$1266,MATCH(Data!$DN1090,'Data_Price '!$AT$2:$AT$1266,0))</f>
        <v>1039.2</v>
      </c>
      <c r="DE1090" t="str">
        <f>INDEX('Data_Price '!AN$2:AN$1266,MATCH(Data!$DN1090,'Data_Price '!$AT$2:$AT$1266,0))</f>
        <v>https://tinyurl.com/y9uanu7y</v>
      </c>
      <c r="DF1090" t="str">
        <f>INDEX('Data_Price '!AO$2:AO$1266,MATCH(Data!$DN1090,'Data_Price '!$AT$2:$AT$1266,0))</f>
        <v>DPS Pagoda Tour 106 C2 Ski 2022, 184</v>
      </c>
      <c r="DG1090" t="str">
        <f>INDEX('Data_Price '!AP$2:AP$1266,MATCH(Data!$DN1090,'Data_Price '!$AT$2:$AT$1266,0))</f>
        <v>Gear West Ski &amp; Bike</v>
      </c>
      <c r="DH1090">
        <f>INDEX('Data_Price '!AQ$2:AQ$1266,MATCH(Data!$DN1090,'Data_Price '!$AT$2:$AT$1266,0))</f>
        <v>1299</v>
      </c>
      <c r="DI1090" t="str">
        <f>INDEX('Data_Price '!AR$2:AR$1266,MATCH(Data!$DN1090,'Data_Price '!$AT$2:$AT$1266,0))</f>
        <v>https://tinyurl.com/y93tu7r5</v>
      </c>
      <c r="DJ1090" s="89" t="str">
        <f t="shared" si="624"/>
        <v>https://tinyurl.com/yambzasb</v>
      </c>
      <c r="DK1090" s="89" t="str">
        <f t="shared" si="625"/>
        <v>https://tinyurl.com/y9uanu7y</v>
      </c>
      <c r="DL1090" s="89" t="str">
        <f t="shared" si="626"/>
        <v>https://tinyurl.com/y93tu7r5</v>
      </c>
      <c r="DM1090" s="219" t="str">
        <f t="shared" si="627"/>
        <v>Pagoda 106 C2</v>
      </c>
      <c r="DN1090" s="89" t="str">
        <f t="shared" si="628"/>
        <v xml:space="preserve"> DPSPagoda 106 C2184 Unisex</v>
      </c>
      <c r="DO1090" s="221" t="s">
        <v>251</v>
      </c>
    </row>
    <row r="1091" spans="2:119" ht="15.6" customHeight="1">
      <c r="B1091" s="219" t="b">
        <f t="array" ref="B1091">IF(OR(ISERROR(K1091:P1091)),FALSE,TRUE)</f>
        <v>1</v>
      </c>
      <c r="C1091" s="43" t="b">
        <f>OR(BR1091=Driver!$G$50,Data!BR1081=Driver!$H$50)</f>
        <v>1</v>
      </c>
      <c r="D1091" s="43" t="b">
        <f>OR(BV1091=Driver!$G$51,BV1091=Driver!$H$51)</f>
        <v>1</v>
      </c>
      <c r="E1091" s="43" t="b">
        <f>AND(BX1091&gt;Driver!$F$54,BX1091&lt;Driver!$G$54)</f>
        <v>0</v>
      </c>
      <c r="F1091" s="43" t="b">
        <f>CL1091&gt;Driver!$F$56</f>
        <v>1</v>
      </c>
      <c r="G1091" s="43" t="b">
        <f>AND(CB1091&gt;Driver!$F$55,CB1091&lt;Driver!$G$55)</f>
        <v>1</v>
      </c>
      <c r="H1091" s="43" t="b">
        <f t="shared" si="592"/>
        <v>0</v>
      </c>
      <c r="I1091" s="43">
        <f t="shared" si="593"/>
        <v>0</v>
      </c>
      <c r="J1091" s="43" t="b">
        <f t="array" ref="J1091">NOT(OR(($H$9:$H$1273=TRUE)*($I$9:$I$1273&gt;0)*($BT$9:$BT$1273=BT1091)*($K$9:$K$1273&gt;K1091)))</f>
        <v>1</v>
      </c>
      <c r="K1091" s="72">
        <f t="shared" si="594"/>
        <v>0.62601820967278443</v>
      </c>
      <c r="L1091" s="72">
        <f t="shared" si="595"/>
        <v>0.63315744811921659</v>
      </c>
      <c r="M1091" s="72">
        <f t="shared" si="596"/>
        <v>0.61887897122635227</v>
      </c>
      <c r="N1091" s="72">
        <f t="shared" si="597"/>
        <v>0.30847964381173321</v>
      </c>
      <c r="O1091" s="72">
        <f t="shared" si="598"/>
        <v>0.6363806710421398</v>
      </c>
      <c r="P1091" s="72">
        <f t="shared" si="599"/>
        <v>0.91177659882518403</v>
      </c>
      <c r="Q1091" s="72"/>
      <c r="R1091" s="72"/>
      <c r="S1091" s="72">
        <f t="shared" si="600"/>
        <v>0.48003948238607397</v>
      </c>
      <c r="T1091" s="72">
        <f t="shared" si="601"/>
        <v>0.52239948090256849</v>
      </c>
      <c r="U1091" s="72">
        <f t="shared" si="602"/>
        <v>0.49494181053653474</v>
      </c>
      <c r="V1091" s="72">
        <f t="shared" si="603"/>
        <v>0.83519547047997733</v>
      </c>
      <c r="W1091" s="72">
        <f t="shared" si="604"/>
        <v>0.77459534368070959</v>
      </c>
      <c r="X1091" s="72">
        <f t="shared" si="605"/>
        <v>0.36684255188078346</v>
      </c>
      <c r="Y1091" s="72">
        <f t="shared" si="606"/>
        <v>0.38112102877364767</v>
      </c>
      <c r="Z1091" s="72">
        <f t="shared" si="607"/>
        <v>0.69152035618826679</v>
      </c>
      <c r="AA1091" s="72">
        <f t="shared" si="608"/>
        <v>0.36361932895786025</v>
      </c>
      <c r="AB1091" s="72">
        <f t="shared" si="609"/>
        <v>8.8223401174815919E-2</v>
      </c>
      <c r="AC1091" s="72"/>
      <c r="AD1091" s="72"/>
      <c r="AE1091" s="72">
        <f t="shared" si="610"/>
        <v>0.51996051761392603</v>
      </c>
      <c r="AF1091" s="72">
        <f t="shared" si="611"/>
        <v>0.47760051909743151</v>
      </c>
      <c r="AG1091" s="72">
        <f t="shared" si="612"/>
        <v>0.50505818946346526</v>
      </c>
      <c r="AH1091" s="72">
        <f t="shared" si="613"/>
        <v>0.16480452952002261</v>
      </c>
      <c r="AI1091" s="72">
        <f t="shared" si="614"/>
        <v>0.22540465631929046</v>
      </c>
      <c r="AJ1091" s="72">
        <f>(AV1091-Driver!$K$179)/(Driver!$L$179-Driver!$K$179)</f>
        <v>0.62106196116348389</v>
      </c>
      <c r="AK1091" s="72">
        <f>(AW1091-Driver!$K$180)/(Driver!$L$180-Driver!$K$180)</f>
        <v>0.38559359274751714</v>
      </c>
      <c r="AL1091" s="72">
        <f>(AX1091-Driver!$K$181)/(Driver!$L$181-Driver!$K$181)</f>
        <v>0.79320811990134699</v>
      </c>
      <c r="AM1091" s="72">
        <f>(AY1091-Driver!$K$182)/(Driver!$L$182-Driver!$K$182)</f>
        <v>8.3765692139186096E-2</v>
      </c>
      <c r="AN1091" s="72">
        <f>(AZ1091-Driver!$K$183)/(Driver!$L$183-Driver!$K$183)</f>
        <v>0.34244281045751634</v>
      </c>
      <c r="AO1091" s="72"/>
      <c r="AP1091" s="72"/>
      <c r="AQ1091" s="72">
        <f>(BC1091-Driver!$K$188)/(Driver!$L$188-Driver!$K$188)</f>
        <v>0.10003948238607396</v>
      </c>
      <c r="AR1091" s="72">
        <f>MIN((BD1091-Driver!$K$189)/(Driver!$L$189-Driver!$K$189),100%)</f>
        <v>7.239948090256855E-2</v>
      </c>
      <c r="AS1091" s="72">
        <f>(BE1091-Driver!$K$190)/(Driver!$L$190-Driver!$K$190)</f>
        <v>4.941810536534706E-3</v>
      </c>
      <c r="AT1091" s="72">
        <f>(BF1091-Driver!$K$191)/(Driver!$L$191-Driver!$K$191)</f>
        <v>0.3451954704799774</v>
      </c>
      <c r="AU1091" s="72">
        <f>(BG1091-Driver!$K$192)/(Driver!$L$192-Driver!$K$192)</f>
        <v>2.4595343680709526E-2</v>
      </c>
      <c r="AV1091" s="70">
        <f t="shared" si="615"/>
        <v>13.071496404829738</v>
      </c>
      <c r="AW1091" s="70">
        <f t="shared" si="616"/>
        <v>39.451404941511626</v>
      </c>
      <c r="AX1091" s="70">
        <f t="shared" si="617"/>
        <v>8.1388730791121233</v>
      </c>
      <c r="AY1091" s="70">
        <f>IFERROR(Driver!$K$19/Data!BH1091/Data!BI1091*Data!BK1091*Data!BL1091,"")</f>
        <v>0.10255420044864441</v>
      </c>
      <c r="AZ1091" s="70">
        <f t="shared" si="618"/>
        <v>31.209977661950855</v>
      </c>
      <c r="BA1091" s="70"/>
      <c r="BB1091" s="70"/>
      <c r="BC1091" s="70">
        <f t="shared" si="619"/>
        <v>51.891174976855211</v>
      </c>
      <c r="BD1091" s="70">
        <f t="shared" si="620"/>
        <v>8.1280486596858648</v>
      </c>
      <c r="BE1091" s="70">
        <f t="shared" si="621"/>
        <v>5.1193177176780003E-3</v>
      </c>
      <c r="BF1091" s="70">
        <f t="shared" si="622"/>
        <v>38.987403255280228</v>
      </c>
      <c r="BG1091" s="70">
        <f t="shared" si="623"/>
        <v>9.3133661308203969E-2</v>
      </c>
      <c r="BH1091" s="67">
        <f>MAX((CE1091-Driver!$F$200)/(Driver!$G$200-Driver!$F$200)*$BI$1,1)</f>
        <v>8.1388730791121233</v>
      </c>
      <c r="BI1091" s="67">
        <f>MAX($BI$1*(BY1091-Driver!$F$201)/(Driver!$G$201-Driver!$F$201),1)</f>
        <v>5.2531645569620249</v>
      </c>
      <c r="BJ1091" s="67">
        <f>(CB1091-Driver!$F$206)/(Driver!$G$206-Driver!$F$206)*$BI$1</f>
        <v>7.4603174603174605</v>
      </c>
      <c r="BK1091" s="67">
        <f>(CD1091-Driver!$F$203)/(Driver!$G$203-Driver!$F$203)*$BI$1</f>
        <v>4.5412844036697253</v>
      </c>
      <c r="BL1091" s="67">
        <f>MAX((CR1091-Driver!$F$202)/(Driver!$G$202-Driver!$F$202)*$BI$1,1)</f>
        <v>4.8275862068965516</v>
      </c>
      <c r="BM1091" s="67">
        <f>MAX((CH1091-Driver!$F$204)/(Driver!$G$204-Driver!$F$204)*$BI$1,1)</f>
        <v>7.0085470085470085</v>
      </c>
      <c r="BN1091" s="67">
        <f>(CI1091-Driver!$F$205)/(Driver!$G$205-Driver!$F$205)*$BI$1</f>
        <v>5.9411764705882355</v>
      </c>
      <c r="BO1091" s="67">
        <f>(CK1091-Driver!$F$207)/(Driver!$G$207-Driver!$F$207)*$BI$1</f>
        <v>4.2295760082730096</v>
      </c>
      <c r="BP1091" s="67">
        <f>(CM1091-Driver!$F$208)/(Driver!$G$208-Driver!$F$208)*$BI$1</f>
        <v>5.6111111111111107</v>
      </c>
      <c r="BQ1091" s="67">
        <f>(CL1091-Driver!$F$209)/(Driver!$G$209-Driver!$F$209)*$BI$1</f>
        <v>5.3125</v>
      </c>
      <c r="BR1091" s="28" t="s">
        <v>155</v>
      </c>
      <c r="BS1091" s="8" t="s">
        <v>174</v>
      </c>
      <c r="BT1091" s="9" t="s">
        <v>791</v>
      </c>
      <c r="BU1091" s="10">
        <v>194</v>
      </c>
      <c r="BV1091" s="9" t="s">
        <v>158</v>
      </c>
      <c r="BW1091" s="10">
        <v>194</v>
      </c>
      <c r="BX1091" s="10">
        <v>193.2</v>
      </c>
      <c r="BY1091" s="10">
        <v>91</v>
      </c>
      <c r="BZ1091" s="10">
        <v>148</v>
      </c>
      <c r="CA1091" s="10">
        <v>138</v>
      </c>
      <c r="CB1091" s="10">
        <v>111</v>
      </c>
      <c r="CC1091" s="10">
        <v>127</v>
      </c>
      <c r="CD1091" s="10">
        <v>19.3</v>
      </c>
      <c r="CE1091" s="10">
        <v>2330</v>
      </c>
      <c r="CF1091" s="10">
        <v>1</v>
      </c>
      <c r="CG1091" s="10">
        <v>2337</v>
      </c>
      <c r="CH1091" s="10">
        <v>265</v>
      </c>
      <c r="CI1091" s="10">
        <v>134</v>
      </c>
      <c r="CJ1091" s="10">
        <v>63</v>
      </c>
      <c r="CK1091" s="10">
        <v>519</v>
      </c>
      <c r="CL1091" s="10">
        <v>34</v>
      </c>
      <c r="CM1091" s="10">
        <v>505</v>
      </c>
      <c r="CN1091" s="10">
        <v>0.54</v>
      </c>
      <c r="CO1091" s="10">
        <v>244</v>
      </c>
      <c r="CP1091" s="10">
        <v>207</v>
      </c>
      <c r="CQ1091" s="10">
        <v>275</v>
      </c>
      <c r="CR1091" s="10">
        <v>3</v>
      </c>
      <c r="CS1091" s="10">
        <v>7.1</v>
      </c>
      <c r="CT1091" s="9" t="s">
        <v>169</v>
      </c>
      <c r="CU1091" s="10"/>
      <c r="CV1091" s="10"/>
      <c r="CW1091" s="10"/>
      <c r="CX1091" t="str">
        <f>INDEX('Data_Price '!AG$2:AG$1266,MATCH(Data!$DN1091,'Data_Price '!$AT$2:$AT$1266,0))</f>
        <v>Salomon QST Blank Skis 2022</v>
      </c>
      <c r="CY1091" t="str">
        <f>INDEX('Data_Price '!AH$2:AH$1266,MATCH(Data!$DN1091,'Data_Price '!$AT$2:$AT$1266,0))</f>
        <v>Gravity Coalition</v>
      </c>
      <c r="CZ1091">
        <f>INDEX('Data_Price '!AI$2:AI$1266,MATCH(Data!$DN1091,'Data_Price '!$AT$2:$AT$1266,0))</f>
        <v>599.95000000000005</v>
      </c>
      <c r="DA1091" t="str">
        <f>INDEX('Data_Price '!AJ$2:AJ$1266,MATCH(Data!$DN1091,'Data_Price '!$AT$2:$AT$1266,0))</f>
        <v>https://tinyurl.com/yc965ml3</v>
      </c>
      <c r="DB1091" t="str">
        <f>INDEX('Data_Price '!AK$2:AK$1266,MATCH(Data!$DN1091,'Data_Price '!$AT$2:$AT$1266,0))</f>
        <v>Salomon QST Blank Skis 2022</v>
      </c>
      <c r="DC1091" t="str">
        <f>INDEX('Data_Price '!AL$2:AL$1266,MATCH(Data!$DN1091,'Data_Price '!$AT$2:$AT$1266,0))</f>
        <v>Powder7 Ski Shop</v>
      </c>
      <c r="DD1091">
        <f>INDEX('Data_Price '!AM$2:AM$1266,MATCH(Data!$DN1091,'Data_Price '!$AT$2:$AT$1266,0))</f>
        <v>749.95</v>
      </c>
      <c r="DE1091" t="str">
        <f>INDEX('Data_Price '!AN$2:AN$1266,MATCH(Data!$DN1091,'Data_Price '!$AT$2:$AT$1266,0))</f>
        <v>https://tinyurl.com/ycckbg7w</v>
      </c>
      <c r="DF1091" t="str">
        <f>INDEX('Data_Price '!AO$2:AO$1266,MATCH(Data!$DN1091,'Data_Price '!$AT$2:$AT$1266,0))</f>
        <v>Salomon QST Blank Skis - 2022 - 194cm</v>
      </c>
      <c r="DG1091" t="str">
        <f>INDEX('Data_Price '!AP$2:AP$1266,MATCH(Data!$DN1091,'Data_Price '!$AT$2:$AT$1266,0))</f>
        <v>ColoradoSkiShop.com</v>
      </c>
      <c r="DH1091">
        <f>INDEX('Data_Price '!AQ$2:AQ$1266,MATCH(Data!$DN1091,'Data_Price '!$AT$2:$AT$1266,0))</f>
        <v>749.99</v>
      </c>
      <c r="DI1091" t="str">
        <f>INDEX('Data_Price '!AR$2:AR$1266,MATCH(Data!$DN1091,'Data_Price '!$AT$2:$AT$1266,0))</f>
        <v>https://tinyurl.com/ycukh7db</v>
      </c>
      <c r="DJ1091" s="89" t="str">
        <f t="shared" si="624"/>
        <v>https://tinyurl.com/yc965ml3</v>
      </c>
      <c r="DK1091" s="89" t="str">
        <f t="shared" si="625"/>
        <v>https://tinyurl.com/ycckbg7w</v>
      </c>
      <c r="DL1091" s="89" t="str">
        <f t="shared" si="626"/>
        <v>https://tinyurl.com/ycukh7db</v>
      </c>
      <c r="DM1091" s="219" t="str">
        <f t="shared" si="627"/>
        <v>QST Blank</v>
      </c>
      <c r="DN1091" s="89" t="str">
        <f t="shared" si="628"/>
        <v xml:space="preserve"> SalomonQST Blank194 Unisex</v>
      </c>
      <c r="DO1091" s="221" t="s">
        <v>792</v>
      </c>
    </row>
    <row r="1092" spans="2:119" ht="15.6" customHeight="1">
      <c r="B1092" s="219" t="b">
        <f t="array" ref="B1092">IF(OR(ISERROR(K1092:P1092)),FALSE,TRUE)</f>
        <v>1</v>
      </c>
      <c r="C1092" s="43" t="b">
        <f>OR(BR1092=Driver!$G$50,Data!BR910=Driver!$H$50)</f>
        <v>1</v>
      </c>
      <c r="D1092" s="43" t="b">
        <f>OR(BV1092=Driver!$G$51,BV1092=Driver!$H$51)</f>
        <v>1</v>
      </c>
      <c r="E1092" s="43" t="b">
        <f>AND(BX1092&gt;Driver!$F$54,BX1092&lt;Driver!$G$54)</f>
        <v>0</v>
      </c>
      <c r="F1092" s="43" t="b">
        <f>CL1092&gt;Driver!$F$56</f>
        <v>1</v>
      </c>
      <c r="G1092" s="43" t="b">
        <f>AND(CB1092&gt;Driver!$F$55,CB1092&lt;Driver!$G$55)</f>
        <v>0</v>
      </c>
      <c r="H1092" s="43" t="b">
        <f t="shared" si="592"/>
        <v>0</v>
      </c>
      <c r="I1092" s="43">
        <f t="shared" si="593"/>
        <v>0</v>
      </c>
      <c r="J1092" s="43" t="b">
        <f t="array" ref="J1092">NOT(OR(($H$9:$H$1273=TRUE)*($I$9:$I$1273&gt;0)*($BT$9:$BT$1273=BT1092)*($K$9:$K$1273&gt;K1092)))</f>
        <v>1</v>
      </c>
      <c r="K1092" s="72">
        <f t="shared" si="594"/>
        <v>0.75690979078576315</v>
      </c>
      <c r="L1092" s="72">
        <f t="shared" si="595"/>
        <v>0.94344670764705474</v>
      </c>
      <c r="M1092" s="72">
        <f t="shared" si="596"/>
        <v>0.57037287392447156</v>
      </c>
      <c r="N1092" s="72">
        <f t="shared" si="597"/>
        <v>0.40460308654872179</v>
      </c>
      <c r="O1092" s="72">
        <f t="shared" si="598"/>
        <v>0.61504122398120831</v>
      </c>
      <c r="P1092" s="72">
        <f t="shared" si="599"/>
        <v>0.69147431124348469</v>
      </c>
      <c r="Q1092" s="72"/>
      <c r="R1092" s="72"/>
      <c r="S1092" s="72">
        <f t="shared" si="600"/>
        <v>0.54066579659268288</v>
      </c>
      <c r="T1092" s="72">
        <f t="shared" si="601"/>
        <v>0.61123951900227824</v>
      </c>
      <c r="U1092" s="72">
        <f t="shared" si="602"/>
        <v>0.62992424735372832</v>
      </c>
      <c r="V1092" s="72">
        <f t="shared" si="603"/>
        <v>0.53397418069271962</v>
      </c>
      <c r="W1092" s="72">
        <f t="shared" si="604"/>
        <v>0.76297521973948956</v>
      </c>
      <c r="X1092" s="72">
        <f t="shared" si="605"/>
        <v>5.6553292352945261E-2</v>
      </c>
      <c r="Y1092" s="72">
        <f t="shared" si="606"/>
        <v>0.42962712607552839</v>
      </c>
      <c r="Z1092" s="72">
        <f t="shared" si="607"/>
        <v>0.59539691345127821</v>
      </c>
      <c r="AA1092" s="72">
        <f t="shared" si="608"/>
        <v>0.38495877601879169</v>
      </c>
      <c r="AB1092" s="72">
        <f t="shared" si="609"/>
        <v>0.30852568875651526</v>
      </c>
      <c r="AC1092" s="72"/>
      <c r="AD1092" s="72"/>
      <c r="AE1092" s="72">
        <f t="shared" si="610"/>
        <v>0.45933420340731707</v>
      </c>
      <c r="AF1092" s="72">
        <f t="shared" si="611"/>
        <v>0.38876048099772176</v>
      </c>
      <c r="AG1092" s="72">
        <f t="shared" si="612"/>
        <v>0.37007575264627168</v>
      </c>
      <c r="AH1092" s="72">
        <f t="shared" si="613"/>
        <v>0.46602581930728038</v>
      </c>
      <c r="AI1092" s="72">
        <f t="shared" si="614"/>
        <v>0.23702478026051044</v>
      </c>
      <c r="AJ1092" s="72">
        <f>(AV1092-Driver!$K$179)/(Driver!$L$179-Driver!$K$179)</f>
        <v>0.31077270163564569</v>
      </c>
      <c r="AK1092" s="72">
        <f>(AW1092-Driver!$K$180)/(Driver!$L$180-Driver!$K$180)</f>
        <v>0.582465854126619</v>
      </c>
      <c r="AL1092" s="72">
        <f>(AX1092-Driver!$K$181)/(Driver!$L$181-Driver!$K$181)</f>
        <v>0.6970846771643584</v>
      </c>
      <c r="AM1092" s="72">
        <f>(AY1092-Driver!$K$182)/(Driver!$L$182-Driver!$K$182)</f>
        <v>6.24262450782547E-2</v>
      </c>
      <c r="AN1092" s="72">
        <f>(AZ1092-Driver!$K$183)/(Driver!$L$183-Driver!$K$183)</f>
        <v>0.56274509803921569</v>
      </c>
      <c r="AO1092" s="72"/>
      <c r="AP1092" s="72"/>
      <c r="AQ1092" s="72">
        <f>(BC1092-Driver!$K$188)/(Driver!$L$188-Driver!$K$188)</f>
        <v>0.16066579659268293</v>
      </c>
      <c r="AR1092" s="72">
        <f>MIN((BD1092-Driver!$K$189)/(Driver!$L$189-Driver!$K$189),100%)</f>
        <v>0.16123951900227826</v>
      </c>
      <c r="AS1092" s="72">
        <f>(BE1092-Driver!$K$190)/(Driver!$L$190-Driver!$K$190)</f>
        <v>0.1399242473537283</v>
      </c>
      <c r="AT1092" s="72">
        <f>(BF1092-Driver!$K$191)/(Driver!$L$191-Driver!$K$191)</f>
        <v>4.3974180692719626E-2</v>
      </c>
      <c r="AU1092" s="72">
        <f>(BG1092-Driver!$K$192)/(Driver!$L$192-Driver!$K$192)</f>
        <v>1.297521973948957E-2</v>
      </c>
      <c r="AV1092" s="70">
        <f t="shared" si="615"/>
        <v>6.5408357075023726</v>
      </c>
      <c r="AW1092" s="70">
        <f t="shared" si="616"/>
        <v>58.638351278602642</v>
      </c>
      <c r="AX1092" s="70">
        <f t="shared" si="617"/>
        <v>7.2737620944792258</v>
      </c>
      <c r="AY1092" s="70">
        <f>IFERROR(Driver!$K$19/Data!BH1092/Data!BI1092*Data!BK1092*Data!BL1092,"")</f>
        <v>7.6428350169586975E-2</v>
      </c>
      <c r="AZ1092" s="70">
        <f t="shared" si="618"/>
        <v>51.288160833953832</v>
      </c>
      <c r="BA1092" s="70"/>
      <c r="BB1092" s="70"/>
      <c r="BC1092" s="70">
        <f t="shared" si="619"/>
        <v>83.338465623121934</v>
      </c>
      <c r="BD1092" s="70">
        <f t="shared" si="620"/>
        <v>15.99023461627741</v>
      </c>
      <c r="BE1092" s="70">
        <f t="shared" si="621"/>
        <v>0.14007767518743544</v>
      </c>
      <c r="BF1092" s="70">
        <f t="shared" si="622"/>
        <v>4.9665747731387508</v>
      </c>
      <c r="BG1092" s="70">
        <f t="shared" si="623"/>
        <v>4.9132459229058567E-2</v>
      </c>
      <c r="BH1092" s="67">
        <f>MAX((CE1092-Driver!$F$200)/(Driver!$G$200-Driver!$F$200)*$BI$1,1)</f>
        <v>7.2737620944792258</v>
      </c>
      <c r="BI1092" s="67">
        <f>MAX($BI$1*(BY1092-Driver!$F$201)/(Driver!$G$201-Driver!$F$201),1)</f>
        <v>7.7848101265822782</v>
      </c>
      <c r="BJ1092" s="67">
        <f>(CB1092-Driver!$F$206)/(Driver!$G$206-Driver!$F$206)*$BI$1</f>
        <v>4.6031746031746028</v>
      </c>
      <c r="BK1092" s="67">
        <f>(CD1092-Driver!$F$203)/(Driver!$G$203-Driver!$F$203)*$BI$1</f>
        <v>3.4862385321100922</v>
      </c>
      <c r="BL1092" s="67">
        <f>MAX((CR1092-Driver!$F$202)/(Driver!$G$202-Driver!$F$202)*$BI$1,1)</f>
        <v>6.2068965517241379</v>
      </c>
      <c r="BM1092" s="67">
        <f>MAX((CH1092-Driver!$F$204)/(Driver!$G$204-Driver!$F$204)*$BI$1,1)</f>
        <v>5.6837606837606831</v>
      </c>
      <c r="BN1092" s="67">
        <f>(CI1092-Driver!$F$205)/(Driver!$G$205-Driver!$F$205)*$BI$1</f>
        <v>6.5882352941176467</v>
      </c>
      <c r="BO1092" s="67">
        <f>(CK1092-Driver!$F$207)/(Driver!$G$207-Driver!$F$207)*$BI$1</f>
        <v>1.8200620475698035</v>
      </c>
      <c r="BP1092" s="67">
        <f>(CM1092-Driver!$F$208)/(Driver!$G$208-Driver!$F$208)*$BI$1</f>
        <v>2.0666666666666664</v>
      </c>
      <c r="BQ1092" s="67">
        <f>(CL1092-Driver!$F$209)/(Driver!$G$209-Driver!$F$209)*$BI$1</f>
        <v>2.03125</v>
      </c>
      <c r="BR1092" s="28" t="s">
        <v>155</v>
      </c>
      <c r="BS1092" s="8" t="s">
        <v>332</v>
      </c>
      <c r="BT1092" s="9" t="s">
        <v>788</v>
      </c>
      <c r="BU1092" s="10">
        <v>179</v>
      </c>
      <c r="BV1092" s="9" t="s">
        <v>158</v>
      </c>
      <c r="BW1092" s="10">
        <v>179</v>
      </c>
      <c r="BX1092" s="10">
        <v>178.3</v>
      </c>
      <c r="BY1092" s="10">
        <v>131</v>
      </c>
      <c r="BZ1092" s="10">
        <v>147</v>
      </c>
      <c r="CA1092" s="10">
        <v>128</v>
      </c>
      <c r="CB1092" s="10">
        <v>93</v>
      </c>
      <c r="CC1092" s="10">
        <v>114</v>
      </c>
      <c r="CD1092" s="10">
        <v>17</v>
      </c>
      <c r="CE1092" s="10">
        <v>2178</v>
      </c>
      <c r="CF1092" s="10">
        <v>0.86</v>
      </c>
      <c r="CG1092" s="10">
        <v>1867</v>
      </c>
      <c r="CH1092" s="10">
        <v>234</v>
      </c>
      <c r="CI1092" s="10">
        <v>145</v>
      </c>
      <c r="CJ1092" s="10">
        <v>55</v>
      </c>
      <c r="CK1092" s="10">
        <v>286</v>
      </c>
      <c r="CL1092" s="10">
        <v>13</v>
      </c>
      <c r="CM1092" s="10">
        <v>186</v>
      </c>
      <c r="CN1092" s="10">
        <v>0.23499999999999999</v>
      </c>
      <c r="CO1092" s="10">
        <v>152</v>
      </c>
      <c r="CP1092" s="10">
        <v>159</v>
      </c>
      <c r="CQ1092" s="10">
        <v>134</v>
      </c>
      <c r="CR1092" s="10">
        <v>7</v>
      </c>
      <c r="CS1092" s="10">
        <v>8.5</v>
      </c>
      <c r="CT1092" s="9" t="s">
        <v>188</v>
      </c>
      <c r="CU1092" s="10"/>
      <c r="CV1092" s="10"/>
      <c r="CW1092" s="10"/>
      <c r="CX1092" t="str">
        <f>INDEX('Data_Price '!AG$2:AG$1266,MATCH(Data!$DN1092,'Data_Price '!$AT$2:$AT$1266,0))</f>
        <v>Nordica Enforcer 94 Skis 2022</v>
      </c>
      <c r="CY1092" t="str">
        <f>INDEX('Data_Price '!AH$2:AH$1266,MATCH(Data!$DN1092,'Data_Price '!$AT$2:$AT$1266,0))</f>
        <v>Ski Pro  - Snow Ski &amp; Snowboard</v>
      </c>
      <c r="CZ1092">
        <f>INDEX('Data_Price '!AI$2:AI$1266,MATCH(Data!$DN1092,'Data_Price '!$AT$2:$AT$1266,0))</f>
        <v>559.95000000000005</v>
      </c>
      <c r="DA1092" t="str">
        <f>INDEX('Data_Price '!AJ$2:AJ$1266,MATCH(Data!$DN1092,'Data_Price '!$AT$2:$AT$1266,0))</f>
        <v>https://tinyurl.com/y7nulg85</v>
      </c>
      <c r="DB1092" t="str">
        <f>INDEX('Data_Price '!AK$2:AK$1266,MATCH(Data!$DN1092,'Data_Price '!$AT$2:$AT$1266,0))</f>
        <v>Nordica Enforcer 94 Skis 2022</v>
      </c>
      <c r="DC1092" t="str">
        <f>INDEX('Data_Price '!AL$2:AL$1266,MATCH(Data!$DN1092,'Data_Price '!$AT$2:$AT$1266,0))</f>
        <v>Hillcrest Ski &amp; Sports</v>
      </c>
      <c r="DD1092">
        <f>INDEX('Data_Price '!AM$2:AM$1266,MATCH(Data!$DN1092,'Data_Price '!$AT$2:$AT$1266,0))</f>
        <v>559.99</v>
      </c>
      <c r="DE1092" t="str">
        <f>INDEX('Data_Price '!AN$2:AN$1266,MATCH(Data!$DN1092,'Data_Price '!$AT$2:$AT$1266,0))</f>
        <v>https://tinyurl.com/yafcmx4f</v>
      </c>
      <c r="DF1092" t="str">
        <f>INDEX('Data_Price '!AO$2:AO$1266,MATCH(Data!$DN1092,'Data_Price '!$AT$2:$AT$1266,0))</f>
        <v>Nordica Enforcer 94 Skis 2022</v>
      </c>
      <c r="DG1092" t="str">
        <f>INDEX('Data_Price '!AP$2:AP$1266,MATCH(Data!$DN1092,'Data_Price '!$AT$2:$AT$1266,0))</f>
        <v>AlpineShopVT.com</v>
      </c>
      <c r="DH1092">
        <f>INDEX('Data_Price '!AQ$2:AQ$1266,MATCH(Data!$DN1092,'Data_Price '!$AT$2:$AT$1266,0))</f>
        <v>559.99</v>
      </c>
      <c r="DI1092" t="str">
        <f>INDEX('Data_Price '!AR$2:AR$1266,MATCH(Data!$DN1092,'Data_Price '!$AT$2:$AT$1266,0))</f>
        <v>https://tinyurl.com/y8glfhp8</v>
      </c>
      <c r="DJ1092" s="89" t="str">
        <f t="shared" si="624"/>
        <v>https://tinyurl.com/y7nulg85</v>
      </c>
      <c r="DK1092" s="89" t="str">
        <f t="shared" si="625"/>
        <v>https://tinyurl.com/yafcmx4f</v>
      </c>
      <c r="DL1092" s="89" t="str">
        <f t="shared" si="626"/>
        <v>https://tinyurl.com/y8glfhp8</v>
      </c>
      <c r="DM1092" s="219" t="str">
        <f t="shared" si="627"/>
        <v>Enforcer 94</v>
      </c>
      <c r="DN1092" s="89" t="str">
        <f t="shared" si="628"/>
        <v xml:space="preserve"> NordicaEnforcer 94179 Unisex</v>
      </c>
      <c r="DO1092" s="221" t="s">
        <v>789</v>
      </c>
    </row>
    <row r="1093" spans="2:119" ht="15.6" customHeight="1">
      <c r="B1093" s="219" t="b">
        <f t="array" ref="B1093">IF(OR(ISERROR(K1093:P1093)),FALSE,TRUE)</f>
        <v>1</v>
      </c>
      <c r="C1093" s="43" t="b">
        <f>OR(BR1093=Driver!$G$50,Data!BR743=Driver!$H$50)</f>
        <v>1</v>
      </c>
      <c r="D1093" s="43" t="b">
        <f>OR(BV1093=Driver!$G$51,BV1093=Driver!$H$51)</f>
        <v>1</v>
      </c>
      <c r="E1093" s="43" t="b">
        <f>AND(BX1093&gt;Driver!$F$54,BX1093&lt;Driver!$G$54)</f>
        <v>1</v>
      </c>
      <c r="F1093" s="43" t="b">
        <f>CL1093&gt;Driver!$F$56</f>
        <v>1</v>
      </c>
      <c r="G1093" s="43" t="b">
        <f>AND(CB1093&gt;Driver!$F$55,CB1093&lt;Driver!$G$55)</f>
        <v>0</v>
      </c>
      <c r="H1093" s="43" t="b">
        <f t="shared" si="592"/>
        <v>0</v>
      </c>
      <c r="I1093" s="43">
        <f t="shared" si="593"/>
        <v>0</v>
      </c>
      <c r="J1093" s="43" t="b">
        <f t="array" ref="J1093">NOT(OR(($H$9:$H$1273=TRUE)*($I$9:$I$1273&gt;0)*($BT$9:$BT$1273=BT1093)*($K$9:$K$1273&gt;K1093)))</f>
        <v>1</v>
      </c>
      <c r="K1093" s="72">
        <f t="shared" si="594"/>
        <v>0.80419954812263683</v>
      </c>
      <c r="L1093" s="72">
        <f t="shared" si="595"/>
        <v>0.79291619622853959</v>
      </c>
      <c r="M1093" s="72">
        <f t="shared" si="596"/>
        <v>0.81548290001673407</v>
      </c>
      <c r="N1093" s="72">
        <f t="shared" si="597"/>
        <v>0.91367789841237823</v>
      </c>
      <c r="O1093" s="72">
        <f t="shared" si="598"/>
        <v>0.66566668150875963</v>
      </c>
      <c r="P1093" s="72">
        <f t="shared" si="599"/>
        <v>0.86710412012906424</v>
      </c>
      <c r="Q1093" s="72"/>
      <c r="R1093" s="72"/>
      <c r="S1093" s="72">
        <f t="shared" si="600"/>
        <v>0.40012593222711312</v>
      </c>
      <c r="T1093" s="72">
        <f t="shared" si="601"/>
        <v>0.45866522823998646</v>
      </c>
      <c r="U1093" s="72">
        <f t="shared" si="602"/>
        <v>0.97614922454844222</v>
      </c>
      <c r="V1093" s="72">
        <f t="shared" si="603"/>
        <v>0.52974363697969307</v>
      </c>
      <c r="W1093" s="72">
        <f t="shared" si="604"/>
        <v>0.9952431289640592</v>
      </c>
      <c r="X1093" s="72">
        <f t="shared" si="605"/>
        <v>0.20708380377146041</v>
      </c>
      <c r="Y1093" s="72">
        <f t="shared" si="606"/>
        <v>0.18451709998326596</v>
      </c>
      <c r="Z1093" s="72">
        <f t="shared" si="607"/>
        <v>8.6322101587621783E-2</v>
      </c>
      <c r="AA1093" s="72">
        <f t="shared" si="608"/>
        <v>0.33433331849124037</v>
      </c>
      <c r="AB1093" s="72">
        <f t="shared" si="609"/>
        <v>0.13289587987093573</v>
      </c>
      <c r="AC1093" s="72"/>
      <c r="AD1093" s="72"/>
      <c r="AE1093" s="72">
        <f t="shared" si="610"/>
        <v>0.59987406777288688</v>
      </c>
      <c r="AF1093" s="72">
        <f t="shared" si="611"/>
        <v>0.54133477176001354</v>
      </c>
      <c r="AG1093" s="72">
        <f t="shared" si="612"/>
        <v>2.3850775451557726E-2</v>
      </c>
      <c r="AH1093" s="72">
        <f t="shared" si="613"/>
        <v>0.47025636302030699</v>
      </c>
      <c r="AI1093" s="72">
        <f t="shared" si="614"/>
        <v>4.7568710359408017E-3</v>
      </c>
      <c r="AJ1093" s="72">
        <f>(AV1093-Driver!$K$179)/(Driver!$L$179-Driver!$K$179)</f>
        <v>4.713560551124002E-2</v>
      </c>
      <c r="AK1093" s="72">
        <f>(AW1093-Driver!$K$180)/(Driver!$L$180-Driver!$K$180)</f>
        <v>0.12329242714935436</v>
      </c>
      <c r="AL1093" s="72">
        <f>(AX1093-Driver!$K$181)/(Driver!$L$181-Driver!$K$181)</f>
        <v>0.18800986530070196</v>
      </c>
      <c r="AM1093" s="72">
        <f>(AY1093-Driver!$K$182)/(Driver!$L$182-Driver!$K$182)</f>
        <v>0.11305170260580599</v>
      </c>
      <c r="AN1093" s="72">
        <f>(AZ1093-Driver!$K$183)/(Driver!$L$183-Driver!$K$183)</f>
        <v>0.12132352941176469</v>
      </c>
      <c r="AO1093" s="72"/>
      <c r="AP1093" s="72"/>
      <c r="AQ1093" s="72">
        <f>(BC1093-Driver!$K$188)/(Driver!$L$188-Driver!$K$188)</f>
        <v>2.0125932227113136E-2</v>
      </c>
      <c r="AR1093" s="72">
        <f>MIN((BD1093-Driver!$K$189)/(Driver!$L$189-Driver!$K$189),100%)</f>
        <v>8.6652282399864947E-3</v>
      </c>
      <c r="AS1093" s="72">
        <f>(BE1093-Driver!$K$190)/(Driver!$L$190-Driver!$K$190)</f>
        <v>0.48614922454844228</v>
      </c>
      <c r="AT1093" s="72">
        <f>(BF1093-Driver!$K$191)/(Driver!$L$191-Driver!$K$191)</f>
        <v>3.9743636979693034E-2</v>
      </c>
      <c r="AU1093" s="72">
        <f>(BG1093-Driver!$K$192)/(Driver!$L$192-Driver!$K$192)</f>
        <v>0.2452431289640592</v>
      </c>
      <c r="AV1093" s="70">
        <f t="shared" si="615"/>
        <v>0.99206349206349198</v>
      </c>
      <c r="AW1093" s="70">
        <f t="shared" si="616"/>
        <v>13.887832129203776</v>
      </c>
      <c r="AX1093" s="70">
        <f t="shared" si="617"/>
        <v>2.6920887877063175</v>
      </c>
      <c r="AY1093" s="70">
        <f>IFERROR(Driver!$K$19/Data!BH1093/Data!BI1093*Data!BK1093*Data!BL1093,"")</f>
        <v>0.13840901536194261</v>
      </c>
      <c r="AZ1093" s="70">
        <f t="shared" si="618"/>
        <v>11.057334326135516</v>
      </c>
      <c r="BA1093" s="70"/>
      <c r="BB1093" s="70"/>
      <c r="BC1093" s="70">
        <f t="shared" si="619"/>
        <v>10.439460959414534</v>
      </c>
      <c r="BD1093" s="70">
        <f t="shared" si="620"/>
        <v>2.4876802294606271</v>
      </c>
      <c r="BE1093" s="70">
        <f t="shared" si="621"/>
        <v>0.486240889743146</v>
      </c>
      <c r="BF1093" s="70">
        <f t="shared" si="622"/>
        <v>4.4887645820040865</v>
      </c>
      <c r="BG1093" s="70">
        <f t="shared" si="623"/>
        <v>0.92864693446088808</v>
      </c>
      <c r="BH1093" s="67">
        <f>MAX((CE1093-Driver!$F$200)/(Driver!$G$200-Driver!$F$200)*$BI$1,1)</f>
        <v>2.6920887877063175</v>
      </c>
      <c r="BI1093" s="67">
        <f>MAX($BI$1*(BY1093-Driver!$F$201)/(Driver!$G$201-Driver!$F$201),1)</f>
        <v>6.962025316455696</v>
      </c>
      <c r="BJ1093" s="67">
        <f>(CB1093-Driver!$F$206)/(Driver!$G$206-Driver!$F$206)*$BI$1</f>
        <v>3.9682539682539679</v>
      </c>
      <c r="BK1093" s="67">
        <f>(CD1093-Driver!$F$203)/(Driver!$G$203-Driver!$F$203)*$BI$1</f>
        <v>1.8807339449541285</v>
      </c>
      <c r="BL1093" s="67">
        <f>MAX((CR1093-Driver!$F$202)/(Driver!$G$202-Driver!$F$202)*$BI$1,1)</f>
        <v>6.8965517241379315</v>
      </c>
      <c r="BM1093" s="67">
        <f>MAX((CH1093-Driver!$F$204)/(Driver!$G$204-Driver!$F$204)*$BI$1,1)</f>
        <v>1</v>
      </c>
      <c r="BN1093" s="67">
        <f>(CI1093-Driver!$F$205)/(Driver!$G$205-Driver!$F$205)*$BI$1</f>
        <v>1.588235294117647</v>
      </c>
      <c r="BO1093" s="67">
        <f>(CK1093-Driver!$F$207)/(Driver!$G$207-Driver!$F$207)*$BI$1</f>
        <v>1.1892450879007239</v>
      </c>
      <c r="BP1093" s="67">
        <f>(CM1093-Driver!$F$208)/(Driver!$G$208-Driver!$F$208)*$BI$1</f>
        <v>1.7888888888888888</v>
      </c>
      <c r="BQ1093" s="67">
        <f>(CL1093-Driver!$F$209)/(Driver!$G$209-Driver!$F$209)*$BI$1</f>
        <v>2.5</v>
      </c>
      <c r="BR1093" s="28" t="s">
        <v>155</v>
      </c>
      <c r="BS1093" s="8" t="s">
        <v>262</v>
      </c>
      <c r="BT1093" s="9" t="s">
        <v>327</v>
      </c>
      <c r="BU1093" s="10">
        <v>156</v>
      </c>
      <c r="BV1093" s="9" t="s">
        <v>158</v>
      </c>
      <c r="BW1093" s="10">
        <v>156</v>
      </c>
      <c r="BX1093" s="10">
        <v>156.69999999999999</v>
      </c>
      <c r="BY1093" s="10">
        <v>118</v>
      </c>
      <c r="BZ1093" s="10">
        <v>130</v>
      </c>
      <c r="CA1093" s="10">
        <v>126</v>
      </c>
      <c r="CB1093" s="10">
        <v>89</v>
      </c>
      <c r="CC1093" s="10">
        <v>112</v>
      </c>
      <c r="CD1093" s="10">
        <v>13.5</v>
      </c>
      <c r="CE1093" s="10">
        <v>1373</v>
      </c>
      <c r="CF1093" s="10">
        <v>1.1599999999999999</v>
      </c>
      <c r="CG1093" s="10">
        <v>1588</v>
      </c>
      <c r="CH1093" s="10">
        <v>117</v>
      </c>
      <c r="CI1093" s="10">
        <v>60</v>
      </c>
      <c r="CJ1093" s="10">
        <v>49</v>
      </c>
      <c r="CK1093" s="10">
        <v>225</v>
      </c>
      <c r="CL1093" s="10">
        <v>16</v>
      </c>
      <c r="CM1093" s="10">
        <v>161</v>
      </c>
      <c r="CN1093" s="10">
        <v>0.32400000000000001</v>
      </c>
      <c r="CO1093" s="10">
        <v>155</v>
      </c>
      <c r="CP1093" s="10">
        <v>116</v>
      </c>
      <c r="CQ1093" s="10">
        <v>71</v>
      </c>
      <c r="CR1093" s="10">
        <v>9</v>
      </c>
      <c r="CS1093" s="10">
        <v>9.6999999999999993</v>
      </c>
      <c r="CT1093" s="9" t="s">
        <v>188</v>
      </c>
      <c r="CU1093" s="9" t="s">
        <v>185</v>
      </c>
      <c r="CV1093" s="10"/>
      <c r="CW1093" s="10"/>
      <c r="CX1093" t="e">
        <f>INDEX('Data_Price '!AG$2:AG$1266,MATCH(Data!$DN1093,'Data_Price '!$AT$2:$AT$1266,0))</f>
        <v>#N/A</v>
      </c>
      <c r="CY1093" t="e">
        <f>INDEX('Data_Price '!AH$2:AH$1266,MATCH(Data!$DN1093,'Data_Price '!$AT$2:$AT$1266,0))</f>
        <v>#N/A</v>
      </c>
      <c r="CZ1093" t="e">
        <f>INDEX('Data_Price '!AI$2:AI$1266,MATCH(Data!$DN1093,'Data_Price '!$AT$2:$AT$1266,0))</f>
        <v>#N/A</v>
      </c>
      <c r="DA1093" t="e">
        <f>INDEX('Data_Price '!AJ$2:AJ$1266,MATCH(Data!$DN1093,'Data_Price '!$AT$2:$AT$1266,0))</f>
        <v>#N/A</v>
      </c>
      <c r="DB1093" t="e">
        <f>INDEX('Data_Price '!AK$2:AK$1266,MATCH(Data!$DN1093,'Data_Price '!$AT$2:$AT$1266,0))</f>
        <v>#N/A</v>
      </c>
      <c r="DC1093" t="e">
        <f>INDEX('Data_Price '!AL$2:AL$1266,MATCH(Data!$DN1093,'Data_Price '!$AT$2:$AT$1266,0))</f>
        <v>#N/A</v>
      </c>
      <c r="DD1093" t="e">
        <f>INDEX('Data_Price '!AM$2:AM$1266,MATCH(Data!$DN1093,'Data_Price '!$AT$2:$AT$1266,0))</f>
        <v>#N/A</v>
      </c>
      <c r="DE1093" t="e">
        <f>INDEX('Data_Price '!AN$2:AN$1266,MATCH(Data!$DN1093,'Data_Price '!$AT$2:$AT$1266,0))</f>
        <v>#N/A</v>
      </c>
      <c r="DF1093" t="e">
        <f>INDEX('Data_Price '!AO$2:AO$1266,MATCH(Data!$DN1093,'Data_Price '!$AT$2:$AT$1266,0))</f>
        <v>#N/A</v>
      </c>
      <c r="DG1093" t="e">
        <f>INDEX('Data_Price '!AP$2:AP$1266,MATCH(Data!$DN1093,'Data_Price '!$AT$2:$AT$1266,0))</f>
        <v>#N/A</v>
      </c>
      <c r="DH1093" t="e">
        <f>INDEX('Data_Price '!AQ$2:AQ$1266,MATCH(Data!$DN1093,'Data_Price '!$AT$2:$AT$1266,0))</f>
        <v>#N/A</v>
      </c>
      <c r="DI1093" t="e">
        <f>INDEX('Data_Price '!AR$2:AR$1266,MATCH(Data!$DN1093,'Data_Price '!$AT$2:$AT$1266,0))</f>
        <v>#N/A</v>
      </c>
      <c r="DJ1093" s="89" t="e">
        <f t="shared" si="624"/>
        <v>#N/A</v>
      </c>
      <c r="DK1093" s="89" t="e">
        <f t="shared" si="625"/>
        <v>#N/A</v>
      </c>
      <c r="DL1093" s="89" t="e">
        <f t="shared" si="626"/>
        <v>#N/A</v>
      </c>
      <c r="DM1093" s="219" t="str">
        <f t="shared" si="627"/>
        <v>Mindbender 90C</v>
      </c>
      <c r="DN1093" s="89" t="str">
        <f t="shared" si="628"/>
        <v xml:space="preserve"> K2Mindbender 90C156 Unisex</v>
      </c>
      <c r="DO1093" s="221" t="s">
        <v>328</v>
      </c>
    </row>
    <row r="1094" spans="2:119" ht="15.6" customHeight="1">
      <c r="B1094" s="219" t="b">
        <f t="array" ref="B1094">IF(OR(ISERROR(K1094:P1094)),FALSE,TRUE)</f>
        <v>1</v>
      </c>
      <c r="C1094" s="43" t="b">
        <f>OR(BR1094=Driver!$G$50,Data!BR673=Driver!$H$50)</f>
        <v>1</v>
      </c>
      <c r="D1094" s="43" t="b">
        <f>OR(BV1094=Driver!$G$51,BV1094=Driver!$H$51)</f>
        <v>0</v>
      </c>
      <c r="E1094" s="43" t="b">
        <f>AND(BX1094&gt;Driver!$F$54,BX1094&lt;Driver!$G$54)</f>
        <v>0</v>
      </c>
      <c r="F1094" s="43" t="b">
        <f>CL1094&gt;Driver!$F$56</f>
        <v>1</v>
      </c>
      <c r="G1094" s="43" t="b">
        <f>AND(CB1094&gt;Driver!$F$55,CB1094&lt;Driver!$G$55)</f>
        <v>0</v>
      </c>
      <c r="H1094" s="43" t="b">
        <f t="shared" si="592"/>
        <v>0</v>
      </c>
      <c r="I1094" s="43">
        <f t="shared" si="593"/>
        <v>0</v>
      </c>
      <c r="J1094" s="43" t="b">
        <f t="array" ref="J1094">NOT(OR(($H$9:$H$1273=TRUE)*($I$9:$I$1273&gt;0)*($BT$9:$BT$1273=BT1094)*($K$9:$K$1273&gt;K1094)))</f>
        <v>1</v>
      </c>
      <c r="K1094" s="72">
        <f t="shared" si="594"/>
        <v>0.83128953164344743</v>
      </c>
      <c r="L1094" s="72">
        <f t="shared" si="595"/>
        <v>0.85858374920573721</v>
      </c>
      <c r="M1094" s="72">
        <f t="shared" si="596"/>
        <v>0.80399531408115765</v>
      </c>
      <c r="N1094" s="72">
        <f t="shared" si="597"/>
        <v>0.92379615554258754</v>
      </c>
      <c r="O1094" s="72">
        <f t="shared" si="598"/>
        <v>0.64927194108162489</v>
      </c>
      <c r="P1094" s="72">
        <f t="shared" si="599"/>
        <v>0.83891784561926031</v>
      </c>
      <c r="Q1094" s="72"/>
      <c r="R1094" s="72"/>
      <c r="S1094" s="72">
        <f t="shared" si="600"/>
        <v>0.3928187015514647</v>
      </c>
      <c r="T1094" s="72">
        <f t="shared" si="601"/>
        <v>0.46891239408886198</v>
      </c>
      <c r="U1094" s="72">
        <f t="shared" si="602"/>
        <v>0.51152553299327408</v>
      </c>
      <c r="V1094" s="72">
        <f t="shared" si="603"/>
        <v>0.71028803587840061</v>
      </c>
      <c r="W1094" s="72">
        <f t="shared" si="604"/>
        <v>0.81195404814004379</v>
      </c>
      <c r="X1094" s="72">
        <f t="shared" si="605"/>
        <v>0.14141625079426276</v>
      </c>
      <c r="Y1094" s="72">
        <f t="shared" si="606"/>
        <v>0.19600468591884238</v>
      </c>
      <c r="Z1094" s="72">
        <f t="shared" si="607"/>
        <v>7.6203844457412448E-2</v>
      </c>
      <c r="AA1094" s="72">
        <f t="shared" si="608"/>
        <v>0.35072805891837511</v>
      </c>
      <c r="AB1094" s="72">
        <f t="shared" si="609"/>
        <v>0.16108215438073964</v>
      </c>
      <c r="AC1094" s="72"/>
      <c r="AD1094" s="72"/>
      <c r="AE1094" s="72">
        <f t="shared" si="610"/>
        <v>0.6071812984485353</v>
      </c>
      <c r="AF1094" s="72">
        <f t="shared" si="611"/>
        <v>0.53108760591113802</v>
      </c>
      <c r="AG1094" s="72">
        <f t="shared" si="612"/>
        <v>0.48847446700672592</v>
      </c>
      <c r="AH1094" s="72">
        <f t="shared" si="613"/>
        <v>0.28971196412159939</v>
      </c>
      <c r="AI1094" s="72">
        <f t="shared" si="614"/>
        <v>0.18804595185995621</v>
      </c>
      <c r="AJ1094" s="72">
        <f>(AV1094-Driver!$K$179)/(Driver!$L$179-Driver!$K$179)</f>
        <v>0.11280315848843767</v>
      </c>
      <c r="AK1094" s="72">
        <f>(AW1094-Driver!$K$180)/(Driver!$L$180-Driver!$K$180)</f>
        <v>9.5793521509457913E-2</v>
      </c>
      <c r="AL1094" s="72">
        <f>(AX1094-Driver!$K$181)/(Driver!$L$181-Driver!$K$181)</f>
        <v>0.17789160817049263</v>
      </c>
      <c r="AM1094" s="72">
        <f>(AY1094-Driver!$K$182)/(Driver!$L$182-Driver!$K$182)</f>
        <v>9.6656962178671257E-2</v>
      </c>
      <c r="AN1094" s="72">
        <f>(AZ1094-Driver!$K$183)/(Driver!$L$183-Driver!$K$183)</f>
        <v>9.3137254901960786E-2</v>
      </c>
      <c r="AO1094" s="72"/>
      <c r="AP1094" s="72"/>
      <c r="AQ1094" s="72">
        <f>(BC1094-Driver!$K$188)/(Driver!$L$188-Driver!$K$188)</f>
        <v>1.2818701551464707E-2</v>
      </c>
      <c r="AR1094" s="72">
        <f>MIN((BD1094-Driver!$K$189)/(Driver!$L$189-Driver!$K$189),100%)</f>
        <v>1.8912394088862049E-2</v>
      </c>
      <c r="AS1094" s="72">
        <f>(BE1094-Driver!$K$190)/(Driver!$L$190-Driver!$K$190)</f>
        <v>2.1525532993274071E-2</v>
      </c>
      <c r="AT1094" s="72">
        <f>(BF1094-Driver!$K$191)/(Driver!$L$191-Driver!$K$191)</f>
        <v>0.22028803587840062</v>
      </c>
      <c r="AU1094" s="72">
        <f>(BG1094-Driver!$K$192)/(Driver!$L$192-Driver!$K$192)</f>
        <v>0.43804595185995621</v>
      </c>
      <c r="AV1094" s="70">
        <f t="shared" si="615"/>
        <v>2.3741690408357075</v>
      </c>
      <c r="AW1094" s="70">
        <f t="shared" si="616"/>
        <v>11.207820109504235</v>
      </c>
      <c r="AX1094" s="70">
        <f t="shared" si="617"/>
        <v>2.6010244735344337</v>
      </c>
      <c r="AY1094" s="70">
        <f>IFERROR(Driver!$K$19/Data!BH1094/Data!BI1094*Data!BK1094*Data!BL1094,"")</f>
        <v>0.11833696136071596</v>
      </c>
      <c r="AZ1094" s="70">
        <f t="shared" si="618"/>
        <v>8.4884586746090847</v>
      </c>
      <c r="BA1094" s="70"/>
      <c r="BB1094" s="70"/>
      <c r="BC1094" s="70">
        <f t="shared" si="619"/>
        <v>6.6491496089121789</v>
      </c>
      <c r="BD1094" s="70">
        <f t="shared" si="620"/>
        <v>3.3945362501826297</v>
      </c>
      <c r="BE1094" s="70">
        <f t="shared" si="621"/>
        <v>2.170008182498883E-2</v>
      </c>
      <c r="BF1094" s="70">
        <f t="shared" si="622"/>
        <v>24.879986041424626</v>
      </c>
      <c r="BG1094" s="70">
        <f t="shared" si="623"/>
        <v>1.6587214168490154</v>
      </c>
      <c r="BH1094" s="67">
        <f>MAX((CE1094-Driver!$F$200)/(Driver!$G$200-Driver!$F$200)*$BI$1,1)</f>
        <v>2.6010244735344337</v>
      </c>
      <c r="BI1094" s="67">
        <f>MAX($BI$1*(BY1094-Driver!$F$201)/(Driver!$G$201-Driver!$F$201),1)</f>
        <v>4.8101265822784809</v>
      </c>
      <c r="BJ1094" s="67">
        <f>(CB1094-Driver!$F$206)/(Driver!$G$206-Driver!$F$206)*$BI$1</f>
        <v>4.4444444444444446</v>
      </c>
      <c r="BK1094" s="67">
        <f>(CD1094-Driver!$F$203)/(Driver!$G$203-Driver!$F$203)*$BI$1</f>
        <v>1.6513761467889909</v>
      </c>
      <c r="BL1094" s="67">
        <f>MAX((CR1094-Driver!$F$202)/(Driver!$G$202-Driver!$F$202)*$BI$1,1)</f>
        <v>4.4827586206896548</v>
      </c>
      <c r="BM1094" s="67">
        <f>MAX((CH1094-Driver!$F$204)/(Driver!$G$204-Driver!$F$204)*$BI$1,1)</f>
        <v>2.1367521367521367</v>
      </c>
      <c r="BN1094" s="67">
        <f>(CI1094-Driver!$F$205)/(Driver!$G$205-Driver!$F$205)*$BI$1</f>
        <v>1.7647058823529413</v>
      </c>
      <c r="BO1094" s="67">
        <f>(CK1094-Driver!$F$207)/(Driver!$G$207-Driver!$F$207)*$BI$1</f>
        <v>2.6163391933815925</v>
      </c>
      <c r="BP1094" s="67">
        <f>(CM1094-Driver!$F$208)/(Driver!$G$208-Driver!$F$208)*$BI$1</f>
        <v>3.5333333333333332</v>
      </c>
      <c r="BQ1094" s="67">
        <f>(CL1094-Driver!$F$209)/(Driver!$G$209-Driver!$F$209)*$BI$1</f>
        <v>9.21875</v>
      </c>
      <c r="BR1094" s="28" t="s">
        <v>155</v>
      </c>
      <c r="BS1094" s="8" t="s">
        <v>295</v>
      </c>
      <c r="BT1094" s="9" t="s">
        <v>758</v>
      </c>
      <c r="BU1094" s="10">
        <v>155</v>
      </c>
      <c r="BV1094" s="9" t="s">
        <v>163</v>
      </c>
      <c r="BW1094" s="10">
        <v>155</v>
      </c>
      <c r="BX1094" s="10">
        <v>152.5</v>
      </c>
      <c r="BY1094" s="10">
        <v>84</v>
      </c>
      <c r="BZ1094" s="10">
        <v>127</v>
      </c>
      <c r="CA1094" s="10">
        <v>126</v>
      </c>
      <c r="CB1094" s="10">
        <v>92</v>
      </c>
      <c r="CC1094" s="10">
        <v>117</v>
      </c>
      <c r="CD1094" s="10">
        <v>13</v>
      </c>
      <c r="CE1094" s="10">
        <v>1357</v>
      </c>
      <c r="CF1094" s="10">
        <v>1.1599999999999999</v>
      </c>
      <c r="CG1094" s="10">
        <v>1574</v>
      </c>
      <c r="CH1094" s="10">
        <v>151</v>
      </c>
      <c r="CI1094" s="10">
        <v>63</v>
      </c>
      <c r="CJ1094" s="10">
        <v>61</v>
      </c>
      <c r="CK1094" s="10">
        <v>363</v>
      </c>
      <c r="CL1094" s="10">
        <v>59</v>
      </c>
      <c r="CM1094" s="10">
        <v>318</v>
      </c>
      <c r="CN1094" s="10">
        <v>0.96099999999999997</v>
      </c>
      <c r="CO1094" s="10">
        <v>123</v>
      </c>
      <c r="CP1094" s="10">
        <v>130</v>
      </c>
      <c r="CQ1094" s="10">
        <v>240</v>
      </c>
      <c r="CR1094" s="10">
        <v>2</v>
      </c>
      <c r="CS1094" s="10">
        <v>8.1999999999999993</v>
      </c>
      <c r="CT1094" s="9" t="s">
        <v>184</v>
      </c>
      <c r="CU1094" s="9" t="s">
        <v>185</v>
      </c>
      <c r="CV1094" s="10"/>
      <c r="CW1094" s="10"/>
      <c r="CX1094" t="str">
        <f>INDEX('Data_Price '!AG$2:AG$1266,MATCH(Data!$DN1094,'Data_Price '!$AT$2:$AT$1266,0))</f>
        <v>Icelantic Maiden 91 Women's Skis 155cm 2022</v>
      </c>
      <c r="CY1094" t="str">
        <f>INDEX('Data_Price '!AH$2:AH$1266,MATCH(Data!$DN1094,'Data_Price '!$AT$2:$AT$1266,0))</f>
        <v>Moosejaw</v>
      </c>
      <c r="CZ1094">
        <f>INDEX('Data_Price '!AI$2:AI$1266,MATCH(Data!$DN1094,'Data_Price '!$AT$2:$AT$1266,0))</f>
        <v>523.99</v>
      </c>
      <c r="DA1094" t="str">
        <f>INDEX('Data_Price '!AJ$2:AJ$1266,MATCH(Data!$DN1094,'Data_Price '!$AT$2:$AT$1266,0))</f>
        <v>https://tinyurl.com/ycgr5fbo</v>
      </c>
      <c r="DB1094" t="str">
        <f>INDEX('Data_Price '!AK$2:AK$1266,MATCH(Data!$DN1094,'Data_Price '!$AT$2:$AT$1266,0))</f>
        <v>Icelantic Maiden 91 Women's Skis 155cm 2022</v>
      </c>
      <c r="DC1094" t="str">
        <f>INDEX('Data_Price '!AL$2:AL$1266,MATCH(Data!$DN1094,'Data_Price '!$AT$2:$AT$1266,0))</f>
        <v>Curated</v>
      </c>
      <c r="DD1094">
        <f>INDEX('Data_Price '!AM$2:AM$1266,MATCH(Data!$DN1094,'Data_Price '!$AT$2:$AT$1266,0))</f>
        <v>524</v>
      </c>
      <c r="DE1094" t="str">
        <f>INDEX('Data_Price '!AN$2:AN$1266,MATCH(Data!$DN1094,'Data_Price '!$AT$2:$AT$1266,0))</f>
        <v>https://tinyurl.com/y7xyroe5</v>
      </c>
      <c r="DF1094" t="str">
        <f>INDEX('Data_Price '!AO$2:AO$1266,MATCH(Data!$DN1094,'Data_Price '!$AT$2:$AT$1266,0))</f>
        <v>Icelantic Maiden 91 Women's Skis 155cm 2022</v>
      </c>
      <c r="DG1094" t="str">
        <f>INDEX('Data_Price '!AP$2:AP$1266,MATCH(Data!$DN1094,'Data_Price '!$AT$2:$AT$1266,0))</f>
        <v>evo.com</v>
      </c>
      <c r="DH1094">
        <f>INDEX('Data_Price '!AQ$2:AQ$1266,MATCH(Data!$DN1094,'Data_Price '!$AT$2:$AT$1266,0))</f>
        <v>524.25</v>
      </c>
      <c r="DI1094" t="str">
        <f>INDEX('Data_Price '!AR$2:AR$1266,MATCH(Data!$DN1094,'Data_Price '!$AT$2:$AT$1266,0))</f>
        <v>https://tinyurl.com/ycfvsp6p</v>
      </c>
      <c r="DJ1094" s="89" t="str">
        <f t="shared" si="624"/>
        <v>https://tinyurl.com/ycgr5fbo</v>
      </c>
      <c r="DK1094" s="89" t="str">
        <f t="shared" si="625"/>
        <v>https://tinyurl.com/y7xyroe5</v>
      </c>
      <c r="DL1094" s="89" t="str">
        <f t="shared" si="626"/>
        <v>https://tinyurl.com/ycfvsp6p</v>
      </c>
      <c r="DM1094" s="219" t="str">
        <f t="shared" si="627"/>
        <v>Maiden 91</v>
      </c>
      <c r="DN1094" s="89" t="str">
        <f t="shared" si="628"/>
        <v xml:space="preserve"> IcelanticMaiden 91155 Women's</v>
      </c>
      <c r="DO1094" s="221" t="s">
        <v>759</v>
      </c>
    </row>
    <row r="1095" spans="2:119" ht="15.6" customHeight="1">
      <c r="B1095" s="219" t="b">
        <f t="array" ref="B1095">IF(OR(ISERROR(K1095:P1095)),FALSE,TRUE)</f>
        <v>1</v>
      </c>
      <c r="C1095" s="43" t="b">
        <f>OR(BR1095=Driver!$G$50,Data!BR272=Driver!$H$50)</f>
        <v>1</v>
      </c>
      <c r="D1095" s="43" t="b">
        <f>OR(BV1095=Driver!$G$51,BV1095=Driver!$H$51)</f>
        <v>1</v>
      </c>
      <c r="E1095" s="43" t="b">
        <f>AND(BX1095&gt;Driver!$F$54,BX1095&lt;Driver!$G$54)</f>
        <v>0</v>
      </c>
      <c r="F1095" s="43" t="b">
        <f>CL1095&gt;Driver!$F$56</f>
        <v>1</v>
      </c>
      <c r="G1095" s="43" t="b">
        <f>AND(CB1095&gt;Driver!$F$55,CB1095&lt;Driver!$G$55)</f>
        <v>0</v>
      </c>
      <c r="H1095" s="43" t="b">
        <f t="shared" si="592"/>
        <v>0</v>
      </c>
      <c r="I1095" s="43">
        <f t="shared" si="593"/>
        <v>0</v>
      </c>
      <c r="J1095" s="43" t="b">
        <f t="array" ref="J1095">NOT(OR(($H$9:$H$1273=TRUE)*($I$9:$I$1273&gt;0)*($BT$9:$BT$1273=BT1095)*($K$9:$K$1273&gt;K1095)))</f>
        <v>1</v>
      </c>
      <c r="K1095" s="72">
        <f t="shared" si="594"/>
        <v>0.7589959357720566</v>
      </c>
      <c r="L1095" s="72">
        <f t="shared" si="595"/>
        <v>0.89508362834521027</v>
      </c>
      <c r="M1095" s="72">
        <f t="shared" si="596"/>
        <v>0.62290824319890281</v>
      </c>
      <c r="N1095" s="72">
        <f t="shared" si="597"/>
        <v>0.51084478641591968</v>
      </c>
      <c r="O1095" s="72">
        <f t="shared" si="598"/>
        <v>0.6412422332444937</v>
      </c>
      <c r="P1095" s="72">
        <f t="shared" si="599"/>
        <v>0.71663770993629528</v>
      </c>
      <c r="Q1095" s="72"/>
      <c r="R1095" s="72"/>
      <c r="S1095" s="72">
        <f t="shared" si="600"/>
        <v>0.63321438015742038</v>
      </c>
      <c r="T1095" s="72">
        <f t="shared" si="601"/>
        <v>0.62354588986110981</v>
      </c>
      <c r="U1095" s="72">
        <f t="shared" si="602"/>
        <v>0.51</v>
      </c>
      <c r="V1095" s="72">
        <f t="shared" si="603"/>
        <v>0.49555447647011153</v>
      </c>
      <c r="W1095" s="72">
        <f t="shared" si="604"/>
        <v>0.75701090999256138</v>
      </c>
      <c r="X1095" s="72">
        <f t="shared" si="605"/>
        <v>0.1049163716547897</v>
      </c>
      <c r="Y1095" s="72">
        <f t="shared" si="606"/>
        <v>0.37709175680109713</v>
      </c>
      <c r="Z1095" s="72">
        <f t="shared" si="607"/>
        <v>0.48915521358408032</v>
      </c>
      <c r="AA1095" s="72">
        <f t="shared" si="608"/>
        <v>0.3587577667555063</v>
      </c>
      <c r="AB1095" s="72">
        <f t="shared" si="609"/>
        <v>0.28336229006370478</v>
      </c>
      <c r="AC1095" s="72"/>
      <c r="AD1095" s="72"/>
      <c r="AE1095" s="72">
        <f t="shared" si="610"/>
        <v>0.36678561984257957</v>
      </c>
      <c r="AF1095" s="72">
        <f t="shared" si="611"/>
        <v>0.37645411013889019</v>
      </c>
      <c r="AG1095" s="72">
        <f t="shared" si="612"/>
        <v>0.49</v>
      </c>
      <c r="AH1095" s="72">
        <f t="shared" si="613"/>
        <v>0.50444552352988847</v>
      </c>
      <c r="AI1095" s="72">
        <f t="shared" si="614"/>
        <v>0.24298909000743862</v>
      </c>
      <c r="AJ1095" s="72">
        <f>(AV1095-Driver!$K$179)/(Driver!$L$179-Driver!$K$179)</f>
        <v>0.14930303762791072</v>
      </c>
      <c r="AK1095" s="72">
        <f>(AW1095-Driver!$K$180)/(Driver!$L$180-Driver!$K$180)</f>
        <v>0.5494522270279445</v>
      </c>
      <c r="AL1095" s="72">
        <f>(AX1095-Driver!$K$181)/(Driver!$L$181-Driver!$K$181)</f>
        <v>0.59084297729716051</v>
      </c>
      <c r="AM1095" s="72">
        <f>(AY1095-Driver!$K$182)/(Driver!$L$182-Driver!$K$182)</f>
        <v>8.8627254341540063E-2</v>
      </c>
      <c r="AN1095" s="72">
        <f>(AZ1095-Driver!$K$183)/(Driver!$L$183-Driver!$K$183)</f>
        <v>0.53758169934640521</v>
      </c>
      <c r="AO1095" s="72"/>
      <c r="AP1095" s="72"/>
      <c r="AQ1095" s="72">
        <f>(BC1095-Driver!$K$188)/(Driver!$L$188-Driver!$K$188)</f>
        <v>0.25321438015742043</v>
      </c>
      <c r="AR1095" s="72">
        <f>MIN((BD1095-Driver!$K$189)/(Driver!$L$189-Driver!$K$189),100%)</f>
        <v>0.17354588986110989</v>
      </c>
      <c r="AS1095" s="72">
        <f>(BE1095-Driver!$K$190)/(Driver!$L$190-Driver!$K$190)</f>
        <v>1</v>
      </c>
      <c r="AT1095" s="72">
        <f>(BF1095-Driver!$K$191)/(Driver!$L$191-Driver!$K$191)</f>
        <v>5.5544764701115816E-3</v>
      </c>
      <c r="AU1095" s="72">
        <f>(BG1095-Driver!$K$192)/(Driver!$L$192-Driver!$K$192)</f>
        <v>7.0109099925613674E-3</v>
      </c>
      <c r="AV1095" s="70">
        <f t="shared" si="615"/>
        <v>3.1423823090489758</v>
      </c>
      <c r="AW1095" s="70">
        <f t="shared" si="616"/>
        <v>55.420880787342064</v>
      </c>
      <c r="AX1095" s="70">
        <f t="shared" si="617"/>
        <v>6.3175867956744449</v>
      </c>
      <c r="AY1095" s="70">
        <f>IFERROR(Driver!$K$19/Data!BH1095/Data!BI1095*Data!BK1095*Data!BL1095,"")</f>
        <v>0.10850620313448536</v>
      </c>
      <c r="AZ1095" s="70">
        <f t="shared" si="618"/>
        <v>48.994787788533131</v>
      </c>
      <c r="BA1095" s="70"/>
      <c r="BB1095" s="70"/>
      <c r="BC1095" s="70">
        <f t="shared" si="619"/>
        <v>131.34405930546617</v>
      </c>
      <c r="BD1095" s="70">
        <f t="shared" si="620"/>
        <v>17.079326631685152</v>
      </c>
      <c r="BE1095" s="70">
        <f t="shared" si="621"/>
        <v>1</v>
      </c>
      <c r="BF1095" s="70">
        <f t="shared" si="622"/>
        <v>0.62733909489338635</v>
      </c>
      <c r="BG1095" s="70">
        <f t="shared" si="623"/>
        <v>2.6547777708901561E-2</v>
      </c>
      <c r="BH1095" s="67">
        <f>MAX((CE1095-Driver!$F$200)/(Driver!$G$200-Driver!$F$200)*$BI$1,1)</f>
        <v>6.3175867956744449</v>
      </c>
      <c r="BI1095" s="67">
        <f>MAX($BI$1*(BY1095-Driver!$F$201)/(Driver!$G$201-Driver!$F$201),1)</f>
        <v>8.8607594936708853</v>
      </c>
      <c r="BJ1095" s="67">
        <f>(CB1095-Driver!$F$206)/(Driver!$G$206-Driver!$F$206)*$BI$1</f>
        <v>2.6984126984126982</v>
      </c>
      <c r="BK1095" s="67">
        <f>(CD1095-Driver!$F$203)/(Driver!$G$203-Driver!$F$203)*$BI$1</f>
        <v>4.4036697247706424</v>
      </c>
      <c r="BL1095" s="67">
        <f>MAX((CR1095-Driver!$F$202)/(Driver!$G$202-Driver!$F$202)*$BI$1,1)</f>
        <v>6.8965517241379315</v>
      </c>
      <c r="BM1095" s="67">
        <f>MAX((CH1095-Driver!$F$204)/(Driver!$G$204-Driver!$F$204)*$BI$1,1)</f>
        <v>4.6581196581196584</v>
      </c>
      <c r="BN1095" s="67">
        <f>(CI1095-Driver!$F$205)/(Driver!$G$205-Driver!$F$205)*$BI$1</f>
        <v>5.5294117647058822</v>
      </c>
      <c r="BO1095" s="67">
        <f>(CK1095-Driver!$F$207)/(Driver!$G$207-Driver!$F$207)*$BI$1</f>
        <v>1.1375387797311272</v>
      </c>
      <c r="BP1095" s="67">
        <f>(CM1095-Driver!$F$208)/(Driver!$G$208-Driver!$F$208)*$BI$1</f>
        <v>0.89999999999999991</v>
      </c>
      <c r="BQ1095" s="67">
        <f>(CL1095-Driver!$F$209)/(Driver!$G$209-Driver!$F$209)*$BI$1</f>
        <v>0.78125</v>
      </c>
      <c r="BR1095" s="28" t="s">
        <v>155</v>
      </c>
      <c r="BS1095" s="8" t="s">
        <v>317</v>
      </c>
      <c r="BT1095" s="9" t="s">
        <v>821</v>
      </c>
      <c r="BU1095" s="10">
        <v>180</v>
      </c>
      <c r="BV1095" s="9" t="s">
        <v>158</v>
      </c>
      <c r="BW1095" s="10">
        <v>180</v>
      </c>
      <c r="BX1095" s="10">
        <v>178</v>
      </c>
      <c r="BY1095" s="10">
        <v>148</v>
      </c>
      <c r="BZ1095" s="10">
        <v>156</v>
      </c>
      <c r="CA1095" s="10">
        <v>120</v>
      </c>
      <c r="CB1095" s="10">
        <v>81</v>
      </c>
      <c r="CC1095" s="10">
        <v>104</v>
      </c>
      <c r="CD1095" s="10">
        <v>19</v>
      </c>
      <c r="CE1095" s="10">
        <v>2010</v>
      </c>
      <c r="CF1095" s="10">
        <v>0.83</v>
      </c>
      <c r="CG1095" s="10">
        <v>1661</v>
      </c>
      <c r="CH1095" s="10">
        <v>210</v>
      </c>
      <c r="CI1095" s="10">
        <v>127</v>
      </c>
      <c r="CJ1095" s="10">
        <v>53</v>
      </c>
      <c r="CK1095" s="10">
        <v>220</v>
      </c>
      <c r="CL1095" s="10">
        <v>5</v>
      </c>
      <c r="CM1095" s="10">
        <v>81</v>
      </c>
      <c r="CN1095" s="10">
        <v>9.6000000000000002E-2</v>
      </c>
      <c r="CO1095" s="10">
        <v>119</v>
      </c>
      <c r="CP1095" s="10">
        <v>106</v>
      </c>
      <c r="CQ1095" s="10">
        <v>102</v>
      </c>
      <c r="CR1095" s="10">
        <v>9</v>
      </c>
      <c r="CS1095" s="10">
        <v>11.2</v>
      </c>
      <c r="CT1095" s="9" t="s">
        <v>349</v>
      </c>
      <c r="CU1095" s="9" t="s">
        <v>231</v>
      </c>
      <c r="CV1095" s="9" t="s">
        <v>188</v>
      </c>
      <c r="CW1095" s="10"/>
      <c r="CX1095" t="str">
        <f>INDEX('Data_Price '!AG$2:AG$1266,MATCH(Data!$DN1095,'Data_Price '!$AT$2:$AT$1266,0))</f>
        <v>Blizzard Brahma 82 173 Cm Skis - Mint Condition</v>
      </c>
      <c r="CY1095" t="str">
        <f>INDEX('Data_Price '!AH$2:AH$1266,MATCH(Data!$DN1095,'Data_Price '!$AT$2:$AT$1266,0))</f>
        <v>eBay</v>
      </c>
      <c r="CZ1095">
        <f>INDEX('Data_Price '!AI$2:AI$1266,MATCH(Data!$DN1095,'Data_Price '!$AT$2:$AT$1266,0))</f>
        <v>328</v>
      </c>
      <c r="DA1095" t="str">
        <f>INDEX('Data_Price '!AJ$2:AJ$1266,MATCH(Data!$DN1095,'Data_Price '!$AT$2:$AT$1266,0))</f>
        <v>https://tinyurl.com/yabp9vcc</v>
      </c>
      <c r="DB1095" t="str">
        <f>INDEX('Data_Price '!AK$2:AK$1266,MATCH(Data!$DN1095,'Data_Price '!$AT$2:$AT$1266,0))</f>
        <v>Blizzard Brahma 82 Skis</v>
      </c>
      <c r="DC1095" t="str">
        <f>INDEX('Data_Price '!AL$2:AL$1266,MATCH(Data!$DN1095,'Data_Price '!$AT$2:$AT$1266,0))</f>
        <v>sunandski.com</v>
      </c>
      <c r="DD1095">
        <f>INDEX('Data_Price '!AM$2:AM$1266,MATCH(Data!$DN1095,'Data_Price '!$AT$2:$AT$1266,0))</f>
        <v>479.93</v>
      </c>
      <c r="DE1095" t="str">
        <f>INDEX('Data_Price '!AN$2:AN$1266,MATCH(Data!$DN1095,'Data_Price '!$AT$2:$AT$1266,0))</f>
        <v>https://tinyurl.com/yarkoe5a</v>
      </c>
      <c r="DF1095" t="str">
        <f>INDEX('Data_Price '!AO$2:AO$1266,MATCH(Data!$DN1095,'Data_Price '!$AT$2:$AT$1266,0))</f>
        <v>Blizzard Brahma 82 Skis</v>
      </c>
      <c r="DG1095" t="str">
        <f>INDEX('Data_Price '!AP$2:AP$1266,MATCH(Data!$DN1095,'Data_Price '!$AT$2:$AT$1266,0))</f>
        <v>Moosejaw</v>
      </c>
      <c r="DH1095">
        <f>INDEX('Data_Price '!AQ$2:AQ$1266,MATCH(Data!$DN1095,'Data_Price '!$AT$2:$AT$1266,0))</f>
        <v>479.99</v>
      </c>
      <c r="DI1095" t="str">
        <f>INDEX('Data_Price '!AR$2:AR$1266,MATCH(Data!$DN1095,'Data_Price '!$AT$2:$AT$1266,0))</f>
        <v>https://tinyurl.com/y8jfa84e</v>
      </c>
      <c r="DJ1095" s="89" t="str">
        <f t="shared" si="624"/>
        <v>https://tinyurl.com/yabp9vcc</v>
      </c>
      <c r="DK1095" s="89" t="str">
        <f t="shared" si="625"/>
        <v>https://tinyurl.com/yarkoe5a</v>
      </c>
      <c r="DL1095" s="89" t="str">
        <f t="shared" si="626"/>
        <v>https://tinyurl.com/y8jfa84e</v>
      </c>
      <c r="DM1095" s="219" t="str">
        <f t="shared" si="627"/>
        <v>Brahma 82</v>
      </c>
      <c r="DN1095" s="89" t="str">
        <f t="shared" si="628"/>
        <v xml:space="preserve"> BlizzardBrahma 82180 Unisex</v>
      </c>
      <c r="DO1095" s="221" t="s">
        <v>822</v>
      </c>
    </row>
    <row r="1096" spans="2:119" ht="15.6" customHeight="1">
      <c r="B1096" s="219" t="b">
        <f t="array" ref="B1096">IF(OR(ISERROR(K1096:P1096)),FALSE,TRUE)</f>
        <v>1</v>
      </c>
      <c r="C1096" s="43" t="b">
        <f>OR(BR1096=Driver!$G$50,Data!BR292=Driver!$H$50)</f>
        <v>1</v>
      </c>
      <c r="D1096" s="43" t="b">
        <f>OR(BV1096=Driver!$G$51,BV1096=Driver!$H$51)</f>
        <v>1</v>
      </c>
      <c r="E1096" s="43" t="b">
        <f>AND(BX1096&gt;Driver!$F$54,BX1096&lt;Driver!$G$54)</f>
        <v>0</v>
      </c>
      <c r="F1096" s="43" t="b">
        <f>CL1096&gt;Driver!$F$56</f>
        <v>1</v>
      </c>
      <c r="G1096" s="43" t="b">
        <f>AND(CB1096&gt;Driver!$F$55,CB1096&lt;Driver!$G$55)</f>
        <v>0</v>
      </c>
      <c r="H1096" s="43" t="b">
        <f t="shared" si="592"/>
        <v>0</v>
      </c>
      <c r="I1096" s="43">
        <f t="shared" si="593"/>
        <v>0</v>
      </c>
      <c r="J1096" s="43" t="b">
        <f t="array" ref="J1096">NOT(OR(($H$9:$H$1273=TRUE)*($I$9:$I$1273&gt;0)*($BT$9:$BT$1273=BT1096)*($K$9:$K$1273&gt;K1096)))</f>
        <v>1</v>
      </c>
      <c r="K1096" s="72">
        <f t="shared" si="594"/>
        <v>0.61877781649494112</v>
      </c>
      <c r="L1096" s="72">
        <f t="shared" si="595"/>
        <v>0.59488494791778224</v>
      </c>
      <c r="M1096" s="72">
        <f t="shared" si="596"/>
        <v>0.64267068507210001</v>
      </c>
      <c r="N1096" s="72">
        <f t="shared" si="597"/>
        <v>0.39954395798361708</v>
      </c>
      <c r="O1096" s="72">
        <f t="shared" si="598"/>
        <v>0.66640555069508056</v>
      </c>
      <c r="P1096" s="72">
        <f t="shared" si="599"/>
        <v>0.86206254653760239</v>
      </c>
      <c r="Q1096" s="72"/>
      <c r="R1096" s="72"/>
      <c r="S1096" s="72">
        <f t="shared" si="600"/>
        <v>0.53413377160524478</v>
      </c>
      <c r="T1096" s="72">
        <f t="shared" si="601"/>
        <v>0.49347555194647508</v>
      </c>
      <c r="U1096" s="72">
        <f t="shared" si="602"/>
        <v>0.50367144610719516</v>
      </c>
      <c r="V1096" s="72">
        <f t="shared" si="603"/>
        <v>0.63231076969174782</v>
      </c>
      <c r="W1096" s="72">
        <f t="shared" si="604"/>
        <v>0.77448827073690873</v>
      </c>
      <c r="X1096" s="72">
        <f t="shared" si="605"/>
        <v>0.40511505208221771</v>
      </c>
      <c r="Y1096" s="72">
        <f t="shared" si="606"/>
        <v>0.35732931492789999</v>
      </c>
      <c r="Z1096" s="72">
        <f t="shared" si="607"/>
        <v>0.60045604201638292</v>
      </c>
      <c r="AA1096" s="72">
        <f t="shared" si="608"/>
        <v>0.33359444930491938</v>
      </c>
      <c r="AB1096" s="72">
        <f t="shared" si="609"/>
        <v>0.13793745346239755</v>
      </c>
      <c r="AC1096" s="72"/>
      <c r="AD1096" s="72"/>
      <c r="AE1096" s="72">
        <f t="shared" si="610"/>
        <v>0.46586622839475522</v>
      </c>
      <c r="AF1096" s="72">
        <f t="shared" si="611"/>
        <v>0.50652444805352492</v>
      </c>
      <c r="AG1096" s="72">
        <f t="shared" si="612"/>
        <v>0.49632855389280484</v>
      </c>
      <c r="AH1096" s="72">
        <f t="shared" si="613"/>
        <v>0.36768923030825224</v>
      </c>
      <c r="AI1096" s="72">
        <f t="shared" si="614"/>
        <v>0.22551172926309124</v>
      </c>
      <c r="AJ1096" s="72">
        <f>(AV1096-Driver!$K$179)/(Driver!$L$179-Driver!$K$179)</f>
        <v>0.65933446136491813</v>
      </c>
      <c r="AK1096" s="72">
        <f>(AW1096-Driver!$K$180)/(Driver!$L$180-Driver!$K$180)</f>
        <v>0.42405168180194969</v>
      </c>
      <c r="AL1096" s="72">
        <f>(AX1096-Driver!$K$181)/(Driver!$L$181-Driver!$K$181)</f>
        <v>0.70214380572946311</v>
      </c>
      <c r="AM1096" s="72">
        <f>(AY1096-Driver!$K$182)/(Driver!$L$182-Driver!$K$182)</f>
        <v>0.11379057179212698</v>
      </c>
      <c r="AN1096" s="72">
        <f>(AZ1096-Driver!$K$183)/(Driver!$L$183-Driver!$K$183)</f>
        <v>0.39215686274509798</v>
      </c>
      <c r="AO1096" s="72"/>
      <c r="AP1096" s="72"/>
      <c r="AQ1096" s="72">
        <f>(BC1096-Driver!$K$188)/(Driver!$L$188-Driver!$K$188)</f>
        <v>0.15413377160524475</v>
      </c>
      <c r="AR1096" s="72">
        <f>MIN((BD1096-Driver!$K$189)/(Driver!$L$189-Driver!$K$189),100%)</f>
        <v>4.3475551946475156E-2</v>
      </c>
      <c r="AS1096" s="72">
        <f>(BE1096-Driver!$K$190)/(Driver!$L$190-Driver!$K$190)</f>
        <v>1.3671446107195175E-2</v>
      </c>
      <c r="AT1096" s="72">
        <f>(BF1096-Driver!$K$191)/(Driver!$L$191-Driver!$K$191)</f>
        <v>0.14231076969174777</v>
      </c>
      <c r="AU1096" s="72">
        <f>(BG1096-Driver!$K$192)/(Driver!$L$192-Driver!$K$192)</f>
        <v>2.4488270736908759E-2</v>
      </c>
      <c r="AV1096" s="70">
        <f t="shared" si="615"/>
        <v>13.877018043684711</v>
      </c>
      <c r="AW1096" s="70">
        <f t="shared" si="616"/>
        <v>43.199486493201434</v>
      </c>
      <c r="AX1096" s="70">
        <f t="shared" si="617"/>
        <v>7.319294251565168</v>
      </c>
      <c r="AY1096" s="70">
        <f>IFERROR(Driver!$K$19/Data!BH1096/Data!BI1096*Data!BK1096*Data!BL1096,"")</f>
        <v>0.13931361170328702</v>
      </c>
      <c r="AZ1096" s="70">
        <f t="shared" si="618"/>
        <v>35.740878629932979</v>
      </c>
      <c r="BA1096" s="70"/>
      <c r="BB1096" s="70"/>
      <c r="BC1096" s="70">
        <f t="shared" si="619"/>
        <v>79.950258852236743</v>
      </c>
      <c r="BD1096" s="70">
        <f t="shared" si="620"/>
        <v>5.5683321972410775</v>
      </c>
      <c r="BE1096" s="70">
        <f t="shared" si="621"/>
        <v>1.3847396019608898E-2</v>
      </c>
      <c r="BF1096" s="70">
        <f t="shared" si="622"/>
        <v>16.07300164694167</v>
      </c>
      <c r="BG1096" s="70">
        <f t="shared" si="623"/>
        <v>9.2728214837820455E-2</v>
      </c>
      <c r="BH1096" s="67">
        <f>MAX((CE1096-Driver!$F$200)/(Driver!$G$200-Driver!$F$200)*$BI$1,1)</f>
        <v>7.319294251565168</v>
      </c>
      <c r="BI1096" s="67">
        <f>MAX($BI$1*(BY1096-Driver!$F$201)/(Driver!$G$201-Driver!$F$201),1)</f>
        <v>6.3291139240506329</v>
      </c>
      <c r="BJ1096" s="67">
        <f>(CB1096-Driver!$F$206)/(Driver!$G$206-Driver!$F$206)*$BI$1</f>
        <v>7.7777777777777777</v>
      </c>
      <c r="BK1096" s="67">
        <f>(CD1096-Driver!$F$203)/(Driver!$G$203-Driver!$F$203)*$BI$1</f>
        <v>6.238532110091743</v>
      </c>
      <c r="BL1096" s="67">
        <f>MAX((CR1096-Driver!$F$202)/(Driver!$G$202-Driver!$F$202)*$BI$1,1)</f>
        <v>5.1724137931034484</v>
      </c>
      <c r="BM1096" s="67">
        <f>MAX((CH1096-Driver!$F$204)/(Driver!$G$204-Driver!$F$204)*$BI$1,1)</f>
        <v>7.1367521367521372</v>
      </c>
      <c r="BN1096" s="67">
        <f>(CI1096-Driver!$F$205)/(Driver!$G$205-Driver!$F$205)*$BI$1</f>
        <v>5.6470588235294112</v>
      </c>
      <c r="BO1096" s="67">
        <f>(CK1096-Driver!$F$207)/(Driver!$G$207-Driver!$F$207)*$BI$1</f>
        <v>3.4126163391933817</v>
      </c>
      <c r="BP1096" s="67">
        <f>(CM1096-Driver!$F$208)/(Driver!$G$208-Driver!$F$208)*$BI$1</f>
        <v>3.7777777777777777</v>
      </c>
      <c r="BQ1096" s="67">
        <f>(CL1096-Driver!$F$209)/(Driver!$G$209-Driver!$F$209)*$BI$1</f>
        <v>4.84375</v>
      </c>
      <c r="BR1096" s="28" t="s">
        <v>155</v>
      </c>
      <c r="BS1096" s="8" t="s">
        <v>317</v>
      </c>
      <c r="BT1096" s="9" t="s">
        <v>559</v>
      </c>
      <c r="BU1096" s="10">
        <v>188</v>
      </c>
      <c r="BV1096" s="9" t="s">
        <v>158</v>
      </c>
      <c r="BW1096" s="10">
        <v>188</v>
      </c>
      <c r="BX1096" s="10">
        <v>186.4</v>
      </c>
      <c r="BY1096" s="10">
        <v>108</v>
      </c>
      <c r="BZ1096" s="10">
        <v>156</v>
      </c>
      <c r="CA1096" s="10">
        <v>141</v>
      </c>
      <c r="CB1096" s="10">
        <v>113</v>
      </c>
      <c r="CC1096" s="10">
        <v>131</v>
      </c>
      <c r="CD1096" s="10">
        <v>23</v>
      </c>
      <c r="CE1096" s="10">
        <v>2186</v>
      </c>
      <c r="CF1096" s="10">
        <v>1.04</v>
      </c>
      <c r="CG1096" s="10">
        <v>2277</v>
      </c>
      <c r="CH1096" s="10">
        <v>268</v>
      </c>
      <c r="CI1096" s="10">
        <v>129</v>
      </c>
      <c r="CJ1096" s="10">
        <v>61</v>
      </c>
      <c r="CK1096" s="10">
        <v>440</v>
      </c>
      <c r="CL1096" s="10">
        <v>31</v>
      </c>
      <c r="CM1096" s="10">
        <v>340</v>
      </c>
      <c r="CN1096" s="10">
        <v>0.505</v>
      </c>
      <c r="CO1096" s="10">
        <v>159</v>
      </c>
      <c r="CP1096" s="10">
        <v>147</v>
      </c>
      <c r="CQ1096" s="10">
        <v>281</v>
      </c>
      <c r="CR1096" s="10">
        <v>4</v>
      </c>
      <c r="CS1096" s="10">
        <v>8.1</v>
      </c>
      <c r="CT1096" s="9" t="s">
        <v>169</v>
      </c>
      <c r="CU1096" s="10"/>
      <c r="CV1096" s="10"/>
      <c r="CW1096" s="10"/>
      <c r="CX1096" t="str">
        <f>INDEX('Data_Price '!AG$2:AG$1266,MATCH(Data!$DN1096,'Data_Price '!$AT$2:$AT$1266,0))</f>
        <v>Blizzard Rustler 11 Skis 2022</v>
      </c>
      <c r="CY1096" t="str">
        <f>INDEX('Data_Price '!AH$2:AH$1266,MATCH(Data!$DN1096,'Data_Price '!$AT$2:$AT$1266,0))</f>
        <v>Powder7 Ski Shop</v>
      </c>
      <c r="CZ1096">
        <f>INDEX('Data_Price '!AI$2:AI$1266,MATCH(Data!$DN1096,'Data_Price '!$AT$2:$AT$1266,0))</f>
        <v>699.93</v>
      </c>
      <c r="DA1096" t="str">
        <f>INDEX('Data_Price '!AJ$2:AJ$1266,MATCH(Data!$DN1096,'Data_Price '!$AT$2:$AT$1266,0))</f>
        <v>https://tinyurl.com/ya24lmro</v>
      </c>
      <c r="DB1096" t="str">
        <f>INDEX('Data_Price '!AK$2:AK$1266,MATCH(Data!$DN1096,'Data_Price '!$AT$2:$AT$1266,0))</f>
        <v>Blizzard Rustler 11 Skis 188cm 2023</v>
      </c>
      <c r="DC1096" t="str">
        <f>INDEX('Data_Price '!AL$2:AL$1266,MATCH(Data!$DN1096,'Data_Price '!$AT$2:$AT$1266,0))</f>
        <v>evo.com</v>
      </c>
      <c r="DD1096">
        <f>INDEX('Data_Price '!AM$2:AM$1266,MATCH(Data!$DN1096,'Data_Price '!$AT$2:$AT$1266,0))</f>
        <v>799.95</v>
      </c>
      <c r="DE1096" t="str">
        <f>INDEX('Data_Price '!AN$2:AN$1266,MATCH(Data!$DN1096,'Data_Price '!$AT$2:$AT$1266,0))</f>
        <v>https://tinyurl.com/y7b3qyxu</v>
      </c>
      <c r="DF1096" t="str">
        <f>INDEX('Data_Price '!AO$2:AO$1266,MATCH(Data!$DN1096,'Data_Price '!$AT$2:$AT$1266,0))</f>
        <v>'23 Blizzard Rustler 11 Skis 188cm</v>
      </c>
      <c r="DG1096" t="str">
        <f>INDEX('Data_Price '!AP$2:AP$1266,MATCH(Data!$DN1096,'Data_Price '!$AT$2:$AT$1266,0))</f>
        <v>Al's Ski Equipment Barn</v>
      </c>
      <c r="DH1096">
        <f>INDEX('Data_Price '!AQ$2:AQ$1266,MATCH(Data!$DN1096,'Data_Price '!$AT$2:$AT$1266,0))</f>
        <v>799.95</v>
      </c>
      <c r="DI1096" t="str">
        <f>INDEX('Data_Price '!AR$2:AR$1266,MATCH(Data!$DN1096,'Data_Price '!$AT$2:$AT$1266,0))</f>
        <v>https://tinyurl.com/y92zgy3t</v>
      </c>
      <c r="DJ1096" s="89" t="str">
        <f t="shared" si="624"/>
        <v>https://tinyurl.com/ya24lmro</v>
      </c>
      <c r="DK1096" s="89" t="str">
        <f t="shared" si="625"/>
        <v>https://tinyurl.com/y7b3qyxu</v>
      </c>
      <c r="DL1096" s="89" t="str">
        <f t="shared" si="626"/>
        <v>https://tinyurl.com/y92zgy3t</v>
      </c>
      <c r="DM1096" s="219" t="str">
        <f t="shared" si="627"/>
        <v>Rustler 11</v>
      </c>
      <c r="DN1096" s="89" t="str">
        <f t="shared" si="628"/>
        <v xml:space="preserve"> BlizzardRustler 11188 Unisex</v>
      </c>
      <c r="DO1096" s="221" t="s">
        <v>560</v>
      </c>
    </row>
    <row r="1097" spans="2:119" ht="15.6" customHeight="1">
      <c r="B1097" s="219" t="b">
        <f t="array" ref="B1097">IF(OR(ISERROR(K1097:P1097)),FALSE,TRUE)</f>
        <v>1</v>
      </c>
      <c r="C1097" s="43" t="b">
        <f>OR(BR1097=Driver!$G$50,Data!BR419=Driver!$H$50)</f>
        <v>1</v>
      </c>
      <c r="D1097" s="43" t="b">
        <f>OR(BV1097=Driver!$G$51,BV1097=Driver!$H$51)</f>
        <v>1</v>
      </c>
      <c r="E1097" s="43" t="b">
        <f>AND(BX1097&gt;Driver!$F$54,BX1097&lt;Driver!$G$54)</f>
        <v>0</v>
      </c>
      <c r="F1097" s="43" t="b">
        <f>CL1097&gt;Driver!$F$56</f>
        <v>1</v>
      </c>
      <c r="G1097" s="43" t="b">
        <f>AND(CB1097&gt;Driver!$F$55,CB1097&lt;Driver!$G$55)</f>
        <v>0</v>
      </c>
      <c r="H1097" s="43" t="b">
        <f t="shared" ref="H1097:H1160" si="629">AND(B1097:G1097)</f>
        <v>0</v>
      </c>
      <c r="I1097" s="43">
        <f t="shared" ref="I1097:I1160" si="630">COUNTIFS($H$9:$H$1273,TRUE,$BT$9:$BT$1273,BT1097)</f>
        <v>0</v>
      </c>
      <c r="J1097" s="43" t="b">
        <f t="array" ref="J1097">NOT(OR(($H$9:$H$1273=TRUE)*($I$9:$I$1273&gt;0)*($BT$9:$BT$1273=BT1097)*($K$9:$K$1273&gt;K1097)))</f>
        <v>1</v>
      </c>
      <c r="K1097" s="72">
        <f t="shared" ref="K1097:K1160" si="631">IFERROR(1-AVERAGE(X1097:Y1097),"")</f>
        <v>0.72011973626641168</v>
      </c>
      <c r="L1097" s="72">
        <f t="shared" ref="L1097:L1160" si="632">1-X1097</f>
        <v>0.82506509639774439</v>
      </c>
      <c r="M1097" s="72">
        <f t="shared" ref="M1097:M1160" si="633">1-Y1097</f>
        <v>0.61517437613507897</v>
      </c>
      <c r="N1097" s="72">
        <f t="shared" ref="N1097:N1160" si="634">1-Z1097</f>
        <v>0.45266480791721608</v>
      </c>
      <c r="O1097" s="72">
        <f t="shared" ref="O1097:O1160" si="635">1-AA1097</f>
        <v>0.60657191774126828</v>
      </c>
      <c r="P1097" s="72">
        <f t="shared" ref="P1097:P1160" si="636">1-AB1097</f>
        <v>0.78628640274675266</v>
      </c>
      <c r="Q1097" s="72"/>
      <c r="R1097" s="72"/>
      <c r="S1097" s="72">
        <f t="shared" ref="S1097:S1160" si="637">1-AE1097</f>
        <v>0.5707702548581659</v>
      </c>
      <c r="T1097" s="72">
        <f t="shared" ref="T1097:T1160" si="638">1-AF1097</f>
        <v>0.59882429682431737</v>
      </c>
      <c r="U1097" s="72">
        <f t="shared" ref="U1097:U1160" si="639">1-AG1097</f>
        <v>0.51</v>
      </c>
      <c r="V1097" s="72">
        <f t="shared" ref="V1097:V1160" si="640">1-AH1097</f>
        <v>0.49097433831446891</v>
      </c>
      <c r="W1097" s="72">
        <f t="shared" ref="W1097:W1160" si="641">1-AI1097</f>
        <v>0.75803234446653955</v>
      </c>
      <c r="X1097" s="72">
        <f t="shared" ref="X1097:X1160" si="642">ABS(AJ1097-AJ$1)</f>
        <v>0.17493490360225566</v>
      </c>
      <c r="Y1097" s="72">
        <f t="shared" ref="Y1097:Y1160" si="643">AVERAGE(Z1097:AB1097)</f>
        <v>0.38482562386492097</v>
      </c>
      <c r="Z1097" s="72">
        <f t="shared" ref="Z1097:Z1160" si="644">ABS(AL1097-AL$1)</f>
        <v>0.54733519208278392</v>
      </c>
      <c r="AA1097" s="72">
        <f t="shared" ref="AA1097:AA1160" si="645">ABS(AM1097-AM$1)</f>
        <v>0.39342808225873166</v>
      </c>
      <c r="AB1097" s="72">
        <f t="shared" ref="AB1097:AB1160" si="646">ABS(AN1097-AN$1)</f>
        <v>0.21371359725324729</v>
      </c>
      <c r="AC1097" s="72"/>
      <c r="AD1097" s="72"/>
      <c r="AE1097" s="72">
        <f t="shared" ref="AE1097:AE1160" si="647">ABS(AQ$1-AQ1097)</f>
        <v>0.42922974514183404</v>
      </c>
      <c r="AF1097" s="72">
        <f t="shared" ref="AF1097:AF1160" si="648">ABS(AR$1-AR1097)</f>
        <v>0.40117570317568263</v>
      </c>
      <c r="AG1097" s="72">
        <f t="shared" ref="AG1097:AG1160" si="649">ABS(AS$1-AS1097)</f>
        <v>0.49</v>
      </c>
      <c r="AH1097" s="72">
        <f t="shared" ref="AH1097:AH1160" si="650">ABS(AT$1-AT1097)</f>
        <v>0.50902566168553109</v>
      </c>
      <c r="AI1097" s="72">
        <f t="shared" ref="AI1097:AI1160" si="651">ABS(AU$1-AU1097)</f>
        <v>0.2419676555334605</v>
      </c>
      <c r="AJ1097" s="72">
        <f>(AV1097-Driver!$K$179)/(Driver!$L$179-Driver!$K$179)</f>
        <v>7.9284505680444761E-2</v>
      </c>
      <c r="AK1097" s="72">
        <f>(AW1097-Driver!$K$180)/(Driver!$L$180-Driver!$K$180)</f>
        <v>0.48925702348200961</v>
      </c>
      <c r="AL1097" s="72">
        <f>(AX1097-Driver!$K$181)/(Driver!$L$181-Driver!$K$181)</f>
        <v>0.64902295579586411</v>
      </c>
      <c r="AM1097" s="72">
        <f>(AY1097-Driver!$K$182)/(Driver!$L$182-Driver!$K$182)</f>
        <v>5.3956938838314705E-2</v>
      </c>
      <c r="AN1097" s="72">
        <f>(AZ1097-Driver!$K$183)/(Driver!$L$183-Driver!$K$183)</f>
        <v>0.46793300653594772</v>
      </c>
      <c r="AO1097" s="72"/>
      <c r="AP1097" s="72"/>
      <c r="AQ1097" s="72">
        <f>(BC1097-Driver!$K$188)/(Driver!$L$188-Driver!$K$188)</f>
        <v>0.19077025485816596</v>
      </c>
      <c r="AR1097" s="72">
        <f>MIN((BD1097-Driver!$K$189)/(Driver!$L$189-Driver!$K$189),100%)</f>
        <v>0.95117570317568267</v>
      </c>
      <c r="AS1097" s="72">
        <f>(BE1097-Driver!$K$190)/(Driver!$L$190-Driver!$K$190)</f>
        <v>1</v>
      </c>
      <c r="AT1097" s="72">
        <f>(BF1097-Driver!$K$191)/(Driver!$L$191-Driver!$K$191)</f>
        <v>9.7433831446886116E-4</v>
      </c>
      <c r="AU1097" s="72">
        <f>(BG1097-Driver!$K$192)/(Driver!$L$192-Driver!$K$192)</f>
        <v>8.032344466539507E-3</v>
      </c>
      <c r="AV1097" s="70">
        <f t="shared" ref="AV1097:AV1160" si="652">IFERROR(BM1097*BJ1097^1/4,"")</f>
        <v>1.6687016687016687</v>
      </c>
      <c r="AW1097" s="70">
        <f t="shared" ref="AW1097:AW1160" si="653">IFERROR(SUM(AX1097:AZ1097),"")</f>
        <v>49.554324818027006</v>
      </c>
      <c r="AX1097" s="70">
        <f t="shared" ref="AX1097:AX1160" si="654">IFERROR(BH1097,"")</f>
        <v>6.8412066021627771</v>
      </c>
      <c r="AY1097" s="70">
        <f>IFERROR(Driver!$K$19/Data!BH1097/Data!BI1097*Data!BK1097*Data!BL1097,"")</f>
        <v>6.6059392334814407E-2</v>
      </c>
      <c r="AZ1097" s="70">
        <f t="shared" ref="AZ1097:AZ1160" si="655">IFERROR(BI1097*BN1097,"")</f>
        <v>42.647058823529413</v>
      </c>
      <c r="BA1097" s="70"/>
      <c r="BB1097" s="70"/>
      <c r="BC1097" s="70">
        <f t="shared" ref="BC1097:BC1160" si="656">IFERROR(BI1097*BN1097*BK1097/BJ1097^(1/2),"")</f>
        <v>98.953857408226526</v>
      </c>
      <c r="BD1097" s="70">
        <f t="shared" ref="BD1097:BD1160" si="657">IFERROR(BH1097*BM1097*BL1097/BJ1097/BK1097,"")</f>
        <v>85.898187231529008</v>
      </c>
      <c r="BE1097" s="70">
        <f t="shared" ref="BE1097:BE1160" si="658">IFERROR(MIN(BI1097/BQ1097/BP1097/BO1097/BH1097,$BE$1),"")</f>
        <v>1</v>
      </c>
      <c r="BF1097" s="70">
        <f t="shared" ref="BF1097:BF1160" si="659">IFERROR(BJ1097*BO1097*BP1097/BK1097,"")</f>
        <v>0.11004466750519228</v>
      </c>
      <c r="BG1097" s="70">
        <f t="shared" ref="BG1097:BG1160" si="660">IFERROR(1/BM1097/BH1097*BQ1097,"")</f>
        <v>3.0415580232133439E-2</v>
      </c>
      <c r="BH1097" s="67">
        <f>MAX((CE1097-Driver!$F$200)/(Driver!$G$200-Driver!$F$200)*$BI$1,1)</f>
        <v>6.8412066021627771</v>
      </c>
      <c r="BI1097" s="67">
        <f>MAX($BI$1*(BY1097-Driver!$F$201)/(Driver!$G$201-Driver!$F$201),1)</f>
        <v>9.1772151898734169</v>
      </c>
      <c r="BJ1097" s="67">
        <f>(CB1097-Driver!$F$206)/(Driver!$G$206-Driver!$F$206)*$BI$1</f>
        <v>1.2698412698412698</v>
      </c>
      <c r="BK1097" s="67">
        <f>(CD1097-Driver!$F$203)/(Driver!$G$203-Driver!$F$203)*$BI$1</f>
        <v>2.6146788990825689</v>
      </c>
      <c r="BL1097" s="67">
        <f>MAX((CR1097-Driver!$F$202)/(Driver!$G$202-Driver!$F$202)*$BI$1,1)</f>
        <v>7.931034482758621</v>
      </c>
      <c r="BM1097" s="67">
        <f>MAX((CH1097-Driver!$F$204)/(Driver!$G$204-Driver!$F$204)*$BI$1,1)</f>
        <v>5.2564102564102564</v>
      </c>
      <c r="BN1097" s="67">
        <f>(CI1097-Driver!$F$205)/(Driver!$G$205-Driver!$F$205)*$BI$1</f>
        <v>4.6470588235294121</v>
      </c>
      <c r="BO1097" s="67">
        <f>(CK1097-Driver!$F$207)/(Driver!$G$207-Driver!$F$207)*$BI$1</f>
        <v>0.35160289555325747</v>
      </c>
      <c r="BP1097" s="67">
        <f>(CM1097-Driver!$F$208)/(Driver!$G$208-Driver!$F$208)*$BI$1</f>
        <v>0.64444444444444438</v>
      </c>
      <c r="BQ1097" s="67">
        <f>(CL1097-Driver!$F$209)/(Driver!$G$209-Driver!$F$209)*$BI$1</f>
        <v>1.09375</v>
      </c>
      <c r="BR1097" s="28" t="s">
        <v>155</v>
      </c>
      <c r="BS1097" s="8" t="s">
        <v>202</v>
      </c>
      <c r="BT1097" s="9" t="s">
        <v>798</v>
      </c>
      <c r="BU1097" s="10">
        <v>174</v>
      </c>
      <c r="BV1097" s="9" t="s">
        <v>158</v>
      </c>
      <c r="BW1097" s="10">
        <v>174</v>
      </c>
      <c r="BX1097" s="10">
        <v>173.1</v>
      </c>
      <c r="BY1097" s="10">
        <v>153</v>
      </c>
      <c r="BZ1097" s="10">
        <v>159</v>
      </c>
      <c r="CA1097" s="10">
        <v>121</v>
      </c>
      <c r="CB1097" s="10">
        <v>72</v>
      </c>
      <c r="CC1097" s="10">
        <v>105</v>
      </c>
      <c r="CD1097" s="10">
        <v>15.1</v>
      </c>
      <c r="CE1097" s="10">
        <v>2102</v>
      </c>
      <c r="CF1097" s="10">
        <v>0.72</v>
      </c>
      <c r="CG1097" s="10">
        <v>1507</v>
      </c>
      <c r="CH1097" s="10">
        <v>224</v>
      </c>
      <c r="CI1097" s="10">
        <v>112</v>
      </c>
      <c r="CJ1097" s="10">
        <v>39</v>
      </c>
      <c r="CK1097" s="10">
        <v>144</v>
      </c>
      <c r="CL1097" s="10">
        <v>7</v>
      </c>
      <c r="CM1097" s="10">
        <v>58</v>
      </c>
      <c r="CN1097" s="10">
        <v>0.17699999999999999</v>
      </c>
      <c r="CO1097" s="10">
        <v>82</v>
      </c>
      <c r="CP1097" s="10">
        <v>62</v>
      </c>
      <c r="CQ1097" s="10">
        <v>62</v>
      </c>
      <c r="CR1097" s="10">
        <v>12</v>
      </c>
      <c r="CS1097" s="10">
        <v>11.8</v>
      </c>
      <c r="CT1097" s="9" t="s">
        <v>349</v>
      </c>
      <c r="CU1097" s="10"/>
      <c r="CV1097" s="10"/>
      <c r="CW1097" s="10"/>
      <c r="CX1097" t="str">
        <f>INDEX('Data_Price '!AG$2:AG$1266,MATCH(Data!$DN1097,'Data_Price '!$AT$2:$AT$1266,0))</f>
        <v>2022 Dynastar Speed 4x4 763 Skis with SPX 12 GW Bindings - 174| Ski Essentials</v>
      </c>
      <c r="CY1097" t="str">
        <f>INDEX('Data_Price '!AH$2:AH$1266,MATCH(Data!$DN1097,'Data_Price '!$AT$2:$AT$1266,0))</f>
        <v>SkiEssentials.com</v>
      </c>
      <c r="CZ1097">
        <f>INDEX('Data_Price '!AI$2:AI$1266,MATCH(Data!$DN1097,'Data_Price '!$AT$2:$AT$1266,0))</f>
        <v>899.95</v>
      </c>
      <c r="DA1097" t="str">
        <f>INDEX('Data_Price '!AJ$2:AJ$1266,MATCH(Data!$DN1097,'Data_Price '!$AT$2:$AT$1266,0))</f>
        <v>https://tinyurl.com/y7ybv5qt</v>
      </c>
      <c r="DB1097" t="str">
        <f>INDEX('Data_Price '!AK$2:AK$1266,MATCH(Data!$DN1097,'Data_Price '!$AT$2:$AT$1266,0))</f>
        <v>Dynastar Speed Zone 12 Ti Skis w Look SPX 12 GW Demo Bindings  Demo</v>
      </c>
      <c r="DC1097" t="str">
        <f>INDEX('Data_Price '!AL$2:AL$1266,MATCH(Data!$DN1097,'Data_Price '!$AT$2:$AT$1266,0))</f>
        <v>Powder7 Ski Shop</v>
      </c>
      <c r="DD1097">
        <f>INDEX('Data_Price '!AM$2:AM$1266,MATCH(Data!$DN1097,'Data_Price '!$AT$2:$AT$1266,0))</f>
        <v>439.99</v>
      </c>
      <c r="DE1097" t="str">
        <f>INDEX('Data_Price '!AN$2:AN$1266,MATCH(Data!$DN1097,'Data_Price '!$AT$2:$AT$1266,0))</f>
        <v>https://tinyurl.com/y7lvxxe5</v>
      </c>
      <c r="DF1097" t="str">
        <f>INDEX('Data_Price '!AO$2:AO$1266,MATCH(Data!$DN1097,'Data_Price '!$AT$2:$AT$1266,0))</f>
        <v>2019 Dynastar Speed Zone 10 Ti Snow Skis with Bindings (Clearance) 174</v>
      </c>
      <c r="DG1097" t="str">
        <f>INDEX('Data_Price '!AP$2:AP$1266,MATCH(Data!$DN1097,'Data_Price '!$AT$2:$AT$1266,0))</f>
        <v>The Pro Shop</v>
      </c>
      <c r="DH1097">
        <f>INDEX('Data_Price '!AQ$2:AQ$1266,MATCH(Data!$DN1097,'Data_Price '!$AT$2:$AT$1266,0))</f>
        <v>697</v>
      </c>
      <c r="DI1097" t="str">
        <f>INDEX('Data_Price '!AR$2:AR$1266,MATCH(Data!$DN1097,'Data_Price '!$AT$2:$AT$1266,0))</f>
        <v>https://tinyurl.com/yax3f4we</v>
      </c>
      <c r="DJ1097" s="89" t="str">
        <f t="shared" ref="DJ1097:DJ1160" si="661">DA1097</f>
        <v>https://tinyurl.com/y7ybv5qt</v>
      </c>
      <c r="DK1097" s="89" t="str">
        <f t="shared" ref="DK1097:DK1160" si="662">DE1097</f>
        <v>https://tinyurl.com/y7lvxxe5</v>
      </c>
      <c r="DL1097" s="89" t="str">
        <f t="shared" ref="DL1097:DL1160" si="663">DI1097</f>
        <v>https://tinyurl.com/yax3f4we</v>
      </c>
      <c r="DM1097" s="219" t="str">
        <f t="shared" ref="DM1097:DM1160" si="664">IF(LEFT(BT1097,1)=" ",RIGHT(BT1097,LEN(BT1097)-1),BT1097)</f>
        <v>Speed 763</v>
      </c>
      <c r="DN1097" s="89" t="str">
        <f t="shared" ref="DN1097:DN1160" si="665">_xlfn.CONCAT(BS1097,DM1097,BU1097,BV1097)</f>
        <v xml:space="preserve"> DynastarSpeed 763174 Unisex</v>
      </c>
      <c r="DO1097" s="221"/>
    </row>
    <row r="1098" spans="2:119" ht="15.6" customHeight="1">
      <c r="B1098" s="219" t="b">
        <f t="array" ref="B1098">IF(OR(ISERROR(K1098:P1098)),FALSE,TRUE)</f>
        <v>1</v>
      </c>
      <c r="C1098" s="43" t="b">
        <f>OR(BR1098=Driver!$G$50,Data!BR558=Driver!$H$50)</f>
        <v>1</v>
      </c>
      <c r="D1098" s="43" t="b">
        <f>OR(BV1098=Driver!$G$51,BV1098=Driver!$H$51)</f>
        <v>0</v>
      </c>
      <c r="E1098" s="43" t="b">
        <f>AND(BX1098&gt;Driver!$F$54,BX1098&lt;Driver!$G$54)</f>
        <v>0</v>
      </c>
      <c r="F1098" s="43" t="b">
        <f>CL1098&gt;Driver!$F$56</f>
        <v>1</v>
      </c>
      <c r="G1098" s="43" t="b">
        <f>AND(CB1098&gt;Driver!$F$55,CB1098&lt;Driver!$G$55)</f>
        <v>0</v>
      </c>
      <c r="H1098" s="43" t="b">
        <f t="shared" si="629"/>
        <v>0</v>
      </c>
      <c r="I1098" s="43">
        <f t="shared" si="630"/>
        <v>0</v>
      </c>
      <c r="J1098" s="43" t="b">
        <f t="array" ref="J1098">NOT(OR(($H$9:$H$1273=TRUE)*($I$9:$I$1273&gt;0)*($BT$9:$BT$1273=BT1098)*($K$9:$K$1273&gt;K1098)))</f>
        <v>1</v>
      </c>
      <c r="K1098" s="72">
        <f t="shared" si="631"/>
        <v>0.79072760907141459</v>
      </c>
      <c r="L1098" s="72">
        <f t="shared" si="632"/>
        <v>0.7778328024649428</v>
      </c>
      <c r="M1098" s="72">
        <f t="shared" si="633"/>
        <v>0.8036224156778865</v>
      </c>
      <c r="N1098" s="72">
        <f t="shared" si="634"/>
        <v>0.91873702697748283</v>
      </c>
      <c r="O1098" s="72">
        <f t="shared" si="635"/>
        <v>0.70018949861992263</v>
      </c>
      <c r="P1098" s="72">
        <f t="shared" si="636"/>
        <v>0.79194072143625382</v>
      </c>
      <c r="Q1098" s="72"/>
      <c r="R1098" s="72"/>
      <c r="S1098" s="72">
        <f t="shared" si="637"/>
        <v>0.39064480095155818</v>
      </c>
      <c r="T1098" s="72">
        <f t="shared" si="638"/>
        <v>0.4713239706662824</v>
      </c>
      <c r="U1098" s="72">
        <f t="shared" si="639"/>
        <v>0.63405541320271008</v>
      </c>
      <c r="V1098" s="72">
        <f t="shared" si="640"/>
        <v>0.49663019619855198</v>
      </c>
      <c r="W1098" s="72">
        <f t="shared" si="641"/>
        <v>0.73548387096774204</v>
      </c>
      <c r="X1098" s="72">
        <f t="shared" si="642"/>
        <v>0.2221671975350572</v>
      </c>
      <c r="Y1098" s="72">
        <f t="shared" si="643"/>
        <v>0.19637758432211352</v>
      </c>
      <c r="Z1098" s="72">
        <f t="shared" si="644"/>
        <v>8.1262973022517129E-2</v>
      </c>
      <c r="AA1098" s="72">
        <f t="shared" si="645"/>
        <v>0.29981050138007737</v>
      </c>
      <c r="AB1098" s="72">
        <f t="shared" si="646"/>
        <v>0.20805927856374618</v>
      </c>
      <c r="AC1098" s="72"/>
      <c r="AD1098" s="72"/>
      <c r="AE1098" s="72">
        <f t="shared" si="647"/>
        <v>0.60935519904844182</v>
      </c>
      <c r="AF1098" s="72">
        <f t="shared" si="648"/>
        <v>0.5286760293337176</v>
      </c>
      <c r="AG1098" s="72">
        <f t="shared" si="649"/>
        <v>0.36594458679728992</v>
      </c>
      <c r="AH1098" s="72">
        <f t="shared" si="650"/>
        <v>0.50336980380144802</v>
      </c>
      <c r="AI1098" s="72">
        <f t="shared" si="651"/>
        <v>0.26451612903225796</v>
      </c>
      <c r="AJ1098" s="72">
        <f>(AV1098-Driver!$K$179)/(Driver!$L$179-Driver!$K$179)</f>
        <v>3.2052211747643215E-2</v>
      </c>
      <c r="AK1098" s="72">
        <f>(AW1098-Driver!$K$180)/(Driver!$L$180-Driver!$K$180)</f>
        <v>5.2969411513063988E-2</v>
      </c>
      <c r="AL1098" s="72">
        <f>(AX1098-Driver!$K$181)/(Driver!$L$181-Driver!$K$181)</f>
        <v>0.18295073673559731</v>
      </c>
      <c r="AM1098" s="72">
        <f>(AY1098-Driver!$K$182)/(Driver!$L$182-Driver!$K$182)</f>
        <v>0.147574519716969</v>
      </c>
      <c r="AN1098" s="72">
        <f>(AZ1098-Driver!$K$183)/(Driver!$L$183-Driver!$K$183)</f>
        <v>4.6160130718954244E-2</v>
      </c>
      <c r="AO1098" s="72"/>
      <c r="AP1098" s="72"/>
      <c r="AQ1098" s="72">
        <f>(BC1098-Driver!$K$188)/(Driver!$L$188-Driver!$K$188)</f>
        <v>1.0644800951558222E-2</v>
      </c>
      <c r="AR1098" s="72">
        <f>MIN((BD1098-Driver!$K$189)/(Driver!$L$189-Driver!$K$189),100%)</f>
        <v>2.1323970666282489E-2</v>
      </c>
      <c r="AS1098" s="72">
        <f>(BE1098-Driver!$K$190)/(Driver!$L$190-Driver!$K$190)</f>
        <v>0.87594458679728993</v>
      </c>
      <c r="AT1098" s="72">
        <f>(BF1098-Driver!$K$191)/(Driver!$L$191-Driver!$K$191)</f>
        <v>6.6301961985519905E-3</v>
      </c>
      <c r="AU1098" s="72">
        <f>(BG1098-Driver!$K$192)/(Driver!$L$192-Driver!$K$192)</f>
        <v>0.51451612903225796</v>
      </c>
      <c r="AV1098" s="70">
        <f t="shared" si="652"/>
        <v>0.67460317460317454</v>
      </c>
      <c r="AW1098" s="70">
        <f t="shared" si="653"/>
        <v>7.0342311301391938</v>
      </c>
      <c r="AX1098" s="70">
        <f t="shared" si="654"/>
        <v>2.6465566306203758</v>
      </c>
      <c r="AY1098" s="70">
        <f>IFERROR(Driver!$K$19/Data!BH1098/Data!BI1098*Data!BK1098*Data!BL1098,"")</f>
        <v>0.18067524412045666</v>
      </c>
      <c r="AZ1098" s="70">
        <f t="shared" si="655"/>
        <v>4.2069992553983617</v>
      </c>
      <c r="BA1098" s="70"/>
      <c r="BB1098" s="70"/>
      <c r="BC1098" s="70">
        <f t="shared" si="656"/>
        <v>5.5215322550288963</v>
      </c>
      <c r="BD1098" s="70">
        <f t="shared" si="657"/>
        <v>3.6079565042234938</v>
      </c>
      <c r="BE1098" s="70">
        <f t="shared" si="658"/>
        <v>0.87596671688670213</v>
      </c>
      <c r="BF1098" s="70">
        <f t="shared" si="659"/>
        <v>0.7488340808619216</v>
      </c>
      <c r="BG1098" s="70">
        <f t="shared" si="660"/>
        <v>1.9482862903225804</v>
      </c>
      <c r="BH1098" s="67">
        <f>MAX((CE1098-Driver!$F$200)/(Driver!$G$200-Driver!$F$200)*$BI$1,1)</f>
        <v>2.6465566306203758</v>
      </c>
      <c r="BI1098" s="67">
        <f>MAX($BI$1*(BY1098-Driver!$F$201)/(Driver!$G$201-Driver!$F$201),1)</f>
        <v>7.1518987341772151</v>
      </c>
      <c r="BJ1098" s="67">
        <f>(CB1098-Driver!$F$206)/(Driver!$G$206-Driver!$F$206)*$BI$1</f>
        <v>2.6984126984126982</v>
      </c>
      <c r="BK1098" s="67">
        <f>(CD1098-Driver!$F$203)/(Driver!$G$203-Driver!$F$203)*$BI$1</f>
        <v>2.1559633027522933</v>
      </c>
      <c r="BL1098" s="67">
        <f>MAX((CR1098-Driver!$F$202)/(Driver!$G$202-Driver!$F$202)*$BI$1,1)</f>
        <v>7.931034482758621</v>
      </c>
      <c r="BM1098" s="67">
        <f>MAX((CH1098-Driver!$F$204)/(Driver!$G$204-Driver!$F$204)*$BI$1,1)</f>
        <v>1</v>
      </c>
      <c r="BN1098" s="67">
        <f>(CI1098-Driver!$F$205)/(Driver!$G$205-Driver!$F$205)*$BI$1</f>
        <v>0.58823529411764708</v>
      </c>
      <c r="BO1098" s="67">
        <f>(CK1098-Driver!$F$207)/(Driver!$G$207-Driver!$F$207)*$BI$1</f>
        <v>0.42399172699069287</v>
      </c>
      <c r="BP1098" s="67">
        <f>(CM1098-Driver!$F$208)/(Driver!$G$208-Driver!$F$208)*$BI$1</f>
        <v>1.411111111111111</v>
      </c>
      <c r="BQ1098" s="67">
        <f>(CL1098-Driver!$F$209)/(Driver!$G$209-Driver!$F$209)*$BI$1</f>
        <v>5.15625</v>
      </c>
      <c r="BR1098" s="28" t="s">
        <v>155</v>
      </c>
      <c r="BS1098" s="8" t="s">
        <v>245</v>
      </c>
      <c r="BT1098" s="9" t="s">
        <v>832</v>
      </c>
      <c r="BU1098" s="10">
        <v>151</v>
      </c>
      <c r="BV1098" s="9" t="s">
        <v>385</v>
      </c>
      <c r="BW1098" s="10">
        <v>151</v>
      </c>
      <c r="BX1098" s="10">
        <v>149.19999999999999</v>
      </c>
      <c r="BY1098" s="10">
        <v>121</v>
      </c>
      <c r="BZ1098" s="10">
        <v>130</v>
      </c>
      <c r="CA1098" s="10">
        <v>117</v>
      </c>
      <c r="CB1098" s="10">
        <v>81</v>
      </c>
      <c r="CC1098" s="10">
        <v>106</v>
      </c>
      <c r="CD1098" s="10">
        <v>14.1</v>
      </c>
      <c r="CE1098" s="10">
        <v>1365</v>
      </c>
      <c r="CF1098" s="10">
        <v>1</v>
      </c>
      <c r="CG1098" s="10">
        <v>1370</v>
      </c>
      <c r="CH1098" s="10">
        <v>114</v>
      </c>
      <c r="CI1098" s="10">
        <v>43</v>
      </c>
      <c r="CJ1098" s="10">
        <v>47</v>
      </c>
      <c r="CK1098" s="10">
        <v>151</v>
      </c>
      <c r="CL1098" s="10">
        <v>33</v>
      </c>
      <c r="CM1098" s="10">
        <v>127</v>
      </c>
      <c r="CN1098" s="10">
        <v>0.71</v>
      </c>
      <c r="CO1098" s="10">
        <v>100</v>
      </c>
      <c r="CP1098" s="10">
        <v>91</v>
      </c>
      <c r="CQ1098" s="10">
        <v>51</v>
      </c>
      <c r="CR1098" s="10">
        <v>12</v>
      </c>
      <c r="CS1098" s="10">
        <v>-0.9</v>
      </c>
      <c r="CT1098" s="9" t="s">
        <v>188</v>
      </c>
      <c r="CU1098" s="10"/>
      <c r="CV1098" s="10"/>
      <c r="CW1098" s="10"/>
      <c r="CX1098" t="str">
        <f>INDEX('Data_Price '!AG$2:AG$1266,MATCH(Data!$DN1098,'Data_Price '!$AT$2:$AT$1266,0))</f>
        <v>Fischer Nightstick Team Skis Â· 151 cm</v>
      </c>
      <c r="CY1098" t="str">
        <f>INDEX('Data_Price '!AH$2:AH$1266,MATCH(Data!$DN1098,'Data_Price '!$AT$2:$AT$1266,0))</f>
        <v>Curated</v>
      </c>
      <c r="CZ1098">
        <f>INDEX('Data_Price '!AI$2:AI$1266,MATCH(Data!$DN1098,'Data_Price '!$AT$2:$AT$1266,0))</f>
        <v>249.99</v>
      </c>
      <c r="DA1098" t="str">
        <f>INDEX('Data_Price '!AJ$2:AJ$1266,MATCH(Data!$DN1098,'Data_Price '!$AT$2:$AT$1266,0))</f>
        <v>https://tinyurl.com/yc946y59</v>
      </c>
      <c r="DB1098" t="str">
        <f>INDEX('Data_Price '!AK$2:AK$1266,MATCH(Data!$DN1098,'Data_Price '!$AT$2:$AT$1266,0))</f>
        <v>Fischer Nightstick Team Skis Â· 151 cm</v>
      </c>
      <c r="DC1098" t="str">
        <f>INDEX('Data_Price '!AL$2:AL$1266,MATCH(Data!$DN1098,'Data_Price '!$AT$2:$AT$1266,0))</f>
        <v>Outdoor Gear Exchange</v>
      </c>
      <c r="DD1098">
        <f>INDEX('Data_Price '!AM$2:AM$1266,MATCH(Data!$DN1098,'Data_Price '!$AT$2:$AT$1266,0))</f>
        <v>249.99</v>
      </c>
      <c r="DE1098" t="str">
        <f>INDEX('Data_Price '!AN$2:AN$1266,MATCH(Data!$DN1098,'Data_Price '!$AT$2:$AT$1266,0))</f>
        <v>https://tinyurl.com/y8yc8mk7</v>
      </c>
      <c r="DF1098">
        <f>INDEX('Data_Price '!AO$2:AO$1266,MATCH(Data!$DN1098,'Data_Price '!$AT$2:$AT$1266,0))</f>
        <v>0</v>
      </c>
      <c r="DG1098">
        <f>INDEX('Data_Price '!AP$2:AP$1266,MATCH(Data!$DN1098,'Data_Price '!$AT$2:$AT$1266,0))</f>
        <v>0</v>
      </c>
      <c r="DH1098">
        <f>INDEX('Data_Price '!AQ$2:AQ$1266,MATCH(Data!$DN1098,'Data_Price '!$AT$2:$AT$1266,0))</f>
        <v>0</v>
      </c>
      <c r="DI1098">
        <f>INDEX('Data_Price '!AR$2:AR$1266,MATCH(Data!$DN1098,'Data_Price '!$AT$2:$AT$1266,0))</f>
        <v>0</v>
      </c>
      <c r="DJ1098" s="89" t="str">
        <f t="shared" si="661"/>
        <v>https://tinyurl.com/yc946y59</v>
      </c>
      <c r="DK1098" s="89" t="str">
        <f t="shared" si="662"/>
        <v>https://tinyurl.com/y8yc8mk7</v>
      </c>
      <c r="DL1098" s="89">
        <f t="shared" si="663"/>
        <v>0</v>
      </c>
      <c r="DM1098" s="219" t="str">
        <f t="shared" si="664"/>
        <v>Nightstick Team</v>
      </c>
      <c r="DN1098" s="89" t="str">
        <f t="shared" si="665"/>
        <v xml:space="preserve"> FischerNightstick Team151 Junior</v>
      </c>
      <c r="DO1098" s="221"/>
    </row>
    <row r="1099" spans="2:119" ht="15.6" customHeight="1">
      <c r="B1099" s="219" t="b">
        <f t="array" ref="B1099">IF(OR(ISERROR(K1099:P1099)),FALSE,TRUE)</f>
        <v>1</v>
      </c>
      <c r="C1099" s="43" t="b">
        <f>OR(BR1099=Driver!$G$50,Data!BR415=Driver!$H$50)</f>
        <v>1</v>
      </c>
      <c r="D1099" s="43" t="b">
        <f>OR(BV1099=Driver!$G$51,BV1099=Driver!$H$51)</f>
        <v>1</v>
      </c>
      <c r="E1099" s="43" t="b">
        <f>AND(BX1099&gt;Driver!$F$54,BX1099&lt;Driver!$G$54)</f>
        <v>1</v>
      </c>
      <c r="F1099" s="43" t="b">
        <f>CL1099&gt;Driver!$F$56</f>
        <v>1</v>
      </c>
      <c r="G1099" s="43" t="b">
        <f>AND(CB1099&gt;Driver!$F$55,CB1099&lt;Driver!$G$55)</f>
        <v>0</v>
      </c>
      <c r="H1099" s="43" t="b">
        <f t="shared" si="629"/>
        <v>0</v>
      </c>
      <c r="I1099" s="43">
        <f t="shared" si="630"/>
        <v>0</v>
      </c>
      <c r="J1099" s="43" t="b">
        <f t="array" ref="J1099">NOT(OR(($H$9:$H$1273=TRUE)*($I$9:$I$1273&gt;0)*($BT$9:$BT$1273=BT1099)*($K$9:$K$1273&gt;K1099)))</f>
        <v>1</v>
      </c>
      <c r="K1099" s="72">
        <f t="shared" si="631"/>
        <v>0.77123988245075392</v>
      </c>
      <c r="L1099" s="72">
        <f t="shared" si="632"/>
        <v>0.78284448564921483</v>
      </c>
      <c r="M1099" s="72">
        <f t="shared" si="633"/>
        <v>0.75963527925229302</v>
      </c>
      <c r="N1099" s="72">
        <f t="shared" si="634"/>
        <v>0.84980640027793197</v>
      </c>
      <c r="O1099" s="72">
        <f t="shared" si="635"/>
        <v>0.59512440231720298</v>
      </c>
      <c r="P1099" s="72">
        <f t="shared" si="636"/>
        <v>0.83397503516174409</v>
      </c>
      <c r="Q1099" s="72"/>
      <c r="R1099" s="72"/>
      <c r="S1099" s="72">
        <f t="shared" si="637"/>
        <v>0.39354096414854411</v>
      </c>
      <c r="T1099" s="72">
        <f t="shared" si="638"/>
        <v>0.68831072333380394</v>
      </c>
      <c r="U1099" s="72">
        <f t="shared" si="639"/>
        <v>0.51</v>
      </c>
      <c r="V1099" s="72">
        <f t="shared" si="640"/>
        <v>0.49293070416248308</v>
      </c>
      <c r="W1099" s="72">
        <f t="shared" si="641"/>
        <v>0.78212581427056505</v>
      </c>
      <c r="X1099" s="72">
        <f t="shared" si="642"/>
        <v>0.2171555143507852</v>
      </c>
      <c r="Y1099" s="72">
        <f t="shared" si="643"/>
        <v>0.24036472074770701</v>
      </c>
      <c r="Z1099" s="72">
        <f t="shared" si="644"/>
        <v>0.15019359972206808</v>
      </c>
      <c r="AA1099" s="72">
        <f t="shared" si="645"/>
        <v>0.40487559768279702</v>
      </c>
      <c r="AB1099" s="72">
        <f t="shared" si="646"/>
        <v>0.16602496483825596</v>
      </c>
      <c r="AC1099" s="72"/>
      <c r="AD1099" s="72"/>
      <c r="AE1099" s="72">
        <f t="shared" si="647"/>
        <v>0.60645903585145589</v>
      </c>
      <c r="AF1099" s="72">
        <f t="shared" si="648"/>
        <v>0.31168927666619611</v>
      </c>
      <c r="AG1099" s="72">
        <f t="shared" si="649"/>
        <v>0.49</v>
      </c>
      <c r="AH1099" s="72">
        <f t="shared" si="650"/>
        <v>0.50706929583751692</v>
      </c>
      <c r="AI1099" s="72">
        <f t="shared" si="651"/>
        <v>0.21787418572943493</v>
      </c>
      <c r="AJ1099" s="72">
        <f>(AV1099-Driver!$K$179)/(Driver!$L$179-Driver!$K$179)</f>
        <v>3.7063894931915232E-2</v>
      </c>
      <c r="AK1099" s="72">
        <f>(AW1099-Driver!$K$180)/(Driver!$L$180-Driver!$K$180)</f>
        <v>9.7323716521218712E-2</v>
      </c>
      <c r="AL1099" s="72">
        <f>(AX1099-Driver!$K$181)/(Driver!$L$181-Driver!$K$181)</f>
        <v>0.25188136343514828</v>
      </c>
      <c r="AM1099" s="72">
        <f>(AY1099-Driver!$K$182)/(Driver!$L$182-Driver!$K$182)</f>
        <v>4.2509423414249341E-2</v>
      </c>
      <c r="AN1099" s="72">
        <f>(AZ1099-Driver!$K$183)/(Driver!$L$183-Driver!$K$183)</f>
        <v>8.819444444444445E-2</v>
      </c>
      <c r="AO1099" s="72"/>
      <c r="AP1099" s="72"/>
      <c r="AQ1099" s="72">
        <f>(BC1099-Driver!$K$188)/(Driver!$L$188-Driver!$K$188)</f>
        <v>1.354096414854414E-2</v>
      </c>
      <c r="AR1099" s="72">
        <f>MIN((BD1099-Driver!$K$189)/(Driver!$L$189-Driver!$K$189),100%)</f>
        <v>0.23831072333380393</v>
      </c>
      <c r="AS1099" s="72">
        <f>(BE1099-Driver!$K$190)/(Driver!$L$190-Driver!$K$190)</f>
        <v>1</v>
      </c>
      <c r="AT1099" s="72">
        <f>(BF1099-Driver!$K$191)/(Driver!$L$191-Driver!$K$191)</f>
        <v>2.9307041624831156E-3</v>
      </c>
      <c r="AU1099" s="72">
        <f>(BG1099-Driver!$K$192)/(Driver!$L$192-Driver!$K$192)</f>
        <v>3.2125814270565073E-2</v>
      </c>
      <c r="AV1099" s="70">
        <f t="shared" si="652"/>
        <v>0.78008411341744666</v>
      </c>
      <c r="AW1099" s="70">
        <f t="shared" si="653"/>
        <v>11.356951172307456</v>
      </c>
      <c r="AX1099" s="70">
        <f t="shared" si="654"/>
        <v>3.2669322709163344</v>
      </c>
      <c r="AY1099" s="70">
        <f>IFERROR(Driver!$K$19/Data!BH1099/Data!BI1099*Data!BK1099*Data!BL1099,"")</f>
        <v>5.204421784681721E-2</v>
      </c>
      <c r="AZ1099" s="70">
        <f t="shared" si="655"/>
        <v>8.037974683544304</v>
      </c>
      <c r="BA1099" s="70"/>
      <c r="BB1099" s="70"/>
      <c r="BC1099" s="70">
        <f t="shared" si="656"/>
        <v>7.0237922391053953</v>
      </c>
      <c r="BD1099" s="70">
        <f t="shared" si="657"/>
        <v>22.810899637524162</v>
      </c>
      <c r="BE1099" s="70">
        <f t="shared" si="658"/>
        <v>1</v>
      </c>
      <c r="BF1099" s="70">
        <f t="shared" si="659"/>
        <v>0.3310024457904498</v>
      </c>
      <c r="BG1099" s="70">
        <f t="shared" si="660"/>
        <v>0.12164882688229059</v>
      </c>
      <c r="BH1099" s="67">
        <f>MAX((CE1099-Driver!$F$200)/(Driver!$G$200-Driver!$F$200)*$BI$1,1)</f>
        <v>3.2669322709163344</v>
      </c>
      <c r="BI1099" s="67">
        <f>MAX($BI$1*(BY1099-Driver!$F$201)/(Driver!$G$201-Driver!$F$201),1)</f>
        <v>8.037974683544304</v>
      </c>
      <c r="BJ1099" s="67">
        <f>(CB1099-Driver!$F$206)/(Driver!$G$206-Driver!$F$206)*$BI$1</f>
        <v>1.5873015873015872</v>
      </c>
      <c r="BK1099" s="67">
        <f>(CD1099-Driver!$F$203)/(Driver!$G$203-Driver!$F$203)*$BI$1</f>
        <v>1.1009174311926608</v>
      </c>
      <c r="BL1099" s="67">
        <f>MAX((CR1099-Driver!$F$202)/(Driver!$G$202-Driver!$F$202)*$BI$1,1)</f>
        <v>6.2068965517241379</v>
      </c>
      <c r="BM1099" s="67">
        <f>MAX((CH1099-Driver!$F$204)/(Driver!$G$204-Driver!$F$204)*$BI$1,1)</f>
        <v>1.9658119658119657</v>
      </c>
      <c r="BN1099" s="67">
        <f>(CI1099-Driver!$F$205)/(Driver!$G$205-Driver!$F$205)*$BI$1</f>
        <v>1</v>
      </c>
      <c r="BO1099" s="67">
        <f>(CK1099-Driver!$F$207)/(Driver!$G$207-Driver!$F$207)*$BI$1</f>
        <v>0.38262668045501552</v>
      </c>
      <c r="BP1099" s="67">
        <f>(CM1099-Driver!$F$208)/(Driver!$G$208-Driver!$F$208)*$BI$1</f>
        <v>0.6</v>
      </c>
      <c r="BQ1099" s="67">
        <f>(CL1099-Driver!$F$209)/(Driver!$G$209-Driver!$F$209)*$BI$1</f>
        <v>0.78125</v>
      </c>
      <c r="BR1099" s="28" t="s">
        <v>155</v>
      </c>
      <c r="BS1099" s="8" t="s">
        <v>202</v>
      </c>
      <c r="BT1099" s="9" t="s">
        <v>729</v>
      </c>
      <c r="BU1099" s="10">
        <v>155</v>
      </c>
      <c r="BV1099" s="9" t="s">
        <v>158</v>
      </c>
      <c r="BW1099" s="10">
        <v>155</v>
      </c>
      <c r="BX1099" s="10">
        <v>155.30000000000001</v>
      </c>
      <c r="BY1099" s="10">
        <v>135</v>
      </c>
      <c r="BZ1099" s="10">
        <v>141</v>
      </c>
      <c r="CA1099" s="10">
        <v>123</v>
      </c>
      <c r="CB1099" s="10">
        <v>74</v>
      </c>
      <c r="CC1099" s="10">
        <v>109</v>
      </c>
      <c r="CD1099" s="10">
        <v>11.8</v>
      </c>
      <c r="CE1099" s="10">
        <v>1474</v>
      </c>
      <c r="CF1099" s="10">
        <v>0.94</v>
      </c>
      <c r="CG1099" s="10">
        <v>1387</v>
      </c>
      <c r="CH1099" s="10">
        <v>147</v>
      </c>
      <c r="CI1099" s="10">
        <v>50</v>
      </c>
      <c r="CJ1099" s="10">
        <v>40</v>
      </c>
      <c r="CK1099" s="10">
        <v>147</v>
      </c>
      <c r="CL1099" s="10">
        <v>5</v>
      </c>
      <c r="CM1099" s="10">
        <v>54</v>
      </c>
      <c r="CN1099" s="10">
        <v>0.129</v>
      </c>
      <c r="CO1099" s="10">
        <v>84</v>
      </c>
      <c r="CP1099" s="10">
        <v>58</v>
      </c>
      <c r="CQ1099" s="10">
        <v>63</v>
      </c>
      <c r="CR1099" s="10">
        <v>7</v>
      </c>
      <c r="CS1099" s="10">
        <v>9.9</v>
      </c>
      <c r="CT1099" s="9" t="s">
        <v>349</v>
      </c>
      <c r="CU1099" s="10"/>
      <c r="CV1099" s="10"/>
      <c r="CW1099" s="10"/>
      <c r="CX1099" t="str">
        <f>INDEX('Data_Price '!AG$2:AG$1266,MATCH(Data!$DN1099,'Data_Price '!$AT$2:$AT$1266,0))</f>
        <v>Dynastar Omeglass Pro 155 cm Ski + Look NX12 Bindings Winter Sport Snow Ourdoor</v>
      </c>
      <c r="CY1099" t="str">
        <f>INDEX('Data_Price '!AH$2:AH$1266,MATCH(Data!$DN1099,'Data_Price '!$AT$2:$AT$1266,0))</f>
        <v>Traventuria</v>
      </c>
      <c r="CZ1099">
        <f>INDEX('Data_Price '!AI$2:AI$1266,MATCH(Data!$DN1099,'Data_Price '!$AT$2:$AT$1266,0))</f>
        <v>199.99</v>
      </c>
      <c r="DA1099" t="str">
        <f>INDEX('Data_Price '!AJ$2:AJ$1266,MATCH(Data!$DN1099,'Data_Price '!$AT$2:$AT$1266,0))</f>
        <v>https://tinyurl.com/y8mjhqb7</v>
      </c>
      <c r="DB1099">
        <f>INDEX('Data_Price '!AK$2:AK$1266,MATCH(Data!$DN1099,'Data_Price '!$AT$2:$AT$1266,0))</f>
        <v>0</v>
      </c>
      <c r="DC1099">
        <f>INDEX('Data_Price '!AL$2:AL$1266,MATCH(Data!$DN1099,'Data_Price '!$AT$2:$AT$1266,0))</f>
        <v>0</v>
      </c>
      <c r="DD1099">
        <f>INDEX('Data_Price '!AM$2:AM$1266,MATCH(Data!$DN1099,'Data_Price '!$AT$2:$AT$1266,0))</f>
        <v>0</v>
      </c>
      <c r="DE1099">
        <f>INDEX('Data_Price '!AN$2:AN$1266,MATCH(Data!$DN1099,'Data_Price '!$AT$2:$AT$1266,0))</f>
        <v>0</v>
      </c>
      <c r="DF1099">
        <f>INDEX('Data_Price '!AO$2:AO$1266,MATCH(Data!$DN1099,'Data_Price '!$AT$2:$AT$1266,0))</f>
        <v>0</v>
      </c>
      <c r="DG1099">
        <f>INDEX('Data_Price '!AP$2:AP$1266,MATCH(Data!$DN1099,'Data_Price '!$AT$2:$AT$1266,0))</f>
        <v>0</v>
      </c>
      <c r="DH1099">
        <f>INDEX('Data_Price '!AQ$2:AQ$1266,MATCH(Data!$DN1099,'Data_Price '!$AT$2:$AT$1266,0))</f>
        <v>0</v>
      </c>
      <c r="DI1099">
        <f>INDEX('Data_Price '!AR$2:AR$1266,MATCH(Data!$DN1099,'Data_Price '!$AT$2:$AT$1266,0))</f>
        <v>0</v>
      </c>
      <c r="DJ1099" s="89" t="str">
        <f t="shared" si="661"/>
        <v>https://tinyurl.com/y8mjhqb7</v>
      </c>
      <c r="DK1099" s="89">
        <f t="shared" si="662"/>
        <v>0</v>
      </c>
      <c r="DL1099" s="89">
        <f t="shared" si="663"/>
        <v>0</v>
      </c>
      <c r="DM1099" s="219" t="str">
        <f t="shared" si="664"/>
        <v>Speed 563</v>
      </c>
      <c r="DN1099" s="89" t="str">
        <f t="shared" si="665"/>
        <v xml:space="preserve"> DynastarSpeed 563155 Unisex</v>
      </c>
      <c r="DO1099" s="221"/>
    </row>
    <row r="1100" spans="2:119" ht="15.6" customHeight="1">
      <c r="B1100" s="219" t="b">
        <f t="array" ref="B1100">IF(OR(ISERROR(K1100:P1100)),FALSE,TRUE)</f>
        <v>1</v>
      </c>
      <c r="C1100" s="43" t="b">
        <f>OR(BR1100=Driver!$G$50,Data!BR1256=Driver!$H$50)</f>
        <v>1</v>
      </c>
      <c r="D1100" s="43" t="b">
        <f>OR(BV1100=Driver!$G$51,BV1100=Driver!$H$51)</f>
        <v>0</v>
      </c>
      <c r="E1100" s="43" t="b">
        <f>AND(BX1100&gt;Driver!$F$54,BX1100&lt;Driver!$G$54)</f>
        <v>1</v>
      </c>
      <c r="F1100" s="43" t="b">
        <f>CL1100&gt;Driver!$F$56</f>
        <v>1</v>
      </c>
      <c r="G1100" s="43" t="b">
        <f>AND(CB1100&gt;Driver!$F$55,CB1100&lt;Driver!$G$55)</f>
        <v>0</v>
      </c>
      <c r="H1100" s="43" t="b">
        <f t="shared" si="629"/>
        <v>0</v>
      </c>
      <c r="I1100" s="43">
        <f t="shared" si="630"/>
        <v>0</v>
      </c>
      <c r="J1100" s="43" t="b">
        <f t="array" ref="J1100">NOT(OR(($H$9:$H$1273=TRUE)*($I$9:$I$1273&gt;0)*($BT$9:$BT$1273=BT1100)*($K$9:$K$1273&gt;K1100)))</f>
        <v>1</v>
      </c>
      <c r="K1100" s="72">
        <f t="shared" si="631"/>
        <v>0.85932125320138664</v>
      </c>
      <c r="L1100" s="72">
        <f t="shared" si="632"/>
        <v>0.84818974388787405</v>
      </c>
      <c r="M1100" s="72">
        <f t="shared" si="633"/>
        <v>0.87045276251489923</v>
      </c>
      <c r="N1100" s="72">
        <f t="shared" si="634"/>
        <v>0.98008040172042388</v>
      </c>
      <c r="O1100" s="72">
        <f t="shared" si="635"/>
        <v>0.71744173955141854</v>
      </c>
      <c r="P1100" s="72">
        <f t="shared" si="636"/>
        <v>0.91383614627285514</v>
      </c>
      <c r="Q1100" s="72"/>
      <c r="R1100" s="72"/>
      <c r="S1100" s="72">
        <f t="shared" si="637"/>
        <v>0.41236271988625739</v>
      </c>
      <c r="T1100" s="72">
        <f t="shared" si="638"/>
        <v>0.44640578430220668</v>
      </c>
      <c r="U1100" s="72">
        <f t="shared" si="639"/>
        <v>0.51</v>
      </c>
      <c r="V1100" s="72">
        <f t="shared" si="640"/>
        <v>0.51121677707285418</v>
      </c>
      <c r="W1100" s="72">
        <f t="shared" si="641"/>
        <v>0.80426629348260692</v>
      </c>
      <c r="X1100" s="72">
        <f t="shared" si="642"/>
        <v>0.15181025611212595</v>
      </c>
      <c r="Y1100" s="72">
        <f t="shared" si="643"/>
        <v>0.12954723748510077</v>
      </c>
      <c r="Z1100" s="72">
        <f t="shared" si="644"/>
        <v>1.9919598279576081E-2</v>
      </c>
      <c r="AA1100" s="72">
        <f t="shared" si="645"/>
        <v>0.2825582604485814</v>
      </c>
      <c r="AB1100" s="72">
        <f t="shared" si="646"/>
        <v>8.6163853727144885E-2</v>
      </c>
      <c r="AC1100" s="72"/>
      <c r="AD1100" s="72"/>
      <c r="AE1100" s="72">
        <f t="shared" si="647"/>
        <v>0.58763728011374261</v>
      </c>
      <c r="AF1100" s="72">
        <f t="shared" si="648"/>
        <v>0.55359421569779332</v>
      </c>
      <c r="AG1100" s="72">
        <f t="shared" si="649"/>
        <v>0.49</v>
      </c>
      <c r="AH1100" s="72">
        <f t="shared" si="650"/>
        <v>0.48878322292714588</v>
      </c>
      <c r="AI1100" s="72">
        <f t="shared" si="651"/>
        <v>0.19573370651739305</v>
      </c>
      <c r="AJ1100" s="72">
        <f>(AV1100-Driver!$K$179)/(Driver!$L$179-Driver!$K$179)</f>
        <v>0.10240915317057447</v>
      </c>
      <c r="AK1100" s="72">
        <f>(AW1100-Driver!$K$180)/(Driver!$L$180-Driver!$K$180)</f>
        <v>0.15783350591179071</v>
      </c>
      <c r="AL1100" s="72">
        <f>(AX1100-Driver!$K$181)/(Driver!$L$181-Driver!$K$181)</f>
        <v>8.1768165433504097E-2</v>
      </c>
      <c r="AM1100" s="72">
        <f>(AY1100-Driver!$K$182)/(Driver!$L$182-Driver!$K$182)</f>
        <v>0.16482676064846496</v>
      </c>
      <c r="AN1100" s="72">
        <f>(AZ1100-Driver!$K$183)/(Driver!$L$183-Driver!$K$183)</f>
        <v>0.16805555555555554</v>
      </c>
      <c r="AO1100" s="72"/>
      <c r="AP1100" s="72"/>
      <c r="AQ1100" s="72">
        <f>(BC1100-Driver!$K$188)/(Driver!$L$188-Driver!$K$188)</f>
        <v>3.2362719886257371E-2</v>
      </c>
      <c r="AR1100" s="72">
        <f>MIN((BD1100-Driver!$K$189)/(Driver!$L$189-Driver!$K$189),100%)</f>
        <v>-3.5942156977932928E-3</v>
      </c>
      <c r="AS1100" s="72">
        <f>(BE1100-Driver!$K$190)/(Driver!$L$190-Driver!$K$190)</f>
        <v>1</v>
      </c>
      <c r="AT1100" s="72">
        <f>(BF1100-Driver!$K$191)/(Driver!$L$191-Driver!$K$191)</f>
        <v>2.1216777072854145E-2</v>
      </c>
      <c r="AU1100" s="72">
        <f>(BG1100-Driver!$K$192)/(Driver!$L$192-Driver!$K$192)</f>
        <v>5.4266293482606948E-2</v>
      </c>
      <c r="AV1100" s="70">
        <f t="shared" si="652"/>
        <v>2.1554063220729884</v>
      </c>
      <c r="AW1100" s="70">
        <f t="shared" si="653"/>
        <v>17.254166319696548</v>
      </c>
      <c r="AX1100" s="70">
        <f t="shared" si="654"/>
        <v>1.7359134889015368</v>
      </c>
      <c r="AY1100" s="70">
        <f>IFERROR(Driver!$K$19/Data!BH1100/Data!BI1100*Data!BK1100*Data!BL1100,"")</f>
        <v>0.20179713459247797</v>
      </c>
      <c r="AZ1100" s="70">
        <f t="shared" si="655"/>
        <v>15.316455696202532</v>
      </c>
      <c r="BA1100" s="70"/>
      <c r="BB1100" s="70"/>
      <c r="BC1100" s="70">
        <f t="shared" si="656"/>
        <v>16.786767786980334</v>
      </c>
      <c r="BD1100" s="70">
        <f t="shared" si="657"/>
        <v>1.4027411634163887</v>
      </c>
      <c r="BE1100" s="70">
        <f t="shared" si="658"/>
        <v>1</v>
      </c>
      <c r="BF1100" s="70">
        <f t="shared" si="659"/>
        <v>2.3962859140839408</v>
      </c>
      <c r="BG1100" s="70">
        <f t="shared" si="660"/>
        <v>0.20548680527788882</v>
      </c>
      <c r="BH1100" s="67">
        <f>MAX((CE1100-Driver!$F$200)/(Driver!$G$200-Driver!$F$200)*$BI$1,1)</f>
        <v>1.7359134889015368</v>
      </c>
      <c r="BI1100" s="67">
        <f>MAX($BI$1*(BY1100-Driver!$F$201)/(Driver!$G$201-Driver!$F$201),1)</f>
        <v>7.6582278481012658</v>
      </c>
      <c r="BJ1100" s="67">
        <f>(CB1100-Driver!$F$206)/(Driver!$G$206-Driver!$F$206)*$BI$1</f>
        <v>4.92063492063492</v>
      </c>
      <c r="BK1100" s="67">
        <f>(CD1100-Driver!$F$203)/(Driver!$G$203-Driver!$F$203)*$BI$1</f>
        <v>2.4311926605504586</v>
      </c>
      <c r="BL1100" s="67">
        <f>MAX((CR1100-Driver!$F$202)/(Driver!$G$202-Driver!$F$202)*$BI$1,1)</f>
        <v>5.5172413793103452</v>
      </c>
      <c r="BM1100" s="67">
        <f>MAX((CH1100-Driver!$F$204)/(Driver!$G$204-Driver!$F$204)*$BI$1,1)</f>
        <v>1.7521367521367521</v>
      </c>
      <c r="BN1100" s="67">
        <f>(CI1100-Driver!$F$205)/(Driver!$G$205-Driver!$F$205)*$BI$1</f>
        <v>2</v>
      </c>
      <c r="BO1100" s="67">
        <f>(CK1100-Driver!$F$207)/(Driver!$G$207-Driver!$F$207)*$BI$1</f>
        <v>1.6649431230610134</v>
      </c>
      <c r="BP1100" s="67">
        <f>(CM1100-Driver!$F$208)/(Driver!$G$208-Driver!$F$208)*$BI$1</f>
        <v>0.71111111111111114</v>
      </c>
      <c r="BQ1100" s="67">
        <f>(CL1100-Driver!$F$209)/(Driver!$G$209-Driver!$F$209)*$BI$1</f>
        <v>0.625</v>
      </c>
      <c r="BR1100" s="28" t="s">
        <v>155</v>
      </c>
      <c r="BS1100" s="8" t="s">
        <v>229</v>
      </c>
      <c r="BT1100" s="9" t="s">
        <v>854</v>
      </c>
      <c r="BU1100" s="10">
        <v>163</v>
      </c>
      <c r="BV1100" s="9" t="s">
        <v>163</v>
      </c>
      <c r="BW1100" s="10">
        <v>163</v>
      </c>
      <c r="BX1100" s="10">
        <v>162.19999999999999</v>
      </c>
      <c r="BY1100" s="10">
        <v>129</v>
      </c>
      <c r="BZ1100" s="10">
        <v>140</v>
      </c>
      <c r="CA1100" s="10">
        <v>137</v>
      </c>
      <c r="CB1100" s="10">
        <v>95</v>
      </c>
      <c r="CC1100" s="10">
        <v>118</v>
      </c>
      <c r="CD1100" s="10">
        <v>14.7</v>
      </c>
      <c r="CE1100" s="10">
        <v>1205</v>
      </c>
      <c r="CF1100" s="10">
        <v>1.45</v>
      </c>
      <c r="CG1100" s="10">
        <v>1750</v>
      </c>
      <c r="CH1100" s="10">
        <v>142</v>
      </c>
      <c r="CI1100" s="10">
        <v>67</v>
      </c>
      <c r="CJ1100" s="10">
        <v>37</v>
      </c>
      <c r="CK1100" s="10">
        <v>271</v>
      </c>
      <c r="CL1100" s="10">
        <v>4</v>
      </c>
      <c r="CM1100" s="10">
        <v>64</v>
      </c>
      <c r="CN1100" s="10">
        <v>0.11700000000000001</v>
      </c>
      <c r="CO1100" s="10">
        <v>128</v>
      </c>
      <c r="CP1100" s="10">
        <v>92</v>
      </c>
      <c r="CQ1100" s="10">
        <v>144</v>
      </c>
      <c r="CR1100" s="10">
        <v>5</v>
      </c>
      <c r="CS1100" s="10">
        <v>10.6</v>
      </c>
      <c r="CT1100" s="9" t="s">
        <v>185</v>
      </c>
      <c r="CU1100" s="9" t="s">
        <v>198</v>
      </c>
      <c r="CV1100" s="10"/>
      <c r="CW1100" s="10"/>
      <c r="CX1100" t="e">
        <f>INDEX('Data_Price '!AG$2:AG$1266,MATCH(Data!$DN1100,'Data_Price '!$AT$2:$AT$1266,0))</f>
        <v>#N/A</v>
      </c>
      <c r="CY1100" t="e">
        <f>INDEX('Data_Price '!AH$2:AH$1266,MATCH(Data!$DN1100,'Data_Price '!$AT$2:$AT$1266,0))</f>
        <v>#N/A</v>
      </c>
      <c r="CZ1100" t="e">
        <f>INDEX('Data_Price '!AI$2:AI$1266,MATCH(Data!$DN1100,'Data_Price '!$AT$2:$AT$1266,0))</f>
        <v>#N/A</v>
      </c>
      <c r="DA1100" t="e">
        <f>INDEX('Data_Price '!AJ$2:AJ$1266,MATCH(Data!$DN1100,'Data_Price '!$AT$2:$AT$1266,0))</f>
        <v>#N/A</v>
      </c>
      <c r="DB1100" t="e">
        <f>INDEX('Data_Price '!AK$2:AK$1266,MATCH(Data!$DN1100,'Data_Price '!$AT$2:$AT$1266,0))</f>
        <v>#N/A</v>
      </c>
      <c r="DC1100" t="e">
        <f>INDEX('Data_Price '!AL$2:AL$1266,MATCH(Data!$DN1100,'Data_Price '!$AT$2:$AT$1266,0))</f>
        <v>#N/A</v>
      </c>
      <c r="DD1100" t="e">
        <f>INDEX('Data_Price '!AM$2:AM$1266,MATCH(Data!$DN1100,'Data_Price '!$AT$2:$AT$1266,0))</f>
        <v>#N/A</v>
      </c>
      <c r="DE1100" t="e">
        <f>INDEX('Data_Price '!AN$2:AN$1266,MATCH(Data!$DN1100,'Data_Price '!$AT$2:$AT$1266,0))</f>
        <v>#N/A</v>
      </c>
      <c r="DF1100" t="e">
        <f>INDEX('Data_Price '!AO$2:AO$1266,MATCH(Data!$DN1100,'Data_Price '!$AT$2:$AT$1266,0))</f>
        <v>#N/A</v>
      </c>
      <c r="DG1100" t="e">
        <f>INDEX('Data_Price '!AP$2:AP$1266,MATCH(Data!$DN1100,'Data_Price '!$AT$2:$AT$1266,0))</f>
        <v>#N/A</v>
      </c>
      <c r="DH1100" t="e">
        <f>INDEX('Data_Price '!AQ$2:AQ$1266,MATCH(Data!$DN1100,'Data_Price '!$AT$2:$AT$1266,0))</f>
        <v>#N/A</v>
      </c>
      <c r="DI1100" t="e">
        <f>INDEX('Data_Price '!AR$2:AR$1266,MATCH(Data!$DN1100,'Data_Price '!$AT$2:$AT$1266,0))</f>
        <v>#N/A</v>
      </c>
      <c r="DJ1100" s="89" t="e">
        <f t="shared" si="661"/>
        <v>#N/A</v>
      </c>
      <c r="DK1100" s="89" t="e">
        <f t="shared" si="662"/>
        <v>#N/A</v>
      </c>
      <c r="DL1100" s="89" t="e">
        <f t="shared" si="663"/>
        <v>#N/A</v>
      </c>
      <c r="DM1100" s="219" t="str">
        <f t="shared" si="664"/>
        <v>Rise Beyond 96 W</v>
      </c>
      <c r="DN1100" s="89" t="str">
        <f t="shared" si="665"/>
        <v xml:space="preserve"> VölklRise Beyond 96 W163 Women's</v>
      </c>
      <c r="DO1100" s="221"/>
    </row>
    <row r="1101" spans="2:119" ht="15.6" customHeight="1">
      <c r="B1101" s="219" t="b">
        <f t="array" ref="B1101">IF(OR(ISERROR(K1101:P1101)),FALSE,TRUE)</f>
        <v>1</v>
      </c>
      <c r="C1101" s="43" t="b">
        <f>OR(BR1101=Driver!$G$50,Data!BR1068=Driver!$H$50)</f>
        <v>1</v>
      </c>
      <c r="D1101" s="43" t="b">
        <f>OR(BV1101=Driver!$G$51,BV1101=Driver!$H$51)</f>
        <v>1</v>
      </c>
      <c r="E1101" s="43" t="b">
        <f>AND(BX1101&gt;Driver!$F$54,BX1101&lt;Driver!$G$54)</f>
        <v>0</v>
      </c>
      <c r="F1101" s="43" t="b">
        <f>CL1101&gt;Driver!$F$56</f>
        <v>1</v>
      </c>
      <c r="G1101" s="43" t="b">
        <f>AND(CB1101&gt;Driver!$F$55,CB1101&lt;Driver!$G$55)</f>
        <v>1</v>
      </c>
      <c r="H1101" s="43" t="b">
        <f t="shared" si="629"/>
        <v>0</v>
      </c>
      <c r="I1101" s="43">
        <f t="shared" si="630"/>
        <v>0</v>
      </c>
      <c r="J1101" s="43" t="b">
        <f t="array" ref="J1101">NOT(OR(($H$9:$H$1273=TRUE)*($I$9:$I$1273&gt;0)*($BT$9:$BT$1273=BT1101)*($K$9:$K$1273&gt;K1101)))</f>
        <v>1</v>
      </c>
      <c r="K1101" s="72">
        <f t="shared" si="631"/>
        <v>0.65591379094648761</v>
      </c>
      <c r="L1101" s="72">
        <f t="shared" si="632"/>
        <v>0.68053477468436041</v>
      </c>
      <c r="M1101" s="72">
        <f t="shared" si="633"/>
        <v>0.63129280720861503</v>
      </c>
      <c r="N1101" s="72">
        <f t="shared" si="634"/>
        <v>0.37551309729936988</v>
      </c>
      <c r="O1101" s="72">
        <f t="shared" si="635"/>
        <v>0.65875375818102944</v>
      </c>
      <c r="P1101" s="72">
        <f t="shared" si="636"/>
        <v>0.85961156614544554</v>
      </c>
      <c r="Q1101" s="72"/>
      <c r="R1101" s="72"/>
      <c r="S1101" s="72">
        <f t="shared" si="637"/>
        <v>0.53272783845402283</v>
      </c>
      <c r="T1101" s="72">
        <f t="shared" si="638"/>
        <v>0.538298119111422</v>
      </c>
      <c r="U1101" s="72">
        <f t="shared" si="639"/>
        <v>0.51088108470440852</v>
      </c>
      <c r="V1101" s="72">
        <f t="shared" si="640"/>
        <v>0.6080398871072048</v>
      </c>
      <c r="W1101" s="72">
        <f t="shared" si="641"/>
        <v>0.76655669744390509</v>
      </c>
      <c r="X1101" s="72">
        <f t="shared" si="642"/>
        <v>0.31946522531563964</v>
      </c>
      <c r="Y1101" s="72">
        <f t="shared" si="643"/>
        <v>0.36870719279138503</v>
      </c>
      <c r="Z1101" s="72">
        <f t="shared" si="644"/>
        <v>0.62448690270063012</v>
      </c>
      <c r="AA1101" s="72">
        <f t="shared" si="645"/>
        <v>0.34124624181897062</v>
      </c>
      <c r="AB1101" s="72">
        <f t="shared" si="646"/>
        <v>0.14038843385455441</v>
      </c>
      <c r="AC1101" s="72"/>
      <c r="AD1101" s="72"/>
      <c r="AE1101" s="72">
        <f t="shared" si="647"/>
        <v>0.46727216154597712</v>
      </c>
      <c r="AF1101" s="72">
        <f t="shared" si="648"/>
        <v>0.46170188088857805</v>
      </c>
      <c r="AG1101" s="72">
        <f t="shared" si="649"/>
        <v>0.48911891529559154</v>
      </c>
      <c r="AH1101" s="72">
        <f t="shared" si="650"/>
        <v>0.39196011289279525</v>
      </c>
      <c r="AI1101" s="72">
        <f t="shared" si="651"/>
        <v>0.23344330255609491</v>
      </c>
      <c r="AJ1101" s="72">
        <f>(AV1101-Driver!$K$179)/(Driver!$L$179-Driver!$K$179)</f>
        <v>0.57368463459834007</v>
      </c>
      <c r="AK1101" s="72">
        <f>(AW1101-Driver!$K$180)/(Driver!$L$180-Driver!$K$180)</f>
        <v>0.42846677712015668</v>
      </c>
      <c r="AL1101" s="72">
        <f>(AX1101-Driver!$K$181)/(Driver!$L$181-Driver!$K$181)</f>
        <v>0.72617466641371031</v>
      </c>
      <c r="AM1101" s="72">
        <f>(AY1101-Driver!$K$182)/(Driver!$L$182-Driver!$K$182)</f>
        <v>0.10613877927807576</v>
      </c>
      <c r="AN1101" s="72">
        <f>(AZ1101-Driver!$K$183)/(Driver!$L$183-Driver!$K$183)</f>
        <v>0.39460784313725483</v>
      </c>
      <c r="AO1101" s="72"/>
      <c r="AP1101" s="72"/>
      <c r="AQ1101" s="72">
        <f>(BC1101-Driver!$K$188)/(Driver!$L$188-Driver!$K$188)</f>
        <v>0.15272783845402288</v>
      </c>
      <c r="AR1101" s="72">
        <f>MIN((BD1101-Driver!$K$189)/(Driver!$L$189-Driver!$K$189),100%)</f>
        <v>8.8298119111422005E-2</v>
      </c>
      <c r="AS1101" s="72">
        <f>(BE1101-Driver!$K$190)/(Driver!$L$190-Driver!$K$190)</f>
        <v>2.0881084704408467E-2</v>
      </c>
      <c r="AT1101" s="72">
        <f>(BF1101-Driver!$K$191)/(Driver!$L$191-Driver!$K$191)</f>
        <v>0.11803988710720474</v>
      </c>
      <c r="AU1101" s="72">
        <f>(BG1101-Driver!$K$192)/(Driver!$L$192-Driver!$K$192)</f>
        <v>1.6556697443905085E-2</v>
      </c>
      <c r="AV1101" s="70">
        <f t="shared" si="652"/>
        <v>12.07434540767874</v>
      </c>
      <c r="AW1101" s="70">
        <f t="shared" si="653"/>
        <v>43.629776653685013</v>
      </c>
      <c r="AX1101" s="70">
        <f t="shared" si="654"/>
        <v>7.5355719977233928</v>
      </c>
      <c r="AY1101" s="70">
        <f>IFERROR(Driver!$K$19/Data!BH1101/Data!BI1101*Data!BK1101*Data!BL1101,"")</f>
        <v>0.12994553459155564</v>
      </c>
      <c r="AZ1101" s="70">
        <f t="shared" si="655"/>
        <v>35.964259121370063</v>
      </c>
      <c r="BA1101" s="70"/>
      <c r="BB1101" s="70"/>
      <c r="BC1101" s="70">
        <f t="shared" si="656"/>
        <v>79.220991552809267</v>
      </c>
      <c r="BD1101" s="70">
        <f t="shared" si="657"/>
        <v>9.5350499704494389</v>
      </c>
      <c r="BE1101" s="70">
        <f t="shared" si="658"/>
        <v>2.1055748498444386E-2</v>
      </c>
      <c r="BF1101" s="70">
        <f t="shared" si="659"/>
        <v>13.331775971618033</v>
      </c>
      <c r="BG1101" s="70">
        <f t="shared" si="660"/>
        <v>6.2694218553752665E-2</v>
      </c>
      <c r="BH1101" s="67">
        <f>MAX((CE1101-Driver!$F$200)/(Driver!$G$200-Driver!$F$200)*$BI$1,1)</f>
        <v>7.5355719977233928</v>
      </c>
      <c r="BI1101" s="67">
        <f>MAX($BI$1*(BY1101-Driver!$F$201)/(Driver!$G$201-Driver!$F$201),1)</f>
        <v>6.6455696202531644</v>
      </c>
      <c r="BJ1101" s="67">
        <f>(CB1101-Driver!$F$206)/(Driver!$G$206-Driver!$F$206)*$BI$1</f>
        <v>6.3492063492063489</v>
      </c>
      <c r="BK1101" s="67">
        <f>(CD1101-Driver!$F$203)/(Driver!$G$203-Driver!$F$203)*$BI$1</f>
        <v>5.5504587155963305</v>
      </c>
      <c r="BL1101" s="67">
        <f>MAX((CR1101-Driver!$F$202)/(Driver!$G$202-Driver!$F$202)*$BI$1,1)</f>
        <v>5.8620689655172411</v>
      </c>
      <c r="BM1101" s="67">
        <f>MAX((CH1101-Driver!$F$204)/(Driver!$G$204-Driver!$F$204)*$BI$1,1)</f>
        <v>7.6068376068376065</v>
      </c>
      <c r="BN1101" s="67">
        <f>(CI1101-Driver!$F$205)/(Driver!$G$205-Driver!$F$205)*$BI$1</f>
        <v>5.4117647058823524</v>
      </c>
      <c r="BO1101" s="67">
        <f>(CK1101-Driver!$F$207)/(Driver!$G$207-Driver!$F$207)*$BI$1</f>
        <v>3.3298862461220269</v>
      </c>
      <c r="BP1101" s="67">
        <f>(CM1101-Driver!$F$208)/(Driver!$G$208-Driver!$F$208)*$BI$1</f>
        <v>3.5</v>
      </c>
      <c r="BQ1101" s="67">
        <f>(CL1101-Driver!$F$209)/(Driver!$G$209-Driver!$F$209)*$BI$1</f>
        <v>3.59375</v>
      </c>
      <c r="BR1101" s="28" t="s">
        <v>155</v>
      </c>
      <c r="BS1101" s="8" t="s">
        <v>174</v>
      </c>
      <c r="BT1101" s="9" t="s">
        <v>438</v>
      </c>
      <c r="BU1101" s="10">
        <v>188</v>
      </c>
      <c r="BV1101" s="9" t="s">
        <v>158</v>
      </c>
      <c r="BW1101" s="10">
        <v>188</v>
      </c>
      <c r="BX1101" s="10">
        <v>187.7</v>
      </c>
      <c r="BY1101" s="10">
        <v>113</v>
      </c>
      <c r="BZ1101" s="10">
        <v>157</v>
      </c>
      <c r="CA1101" s="10">
        <v>139</v>
      </c>
      <c r="CB1101" s="10">
        <v>104</v>
      </c>
      <c r="CC1101" s="10">
        <v>125</v>
      </c>
      <c r="CD1101" s="10">
        <v>21.5</v>
      </c>
      <c r="CE1101" s="10">
        <v>2224</v>
      </c>
      <c r="CF1101" s="10">
        <v>0.97</v>
      </c>
      <c r="CG1101" s="10">
        <v>2167</v>
      </c>
      <c r="CH1101" s="10">
        <v>279</v>
      </c>
      <c r="CI1101" s="10">
        <v>125</v>
      </c>
      <c r="CJ1101" s="10">
        <v>61</v>
      </c>
      <c r="CK1101" s="10">
        <v>432</v>
      </c>
      <c r="CL1101" s="10">
        <v>23</v>
      </c>
      <c r="CM1101" s="10">
        <v>315</v>
      </c>
      <c r="CN1101" s="10">
        <v>0.377</v>
      </c>
      <c r="CO1101" s="10">
        <v>183</v>
      </c>
      <c r="CP1101" s="10">
        <v>125</v>
      </c>
      <c r="CQ1101" s="10">
        <v>249</v>
      </c>
      <c r="CR1101" s="10">
        <v>6</v>
      </c>
      <c r="CS1101" s="10">
        <v>7.6</v>
      </c>
      <c r="CT1101" s="9" t="s">
        <v>188</v>
      </c>
      <c r="CU1101" s="9" t="s">
        <v>169</v>
      </c>
      <c r="CV1101" s="9" t="s">
        <v>178</v>
      </c>
      <c r="CW1101" s="10"/>
      <c r="CX1101" t="str">
        <f>INDEX('Data_Price '!AG$2:AG$1266,MATCH(Data!$DN1101,'Data_Price '!$AT$2:$AT$1266,0))</f>
        <v>Salomon QST 106 Skis 188cm 2021</v>
      </c>
      <c r="CY1101" t="str">
        <f>INDEX('Data_Price '!AH$2:AH$1266,MATCH(Data!$DN1101,'Data_Price '!$AT$2:$AT$1266,0))</f>
        <v>Powder7 Ski Shop</v>
      </c>
      <c r="CZ1101">
        <f>INDEX('Data_Price '!AI$2:AI$1266,MATCH(Data!$DN1101,'Data_Price '!$AT$2:$AT$1266,0))</f>
        <v>479.93</v>
      </c>
      <c r="DA1101" t="str">
        <f>INDEX('Data_Price '!AJ$2:AJ$1266,MATCH(Data!$DN1101,'Data_Price '!$AT$2:$AT$1266,0))</f>
        <v>https://tinyurl.com/y8dvre2f</v>
      </c>
      <c r="DB1101" t="str">
        <f>INDEX('Data_Price '!AK$2:AK$1266,MATCH(Data!$DN1101,'Data_Price '!$AT$2:$AT$1266,0))</f>
        <v>2022 Salomon QST 106 Demo Skis w/ Salomon Warden MNC 13 Demo Bindings - 188| Ski Essentials</v>
      </c>
      <c r="DC1101" t="str">
        <f>INDEX('Data_Price '!AL$2:AL$1266,MATCH(Data!$DN1101,'Data_Price '!$AT$2:$AT$1266,0))</f>
        <v>SkiEssentials.com</v>
      </c>
      <c r="DD1101">
        <f>INDEX('Data_Price '!AM$2:AM$1266,MATCH(Data!$DN1101,'Data_Price '!$AT$2:$AT$1266,0))</f>
        <v>599</v>
      </c>
      <c r="DE1101" t="str">
        <f>INDEX('Data_Price '!AN$2:AN$1266,MATCH(Data!$DN1101,'Data_Price '!$AT$2:$AT$1266,0))</f>
        <v>https://tinyurl.com/y87vphxm</v>
      </c>
      <c r="DF1101" t="str">
        <f>INDEX('Data_Price '!AO$2:AO$1266,MATCH(Data!$DN1101,'Data_Price '!$AT$2:$AT$1266,0))</f>
        <v>'22 Salomon QST 106 Skis 188cm</v>
      </c>
      <c r="DG1101" t="str">
        <f>INDEX('Data_Price '!AP$2:AP$1266,MATCH(Data!$DN1101,'Data_Price '!$AT$2:$AT$1266,0))</f>
        <v>Al's Ski Equipment Barn</v>
      </c>
      <c r="DH1101">
        <f>INDEX('Data_Price '!AQ$2:AQ$1266,MATCH(Data!$DN1101,'Data_Price '!$AT$2:$AT$1266,0))</f>
        <v>629.95000000000005</v>
      </c>
      <c r="DI1101" t="str">
        <f>INDEX('Data_Price '!AR$2:AR$1266,MATCH(Data!$DN1101,'Data_Price '!$AT$2:$AT$1266,0))</f>
        <v>https://tinyurl.com/ya68r4ad</v>
      </c>
      <c r="DJ1101" s="89" t="str">
        <f t="shared" si="661"/>
        <v>https://tinyurl.com/y8dvre2f</v>
      </c>
      <c r="DK1101" s="89" t="str">
        <f t="shared" si="662"/>
        <v>https://tinyurl.com/y87vphxm</v>
      </c>
      <c r="DL1101" s="89" t="str">
        <f t="shared" si="663"/>
        <v>https://tinyurl.com/ya68r4ad</v>
      </c>
      <c r="DM1101" s="219" t="str">
        <f t="shared" si="664"/>
        <v>QST 106</v>
      </c>
      <c r="DN1101" s="89" t="str">
        <f t="shared" si="665"/>
        <v xml:space="preserve"> SalomonQST 106188 Unisex</v>
      </c>
      <c r="DO1101" s="221" t="s">
        <v>439</v>
      </c>
    </row>
    <row r="1102" spans="2:119" ht="15.6" customHeight="1">
      <c r="B1102" s="219" t="b">
        <f t="array" ref="B1102">IF(OR(ISERROR(K1102:P1102)),FALSE,TRUE)</f>
        <v>1</v>
      </c>
      <c r="C1102" s="43" t="b">
        <f>OR(BR1102=Driver!$G$50,Data!BR1267=Driver!$H$50)</f>
        <v>1</v>
      </c>
      <c r="D1102" s="43" t="b">
        <f>OR(BV1102=Driver!$G$51,BV1102=Driver!$H$51)</f>
        <v>0</v>
      </c>
      <c r="E1102" s="43" t="b">
        <f>AND(BX1102&gt;Driver!$F$54,BX1102&lt;Driver!$G$54)</f>
        <v>1</v>
      </c>
      <c r="F1102" s="43" t="b">
        <f>CL1102&gt;Driver!$F$56</f>
        <v>1</v>
      </c>
      <c r="G1102" s="43" t="b">
        <f>AND(CB1102&gt;Driver!$F$55,CB1102&lt;Driver!$G$55)</f>
        <v>0</v>
      </c>
      <c r="H1102" s="43" t="b">
        <f t="shared" si="629"/>
        <v>0</v>
      </c>
      <c r="I1102" s="43">
        <f t="shared" si="630"/>
        <v>0</v>
      </c>
      <c r="J1102" s="43" t="b">
        <f t="array" ref="J1102">NOT(OR(($H$9:$H$1273=TRUE)*($I$9:$I$1273&gt;0)*($BT$9:$BT$1273=BT1102)*($K$9:$K$1273&gt;K1102)))</f>
        <v>1</v>
      </c>
      <c r="K1102" s="72">
        <f t="shared" si="631"/>
        <v>0.82172296697256275</v>
      </c>
      <c r="L1102" s="72">
        <f t="shared" si="632"/>
        <v>0.80379364365421035</v>
      </c>
      <c r="M1102" s="72">
        <f t="shared" si="633"/>
        <v>0.83965229029091526</v>
      </c>
      <c r="N1102" s="72">
        <f t="shared" si="634"/>
        <v>0.98387330725320543</v>
      </c>
      <c r="O1102" s="72">
        <f t="shared" si="635"/>
        <v>0.64596146963426693</v>
      </c>
      <c r="P1102" s="72">
        <f t="shared" si="636"/>
        <v>0.88912209398527342</v>
      </c>
      <c r="Q1102" s="72"/>
      <c r="R1102" s="72"/>
      <c r="S1102" s="72">
        <f t="shared" si="637"/>
        <v>0.40845162261222179</v>
      </c>
      <c r="T1102" s="72">
        <f t="shared" si="638"/>
        <v>0.49007256251060316</v>
      </c>
      <c r="U1102" s="72">
        <f t="shared" si="639"/>
        <v>0.51</v>
      </c>
      <c r="V1102" s="72">
        <f t="shared" si="640"/>
        <v>0.49898804861211032</v>
      </c>
      <c r="W1102" s="72">
        <f t="shared" si="641"/>
        <v>0.8769250690607735</v>
      </c>
      <c r="X1102" s="72">
        <f t="shared" si="642"/>
        <v>0.19620635634578965</v>
      </c>
      <c r="Y1102" s="72">
        <f t="shared" si="643"/>
        <v>0.16034770970908474</v>
      </c>
      <c r="Z1102" s="72">
        <f t="shared" si="644"/>
        <v>1.6126692746794596E-2</v>
      </c>
      <c r="AA1102" s="72">
        <f t="shared" si="645"/>
        <v>0.35403853036573307</v>
      </c>
      <c r="AB1102" s="72">
        <f t="shared" si="646"/>
        <v>0.11087790601472655</v>
      </c>
      <c r="AC1102" s="72"/>
      <c r="AD1102" s="72"/>
      <c r="AE1102" s="72">
        <f t="shared" si="647"/>
        <v>0.59154837738777821</v>
      </c>
      <c r="AF1102" s="72">
        <f t="shared" si="648"/>
        <v>0.50992743748939684</v>
      </c>
      <c r="AG1102" s="72">
        <f t="shared" si="649"/>
        <v>0.49</v>
      </c>
      <c r="AH1102" s="72">
        <f t="shared" si="650"/>
        <v>0.50101195138788968</v>
      </c>
      <c r="AI1102" s="72">
        <f t="shared" si="651"/>
        <v>0.12307493093922653</v>
      </c>
      <c r="AJ1102" s="72">
        <f>(AV1102-Driver!$K$179)/(Driver!$L$179-Driver!$K$179)</f>
        <v>5.8013052936910794E-2</v>
      </c>
      <c r="AK1102" s="72">
        <f>(AW1102-Driver!$K$180)/(Driver!$L$180-Driver!$K$180)</f>
        <v>0.13715281566487469</v>
      </c>
      <c r="AL1102" s="72">
        <f>(AX1102-Driver!$K$181)/(Driver!$L$181-Driver!$K$181)</f>
        <v>0.11781445645987478</v>
      </c>
      <c r="AM1102" s="72">
        <f>(AY1102-Driver!$K$182)/(Driver!$L$182-Driver!$K$182)</f>
        <v>9.3346490731313306E-2</v>
      </c>
      <c r="AN1102" s="72">
        <f>(AZ1102-Driver!$K$183)/(Driver!$L$183-Driver!$K$183)</f>
        <v>0.14334150326797387</v>
      </c>
      <c r="AO1102" s="72"/>
      <c r="AP1102" s="72"/>
      <c r="AQ1102" s="72">
        <f>(BC1102-Driver!$K$188)/(Driver!$L$188-Driver!$K$188)</f>
        <v>2.8451622612221804E-2</v>
      </c>
      <c r="AR1102" s="72">
        <f>MIN((BD1102-Driver!$K$189)/(Driver!$L$189-Driver!$K$189),100%)</f>
        <v>4.0072562510603163E-2</v>
      </c>
      <c r="AS1102" s="72">
        <f>(BE1102-Driver!$K$190)/(Driver!$L$190-Driver!$K$190)</f>
        <v>1</v>
      </c>
      <c r="AT1102" s="72">
        <f>(BF1102-Driver!$K$191)/(Driver!$L$191-Driver!$K$191)</f>
        <v>8.9880486121103834E-3</v>
      </c>
      <c r="AU1102" s="72">
        <f>(BG1102-Driver!$K$192)/(Driver!$L$192-Driver!$K$192)</f>
        <v>0.12692506906077347</v>
      </c>
      <c r="AV1102" s="70">
        <f t="shared" si="652"/>
        <v>1.2210012210012209</v>
      </c>
      <c r="AW1102" s="70">
        <f t="shared" si="653"/>
        <v>15.238649805577309</v>
      </c>
      <c r="AX1102" s="70">
        <f t="shared" si="654"/>
        <v>2.060330108138873</v>
      </c>
      <c r="AY1102" s="70">
        <f>IFERROR(Driver!$K$19/Data!BH1102/Data!BI1102*Data!BK1102*Data!BL1102,"")</f>
        <v>0.11428395655980368</v>
      </c>
      <c r="AZ1102" s="70">
        <f t="shared" si="655"/>
        <v>13.064035740878632</v>
      </c>
      <c r="BA1102" s="70"/>
      <c r="BB1102" s="70"/>
      <c r="BC1102" s="70">
        <f t="shared" si="656"/>
        <v>14.758054441430948</v>
      </c>
      <c r="BD1102" s="70">
        <f t="shared" si="657"/>
        <v>5.2671736619068881</v>
      </c>
      <c r="BE1102" s="70">
        <f t="shared" si="658"/>
        <v>1</v>
      </c>
      <c r="BF1102" s="70">
        <f t="shared" si="659"/>
        <v>1.0151369461226316</v>
      </c>
      <c r="BG1102" s="70">
        <f t="shared" si="660"/>
        <v>0.48061928090469619</v>
      </c>
      <c r="BH1102" s="67">
        <f>MAX((CE1102-Driver!$F$200)/(Driver!$G$200-Driver!$F$200)*$BI$1,1)</f>
        <v>2.060330108138873</v>
      </c>
      <c r="BI1102" s="67">
        <f>MAX($BI$1*(BY1102-Driver!$F$201)/(Driver!$G$201-Driver!$F$201),1)</f>
        <v>7.6582278481012658</v>
      </c>
      <c r="BJ1102" s="67">
        <f>(CB1102-Driver!$F$206)/(Driver!$G$206-Driver!$F$206)*$BI$1</f>
        <v>2.3809523809523809</v>
      </c>
      <c r="BK1102" s="67">
        <f>(CD1102-Driver!$F$203)/(Driver!$G$203-Driver!$F$203)*$BI$1</f>
        <v>1.7431192660550456</v>
      </c>
      <c r="BL1102" s="67">
        <f>MAX((CR1102-Driver!$F$202)/(Driver!$G$202-Driver!$F$202)*$BI$1,1)</f>
        <v>5.1724137931034484</v>
      </c>
      <c r="BM1102" s="67">
        <f>MAX((CH1102-Driver!$F$204)/(Driver!$G$204-Driver!$F$204)*$BI$1,1)</f>
        <v>2.0512820512820511</v>
      </c>
      <c r="BN1102" s="67">
        <f>(CI1102-Driver!$F$205)/(Driver!$G$205-Driver!$F$205)*$BI$1</f>
        <v>1.7058823529411766</v>
      </c>
      <c r="BO1102" s="67">
        <f>(CK1102-Driver!$F$207)/(Driver!$G$207-Driver!$F$207)*$BI$1</f>
        <v>0.68252326783867623</v>
      </c>
      <c r="BP1102" s="67">
        <f>(CM1102-Driver!$F$208)/(Driver!$G$208-Driver!$F$208)*$BI$1</f>
        <v>1.0888888888888888</v>
      </c>
      <c r="BQ1102" s="67">
        <f>(CL1102-Driver!$F$209)/(Driver!$G$209-Driver!$F$209)*$BI$1</f>
        <v>2.03125</v>
      </c>
      <c r="BR1102" s="28" t="s">
        <v>155</v>
      </c>
      <c r="BS1102" s="8" t="s">
        <v>229</v>
      </c>
      <c r="BT1102" s="9" t="s">
        <v>807</v>
      </c>
      <c r="BU1102" s="10">
        <v>154</v>
      </c>
      <c r="BV1102" s="9" t="s">
        <v>163</v>
      </c>
      <c r="BW1102" s="10">
        <v>154</v>
      </c>
      <c r="BX1102" s="10">
        <v>156.4</v>
      </c>
      <c r="BY1102" s="10">
        <v>129</v>
      </c>
      <c r="BZ1102" s="10">
        <v>131</v>
      </c>
      <c r="CA1102" s="10">
        <v>120</v>
      </c>
      <c r="CB1102" s="10">
        <v>79</v>
      </c>
      <c r="CC1102" s="10">
        <v>102</v>
      </c>
      <c r="CD1102" s="10">
        <v>13.2</v>
      </c>
      <c r="CE1102" s="10">
        <v>1262</v>
      </c>
      <c r="CF1102" s="10">
        <v>1.1399999999999999</v>
      </c>
      <c r="CG1102" s="10">
        <v>1445</v>
      </c>
      <c r="CH1102" s="10">
        <v>149</v>
      </c>
      <c r="CI1102" s="10">
        <v>62</v>
      </c>
      <c r="CJ1102" s="10">
        <v>41</v>
      </c>
      <c r="CK1102" s="10">
        <v>176</v>
      </c>
      <c r="CL1102" s="10">
        <v>13</v>
      </c>
      <c r="CM1102" s="10">
        <v>98</v>
      </c>
      <c r="CN1102" s="10">
        <v>0.311</v>
      </c>
      <c r="CO1102" s="10">
        <v>142</v>
      </c>
      <c r="CP1102" s="10">
        <v>108</v>
      </c>
      <c r="CQ1102" s="10">
        <v>34</v>
      </c>
      <c r="CR1102" s="10">
        <v>4</v>
      </c>
      <c r="CS1102" s="10">
        <v>11.4</v>
      </c>
      <c r="CT1102" s="9" t="s">
        <v>231</v>
      </c>
      <c r="CU1102" s="9" t="s">
        <v>185</v>
      </c>
      <c r="CV1102" s="10"/>
      <c r="CW1102" s="10"/>
      <c r="CX1102" t="e">
        <f>INDEX('Data_Price '!AG$2:AG$1266,MATCH(Data!$DN1102,'Data_Price '!$AT$2:$AT$1266,0))</f>
        <v>#N/A</v>
      </c>
      <c r="CY1102" t="e">
        <f>INDEX('Data_Price '!AH$2:AH$1266,MATCH(Data!$DN1102,'Data_Price '!$AT$2:$AT$1266,0))</f>
        <v>#N/A</v>
      </c>
      <c r="CZ1102" t="e">
        <f>INDEX('Data_Price '!AI$2:AI$1266,MATCH(Data!$DN1102,'Data_Price '!$AT$2:$AT$1266,0))</f>
        <v>#N/A</v>
      </c>
      <c r="DA1102" t="e">
        <f>INDEX('Data_Price '!AJ$2:AJ$1266,MATCH(Data!$DN1102,'Data_Price '!$AT$2:$AT$1266,0))</f>
        <v>#N/A</v>
      </c>
      <c r="DB1102" t="e">
        <f>INDEX('Data_Price '!AK$2:AK$1266,MATCH(Data!$DN1102,'Data_Price '!$AT$2:$AT$1266,0))</f>
        <v>#N/A</v>
      </c>
      <c r="DC1102" t="e">
        <f>INDEX('Data_Price '!AL$2:AL$1266,MATCH(Data!$DN1102,'Data_Price '!$AT$2:$AT$1266,0))</f>
        <v>#N/A</v>
      </c>
      <c r="DD1102" t="e">
        <f>INDEX('Data_Price '!AM$2:AM$1266,MATCH(Data!$DN1102,'Data_Price '!$AT$2:$AT$1266,0))</f>
        <v>#N/A</v>
      </c>
      <c r="DE1102" t="e">
        <f>INDEX('Data_Price '!AN$2:AN$1266,MATCH(Data!$DN1102,'Data_Price '!$AT$2:$AT$1266,0))</f>
        <v>#N/A</v>
      </c>
      <c r="DF1102" t="e">
        <f>INDEX('Data_Price '!AO$2:AO$1266,MATCH(Data!$DN1102,'Data_Price '!$AT$2:$AT$1266,0))</f>
        <v>#N/A</v>
      </c>
      <c r="DG1102" t="e">
        <f>INDEX('Data_Price '!AP$2:AP$1266,MATCH(Data!$DN1102,'Data_Price '!$AT$2:$AT$1266,0))</f>
        <v>#N/A</v>
      </c>
      <c r="DH1102" t="e">
        <f>INDEX('Data_Price '!AQ$2:AQ$1266,MATCH(Data!$DN1102,'Data_Price '!$AT$2:$AT$1266,0))</f>
        <v>#N/A</v>
      </c>
      <c r="DI1102" t="e">
        <f>INDEX('Data_Price '!AR$2:AR$1266,MATCH(Data!$DN1102,'Data_Price '!$AT$2:$AT$1266,0))</f>
        <v>#N/A</v>
      </c>
      <c r="DJ1102" s="89" t="e">
        <f t="shared" si="661"/>
        <v>#N/A</v>
      </c>
      <c r="DK1102" s="89" t="e">
        <f t="shared" si="662"/>
        <v>#N/A</v>
      </c>
      <c r="DL1102" s="89" t="e">
        <f t="shared" si="663"/>
        <v>#N/A</v>
      </c>
      <c r="DM1102" s="219" t="str">
        <f t="shared" si="664"/>
        <v>Yumi 80</v>
      </c>
      <c r="DN1102" s="89" t="str">
        <f t="shared" si="665"/>
        <v xml:space="preserve"> VölklYumi 80154 Women's</v>
      </c>
      <c r="DO1102" s="221"/>
    </row>
    <row r="1103" spans="2:119" ht="15.6" customHeight="1">
      <c r="B1103" s="219" t="b">
        <f t="array" ref="B1103">IF(OR(ISERROR(K1103:P1103)),FALSE,TRUE)</f>
        <v>1</v>
      </c>
      <c r="C1103" s="43" t="b">
        <f>OR(BR1103=Driver!$G$50,Data!BR1251=Driver!$H$50)</f>
        <v>1</v>
      </c>
      <c r="D1103" s="43" t="b">
        <f>OR(BV1103=Driver!$G$51,BV1103=Driver!$H$51)</f>
        <v>1</v>
      </c>
      <c r="E1103" s="43" t="b">
        <f>AND(BX1103&gt;Driver!$F$54,BX1103&lt;Driver!$G$54)</f>
        <v>1</v>
      </c>
      <c r="F1103" s="43" t="b">
        <f>CL1103&gt;Driver!$F$56</f>
        <v>1</v>
      </c>
      <c r="G1103" s="43" t="b">
        <f>AND(CB1103&gt;Driver!$F$55,CB1103&lt;Driver!$G$55)</f>
        <v>0</v>
      </c>
      <c r="H1103" s="43" t="b">
        <f t="shared" si="629"/>
        <v>0</v>
      </c>
      <c r="I1103" s="43">
        <f t="shared" si="630"/>
        <v>0</v>
      </c>
      <c r="J1103" s="43" t="b">
        <f t="array" ref="J1103">NOT(OR(($H$9:$H$1273=TRUE)*($I$9:$I$1273&gt;0)*($BT$9:$BT$1273=BT1103)*($K$9:$K$1273&gt;K1103)))</f>
        <v>1</v>
      </c>
      <c r="K1103" s="72">
        <f t="shared" si="631"/>
        <v>0.85494004759908238</v>
      </c>
      <c r="L1103" s="72">
        <f t="shared" si="632"/>
        <v>0.85068752811154658</v>
      </c>
      <c r="M1103" s="72">
        <f t="shared" si="633"/>
        <v>0.85919256708661818</v>
      </c>
      <c r="N1103" s="72">
        <f t="shared" si="634"/>
        <v>0.95035802140043402</v>
      </c>
      <c r="O1103" s="72">
        <f t="shared" si="635"/>
        <v>0.71755020025323213</v>
      </c>
      <c r="P1103" s="72">
        <f t="shared" si="636"/>
        <v>0.90966947960618849</v>
      </c>
      <c r="Q1103" s="72"/>
      <c r="R1103" s="72"/>
      <c r="S1103" s="72">
        <f t="shared" si="637"/>
        <v>0.40977390415233406</v>
      </c>
      <c r="T1103" s="72">
        <f t="shared" si="638"/>
        <v>0.44329448516003633</v>
      </c>
      <c r="U1103" s="72">
        <f t="shared" si="639"/>
        <v>0.51</v>
      </c>
      <c r="V1103" s="72">
        <f t="shared" si="640"/>
        <v>0.51661494782647188</v>
      </c>
      <c r="W1103" s="72">
        <f t="shared" si="641"/>
        <v>0.82828073089700993</v>
      </c>
      <c r="X1103" s="72">
        <f t="shared" si="642"/>
        <v>0.1493124718884534</v>
      </c>
      <c r="Y1103" s="72">
        <f t="shared" si="643"/>
        <v>0.1408074329133818</v>
      </c>
      <c r="Z1103" s="72">
        <f t="shared" si="644"/>
        <v>4.9641978599566004E-2</v>
      </c>
      <c r="AA1103" s="72">
        <f t="shared" si="645"/>
        <v>0.28244979974676787</v>
      </c>
      <c r="AB1103" s="72">
        <f t="shared" si="646"/>
        <v>9.0330520393811536E-2</v>
      </c>
      <c r="AC1103" s="72"/>
      <c r="AD1103" s="72"/>
      <c r="AE1103" s="72">
        <f t="shared" si="647"/>
        <v>0.59022609584766594</v>
      </c>
      <c r="AF1103" s="72">
        <f t="shared" si="648"/>
        <v>0.55670551483996367</v>
      </c>
      <c r="AG1103" s="72">
        <f t="shared" si="649"/>
        <v>0.49</v>
      </c>
      <c r="AH1103" s="72">
        <f t="shared" si="650"/>
        <v>0.48338505217352812</v>
      </c>
      <c r="AI1103" s="72">
        <f t="shared" si="651"/>
        <v>0.17171926910299001</v>
      </c>
      <c r="AJ1103" s="72">
        <f>(AV1103-Driver!$K$179)/(Driver!$L$179-Driver!$K$179)</f>
        <v>0.10490693739424703</v>
      </c>
      <c r="AK1103" s="72">
        <f>(AW1103-Driver!$K$180)/(Driver!$L$180-Driver!$K$180)</f>
        <v>0.1511936225386715</v>
      </c>
      <c r="AL1103" s="72">
        <f>(AX1103-Driver!$K$181)/(Driver!$L$181-Driver!$K$181)</f>
        <v>5.2045785113514174E-2</v>
      </c>
      <c r="AM1103" s="72">
        <f>(AY1103-Driver!$K$182)/(Driver!$L$182-Driver!$K$182)</f>
        <v>0.16493522135027852</v>
      </c>
      <c r="AN1103" s="72">
        <f>(AZ1103-Driver!$K$183)/(Driver!$L$183-Driver!$K$183)</f>
        <v>0.16388888888888889</v>
      </c>
      <c r="AO1103" s="72"/>
      <c r="AP1103" s="72"/>
      <c r="AQ1103" s="72">
        <f>(BC1103-Driver!$K$188)/(Driver!$L$188-Driver!$K$188)</f>
        <v>2.977390415233409E-2</v>
      </c>
      <c r="AR1103" s="72">
        <f>MIN((BD1103-Driver!$K$189)/(Driver!$L$189-Driver!$K$189),100%)</f>
        <v>-6.7055148399635875E-3</v>
      </c>
      <c r="AS1103" s="72">
        <f>(BE1103-Driver!$K$190)/(Driver!$L$190-Driver!$K$190)</f>
        <v>1</v>
      </c>
      <c r="AT1103" s="72">
        <f>(BF1103-Driver!$K$191)/(Driver!$L$191-Driver!$K$191)</f>
        <v>2.6614947826471891E-2</v>
      </c>
      <c r="AU1103" s="72">
        <f>(BG1103-Driver!$K$192)/(Driver!$L$192-Driver!$K$192)</f>
        <v>7.8280730897009973E-2</v>
      </c>
      <c r="AV1103" s="70">
        <f t="shared" si="652"/>
        <v>2.207977207977208</v>
      </c>
      <c r="AW1103" s="70">
        <f t="shared" si="653"/>
        <v>16.60705084963417</v>
      </c>
      <c r="AX1103" s="70">
        <f t="shared" si="654"/>
        <v>1.4684120660216275</v>
      </c>
      <c r="AY1103" s="70">
        <f>IFERROR(Driver!$K$19/Data!BH1103/Data!BI1103*Data!BK1103*Data!BL1103,"")</f>
        <v>0.20192992285304778</v>
      </c>
      <c r="AZ1103" s="70">
        <f t="shared" si="655"/>
        <v>14.936708860759493</v>
      </c>
      <c r="BA1103" s="70"/>
      <c r="BB1103" s="70"/>
      <c r="BC1103" s="70">
        <f t="shared" si="656"/>
        <v>15.443931068639325</v>
      </c>
      <c r="BD1103" s="70">
        <f t="shared" si="657"/>
        <v>1.1273967022301823</v>
      </c>
      <c r="BE1103" s="70">
        <f t="shared" si="658"/>
        <v>1</v>
      </c>
      <c r="BF1103" s="70">
        <f t="shared" si="659"/>
        <v>3.0059713764091551</v>
      </c>
      <c r="BG1103" s="70">
        <f t="shared" si="660"/>
        <v>0.29642078488372098</v>
      </c>
      <c r="BH1103" s="67">
        <f>MAX((CE1103-Driver!$F$200)/(Driver!$G$200-Driver!$F$200)*$BI$1,1)</f>
        <v>1.4684120660216275</v>
      </c>
      <c r="BI1103" s="67">
        <f>MAX($BI$1*(BY1103-Driver!$F$201)/(Driver!$G$201-Driver!$F$201),1)</f>
        <v>7.4683544303797467</v>
      </c>
      <c r="BJ1103" s="67">
        <f>(CB1103-Driver!$F$206)/(Driver!$G$206-Driver!$F$206)*$BI$1</f>
        <v>4.92063492063492</v>
      </c>
      <c r="BK1103" s="67">
        <f>(CD1103-Driver!$F$203)/(Driver!$G$203-Driver!$F$203)*$BI$1</f>
        <v>2.2935779816513766</v>
      </c>
      <c r="BL1103" s="67">
        <f>MAX((CR1103-Driver!$F$202)/(Driver!$G$202-Driver!$F$202)*$BI$1,1)</f>
        <v>4.8275862068965516</v>
      </c>
      <c r="BM1103" s="67">
        <f>MAX((CH1103-Driver!$F$204)/(Driver!$G$204-Driver!$F$204)*$BI$1,1)</f>
        <v>1.7948717948717949</v>
      </c>
      <c r="BN1103" s="67">
        <f>(CI1103-Driver!$F$205)/(Driver!$G$205-Driver!$F$205)*$BI$1</f>
        <v>2</v>
      </c>
      <c r="BO1103" s="67">
        <f>(CK1103-Driver!$F$207)/(Driver!$G$207-Driver!$F$207)*$BI$1</f>
        <v>1.8821096173733196</v>
      </c>
      <c r="BP1103" s="67">
        <f>(CM1103-Driver!$F$208)/(Driver!$G$208-Driver!$F$208)*$BI$1</f>
        <v>0.74444444444444435</v>
      </c>
      <c r="BQ1103" s="67">
        <f>(CL1103-Driver!$F$209)/(Driver!$G$209-Driver!$F$209)*$BI$1</f>
        <v>0.78125</v>
      </c>
      <c r="BR1103" s="28" t="s">
        <v>155</v>
      </c>
      <c r="BS1103" s="8" t="s">
        <v>229</v>
      </c>
      <c r="BT1103" s="9" t="s">
        <v>461</v>
      </c>
      <c r="BU1103" s="10">
        <v>163</v>
      </c>
      <c r="BV1103" s="9" t="s">
        <v>158</v>
      </c>
      <c r="BW1103" s="10">
        <v>163</v>
      </c>
      <c r="BX1103" s="10">
        <v>162</v>
      </c>
      <c r="BY1103" s="10">
        <v>126</v>
      </c>
      <c r="BZ1103" s="10">
        <v>140</v>
      </c>
      <c r="CA1103" s="10">
        <v>137</v>
      </c>
      <c r="CB1103" s="10">
        <v>95</v>
      </c>
      <c r="CC1103" s="10">
        <v>118</v>
      </c>
      <c r="CD1103" s="10">
        <v>14.4</v>
      </c>
      <c r="CE1103" s="10">
        <v>1158</v>
      </c>
      <c r="CF1103" s="10">
        <v>1.51</v>
      </c>
      <c r="CG1103" s="10">
        <v>1751</v>
      </c>
      <c r="CH1103" s="10">
        <v>143</v>
      </c>
      <c r="CI1103" s="10">
        <v>67</v>
      </c>
      <c r="CJ1103" s="10">
        <v>38</v>
      </c>
      <c r="CK1103" s="10">
        <v>292</v>
      </c>
      <c r="CL1103" s="10">
        <v>5</v>
      </c>
      <c r="CM1103" s="10">
        <v>67</v>
      </c>
      <c r="CN1103" s="10">
        <v>0.129</v>
      </c>
      <c r="CO1103" s="10">
        <v>129</v>
      </c>
      <c r="CP1103" s="10">
        <v>93</v>
      </c>
      <c r="CQ1103" s="10">
        <v>162</v>
      </c>
      <c r="CR1103" s="10">
        <v>3</v>
      </c>
      <c r="CS1103" s="10">
        <v>11.6</v>
      </c>
      <c r="CT1103" s="9" t="s">
        <v>185</v>
      </c>
      <c r="CU1103" s="9" t="s">
        <v>198</v>
      </c>
      <c r="CV1103" s="10"/>
      <c r="CW1103" s="10"/>
      <c r="CX1103" t="e">
        <f>INDEX('Data_Price '!AG$2:AG$1266,MATCH(Data!$DN1103,'Data_Price '!$AT$2:$AT$1266,0))</f>
        <v>#N/A</v>
      </c>
      <c r="CY1103" t="e">
        <f>INDEX('Data_Price '!AH$2:AH$1266,MATCH(Data!$DN1103,'Data_Price '!$AT$2:$AT$1266,0))</f>
        <v>#N/A</v>
      </c>
      <c r="CZ1103" t="e">
        <f>INDEX('Data_Price '!AI$2:AI$1266,MATCH(Data!$DN1103,'Data_Price '!$AT$2:$AT$1266,0))</f>
        <v>#N/A</v>
      </c>
      <c r="DA1103" t="e">
        <f>INDEX('Data_Price '!AJ$2:AJ$1266,MATCH(Data!$DN1103,'Data_Price '!$AT$2:$AT$1266,0))</f>
        <v>#N/A</v>
      </c>
      <c r="DB1103" t="e">
        <f>INDEX('Data_Price '!AK$2:AK$1266,MATCH(Data!$DN1103,'Data_Price '!$AT$2:$AT$1266,0))</f>
        <v>#N/A</v>
      </c>
      <c r="DC1103" t="e">
        <f>INDEX('Data_Price '!AL$2:AL$1266,MATCH(Data!$DN1103,'Data_Price '!$AT$2:$AT$1266,0))</f>
        <v>#N/A</v>
      </c>
      <c r="DD1103" t="e">
        <f>INDEX('Data_Price '!AM$2:AM$1266,MATCH(Data!$DN1103,'Data_Price '!$AT$2:$AT$1266,0))</f>
        <v>#N/A</v>
      </c>
      <c r="DE1103" t="e">
        <f>INDEX('Data_Price '!AN$2:AN$1266,MATCH(Data!$DN1103,'Data_Price '!$AT$2:$AT$1266,0))</f>
        <v>#N/A</v>
      </c>
      <c r="DF1103" t="e">
        <f>INDEX('Data_Price '!AO$2:AO$1266,MATCH(Data!$DN1103,'Data_Price '!$AT$2:$AT$1266,0))</f>
        <v>#N/A</v>
      </c>
      <c r="DG1103" t="e">
        <f>INDEX('Data_Price '!AP$2:AP$1266,MATCH(Data!$DN1103,'Data_Price '!$AT$2:$AT$1266,0))</f>
        <v>#N/A</v>
      </c>
      <c r="DH1103" t="e">
        <f>INDEX('Data_Price '!AQ$2:AQ$1266,MATCH(Data!$DN1103,'Data_Price '!$AT$2:$AT$1266,0))</f>
        <v>#N/A</v>
      </c>
      <c r="DI1103" t="e">
        <f>INDEX('Data_Price '!AR$2:AR$1266,MATCH(Data!$DN1103,'Data_Price '!$AT$2:$AT$1266,0))</f>
        <v>#N/A</v>
      </c>
      <c r="DJ1103" s="89" t="e">
        <f t="shared" si="661"/>
        <v>#N/A</v>
      </c>
      <c r="DK1103" s="89" t="e">
        <f t="shared" si="662"/>
        <v>#N/A</v>
      </c>
      <c r="DL1103" s="89" t="e">
        <f t="shared" si="663"/>
        <v>#N/A</v>
      </c>
      <c r="DM1103" s="219" t="str">
        <f t="shared" si="664"/>
        <v>Rise Beyond 96</v>
      </c>
      <c r="DN1103" s="89" t="str">
        <f t="shared" si="665"/>
        <v xml:space="preserve"> VölklRise Beyond 96163 Unisex</v>
      </c>
      <c r="DO1103" s="221"/>
    </row>
    <row r="1104" spans="2:119" ht="15.6" customHeight="1">
      <c r="B1104" s="219" t="b">
        <f t="array" ref="B1104">IF(OR(ISERROR(K1104:P1104)),FALSE,TRUE)</f>
        <v>1</v>
      </c>
      <c r="C1104" s="43" t="b">
        <f>OR(BR1104=Driver!$G$50,Data!BR1220=Driver!$H$50)</f>
        <v>1</v>
      </c>
      <c r="D1104" s="43" t="b">
        <f>OR(BV1104=Driver!$G$51,BV1104=Driver!$H$51)</f>
        <v>1</v>
      </c>
      <c r="E1104" s="43" t="b">
        <f>AND(BX1104&gt;Driver!$F$54,BX1104&lt;Driver!$G$54)</f>
        <v>0</v>
      </c>
      <c r="F1104" s="43" t="b">
        <f>CL1104&gt;Driver!$F$56</f>
        <v>1</v>
      </c>
      <c r="G1104" s="43" t="b">
        <f>AND(CB1104&gt;Driver!$F$55,CB1104&lt;Driver!$G$55)</f>
        <v>0</v>
      </c>
      <c r="H1104" s="43" t="b">
        <f t="shared" si="629"/>
        <v>0</v>
      </c>
      <c r="I1104" s="43">
        <f t="shared" si="630"/>
        <v>0</v>
      </c>
      <c r="J1104" s="43" t="b">
        <f t="array" ref="J1104">NOT(OR(($H$9:$H$1273=TRUE)*($I$9:$I$1273&gt;0)*($BT$9:$BT$1273=BT1104)*($K$9:$K$1273&gt;K1104)))</f>
        <v>1</v>
      </c>
      <c r="K1104" s="72">
        <f t="shared" si="631"/>
        <v>0.73854860894516439</v>
      </c>
      <c r="L1104" s="72">
        <f t="shared" si="632"/>
        <v>0.93200524442894173</v>
      </c>
      <c r="M1104" s="72">
        <f t="shared" si="633"/>
        <v>0.54509197346138705</v>
      </c>
      <c r="N1104" s="72">
        <f t="shared" si="634"/>
        <v>0.36665962231043669</v>
      </c>
      <c r="O1104" s="72">
        <f t="shared" si="635"/>
        <v>0.63449492800671026</v>
      </c>
      <c r="P1104" s="72">
        <f t="shared" si="636"/>
        <v>0.63412137006701408</v>
      </c>
      <c r="Q1104" s="72"/>
      <c r="R1104" s="72"/>
      <c r="S1104" s="72">
        <f t="shared" si="637"/>
        <v>0.66388809069833687</v>
      </c>
      <c r="T1104" s="72">
        <f t="shared" si="638"/>
        <v>0.52258125737569927</v>
      </c>
      <c r="U1104" s="72">
        <f t="shared" si="639"/>
        <v>0.58218103991792169</v>
      </c>
      <c r="V1104" s="72">
        <f t="shared" si="640"/>
        <v>0.52371378469197116</v>
      </c>
      <c r="W1104" s="72">
        <f t="shared" si="641"/>
        <v>0.7667092501825008</v>
      </c>
      <c r="X1104" s="72">
        <f t="shared" si="642"/>
        <v>6.7994755571058274E-2</v>
      </c>
      <c r="Y1104" s="72">
        <f t="shared" si="643"/>
        <v>0.45490802653861295</v>
      </c>
      <c r="Z1104" s="72">
        <f t="shared" si="644"/>
        <v>0.63334037768956331</v>
      </c>
      <c r="AA1104" s="72">
        <f t="shared" si="645"/>
        <v>0.36550507199328969</v>
      </c>
      <c r="AB1104" s="72">
        <f t="shared" si="646"/>
        <v>0.36587862993298587</v>
      </c>
      <c r="AC1104" s="72"/>
      <c r="AD1104" s="72"/>
      <c r="AE1104" s="72">
        <f t="shared" si="647"/>
        <v>0.33611190930166313</v>
      </c>
      <c r="AF1104" s="72">
        <f t="shared" si="648"/>
        <v>0.47741874262430073</v>
      </c>
      <c r="AG1104" s="72">
        <f t="shared" si="649"/>
        <v>0.41781896008207836</v>
      </c>
      <c r="AH1104" s="72">
        <f t="shared" si="650"/>
        <v>0.47628621530802884</v>
      </c>
      <c r="AI1104" s="72">
        <f t="shared" si="651"/>
        <v>0.23329074981749923</v>
      </c>
      <c r="AJ1104" s="72">
        <f>(AV1104-Driver!$K$179)/(Driver!$L$179-Driver!$K$179)</f>
        <v>0.3222141648537587</v>
      </c>
      <c r="AK1104" s="72">
        <f>(AW1104-Driver!$K$180)/(Driver!$L$180-Driver!$K$180)</f>
        <v>0.63984813588324785</v>
      </c>
      <c r="AL1104" s="72">
        <f>(AX1104-Driver!$K$181)/(Driver!$L$181-Driver!$K$181)</f>
        <v>0.7350281414026435</v>
      </c>
      <c r="AM1104" s="72">
        <f>(AY1104-Driver!$K$182)/(Driver!$L$182-Driver!$K$182)</f>
        <v>8.1879949103756691E-2</v>
      </c>
      <c r="AN1104" s="72">
        <f>(AZ1104-Driver!$K$183)/(Driver!$L$183-Driver!$K$183)</f>
        <v>0.62009803921568629</v>
      </c>
      <c r="AO1104" s="72"/>
      <c r="AP1104" s="72"/>
      <c r="AQ1104" s="72">
        <f>(BC1104-Driver!$K$188)/(Driver!$L$188-Driver!$K$188)</f>
        <v>0.28388809069833687</v>
      </c>
      <c r="AR1104" s="72">
        <f>MIN((BD1104-Driver!$K$189)/(Driver!$L$189-Driver!$K$189),100%)</f>
        <v>7.2581257375699315E-2</v>
      </c>
      <c r="AS1104" s="72">
        <f>(BE1104-Driver!$K$190)/(Driver!$L$190-Driver!$K$190)</f>
        <v>9.2181039917921634E-2</v>
      </c>
      <c r="AT1104" s="72">
        <f>(BF1104-Driver!$K$191)/(Driver!$L$191-Driver!$K$191)</f>
        <v>3.3713784691971151E-2</v>
      </c>
      <c r="AU1104" s="72">
        <f>(BG1104-Driver!$K$192)/(Driver!$L$192-Driver!$K$192)</f>
        <v>1.670925018250078E-2</v>
      </c>
      <c r="AV1104" s="70">
        <f t="shared" si="652"/>
        <v>6.7816442816442803</v>
      </c>
      <c r="AW1104" s="70">
        <f t="shared" si="653"/>
        <v>64.230763094527191</v>
      </c>
      <c r="AX1104" s="70">
        <f t="shared" si="654"/>
        <v>7.6152532726237911</v>
      </c>
      <c r="AY1104" s="70">
        <f>IFERROR(Driver!$K$19/Data!BH1104/Data!BI1104*Data!BK1104*Data!BL1104,"")</f>
        <v>0.10024548832186199</v>
      </c>
      <c r="AZ1104" s="70">
        <f t="shared" si="655"/>
        <v>56.515264333581541</v>
      </c>
      <c r="BA1104" s="70"/>
      <c r="BB1104" s="70"/>
      <c r="BC1104" s="70">
        <f t="shared" si="656"/>
        <v>147.25472620321568</v>
      </c>
      <c r="BD1104" s="70">
        <f t="shared" si="657"/>
        <v>8.1441355554690862</v>
      </c>
      <c r="BE1104" s="70">
        <f t="shared" si="658"/>
        <v>9.2342984602462652E-2</v>
      </c>
      <c r="BF1104" s="70">
        <f t="shared" si="659"/>
        <v>3.8077351282157492</v>
      </c>
      <c r="BG1104" s="70">
        <f t="shared" si="660"/>
        <v>6.3271880540202316E-2</v>
      </c>
      <c r="BH1104" s="67">
        <f>MAX((CE1104-Driver!$F$200)/(Driver!$G$200-Driver!$F$200)*$BI$1,1)</f>
        <v>7.6152532726237911</v>
      </c>
      <c r="BI1104" s="67">
        <f>MAX($BI$1*(BY1104-Driver!$F$201)/(Driver!$G$201-Driver!$F$201),1)</f>
        <v>8.3544303797468356</v>
      </c>
      <c r="BJ1104" s="67">
        <f>(CB1104-Driver!$F$206)/(Driver!$G$206-Driver!$F$206)*$BI$1</f>
        <v>4.92063492063492</v>
      </c>
      <c r="BK1104" s="67">
        <f>(CD1104-Driver!$F$203)/(Driver!$G$203-Driver!$F$203)*$BI$1</f>
        <v>5.7798165137614692</v>
      </c>
      <c r="BL1104" s="67">
        <f>MAX((CR1104-Driver!$F$202)/(Driver!$G$202-Driver!$F$202)*$BI$1,1)</f>
        <v>5.5172413793103452</v>
      </c>
      <c r="BM1104" s="67">
        <f>MAX((CH1104-Driver!$F$204)/(Driver!$G$204-Driver!$F$204)*$BI$1,1)</f>
        <v>5.5128205128205128</v>
      </c>
      <c r="BN1104" s="67">
        <f>(CI1104-Driver!$F$205)/(Driver!$G$205-Driver!$F$205)*$BI$1</f>
        <v>6.764705882352942</v>
      </c>
      <c r="BO1104" s="67">
        <f>(CK1104-Driver!$F$207)/(Driver!$G$207-Driver!$F$207)*$BI$1</f>
        <v>1.7890382626680454</v>
      </c>
      <c r="BP1104" s="67">
        <f>(CM1104-Driver!$F$208)/(Driver!$G$208-Driver!$F$208)*$BI$1</f>
        <v>2.5</v>
      </c>
      <c r="BQ1104" s="67">
        <f>(CL1104-Driver!$F$209)/(Driver!$G$209-Driver!$F$209)*$BI$1</f>
        <v>2.65625</v>
      </c>
      <c r="BR1104" s="28" t="s">
        <v>155</v>
      </c>
      <c r="BS1104" s="8" t="s">
        <v>229</v>
      </c>
      <c r="BT1104" s="9" t="s">
        <v>565</v>
      </c>
      <c r="BU1104" s="10">
        <v>191</v>
      </c>
      <c r="BV1104" s="9" t="s">
        <v>158</v>
      </c>
      <c r="BW1104" s="10">
        <v>191</v>
      </c>
      <c r="BX1104" s="10">
        <v>190.4</v>
      </c>
      <c r="BY1104" s="10">
        <v>140</v>
      </c>
      <c r="BZ1104" s="10">
        <v>168</v>
      </c>
      <c r="CA1104" s="10">
        <v>134</v>
      </c>
      <c r="CB1104" s="10">
        <v>95</v>
      </c>
      <c r="CC1104" s="10">
        <v>118</v>
      </c>
      <c r="CD1104" s="10">
        <v>22</v>
      </c>
      <c r="CE1104" s="10">
        <v>2238</v>
      </c>
      <c r="CF1104" s="10">
        <v>0.91</v>
      </c>
      <c r="CG1104" s="10">
        <v>2046</v>
      </c>
      <c r="CH1104" s="10">
        <v>230</v>
      </c>
      <c r="CI1104" s="10">
        <v>148</v>
      </c>
      <c r="CJ1104" s="10">
        <v>45</v>
      </c>
      <c r="CK1104" s="10">
        <v>283</v>
      </c>
      <c r="CL1104" s="10">
        <v>17</v>
      </c>
      <c r="CM1104" s="10">
        <v>225</v>
      </c>
      <c r="CN1104" s="10">
        <v>0.38</v>
      </c>
      <c r="CO1104" s="10">
        <v>126</v>
      </c>
      <c r="CP1104" s="10">
        <v>102</v>
      </c>
      <c r="CQ1104" s="10">
        <v>157</v>
      </c>
      <c r="CR1104" s="10">
        <v>5</v>
      </c>
      <c r="CS1104" s="10">
        <v>11.1</v>
      </c>
      <c r="CT1104" s="9" t="s">
        <v>188</v>
      </c>
      <c r="CU1104" s="10"/>
      <c r="CV1104" s="10"/>
      <c r="CW1104" s="10"/>
      <c r="CX1104" t="e">
        <f>INDEX('Data_Price '!AG$2:AG$1266,MATCH(Data!$DN1104,'Data_Price '!$AT$2:$AT$1266,0))</f>
        <v>#N/A</v>
      </c>
      <c r="CY1104" t="e">
        <f>INDEX('Data_Price '!AH$2:AH$1266,MATCH(Data!$DN1104,'Data_Price '!$AT$2:$AT$1266,0))</f>
        <v>#N/A</v>
      </c>
      <c r="CZ1104" t="e">
        <f>INDEX('Data_Price '!AI$2:AI$1266,MATCH(Data!$DN1104,'Data_Price '!$AT$2:$AT$1266,0))</f>
        <v>#N/A</v>
      </c>
      <c r="DA1104" t="e">
        <f>INDEX('Data_Price '!AJ$2:AJ$1266,MATCH(Data!$DN1104,'Data_Price '!$AT$2:$AT$1266,0))</f>
        <v>#N/A</v>
      </c>
      <c r="DB1104" t="e">
        <f>INDEX('Data_Price '!AK$2:AK$1266,MATCH(Data!$DN1104,'Data_Price '!$AT$2:$AT$1266,0))</f>
        <v>#N/A</v>
      </c>
      <c r="DC1104" t="e">
        <f>INDEX('Data_Price '!AL$2:AL$1266,MATCH(Data!$DN1104,'Data_Price '!$AT$2:$AT$1266,0))</f>
        <v>#N/A</v>
      </c>
      <c r="DD1104" t="e">
        <f>INDEX('Data_Price '!AM$2:AM$1266,MATCH(Data!$DN1104,'Data_Price '!$AT$2:$AT$1266,0))</f>
        <v>#N/A</v>
      </c>
      <c r="DE1104" t="e">
        <f>INDEX('Data_Price '!AN$2:AN$1266,MATCH(Data!$DN1104,'Data_Price '!$AT$2:$AT$1266,0))</f>
        <v>#N/A</v>
      </c>
      <c r="DF1104" t="e">
        <f>INDEX('Data_Price '!AO$2:AO$1266,MATCH(Data!$DN1104,'Data_Price '!$AT$2:$AT$1266,0))</f>
        <v>#N/A</v>
      </c>
      <c r="DG1104" t="e">
        <f>INDEX('Data_Price '!AP$2:AP$1266,MATCH(Data!$DN1104,'Data_Price '!$AT$2:$AT$1266,0))</f>
        <v>#N/A</v>
      </c>
      <c r="DH1104" t="e">
        <f>INDEX('Data_Price '!AQ$2:AQ$1266,MATCH(Data!$DN1104,'Data_Price '!$AT$2:$AT$1266,0))</f>
        <v>#N/A</v>
      </c>
      <c r="DI1104" t="e">
        <f>INDEX('Data_Price '!AR$2:AR$1266,MATCH(Data!$DN1104,'Data_Price '!$AT$2:$AT$1266,0))</f>
        <v>#N/A</v>
      </c>
      <c r="DJ1104" s="89" t="e">
        <f t="shared" si="661"/>
        <v>#N/A</v>
      </c>
      <c r="DK1104" s="89" t="e">
        <f t="shared" si="662"/>
        <v>#N/A</v>
      </c>
      <c r="DL1104" s="89" t="e">
        <f t="shared" si="663"/>
        <v>#N/A</v>
      </c>
      <c r="DM1104" s="219" t="str">
        <f t="shared" si="664"/>
        <v>M6 Mantra</v>
      </c>
      <c r="DN1104" s="89" t="str">
        <f t="shared" si="665"/>
        <v xml:space="preserve"> VölklM6 Mantra191 Unisex</v>
      </c>
      <c r="DO1104" s="221" t="s">
        <v>566</v>
      </c>
    </row>
    <row r="1105" spans="2:119" ht="15.6" customHeight="1">
      <c r="B1105" s="219" t="b">
        <f t="array" ref="B1105">IF(OR(ISERROR(K1105:P1105)),FALSE,TRUE)</f>
        <v>1</v>
      </c>
      <c r="C1105" s="43" t="b">
        <f>OR(BR1105=Driver!$G$50,Data!BR1091=Driver!$H$50)</f>
        <v>1</v>
      </c>
      <c r="D1105" s="43" t="b">
        <f>OR(BV1105=Driver!$G$51,BV1105=Driver!$H$51)</f>
        <v>1</v>
      </c>
      <c r="E1105" s="43" t="b">
        <f>AND(BX1105&gt;Driver!$F$54,BX1105&lt;Driver!$G$54)</f>
        <v>1</v>
      </c>
      <c r="F1105" s="43" t="b">
        <f>CL1105&gt;Driver!$F$56</f>
        <v>1</v>
      </c>
      <c r="G1105" s="43" t="b">
        <f>AND(CB1105&gt;Driver!$F$55,CB1105&lt;Driver!$G$55)</f>
        <v>0</v>
      </c>
      <c r="H1105" s="43" t="b">
        <f t="shared" si="629"/>
        <v>0</v>
      </c>
      <c r="I1105" s="43">
        <f t="shared" si="630"/>
        <v>0</v>
      </c>
      <c r="J1105" s="43" t="b">
        <f t="array" ref="J1105">NOT(OR(($H$9:$H$1273=TRUE)*($I$9:$I$1273&gt;0)*($BT$9:$BT$1273=BT1105)*($K$9:$K$1273&gt;K1105)))</f>
        <v>1</v>
      </c>
      <c r="K1105" s="72">
        <f t="shared" si="631"/>
        <v>0.73043916720324975</v>
      </c>
      <c r="L1105" s="72">
        <f t="shared" si="632"/>
        <v>0.85536080182035334</v>
      </c>
      <c r="M1105" s="72">
        <f t="shared" si="633"/>
        <v>0.60551753258614616</v>
      </c>
      <c r="N1105" s="72">
        <f t="shared" si="634"/>
        <v>0.45962110969423497</v>
      </c>
      <c r="O1105" s="72">
        <f t="shared" si="635"/>
        <v>0.5987905101540516</v>
      </c>
      <c r="P1105" s="72">
        <f t="shared" si="636"/>
        <v>0.75814097791015156</v>
      </c>
      <c r="Q1105" s="72"/>
      <c r="R1105" s="72"/>
      <c r="S1105" s="72">
        <f t="shared" si="637"/>
        <v>0.49541049483081678</v>
      </c>
      <c r="T1105" s="72">
        <f t="shared" si="638"/>
        <v>0.82442483218713292</v>
      </c>
      <c r="U1105" s="72">
        <f t="shared" si="639"/>
        <v>0.51</v>
      </c>
      <c r="V1105" s="72">
        <f t="shared" si="640"/>
        <v>0.49382893303714204</v>
      </c>
      <c r="W1105" s="72">
        <f t="shared" si="641"/>
        <v>0.75670321529115425</v>
      </c>
      <c r="X1105" s="72">
        <f t="shared" si="642"/>
        <v>0.14463919817964671</v>
      </c>
      <c r="Y1105" s="72">
        <f t="shared" si="643"/>
        <v>0.3944824674138539</v>
      </c>
      <c r="Z1105" s="72">
        <f t="shared" si="644"/>
        <v>0.54037889030576503</v>
      </c>
      <c r="AA1105" s="72">
        <f t="shared" si="645"/>
        <v>0.40120948984594834</v>
      </c>
      <c r="AB1105" s="72">
        <f t="shared" si="646"/>
        <v>0.2418590220898485</v>
      </c>
      <c r="AC1105" s="72"/>
      <c r="AD1105" s="72"/>
      <c r="AE1105" s="72">
        <f t="shared" si="647"/>
        <v>0.50458950516918322</v>
      </c>
      <c r="AF1105" s="72">
        <f t="shared" si="648"/>
        <v>0.17557516781286708</v>
      </c>
      <c r="AG1105" s="72">
        <f t="shared" si="649"/>
        <v>0.49</v>
      </c>
      <c r="AH1105" s="72">
        <f t="shared" si="650"/>
        <v>0.50617106696285796</v>
      </c>
      <c r="AI1105" s="72">
        <f t="shared" si="651"/>
        <v>0.24329678470884575</v>
      </c>
      <c r="AJ1105" s="72">
        <f>(AV1105-Driver!$K$179)/(Driver!$L$179-Driver!$K$179)</f>
        <v>0.10958021110305372</v>
      </c>
      <c r="AK1105" s="72">
        <f>(AW1105-Driver!$K$180)/(Driver!$L$180-Driver!$K$180)</f>
        <v>0.51483724409663401</v>
      </c>
      <c r="AL1105" s="72">
        <f>(AX1105-Driver!$K$181)/(Driver!$L$181-Driver!$K$181)</f>
        <v>0.64206665401884522</v>
      </c>
      <c r="AM1105" s="72">
        <f>(AY1105-Driver!$K$182)/(Driver!$L$182-Driver!$K$182)</f>
        <v>4.6175531251098002E-2</v>
      </c>
      <c r="AN1105" s="72">
        <f>(AZ1105-Driver!$K$183)/(Driver!$L$183-Driver!$K$183)</f>
        <v>0.49607843137254892</v>
      </c>
      <c r="AO1105" s="72"/>
      <c r="AP1105" s="72"/>
      <c r="AQ1105" s="72">
        <f>(BC1105-Driver!$K$188)/(Driver!$L$188-Driver!$K$188)</f>
        <v>0.11541049483081681</v>
      </c>
      <c r="AR1105" s="72">
        <f>MIN((BD1105-Driver!$K$189)/(Driver!$L$189-Driver!$K$189),100%)</f>
        <v>0.37442483218713296</v>
      </c>
      <c r="AS1105" s="72">
        <f>(BE1105-Driver!$K$190)/(Driver!$L$190-Driver!$K$190)</f>
        <v>1</v>
      </c>
      <c r="AT1105" s="72">
        <f>(BF1105-Driver!$K$191)/(Driver!$L$191-Driver!$K$191)</f>
        <v>3.8289330371420621E-3</v>
      </c>
      <c r="AU1105" s="72">
        <f>(BG1105-Driver!$K$192)/(Driver!$L$192-Driver!$K$192)</f>
        <v>6.703215291154245E-3</v>
      </c>
      <c r="AV1105" s="70">
        <f t="shared" si="652"/>
        <v>2.3063356396689727</v>
      </c>
      <c r="AW1105" s="70">
        <f t="shared" si="653"/>
        <v>52.047343980734951</v>
      </c>
      <c r="AX1105" s="70">
        <f t="shared" si="654"/>
        <v>6.7785998861696068</v>
      </c>
      <c r="AY1105" s="70">
        <f>IFERROR(Driver!$K$19/Data!BH1105/Data!BI1105*Data!BK1105*Data!BL1105,"")</f>
        <v>5.653262770012326E-2</v>
      </c>
      <c r="AZ1105" s="70">
        <f t="shared" si="655"/>
        <v>45.21221146686522</v>
      </c>
      <c r="BA1105" s="70"/>
      <c r="BB1105" s="70"/>
      <c r="BC1105" s="70">
        <f t="shared" si="656"/>
        <v>59.864225989488226</v>
      </c>
      <c r="BD1105" s="70">
        <f t="shared" si="657"/>
        <v>34.856757091114261</v>
      </c>
      <c r="BE1105" s="70">
        <f t="shared" si="658"/>
        <v>1</v>
      </c>
      <c r="BF1105" s="70">
        <f t="shared" si="659"/>
        <v>0.43245108676818872</v>
      </c>
      <c r="BG1105" s="70">
        <f t="shared" si="660"/>
        <v>2.5382649281375021E-2</v>
      </c>
      <c r="BH1105" s="67">
        <f>MAX((CE1105-Driver!$F$200)/(Driver!$G$200-Driver!$F$200)*$BI$1,1)</f>
        <v>6.7785998861696068</v>
      </c>
      <c r="BI1105" s="67">
        <f>MAX($BI$1*(BY1105-Driver!$F$201)/(Driver!$G$201-Driver!$F$201),1)</f>
        <v>8.3544303797468356</v>
      </c>
      <c r="BJ1105" s="67">
        <f>(CB1105-Driver!$F$206)/(Driver!$G$206-Driver!$F$206)*$BI$1</f>
        <v>2.5396825396825395</v>
      </c>
      <c r="BK1105" s="67">
        <f>(CD1105-Driver!$F$203)/(Driver!$G$203-Driver!$F$203)*$BI$1</f>
        <v>2.1100917431192663</v>
      </c>
      <c r="BL1105" s="67">
        <f>MAX((CR1105-Driver!$F$202)/(Driver!$G$202-Driver!$F$202)*$BI$1,1)</f>
        <v>7.5862068965517242</v>
      </c>
      <c r="BM1105" s="67">
        <f>MAX((CH1105-Driver!$F$204)/(Driver!$G$204-Driver!$F$204)*$BI$1,1)</f>
        <v>3.6324786324786325</v>
      </c>
      <c r="BN1105" s="67">
        <f>(CI1105-Driver!$F$205)/(Driver!$G$205-Driver!$F$205)*$BI$1</f>
        <v>5.4117647058823524</v>
      </c>
      <c r="BO1105" s="67">
        <f>(CK1105-Driver!$F$207)/(Driver!$G$207-Driver!$F$207)*$BI$1</f>
        <v>0.61013443640124088</v>
      </c>
      <c r="BP1105" s="67">
        <f>(CM1105-Driver!$F$208)/(Driver!$G$208-Driver!$F$208)*$BI$1</f>
        <v>0.58888888888888891</v>
      </c>
      <c r="BQ1105" s="67">
        <f>(CL1105-Driver!$F$209)/(Driver!$G$209-Driver!$F$209)*$BI$1</f>
        <v>0.625</v>
      </c>
      <c r="BR1105" s="28" t="s">
        <v>155</v>
      </c>
      <c r="BS1105" s="8" t="s">
        <v>174</v>
      </c>
      <c r="BT1105" s="9" t="s">
        <v>860</v>
      </c>
      <c r="BU1105" s="10">
        <v>163</v>
      </c>
      <c r="BV1105" s="9" t="s">
        <v>158</v>
      </c>
      <c r="BW1105" s="10">
        <v>163</v>
      </c>
      <c r="BX1105" s="10">
        <v>162</v>
      </c>
      <c r="BY1105" s="10">
        <v>140</v>
      </c>
      <c r="BZ1105" s="10">
        <v>149</v>
      </c>
      <c r="CA1105" s="10">
        <v>127</v>
      </c>
      <c r="CB1105" s="10">
        <v>80</v>
      </c>
      <c r="CC1105" s="10">
        <v>111</v>
      </c>
      <c r="CD1105" s="10">
        <v>14</v>
      </c>
      <c r="CE1105" s="10">
        <v>2091</v>
      </c>
      <c r="CF1105" s="10">
        <v>0.74</v>
      </c>
      <c r="CG1105" s="10">
        <v>1549</v>
      </c>
      <c r="CH1105" s="10">
        <v>186</v>
      </c>
      <c r="CI1105" s="10">
        <v>125</v>
      </c>
      <c r="CJ1105" s="10">
        <v>43</v>
      </c>
      <c r="CK1105" s="10">
        <v>169</v>
      </c>
      <c r="CL1105" s="10">
        <v>4</v>
      </c>
      <c r="CM1105" s="10">
        <v>53</v>
      </c>
      <c r="CN1105" s="10">
        <v>0.10299999999999999</v>
      </c>
      <c r="CO1105" s="10">
        <v>87</v>
      </c>
      <c r="CP1105" s="10">
        <v>40</v>
      </c>
      <c r="CQ1105" s="10">
        <v>82</v>
      </c>
      <c r="CR1105" s="10">
        <v>11</v>
      </c>
      <c r="CS1105" s="10">
        <v>11.7</v>
      </c>
      <c r="CT1105" s="9" t="s">
        <v>349</v>
      </c>
      <c r="CU1105" s="9" t="s">
        <v>188</v>
      </c>
      <c r="CV1105" s="10"/>
      <c r="CW1105" s="10"/>
      <c r="CX1105" t="str">
        <f>INDEX('Data_Price '!AG$2:AG$1266,MATCH(Data!$DN1105,'Data_Price '!$AT$2:$AT$1266,0))</f>
        <v>Salomon S/Force Fever Skis with M11 GW Bindings Â· Women's Â· 163 cm</v>
      </c>
      <c r="CY1105" t="str">
        <f>INDEX('Data_Price '!AH$2:AH$1266,MATCH(Data!$DN1105,'Data_Price '!$AT$2:$AT$1266,0))</f>
        <v>The-House.com</v>
      </c>
      <c r="CZ1105">
        <f>INDEX('Data_Price '!AI$2:AI$1266,MATCH(Data!$DN1105,'Data_Price '!$AT$2:$AT$1266,0))</f>
        <v>479.95</v>
      </c>
      <c r="DA1105" t="str">
        <f>INDEX('Data_Price '!AJ$2:AJ$1266,MATCH(Data!$DN1105,'Data_Price '!$AT$2:$AT$1266,0))</f>
        <v>https://tinyurl.com/ycul63zk</v>
      </c>
      <c r="DB1105" t="str">
        <f>INDEX('Data_Price '!AK$2:AK$1266,MATCH(Data!$DN1105,'Data_Price '!$AT$2:$AT$1266,0))</f>
        <v>Salomon S/Force 9 + Z10 GW 19/20"</v>
      </c>
      <c r="DC1105" t="str">
        <f>INDEX('Data_Price '!AL$2:AL$1266,MATCH(Data!$DN1105,'Data_Price '!$AT$2:$AT$1266,0))</f>
        <v>wikdeal</v>
      </c>
      <c r="DD1105">
        <f>INDEX('Data_Price '!AM$2:AM$1266,MATCH(Data!$DN1105,'Data_Price '!$AT$2:$AT$1266,0))</f>
        <v>599.95000000000005</v>
      </c>
      <c r="DE1105" t="str">
        <f>INDEX('Data_Price '!AN$2:AN$1266,MATCH(Data!$DN1105,'Data_Price '!$AT$2:$AT$1266,0))</f>
        <v>https://tinyurl.com/ychzn58r</v>
      </c>
      <c r="DF1105" t="str">
        <f>INDEX('Data_Price '!AO$2:AO$1266,MATCH(Data!$DN1105,'Data_Price '!$AT$2:$AT$1266,0))</f>
        <v>Salomon S/Force Fx.76 Skis w/ M11 GW Bindings</v>
      </c>
      <c r="DG1105" t="str">
        <f>INDEX('Data_Price '!AP$2:AP$1266,MATCH(Data!$DN1105,'Data_Price '!$AT$2:$AT$1266,0))</f>
        <v>Curated</v>
      </c>
      <c r="DH1105">
        <f>INDEX('Data_Price '!AQ$2:AQ$1266,MATCH(Data!$DN1105,'Data_Price '!$AT$2:$AT$1266,0))</f>
        <v>599.99</v>
      </c>
      <c r="DI1105" t="str">
        <f>INDEX('Data_Price '!AR$2:AR$1266,MATCH(Data!$DN1105,'Data_Price '!$AT$2:$AT$1266,0))</f>
        <v>https://tinyurl.com/y92om993</v>
      </c>
      <c r="DJ1105" s="89" t="str">
        <f t="shared" si="661"/>
        <v>https://tinyurl.com/ycul63zk</v>
      </c>
      <c r="DK1105" s="89" t="str">
        <f t="shared" si="662"/>
        <v>https://tinyurl.com/ychzn58r</v>
      </c>
      <c r="DL1105" s="89" t="str">
        <f t="shared" si="663"/>
        <v>https://tinyurl.com/y92om993</v>
      </c>
      <c r="DM1105" s="219" t="str">
        <f t="shared" si="664"/>
        <v>S/Force 80Ti</v>
      </c>
      <c r="DN1105" s="89" t="str">
        <f t="shared" si="665"/>
        <v xml:space="preserve"> SalomonS/Force 80Ti163 Unisex</v>
      </c>
      <c r="DO1105" s="221"/>
    </row>
    <row r="1106" spans="2:119" ht="15.6" customHeight="1">
      <c r="B1106" s="219" t="b">
        <f t="array" ref="B1106">IF(OR(ISERROR(K1106:P1106)),FALSE,TRUE)</f>
        <v>1</v>
      </c>
      <c r="C1106" s="43" t="b">
        <f>OR(BR1106=Driver!$G$50,Data!BR1203=Driver!$H$50)</f>
        <v>1</v>
      </c>
      <c r="D1106" s="43" t="b">
        <f>OR(BV1106=Driver!$G$51,BV1106=Driver!$H$51)</f>
        <v>1</v>
      </c>
      <c r="E1106" s="43" t="b">
        <f>AND(BX1106&gt;Driver!$F$54,BX1106&lt;Driver!$G$54)</f>
        <v>0</v>
      </c>
      <c r="F1106" s="43" t="b">
        <f>CL1106&gt;Driver!$F$56</f>
        <v>1</v>
      </c>
      <c r="G1106" s="43" t="b">
        <f>AND(CB1106&gt;Driver!$F$55,CB1106&lt;Driver!$G$55)</f>
        <v>1</v>
      </c>
      <c r="H1106" s="43" t="b">
        <f t="shared" si="629"/>
        <v>0</v>
      </c>
      <c r="I1106" s="43">
        <f t="shared" si="630"/>
        <v>0</v>
      </c>
      <c r="J1106" s="43" t="b">
        <f t="array" ref="J1106">NOT(OR(($H$9:$H$1273=TRUE)*($I$9:$I$1273&gt;0)*($BT$9:$BT$1273=BT1106)*($K$9:$K$1273&gt;K1106)))</f>
        <v>1</v>
      </c>
      <c r="K1106" s="72">
        <f t="shared" si="631"/>
        <v>0.69673119942838579</v>
      </c>
      <c r="L1106" s="72">
        <f t="shared" si="632"/>
        <v>0.80034784373600798</v>
      </c>
      <c r="M1106" s="72">
        <f t="shared" si="633"/>
        <v>0.5931145551207635</v>
      </c>
      <c r="N1106" s="72">
        <f t="shared" si="634"/>
        <v>0.45013524363466362</v>
      </c>
      <c r="O1106" s="72">
        <f t="shared" si="635"/>
        <v>0.6162471823795671</v>
      </c>
      <c r="P1106" s="72">
        <f t="shared" si="636"/>
        <v>0.71296123934805977</v>
      </c>
      <c r="Q1106" s="72"/>
      <c r="R1106" s="72"/>
      <c r="S1106" s="72">
        <f t="shared" si="637"/>
        <v>0.51525470252440631</v>
      </c>
      <c r="T1106" s="72">
        <f t="shared" si="638"/>
        <v>0.51321045280429134</v>
      </c>
      <c r="U1106" s="72">
        <f t="shared" si="639"/>
        <v>0.55170724186615983</v>
      </c>
      <c r="V1106" s="72">
        <f t="shared" si="640"/>
        <v>0.58672347249826828</v>
      </c>
      <c r="W1106" s="72">
        <f t="shared" si="641"/>
        <v>0.76825509855303631</v>
      </c>
      <c r="X1106" s="72">
        <f t="shared" si="642"/>
        <v>0.19965215626399202</v>
      </c>
      <c r="Y1106" s="72">
        <f t="shared" si="643"/>
        <v>0.4068854448792365</v>
      </c>
      <c r="Z1106" s="72">
        <f t="shared" si="644"/>
        <v>0.54986475636533638</v>
      </c>
      <c r="AA1106" s="72">
        <f t="shared" si="645"/>
        <v>0.3837528176204329</v>
      </c>
      <c r="AB1106" s="72">
        <f t="shared" si="646"/>
        <v>0.28703876065194017</v>
      </c>
      <c r="AC1106" s="72"/>
      <c r="AD1106" s="72"/>
      <c r="AE1106" s="72">
        <f t="shared" si="647"/>
        <v>0.48474529747559364</v>
      </c>
      <c r="AF1106" s="72">
        <f t="shared" si="648"/>
        <v>0.48678954719570872</v>
      </c>
      <c r="AG1106" s="72">
        <f t="shared" si="649"/>
        <v>0.44829275813384017</v>
      </c>
      <c r="AH1106" s="72">
        <f t="shared" si="650"/>
        <v>0.41327652750173172</v>
      </c>
      <c r="AI1106" s="72">
        <f t="shared" si="651"/>
        <v>0.23174490144696366</v>
      </c>
      <c r="AJ1106" s="72">
        <f>(AV1106-Driver!$K$179)/(Driver!$L$179-Driver!$K$179)</f>
        <v>0.45387156554669245</v>
      </c>
      <c r="AK1106" s="72">
        <f>(AW1106-Driver!$K$180)/(Driver!$L$180-Driver!$K$180)</f>
        <v>0.55818263095689724</v>
      </c>
      <c r="AL1106" s="72">
        <f>(AX1106-Driver!$K$181)/(Driver!$L$181-Driver!$K$181)</f>
        <v>0.65155252007841657</v>
      </c>
      <c r="AM1106" s="72">
        <f>(AY1106-Driver!$K$182)/(Driver!$L$182-Driver!$K$182)</f>
        <v>6.3632203476613469E-2</v>
      </c>
      <c r="AN1106" s="72">
        <f>(AZ1106-Driver!$K$183)/(Driver!$L$183-Driver!$K$183)</f>
        <v>0.5412581699346406</v>
      </c>
      <c r="AO1106" s="72"/>
      <c r="AP1106" s="72"/>
      <c r="AQ1106" s="72">
        <f>(BC1106-Driver!$K$188)/(Driver!$L$188-Driver!$K$188)</f>
        <v>0.13525470252440636</v>
      </c>
      <c r="AR1106" s="72">
        <f>MIN((BD1106-Driver!$K$189)/(Driver!$L$189-Driver!$K$189),100%)</f>
        <v>6.3210452804291314E-2</v>
      </c>
      <c r="AS1106" s="72">
        <f>(BE1106-Driver!$K$190)/(Driver!$L$190-Driver!$K$190)</f>
        <v>6.1707241866159862E-2</v>
      </c>
      <c r="AT1106" s="72">
        <f>(BF1106-Driver!$K$191)/(Driver!$L$191-Driver!$K$191)</f>
        <v>9.6723472498268293E-2</v>
      </c>
      <c r="AU1106" s="72">
        <f>(BG1106-Driver!$K$192)/(Driver!$L$192-Driver!$K$192)</f>
        <v>1.8255098553036343E-2</v>
      </c>
      <c r="AV1106" s="70">
        <f t="shared" si="652"/>
        <v>9.5526387193053868</v>
      </c>
      <c r="AW1106" s="70">
        <f t="shared" si="653"/>
        <v>56.271736009466949</v>
      </c>
      <c r="AX1106" s="70">
        <f t="shared" si="654"/>
        <v>6.8639726807057491</v>
      </c>
      <c r="AY1106" s="70">
        <f>IFERROR(Driver!$K$19/Data!BH1106/Data!BI1106*Data!BK1106*Data!BL1106,"")</f>
        <v>7.7904803072435441E-2</v>
      </c>
      <c r="AZ1106" s="70">
        <f t="shared" si="655"/>
        <v>49.329858525688763</v>
      </c>
      <c r="BA1106" s="70"/>
      <c r="BB1106" s="70"/>
      <c r="BC1106" s="70">
        <f t="shared" si="656"/>
        <v>70.15755447484689</v>
      </c>
      <c r="BD1106" s="70">
        <f t="shared" si="657"/>
        <v>7.3148359549826631</v>
      </c>
      <c r="BE1106" s="70">
        <f t="shared" si="658"/>
        <v>6.1874622733276097E-2</v>
      </c>
      <c r="BF1106" s="70">
        <f t="shared" si="659"/>
        <v>10.924236697826904</v>
      </c>
      <c r="BG1106" s="70">
        <f t="shared" si="660"/>
        <v>6.9125448615700122E-2</v>
      </c>
      <c r="BH1106" s="67">
        <f>MAX((CE1106-Driver!$F$200)/(Driver!$G$200-Driver!$F$200)*$BI$1,1)</f>
        <v>6.8639726807057491</v>
      </c>
      <c r="BI1106" s="67">
        <f>MAX($BI$1*(BY1106-Driver!$F$201)/(Driver!$G$201-Driver!$F$201),1)</f>
        <v>6.7088607594936711</v>
      </c>
      <c r="BJ1106" s="67">
        <f>(CB1106-Driver!$F$206)/(Driver!$G$206-Driver!$F$206)*$BI$1</f>
        <v>6.825396825396826</v>
      </c>
      <c r="BK1106" s="67">
        <f>(CD1106-Driver!$F$203)/(Driver!$G$203-Driver!$F$203)*$BI$1</f>
        <v>3.71559633027523</v>
      </c>
      <c r="BL1106" s="67">
        <f>MAX((CR1106-Driver!$F$202)/(Driver!$G$202-Driver!$F$202)*$BI$1,1)</f>
        <v>4.8275862068965516</v>
      </c>
      <c r="BM1106" s="67">
        <f>MAX((CH1106-Driver!$F$204)/(Driver!$G$204-Driver!$F$204)*$BI$1,1)</f>
        <v>5.5982905982905979</v>
      </c>
      <c r="BN1106" s="67">
        <f>(CI1106-Driver!$F$205)/(Driver!$G$205-Driver!$F$205)*$BI$1</f>
        <v>7.3529411764705888</v>
      </c>
      <c r="BO1106" s="67">
        <f>(CK1106-Driver!$F$207)/(Driver!$G$207-Driver!$F$207)*$BI$1</f>
        <v>2.3474663908996898</v>
      </c>
      <c r="BP1106" s="67">
        <f>(CM1106-Driver!$F$208)/(Driver!$G$208-Driver!$F$208)*$BI$1</f>
        <v>2.5333333333333337</v>
      </c>
      <c r="BQ1106" s="67">
        <f>(CL1106-Driver!$F$209)/(Driver!$G$209-Driver!$F$209)*$BI$1</f>
        <v>2.65625</v>
      </c>
      <c r="BR1106" s="28" t="s">
        <v>155</v>
      </c>
      <c r="BS1106" s="8" t="s">
        <v>229</v>
      </c>
      <c r="BT1106" s="9" t="s">
        <v>861</v>
      </c>
      <c r="BU1106" s="10">
        <v>170</v>
      </c>
      <c r="BV1106" s="9" t="s">
        <v>158</v>
      </c>
      <c r="BW1106" s="10">
        <v>170</v>
      </c>
      <c r="BX1106" s="10">
        <v>170.7</v>
      </c>
      <c r="BY1106" s="10">
        <v>114</v>
      </c>
      <c r="BZ1106" s="10">
        <v>147</v>
      </c>
      <c r="CA1106" s="10">
        <v>145</v>
      </c>
      <c r="CB1106" s="10">
        <v>107</v>
      </c>
      <c r="CC1106" s="10">
        <v>128</v>
      </c>
      <c r="CD1106" s="10">
        <v>17.5</v>
      </c>
      <c r="CE1106" s="10">
        <v>2106</v>
      </c>
      <c r="CF1106" s="10">
        <v>0.96</v>
      </c>
      <c r="CG1106" s="10">
        <v>2025</v>
      </c>
      <c r="CH1106" s="10">
        <v>232</v>
      </c>
      <c r="CI1106" s="10">
        <v>158</v>
      </c>
      <c r="CJ1106" s="10">
        <v>52</v>
      </c>
      <c r="CK1106" s="10">
        <v>337</v>
      </c>
      <c r="CL1106" s="10">
        <v>17</v>
      </c>
      <c r="CM1106" s="10">
        <v>228</v>
      </c>
      <c r="CN1106" s="10">
        <v>0.32700000000000001</v>
      </c>
      <c r="CO1106" s="10">
        <v>136</v>
      </c>
      <c r="CP1106" s="10">
        <v>100</v>
      </c>
      <c r="CQ1106" s="10">
        <v>201</v>
      </c>
      <c r="CR1106" s="10">
        <v>3</v>
      </c>
      <c r="CS1106" s="10">
        <v>11.7</v>
      </c>
      <c r="CT1106" s="9" t="s">
        <v>178</v>
      </c>
      <c r="CU1106" s="10"/>
      <c r="CV1106" s="10"/>
      <c r="CW1106" s="10"/>
      <c r="CX1106" t="e">
        <f>INDEX('Data_Price '!AG$2:AG$1266,MATCH(Data!$DN1106,'Data_Price '!$AT$2:$AT$1266,0))</f>
        <v>#N/A</v>
      </c>
      <c r="CY1106" t="e">
        <f>INDEX('Data_Price '!AH$2:AH$1266,MATCH(Data!$DN1106,'Data_Price '!$AT$2:$AT$1266,0))</f>
        <v>#N/A</v>
      </c>
      <c r="CZ1106" t="e">
        <f>INDEX('Data_Price '!AI$2:AI$1266,MATCH(Data!$DN1106,'Data_Price '!$AT$2:$AT$1266,0))</f>
        <v>#N/A</v>
      </c>
      <c r="DA1106" t="e">
        <f>INDEX('Data_Price '!AJ$2:AJ$1266,MATCH(Data!$DN1106,'Data_Price '!$AT$2:$AT$1266,0))</f>
        <v>#N/A</v>
      </c>
      <c r="DB1106" t="e">
        <f>INDEX('Data_Price '!AK$2:AK$1266,MATCH(Data!$DN1106,'Data_Price '!$AT$2:$AT$1266,0))</f>
        <v>#N/A</v>
      </c>
      <c r="DC1106" t="e">
        <f>INDEX('Data_Price '!AL$2:AL$1266,MATCH(Data!$DN1106,'Data_Price '!$AT$2:$AT$1266,0))</f>
        <v>#N/A</v>
      </c>
      <c r="DD1106" t="e">
        <f>INDEX('Data_Price '!AM$2:AM$1266,MATCH(Data!$DN1106,'Data_Price '!$AT$2:$AT$1266,0))</f>
        <v>#N/A</v>
      </c>
      <c r="DE1106" t="e">
        <f>INDEX('Data_Price '!AN$2:AN$1266,MATCH(Data!$DN1106,'Data_Price '!$AT$2:$AT$1266,0))</f>
        <v>#N/A</v>
      </c>
      <c r="DF1106" t="e">
        <f>INDEX('Data_Price '!AO$2:AO$1266,MATCH(Data!$DN1106,'Data_Price '!$AT$2:$AT$1266,0))</f>
        <v>#N/A</v>
      </c>
      <c r="DG1106" t="e">
        <f>INDEX('Data_Price '!AP$2:AP$1266,MATCH(Data!$DN1106,'Data_Price '!$AT$2:$AT$1266,0))</f>
        <v>#N/A</v>
      </c>
      <c r="DH1106" t="e">
        <f>INDEX('Data_Price '!AQ$2:AQ$1266,MATCH(Data!$DN1106,'Data_Price '!$AT$2:$AT$1266,0))</f>
        <v>#N/A</v>
      </c>
      <c r="DI1106" t="e">
        <f>INDEX('Data_Price '!AR$2:AR$1266,MATCH(Data!$DN1106,'Data_Price '!$AT$2:$AT$1266,0))</f>
        <v>#N/A</v>
      </c>
      <c r="DJ1106" s="89" t="e">
        <f t="shared" si="661"/>
        <v>#N/A</v>
      </c>
      <c r="DK1106" s="89" t="e">
        <f t="shared" si="662"/>
        <v>#N/A</v>
      </c>
      <c r="DL1106" s="89" t="e">
        <f t="shared" si="663"/>
        <v>#N/A</v>
      </c>
      <c r="DM1106" s="219" t="str">
        <f t="shared" si="664"/>
        <v>Katana 108</v>
      </c>
      <c r="DN1106" s="89" t="str">
        <f t="shared" si="665"/>
        <v xml:space="preserve"> VölklKatana 108170 Unisex</v>
      </c>
      <c r="DO1106" s="221" t="s">
        <v>862</v>
      </c>
    </row>
    <row r="1107" spans="2:119" ht="15.6" customHeight="1">
      <c r="B1107" s="219" t="b">
        <f t="array" ref="B1107">IF(OR(ISERROR(K1107:P1107)),FALSE,TRUE)</f>
        <v>1</v>
      </c>
      <c r="C1107" s="43" t="b">
        <f>OR(BR1107=Driver!$G$50,Data!BR1069=Driver!$H$50)</f>
        <v>1</v>
      </c>
      <c r="D1107" s="43" t="b">
        <f>OR(BV1107=Driver!$G$51,BV1107=Driver!$H$51)</f>
        <v>1</v>
      </c>
      <c r="E1107" s="43" t="b">
        <f>AND(BX1107&gt;Driver!$F$54,BX1107&lt;Driver!$G$54)</f>
        <v>0</v>
      </c>
      <c r="F1107" s="43" t="b">
        <f>CL1107&gt;Driver!$F$56</f>
        <v>1</v>
      </c>
      <c r="G1107" s="43" t="b">
        <f>AND(CB1107&gt;Driver!$F$55,CB1107&lt;Driver!$G$55)</f>
        <v>0</v>
      </c>
      <c r="H1107" s="43" t="b">
        <f t="shared" si="629"/>
        <v>0</v>
      </c>
      <c r="I1107" s="43">
        <f t="shared" si="630"/>
        <v>0</v>
      </c>
      <c r="J1107" s="43" t="b">
        <f t="array" ref="J1107">NOT(OR(($H$9:$H$1273=TRUE)*($I$9:$I$1273&gt;0)*($BT$9:$BT$1273=BT1107)*($K$9:$K$1273&gt;K1107)))</f>
        <v>1</v>
      </c>
      <c r="K1107" s="72">
        <f t="shared" si="631"/>
        <v>0.7592847613741579</v>
      </c>
      <c r="L1107" s="72">
        <f t="shared" si="632"/>
        <v>0.96737709198353039</v>
      </c>
      <c r="M1107" s="72">
        <f t="shared" si="633"/>
        <v>0.5511924307647853</v>
      </c>
      <c r="N1107" s="72">
        <f t="shared" si="634"/>
        <v>0.33693724199044695</v>
      </c>
      <c r="O1107" s="72">
        <f t="shared" si="635"/>
        <v>0.59232260180552232</v>
      </c>
      <c r="P1107" s="72">
        <f t="shared" si="636"/>
        <v>0.72431744849838675</v>
      </c>
      <c r="Q1107" s="72"/>
      <c r="R1107" s="72"/>
      <c r="S1107" s="72">
        <f t="shared" si="637"/>
        <v>0.49026444047867224</v>
      </c>
      <c r="T1107" s="72">
        <f t="shared" si="638"/>
        <v>0.76723736855004454</v>
      </c>
      <c r="U1107" s="72">
        <f t="shared" si="639"/>
        <v>0.96342454464411409</v>
      </c>
      <c r="V1107" s="72">
        <f t="shared" si="640"/>
        <v>0.51879964983485172</v>
      </c>
      <c r="W1107" s="72">
        <f t="shared" si="641"/>
        <v>0.75412890926053622</v>
      </c>
      <c r="X1107" s="72">
        <f t="shared" si="642"/>
        <v>3.2622908016469609E-2</v>
      </c>
      <c r="Y1107" s="72">
        <f t="shared" si="643"/>
        <v>0.44880756923521464</v>
      </c>
      <c r="Z1107" s="72">
        <f t="shared" si="644"/>
        <v>0.66306275800955305</v>
      </c>
      <c r="AA1107" s="72">
        <f t="shared" si="645"/>
        <v>0.40767739819447762</v>
      </c>
      <c r="AB1107" s="72">
        <f t="shared" si="646"/>
        <v>0.2756825515016133</v>
      </c>
      <c r="AC1107" s="72"/>
      <c r="AD1107" s="72"/>
      <c r="AE1107" s="72">
        <f t="shared" si="647"/>
        <v>0.50973555952132776</v>
      </c>
      <c r="AF1107" s="72">
        <f t="shared" si="648"/>
        <v>0.23276263144995546</v>
      </c>
      <c r="AG1107" s="72">
        <f t="shared" si="649"/>
        <v>3.6575455355885911E-2</v>
      </c>
      <c r="AH1107" s="72">
        <f t="shared" si="650"/>
        <v>0.48120035016514828</v>
      </c>
      <c r="AI1107" s="72">
        <f t="shared" si="651"/>
        <v>0.24587109073946375</v>
      </c>
      <c r="AJ1107" s="72">
        <f>(AV1107-Driver!$K$179)/(Driver!$L$179-Driver!$K$179)</f>
        <v>0.28684231729917004</v>
      </c>
      <c r="AK1107" s="72">
        <f>(AW1107-Driver!$K$180)/(Driver!$L$180-Driver!$K$180)</f>
        <v>0.55771571510336182</v>
      </c>
      <c r="AL1107" s="72">
        <f>(AX1107-Driver!$K$181)/(Driver!$L$181-Driver!$K$181)</f>
        <v>0.76475052172263325</v>
      </c>
      <c r="AM1107" s="72">
        <f>(AY1107-Driver!$K$182)/(Driver!$L$182-Driver!$K$182)</f>
        <v>3.9707622902568747E-2</v>
      </c>
      <c r="AN1107" s="72">
        <f>(AZ1107-Driver!$K$183)/(Driver!$L$183-Driver!$K$183)</f>
        <v>0.52990196078431373</v>
      </c>
      <c r="AO1107" s="72"/>
      <c r="AP1107" s="72"/>
      <c r="AQ1107" s="72">
        <f>(BC1107-Driver!$K$188)/(Driver!$L$188-Driver!$K$188)</f>
        <v>0.11026444047867223</v>
      </c>
      <c r="AR1107" s="72">
        <f>MIN((BD1107-Driver!$K$189)/(Driver!$L$189-Driver!$K$189),100%)</f>
        <v>0.7827626314499555</v>
      </c>
      <c r="AS1107" s="72">
        <f>(BE1107-Driver!$K$190)/(Driver!$L$190-Driver!$K$190)</f>
        <v>0.54657545535588592</v>
      </c>
      <c r="AT1107" s="72">
        <f>(BF1107-Driver!$K$191)/(Driver!$L$191-Driver!$K$191)</f>
        <v>2.8799649834851709E-2</v>
      </c>
      <c r="AU1107" s="72">
        <f>(BG1107-Driver!$K$192)/(Driver!$L$192-Driver!$K$192)</f>
        <v>4.1289092605362419E-3</v>
      </c>
      <c r="AV1107" s="70">
        <f t="shared" si="652"/>
        <v>6.0371727038393699</v>
      </c>
      <c r="AW1107" s="70">
        <f t="shared" si="653"/>
        <v>56.226230922244582</v>
      </c>
      <c r="AX1107" s="70">
        <f t="shared" si="654"/>
        <v>7.8827546955036993</v>
      </c>
      <c r="AY1107" s="70">
        <f>IFERROR(Driver!$K$19/Data!BH1107/Data!BI1107*Data!BK1107*Data!BL1107,"")</f>
        <v>4.86139780439327E-2</v>
      </c>
      <c r="AZ1107" s="70">
        <f t="shared" si="655"/>
        <v>48.294862248696951</v>
      </c>
      <c r="BA1107" s="70"/>
      <c r="BB1107" s="70"/>
      <c r="BC1107" s="70">
        <f t="shared" si="656"/>
        <v>57.194931822241372</v>
      </c>
      <c r="BD1107" s="70">
        <f t="shared" si="657"/>
        <v>70.99392879410739</v>
      </c>
      <c r="BE1107" s="70">
        <f t="shared" si="658"/>
        <v>0.54665634119113982</v>
      </c>
      <c r="BF1107" s="70">
        <f t="shared" si="659"/>
        <v>3.2527181198553881</v>
      </c>
      <c r="BG1107" s="70">
        <f t="shared" si="660"/>
        <v>1.5634684419746074E-2</v>
      </c>
      <c r="BH1107" s="67">
        <f>MAX((CE1107-Driver!$F$200)/(Driver!$G$200-Driver!$F$200)*$BI$1,1)</f>
        <v>7.8827546955036993</v>
      </c>
      <c r="BI1107" s="67">
        <f>MAX($BI$1*(BY1107-Driver!$F$201)/(Driver!$G$201-Driver!$F$201),1)</f>
        <v>8.7341772151898738</v>
      </c>
      <c r="BJ1107" s="67">
        <f>(CB1107-Driver!$F$206)/(Driver!$G$206-Driver!$F$206)*$BI$1</f>
        <v>3.1746031746031744</v>
      </c>
      <c r="BK1107" s="67">
        <f>(CD1107-Driver!$F$203)/(Driver!$G$203-Driver!$F$203)*$BI$1</f>
        <v>2.1100917431192663</v>
      </c>
      <c r="BL1107" s="67">
        <f>MAX((CR1107-Driver!$F$202)/(Driver!$G$202-Driver!$F$202)*$BI$1,1)</f>
        <v>7.931034482758621</v>
      </c>
      <c r="BM1107" s="67">
        <f>MAX((CH1107-Driver!$F$204)/(Driver!$G$204-Driver!$F$204)*$BI$1,1)</f>
        <v>7.6068376068376065</v>
      </c>
      <c r="BN1107" s="67">
        <f>(CI1107-Driver!$F$205)/(Driver!$G$205-Driver!$F$205)*$BI$1</f>
        <v>5.5294117647058822</v>
      </c>
      <c r="BO1107" s="67">
        <f>(CK1107-Driver!$F$207)/(Driver!$G$207-Driver!$F$207)*$BI$1</f>
        <v>1.5201654601861427</v>
      </c>
      <c r="BP1107" s="67">
        <f>(CM1107-Driver!$F$208)/(Driver!$G$208-Driver!$F$208)*$BI$1</f>
        <v>1.4222222222222223</v>
      </c>
      <c r="BQ1107" s="67">
        <f>(CL1107-Driver!$F$209)/(Driver!$G$209-Driver!$F$209)*$BI$1</f>
        <v>0.9375</v>
      </c>
      <c r="BR1107" s="28" t="s">
        <v>155</v>
      </c>
      <c r="BS1107" s="8" t="s">
        <v>174</v>
      </c>
      <c r="BT1107" s="9" t="s">
        <v>863</v>
      </c>
      <c r="BU1107" s="10">
        <v>185</v>
      </c>
      <c r="BV1107" s="9" t="s">
        <v>158</v>
      </c>
      <c r="BW1107" s="10">
        <v>185</v>
      </c>
      <c r="BX1107" s="10">
        <v>184.3</v>
      </c>
      <c r="BY1107" s="10">
        <v>146</v>
      </c>
      <c r="BZ1107" s="10">
        <v>152</v>
      </c>
      <c r="CA1107" s="10">
        <v>130</v>
      </c>
      <c r="CB1107" s="10">
        <v>84</v>
      </c>
      <c r="CC1107" s="10">
        <v>114</v>
      </c>
      <c r="CD1107" s="10">
        <v>14</v>
      </c>
      <c r="CE1107" s="10">
        <v>2285</v>
      </c>
      <c r="CF1107" s="10">
        <v>0.81</v>
      </c>
      <c r="CG1107" s="10">
        <v>1843</v>
      </c>
      <c r="CH1107" s="10">
        <v>279</v>
      </c>
      <c r="CI1107" s="10">
        <v>127</v>
      </c>
      <c r="CJ1107" s="10">
        <v>35</v>
      </c>
      <c r="CK1107" s="10">
        <v>257</v>
      </c>
      <c r="CL1107" s="10">
        <v>6</v>
      </c>
      <c r="CM1107" s="10">
        <v>128</v>
      </c>
      <c r="CN1107" s="10">
        <v>0.161</v>
      </c>
      <c r="CO1107" s="10">
        <v>196</v>
      </c>
      <c r="CP1107" s="10">
        <v>127</v>
      </c>
      <c r="CQ1107" s="10">
        <v>61</v>
      </c>
      <c r="CR1107" s="10">
        <v>12</v>
      </c>
      <c r="CS1107" s="10">
        <v>7.7</v>
      </c>
      <c r="CT1107" s="9" t="s">
        <v>231</v>
      </c>
      <c r="CU1107" s="9" t="s">
        <v>188</v>
      </c>
      <c r="CV1107" s="10"/>
      <c r="CW1107" s="10"/>
      <c r="CX1107" t="str">
        <f>INDEX('Data_Price '!AG$2:AG$1266,MATCH(Data!$DN1107,'Data_Price '!$AT$2:$AT$1266,0))</f>
        <v>16-17 Salomon Qst 85  Men's Demo Skis W/bindings Size 185cm 9561</v>
      </c>
      <c r="CY1107" t="str">
        <f>INDEX('Data_Price '!AH$2:AH$1266,MATCH(Data!$DN1107,'Data_Price '!$AT$2:$AT$1266,0))</f>
        <v>eBay - demo-skis</v>
      </c>
      <c r="CZ1107">
        <f>INDEX('Data_Price '!AI$2:AI$1266,MATCH(Data!$DN1107,'Data_Price '!$AT$2:$AT$1266,0))</f>
        <v>279</v>
      </c>
      <c r="DA1107" t="str">
        <f>INDEX('Data_Price '!AJ$2:AJ$1266,MATCH(Data!$DN1107,'Data_Price '!$AT$2:$AT$1266,0))</f>
        <v>https://tinyurl.com/y95qyx4y</v>
      </c>
      <c r="DB1107" t="str">
        <f>INDEX('Data_Price '!AK$2:AK$1266,MATCH(Data!$DN1107,'Data_Price '!$AT$2:$AT$1266,0))</f>
        <v>Salomon Qst 85 Flat Mount Men's Snow Skis 185</v>
      </c>
      <c r="DC1107" t="str">
        <f>INDEX('Data_Price '!AL$2:AL$1266,MATCH(Data!$DN1107,'Data_Price '!$AT$2:$AT$1266,0))</f>
        <v>eBay - skiba5827</v>
      </c>
      <c r="DD1107">
        <f>INDEX('Data_Price '!AM$2:AM$1266,MATCH(Data!$DN1107,'Data_Price '!$AT$2:$AT$1266,0))</f>
        <v>369</v>
      </c>
      <c r="DE1107" t="str">
        <f>INDEX('Data_Price '!AN$2:AN$1266,MATCH(Data!$DN1107,'Data_Price '!$AT$2:$AT$1266,0))</f>
        <v>https://tinyurl.com/yaph3lcm</v>
      </c>
      <c r="DF1107" t="str">
        <f>INDEX('Data_Price '!AO$2:AO$1266,MATCH(Data!$DN1107,'Data_Price '!$AT$2:$AT$1266,0))</f>
        <v>Salomon QST 92 Skis</v>
      </c>
      <c r="DG1107" t="str">
        <f>INDEX('Data_Price '!AP$2:AP$1266,MATCH(Data!$DN1107,'Data_Price '!$AT$2:$AT$1266,0))</f>
        <v>The-House.com</v>
      </c>
      <c r="DH1107">
        <f>INDEX('Data_Price '!AQ$2:AQ$1266,MATCH(Data!$DN1107,'Data_Price '!$AT$2:$AT$1266,0))</f>
        <v>383.95</v>
      </c>
      <c r="DI1107" t="str">
        <f>INDEX('Data_Price '!AR$2:AR$1266,MATCH(Data!$DN1107,'Data_Price '!$AT$2:$AT$1266,0))</f>
        <v>https://tinyurl.com/y7agxbbn</v>
      </c>
      <c r="DJ1107" s="89" t="str">
        <f t="shared" si="661"/>
        <v>https://tinyurl.com/y95qyx4y</v>
      </c>
      <c r="DK1107" s="89" t="str">
        <f t="shared" si="662"/>
        <v>https://tinyurl.com/yaph3lcm</v>
      </c>
      <c r="DL1107" s="89" t="str">
        <f t="shared" si="663"/>
        <v>https://tinyurl.com/y7agxbbn</v>
      </c>
      <c r="DM1107" s="219" t="str">
        <f t="shared" si="664"/>
        <v>QST 85</v>
      </c>
      <c r="DN1107" s="89" t="str">
        <f t="shared" si="665"/>
        <v xml:space="preserve"> SalomonQST 85185 Unisex</v>
      </c>
      <c r="DO1107" s="221"/>
    </row>
    <row r="1108" spans="2:119" ht="15.6" customHeight="1">
      <c r="B1108" s="219" t="b">
        <f t="array" ref="B1108">IF(OR(ISERROR(K1108:P1108)),FALSE,TRUE)</f>
        <v>1</v>
      </c>
      <c r="C1108" s="43" t="b">
        <f>OR(BR1108=Driver!$G$50,Data!BR374=Driver!$H$50)</f>
        <v>1</v>
      </c>
      <c r="D1108" s="43" t="b">
        <f>OR(BV1108=Driver!$G$51,BV1108=Driver!$H$51)</f>
        <v>0</v>
      </c>
      <c r="E1108" s="43" t="b">
        <f>AND(BX1108&gt;Driver!$F$54,BX1108&lt;Driver!$G$54)</f>
        <v>1</v>
      </c>
      <c r="F1108" s="43" t="b">
        <f>CL1108&gt;Driver!$F$56</f>
        <v>1</v>
      </c>
      <c r="G1108" s="43" t="b">
        <f>AND(CB1108&gt;Driver!$F$55,CB1108&lt;Driver!$G$55)</f>
        <v>0</v>
      </c>
      <c r="H1108" s="43" t="b">
        <f t="shared" si="629"/>
        <v>0</v>
      </c>
      <c r="I1108" s="43">
        <f t="shared" si="630"/>
        <v>0</v>
      </c>
      <c r="J1108" s="43" t="b">
        <f t="array" ref="J1108">NOT(OR(($H$9:$H$1273=TRUE)*($I$9:$I$1273&gt;0)*($BT$9:$BT$1273=BT1108)*($K$9:$K$1273&gt;K1108)))</f>
        <v>1</v>
      </c>
      <c r="K1108" s="72">
        <f t="shared" si="631"/>
        <v>0.89902881602919926</v>
      </c>
      <c r="L1108" s="72">
        <f t="shared" si="632"/>
        <v>0.90652509156332317</v>
      </c>
      <c r="M1108" s="72">
        <f t="shared" si="633"/>
        <v>0.89153254049507535</v>
      </c>
      <c r="N1108" s="72">
        <f t="shared" si="634"/>
        <v>0.89831223628691981</v>
      </c>
      <c r="O1108" s="72">
        <f t="shared" si="635"/>
        <v>0.88610119970976475</v>
      </c>
      <c r="P1108" s="72">
        <f t="shared" si="636"/>
        <v>0.89018418548854139</v>
      </c>
      <c r="Q1108" s="72"/>
      <c r="R1108" s="72"/>
      <c r="S1108" s="72">
        <f t="shared" si="637"/>
        <v>0.41506131208255048</v>
      </c>
      <c r="T1108" s="72">
        <f t="shared" si="638"/>
        <v>0.45877037772813423</v>
      </c>
      <c r="U1108" s="72">
        <f t="shared" si="639"/>
        <v>0.60331247336801486</v>
      </c>
      <c r="V1108" s="72">
        <f t="shared" si="640"/>
        <v>0.53398562103794811</v>
      </c>
      <c r="W1108" s="72">
        <f t="shared" si="641"/>
        <v>0.87196627025731654</v>
      </c>
      <c r="X1108" s="72">
        <f t="shared" si="642"/>
        <v>9.3474908436676774E-2</v>
      </c>
      <c r="Y1108" s="72">
        <f t="shared" si="643"/>
        <v>0.10846745950492469</v>
      </c>
      <c r="Z1108" s="72">
        <f t="shared" si="644"/>
        <v>0.10168776371308018</v>
      </c>
      <c r="AA1108" s="72">
        <f t="shared" si="645"/>
        <v>0.11389880029023525</v>
      </c>
      <c r="AB1108" s="72">
        <f t="shared" si="646"/>
        <v>0.10981581451145861</v>
      </c>
      <c r="AC1108" s="72"/>
      <c r="AD1108" s="72"/>
      <c r="AE1108" s="72">
        <f t="shared" si="647"/>
        <v>0.58493868791744952</v>
      </c>
      <c r="AF1108" s="72">
        <f t="shared" si="648"/>
        <v>0.54122962227186577</v>
      </c>
      <c r="AG1108" s="72">
        <f t="shared" si="649"/>
        <v>0.39668752663198514</v>
      </c>
      <c r="AH1108" s="72">
        <f t="shared" si="650"/>
        <v>0.46601437896205194</v>
      </c>
      <c r="AI1108" s="72">
        <f t="shared" si="651"/>
        <v>0.1280337297426834</v>
      </c>
      <c r="AJ1108" s="72">
        <f>(AV1108-Driver!$K$179)/(Driver!$L$179-Driver!$K$179)</f>
        <v>0.16074450084602365</v>
      </c>
      <c r="AK1108" s="72">
        <f>(AW1108-Driver!$K$180)/(Driver!$L$180-Driver!$K$180)</f>
        <v>0.13028295069212759</v>
      </c>
      <c r="AL1108" s="72">
        <f>(AX1108-Driver!$K$181)/(Driver!$L$181-Driver!$K$181)</f>
        <v>0</v>
      </c>
      <c r="AM1108" s="72">
        <f>(AY1108-Driver!$K$182)/(Driver!$L$182-Driver!$K$182)</f>
        <v>0.33348622080681112</v>
      </c>
      <c r="AN1108" s="72">
        <f>(AZ1108-Driver!$K$183)/(Driver!$L$183-Driver!$K$183)</f>
        <v>0.14440359477124182</v>
      </c>
      <c r="AO1108" s="72"/>
      <c r="AP1108" s="72"/>
      <c r="AQ1108" s="72">
        <f>(BC1108-Driver!$K$188)/(Driver!$L$188-Driver!$K$188)</f>
        <v>3.5061312082550485E-2</v>
      </c>
      <c r="AR1108" s="72">
        <f>MIN((BD1108-Driver!$K$189)/(Driver!$L$189-Driver!$K$189),100%)</f>
        <v>8.7703777281343247E-3</v>
      </c>
      <c r="AS1108" s="72">
        <f>(BE1108-Driver!$K$190)/(Driver!$L$190-Driver!$K$190)</f>
        <v>0.90668752663198515</v>
      </c>
      <c r="AT1108" s="72">
        <f>(BF1108-Driver!$K$191)/(Driver!$L$191-Driver!$K$191)</f>
        <v>4.3985621037948078E-2</v>
      </c>
      <c r="AU1108" s="72">
        <f>(BG1108-Driver!$K$192)/(Driver!$L$192-Driver!$K$192)</f>
        <v>0.12196627025731659</v>
      </c>
      <c r="AV1108" s="70">
        <f t="shared" si="652"/>
        <v>3.3831908831908826</v>
      </c>
      <c r="AW1108" s="70">
        <f t="shared" si="653"/>
        <v>14.569120590786911</v>
      </c>
      <c r="AX1108" s="70">
        <f t="shared" si="654"/>
        <v>1</v>
      </c>
      <c r="AY1108" s="70">
        <f>IFERROR(Driver!$K$19/Data!BH1108/Data!BI1108*Data!BK1108*Data!BL1108,"")</f>
        <v>0.40828663695221157</v>
      </c>
      <c r="AZ1108" s="70">
        <f t="shared" si="655"/>
        <v>13.160833953834699</v>
      </c>
      <c r="BA1108" s="70"/>
      <c r="BB1108" s="70"/>
      <c r="BC1108" s="70">
        <f t="shared" si="656"/>
        <v>18.18654631950616</v>
      </c>
      <c r="BD1108" s="70">
        <f t="shared" si="657"/>
        <v>2.4969857728478417</v>
      </c>
      <c r="BE1108" s="70">
        <f t="shared" si="658"/>
        <v>0.90670417252695734</v>
      </c>
      <c r="BF1108" s="70">
        <f t="shared" si="659"/>
        <v>4.9678668797593302</v>
      </c>
      <c r="BG1108" s="70">
        <f t="shared" si="660"/>
        <v>0.46184210526315789</v>
      </c>
      <c r="BH1108" s="67">
        <f>MAX((CE1108-Driver!$F$200)/(Driver!$G$200-Driver!$F$200)*$BI$1,1)</f>
        <v>1</v>
      </c>
      <c r="BI1108" s="67">
        <f>MAX($BI$1*(BY1108-Driver!$F$201)/(Driver!$G$201-Driver!$F$201),1)</f>
        <v>6.3924050632911396</v>
      </c>
      <c r="BJ1108" s="67">
        <f>(CB1108-Driver!$F$206)/(Driver!$G$206-Driver!$F$206)*$BI$1</f>
        <v>3.333333333333333</v>
      </c>
      <c r="BK1108" s="67">
        <f>(CD1108-Driver!$F$203)/(Driver!$G$203-Driver!$F$203)*$BI$1</f>
        <v>2.522935779816514</v>
      </c>
      <c r="BL1108" s="67">
        <f>MAX((CR1108-Driver!$F$202)/(Driver!$G$202-Driver!$F$202)*$BI$1,1)</f>
        <v>5.1724137931034484</v>
      </c>
      <c r="BM1108" s="67">
        <f>MAX((CH1108-Driver!$F$204)/(Driver!$G$204-Driver!$F$204)*$BI$1,1)</f>
        <v>4.0598290598290596</v>
      </c>
      <c r="BN1108" s="67">
        <f>(CI1108-Driver!$F$205)/(Driver!$G$205-Driver!$F$205)*$BI$1</f>
        <v>2.0588235294117645</v>
      </c>
      <c r="BO1108" s="67">
        <f>(CK1108-Driver!$F$207)/(Driver!$G$207-Driver!$F$207)*$BI$1</f>
        <v>2.0889348500517064</v>
      </c>
      <c r="BP1108" s="67">
        <f>(CM1108-Driver!$F$208)/(Driver!$G$208-Driver!$F$208)*$BI$1</f>
        <v>1.7999999999999998</v>
      </c>
      <c r="BQ1108" s="67">
        <f>(CL1108-Driver!$F$209)/(Driver!$G$209-Driver!$F$209)*$BI$1</f>
        <v>1.875</v>
      </c>
      <c r="BR1108" s="28" t="s">
        <v>155</v>
      </c>
      <c r="BS1108" s="8" t="s">
        <v>329</v>
      </c>
      <c r="BT1108" s="9" t="s">
        <v>864</v>
      </c>
      <c r="BU1108" s="10">
        <v>158</v>
      </c>
      <c r="BV1108" s="9" t="s">
        <v>163</v>
      </c>
      <c r="BW1108" s="10">
        <v>158</v>
      </c>
      <c r="BX1108" s="10">
        <v>156.19999999999999</v>
      </c>
      <c r="BY1108" s="10">
        <v>109</v>
      </c>
      <c r="BZ1108" s="10">
        <v>134</v>
      </c>
      <c r="CA1108" s="10">
        <v>121</v>
      </c>
      <c r="CB1108" s="10">
        <v>85</v>
      </c>
      <c r="CC1108" s="10">
        <v>108</v>
      </c>
      <c r="CD1108" s="10">
        <v>14.9</v>
      </c>
      <c r="CE1108" s="10">
        <v>1055</v>
      </c>
      <c r="CF1108" s="10">
        <v>1.41</v>
      </c>
      <c r="CG1108" s="10">
        <v>1491</v>
      </c>
      <c r="CH1108" s="10">
        <v>196</v>
      </c>
      <c r="CI1108" s="10">
        <v>68</v>
      </c>
      <c r="CJ1108" s="10">
        <v>52</v>
      </c>
      <c r="CK1108" s="10">
        <v>312</v>
      </c>
      <c r="CL1108" s="10">
        <v>12</v>
      </c>
      <c r="CM1108" s="10">
        <v>162</v>
      </c>
      <c r="CN1108" s="10">
        <v>0.22800000000000001</v>
      </c>
      <c r="CO1108" s="10">
        <v>136</v>
      </c>
      <c r="CP1108" s="10">
        <v>90</v>
      </c>
      <c r="CQ1108" s="10">
        <v>176</v>
      </c>
      <c r="CR1108" s="10">
        <v>4</v>
      </c>
      <c r="CS1108" s="10">
        <v>12.6</v>
      </c>
      <c r="CT1108" s="9" t="s">
        <v>185</v>
      </c>
      <c r="CU1108" s="9" t="s">
        <v>198</v>
      </c>
      <c r="CV1108" s="10"/>
      <c r="CW1108" s="10"/>
      <c r="CX1108" t="str">
        <f>INDEX('Data_Price '!AG$2:AG$1266,MATCH(Data!$DN1108,'Data_Price '!$AT$2:$AT$1266,0))</f>
        <v>Dynafit Blacklight 88 W Alpine Touring Ski 158</v>
      </c>
      <c r="CY1108" t="str">
        <f>INDEX('Data_Price '!AH$2:AH$1266,MATCH(Data!$DN1108,'Data_Price '!$AT$2:$AT$1266,0))</f>
        <v>Cripple Creek Backcountry</v>
      </c>
      <c r="CZ1108">
        <f>INDEX('Data_Price '!AI$2:AI$1266,MATCH(Data!$DN1108,'Data_Price '!$AT$2:$AT$1266,0))</f>
        <v>549.95000000000005</v>
      </c>
      <c r="DA1108" t="str">
        <f>INDEX('Data_Price '!AJ$2:AJ$1266,MATCH(Data!$DN1108,'Data_Price '!$AT$2:$AT$1266,0))</f>
        <v>https://tinyurl.com/y9dr9fy4</v>
      </c>
      <c r="DB1108" t="str">
        <f>INDEX('Data_Price '!AK$2:AK$1266,MATCH(Data!$DN1108,'Data_Price '!$AT$2:$AT$1266,0))</f>
        <v>Dynafit Blacklight 88 Women Ski 2022</v>
      </c>
      <c r="DC1108" t="str">
        <f>INDEX('Data_Price '!AL$2:AL$1266,MATCH(Data!$DN1108,'Data_Price '!$AT$2:$AT$1266,0))</f>
        <v>Next Adventure</v>
      </c>
      <c r="DD1108">
        <f>INDEX('Data_Price '!AM$2:AM$1266,MATCH(Data!$DN1108,'Data_Price '!$AT$2:$AT$1266,0))</f>
        <v>489.97</v>
      </c>
      <c r="DE1108" t="str">
        <f>INDEX('Data_Price '!AN$2:AN$1266,MATCH(Data!$DN1108,'Data_Price '!$AT$2:$AT$1266,0))</f>
        <v>https://tinyurl.com/yblzzpwh</v>
      </c>
      <c r="DF1108" t="str">
        <f>INDEX('Data_Price '!AO$2:AO$1266,MATCH(Data!$DN1108,'Data_Price '!$AT$2:$AT$1266,0))</f>
        <v>Dynafit Blacklight 88 Women Ski 2022</v>
      </c>
      <c r="DG1108" t="str">
        <f>INDEX('Data_Price '!AP$2:AP$1266,MATCH(Data!$DN1108,'Data_Price '!$AT$2:$AT$1266,0))</f>
        <v>! OutdoorXL.com</v>
      </c>
      <c r="DH1108">
        <f>INDEX('Data_Price '!AQ$2:AQ$1266,MATCH(Data!$DN1108,'Data_Price '!$AT$2:$AT$1266,0))</f>
        <v>524.95000000000005</v>
      </c>
      <c r="DI1108" t="str">
        <f>INDEX('Data_Price '!AR$2:AR$1266,MATCH(Data!$DN1108,'Data_Price '!$AT$2:$AT$1266,0))</f>
        <v>https://tinyurl.com/ya93wkx4</v>
      </c>
      <c r="DJ1108" s="89" t="str">
        <f t="shared" si="661"/>
        <v>https://tinyurl.com/y9dr9fy4</v>
      </c>
      <c r="DK1108" s="89" t="str">
        <f t="shared" si="662"/>
        <v>https://tinyurl.com/yblzzpwh</v>
      </c>
      <c r="DL1108" s="89" t="str">
        <f t="shared" si="663"/>
        <v>https://tinyurl.com/ya93wkx4</v>
      </c>
      <c r="DM1108" s="219" t="str">
        <f t="shared" si="664"/>
        <v>Blacklight 88 W</v>
      </c>
      <c r="DN1108" s="89" t="str">
        <f t="shared" si="665"/>
        <v xml:space="preserve"> DynafitBlacklight 88 W158 Women's</v>
      </c>
      <c r="DO1108" s="221"/>
    </row>
    <row r="1109" spans="2:119" ht="15.6" customHeight="1">
      <c r="B1109" s="219" t="b">
        <f t="array" ref="B1109">IF(OR(ISERROR(K1109:P1109)),FALSE,TRUE)</f>
        <v>1</v>
      </c>
      <c r="C1109" s="43" t="b">
        <f>OR(BR1109=Driver!$G$50,Data!BR951=Driver!$H$50)</f>
        <v>1</v>
      </c>
      <c r="D1109" s="43" t="b">
        <f>OR(BV1109=Driver!$G$51,BV1109=Driver!$H$51)</f>
        <v>1</v>
      </c>
      <c r="E1109" s="43" t="b">
        <f>AND(BX1109&gt;Driver!$F$54,BX1109&lt;Driver!$G$54)</f>
        <v>1</v>
      </c>
      <c r="F1109" s="43" t="b">
        <f>CL1109&gt;Driver!$F$56</f>
        <v>1</v>
      </c>
      <c r="G1109" s="43" t="b">
        <f>AND(CB1109&gt;Driver!$F$55,CB1109&lt;Driver!$G$55)</f>
        <v>0</v>
      </c>
      <c r="H1109" s="43" t="b">
        <f t="shared" si="629"/>
        <v>0</v>
      </c>
      <c r="I1109" s="43">
        <f t="shared" si="630"/>
        <v>0</v>
      </c>
      <c r="J1109" s="43" t="b">
        <f t="array" ref="J1109">NOT(OR(($H$9:$H$1273=TRUE)*($I$9:$I$1273&gt;0)*($BT$9:$BT$1273=BT1109)*($K$9:$K$1273&gt;K1109)))</f>
        <v>1</v>
      </c>
      <c r="K1109" s="72">
        <f t="shared" si="631"/>
        <v>0.88661322360858297</v>
      </c>
      <c r="L1109" s="72">
        <f t="shared" si="632"/>
        <v>0.95398299181310164</v>
      </c>
      <c r="M1109" s="72">
        <f t="shared" si="633"/>
        <v>0.81924345540406418</v>
      </c>
      <c r="N1109" s="72">
        <f t="shared" si="634"/>
        <v>0.93138484839024449</v>
      </c>
      <c r="O1109" s="72">
        <f t="shared" si="635"/>
        <v>0.73967440422883157</v>
      </c>
      <c r="P1109" s="72">
        <f t="shared" si="636"/>
        <v>0.78667111359311659</v>
      </c>
      <c r="Q1109" s="72"/>
      <c r="R1109" s="72"/>
      <c r="S1109" s="72">
        <f t="shared" si="637"/>
        <v>0.38936319910711537</v>
      </c>
      <c r="T1109" s="72">
        <f t="shared" si="638"/>
        <v>0.46194212364025489</v>
      </c>
      <c r="U1109" s="72">
        <f t="shared" si="639"/>
        <v>0.55104563896663961</v>
      </c>
      <c r="V1109" s="72">
        <f t="shared" si="640"/>
        <v>0.61508402181753086</v>
      </c>
      <c r="W1109" s="72">
        <f t="shared" si="641"/>
        <v>0.90048787699586041</v>
      </c>
      <c r="X1109" s="72">
        <f t="shared" si="642"/>
        <v>4.6017008186898356E-2</v>
      </c>
      <c r="Y1109" s="72">
        <f t="shared" si="643"/>
        <v>0.18075654459593579</v>
      </c>
      <c r="Z1109" s="72">
        <f t="shared" si="644"/>
        <v>6.8615151609755468E-2</v>
      </c>
      <c r="AA1109" s="72">
        <f t="shared" si="645"/>
        <v>0.26032559577116843</v>
      </c>
      <c r="AB1109" s="72">
        <f t="shared" si="646"/>
        <v>0.21332888640688344</v>
      </c>
      <c r="AC1109" s="72"/>
      <c r="AD1109" s="72"/>
      <c r="AE1109" s="72">
        <f t="shared" si="647"/>
        <v>0.61063680089288463</v>
      </c>
      <c r="AF1109" s="72">
        <f t="shared" si="648"/>
        <v>0.53805787635974511</v>
      </c>
      <c r="AG1109" s="72">
        <f t="shared" si="649"/>
        <v>0.44895436103336045</v>
      </c>
      <c r="AH1109" s="72">
        <f t="shared" si="650"/>
        <v>0.38491597818246914</v>
      </c>
      <c r="AI1109" s="72">
        <f t="shared" si="651"/>
        <v>9.9512123004139558E-2</v>
      </c>
      <c r="AJ1109" s="72">
        <f>(AV1109-Driver!$K$179)/(Driver!$L$179-Driver!$K$179)</f>
        <v>0.20820240109580207</v>
      </c>
      <c r="AK1109" s="72">
        <f>(AW1109-Driver!$K$180)/(Driver!$L$180-Driver!$K$180)</f>
        <v>4.7369539540082183E-2</v>
      </c>
      <c r="AL1109" s="72">
        <f>(AX1109-Driver!$K$181)/(Driver!$L$181-Driver!$K$181)</f>
        <v>0.17030291532283565</v>
      </c>
      <c r="AM1109" s="72">
        <f>(AY1109-Driver!$K$182)/(Driver!$L$182-Driver!$K$182)</f>
        <v>0.18705942532587794</v>
      </c>
      <c r="AN1109" s="72">
        <f>(AZ1109-Driver!$K$183)/(Driver!$L$183-Driver!$K$183)</f>
        <v>4.0890522875816987E-2</v>
      </c>
      <c r="AO1109" s="72"/>
      <c r="AP1109" s="72"/>
      <c r="AQ1109" s="72">
        <f>(BC1109-Driver!$K$188)/(Driver!$L$188-Driver!$K$188)</f>
        <v>9.3631991071153105E-3</v>
      </c>
      <c r="AR1109" s="72">
        <f>MIN((BD1109-Driver!$K$189)/(Driver!$L$189-Driver!$K$189),100%)</f>
        <v>1.1942123640254947E-2</v>
      </c>
      <c r="AS1109" s="72">
        <f>(BE1109-Driver!$K$190)/(Driver!$L$190-Driver!$K$190)</f>
        <v>6.1045638966639552E-2</v>
      </c>
      <c r="AT1109" s="72">
        <f>(BF1109-Driver!$K$191)/(Driver!$L$191-Driver!$K$191)</f>
        <v>0.12508402181753084</v>
      </c>
      <c r="AU1109" s="72">
        <f>(BG1109-Driver!$K$192)/(Driver!$L$192-Driver!$K$192)</f>
        <v>0.15048787699586044</v>
      </c>
      <c r="AV1109" s="70">
        <f t="shared" si="652"/>
        <v>4.3820377153710481</v>
      </c>
      <c r="AW1109" s="70">
        <f t="shared" si="653"/>
        <v>6.4884739864586809</v>
      </c>
      <c r="AX1109" s="70">
        <f t="shared" si="654"/>
        <v>2.5327262379055209</v>
      </c>
      <c r="AY1109" s="70">
        <f>IFERROR(Driver!$K$19/Data!BH1109/Data!BI1109*Data!BK1109*Data!BL1109,"")</f>
        <v>0.22901654974452307</v>
      </c>
      <c r="AZ1109" s="70">
        <f t="shared" si="655"/>
        <v>3.7267311988086371</v>
      </c>
      <c r="BA1109" s="70"/>
      <c r="BB1109" s="70"/>
      <c r="BC1109" s="70">
        <f t="shared" si="656"/>
        <v>4.8567564687648801</v>
      </c>
      <c r="BD1109" s="70">
        <f t="shared" si="657"/>
        <v>2.7776796660693135</v>
      </c>
      <c r="BE1109" s="70">
        <f t="shared" si="658"/>
        <v>6.1213137856266399E-2</v>
      </c>
      <c r="BF1109" s="70">
        <f t="shared" si="659"/>
        <v>14.127361499302207</v>
      </c>
      <c r="BG1109" s="70">
        <f t="shared" si="660"/>
        <v>0.56984310319337672</v>
      </c>
      <c r="BH1109" s="67">
        <f>MAX((CE1109-Driver!$F$200)/(Driver!$G$200-Driver!$F$200)*$BI$1,1)</f>
        <v>2.5327262379055209</v>
      </c>
      <c r="BI1109" s="67">
        <f>MAX($BI$1*(BY1109-Driver!$F$201)/(Driver!$G$201-Driver!$F$201),1)</f>
        <v>5.7594936708860756</v>
      </c>
      <c r="BJ1109" s="67">
        <f>(CB1109-Driver!$F$206)/(Driver!$G$206-Driver!$F$206)*$BI$1</f>
        <v>5.3968253968253963</v>
      </c>
      <c r="BK1109" s="67">
        <f>(CD1109-Driver!$F$203)/(Driver!$G$203-Driver!$F$203)*$BI$1</f>
        <v>3.0275229357798166</v>
      </c>
      <c r="BL1109" s="67">
        <f>MAX((CR1109-Driver!$F$202)/(Driver!$G$202-Driver!$F$202)*$BI$1,1)</f>
        <v>5.5172413793103452</v>
      </c>
      <c r="BM1109" s="67">
        <f>MAX((CH1109-Driver!$F$204)/(Driver!$G$204-Driver!$F$204)*$BI$1,1)</f>
        <v>3.2478632478632479</v>
      </c>
      <c r="BN1109" s="67">
        <f>(CI1109-Driver!$F$205)/(Driver!$G$205-Driver!$F$205)*$BI$1</f>
        <v>0.6470588235294118</v>
      </c>
      <c r="BO1109" s="67">
        <f>(CK1109-Driver!$F$207)/(Driver!$G$207-Driver!$F$207)*$BI$1</f>
        <v>2.8645294725956565</v>
      </c>
      <c r="BP1109" s="67">
        <f>(CM1109-Driver!$F$208)/(Driver!$G$208-Driver!$F$208)*$BI$1</f>
        <v>2.7666666666666666</v>
      </c>
      <c r="BQ1109" s="67">
        <f>(CL1109-Driver!$F$209)/(Driver!$G$209-Driver!$F$209)*$BI$1</f>
        <v>4.6875</v>
      </c>
      <c r="BR1109" s="28" t="s">
        <v>155</v>
      </c>
      <c r="BS1109" s="8" t="s">
        <v>227</v>
      </c>
      <c r="BT1109" s="9" t="s">
        <v>681</v>
      </c>
      <c r="BU1109" s="10">
        <v>164</v>
      </c>
      <c r="BV1109" s="9" t="s">
        <v>158</v>
      </c>
      <c r="BW1109" s="10">
        <v>164</v>
      </c>
      <c r="BX1109" s="10">
        <v>162.30000000000001</v>
      </c>
      <c r="BY1109" s="10">
        <v>99</v>
      </c>
      <c r="BZ1109" s="10">
        <v>135</v>
      </c>
      <c r="CA1109" s="10">
        <v>129</v>
      </c>
      <c r="CB1109" s="10">
        <v>98</v>
      </c>
      <c r="CC1109" s="10">
        <v>120</v>
      </c>
      <c r="CD1109" s="10">
        <v>16</v>
      </c>
      <c r="CE1109" s="10">
        <v>1345</v>
      </c>
      <c r="CF1109" s="10">
        <v>1.31</v>
      </c>
      <c r="CG1109" s="10">
        <v>1767</v>
      </c>
      <c r="CH1109" s="10">
        <v>177</v>
      </c>
      <c r="CI1109" s="10">
        <v>44</v>
      </c>
      <c r="CJ1109" s="10">
        <v>72</v>
      </c>
      <c r="CK1109" s="10">
        <v>387</v>
      </c>
      <c r="CL1109" s="10">
        <v>30</v>
      </c>
      <c r="CM1109" s="10">
        <v>249</v>
      </c>
      <c r="CN1109" s="10">
        <v>0.41099999999999998</v>
      </c>
      <c r="CO1109" s="10">
        <v>147</v>
      </c>
      <c r="CP1109" s="10">
        <v>122</v>
      </c>
      <c r="CQ1109" s="10">
        <v>240</v>
      </c>
      <c r="CR1109" s="10">
        <v>5</v>
      </c>
      <c r="CS1109" s="10">
        <v>10.5</v>
      </c>
      <c r="CT1109" s="9" t="s">
        <v>185</v>
      </c>
      <c r="CU1109" s="9" t="s">
        <v>198</v>
      </c>
      <c r="CV1109" s="10"/>
      <c r="CW1109" s="10"/>
      <c r="CX1109">
        <f>INDEX('Data_Price '!AG$2:AG$1266,MATCH(Data!$DN1109,'Data_Price '!$AT$2:$AT$1266,0))</f>
        <v>0</v>
      </c>
      <c r="CY1109">
        <f>INDEX('Data_Price '!AH$2:AH$1266,MATCH(Data!$DN1109,'Data_Price '!$AT$2:$AT$1266,0))</f>
        <v>0</v>
      </c>
      <c r="CZ1109">
        <f>INDEX('Data_Price '!AI$2:AI$1266,MATCH(Data!$DN1109,'Data_Price '!$AT$2:$AT$1266,0))</f>
        <v>0</v>
      </c>
      <c r="DA1109">
        <f>INDEX('Data_Price '!AJ$2:AJ$1266,MATCH(Data!$DN1109,'Data_Price '!$AT$2:$AT$1266,0))</f>
        <v>0</v>
      </c>
      <c r="DB1109">
        <f>INDEX('Data_Price '!AK$2:AK$1266,MATCH(Data!$DN1109,'Data_Price '!$AT$2:$AT$1266,0))</f>
        <v>0</v>
      </c>
      <c r="DC1109">
        <f>INDEX('Data_Price '!AL$2:AL$1266,MATCH(Data!$DN1109,'Data_Price '!$AT$2:$AT$1266,0))</f>
        <v>0</v>
      </c>
      <c r="DD1109">
        <f>INDEX('Data_Price '!AM$2:AM$1266,MATCH(Data!$DN1109,'Data_Price '!$AT$2:$AT$1266,0))</f>
        <v>0</v>
      </c>
      <c r="DE1109">
        <f>INDEX('Data_Price '!AN$2:AN$1266,MATCH(Data!$DN1109,'Data_Price '!$AT$2:$AT$1266,0))</f>
        <v>0</v>
      </c>
      <c r="DF1109">
        <f>INDEX('Data_Price '!AO$2:AO$1266,MATCH(Data!$DN1109,'Data_Price '!$AT$2:$AT$1266,0))</f>
        <v>0</v>
      </c>
      <c r="DG1109">
        <f>INDEX('Data_Price '!AP$2:AP$1266,MATCH(Data!$DN1109,'Data_Price '!$AT$2:$AT$1266,0))</f>
        <v>0</v>
      </c>
      <c r="DH1109">
        <f>INDEX('Data_Price '!AQ$2:AQ$1266,MATCH(Data!$DN1109,'Data_Price '!$AT$2:$AT$1266,0))</f>
        <v>0</v>
      </c>
      <c r="DI1109">
        <f>INDEX('Data_Price '!AR$2:AR$1266,MATCH(Data!$DN1109,'Data_Price '!$AT$2:$AT$1266,0))</f>
        <v>0</v>
      </c>
      <c r="DJ1109" s="89">
        <f t="shared" si="661"/>
        <v>0</v>
      </c>
      <c r="DK1109" s="89">
        <f t="shared" si="662"/>
        <v>0</v>
      </c>
      <c r="DL1109" s="89">
        <f t="shared" si="663"/>
        <v>0</v>
      </c>
      <c r="DM1109" s="219" t="str">
        <f t="shared" si="664"/>
        <v>Chinook 99</v>
      </c>
      <c r="DN1109" s="89" t="str">
        <f t="shared" si="665"/>
        <v xml:space="preserve"> RaccoonChinook 99164 Unisex</v>
      </c>
      <c r="DO1109" s="221"/>
    </row>
    <row r="1110" spans="2:119" ht="15.6" customHeight="1">
      <c r="B1110" s="219" t="b">
        <f t="array" ref="B1110">IF(OR(ISERROR(K1110:P1110)),FALSE,TRUE)</f>
        <v>1</v>
      </c>
      <c r="C1110" s="43" t="b">
        <f>OR(BR1110=Driver!$G$50,Data!BR587=Driver!$H$50)</f>
        <v>1</v>
      </c>
      <c r="D1110" s="43" t="b">
        <f>OR(BV1110=Driver!$G$51,BV1110=Driver!$H$51)</f>
        <v>1</v>
      </c>
      <c r="E1110" s="43" t="b">
        <f>AND(BX1110&gt;Driver!$F$54,BX1110&lt;Driver!$G$54)</f>
        <v>0</v>
      </c>
      <c r="F1110" s="43" t="b">
        <f>CL1110&gt;Driver!$F$56</f>
        <v>1</v>
      </c>
      <c r="G1110" s="43" t="b">
        <f>AND(CB1110&gt;Driver!$F$55,CB1110&lt;Driver!$G$55)</f>
        <v>0</v>
      </c>
      <c r="H1110" s="43" t="b">
        <f t="shared" si="629"/>
        <v>0</v>
      </c>
      <c r="I1110" s="43">
        <f t="shared" si="630"/>
        <v>0</v>
      </c>
      <c r="J1110" s="43" t="b">
        <f t="array" ref="J1110">NOT(OR(($H$9:$H$1273=TRUE)*($I$9:$I$1273&gt;0)*($BT$9:$BT$1273=BT1110)*($K$9:$K$1273&gt;K1110)))</f>
        <v>1</v>
      </c>
      <c r="K1110" s="72">
        <f t="shared" si="631"/>
        <v>0.73599908715507845</v>
      </c>
      <c r="L1110" s="72">
        <f t="shared" si="632"/>
        <v>0.88712570208747055</v>
      </c>
      <c r="M1110" s="72">
        <f t="shared" si="633"/>
        <v>0.58487247222268635</v>
      </c>
      <c r="N1110" s="72">
        <f t="shared" si="634"/>
        <v>0.44444372399892096</v>
      </c>
      <c r="O1110" s="72">
        <f t="shared" si="635"/>
        <v>0.63442650560866021</v>
      </c>
      <c r="P1110" s="72">
        <f t="shared" si="636"/>
        <v>0.67574718706047809</v>
      </c>
      <c r="Q1110" s="72"/>
      <c r="R1110" s="72"/>
      <c r="S1110" s="72">
        <f t="shared" si="637"/>
        <v>0.57467577071289944</v>
      </c>
      <c r="T1110" s="72">
        <f t="shared" si="638"/>
        <v>0.53978887181871527</v>
      </c>
      <c r="U1110" s="72">
        <f t="shared" si="639"/>
        <v>0.53487609823059867</v>
      </c>
      <c r="V1110" s="72">
        <f t="shared" si="640"/>
        <v>0.56553455603821812</v>
      </c>
      <c r="W1110" s="72">
        <f t="shared" si="641"/>
        <v>0.77292426755113319</v>
      </c>
      <c r="X1110" s="72">
        <f t="shared" si="642"/>
        <v>0.11287429791252951</v>
      </c>
      <c r="Y1110" s="72">
        <f t="shared" si="643"/>
        <v>0.4151275277773136</v>
      </c>
      <c r="Z1110" s="72">
        <f t="shared" si="644"/>
        <v>0.55555627600107904</v>
      </c>
      <c r="AA1110" s="72">
        <f t="shared" si="645"/>
        <v>0.36557349439133979</v>
      </c>
      <c r="AB1110" s="72">
        <f t="shared" si="646"/>
        <v>0.32425281293952185</v>
      </c>
      <c r="AC1110" s="72"/>
      <c r="AD1110" s="72"/>
      <c r="AE1110" s="72">
        <f t="shared" si="647"/>
        <v>0.42532422928710056</v>
      </c>
      <c r="AF1110" s="72">
        <f t="shared" si="648"/>
        <v>0.46021112818128473</v>
      </c>
      <c r="AG1110" s="72">
        <f t="shared" si="649"/>
        <v>0.46512390176940138</v>
      </c>
      <c r="AH1110" s="72">
        <f t="shared" si="650"/>
        <v>0.43446544396178188</v>
      </c>
      <c r="AI1110" s="72">
        <f t="shared" si="651"/>
        <v>0.22707573244886678</v>
      </c>
      <c r="AJ1110" s="72">
        <f>(AV1110-Driver!$K$179)/(Driver!$L$179-Driver!$K$179)</f>
        <v>0.36709370719522993</v>
      </c>
      <c r="AK1110" s="72">
        <f>(AW1110-Driver!$K$180)/(Driver!$L$180-Driver!$K$180)</f>
        <v>0.59373754122512989</v>
      </c>
      <c r="AL1110" s="72">
        <f>(AX1110-Driver!$K$181)/(Driver!$L$181-Driver!$K$181)</f>
        <v>0.65724403971415923</v>
      </c>
      <c r="AM1110" s="72">
        <f>(AY1110-Driver!$K$182)/(Driver!$L$182-Driver!$K$182)</f>
        <v>8.1811526705706572E-2</v>
      </c>
      <c r="AN1110" s="72">
        <f>(AZ1110-Driver!$K$183)/(Driver!$L$183-Driver!$K$183)</f>
        <v>0.57847222222222228</v>
      </c>
      <c r="AO1110" s="72"/>
      <c r="AP1110" s="72"/>
      <c r="AQ1110" s="72">
        <f>(BC1110-Driver!$K$188)/(Driver!$L$188-Driver!$K$188)</f>
        <v>0.19467577071289943</v>
      </c>
      <c r="AR1110" s="72">
        <f>MIN((BD1110-Driver!$K$189)/(Driver!$L$189-Driver!$K$189),100%)</f>
        <v>8.9788871818715338E-2</v>
      </c>
      <c r="AS1110" s="72">
        <f>(BE1110-Driver!$K$190)/(Driver!$L$190-Driver!$K$190)</f>
        <v>4.4876098230598613E-2</v>
      </c>
      <c r="AT1110" s="72">
        <f>(BF1110-Driver!$K$191)/(Driver!$L$191-Driver!$K$191)</f>
        <v>7.5534556038218112E-2</v>
      </c>
      <c r="AU1110" s="72">
        <f>(BG1110-Driver!$K$192)/(Driver!$L$192-Driver!$K$192)</f>
        <v>2.2924267551133228E-2</v>
      </c>
      <c r="AV1110" s="70">
        <f t="shared" si="652"/>
        <v>7.7262243928910577</v>
      </c>
      <c r="AW1110" s="70">
        <f t="shared" si="653"/>
        <v>59.736877063660586</v>
      </c>
      <c r="AX1110" s="70">
        <f t="shared" si="654"/>
        <v>6.9151963574274333</v>
      </c>
      <c r="AY1110" s="70">
        <f>IFERROR(Driver!$K$19/Data!BH1110/Data!BI1110*Data!BK1110*Data!BL1110,"")</f>
        <v>0.10016171889137547</v>
      </c>
      <c r="AZ1110" s="70">
        <f t="shared" si="655"/>
        <v>52.721518987341774</v>
      </c>
      <c r="BA1110" s="70"/>
      <c r="BB1110" s="70"/>
      <c r="BC1110" s="70">
        <f t="shared" si="656"/>
        <v>100.97967563278252</v>
      </c>
      <c r="BD1110" s="70">
        <f t="shared" si="657"/>
        <v>9.6669789435874041</v>
      </c>
      <c r="BE1110" s="70">
        <f t="shared" si="658"/>
        <v>4.5046481584296839E-2</v>
      </c>
      <c r="BF1110" s="70">
        <f t="shared" si="659"/>
        <v>8.5310974442272887</v>
      </c>
      <c r="BG1110" s="70">
        <f t="shared" si="660"/>
        <v>8.6805901050304057E-2</v>
      </c>
      <c r="BH1110" s="67">
        <f>MAX((CE1110-Driver!$F$200)/(Driver!$G$200-Driver!$F$200)*$BI$1,1)</f>
        <v>6.9151963574274333</v>
      </c>
      <c r="BI1110" s="67">
        <f>MAX($BI$1*(BY1110-Driver!$F$201)/(Driver!$G$201-Driver!$F$201),1)</f>
        <v>7.5316455696202533</v>
      </c>
      <c r="BJ1110" s="67">
        <f>(CB1110-Driver!$F$206)/(Driver!$G$206-Driver!$F$206)*$BI$1</f>
        <v>5.3968253968253963</v>
      </c>
      <c r="BK1110" s="67">
        <f>(CD1110-Driver!$F$203)/(Driver!$G$203-Driver!$F$203)*$BI$1</f>
        <v>4.4495412844036704</v>
      </c>
      <c r="BL1110" s="67">
        <f>MAX((CR1110-Driver!$F$202)/(Driver!$G$202-Driver!$F$202)*$BI$1,1)</f>
        <v>5.8620689655172411</v>
      </c>
      <c r="BM1110" s="67">
        <f>MAX((CH1110-Driver!$F$204)/(Driver!$G$204-Driver!$F$204)*$BI$1,1)</f>
        <v>5.7264957264957257</v>
      </c>
      <c r="BN1110" s="67">
        <f>(CI1110-Driver!$F$205)/(Driver!$G$205-Driver!$F$205)*$BI$1</f>
        <v>7</v>
      </c>
      <c r="BO1110" s="67">
        <f>(CK1110-Driver!$F$207)/(Driver!$G$207-Driver!$F$207)*$BI$1</f>
        <v>2.4922440537745603</v>
      </c>
      <c r="BP1110" s="67">
        <f>(CM1110-Driver!$F$208)/(Driver!$G$208-Driver!$F$208)*$BI$1</f>
        <v>2.822222222222222</v>
      </c>
      <c r="BQ1110" s="67">
        <f>(CL1110-Driver!$F$209)/(Driver!$G$209-Driver!$F$209)*$BI$1</f>
        <v>3.4375</v>
      </c>
      <c r="BR1110" s="28" t="s">
        <v>155</v>
      </c>
      <c r="BS1110" s="8" t="s">
        <v>245</v>
      </c>
      <c r="BT1110" s="9" t="s">
        <v>513</v>
      </c>
      <c r="BU1110" s="10">
        <v>188</v>
      </c>
      <c r="BV1110" s="9" t="s">
        <v>158</v>
      </c>
      <c r="BW1110" s="10">
        <v>188</v>
      </c>
      <c r="BX1110" s="10">
        <v>187.6</v>
      </c>
      <c r="BY1110" s="10">
        <v>127</v>
      </c>
      <c r="BZ1110" s="10">
        <v>160</v>
      </c>
      <c r="CA1110" s="10">
        <v>130</v>
      </c>
      <c r="CB1110" s="10">
        <v>98</v>
      </c>
      <c r="CC1110" s="10">
        <v>122</v>
      </c>
      <c r="CD1110" s="10">
        <v>19.100000000000001</v>
      </c>
      <c r="CE1110" s="10">
        <v>2115</v>
      </c>
      <c r="CF1110" s="10">
        <v>0.97</v>
      </c>
      <c r="CG1110" s="10">
        <v>2062</v>
      </c>
      <c r="CH1110" s="10">
        <v>235</v>
      </c>
      <c r="CI1110" s="10">
        <v>152</v>
      </c>
      <c r="CJ1110" s="10">
        <v>50</v>
      </c>
      <c r="CK1110" s="10">
        <v>351</v>
      </c>
      <c r="CL1110" s="10">
        <v>22</v>
      </c>
      <c r="CM1110" s="10">
        <v>254</v>
      </c>
      <c r="CN1110" s="10">
        <v>0.438</v>
      </c>
      <c r="CO1110" s="10">
        <v>147</v>
      </c>
      <c r="CP1110" s="10">
        <v>131</v>
      </c>
      <c r="CQ1110" s="10">
        <v>204</v>
      </c>
      <c r="CR1110" s="10">
        <v>6</v>
      </c>
      <c r="CS1110" s="10">
        <v>9.3000000000000007</v>
      </c>
      <c r="CT1110" s="9" t="s">
        <v>188</v>
      </c>
      <c r="CU1110" s="10"/>
      <c r="CV1110" s="10"/>
      <c r="CW1110" s="10"/>
      <c r="CX1110" t="str">
        <f>INDEX('Data_Price '!AG$2:AG$1266,MATCH(Data!$DN1110,'Data_Price '!$AT$2:$AT$1266,0))</f>
        <v>Fischer Ranger 99 Ti Skis</v>
      </c>
      <c r="CY1110" t="str">
        <f>INDEX('Data_Price '!AH$2:AH$1266,MATCH(Data!$DN1110,'Data_Price '!$AT$2:$AT$1266,0))</f>
        <v>Gear West Ski &amp; Bike</v>
      </c>
      <c r="CZ1110">
        <f>INDEX('Data_Price '!AI$2:AI$1266,MATCH(Data!$DN1110,'Data_Price '!$AT$2:$AT$1266,0))</f>
        <v>429</v>
      </c>
      <c r="DA1110" t="str">
        <f>INDEX('Data_Price '!AJ$2:AJ$1266,MATCH(Data!$DN1110,'Data_Price '!$AT$2:$AT$1266,0))</f>
        <v>https://tinyurl.com/y7bk4r9w</v>
      </c>
      <c r="DB1110" t="str">
        <f>INDEX('Data_Price '!AK$2:AK$1266,MATCH(Data!$DN1110,'Data_Price '!$AT$2:$AT$1266,0))</f>
        <v>Fischer Ranger 99 Ti Skis with Tyrolia Attack 13 Demo Bindings 188cm (1101042)</v>
      </c>
      <c r="DC1110" t="str">
        <f>INDEX('Data_Price '!AL$2:AL$1266,MATCH(Data!$DN1110,'Data_Price '!$AT$2:$AT$1266,0))</f>
        <v>SidelineSwap</v>
      </c>
      <c r="DD1110">
        <f>INDEX('Data_Price '!AM$2:AM$1266,MATCH(Data!$DN1110,'Data_Price '!$AT$2:$AT$1266,0))</f>
        <v>499</v>
      </c>
      <c r="DE1110" t="str">
        <f>INDEX('Data_Price '!AN$2:AN$1266,MATCH(Data!$DN1110,'Data_Price '!$AT$2:$AT$1266,0))</f>
        <v>https://tinyurl.com/ycxgu8by</v>
      </c>
      <c r="DF1110" t="str">
        <f>INDEX('Data_Price '!AO$2:AO$1266,MATCH(Data!$DN1110,'Data_Price '!$AT$2:$AT$1266,0))</f>
        <v>Fischer Ranger 99 Ti Ski 2022</v>
      </c>
      <c r="DG1110" t="str">
        <f>INDEX('Data_Price '!AP$2:AP$1266,MATCH(Data!$DN1110,'Data_Price '!$AT$2:$AT$1266,0))</f>
        <v>Level Nine Sports</v>
      </c>
      <c r="DH1110">
        <f>INDEX('Data_Price '!AQ$2:AQ$1266,MATCH(Data!$DN1110,'Data_Price '!$AT$2:$AT$1266,0))</f>
        <v>499.99</v>
      </c>
      <c r="DI1110" t="str">
        <f>INDEX('Data_Price '!AR$2:AR$1266,MATCH(Data!$DN1110,'Data_Price '!$AT$2:$AT$1266,0))</f>
        <v>https://tinyurl.com/y79y8ns2</v>
      </c>
      <c r="DJ1110" s="89" t="str">
        <f t="shared" si="661"/>
        <v>https://tinyurl.com/y7bk4r9w</v>
      </c>
      <c r="DK1110" s="89" t="str">
        <f t="shared" si="662"/>
        <v>https://tinyurl.com/ycxgu8by</v>
      </c>
      <c r="DL1110" s="89" t="str">
        <f t="shared" si="663"/>
        <v>https://tinyurl.com/y79y8ns2</v>
      </c>
      <c r="DM1110" s="219" t="str">
        <f t="shared" si="664"/>
        <v>Ranger 99 Ti</v>
      </c>
      <c r="DN1110" s="89" t="str">
        <f t="shared" si="665"/>
        <v xml:space="preserve"> FischerRanger 99 Ti188 Unisex</v>
      </c>
      <c r="DO1110" s="221" t="s">
        <v>514</v>
      </c>
    </row>
    <row r="1111" spans="2:119" ht="15.6" customHeight="1">
      <c r="B1111" s="219" t="b">
        <f t="array" ref="B1111">IF(OR(ISERROR(K1111:P1111)),FALSE,TRUE)</f>
        <v>1</v>
      </c>
      <c r="C1111" s="43" t="b">
        <f>OR(BR1111=Driver!$G$50,Data!BR785=Driver!$H$50)</f>
        <v>1</v>
      </c>
      <c r="D1111" s="43" t="b">
        <f>OR(BV1111=Driver!$G$51,BV1111=Driver!$H$51)</f>
        <v>0</v>
      </c>
      <c r="E1111" s="43" t="b">
        <f>AND(BX1111&gt;Driver!$F$54,BX1111&lt;Driver!$G$54)</f>
        <v>1</v>
      </c>
      <c r="F1111" s="43" t="b">
        <f>CL1111&gt;Driver!$F$56</f>
        <v>1</v>
      </c>
      <c r="G1111" s="43" t="b">
        <f>AND(CB1111&gt;Driver!$F$55,CB1111&lt;Driver!$G$55)</f>
        <v>0</v>
      </c>
      <c r="H1111" s="43" t="b">
        <f t="shared" si="629"/>
        <v>0</v>
      </c>
      <c r="I1111" s="43">
        <f t="shared" si="630"/>
        <v>0</v>
      </c>
      <c r="J1111" s="43" t="b">
        <f t="array" ref="J1111">NOT(OR(($H$9:$H$1273=TRUE)*($I$9:$I$1273&gt;0)*($BT$9:$BT$1273=BT1111)*($K$9:$K$1273&gt;K1111)))</f>
        <v>1</v>
      </c>
      <c r="K1111" s="72">
        <f t="shared" si="631"/>
        <v>0.88849389431862724</v>
      </c>
      <c r="L1111" s="72">
        <f t="shared" si="632"/>
        <v>0.87066980190092691</v>
      </c>
      <c r="M1111" s="72">
        <f t="shared" si="633"/>
        <v>0.90631798673632757</v>
      </c>
      <c r="N1111" s="72">
        <f t="shared" si="634"/>
        <v>0.98071279279106194</v>
      </c>
      <c r="O1111" s="72">
        <f t="shared" si="635"/>
        <v>0.85128410611238581</v>
      </c>
      <c r="P1111" s="72">
        <f t="shared" si="636"/>
        <v>0.88695706130553487</v>
      </c>
      <c r="Q1111" s="72"/>
      <c r="R1111" s="72"/>
      <c r="S1111" s="72">
        <f t="shared" si="637"/>
        <v>0.42411406129880425</v>
      </c>
      <c r="T1111" s="72">
        <f t="shared" si="638"/>
        <v>0.44250694127055035</v>
      </c>
      <c r="U1111" s="72">
        <f t="shared" si="639"/>
        <v>0.88921633802834121</v>
      </c>
      <c r="V1111" s="72">
        <f t="shared" si="640"/>
        <v>0.53061969477580306</v>
      </c>
      <c r="W1111" s="72">
        <f t="shared" si="641"/>
        <v>0.87197058823529416</v>
      </c>
      <c r="X1111" s="72">
        <f t="shared" si="642"/>
        <v>0.12933019809907303</v>
      </c>
      <c r="Y1111" s="72">
        <f t="shared" si="643"/>
        <v>9.368201326367244E-2</v>
      </c>
      <c r="Z1111" s="72">
        <f t="shared" si="644"/>
        <v>1.928720720893802E-2</v>
      </c>
      <c r="AA1111" s="72">
        <f t="shared" si="645"/>
        <v>0.14871589388761419</v>
      </c>
      <c r="AB1111" s="72">
        <f t="shared" si="646"/>
        <v>0.11304293869446513</v>
      </c>
      <c r="AC1111" s="72"/>
      <c r="AD1111" s="72"/>
      <c r="AE1111" s="72">
        <f t="shared" si="647"/>
        <v>0.57588593870119575</v>
      </c>
      <c r="AF1111" s="72">
        <f t="shared" si="648"/>
        <v>0.55749305872944965</v>
      </c>
      <c r="AG1111" s="72">
        <f t="shared" si="649"/>
        <v>0.11078366197165879</v>
      </c>
      <c r="AH1111" s="72">
        <f t="shared" si="650"/>
        <v>0.46938030522419694</v>
      </c>
      <c r="AI1111" s="72">
        <f t="shared" si="651"/>
        <v>0.12802941176470589</v>
      </c>
      <c r="AJ1111" s="72">
        <f>(AV1111-Driver!$K$179)/(Driver!$L$179-Driver!$K$179)</f>
        <v>0.1248892111836274</v>
      </c>
      <c r="AK1111" s="72">
        <f>(AW1111-Driver!$K$180)/(Driver!$L$180-Driver!$K$180)</f>
        <v>0.13443712248064008</v>
      </c>
      <c r="AL1111" s="72">
        <f>(AX1111-Driver!$K$181)/(Driver!$L$181-Driver!$K$181)</f>
        <v>8.2400556504142158E-2</v>
      </c>
      <c r="AM1111" s="72">
        <f>(AY1111-Driver!$K$182)/(Driver!$L$182-Driver!$K$182)</f>
        <v>0.29866912720943217</v>
      </c>
      <c r="AN1111" s="72">
        <f>(AZ1111-Driver!$K$183)/(Driver!$L$183-Driver!$K$183)</f>
        <v>0.14117647058823529</v>
      </c>
      <c r="AO1111" s="72"/>
      <c r="AP1111" s="72"/>
      <c r="AQ1111" s="72">
        <f>(BC1111-Driver!$K$188)/(Driver!$L$188-Driver!$K$188)</f>
        <v>4.4114061298804221E-2</v>
      </c>
      <c r="AR1111" s="72">
        <f>MIN((BD1111-Driver!$K$189)/(Driver!$L$189-Driver!$K$189),100%)</f>
        <v>-7.4930587294495645E-3</v>
      </c>
      <c r="AS1111" s="72">
        <f>(BE1111-Driver!$K$190)/(Driver!$L$190-Driver!$K$190)</f>
        <v>0.6207836619716588</v>
      </c>
      <c r="AT1111" s="72">
        <f>(BF1111-Driver!$K$191)/(Driver!$L$191-Driver!$K$191)</f>
        <v>4.0619694775803072E-2</v>
      </c>
      <c r="AU1111" s="72">
        <f>(BG1111-Driver!$K$192)/(Driver!$L$192-Driver!$K$192)</f>
        <v>0.12197058823529411</v>
      </c>
      <c r="AV1111" s="70">
        <f t="shared" si="652"/>
        <v>2.6285442952109617</v>
      </c>
      <c r="AW1111" s="70">
        <f t="shared" si="653"/>
        <v>14.973981441284094</v>
      </c>
      <c r="AX1111" s="70">
        <f t="shared" si="654"/>
        <v>1.7416050085372794</v>
      </c>
      <c r="AY1111" s="70">
        <f>IFERROR(Driver!$K$19/Data!BH1111/Data!BI1111*Data!BK1111*Data!BL1111,"")</f>
        <v>0.36566012597094022</v>
      </c>
      <c r="AZ1111" s="70">
        <f t="shared" si="655"/>
        <v>12.866716306775874</v>
      </c>
      <c r="BA1111" s="70"/>
      <c r="BB1111" s="70"/>
      <c r="BC1111" s="70">
        <f t="shared" si="656"/>
        <v>22.882270271668517</v>
      </c>
      <c r="BD1111" s="70">
        <f t="shared" si="657"/>
        <v>1.0577004634558727</v>
      </c>
      <c r="BE1111" s="70">
        <f t="shared" si="658"/>
        <v>0.62085130989810133</v>
      </c>
      <c r="BF1111" s="70">
        <f t="shared" si="659"/>
        <v>4.5877091554203684</v>
      </c>
      <c r="BG1111" s="70">
        <f t="shared" si="660"/>
        <v>0.46185845588235297</v>
      </c>
      <c r="BH1111" s="67">
        <f>MAX((CE1111-Driver!$F$200)/(Driver!$G$200-Driver!$F$200)*$BI$1,1)</f>
        <v>1.7416050085372794</v>
      </c>
      <c r="BI1111" s="67">
        <f>MAX($BI$1*(BY1111-Driver!$F$201)/(Driver!$G$201-Driver!$F$201),1)</f>
        <v>6.8354430379746836</v>
      </c>
      <c r="BJ1111" s="67">
        <f>(CB1111-Driver!$F$206)/(Driver!$G$206-Driver!$F$206)*$BI$1</f>
        <v>4.92063492063492</v>
      </c>
      <c r="BK1111" s="67">
        <f>(CD1111-Driver!$F$203)/(Driver!$G$203-Driver!$F$203)*$BI$1</f>
        <v>3.9449541284403673</v>
      </c>
      <c r="BL1111" s="67">
        <f>MAX((CR1111-Driver!$F$202)/(Driver!$G$202-Driver!$F$202)*$BI$1,1)</f>
        <v>5.5172413793103452</v>
      </c>
      <c r="BM1111" s="67">
        <f>MAX((CH1111-Driver!$F$204)/(Driver!$G$204-Driver!$F$204)*$BI$1,1)</f>
        <v>2.1367521367521367</v>
      </c>
      <c r="BN1111" s="67">
        <f>(CI1111-Driver!$F$205)/(Driver!$G$205-Driver!$F$205)*$BI$1</f>
        <v>1.8823529411764706</v>
      </c>
      <c r="BO1111" s="67">
        <f>(CK1111-Driver!$F$207)/(Driver!$G$207-Driver!$F$207)*$BI$1</f>
        <v>2.0062047569803516</v>
      </c>
      <c r="BP1111" s="67">
        <f>(CM1111-Driver!$F$208)/(Driver!$G$208-Driver!$F$208)*$BI$1</f>
        <v>1.8333333333333333</v>
      </c>
      <c r="BQ1111" s="67">
        <f>(CL1111-Driver!$F$209)/(Driver!$G$209-Driver!$F$209)*$BI$1</f>
        <v>1.71875</v>
      </c>
      <c r="BR1111" s="28" t="s">
        <v>155</v>
      </c>
      <c r="BS1111" s="8" t="s">
        <v>262</v>
      </c>
      <c r="BT1111" s="9" t="s">
        <v>755</v>
      </c>
      <c r="BU1111" s="10">
        <v>163</v>
      </c>
      <c r="BV1111" s="9" t="s">
        <v>163</v>
      </c>
      <c r="BW1111" s="10">
        <v>163</v>
      </c>
      <c r="BX1111" s="10">
        <v>162.69999999999999</v>
      </c>
      <c r="BY1111" s="10">
        <v>116</v>
      </c>
      <c r="BZ1111" s="10">
        <v>136</v>
      </c>
      <c r="CA1111" s="10">
        <v>126</v>
      </c>
      <c r="CB1111" s="10">
        <v>95</v>
      </c>
      <c r="CC1111" s="10">
        <v>114</v>
      </c>
      <c r="CD1111" s="10">
        <v>18</v>
      </c>
      <c r="CE1111" s="10">
        <v>1206</v>
      </c>
      <c r="CF1111" s="10">
        <v>1.41</v>
      </c>
      <c r="CG1111" s="10">
        <v>1700</v>
      </c>
      <c r="CH1111" s="10">
        <v>151</v>
      </c>
      <c r="CI1111" s="10">
        <v>65</v>
      </c>
      <c r="CJ1111" s="10">
        <v>51</v>
      </c>
      <c r="CK1111" s="10">
        <v>304</v>
      </c>
      <c r="CL1111" s="10">
        <v>11</v>
      </c>
      <c r="CM1111" s="10">
        <v>165</v>
      </c>
      <c r="CN1111" s="10">
        <v>0.22600000000000001</v>
      </c>
      <c r="CO1111" s="10">
        <v>160</v>
      </c>
      <c r="CP1111" s="10">
        <v>108</v>
      </c>
      <c r="CQ1111" s="10">
        <v>144</v>
      </c>
      <c r="CR1111" s="10">
        <v>5</v>
      </c>
      <c r="CS1111" s="10">
        <v>11.8</v>
      </c>
      <c r="CT1111" s="9" t="s">
        <v>185</v>
      </c>
      <c r="CU1111" s="9" t="s">
        <v>198</v>
      </c>
      <c r="CV1111" s="10"/>
      <c r="CW1111" s="10"/>
      <c r="CX1111" t="e">
        <f>INDEX('Data_Price '!AG$2:AG$1266,MATCH(Data!$DN1111,'Data_Price '!$AT$2:$AT$1266,0))</f>
        <v>#N/A</v>
      </c>
      <c r="CY1111" t="e">
        <f>INDEX('Data_Price '!AH$2:AH$1266,MATCH(Data!$DN1111,'Data_Price '!$AT$2:$AT$1266,0))</f>
        <v>#N/A</v>
      </c>
      <c r="CZ1111" t="e">
        <f>INDEX('Data_Price '!AI$2:AI$1266,MATCH(Data!$DN1111,'Data_Price '!$AT$2:$AT$1266,0))</f>
        <v>#N/A</v>
      </c>
      <c r="DA1111" t="e">
        <f>INDEX('Data_Price '!AJ$2:AJ$1266,MATCH(Data!$DN1111,'Data_Price '!$AT$2:$AT$1266,0))</f>
        <v>#N/A</v>
      </c>
      <c r="DB1111" t="e">
        <f>INDEX('Data_Price '!AK$2:AK$1266,MATCH(Data!$DN1111,'Data_Price '!$AT$2:$AT$1266,0))</f>
        <v>#N/A</v>
      </c>
      <c r="DC1111" t="e">
        <f>INDEX('Data_Price '!AL$2:AL$1266,MATCH(Data!$DN1111,'Data_Price '!$AT$2:$AT$1266,0))</f>
        <v>#N/A</v>
      </c>
      <c r="DD1111" t="e">
        <f>INDEX('Data_Price '!AM$2:AM$1266,MATCH(Data!$DN1111,'Data_Price '!$AT$2:$AT$1266,0))</f>
        <v>#N/A</v>
      </c>
      <c r="DE1111" t="e">
        <f>INDEX('Data_Price '!AN$2:AN$1266,MATCH(Data!$DN1111,'Data_Price '!$AT$2:$AT$1266,0))</f>
        <v>#N/A</v>
      </c>
      <c r="DF1111" t="e">
        <f>INDEX('Data_Price '!AO$2:AO$1266,MATCH(Data!$DN1111,'Data_Price '!$AT$2:$AT$1266,0))</f>
        <v>#N/A</v>
      </c>
      <c r="DG1111" t="e">
        <f>INDEX('Data_Price '!AP$2:AP$1266,MATCH(Data!$DN1111,'Data_Price '!$AT$2:$AT$1266,0))</f>
        <v>#N/A</v>
      </c>
      <c r="DH1111" t="e">
        <f>INDEX('Data_Price '!AQ$2:AQ$1266,MATCH(Data!$DN1111,'Data_Price '!$AT$2:$AT$1266,0))</f>
        <v>#N/A</v>
      </c>
      <c r="DI1111" t="e">
        <f>INDEX('Data_Price '!AR$2:AR$1266,MATCH(Data!$DN1111,'Data_Price '!$AT$2:$AT$1266,0))</f>
        <v>#N/A</v>
      </c>
      <c r="DJ1111" s="89" t="e">
        <f t="shared" si="661"/>
        <v>#N/A</v>
      </c>
      <c r="DK1111" s="89" t="e">
        <f t="shared" si="662"/>
        <v>#N/A</v>
      </c>
      <c r="DL1111" s="89" t="e">
        <f t="shared" si="663"/>
        <v>#N/A</v>
      </c>
      <c r="DM1111" s="219" t="str">
        <f t="shared" si="664"/>
        <v>Talkback 96</v>
      </c>
      <c r="DN1111" s="89" t="str">
        <f t="shared" si="665"/>
        <v xml:space="preserve"> K2Talkback 96163 Women's</v>
      </c>
      <c r="DO1111" s="221" t="s">
        <v>756</v>
      </c>
    </row>
    <row r="1112" spans="2:119" ht="15.6" customHeight="1">
      <c r="B1112" s="219" t="b">
        <f t="array" ref="B1112">IF(OR(ISERROR(K1112:P1112)),FALSE,TRUE)</f>
        <v>1</v>
      </c>
      <c r="C1112" s="43" t="b">
        <f>OR(BR1112=Driver!$G$50,Data!BR1222=Driver!$H$50)</f>
        <v>1</v>
      </c>
      <c r="D1112" s="43" t="b">
        <f>OR(BV1112=Driver!$G$51,BV1112=Driver!$H$51)</f>
        <v>1</v>
      </c>
      <c r="E1112" s="43" t="b">
        <f>AND(BX1112&gt;Driver!$F$54,BX1112&lt;Driver!$G$54)</f>
        <v>0</v>
      </c>
      <c r="F1112" s="43" t="b">
        <f>CL1112&gt;Driver!$F$56</f>
        <v>1</v>
      </c>
      <c r="G1112" s="43" t="b">
        <f>AND(CB1112&gt;Driver!$F$55,CB1112&lt;Driver!$G$55)</f>
        <v>1</v>
      </c>
      <c r="H1112" s="43" t="b">
        <f t="shared" si="629"/>
        <v>0</v>
      </c>
      <c r="I1112" s="43">
        <f t="shared" si="630"/>
        <v>0</v>
      </c>
      <c r="J1112" s="43" t="b">
        <f t="array" ref="J1112">NOT(OR(($H$9:$H$1273=TRUE)*($I$9:$I$1273&gt;0)*($BT$9:$BT$1273=BT1112)*($K$9:$K$1273&gt;K1112)))</f>
        <v>1</v>
      </c>
      <c r="K1112" s="72">
        <f t="shared" si="631"/>
        <v>0.7552825176025707</v>
      </c>
      <c r="L1112" s="72">
        <f t="shared" si="632"/>
        <v>0.93224696548284547</v>
      </c>
      <c r="M1112" s="72">
        <f t="shared" si="633"/>
        <v>0.57831806972229605</v>
      </c>
      <c r="N1112" s="72">
        <f t="shared" si="634"/>
        <v>0.42989872937424511</v>
      </c>
      <c r="O1112" s="72">
        <f t="shared" si="635"/>
        <v>0.63392430580406001</v>
      </c>
      <c r="P1112" s="72">
        <f t="shared" si="636"/>
        <v>0.6711311739885828</v>
      </c>
      <c r="Q1112" s="72"/>
      <c r="R1112" s="72"/>
      <c r="S1112" s="72">
        <f t="shared" si="637"/>
        <v>0.58749818977977109</v>
      </c>
      <c r="T1112" s="72">
        <f t="shared" si="638"/>
        <v>0.50088773201130554</v>
      </c>
      <c r="U1112" s="72">
        <f t="shared" si="639"/>
        <v>0.59430303372560622</v>
      </c>
      <c r="V1112" s="72">
        <f t="shared" si="640"/>
        <v>0.53184059512718884</v>
      </c>
      <c r="W1112" s="72">
        <f t="shared" si="641"/>
        <v>0.77157040926225096</v>
      </c>
      <c r="X1112" s="72">
        <f t="shared" si="642"/>
        <v>6.7753034517154531E-2</v>
      </c>
      <c r="Y1112" s="72">
        <f t="shared" si="643"/>
        <v>0.42168193027770401</v>
      </c>
      <c r="Z1112" s="72">
        <f t="shared" si="644"/>
        <v>0.57010127062575489</v>
      </c>
      <c r="AA1112" s="72">
        <f t="shared" si="645"/>
        <v>0.36607569419593999</v>
      </c>
      <c r="AB1112" s="72">
        <f t="shared" si="646"/>
        <v>0.32886882601141726</v>
      </c>
      <c r="AC1112" s="72"/>
      <c r="AD1112" s="72"/>
      <c r="AE1112" s="72">
        <f t="shared" si="647"/>
        <v>0.41250181022022891</v>
      </c>
      <c r="AF1112" s="72">
        <f t="shared" si="648"/>
        <v>0.49911226798869446</v>
      </c>
      <c r="AG1112" s="72">
        <f t="shared" si="649"/>
        <v>0.40569696627439378</v>
      </c>
      <c r="AH1112" s="72">
        <f t="shared" si="650"/>
        <v>0.46815940487281116</v>
      </c>
      <c r="AI1112" s="72">
        <f t="shared" si="651"/>
        <v>0.22842959073774907</v>
      </c>
      <c r="AJ1112" s="72">
        <f>(AV1112-Driver!$K$179)/(Driver!$L$179-Driver!$K$179)</f>
        <v>0.32197244379985496</v>
      </c>
      <c r="AK1112" s="72">
        <f>(AW1112-Driver!$K$180)/(Driver!$L$180-Driver!$K$180)</f>
        <v>0.59939110653117766</v>
      </c>
      <c r="AL1112" s="72">
        <f>(AX1112-Driver!$K$181)/(Driver!$L$181-Driver!$K$181)</f>
        <v>0.67178903433883508</v>
      </c>
      <c r="AM1112" s="72">
        <f>(AY1112-Driver!$K$182)/(Driver!$L$182-Driver!$K$182)</f>
        <v>8.1309326901106357E-2</v>
      </c>
      <c r="AN1112" s="72">
        <f>(AZ1112-Driver!$K$183)/(Driver!$L$183-Driver!$K$183)</f>
        <v>0.58308823529411768</v>
      </c>
      <c r="AO1112" s="72"/>
      <c r="AP1112" s="72"/>
      <c r="AQ1112" s="72">
        <f>(BC1112-Driver!$K$188)/(Driver!$L$188-Driver!$K$188)</f>
        <v>0.20749818977977111</v>
      </c>
      <c r="AR1112" s="72">
        <f>MIN((BD1112-Driver!$K$189)/(Driver!$L$189-Driver!$K$189),100%)</f>
        <v>5.0887732011305614E-2</v>
      </c>
      <c r="AS1112" s="72">
        <f>(BE1112-Driver!$K$190)/(Driver!$L$190-Driver!$K$190)</f>
        <v>0.10430303372560622</v>
      </c>
      <c r="AT1112" s="72">
        <f>(BF1112-Driver!$K$191)/(Driver!$L$191-Driver!$K$191)</f>
        <v>4.1840595127188872E-2</v>
      </c>
      <c r="AU1112" s="72">
        <f>(BG1112-Driver!$K$192)/(Driver!$L$192-Driver!$K$192)</f>
        <v>2.1570409262250938E-2</v>
      </c>
      <c r="AV1112" s="70">
        <f t="shared" si="652"/>
        <v>6.7765567765567774</v>
      </c>
      <c r="AW1112" s="70">
        <f t="shared" si="653"/>
        <v>60.28786709841971</v>
      </c>
      <c r="AX1112" s="70">
        <f t="shared" si="654"/>
        <v>7.0461013090495159</v>
      </c>
      <c r="AY1112" s="70">
        <f>IFERROR(Driver!$K$19/Data!BH1112/Data!BI1112*Data!BK1112*Data!BL1112,"")</f>
        <v>9.9546876488585276E-2</v>
      </c>
      <c r="AZ1112" s="70">
        <f t="shared" si="655"/>
        <v>53.14221891288161</v>
      </c>
      <c r="BA1112" s="70"/>
      <c r="BB1112" s="70"/>
      <c r="BC1112" s="70">
        <f t="shared" si="656"/>
        <v>107.63075354278004</v>
      </c>
      <c r="BD1112" s="70">
        <f t="shared" si="657"/>
        <v>6.2242969993726547</v>
      </c>
      <c r="BE1112" s="70">
        <f t="shared" si="658"/>
        <v>0.10446281598289078</v>
      </c>
      <c r="BF1112" s="70">
        <f t="shared" si="659"/>
        <v>4.7256012727989845</v>
      </c>
      <c r="BG1112" s="70">
        <f t="shared" si="660"/>
        <v>8.1679329900376949E-2</v>
      </c>
      <c r="BH1112" s="67">
        <f>MAX((CE1112-Driver!$F$200)/(Driver!$G$200-Driver!$F$200)*$BI$1,1)</f>
        <v>7.0461013090495159</v>
      </c>
      <c r="BI1112" s="67">
        <f>MAX($BI$1*(BY1112-Driver!$F$201)/(Driver!$G$201-Driver!$F$201),1)</f>
        <v>7.7215189873417724</v>
      </c>
      <c r="BJ1112" s="67">
        <f>(CB1112-Driver!$F$206)/(Driver!$G$206-Driver!$F$206)*$BI$1</f>
        <v>5.8730158730158735</v>
      </c>
      <c r="BK1112" s="67">
        <f>(CD1112-Driver!$F$203)/(Driver!$G$203-Driver!$F$203)*$BI$1</f>
        <v>4.9082568807339459</v>
      </c>
      <c r="BL1112" s="67">
        <f>MAX((CR1112-Driver!$F$202)/(Driver!$G$202-Driver!$F$202)*$BI$1,1)</f>
        <v>5.5172413793103452</v>
      </c>
      <c r="BM1112" s="67">
        <f>MAX((CH1112-Driver!$F$204)/(Driver!$G$204-Driver!$F$204)*$BI$1,1)</f>
        <v>4.6153846153846159</v>
      </c>
      <c r="BN1112" s="67">
        <f>(CI1112-Driver!$F$205)/(Driver!$G$205-Driver!$F$205)*$BI$1</f>
        <v>6.882352941176471</v>
      </c>
      <c r="BO1112" s="67">
        <f>(CK1112-Driver!$F$207)/(Driver!$G$207-Driver!$F$207)*$BI$1</f>
        <v>1.768355739400207</v>
      </c>
      <c r="BP1112" s="67">
        <f>(CM1112-Driver!$F$208)/(Driver!$G$208-Driver!$F$208)*$BI$1</f>
        <v>2.2333333333333334</v>
      </c>
      <c r="BQ1112" s="67">
        <f>(CL1112-Driver!$F$209)/(Driver!$G$209-Driver!$F$209)*$BI$1</f>
        <v>2.65625</v>
      </c>
      <c r="BR1112" s="28" t="s">
        <v>155</v>
      </c>
      <c r="BS1112" s="8" t="s">
        <v>229</v>
      </c>
      <c r="BT1112" s="9" t="s">
        <v>814</v>
      </c>
      <c r="BU1112" s="10">
        <v>177</v>
      </c>
      <c r="BV1112" s="9" t="s">
        <v>158</v>
      </c>
      <c r="BW1112" s="10">
        <v>177</v>
      </c>
      <c r="BX1112" s="10">
        <v>178.2</v>
      </c>
      <c r="BY1112" s="10">
        <v>130</v>
      </c>
      <c r="BZ1112" s="10">
        <v>155</v>
      </c>
      <c r="CA1112" s="10">
        <v>139</v>
      </c>
      <c r="CB1112" s="10">
        <v>101</v>
      </c>
      <c r="CC1112" s="10">
        <v>122</v>
      </c>
      <c r="CD1112" s="10">
        <v>20.100000000000001</v>
      </c>
      <c r="CE1112" s="10">
        <v>2138</v>
      </c>
      <c r="CF1112" s="10">
        <v>0.94</v>
      </c>
      <c r="CG1112" s="10">
        <v>2008</v>
      </c>
      <c r="CH1112" s="10">
        <v>209</v>
      </c>
      <c r="CI1112" s="10">
        <v>150</v>
      </c>
      <c r="CJ1112" s="10">
        <v>53</v>
      </c>
      <c r="CK1112" s="10">
        <v>281</v>
      </c>
      <c r="CL1112" s="10">
        <v>17</v>
      </c>
      <c r="CM1112" s="10">
        <v>201</v>
      </c>
      <c r="CN1112" s="10">
        <v>0.33</v>
      </c>
      <c r="CO1112" s="10">
        <v>132</v>
      </c>
      <c r="CP1112" s="10">
        <v>102</v>
      </c>
      <c r="CQ1112" s="10">
        <v>149</v>
      </c>
      <c r="CR1112" s="10">
        <v>5</v>
      </c>
      <c r="CS1112" s="10">
        <v>11.1</v>
      </c>
      <c r="CT1112" s="9" t="s">
        <v>188</v>
      </c>
      <c r="CU1112" s="9" t="s">
        <v>178</v>
      </c>
      <c r="CV1112" s="10"/>
      <c r="CW1112" s="10"/>
      <c r="CX1112" t="e">
        <f>INDEX('Data_Price '!AG$2:AG$1266,MATCH(Data!$DN1112,'Data_Price '!$AT$2:$AT$1266,0))</f>
        <v>#N/A</v>
      </c>
      <c r="CY1112" t="e">
        <f>INDEX('Data_Price '!AH$2:AH$1266,MATCH(Data!$DN1112,'Data_Price '!$AT$2:$AT$1266,0))</f>
        <v>#N/A</v>
      </c>
      <c r="CZ1112" t="e">
        <f>INDEX('Data_Price '!AI$2:AI$1266,MATCH(Data!$DN1112,'Data_Price '!$AT$2:$AT$1266,0))</f>
        <v>#N/A</v>
      </c>
      <c r="DA1112" t="e">
        <f>INDEX('Data_Price '!AJ$2:AJ$1266,MATCH(Data!$DN1112,'Data_Price '!$AT$2:$AT$1266,0))</f>
        <v>#N/A</v>
      </c>
      <c r="DB1112" t="e">
        <f>INDEX('Data_Price '!AK$2:AK$1266,MATCH(Data!$DN1112,'Data_Price '!$AT$2:$AT$1266,0))</f>
        <v>#N/A</v>
      </c>
      <c r="DC1112" t="e">
        <f>INDEX('Data_Price '!AL$2:AL$1266,MATCH(Data!$DN1112,'Data_Price '!$AT$2:$AT$1266,0))</f>
        <v>#N/A</v>
      </c>
      <c r="DD1112" t="e">
        <f>INDEX('Data_Price '!AM$2:AM$1266,MATCH(Data!$DN1112,'Data_Price '!$AT$2:$AT$1266,0))</f>
        <v>#N/A</v>
      </c>
      <c r="DE1112" t="e">
        <f>INDEX('Data_Price '!AN$2:AN$1266,MATCH(Data!$DN1112,'Data_Price '!$AT$2:$AT$1266,0))</f>
        <v>#N/A</v>
      </c>
      <c r="DF1112" t="e">
        <f>INDEX('Data_Price '!AO$2:AO$1266,MATCH(Data!$DN1112,'Data_Price '!$AT$2:$AT$1266,0))</f>
        <v>#N/A</v>
      </c>
      <c r="DG1112" t="e">
        <f>INDEX('Data_Price '!AP$2:AP$1266,MATCH(Data!$DN1112,'Data_Price '!$AT$2:$AT$1266,0))</f>
        <v>#N/A</v>
      </c>
      <c r="DH1112" t="e">
        <f>INDEX('Data_Price '!AQ$2:AQ$1266,MATCH(Data!$DN1112,'Data_Price '!$AT$2:$AT$1266,0))</f>
        <v>#N/A</v>
      </c>
      <c r="DI1112" t="e">
        <f>INDEX('Data_Price '!AR$2:AR$1266,MATCH(Data!$DN1112,'Data_Price '!$AT$2:$AT$1266,0))</f>
        <v>#N/A</v>
      </c>
      <c r="DJ1112" s="89" t="e">
        <f t="shared" si="661"/>
        <v>#N/A</v>
      </c>
      <c r="DK1112" s="89" t="e">
        <f t="shared" si="662"/>
        <v>#N/A</v>
      </c>
      <c r="DL1112" s="89" t="e">
        <f t="shared" si="663"/>
        <v>#N/A</v>
      </c>
      <c r="DM1112" s="219" t="str">
        <f t="shared" si="664"/>
        <v>Mantra 102</v>
      </c>
      <c r="DN1112" s="89" t="str">
        <f t="shared" si="665"/>
        <v xml:space="preserve"> VölklMantra 102177 Unisex</v>
      </c>
      <c r="DO1112" s="221" t="s">
        <v>815</v>
      </c>
    </row>
    <row r="1113" spans="2:119" ht="15.6" customHeight="1">
      <c r="B1113" s="219" t="b">
        <f t="array" ref="B1113">IF(OR(ISERROR(K1113:P1113)),FALSE,TRUE)</f>
        <v>1</v>
      </c>
      <c r="C1113" s="43" t="b">
        <f>OR(BR1113=Driver!$G$50,Data!BR1234=Driver!$H$50)</f>
        <v>1</v>
      </c>
      <c r="D1113" s="43" t="b">
        <f>OR(BV1113=Driver!$G$51,BV1113=Driver!$H$51)</f>
        <v>1</v>
      </c>
      <c r="E1113" s="43" t="b">
        <f>AND(BX1113&gt;Driver!$F$54,BX1113&lt;Driver!$G$54)</f>
        <v>1</v>
      </c>
      <c r="F1113" s="43" t="b">
        <f>CL1113&gt;Driver!$F$56</f>
        <v>1</v>
      </c>
      <c r="G1113" s="43" t="b">
        <f>AND(CB1113&gt;Driver!$F$55,CB1113&lt;Driver!$G$55)</f>
        <v>0</v>
      </c>
      <c r="H1113" s="43" t="b">
        <f t="shared" si="629"/>
        <v>0</v>
      </c>
      <c r="I1113" s="43">
        <f t="shared" si="630"/>
        <v>0</v>
      </c>
      <c r="J1113" s="43" t="b">
        <f t="array" ref="J1113">NOT(OR(($H$9:$H$1273=TRUE)*($I$9:$I$1273&gt;0)*($BT$9:$BT$1273=BT1113)*($K$9:$K$1273&gt;K1113)))</f>
        <v>1</v>
      </c>
      <c r="K1113" s="72">
        <f t="shared" si="631"/>
        <v>0.69506352210938038</v>
      </c>
      <c r="L1113" s="72">
        <f t="shared" si="632"/>
        <v>0.76584343819131462</v>
      </c>
      <c r="M1113" s="72">
        <f t="shared" si="633"/>
        <v>0.62428360602744615</v>
      </c>
      <c r="N1113" s="72">
        <f t="shared" si="634"/>
        <v>0.53044890960570024</v>
      </c>
      <c r="O1113" s="72">
        <f t="shared" si="635"/>
        <v>0.571434133180866</v>
      </c>
      <c r="P1113" s="72">
        <f t="shared" si="636"/>
        <v>0.77096777529577243</v>
      </c>
      <c r="Q1113" s="72"/>
      <c r="R1113" s="72"/>
      <c r="S1113" s="72">
        <f t="shared" si="637"/>
        <v>0.50981882006764168</v>
      </c>
      <c r="T1113" s="72">
        <f t="shared" si="638"/>
        <v>0.55000000000000004</v>
      </c>
      <c r="U1113" s="72">
        <f t="shared" si="639"/>
        <v>0.51</v>
      </c>
      <c r="V1113" s="72">
        <f t="shared" si="640"/>
        <v>0.49127330084489862</v>
      </c>
      <c r="W1113" s="72">
        <f t="shared" si="641"/>
        <v>0.76326026999564522</v>
      </c>
      <c r="X1113" s="72">
        <f t="shared" si="642"/>
        <v>0.23415656180868544</v>
      </c>
      <c r="Y1113" s="72">
        <f t="shared" si="643"/>
        <v>0.3757163939725538</v>
      </c>
      <c r="Z1113" s="72">
        <f t="shared" si="644"/>
        <v>0.46955109039429976</v>
      </c>
      <c r="AA1113" s="72">
        <f t="shared" si="645"/>
        <v>0.428565866819134</v>
      </c>
      <c r="AB1113" s="72">
        <f t="shared" si="646"/>
        <v>0.22903222470422757</v>
      </c>
      <c r="AC1113" s="72"/>
      <c r="AD1113" s="72"/>
      <c r="AE1113" s="72">
        <f t="shared" si="647"/>
        <v>0.49018117993235832</v>
      </c>
      <c r="AF1113" s="72">
        <f t="shared" si="648"/>
        <v>0.44999999999999996</v>
      </c>
      <c r="AG1113" s="72">
        <f t="shared" si="649"/>
        <v>0.49</v>
      </c>
      <c r="AH1113" s="72">
        <f t="shared" si="650"/>
        <v>0.50872669915510138</v>
      </c>
      <c r="AI1113" s="72">
        <f t="shared" si="651"/>
        <v>0.23673973000435478</v>
      </c>
      <c r="AJ1113" s="72">
        <f>(AV1113-Driver!$K$179)/(Driver!$L$179-Driver!$K$179)</f>
        <v>2.0062847474014985E-2</v>
      </c>
      <c r="AK1113" s="72">
        <f>(AW1113-Driver!$K$180)/(Driver!$L$180-Driver!$K$180)</f>
        <v>0.49595782028837787</v>
      </c>
      <c r="AL1113" s="72">
        <f>(AX1113-Driver!$K$181)/(Driver!$L$181-Driver!$K$181)</f>
        <v>0.57123885410737996</v>
      </c>
      <c r="AM1113" s="72">
        <f>(AY1113-Driver!$K$182)/(Driver!$L$182-Driver!$K$182)</f>
        <v>1.8819154277912385E-2</v>
      </c>
      <c r="AN1113" s="72">
        <f>(AZ1113-Driver!$K$183)/(Driver!$L$183-Driver!$K$183)</f>
        <v>0.483251633986928</v>
      </c>
      <c r="AO1113" s="72"/>
      <c r="AP1113" s="72"/>
      <c r="AQ1113" s="72">
        <f>(BC1113-Driver!$K$188)/(Driver!$L$188-Driver!$K$188)</f>
        <v>0.12981882006764164</v>
      </c>
      <c r="AR1113" s="72">
        <f>MIN((BD1113-Driver!$K$189)/(Driver!$L$189-Driver!$K$189),100%)</f>
        <v>1</v>
      </c>
      <c r="AS1113" s="72">
        <f>(BE1113-Driver!$K$190)/(Driver!$L$190-Driver!$K$190)</f>
        <v>1</v>
      </c>
      <c r="AT1113" s="72">
        <f>(BF1113-Driver!$K$191)/(Driver!$L$191-Driver!$K$191)</f>
        <v>1.2733008448986582E-3</v>
      </c>
      <c r="AU1113" s="72">
        <f>(BG1113-Driver!$K$192)/(Driver!$L$192-Driver!$K$192)</f>
        <v>1.3260269995645229E-2</v>
      </c>
      <c r="AV1113" s="70">
        <f t="shared" si="652"/>
        <v>0.42226292226292228</v>
      </c>
      <c r="AW1113" s="70">
        <f t="shared" si="653"/>
        <v>50.207376841907433</v>
      </c>
      <c r="AX1113" s="70">
        <f t="shared" si="654"/>
        <v>6.1411496869664193</v>
      </c>
      <c r="AY1113" s="70">
        <f>IFERROR(Driver!$K$19/Data!BH1113/Data!BI1113*Data!BK1113*Data!BL1113,"")</f>
        <v>2.304025992985418E-2</v>
      </c>
      <c r="AZ1113" s="70">
        <f t="shared" si="655"/>
        <v>44.043186895011161</v>
      </c>
      <c r="BA1113" s="70"/>
      <c r="BB1113" s="70"/>
      <c r="BC1113" s="70">
        <f t="shared" si="656"/>
        <v>67.337924454881275</v>
      </c>
      <c r="BD1113" s="70">
        <f t="shared" si="657"/>
        <v>239.21139032077599</v>
      </c>
      <c r="BE1113" s="70">
        <f t="shared" si="658"/>
        <v>1</v>
      </c>
      <c r="BF1113" s="70">
        <f t="shared" si="659"/>
        <v>0.14381038498659116</v>
      </c>
      <c r="BG1113" s="70">
        <f t="shared" si="660"/>
        <v>5.0211841341268687E-2</v>
      </c>
      <c r="BH1113" s="67">
        <f>MAX((CE1113-Driver!$F$200)/(Driver!$G$200-Driver!$F$200)*$BI$1,1)</f>
        <v>6.1411496869664193</v>
      </c>
      <c r="BI1113" s="67">
        <f>MAX($BI$1*(BY1113-Driver!$F$201)/(Driver!$G$201-Driver!$F$201),1)</f>
        <v>8.2278481012658222</v>
      </c>
      <c r="BJ1113" s="67">
        <f>(CB1113-Driver!$F$206)/(Driver!$G$206-Driver!$F$206)*$BI$1</f>
        <v>0.47619047619047616</v>
      </c>
      <c r="BK1113" s="67">
        <f>(CD1113-Driver!$F$203)/(Driver!$G$203-Driver!$F$203)*$BI$1</f>
        <v>1.0550458715596327</v>
      </c>
      <c r="BL1113" s="67">
        <f>MAX((CR1113-Driver!$F$202)/(Driver!$G$202-Driver!$F$202)*$BI$1,1)</f>
        <v>5.5172413793103452</v>
      </c>
      <c r="BM1113" s="67">
        <f>MAX((CH1113-Driver!$F$204)/(Driver!$G$204-Driver!$F$204)*$BI$1,1)</f>
        <v>3.5470085470085473</v>
      </c>
      <c r="BN1113" s="67">
        <f>(CI1113-Driver!$F$205)/(Driver!$G$205-Driver!$F$205)*$BI$1</f>
        <v>5.3529411764705879</v>
      </c>
      <c r="BO1113" s="67">
        <f>(CK1113-Driver!$F$207)/(Driver!$G$207-Driver!$F$207)*$BI$1</f>
        <v>0.48603929679420893</v>
      </c>
      <c r="BP1113" s="67">
        <f>(CM1113-Driver!$F$208)/(Driver!$G$208-Driver!$F$208)*$BI$1</f>
        <v>0.65555555555555567</v>
      </c>
      <c r="BQ1113" s="67">
        <f>(CL1113-Driver!$F$209)/(Driver!$G$209-Driver!$F$209)*$BI$1</f>
        <v>1.09375</v>
      </c>
      <c r="BR1113" s="28" t="s">
        <v>155</v>
      </c>
      <c r="BS1113" s="8" t="s">
        <v>229</v>
      </c>
      <c r="BT1113" s="9" t="s">
        <v>782</v>
      </c>
      <c r="BU1113" s="10">
        <v>160</v>
      </c>
      <c r="BV1113" s="9" t="s">
        <v>158</v>
      </c>
      <c r="BW1113" s="10">
        <v>160</v>
      </c>
      <c r="BX1113" s="10">
        <v>159.69999999999999</v>
      </c>
      <c r="BY1113" s="10">
        <v>138</v>
      </c>
      <c r="BZ1113" s="10">
        <v>148</v>
      </c>
      <c r="CA1113" s="10">
        <v>125</v>
      </c>
      <c r="CB1113" s="10">
        <v>67</v>
      </c>
      <c r="CC1113" s="10">
        <v>102</v>
      </c>
      <c r="CD1113" s="10">
        <v>11.7</v>
      </c>
      <c r="CE1113" s="10">
        <v>1979</v>
      </c>
      <c r="CF1113" s="10">
        <v>0.68</v>
      </c>
      <c r="CG1113" s="10">
        <v>1351</v>
      </c>
      <c r="CH1113" s="10">
        <v>184</v>
      </c>
      <c r="CI1113" s="10">
        <v>124</v>
      </c>
      <c r="CJ1113" s="10">
        <v>41</v>
      </c>
      <c r="CK1113" s="10">
        <v>157</v>
      </c>
      <c r="CL1113" s="10">
        <v>7</v>
      </c>
      <c r="CM1113" s="10">
        <v>59</v>
      </c>
      <c r="CN1113" s="10">
        <v>0.17599999999999999</v>
      </c>
      <c r="CO1113" s="10">
        <v>60</v>
      </c>
      <c r="CP1113" s="10">
        <v>53</v>
      </c>
      <c r="CQ1113" s="10">
        <v>97</v>
      </c>
      <c r="CR1113" s="10">
        <v>5</v>
      </c>
      <c r="CS1113" s="10">
        <v>11.9</v>
      </c>
      <c r="CT1113" s="9" t="s">
        <v>349</v>
      </c>
      <c r="CU1113" s="10"/>
      <c r="CV1113" s="10"/>
      <c r="CW1113" s="10"/>
      <c r="CX1113" t="e">
        <f>INDEX('Data_Price '!AG$2:AG$1266,MATCH(Data!$DN1113,'Data_Price '!$AT$2:$AT$1266,0))</f>
        <v>#N/A</v>
      </c>
      <c r="CY1113" t="e">
        <f>INDEX('Data_Price '!AH$2:AH$1266,MATCH(Data!$DN1113,'Data_Price '!$AT$2:$AT$1266,0))</f>
        <v>#N/A</v>
      </c>
      <c r="CZ1113" t="e">
        <f>INDEX('Data_Price '!AI$2:AI$1266,MATCH(Data!$DN1113,'Data_Price '!$AT$2:$AT$1266,0))</f>
        <v>#N/A</v>
      </c>
      <c r="DA1113" t="e">
        <f>INDEX('Data_Price '!AJ$2:AJ$1266,MATCH(Data!$DN1113,'Data_Price '!$AT$2:$AT$1266,0))</f>
        <v>#N/A</v>
      </c>
      <c r="DB1113" t="e">
        <f>INDEX('Data_Price '!AK$2:AK$1266,MATCH(Data!$DN1113,'Data_Price '!$AT$2:$AT$1266,0))</f>
        <v>#N/A</v>
      </c>
      <c r="DC1113" t="e">
        <f>INDEX('Data_Price '!AL$2:AL$1266,MATCH(Data!$DN1113,'Data_Price '!$AT$2:$AT$1266,0))</f>
        <v>#N/A</v>
      </c>
      <c r="DD1113" t="e">
        <f>INDEX('Data_Price '!AM$2:AM$1266,MATCH(Data!$DN1113,'Data_Price '!$AT$2:$AT$1266,0))</f>
        <v>#N/A</v>
      </c>
      <c r="DE1113" t="e">
        <f>INDEX('Data_Price '!AN$2:AN$1266,MATCH(Data!$DN1113,'Data_Price '!$AT$2:$AT$1266,0))</f>
        <v>#N/A</v>
      </c>
      <c r="DF1113" t="e">
        <f>INDEX('Data_Price '!AO$2:AO$1266,MATCH(Data!$DN1113,'Data_Price '!$AT$2:$AT$1266,0))</f>
        <v>#N/A</v>
      </c>
      <c r="DG1113" t="e">
        <f>INDEX('Data_Price '!AP$2:AP$1266,MATCH(Data!$DN1113,'Data_Price '!$AT$2:$AT$1266,0))</f>
        <v>#N/A</v>
      </c>
      <c r="DH1113" t="e">
        <f>INDEX('Data_Price '!AQ$2:AQ$1266,MATCH(Data!$DN1113,'Data_Price '!$AT$2:$AT$1266,0))</f>
        <v>#N/A</v>
      </c>
      <c r="DI1113" t="e">
        <f>INDEX('Data_Price '!AR$2:AR$1266,MATCH(Data!$DN1113,'Data_Price '!$AT$2:$AT$1266,0))</f>
        <v>#N/A</v>
      </c>
      <c r="DJ1113" s="89" t="e">
        <f t="shared" si="661"/>
        <v>#N/A</v>
      </c>
      <c r="DK1113" s="89" t="e">
        <f t="shared" si="662"/>
        <v>#N/A</v>
      </c>
      <c r="DL1113" s="89" t="e">
        <f t="shared" si="663"/>
        <v>#N/A</v>
      </c>
      <c r="DM1113" s="219" t="str">
        <f t="shared" si="664"/>
        <v>Racetiger SL</v>
      </c>
      <c r="DN1113" s="89" t="str">
        <f t="shared" si="665"/>
        <v xml:space="preserve"> VölklRacetiger SL160 Unisex</v>
      </c>
      <c r="DO1113" s="221"/>
    </row>
    <row r="1114" spans="2:119" ht="15.6" customHeight="1">
      <c r="B1114" s="219" t="b">
        <f t="array" ref="B1114">IF(OR(ISERROR(K1114:P1114)),FALSE,TRUE)</f>
        <v>1</v>
      </c>
      <c r="C1114" s="43" t="b">
        <f>OR(BR1114=Driver!$G$50,Data!BR688=Driver!$H$50)</f>
        <v>1</v>
      </c>
      <c r="D1114" s="43" t="b">
        <f>OR(BV1114=Driver!$G$51,BV1114=Driver!$H$51)</f>
        <v>0</v>
      </c>
      <c r="E1114" s="43" t="b">
        <f>AND(BX1114&gt;Driver!$F$54,BX1114&lt;Driver!$G$54)</f>
        <v>0</v>
      </c>
      <c r="F1114" s="43" t="b">
        <f>CL1114&gt;Driver!$F$56</f>
        <v>1</v>
      </c>
      <c r="G1114" s="43" t="b">
        <f>AND(CB1114&gt;Driver!$F$55,CB1114&lt;Driver!$G$55)</f>
        <v>0</v>
      </c>
      <c r="H1114" s="43" t="b">
        <f t="shared" si="629"/>
        <v>0</v>
      </c>
      <c r="I1114" s="43">
        <f t="shared" si="630"/>
        <v>0</v>
      </c>
      <c r="J1114" s="43" t="b">
        <f t="array" ref="J1114">NOT(OR(($H$9:$H$1273=TRUE)*($I$9:$I$1273&gt;0)*($BT$9:$BT$1273=BT1114)*($K$9:$K$1273&gt;K1114)))</f>
        <v>1</v>
      </c>
      <c r="K1114" s="72">
        <f t="shared" si="631"/>
        <v>0.79985878160961821</v>
      </c>
      <c r="L1114" s="72">
        <f t="shared" si="632"/>
        <v>0.7989592225761345</v>
      </c>
      <c r="M1114" s="72">
        <f t="shared" si="633"/>
        <v>0.80075834064310192</v>
      </c>
      <c r="N1114" s="72">
        <f t="shared" si="634"/>
        <v>0.94340027873236809</v>
      </c>
      <c r="O1114" s="72">
        <f t="shared" si="635"/>
        <v>0.62289807404826558</v>
      </c>
      <c r="P1114" s="72">
        <f t="shared" si="636"/>
        <v>0.83597666914867208</v>
      </c>
      <c r="Q1114" s="72"/>
      <c r="R1114" s="72"/>
      <c r="S1114" s="72">
        <f t="shared" si="637"/>
        <v>0.38979221673076092</v>
      </c>
      <c r="T1114" s="72">
        <f t="shared" si="638"/>
        <v>0.4915481635376826</v>
      </c>
      <c r="U1114" s="72">
        <f t="shared" si="639"/>
        <v>0.82548991515021797</v>
      </c>
      <c r="V1114" s="72">
        <f t="shared" si="640"/>
        <v>0.5962974320554687</v>
      </c>
      <c r="W1114" s="72">
        <f t="shared" si="641"/>
        <v>0.88274647887323943</v>
      </c>
      <c r="X1114" s="72">
        <f t="shared" si="642"/>
        <v>0.20104077742386553</v>
      </c>
      <c r="Y1114" s="72">
        <f t="shared" si="643"/>
        <v>0.19924165935689805</v>
      </c>
      <c r="Z1114" s="72">
        <f t="shared" si="644"/>
        <v>5.6599721267631867E-2</v>
      </c>
      <c r="AA1114" s="72">
        <f t="shared" si="645"/>
        <v>0.37710192595173442</v>
      </c>
      <c r="AB1114" s="72">
        <f t="shared" si="646"/>
        <v>0.16402333085132786</v>
      </c>
      <c r="AC1114" s="72"/>
      <c r="AD1114" s="72"/>
      <c r="AE1114" s="72">
        <f t="shared" si="647"/>
        <v>0.61020778326923908</v>
      </c>
      <c r="AF1114" s="72">
        <f t="shared" si="648"/>
        <v>0.5084518364623174</v>
      </c>
      <c r="AG1114" s="72">
        <f t="shared" si="649"/>
        <v>0.17451008484978198</v>
      </c>
      <c r="AH1114" s="72">
        <f t="shared" si="650"/>
        <v>0.4037025679445313</v>
      </c>
      <c r="AI1114" s="72">
        <f t="shared" si="651"/>
        <v>0.11725352112676057</v>
      </c>
      <c r="AJ1114" s="72">
        <f>(AV1114-Driver!$K$179)/(Driver!$L$179-Driver!$K$179)</f>
        <v>5.3178631858834896E-2</v>
      </c>
      <c r="AK1114" s="72">
        <f>(AW1114-Driver!$K$180)/(Driver!$L$180-Driver!$K$180)</f>
        <v>9.0901373412568987E-2</v>
      </c>
      <c r="AL1114" s="72">
        <f>(AX1114-Driver!$K$181)/(Driver!$L$181-Driver!$K$181)</f>
        <v>0.15828748498071205</v>
      </c>
      <c r="AM1114" s="72">
        <f>(AY1114-Driver!$K$182)/(Driver!$L$182-Driver!$K$182)</f>
        <v>7.0283095145311947E-2</v>
      </c>
      <c r="AN1114" s="72">
        <f>(AZ1114-Driver!$K$183)/(Driver!$L$183-Driver!$K$183)</f>
        <v>9.0196078431372548E-2</v>
      </c>
      <c r="AO1114" s="72"/>
      <c r="AP1114" s="72"/>
      <c r="AQ1114" s="72">
        <f>(BC1114-Driver!$K$188)/(Driver!$L$188-Driver!$K$188)</f>
        <v>9.7922167307609009E-3</v>
      </c>
      <c r="AR1114" s="72">
        <f>MIN((BD1114-Driver!$K$189)/(Driver!$L$189-Driver!$K$189),100%)</f>
        <v>4.1548163537682613E-2</v>
      </c>
      <c r="AS1114" s="72">
        <f>(BE1114-Driver!$K$190)/(Driver!$L$190-Driver!$K$190)</f>
        <v>0.33548991515021803</v>
      </c>
      <c r="AT1114" s="72">
        <f>(BF1114-Driver!$K$191)/(Driver!$L$191-Driver!$K$191)</f>
        <v>0.10629743205546868</v>
      </c>
      <c r="AU1114" s="72">
        <f>(BG1114-Driver!$K$192)/(Driver!$L$192-Driver!$K$192)</f>
        <v>0.13274647887323943</v>
      </c>
      <c r="AV1114" s="70">
        <f t="shared" si="652"/>
        <v>1.1192511192511192</v>
      </c>
      <c r="AW1114" s="70">
        <f t="shared" si="653"/>
        <v>10.731036928620462</v>
      </c>
      <c r="AX1114" s="70">
        <f t="shared" si="654"/>
        <v>2.4245873648264085</v>
      </c>
      <c r="AY1114" s="70">
        <f>IFERROR(Driver!$K$19/Data!BH1114/Data!BI1114*Data!BK1114*Data!BL1114,"")</f>
        <v>8.6047478909466374E-2</v>
      </c>
      <c r="AZ1114" s="70">
        <f t="shared" si="655"/>
        <v>8.2204020848845865</v>
      </c>
      <c r="BA1114" s="70"/>
      <c r="BB1114" s="70"/>
      <c r="BC1114" s="70">
        <f t="shared" si="656"/>
        <v>5.0792908926319811</v>
      </c>
      <c r="BD1114" s="70">
        <f t="shared" si="657"/>
        <v>5.3977617381931138</v>
      </c>
      <c r="BE1114" s="70">
        <f t="shared" si="658"/>
        <v>0.33560845626997565</v>
      </c>
      <c r="BF1114" s="70">
        <f t="shared" si="659"/>
        <v>12.005548168940098</v>
      </c>
      <c r="BG1114" s="70">
        <f t="shared" si="660"/>
        <v>0.50266285211267603</v>
      </c>
      <c r="BH1114" s="67">
        <f>MAX((CE1114-Driver!$F$200)/(Driver!$G$200-Driver!$F$200)*$BI$1,1)</f>
        <v>2.4245873648264085</v>
      </c>
      <c r="BI1114" s="67">
        <f>MAX($BI$1*(BY1114-Driver!$F$201)/(Driver!$G$201-Driver!$F$201),1)</f>
        <v>5.8227848101265822</v>
      </c>
      <c r="BJ1114" s="67">
        <f>(CB1114-Driver!$F$206)/(Driver!$G$206-Driver!$F$206)*$BI$1</f>
        <v>3.1746031746031744</v>
      </c>
      <c r="BK1114" s="67">
        <f>(CD1114-Driver!$F$203)/(Driver!$G$203-Driver!$F$203)*$BI$1</f>
        <v>1.1009174311926608</v>
      </c>
      <c r="BL1114" s="67">
        <f>MAX((CR1114-Driver!$F$202)/(Driver!$G$202-Driver!$F$202)*$BI$1,1)</f>
        <v>5.5172413793103452</v>
      </c>
      <c r="BM1114" s="67">
        <f>MAX((CH1114-Driver!$F$204)/(Driver!$G$204-Driver!$F$204)*$BI$1,1)</f>
        <v>1.4102564102564101</v>
      </c>
      <c r="BN1114" s="67">
        <f>(CI1114-Driver!$F$205)/(Driver!$G$205-Driver!$F$205)*$BI$1</f>
        <v>1.4117647058823528</v>
      </c>
      <c r="BO1114" s="67">
        <f>(CK1114-Driver!$F$207)/(Driver!$G$207-Driver!$F$207)*$BI$1</f>
        <v>2.047569803516029</v>
      </c>
      <c r="BP1114" s="67">
        <f>(CM1114-Driver!$F$208)/(Driver!$G$208-Driver!$F$208)*$BI$1</f>
        <v>2.0333333333333332</v>
      </c>
      <c r="BQ1114" s="67">
        <f>(CL1114-Driver!$F$209)/(Driver!$G$209-Driver!$F$209)*$BI$1</f>
        <v>1.71875</v>
      </c>
      <c r="BR1114" s="28" t="s">
        <v>155</v>
      </c>
      <c r="BS1114" s="8" t="s">
        <v>295</v>
      </c>
      <c r="BT1114" s="9" t="s">
        <v>803</v>
      </c>
      <c r="BU1114" s="10">
        <v>150</v>
      </c>
      <c r="BV1114" s="9" t="s">
        <v>163</v>
      </c>
      <c r="BW1114" s="10">
        <v>150</v>
      </c>
      <c r="BX1114" s="10">
        <v>148.69999999999999</v>
      </c>
      <c r="BY1114" s="10">
        <v>100</v>
      </c>
      <c r="BZ1114" s="10">
        <v>120</v>
      </c>
      <c r="CA1114" s="10">
        <v>119</v>
      </c>
      <c r="CB1114" s="10">
        <v>84</v>
      </c>
      <c r="CC1114" s="10">
        <v>107</v>
      </c>
      <c r="CD1114" s="10">
        <v>11.8</v>
      </c>
      <c r="CE1114" s="10">
        <v>1326</v>
      </c>
      <c r="CF1114" s="10">
        <v>1.08</v>
      </c>
      <c r="CG1114" s="10">
        <v>1426</v>
      </c>
      <c r="CH1114" s="10">
        <v>134</v>
      </c>
      <c r="CI1114" s="10">
        <v>57</v>
      </c>
      <c r="CJ1114" s="10">
        <v>54</v>
      </c>
      <c r="CK1114" s="10">
        <v>308</v>
      </c>
      <c r="CL1114" s="10">
        <v>11</v>
      </c>
      <c r="CM1114" s="10">
        <v>183</v>
      </c>
      <c r="CN1114" s="10">
        <v>0.19900000000000001</v>
      </c>
      <c r="CO1114" s="10">
        <v>176</v>
      </c>
      <c r="CP1114" s="10">
        <v>111</v>
      </c>
      <c r="CQ1114" s="10">
        <v>132</v>
      </c>
      <c r="CR1114" s="10">
        <v>5</v>
      </c>
      <c r="CS1114" s="10">
        <v>8.4</v>
      </c>
      <c r="CT1114" s="9" t="s">
        <v>231</v>
      </c>
      <c r="CU1114" s="9" t="s">
        <v>188</v>
      </c>
      <c r="CV1114" s="9" t="s">
        <v>185</v>
      </c>
      <c r="CW1114" s="10"/>
      <c r="CX1114" t="str">
        <f>INDEX('Data_Price '!AG$2:AG$1266,MATCH(Data!$DN1114,'Data_Price '!$AT$2:$AT$1266,0))</f>
        <v>Icelantic Riveter 85 Skis - Women's 2022 150cm</v>
      </c>
      <c r="CY1114" t="str">
        <f>INDEX('Data_Price '!AH$2:AH$1266,MATCH(Data!$DN1114,'Data_Price '!$AT$2:$AT$1266,0))</f>
        <v>Glacier Ski Shop</v>
      </c>
      <c r="CZ1114">
        <f>INDEX('Data_Price '!AI$2:AI$1266,MATCH(Data!$DN1114,'Data_Price '!$AT$2:$AT$1266,0))</f>
        <v>469</v>
      </c>
      <c r="DA1114" t="str">
        <f>INDEX('Data_Price '!AJ$2:AJ$1266,MATCH(Data!$DN1114,'Data_Price '!$AT$2:$AT$1266,0))</f>
        <v>https://tinyurl.com/yc8jyt45</v>
      </c>
      <c r="DB1114" t="str">
        <f>INDEX('Data_Price '!AK$2:AK$1266,MATCH(Data!$DN1114,'Data_Price '!$AT$2:$AT$1266,0))</f>
        <v>Icelantic Riveter 85 Women's Skis 150cm 2022</v>
      </c>
      <c r="DC1114" t="str">
        <f>INDEX('Data_Price '!AL$2:AL$1266,MATCH(Data!$DN1114,'Data_Price '!$AT$2:$AT$1266,0))</f>
        <v>eBay - webyshops</v>
      </c>
      <c r="DD1114">
        <f>INDEX('Data_Price '!AM$2:AM$1266,MATCH(Data!$DN1114,'Data_Price '!$AT$2:$AT$1266,0))</f>
        <v>499</v>
      </c>
      <c r="DE1114" t="str">
        <f>INDEX('Data_Price '!AN$2:AN$1266,MATCH(Data!$DN1114,'Data_Price '!$AT$2:$AT$1266,0))</f>
        <v>https://tinyurl.com/y7p86h2d</v>
      </c>
      <c r="DF1114" t="str">
        <f>INDEX('Data_Price '!AO$2:AO$1266,MATCH(Data!$DN1114,'Data_Price '!$AT$2:$AT$1266,0))</f>
        <v>Icelantic Riveter 85 Women's Skis 150cm 2022</v>
      </c>
      <c r="DG1114" t="str">
        <f>INDEX('Data_Price '!AP$2:AP$1266,MATCH(Data!$DN1114,'Data_Price '!$AT$2:$AT$1266,0))</f>
        <v>GritrOutdoors</v>
      </c>
      <c r="DH1114">
        <f>INDEX('Data_Price '!AQ$2:AQ$1266,MATCH(Data!$DN1114,'Data_Price '!$AT$2:$AT$1266,0))</f>
        <v>499</v>
      </c>
      <c r="DI1114" t="str">
        <f>INDEX('Data_Price '!AR$2:AR$1266,MATCH(Data!$DN1114,'Data_Price '!$AT$2:$AT$1266,0))</f>
        <v>https://tinyurl.com/y82hnuty</v>
      </c>
      <c r="DJ1114" s="89" t="str">
        <f t="shared" si="661"/>
        <v>https://tinyurl.com/yc8jyt45</v>
      </c>
      <c r="DK1114" s="89" t="str">
        <f t="shared" si="662"/>
        <v>https://tinyurl.com/y7p86h2d</v>
      </c>
      <c r="DL1114" s="89" t="str">
        <f t="shared" si="663"/>
        <v>https://tinyurl.com/y82hnuty</v>
      </c>
      <c r="DM1114" s="219" t="str">
        <f t="shared" si="664"/>
        <v>Riveter 85</v>
      </c>
      <c r="DN1114" s="89" t="str">
        <f t="shared" si="665"/>
        <v xml:space="preserve"> IcelanticRiveter 85150 Women's</v>
      </c>
      <c r="DO1114" s="221" t="s">
        <v>804</v>
      </c>
    </row>
    <row r="1115" spans="2:119" ht="15.6" customHeight="1">
      <c r="B1115" s="219" t="b">
        <f t="array" ref="B1115">IF(OR(ISERROR(K1115:P1115)),FALSE,TRUE)</f>
        <v>1</v>
      </c>
      <c r="C1115" s="43" t="b">
        <f>OR(BR1115=Driver!$G$50,Data!BR945=Driver!$H$50)</f>
        <v>1</v>
      </c>
      <c r="D1115" s="43" t="b">
        <f>OR(BV1115=Driver!$G$51,BV1115=Driver!$H$51)</f>
        <v>1</v>
      </c>
      <c r="E1115" s="43" t="b">
        <f>AND(BX1115&gt;Driver!$F$54,BX1115&lt;Driver!$G$54)</f>
        <v>0</v>
      </c>
      <c r="F1115" s="43" t="b">
        <f>CL1115&gt;Driver!$F$56</f>
        <v>1</v>
      </c>
      <c r="G1115" s="43" t="b">
        <f>AND(CB1115&gt;Driver!$F$55,CB1115&lt;Driver!$G$55)</f>
        <v>0</v>
      </c>
      <c r="H1115" s="43" t="b">
        <f t="shared" si="629"/>
        <v>0</v>
      </c>
      <c r="I1115" s="43">
        <f t="shared" si="630"/>
        <v>0</v>
      </c>
      <c r="J1115" s="43" t="b">
        <f t="array" ref="J1115">NOT(OR(($H$9:$H$1273=TRUE)*($I$9:$I$1273&gt;0)*($BT$9:$BT$1273=BT1115)*($K$9:$K$1273&gt;K1115)))</f>
        <v>1</v>
      </c>
      <c r="K1115" s="72">
        <f t="shared" si="631"/>
        <v>0.70494935278991033</v>
      </c>
      <c r="L1115" s="72">
        <f t="shared" si="632"/>
        <v>0.79654201203709651</v>
      </c>
      <c r="M1115" s="72">
        <f t="shared" si="633"/>
        <v>0.61335669354272415</v>
      </c>
      <c r="N1115" s="72">
        <f t="shared" si="634"/>
        <v>0.44634089721083525</v>
      </c>
      <c r="O1115" s="72">
        <f t="shared" si="635"/>
        <v>0.59196075452679375</v>
      </c>
      <c r="P1115" s="72">
        <f t="shared" si="636"/>
        <v>0.80176842889054367</v>
      </c>
      <c r="Q1115" s="72"/>
      <c r="R1115" s="72"/>
      <c r="S1115" s="72">
        <f t="shared" si="637"/>
        <v>0.62151030186007528</v>
      </c>
      <c r="T1115" s="72">
        <f t="shared" si="638"/>
        <v>0.55000000000000004</v>
      </c>
      <c r="U1115" s="72">
        <f t="shared" si="639"/>
        <v>0.51</v>
      </c>
      <c r="V1115" s="72">
        <f t="shared" si="640"/>
        <v>0.49046719425036378</v>
      </c>
      <c r="W1115" s="72">
        <f t="shared" si="641"/>
        <v>0.7566654879773691</v>
      </c>
      <c r="X1115" s="72">
        <f t="shared" si="642"/>
        <v>0.20345798796290349</v>
      </c>
      <c r="Y1115" s="72">
        <f t="shared" si="643"/>
        <v>0.38664330645727585</v>
      </c>
      <c r="Z1115" s="72">
        <f t="shared" si="644"/>
        <v>0.55365910278916475</v>
      </c>
      <c r="AA1115" s="72">
        <f t="shared" si="645"/>
        <v>0.4080392454732063</v>
      </c>
      <c r="AB1115" s="72">
        <f t="shared" si="646"/>
        <v>0.19823157110945633</v>
      </c>
      <c r="AC1115" s="72"/>
      <c r="AD1115" s="72"/>
      <c r="AE1115" s="72">
        <f t="shared" si="647"/>
        <v>0.37848969813992472</v>
      </c>
      <c r="AF1115" s="72">
        <f t="shared" si="648"/>
        <v>0.44999999999999996</v>
      </c>
      <c r="AG1115" s="72">
        <f t="shared" si="649"/>
        <v>0.49</v>
      </c>
      <c r="AH1115" s="72">
        <f t="shared" si="650"/>
        <v>0.50953280574963622</v>
      </c>
      <c r="AI1115" s="72">
        <f t="shared" si="651"/>
        <v>0.24333451202263084</v>
      </c>
      <c r="AJ1115" s="72">
        <f>(AV1115-Driver!$K$179)/(Driver!$L$179-Driver!$K$179)</f>
        <v>5.076142131979694E-2</v>
      </c>
      <c r="AK1115" s="72">
        <f>(AW1115-Driver!$K$180)/(Driver!$L$180-Driver!$K$180)</f>
        <v>0.4751793570849065</v>
      </c>
      <c r="AL1115" s="72">
        <f>(AX1115-Driver!$K$181)/(Driver!$L$181-Driver!$K$181)</f>
        <v>0.65534686650224494</v>
      </c>
      <c r="AM1115" s="72">
        <f>(AY1115-Driver!$K$182)/(Driver!$L$182-Driver!$K$182)</f>
        <v>3.9345775623840049E-2</v>
      </c>
      <c r="AN1115" s="72">
        <f>(AZ1115-Driver!$K$183)/(Driver!$L$183-Driver!$K$183)</f>
        <v>0.45245098039215675</v>
      </c>
      <c r="AO1115" s="72"/>
      <c r="AP1115" s="72"/>
      <c r="AQ1115" s="72">
        <f>(BC1115-Driver!$K$188)/(Driver!$L$188-Driver!$K$188)</f>
        <v>0.2415103018600753</v>
      </c>
      <c r="AR1115" s="72">
        <f>MIN((BD1115-Driver!$K$189)/(Driver!$L$189-Driver!$K$189),100%)</f>
        <v>1</v>
      </c>
      <c r="AS1115" s="72">
        <f>(BE1115-Driver!$K$190)/(Driver!$L$190-Driver!$K$190)</f>
        <v>1</v>
      </c>
      <c r="AT1115" s="72">
        <f>(BF1115-Driver!$K$191)/(Driver!$L$191-Driver!$K$191)</f>
        <v>4.6719425036377657E-4</v>
      </c>
      <c r="AU1115" s="72">
        <f>(BG1115-Driver!$K$192)/(Driver!$L$192-Driver!$K$192)</f>
        <v>6.665487977369166E-3</v>
      </c>
      <c r="AV1115" s="70">
        <f t="shared" si="652"/>
        <v>1.0683760683760681</v>
      </c>
      <c r="AW1115" s="70">
        <f t="shared" si="653"/>
        <v>48.182331486815343</v>
      </c>
      <c r="AX1115" s="70">
        <f t="shared" si="654"/>
        <v>6.8981217985202044</v>
      </c>
      <c r="AY1115" s="70">
        <f>IFERROR(Driver!$K$19/Data!BH1115/Data!BI1115*Data!BK1115*Data!BL1115,"")</f>
        <v>4.8170969009961151E-2</v>
      </c>
      <c r="AZ1115" s="70">
        <f t="shared" si="655"/>
        <v>41.236038719285176</v>
      </c>
      <c r="BA1115" s="70"/>
      <c r="BB1115" s="70"/>
      <c r="BC1115" s="70">
        <f t="shared" si="656"/>
        <v>125.27307252720097</v>
      </c>
      <c r="BD1115" s="70">
        <f t="shared" si="657"/>
        <v>95.407509198023334</v>
      </c>
      <c r="BE1115" s="70">
        <f t="shared" si="658"/>
        <v>1</v>
      </c>
      <c r="BF1115" s="70">
        <f t="shared" si="659"/>
        <v>5.2766308353218751E-2</v>
      </c>
      <c r="BG1115" s="70">
        <f t="shared" si="660"/>
        <v>2.5239789603960401E-2</v>
      </c>
      <c r="BH1115" s="67">
        <f>MAX((CE1115-Driver!$F$200)/(Driver!$G$200-Driver!$F$200)*$BI$1,1)</f>
        <v>6.8981217985202044</v>
      </c>
      <c r="BI1115" s="67">
        <f>MAX($BI$1*(BY1115-Driver!$F$201)/(Driver!$G$201-Driver!$F$201),1)</f>
        <v>8.9873417721518987</v>
      </c>
      <c r="BJ1115" s="67">
        <f>(CB1115-Driver!$F$206)/(Driver!$G$206-Driver!$F$206)*$BI$1</f>
        <v>0.79365079365079361</v>
      </c>
      <c r="BK1115" s="67">
        <f>(CD1115-Driver!$F$203)/(Driver!$G$203-Driver!$F$203)*$BI$1</f>
        <v>2.7064220183486243</v>
      </c>
      <c r="BL1115" s="67">
        <f>MAX((CR1115-Driver!$F$202)/(Driver!$G$202-Driver!$F$202)*$BI$1,1)</f>
        <v>5.5172413793103452</v>
      </c>
      <c r="BM1115" s="67">
        <f>MAX((CH1115-Driver!$F$204)/(Driver!$G$204-Driver!$F$204)*$BI$1,1)</f>
        <v>5.3846153846153841</v>
      </c>
      <c r="BN1115" s="67">
        <f>(CI1115-Driver!$F$205)/(Driver!$G$205-Driver!$F$205)*$BI$1</f>
        <v>4.5882352941176467</v>
      </c>
      <c r="BO1115" s="67">
        <f>(CK1115-Driver!$F$207)/(Driver!$G$207-Driver!$F$207)*$BI$1</f>
        <v>0.29989658738366076</v>
      </c>
      <c r="BP1115" s="67">
        <f>(CM1115-Driver!$F$208)/(Driver!$G$208-Driver!$F$208)*$BI$1</f>
        <v>0.6</v>
      </c>
      <c r="BQ1115" s="67">
        <f>(CL1115-Driver!$F$209)/(Driver!$G$209-Driver!$F$209)*$BI$1</f>
        <v>0.9375</v>
      </c>
      <c r="BR1115" s="28" t="s">
        <v>155</v>
      </c>
      <c r="BS1115" s="8" t="s">
        <v>332</v>
      </c>
      <c r="BT1115" s="9" t="s">
        <v>797</v>
      </c>
      <c r="BU1115" s="10">
        <v>170</v>
      </c>
      <c r="BV1115" s="9" t="s">
        <v>158</v>
      </c>
      <c r="BW1115" s="10">
        <v>170</v>
      </c>
      <c r="BX1115" s="10">
        <v>168.9</v>
      </c>
      <c r="BY1115" s="10">
        <v>150</v>
      </c>
      <c r="BZ1115" s="10">
        <v>158</v>
      </c>
      <c r="CA1115" s="10">
        <v>121</v>
      </c>
      <c r="CB1115" s="10">
        <v>69</v>
      </c>
      <c r="CC1115" s="10">
        <v>100</v>
      </c>
      <c r="CD1115" s="10">
        <v>15.3</v>
      </c>
      <c r="CE1115" s="10">
        <v>2112</v>
      </c>
      <c r="CF1115" s="10">
        <v>0.68</v>
      </c>
      <c r="CG1115" s="10">
        <v>1428</v>
      </c>
      <c r="CH1115" s="10">
        <v>227</v>
      </c>
      <c r="CI1115" s="10">
        <v>111</v>
      </c>
      <c r="CJ1115" s="10">
        <v>40</v>
      </c>
      <c r="CK1115" s="10">
        <v>139</v>
      </c>
      <c r="CL1115" s="10">
        <v>6</v>
      </c>
      <c r="CM1115" s="10">
        <v>54</v>
      </c>
      <c r="CN1115" s="10">
        <v>0.153</v>
      </c>
      <c r="CO1115" s="10">
        <v>66</v>
      </c>
      <c r="CP1115" s="10">
        <v>48</v>
      </c>
      <c r="CQ1115" s="10">
        <v>73</v>
      </c>
      <c r="CR1115" s="10">
        <v>5</v>
      </c>
      <c r="CS1115" s="10">
        <v>12.9</v>
      </c>
      <c r="CT1115" s="9" t="s">
        <v>349</v>
      </c>
      <c r="CU1115" s="10"/>
      <c r="CV1115" s="10"/>
      <c r="CW1115" s="10"/>
      <c r="CX1115">
        <f>INDEX('Data_Price '!AG$2:AG$1266,MATCH(Data!$DN1115,'Data_Price '!$AT$2:$AT$1266,0))</f>
        <v>0</v>
      </c>
      <c r="CY1115">
        <f>INDEX('Data_Price '!AH$2:AH$1266,MATCH(Data!$DN1115,'Data_Price '!$AT$2:$AT$1266,0))</f>
        <v>0</v>
      </c>
      <c r="CZ1115">
        <f>INDEX('Data_Price '!AI$2:AI$1266,MATCH(Data!$DN1115,'Data_Price '!$AT$2:$AT$1266,0))</f>
        <v>0</v>
      </c>
      <c r="DA1115">
        <f>INDEX('Data_Price '!AJ$2:AJ$1266,MATCH(Data!$DN1115,'Data_Price '!$AT$2:$AT$1266,0))</f>
        <v>0</v>
      </c>
      <c r="DB1115">
        <f>INDEX('Data_Price '!AK$2:AK$1266,MATCH(Data!$DN1115,'Data_Price '!$AT$2:$AT$1266,0))</f>
        <v>0</v>
      </c>
      <c r="DC1115">
        <f>INDEX('Data_Price '!AL$2:AL$1266,MATCH(Data!$DN1115,'Data_Price '!$AT$2:$AT$1266,0))</f>
        <v>0</v>
      </c>
      <c r="DD1115">
        <f>INDEX('Data_Price '!AM$2:AM$1266,MATCH(Data!$DN1115,'Data_Price '!$AT$2:$AT$1266,0))</f>
        <v>0</v>
      </c>
      <c r="DE1115">
        <f>INDEX('Data_Price '!AN$2:AN$1266,MATCH(Data!$DN1115,'Data_Price '!$AT$2:$AT$1266,0))</f>
        <v>0</v>
      </c>
      <c r="DF1115">
        <f>INDEX('Data_Price '!AO$2:AO$1266,MATCH(Data!$DN1115,'Data_Price '!$AT$2:$AT$1266,0))</f>
        <v>0</v>
      </c>
      <c r="DG1115">
        <f>INDEX('Data_Price '!AP$2:AP$1266,MATCH(Data!$DN1115,'Data_Price '!$AT$2:$AT$1266,0))</f>
        <v>0</v>
      </c>
      <c r="DH1115">
        <f>INDEX('Data_Price '!AQ$2:AQ$1266,MATCH(Data!$DN1115,'Data_Price '!$AT$2:$AT$1266,0))</f>
        <v>0</v>
      </c>
      <c r="DI1115">
        <f>INDEX('Data_Price '!AR$2:AR$1266,MATCH(Data!$DN1115,'Data_Price '!$AT$2:$AT$1266,0))</f>
        <v>0</v>
      </c>
      <c r="DJ1115" s="89">
        <f t="shared" si="661"/>
        <v>0</v>
      </c>
      <c r="DK1115" s="89">
        <f t="shared" si="662"/>
        <v>0</v>
      </c>
      <c r="DL1115" s="89">
        <f t="shared" si="663"/>
        <v>0</v>
      </c>
      <c r="DM1115" s="219" t="str">
        <f t="shared" si="664"/>
        <v>Spitfire 70 Ti</v>
      </c>
      <c r="DN1115" s="89" t="str">
        <f t="shared" si="665"/>
        <v xml:space="preserve"> NordicaSpitfire 70 Ti170 Unisex</v>
      </c>
      <c r="DO1115" s="221"/>
    </row>
    <row r="1116" spans="2:119" ht="15.6" customHeight="1">
      <c r="B1116" s="219" t="b">
        <f t="array" ref="B1116">IF(OR(ISERROR(K1116:P1116)),FALSE,TRUE)</f>
        <v>1</v>
      </c>
      <c r="C1116" s="43" t="b">
        <f>OR(BR1116=Driver!$G$50,Data!BR141=Driver!$H$50)</f>
        <v>1</v>
      </c>
      <c r="D1116" s="43" t="b">
        <f>OR(BV1116=Driver!$G$51,BV1116=Driver!$H$51)</f>
        <v>0</v>
      </c>
      <c r="E1116" s="43" t="b">
        <f>AND(BX1116&gt;Driver!$F$54,BX1116&lt;Driver!$G$54)</f>
        <v>0</v>
      </c>
      <c r="F1116" s="43" t="b">
        <f>CL1116&gt;Driver!$F$56</f>
        <v>1</v>
      </c>
      <c r="G1116" s="43" t="b">
        <f>AND(CB1116&gt;Driver!$F$55,CB1116&lt;Driver!$G$55)</f>
        <v>0</v>
      </c>
      <c r="H1116" s="43" t="b">
        <f t="shared" si="629"/>
        <v>0</v>
      </c>
      <c r="I1116" s="43">
        <f t="shared" si="630"/>
        <v>0</v>
      </c>
      <c r="J1116" s="43" t="b">
        <f t="array" ref="J1116">NOT(OR(($H$9:$H$1273=TRUE)*($I$9:$I$1273&gt;0)*($BT$9:$BT$1273=BT1116)*($K$9:$K$1273&gt;K1116)))</f>
        <v>1</v>
      </c>
      <c r="K1116" s="72">
        <f t="shared" si="631"/>
        <v>0.73614256283945256</v>
      </c>
      <c r="L1116" s="72">
        <f t="shared" si="632"/>
        <v>0.75907524868200826</v>
      </c>
      <c r="M1116" s="72">
        <f t="shared" si="633"/>
        <v>0.71320987699689686</v>
      </c>
      <c r="N1116" s="72">
        <f t="shared" si="634"/>
        <v>0.73028448792733425</v>
      </c>
      <c r="O1116" s="72">
        <f t="shared" si="635"/>
        <v>0.60523121901272325</v>
      </c>
      <c r="P1116" s="72">
        <f t="shared" si="636"/>
        <v>0.80411392405063287</v>
      </c>
      <c r="Q1116" s="72"/>
      <c r="R1116" s="72"/>
      <c r="S1116" s="72">
        <f t="shared" si="637"/>
        <v>0.39952678001156716</v>
      </c>
      <c r="T1116" s="72">
        <f t="shared" si="638"/>
        <v>0.74942707846836631</v>
      </c>
      <c r="U1116" s="72">
        <f t="shared" si="639"/>
        <v>0.51</v>
      </c>
      <c r="V1116" s="72">
        <f t="shared" si="640"/>
        <v>0.49074213107596354</v>
      </c>
      <c r="W1116" s="72">
        <f t="shared" si="641"/>
        <v>0.77695103062075543</v>
      </c>
      <c r="X1116" s="72">
        <f t="shared" si="642"/>
        <v>0.24092475131799171</v>
      </c>
      <c r="Y1116" s="72">
        <f t="shared" si="643"/>
        <v>0.28679012300310319</v>
      </c>
      <c r="Z1116" s="72">
        <f t="shared" si="644"/>
        <v>0.2697155120726657</v>
      </c>
      <c r="AA1116" s="72">
        <f t="shared" si="645"/>
        <v>0.39476878098727675</v>
      </c>
      <c r="AB1116" s="72">
        <f t="shared" si="646"/>
        <v>0.19588607594936711</v>
      </c>
      <c r="AC1116" s="72"/>
      <c r="AD1116" s="72"/>
      <c r="AE1116" s="72">
        <f t="shared" si="647"/>
        <v>0.60047321998843284</v>
      </c>
      <c r="AF1116" s="72">
        <f t="shared" si="648"/>
        <v>0.25057292153163374</v>
      </c>
      <c r="AG1116" s="72">
        <f t="shared" si="649"/>
        <v>0.49</v>
      </c>
      <c r="AH1116" s="72">
        <f t="shared" si="650"/>
        <v>0.50925786892403646</v>
      </c>
      <c r="AI1116" s="72">
        <f t="shared" si="651"/>
        <v>0.22304896937924462</v>
      </c>
      <c r="AJ1116" s="72">
        <f>(AV1116-Driver!$K$179)/(Driver!$L$179-Driver!$K$179)</f>
        <v>1.3294657964708724E-2</v>
      </c>
      <c r="AK1116" s="72">
        <f>(AW1116-Driver!$K$180)/(Driver!$L$180-Driver!$K$180)</f>
        <v>8.056333165872262E-2</v>
      </c>
      <c r="AL1116" s="72">
        <f>(AX1116-Driver!$K$181)/(Driver!$L$181-Driver!$K$181)</f>
        <v>0.37140327578574589</v>
      </c>
      <c r="AM1116" s="72">
        <f>(AY1116-Driver!$K$182)/(Driver!$L$182-Driver!$K$182)</f>
        <v>5.2616240109769619E-2</v>
      </c>
      <c r="AN1116" s="72">
        <f>(AZ1116-Driver!$K$183)/(Driver!$L$183-Driver!$K$183)</f>
        <v>5.8333333333333327E-2</v>
      </c>
      <c r="AO1116" s="72"/>
      <c r="AP1116" s="72"/>
      <c r="AQ1116" s="72">
        <f>(BC1116-Driver!$K$188)/(Driver!$L$188-Driver!$K$188)</f>
        <v>1.9526780011567133E-2</v>
      </c>
      <c r="AR1116" s="72">
        <f>MIN((BD1116-Driver!$K$189)/(Driver!$L$189-Driver!$K$189),100%)</f>
        <v>0.2994270784683663</v>
      </c>
      <c r="AS1116" s="72">
        <f>(BE1116-Driver!$K$190)/(Driver!$L$190-Driver!$K$190)</f>
        <v>1</v>
      </c>
      <c r="AT1116" s="72">
        <f>(BF1116-Driver!$K$191)/(Driver!$L$191-Driver!$K$191)</f>
        <v>7.4213107596358442E-4</v>
      </c>
      <c r="AU1116" s="72">
        <f>(BG1116-Driver!$K$192)/(Driver!$L$192-Driver!$K$192)</f>
        <v>2.6951030620755392E-2</v>
      </c>
      <c r="AV1116" s="70">
        <f t="shared" si="652"/>
        <v>0.2798127798127798</v>
      </c>
      <c r="AW1116" s="70">
        <f t="shared" si="653"/>
        <v>9.7235031553394276</v>
      </c>
      <c r="AX1116" s="70">
        <f t="shared" si="654"/>
        <v>4.3426294820717128</v>
      </c>
      <c r="AY1116" s="70">
        <f>IFERROR(Driver!$K$19/Data!BH1116/Data!BI1116*Data!BK1116*Data!BL1116,"")</f>
        <v>6.4417977065183568E-2</v>
      </c>
      <c r="AZ1116" s="70">
        <f t="shared" si="655"/>
        <v>5.3164556962025316</v>
      </c>
      <c r="BA1116" s="70"/>
      <c r="BB1116" s="70"/>
      <c r="BC1116" s="70">
        <f t="shared" si="656"/>
        <v>10.128676539972194</v>
      </c>
      <c r="BD1116" s="70">
        <f t="shared" si="657"/>
        <v>28.219588775159593</v>
      </c>
      <c r="BE1116" s="70">
        <f t="shared" si="658"/>
        <v>1</v>
      </c>
      <c r="BF1116" s="70">
        <f t="shared" si="659"/>
        <v>8.3818491264199629E-2</v>
      </c>
      <c r="BG1116" s="70">
        <f t="shared" si="660"/>
        <v>0.1020537948290242</v>
      </c>
      <c r="BH1116" s="67">
        <f>MAX((CE1116-Driver!$F$200)/(Driver!$G$200-Driver!$F$200)*$BI$1,1)</f>
        <v>4.3426294820717128</v>
      </c>
      <c r="BI1116" s="67">
        <f>MAX($BI$1*(BY1116-Driver!$F$201)/(Driver!$G$201-Driver!$F$201),1)</f>
        <v>7.5316455696202533</v>
      </c>
      <c r="BJ1116" s="67">
        <f>(CB1116-Driver!$F$206)/(Driver!$G$206-Driver!$F$206)*$BI$1</f>
        <v>0.79365079365079361</v>
      </c>
      <c r="BK1116" s="67">
        <f>(CD1116-Driver!$F$203)/(Driver!$G$203-Driver!$F$203)*$BI$1</f>
        <v>1.6972477064220182</v>
      </c>
      <c r="BL1116" s="67">
        <f>MAX((CR1116-Driver!$F$202)/(Driver!$G$202-Driver!$F$202)*$BI$1,1)</f>
        <v>6.2068965517241379</v>
      </c>
      <c r="BM1116" s="67">
        <f>MAX((CH1116-Driver!$F$204)/(Driver!$G$204-Driver!$F$204)*$BI$1,1)</f>
        <v>1.4102564102564101</v>
      </c>
      <c r="BN1116" s="67">
        <f>(CI1116-Driver!$F$205)/(Driver!$G$205-Driver!$F$205)*$BI$1</f>
        <v>0.70588235294117641</v>
      </c>
      <c r="BO1116" s="67">
        <f>(CK1116-Driver!$F$207)/(Driver!$G$207-Driver!$F$207)*$BI$1</f>
        <v>0.31023784901758011</v>
      </c>
      <c r="BP1116" s="67">
        <f>(CM1116-Driver!$F$208)/(Driver!$G$208-Driver!$F$208)*$BI$1</f>
        <v>0.57777777777777772</v>
      </c>
      <c r="BQ1116" s="67">
        <f>(CL1116-Driver!$F$209)/(Driver!$G$209-Driver!$F$209)*$BI$1</f>
        <v>0.625</v>
      </c>
      <c r="BR1116" s="28" t="s">
        <v>155</v>
      </c>
      <c r="BS1116" s="8" t="s">
        <v>156</v>
      </c>
      <c r="BT1116" s="9" t="s">
        <v>845</v>
      </c>
      <c r="BU1116" s="10">
        <v>147</v>
      </c>
      <c r="BV1116" s="9" t="s">
        <v>163</v>
      </c>
      <c r="BW1116" s="10">
        <v>147</v>
      </c>
      <c r="BX1116" s="10">
        <v>146.6</v>
      </c>
      <c r="BY1116" s="10">
        <v>127</v>
      </c>
      <c r="BZ1116" s="10">
        <v>134</v>
      </c>
      <c r="CA1116" s="10">
        <v>107</v>
      </c>
      <c r="CB1116" s="10">
        <v>69</v>
      </c>
      <c r="CC1116" s="10">
        <v>95</v>
      </c>
      <c r="CD1116" s="10">
        <v>13.1</v>
      </c>
      <c r="CE1116" s="10">
        <v>1663</v>
      </c>
      <c r="CF1116" s="10">
        <v>0.72</v>
      </c>
      <c r="CG1116" s="10">
        <v>1193</v>
      </c>
      <c r="CH1116" s="10">
        <v>134</v>
      </c>
      <c r="CI1116" s="10">
        <v>45</v>
      </c>
      <c r="CJ1116" s="10">
        <v>36</v>
      </c>
      <c r="CK1116" s="10">
        <v>140</v>
      </c>
      <c r="CL1116" s="10">
        <v>4</v>
      </c>
      <c r="CM1116" s="10">
        <v>52</v>
      </c>
      <c r="CN1116" s="10">
        <v>0.11700000000000001</v>
      </c>
      <c r="CO1116" s="10">
        <v>80</v>
      </c>
      <c r="CP1116" s="10">
        <v>49</v>
      </c>
      <c r="CQ1116" s="10">
        <v>60</v>
      </c>
      <c r="CR1116" s="10">
        <v>7</v>
      </c>
      <c r="CS1116" s="10">
        <v>12.3</v>
      </c>
      <c r="CT1116" s="9" t="s">
        <v>349</v>
      </c>
      <c r="CU1116" s="10"/>
      <c r="CV1116" s="10"/>
      <c r="CW1116" s="10"/>
      <c r="CX1116" t="str">
        <f>INDEX('Data_Price '!AG$2:AG$1266,MATCH(Data!$DN1116,'Data_Price '!$AT$2:$AT$1266,0))</f>
        <v>Atomic Cloud C12 Servo Skis w/ x 12 GW Bindings</v>
      </c>
      <c r="CY1116" t="str">
        <f>INDEX('Data_Price '!AH$2:AH$1266,MATCH(Data!$DN1116,'Data_Price '!$AT$2:$AT$1266,0))</f>
        <v>The-House.com</v>
      </c>
      <c r="CZ1116">
        <f>INDEX('Data_Price '!AI$2:AI$1266,MATCH(Data!$DN1116,'Data_Price '!$AT$2:$AT$1266,0))</f>
        <v>639.99</v>
      </c>
      <c r="DA1116" t="str">
        <f>INDEX('Data_Price '!AJ$2:AJ$1266,MATCH(Data!$DN1116,'Data_Price '!$AT$2:$AT$1266,0))</f>
        <v>https://tinyurl.com/yat4l5mj</v>
      </c>
      <c r="DB1116" t="str">
        <f>INDEX('Data_Price '!AK$2:AK$1266,MATCH(Data!$DN1116,'Data_Price '!$AT$2:$AT$1266,0))</f>
        <v>Atomic Skis Vantage 75 + M 10 GW Womens - No Color - 147</v>
      </c>
      <c r="DC1116" t="str">
        <f>INDEX('Data_Price '!AL$2:AL$1266,MATCH(Data!$DN1116,'Data_Price '!$AT$2:$AT$1266,0))</f>
        <v>Level Nine Sports</v>
      </c>
      <c r="DD1116">
        <f>INDEX('Data_Price '!AM$2:AM$1266,MATCH(Data!$DN1116,'Data_Price '!$AT$2:$AT$1266,0))</f>
        <v>319.99</v>
      </c>
      <c r="DE1116" t="str">
        <f>INDEX('Data_Price '!AN$2:AN$1266,MATCH(Data!$DN1116,'Data_Price '!$AT$2:$AT$1266,0))</f>
        <v>https://tinyurl.com/ydao93ro</v>
      </c>
      <c r="DF1116" t="str">
        <f>INDEX('Data_Price '!AO$2:AO$1266,MATCH(Data!$DN1116,'Data_Price '!$AT$2:$AT$1266,0))</f>
        <v>Atomic Maven 86 Berry / 147cm</v>
      </c>
      <c r="DG1116" t="str">
        <f>INDEX('Data_Price '!AP$2:AP$1266,MATCH(Data!$DN1116,'Data_Price '!$AT$2:$AT$1266,0))</f>
        <v>Sundance Ski and Board Shop</v>
      </c>
      <c r="DH1116">
        <f>INDEX('Data_Price '!AQ$2:AQ$1266,MATCH(Data!$DN1116,'Data_Price '!$AT$2:$AT$1266,0))</f>
        <v>320.57</v>
      </c>
      <c r="DI1116" t="str">
        <f>INDEX('Data_Price '!AR$2:AR$1266,MATCH(Data!$DN1116,'Data_Price '!$AT$2:$AT$1266,0))</f>
        <v>https://tinyurl.com/y8ldbro6</v>
      </c>
      <c r="DJ1116" s="89" t="str">
        <f t="shared" si="661"/>
        <v>https://tinyurl.com/yat4l5mj</v>
      </c>
      <c r="DK1116" s="89" t="str">
        <f t="shared" si="662"/>
        <v>https://tinyurl.com/ydao93ro</v>
      </c>
      <c r="DL1116" s="89" t="str">
        <f t="shared" si="663"/>
        <v>https://tinyurl.com/y8ldbro6</v>
      </c>
      <c r="DM1116" s="219" t="str">
        <f t="shared" si="664"/>
        <v>Cloud C12 Servo</v>
      </c>
      <c r="DN1116" s="89" t="str">
        <f t="shared" si="665"/>
        <v xml:space="preserve"> AtomicCloud C12 Servo147 Women's</v>
      </c>
      <c r="DO1116" s="221"/>
    </row>
    <row r="1117" spans="2:119" ht="15.6" customHeight="1">
      <c r="B1117" s="219" t="b">
        <f t="array" ref="B1117">IF(OR(ISERROR(K1117:P1117)),FALSE,TRUE)</f>
        <v>1</v>
      </c>
      <c r="C1117" s="43" t="b">
        <f>OR(BR1117=Driver!$G$50,Data!BR1049=Driver!$H$50)</f>
        <v>1</v>
      </c>
      <c r="D1117" s="43" t="b">
        <f>OR(BV1117=Driver!$G$51,BV1117=Driver!$H$51)</f>
        <v>0</v>
      </c>
      <c r="E1117" s="43" t="b">
        <f>AND(BX1117&gt;Driver!$F$54,BX1117&lt;Driver!$G$54)</f>
        <v>0</v>
      </c>
      <c r="F1117" s="43" t="b">
        <f>CL1117&gt;Driver!$F$56</f>
        <v>1</v>
      </c>
      <c r="G1117" s="43" t="b">
        <f>AND(CB1117&gt;Driver!$F$55,CB1117&lt;Driver!$G$55)</f>
        <v>0</v>
      </c>
      <c r="H1117" s="43" t="b">
        <f t="shared" si="629"/>
        <v>0</v>
      </c>
      <c r="I1117" s="43">
        <f t="shared" si="630"/>
        <v>0</v>
      </c>
      <c r="J1117" s="43" t="b">
        <f t="array" ref="J1117">NOT(OR(($H$9:$H$1273=TRUE)*($I$9:$I$1273&gt;0)*($BT$9:$BT$1273=BT1117)*($K$9:$K$1273&gt;K1117)))</f>
        <v>1</v>
      </c>
      <c r="K1117" s="72">
        <f t="shared" si="631"/>
        <v>0.76028343472967785</v>
      </c>
      <c r="L1117" s="72">
        <f t="shared" si="632"/>
        <v>0.76898581189206383</v>
      </c>
      <c r="M1117" s="72">
        <f t="shared" si="633"/>
        <v>0.75158105756729188</v>
      </c>
      <c r="N1117" s="72">
        <f t="shared" si="634"/>
        <v>0.85929226633750311</v>
      </c>
      <c r="O1117" s="72">
        <f t="shared" si="635"/>
        <v>0.57614090388236705</v>
      </c>
      <c r="P1117" s="72">
        <f t="shared" si="636"/>
        <v>0.81931000248200547</v>
      </c>
      <c r="Q1117" s="72"/>
      <c r="R1117" s="72"/>
      <c r="S1117" s="72">
        <f t="shared" si="637"/>
        <v>0.38545418217536942</v>
      </c>
      <c r="T1117" s="72">
        <f t="shared" si="638"/>
        <v>0.9009185945537681</v>
      </c>
      <c r="U1117" s="72">
        <f t="shared" si="639"/>
        <v>0.51</v>
      </c>
      <c r="V1117" s="72">
        <f t="shared" si="640"/>
        <v>0.49679750547760215</v>
      </c>
      <c r="W1117" s="72">
        <f t="shared" si="641"/>
        <v>0.80690406976744189</v>
      </c>
      <c r="X1117" s="72">
        <f t="shared" si="642"/>
        <v>0.23101418810793611</v>
      </c>
      <c r="Y1117" s="72">
        <f t="shared" si="643"/>
        <v>0.24841894243270812</v>
      </c>
      <c r="Z1117" s="72">
        <f t="shared" si="644"/>
        <v>0.14070773366249689</v>
      </c>
      <c r="AA1117" s="72">
        <f t="shared" si="645"/>
        <v>0.42385909611763301</v>
      </c>
      <c r="AB1117" s="72">
        <f t="shared" si="646"/>
        <v>0.18068999751799453</v>
      </c>
      <c r="AC1117" s="72"/>
      <c r="AD1117" s="72"/>
      <c r="AE1117" s="72">
        <f t="shared" si="647"/>
        <v>0.61454581782463058</v>
      </c>
      <c r="AF1117" s="72">
        <f t="shared" si="648"/>
        <v>9.9081405446231841E-2</v>
      </c>
      <c r="AG1117" s="72">
        <f t="shared" si="649"/>
        <v>0.49</v>
      </c>
      <c r="AH1117" s="72">
        <f t="shared" si="650"/>
        <v>0.50320249452239785</v>
      </c>
      <c r="AI1117" s="72">
        <f t="shared" si="651"/>
        <v>0.19309593023255817</v>
      </c>
      <c r="AJ1117" s="72">
        <f>(AV1117-Driver!$K$179)/(Driver!$L$179-Driver!$K$179)</f>
        <v>2.3205221174764316E-2</v>
      </c>
      <c r="AK1117" s="72">
        <f>(AW1117-Driver!$K$180)/(Driver!$L$180-Driver!$K$180)</f>
        <v>8.2495160268714202E-2</v>
      </c>
      <c r="AL1117" s="72">
        <f>(AX1117-Driver!$K$181)/(Driver!$L$181-Driver!$K$181)</f>
        <v>0.24239549737557706</v>
      </c>
      <c r="AM1117" s="72">
        <f>(AY1117-Driver!$K$182)/(Driver!$L$182-Driver!$K$182)</f>
        <v>2.3525924979413342E-2</v>
      </c>
      <c r="AN1117" s="72">
        <f>(AZ1117-Driver!$K$183)/(Driver!$L$183-Driver!$K$183)</f>
        <v>7.3529411764705885E-2</v>
      </c>
      <c r="AO1117" s="72"/>
      <c r="AP1117" s="72"/>
      <c r="AQ1117" s="72">
        <f>(BC1117-Driver!$K$188)/(Driver!$L$188-Driver!$K$188)</f>
        <v>5.4541821753694144E-3</v>
      </c>
      <c r="AR1117" s="72">
        <f>MIN((BD1117-Driver!$K$189)/(Driver!$L$189-Driver!$K$189),100%)</f>
        <v>0.4509185945537682</v>
      </c>
      <c r="AS1117" s="72">
        <f>(BE1117-Driver!$K$190)/(Driver!$L$190-Driver!$K$190)</f>
        <v>1</v>
      </c>
      <c r="AT1117" s="72">
        <f>(BF1117-Driver!$K$191)/(Driver!$L$191-Driver!$K$191)</f>
        <v>6.7975054776021199E-3</v>
      </c>
      <c r="AU1117" s="72">
        <f>(BG1117-Driver!$K$192)/(Driver!$L$192-Driver!$K$192)</f>
        <v>5.6904069767441848E-2</v>
      </c>
      <c r="AV1117" s="70">
        <f t="shared" si="652"/>
        <v>0.48840048840048833</v>
      </c>
      <c r="AW1117" s="70">
        <f t="shared" si="653"/>
        <v>9.9117769711259527</v>
      </c>
      <c r="AX1117" s="70">
        <f t="shared" si="654"/>
        <v>3.1815594763801935</v>
      </c>
      <c r="AY1117" s="70">
        <f>IFERROR(Driver!$K$19/Data!BH1117/Data!BI1117*Data!BK1117*Data!BL1117,"")</f>
        <v>2.8802751633324825E-2</v>
      </c>
      <c r="AZ1117" s="70">
        <f t="shared" si="655"/>
        <v>6.7014147431124353</v>
      </c>
      <c r="BA1117" s="70"/>
      <c r="BB1117" s="70"/>
      <c r="BC1117" s="70">
        <f t="shared" si="656"/>
        <v>2.8291222112234511</v>
      </c>
      <c r="BD1117" s="70">
        <f t="shared" si="657"/>
        <v>41.626319521634827</v>
      </c>
      <c r="BE1117" s="70">
        <f t="shared" si="658"/>
        <v>1</v>
      </c>
      <c r="BF1117" s="70">
        <f t="shared" si="659"/>
        <v>0.76773048851642456</v>
      </c>
      <c r="BG1117" s="70">
        <f t="shared" si="660"/>
        <v>0.21547510901162789</v>
      </c>
      <c r="BH1117" s="67">
        <f>MAX((CE1117-Driver!$F$200)/(Driver!$G$200-Driver!$F$200)*$BI$1,1)</f>
        <v>3.1815594763801935</v>
      </c>
      <c r="BI1117" s="67">
        <f>MAX($BI$1*(BY1117-Driver!$F$201)/(Driver!$G$201-Driver!$F$201),1)</f>
        <v>7.5949367088607591</v>
      </c>
      <c r="BJ1117" s="67">
        <f>(CB1117-Driver!$F$206)/(Driver!$G$206-Driver!$F$206)*$BI$1</f>
        <v>1.4285714285714284</v>
      </c>
      <c r="BK1117" s="67">
        <f>(CD1117-Driver!$F$203)/(Driver!$G$203-Driver!$F$203)*$BI$1</f>
        <v>0.50458715596330261</v>
      </c>
      <c r="BL1117" s="67">
        <f>MAX((CR1117-Driver!$F$202)/(Driver!$G$202-Driver!$F$202)*$BI$1,1)</f>
        <v>6.8965517241379315</v>
      </c>
      <c r="BM1117" s="67">
        <f>MAX((CH1117-Driver!$F$204)/(Driver!$G$204-Driver!$F$204)*$BI$1,1)</f>
        <v>1.3675213675213675</v>
      </c>
      <c r="BN1117" s="67">
        <f>(CI1117-Driver!$F$205)/(Driver!$G$205-Driver!$F$205)*$BI$1</f>
        <v>0.88235294117647067</v>
      </c>
      <c r="BO1117" s="67">
        <f>(CK1117-Driver!$F$207)/(Driver!$G$207-Driver!$F$207)*$BI$1</f>
        <v>0.41365046535677352</v>
      </c>
      <c r="BP1117" s="67">
        <f>(CM1117-Driver!$F$208)/(Driver!$G$208-Driver!$F$208)*$BI$1</f>
        <v>0.65555555555555567</v>
      </c>
      <c r="BQ1117" s="67">
        <f>(CL1117-Driver!$F$209)/(Driver!$G$209-Driver!$F$209)*$BI$1</f>
        <v>0.9375</v>
      </c>
      <c r="BR1117" s="28" t="s">
        <v>155</v>
      </c>
      <c r="BS1117" s="8" t="s">
        <v>172</v>
      </c>
      <c r="BT1117" s="9" t="s">
        <v>813</v>
      </c>
      <c r="BU1117" s="10">
        <v>149</v>
      </c>
      <c r="BV1117" s="9" t="s">
        <v>163</v>
      </c>
      <c r="BW1117" s="10">
        <v>149</v>
      </c>
      <c r="BX1117" s="10">
        <v>148.9</v>
      </c>
      <c r="BY1117" s="10">
        <v>128</v>
      </c>
      <c r="BZ1117" s="10">
        <v>135</v>
      </c>
      <c r="CA1117" s="10">
        <v>122</v>
      </c>
      <c r="CB1117" s="10">
        <v>73</v>
      </c>
      <c r="CC1117" s="10">
        <v>109</v>
      </c>
      <c r="CD1117" s="10">
        <v>10.5</v>
      </c>
      <c r="CE1117" s="10">
        <v>1459</v>
      </c>
      <c r="CF1117" s="10">
        <v>0.91</v>
      </c>
      <c r="CG1117" s="10">
        <v>1325</v>
      </c>
      <c r="CH1117" s="10">
        <v>133</v>
      </c>
      <c r="CI1117" s="10">
        <v>48</v>
      </c>
      <c r="CJ1117" s="10">
        <v>38</v>
      </c>
      <c r="CK1117" s="10">
        <v>150</v>
      </c>
      <c r="CL1117" s="10">
        <v>6</v>
      </c>
      <c r="CM1117" s="10">
        <v>59</v>
      </c>
      <c r="CN1117" s="10">
        <v>0.16200000000000001</v>
      </c>
      <c r="CO1117" s="10">
        <v>73</v>
      </c>
      <c r="CP1117" s="10">
        <v>62</v>
      </c>
      <c r="CQ1117" s="10">
        <v>77</v>
      </c>
      <c r="CR1117" s="10">
        <v>9</v>
      </c>
      <c r="CS1117" s="10">
        <v>10</v>
      </c>
      <c r="CT1117" s="9" t="s">
        <v>349</v>
      </c>
      <c r="CU1117" s="10"/>
      <c r="CV1117" s="10"/>
      <c r="CW1117" s="10"/>
      <c r="CX1117" t="str">
        <f>INDEX('Data_Price '!AG$2:AG$1266,MATCH(Data!$DN1117,'Data_Price '!$AT$2:$AT$1266,0))</f>
        <v>Rossignol NOVA 6 F/XP W 11 GW 149cm</v>
      </c>
      <c r="CY1117" t="str">
        <f>INDEX('Data_Price '!AH$2:AH$1266,MATCH(Data!$DN1117,'Data_Price '!$AT$2:$AT$1266,0))</f>
        <v>Sundance Ski and Board Shop</v>
      </c>
      <c r="CZ1117">
        <f>INDEX('Data_Price '!AI$2:AI$1266,MATCH(Data!$DN1117,'Data_Price '!$AT$2:$AT$1266,0))</f>
        <v>400.72</v>
      </c>
      <c r="DA1117" t="str">
        <f>INDEX('Data_Price '!AJ$2:AJ$1266,MATCH(Data!$DN1117,'Data_Price '!$AT$2:$AT$1266,0))</f>
        <v>https://tinyurl.com/ybusz2ps</v>
      </c>
      <c r="DB1117" t="str">
        <f>INDEX('Data_Price '!AK$2:AK$1266,MATCH(Data!$DN1117,'Data_Price '!$AT$2:$AT$1266,0))</f>
        <v>Rossignol Nova 6 Skis with Xpress Women's 11 GW Bindings Â· 149 cm</v>
      </c>
      <c r="DC1117" t="str">
        <f>INDEX('Data_Price '!AL$2:AL$1266,MATCH(Data!$DN1117,'Data_Price '!$AT$2:$AT$1266,0))</f>
        <v>eBay - asogear</v>
      </c>
      <c r="DD1117">
        <f>INDEX('Data_Price '!AM$2:AM$1266,MATCH(Data!$DN1117,'Data_Price '!$AT$2:$AT$1266,0))</f>
        <v>489.99</v>
      </c>
      <c r="DE1117" t="str">
        <f>INDEX('Data_Price '!AN$2:AN$1266,MATCH(Data!$DN1117,'Data_Price '!$AT$2:$AT$1266,0))</f>
        <v>https://tinyurl.com/y8ammzs2</v>
      </c>
      <c r="DF1117" t="str">
        <f>INDEX('Data_Price '!AO$2:AO$1266,MATCH(Data!$DN1117,'Data_Price '!$AT$2:$AT$1266,0))</f>
        <v>Rossignol React 6 Compact Skis w/ Look Xpress 11 GW Bindings</v>
      </c>
      <c r="DG1117" t="str">
        <f>INDEX('Data_Price '!AP$2:AP$1266,MATCH(Data!$DN1117,'Data_Price '!$AT$2:$AT$1266,0))</f>
        <v>The-House.com</v>
      </c>
      <c r="DH1117">
        <f>INDEX('Data_Price '!AQ$2:AQ$1266,MATCH(Data!$DN1117,'Data_Price '!$AT$2:$AT$1266,0))</f>
        <v>479.95</v>
      </c>
      <c r="DI1117" t="str">
        <f>INDEX('Data_Price '!AR$2:AR$1266,MATCH(Data!$DN1117,'Data_Price '!$AT$2:$AT$1266,0))</f>
        <v>https://tinyurl.com/y97mw44x</v>
      </c>
      <c r="DJ1117" s="89" t="str">
        <f t="shared" si="661"/>
        <v>https://tinyurl.com/ybusz2ps</v>
      </c>
      <c r="DK1117" s="89" t="str">
        <f t="shared" si="662"/>
        <v>https://tinyurl.com/y8ammzs2</v>
      </c>
      <c r="DL1117" s="89" t="str">
        <f t="shared" si="663"/>
        <v>https://tinyurl.com/y97mw44x</v>
      </c>
      <c r="DM1117" s="219" t="str">
        <f t="shared" si="664"/>
        <v>Nova 6</v>
      </c>
      <c r="DN1117" s="89" t="str">
        <f t="shared" si="665"/>
        <v xml:space="preserve"> RossignolNova 6149 Women's</v>
      </c>
      <c r="DO1117" s="221" t="s">
        <v>771</v>
      </c>
    </row>
    <row r="1118" spans="2:119" ht="15.6" customHeight="1">
      <c r="B1118" s="219" t="b">
        <f t="array" ref="B1118">IF(OR(ISERROR(K1118:P1118)),FALSE,TRUE)</f>
        <v>1</v>
      </c>
      <c r="C1118" s="43" t="b">
        <f>OR(BR1118=Driver!$G$50,Data!BR217=Driver!$H$50)</f>
        <v>1</v>
      </c>
      <c r="D1118" s="43" t="b">
        <f>OR(BV1118=Driver!$G$51,BV1118=Driver!$H$51)</f>
        <v>1</v>
      </c>
      <c r="E1118" s="43" t="b">
        <f>AND(BX1118&gt;Driver!$F$54,BX1118&lt;Driver!$G$54)</f>
        <v>0</v>
      </c>
      <c r="F1118" s="43" t="b">
        <f>CL1118&gt;Driver!$F$56</f>
        <v>1</v>
      </c>
      <c r="G1118" s="43" t="b">
        <f>AND(CB1118&gt;Driver!$F$55,CB1118&lt;Driver!$G$55)</f>
        <v>1</v>
      </c>
      <c r="H1118" s="43" t="b">
        <f t="shared" si="629"/>
        <v>0</v>
      </c>
      <c r="I1118" s="43">
        <f t="shared" si="630"/>
        <v>0</v>
      </c>
      <c r="J1118" s="43" t="b">
        <f t="array" ref="J1118">NOT(OR(($H$9:$H$1273=TRUE)*($I$9:$I$1273&gt;0)*($BT$9:$BT$1273=BT1118)*($K$9:$K$1273&gt;K1118)))</f>
        <v>1</v>
      </c>
      <c r="K1118" s="72">
        <f t="shared" si="631"/>
        <v>0.73225335453828921</v>
      </c>
      <c r="L1118" s="72">
        <f t="shared" si="632"/>
        <v>0.68569149050097455</v>
      </c>
      <c r="M1118" s="72">
        <f t="shared" si="633"/>
        <v>0.77881521857560376</v>
      </c>
      <c r="N1118" s="72">
        <f t="shared" si="634"/>
        <v>0.529184127464424</v>
      </c>
      <c r="O1118" s="72">
        <f t="shared" si="635"/>
        <v>0.97112146042090475</v>
      </c>
      <c r="P1118" s="72">
        <f t="shared" si="636"/>
        <v>0.83614006784148254</v>
      </c>
      <c r="Q1118" s="72"/>
      <c r="R1118" s="72"/>
      <c r="S1118" s="72">
        <f t="shared" si="637"/>
        <v>0.42569421240857819</v>
      </c>
      <c r="T1118" s="72">
        <f t="shared" si="638"/>
        <v>0.45487427585173212</v>
      </c>
      <c r="U1118" s="72">
        <f t="shared" si="639"/>
        <v>0.49098233601217156</v>
      </c>
      <c r="V1118" s="72">
        <f t="shared" si="640"/>
        <v>0.7980436564350627</v>
      </c>
      <c r="W1118" s="72">
        <f t="shared" si="641"/>
        <v>0.75934154883044802</v>
      </c>
      <c r="X1118" s="72">
        <f t="shared" si="642"/>
        <v>0.31430850949902539</v>
      </c>
      <c r="Y1118" s="72">
        <f t="shared" si="643"/>
        <v>0.22118478142439624</v>
      </c>
      <c r="Z1118" s="72">
        <f t="shared" si="644"/>
        <v>0.470815872535576</v>
      </c>
      <c r="AA1118" s="72">
        <f t="shared" si="645"/>
        <v>2.8878539579095253E-2</v>
      </c>
      <c r="AB1118" s="72">
        <f t="shared" si="646"/>
        <v>0.16385993215851744</v>
      </c>
      <c r="AC1118" s="72"/>
      <c r="AD1118" s="72"/>
      <c r="AE1118" s="72">
        <f t="shared" si="647"/>
        <v>0.57430578759142181</v>
      </c>
      <c r="AF1118" s="72">
        <f t="shared" si="648"/>
        <v>0.54512572414826788</v>
      </c>
      <c r="AG1118" s="72">
        <f t="shared" si="649"/>
        <v>0.50901766398782844</v>
      </c>
      <c r="AH1118" s="72">
        <f t="shared" si="650"/>
        <v>0.2019563435649373</v>
      </c>
      <c r="AI1118" s="72">
        <f t="shared" si="651"/>
        <v>0.24065845116955201</v>
      </c>
      <c r="AJ1118" s="72">
        <f>(AV1118-Driver!$K$179)/(Driver!$L$179-Driver!$K$179)</f>
        <v>0.56852791878172582</v>
      </c>
      <c r="AK1118" s="72">
        <f>(AW1118-Driver!$K$180)/(Driver!$L$180-Driver!$K$180)</f>
        <v>0.13440566412198565</v>
      </c>
      <c r="AL1118" s="72">
        <f>(AX1118-Driver!$K$181)/(Driver!$L$181-Driver!$K$181)</f>
        <v>0.57250363624865619</v>
      </c>
      <c r="AM1118" s="72">
        <f>(AY1118-Driver!$K$182)/(Driver!$L$182-Driver!$K$182)</f>
        <v>0.47626356067614162</v>
      </c>
      <c r="AN1118" s="72">
        <f>(AZ1118-Driver!$K$183)/(Driver!$L$183-Driver!$K$183)</f>
        <v>9.0359477124182991E-2</v>
      </c>
      <c r="AO1118" s="72"/>
      <c r="AP1118" s="72"/>
      <c r="AQ1118" s="72">
        <f>(BC1118-Driver!$K$188)/(Driver!$L$188-Driver!$K$188)</f>
        <v>4.5694212408578225E-2</v>
      </c>
      <c r="AR1118" s="72">
        <f>MIN((BD1118-Driver!$K$189)/(Driver!$L$189-Driver!$K$189),100%)</f>
        <v>4.8742758517321353E-3</v>
      </c>
      <c r="AS1118" s="72">
        <f>(BE1118-Driver!$K$190)/(Driver!$L$190-Driver!$K$190)</f>
        <v>9.8233601217160888E-4</v>
      </c>
      <c r="AT1118" s="72">
        <f>(BF1118-Driver!$K$191)/(Driver!$L$191-Driver!$K$191)</f>
        <v>0.71195634356493731</v>
      </c>
      <c r="AU1118" s="72">
        <f>(BG1118-Driver!$K$192)/(Driver!$L$192-Driver!$K$192)</f>
        <v>9.341548830447995E-3</v>
      </c>
      <c r="AV1118" s="70">
        <f t="shared" si="652"/>
        <v>11.965811965811966</v>
      </c>
      <c r="AW1118" s="70">
        <f t="shared" si="653"/>
        <v>14.970915545483804</v>
      </c>
      <c r="AX1118" s="70">
        <f t="shared" si="654"/>
        <v>6.1525327262379061</v>
      </c>
      <c r="AY1118" s="70">
        <f>IFERROR(Driver!$K$19/Data!BH1118/Data!BI1118*Data!BK1118*Data!BL1118,"")</f>
        <v>0.58308870159883963</v>
      </c>
      <c r="AZ1118" s="70">
        <f t="shared" si="655"/>
        <v>8.235294117647058</v>
      </c>
      <c r="BA1118" s="70"/>
      <c r="BB1118" s="70"/>
      <c r="BC1118" s="70">
        <f t="shared" si="656"/>
        <v>23.701905637340591</v>
      </c>
      <c r="BD1118" s="70">
        <f t="shared" si="657"/>
        <v>2.1521876602702723</v>
      </c>
      <c r="BE1118" s="70">
        <f t="shared" si="658"/>
        <v>1.1605495190042661E-3</v>
      </c>
      <c r="BF1118" s="70">
        <f t="shared" si="659"/>
        <v>80.410467229265308</v>
      </c>
      <c r="BG1118" s="70">
        <f t="shared" si="660"/>
        <v>3.5373063135985192E-2</v>
      </c>
      <c r="BH1118" s="67">
        <f>MAX((CE1118-Driver!$F$200)/(Driver!$G$200-Driver!$F$200)*$BI$1,1)</f>
        <v>6.1525327262379061</v>
      </c>
      <c r="BI1118" s="67">
        <f>MAX($BI$1*(BY1118-Driver!$F$201)/(Driver!$G$201-Driver!$F$201),1)</f>
        <v>1</v>
      </c>
      <c r="BJ1118" s="67">
        <f>(CB1118-Driver!$F$206)/(Driver!$G$206-Driver!$F$206)*$BI$1</f>
        <v>6.6666666666666661</v>
      </c>
      <c r="BK1118" s="67">
        <f>(CD1118-Driver!$F$203)/(Driver!$G$203-Driver!$F$203)*$BI$1</f>
        <v>7.4311926605504608</v>
      </c>
      <c r="BL1118" s="67">
        <f>MAX((CR1118-Driver!$F$202)/(Driver!$G$202-Driver!$F$202)*$BI$1,1)</f>
        <v>2.4137931034482758</v>
      </c>
      <c r="BM1118" s="67">
        <f>MAX((CH1118-Driver!$F$204)/(Driver!$G$204-Driver!$F$204)*$BI$1,1)</f>
        <v>7.1794871794871797</v>
      </c>
      <c r="BN1118" s="67">
        <f>(CI1118-Driver!$F$205)/(Driver!$G$205-Driver!$F$205)*$BI$1</f>
        <v>8.235294117647058</v>
      </c>
      <c r="BO1118" s="67">
        <f>(CK1118-Driver!$F$207)/(Driver!$G$207-Driver!$F$207)*$BI$1</f>
        <v>9.3691830403309204</v>
      </c>
      <c r="BP1118" s="67">
        <f>(CM1118-Driver!$F$208)/(Driver!$G$208-Driver!$F$208)*$BI$1</f>
        <v>9.5666666666666664</v>
      </c>
      <c r="BQ1118" s="67">
        <f>(CL1118-Driver!$F$209)/(Driver!$G$209-Driver!$F$209)*$BI$1</f>
        <v>1.5625</v>
      </c>
      <c r="BR1118" s="28" t="s">
        <v>155</v>
      </c>
      <c r="BS1118" s="8" t="s">
        <v>237</v>
      </c>
      <c r="BT1118" s="9" t="s">
        <v>865</v>
      </c>
      <c r="BU1118" s="10">
        <v>188.2</v>
      </c>
      <c r="BV1118" s="9" t="s">
        <v>158</v>
      </c>
      <c r="BW1118" s="10">
        <v>188.2</v>
      </c>
      <c r="BX1118" s="10">
        <v>187.7</v>
      </c>
      <c r="BY1118" s="10">
        <v>0</v>
      </c>
      <c r="BZ1118" s="10">
        <v>164</v>
      </c>
      <c r="CA1118" s="10">
        <v>137</v>
      </c>
      <c r="CB1118" s="10">
        <v>106</v>
      </c>
      <c r="CC1118" s="10">
        <v>126</v>
      </c>
      <c r="CD1118" s="10">
        <v>25.6</v>
      </c>
      <c r="CE1118" s="10">
        <v>1981</v>
      </c>
      <c r="CF1118" s="10">
        <v>1.0900000000000001</v>
      </c>
      <c r="CG1118" s="10">
        <v>2162</v>
      </c>
      <c r="CH1118" s="10">
        <v>269</v>
      </c>
      <c r="CI1118" s="10">
        <v>173</v>
      </c>
      <c r="CJ1118" s="10">
        <v>46</v>
      </c>
      <c r="CK1118" s="10">
        <v>1016</v>
      </c>
      <c r="CL1118" s="10">
        <v>10</v>
      </c>
      <c r="CM1118" s="10">
        <v>861</v>
      </c>
      <c r="CN1118" s="10">
        <v>0.215</v>
      </c>
      <c r="CO1118" s="10">
        <v>146</v>
      </c>
      <c r="CP1118" s="10">
        <v>93</v>
      </c>
      <c r="CQ1118" s="10">
        <v>870</v>
      </c>
      <c r="CR1118" s="10">
        <v>-4</v>
      </c>
      <c r="CS1118" s="10">
        <v>7.8</v>
      </c>
      <c r="CT1118" s="9" t="s">
        <v>178</v>
      </c>
      <c r="CU1118" s="9" t="s">
        <v>185</v>
      </c>
      <c r="CV1118" s="10"/>
      <c r="CW1118" s="10"/>
      <c r="CX1118" t="str">
        <f>INDEX('Data_Price '!AG$2:AG$1266,MATCH(Data!$DN1118,'Data_Price '!$AT$2:$AT$1266,0))</f>
        <v>2022 Black Crows Corvus Freebird Skis w/ Marker Kingpin 13 Bindings - 188| Ski Essentials</v>
      </c>
      <c r="CY1118" t="str">
        <f>INDEX('Data_Price '!AH$2:AH$1266,MATCH(Data!$DN1118,'Data_Price '!$AT$2:$AT$1266,0))</f>
        <v>SkiEssentials.com</v>
      </c>
      <c r="CZ1118">
        <f>INDEX('Data_Price '!AI$2:AI$1266,MATCH(Data!$DN1118,'Data_Price '!$AT$2:$AT$1266,0))</f>
        <v>1114.96</v>
      </c>
      <c r="DA1118" t="str">
        <f>INDEX('Data_Price '!AJ$2:AJ$1266,MATCH(Data!$DN1118,'Data_Price '!$AT$2:$AT$1266,0))</f>
        <v>https://tinyurl.com/y76jvwb4</v>
      </c>
      <c r="DB1118" t="str">
        <f>INDEX('Data_Price '!AK$2:AK$1266,MATCH(Data!$DN1118,'Data_Price '!$AT$2:$AT$1266,0))</f>
        <v>Black Crows Corvus Skis</v>
      </c>
      <c r="DC1118" t="str">
        <f>INDEX('Data_Price '!AL$2:AL$1266,MATCH(Data!$DN1118,'Data_Price '!$AT$2:$AT$1266,0))</f>
        <v>! OutdoorXL.com</v>
      </c>
      <c r="DD1118">
        <f>INDEX('Data_Price '!AM$2:AM$1266,MATCH(Data!$DN1118,'Data_Price '!$AT$2:$AT$1266,0))</f>
        <v>564.95000000000005</v>
      </c>
      <c r="DE1118" t="str">
        <f>INDEX('Data_Price '!AN$2:AN$1266,MATCH(Data!$DN1118,'Data_Price '!$AT$2:$AT$1266,0))</f>
        <v>https://tinyurl.com/y7pfedlf</v>
      </c>
      <c r="DF1118" t="str">
        <f>INDEX('Data_Price '!AO$2:AO$1266,MATCH(Data!$DN1118,'Data_Price '!$AT$2:$AT$1266,0))</f>
        <v>Black Crows Corvus Skis</v>
      </c>
      <c r="DG1118" t="str">
        <f>INDEX('Data_Price '!AP$2:AP$1266,MATCH(Data!$DN1118,'Data_Price '!$AT$2:$AT$1266,0))</f>
        <v>Powder7 Ski Shop</v>
      </c>
      <c r="DH1118">
        <f>INDEX('Data_Price '!AQ$2:AQ$1266,MATCH(Data!$DN1118,'Data_Price '!$AT$2:$AT$1266,0))</f>
        <v>659.99</v>
      </c>
      <c r="DI1118" t="str">
        <f>INDEX('Data_Price '!AR$2:AR$1266,MATCH(Data!$DN1118,'Data_Price '!$AT$2:$AT$1266,0))</f>
        <v>https://tinyurl.com/yba2dr4b</v>
      </c>
      <c r="DJ1118" s="89" t="str">
        <f t="shared" si="661"/>
        <v>https://tinyurl.com/y76jvwb4</v>
      </c>
      <c r="DK1118" s="89" t="str">
        <f t="shared" si="662"/>
        <v>https://tinyurl.com/y7pfedlf</v>
      </c>
      <c r="DL1118" s="89" t="str">
        <f t="shared" si="663"/>
        <v>https://tinyurl.com/yba2dr4b</v>
      </c>
      <c r="DM1118" s="219" t="str">
        <f t="shared" si="664"/>
        <v>Corvus</v>
      </c>
      <c r="DN1118" s="89" t="str">
        <f t="shared" si="665"/>
        <v xml:space="preserve"> Black CrowsCorvus188.2 Unisex</v>
      </c>
      <c r="DO1118" s="221" t="s">
        <v>866</v>
      </c>
    </row>
    <row r="1119" spans="2:119" ht="15.6" customHeight="1">
      <c r="B1119" s="219" t="b">
        <f t="array" ref="B1119">IF(OR(ISERROR(K1119:P1119)),FALSE,TRUE)</f>
        <v>1</v>
      </c>
      <c r="C1119" s="43" t="b">
        <f>OR(BR1119=Driver!$G$50,Data!BR1168=Driver!$H$50)</f>
        <v>1</v>
      </c>
      <c r="D1119" s="43" t="b">
        <f>OR(BV1119=Driver!$G$51,BV1119=Driver!$H$51)</f>
        <v>0</v>
      </c>
      <c r="E1119" s="43" t="b">
        <f>AND(BX1119&gt;Driver!$F$54,BX1119&lt;Driver!$G$54)</f>
        <v>0</v>
      </c>
      <c r="F1119" s="43" t="b">
        <f>CL1119&gt;Driver!$F$56</f>
        <v>1</v>
      </c>
      <c r="G1119" s="43" t="b">
        <f>AND(CB1119&gt;Driver!$F$55,CB1119&lt;Driver!$G$55)</f>
        <v>0</v>
      </c>
      <c r="H1119" s="43" t="b">
        <f t="shared" si="629"/>
        <v>0</v>
      </c>
      <c r="I1119" s="43">
        <f t="shared" si="630"/>
        <v>0</v>
      </c>
      <c r="J1119" s="43" t="b">
        <f t="array" ref="J1119">NOT(OR(($H$9:$H$1273=TRUE)*($I$9:$I$1273&gt;0)*($BT$9:$BT$1273=BT1119)*($K$9:$K$1273&gt;K1119)))</f>
        <v>1</v>
      </c>
      <c r="K1119" s="72">
        <f t="shared" si="631"/>
        <v>0.83697133315240446</v>
      </c>
      <c r="L1119" s="72">
        <f t="shared" si="632"/>
        <v>0.84327474912516354</v>
      </c>
      <c r="M1119" s="72">
        <f t="shared" si="633"/>
        <v>0.83066791717964539</v>
      </c>
      <c r="N1119" s="72">
        <f t="shared" si="634"/>
        <v>0.99841974276892831</v>
      </c>
      <c r="O1119" s="72">
        <f t="shared" si="635"/>
        <v>0.60540145726839456</v>
      </c>
      <c r="P1119" s="72">
        <f t="shared" si="636"/>
        <v>0.88818255150161329</v>
      </c>
      <c r="Q1119" s="72"/>
      <c r="R1119" s="72"/>
      <c r="S1119" s="72">
        <f t="shared" si="637"/>
        <v>0.39044120608814192</v>
      </c>
      <c r="T1119" s="72">
        <f t="shared" si="638"/>
        <v>0.50727299788114766</v>
      </c>
      <c r="U1119" s="72">
        <f t="shared" si="639"/>
        <v>0.61913057738139055</v>
      </c>
      <c r="V1119" s="72">
        <f t="shared" si="640"/>
        <v>0.77546435626682408</v>
      </c>
      <c r="W1119" s="72">
        <f t="shared" si="641"/>
        <v>0.92546815459989107</v>
      </c>
      <c r="X1119" s="72">
        <f t="shared" si="642"/>
        <v>0.15672525087483641</v>
      </c>
      <c r="Y1119" s="72">
        <f t="shared" si="643"/>
        <v>0.16933208282035461</v>
      </c>
      <c r="Z1119" s="72">
        <f t="shared" si="644"/>
        <v>1.580257231071705E-3</v>
      </c>
      <c r="AA1119" s="72">
        <f t="shared" si="645"/>
        <v>0.39459854273160549</v>
      </c>
      <c r="AB1119" s="72">
        <f t="shared" si="646"/>
        <v>0.11181744849838671</v>
      </c>
      <c r="AC1119" s="72"/>
      <c r="AD1119" s="72"/>
      <c r="AE1119" s="72">
        <f t="shared" si="647"/>
        <v>0.60955879391185808</v>
      </c>
      <c r="AF1119" s="72">
        <f t="shared" si="648"/>
        <v>0.49272700211885234</v>
      </c>
      <c r="AG1119" s="72">
        <f t="shared" si="649"/>
        <v>0.38086942261860945</v>
      </c>
      <c r="AH1119" s="72">
        <f t="shared" si="650"/>
        <v>0.22453564373317592</v>
      </c>
      <c r="AI1119" s="72">
        <f t="shared" si="651"/>
        <v>7.4531845400108904E-2</v>
      </c>
      <c r="AJ1119" s="72">
        <f>(AV1119-Driver!$K$179)/(Driver!$L$179-Driver!$K$179)</f>
        <v>9.7494158407864004E-2</v>
      </c>
      <c r="AK1119" s="72">
        <f>(AW1119-Driver!$K$180)/(Driver!$L$180-Driver!$K$180)</f>
        <v>0.13412949595299561</v>
      </c>
      <c r="AL1119" s="72">
        <f>(AX1119-Driver!$K$181)/(Driver!$L$181-Driver!$K$181)</f>
        <v>0.10010750648200847</v>
      </c>
      <c r="AM1119" s="72">
        <f>(AY1119-Driver!$K$182)/(Driver!$L$182-Driver!$K$182)</f>
        <v>5.2786478365440891E-2</v>
      </c>
      <c r="AN1119" s="72">
        <f>(AZ1119-Driver!$K$183)/(Driver!$L$183-Driver!$K$183)</f>
        <v>0.14240196078431372</v>
      </c>
      <c r="AO1119" s="72"/>
      <c r="AP1119" s="72"/>
      <c r="AQ1119" s="72">
        <f>(BC1119-Driver!$K$188)/(Driver!$L$188-Driver!$K$188)</f>
        <v>1.0441206088141914E-2</v>
      </c>
      <c r="AR1119" s="72">
        <f>MIN((BD1119-Driver!$K$189)/(Driver!$L$189-Driver!$K$189),100%)</f>
        <v>5.7272997881147723E-2</v>
      </c>
      <c r="AS1119" s="72">
        <f>(BE1119-Driver!$K$190)/(Driver!$L$190-Driver!$K$190)</f>
        <v>0.12913057738139055</v>
      </c>
      <c r="AT1119" s="72">
        <f>(BF1119-Driver!$K$191)/(Driver!$L$191-Driver!$K$191)</f>
        <v>0.28546435626682409</v>
      </c>
      <c r="AU1119" s="72">
        <f>(BG1119-Driver!$K$192)/(Driver!$L$192-Driver!$K$192)</f>
        <v>0.1754681545998911</v>
      </c>
      <c r="AV1119" s="70">
        <f t="shared" si="652"/>
        <v>2.0519603852937189</v>
      </c>
      <c r="AW1119" s="70">
        <f t="shared" si="653"/>
        <v>14.944000510316808</v>
      </c>
      <c r="AX1119" s="70">
        <f t="shared" si="654"/>
        <v>1.9009675583380763</v>
      </c>
      <c r="AY1119" s="70">
        <f>IFERROR(Driver!$K$19/Data!BH1119/Data!BI1119*Data!BK1119*Data!BL1119,"")</f>
        <v>6.4626399484318239E-2</v>
      </c>
      <c r="AZ1119" s="70">
        <f t="shared" si="655"/>
        <v>12.978406552494414</v>
      </c>
      <c r="BA1119" s="70"/>
      <c r="BB1119" s="70"/>
      <c r="BC1119" s="70">
        <f t="shared" si="656"/>
        <v>5.4159261840063291</v>
      </c>
      <c r="BD1119" s="70">
        <f t="shared" si="657"/>
        <v>6.7893817148320457</v>
      </c>
      <c r="BE1119" s="70">
        <f t="shared" si="658"/>
        <v>0.12928593068433283</v>
      </c>
      <c r="BF1119" s="70">
        <f t="shared" si="659"/>
        <v>32.241193539731583</v>
      </c>
      <c r="BG1119" s="70">
        <f t="shared" si="660"/>
        <v>0.66443436989657045</v>
      </c>
      <c r="BH1119" s="67">
        <f>MAX((CE1119-Driver!$F$200)/(Driver!$G$200-Driver!$F$200)*$BI$1,1)</f>
        <v>1.9009675583380763</v>
      </c>
      <c r="BI1119" s="67">
        <f>MAX($BI$1*(BY1119-Driver!$F$201)/(Driver!$G$201-Driver!$F$201),1)</f>
        <v>5.2531645569620249</v>
      </c>
      <c r="BJ1119" s="67">
        <f>(CB1119-Driver!$F$206)/(Driver!$G$206-Driver!$F$206)*$BI$1</f>
        <v>3.4920634920634921</v>
      </c>
      <c r="BK1119" s="67">
        <f>(CD1119-Driver!$F$203)/(Driver!$G$203-Driver!$F$203)*$BI$1</f>
        <v>0.77981651376146766</v>
      </c>
      <c r="BL1119" s="67">
        <f>MAX((CR1119-Driver!$F$202)/(Driver!$G$202-Driver!$F$202)*$BI$1,1)</f>
        <v>4.1379310344827589</v>
      </c>
      <c r="BM1119" s="67">
        <f>MAX((CH1119-Driver!$F$204)/(Driver!$G$204-Driver!$F$204)*$BI$1,1)</f>
        <v>2.3504273504273505</v>
      </c>
      <c r="BN1119" s="67">
        <f>(CI1119-Driver!$F$205)/(Driver!$G$205-Driver!$F$205)*$BI$1</f>
        <v>2.4705882352941178</v>
      </c>
      <c r="BO1119" s="67">
        <f>(CK1119-Driver!$F$207)/(Driver!$G$207-Driver!$F$207)*$BI$1</f>
        <v>2.688728024819028</v>
      </c>
      <c r="BP1119" s="67">
        <f>(CM1119-Driver!$F$208)/(Driver!$G$208-Driver!$F$208)*$BI$1</f>
        <v>2.677777777777778</v>
      </c>
      <c r="BQ1119" s="67">
        <f>(CL1119-Driver!$F$209)/(Driver!$G$209-Driver!$F$209)*$BI$1</f>
        <v>2.96875</v>
      </c>
      <c r="BR1119" s="28" t="s">
        <v>155</v>
      </c>
      <c r="BS1119" s="8" t="s">
        <v>229</v>
      </c>
      <c r="BT1119" s="9" t="s">
        <v>806</v>
      </c>
      <c r="BU1119" s="10">
        <v>152</v>
      </c>
      <c r="BV1119" s="9" t="s">
        <v>163</v>
      </c>
      <c r="BW1119" s="10">
        <v>152</v>
      </c>
      <c r="BX1119" s="10">
        <v>152</v>
      </c>
      <c r="BY1119" s="10">
        <v>91</v>
      </c>
      <c r="BZ1119" s="10">
        <v>127</v>
      </c>
      <c r="CA1119" s="10">
        <v>129</v>
      </c>
      <c r="CB1119" s="10">
        <v>86</v>
      </c>
      <c r="CC1119" s="10">
        <v>110</v>
      </c>
      <c r="CD1119" s="10">
        <v>11.1</v>
      </c>
      <c r="CE1119" s="10">
        <v>1234</v>
      </c>
      <c r="CF1119" s="10">
        <v>1.23</v>
      </c>
      <c r="CG1119" s="10">
        <v>1520</v>
      </c>
      <c r="CH1119" s="10">
        <v>156</v>
      </c>
      <c r="CI1119" s="10">
        <v>75</v>
      </c>
      <c r="CJ1119" s="10">
        <v>47</v>
      </c>
      <c r="CK1119" s="10">
        <v>370</v>
      </c>
      <c r="CL1119" s="10">
        <v>19</v>
      </c>
      <c r="CM1119" s="10">
        <v>241</v>
      </c>
      <c r="CN1119" s="10">
        <v>0.39700000000000002</v>
      </c>
      <c r="CO1119" s="10">
        <v>141</v>
      </c>
      <c r="CP1119" s="10">
        <v>104</v>
      </c>
      <c r="CQ1119" s="10">
        <v>228</v>
      </c>
      <c r="CR1119" s="10">
        <v>1</v>
      </c>
      <c r="CS1119" s="10">
        <v>11.9</v>
      </c>
      <c r="CT1119" s="9" t="s">
        <v>188</v>
      </c>
      <c r="CU1119" s="9" t="s">
        <v>185</v>
      </c>
      <c r="CV1119" s="10"/>
      <c r="CW1119" s="10"/>
      <c r="CX1119" t="e">
        <f>INDEX('Data_Price '!AG$2:AG$1266,MATCH(Data!$DN1119,'Data_Price '!$AT$2:$AT$1266,0))</f>
        <v>#N/A</v>
      </c>
      <c r="CY1119" t="e">
        <f>INDEX('Data_Price '!AH$2:AH$1266,MATCH(Data!$DN1119,'Data_Price '!$AT$2:$AT$1266,0))</f>
        <v>#N/A</v>
      </c>
      <c r="CZ1119" t="e">
        <f>INDEX('Data_Price '!AI$2:AI$1266,MATCH(Data!$DN1119,'Data_Price '!$AT$2:$AT$1266,0))</f>
        <v>#N/A</v>
      </c>
      <c r="DA1119" t="e">
        <f>INDEX('Data_Price '!AJ$2:AJ$1266,MATCH(Data!$DN1119,'Data_Price '!$AT$2:$AT$1266,0))</f>
        <v>#N/A</v>
      </c>
      <c r="DB1119" t="e">
        <f>INDEX('Data_Price '!AK$2:AK$1266,MATCH(Data!$DN1119,'Data_Price '!$AT$2:$AT$1266,0))</f>
        <v>#N/A</v>
      </c>
      <c r="DC1119" t="e">
        <f>INDEX('Data_Price '!AL$2:AL$1266,MATCH(Data!$DN1119,'Data_Price '!$AT$2:$AT$1266,0))</f>
        <v>#N/A</v>
      </c>
      <c r="DD1119" t="e">
        <f>INDEX('Data_Price '!AM$2:AM$1266,MATCH(Data!$DN1119,'Data_Price '!$AT$2:$AT$1266,0))</f>
        <v>#N/A</v>
      </c>
      <c r="DE1119" t="e">
        <f>INDEX('Data_Price '!AN$2:AN$1266,MATCH(Data!$DN1119,'Data_Price '!$AT$2:$AT$1266,0))</f>
        <v>#N/A</v>
      </c>
      <c r="DF1119" t="e">
        <f>INDEX('Data_Price '!AO$2:AO$1266,MATCH(Data!$DN1119,'Data_Price '!$AT$2:$AT$1266,0))</f>
        <v>#N/A</v>
      </c>
      <c r="DG1119" t="e">
        <f>INDEX('Data_Price '!AP$2:AP$1266,MATCH(Data!$DN1119,'Data_Price '!$AT$2:$AT$1266,0))</f>
        <v>#N/A</v>
      </c>
      <c r="DH1119" t="e">
        <f>INDEX('Data_Price '!AQ$2:AQ$1266,MATCH(Data!$DN1119,'Data_Price '!$AT$2:$AT$1266,0))</f>
        <v>#N/A</v>
      </c>
      <c r="DI1119" t="e">
        <f>INDEX('Data_Price '!AR$2:AR$1266,MATCH(Data!$DN1119,'Data_Price '!$AT$2:$AT$1266,0))</f>
        <v>#N/A</v>
      </c>
      <c r="DJ1119" s="89" t="e">
        <f t="shared" si="661"/>
        <v>#N/A</v>
      </c>
      <c r="DK1119" s="89" t="e">
        <f t="shared" si="662"/>
        <v>#N/A</v>
      </c>
      <c r="DL1119" s="89" t="e">
        <f t="shared" si="663"/>
        <v>#N/A</v>
      </c>
      <c r="DM1119" s="219" t="str">
        <f t="shared" si="664"/>
        <v>Blaze 86 W</v>
      </c>
      <c r="DN1119" s="89" t="str">
        <f t="shared" si="665"/>
        <v xml:space="preserve"> VölklBlaze 86 W152 Women's</v>
      </c>
      <c r="DO1119" s="221" t="s">
        <v>625</v>
      </c>
    </row>
    <row r="1120" spans="2:119" ht="15.6" customHeight="1">
      <c r="B1120" s="219" t="b">
        <f t="array" ref="B1120">IF(OR(ISERROR(K1120:P1120)),FALSE,TRUE)</f>
        <v>1</v>
      </c>
      <c r="C1120" s="43" t="b">
        <f>OR(BR1120=Driver!$G$50,Data!BR1260=Driver!$H$50)</f>
        <v>1</v>
      </c>
      <c r="D1120" s="43" t="b">
        <f>OR(BV1120=Driver!$G$51,BV1120=Driver!$H$51)</f>
        <v>0</v>
      </c>
      <c r="E1120" s="43" t="b">
        <f>AND(BX1120&gt;Driver!$F$54,BX1120&lt;Driver!$G$54)</f>
        <v>0</v>
      </c>
      <c r="F1120" s="43" t="b">
        <f>CL1120&gt;Driver!$F$56</f>
        <v>1</v>
      </c>
      <c r="G1120" s="43" t="b">
        <f>AND(CB1120&gt;Driver!$F$55,CB1120&lt;Driver!$G$55)</f>
        <v>1</v>
      </c>
      <c r="H1120" s="43" t="b">
        <f t="shared" si="629"/>
        <v>0</v>
      </c>
      <c r="I1120" s="43">
        <f t="shared" si="630"/>
        <v>0</v>
      </c>
      <c r="J1120" s="43" t="b">
        <f t="array" ref="J1120">NOT(OR(($H$9:$H$1273=TRUE)*($I$9:$I$1273&gt;0)*($BT$9:$BT$1273=BT1120)*($K$9:$K$1273&gt;K1120)))</f>
        <v>1</v>
      </c>
      <c r="K1120" s="72">
        <f t="shared" si="631"/>
        <v>0.71043460886514098</v>
      </c>
      <c r="L1120" s="72">
        <f t="shared" si="632"/>
        <v>0.82492281754956043</v>
      </c>
      <c r="M1120" s="72">
        <f t="shared" si="633"/>
        <v>0.59594640018072154</v>
      </c>
      <c r="N1120" s="72">
        <f t="shared" si="634"/>
        <v>0.46404784718870151</v>
      </c>
      <c r="O1120" s="72">
        <f t="shared" si="635"/>
        <v>0.62496410093350763</v>
      </c>
      <c r="P1120" s="72">
        <f t="shared" si="636"/>
        <v>0.69882725241995525</v>
      </c>
      <c r="Q1120" s="72"/>
      <c r="R1120" s="72"/>
      <c r="S1120" s="72">
        <f t="shared" si="637"/>
        <v>0.53146414946733622</v>
      </c>
      <c r="T1120" s="72">
        <f t="shared" si="638"/>
        <v>0.54027046632738618</v>
      </c>
      <c r="U1120" s="72">
        <f t="shared" si="639"/>
        <v>0.53971436361720604</v>
      </c>
      <c r="V1120" s="72">
        <f t="shared" si="640"/>
        <v>0.58532174855634111</v>
      </c>
      <c r="W1120" s="72">
        <f t="shared" si="641"/>
        <v>0.76791068412162167</v>
      </c>
      <c r="X1120" s="72">
        <f t="shared" si="642"/>
        <v>0.17507718245043957</v>
      </c>
      <c r="Y1120" s="72">
        <f t="shared" si="643"/>
        <v>0.40405359981927852</v>
      </c>
      <c r="Z1120" s="72">
        <f t="shared" si="644"/>
        <v>0.53595215281129849</v>
      </c>
      <c r="AA1120" s="72">
        <f t="shared" si="645"/>
        <v>0.37503589906649232</v>
      </c>
      <c r="AB1120" s="72">
        <f t="shared" si="646"/>
        <v>0.3011727475800447</v>
      </c>
      <c r="AC1120" s="72"/>
      <c r="AD1120" s="72"/>
      <c r="AE1120" s="72">
        <f t="shared" si="647"/>
        <v>0.46853585053266378</v>
      </c>
      <c r="AF1120" s="72">
        <f t="shared" si="648"/>
        <v>0.45972953367261382</v>
      </c>
      <c r="AG1120" s="72">
        <f t="shared" si="649"/>
        <v>0.46028563638279396</v>
      </c>
      <c r="AH1120" s="72">
        <f t="shared" si="650"/>
        <v>0.41467825144365889</v>
      </c>
      <c r="AI1120" s="72">
        <f t="shared" si="651"/>
        <v>0.23208931587837839</v>
      </c>
      <c r="AJ1120" s="72">
        <f>(AV1120-Driver!$K$179)/(Driver!$L$179-Driver!$K$179)</f>
        <v>0.42929659173314</v>
      </c>
      <c r="AK1120" s="72">
        <f>(AW1120-Driver!$K$180)/(Driver!$L$180-Driver!$K$180)</f>
        <v>0.57022483522955214</v>
      </c>
      <c r="AL1120" s="72">
        <f>(AX1120-Driver!$K$181)/(Driver!$L$181-Driver!$K$181)</f>
        <v>0.63763991652437868</v>
      </c>
      <c r="AM1120" s="72">
        <f>(AY1120-Driver!$K$182)/(Driver!$L$182-Driver!$K$182)</f>
        <v>7.2349122030554061E-2</v>
      </c>
      <c r="AN1120" s="72">
        <f>(AZ1120-Driver!$K$183)/(Driver!$L$183-Driver!$K$183)</f>
        <v>0.55539215686274512</v>
      </c>
      <c r="AO1120" s="72"/>
      <c r="AP1120" s="72"/>
      <c r="AQ1120" s="72">
        <f>(BC1120-Driver!$K$188)/(Driver!$L$188-Driver!$K$188)</f>
        <v>0.15146414946733622</v>
      </c>
      <c r="AR1120" s="72">
        <f>MIN((BD1120-Driver!$K$189)/(Driver!$L$189-Driver!$K$189),100%)</f>
        <v>9.0270466327386237E-2</v>
      </c>
      <c r="AS1120" s="72">
        <f>(BE1120-Driver!$K$190)/(Driver!$L$190-Driver!$K$190)</f>
        <v>4.9714363617206034E-2</v>
      </c>
      <c r="AT1120" s="72">
        <f>(BF1120-Driver!$K$191)/(Driver!$L$191-Driver!$K$191)</f>
        <v>9.5321748556341096E-2</v>
      </c>
      <c r="AU1120" s="72">
        <f>(BG1120-Driver!$K$192)/(Driver!$L$192-Driver!$K$192)</f>
        <v>1.7910684121621619E-2</v>
      </c>
      <c r="AV1120" s="70">
        <f t="shared" si="652"/>
        <v>9.0354090354090371</v>
      </c>
      <c r="AW1120" s="70">
        <f t="shared" si="653"/>
        <v>57.445355520621931</v>
      </c>
      <c r="AX1120" s="70">
        <f t="shared" si="654"/>
        <v>6.7387592487194077</v>
      </c>
      <c r="AY1120" s="70">
        <f>IFERROR(Driver!$K$19/Data!BH1120/Data!BI1120*Data!BK1120*Data!BL1120,"")</f>
        <v>8.8576912259928586E-2</v>
      </c>
      <c r="AZ1120" s="70">
        <f t="shared" si="655"/>
        <v>50.618019359642595</v>
      </c>
      <c r="BA1120" s="70"/>
      <c r="BB1120" s="70"/>
      <c r="BC1120" s="70">
        <f t="shared" si="656"/>
        <v>78.565507290391579</v>
      </c>
      <c r="BD1120" s="70">
        <f t="shared" si="657"/>
        <v>9.7095992042698036</v>
      </c>
      <c r="BE1120" s="70">
        <f t="shared" si="658"/>
        <v>4.9883883878816287E-2</v>
      </c>
      <c r="BF1120" s="70">
        <f t="shared" si="659"/>
        <v>10.765921826254258</v>
      </c>
      <c r="BG1120" s="70">
        <f t="shared" si="660"/>
        <v>6.7821275865709449E-2</v>
      </c>
      <c r="BH1120" s="67">
        <f>MAX((CE1120-Driver!$F$200)/(Driver!$G$200-Driver!$F$200)*$BI$1,1)</f>
        <v>6.7387592487194077</v>
      </c>
      <c r="BI1120" s="67">
        <f>MAX($BI$1*(BY1120-Driver!$F$201)/(Driver!$G$201-Driver!$F$201),1)</f>
        <v>6.518987341772152</v>
      </c>
      <c r="BJ1120" s="67">
        <f>(CB1120-Driver!$F$206)/(Driver!$G$206-Driver!$F$206)*$BI$1</f>
        <v>5.8730158730158735</v>
      </c>
      <c r="BK1120" s="67">
        <f>(CD1120-Driver!$F$203)/(Driver!$G$203-Driver!$F$203)*$BI$1</f>
        <v>3.7614678899082579</v>
      </c>
      <c r="BL1120" s="67">
        <f>MAX((CR1120-Driver!$F$202)/(Driver!$G$202-Driver!$F$202)*$BI$1,1)</f>
        <v>5.1724137931034484</v>
      </c>
      <c r="BM1120" s="67">
        <f>MAX((CH1120-Driver!$F$204)/(Driver!$G$204-Driver!$F$204)*$BI$1,1)</f>
        <v>6.1538461538461542</v>
      </c>
      <c r="BN1120" s="67">
        <f>(CI1120-Driver!$F$205)/(Driver!$G$205-Driver!$F$205)*$BI$1</f>
        <v>7.7647058823529411</v>
      </c>
      <c r="BO1120" s="67">
        <f>(CK1120-Driver!$F$207)/(Driver!$G$207-Driver!$F$207)*$BI$1</f>
        <v>2.4922440537745603</v>
      </c>
      <c r="BP1120" s="67">
        <f>(CM1120-Driver!$F$208)/(Driver!$G$208-Driver!$F$208)*$BI$1</f>
        <v>2.7666666666666666</v>
      </c>
      <c r="BQ1120" s="67">
        <f>(CL1120-Driver!$F$209)/(Driver!$G$209-Driver!$F$209)*$BI$1</f>
        <v>2.8125</v>
      </c>
      <c r="BR1120" s="28" t="s">
        <v>155</v>
      </c>
      <c r="BS1120" s="8" t="s">
        <v>229</v>
      </c>
      <c r="BT1120" s="9" t="s">
        <v>426</v>
      </c>
      <c r="BU1120" s="10">
        <v>170</v>
      </c>
      <c r="BV1120" s="9" t="s">
        <v>163</v>
      </c>
      <c r="BW1120" s="10">
        <v>170</v>
      </c>
      <c r="BX1120" s="10">
        <v>171.1</v>
      </c>
      <c r="BY1120" s="10">
        <v>111</v>
      </c>
      <c r="BZ1120" s="10">
        <v>147</v>
      </c>
      <c r="CA1120" s="10">
        <v>139</v>
      </c>
      <c r="CB1120" s="10">
        <v>101</v>
      </c>
      <c r="CC1120" s="10">
        <v>123</v>
      </c>
      <c r="CD1120" s="10">
        <v>17.600000000000001</v>
      </c>
      <c r="CE1120" s="10">
        <v>2084</v>
      </c>
      <c r="CF1120" s="10">
        <v>0.93</v>
      </c>
      <c r="CG1120" s="10">
        <v>1934</v>
      </c>
      <c r="CH1120" s="10">
        <v>245</v>
      </c>
      <c r="CI1120" s="10">
        <v>165</v>
      </c>
      <c r="CJ1120" s="10">
        <v>46</v>
      </c>
      <c r="CK1120" s="10">
        <v>351</v>
      </c>
      <c r="CL1120" s="10">
        <v>18</v>
      </c>
      <c r="CM1120" s="10">
        <v>249</v>
      </c>
      <c r="CN1120" s="10">
        <v>0.38800000000000001</v>
      </c>
      <c r="CO1120" s="10">
        <v>133</v>
      </c>
      <c r="CP1120" s="10">
        <v>103</v>
      </c>
      <c r="CQ1120" s="10">
        <v>217</v>
      </c>
      <c r="CR1120" s="10">
        <v>4</v>
      </c>
      <c r="CS1120" s="10">
        <v>11.8</v>
      </c>
      <c r="CT1120" s="9" t="s">
        <v>188</v>
      </c>
      <c r="CU1120" s="9" t="s">
        <v>169</v>
      </c>
      <c r="CV1120" s="9" t="s">
        <v>178</v>
      </c>
      <c r="CW1120" s="10"/>
      <c r="CX1120" t="e">
        <f>INDEX('Data_Price '!AG$2:AG$1266,MATCH(Data!$DN1120,'Data_Price '!$AT$2:$AT$1266,0))</f>
        <v>#N/A</v>
      </c>
      <c r="CY1120" t="e">
        <f>INDEX('Data_Price '!AH$2:AH$1266,MATCH(Data!$DN1120,'Data_Price '!$AT$2:$AT$1266,0))</f>
        <v>#N/A</v>
      </c>
      <c r="CZ1120" t="e">
        <f>INDEX('Data_Price '!AI$2:AI$1266,MATCH(Data!$DN1120,'Data_Price '!$AT$2:$AT$1266,0))</f>
        <v>#N/A</v>
      </c>
      <c r="DA1120" t="e">
        <f>INDEX('Data_Price '!AJ$2:AJ$1266,MATCH(Data!$DN1120,'Data_Price '!$AT$2:$AT$1266,0))</f>
        <v>#N/A</v>
      </c>
      <c r="DB1120" t="e">
        <f>INDEX('Data_Price '!AK$2:AK$1266,MATCH(Data!$DN1120,'Data_Price '!$AT$2:$AT$1266,0))</f>
        <v>#N/A</v>
      </c>
      <c r="DC1120" t="e">
        <f>INDEX('Data_Price '!AL$2:AL$1266,MATCH(Data!$DN1120,'Data_Price '!$AT$2:$AT$1266,0))</f>
        <v>#N/A</v>
      </c>
      <c r="DD1120" t="e">
        <f>INDEX('Data_Price '!AM$2:AM$1266,MATCH(Data!$DN1120,'Data_Price '!$AT$2:$AT$1266,0))</f>
        <v>#N/A</v>
      </c>
      <c r="DE1120" t="e">
        <f>INDEX('Data_Price '!AN$2:AN$1266,MATCH(Data!$DN1120,'Data_Price '!$AT$2:$AT$1266,0))</f>
        <v>#N/A</v>
      </c>
      <c r="DF1120" t="e">
        <f>INDEX('Data_Price '!AO$2:AO$1266,MATCH(Data!$DN1120,'Data_Price '!$AT$2:$AT$1266,0))</f>
        <v>#N/A</v>
      </c>
      <c r="DG1120" t="e">
        <f>INDEX('Data_Price '!AP$2:AP$1266,MATCH(Data!$DN1120,'Data_Price '!$AT$2:$AT$1266,0))</f>
        <v>#N/A</v>
      </c>
      <c r="DH1120" t="e">
        <f>INDEX('Data_Price '!AQ$2:AQ$1266,MATCH(Data!$DN1120,'Data_Price '!$AT$2:$AT$1266,0))</f>
        <v>#N/A</v>
      </c>
      <c r="DI1120" t="e">
        <f>INDEX('Data_Price '!AR$2:AR$1266,MATCH(Data!$DN1120,'Data_Price '!$AT$2:$AT$1266,0))</f>
        <v>#N/A</v>
      </c>
      <c r="DJ1120" s="89" t="e">
        <f t="shared" si="661"/>
        <v>#N/A</v>
      </c>
      <c r="DK1120" s="89" t="e">
        <f t="shared" si="662"/>
        <v>#N/A</v>
      </c>
      <c r="DL1120" s="89" t="e">
        <f t="shared" si="663"/>
        <v>#N/A</v>
      </c>
      <c r="DM1120" s="219" t="str">
        <f t="shared" si="664"/>
        <v>Secret 102</v>
      </c>
      <c r="DN1120" s="89" t="str">
        <f t="shared" si="665"/>
        <v xml:space="preserve"> VölklSecret 102170 Women's</v>
      </c>
      <c r="DO1120" s="221" t="s">
        <v>427</v>
      </c>
    </row>
    <row r="1121" spans="2:119" ht="15.6" customHeight="1">
      <c r="B1121" s="219" t="b">
        <f t="array" ref="B1121">IF(OR(ISERROR(K1121:P1121)),FALSE,TRUE)</f>
        <v>1</v>
      </c>
      <c r="C1121" s="43" t="b">
        <f>OR(BR1121=Driver!$G$50,Data!BR695=Driver!$H$50)</f>
        <v>1</v>
      </c>
      <c r="D1121" s="43" t="b">
        <f>OR(BV1121=Driver!$G$51,BV1121=Driver!$H$51)</f>
        <v>1</v>
      </c>
      <c r="E1121" s="43" t="b">
        <f>AND(BX1121&gt;Driver!$F$54,BX1121&lt;Driver!$G$54)</f>
        <v>0</v>
      </c>
      <c r="F1121" s="43" t="b">
        <f>CL1121&gt;Driver!$F$56</f>
        <v>1</v>
      </c>
      <c r="G1121" s="43" t="b">
        <f>AND(CB1121&gt;Driver!$F$55,CB1121&lt;Driver!$G$55)</f>
        <v>0</v>
      </c>
      <c r="H1121" s="43" t="b">
        <f t="shared" si="629"/>
        <v>0</v>
      </c>
      <c r="I1121" s="43">
        <f t="shared" si="630"/>
        <v>0</v>
      </c>
      <c r="J1121" s="43" t="b">
        <f t="array" ref="J1121">NOT(OR(($H$9:$H$1273=TRUE)*($I$9:$I$1273&gt;0)*($BT$9:$BT$1273=BT1121)*($K$9:$K$1273&gt;K1121)))</f>
        <v>1</v>
      </c>
      <c r="K1121" s="72">
        <f t="shared" si="631"/>
        <v>0.67279179377583942</v>
      </c>
      <c r="L1121" s="72">
        <f t="shared" si="632"/>
        <v>0.72468915386412025</v>
      </c>
      <c r="M1121" s="72">
        <f t="shared" si="633"/>
        <v>0.62089443368755881</v>
      </c>
      <c r="N1121" s="72">
        <f t="shared" si="634"/>
        <v>0.25535879387813432</v>
      </c>
      <c r="O1121" s="72">
        <f t="shared" si="635"/>
        <v>0.62772038705547761</v>
      </c>
      <c r="P1121" s="72">
        <f t="shared" si="636"/>
        <v>0.97960412012906428</v>
      </c>
      <c r="Q1121" s="72"/>
      <c r="R1121" s="72"/>
      <c r="S1121" s="72">
        <f t="shared" si="637"/>
        <v>0.44952342710165305</v>
      </c>
      <c r="T1121" s="72">
        <f t="shared" si="638"/>
        <v>0.49949742217549042</v>
      </c>
      <c r="U1121" s="72">
        <f t="shared" si="639"/>
        <v>0.50789404894993884</v>
      </c>
      <c r="V1121" s="72">
        <f t="shared" si="640"/>
        <v>0.61182411862938657</v>
      </c>
      <c r="W1121" s="72">
        <f t="shared" si="641"/>
        <v>0.78162819065070099</v>
      </c>
      <c r="X1121" s="72">
        <f t="shared" si="642"/>
        <v>0.27531084613587981</v>
      </c>
      <c r="Y1121" s="72">
        <f t="shared" si="643"/>
        <v>0.37910556631244124</v>
      </c>
      <c r="Z1121" s="72">
        <f t="shared" si="644"/>
        <v>0.74464120612186568</v>
      </c>
      <c r="AA1121" s="72">
        <f t="shared" si="645"/>
        <v>0.37227961294452239</v>
      </c>
      <c r="AB1121" s="72">
        <f t="shared" si="646"/>
        <v>2.0395879870935718E-2</v>
      </c>
      <c r="AC1121" s="72"/>
      <c r="AD1121" s="72"/>
      <c r="AE1121" s="72">
        <f t="shared" si="647"/>
        <v>0.55047657289834695</v>
      </c>
      <c r="AF1121" s="72">
        <f t="shared" si="648"/>
        <v>0.50050257782450958</v>
      </c>
      <c r="AG1121" s="72">
        <f t="shared" si="649"/>
        <v>0.49210595105006122</v>
      </c>
      <c r="AH1121" s="72">
        <f t="shared" si="650"/>
        <v>0.38817588137061343</v>
      </c>
      <c r="AI1121" s="72">
        <f t="shared" si="651"/>
        <v>0.21837180934929901</v>
      </c>
      <c r="AJ1121" s="72">
        <f>(AV1121-Driver!$K$179)/(Driver!$L$179-Driver!$K$179)</f>
        <v>0.52953025541858023</v>
      </c>
      <c r="AK1121" s="72">
        <f>(AW1121-Driver!$K$180)/(Driver!$L$180-Driver!$K$180)</f>
        <v>0.28881435878364131</v>
      </c>
      <c r="AL1121" s="72">
        <f>(AX1121-Driver!$K$181)/(Driver!$L$181-Driver!$K$181)</f>
        <v>0.84632896983494588</v>
      </c>
      <c r="AM1121" s="72">
        <f>(AY1121-Driver!$K$182)/(Driver!$L$182-Driver!$K$182)</f>
        <v>7.5105408152523978E-2</v>
      </c>
      <c r="AN1121" s="72">
        <f>(AZ1121-Driver!$K$183)/(Driver!$L$183-Driver!$K$183)</f>
        <v>0.23382352941176471</v>
      </c>
      <c r="AO1121" s="72"/>
      <c r="AP1121" s="72"/>
      <c r="AQ1121" s="72">
        <f>(BC1121-Driver!$K$188)/(Driver!$L$188-Driver!$K$188)</f>
        <v>6.9523427101653046E-2</v>
      </c>
      <c r="AR1121" s="72">
        <f>MIN((BD1121-Driver!$K$189)/(Driver!$L$189-Driver!$K$189),100%)</f>
        <v>4.9497422175490427E-2</v>
      </c>
      <c r="AS1121" s="72">
        <f>(BE1121-Driver!$K$190)/(Driver!$L$190-Driver!$K$190)</f>
        <v>1.7894048949938814E-2</v>
      </c>
      <c r="AT1121" s="72">
        <f>(BF1121-Driver!$K$191)/(Driver!$L$191-Driver!$K$191)</f>
        <v>0.12182411862938659</v>
      </c>
      <c r="AU1121" s="72">
        <f>(BG1121-Driver!$K$192)/(Driver!$L$192-Driver!$K$192)</f>
        <v>3.1628190650700987E-2</v>
      </c>
      <c r="AV1121" s="70">
        <f t="shared" si="652"/>
        <v>11.145027811694478</v>
      </c>
      <c r="AW1121" s="70">
        <f t="shared" si="653"/>
        <v>30.019411040481682</v>
      </c>
      <c r="AX1121" s="70">
        <f t="shared" si="654"/>
        <v>8.6169607285145133</v>
      </c>
      <c r="AY1121" s="70">
        <f>IFERROR(Driver!$K$19/Data!BH1121/Data!BI1121*Data!BK1121*Data!BL1121,"")</f>
        <v>9.1951428869624041E-2</v>
      </c>
      <c r="AZ1121" s="70">
        <f t="shared" si="655"/>
        <v>21.310498883097544</v>
      </c>
      <c r="BA1121" s="70"/>
      <c r="BB1121" s="70"/>
      <c r="BC1121" s="70">
        <f t="shared" si="656"/>
        <v>36.062284956651482</v>
      </c>
      <c r="BD1121" s="70">
        <f t="shared" si="657"/>
        <v>6.1012570423862673</v>
      </c>
      <c r="BE1121" s="70">
        <f t="shared" si="658"/>
        <v>1.8069245597532809E-2</v>
      </c>
      <c r="BF1121" s="70">
        <f t="shared" si="659"/>
        <v>13.759178336317381</v>
      </c>
      <c r="BG1121" s="70">
        <f t="shared" si="660"/>
        <v>0.11976450640793455</v>
      </c>
      <c r="BH1121" s="67">
        <f>MAX((CE1121-Driver!$F$200)/(Driver!$G$200-Driver!$F$200)*$BI$1,1)</f>
        <v>8.6169607285145133</v>
      </c>
      <c r="BI1121" s="67">
        <f>MAX($BI$1*(BY1121-Driver!$F$201)/(Driver!$G$201-Driver!$F$201),1)</f>
        <v>6.8354430379746836</v>
      </c>
      <c r="BJ1121" s="67">
        <f>(CB1121-Driver!$F$206)/(Driver!$G$206-Driver!$F$206)*$BI$1</f>
        <v>8.412698412698413</v>
      </c>
      <c r="BK1121" s="67">
        <f>(CD1121-Driver!$F$203)/(Driver!$G$203-Driver!$F$203)*$BI$1</f>
        <v>4.9082568807339459</v>
      </c>
      <c r="BL1121" s="67">
        <f>MAX((CR1121-Driver!$F$202)/(Driver!$G$202-Driver!$F$202)*$BI$1,1)</f>
        <v>5.5172413793103452</v>
      </c>
      <c r="BM1121" s="67">
        <f>MAX((CH1121-Driver!$F$204)/(Driver!$G$204-Driver!$F$204)*$BI$1,1)</f>
        <v>5.299145299145299</v>
      </c>
      <c r="BN1121" s="67">
        <f>(CI1121-Driver!$F$205)/(Driver!$G$205-Driver!$F$205)*$BI$1</f>
        <v>3.1176470588235294</v>
      </c>
      <c r="BO1121" s="67">
        <f>(CK1121-Driver!$F$207)/(Driver!$G$207-Driver!$F$207)*$BI$1</f>
        <v>3.391933815925543</v>
      </c>
      <c r="BP1121" s="67">
        <f>(CM1121-Driver!$F$208)/(Driver!$G$208-Driver!$F$208)*$BI$1</f>
        <v>2.3666666666666667</v>
      </c>
      <c r="BQ1121" s="67">
        <f>(CL1121-Driver!$F$209)/(Driver!$G$209-Driver!$F$209)*$BI$1</f>
        <v>5.46875</v>
      </c>
      <c r="BR1121" s="28" t="s">
        <v>155</v>
      </c>
      <c r="BS1121" s="8" t="s">
        <v>561</v>
      </c>
      <c r="BT1121" s="9" t="s">
        <v>867</v>
      </c>
      <c r="BU1121" s="10">
        <v>183</v>
      </c>
      <c r="BV1121" s="9" t="s">
        <v>158</v>
      </c>
      <c r="BW1121" s="10">
        <v>183</v>
      </c>
      <c r="BX1121" s="10">
        <v>180.7</v>
      </c>
      <c r="BY1121" s="10">
        <v>116</v>
      </c>
      <c r="BZ1121" s="10">
        <v>140</v>
      </c>
      <c r="CA1121" s="10">
        <v>142</v>
      </c>
      <c r="CB1121" s="10">
        <v>117</v>
      </c>
      <c r="CC1121" s="10">
        <v>132</v>
      </c>
      <c r="CD1121" s="10">
        <v>20.100000000000001</v>
      </c>
      <c r="CE1121" s="10">
        <v>2414</v>
      </c>
      <c r="CF1121" s="10">
        <v>0.93</v>
      </c>
      <c r="CG1121" s="10">
        <v>2255</v>
      </c>
      <c r="CH1121" s="10">
        <v>225</v>
      </c>
      <c r="CI1121" s="10">
        <v>86</v>
      </c>
      <c r="CJ1121" s="10">
        <v>62</v>
      </c>
      <c r="CK1121" s="10">
        <v>438</v>
      </c>
      <c r="CL1121" s="10">
        <v>35</v>
      </c>
      <c r="CM1121" s="10">
        <v>213</v>
      </c>
      <c r="CN1121" s="10">
        <v>0.56999999999999995</v>
      </c>
      <c r="CO1121" s="10">
        <v>205</v>
      </c>
      <c r="CP1121" s="10">
        <v>205</v>
      </c>
      <c r="CQ1121" s="10">
        <v>233</v>
      </c>
      <c r="CR1121" s="10">
        <v>5</v>
      </c>
      <c r="CS1121" s="10">
        <v>7.8</v>
      </c>
      <c r="CT1121" s="9" t="s">
        <v>169</v>
      </c>
      <c r="CU1121" s="10"/>
      <c r="CV1121" s="10"/>
      <c r="CW1121" s="10"/>
      <c r="CX1121" t="str">
        <f>INDEX('Data_Price '!AG$2:AG$1266,MATCH(Data!$DN1121,'Data_Price '!$AT$2:$AT$1266,0))</f>
        <v>J Skis â€œthe Friendâ€ 183 Cm Dragon Brand</v>
      </c>
      <c r="CY1121" t="str">
        <f>INDEX('Data_Price '!AH$2:AH$1266,MATCH(Data!$DN1121,'Data_Price '!$AT$2:$AT$1266,0))</f>
        <v>eBay</v>
      </c>
      <c r="CZ1121">
        <f>INDEX('Data_Price '!AI$2:AI$1266,MATCH(Data!$DN1121,'Data_Price '!$AT$2:$AT$1266,0))</f>
        <v>925</v>
      </c>
      <c r="DA1121" t="str">
        <f>INDEX('Data_Price '!AJ$2:AJ$1266,MATCH(Data!$DN1121,'Data_Price '!$AT$2:$AT$1266,0))</f>
        <v>https://tinyurl.com/yc3fbal6</v>
      </c>
      <c r="DB1121" t="str">
        <f>INDEX('Data_Price '!AK$2:AK$1266,MATCH(Data!$DN1121,'Data_Price '!$AT$2:$AT$1266,0))</f>
        <v>Black Diamond Helio Recon 95 Skis</v>
      </c>
      <c r="DC1121" t="str">
        <f>INDEX('Data_Price '!AL$2:AL$1266,MATCH(Data!$DN1121,'Data_Price '!$AT$2:$AT$1266,0))</f>
        <v>Snowcountry.eu</v>
      </c>
      <c r="DD1121">
        <f>INDEX('Data_Price '!AM$2:AM$1266,MATCH(Data!$DN1121,'Data_Price '!$AT$2:$AT$1266,0))</f>
        <v>423.12</v>
      </c>
      <c r="DE1121" t="str">
        <f>INDEX('Data_Price '!AN$2:AN$1266,MATCH(Data!$DN1121,'Data_Price '!$AT$2:$AT$1266,0))</f>
        <v>https://tinyurl.com/y75mxoz2</v>
      </c>
      <c r="DF1121" t="str">
        <f>INDEX('Data_Price '!AO$2:AO$1266,MATCH(Data!$DN1121,'Data_Price '!$AT$2:$AT$1266,0))</f>
        <v>Black Diamond Helio Recon 95 Skis</v>
      </c>
      <c r="DG1121" t="str">
        <f>INDEX('Data_Price '!AP$2:AP$1266,MATCH(Data!$DN1121,'Data_Price '!$AT$2:$AT$1266,0))</f>
        <v>! OutdoorXL.com</v>
      </c>
      <c r="DH1121">
        <f>INDEX('Data_Price '!AQ$2:AQ$1266,MATCH(Data!$DN1121,'Data_Price '!$AT$2:$AT$1266,0))</f>
        <v>429.95</v>
      </c>
      <c r="DI1121" t="str">
        <f>INDEX('Data_Price '!AR$2:AR$1266,MATCH(Data!$DN1121,'Data_Price '!$AT$2:$AT$1266,0))</f>
        <v>https://tinyurl.com/y77ck4sx</v>
      </c>
      <c r="DJ1121" s="89" t="str">
        <f t="shared" si="661"/>
        <v>https://tinyurl.com/yc3fbal6</v>
      </c>
      <c r="DK1121" s="89" t="str">
        <f t="shared" si="662"/>
        <v>https://tinyurl.com/y75mxoz2</v>
      </c>
      <c r="DL1121" s="89" t="str">
        <f t="shared" si="663"/>
        <v>https://tinyurl.com/y77ck4sx</v>
      </c>
      <c r="DM1121" s="219" t="str">
        <f t="shared" si="664"/>
        <v>The Friend</v>
      </c>
      <c r="DN1121" s="89" t="str">
        <f t="shared" si="665"/>
        <v xml:space="preserve"> J SkisThe Friend183 Unisex</v>
      </c>
      <c r="DO1121" s="221"/>
    </row>
    <row r="1122" spans="2:119" ht="15.6" customHeight="1">
      <c r="B1122" s="219" t="b">
        <f t="array" ref="B1122">IF(OR(ISERROR(K1122:P1122)),FALSE,TRUE)</f>
        <v>1</v>
      </c>
      <c r="C1122" s="43" t="b">
        <f>OR(BR1122=Driver!$G$50,Data!BR838=Driver!$H$50)</f>
        <v>1</v>
      </c>
      <c r="D1122" s="43" t="b">
        <f>OR(BV1122=Driver!$G$51,BV1122=Driver!$H$51)</f>
        <v>0</v>
      </c>
      <c r="E1122" s="43" t="b">
        <f>AND(BX1122&gt;Driver!$F$54,BX1122&lt;Driver!$G$54)</f>
        <v>0</v>
      </c>
      <c r="F1122" s="43" t="b">
        <f>CL1122&gt;Driver!$F$56</f>
        <v>1</v>
      </c>
      <c r="G1122" s="43" t="b">
        <f>AND(CB1122&gt;Driver!$F$55,CB1122&lt;Driver!$G$55)</f>
        <v>0</v>
      </c>
      <c r="H1122" s="43" t="b">
        <f t="shared" si="629"/>
        <v>0</v>
      </c>
      <c r="I1122" s="43">
        <f t="shared" si="630"/>
        <v>0</v>
      </c>
      <c r="J1122" s="43" t="b">
        <f t="array" ref="J1122">NOT(OR(($H$9:$H$1273=TRUE)*($I$9:$I$1273&gt;0)*($BT$9:$BT$1273=BT1122)*($K$9:$K$1273&gt;K1122)))</f>
        <v>1</v>
      </c>
      <c r="K1122" s="72">
        <f t="shared" si="631"/>
        <v>0.81254192553645954</v>
      </c>
      <c r="L1122" s="72">
        <f t="shared" si="632"/>
        <v>0.82844919115239746</v>
      </c>
      <c r="M1122" s="72">
        <f t="shared" si="633"/>
        <v>0.79663465992052163</v>
      </c>
      <c r="N1122" s="72">
        <f t="shared" si="634"/>
        <v>0.93201723946088266</v>
      </c>
      <c r="O1122" s="72">
        <f t="shared" si="635"/>
        <v>0.62566824108665053</v>
      </c>
      <c r="P1122" s="72">
        <f t="shared" si="636"/>
        <v>0.83221849921403157</v>
      </c>
      <c r="Q1122" s="72"/>
      <c r="R1122" s="72"/>
      <c r="S1122" s="72">
        <f t="shared" si="637"/>
        <v>0.38874969336719634</v>
      </c>
      <c r="T1122" s="72">
        <f t="shared" si="638"/>
        <v>0.48060784352920727</v>
      </c>
      <c r="U1122" s="72">
        <f t="shared" si="639"/>
        <v>0.62407753703935009</v>
      </c>
      <c r="V1122" s="72">
        <f t="shared" si="640"/>
        <v>0.57525241713402031</v>
      </c>
      <c r="W1122" s="72">
        <f t="shared" si="641"/>
        <v>0.83774004267425317</v>
      </c>
      <c r="X1122" s="72">
        <f t="shared" si="642"/>
        <v>0.17155080884760254</v>
      </c>
      <c r="Y1122" s="72">
        <f t="shared" si="643"/>
        <v>0.20336534007947837</v>
      </c>
      <c r="Z1122" s="72">
        <f t="shared" si="644"/>
        <v>6.7982760539117351E-2</v>
      </c>
      <c r="AA1122" s="72">
        <f t="shared" si="645"/>
        <v>0.37433175891334941</v>
      </c>
      <c r="AB1122" s="72">
        <f t="shared" si="646"/>
        <v>0.16778150078596843</v>
      </c>
      <c r="AC1122" s="72"/>
      <c r="AD1122" s="72"/>
      <c r="AE1122" s="72">
        <f t="shared" si="647"/>
        <v>0.61125030663280366</v>
      </c>
      <c r="AF1122" s="72">
        <f t="shared" si="648"/>
        <v>0.51939215647079273</v>
      </c>
      <c r="AG1122" s="72">
        <f t="shared" si="649"/>
        <v>0.37592246296064991</v>
      </c>
      <c r="AH1122" s="72">
        <f t="shared" si="650"/>
        <v>0.42474758286597969</v>
      </c>
      <c r="AI1122" s="72">
        <f t="shared" si="651"/>
        <v>0.16225995732574683</v>
      </c>
      <c r="AJ1122" s="72">
        <f>(AV1122-Driver!$K$179)/(Driver!$L$179-Driver!$K$179)</f>
        <v>8.2668600435097897E-2</v>
      </c>
      <c r="AK1122" s="72">
        <f>(AW1122-Driver!$K$180)/(Driver!$L$180-Driver!$K$180)</f>
        <v>8.8472883207456984E-2</v>
      </c>
      <c r="AL1122" s="72">
        <f>(AX1122-Driver!$K$181)/(Driver!$L$181-Driver!$K$181)</f>
        <v>0.16967052425219753</v>
      </c>
      <c r="AM1122" s="72">
        <f>(AY1122-Driver!$K$182)/(Driver!$L$182-Driver!$K$182)</f>
        <v>7.3053262183696954E-2</v>
      </c>
      <c r="AN1122" s="72">
        <f>(AZ1122-Driver!$K$183)/(Driver!$L$183-Driver!$K$183)</f>
        <v>8.643790849673201E-2</v>
      </c>
      <c r="AO1122" s="72"/>
      <c r="AP1122" s="72"/>
      <c r="AQ1122" s="72">
        <f>(BC1122-Driver!$K$188)/(Driver!$L$188-Driver!$K$188)</f>
        <v>8.7496933671963647E-3</v>
      </c>
      <c r="AR1122" s="72">
        <f>MIN((BD1122-Driver!$K$189)/(Driver!$L$189-Driver!$K$189),100%)</f>
        <v>3.0607843529207344E-2</v>
      </c>
      <c r="AS1122" s="72">
        <f>(BE1122-Driver!$K$190)/(Driver!$L$190-Driver!$K$190)</f>
        <v>0.13407753703935008</v>
      </c>
      <c r="AT1122" s="72">
        <f>(BF1122-Driver!$K$191)/(Driver!$L$191-Driver!$K$191)</f>
        <v>8.5252417134020306E-2</v>
      </c>
      <c r="AU1122" s="72">
        <f>(BG1122-Driver!$K$192)/(Driver!$L$192-Driver!$K$192)</f>
        <v>0.41225995732574683</v>
      </c>
      <c r="AV1122" s="70">
        <f t="shared" si="652"/>
        <v>1.73992673992674</v>
      </c>
      <c r="AW1122" s="70">
        <f t="shared" si="653"/>
        <v>10.494359039520026</v>
      </c>
      <c r="AX1122" s="70">
        <f t="shared" si="654"/>
        <v>2.5270347182697779</v>
      </c>
      <c r="AY1122" s="70">
        <f>IFERROR(Driver!$K$19/Data!BH1122/Data!BI1122*Data!BK1122*Data!BL1122,"")</f>
        <v>8.9438989902519611E-2</v>
      </c>
      <c r="AZ1122" s="70">
        <f t="shared" si="655"/>
        <v>7.8778853313477279</v>
      </c>
      <c r="BA1122" s="70"/>
      <c r="BB1122" s="70"/>
      <c r="BC1122" s="70">
        <f t="shared" si="656"/>
        <v>4.5385267764462132</v>
      </c>
      <c r="BD1122" s="70">
        <f t="shared" si="657"/>
        <v>4.4295628025430309</v>
      </c>
      <c r="BE1122" s="70">
        <f t="shared" si="658"/>
        <v>0.13423200786036976</v>
      </c>
      <c r="BF1122" s="70">
        <f t="shared" si="659"/>
        <v>9.6286615831600315</v>
      </c>
      <c r="BG1122" s="70">
        <f t="shared" si="660"/>
        <v>1.5610791918563303</v>
      </c>
      <c r="BH1122" s="67">
        <f>MAX((CE1122-Driver!$F$200)/(Driver!$G$200-Driver!$F$200)*$BI$1,1)</f>
        <v>2.5270347182697779</v>
      </c>
      <c r="BI1122" s="67">
        <f>MAX($BI$1*(BY1122-Driver!$F$201)/(Driver!$G$201-Driver!$F$201),1)</f>
        <v>5.8227848101265822</v>
      </c>
      <c r="BJ1122" s="67">
        <f>(CB1122-Driver!$F$206)/(Driver!$G$206-Driver!$F$206)*$BI$1</f>
        <v>4.2857142857142856</v>
      </c>
      <c r="BK1122" s="67">
        <f>(CD1122-Driver!$F$203)/(Driver!$G$203-Driver!$F$203)*$BI$1</f>
        <v>1.1926605504587156</v>
      </c>
      <c r="BL1122" s="67">
        <f>MAX((CR1122-Driver!$F$202)/(Driver!$G$202-Driver!$F$202)*$BI$1,1)</f>
        <v>5.5172413793103452</v>
      </c>
      <c r="BM1122" s="67">
        <f>MAX((CH1122-Driver!$F$204)/(Driver!$G$204-Driver!$F$204)*$BI$1,1)</f>
        <v>1.6239316239316239</v>
      </c>
      <c r="BN1122" s="67">
        <f>(CI1122-Driver!$F$205)/(Driver!$G$205-Driver!$F$205)*$BI$1</f>
        <v>1.3529411764705881</v>
      </c>
      <c r="BO1122" s="67">
        <f>(CK1122-Driver!$F$207)/(Driver!$G$207-Driver!$F$207)*$BI$1</f>
        <v>1.1375387797311272</v>
      </c>
      <c r="BP1122" s="67">
        <f>(CM1122-Driver!$F$208)/(Driver!$G$208-Driver!$F$208)*$BI$1</f>
        <v>2.3555555555555556</v>
      </c>
      <c r="BQ1122" s="67">
        <f>(CL1122-Driver!$F$209)/(Driver!$G$209-Driver!$F$209)*$BI$1</f>
        <v>6.40625</v>
      </c>
      <c r="BR1122" s="28" t="s">
        <v>155</v>
      </c>
      <c r="BS1122" s="8" t="s">
        <v>208</v>
      </c>
      <c r="BT1122" s="9" t="s">
        <v>843</v>
      </c>
      <c r="BU1122" s="10">
        <v>144</v>
      </c>
      <c r="BV1122" s="9" t="s">
        <v>163</v>
      </c>
      <c r="BW1122" s="10">
        <v>144</v>
      </c>
      <c r="BX1122" s="10">
        <v>143.19999999999999</v>
      </c>
      <c r="BY1122" s="10">
        <v>100</v>
      </c>
      <c r="BZ1122" s="10">
        <v>119</v>
      </c>
      <c r="CA1122" s="10">
        <v>120</v>
      </c>
      <c r="CB1122" s="10">
        <v>91</v>
      </c>
      <c r="CC1122" s="10">
        <v>117</v>
      </c>
      <c r="CD1122" s="10">
        <v>12</v>
      </c>
      <c r="CE1122" s="10">
        <v>1344</v>
      </c>
      <c r="CF1122" s="10">
        <v>1.08</v>
      </c>
      <c r="CG1122" s="10">
        <v>1448</v>
      </c>
      <c r="CH1122" s="10">
        <v>139</v>
      </c>
      <c r="CI1122" s="10">
        <v>56</v>
      </c>
      <c r="CJ1122" s="10">
        <v>46</v>
      </c>
      <c r="CK1122" s="10">
        <v>220</v>
      </c>
      <c r="CL1122" s="10">
        <v>41</v>
      </c>
      <c r="CM1122" s="10">
        <v>212</v>
      </c>
      <c r="CN1122" s="10">
        <v>0.90500000000000003</v>
      </c>
      <c r="CO1122" s="10">
        <v>124</v>
      </c>
      <c r="CP1122" s="10">
        <v>114</v>
      </c>
      <c r="CQ1122" s="10">
        <v>96</v>
      </c>
      <c r="CR1122" s="10">
        <v>5</v>
      </c>
      <c r="CS1122" s="10">
        <v>3.5</v>
      </c>
      <c r="CT1122" s="9" t="s">
        <v>184</v>
      </c>
      <c r="CU1122" s="9" t="s">
        <v>185</v>
      </c>
      <c r="CV1122" s="10"/>
      <c r="CW1122" s="10"/>
      <c r="CX1122" t="str">
        <f>INDEX('Data_Price '!AG$2:AG$1266,MATCH(Data!$DN1122,'Data_Price '!$AT$2:$AT$1266,0))</f>
        <v>Line Honey Bee Skis 2021</v>
      </c>
      <c r="CY1122" t="str">
        <f>INDEX('Data_Price '!AH$2:AH$1266,MATCH(Data!$DN1122,'Data_Price '!$AT$2:$AT$1266,0))</f>
        <v>LINE Skis</v>
      </c>
      <c r="CZ1122">
        <f>INDEX('Data_Price '!AI$2:AI$1266,MATCH(Data!$DN1122,'Data_Price '!$AT$2:$AT$1266,0))</f>
        <v>349.95</v>
      </c>
      <c r="DA1122" t="str">
        <f>INDEX('Data_Price '!AJ$2:AJ$1266,MATCH(Data!$DN1122,'Data_Price '!$AT$2:$AT$1266,0))</f>
        <v>https://tinyurl.com/y9ad93w2</v>
      </c>
      <c r="DB1122">
        <f>INDEX('Data_Price '!AK$2:AK$1266,MATCH(Data!$DN1122,'Data_Price '!$AT$2:$AT$1266,0))</f>
        <v>0</v>
      </c>
      <c r="DC1122">
        <f>INDEX('Data_Price '!AL$2:AL$1266,MATCH(Data!$DN1122,'Data_Price '!$AT$2:$AT$1266,0))</f>
        <v>0</v>
      </c>
      <c r="DD1122">
        <f>INDEX('Data_Price '!AM$2:AM$1266,MATCH(Data!$DN1122,'Data_Price '!$AT$2:$AT$1266,0))</f>
        <v>0</v>
      </c>
      <c r="DE1122">
        <f>INDEX('Data_Price '!AN$2:AN$1266,MATCH(Data!$DN1122,'Data_Price '!$AT$2:$AT$1266,0))</f>
        <v>0</v>
      </c>
      <c r="DF1122">
        <f>INDEX('Data_Price '!AO$2:AO$1266,MATCH(Data!$DN1122,'Data_Price '!$AT$2:$AT$1266,0))</f>
        <v>0</v>
      </c>
      <c r="DG1122">
        <f>INDEX('Data_Price '!AP$2:AP$1266,MATCH(Data!$DN1122,'Data_Price '!$AT$2:$AT$1266,0))</f>
        <v>0</v>
      </c>
      <c r="DH1122">
        <f>INDEX('Data_Price '!AQ$2:AQ$1266,MATCH(Data!$DN1122,'Data_Price '!$AT$2:$AT$1266,0))</f>
        <v>0</v>
      </c>
      <c r="DI1122">
        <f>INDEX('Data_Price '!AR$2:AR$1266,MATCH(Data!$DN1122,'Data_Price '!$AT$2:$AT$1266,0))</f>
        <v>0</v>
      </c>
      <c r="DJ1122" s="89" t="str">
        <f t="shared" si="661"/>
        <v>https://tinyurl.com/y9ad93w2</v>
      </c>
      <c r="DK1122" s="89">
        <f t="shared" si="662"/>
        <v>0</v>
      </c>
      <c r="DL1122" s="89">
        <f t="shared" si="663"/>
        <v>0</v>
      </c>
      <c r="DM1122" s="219" t="str">
        <f t="shared" si="664"/>
        <v>Honey Bee</v>
      </c>
      <c r="DN1122" s="89" t="str">
        <f t="shared" si="665"/>
        <v xml:space="preserve"> LineHoney Bee144 Women's</v>
      </c>
      <c r="DO1122" s="221" t="s">
        <v>844</v>
      </c>
    </row>
    <row r="1123" spans="2:119" ht="15.6" customHeight="1">
      <c r="B1123" s="219" t="b">
        <f t="array" ref="B1123">IF(OR(ISERROR(K1123:P1123)),FALSE,TRUE)</f>
        <v>1</v>
      </c>
      <c r="C1123" s="43" t="b">
        <f>OR(BR1123=Driver!$G$50,Data!BR1023=Driver!$H$50)</f>
        <v>1</v>
      </c>
      <c r="D1123" s="43" t="b">
        <f>OR(BV1123=Driver!$G$51,BV1123=Driver!$H$51)</f>
        <v>1</v>
      </c>
      <c r="E1123" s="43" t="b">
        <f>AND(BX1123&gt;Driver!$F$54,BX1123&lt;Driver!$G$54)</f>
        <v>0</v>
      </c>
      <c r="F1123" s="43" t="b">
        <f>CL1123&gt;Driver!$F$56</f>
        <v>1</v>
      </c>
      <c r="G1123" s="43" t="b">
        <f>AND(CB1123&gt;Driver!$F$55,CB1123&lt;Driver!$G$55)</f>
        <v>0</v>
      </c>
      <c r="H1123" s="43" t="b">
        <f t="shared" si="629"/>
        <v>0</v>
      </c>
      <c r="I1123" s="43">
        <f t="shared" si="630"/>
        <v>0</v>
      </c>
      <c r="J1123" s="43" t="b">
        <f t="array" ref="J1123">NOT(OR(($H$9:$H$1273=TRUE)*($I$9:$I$1273&gt;0)*($BT$9:$BT$1273=BT1123)*($K$9:$K$1273&gt;K1123)))</f>
        <v>1</v>
      </c>
      <c r="K1123" s="72">
        <f t="shared" si="631"/>
        <v>0.78046266978912282</v>
      </c>
      <c r="L1123" s="72">
        <f t="shared" si="632"/>
        <v>0.96010659184533109</v>
      </c>
      <c r="M1123" s="72">
        <f t="shared" si="633"/>
        <v>0.60081874773291455</v>
      </c>
      <c r="N1123" s="72">
        <f t="shared" si="634"/>
        <v>0.47859284181337736</v>
      </c>
      <c r="O1123" s="72">
        <f t="shared" si="635"/>
        <v>0.61343484177586882</v>
      </c>
      <c r="P1123" s="72">
        <f t="shared" si="636"/>
        <v>0.71042855960949769</v>
      </c>
      <c r="Q1123" s="72"/>
      <c r="R1123" s="72"/>
      <c r="S1123" s="72">
        <f t="shared" si="637"/>
        <v>0.52759283188393247</v>
      </c>
      <c r="T1123" s="72">
        <f t="shared" si="638"/>
        <v>0.78227665763770982</v>
      </c>
      <c r="U1123" s="72">
        <f t="shared" si="639"/>
        <v>0.73057122124011054</v>
      </c>
      <c r="V1123" s="72">
        <f t="shared" si="640"/>
        <v>0.51377889455397718</v>
      </c>
      <c r="W1123" s="72">
        <f t="shared" si="641"/>
        <v>0.76538147694818437</v>
      </c>
      <c r="X1123" s="72">
        <f t="shared" si="642"/>
        <v>3.989340815466888E-2</v>
      </c>
      <c r="Y1123" s="72">
        <f t="shared" si="643"/>
        <v>0.3991812522670854</v>
      </c>
      <c r="Z1123" s="72">
        <f t="shared" si="644"/>
        <v>0.52140715818662264</v>
      </c>
      <c r="AA1123" s="72">
        <f t="shared" si="645"/>
        <v>0.38656515822413118</v>
      </c>
      <c r="AB1123" s="72">
        <f t="shared" si="646"/>
        <v>0.28957144039050225</v>
      </c>
      <c r="AC1123" s="72"/>
      <c r="AD1123" s="72"/>
      <c r="AE1123" s="72">
        <f t="shared" si="647"/>
        <v>0.47240716811606759</v>
      </c>
      <c r="AF1123" s="72">
        <f t="shared" si="648"/>
        <v>0.21772334236229024</v>
      </c>
      <c r="AG1123" s="72">
        <f t="shared" si="649"/>
        <v>0.26942877875988946</v>
      </c>
      <c r="AH1123" s="72">
        <f t="shared" si="650"/>
        <v>0.48622110544602287</v>
      </c>
      <c r="AI1123" s="72">
        <f t="shared" si="651"/>
        <v>0.23461852305181558</v>
      </c>
      <c r="AJ1123" s="72">
        <f>(AV1123-Driver!$K$179)/(Driver!$L$179-Driver!$K$179)</f>
        <v>0.21432600112803155</v>
      </c>
      <c r="AK1123" s="72">
        <f>(AW1123-Driver!$K$180)/(Driver!$L$180-Driver!$K$180)</f>
        <v>0.55788778839928155</v>
      </c>
      <c r="AL1123" s="72">
        <f>(AX1123-Driver!$K$181)/(Driver!$L$181-Driver!$K$181)</f>
        <v>0.62309492189970284</v>
      </c>
      <c r="AM1123" s="72">
        <f>(AY1123-Driver!$K$182)/(Driver!$L$182-Driver!$K$182)</f>
        <v>6.081986287291518E-2</v>
      </c>
      <c r="AN1123" s="72">
        <f>(AZ1123-Driver!$K$183)/(Driver!$L$183-Driver!$K$183)</f>
        <v>0.54379084967320268</v>
      </c>
      <c r="AO1123" s="72"/>
      <c r="AP1123" s="72"/>
      <c r="AQ1123" s="72">
        <f>(BC1123-Driver!$K$188)/(Driver!$L$188-Driver!$K$188)</f>
        <v>0.14759283188393241</v>
      </c>
      <c r="AR1123" s="72">
        <f>MIN((BD1123-Driver!$K$189)/(Driver!$L$189-Driver!$K$189),100%)</f>
        <v>0.3322766576377098</v>
      </c>
      <c r="AS1123" s="72">
        <f>(BE1123-Driver!$K$190)/(Driver!$L$190-Driver!$K$190)</f>
        <v>0.24057122124011052</v>
      </c>
      <c r="AT1123" s="72">
        <f>(BF1123-Driver!$K$191)/(Driver!$L$191-Driver!$K$191)</f>
        <v>2.3778894553977126E-2</v>
      </c>
      <c r="AU1123" s="72">
        <f>(BG1123-Driver!$K$192)/(Driver!$L$192-Driver!$K$192)</f>
        <v>1.5381476948184414E-2</v>
      </c>
      <c r="AV1123" s="70">
        <f t="shared" si="652"/>
        <v>4.5109211775878437</v>
      </c>
      <c r="AW1123" s="70">
        <f t="shared" si="653"/>
        <v>56.243000989656466</v>
      </c>
      <c r="AX1123" s="70">
        <f t="shared" si="654"/>
        <v>6.6078542970973251</v>
      </c>
      <c r="AY1123" s="70">
        <f>IFERROR(Driver!$K$19/Data!BH1123/Data!BI1123*Data!BK1123*Data!BL1123,"")</f>
        <v>7.4461659052061341E-2</v>
      </c>
      <c r="AZ1123" s="70">
        <f t="shared" si="655"/>
        <v>49.560685033507077</v>
      </c>
      <c r="BA1123" s="70"/>
      <c r="BB1123" s="70"/>
      <c r="BC1123" s="70">
        <f t="shared" si="656"/>
        <v>76.557427946916818</v>
      </c>
      <c r="BD1123" s="70">
        <f t="shared" si="657"/>
        <v>31.126718325636439</v>
      </c>
      <c r="BE1123" s="70">
        <f t="shared" si="658"/>
        <v>0.24070669478650628</v>
      </c>
      <c r="BF1123" s="70">
        <f t="shared" si="659"/>
        <v>2.6856590836827534</v>
      </c>
      <c r="BG1123" s="70">
        <f t="shared" si="660"/>
        <v>5.8244084047327629E-2</v>
      </c>
      <c r="BH1123" s="67">
        <f>MAX((CE1123-Driver!$F$200)/(Driver!$G$200-Driver!$F$200)*$BI$1,1)</f>
        <v>6.6078542970973251</v>
      </c>
      <c r="BI1123" s="67">
        <f>MAX($BI$1*(BY1123-Driver!$F$201)/(Driver!$G$201-Driver!$F$201),1)</f>
        <v>8.1012658227848107</v>
      </c>
      <c r="BJ1123" s="67">
        <f>(CB1123-Driver!$F$206)/(Driver!$G$206-Driver!$F$206)*$BI$1</f>
        <v>3.1746031746031744</v>
      </c>
      <c r="BK1123" s="67">
        <f>(CD1123-Driver!$F$203)/(Driver!$G$203-Driver!$F$203)*$BI$1</f>
        <v>2.7522935779816518</v>
      </c>
      <c r="BL1123" s="67">
        <f>MAX((CR1123-Driver!$F$202)/(Driver!$G$202-Driver!$F$202)*$BI$1,1)</f>
        <v>7.2413793103448274</v>
      </c>
      <c r="BM1123" s="67">
        <f>MAX((CH1123-Driver!$F$204)/(Driver!$G$204-Driver!$F$204)*$BI$1,1)</f>
        <v>5.6837606837606831</v>
      </c>
      <c r="BN1123" s="67">
        <f>(CI1123-Driver!$F$205)/(Driver!$G$205-Driver!$F$205)*$BI$1</f>
        <v>6.1176470588235299</v>
      </c>
      <c r="BO1123" s="67">
        <f>(CK1123-Driver!$F$207)/(Driver!$G$207-Driver!$F$207)*$BI$1</f>
        <v>1.5408479834539814</v>
      </c>
      <c r="BP1123" s="67">
        <f>(CM1123-Driver!$F$208)/(Driver!$G$208-Driver!$F$208)*$BI$1</f>
        <v>1.5111111111111111</v>
      </c>
      <c r="BQ1123" s="67">
        <f>(CL1123-Driver!$F$209)/(Driver!$G$209-Driver!$F$209)*$BI$1</f>
        <v>2.1875</v>
      </c>
      <c r="BR1123" s="28" t="s">
        <v>155</v>
      </c>
      <c r="BS1123" s="8" t="s">
        <v>172</v>
      </c>
      <c r="BT1123" s="9" t="s">
        <v>173</v>
      </c>
      <c r="BU1123" s="10">
        <v>176</v>
      </c>
      <c r="BV1123" s="9" t="s">
        <v>158</v>
      </c>
      <c r="BW1123" s="10">
        <v>176</v>
      </c>
      <c r="BX1123" s="10">
        <v>175.5</v>
      </c>
      <c r="BY1123" s="10">
        <v>136</v>
      </c>
      <c r="BZ1123" s="10">
        <v>161</v>
      </c>
      <c r="CA1123" s="10">
        <v>131</v>
      </c>
      <c r="CB1123" s="10">
        <v>84</v>
      </c>
      <c r="CC1123" s="10">
        <v>119</v>
      </c>
      <c r="CD1123" s="10">
        <v>15.4</v>
      </c>
      <c r="CE1123" s="10">
        <v>2061</v>
      </c>
      <c r="CF1123" s="10">
        <v>0.84</v>
      </c>
      <c r="CG1123" s="10">
        <v>1732</v>
      </c>
      <c r="CH1123" s="10">
        <v>234</v>
      </c>
      <c r="CI1123" s="10">
        <v>137</v>
      </c>
      <c r="CJ1123" s="10">
        <v>49</v>
      </c>
      <c r="CK1123" s="10">
        <v>259</v>
      </c>
      <c r="CL1123" s="10">
        <v>14</v>
      </c>
      <c r="CM1123" s="10">
        <v>136</v>
      </c>
      <c r="CN1123" s="10">
        <v>0.28999999999999998</v>
      </c>
      <c r="CO1123" s="10">
        <v>76</v>
      </c>
      <c r="CP1123" s="10">
        <v>64</v>
      </c>
      <c r="CQ1123" s="10">
        <v>183</v>
      </c>
      <c r="CR1123" s="10">
        <v>10</v>
      </c>
      <c r="CS1123" s="10">
        <v>6.9</v>
      </c>
      <c r="CT1123" s="9" t="s">
        <v>188</v>
      </c>
      <c r="CU1123" s="10"/>
      <c r="CV1123" s="10"/>
      <c r="CW1123" s="10"/>
      <c r="CX1123" t="str">
        <f>INDEX('Data_Price '!AG$2:AG$1266,MATCH(Data!$DN1123,'Data_Price '!$AT$2:$AT$1266,0))</f>
        <v>Rossignol Experience 86 Ti Skis 176cm 2022</v>
      </c>
      <c r="CY1123" t="str">
        <f>INDEX('Data_Price '!AH$2:AH$1266,MATCH(Data!$DN1123,'Data_Price '!$AT$2:$AT$1266,0))</f>
        <v>Next Adventure</v>
      </c>
      <c r="CZ1123">
        <f>INDEX('Data_Price '!AI$2:AI$1266,MATCH(Data!$DN1123,'Data_Price '!$AT$2:$AT$1266,0))</f>
        <v>639.96</v>
      </c>
      <c r="DA1123" t="str">
        <f>INDEX('Data_Price '!AJ$2:AJ$1266,MATCH(Data!$DN1123,'Data_Price '!$AT$2:$AT$1266,0))</f>
        <v>https://tinyurl.com/y9qfqxq8</v>
      </c>
      <c r="DB1123" t="str">
        <f>INDEX('Data_Price '!AK$2:AK$1266,MATCH(Data!$DN1123,'Data_Price '!$AT$2:$AT$1266,0))</f>
        <v>Rossignol Experience 86 Ti Skis Mens 2022</v>
      </c>
      <c r="DC1123" t="str">
        <f>INDEX('Data_Price '!AL$2:AL$1266,MATCH(Data!$DN1123,'Data_Price '!$AT$2:$AT$1266,0))</f>
        <v>BlueZone Sports</v>
      </c>
      <c r="DD1123">
        <f>INDEX('Data_Price '!AM$2:AM$1266,MATCH(Data!$DN1123,'Data_Price '!$AT$2:$AT$1266,0))</f>
        <v>639.96</v>
      </c>
      <c r="DE1123" t="str">
        <f>INDEX('Data_Price '!AN$2:AN$1266,MATCH(Data!$DN1123,'Data_Price '!$AT$2:$AT$1266,0))</f>
        <v>https://tinyurl.com/y7rojzey</v>
      </c>
      <c r="DF1123" t="str">
        <f>INDEX('Data_Price '!AO$2:AO$1266,MATCH(Data!$DN1123,'Data_Price '!$AT$2:$AT$1266,0))</f>
        <v>Rossignol Experience 86 Ti Skis 176cm 2022</v>
      </c>
      <c r="DG1123" t="str">
        <f>INDEX('Data_Price '!AP$2:AP$1266,MATCH(Data!$DN1123,'Data_Price '!$AT$2:$AT$1266,0))</f>
        <v>Powder7 Ski Shop</v>
      </c>
      <c r="DH1123">
        <f>INDEX('Data_Price '!AQ$2:AQ$1266,MATCH(Data!$DN1123,'Data_Price '!$AT$2:$AT$1266,0))</f>
        <v>689.99</v>
      </c>
      <c r="DI1123" t="str">
        <f>INDEX('Data_Price '!AR$2:AR$1266,MATCH(Data!$DN1123,'Data_Price '!$AT$2:$AT$1266,0))</f>
        <v>https://tinyurl.com/yc9bsh5s</v>
      </c>
      <c r="DJ1123" s="89" t="str">
        <f t="shared" si="661"/>
        <v>https://tinyurl.com/y9qfqxq8</v>
      </c>
      <c r="DK1123" s="89" t="str">
        <f t="shared" si="662"/>
        <v>https://tinyurl.com/y7rojzey</v>
      </c>
      <c r="DL1123" s="89" t="str">
        <f t="shared" si="663"/>
        <v>https://tinyurl.com/yc9bsh5s</v>
      </c>
      <c r="DM1123" s="219" t="str">
        <f t="shared" si="664"/>
        <v>Experience 86 Ti</v>
      </c>
      <c r="DN1123" s="89" t="str">
        <f t="shared" si="665"/>
        <v xml:space="preserve"> RossignolExperience 86 Ti176 Unisex</v>
      </c>
      <c r="DO1123" s="221"/>
    </row>
    <row r="1124" spans="2:119" ht="15.6" customHeight="1">
      <c r="B1124" s="219" t="b">
        <f t="array" ref="B1124">IF(OR(ISERROR(K1124:P1124)),FALSE,TRUE)</f>
        <v>1</v>
      </c>
      <c r="C1124" s="43" t="b">
        <f>OR(BR1124=Driver!$G$50,Data!BR269=Driver!$H$50)</f>
        <v>1</v>
      </c>
      <c r="D1124" s="43" t="b">
        <f>OR(BV1124=Driver!$G$51,BV1124=Driver!$H$51)</f>
        <v>1</v>
      </c>
      <c r="E1124" s="43" t="b">
        <f>AND(BX1124&gt;Driver!$F$54,BX1124&lt;Driver!$G$54)</f>
        <v>0</v>
      </c>
      <c r="F1124" s="43" t="b">
        <f>CL1124&gt;Driver!$F$56</f>
        <v>1</v>
      </c>
      <c r="G1124" s="43" t="b">
        <f>AND(CB1124&gt;Driver!$F$55,CB1124&lt;Driver!$G$55)</f>
        <v>0</v>
      </c>
      <c r="H1124" s="43" t="b">
        <f t="shared" si="629"/>
        <v>0</v>
      </c>
      <c r="I1124" s="43">
        <f t="shared" si="630"/>
        <v>0</v>
      </c>
      <c r="J1124" s="43" t="b">
        <f t="array" ref="J1124">NOT(OR(($H$9:$H$1273=TRUE)*($I$9:$I$1273&gt;0)*($BT$9:$BT$1273=BT1124)*($K$9:$K$1273&gt;K1124)))</f>
        <v>1</v>
      </c>
      <c r="K1124" s="72">
        <f t="shared" si="631"/>
        <v>0.77843144663090968</v>
      </c>
      <c r="L1124" s="72">
        <f t="shared" si="632"/>
        <v>0.98041116037324993</v>
      </c>
      <c r="M1124" s="72">
        <f t="shared" si="633"/>
        <v>0.57645173288856943</v>
      </c>
      <c r="N1124" s="72">
        <f t="shared" si="634"/>
        <v>0.35590897410958944</v>
      </c>
      <c r="O1124" s="72">
        <f t="shared" si="635"/>
        <v>0.6224947891296273</v>
      </c>
      <c r="P1124" s="72">
        <f t="shared" si="636"/>
        <v>0.75095143542649123</v>
      </c>
      <c r="Q1124" s="72"/>
      <c r="R1124" s="72"/>
      <c r="S1124" s="72">
        <f t="shared" si="637"/>
        <v>0.53838136989671959</v>
      </c>
      <c r="T1124" s="72">
        <f t="shared" si="638"/>
        <v>0.55024151301668323</v>
      </c>
      <c r="U1124" s="72">
        <f t="shared" si="639"/>
        <v>0.51</v>
      </c>
      <c r="V1124" s="72">
        <f t="shared" si="640"/>
        <v>0.49978533556888716</v>
      </c>
      <c r="W1124" s="72">
        <f t="shared" si="641"/>
        <v>0.75825513969425407</v>
      </c>
      <c r="X1124" s="72">
        <f t="shared" si="642"/>
        <v>1.9588839626750093E-2</v>
      </c>
      <c r="Y1124" s="72">
        <f t="shared" si="643"/>
        <v>0.42354826711143062</v>
      </c>
      <c r="Z1124" s="72">
        <f t="shared" si="644"/>
        <v>0.64409102589041056</v>
      </c>
      <c r="AA1124" s="72">
        <f t="shared" si="645"/>
        <v>0.3775052108703727</v>
      </c>
      <c r="AB1124" s="72">
        <f t="shared" si="646"/>
        <v>0.24904856457350871</v>
      </c>
      <c r="AC1124" s="72"/>
      <c r="AD1124" s="72"/>
      <c r="AE1124" s="72">
        <f t="shared" si="647"/>
        <v>0.46161863010328041</v>
      </c>
      <c r="AF1124" s="72">
        <f t="shared" si="648"/>
        <v>0.44975848698331677</v>
      </c>
      <c r="AG1124" s="72">
        <f t="shared" si="649"/>
        <v>0.49</v>
      </c>
      <c r="AH1124" s="72">
        <f t="shared" si="650"/>
        <v>0.50021466443111284</v>
      </c>
      <c r="AI1124" s="72">
        <f t="shared" si="651"/>
        <v>0.24174486030574591</v>
      </c>
      <c r="AJ1124" s="72">
        <f>(AV1124-Driver!$K$179)/(Driver!$L$179-Driver!$K$179)</f>
        <v>0.23463056965595033</v>
      </c>
      <c r="AK1124" s="72">
        <f>(AW1124-Driver!$K$180)/(Driver!$L$180-Driver!$K$180)</f>
        <v>0.53143583510199621</v>
      </c>
      <c r="AL1124" s="72">
        <f>(AX1124-Driver!$K$181)/(Driver!$L$181-Driver!$K$181)</f>
        <v>0.74577878960349075</v>
      </c>
      <c r="AM1124" s="72">
        <f>(AY1124-Driver!$K$182)/(Driver!$L$182-Driver!$K$182)</f>
        <v>6.9879810226673694E-2</v>
      </c>
      <c r="AN1124" s="72">
        <f>(AZ1124-Driver!$K$183)/(Driver!$L$183-Driver!$K$183)</f>
        <v>0.50326797385620914</v>
      </c>
      <c r="AO1124" s="72"/>
      <c r="AP1124" s="72"/>
      <c r="AQ1124" s="72">
        <f>(BC1124-Driver!$K$188)/(Driver!$L$188-Driver!$K$188)</f>
        <v>0.15838136989671958</v>
      </c>
      <c r="AR1124" s="72">
        <f>MIN((BD1124-Driver!$K$189)/(Driver!$L$189-Driver!$K$189),100%)</f>
        <v>0.10024151301668328</v>
      </c>
      <c r="AS1124" s="72">
        <f>(BE1124-Driver!$K$190)/(Driver!$L$190-Driver!$K$190)</f>
        <v>1</v>
      </c>
      <c r="AT1124" s="72">
        <f>(BF1124-Driver!$K$191)/(Driver!$L$191-Driver!$K$191)</f>
        <v>9.7853355688871137E-3</v>
      </c>
      <c r="AU1124" s="72">
        <f>(BG1124-Driver!$K$192)/(Driver!$L$192-Driver!$K$192)</f>
        <v>8.2551396942540864E-3</v>
      </c>
      <c r="AV1124" s="70">
        <f t="shared" si="652"/>
        <v>4.9382716049382713</v>
      </c>
      <c r="AW1124" s="70">
        <f t="shared" si="653"/>
        <v>53.665023752685862</v>
      </c>
      <c r="AX1124" s="70">
        <f t="shared" si="654"/>
        <v>7.7120091064314167</v>
      </c>
      <c r="AY1124" s="70">
        <f>IFERROR(Driver!$K$19/Data!BH1124/Data!BI1124*Data!BK1124*Data!BL1124,"")</f>
        <v>8.5553737840447078E-2</v>
      </c>
      <c r="AZ1124" s="70">
        <f t="shared" si="655"/>
        <v>45.867460908413996</v>
      </c>
      <c r="BA1124" s="70"/>
      <c r="BB1124" s="70"/>
      <c r="BC1124" s="70">
        <f t="shared" si="656"/>
        <v>82.153517614849008</v>
      </c>
      <c r="BD1124" s="70">
        <f t="shared" si="657"/>
        <v>10.59201916862331</v>
      </c>
      <c r="BE1124" s="70">
        <f t="shared" si="658"/>
        <v>1</v>
      </c>
      <c r="BF1124" s="70">
        <f t="shared" si="659"/>
        <v>1.1051849066326829</v>
      </c>
      <c r="BG1124" s="70">
        <f t="shared" si="660"/>
        <v>3.1259225092250931E-2</v>
      </c>
      <c r="BH1124" s="67">
        <f>MAX((CE1124-Driver!$F$200)/(Driver!$G$200-Driver!$F$200)*$BI$1,1)</f>
        <v>7.7120091064314167</v>
      </c>
      <c r="BI1124" s="67">
        <f>MAX($BI$1*(BY1124-Driver!$F$201)/(Driver!$G$201-Driver!$F$201),1)</f>
        <v>8.8607594936708853</v>
      </c>
      <c r="BJ1124" s="67">
        <f>(CB1124-Driver!$F$206)/(Driver!$G$206-Driver!$F$206)*$BI$1</f>
        <v>5.0793650793650791</v>
      </c>
      <c r="BK1124" s="67">
        <f>(CD1124-Driver!$F$203)/(Driver!$G$203-Driver!$F$203)*$BI$1</f>
        <v>4.0366972477064227</v>
      </c>
      <c r="BL1124" s="67">
        <f>MAX((CR1124-Driver!$F$202)/(Driver!$G$202-Driver!$F$202)*$BI$1,1)</f>
        <v>7.2413793103448274</v>
      </c>
      <c r="BM1124" s="67">
        <f>MAX((CH1124-Driver!$F$204)/(Driver!$G$204-Driver!$F$204)*$BI$1,1)</f>
        <v>3.8888888888888888</v>
      </c>
      <c r="BN1124" s="67">
        <f>(CI1124-Driver!$F$205)/(Driver!$G$205-Driver!$F$205)*$BI$1</f>
        <v>5.1764705882352944</v>
      </c>
      <c r="BO1124" s="67">
        <f>(CK1124-Driver!$F$207)/(Driver!$G$207-Driver!$F$207)*$BI$1</f>
        <v>0.80661840744570834</v>
      </c>
      <c r="BP1124" s="67">
        <f>(CM1124-Driver!$F$208)/(Driver!$G$208-Driver!$F$208)*$BI$1</f>
        <v>1.0888888888888888</v>
      </c>
      <c r="BQ1124" s="67">
        <f>(CL1124-Driver!$F$209)/(Driver!$G$209-Driver!$F$209)*$BI$1</f>
        <v>0.9375</v>
      </c>
      <c r="BR1124" s="28" t="s">
        <v>155</v>
      </c>
      <c r="BS1124" s="8" t="s">
        <v>317</v>
      </c>
      <c r="BT1124" s="9" t="s">
        <v>793</v>
      </c>
      <c r="BU1124" s="10">
        <v>177</v>
      </c>
      <c r="BV1124" s="9" t="s">
        <v>158</v>
      </c>
      <c r="BW1124" s="10">
        <v>177</v>
      </c>
      <c r="BX1124" s="10">
        <v>176.1</v>
      </c>
      <c r="BY1124" s="10">
        <v>148</v>
      </c>
      <c r="BZ1124" s="10">
        <v>151</v>
      </c>
      <c r="CA1124" s="10">
        <v>136</v>
      </c>
      <c r="CB1124" s="10">
        <v>96</v>
      </c>
      <c r="CC1124" s="10">
        <v>118</v>
      </c>
      <c r="CD1124" s="10">
        <v>18.2</v>
      </c>
      <c r="CE1124" s="10">
        <v>2255</v>
      </c>
      <c r="CF1124" s="10">
        <v>0.84</v>
      </c>
      <c r="CG1124" s="10">
        <v>1898</v>
      </c>
      <c r="CH1124" s="10">
        <v>192</v>
      </c>
      <c r="CI1124" s="10">
        <v>121</v>
      </c>
      <c r="CJ1124" s="10">
        <v>44</v>
      </c>
      <c r="CK1124" s="10">
        <v>188</v>
      </c>
      <c r="CL1124" s="10">
        <v>6</v>
      </c>
      <c r="CM1124" s="10">
        <v>98</v>
      </c>
      <c r="CN1124" s="10">
        <v>0.13300000000000001</v>
      </c>
      <c r="CO1124" s="10">
        <v>134</v>
      </c>
      <c r="CP1124" s="10">
        <v>113</v>
      </c>
      <c r="CQ1124" s="10">
        <v>54</v>
      </c>
      <c r="CR1124" s="10">
        <v>10</v>
      </c>
      <c r="CS1124" s="10">
        <v>11.3</v>
      </c>
      <c r="CT1124" s="9" t="s">
        <v>188</v>
      </c>
      <c r="CU1124" s="10"/>
      <c r="CV1124" s="10"/>
      <c r="CW1124" s="10"/>
      <c r="CX1124" t="str">
        <f>INDEX('Data_Price '!AG$2:AG$1266,MATCH(Data!$DN1124,'Data_Price '!$AT$2:$AT$1266,0))</f>
        <v>Blizzard Bonafide 97 21/22</v>
      </c>
      <c r="CY1124" t="str">
        <f>INDEX('Data_Price '!AH$2:AH$1266,MATCH(Data!$DN1124,'Data_Price '!$AT$2:$AT$1266,0))</f>
        <v>Snowcountry.eu</v>
      </c>
      <c r="CZ1124">
        <f>INDEX('Data_Price '!AI$2:AI$1266,MATCH(Data!$DN1124,'Data_Price '!$AT$2:$AT$1266,0))</f>
        <v>451.66</v>
      </c>
      <c r="DA1124" t="str">
        <f>INDEX('Data_Price '!AJ$2:AJ$1266,MATCH(Data!$DN1124,'Data_Price '!$AT$2:$AT$1266,0))</f>
        <v>https://tinyurl.com/y88pfavd</v>
      </c>
      <c r="DB1124" t="str">
        <f>INDEX('Data_Price '!AK$2:AK$1266,MATCH(Data!$DN1124,'Data_Price '!$AT$2:$AT$1266,0))</f>
        <v>Blizzard Bonafide 97 20/21</v>
      </c>
      <c r="DC1124" t="str">
        <f>INDEX('Data_Price '!AL$2:AL$1266,MATCH(Data!$DN1124,'Data_Price '!$AT$2:$AT$1266,0))</f>
        <v>Telemark Pyrenees</v>
      </c>
      <c r="DD1124">
        <f>INDEX('Data_Price '!AM$2:AM$1266,MATCH(Data!$DN1124,'Data_Price '!$AT$2:$AT$1266,0))</f>
        <v>476.66</v>
      </c>
      <c r="DE1124" t="str">
        <f>INDEX('Data_Price '!AN$2:AN$1266,MATCH(Data!$DN1124,'Data_Price '!$AT$2:$AT$1266,0))</f>
        <v>https://tinyurl.com/yaeq58js</v>
      </c>
      <c r="DF1124" t="str">
        <f>INDEX('Data_Price '!AO$2:AO$1266,MATCH(Data!$DN1124,'Data_Price '!$AT$2:$AT$1266,0))</f>
        <v>2022 Blizzard Bonafide 97 w/ Marker Griffon 13 Demo Bindings Grey/Orange / 177 / New</v>
      </c>
      <c r="DG1124" t="str">
        <f>INDEX('Data_Price '!AP$2:AP$1266,MATCH(Data!$DN1124,'Data_Price '!$AT$2:$AT$1266,0))</f>
        <v>Lone Pine Gear Exchange</v>
      </c>
      <c r="DH1124">
        <f>INDEX('Data_Price '!AQ$2:AQ$1266,MATCH(Data!$DN1124,'Data_Price '!$AT$2:$AT$1266,0))</f>
        <v>524.99</v>
      </c>
      <c r="DI1124" t="str">
        <f>INDEX('Data_Price '!AR$2:AR$1266,MATCH(Data!$DN1124,'Data_Price '!$AT$2:$AT$1266,0))</f>
        <v>https://tinyurl.com/ycbckfjl</v>
      </c>
      <c r="DJ1124" s="89" t="str">
        <f t="shared" si="661"/>
        <v>https://tinyurl.com/y88pfavd</v>
      </c>
      <c r="DK1124" s="89" t="str">
        <f t="shared" si="662"/>
        <v>https://tinyurl.com/yaeq58js</v>
      </c>
      <c r="DL1124" s="89" t="str">
        <f t="shared" si="663"/>
        <v>https://tinyurl.com/ycbckfjl</v>
      </c>
      <c r="DM1124" s="219" t="str">
        <f t="shared" si="664"/>
        <v>Bonafide 97</v>
      </c>
      <c r="DN1124" s="89" t="str">
        <f t="shared" si="665"/>
        <v xml:space="preserve"> BlizzardBonafide 97177 Unisex</v>
      </c>
      <c r="DO1124" s="221" t="s">
        <v>794</v>
      </c>
    </row>
    <row r="1125" spans="2:119" ht="15.6" customHeight="1">
      <c r="B1125" s="219" t="b">
        <f t="array" ref="B1125">IF(OR(ISERROR(K1125:P1125)),FALSE,TRUE)</f>
        <v>1</v>
      </c>
      <c r="C1125" s="43" t="b">
        <f>OR(BR1125=Driver!$G$50,Data!BR1266=Driver!$H$50)</f>
        <v>1</v>
      </c>
      <c r="D1125" s="43" t="b">
        <f>OR(BV1125=Driver!$G$51,BV1125=Driver!$H$51)</f>
        <v>0</v>
      </c>
      <c r="E1125" s="43" t="b">
        <f>AND(BX1125&gt;Driver!$F$54,BX1125&lt;Driver!$G$54)</f>
        <v>0</v>
      </c>
      <c r="F1125" s="43" t="b">
        <f>CL1125&gt;Driver!$F$56</f>
        <v>1</v>
      </c>
      <c r="G1125" s="43" t="b">
        <f>AND(CB1125&gt;Driver!$F$55,CB1125&lt;Driver!$G$55)</f>
        <v>0</v>
      </c>
      <c r="H1125" s="43" t="b">
        <f t="shared" si="629"/>
        <v>0</v>
      </c>
      <c r="I1125" s="43">
        <f t="shared" si="630"/>
        <v>0</v>
      </c>
      <c r="J1125" s="43" t="b">
        <f t="array" ref="J1125">NOT(OR(($H$9:$H$1273=TRUE)*($I$9:$I$1273&gt;0)*($BT$9:$BT$1273=BT1125)*($K$9:$K$1273&gt;K1125)))</f>
        <v>1</v>
      </c>
      <c r="K1125" s="72">
        <f t="shared" si="631"/>
        <v>0.81125189510274365</v>
      </c>
      <c r="L1125" s="72">
        <f t="shared" si="632"/>
        <v>0.79533340676757758</v>
      </c>
      <c r="M1125" s="72">
        <f t="shared" si="633"/>
        <v>0.82717038343790972</v>
      </c>
      <c r="N1125" s="72">
        <f t="shared" si="634"/>
        <v>0.9901986588506333</v>
      </c>
      <c r="O1125" s="72">
        <f t="shared" si="635"/>
        <v>0.62114464584383544</v>
      </c>
      <c r="P1125" s="72">
        <f t="shared" si="636"/>
        <v>0.87016784561926031</v>
      </c>
      <c r="Q1125" s="72"/>
      <c r="R1125" s="72"/>
      <c r="S1125" s="72">
        <f t="shared" si="637"/>
        <v>0.39494359908841137</v>
      </c>
      <c r="T1125" s="72">
        <f t="shared" si="638"/>
        <v>0.5000696686252748</v>
      </c>
      <c r="U1125" s="72">
        <f t="shared" si="639"/>
        <v>0.5973852030346305</v>
      </c>
      <c r="V1125" s="72">
        <f t="shared" si="640"/>
        <v>0.5239791786954564</v>
      </c>
      <c r="W1125" s="72">
        <f t="shared" si="641"/>
        <v>0.9433553681331206</v>
      </c>
      <c r="X1125" s="72">
        <f t="shared" si="642"/>
        <v>0.20466659323242245</v>
      </c>
      <c r="Y1125" s="72">
        <f t="shared" si="643"/>
        <v>0.17282961656209031</v>
      </c>
      <c r="Z1125" s="72">
        <f t="shared" si="644"/>
        <v>9.8013411493667602E-3</v>
      </c>
      <c r="AA1125" s="72">
        <f t="shared" si="645"/>
        <v>0.3788553541561645</v>
      </c>
      <c r="AB1125" s="72">
        <f t="shared" si="646"/>
        <v>0.12983215438073964</v>
      </c>
      <c r="AC1125" s="72"/>
      <c r="AD1125" s="72"/>
      <c r="AE1125" s="72">
        <f t="shared" si="647"/>
        <v>0.60505640091158863</v>
      </c>
      <c r="AF1125" s="72">
        <f t="shared" si="648"/>
        <v>0.49993033137472526</v>
      </c>
      <c r="AG1125" s="72">
        <f t="shared" si="649"/>
        <v>0.4026147969653695</v>
      </c>
      <c r="AH1125" s="72">
        <f t="shared" si="650"/>
        <v>0.4760208213045436</v>
      </c>
      <c r="AI1125" s="72">
        <f t="shared" si="651"/>
        <v>5.664463186687943E-2</v>
      </c>
      <c r="AJ1125" s="72">
        <f>(AV1125-Driver!$K$179)/(Driver!$L$179-Driver!$K$179)</f>
        <v>4.9552816050277976E-2</v>
      </c>
      <c r="AK1125" s="72">
        <f>(AW1125-Driver!$K$180)/(Driver!$L$180-Driver!$K$180)</f>
        <v>0.11672151486738568</v>
      </c>
      <c r="AL1125" s="72">
        <f>(AX1125-Driver!$K$181)/(Driver!$L$181-Driver!$K$181)</f>
        <v>9.1886422563713419E-2</v>
      </c>
      <c r="AM1125" s="72">
        <f>(AY1125-Driver!$K$182)/(Driver!$L$182-Driver!$K$182)</f>
        <v>6.8529666940881848E-2</v>
      </c>
      <c r="AN1125" s="72">
        <f>(AZ1125-Driver!$K$183)/(Driver!$L$183-Driver!$K$183)</f>
        <v>0.1243872549019608</v>
      </c>
      <c r="AO1125" s="72"/>
      <c r="AP1125" s="72"/>
      <c r="AQ1125" s="72">
        <f>(BC1125-Driver!$K$188)/(Driver!$L$188-Driver!$K$188)</f>
        <v>1.4943599088411405E-2</v>
      </c>
      <c r="AR1125" s="72">
        <f>MIN((BD1125-Driver!$K$189)/(Driver!$L$189-Driver!$K$189),100%)</f>
        <v>5.0069668625274788E-2</v>
      </c>
      <c r="AS1125" s="72">
        <f>(BE1125-Driver!$K$190)/(Driver!$L$190-Driver!$K$190)</f>
        <v>0.91261479696536951</v>
      </c>
      <c r="AT1125" s="72">
        <f>(BF1125-Driver!$K$191)/(Driver!$L$191-Driver!$K$191)</f>
        <v>3.3979178695456434E-2</v>
      </c>
      <c r="AU1125" s="72">
        <f>(BG1125-Driver!$K$192)/(Driver!$L$192-Driver!$K$192)</f>
        <v>0.19335536813312057</v>
      </c>
      <c r="AV1125" s="70">
        <f t="shared" si="652"/>
        <v>1.0429385429385429</v>
      </c>
      <c r="AW1125" s="70">
        <f t="shared" si="653"/>
        <v>13.247438503120053</v>
      </c>
      <c r="AX1125" s="70">
        <f t="shared" si="654"/>
        <v>1.8269778030734207</v>
      </c>
      <c r="AY1125" s="70">
        <f>IFERROR(Driver!$K$19/Data!BH1125/Data!BI1125*Data!BK1125*Data!BL1125,"")</f>
        <v>8.3900759614762316E-2</v>
      </c>
      <c r="AZ1125" s="70">
        <f t="shared" si="655"/>
        <v>11.33655994043187</v>
      </c>
      <c r="BA1125" s="70"/>
      <c r="BB1125" s="70"/>
      <c r="BC1125" s="70">
        <f t="shared" si="656"/>
        <v>7.751348733374452</v>
      </c>
      <c r="BD1125" s="70">
        <f t="shared" si="657"/>
        <v>6.1518998392314739</v>
      </c>
      <c r="BE1125" s="70">
        <f t="shared" si="658"/>
        <v>0.91263038550202857</v>
      </c>
      <c r="BF1125" s="70">
        <f t="shared" si="659"/>
        <v>3.8377095164110147</v>
      </c>
      <c r="BG1125" s="70">
        <f t="shared" si="660"/>
        <v>0.73216677114201045</v>
      </c>
      <c r="BH1125" s="67">
        <f>MAX((CE1125-Driver!$F$200)/(Driver!$G$200-Driver!$F$200)*$BI$1,1)</f>
        <v>1.8269778030734207</v>
      </c>
      <c r="BI1125" s="67">
        <f>MAX($BI$1*(BY1125-Driver!$F$201)/(Driver!$G$201-Driver!$F$201),1)</f>
        <v>6.6455696202531644</v>
      </c>
      <c r="BJ1125" s="67">
        <f>(CB1125-Driver!$F$206)/(Driver!$G$206-Driver!$F$206)*$BI$1</f>
        <v>2.3809523809523809</v>
      </c>
      <c r="BK1125" s="67">
        <f>(CD1125-Driver!$F$203)/(Driver!$G$203-Driver!$F$203)*$BI$1</f>
        <v>1.0550458715596327</v>
      </c>
      <c r="BL1125" s="67">
        <f>MAX((CR1125-Driver!$F$202)/(Driver!$G$202-Driver!$F$202)*$BI$1,1)</f>
        <v>4.8275862068965516</v>
      </c>
      <c r="BM1125" s="67">
        <f>MAX((CH1125-Driver!$F$204)/(Driver!$G$204-Driver!$F$204)*$BI$1,1)</f>
        <v>1.7521367521367521</v>
      </c>
      <c r="BN1125" s="67">
        <f>(CI1125-Driver!$F$205)/(Driver!$G$205-Driver!$F$205)*$BI$1</f>
        <v>1.7058823529411766</v>
      </c>
      <c r="BO1125" s="67">
        <f>(CK1125-Driver!$F$207)/(Driver!$G$207-Driver!$F$207)*$BI$1</f>
        <v>1.0341261633919339</v>
      </c>
      <c r="BP1125" s="67">
        <f>(CM1125-Driver!$F$208)/(Driver!$G$208-Driver!$F$208)*$BI$1</f>
        <v>1.6444444444444444</v>
      </c>
      <c r="BQ1125" s="67">
        <f>(CL1125-Driver!$F$209)/(Driver!$G$209-Driver!$F$209)*$BI$1</f>
        <v>2.34375</v>
      </c>
      <c r="BR1125" s="28" t="s">
        <v>155</v>
      </c>
      <c r="BS1125" s="8" t="s">
        <v>229</v>
      </c>
      <c r="BT1125" s="9" t="s">
        <v>807</v>
      </c>
      <c r="BU1125" s="10">
        <v>147</v>
      </c>
      <c r="BV1125" s="9" t="s">
        <v>163</v>
      </c>
      <c r="BW1125" s="10">
        <v>147</v>
      </c>
      <c r="BX1125" s="10">
        <v>148.80000000000001</v>
      </c>
      <c r="BY1125" s="10">
        <v>113</v>
      </c>
      <c r="BZ1125" s="10">
        <v>124</v>
      </c>
      <c r="CA1125" s="10">
        <v>120</v>
      </c>
      <c r="CB1125" s="10">
        <v>79</v>
      </c>
      <c r="CC1125" s="10">
        <v>102</v>
      </c>
      <c r="CD1125" s="10">
        <v>11.7</v>
      </c>
      <c r="CE1125" s="10">
        <v>1221</v>
      </c>
      <c r="CF1125" s="10">
        <v>1.1299999999999999</v>
      </c>
      <c r="CG1125" s="10">
        <v>1377</v>
      </c>
      <c r="CH1125" s="10">
        <v>142</v>
      </c>
      <c r="CI1125" s="10">
        <v>62</v>
      </c>
      <c r="CJ1125" s="10">
        <v>43</v>
      </c>
      <c r="CK1125" s="10">
        <v>210</v>
      </c>
      <c r="CL1125" s="10">
        <v>15</v>
      </c>
      <c r="CM1125" s="10">
        <v>148</v>
      </c>
      <c r="CN1125" s="10">
        <v>0.34300000000000003</v>
      </c>
      <c r="CO1125" s="10">
        <v>136</v>
      </c>
      <c r="CP1125" s="10">
        <v>108</v>
      </c>
      <c r="CQ1125" s="10">
        <v>74</v>
      </c>
      <c r="CR1125" s="10">
        <v>3</v>
      </c>
      <c r="CS1125" s="10">
        <v>11.2</v>
      </c>
      <c r="CT1125" s="9" t="s">
        <v>231</v>
      </c>
      <c r="CU1125" s="9" t="s">
        <v>185</v>
      </c>
      <c r="CV1125" s="10"/>
      <c r="CW1125" s="10"/>
      <c r="CX1125" t="e">
        <f>INDEX('Data_Price '!AG$2:AG$1266,MATCH(Data!$DN1125,'Data_Price '!$AT$2:$AT$1266,0))</f>
        <v>#N/A</v>
      </c>
      <c r="CY1125" t="e">
        <f>INDEX('Data_Price '!AH$2:AH$1266,MATCH(Data!$DN1125,'Data_Price '!$AT$2:$AT$1266,0))</f>
        <v>#N/A</v>
      </c>
      <c r="CZ1125" t="e">
        <f>INDEX('Data_Price '!AI$2:AI$1266,MATCH(Data!$DN1125,'Data_Price '!$AT$2:$AT$1266,0))</f>
        <v>#N/A</v>
      </c>
      <c r="DA1125" t="e">
        <f>INDEX('Data_Price '!AJ$2:AJ$1266,MATCH(Data!$DN1125,'Data_Price '!$AT$2:$AT$1266,0))</f>
        <v>#N/A</v>
      </c>
      <c r="DB1125" t="e">
        <f>INDEX('Data_Price '!AK$2:AK$1266,MATCH(Data!$DN1125,'Data_Price '!$AT$2:$AT$1266,0))</f>
        <v>#N/A</v>
      </c>
      <c r="DC1125" t="e">
        <f>INDEX('Data_Price '!AL$2:AL$1266,MATCH(Data!$DN1125,'Data_Price '!$AT$2:$AT$1266,0))</f>
        <v>#N/A</v>
      </c>
      <c r="DD1125" t="e">
        <f>INDEX('Data_Price '!AM$2:AM$1266,MATCH(Data!$DN1125,'Data_Price '!$AT$2:$AT$1266,0))</f>
        <v>#N/A</v>
      </c>
      <c r="DE1125" t="e">
        <f>INDEX('Data_Price '!AN$2:AN$1266,MATCH(Data!$DN1125,'Data_Price '!$AT$2:$AT$1266,0))</f>
        <v>#N/A</v>
      </c>
      <c r="DF1125" t="e">
        <f>INDEX('Data_Price '!AO$2:AO$1266,MATCH(Data!$DN1125,'Data_Price '!$AT$2:$AT$1266,0))</f>
        <v>#N/A</v>
      </c>
      <c r="DG1125" t="e">
        <f>INDEX('Data_Price '!AP$2:AP$1266,MATCH(Data!$DN1125,'Data_Price '!$AT$2:$AT$1266,0))</f>
        <v>#N/A</v>
      </c>
      <c r="DH1125" t="e">
        <f>INDEX('Data_Price '!AQ$2:AQ$1266,MATCH(Data!$DN1125,'Data_Price '!$AT$2:$AT$1266,0))</f>
        <v>#N/A</v>
      </c>
      <c r="DI1125" t="e">
        <f>INDEX('Data_Price '!AR$2:AR$1266,MATCH(Data!$DN1125,'Data_Price '!$AT$2:$AT$1266,0))</f>
        <v>#N/A</v>
      </c>
      <c r="DJ1125" s="89" t="e">
        <f t="shared" si="661"/>
        <v>#N/A</v>
      </c>
      <c r="DK1125" s="89" t="e">
        <f t="shared" si="662"/>
        <v>#N/A</v>
      </c>
      <c r="DL1125" s="89" t="e">
        <f t="shared" si="663"/>
        <v>#N/A</v>
      </c>
      <c r="DM1125" s="219" t="str">
        <f t="shared" si="664"/>
        <v>Yumi 80</v>
      </c>
      <c r="DN1125" s="89" t="str">
        <f t="shared" si="665"/>
        <v xml:space="preserve"> VölklYumi 80147 Women's</v>
      </c>
      <c r="DO1125" s="221"/>
    </row>
    <row r="1126" spans="2:119" ht="15.6" customHeight="1">
      <c r="B1126" s="219" t="b">
        <f t="array" ref="B1126">IF(OR(ISERROR(K1126:P1126)),FALSE,TRUE)</f>
        <v>1</v>
      </c>
      <c r="C1126" s="43" t="b">
        <f>OR(BR1126=Driver!$G$50,Data!BR1226=Driver!$H$50)</f>
        <v>1</v>
      </c>
      <c r="D1126" s="43" t="b">
        <f>OR(BV1126=Driver!$G$51,BV1126=Driver!$H$51)</f>
        <v>1</v>
      </c>
      <c r="E1126" s="43" t="b">
        <f>AND(BX1126&gt;Driver!$F$54,BX1126&lt;Driver!$G$54)</f>
        <v>0</v>
      </c>
      <c r="F1126" s="43" t="b">
        <f>CL1126&gt;Driver!$F$56</f>
        <v>1</v>
      </c>
      <c r="G1126" s="43" t="b">
        <f>AND(CB1126&gt;Driver!$F$55,CB1126&lt;Driver!$G$55)</f>
        <v>0</v>
      </c>
      <c r="H1126" s="43" t="b">
        <f t="shared" si="629"/>
        <v>0</v>
      </c>
      <c r="I1126" s="43">
        <f t="shared" si="630"/>
        <v>0</v>
      </c>
      <c r="J1126" s="43" t="b">
        <f t="array" ref="J1126">NOT(OR(($H$9:$H$1273=TRUE)*($I$9:$I$1273&gt;0)*($BT$9:$BT$1273=BT1126)*($K$9:$K$1273&gt;K1126)))</f>
        <v>1</v>
      </c>
      <c r="K1126" s="72">
        <f t="shared" si="631"/>
        <v>0.76650323060596648</v>
      </c>
      <c r="L1126" s="72">
        <f t="shared" si="632"/>
        <v>0.946991949770977</v>
      </c>
      <c r="M1126" s="72">
        <f t="shared" si="633"/>
        <v>0.58601451144095607</v>
      </c>
      <c r="N1126" s="72">
        <f t="shared" si="634"/>
        <v>0.46531262932997763</v>
      </c>
      <c r="O1126" s="72">
        <f t="shared" si="635"/>
        <v>0.63328273754025544</v>
      </c>
      <c r="P1126" s="72">
        <f t="shared" si="636"/>
        <v>0.65944816745263513</v>
      </c>
      <c r="Q1126" s="72"/>
      <c r="R1126" s="72"/>
      <c r="S1126" s="72">
        <f t="shared" si="637"/>
        <v>0.61339416152274329</v>
      </c>
      <c r="T1126" s="72">
        <f t="shared" si="638"/>
        <v>0.52098974899465356</v>
      </c>
      <c r="U1126" s="72">
        <f t="shared" si="639"/>
        <v>0.73911354839931009</v>
      </c>
      <c r="V1126" s="72">
        <f t="shared" si="640"/>
        <v>0.51124423149453224</v>
      </c>
      <c r="W1126" s="72">
        <f t="shared" si="641"/>
        <v>0.7651696174322149</v>
      </c>
      <c r="X1126" s="72">
        <f t="shared" si="642"/>
        <v>5.3008050229022996E-2</v>
      </c>
      <c r="Y1126" s="72">
        <f t="shared" si="643"/>
        <v>0.41398548855904393</v>
      </c>
      <c r="Z1126" s="72">
        <f t="shared" si="644"/>
        <v>0.53468737067002237</v>
      </c>
      <c r="AA1126" s="72">
        <f t="shared" si="645"/>
        <v>0.36671726245974456</v>
      </c>
      <c r="AB1126" s="72">
        <f t="shared" si="646"/>
        <v>0.34055183254736493</v>
      </c>
      <c r="AC1126" s="72"/>
      <c r="AD1126" s="72"/>
      <c r="AE1126" s="72">
        <f t="shared" si="647"/>
        <v>0.38660583847725671</v>
      </c>
      <c r="AF1126" s="72">
        <f t="shared" si="648"/>
        <v>0.4790102510053465</v>
      </c>
      <c r="AG1126" s="72">
        <f t="shared" si="649"/>
        <v>0.26088645160068991</v>
      </c>
      <c r="AH1126" s="72">
        <f t="shared" si="650"/>
        <v>0.48875576850546776</v>
      </c>
      <c r="AI1126" s="72">
        <f t="shared" si="651"/>
        <v>0.23483038256778507</v>
      </c>
      <c r="AJ1126" s="72">
        <f>(AV1126-Driver!$K$179)/(Driver!$L$179-Driver!$K$179)</f>
        <v>0.30722745951172342</v>
      </c>
      <c r="AK1126" s="72">
        <f>(AW1126-Driver!$K$180)/(Driver!$L$180-Driver!$K$180)</f>
        <v>0.60703812564305426</v>
      </c>
      <c r="AL1126" s="72">
        <f>(AX1126-Driver!$K$181)/(Driver!$L$181-Driver!$K$181)</f>
        <v>0.63637513438310256</v>
      </c>
      <c r="AM1126" s="72">
        <f>(AY1126-Driver!$K$182)/(Driver!$L$182-Driver!$K$182)</f>
        <v>8.0667758637301787E-2</v>
      </c>
      <c r="AN1126" s="72">
        <f>(AZ1126-Driver!$K$183)/(Driver!$L$183-Driver!$K$183)</f>
        <v>0.59477124183006536</v>
      </c>
      <c r="AO1126" s="72"/>
      <c r="AP1126" s="72"/>
      <c r="AQ1126" s="72">
        <f>(BC1126-Driver!$K$188)/(Driver!$L$188-Driver!$K$188)</f>
        <v>0.23339416152274328</v>
      </c>
      <c r="AR1126" s="72">
        <f>MIN((BD1126-Driver!$K$189)/(Driver!$L$189-Driver!$K$189),100%)</f>
        <v>7.0989748994653545E-2</v>
      </c>
      <c r="AS1126" s="72">
        <f>(BE1126-Driver!$K$190)/(Driver!$L$190-Driver!$K$190)</f>
        <v>0.24911354839931008</v>
      </c>
      <c r="AT1126" s="72">
        <f>(BF1126-Driver!$K$191)/(Driver!$L$191-Driver!$K$191)</f>
        <v>2.1244231494532272E-2</v>
      </c>
      <c r="AU1126" s="72">
        <f>(BG1126-Driver!$K$192)/(Driver!$L$192-Driver!$K$192)</f>
        <v>1.516961743221493E-2</v>
      </c>
      <c r="AV1126" s="70">
        <f t="shared" si="652"/>
        <v>6.4662189662189657</v>
      </c>
      <c r="AW1126" s="70">
        <f t="shared" si="653"/>
        <v>61.033136870354475</v>
      </c>
      <c r="AX1126" s="70">
        <f t="shared" si="654"/>
        <v>6.7273762094479226</v>
      </c>
      <c r="AY1126" s="70">
        <f>IFERROR(Driver!$K$19/Data!BH1126/Data!BI1126*Data!BK1126*Data!BL1126,"")</f>
        <v>9.8761405508194205E-2</v>
      </c>
      <c r="AZ1126" s="70">
        <f t="shared" si="655"/>
        <v>54.206999255398358</v>
      </c>
      <c r="BA1126" s="70"/>
      <c r="BB1126" s="70"/>
      <c r="BC1126" s="70">
        <f t="shared" si="656"/>
        <v>121.0631741117346</v>
      </c>
      <c r="BD1126" s="70">
        <f t="shared" si="657"/>
        <v>8.0032898837325188</v>
      </c>
      <c r="BE1126" s="70">
        <f t="shared" si="658"/>
        <v>0.24924749809068861</v>
      </c>
      <c r="BF1126" s="70">
        <f t="shared" si="659"/>
        <v>2.3993866981342564</v>
      </c>
      <c r="BG1126" s="70">
        <f t="shared" si="660"/>
        <v>5.7441848768106971E-2</v>
      </c>
      <c r="BH1126" s="67">
        <f>MAX((CE1126-Driver!$F$200)/(Driver!$G$200-Driver!$F$200)*$BI$1,1)</f>
        <v>6.7273762094479226</v>
      </c>
      <c r="BI1126" s="67">
        <f>MAX($BI$1*(BY1126-Driver!$F$201)/(Driver!$G$201-Driver!$F$201),1)</f>
        <v>8.2278481012658222</v>
      </c>
      <c r="BJ1126" s="67">
        <f>(CB1126-Driver!$F$206)/(Driver!$G$206-Driver!$F$206)*$BI$1</f>
        <v>4.92063492063492</v>
      </c>
      <c r="BK1126" s="67">
        <f>(CD1126-Driver!$F$203)/(Driver!$G$203-Driver!$F$203)*$BI$1</f>
        <v>4.954128440366973</v>
      </c>
      <c r="BL1126" s="67">
        <f>MAX((CR1126-Driver!$F$202)/(Driver!$G$202-Driver!$F$202)*$BI$1,1)</f>
        <v>5.5172413793103452</v>
      </c>
      <c r="BM1126" s="67">
        <f>MAX((CH1126-Driver!$F$204)/(Driver!$G$204-Driver!$F$204)*$BI$1,1)</f>
        <v>5.2564102564102564</v>
      </c>
      <c r="BN1126" s="67">
        <f>(CI1126-Driver!$F$205)/(Driver!$G$205-Driver!$F$205)*$BI$1</f>
        <v>6.5882352941176467</v>
      </c>
      <c r="BO1126" s="67">
        <f>(CK1126-Driver!$F$207)/(Driver!$G$207-Driver!$F$207)*$BI$1</f>
        <v>1.5098241985522234</v>
      </c>
      <c r="BP1126" s="67">
        <f>(CM1126-Driver!$F$208)/(Driver!$G$208-Driver!$F$208)*$BI$1</f>
        <v>1.6</v>
      </c>
      <c r="BQ1126" s="67">
        <f>(CL1126-Driver!$F$209)/(Driver!$G$209-Driver!$F$209)*$BI$1</f>
        <v>2.03125</v>
      </c>
      <c r="BR1126" s="28" t="s">
        <v>155</v>
      </c>
      <c r="BS1126" s="8" t="s">
        <v>229</v>
      </c>
      <c r="BT1126" s="9" t="s">
        <v>820</v>
      </c>
      <c r="BU1126" s="10">
        <v>177</v>
      </c>
      <c r="BV1126" s="9" t="s">
        <v>158</v>
      </c>
      <c r="BW1126" s="10">
        <v>177</v>
      </c>
      <c r="BX1126" s="10">
        <v>177.9</v>
      </c>
      <c r="BY1126" s="10">
        <v>138</v>
      </c>
      <c r="BZ1126" s="10">
        <v>155</v>
      </c>
      <c r="CA1126" s="10">
        <v>133</v>
      </c>
      <c r="CB1126" s="10">
        <v>95</v>
      </c>
      <c r="CC1126" s="10">
        <v>116</v>
      </c>
      <c r="CD1126" s="10">
        <v>20.2</v>
      </c>
      <c r="CE1126" s="10">
        <v>2082</v>
      </c>
      <c r="CF1126" s="10">
        <v>0.91</v>
      </c>
      <c r="CG1126" s="10">
        <v>1895</v>
      </c>
      <c r="CH1126" s="10">
        <v>224</v>
      </c>
      <c r="CI1126" s="10">
        <v>145</v>
      </c>
      <c r="CJ1126" s="10">
        <v>44</v>
      </c>
      <c r="CK1126" s="10">
        <v>256</v>
      </c>
      <c r="CL1126" s="10">
        <v>13</v>
      </c>
      <c r="CM1126" s="10">
        <v>144</v>
      </c>
      <c r="CN1126" s="10">
        <v>0.29499999999999998</v>
      </c>
      <c r="CO1126" s="10">
        <v>133</v>
      </c>
      <c r="CP1126" s="10">
        <v>95</v>
      </c>
      <c r="CQ1126" s="10">
        <v>123</v>
      </c>
      <c r="CR1126" s="10">
        <v>5</v>
      </c>
      <c r="CS1126" s="10">
        <v>11.6</v>
      </c>
      <c r="CT1126" s="9" t="s">
        <v>188</v>
      </c>
      <c r="CU1126" s="10"/>
      <c r="CV1126" s="10"/>
      <c r="CW1126" s="10"/>
      <c r="CX1126" t="e">
        <f>INDEX('Data_Price '!AG$2:AG$1266,MATCH(Data!$DN1126,'Data_Price '!$AT$2:$AT$1266,0))</f>
        <v>#N/A</v>
      </c>
      <c r="CY1126" t="e">
        <f>INDEX('Data_Price '!AH$2:AH$1266,MATCH(Data!$DN1126,'Data_Price '!$AT$2:$AT$1266,0))</f>
        <v>#N/A</v>
      </c>
      <c r="CZ1126" t="e">
        <f>INDEX('Data_Price '!AI$2:AI$1266,MATCH(Data!$DN1126,'Data_Price '!$AT$2:$AT$1266,0))</f>
        <v>#N/A</v>
      </c>
      <c r="DA1126" t="e">
        <f>INDEX('Data_Price '!AJ$2:AJ$1266,MATCH(Data!$DN1126,'Data_Price '!$AT$2:$AT$1266,0))</f>
        <v>#N/A</v>
      </c>
      <c r="DB1126" t="e">
        <f>INDEX('Data_Price '!AK$2:AK$1266,MATCH(Data!$DN1126,'Data_Price '!$AT$2:$AT$1266,0))</f>
        <v>#N/A</v>
      </c>
      <c r="DC1126" t="e">
        <f>INDEX('Data_Price '!AL$2:AL$1266,MATCH(Data!$DN1126,'Data_Price '!$AT$2:$AT$1266,0))</f>
        <v>#N/A</v>
      </c>
      <c r="DD1126" t="e">
        <f>INDEX('Data_Price '!AM$2:AM$1266,MATCH(Data!$DN1126,'Data_Price '!$AT$2:$AT$1266,0))</f>
        <v>#N/A</v>
      </c>
      <c r="DE1126" t="e">
        <f>INDEX('Data_Price '!AN$2:AN$1266,MATCH(Data!$DN1126,'Data_Price '!$AT$2:$AT$1266,0))</f>
        <v>#N/A</v>
      </c>
      <c r="DF1126" t="e">
        <f>INDEX('Data_Price '!AO$2:AO$1266,MATCH(Data!$DN1126,'Data_Price '!$AT$2:$AT$1266,0))</f>
        <v>#N/A</v>
      </c>
      <c r="DG1126" t="e">
        <f>INDEX('Data_Price '!AP$2:AP$1266,MATCH(Data!$DN1126,'Data_Price '!$AT$2:$AT$1266,0))</f>
        <v>#N/A</v>
      </c>
      <c r="DH1126" t="e">
        <f>INDEX('Data_Price '!AQ$2:AQ$1266,MATCH(Data!$DN1126,'Data_Price '!$AT$2:$AT$1266,0))</f>
        <v>#N/A</v>
      </c>
      <c r="DI1126" t="e">
        <f>INDEX('Data_Price '!AR$2:AR$1266,MATCH(Data!$DN1126,'Data_Price '!$AT$2:$AT$1266,0))</f>
        <v>#N/A</v>
      </c>
      <c r="DJ1126" s="89" t="e">
        <f t="shared" si="661"/>
        <v>#N/A</v>
      </c>
      <c r="DK1126" s="89" t="e">
        <f t="shared" si="662"/>
        <v>#N/A</v>
      </c>
      <c r="DL1126" s="89" t="e">
        <f t="shared" si="663"/>
        <v>#N/A</v>
      </c>
      <c r="DM1126" s="219" t="str">
        <f t="shared" si="664"/>
        <v>Mantra M5</v>
      </c>
      <c r="DN1126" s="89" t="str">
        <f t="shared" si="665"/>
        <v xml:space="preserve"> VölklMantra M5177 Unisex</v>
      </c>
      <c r="DO1126" s="221"/>
    </row>
    <row r="1127" spans="2:119" ht="15.6" customHeight="1">
      <c r="B1127" s="219" t="b">
        <f t="array" ref="B1127">IF(OR(ISERROR(K1127:P1127)),FALSE,TRUE)</f>
        <v>1</v>
      </c>
      <c r="C1127" s="43" t="b">
        <f>OR(BR1127=Driver!$G$50,Data!BR309=Driver!$H$50)</f>
        <v>1</v>
      </c>
      <c r="D1127" s="43" t="b">
        <f>OR(BV1127=Driver!$G$51,BV1127=Driver!$H$51)</f>
        <v>1</v>
      </c>
      <c r="E1127" s="43" t="b">
        <f>AND(BX1127&gt;Driver!$F$54,BX1127&lt;Driver!$G$54)</f>
        <v>1</v>
      </c>
      <c r="F1127" s="43" t="b">
        <f>CL1127&gt;Driver!$F$56</f>
        <v>1</v>
      </c>
      <c r="G1127" s="43" t="b">
        <f>AND(CB1127&gt;Driver!$F$55,CB1127&lt;Driver!$G$55)</f>
        <v>0</v>
      </c>
      <c r="H1127" s="43" t="b">
        <f t="shared" si="629"/>
        <v>0</v>
      </c>
      <c r="I1127" s="43">
        <f t="shared" si="630"/>
        <v>0</v>
      </c>
      <c r="J1127" s="43" t="b">
        <f t="array" ref="J1127">NOT(OR(($H$9:$H$1273=TRUE)*($I$9:$I$1273&gt;0)*($BT$9:$BT$1273=BT1127)*($K$9:$K$1273&gt;K1127)))</f>
        <v>1</v>
      </c>
      <c r="K1127" s="72">
        <f t="shared" si="631"/>
        <v>0.70513073386737068</v>
      </c>
      <c r="L1127" s="72">
        <f t="shared" si="632"/>
        <v>0.78365022249556082</v>
      </c>
      <c r="M1127" s="72">
        <f t="shared" si="633"/>
        <v>0.62661124523918077</v>
      </c>
      <c r="N1127" s="72">
        <f t="shared" si="634"/>
        <v>0.53614042924144301</v>
      </c>
      <c r="O1127" s="72">
        <f t="shared" si="635"/>
        <v>0.58931049850058836</v>
      </c>
      <c r="P1127" s="72">
        <f t="shared" si="636"/>
        <v>0.75438280797551094</v>
      </c>
      <c r="Q1127" s="72"/>
      <c r="R1127" s="72"/>
      <c r="S1127" s="72">
        <f t="shared" si="637"/>
        <v>0.50661880244914437</v>
      </c>
      <c r="T1127" s="72">
        <f t="shared" si="638"/>
        <v>0.55000000000000004</v>
      </c>
      <c r="U1127" s="72">
        <f t="shared" si="639"/>
        <v>0.51</v>
      </c>
      <c r="V1127" s="72">
        <f t="shared" si="640"/>
        <v>0.49078453856601867</v>
      </c>
      <c r="W1127" s="72">
        <f t="shared" si="641"/>
        <v>0.75843358520580639</v>
      </c>
      <c r="X1127" s="72">
        <f t="shared" si="642"/>
        <v>0.21634977750443921</v>
      </c>
      <c r="Y1127" s="72">
        <f t="shared" si="643"/>
        <v>0.37338875476081929</v>
      </c>
      <c r="Z1127" s="72">
        <f t="shared" si="644"/>
        <v>0.46385957075855699</v>
      </c>
      <c r="AA1127" s="72">
        <f t="shared" si="645"/>
        <v>0.41068950149941169</v>
      </c>
      <c r="AB1127" s="72">
        <f t="shared" si="646"/>
        <v>0.24561719202448906</v>
      </c>
      <c r="AC1127" s="72"/>
      <c r="AD1127" s="72"/>
      <c r="AE1127" s="72">
        <f t="shared" si="647"/>
        <v>0.49338119755085563</v>
      </c>
      <c r="AF1127" s="72">
        <f t="shared" si="648"/>
        <v>0.44999999999999996</v>
      </c>
      <c r="AG1127" s="72">
        <f t="shared" si="649"/>
        <v>0.49</v>
      </c>
      <c r="AH1127" s="72">
        <f t="shared" si="650"/>
        <v>0.50921546143398133</v>
      </c>
      <c r="AI1127" s="72">
        <f t="shared" si="651"/>
        <v>0.24156641479419366</v>
      </c>
      <c r="AJ1127" s="72">
        <f>(AV1127-Driver!$K$179)/(Driver!$L$179-Driver!$K$179)</f>
        <v>3.7869631778261213E-2</v>
      </c>
      <c r="AK1127" s="72">
        <f>(AW1127-Driver!$K$180)/(Driver!$L$180-Driver!$K$180)</f>
        <v>0.51116632611231394</v>
      </c>
      <c r="AL1127" s="72">
        <f>(AX1127-Driver!$K$181)/(Driver!$L$181-Driver!$K$181)</f>
        <v>0.56554733447163719</v>
      </c>
      <c r="AM1127" s="72">
        <f>(AY1127-Driver!$K$182)/(Driver!$L$182-Driver!$K$182)</f>
        <v>3.6695519597634681E-2</v>
      </c>
      <c r="AN1127" s="72">
        <f>(AZ1127-Driver!$K$183)/(Driver!$L$183-Driver!$K$183)</f>
        <v>0.49983660130718949</v>
      </c>
      <c r="AO1127" s="72"/>
      <c r="AP1127" s="72"/>
      <c r="AQ1127" s="72">
        <f>(BC1127-Driver!$K$188)/(Driver!$L$188-Driver!$K$188)</f>
        <v>0.12661880244914439</v>
      </c>
      <c r="AR1127" s="72">
        <f>MIN((BD1127-Driver!$K$189)/(Driver!$L$189-Driver!$K$189),100%)</f>
        <v>1</v>
      </c>
      <c r="AS1127" s="72">
        <f>(BE1127-Driver!$K$190)/(Driver!$L$190-Driver!$K$190)</f>
        <v>1</v>
      </c>
      <c r="AT1127" s="72">
        <f>(BF1127-Driver!$K$191)/(Driver!$L$191-Driver!$K$191)</f>
        <v>7.8453856601864666E-4</v>
      </c>
      <c r="AU1127" s="72">
        <f>(BG1127-Driver!$K$192)/(Driver!$L$192-Driver!$K$192)</f>
        <v>8.4335852058063238E-3</v>
      </c>
      <c r="AV1127" s="70">
        <f t="shared" si="652"/>
        <v>0.79704246370913034</v>
      </c>
      <c r="AW1127" s="70">
        <f t="shared" si="653"/>
        <v>51.68958049552063</v>
      </c>
      <c r="AX1127" s="70">
        <f t="shared" si="654"/>
        <v>6.089926010244735</v>
      </c>
      <c r="AY1127" s="70">
        <f>IFERROR(Driver!$K$19/Data!BH1127/Data!BI1127*Data!BK1127*Data!BL1127,"")</f>
        <v>4.4926264873808658E-2</v>
      </c>
      <c r="AZ1127" s="70">
        <f t="shared" si="655"/>
        <v>45.554728220402083</v>
      </c>
      <c r="BA1127" s="70"/>
      <c r="BB1127" s="70"/>
      <c r="BC1127" s="70">
        <f t="shared" si="656"/>
        <v>65.678053070005177</v>
      </c>
      <c r="BD1127" s="70">
        <f t="shared" si="657"/>
        <v>215.16338586540539</v>
      </c>
      <c r="BE1127" s="70">
        <f t="shared" si="658"/>
        <v>1</v>
      </c>
      <c r="BF1127" s="70">
        <f t="shared" si="659"/>
        <v>8.8608119336439639E-2</v>
      </c>
      <c r="BG1127" s="70">
        <f t="shared" si="660"/>
        <v>3.1934933634917485E-2</v>
      </c>
      <c r="BH1127" s="67">
        <f>MAX((CE1127-Driver!$F$200)/(Driver!$G$200-Driver!$F$200)*$BI$1,1)</f>
        <v>6.089926010244735</v>
      </c>
      <c r="BI1127" s="67">
        <f>MAX($BI$1*(BY1127-Driver!$F$201)/(Driver!$G$201-Driver!$F$201),1)</f>
        <v>8.4177215189873422</v>
      </c>
      <c r="BJ1127" s="67">
        <f>(CB1127-Driver!$F$206)/(Driver!$G$206-Driver!$F$206)*$BI$1</f>
        <v>0.79365079365079361</v>
      </c>
      <c r="BK1127" s="67">
        <f>(CD1127-Driver!$F$203)/(Driver!$G$203-Driver!$F$203)*$BI$1</f>
        <v>1.2844036697247705</v>
      </c>
      <c r="BL1127" s="67">
        <f>MAX((CR1127-Driver!$F$202)/(Driver!$G$202-Driver!$F$202)*$BI$1,1)</f>
        <v>8.9655172413793096</v>
      </c>
      <c r="BM1127" s="67">
        <f>MAX((CH1127-Driver!$F$204)/(Driver!$G$204-Driver!$F$204)*$BI$1,1)</f>
        <v>4.017094017094017</v>
      </c>
      <c r="BN1127" s="67">
        <f>(CI1127-Driver!$F$205)/(Driver!$G$205-Driver!$F$205)*$BI$1</f>
        <v>5.4117647058823524</v>
      </c>
      <c r="BO1127" s="67">
        <f>(CK1127-Driver!$F$207)/(Driver!$G$207-Driver!$F$207)*$BI$1</f>
        <v>0.26887280248190282</v>
      </c>
      <c r="BP1127" s="67">
        <f>(CM1127-Driver!$F$208)/(Driver!$G$208-Driver!$F$208)*$BI$1</f>
        <v>0.53333333333333333</v>
      </c>
      <c r="BQ1127" s="67">
        <f>(CL1127-Driver!$F$209)/(Driver!$G$209-Driver!$F$209)*$BI$1</f>
        <v>0.78125</v>
      </c>
      <c r="BR1127" s="28" t="s">
        <v>155</v>
      </c>
      <c r="BS1127" s="8" t="s">
        <v>317</v>
      </c>
      <c r="BT1127" s="9" t="s">
        <v>850</v>
      </c>
      <c r="BU1127" s="10">
        <v>160</v>
      </c>
      <c r="BV1127" s="9" t="s">
        <v>158</v>
      </c>
      <c r="BW1127" s="10">
        <v>160</v>
      </c>
      <c r="BX1127" s="10">
        <v>159.1</v>
      </c>
      <c r="BY1127" s="10">
        <v>141</v>
      </c>
      <c r="BZ1127" s="10">
        <v>146</v>
      </c>
      <c r="CA1127" s="10">
        <v>119</v>
      </c>
      <c r="CB1127" s="10">
        <v>69</v>
      </c>
      <c r="CC1127" s="10">
        <v>103</v>
      </c>
      <c r="CD1127" s="10">
        <v>12.2</v>
      </c>
      <c r="CE1127" s="10">
        <v>1970</v>
      </c>
      <c r="CF1127" s="10">
        <v>0.69</v>
      </c>
      <c r="CG1127" s="10">
        <v>1350</v>
      </c>
      <c r="CH1127" s="10">
        <v>195</v>
      </c>
      <c r="CI1127" s="10">
        <v>125</v>
      </c>
      <c r="CJ1127" s="10">
        <v>39</v>
      </c>
      <c r="CK1127" s="10">
        <v>136</v>
      </c>
      <c r="CL1127" s="10">
        <v>5</v>
      </c>
      <c r="CM1127" s="10">
        <v>48</v>
      </c>
      <c r="CN1127" s="10">
        <v>0.11700000000000001</v>
      </c>
      <c r="CO1127" s="10">
        <v>70</v>
      </c>
      <c r="CP1127" s="10">
        <v>57</v>
      </c>
      <c r="CQ1127" s="10">
        <v>66</v>
      </c>
      <c r="CR1127" s="10">
        <v>15</v>
      </c>
      <c r="CS1127" s="10">
        <v>11.8</v>
      </c>
      <c r="CT1127" s="9" t="s">
        <v>349</v>
      </c>
      <c r="CU1127" s="10"/>
      <c r="CV1127" s="10"/>
      <c r="CW1127" s="10"/>
      <c r="CX1127" t="str">
        <f>INDEX('Data_Price '!AG$2:AG$1266,MATCH(Data!$DN1127,'Data_Price '!$AT$2:$AT$1266,0))</f>
        <v>Blizzard Firebird SRC Skis W Marker X-Cell 14 Bindings 160cm 2022</v>
      </c>
      <c r="CY1127" t="str">
        <f>INDEX('Data_Price '!AH$2:AH$1266,MATCH(Data!$DN1127,'Data_Price '!$AT$2:$AT$1266,0))</f>
        <v>Powder7 Ski Shop</v>
      </c>
      <c r="CZ1127">
        <f>INDEX('Data_Price '!AI$2:AI$1266,MATCH(Data!$DN1127,'Data_Price '!$AT$2:$AT$1266,0))</f>
        <v>879.95</v>
      </c>
      <c r="DA1127" t="str">
        <f>INDEX('Data_Price '!AJ$2:AJ$1266,MATCH(Data!$DN1127,'Data_Price '!$AT$2:$AT$1266,0))</f>
        <v>https://tinyurl.com/yddmwayj</v>
      </c>
      <c r="DB1127" t="str">
        <f>INDEX('Data_Price '!AK$2:AK$1266,MATCH(Data!$DN1127,'Data_Price '!$AT$2:$AT$1266,0))</f>
        <v>Blizzard Ski Thermogel Tg3 ( 62" ) 160 + Poles 120cm / 48" + Fisher F9</v>
      </c>
      <c r="DC1127" t="str">
        <f>INDEX('Data_Price '!AL$2:AL$1266,MATCH(Data!$DN1127,'Data_Price '!$AT$2:$AT$1266,0))</f>
        <v>eBay - bookfinder09</v>
      </c>
      <c r="DD1127">
        <f>INDEX('Data_Price '!AM$2:AM$1266,MATCH(Data!$DN1127,'Data_Price '!$AT$2:$AT$1266,0))</f>
        <v>164.57</v>
      </c>
      <c r="DE1127" t="str">
        <f>INDEX('Data_Price '!AN$2:AN$1266,MATCH(Data!$DN1127,'Data_Price '!$AT$2:$AT$1266,0))</f>
        <v>https://tinyurl.com/y742dl6p</v>
      </c>
      <c r="DF1127" t="str">
        <f>INDEX('Data_Price '!AO$2:AO$1266,MATCH(Data!$DN1127,'Data_Price '!$AT$2:$AT$1266,0))</f>
        <v>Blizzard Cochise Team (Flat) - Orange 160</v>
      </c>
      <c r="DG1127" t="str">
        <f>INDEX('Data_Price '!AP$2:AP$1266,MATCH(Data!$DN1127,'Data_Price '!$AT$2:$AT$1266,0))</f>
        <v>eBay - grassisport</v>
      </c>
      <c r="DH1127">
        <f>INDEX('Data_Price '!AQ$2:AQ$1266,MATCH(Data!$DN1127,'Data_Price '!$AT$2:$AT$1266,0))</f>
        <v>205.28</v>
      </c>
      <c r="DI1127" t="str">
        <f>INDEX('Data_Price '!AR$2:AR$1266,MATCH(Data!$DN1127,'Data_Price '!$AT$2:$AT$1266,0))</f>
        <v>https://tinyurl.com/ybe3g4hd</v>
      </c>
      <c r="DJ1127" s="89" t="str">
        <f t="shared" si="661"/>
        <v>https://tinyurl.com/yddmwayj</v>
      </c>
      <c r="DK1127" s="89" t="str">
        <f t="shared" si="662"/>
        <v>https://tinyurl.com/y742dl6p</v>
      </c>
      <c r="DL1127" s="89" t="str">
        <f t="shared" si="663"/>
        <v>https://tinyurl.com/ybe3g4hd</v>
      </c>
      <c r="DM1127" s="219" t="str">
        <f t="shared" si="664"/>
        <v>SRC</v>
      </c>
      <c r="DN1127" s="89" t="str">
        <f t="shared" si="665"/>
        <v xml:space="preserve"> BlizzardSRC160 Unisex</v>
      </c>
      <c r="DO1127" s="221"/>
    </row>
    <row r="1128" spans="2:119" ht="15.6" customHeight="1">
      <c r="B1128" s="219" t="b">
        <f t="array" ref="B1128">IF(OR(ISERROR(K1128:P1128)),FALSE,TRUE)</f>
        <v>1</v>
      </c>
      <c r="C1128" s="43" t="b">
        <f>OR(BR1128=Driver!$G$50,Data!BR1249=Driver!$H$50)</f>
        <v>1</v>
      </c>
      <c r="D1128" s="43" t="b">
        <f>OR(BV1128=Driver!$G$51,BV1128=Driver!$H$51)</f>
        <v>0</v>
      </c>
      <c r="E1128" s="43" t="b">
        <f>AND(BX1128&gt;Driver!$F$54,BX1128&lt;Driver!$G$54)</f>
        <v>1</v>
      </c>
      <c r="F1128" s="43" t="b">
        <f>CL1128&gt;Driver!$F$56</f>
        <v>1</v>
      </c>
      <c r="G1128" s="43" t="b">
        <f>AND(CB1128&gt;Driver!$F$55,CB1128&lt;Driver!$G$55)</f>
        <v>0</v>
      </c>
      <c r="H1128" s="43" t="b">
        <f t="shared" si="629"/>
        <v>0</v>
      </c>
      <c r="I1128" s="43">
        <f t="shared" si="630"/>
        <v>0</v>
      </c>
      <c r="J1128" s="43" t="b">
        <f t="array" ref="J1128">NOT(OR(($H$9:$H$1273=TRUE)*($I$9:$I$1273&gt;0)*($BT$9:$BT$1273=BT1128)*($K$9:$K$1273&gt;K1128)))</f>
        <v>1</v>
      </c>
      <c r="K1128" s="72">
        <f t="shared" si="631"/>
        <v>0.84356321478059781</v>
      </c>
      <c r="L1128" s="72">
        <f t="shared" si="632"/>
        <v>0.8347339385538961</v>
      </c>
      <c r="M1128" s="72">
        <f t="shared" si="633"/>
        <v>0.85239249100729952</v>
      </c>
      <c r="N1128" s="72">
        <f t="shared" si="634"/>
        <v>0.95478475889490066</v>
      </c>
      <c r="O1128" s="72">
        <f t="shared" si="635"/>
        <v>0.70853205805022135</v>
      </c>
      <c r="P1128" s="72">
        <f t="shared" si="636"/>
        <v>0.89386065607677678</v>
      </c>
      <c r="Q1128" s="72"/>
      <c r="R1128" s="72"/>
      <c r="S1128" s="72">
        <f t="shared" si="637"/>
        <v>0.40998272037570282</v>
      </c>
      <c r="T1128" s="72">
        <f t="shared" si="638"/>
        <v>0.45305029210065795</v>
      </c>
      <c r="U1128" s="72">
        <f t="shared" si="639"/>
        <v>0.51</v>
      </c>
      <c r="V1128" s="72">
        <f t="shared" si="640"/>
        <v>0.50348123914742238</v>
      </c>
      <c r="W1128" s="72">
        <f t="shared" si="641"/>
        <v>0.81668632075471703</v>
      </c>
      <c r="X1128" s="72">
        <f t="shared" si="642"/>
        <v>0.16526606144610387</v>
      </c>
      <c r="Y1128" s="72">
        <f t="shared" si="643"/>
        <v>0.14760750899270045</v>
      </c>
      <c r="Z1128" s="72">
        <f t="shared" si="644"/>
        <v>4.5215241105099384E-2</v>
      </c>
      <c r="AA1128" s="72">
        <f t="shared" si="645"/>
        <v>0.29146794194977865</v>
      </c>
      <c r="AB1128" s="72">
        <f t="shared" si="646"/>
        <v>0.10613934392322327</v>
      </c>
      <c r="AC1128" s="72"/>
      <c r="AD1128" s="72"/>
      <c r="AE1128" s="72">
        <f t="shared" si="647"/>
        <v>0.59001727962429718</v>
      </c>
      <c r="AF1128" s="72">
        <f t="shared" si="648"/>
        <v>0.54694970789934205</v>
      </c>
      <c r="AG1128" s="72">
        <f t="shared" si="649"/>
        <v>0.49</v>
      </c>
      <c r="AH1128" s="72">
        <f t="shared" si="650"/>
        <v>0.49651876085257768</v>
      </c>
      <c r="AI1128" s="72">
        <f t="shared" si="651"/>
        <v>0.18331367924528302</v>
      </c>
      <c r="AJ1128" s="72">
        <f>(AV1128-Driver!$K$179)/(Driver!$L$179-Driver!$K$179)</f>
        <v>8.8953347836596558E-2</v>
      </c>
      <c r="AK1128" s="72">
        <f>(AW1128-Driver!$K$180)/(Driver!$L$180-Driver!$K$180)</f>
        <v>0.13670541268202388</v>
      </c>
      <c r="AL1128" s="72">
        <f>(AX1128-Driver!$K$181)/(Driver!$L$181-Driver!$K$181)</f>
        <v>5.6472522607980795E-2</v>
      </c>
      <c r="AM1128" s="72">
        <f>(AY1128-Driver!$K$182)/(Driver!$L$182-Driver!$K$182)</f>
        <v>0.15591707914726774</v>
      </c>
      <c r="AN1128" s="72">
        <f>(AZ1128-Driver!$K$183)/(Driver!$L$183-Driver!$K$183)</f>
        <v>0.14808006535947715</v>
      </c>
      <c r="AO1128" s="72"/>
      <c r="AP1128" s="72"/>
      <c r="AQ1128" s="72">
        <f>(BC1128-Driver!$K$188)/(Driver!$L$188-Driver!$K$188)</f>
        <v>2.9982720375702869E-2</v>
      </c>
      <c r="AR1128" s="72">
        <f>MIN((BD1128-Driver!$K$189)/(Driver!$L$189-Driver!$K$189),100%)</f>
        <v>3.0502921006579573E-3</v>
      </c>
      <c r="AS1128" s="72">
        <f>(BE1128-Driver!$K$190)/(Driver!$L$190-Driver!$K$190)</f>
        <v>1</v>
      </c>
      <c r="AT1128" s="72">
        <f>(BF1128-Driver!$K$191)/(Driver!$L$191-Driver!$K$191)</f>
        <v>1.3481239147422341E-2</v>
      </c>
      <c r="AU1128" s="72">
        <f>(BG1128-Driver!$K$192)/(Driver!$L$192-Driver!$K$192)</f>
        <v>6.6686320754716977E-2</v>
      </c>
      <c r="AV1128" s="70">
        <f t="shared" si="652"/>
        <v>1.8722018722018721</v>
      </c>
      <c r="AW1128" s="70">
        <f t="shared" si="653"/>
        <v>15.195046420504779</v>
      </c>
      <c r="AX1128" s="70">
        <f t="shared" si="654"/>
        <v>1.5082527034718272</v>
      </c>
      <c r="AY1128" s="70">
        <f>IFERROR(Driver!$K$19/Data!BH1128/Data!BI1128*Data!BK1128*Data!BL1128,"")</f>
        <v>0.19088902604263036</v>
      </c>
      <c r="AZ1128" s="70">
        <f t="shared" si="655"/>
        <v>13.495904690990322</v>
      </c>
      <c r="BA1128" s="70"/>
      <c r="BB1128" s="70"/>
      <c r="BC1128" s="70">
        <f t="shared" si="656"/>
        <v>15.552245495367544</v>
      </c>
      <c r="BD1128" s="70">
        <f t="shared" si="657"/>
        <v>1.9907683302081725</v>
      </c>
      <c r="BE1128" s="70">
        <f t="shared" si="658"/>
        <v>1</v>
      </c>
      <c r="BF1128" s="70">
        <f t="shared" si="659"/>
        <v>1.5226112506360701</v>
      </c>
      <c r="BG1128" s="70">
        <f t="shared" si="660"/>
        <v>0.2525169516509434</v>
      </c>
      <c r="BH1128" s="67">
        <f>MAX((CE1128-Driver!$F$200)/(Driver!$G$200-Driver!$F$200)*$BI$1,1)</f>
        <v>1.5082527034718272</v>
      </c>
      <c r="BI1128" s="67">
        <f>MAX($BI$1*(BY1128-Driver!$F$201)/(Driver!$G$201-Driver!$F$201),1)</f>
        <v>7.9113924050632916</v>
      </c>
      <c r="BJ1128" s="67">
        <f>(CB1128-Driver!$F$206)/(Driver!$G$206-Driver!$F$206)*$BI$1</f>
        <v>3.6507936507936507</v>
      </c>
      <c r="BK1128" s="67">
        <f>(CD1128-Driver!$F$203)/(Driver!$G$203-Driver!$F$203)*$BI$1</f>
        <v>2.2018348623853208</v>
      </c>
      <c r="BL1128" s="67">
        <f>MAX((CR1128-Driver!$F$202)/(Driver!$G$202-Driver!$F$202)*$BI$1,1)</f>
        <v>5.1724137931034484</v>
      </c>
      <c r="BM1128" s="67">
        <f>MAX((CH1128-Driver!$F$204)/(Driver!$G$204-Driver!$F$204)*$BI$1,1)</f>
        <v>2.0512820512820511</v>
      </c>
      <c r="BN1128" s="67">
        <f>(CI1128-Driver!$F$205)/(Driver!$G$205-Driver!$F$205)*$BI$1</f>
        <v>1.7058823529411766</v>
      </c>
      <c r="BO1128" s="67">
        <f>(CK1128-Driver!$F$207)/(Driver!$G$207-Driver!$F$207)*$BI$1</f>
        <v>1.1478800413650465</v>
      </c>
      <c r="BP1128" s="67">
        <f>(CM1128-Driver!$F$208)/(Driver!$G$208-Driver!$F$208)*$BI$1</f>
        <v>0.8</v>
      </c>
      <c r="BQ1128" s="67">
        <f>(CL1128-Driver!$F$209)/(Driver!$G$209-Driver!$F$209)*$BI$1</f>
        <v>0.78125</v>
      </c>
      <c r="BR1128" s="28" t="s">
        <v>155</v>
      </c>
      <c r="BS1128" s="8" t="s">
        <v>229</v>
      </c>
      <c r="BT1128" s="9" t="s">
        <v>855</v>
      </c>
      <c r="BU1128" s="10">
        <v>163</v>
      </c>
      <c r="BV1128" s="9" t="s">
        <v>163</v>
      </c>
      <c r="BW1128" s="10">
        <v>163</v>
      </c>
      <c r="BX1128" s="10">
        <v>162.1</v>
      </c>
      <c r="BY1128" s="10">
        <v>133</v>
      </c>
      <c r="BZ1128" s="10">
        <v>140</v>
      </c>
      <c r="CA1128" s="10">
        <v>130</v>
      </c>
      <c r="CB1128" s="10">
        <v>87</v>
      </c>
      <c r="CC1128" s="10">
        <v>111</v>
      </c>
      <c r="CD1128" s="10">
        <v>14.2</v>
      </c>
      <c r="CE1128" s="10">
        <v>1165</v>
      </c>
      <c r="CF1128" s="10">
        <v>1.4</v>
      </c>
      <c r="CG1128" s="10">
        <v>1630</v>
      </c>
      <c r="CH1128" s="10">
        <v>149</v>
      </c>
      <c r="CI1128" s="10">
        <v>62</v>
      </c>
      <c r="CJ1128" s="10">
        <v>43</v>
      </c>
      <c r="CK1128" s="10">
        <v>221</v>
      </c>
      <c r="CL1128" s="10">
        <v>5</v>
      </c>
      <c r="CM1128" s="10">
        <v>72</v>
      </c>
      <c r="CN1128" s="10">
        <v>0.113</v>
      </c>
      <c r="CO1128" s="10">
        <v>130</v>
      </c>
      <c r="CP1128" s="10">
        <v>95</v>
      </c>
      <c r="CQ1128" s="10">
        <v>91</v>
      </c>
      <c r="CR1128" s="10">
        <v>4</v>
      </c>
      <c r="CS1128" s="10">
        <v>10.8</v>
      </c>
      <c r="CT1128" s="9" t="s">
        <v>185</v>
      </c>
      <c r="CU1128" s="9" t="s">
        <v>198</v>
      </c>
      <c r="CV1128" s="10"/>
      <c r="CW1128" s="10"/>
      <c r="CX1128" t="e">
        <f>INDEX('Data_Price '!AG$2:AG$1266,MATCH(Data!$DN1128,'Data_Price '!$AT$2:$AT$1266,0))</f>
        <v>#N/A</v>
      </c>
      <c r="CY1128" t="e">
        <f>INDEX('Data_Price '!AH$2:AH$1266,MATCH(Data!$DN1128,'Data_Price '!$AT$2:$AT$1266,0))</f>
        <v>#N/A</v>
      </c>
      <c r="CZ1128" t="e">
        <f>INDEX('Data_Price '!AI$2:AI$1266,MATCH(Data!$DN1128,'Data_Price '!$AT$2:$AT$1266,0))</f>
        <v>#N/A</v>
      </c>
      <c r="DA1128" t="e">
        <f>INDEX('Data_Price '!AJ$2:AJ$1266,MATCH(Data!$DN1128,'Data_Price '!$AT$2:$AT$1266,0))</f>
        <v>#N/A</v>
      </c>
      <c r="DB1128" t="e">
        <f>INDEX('Data_Price '!AK$2:AK$1266,MATCH(Data!$DN1128,'Data_Price '!$AT$2:$AT$1266,0))</f>
        <v>#N/A</v>
      </c>
      <c r="DC1128" t="e">
        <f>INDEX('Data_Price '!AL$2:AL$1266,MATCH(Data!$DN1128,'Data_Price '!$AT$2:$AT$1266,0))</f>
        <v>#N/A</v>
      </c>
      <c r="DD1128" t="e">
        <f>INDEX('Data_Price '!AM$2:AM$1266,MATCH(Data!$DN1128,'Data_Price '!$AT$2:$AT$1266,0))</f>
        <v>#N/A</v>
      </c>
      <c r="DE1128" t="e">
        <f>INDEX('Data_Price '!AN$2:AN$1266,MATCH(Data!$DN1128,'Data_Price '!$AT$2:$AT$1266,0))</f>
        <v>#N/A</v>
      </c>
      <c r="DF1128" t="e">
        <f>INDEX('Data_Price '!AO$2:AO$1266,MATCH(Data!$DN1128,'Data_Price '!$AT$2:$AT$1266,0))</f>
        <v>#N/A</v>
      </c>
      <c r="DG1128" t="e">
        <f>INDEX('Data_Price '!AP$2:AP$1266,MATCH(Data!$DN1128,'Data_Price '!$AT$2:$AT$1266,0))</f>
        <v>#N/A</v>
      </c>
      <c r="DH1128" t="e">
        <f>INDEX('Data_Price '!AQ$2:AQ$1266,MATCH(Data!$DN1128,'Data_Price '!$AT$2:$AT$1266,0))</f>
        <v>#N/A</v>
      </c>
      <c r="DI1128" t="e">
        <f>INDEX('Data_Price '!AR$2:AR$1266,MATCH(Data!$DN1128,'Data_Price '!$AT$2:$AT$1266,0))</f>
        <v>#N/A</v>
      </c>
      <c r="DJ1128" s="89" t="e">
        <f t="shared" si="661"/>
        <v>#N/A</v>
      </c>
      <c r="DK1128" s="89" t="e">
        <f t="shared" si="662"/>
        <v>#N/A</v>
      </c>
      <c r="DL1128" s="89" t="e">
        <f t="shared" si="663"/>
        <v>#N/A</v>
      </c>
      <c r="DM1128" s="219" t="str">
        <f t="shared" si="664"/>
        <v>Rise Above 88 W</v>
      </c>
      <c r="DN1128" s="89" t="str">
        <f t="shared" si="665"/>
        <v xml:space="preserve"> VölklRise Above 88 W163 Women's</v>
      </c>
      <c r="DO1128" s="221"/>
    </row>
    <row r="1129" spans="2:119" ht="15.6" customHeight="1">
      <c r="B1129" s="219" t="b">
        <f t="array" ref="B1129">IF(OR(ISERROR(K1129:P1129)),FALSE,TRUE)</f>
        <v>1</v>
      </c>
      <c r="C1129" s="43" t="b">
        <f>OR(BR1129=Driver!$G$50,Data!BR931=Driver!$H$50)</f>
        <v>1</v>
      </c>
      <c r="D1129" s="43" t="b">
        <f>OR(BV1129=Driver!$G$51,BV1129=Driver!$H$51)</f>
        <v>1</v>
      </c>
      <c r="E1129" s="43" t="b">
        <f>AND(BX1129&gt;Driver!$F$54,BX1129&lt;Driver!$G$54)</f>
        <v>0</v>
      </c>
      <c r="F1129" s="43" t="b">
        <f>CL1129&gt;Driver!$F$56</f>
        <v>1</v>
      </c>
      <c r="G1129" s="43" t="b">
        <f>AND(CB1129&gt;Driver!$F$55,CB1129&lt;Driver!$G$55)</f>
        <v>0</v>
      </c>
      <c r="H1129" s="43" t="b">
        <f t="shared" si="629"/>
        <v>0</v>
      </c>
      <c r="I1129" s="43">
        <f t="shared" si="630"/>
        <v>0</v>
      </c>
      <c r="J1129" s="43" t="b">
        <f t="array" ref="J1129">NOT(OR(($H$9:$H$1273=TRUE)*($I$9:$I$1273&gt;0)*($BT$9:$BT$1273=BT1129)*($K$9:$K$1273&gt;K1129)))</f>
        <v>1</v>
      </c>
      <c r="K1129" s="72">
        <f t="shared" si="631"/>
        <v>0.8034564370918843</v>
      </c>
      <c r="L1129" s="72">
        <f t="shared" si="632"/>
        <v>0.7778328024649428</v>
      </c>
      <c r="M1129" s="72">
        <f t="shared" si="633"/>
        <v>0.82908007171882581</v>
      </c>
      <c r="N1129" s="72">
        <f t="shared" si="634"/>
        <v>0.92253137340131142</v>
      </c>
      <c r="O1129" s="72">
        <f t="shared" si="635"/>
        <v>0.70316027718165719</v>
      </c>
      <c r="P1129" s="72">
        <f t="shared" si="636"/>
        <v>0.8615485645735087</v>
      </c>
      <c r="Q1129" s="72"/>
      <c r="R1129" s="72"/>
      <c r="S1129" s="72">
        <f t="shared" si="637"/>
        <v>0.40840083402063265</v>
      </c>
      <c r="T1129" s="72">
        <f t="shared" si="638"/>
        <v>0.46509396647265455</v>
      </c>
      <c r="U1129" s="72">
        <f t="shared" si="639"/>
        <v>0.98312878082975441</v>
      </c>
      <c r="V1129" s="72">
        <f t="shared" si="640"/>
        <v>0.49814866010688641</v>
      </c>
      <c r="W1129" s="72">
        <f t="shared" si="641"/>
        <v>0.6023965141612202</v>
      </c>
      <c r="X1129" s="72">
        <f t="shared" si="642"/>
        <v>0.2221671975350572</v>
      </c>
      <c r="Y1129" s="72">
        <f t="shared" si="643"/>
        <v>0.17091992828117422</v>
      </c>
      <c r="Z1129" s="72">
        <f t="shared" si="644"/>
        <v>7.7468626598688625E-2</v>
      </c>
      <c r="AA1129" s="72">
        <f t="shared" si="645"/>
        <v>0.29683972281834281</v>
      </c>
      <c r="AB1129" s="72">
        <f t="shared" si="646"/>
        <v>0.13845143542649127</v>
      </c>
      <c r="AC1129" s="72"/>
      <c r="AD1129" s="72"/>
      <c r="AE1129" s="72">
        <f t="shared" si="647"/>
        <v>0.59159916597936735</v>
      </c>
      <c r="AF1129" s="72">
        <f t="shared" si="648"/>
        <v>0.53490603352734545</v>
      </c>
      <c r="AG1129" s="72">
        <f t="shared" si="649"/>
        <v>1.6871219170245588E-2</v>
      </c>
      <c r="AH1129" s="72">
        <f t="shared" si="650"/>
        <v>0.50185133989311359</v>
      </c>
      <c r="AI1129" s="72">
        <f t="shared" si="651"/>
        <v>0.3976034858387798</v>
      </c>
      <c r="AJ1129" s="72">
        <f>(AV1129-Driver!$K$179)/(Driver!$L$179-Driver!$K$179)</f>
        <v>3.2052211747643215E-2</v>
      </c>
      <c r="AK1129" s="72">
        <f>(AW1129-Driver!$K$180)/(Driver!$L$180-Driver!$K$180)</f>
        <v>0.11775052941203115</v>
      </c>
      <c r="AL1129" s="72">
        <f>(AX1129-Driver!$K$181)/(Driver!$L$181-Driver!$K$181)</f>
        <v>0.1791563903117688</v>
      </c>
      <c r="AM1129" s="72">
        <f>(AY1129-Driver!$K$182)/(Driver!$L$182-Driver!$K$182)</f>
        <v>0.15054529827870358</v>
      </c>
      <c r="AN1129" s="72">
        <f>(AZ1129-Driver!$K$183)/(Driver!$L$183-Driver!$K$183)</f>
        <v>0.11576797385620916</v>
      </c>
      <c r="AO1129" s="72"/>
      <c r="AP1129" s="72"/>
      <c r="AQ1129" s="72">
        <f>(BC1129-Driver!$K$188)/(Driver!$L$188-Driver!$K$188)</f>
        <v>2.8400834020632669E-2</v>
      </c>
      <c r="AR1129" s="72">
        <f>MIN((BD1129-Driver!$K$189)/(Driver!$L$189-Driver!$K$189),100%)</f>
        <v>1.5093966472654582E-2</v>
      </c>
      <c r="AS1129" s="72">
        <f>(BE1129-Driver!$K$190)/(Driver!$L$190-Driver!$K$190)</f>
        <v>0.5268712191702456</v>
      </c>
      <c r="AT1129" s="72">
        <f>(BF1129-Driver!$K$191)/(Driver!$L$191-Driver!$K$191)</f>
        <v>8.1486601068863889E-3</v>
      </c>
      <c r="AU1129" s="72">
        <f>(BG1129-Driver!$K$192)/(Driver!$L$192-Driver!$K$192)</f>
        <v>0.6476034858387798</v>
      </c>
      <c r="AV1129" s="70">
        <f t="shared" si="652"/>
        <v>0.67460317460317454</v>
      </c>
      <c r="AW1129" s="70">
        <f t="shared" si="653"/>
        <v>13.347725088492179</v>
      </c>
      <c r="AX1129" s="70">
        <f t="shared" si="654"/>
        <v>2.6124075128059192</v>
      </c>
      <c r="AY1129" s="70">
        <f>IFERROR(Driver!$K$19/Data!BH1129/Data!BI1129*Data!BK1129*Data!BL1129,"")</f>
        <v>0.18431236347479121</v>
      </c>
      <c r="AZ1129" s="70">
        <f t="shared" si="655"/>
        <v>10.551005212211468</v>
      </c>
      <c r="BA1129" s="70"/>
      <c r="BB1129" s="70"/>
      <c r="BC1129" s="70">
        <f t="shared" si="656"/>
        <v>14.731710045897103</v>
      </c>
      <c r="BD1129" s="70">
        <f t="shared" si="657"/>
        <v>3.0566121720016484</v>
      </c>
      <c r="BE1129" s="70">
        <f t="shared" si="658"/>
        <v>0.5269556200194544</v>
      </c>
      <c r="BF1129" s="70">
        <f t="shared" si="659"/>
        <v>0.92033391149557964</v>
      </c>
      <c r="BG1129" s="70">
        <f t="shared" si="660"/>
        <v>2.4522399237472765</v>
      </c>
      <c r="BH1129" s="67">
        <f>MAX((CE1129-Driver!$F$200)/(Driver!$G$200-Driver!$F$200)*$BI$1,1)</f>
        <v>2.6124075128059192</v>
      </c>
      <c r="BI1129" s="67">
        <f>MAX($BI$1*(BY1129-Driver!$F$201)/(Driver!$G$201-Driver!$F$201),1)</f>
        <v>6.8987341772151902</v>
      </c>
      <c r="BJ1129" s="67">
        <f>(CB1129-Driver!$F$206)/(Driver!$G$206-Driver!$F$206)*$BI$1</f>
        <v>2.6984126984126982</v>
      </c>
      <c r="BK1129" s="67">
        <f>(CD1129-Driver!$F$203)/(Driver!$G$203-Driver!$F$203)*$BI$1</f>
        <v>2.2935779816513766</v>
      </c>
      <c r="BL1129" s="67">
        <f>MAX((CR1129-Driver!$F$202)/(Driver!$G$202-Driver!$F$202)*$BI$1,1)</f>
        <v>7.2413793103448274</v>
      </c>
      <c r="BM1129" s="67">
        <f>MAX((CH1129-Driver!$F$204)/(Driver!$G$204-Driver!$F$204)*$BI$1,1)</f>
        <v>1</v>
      </c>
      <c r="BN1129" s="67">
        <f>(CI1129-Driver!$F$205)/(Driver!$G$205-Driver!$F$205)*$BI$1</f>
        <v>1.5294117647058825</v>
      </c>
      <c r="BO1129" s="67">
        <f>(CK1129-Driver!$F$207)/(Driver!$G$207-Driver!$F$207)*$BI$1</f>
        <v>0.47569803516028958</v>
      </c>
      <c r="BP1129" s="67">
        <f>(CM1129-Driver!$F$208)/(Driver!$G$208-Driver!$F$208)*$BI$1</f>
        <v>1.6444444444444444</v>
      </c>
      <c r="BQ1129" s="67">
        <f>(CL1129-Driver!$F$209)/(Driver!$G$209-Driver!$F$209)*$BI$1</f>
        <v>6.40625</v>
      </c>
      <c r="BR1129" s="28" t="s">
        <v>155</v>
      </c>
      <c r="BS1129" s="8" t="s">
        <v>332</v>
      </c>
      <c r="BT1129" s="9" t="s">
        <v>454</v>
      </c>
      <c r="BU1129" s="10">
        <v>149</v>
      </c>
      <c r="BV1129" s="9" t="s">
        <v>158</v>
      </c>
      <c r="BW1129" s="10">
        <v>149</v>
      </c>
      <c r="BX1129" s="10">
        <v>147.30000000000001</v>
      </c>
      <c r="BY1129" s="10">
        <v>117</v>
      </c>
      <c r="BZ1129" s="10">
        <v>131</v>
      </c>
      <c r="CA1129" s="10">
        <v>115</v>
      </c>
      <c r="CB1129" s="10">
        <v>81</v>
      </c>
      <c r="CC1129" s="10">
        <v>106</v>
      </c>
      <c r="CD1129" s="10">
        <v>14.4</v>
      </c>
      <c r="CE1129" s="10">
        <v>1359</v>
      </c>
      <c r="CF1129" s="10">
        <v>0.99</v>
      </c>
      <c r="CG1129" s="10">
        <v>1352</v>
      </c>
      <c r="CH1129" s="10">
        <v>114</v>
      </c>
      <c r="CI1129" s="10">
        <v>59</v>
      </c>
      <c r="CJ1129" s="10">
        <v>47</v>
      </c>
      <c r="CK1129" s="10">
        <v>156</v>
      </c>
      <c r="CL1129" s="10">
        <v>41</v>
      </c>
      <c r="CM1129" s="10">
        <v>148</v>
      </c>
      <c r="CN1129" s="10">
        <v>0.86299999999999999</v>
      </c>
      <c r="CO1129" s="10">
        <v>91</v>
      </c>
      <c r="CP1129" s="10">
        <v>76</v>
      </c>
      <c r="CQ1129" s="10">
        <v>65</v>
      </c>
      <c r="CR1129" s="10">
        <v>10</v>
      </c>
      <c r="CS1129" s="10">
        <v>8.1999999999999993</v>
      </c>
      <c r="CT1129" s="9" t="s">
        <v>184</v>
      </c>
      <c r="CU1129" s="10"/>
      <c r="CV1129" s="10"/>
      <c r="CW1129" s="10"/>
      <c r="CX1129" t="str">
        <f>INDEX('Data_Price '!AG$2:AG$1266,MATCH(Data!$DN1129,'Data_Price '!$AT$2:$AT$1266,0))</f>
        <v>Nordica Soul Rider 84 Blue Green / 149cm</v>
      </c>
      <c r="CY1129" t="str">
        <f>INDEX('Data_Price '!AH$2:AH$1266,MATCH(Data!$DN1129,'Data_Price '!$AT$2:$AT$1266,0))</f>
        <v>Sundance Ski and Board Shop</v>
      </c>
      <c r="CZ1129">
        <f>INDEX('Data_Price '!AI$2:AI$1266,MATCH(Data!$DN1129,'Data_Price '!$AT$2:$AT$1266,0))</f>
        <v>320.57</v>
      </c>
      <c r="DA1129" t="str">
        <f>INDEX('Data_Price '!AJ$2:AJ$1266,MATCH(Data!$DN1129,'Data_Price '!$AT$2:$AT$1266,0))</f>
        <v>https://tinyurl.com/yarrpyxk</v>
      </c>
      <c r="DB1129" t="str">
        <f>INDEX('Data_Price '!AK$2:AK$1266,MATCH(Data!$DN1129,'Data_Price '!$AT$2:$AT$1266,0))</f>
        <v>Nordica Soul Rider 84 Mens Ski 2021</v>
      </c>
      <c r="DC1129" t="str">
        <f>INDEX('Data_Price '!AL$2:AL$1266,MATCH(Data!$DN1129,'Data_Price '!$AT$2:$AT$1266,0))</f>
        <v>BobsSportsChalet.com</v>
      </c>
      <c r="DD1129">
        <f>INDEX('Data_Price '!AM$2:AM$1266,MATCH(Data!$DN1129,'Data_Price '!$AT$2:$AT$1266,0))</f>
        <v>349.99</v>
      </c>
      <c r="DE1129" t="str">
        <f>INDEX('Data_Price '!AN$2:AN$1266,MATCH(Data!$DN1129,'Data_Price '!$AT$2:$AT$1266,0))</f>
        <v>https://tinyurl.com/yd2jybwx</v>
      </c>
      <c r="DF1129">
        <f>INDEX('Data_Price '!AO$2:AO$1266,MATCH(Data!$DN1129,'Data_Price '!$AT$2:$AT$1266,0))</f>
        <v>0</v>
      </c>
      <c r="DG1129">
        <f>INDEX('Data_Price '!AP$2:AP$1266,MATCH(Data!$DN1129,'Data_Price '!$AT$2:$AT$1266,0))</f>
        <v>0</v>
      </c>
      <c r="DH1129">
        <f>INDEX('Data_Price '!AQ$2:AQ$1266,MATCH(Data!$DN1129,'Data_Price '!$AT$2:$AT$1266,0))</f>
        <v>0</v>
      </c>
      <c r="DI1129">
        <f>INDEX('Data_Price '!AR$2:AR$1266,MATCH(Data!$DN1129,'Data_Price '!$AT$2:$AT$1266,0))</f>
        <v>0</v>
      </c>
      <c r="DJ1129" s="89" t="str">
        <f t="shared" si="661"/>
        <v>https://tinyurl.com/yarrpyxk</v>
      </c>
      <c r="DK1129" s="89" t="str">
        <f t="shared" si="662"/>
        <v>https://tinyurl.com/yd2jybwx</v>
      </c>
      <c r="DL1129" s="89">
        <f t="shared" si="663"/>
        <v>0</v>
      </c>
      <c r="DM1129" s="219" t="str">
        <f t="shared" si="664"/>
        <v>Soul Rider 84</v>
      </c>
      <c r="DN1129" s="89" t="str">
        <f t="shared" si="665"/>
        <v xml:space="preserve"> NordicaSoul Rider 84149 Unisex</v>
      </c>
      <c r="DO1129" s="221"/>
    </row>
    <row r="1130" spans="2:119" ht="15.6" customHeight="1">
      <c r="B1130" s="219" t="b">
        <f t="array" ref="B1130">IF(OR(ISERROR(K1130:P1130)),FALSE,TRUE)</f>
        <v>1</v>
      </c>
      <c r="C1130" s="43" t="b">
        <f>OR(BR1130=Driver!$G$50,Data!BR516=Driver!$H$50)</f>
        <v>1</v>
      </c>
      <c r="D1130" s="43" t="b">
        <f>OR(BV1130=Driver!$G$51,BV1130=Driver!$H$51)</f>
        <v>1</v>
      </c>
      <c r="E1130" s="43" t="b">
        <f>AND(BX1130&gt;Driver!$F$54,BX1130&lt;Driver!$G$54)</f>
        <v>0</v>
      </c>
      <c r="F1130" s="43" t="b">
        <f>CL1130&gt;Driver!$F$56</f>
        <v>1</v>
      </c>
      <c r="G1130" s="43" t="b">
        <f>AND(CB1130&gt;Driver!$F$55,CB1130&lt;Driver!$G$55)</f>
        <v>1</v>
      </c>
      <c r="H1130" s="43" t="b">
        <f t="shared" si="629"/>
        <v>0</v>
      </c>
      <c r="I1130" s="43">
        <f t="shared" si="630"/>
        <v>0</v>
      </c>
      <c r="J1130" s="43" t="b">
        <f t="array" ref="J1130">NOT(OR(($H$9:$H$1273=TRUE)*($I$9:$I$1273&gt;0)*($BT$9:$BT$1273=BT1130)*($K$9:$K$1273&gt;K1130)))</f>
        <v>1</v>
      </c>
      <c r="K1130" s="72">
        <f t="shared" si="631"/>
        <v>0.70764726693948043</v>
      </c>
      <c r="L1130" s="72">
        <f t="shared" si="632"/>
        <v>0.80413480691383432</v>
      </c>
      <c r="M1130" s="72">
        <f t="shared" si="633"/>
        <v>0.61115972696512655</v>
      </c>
      <c r="N1130" s="72">
        <f t="shared" si="634"/>
        <v>0.49124066322613913</v>
      </c>
      <c r="O1130" s="72">
        <f t="shared" si="635"/>
        <v>0.66114002341921951</v>
      </c>
      <c r="P1130" s="72">
        <f t="shared" si="636"/>
        <v>0.68109849425002067</v>
      </c>
      <c r="Q1130" s="72"/>
      <c r="R1130" s="72"/>
      <c r="S1130" s="72">
        <f t="shared" si="637"/>
        <v>0.58931704342979163</v>
      </c>
      <c r="T1130" s="72">
        <f t="shared" si="638"/>
        <v>0.50290744233438589</v>
      </c>
      <c r="U1130" s="72">
        <f t="shared" si="639"/>
        <v>0.58274979705794294</v>
      </c>
      <c r="V1130" s="72">
        <f t="shared" si="640"/>
        <v>0.53503901282552013</v>
      </c>
      <c r="W1130" s="72">
        <f t="shared" si="641"/>
        <v>0.77235870131068252</v>
      </c>
      <c r="X1130" s="72">
        <f t="shared" si="642"/>
        <v>0.19586519308616573</v>
      </c>
      <c r="Y1130" s="72">
        <f t="shared" si="643"/>
        <v>0.38884027303487351</v>
      </c>
      <c r="Z1130" s="72">
        <f t="shared" si="644"/>
        <v>0.50875933677386087</v>
      </c>
      <c r="AA1130" s="72">
        <f t="shared" si="645"/>
        <v>0.33885997658078043</v>
      </c>
      <c r="AB1130" s="72">
        <f t="shared" si="646"/>
        <v>0.31890150574997939</v>
      </c>
      <c r="AC1130" s="72"/>
      <c r="AD1130" s="72"/>
      <c r="AE1130" s="72">
        <f t="shared" si="647"/>
        <v>0.41068295657020831</v>
      </c>
      <c r="AF1130" s="72">
        <f t="shared" si="648"/>
        <v>0.49709255766561411</v>
      </c>
      <c r="AG1130" s="72">
        <f t="shared" si="649"/>
        <v>0.41725020294205711</v>
      </c>
      <c r="AH1130" s="72">
        <f t="shared" si="650"/>
        <v>0.46496098717447987</v>
      </c>
      <c r="AI1130" s="72">
        <f t="shared" si="651"/>
        <v>0.22764129868931751</v>
      </c>
      <c r="AJ1130" s="72">
        <f>(AV1130-Driver!$K$179)/(Driver!$L$179-Driver!$K$179)</f>
        <v>0.45008460236886616</v>
      </c>
      <c r="AK1130" s="72">
        <f>(AW1130-Driver!$K$180)/(Driver!$L$180-Driver!$K$180)</f>
        <v>0.58474727393114057</v>
      </c>
      <c r="AL1130" s="72">
        <f>(AX1130-Driver!$K$181)/(Driver!$L$181-Driver!$K$181)</f>
        <v>0.61044710048694106</v>
      </c>
      <c r="AM1130" s="72">
        <f>(AY1130-Driver!$K$182)/(Driver!$L$182-Driver!$K$182)</f>
        <v>0.10852504451626592</v>
      </c>
      <c r="AN1130" s="72">
        <f>(AZ1130-Driver!$K$183)/(Driver!$L$183-Driver!$K$183)</f>
        <v>0.57312091503267981</v>
      </c>
      <c r="AO1130" s="72"/>
      <c r="AP1130" s="72"/>
      <c r="AQ1130" s="72">
        <f>(BC1130-Driver!$K$188)/(Driver!$L$188-Driver!$K$188)</f>
        <v>0.20931704342979168</v>
      </c>
      <c r="AR1130" s="72">
        <f>MIN((BD1130-Driver!$K$189)/(Driver!$L$189-Driver!$K$189),100%)</f>
        <v>5.2907442334385907E-2</v>
      </c>
      <c r="AS1130" s="72">
        <f>(BE1130-Driver!$K$190)/(Driver!$L$190-Driver!$K$190)</f>
        <v>9.2749797057942909E-2</v>
      </c>
      <c r="AT1130" s="72">
        <f>(BF1130-Driver!$K$191)/(Driver!$L$191-Driver!$K$191)</f>
        <v>4.5039012825520156E-2</v>
      </c>
      <c r="AU1130" s="72">
        <f>(BG1130-Driver!$K$192)/(Driver!$L$192-Driver!$K$192)</f>
        <v>2.2358701310682492E-2</v>
      </c>
      <c r="AV1130" s="70">
        <f t="shared" si="652"/>
        <v>9.4729344729344707</v>
      </c>
      <c r="AW1130" s="70">
        <f t="shared" si="653"/>
        <v>58.86069585398922</v>
      </c>
      <c r="AX1130" s="70">
        <f t="shared" si="654"/>
        <v>6.4940239043824697</v>
      </c>
      <c r="AY1130" s="70">
        <f>IFERROR(Driver!$K$19/Data!BH1130/Data!BI1130*Data!BK1130*Data!BL1130,"")</f>
        <v>0.13286703523592869</v>
      </c>
      <c r="AZ1130" s="70">
        <f t="shared" si="655"/>
        <v>52.233804914370822</v>
      </c>
      <c r="BA1130" s="70"/>
      <c r="BB1130" s="70"/>
      <c r="BC1130" s="70">
        <f t="shared" si="656"/>
        <v>108.57420557551116</v>
      </c>
      <c r="BD1130" s="70">
        <f t="shared" si="657"/>
        <v>6.4030377842503317</v>
      </c>
      <c r="BE1130" s="70">
        <f t="shared" si="658"/>
        <v>9.2911640282611771E-2</v>
      </c>
      <c r="BF1130" s="70">
        <f t="shared" si="659"/>
        <v>5.0868400816694495</v>
      </c>
      <c r="BG1130" s="70">
        <f t="shared" si="660"/>
        <v>8.4664306471700743E-2</v>
      </c>
      <c r="BH1130" s="67">
        <f>MAX((CE1130-Driver!$F$200)/(Driver!$G$200-Driver!$F$200)*$BI$1,1)</f>
        <v>6.4940239043824697</v>
      </c>
      <c r="BI1130" s="67">
        <f>MAX($BI$1*(BY1130-Driver!$F$201)/(Driver!$G$201-Driver!$F$201),1)</f>
        <v>7.7215189873417724</v>
      </c>
      <c r="BJ1130" s="67">
        <f>(CB1130-Driver!$F$206)/(Driver!$G$206-Driver!$F$206)*$BI$1</f>
        <v>6.6666666666666661</v>
      </c>
      <c r="BK1130" s="67">
        <f>(CD1130-Driver!$F$203)/(Driver!$G$203-Driver!$F$203)*$BI$1</f>
        <v>5.3669724770642215</v>
      </c>
      <c r="BL1130" s="67">
        <f>MAX((CR1130-Driver!$F$202)/(Driver!$G$202-Driver!$F$202)*$BI$1,1)</f>
        <v>6.2068965517241379</v>
      </c>
      <c r="BM1130" s="67">
        <f>MAX((CH1130-Driver!$F$204)/(Driver!$G$204-Driver!$F$204)*$BI$1,1)</f>
        <v>5.6837606837606831</v>
      </c>
      <c r="BN1130" s="67">
        <f>(CI1130-Driver!$F$205)/(Driver!$G$205-Driver!$F$205)*$BI$1</f>
        <v>6.764705882352942</v>
      </c>
      <c r="BO1130" s="67">
        <f>(CK1130-Driver!$F$207)/(Driver!$G$207-Driver!$F$207)*$BI$1</f>
        <v>1.8614270941054809</v>
      </c>
      <c r="BP1130" s="67">
        <f>(CM1130-Driver!$F$208)/(Driver!$G$208-Driver!$F$208)*$BI$1</f>
        <v>2.2000000000000002</v>
      </c>
      <c r="BQ1130" s="67">
        <f>(CL1130-Driver!$F$209)/(Driver!$G$209-Driver!$F$209)*$BI$1</f>
        <v>3.125</v>
      </c>
      <c r="BR1130" s="28" t="s">
        <v>155</v>
      </c>
      <c r="BS1130" s="8" t="s">
        <v>205</v>
      </c>
      <c r="BT1130" s="9" t="s">
        <v>691</v>
      </c>
      <c r="BU1130" s="10">
        <v>180</v>
      </c>
      <c r="BV1130" s="9" t="s">
        <v>158</v>
      </c>
      <c r="BW1130" s="10">
        <v>180</v>
      </c>
      <c r="BX1130" s="10">
        <v>178.8</v>
      </c>
      <c r="BY1130" s="10">
        <v>130</v>
      </c>
      <c r="BZ1130" s="10">
        <v>150</v>
      </c>
      <c r="CA1130" s="10">
        <v>134</v>
      </c>
      <c r="CB1130" s="10">
        <v>106</v>
      </c>
      <c r="CC1130" s="10">
        <v>123</v>
      </c>
      <c r="CD1130" s="10">
        <v>21.1</v>
      </c>
      <c r="CE1130" s="10">
        <v>2041</v>
      </c>
      <c r="CF1130" s="10">
        <v>1.01</v>
      </c>
      <c r="CG1130" s="10">
        <v>2057</v>
      </c>
      <c r="CH1130" s="10">
        <v>234</v>
      </c>
      <c r="CI1130" s="10">
        <v>148</v>
      </c>
      <c r="CJ1130" s="10">
        <v>56</v>
      </c>
      <c r="CK1130" s="10">
        <v>290</v>
      </c>
      <c r="CL1130" s="10">
        <v>20</v>
      </c>
      <c r="CM1130" s="10">
        <v>198</v>
      </c>
      <c r="CN1130" s="10">
        <v>0.35199999999999998</v>
      </c>
      <c r="CO1130" s="10">
        <v>182</v>
      </c>
      <c r="CP1130" s="10">
        <v>110</v>
      </c>
      <c r="CQ1130" s="10">
        <v>108</v>
      </c>
      <c r="CR1130" s="10">
        <v>7</v>
      </c>
      <c r="CS1130" s="10">
        <v>11.1</v>
      </c>
      <c r="CT1130" s="9" t="s">
        <v>169</v>
      </c>
      <c r="CU1130" s="9" t="s">
        <v>178</v>
      </c>
      <c r="CV1130" s="10"/>
      <c r="CW1130" s="10"/>
      <c r="CX1130" t="str">
        <f>INDEX('Data_Price '!AG$2:AG$1266,MATCH(Data!$DN1130,'Data_Price '!$AT$2:$AT$1266,0))</f>
        <v>Faction Dictator 3.0 Skis</v>
      </c>
      <c r="CY1130" t="str">
        <f>INDEX('Data_Price '!AH$2:AH$1266,MATCH(Data!$DN1130,'Data_Price '!$AT$2:$AT$1266,0))</f>
        <v>Next Adventure</v>
      </c>
      <c r="CZ1130">
        <f>INDEX('Data_Price '!AI$2:AI$1266,MATCH(Data!$DN1130,'Data_Price '!$AT$2:$AT$1266,0))</f>
        <v>655.20000000000005</v>
      </c>
      <c r="DA1130" t="str">
        <f>INDEX('Data_Price '!AJ$2:AJ$1266,MATCH(Data!$DN1130,'Data_Price '!$AT$2:$AT$1266,0))</f>
        <v>https://tinyurl.com/y7ccgsu5</v>
      </c>
      <c r="DB1130" t="str">
        <f>INDEX('Data_Price '!AK$2:AK$1266,MATCH(Data!$DN1130,'Data_Price '!$AT$2:$AT$1266,0))</f>
        <v>Faction Agent 3.0x Womens Skis</v>
      </c>
      <c r="DC1130" t="str">
        <f>INDEX('Data_Price '!AL$2:AL$1266,MATCH(Data!$DN1130,'Data_Price '!$AT$2:$AT$1266,0))</f>
        <v>Snowcountry.eu</v>
      </c>
      <c r="DD1130">
        <f>INDEX('Data_Price '!AM$2:AM$1266,MATCH(Data!$DN1130,'Data_Price '!$AT$2:$AT$1266,0))</f>
        <v>515.29999999999995</v>
      </c>
      <c r="DE1130" t="str">
        <f>INDEX('Data_Price '!AN$2:AN$1266,MATCH(Data!$DN1130,'Data_Price '!$AT$2:$AT$1266,0))</f>
        <v>https://tinyurl.com/yc8zpp7f</v>
      </c>
      <c r="DF1130">
        <f>INDEX('Data_Price '!AO$2:AO$1266,MATCH(Data!$DN1130,'Data_Price '!$AT$2:$AT$1266,0))</f>
        <v>0</v>
      </c>
      <c r="DG1130">
        <f>INDEX('Data_Price '!AP$2:AP$1266,MATCH(Data!$DN1130,'Data_Price '!$AT$2:$AT$1266,0))</f>
        <v>0</v>
      </c>
      <c r="DH1130">
        <f>INDEX('Data_Price '!AQ$2:AQ$1266,MATCH(Data!$DN1130,'Data_Price '!$AT$2:$AT$1266,0))</f>
        <v>0</v>
      </c>
      <c r="DI1130">
        <f>INDEX('Data_Price '!AR$2:AR$1266,MATCH(Data!$DN1130,'Data_Price '!$AT$2:$AT$1266,0))</f>
        <v>0</v>
      </c>
      <c r="DJ1130" s="89" t="str">
        <f t="shared" si="661"/>
        <v>https://tinyurl.com/y7ccgsu5</v>
      </c>
      <c r="DK1130" s="89" t="str">
        <f t="shared" si="662"/>
        <v>https://tinyurl.com/yc8zpp7f</v>
      </c>
      <c r="DL1130" s="89">
        <f t="shared" si="663"/>
        <v>0</v>
      </c>
      <c r="DM1130" s="219" t="str">
        <f t="shared" si="664"/>
        <v>Dictator 3.0</v>
      </c>
      <c r="DN1130" s="89" t="str">
        <f t="shared" si="665"/>
        <v xml:space="preserve"> FactionDictator 3.0180 Unisex</v>
      </c>
      <c r="DO1130" s="221" t="s">
        <v>692</v>
      </c>
    </row>
    <row r="1131" spans="2:119" ht="15.6" customHeight="1">
      <c r="B1131" s="219" t="b">
        <f t="array" ref="B1131">IF(OR(ISERROR(K1131:P1131)),FALSE,TRUE)</f>
        <v>1</v>
      </c>
      <c r="C1131" s="43" t="b">
        <f>OR(BR1131=Driver!$G$50,Data!BR456=Driver!$H$50)</f>
        <v>1</v>
      </c>
      <c r="D1131" s="43" t="b">
        <f>OR(BV1131=Driver!$G$51,BV1131=Driver!$H$51)</f>
        <v>0</v>
      </c>
      <c r="E1131" s="43" t="b">
        <f>AND(BX1131&gt;Driver!$F$54,BX1131&lt;Driver!$G$54)</f>
        <v>1</v>
      </c>
      <c r="F1131" s="43" t="b">
        <f>CL1131&gt;Driver!$F$56</f>
        <v>1</v>
      </c>
      <c r="G1131" s="43" t="b">
        <f>AND(CB1131&gt;Driver!$F$55,CB1131&lt;Driver!$G$55)</f>
        <v>0</v>
      </c>
      <c r="H1131" s="43" t="b">
        <f t="shared" si="629"/>
        <v>0</v>
      </c>
      <c r="I1131" s="43">
        <f t="shared" si="630"/>
        <v>0</v>
      </c>
      <c r="J1131" s="43" t="b">
        <f t="array" ref="J1131">NOT(OR(($H$9:$H$1273=TRUE)*($I$9:$I$1273&gt;0)*($BT$9:$BT$1273=BT1131)*($K$9:$K$1273&gt;K1131)))</f>
        <v>1</v>
      </c>
      <c r="K1131" s="72">
        <f t="shared" si="631"/>
        <v>0.80140453141338341</v>
      </c>
      <c r="L1131" s="72">
        <f t="shared" si="632"/>
        <v>0.78914534778764045</v>
      </c>
      <c r="M1131" s="72">
        <f t="shared" si="633"/>
        <v>0.81366371503912638</v>
      </c>
      <c r="N1131" s="72">
        <f t="shared" si="634"/>
        <v>0.94276788766173003</v>
      </c>
      <c r="O1131" s="72">
        <f t="shared" si="635"/>
        <v>0.64627436608475486</v>
      </c>
      <c r="P1131" s="72">
        <f t="shared" si="636"/>
        <v>0.85194889137089436</v>
      </c>
      <c r="Q1131" s="72"/>
      <c r="R1131" s="72"/>
      <c r="S1131" s="72">
        <f t="shared" si="637"/>
        <v>0.3988095045446608</v>
      </c>
      <c r="T1131" s="72">
        <f t="shared" si="638"/>
        <v>0.45074985922902411</v>
      </c>
      <c r="U1131" s="72">
        <f t="shared" si="639"/>
        <v>0.51</v>
      </c>
      <c r="V1131" s="72">
        <f t="shared" si="640"/>
        <v>0.51846039375566932</v>
      </c>
      <c r="W1131" s="72">
        <f t="shared" si="641"/>
        <v>0.93676814988290391</v>
      </c>
      <c r="X1131" s="72">
        <f t="shared" si="642"/>
        <v>0.21085465221235961</v>
      </c>
      <c r="Y1131" s="72">
        <f t="shared" si="643"/>
        <v>0.18633628496087359</v>
      </c>
      <c r="Z1131" s="72">
        <f t="shared" si="644"/>
        <v>5.7232112338269983E-2</v>
      </c>
      <c r="AA1131" s="72">
        <f t="shared" si="645"/>
        <v>0.35372563391524514</v>
      </c>
      <c r="AB1131" s="72">
        <f t="shared" si="646"/>
        <v>0.14805110862910567</v>
      </c>
      <c r="AC1131" s="72"/>
      <c r="AD1131" s="72"/>
      <c r="AE1131" s="72">
        <f t="shared" si="647"/>
        <v>0.6011904954553392</v>
      </c>
      <c r="AF1131" s="72">
        <f t="shared" si="648"/>
        <v>0.54925014077097589</v>
      </c>
      <c r="AG1131" s="72">
        <f t="shared" si="649"/>
        <v>0.49</v>
      </c>
      <c r="AH1131" s="72">
        <f t="shared" si="650"/>
        <v>0.48153960624433062</v>
      </c>
      <c r="AI1131" s="72">
        <f t="shared" si="651"/>
        <v>6.3231850117096061E-2</v>
      </c>
      <c r="AJ1131" s="72">
        <f>(AV1131-Driver!$K$179)/(Driver!$L$179-Driver!$K$179)</f>
        <v>4.336475707034082E-2</v>
      </c>
      <c r="AK1131" s="72">
        <f>(AW1131-Driver!$K$180)/(Driver!$L$180-Driver!$K$180)</f>
        <v>0.1061899501992378</v>
      </c>
      <c r="AL1131" s="72">
        <f>(AX1131-Driver!$K$181)/(Driver!$L$181-Driver!$K$181)</f>
        <v>0.15891987605135016</v>
      </c>
      <c r="AM1131" s="72">
        <f>(AY1131-Driver!$K$182)/(Driver!$L$182-Driver!$K$182)</f>
        <v>9.3659387181801196E-2</v>
      </c>
      <c r="AN1131" s="72">
        <f>(AZ1131-Driver!$K$183)/(Driver!$L$183-Driver!$K$183)</f>
        <v>0.10616830065359475</v>
      </c>
      <c r="AO1131" s="72"/>
      <c r="AP1131" s="72"/>
      <c r="AQ1131" s="72">
        <f>(BC1131-Driver!$K$188)/(Driver!$L$188-Driver!$K$188)</f>
        <v>1.8809504544660762E-2</v>
      </c>
      <c r="AR1131" s="72">
        <f>MIN((BD1131-Driver!$K$189)/(Driver!$L$189-Driver!$K$189),100%)</f>
        <v>7.4985922902413957E-4</v>
      </c>
      <c r="AS1131" s="72">
        <f>(BE1131-Driver!$K$190)/(Driver!$L$190-Driver!$K$190)</f>
        <v>1</v>
      </c>
      <c r="AT1131" s="72">
        <f>(BF1131-Driver!$K$191)/(Driver!$L$191-Driver!$K$191)</f>
        <v>2.8460393755669382E-2</v>
      </c>
      <c r="AU1131" s="72">
        <f>(BG1131-Driver!$K$192)/(Driver!$L$192-Driver!$K$192)</f>
        <v>0.18676814988290394</v>
      </c>
      <c r="AV1131" s="70">
        <f t="shared" si="652"/>
        <v>0.91269841269841268</v>
      </c>
      <c r="AW1131" s="70">
        <f t="shared" si="653"/>
        <v>12.221044207052874</v>
      </c>
      <c r="AX1131" s="70">
        <f t="shared" si="654"/>
        <v>2.4302788844621515</v>
      </c>
      <c r="AY1131" s="70">
        <f>IFERROR(Driver!$K$19/Data!BH1131/Data!BI1131*Data!BK1131*Data!BL1131,"")</f>
        <v>0.11466703517449101</v>
      </c>
      <c r="AZ1131" s="70">
        <f t="shared" si="655"/>
        <v>9.6760982874162309</v>
      </c>
      <c r="BA1131" s="70"/>
      <c r="BB1131" s="70"/>
      <c r="BC1131" s="70">
        <f t="shared" si="656"/>
        <v>9.7566207688697109</v>
      </c>
      <c r="BD1131" s="70">
        <f t="shared" si="657"/>
        <v>1.7871840971944311</v>
      </c>
      <c r="BE1131" s="70">
        <f t="shared" si="658"/>
        <v>1</v>
      </c>
      <c r="BF1131" s="70">
        <f t="shared" si="659"/>
        <v>3.2144015291205918</v>
      </c>
      <c r="BG1131" s="70">
        <f t="shared" si="660"/>
        <v>0.70722336065573765</v>
      </c>
      <c r="BH1131" s="67">
        <f>MAX((CE1131-Driver!$F$200)/(Driver!$G$200-Driver!$F$200)*$BI$1,1)</f>
        <v>2.4302788844621515</v>
      </c>
      <c r="BI1131" s="67">
        <f>MAX($BI$1*(BY1131-Driver!$F$201)/(Driver!$G$201-Driver!$F$201),1)</f>
        <v>7.1518987341772151</v>
      </c>
      <c r="BJ1131" s="67">
        <f>(CB1131-Driver!$F$206)/(Driver!$G$206-Driver!$F$206)*$BI$1</f>
        <v>3.6507936507936507</v>
      </c>
      <c r="BK1131" s="67">
        <f>(CD1131-Driver!$F$203)/(Driver!$G$203-Driver!$F$203)*$BI$1</f>
        <v>1.9266055045871557</v>
      </c>
      <c r="BL1131" s="67">
        <f>MAX((CR1131-Driver!$F$202)/(Driver!$G$202-Driver!$F$202)*$BI$1,1)</f>
        <v>5.1724137931034484</v>
      </c>
      <c r="BM1131" s="67">
        <f>MAX((CH1131-Driver!$F$204)/(Driver!$G$204-Driver!$F$204)*$BI$1,1)</f>
        <v>1</v>
      </c>
      <c r="BN1131" s="67">
        <f>(CI1131-Driver!$F$205)/(Driver!$G$205-Driver!$F$205)*$BI$1</f>
        <v>1.3529411764705881</v>
      </c>
      <c r="BO1131" s="67">
        <f>(CK1131-Driver!$F$207)/(Driver!$G$207-Driver!$F$207)*$BI$1</f>
        <v>1.1478800413650465</v>
      </c>
      <c r="BP1131" s="67">
        <f>(CM1131-Driver!$F$208)/(Driver!$G$208-Driver!$F$208)*$BI$1</f>
        <v>1.4777777777777779</v>
      </c>
      <c r="BQ1131" s="67">
        <f>(CL1131-Driver!$F$209)/(Driver!$G$209-Driver!$F$209)*$BI$1</f>
        <v>1.71875</v>
      </c>
      <c r="BR1131" s="28" t="s">
        <v>155</v>
      </c>
      <c r="BS1131" s="8" t="s">
        <v>164</v>
      </c>
      <c r="BT1131" s="9" t="s">
        <v>826</v>
      </c>
      <c r="BU1131" s="10">
        <v>154</v>
      </c>
      <c r="BV1131" s="9" t="s">
        <v>163</v>
      </c>
      <c r="BW1131" s="10">
        <v>154</v>
      </c>
      <c r="BX1131" s="10">
        <v>156.4</v>
      </c>
      <c r="BY1131" s="10">
        <v>121</v>
      </c>
      <c r="BZ1131" s="10">
        <v>132</v>
      </c>
      <c r="CA1131" s="10">
        <v>129</v>
      </c>
      <c r="CB1131" s="10">
        <v>87</v>
      </c>
      <c r="CC1131" s="10">
        <v>105</v>
      </c>
      <c r="CD1131" s="10">
        <v>13.6</v>
      </c>
      <c r="CE1131" s="10">
        <v>1327</v>
      </c>
      <c r="CF1131" s="10">
        <v>1.18</v>
      </c>
      <c r="CG1131" s="10">
        <v>1572</v>
      </c>
      <c r="CH1131" s="10">
        <v>121</v>
      </c>
      <c r="CI1131" s="10">
        <v>56</v>
      </c>
      <c r="CJ1131" s="10">
        <v>46</v>
      </c>
      <c r="CK1131" s="10">
        <v>221</v>
      </c>
      <c r="CL1131" s="10">
        <v>11</v>
      </c>
      <c r="CM1131" s="10">
        <v>133</v>
      </c>
      <c r="CN1131" s="10">
        <v>0.24299999999999999</v>
      </c>
      <c r="CO1131" s="10">
        <v>136</v>
      </c>
      <c r="CP1131" s="10">
        <v>104</v>
      </c>
      <c r="CQ1131" s="10">
        <v>84</v>
      </c>
      <c r="CR1131" s="10">
        <v>4</v>
      </c>
      <c r="CS1131" s="10">
        <v>8.5</v>
      </c>
      <c r="CT1131" s="9" t="s">
        <v>188</v>
      </c>
      <c r="CU1131" s="9" t="s">
        <v>185</v>
      </c>
      <c r="CV1131" s="10"/>
      <c r="CW1131" s="10"/>
      <c r="CX1131" t="str">
        <f>INDEX('Data_Price '!AG$2:AG$1266,MATCH(Data!$DN1131,'Data_Price '!$AT$2:$AT$1266,0))</f>
        <v>Elan Ripstick 88 W Skis - Women's 2022</v>
      </c>
      <c r="CY1131" t="str">
        <f>INDEX('Data_Price '!AH$2:AH$1266,MATCH(Data!$DN1131,'Data_Price '!$AT$2:$AT$1266,0))</f>
        <v>Absolute-Snow.co.uk</v>
      </c>
      <c r="CZ1131">
        <f>INDEX('Data_Price '!AI$2:AI$1266,MATCH(Data!$DN1131,'Data_Price '!$AT$2:$AT$1266,0))</f>
        <v>390.96</v>
      </c>
      <c r="DA1131" t="str">
        <f>INDEX('Data_Price '!AJ$2:AJ$1266,MATCH(Data!$DN1131,'Data_Price '!$AT$2:$AT$1266,0))</f>
        <v>https://tinyurl.com/ybhj7x5j</v>
      </c>
      <c r="DB1131" t="str">
        <f>INDEX('Data_Price '!AK$2:AK$1266,MATCH(Data!$DN1131,'Data_Price '!$AT$2:$AT$1266,0))</f>
        <v>Elan Ripstick 102 W Women's All Mountain Powder Skis 2021/22 154 cm</v>
      </c>
      <c r="DC1131" t="str">
        <f>INDEX('Data_Price '!AL$2:AL$1266,MATCH(Data!$DN1131,'Data_Price '!$AT$2:$AT$1266,0))</f>
        <v>Utah SKI Gear</v>
      </c>
      <c r="DD1131">
        <f>INDEX('Data_Price '!AM$2:AM$1266,MATCH(Data!$DN1131,'Data_Price '!$AT$2:$AT$1266,0))</f>
        <v>519.95000000000005</v>
      </c>
      <c r="DE1131" t="str">
        <f>INDEX('Data_Price '!AN$2:AN$1266,MATCH(Data!$DN1131,'Data_Price '!$AT$2:$AT$1266,0))</f>
        <v>https://tinyurl.com/yblehlrv</v>
      </c>
      <c r="DF1131" t="str">
        <f>INDEX('Data_Price '!AO$2:AO$1266,MATCH(Data!$DN1131,'Data_Price '!$AT$2:$AT$1266,0))</f>
        <v>Elan Ripstick 94 W Women's Skis 2022</v>
      </c>
      <c r="DG1131" t="str">
        <f>INDEX('Data_Price '!AP$2:AP$1266,MATCH(Data!$DN1131,'Data_Price '!$AT$2:$AT$1266,0))</f>
        <v>PRFO Sports</v>
      </c>
      <c r="DH1131">
        <f>INDEX('Data_Price '!AQ$2:AQ$1266,MATCH(Data!$DN1131,'Data_Price '!$AT$2:$AT$1266,0))</f>
        <v>561.01</v>
      </c>
      <c r="DI1131" t="str">
        <f>INDEX('Data_Price '!AR$2:AR$1266,MATCH(Data!$DN1131,'Data_Price '!$AT$2:$AT$1266,0))</f>
        <v>https://tinyurl.com/yczxmcyd</v>
      </c>
      <c r="DJ1131" s="89" t="str">
        <f t="shared" si="661"/>
        <v>https://tinyurl.com/ybhj7x5j</v>
      </c>
      <c r="DK1131" s="89" t="str">
        <f t="shared" si="662"/>
        <v>https://tinyurl.com/yblehlrv</v>
      </c>
      <c r="DL1131" s="89" t="str">
        <f t="shared" si="663"/>
        <v>https://tinyurl.com/yczxmcyd</v>
      </c>
      <c r="DM1131" s="219" t="str">
        <f t="shared" si="664"/>
        <v>Ripstick 88 W</v>
      </c>
      <c r="DN1131" s="89" t="str">
        <f t="shared" si="665"/>
        <v xml:space="preserve"> ElanRipstick 88 W154 Women's</v>
      </c>
      <c r="DO1131" s="221" t="s">
        <v>636</v>
      </c>
    </row>
    <row r="1132" spans="2:119" ht="15.6" customHeight="1">
      <c r="B1132" s="219" t="b">
        <f t="array" ref="B1132">IF(OR(ISERROR(K1132:P1132)),FALSE,TRUE)</f>
        <v>1</v>
      </c>
      <c r="C1132" s="43" t="b">
        <f>OR(BR1132=Driver!$G$50,Data!BR650=Driver!$H$50)</f>
        <v>1</v>
      </c>
      <c r="D1132" s="43" t="b">
        <f>OR(BV1132=Driver!$G$51,BV1132=Driver!$H$51)</f>
        <v>0</v>
      </c>
      <c r="E1132" s="43" t="b">
        <f>AND(BX1132&gt;Driver!$F$54,BX1132&lt;Driver!$G$54)</f>
        <v>1</v>
      </c>
      <c r="F1132" s="43" t="b">
        <f>CL1132&gt;Driver!$F$56</f>
        <v>1</v>
      </c>
      <c r="G1132" s="43" t="b">
        <f>AND(CB1132&gt;Driver!$F$55,CB1132&lt;Driver!$G$55)</f>
        <v>0</v>
      </c>
      <c r="H1132" s="43" t="b">
        <f t="shared" si="629"/>
        <v>0</v>
      </c>
      <c r="I1132" s="43">
        <f t="shared" si="630"/>
        <v>0</v>
      </c>
      <c r="J1132" s="43" t="b">
        <f t="array" ref="J1132">NOT(OR(($H$9:$H$1273=TRUE)*($I$9:$I$1273&gt;0)*($BT$9:$BT$1273=BT1132)*($K$9:$K$1273&gt;K1132)))</f>
        <v>1</v>
      </c>
      <c r="K1132" s="72">
        <f t="shared" si="631"/>
        <v>0.79566925264773303</v>
      </c>
      <c r="L1132" s="72">
        <f t="shared" si="632"/>
        <v>0.80379364365421035</v>
      </c>
      <c r="M1132" s="72">
        <f t="shared" si="633"/>
        <v>0.7875448616412557</v>
      </c>
      <c r="N1132" s="72">
        <f t="shared" si="634"/>
        <v>0.91114833412982599</v>
      </c>
      <c r="O1132" s="72">
        <f t="shared" si="635"/>
        <v>0.63650631367141297</v>
      </c>
      <c r="P1132" s="72">
        <f t="shared" si="636"/>
        <v>0.81497993712252836</v>
      </c>
      <c r="Q1132" s="72"/>
      <c r="R1132" s="72"/>
      <c r="S1132" s="72">
        <f t="shared" si="637"/>
        <v>0.38845177401931508</v>
      </c>
      <c r="T1132" s="72">
        <f t="shared" si="638"/>
        <v>0.53403232012791479</v>
      </c>
      <c r="U1132" s="72">
        <f t="shared" si="639"/>
        <v>0.51</v>
      </c>
      <c r="V1132" s="72">
        <f t="shared" si="640"/>
        <v>0.50024035168152259</v>
      </c>
      <c r="W1132" s="72">
        <f t="shared" si="641"/>
        <v>0.87843291404612156</v>
      </c>
      <c r="X1132" s="72">
        <f t="shared" si="642"/>
        <v>0.19620635634578962</v>
      </c>
      <c r="Y1132" s="72">
        <f t="shared" si="643"/>
        <v>0.21245513835874427</v>
      </c>
      <c r="Z1132" s="72">
        <f t="shared" si="644"/>
        <v>8.8851665870174054E-2</v>
      </c>
      <c r="AA1132" s="72">
        <f t="shared" si="645"/>
        <v>0.36349368632858703</v>
      </c>
      <c r="AB1132" s="72">
        <f t="shared" si="646"/>
        <v>0.18502006287747166</v>
      </c>
      <c r="AC1132" s="72"/>
      <c r="AD1132" s="72"/>
      <c r="AE1132" s="72">
        <f t="shared" si="647"/>
        <v>0.61154822598068492</v>
      </c>
      <c r="AF1132" s="72">
        <f t="shared" si="648"/>
        <v>0.46596767987208521</v>
      </c>
      <c r="AG1132" s="72">
        <f t="shared" si="649"/>
        <v>0.49</v>
      </c>
      <c r="AH1132" s="72">
        <f t="shared" si="650"/>
        <v>0.49975964831847741</v>
      </c>
      <c r="AI1132" s="72">
        <f t="shared" si="651"/>
        <v>0.12156708595387841</v>
      </c>
      <c r="AJ1132" s="72">
        <f>(AV1132-Driver!$K$179)/(Driver!$L$179-Driver!$K$179)</f>
        <v>5.8013052936910808E-2</v>
      </c>
      <c r="AK1132" s="72">
        <f>(AW1132-Driver!$K$180)/(Driver!$L$180-Driver!$K$180)</f>
        <v>7.4415461838303276E-2</v>
      </c>
      <c r="AL1132" s="72">
        <f>(AX1132-Driver!$K$181)/(Driver!$L$181-Driver!$K$181)</f>
        <v>0.19053942958325423</v>
      </c>
      <c r="AM1132" s="72">
        <f>(AY1132-Driver!$K$182)/(Driver!$L$182-Driver!$K$182)</f>
        <v>8.3891334768459336E-2</v>
      </c>
      <c r="AN1132" s="72">
        <f>(AZ1132-Driver!$K$183)/(Driver!$L$183-Driver!$K$183)</f>
        <v>6.9199346405228762E-2</v>
      </c>
      <c r="AO1132" s="72"/>
      <c r="AP1132" s="72"/>
      <c r="AQ1132" s="72">
        <f>(BC1132-Driver!$K$188)/(Driver!$L$188-Driver!$K$188)</f>
        <v>8.4517740193150274E-3</v>
      </c>
      <c r="AR1132" s="72">
        <f>MIN((BD1132-Driver!$K$189)/(Driver!$L$189-Driver!$K$189),100%)</f>
        <v>8.4032320127914825E-2</v>
      </c>
      <c r="AS1132" s="72">
        <f>(BE1132-Driver!$K$190)/(Driver!$L$190-Driver!$K$190)</f>
        <v>1</v>
      </c>
      <c r="AT1132" s="72">
        <f>(BF1132-Driver!$K$191)/(Driver!$L$191-Driver!$K$191)</f>
        <v>1.024035168152259E-2</v>
      </c>
      <c r="AU1132" s="72">
        <f>(BG1132-Driver!$K$192)/(Driver!$L$192-Driver!$K$192)</f>
        <v>0.12843291404612159</v>
      </c>
      <c r="AV1132" s="70">
        <f t="shared" si="652"/>
        <v>1.2210012210012211</v>
      </c>
      <c r="AW1132" s="70">
        <f t="shared" si="653"/>
        <v>9.1243387656712294</v>
      </c>
      <c r="AX1132" s="70">
        <f t="shared" si="654"/>
        <v>2.7148548662492882</v>
      </c>
      <c r="AY1132" s="70">
        <f>IFERROR(Driver!$K$19/Data!BH1132/Data!BI1132*Data!BK1132*Data!BL1132,"")</f>
        <v>0.10270802451501722</v>
      </c>
      <c r="AZ1132" s="70">
        <f t="shared" si="655"/>
        <v>6.3067758749069247</v>
      </c>
      <c r="BA1132" s="70"/>
      <c r="BB1132" s="70"/>
      <c r="BC1132" s="70">
        <f t="shared" si="656"/>
        <v>4.383993939598458</v>
      </c>
      <c r="BD1132" s="70">
        <f t="shared" si="657"/>
        <v>9.1575343189575893</v>
      </c>
      <c r="BE1132" s="70">
        <f t="shared" si="658"/>
        <v>1</v>
      </c>
      <c r="BF1132" s="70">
        <f t="shared" si="659"/>
        <v>1.1565757798857497</v>
      </c>
      <c r="BG1132" s="70">
        <f t="shared" si="660"/>
        <v>0.48632894392033543</v>
      </c>
      <c r="BH1132" s="67">
        <f>MAX((CE1132-Driver!$F$200)/(Driver!$G$200-Driver!$F$200)*$BI$1,1)</f>
        <v>2.7148548662492882</v>
      </c>
      <c r="BI1132" s="67">
        <f>MAX($BI$1*(BY1132-Driver!$F$201)/(Driver!$G$201-Driver!$F$201),1)</f>
        <v>7.6582278481012658</v>
      </c>
      <c r="BJ1132" s="67">
        <f>(CB1132-Driver!$F$206)/(Driver!$G$206-Driver!$F$206)*$BI$1</f>
        <v>3.1746031746031744</v>
      </c>
      <c r="BK1132" s="67">
        <f>(CD1132-Driver!$F$203)/(Driver!$G$203-Driver!$F$203)*$BI$1</f>
        <v>1.238532110091743</v>
      </c>
      <c r="BL1132" s="67">
        <f>MAX((CR1132-Driver!$F$202)/(Driver!$G$202-Driver!$F$202)*$BI$1,1)</f>
        <v>8.6206896551724128</v>
      </c>
      <c r="BM1132" s="67">
        <f>MAX((CH1132-Driver!$F$204)/(Driver!$G$204-Driver!$F$204)*$BI$1,1)</f>
        <v>1.5384615384615385</v>
      </c>
      <c r="BN1132" s="67">
        <f>(CI1132-Driver!$F$205)/(Driver!$G$205-Driver!$F$205)*$BI$1</f>
        <v>0.82352941176470584</v>
      </c>
      <c r="BO1132" s="67">
        <f>(CK1132-Driver!$F$207)/(Driver!$G$207-Driver!$F$207)*$BI$1</f>
        <v>0.52740434332988628</v>
      </c>
      <c r="BP1132" s="67">
        <f>(CM1132-Driver!$F$208)/(Driver!$G$208-Driver!$F$208)*$BI$1</f>
        <v>0.85555555555555551</v>
      </c>
      <c r="BQ1132" s="67">
        <f>(CL1132-Driver!$F$209)/(Driver!$G$209-Driver!$F$209)*$BI$1</f>
        <v>2.03125</v>
      </c>
      <c r="BR1132" s="28" t="s">
        <v>155</v>
      </c>
      <c r="BS1132" s="8" t="s">
        <v>167</v>
      </c>
      <c r="BT1132" s="9" t="s">
        <v>833</v>
      </c>
      <c r="BU1132" s="10">
        <v>153</v>
      </c>
      <c r="BV1132" s="9" t="s">
        <v>163</v>
      </c>
      <c r="BW1132" s="10">
        <v>153</v>
      </c>
      <c r="BX1132" s="10">
        <v>153.1</v>
      </c>
      <c r="BY1132" s="10">
        <v>129</v>
      </c>
      <c r="BZ1132" s="10">
        <v>135</v>
      </c>
      <c r="CA1132" s="10">
        <v>132</v>
      </c>
      <c r="CB1132" s="10">
        <v>84</v>
      </c>
      <c r="CC1132" s="10">
        <v>111</v>
      </c>
      <c r="CD1132" s="10">
        <v>12.1</v>
      </c>
      <c r="CE1132" s="10">
        <v>1377</v>
      </c>
      <c r="CF1132" s="10">
        <v>1.0900000000000001</v>
      </c>
      <c r="CG1132" s="10">
        <v>1506</v>
      </c>
      <c r="CH1132" s="10">
        <v>137</v>
      </c>
      <c r="CI1132" s="10">
        <v>47</v>
      </c>
      <c r="CJ1132" s="10">
        <v>44</v>
      </c>
      <c r="CK1132" s="10">
        <v>161</v>
      </c>
      <c r="CL1132" s="10">
        <v>13</v>
      </c>
      <c r="CM1132" s="10">
        <v>77</v>
      </c>
      <c r="CN1132" s="10">
        <v>0.30299999999999999</v>
      </c>
      <c r="CO1132" s="10">
        <v>109</v>
      </c>
      <c r="CP1132" s="10">
        <v>69</v>
      </c>
      <c r="CQ1132" s="10">
        <v>52</v>
      </c>
      <c r="CR1132" s="10">
        <v>14</v>
      </c>
      <c r="CS1132" s="10">
        <v>10.1</v>
      </c>
      <c r="CT1132" s="9" t="s">
        <v>231</v>
      </c>
      <c r="CU1132" s="9" t="s">
        <v>188</v>
      </c>
      <c r="CV1132" s="9" t="s">
        <v>185</v>
      </c>
      <c r="CW1132" s="10"/>
      <c r="CX1132" t="str">
        <f>INDEX('Data_Price '!AG$2:AG$1266,MATCH(Data!$DN1132,'Data_Price '!$AT$2:$AT$1266,0))</f>
        <v>19-20 Head Total Joy  Women's Demo Skis W/bindings Size 153cm</v>
      </c>
      <c r="CY1132" t="str">
        <f>INDEX('Data_Price '!AH$2:AH$1266,MATCH(Data!$DN1132,'Data_Price '!$AT$2:$AT$1266,0))</f>
        <v>eBay - demo-skis</v>
      </c>
      <c r="CZ1132">
        <f>INDEX('Data_Price '!AI$2:AI$1266,MATCH(Data!$DN1132,'Data_Price '!$AT$2:$AT$1266,0))</f>
        <v>499</v>
      </c>
      <c r="DA1132" t="str">
        <f>INDEX('Data_Price '!AJ$2:AJ$1266,MATCH(Data!$DN1132,'Data_Price '!$AT$2:$AT$1266,0))</f>
        <v>https://www.google.com/url?q=https://www.ebay.com/itm/304185209493%3Fchn%3Dps%26mkevt%3D1%26mkcid%3D28&amp;sa=U&amp;ved=0ahUKEwiWv8zxz-72AhV8DEQIHRcqAZkQ2SkIZw&amp;usg=AOvVaw1QZAXP7i7_TDu9avmLeKW5</v>
      </c>
      <c r="DB1132" t="str">
        <f>INDEX('Data_Price '!AK$2:AK$1266,MATCH(Data!$DN1132,'Data_Price '!$AT$2:$AT$1266,0))</f>
        <v>Head Total Joy SW SLR Joy Pro + JOY 11 GW 153cm</v>
      </c>
      <c r="DC1132" t="str">
        <f>INDEX('Data_Price '!AL$2:AL$1266,MATCH(Data!$DN1132,'Data_Price '!$AT$2:$AT$1266,0))</f>
        <v>Sundance Ski and Board Shop</v>
      </c>
      <c r="DD1132">
        <f>INDEX('Data_Price '!AM$2:AM$1266,MATCH(Data!$DN1132,'Data_Price '!$AT$2:$AT$1266,0))</f>
        <v>544.98</v>
      </c>
      <c r="DE1132" t="str">
        <f>INDEX('Data_Price '!AN$2:AN$1266,MATCH(Data!$DN1132,'Data_Price '!$AT$2:$AT$1266,0))</f>
        <v>https://tinyurl.com/y7f649zj</v>
      </c>
      <c r="DF1132" t="str">
        <f>INDEX('Data_Price '!AO$2:AO$1266,MATCH(Data!$DN1132,'Data_Price '!$AT$2:$AT$1266,0))</f>
        <v>2022 Head Total Joy Women's Demo Skis w/ Tyrolia Joy 11 GW SLR Bindings - 153| Ski Essentials</v>
      </c>
      <c r="DG1132" t="str">
        <f>INDEX('Data_Price '!AP$2:AP$1266,MATCH(Data!$DN1132,'Data_Price '!$AT$2:$AT$1266,0))</f>
        <v>SkiEssentials.com</v>
      </c>
      <c r="DH1132">
        <f>INDEX('Data_Price '!AQ$2:AQ$1266,MATCH(Data!$DN1132,'Data_Price '!$AT$2:$AT$1266,0))</f>
        <v>599</v>
      </c>
      <c r="DI1132" t="str">
        <f>INDEX('Data_Price '!AR$2:AR$1266,MATCH(Data!$DN1132,'Data_Price '!$AT$2:$AT$1266,0))</f>
        <v>https://tinyurl.com/yd5qqkmu</v>
      </c>
      <c r="DJ1132" s="89" t="str">
        <f t="shared" si="661"/>
        <v>https://www.google.com/url?q=https://www.ebay.com/itm/304185209493%3Fchn%3Dps%26mkevt%3D1%26mkcid%3D28&amp;sa=U&amp;ved=0ahUKEwiWv8zxz-72AhV8DEQIHRcqAZkQ2SkIZw&amp;usg=AOvVaw1QZAXP7i7_TDu9avmLeKW5</v>
      </c>
      <c r="DK1132" s="89" t="str">
        <f t="shared" si="662"/>
        <v>https://tinyurl.com/y7f649zj</v>
      </c>
      <c r="DL1132" s="89" t="str">
        <f t="shared" si="663"/>
        <v>https://tinyurl.com/yd5qqkmu</v>
      </c>
      <c r="DM1132" s="219" t="str">
        <f t="shared" si="664"/>
        <v>Total Joy</v>
      </c>
      <c r="DN1132" s="89" t="str">
        <f t="shared" si="665"/>
        <v xml:space="preserve"> HeadTotal Joy153 Women's</v>
      </c>
      <c r="DO1132" s="221" t="s">
        <v>834</v>
      </c>
    </row>
    <row r="1133" spans="2:119" ht="15.6" customHeight="1">
      <c r="B1133" s="219" t="b">
        <f t="array" ref="B1133">IF(OR(ISERROR(K1133:P1133)),FALSE,TRUE)</f>
        <v>1</v>
      </c>
      <c r="C1133" s="43" t="b">
        <f>OR(BR1133=Driver!$G$50,Data!BR505=Driver!$H$50)</f>
        <v>1</v>
      </c>
      <c r="D1133" s="43" t="b">
        <f>OR(BV1133=Driver!$G$51,BV1133=Driver!$H$51)</f>
        <v>0</v>
      </c>
      <c r="E1133" s="43" t="b">
        <f>AND(BX1133&gt;Driver!$F$54,BX1133&lt;Driver!$G$54)</f>
        <v>1</v>
      </c>
      <c r="F1133" s="43" t="b">
        <f>CL1133&gt;Driver!$F$56</f>
        <v>1</v>
      </c>
      <c r="G1133" s="43" t="b">
        <f>AND(CB1133&gt;Driver!$F$55,CB1133&lt;Driver!$G$55)</f>
        <v>0</v>
      </c>
      <c r="H1133" s="43" t="b">
        <f t="shared" si="629"/>
        <v>0</v>
      </c>
      <c r="I1133" s="43">
        <f t="shared" si="630"/>
        <v>0</v>
      </c>
      <c r="J1133" s="43" t="b">
        <f t="array" ref="J1133">NOT(OR(($H$9:$H$1273=TRUE)*($I$9:$I$1273&gt;0)*($BT$9:$BT$1273=BT1133)*($K$9:$K$1273&gt;K1133)))</f>
        <v>1</v>
      </c>
      <c r="K1133" s="72">
        <f t="shared" si="631"/>
        <v>0.79665145270799709</v>
      </c>
      <c r="L1133" s="72">
        <f t="shared" si="632"/>
        <v>0.82288960691261015</v>
      </c>
      <c r="M1133" s="72">
        <f t="shared" si="633"/>
        <v>0.77041329850338403</v>
      </c>
      <c r="N1133" s="72">
        <f t="shared" si="634"/>
        <v>0.87446965203281712</v>
      </c>
      <c r="O1133" s="72">
        <f t="shared" si="635"/>
        <v>0.64515631942670204</v>
      </c>
      <c r="P1133" s="72">
        <f t="shared" si="636"/>
        <v>0.79161392405063291</v>
      </c>
      <c r="Q1133" s="72"/>
      <c r="R1133" s="72"/>
      <c r="S1133" s="72">
        <f t="shared" si="637"/>
        <v>0.38710189533686257</v>
      </c>
      <c r="T1133" s="72">
        <f t="shared" si="638"/>
        <v>0.45280794762951548</v>
      </c>
      <c r="U1133" s="72">
        <f t="shared" si="639"/>
        <v>0.5749546569184556</v>
      </c>
      <c r="V1133" s="72">
        <f t="shared" si="640"/>
        <v>0.56963066445089261</v>
      </c>
      <c r="W1133" s="72">
        <f t="shared" si="641"/>
        <v>0.7470093457943926</v>
      </c>
      <c r="X1133" s="72">
        <f t="shared" si="642"/>
        <v>0.17711039308738979</v>
      </c>
      <c r="Y1133" s="72">
        <f t="shared" si="643"/>
        <v>0.22958670149661597</v>
      </c>
      <c r="Z1133" s="72">
        <f t="shared" si="644"/>
        <v>0.12553034796718288</v>
      </c>
      <c r="AA1133" s="72">
        <f t="shared" si="645"/>
        <v>0.3548436805732979</v>
      </c>
      <c r="AB1133" s="72">
        <f t="shared" si="646"/>
        <v>0.20838607594936709</v>
      </c>
      <c r="AC1133" s="72"/>
      <c r="AD1133" s="72"/>
      <c r="AE1133" s="72">
        <f t="shared" si="647"/>
        <v>0.61289810466313743</v>
      </c>
      <c r="AF1133" s="72">
        <f t="shared" si="648"/>
        <v>0.54719205237048452</v>
      </c>
      <c r="AG1133" s="72">
        <f t="shared" si="649"/>
        <v>0.4250453430815444</v>
      </c>
      <c r="AH1133" s="72">
        <f t="shared" si="650"/>
        <v>0.43036933554910739</v>
      </c>
      <c r="AI1133" s="72">
        <f t="shared" si="651"/>
        <v>0.2529906542056074</v>
      </c>
      <c r="AJ1133" s="72">
        <f>(AV1133-Driver!$K$179)/(Driver!$L$179-Driver!$K$179)</f>
        <v>7.7109016195310617E-2</v>
      </c>
      <c r="AK1133" s="72">
        <f>(AW1133-Driver!$K$180)/(Driver!$L$180-Driver!$K$180)</f>
        <v>5.6060410879796338E-2</v>
      </c>
      <c r="AL1133" s="72">
        <f>(AX1133-Driver!$K$181)/(Driver!$L$181-Driver!$K$181)</f>
        <v>0.22721811168026307</v>
      </c>
      <c r="AM1133" s="72">
        <f>(AY1133-Driver!$K$182)/(Driver!$L$182-Driver!$K$182)</f>
        <v>9.2541340523748461E-2</v>
      </c>
      <c r="AN1133" s="72">
        <f>(AZ1133-Driver!$K$183)/(Driver!$L$183-Driver!$K$183)</f>
        <v>4.583333333333333E-2</v>
      </c>
      <c r="AO1133" s="72"/>
      <c r="AP1133" s="72"/>
      <c r="AQ1133" s="72">
        <f>(BC1133-Driver!$K$188)/(Driver!$L$188-Driver!$K$188)</f>
        <v>7.101895336862553E-3</v>
      </c>
      <c r="AR1133" s="72">
        <f>MIN((BD1133-Driver!$K$189)/(Driver!$L$189-Driver!$K$189),100%)</f>
        <v>2.8079476295154752E-3</v>
      </c>
      <c r="AS1133" s="72">
        <f>(BE1133-Driver!$K$190)/(Driver!$L$190-Driver!$K$190)</f>
        <v>8.4954656918455607E-2</v>
      </c>
      <c r="AT1133" s="72">
        <f>(BF1133-Driver!$K$191)/(Driver!$L$191-Driver!$K$191)</f>
        <v>7.9630664450892605E-2</v>
      </c>
      <c r="AU1133" s="72">
        <f>(BG1133-Driver!$K$192)/(Driver!$L$192-Driver!$K$192)</f>
        <v>0.5029906542056074</v>
      </c>
      <c r="AV1133" s="70">
        <f t="shared" si="652"/>
        <v>1.6229141229141231</v>
      </c>
      <c r="AW1133" s="70">
        <f t="shared" si="653"/>
        <v>7.335476407467894</v>
      </c>
      <c r="AX1133" s="70">
        <f t="shared" si="654"/>
        <v>3.0449630051223675</v>
      </c>
      <c r="AY1133" s="70">
        <f>IFERROR(Driver!$K$19/Data!BH1133/Data!BI1133*Data!BK1133*Data!BL1133,"")</f>
        <v>0.11329821247210879</v>
      </c>
      <c r="AZ1133" s="70">
        <f t="shared" si="655"/>
        <v>4.1772151898734178</v>
      </c>
      <c r="BA1133" s="70"/>
      <c r="BB1133" s="70"/>
      <c r="BC1133" s="70">
        <f t="shared" si="656"/>
        <v>3.6838024828060045</v>
      </c>
      <c r="BD1133" s="70">
        <f t="shared" si="657"/>
        <v>1.9693212739210562</v>
      </c>
      <c r="BE1133" s="70">
        <f t="shared" si="658"/>
        <v>8.5117890708387323E-2</v>
      </c>
      <c r="BF1133" s="70">
        <f t="shared" si="659"/>
        <v>8.9937241126486196</v>
      </c>
      <c r="BG1133" s="70">
        <f t="shared" si="660"/>
        <v>1.9046434901708025</v>
      </c>
      <c r="BH1133" s="67">
        <f>MAX((CE1133-Driver!$F$200)/(Driver!$G$200-Driver!$F$200)*$BI$1,1)</f>
        <v>3.0449630051223675</v>
      </c>
      <c r="BI1133" s="67">
        <f>MAX($BI$1*(BY1133-Driver!$F$201)/(Driver!$G$201-Driver!$F$201),1)</f>
        <v>6.4556962025316453</v>
      </c>
      <c r="BJ1133" s="67">
        <f>(CB1133-Driver!$F$206)/(Driver!$G$206-Driver!$F$206)*$BI$1</f>
        <v>5.2380952380952381</v>
      </c>
      <c r="BK1133" s="67">
        <f>(CD1133-Driver!$F$203)/(Driver!$G$203-Driver!$F$203)*$BI$1</f>
        <v>2.0183486238532113</v>
      </c>
      <c r="BL1133" s="67">
        <f>MAX((CR1133-Driver!$F$202)/(Driver!$G$202-Driver!$F$202)*$BI$1,1)</f>
        <v>5.5172413793103452</v>
      </c>
      <c r="BM1133" s="67">
        <f>MAX((CH1133-Driver!$F$204)/(Driver!$G$204-Driver!$F$204)*$BI$1,1)</f>
        <v>1.2393162393162394</v>
      </c>
      <c r="BN1133" s="67">
        <f>(CI1133-Driver!$F$205)/(Driver!$G$205-Driver!$F$205)*$BI$1</f>
        <v>0.6470588235294118</v>
      </c>
      <c r="BO1133" s="67">
        <f>(CK1133-Driver!$F$207)/(Driver!$G$207-Driver!$F$207)*$BI$1</f>
        <v>1.344364012409514</v>
      </c>
      <c r="BP1133" s="67">
        <f>(CM1133-Driver!$F$208)/(Driver!$G$208-Driver!$F$208)*$BI$1</f>
        <v>2.5777777777777775</v>
      </c>
      <c r="BQ1133" s="67">
        <f>(CL1133-Driver!$F$209)/(Driver!$G$209-Driver!$F$209)*$BI$1</f>
        <v>7.1875</v>
      </c>
      <c r="BR1133" s="28" t="s">
        <v>155</v>
      </c>
      <c r="BS1133" s="8" t="s">
        <v>205</v>
      </c>
      <c r="BT1133" s="9" t="s">
        <v>868</v>
      </c>
      <c r="BU1133" s="10">
        <v>159</v>
      </c>
      <c r="BV1133" s="9" t="s">
        <v>385</v>
      </c>
      <c r="BW1133" s="10">
        <v>159</v>
      </c>
      <c r="BX1133" s="10">
        <v>157.1</v>
      </c>
      <c r="BY1133" s="10">
        <v>110</v>
      </c>
      <c r="BZ1133" s="10">
        <v>132</v>
      </c>
      <c r="CA1133" s="10">
        <v>128</v>
      </c>
      <c r="CB1133" s="10">
        <v>97</v>
      </c>
      <c r="CC1133" s="10">
        <v>124</v>
      </c>
      <c r="CD1133" s="10">
        <v>13.8</v>
      </c>
      <c r="CE1133" s="10">
        <v>1435</v>
      </c>
      <c r="CF1133" s="10">
        <v>1.18</v>
      </c>
      <c r="CG1133" s="10">
        <v>1700</v>
      </c>
      <c r="CH1133" s="10">
        <v>130</v>
      </c>
      <c r="CI1133" s="10">
        <v>44</v>
      </c>
      <c r="CJ1133" s="10">
        <v>55</v>
      </c>
      <c r="CK1133" s="10">
        <v>240</v>
      </c>
      <c r="CL1133" s="10">
        <v>46</v>
      </c>
      <c r="CM1133" s="10">
        <v>232</v>
      </c>
      <c r="CN1133" s="10">
        <v>0.83699999999999997</v>
      </c>
      <c r="CO1133" s="10">
        <v>131</v>
      </c>
      <c r="CP1133" s="10">
        <v>123</v>
      </c>
      <c r="CQ1133" s="10">
        <v>108</v>
      </c>
      <c r="CR1133" s="10">
        <v>5</v>
      </c>
      <c r="CS1133" s="10">
        <v>3.2</v>
      </c>
      <c r="CT1133" s="9" t="s">
        <v>188</v>
      </c>
      <c r="CU1133" s="9" t="s">
        <v>184</v>
      </c>
      <c r="CV1133" s="9" t="s">
        <v>185</v>
      </c>
      <c r="CW1133" s="10"/>
      <c r="CX1133" t="str">
        <f>INDEX('Data_Price '!AG$2:AG$1266,MATCH(Data!$DN1133,'Data_Price '!$AT$2:$AT$1266,0))</f>
        <v>Faction Ct 2.0 Skis - Youth 2022</v>
      </c>
      <c r="CY1133" t="str">
        <f>INDEX('Data_Price '!AH$2:AH$1266,MATCH(Data!$DN1133,'Data_Price '!$AT$2:$AT$1266,0))</f>
        <v>Next Adventure</v>
      </c>
      <c r="CZ1133">
        <f>INDEX('Data_Price '!AI$2:AI$1266,MATCH(Data!$DN1133,'Data_Price '!$AT$2:$AT$1266,0))</f>
        <v>383.2</v>
      </c>
      <c r="DA1133" t="str">
        <f>INDEX('Data_Price '!AJ$2:AJ$1266,MATCH(Data!$DN1133,'Data_Price '!$AT$2:$AT$1266,0))</f>
        <v>https://tinyurl.com/ybwhjeyg</v>
      </c>
      <c r="DB1133" t="str">
        <f>INDEX('Data_Price '!AK$2:AK$1266,MATCH(Data!$DN1133,'Data_Price '!$AT$2:$AT$1266,0))</f>
        <v>Faction Prodigy 2.0 Skis 2022 - 159</v>
      </c>
      <c r="DC1133" t="str">
        <f>INDEX('Data_Price '!AL$2:AL$1266,MATCH(Data!$DN1133,'Data_Price '!$AT$2:$AT$1266,0))</f>
        <v>Powder7 Ski Shop</v>
      </c>
      <c r="DD1133">
        <f>INDEX('Data_Price '!AM$2:AM$1266,MATCH(Data!$DN1133,'Data_Price '!$AT$2:$AT$1266,0))</f>
        <v>559</v>
      </c>
      <c r="DE1133" t="str">
        <f>INDEX('Data_Price '!AN$2:AN$1266,MATCH(Data!$DN1133,'Data_Price '!$AT$2:$AT$1266,0))</f>
        <v>https://tinyurl.com/yb8hbprb</v>
      </c>
      <c r="DF1133" t="str">
        <f>INDEX('Data_Price '!AO$2:AO$1266,MATCH(Data!$DN1133,'Data_Price '!$AT$2:$AT$1266,0))</f>
        <v>Faction Candide 2.0x Women's Skis</v>
      </c>
      <c r="DG1133" t="str">
        <f>INDEX('Data_Price '!AP$2:AP$1266,MATCH(Data!$DN1133,'Data_Price '!$AT$2:$AT$1266,0))</f>
        <v>Backcountry Freeskier</v>
      </c>
      <c r="DH1133">
        <f>INDEX('Data_Price '!AQ$2:AQ$1266,MATCH(Data!$DN1133,'Data_Price '!$AT$2:$AT$1266,0))</f>
        <v>599</v>
      </c>
      <c r="DI1133" t="str">
        <f>INDEX('Data_Price '!AR$2:AR$1266,MATCH(Data!$DN1133,'Data_Price '!$AT$2:$AT$1266,0))</f>
        <v>https://tinyurl.com/yafcct7p</v>
      </c>
      <c r="DJ1133" s="89" t="str">
        <f t="shared" si="661"/>
        <v>https://tinyurl.com/ybwhjeyg</v>
      </c>
      <c r="DK1133" s="89" t="str">
        <f t="shared" si="662"/>
        <v>https://tinyurl.com/yb8hbprb</v>
      </c>
      <c r="DL1133" s="89" t="str">
        <f t="shared" si="663"/>
        <v>https://tinyurl.com/yafcct7p</v>
      </c>
      <c r="DM1133" s="219" t="str">
        <f t="shared" si="664"/>
        <v>CT 2.0 Jr</v>
      </c>
      <c r="DN1133" s="89" t="str">
        <f t="shared" si="665"/>
        <v xml:space="preserve"> FactionCT 2.0 Jr159 Junior</v>
      </c>
      <c r="DO1133" s="221"/>
    </row>
    <row r="1134" spans="2:119" ht="15.6" customHeight="1">
      <c r="B1134" s="219" t="b">
        <f t="array" ref="B1134">IF(OR(ISERROR(K1134:P1134)),FALSE,TRUE)</f>
        <v>1</v>
      </c>
      <c r="C1134" s="43" t="b">
        <f>OR(BR1134=Driver!$G$50,Data!BR1270=Driver!$H$50)</f>
        <v>1</v>
      </c>
      <c r="D1134" s="43" t="b">
        <f>OR(BV1134=Driver!$G$51,BV1134=Driver!$H$51)</f>
        <v>0</v>
      </c>
      <c r="E1134" s="43" t="b">
        <f>AND(BX1134&gt;Driver!$F$54,BX1134&lt;Driver!$G$54)</f>
        <v>0</v>
      </c>
      <c r="F1134" s="43" t="b">
        <f>CL1134&gt;Driver!$F$56</f>
        <v>1</v>
      </c>
      <c r="G1134" s="43" t="b">
        <f>AND(CB1134&gt;Driver!$F$55,CB1134&lt;Driver!$G$55)</f>
        <v>0</v>
      </c>
      <c r="H1134" s="43" t="b">
        <f t="shared" si="629"/>
        <v>0</v>
      </c>
      <c r="I1134" s="43">
        <f t="shared" si="630"/>
        <v>0</v>
      </c>
      <c r="J1134" s="43" t="b">
        <f t="array" ref="J1134">NOT(OR(($H$9:$H$1273=TRUE)*($I$9:$I$1273&gt;0)*($BT$9:$BT$1273=BT1134)*($K$9:$K$1273&gt;K1134)))</f>
        <v>1</v>
      </c>
      <c r="K1134" s="72">
        <f t="shared" si="631"/>
        <v>0.81943909772931744</v>
      </c>
      <c r="L1134" s="72">
        <f t="shared" si="632"/>
        <v>0.83304189117656957</v>
      </c>
      <c r="M1134" s="72">
        <f t="shared" si="633"/>
        <v>0.80583630428206532</v>
      </c>
      <c r="N1134" s="72">
        <f t="shared" si="634"/>
        <v>0.96300440192214865</v>
      </c>
      <c r="O1134" s="72">
        <f t="shared" si="635"/>
        <v>0.62048862608910071</v>
      </c>
      <c r="P1134" s="72">
        <f t="shared" si="636"/>
        <v>0.8340158848349466</v>
      </c>
      <c r="Q1134" s="72"/>
      <c r="R1134" s="72"/>
      <c r="S1134" s="72">
        <f t="shared" si="637"/>
        <v>0.38941868973564386</v>
      </c>
      <c r="T1134" s="72">
        <f t="shared" si="638"/>
        <v>0.51773405033626563</v>
      </c>
      <c r="U1134" s="72">
        <f t="shared" si="639"/>
        <v>0.60759149281072755</v>
      </c>
      <c r="V1134" s="72">
        <f t="shared" si="640"/>
        <v>0.65306454796586044</v>
      </c>
      <c r="W1134" s="72">
        <f t="shared" si="641"/>
        <v>0.89316455696202535</v>
      </c>
      <c r="X1134" s="72">
        <f t="shared" si="642"/>
        <v>0.16695810882343043</v>
      </c>
      <c r="Y1134" s="72">
        <f t="shared" si="643"/>
        <v>0.19416369571793465</v>
      </c>
      <c r="Z1134" s="72">
        <f t="shared" si="644"/>
        <v>3.6995598077851341E-2</v>
      </c>
      <c r="AA1134" s="72">
        <f t="shared" si="645"/>
        <v>0.37951137391089923</v>
      </c>
      <c r="AB1134" s="72">
        <f t="shared" si="646"/>
        <v>0.16598411516505335</v>
      </c>
      <c r="AC1134" s="72"/>
      <c r="AD1134" s="72"/>
      <c r="AE1134" s="72">
        <f t="shared" si="647"/>
        <v>0.61058131026435614</v>
      </c>
      <c r="AF1134" s="72">
        <f t="shared" si="648"/>
        <v>0.48226594966373437</v>
      </c>
      <c r="AG1134" s="72">
        <f t="shared" si="649"/>
        <v>0.39240850718927239</v>
      </c>
      <c r="AH1134" s="72">
        <f t="shared" si="650"/>
        <v>0.34693545203413956</v>
      </c>
      <c r="AI1134" s="72">
        <f t="shared" si="651"/>
        <v>0.10683544303797468</v>
      </c>
      <c r="AJ1134" s="72">
        <f>(AV1134-Driver!$K$179)/(Driver!$L$179-Driver!$K$179)</f>
        <v>8.7261300459269983E-2</v>
      </c>
      <c r="AK1134" s="72">
        <f>(AW1134-Driver!$K$180)/(Driver!$L$180-Driver!$K$180)</f>
        <v>8.722709093319693E-2</v>
      </c>
      <c r="AL1134" s="72">
        <f>(AX1134-Driver!$K$181)/(Driver!$L$181-Driver!$K$181)</f>
        <v>0.13868336179093152</v>
      </c>
      <c r="AM1134" s="72">
        <f>(AY1134-Driver!$K$182)/(Driver!$L$182-Driver!$K$182)</f>
        <v>6.7873647186147135E-2</v>
      </c>
      <c r="AN1134" s="72">
        <f>(AZ1134-Driver!$K$183)/(Driver!$L$183-Driver!$K$183)</f>
        <v>8.8235294117647065E-2</v>
      </c>
      <c r="AO1134" s="72"/>
      <c r="AP1134" s="72"/>
      <c r="AQ1134" s="72">
        <f>(BC1134-Driver!$K$188)/(Driver!$L$188-Driver!$K$188)</f>
        <v>9.4186897356438176E-3</v>
      </c>
      <c r="AR1134" s="72">
        <f>MIN((BD1134-Driver!$K$189)/(Driver!$L$189-Driver!$K$189),100%)</f>
        <v>6.7734050336265686E-2</v>
      </c>
      <c r="AS1134" s="72">
        <f>(BE1134-Driver!$K$190)/(Driver!$L$190-Driver!$K$190)</f>
        <v>0.1175914928107276</v>
      </c>
      <c r="AT1134" s="72">
        <f>(BF1134-Driver!$K$191)/(Driver!$L$191-Driver!$K$191)</f>
        <v>0.16306454796586045</v>
      </c>
      <c r="AU1134" s="72">
        <f>(BG1134-Driver!$K$192)/(Driver!$L$192-Driver!$K$192)</f>
        <v>0.14316455696202532</v>
      </c>
      <c r="AV1134" s="70">
        <f t="shared" si="652"/>
        <v>1.8365893365893364</v>
      </c>
      <c r="AW1134" s="70">
        <f t="shared" si="653"/>
        <v>10.37294554355087</v>
      </c>
      <c r="AX1134" s="70">
        <f t="shared" si="654"/>
        <v>2.2481502561183837</v>
      </c>
      <c r="AY1134" s="70">
        <f>IFERROR(Driver!$K$19/Data!BH1134/Data!BI1134*Data!BK1134*Data!BL1134,"")</f>
        <v>8.3097595697564031E-2</v>
      </c>
      <c r="AZ1134" s="70">
        <f t="shared" si="655"/>
        <v>8.0416976917349228</v>
      </c>
      <c r="BA1134" s="70"/>
      <c r="BB1134" s="70"/>
      <c r="BC1134" s="70">
        <f t="shared" si="656"/>
        <v>4.8855398435472077</v>
      </c>
      <c r="BD1134" s="70">
        <f t="shared" si="657"/>
        <v>7.7151663212218606</v>
      </c>
      <c r="BE1134" s="70">
        <f t="shared" si="658"/>
        <v>0.11774890455647936</v>
      </c>
      <c r="BF1134" s="70">
        <f t="shared" si="659"/>
        <v>18.416995099458418</v>
      </c>
      <c r="BG1134" s="70">
        <f t="shared" si="660"/>
        <v>0.54211234177215195</v>
      </c>
      <c r="BH1134" s="67">
        <f>MAX((CE1134-Driver!$F$200)/(Driver!$G$200-Driver!$F$200)*$BI$1,1)</f>
        <v>2.2481502561183837</v>
      </c>
      <c r="BI1134" s="67">
        <f>MAX($BI$1*(BY1134-Driver!$F$201)/(Driver!$G$201-Driver!$F$201),1)</f>
        <v>5.0632911392405067</v>
      </c>
      <c r="BJ1134" s="67">
        <f>(CB1134-Driver!$F$206)/(Driver!$G$206-Driver!$F$206)*$BI$1</f>
        <v>3.0158730158730158</v>
      </c>
      <c r="BK1134" s="67">
        <f>(CD1134-Driver!$F$203)/(Driver!$G$203-Driver!$F$203)*$BI$1</f>
        <v>1.0550458715596327</v>
      </c>
      <c r="BL1134" s="67">
        <f>MAX((CR1134-Driver!$F$202)/(Driver!$G$202-Driver!$F$202)*$BI$1,1)</f>
        <v>4.4827586206896548</v>
      </c>
      <c r="BM1134" s="67">
        <f>MAX((CH1134-Driver!$F$204)/(Driver!$G$204-Driver!$F$204)*$BI$1,1)</f>
        <v>2.4358974358974357</v>
      </c>
      <c r="BN1134" s="67">
        <f>(CI1134-Driver!$F$205)/(Driver!$G$205-Driver!$F$205)*$BI$1</f>
        <v>1.588235294117647</v>
      </c>
      <c r="BO1134" s="67">
        <f>(CK1134-Driver!$F$207)/(Driver!$G$207-Driver!$F$207)*$BI$1</f>
        <v>1.7786970010341261</v>
      </c>
      <c r="BP1134" s="67">
        <f>(CM1134-Driver!$F$208)/(Driver!$G$208-Driver!$F$208)*$BI$1</f>
        <v>3.6222222222222222</v>
      </c>
      <c r="BQ1134" s="67">
        <f>(CL1134-Driver!$F$209)/(Driver!$G$209-Driver!$F$209)*$BI$1</f>
        <v>2.96875</v>
      </c>
      <c r="BR1134" s="28" t="s">
        <v>155</v>
      </c>
      <c r="BS1134" s="8" t="s">
        <v>229</v>
      </c>
      <c r="BT1134" s="9" t="s">
        <v>775</v>
      </c>
      <c r="BU1134" s="10">
        <v>147</v>
      </c>
      <c r="BV1134" s="9" t="s">
        <v>163</v>
      </c>
      <c r="BW1134" s="10">
        <v>147</v>
      </c>
      <c r="BX1134" s="10">
        <v>148.80000000000001</v>
      </c>
      <c r="BY1134" s="10">
        <v>88</v>
      </c>
      <c r="BZ1134" s="10">
        <v>125</v>
      </c>
      <c r="CA1134" s="10">
        <v>124</v>
      </c>
      <c r="CB1134" s="10">
        <v>83</v>
      </c>
      <c r="CC1134" s="10">
        <v>106</v>
      </c>
      <c r="CD1134" s="10">
        <v>11.7</v>
      </c>
      <c r="CE1134" s="10">
        <v>1295</v>
      </c>
      <c r="CF1134" s="10">
        <v>1.1100000000000001</v>
      </c>
      <c r="CG1134" s="10">
        <v>1435</v>
      </c>
      <c r="CH1134" s="10">
        <v>158</v>
      </c>
      <c r="CI1134" s="10">
        <v>60</v>
      </c>
      <c r="CJ1134" s="10">
        <v>42</v>
      </c>
      <c r="CK1134" s="10">
        <v>282</v>
      </c>
      <c r="CL1134" s="10">
        <v>19</v>
      </c>
      <c r="CM1134" s="10">
        <v>326</v>
      </c>
      <c r="CN1134" s="10">
        <v>0.44700000000000001</v>
      </c>
      <c r="CO1134" s="10">
        <v>134</v>
      </c>
      <c r="CP1134" s="10">
        <v>103</v>
      </c>
      <c r="CQ1134" s="10">
        <v>148</v>
      </c>
      <c r="CR1134" s="10">
        <v>2</v>
      </c>
      <c r="CS1134" s="10">
        <v>11.2</v>
      </c>
      <c r="CT1134" s="9" t="s">
        <v>231</v>
      </c>
      <c r="CU1134" s="9" t="s">
        <v>188</v>
      </c>
      <c r="CV1134" s="9" t="s">
        <v>185</v>
      </c>
      <c r="CW1134" s="10"/>
      <c r="CX1134" t="e">
        <f>INDEX('Data_Price '!AG$2:AG$1266,MATCH(Data!$DN1134,'Data_Price '!$AT$2:$AT$1266,0))</f>
        <v>#N/A</v>
      </c>
      <c r="CY1134" t="e">
        <f>INDEX('Data_Price '!AH$2:AH$1266,MATCH(Data!$DN1134,'Data_Price '!$AT$2:$AT$1266,0))</f>
        <v>#N/A</v>
      </c>
      <c r="CZ1134" t="e">
        <f>INDEX('Data_Price '!AI$2:AI$1266,MATCH(Data!$DN1134,'Data_Price '!$AT$2:$AT$1266,0))</f>
        <v>#N/A</v>
      </c>
      <c r="DA1134" t="e">
        <f>INDEX('Data_Price '!AJ$2:AJ$1266,MATCH(Data!$DN1134,'Data_Price '!$AT$2:$AT$1266,0))</f>
        <v>#N/A</v>
      </c>
      <c r="DB1134" t="e">
        <f>INDEX('Data_Price '!AK$2:AK$1266,MATCH(Data!$DN1134,'Data_Price '!$AT$2:$AT$1266,0))</f>
        <v>#N/A</v>
      </c>
      <c r="DC1134" t="e">
        <f>INDEX('Data_Price '!AL$2:AL$1266,MATCH(Data!$DN1134,'Data_Price '!$AT$2:$AT$1266,0))</f>
        <v>#N/A</v>
      </c>
      <c r="DD1134" t="e">
        <f>INDEX('Data_Price '!AM$2:AM$1266,MATCH(Data!$DN1134,'Data_Price '!$AT$2:$AT$1266,0))</f>
        <v>#N/A</v>
      </c>
      <c r="DE1134" t="e">
        <f>INDEX('Data_Price '!AN$2:AN$1266,MATCH(Data!$DN1134,'Data_Price '!$AT$2:$AT$1266,0))</f>
        <v>#N/A</v>
      </c>
      <c r="DF1134" t="e">
        <f>INDEX('Data_Price '!AO$2:AO$1266,MATCH(Data!$DN1134,'Data_Price '!$AT$2:$AT$1266,0))</f>
        <v>#N/A</v>
      </c>
      <c r="DG1134" t="e">
        <f>INDEX('Data_Price '!AP$2:AP$1266,MATCH(Data!$DN1134,'Data_Price '!$AT$2:$AT$1266,0))</f>
        <v>#N/A</v>
      </c>
      <c r="DH1134" t="e">
        <f>INDEX('Data_Price '!AQ$2:AQ$1266,MATCH(Data!$DN1134,'Data_Price '!$AT$2:$AT$1266,0))</f>
        <v>#N/A</v>
      </c>
      <c r="DI1134" t="e">
        <f>INDEX('Data_Price '!AR$2:AR$1266,MATCH(Data!$DN1134,'Data_Price '!$AT$2:$AT$1266,0))</f>
        <v>#N/A</v>
      </c>
      <c r="DJ1134" s="89" t="e">
        <f t="shared" si="661"/>
        <v>#N/A</v>
      </c>
      <c r="DK1134" s="89" t="e">
        <f t="shared" si="662"/>
        <v>#N/A</v>
      </c>
      <c r="DL1134" s="89" t="e">
        <f t="shared" si="663"/>
        <v>#N/A</v>
      </c>
      <c r="DM1134" s="219" t="str">
        <f t="shared" si="664"/>
        <v>Yumi 84</v>
      </c>
      <c r="DN1134" s="89" t="str">
        <f t="shared" si="665"/>
        <v xml:space="preserve"> VölklYumi 84147 Women's</v>
      </c>
      <c r="DO1134" s="221" t="s">
        <v>776</v>
      </c>
    </row>
    <row r="1135" spans="2:119" ht="15.6" customHeight="1">
      <c r="B1135" s="219" t="b">
        <f t="array" ref="B1135">IF(OR(ISERROR(K1135:P1135)),FALSE,TRUE)</f>
        <v>1</v>
      </c>
      <c r="C1135" s="43" t="b">
        <f>OR(BR1135=Driver!$G$50,Data!BR1047=Driver!$H$50)</f>
        <v>1</v>
      </c>
      <c r="D1135" s="43" t="b">
        <f>OR(BV1135=Driver!$G$51,BV1135=Driver!$H$51)</f>
        <v>0</v>
      </c>
      <c r="E1135" s="43" t="b">
        <f>AND(BX1135&gt;Driver!$F$54,BX1135&lt;Driver!$G$54)</f>
        <v>0</v>
      </c>
      <c r="F1135" s="43" t="b">
        <f>CL1135&gt;Driver!$F$56</f>
        <v>1</v>
      </c>
      <c r="G1135" s="43" t="b">
        <f>AND(CB1135&gt;Driver!$F$55,CB1135&lt;Driver!$G$55)</f>
        <v>0</v>
      </c>
      <c r="H1135" s="43" t="b">
        <f t="shared" si="629"/>
        <v>0</v>
      </c>
      <c r="I1135" s="43">
        <f t="shared" si="630"/>
        <v>0</v>
      </c>
      <c r="J1135" s="43" t="b">
        <f t="array" ref="J1135">NOT(OR(($H$9:$H$1273=TRUE)*($I$9:$I$1273&gt;0)*($BT$9:$BT$1273=BT1135)*($K$9:$K$1273&gt;K1135)))</f>
        <v>1</v>
      </c>
      <c r="K1135" s="72">
        <f t="shared" si="631"/>
        <v>0.76697760940612503</v>
      </c>
      <c r="L1135" s="72">
        <f t="shared" si="632"/>
        <v>0.77236990664671701</v>
      </c>
      <c r="M1135" s="72">
        <f t="shared" si="633"/>
        <v>0.76158531216553305</v>
      </c>
      <c r="N1135" s="72">
        <f t="shared" si="634"/>
        <v>0.87573443417409325</v>
      </c>
      <c r="O1135" s="72">
        <f t="shared" si="635"/>
        <v>0.60294679395814765</v>
      </c>
      <c r="P1135" s="72">
        <f t="shared" si="636"/>
        <v>0.80607470836435846</v>
      </c>
      <c r="Q1135" s="72"/>
      <c r="R1135" s="72"/>
      <c r="S1135" s="72">
        <f t="shared" si="637"/>
        <v>0.38887155803062334</v>
      </c>
      <c r="T1135" s="72">
        <f t="shared" si="638"/>
        <v>0.62963185887455719</v>
      </c>
      <c r="U1135" s="72">
        <f t="shared" si="639"/>
        <v>0.51</v>
      </c>
      <c r="V1135" s="72">
        <f t="shared" si="640"/>
        <v>0.49348516170673662</v>
      </c>
      <c r="W1135" s="72">
        <f t="shared" si="641"/>
        <v>0.80787139689578713</v>
      </c>
      <c r="X1135" s="72">
        <f t="shared" si="642"/>
        <v>0.22763009335328299</v>
      </c>
      <c r="Y1135" s="72">
        <f t="shared" si="643"/>
        <v>0.23841468783446693</v>
      </c>
      <c r="Z1135" s="72">
        <f t="shared" si="644"/>
        <v>0.12426556582590677</v>
      </c>
      <c r="AA1135" s="72">
        <f t="shared" si="645"/>
        <v>0.3970532060418524</v>
      </c>
      <c r="AB1135" s="72">
        <f t="shared" si="646"/>
        <v>0.19392529163564159</v>
      </c>
      <c r="AC1135" s="72"/>
      <c r="AD1135" s="72"/>
      <c r="AE1135" s="72">
        <f t="shared" si="647"/>
        <v>0.61112844196937666</v>
      </c>
      <c r="AF1135" s="72">
        <f t="shared" si="648"/>
        <v>0.37036814112544281</v>
      </c>
      <c r="AG1135" s="72">
        <f t="shared" si="649"/>
        <v>0.49</v>
      </c>
      <c r="AH1135" s="72">
        <f t="shared" si="650"/>
        <v>0.50651483829326338</v>
      </c>
      <c r="AI1135" s="72">
        <f t="shared" si="651"/>
        <v>0.19212860310421287</v>
      </c>
      <c r="AJ1135" s="72">
        <f>(AV1135-Driver!$K$179)/(Driver!$L$179-Driver!$K$179)</f>
        <v>2.6589315929417448E-2</v>
      </c>
      <c r="AK1135" s="72">
        <f>(AW1135-Driver!$K$180)/(Driver!$L$180-Driver!$K$180)</f>
        <v>6.893645719636908E-2</v>
      </c>
      <c r="AL1135" s="72">
        <f>(AX1135-Driver!$K$181)/(Driver!$L$181-Driver!$K$181)</f>
        <v>0.22595332953898695</v>
      </c>
      <c r="AM1135" s="72">
        <f>(AY1135-Driver!$K$182)/(Driver!$L$182-Driver!$K$182)</f>
        <v>5.0331815055193969E-2</v>
      </c>
      <c r="AN1135" s="72">
        <f>(AZ1135-Driver!$K$183)/(Driver!$L$183-Driver!$K$183)</f>
        <v>6.0294117647058817E-2</v>
      </c>
      <c r="AO1135" s="72"/>
      <c r="AP1135" s="72"/>
      <c r="AQ1135" s="72">
        <f>(BC1135-Driver!$K$188)/(Driver!$L$188-Driver!$K$188)</f>
        <v>8.8715580306232868E-3</v>
      </c>
      <c r="AR1135" s="72">
        <f>MIN((BD1135-Driver!$K$189)/(Driver!$L$189-Driver!$K$189),100%)</f>
        <v>0.17963185887455724</v>
      </c>
      <c r="AS1135" s="72">
        <f>(BE1135-Driver!$K$190)/(Driver!$L$190-Driver!$K$190)</f>
        <v>1</v>
      </c>
      <c r="AT1135" s="72">
        <f>(BF1135-Driver!$K$191)/(Driver!$L$191-Driver!$K$191)</f>
        <v>3.4851617067366792E-3</v>
      </c>
      <c r="AU1135" s="72">
        <f>(BG1135-Driver!$K$192)/(Driver!$L$192-Driver!$K$192)</f>
        <v>5.7871396895787131E-2</v>
      </c>
      <c r="AV1135" s="70">
        <f t="shared" si="652"/>
        <v>0.5596255596255596</v>
      </c>
      <c r="AW1135" s="70">
        <f t="shared" si="653"/>
        <v>8.5903612143948109</v>
      </c>
      <c r="AX1135" s="70">
        <f t="shared" si="654"/>
        <v>3.0335799658508824</v>
      </c>
      <c r="AY1135" s="70">
        <f>IFERROR(Driver!$K$19/Data!BH1135/Data!BI1135*Data!BK1135*Data!BL1135,"")</f>
        <v>6.1621159191732722E-2</v>
      </c>
      <c r="AZ1135" s="70">
        <f t="shared" si="655"/>
        <v>5.4951600893521961</v>
      </c>
      <c r="BA1135" s="70"/>
      <c r="BB1135" s="70"/>
      <c r="BC1135" s="70">
        <f t="shared" si="656"/>
        <v>4.6017388245551532</v>
      </c>
      <c r="BD1135" s="70">
        <f t="shared" si="657"/>
        <v>17.617924105676256</v>
      </c>
      <c r="BE1135" s="70">
        <f t="shared" si="658"/>
        <v>1</v>
      </c>
      <c r="BF1135" s="70">
        <f t="shared" si="659"/>
        <v>0.39362453012918369</v>
      </c>
      <c r="BG1135" s="70">
        <f t="shared" si="660"/>
        <v>0.21913802660753878</v>
      </c>
      <c r="BH1135" s="67">
        <f>MAX((CE1135-Driver!$F$200)/(Driver!$G$200-Driver!$F$200)*$BI$1,1)</f>
        <v>3.0335799658508824</v>
      </c>
      <c r="BI1135" s="67">
        <f>MAX($BI$1*(BY1135-Driver!$F$201)/(Driver!$G$201-Driver!$F$201),1)</f>
        <v>7.7848101265822782</v>
      </c>
      <c r="BJ1135" s="67">
        <f>(CB1135-Driver!$F$206)/(Driver!$G$206-Driver!$F$206)*$BI$1</f>
        <v>1.5873015873015872</v>
      </c>
      <c r="BK1135" s="67">
        <f>(CD1135-Driver!$F$203)/(Driver!$G$203-Driver!$F$203)*$BI$1</f>
        <v>1.0550458715596327</v>
      </c>
      <c r="BL1135" s="67">
        <f>MAX((CR1135-Driver!$F$202)/(Driver!$G$202-Driver!$F$202)*$BI$1,1)</f>
        <v>6.8965517241379315</v>
      </c>
      <c r="BM1135" s="67">
        <f>MAX((CH1135-Driver!$F$204)/(Driver!$G$204-Driver!$F$204)*$BI$1,1)</f>
        <v>1.4102564102564101</v>
      </c>
      <c r="BN1135" s="67">
        <f>(CI1135-Driver!$F$205)/(Driver!$G$205-Driver!$F$205)*$BI$1</f>
        <v>0.70588235294117641</v>
      </c>
      <c r="BO1135" s="67">
        <f>(CK1135-Driver!$F$207)/(Driver!$G$207-Driver!$F$207)*$BI$1</f>
        <v>0.34126163391933811</v>
      </c>
      <c r="BP1135" s="67">
        <f>(CM1135-Driver!$F$208)/(Driver!$G$208-Driver!$F$208)*$BI$1</f>
        <v>0.76666666666666661</v>
      </c>
      <c r="BQ1135" s="67">
        <f>(CL1135-Driver!$F$209)/(Driver!$G$209-Driver!$F$209)*$BI$1</f>
        <v>0.9375</v>
      </c>
      <c r="BR1135" s="28" t="s">
        <v>155</v>
      </c>
      <c r="BS1135" s="8" t="s">
        <v>172</v>
      </c>
      <c r="BT1135" s="9" t="s">
        <v>770</v>
      </c>
      <c r="BU1135" s="10">
        <v>152</v>
      </c>
      <c r="BV1135" s="9" t="s">
        <v>163</v>
      </c>
      <c r="BW1135" s="10">
        <v>152</v>
      </c>
      <c r="BX1135" s="10">
        <v>152.4</v>
      </c>
      <c r="BY1135" s="10">
        <v>131</v>
      </c>
      <c r="BZ1135" s="10">
        <v>136</v>
      </c>
      <c r="CA1135" s="10">
        <v>121</v>
      </c>
      <c r="CB1135" s="10">
        <v>74</v>
      </c>
      <c r="CC1135" s="10">
        <v>107</v>
      </c>
      <c r="CD1135" s="10">
        <v>11.7</v>
      </c>
      <c r="CE1135" s="10">
        <v>1433</v>
      </c>
      <c r="CF1135" s="10">
        <v>0.95</v>
      </c>
      <c r="CG1135" s="10">
        <v>1357</v>
      </c>
      <c r="CH1135" s="10">
        <v>134</v>
      </c>
      <c r="CI1135" s="10">
        <v>45</v>
      </c>
      <c r="CJ1135" s="10">
        <v>35</v>
      </c>
      <c r="CK1135" s="10">
        <v>143</v>
      </c>
      <c r="CL1135" s="10">
        <v>6</v>
      </c>
      <c r="CM1135" s="10">
        <v>69</v>
      </c>
      <c r="CN1135" s="10">
        <v>0.157</v>
      </c>
      <c r="CO1135" s="10">
        <v>81</v>
      </c>
      <c r="CP1135" s="10">
        <v>79</v>
      </c>
      <c r="CQ1135" s="10">
        <v>62</v>
      </c>
      <c r="CR1135" s="10">
        <v>9</v>
      </c>
      <c r="CS1135" s="10">
        <v>8.1</v>
      </c>
      <c r="CT1135" s="9" t="s">
        <v>349</v>
      </c>
      <c r="CU1135" s="9" t="s">
        <v>231</v>
      </c>
      <c r="CV1135" s="10"/>
      <c r="CW1135" s="10"/>
      <c r="CX1135">
        <f>INDEX('Data_Price '!AG$2:AG$1266,MATCH(Data!$DN1135,'Data_Price '!$AT$2:$AT$1266,0))</f>
        <v>0</v>
      </c>
      <c r="CY1135">
        <f>INDEX('Data_Price '!AH$2:AH$1266,MATCH(Data!$DN1135,'Data_Price '!$AT$2:$AT$1266,0))</f>
        <v>0</v>
      </c>
      <c r="CZ1135">
        <f>INDEX('Data_Price '!AI$2:AI$1266,MATCH(Data!$DN1135,'Data_Price '!$AT$2:$AT$1266,0))</f>
        <v>0</v>
      </c>
      <c r="DA1135">
        <f>INDEX('Data_Price '!AJ$2:AJ$1266,MATCH(Data!$DN1135,'Data_Price '!$AT$2:$AT$1266,0))</f>
        <v>0</v>
      </c>
      <c r="DB1135">
        <f>INDEX('Data_Price '!AK$2:AK$1266,MATCH(Data!$DN1135,'Data_Price '!$AT$2:$AT$1266,0))</f>
        <v>0</v>
      </c>
      <c r="DC1135">
        <f>INDEX('Data_Price '!AL$2:AL$1266,MATCH(Data!$DN1135,'Data_Price '!$AT$2:$AT$1266,0))</f>
        <v>0</v>
      </c>
      <c r="DD1135">
        <f>INDEX('Data_Price '!AM$2:AM$1266,MATCH(Data!$DN1135,'Data_Price '!$AT$2:$AT$1266,0))</f>
        <v>0</v>
      </c>
      <c r="DE1135">
        <f>INDEX('Data_Price '!AN$2:AN$1266,MATCH(Data!$DN1135,'Data_Price '!$AT$2:$AT$1266,0))</f>
        <v>0</v>
      </c>
      <c r="DF1135">
        <f>INDEX('Data_Price '!AO$2:AO$1266,MATCH(Data!$DN1135,'Data_Price '!$AT$2:$AT$1266,0))</f>
        <v>0</v>
      </c>
      <c r="DG1135">
        <f>INDEX('Data_Price '!AP$2:AP$1266,MATCH(Data!$DN1135,'Data_Price '!$AT$2:$AT$1266,0))</f>
        <v>0</v>
      </c>
      <c r="DH1135">
        <f>INDEX('Data_Price '!AQ$2:AQ$1266,MATCH(Data!$DN1135,'Data_Price '!$AT$2:$AT$1266,0))</f>
        <v>0</v>
      </c>
      <c r="DI1135">
        <f>INDEX('Data_Price '!AR$2:AR$1266,MATCH(Data!$DN1135,'Data_Price '!$AT$2:$AT$1266,0))</f>
        <v>0</v>
      </c>
      <c r="DJ1135" s="89">
        <f t="shared" si="661"/>
        <v>0</v>
      </c>
      <c r="DK1135" s="89">
        <f t="shared" si="662"/>
        <v>0</v>
      </c>
      <c r="DL1135" s="89">
        <f t="shared" si="663"/>
        <v>0</v>
      </c>
      <c r="DM1135" s="219" t="str">
        <f t="shared" si="664"/>
        <v>Nova 2</v>
      </c>
      <c r="DN1135" s="89" t="str">
        <f t="shared" si="665"/>
        <v xml:space="preserve"> RossignolNova 2152 Women's</v>
      </c>
      <c r="DO1135" s="221" t="s">
        <v>771</v>
      </c>
    </row>
    <row r="1136" spans="2:119" ht="15.6" customHeight="1">
      <c r="B1136" s="219" t="b">
        <f t="array" ref="B1136">IF(OR(ISERROR(K1136:P1136)),FALSE,TRUE)</f>
        <v>1</v>
      </c>
      <c r="C1136" s="43" t="b">
        <f>OR(BR1136=Driver!$G$50,Data!BR168=Driver!$H$50)</f>
        <v>1</v>
      </c>
      <c r="D1136" s="43" t="b">
        <f>OR(BV1136=Driver!$G$51,BV1136=Driver!$H$51)</f>
        <v>1</v>
      </c>
      <c r="E1136" s="43" t="b">
        <f>AND(BX1136&gt;Driver!$F$54,BX1136&lt;Driver!$G$54)</f>
        <v>0</v>
      </c>
      <c r="F1136" s="43" t="b">
        <f>CL1136&gt;Driver!$F$56</f>
        <v>1</v>
      </c>
      <c r="G1136" s="43" t="b">
        <f>AND(CB1136&gt;Driver!$F$55,CB1136&lt;Driver!$G$55)</f>
        <v>0</v>
      </c>
      <c r="H1136" s="43" t="b">
        <f t="shared" si="629"/>
        <v>0</v>
      </c>
      <c r="I1136" s="43">
        <f t="shared" si="630"/>
        <v>0</v>
      </c>
      <c r="J1136" s="43" t="b">
        <f t="array" ref="J1136">NOT(OR(($H$9:$H$1273=TRUE)*($I$9:$I$1273&gt;0)*($BT$9:$BT$1273=BT1136)*($K$9:$K$1273&gt;K1136)))</f>
        <v>1</v>
      </c>
      <c r="K1136" s="72">
        <f t="shared" si="631"/>
        <v>0.78413208382495536</v>
      </c>
      <c r="L1136" s="72">
        <f t="shared" si="632"/>
        <v>0.95770824982737857</v>
      </c>
      <c r="M1136" s="72">
        <f t="shared" si="633"/>
        <v>0.61055591782253216</v>
      </c>
      <c r="N1136" s="72">
        <f t="shared" si="634"/>
        <v>0.61013018450609868</v>
      </c>
      <c r="O1136" s="72">
        <f t="shared" si="635"/>
        <v>0.66249789824088867</v>
      </c>
      <c r="P1136" s="72">
        <f t="shared" si="636"/>
        <v>0.55903967072060889</v>
      </c>
      <c r="Q1136" s="72"/>
      <c r="R1136" s="72"/>
      <c r="S1136" s="72">
        <f t="shared" si="637"/>
        <v>0.68204213414616244</v>
      </c>
      <c r="T1136" s="72">
        <f t="shared" si="638"/>
        <v>0.58135383879532498</v>
      </c>
      <c r="U1136" s="72">
        <f t="shared" si="639"/>
        <v>0.67546014380434016</v>
      </c>
      <c r="V1136" s="72">
        <f t="shared" si="640"/>
        <v>0.51689172920459314</v>
      </c>
      <c r="W1136" s="72">
        <f t="shared" si="641"/>
        <v>0.76446386411332634</v>
      </c>
      <c r="X1136" s="72">
        <f t="shared" si="642"/>
        <v>4.2291750172621434E-2</v>
      </c>
      <c r="Y1136" s="72">
        <f t="shared" si="643"/>
        <v>0.3894440821774679</v>
      </c>
      <c r="Z1136" s="72">
        <f t="shared" si="644"/>
        <v>0.38986981549390137</v>
      </c>
      <c r="AA1136" s="72">
        <f t="shared" si="645"/>
        <v>0.33750210175911138</v>
      </c>
      <c r="AB1136" s="72">
        <f t="shared" si="646"/>
        <v>0.44096032927939105</v>
      </c>
      <c r="AC1136" s="72"/>
      <c r="AD1136" s="72"/>
      <c r="AE1136" s="72">
        <f t="shared" si="647"/>
        <v>0.31795786585383751</v>
      </c>
      <c r="AF1136" s="72">
        <f t="shared" si="648"/>
        <v>0.41864616120467502</v>
      </c>
      <c r="AG1136" s="72">
        <f t="shared" si="649"/>
        <v>0.32453985619565989</v>
      </c>
      <c r="AH1136" s="72">
        <f t="shared" si="650"/>
        <v>0.4831082707954068</v>
      </c>
      <c r="AI1136" s="72">
        <f t="shared" si="651"/>
        <v>0.23553613588667366</v>
      </c>
      <c r="AJ1136" s="72">
        <f>(AV1136-Driver!$K$179)/(Driver!$L$179-Driver!$K$179)</f>
        <v>0.29651115945532186</v>
      </c>
      <c r="AK1136" s="72">
        <f>(AW1136-Driver!$K$180)/(Driver!$L$180-Driver!$K$180)</f>
        <v>0.6879293256498924</v>
      </c>
      <c r="AL1136" s="72">
        <f>(AX1136-Driver!$K$181)/(Driver!$L$181-Driver!$K$181)</f>
        <v>0.49155757920698157</v>
      </c>
      <c r="AM1136" s="72">
        <f>(AY1136-Driver!$K$182)/(Driver!$L$182-Driver!$K$182)</f>
        <v>0.10988291933793497</v>
      </c>
      <c r="AN1136" s="72">
        <f>(AZ1136-Driver!$K$183)/(Driver!$L$183-Driver!$K$183)</f>
        <v>0.69517973856209148</v>
      </c>
      <c r="AO1136" s="72"/>
      <c r="AP1136" s="72"/>
      <c r="AQ1136" s="72">
        <f>(BC1136-Driver!$K$188)/(Driver!$L$188-Driver!$K$188)</f>
        <v>0.30204213414616249</v>
      </c>
      <c r="AR1136" s="72">
        <f>MIN((BD1136-Driver!$K$189)/(Driver!$L$189-Driver!$K$189),100%)</f>
        <v>0.13135383879532506</v>
      </c>
      <c r="AS1136" s="72">
        <f>(BE1136-Driver!$K$190)/(Driver!$L$190-Driver!$K$190)</f>
        <v>0.18546014380434012</v>
      </c>
      <c r="AT1136" s="72">
        <f>(BF1136-Driver!$K$191)/(Driver!$L$191-Driver!$K$191)</f>
        <v>2.6891729204593182E-2</v>
      </c>
      <c r="AU1136" s="72">
        <f>(BG1136-Driver!$K$192)/(Driver!$L$192-Driver!$K$192)</f>
        <v>1.4463864113326338E-2</v>
      </c>
      <c r="AV1136" s="70">
        <f t="shared" si="652"/>
        <v>6.2406729073395741</v>
      </c>
      <c r="AW1136" s="70">
        <f t="shared" si="653"/>
        <v>68.916701079968675</v>
      </c>
      <c r="AX1136" s="70">
        <f t="shared" si="654"/>
        <v>5.4240182128628343</v>
      </c>
      <c r="AY1136" s="70">
        <f>IFERROR(Driver!$K$19/Data!BH1136/Data!BI1136*Data!BK1136*Data!BL1136,"")</f>
        <v>0.13452947916839481</v>
      </c>
      <c r="AZ1136" s="70">
        <f t="shared" si="655"/>
        <v>63.358153387937449</v>
      </c>
      <c r="BA1136" s="70"/>
      <c r="BB1136" s="70"/>
      <c r="BC1136" s="70">
        <f t="shared" si="656"/>
        <v>156.67135474446539</v>
      </c>
      <c r="BD1136" s="70">
        <f t="shared" si="657"/>
        <v>13.345404872253908</v>
      </c>
      <c r="BE1136" s="70">
        <f t="shared" si="658"/>
        <v>0.18560544854664882</v>
      </c>
      <c r="BF1136" s="70">
        <f t="shared" si="659"/>
        <v>3.0372318885687228</v>
      </c>
      <c r="BG1136" s="70">
        <f t="shared" si="660"/>
        <v>5.4769416480849951E-2</v>
      </c>
      <c r="BH1136" s="67">
        <f>MAX((CE1136-Driver!$F$200)/(Driver!$G$200-Driver!$F$200)*$BI$1,1)</f>
        <v>5.4240182128628343</v>
      </c>
      <c r="BI1136" s="67">
        <f>MAX($BI$1*(BY1136-Driver!$F$201)/(Driver!$G$201-Driver!$F$201),1)</f>
        <v>8.037974683544304</v>
      </c>
      <c r="BJ1136" s="67">
        <f>(CB1136-Driver!$F$206)/(Driver!$G$206-Driver!$F$206)*$BI$1</f>
        <v>3.6507936507936507</v>
      </c>
      <c r="BK1136" s="67">
        <f>(CD1136-Driver!$F$203)/(Driver!$G$203-Driver!$F$203)*$BI$1</f>
        <v>4.7247706422018352</v>
      </c>
      <c r="BL1136" s="67">
        <f>MAX((CR1136-Driver!$F$202)/(Driver!$G$202-Driver!$F$202)*$BI$1,1)</f>
        <v>6.2068965517241379</v>
      </c>
      <c r="BM1136" s="67">
        <f>MAX((CH1136-Driver!$F$204)/(Driver!$G$204-Driver!$F$204)*$BI$1,1)</f>
        <v>6.8376068376068382</v>
      </c>
      <c r="BN1136" s="67">
        <f>(CI1136-Driver!$F$205)/(Driver!$G$205-Driver!$F$205)*$BI$1</f>
        <v>7.8823529411764701</v>
      </c>
      <c r="BO1136" s="67">
        <f>(CK1136-Driver!$F$207)/(Driver!$G$207-Driver!$F$207)*$BI$1</f>
        <v>1.8717683557394003</v>
      </c>
      <c r="BP1136" s="67">
        <f>(CM1136-Driver!$F$208)/(Driver!$G$208-Driver!$F$208)*$BI$1</f>
        <v>2.1</v>
      </c>
      <c r="BQ1136" s="67">
        <f>(CL1136-Driver!$F$209)/(Driver!$G$209-Driver!$F$209)*$BI$1</f>
        <v>2.03125</v>
      </c>
      <c r="BR1136" s="28" t="s">
        <v>155</v>
      </c>
      <c r="BS1136" s="8" t="s">
        <v>156</v>
      </c>
      <c r="BT1136" s="9" t="s">
        <v>411</v>
      </c>
      <c r="BU1136" s="10">
        <v>184</v>
      </c>
      <c r="BV1136" s="9" t="s">
        <v>158</v>
      </c>
      <c r="BW1136" s="10">
        <v>184</v>
      </c>
      <c r="BX1136" s="10">
        <v>182.9</v>
      </c>
      <c r="BY1136" s="10">
        <v>135</v>
      </c>
      <c r="BZ1136" s="10">
        <v>156</v>
      </c>
      <c r="CA1136" s="10">
        <v>125</v>
      </c>
      <c r="CB1136" s="10">
        <v>87</v>
      </c>
      <c r="CC1136" s="10">
        <v>109</v>
      </c>
      <c r="CD1136" s="10">
        <v>19.7</v>
      </c>
      <c r="CE1136" s="10">
        <v>1853</v>
      </c>
      <c r="CF1136" s="10">
        <v>0.98</v>
      </c>
      <c r="CG1136" s="10">
        <v>1808</v>
      </c>
      <c r="CH1136" s="10">
        <v>261</v>
      </c>
      <c r="CI1136" s="10">
        <v>167</v>
      </c>
      <c r="CJ1136" s="10">
        <v>52</v>
      </c>
      <c r="CK1136" s="10">
        <v>291</v>
      </c>
      <c r="CL1136" s="10">
        <v>13</v>
      </c>
      <c r="CM1136" s="10">
        <v>189</v>
      </c>
      <c r="CN1136" s="10">
        <v>0.25700000000000001</v>
      </c>
      <c r="CO1136" s="10">
        <v>161</v>
      </c>
      <c r="CP1136" s="10">
        <v>107</v>
      </c>
      <c r="CQ1136" s="10">
        <v>130</v>
      </c>
      <c r="CR1136" s="10">
        <v>7</v>
      </c>
      <c r="CS1136" s="10">
        <v>8.5</v>
      </c>
      <c r="CT1136" s="9" t="s">
        <v>188</v>
      </c>
      <c r="CU1136" s="10"/>
      <c r="CV1136" s="10"/>
      <c r="CW1136" s="10"/>
      <c r="CX1136" t="str">
        <f>INDEX('Data_Price '!AG$2:AG$1266,MATCH(Data!$DN1136,'Data_Price '!$AT$2:$AT$1266,0))</f>
        <v>Atomic Maverick 88 Ti Skis</v>
      </c>
      <c r="CY1136" t="str">
        <f>INDEX('Data_Price '!AH$2:AH$1266,MATCH(Data!$DN1136,'Data_Price '!$AT$2:$AT$1266,0))</f>
        <v>Ski Pro  - Snow Ski &amp; Snowboard</v>
      </c>
      <c r="CZ1136">
        <f>INDEX('Data_Price '!AI$2:AI$1266,MATCH(Data!$DN1136,'Data_Price '!$AT$2:$AT$1266,0))</f>
        <v>519.95000000000005</v>
      </c>
      <c r="DA1136" t="str">
        <f>INDEX('Data_Price '!AJ$2:AJ$1266,MATCH(Data!$DN1136,'Data_Price '!$AT$2:$AT$1266,0))</f>
        <v>https://tinyurl.com/y9cz7m28</v>
      </c>
      <c r="DB1136" t="str">
        <f>INDEX('Data_Price '!AK$2:AK$1266,MATCH(Data!$DN1136,'Data_Price '!$AT$2:$AT$1266,0))</f>
        <v>Atomic Maverick 88 Ti Skis</v>
      </c>
      <c r="DC1136" t="str">
        <f>INDEX('Data_Price '!AL$2:AL$1266,MATCH(Data!$DN1136,'Data_Price '!$AT$2:$AT$1266,0))</f>
        <v>eBay - david110549</v>
      </c>
      <c r="DD1136">
        <f>INDEX('Data_Price '!AM$2:AM$1266,MATCH(Data!$DN1136,'Data_Price '!$AT$2:$AT$1266,0))</f>
        <v>519.99</v>
      </c>
      <c r="DE1136" t="str">
        <f>INDEX('Data_Price '!AN$2:AN$1266,MATCH(Data!$DN1136,'Data_Price '!$AT$2:$AT$1266,0))</f>
        <v>https://tinyurl.com/yc8nshpt</v>
      </c>
      <c r="DF1136" t="str">
        <f>INDEX('Data_Price '!AO$2:AO$1266,MATCH(Data!$DN1136,'Data_Price '!$AT$2:$AT$1266,0))</f>
        <v>Atomic Maverick 88 Ti Skis</v>
      </c>
      <c r="DG1136" t="str">
        <f>INDEX('Data_Price '!AP$2:AP$1266,MATCH(Data!$DN1136,'Data_Price '!$AT$2:$AT$1266,0))</f>
        <v>Curated</v>
      </c>
      <c r="DH1136">
        <f>INDEX('Data_Price '!AQ$2:AQ$1266,MATCH(Data!$DN1136,'Data_Price '!$AT$2:$AT$1266,0))</f>
        <v>519.99</v>
      </c>
      <c r="DI1136" t="str">
        <f>INDEX('Data_Price '!AR$2:AR$1266,MATCH(Data!$DN1136,'Data_Price '!$AT$2:$AT$1266,0))</f>
        <v>https://tinyurl.com/y7k87vra</v>
      </c>
      <c r="DJ1136" s="89" t="str">
        <f t="shared" si="661"/>
        <v>https://tinyurl.com/y9cz7m28</v>
      </c>
      <c r="DK1136" s="89" t="str">
        <f t="shared" si="662"/>
        <v>https://tinyurl.com/yc8nshpt</v>
      </c>
      <c r="DL1136" s="89" t="str">
        <f t="shared" si="663"/>
        <v>https://tinyurl.com/y7k87vra</v>
      </c>
      <c r="DM1136" s="219" t="str">
        <f t="shared" si="664"/>
        <v>Maverick 88 Ti</v>
      </c>
      <c r="DN1136" s="89" t="str">
        <f t="shared" si="665"/>
        <v xml:space="preserve"> AtomicMaverick 88 Ti184 Unisex</v>
      </c>
      <c r="DO1136" s="221" t="s">
        <v>412</v>
      </c>
    </row>
    <row r="1137" spans="2:119" ht="15.6" customHeight="1">
      <c r="B1137" s="219" t="b">
        <f t="array" ref="B1137">IF(OR(ISERROR(K1137:P1137)),FALSE,TRUE)</f>
        <v>1</v>
      </c>
      <c r="C1137" s="43" t="b">
        <f>OR(BR1137=Driver!$G$50,Data!BR645=Driver!$H$50)</f>
        <v>1</v>
      </c>
      <c r="D1137" s="43" t="b">
        <f>OR(BV1137=Driver!$G$51,BV1137=Driver!$H$51)</f>
        <v>1</v>
      </c>
      <c r="E1137" s="43" t="b">
        <f>AND(BX1137&gt;Driver!$F$54,BX1137&lt;Driver!$G$54)</f>
        <v>0</v>
      </c>
      <c r="F1137" s="43" t="b">
        <f>CL1137&gt;Driver!$F$56</f>
        <v>1</v>
      </c>
      <c r="G1137" s="43" t="b">
        <f>AND(CB1137&gt;Driver!$F$55,CB1137&lt;Driver!$G$55)</f>
        <v>0</v>
      </c>
      <c r="H1137" s="43" t="b">
        <f t="shared" si="629"/>
        <v>0</v>
      </c>
      <c r="I1137" s="43">
        <f t="shared" si="630"/>
        <v>0</v>
      </c>
      <c r="J1137" s="43" t="b">
        <f t="array" ref="J1137">NOT(OR(($H$9:$H$1273=TRUE)*($I$9:$I$1273&gt;0)*($BT$9:$BT$1273=BT1137)*($K$9:$K$1273&gt;K1137)))</f>
        <v>1</v>
      </c>
      <c r="K1137" s="72">
        <f t="shared" si="631"/>
        <v>0.70525961410739868</v>
      </c>
      <c r="L1137" s="72">
        <f t="shared" si="632"/>
        <v>0.80895035947082472</v>
      </c>
      <c r="M1137" s="72">
        <f t="shared" si="633"/>
        <v>0.60156886874397264</v>
      </c>
      <c r="N1137" s="72">
        <f t="shared" si="634"/>
        <v>0.38689613657085542</v>
      </c>
      <c r="O1137" s="72">
        <f t="shared" si="635"/>
        <v>0.58123811920189139</v>
      </c>
      <c r="P1137" s="72">
        <f t="shared" si="636"/>
        <v>0.836572350459171</v>
      </c>
      <c r="Q1137" s="72"/>
      <c r="R1137" s="72"/>
      <c r="S1137" s="72">
        <f t="shared" si="637"/>
        <v>0.49815694377437814</v>
      </c>
      <c r="T1137" s="72">
        <f t="shared" si="638"/>
        <v>0.55000000000000004</v>
      </c>
      <c r="U1137" s="72">
        <f t="shared" si="639"/>
        <v>0.51</v>
      </c>
      <c r="V1137" s="72">
        <f t="shared" si="640"/>
        <v>0.49116885644464259</v>
      </c>
      <c r="W1137" s="72">
        <f t="shared" si="641"/>
        <v>0.75463930212207397</v>
      </c>
      <c r="X1137" s="72">
        <f t="shared" si="642"/>
        <v>0.19104964052917534</v>
      </c>
      <c r="Y1137" s="72">
        <f t="shared" si="643"/>
        <v>0.39843113125602736</v>
      </c>
      <c r="Z1137" s="72">
        <f t="shared" si="644"/>
        <v>0.61310386342914458</v>
      </c>
      <c r="AA1137" s="72">
        <f t="shared" si="645"/>
        <v>0.41876188079810855</v>
      </c>
      <c r="AB1137" s="72">
        <f t="shared" si="646"/>
        <v>0.163427649540829</v>
      </c>
      <c r="AC1137" s="72"/>
      <c r="AD1137" s="72"/>
      <c r="AE1137" s="72">
        <f t="shared" si="647"/>
        <v>0.50184305622562186</v>
      </c>
      <c r="AF1137" s="72">
        <f t="shared" si="648"/>
        <v>0.44999999999999996</v>
      </c>
      <c r="AG1137" s="72">
        <f t="shared" si="649"/>
        <v>0.49</v>
      </c>
      <c r="AH1137" s="72">
        <f t="shared" si="650"/>
        <v>0.50883114355535741</v>
      </c>
      <c r="AI1137" s="72">
        <f t="shared" si="651"/>
        <v>0.24536069787792605</v>
      </c>
      <c r="AJ1137" s="72">
        <f>(AV1137-Driver!$K$179)/(Driver!$L$179-Driver!$K$179)</f>
        <v>6.3169768753525091E-2</v>
      </c>
      <c r="AK1137" s="72">
        <f>(AW1137-Driver!$K$180)/(Driver!$L$180-Driver!$K$180)</f>
        <v>0.44798708525760689</v>
      </c>
      <c r="AL1137" s="72">
        <f>(AX1137-Driver!$K$181)/(Driver!$L$181-Driver!$K$181)</f>
        <v>0.71479162714222477</v>
      </c>
      <c r="AM1137" s="72">
        <f>(AY1137-Driver!$K$182)/(Driver!$L$182-Driver!$K$182)</f>
        <v>2.8623140298937807E-2</v>
      </c>
      <c r="AN1137" s="72">
        <f>(AZ1137-Driver!$K$183)/(Driver!$L$183-Driver!$K$183)</f>
        <v>0.41764705882352943</v>
      </c>
      <c r="AO1137" s="72"/>
      <c r="AP1137" s="72"/>
      <c r="AQ1137" s="72">
        <f>(BC1137-Driver!$K$188)/(Driver!$L$188-Driver!$K$188)</f>
        <v>0.11815694377437817</v>
      </c>
      <c r="AR1137" s="72">
        <f>MIN((BD1137-Driver!$K$189)/(Driver!$L$189-Driver!$K$189),100%)</f>
        <v>1</v>
      </c>
      <c r="AS1137" s="72">
        <f>(BE1137-Driver!$K$190)/(Driver!$L$190-Driver!$K$190)</f>
        <v>1</v>
      </c>
      <c r="AT1137" s="72">
        <f>(BF1137-Driver!$K$191)/(Driver!$L$191-Driver!$K$191)</f>
        <v>1.1688564446426459E-3</v>
      </c>
      <c r="AU1137" s="72">
        <f>(BG1137-Driver!$K$192)/(Driver!$L$192-Driver!$K$192)</f>
        <v>4.6393021220739444E-3</v>
      </c>
      <c r="AV1137" s="70">
        <f t="shared" si="652"/>
        <v>1.3295346628679963</v>
      </c>
      <c r="AW1137" s="70">
        <f t="shared" si="653"/>
        <v>45.532203649205343</v>
      </c>
      <c r="AX1137" s="70">
        <f t="shared" si="654"/>
        <v>7.4331246442800225</v>
      </c>
      <c r="AY1137" s="70">
        <f>IFERROR(Driver!$K$19/Data!BH1137/Data!BI1137*Data!BK1137*Data!BL1137,"")</f>
        <v>3.5043264046686375E-2</v>
      </c>
      <c r="AZ1137" s="70">
        <f t="shared" si="655"/>
        <v>38.06403574087863</v>
      </c>
      <c r="BA1137" s="70"/>
      <c r="BB1137" s="70"/>
      <c r="BC1137" s="70">
        <f t="shared" si="656"/>
        <v>61.288828149516803</v>
      </c>
      <c r="BD1137" s="70">
        <f t="shared" si="657"/>
        <v>130.10765740536317</v>
      </c>
      <c r="BE1137" s="70">
        <f t="shared" si="658"/>
        <v>1</v>
      </c>
      <c r="BF1137" s="70">
        <f t="shared" si="659"/>
        <v>0.13201412374111446</v>
      </c>
      <c r="BG1137" s="70">
        <f t="shared" si="660"/>
        <v>1.7567357388973966E-2</v>
      </c>
      <c r="BH1137" s="67">
        <f>MAX((CE1137-Driver!$F$200)/(Driver!$G$200-Driver!$F$200)*$BI$1,1)</f>
        <v>7.4331246442800225</v>
      </c>
      <c r="BI1137" s="67">
        <f>MAX($BI$1*(BY1137-Driver!$F$201)/(Driver!$G$201-Driver!$F$201),1)</f>
        <v>8.9873417721518987</v>
      </c>
      <c r="BJ1137" s="67">
        <f>(CB1137-Driver!$F$206)/(Driver!$G$206-Driver!$F$206)*$BI$1</f>
        <v>1.1111111111111112</v>
      </c>
      <c r="BK1137" s="67">
        <f>(CD1137-Driver!$F$203)/(Driver!$G$203-Driver!$F$203)*$BI$1</f>
        <v>1.6972477064220182</v>
      </c>
      <c r="BL1137" s="67">
        <f>MAX((CR1137-Driver!$F$202)/(Driver!$G$202-Driver!$F$202)*$BI$1,1)</f>
        <v>6.8965517241379315</v>
      </c>
      <c r="BM1137" s="67">
        <f>MAX((CH1137-Driver!$F$204)/(Driver!$G$204-Driver!$F$204)*$BI$1,1)</f>
        <v>4.7863247863247862</v>
      </c>
      <c r="BN1137" s="67">
        <f>(CI1137-Driver!$F$205)/(Driver!$G$205-Driver!$F$205)*$BI$1</f>
        <v>4.2352941176470589</v>
      </c>
      <c r="BO1137" s="67">
        <f>(CK1137-Driver!$F$207)/(Driver!$G$207-Driver!$F$207)*$BI$1</f>
        <v>0.40330920372285417</v>
      </c>
      <c r="BP1137" s="67">
        <f>(CM1137-Driver!$F$208)/(Driver!$G$208-Driver!$F$208)*$BI$1</f>
        <v>0.5</v>
      </c>
      <c r="BQ1137" s="67">
        <f>(CL1137-Driver!$F$209)/(Driver!$G$209-Driver!$F$209)*$BI$1</f>
        <v>0.625</v>
      </c>
      <c r="BR1137" s="28" t="s">
        <v>155</v>
      </c>
      <c r="BS1137" s="8" t="s">
        <v>167</v>
      </c>
      <c r="BT1137" s="9" t="s">
        <v>869</v>
      </c>
      <c r="BU1137" s="10">
        <v>170</v>
      </c>
      <c r="BV1137" s="9" t="s">
        <v>158</v>
      </c>
      <c r="BW1137" s="10">
        <v>170</v>
      </c>
      <c r="BX1137" s="10">
        <v>169.3</v>
      </c>
      <c r="BY1137" s="10">
        <v>150</v>
      </c>
      <c r="BZ1137" s="10">
        <v>158</v>
      </c>
      <c r="CA1137" s="10">
        <v>128</v>
      </c>
      <c r="CB1137" s="10">
        <v>71</v>
      </c>
      <c r="CC1137" s="10">
        <v>109</v>
      </c>
      <c r="CD1137" s="10">
        <v>13.1</v>
      </c>
      <c r="CE1137" s="10">
        <v>2206</v>
      </c>
      <c r="CF1137" s="10">
        <v>0.68</v>
      </c>
      <c r="CG1137" s="10">
        <v>1491</v>
      </c>
      <c r="CH1137" s="10">
        <v>213</v>
      </c>
      <c r="CI1137" s="10">
        <v>105</v>
      </c>
      <c r="CJ1137" s="10">
        <v>36</v>
      </c>
      <c r="CK1137" s="10">
        <v>149</v>
      </c>
      <c r="CL1137" s="10">
        <v>4</v>
      </c>
      <c r="CM1137" s="10">
        <v>45</v>
      </c>
      <c r="CN1137" s="10">
        <v>0.104</v>
      </c>
      <c r="CO1137" s="10">
        <v>65</v>
      </c>
      <c r="CP1137" s="10">
        <v>51</v>
      </c>
      <c r="CQ1137" s="10">
        <v>84</v>
      </c>
      <c r="CR1137" s="10">
        <v>9</v>
      </c>
      <c r="CS1137" s="10">
        <v>12.9</v>
      </c>
      <c r="CT1137" s="9" t="s">
        <v>349</v>
      </c>
      <c r="CU1137" s="10"/>
      <c r="CV1137" s="10"/>
      <c r="CW1137" s="10"/>
      <c r="CX1137" t="str">
        <f>INDEX('Data_Price '!AG$2:AG$1266,MATCH(Data!$DN1137,'Data_Price '!$AT$2:$AT$1266,0))</f>
        <v>Head Supershape i.Rally Skis w Head PRX 12 Demo Bindings  Demo</v>
      </c>
      <c r="CY1137" t="str">
        <f>INDEX('Data_Price '!AH$2:AH$1266,MATCH(Data!$DN1137,'Data_Price '!$AT$2:$AT$1266,0))</f>
        <v>Powder7 Ski Shop</v>
      </c>
      <c r="CZ1137">
        <f>INDEX('Data_Price '!AI$2:AI$1266,MATCH(Data!$DN1137,'Data_Price '!$AT$2:$AT$1266,0))</f>
        <v>349.99</v>
      </c>
      <c r="DA1137" t="str">
        <f>INDEX('Data_Price '!AJ$2:AJ$1266,MATCH(Data!$DN1137,'Data_Price '!$AT$2:$AT$1266,0))</f>
        <v>https://tinyurl.com/ycxvesm3</v>
      </c>
      <c r="DB1137" t="str">
        <f>INDEX('Data_Price '!AK$2:AK$1266,MATCH(Data!$DN1137,'Data_Price '!$AT$2:$AT$1266,0))</f>
        <v>Head Supershape E-Speed/ PRD 12 System</v>
      </c>
      <c r="DC1137" t="str">
        <f>INDEX('Data_Price '!AL$2:AL$1266,MATCH(Data!$DN1137,'Data_Price '!$AT$2:$AT$1266,0))</f>
        <v>eBay - asogear</v>
      </c>
      <c r="DD1137">
        <f>INDEX('Data_Price '!AM$2:AM$1266,MATCH(Data!$DN1137,'Data_Price '!$AT$2:$AT$1266,0))</f>
        <v>689.99</v>
      </c>
      <c r="DE1137" t="str">
        <f>INDEX('Data_Price '!AN$2:AN$1266,MATCH(Data!$DN1137,'Data_Price '!$AT$2:$AT$1266,0))</f>
        <v>https://tinyurl.com/yb228rry</v>
      </c>
      <c r="DF1137" t="str">
        <f>INDEX('Data_Price '!AO$2:AO$1266,MATCH(Data!$DN1137,'Data_Price '!$AT$2:$AT$1266,0))</f>
        <v>Head Supershape e-Titan Skis</v>
      </c>
      <c r="DG1137" t="str">
        <f>INDEX('Data_Price '!AP$2:AP$1266,MATCH(Data!$DN1137,'Data_Price '!$AT$2:$AT$1266,0))</f>
        <v>Cole Sport</v>
      </c>
      <c r="DH1137">
        <f>INDEX('Data_Price '!AQ$2:AQ$1266,MATCH(Data!$DN1137,'Data_Price '!$AT$2:$AT$1266,0))</f>
        <v>749</v>
      </c>
      <c r="DI1137" t="str">
        <f>INDEX('Data_Price '!AR$2:AR$1266,MATCH(Data!$DN1137,'Data_Price '!$AT$2:$AT$1266,0))</f>
        <v>https://tinyurl.com/y83gyuum</v>
      </c>
      <c r="DJ1137" s="89" t="str">
        <f t="shared" si="661"/>
        <v>https://tinyurl.com/ycxvesm3</v>
      </c>
      <c r="DK1137" s="89" t="str">
        <f t="shared" si="662"/>
        <v>https://tinyurl.com/yb228rry</v>
      </c>
      <c r="DL1137" s="89" t="str">
        <f t="shared" si="663"/>
        <v>https://tinyurl.com/y83gyuum</v>
      </c>
      <c r="DM1137" s="219" t="str">
        <f t="shared" si="664"/>
        <v>Supershape e-Magnum</v>
      </c>
      <c r="DN1137" s="89" t="str">
        <f t="shared" si="665"/>
        <v xml:space="preserve"> HeadSupershape e-Magnum170 Unisex</v>
      </c>
      <c r="DO1137" s="221"/>
    </row>
    <row r="1138" spans="2:119" ht="15.6" customHeight="1">
      <c r="B1138" s="219" t="b">
        <f t="array" ref="B1138">IF(OR(ISERROR(K1138:P1138)),FALSE,TRUE)</f>
        <v>1</v>
      </c>
      <c r="C1138" s="43" t="b">
        <f>OR(BR1138=Driver!$G$50,Data!BR16=Driver!$H$50)</f>
        <v>1</v>
      </c>
      <c r="D1138" s="43" t="b">
        <f>OR(BV1138=Driver!$G$51,BV1138=Driver!$H$51)</f>
        <v>0</v>
      </c>
      <c r="E1138" s="43" t="b">
        <f>AND(BX1138&gt;Driver!$F$54,BX1138&lt;Driver!$G$54)</f>
        <v>0</v>
      </c>
      <c r="F1138" s="43" t="b">
        <f>CL1138&gt;Driver!$F$56</f>
        <v>1</v>
      </c>
      <c r="G1138" s="43" t="b">
        <f>AND(CB1138&gt;Driver!$F$55,CB1138&lt;Driver!$G$55)</f>
        <v>1</v>
      </c>
      <c r="H1138" s="43" t="b">
        <f t="shared" si="629"/>
        <v>0</v>
      </c>
      <c r="I1138" s="43">
        <f t="shared" si="630"/>
        <v>0</v>
      </c>
      <c r="J1138" s="43" t="b">
        <f t="array" ref="J1138">NOT(OR(($H$9:$H$1273=TRUE)*($I$9:$I$1273&gt;0)*($BT$9:$BT$1273=BT1138)*($K$9:$K$1273&gt;K1138)))</f>
        <v>1</v>
      </c>
      <c r="K1138" s="72">
        <f t="shared" si="631"/>
        <v>0.71527615467729388</v>
      </c>
      <c r="L1138" s="72">
        <f t="shared" si="632"/>
        <v>0.65966619036399932</v>
      </c>
      <c r="M1138" s="72">
        <f t="shared" si="633"/>
        <v>0.77088611899058845</v>
      </c>
      <c r="N1138" s="72">
        <f t="shared" si="634"/>
        <v>0.65313277730948816</v>
      </c>
      <c r="O1138" s="72">
        <f t="shared" si="635"/>
        <v>0.85759302816066385</v>
      </c>
      <c r="P1138" s="72">
        <f t="shared" si="636"/>
        <v>0.80193255150161336</v>
      </c>
      <c r="Q1138" s="72"/>
      <c r="R1138" s="72"/>
      <c r="S1138" s="72">
        <f t="shared" si="637"/>
        <v>0.41396776528257517</v>
      </c>
      <c r="T1138" s="72">
        <f t="shared" si="638"/>
        <v>0.43599863172192044</v>
      </c>
      <c r="U1138" s="72">
        <f t="shared" si="639"/>
        <v>0.49039630300741877</v>
      </c>
      <c r="V1138" s="72">
        <f t="shared" si="640"/>
        <v>0.99103256540761131</v>
      </c>
      <c r="W1138" s="72">
        <f t="shared" si="641"/>
        <v>0.78785058836230171</v>
      </c>
      <c r="X1138" s="72">
        <f t="shared" si="642"/>
        <v>0.34033380963600063</v>
      </c>
      <c r="Y1138" s="72">
        <f t="shared" si="643"/>
        <v>0.22911388100941155</v>
      </c>
      <c r="Z1138" s="72">
        <f t="shared" si="644"/>
        <v>0.34686722269051179</v>
      </c>
      <c r="AA1138" s="72">
        <f t="shared" si="645"/>
        <v>0.14240697183933609</v>
      </c>
      <c r="AB1138" s="72">
        <f t="shared" si="646"/>
        <v>0.1980674484983867</v>
      </c>
      <c r="AC1138" s="72"/>
      <c r="AD1138" s="72"/>
      <c r="AE1138" s="72">
        <f t="shared" si="647"/>
        <v>0.58603223471742483</v>
      </c>
      <c r="AF1138" s="72">
        <f t="shared" si="648"/>
        <v>0.56400136827807956</v>
      </c>
      <c r="AG1138" s="72">
        <f t="shared" si="649"/>
        <v>0.50960369699258123</v>
      </c>
      <c r="AH1138" s="72">
        <f t="shared" si="650"/>
        <v>8.96743459238869E-3</v>
      </c>
      <c r="AI1138" s="72">
        <f t="shared" si="651"/>
        <v>0.21214941163769835</v>
      </c>
      <c r="AJ1138" s="72">
        <f>(AV1138-Driver!$K$179)/(Driver!$L$179-Driver!$K$179)</f>
        <v>0.59455321891870105</v>
      </c>
      <c r="AK1138" s="72">
        <f>(AW1138-Driver!$K$180)/(Driver!$L$180-Driver!$K$180)</f>
        <v>8.881833179553951E-2</v>
      </c>
      <c r="AL1138" s="72">
        <f>(AX1138-Driver!$K$181)/(Driver!$L$181-Driver!$K$181)</f>
        <v>0.44855498640359198</v>
      </c>
      <c r="AM1138" s="72">
        <f>(AY1138-Driver!$K$182)/(Driver!$L$182-Driver!$K$182)</f>
        <v>0.30497804925771027</v>
      </c>
      <c r="AN1138" s="72">
        <f>(AZ1138-Driver!$K$183)/(Driver!$L$183-Driver!$K$183)</f>
        <v>5.6151960784313719E-2</v>
      </c>
      <c r="AO1138" s="72"/>
      <c r="AP1138" s="72"/>
      <c r="AQ1138" s="72">
        <f>(BC1138-Driver!$K$188)/(Driver!$L$188-Driver!$K$188)</f>
        <v>3.3967765282575169E-2</v>
      </c>
      <c r="AR1138" s="72">
        <f>MIN((BD1138-Driver!$K$189)/(Driver!$L$189-Driver!$K$189),100%)</f>
        <v>-1.4001368278079499E-2</v>
      </c>
      <c r="AS1138" s="72">
        <f>(BE1138-Driver!$K$190)/(Driver!$L$190-Driver!$K$190)</f>
        <v>3.9630300741880372E-4</v>
      </c>
      <c r="AT1138" s="72">
        <f>(BF1138-Driver!$K$191)/(Driver!$L$191-Driver!$K$191)</f>
        <v>0.50103256540761132</v>
      </c>
      <c r="AU1138" s="72">
        <f>(BG1138-Driver!$K$192)/(Driver!$L$192-Driver!$K$192)</f>
        <v>3.7850588362301638E-2</v>
      </c>
      <c r="AV1138" s="70">
        <f t="shared" si="652"/>
        <v>12.513566680233346</v>
      </c>
      <c r="AW1138" s="70">
        <f t="shared" si="653"/>
        <v>10.528026065414547</v>
      </c>
      <c r="AX1138" s="70">
        <f t="shared" si="654"/>
        <v>5.0369948776323277</v>
      </c>
      <c r="AY1138" s="70">
        <f>IFERROR(Driver!$K$19/Data!BH1138/Data!BI1138*Data!BK1138*Data!BL1138,"")</f>
        <v>0.37338412895868978</v>
      </c>
      <c r="AZ1138" s="70">
        <f t="shared" si="655"/>
        <v>5.117647058823529</v>
      </c>
      <c r="BA1138" s="70"/>
      <c r="BB1138" s="70"/>
      <c r="BC1138" s="70">
        <f t="shared" si="656"/>
        <v>17.619315992144948</v>
      </c>
      <c r="BD1138" s="70">
        <f t="shared" si="657"/>
        <v>0.48172660044425686</v>
      </c>
      <c r="BE1138" s="70">
        <f t="shared" si="658"/>
        <v>5.7462105594342642E-4</v>
      </c>
      <c r="BF1138" s="70">
        <f t="shared" si="659"/>
        <v>56.588108309802251</v>
      </c>
      <c r="BG1138" s="70">
        <f t="shared" si="660"/>
        <v>0.14332647360466375</v>
      </c>
      <c r="BH1138" s="67">
        <f>MAX((CE1138-Driver!$F$200)/(Driver!$G$200-Driver!$F$200)*$BI$1,1)</f>
        <v>5.0369948776323277</v>
      </c>
      <c r="BI1138" s="67">
        <f>MAX($BI$1*(BY1138-Driver!$F$201)/(Driver!$G$201-Driver!$F$201),1)</f>
        <v>1</v>
      </c>
      <c r="BJ1138" s="67">
        <f>(CB1138-Driver!$F$206)/(Driver!$G$206-Driver!$F$206)*$BI$1</f>
        <v>7.4603174603174605</v>
      </c>
      <c r="BK1138" s="67">
        <f>(CD1138-Driver!$F$203)/(Driver!$G$203-Driver!$F$203)*$BI$1</f>
        <v>9.4036697247706442</v>
      </c>
      <c r="BL1138" s="67">
        <f>MAX((CR1138-Driver!$F$202)/(Driver!$G$202-Driver!$F$202)*$BI$1,1)</f>
        <v>1</v>
      </c>
      <c r="BM1138" s="67">
        <f>MAX((CH1138-Driver!$F$204)/(Driver!$G$204-Driver!$F$204)*$BI$1,1)</f>
        <v>6.7094017094017087</v>
      </c>
      <c r="BN1138" s="67">
        <f>(CI1138-Driver!$F$205)/(Driver!$G$205-Driver!$F$205)*$BI$1</f>
        <v>5.117647058823529</v>
      </c>
      <c r="BO1138" s="67">
        <f>(CK1138-Driver!$F$207)/(Driver!$G$207-Driver!$F$207)*$BI$1</f>
        <v>8.2833505687693894</v>
      </c>
      <c r="BP1138" s="67">
        <f>(CM1138-Driver!$F$208)/(Driver!$G$208-Driver!$F$208)*$BI$1</f>
        <v>8.6111111111111107</v>
      </c>
      <c r="BQ1138" s="67">
        <f>(CL1138-Driver!$F$209)/(Driver!$G$209-Driver!$F$209)*$BI$1</f>
        <v>4.84375</v>
      </c>
      <c r="BR1138" s="28" t="s">
        <v>155</v>
      </c>
      <c r="BS1138" s="8" t="s">
        <v>190</v>
      </c>
      <c r="BT1138" s="9" t="s">
        <v>870</v>
      </c>
      <c r="BU1138" s="10">
        <v>170</v>
      </c>
      <c r="BV1138" s="9" t="s">
        <v>163</v>
      </c>
      <c r="BW1138" s="10">
        <v>170</v>
      </c>
      <c r="BX1138" s="10">
        <v>168.6</v>
      </c>
      <c r="BY1138" s="10">
        <v>0</v>
      </c>
      <c r="BZ1138" s="10">
        <v>117</v>
      </c>
      <c r="CA1138" s="10">
        <v>125</v>
      </c>
      <c r="CB1138" s="10">
        <v>111</v>
      </c>
      <c r="CC1138" s="10">
        <v>117</v>
      </c>
      <c r="CD1138" s="10">
        <v>29.9</v>
      </c>
      <c r="CE1138" s="10">
        <v>1785</v>
      </c>
      <c r="CF1138" s="10">
        <v>1.08</v>
      </c>
      <c r="CG1138" s="10">
        <v>1933</v>
      </c>
      <c r="CH1138" s="10">
        <v>258</v>
      </c>
      <c r="CI1138" s="10">
        <v>120</v>
      </c>
      <c r="CJ1138" s="10">
        <v>76</v>
      </c>
      <c r="CK1138" s="10">
        <v>911</v>
      </c>
      <c r="CL1138" s="10">
        <v>31</v>
      </c>
      <c r="CM1138" s="10">
        <v>775</v>
      </c>
      <c r="CN1138" s="10">
        <v>0.41099999999999998</v>
      </c>
      <c r="CO1138" s="10">
        <v>200</v>
      </c>
      <c r="CP1138" s="10">
        <v>314</v>
      </c>
      <c r="CQ1138" s="10">
        <v>711</v>
      </c>
      <c r="CR1138" s="10">
        <v>-11</v>
      </c>
      <c r="CS1138" s="10">
        <v>6.8</v>
      </c>
      <c r="CT1138" s="9" t="s">
        <v>169</v>
      </c>
      <c r="CU1138" s="9" t="s">
        <v>185</v>
      </c>
      <c r="CV1138" s="10"/>
      <c r="CW1138" s="10"/>
      <c r="CX1138" t="e">
        <f>INDEX('Data_Price '!AG$2:AG$1266,MATCH(Data!$DN1138,'Data_Price '!$AT$2:$AT$1266,0))</f>
        <v>#N/A</v>
      </c>
      <c r="CY1138" t="e">
        <f>INDEX('Data_Price '!AH$2:AH$1266,MATCH(Data!$DN1138,'Data_Price '!$AT$2:$AT$1266,0))</f>
        <v>#N/A</v>
      </c>
      <c r="CZ1138" t="e">
        <f>INDEX('Data_Price '!AI$2:AI$1266,MATCH(Data!$DN1138,'Data_Price '!$AT$2:$AT$1266,0))</f>
        <v>#N/A</v>
      </c>
      <c r="DA1138" t="e">
        <f>INDEX('Data_Price '!AJ$2:AJ$1266,MATCH(Data!$DN1138,'Data_Price '!$AT$2:$AT$1266,0))</f>
        <v>#N/A</v>
      </c>
      <c r="DB1138" t="e">
        <f>INDEX('Data_Price '!AK$2:AK$1266,MATCH(Data!$DN1138,'Data_Price '!$AT$2:$AT$1266,0))</f>
        <v>#N/A</v>
      </c>
      <c r="DC1138" t="e">
        <f>INDEX('Data_Price '!AL$2:AL$1266,MATCH(Data!$DN1138,'Data_Price '!$AT$2:$AT$1266,0))</f>
        <v>#N/A</v>
      </c>
      <c r="DD1138" t="e">
        <f>INDEX('Data_Price '!AM$2:AM$1266,MATCH(Data!$DN1138,'Data_Price '!$AT$2:$AT$1266,0))</f>
        <v>#N/A</v>
      </c>
      <c r="DE1138" t="e">
        <f>INDEX('Data_Price '!AN$2:AN$1266,MATCH(Data!$DN1138,'Data_Price '!$AT$2:$AT$1266,0))</f>
        <v>#N/A</v>
      </c>
      <c r="DF1138" t="e">
        <f>INDEX('Data_Price '!AO$2:AO$1266,MATCH(Data!$DN1138,'Data_Price '!$AT$2:$AT$1266,0))</f>
        <v>#N/A</v>
      </c>
      <c r="DG1138" t="e">
        <f>INDEX('Data_Price '!AP$2:AP$1266,MATCH(Data!$DN1138,'Data_Price '!$AT$2:$AT$1266,0))</f>
        <v>#N/A</v>
      </c>
      <c r="DH1138" t="e">
        <f>INDEX('Data_Price '!AQ$2:AQ$1266,MATCH(Data!$DN1138,'Data_Price '!$AT$2:$AT$1266,0))</f>
        <v>#N/A</v>
      </c>
      <c r="DI1138" t="e">
        <f>INDEX('Data_Price '!AR$2:AR$1266,MATCH(Data!$DN1138,'Data_Price '!$AT$2:$AT$1266,0))</f>
        <v>#N/A</v>
      </c>
      <c r="DJ1138" s="89" t="e">
        <f t="shared" si="661"/>
        <v>#N/A</v>
      </c>
      <c r="DK1138" s="89" t="e">
        <f t="shared" si="662"/>
        <v>#N/A</v>
      </c>
      <c r="DL1138" s="89" t="e">
        <f t="shared" si="663"/>
        <v>#N/A</v>
      </c>
      <c r="DM1138" s="219" t="str">
        <f t="shared" si="664"/>
        <v>Hoji CC</v>
      </c>
      <c r="DN1138" s="89" t="str">
        <f t="shared" si="665"/>
        <v xml:space="preserve"> 4FRNTHoji CC170 Women's</v>
      </c>
      <c r="DO1138" s="221"/>
    </row>
    <row r="1139" spans="2:119" ht="15.6" customHeight="1">
      <c r="B1139" s="219" t="b">
        <f t="array" ref="B1139">IF(OR(ISERROR(K1139:P1139)),FALSE,TRUE)</f>
        <v>1</v>
      </c>
      <c r="C1139" s="43" t="b">
        <f>OR(BR1139=Driver!$G$50,Data!BR956=Driver!$H$50)</f>
        <v>1</v>
      </c>
      <c r="D1139" s="43" t="b">
        <f>OR(BV1139=Driver!$G$51,BV1139=Driver!$H$51)</f>
        <v>1</v>
      </c>
      <c r="E1139" s="43" t="b">
        <f>AND(BX1139&gt;Driver!$F$54,BX1139&lt;Driver!$G$54)</f>
        <v>0</v>
      </c>
      <c r="F1139" s="43" t="b">
        <f>CL1139&gt;Driver!$F$56</f>
        <v>1</v>
      </c>
      <c r="G1139" s="43" t="b">
        <f>AND(CB1139&gt;Driver!$F$55,CB1139&lt;Driver!$G$55)</f>
        <v>0</v>
      </c>
      <c r="H1139" s="43" t="b">
        <f t="shared" si="629"/>
        <v>0</v>
      </c>
      <c r="I1139" s="43">
        <f t="shared" si="630"/>
        <v>0</v>
      </c>
      <c r="J1139" s="43" t="b">
        <f t="array" ref="J1139">NOT(OR(($H$9:$H$1273=TRUE)*($I$9:$I$1273&gt;0)*($BT$9:$BT$1273=BT1139)*($K$9:$K$1273&gt;K1139)))</f>
        <v>1</v>
      </c>
      <c r="K1139" s="72">
        <f t="shared" si="631"/>
        <v>0.73567478184009749</v>
      </c>
      <c r="L1139" s="72">
        <f t="shared" si="632"/>
        <v>0.85125154390398872</v>
      </c>
      <c r="M1139" s="72">
        <f t="shared" si="633"/>
        <v>0.62009801977620627</v>
      </c>
      <c r="N1139" s="72">
        <f t="shared" si="634"/>
        <v>0.64617647553246926</v>
      </c>
      <c r="O1139" s="72">
        <f t="shared" si="635"/>
        <v>0.60614000457880834</v>
      </c>
      <c r="P1139" s="72">
        <f t="shared" si="636"/>
        <v>0.60797757921734097</v>
      </c>
      <c r="Q1139" s="72"/>
      <c r="R1139" s="72"/>
      <c r="S1139" s="72">
        <f t="shared" si="637"/>
        <v>0.58497419261134298</v>
      </c>
      <c r="T1139" s="72">
        <f t="shared" si="638"/>
        <v>0.8672805303827309</v>
      </c>
      <c r="U1139" s="72">
        <f t="shared" si="639"/>
        <v>0.51</v>
      </c>
      <c r="V1139" s="72">
        <f t="shared" si="640"/>
        <v>0.49599552070532837</v>
      </c>
      <c r="W1139" s="72">
        <f t="shared" si="641"/>
        <v>0.76431994672869141</v>
      </c>
      <c r="X1139" s="72">
        <f t="shared" si="642"/>
        <v>0.14874845609601123</v>
      </c>
      <c r="Y1139" s="72">
        <f t="shared" si="643"/>
        <v>0.37990198022379373</v>
      </c>
      <c r="Z1139" s="72">
        <f t="shared" si="644"/>
        <v>0.35382352446753068</v>
      </c>
      <c r="AA1139" s="72">
        <f t="shared" si="645"/>
        <v>0.3938599954211916</v>
      </c>
      <c r="AB1139" s="72">
        <f t="shared" si="646"/>
        <v>0.39202242078265898</v>
      </c>
      <c r="AC1139" s="72"/>
      <c r="AD1139" s="72"/>
      <c r="AE1139" s="72">
        <f t="shared" si="647"/>
        <v>0.41502580738865702</v>
      </c>
      <c r="AF1139" s="72">
        <f t="shared" si="648"/>
        <v>0.13271946961726916</v>
      </c>
      <c r="AG1139" s="72">
        <f t="shared" si="649"/>
        <v>0.49</v>
      </c>
      <c r="AH1139" s="72">
        <f t="shared" si="650"/>
        <v>0.50400447929467163</v>
      </c>
      <c r="AI1139" s="72">
        <f t="shared" si="651"/>
        <v>0.23568005327130853</v>
      </c>
      <c r="AJ1139" s="72">
        <f>(AV1139-Driver!$K$179)/(Driver!$L$179-Driver!$K$179)</f>
        <v>0.10547095318668921</v>
      </c>
      <c r="AK1139" s="72">
        <f>(AW1139-Driver!$K$180)/(Driver!$L$180-Driver!$K$180)</f>
        <v>0.63812801190457025</v>
      </c>
      <c r="AL1139" s="72">
        <f>(AX1139-Driver!$K$181)/(Driver!$L$181-Driver!$K$181)</f>
        <v>0.45551128818061087</v>
      </c>
      <c r="AM1139" s="72">
        <f>(AY1139-Driver!$K$182)/(Driver!$L$182-Driver!$K$182)</f>
        <v>5.3525025675854751E-2</v>
      </c>
      <c r="AN1139" s="72">
        <f>(AZ1139-Driver!$K$183)/(Driver!$L$183-Driver!$K$183)</f>
        <v>0.6462418300653594</v>
      </c>
      <c r="AO1139" s="72"/>
      <c r="AP1139" s="72"/>
      <c r="AQ1139" s="72">
        <f>(BC1139-Driver!$K$188)/(Driver!$L$188-Driver!$K$188)</f>
        <v>0.204974192611343</v>
      </c>
      <c r="AR1139" s="72">
        <f>MIN((BD1139-Driver!$K$189)/(Driver!$L$189-Driver!$K$189),100%)</f>
        <v>0.41728053038273089</v>
      </c>
      <c r="AS1139" s="72">
        <f>(BE1139-Driver!$K$190)/(Driver!$L$190-Driver!$K$190)</f>
        <v>1</v>
      </c>
      <c r="AT1139" s="72">
        <f>(BF1139-Driver!$K$191)/(Driver!$L$191-Driver!$K$191)</f>
        <v>5.9955207053284205E-3</v>
      </c>
      <c r="AU1139" s="72">
        <f>(BG1139-Driver!$K$192)/(Driver!$L$192-Driver!$K$192)</f>
        <v>1.4319946728691479E-2</v>
      </c>
      <c r="AV1139" s="70">
        <f t="shared" si="652"/>
        <v>2.2198480531813862</v>
      </c>
      <c r="AW1139" s="70">
        <f t="shared" si="653"/>
        <v>64.063121770956073</v>
      </c>
      <c r="AX1139" s="70">
        <f t="shared" si="654"/>
        <v>5.0996015936254979</v>
      </c>
      <c r="AY1139" s="70">
        <f>IFERROR(Driver!$K$19/Data!BH1139/Data!BI1139*Data!BK1139*Data!BL1139,"")</f>
        <v>6.5530601753513815E-2</v>
      </c>
      <c r="AZ1139" s="70">
        <f t="shared" si="655"/>
        <v>58.897989575577057</v>
      </c>
      <c r="BA1139" s="70"/>
      <c r="BB1139" s="70"/>
      <c r="BC1139" s="70">
        <f t="shared" si="656"/>
        <v>106.32153866497273</v>
      </c>
      <c r="BD1139" s="70">
        <f t="shared" si="657"/>
        <v>38.649410445620831</v>
      </c>
      <c r="BE1139" s="70">
        <f t="shared" si="658"/>
        <v>1</v>
      </c>
      <c r="BF1139" s="70">
        <f t="shared" si="659"/>
        <v>0.67715194275001245</v>
      </c>
      <c r="BG1139" s="70">
        <f t="shared" si="660"/>
        <v>5.4224453453256313E-2</v>
      </c>
      <c r="BH1139" s="67">
        <f>MAX((CE1139-Driver!$F$200)/(Driver!$G$200-Driver!$F$200)*$BI$1,1)</f>
        <v>5.0996015936254979</v>
      </c>
      <c r="BI1139" s="67">
        <f>MAX($BI$1*(BY1139-Driver!$F$201)/(Driver!$G$201-Driver!$F$201),1)</f>
        <v>8.8607594936708853</v>
      </c>
      <c r="BJ1139" s="67">
        <f>(CB1139-Driver!$F$206)/(Driver!$G$206-Driver!$F$206)*$BI$1</f>
        <v>1.746031746031746</v>
      </c>
      <c r="BK1139" s="67">
        <f>(CD1139-Driver!$F$203)/(Driver!$G$203-Driver!$F$203)*$BI$1</f>
        <v>2.3853211009174311</v>
      </c>
      <c r="BL1139" s="67">
        <f>MAX((CR1139-Driver!$F$202)/(Driver!$G$202-Driver!$F$202)*$BI$1,1)</f>
        <v>6.2068965517241379</v>
      </c>
      <c r="BM1139" s="67">
        <f>MAX((CH1139-Driver!$F$204)/(Driver!$G$204-Driver!$F$204)*$BI$1,1)</f>
        <v>5.0854700854700852</v>
      </c>
      <c r="BN1139" s="67">
        <f>(CI1139-Driver!$F$205)/(Driver!$G$205-Driver!$F$205)*$BI$1</f>
        <v>6.6470588235294112</v>
      </c>
      <c r="BO1139" s="67">
        <f>(CK1139-Driver!$F$207)/(Driver!$G$207-Driver!$F$207)*$BI$1</f>
        <v>1.0031023784901758</v>
      </c>
      <c r="BP1139" s="67">
        <f>(CM1139-Driver!$F$208)/(Driver!$G$208-Driver!$F$208)*$BI$1</f>
        <v>0.92222222222222217</v>
      </c>
      <c r="BQ1139" s="67">
        <f>(CL1139-Driver!$F$209)/(Driver!$G$209-Driver!$F$209)*$BI$1</f>
        <v>1.40625</v>
      </c>
      <c r="BR1139" s="28" t="s">
        <v>155</v>
      </c>
      <c r="BS1139" s="8" t="s">
        <v>227</v>
      </c>
      <c r="BT1139" s="9" t="s">
        <v>827</v>
      </c>
      <c r="BU1139" s="10">
        <v>178</v>
      </c>
      <c r="BV1139" s="9" t="s">
        <v>158</v>
      </c>
      <c r="BW1139" s="10">
        <v>178</v>
      </c>
      <c r="BX1139" s="10">
        <v>176.6</v>
      </c>
      <c r="BY1139" s="10">
        <v>148</v>
      </c>
      <c r="BZ1139" s="10">
        <v>167</v>
      </c>
      <c r="CA1139" s="10">
        <v>131</v>
      </c>
      <c r="CB1139" s="10">
        <v>75</v>
      </c>
      <c r="CC1139" s="10">
        <v>115</v>
      </c>
      <c r="CD1139" s="10">
        <v>14.6</v>
      </c>
      <c r="CE1139" s="10">
        <v>1796</v>
      </c>
      <c r="CF1139" s="10">
        <v>0.91</v>
      </c>
      <c r="CG1139" s="10">
        <v>1632</v>
      </c>
      <c r="CH1139" s="10">
        <v>220</v>
      </c>
      <c r="CI1139" s="10">
        <v>146</v>
      </c>
      <c r="CJ1139" s="10">
        <v>48</v>
      </c>
      <c r="CK1139" s="10">
        <v>207</v>
      </c>
      <c r="CL1139" s="10">
        <v>9</v>
      </c>
      <c r="CM1139" s="10">
        <v>83</v>
      </c>
      <c r="CN1139" s="10">
        <v>0.182</v>
      </c>
      <c r="CO1139" s="10">
        <v>52</v>
      </c>
      <c r="CP1139" s="10">
        <v>47</v>
      </c>
      <c r="CQ1139" s="10">
        <v>155</v>
      </c>
      <c r="CR1139" s="10">
        <v>7</v>
      </c>
      <c r="CS1139" s="10">
        <v>12.8</v>
      </c>
      <c r="CT1139" s="9" t="s">
        <v>349</v>
      </c>
      <c r="CU1139" s="10"/>
      <c r="CV1139" s="10"/>
      <c r="CW1139" s="10"/>
      <c r="CX1139">
        <f>INDEX('Data_Price '!AG$2:AG$1266,MATCH(Data!$DN1139,'Data_Price '!$AT$2:$AT$1266,0))</f>
        <v>0</v>
      </c>
      <c r="CY1139">
        <f>INDEX('Data_Price '!AH$2:AH$1266,MATCH(Data!$DN1139,'Data_Price '!$AT$2:$AT$1266,0))</f>
        <v>0</v>
      </c>
      <c r="CZ1139">
        <f>INDEX('Data_Price '!AI$2:AI$1266,MATCH(Data!$DN1139,'Data_Price '!$AT$2:$AT$1266,0))</f>
        <v>0</v>
      </c>
      <c r="DA1139">
        <f>INDEX('Data_Price '!AJ$2:AJ$1266,MATCH(Data!$DN1139,'Data_Price '!$AT$2:$AT$1266,0))</f>
        <v>0</v>
      </c>
      <c r="DB1139">
        <f>INDEX('Data_Price '!AK$2:AK$1266,MATCH(Data!$DN1139,'Data_Price '!$AT$2:$AT$1266,0))</f>
        <v>0</v>
      </c>
      <c r="DC1139">
        <f>INDEX('Data_Price '!AL$2:AL$1266,MATCH(Data!$DN1139,'Data_Price '!$AT$2:$AT$1266,0))</f>
        <v>0</v>
      </c>
      <c r="DD1139">
        <f>INDEX('Data_Price '!AM$2:AM$1266,MATCH(Data!$DN1139,'Data_Price '!$AT$2:$AT$1266,0))</f>
        <v>0</v>
      </c>
      <c r="DE1139">
        <f>INDEX('Data_Price '!AN$2:AN$1266,MATCH(Data!$DN1139,'Data_Price '!$AT$2:$AT$1266,0))</f>
        <v>0</v>
      </c>
      <c r="DF1139">
        <f>INDEX('Data_Price '!AO$2:AO$1266,MATCH(Data!$DN1139,'Data_Price '!$AT$2:$AT$1266,0))</f>
        <v>0</v>
      </c>
      <c r="DG1139">
        <f>INDEX('Data_Price '!AP$2:AP$1266,MATCH(Data!$DN1139,'Data_Price '!$AT$2:$AT$1266,0))</f>
        <v>0</v>
      </c>
      <c r="DH1139">
        <f>INDEX('Data_Price '!AQ$2:AQ$1266,MATCH(Data!$DN1139,'Data_Price '!$AT$2:$AT$1266,0))</f>
        <v>0</v>
      </c>
      <c r="DI1139">
        <f>INDEX('Data_Price '!AR$2:AR$1266,MATCH(Data!$DN1139,'Data_Price '!$AT$2:$AT$1266,0))</f>
        <v>0</v>
      </c>
      <c r="DJ1139" s="89">
        <f t="shared" si="661"/>
        <v>0</v>
      </c>
      <c r="DK1139" s="89">
        <f t="shared" si="662"/>
        <v>0</v>
      </c>
      <c r="DL1139" s="89">
        <f t="shared" si="663"/>
        <v>0</v>
      </c>
      <c r="DM1139" s="219" t="str">
        <f t="shared" si="664"/>
        <v>Le Condor Ti</v>
      </c>
      <c r="DN1139" s="89" t="str">
        <f t="shared" si="665"/>
        <v xml:space="preserve"> RaccoonLe Condor Ti178 Unisex</v>
      </c>
      <c r="DO1139" s="221"/>
    </row>
    <row r="1140" spans="2:119" ht="15.6" customHeight="1">
      <c r="B1140" s="219" t="b">
        <f t="array" ref="B1140">IF(OR(ISERROR(K1140:P1140)),FALSE,TRUE)</f>
        <v>1</v>
      </c>
      <c r="C1140" s="43" t="b">
        <f>OR(BR1140=Driver!$G$50,Data!BR853=Driver!$H$50)</f>
        <v>1</v>
      </c>
      <c r="D1140" s="43" t="b">
        <f>OR(BV1140=Driver!$G$51,BV1140=Driver!$H$51)</f>
        <v>0</v>
      </c>
      <c r="E1140" s="43" t="b">
        <f>AND(BX1140&gt;Driver!$F$54,BX1140&lt;Driver!$G$54)</f>
        <v>1</v>
      </c>
      <c r="F1140" s="43" t="b">
        <f>CL1140&gt;Driver!$F$56</f>
        <v>1</v>
      </c>
      <c r="G1140" s="43" t="b">
        <f>AND(CB1140&gt;Driver!$F$55,CB1140&lt;Driver!$G$55)</f>
        <v>0</v>
      </c>
      <c r="H1140" s="43" t="b">
        <f t="shared" si="629"/>
        <v>0</v>
      </c>
      <c r="I1140" s="43">
        <f t="shared" si="630"/>
        <v>0</v>
      </c>
      <c r="J1140" s="43" t="b">
        <f t="array" ref="J1140">NOT(OR(($H$9:$H$1273=TRUE)*($I$9:$I$1273&gt;0)*($BT$9:$BT$1273=BT1140)*($K$9:$K$1273&gt;K1140)))</f>
        <v>1</v>
      </c>
      <c r="K1140" s="72">
        <f t="shared" si="631"/>
        <v>0.81154777197384687</v>
      </c>
      <c r="L1140" s="72">
        <f t="shared" si="632"/>
        <v>0.80045789311033799</v>
      </c>
      <c r="M1140" s="72">
        <f t="shared" si="633"/>
        <v>0.82263765083735585</v>
      </c>
      <c r="N1140" s="72">
        <f t="shared" si="634"/>
        <v>0.9535185358625774</v>
      </c>
      <c r="O1140" s="72">
        <f t="shared" si="635"/>
        <v>0.66077068867728861</v>
      </c>
      <c r="P1140" s="72">
        <f t="shared" si="636"/>
        <v>0.85362372797220154</v>
      </c>
      <c r="Q1140" s="72"/>
      <c r="R1140" s="72"/>
      <c r="S1140" s="72">
        <f t="shared" si="637"/>
        <v>0.39620505925655158</v>
      </c>
      <c r="T1140" s="72">
        <f t="shared" si="638"/>
        <v>0.4488559756913274</v>
      </c>
      <c r="U1140" s="72">
        <f t="shared" si="639"/>
        <v>0.87066399517405602</v>
      </c>
      <c r="V1140" s="72">
        <f t="shared" si="640"/>
        <v>0.54102487960584122</v>
      </c>
      <c r="W1140" s="72">
        <f t="shared" si="641"/>
        <v>0.97987804878048779</v>
      </c>
      <c r="X1140" s="72">
        <f t="shared" si="642"/>
        <v>0.19954210688966201</v>
      </c>
      <c r="Y1140" s="72">
        <f t="shared" si="643"/>
        <v>0.17736234916264415</v>
      </c>
      <c r="Z1140" s="72">
        <f t="shared" si="644"/>
        <v>4.6481464137422615E-2</v>
      </c>
      <c r="AA1140" s="72">
        <f t="shared" si="645"/>
        <v>0.33922931132271139</v>
      </c>
      <c r="AB1140" s="72">
        <f t="shared" si="646"/>
        <v>0.14637627202779846</v>
      </c>
      <c r="AC1140" s="72"/>
      <c r="AD1140" s="72"/>
      <c r="AE1140" s="72">
        <f t="shared" si="647"/>
        <v>0.60379494074344842</v>
      </c>
      <c r="AF1140" s="72">
        <f t="shared" si="648"/>
        <v>0.5511440243086726</v>
      </c>
      <c r="AG1140" s="72">
        <f t="shared" si="649"/>
        <v>0.12933600482594398</v>
      </c>
      <c r="AH1140" s="72">
        <f t="shared" si="650"/>
        <v>0.45897512039415883</v>
      </c>
      <c r="AI1140" s="72">
        <f t="shared" si="651"/>
        <v>2.0121951219512241E-2</v>
      </c>
      <c r="AJ1140" s="72">
        <f>(AV1140-Driver!$K$179)/(Driver!$L$179-Driver!$K$179)</f>
        <v>5.4677302393038425E-2</v>
      </c>
      <c r="AK1140" s="72">
        <f>(AW1140-Driver!$K$180)/(Driver!$L$180-Driver!$K$180)</f>
        <v>0.10694550311115485</v>
      </c>
      <c r="AL1140" s="72">
        <f>(AX1140-Driver!$K$181)/(Driver!$L$181-Driver!$K$181)</f>
        <v>0.14816922785050279</v>
      </c>
      <c r="AM1140" s="72">
        <f>(AY1140-Driver!$K$182)/(Driver!$L$182-Driver!$K$182)</f>
        <v>0.108155709774335</v>
      </c>
      <c r="AN1140" s="72">
        <f>(AZ1140-Driver!$K$183)/(Driver!$L$183-Driver!$K$183)</f>
        <v>0.10784313725490195</v>
      </c>
      <c r="AO1140" s="72"/>
      <c r="AP1140" s="72"/>
      <c r="AQ1140" s="72">
        <f>(BC1140-Driver!$K$188)/(Driver!$L$188-Driver!$K$188)</f>
        <v>1.6205059256551548E-2</v>
      </c>
      <c r="AR1140" s="72">
        <f>MIN((BD1140-Driver!$K$189)/(Driver!$L$189-Driver!$K$189),100%)</f>
        <v>-1.1440243086725131E-3</v>
      </c>
      <c r="AS1140" s="72">
        <f>(BE1140-Driver!$K$190)/(Driver!$L$190-Driver!$K$190)</f>
        <v>0.63933600482594399</v>
      </c>
      <c r="AT1140" s="72">
        <f>(BF1140-Driver!$K$191)/(Driver!$L$191-Driver!$K$191)</f>
        <v>5.1024879605841185E-2</v>
      </c>
      <c r="AU1140" s="72">
        <f>(BG1140-Driver!$K$192)/(Driver!$L$192-Driver!$K$192)</f>
        <v>0.22987804878048776</v>
      </c>
      <c r="AV1140" s="70">
        <f t="shared" si="652"/>
        <v>1.1507936507936507</v>
      </c>
      <c r="AW1140" s="70">
        <f t="shared" si="653"/>
        <v>12.29467953319905</v>
      </c>
      <c r="AX1140" s="70">
        <f t="shared" si="654"/>
        <v>2.333523050654525</v>
      </c>
      <c r="AY1140" s="70">
        <f>IFERROR(Driver!$K$19/Data!BH1140/Data!BI1140*Data!BK1140*Data!BL1140,"")</f>
        <v>0.13241485931295421</v>
      </c>
      <c r="AZ1140" s="70">
        <f t="shared" si="655"/>
        <v>9.8287416232315703</v>
      </c>
      <c r="BA1140" s="70"/>
      <c r="BB1140" s="70"/>
      <c r="BC1140" s="70">
        <f t="shared" si="656"/>
        <v>8.40567689211756</v>
      </c>
      <c r="BD1140" s="70">
        <f t="shared" si="657"/>
        <v>1.6195787598713351</v>
      </c>
      <c r="BE1140" s="70">
        <f t="shared" si="658"/>
        <v>0.63940034322323691</v>
      </c>
      <c r="BF1140" s="70">
        <f t="shared" si="659"/>
        <v>5.7629016814125391</v>
      </c>
      <c r="BG1140" s="70">
        <f t="shared" si="660"/>
        <v>0.87046493902439015</v>
      </c>
      <c r="BH1140" s="67">
        <f>MAX((CE1140-Driver!$F$200)/(Driver!$G$200-Driver!$F$200)*$BI$1,1)</f>
        <v>2.333523050654525</v>
      </c>
      <c r="BI1140" s="67">
        <f>MAX($BI$1*(BY1140-Driver!$F$201)/(Driver!$G$201-Driver!$F$201),1)</f>
        <v>6.962025316455696</v>
      </c>
      <c r="BJ1140" s="67">
        <f>(CB1140-Driver!$F$206)/(Driver!$G$206-Driver!$F$206)*$BI$1</f>
        <v>4.6031746031746028</v>
      </c>
      <c r="BK1140" s="67">
        <f>(CD1140-Driver!$F$203)/(Driver!$G$203-Driver!$F$203)*$BI$1</f>
        <v>1.834862385321101</v>
      </c>
      <c r="BL1140" s="67">
        <f>MAX((CR1140-Driver!$F$202)/(Driver!$G$202-Driver!$F$202)*$BI$1,1)</f>
        <v>5.8620689655172411</v>
      </c>
      <c r="BM1140" s="67">
        <f>MAX((CH1140-Driver!$F$204)/(Driver!$G$204-Driver!$F$204)*$BI$1,1)</f>
        <v>1</v>
      </c>
      <c r="BN1140" s="67">
        <f>(CI1140-Driver!$F$205)/(Driver!$G$205-Driver!$F$205)*$BI$1</f>
        <v>1.4117647058823528</v>
      </c>
      <c r="BO1140" s="67">
        <f>(CK1140-Driver!$F$207)/(Driver!$G$207-Driver!$F$207)*$BI$1</f>
        <v>1.7373319544984489</v>
      </c>
      <c r="BP1140" s="67">
        <f>(CM1140-Driver!$F$208)/(Driver!$G$208-Driver!$F$208)*$BI$1</f>
        <v>1.3222222222222222</v>
      </c>
      <c r="BQ1140" s="67">
        <f>(CL1140-Driver!$F$209)/(Driver!$G$209-Driver!$F$209)*$BI$1</f>
        <v>2.03125</v>
      </c>
      <c r="BR1140" s="28" t="s">
        <v>155</v>
      </c>
      <c r="BS1140" s="8" t="s">
        <v>208</v>
      </c>
      <c r="BT1140" s="9" t="s">
        <v>698</v>
      </c>
      <c r="BU1140" s="10">
        <v>158</v>
      </c>
      <c r="BV1140" s="9" t="s">
        <v>163</v>
      </c>
      <c r="BW1140" s="10">
        <v>158</v>
      </c>
      <c r="BX1140" s="10">
        <v>158.19999999999999</v>
      </c>
      <c r="BY1140" s="10">
        <v>118</v>
      </c>
      <c r="BZ1140" s="10">
        <v>133</v>
      </c>
      <c r="CA1140" s="10">
        <v>130</v>
      </c>
      <c r="CB1140" s="10">
        <v>93</v>
      </c>
      <c r="CC1140" s="10">
        <v>116</v>
      </c>
      <c r="CD1140" s="10">
        <v>13.4</v>
      </c>
      <c r="CE1140" s="10">
        <v>1310</v>
      </c>
      <c r="CF1140" s="10">
        <v>1.27</v>
      </c>
      <c r="CG1140" s="10">
        <v>1663</v>
      </c>
      <c r="CH1140" s="10">
        <v>122</v>
      </c>
      <c r="CI1140" s="10">
        <v>57</v>
      </c>
      <c r="CJ1140" s="10">
        <v>38</v>
      </c>
      <c r="CK1140" s="10">
        <v>278</v>
      </c>
      <c r="CL1140" s="10">
        <v>13</v>
      </c>
      <c r="CM1140" s="10">
        <v>119</v>
      </c>
      <c r="CN1140" s="10">
        <v>0.34599999999999997</v>
      </c>
      <c r="CO1140" s="10">
        <v>135</v>
      </c>
      <c r="CP1140" s="10">
        <v>117</v>
      </c>
      <c r="CQ1140" s="10">
        <v>143</v>
      </c>
      <c r="CR1140" s="10">
        <v>6</v>
      </c>
      <c r="CS1140" s="10">
        <v>9</v>
      </c>
      <c r="CT1140" s="9" t="s">
        <v>188</v>
      </c>
      <c r="CU1140" s="9" t="s">
        <v>185</v>
      </c>
      <c r="CV1140" s="9" t="s">
        <v>198</v>
      </c>
      <c r="CW1140" s="10"/>
      <c r="CX1140" t="str">
        <f>INDEX('Data_Price '!AG$2:AG$1266,MATCH(Data!$DN1140,'Data_Price '!$AT$2:$AT$1266,0))</f>
        <v>'22 Line Pandora 94 Skis 158cm</v>
      </c>
      <c r="CY1140" t="str">
        <f>INDEX('Data_Price '!AH$2:AH$1266,MATCH(Data!$DN1140,'Data_Price '!$AT$2:$AT$1266,0))</f>
        <v>Al's Ski Equipment Barn</v>
      </c>
      <c r="CZ1140">
        <f>INDEX('Data_Price '!AI$2:AI$1266,MATCH(Data!$DN1140,'Data_Price '!$AT$2:$AT$1266,0))</f>
        <v>469.95</v>
      </c>
      <c r="DA1140" t="str">
        <f>INDEX('Data_Price '!AJ$2:AJ$1266,MATCH(Data!$DN1140,'Data_Price '!$AT$2:$AT$1266,0))</f>
        <v>https://tinyurl.com/y7no6468</v>
      </c>
      <c r="DB1140" t="str">
        <f>INDEX('Data_Price '!AK$2:AK$1266,MATCH(Data!$DN1140,'Data_Price '!$AT$2:$AT$1266,0))</f>
        <v>Line Skis Pandora 94</v>
      </c>
      <c r="DC1140" t="str">
        <f>INDEX('Data_Price '!AL$2:AL$1266,MATCH(Data!$DN1140,'Data_Price '!$AT$2:$AT$1266,0))</f>
        <v>LINE Skis</v>
      </c>
      <c r="DD1140">
        <f>INDEX('Data_Price '!AM$2:AM$1266,MATCH(Data!$DN1140,'Data_Price '!$AT$2:$AT$1266,0))</f>
        <v>499.95</v>
      </c>
      <c r="DE1140" t="str">
        <f>INDEX('Data_Price '!AN$2:AN$1266,MATCH(Data!$DN1140,'Data_Price '!$AT$2:$AT$1266,0))</f>
        <v>https://tinyurl.com/ycs285up</v>
      </c>
      <c r="DF1140" t="str">
        <f>INDEX('Data_Price '!AO$2:AO$1266,MATCH(Data!$DN1140,'Data_Price '!$AT$2:$AT$1266,0))</f>
        <v>Line Pandora 94 Skis Women's 2022 - - 158 cm</v>
      </c>
      <c r="DG1140" t="str">
        <f>INDEX('Data_Price '!AP$2:AP$1266,MATCH(Data!$DN1140,'Data_Price '!$AT$2:$AT$1266,0))</f>
        <v>Skirack</v>
      </c>
      <c r="DH1140">
        <f>INDEX('Data_Price '!AQ$2:AQ$1266,MATCH(Data!$DN1140,'Data_Price '!$AT$2:$AT$1266,0))</f>
        <v>499.95</v>
      </c>
      <c r="DI1140" t="str">
        <f>INDEX('Data_Price '!AR$2:AR$1266,MATCH(Data!$DN1140,'Data_Price '!$AT$2:$AT$1266,0))</f>
        <v>https://tinyurl.com/y6veguol</v>
      </c>
      <c r="DJ1140" s="89" t="str">
        <f t="shared" si="661"/>
        <v>https://tinyurl.com/y7no6468</v>
      </c>
      <c r="DK1140" s="89" t="str">
        <f t="shared" si="662"/>
        <v>https://tinyurl.com/ycs285up</v>
      </c>
      <c r="DL1140" s="89" t="str">
        <f t="shared" si="663"/>
        <v>https://tinyurl.com/y6veguol</v>
      </c>
      <c r="DM1140" s="219" t="str">
        <f t="shared" si="664"/>
        <v>Pandora 94</v>
      </c>
      <c r="DN1140" s="89" t="str">
        <f t="shared" si="665"/>
        <v xml:space="preserve"> LinePandora 94158 Women's</v>
      </c>
      <c r="DO1140" s="221" t="s">
        <v>699</v>
      </c>
    </row>
    <row r="1141" spans="2:119" ht="15.6" customHeight="1">
      <c r="B1141" s="219" t="b">
        <f t="array" ref="B1141">IF(OR(ISERROR(K1141:P1141)),FALSE,TRUE)</f>
        <v>1</v>
      </c>
      <c r="C1141" s="43" t="b">
        <f>OR(BR1141=Driver!$G$50,Data!BR791=Driver!$H$50)</f>
        <v>1</v>
      </c>
      <c r="D1141" s="43" t="b">
        <f>OR(BV1141=Driver!$G$51,BV1141=Driver!$H$51)</f>
        <v>1</v>
      </c>
      <c r="E1141" s="43" t="b">
        <f>AND(BX1141&gt;Driver!$F$54,BX1141&lt;Driver!$G$54)</f>
        <v>0</v>
      </c>
      <c r="F1141" s="43" t="b">
        <f>CL1141&gt;Driver!$F$56</f>
        <v>1</v>
      </c>
      <c r="G1141" s="43" t="b">
        <f>AND(CB1141&gt;Driver!$F$55,CB1141&lt;Driver!$G$55)</f>
        <v>0</v>
      </c>
      <c r="H1141" s="43" t="b">
        <f t="shared" si="629"/>
        <v>0</v>
      </c>
      <c r="I1141" s="43">
        <f t="shared" si="630"/>
        <v>0</v>
      </c>
      <c r="J1141" s="43" t="b">
        <f t="array" ref="J1141">NOT(OR(($H$9:$H$1273=TRUE)*($I$9:$I$1273&gt;0)*($BT$9:$BT$1273=BT1141)*($K$9:$K$1273&gt;K1141)))</f>
        <v>1</v>
      </c>
      <c r="K1141" s="72">
        <f t="shared" si="631"/>
        <v>0.88796925216209344</v>
      </c>
      <c r="L1141" s="72">
        <f t="shared" si="632"/>
        <v>0.84399991228687488</v>
      </c>
      <c r="M1141" s="72">
        <f t="shared" si="633"/>
        <v>0.93193859203731189</v>
      </c>
      <c r="N1141" s="72">
        <f t="shared" si="634"/>
        <v>0.94782845711788166</v>
      </c>
      <c r="O1141" s="72">
        <f t="shared" si="635"/>
        <v>0.95277862370159105</v>
      </c>
      <c r="P1141" s="72">
        <f t="shared" si="636"/>
        <v>0.89520869529246294</v>
      </c>
      <c r="Q1141" s="72"/>
      <c r="R1141" s="72"/>
      <c r="S1141" s="72">
        <f t="shared" si="637"/>
        <v>0.43546872195299002</v>
      </c>
      <c r="T1141" s="72">
        <f t="shared" si="638"/>
        <v>0.44700390667471712</v>
      </c>
      <c r="U1141" s="72">
        <f t="shared" si="639"/>
        <v>0.51</v>
      </c>
      <c r="V1141" s="72">
        <f t="shared" si="640"/>
        <v>0.50970844543664939</v>
      </c>
      <c r="W1141" s="72">
        <f t="shared" si="641"/>
        <v>0.83821497548655477</v>
      </c>
      <c r="X1141" s="72">
        <f t="shared" si="642"/>
        <v>0.15600008771312507</v>
      </c>
      <c r="Y1141" s="72">
        <f t="shared" si="643"/>
        <v>6.80614079626881E-2</v>
      </c>
      <c r="Z1141" s="72">
        <f t="shared" si="644"/>
        <v>5.2171542882118324E-2</v>
      </c>
      <c r="AA1141" s="72">
        <f t="shared" si="645"/>
        <v>4.7221376298408946E-2</v>
      </c>
      <c r="AB1141" s="72">
        <f t="shared" si="646"/>
        <v>0.10479130470753703</v>
      </c>
      <c r="AC1141" s="72"/>
      <c r="AD1141" s="72"/>
      <c r="AE1141" s="72">
        <f t="shared" si="647"/>
        <v>0.56453127804700998</v>
      </c>
      <c r="AF1141" s="72">
        <f t="shared" si="648"/>
        <v>0.55299609332528288</v>
      </c>
      <c r="AG1141" s="72">
        <f t="shared" si="649"/>
        <v>0.49</v>
      </c>
      <c r="AH1141" s="72">
        <f t="shared" si="650"/>
        <v>0.49029155456335066</v>
      </c>
      <c r="AI1141" s="72">
        <f t="shared" si="651"/>
        <v>0.16178502451344523</v>
      </c>
      <c r="AJ1141" s="72">
        <f>(AV1141-Driver!$K$179)/(Driver!$L$179-Driver!$K$179)</f>
        <v>9.8219321569575357E-2</v>
      </c>
      <c r="AK1141" s="72">
        <f>(AW1141-Driver!$K$180)/(Driver!$L$180-Driver!$K$180)</f>
        <v>0.14039192433907513</v>
      </c>
      <c r="AL1141" s="72">
        <f>(AX1141-Driver!$K$181)/(Driver!$L$181-Driver!$K$181)</f>
        <v>4.9516220830961855E-2</v>
      </c>
      <c r="AM1141" s="72">
        <f>(AY1141-Driver!$K$182)/(Driver!$L$182-Driver!$K$182)</f>
        <v>0.40016364479863742</v>
      </c>
      <c r="AN1141" s="72">
        <f>(AZ1141-Driver!$K$183)/(Driver!$L$183-Driver!$K$183)</f>
        <v>0.1494281045751634</v>
      </c>
      <c r="AO1141" s="72"/>
      <c r="AP1141" s="72"/>
      <c r="AQ1141" s="72">
        <f>(BC1141-Driver!$K$188)/(Driver!$L$188-Driver!$K$188)</f>
        <v>5.5468721952989991E-2</v>
      </c>
      <c r="AR1141" s="72">
        <f>MIN((BD1141-Driver!$K$189)/(Driver!$L$189-Driver!$K$189),100%)</f>
        <v>-2.9960933252828675E-3</v>
      </c>
      <c r="AS1141" s="72">
        <f>(BE1141-Driver!$K$190)/(Driver!$L$190-Driver!$K$190)</f>
        <v>1</v>
      </c>
      <c r="AT1141" s="72">
        <f>(BF1141-Driver!$K$191)/(Driver!$L$191-Driver!$K$191)</f>
        <v>1.9708445436649357E-2</v>
      </c>
      <c r="AU1141" s="72">
        <f>(BG1141-Driver!$K$192)/(Driver!$L$192-Driver!$K$192)</f>
        <v>8.8214975486554756E-2</v>
      </c>
      <c r="AV1141" s="70">
        <f t="shared" si="652"/>
        <v>2.0672229005562337</v>
      </c>
      <c r="AW1141" s="70">
        <f t="shared" si="653"/>
        <v>15.554329647300746</v>
      </c>
      <c r="AX1141" s="70">
        <f t="shared" si="654"/>
        <v>1.4456459874786567</v>
      </c>
      <c r="AY1141" s="70">
        <f>IFERROR(Driver!$K$19/Data!BH1141/Data!BI1141*Data!BK1141*Data!BL1141,"")</f>
        <v>0.48991969854137413</v>
      </c>
      <c r="AZ1141" s="70">
        <f t="shared" si="655"/>
        <v>13.618763961280715</v>
      </c>
      <c r="BA1141" s="70"/>
      <c r="BB1141" s="70"/>
      <c r="BC1141" s="70">
        <f t="shared" si="656"/>
        <v>28.772011689314912</v>
      </c>
      <c r="BD1141" s="70">
        <f t="shared" si="657"/>
        <v>1.4556739335734294</v>
      </c>
      <c r="BE1141" s="70">
        <f t="shared" si="658"/>
        <v>1</v>
      </c>
      <c r="BF1141" s="70">
        <f t="shared" si="659"/>
        <v>2.2259304524040817</v>
      </c>
      <c r="BG1141" s="70">
        <f t="shared" si="660"/>
        <v>0.33403817226266536</v>
      </c>
      <c r="BH1141" s="67">
        <f>MAX((CE1141-Driver!$F$200)/(Driver!$G$200-Driver!$F$200)*$BI$1,1)</f>
        <v>1.4456459874786567</v>
      </c>
      <c r="BI1141" s="67">
        <f>MAX($BI$1*(BY1141-Driver!$F$201)/(Driver!$G$201-Driver!$F$201),1)</f>
        <v>7.4683544303797467</v>
      </c>
      <c r="BJ1141" s="67">
        <f>(CB1141-Driver!$F$206)/(Driver!$G$206-Driver!$F$206)*$BI$1</f>
        <v>3.6507936507936507</v>
      </c>
      <c r="BK1141" s="67">
        <f>(CD1141-Driver!$F$203)/(Driver!$G$203-Driver!$F$203)*$BI$1</f>
        <v>4.0366972477064227</v>
      </c>
      <c r="BL1141" s="67">
        <f>MAX((CR1141-Driver!$F$202)/(Driver!$G$202-Driver!$F$202)*$BI$1,1)</f>
        <v>6.5517241379310338</v>
      </c>
      <c r="BM1141" s="67">
        <f>MAX((CH1141-Driver!$F$204)/(Driver!$G$204-Driver!$F$204)*$BI$1,1)</f>
        <v>2.2649572649572649</v>
      </c>
      <c r="BN1141" s="67">
        <f>(CI1141-Driver!$F$205)/(Driver!$G$205-Driver!$F$205)*$BI$1</f>
        <v>1.8235294117647058</v>
      </c>
      <c r="BO1141" s="67">
        <f>(CK1141-Driver!$F$207)/(Driver!$G$207-Driver!$F$207)*$BI$1</f>
        <v>1.8614270941054809</v>
      </c>
      <c r="BP1141" s="67">
        <f>(CM1141-Driver!$F$208)/(Driver!$G$208-Driver!$F$208)*$BI$1</f>
        <v>1.3222222222222222</v>
      </c>
      <c r="BQ1141" s="67">
        <f>(CL1141-Driver!$F$209)/(Driver!$G$209-Driver!$F$209)*$BI$1</f>
        <v>1.09375</v>
      </c>
      <c r="BR1141" s="28" t="s">
        <v>155</v>
      </c>
      <c r="BS1141" s="8" t="s">
        <v>262</v>
      </c>
      <c r="BT1141" s="9" t="s">
        <v>769</v>
      </c>
      <c r="BU1141" s="10">
        <v>167</v>
      </c>
      <c r="BV1141" s="9" t="s">
        <v>158</v>
      </c>
      <c r="BW1141" s="10">
        <v>167</v>
      </c>
      <c r="BX1141" s="10">
        <v>167</v>
      </c>
      <c r="BY1141" s="10">
        <v>126</v>
      </c>
      <c r="BZ1141" s="10">
        <v>141</v>
      </c>
      <c r="CA1141" s="10">
        <v>120</v>
      </c>
      <c r="CB1141" s="10">
        <v>87</v>
      </c>
      <c r="CC1141" s="10">
        <v>108</v>
      </c>
      <c r="CD1141" s="10">
        <v>18.2</v>
      </c>
      <c r="CE1141" s="10">
        <v>1154</v>
      </c>
      <c r="CF1141" s="10">
        <v>1.41</v>
      </c>
      <c r="CG1141" s="10">
        <v>1623</v>
      </c>
      <c r="CH1141" s="10">
        <v>154</v>
      </c>
      <c r="CI1141" s="10">
        <v>64</v>
      </c>
      <c r="CJ1141" s="10">
        <v>46</v>
      </c>
      <c r="CK1141" s="10">
        <v>290</v>
      </c>
      <c r="CL1141" s="10">
        <v>7</v>
      </c>
      <c r="CM1141" s="10">
        <v>119</v>
      </c>
      <c r="CN1141" s="10">
        <v>0.158</v>
      </c>
      <c r="CO1141" s="10">
        <v>159</v>
      </c>
      <c r="CP1141" s="10">
        <v>100</v>
      </c>
      <c r="CQ1141" s="10">
        <v>131</v>
      </c>
      <c r="CR1141" s="10">
        <v>8</v>
      </c>
      <c r="CS1141" s="10">
        <v>11.3</v>
      </c>
      <c r="CT1141" s="9" t="s">
        <v>185</v>
      </c>
      <c r="CU1141" s="9" t="s">
        <v>198</v>
      </c>
      <c r="CV1141" s="10"/>
      <c r="CW1141" s="10"/>
      <c r="CX1141" t="e">
        <f>INDEX('Data_Price '!AG$2:AG$1266,MATCH(Data!$DN1141,'Data_Price '!$AT$2:$AT$1266,0))</f>
        <v>#N/A</v>
      </c>
      <c r="CY1141" t="e">
        <f>INDEX('Data_Price '!AH$2:AH$1266,MATCH(Data!$DN1141,'Data_Price '!$AT$2:$AT$1266,0))</f>
        <v>#N/A</v>
      </c>
      <c r="CZ1141" t="e">
        <f>INDEX('Data_Price '!AI$2:AI$1266,MATCH(Data!$DN1141,'Data_Price '!$AT$2:$AT$1266,0))</f>
        <v>#N/A</v>
      </c>
      <c r="DA1141" t="e">
        <f>INDEX('Data_Price '!AJ$2:AJ$1266,MATCH(Data!$DN1141,'Data_Price '!$AT$2:$AT$1266,0))</f>
        <v>#N/A</v>
      </c>
      <c r="DB1141" t="e">
        <f>INDEX('Data_Price '!AK$2:AK$1266,MATCH(Data!$DN1141,'Data_Price '!$AT$2:$AT$1266,0))</f>
        <v>#N/A</v>
      </c>
      <c r="DC1141" t="e">
        <f>INDEX('Data_Price '!AL$2:AL$1266,MATCH(Data!$DN1141,'Data_Price '!$AT$2:$AT$1266,0))</f>
        <v>#N/A</v>
      </c>
      <c r="DD1141" t="e">
        <f>INDEX('Data_Price '!AM$2:AM$1266,MATCH(Data!$DN1141,'Data_Price '!$AT$2:$AT$1266,0))</f>
        <v>#N/A</v>
      </c>
      <c r="DE1141" t="e">
        <f>INDEX('Data_Price '!AN$2:AN$1266,MATCH(Data!$DN1141,'Data_Price '!$AT$2:$AT$1266,0))</f>
        <v>#N/A</v>
      </c>
      <c r="DF1141" t="e">
        <f>INDEX('Data_Price '!AO$2:AO$1266,MATCH(Data!$DN1141,'Data_Price '!$AT$2:$AT$1266,0))</f>
        <v>#N/A</v>
      </c>
      <c r="DG1141" t="e">
        <f>INDEX('Data_Price '!AP$2:AP$1266,MATCH(Data!$DN1141,'Data_Price '!$AT$2:$AT$1266,0))</f>
        <v>#N/A</v>
      </c>
      <c r="DH1141" t="e">
        <f>INDEX('Data_Price '!AQ$2:AQ$1266,MATCH(Data!$DN1141,'Data_Price '!$AT$2:$AT$1266,0))</f>
        <v>#N/A</v>
      </c>
      <c r="DI1141" t="e">
        <f>INDEX('Data_Price '!AR$2:AR$1266,MATCH(Data!$DN1141,'Data_Price '!$AT$2:$AT$1266,0))</f>
        <v>#N/A</v>
      </c>
      <c r="DJ1141" s="89" t="e">
        <f t="shared" si="661"/>
        <v>#N/A</v>
      </c>
      <c r="DK1141" s="89" t="e">
        <f t="shared" si="662"/>
        <v>#N/A</v>
      </c>
      <c r="DL1141" s="89" t="e">
        <f t="shared" si="663"/>
        <v>#N/A</v>
      </c>
      <c r="DM1141" s="219" t="str">
        <f t="shared" si="664"/>
        <v>Wayback 88</v>
      </c>
      <c r="DN1141" s="89" t="str">
        <f t="shared" si="665"/>
        <v xml:space="preserve"> K2Wayback 88167 Unisex</v>
      </c>
      <c r="DO1141" s="221"/>
    </row>
    <row r="1142" spans="2:119" ht="15.6" customHeight="1">
      <c r="B1142" s="219" t="b">
        <f t="array" ref="B1142">IF(OR(ISERROR(K1142:P1142)),FALSE,TRUE)</f>
        <v>1</v>
      </c>
      <c r="C1142" s="43" t="b">
        <f>OR(BR1142=Driver!$G$50,Data!BR597=Driver!$H$50)</f>
        <v>1</v>
      </c>
      <c r="D1142" s="43" t="b">
        <f>OR(BV1142=Driver!$G$51,BV1142=Driver!$H$51)</f>
        <v>0</v>
      </c>
      <c r="E1142" s="43" t="b">
        <f>AND(BX1142&gt;Driver!$F$54,BX1142&lt;Driver!$G$54)</f>
        <v>1</v>
      </c>
      <c r="F1142" s="43" t="b">
        <f>CL1142&gt;Driver!$F$56</f>
        <v>1</v>
      </c>
      <c r="G1142" s="43" t="b">
        <f>AND(CB1142&gt;Driver!$F$55,CB1142&lt;Driver!$G$55)</f>
        <v>0</v>
      </c>
      <c r="H1142" s="43" t="b">
        <f t="shared" si="629"/>
        <v>0</v>
      </c>
      <c r="I1142" s="43">
        <f t="shared" si="630"/>
        <v>0</v>
      </c>
      <c r="J1142" s="43" t="b">
        <f t="array" ref="J1142">NOT(OR(($H$9:$H$1273=TRUE)*($I$9:$I$1273&gt;0)*($BT$9:$BT$1273=BT1142)*($K$9:$K$1273&gt;K1142)))</f>
        <v>1</v>
      </c>
      <c r="K1142" s="72">
        <f t="shared" si="631"/>
        <v>0.86107044335647642</v>
      </c>
      <c r="L1142" s="72">
        <f t="shared" si="632"/>
        <v>0.84367761754833659</v>
      </c>
      <c r="M1142" s="72">
        <f t="shared" si="633"/>
        <v>0.87846326916461637</v>
      </c>
      <c r="N1142" s="72">
        <f t="shared" si="634"/>
        <v>0.89831223628691981</v>
      </c>
      <c r="O1142" s="72">
        <f t="shared" si="635"/>
        <v>0.8362724706857082</v>
      </c>
      <c r="P1142" s="72">
        <f t="shared" si="636"/>
        <v>0.9008051005212212</v>
      </c>
      <c r="Q1142" s="72"/>
      <c r="R1142" s="72"/>
      <c r="S1142" s="72">
        <f t="shared" si="637"/>
        <v>0.41805832871285076</v>
      </c>
      <c r="T1142" s="72">
        <f t="shared" si="638"/>
        <v>0.47522296836858946</v>
      </c>
      <c r="U1142" s="72">
        <f t="shared" si="639"/>
        <v>0.51</v>
      </c>
      <c r="V1142" s="72">
        <f t="shared" si="640"/>
        <v>0.50223514216194798</v>
      </c>
      <c r="W1142" s="72">
        <f t="shared" si="641"/>
        <v>0.86920571681527847</v>
      </c>
      <c r="X1142" s="72">
        <f t="shared" si="642"/>
        <v>0.15632238245166344</v>
      </c>
      <c r="Y1142" s="72">
        <f t="shared" si="643"/>
        <v>0.12153673083538362</v>
      </c>
      <c r="Z1142" s="72">
        <f t="shared" si="644"/>
        <v>0.10168776371308018</v>
      </c>
      <c r="AA1142" s="72">
        <f t="shared" si="645"/>
        <v>0.1637275293142918</v>
      </c>
      <c r="AB1142" s="72">
        <f t="shared" si="646"/>
        <v>9.9194899478778853E-2</v>
      </c>
      <c r="AC1142" s="72"/>
      <c r="AD1142" s="72"/>
      <c r="AE1142" s="72">
        <f t="shared" si="647"/>
        <v>0.58194167128714924</v>
      </c>
      <c r="AF1142" s="72">
        <f t="shared" si="648"/>
        <v>0.52477703163141054</v>
      </c>
      <c r="AG1142" s="72">
        <f t="shared" si="649"/>
        <v>0.49</v>
      </c>
      <c r="AH1142" s="72">
        <f t="shared" si="650"/>
        <v>0.49776485783805208</v>
      </c>
      <c r="AI1142" s="72">
        <f t="shared" si="651"/>
        <v>0.13079428318472147</v>
      </c>
      <c r="AJ1142" s="72">
        <f>(AV1142-Driver!$K$179)/(Driver!$L$179-Driver!$K$179)</f>
        <v>9.7897026831036987E-2</v>
      </c>
      <c r="AK1142" s="72">
        <f>(AW1142-Driver!$K$180)/(Driver!$L$180-Driver!$K$180)</f>
        <v>0.13958920452465487</v>
      </c>
      <c r="AL1142" s="72">
        <f>(AX1142-Driver!$K$181)/(Driver!$L$181-Driver!$K$181)</f>
        <v>0</v>
      </c>
      <c r="AM1142" s="72">
        <f>(AY1142-Driver!$K$182)/(Driver!$L$182-Driver!$K$182)</f>
        <v>0.28365749178275457</v>
      </c>
      <c r="AN1142" s="72">
        <f>(AZ1142-Driver!$K$183)/(Driver!$L$183-Driver!$K$183)</f>
        <v>0.15502450980392157</v>
      </c>
      <c r="AO1142" s="72"/>
      <c r="AP1142" s="72"/>
      <c r="AQ1142" s="72">
        <f>(BC1142-Driver!$K$188)/(Driver!$L$188-Driver!$K$188)</f>
        <v>3.8058328712850725E-2</v>
      </c>
      <c r="AR1142" s="72">
        <f>MIN((BD1142-Driver!$K$189)/(Driver!$L$189-Driver!$K$189),100%)</f>
        <v>2.5222968368589532E-2</v>
      </c>
      <c r="AS1142" s="72">
        <f>(BE1142-Driver!$K$190)/(Driver!$L$190-Driver!$K$190)</f>
        <v>1</v>
      </c>
      <c r="AT1142" s="72">
        <f>(BF1142-Driver!$K$191)/(Driver!$L$191-Driver!$K$191)</f>
        <v>1.2235142161947918E-2</v>
      </c>
      <c r="AU1142" s="72">
        <f>(BG1142-Driver!$K$192)/(Driver!$L$192-Driver!$K$192)</f>
        <v>0.11920571681527854</v>
      </c>
      <c r="AV1142" s="70">
        <f t="shared" si="652"/>
        <v>2.0604395604395607</v>
      </c>
      <c r="AW1142" s="70">
        <f t="shared" si="653"/>
        <v>15.476097488564358</v>
      </c>
      <c r="AX1142" s="70">
        <f t="shared" si="654"/>
        <v>1</v>
      </c>
      <c r="AY1142" s="70">
        <f>IFERROR(Driver!$K$19/Data!BH1142/Data!BI1142*Data!BK1142*Data!BL1142,"")</f>
        <v>0.3472814051689751</v>
      </c>
      <c r="AZ1142" s="70">
        <f t="shared" si="655"/>
        <v>14.128816083395384</v>
      </c>
      <c r="BA1142" s="70"/>
      <c r="BB1142" s="70"/>
      <c r="BC1142" s="70">
        <f t="shared" si="656"/>
        <v>19.741119680564495</v>
      </c>
      <c r="BD1142" s="70">
        <f t="shared" si="657"/>
        <v>3.9530108922625433</v>
      </c>
      <c r="BE1142" s="70">
        <f t="shared" si="658"/>
        <v>1</v>
      </c>
      <c r="BF1142" s="70">
        <f t="shared" si="659"/>
        <v>1.3818733504535172</v>
      </c>
      <c r="BG1142" s="70">
        <f t="shared" si="660"/>
        <v>0.45138888888888884</v>
      </c>
      <c r="BH1142" s="67">
        <f>MAX((CE1142-Driver!$F$200)/(Driver!$G$200-Driver!$F$200)*$BI$1,1)</f>
        <v>1</v>
      </c>
      <c r="BI1142" s="67">
        <f>MAX($BI$1*(BY1142-Driver!$F$201)/(Driver!$G$201-Driver!$F$201),1)</f>
        <v>7.2784810126582276</v>
      </c>
      <c r="BJ1142" s="67">
        <f>(CB1142-Driver!$F$206)/(Driver!$G$206-Driver!$F$206)*$BI$1</f>
        <v>2.3809523809523809</v>
      </c>
      <c r="BK1142" s="67">
        <f>(CD1142-Driver!$F$203)/(Driver!$G$203-Driver!$F$203)*$BI$1</f>
        <v>2.1559633027522933</v>
      </c>
      <c r="BL1142" s="67">
        <f>MAX((CR1142-Driver!$F$202)/(Driver!$G$202-Driver!$F$202)*$BI$1,1)</f>
        <v>5.8620689655172411</v>
      </c>
      <c r="BM1142" s="67">
        <f>MAX((CH1142-Driver!$F$204)/(Driver!$G$204-Driver!$F$204)*$BI$1,1)</f>
        <v>3.4615384615384617</v>
      </c>
      <c r="BN1142" s="67">
        <f>(CI1142-Driver!$F$205)/(Driver!$G$205-Driver!$F$205)*$BI$1</f>
        <v>1.9411764705882353</v>
      </c>
      <c r="BO1142" s="67">
        <f>(CK1142-Driver!$F$207)/(Driver!$G$207-Driver!$F$207)*$BI$1</f>
        <v>1.2512926577042398</v>
      </c>
      <c r="BP1142" s="67">
        <f>(CM1142-Driver!$F$208)/(Driver!$G$208-Driver!$F$208)*$BI$1</f>
        <v>1</v>
      </c>
      <c r="BQ1142" s="67">
        <f>(CL1142-Driver!$F$209)/(Driver!$G$209-Driver!$F$209)*$BI$1</f>
        <v>1.5625</v>
      </c>
      <c r="BR1142" s="28" t="s">
        <v>155</v>
      </c>
      <c r="BS1142" s="8" t="s">
        <v>245</v>
      </c>
      <c r="BT1142" s="9" t="s">
        <v>847</v>
      </c>
      <c r="BU1142" s="10">
        <v>155</v>
      </c>
      <c r="BV1142" s="9" t="s">
        <v>163</v>
      </c>
      <c r="BW1142" s="10">
        <v>155</v>
      </c>
      <c r="BX1142" s="10">
        <v>155.1</v>
      </c>
      <c r="BY1142" s="10">
        <v>123</v>
      </c>
      <c r="BZ1142" s="10">
        <v>138</v>
      </c>
      <c r="CA1142" s="10">
        <v>116</v>
      </c>
      <c r="CB1142" s="10">
        <v>79</v>
      </c>
      <c r="CC1142" s="10">
        <v>105</v>
      </c>
      <c r="CD1142" s="10">
        <v>14.1</v>
      </c>
      <c r="CE1142" s="10">
        <v>1056</v>
      </c>
      <c r="CF1142" s="10">
        <v>1.34</v>
      </c>
      <c r="CG1142" s="10">
        <v>1415</v>
      </c>
      <c r="CH1142" s="10">
        <v>182</v>
      </c>
      <c r="CI1142" s="10">
        <v>66</v>
      </c>
      <c r="CJ1142" s="10">
        <v>54</v>
      </c>
      <c r="CK1142" s="10">
        <v>231</v>
      </c>
      <c r="CL1142" s="10">
        <v>10</v>
      </c>
      <c r="CM1142" s="10">
        <v>90</v>
      </c>
      <c r="CN1142" s="10">
        <v>0.184</v>
      </c>
      <c r="CO1142" s="10">
        <v>93</v>
      </c>
      <c r="CP1142" s="10">
        <v>81</v>
      </c>
      <c r="CQ1142" s="10">
        <v>138</v>
      </c>
      <c r="CR1142" s="10">
        <v>6</v>
      </c>
      <c r="CS1142" s="10">
        <v>9.5</v>
      </c>
      <c r="CT1142" s="9" t="s">
        <v>185</v>
      </c>
      <c r="CU1142" s="9" t="s">
        <v>198</v>
      </c>
      <c r="CV1142" s="10"/>
      <c r="CW1142" s="10"/>
      <c r="CX1142" t="str">
        <f>INDEX('Data_Price '!AG$2:AG$1266,MATCH(Data!$DN1142,'Data_Price '!$AT$2:$AT$1266,0))</f>
        <v>Fischer Transalp 82 Carbon Skis 2021</v>
      </c>
      <c r="CY1142" t="str">
        <f>INDEX('Data_Price '!AH$2:AH$1266,MATCH(Data!$DN1142,'Data_Price '!$AT$2:$AT$1266,0))</f>
        <v>Next Adventure</v>
      </c>
      <c r="CZ1142">
        <f>INDEX('Data_Price '!AI$2:AI$1266,MATCH(Data!$DN1142,'Data_Price '!$AT$2:$AT$1266,0))</f>
        <v>419.99</v>
      </c>
      <c r="DA1142" t="str">
        <f>INDEX('Data_Price '!AJ$2:AJ$1266,MATCH(Data!$DN1142,'Data_Price '!$AT$2:$AT$1266,0))</f>
        <v>https://tinyurl.com/yaarh644</v>
      </c>
      <c r="DB1142" t="str">
        <f>INDEX('Data_Price '!AK$2:AK$1266,MATCH(Data!$DN1142,'Data_Price '!$AT$2:$AT$1266,0))</f>
        <v>Fischer Transalp 82 Carbon Backcountry Ski (2021) 155</v>
      </c>
      <c r="DC1142" t="str">
        <f>INDEX('Data_Price '!AL$2:AL$1266,MATCH(Data!$DN1142,'Data_Price '!$AT$2:$AT$1266,0))</f>
        <v>Ski The Whites</v>
      </c>
      <c r="DD1142">
        <f>INDEX('Data_Price '!AM$2:AM$1266,MATCH(Data!$DN1142,'Data_Price '!$AT$2:$AT$1266,0))</f>
        <v>599.99</v>
      </c>
      <c r="DE1142" t="str">
        <f>INDEX('Data_Price '!AN$2:AN$1266,MATCH(Data!$DN1142,'Data_Price '!$AT$2:$AT$1266,0))</f>
        <v>https://tinyurl.com/y99hp43b</v>
      </c>
      <c r="DF1142" t="str">
        <f>INDEX('Data_Price '!AO$2:AO$1266,MATCH(Data!$DN1142,'Data_Price '!$AT$2:$AT$1266,0))</f>
        <v>Fischer Transalp 86 Carbon Touring Skis 155</v>
      </c>
      <c r="DG1142" t="str">
        <f>INDEX('Data_Price '!AP$2:AP$1266,MATCH(Data!$DN1142,'Data_Price '!$AT$2:$AT$1266,0))</f>
        <v>Telemark Pyrenees</v>
      </c>
      <c r="DH1142">
        <f>INDEX('Data_Price '!AQ$2:AQ$1266,MATCH(Data!$DN1142,'Data_Price '!$AT$2:$AT$1266,0))</f>
        <v>357.47</v>
      </c>
      <c r="DI1142" t="str">
        <f>INDEX('Data_Price '!AR$2:AR$1266,MATCH(Data!$DN1142,'Data_Price '!$AT$2:$AT$1266,0))</f>
        <v>https://tinyurl.com/yc9wsgzr</v>
      </c>
      <c r="DJ1142" s="89" t="str">
        <f t="shared" si="661"/>
        <v>https://tinyurl.com/yaarh644</v>
      </c>
      <c r="DK1142" s="89" t="str">
        <f t="shared" si="662"/>
        <v>https://tinyurl.com/y99hp43b</v>
      </c>
      <c r="DL1142" s="89" t="str">
        <f t="shared" si="663"/>
        <v>https://tinyurl.com/yc9wsgzr</v>
      </c>
      <c r="DM1142" s="219" t="str">
        <f t="shared" si="664"/>
        <v>Transalp 82</v>
      </c>
      <c r="DN1142" s="89" t="str">
        <f t="shared" si="665"/>
        <v xml:space="preserve"> FischerTransalp 82155 Women's</v>
      </c>
      <c r="DO1142" s="221"/>
    </row>
    <row r="1143" spans="2:119" ht="15.6" customHeight="1">
      <c r="B1143" s="219" t="b">
        <f t="array" ref="B1143">IF(OR(ISERROR(K1143:P1143)),FALSE,TRUE)</f>
        <v>1</v>
      </c>
      <c r="C1143" s="43" t="b">
        <f>OR(BR1143=Driver!$G$50,Data!BR643=Driver!$H$50)</f>
        <v>1</v>
      </c>
      <c r="D1143" s="43" t="b">
        <f>OR(BV1143=Driver!$G$51,BV1143=Driver!$H$51)</f>
        <v>0</v>
      </c>
      <c r="E1143" s="43" t="b">
        <f>AND(BX1143&gt;Driver!$F$54,BX1143&lt;Driver!$G$54)</f>
        <v>0</v>
      </c>
      <c r="F1143" s="43" t="b">
        <f>CL1143&gt;Driver!$F$56</f>
        <v>1</v>
      </c>
      <c r="G1143" s="43" t="b">
        <f>AND(CB1143&gt;Driver!$F$55,CB1143&lt;Driver!$G$55)</f>
        <v>0</v>
      </c>
      <c r="H1143" s="43" t="b">
        <f t="shared" si="629"/>
        <v>0</v>
      </c>
      <c r="I1143" s="43">
        <f t="shared" si="630"/>
        <v>0</v>
      </c>
      <c r="J1143" s="43" t="b">
        <f t="array" ref="J1143">NOT(OR(($H$9:$H$1273=TRUE)*($I$9:$I$1273&gt;0)*($BT$9:$BT$1273=BT1143)*($K$9:$K$1273&gt;K1143)))</f>
        <v>1</v>
      </c>
      <c r="K1143" s="72">
        <f t="shared" si="631"/>
        <v>0.76795126658243051</v>
      </c>
      <c r="L1143" s="72">
        <f t="shared" si="632"/>
        <v>0.78123301195652284</v>
      </c>
      <c r="M1143" s="72">
        <f t="shared" si="633"/>
        <v>0.75466952120833819</v>
      </c>
      <c r="N1143" s="72">
        <f t="shared" si="634"/>
        <v>0.86245422169069352</v>
      </c>
      <c r="O1143" s="72">
        <f t="shared" si="635"/>
        <v>0.58040610415819793</v>
      </c>
      <c r="P1143" s="72">
        <f t="shared" si="636"/>
        <v>0.82114823777612311</v>
      </c>
      <c r="Q1143" s="72"/>
      <c r="R1143" s="72"/>
      <c r="S1143" s="72">
        <f t="shared" si="637"/>
        <v>0.38578579871562391</v>
      </c>
      <c r="T1143" s="72">
        <f t="shared" si="638"/>
        <v>0.98776927596458763</v>
      </c>
      <c r="U1143" s="72">
        <f t="shared" si="639"/>
        <v>0.51</v>
      </c>
      <c r="V1143" s="72">
        <f t="shared" si="640"/>
        <v>0.49726075355570143</v>
      </c>
      <c r="W1143" s="72">
        <f t="shared" si="641"/>
        <v>0.83351657367902854</v>
      </c>
      <c r="X1143" s="72">
        <f t="shared" si="642"/>
        <v>0.21876698804347716</v>
      </c>
      <c r="Y1143" s="72">
        <f t="shared" si="643"/>
        <v>0.24533047879166181</v>
      </c>
      <c r="Z1143" s="72">
        <f t="shared" si="644"/>
        <v>0.13754577830930648</v>
      </c>
      <c r="AA1143" s="72">
        <f t="shared" si="645"/>
        <v>0.41959389584180207</v>
      </c>
      <c r="AB1143" s="72">
        <f t="shared" si="646"/>
        <v>0.17885176222387689</v>
      </c>
      <c r="AC1143" s="72"/>
      <c r="AD1143" s="72"/>
      <c r="AE1143" s="72">
        <f t="shared" si="647"/>
        <v>0.61421420128437609</v>
      </c>
      <c r="AF1143" s="72">
        <f t="shared" si="648"/>
        <v>1.2230724035412366E-2</v>
      </c>
      <c r="AG1143" s="72">
        <f t="shared" si="649"/>
        <v>0.49</v>
      </c>
      <c r="AH1143" s="72">
        <f t="shared" si="650"/>
        <v>0.50273924644429857</v>
      </c>
      <c r="AI1143" s="72">
        <f t="shared" si="651"/>
        <v>0.16648342632097146</v>
      </c>
      <c r="AJ1143" s="72">
        <f>(AV1143-Driver!$K$179)/(Driver!$L$179-Driver!$K$179)</f>
        <v>3.5452421239223264E-2</v>
      </c>
      <c r="AK1143" s="72">
        <f>(AW1143-Driver!$K$180)/(Driver!$L$180-Driver!$K$180)</f>
        <v>8.3975781392488985E-2</v>
      </c>
      <c r="AL1143" s="72">
        <f>(AX1143-Driver!$K$181)/(Driver!$L$181-Driver!$K$181)</f>
        <v>0.23923354202238667</v>
      </c>
      <c r="AM1143" s="72">
        <f>(AY1143-Driver!$K$182)/(Driver!$L$182-Driver!$K$182)</f>
        <v>2.7791125255244291E-2</v>
      </c>
      <c r="AN1143" s="72">
        <f>(AZ1143-Driver!$K$183)/(Driver!$L$183-Driver!$K$183)</f>
        <v>7.5367647058823539E-2</v>
      </c>
      <c r="AO1143" s="72"/>
      <c r="AP1143" s="72"/>
      <c r="AQ1143" s="72">
        <f>(BC1143-Driver!$K$188)/(Driver!$L$188-Driver!$K$188)</f>
        <v>5.7857987156238822E-3</v>
      </c>
      <c r="AR1143" s="72">
        <f>MIN((BD1143-Driver!$K$189)/(Driver!$L$189-Driver!$K$189),100%)</f>
        <v>0.56223072403541241</v>
      </c>
      <c r="AS1143" s="72">
        <f>(BE1143-Driver!$K$190)/(Driver!$L$190-Driver!$K$190)</f>
        <v>1</v>
      </c>
      <c r="AT1143" s="72">
        <f>(BF1143-Driver!$K$191)/(Driver!$L$191-Driver!$K$191)</f>
        <v>7.2607535557014163E-3</v>
      </c>
      <c r="AU1143" s="72">
        <f>(BG1143-Driver!$K$192)/(Driver!$L$192-Driver!$K$192)</f>
        <v>8.3516573679028538E-2</v>
      </c>
      <c r="AV1143" s="70">
        <f t="shared" si="652"/>
        <v>0.7461674128340795</v>
      </c>
      <c r="AW1143" s="70">
        <f t="shared" si="653"/>
        <v>10.056076619275602</v>
      </c>
      <c r="AX1143" s="70">
        <f t="shared" si="654"/>
        <v>3.1531018782014799</v>
      </c>
      <c r="AY1143" s="70">
        <f>IFERROR(Driver!$K$19/Data!BH1143/Data!BI1143*Data!BK1143*Data!BL1143,"")</f>
        <v>3.4024629383876535E-2</v>
      </c>
      <c r="AZ1143" s="70">
        <f t="shared" si="655"/>
        <v>6.8689501116902463</v>
      </c>
      <c r="BA1143" s="70"/>
      <c r="BB1143" s="70"/>
      <c r="BC1143" s="70">
        <f t="shared" si="656"/>
        <v>3.0011340160142304</v>
      </c>
      <c r="BD1143" s="70">
        <f t="shared" si="657"/>
        <v>51.477245747337811</v>
      </c>
      <c r="BE1143" s="70">
        <f t="shared" si="658"/>
        <v>1</v>
      </c>
      <c r="BF1143" s="70">
        <f t="shared" si="659"/>
        <v>0.82005110443579943</v>
      </c>
      <c r="BG1143" s="70">
        <f t="shared" si="660"/>
        <v>0.31624702576304559</v>
      </c>
      <c r="BH1143" s="67">
        <f>MAX((CE1143-Driver!$F$200)/(Driver!$G$200-Driver!$F$200)*$BI$1,1)</f>
        <v>3.1531018782014799</v>
      </c>
      <c r="BI1143" s="67">
        <f>MAX($BI$1*(BY1143-Driver!$F$201)/(Driver!$G$201-Driver!$F$201),1)</f>
        <v>7.7848101265822782</v>
      </c>
      <c r="BJ1143" s="67">
        <f>(CB1143-Driver!$F$206)/(Driver!$G$206-Driver!$F$206)*$BI$1</f>
        <v>1.5873015873015872</v>
      </c>
      <c r="BK1143" s="67">
        <f>(CD1143-Driver!$F$203)/(Driver!$G$203-Driver!$F$203)*$BI$1</f>
        <v>0.55045871559633008</v>
      </c>
      <c r="BL1143" s="67">
        <f>MAX((CR1143-Driver!$F$202)/(Driver!$G$202-Driver!$F$202)*$BI$1,1)</f>
        <v>7.5862068965517242</v>
      </c>
      <c r="BM1143" s="67">
        <f>MAX((CH1143-Driver!$F$204)/(Driver!$G$204-Driver!$F$204)*$BI$1,1)</f>
        <v>1.8803418803418803</v>
      </c>
      <c r="BN1143" s="67">
        <f>(CI1143-Driver!$F$205)/(Driver!$G$205-Driver!$F$205)*$BI$1</f>
        <v>0.88235294117647067</v>
      </c>
      <c r="BO1143" s="67">
        <f>(CK1143-Driver!$F$207)/(Driver!$G$207-Driver!$F$207)*$BI$1</f>
        <v>0.34126163391933811</v>
      </c>
      <c r="BP1143" s="67">
        <f>(CM1143-Driver!$F$208)/(Driver!$G$208-Driver!$F$208)*$BI$1</f>
        <v>0.83333333333333326</v>
      </c>
      <c r="BQ1143" s="67">
        <f>(CL1143-Driver!$F$209)/(Driver!$G$209-Driver!$F$209)*$BI$1</f>
        <v>1.875</v>
      </c>
      <c r="BR1143" s="28" t="s">
        <v>155</v>
      </c>
      <c r="BS1143" s="8" t="s">
        <v>167</v>
      </c>
      <c r="BT1143" s="9" t="s">
        <v>841</v>
      </c>
      <c r="BU1143" s="10">
        <v>153</v>
      </c>
      <c r="BV1143" s="9" t="s">
        <v>163</v>
      </c>
      <c r="BW1143" s="10">
        <v>153</v>
      </c>
      <c r="BX1143" s="10">
        <v>152.4</v>
      </c>
      <c r="BY1143" s="10">
        <v>131</v>
      </c>
      <c r="BZ1143" s="10">
        <v>137</v>
      </c>
      <c r="CA1143" s="10">
        <v>128</v>
      </c>
      <c r="CB1143" s="10">
        <v>74</v>
      </c>
      <c r="CC1143" s="10">
        <v>107</v>
      </c>
      <c r="CD1143" s="10">
        <v>10.6</v>
      </c>
      <c r="CE1143" s="10">
        <v>1454</v>
      </c>
      <c r="CF1143" s="10">
        <v>0.95</v>
      </c>
      <c r="CG1143" s="10">
        <v>1386</v>
      </c>
      <c r="CH1143" s="10">
        <v>145</v>
      </c>
      <c r="CI1143" s="10">
        <v>48</v>
      </c>
      <c r="CJ1143" s="10">
        <v>38</v>
      </c>
      <c r="CK1143" s="10">
        <v>143</v>
      </c>
      <c r="CL1143" s="10">
        <v>12</v>
      </c>
      <c r="CM1143" s="10">
        <v>75</v>
      </c>
      <c r="CN1143" s="10">
        <v>0.32300000000000001</v>
      </c>
      <c r="CO1143" s="10">
        <v>96</v>
      </c>
      <c r="CP1143" s="10">
        <v>62</v>
      </c>
      <c r="CQ1143" s="10">
        <v>47</v>
      </c>
      <c r="CR1143" s="10">
        <v>11</v>
      </c>
      <c r="CS1143" s="10">
        <v>11.1</v>
      </c>
      <c r="CT1143" s="9" t="s">
        <v>349</v>
      </c>
      <c r="CU1143" s="9" t="s">
        <v>231</v>
      </c>
      <c r="CV1143" s="10"/>
      <c r="CW1143" s="10"/>
      <c r="CX1143" t="str">
        <f>INDEX('Data_Price '!AG$2:AG$1266,MATCH(Data!$DN1143,'Data_Price '!$AT$2:$AT$1266,0))</f>
        <v>Head Super Joy Skis w/ Joy 11 GW SLR Bindings</v>
      </c>
      <c r="CY1143" t="str">
        <f>INDEX('Data_Price '!AH$2:AH$1266,MATCH(Data!$DN1143,'Data_Price '!$AT$2:$AT$1266,0))</f>
        <v>eBay - asogear</v>
      </c>
      <c r="CZ1143">
        <f>INDEX('Data_Price '!AI$2:AI$1266,MATCH(Data!$DN1143,'Data_Price '!$AT$2:$AT$1266,0))</f>
        <v>527.99</v>
      </c>
      <c r="DA1143" t="str">
        <f>INDEX('Data_Price '!AJ$2:AJ$1266,MATCH(Data!$DN1143,'Data_Price '!$AT$2:$AT$1266,0))</f>
        <v>https://tinyurl.com/y9rpx99v</v>
      </c>
      <c r="DB1143" t="str">
        <f>INDEX('Data_Price '!AK$2:AK$1266,MATCH(Data!$DN1143,'Data_Price '!$AT$2:$AT$1266,0))</f>
        <v>Head Super Joy Skis w/ Joy 11 GW SLR Bindings</v>
      </c>
      <c r="DC1143" t="str">
        <f>INDEX('Data_Price '!AL$2:AL$1266,MATCH(Data!$DN1143,'Data_Price '!$AT$2:$AT$1266,0))</f>
        <v>The-House.com</v>
      </c>
      <c r="DD1143">
        <f>INDEX('Data_Price '!AM$2:AM$1266,MATCH(Data!$DN1143,'Data_Price '!$AT$2:$AT$1266,0))</f>
        <v>650</v>
      </c>
      <c r="DE1143" t="str">
        <f>INDEX('Data_Price '!AN$2:AN$1266,MATCH(Data!$DN1143,'Data_Price '!$AT$2:$AT$1266,0))</f>
        <v>https://tinyurl.com/y8uazsvh</v>
      </c>
      <c r="DF1143" t="str">
        <f>INDEX('Data_Price '!AO$2:AO$1266,MATCH(Data!$DN1143,'Data_Price '!$AT$2:$AT$1266,0))</f>
        <v>Head Super Joy Skis w/ Joy 11 GW SLR Bindings</v>
      </c>
      <c r="DG1143" t="str">
        <f>INDEX('Data_Price '!AP$2:AP$1266,MATCH(Data!$DN1143,'Data_Price '!$AT$2:$AT$1266,0))</f>
        <v>Walmart - WEBY Corporation</v>
      </c>
      <c r="DH1143">
        <f>INDEX('Data_Price '!AQ$2:AQ$1266,MATCH(Data!$DN1143,'Data_Price '!$AT$2:$AT$1266,0))</f>
        <v>679</v>
      </c>
      <c r="DI1143" t="str">
        <f>INDEX('Data_Price '!AR$2:AR$1266,MATCH(Data!$DN1143,'Data_Price '!$AT$2:$AT$1266,0))</f>
        <v>https://tinyurl.com/y93opl2q</v>
      </c>
      <c r="DJ1143" s="89" t="str">
        <f t="shared" si="661"/>
        <v>https://tinyurl.com/y9rpx99v</v>
      </c>
      <c r="DK1143" s="89" t="str">
        <f t="shared" si="662"/>
        <v>https://tinyurl.com/y8uazsvh</v>
      </c>
      <c r="DL1143" s="89" t="str">
        <f t="shared" si="663"/>
        <v>https://tinyurl.com/y93opl2q</v>
      </c>
      <c r="DM1143" s="219" t="str">
        <f t="shared" si="664"/>
        <v>Super Joy</v>
      </c>
      <c r="DN1143" s="89" t="str">
        <f t="shared" si="665"/>
        <v xml:space="preserve"> HeadSuper Joy153 Women's</v>
      </c>
      <c r="DO1143" s="221"/>
    </row>
    <row r="1144" spans="2:119" ht="15.6" customHeight="1">
      <c r="B1144" s="219" t="b">
        <f t="array" ref="B1144">IF(OR(ISERROR(K1144:P1144)),FALSE,TRUE)</f>
        <v>1</v>
      </c>
      <c r="C1144" s="43" t="b">
        <f>OR(BR1144=Driver!$G$50,Data!BR660=Driver!$H$50)</f>
        <v>1</v>
      </c>
      <c r="D1144" s="43" t="b">
        <f>OR(BV1144=Driver!$G$51,BV1144=Driver!$H$51)</f>
        <v>1</v>
      </c>
      <c r="E1144" s="43" t="b">
        <f>AND(BX1144&gt;Driver!$F$54,BX1144&lt;Driver!$G$54)</f>
        <v>0</v>
      </c>
      <c r="F1144" s="43" t="b">
        <f>CL1144&gt;Driver!$F$56</f>
        <v>1</v>
      </c>
      <c r="G1144" s="43" t="b">
        <f>AND(CB1144&gt;Driver!$F$55,CB1144&lt;Driver!$G$55)</f>
        <v>0</v>
      </c>
      <c r="H1144" s="43" t="b">
        <f t="shared" si="629"/>
        <v>0</v>
      </c>
      <c r="I1144" s="43">
        <f t="shared" si="630"/>
        <v>0</v>
      </c>
      <c r="J1144" s="43" t="b">
        <f t="array" ref="J1144">NOT(OR(($H$9:$H$1273=TRUE)*($I$9:$I$1273&gt;0)*($BT$9:$BT$1273=BT1144)*($K$9:$K$1273&gt;K1144)))</f>
        <v>1</v>
      </c>
      <c r="K1144" s="72">
        <f t="shared" si="631"/>
        <v>0.72508073225025926</v>
      </c>
      <c r="L1144" s="72">
        <f t="shared" si="632"/>
        <v>0.84923720178812379</v>
      </c>
      <c r="M1144" s="72">
        <f t="shared" si="633"/>
        <v>0.60092426271239474</v>
      </c>
      <c r="N1144" s="72">
        <f t="shared" si="634"/>
        <v>0.42610438295041653</v>
      </c>
      <c r="O1144" s="72">
        <f t="shared" si="635"/>
        <v>0.6154637017864204</v>
      </c>
      <c r="P1144" s="72">
        <f t="shared" si="636"/>
        <v>0.76120470340034752</v>
      </c>
      <c r="Q1144" s="72"/>
      <c r="R1144" s="72"/>
      <c r="S1144" s="72">
        <f t="shared" si="637"/>
        <v>0.54123317102097945</v>
      </c>
      <c r="T1144" s="72">
        <f t="shared" si="638"/>
        <v>0.82177509677673499</v>
      </c>
      <c r="U1144" s="72">
        <f t="shared" si="639"/>
        <v>0.51</v>
      </c>
      <c r="V1144" s="72">
        <f t="shared" si="640"/>
        <v>0.49101386522377788</v>
      </c>
      <c r="W1144" s="72">
        <f t="shared" si="641"/>
        <v>0.7576471737235928</v>
      </c>
      <c r="X1144" s="72">
        <f t="shared" si="642"/>
        <v>0.15076279821187619</v>
      </c>
      <c r="Y1144" s="72">
        <f t="shared" si="643"/>
        <v>0.3990757372876052</v>
      </c>
      <c r="Z1144" s="72">
        <f t="shared" si="644"/>
        <v>0.57389561704958347</v>
      </c>
      <c r="AA1144" s="72">
        <f t="shared" si="645"/>
        <v>0.38453629821357954</v>
      </c>
      <c r="AB1144" s="72">
        <f t="shared" si="646"/>
        <v>0.23879529659965248</v>
      </c>
      <c r="AC1144" s="72"/>
      <c r="AD1144" s="72"/>
      <c r="AE1144" s="72">
        <f t="shared" si="647"/>
        <v>0.45876682897902055</v>
      </c>
      <c r="AF1144" s="72">
        <f t="shared" si="648"/>
        <v>0.17822490322326501</v>
      </c>
      <c r="AG1144" s="72">
        <f t="shared" si="649"/>
        <v>0.49</v>
      </c>
      <c r="AH1144" s="72">
        <f t="shared" si="650"/>
        <v>0.50898613477622212</v>
      </c>
      <c r="AI1144" s="72">
        <f t="shared" si="651"/>
        <v>0.24235282627640714</v>
      </c>
      <c r="AJ1144" s="72">
        <f>(AV1144-Driver!$K$179)/(Driver!$L$179-Driver!$K$179)</f>
        <v>0.10345661107082424</v>
      </c>
      <c r="AK1144" s="72">
        <f>(AW1144-Driver!$K$180)/(Driver!$L$180-Driver!$K$180)</f>
        <v>0.5152767925108066</v>
      </c>
      <c r="AL1144" s="72">
        <f>(AX1144-Driver!$K$181)/(Driver!$L$181-Driver!$K$181)</f>
        <v>0.67558338076266367</v>
      </c>
      <c r="AM1144" s="72">
        <f>(AY1144-Driver!$K$182)/(Driver!$L$182-Driver!$K$182)</f>
        <v>6.2848722883466823E-2</v>
      </c>
      <c r="AN1144" s="72">
        <f>(AZ1144-Driver!$K$183)/(Driver!$L$183-Driver!$K$183)</f>
        <v>0.49301470588235291</v>
      </c>
      <c r="AO1144" s="72"/>
      <c r="AP1144" s="72"/>
      <c r="AQ1144" s="72">
        <f>(BC1144-Driver!$K$188)/(Driver!$L$188-Driver!$K$188)</f>
        <v>0.16123317102097945</v>
      </c>
      <c r="AR1144" s="72">
        <f>MIN((BD1144-Driver!$K$189)/(Driver!$L$189-Driver!$K$189),100%)</f>
        <v>0.72822490322326505</v>
      </c>
      <c r="AS1144" s="72">
        <f>(BE1144-Driver!$K$190)/(Driver!$L$190-Driver!$K$190)</f>
        <v>1</v>
      </c>
      <c r="AT1144" s="72">
        <f>(BF1144-Driver!$K$191)/(Driver!$L$191-Driver!$K$191)</f>
        <v>1.0138652237779431E-3</v>
      </c>
      <c r="AU1144" s="72">
        <f>(BG1144-Driver!$K$192)/(Driver!$L$192-Driver!$K$192)</f>
        <v>7.6471737235928715E-3</v>
      </c>
      <c r="AV1144" s="70">
        <f t="shared" si="652"/>
        <v>2.1774521774521771</v>
      </c>
      <c r="AW1144" s="70">
        <f t="shared" si="653"/>
        <v>52.090181868491229</v>
      </c>
      <c r="AX1144" s="70">
        <f t="shared" si="654"/>
        <v>7.080250426863973</v>
      </c>
      <c r="AY1144" s="70">
        <f>IFERROR(Driver!$K$19/Data!BH1144/Data!BI1144*Data!BK1144*Data!BL1144,"")</f>
        <v>7.6945589058377326E-2</v>
      </c>
      <c r="AZ1144" s="70">
        <f t="shared" si="655"/>
        <v>44.932985852568876</v>
      </c>
      <c r="BA1144" s="70"/>
      <c r="BB1144" s="70"/>
      <c r="BC1144" s="70">
        <f t="shared" si="656"/>
        <v>83.63276668340238</v>
      </c>
      <c r="BD1144" s="70">
        <f t="shared" si="657"/>
        <v>66.167436481181497</v>
      </c>
      <c r="BE1144" s="70">
        <f t="shared" si="658"/>
        <v>1</v>
      </c>
      <c r="BF1144" s="70">
        <f t="shared" si="659"/>
        <v>0.1145089542193989</v>
      </c>
      <c r="BG1144" s="70">
        <f t="shared" si="660"/>
        <v>2.8957078086966976E-2</v>
      </c>
      <c r="BH1144" s="67">
        <f>MAX((CE1144-Driver!$F$200)/(Driver!$G$200-Driver!$F$200)*$BI$1,1)</f>
        <v>7.080250426863973</v>
      </c>
      <c r="BI1144" s="67">
        <f>MAX($BI$1*(BY1144-Driver!$F$201)/(Driver!$G$201-Driver!$F$201),1)</f>
        <v>9.4303797468354436</v>
      </c>
      <c r="BJ1144" s="67">
        <f>(CB1144-Driver!$F$206)/(Driver!$G$206-Driver!$F$206)*$BI$1</f>
        <v>1.9047619047619047</v>
      </c>
      <c r="BK1144" s="67">
        <f>(CD1144-Driver!$F$203)/(Driver!$G$203-Driver!$F$203)*$BI$1</f>
        <v>2.5688073394495414</v>
      </c>
      <c r="BL1144" s="67">
        <f>MAX((CR1144-Driver!$F$202)/(Driver!$G$202-Driver!$F$202)*$BI$1,1)</f>
        <v>10</v>
      </c>
      <c r="BM1144" s="67">
        <f>MAX((CH1144-Driver!$F$204)/(Driver!$G$204-Driver!$F$204)*$BI$1,1)</f>
        <v>4.5726495726495724</v>
      </c>
      <c r="BN1144" s="67">
        <f>(CI1144-Driver!$F$205)/(Driver!$G$205-Driver!$F$205)*$BI$1</f>
        <v>4.7647058823529411</v>
      </c>
      <c r="BO1144" s="67">
        <f>(CK1144-Driver!$F$207)/(Driver!$G$207-Driver!$F$207)*$BI$1</f>
        <v>0.24819027921406411</v>
      </c>
      <c r="BP1144" s="67">
        <f>(CM1144-Driver!$F$208)/(Driver!$G$208-Driver!$F$208)*$BI$1</f>
        <v>0.62222222222222223</v>
      </c>
      <c r="BQ1144" s="67">
        <f>(CL1144-Driver!$F$209)/(Driver!$G$209-Driver!$F$209)*$BI$1</f>
        <v>0.9375</v>
      </c>
      <c r="BR1144" s="28" t="s">
        <v>155</v>
      </c>
      <c r="BS1144" s="8" t="s">
        <v>167</v>
      </c>
      <c r="BT1144" s="9" t="s">
        <v>704</v>
      </c>
      <c r="BU1144" s="10">
        <v>177</v>
      </c>
      <c r="BV1144" s="9" t="s">
        <v>158</v>
      </c>
      <c r="BW1144" s="10">
        <v>177</v>
      </c>
      <c r="BX1144" s="10">
        <v>176.4</v>
      </c>
      <c r="BY1144" s="10">
        <v>157</v>
      </c>
      <c r="BZ1144" s="10">
        <v>164</v>
      </c>
      <c r="CA1144" s="10">
        <v>130</v>
      </c>
      <c r="CB1144" s="10">
        <v>76</v>
      </c>
      <c r="CC1144" s="10">
        <v>112</v>
      </c>
      <c r="CD1144" s="10">
        <v>15</v>
      </c>
      <c r="CE1144" s="10">
        <v>2144</v>
      </c>
      <c r="CF1144" s="10">
        <v>0.76</v>
      </c>
      <c r="CG1144" s="10">
        <v>1628</v>
      </c>
      <c r="CH1144" s="10">
        <v>208</v>
      </c>
      <c r="CI1144" s="10">
        <v>114</v>
      </c>
      <c r="CJ1144" s="10">
        <v>33</v>
      </c>
      <c r="CK1144" s="10">
        <v>134</v>
      </c>
      <c r="CL1144" s="10">
        <v>6</v>
      </c>
      <c r="CM1144" s="10">
        <v>56</v>
      </c>
      <c r="CN1144" s="10">
        <v>0.188</v>
      </c>
      <c r="CO1144" s="10">
        <v>76</v>
      </c>
      <c r="CP1144" s="10">
        <v>51</v>
      </c>
      <c r="CQ1144" s="10">
        <v>58</v>
      </c>
      <c r="CR1144" s="10">
        <v>18</v>
      </c>
      <c r="CS1144" s="10">
        <v>13.2</v>
      </c>
      <c r="CT1144" s="9" t="s">
        <v>349</v>
      </c>
      <c r="CU1144" s="10"/>
      <c r="CV1144" s="10"/>
      <c r="CW1144" s="10"/>
      <c r="CX1144" t="str">
        <f>INDEX('Data_Price '!AG$2:AG$1266,MATCH(Data!$DN1144,'Data_Price '!$AT$2:$AT$1266,0))</f>
        <v>Head V-Shape V6 Skis with PR 11 GW Bindings</v>
      </c>
      <c r="CY1144" t="str">
        <f>INDEX('Data_Price '!AH$2:AH$1266,MATCH(Data!$DN1144,'Data_Price '!$AT$2:$AT$1266,0))</f>
        <v>Ski Pro  - Snow Ski &amp; Snowboard</v>
      </c>
      <c r="CZ1144">
        <f>INDEX('Data_Price '!AI$2:AI$1266,MATCH(Data!$DN1144,'Data_Price '!$AT$2:$AT$1266,0))</f>
        <v>449.95</v>
      </c>
      <c r="DA1144" t="str">
        <f>INDEX('Data_Price '!AJ$2:AJ$1266,MATCH(Data!$DN1144,'Data_Price '!$AT$2:$AT$1266,0))</f>
        <v>https://tinyurl.com/ybdmzj5m</v>
      </c>
      <c r="DB1144" t="str">
        <f>INDEX('Data_Price '!AK$2:AK$1266,MATCH(Data!$DN1144,'Data_Price '!$AT$2:$AT$1266,0))</f>
        <v>Head V-Shape V6 Skis with PR 11 GW Bindings</v>
      </c>
      <c r="DC1144" t="str">
        <f>INDEX('Data_Price '!AL$2:AL$1266,MATCH(Data!$DN1144,'Data_Price '!$AT$2:$AT$1266,0))</f>
        <v>The-House.com</v>
      </c>
      <c r="DD1144">
        <f>INDEX('Data_Price '!AM$2:AM$1266,MATCH(Data!$DN1144,'Data_Price '!$AT$2:$AT$1266,0))</f>
        <v>450</v>
      </c>
      <c r="DE1144" t="str">
        <f>INDEX('Data_Price '!AN$2:AN$1266,MATCH(Data!$DN1144,'Data_Price '!$AT$2:$AT$1266,0))</f>
        <v>https://tinyurl.com/yazcse6m</v>
      </c>
      <c r="DF1144" t="str">
        <f>INDEX('Data_Price '!AO$2:AO$1266,MATCH(Data!$DN1144,'Data_Price '!$AT$2:$AT$1266,0))</f>
        <v>Head V-Shape V6 Skis with PR 11 GW Bindings</v>
      </c>
      <c r="DG1144" t="str">
        <f>INDEX('Data_Price '!AP$2:AP$1266,MATCH(Data!$DN1144,'Data_Price '!$AT$2:$AT$1266,0))</f>
        <v>Ski Country Sports</v>
      </c>
      <c r="DH1144">
        <f>INDEX('Data_Price '!AQ$2:AQ$1266,MATCH(Data!$DN1144,'Data_Price '!$AT$2:$AT$1266,0))</f>
        <v>503.98</v>
      </c>
      <c r="DI1144" t="str">
        <f>INDEX('Data_Price '!AR$2:AR$1266,MATCH(Data!$DN1144,'Data_Price '!$AT$2:$AT$1266,0))</f>
        <v>https://tinyurl.com/ydhwm3h6</v>
      </c>
      <c r="DJ1144" s="89" t="str">
        <f t="shared" si="661"/>
        <v>https://tinyurl.com/ybdmzj5m</v>
      </c>
      <c r="DK1144" s="89" t="str">
        <f t="shared" si="662"/>
        <v>https://tinyurl.com/yazcse6m</v>
      </c>
      <c r="DL1144" s="89" t="str">
        <f t="shared" si="663"/>
        <v>https://tinyurl.com/ydhwm3h6</v>
      </c>
      <c r="DM1144" s="219" t="str">
        <f t="shared" si="664"/>
        <v>V-Shape V6</v>
      </c>
      <c r="DN1144" s="89" t="str">
        <f t="shared" si="665"/>
        <v xml:space="preserve"> HeadV-Shape V6177 Unisex</v>
      </c>
      <c r="DO1144" s="221" t="s">
        <v>705</v>
      </c>
    </row>
    <row r="1145" spans="2:119" ht="15.6" customHeight="1">
      <c r="B1145" s="219" t="b">
        <f t="array" ref="B1145">IF(OR(ISERROR(K1145:P1145)),FALSE,TRUE)</f>
        <v>1</v>
      </c>
      <c r="C1145" s="43" t="b">
        <f>OR(BR1145=Driver!$G$50,Data!BR893=Driver!$H$50)</f>
        <v>1</v>
      </c>
      <c r="D1145" s="43" t="b">
        <f>OR(BV1145=Driver!$G$51,BV1145=Driver!$H$51)</f>
        <v>1</v>
      </c>
      <c r="E1145" s="43" t="b">
        <f>AND(BX1145&gt;Driver!$F$54,BX1145&lt;Driver!$G$54)</f>
        <v>0</v>
      </c>
      <c r="F1145" s="43" t="b">
        <f>CL1145&gt;Driver!$F$56</f>
        <v>1</v>
      </c>
      <c r="G1145" s="43" t="b">
        <f>AND(CB1145&gt;Driver!$F$55,CB1145&lt;Driver!$G$55)</f>
        <v>0</v>
      </c>
      <c r="H1145" s="43" t="b">
        <f t="shared" si="629"/>
        <v>0</v>
      </c>
      <c r="I1145" s="43">
        <f t="shared" si="630"/>
        <v>0</v>
      </c>
      <c r="J1145" s="43" t="b">
        <f t="array" ref="J1145">NOT(OR(($H$9:$H$1273=TRUE)*($I$9:$I$1273&gt;0)*($BT$9:$BT$1273=BT1145)*($K$9:$K$1273&gt;K1145)))</f>
        <v>1</v>
      </c>
      <c r="K1145" s="72">
        <f t="shared" si="631"/>
        <v>0.73261772495212751</v>
      </c>
      <c r="L1145" s="72">
        <f t="shared" si="632"/>
        <v>0.89163782842700801</v>
      </c>
      <c r="M1145" s="72">
        <f t="shared" si="633"/>
        <v>0.57359762147724691</v>
      </c>
      <c r="N1145" s="72">
        <f t="shared" si="634"/>
        <v>0.40460308654872179</v>
      </c>
      <c r="O1145" s="72">
        <f t="shared" si="635"/>
        <v>0.62471546663953437</v>
      </c>
      <c r="P1145" s="72">
        <f t="shared" si="636"/>
        <v>0.69147431124348469</v>
      </c>
      <c r="Q1145" s="72"/>
      <c r="R1145" s="72"/>
      <c r="S1145" s="72">
        <f t="shared" si="637"/>
        <v>0.52989414843897065</v>
      </c>
      <c r="T1145" s="72">
        <f t="shared" si="638"/>
        <v>0.57677910293434842</v>
      </c>
      <c r="U1145" s="72">
        <f t="shared" si="639"/>
        <v>0.60388496361789934</v>
      </c>
      <c r="V1145" s="72">
        <f t="shared" si="640"/>
        <v>0.54240977351396424</v>
      </c>
      <c r="W1145" s="72">
        <f t="shared" si="641"/>
        <v>0.76699154929577462</v>
      </c>
      <c r="X1145" s="72">
        <f t="shared" si="642"/>
        <v>0.10836217157299199</v>
      </c>
      <c r="Y1145" s="72">
        <f t="shared" si="643"/>
        <v>0.42640237852275303</v>
      </c>
      <c r="Z1145" s="72">
        <f t="shared" si="644"/>
        <v>0.59539691345127821</v>
      </c>
      <c r="AA1145" s="72">
        <f t="shared" si="645"/>
        <v>0.37528453336046563</v>
      </c>
      <c r="AB1145" s="72">
        <f t="shared" si="646"/>
        <v>0.30852568875651526</v>
      </c>
      <c r="AC1145" s="72"/>
      <c r="AD1145" s="72"/>
      <c r="AE1145" s="72">
        <f t="shared" si="647"/>
        <v>0.47010585156102935</v>
      </c>
      <c r="AF1145" s="72">
        <f t="shared" si="648"/>
        <v>0.42322089706565158</v>
      </c>
      <c r="AG1145" s="72">
        <f t="shared" si="649"/>
        <v>0.39611503638210066</v>
      </c>
      <c r="AH1145" s="72">
        <f t="shared" si="650"/>
        <v>0.45759022648603576</v>
      </c>
      <c r="AI1145" s="72">
        <f t="shared" si="651"/>
        <v>0.23300845070422535</v>
      </c>
      <c r="AJ1145" s="72">
        <f>(AV1145-Driver!$K$179)/(Driver!$L$179-Driver!$K$179)</f>
        <v>0.36258158085569242</v>
      </c>
      <c r="AK1145" s="72">
        <f>(AW1145-Driver!$K$180)/(Driver!$L$180-Driver!$K$180)</f>
        <v>0.58258738396412846</v>
      </c>
      <c r="AL1145" s="72">
        <f>(AX1145-Driver!$K$181)/(Driver!$L$181-Driver!$K$181)</f>
        <v>0.6970846771643584</v>
      </c>
      <c r="AM1145" s="72">
        <f>(AY1145-Driver!$K$182)/(Driver!$L$182-Driver!$K$182)</f>
        <v>7.2100487736580718E-2</v>
      </c>
      <c r="AN1145" s="72">
        <f>(AZ1145-Driver!$K$183)/(Driver!$L$183-Driver!$K$183)</f>
        <v>0.56274509803921569</v>
      </c>
      <c r="AO1145" s="72"/>
      <c r="AP1145" s="72"/>
      <c r="AQ1145" s="72">
        <f>(BC1145-Driver!$K$188)/(Driver!$L$188-Driver!$K$188)</f>
        <v>0.14989414843897061</v>
      </c>
      <c r="AR1145" s="72">
        <f>MIN((BD1145-Driver!$K$189)/(Driver!$L$189-Driver!$K$189),100%)</f>
        <v>0.12677910293434846</v>
      </c>
      <c r="AS1145" s="72">
        <f>(BE1145-Driver!$K$190)/(Driver!$L$190-Driver!$K$190)</f>
        <v>0.11388496361789933</v>
      </c>
      <c r="AT1145" s="72">
        <f>(BF1145-Driver!$K$191)/(Driver!$L$191-Driver!$K$191)</f>
        <v>5.2409773513964239E-2</v>
      </c>
      <c r="AU1145" s="72">
        <f>(BG1145-Driver!$K$192)/(Driver!$L$192-Driver!$K$192)</f>
        <v>1.6991549295774646E-2</v>
      </c>
      <c r="AV1145" s="70">
        <f t="shared" si="652"/>
        <v>7.6312576312576299</v>
      </c>
      <c r="AW1145" s="70">
        <f t="shared" si="653"/>
        <v>58.650195438131853</v>
      </c>
      <c r="AX1145" s="70">
        <f t="shared" si="654"/>
        <v>7.2737620944792258</v>
      </c>
      <c r="AY1145" s="70">
        <f>IFERROR(Driver!$K$19/Data!BH1145/Data!BI1145*Data!BK1145*Data!BL1145,"")</f>
        <v>8.8272509698791982E-2</v>
      </c>
      <c r="AZ1145" s="70">
        <f t="shared" si="655"/>
        <v>51.288160833953832</v>
      </c>
      <c r="BA1145" s="70"/>
      <c r="BB1145" s="70"/>
      <c r="BC1145" s="70">
        <f t="shared" si="656"/>
        <v>77.751136842508274</v>
      </c>
      <c r="BD1145" s="70">
        <f t="shared" si="657"/>
        <v>12.940548854509771</v>
      </c>
      <c r="BE1145" s="70">
        <f t="shared" si="658"/>
        <v>0.11404303656674034</v>
      </c>
      <c r="BF1145" s="70">
        <f t="shared" si="659"/>
        <v>5.9193157189046861</v>
      </c>
      <c r="BG1145" s="70">
        <f t="shared" si="660"/>
        <v>6.4340845070422537E-2</v>
      </c>
      <c r="BH1145" s="67">
        <f>MAX((CE1145-Driver!$F$200)/(Driver!$G$200-Driver!$F$200)*$BI$1,1)</f>
        <v>7.2737620944792258</v>
      </c>
      <c r="BI1145" s="67">
        <f>MAX($BI$1*(BY1145-Driver!$F$201)/(Driver!$G$201-Driver!$F$201),1)</f>
        <v>7.7848101265822782</v>
      </c>
      <c r="BJ1145" s="67">
        <f>(CB1145-Driver!$F$206)/(Driver!$G$206-Driver!$F$206)*$BI$1</f>
        <v>5.7142857142857135</v>
      </c>
      <c r="BK1145" s="67">
        <f>(CD1145-Driver!$F$203)/(Driver!$G$203-Driver!$F$203)*$BI$1</f>
        <v>3.623853211009175</v>
      </c>
      <c r="BL1145" s="67">
        <f>MAX((CR1145-Driver!$F$202)/(Driver!$G$202-Driver!$F$202)*$BI$1,1)</f>
        <v>6.8965517241379315</v>
      </c>
      <c r="BM1145" s="67">
        <f>MAX((CH1145-Driver!$F$204)/(Driver!$G$204-Driver!$F$204)*$BI$1,1)</f>
        <v>5.3418803418803416</v>
      </c>
      <c r="BN1145" s="67">
        <f>(CI1145-Driver!$F$205)/(Driver!$G$205-Driver!$F$205)*$BI$1</f>
        <v>6.5882352941176467</v>
      </c>
      <c r="BO1145" s="67">
        <f>(CK1145-Driver!$F$207)/(Driver!$G$207-Driver!$F$207)*$BI$1</f>
        <v>1.7063081695966908</v>
      </c>
      <c r="BP1145" s="67">
        <f>(CM1145-Driver!$F$208)/(Driver!$G$208-Driver!$F$208)*$BI$1</f>
        <v>2.2000000000000002</v>
      </c>
      <c r="BQ1145" s="67">
        <f>(CL1145-Driver!$F$209)/(Driver!$G$209-Driver!$F$209)*$BI$1</f>
        <v>2.5</v>
      </c>
      <c r="BR1145" s="28" t="s">
        <v>155</v>
      </c>
      <c r="BS1145" s="8" t="s">
        <v>332</v>
      </c>
      <c r="BT1145" s="9" t="s">
        <v>730</v>
      </c>
      <c r="BU1145" s="10">
        <v>179</v>
      </c>
      <c r="BV1145" s="9" t="s">
        <v>158</v>
      </c>
      <c r="BW1145" s="10">
        <v>179</v>
      </c>
      <c r="BX1145" s="10">
        <v>178.5</v>
      </c>
      <c r="BY1145" s="10">
        <v>131</v>
      </c>
      <c r="BZ1145" s="10">
        <v>148</v>
      </c>
      <c r="CA1145" s="10">
        <v>134</v>
      </c>
      <c r="CB1145" s="10">
        <v>100</v>
      </c>
      <c r="CC1145" s="10">
        <v>120</v>
      </c>
      <c r="CD1145" s="10">
        <v>17.3</v>
      </c>
      <c r="CE1145" s="10">
        <v>2178</v>
      </c>
      <c r="CF1145" s="10">
        <v>0.91</v>
      </c>
      <c r="CG1145" s="10">
        <v>1975</v>
      </c>
      <c r="CH1145" s="10">
        <v>226</v>
      </c>
      <c r="CI1145" s="10">
        <v>145</v>
      </c>
      <c r="CJ1145" s="10">
        <v>54</v>
      </c>
      <c r="CK1145" s="10">
        <v>275</v>
      </c>
      <c r="CL1145" s="10">
        <v>16</v>
      </c>
      <c r="CM1145" s="10">
        <v>198</v>
      </c>
      <c r="CN1145" s="10">
        <v>0.29699999999999999</v>
      </c>
      <c r="CO1145" s="10">
        <v>146</v>
      </c>
      <c r="CP1145" s="10">
        <v>162</v>
      </c>
      <c r="CQ1145" s="10">
        <v>129</v>
      </c>
      <c r="CR1145" s="10">
        <v>9</v>
      </c>
      <c r="CS1145" s="10">
        <v>8.4</v>
      </c>
      <c r="CT1145" s="9" t="s">
        <v>188</v>
      </c>
      <c r="CU1145" s="10"/>
      <c r="CV1145" s="10"/>
      <c r="CW1145" s="10"/>
      <c r="CX1145" t="str">
        <f>INDEX('Data_Price '!AG$2:AG$1266,MATCH(Data!$DN1145,'Data_Price '!$AT$2:$AT$1266,0))</f>
        <v>Nordica Enforcer 100 Skis 2022</v>
      </c>
      <c r="CY1145" t="str">
        <f>INDEX('Data_Price '!AH$2:AH$1266,MATCH(Data!$DN1145,'Data_Price '!$AT$2:$AT$1266,0))</f>
        <v>Ski Pro  - Snow Ski &amp; Snowboard</v>
      </c>
      <c r="CZ1145">
        <f>INDEX('Data_Price '!AI$2:AI$1266,MATCH(Data!$DN1145,'Data_Price '!$AT$2:$AT$1266,0))</f>
        <v>599.95000000000005</v>
      </c>
      <c r="DA1145" t="str">
        <f>INDEX('Data_Price '!AJ$2:AJ$1266,MATCH(Data!$DN1145,'Data_Price '!$AT$2:$AT$1266,0))</f>
        <v>https://tinyurl.com/y7zlksgx</v>
      </c>
      <c r="DB1145" t="str">
        <f>INDEX('Data_Price '!AK$2:AK$1266,MATCH(Data!$DN1145,'Data_Price '!$AT$2:$AT$1266,0))</f>
        <v>Nordica Enforcer 100 Skis 2022</v>
      </c>
      <c r="DC1145" t="str">
        <f>INDEX('Data_Price '!AL$2:AL$1266,MATCH(Data!$DN1145,'Data_Price '!$AT$2:$AT$1266,0))</f>
        <v>evo.com</v>
      </c>
      <c r="DD1145">
        <f>INDEX('Data_Price '!AM$2:AM$1266,MATCH(Data!$DN1145,'Data_Price '!$AT$2:$AT$1266,0))</f>
        <v>599.99</v>
      </c>
      <c r="DE1145" t="str">
        <f>INDEX('Data_Price '!AN$2:AN$1266,MATCH(Data!$DN1145,'Data_Price '!$AT$2:$AT$1266,0))</f>
        <v>https://tinyurl.com/y78j5snk</v>
      </c>
      <c r="DF1145" t="str">
        <f>INDEX('Data_Price '!AO$2:AO$1266,MATCH(Data!$DN1145,'Data_Price '!$AT$2:$AT$1266,0))</f>
        <v>Nordica Enforcer 100 Skis 2022</v>
      </c>
      <c r="DG1145" t="str">
        <f>INDEX('Data_Price '!AP$2:AP$1266,MATCH(Data!$DN1145,'Data_Price '!$AT$2:$AT$1266,0))</f>
        <v>AlpineShopVT.com</v>
      </c>
      <c r="DH1145">
        <f>INDEX('Data_Price '!AQ$2:AQ$1266,MATCH(Data!$DN1145,'Data_Price '!$AT$2:$AT$1266,0))</f>
        <v>599.99</v>
      </c>
      <c r="DI1145" t="str">
        <f>INDEX('Data_Price '!AR$2:AR$1266,MATCH(Data!$DN1145,'Data_Price '!$AT$2:$AT$1266,0))</f>
        <v>https://tinyurl.com/yc5dmy4l</v>
      </c>
      <c r="DJ1145" s="89" t="str">
        <f t="shared" si="661"/>
        <v>https://tinyurl.com/y7zlksgx</v>
      </c>
      <c r="DK1145" s="89" t="str">
        <f t="shared" si="662"/>
        <v>https://tinyurl.com/y78j5snk</v>
      </c>
      <c r="DL1145" s="89" t="str">
        <f t="shared" si="663"/>
        <v>https://tinyurl.com/yc5dmy4l</v>
      </c>
      <c r="DM1145" s="219" t="str">
        <f t="shared" si="664"/>
        <v>Enforcer 100</v>
      </c>
      <c r="DN1145" s="89" t="str">
        <f t="shared" si="665"/>
        <v xml:space="preserve"> NordicaEnforcer 100179 Unisex</v>
      </c>
      <c r="DO1145" s="221" t="s">
        <v>731</v>
      </c>
    </row>
    <row r="1146" spans="2:119" ht="15.6" customHeight="1">
      <c r="B1146" s="219" t="b">
        <f t="array" ref="B1146">IF(OR(ISERROR(K1146:P1146)),FALSE,TRUE)</f>
        <v>1</v>
      </c>
      <c r="C1146" s="43" t="b">
        <f>OR(BR1146=Driver!$G$50,Data!BR1193=Driver!$H$50)</f>
        <v>1</v>
      </c>
      <c r="D1146" s="43" t="b">
        <f>OR(BV1146=Driver!$G$51,BV1146=Driver!$H$51)</f>
        <v>0</v>
      </c>
      <c r="E1146" s="43" t="b">
        <f>AND(BX1146&gt;Driver!$F$54,BX1146&lt;Driver!$G$54)</f>
        <v>0</v>
      </c>
      <c r="F1146" s="43" t="b">
        <f>CL1146&gt;Driver!$F$56</f>
        <v>1</v>
      </c>
      <c r="G1146" s="43" t="b">
        <f>AND(CB1146&gt;Driver!$F$55,CB1146&lt;Driver!$G$55)</f>
        <v>0</v>
      </c>
      <c r="H1146" s="43" t="b">
        <f t="shared" si="629"/>
        <v>0</v>
      </c>
      <c r="I1146" s="43">
        <f t="shared" si="630"/>
        <v>0</v>
      </c>
      <c r="J1146" s="43" t="b">
        <f t="array" ref="J1146">NOT(OR(($H$9:$H$1273=TRUE)*($I$9:$I$1273&gt;0)*($BT$9:$BT$1273=BT1146)*($K$9:$K$1273&gt;K1146)))</f>
        <v>1</v>
      </c>
      <c r="K1146" s="72">
        <f t="shared" si="631"/>
        <v>0.78320840124098534</v>
      </c>
      <c r="L1146" s="72">
        <f t="shared" si="632"/>
        <v>0.79291619622853959</v>
      </c>
      <c r="M1146" s="72">
        <f t="shared" si="633"/>
        <v>0.77350060625343109</v>
      </c>
      <c r="N1146" s="72">
        <f t="shared" si="634"/>
        <v>0.89850051271706421</v>
      </c>
      <c r="O1146" s="72">
        <f t="shared" si="635"/>
        <v>0.60416189179651791</v>
      </c>
      <c r="P1146" s="72">
        <f t="shared" si="636"/>
        <v>0.81783941424671136</v>
      </c>
      <c r="Q1146" s="72"/>
      <c r="R1146" s="72"/>
      <c r="S1146" s="72">
        <f t="shared" si="637"/>
        <v>0.38940976254442694</v>
      </c>
      <c r="T1146" s="72">
        <f t="shared" si="638"/>
        <v>0.52474307598719272</v>
      </c>
      <c r="U1146" s="72">
        <f t="shared" si="639"/>
        <v>0.79133280148333973</v>
      </c>
      <c r="V1146" s="72">
        <f t="shared" si="640"/>
        <v>0.54127623369256939</v>
      </c>
      <c r="W1146" s="72">
        <f t="shared" si="641"/>
        <v>0.81126760563380285</v>
      </c>
      <c r="X1146" s="72">
        <f t="shared" si="642"/>
        <v>0.20708380377146041</v>
      </c>
      <c r="Y1146" s="72">
        <f t="shared" si="643"/>
        <v>0.22649939374656888</v>
      </c>
      <c r="Z1146" s="72">
        <f t="shared" si="644"/>
        <v>0.10149948728293577</v>
      </c>
      <c r="AA1146" s="72">
        <f t="shared" si="645"/>
        <v>0.39583810820348214</v>
      </c>
      <c r="AB1146" s="72">
        <f t="shared" si="646"/>
        <v>0.18216058575328867</v>
      </c>
      <c r="AC1146" s="72"/>
      <c r="AD1146" s="72"/>
      <c r="AE1146" s="72">
        <f t="shared" si="647"/>
        <v>0.61059023745557306</v>
      </c>
      <c r="AF1146" s="72">
        <f t="shared" si="648"/>
        <v>0.47525692401280728</v>
      </c>
      <c r="AG1146" s="72">
        <f t="shared" si="649"/>
        <v>0.20866719851666027</v>
      </c>
      <c r="AH1146" s="72">
        <f t="shared" si="650"/>
        <v>0.45872376630743056</v>
      </c>
      <c r="AI1146" s="72">
        <f t="shared" si="651"/>
        <v>0.18873239436619718</v>
      </c>
      <c r="AJ1146" s="72">
        <f>(AV1146-Driver!$K$179)/(Driver!$L$179-Driver!$K$179)</f>
        <v>4.713560551124002E-2</v>
      </c>
      <c r="AK1146" s="72">
        <f>(AW1146-Driver!$K$180)/(Driver!$L$180-Driver!$K$180)</f>
        <v>7.7851185793439012E-2</v>
      </c>
      <c r="AL1146" s="72">
        <f>(AX1146-Driver!$K$181)/(Driver!$L$181-Driver!$K$181)</f>
        <v>0.20318725099601595</v>
      </c>
      <c r="AM1146" s="72">
        <f>(AY1146-Driver!$K$182)/(Driver!$L$182-Driver!$K$182)</f>
        <v>5.1546912893564223E-2</v>
      </c>
      <c r="AN1146" s="72">
        <f>(AZ1146-Driver!$K$183)/(Driver!$L$183-Driver!$K$183)</f>
        <v>7.2058823529411759E-2</v>
      </c>
      <c r="AO1146" s="72"/>
      <c r="AP1146" s="72"/>
      <c r="AQ1146" s="72">
        <f>(BC1146-Driver!$K$188)/(Driver!$L$188-Driver!$K$188)</f>
        <v>9.4097625444269761E-3</v>
      </c>
      <c r="AR1146" s="72">
        <f>MIN((BD1146-Driver!$K$189)/(Driver!$L$189-Driver!$K$189),100%)</f>
        <v>7.4743075987192736E-2</v>
      </c>
      <c r="AS1146" s="72">
        <f>(BE1146-Driver!$K$190)/(Driver!$L$190-Driver!$K$190)</f>
        <v>0.71866719851666028</v>
      </c>
      <c r="AT1146" s="72">
        <f>(BF1146-Driver!$K$191)/(Driver!$L$191-Driver!$K$191)</f>
        <v>5.1276233692569458E-2</v>
      </c>
      <c r="AU1146" s="72">
        <f>(BG1146-Driver!$K$192)/(Driver!$L$192-Driver!$K$192)</f>
        <v>6.1267605633802819E-2</v>
      </c>
      <c r="AV1146" s="70">
        <f t="shared" si="652"/>
        <v>0.99206349206349198</v>
      </c>
      <c r="AW1146" s="70">
        <f t="shared" si="653"/>
        <v>9.4591805087104301</v>
      </c>
      <c r="AX1146" s="70">
        <f t="shared" si="654"/>
        <v>2.8286852589641436</v>
      </c>
      <c r="AY1146" s="70">
        <f>IFERROR(Driver!$K$19/Data!BH1146/Data!BI1146*Data!BK1146*Data!BL1146,"")</f>
        <v>6.3108801496100944E-2</v>
      </c>
      <c r="AZ1146" s="70">
        <f t="shared" si="655"/>
        <v>6.5673864482501862</v>
      </c>
      <c r="BA1146" s="70"/>
      <c r="BB1146" s="70"/>
      <c r="BC1146" s="70">
        <f t="shared" si="656"/>
        <v>4.8809092474022062</v>
      </c>
      <c r="BD1146" s="70">
        <f t="shared" si="657"/>
        <v>8.3354526720703372</v>
      </c>
      <c r="BE1146" s="70">
        <f t="shared" si="658"/>
        <v>0.7187173851219093</v>
      </c>
      <c r="BF1146" s="70">
        <f t="shared" si="659"/>
        <v>5.791290359646097</v>
      </c>
      <c r="BG1146" s="70">
        <f t="shared" si="660"/>
        <v>0.23199823943661974</v>
      </c>
      <c r="BH1146" s="67">
        <f>MAX((CE1146-Driver!$F$200)/(Driver!$G$200-Driver!$F$200)*$BI$1,1)</f>
        <v>2.8286852589641436</v>
      </c>
      <c r="BI1146" s="67">
        <f>MAX($BI$1*(BY1146-Driver!$F$201)/(Driver!$G$201-Driver!$F$201),1)</f>
        <v>6.2025316455696204</v>
      </c>
      <c r="BJ1146" s="67">
        <f>(CB1146-Driver!$F$206)/(Driver!$G$206-Driver!$F$206)*$BI$1</f>
        <v>2.3809523809523809</v>
      </c>
      <c r="BK1146" s="67">
        <f>(CD1146-Driver!$F$203)/(Driver!$G$203-Driver!$F$203)*$BI$1</f>
        <v>1.1467889908256883</v>
      </c>
      <c r="BL1146" s="67">
        <f>MAX((CR1146-Driver!$F$202)/(Driver!$G$202-Driver!$F$202)*$BI$1,1)</f>
        <v>4.8275862068965516</v>
      </c>
      <c r="BM1146" s="67">
        <f>MAX((CH1146-Driver!$F$204)/(Driver!$G$204-Driver!$F$204)*$BI$1,1)</f>
        <v>1.6666666666666665</v>
      </c>
      <c r="BN1146" s="67">
        <f>(CI1146-Driver!$F$205)/(Driver!$G$205-Driver!$F$205)*$BI$1</f>
        <v>1.0588235294117647</v>
      </c>
      <c r="BO1146" s="67">
        <f>(CK1146-Driver!$F$207)/(Driver!$G$207-Driver!$F$207)*$BI$1</f>
        <v>1.2306101344364011</v>
      </c>
      <c r="BP1146" s="67">
        <f>(CM1146-Driver!$F$208)/(Driver!$G$208-Driver!$F$208)*$BI$1</f>
        <v>2.2666666666666666</v>
      </c>
      <c r="BQ1146" s="67">
        <f>(CL1146-Driver!$F$209)/(Driver!$G$209-Driver!$F$209)*$BI$1</f>
        <v>1.09375</v>
      </c>
      <c r="BR1146" s="28" t="s">
        <v>155</v>
      </c>
      <c r="BS1146" s="8" t="s">
        <v>229</v>
      </c>
      <c r="BT1146" s="9" t="s">
        <v>725</v>
      </c>
      <c r="BU1146" s="10">
        <v>149</v>
      </c>
      <c r="BV1146" s="9" t="s">
        <v>163</v>
      </c>
      <c r="BW1146" s="10">
        <v>149</v>
      </c>
      <c r="BX1146" s="10">
        <v>149.4</v>
      </c>
      <c r="BY1146" s="10">
        <v>106</v>
      </c>
      <c r="BZ1146" s="10">
        <v>138</v>
      </c>
      <c r="CA1146" s="10">
        <v>128</v>
      </c>
      <c r="CB1146" s="10">
        <v>79</v>
      </c>
      <c r="CC1146" s="10">
        <v>109</v>
      </c>
      <c r="CD1146" s="10">
        <v>11.9</v>
      </c>
      <c r="CE1146" s="10">
        <v>1397</v>
      </c>
      <c r="CF1146" s="10">
        <v>1</v>
      </c>
      <c r="CG1146" s="10">
        <v>1393</v>
      </c>
      <c r="CH1146" s="10">
        <v>140</v>
      </c>
      <c r="CI1146" s="10">
        <v>51</v>
      </c>
      <c r="CJ1146" s="10">
        <v>37</v>
      </c>
      <c r="CK1146" s="10">
        <v>229</v>
      </c>
      <c r="CL1146" s="10">
        <v>7</v>
      </c>
      <c r="CM1146" s="10">
        <v>204</v>
      </c>
      <c r="CN1146" s="10">
        <v>0.18099999999999999</v>
      </c>
      <c r="CO1146" s="10">
        <v>67</v>
      </c>
      <c r="CP1146" s="10">
        <v>47</v>
      </c>
      <c r="CQ1146" s="10">
        <v>161</v>
      </c>
      <c r="CR1146" s="10">
        <v>3</v>
      </c>
      <c r="CS1146" s="10">
        <v>11.4</v>
      </c>
      <c r="CT1146" s="9" t="s">
        <v>160</v>
      </c>
      <c r="CU1146" s="10"/>
      <c r="CV1146" s="10"/>
      <c r="CW1146" s="10"/>
      <c r="CX1146" t="e">
        <f>INDEX('Data_Price '!AG$2:AG$1266,MATCH(Data!$DN1146,'Data_Price '!$AT$2:$AT$1266,0))</f>
        <v>#N/A</v>
      </c>
      <c r="CY1146" t="e">
        <f>INDEX('Data_Price '!AH$2:AH$1266,MATCH(Data!$DN1146,'Data_Price '!$AT$2:$AT$1266,0))</f>
        <v>#N/A</v>
      </c>
      <c r="CZ1146" t="e">
        <f>INDEX('Data_Price '!AI$2:AI$1266,MATCH(Data!$DN1146,'Data_Price '!$AT$2:$AT$1266,0))</f>
        <v>#N/A</v>
      </c>
      <c r="DA1146" t="e">
        <f>INDEX('Data_Price '!AJ$2:AJ$1266,MATCH(Data!$DN1146,'Data_Price '!$AT$2:$AT$1266,0))</f>
        <v>#N/A</v>
      </c>
      <c r="DB1146" t="e">
        <f>INDEX('Data_Price '!AK$2:AK$1266,MATCH(Data!$DN1146,'Data_Price '!$AT$2:$AT$1266,0))</f>
        <v>#N/A</v>
      </c>
      <c r="DC1146" t="e">
        <f>INDEX('Data_Price '!AL$2:AL$1266,MATCH(Data!$DN1146,'Data_Price '!$AT$2:$AT$1266,0))</f>
        <v>#N/A</v>
      </c>
      <c r="DD1146" t="e">
        <f>INDEX('Data_Price '!AM$2:AM$1266,MATCH(Data!$DN1146,'Data_Price '!$AT$2:$AT$1266,0))</f>
        <v>#N/A</v>
      </c>
      <c r="DE1146" t="e">
        <f>INDEX('Data_Price '!AN$2:AN$1266,MATCH(Data!$DN1146,'Data_Price '!$AT$2:$AT$1266,0))</f>
        <v>#N/A</v>
      </c>
      <c r="DF1146" t="e">
        <f>INDEX('Data_Price '!AO$2:AO$1266,MATCH(Data!$DN1146,'Data_Price '!$AT$2:$AT$1266,0))</f>
        <v>#N/A</v>
      </c>
      <c r="DG1146" t="e">
        <f>INDEX('Data_Price '!AP$2:AP$1266,MATCH(Data!$DN1146,'Data_Price '!$AT$2:$AT$1266,0))</f>
        <v>#N/A</v>
      </c>
      <c r="DH1146" t="e">
        <f>INDEX('Data_Price '!AQ$2:AQ$1266,MATCH(Data!$DN1146,'Data_Price '!$AT$2:$AT$1266,0))</f>
        <v>#N/A</v>
      </c>
      <c r="DI1146" t="e">
        <f>INDEX('Data_Price '!AR$2:AR$1266,MATCH(Data!$DN1146,'Data_Price '!$AT$2:$AT$1266,0))</f>
        <v>#N/A</v>
      </c>
      <c r="DJ1146" s="89" t="e">
        <f t="shared" si="661"/>
        <v>#N/A</v>
      </c>
      <c r="DK1146" s="89" t="e">
        <f t="shared" si="662"/>
        <v>#N/A</v>
      </c>
      <c r="DL1146" s="89" t="e">
        <f t="shared" si="663"/>
        <v>#N/A</v>
      </c>
      <c r="DM1146" s="219" t="str">
        <f t="shared" si="664"/>
        <v>Flair 79</v>
      </c>
      <c r="DN1146" s="89" t="str">
        <f t="shared" si="665"/>
        <v xml:space="preserve"> VölklFlair 79149 Women's</v>
      </c>
      <c r="DO1146" s="221"/>
    </row>
    <row r="1147" spans="2:119" ht="15.6" customHeight="1">
      <c r="B1147" s="219" t="b">
        <f t="array" ref="B1147">IF(OR(ISERROR(K1147:P1147)),FALSE,TRUE)</f>
        <v>1</v>
      </c>
      <c r="C1147" s="43" t="b">
        <f>OR(BR1147=Driver!$G$50,Data!BR50=Driver!$H$50)</f>
        <v>1</v>
      </c>
      <c r="D1147" s="43" t="b">
        <f>OR(BV1147=Driver!$G$51,BV1147=Driver!$H$51)</f>
        <v>0</v>
      </c>
      <c r="E1147" s="43" t="b">
        <f>AND(BX1147&gt;Driver!$F$54,BX1147&lt;Driver!$G$54)</f>
        <v>0</v>
      </c>
      <c r="F1147" s="43" t="b">
        <f>CL1147&gt;Driver!$F$56</f>
        <v>1</v>
      </c>
      <c r="G1147" s="43" t="b">
        <f>AND(CB1147&gt;Driver!$F$55,CB1147&lt;Driver!$G$55)</f>
        <v>0</v>
      </c>
      <c r="H1147" s="43" t="b">
        <f t="shared" si="629"/>
        <v>0</v>
      </c>
      <c r="I1147" s="43">
        <f t="shared" si="630"/>
        <v>0</v>
      </c>
      <c r="J1147" s="43" t="b">
        <f t="array" ref="J1147">NOT(OR(($H$9:$H$1273=TRUE)*($I$9:$I$1273&gt;0)*($BT$9:$BT$1273=BT1147)*($K$9:$K$1273&gt;K1147)))</f>
        <v>1</v>
      </c>
      <c r="K1147" s="72">
        <f t="shared" si="631"/>
        <v>0.77047693384509386</v>
      </c>
      <c r="L1147" s="72">
        <f t="shared" si="632"/>
        <v>0.78348907512629162</v>
      </c>
      <c r="M1147" s="72">
        <f t="shared" si="633"/>
        <v>0.75746479256389609</v>
      </c>
      <c r="N1147" s="72">
        <f t="shared" si="634"/>
        <v>0.8630866127613317</v>
      </c>
      <c r="O1147" s="72">
        <f t="shared" si="635"/>
        <v>0.61360887355946225</v>
      </c>
      <c r="P1147" s="72">
        <f t="shared" si="636"/>
        <v>0.79569889137089433</v>
      </c>
      <c r="Q1147" s="72"/>
      <c r="R1147" s="72"/>
      <c r="S1147" s="72">
        <f t="shared" si="637"/>
        <v>0.38587104298704966</v>
      </c>
      <c r="T1147" s="72">
        <f t="shared" si="638"/>
        <v>0.48561873414593004</v>
      </c>
      <c r="U1147" s="72">
        <f t="shared" si="639"/>
        <v>0.57855588344078401</v>
      </c>
      <c r="V1147" s="72">
        <f t="shared" si="640"/>
        <v>0.57240092119214481</v>
      </c>
      <c r="W1147" s="72">
        <f t="shared" si="641"/>
        <v>0.7386980108499096</v>
      </c>
      <c r="X1147" s="72">
        <f t="shared" si="642"/>
        <v>0.2165109248737084</v>
      </c>
      <c r="Y1147" s="72">
        <f t="shared" si="643"/>
        <v>0.24253520743610391</v>
      </c>
      <c r="Z1147" s="72">
        <f t="shared" si="644"/>
        <v>0.13691338723866836</v>
      </c>
      <c r="AA1147" s="72">
        <f t="shared" si="645"/>
        <v>0.38639112644053775</v>
      </c>
      <c r="AB1147" s="72">
        <f t="shared" si="646"/>
        <v>0.20430110862910567</v>
      </c>
      <c r="AC1147" s="72"/>
      <c r="AD1147" s="72"/>
      <c r="AE1147" s="72">
        <f t="shared" si="647"/>
        <v>0.61412895701295034</v>
      </c>
      <c r="AF1147" s="72">
        <f t="shared" si="648"/>
        <v>0.51438126585406996</v>
      </c>
      <c r="AG1147" s="72">
        <f t="shared" si="649"/>
        <v>0.42144411655921599</v>
      </c>
      <c r="AH1147" s="72">
        <f t="shared" si="650"/>
        <v>0.42759907880785514</v>
      </c>
      <c r="AI1147" s="72">
        <f t="shared" si="651"/>
        <v>0.2613019891500904</v>
      </c>
      <c r="AJ1147" s="72">
        <f>(AV1147-Driver!$K$179)/(Driver!$L$179-Driver!$K$179)</f>
        <v>3.7708484408992021E-2</v>
      </c>
      <c r="AK1147" s="72">
        <f>(AW1147-Driver!$K$180)/(Driver!$L$180-Driver!$K$180)</f>
        <v>6.0535372744531468E-2</v>
      </c>
      <c r="AL1147" s="72">
        <f>(AX1147-Driver!$K$181)/(Driver!$L$181-Driver!$K$181)</f>
        <v>0.23860115095174855</v>
      </c>
      <c r="AM1147" s="72">
        <f>(AY1147-Driver!$K$182)/(Driver!$L$182-Driver!$K$182)</f>
        <v>6.0993894656508639E-2</v>
      </c>
      <c r="AN1147" s="72">
        <f>(AZ1147-Driver!$K$183)/(Driver!$L$183-Driver!$K$183)</f>
        <v>4.9918300653594774E-2</v>
      </c>
      <c r="AO1147" s="72"/>
      <c r="AP1147" s="72"/>
      <c r="AQ1147" s="72">
        <f>(BC1147-Driver!$K$188)/(Driver!$L$188-Driver!$K$188)</f>
        <v>5.8710429870496546E-3</v>
      </c>
      <c r="AR1147" s="72">
        <f>MIN((BD1147-Driver!$K$189)/(Driver!$L$189-Driver!$K$189),100%)</f>
        <v>3.5618734145930107E-2</v>
      </c>
      <c r="AS1147" s="72">
        <f>(BE1147-Driver!$K$190)/(Driver!$L$190-Driver!$K$190)</f>
        <v>8.8555883440784022E-2</v>
      </c>
      <c r="AT1147" s="72">
        <f>(BF1147-Driver!$K$191)/(Driver!$L$191-Driver!$K$191)</f>
        <v>8.2400921192144858E-2</v>
      </c>
      <c r="AU1147" s="72">
        <f>(BG1147-Driver!$K$192)/(Driver!$L$192-Driver!$K$192)</f>
        <v>0.5113019891500904</v>
      </c>
      <c r="AV1147" s="70">
        <f t="shared" si="652"/>
        <v>0.79365079365079361</v>
      </c>
      <c r="AW1147" s="70">
        <f t="shared" si="653"/>
        <v>7.7716010933822091</v>
      </c>
      <c r="AX1147" s="70">
        <f t="shared" si="654"/>
        <v>3.1474103585657369</v>
      </c>
      <c r="AY1147" s="70">
        <f>IFERROR(Driver!$K$19/Data!BH1147/Data!BI1147*Data!BK1147*Data!BL1147,"")</f>
        <v>7.4674725881252249E-2</v>
      </c>
      <c r="AZ1147" s="70">
        <f t="shared" si="655"/>
        <v>4.5495160089352202</v>
      </c>
      <c r="BA1147" s="70"/>
      <c r="BB1147" s="70"/>
      <c r="BC1147" s="70">
        <f t="shared" si="656"/>
        <v>3.0453508122113391</v>
      </c>
      <c r="BD1147" s="70">
        <f t="shared" si="657"/>
        <v>4.8730177433502071</v>
      </c>
      <c r="BE1147" s="70">
        <f t="shared" si="658"/>
        <v>8.8718474812437678E-2</v>
      </c>
      <c r="BF1147" s="70">
        <f t="shared" si="659"/>
        <v>9.3066051494179742</v>
      </c>
      <c r="BG1147" s="70">
        <f t="shared" si="660"/>
        <v>1.936115506329114</v>
      </c>
      <c r="BH1147" s="67">
        <f>MAX((CE1147-Driver!$F$200)/(Driver!$G$200-Driver!$F$200)*$BI$1,1)</f>
        <v>3.1474103585657369</v>
      </c>
      <c r="BI1147" s="67">
        <f>MAX($BI$1*(BY1147-Driver!$F$201)/(Driver!$G$201-Driver!$F$201),1)</f>
        <v>5.9493670886075947</v>
      </c>
      <c r="BJ1147" s="67">
        <f>(CB1147-Driver!$F$206)/(Driver!$G$206-Driver!$F$206)*$BI$1</f>
        <v>3.1746031746031744</v>
      </c>
      <c r="BK1147" s="67">
        <f>(CD1147-Driver!$F$203)/(Driver!$G$203-Driver!$F$203)*$BI$1</f>
        <v>1.1926605504587156</v>
      </c>
      <c r="BL1147" s="67">
        <f>MAX((CR1147-Driver!$F$202)/(Driver!$G$202-Driver!$F$202)*$BI$1,1)</f>
        <v>5.8620689655172411</v>
      </c>
      <c r="BM1147" s="67">
        <f>MAX((CH1147-Driver!$F$204)/(Driver!$G$204-Driver!$F$204)*$BI$1,1)</f>
        <v>1</v>
      </c>
      <c r="BN1147" s="67">
        <f>(CI1147-Driver!$F$205)/(Driver!$G$205-Driver!$F$205)*$BI$1</f>
        <v>0.76470588235294124</v>
      </c>
      <c r="BO1147" s="67">
        <f>(CK1147-Driver!$F$207)/(Driver!$G$207-Driver!$F$207)*$BI$1</f>
        <v>1.5201654601861427</v>
      </c>
      <c r="BP1147" s="67">
        <f>(CM1147-Driver!$F$208)/(Driver!$G$208-Driver!$F$208)*$BI$1</f>
        <v>2.3000000000000003</v>
      </c>
      <c r="BQ1147" s="67">
        <f>(CL1147-Driver!$F$209)/(Driver!$G$209-Driver!$F$209)*$BI$1</f>
        <v>6.09375</v>
      </c>
      <c r="BR1147" s="28" t="s">
        <v>155</v>
      </c>
      <c r="BS1147" s="8" t="s">
        <v>182</v>
      </c>
      <c r="BT1147" s="9" t="s">
        <v>721</v>
      </c>
      <c r="BU1147" s="10">
        <v>150</v>
      </c>
      <c r="BV1147" s="9" t="s">
        <v>163</v>
      </c>
      <c r="BW1147" s="10">
        <v>150</v>
      </c>
      <c r="BX1147" s="10">
        <v>148.1</v>
      </c>
      <c r="BY1147" s="10">
        <v>102</v>
      </c>
      <c r="BZ1147" s="10">
        <v>122</v>
      </c>
      <c r="CA1147" s="10">
        <v>116</v>
      </c>
      <c r="CB1147" s="10">
        <v>84</v>
      </c>
      <c r="CC1147" s="10">
        <v>108</v>
      </c>
      <c r="CD1147" s="10">
        <v>12</v>
      </c>
      <c r="CE1147" s="10">
        <v>1453</v>
      </c>
      <c r="CF1147" s="10">
        <v>0.97</v>
      </c>
      <c r="CG1147" s="10">
        <v>1412</v>
      </c>
      <c r="CH1147" s="10">
        <v>110</v>
      </c>
      <c r="CI1147" s="10">
        <v>46</v>
      </c>
      <c r="CJ1147" s="10">
        <v>49</v>
      </c>
      <c r="CK1147" s="10">
        <v>257</v>
      </c>
      <c r="CL1147" s="10">
        <v>39</v>
      </c>
      <c r="CM1147" s="10">
        <v>207</v>
      </c>
      <c r="CN1147" s="10">
        <v>0.80300000000000005</v>
      </c>
      <c r="CO1147" s="10">
        <v>134</v>
      </c>
      <c r="CP1147" s="10">
        <v>123</v>
      </c>
      <c r="CQ1147" s="10">
        <v>123</v>
      </c>
      <c r="CR1147" s="10">
        <v>6</v>
      </c>
      <c r="CS1147" s="10">
        <v>6</v>
      </c>
      <c r="CT1147" s="9" t="s">
        <v>188</v>
      </c>
      <c r="CU1147" s="9" t="s">
        <v>184</v>
      </c>
      <c r="CV1147" s="10"/>
      <c r="CW1147" s="10"/>
      <c r="CX1147" t="str">
        <f>INDEX('Data_Price '!AG$2:AG$1266,MATCH(Data!$DN1147,'Data_Price '!$AT$2:$AT$1266,0))</f>
        <v>Armada ARW 84 Skis 2022</v>
      </c>
      <c r="CY1147" t="str">
        <f>INDEX('Data_Price '!AH$2:AH$1266,MATCH(Data!$DN1147,'Data_Price '!$AT$2:$AT$1266,0))</f>
        <v>Aspen East</v>
      </c>
      <c r="CZ1147">
        <f>INDEX('Data_Price '!AI$2:AI$1266,MATCH(Data!$DN1147,'Data_Price '!$AT$2:$AT$1266,0))</f>
        <v>349</v>
      </c>
      <c r="DA1147" t="str">
        <f>INDEX('Data_Price '!AJ$2:AJ$1266,MATCH(Data!$DN1147,'Data_Price '!$AT$2:$AT$1266,0))</f>
        <v>https://tinyurl.com/y84y62vq</v>
      </c>
      <c r="DB1147" t="str">
        <f>INDEX('Data_Price '!AK$2:AK$1266,MATCH(Data!$DN1147,'Data_Price '!$AT$2:$AT$1266,0))</f>
        <v>2022 Armada ARW 84 Ski w/ GW Bindings - 150 | Ski Essentials</v>
      </c>
      <c r="DC1147" t="str">
        <f>INDEX('Data_Price '!AL$2:AL$1266,MATCH(Data!$DN1147,'Data_Price '!$AT$2:$AT$1266,0))</f>
        <v>Ski World</v>
      </c>
      <c r="DD1147">
        <f>INDEX('Data_Price '!AM$2:AM$1266,MATCH(Data!$DN1147,'Data_Price '!$AT$2:$AT$1266,0))</f>
        <v>439.95</v>
      </c>
      <c r="DE1147" t="str">
        <f>INDEX('Data_Price '!AN$2:AN$1266,MATCH(Data!$DN1147,'Data_Price '!$AT$2:$AT$1266,0))</f>
        <v>https://tinyurl.com/y8dfdqkf</v>
      </c>
      <c r="DF1147" t="str">
        <f>INDEX('Data_Price '!AO$2:AO$1266,MATCH(Data!$DN1147,'Data_Price '!$AT$2:$AT$1266,0))</f>
        <v>Armada ARV 84 Ski 2022 - 150</v>
      </c>
      <c r="DG1147" t="str">
        <f>INDEX('Data_Price '!AP$2:AP$1266,MATCH(Data!$DN1147,'Data_Price '!$AT$2:$AT$1266,0))</f>
        <v>evo.com</v>
      </c>
      <c r="DH1147">
        <f>INDEX('Data_Price '!AQ$2:AQ$1266,MATCH(Data!$DN1147,'Data_Price '!$AT$2:$AT$1266,0))</f>
        <v>279.95999999999998</v>
      </c>
      <c r="DI1147" t="str">
        <f>INDEX('Data_Price '!AR$2:AR$1266,MATCH(Data!$DN1147,'Data_Price '!$AT$2:$AT$1266,0))</f>
        <v>https://tinyurl.com/y7rjvca4</v>
      </c>
      <c r="DJ1147" s="89" t="str">
        <f t="shared" si="661"/>
        <v>https://tinyurl.com/y84y62vq</v>
      </c>
      <c r="DK1147" s="89" t="str">
        <f t="shared" si="662"/>
        <v>https://tinyurl.com/y8dfdqkf</v>
      </c>
      <c r="DL1147" s="89" t="str">
        <f t="shared" si="663"/>
        <v>https://tinyurl.com/y7rjvca4</v>
      </c>
      <c r="DM1147" s="219" t="str">
        <f t="shared" si="664"/>
        <v>ARW 84</v>
      </c>
      <c r="DN1147" s="89" t="str">
        <f t="shared" si="665"/>
        <v xml:space="preserve"> ArmadaARW 84150 Women's</v>
      </c>
      <c r="DO1147" s="221" t="s">
        <v>722</v>
      </c>
    </row>
    <row r="1148" spans="2:119" ht="15.6" customHeight="1">
      <c r="B1148" s="219" t="b">
        <f t="array" ref="B1148">IF(OR(ISERROR(K1148:P1148)),FALSE,TRUE)</f>
        <v>1</v>
      </c>
      <c r="C1148" s="43" t="b">
        <f>OR(BR1148=Driver!$G$50,Data!BR555=Driver!$H$50)</f>
        <v>1</v>
      </c>
      <c r="D1148" s="43" t="b">
        <f>OR(BV1148=Driver!$G$51,BV1148=Driver!$H$51)</f>
        <v>1</v>
      </c>
      <c r="E1148" s="43" t="b">
        <f>AND(BX1148&gt;Driver!$F$54,BX1148&lt;Driver!$G$54)</f>
        <v>0</v>
      </c>
      <c r="F1148" s="43" t="b">
        <f>CL1148&gt;Driver!$F$56</f>
        <v>1</v>
      </c>
      <c r="G1148" s="43" t="b">
        <f>AND(CB1148&gt;Driver!$F$55,CB1148&lt;Driver!$G$55)</f>
        <v>0</v>
      </c>
      <c r="H1148" s="43" t="b">
        <f t="shared" si="629"/>
        <v>0</v>
      </c>
      <c r="I1148" s="43">
        <f t="shared" si="630"/>
        <v>0</v>
      </c>
      <c r="J1148" s="43" t="b">
        <f t="array" ref="J1148">NOT(OR(($H$9:$H$1273=TRUE)*($I$9:$I$1273&gt;0)*($BT$9:$BT$1273=BT1148)*($K$9:$K$1273&gt;K1148)))</f>
        <v>1</v>
      </c>
      <c r="K1148" s="72">
        <f t="shared" si="631"/>
        <v>0.87366356477289164</v>
      </c>
      <c r="L1148" s="72">
        <f t="shared" si="632"/>
        <v>0.83038295958362784</v>
      </c>
      <c r="M1148" s="72">
        <f t="shared" si="633"/>
        <v>0.91694416996215544</v>
      </c>
      <c r="N1148" s="72">
        <f t="shared" si="634"/>
        <v>0.97565366422595734</v>
      </c>
      <c r="O1148" s="72">
        <f t="shared" si="635"/>
        <v>0.90480675167523572</v>
      </c>
      <c r="P1148" s="72">
        <f t="shared" si="636"/>
        <v>0.87037209398527349</v>
      </c>
      <c r="Q1148" s="72"/>
      <c r="R1148" s="72"/>
      <c r="S1148" s="72">
        <f t="shared" si="637"/>
        <v>0.42831858585424876</v>
      </c>
      <c r="T1148" s="72">
        <f t="shared" si="638"/>
        <v>0.43788183446802242</v>
      </c>
      <c r="U1148" s="72">
        <f t="shared" si="639"/>
        <v>0.51</v>
      </c>
      <c r="V1148" s="72">
        <f t="shared" si="640"/>
        <v>0.50812485251237949</v>
      </c>
      <c r="W1148" s="72">
        <f t="shared" si="641"/>
        <v>0.79879674017257907</v>
      </c>
      <c r="X1148" s="72">
        <f t="shared" si="642"/>
        <v>0.16961704041637218</v>
      </c>
      <c r="Y1148" s="72">
        <f t="shared" si="643"/>
        <v>8.3055830037844502E-2</v>
      </c>
      <c r="Z1148" s="72">
        <f t="shared" si="644"/>
        <v>2.434633577404266E-2</v>
      </c>
      <c r="AA1148" s="72">
        <f t="shared" si="645"/>
        <v>9.5193248324764279E-2</v>
      </c>
      <c r="AB1148" s="72">
        <f t="shared" si="646"/>
        <v>0.12962790601472657</v>
      </c>
      <c r="AC1148" s="72"/>
      <c r="AD1148" s="72"/>
      <c r="AE1148" s="72">
        <f t="shared" si="647"/>
        <v>0.57168141414575124</v>
      </c>
      <c r="AF1148" s="72">
        <f t="shared" si="648"/>
        <v>0.56211816553197758</v>
      </c>
      <c r="AG1148" s="72">
        <f t="shared" si="649"/>
        <v>0.49</v>
      </c>
      <c r="AH1148" s="72">
        <f t="shared" si="650"/>
        <v>0.49187514748762051</v>
      </c>
      <c r="AI1148" s="72">
        <f t="shared" si="651"/>
        <v>0.2012032598274209</v>
      </c>
      <c r="AJ1148" s="72">
        <f>(AV1148-Driver!$K$179)/(Driver!$L$179-Driver!$K$179)</f>
        <v>8.4602368866328242E-2</v>
      </c>
      <c r="AK1148" s="72">
        <f>(AW1148-Driver!$K$180)/(Driver!$L$180-Driver!$K$180)</f>
        <v>0.11913275937915931</v>
      </c>
      <c r="AL1148" s="72">
        <f>(AX1148-Driver!$K$181)/(Driver!$L$181-Driver!$K$181)</f>
        <v>7.7341427939037519E-2</v>
      </c>
      <c r="AM1148" s="72">
        <f>(AY1148-Driver!$K$182)/(Driver!$L$182-Driver!$K$182)</f>
        <v>0.35219177277228209</v>
      </c>
      <c r="AN1148" s="72">
        <f>(AZ1148-Driver!$K$183)/(Driver!$L$183-Driver!$K$183)</f>
        <v>0.12459150326797387</v>
      </c>
      <c r="AO1148" s="72"/>
      <c r="AP1148" s="72"/>
      <c r="AQ1148" s="72">
        <f>(BC1148-Driver!$K$188)/(Driver!$L$188-Driver!$K$188)</f>
        <v>4.8318585854248731E-2</v>
      </c>
      <c r="AR1148" s="72">
        <f>MIN((BD1148-Driver!$K$189)/(Driver!$L$189-Driver!$K$189),100%)</f>
        <v>-1.2118165531977526E-2</v>
      </c>
      <c r="AS1148" s="72">
        <f>(BE1148-Driver!$K$190)/(Driver!$L$190-Driver!$K$190)</f>
        <v>1</v>
      </c>
      <c r="AT1148" s="72">
        <f>(BF1148-Driver!$K$191)/(Driver!$L$191-Driver!$K$191)</f>
        <v>1.8124852512379504E-2</v>
      </c>
      <c r="AU1148" s="72">
        <f>(BG1148-Driver!$K$192)/(Driver!$L$192-Driver!$K$192)</f>
        <v>4.8796740172579088E-2</v>
      </c>
      <c r="AV1148" s="70">
        <f t="shared" si="652"/>
        <v>1.7806267806267806</v>
      </c>
      <c r="AW1148" s="70">
        <f t="shared" si="653"/>
        <v>13.482435646592277</v>
      </c>
      <c r="AX1148" s="70">
        <f t="shared" si="654"/>
        <v>1.6960728514513377</v>
      </c>
      <c r="AY1148" s="70">
        <f>IFERROR(Driver!$K$19/Data!BH1148/Data!BI1148*Data!BK1148*Data!BL1148,"")</f>
        <v>0.43118781375597892</v>
      </c>
      <c r="AZ1148" s="70">
        <f t="shared" si="655"/>
        <v>11.355174981384961</v>
      </c>
      <c r="BA1148" s="70"/>
      <c r="BB1148" s="70"/>
      <c r="BC1148" s="70">
        <f t="shared" si="656"/>
        <v>25.063186387958087</v>
      </c>
      <c r="BD1148" s="70">
        <f t="shared" si="657"/>
        <v>0.64838670663646636</v>
      </c>
      <c r="BE1148" s="70">
        <f t="shared" si="658"/>
        <v>1</v>
      </c>
      <c r="BF1148" s="70">
        <f t="shared" si="659"/>
        <v>2.0470747569777465</v>
      </c>
      <c r="BG1148" s="70">
        <f t="shared" si="660"/>
        <v>0.18477558724832213</v>
      </c>
      <c r="BH1148" s="67">
        <f>MAX((CE1148-Driver!$F$200)/(Driver!$G$200-Driver!$F$200)*$BI$1,1)</f>
        <v>1.6960728514513377</v>
      </c>
      <c r="BI1148" s="67">
        <f>MAX($BI$1*(BY1148-Driver!$F$201)/(Driver!$G$201-Driver!$F$201),1)</f>
        <v>7.7215189873417724</v>
      </c>
      <c r="BJ1148" s="67">
        <f>(CB1148-Driver!$F$206)/(Driver!$G$206-Driver!$F$206)*$BI$1</f>
        <v>4.7619047619047619</v>
      </c>
      <c r="BK1148" s="67">
        <f>(CD1148-Driver!$F$203)/(Driver!$G$203-Driver!$F$203)*$BI$1</f>
        <v>4.8165137614678901</v>
      </c>
      <c r="BL1148" s="67">
        <f>MAX((CR1148-Driver!$F$202)/(Driver!$G$202-Driver!$F$202)*$BI$1,1)</f>
        <v>5.8620689655172411</v>
      </c>
      <c r="BM1148" s="67">
        <f>MAX((CH1148-Driver!$F$204)/(Driver!$G$204-Driver!$F$204)*$BI$1,1)</f>
        <v>1.4957264957264957</v>
      </c>
      <c r="BN1148" s="67">
        <f>(CI1148-Driver!$F$205)/(Driver!$G$205-Driver!$F$205)*$BI$1</f>
        <v>1.4705882352941178</v>
      </c>
      <c r="BO1148" s="67">
        <f>(CK1148-Driver!$F$207)/(Driver!$G$207-Driver!$F$207)*$BI$1</f>
        <v>1.7580144777662876</v>
      </c>
      <c r="BP1148" s="67">
        <f>(CM1148-Driver!$F$208)/(Driver!$G$208-Driver!$F$208)*$BI$1</f>
        <v>1.1777777777777778</v>
      </c>
      <c r="BQ1148" s="67">
        <f>(CL1148-Driver!$F$209)/(Driver!$G$209-Driver!$F$209)*$BI$1</f>
        <v>0.46875</v>
      </c>
      <c r="BR1148" s="28" t="s">
        <v>155</v>
      </c>
      <c r="BS1148" s="8" t="s">
        <v>245</v>
      </c>
      <c r="BT1148" s="9" t="s">
        <v>616</v>
      </c>
      <c r="BU1148" s="10">
        <v>169</v>
      </c>
      <c r="BV1148" s="9" t="s">
        <v>158</v>
      </c>
      <c r="BW1148" s="10">
        <v>169</v>
      </c>
      <c r="BX1148" s="10">
        <v>168.5</v>
      </c>
      <c r="BY1148" s="10">
        <v>130</v>
      </c>
      <c r="BZ1148" s="10">
        <v>144</v>
      </c>
      <c r="CA1148" s="10">
        <v>125</v>
      </c>
      <c r="CB1148" s="10">
        <v>94</v>
      </c>
      <c r="CC1148" s="10">
        <v>111</v>
      </c>
      <c r="CD1148" s="10">
        <v>19.899999999999999</v>
      </c>
      <c r="CE1148" s="10">
        <v>1198</v>
      </c>
      <c r="CF1148" s="10">
        <v>1.45</v>
      </c>
      <c r="CG1148" s="10">
        <v>1735</v>
      </c>
      <c r="CH1148" s="10">
        <v>136</v>
      </c>
      <c r="CI1148" s="10">
        <v>58</v>
      </c>
      <c r="CJ1148" s="10">
        <v>54</v>
      </c>
      <c r="CK1148" s="10">
        <v>280</v>
      </c>
      <c r="CL1148" s="10">
        <v>3</v>
      </c>
      <c r="CM1148" s="10">
        <v>106</v>
      </c>
      <c r="CN1148" s="10">
        <v>6.2E-2</v>
      </c>
      <c r="CO1148" s="10">
        <v>161</v>
      </c>
      <c r="CP1148" s="10">
        <v>87</v>
      </c>
      <c r="CQ1148" s="10">
        <v>119</v>
      </c>
      <c r="CR1148" s="10">
        <v>6</v>
      </c>
      <c r="CS1148" s="10">
        <v>9.8000000000000007</v>
      </c>
      <c r="CT1148" s="9" t="s">
        <v>185</v>
      </c>
      <c r="CU1148" s="9" t="s">
        <v>198</v>
      </c>
      <c r="CV1148" s="10"/>
      <c r="CW1148" s="10"/>
      <c r="CX1148" t="str">
        <f>INDEX('Data_Price '!AG$2:AG$1266,MATCH(Data!$DN1148,'Data_Price '!$AT$2:$AT$1266,0))</f>
        <v>Fischer Hannibal 96 Kit 169</v>
      </c>
      <c r="CY1148" t="str">
        <f>INDEX('Data_Price '!AH$2:AH$1266,MATCH(Data!$DN1148,'Data_Price '!$AT$2:$AT$1266,0))</f>
        <v>Ski The Whites</v>
      </c>
      <c r="CZ1148">
        <f>INDEX('Data_Price '!AI$2:AI$1266,MATCH(Data!$DN1148,'Data_Price '!$AT$2:$AT$1266,0))</f>
        <v>1250</v>
      </c>
      <c r="DA1148" t="str">
        <f>INDEX('Data_Price '!AJ$2:AJ$1266,MATCH(Data!$DN1148,'Data_Price '!$AT$2:$AT$1266,0))</f>
        <v>https://tinyurl.com/yb9lckdo</v>
      </c>
      <c r="DB1148" t="str">
        <f>INDEX('Data_Price '!AK$2:AK$1266,MATCH(Data!$DN1148,'Data_Price '!$AT$2:$AT$1266,0))</f>
        <v>Fischer Hannibal 96 Carbon Ski</v>
      </c>
      <c r="DC1148" t="str">
        <f>INDEX('Data_Price '!AL$2:AL$1266,MATCH(Data!$DN1148,'Data_Price '!$AT$2:$AT$1266,0))</f>
        <v>Snowcountry.eu</v>
      </c>
      <c r="DD1148">
        <f>INDEX('Data_Price '!AM$2:AM$1266,MATCH(Data!$DN1148,'Data_Price '!$AT$2:$AT$1266,0))</f>
        <v>419.41</v>
      </c>
      <c r="DE1148" t="str">
        <f>INDEX('Data_Price '!AN$2:AN$1266,MATCH(Data!$DN1148,'Data_Price '!$AT$2:$AT$1266,0))</f>
        <v>https://tinyurl.com/yajujhey</v>
      </c>
      <c r="DF1148" t="str">
        <f>INDEX('Data_Price '!AO$2:AO$1266,MATCH(Data!$DN1148,'Data_Price '!$AT$2:$AT$1266,0))</f>
        <v>Fischer Hannibal 96 Carbon 169cm</v>
      </c>
      <c r="DG1148" t="str">
        <f>INDEX('Data_Price '!AP$2:AP$1266,MATCH(Data!$DN1148,'Data_Price '!$AT$2:$AT$1266,0))</f>
        <v>Sundance Ski and Board Shop</v>
      </c>
      <c r="DH1148">
        <f>INDEX('Data_Price '!AQ$2:AQ$1266,MATCH(Data!$DN1148,'Data_Price '!$AT$2:$AT$1266,0))</f>
        <v>561.01</v>
      </c>
      <c r="DI1148" t="str">
        <f>INDEX('Data_Price '!AR$2:AR$1266,MATCH(Data!$DN1148,'Data_Price '!$AT$2:$AT$1266,0))</f>
        <v>https://tinyurl.com/y7watm73</v>
      </c>
      <c r="DJ1148" s="89" t="str">
        <f t="shared" si="661"/>
        <v>https://tinyurl.com/yb9lckdo</v>
      </c>
      <c r="DK1148" s="89" t="str">
        <f t="shared" si="662"/>
        <v>https://tinyurl.com/yajujhey</v>
      </c>
      <c r="DL1148" s="89" t="str">
        <f t="shared" si="663"/>
        <v>https://tinyurl.com/y7watm73</v>
      </c>
      <c r="DM1148" s="219" t="str">
        <f t="shared" si="664"/>
        <v>Hannibal 96</v>
      </c>
      <c r="DN1148" s="89" t="str">
        <f t="shared" si="665"/>
        <v xml:space="preserve"> FischerHannibal 96169 Unisex</v>
      </c>
      <c r="DO1148" s="221" t="s">
        <v>617</v>
      </c>
    </row>
    <row r="1149" spans="2:119" ht="15.6" customHeight="1">
      <c r="B1149" s="219" t="b">
        <f t="array" ref="B1149">IF(OR(ISERROR(K1149:P1149)),FALSE,TRUE)</f>
        <v>1</v>
      </c>
      <c r="C1149" s="43" t="b">
        <f>OR(BR1149=Driver!$G$50,Data!BR624=Driver!$H$50)</f>
        <v>1</v>
      </c>
      <c r="D1149" s="43" t="b">
        <f>OR(BV1149=Driver!$G$51,BV1149=Driver!$H$51)</f>
        <v>1</v>
      </c>
      <c r="E1149" s="43" t="b">
        <f>AND(BX1149&gt;Driver!$F$54,BX1149&lt;Driver!$G$54)</f>
        <v>0</v>
      </c>
      <c r="F1149" s="43" t="b">
        <f>CL1149&gt;Driver!$F$56</f>
        <v>1</v>
      </c>
      <c r="G1149" s="43" t="b">
        <f>AND(CB1149&gt;Driver!$F$55,CB1149&lt;Driver!$G$55)</f>
        <v>0</v>
      </c>
      <c r="H1149" s="43" t="b">
        <f t="shared" si="629"/>
        <v>0</v>
      </c>
      <c r="I1149" s="43">
        <f t="shared" si="630"/>
        <v>0</v>
      </c>
      <c r="J1149" s="43" t="b">
        <f t="array" ref="J1149">NOT(OR(($H$9:$H$1273=TRUE)*($I$9:$I$1273&gt;0)*($BT$9:$BT$1273=BT1149)*($K$9:$K$1273&gt;K1149)))</f>
        <v>1</v>
      </c>
      <c r="K1149" s="72">
        <f t="shared" si="631"/>
        <v>0.69563899526070205</v>
      </c>
      <c r="L1149" s="72">
        <f t="shared" si="632"/>
        <v>0.7538568277018447</v>
      </c>
      <c r="M1149" s="72">
        <f t="shared" si="633"/>
        <v>0.63742116281955918</v>
      </c>
      <c r="N1149" s="72">
        <f t="shared" si="634"/>
        <v>0.62593996127205065</v>
      </c>
      <c r="O1149" s="72">
        <f t="shared" si="635"/>
        <v>0.63529039241373075</v>
      </c>
      <c r="P1149" s="72">
        <f t="shared" si="636"/>
        <v>0.65103313477289659</v>
      </c>
      <c r="Q1149" s="72"/>
      <c r="R1149" s="72"/>
      <c r="S1149" s="72">
        <f t="shared" si="637"/>
        <v>0.56268453887698555</v>
      </c>
      <c r="T1149" s="72">
        <f t="shared" si="638"/>
        <v>0.61350535032044795</v>
      </c>
      <c r="U1149" s="72">
        <f t="shared" si="639"/>
        <v>0.99281846889463188</v>
      </c>
      <c r="V1149" s="72">
        <f t="shared" si="640"/>
        <v>0.51144417679865695</v>
      </c>
      <c r="W1149" s="72">
        <f t="shared" si="641"/>
        <v>0.75971467391304348</v>
      </c>
      <c r="X1149" s="72">
        <f t="shared" si="642"/>
        <v>0.24614317229815524</v>
      </c>
      <c r="Y1149" s="72">
        <f t="shared" si="643"/>
        <v>0.36257883718044076</v>
      </c>
      <c r="Z1149" s="72">
        <f t="shared" si="644"/>
        <v>0.37406003872794941</v>
      </c>
      <c r="AA1149" s="72">
        <f t="shared" si="645"/>
        <v>0.3647096075862693</v>
      </c>
      <c r="AB1149" s="72">
        <f t="shared" si="646"/>
        <v>0.34896686522710346</v>
      </c>
      <c r="AC1149" s="72"/>
      <c r="AD1149" s="72"/>
      <c r="AE1149" s="72">
        <f t="shared" si="647"/>
        <v>0.43731546112301445</v>
      </c>
      <c r="AF1149" s="72">
        <f t="shared" si="648"/>
        <v>0.3864946496795521</v>
      </c>
      <c r="AG1149" s="72">
        <f t="shared" si="649"/>
        <v>7.1815311053681219E-3</v>
      </c>
      <c r="AH1149" s="72">
        <f t="shared" si="650"/>
        <v>0.48855582320134305</v>
      </c>
      <c r="AI1149" s="72">
        <f t="shared" si="651"/>
        <v>0.24028532608695652</v>
      </c>
      <c r="AJ1149" s="72">
        <f>(AV1149-Driver!$K$179)/(Driver!$L$179-Driver!$K$179)</f>
        <v>0.50036258158085567</v>
      </c>
      <c r="AK1149" s="72">
        <f>(AW1149-Driver!$K$180)/(Driver!$L$180-Driver!$K$180)</f>
        <v>0.60009931756172508</v>
      </c>
      <c r="AL1149" s="72">
        <f>(AX1149-Driver!$K$181)/(Driver!$L$181-Driver!$K$181)</f>
        <v>0.4757478024410296</v>
      </c>
      <c r="AM1149" s="72">
        <f>(AY1149-Driver!$K$182)/(Driver!$L$182-Driver!$K$182)</f>
        <v>8.2675413510777063E-2</v>
      </c>
      <c r="AN1149" s="72">
        <f>(AZ1149-Driver!$K$183)/(Driver!$L$183-Driver!$K$183)</f>
        <v>0.60318627450980389</v>
      </c>
      <c r="AO1149" s="72"/>
      <c r="AP1149" s="72"/>
      <c r="AQ1149" s="72">
        <f>(BC1149-Driver!$K$188)/(Driver!$L$188-Driver!$K$188)</f>
        <v>0.18268453887698552</v>
      </c>
      <c r="AR1149" s="72">
        <f>MIN((BD1149-Driver!$K$189)/(Driver!$L$189-Driver!$K$189),100%)</f>
        <v>0.16350535032044794</v>
      </c>
      <c r="AS1149" s="72">
        <f>(BE1149-Driver!$K$190)/(Driver!$L$190-Driver!$K$190)</f>
        <v>0.50281846889463189</v>
      </c>
      <c r="AT1149" s="72">
        <f>(BF1149-Driver!$K$191)/(Driver!$L$191-Driver!$K$191)</f>
        <v>2.1444176798656945E-2</v>
      </c>
      <c r="AU1149" s="72">
        <f>(BG1149-Driver!$K$192)/(Driver!$L$192-Driver!$K$192)</f>
        <v>9.714673913043476E-3</v>
      </c>
      <c r="AV1149" s="70">
        <f t="shared" si="652"/>
        <v>10.531135531135531</v>
      </c>
      <c r="AW1149" s="70">
        <f t="shared" si="653"/>
        <v>60.356888538734665</v>
      </c>
      <c r="AX1149" s="70">
        <f t="shared" si="654"/>
        <v>5.2817302219692666</v>
      </c>
      <c r="AY1149" s="70">
        <f>IFERROR(Driver!$K$19/Data!BH1149/Data!BI1149*Data!BK1149*Data!BL1149,"")</f>
        <v>0.10121937409972648</v>
      </c>
      <c r="AZ1149" s="70">
        <f t="shared" si="655"/>
        <v>54.973938942665676</v>
      </c>
      <c r="BA1149" s="70"/>
      <c r="BB1149" s="70"/>
      <c r="BC1149" s="70">
        <f t="shared" si="656"/>
        <v>94.759740317802681</v>
      </c>
      <c r="BD1149" s="70">
        <f t="shared" si="657"/>
        <v>16.1907566731199</v>
      </c>
      <c r="BE1149" s="70">
        <f t="shared" si="658"/>
        <v>0.5029071604837646</v>
      </c>
      <c r="BF1149" s="70">
        <f t="shared" si="659"/>
        <v>2.4219691155398766</v>
      </c>
      <c r="BG1149" s="70">
        <f t="shared" si="660"/>
        <v>3.6785952726761613E-2</v>
      </c>
      <c r="BH1149" s="67">
        <f>MAX((CE1149-Driver!$F$200)/(Driver!$G$200-Driver!$F$200)*$BI$1,1)</f>
        <v>5.2817302219692666</v>
      </c>
      <c r="BI1149" s="67">
        <f>MAX($BI$1*(BY1149-Driver!$F$201)/(Driver!$G$201-Driver!$F$201),1)</f>
        <v>8.7341772151898738</v>
      </c>
      <c r="BJ1149" s="67">
        <f>(CB1149-Driver!$F$206)/(Driver!$G$206-Driver!$F$206)*$BI$1</f>
        <v>4.7619047619047619</v>
      </c>
      <c r="BK1149" s="67">
        <f>(CD1149-Driver!$F$203)/(Driver!$G$203-Driver!$F$203)*$BI$1</f>
        <v>3.7614678899082579</v>
      </c>
      <c r="BL1149" s="67">
        <f>MAX((CR1149-Driver!$F$202)/(Driver!$G$202-Driver!$F$202)*$BI$1,1)</f>
        <v>6.2068965517241379</v>
      </c>
      <c r="BM1149" s="67">
        <f>MAX((CH1149-Driver!$F$204)/(Driver!$G$204-Driver!$F$204)*$BI$1,1)</f>
        <v>8.8461538461538467</v>
      </c>
      <c r="BN1149" s="67">
        <f>(CI1149-Driver!$F$205)/(Driver!$G$205-Driver!$F$205)*$BI$1</f>
        <v>6.2941176470588234</v>
      </c>
      <c r="BO1149" s="67">
        <f>(CK1149-Driver!$F$207)/(Driver!$G$207-Driver!$F$207)*$BI$1</f>
        <v>1.1478800413650465</v>
      </c>
      <c r="BP1149" s="67">
        <f>(CM1149-Driver!$F$208)/(Driver!$G$208-Driver!$F$208)*$BI$1</f>
        <v>1.6666666666666665</v>
      </c>
      <c r="BQ1149" s="67">
        <f>(CL1149-Driver!$F$209)/(Driver!$G$209-Driver!$F$209)*$BI$1</f>
        <v>1.71875</v>
      </c>
      <c r="BR1149" s="28" t="s">
        <v>155</v>
      </c>
      <c r="BS1149" s="8" t="s">
        <v>167</v>
      </c>
      <c r="BT1149" s="9" t="s">
        <v>200</v>
      </c>
      <c r="BU1149" s="10">
        <v>184</v>
      </c>
      <c r="BV1149" s="9" t="s">
        <v>158</v>
      </c>
      <c r="BW1149" s="10">
        <v>184</v>
      </c>
      <c r="BX1149" s="10">
        <v>183.3</v>
      </c>
      <c r="BY1149" s="10">
        <v>146</v>
      </c>
      <c r="BZ1149" s="10">
        <v>154</v>
      </c>
      <c r="CA1149" s="10">
        <v>135</v>
      </c>
      <c r="CB1149" s="10">
        <v>94</v>
      </c>
      <c r="CC1149" s="10">
        <v>116</v>
      </c>
      <c r="CD1149" s="10">
        <v>17.600000000000001</v>
      </c>
      <c r="CE1149" s="10">
        <v>1828</v>
      </c>
      <c r="CF1149" s="10">
        <v>1.07</v>
      </c>
      <c r="CG1149" s="10">
        <v>1952</v>
      </c>
      <c r="CH1149" s="10">
        <v>308</v>
      </c>
      <c r="CI1149" s="10">
        <v>140</v>
      </c>
      <c r="CJ1149" s="10">
        <v>50</v>
      </c>
      <c r="CK1149" s="10">
        <v>221</v>
      </c>
      <c r="CL1149" s="10">
        <v>11</v>
      </c>
      <c r="CM1149" s="10">
        <v>150</v>
      </c>
      <c r="CN1149" s="10">
        <v>0.219</v>
      </c>
      <c r="CO1149" s="10">
        <v>146</v>
      </c>
      <c r="CP1149" s="10">
        <v>152</v>
      </c>
      <c r="CQ1149" s="10">
        <v>75</v>
      </c>
      <c r="CR1149" s="10">
        <v>7</v>
      </c>
      <c r="CS1149" s="10">
        <v>11.8</v>
      </c>
      <c r="CT1149" s="9" t="s">
        <v>188</v>
      </c>
      <c r="CU1149" s="9" t="s">
        <v>185</v>
      </c>
      <c r="CV1149" s="10"/>
      <c r="CW1149" s="10"/>
      <c r="CX1149" t="str">
        <f>INDEX('Data_Price '!AG$2:AG$1266,MATCH(Data!$DN1149,'Data_Price '!$AT$2:$AT$1266,0))</f>
        <v>Head Kore 93 Anth/Yw / 184cm</v>
      </c>
      <c r="CY1149" t="str">
        <f>INDEX('Data_Price '!AH$2:AH$1266,MATCH(Data!$DN1149,'Data_Price '!$AT$2:$AT$1266,0))</f>
        <v>Sundance Ski and Board Shop</v>
      </c>
      <c r="CZ1149">
        <f>INDEX('Data_Price '!AI$2:AI$1266,MATCH(Data!$DN1149,'Data_Price '!$AT$2:$AT$1266,0))</f>
        <v>480.86</v>
      </c>
      <c r="DA1149" t="str">
        <f>INDEX('Data_Price '!AJ$2:AJ$1266,MATCH(Data!$DN1149,'Data_Price '!$AT$2:$AT$1266,0))</f>
        <v>https://tinyurl.com/ydaq53vm</v>
      </c>
      <c r="DB1149" t="str">
        <f>INDEX('Data_Price '!AK$2:AK$1266,MATCH(Data!$DN1149,'Data_Price '!$AT$2:$AT$1266,0))</f>
        <v>Head Kore 93 Skis</v>
      </c>
      <c r="DC1149" t="str">
        <f>INDEX('Data_Price '!AL$2:AL$1266,MATCH(Data!$DN1149,'Data_Price '!$AT$2:$AT$1266,0))</f>
        <v>BlueZone Sports</v>
      </c>
      <c r="DD1149">
        <f>INDEX('Data_Price '!AM$2:AM$1266,MATCH(Data!$DN1149,'Data_Price '!$AT$2:$AT$1266,0))</f>
        <v>489</v>
      </c>
      <c r="DE1149" t="str">
        <f>INDEX('Data_Price '!AN$2:AN$1266,MATCH(Data!$DN1149,'Data_Price '!$AT$2:$AT$1266,0))</f>
        <v>https://tinyurl.com/y7keazkl</v>
      </c>
      <c r="DF1149" t="str">
        <f>INDEX('Data_Price '!AO$2:AO$1266,MATCH(Data!$DN1149,'Data_Price '!$AT$2:$AT$1266,0))</f>
        <v>Head Kore 93 Skis</v>
      </c>
      <c r="DG1149" t="str">
        <f>INDEX('Data_Price '!AP$2:AP$1266,MATCH(Data!$DN1149,'Data_Price '!$AT$2:$AT$1266,0))</f>
        <v>SkiEssentials.com</v>
      </c>
      <c r="DH1149">
        <f>INDEX('Data_Price '!AQ$2:AQ$1266,MATCH(Data!$DN1149,'Data_Price '!$AT$2:$AT$1266,0))</f>
        <v>489</v>
      </c>
      <c r="DI1149" t="str">
        <f>INDEX('Data_Price '!AR$2:AR$1266,MATCH(Data!$DN1149,'Data_Price '!$AT$2:$AT$1266,0))</f>
        <v>https://tinyurl.com/ya5xwfa6</v>
      </c>
      <c r="DJ1149" s="89" t="str">
        <f t="shared" si="661"/>
        <v>https://tinyurl.com/ydaq53vm</v>
      </c>
      <c r="DK1149" s="89" t="str">
        <f t="shared" si="662"/>
        <v>https://tinyurl.com/y7keazkl</v>
      </c>
      <c r="DL1149" s="89" t="str">
        <f t="shared" si="663"/>
        <v>https://tinyurl.com/ya5xwfa6</v>
      </c>
      <c r="DM1149" s="219" t="str">
        <f t="shared" si="664"/>
        <v>Kore 93</v>
      </c>
      <c r="DN1149" s="89" t="str">
        <f t="shared" si="665"/>
        <v xml:space="preserve"> HeadKore 93184 Unisex</v>
      </c>
      <c r="DO1149" s="221" t="s">
        <v>201</v>
      </c>
    </row>
    <row r="1150" spans="2:119" ht="15.6" customHeight="1">
      <c r="B1150" s="219" t="b">
        <f t="array" ref="B1150">IF(OR(ISERROR(K1150:P1150)),FALSE,TRUE)</f>
        <v>1</v>
      </c>
      <c r="C1150" s="43" t="b">
        <f>OR(BR1150=Driver!$G$50,Data!BR852=Driver!$H$50)</f>
        <v>1</v>
      </c>
      <c r="D1150" s="43" t="b">
        <f>OR(BV1150=Driver!$G$51,BV1150=Driver!$H$51)</f>
        <v>0</v>
      </c>
      <c r="E1150" s="43" t="b">
        <f>AND(BX1150&gt;Driver!$F$54,BX1150&lt;Driver!$G$54)</f>
        <v>0</v>
      </c>
      <c r="F1150" s="43" t="b">
        <f>CL1150&gt;Driver!$F$56</f>
        <v>1</v>
      </c>
      <c r="G1150" s="43" t="b">
        <f>AND(CB1150&gt;Driver!$F$55,CB1150&lt;Driver!$G$55)</f>
        <v>0</v>
      </c>
      <c r="H1150" s="43" t="b">
        <f t="shared" si="629"/>
        <v>0</v>
      </c>
      <c r="I1150" s="43">
        <f t="shared" si="630"/>
        <v>0</v>
      </c>
      <c r="J1150" s="43" t="b">
        <f t="array" ref="J1150">NOT(OR(($H$9:$H$1273=TRUE)*($I$9:$I$1273&gt;0)*($BT$9:$BT$1273=BT1150)*($K$9:$K$1273&gt;K1150)))</f>
        <v>1</v>
      </c>
      <c r="K1150" s="72">
        <f t="shared" si="631"/>
        <v>0.80365021003177872</v>
      </c>
      <c r="L1150" s="72">
        <f t="shared" si="632"/>
        <v>0.80045789311033799</v>
      </c>
      <c r="M1150" s="72">
        <f t="shared" si="633"/>
        <v>0.80684252695321945</v>
      </c>
      <c r="N1150" s="72">
        <f t="shared" si="634"/>
        <v>0.92569332875450183</v>
      </c>
      <c r="O1150" s="72">
        <f t="shared" si="635"/>
        <v>0.63545072021138638</v>
      </c>
      <c r="P1150" s="72">
        <f t="shared" si="636"/>
        <v>0.85938353189377015</v>
      </c>
      <c r="Q1150" s="72"/>
      <c r="R1150" s="72"/>
      <c r="S1150" s="72">
        <f t="shared" si="637"/>
        <v>0.392802917554679</v>
      </c>
      <c r="T1150" s="72">
        <f t="shared" si="638"/>
        <v>0.45916422739035889</v>
      </c>
      <c r="U1150" s="72">
        <f t="shared" si="639"/>
        <v>0.88492254952227611</v>
      </c>
      <c r="V1150" s="72">
        <f t="shared" si="640"/>
        <v>0.56120819032627889</v>
      </c>
      <c r="W1150" s="72">
        <f t="shared" si="641"/>
        <v>0.9785242290748899</v>
      </c>
      <c r="X1150" s="72">
        <f t="shared" si="642"/>
        <v>0.19954210688966201</v>
      </c>
      <c r="Y1150" s="72">
        <f t="shared" si="643"/>
        <v>0.19315747304678055</v>
      </c>
      <c r="Z1150" s="72">
        <f t="shared" si="644"/>
        <v>7.430667124549821E-2</v>
      </c>
      <c r="AA1150" s="72">
        <f t="shared" si="645"/>
        <v>0.36454927978861357</v>
      </c>
      <c r="AB1150" s="72">
        <f t="shared" si="646"/>
        <v>0.14061646810622985</v>
      </c>
      <c r="AC1150" s="72"/>
      <c r="AD1150" s="72"/>
      <c r="AE1150" s="72">
        <f t="shared" si="647"/>
        <v>0.607197082445321</v>
      </c>
      <c r="AF1150" s="72">
        <f t="shared" si="648"/>
        <v>0.54083577260964111</v>
      </c>
      <c r="AG1150" s="72">
        <f t="shared" si="649"/>
        <v>0.11507745047772383</v>
      </c>
      <c r="AH1150" s="72">
        <f t="shared" si="650"/>
        <v>0.43879180967372106</v>
      </c>
      <c r="AI1150" s="72">
        <f t="shared" si="651"/>
        <v>2.1475770925110105E-2</v>
      </c>
      <c r="AJ1150" s="72">
        <f>(AV1150-Driver!$K$179)/(Driver!$L$179-Driver!$K$179)</f>
        <v>5.4677302393038425E-2</v>
      </c>
      <c r="AK1150" s="72">
        <f>(AW1150-Driver!$K$180)/(Driver!$L$180-Driver!$K$180)</f>
        <v>0.11458330859967958</v>
      </c>
      <c r="AL1150" s="72">
        <f>(AX1150-Driver!$K$181)/(Driver!$L$181-Driver!$K$181)</f>
        <v>0.17599443495857839</v>
      </c>
      <c r="AM1150" s="72">
        <f>(AY1150-Driver!$K$182)/(Driver!$L$182-Driver!$K$182)</f>
        <v>8.2835741308432798E-2</v>
      </c>
      <c r="AN1150" s="72">
        <f>(AZ1150-Driver!$K$183)/(Driver!$L$183-Driver!$K$183)</f>
        <v>0.11360294117647059</v>
      </c>
      <c r="AO1150" s="72"/>
      <c r="AP1150" s="72"/>
      <c r="AQ1150" s="72">
        <f>(BC1150-Driver!$K$188)/(Driver!$L$188-Driver!$K$188)</f>
        <v>1.280291755467894E-2</v>
      </c>
      <c r="AR1150" s="72">
        <f>MIN((BD1150-Driver!$K$189)/(Driver!$L$189-Driver!$K$189),100%)</f>
        <v>9.1642273903589522E-3</v>
      </c>
      <c r="AS1150" s="72">
        <f>(BE1150-Driver!$K$190)/(Driver!$L$190-Driver!$K$190)</f>
        <v>0.39492254952227618</v>
      </c>
      <c r="AT1150" s="72">
        <f>(BF1150-Driver!$K$191)/(Driver!$L$191-Driver!$K$191)</f>
        <v>7.1208190326278967E-2</v>
      </c>
      <c r="AU1150" s="72">
        <f>(BG1150-Driver!$K$192)/(Driver!$L$192-Driver!$K$192)</f>
        <v>0.2714757709251101</v>
      </c>
      <c r="AV1150" s="70">
        <f t="shared" si="652"/>
        <v>1.1507936507936507</v>
      </c>
      <c r="AW1150" s="70">
        <f t="shared" si="653"/>
        <v>13.039051355897172</v>
      </c>
      <c r="AX1150" s="70">
        <f t="shared" si="654"/>
        <v>2.5839499146272056</v>
      </c>
      <c r="AY1150" s="70">
        <f>IFERROR(Driver!$K$19/Data!BH1150/Data!BI1150*Data!BK1150*Data!BL1150,"")</f>
        <v>0.10141566316125486</v>
      </c>
      <c r="AZ1150" s="70">
        <f t="shared" si="655"/>
        <v>10.353685778108712</v>
      </c>
      <c r="BA1150" s="70"/>
      <c r="BB1150" s="70"/>
      <c r="BC1150" s="70">
        <f t="shared" si="656"/>
        <v>6.6409623400508355</v>
      </c>
      <c r="BD1150" s="70">
        <f t="shared" si="657"/>
        <v>2.5318407700944143</v>
      </c>
      <c r="BE1150" s="70">
        <f t="shared" si="658"/>
        <v>0.39503048852900463</v>
      </c>
      <c r="BF1150" s="70">
        <f t="shared" si="659"/>
        <v>8.0424648315030929</v>
      </c>
      <c r="BG1150" s="70">
        <f t="shared" si="660"/>
        <v>1.0279804515418502</v>
      </c>
      <c r="BH1150" s="67">
        <f>MAX((CE1150-Driver!$F$200)/(Driver!$G$200-Driver!$F$200)*$BI$1,1)</f>
        <v>2.5839499146272056</v>
      </c>
      <c r="BI1150" s="67">
        <f>MAX($BI$1*(BY1150-Driver!$F$201)/(Driver!$G$201-Driver!$F$201),1)</f>
        <v>6.518987341772152</v>
      </c>
      <c r="BJ1150" s="67">
        <f>(CB1150-Driver!$F$206)/(Driver!$G$206-Driver!$F$206)*$BI$1</f>
        <v>4.6031746031746028</v>
      </c>
      <c r="BK1150" s="67">
        <f>(CD1150-Driver!$F$203)/(Driver!$G$203-Driver!$F$203)*$BI$1</f>
        <v>1.3761467889908259</v>
      </c>
      <c r="BL1150" s="67">
        <f>MAX((CR1150-Driver!$F$202)/(Driver!$G$202-Driver!$F$202)*$BI$1,1)</f>
        <v>6.2068965517241379</v>
      </c>
      <c r="BM1150" s="67">
        <f>MAX((CH1150-Driver!$F$204)/(Driver!$G$204-Driver!$F$204)*$BI$1,1)</f>
        <v>1</v>
      </c>
      <c r="BN1150" s="67">
        <f>(CI1150-Driver!$F$205)/(Driver!$G$205-Driver!$F$205)*$BI$1</f>
        <v>1.588235294117647</v>
      </c>
      <c r="BO1150" s="67">
        <f>(CK1150-Driver!$F$207)/(Driver!$G$207-Driver!$F$207)*$BI$1</f>
        <v>1.6028955532574973</v>
      </c>
      <c r="BP1150" s="67">
        <f>(CM1150-Driver!$F$208)/(Driver!$G$208-Driver!$F$208)*$BI$1</f>
        <v>1.5</v>
      </c>
      <c r="BQ1150" s="67">
        <f>(CL1150-Driver!$F$209)/(Driver!$G$209-Driver!$F$209)*$BI$1</f>
        <v>2.65625</v>
      </c>
      <c r="BR1150" s="28" t="s">
        <v>155</v>
      </c>
      <c r="BS1150" s="8" t="s">
        <v>208</v>
      </c>
      <c r="BT1150" s="9" t="s">
        <v>698</v>
      </c>
      <c r="BU1150" s="10">
        <v>151</v>
      </c>
      <c r="BV1150" s="9" t="s">
        <v>163</v>
      </c>
      <c r="BW1150" s="10">
        <v>151</v>
      </c>
      <c r="BX1150" s="10">
        <v>151.1</v>
      </c>
      <c r="BY1150" s="10">
        <v>111</v>
      </c>
      <c r="BZ1150" s="10">
        <v>125</v>
      </c>
      <c r="CA1150" s="10">
        <v>130</v>
      </c>
      <c r="CB1150" s="10">
        <v>93</v>
      </c>
      <c r="CC1150" s="10">
        <v>116</v>
      </c>
      <c r="CD1150" s="10">
        <v>12.4</v>
      </c>
      <c r="CE1150" s="10">
        <v>1354</v>
      </c>
      <c r="CF1150" s="10">
        <v>1.17</v>
      </c>
      <c r="CG1150" s="10">
        <v>1586</v>
      </c>
      <c r="CH1150" s="10">
        <v>117</v>
      </c>
      <c r="CI1150" s="10">
        <v>60</v>
      </c>
      <c r="CJ1150" s="10">
        <v>44</v>
      </c>
      <c r="CK1150" s="10">
        <v>265</v>
      </c>
      <c r="CL1150" s="10">
        <v>17</v>
      </c>
      <c r="CM1150" s="10">
        <v>135</v>
      </c>
      <c r="CN1150" s="10">
        <v>0.38800000000000001</v>
      </c>
      <c r="CO1150" s="10">
        <v>141</v>
      </c>
      <c r="CP1150" s="10">
        <v>117</v>
      </c>
      <c r="CQ1150" s="10">
        <v>124</v>
      </c>
      <c r="CR1150" s="10">
        <v>7</v>
      </c>
      <c r="CS1150" s="10">
        <v>8.3000000000000007</v>
      </c>
      <c r="CT1150" s="9" t="s">
        <v>188</v>
      </c>
      <c r="CU1150" s="9" t="s">
        <v>185</v>
      </c>
      <c r="CV1150" s="10"/>
      <c r="CW1150" s="10"/>
      <c r="CX1150" t="str">
        <f>INDEX('Data_Price '!AG$2:AG$1266,MATCH(Data!$DN1150,'Data_Price '!$AT$2:$AT$1266,0))</f>
        <v>'22 Line Pandora 94 Skis 151cm</v>
      </c>
      <c r="CY1150" t="str">
        <f>INDEX('Data_Price '!AH$2:AH$1266,MATCH(Data!$DN1150,'Data_Price '!$AT$2:$AT$1266,0))</f>
        <v>Al's Ski Equipment Barn</v>
      </c>
      <c r="CZ1150">
        <f>INDEX('Data_Price '!AI$2:AI$1266,MATCH(Data!$DN1150,'Data_Price '!$AT$2:$AT$1266,0))</f>
        <v>469.95</v>
      </c>
      <c r="DA1150" t="str">
        <f>INDEX('Data_Price '!AJ$2:AJ$1266,MATCH(Data!$DN1150,'Data_Price '!$AT$2:$AT$1266,0))</f>
        <v>https://tinyurl.com/yafjblu4</v>
      </c>
      <c r="DB1150" t="str">
        <f>INDEX('Data_Price '!AK$2:AK$1266,MATCH(Data!$DN1150,'Data_Price '!$AT$2:$AT$1266,0))</f>
        <v>Line Pandora 94 Skis Women's 2022 - - 151 cm</v>
      </c>
      <c r="DC1150" t="str">
        <f>INDEX('Data_Price '!AL$2:AL$1266,MATCH(Data!$DN1150,'Data_Price '!$AT$2:$AT$1266,0))</f>
        <v>Skirack</v>
      </c>
      <c r="DD1150">
        <f>INDEX('Data_Price '!AM$2:AM$1266,MATCH(Data!$DN1150,'Data_Price '!$AT$2:$AT$1266,0))</f>
        <v>499.95</v>
      </c>
      <c r="DE1150" t="str">
        <f>INDEX('Data_Price '!AN$2:AN$1266,MATCH(Data!$DN1150,'Data_Price '!$AT$2:$AT$1266,0))</f>
        <v>https://tinyurl.com/yazjckeh</v>
      </c>
      <c r="DF1150" t="str">
        <f>INDEX('Data_Price '!AO$2:AO$1266,MATCH(Data!$DN1150,'Data_Price '!$AT$2:$AT$1266,0))</f>
        <v>Line Pandora 94 Skis 2021</v>
      </c>
      <c r="DG1150" t="str">
        <f>INDEX('Data_Price '!AP$2:AP$1266,MATCH(Data!$DN1150,'Data_Price '!$AT$2:$AT$1266,0))</f>
        <v>LINE Skis</v>
      </c>
      <c r="DH1150">
        <f>INDEX('Data_Price '!AQ$2:AQ$1266,MATCH(Data!$DN1150,'Data_Price '!$AT$2:$AT$1266,0))</f>
        <v>499.95</v>
      </c>
      <c r="DI1150" t="str">
        <f>INDEX('Data_Price '!AR$2:AR$1266,MATCH(Data!$DN1150,'Data_Price '!$AT$2:$AT$1266,0))</f>
        <v>https://tinyurl.com/y94sbt7m</v>
      </c>
      <c r="DJ1150" s="89" t="str">
        <f t="shared" si="661"/>
        <v>https://tinyurl.com/yafjblu4</v>
      </c>
      <c r="DK1150" s="89" t="str">
        <f t="shared" si="662"/>
        <v>https://tinyurl.com/yazjckeh</v>
      </c>
      <c r="DL1150" s="89" t="str">
        <f t="shared" si="663"/>
        <v>https://tinyurl.com/y94sbt7m</v>
      </c>
      <c r="DM1150" s="219" t="str">
        <f t="shared" si="664"/>
        <v>Pandora 94</v>
      </c>
      <c r="DN1150" s="89" t="str">
        <f t="shared" si="665"/>
        <v xml:space="preserve"> LinePandora 94151 Women's</v>
      </c>
      <c r="DO1150" s="221" t="s">
        <v>699</v>
      </c>
    </row>
    <row r="1151" spans="2:119" ht="15.6" customHeight="1">
      <c r="B1151" s="219" t="b">
        <f t="array" ref="B1151">IF(OR(ISERROR(K1151:P1151)),FALSE,TRUE)</f>
        <v>1</v>
      </c>
      <c r="C1151" s="43" t="b">
        <f>OR(BR1151=Driver!$G$50,Data!BR327=Driver!$H$50)</f>
        <v>1</v>
      </c>
      <c r="D1151" s="43" t="b">
        <f>OR(BV1151=Driver!$G$51,BV1151=Driver!$H$51)</f>
        <v>1</v>
      </c>
      <c r="E1151" s="43" t="b">
        <f>AND(BX1151&gt;Driver!$F$54,BX1151&lt;Driver!$G$54)</f>
        <v>1</v>
      </c>
      <c r="F1151" s="43" t="b">
        <f>CL1151&gt;Driver!$F$56</f>
        <v>1</v>
      </c>
      <c r="G1151" s="43" t="b">
        <f>AND(CB1151&gt;Driver!$F$55,CB1151&lt;Driver!$G$55)</f>
        <v>0</v>
      </c>
      <c r="H1151" s="43" t="b">
        <f t="shared" si="629"/>
        <v>0</v>
      </c>
      <c r="I1151" s="43">
        <f t="shared" si="630"/>
        <v>0</v>
      </c>
      <c r="J1151" s="43" t="b">
        <f t="array" ref="J1151">NOT(OR(($H$9:$H$1273=TRUE)*($I$9:$I$1273&gt;0)*($BT$9:$BT$1273=BT1151)*($K$9:$K$1273&gt;K1151)))</f>
        <v>1</v>
      </c>
      <c r="K1151" s="72">
        <f t="shared" si="631"/>
        <v>0.8954690155788112</v>
      </c>
      <c r="L1151" s="72">
        <f t="shared" si="632"/>
        <v>0.88130552827269393</v>
      </c>
      <c r="M1151" s="72">
        <f t="shared" si="633"/>
        <v>0.90963250288492836</v>
      </c>
      <c r="N1151" s="72">
        <f t="shared" si="634"/>
        <v>0.89831223628691981</v>
      </c>
      <c r="O1151" s="72">
        <f t="shared" si="635"/>
        <v>0.9544942241342258</v>
      </c>
      <c r="P1151" s="72">
        <f t="shared" si="636"/>
        <v>0.87609104823363948</v>
      </c>
      <c r="Q1151" s="72"/>
      <c r="R1151" s="72"/>
      <c r="S1151" s="72">
        <f t="shared" si="637"/>
        <v>0.42063081003179126</v>
      </c>
      <c r="T1151" s="72">
        <f t="shared" si="638"/>
        <v>0.43937227736149798</v>
      </c>
      <c r="U1151" s="72">
        <f t="shared" si="639"/>
        <v>0.51</v>
      </c>
      <c r="V1151" s="72">
        <f t="shared" si="640"/>
        <v>0.51020901787037642</v>
      </c>
      <c r="W1151" s="72">
        <f t="shared" si="641"/>
        <v>0.88318155947638022</v>
      </c>
      <c r="X1151" s="72">
        <f t="shared" si="642"/>
        <v>0.11869447172730604</v>
      </c>
      <c r="Y1151" s="72">
        <f t="shared" si="643"/>
        <v>9.0367497115071638E-2</v>
      </c>
      <c r="Z1151" s="72">
        <f t="shared" si="644"/>
        <v>0.10168776371308018</v>
      </c>
      <c r="AA1151" s="72">
        <f t="shared" si="645"/>
        <v>4.5505775865774145E-2</v>
      </c>
      <c r="AB1151" s="72">
        <f t="shared" si="646"/>
        <v>0.12390895176636055</v>
      </c>
      <c r="AC1151" s="72"/>
      <c r="AD1151" s="72"/>
      <c r="AE1151" s="72">
        <f t="shared" si="647"/>
        <v>0.57936918996820874</v>
      </c>
      <c r="AF1151" s="72">
        <f t="shared" si="648"/>
        <v>0.56062772263850202</v>
      </c>
      <c r="AG1151" s="72">
        <f t="shared" si="649"/>
        <v>0.49</v>
      </c>
      <c r="AH1151" s="72">
        <f t="shared" si="650"/>
        <v>0.48979098212962363</v>
      </c>
      <c r="AI1151" s="72">
        <f t="shared" si="651"/>
        <v>0.11681844052361981</v>
      </c>
      <c r="AJ1151" s="72">
        <f>(AV1151-Driver!$K$179)/(Driver!$L$179-Driver!$K$179)</f>
        <v>0.13552493755539438</v>
      </c>
      <c r="AK1151" s="72">
        <f>(AW1151-Driver!$K$180)/(Driver!$L$180-Driver!$K$180)</f>
        <v>0.11910614180334747</v>
      </c>
      <c r="AL1151" s="72">
        <f>(AX1151-Driver!$K$181)/(Driver!$L$181-Driver!$K$181)</f>
        <v>0</v>
      </c>
      <c r="AM1151" s="72">
        <f>(AY1151-Driver!$K$182)/(Driver!$L$182-Driver!$K$182)</f>
        <v>0.49289079696282051</v>
      </c>
      <c r="AN1151" s="72">
        <f>(AZ1151-Driver!$K$183)/(Driver!$L$183-Driver!$K$183)</f>
        <v>0.13031045751633988</v>
      </c>
      <c r="AO1151" s="72"/>
      <c r="AP1151" s="72"/>
      <c r="AQ1151" s="72">
        <f>(BC1151-Driver!$K$188)/(Driver!$L$188-Driver!$K$188)</f>
        <v>4.0630810031791226E-2</v>
      </c>
      <c r="AR1151" s="72">
        <f>MIN((BD1151-Driver!$K$189)/(Driver!$L$189-Driver!$K$189),100%)</f>
        <v>-1.0627722638501957E-2</v>
      </c>
      <c r="AS1151" s="72">
        <f>(BE1151-Driver!$K$190)/(Driver!$L$190-Driver!$K$190)</f>
        <v>1</v>
      </c>
      <c r="AT1151" s="72">
        <f>(BF1151-Driver!$K$191)/(Driver!$L$191-Driver!$K$191)</f>
        <v>2.0209017870376357E-2</v>
      </c>
      <c r="AU1151" s="72">
        <f>(BG1151-Driver!$K$192)/(Driver!$L$192-Driver!$K$192)</f>
        <v>0.13318155947638019</v>
      </c>
      <c r="AV1151" s="70">
        <f t="shared" si="652"/>
        <v>2.8523945190611855</v>
      </c>
      <c r="AW1151" s="70">
        <f t="shared" si="653"/>
        <v>13.479841527973699</v>
      </c>
      <c r="AX1151" s="70">
        <f t="shared" si="654"/>
        <v>1</v>
      </c>
      <c r="AY1151" s="70">
        <f>IFERROR(Driver!$K$19/Data!BH1151/Data!BI1151*Data!BK1151*Data!BL1151,"")</f>
        <v>0.60344539990221746</v>
      </c>
      <c r="AZ1151" s="70">
        <f t="shared" si="655"/>
        <v>11.876396128071482</v>
      </c>
      <c r="BA1151" s="70"/>
      <c r="BB1151" s="70"/>
      <c r="BC1151" s="70">
        <f t="shared" si="656"/>
        <v>21.075483624298926</v>
      </c>
      <c r="BD1151" s="70">
        <f t="shared" si="657"/>
        <v>0.7802882618005178</v>
      </c>
      <c r="BE1151" s="70">
        <f t="shared" si="658"/>
        <v>1</v>
      </c>
      <c r="BF1151" s="70">
        <f t="shared" si="659"/>
        <v>2.2824665920731668</v>
      </c>
      <c r="BG1151" s="70">
        <f t="shared" si="660"/>
        <v>0.50431034482758619</v>
      </c>
      <c r="BH1151" s="67">
        <f>MAX((CE1151-Driver!$F$200)/(Driver!$G$200-Driver!$F$200)*$BI$1,1)</f>
        <v>1</v>
      </c>
      <c r="BI1151" s="67">
        <f>MAX($BI$1*(BY1151-Driver!$F$201)/(Driver!$G$201-Driver!$F$201),1)</f>
        <v>6.962025316455696</v>
      </c>
      <c r="BJ1151" s="67">
        <f>(CB1151-Driver!$F$206)/(Driver!$G$206-Driver!$F$206)*$BI$1</f>
        <v>4.6031746031746028</v>
      </c>
      <c r="BK1151" s="67">
        <f>(CD1151-Driver!$F$203)/(Driver!$G$203-Driver!$F$203)*$BI$1</f>
        <v>3.8073394495412844</v>
      </c>
      <c r="BL1151" s="67">
        <f>MAX((CR1151-Driver!$F$202)/(Driver!$G$202-Driver!$F$202)*$BI$1,1)</f>
        <v>5.5172413793103452</v>
      </c>
      <c r="BM1151" s="67">
        <f>MAX((CH1151-Driver!$F$204)/(Driver!$G$204-Driver!$F$204)*$BI$1,1)</f>
        <v>2.4786324786324787</v>
      </c>
      <c r="BN1151" s="67">
        <f>(CI1151-Driver!$F$205)/(Driver!$G$205-Driver!$F$205)*$BI$1</f>
        <v>1.7058823529411766</v>
      </c>
      <c r="BO1151" s="67">
        <f>(CK1151-Driver!$F$207)/(Driver!$G$207-Driver!$F$207)*$BI$1</f>
        <v>1.0961737331954498</v>
      </c>
      <c r="BP1151" s="67">
        <f>(CM1151-Driver!$F$208)/(Driver!$G$208-Driver!$F$208)*$BI$1</f>
        <v>1.7222222222222223</v>
      </c>
      <c r="BQ1151" s="67">
        <f>(CL1151-Driver!$F$209)/(Driver!$G$209-Driver!$F$209)*$BI$1</f>
        <v>1.25</v>
      </c>
      <c r="BR1151" s="28" t="s">
        <v>155</v>
      </c>
      <c r="BS1151" s="8" t="s">
        <v>317</v>
      </c>
      <c r="BT1151" s="9" t="s">
        <v>449</v>
      </c>
      <c r="BU1151" s="10">
        <v>157</v>
      </c>
      <c r="BV1151" s="9" t="s">
        <v>158</v>
      </c>
      <c r="BW1151" s="10">
        <v>157</v>
      </c>
      <c r="BX1151" s="10">
        <v>154.69999999999999</v>
      </c>
      <c r="BY1151" s="10">
        <v>118</v>
      </c>
      <c r="BZ1151" s="10">
        <v>128</v>
      </c>
      <c r="CA1151" s="10">
        <v>124</v>
      </c>
      <c r="CB1151" s="10">
        <v>93</v>
      </c>
      <c r="CC1151" s="10">
        <v>108</v>
      </c>
      <c r="CD1151" s="10">
        <v>17.7</v>
      </c>
      <c r="CE1151" s="10">
        <v>1072</v>
      </c>
      <c r="CF1151" s="10">
        <v>1.46</v>
      </c>
      <c r="CG1151" s="10">
        <v>1566</v>
      </c>
      <c r="CH1151" s="10">
        <v>159</v>
      </c>
      <c r="CI1151" s="10">
        <v>62</v>
      </c>
      <c r="CJ1151" s="10">
        <v>57</v>
      </c>
      <c r="CK1151" s="10">
        <v>216</v>
      </c>
      <c r="CL1151" s="10">
        <v>8</v>
      </c>
      <c r="CM1151" s="10">
        <v>155</v>
      </c>
      <c r="CN1151" s="10">
        <v>0.14599999999999999</v>
      </c>
      <c r="CO1151" s="10">
        <v>132</v>
      </c>
      <c r="CP1151" s="10">
        <v>132</v>
      </c>
      <c r="CQ1151" s="10">
        <v>85</v>
      </c>
      <c r="CR1151" s="10">
        <v>5</v>
      </c>
      <c r="CS1151" s="10">
        <v>10.199999999999999</v>
      </c>
      <c r="CT1151" s="9" t="s">
        <v>185</v>
      </c>
      <c r="CU1151" s="9" t="s">
        <v>198</v>
      </c>
      <c r="CV1151" s="10"/>
      <c r="CW1151" s="10"/>
      <c r="CX1151" t="str">
        <f>INDEX('Data_Price '!AG$2:AG$1266,MATCH(Data!$DN1151,'Data_Price '!$AT$2:$AT$1266,0))</f>
        <v>2022 Blizzard Zero G 95 Skis w/ Marker Kingpin 13 Binding - Light Blue - 157| Ski Essentials</v>
      </c>
      <c r="CY1151" t="str">
        <f>INDEX('Data_Price '!AH$2:AH$1266,MATCH(Data!$DN1151,'Data_Price '!$AT$2:$AT$1266,0))</f>
        <v>SkiEssentials.com</v>
      </c>
      <c r="CZ1151">
        <f>INDEX('Data_Price '!AI$2:AI$1266,MATCH(Data!$DN1151,'Data_Price '!$AT$2:$AT$1266,0))</f>
        <v>1050</v>
      </c>
      <c r="DA1151" t="str">
        <f>INDEX('Data_Price '!AJ$2:AJ$1266,MATCH(Data!$DN1151,'Data_Price '!$AT$2:$AT$1266,0))</f>
        <v>https://tinyurl.com/ydamkdez</v>
      </c>
      <c r="DB1151" t="str">
        <f>INDEX('Data_Price '!AK$2:AK$1266,MATCH(Data!$DN1151,'Data_Price '!$AT$2:$AT$1266,0))</f>
        <v>Blizzard Zero G 95 Ski - 2022 Light Blue, 157cm</v>
      </c>
      <c r="DC1151" t="str">
        <f>INDEX('Data_Price '!AL$2:AL$1266,MATCH(Data!$DN1151,'Data_Price '!$AT$2:$AT$1266,0))</f>
        <v>AlpineShopVT.com</v>
      </c>
      <c r="DD1151">
        <f>INDEX('Data_Price '!AM$2:AM$1266,MATCH(Data!$DN1151,'Data_Price '!$AT$2:$AT$1266,0))</f>
        <v>559.95000000000005</v>
      </c>
      <c r="DE1151" t="str">
        <f>INDEX('Data_Price '!AN$2:AN$1266,MATCH(Data!$DN1151,'Data_Price '!$AT$2:$AT$1266,0))</f>
        <v>https://tinyurl.com/y8824oww</v>
      </c>
      <c r="DF1151" t="str">
        <f>INDEX('Data_Price '!AO$2:AO$1266,MATCH(Data!$DN1151,'Data_Price '!$AT$2:$AT$1266,0))</f>
        <v>Blizzard Zero G 95 Ski - 2022 Light Blue, 157cm</v>
      </c>
      <c r="DG1151" t="str">
        <f>INDEX('Data_Price '!AP$2:AP$1266,MATCH(Data!$DN1151,'Data_Price '!$AT$2:$AT$1266,0))</f>
        <v>Stowesports.com</v>
      </c>
      <c r="DH1151">
        <f>INDEX('Data_Price '!AQ$2:AQ$1266,MATCH(Data!$DN1151,'Data_Price '!$AT$2:$AT$1266,0))</f>
        <v>559.95000000000005</v>
      </c>
      <c r="DI1151" t="str">
        <f>INDEX('Data_Price '!AR$2:AR$1266,MATCH(Data!$DN1151,'Data_Price '!$AT$2:$AT$1266,0))</f>
        <v>https://tinyurl.com/ydb3p8hy</v>
      </c>
      <c r="DJ1151" s="89" t="str">
        <f t="shared" si="661"/>
        <v>https://tinyurl.com/ydamkdez</v>
      </c>
      <c r="DK1151" s="89" t="str">
        <f t="shared" si="662"/>
        <v>https://tinyurl.com/y8824oww</v>
      </c>
      <c r="DL1151" s="89" t="str">
        <f t="shared" si="663"/>
        <v>https://tinyurl.com/ydb3p8hy</v>
      </c>
      <c r="DM1151" s="219" t="str">
        <f t="shared" si="664"/>
        <v>Zero G 95</v>
      </c>
      <c r="DN1151" s="89" t="str">
        <f t="shared" si="665"/>
        <v xml:space="preserve"> BlizzardZero G 95157 Unisex</v>
      </c>
      <c r="DO1151" s="221" t="s">
        <v>450</v>
      </c>
    </row>
    <row r="1152" spans="2:119" ht="15.6" customHeight="1">
      <c r="B1152" s="219" t="b">
        <f t="array" ref="B1152">IF(OR(ISERROR(K1152:P1152)),FALSE,TRUE)</f>
        <v>1</v>
      </c>
      <c r="C1152" s="43" t="b">
        <f>OR(BR1152=Driver!$G$50,Data!BR1024=Driver!$H$50)</f>
        <v>1</v>
      </c>
      <c r="D1152" s="43" t="b">
        <f>OR(BV1152=Driver!$G$51,BV1152=Driver!$H$51)</f>
        <v>1</v>
      </c>
      <c r="E1152" s="43" t="b">
        <f>AND(BX1152&gt;Driver!$F$54,BX1152&lt;Driver!$G$54)</f>
        <v>0</v>
      </c>
      <c r="F1152" s="43" t="b">
        <f>CL1152&gt;Driver!$F$56</f>
        <v>1</v>
      </c>
      <c r="G1152" s="43" t="b">
        <f>AND(CB1152&gt;Driver!$F$55,CB1152&lt;Driver!$G$55)</f>
        <v>0</v>
      </c>
      <c r="H1152" s="43" t="b">
        <f t="shared" si="629"/>
        <v>0</v>
      </c>
      <c r="I1152" s="43">
        <f t="shared" si="630"/>
        <v>0</v>
      </c>
      <c r="J1152" s="43" t="b">
        <f t="array" ref="J1152">NOT(OR(($H$9:$H$1273=TRUE)*($I$9:$I$1273&gt;0)*($BT$9:$BT$1273=BT1152)*($K$9:$K$1273&gt;K1152)))</f>
        <v>1</v>
      </c>
      <c r="K1152" s="72">
        <f t="shared" si="631"/>
        <v>0.71206620502483997</v>
      </c>
      <c r="L1152" s="72">
        <f t="shared" si="632"/>
        <v>0.81297904370255458</v>
      </c>
      <c r="M1152" s="72">
        <f t="shared" si="633"/>
        <v>0.61115336634712536</v>
      </c>
      <c r="N1152" s="72">
        <f t="shared" si="634"/>
        <v>0.53677282031208096</v>
      </c>
      <c r="O1152" s="72">
        <f t="shared" si="635"/>
        <v>0.61330120277992806</v>
      </c>
      <c r="P1152" s="72">
        <f t="shared" si="636"/>
        <v>0.68338607594936707</v>
      </c>
      <c r="Q1152" s="72"/>
      <c r="R1152" s="72"/>
      <c r="S1152" s="72">
        <f t="shared" si="637"/>
        <v>0.65815241154084902</v>
      </c>
      <c r="T1152" s="72">
        <f t="shared" si="638"/>
        <v>0.55000000000000004</v>
      </c>
      <c r="U1152" s="72">
        <f t="shared" si="639"/>
        <v>0.51</v>
      </c>
      <c r="V1152" s="72">
        <f t="shared" si="640"/>
        <v>0.49098594096973325</v>
      </c>
      <c r="W1152" s="72">
        <f t="shared" si="641"/>
        <v>0.75570862299870112</v>
      </c>
      <c r="X1152" s="72">
        <f t="shared" si="642"/>
        <v>0.18702095629744542</v>
      </c>
      <c r="Y1152" s="72">
        <f t="shared" si="643"/>
        <v>0.38884663365287464</v>
      </c>
      <c r="Z1152" s="72">
        <f t="shared" si="644"/>
        <v>0.46322717968791904</v>
      </c>
      <c r="AA1152" s="72">
        <f t="shared" si="645"/>
        <v>0.38669879722007189</v>
      </c>
      <c r="AB1152" s="72">
        <f t="shared" si="646"/>
        <v>0.31661392405063288</v>
      </c>
      <c r="AC1152" s="72"/>
      <c r="AD1152" s="72"/>
      <c r="AE1152" s="72">
        <f t="shared" si="647"/>
        <v>0.34184758845915092</v>
      </c>
      <c r="AF1152" s="72">
        <f t="shared" si="648"/>
        <v>0.44999999999999996</v>
      </c>
      <c r="AG1152" s="72">
        <f t="shared" si="649"/>
        <v>0.49</v>
      </c>
      <c r="AH1152" s="72">
        <f t="shared" si="650"/>
        <v>0.50901405903026675</v>
      </c>
      <c r="AI1152" s="72">
        <f t="shared" si="651"/>
        <v>0.24429137700129888</v>
      </c>
      <c r="AJ1152" s="72">
        <f>(AV1152-Driver!$K$179)/(Driver!$L$179-Driver!$K$179)</f>
        <v>6.7198452985255008E-2</v>
      </c>
      <c r="AK1152" s="72">
        <f>(AW1152-Driver!$K$180)/(Driver!$L$180-Driver!$K$180)</f>
        <v>0.57780232447886071</v>
      </c>
      <c r="AL1152" s="72">
        <f>(AX1152-Driver!$K$181)/(Driver!$L$181-Driver!$K$181)</f>
        <v>0.56491494340099924</v>
      </c>
      <c r="AM1152" s="72">
        <f>(AY1152-Driver!$K$182)/(Driver!$L$182-Driver!$K$182)</f>
        <v>6.0686223876974484E-2</v>
      </c>
      <c r="AN1152" s="72">
        <f>(AZ1152-Driver!$K$183)/(Driver!$L$183-Driver!$K$183)</f>
        <v>0.5708333333333333</v>
      </c>
      <c r="AO1152" s="72"/>
      <c r="AP1152" s="72"/>
      <c r="AQ1152" s="72">
        <f>(BC1152-Driver!$K$188)/(Driver!$L$188-Driver!$K$188)</f>
        <v>0.27815241154084908</v>
      </c>
      <c r="AR1152" s="72">
        <f>MIN((BD1152-Driver!$K$189)/(Driver!$L$189-Driver!$K$189),100%)</f>
        <v>1</v>
      </c>
      <c r="AS1152" s="72">
        <f>(BE1152-Driver!$K$190)/(Driver!$L$190-Driver!$K$190)</f>
        <v>1</v>
      </c>
      <c r="AT1152" s="72">
        <f>(BF1152-Driver!$K$191)/(Driver!$L$191-Driver!$K$191)</f>
        <v>9.859409697332113E-4</v>
      </c>
      <c r="AU1152" s="72">
        <f>(BG1152-Driver!$K$192)/(Driver!$L$192-Driver!$K$192)</f>
        <v>5.7086229987011322E-3</v>
      </c>
      <c r="AV1152" s="70">
        <f t="shared" si="652"/>
        <v>1.4143264143264143</v>
      </c>
      <c r="AW1152" s="70">
        <f t="shared" si="653"/>
        <v>58.183848991352193</v>
      </c>
      <c r="AX1152" s="70">
        <f t="shared" si="654"/>
        <v>6.0842344906089929</v>
      </c>
      <c r="AY1152" s="70">
        <f>IFERROR(Driver!$K$19/Data!BH1152/Data!BI1152*Data!BK1152*Data!BL1152,"")</f>
        <v>7.429804504700202E-2</v>
      </c>
      <c r="AZ1152" s="70">
        <f t="shared" si="655"/>
        <v>52.025316455696199</v>
      </c>
      <c r="BA1152" s="70"/>
      <c r="BB1152" s="70"/>
      <c r="BC1152" s="70">
        <f t="shared" si="656"/>
        <v>144.27958955043218</v>
      </c>
      <c r="BD1152" s="70">
        <f t="shared" si="657"/>
        <v>101.53597989465507</v>
      </c>
      <c r="BE1152" s="70">
        <f t="shared" si="658"/>
        <v>1</v>
      </c>
      <c r="BF1152" s="70">
        <f t="shared" si="659"/>
        <v>0.11135510590403407</v>
      </c>
      <c r="BG1152" s="70">
        <f t="shared" si="660"/>
        <v>2.1616488380857522E-2</v>
      </c>
      <c r="BH1152" s="67">
        <f>MAX((CE1152-Driver!$F$200)/(Driver!$G$200-Driver!$F$200)*$BI$1,1)</f>
        <v>6.0842344906089929</v>
      </c>
      <c r="BI1152" s="67">
        <f>MAX($BI$1*(BY1152-Driver!$F$201)/(Driver!$G$201-Driver!$F$201),1)</f>
        <v>8.6708860759493671</v>
      </c>
      <c r="BJ1152" s="67">
        <f>(CB1152-Driver!$F$206)/(Driver!$G$206-Driver!$F$206)*$BI$1</f>
        <v>0.95238095238095233</v>
      </c>
      <c r="BK1152" s="67">
        <f>(CD1152-Driver!$F$203)/(Driver!$G$203-Driver!$F$203)*$BI$1</f>
        <v>2.7064220183486243</v>
      </c>
      <c r="BL1152" s="67">
        <f>MAX((CR1152-Driver!$F$202)/(Driver!$G$202-Driver!$F$202)*$BI$1,1)</f>
        <v>7.2413793103448274</v>
      </c>
      <c r="BM1152" s="67">
        <f>MAX((CH1152-Driver!$F$204)/(Driver!$G$204-Driver!$F$204)*$BI$1,1)</f>
        <v>5.9401709401709404</v>
      </c>
      <c r="BN1152" s="67">
        <f>(CI1152-Driver!$F$205)/(Driver!$G$205-Driver!$F$205)*$BI$1</f>
        <v>6</v>
      </c>
      <c r="BO1152" s="67">
        <f>(CK1152-Driver!$F$207)/(Driver!$G$207-Driver!$F$207)*$BI$1</f>
        <v>0.52740434332988628</v>
      </c>
      <c r="BP1152" s="67">
        <f>(CM1152-Driver!$F$208)/(Driver!$G$208-Driver!$F$208)*$BI$1</f>
        <v>0.6</v>
      </c>
      <c r="BQ1152" s="67">
        <f>(CL1152-Driver!$F$209)/(Driver!$G$209-Driver!$F$209)*$BI$1</f>
        <v>0.78125</v>
      </c>
      <c r="BR1152" s="28" t="s">
        <v>155</v>
      </c>
      <c r="BS1152" s="8" t="s">
        <v>172</v>
      </c>
      <c r="BT1152" s="9" t="s">
        <v>871</v>
      </c>
      <c r="BU1152" s="10">
        <v>167</v>
      </c>
      <c r="BV1152" s="9" t="s">
        <v>158</v>
      </c>
      <c r="BW1152" s="10">
        <v>167</v>
      </c>
      <c r="BX1152" s="10">
        <v>166.3</v>
      </c>
      <c r="BY1152" s="10">
        <v>145</v>
      </c>
      <c r="BZ1152" s="10">
        <v>155</v>
      </c>
      <c r="CA1152" s="10">
        <v>118</v>
      </c>
      <c r="CB1152" s="10">
        <v>70</v>
      </c>
      <c r="CC1152" s="10">
        <v>100</v>
      </c>
      <c r="CD1152" s="10">
        <v>15.3</v>
      </c>
      <c r="CE1152" s="10">
        <v>1969</v>
      </c>
      <c r="CF1152" s="10">
        <v>0.71</v>
      </c>
      <c r="CG1152" s="10">
        <v>1398</v>
      </c>
      <c r="CH1152" s="10">
        <v>240</v>
      </c>
      <c r="CI1152" s="10">
        <v>135</v>
      </c>
      <c r="CJ1152" s="10">
        <v>42</v>
      </c>
      <c r="CK1152" s="10">
        <v>161</v>
      </c>
      <c r="CL1152" s="10">
        <v>5</v>
      </c>
      <c r="CM1152" s="10">
        <v>54</v>
      </c>
      <c r="CN1152" s="10">
        <v>0.11799999999999999</v>
      </c>
      <c r="CO1152" s="10">
        <v>69</v>
      </c>
      <c r="CP1152" s="10">
        <v>41</v>
      </c>
      <c r="CQ1152" s="10">
        <v>93</v>
      </c>
      <c r="CR1152" s="10">
        <v>10</v>
      </c>
      <c r="CS1152" s="10">
        <v>11.1</v>
      </c>
      <c r="CT1152" s="9" t="s">
        <v>349</v>
      </c>
      <c r="CU1152" s="10"/>
      <c r="CV1152" s="10"/>
      <c r="CW1152" s="10"/>
      <c r="CX1152" t="str">
        <f>INDEX('Data_Price '!AG$2:AG$1266,MATCH(Data!$DN1152,'Data_Price '!$AT$2:$AT$1266,0))</f>
        <v>Rossignol Hero Elite St Ti + SPX 14 Konect 21/22</v>
      </c>
      <c r="CY1152" t="str">
        <f>INDEX('Data_Price '!AH$2:AH$1266,MATCH(Data!$DN1152,'Data_Price '!$AT$2:$AT$1266,0))</f>
        <v>Rossignol US</v>
      </c>
      <c r="CZ1152">
        <f>INDEX('Data_Price '!AI$2:AI$1266,MATCH(Data!$DN1152,'Data_Price '!$AT$2:$AT$1266,0))</f>
        <v>1099.95</v>
      </c>
      <c r="DA1152" t="str">
        <f>INDEX('Data_Price '!AJ$2:AJ$1266,MATCH(Data!$DN1152,'Data_Price '!$AT$2:$AT$1266,0))</f>
        <v>https://tinyurl.com/yb8jtm3z</v>
      </c>
      <c r="DB1152" t="str">
        <f>INDEX('Data_Price '!AK$2:AK$1266,MATCH(Data!$DN1152,'Data_Price '!$AT$2:$AT$1266,0))</f>
        <v>Rossignol Hero Elite LT Ti + SPX 14 Konect 21/22</v>
      </c>
      <c r="DC1152" t="str">
        <f>INDEX('Data_Price '!AL$2:AL$1266,MATCH(Data!$DN1152,'Data_Price '!$AT$2:$AT$1266,0))</f>
        <v>Snowcountry.eu</v>
      </c>
      <c r="DD1152">
        <f>INDEX('Data_Price '!AM$2:AM$1266,MATCH(Data!$DN1152,'Data_Price '!$AT$2:$AT$1266,0))</f>
        <v>506.08</v>
      </c>
      <c r="DE1152" t="str">
        <f>INDEX('Data_Price '!AN$2:AN$1266,MATCH(Data!$DN1152,'Data_Price '!$AT$2:$AT$1266,0))</f>
        <v>https://tinyurl.com/y9a9syqr</v>
      </c>
      <c r="DF1152" t="str">
        <f>INDEX('Data_Price '!AO$2:AO$1266,MATCH(Data!$DN1152,'Data_Price '!$AT$2:$AT$1266,0))</f>
        <v>Rossignol Hero Elite St Ti 167cm 13m Radius Spx 12 Binding</v>
      </c>
      <c r="DG1152" t="str">
        <f>INDEX('Data_Price '!AP$2:AP$1266,MATCH(Data!$DN1152,'Data_Price '!$AT$2:$AT$1266,0))</f>
        <v>eBay</v>
      </c>
      <c r="DH1152">
        <f>INDEX('Data_Price '!AQ$2:AQ$1266,MATCH(Data!$DN1152,'Data_Price '!$AT$2:$AT$1266,0))</f>
        <v>575</v>
      </c>
      <c r="DI1152" t="str">
        <f>INDEX('Data_Price '!AR$2:AR$1266,MATCH(Data!$DN1152,'Data_Price '!$AT$2:$AT$1266,0))</f>
        <v>https://tinyurl.com/ycqdagyx</v>
      </c>
      <c r="DJ1152" s="89" t="str">
        <f t="shared" si="661"/>
        <v>https://tinyurl.com/yb8jtm3z</v>
      </c>
      <c r="DK1152" s="89" t="str">
        <f t="shared" si="662"/>
        <v>https://tinyurl.com/y9a9syqr</v>
      </c>
      <c r="DL1152" s="89" t="str">
        <f t="shared" si="663"/>
        <v>https://tinyurl.com/ycqdagyx</v>
      </c>
      <c r="DM1152" s="219" t="str">
        <f t="shared" si="664"/>
        <v>Hero Elite Long Turn Ti</v>
      </c>
      <c r="DN1152" s="89" t="str">
        <f t="shared" si="665"/>
        <v xml:space="preserve"> RossignolHero Elite Long Turn Ti167 Unisex</v>
      </c>
      <c r="DO1152" s="221"/>
    </row>
    <row r="1153" spans="2:119" ht="15.6" customHeight="1">
      <c r="B1153" s="219" t="b">
        <f t="array" ref="B1153">IF(OR(ISERROR(K1153:P1153)),FALSE,TRUE)</f>
        <v>1</v>
      </c>
      <c r="C1153" s="43" t="b">
        <f>OR(BR1153=Driver!$G$50,Data!BR1227=Driver!$H$50)</f>
        <v>1</v>
      </c>
      <c r="D1153" s="43" t="b">
        <f>OR(BV1153=Driver!$G$51,BV1153=Driver!$H$51)</f>
        <v>1</v>
      </c>
      <c r="E1153" s="43" t="b">
        <f>AND(BX1153&gt;Driver!$F$54,BX1153&lt;Driver!$G$54)</f>
        <v>0</v>
      </c>
      <c r="F1153" s="43" t="b">
        <f>CL1153&gt;Driver!$F$56</f>
        <v>1</v>
      </c>
      <c r="G1153" s="43" t="b">
        <f>AND(CB1153&gt;Driver!$F$55,CB1153&lt;Driver!$G$55)</f>
        <v>0</v>
      </c>
      <c r="H1153" s="43" t="b">
        <f t="shared" si="629"/>
        <v>0</v>
      </c>
      <c r="I1153" s="43">
        <f t="shared" si="630"/>
        <v>0</v>
      </c>
      <c r="J1153" s="43" t="b">
        <f t="array" ref="J1153">NOT(OR(($H$9:$H$1273=TRUE)*($I$9:$I$1273&gt;0)*($BT$9:$BT$1273=BT1153)*($K$9:$K$1273&gt;K1153)))</f>
        <v>1</v>
      </c>
      <c r="K1153" s="72">
        <f t="shared" si="631"/>
        <v>0.73835752944798871</v>
      </c>
      <c r="L1153" s="72">
        <f t="shared" si="632"/>
        <v>0.90952518641588875</v>
      </c>
      <c r="M1153" s="72">
        <f t="shared" si="633"/>
        <v>0.56718987248008856</v>
      </c>
      <c r="N1153" s="72">
        <f t="shared" si="634"/>
        <v>0.44001698650445431</v>
      </c>
      <c r="O1153" s="72">
        <f t="shared" si="635"/>
        <v>0.64066655498644454</v>
      </c>
      <c r="P1153" s="72">
        <f t="shared" si="636"/>
        <v>0.62088607594936707</v>
      </c>
      <c r="Q1153" s="72"/>
      <c r="R1153" s="72"/>
      <c r="S1153" s="72">
        <f t="shared" si="637"/>
        <v>0.65614034495181717</v>
      </c>
      <c r="T1153" s="72">
        <f t="shared" si="638"/>
        <v>0.5308627192216484</v>
      </c>
      <c r="U1153" s="72">
        <f t="shared" si="639"/>
        <v>0.72056441298254037</v>
      </c>
      <c r="V1153" s="72">
        <f t="shared" si="640"/>
        <v>0.50811580014431001</v>
      </c>
      <c r="W1153" s="72">
        <f t="shared" si="641"/>
        <v>0.76509019426456981</v>
      </c>
      <c r="X1153" s="72">
        <f t="shared" si="642"/>
        <v>9.0474813584111247E-2</v>
      </c>
      <c r="Y1153" s="72">
        <f t="shared" si="643"/>
        <v>0.43281012751991138</v>
      </c>
      <c r="Z1153" s="72">
        <f t="shared" si="644"/>
        <v>0.55998301349554569</v>
      </c>
      <c r="AA1153" s="72">
        <f t="shared" si="645"/>
        <v>0.35933344501355541</v>
      </c>
      <c r="AB1153" s="72">
        <f t="shared" si="646"/>
        <v>0.37911392405063288</v>
      </c>
      <c r="AC1153" s="72"/>
      <c r="AD1153" s="72"/>
      <c r="AE1153" s="72">
        <f t="shared" si="647"/>
        <v>0.34385965504818283</v>
      </c>
      <c r="AF1153" s="72">
        <f t="shared" si="648"/>
        <v>0.4691372807783516</v>
      </c>
      <c r="AG1153" s="72">
        <f t="shared" si="649"/>
        <v>0.27943558701745963</v>
      </c>
      <c r="AH1153" s="72">
        <f t="shared" si="650"/>
        <v>0.49188419985568999</v>
      </c>
      <c r="AI1153" s="72">
        <f t="shared" si="651"/>
        <v>0.23490980573543016</v>
      </c>
      <c r="AJ1153" s="72">
        <f>(AV1153-Driver!$K$179)/(Driver!$L$179-Driver!$K$179)</f>
        <v>0.34469422286681167</v>
      </c>
      <c r="AK1153" s="72">
        <f>(AW1153-Driver!$K$180)/(Driver!$L$180-Driver!$K$180)</f>
        <v>0.64552842276278644</v>
      </c>
      <c r="AL1153" s="72">
        <f>(AX1153-Driver!$K$181)/(Driver!$L$181-Driver!$K$181)</f>
        <v>0.66167077720862588</v>
      </c>
      <c r="AM1153" s="72">
        <f>(AY1153-Driver!$K$182)/(Driver!$L$182-Driver!$K$182)</f>
        <v>8.8051576083490971E-2</v>
      </c>
      <c r="AN1153" s="72">
        <f>(AZ1153-Driver!$K$183)/(Driver!$L$183-Driver!$K$183)</f>
        <v>0.6333333333333333</v>
      </c>
      <c r="AO1153" s="72"/>
      <c r="AP1153" s="72"/>
      <c r="AQ1153" s="72">
        <f>(BC1153-Driver!$K$188)/(Driver!$L$188-Driver!$K$188)</f>
        <v>0.27614034495181716</v>
      </c>
      <c r="AR1153" s="72">
        <f>MIN((BD1153-Driver!$K$189)/(Driver!$L$189-Driver!$K$189),100%)</f>
        <v>8.0862719221648435E-2</v>
      </c>
      <c r="AS1153" s="72">
        <f>(BE1153-Driver!$K$190)/(Driver!$L$190-Driver!$K$190)</f>
        <v>0.23056441298254038</v>
      </c>
      <c r="AT1153" s="72">
        <f>(BF1153-Driver!$K$191)/(Driver!$L$191-Driver!$K$191)</f>
        <v>1.8115800144310048E-2</v>
      </c>
      <c r="AU1153" s="72">
        <f>(BG1153-Driver!$K$192)/(Driver!$L$192-Driver!$K$192)</f>
        <v>1.5090194264569841E-2</v>
      </c>
      <c r="AV1153" s="70">
        <f t="shared" si="652"/>
        <v>7.2547822547822545</v>
      </c>
      <c r="AW1153" s="70">
        <f t="shared" si="653"/>
        <v>64.78435738340022</v>
      </c>
      <c r="AX1153" s="70">
        <f t="shared" si="654"/>
        <v>6.9550369948776325</v>
      </c>
      <c r="AY1153" s="70">
        <f>IFERROR(Driver!$K$19/Data!BH1153/Data!BI1153*Data!BK1153*Data!BL1153,"")</f>
        <v>0.10780140118081925</v>
      </c>
      <c r="AZ1153" s="70">
        <f t="shared" si="655"/>
        <v>57.721518987341767</v>
      </c>
      <c r="BA1153" s="70"/>
      <c r="BB1153" s="70"/>
      <c r="BC1153" s="70">
        <f t="shared" si="656"/>
        <v>143.23591662304131</v>
      </c>
      <c r="BD1153" s="70">
        <f t="shared" si="657"/>
        <v>8.8770302549534907</v>
      </c>
      <c r="BE1153" s="70">
        <f t="shared" si="658"/>
        <v>0.23070167163089786</v>
      </c>
      <c r="BF1153" s="70">
        <f t="shared" si="659"/>
        <v>2.0460523556007866</v>
      </c>
      <c r="BG1153" s="70">
        <f t="shared" si="660"/>
        <v>5.7141101988899164E-2</v>
      </c>
      <c r="BH1153" s="67">
        <f>MAX((CE1153-Driver!$F$200)/(Driver!$G$200-Driver!$F$200)*$BI$1,1)</f>
        <v>6.9550369948776325</v>
      </c>
      <c r="BI1153" s="67">
        <f>MAX($BI$1*(BY1153-Driver!$F$201)/(Driver!$G$201-Driver!$F$201),1)</f>
        <v>8.6075949367088604</v>
      </c>
      <c r="BJ1153" s="67">
        <f>(CB1153-Driver!$F$206)/(Driver!$G$206-Driver!$F$206)*$BI$1</f>
        <v>4.92063492063492</v>
      </c>
      <c r="BK1153" s="67">
        <f>(CD1153-Driver!$F$203)/(Driver!$G$203-Driver!$F$203)*$BI$1</f>
        <v>5.5045871559633035</v>
      </c>
      <c r="BL1153" s="67">
        <f>MAX((CR1153-Driver!$F$202)/(Driver!$G$202-Driver!$F$202)*$BI$1,1)</f>
        <v>5.8620689655172411</v>
      </c>
      <c r="BM1153" s="67">
        <f>MAX((CH1153-Driver!$F$204)/(Driver!$G$204-Driver!$F$204)*$BI$1,1)</f>
        <v>5.8974358974358978</v>
      </c>
      <c r="BN1153" s="67">
        <f>(CI1153-Driver!$F$205)/(Driver!$G$205-Driver!$F$205)*$BI$1</f>
        <v>6.7058823529411757</v>
      </c>
      <c r="BO1153" s="67">
        <f>(CK1153-Driver!$F$207)/(Driver!$G$207-Driver!$F$207)*$BI$1</f>
        <v>1.2409513960703205</v>
      </c>
      <c r="BP1153" s="67">
        <f>(CM1153-Driver!$F$208)/(Driver!$G$208-Driver!$F$208)*$BI$1</f>
        <v>1.8444444444444443</v>
      </c>
      <c r="BQ1153" s="67">
        <f>(CL1153-Driver!$F$209)/(Driver!$G$209-Driver!$F$209)*$BI$1</f>
        <v>2.34375</v>
      </c>
      <c r="BR1153" s="28" t="s">
        <v>155</v>
      </c>
      <c r="BS1153" s="8" t="s">
        <v>229</v>
      </c>
      <c r="BT1153" s="9" t="s">
        <v>820</v>
      </c>
      <c r="BU1153" s="10">
        <v>184</v>
      </c>
      <c r="BV1153" s="9" t="s">
        <v>158</v>
      </c>
      <c r="BW1153" s="10">
        <v>184</v>
      </c>
      <c r="BX1153" s="10">
        <v>183.9</v>
      </c>
      <c r="BY1153" s="10">
        <v>144</v>
      </c>
      <c r="BZ1153" s="10">
        <v>160</v>
      </c>
      <c r="CA1153" s="10">
        <v>133</v>
      </c>
      <c r="CB1153" s="10">
        <v>95</v>
      </c>
      <c r="CC1153" s="10">
        <v>116</v>
      </c>
      <c r="CD1153" s="10">
        <v>21.4</v>
      </c>
      <c r="CE1153" s="10">
        <v>2122</v>
      </c>
      <c r="CF1153" s="10">
        <v>0.92</v>
      </c>
      <c r="CG1153" s="10">
        <v>1958</v>
      </c>
      <c r="CH1153" s="10">
        <v>239</v>
      </c>
      <c r="CI1153" s="10">
        <v>147</v>
      </c>
      <c r="CJ1153" s="10">
        <v>44</v>
      </c>
      <c r="CK1153" s="10">
        <v>230</v>
      </c>
      <c r="CL1153" s="10">
        <v>15</v>
      </c>
      <c r="CM1153" s="10">
        <v>166</v>
      </c>
      <c r="CN1153" s="10">
        <v>0.34699999999999998</v>
      </c>
      <c r="CO1153" s="10">
        <v>138</v>
      </c>
      <c r="CP1153" s="10">
        <v>106</v>
      </c>
      <c r="CQ1153" s="10">
        <v>92</v>
      </c>
      <c r="CR1153" s="10">
        <v>6</v>
      </c>
      <c r="CS1153" s="10">
        <v>11.2</v>
      </c>
      <c r="CT1153" s="9" t="s">
        <v>188</v>
      </c>
      <c r="CU1153" s="10"/>
      <c r="CV1153" s="10"/>
      <c r="CW1153" s="10"/>
      <c r="CX1153" t="e">
        <f>INDEX('Data_Price '!AG$2:AG$1266,MATCH(Data!$DN1153,'Data_Price '!$AT$2:$AT$1266,0))</f>
        <v>#N/A</v>
      </c>
      <c r="CY1153" t="e">
        <f>INDEX('Data_Price '!AH$2:AH$1266,MATCH(Data!$DN1153,'Data_Price '!$AT$2:$AT$1266,0))</f>
        <v>#N/A</v>
      </c>
      <c r="CZ1153" t="e">
        <f>INDEX('Data_Price '!AI$2:AI$1266,MATCH(Data!$DN1153,'Data_Price '!$AT$2:$AT$1266,0))</f>
        <v>#N/A</v>
      </c>
      <c r="DA1153" t="e">
        <f>INDEX('Data_Price '!AJ$2:AJ$1266,MATCH(Data!$DN1153,'Data_Price '!$AT$2:$AT$1266,0))</f>
        <v>#N/A</v>
      </c>
      <c r="DB1153" t="e">
        <f>INDEX('Data_Price '!AK$2:AK$1266,MATCH(Data!$DN1153,'Data_Price '!$AT$2:$AT$1266,0))</f>
        <v>#N/A</v>
      </c>
      <c r="DC1153" t="e">
        <f>INDEX('Data_Price '!AL$2:AL$1266,MATCH(Data!$DN1153,'Data_Price '!$AT$2:$AT$1266,0))</f>
        <v>#N/A</v>
      </c>
      <c r="DD1153" t="e">
        <f>INDEX('Data_Price '!AM$2:AM$1266,MATCH(Data!$DN1153,'Data_Price '!$AT$2:$AT$1266,0))</f>
        <v>#N/A</v>
      </c>
      <c r="DE1153" t="e">
        <f>INDEX('Data_Price '!AN$2:AN$1266,MATCH(Data!$DN1153,'Data_Price '!$AT$2:$AT$1266,0))</f>
        <v>#N/A</v>
      </c>
      <c r="DF1153" t="e">
        <f>INDEX('Data_Price '!AO$2:AO$1266,MATCH(Data!$DN1153,'Data_Price '!$AT$2:$AT$1266,0))</f>
        <v>#N/A</v>
      </c>
      <c r="DG1153" t="e">
        <f>INDEX('Data_Price '!AP$2:AP$1266,MATCH(Data!$DN1153,'Data_Price '!$AT$2:$AT$1266,0))</f>
        <v>#N/A</v>
      </c>
      <c r="DH1153" t="e">
        <f>INDEX('Data_Price '!AQ$2:AQ$1266,MATCH(Data!$DN1153,'Data_Price '!$AT$2:$AT$1266,0))</f>
        <v>#N/A</v>
      </c>
      <c r="DI1153" t="e">
        <f>INDEX('Data_Price '!AR$2:AR$1266,MATCH(Data!$DN1153,'Data_Price '!$AT$2:$AT$1266,0))</f>
        <v>#N/A</v>
      </c>
      <c r="DJ1153" s="89" t="e">
        <f t="shared" si="661"/>
        <v>#N/A</v>
      </c>
      <c r="DK1153" s="89" t="e">
        <f t="shared" si="662"/>
        <v>#N/A</v>
      </c>
      <c r="DL1153" s="89" t="e">
        <f t="shared" si="663"/>
        <v>#N/A</v>
      </c>
      <c r="DM1153" s="219" t="str">
        <f t="shared" si="664"/>
        <v>Mantra M5</v>
      </c>
      <c r="DN1153" s="89" t="str">
        <f t="shared" si="665"/>
        <v xml:space="preserve"> VölklMantra M5184 Unisex</v>
      </c>
      <c r="DO1153" s="221"/>
    </row>
    <row r="1154" spans="2:119" ht="15.6" customHeight="1">
      <c r="B1154" s="219" t="b">
        <f t="array" ref="B1154">IF(OR(ISERROR(K1154:P1154)),FALSE,TRUE)</f>
        <v>1</v>
      </c>
      <c r="C1154" s="43" t="b">
        <f>OR(BR1154=Driver!$G$50,Data!BR991=Driver!$H$50)</f>
        <v>1</v>
      </c>
      <c r="D1154" s="43" t="b">
        <f>OR(BV1154=Driver!$G$51,BV1154=Driver!$H$51)</f>
        <v>1</v>
      </c>
      <c r="E1154" s="43" t="b">
        <f>AND(BX1154&gt;Driver!$F$54,BX1154&lt;Driver!$G$54)</f>
        <v>0</v>
      </c>
      <c r="F1154" s="43" t="b">
        <f>CL1154&gt;Driver!$F$56</f>
        <v>1</v>
      </c>
      <c r="G1154" s="43" t="b">
        <f>AND(CB1154&gt;Driver!$F$55,CB1154&lt;Driver!$G$55)</f>
        <v>0</v>
      </c>
      <c r="H1154" s="43" t="b">
        <f t="shared" si="629"/>
        <v>0</v>
      </c>
      <c r="I1154" s="43">
        <f t="shared" si="630"/>
        <v>0</v>
      </c>
      <c r="J1154" s="43" t="b">
        <f t="array" ref="J1154">NOT(OR(($H$9:$H$1273=TRUE)*($I$9:$I$1273&gt;0)*($BT$9:$BT$1273=BT1154)*($K$9:$K$1273&gt;K1154)))</f>
        <v>1</v>
      </c>
      <c r="K1154" s="72">
        <f t="shared" si="631"/>
        <v>0.82428582101147052</v>
      </c>
      <c r="L1154" s="72">
        <f t="shared" si="632"/>
        <v>0.83642598593122264</v>
      </c>
      <c r="M1154" s="72">
        <f t="shared" si="633"/>
        <v>0.8121456560917184</v>
      </c>
      <c r="N1154" s="72">
        <f t="shared" si="634"/>
        <v>0.93138484839024449</v>
      </c>
      <c r="O1154" s="72">
        <f t="shared" si="635"/>
        <v>0.68468002589963728</v>
      </c>
      <c r="P1154" s="72">
        <f t="shared" si="636"/>
        <v>0.82037209398527344</v>
      </c>
      <c r="Q1154" s="72"/>
      <c r="R1154" s="72"/>
      <c r="S1154" s="72">
        <f t="shared" si="637"/>
        <v>0.39207192321481765</v>
      </c>
      <c r="T1154" s="72">
        <f t="shared" si="638"/>
        <v>0.47486493200902757</v>
      </c>
      <c r="U1154" s="72">
        <f t="shared" si="639"/>
        <v>0.60071986163426505</v>
      </c>
      <c r="V1154" s="72">
        <f t="shared" si="640"/>
        <v>0.56163943508292058</v>
      </c>
      <c r="W1154" s="72">
        <f t="shared" si="641"/>
        <v>0.97889887640449436</v>
      </c>
      <c r="X1154" s="72">
        <f t="shared" si="642"/>
        <v>0.16357401406877731</v>
      </c>
      <c r="Y1154" s="72">
        <f t="shared" si="643"/>
        <v>0.1878543439082816</v>
      </c>
      <c r="Z1154" s="72">
        <f t="shared" si="644"/>
        <v>6.8615151609755468E-2</v>
      </c>
      <c r="AA1154" s="72">
        <f t="shared" si="645"/>
        <v>0.31531997410036272</v>
      </c>
      <c r="AB1154" s="72">
        <f t="shared" si="646"/>
        <v>0.17962790601472656</v>
      </c>
      <c r="AC1154" s="72"/>
      <c r="AD1154" s="72"/>
      <c r="AE1154" s="72">
        <f t="shared" si="647"/>
        <v>0.60792807678518235</v>
      </c>
      <c r="AF1154" s="72">
        <f t="shared" si="648"/>
        <v>0.52513506799097243</v>
      </c>
      <c r="AG1154" s="72">
        <f t="shared" si="649"/>
        <v>0.399280138365735</v>
      </c>
      <c r="AH1154" s="72">
        <f t="shared" si="650"/>
        <v>0.43836056491707942</v>
      </c>
      <c r="AI1154" s="72">
        <f t="shared" si="651"/>
        <v>2.1101123595505589E-2</v>
      </c>
      <c r="AJ1154" s="72">
        <f>(AV1154-Driver!$K$179)/(Driver!$L$179-Driver!$K$179)</f>
        <v>9.0645395213923119E-2</v>
      </c>
      <c r="AK1154" s="72">
        <f>(AW1154-Driver!$K$180)/(Driver!$L$180-Driver!$K$180)</f>
        <v>7.8194363487956012E-2</v>
      </c>
      <c r="AL1154" s="72">
        <f>(AX1154-Driver!$K$181)/(Driver!$L$181-Driver!$K$181)</f>
        <v>0.17030291532283565</v>
      </c>
      <c r="AM1154" s="72">
        <f>(AY1154-Driver!$K$182)/(Driver!$L$182-Driver!$K$182)</f>
        <v>0.13206504699668364</v>
      </c>
      <c r="AN1154" s="72">
        <f>(AZ1154-Driver!$K$183)/(Driver!$L$183-Driver!$K$183)</f>
        <v>7.4591503267973855E-2</v>
      </c>
      <c r="AO1154" s="72"/>
      <c r="AP1154" s="72"/>
      <c r="AQ1154" s="72">
        <f>(BC1154-Driver!$K$188)/(Driver!$L$188-Driver!$K$188)</f>
        <v>1.2071923214817639E-2</v>
      </c>
      <c r="AR1154" s="72">
        <f>MIN((BD1154-Driver!$K$189)/(Driver!$L$189-Driver!$K$189),100%)</f>
        <v>2.486493200902757E-2</v>
      </c>
      <c r="AS1154" s="72">
        <f>(BE1154-Driver!$K$190)/(Driver!$L$190-Driver!$K$190)</f>
        <v>0.11071986163426499</v>
      </c>
      <c r="AT1154" s="72">
        <f>(BF1154-Driver!$K$191)/(Driver!$L$191-Driver!$K$191)</f>
        <v>7.1639435082920616E-2</v>
      </c>
      <c r="AU1154" s="72">
        <f>(BG1154-Driver!$K$192)/(Driver!$L$192-Driver!$K$192)</f>
        <v>0.27110112359550559</v>
      </c>
      <c r="AV1154" s="70">
        <f t="shared" si="652"/>
        <v>1.9078144078144077</v>
      </c>
      <c r="AW1154" s="70">
        <f t="shared" si="653"/>
        <v>9.4926262159048278</v>
      </c>
      <c r="AX1154" s="70">
        <f t="shared" si="654"/>
        <v>2.5327262379055209</v>
      </c>
      <c r="AY1154" s="70">
        <f>IFERROR(Driver!$K$19/Data!BH1154/Data!BI1154*Data!BK1154*Data!BL1154,"")</f>
        <v>0.16168702193080375</v>
      </c>
      <c r="AZ1154" s="70">
        <f t="shared" si="655"/>
        <v>6.798212956068503</v>
      </c>
      <c r="BA1154" s="70"/>
      <c r="BB1154" s="70"/>
      <c r="BC1154" s="70">
        <f t="shared" si="656"/>
        <v>6.2617904941745728</v>
      </c>
      <c r="BD1154" s="70">
        <f t="shared" si="657"/>
        <v>3.9213253088441986</v>
      </c>
      <c r="BE1154" s="70">
        <f t="shared" si="658"/>
        <v>0.11087849920167513</v>
      </c>
      <c r="BF1154" s="70">
        <f t="shared" si="659"/>
        <v>8.0911708970998859</v>
      </c>
      <c r="BG1154" s="70">
        <f t="shared" si="660"/>
        <v>1.026561797752809</v>
      </c>
      <c r="BH1154" s="67">
        <f>MAX((CE1154-Driver!$F$200)/(Driver!$G$200-Driver!$F$200)*$BI$1,1)</f>
        <v>2.5327262379055209</v>
      </c>
      <c r="BI1154" s="67">
        <f>MAX($BI$1*(BY1154-Driver!$F$201)/(Driver!$G$201-Driver!$F$201),1)</f>
        <v>5.2531645569620249</v>
      </c>
      <c r="BJ1154" s="67">
        <f>(CB1154-Driver!$F$206)/(Driver!$G$206-Driver!$F$206)*$BI$1</f>
        <v>3.9682539682539679</v>
      </c>
      <c r="BK1154" s="67">
        <f>(CD1154-Driver!$F$203)/(Driver!$G$203-Driver!$F$203)*$BI$1</f>
        <v>1.834862385321101</v>
      </c>
      <c r="BL1154" s="67">
        <f>MAX((CR1154-Driver!$F$202)/(Driver!$G$202-Driver!$F$202)*$BI$1,1)</f>
        <v>5.8620689655172411</v>
      </c>
      <c r="BM1154" s="67">
        <f>MAX((CH1154-Driver!$F$204)/(Driver!$G$204-Driver!$F$204)*$BI$1,1)</f>
        <v>1.9230769230769231</v>
      </c>
      <c r="BN1154" s="67">
        <f>(CI1154-Driver!$F$205)/(Driver!$G$205-Driver!$F$205)*$BI$1</f>
        <v>1.2941176470588236</v>
      </c>
      <c r="BO1154" s="67">
        <f>(CK1154-Driver!$F$207)/(Driver!$G$207-Driver!$F$207)*$BI$1</f>
        <v>1.5305067218200621</v>
      </c>
      <c r="BP1154" s="67">
        <f>(CM1154-Driver!$F$208)/(Driver!$G$208-Driver!$F$208)*$BI$1</f>
        <v>2.4444444444444442</v>
      </c>
      <c r="BQ1154" s="67">
        <f>(CL1154-Driver!$F$209)/(Driver!$G$209-Driver!$F$209)*$BI$1</f>
        <v>5</v>
      </c>
      <c r="BR1154" s="28" t="s">
        <v>155</v>
      </c>
      <c r="BS1154" s="8" t="s">
        <v>172</v>
      </c>
      <c r="BT1154" s="9" t="s">
        <v>720</v>
      </c>
      <c r="BU1154" s="10">
        <v>140</v>
      </c>
      <c r="BV1154" s="9" t="s">
        <v>158</v>
      </c>
      <c r="BW1154" s="10">
        <v>140</v>
      </c>
      <c r="BX1154" s="10">
        <v>138.6</v>
      </c>
      <c r="BY1154" s="10">
        <v>91</v>
      </c>
      <c r="BZ1154" s="10">
        <v>116</v>
      </c>
      <c r="CA1154" s="10">
        <v>117</v>
      </c>
      <c r="CB1154" s="10">
        <v>89</v>
      </c>
      <c r="CC1154" s="10">
        <v>107</v>
      </c>
      <c r="CD1154" s="10">
        <v>13.4</v>
      </c>
      <c r="CE1154" s="10">
        <v>1345</v>
      </c>
      <c r="CF1154" s="10">
        <v>1.01</v>
      </c>
      <c r="CG1154" s="10">
        <v>1352</v>
      </c>
      <c r="CH1154" s="10">
        <v>146</v>
      </c>
      <c r="CI1154" s="10">
        <v>55</v>
      </c>
      <c r="CJ1154" s="10">
        <v>49</v>
      </c>
      <c r="CK1154" s="10">
        <v>258</v>
      </c>
      <c r="CL1154" s="10">
        <v>32</v>
      </c>
      <c r="CM1154" s="10">
        <v>220</v>
      </c>
      <c r="CN1154" s="10">
        <v>0.64700000000000002</v>
      </c>
      <c r="CO1154" s="10">
        <v>119</v>
      </c>
      <c r="CP1154" s="10">
        <v>111</v>
      </c>
      <c r="CQ1154" s="10">
        <v>139</v>
      </c>
      <c r="CR1154" s="10">
        <v>6</v>
      </c>
      <c r="CS1154" s="10">
        <v>4.5999999999999996</v>
      </c>
      <c r="CT1154" s="9" t="s">
        <v>188</v>
      </c>
      <c r="CU1154" s="10"/>
      <c r="CV1154" s="10"/>
      <c r="CW1154" s="10"/>
      <c r="CX1154" t="str">
        <f>INDEX('Data_Price '!AG$2:AG$1266,MATCH(Data!$DN1154,'Data_Price '!$AT$2:$AT$1266,0))</f>
        <v>Rossignol Blackops Smasher 140cm</v>
      </c>
      <c r="CY1154" t="str">
        <f>INDEX('Data_Price '!AH$2:AH$1266,MATCH(Data!$DN1154,'Data_Price '!$AT$2:$AT$1266,0))</f>
        <v>Sundance Ski and Board Shop</v>
      </c>
      <c r="CZ1154">
        <f>INDEX('Data_Price '!AI$2:AI$1266,MATCH(Data!$DN1154,'Data_Price '!$AT$2:$AT$1266,0))</f>
        <v>200.35</v>
      </c>
      <c r="DA1154" t="str">
        <f>INDEX('Data_Price '!AJ$2:AJ$1266,MATCH(Data!$DN1154,'Data_Price '!$AT$2:$AT$1266,0))</f>
        <v>https://tinyurl.com/y9szszpg</v>
      </c>
      <c r="DB1154" t="str">
        <f>INDEX('Data_Price '!AK$2:AK$1266,MATCH(Data!$DN1154,'Data_Price '!$AT$2:$AT$1266,0))</f>
        <v>Rossignol Blackops Smasher Skis</v>
      </c>
      <c r="DC1154" t="str">
        <f>INDEX('Data_Price '!AL$2:AL$1266,MATCH(Data!$DN1154,'Data_Price '!$AT$2:$AT$1266,0))</f>
        <v>Cole Sport</v>
      </c>
      <c r="DD1154">
        <f>INDEX('Data_Price '!AM$2:AM$1266,MATCH(Data!$DN1154,'Data_Price '!$AT$2:$AT$1266,0))</f>
        <v>279.95999999999998</v>
      </c>
      <c r="DE1154" t="str">
        <f>INDEX('Data_Price '!AN$2:AN$1266,MATCH(Data!$DN1154,'Data_Price '!$AT$2:$AT$1266,0))</f>
        <v>https://tinyurl.com/yc3kpy98</v>
      </c>
      <c r="DF1154" t="str">
        <f>INDEX('Data_Price '!AO$2:AO$1266,MATCH(Data!$DN1154,'Data_Price '!$AT$2:$AT$1266,0))</f>
        <v>Rossignol Teen's Skis Blackops Smasher (xpress)</v>
      </c>
      <c r="DG1154" t="str">
        <f>INDEX('Data_Price '!AP$2:AP$1266,MATCH(Data!$DN1154,'Data_Price '!$AT$2:$AT$1266,0))</f>
        <v>REI</v>
      </c>
      <c r="DH1154">
        <f>INDEX('Data_Price '!AQ$2:AQ$1266,MATCH(Data!$DN1154,'Data_Price '!$AT$2:$AT$1266,0))</f>
        <v>359.93</v>
      </c>
      <c r="DI1154" t="str">
        <f>INDEX('Data_Price '!AR$2:AR$1266,MATCH(Data!$DN1154,'Data_Price '!$AT$2:$AT$1266,0))</f>
        <v>https://tinyurl.com/y9fnfygv</v>
      </c>
      <c r="DJ1154" s="89" t="str">
        <f t="shared" si="661"/>
        <v>https://tinyurl.com/y9szszpg</v>
      </c>
      <c r="DK1154" s="89" t="str">
        <f t="shared" si="662"/>
        <v>https://tinyurl.com/yc3kpy98</v>
      </c>
      <c r="DL1154" s="89" t="str">
        <f t="shared" si="663"/>
        <v>https://tinyurl.com/y9fnfygv</v>
      </c>
      <c r="DM1154" s="219" t="str">
        <f t="shared" si="664"/>
        <v>Blackops Smasher</v>
      </c>
      <c r="DN1154" s="89" t="str">
        <f t="shared" si="665"/>
        <v xml:space="preserve"> RossignolBlackops Smasher140 Unisex</v>
      </c>
      <c r="DO1154" s="221"/>
    </row>
    <row r="1155" spans="2:119" ht="15.6" customHeight="1">
      <c r="B1155" s="219" t="b">
        <f t="array" ref="B1155">IF(OR(ISERROR(K1155:P1155)),FALSE,TRUE)</f>
        <v>1</v>
      </c>
      <c r="C1155" s="43" t="b">
        <f>OR(BR1155=Driver!$G$50,Data!BR661=Driver!$H$50)</f>
        <v>1</v>
      </c>
      <c r="D1155" s="43" t="b">
        <f>OR(BV1155=Driver!$G$51,BV1155=Driver!$H$51)</f>
        <v>1</v>
      </c>
      <c r="E1155" s="43" t="b">
        <f>AND(BX1155&gt;Driver!$F$54,BX1155&lt;Driver!$G$54)</f>
        <v>1</v>
      </c>
      <c r="F1155" s="43" t="b">
        <f>CL1155&gt;Driver!$F$56</f>
        <v>1</v>
      </c>
      <c r="G1155" s="43" t="b">
        <f>AND(CB1155&gt;Driver!$F$55,CB1155&lt;Driver!$G$55)</f>
        <v>0</v>
      </c>
      <c r="H1155" s="43" t="b">
        <f t="shared" si="629"/>
        <v>0</v>
      </c>
      <c r="I1155" s="43">
        <f t="shared" si="630"/>
        <v>0</v>
      </c>
      <c r="J1155" s="43" t="b">
        <f t="array" ref="J1155">NOT(OR(($H$9:$H$1273=TRUE)*($I$9:$I$1273&gt;0)*($BT$9:$BT$1273=BT1155)*($K$9:$K$1273&gt;K1155)))</f>
        <v>1</v>
      </c>
      <c r="K1155" s="72">
        <f t="shared" si="631"/>
        <v>0.75700496269849937</v>
      </c>
      <c r="L1155" s="72">
        <f t="shared" si="632"/>
        <v>0.79009611726632867</v>
      </c>
      <c r="M1155" s="72">
        <f t="shared" si="633"/>
        <v>0.72391380813066997</v>
      </c>
      <c r="N1155" s="72">
        <f t="shared" si="634"/>
        <v>0.81628967353411364</v>
      </c>
      <c r="O1155" s="72">
        <f t="shared" si="635"/>
        <v>0.57927900327785165</v>
      </c>
      <c r="P1155" s="72">
        <f t="shared" si="636"/>
        <v>0.77617274758004462</v>
      </c>
      <c r="Q1155" s="72"/>
      <c r="R1155" s="72"/>
      <c r="S1155" s="72">
        <f t="shared" si="637"/>
        <v>0.38330527471342413</v>
      </c>
      <c r="T1155" s="72">
        <f t="shared" si="638"/>
        <v>0.8794113321137641</v>
      </c>
      <c r="U1155" s="72">
        <f t="shared" si="639"/>
        <v>0.51</v>
      </c>
      <c r="V1155" s="72">
        <f t="shared" si="640"/>
        <v>0.49760398917833459</v>
      </c>
      <c r="W1155" s="72">
        <f t="shared" si="641"/>
        <v>0.79919530230535019</v>
      </c>
      <c r="X1155" s="72">
        <f t="shared" si="642"/>
        <v>0.20990388273367133</v>
      </c>
      <c r="Y1155" s="72">
        <f t="shared" si="643"/>
        <v>0.27608619186933003</v>
      </c>
      <c r="Z1155" s="72">
        <f t="shared" si="644"/>
        <v>0.18371032646588642</v>
      </c>
      <c r="AA1155" s="72">
        <f t="shared" si="645"/>
        <v>0.42072099672214841</v>
      </c>
      <c r="AB1155" s="72">
        <f t="shared" si="646"/>
        <v>0.22382725241995532</v>
      </c>
      <c r="AC1155" s="72"/>
      <c r="AD1155" s="72"/>
      <c r="AE1155" s="72">
        <f t="shared" si="647"/>
        <v>0.61669472528657587</v>
      </c>
      <c r="AF1155" s="72">
        <f t="shared" si="648"/>
        <v>0.1205886678862359</v>
      </c>
      <c r="AG1155" s="72">
        <f t="shared" si="649"/>
        <v>0.49</v>
      </c>
      <c r="AH1155" s="72">
        <f t="shared" si="650"/>
        <v>0.50239601082166541</v>
      </c>
      <c r="AI1155" s="72">
        <f t="shared" si="651"/>
        <v>0.20080469769464987</v>
      </c>
      <c r="AJ1155" s="72">
        <f>(AV1155-Driver!$K$179)/(Driver!$L$179-Driver!$K$179)</f>
        <v>4.4315526549029087E-2</v>
      </c>
      <c r="AK1155" s="72">
        <f>(AW1155-Driver!$K$180)/(Driver!$L$180-Driver!$K$180)</f>
        <v>4.6165663788497284E-2</v>
      </c>
      <c r="AL1155" s="72">
        <f>(AX1155-Driver!$K$181)/(Driver!$L$181-Driver!$K$181)</f>
        <v>0.28539809017896661</v>
      </c>
      <c r="AM1155" s="72">
        <f>(AY1155-Driver!$K$182)/(Driver!$L$182-Driver!$K$182)</f>
        <v>2.6664024374897954E-2</v>
      </c>
      <c r="AN1155" s="72">
        <f>(AZ1155-Driver!$K$183)/(Driver!$L$183-Driver!$K$183)</f>
        <v>3.0392156862745094E-2</v>
      </c>
      <c r="AO1155" s="72"/>
      <c r="AP1155" s="72"/>
      <c r="AQ1155" s="72">
        <f>(BC1155-Driver!$K$188)/(Driver!$L$188-Driver!$K$188)</f>
        <v>3.3052747134241578E-3</v>
      </c>
      <c r="AR1155" s="72">
        <f>MIN((BD1155-Driver!$K$189)/(Driver!$L$189-Driver!$K$189),100%)</f>
        <v>0.42941133211376414</v>
      </c>
      <c r="AS1155" s="72">
        <f>(BE1155-Driver!$K$190)/(Driver!$L$190-Driver!$K$190)</f>
        <v>1</v>
      </c>
      <c r="AT1155" s="72">
        <f>(BF1155-Driver!$K$191)/(Driver!$L$191-Driver!$K$191)</f>
        <v>7.6039891783345756E-3</v>
      </c>
      <c r="AU1155" s="72">
        <f>(BG1155-Driver!$K$192)/(Driver!$L$192-Driver!$K$192)</f>
        <v>4.9195302305350144E-2</v>
      </c>
      <c r="AV1155" s="70">
        <f t="shared" si="652"/>
        <v>0.93270926604259941</v>
      </c>
      <c r="AW1155" s="70">
        <f t="shared" si="653"/>
        <v>6.3711456270423934</v>
      </c>
      <c r="AX1155" s="70">
        <f t="shared" si="654"/>
        <v>3.5685828116106997</v>
      </c>
      <c r="AY1155" s="70">
        <f>IFERROR(Driver!$K$19/Data!BH1155/Data!BI1155*Data!BK1155*Data!BL1155,"")</f>
        <v>3.2644721611887764E-2</v>
      </c>
      <c r="AZ1155" s="70">
        <f t="shared" si="655"/>
        <v>2.7699180938198062</v>
      </c>
      <c r="BA1155" s="70"/>
      <c r="BB1155" s="70"/>
      <c r="BC1155" s="70">
        <f t="shared" si="656"/>
        <v>1.7144689717501347</v>
      </c>
      <c r="BD1155" s="70">
        <f t="shared" si="657"/>
        <v>39.722964904308505</v>
      </c>
      <c r="BE1155" s="70">
        <f t="shared" si="658"/>
        <v>1</v>
      </c>
      <c r="BF1155" s="70">
        <f t="shared" si="659"/>
        <v>0.85881715664549196</v>
      </c>
      <c r="BG1155" s="70">
        <f t="shared" si="660"/>
        <v>0.18628479773814702</v>
      </c>
      <c r="BH1155" s="67">
        <f>MAX((CE1155-Driver!$F$200)/(Driver!$G$200-Driver!$F$200)*$BI$1,1)</f>
        <v>3.5685828116106997</v>
      </c>
      <c r="BI1155" s="67">
        <f>MAX($BI$1*(BY1155-Driver!$F$201)/(Driver!$G$201-Driver!$F$201),1)</f>
        <v>7.8481012658227849</v>
      </c>
      <c r="BJ1155" s="67">
        <f>(CB1155-Driver!$F$206)/(Driver!$G$206-Driver!$F$206)*$BI$1</f>
        <v>1.5873015873015872</v>
      </c>
      <c r="BK1155" s="67">
        <f>(CD1155-Driver!$F$203)/(Driver!$G$203-Driver!$F$203)*$BI$1</f>
        <v>0.77981651376146766</v>
      </c>
      <c r="BL1155" s="67">
        <f>MAX((CR1155-Driver!$F$202)/(Driver!$G$202-Driver!$F$202)*$BI$1,1)</f>
        <v>5.8620689655172411</v>
      </c>
      <c r="BM1155" s="67">
        <f>MAX((CH1155-Driver!$F$204)/(Driver!$G$204-Driver!$F$204)*$BI$1,1)</f>
        <v>2.3504273504273505</v>
      </c>
      <c r="BN1155" s="67">
        <f>(CI1155-Driver!$F$205)/(Driver!$G$205-Driver!$F$205)*$BI$1</f>
        <v>0.3529411764705882</v>
      </c>
      <c r="BO1155" s="67">
        <f>(CK1155-Driver!$F$207)/(Driver!$G$207-Driver!$F$207)*$BI$1</f>
        <v>0.55842812823164423</v>
      </c>
      <c r="BP1155" s="67">
        <f>(CM1155-Driver!$F$208)/(Driver!$G$208-Driver!$F$208)*$BI$1</f>
        <v>0.75555555555555554</v>
      </c>
      <c r="BQ1155" s="67">
        <f>(CL1155-Driver!$F$209)/(Driver!$G$209-Driver!$F$209)*$BI$1</f>
        <v>1.5625</v>
      </c>
      <c r="BR1155" s="28" t="s">
        <v>155</v>
      </c>
      <c r="BS1155" s="8" t="s">
        <v>167</v>
      </c>
      <c r="BT1155" s="9" t="s">
        <v>816</v>
      </c>
      <c r="BU1155" s="10">
        <v>156</v>
      </c>
      <c r="BV1155" s="9" t="s">
        <v>158</v>
      </c>
      <c r="BW1155" s="10">
        <v>156</v>
      </c>
      <c r="BX1155" s="10">
        <v>155.6</v>
      </c>
      <c r="BY1155" s="10">
        <v>132</v>
      </c>
      <c r="BZ1155" s="10">
        <v>142</v>
      </c>
      <c r="CA1155" s="10">
        <v>128</v>
      </c>
      <c r="CB1155" s="10">
        <v>74</v>
      </c>
      <c r="CC1155" s="10">
        <v>110</v>
      </c>
      <c r="CD1155" s="10">
        <v>11.1</v>
      </c>
      <c r="CE1155" s="10">
        <v>1527</v>
      </c>
      <c r="CF1155" s="10">
        <v>0.93</v>
      </c>
      <c r="CG1155" s="10">
        <v>1414</v>
      </c>
      <c r="CH1155" s="10">
        <v>156</v>
      </c>
      <c r="CI1155" s="10">
        <v>39</v>
      </c>
      <c r="CJ1155" s="10">
        <v>41</v>
      </c>
      <c r="CK1155" s="10">
        <v>164</v>
      </c>
      <c r="CL1155" s="10">
        <v>10</v>
      </c>
      <c r="CM1155" s="10">
        <v>68</v>
      </c>
      <c r="CN1155" s="10">
        <v>0.23400000000000001</v>
      </c>
      <c r="CO1155" s="10">
        <v>85</v>
      </c>
      <c r="CP1155" s="10">
        <v>55</v>
      </c>
      <c r="CQ1155" s="10">
        <v>79</v>
      </c>
      <c r="CR1155" s="10">
        <v>6</v>
      </c>
      <c r="CS1155" s="10">
        <v>11.6</v>
      </c>
      <c r="CT1155" s="9" t="s">
        <v>349</v>
      </c>
      <c r="CU1155" s="10"/>
      <c r="CV1155" s="10"/>
      <c r="CW1155" s="10"/>
      <c r="CX1155" t="str">
        <f>INDEX('Data_Price '!AG$2:AG$1266,MATCH(Data!$DN1155,'Data_Price '!$AT$2:$AT$1266,0))</f>
        <v>Head V-Shape V2 Black-Grey-White 156 Ski Men</v>
      </c>
      <c r="CY1155" t="str">
        <f>INDEX('Data_Price '!AH$2:AH$1266,MATCH(Data!$DN1155,'Data_Price '!$AT$2:$AT$1266,0))</f>
        <v>! OutdoorXL.com</v>
      </c>
      <c r="CZ1155">
        <f>INDEX('Data_Price '!AI$2:AI$1266,MATCH(Data!$DN1155,'Data_Price '!$AT$2:$AT$1266,0))</f>
        <v>234.95</v>
      </c>
      <c r="DA1155" t="str">
        <f>INDEX('Data_Price '!AJ$2:AJ$1266,MATCH(Data!$DN1155,'Data_Price '!$AT$2:$AT$1266,0))</f>
        <v>https://tinyurl.com/y8x6kvqj</v>
      </c>
      <c r="DB1155" t="str">
        <f>INDEX('Data_Price '!AK$2:AK$1266,MATCH(Data!$DN1155,'Data_Price '!$AT$2:$AT$1266,0))</f>
        <v>Head V-shape V2 Skis With Size Adjustable Pr 10 Gw Bindings 2022 156cm</v>
      </c>
      <c r="DC1155" t="str">
        <f>INDEX('Data_Price '!AL$2:AL$1266,MATCH(Data!$DN1155,'Data_Price '!$AT$2:$AT$1266,0))</f>
        <v>eBay - wintersportdeals</v>
      </c>
      <c r="DD1155">
        <f>INDEX('Data_Price '!AM$2:AM$1266,MATCH(Data!$DN1155,'Data_Price '!$AT$2:$AT$1266,0))</f>
        <v>314.99</v>
      </c>
      <c r="DE1155" t="str">
        <f>INDEX('Data_Price '!AN$2:AN$1266,MATCH(Data!$DN1155,'Data_Price '!$AT$2:$AT$1266,0))</f>
        <v>https://tinyurl.com/yaclhlja</v>
      </c>
      <c r="DF1155" t="str">
        <f>INDEX('Data_Price '!AO$2:AO$1266,MATCH(Data!$DN1155,'Data_Price '!$AT$2:$AT$1266,0))</f>
        <v>Head V-Shape V6 Ski with PR 10 GW Bindings 2020-2021 | BLACK/RED / 156</v>
      </c>
      <c r="DG1155" t="str">
        <f>INDEX('Data_Price '!AP$2:AP$1266,MATCH(Data!$DN1155,'Data_Price '!$AT$2:$AT$1266,0))</f>
        <v>Ski Pro  - Snow Ski &amp; Snowboard</v>
      </c>
      <c r="DH1155">
        <f>INDEX('Data_Price '!AQ$2:AQ$1266,MATCH(Data!$DN1155,'Data_Price '!$AT$2:$AT$1266,0))</f>
        <v>449.95</v>
      </c>
      <c r="DI1155" t="str">
        <f>INDEX('Data_Price '!AR$2:AR$1266,MATCH(Data!$DN1155,'Data_Price '!$AT$2:$AT$1266,0))</f>
        <v>https://tinyurl.com/ybnqm9b8</v>
      </c>
      <c r="DJ1155" s="89" t="str">
        <f t="shared" si="661"/>
        <v>https://tinyurl.com/y8x6kvqj</v>
      </c>
      <c r="DK1155" s="89" t="str">
        <f t="shared" si="662"/>
        <v>https://tinyurl.com/yaclhlja</v>
      </c>
      <c r="DL1155" s="89" t="str">
        <f t="shared" si="663"/>
        <v>https://tinyurl.com/ybnqm9b8</v>
      </c>
      <c r="DM1155" s="219" t="str">
        <f t="shared" si="664"/>
        <v>V-Shape V8</v>
      </c>
      <c r="DN1155" s="89" t="str">
        <f t="shared" si="665"/>
        <v xml:space="preserve"> HeadV-Shape V8156 Unisex</v>
      </c>
      <c r="DO1155" s="221"/>
    </row>
    <row r="1156" spans="2:119" ht="15.6" customHeight="1">
      <c r="B1156" s="219" t="b">
        <f t="array" ref="B1156">IF(OR(ISERROR(K1156:P1156)),FALSE,TRUE)</f>
        <v>1</v>
      </c>
      <c r="C1156" s="43" t="b">
        <f>OR(BR1156=Driver!$G$50,Data!BR17=Driver!$H$50)</f>
        <v>1</v>
      </c>
      <c r="D1156" s="43" t="b">
        <f>OR(BV1156=Driver!$G$51,BV1156=Driver!$H$51)</f>
        <v>0</v>
      </c>
      <c r="E1156" s="43" t="b">
        <f>AND(BX1156&gt;Driver!$F$54,BX1156&lt;Driver!$G$54)</f>
        <v>0</v>
      </c>
      <c r="F1156" s="43" t="b">
        <f>CL1156&gt;Driver!$F$56</f>
        <v>1</v>
      </c>
      <c r="G1156" s="43" t="b">
        <f>AND(CB1156&gt;Driver!$F$55,CB1156&lt;Driver!$G$55)</f>
        <v>1</v>
      </c>
      <c r="H1156" s="43" t="b">
        <f t="shared" si="629"/>
        <v>0</v>
      </c>
      <c r="I1156" s="43">
        <f t="shared" si="630"/>
        <v>0</v>
      </c>
      <c r="J1156" s="43" t="b">
        <f t="array" ref="J1156">NOT(OR(($H$9:$H$1273=TRUE)*($I$9:$I$1273&gt;0)*($BT$9:$BT$1273=BT1156)*($K$9:$K$1273&gt;K1156)))</f>
        <v>1</v>
      </c>
      <c r="K1156" s="72">
        <f t="shared" si="631"/>
        <v>0.67297968469627034</v>
      </c>
      <c r="L1156" s="72">
        <f t="shared" si="632"/>
        <v>0.58392692680747693</v>
      </c>
      <c r="M1156" s="72">
        <f t="shared" si="633"/>
        <v>0.76203244258506386</v>
      </c>
      <c r="N1156" s="72">
        <f t="shared" si="634"/>
        <v>0.62973430769587913</v>
      </c>
      <c r="O1156" s="72">
        <f t="shared" si="635"/>
        <v>0.85249419404789539</v>
      </c>
      <c r="P1156" s="72">
        <f t="shared" si="636"/>
        <v>0.80386882601141718</v>
      </c>
      <c r="Q1156" s="72"/>
      <c r="R1156" s="72"/>
      <c r="S1156" s="72">
        <f t="shared" si="637"/>
        <v>0.41599611796134961</v>
      </c>
      <c r="T1156" s="72">
        <f t="shared" si="638"/>
        <v>0.43679639498151246</v>
      </c>
      <c r="U1156" s="72">
        <f t="shared" si="639"/>
        <v>0.4903279099284148</v>
      </c>
      <c r="V1156" s="72">
        <f t="shared" si="640"/>
        <v>0.97710972267189222</v>
      </c>
      <c r="W1156" s="72">
        <f t="shared" si="641"/>
        <v>0.7822263686164932</v>
      </c>
      <c r="X1156" s="72">
        <f t="shared" si="642"/>
        <v>0.41607307319252312</v>
      </c>
      <c r="Y1156" s="72">
        <f t="shared" si="643"/>
        <v>0.23796755741493611</v>
      </c>
      <c r="Z1156" s="72">
        <f t="shared" si="644"/>
        <v>0.37026569230412087</v>
      </c>
      <c r="AA1156" s="72">
        <f t="shared" si="645"/>
        <v>0.14750580595210461</v>
      </c>
      <c r="AB1156" s="72">
        <f t="shared" si="646"/>
        <v>0.19613117398858279</v>
      </c>
      <c r="AC1156" s="72"/>
      <c r="AD1156" s="72"/>
      <c r="AE1156" s="72">
        <f t="shared" si="647"/>
        <v>0.58400388203865039</v>
      </c>
      <c r="AF1156" s="72">
        <f t="shared" si="648"/>
        <v>0.56320360501848754</v>
      </c>
      <c r="AG1156" s="72">
        <f t="shared" si="649"/>
        <v>0.5096720900715852</v>
      </c>
      <c r="AH1156" s="72">
        <f t="shared" si="650"/>
        <v>2.2890277328107778E-2</v>
      </c>
      <c r="AI1156" s="72">
        <f t="shared" si="651"/>
        <v>0.21777363138350675</v>
      </c>
      <c r="AJ1156" s="72">
        <f>(AV1156-Driver!$K$179)/(Driver!$L$179-Driver!$K$179)</f>
        <v>0.67029248247522355</v>
      </c>
      <c r="AK1156" s="72">
        <f>(AW1156-Driver!$K$180)/(Driver!$L$180-Driver!$K$180)</f>
        <v>9.272576839941829E-2</v>
      </c>
      <c r="AL1156" s="72">
        <f>(AX1156-Driver!$K$181)/(Driver!$L$181-Driver!$K$181)</f>
        <v>0.47195345601720107</v>
      </c>
      <c r="AM1156" s="72">
        <f>(AY1156-Driver!$K$182)/(Driver!$L$182-Driver!$K$182)</f>
        <v>0.29987921514494176</v>
      </c>
      <c r="AN1156" s="72">
        <f>(AZ1156-Driver!$K$183)/(Driver!$L$183-Driver!$K$183)</f>
        <v>5.8088235294117642E-2</v>
      </c>
      <c r="AO1156" s="72"/>
      <c r="AP1156" s="72"/>
      <c r="AQ1156" s="72">
        <f>(BC1156-Driver!$K$188)/(Driver!$L$188-Driver!$K$188)</f>
        <v>3.5996117961349633E-2</v>
      </c>
      <c r="AR1156" s="72">
        <f>MIN((BD1156-Driver!$K$189)/(Driver!$L$189-Driver!$K$189),100%)</f>
        <v>-1.3203605018487512E-2</v>
      </c>
      <c r="AS1156" s="72">
        <f>(BE1156-Driver!$K$190)/(Driver!$L$190-Driver!$K$190)</f>
        <v>3.279099284148188E-4</v>
      </c>
      <c r="AT1156" s="72">
        <f>(BF1156-Driver!$K$191)/(Driver!$L$191-Driver!$K$191)</f>
        <v>0.53289027732810779</v>
      </c>
      <c r="AU1156" s="72">
        <f>(BG1156-Driver!$K$192)/(Driver!$L$192-Driver!$K$192)</f>
        <v>3.2226368616493244E-2</v>
      </c>
      <c r="AV1156" s="70">
        <f t="shared" si="652"/>
        <v>14.107651607651608</v>
      </c>
      <c r="AW1156" s="70">
        <f t="shared" si="653"/>
        <v>10.908840385873029</v>
      </c>
      <c r="AX1156" s="70">
        <f t="shared" si="654"/>
        <v>5.2475811041548095</v>
      </c>
      <c r="AY1156" s="70">
        <f>IFERROR(Driver!$K$19/Data!BH1156/Data!BI1156*Data!BK1156*Data!BL1156,"")</f>
        <v>0.3671416346593962</v>
      </c>
      <c r="AZ1156" s="70">
        <f t="shared" si="655"/>
        <v>5.2941176470588234</v>
      </c>
      <c r="BA1156" s="70"/>
      <c r="BB1156" s="70"/>
      <c r="BC1156" s="70">
        <f t="shared" si="656"/>
        <v>18.671436627504317</v>
      </c>
      <c r="BD1156" s="70">
        <f t="shared" si="657"/>
        <v>0.55232723536529582</v>
      </c>
      <c r="BE1156" s="70">
        <f t="shared" si="658"/>
        <v>5.0624017749493892E-4</v>
      </c>
      <c r="BF1156" s="70">
        <f t="shared" si="659"/>
        <v>60.186213058129155</v>
      </c>
      <c r="BG1156" s="70">
        <f t="shared" si="660"/>
        <v>0.12202958978271258</v>
      </c>
      <c r="BH1156" s="67">
        <f>MAX((CE1156-Driver!$F$200)/(Driver!$G$200-Driver!$F$200)*$BI$1,1)</f>
        <v>5.2475811041548095</v>
      </c>
      <c r="BI1156" s="67">
        <f>MAX($BI$1*(BY1156-Driver!$F$201)/(Driver!$G$201-Driver!$F$201),1)</f>
        <v>1</v>
      </c>
      <c r="BJ1156" s="67">
        <f>(CB1156-Driver!$F$206)/(Driver!$G$206-Driver!$F$206)*$BI$1</f>
        <v>7.4603174603174605</v>
      </c>
      <c r="BK1156" s="67">
        <f>(CD1156-Driver!$F$203)/(Driver!$G$203-Driver!$F$203)*$BI$1</f>
        <v>9.6330275229357802</v>
      </c>
      <c r="BL1156" s="67">
        <f>MAX((CR1156-Driver!$F$202)/(Driver!$G$202-Driver!$F$202)*$BI$1,1)</f>
        <v>1</v>
      </c>
      <c r="BM1156" s="67">
        <f>MAX((CH1156-Driver!$F$204)/(Driver!$G$204-Driver!$F$204)*$BI$1,1)</f>
        <v>7.5641025641025639</v>
      </c>
      <c r="BN1156" s="67">
        <f>(CI1156-Driver!$F$205)/(Driver!$G$205-Driver!$F$205)*$BI$1</f>
        <v>5.2941176470588234</v>
      </c>
      <c r="BO1156" s="67">
        <f>(CK1156-Driver!$F$207)/(Driver!$G$207-Driver!$F$207)*$BI$1</f>
        <v>8.6349534643226473</v>
      </c>
      <c r="BP1156" s="67">
        <f>(CM1156-Driver!$F$208)/(Driver!$G$208-Driver!$F$208)*$BI$1</f>
        <v>9</v>
      </c>
      <c r="BQ1156" s="67">
        <f>(CL1156-Driver!$F$209)/(Driver!$G$209-Driver!$F$209)*$BI$1</f>
        <v>4.84375</v>
      </c>
      <c r="BR1156" s="28" t="s">
        <v>155</v>
      </c>
      <c r="BS1156" s="8" t="s">
        <v>190</v>
      </c>
      <c r="BT1156" s="9" t="s">
        <v>870</v>
      </c>
      <c r="BU1156" s="10">
        <v>177</v>
      </c>
      <c r="BV1156" s="9" t="s">
        <v>163</v>
      </c>
      <c r="BW1156" s="10">
        <v>177</v>
      </c>
      <c r="BX1156" s="10">
        <v>175.5</v>
      </c>
      <c r="BY1156" s="10">
        <v>0</v>
      </c>
      <c r="BZ1156" s="10">
        <v>126</v>
      </c>
      <c r="CA1156" s="10">
        <v>126</v>
      </c>
      <c r="CB1156" s="10">
        <v>111</v>
      </c>
      <c r="CC1156" s="10">
        <v>118</v>
      </c>
      <c r="CD1156" s="10">
        <v>30.4</v>
      </c>
      <c r="CE1156" s="10">
        <v>1822</v>
      </c>
      <c r="CF1156" s="10">
        <v>1.1100000000000001</v>
      </c>
      <c r="CG1156" s="10">
        <v>2023</v>
      </c>
      <c r="CH1156" s="10">
        <v>278</v>
      </c>
      <c r="CI1156" s="10">
        <v>123</v>
      </c>
      <c r="CJ1156" s="10">
        <v>75</v>
      </c>
      <c r="CK1156" s="10">
        <v>945</v>
      </c>
      <c r="CL1156" s="10">
        <v>31</v>
      </c>
      <c r="CM1156" s="10">
        <v>810</v>
      </c>
      <c r="CN1156" s="10">
        <v>0.41</v>
      </c>
      <c r="CO1156" s="10">
        <v>200</v>
      </c>
      <c r="CP1156" s="10">
        <v>299</v>
      </c>
      <c r="CQ1156" s="10">
        <v>745</v>
      </c>
      <c r="CR1156" s="10">
        <v>-11</v>
      </c>
      <c r="CS1156" s="10">
        <v>6.8</v>
      </c>
      <c r="CT1156" s="9" t="s">
        <v>169</v>
      </c>
      <c r="CU1156" s="9" t="s">
        <v>185</v>
      </c>
      <c r="CV1156" s="10"/>
      <c r="CW1156" s="10"/>
      <c r="CX1156" t="e">
        <f>INDEX('Data_Price '!AG$2:AG$1266,MATCH(Data!$DN1156,'Data_Price '!$AT$2:$AT$1266,0))</f>
        <v>#N/A</v>
      </c>
      <c r="CY1156" t="e">
        <f>INDEX('Data_Price '!AH$2:AH$1266,MATCH(Data!$DN1156,'Data_Price '!$AT$2:$AT$1266,0))</f>
        <v>#N/A</v>
      </c>
      <c r="CZ1156" t="e">
        <f>INDEX('Data_Price '!AI$2:AI$1266,MATCH(Data!$DN1156,'Data_Price '!$AT$2:$AT$1266,0))</f>
        <v>#N/A</v>
      </c>
      <c r="DA1156" t="e">
        <f>INDEX('Data_Price '!AJ$2:AJ$1266,MATCH(Data!$DN1156,'Data_Price '!$AT$2:$AT$1266,0))</f>
        <v>#N/A</v>
      </c>
      <c r="DB1156" t="e">
        <f>INDEX('Data_Price '!AK$2:AK$1266,MATCH(Data!$DN1156,'Data_Price '!$AT$2:$AT$1266,0))</f>
        <v>#N/A</v>
      </c>
      <c r="DC1156" t="e">
        <f>INDEX('Data_Price '!AL$2:AL$1266,MATCH(Data!$DN1156,'Data_Price '!$AT$2:$AT$1266,0))</f>
        <v>#N/A</v>
      </c>
      <c r="DD1156" t="e">
        <f>INDEX('Data_Price '!AM$2:AM$1266,MATCH(Data!$DN1156,'Data_Price '!$AT$2:$AT$1266,0))</f>
        <v>#N/A</v>
      </c>
      <c r="DE1156" t="e">
        <f>INDEX('Data_Price '!AN$2:AN$1266,MATCH(Data!$DN1156,'Data_Price '!$AT$2:$AT$1266,0))</f>
        <v>#N/A</v>
      </c>
      <c r="DF1156" t="e">
        <f>INDEX('Data_Price '!AO$2:AO$1266,MATCH(Data!$DN1156,'Data_Price '!$AT$2:$AT$1266,0))</f>
        <v>#N/A</v>
      </c>
      <c r="DG1156" t="e">
        <f>INDEX('Data_Price '!AP$2:AP$1266,MATCH(Data!$DN1156,'Data_Price '!$AT$2:$AT$1266,0))</f>
        <v>#N/A</v>
      </c>
      <c r="DH1156" t="e">
        <f>INDEX('Data_Price '!AQ$2:AQ$1266,MATCH(Data!$DN1156,'Data_Price '!$AT$2:$AT$1266,0))</f>
        <v>#N/A</v>
      </c>
      <c r="DI1156" t="e">
        <f>INDEX('Data_Price '!AR$2:AR$1266,MATCH(Data!$DN1156,'Data_Price '!$AT$2:$AT$1266,0))</f>
        <v>#N/A</v>
      </c>
      <c r="DJ1156" s="89" t="e">
        <f t="shared" si="661"/>
        <v>#N/A</v>
      </c>
      <c r="DK1156" s="89" t="e">
        <f t="shared" si="662"/>
        <v>#N/A</v>
      </c>
      <c r="DL1156" s="89" t="e">
        <f t="shared" si="663"/>
        <v>#N/A</v>
      </c>
      <c r="DM1156" s="219" t="str">
        <f t="shared" si="664"/>
        <v>Hoji CC</v>
      </c>
      <c r="DN1156" s="89" t="str">
        <f t="shared" si="665"/>
        <v xml:space="preserve"> 4FRNTHoji CC177 Women's</v>
      </c>
      <c r="DO1156" s="221"/>
    </row>
    <row r="1157" spans="2:119" ht="15.6" customHeight="1">
      <c r="B1157" s="219" t="b">
        <f t="array" ref="B1157">IF(OR(ISERROR(K1157:P1157)),FALSE,TRUE)</f>
        <v>1</v>
      </c>
      <c r="C1157" s="43" t="b">
        <f>OR(BR1157=Driver!$G$50,Data!BR522=Driver!$H$50)</f>
        <v>1</v>
      </c>
      <c r="D1157" s="43" t="b">
        <f>OR(BV1157=Driver!$G$51,BV1157=Driver!$H$51)</f>
        <v>1</v>
      </c>
      <c r="E1157" s="43" t="b">
        <f>AND(BX1157&gt;Driver!$F$54,BX1157&lt;Driver!$G$54)</f>
        <v>0</v>
      </c>
      <c r="F1157" s="43" t="b">
        <f>CL1157&gt;Driver!$F$56</f>
        <v>1</v>
      </c>
      <c r="G1157" s="43" t="b">
        <f>AND(CB1157&gt;Driver!$F$55,CB1157&lt;Driver!$G$55)</f>
        <v>0</v>
      </c>
      <c r="H1157" s="43" t="b">
        <f t="shared" si="629"/>
        <v>0</v>
      </c>
      <c r="I1157" s="43">
        <f t="shared" si="630"/>
        <v>0</v>
      </c>
      <c r="J1157" s="43" t="b">
        <f t="array" ref="J1157">NOT(OR(($H$9:$H$1273=TRUE)*($I$9:$I$1273&gt;0)*($BT$9:$BT$1273=BT1157)*($K$9:$K$1273&gt;K1157)))</f>
        <v>1</v>
      </c>
      <c r="K1157" s="72">
        <f t="shared" si="631"/>
        <v>0.67035112199393865</v>
      </c>
      <c r="L1157" s="72">
        <f t="shared" si="632"/>
        <v>0.70373999585912461</v>
      </c>
      <c r="M1157" s="72">
        <f t="shared" si="633"/>
        <v>0.63696224812875268</v>
      </c>
      <c r="N1157" s="72">
        <f t="shared" si="634"/>
        <v>0.68222276655884007</v>
      </c>
      <c r="O1157" s="72">
        <f t="shared" si="635"/>
        <v>0.44738502109704636</v>
      </c>
      <c r="P1157" s="72">
        <f t="shared" si="636"/>
        <v>0.78127895673037151</v>
      </c>
      <c r="Q1157" s="72"/>
      <c r="R1157" s="72"/>
      <c r="S1157" s="72">
        <f t="shared" si="637"/>
        <v>0.3941599357893002</v>
      </c>
      <c r="T1157" s="72">
        <f t="shared" si="638"/>
        <v>0.44617911502417384</v>
      </c>
      <c r="U1157" s="72">
        <f t="shared" si="639"/>
        <v>0.4904593459960348</v>
      </c>
      <c r="V1157" s="72">
        <f t="shared" si="640"/>
        <v>0.65974325343452511</v>
      </c>
      <c r="W1157" s="72">
        <f t="shared" si="641"/>
        <v>0.80416205516771666</v>
      </c>
      <c r="X1157" s="72">
        <f t="shared" si="642"/>
        <v>0.29626000414087533</v>
      </c>
      <c r="Y1157" s="72">
        <f t="shared" si="643"/>
        <v>0.36303775187124737</v>
      </c>
      <c r="Z1157" s="72">
        <f t="shared" si="644"/>
        <v>0.31777723344115999</v>
      </c>
      <c r="AA1157" s="72">
        <f t="shared" si="645"/>
        <v>0.55261497890295364</v>
      </c>
      <c r="AB1157" s="72">
        <f t="shared" si="646"/>
        <v>0.21872104326962855</v>
      </c>
      <c r="AC1157" s="72"/>
      <c r="AD1157" s="72"/>
      <c r="AE1157" s="72">
        <f t="shared" si="647"/>
        <v>0.6058400642106998</v>
      </c>
      <c r="AF1157" s="72">
        <f t="shared" si="648"/>
        <v>0.55382088497582616</v>
      </c>
      <c r="AG1157" s="72">
        <f t="shared" si="649"/>
        <v>0.5095406540039652</v>
      </c>
      <c r="AH1157" s="72">
        <f t="shared" si="650"/>
        <v>0.34025674656547489</v>
      </c>
      <c r="AI1157" s="72">
        <f t="shared" si="651"/>
        <v>0.19583794483228334</v>
      </c>
      <c r="AJ1157" s="72">
        <f>(AV1157-Driver!$K$179)/(Driver!$L$179-Driver!$K$179)</f>
        <v>0.55047941342357576</v>
      </c>
      <c r="AK1157" s="72">
        <f>(AW1157-Driver!$K$180)/(Driver!$L$180-Driver!$K$180)</f>
        <v>7.5548644563248973E-2</v>
      </c>
      <c r="AL1157" s="72">
        <f>(AX1157-Driver!$K$181)/(Driver!$L$181-Driver!$K$181)</f>
        <v>0.41946499715424018</v>
      </c>
      <c r="AM1157" s="72">
        <f>(AY1157-Driver!$K$182)/(Driver!$L$182-Driver!$K$182)</f>
        <v>1</v>
      </c>
      <c r="AN1157" s="72">
        <f>(AZ1157-Driver!$K$183)/(Driver!$L$183-Driver!$K$183)</f>
        <v>3.5498366013071894E-2</v>
      </c>
      <c r="AO1157" s="72"/>
      <c r="AP1157" s="72"/>
      <c r="AQ1157" s="72">
        <f>(BC1157-Driver!$K$188)/(Driver!$L$188-Driver!$K$188)</f>
        <v>1.4159935789300148E-2</v>
      </c>
      <c r="AR1157" s="72">
        <f>MIN((BD1157-Driver!$K$189)/(Driver!$L$189-Driver!$K$189),100%)</f>
        <v>-3.8208849758260923E-3</v>
      </c>
      <c r="AS1157" s="72">
        <f>(BE1157-Driver!$K$190)/(Driver!$L$190-Driver!$K$190)</f>
        <v>4.5934599603483583E-4</v>
      </c>
      <c r="AT1157" s="72">
        <f>(BF1157-Driver!$K$191)/(Driver!$L$191-Driver!$K$191)</f>
        <v>0.8502567465654749</v>
      </c>
      <c r="AU1157" s="72">
        <f>(BG1157-Driver!$K$192)/(Driver!$L$192-Driver!$K$192)</f>
        <v>5.4162055167716668E-2</v>
      </c>
      <c r="AV1157" s="70">
        <f t="shared" si="652"/>
        <v>11.585944919278251</v>
      </c>
      <c r="AW1157" s="70">
        <f t="shared" si="653"/>
        <v>9.2347774632375881</v>
      </c>
      <c r="AX1157" s="70">
        <f t="shared" si="654"/>
        <v>4.7751849743881616</v>
      </c>
      <c r="AY1157" s="70">
        <f>IFERROR(Driver!$K$19/Data!BH1157/Data!BI1157*Data!BK1157*Data!BL1157,"")</f>
        <v>1.2242983712023665</v>
      </c>
      <c r="AZ1157" s="70">
        <f t="shared" si="655"/>
        <v>3.2352941176470589</v>
      </c>
      <c r="BA1157" s="70"/>
      <c r="BB1157" s="70"/>
      <c r="BC1157" s="70">
        <f t="shared" si="656"/>
        <v>7.344857132186573</v>
      </c>
      <c r="BD1157" s="70">
        <f t="shared" si="657"/>
        <v>1.3826813339446806</v>
      </c>
      <c r="BE1157" s="70">
        <f t="shared" si="658"/>
        <v>6.3765279839986852E-4</v>
      </c>
      <c r="BF1157" s="70">
        <f t="shared" si="659"/>
        <v>96.030526132855357</v>
      </c>
      <c r="BG1157" s="70">
        <f t="shared" si="660"/>
        <v>0.20509209252085817</v>
      </c>
      <c r="BH1157" s="67">
        <f>MAX((CE1157-Driver!$F$200)/(Driver!$G$200-Driver!$F$200)*$BI$1,1)</f>
        <v>4.7751849743881616</v>
      </c>
      <c r="BI1157" s="67">
        <f>MAX($BI$1*(BY1157-Driver!$F$201)/(Driver!$G$201-Driver!$F$201),1)</f>
        <v>1</v>
      </c>
      <c r="BJ1157" s="67">
        <f>(CB1157-Driver!$F$206)/(Driver!$G$206-Driver!$F$206)*$BI$1</f>
        <v>9.6825396825396819</v>
      </c>
      <c r="BK1157" s="67">
        <f>(CD1157-Driver!$F$203)/(Driver!$G$203-Driver!$F$203)*$BI$1</f>
        <v>7.0642201834862393</v>
      </c>
      <c r="BL1157" s="67">
        <f>MAX((CR1157-Driver!$F$202)/(Driver!$G$202-Driver!$F$202)*$BI$1,1)</f>
        <v>4.1379310344827589</v>
      </c>
      <c r="BM1157" s="67">
        <f>MAX((CH1157-Driver!$F$204)/(Driver!$G$204-Driver!$F$204)*$BI$1,1)</f>
        <v>4.7863247863247862</v>
      </c>
      <c r="BN1157" s="67">
        <f>(CI1157-Driver!$F$205)/(Driver!$G$205-Driver!$F$205)*$BI$1</f>
        <v>3.2352941176470589</v>
      </c>
      <c r="BO1157" s="67">
        <f>(CK1157-Driver!$F$207)/(Driver!$G$207-Driver!$F$207)*$BI$1</f>
        <v>9.327817993795243</v>
      </c>
      <c r="BP1157" s="67">
        <f>(CM1157-Driver!$F$208)/(Driver!$G$208-Driver!$F$208)*$BI$1</f>
        <v>7.5111111111111111</v>
      </c>
      <c r="BQ1157" s="67">
        <f>(CL1157-Driver!$F$209)/(Driver!$G$209-Driver!$F$209)*$BI$1</f>
        <v>4.6875</v>
      </c>
      <c r="BR1157" s="28" t="s">
        <v>155</v>
      </c>
      <c r="BS1157" s="8" t="s">
        <v>205</v>
      </c>
      <c r="BT1157" s="9" t="s">
        <v>872</v>
      </c>
      <c r="BU1157" s="10">
        <v>178</v>
      </c>
      <c r="BV1157" s="9" t="s">
        <v>158</v>
      </c>
      <c r="BW1157" s="10">
        <v>178</v>
      </c>
      <c r="BX1157" s="10">
        <v>176.6</v>
      </c>
      <c r="BY1157" s="10">
        <v>8</v>
      </c>
      <c r="BZ1157" s="10">
        <v>139</v>
      </c>
      <c r="CA1157" s="10">
        <v>147</v>
      </c>
      <c r="CB1157" s="10">
        <v>125</v>
      </c>
      <c r="CC1157" s="10">
        <v>138</v>
      </c>
      <c r="CD1157" s="10">
        <v>24.8</v>
      </c>
      <c r="CE1157" s="10">
        <v>1739</v>
      </c>
      <c r="CF1157" s="10">
        <v>1.34</v>
      </c>
      <c r="CG1157" s="10">
        <v>2328</v>
      </c>
      <c r="CH1157" s="10">
        <v>213</v>
      </c>
      <c r="CI1157" s="10">
        <v>88</v>
      </c>
      <c r="CJ1157" s="10">
        <v>68</v>
      </c>
      <c r="CK1157" s="10">
        <v>1012</v>
      </c>
      <c r="CL1157" s="10">
        <v>30</v>
      </c>
      <c r="CM1157" s="10">
        <v>676</v>
      </c>
      <c r="CN1157" s="10">
        <v>0.44500000000000001</v>
      </c>
      <c r="CO1157" s="10">
        <v>224</v>
      </c>
      <c r="CP1157" s="10">
        <v>151</v>
      </c>
      <c r="CQ1157" s="10">
        <v>788</v>
      </c>
      <c r="CR1157" s="10">
        <v>1</v>
      </c>
      <c r="CS1157" s="10">
        <v>12.9</v>
      </c>
      <c r="CT1157" s="9" t="s">
        <v>169</v>
      </c>
      <c r="CU1157" s="9" t="s">
        <v>185</v>
      </c>
      <c r="CV1157" s="9" t="s">
        <v>198</v>
      </c>
      <c r="CW1157" s="10"/>
      <c r="CX1157" t="str">
        <f>INDEX('Data_Price '!AG$2:AG$1266,MATCH(Data!$DN1157,'Data_Price '!$AT$2:$AT$1266,0))</f>
        <v>Faction La Machine Skis 21/22</v>
      </c>
      <c r="CY1157" t="str">
        <f>INDEX('Data_Price '!AH$2:AH$1266,MATCH(Data!$DN1157,'Data_Price '!$AT$2:$AT$1266,0))</f>
        <v>Snowcountry.eu</v>
      </c>
      <c r="CZ1157">
        <f>INDEX('Data_Price '!AI$2:AI$1266,MATCH(Data!$DN1157,'Data_Price '!$AT$2:$AT$1266,0))</f>
        <v>460</v>
      </c>
      <c r="DA1157" t="str">
        <f>INDEX('Data_Price '!AJ$2:AJ$1266,MATCH(Data!$DN1157,'Data_Price '!$AT$2:$AT$1266,0))</f>
        <v>https://tinyurl.com/yb88rv3m</v>
      </c>
      <c r="DB1157" t="str">
        <f>INDEX('Data_Price '!AK$2:AK$1266,MATCH(Data!$DN1157,'Data_Price '!$AT$2:$AT$1266,0))</f>
        <v>Faction La Machine Skis 21/22</v>
      </c>
      <c r="DC1157" t="str">
        <f>INDEX('Data_Price '!AL$2:AL$1266,MATCH(Data!$DN1157,'Data_Price '!$AT$2:$AT$1266,0))</f>
        <v>Next Adventure</v>
      </c>
      <c r="DD1157">
        <f>INDEX('Data_Price '!AM$2:AM$1266,MATCH(Data!$DN1157,'Data_Price '!$AT$2:$AT$1266,0))</f>
        <v>695.2</v>
      </c>
      <c r="DE1157" t="str">
        <f>INDEX('Data_Price '!AN$2:AN$1266,MATCH(Data!$DN1157,'Data_Price '!$AT$2:$AT$1266,0))</f>
        <v>https://tinyurl.com/ybowj4yj</v>
      </c>
      <c r="DF1157" t="str">
        <f>INDEX('Data_Price '!AO$2:AO$1266,MATCH(Data!$DN1157,'Data_Price '!$AT$2:$AT$1266,0))</f>
        <v>Faction Chapter 1.0 Skis</v>
      </c>
      <c r="DG1157" t="str">
        <f>INDEX('Data_Price '!AP$2:AP$1266,MATCH(Data!$DN1157,'Data_Price '!$AT$2:$AT$1266,0))</f>
        <v>The Locals Sale</v>
      </c>
      <c r="DH1157">
        <f>INDEX('Data_Price '!AQ$2:AQ$1266,MATCH(Data!$DN1157,'Data_Price '!$AT$2:$AT$1266,0))</f>
        <v>222</v>
      </c>
      <c r="DI1157" t="str">
        <f>INDEX('Data_Price '!AR$2:AR$1266,MATCH(Data!$DN1157,'Data_Price '!$AT$2:$AT$1266,0))</f>
        <v>https://tinyurl.com/yaup838q</v>
      </c>
      <c r="DJ1157" s="89" t="str">
        <f t="shared" si="661"/>
        <v>https://tinyurl.com/yb88rv3m</v>
      </c>
      <c r="DK1157" s="89" t="str">
        <f t="shared" si="662"/>
        <v>https://tinyurl.com/ybowj4yj</v>
      </c>
      <c r="DL1157" s="89" t="str">
        <f t="shared" si="663"/>
        <v>https://tinyurl.com/yaup838q</v>
      </c>
      <c r="DM1157" s="219" t="str">
        <f t="shared" si="664"/>
        <v>La Machine</v>
      </c>
      <c r="DN1157" s="89" t="str">
        <f t="shared" si="665"/>
        <v xml:space="preserve"> FactionLa Machine178 Unisex</v>
      </c>
      <c r="DO1157" s="221"/>
    </row>
    <row r="1158" spans="2:119" ht="15.6" customHeight="1">
      <c r="B1158" s="219" t="b">
        <f t="array" ref="B1158">IF(OR(ISERROR(K1158:P1158)),FALSE,TRUE)</f>
        <v>1</v>
      </c>
      <c r="C1158" s="43" t="b">
        <f>OR(BR1158=Driver!$G$50,Data!BR129=Driver!$H$50)</f>
        <v>1</v>
      </c>
      <c r="D1158" s="43" t="b">
        <f>OR(BV1158=Driver!$G$51,BV1158=Driver!$H$51)</f>
        <v>1</v>
      </c>
      <c r="E1158" s="43" t="b">
        <f>AND(BX1158&gt;Driver!$F$54,BX1158&lt;Driver!$G$54)</f>
        <v>1</v>
      </c>
      <c r="F1158" s="43" t="b">
        <f>CL1158&gt;Driver!$F$56</f>
        <v>1</v>
      </c>
      <c r="G1158" s="43" t="b">
        <f>AND(CB1158&gt;Driver!$F$55,CB1158&lt;Driver!$G$55)</f>
        <v>0</v>
      </c>
      <c r="H1158" s="43" t="b">
        <f t="shared" si="629"/>
        <v>0</v>
      </c>
      <c r="I1158" s="43">
        <f t="shared" si="630"/>
        <v>0</v>
      </c>
      <c r="J1158" s="43" t="b">
        <f t="array" ref="J1158">NOT(OR(($H$9:$H$1273=TRUE)*($I$9:$I$1273&gt;0)*($BT$9:$BT$1273=BT1158)*($K$9:$K$1273&gt;K1158)))</f>
        <v>1</v>
      </c>
      <c r="K1158" s="72">
        <f t="shared" si="631"/>
        <v>0.84479958592062343</v>
      </c>
      <c r="L1158" s="72">
        <f t="shared" si="632"/>
        <v>0.85149326495789257</v>
      </c>
      <c r="M1158" s="72">
        <f t="shared" si="633"/>
        <v>0.8381059068833544</v>
      </c>
      <c r="N1158" s="72">
        <f t="shared" si="634"/>
        <v>0.9200032500098061</v>
      </c>
      <c r="O1158" s="72">
        <f t="shared" si="635"/>
        <v>0.72696525247197719</v>
      </c>
      <c r="P1158" s="72">
        <f t="shared" si="636"/>
        <v>0.86734921816828003</v>
      </c>
      <c r="Q1158" s="72"/>
      <c r="R1158" s="72"/>
      <c r="S1158" s="72">
        <f t="shared" si="637"/>
        <v>0.39521639194255676</v>
      </c>
      <c r="T1158" s="72">
        <f t="shared" si="638"/>
        <v>0.44456373208805311</v>
      </c>
      <c r="U1158" s="72">
        <f t="shared" si="639"/>
        <v>0.93450030291521202</v>
      </c>
      <c r="V1158" s="72">
        <f t="shared" si="640"/>
        <v>0.61811394084843574</v>
      </c>
      <c r="W1158" s="72">
        <f t="shared" si="641"/>
        <v>0.93473867595818816</v>
      </c>
      <c r="X1158" s="72">
        <f t="shared" si="642"/>
        <v>0.14850673504210743</v>
      </c>
      <c r="Y1158" s="72">
        <f t="shared" si="643"/>
        <v>0.16189409311664563</v>
      </c>
      <c r="Z1158" s="72">
        <f t="shared" si="644"/>
        <v>7.9996749990193933E-2</v>
      </c>
      <c r="AA1158" s="72">
        <f t="shared" si="645"/>
        <v>0.27303474752802287</v>
      </c>
      <c r="AB1158" s="72">
        <f t="shared" si="646"/>
        <v>0.13265078183172002</v>
      </c>
      <c r="AC1158" s="72"/>
      <c r="AD1158" s="72"/>
      <c r="AE1158" s="72">
        <f t="shared" si="647"/>
        <v>0.60478360805744324</v>
      </c>
      <c r="AF1158" s="72">
        <f t="shared" si="648"/>
        <v>0.55543626791194689</v>
      </c>
      <c r="AG1158" s="72">
        <f t="shared" si="649"/>
        <v>6.5499697084787978E-2</v>
      </c>
      <c r="AH1158" s="72">
        <f t="shared" si="650"/>
        <v>0.38188605915156432</v>
      </c>
      <c r="AI1158" s="72">
        <f t="shared" si="651"/>
        <v>6.5261324041811786E-2</v>
      </c>
      <c r="AJ1158" s="72">
        <f>(AV1158-Driver!$K$179)/(Driver!$L$179-Driver!$K$179)</f>
        <v>0.10571267424059301</v>
      </c>
      <c r="AK1158" s="72">
        <f>(AW1158-Driver!$K$180)/(Driver!$L$180-Driver!$K$180)</f>
        <v>0.10893268744456627</v>
      </c>
      <c r="AL1158" s="72">
        <f>(AX1158-Driver!$K$181)/(Driver!$L$181-Driver!$K$181)</f>
        <v>2.1691013722886239E-2</v>
      </c>
      <c r="AM1158" s="72">
        <f>(AY1158-Driver!$K$182)/(Driver!$L$182-Driver!$K$182)</f>
        <v>0.1743502735690235</v>
      </c>
      <c r="AN1158" s="72">
        <f>(AZ1158-Driver!$K$183)/(Driver!$L$183-Driver!$K$183)</f>
        <v>0.1215686274509804</v>
      </c>
      <c r="AO1158" s="72"/>
      <c r="AP1158" s="72"/>
      <c r="AQ1158" s="72">
        <f>(BC1158-Driver!$K$188)/(Driver!$L$188-Driver!$K$188)</f>
        <v>1.5216391942556737E-2</v>
      </c>
      <c r="AR1158" s="72">
        <f>MIN((BD1158-Driver!$K$189)/(Driver!$L$189-Driver!$K$189),100%)</f>
        <v>-5.436267911946879E-3</v>
      </c>
      <c r="AS1158" s="72">
        <f>(BE1158-Driver!$K$190)/(Driver!$L$190-Driver!$K$190)</f>
        <v>0.44450030291521203</v>
      </c>
      <c r="AT1158" s="72">
        <f>(BF1158-Driver!$K$191)/(Driver!$L$191-Driver!$K$191)</f>
        <v>0.12811394084843569</v>
      </c>
      <c r="AU1158" s="72">
        <f>(BG1158-Driver!$K$192)/(Driver!$L$192-Driver!$K$192)</f>
        <v>0.31526132404181179</v>
      </c>
      <c r="AV1158" s="70">
        <f t="shared" si="652"/>
        <v>2.2249355582688914</v>
      </c>
      <c r="AW1158" s="70">
        <f t="shared" si="653"/>
        <v>12.488348254734445</v>
      </c>
      <c r="AX1158" s="70">
        <f t="shared" si="654"/>
        <v>1.1952191235059761</v>
      </c>
      <c r="AY1158" s="70">
        <f>IFERROR(Driver!$K$19/Data!BH1158/Data!BI1158*Data!BK1158*Data!BL1158,"")</f>
        <v>0.21345675594924249</v>
      </c>
      <c r="AZ1158" s="70">
        <f t="shared" si="655"/>
        <v>11.079672375279227</v>
      </c>
      <c r="BA1158" s="70"/>
      <c r="BB1158" s="70"/>
      <c r="BC1158" s="70">
        <f t="shared" si="656"/>
        <v>7.892848283244791</v>
      </c>
      <c r="BD1158" s="70">
        <f t="shared" si="657"/>
        <v>1.2397228063871832</v>
      </c>
      <c r="BE1158" s="70">
        <f t="shared" si="658"/>
        <v>0.44459939780875657</v>
      </c>
      <c r="BF1158" s="70">
        <f t="shared" si="659"/>
        <v>14.469569567456995</v>
      </c>
      <c r="BG1158" s="70">
        <f t="shared" si="660"/>
        <v>1.1937804878048779</v>
      </c>
      <c r="BH1158" s="67">
        <f>MAX((CE1158-Driver!$F$200)/(Driver!$G$200-Driver!$F$200)*$BI$1,1)</f>
        <v>1.1952191235059761</v>
      </c>
      <c r="BI1158" s="67">
        <f>MAX($BI$1*(BY1158-Driver!$F$201)/(Driver!$G$201-Driver!$F$201),1)</f>
        <v>6.075949367088608</v>
      </c>
      <c r="BJ1158" s="67">
        <f>(CB1158-Driver!$F$206)/(Driver!$G$206-Driver!$F$206)*$BI$1</f>
        <v>5.0793650793650791</v>
      </c>
      <c r="BK1158" s="67">
        <f>(CD1158-Driver!$F$203)/(Driver!$G$203-Driver!$F$203)*$BI$1</f>
        <v>1.6055045871559634</v>
      </c>
      <c r="BL1158" s="67">
        <f>MAX((CR1158-Driver!$F$202)/(Driver!$G$202-Driver!$F$202)*$BI$1,1)</f>
        <v>4.8275862068965516</v>
      </c>
      <c r="BM1158" s="67">
        <f>MAX((CH1158-Driver!$F$204)/(Driver!$G$204-Driver!$F$204)*$BI$1,1)</f>
        <v>1.7521367521367521</v>
      </c>
      <c r="BN1158" s="67">
        <f>(CI1158-Driver!$F$205)/(Driver!$G$205-Driver!$F$205)*$BI$1</f>
        <v>1.8235294117647058</v>
      </c>
      <c r="BO1158" s="67">
        <f>(CK1158-Driver!$F$207)/(Driver!$G$207-Driver!$F$207)*$BI$1</f>
        <v>1.923474663908997</v>
      </c>
      <c r="BP1158" s="67">
        <f>(CM1158-Driver!$F$208)/(Driver!$G$208-Driver!$F$208)*$BI$1</f>
        <v>2.3777777777777778</v>
      </c>
      <c r="BQ1158" s="67">
        <f>(CL1158-Driver!$F$209)/(Driver!$G$209-Driver!$F$209)*$BI$1</f>
        <v>2.5</v>
      </c>
      <c r="BR1158" s="28" t="s">
        <v>155</v>
      </c>
      <c r="BS1158" s="8" t="s">
        <v>156</v>
      </c>
      <c r="BT1158" s="9" t="s">
        <v>829</v>
      </c>
      <c r="BU1158" s="10">
        <v>156</v>
      </c>
      <c r="BV1158" s="9" t="s">
        <v>158</v>
      </c>
      <c r="BW1158" s="10">
        <v>156</v>
      </c>
      <c r="BX1158" s="10">
        <v>155</v>
      </c>
      <c r="BY1158" s="10">
        <v>104</v>
      </c>
      <c r="BZ1158" s="10">
        <v>121</v>
      </c>
      <c r="CA1158" s="10">
        <v>125</v>
      </c>
      <c r="CB1158" s="10">
        <v>96</v>
      </c>
      <c r="CC1158" s="10">
        <v>115</v>
      </c>
      <c r="CD1158" s="10">
        <v>12.9</v>
      </c>
      <c r="CE1158" s="10">
        <v>1110</v>
      </c>
      <c r="CF1158" s="10">
        <v>1.46</v>
      </c>
      <c r="CG1158" s="10">
        <v>1623</v>
      </c>
      <c r="CH1158" s="10">
        <v>142</v>
      </c>
      <c r="CI1158" s="10">
        <v>64</v>
      </c>
      <c r="CJ1158" s="10">
        <v>53</v>
      </c>
      <c r="CK1158" s="10">
        <v>296</v>
      </c>
      <c r="CL1158" s="10">
        <v>16</v>
      </c>
      <c r="CM1158" s="10">
        <v>214</v>
      </c>
      <c r="CN1158" s="10">
        <v>0.3</v>
      </c>
      <c r="CO1158" s="10">
        <v>179</v>
      </c>
      <c r="CP1158" s="10">
        <v>156</v>
      </c>
      <c r="CQ1158" s="10">
        <v>117</v>
      </c>
      <c r="CR1158" s="10">
        <v>3</v>
      </c>
      <c r="CS1158" s="10">
        <v>8.4</v>
      </c>
      <c r="CT1158" s="9" t="s">
        <v>185</v>
      </c>
      <c r="CU1158" s="9" t="s">
        <v>198</v>
      </c>
      <c r="CV1158" s="10"/>
      <c r="CW1158" s="10"/>
      <c r="CX1158" t="str">
        <f>INDEX('Data_Price '!AG$2:AG$1266,MATCH(Data!$DN1158,'Data_Price '!$AT$2:$AT$1266,0))</f>
        <v>Atomic W Backland 98 Alpine Touring Ski (2022) 156</v>
      </c>
      <c r="CY1158" t="str">
        <f>INDEX('Data_Price '!AH$2:AH$1266,MATCH(Data!$DN1158,'Data_Price '!$AT$2:$AT$1266,0))</f>
        <v>Cripple Creek Backcountry</v>
      </c>
      <c r="CZ1158">
        <f>INDEX('Data_Price '!AI$2:AI$1266,MATCH(Data!$DN1158,'Data_Price '!$AT$2:$AT$1266,0))</f>
        <v>489</v>
      </c>
      <c r="DA1158" t="str">
        <f>INDEX('Data_Price '!AJ$2:AJ$1266,MATCH(Data!$DN1158,'Data_Price '!$AT$2:$AT$1266,0))</f>
        <v>https://tinyurl.com/y9zu3rl2</v>
      </c>
      <c r="DB1158" t="str">
        <f>INDEX('Data_Price '!AK$2:AK$1266,MATCH(Data!$DN1158,'Data_Price '!$AT$2:$AT$1266,0))</f>
        <v>'22 Atomic Backland 98 W Skis 156cm</v>
      </c>
      <c r="DC1158" t="str">
        <f>INDEX('Data_Price '!AL$2:AL$1266,MATCH(Data!$DN1158,'Data_Price '!$AT$2:$AT$1266,0))</f>
        <v>Al's Ski Equipment Barn</v>
      </c>
      <c r="DD1158">
        <f>INDEX('Data_Price '!AM$2:AM$1266,MATCH(Data!$DN1158,'Data_Price '!$AT$2:$AT$1266,0))</f>
        <v>695</v>
      </c>
      <c r="DE1158" t="str">
        <f>INDEX('Data_Price '!AN$2:AN$1266,MATCH(Data!$DN1158,'Data_Price '!$AT$2:$AT$1266,0))</f>
        <v>https://tinyurl.com/y9xyldao</v>
      </c>
      <c r="DF1158" t="str">
        <f>INDEX('Data_Price '!AO$2:AO$1266,MATCH(Data!$DN1158,'Data_Price '!$AT$2:$AT$1266,0))</f>
        <v>2022 Atomic Backland 98 W Ladies' Snow Skis 156</v>
      </c>
      <c r="DG1158" t="str">
        <f>INDEX('Data_Price '!AP$2:AP$1266,MATCH(Data!$DN1158,'Data_Price '!$AT$2:$AT$1266,0))</f>
        <v>The Pro Shop</v>
      </c>
      <c r="DH1158">
        <f>INDEX('Data_Price '!AQ$2:AQ$1266,MATCH(Data!$DN1158,'Data_Price '!$AT$2:$AT$1266,0))</f>
        <v>699.99</v>
      </c>
      <c r="DI1158" t="str">
        <f>INDEX('Data_Price '!AR$2:AR$1266,MATCH(Data!$DN1158,'Data_Price '!$AT$2:$AT$1266,0))</f>
        <v>https://tinyurl.com/y8mzyzfs</v>
      </c>
      <c r="DJ1158" s="89" t="str">
        <f t="shared" si="661"/>
        <v>https://tinyurl.com/y9zu3rl2</v>
      </c>
      <c r="DK1158" s="89" t="str">
        <f t="shared" si="662"/>
        <v>https://tinyurl.com/y9xyldao</v>
      </c>
      <c r="DL1158" s="89" t="str">
        <f t="shared" si="663"/>
        <v>https://tinyurl.com/y8mzyzfs</v>
      </c>
      <c r="DM1158" s="219" t="str">
        <f t="shared" si="664"/>
        <v>Backland 98 W</v>
      </c>
      <c r="DN1158" s="89" t="str">
        <f t="shared" si="665"/>
        <v xml:space="preserve"> AtomicBackland 98 W156 Unisex</v>
      </c>
      <c r="DO1158" s="221" t="s">
        <v>830</v>
      </c>
    </row>
    <row r="1159" spans="2:119" ht="15.6" customHeight="1">
      <c r="B1159" s="219" t="b">
        <f t="array" ref="B1159">IF(OR(ISERROR(K1159:P1159)),FALSE,TRUE)</f>
        <v>1</v>
      </c>
      <c r="C1159" s="43" t="b">
        <f>OR(BR1159=Driver!$G$50,Data!BR270=Driver!$H$50)</f>
        <v>1</v>
      </c>
      <c r="D1159" s="43" t="b">
        <f>OR(BV1159=Driver!$G$51,BV1159=Driver!$H$51)</f>
        <v>1</v>
      </c>
      <c r="E1159" s="43" t="b">
        <f>AND(BX1159&gt;Driver!$F$54,BX1159&lt;Driver!$G$54)</f>
        <v>0</v>
      </c>
      <c r="F1159" s="43" t="b">
        <f>CL1159&gt;Driver!$F$56</f>
        <v>1</v>
      </c>
      <c r="G1159" s="43" t="b">
        <f>AND(CB1159&gt;Driver!$F$55,CB1159&lt;Driver!$G$55)</f>
        <v>0</v>
      </c>
      <c r="H1159" s="43" t="b">
        <f t="shared" si="629"/>
        <v>0</v>
      </c>
      <c r="I1159" s="43">
        <f t="shared" si="630"/>
        <v>0</v>
      </c>
      <c r="J1159" s="43" t="b">
        <f t="array" ref="J1159">NOT(OR(($H$9:$H$1273=TRUE)*($I$9:$I$1273&gt;0)*($BT$9:$BT$1273=BT1159)*($K$9:$K$1273&gt;K1159)))</f>
        <v>1</v>
      </c>
      <c r="K1159" s="72">
        <f t="shared" si="631"/>
        <v>0.73097703815846338</v>
      </c>
      <c r="L1159" s="72">
        <f t="shared" si="632"/>
        <v>0.92161123911107845</v>
      </c>
      <c r="M1159" s="72">
        <f t="shared" si="633"/>
        <v>0.5403428372058483</v>
      </c>
      <c r="N1159" s="72">
        <f t="shared" si="634"/>
        <v>0.33567245984917071</v>
      </c>
      <c r="O1159" s="72">
        <f t="shared" si="635"/>
        <v>0.62439644640724246</v>
      </c>
      <c r="P1159" s="72">
        <f t="shared" si="636"/>
        <v>0.66095960536113174</v>
      </c>
      <c r="Q1159" s="72"/>
      <c r="R1159" s="72"/>
      <c r="S1159" s="72">
        <f t="shared" si="637"/>
        <v>0.59852658408909754</v>
      </c>
      <c r="T1159" s="72">
        <f t="shared" si="638"/>
        <v>0.56480377758913769</v>
      </c>
      <c r="U1159" s="72">
        <f t="shared" si="639"/>
        <v>0.61429159447106796</v>
      </c>
      <c r="V1159" s="72">
        <f t="shared" si="640"/>
        <v>0.50281385648520205</v>
      </c>
      <c r="W1159" s="72">
        <f t="shared" si="641"/>
        <v>0.75568903941919152</v>
      </c>
      <c r="X1159" s="72">
        <f t="shared" si="642"/>
        <v>7.8388760888921494E-2</v>
      </c>
      <c r="Y1159" s="72">
        <f t="shared" si="643"/>
        <v>0.4596571627941517</v>
      </c>
      <c r="Z1159" s="72">
        <f t="shared" si="644"/>
        <v>0.66432754015082929</v>
      </c>
      <c r="AA1159" s="72">
        <f t="shared" si="645"/>
        <v>0.37560355359275754</v>
      </c>
      <c r="AB1159" s="72">
        <f t="shared" si="646"/>
        <v>0.3390403946388682</v>
      </c>
      <c r="AC1159" s="72"/>
      <c r="AD1159" s="72"/>
      <c r="AE1159" s="72">
        <f t="shared" si="647"/>
        <v>0.40147341591090246</v>
      </c>
      <c r="AF1159" s="72">
        <f t="shared" si="648"/>
        <v>0.43519622241086237</v>
      </c>
      <c r="AG1159" s="72">
        <f t="shared" si="649"/>
        <v>0.38570840552893204</v>
      </c>
      <c r="AH1159" s="72">
        <f t="shared" si="650"/>
        <v>0.4971861435147979</v>
      </c>
      <c r="AI1159" s="72">
        <f t="shared" si="651"/>
        <v>0.24431096058080851</v>
      </c>
      <c r="AJ1159" s="72">
        <f>(AV1159-Driver!$K$179)/(Driver!$L$179-Driver!$K$179)</f>
        <v>0.33260817017162192</v>
      </c>
      <c r="AK1159" s="72">
        <f>(AW1159-Driver!$K$180)/(Driver!$L$180-Driver!$K$180)</f>
        <v>0.61748490022155267</v>
      </c>
      <c r="AL1159" s="72">
        <f>(AX1159-Driver!$K$181)/(Driver!$L$181-Driver!$K$181)</f>
        <v>0.76601530386390948</v>
      </c>
      <c r="AM1159" s="72">
        <f>(AY1159-Driver!$K$182)/(Driver!$L$182-Driver!$K$182)</f>
        <v>7.1781467504288821E-2</v>
      </c>
      <c r="AN1159" s="72">
        <f>(AZ1159-Driver!$K$183)/(Driver!$L$183-Driver!$K$183)</f>
        <v>0.59325980392156863</v>
      </c>
      <c r="AO1159" s="72"/>
      <c r="AP1159" s="72"/>
      <c r="AQ1159" s="72">
        <f>(BC1159-Driver!$K$188)/(Driver!$L$188-Driver!$K$188)</f>
        <v>0.21852658408909756</v>
      </c>
      <c r="AR1159" s="72">
        <f>MIN((BD1159-Driver!$K$189)/(Driver!$L$189-Driver!$K$189),100%)</f>
        <v>0.11480377758913769</v>
      </c>
      <c r="AS1159" s="72">
        <f>(BE1159-Driver!$K$190)/(Driver!$L$190-Driver!$K$190)</f>
        <v>0.89570840552893205</v>
      </c>
      <c r="AT1159" s="72">
        <f>(BF1159-Driver!$K$191)/(Driver!$L$191-Driver!$K$191)</f>
        <v>1.2813856485202134E-2</v>
      </c>
      <c r="AU1159" s="72">
        <f>(BG1159-Driver!$K$192)/(Driver!$L$192-Driver!$K$192)</f>
        <v>5.6890394191914957E-3</v>
      </c>
      <c r="AV1159" s="70">
        <f t="shared" si="652"/>
        <v>7.0004070004069998</v>
      </c>
      <c r="AW1159" s="70">
        <f t="shared" si="653"/>
        <v>62.051267620868693</v>
      </c>
      <c r="AX1159" s="70">
        <f t="shared" si="654"/>
        <v>7.8941377347751853</v>
      </c>
      <c r="AY1159" s="70">
        <f>IFERROR(Driver!$K$19/Data!BH1159/Data!BI1159*Data!BK1159*Data!BL1159,"")</f>
        <v>8.7881933748016408E-2</v>
      </c>
      <c r="AZ1159" s="70">
        <f t="shared" si="655"/>
        <v>54.069247952345492</v>
      </c>
      <c r="BA1159" s="70"/>
      <c r="BB1159" s="70"/>
      <c r="BC1159" s="70">
        <f t="shared" si="656"/>
        <v>113.35125833918107</v>
      </c>
      <c r="BD1159" s="70">
        <f t="shared" si="657"/>
        <v>11.880753780479534</v>
      </c>
      <c r="BE1159" s="70">
        <f t="shared" si="658"/>
        <v>0.89572700997553378</v>
      </c>
      <c r="BF1159" s="70">
        <f t="shared" si="659"/>
        <v>1.4472350675668577</v>
      </c>
      <c r="BG1159" s="70">
        <f t="shared" si="660"/>
        <v>2.1542332455860902E-2</v>
      </c>
      <c r="BH1159" s="67">
        <f>MAX((CE1159-Driver!$F$200)/(Driver!$G$200-Driver!$F$200)*$BI$1,1)</f>
        <v>7.8941377347751853</v>
      </c>
      <c r="BI1159" s="67">
        <f>MAX($BI$1*(BY1159-Driver!$F$201)/(Driver!$G$201-Driver!$F$201),1)</f>
        <v>8.924050632911392</v>
      </c>
      <c r="BJ1159" s="67">
        <f>(CB1159-Driver!$F$206)/(Driver!$G$206-Driver!$F$206)*$BI$1</f>
        <v>5.0793650793650791</v>
      </c>
      <c r="BK1159" s="67">
        <f>(CD1159-Driver!$F$203)/(Driver!$G$203-Driver!$F$203)*$BI$1</f>
        <v>4.7247706422018352</v>
      </c>
      <c r="BL1159" s="67">
        <f>MAX((CR1159-Driver!$F$202)/(Driver!$G$202-Driver!$F$202)*$BI$1,1)</f>
        <v>6.5517241379310338</v>
      </c>
      <c r="BM1159" s="67">
        <f>MAX((CH1159-Driver!$F$204)/(Driver!$G$204-Driver!$F$204)*$BI$1,1)</f>
        <v>5.5128205128205128</v>
      </c>
      <c r="BN1159" s="67">
        <f>(CI1159-Driver!$F$205)/(Driver!$G$205-Driver!$F$205)*$BI$1</f>
        <v>6.0588235294117645</v>
      </c>
      <c r="BO1159" s="67">
        <f>(CK1159-Driver!$F$207)/(Driver!$G$207-Driver!$F$207)*$BI$1</f>
        <v>1.199586349534643</v>
      </c>
      <c r="BP1159" s="67">
        <f>(CM1159-Driver!$F$208)/(Driver!$G$208-Driver!$F$208)*$BI$1</f>
        <v>1.1222222222222222</v>
      </c>
      <c r="BQ1159" s="67">
        <f>(CL1159-Driver!$F$209)/(Driver!$G$209-Driver!$F$209)*$BI$1</f>
        <v>0.9375</v>
      </c>
      <c r="BR1159" s="28" t="s">
        <v>155</v>
      </c>
      <c r="BS1159" s="8" t="s">
        <v>317</v>
      </c>
      <c r="BT1159" s="9" t="s">
        <v>793</v>
      </c>
      <c r="BU1159" s="10">
        <v>183</v>
      </c>
      <c r="BV1159" s="9" t="s">
        <v>158</v>
      </c>
      <c r="BW1159" s="10">
        <v>183</v>
      </c>
      <c r="BX1159" s="10">
        <v>181.8</v>
      </c>
      <c r="BY1159" s="10">
        <v>149</v>
      </c>
      <c r="BZ1159" s="10">
        <v>157</v>
      </c>
      <c r="CA1159" s="10">
        <v>136</v>
      </c>
      <c r="CB1159" s="10">
        <v>96</v>
      </c>
      <c r="CC1159" s="10">
        <v>117</v>
      </c>
      <c r="CD1159" s="10">
        <v>19.7</v>
      </c>
      <c r="CE1159" s="10">
        <v>2287</v>
      </c>
      <c r="CF1159" s="10">
        <v>0.86</v>
      </c>
      <c r="CG1159" s="10">
        <v>1958</v>
      </c>
      <c r="CH1159" s="10">
        <v>230</v>
      </c>
      <c r="CI1159" s="10">
        <v>136</v>
      </c>
      <c r="CJ1159" s="10">
        <v>52</v>
      </c>
      <c r="CK1159" s="10">
        <v>226</v>
      </c>
      <c r="CL1159" s="10">
        <v>6</v>
      </c>
      <c r="CM1159" s="10">
        <v>101</v>
      </c>
      <c r="CN1159" s="10">
        <v>0.11600000000000001</v>
      </c>
      <c r="CO1159" s="10">
        <v>133</v>
      </c>
      <c r="CP1159" s="10">
        <v>119</v>
      </c>
      <c r="CQ1159" s="10">
        <v>93</v>
      </c>
      <c r="CR1159" s="10">
        <v>8</v>
      </c>
      <c r="CS1159" s="10">
        <v>11.3</v>
      </c>
      <c r="CT1159" s="9" t="s">
        <v>188</v>
      </c>
      <c r="CU1159" s="10"/>
      <c r="CV1159" s="10"/>
      <c r="CW1159" s="10"/>
      <c r="CX1159" t="str">
        <f>INDEX('Data_Price '!AG$2:AG$1266,MATCH(Data!$DN1159,'Data_Price '!$AT$2:$AT$1266,0))</f>
        <v>Blizzard Bonafide 97 21/22</v>
      </c>
      <c r="CY1159" t="str">
        <f>INDEX('Data_Price '!AH$2:AH$1266,MATCH(Data!$DN1159,'Data_Price '!$AT$2:$AT$1266,0))</f>
        <v>Snowcountry.eu</v>
      </c>
      <c r="CZ1159">
        <f>INDEX('Data_Price '!AI$2:AI$1266,MATCH(Data!$DN1159,'Data_Price '!$AT$2:$AT$1266,0))</f>
        <v>451.66</v>
      </c>
      <c r="DA1159" t="str">
        <f>INDEX('Data_Price '!AJ$2:AJ$1266,MATCH(Data!$DN1159,'Data_Price '!$AT$2:$AT$1266,0))</f>
        <v>https://tinyurl.com/yb2on7te</v>
      </c>
      <c r="DB1159" t="str">
        <f>INDEX('Data_Price '!AK$2:AK$1266,MATCH(Data!$DN1159,'Data_Price '!$AT$2:$AT$1266,0))</f>
        <v>Blizzard Bonafide 97 2021</v>
      </c>
      <c r="DC1159" t="str">
        <f>INDEX('Data_Price '!AL$2:AL$1266,MATCH(Data!$DN1159,'Data_Price '!$AT$2:$AT$1266,0))</f>
        <v>Level Nine Sports</v>
      </c>
      <c r="DD1159">
        <f>INDEX('Data_Price '!AM$2:AM$1266,MATCH(Data!$DN1159,'Data_Price '!$AT$2:$AT$1266,0))</f>
        <v>599.95000000000005</v>
      </c>
      <c r="DE1159" t="str">
        <f>INDEX('Data_Price '!AN$2:AN$1266,MATCH(Data!$DN1159,'Data_Price '!$AT$2:$AT$1266,0))</f>
        <v>https://tinyurl.com/y7fzrnvl</v>
      </c>
      <c r="DF1159" t="str">
        <f>INDEX('Data_Price '!AO$2:AO$1266,MATCH(Data!$DN1159,'Data_Price '!$AT$2:$AT$1266,0))</f>
        <v>Blizzard Bonafide 97 Skis</v>
      </c>
      <c r="DG1159" t="str">
        <f>INDEX('Data_Price '!AP$2:AP$1266,MATCH(Data!$DN1159,'Data_Price '!$AT$2:$AT$1266,0))</f>
        <v>Cole Sport</v>
      </c>
      <c r="DH1159">
        <f>INDEX('Data_Price '!AQ$2:AQ$1266,MATCH(Data!$DN1159,'Data_Price '!$AT$2:$AT$1266,0))</f>
        <v>599.95000000000005</v>
      </c>
      <c r="DI1159" t="str">
        <f>INDEX('Data_Price '!AR$2:AR$1266,MATCH(Data!$DN1159,'Data_Price '!$AT$2:$AT$1266,0))</f>
        <v>https://tinyurl.com/yctz6ud2</v>
      </c>
      <c r="DJ1159" s="89" t="str">
        <f t="shared" si="661"/>
        <v>https://tinyurl.com/yb2on7te</v>
      </c>
      <c r="DK1159" s="89" t="str">
        <f t="shared" si="662"/>
        <v>https://tinyurl.com/y7fzrnvl</v>
      </c>
      <c r="DL1159" s="89" t="str">
        <f t="shared" si="663"/>
        <v>https://tinyurl.com/yctz6ud2</v>
      </c>
      <c r="DM1159" s="219" t="str">
        <f t="shared" si="664"/>
        <v>Bonafide 97</v>
      </c>
      <c r="DN1159" s="89" t="str">
        <f t="shared" si="665"/>
        <v xml:space="preserve"> BlizzardBonafide 97183 Unisex</v>
      </c>
      <c r="DO1159" s="221" t="s">
        <v>794</v>
      </c>
    </row>
    <row r="1160" spans="2:119" ht="15.6" customHeight="1">
      <c r="B1160" s="219" t="b">
        <f t="array" ref="B1160">IF(OR(ISERROR(K1160:P1160)),FALSE,TRUE)</f>
        <v>1</v>
      </c>
      <c r="C1160" s="43" t="b">
        <f>OR(BR1160=Driver!$G$50,Data!BR648=Driver!$H$50)</f>
        <v>1</v>
      </c>
      <c r="D1160" s="43" t="b">
        <f>OR(BV1160=Driver!$G$51,BV1160=Driver!$H$51)</f>
        <v>1</v>
      </c>
      <c r="E1160" s="43" t="b">
        <f>AND(BX1160&gt;Driver!$F$54,BX1160&lt;Driver!$G$54)</f>
        <v>0</v>
      </c>
      <c r="F1160" s="43" t="b">
        <f>CL1160&gt;Driver!$F$56</f>
        <v>1</v>
      </c>
      <c r="G1160" s="43" t="b">
        <f>AND(CB1160&gt;Driver!$F$55,CB1160&lt;Driver!$G$55)</f>
        <v>0</v>
      </c>
      <c r="H1160" s="43" t="b">
        <f t="shared" si="629"/>
        <v>0</v>
      </c>
      <c r="I1160" s="43">
        <f t="shared" si="630"/>
        <v>0</v>
      </c>
      <c r="J1160" s="43" t="b">
        <f t="array" ref="J1160">NOT(OR(($H$9:$H$1273=TRUE)*($I$9:$I$1273&gt;0)*($BT$9:$BT$1273=BT1160)*($K$9:$K$1273&gt;K1160)))</f>
        <v>1</v>
      </c>
      <c r="K1160" s="72">
        <f t="shared" si="631"/>
        <v>0.68672095163135172</v>
      </c>
      <c r="L1160" s="72">
        <f t="shared" si="632"/>
        <v>0.77792949088650432</v>
      </c>
      <c r="M1160" s="72">
        <f t="shared" si="633"/>
        <v>0.59551241237619923</v>
      </c>
      <c r="N1160" s="72">
        <f t="shared" si="634"/>
        <v>0.38626374550021736</v>
      </c>
      <c r="O1160" s="72">
        <f t="shared" si="635"/>
        <v>0.59948545489469973</v>
      </c>
      <c r="P1160" s="72">
        <f t="shared" si="636"/>
        <v>0.80078803673368071</v>
      </c>
      <c r="Q1160" s="72"/>
      <c r="R1160" s="72"/>
      <c r="S1160" s="72">
        <f t="shared" si="637"/>
        <v>0.70305605890624512</v>
      </c>
      <c r="T1160" s="72">
        <f t="shared" si="638"/>
        <v>0.55000000000000004</v>
      </c>
      <c r="U1160" s="72">
        <f t="shared" si="639"/>
        <v>0.51</v>
      </c>
      <c r="V1160" s="72">
        <f t="shared" si="640"/>
        <v>0.49021035625800724</v>
      </c>
      <c r="W1160" s="72">
        <f t="shared" si="641"/>
        <v>0.75292784371027033</v>
      </c>
      <c r="X1160" s="72">
        <f t="shared" si="642"/>
        <v>0.22207050911349568</v>
      </c>
      <c r="Y1160" s="72">
        <f t="shared" si="643"/>
        <v>0.40448758762380077</v>
      </c>
      <c r="Z1160" s="72">
        <f t="shared" si="644"/>
        <v>0.61373625449978264</v>
      </c>
      <c r="AA1160" s="72">
        <f t="shared" si="645"/>
        <v>0.40051454510530027</v>
      </c>
      <c r="AB1160" s="72">
        <f t="shared" si="646"/>
        <v>0.19921196326631929</v>
      </c>
      <c r="AC1160" s="72"/>
      <c r="AD1160" s="72"/>
      <c r="AE1160" s="72">
        <f t="shared" si="647"/>
        <v>0.29694394109375488</v>
      </c>
      <c r="AF1160" s="72">
        <f t="shared" si="648"/>
        <v>0.44999999999999996</v>
      </c>
      <c r="AG1160" s="72">
        <f t="shared" si="649"/>
        <v>0.49</v>
      </c>
      <c r="AH1160" s="72">
        <f t="shared" si="650"/>
        <v>0.50978964374199276</v>
      </c>
      <c r="AI1160" s="72">
        <f t="shared" si="651"/>
        <v>0.24707215628972967</v>
      </c>
      <c r="AJ1160" s="72">
        <f>(AV1160-Driver!$K$179)/(Driver!$L$179-Driver!$K$179)</f>
        <v>3.2148900169204728E-2</v>
      </c>
      <c r="AK1160" s="72">
        <f>(AW1160-Driver!$K$180)/(Driver!$L$180-Driver!$K$180)</f>
        <v>0.48173862767828368</v>
      </c>
      <c r="AL1160" s="72">
        <f>(AX1160-Driver!$K$181)/(Driver!$L$181-Driver!$K$181)</f>
        <v>0.71542401821286283</v>
      </c>
      <c r="AM1160" s="72">
        <f>(AY1160-Driver!$K$182)/(Driver!$L$182-Driver!$K$182)</f>
        <v>4.6870475991746069E-2</v>
      </c>
      <c r="AN1160" s="72">
        <f>(AZ1160-Driver!$K$183)/(Driver!$L$183-Driver!$K$183)</f>
        <v>0.45343137254901972</v>
      </c>
      <c r="AO1160" s="72"/>
      <c r="AP1160" s="72"/>
      <c r="AQ1160" s="72">
        <f>(BC1160-Driver!$K$188)/(Driver!$L$188-Driver!$K$188)</f>
        <v>0.32305605890624511</v>
      </c>
      <c r="AR1160" s="72">
        <f>MIN((BD1160-Driver!$K$189)/(Driver!$L$189-Driver!$K$189),100%)</f>
        <v>1</v>
      </c>
      <c r="AS1160" s="72">
        <f>(BE1160-Driver!$K$190)/(Driver!$L$190-Driver!$K$190)</f>
        <v>1</v>
      </c>
      <c r="AT1160" s="72">
        <f>(BF1160-Driver!$K$191)/(Driver!$L$191-Driver!$K$191)</f>
        <v>2.103562580072064E-4</v>
      </c>
      <c r="AU1160" s="72">
        <f>(BG1160-Driver!$K$192)/(Driver!$L$192-Driver!$K$192)</f>
        <v>2.9278437102703198E-3</v>
      </c>
      <c r="AV1160" s="70">
        <f t="shared" si="652"/>
        <v>0.67663817663817649</v>
      </c>
      <c r="AW1160" s="70">
        <f t="shared" si="653"/>
        <v>48.821590527189969</v>
      </c>
      <c r="AX1160" s="70">
        <f t="shared" si="654"/>
        <v>7.4388161639157655</v>
      </c>
      <c r="AY1160" s="70">
        <f>IFERROR(Driver!$K$19/Data!BH1160/Data!BI1160*Data!BK1160*Data!BL1160,"")</f>
        <v>5.7383447414174338E-2</v>
      </c>
      <c r="AZ1160" s="70">
        <f t="shared" si="655"/>
        <v>41.325390915860027</v>
      </c>
      <c r="BA1160" s="70"/>
      <c r="BB1160" s="70"/>
      <c r="BC1160" s="70">
        <f t="shared" si="656"/>
        <v>167.57142360395514</v>
      </c>
      <c r="BD1160" s="70">
        <f t="shared" si="657"/>
        <v>229.77716130304191</v>
      </c>
      <c r="BE1160" s="70">
        <f t="shared" si="658"/>
        <v>1</v>
      </c>
      <c r="BF1160" s="70">
        <f t="shared" si="659"/>
        <v>2.3758261505561755E-2</v>
      </c>
      <c r="BG1160" s="70">
        <f t="shared" si="660"/>
        <v>1.1086684049450329E-2</v>
      </c>
      <c r="BH1160" s="67">
        <f>MAX((CE1160-Driver!$F$200)/(Driver!$G$200-Driver!$F$200)*$BI$1,1)</f>
        <v>7.4388161639157655</v>
      </c>
      <c r="BI1160" s="67">
        <f>MAX($BI$1*(BY1160-Driver!$F$201)/(Driver!$G$201-Driver!$F$201),1)</f>
        <v>9.4936708860759502</v>
      </c>
      <c r="BJ1160" s="67">
        <f>(CB1160-Driver!$F$206)/(Driver!$G$206-Driver!$F$206)*$BI$1</f>
        <v>0.47619047619047616</v>
      </c>
      <c r="BK1160" s="67">
        <f>(CD1160-Driver!$F$203)/(Driver!$G$203-Driver!$F$203)*$BI$1</f>
        <v>2.7981651376146792</v>
      </c>
      <c r="BL1160" s="67">
        <f>MAX((CR1160-Driver!$F$202)/(Driver!$G$202-Driver!$F$202)*$BI$1,1)</f>
        <v>7.2413793103448274</v>
      </c>
      <c r="BM1160" s="67">
        <f>MAX((CH1160-Driver!$F$204)/(Driver!$G$204-Driver!$F$204)*$BI$1,1)</f>
        <v>5.6837606837606831</v>
      </c>
      <c r="BN1160" s="67">
        <f>(CI1160-Driver!$F$205)/(Driver!$G$205-Driver!$F$205)*$BI$1</f>
        <v>4.3529411764705888</v>
      </c>
      <c r="BO1160" s="67">
        <f>(CK1160-Driver!$F$207)/(Driver!$G$207-Driver!$F$207)*$BI$1</f>
        <v>0.27921406411582211</v>
      </c>
      <c r="BP1160" s="67">
        <f>(CM1160-Driver!$F$208)/(Driver!$G$208-Driver!$F$208)*$BI$1</f>
        <v>0.5</v>
      </c>
      <c r="BQ1160" s="67">
        <f>(CL1160-Driver!$F$209)/(Driver!$G$209-Driver!$F$209)*$BI$1</f>
        <v>0.46875</v>
      </c>
      <c r="BR1160" s="28" t="s">
        <v>155</v>
      </c>
      <c r="BS1160" s="8" t="s">
        <v>167</v>
      </c>
      <c r="BT1160" s="9" t="s">
        <v>733</v>
      </c>
      <c r="BU1160" s="10">
        <v>177</v>
      </c>
      <c r="BV1160" s="9" t="s">
        <v>158</v>
      </c>
      <c r="BW1160" s="10">
        <v>177</v>
      </c>
      <c r="BX1160" s="10">
        <v>176.2</v>
      </c>
      <c r="BY1160" s="10">
        <v>158</v>
      </c>
      <c r="BZ1160" s="10">
        <v>165</v>
      </c>
      <c r="CA1160" s="10">
        <v>121</v>
      </c>
      <c r="CB1160" s="10">
        <v>67</v>
      </c>
      <c r="CC1160" s="10">
        <v>102</v>
      </c>
      <c r="CD1160" s="10">
        <v>15.5</v>
      </c>
      <c r="CE1160" s="10">
        <v>2207</v>
      </c>
      <c r="CF1160" s="10">
        <v>0.66</v>
      </c>
      <c r="CG1160" s="10">
        <v>1461</v>
      </c>
      <c r="CH1160" s="10">
        <v>234</v>
      </c>
      <c r="CI1160" s="10">
        <v>107</v>
      </c>
      <c r="CJ1160" s="10">
        <v>37</v>
      </c>
      <c r="CK1160" s="10">
        <v>137</v>
      </c>
      <c r="CL1160" s="10">
        <v>3</v>
      </c>
      <c r="CM1160" s="10">
        <v>45</v>
      </c>
      <c r="CN1160" s="10">
        <v>9.1999999999999998E-2</v>
      </c>
      <c r="CO1160" s="10">
        <v>61</v>
      </c>
      <c r="CP1160" s="10">
        <v>52</v>
      </c>
      <c r="CQ1160" s="10">
        <v>76</v>
      </c>
      <c r="CR1160" s="10">
        <v>10</v>
      </c>
      <c r="CS1160" s="10">
        <v>12.8</v>
      </c>
      <c r="CT1160" s="9" t="s">
        <v>349</v>
      </c>
      <c r="CU1160" s="10"/>
      <c r="CV1160" s="10"/>
      <c r="CW1160" s="10"/>
      <c r="CX1160" t="str">
        <f>INDEX('Data_Price '!AG$2:AG$1266,MATCH(Data!$DN1160,'Data_Price '!$AT$2:$AT$1266,0))</f>
        <v>Head Supershape I.titan 177 Cm Men's Skis W/ Freeflex Pro Bindings</v>
      </c>
      <c r="CY1160" t="str">
        <f>INDEX('Data_Price '!AH$2:AH$1266,MATCH(Data!$DN1160,'Data_Price '!$AT$2:$AT$1266,0))</f>
        <v>eBay - terrbake_60</v>
      </c>
      <c r="CZ1160">
        <f>INDEX('Data_Price '!AI$2:AI$1266,MATCH(Data!$DN1160,'Data_Price '!$AT$2:$AT$1266,0))</f>
        <v>150</v>
      </c>
      <c r="DA1160" t="str">
        <f>INDEX('Data_Price '!AJ$2:AJ$1266,MATCH(Data!$DN1160,'Data_Price '!$AT$2:$AT$1266,0))</f>
        <v>https://tinyurl.com/y7w8moxh</v>
      </c>
      <c r="DB1160" t="str">
        <f>INDEX('Data_Price '!AK$2:AK$1266,MATCH(Data!$DN1160,'Data_Price '!$AT$2:$AT$1266,0))</f>
        <v>Head Supershape i.Magnum Skis w Head PRX 12 Demo Bindings  Demo</v>
      </c>
      <c r="DC1160" t="str">
        <f>INDEX('Data_Price '!AL$2:AL$1266,MATCH(Data!$DN1160,'Data_Price '!$AT$2:$AT$1266,0))</f>
        <v>Powder7 Ski Shop</v>
      </c>
      <c r="DD1160">
        <f>INDEX('Data_Price '!AM$2:AM$1266,MATCH(Data!$DN1160,'Data_Price '!$AT$2:$AT$1266,0))</f>
        <v>379.99</v>
      </c>
      <c r="DE1160" t="str">
        <f>INDEX('Data_Price '!AN$2:AN$1266,MATCH(Data!$DN1160,'Data_Price '!$AT$2:$AT$1266,0))</f>
        <v>https://tinyurl.com/y8yoy3va</v>
      </c>
      <c r="DF1160" t="str">
        <f>INDEX('Data_Price '!AO$2:AO$1266,MATCH(Data!$DN1160,'Data_Price '!$AT$2:$AT$1266,0))</f>
        <v xml:space="preserve">2022 Head Supershape Titan w Head PRD 12 Demo Bindings, Black/Blue / 177 / </v>
      </c>
      <c r="DG1160" t="str">
        <f>INDEX('Data_Price '!AP$2:AP$1266,MATCH(Data!$DN1160,'Data_Price '!$AT$2:$AT$1266,0))</f>
        <v>Lone Pine Gear Exchange</v>
      </c>
      <c r="DH1160">
        <f>INDEX('Data_Price '!AQ$2:AQ$1266,MATCH(Data!$DN1160,'Data_Price '!$AT$2:$AT$1266,0))</f>
        <v>575</v>
      </c>
      <c r="DI1160" t="str">
        <f>INDEX('Data_Price '!AR$2:AR$1266,MATCH(Data!$DN1160,'Data_Price '!$AT$2:$AT$1266,0))</f>
        <v>https://tinyurl.com/y7g9nhnf</v>
      </c>
      <c r="DJ1160" s="89" t="str">
        <f t="shared" si="661"/>
        <v>https://tinyurl.com/y7w8moxh</v>
      </c>
      <c r="DK1160" s="89" t="str">
        <f t="shared" si="662"/>
        <v>https://tinyurl.com/y8yoy3va</v>
      </c>
      <c r="DL1160" s="89" t="str">
        <f t="shared" si="663"/>
        <v>https://tinyurl.com/y7g9nhnf</v>
      </c>
      <c r="DM1160" s="219" t="str">
        <f t="shared" si="664"/>
        <v>Supershape e-Speed</v>
      </c>
      <c r="DN1160" s="89" t="str">
        <f t="shared" si="665"/>
        <v xml:space="preserve"> HeadSupershape e-Speed177 Unisex</v>
      </c>
      <c r="DO1160" s="221"/>
    </row>
    <row r="1161" spans="2:119" ht="15.6" customHeight="1">
      <c r="B1161" s="219" t="b">
        <f t="array" ref="B1161">IF(OR(ISERROR(K1161:P1161)),FALSE,TRUE)</f>
        <v>1</v>
      </c>
      <c r="C1161" s="43" t="b">
        <f>OR(BR1161=Driver!$G$50,Data!BR1052=Driver!$H$50)</f>
        <v>1</v>
      </c>
      <c r="D1161" s="43" t="b">
        <f>OR(BV1161=Driver!$G$51,BV1161=Driver!$H$51)</f>
        <v>1</v>
      </c>
      <c r="E1161" s="43" t="b">
        <f>AND(BX1161&gt;Driver!$F$54,BX1161&lt;Driver!$G$54)</f>
        <v>0</v>
      </c>
      <c r="F1161" s="43" t="b">
        <f>CL1161&gt;Driver!$F$56</f>
        <v>1</v>
      </c>
      <c r="G1161" s="43" t="b">
        <f>AND(CB1161&gt;Driver!$F$55,CB1161&lt;Driver!$G$55)</f>
        <v>0</v>
      </c>
      <c r="H1161" s="43" t="b">
        <f t="shared" ref="H1161:H1224" si="666">AND(B1161:G1161)</f>
        <v>0</v>
      </c>
      <c r="I1161" s="43">
        <f t="shared" ref="I1161:I1224" si="667">COUNTIFS($H$9:$H$1273,TRUE,$BT$9:$BT$1273,BT1161)</f>
        <v>0</v>
      </c>
      <c r="J1161" s="43" t="b">
        <f t="array" ref="J1161">NOT(OR(($H$9:$H$1273=TRUE)*($I$9:$I$1273&gt;0)*($BT$9:$BT$1273=BT1161)*($K$9:$K$1273&gt;K1161)))</f>
        <v>1</v>
      </c>
      <c r="K1161" s="72">
        <f t="shared" ref="K1161:K1224" si="668">IFERROR(1-AVERAGE(X1161:Y1161),"")</f>
        <v>0.7785780912361655</v>
      </c>
      <c r="L1161" s="72">
        <f t="shared" ref="L1161:L1224" si="669">1-X1161</f>
        <v>0.77720432772479286</v>
      </c>
      <c r="M1161" s="72">
        <f t="shared" ref="M1161:M1224" si="670">1-Y1161</f>
        <v>0.77995185474753825</v>
      </c>
      <c r="N1161" s="72">
        <f t="shared" ref="N1161:N1224" si="671">1-Z1161</f>
        <v>0.89027942879876909</v>
      </c>
      <c r="O1161" s="72">
        <f t="shared" ref="O1161:O1224" si="672">1-AA1161</f>
        <v>0.61261907413831063</v>
      </c>
      <c r="P1161" s="72">
        <f t="shared" ref="P1161:P1224" si="673">1-AB1161</f>
        <v>0.83695706130553482</v>
      </c>
      <c r="Q1161" s="72"/>
      <c r="R1161" s="72"/>
      <c r="S1161" s="72">
        <f t="shared" ref="S1161:S1224" si="674">1-AE1161</f>
        <v>0.39341552677801572</v>
      </c>
      <c r="T1161" s="72">
        <f t="shared" ref="T1161:T1224" si="675">1-AF1161</f>
        <v>0.68944311353703647</v>
      </c>
      <c r="U1161" s="72">
        <f t="shared" ref="U1161:U1224" si="676">1-AG1161</f>
        <v>0.51</v>
      </c>
      <c r="V1161" s="72">
        <f t="shared" ref="V1161:V1224" si="677">1-AH1161</f>
        <v>0.49254690780852428</v>
      </c>
      <c r="W1161" s="72">
        <f t="shared" ref="W1161:W1224" si="678">1-AI1161</f>
        <v>0.79264705882352948</v>
      </c>
      <c r="X1161" s="72">
        <f t="shared" ref="X1161:X1224" si="679">ABS(AJ1161-AJ$1)</f>
        <v>0.22279567227520708</v>
      </c>
      <c r="Y1161" s="72">
        <f t="shared" ref="Y1161:Y1224" si="680">AVERAGE(Z1161:AB1161)</f>
        <v>0.22004814525246177</v>
      </c>
      <c r="Z1161" s="72">
        <f t="shared" ref="Z1161:Z1224" si="681">ABS(AL1161-AL$1)</f>
        <v>0.10972057120123087</v>
      </c>
      <c r="AA1161" s="72">
        <f t="shared" ref="AA1161:AA1224" si="682">ABS(AM1161-AM$1)</f>
        <v>0.38738092586168932</v>
      </c>
      <c r="AB1161" s="72">
        <f t="shared" ref="AB1161:AB1224" si="683">ABS(AN1161-AN$1)</f>
        <v>0.16304293869446512</v>
      </c>
      <c r="AC1161" s="72"/>
      <c r="AD1161" s="72"/>
      <c r="AE1161" s="72">
        <f t="shared" ref="AE1161:AE1224" si="684">ABS(AQ$1-AQ1161)</f>
        <v>0.60658447322198428</v>
      </c>
      <c r="AF1161" s="72">
        <f t="shared" ref="AF1161:AF1224" si="685">ABS(AR$1-AR1161)</f>
        <v>0.31055688646296359</v>
      </c>
      <c r="AG1161" s="72">
        <f t="shared" ref="AG1161:AG1224" si="686">ABS(AS$1-AS1161)</f>
        <v>0.49</v>
      </c>
      <c r="AH1161" s="72">
        <f t="shared" ref="AH1161:AH1224" si="687">ABS(AT$1-AT1161)</f>
        <v>0.50745309219147572</v>
      </c>
      <c r="AI1161" s="72">
        <f t="shared" ref="AI1161:AI1224" si="688">ABS(AU$1-AU1161)</f>
        <v>0.20735294117647057</v>
      </c>
      <c r="AJ1161" s="72">
        <f>(AV1161-Driver!$K$179)/(Driver!$L$179-Driver!$K$179)</f>
        <v>3.1423737007493346E-2</v>
      </c>
      <c r="AK1161" s="72">
        <f>(AW1161-Driver!$K$180)/(Driver!$L$180-Driver!$K$180)</f>
        <v>9.6594599025899272E-2</v>
      </c>
      <c r="AL1161" s="72">
        <f>(AX1161-Driver!$K$181)/(Driver!$L$181-Driver!$K$181)</f>
        <v>0.21140833491431105</v>
      </c>
      <c r="AM1161" s="72">
        <f>(AY1161-Driver!$K$182)/(Driver!$L$182-Driver!$K$182)</f>
        <v>6.0004095235357061E-2</v>
      </c>
      <c r="AN1161" s="72">
        <f>(AZ1161-Driver!$K$183)/(Driver!$L$183-Driver!$K$183)</f>
        <v>9.1176470588235289E-2</v>
      </c>
      <c r="AO1161" s="72"/>
      <c r="AP1161" s="72"/>
      <c r="AQ1161" s="72">
        <f>(BC1161-Driver!$K$188)/(Driver!$L$188-Driver!$K$188)</f>
        <v>1.3415526778015703E-2</v>
      </c>
      <c r="AR1161" s="72">
        <f>MIN((BD1161-Driver!$K$189)/(Driver!$L$189-Driver!$K$189),100%)</f>
        <v>0.23944311353703646</v>
      </c>
      <c r="AS1161" s="72">
        <f>(BE1161-Driver!$K$190)/(Driver!$L$190-Driver!$K$190)</f>
        <v>1</v>
      </c>
      <c r="AT1161" s="72">
        <f>(BF1161-Driver!$K$191)/(Driver!$L$191-Driver!$K$191)</f>
        <v>2.5469078085243028E-3</v>
      </c>
      <c r="AU1161" s="72">
        <f>(BG1161-Driver!$K$192)/(Driver!$L$192-Driver!$K$192)</f>
        <v>4.2647058823529413E-2</v>
      </c>
      <c r="AV1161" s="70">
        <f t="shared" ref="AV1161:AV1224" si="689">IFERROR(BM1161*BJ1161^1/4,"")</f>
        <v>0.66137566137566128</v>
      </c>
      <c r="AW1161" s="70">
        <f t="shared" ref="AW1161:AW1224" si="690">IFERROR(SUM(AX1161:AZ1161),"")</f>
        <v>11.285892211750337</v>
      </c>
      <c r="AX1161" s="70">
        <f t="shared" ref="AX1161:AX1224" si="691">IFERROR(BH1161,"")</f>
        <v>2.9026750142287994</v>
      </c>
      <c r="AY1161" s="70">
        <f>IFERROR(Driver!$K$19/Data!BH1161/Data!BI1161*Data!BK1161*Data!BL1161,"")</f>
        <v>7.3462916062119327E-2</v>
      </c>
      <c r="AZ1161" s="70">
        <f t="shared" ref="AZ1161:AZ1224" si="692">IFERROR(BI1161*BN1161,"")</f>
        <v>8.3097542814594192</v>
      </c>
      <c r="BA1161" s="70"/>
      <c r="BB1161" s="70"/>
      <c r="BC1161" s="70">
        <f t="shared" ref="BC1161:BC1224" si="693">IFERROR(BI1161*BN1161*BK1161/BJ1161^(1/2),"")</f>
        <v>6.9587270029858423</v>
      </c>
      <c r="BD1161" s="70">
        <f t="shared" ref="BD1161:BD1224" si="694">IFERROR(BH1161*BM1161*BL1161/BJ1161/BK1161,"")</f>
        <v>22.911114164033531</v>
      </c>
      <c r="BE1161" s="70">
        <f t="shared" ref="BE1161:BE1224" si="695">IFERROR(MIN(BI1161/BQ1161/BP1161/BO1161/BH1161,$BE$1),"")</f>
        <v>1</v>
      </c>
      <c r="BF1161" s="70">
        <f t="shared" ref="BF1161:BF1224" si="696">IFERROR(BJ1161*BO1161*BP1161/BK1161,"")</f>
        <v>0.28765534393278963</v>
      </c>
      <c r="BG1161" s="70">
        <f t="shared" ref="BG1161:BG1224" si="697">IFERROR(1/BM1161/BH1161*BQ1161,"")</f>
        <v>0.1614889705882353</v>
      </c>
      <c r="BH1161" s="67">
        <f>MAX((CE1161-Driver!$F$200)/(Driver!$G$200-Driver!$F$200)*$BI$1,1)</f>
        <v>2.9026750142287994</v>
      </c>
      <c r="BI1161" s="67">
        <f>MAX($BI$1*(BY1161-Driver!$F$201)/(Driver!$G$201-Driver!$F$201),1)</f>
        <v>7.8481012658227849</v>
      </c>
      <c r="BJ1161" s="67">
        <f>(CB1161-Driver!$F$206)/(Driver!$G$206-Driver!$F$206)*$BI$1</f>
        <v>1.5873015873015872</v>
      </c>
      <c r="BK1161" s="67">
        <f>(CD1161-Driver!$F$203)/(Driver!$G$203-Driver!$F$203)*$BI$1</f>
        <v>1.0550458715596327</v>
      </c>
      <c r="BL1161" s="67">
        <f>MAX((CR1161-Driver!$F$202)/(Driver!$G$202-Driver!$F$202)*$BI$1,1)</f>
        <v>7.931034482758621</v>
      </c>
      <c r="BM1161" s="67">
        <f>MAX((CH1161-Driver!$F$204)/(Driver!$G$204-Driver!$F$204)*$BI$1,1)</f>
        <v>1.6666666666666665</v>
      </c>
      <c r="BN1161" s="67">
        <f>(CI1161-Driver!$F$205)/(Driver!$G$205-Driver!$F$205)*$BI$1</f>
        <v>1.0588235294117647</v>
      </c>
      <c r="BO1161" s="67">
        <f>(CK1161-Driver!$F$207)/(Driver!$G$207-Driver!$F$207)*$BI$1</f>
        <v>0.26887280248190282</v>
      </c>
      <c r="BP1161" s="67">
        <f>(CM1161-Driver!$F$208)/(Driver!$G$208-Driver!$F$208)*$BI$1</f>
        <v>0.71111111111111114</v>
      </c>
      <c r="BQ1161" s="67">
        <f>(CL1161-Driver!$F$209)/(Driver!$G$209-Driver!$F$209)*$BI$1</f>
        <v>0.78125</v>
      </c>
      <c r="BR1161" s="28" t="s">
        <v>155</v>
      </c>
      <c r="BS1161" s="8" t="s">
        <v>172</v>
      </c>
      <c r="BT1161" s="9" t="s">
        <v>674</v>
      </c>
      <c r="BU1161" s="10">
        <v>154</v>
      </c>
      <c r="BV1161" s="9" t="s">
        <v>158</v>
      </c>
      <c r="BW1161" s="10">
        <v>154</v>
      </c>
      <c r="BX1161" s="10">
        <v>152.30000000000001</v>
      </c>
      <c r="BY1161" s="10">
        <v>132</v>
      </c>
      <c r="BZ1161" s="10">
        <v>137</v>
      </c>
      <c r="CA1161" s="10">
        <v>121</v>
      </c>
      <c r="CB1161" s="10">
        <v>74</v>
      </c>
      <c r="CC1161" s="10">
        <v>107</v>
      </c>
      <c r="CD1161" s="10">
        <v>11.7</v>
      </c>
      <c r="CE1161" s="10">
        <v>1410</v>
      </c>
      <c r="CF1161" s="10">
        <v>0.96</v>
      </c>
      <c r="CG1161" s="10">
        <v>1356</v>
      </c>
      <c r="CH1161" s="10">
        <v>140</v>
      </c>
      <c r="CI1161" s="10">
        <v>51</v>
      </c>
      <c r="CJ1161" s="10">
        <v>33</v>
      </c>
      <c r="CK1161" s="10">
        <v>136</v>
      </c>
      <c r="CL1161" s="10">
        <v>5</v>
      </c>
      <c r="CM1161" s="10">
        <v>64</v>
      </c>
      <c r="CN1161" s="10">
        <v>0.14299999999999999</v>
      </c>
      <c r="CO1161" s="10">
        <v>78</v>
      </c>
      <c r="CP1161" s="10">
        <v>80</v>
      </c>
      <c r="CQ1161" s="10">
        <v>58</v>
      </c>
      <c r="CR1161" s="10">
        <v>12</v>
      </c>
      <c r="CS1161" s="10">
        <v>8</v>
      </c>
      <c r="CT1161" s="9" t="s">
        <v>349</v>
      </c>
      <c r="CU1161" s="9" t="s">
        <v>231</v>
      </c>
      <c r="CV1161" s="10"/>
      <c r="CW1161" s="10"/>
      <c r="CX1161" t="str">
        <f>INDEX('Data_Price '!AG$2:AG$1266,MATCH(Data!$DN1161,'Data_Price '!$AT$2:$AT$1266,0))</f>
        <v>Rossignol React 2 Skis W Xpress 10 Gw Bindings 2022 - Na</v>
      </c>
      <c r="CY1161" t="str">
        <f>INDEX('Data_Price '!AH$2:AH$1266,MATCH(Data!$DN1161,'Data_Price '!$AT$2:$AT$1266,0))</f>
        <v>Geiger's</v>
      </c>
      <c r="CZ1161">
        <f>INDEX('Data_Price '!AI$2:AI$1266,MATCH(Data!$DN1161,'Data_Price '!$AT$2:$AT$1266,0))</f>
        <v>299.99</v>
      </c>
      <c r="DA1161" t="str">
        <f>INDEX('Data_Price '!AJ$2:AJ$1266,MATCH(Data!$DN1161,'Data_Price '!$AT$2:$AT$1266,0))</f>
        <v>https://tinyurl.com/yc3qgmwv</v>
      </c>
      <c r="DB1161" t="str">
        <f>INDEX('Data_Price '!AK$2:AK$1266,MATCH(Data!$DN1161,'Data_Price '!$AT$2:$AT$1266,0))</f>
        <v>Rossignol React 4 Sport CA Skis with Xpress 11 GW Bindings - 154cm</v>
      </c>
      <c r="DC1161" t="str">
        <f>INDEX('Data_Price '!AL$2:AL$1266,MATCH(Data!$DN1161,'Data_Price '!$AT$2:$AT$1266,0))</f>
        <v>The-House.com</v>
      </c>
      <c r="DD1161">
        <f>INDEX('Data_Price '!AM$2:AM$1266,MATCH(Data!$DN1161,'Data_Price '!$AT$2:$AT$1266,0))</f>
        <v>399.95</v>
      </c>
      <c r="DE1161" t="str">
        <f>INDEX('Data_Price '!AN$2:AN$1266,MATCH(Data!$DN1161,'Data_Price '!$AT$2:$AT$1266,0))</f>
        <v>https://tinyurl.com/y8fpbfu6</v>
      </c>
      <c r="DF1161" t="str">
        <f>INDEX('Data_Price '!AO$2:AO$1266,MATCH(Data!$DN1161,'Data_Price '!$AT$2:$AT$1266,0))</f>
        <v>Rossignol Men's on Piste Skis React R2 (with XP10 Bindings) 154</v>
      </c>
      <c r="DG1161" t="str">
        <f>INDEX('Data_Price '!AP$2:AP$1266,MATCH(Data!$DN1161,'Data_Price '!$AT$2:$AT$1266,0))</f>
        <v>shop.petersonsskiandcycle.com</v>
      </c>
      <c r="DH1161">
        <f>INDEX('Data_Price '!AQ$2:AQ$1266,MATCH(Data!$DN1161,'Data_Price '!$AT$2:$AT$1266,0))</f>
        <v>399.99</v>
      </c>
      <c r="DI1161" t="str">
        <f>INDEX('Data_Price '!AR$2:AR$1266,MATCH(Data!$DN1161,'Data_Price '!$AT$2:$AT$1266,0))</f>
        <v>https://tinyurl.com/yarq3ake</v>
      </c>
      <c r="DJ1161" s="89" t="str">
        <f t="shared" ref="DJ1161:DJ1224" si="698">DA1161</f>
        <v>https://tinyurl.com/yc3qgmwv</v>
      </c>
      <c r="DK1161" s="89" t="str">
        <f t="shared" ref="DK1161:DK1224" si="699">DE1161</f>
        <v>https://tinyurl.com/y8fpbfu6</v>
      </c>
      <c r="DL1161" s="89" t="str">
        <f t="shared" ref="DL1161:DL1224" si="700">DI1161</f>
        <v>https://tinyurl.com/yarq3ake</v>
      </c>
      <c r="DM1161" s="219" t="str">
        <f t="shared" ref="DM1161:DM1224" si="701">IF(LEFT(BT1161,1)=" ",RIGHT(BT1161,LEN(BT1161)-1),BT1161)</f>
        <v>React 2</v>
      </c>
      <c r="DN1161" s="89" t="str">
        <f t="shared" ref="DN1161:DN1224" si="702">_xlfn.CONCAT(BS1161,DM1161,BU1161,BV1161)</f>
        <v xml:space="preserve"> RossignolReact 2154 Unisex</v>
      </c>
      <c r="DO1161" s="221"/>
    </row>
    <row r="1162" spans="2:119" ht="15.6" customHeight="1">
      <c r="B1162" s="219" t="b">
        <f t="array" ref="B1162">IF(OR(ISERROR(K1162:P1162)),FALSE,TRUE)</f>
        <v>1</v>
      </c>
      <c r="C1162" s="43" t="b">
        <f>OR(BR1162=Driver!$G$50,Data!BR310=Driver!$H$50)</f>
        <v>1</v>
      </c>
      <c r="D1162" s="43" t="b">
        <f>OR(BV1162=Driver!$G$51,BV1162=Driver!$H$51)</f>
        <v>1</v>
      </c>
      <c r="E1162" s="43" t="b">
        <f>AND(BX1162&gt;Driver!$F$54,BX1162&lt;Driver!$G$54)</f>
        <v>1</v>
      </c>
      <c r="F1162" s="43" t="b">
        <f>CL1162&gt;Driver!$F$56</f>
        <v>1</v>
      </c>
      <c r="G1162" s="43" t="b">
        <f>AND(CB1162&gt;Driver!$F$55,CB1162&lt;Driver!$G$55)</f>
        <v>0</v>
      </c>
      <c r="H1162" s="43" t="b">
        <f t="shared" si="666"/>
        <v>0</v>
      </c>
      <c r="I1162" s="43">
        <f t="shared" si="667"/>
        <v>0</v>
      </c>
      <c r="J1162" s="43" t="b">
        <f t="array" ref="J1162">NOT(OR(($H$9:$H$1273=TRUE)*($I$9:$I$1273&gt;0)*($BT$9:$BT$1273=BT1162)*($K$9:$K$1273&gt;K1162)))</f>
        <v>1</v>
      </c>
      <c r="K1162" s="72">
        <f t="shared" si="668"/>
        <v>0.70195504194380975</v>
      </c>
      <c r="L1162" s="72">
        <f t="shared" si="669"/>
        <v>0.79315791728244345</v>
      </c>
      <c r="M1162" s="72">
        <f t="shared" si="670"/>
        <v>0.61075216660517606</v>
      </c>
      <c r="N1162" s="72">
        <f t="shared" si="671"/>
        <v>0.51337435069847204</v>
      </c>
      <c r="O1162" s="72">
        <f t="shared" si="672"/>
        <v>0.59072483133762366</v>
      </c>
      <c r="P1162" s="72">
        <f t="shared" si="673"/>
        <v>0.72815731777943249</v>
      </c>
      <c r="Q1162" s="72"/>
      <c r="R1162" s="72"/>
      <c r="S1162" s="72">
        <f t="shared" si="674"/>
        <v>0.53206404685433595</v>
      </c>
      <c r="T1162" s="72">
        <f t="shared" si="675"/>
        <v>0.55000000000000004</v>
      </c>
      <c r="U1162" s="72">
        <f t="shared" si="676"/>
        <v>0.51</v>
      </c>
      <c r="V1162" s="72">
        <f t="shared" si="677"/>
        <v>0.4908786831939409</v>
      </c>
      <c r="W1162" s="72">
        <f t="shared" si="678"/>
        <v>0.76095647119607335</v>
      </c>
      <c r="X1162" s="72">
        <f t="shared" si="679"/>
        <v>0.20684208271755661</v>
      </c>
      <c r="Y1162" s="72">
        <f t="shared" si="680"/>
        <v>0.38924783339482394</v>
      </c>
      <c r="Z1162" s="72">
        <f t="shared" si="681"/>
        <v>0.48662564930152796</v>
      </c>
      <c r="AA1162" s="72">
        <f t="shared" si="682"/>
        <v>0.4092751686623764</v>
      </c>
      <c r="AB1162" s="72">
        <f t="shared" si="683"/>
        <v>0.27184268222056746</v>
      </c>
      <c r="AC1162" s="72"/>
      <c r="AD1162" s="72"/>
      <c r="AE1162" s="72">
        <f t="shared" si="684"/>
        <v>0.46793595314566405</v>
      </c>
      <c r="AF1162" s="72">
        <f t="shared" si="685"/>
        <v>0.44999999999999996</v>
      </c>
      <c r="AG1162" s="72">
        <f t="shared" si="686"/>
        <v>0.49</v>
      </c>
      <c r="AH1162" s="72">
        <f t="shared" si="687"/>
        <v>0.5091213168060591</v>
      </c>
      <c r="AI1162" s="72">
        <f t="shared" si="688"/>
        <v>0.23904352880392662</v>
      </c>
      <c r="AJ1162" s="72">
        <f>(AV1162-Driver!$K$179)/(Driver!$L$179-Driver!$K$179)</f>
        <v>4.7377326565143825E-2</v>
      </c>
      <c r="AK1162" s="72">
        <f>(AW1162-Driver!$K$180)/(Driver!$L$180-Driver!$K$180)</f>
        <v>0.53781138954353225</v>
      </c>
      <c r="AL1162" s="72">
        <f>(AX1162-Driver!$K$181)/(Driver!$L$181-Driver!$K$181)</f>
        <v>0.58831341301460816</v>
      </c>
      <c r="AM1162" s="72">
        <f>(AY1162-Driver!$K$182)/(Driver!$L$182-Driver!$K$182)</f>
        <v>3.8109852434669952E-2</v>
      </c>
      <c r="AN1162" s="72">
        <f>(AZ1162-Driver!$K$183)/(Driver!$L$183-Driver!$K$183)</f>
        <v>0.52606209150326788</v>
      </c>
      <c r="AO1162" s="72"/>
      <c r="AP1162" s="72"/>
      <c r="AQ1162" s="72">
        <f>(BC1162-Driver!$K$188)/(Driver!$L$188-Driver!$K$188)</f>
        <v>0.15206404685433592</v>
      </c>
      <c r="AR1162" s="72">
        <f>MIN((BD1162-Driver!$K$189)/(Driver!$L$189-Driver!$K$189),100%)</f>
        <v>1</v>
      </c>
      <c r="AS1162" s="72">
        <f>(BE1162-Driver!$K$190)/(Driver!$L$190-Driver!$K$190)</f>
        <v>1</v>
      </c>
      <c r="AT1162" s="72">
        <f>(BF1162-Driver!$K$191)/(Driver!$L$191-Driver!$K$191)</f>
        <v>8.7868319394088386E-4</v>
      </c>
      <c r="AU1162" s="72">
        <f>(BG1162-Driver!$K$192)/(Driver!$L$192-Driver!$K$192)</f>
        <v>1.0956471196073365E-2</v>
      </c>
      <c r="AV1162" s="70">
        <f t="shared" si="689"/>
        <v>0.9971509971509972</v>
      </c>
      <c r="AW1162" s="70">
        <f t="shared" si="690"/>
        <v>54.286378026172855</v>
      </c>
      <c r="AX1162" s="70">
        <f t="shared" si="691"/>
        <v>6.2948207171314738</v>
      </c>
      <c r="AY1162" s="70">
        <f>IFERROR(Driver!$K$19/Data!BH1162/Data!BI1162*Data!BK1162*Data!BL1162,"")</f>
        <v>4.6657830262528968E-2</v>
      </c>
      <c r="AZ1162" s="70">
        <f t="shared" si="692"/>
        <v>47.944899478778851</v>
      </c>
      <c r="BA1162" s="70"/>
      <c r="BB1162" s="70"/>
      <c r="BC1162" s="70">
        <f t="shared" si="693"/>
        <v>78.876678235447301</v>
      </c>
      <c r="BD1162" s="70">
        <f t="shared" si="694"/>
        <v>136.74176151274656</v>
      </c>
      <c r="BE1162" s="70">
        <f t="shared" si="695"/>
        <v>1</v>
      </c>
      <c r="BF1162" s="70">
        <f t="shared" si="696"/>
        <v>9.9241093656812357E-2</v>
      </c>
      <c r="BG1162" s="70">
        <f t="shared" si="697"/>
        <v>4.1488189421338154E-2</v>
      </c>
      <c r="BH1162" s="67">
        <f>MAX((CE1162-Driver!$F$200)/(Driver!$G$200-Driver!$F$200)*$BI$1,1)</f>
        <v>6.2948207171314738</v>
      </c>
      <c r="BI1162" s="67">
        <f>MAX($BI$1*(BY1162-Driver!$F$201)/(Driver!$G$201-Driver!$F$201),1)</f>
        <v>8.6708860759493671</v>
      </c>
      <c r="BJ1162" s="67">
        <f>(CB1162-Driver!$F$206)/(Driver!$G$206-Driver!$F$206)*$BI$1</f>
        <v>0.95238095238095233</v>
      </c>
      <c r="BK1162" s="67">
        <f>(CD1162-Driver!$F$203)/(Driver!$G$203-Driver!$F$203)*$BI$1</f>
        <v>1.6055045871559634</v>
      </c>
      <c r="BL1162" s="67">
        <f>MAX((CR1162-Driver!$F$202)/(Driver!$G$202-Driver!$F$202)*$BI$1,1)</f>
        <v>7.931034482758621</v>
      </c>
      <c r="BM1162" s="67">
        <f>MAX((CH1162-Driver!$F$204)/(Driver!$G$204-Driver!$F$204)*$BI$1,1)</f>
        <v>4.1880341880341883</v>
      </c>
      <c r="BN1162" s="67">
        <f>(CI1162-Driver!$F$205)/(Driver!$G$205-Driver!$F$205)*$BI$1</f>
        <v>5.5294117647058822</v>
      </c>
      <c r="BO1162" s="67">
        <f>(CK1162-Driver!$F$207)/(Driver!$G$207-Driver!$F$207)*$BI$1</f>
        <v>0.28955532574974147</v>
      </c>
      <c r="BP1162" s="67">
        <f>(CM1162-Driver!$F$208)/(Driver!$G$208-Driver!$F$208)*$BI$1</f>
        <v>0.57777777777777772</v>
      </c>
      <c r="BQ1162" s="67">
        <f>(CL1162-Driver!$F$209)/(Driver!$G$209-Driver!$F$209)*$BI$1</f>
        <v>1.09375</v>
      </c>
      <c r="BR1162" s="28" t="s">
        <v>155</v>
      </c>
      <c r="BS1162" s="8" t="s">
        <v>317</v>
      </c>
      <c r="BT1162" s="9" t="s">
        <v>850</v>
      </c>
      <c r="BU1162" s="10">
        <v>165</v>
      </c>
      <c r="BV1162" s="9" t="s">
        <v>158</v>
      </c>
      <c r="BW1162" s="10">
        <v>165</v>
      </c>
      <c r="BX1162" s="10">
        <v>163.9</v>
      </c>
      <c r="BY1162" s="10">
        <v>145</v>
      </c>
      <c r="BZ1162" s="10">
        <v>151</v>
      </c>
      <c r="CA1162" s="10">
        <v>121</v>
      </c>
      <c r="CB1162" s="10">
        <v>70</v>
      </c>
      <c r="CC1162" s="10">
        <v>104</v>
      </c>
      <c r="CD1162" s="10">
        <v>12.9</v>
      </c>
      <c r="CE1162" s="10">
        <v>2006</v>
      </c>
      <c r="CF1162" s="10">
        <v>0.7</v>
      </c>
      <c r="CG1162" s="10">
        <v>1404</v>
      </c>
      <c r="CH1162" s="10">
        <v>199</v>
      </c>
      <c r="CI1162" s="10">
        <v>127</v>
      </c>
      <c r="CJ1162" s="10">
        <v>38</v>
      </c>
      <c r="CK1162" s="10">
        <v>138</v>
      </c>
      <c r="CL1162" s="10">
        <v>7</v>
      </c>
      <c r="CM1162" s="10">
        <v>52</v>
      </c>
      <c r="CN1162" s="10">
        <v>0.183</v>
      </c>
      <c r="CO1162" s="10">
        <v>72</v>
      </c>
      <c r="CP1162" s="10">
        <v>55</v>
      </c>
      <c r="CQ1162" s="10">
        <v>66</v>
      </c>
      <c r="CR1162" s="10">
        <v>12</v>
      </c>
      <c r="CS1162" s="10">
        <v>11.9</v>
      </c>
      <c r="CT1162" s="9" t="s">
        <v>349</v>
      </c>
      <c r="CU1162" s="10"/>
      <c r="CV1162" s="10"/>
      <c r="CW1162" s="10"/>
      <c r="CX1162" t="str">
        <f>INDEX('Data_Price '!AG$2:AG$1266,MATCH(Data!$DN1162,'Data_Price '!$AT$2:$AT$1266,0))</f>
        <v>Blizzard Firebird SRC Skis w/ Xcell 14 Bindings</v>
      </c>
      <c r="CY1162" t="str">
        <f>INDEX('Data_Price '!AH$2:AH$1266,MATCH(Data!$DN1162,'Data_Price '!$AT$2:$AT$1266,0))</f>
        <v>The-House.com</v>
      </c>
      <c r="CZ1162">
        <f>INDEX('Data_Price '!AI$2:AI$1266,MATCH(Data!$DN1162,'Data_Price '!$AT$2:$AT$1266,0))</f>
        <v>1099.95</v>
      </c>
      <c r="DA1162" t="str">
        <f>INDEX('Data_Price '!AJ$2:AJ$1266,MATCH(Data!$DN1162,'Data_Price '!$AT$2:$AT$1266,0))</f>
        <v>https://tinyurl.com/yaqpgz69</v>
      </c>
      <c r="DB1162" t="str">
        <f>INDEX('Data_Price '!AK$2:AK$1266,MATCH(Data!$DN1162,'Data_Price '!$AT$2:$AT$1266,0))</f>
        <v>2022 Blizzard Firebird SRC + Marker Xcell 14 Binding - 165</v>
      </c>
      <c r="DC1162" t="str">
        <f>INDEX('Data_Price '!AL$2:AL$1266,MATCH(Data!$DN1162,'Data_Price '!$AT$2:$AT$1266,0))</f>
        <v>Pinewski's Ski and Board Shop</v>
      </c>
      <c r="DD1162">
        <f>INDEX('Data_Price '!AM$2:AM$1266,MATCH(Data!$DN1162,'Data_Price '!$AT$2:$AT$1266,0))</f>
        <v>1099.95</v>
      </c>
      <c r="DE1162" t="str">
        <f>INDEX('Data_Price '!AN$2:AN$1266,MATCH(Data!$DN1162,'Data_Price '!$AT$2:$AT$1266,0))</f>
        <v>https://tinyurl.com/yaafu7as</v>
      </c>
      <c r="DF1162" t="str">
        <f>INDEX('Data_Price '!AO$2:AO$1266,MATCH(Data!$DN1162,'Data_Price '!$AT$2:$AT$1266,0))</f>
        <v>Blizzard Firebird SRC WC-PISTON(FL+PL) - Orange/Blue - Skis 165</v>
      </c>
      <c r="DG1162" t="str">
        <f>INDEX('Data_Price '!AP$2:AP$1266,MATCH(Data!$DN1162,'Data_Price '!$AT$2:$AT$1266,0))</f>
        <v>eBay - grassisport</v>
      </c>
      <c r="DH1162">
        <f>INDEX('Data_Price '!AQ$2:AQ$1266,MATCH(Data!$DN1162,'Data_Price '!$AT$2:$AT$1266,0))</f>
        <v>627.24</v>
      </c>
      <c r="DI1162" t="str">
        <f>INDEX('Data_Price '!AR$2:AR$1266,MATCH(Data!$DN1162,'Data_Price '!$AT$2:$AT$1266,0))</f>
        <v>https://tinyurl.com/y74tykvz</v>
      </c>
      <c r="DJ1162" s="89" t="str">
        <f t="shared" si="698"/>
        <v>https://tinyurl.com/yaqpgz69</v>
      </c>
      <c r="DK1162" s="89" t="str">
        <f t="shared" si="699"/>
        <v>https://tinyurl.com/yaafu7as</v>
      </c>
      <c r="DL1162" s="89" t="str">
        <f t="shared" si="700"/>
        <v>https://tinyurl.com/y74tykvz</v>
      </c>
      <c r="DM1162" s="219" t="str">
        <f t="shared" si="701"/>
        <v>SRC</v>
      </c>
      <c r="DN1162" s="89" t="str">
        <f t="shared" si="702"/>
        <v xml:space="preserve"> BlizzardSRC165 Unisex</v>
      </c>
      <c r="DO1162" s="221"/>
    </row>
    <row r="1163" spans="2:119" ht="15.6" customHeight="1">
      <c r="B1163" s="219" t="b">
        <f t="array" ref="B1163">IF(OR(ISERROR(K1163:P1163)),FALSE,TRUE)</f>
        <v>1</v>
      </c>
      <c r="C1163" s="43" t="b">
        <f>OR(BR1163=Driver!$G$50,Data!BR736=Driver!$H$50)</f>
        <v>1</v>
      </c>
      <c r="D1163" s="43" t="b">
        <f>OR(BV1163=Driver!$G$51,BV1163=Driver!$H$51)</f>
        <v>0</v>
      </c>
      <c r="E1163" s="43" t="b">
        <f>AND(BX1163&gt;Driver!$F$54,BX1163&lt;Driver!$G$54)</f>
        <v>0</v>
      </c>
      <c r="F1163" s="43" t="b">
        <f>CL1163&gt;Driver!$F$56</f>
        <v>1</v>
      </c>
      <c r="G1163" s="43" t="b">
        <f>AND(CB1163&gt;Driver!$F$55,CB1163&lt;Driver!$G$55)</f>
        <v>0</v>
      </c>
      <c r="H1163" s="43" t="b">
        <f t="shared" si="666"/>
        <v>0</v>
      </c>
      <c r="I1163" s="43">
        <f t="shared" si="667"/>
        <v>0</v>
      </c>
      <c r="J1163" s="43" t="b">
        <f t="array" ref="J1163">NOT(OR(($H$9:$H$1273=TRUE)*($I$9:$I$1273&gt;0)*($BT$9:$BT$1273=BT1163)*($K$9:$K$1273&gt;K1163)))</f>
        <v>1</v>
      </c>
      <c r="K1163" s="72">
        <f t="shared" si="668"/>
        <v>0.79943513058299032</v>
      </c>
      <c r="L1163" s="72">
        <f t="shared" si="669"/>
        <v>0.79291619622853959</v>
      </c>
      <c r="M1163" s="72">
        <f t="shared" si="670"/>
        <v>0.80595406493744115</v>
      </c>
      <c r="N1163" s="72">
        <f t="shared" si="671"/>
        <v>0.93897354123790155</v>
      </c>
      <c r="O1163" s="72">
        <f t="shared" si="672"/>
        <v>0.62383518704012875</v>
      </c>
      <c r="P1163" s="72">
        <f t="shared" si="673"/>
        <v>0.85505346653429304</v>
      </c>
      <c r="Q1163" s="72"/>
      <c r="R1163" s="72"/>
      <c r="S1163" s="72">
        <f t="shared" si="674"/>
        <v>0.39016874419210923</v>
      </c>
      <c r="T1163" s="72">
        <f t="shared" si="675"/>
        <v>0.47642676464390543</v>
      </c>
      <c r="U1163" s="72">
        <f t="shared" si="676"/>
        <v>0.51</v>
      </c>
      <c r="V1163" s="72">
        <f t="shared" si="677"/>
        <v>0.54475698728963762</v>
      </c>
      <c r="W1163" s="72">
        <f t="shared" si="678"/>
        <v>0.91743648960739033</v>
      </c>
      <c r="X1163" s="72">
        <f t="shared" si="679"/>
        <v>0.20708380377146041</v>
      </c>
      <c r="Y1163" s="72">
        <f t="shared" si="680"/>
        <v>0.19404593506255888</v>
      </c>
      <c r="Z1163" s="72">
        <f t="shared" si="681"/>
        <v>6.1026458762098487E-2</v>
      </c>
      <c r="AA1163" s="72">
        <f t="shared" si="682"/>
        <v>0.37616481295987125</v>
      </c>
      <c r="AB1163" s="72">
        <f t="shared" si="683"/>
        <v>0.14494653346570696</v>
      </c>
      <c r="AC1163" s="72"/>
      <c r="AD1163" s="72"/>
      <c r="AE1163" s="72">
        <f t="shared" si="684"/>
        <v>0.60983125580789077</v>
      </c>
      <c r="AF1163" s="72">
        <f t="shared" si="685"/>
        <v>0.52357323535609457</v>
      </c>
      <c r="AG1163" s="72">
        <f t="shared" si="686"/>
        <v>0.49</v>
      </c>
      <c r="AH1163" s="72">
        <f t="shared" si="687"/>
        <v>0.45524301271036244</v>
      </c>
      <c r="AI1163" s="72">
        <f t="shared" si="688"/>
        <v>8.2563510392609729E-2</v>
      </c>
      <c r="AJ1163" s="72">
        <f>(AV1163-Driver!$K$179)/(Driver!$L$179-Driver!$K$179)</f>
        <v>4.713560551124002E-2</v>
      </c>
      <c r="AK1163" s="72">
        <f>(AW1163-Driver!$K$180)/(Driver!$L$180-Driver!$K$180)</f>
        <v>0.10916172195264434</v>
      </c>
      <c r="AL1163" s="72">
        <f>(AX1163-Driver!$K$181)/(Driver!$L$181-Driver!$K$181)</f>
        <v>0.16271422247517867</v>
      </c>
      <c r="AM1163" s="72">
        <f>(AY1163-Driver!$K$182)/(Driver!$L$182-Driver!$K$182)</f>
        <v>7.1220208137175139E-2</v>
      </c>
      <c r="AN1163" s="72">
        <f>(AZ1163-Driver!$K$183)/(Driver!$L$183-Driver!$K$183)</f>
        <v>0.10927287581699346</v>
      </c>
      <c r="AO1163" s="72"/>
      <c r="AP1163" s="72"/>
      <c r="AQ1163" s="72">
        <f>(BC1163-Driver!$K$188)/(Driver!$L$188-Driver!$K$188)</f>
        <v>1.0168744192109187E-2</v>
      </c>
      <c r="AR1163" s="72">
        <f>MIN((BD1163-Driver!$K$189)/(Driver!$L$189-Driver!$K$189),100%)</f>
        <v>2.6426764643905479E-2</v>
      </c>
      <c r="AS1163" s="72">
        <f>(BE1163-Driver!$K$190)/(Driver!$L$190-Driver!$K$190)</f>
        <v>1</v>
      </c>
      <c r="AT1163" s="72">
        <f>(BF1163-Driver!$K$191)/(Driver!$L$191-Driver!$K$191)</f>
        <v>5.4756987289637564E-2</v>
      </c>
      <c r="AU1163" s="72">
        <f>(BG1163-Driver!$K$192)/(Driver!$L$192-Driver!$K$192)</f>
        <v>0.16743648960739027</v>
      </c>
      <c r="AV1163" s="70">
        <f t="shared" si="689"/>
        <v>0.99206349206349198</v>
      </c>
      <c r="AW1163" s="70">
        <f t="shared" si="690"/>
        <v>12.510669696998848</v>
      </c>
      <c r="AX1163" s="70">
        <f t="shared" si="691"/>
        <v>2.4644280022766081</v>
      </c>
      <c r="AY1163" s="70">
        <f>IFERROR(Driver!$K$19/Data!BH1163/Data!BI1163*Data!BK1163*Data!BL1163,"")</f>
        <v>8.7194784819037058E-2</v>
      </c>
      <c r="AZ1163" s="70">
        <f t="shared" si="692"/>
        <v>9.9590469099032024</v>
      </c>
      <c r="BA1163" s="70"/>
      <c r="BB1163" s="70"/>
      <c r="BC1163" s="70">
        <f t="shared" si="693"/>
        <v>5.2745983044097819</v>
      </c>
      <c r="BD1163" s="70">
        <f t="shared" si="694"/>
        <v>4.0595447296272207</v>
      </c>
      <c r="BE1163" s="70">
        <f t="shared" si="695"/>
        <v>1</v>
      </c>
      <c r="BF1163" s="70">
        <f t="shared" si="696"/>
        <v>6.1844170247569386</v>
      </c>
      <c r="BG1163" s="70">
        <f t="shared" si="697"/>
        <v>0.63402136258660502</v>
      </c>
      <c r="BH1163" s="67">
        <f>MAX((CE1163-Driver!$F$200)/(Driver!$G$200-Driver!$F$200)*$BI$1,1)</f>
        <v>2.4644280022766081</v>
      </c>
      <c r="BI1163" s="67">
        <f>MAX($BI$1*(BY1163-Driver!$F$201)/(Driver!$G$201-Driver!$F$201),1)</f>
        <v>6.7721518987341769</v>
      </c>
      <c r="BJ1163" s="67">
        <f>(CB1163-Driver!$F$206)/(Driver!$G$206-Driver!$F$206)*$BI$1</f>
        <v>3.9682539682539679</v>
      </c>
      <c r="BK1163" s="67">
        <f>(CD1163-Driver!$F$203)/(Driver!$G$203-Driver!$F$203)*$BI$1</f>
        <v>1.0550458715596327</v>
      </c>
      <c r="BL1163" s="67">
        <f>MAX((CR1163-Driver!$F$202)/(Driver!$G$202-Driver!$F$202)*$BI$1,1)</f>
        <v>6.8965517241379315</v>
      </c>
      <c r="BM1163" s="67">
        <f>MAX((CH1163-Driver!$F$204)/(Driver!$G$204-Driver!$F$204)*$BI$1,1)</f>
        <v>1</v>
      </c>
      <c r="BN1163" s="67">
        <f>(CI1163-Driver!$F$205)/(Driver!$G$205-Driver!$F$205)*$BI$1</f>
        <v>1.4705882352941178</v>
      </c>
      <c r="BO1163" s="67">
        <f>(CK1163-Driver!$F$207)/(Driver!$G$207-Driver!$F$207)*$BI$1</f>
        <v>1.0961737331954498</v>
      </c>
      <c r="BP1163" s="67">
        <f>(CM1163-Driver!$F$208)/(Driver!$G$208-Driver!$F$208)*$BI$1</f>
        <v>1.5</v>
      </c>
      <c r="BQ1163" s="67">
        <f>(CL1163-Driver!$F$209)/(Driver!$G$209-Driver!$F$209)*$BI$1</f>
        <v>1.5625</v>
      </c>
      <c r="BR1163" s="28" t="s">
        <v>155</v>
      </c>
      <c r="BS1163" s="8" t="s">
        <v>262</v>
      </c>
      <c r="BT1163" s="9" t="s">
        <v>808</v>
      </c>
      <c r="BU1163" s="10">
        <v>149</v>
      </c>
      <c r="BV1163" s="9" t="s">
        <v>163</v>
      </c>
      <c r="BW1163" s="10">
        <v>149</v>
      </c>
      <c r="BX1163" s="10">
        <v>150</v>
      </c>
      <c r="BY1163" s="10">
        <v>115</v>
      </c>
      <c r="BZ1163" s="10">
        <v>123</v>
      </c>
      <c r="CA1163" s="10">
        <v>126</v>
      </c>
      <c r="CB1163" s="10">
        <v>89</v>
      </c>
      <c r="CC1163" s="10">
        <v>112</v>
      </c>
      <c r="CD1163" s="10">
        <v>11.7</v>
      </c>
      <c r="CE1163" s="10">
        <v>1333</v>
      </c>
      <c r="CF1163" s="10">
        <v>1.1399999999999999</v>
      </c>
      <c r="CG1163" s="10">
        <v>1522</v>
      </c>
      <c r="CH1163" s="10">
        <v>107</v>
      </c>
      <c r="CI1163" s="10">
        <v>58</v>
      </c>
      <c r="CJ1163" s="10">
        <v>38</v>
      </c>
      <c r="CK1163" s="10">
        <v>216</v>
      </c>
      <c r="CL1163" s="10">
        <v>10</v>
      </c>
      <c r="CM1163" s="10">
        <v>135</v>
      </c>
      <c r="CN1163" s="10">
        <v>0.25</v>
      </c>
      <c r="CO1163" s="10">
        <v>156</v>
      </c>
      <c r="CP1163" s="10">
        <v>109</v>
      </c>
      <c r="CQ1163" s="10">
        <v>59</v>
      </c>
      <c r="CR1163" s="10">
        <v>9</v>
      </c>
      <c r="CS1163" s="10">
        <v>9.6999999999999993</v>
      </c>
      <c r="CT1163" s="9" t="s">
        <v>188</v>
      </c>
      <c r="CU1163" s="9" t="s">
        <v>185</v>
      </c>
      <c r="CV1163" s="10"/>
      <c r="CW1163" s="10"/>
      <c r="CX1163" t="e">
        <f>INDEX('Data_Price '!AG$2:AG$1266,MATCH(Data!$DN1163,'Data_Price '!$AT$2:$AT$1266,0))</f>
        <v>#N/A</v>
      </c>
      <c r="CY1163" t="e">
        <f>INDEX('Data_Price '!AH$2:AH$1266,MATCH(Data!$DN1163,'Data_Price '!$AT$2:$AT$1266,0))</f>
        <v>#N/A</v>
      </c>
      <c r="CZ1163" t="e">
        <f>INDEX('Data_Price '!AI$2:AI$1266,MATCH(Data!$DN1163,'Data_Price '!$AT$2:$AT$1266,0))</f>
        <v>#N/A</v>
      </c>
      <c r="DA1163" t="e">
        <f>INDEX('Data_Price '!AJ$2:AJ$1266,MATCH(Data!$DN1163,'Data_Price '!$AT$2:$AT$1266,0))</f>
        <v>#N/A</v>
      </c>
      <c r="DB1163" t="e">
        <f>INDEX('Data_Price '!AK$2:AK$1266,MATCH(Data!$DN1163,'Data_Price '!$AT$2:$AT$1266,0))</f>
        <v>#N/A</v>
      </c>
      <c r="DC1163" t="e">
        <f>INDEX('Data_Price '!AL$2:AL$1266,MATCH(Data!$DN1163,'Data_Price '!$AT$2:$AT$1266,0))</f>
        <v>#N/A</v>
      </c>
      <c r="DD1163" t="e">
        <f>INDEX('Data_Price '!AM$2:AM$1266,MATCH(Data!$DN1163,'Data_Price '!$AT$2:$AT$1266,0))</f>
        <v>#N/A</v>
      </c>
      <c r="DE1163" t="e">
        <f>INDEX('Data_Price '!AN$2:AN$1266,MATCH(Data!$DN1163,'Data_Price '!$AT$2:$AT$1266,0))</f>
        <v>#N/A</v>
      </c>
      <c r="DF1163" t="e">
        <f>INDEX('Data_Price '!AO$2:AO$1266,MATCH(Data!$DN1163,'Data_Price '!$AT$2:$AT$1266,0))</f>
        <v>#N/A</v>
      </c>
      <c r="DG1163" t="e">
        <f>INDEX('Data_Price '!AP$2:AP$1266,MATCH(Data!$DN1163,'Data_Price '!$AT$2:$AT$1266,0))</f>
        <v>#N/A</v>
      </c>
      <c r="DH1163" t="e">
        <f>INDEX('Data_Price '!AQ$2:AQ$1266,MATCH(Data!$DN1163,'Data_Price '!$AT$2:$AT$1266,0))</f>
        <v>#N/A</v>
      </c>
      <c r="DI1163" t="e">
        <f>INDEX('Data_Price '!AR$2:AR$1266,MATCH(Data!$DN1163,'Data_Price '!$AT$2:$AT$1266,0))</f>
        <v>#N/A</v>
      </c>
      <c r="DJ1163" s="89" t="e">
        <f t="shared" si="698"/>
        <v>#N/A</v>
      </c>
      <c r="DK1163" s="89" t="e">
        <f t="shared" si="699"/>
        <v>#N/A</v>
      </c>
      <c r="DL1163" s="89" t="e">
        <f t="shared" si="700"/>
        <v>#N/A</v>
      </c>
      <c r="DM1163" s="219" t="str">
        <f t="shared" si="701"/>
        <v>Mindbender 90 C Alliance</v>
      </c>
      <c r="DN1163" s="89" t="str">
        <f t="shared" si="702"/>
        <v xml:space="preserve"> K2Mindbender 90 C Alliance149 Women's</v>
      </c>
      <c r="DO1163" s="221"/>
    </row>
    <row r="1164" spans="2:119" ht="15.6" customHeight="1">
      <c r="B1164" s="219" t="b">
        <f t="array" ref="B1164">IF(OR(ISERROR(K1164:P1164)),FALSE,TRUE)</f>
        <v>1</v>
      </c>
      <c r="C1164" s="43" t="b">
        <f>OR(BR1164=Driver!$G$50,Data!BR667=Driver!$H$50)</f>
        <v>1</v>
      </c>
      <c r="D1164" s="43" t="b">
        <f>OR(BV1164=Driver!$G$51,BV1164=Driver!$H$51)</f>
        <v>1</v>
      </c>
      <c r="E1164" s="43" t="b">
        <f>AND(BX1164&gt;Driver!$F$54,BX1164&lt;Driver!$G$54)</f>
        <v>0</v>
      </c>
      <c r="F1164" s="43" t="b">
        <f>CL1164&gt;Driver!$F$56</f>
        <v>1</v>
      </c>
      <c r="G1164" s="43" t="b">
        <f>AND(CB1164&gt;Driver!$F$55,CB1164&lt;Driver!$G$55)</f>
        <v>0</v>
      </c>
      <c r="H1164" s="43" t="b">
        <f t="shared" si="666"/>
        <v>0</v>
      </c>
      <c r="I1164" s="43">
        <f t="shared" si="667"/>
        <v>0</v>
      </c>
      <c r="J1164" s="43" t="b">
        <f t="array" ref="J1164">NOT(OR(($H$9:$H$1273=TRUE)*($I$9:$I$1273&gt;0)*($BT$9:$BT$1273=BT1164)*($K$9:$K$1273&gt;K1164)))</f>
        <v>1</v>
      </c>
      <c r="K1164" s="72">
        <f t="shared" si="668"/>
        <v>0.67622387676715023</v>
      </c>
      <c r="L1164" s="72">
        <f t="shared" si="669"/>
        <v>0.77478711718575499</v>
      </c>
      <c r="M1164" s="72">
        <f t="shared" si="670"/>
        <v>0.57766063634854548</v>
      </c>
      <c r="N1164" s="72">
        <f t="shared" si="671"/>
        <v>0.27306574385600058</v>
      </c>
      <c r="O1164" s="72">
        <f t="shared" si="672"/>
        <v>0.57955296505726184</v>
      </c>
      <c r="P1164" s="72">
        <f t="shared" si="673"/>
        <v>0.88036320013237368</v>
      </c>
      <c r="Q1164" s="72"/>
      <c r="R1164" s="72"/>
      <c r="S1164" s="72">
        <f t="shared" si="674"/>
        <v>0.54592991277828717</v>
      </c>
      <c r="T1164" s="72">
        <f t="shared" si="675"/>
        <v>0.55000000000000004</v>
      </c>
      <c r="U1164" s="72">
        <f t="shared" si="676"/>
        <v>0.51</v>
      </c>
      <c r="V1164" s="72">
        <f t="shared" si="677"/>
        <v>0.49035324087155197</v>
      </c>
      <c r="W1164" s="72">
        <f t="shared" si="678"/>
        <v>0.75285413862718709</v>
      </c>
      <c r="X1164" s="72">
        <f t="shared" si="679"/>
        <v>0.22521288281424504</v>
      </c>
      <c r="Y1164" s="72">
        <f t="shared" si="680"/>
        <v>0.42233936365145458</v>
      </c>
      <c r="Z1164" s="72">
        <f t="shared" si="681"/>
        <v>0.72693425614399942</v>
      </c>
      <c r="AA1164" s="72">
        <f t="shared" si="682"/>
        <v>0.42044703494273816</v>
      </c>
      <c r="AB1164" s="72">
        <f t="shared" si="683"/>
        <v>0.11963679986762632</v>
      </c>
      <c r="AC1164" s="72"/>
      <c r="AD1164" s="72"/>
      <c r="AE1164" s="72">
        <f t="shared" si="684"/>
        <v>0.45407008722171283</v>
      </c>
      <c r="AF1164" s="72">
        <f t="shared" si="685"/>
        <v>0.44999999999999996</v>
      </c>
      <c r="AG1164" s="72">
        <f t="shared" si="686"/>
        <v>0.49</v>
      </c>
      <c r="AH1164" s="72">
        <f t="shared" si="687"/>
        <v>0.50964675912844803</v>
      </c>
      <c r="AI1164" s="72">
        <f t="shared" si="688"/>
        <v>0.24714586137281291</v>
      </c>
      <c r="AJ1164" s="72">
        <f>(AV1164-Driver!$K$179)/(Driver!$L$179-Driver!$K$179)</f>
        <v>2.9006526468455397E-2</v>
      </c>
      <c r="AK1164" s="72">
        <f>(AW1164-Driver!$K$180)/(Driver!$L$180-Driver!$K$180)</f>
        <v>0.4175264955285049</v>
      </c>
      <c r="AL1164" s="72">
        <f>(AX1164-Driver!$K$181)/(Driver!$L$181-Driver!$K$181)</f>
        <v>0.82862201985707962</v>
      </c>
      <c r="AM1164" s="72">
        <f>(AY1164-Driver!$K$182)/(Driver!$L$182-Driver!$K$182)</f>
        <v>2.6937986154308174E-2</v>
      </c>
      <c r="AN1164" s="72">
        <f>(AZ1164-Driver!$K$183)/(Driver!$L$183-Driver!$K$183)</f>
        <v>0.37385620915032675</v>
      </c>
      <c r="AO1164" s="72"/>
      <c r="AP1164" s="72"/>
      <c r="AQ1164" s="72">
        <f>(BC1164-Driver!$K$188)/(Driver!$L$188-Driver!$K$188)</f>
        <v>0.16592991277828717</v>
      </c>
      <c r="AR1164" s="72">
        <f>MIN((BD1164-Driver!$K$189)/(Driver!$L$189-Driver!$K$189),100%)</f>
        <v>1</v>
      </c>
      <c r="AS1164" s="72">
        <f>(BE1164-Driver!$K$190)/(Driver!$L$190-Driver!$K$190)</f>
        <v>1</v>
      </c>
      <c r="AT1164" s="72">
        <f>(BF1164-Driver!$K$191)/(Driver!$L$191-Driver!$K$191)</f>
        <v>3.5324087155201914E-4</v>
      </c>
      <c r="AU1164" s="72">
        <f>(BG1164-Driver!$K$192)/(Driver!$L$192-Driver!$K$192)</f>
        <v>2.8541386271870787E-3</v>
      </c>
      <c r="AV1164" s="70">
        <f t="shared" si="689"/>
        <v>0.61050061050061044</v>
      </c>
      <c r="AW1164" s="70">
        <f t="shared" si="690"/>
        <v>42.563549271822019</v>
      </c>
      <c r="AX1164" s="70">
        <f t="shared" si="691"/>
        <v>8.4575981787137167</v>
      </c>
      <c r="AY1164" s="70">
        <f>IFERROR(Driver!$K$19/Data!BH1164/Data!BI1164*Data!BK1164*Data!BL1164,"")</f>
        <v>3.2980132572191401E-2</v>
      </c>
      <c r="AZ1164" s="70">
        <f t="shared" si="692"/>
        <v>34.072970960536111</v>
      </c>
      <c r="BA1164" s="70"/>
      <c r="BB1164" s="70"/>
      <c r="BC1164" s="70">
        <f t="shared" si="693"/>
        <v>86.068999284136865</v>
      </c>
      <c r="BD1164" s="70">
        <f t="shared" si="694"/>
        <v>378.37804165162612</v>
      </c>
      <c r="BE1164" s="70">
        <f t="shared" si="695"/>
        <v>1</v>
      </c>
      <c r="BF1164" s="70">
        <f t="shared" si="696"/>
        <v>3.9896074784225882E-2</v>
      </c>
      <c r="BG1164" s="70">
        <f t="shared" si="697"/>
        <v>1.080758958613728E-2</v>
      </c>
      <c r="BH1164" s="67">
        <f>MAX((CE1164-Driver!$F$200)/(Driver!$G$200-Driver!$F$200)*$BI$1,1)</f>
        <v>8.4575981787137167</v>
      </c>
      <c r="BI1164" s="67">
        <f>MAX($BI$1*(BY1164-Driver!$F$201)/(Driver!$G$201-Driver!$F$201),1)</f>
        <v>9.0506329113924053</v>
      </c>
      <c r="BJ1164" s="67">
        <f>(CB1164-Driver!$F$206)/(Driver!$G$206-Driver!$F$206)*$BI$1</f>
        <v>0.47619047619047616</v>
      </c>
      <c r="BK1164" s="67">
        <f>(CD1164-Driver!$F$203)/(Driver!$G$203-Driver!$F$203)*$BI$1</f>
        <v>1.7431192660550456</v>
      </c>
      <c r="BL1164" s="67">
        <f>MAX((CR1164-Driver!$F$202)/(Driver!$G$202-Driver!$F$202)*$BI$1,1)</f>
        <v>7.2413793103448274</v>
      </c>
      <c r="BM1164" s="67">
        <f>MAX((CH1164-Driver!$F$204)/(Driver!$G$204-Driver!$F$204)*$BI$1,1)</f>
        <v>5.1282051282051277</v>
      </c>
      <c r="BN1164" s="67">
        <f>(CI1164-Driver!$F$205)/(Driver!$G$205-Driver!$F$205)*$BI$1</f>
        <v>3.7647058823529411</v>
      </c>
      <c r="BO1164" s="67">
        <f>(CK1164-Driver!$F$207)/(Driver!$G$207-Driver!$F$207)*$BI$1</f>
        <v>0.32057911065149947</v>
      </c>
      <c r="BP1164" s="67">
        <f>(CM1164-Driver!$F$208)/(Driver!$G$208-Driver!$F$208)*$BI$1</f>
        <v>0.4555555555555556</v>
      </c>
      <c r="BQ1164" s="67">
        <f>(CL1164-Driver!$F$209)/(Driver!$G$209-Driver!$F$209)*$BI$1</f>
        <v>0.46875</v>
      </c>
      <c r="BR1164" s="28" t="s">
        <v>155</v>
      </c>
      <c r="BS1164" s="8" t="s">
        <v>167</v>
      </c>
      <c r="BT1164" s="9" t="s">
        <v>831</v>
      </c>
      <c r="BU1164" s="10">
        <v>170</v>
      </c>
      <c r="BV1164" s="9" t="s">
        <v>158</v>
      </c>
      <c r="BW1164" s="10">
        <v>170</v>
      </c>
      <c r="BX1164" s="10">
        <v>168.9</v>
      </c>
      <c r="BY1164" s="10">
        <v>151</v>
      </c>
      <c r="BZ1164" s="10">
        <v>159</v>
      </c>
      <c r="CA1164" s="10">
        <v>122</v>
      </c>
      <c r="CB1164" s="10">
        <v>67</v>
      </c>
      <c r="CC1164" s="10">
        <v>107</v>
      </c>
      <c r="CD1164" s="10">
        <v>13.2</v>
      </c>
      <c r="CE1164" s="10">
        <v>2386</v>
      </c>
      <c r="CF1164" s="10">
        <v>0.6</v>
      </c>
      <c r="CG1164" s="10">
        <v>1420</v>
      </c>
      <c r="CH1164" s="10">
        <v>221</v>
      </c>
      <c r="CI1164" s="10">
        <v>97</v>
      </c>
      <c r="CJ1164" s="10">
        <v>39</v>
      </c>
      <c r="CK1164" s="10">
        <v>141</v>
      </c>
      <c r="CL1164" s="10">
        <v>3</v>
      </c>
      <c r="CM1164" s="10">
        <v>41</v>
      </c>
      <c r="CN1164" s="10">
        <v>6.7000000000000004E-2</v>
      </c>
      <c r="CO1164" s="10">
        <v>58</v>
      </c>
      <c r="CP1164" s="10">
        <v>36</v>
      </c>
      <c r="CQ1164" s="10">
        <v>83</v>
      </c>
      <c r="CR1164" s="10">
        <v>10</v>
      </c>
      <c r="CS1164" s="10">
        <v>12.5</v>
      </c>
      <c r="CT1164" s="9" t="s">
        <v>349</v>
      </c>
      <c r="CU1164" s="10"/>
      <c r="CV1164" s="10"/>
      <c r="CW1164" s="10"/>
      <c r="CX1164" t="str">
        <f>INDEX('Data_Price '!AG$2:AG$1266,MATCH(Data!$DN1164,'Data_Price '!$AT$2:$AT$1266,0))</f>
        <v>Skiing Head Worldcup Rebels I. Shape Pro (attack Included) (size 170)</v>
      </c>
      <c r="CY1164" t="str">
        <f>INDEX('Data_Price '!AH$2:AH$1266,MATCH(Data!$DN1164,'Data_Price '!$AT$2:$AT$1266,0))</f>
        <v>eBay - vendiamoperte_italia</v>
      </c>
      <c r="CZ1164">
        <f>INDEX('Data_Price '!AI$2:AI$1266,MATCH(Data!$DN1164,'Data_Price '!$AT$2:$AT$1266,0))</f>
        <v>638.75</v>
      </c>
      <c r="DA1164" t="str">
        <f>INDEX('Data_Price '!AJ$2:AJ$1266,MATCH(Data!$DN1164,'Data_Price '!$AT$2:$AT$1266,0))</f>
        <v>https://tinyurl.com/y7yj2ey2</v>
      </c>
      <c r="DB1164" t="str">
        <f>INDEX('Data_Price '!AK$2:AK$1266,MATCH(Data!$DN1164,'Data_Price '!$AT$2:$AT$1266,0))</f>
        <v>Head Worldcup Rebels E-Speed + FF St 14 21/22</v>
      </c>
      <c r="DC1164" t="str">
        <f>INDEX('Data_Price '!AL$2:AL$1266,MATCH(Data!$DN1164,'Data_Price '!$AT$2:$AT$1266,0))</f>
        <v>eBay - fun-sport-vision-shop</v>
      </c>
      <c r="DD1164">
        <f>INDEX('Data_Price '!AM$2:AM$1266,MATCH(Data!$DN1164,'Data_Price '!$AT$2:$AT$1266,0))</f>
        <v>960.84</v>
      </c>
      <c r="DE1164" t="str">
        <f>INDEX('Data_Price '!AN$2:AN$1266,MATCH(Data!$DN1164,'Data_Price '!$AT$2:$AT$1266,0))</f>
        <v>https://tinyurl.com/ycrpkska</v>
      </c>
      <c r="DF1164" t="str">
        <f>INDEX('Data_Price '!AO$2:AO$1266,MATCH(Data!$DN1164,'Data_Price '!$AT$2:$AT$1266,0))</f>
        <v>HEAD WORLDCUP SKIS SIZE 170 CM WITH NEW TYROLIA BINDINGS</v>
      </c>
      <c r="DG1164" t="str">
        <f>INDEX('Data_Price '!AP$2:AP$1266,MATCH(Data!$DN1164,'Data_Price '!$AT$2:$AT$1266,0))</f>
        <v>SidelineSwap</v>
      </c>
      <c r="DH1164">
        <f>INDEX('Data_Price '!AQ$2:AQ$1266,MATCH(Data!$DN1164,'Data_Price '!$AT$2:$AT$1266,0))</f>
        <v>242.1</v>
      </c>
      <c r="DI1164" t="str">
        <f>INDEX('Data_Price '!AR$2:AR$1266,MATCH(Data!$DN1164,'Data_Price '!$AT$2:$AT$1266,0))</f>
        <v>https://tinyurl.com/ycmkslng</v>
      </c>
      <c r="DJ1164" s="89" t="str">
        <f t="shared" si="698"/>
        <v>https://tinyurl.com/y7yj2ey2</v>
      </c>
      <c r="DK1164" s="89" t="str">
        <f t="shared" si="699"/>
        <v>https://tinyurl.com/ycrpkska</v>
      </c>
      <c r="DL1164" s="89" t="str">
        <f t="shared" si="700"/>
        <v>https://tinyurl.com/ycmkslng</v>
      </c>
      <c r="DM1164" s="219" t="str">
        <f t="shared" si="701"/>
        <v>Worldcup Rebels e-SL</v>
      </c>
      <c r="DN1164" s="89" t="str">
        <f t="shared" si="702"/>
        <v xml:space="preserve"> HeadWorldcup Rebels e-SL170 Unisex</v>
      </c>
      <c r="DO1164" s="221"/>
    </row>
    <row r="1165" spans="2:119" ht="15.6" customHeight="1">
      <c r="B1165" s="219" t="b">
        <f t="array" ref="B1165">IF(OR(ISERROR(K1165:P1165)),FALSE,TRUE)</f>
        <v>1</v>
      </c>
      <c r="C1165" s="43" t="b">
        <f>OR(BR1165=Driver!$G$50,Data!BR289=Driver!$H$50)</f>
        <v>1</v>
      </c>
      <c r="D1165" s="43" t="b">
        <f>OR(BV1165=Driver!$G$51,BV1165=Driver!$H$51)</f>
        <v>1</v>
      </c>
      <c r="E1165" s="43" t="b">
        <f>AND(BX1165&gt;Driver!$F$54,BX1165&lt;Driver!$G$54)</f>
        <v>0</v>
      </c>
      <c r="F1165" s="43" t="b">
        <f>CL1165&gt;Driver!$F$56</f>
        <v>1</v>
      </c>
      <c r="G1165" s="43" t="b">
        <f>AND(CB1165&gt;Driver!$F$55,CB1165&lt;Driver!$G$55)</f>
        <v>1</v>
      </c>
      <c r="H1165" s="43" t="b">
        <f t="shared" si="666"/>
        <v>0</v>
      </c>
      <c r="I1165" s="43">
        <f t="shared" si="667"/>
        <v>1</v>
      </c>
      <c r="J1165" s="43" t="b">
        <f t="array" ref="J1165">NOT(OR(($H$9:$H$1273=TRUE)*($I$9:$I$1273&gt;0)*($BT$9:$BT$1273=BT1165)*($K$9:$K$1273&gt;K1165)))</f>
        <v>0</v>
      </c>
      <c r="K1165" s="72">
        <f t="shared" si="668"/>
        <v>0.63394684463083928</v>
      </c>
      <c r="L1165" s="72">
        <f t="shared" si="669"/>
        <v>0.6854497694470707</v>
      </c>
      <c r="M1165" s="72">
        <f t="shared" si="670"/>
        <v>0.58244391981460786</v>
      </c>
      <c r="N1165" s="72">
        <f t="shared" si="671"/>
        <v>0.3426287616261896</v>
      </c>
      <c r="O1165" s="72">
        <f t="shared" si="672"/>
        <v>0.62630058199898553</v>
      </c>
      <c r="P1165" s="72">
        <f t="shared" si="673"/>
        <v>0.77840241581864811</v>
      </c>
      <c r="Q1165" s="72"/>
      <c r="R1165" s="72"/>
      <c r="S1165" s="72">
        <f t="shared" si="674"/>
        <v>0.54184305276470579</v>
      </c>
      <c r="T1165" s="72">
        <f t="shared" si="675"/>
        <v>0.54138289978096232</v>
      </c>
      <c r="U1165" s="72">
        <f t="shared" si="676"/>
        <v>0.50399863697248781</v>
      </c>
      <c r="V1165" s="72">
        <f t="shared" si="677"/>
        <v>0.62086364794046356</v>
      </c>
      <c r="W1165" s="72">
        <f t="shared" si="678"/>
        <v>0.77247867949376847</v>
      </c>
      <c r="X1165" s="72">
        <f t="shared" si="679"/>
        <v>0.31455023055292924</v>
      </c>
      <c r="Y1165" s="72">
        <f t="shared" si="680"/>
        <v>0.4175560801853922</v>
      </c>
      <c r="Z1165" s="72">
        <f t="shared" si="681"/>
        <v>0.6573712383738104</v>
      </c>
      <c r="AA1165" s="72">
        <f t="shared" si="682"/>
        <v>0.37369941800101453</v>
      </c>
      <c r="AB1165" s="72">
        <f t="shared" si="683"/>
        <v>0.22159758418135189</v>
      </c>
      <c r="AC1165" s="72"/>
      <c r="AD1165" s="72"/>
      <c r="AE1165" s="72">
        <f t="shared" si="684"/>
        <v>0.45815694723529415</v>
      </c>
      <c r="AF1165" s="72">
        <f t="shared" si="685"/>
        <v>0.45861710021903768</v>
      </c>
      <c r="AG1165" s="72">
        <f t="shared" si="686"/>
        <v>0.49600136302751224</v>
      </c>
      <c r="AH1165" s="72">
        <f t="shared" si="687"/>
        <v>0.37913635205953644</v>
      </c>
      <c r="AI1165" s="72">
        <f t="shared" si="688"/>
        <v>0.22752132050623153</v>
      </c>
      <c r="AJ1165" s="72">
        <f>(AV1165-Driver!$K$179)/(Driver!$L$179-Driver!$K$179)</f>
        <v>0.56876963983562967</v>
      </c>
      <c r="AK1165" s="72">
        <f>(AW1165-Driver!$K$180)/(Driver!$L$180-Driver!$K$180)</f>
        <v>0.50703907790883551</v>
      </c>
      <c r="AL1165" s="72">
        <f>(AX1165-Driver!$K$181)/(Driver!$L$181-Driver!$K$181)</f>
        <v>0.75905900208689059</v>
      </c>
      <c r="AM1165" s="72">
        <f>(AY1165-Driver!$K$182)/(Driver!$L$182-Driver!$K$182)</f>
        <v>7.3685603096031851E-2</v>
      </c>
      <c r="AN1165" s="72">
        <f>(AZ1165-Driver!$K$183)/(Driver!$L$183-Driver!$K$183)</f>
        <v>0.47581699346405232</v>
      </c>
      <c r="AO1165" s="72"/>
      <c r="AP1165" s="72"/>
      <c r="AQ1165" s="72">
        <f>(BC1165-Driver!$K$188)/(Driver!$L$188-Driver!$K$188)</f>
        <v>0.16184305276470584</v>
      </c>
      <c r="AR1165" s="72">
        <f>MIN((BD1165-Driver!$K$189)/(Driver!$L$189-Driver!$K$189),100%)</f>
        <v>9.138289978096234E-2</v>
      </c>
      <c r="AS1165" s="72">
        <f>(BE1165-Driver!$K$190)/(Driver!$L$190-Driver!$K$190)</f>
        <v>1.3998636972487781E-2</v>
      </c>
      <c r="AT1165" s="72">
        <f>(BF1165-Driver!$K$191)/(Driver!$L$191-Driver!$K$191)</f>
        <v>0.1308636479404636</v>
      </c>
      <c r="AU1165" s="72">
        <f>(BG1165-Driver!$K$192)/(Driver!$L$192-Driver!$K$192)</f>
        <v>2.2478679493768468E-2</v>
      </c>
      <c r="AV1165" s="70">
        <f t="shared" si="689"/>
        <v>11.970899470899472</v>
      </c>
      <c r="AW1165" s="70">
        <f t="shared" si="690"/>
        <v>51.287343586952247</v>
      </c>
      <c r="AX1165" s="70">
        <f t="shared" si="691"/>
        <v>7.8315310187820151</v>
      </c>
      <c r="AY1165" s="70">
        <f>IFERROR(Driver!$K$19/Data!BH1165/Data!BI1165*Data!BK1165*Data!BL1165,"")</f>
        <v>9.0213163851535855E-2</v>
      </c>
      <c r="AZ1165" s="70">
        <f t="shared" si="692"/>
        <v>43.365599404318694</v>
      </c>
      <c r="BA1165" s="70"/>
      <c r="BB1165" s="70"/>
      <c r="BC1165" s="70">
        <f t="shared" si="693"/>
        <v>83.949116583702349</v>
      </c>
      <c r="BD1165" s="70">
        <f t="shared" si="694"/>
        <v>9.8080475937958465</v>
      </c>
      <c r="BE1165" s="70">
        <f t="shared" si="695"/>
        <v>1.4174528517733827E-2</v>
      </c>
      <c r="BF1165" s="70">
        <f t="shared" si="696"/>
        <v>14.780129665715915</v>
      </c>
      <c r="BG1165" s="70">
        <f t="shared" si="697"/>
        <v>8.5118620410670698E-2</v>
      </c>
      <c r="BH1165" s="67">
        <f>MAX((CE1165-Driver!$F$200)/(Driver!$G$200-Driver!$F$200)*$BI$1,1)</f>
        <v>7.8315310187820151</v>
      </c>
      <c r="BI1165" s="67">
        <f>MAX($BI$1*(BY1165-Driver!$F$201)/(Driver!$G$201-Driver!$F$201),1)</f>
        <v>6.5822784810126587</v>
      </c>
      <c r="BJ1165" s="67">
        <f>(CB1165-Driver!$F$206)/(Driver!$G$206-Driver!$F$206)*$BI$1</f>
        <v>6.1904761904761907</v>
      </c>
      <c r="BK1165" s="67">
        <f>(CD1165-Driver!$F$203)/(Driver!$G$203-Driver!$F$203)*$BI$1</f>
        <v>4.8165137614678901</v>
      </c>
      <c r="BL1165" s="67">
        <f>MAX((CR1165-Driver!$F$202)/(Driver!$G$202-Driver!$F$202)*$BI$1,1)</f>
        <v>4.8275862068965516</v>
      </c>
      <c r="BM1165" s="67">
        <f>MAX((CH1165-Driver!$F$204)/(Driver!$G$204-Driver!$F$204)*$BI$1,1)</f>
        <v>7.7350427350427351</v>
      </c>
      <c r="BN1165" s="67">
        <f>(CI1165-Driver!$F$205)/(Driver!$G$205-Driver!$F$205)*$BI$1</f>
        <v>6.5882352941176467</v>
      </c>
      <c r="BO1165" s="67">
        <f>(CK1165-Driver!$F$207)/(Driver!$G$207-Driver!$F$207)*$BI$1</f>
        <v>3.1747673216132366</v>
      </c>
      <c r="BP1165" s="67">
        <f>(CM1165-Driver!$F$208)/(Driver!$G$208-Driver!$F$208)*$BI$1</f>
        <v>3.6222222222222222</v>
      </c>
      <c r="BQ1165" s="67">
        <f>(CL1165-Driver!$F$209)/(Driver!$G$209-Driver!$F$209)*$BI$1</f>
        <v>5.15625</v>
      </c>
      <c r="BR1165" s="28" t="s">
        <v>155</v>
      </c>
      <c r="BS1165" s="8" t="s">
        <v>317</v>
      </c>
      <c r="BT1165" s="9" t="s">
        <v>551</v>
      </c>
      <c r="BU1165" s="10">
        <v>188</v>
      </c>
      <c r="BV1165" s="9" t="s">
        <v>158</v>
      </c>
      <c r="BW1165" s="10">
        <v>188</v>
      </c>
      <c r="BX1165" s="10">
        <v>186.2</v>
      </c>
      <c r="BY1165" s="10">
        <v>112</v>
      </c>
      <c r="BZ1165" s="10">
        <v>157</v>
      </c>
      <c r="CA1165" s="10">
        <v>134</v>
      </c>
      <c r="CB1165" s="10">
        <v>103</v>
      </c>
      <c r="CC1165" s="10">
        <v>125</v>
      </c>
      <c r="CD1165" s="10">
        <v>19.899999999999999</v>
      </c>
      <c r="CE1165" s="10">
        <v>2276</v>
      </c>
      <c r="CF1165" s="10">
        <v>0.93</v>
      </c>
      <c r="CG1165" s="10">
        <v>2122</v>
      </c>
      <c r="CH1165" s="10">
        <v>282</v>
      </c>
      <c r="CI1165" s="10">
        <v>145</v>
      </c>
      <c r="CJ1165" s="10">
        <v>68</v>
      </c>
      <c r="CK1165" s="10">
        <v>417</v>
      </c>
      <c r="CL1165" s="10">
        <v>33</v>
      </c>
      <c r="CM1165" s="10">
        <v>326</v>
      </c>
      <c r="CN1165" s="10">
        <v>0.49099999999999999</v>
      </c>
      <c r="CO1165" s="10">
        <v>147</v>
      </c>
      <c r="CP1165" s="10">
        <v>146</v>
      </c>
      <c r="CQ1165" s="10">
        <v>270</v>
      </c>
      <c r="CR1165" s="10">
        <v>3</v>
      </c>
      <c r="CS1165" s="10">
        <v>7.5</v>
      </c>
      <c r="CT1165" s="9" t="s">
        <v>188</v>
      </c>
      <c r="CU1165" s="9" t="s">
        <v>169</v>
      </c>
      <c r="CV1165" s="10"/>
      <c r="CW1165" s="10"/>
      <c r="CX1165" t="str">
        <f>INDEX('Data_Price '!AG$2:AG$1266,MATCH(Data!$DN1165,'Data_Price '!$AT$2:$AT$1266,0))</f>
        <v>Blizzard Rustler 10 Skis Â· 188 cm</v>
      </c>
      <c r="CY1165" t="str">
        <f>INDEX('Data_Price '!AH$2:AH$1266,MATCH(Data!$DN1165,'Data_Price '!$AT$2:$AT$1266,0))</f>
        <v>REI</v>
      </c>
      <c r="CZ1165">
        <f>INDEX('Data_Price '!AI$2:AI$1266,MATCH(Data!$DN1165,'Data_Price '!$AT$2:$AT$1266,0))</f>
        <v>559.92999999999995</v>
      </c>
      <c r="DA1165" t="str">
        <f>INDEX('Data_Price '!AJ$2:AJ$1266,MATCH(Data!$DN1165,'Data_Price '!$AT$2:$AT$1266,0))</f>
        <v>https://tinyurl.com/y9gjs78n</v>
      </c>
      <c r="DB1165" t="str">
        <f>INDEX('Data_Price '!AK$2:AK$1266,MATCH(Data!$DN1165,'Data_Price '!$AT$2:$AT$1266,0))</f>
        <v>Blizzard Rustler 10 Skis Â· 188 cm</v>
      </c>
      <c r="DC1165" t="str">
        <f>INDEX('Data_Price '!AL$2:AL$1266,MATCH(Data!$DN1165,'Data_Price '!$AT$2:$AT$1266,0))</f>
        <v>Sports Basement</v>
      </c>
      <c r="DD1165">
        <f>INDEX('Data_Price '!AM$2:AM$1266,MATCH(Data!$DN1165,'Data_Price '!$AT$2:$AT$1266,0))</f>
        <v>559.95000000000005</v>
      </c>
      <c r="DE1165" t="str">
        <f>INDEX('Data_Price '!AN$2:AN$1266,MATCH(Data!$DN1165,'Data_Price '!$AT$2:$AT$1266,0))</f>
        <v>https://tinyurl.com/y96fkso8</v>
      </c>
      <c r="DF1165" t="str">
        <f>INDEX('Data_Price '!AO$2:AO$1266,MATCH(Data!$DN1165,'Data_Price '!$AT$2:$AT$1266,0))</f>
        <v>Blizzard Rustler 10 Skis Â· 188 cm</v>
      </c>
      <c r="DG1165" t="str">
        <f>INDEX('Data_Price '!AP$2:AP$1266,MATCH(Data!$DN1165,'Data_Price '!$AT$2:$AT$1266,0))</f>
        <v>AlpineShopVT.com</v>
      </c>
      <c r="DH1165">
        <f>INDEX('Data_Price '!AQ$2:AQ$1266,MATCH(Data!$DN1165,'Data_Price '!$AT$2:$AT$1266,0))</f>
        <v>559.95000000000005</v>
      </c>
      <c r="DI1165" t="str">
        <f>INDEX('Data_Price '!AR$2:AR$1266,MATCH(Data!$DN1165,'Data_Price '!$AT$2:$AT$1266,0))</f>
        <v>https://tinyurl.com/ya2kkns7</v>
      </c>
      <c r="DJ1165" s="89" t="str">
        <f t="shared" si="698"/>
        <v>https://tinyurl.com/y9gjs78n</v>
      </c>
      <c r="DK1165" s="89" t="str">
        <f t="shared" si="699"/>
        <v>https://tinyurl.com/y96fkso8</v>
      </c>
      <c r="DL1165" s="89" t="str">
        <f t="shared" si="700"/>
        <v>https://tinyurl.com/ya2kkns7</v>
      </c>
      <c r="DM1165" s="219" t="str">
        <f t="shared" si="701"/>
        <v>Rustler 10</v>
      </c>
      <c r="DN1165" s="89" t="str">
        <f t="shared" si="702"/>
        <v xml:space="preserve"> BlizzardRustler 10188 Unisex</v>
      </c>
      <c r="DO1165" s="221" t="s">
        <v>552</v>
      </c>
    </row>
    <row r="1166" spans="2:119" ht="15.6" customHeight="1">
      <c r="B1166" s="219" t="b">
        <f t="array" ref="B1166">IF(OR(ISERROR(K1166:P1166)),FALSE,TRUE)</f>
        <v>1</v>
      </c>
      <c r="C1166" s="43" t="b">
        <f>OR(BR1166=Driver!$G$50,Data!BR595=Driver!$H$50)</f>
        <v>1</v>
      </c>
      <c r="D1166" s="43" t="b">
        <f>OR(BV1166=Driver!$G$51,BV1166=Driver!$H$51)</f>
        <v>1</v>
      </c>
      <c r="E1166" s="43" t="b">
        <f>AND(BX1166&gt;Driver!$F$54,BX1166&lt;Driver!$G$54)</f>
        <v>1</v>
      </c>
      <c r="F1166" s="43" t="b">
        <f>CL1166&gt;Driver!$F$56</f>
        <v>1</v>
      </c>
      <c r="G1166" s="43" t="b">
        <f>AND(CB1166&gt;Driver!$F$55,CB1166&lt;Driver!$G$55)</f>
        <v>0</v>
      </c>
      <c r="H1166" s="43" t="b">
        <f t="shared" si="666"/>
        <v>0</v>
      </c>
      <c r="I1166" s="43">
        <f t="shared" si="667"/>
        <v>0</v>
      </c>
      <c r="J1166" s="43" t="b">
        <f t="array" ref="J1166">NOT(OR(($H$9:$H$1273=TRUE)*($I$9:$I$1273&gt;0)*($BT$9:$BT$1273=BT1166)*($K$9:$K$1273&gt;K1166)))</f>
        <v>1</v>
      </c>
      <c r="K1166" s="72">
        <f t="shared" si="668"/>
        <v>0.68175352971473102</v>
      </c>
      <c r="L1166" s="72">
        <f t="shared" si="669"/>
        <v>0.76366794870618038</v>
      </c>
      <c r="M1166" s="72">
        <f t="shared" si="670"/>
        <v>0.59983911072328167</v>
      </c>
      <c r="N1166" s="72">
        <f t="shared" si="671"/>
        <v>0.50958000427464356</v>
      </c>
      <c r="O1166" s="72">
        <f t="shared" si="672"/>
        <v>0.58253164410269664</v>
      </c>
      <c r="P1166" s="72">
        <f t="shared" si="673"/>
        <v>0.70740568379250446</v>
      </c>
      <c r="Q1166" s="72"/>
      <c r="R1166" s="72"/>
      <c r="S1166" s="72">
        <f t="shared" si="674"/>
        <v>0.63030614137396546</v>
      </c>
      <c r="T1166" s="72">
        <f t="shared" si="675"/>
        <v>0.55000000000000004</v>
      </c>
      <c r="U1166" s="72">
        <f t="shared" si="676"/>
        <v>0.51</v>
      </c>
      <c r="V1166" s="72">
        <f t="shared" si="677"/>
        <v>0.49030627178634956</v>
      </c>
      <c r="W1166" s="72">
        <f t="shared" si="678"/>
        <v>0.75549776395100132</v>
      </c>
      <c r="X1166" s="72">
        <f t="shared" si="679"/>
        <v>0.23633205129381959</v>
      </c>
      <c r="Y1166" s="72">
        <f t="shared" si="680"/>
        <v>0.40016088927671839</v>
      </c>
      <c r="Z1166" s="72">
        <f t="shared" si="681"/>
        <v>0.49041999572535644</v>
      </c>
      <c r="AA1166" s="72">
        <f t="shared" si="682"/>
        <v>0.4174683558973033</v>
      </c>
      <c r="AB1166" s="72">
        <f t="shared" si="683"/>
        <v>0.2925943162074956</v>
      </c>
      <c r="AC1166" s="72"/>
      <c r="AD1166" s="72"/>
      <c r="AE1166" s="72">
        <f t="shared" si="684"/>
        <v>0.36969385862603449</v>
      </c>
      <c r="AF1166" s="72">
        <f t="shared" si="685"/>
        <v>0.44999999999999996</v>
      </c>
      <c r="AG1166" s="72">
        <f t="shared" si="686"/>
        <v>0.49</v>
      </c>
      <c r="AH1166" s="72">
        <f t="shared" si="687"/>
        <v>0.50969372821365044</v>
      </c>
      <c r="AI1166" s="72">
        <f t="shared" si="688"/>
        <v>0.24450223604899865</v>
      </c>
      <c r="AJ1166" s="72">
        <f>(AV1166-Driver!$K$179)/(Driver!$L$179-Driver!$K$179)</f>
        <v>1.7887357988880827E-2</v>
      </c>
      <c r="AK1166" s="72">
        <f>(AW1166-Driver!$K$180)/(Driver!$L$180-Driver!$K$180)</f>
        <v>0.55746487569292869</v>
      </c>
      <c r="AL1166" s="72">
        <f>(AX1166-Driver!$K$181)/(Driver!$L$181-Driver!$K$181)</f>
        <v>0.59210775943843663</v>
      </c>
      <c r="AM1166" s="72">
        <f>(AY1166-Driver!$K$182)/(Driver!$L$182-Driver!$K$182)</f>
        <v>2.9916665199743082E-2</v>
      </c>
      <c r="AN1166" s="72">
        <f>(AZ1166-Driver!$K$183)/(Driver!$L$183-Driver!$K$183)</f>
        <v>0.54681372549019602</v>
      </c>
      <c r="AO1166" s="72"/>
      <c r="AP1166" s="72"/>
      <c r="AQ1166" s="72">
        <f>(BC1166-Driver!$K$188)/(Driver!$L$188-Driver!$K$188)</f>
        <v>0.25030614137396551</v>
      </c>
      <c r="AR1166" s="72">
        <f>MIN((BD1166-Driver!$K$189)/(Driver!$L$189-Driver!$K$189),100%)</f>
        <v>1</v>
      </c>
      <c r="AS1166" s="72">
        <f>(BE1166-Driver!$K$190)/(Driver!$L$190-Driver!$K$190)</f>
        <v>1</v>
      </c>
      <c r="AT1166" s="72">
        <f>(BF1166-Driver!$K$191)/(Driver!$L$191-Driver!$K$191)</f>
        <v>3.0627178634958689E-4</v>
      </c>
      <c r="AU1166" s="72">
        <f>(BG1166-Driver!$K$192)/(Driver!$L$192-Driver!$K$192)</f>
        <v>5.497763951001362E-3</v>
      </c>
      <c r="AV1166" s="70">
        <f t="shared" si="689"/>
        <v>0.37647537647537643</v>
      </c>
      <c r="AW1166" s="70">
        <f t="shared" si="690"/>
        <v>56.201784399034587</v>
      </c>
      <c r="AX1166" s="70">
        <f t="shared" si="691"/>
        <v>6.32896983494593</v>
      </c>
      <c r="AY1166" s="70">
        <f>IFERROR(Driver!$K$19/Data!BH1166/Data!BI1166*Data!BK1166*Data!BL1166,"")</f>
        <v>3.6626924475851974E-2</v>
      </c>
      <c r="AZ1166" s="70">
        <f t="shared" si="692"/>
        <v>49.836187639612803</v>
      </c>
      <c r="BA1166" s="70"/>
      <c r="BB1166" s="70"/>
      <c r="BC1166" s="70">
        <f t="shared" si="693"/>
        <v>129.83553563074008</v>
      </c>
      <c r="BD1166" s="70">
        <f t="shared" si="694"/>
        <v>444.31319813583866</v>
      </c>
      <c r="BE1166" s="70">
        <f t="shared" si="695"/>
        <v>1</v>
      </c>
      <c r="BF1166" s="70">
        <f t="shared" si="696"/>
        <v>3.4591246587110075E-2</v>
      </c>
      <c r="BG1166" s="70">
        <f t="shared" si="697"/>
        <v>2.0818041512735763E-2</v>
      </c>
      <c r="BH1166" s="67">
        <f>MAX((CE1166-Driver!$F$200)/(Driver!$G$200-Driver!$F$200)*$BI$1,1)</f>
        <v>6.32896983494593</v>
      </c>
      <c r="BI1166" s="67">
        <f>MAX($BI$1*(BY1166-Driver!$F$201)/(Driver!$G$201-Driver!$F$201),1)</f>
        <v>8.7341772151898738</v>
      </c>
      <c r="BJ1166" s="67">
        <f>(CB1166-Driver!$F$206)/(Driver!$G$206-Driver!$F$206)*$BI$1</f>
        <v>0.31746031746031744</v>
      </c>
      <c r="BK1166" s="67">
        <f>(CD1166-Driver!$F$203)/(Driver!$G$203-Driver!$F$203)*$BI$1</f>
        <v>1.4678899082568806</v>
      </c>
      <c r="BL1166" s="67">
        <f>MAX((CR1166-Driver!$F$202)/(Driver!$G$202-Driver!$F$202)*$BI$1,1)</f>
        <v>6.8965517241379315</v>
      </c>
      <c r="BM1166" s="67">
        <f>MAX((CH1166-Driver!$F$204)/(Driver!$G$204-Driver!$F$204)*$BI$1,1)</f>
        <v>4.7435897435897436</v>
      </c>
      <c r="BN1166" s="67">
        <f>(CI1166-Driver!$F$205)/(Driver!$G$205-Driver!$F$205)*$BI$1</f>
        <v>5.7058823529411757</v>
      </c>
      <c r="BO1166" s="67">
        <f>(CK1166-Driver!$F$207)/(Driver!$G$207-Driver!$F$207)*$BI$1</f>
        <v>0.29989658738366076</v>
      </c>
      <c r="BP1166" s="67">
        <f>(CM1166-Driver!$F$208)/(Driver!$G$208-Driver!$F$208)*$BI$1</f>
        <v>0.53333333333333333</v>
      </c>
      <c r="BQ1166" s="67">
        <f>(CL1166-Driver!$F$209)/(Driver!$G$209-Driver!$F$209)*$BI$1</f>
        <v>0.625</v>
      </c>
      <c r="BR1166" s="28" t="s">
        <v>155</v>
      </c>
      <c r="BS1166" s="8" t="s">
        <v>245</v>
      </c>
      <c r="BT1166" s="9" t="s">
        <v>873</v>
      </c>
      <c r="BU1166" s="10">
        <v>165</v>
      </c>
      <c r="BV1166" s="9" t="s">
        <v>158</v>
      </c>
      <c r="BW1166" s="10">
        <v>165</v>
      </c>
      <c r="BX1166" s="10">
        <v>164.5</v>
      </c>
      <c r="BY1166" s="10">
        <v>146</v>
      </c>
      <c r="BZ1166" s="10">
        <v>155</v>
      </c>
      <c r="CA1166" s="10">
        <v>120</v>
      </c>
      <c r="CB1166" s="10">
        <v>66</v>
      </c>
      <c r="CC1166" s="10">
        <v>103</v>
      </c>
      <c r="CD1166" s="10">
        <v>12.6</v>
      </c>
      <c r="CE1166" s="10">
        <v>2012</v>
      </c>
      <c r="CF1166" s="10">
        <v>0.68</v>
      </c>
      <c r="CG1166" s="10">
        <v>1373</v>
      </c>
      <c r="CH1166" s="10">
        <v>212</v>
      </c>
      <c r="CI1166" s="10">
        <v>130</v>
      </c>
      <c r="CJ1166" s="10">
        <v>37</v>
      </c>
      <c r="CK1166" s="10">
        <v>139</v>
      </c>
      <c r="CL1166" s="10">
        <v>4</v>
      </c>
      <c r="CM1166" s="10">
        <v>48</v>
      </c>
      <c r="CN1166" s="10">
        <v>9.7000000000000003E-2</v>
      </c>
      <c r="CO1166" s="10">
        <v>47</v>
      </c>
      <c r="CP1166" s="10">
        <v>45</v>
      </c>
      <c r="CQ1166" s="10">
        <v>92</v>
      </c>
      <c r="CR1166" s="10">
        <v>9</v>
      </c>
      <c r="CS1166" s="10">
        <v>12.9</v>
      </c>
      <c r="CT1166" s="9" t="s">
        <v>349</v>
      </c>
      <c r="CU1166" s="10"/>
      <c r="CV1166" s="10"/>
      <c r="CW1166" s="10"/>
      <c r="CX1166" t="str">
        <f>INDEX('Data_Price '!AG$2:AG$1266,MATCH(Data!$DN1166,'Data_Price '!$AT$2:$AT$1266,0))</f>
        <v>RC4 WC SC Racetrack 2016 165</v>
      </c>
      <c r="CY1166" t="str">
        <f>INDEX('Data_Price '!AH$2:AH$1266,MATCH(Data!$DN1166,'Data_Price '!$AT$2:$AT$1266,0))</f>
        <v>Shumaker's ski &amp; snowboard</v>
      </c>
      <c r="CZ1166">
        <f>INDEX('Data_Price '!AI$2:AI$1266,MATCH(Data!$DN1166,'Data_Price '!$AT$2:$AT$1266,0))</f>
        <v>1250</v>
      </c>
      <c r="DA1166" t="str">
        <f>INDEX('Data_Price '!AJ$2:AJ$1266,MATCH(Data!$DN1166,'Data_Price '!$AT$2:$AT$1266,0))</f>
        <v>https://tinyurl.com/y9wh2yqn</v>
      </c>
      <c r="DB1166" t="str">
        <f>INDEX('Data_Price '!AK$2:AK$1266,MATCH(Data!$DN1166,'Data_Price '!$AT$2:$AT$1266,0))</f>
        <v>Fischer RC4 World Cup RC Mt+rc4 Z12 PR Alpine Skis 165</v>
      </c>
      <c r="DC1166" t="str">
        <f>INDEX('Data_Price '!AL$2:AL$1266,MATCH(Data!$DN1166,'Data_Price '!$AT$2:$AT$1266,0))</f>
        <v>Snowinn.com</v>
      </c>
      <c r="DD1166">
        <f>INDEX('Data_Price '!AM$2:AM$1266,MATCH(Data!$DN1166,'Data_Price '!$AT$2:$AT$1266,0))</f>
        <v>682.99</v>
      </c>
      <c r="DE1166" t="str">
        <f>INDEX('Data_Price '!AN$2:AN$1266,MATCH(Data!$DN1166,'Data_Price '!$AT$2:$AT$1266,0))</f>
        <v>https://tinyurl.com/yanh9nxs</v>
      </c>
      <c r="DF1166" t="str">
        <f>INDEX('Data_Price '!AO$2:AO$1266,MATCH(Data!$DN1166,'Data_Price '!$AT$2:$AT$1266,0))</f>
        <v>Fischer RC One Lite 68 Slr+rs9 SLR Alpine Skis Woman 165</v>
      </c>
      <c r="DG1166" t="str">
        <f>INDEX('Data_Price '!AP$2:AP$1266,MATCH(Data!$DN1166,'Data_Price '!$AT$2:$AT$1266,0))</f>
        <v>! OutdoorXL.com</v>
      </c>
      <c r="DH1166">
        <f>INDEX('Data_Price '!AQ$2:AQ$1266,MATCH(Data!$DN1166,'Data_Price '!$AT$2:$AT$1266,0))</f>
        <v>329.95</v>
      </c>
      <c r="DI1166" t="str">
        <f>INDEX('Data_Price '!AR$2:AR$1266,MATCH(Data!$DN1166,'Data_Price '!$AT$2:$AT$1266,0))</f>
        <v>https://tinyurl.com/y7dkvjtn</v>
      </c>
      <c r="DJ1166" s="89" t="str">
        <f t="shared" si="698"/>
        <v>https://tinyurl.com/y9wh2yqn</v>
      </c>
      <c r="DK1166" s="89" t="str">
        <f t="shared" si="699"/>
        <v>https://tinyurl.com/yanh9nxs</v>
      </c>
      <c r="DL1166" s="89" t="str">
        <f t="shared" si="700"/>
        <v>https://tinyurl.com/y7dkvjtn</v>
      </c>
      <c r="DM1166" s="219" t="str">
        <f t="shared" si="701"/>
        <v>RC4 WC SC</v>
      </c>
      <c r="DN1166" s="89" t="str">
        <f t="shared" si="702"/>
        <v xml:space="preserve"> FischerRC4 WC SC165 Unisex</v>
      </c>
      <c r="DO1166" s="221"/>
    </row>
    <row r="1167" spans="2:119" ht="15.6" customHeight="1">
      <c r="B1167" s="219" t="b">
        <f t="array" ref="B1167">IF(OR(ISERROR(K1167:P1167)),FALSE,TRUE)</f>
        <v>1</v>
      </c>
      <c r="C1167" s="43" t="b">
        <f>OR(BR1167=Driver!$G$50,Data!BR1250=Driver!$H$50)</f>
        <v>1</v>
      </c>
      <c r="D1167" s="43" t="b">
        <f>OR(BV1167=Driver!$G$51,BV1167=Driver!$H$51)</f>
        <v>1</v>
      </c>
      <c r="E1167" s="43" t="b">
        <f>AND(BX1167&gt;Driver!$F$54,BX1167&lt;Driver!$G$54)</f>
        <v>1</v>
      </c>
      <c r="F1167" s="43" t="b">
        <f>CL1167&gt;Driver!$F$56</f>
        <v>1</v>
      </c>
      <c r="G1167" s="43" t="b">
        <f>AND(CB1167&gt;Driver!$F$55,CB1167&lt;Driver!$G$55)</f>
        <v>0</v>
      </c>
      <c r="H1167" s="43" t="b">
        <f t="shared" si="666"/>
        <v>0</v>
      </c>
      <c r="I1167" s="43">
        <f t="shared" si="667"/>
        <v>0</v>
      </c>
      <c r="J1167" s="43" t="b">
        <f t="array" ref="J1167">NOT(OR(($H$9:$H$1273=TRUE)*($I$9:$I$1273&gt;0)*($BT$9:$BT$1273=BT1167)*($K$9:$K$1273&gt;K1167)))</f>
        <v>1</v>
      </c>
      <c r="K1167" s="72">
        <f t="shared" si="668"/>
        <v>0.8334204384674786</v>
      </c>
      <c r="L1167" s="72">
        <f t="shared" si="669"/>
        <v>0.8282074700984936</v>
      </c>
      <c r="M1167" s="72">
        <f t="shared" si="670"/>
        <v>0.83863340683646337</v>
      </c>
      <c r="N1167" s="72">
        <f t="shared" si="671"/>
        <v>0.9200032500098061</v>
      </c>
      <c r="O1167" s="72">
        <f t="shared" si="672"/>
        <v>0.6964399091940493</v>
      </c>
      <c r="P1167" s="72">
        <f t="shared" si="673"/>
        <v>0.89945706130553482</v>
      </c>
      <c r="Q1167" s="72"/>
      <c r="R1167" s="72"/>
      <c r="S1167" s="72">
        <f t="shared" si="674"/>
        <v>0.39786790467335287</v>
      </c>
      <c r="T1167" s="72">
        <f t="shared" si="675"/>
        <v>0.44419450864164323</v>
      </c>
      <c r="U1167" s="72">
        <f t="shared" si="676"/>
        <v>0.51</v>
      </c>
      <c r="V1167" s="72">
        <f t="shared" si="677"/>
        <v>0.52501751428497279</v>
      </c>
      <c r="W1167" s="72">
        <f t="shared" si="678"/>
        <v>0.8724025974025974</v>
      </c>
      <c r="X1167" s="72">
        <f t="shared" si="679"/>
        <v>0.17179252990150634</v>
      </c>
      <c r="Y1167" s="72">
        <f t="shared" si="680"/>
        <v>0.16136659316353658</v>
      </c>
      <c r="Z1167" s="72">
        <f t="shared" si="681"/>
        <v>7.9996749990193933E-2</v>
      </c>
      <c r="AA1167" s="72">
        <f t="shared" si="682"/>
        <v>0.3035600908059507</v>
      </c>
      <c r="AB1167" s="72">
        <f t="shared" si="683"/>
        <v>0.10054293869446512</v>
      </c>
      <c r="AC1167" s="72"/>
      <c r="AD1167" s="72"/>
      <c r="AE1167" s="72">
        <f t="shared" si="684"/>
        <v>0.60213209532664713</v>
      </c>
      <c r="AF1167" s="72">
        <f t="shared" si="685"/>
        <v>0.55580549135835677</v>
      </c>
      <c r="AG1167" s="72">
        <f t="shared" si="686"/>
        <v>0.49</v>
      </c>
      <c r="AH1167" s="72">
        <f t="shared" si="687"/>
        <v>0.47498248571502721</v>
      </c>
      <c r="AI1167" s="72">
        <f t="shared" si="688"/>
        <v>0.1275974025974026</v>
      </c>
      <c r="AJ1167" s="72">
        <f>(AV1167-Driver!$K$179)/(Driver!$L$179-Driver!$K$179)</f>
        <v>8.2426879381194085E-2</v>
      </c>
      <c r="AK1167" s="72">
        <f>(AW1167-Driver!$K$180)/(Driver!$L$180-Driver!$K$180)</f>
        <v>0.13857506457734212</v>
      </c>
      <c r="AL1167" s="72">
        <f>(AX1167-Driver!$K$181)/(Driver!$L$181-Driver!$K$181)</f>
        <v>2.1691013722886239E-2</v>
      </c>
      <c r="AM1167" s="72">
        <f>(AY1167-Driver!$K$182)/(Driver!$L$182-Driver!$K$182)</f>
        <v>0.14382493029109564</v>
      </c>
      <c r="AN1167" s="72">
        <f>(AZ1167-Driver!$K$183)/(Driver!$L$183-Driver!$K$183)</f>
        <v>0.1536764705882353</v>
      </c>
      <c r="AO1167" s="72"/>
      <c r="AP1167" s="72"/>
      <c r="AQ1167" s="72">
        <f>(BC1167-Driver!$K$188)/(Driver!$L$188-Driver!$K$188)</f>
        <v>1.786790467335287E-2</v>
      </c>
      <c r="AR1167" s="72">
        <f>MIN((BD1167-Driver!$K$189)/(Driver!$L$189-Driver!$K$189),100%)</f>
        <v>-5.8054913583567352E-3</v>
      </c>
      <c r="AS1167" s="72">
        <f>(BE1167-Driver!$K$190)/(Driver!$L$190-Driver!$K$190)</f>
        <v>1</v>
      </c>
      <c r="AT1167" s="72">
        <f>(BF1167-Driver!$K$191)/(Driver!$L$191-Driver!$K$191)</f>
        <v>3.5017514284972816E-2</v>
      </c>
      <c r="AU1167" s="72">
        <f>(BG1167-Driver!$K$192)/(Driver!$L$192-Driver!$K$192)</f>
        <v>0.12240259740259739</v>
      </c>
      <c r="AV1167" s="70">
        <f t="shared" si="689"/>
        <v>1.7348392348392345</v>
      </c>
      <c r="AW1167" s="70">
        <f t="shared" si="690"/>
        <v>15.377260564504647</v>
      </c>
      <c r="AX1167" s="70">
        <f t="shared" si="691"/>
        <v>1.1952191235059761</v>
      </c>
      <c r="AY1167" s="70">
        <f>IFERROR(Driver!$K$19/Data!BH1167/Data!BI1167*Data!BK1167*Data!BL1167,"")</f>
        <v>0.17608462789368229</v>
      </c>
      <c r="AZ1167" s="70">
        <f t="shared" si="692"/>
        <v>14.005956813104989</v>
      </c>
      <c r="BA1167" s="70"/>
      <c r="BB1167" s="70"/>
      <c r="BC1167" s="70">
        <f t="shared" si="693"/>
        <v>9.2682063697262009</v>
      </c>
      <c r="BD1167" s="70">
        <f t="shared" si="694"/>
        <v>1.2070471856051455</v>
      </c>
      <c r="BE1167" s="70">
        <f t="shared" si="695"/>
        <v>1</v>
      </c>
      <c r="BF1167" s="70">
        <f t="shared" si="696"/>
        <v>3.9549822265265213</v>
      </c>
      <c r="BG1167" s="70">
        <f t="shared" si="697"/>
        <v>0.46349431818181819</v>
      </c>
      <c r="BH1167" s="67">
        <f>MAX((CE1167-Driver!$F$200)/(Driver!$G$200-Driver!$F$200)*$BI$1,1)</f>
        <v>1.1952191235059761</v>
      </c>
      <c r="BI1167" s="67">
        <f>MAX($BI$1*(BY1167-Driver!$F$201)/(Driver!$G$201-Driver!$F$201),1)</f>
        <v>7.2151898734177218</v>
      </c>
      <c r="BJ1167" s="67">
        <f>(CB1167-Driver!$F$206)/(Driver!$G$206-Driver!$F$206)*$BI$1</f>
        <v>4.92063492063492</v>
      </c>
      <c r="BK1167" s="67">
        <f>(CD1167-Driver!$F$203)/(Driver!$G$203-Driver!$F$203)*$BI$1</f>
        <v>1.4678899082568806</v>
      </c>
      <c r="BL1167" s="67">
        <f>MAX((CR1167-Driver!$F$202)/(Driver!$G$202-Driver!$F$202)*$BI$1,1)</f>
        <v>5.1724137931034484</v>
      </c>
      <c r="BM1167" s="67">
        <f>MAX((CH1167-Driver!$F$204)/(Driver!$G$204-Driver!$F$204)*$BI$1,1)</f>
        <v>1.4102564102564101</v>
      </c>
      <c r="BN1167" s="67">
        <f>(CI1167-Driver!$F$205)/(Driver!$G$205-Driver!$F$205)*$BI$1</f>
        <v>1.9411764705882353</v>
      </c>
      <c r="BO1167" s="67">
        <f>(CK1167-Driver!$F$207)/(Driver!$G$207-Driver!$F$207)*$BI$1</f>
        <v>1.5615305067218201</v>
      </c>
      <c r="BP1167" s="67">
        <f>(CM1167-Driver!$F$208)/(Driver!$G$208-Driver!$F$208)*$BI$1</f>
        <v>0.75555555555555554</v>
      </c>
      <c r="BQ1167" s="67">
        <f>(CL1167-Driver!$F$209)/(Driver!$G$209-Driver!$F$209)*$BI$1</f>
        <v>0.78125</v>
      </c>
      <c r="BR1167" s="28" t="s">
        <v>155</v>
      </c>
      <c r="BS1167" s="8" t="s">
        <v>229</v>
      </c>
      <c r="BT1167" s="9" t="s">
        <v>461</v>
      </c>
      <c r="BU1167" s="10">
        <v>156</v>
      </c>
      <c r="BV1167" s="9" t="s">
        <v>158</v>
      </c>
      <c r="BW1167" s="10">
        <v>156</v>
      </c>
      <c r="BX1167" s="10">
        <v>154.5</v>
      </c>
      <c r="BY1167" s="10">
        <v>122</v>
      </c>
      <c r="BZ1167" s="10">
        <v>133</v>
      </c>
      <c r="CA1167" s="10">
        <v>137</v>
      </c>
      <c r="CB1167" s="10">
        <v>95</v>
      </c>
      <c r="CC1167" s="10">
        <v>118</v>
      </c>
      <c r="CD1167" s="10">
        <v>12.6</v>
      </c>
      <c r="CE1167" s="10">
        <v>1110</v>
      </c>
      <c r="CF1167" s="10">
        <v>1.5</v>
      </c>
      <c r="CG1167" s="10">
        <v>1669</v>
      </c>
      <c r="CH1167" s="10">
        <v>134</v>
      </c>
      <c r="CI1167" s="10">
        <v>66</v>
      </c>
      <c r="CJ1167" s="10">
        <v>37</v>
      </c>
      <c r="CK1167" s="10">
        <v>261</v>
      </c>
      <c r="CL1167" s="10">
        <v>5</v>
      </c>
      <c r="CM1167" s="10">
        <v>68</v>
      </c>
      <c r="CN1167" s="10">
        <v>0.123</v>
      </c>
      <c r="CO1167" s="10">
        <v>125</v>
      </c>
      <c r="CP1167" s="10">
        <v>95</v>
      </c>
      <c r="CQ1167" s="10">
        <v>136</v>
      </c>
      <c r="CR1167" s="10">
        <v>4</v>
      </c>
      <c r="CS1167" s="10">
        <v>10.6</v>
      </c>
      <c r="CT1167" s="9" t="s">
        <v>185</v>
      </c>
      <c r="CU1167" s="9" t="s">
        <v>198</v>
      </c>
      <c r="CV1167" s="10"/>
      <c r="CW1167" s="10"/>
      <c r="CX1167" t="e">
        <f>INDEX('Data_Price '!AG$2:AG$1266,MATCH(Data!$DN1167,'Data_Price '!$AT$2:$AT$1266,0))</f>
        <v>#N/A</v>
      </c>
      <c r="CY1167" t="e">
        <f>INDEX('Data_Price '!AH$2:AH$1266,MATCH(Data!$DN1167,'Data_Price '!$AT$2:$AT$1266,0))</f>
        <v>#N/A</v>
      </c>
      <c r="CZ1167" t="e">
        <f>INDEX('Data_Price '!AI$2:AI$1266,MATCH(Data!$DN1167,'Data_Price '!$AT$2:$AT$1266,0))</f>
        <v>#N/A</v>
      </c>
      <c r="DA1167" t="e">
        <f>INDEX('Data_Price '!AJ$2:AJ$1266,MATCH(Data!$DN1167,'Data_Price '!$AT$2:$AT$1266,0))</f>
        <v>#N/A</v>
      </c>
      <c r="DB1167" t="e">
        <f>INDEX('Data_Price '!AK$2:AK$1266,MATCH(Data!$DN1167,'Data_Price '!$AT$2:$AT$1266,0))</f>
        <v>#N/A</v>
      </c>
      <c r="DC1167" t="e">
        <f>INDEX('Data_Price '!AL$2:AL$1266,MATCH(Data!$DN1167,'Data_Price '!$AT$2:$AT$1266,0))</f>
        <v>#N/A</v>
      </c>
      <c r="DD1167" t="e">
        <f>INDEX('Data_Price '!AM$2:AM$1266,MATCH(Data!$DN1167,'Data_Price '!$AT$2:$AT$1266,0))</f>
        <v>#N/A</v>
      </c>
      <c r="DE1167" t="e">
        <f>INDEX('Data_Price '!AN$2:AN$1266,MATCH(Data!$DN1167,'Data_Price '!$AT$2:$AT$1266,0))</f>
        <v>#N/A</v>
      </c>
      <c r="DF1167" t="e">
        <f>INDEX('Data_Price '!AO$2:AO$1266,MATCH(Data!$DN1167,'Data_Price '!$AT$2:$AT$1266,0))</f>
        <v>#N/A</v>
      </c>
      <c r="DG1167" t="e">
        <f>INDEX('Data_Price '!AP$2:AP$1266,MATCH(Data!$DN1167,'Data_Price '!$AT$2:$AT$1266,0))</f>
        <v>#N/A</v>
      </c>
      <c r="DH1167" t="e">
        <f>INDEX('Data_Price '!AQ$2:AQ$1266,MATCH(Data!$DN1167,'Data_Price '!$AT$2:$AT$1266,0))</f>
        <v>#N/A</v>
      </c>
      <c r="DI1167" t="e">
        <f>INDEX('Data_Price '!AR$2:AR$1266,MATCH(Data!$DN1167,'Data_Price '!$AT$2:$AT$1266,0))</f>
        <v>#N/A</v>
      </c>
      <c r="DJ1167" s="89" t="e">
        <f t="shared" si="698"/>
        <v>#N/A</v>
      </c>
      <c r="DK1167" s="89" t="e">
        <f t="shared" si="699"/>
        <v>#N/A</v>
      </c>
      <c r="DL1167" s="89" t="e">
        <f t="shared" si="700"/>
        <v>#N/A</v>
      </c>
      <c r="DM1167" s="219" t="str">
        <f t="shared" si="701"/>
        <v>Rise Beyond 96</v>
      </c>
      <c r="DN1167" s="89" t="str">
        <f t="shared" si="702"/>
        <v xml:space="preserve"> VölklRise Beyond 96156 Unisex</v>
      </c>
      <c r="DO1167" s="221"/>
    </row>
    <row r="1168" spans="2:119" ht="15.6" customHeight="1">
      <c r="B1168" s="219" t="b">
        <f t="array" ref="B1168">IF(OR(ISERROR(K1168:P1168)),FALSE,TRUE)</f>
        <v>1</v>
      </c>
      <c r="C1168" s="43" t="b">
        <f>OR(BR1168=Driver!$G$50,Data!BR183=Driver!$H$50)</f>
        <v>1</v>
      </c>
      <c r="D1168" s="43" t="b">
        <f>OR(BV1168=Driver!$G$51,BV1168=Driver!$H$51)</f>
        <v>1</v>
      </c>
      <c r="E1168" s="43" t="b">
        <f>AND(BX1168&gt;Driver!$F$54,BX1168&lt;Driver!$G$54)</f>
        <v>0</v>
      </c>
      <c r="F1168" s="43" t="b">
        <f>CL1168&gt;Driver!$F$56</f>
        <v>1</v>
      </c>
      <c r="G1168" s="43" t="b">
        <f>AND(CB1168&gt;Driver!$F$55,CB1168&lt;Driver!$G$55)</f>
        <v>0</v>
      </c>
      <c r="H1168" s="43" t="b">
        <f t="shared" si="666"/>
        <v>0</v>
      </c>
      <c r="I1168" s="43">
        <f t="shared" si="667"/>
        <v>0</v>
      </c>
      <c r="J1168" s="43" t="b">
        <f t="array" ref="J1168">NOT(OR(($H$9:$H$1273=TRUE)*($I$9:$I$1273&gt;0)*($BT$9:$BT$1273=BT1168)*($K$9:$K$1273&gt;K1168)))</f>
        <v>1</v>
      </c>
      <c r="K1168" s="72">
        <f t="shared" si="668"/>
        <v>0.70676387394501416</v>
      </c>
      <c r="L1168" s="72">
        <f t="shared" si="669"/>
        <v>0.80234331733078768</v>
      </c>
      <c r="M1168" s="72">
        <f t="shared" si="670"/>
        <v>0.61118443055924065</v>
      </c>
      <c r="N1168" s="72">
        <f t="shared" si="671"/>
        <v>0.48365197037848207</v>
      </c>
      <c r="O1168" s="72">
        <f t="shared" si="672"/>
        <v>0.61912962443484043</v>
      </c>
      <c r="P1168" s="72">
        <f t="shared" si="673"/>
        <v>0.7307716968643998</v>
      </c>
      <c r="Q1168" s="72"/>
      <c r="R1168" s="72"/>
      <c r="S1168" s="72">
        <f t="shared" si="674"/>
        <v>0.63506261639361972</v>
      </c>
      <c r="T1168" s="72">
        <f t="shared" si="675"/>
        <v>0.55000000000000004</v>
      </c>
      <c r="U1168" s="72">
        <f t="shared" si="676"/>
        <v>0.51</v>
      </c>
      <c r="V1168" s="72">
        <f t="shared" si="677"/>
        <v>0.49029248866095565</v>
      </c>
      <c r="W1168" s="72">
        <f t="shared" si="678"/>
        <v>0.75377276669557669</v>
      </c>
      <c r="X1168" s="72">
        <f t="shared" si="679"/>
        <v>0.19765668266921238</v>
      </c>
      <c r="Y1168" s="72">
        <f t="shared" si="680"/>
        <v>0.38881556944075929</v>
      </c>
      <c r="Z1168" s="72">
        <f t="shared" si="681"/>
        <v>0.51634802962151793</v>
      </c>
      <c r="AA1168" s="72">
        <f t="shared" si="682"/>
        <v>0.38087037556515957</v>
      </c>
      <c r="AB1168" s="72">
        <f t="shared" si="683"/>
        <v>0.26922830313560026</v>
      </c>
      <c r="AC1168" s="72"/>
      <c r="AD1168" s="72"/>
      <c r="AE1168" s="72">
        <f t="shared" si="684"/>
        <v>0.36493738360638034</v>
      </c>
      <c r="AF1168" s="72">
        <f t="shared" si="685"/>
        <v>0.44999999999999996</v>
      </c>
      <c r="AG1168" s="72">
        <f t="shared" si="686"/>
        <v>0.49</v>
      </c>
      <c r="AH1168" s="72">
        <f t="shared" si="687"/>
        <v>0.50970751133904435</v>
      </c>
      <c r="AI1168" s="72">
        <f t="shared" si="688"/>
        <v>0.24622723330442325</v>
      </c>
      <c r="AJ1168" s="72">
        <f>(AV1168-Driver!$K$179)/(Driver!$L$179-Driver!$K$179)</f>
        <v>5.6562726613488032E-2</v>
      </c>
      <c r="AK1168" s="72">
        <f>(AW1168-Driver!$K$180)/(Driver!$L$180-Driver!$K$180)</f>
        <v>0.53846812655042542</v>
      </c>
      <c r="AL1168" s="72">
        <f>(AX1168-Driver!$K$181)/(Driver!$L$181-Driver!$K$181)</f>
        <v>0.61803579333459813</v>
      </c>
      <c r="AM1168" s="72">
        <f>(AY1168-Driver!$K$182)/(Driver!$L$182-Driver!$K$182)</f>
        <v>6.6514645531886796E-2</v>
      </c>
      <c r="AN1168" s="72">
        <f>(AZ1168-Driver!$K$183)/(Driver!$L$183-Driver!$K$183)</f>
        <v>0.52344771241830068</v>
      </c>
      <c r="AO1168" s="72"/>
      <c r="AP1168" s="72"/>
      <c r="AQ1168" s="72">
        <f>(BC1168-Driver!$K$188)/(Driver!$L$188-Driver!$K$188)</f>
        <v>0.25506261639361966</v>
      </c>
      <c r="AR1168" s="72">
        <f>MIN((BD1168-Driver!$K$189)/(Driver!$L$189-Driver!$K$189),100%)</f>
        <v>1</v>
      </c>
      <c r="AS1168" s="72">
        <f>(BE1168-Driver!$K$190)/(Driver!$L$190-Driver!$K$190)</f>
        <v>1</v>
      </c>
      <c r="AT1168" s="72">
        <f>(BF1168-Driver!$K$191)/(Driver!$L$191-Driver!$K$191)</f>
        <v>2.9248866095571305E-4</v>
      </c>
      <c r="AU1168" s="72">
        <f>(BG1168-Driver!$K$192)/(Driver!$L$192-Driver!$K$192)</f>
        <v>3.7727666955767567E-3</v>
      </c>
      <c r="AV1168" s="70">
        <f t="shared" si="689"/>
        <v>1.1904761904761905</v>
      </c>
      <c r="AW1168" s="70">
        <f t="shared" si="690"/>
        <v>54.350382866776471</v>
      </c>
      <c r="AX1168" s="70">
        <f t="shared" si="691"/>
        <v>6.5623221400113829</v>
      </c>
      <c r="AY1168" s="70">
        <f>IFERROR(Driver!$K$19/Data!BH1168/Data!BI1168*Data!BK1168*Data!BL1168,"")</f>
        <v>8.1433772185791772E-2</v>
      </c>
      <c r="AZ1168" s="70">
        <f t="shared" si="692"/>
        <v>47.706626954579299</v>
      </c>
      <c r="BA1168" s="70"/>
      <c r="BB1168" s="70"/>
      <c r="BC1168" s="70">
        <f t="shared" si="693"/>
        <v>132.30275228991258</v>
      </c>
      <c r="BD1168" s="70">
        <f t="shared" si="694"/>
        <v>118.51875956140371</v>
      </c>
      <c r="BE1168" s="70">
        <f t="shared" si="695"/>
        <v>1</v>
      </c>
      <c r="BF1168" s="70">
        <f t="shared" si="696"/>
        <v>3.3034539405808222E-2</v>
      </c>
      <c r="BG1168" s="70">
        <f t="shared" si="697"/>
        <v>1.4286101474414573E-2</v>
      </c>
      <c r="BH1168" s="67">
        <f>MAX((CE1168-Driver!$F$200)/(Driver!$G$200-Driver!$F$200)*$BI$1,1)</f>
        <v>6.5623221400113829</v>
      </c>
      <c r="BI1168" s="67">
        <f>MAX($BI$1*(BY1168-Driver!$F$201)/(Driver!$G$201-Driver!$F$201),1)</f>
        <v>9.4303797468354436</v>
      </c>
      <c r="BJ1168" s="67">
        <f>(CB1168-Driver!$F$206)/(Driver!$G$206-Driver!$F$206)*$BI$1</f>
        <v>0.95238095238095233</v>
      </c>
      <c r="BK1168" s="67">
        <f>(CD1168-Driver!$F$203)/(Driver!$G$203-Driver!$F$203)*$BI$1</f>
        <v>2.7064220183486243</v>
      </c>
      <c r="BL1168" s="67">
        <f>MAX((CR1168-Driver!$F$202)/(Driver!$G$202-Driver!$F$202)*$BI$1,1)</f>
        <v>9.3103448275862064</v>
      </c>
      <c r="BM1168" s="67">
        <f>MAX((CH1168-Driver!$F$204)/(Driver!$G$204-Driver!$F$204)*$BI$1,1)</f>
        <v>5</v>
      </c>
      <c r="BN1168" s="67">
        <f>(CI1168-Driver!$F$205)/(Driver!$G$205-Driver!$F$205)*$BI$1</f>
        <v>5.0588235294117645</v>
      </c>
      <c r="BO1168" s="67">
        <f>(CK1168-Driver!$F$207)/(Driver!$G$207-Driver!$F$207)*$BI$1</f>
        <v>0.19648397104446741</v>
      </c>
      <c r="BP1168" s="67">
        <f>(CM1168-Driver!$F$208)/(Driver!$G$208-Driver!$F$208)*$BI$1</f>
        <v>0.4777777777777778</v>
      </c>
      <c r="BQ1168" s="67">
        <f>(CL1168-Driver!$F$209)/(Driver!$G$209-Driver!$F$209)*$BI$1</f>
        <v>0.46875</v>
      </c>
      <c r="BR1168" s="28" t="s">
        <v>155</v>
      </c>
      <c r="BS1168" s="8" t="s">
        <v>156</v>
      </c>
      <c r="BT1168" s="9" t="s">
        <v>658</v>
      </c>
      <c r="BU1168" s="10">
        <v>175</v>
      </c>
      <c r="BV1168" s="9" t="s">
        <v>158</v>
      </c>
      <c r="BW1168" s="10">
        <v>175</v>
      </c>
      <c r="BX1168" s="10">
        <v>174.3</v>
      </c>
      <c r="BY1168" s="10">
        <v>157</v>
      </c>
      <c r="BZ1168" s="10">
        <v>160</v>
      </c>
      <c r="CA1168" s="10">
        <v>120</v>
      </c>
      <c r="CB1168" s="10">
        <v>70</v>
      </c>
      <c r="CC1168" s="10">
        <v>103</v>
      </c>
      <c r="CD1168" s="10">
        <v>15.3</v>
      </c>
      <c r="CE1168" s="10">
        <v>2053</v>
      </c>
      <c r="CF1168" s="10">
        <v>0.73</v>
      </c>
      <c r="CG1168" s="10">
        <v>1496</v>
      </c>
      <c r="CH1168" s="10">
        <v>218</v>
      </c>
      <c r="CI1168" s="10">
        <v>119</v>
      </c>
      <c r="CJ1168" s="10">
        <v>30</v>
      </c>
      <c r="CK1168" s="10">
        <v>129</v>
      </c>
      <c r="CL1168" s="10">
        <v>3</v>
      </c>
      <c r="CM1168" s="10">
        <v>43</v>
      </c>
      <c r="CN1168" s="10">
        <v>9.7000000000000003E-2</v>
      </c>
      <c r="CO1168" s="10">
        <v>86</v>
      </c>
      <c r="CP1168" s="10">
        <v>55</v>
      </c>
      <c r="CQ1168" s="10">
        <v>43</v>
      </c>
      <c r="CR1168" s="10">
        <v>16</v>
      </c>
      <c r="CS1168" s="10">
        <v>12.4</v>
      </c>
      <c r="CT1168" s="9" t="s">
        <v>349</v>
      </c>
      <c r="CU1168" s="10"/>
      <c r="CV1168" s="10"/>
      <c r="CW1168" s="10"/>
      <c r="CX1168" t="str">
        <f>INDEX('Data_Price '!AG$2:AG$1266,MATCH(Data!$DN1168,'Data_Price '!$AT$2:$AT$1266,0))</f>
        <v>Atomic Redster G7 Skis w Atomic XT12 Demo Bindings  Demo Skis</v>
      </c>
      <c r="CY1168" t="str">
        <f>INDEX('Data_Price '!AH$2:AH$1266,MATCH(Data!$DN1168,'Data_Price '!$AT$2:$AT$1266,0))</f>
        <v>Powder7 Ski Shop</v>
      </c>
      <c r="CZ1168">
        <f>INDEX('Data_Price '!AI$2:AI$1266,MATCH(Data!$DN1168,'Data_Price '!$AT$2:$AT$1266,0))</f>
        <v>429.99</v>
      </c>
      <c r="DA1168" t="str">
        <f>INDEX('Data_Price '!AJ$2:AJ$1266,MATCH(Data!$DN1168,'Data_Price '!$AT$2:$AT$1266,0))</f>
        <v>https://tinyurl.com/y8q8oyya</v>
      </c>
      <c r="DB1168" t="str">
        <f>INDEX('Data_Price '!AK$2:AK$1266,MATCH(Data!$DN1168,'Data_Price '!$AT$2:$AT$1266,0))</f>
        <v>2020 Atomic Redster G7 Skis W/ Ft 12 Gw Bindings</v>
      </c>
      <c r="DC1168" t="str">
        <f>INDEX('Data_Price '!AL$2:AL$1266,MATCH(Data!$DN1168,'Data_Price '!$AT$2:$AT$1266,0))</f>
        <v>eBay - asogear</v>
      </c>
      <c r="DD1168">
        <f>INDEX('Data_Price '!AM$2:AM$1266,MATCH(Data!$DN1168,'Data_Price '!$AT$2:$AT$1266,0))</f>
        <v>449.99</v>
      </c>
      <c r="DE1168" t="str">
        <f>INDEX('Data_Price '!AN$2:AN$1266,MATCH(Data!$DN1168,'Data_Price '!$AT$2:$AT$1266,0))</f>
        <v>https://tinyurl.com/y8tmtrl6</v>
      </c>
      <c r="DF1168" t="str">
        <f>INDEX('Data_Price '!AO$2:AO$1266,MATCH(Data!$DN1168,'Data_Price '!$AT$2:$AT$1266,0))</f>
        <v>Atomic Bent 85 Skis 2023 - 175</v>
      </c>
      <c r="DG1168" t="str">
        <f>INDEX('Data_Price '!AP$2:AP$1266,MATCH(Data!$DN1168,'Data_Price '!$AT$2:$AT$1266,0))</f>
        <v>Aspen Ski and Board</v>
      </c>
      <c r="DH1168">
        <f>INDEX('Data_Price '!AQ$2:AQ$1266,MATCH(Data!$DN1168,'Data_Price '!$AT$2:$AT$1266,0))</f>
        <v>384.95</v>
      </c>
      <c r="DI1168" t="str">
        <f>INDEX('Data_Price '!AR$2:AR$1266,MATCH(Data!$DN1168,'Data_Price '!$AT$2:$AT$1266,0))</f>
        <v>https://tinyurl.com/y87665mo</v>
      </c>
      <c r="DJ1168" s="89" t="str">
        <f t="shared" si="698"/>
        <v>https://tinyurl.com/y8q8oyya</v>
      </c>
      <c r="DK1168" s="89" t="str">
        <f t="shared" si="699"/>
        <v>https://tinyurl.com/y8tmtrl6</v>
      </c>
      <c r="DL1168" s="89" t="str">
        <f t="shared" si="700"/>
        <v>https://tinyurl.com/y87665mo</v>
      </c>
      <c r="DM1168" s="219" t="str">
        <f t="shared" si="701"/>
        <v>Redster X5</v>
      </c>
      <c r="DN1168" s="89" t="str">
        <f t="shared" si="702"/>
        <v xml:space="preserve"> AtomicRedster X5175 Unisex</v>
      </c>
      <c r="DO1168" s="221"/>
    </row>
    <row r="1169" spans="2:119" ht="15.6" customHeight="1">
      <c r="B1169" s="219" t="b">
        <f t="array" ref="B1169">IF(OR(ISERROR(K1169:P1169)),FALSE,TRUE)</f>
        <v>1</v>
      </c>
      <c r="C1169" s="43" t="b">
        <f>OR(BR1169=Driver!$G$50,Data!BR1046=Driver!$H$50)</f>
        <v>1</v>
      </c>
      <c r="D1169" s="43" t="b">
        <f>OR(BV1169=Driver!$G$51,BV1169=Driver!$H$51)</f>
        <v>0</v>
      </c>
      <c r="E1169" s="43" t="b">
        <f>AND(BX1169&gt;Driver!$F$54,BX1169&lt;Driver!$G$54)</f>
        <v>0</v>
      </c>
      <c r="F1169" s="43" t="b">
        <f>CL1169&gt;Driver!$F$56</f>
        <v>1</v>
      </c>
      <c r="G1169" s="43" t="b">
        <f>AND(CB1169&gt;Driver!$F$55,CB1169&lt;Driver!$G$55)</f>
        <v>0</v>
      </c>
      <c r="H1169" s="43" t="b">
        <f t="shared" si="666"/>
        <v>0</v>
      </c>
      <c r="I1169" s="43">
        <f t="shared" si="667"/>
        <v>0</v>
      </c>
      <c r="J1169" s="43" t="b">
        <f t="array" ref="J1169">NOT(OR(($H$9:$H$1273=TRUE)*($I$9:$I$1273&gt;0)*($BT$9:$BT$1273=BT1169)*($K$9:$K$1273&gt;K1169)))</f>
        <v>1</v>
      </c>
      <c r="K1169" s="72">
        <f t="shared" si="668"/>
        <v>0.7671412921556513</v>
      </c>
      <c r="L1169" s="72">
        <f t="shared" si="669"/>
        <v>0.77559285403210099</v>
      </c>
      <c r="M1169" s="72">
        <f t="shared" si="670"/>
        <v>0.75868973027920161</v>
      </c>
      <c r="N1169" s="72">
        <f t="shared" si="671"/>
        <v>0.89723573057578809</v>
      </c>
      <c r="O1169" s="72">
        <f t="shared" si="672"/>
        <v>0.57145156235497485</v>
      </c>
      <c r="P1169" s="72">
        <f t="shared" si="673"/>
        <v>0.80738189790684212</v>
      </c>
      <c r="Q1169" s="72"/>
      <c r="R1169" s="72"/>
      <c r="S1169" s="72">
        <f t="shared" si="674"/>
        <v>0.38315265924594788</v>
      </c>
      <c r="T1169" s="72">
        <f t="shared" si="675"/>
        <v>0.99869890228917535</v>
      </c>
      <c r="U1169" s="72">
        <f t="shared" si="676"/>
        <v>0.51</v>
      </c>
      <c r="V1169" s="72">
        <f t="shared" si="677"/>
        <v>0.49867770061323835</v>
      </c>
      <c r="W1169" s="72">
        <f t="shared" si="678"/>
        <v>0.79594323782700538</v>
      </c>
      <c r="X1169" s="72">
        <f t="shared" si="679"/>
        <v>0.22440714596789904</v>
      </c>
      <c r="Y1169" s="72">
        <f t="shared" si="680"/>
        <v>0.24131026972079836</v>
      </c>
      <c r="Z1169" s="72">
        <f t="shared" si="681"/>
        <v>0.10276426942421195</v>
      </c>
      <c r="AA1169" s="72">
        <f t="shared" si="682"/>
        <v>0.42854843764502515</v>
      </c>
      <c r="AB1169" s="72">
        <f t="shared" si="683"/>
        <v>0.19261810209315794</v>
      </c>
      <c r="AC1169" s="72"/>
      <c r="AD1169" s="72"/>
      <c r="AE1169" s="72">
        <f t="shared" si="684"/>
        <v>0.61684734075405212</v>
      </c>
      <c r="AF1169" s="72">
        <f t="shared" si="685"/>
        <v>1.3010977108246502E-3</v>
      </c>
      <c r="AG1169" s="72">
        <f t="shared" si="686"/>
        <v>0.49</v>
      </c>
      <c r="AH1169" s="72">
        <f t="shared" si="687"/>
        <v>0.50132229938676165</v>
      </c>
      <c r="AI1169" s="72">
        <f t="shared" si="688"/>
        <v>0.20405676217299465</v>
      </c>
      <c r="AJ1169" s="72">
        <f>(AV1169-Driver!$K$179)/(Driver!$L$179-Driver!$K$179)</f>
        <v>2.9812263314801378E-2</v>
      </c>
      <c r="AK1169" s="72">
        <f>(AW1169-Driver!$K$180)/(Driver!$L$180-Driver!$K$180)</f>
        <v>6.7777660908136944E-2</v>
      </c>
      <c r="AL1169" s="72">
        <f>(AX1169-Driver!$K$181)/(Driver!$L$181-Driver!$K$181)</f>
        <v>0.20445203313729213</v>
      </c>
      <c r="AM1169" s="72">
        <f>(AY1169-Driver!$K$182)/(Driver!$L$182-Driver!$K$182)</f>
        <v>1.8836583452021192E-2</v>
      </c>
      <c r="AN1169" s="72">
        <f>(AZ1169-Driver!$K$183)/(Driver!$L$183-Driver!$K$183)</f>
        <v>6.1601307189542487E-2</v>
      </c>
      <c r="AO1169" s="72"/>
      <c r="AP1169" s="72"/>
      <c r="AQ1169" s="72">
        <f>(BC1169-Driver!$K$188)/(Driver!$L$188-Driver!$K$188)</f>
        <v>3.1526592459478974E-3</v>
      </c>
      <c r="AR1169" s="72">
        <f>MIN((BD1169-Driver!$K$189)/(Driver!$L$189-Driver!$K$189),100%)</f>
        <v>0.55130109771082469</v>
      </c>
      <c r="AS1169" s="72">
        <f>(BE1169-Driver!$K$190)/(Driver!$L$190-Driver!$K$190)</f>
        <v>1</v>
      </c>
      <c r="AT1169" s="72">
        <f>(BF1169-Driver!$K$191)/(Driver!$L$191-Driver!$K$191)</f>
        <v>8.6777006132383074E-3</v>
      </c>
      <c r="AU1169" s="72">
        <f>(BG1169-Driver!$K$192)/(Driver!$L$192-Driver!$K$192)</f>
        <v>4.5943237827005351E-2</v>
      </c>
      <c r="AV1169" s="70">
        <f t="shared" si="689"/>
        <v>0.62745896079229402</v>
      </c>
      <c r="AW1169" s="70">
        <f t="shared" si="690"/>
        <v>8.47742624812693</v>
      </c>
      <c r="AX1169" s="70">
        <f t="shared" si="691"/>
        <v>2.8400682982356291</v>
      </c>
      <c r="AY1169" s="70">
        <f>IFERROR(Driver!$K$19/Data!BH1169/Data!BI1169*Data!BK1169*Data!BL1169,"")</f>
        <v>2.3061598439326998E-2</v>
      </c>
      <c r="AZ1169" s="70">
        <f t="shared" si="692"/>
        <v>5.6142963514519737</v>
      </c>
      <c r="BA1169" s="70"/>
      <c r="BB1169" s="70"/>
      <c r="BC1169" s="70">
        <f t="shared" si="693"/>
        <v>1.635306267804681</v>
      </c>
      <c r="BD1169" s="70">
        <f t="shared" si="694"/>
        <v>50.50999318376369</v>
      </c>
      <c r="BE1169" s="70">
        <f t="shared" si="695"/>
        <v>1</v>
      </c>
      <c r="BF1169" s="70">
        <f t="shared" si="696"/>
        <v>0.98008531996812009</v>
      </c>
      <c r="BG1169" s="70">
        <f t="shared" si="697"/>
        <v>0.17397040703027675</v>
      </c>
      <c r="BH1169" s="67">
        <f>MAX((CE1169-Driver!$F$200)/(Driver!$G$200-Driver!$F$200)*$BI$1,1)</f>
        <v>2.8400682982356291</v>
      </c>
      <c r="BI1169" s="67">
        <f>MAX($BI$1*(BY1169-Driver!$F$201)/(Driver!$G$201-Driver!$F$201),1)</f>
        <v>7.3417721518987342</v>
      </c>
      <c r="BJ1169" s="67">
        <f>(CB1169-Driver!$F$206)/(Driver!$G$206-Driver!$F$206)*$BI$1</f>
        <v>1.5873015873015872</v>
      </c>
      <c r="BK1169" s="67">
        <f>(CD1169-Driver!$F$203)/(Driver!$G$203-Driver!$F$203)*$BI$1</f>
        <v>0.3669724770642197</v>
      </c>
      <c r="BL1169" s="67">
        <f>MAX((CR1169-Driver!$F$202)/(Driver!$G$202-Driver!$F$202)*$BI$1,1)</f>
        <v>6.5517241379310338</v>
      </c>
      <c r="BM1169" s="67">
        <f>MAX((CH1169-Driver!$F$204)/(Driver!$G$204-Driver!$F$204)*$BI$1,1)</f>
        <v>1.5811965811965811</v>
      </c>
      <c r="BN1169" s="67">
        <f>(CI1169-Driver!$F$205)/(Driver!$G$205-Driver!$F$205)*$BI$1</f>
        <v>0.76470588235294124</v>
      </c>
      <c r="BO1169" s="67">
        <f>(CK1169-Driver!$F$207)/(Driver!$G$207-Driver!$F$207)*$BI$1</f>
        <v>0.29989658738366076</v>
      </c>
      <c r="BP1169" s="67">
        <f>(CM1169-Driver!$F$208)/(Driver!$G$208-Driver!$F$208)*$BI$1</f>
        <v>0.75555555555555554</v>
      </c>
      <c r="BQ1169" s="67">
        <f>(CL1169-Driver!$F$209)/(Driver!$G$209-Driver!$F$209)*$BI$1</f>
        <v>0.78125</v>
      </c>
      <c r="BR1169" s="28" t="s">
        <v>155</v>
      </c>
      <c r="BS1169" s="8" t="s">
        <v>172</v>
      </c>
      <c r="BT1169" s="9" t="s">
        <v>770</v>
      </c>
      <c r="BU1169" s="10">
        <v>144</v>
      </c>
      <c r="BV1169" s="9" t="s">
        <v>163</v>
      </c>
      <c r="BW1169" s="10">
        <v>144</v>
      </c>
      <c r="BX1169" s="10">
        <v>144.30000000000001</v>
      </c>
      <c r="BY1169" s="10">
        <v>124</v>
      </c>
      <c r="BZ1169" s="10">
        <v>129</v>
      </c>
      <c r="CA1169" s="10">
        <v>121</v>
      </c>
      <c r="CB1169" s="10">
        <v>74</v>
      </c>
      <c r="CC1169" s="10">
        <v>107</v>
      </c>
      <c r="CD1169" s="10">
        <v>10.199999999999999</v>
      </c>
      <c r="CE1169" s="10">
        <v>1399</v>
      </c>
      <c r="CF1169" s="10">
        <v>0.92</v>
      </c>
      <c r="CG1169" s="10">
        <v>1285</v>
      </c>
      <c r="CH1169" s="10">
        <v>138</v>
      </c>
      <c r="CI1169" s="10">
        <v>46</v>
      </c>
      <c r="CJ1169" s="10">
        <v>33</v>
      </c>
      <c r="CK1169" s="10">
        <v>139</v>
      </c>
      <c r="CL1169" s="10">
        <v>5</v>
      </c>
      <c r="CM1169" s="10">
        <v>68</v>
      </c>
      <c r="CN1169" s="10">
        <v>0.155</v>
      </c>
      <c r="CO1169" s="10">
        <v>78</v>
      </c>
      <c r="CP1169" s="10">
        <v>79</v>
      </c>
      <c r="CQ1169" s="10">
        <v>61</v>
      </c>
      <c r="CR1169" s="10">
        <v>8</v>
      </c>
      <c r="CS1169" s="10">
        <v>8</v>
      </c>
      <c r="CT1169" s="9" t="s">
        <v>349</v>
      </c>
      <c r="CU1169" s="9" t="s">
        <v>231</v>
      </c>
      <c r="CV1169" s="10"/>
      <c r="CW1169" s="10"/>
      <c r="CX1169" t="str">
        <f>INDEX('Data_Price '!AG$2:AG$1266,MATCH(Data!$DN1169,'Data_Price '!$AT$2:$AT$1266,0))</f>
        <v>Rossignol Nova 2 Skis w/ Look Xpress 10 GW Bindings</v>
      </c>
      <c r="CY1169" t="str">
        <f>INDEX('Data_Price '!AH$2:AH$1266,MATCH(Data!$DN1169,'Data_Price '!$AT$2:$AT$1266,0))</f>
        <v>SportÃ¨que</v>
      </c>
      <c r="CZ1169">
        <f>INDEX('Data_Price '!AI$2:AI$1266,MATCH(Data!$DN1169,'Data_Price '!$AT$2:$AT$1266,0))</f>
        <v>340.58</v>
      </c>
      <c r="DA1169" t="str">
        <f>INDEX('Data_Price '!AJ$2:AJ$1266,MATCH(Data!$DN1169,'Data_Price '!$AT$2:$AT$1266,0))</f>
        <v>https://tinyurl.com/ya8g8ogs</v>
      </c>
      <c r="DB1169" t="str">
        <f>INDEX('Data_Price '!AK$2:AK$1266,MATCH(Data!$DN1169,'Data_Price '!$AT$2:$AT$1266,0))</f>
        <v>2017 Rossignol Temptation 80 144cm W/ Look Xpress 11 Binding</v>
      </c>
      <c r="DC1169" t="str">
        <f>INDEX('Data_Price '!AL$2:AL$1266,MATCH(Data!$DN1169,'Data_Price '!$AT$2:$AT$1266,0))</f>
        <v>eBay - riverpirate999</v>
      </c>
      <c r="DD1169">
        <f>INDEX('Data_Price '!AM$2:AM$1266,MATCH(Data!$DN1169,'Data_Price '!$AT$2:$AT$1266,0))</f>
        <v>229</v>
      </c>
      <c r="DE1169" t="str">
        <f>INDEX('Data_Price '!AN$2:AN$1266,MATCH(Data!$DN1169,'Data_Price '!$AT$2:$AT$1266,0))</f>
        <v>https://tinyurl.com/yblq4kl7</v>
      </c>
      <c r="DF1169" t="str">
        <f>INDEX('Data_Price '!AO$2:AO$1266,MATCH(Data!$DN1169,'Data_Price '!$AT$2:$AT$1266,0))</f>
        <v>Rossignol Experience 77 Basalt w/ Xpress 11 Bindings 144cm</v>
      </c>
      <c r="DG1169" t="str">
        <f>INDEX('Data_Price '!AP$2:AP$1266,MATCH(Data!$DN1169,'Data_Price '!$AT$2:$AT$1266,0))</f>
        <v>eBay - demo-skis</v>
      </c>
      <c r="DH1169">
        <f>INDEX('Data_Price '!AQ$2:AQ$1266,MATCH(Data!$DN1169,'Data_Price '!$AT$2:$AT$1266,0))</f>
        <v>249</v>
      </c>
      <c r="DI1169" t="str">
        <f>INDEX('Data_Price '!AR$2:AR$1266,MATCH(Data!$DN1169,'Data_Price '!$AT$2:$AT$1266,0))</f>
        <v>https://tinyurl.com/y8z97ut9</v>
      </c>
      <c r="DJ1169" s="89" t="str">
        <f t="shared" si="698"/>
        <v>https://tinyurl.com/ya8g8ogs</v>
      </c>
      <c r="DK1169" s="89" t="str">
        <f t="shared" si="699"/>
        <v>https://tinyurl.com/yblq4kl7</v>
      </c>
      <c r="DL1169" s="89" t="str">
        <f t="shared" si="700"/>
        <v>https://tinyurl.com/y8z97ut9</v>
      </c>
      <c r="DM1169" s="219" t="str">
        <f t="shared" si="701"/>
        <v>Nova 2</v>
      </c>
      <c r="DN1169" s="89" t="str">
        <f t="shared" si="702"/>
        <v xml:space="preserve"> RossignolNova 2144 Women's</v>
      </c>
      <c r="DO1169" s="221" t="s">
        <v>771</v>
      </c>
    </row>
    <row r="1170" spans="2:119" ht="15.6" customHeight="1">
      <c r="B1170" s="219" t="b">
        <f t="array" ref="B1170">IF(OR(ISERROR(K1170:P1170)),FALSE,TRUE)</f>
        <v>1</v>
      </c>
      <c r="C1170" s="43" t="b">
        <f>OR(BR1170=Driver!$G$50,Data!BR605=Driver!$H$50)</f>
        <v>1</v>
      </c>
      <c r="D1170" s="43" t="b">
        <f>OR(BV1170=Driver!$G$51,BV1170=Driver!$H$51)</f>
        <v>1</v>
      </c>
      <c r="E1170" s="43" t="b">
        <f>AND(BX1170&gt;Driver!$F$54,BX1170&lt;Driver!$G$54)</f>
        <v>0</v>
      </c>
      <c r="F1170" s="43" t="b">
        <f>CL1170&gt;Driver!$F$56</f>
        <v>1</v>
      </c>
      <c r="G1170" s="43" t="b">
        <f>AND(CB1170&gt;Driver!$F$55,CB1170&lt;Driver!$G$55)</f>
        <v>1</v>
      </c>
      <c r="H1170" s="43" t="b">
        <f t="shared" si="666"/>
        <v>0</v>
      </c>
      <c r="I1170" s="43">
        <f t="shared" si="667"/>
        <v>0</v>
      </c>
      <c r="J1170" s="43" t="b">
        <f t="array" ref="J1170">NOT(OR(($H$9:$H$1273=TRUE)*($I$9:$I$1273&gt;0)*($BT$9:$BT$1273=BT1170)*($K$9:$K$1273&gt;K1170)))</f>
        <v>1</v>
      </c>
      <c r="K1170" s="72">
        <f t="shared" si="668"/>
        <v>0.56460598121439165</v>
      </c>
      <c r="L1170" s="72">
        <f t="shared" si="669"/>
        <v>0.4573456682465229</v>
      </c>
      <c r="M1170" s="72">
        <f t="shared" si="670"/>
        <v>0.6718662941822604</v>
      </c>
      <c r="N1170" s="72">
        <f t="shared" si="671"/>
        <v>0.61518931307120328</v>
      </c>
      <c r="O1170" s="72">
        <f t="shared" si="672"/>
        <v>0.67507087914712627</v>
      </c>
      <c r="P1170" s="72">
        <f t="shared" si="673"/>
        <v>0.725338690328452</v>
      </c>
      <c r="Q1170" s="72"/>
      <c r="R1170" s="72"/>
      <c r="S1170" s="72">
        <f t="shared" si="674"/>
        <v>0.57245791078646069</v>
      </c>
      <c r="T1170" s="72">
        <f t="shared" si="675"/>
        <v>0.50595148114860389</v>
      </c>
      <c r="U1170" s="72">
        <f t="shared" si="676"/>
        <v>0.57738912553447042</v>
      </c>
      <c r="V1170" s="72">
        <f t="shared" si="677"/>
        <v>0.55011837576577094</v>
      </c>
      <c r="W1170" s="72">
        <f t="shared" si="678"/>
        <v>0.76669988925802879</v>
      </c>
      <c r="X1170" s="72">
        <f t="shared" si="679"/>
        <v>0.5426543317534771</v>
      </c>
      <c r="Y1170" s="72">
        <f t="shared" si="680"/>
        <v>0.32813370581773954</v>
      </c>
      <c r="Z1170" s="72">
        <f t="shared" si="681"/>
        <v>0.38481068692879672</v>
      </c>
      <c r="AA1170" s="72">
        <f t="shared" si="682"/>
        <v>0.32492912085287379</v>
      </c>
      <c r="AB1170" s="72">
        <f t="shared" si="683"/>
        <v>0.27466130967154795</v>
      </c>
      <c r="AC1170" s="72"/>
      <c r="AD1170" s="72"/>
      <c r="AE1170" s="72">
        <f t="shared" si="684"/>
        <v>0.42754208921353937</v>
      </c>
      <c r="AF1170" s="72">
        <f t="shared" si="685"/>
        <v>0.49404851885139606</v>
      </c>
      <c r="AG1170" s="72">
        <f t="shared" si="686"/>
        <v>0.42261087446552958</v>
      </c>
      <c r="AH1170" s="72">
        <f t="shared" si="687"/>
        <v>0.44988162423422906</v>
      </c>
      <c r="AI1170" s="72">
        <f t="shared" si="688"/>
        <v>0.23330011074197121</v>
      </c>
      <c r="AJ1170" s="72">
        <f>(AV1170-Driver!$K$179)/(Driver!$L$179-Driver!$K$179)</f>
        <v>0.79687374103617747</v>
      </c>
      <c r="AK1170" s="72">
        <f>(AW1170-Driver!$K$180)/(Driver!$L$180-Driver!$K$180)</f>
        <v>0.53210454706551402</v>
      </c>
      <c r="AL1170" s="72">
        <f>(AX1170-Driver!$K$181)/(Driver!$L$181-Driver!$K$181)</f>
        <v>0.48649845064187691</v>
      </c>
      <c r="AM1170" s="72">
        <f>(AY1170-Driver!$K$182)/(Driver!$L$182-Driver!$K$182)</f>
        <v>0.12245590024417258</v>
      </c>
      <c r="AN1170" s="72">
        <f>(AZ1170-Driver!$K$183)/(Driver!$L$183-Driver!$K$183)</f>
        <v>0.52888071895424837</v>
      </c>
      <c r="AO1170" s="72"/>
      <c r="AP1170" s="72"/>
      <c r="AQ1170" s="72">
        <f>(BC1170-Driver!$K$188)/(Driver!$L$188-Driver!$K$188)</f>
        <v>0.19245791078646063</v>
      </c>
      <c r="AR1170" s="72">
        <f>MIN((BD1170-Driver!$K$189)/(Driver!$L$189-Driver!$K$189),100%)</f>
        <v>5.5951481148603967E-2</v>
      </c>
      <c r="AS1170" s="72">
        <f>(BE1170-Driver!$K$190)/(Driver!$L$190-Driver!$K$190)</f>
        <v>8.7389125534470424E-2</v>
      </c>
      <c r="AT1170" s="72">
        <f>(BF1170-Driver!$K$191)/(Driver!$L$191-Driver!$K$191)</f>
        <v>6.0118375765770921E-2</v>
      </c>
      <c r="AU1170" s="72">
        <f>(BG1170-Driver!$K$192)/(Driver!$L$192-Driver!$K$192)</f>
        <v>1.6699889258028795E-2</v>
      </c>
      <c r="AV1170" s="70">
        <f t="shared" si="689"/>
        <v>16.771808438475105</v>
      </c>
      <c r="AW1170" s="70">
        <f t="shared" si="690"/>
        <v>53.730195658921446</v>
      </c>
      <c r="AX1170" s="70">
        <f t="shared" si="691"/>
        <v>5.3784860557768921</v>
      </c>
      <c r="AY1170" s="70">
        <f>IFERROR(Driver!$K$19/Data!BH1170/Data!BI1170*Data!BK1170*Data!BL1170,"")</f>
        <v>0.14992255921305997</v>
      </c>
      <c r="AZ1170" s="70">
        <f t="shared" si="692"/>
        <v>48.201787043931496</v>
      </c>
      <c r="BA1170" s="70"/>
      <c r="BB1170" s="70"/>
      <c r="BC1170" s="70">
        <f t="shared" si="693"/>
        <v>99.829256270626644</v>
      </c>
      <c r="BD1170" s="70">
        <f t="shared" si="694"/>
        <v>6.6724298255910144</v>
      </c>
      <c r="BE1170" s="70">
        <f t="shared" si="695"/>
        <v>8.7551925042602147E-2</v>
      </c>
      <c r="BF1170" s="70">
        <f t="shared" si="696"/>
        <v>6.7899481872504159</v>
      </c>
      <c r="BG1170" s="70">
        <f t="shared" si="697"/>
        <v>6.323643410852714E-2</v>
      </c>
      <c r="BH1170" s="67">
        <f>MAX((CE1170-Driver!$F$200)/(Driver!$G$200-Driver!$F$200)*$BI$1,1)</f>
        <v>5.3784860557768921</v>
      </c>
      <c r="BI1170" s="67">
        <f>MAX($BI$1*(BY1170-Driver!$F$201)/(Driver!$G$201-Driver!$F$201),1)</f>
        <v>7.6582278481012658</v>
      </c>
      <c r="BJ1170" s="67">
        <f>(CB1170-Driver!$F$206)/(Driver!$G$206-Driver!$F$206)*$BI$1</f>
        <v>7.3015873015873014</v>
      </c>
      <c r="BK1170" s="67">
        <f>(CD1170-Driver!$F$203)/(Driver!$G$203-Driver!$F$203)*$BI$1</f>
        <v>5.5963302752293584</v>
      </c>
      <c r="BL1170" s="67">
        <f>MAX((CR1170-Driver!$F$202)/(Driver!$G$202-Driver!$F$202)*$BI$1,1)</f>
        <v>5.5172413793103452</v>
      </c>
      <c r="BM1170" s="67">
        <f>MAX((CH1170-Driver!$F$204)/(Driver!$G$204-Driver!$F$204)*$BI$1,1)</f>
        <v>9.1880341880341874</v>
      </c>
      <c r="BN1170" s="67">
        <f>(CI1170-Driver!$F$205)/(Driver!$G$205-Driver!$F$205)*$BI$1</f>
        <v>6.2941176470588234</v>
      </c>
      <c r="BO1170" s="67">
        <f>(CK1170-Driver!$F$207)/(Driver!$G$207-Driver!$F$207)*$BI$1</f>
        <v>1.7476732161323683</v>
      </c>
      <c r="BP1170" s="67">
        <f>(CM1170-Driver!$F$208)/(Driver!$G$208-Driver!$F$208)*$BI$1</f>
        <v>2.9777777777777774</v>
      </c>
      <c r="BQ1170" s="67">
        <f>(CL1170-Driver!$F$209)/(Driver!$G$209-Driver!$F$209)*$BI$1</f>
        <v>3.125</v>
      </c>
      <c r="BR1170" s="28" t="s">
        <v>155</v>
      </c>
      <c r="BS1170" s="8" t="s">
        <v>167</v>
      </c>
      <c r="BT1170" s="9" t="s">
        <v>786</v>
      </c>
      <c r="BU1170" s="10">
        <v>184</v>
      </c>
      <c r="BV1170" s="9" t="s">
        <v>158</v>
      </c>
      <c r="BW1170" s="10">
        <v>184</v>
      </c>
      <c r="BX1170" s="10">
        <v>183.2</v>
      </c>
      <c r="BY1170" s="10">
        <v>129</v>
      </c>
      <c r="BZ1170" s="10">
        <v>145</v>
      </c>
      <c r="CA1170" s="10">
        <v>139</v>
      </c>
      <c r="CB1170" s="10">
        <v>110</v>
      </c>
      <c r="CC1170" s="10">
        <v>126</v>
      </c>
      <c r="CD1170" s="10">
        <v>21.6</v>
      </c>
      <c r="CE1170" s="10">
        <v>1845</v>
      </c>
      <c r="CF1170" s="10">
        <v>1.19</v>
      </c>
      <c r="CG1170" s="10">
        <v>2191</v>
      </c>
      <c r="CH1170" s="10">
        <v>316</v>
      </c>
      <c r="CI1170" s="10">
        <v>140</v>
      </c>
      <c r="CJ1170" s="10">
        <v>58</v>
      </c>
      <c r="CK1170" s="10">
        <v>279</v>
      </c>
      <c r="CL1170" s="10">
        <v>20</v>
      </c>
      <c r="CM1170" s="10">
        <v>268</v>
      </c>
      <c r="CN1170" s="10">
        <v>0.34200000000000003</v>
      </c>
      <c r="CO1170" s="10">
        <v>240</v>
      </c>
      <c r="CP1170" s="10">
        <v>147</v>
      </c>
      <c r="CQ1170" s="10">
        <v>39</v>
      </c>
      <c r="CR1170" s="10">
        <v>5</v>
      </c>
      <c r="CS1170" s="10">
        <v>9.3000000000000007</v>
      </c>
      <c r="CT1170" s="9" t="s">
        <v>178</v>
      </c>
      <c r="CU1170" s="9" t="s">
        <v>185</v>
      </c>
      <c r="CV1170" s="10"/>
      <c r="CW1170" s="10"/>
      <c r="CX1170" t="str">
        <f>INDEX('Data_Price '!AG$2:AG$1266,MATCH(Data!$DN1170,'Data_Price '!$AT$2:$AT$1266,0))</f>
        <v>Head Kore 111 21/22</v>
      </c>
      <c r="CY1170" t="str">
        <f>INDEX('Data_Price '!AH$2:AH$1266,MATCH(Data!$DN1170,'Data_Price '!$AT$2:$AT$1266,0))</f>
        <v>Telemark Pyrenees</v>
      </c>
      <c r="CZ1170">
        <f>INDEX('Data_Price '!AI$2:AI$1266,MATCH(Data!$DN1170,'Data_Price '!$AT$2:$AT$1266,0))</f>
        <v>430.82</v>
      </c>
      <c r="DA1170" t="str">
        <f>INDEX('Data_Price '!AJ$2:AJ$1266,MATCH(Data!$DN1170,'Data_Price '!$AT$2:$AT$1266,0))</f>
        <v>https://tinyurl.com/yatpa6wu</v>
      </c>
      <c r="DB1170" t="str">
        <f>INDEX('Data_Price '!AK$2:AK$1266,MATCH(Data!$DN1170,'Data_Price '!$AT$2:$AT$1266,0))</f>
        <v>Head Kore 111 21/22</v>
      </c>
      <c r="DC1170" t="str">
        <f>INDEX('Data_Price '!AL$2:AL$1266,MATCH(Data!$DN1170,'Data_Price '!$AT$2:$AT$1266,0))</f>
        <v>Gorham Bike and Ski</v>
      </c>
      <c r="DD1170">
        <f>INDEX('Data_Price '!AM$2:AM$1266,MATCH(Data!$DN1170,'Data_Price '!$AT$2:$AT$1266,0))</f>
        <v>524.99</v>
      </c>
      <c r="DE1170" t="str">
        <f>INDEX('Data_Price '!AN$2:AN$1266,MATCH(Data!$DN1170,'Data_Price '!$AT$2:$AT$1266,0))</f>
        <v>https://tinyurl.com/y84xs4t5</v>
      </c>
      <c r="DF1170" t="str">
        <f>INDEX('Data_Price '!AO$2:AO$1266,MATCH(Data!$DN1170,'Data_Price '!$AT$2:$AT$1266,0))</f>
        <v>Head Kore 111 Anth/Bl / 184cm</v>
      </c>
      <c r="DG1170" t="str">
        <f>INDEX('Data_Price '!AP$2:AP$1266,MATCH(Data!$DN1170,'Data_Price '!$AT$2:$AT$1266,0))</f>
        <v>Sundance Ski and Board Shop</v>
      </c>
      <c r="DH1170">
        <f>INDEX('Data_Price '!AQ$2:AQ$1266,MATCH(Data!$DN1170,'Data_Price '!$AT$2:$AT$1266,0))</f>
        <v>544.98</v>
      </c>
      <c r="DI1170" t="str">
        <f>INDEX('Data_Price '!AR$2:AR$1266,MATCH(Data!$DN1170,'Data_Price '!$AT$2:$AT$1266,0))</f>
        <v>https://tinyurl.com/ybdu68xa</v>
      </c>
      <c r="DJ1170" s="89" t="str">
        <f t="shared" si="698"/>
        <v>https://tinyurl.com/yatpa6wu</v>
      </c>
      <c r="DK1170" s="89" t="str">
        <f t="shared" si="699"/>
        <v>https://tinyurl.com/y84xs4t5</v>
      </c>
      <c r="DL1170" s="89" t="str">
        <f t="shared" si="700"/>
        <v>https://tinyurl.com/ybdu68xa</v>
      </c>
      <c r="DM1170" s="219" t="str">
        <f t="shared" si="701"/>
        <v>Kore 111</v>
      </c>
      <c r="DN1170" s="89" t="str">
        <f t="shared" si="702"/>
        <v xml:space="preserve"> HeadKore 111184 Unisex</v>
      </c>
      <c r="DO1170" s="221" t="s">
        <v>787</v>
      </c>
    </row>
    <row r="1171" spans="2:119" ht="15.6" customHeight="1">
      <c r="B1171" s="219" t="b">
        <f t="array" ref="B1171">IF(OR(ISERROR(K1171:P1171)),FALSE,TRUE)</f>
        <v>1</v>
      </c>
      <c r="C1171" s="43" t="b">
        <f>OR(BR1171=Driver!$G$50,Data!BR1219=Driver!$H$50)</f>
        <v>1</v>
      </c>
      <c r="D1171" s="43" t="b">
        <f>OR(BV1171=Driver!$G$51,BV1171=Driver!$H$51)</f>
        <v>1</v>
      </c>
      <c r="E1171" s="43" t="b">
        <f>AND(BX1171&gt;Driver!$F$54,BX1171&lt;Driver!$G$54)</f>
        <v>0</v>
      </c>
      <c r="F1171" s="43" t="b">
        <f>CL1171&gt;Driver!$F$56</f>
        <v>1</v>
      </c>
      <c r="G1171" s="43" t="b">
        <f>AND(CB1171&gt;Driver!$F$55,CB1171&lt;Driver!$G$55)</f>
        <v>0</v>
      </c>
      <c r="H1171" s="43" t="b">
        <f t="shared" si="666"/>
        <v>0</v>
      </c>
      <c r="I1171" s="43">
        <f t="shared" si="667"/>
        <v>0</v>
      </c>
      <c r="J1171" s="43" t="b">
        <f t="array" ref="J1171">NOT(OR(($H$9:$H$1273=TRUE)*($I$9:$I$1273&gt;0)*($BT$9:$BT$1273=BT1171)*($K$9:$K$1273&gt;K1171)))</f>
        <v>1</v>
      </c>
      <c r="K1171" s="72">
        <f t="shared" si="668"/>
        <v>0.74776425356452569</v>
      </c>
      <c r="L1171" s="72">
        <f t="shared" si="669"/>
        <v>0.93200524442894173</v>
      </c>
      <c r="M1171" s="72">
        <f t="shared" si="670"/>
        <v>0.56352326270010966</v>
      </c>
      <c r="N1171" s="72">
        <f t="shared" si="671"/>
        <v>0.42863394723296899</v>
      </c>
      <c r="O1171" s="72">
        <f t="shared" si="672"/>
        <v>0.62707917668269841</v>
      </c>
      <c r="P1171" s="72">
        <f t="shared" si="673"/>
        <v>0.63485666418466136</v>
      </c>
      <c r="Q1171" s="72"/>
      <c r="R1171" s="72"/>
      <c r="S1171" s="72">
        <f t="shared" si="674"/>
        <v>0.6207937039834136</v>
      </c>
      <c r="T1171" s="72">
        <f t="shared" si="675"/>
        <v>0.53098512122459873</v>
      </c>
      <c r="U1171" s="72">
        <f t="shared" si="676"/>
        <v>0.65556616305131299</v>
      </c>
      <c r="V1171" s="72">
        <f t="shared" si="677"/>
        <v>0.51555508886475798</v>
      </c>
      <c r="W1171" s="72">
        <f t="shared" si="678"/>
        <v>0.76696924231057761</v>
      </c>
      <c r="X1171" s="72">
        <f t="shared" si="679"/>
        <v>6.7994755571058274E-2</v>
      </c>
      <c r="Y1171" s="72">
        <f t="shared" si="680"/>
        <v>0.43647673729989039</v>
      </c>
      <c r="Z1171" s="72">
        <f t="shared" si="681"/>
        <v>0.57136605276703101</v>
      </c>
      <c r="AA1171" s="72">
        <f t="shared" si="682"/>
        <v>0.37292082331730164</v>
      </c>
      <c r="AB1171" s="72">
        <f t="shared" si="683"/>
        <v>0.3651433358153387</v>
      </c>
      <c r="AC1171" s="72"/>
      <c r="AD1171" s="72"/>
      <c r="AE1171" s="72">
        <f t="shared" si="684"/>
        <v>0.3792062960165864</v>
      </c>
      <c r="AF1171" s="72">
        <f t="shared" si="685"/>
        <v>0.46901487877540127</v>
      </c>
      <c r="AG1171" s="72">
        <f t="shared" si="686"/>
        <v>0.34443383694868701</v>
      </c>
      <c r="AH1171" s="72">
        <f t="shared" si="687"/>
        <v>0.48444491113524196</v>
      </c>
      <c r="AI1171" s="72">
        <f t="shared" si="688"/>
        <v>0.23303075768942236</v>
      </c>
      <c r="AJ1171" s="72">
        <f>(AV1171-Driver!$K$179)/(Driver!$L$179-Driver!$K$179)</f>
        <v>0.3222141648537587</v>
      </c>
      <c r="AK1171" s="72">
        <f>(AW1171-Driver!$K$180)/(Driver!$L$180-Driver!$K$180)</f>
        <v>0.63334424123335653</v>
      </c>
      <c r="AL1171" s="72">
        <f>(AX1171-Driver!$K$181)/(Driver!$L$181-Driver!$K$181)</f>
        <v>0.6730538164801112</v>
      </c>
      <c r="AM1171" s="72">
        <f>(AY1171-Driver!$K$182)/(Driver!$L$182-Driver!$K$182)</f>
        <v>7.4464197779744737E-2</v>
      </c>
      <c r="AN1171" s="72">
        <f>(AZ1171-Driver!$K$183)/(Driver!$L$183-Driver!$K$183)</f>
        <v>0.61936274509803912</v>
      </c>
      <c r="AO1171" s="72"/>
      <c r="AP1171" s="72"/>
      <c r="AQ1171" s="72">
        <f>(BC1171-Driver!$K$188)/(Driver!$L$188-Driver!$K$188)</f>
        <v>0.24079370398341363</v>
      </c>
      <c r="AR1171" s="72">
        <f>MIN((BD1171-Driver!$K$189)/(Driver!$L$189-Driver!$K$189),100%)</f>
        <v>8.0985121224598805E-2</v>
      </c>
      <c r="AS1171" s="72">
        <f>(BE1171-Driver!$K$190)/(Driver!$L$190-Driver!$K$190)</f>
        <v>0.16556616305131303</v>
      </c>
      <c r="AT1171" s="72">
        <f>(BF1171-Driver!$K$191)/(Driver!$L$191-Driver!$K$191)</f>
        <v>2.555508886475805E-2</v>
      </c>
      <c r="AU1171" s="72">
        <f>(BG1171-Driver!$K$192)/(Driver!$L$192-Driver!$K$192)</f>
        <v>1.6969242310577646E-2</v>
      </c>
      <c r="AV1171" s="70">
        <f t="shared" si="689"/>
        <v>6.7816442816442803</v>
      </c>
      <c r="AW1171" s="70">
        <f t="shared" si="690"/>
        <v>63.596900930526033</v>
      </c>
      <c r="AX1171" s="70">
        <f t="shared" si="691"/>
        <v>7.057484348321001</v>
      </c>
      <c r="AY1171" s="70">
        <f>IFERROR(Driver!$K$19/Data!BH1171/Data!BI1171*Data!BK1171*Data!BL1171,"")</f>
        <v>9.1166396054632351E-2</v>
      </c>
      <c r="AZ1171" s="70">
        <f t="shared" si="692"/>
        <v>56.448250186150403</v>
      </c>
      <c r="BA1171" s="70"/>
      <c r="BB1171" s="70"/>
      <c r="BC1171" s="70">
        <f t="shared" si="693"/>
        <v>124.90136822686894</v>
      </c>
      <c r="BD1171" s="70">
        <f t="shared" si="694"/>
        <v>8.887862615331084</v>
      </c>
      <c r="BE1171" s="70">
        <f t="shared" si="695"/>
        <v>0.16571501665587177</v>
      </c>
      <c r="BF1171" s="70">
        <f t="shared" si="696"/>
        <v>2.8862677526141933</v>
      </c>
      <c r="BG1171" s="70">
        <f t="shared" si="697"/>
        <v>6.4256376594148554E-2</v>
      </c>
      <c r="BH1171" s="67">
        <f>MAX((CE1171-Driver!$F$200)/(Driver!$G$200-Driver!$F$200)*$BI$1,1)</f>
        <v>7.057484348321001</v>
      </c>
      <c r="BI1171" s="67">
        <f>MAX($BI$1*(BY1171-Driver!$F$201)/(Driver!$G$201-Driver!$F$201),1)</f>
        <v>8.4177215189873422</v>
      </c>
      <c r="BJ1171" s="67">
        <f>(CB1171-Driver!$F$206)/(Driver!$G$206-Driver!$F$206)*$BI$1</f>
        <v>4.92063492063492</v>
      </c>
      <c r="BK1171" s="67">
        <f>(CD1171-Driver!$F$203)/(Driver!$G$203-Driver!$F$203)*$BI$1</f>
        <v>4.9082568807339459</v>
      </c>
      <c r="BL1171" s="67">
        <f>MAX((CR1171-Driver!$F$202)/(Driver!$G$202-Driver!$F$202)*$BI$1,1)</f>
        <v>5.5172413793103452</v>
      </c>
      <c r="BM1171" s="67">
        <f>MAX((CH1171-Driver!$F$204)/(Driver!$G$204-Driver!$F$204)*$BI$1,1)</f>
        <v>5.5128205128205128</v>
      </c>
      <c r="BN1171" s="67">
        <f>(CI1171-Driver!$F$205)/(Driver!$G$205-Driver!$F$205)*$BI$1</f>
        <v>6.7058823529411757</v>
      </c>
      <c r="BO1171" s="67">
        <f>(CK1171-Driver!$F$207)/(Driver!$G$207-Driver!$F$207)*$BI$1</f>
        <v>1.4891416752843847</v>
      </c>
      <c r="BP1171" s="67">
        <f>(CM1171-Driver!$F$208)/(Driver!$G$208-Driver!$F$208)*$BI$1</f>
        <v>1.9333333333333333</v>
      </c>
      <c r="BQ1171" s="67">
        <f>(CL1171-Driver!$F$209)/(Driver!$G$209-Driver!$F$209)*$BI$1</f>
        <v>2.5</v>
      </c>
      <c r="BR1171" s="28" t="s">
        <v>155</v>
      </c>
      <c r="BS1171" s="8" t="s">
        <v>229</v>
      </c>
      <c r="BT1171" s="9" t="s">
        <v>565</v>
      </c>
      <c r="BU1171" s="10">
        <v>184</v>
      </c>
      <c r="BV1171" s="9" t="s">
        <v>158</v>
      </c>
      <c r="BW1171" s="10">
        <v>184</v>
      </c>
      <c r="BX1171" s="10">
        <v>183.8</v>
      </c>
      <c r="BY1171" s="10">
        <v>141</v>
      </c>
      <c r="BZ1171" s="10">
        <v>160</v>
      </c>
      <c r="CA1171" s="10">
        <v>134</v>
      </c>
      <c r="CB1171" s="10">
        <v>95</v>
      </c>
      <c r="CC1171" s="10">
        <v>118</v>
      </c>
      <c r="CD1171" s="10">
        <v>20.100000000000001</v>
      </c>
      <c r="CE1171" s="10">
        <v>2140</v>
      </c>
      <c r="CF1171" s="10">
        <v>0.92</v>
      </c>
      <c r="CG1171" s="10">
        <v>1974</v>
      </c>
      <c r="CH1171" s="10">
        <v>230</v>
      </c>
      <c r="CI1171" s="10">
        <v>147</v>
      </c>
      <c r="CJ1171" s="10">
        <v>45</v>
      </c>
      <c r="CK1171" s="10">
        <v>254</v>
      </c>
      <c r="CL1171" s="10">
        <v>16</v>
      </c>
      <c r="CM1171" s="10">
        <v>174</v>
      </c>
      <c r="CN1171" s="10">
        <v>0.35899999999999999</v>
      </c>
      <c r="CO1171" s="10">
        <v>135</v>
      </c>
      <c r="CP1171" s="10">
        <v>107</v>
      </c>
      <c r="CQ1171" s="10">
        <v>119</v>
      </c>
      <c r="CR1171" s="10">
        <v>5</v>
      </c>
      <c r="CS1171" s="10">
        <v>11.6</v>
      </c>
      <c r="CT1171" s="9" t="s">
        <v>188</v>
      </c>
      <c r="CU1171" s="10"/>
      <c r="CV1171" s="10"/>
      <c r="CW1171" s="10"/>
      <c r="CX1171" t="e">
        <f>INDEX('Data_Price '!AG$2:AG$1266,MATCH(Data!$DN1171,'Data_Price '!$AT$2:$AT$1266,0))</f>
        <v>#N/A</v>
      </c>
      <c r="CY1171" t="e">
        <f>INDEX('Data_Price '!AH$2:AH$1266,MATCH(Data!$DN1171,'Data_Price '!$AT$2:$AT$1266,0))</f>
        <v>#N/A</v>
      </c>
      <c r="CZ1171" t="e">
        <f>INDEX('Data_Price '!AI$2:AI$1266,MATCH(Data!$DN1171,'Data_Price '!$AT$2:$AT$1266,0))</f>
        <v>#N/A</v>
      </c>
      <c r="DA1171" t="e">
        <f>INDEX('Data_Price '!AJ$2:AJ$1266,MATCH(Data!$DN1171,'Data_Price '!$AT$2:$AT$1266,0))</f>
        <v>#N/A</v>
      </c>
      <c r="DB1171" t="e">
        <f>INDEX('Data_Price '!AK$2:AK$1266,MATCH(Data!$DN1171,'Data_Price '!$AT$2:$AT$1266,0))</f>
        <v>#N/A</v>
      </c>
      <c r="DC1171" t="e">
        <f>INDEX('Data_Price '!AL$2:AL$1266,MATCH(Data!$DN1171,'Data_Price '!$AT$2:$AT$1266,0))</f>
        <v>#N/A</v>
      </c>
      <c r="DD1171" t="e">
        <f>INDEX('Data_Price '!AM$2:AM$1266,MATCH(Data!$DN1171,'Data_Price '!$AT$2:$AT$1266,0))</f>
        <v>#N/A</v>
      </c>
      <c r="DE1171" t="e">
        <f>INDEX('Data_Price '!AN$2:AN$1266,MATCH(Data!$DN1171,'Data_Price '!$AT$2:$AT$1266,0))</f>
        <v>#N/A</v>
      </c>
      <c r="DF1171" t="e">
        <f>INDEX('Data_Price '!AO$2:AO$1266,MATCH(Data!$DN1171,'Data_Price '!$AT$2:$AT$1266,0))</f>
        <v>#N/A</v>
      </c>
      <c r="DG1171" t="e">
        <f>INDEX('Data_Price '!AP$2:AP$1266,MATCH(Data!$DN1171,'Data_Price '!$AT$2:$AT$1266,0))</f>
        <v>#N/A</v>
      </c>
      <c r="DH1171" t="e">
        <f>INDEX('Data_Price '!AQ$2:AQ$1266,MATCH(Data!$DN1171,'Data_Price '!$AT$2:$AT$1266,0))</f>
        <v>#N/A</v>
      </c>
      <c r="DI1171" t="e">
        <f>INDEX('Data_Price '!AR$2:AR$1266,MATCH(Data!$DN1171,'Data_Price '!$AT$2:$AT$1266,0))</f>
        <v>#N/A</v>
      </c>
      <c r="DJ1171" s="89" t="e">
        <f t="shared" si="698"/>
        <v>#N/A</v>
      </c>
      <c r="DK1171" s="89" t="e">
        <f t="shared" si="699"/>
        <v>#N/A</v>
      </c>
      <c r="DL1171" s="89" t="e">
        <f t="shared" si="700"/>
        <v>#N/A</v>
      </c>
      <c r="DM1171" s="219" t="str">
        <f t="shared" si="701"/>
        <v>M6 Mantra</v>
      </c>
      <c r="DN1171" s="89" t="str">
        <f t="shared" si="702"/>
        <v xml:space="preserve"> VölklM6 Mantra184 Unisex</v>
      </c>
      <c r="DO1171" s="221" t="s">
        <v>566</v>
      </c>
    </row>
    <row r="1172" spans="2:119" ht="15.6" customHeight="1">
      <c r="B1172" s="219" t="b">
        <f t="array" ref="B1172">IF(OR(ISERROR(K1172:P1172)),FALSE,TRUE)</f>
        <v>1</v>
      </c>
      <c r="C1172" s="43" t="b">
        <f>OR(BR1172=Driver!$G$50,Data!BR649=Driver!$H$50)</f>
        <v>1</v>
      </c>
      <c r="D1172" s="43" t="b">
        <f>OR(BV1172=Driver!$G$51,BV1172=Driver!$H$51)</f>
        <v>1</v>
      </c>
      <c r="E1172" s="43" t="b">
        <f>AND(BX1172&gt;Driver!$F$54,BX1172&lt;Driver!$G$54)</f>
        <v>0</v>
      </c>
      <c r="F1172" s="43" t="b">
        <f>CL1172&gt;Driver!$F$56</f>
        <v>1</v>
      </c>
      <c r="G1172" s="43" t="b">
        <f>AND(CB1172&gt;Driver!$F$55,CB1172&lt;Driver!$G$55)</f>
        <v>0</v>
      </c>
      <c r="H1172" s="43" t="b">
        <f t="shared" si="666"/>
        <v>0</v>
      </c>
      <c r="I1172" s="43">
        <f t="shared" si="667"/>
        <v>0</v>
      </c>
      <c r="J1172" s="43" t="b">
        <f t="array" ref="J1172">NOT(OR(($H$9:$H$1273=TRUE)*($I$9:$I$1273&gt;0)*($BT$9:$BT$1273=BT1172)*($K$9:$K$1273&gt;K1172)))</f>
        <v>1</v>
      </c>
      <c r="K1172" s="72">
        <f t="shared" si="668"/>
        <v>0.77337749333967021</v>
      </c>
      <c r="L1172" s="72">
        <f t="shared" si="669"/>
        <v>0.98307009196619166</v>
      </c>
      <c r="M1172" s="72">
        <f t="shared" si="670"/>
        <v>0.56368489471314875</v>
      </c>
      <c r="N1172" s="72">
        <f t="shared" si="671"/>
        <v>0.36918918659298916</v>
      </c>
      <c r="O1172" s="72">
        <f t="shared" si="672"/>
        <v>0.6125807287866325</v>
      </c>
      <c r="P1172" s="72">
        <f t="shared" si="673"/>
        <v>0.70928476875982471</v>
      </c>
      <c r="Q1172" s="72"/>
      <c r="R1172" s="72"/>
      <c r="S1172" s="72">
        <f t="shared" si="674"/>
        <v>0.57474013129345047</v>
      </c>
      <c r="T1172" s="72">
        <f t="shared" si="675"/>
        <v>0.81686830580077485</v>
      </c>
      <c r="U1172" s="72">
        <f t="shared" si="676"/>
        <v>0.51</v>
      </c>
      <c r="V1172" s="72">
        <f t="shared" si="677"/>
        <v>0.49310546515715714</v>
      </c>
      <c r="W1172" s="72">
        <f t="shared" si="678"/>
        <v>0.75656381486676016</v>
      </c>
      <c r="X1172" s="72">
        <f t="shared" si="679"/>
        <v>1.6929908033808339E-2</v>
      </c>
      <c r="Y1172" s="72">
        <f t="shared" si="680"/>
        <v>0.43631510528685119</v>
      </c>
      <c r="Z1172" s="72">
        <f t="shared" si="681"/>
        <v>0.63081081340701084</v>
      </c>
      <c r="AA1172" s="72">
        <f t="shared" si="682"/>
        <v>0.3874192712133675</v>
      </c>
      <c r="AB1172" s="72">
        <f t="shared" si="683"/>
        <v>0.29071523124017523</v>
      </c>
      <c r="AC1172" s="72"/>
      <c r="AD1172" s="72"/>
      <c r="AE1172" s="72">
        <f t="shared" si="684"/>
        <v>0.42525986870654953</v>
      </c>
      <c r="AF1172" s="72">
        <f t="shared" si="685"/>
        <v>0.18313169419922515</v>
      </c>
      <c r="AG1172" s="72">
        <f t="shared" si="686"/>
        <v>0.49</v>
      </c>
      <c r="AH1172" s="72">
        <f t="shared" si="687"/>
        <v>0.50689453484284286</v>
      </c>
      <c r="AI1172" s="72">
        <f t="shared" si="688"/>
        <v>0.24343618513323984</v>
      </c>
      <c r="AJ1172" s="72">
        <f>(AV1172-Driver!$K$179)/(Driver!$L$179-Driver!$K$179)</f>
        <v>0.23728950124889209</v>
      </c>
      <c r="AK1172" s="72">
        <f>(AW1172-Driver!$K$180)/(Driver!$L$180-Driver!$K$180)</f>
        <v>0.56904974357829552</v>
      </c>
      <c r="AL1172" s="72">
        <f>(AX1172-Driver!$K$181)/(Driver!$L$181-Driver!$K$181)</f>
        <v>0.73249857712009103</v>
      </c>
      <c r="AM1172" s="72">
        <f>(AY1172-Driver!$K$182)/(Driver!$L$182-Driver!$K$182)</f>
        <v>5.9965749883678865E-2</v>
      </c>
      <c r="AN1172" s="72">
        <f>(AZ1172-Driver!$K$183)/(Driver!$L$183-Driver!$K$183)</f>
        <v>0.54493464052287566</v>
      </c>
      <c r="AO1172" s="72"/>
      <c r="AP1172" s="72"/>
      <c r="AQ1172" s="72">
        <f>(BC1172-Driver!$K$188)/(Driver!$L$188-Driver!$K$188)</f>
        <v>0.1947401312934505</v>
      </c>
      <c r="AR1172" s="72">
        <f>MIN((BD1172-Driver!$K$189)/(Driver!$L$189-Driver!$K$189),100%)</f>
        <v>0.3668683058007749</v>
      </c>
      <c r="AS1172" s="72">
        <f>(BE1172-Driver!$K$190)/(Driver!$L$190-Driver!$K$190)</f>
        <v>1</v>
      </c>
      <c r="AT1172" s="72">
        <f>(BF1172-Driver!$K$191)/(Driver!$L$191-Driver!$K$191)</f>
        <v>3.1054651571571406E-3</v>
      </c>
      <c r="AU1172" s="72">
        <f>(BG1172-Driver!$K$192)/(Driver!$L$192-Driver!$K$192)</f>
        <v>6.5638148667601683E-3</v>
      </c>
      <c r="AV1172" s="70">
        <f t="shared" si="689"/>
        <v>4.9942341609008274</v>
      </c>
      <c r="AW1172" s="70">
        <f t="shared" si="690"/>
        <v>57.330832426835705</v>
      </c>
      <c r="AX1172" s="70">
        <f t="shared" si="691"/>
        <v>7.5924871940808192</v>
      </c>
      <c r="AY1172" s="70">
        <f>IFERROR(Driver!$K$19/Data!BH1172/Data!BI1172*Data!BK1172*Data!BL1172,"")</f>
        <v>7.3415969910516535E-2</v>
      </c>
      <c r="AZ1172" s="70">
        <f t="shared" si="692"/>
        <v>49.664929262844367</v>
      </c>
      <c r="BA1172" s="70"/>
      <c r="BB1172" s="70"/>
      <c r="BC1172" s="70">
        <f t="shared" si="693"/>
        <v>101.01305991334185</v>
      </c>
      <c r="BD1172" s="70">
        <f t="shared" si="694"/>
        <v>34.188017895294038</v>
      </c>
      <c r="BE1172" s="70">
        <f t="shared" si="695"/>
        <v>1</v>
      </c>
      <c r="BF1172" s="70">
        <f t="shared" si="696"/>
        <v>0.35074047237340666</v>
      </c>
      <c r="BG1172" s="70">
        <f t="shared" si="697"/>
        <v>2.4854790346762103E-2</v>
      </c>
      <c r="BH1172" s="67">
        <f>MAX((CE1172-Driver!$F$200)/(Driver!$G$200-Driver!$F$200)*$BI$1,1)</f>
        <v>7.5924871940808192</v>
      </c>
      <c r="BI1172" s="67">
        <f>MAX($BI$1*(BY1172-Driver!$F$201)/(Driver!$G$201-Driver!$F$201),1)</f>
        <v>9.1772151898734169</v>
      </c>
      <c r="BJ1172" s="67">
        <f>(CB1172-Driver!$F$206)/(Driver!$G$206-Driver!$F$206)*$BI$1</f>
        <v>3.0158730158730158</v>
      </c>
      <c r="BK1172" s="67">
        <f>(CD1172-Driver!$F$203)/(Driver!$G$203-Driver!$F$203)*$BI$1</f>
        <v>3.5321100917431201</v>
      </c>
      <c r="BL1172" s="67">
        <f>MAX((CR1172-Driver!$F$202)/(Driver!$G$202-Driver!$F$202)*$BI$1,1)</f>
        <v>7.2413793103448274</v>
      </c>
      <c r="BM1172" s="67">
        <f>MAX((CH1172-Driver!$F$204)/(Driver!$G$204-Driver!$F$204)*$BI$1,1)</f>
        <v>6.6239316239316235</v>
      </c>
      <c r="BN1172" s="67">
        <f>(CI1172-Driver!$F$205)/(Driver!$G$205-Driver!$F$205)*$BI$1</f>
        <v>5.4117647058823524</v>
      </c>
      <c r="BO1172" s="67">
        <f>(CK1172-Driver!$F$207)/(Driver!$G$207-Driver!$F$207)*$BI$1</f>
        <v>0.56876938986556358</v>
      </c>
      <c r="BP1172" s="67">
        <f>(CM1172-Driver!$F$208)/(Driver!$G$208-Driver!$F$208)*$BI$1</f>
        <v>0.7222222222222221</v>
      </c>
      <c r="BQ1172" s="67">
        <f>(CL1172-Driver!$F$209)/(Driver!$G$209-Driver!$F$209)*$BI$1</f>
        <v>1.25</v>
      </c>
      <c r="BR1172" s="28" t="s">
        <v>155</v>
      </c>
      <c r="BS1172" s="8" t="s">
        <v>167</v>
      </c>
      <c r="BT1172" s="9" t="s">
        <v>874</v>
      </c>
      <c r="BU1172" s="10">
        <v>177</v>
      </c>
      <c r="BV1172" s="9" t="s">
        <v>158</v>
      </c>
      <c r="BW1172" s="10">
        <v>177</v>
      </c>
      <c r="BX1172" s="10">
        <v>175.7</v>
      </c>
      <c r="BY1172" s="10">
        <v>153</v>
      </c>
      <c r="BZ1172" s="10">
        <v>164</v>
      </c>
      <c r="CA1172" s="10">
        <v>132</v>
      </c>
      <c r="CB1172" s="10">
        <v>83</v>
      </c>
      <c r="CC1172" s="10">
        <v>114</v>
      </c>
      <c r="CD1172" s="10">
        <v>17.100000000000001</v>
      </c>
      <c r="CE1172" s="10">
        <v>2234</v>
      </c>
      <c r="CF1172" s="10">
        <v>0.76</v>
      </c>
      <c r="CG1172" s="10">
        <v>1701</v>
      </c>
      <c r="CH1172" s="10">
        <v>256</v>
      </c>
      <c r="CI1172" s="10">
        <v>125</v>
      </c>
      <c r="CJ1172" s="10">
        <v>47</v>
      </c>
      <c r="CK1172" s="10">
        <v>165</v>
      </c>
      <c r="CL1172" s="10">
        <v>8</v>
      </c>
      <c r="CM1172" s="10">
        <v>65</v>
      </c>
      <c r="CN1172" s="10">
        <v>0.16600000000000001</v>
      </c>
      <c r="CO1172" s="10">
        <v>69</v>
      </c>
      <c r="CP1172" s="10">
        <v>48</v>
      </c>
      <c r="CQ1172" s="10">
        <v>96</v>
      </c>
      <c r="CR1172" s="10">
        <v>10</v>
      </c>
      <c r="CS1172" s="10">
        <v>13</v>
      </c>
      <c r="CT1172" s="9" t="s">
        <v>349</v>
      </c>
      <c r="CU1172" s="9" t="s">
        <v>188</v>
      </c>
      <c r="CV1172" s="10"/>
      <c r="CW1172" s="10"/>
      <c r="CX1172" t="str">
        <f>INDEX('Data_Price '!AG$2:AG$1266,MATCH(Data!$DN1172,'Data_Price '!$AT$2:$AT$1266,0))</f>
        <v>Head Supershape e-Titan Performance Ski 177</v>
      </c>
      <c r="CY1172" t="str">
        <f>INDEX('Data_Price '!AH$2:AH$1266,MATCH(Data!$DN1172,'Data_Price '!$AT$2:$AT$1266,0))</f>
        <v>shop.petersonsskiandcycle.com</v>
      </c>
      <c r="CZ1172">
        <f>INDEX('Data_Price '!AI$2:AI$1266,MATCH(Data!$DN1172,'Data_Price '!$AT$2:$AT$1266,0))</f>
        <v>799.99</v>
      </c>
      <c r="DA1172" t="str">
        <f>INDEX('Data_Price '!AJ$2:AJ$1266,MATCH(Data!$DN1172,'Data_Price '!$AT$2:$AT$1266,0))</f>
        <v>https://tinyurl.com/y76o97cd</v>
      </c>
      <c r="DB1172" t="str">
        <f>INDEX('Data_Price '!AK$2:AK$1266,MATCH(Data!$DN1172,'Data_Price '!$AT$2:$AT$1266,0))</f>
        <v>Head Supershape e-Titan Skis w/ PRD 12 GW Bindings</v>
      </c>
      <c r="DC1172" t="str">
        <f>INDEX('Data_Price '!AL$2:AL$1266,MATCH(Data!$DN1172,'Data_Price '!$AT$2:$AT$1266,0))</f>
        <v>Ski Country Sports</v>
      </c>
      <c r="DD1172">
        <f>INDEX('Data_Price '!AM$2:AM$1266,MATCH(Data!$DN1172,'Data_Price '!$AT$2:$AT$1266,0))</f>
        <v>839.98</v>
      </c>
      <c r="DE1172" t="str">
        <f>INDEX('Data_Price '!AN$2:AN$1266,MATCH(Data!$DN1172,'Data_Price '!$AT$2:$AT$1266,0))</f>
        <v>https://tinyurl.com/y8qtgnnh</v>
      </c>
      <c r="DF1172" t="str">
        <f>INDEX('Data_Price '!AO$2:AO$1266,MATCH(Data!$DN1172,'Data_Price '!$AT$2:$AT$1266,0))</f>
        <v>Head Supershape e-Titan Skis w/ PRD 12 GW Bindings</v>
      </c>
      <c r="DG1172" t="str">
        <f>INDEX('Data_Price '!AP$2:AP$1266,MATCH(Data!$DN1172,'Data_Price '!$AT$2:$AT$1266,0))</f>
        <v>Al's Ski Equipment Barn</v>
      </c>
      <c r="DH1172">
        <f>INDEX('Data_Price '!AQ$2:AQ$1266,MATCH(Data!$DN1172,'Data_Price '!$AT$2:$AT$1266,0))</f>
        <v>849.95</v>
      </c>
      <c r="DI1172" t="str">
        <f>INDEX('Data_Price '!AR$2:AR$1266,MATCH(Data!$DN1172,'Data_Price '!$AT$2:$AT$1266,0))</f>
        <v>https://tinyurl.com/y9a63yzv</v>
      </c>
      <c r="DJ1172" s="89" t="str">
        <f t="shared" si="698"/>
        <v>https://tinyurl.com/y76o97cd</v>
      </c>
      <c r="DK1172" s="89" t="str">
        <f t="shared" si="699"/>
        <v>https://tinyurl.com/y8qtgnnh</v>
      </c>
      <c r="DL1172" s="89" t="str">
        <f t="shared" si="700"/>
        <v>https://tinyurl.com/y9a63yzv</v>
      </c>
      <c r="DM1172" s="219" t="str">
        <f t="shared" si="701"/>
        <v>Supershape e-Titan</v>
      </c>
      <c r="DN1172" s="89" t="str">
        <f t="shared" si="702"/>
        <v xml:space="preserve"> HeadSupershape e-Titan177 Unisex</v>
      </c>
      <c r="DO1172" s="221"/>
    </row>
    <row r="1173" spans="2:119" ht="15.6" customHeight="1">
      <c r="B1173" s="219" t="b">
        <f t="array" ref="B1173">IF(OR(ISERROR(K1173:P1173)),FALSE,TRUE)</f>
        <v>1</v>
      </c>
      <c r="C1173" s="43" t="b">
        <f>OR(BR1173=Driver!$G$50,Data!BR1245=Driver!$H$50)</f>
        <v>1</v>
      </c>
      <c r="D1173" s="43" t="b">
        <f>OR(BV1173=Driver!$G$51,BV1173=Driver!$H$51)</f>
        <v>1</v>
      </c>
      <c r="E1173" s="43" t="b">
        <f>AND(BX1173&gt;Driver!$F$54,BX1173&lt;Driver!$G$54)</f>
        <v>0</v>
      </c>
      <c r="F1173" s="43" t="b">
        <f>CL1173&gt;Driver!$F$56</f>
        <v>1</v>
      </c>
      <c r="G1173" s="43" t="b">
        <f>AND(CB1173&gt;Driver!$F$55,CB1173&lt;Driver!$G$55)</f>
        <v>0</v>
      </c>
      <c r="H1173" s="43" t="b">
        <f t="shared" si="666"/>
        <v>0</v>
      </c>
      <c r="I1173" s="43">
        <f t="shared" si="667"/>
        <v>0</v>
      </c>
      <c r="J1173" s="43" t="b">
        <f t="array" ref="J1173">NOT(OR(($H$9:$H$1273=TRUE)*($I$9:$I$1273&gt;0)*($BT$9:$BT$1273=BT1173)*($K$9:$K$1273&gt;K1173)))</f>
        <v>1</v>
      </c>
      <c r="K1173" s="72">
        <f t="shared" si="668"/>
        <v>0.85193343996113946</v>
      </c>
      <c r="L1173" s="72">
        <f t="shared" si="669"/>
        <v>0.83658713330049195</v>
      </c>
      <c r="M1173" s="72">
        <f t="shared" si="670"/>
        <v>0.86727974662178697</v>
      </c>
      <c r="N1173" s="72">
        <f t="shared" si="671"/>
        <v>0.95604954103617679</v>
      </c>
      <c r="O1173" s="72">
        <f t="shared" si="672"/>
        <v>0.77059734340600239</v>
      </c>
      <c r="P1173" s="72">
        <f t="shared" si="673"/>
        <v>0.87519235542318197</v>
      </c>
      <c r="Q1173" s="72"/>
      <c r="R1173" s="72"/>
      <c r="S1173" s="72">
        <f t="shared" si="674"/>
        <v>0.41439121415784075</v>
      </c>
      <c r="T1173" s="72">
        <f t="shared" si="675"/>
        <v>0.4505338694268084</v>
      </c>
      <c r="U1173" s="72">
        <f t="shared" si="676"/>
        <v>0.51</v>
      </c>
      <c r="V1173" s="72">
        <f t="shared" si="677"/>
        <v>0.50017888498475471</v>
      </c>
      <c r="W1173" s="72">
        <f t="shared" si="678"/>
        <v>0.8018688374226095</v>
      </c>
      <c r="X1173" s="72">
        <f t="shared" si="679"/>
        <v>0.16341286669950811</v>
      </c>
      <c r="Y1173" s="72">
        <f t="shared" si="680"/>
        <v>0.13272025337821297</v>
      </c>
      <c r="Z1173" s="72">
        <f t="shared" si="681"/>
        <v>4.3950458963823234E-2</v>
      </c>
      <c r="AA1173" s="72">
        <f t="shared" si="682"/>
        <v>0.22940265659399758</v>
      </c>
      <c r="AB1173" s="72">
        <f t="shared" si="683"/>
        <v>0.12480764457681809</v>
      </c>
      <c r="AC1173" s="72"/>
      <c r="AD1173" s="72"/>
      <c r="AE1173" s="72">
        <f t="shared" si="684"/>
        <v>0.58560878584215925</v>
      </c>
      <c r="AF1173" s="72">
        <f t="shared" si="685"/>
        <v>0.5494661305731916</v>
      </c>
      <c r="AG1173" s="72">
        <f t="shared" si="686"/>
        <v>0.49</v>
      </c>
      <c r="AH1173" s="72">
        <f t="shared" si="687"/>
        <v>0.49982111501524529</v>
      </c>
      <c r="AI1173" s="72">
        <f t="shared" si="688"/>
        <v>0.19813116257739052</v>
      </c>
      <c r="AJ1173" s="72">
        <f>(AV1173-Driver!$K$179)/(Driver!$L$179-Driver!$K$179)</f>
        <v>9.0806542583192332E-2</v>
      </c>
      <c r="AK1173" s="72">
        <f>(AW1173-Driver!$K$180)/(Driver!$L$180-Driver!$K$180)</f>
        <v>0.12014411429270132</v>
      </c>
      <c r="AL1173" s="72">
        <f>(AX1173-Driver!$K$181)/(Driver!$L$181-Driver!$K$181)</f>
        <v>5.7737304749256944E-2</v>
      </c>
      <c r="AM1173" s="72">
        <f>(AY1173-Driver!$K$182)/(Driver!$L$182-Driver!$K$182)</f>
        <v>0.21798236450304878</v>
      </c>
      <c r="AN1173" s="72">
        <f>(AZ1173-Driver!$K$183)/(Driver!$L$183-Driver!$K$183)</f>
        <v>0.12941176470588234</v>
      </c>
      <c r="AO1173" s="72"/>
      <c r="AP1173" s="72"/>
      <c r="AQ1173" s="72">
        <f>(BC1173-Driver!$K$188)/(Driver!$L$188-Driver!$K$188)</f>
        <v>3.4391214157840695E-2</v>
      </c>
      <c r="AR1173" s="72">
        <f>MIN((BD1173-Driver!$K$189)/(Driver!$L$189-Driver!$K$189),100%)</f>
        <v>5.3386942680841757E-4</v>
      </c>
      <c r="AS1173" s="72">
        <f>(BE1173-Driver!$K$190)/(Driver!$L$190-Driver!$K$190)</f>
        <v>1</v>
      </c>
      <c r="AT1173" s="72">
        <f>(BF1173-Driver!$K$191)/(Driver!$L$191-Driver!$K$191)</f>
        <v>1.0178884984754747E-2</v>
      </c>
      <c r="AU1173" s="72">
        <f>(BG1173-Driver!$K$192)/(Driver!$L$192-Driver!$K$192)</f>
        <v>5.1868837422609476E-2</v>
      </c>
      <c r="AV1173" s="70">
        <f t="shared" si="689"/>
        <v>1.9112060778727447</v>
      </c>
      <c r="AW1173" s="70">
        <f t="shared" si="690"/>
        <v>13.58100114443312</v>
      </c>
      <c r="AX1173" s="70">
        <f t="shared" si="691"/>
        <v>1.5196357427433125</v>
      </c>
      <c r="AY1173" s="70">
        <f>IFERROR(Driver!$K$19/Data!BH1173/Data!BI1173*Data!BK1173*Data!BL1173,"")</f>
        <v>0.26687545381192318</v>
      </c>
      <c r="AZ1173" s="70">
        <f t="shared" si="692"/>
        <v>11.794489947877885</v>
      </c>
      <c r="BA1173" s="70"/>
      <c r="BB1173" s="70"/>
      <c r="BC1173" s="70">
        <f t="shared" si="693"/>
        <v>17.838961867513998</v>
      </c>
      <c r="BD1173" s="70">
        <f t="shared" si="694"/>
        <v>1.768069382409623</v>
      </c>
      <c r="BE1173" s="70">
        <f t="shared" si="695"/>
        <v>1</v>
      </c>
      <c r="BF1173" s="70">
        <f t="shared" si="696"/>
        <v>1.1496335483138065</v>
      </c>
      <c r="BG1173" s="70">
        <f t="shared" si="697"/>
        <v>0.19640850722311393</v>
      </c>
      <c r="BH1173" s="67">
        <f>MAX((CE1173-Driver!$F$200)/(Driver!$G$200-Driver!$F$200)*$BI$1,1)</f>
        <v>1.5196357427433125</v>
      </c>
      <c r="BI1173" s="67">
        <f>MAX($BI$1*(BY1173-Driver!$F$201)/(Driver!$G$201-Driver!$F$201),1)</f>
        <v>8.3544303797468356</v>
      </c>
      <c r="BJ1173" s="67">
        <f>(CB1173-Driver!$F$206)/(Driver!$G$206-Driver!$F$206)*$BI$1</f>
        <v>3.6507936507936507</v>
      </c>
      <c r="BK1173" s="67">
        <f>(CD1173-Driver!$F$203)/(Driver!$G$203-Driver!$F$203)*$BI$1</f>
        <v>2.8899082568807337</v>
      </c>
      <c r="BL1173" s="67">
        <f>MAX((CR1173-Driver!$F$202)/(Driver!$G$202-Driver!$F$202)*$BI$1,1)</f>
        <v>5.8620689655172411</v>
      </c>
      <c r="BM1173" s="67">
        <f>MAX((CH1173-Driver!$F$204)/(Driver!$G$204-Driver!$F$204)*$BI$1,1)</f>
        <v>2.0940170940170941</v>
      </c>
      <c r="BN1173" s="67">
        <f>(CI1173-Driver!$F$205)/(Driver!$G$205-Driver!$F$205)*$BI$1</f>
        <v>1.4117647058823528</v>
      </c>
      <c r="BO1173" s="67">
        <f>(CK1173-Driver!$F$207)/(Driver!$G$207-Driver!$F$207)*$BI$1</f>
        <v>1.2409513960703205</v>
      </c>
      <c r="BP1173" s="67">
        <f>(CM1173-Driver!$F$208)/(Driver!$G$208-Driver!$F$208)*$BI$1</f>
        <v>0.73333333333333339</v>
      </c>
      <c r="BQ1173" s="67">
        <f>(CL1173-Driver!$F$209)/(Driver!$G$209-Driver!$F$209)*$BI$1</f>
        <v>0.625</v>
      </c>
      <c r="BR1173" s="28" t="s">
        <v>155</v>
      </c>
      <c r="BS1173" s="8" t="s">
        <v>229</v>
      </c>
      <c r="BT1173" s="9" t="s">
        <v>656</v>
      </c>
      <c r="BU1173" s="10">
        <v>170</v>
      </c>
      <c r="BV1173" s="9" t="s">
        <v>158</v>
      </c>
      <c r="BW1173" s="10">
        <v>170</v>
      </c>
      <c r="BX1173" s="10">
        <v>169.3</v>
      </c>
      <c r="BY1173" s="10">
        <v>140</v>
      </c>
      <c r="BZ1173" s="10">
        <v>147</v>
      </c>
      <c r="CA1173" s="10">
        <v>130</v>
      </c>
      <c r="CB1173" s="10">
        <v>87</v>
      </c>
      <c r="CC1173" s="10">
        <v>111</v>
      </c>
      <c r="CD1173" s="10">
        <v>15.7</v>
      </c>
      <c r="CE1173" s="10">
        <v>1167</v>
      </c>
      <c r="CF1173" s="10">
        <v>1.46</v>
      </c>
      <c r="CG1173" s="10">
        <v>1700</v>
      </c>
      <c r="CH1173" s="10">
        <v>150</v>
      </c>
      <c r="CI1173" s="10">
        <v>57</v>
      </c>
      <c r="CJ1173" s="10">
        <v>43</v>
      </c>
      <c r="CK1173" s="10">
        <v>230</v>
      </c>
      <c r="CL1173" s="10">
        <v>4</v>
      </c>
      <c r="CM1173" s="10">
        <v>66</v>
      </c>
      <c r="CN1173" s="10">
        <v>0.104</v>
      </c>
      <c r="CO1173" s="10">
        <v>124</v>
      </c>
      <c r="CP1173" s="10">
        <v>95</v>
      </c>
      <c r="CQ1173" s="10">
        <v>106</v>
      </c>
      <c r="CR1173" s="10">
        <v>6</v>
      </c>
      <c r="CS1173" s="10">
        <v>11.6</v>
      </c>
      <c r="CT1173" s="9" t="s">
        <v>185</v>
      </c>
      <c r="CU1173" s="9" t="s">
        <v>198</v>
      </c>
      <c r="CV1173" s="10"/>
      <c r="CW1173" s="10"/>
      <c r="CX1173" t="e">
        <f>INDEX('Data_Price '!AG$2:AG$1266,MATCH(Data!$DN1173,'Data_Price '!$AT$2:$AT$1266,0))</f>
        <v>#N/A</v>
      </c>
      <c r="CY1173" t="e">
        <f>INDEX('Data_Price '!AH$2:AH$1266,MATCH(Data!$DN1173,'Data_Price '!$AT$2:$AT$1266,0))</f>
        <v>#N/A</v>
      </c>
      <c r="CZ1173" t="e">
        <f>INDEX('Data_Price '!AI$2:AI$1266,MATCH(Data!$DN1173,'Data_Price '!$AT$2:$AT$1266,0))</f>
        <v>#N/A</v>
      </c>
      <c r="DA1173" t="e">
        <f>INDEX('Data_Price '!AJ$2:AJ$1266,MATCH(Data!$DN1173,'Data_Price '!$AT$2:$AT$1266,0))</f>
        <v>#N/A</v>
      </c>
      <c r="DB1173" t="e">
        <f>INDEX('Data_Price '!AK$2:AK$1266,MATCH(Data!$DN1173,'Data_Price '!$AT$2:$AT$1266,0))</f>
        <v>#N/A</v>
      </c>
      <c r="DC1173" t="e">
        <f>INDEX('Data_Price '!AL$2:AL$1266,MATCH(Data!$DN1173,'Data_Price '!$AT$2:$AT$1266,0))</f>
        <v>#N/A</v>
      </c>
      <c r="DD1173" t="e">
        <f>INDEX('Data_Price '!AM$2:AM$1266,MATCH(Data!$DN1173,'Data_Price '!$AT$2:$AT$1266,0))</f>
        <v>#N/A</v>
      </c>
      <c r="DE1173" t="e">
        <f>INDEX('Data_Price '!AN$2:AN$1266,MATCH(Data!$DN1173,'Data_Price '!$AT$2:$AT$1266,0))</f>
        <v>#N/A</v>
      </c>
      <c r="DF1173" t="e">
        <f>INDEX('Data_Price '!AO$2:AO$1266,MATCH(Data!$DN1173,'Data_Price '!$AT$2:$AT$1266,0))</f>
        <v>#N/A</v>
      </c>
      <c r="DG1173" t="e">
        <f>INDEX('Data_Price '!AP$2:AP$1266,MATCH(Data!$DN1173,'Data_Price '!$AT$2:$AT$1266,0))</f>
        <v>#N/A</v>
      </c>
      <c r="DH1173" t="e">
        <f>INDEX('Data_Price '!AQ$2:AQ$1266,MATCH(Data!$DN1173,'Data_Price '!$AT$2:$AT$1266,0))</f>
        <v>#N/A</v>
      </c>
      <c r="DI1173" t="e">
        <f>INDEX('Data_Price '!AR$2:AR$1266,MATCH(Data!$DN1173,'Data_Price '!$AT$2:$AT$1266,0))</f>
        <v>#N/A</v>
      </c>
      <c r="DJ1173" s="89" t="e">
        <f t="shared" si="698"/>
        <v>#N/A</v>
      </c>
      <c r="DK1173" s="89" t="e">
        <f t="shared" si="699"/>
        <v>#N/A</v>
      </c>
      <c r="DL1173" s="89" t="e">
        <f t="shared" si="700"/>
        <v>#N/A</v>
      </c>
      <c r="DM1173" s="219" t="str">
        <f t="shared" si="701"/>
        <v>Rise Above 88</v>
      </c>
      <c r="DN1173" s="89" t="str">
        <f t="shared" si="702"/>
        <v xml:space="preserve"> VölklRise Above 88170 Unisex</v>
      </c>
      <c r="DO1173" s="221"/>
    </row>
    <row r="1174" spans="2:119" ht="15.6" customHeight="1">
      <c r="B1174" s="219" t="b">
        <f t="array" ref="B1174">IF(OR(ISERROR(K1174:P1174)),FALSE,TRUE)</f>
        <v>1</v>
      </c>
      <c r="C1174" s="43" t="b">
        <f>OR(BR1174=Driver!$G$50,Data!BR1039=Driver!$H$50)</f>
        <v>1</v>
      </c>
      <c r="D1174" s="43" t="b">
        <f>OR(BV1174=Driver!$G$51,BV1174=Driver!$H$51)</f>
        <v>1</v>
      </c>
      <c r="E1174" s="43" t="b">
        <f>AND(BX1174&gt;Driver!$F$54,BX1174&lt;Driver!$G$54)</f>
        <v>0</v>
      </c>
      <c r="F1174" s="43" t="b">
        <f>CL1174&gt;Driver!$F$56</f>
        <v>1</v>
      </c>
      <c r="G1174" s="43" t="b">
        <f>AND(CB1174&gt;Driver!$F$55,CB1174&lt;Driver!$G$55)</f>
        <v>0</v>
      </c>
      <c r="H1174" s="43" t="b">
        <f t="shared" si="666"/>
        <v>0</v>
      </c>
      <c r="I1174" s="43">
        <f t="shared" si="667"/>
        <v>0</v>
      </c>
      <c r="J1174" s="43" t="b">
        <f t="array" ref="J1174">NOT(OR(($H$9:$H$1273=TRUE)*($I$9:$I$1273&gt;0)*($BT$9:$BT$1273=BT1174)*($K$9:$K$1273&gt;K1174)))</f>
        <v>1</v>
      </c>
      <c r="K1174" s="72">
        <f t="shared" si="668"/>
        <v>0.68575617532588407</v>
      </c>
      <c r="L1174" s="72">
        <f t="shared" si="669"/>
        <v>0.80016782784565343</v>
      </c>
      <c r="M1174" s="72">
        <f t="shared" si="670"/>
        <v>0.5713445228061147</v>
      </c>
      <c r="N1174" s="72">
        <f t="shared" si="671"/>
        <v>0.44823807042274955</v>
      </c>
      <c r="O1174" s="72">
        <f t="shared" si="672"/>
        <v>0.62493393185014923</v>
      </c>
      <c r="P1174" s="72">
        <f t="shared" si="673"/>
        <v>0.64086156614544554</v>
      </c>
      <c r="Q1174" s="72"/>
      <c r="R1174" s="72"/>
      <c r="S1174" s="72">
        <f t="shared" si="674"/>
        <v>0.84057899832529892</v>
      </c>
      <c r="T1174" s="72">
        <f t="shared" si="675"/>
        <v>0.55000000000000004</v>
      </c>
      <c r="U1174" s="72">
        <f t="shared" si="676"/>
        <v>0.51</v>
      </c>
      <c r="V1174" s="72">
        <f t="shared" si="677"/>
        <v>0.49011451790931226</v>
      </c>
      <c r="W1174" s="72">
        <f t="shared" si="678"/>
        <v>0.75519713261648747</v>
      </c>
      <c r="X1174" s="72">
        <f t="shared" si="679"/>
        <v>0.19983217215434657</v>
      </c>
      <c r="Y1174" s="72">
        <f t="shared" si="680"/>
        <v>0.42865547719388525</v>
      </c>
      <c r="Z1174" s="72">
        <f t="shared" si="681"/>
        <v>0.55176192957725045</v>
      </c>
      <c r="AA1174" s="72">
        <f t="shared" si="682"/>
        <v>0.37506606814985072</v>
      </c>
      <c r="AB1174" s="72">
        <f t="shared" si="683"/>
        <v>0.35913843385455452</v>
      </c>
      <c r="AC1174" s="72"/>
      <c r="AD1174" s="72"/>
      <c r="AE1174" s="72">
        <f t="shared" si="684"/>
        <v>0.15942100167470113</v>
      </c>
      <c r="AF1174" s="72">
        <f t="shared" si="685"/>
        <v>0.44999999999999996</v>
      </c>
      <c r="AG1174" s="72">
        <f t="shared" si="686"/>
        <v>0.49</v>
      </c>
      <c r="AH1174" s="72">
        <f t="shared" si="687"/>
        <v>0.50988548209068774</v>
      </c>
      <c r="AI1174" s="72">
        <f t="shared" si="688"/>
        <v>0.24480286738351253</v>
      </c>
      <c r="AJ1174" s="72">
        <f>(AV1174-Driver!$K$179)/(Driver!$L$179-Driver!$K$179)</f>
        <v>5.438723712835386E-2</v>
      </c>
      <c r="AK1174" s="72">
        <f>(AW1174-Driver!$K$180)/(Driver!$L$180-Driver!$K$180)</f>
        <v>0.62589139676375005</v>
      </c>
      <c r="AL1174" s="72">
        <f>(AX1174-Driver!$K$181)/(Driver!$L$181-Driver!$K$181)</f>
        <v>0.65344969329033065</v>
      </c>
      <c r="AM1174" s="72">
        <f>(AY1174-Driver!$K$182)/(Driver!$L$182-Driver!$K$182)</f>
        <v>7.2318952947195661E-2</v>
      </c>
      <c r="AN1174" s="72">
        <f>(AZ1174-Driver!$K$183)/(Driver!$L$183-Driver!$K$183)</f>
        <v>0.61335784313725494</v>
      </c>
      <c r="AO1174" s="72"/>
      <c r="AP1174" s="72"/>
      <c r="AQ1174" s="72">
        <f>(BC1174-Driver!$K$188)/(Driver!$L$188-Driver!$K$188)</f>
        <v>0.46057899832529886</v>
      </c>
      <c r="AR1174" s="72">
        <f>MIN((BD1174-Driver!$K$189)/(Driver!$L$189-Driver!$K$189),100%)</f>
        <v>1</v>
      </c>
      <c r="AS1174" s="72">
        <f>(BE1174-Driver!$K$190)/(Driver!$L$190-Driver!$K$190)</f>
        <v>1</v>
      </c>
      <c r="AT1174" s="72">
        <f>(BF1174-Driver!$K$191)/(Driver!$L$191-Driver!$K$191)</f>
        <v>1.1451790931226764E-4</v>
      </c>
      <c r="AU1174" s="72">
        <f>(BG1174-Driver!$K$192)/(Driver!$L$192-Driver!$K$192)</f>
        <v>5.1971326164874558E-3</v>
      </c>
      <c r="AV1174" s="70">
        <f t="shared" si="689"/>
        <v>1.1446886446886444</v>
      </c>
      <c r="AW1174" s="70">
        <f t="shared" si="690"/>
        <v>62.870555198042851</v>
      </c>
      <c r="AX1174" s="70">
        <f t="shared" si="691"/>
        <v>6.8810472396129763</v>
      </c>
      <c r="AY1174" s="70">
        <f>IFERROR(Driver!$K$19/Data!BH1174/Data!BI1174*Data!BK1174*Data!BL1174,"")</f>
        <v>8.8539976300312226E-2</v>
      </c>
      <c r="AZ1174" s="70">
        <f t="shared" si="692"/>
        <v>55.900967982129565</v>
      </c>
      <c r="BA1174" s="70"/>
      <c r="BB1174" s="70"/>
      <c r="BC1174" s="70">
        <f t="shared" si="693"/>
        <v>238.90552832458269</v>
      </c>
      <c r="BD1174" s="70">
        <f t="shared" si="694"/>
        <v>95.135519409689849</v>
      </c>
      <c r="BE1174" s="70">
        <f t="shared" si="695"/>
        <v>1</v>
      </c>
      <c r="BF1174" s="70">
        <f t="shared" si="696"/>
        <v>1.293399332297427E-2</v>
      </c>
      <c r="BG1174" s="70">
        <f t="shared" si="697"/>
        <v>1.967965949820789E-2</v>
      </c>
      <c r="BH1174" s="67">
        <f>MAX((CE1174-Driver!$F$200)/(Driver!$G$200-Driver!$F$200)*$BI$1,1)</f>
        <v>6.8810472396129763</v>
      </c>
      <c r="BI1174" s="67">
        <f>MAX($BI$1*(BY1174-Driver!$F$201)/(Driver!$G$201-Driver!$F$201),1)</f>
        <v>9.0506329113924053</v>
      </c>
      <c r="BJ1174" s="67">
        <f>(CB1174-Driver!$F$206)/(Driver!$G$206-Driver!$F$206)*$BI$1</f>
        <v>0.79365079365079361</v>
      </c>
      <c r="BK1174" s="67">
        <f>(CD1174-Driver!$F$203)/(Driver!$G$203-Driver!$F$203)*$BI$1</f>
        <v>3.8073394495412844</v>
      </c>
      <c r="BL1174" s="67">
        <f>MAX((CR1174-Driver!$F$202)/(Driver!$G$202-Driver!$F$202)*$BI$1,1)</f>
        <v>7.2413793103448274</v>
      </c>
      <c r="BM1174" s="67">
        <f>MAX((CH1174-Driver!$F$204)/(Driver!$G$204-Driver!$F$204)*$BI$1,1)</f>
        <v>5.7692307692307683</v>
      </c>
      <c r="BN1174" s="67">
        <f>(CI1174-Driver!$F$205)/(Driver!$G$205-Driver!$F$205)*$BI$1</f>
        <v>6.1764705882352944</v>
      </c>
      <c r="BO1174" s="67">
        <f>(CK1174-Driver!$F$207)/(Driver!$G$207-Driver!$F$207)*$BI$1</f>
        <v>9.3071354705274043E-2</v>
      </c>
      <c r="BP1174" s="67">
        <f>(CM1174-Driver!$F$208)/(Driver!$G$208-Driver!$F$208)*$BI$1</f>
        <v>0.66666666666666663</v>
      </c>
      <c r="BQ1174" s="67">
        <f>(CL1174-Driver!$F$209)/(Driver!$G$209-Driver!$F$209)*$BI$1</f>
        <v>0.78125</v>
      </c>
      <c r="BR1174" s="28" t="s">
        <v>155</v>
      </c>
      <c r="BS1174" s="8" t="s">
        <v>172</v>
      </c>
      <c r="BT1174" s="9" t="s">
        <v>875</v>
      </c>
      <c r="BU1174" s="10">
        <v>169</v>
      </c>
      <c r="BV1174" s="9" t="s">
        <v>158</v>
      </c>
      <c r="BW1174" s="10">
        <v>169</v>
      </c>
      <c r="BX1174" s="10">
        <v>168.5</v>
      </c>
      <c r="BY1174" s="10">
        <v>151</v>
      </c>
      <c r="BZ1174" s="10">
        <v>162</v>
      </c>
      <c r="CA1174" s="10">
        <v>114</v>
      </c>
      <c r="CB1174" s="10">
        <v>69</v>
      </c>
      <c r="CC1174" s="10">
        <v>97</v>
      </c>
      <c r="CD1174" s="10">
        <v>17.7</v>
      </c>
      <c r="CE1174" s="10">
        <v>2109</v>
      </c>
      <c r="CF1174" s="10">
        <v>0.65</v>
      </c>
      <c r="CG1174" s="10">
        <v>1378</v>
      </c>
      <c r="CH1174" s="10">
        <v>236</v>
      </c>
      <c r="CI1174" s="10">
        <v>138</v>
      </c>
      <c r="CJ1174" s="10">
        <v>32</v>
      </c>
      <c r="CK1174" s="10">
        <v>119</v>
      </c>
      <c r="CL1174" s="10">
        <v>5</v>
      </c>
      <c r="CM1174" s="10">
        <v>60</v>
      </c>
      <c r="CN1174" s="10">
        <v>0.16700000000000001</v>
      </c>
      <c r="CO1174" s="10">
        <v>29</v>
      </c>
      <c r="CP1174" s="10">
        <v>40</v>
      </c>
      <c r="CQ1174" s="10">
        <v>90</v>
      </c>
      <c r="CR1174" s="10">
        <v>10</v>
      </c>
      <c r="CS1174" s="10">
        <v>8.1999999999999993</v>
      </c>
      <c r="CT1174" s="9" t="s">
        <v>349</v>
      </c>
      <c r="CU1174" s="10"/>
      <c r="CV1174" s="10"/>
      <c r="CW1174" s="10"/>
      <c r="CX1174" t="str">
        <f>INDEX('Data_Price '!AG$2:AG$1266,MATCH(Data!$DN1174,'Data_Price '!$AT$2:$AT$1266,0))</f>
        <v>Rossignol Hero Master Mens Skis 169cm</v>
      </c>
      <c r="CY1174" t="str">
        <f>INDEX('Data_Price '!AH$2:AH$1266,MATCH(Data!$DN1174,'Data_Price '!$AT$2:$AT$1266,0))</f>
        <v>Suburban Ski and Bike</v>
      </c>
      <c r="CZ1174">
        <f>INDEX('Data_Price '!AI$2:AI$1266,MATCH(Data!$DN1174,'Data_Price '!$AT$2:$AT$1266,0))</f>
        <v>899.95</v>
      </c>
      <c r="DA1174" t="str">
        <f>INDEX('Data_Price '!AJ$2:AJ$1266,MATCH(Data!$DN1174,'Data_Price '!$AT$2:$AT$1266,0))</f>
        <v>https://tinyurl.com/ycokoe88</v>
      </c>
      <c r="DB1174">
        <f>INDEX('Data_Price '!AK$2:AK$1266,MATCH(Data!$DN1174,'Data_Price '!$AT$2:$AT$1266,0))</f>
        <v>0</v>
      </c>
      <c r="DC1174">
        <f>INDEX('Data_Price '!AL$2:AL$1266,MATCH(Data!$DN1174,'Data_Price '!$AT$2:$AT$1266,0))</f>
        <v>0</v>
      </c>
      <c r="DD1174">
        <f>INDEX('Data_Price '!AM$2:AM$1266,MATCH(Data!$DN1174,'Data_Price '!$AT$2:$AT$1266,0))</f>
        <v>0</v>
      </c>
      <c r="DE1174">
        <f>INDEX('Data_Price '!AN$2:AN$1266,MATCH(Data!$DN1174,'Data_Price '!$AT$2:$AT$1266,0))</f>
        <v>0</v>
      </c>
      <c r="DF1174">
        <f>INDEX('Data_Price '!AO$2:AO$1266,MATCH(Data!$DN1174,'Data_Price '!$AT$2:$AT$1266,0))</f>
        <v>0</v>
      </c>
      <c r="DG1174">
        <f>INDEX('Data_Price '!AP$2:AP$1266,MATCH(Data!$DN1174,'Data_Price '!$AT$2:$AT$1266,0))</f>
        <v>0</v>
      </c>
      <c r="DH1174">
        <f>INDEX('Data_Price '!AQ$2:AQ$1266,MATCH(Data!$DN1174,'Data_Price '!$AT$2:$AT$1266,0))</f>
        <v>0</v>
      </c>
      <c r="DI1174">
        <f>INDEX('Data_Price '!AR$2:AR$1266,MATCH(Data!$DN1174,'Data_Price '!$AT$2:$AT$1266,0))</f>
        <v>0</v>
      </c>
      <c r="DJ1174" s="89" t="str">
        <f t="shared" si="698"/>
        <v>https://tinyurl.com/ycokoe88</v>
      </c>
      <c r="DK1174" s="89">
        <f t="shared" si="699"/>
        <v>0</v>
      </c>
      <c r="DL1174" s="89">
        <f t="shared" si="700"/>
        <v>0</v>
      </c>
      <c r="DM1174" s="219" t="str">
        <f t="shared" si="701"/>
        <v>Hero Master M15 (R22)</v>
      </c>
      <c r="DN1174" s="89" t="str">
        <f t="shared" si="702"/>
        <v xml:space="preserve"> RossignolHero Master M15 (R22)169 Unisex</v>
      </c>
      <c r="DO1174" s="221"/>
    </row>
    <row r="1175" spans="2:119" ht="15.6" customHeight="1">
      <c r="B1175" s="219" t="b">
        <f t="array" ref="B1175">IF(OR(ISERROR(K1175:P1175)),FALSE,TRUE)</f>
        <v>1</v>
      </c>
      <c r="C1175" s="43" t="b">
        <f>OR(BR1175=Driver!$G$50,Data!BR1223=Driver!$H$50)</f>
        <v>1</v>
      </c>
      <c r="D1175" s="43" t="b">
        <f>OR(BV1175=Driver!$G$51,BV1175=Driver!$H$51)</f>
        <v>1</v>
      </c>
      <c r="E1175" s="43" t="b">
        <f>AND(BX1175&gt;Driver!$F$54,BX1175&lt;Driver!$G$54)</f>
        <v>0</v>
      </c>
      <c r="F1175" s="43" t="b">
        <f>CL1175&gt;Driver!$F$56</f>
        <v>1</v>
      </c>
      <c r="G1175" s="43" t="b">
        <f>AND(CB1175&gt;Driver!$F$55,CB1175&lt;Driver!$G$55)</f>
        <v>1</v>
      </c>
      <c r="H1175" s="43" t="b">
        <f t="shared" si="666"/>
        <v>0</v>
      </c>
      <c r="I1175" s="43">
        <f t="shared" si="667"/>
        <v>0</v>
      </c>
      <c r="J1175" s="43" t="b">
        <f t="array" ref="J1175">NOT(OR(($H$9:$H$1273=TRUE)*($I$9:$I$1273&gt;0)*($BT$9:$BT$1273=BT1175)*($K$9:$K$1273&gt;K1175)))</f>
        <v>1</v>
      </c>
      <c r="K1175" s="72">
        <f t="shared" si="668"/>
        <v>0.71842214353012346</v>
      </c>
      <c r="L1175" s="72">
        <f t="shared" si="669"/>
        <v>0.87262243885324264</v>
      </c>
      <c r="M1175" s="72">
        <f t="shared" si="670"/>
        <v>0.56422184820700427</v>
      </c>
      <c r="N1175" s="72">
        <f t="shared" si="671"/>
        <v>0.37993983479383642</v>
      </c>
      <c r="O1175" s="72">
        <f t="shared" si="672"/>
        <v>0.63436414368173111</v>
      </c>
      <c r="P1175" s="72">
        <f t="shared" si="673"/>
        <v>0.6783615661454454</v>
      </c>
      <c r="Q1175" s="72"/>
      <c r="R1175" s="72"/>
      <c r="S1175" s="72">
        <f t="shared" si="674"/>
        <v>0.60790744021724785</v>
      </c>
      <c r="T1175" s="72">
        <f t="shared" si="675"/>
        <v>0.50032258906836935</v>
      </c>
      <c r="U1175" s="72">
        <f t="shared" si="676"/>
        <v>0.52866053831745985</v>
      </c>
      <c r="V1175" s="72">
        <f t="shared" si="677"/>
        <v>0.56744611503883957</v>
      </c>
      <c r="W1175" s="72">
        <f t="shared" si="678"/>
        <v>0.76912104925968106</v>
      </c>
      <c r="X1175" s="72">
        <f t="shared" si="679"/>
        <v>0.12737756114675736</v>
      </c>
      <c r="Y1175" s="72">
        <f t="shared" si="680"/>
        <v>0.43577815179299567</v>
      </c>
      <c r="Z1175" s="72">
        <f t="shared" si="681"/>
        <v>0.62006016520616358</v>
      </c>
      <c r="AA1175" s="72">
        <f t="shared" si="682"/>
        <v>0.36563585631826884</v>
      </c>
      <c r="AB1175" s="72">
        <f t="shared" si="683"/>
        <v>0.32163843385455454</v>
      </c>
      <c r="AC1175" s="72"/>
      <c r="AD1175" s="72"/>
      <c r="AE1175" s="72">
        <f t="shared" si="684"/>
        <v>0.39209255978275215</v>
      </c>
      <c r="AF1175" s="72">
        <f t="shared" si="685"/>
        <v>0.49967741093163059</v>
      </c>
      <c r="AG1175" s="72">
        <f t="shared" si="686"/>
        <v>0.47133946168254021</v>
      </c>
      <c r="AH1175" s="72">
        <f t="shared" si="687"/>
        <v>0.43255388496116043</v>
      </c>
      <c r="AI1175" s="72">
        <f t="shared" si="688"/>
        <v>0.23087895074031892</v>
      </c>
      <c r="AJ1175" s="72">
        <f>(AV1175-Driver!$K$179)/(Driver!$L$179-Driver!$K$179)</f>
        <v>0.38159697042945778</v>
      </c>
      <c r="AK1175" s="72">
        <f>(AW1175-Driver!$K$180)/(Driver!$L$180-Driver!$K$180)</f>
        <v>0.59724862401304402</v>
      </c>
      <c r="AL1175" s="72">
        <f>(AX1175-Driver!$K$181)/(Driver!$L$181-Driver!$K$181)</f>
        <v>0.72174792891924378</v>
      </c>
      <c r="AM1175" s="72">
        <f>(AY1175-Driver!$K$182)/(Driver!$L$182-Driver!$K$182)</f>
        <v>8.1749164778777514E-2</v>
      </c>
      <c r="AN1175" s="72">
        <f>(AZ1175-Driver!$K$183)/(Driver!$L$183-Driver!$K$183)</f>
        <v>0.57585784313725497</v>
      </c>
      <c r="AO1175" s="72"/>
      <c r="AP1175" s="72"/>
      <c r="AQ1175" s="72">
        <f>(BC1175-Driver!$K$188)/(Driver!$L$188-Driver!$K$188)</f>
        <v>0.22790744021724785</v>
      </c>
      <c r="AR1175" s="72">
        <f>MIN((BD1175-Driver!$K$189)/(Driver!$L$189-Driver!$K$189),100%)</f>
        <v>5.0322589068369471E-2</v>
      </c>
      <c r="AS1175" s="72">
        <f>(BE1175-Driver!$K$190)/(Driver!$L$190-Driver!$K$190)</f>
        <v>3.8660538317459796E-2</v>
      </c>
      <c r="AT1175" s="72">
        <f>(BF1175-Driver!$K$191)/(Driver!$L$191-Driver!$K$191)</f>
        <v>7.7446115038839566E-2</v>
      </c>
      <c r="AU1175" s="72">
        <f>(BG1175-Driver!$K$192)/(Driver!$L$192-Driver!$K$192)</f>
        <v>1.912104925968109E-2</v>
      </c>
      <c r="AV1175" s="70">
        <f t="shared" si="689"/>
        <v>8.0314746981413663</v>
      </c>
      <c r="AW1175" s="70">
        <f t="shared" si="690"/>
        <v>60.079063192701227</v>
      </c>
      <c r="AX1175" s="70">
        <f t="shared" si="691"/>
        <v>7.4957313602731936</v>
      </c>
      <c r="AY1175" s="70">
        <f>IFERROR(Driver!$K$19/Data!BH1175/Data!BI1175*Data!BK1175*Data!BL1175,"")</f>
        <v>0.10008536928581117</v>
      </c>
      <c r="AZ1175" s="70">
        <f t="shared" si="692"/>
        <v>52.483246463142223</v>
      </c>
      <c r="BA1175" s="70"/>
      <c r="BB1175" s="70"/>
      <c r="BC1175" s="70">
        <f t="shared" si="693"/>
        <v>118.21717362750643</v>
      </c>
      <c r="BD1175" s="70">
        <f t="shared" si="694"/>
        <v>6.1742828502968461</v>
      </c>
      <c r="BE1175" s="70">
        <f t="shared" si="695"/>
        <v>3.883203045708742E-2</v>
      </c>
      <c r="BF1175" s="70">
        <f t="shared" si="696"/>
        <v>8.7469946038854474</v>
      </c>
      <c r="BG1175" s="70">
        <f t="shared" si="697"/>
        <v>7.240449040788724E-2</v>
      </c>
      <c r="BH1175" s="67">
        <f>MAX((CE1175-Driver!$F$200)/(Driver!$G$200-Driver!$F$200)*$BI$1,1)</f>
        <v>7.4957313602731936</v>
      </c>
      <c r="BI1175" s="67">
        <f>MAX($BI$1*(BY1175-Driver!$F$201)/(Driver!$G$201-Driver!$F$201),1)</f>
        <v>7.0253164556962027</v>
      </c>
      <c r="BJ1175" s="67">
        <f>(CB1175-Driver!$F$206)/(Driver!$G$206-Driver!$F$206)*$BI$1</f>
        <v>5.8730158730158735</v>
      </c>
      <c r="BK1175" s="67">
        <f>(CD1175-Driver!$F$203)/(Driver!$G$203-Driver!$F$203)*$BI$1</f>
        <v>5.4587155963302756</v>
      </c>
      <c r="BL1175" s="67">
        <f>MAX((CR1175-Driver!$F$202)/(Driver!$G$202-Driver!$F$202)*$BI$1,1)</f>
        <v>4.8275862068965516</v>
      </c>
      <c r="BM1175" s="67">
        <f>MAX((CH1175-Driver!$F$204)/(Driver!$G$204-Driver!$F$204)*$BI$1,1)</f>
        <v>5.4700854700854702</v>
      </c>
      <c r="BN1175" s="67">
        <f>(CI1175-Driver!$F$205)/(Driver!$G$205-Driver!$F$205)*$BI$1</f>
        <v>7.4705882352941178</v>
      </c>
      <c r="BO1175" s="67">
        <f>(CK1175-Driver!$F$207)/(Driver!$G$207-Driver!$F$207)*$BI$1</f>
        <v>2.7404343329886243</v>
      </c>
      <c r="BP1175" s="67">
        <f>(CM1175-Driver!$F$208)/(Driver!$G$208-Driver!$F$208)*$BI$1</f>
        <v>2.9666666666666668</v>
      </c>
      <c r="BQ1175" s="67">
        <f>(CL1175-Driver!$F$209)/(Driver!$G$209-Driver!$F$209)*$BI$1</f>
        <v>2.96875</v>
      </c>
      <c r="BR1175" s="28" t="s">
        <v>155</v>
      </c>
      <c r="BS1175" s="8" t="s">
        <v>229</v>
      </c>
      <c r="BT1175" s="9" t="s">
        <v>814</v>
      </c>
      <c r="BU1175" s="10">
        <v>184</v>
      </c>
      <c r="BV1175" s="9" t="s">
        <v>158</v>
      </c>
      <c r="BW1175" s="10">
        <v>184</v>
      </c>
      <c r="BX1175" s="10">
        <v>183.6</v>
      </c>
      <c r="BY1175" s="10">
        <v>119</v>
      </c>
      <c r="BZ1175" s="10">
        <v>161</v>
      </c>
      <c r="CA1175" s="10">
        <v>139</v>
      </c>
      <c r="CB1175" s="10">
        <v>101</v>
      </c>
      <c r="CC1175" s="10">
        <v>123</v>
      </c>
      <c r="CD1175" s="10">
        <v>21.3</v>
      </c>
      <c r="CE1175" s="10">
        <v>2217</v>
      </c>
      <c r="CF1175" s="10">
        <v>0.93</v>
      </c>
      <c r="CG1175" s="10">
        <v>2069</v>
      </c>
      <c r="CH1175" s="10">
        <v>229</v>
      </c>
      <c r="CI1175" s="10">
        <v>160</v>
      </c>
      <c r="CJ1175" s="10">
        <v>48</v>
      </c>
      <c r="CK1175" s="10">
        <v>375</v>
      </c>
      <c r="CL1175" s="10">
        <v>19</v>
      </c>
      <c r="CM1175" s="10">
        <v>267</v>
      </c>
      <c r="CN1175" s="10">
        <v>0.38300000000000001</v>
      </c>
      <c r="CO1175" s="10">
        <v>131</v>
      </c>
      <c r="CP1175" s="10">
        <v>100</v>
      </c>
      <c r="CQ1175" s="10">
        <v>244</v>
      </c>
      <c r="CR1175" s="10">
        <v>3</v>
      </c>
      <c r="CS1175" s="10">
        <v>11.6</v>
      </c>
      <c r="CT1175" s="9" t="s">
        <v>188</v>
      </c>
      <c r="CU1175" s="9" t="s">
        <v>169</v>
      </c>
      <c r="CV1175" s="9" t="s">
        <v>178</v>
      </c>
      <c r="CW1175" s="10"/>
      <c r="CX1175" t="e">
        <f>INDEX('Data_Price '!AG$2:AG$1266,MATCH(Data!$DN1175,'Data_Price '!$AT$2:$AT$1266,0))</f>
        <v>#N/A</v>
      </c>
      <c r="CY1175" t="e">
        <f>INDEX('Data_Price '!AH$2:AH$1266,MATCH(Data!$DN1175,'Data_Price '!$AT$2:$AT$1266,0))</f>
        <v>#N/A</v>
      </c>
      <c r="CZ1175" t="e">
        <f>INDEX('Data_Price '!AI$2:AI$1266,MATCH(Data!$DN1175,'Data_Price '!$AT$2:$AT$1266,0))</f>
        <v>#N/A</v>
      </c>
      <c r="DA1175" t="e">
        <f>INDEX('Data_Price '!AJ$2:AJ$1266,MATCH(Data!$DN1175,'Data_Price '!$AT$2:$AT$1266,0))</f>
        <v>#N/A</v>
      </c>
      <c r="DB1175" t="e">
        <f>INDEX('Data_Price '!AK$2:AK$1266,MATCH(Data!$DN1175,'Data_Price '!$AT$2:$AT$1266,0))</f>
        <v>#N/A</v>
      </c>
      <c r="DC1175" t="e">
        <f>INDEX('Data_Price '!AL$2:AL$1266,MATCH(Data!$DN1175,'Data_Price '!$AT$2:$AT$1266,0))</f>
        <v>#N/A</v>
      </c>
      <c r="DD1175" t="e">
        <f>INDEX('Data_Price '!AM$2:AM$1266,MATCH(Data!$DN1175,'Data_Price '!$AT$2:$AT$1266,0))</f>
        <v>#N/A</v>
      </c>
      <c r="DE1175" t="e">
        <f>INDEX('Data_Price '!AN$2:AN$1266,MATCH(Data!$DN1175,'Data_Price '!$AT$2:$AT$1266,0))</f>
        <v>#N/A</v>
      </c>
      <c r="DF1175" t="e">
        <f>INDEX('Data_Price '!AO$2:AO$1266,MATCH(Data!$DN1175,'Data_Price '!$AT$2:$AT$1266,0))</f>
        <v>#N/A</v>
      </c>
      <c r="DG1175" t="e">
        <f>INDEX('Data_Price '!AP$2:AP$1266,MATCH(Data!$DN1175,'Data_Price '!$AT$2:$AT$1266,0))</f>
        <v>#N/A</v>
      </c>
      <c r="DH1175" t="e">
        <f>INDEX('Data_Price '!AQ$2:AQ$1266,MATCH(Data!$DN1175,'Data_Price '!$AT$2:$AT$1266,0))</f>
        <v>#N/A</v>
      </c>
      <c r="DI1175" t="e">
        <f>INDEX('Data_Price '!AR$2:AR$1266,MATCH(Data!$DN1175,'Data_Price '!$AT$2:$AT$1266,0))</f>
        <v>#N/A</v>
      </c>
      <c r="DJ1175" s="89" t="e">
        <f t="shared" si="698"/>
        <v>#N/A</v>
      </c>
      <c r="DK1175" s="89" t="e">
        <f t="shared" si="699"/>
        <v>#N/A</v>
      </c>
      <c r="DL1175" s="89" t="e">
        <f t="shared" si="700"/>
        <v>#N/A</v>
      </c>
      <c r="DM1175" s="219" t="str">
        <f t="shared" si="701"/>
        <v>Mantra 102</v>
      </c>
      <c r="DN1175" s="89" t="str">
        <f t="shared" si="702"/>
        <v xml:space="preserve"> VölklMantra 102184 Unisex</v>
      </c>
      <c r="DO1175" s="221" t="s">
        <v>815</v>
      </c>
    </row>
    <row r="1176" spans="2:119" ht="15.6" customHeight="1">
      <c r="B1176" s="219" t="b">
        <f t="array" ref="B1176">IF(OR(ISERROR(K1176:P1176)),FALSE,TRUE)</f>
        <v>1</v>
      </c>
      <c r="C1176" s="43" t="b">
        <f>OR(BR1176=Driver!$G$50,Data!BR846=Driver!$H$50)</f>
        <v>1</v>
      </c>
      <c r="D1176" s="43" t="b">
        <f>OR(BV1176=Driver!$G$51,BV1176=Driver!$H$51)</f>
        <v>0</v>
      </c>
      <c r="E1176" s="43" t="b">
        <f>AND(BX1176&gt;Driver!$F$54,BX1176&lt;Driver!$G$54)</f>
        <v>1</v>
      </c>
      <c r="F1176" s="43" t="b">
        <f>CL1176&gt;Driver!$F$56</f>
        <v>1</v>
      </c>
      <c r="G1176" s="43" t="b">
        <f>AND(CB1176&gt;Driver!$F$55,CB1176&lt;Driver!$G$55)</f>
        <v>1</v>
      </c>
      <c r="H1176" s="43" t="b">
        <f t="shared" si="666"/>
        <v>0</v>
      </c>
      <c r="I1176" s="43">
        <f t="shared" si="667"/>
        <v>0</v>
      </c>
      <c r="J1176" s="43" t="b">
        <f t="array" ref="J1176">NOT(OR(($H$9:$H$1273=TRUE)*($I$9:$I$1273&gt;0)*($BT$9:$BT$1273=BT1176)*($K$9:$K$1273&gt;K1176)))</f>
        <v>1</v>
      </c>
      <c r="K1176" s="72">
        <f t="shared" si="668"/>
        <v>0.84243974310671599</v>
      </c>
      <c r="L1176" s="72">
        <f t="shared" si="669"/>
        <v>0.85455506497400735</v>
      </c>
      <c r="M1176" s="72">
        <f t="shared" si="670"/>
        <v>0.83032442123942463</v>
      </c>
      <c r="N1176" s="72">
        <f t="shared" si="671"/>
        <v>0.96996070369916754</v>
      </c>
      <c r="O1176" s="72">
        <f t="shared" si="672"/>
        <v>0.70537902812533615</v>
      </c>
      <c r="P1176" s="72">
        <f t="shared" si="673"/>
        <v>0.81563353189377019</v>
      </c>
      <c r="Q1176" s="72"/>
      <c r="R1176" s="72"/>
      <c r="S1176" s="72">
        <f t="shared" si="674"/>
        <v>0.38969021447314878</v>
      </c>
      <c r="T1176" s="72">
        <f t="shared" si="675"/>
        <v>0.44214516505603707</v>
      </c>
      <c r="U1176" s="72">
        <f t="shared" si="676"/>
        <v>0.57335065225547477</v>
      </c>
      <c r="V1176" s="72">
        <f t="shared" si="677"/>
        <v>0.71171414098785313</v>
      </c>
      <c r="W1176" s="72">
        <f t="shared" si="678"/>
        <v>0.85238281249999992</v>
      </c>
      <c r="X1176" s="72">
        <f t="shared" si="679"/>
        <v>0.14544493502599268</v>
      </c>
      <c r="Y1176" s="72">
        <f t="shared" si="680"/>
        <v>0.16967557876057537</v>
      </c>
      <c r="Z1176" s="72">
        <f t="shared" si="681"/>
        <v>3.0039296300832422E-2</v>
      </c>
      <c r="AA1176" s="72">
        <f t="shared" si="682"/>
        <v>0.29462097187466385</v>
      </c>
      <c r="AB1176" s="72">
        <f t="shared" si="683"/>
        <v>0.18436646810622984</v>
      </c>
      <c r="AC1176" s="72"/>
      <c r="AD1176" s="72"/>
      <c r="AE1176" s="72">
        <f t="shared" si="684"/>
        <v>0.61030978552685122</v>
      </c>
      <c r="AF1176" s="72">
        <f t="shared" si="685"/>
        <v>0.55785483494396293</v>
      </c>
      <c r="AG1176" s="72">
        <f t="shared" si="686"/>
        <v>0.42664934774452518</v>
      </c>
      <c r="AH1176" s="72">
        <f t="shared" si="687"/>
        <v>0.28828585901214682</v>
      </c>
      <c r="AI1176" s="72">
        <f t="shared" si="688"/>
        <v>0.14761718750000002</v>
      </c>
      <c r="AJ1176" s="72">
        <f>(AV1176-Driver!$K$179)/(Driver!$L$179-Driver!$K$179)</f>
        <v>0.10877447425670775</v>
      </c>
      <c r="AK1176" s="72">
        <f>(AW1176-Driver!$K$180)/(Driver!$L$180-Driver!$K$180)</f>
        <v>7.0460742489204017E-2</v>
      </c>
      <c r="AL1176" s="72">
        <f>(AX1176-Driver!$K$181)/(Driver!$L$181-Driver!$K$181)</f>
        <v>0.1317270600139126</v>
      </c>
      <c r="AM1176" s="72">
        <f>(AY1176-Driver!$K$182)/(Driver!$L$182-Driver!$K$182)</f>
        <v>0.15276404922238254</v>
      </c>
      <c r="AN1176" s="72">
        <f>(AZ1176-Driver!$K$183)/(Driver!$L$183-Driver!$K$183)</f>
        <v>6.985294117647059E-2</v>
      </c>
      <c r="AO1176" s="72"/>
      <c r="AP1176" s="72"/>
      <c r="AQ1176" s="72">
        <f>(BC1176-Driver!$K$188)/(Driver!$L$188-Driver!$K$188)</f>
        <v>9.6902144731488074E-3</v>
      </c>
      <c r="AR1176" s="72">
        <f>MIN((BD1176-Driver!$K$189)/(Driver!$L$189-Driver!$K$189),100%)</f>
        <v>-7.8548349439628781E-3</v>
      </c>
      <c r="AS1176" s="72">
        <f>(BE1176-Driver!$K$190)/(Driver!$L$190-Driver!$K$190)</f>
        <v>8.3350652255474819E-2</v>
      </c>
      <c r="AT1176" s="72">
        <f>(BF1176-Driver!$K$191)/(Driver!$L$191-Driver!$K$191)</f>
        <v>0.22171414098785319</v>
      </c>
      <c r="AU1176" s="72">
        <f>(BG1176-Driver!$K$192)/(Driver!$L$192-Driver!$K$192)</f>
        <v>0.39761718750000002</v>
      </c>
      <c r="AV1176" s="70">
        <f t="shared" si="689"/>
        <v>2.2893772893772892</v>
      </c>
      <c r="AW1176" s="70">
        <f t="shared" si="690"/>
        <v>8.7389163227232682</v>
      </c>
      <c r="AX1176" s="70">
        <f t="shared" si="691"/>
        <v>2.1855435401252135</v>
      </c>
      <c r="AY1176" s="70">
        <f>IFERROR(Driver!$K$19/Data!BH1176/Data!BI1176*Data!BK1176*Data!BL1176,"")</f>
        <v>0.1870287766412411</v>
      </c>
      <c r="AZ1176" s="70">
        <f t="shared" si="692"/>
        <v>6.3663440059568135</v>
      </c>
      <c r="BA1176" s="70"/>
      <c r="BB1176" s="70"/>
      <c r="BC1176" s="70">
        <f t="shared" si="693"/>
        <v>5.0263816125003977</v>
      </c>
      <c r="BD1176" s="70">
        <f t="shared" si="694"/>
        <v>1.0256839095009649</v>
      </c>
      <c r="BE1176" s="70">
        <f t="shared" si="695"/>
        <v>8.3514172181784571E-2</v>
      </c>
      <c r="BF1176" s="70">
        <f t="shared" si="696"/>
        <v>25.041054594581865</v>
      </c>
      <c r="BG1176" s="70">
        <f t="shared" si="697"/>
        <v>1.5056323242187502</v>
      </c>
      <c r="BH1176" s="67">
        <f>MAX((CE1176-Driver!$F$200)/(Driver!$G$200-Driver!$F$200)*$BI$1,1)</f>
        <v>2.1855435401252135</v>
      </c>
      <c r="BI1176" s="67">
        <f>MAX($BI$1*(BY1176-Driver!$F$201)/(Driver!$G$201-Driver!$F$201),1)</f>
        <v>5.6962025316455698</v>
      </c>
      <c r="BJ1176" s="67">
        <f>(CB1176-Driver!$F$206)/(Driver!$G$206-Driver!$F$206)*$BI$1</f>
        <v>7.1428571428571432</v>
      </c>
      <c r="BK1176" s="67">
        <f>(CD1176-Driver!$F$203)/(Driver!$G$203-Driver!$F$203)*$BI$1</f>
        <v>2.1100917431192663</v>
      </c>
      <c r="BL1176" s="67">
        <f>MAX((CR1176-Driver!$F$202)/(Driver!$G$202-Driver!$F$202)*$BI$1,1)</f>
        <v>5.5172413793103452</v>
      </c>
      <c r="BM1176" s="67">
        <f>MAX((CH1176-Driver!$F$204)/(Driver!$G$204-Driver!$F$204)*$BI$1,1)</f>
        <v>1.2820512820512819</v>
      </c>
      <c r="BN1176" s="67">
        <f>(CI1176-Driver!$F$205)/(Driver!$G$205-Driver!$F$205)*$BI$1</f>
        <v>1.1176470588235294</v>
      </c>
      <c r="BO1176" s="67">
        <f>(CK1176-Driver!$F$207)/(Driver!$G$207-Driver!$F$207)*$BI$1</f>
        <v>2.295760082730093</v>
      </c>
      <c r="BP1176" s="67">
        <f>(CM1176-Driver!$F$208)/(Driver!$G$208-Driver!$F$208)*$BI$1</f>
        <v>3.2222222222222223</v>
      </c>
      <c r="BQ1176" s="67">
        <f>(CL1176-Driver!$F$209)/(Driver!$G$209-Driver!$F$209)*$BI$1</f>
        <v>4.21875</v>
      </c>
      <c r="BR1176" s="28" t="s">
        <v>155</v>
      </c>
      <c r="BS1176" s="8" t="s">
        <v>208</v>
      </c>
      <c r="BT1176" s="9" t="s">
        <v>577</v>
      </c>
      <c r="BU1176" s="10">
        <v>165</v>
      </c>
      <c r="BV1176" s="9" t="s">
        <v>163</v>
      </c>
      <c r="BW1176" s="10">
        <v>165</v>
      </c>
      <c r="BX1176" s="10">
        <v>160</v>
      </c>
      <c r="BY1176" s="10">
        <v>98</v>
      </c>
      <c r="BZ1176" s="10">
        <v>126</v>
      </c>
      <c r="CA1176" s="10">
        <v>143</v>
      </c>
      <c r="CB1176" s="10">
        <v>109</v>
      </c>
      <c r="CC1176" s="10">
        <v>129</v>
      </c>
      <c r="CD1176" s="10">
        <v>14</v>
      </c>
      <c r="CE1176" s="10">
        <v>1284</v>
      </c>
      <c r="CF1176" s="10">
        <v>1.48</v>
      </c>
      <c r="CG1176" s="10">
        <v>1902</v>
      </c>
      <c r="CH1176" s="10">
        <v>131</v>
      </c>
      <c r="CI1176" s="10">
        <v>52</v>
      </c>
      <c r="CJ1176" s="10">
        <v>47</v>
      </c>
      <c r="CK1176" s="10">
        <v>332</v>
      </c>
      <c r="CL1176" s="10">
        <v>27</v>
      </c>
      <c r="CM1176" s="10">
        <v>290</v>
      </c>
      <c r="CN1176" s="10">
        <v>0.57899999999999996</v>
      </c>
      <c r="CO1176" s="10">
        <v>169</v>
      </c>
      <c r="CP1176" s="10">
        <v>168</v>
      </c>
      <c r="CQ1176" s="10">
        <v>163</v>
      </c>
      <c r="CR1176" s="10">
        <v>5</v>
      </c>
      <c r="CS1176" s="10">
        <v>6.3</v>
      </c>
      <c r="CT1176" s="9" t="s">
        <v>169</v>
      </c>
      <c r="CU1176" s="9" t="s">
        <v>185</v>
      </c>
      <c r="CV1176" s="9" t="s">
        <v>198</v>
      </c>
      <c r="CW1176" s="10"/>
      <c r="CX1176" t="str">
        <f>INDEX('Data_Price '!AG$2:AG$1266,MATCH(Data!$DN1176,'Data_Price '!$AT$2:$AT$1266,0))</f>
        <v>2022 Line Pandora 110 Women's Skis w/ Tyrolia Attack2 13 GW Bindings - 170| Ski Essentials</v>
      </c>
      <c r="CY1176" t="str">
        <f>INDEX('Data_Price '!AH$2:AH$1266,MATCH(Data!$DN1176,'Data_Price '!$AT$2:$AT$1266,0))</f>
        <v>SkiEssentials.com</v>
      </c>
      <c r="CZ1176">
        <f>INDEX('Data_Price '!AI$2:AI$1266,MATCH(Data!$DN1176,'Data_Price '!$AT$2:$AT$1266,0))</f>
        <v>869.95</v>
      </c>
      <c r="DA1176" t="str">
        <f>INDEX('Data_Price '!AJ$2:AJ$1266,MATCH(Data!$DN1176,'Data_Price '!$AT$2:$AT$1266,0))</f>
        <v>https://tinyurl.com/ybt6kct3</v>
      </c>
      <c r="DB1176" t="str">
        <f>INDEX('Data_Price '!AK$2:AK$1266,MATCH(Data!$DN1176,'Data_Price '!$AT$2:$AT$1266,0))</f>
        <v>'22 Line Pandora 84 Skis 165cm</v>
      </c>
      <c r="DC1176" t="str">
        <f>INDEX('Data_Price '!AL$2:AL$1266,MATCH(Data!$DN1176,'Data_Price '!$AT$2:$AT$1266,0))</f>
        <v>Al's Ski Equipment Barn</v>
      </c>
      <c r="DD1176">
        <f>INDEX('Data_Price '!AM$2:AM$1266,MATCH(Data!$DN1176,'Data_Price '!$AT$2:$AT$1266,0))</f>
        <v>399.95</v>
      </c>
      <c r="DE1176" t="str">
        <f>INDEX('Data_Price '!AN$2:AN$1266,MATCH(Data!$DN1176,'Data_Price '!$AT$2:$AT$1266,0))</f>
        <v>https://tinyurl.com/y8u8xwma</v>
      </c>
      <c r="DF1176" t="str">
        <f>INDEX('Data_Price '!AO$2:AO$1266,MATCH(Data!$DN1176,'Data_Price '!$AT$2:$AT$1266,0))</f>
        <v>Line Pandora 84 Skis 2021</v>
      </c>
      <c r="DG1176" t="str">
        <f>INDEX('Data_Price '!AP$2:AP$1266,MATCH(Data!$DN1176,'Data_Price '!$AT$2:$AT$1266,0))</f>
        <v>LINE Skis</v>
      </c>
      <c r="DH1176">
        <f>INDEX('Data_Price '!AQ$2:AQ$1266,MATCH(Data!$DN1176,'Data_Price '!$AT$2:$AT$1266,0))</f>
        <v>399.95</v>
      </c>
      <c r="DI1176" t="str">
        <f>INDEX('Data_Price '!AR$2:AR$1266,MATCH(Data!$DN1176,'Data_Price '!$AT$2:$AT$1266,0))</f>
        <v>https://tinyurl.com/yamzxmu8</v>
      </c>
      <c r="DJ1176" s="89" t="str">
        <f t="shared" si="698"/>
        <v>https://tinyurl.com/ybt6kct3</v>
      </c>
      <c r="DK1176" s="89" t="str">
        <f t="shared" si="699"/>
        <v>https://tinyurl.com/y8u8xwma</v>
      </c>
      <c r="DL1176" s="89" t="str">
        <f t="shared" si="700"/>
        <v>https://tinyurl.com/yamzxmu8</v>
      </c>
      <c r="DM1176" s="219" t="str">
        <f t="shared" si="701"/>
        <v>Pandora 110</v>
      </c>
      <c r="DN1176" s="89" t="str">
        <f t="shared" si="702"/>
        <v xml:space="preserve"> LinePandora 110165 Women's</v>
      </c>
      <c r="DO1176" s="221" t="s">
        <v>578</v>
      </c>
    </row>
    <row r="1177" spans="2:119" ht="15.6" customHeight="1">
      <c r="B1177" s="219" t="b">
        <f t="array" ref="B1177">IF(OR(ISERROR(K1177:P1177)),FALSE,TRUE)</f>
        <v>1</v>
      </c>
      <c r="C1177" s="43" t="b">
        <f>OR(BR1177=Driver!$G$50,Data!BR1255=Driver!$H$50)</f>
        <v>1</v>
      </c>
      <c r="D1177" s="43" t="b">
        <f>OR(BV1177=Driver!$G$51,BV1177=Driver!$H$51)</f>
        <v>0</v>
      </c>
      <c r="E1177" s="43" t="b">
        <f>AND(BX1177&gt;Driver!$F$54,BX1177&lt;Driver!$G$54)</f>
        <v>1</v>
      </c>
      <c r="F1177" s="43" t="b">
        <f>CL1177&gt;Driver!$F$56</f>
        <v>1</v>
      </c>
      <c r="G1177" s="43" t="b">
        <f>AND(CB1177&gt;Driver!$F$55,CB1177&lt;Driver!$G$55)</f>
        <v>0</v>
      </c>
      <c r="H1177" s="43" t="b">
        <f t="shared" si="666"/>
        <v>0</v>
      </c>
      <c r="I1177" s="43">
        <f t="shared" si="667"/>
        <v>0</v>
      </c>
      <c r="J1177" s="43" t="b">
        <f t="array" ref="J1177">NOT(OR(($H$9:$H$1273=TRUE)*($I$9:$I$1273&gt;0)*($BT$9:$BT$1273=BT1177)*($K$9:$K$1273&gt;K1177)))</f>
        <v>1</v>
      </c>
      <c r="K1177" s="72">
        <f t="shared" si="668"/>
        <v>0.84215817780604763</v>
      </c>
      <c r="L1177" s="72">
        <f t="shared" si="669"/>
        <v>0.84319417544052899</v>
      </c>
      <c r="M1177" s="72">
        <f t="shared" si="670"/>
        <v>0.84112218017156648</v>
      </c>
      <c r="N1177" s="72">
        <f t="shared" si="671"/>
        <v>0.9320186803519297</v>
      </c>
      <c r="O1177" s="72">
        <f t="shared" si="672"/>
        <v>0.70500354395527409</v>
      </c>
      <c r="P1177" s="72">
        <f t="shared" si="673"/>
        <v>0.88634431620749565</v>
      </c>
      <c r="Q1177" s="72"/>
      <c r="R1177" s="72"/>
      <c r="S1177" s="72">
        <f t="shared" si="674"/>
        <v>0.39838620214743037</v>
      </c>
      <c r="T1177" s="72">
        <f t="shared" si="675"/>
        <v>0.44617970791107509</v>
      </c>
      <c r="U1177" s="72">
        <f t="shared" si="676"/>
        <v>0.51</v>
      </c>
      <c r="V1177" s="72">
        <f t="shared" si="677"/>
        <v>0.52751692479685097</v>
      </c>
      <c r="W1177" s="72">
        <f t="shared" si="678"/>
        <v>0.82598253275109168</v>
      </c>
      <c r="X1177" s="72">
        <f t="shared" si="679"/>
        <v>0.15680582455947106</v>
      </c>
      <c r="Y1177" s="72">
        <f t="shared" si="680"/>
        <v>0.15887781982843355</v>
      </c>
      <c r="Z1177" s="72">
        <f t="shared" si="681"/>
        <v>6.798131964807036E-2</v>
      </c>
      <c r="AA1177" s="72">
        <f t="shared" si="682"/>
        <v>0.29499645604472591</v>
      </c>
      <c r="AB1177" s="72">
        <f t="shared" si="683"/>
        <v>0.11365568379250435</v>
      </c>
      <c r="AC1177" s="72"/>
      <c r="AD1177" s="72"/>
      <c r="AE1177" s="72">
        <f t="shared" si="684"/>
        <v>0.60161379785256963</v>
      </c>
      <c r="AF1177" s="72">
        <f t="shared" si="685"/>
        <v>0.55382029208892491</v>
      </c>
      <c r="AG1177" s="72">
        <f t="shared" si="686"/>
        <v>0.49</v>
      </c>
      <c r="AH1177" s="72">
        <f t="shared" si="687"/>
        <v>0.47248307520314908</v>
      </c>
      <c r="AI1177" s="72">
        <f t="shared" si="688"/>
        <v>0.17401746724890829</v>
      </c>
      <c r="AJ1177" s="72">
        <f>(AV1177-Driver!$K$179)/(Driver!$L$179-Driver!$K$179)</f>
        <v>9.7413584723229363E-2</v>
      </c>
      <c r="AK1177" s="72">
        <f>(AW1177-Driver!$K$180)/(Driver!$L$180-Driver!$K$180)</f>
        <v>0.12752976503183913</v>
      </c>
      <c r="AL1177" s="72">
        <f>(AX1177-Driver!$K$181)/(Driver!$L$181-Driver!$K$181)</f>
        <v>3.3706444065009812E-2</v>
      </c>
      <c r="AM1177" s="72">
        <f>(AY1177-Driver!$K$182)/(Driver!$L$182-Driver!$K$182)</f>
        <v>0.15238856505232046</v>
      </c>
      <c r="AN1177" s="72">
        <f>(AZ1177-Driver!$K$183)/(Driver!$L$183-Driver!$K$183)</f>
        <v>0.14056372549019608</v>
      </c>
      <c r="AO1177" s="72"/>
      <c r="AP1177" s="72"/>
      <c r="AQ1177" s="72">
        <f>(BC1177-Driver!$K$188)/(Driver!$L$188-Driver!$K$188)</f>
        <v>1.8386202147430395E-2</v>
      </c>
      <c r="AR1177" s="72">
        <f>MIN((BD1177-Driver!$K$189)/(Driver!$L$189-Driver!$K$189),100%)</f>
        <v>-3.8202920889248964E-3</v>
      </c>
      <c r="AS1177" s="72">
        <f>(BE1177-Driver!$K$190)/(Driver!$L$190-Driver!$K$190)</f>
        <v>1</v>
      </c>
      <c r="AT1177" s="72">
        <f>(BF1177-Driver!$K$191)/(Driver!$L$191-Driver!$K$191)</f>
        <v>3.7516924796850933E-2</v>
      </c>
      <c r="AU1177" s="72">
        <f>(BG1177-Driver!$K$192)/(Driver!$L$192-Driver!$K$192)</f>
        <v>7.5982532751091708E-2</v>
      </c>
      <c r="AV1177" s="70">
        <f t="shared" si="689"/>
        <v>2.0502645502645498</v>
      </c>
      <c r="AW1177" s="70">
        <f t="shared" si="690"/>
        <v>14.300798252485116</v>
      </c>
      <c r="AX1177" s="70">
        <f t="shared" si="691"/>
        <v>1.3033579965850883</v>
      </c>
      <c r="AY1177" s="70">
        <f>IFERROR(Driver!$K$19/Data!BH1177/Data!BI1177*Data!BK1177*Data!BL1177,"")</f>
        <v>0.18656907198342182</v>
      </c>
      <c r="AZ1177" s="70">
        <f t="shared" si="692"/>
        <v>12.810871183916605</v>
      </c>
      <c r="BA1177" s="70"/>
      <c r="BB1177" s="70"/>
      <c r="BC1177" s="70">
        <f t="shared" si="693"/>
        <v>9.5370508726757954</v>
      </c>
      <c r="BD1177" s="70">
        <f t="shared" si="694"/>
        <v>1.382733803384903</v>
      </c>
      <c r="BE1177" s="70">
        <f t="shared" si="695"/>
        <v>1</v>
      </c>
      <c r="BF1177" s="70">
        <f t="shared" si="696"/>
        <v>4.2372730844905186</v>
      </c>
      <c r="BG1177" s="70">
        <f t="shared" si="697"/>
        <v>0.28771834061135376</v>
      </c>
      <c r="BH1177" s="67">
        <f>MAX((CE1177-Driver!$F$200)/(Driver!$G$200-Driver!$F$200)*$BI$1,1)</f>
        <v>1.3033579965850883</v>
      </c>
      <c r="BI1177" s="67">
        <f>MAX($BI$1*(BY1177-Driver!$F$201)/(Driver!$G$201-Driver!$F$201),1)</f>
        <v>7.0253164556962027</v>
      </c>
      <c r="BJ1177" s="67">
        <f>(CB1177-Driver!$F$206)/(Driver!$G$206-Driver!$F$206)*$BI$1</f>
        <v>4.92063492063492</v>
      </c>
      <c r="BK1177" s="67">
        <f>(CD1177-Driver!$F$203)/(Driver!$G$203-Driver!$F$203)*$BI$1</f>
        <v>1.6513761467889909</v>
      </c>
      <c r="BL1177" s="67">
        <f>MAX((CR1177-Driver!$F$202)/(Driver!$G$202-Driver!$F$202)*$BI$1,1)</f>
        <v>5.1724137931034484</v>
      </c>
      <c r="BM1177" s="67">
        <f>MAX((CH1177-Driver!$F$204)/(Driver!$G$204-Driver!$F$204)*$BI$1,1)</f>
        <v>1.6666666666666665</v>
      </c>
      <c r="BN1177" s="67">
        <f>(CI1177-Driver!$F$205)/(Driver!$G$205-Driver!$F$205)*$BI$1</f>
        <v>1.8235294117647058</v>
      </c>
      <c r="BO1177" s="67">
        <f>(CK1177-Driver!$F$207)/(Driver!$G$207-Driver!$F$207)*$BI$1</f>
        <v>1.8821096173733196</v>
      </c>
      <c r="BP1177" s="67">
        <f>(CM1177-Driver!$F$208)/(Driver!$G$208-Driver!$F$208)*$BI$1</f>
        <v>0.75555555555555554</v>
      </c>
      <c r="BQ1177" s="67">
        <f>(CL1177-Driver!$F$209)/(Driver!$G$209-Driver!$F$209)*$BI$1</f>
        <v>0.625</v>
      </c>
      <c r="BR1177" s="28" t="s">
        <v>155</v>
      </c>
      <c r="BS1177" s="8" t="s">
        <v>229</v>
      </c>
      <c r="BT1177" s="9" t="s">
        <v>854</v>
      </c>
      <c r="BU1177" s="10">
        <v>156</v>
      </c>
      <c r="BV1177" s="9" t="s">
        <v>163</v>
      </c>
      <c r="BW1177" s="10">
        <v>156</v>
      </c>
      <c r="BX1177" s="10">
        <v>154.69999999999999</v>
      </c>
      <c r="BY1177" s="10">
        <v>119</v>
      </c>
      <c r="BZ1177" s="10">
        <v>133</v>
      </c>
      <c r="CA1177" s="10">
        <v>137</v>
      </c>
      <c r="CB1177" s="10">
        <v>95</v>
      </c>
      <c r="CC1177" s="10">
        <v>118</v>
      </c>
      <c r="CD1177" s="10">
        <v>13</v>
      </c>
      <c r="CE1177" s="10">
        <v>1129</v>
      </c>
      <c r="CF1177" s="10">
        <v>1.48</v>
      </c>
      <c r="CG1177" s="10">
        <v>1672</v>
      </c>
      <c r="CH1177" s="10">
        <v>140</v>
      </c>
      <c r="CI1177" s="10">
        <v>64</v>
      </c>
      <c r="CJ1177" s="10">
        <v>40</v>
      </c>
      <c r="CK1177" s="10">
        <v>292</v>
      </c>
      <c r="CL1177" s="10">
        <v>4</v>
      </c>
      <c r="CM1177" s="10">
        <v>68</v>
      </c>
      <c r="CN1177" s="10">
        <v>0.104</v>
      </c>
      <c r="CO1177" s="10">
        <v>129</v>
      </c>
      <c r="CP1177" s="10">
        <v>88</v>
      </c>
      <c r="CQ1177" s="10">
        <v>163</v>
      </c>
      <c r="CR1177" s="10">
        <v>4</v>
      </c>
      <c r="CS1177" s="10">
        <v>10.3</v>
      </c>
      <c r="CT1177" s="9" t="s">
        <v>185</v>
      </c>
      <c r="CU1177" s="9" t="s">
        <v>198</v>
      </c>
      <c r="CV1177" s="10"/>
      <c r="CW1177" s="10"/>
      <c r="CX1177" t="e">
        <f>INDEX('Data_Price '!AG$2:AG$1266,MATCH(Data!$DN1177,'Data_Price '!$AT$2:$AT$1266,0))</f>
        <v>#N/A</v>
      </c>
      <c r="CY1177" t="e">
        <f>INDEX('Data_Price '!AH$2:AH$1266,MATCH(Data!$DN1177,'Data_Price '!$AT$2:$AT$1266,0))</f>
        <v>#N/A</v>
      </c>
      <c r="CZ1177" t="e">
        <f>INDEX('Data_Price '!AI$2:AI$1266,MATCH(Data!$DN1177,'Data_Price '!$AT$2:$AT$1266,0))</f>
        <v>#N/A</v>
      </c>
      <c r="DA1177" t="e">
        <f>INDEX('Data_Price '!AJ$2:AJ$1266,MATCH(Data!$DN1177,'Data_Price '!$AT$2:$AT$1266,0))</f>
        <v>#N/A</v>
      </c>
      <c r="DB1177" t="e">
        <f>INDEX('Data_Price '!AK$2:AK$1266,MATCH(Data!$DN1177,'Data_Price '!$AT$2:$AT$1266,0))</f>
        <v>#N/A</v>
      </c>
      <c r="DC1177" t="e">
        <f>INDEX('Data_Price '!AL$2:AL$1266,MATCH(Data!$DN1177,'Data_Price '!$AT$2:$AT$1266,0))</f>
        <v>#N/A</v>
      </c>
      <c r="DD1177" t="e">
        <f>INDEX('Data_Price '!AM$2:AM$1266,MATCH(Data!$DN1177,'Data_Price '!$AT$2:$AT$1266,0))</f>
        <v>#N/A</v>
      </c>
      <c r="DE1177" t="e">
        <f>INDEX('Data_Price '!AN$2:AN$1266,MATCH(Data!$DN1177,'Data_Price '!$AT$2:$AT$1266,0))</f>
        <v>#N/A</v>
      </c>
      <c r="DF1177" t="e">
        <f>INDEX('Data_Price '!AO$2:AO$1266,MATCH(Data!$DN1177,'Data_Price '!$AT$2:$AT$1266,0))</f>
        <v>#N/A</v>
      </c>
      <c r="DG1177" t="e">
        <f>INDEX('Data_Price '!AP$2:AP$1266,MATCH(Data!$DN1177,'Data_Price '!$AT$2:$AT$1266,0))</f>
        <v>#N/A</v>
      </c>
      <c r="DH1177" t="e">
        <f>INDEX('Data_Price '!AQ$2:AQ$1266,MATCH(Data!$DN1177,'Data_Price '!$AT$2:$AT$1266,0))</f>
        <v>#N/A</v>
      </c>
      <c r="DI1177" t="e">
        <f>INDEX('Data_Price '!AR$2:AR$1266,MATCH(Data!$DN1177,'Data_Price '!$AT$2:$AT$1266,0))</f>
        <v>#N/A</v>
      </c>
      <c r="DJ1177" s="89" t="e">
        <f t="shared" si="698"/>
        <v>#N/A</v>
      </c>
      <c r="DK1177" s="89" t="e">
        <f t="shared" si="699"/>
        <v>#N/A</v>
      </c>
      <c r="DL1177" s="89" t="e">
        <f t="shared" si="700"/>
        <v>#N/A</v>
      </c>
      <c r="DM1177" s="219" t="str">
        <f t="shared" si="701"/>
        <v>Rise Beyond 96 W</v>
      </c>
      <c r="DN1177" s="89" t="str">
        <f t="shared" si="702"/>
        <v xml:space="preserve"> VölklRise Beyond 96 W156 Women's</v>
      </c>
      <c r="DO1177" s="221"/>
    </row>
    <row r="1178" spans="2:119" ht="15.6" customHeight="1">
      <c r="B1178" s="219" t="b">
        <f t="array" ref="B1178">IF(OR(ISERROR(K1178:P1178)),FALSE,TRUE)</f>
        <v>1</v>
      </c>
      <c r="C1178" s="43" t="b">
        <f>OR(BR1178=Driver!$G$50,Data!BR312=Driver!$H$50)</f>
        <v>1</v>
      </c>
      <c r="D1178" s="43" t="b">
        <f>OR(BV1178=Driver!$G$51,BV1178=Driver!$H$51)</f>
        <v>1</v>
      </c>
      <c r="E1178" s="43" t="b">
        <f>AND(BX1178&gt;Driver!$F$54,BX1178&lt;Driver!$G$54)</f>
        <v>1</v>
      </c>
      <c r="F1178" s="43" t="b">
        <f>CL1178&gt;Driver!$F$56</f>
        <v>1</v>
      </c>
      <c r="G1178" s="43" t="b">
        <f>AND(CB1178&gt;Driver!$F$55,CB1178&lt;Driver!$G$55)</f>
        <v>0</v>
      </c>
      <c r="H1178" s="43" t="b">
        <f t="shared" si="666"/>
        <v>0</v>
      </c>
      <c r="I1178" s="43">
        <f t="shared" si="667"/>
        <v>0</v>
      </c>
      <c r="J1178" s="43" t="b">
        <f t="array" ref="J1178">NOT(OR(($H$9:$H$1273=TRUE)*($I$9:$I$1273&gt;0)*($BT$9:$BT$1273=BT1178)*($K$9:$K$1273&gt;K1178)))</f>
        <v>1</v>
      </c>
      <c r="K1178" s="72">
        <f t="shared" si="668"/>
        <v>0.69499792270251082</v>
      </c>
      <c r="L1178" s="72">
        <f t="shared" si="669"/>
        <v>0.79267447517463574</v>
      </c>
      <c r="M1178" s="72">
        <f t="shared" si="670"/>
        <v>0.5973213702303859</v>
      </c>
      <c r="N1178" s="72">
        <f t="shared" si="671"/>
        <v>0.43748742222190207</v>
      </c>
      <c r="O1178" s="72">
        <f t="shared" si="672"/>
        <v>0.58359061251988842</v>
      </c>
      <c r="P1178" s="72">
        <f t="shared" si="673"/>
        <v>0.7708860759493672</v>
      </c>
      <c r="Q1178" s="72"/>
      <c r="R1178" s="72"/>
      <c r="S1178" s="72">
        <f t="shared" si="674"/>
        <v>0.52370462335699441</v>
      </c>
      <c r="T1178" s="72">
        <f t="shared" si="675"/>
        <v>0.55000000000000004</v>
      </c>
      <c r="U1178" s="72">
        <f t="shared" si="676"/>
        <v>0.51</v>
      </c>
      <c r="V1178" s="72">
        <f t="shared" si="677"/>
        <v>0.49112299654994851</v>
      </c>
      <c r="W1178" s="72">
        <f t="shared" si="678"/>
        <v>0.75998595718201845</v>
      </c>
      <c r="X1178" s="72">
        <f t="shared" si="679"/>
        <v>0.2073255248253642</v>
      </c>
      <c r="Y1178" s="72">
        <f t="shared" si="680"/>
        <v>0.4026786297696141</v>
      </c>
      <c r="Z1178" s="72">
        <f t="shared" si="681"/>
        <v>0.56251257777809793</v>
      </c>
      <c r="AA1178" s="72">
        <f t="shared" si="682"/>
        <v>0.41640938748011153</v>
      </c>
      <c r="AB1178" s="72">
        <f t="shared" si="683"/>
        <v>0.2291139240506328</v>
      </c>
      <c r="AC1178" s="72"/>
      <c r="AD1178" s="72"/>
      <c r="AE1178" s="72">
        <f t="shared" si="684"/>
        <v>0.47629537664300559</v>
      </c>
      <c r="AF1178" s="72">
        <f t="shared" si="685"/>
        <v>0.44999999999999996</v>
      </c>
      <c r="AG1178" s="72">
        <f t="shared" si="686"/>
        <v>0.49</v>
      </c>
      <c r="AH1178" s="72">
        <f t="shared" si="687"/>
        <v>0.50887700345005149</v>
      </c>
      <c r="AI1178" s="72">
        <f t="shared" si="688"/>
        <v>0.24001404281798153</v>
      </c>
      <c r="AJ1178" s="72">
        <f>(AV1178-Driver!$K$179)/(Driver!$L$179-Driver!$K$179)</f>
        <v>4.6893884457336228E-2</v>
      </c>
      <c r="AK1178" s="72">
        <f>(AW1178-Driver!$K$180)/(Driver!$L$180-Driver!$K$180)</f>
        <v>0.50477161672253412</v>
      </c>
      <c r="AL1178" s="72">
        <f>(AX1178-Driver!$K$181)/(Driver!$L$181-Driver!$K$181)</f>
        <v>0.66420034149117813</v>
      </c>
      <c r="AM1178" s="72">
        <f>(AY1178-Driver!$K$182)/(Driver!$L$182-Driver!$K$182)</f>
        <v>3.0975633616934835E-2</v>
      </c>
      <c r="AN1178" s="72">
        <f>(AZ1178-Driver!$K$183)/(Driver!$L$183-Driver!$K$183)</f>
        <v>0.48333333333333323</v>
      </c>
      <c r="AO1178" s="72"/>
      <c r="AP1178" s="72"/>
      <c r="AQ1178" s="72">
        <f>(BC1178-Driver!$K$188)/(Driver!$L$188-Driver!$K$188)</f>
        <v>0.14370462335699438</v>
      </c>
      <c r="AR1178" s="72">
        <f>MIN((BD1178-Driver!$K$189)/(Driver!$L$189-Driver!$K$189),100%)</f>
        <v>1</v>
      </c>
      <c r="AS1178" s="72">
        <f>(BE1178-Driver!$K$190)/(Driver!$L$190-Driver!$K$190)</f>
        <v>1</v>
      </c>
      <c r="AT1178" s="72">
        <f>(BF1178-Driver!$K$191)/(Driver!$L$191-Driver!$K$191)</f>
        <v>1.1229965499484852E-3</v>
      </c>
      <c r="AU1178" s="72">
        <f>(BG1178-Driver!$K$192)/(Driver!$L$192-Driver!$K$192)</f>
        <v>9.9859571820184647E-3</v>
      </c>
      <c r="AV1178" s="70">
        <f t="shared" si="689"/>
        <v>0.98697598697598699</v>
      </c>
      <c r="AW1178" s="70">
        <f t="shared" si="690"/>
        <v>51.066359402597172</v>
      </c>
      <c r="AX1178" s="70">
        <f t="shared" si="691"/>
        <v>6.9778030734206027</v>
      </c>
      <c r="AY1178" s="70">
        <f>IFERROR(Driver!$K$19/Data!BH1178/Data!BI1178*Data!BK1178*Data!BL1178,"")</f>
        <v>3.7923417784174587E-2</v>
      </c>
      <c r="AZ1178" s="70">
        <f t="shared" si="692"/>
        <v>44.050632911392398</v>
      </c>
      <c r="BA1178" s="70"/>
      <c r="BB1178" s="70"/>
      <c r="BC1178" s="70">
        <f t="shared" si="693"/>
        <v>74.540587153606907</v>
      </c>
      <c r="BD1178" s="70">
        <f t="shared" si="694"/>
        <v>126.83814305603015</v>
      </c>
      <c r="BE1178" s="70">
        <f t="shared" si="695"/>
        <v>1</v>
      </c>
      <c r="BF1178" s="70">
        <f t="shared" si="696"/>
        <v>0.12683457081940358</v>
      </c>
      <c r="BG1178" s="70">
        <f t="shared" si="697"/>
        <v>3.7813204243117335E-2</v>
      </c>
      <c r="BH1178" s="67">
        <f>MAX((CE1178-Driver!$F$200)/(Driver!$G$200-Driver!$F$200)*$BI$1,1)</f>
        <v>6.9778030734206027</v>
      </c>
      <c r="BI1178" s="67">
        <f>MAX($BI$1*(BY1178-Driver!$F$201)/(Driver!$G$201-Driver!$F$201),1)</f>
        <v>8.6075949367088604</v>
      </c>
      <c r="BJ1178" s="67">
        <f>(CB1178-Driver!$F$206)/(Driver!$G$206-Driver!$F$206)*$BI$1</f>
        <v>0.95238095238095233</v>
      </c>
      <c r="BK1178" s="67">
        <f>(CD1178-Driver!$F$203)/(Driver!$G$203-Driver!$F$203)*$BI$1</f>
        <v>1.6513761467889909</v>
      </c>
      <c r="BL1178" s="67">
        <f>MAX((CR1178-Driver!$F$202)/(Driver!$G$202-Driver!$F$202)*$BI$1,1)</f>
        <v>6.8965517241379315</v>
      </c>
      <c r="BM1178" s="67">
        <f>MAX((CH1178-Driver!$F$204)/(Driver!$G$204-Driver!$F$204)*$BI$1,1)</f>
        <v>4.1452991452991457</v>
      </c>
      <c r="BN1178" s="67">
        <f>(CI1178-Driver!$F$205)/(Driver!$G$205-Driver!$F$205)*$BI$1</f>
        <v>5.117647058823529</v>
      </c>
      <c r="BO1178" s="67">
        <f>(CK1178-Driver!$F$207)/(Driver!$G$207-Driver!$F$207)*$BI$1</f>
        <v>0.34126163391933811</v>
      </c>
      <c r="BP1178" s="67">
        <f>(CM1178-Driver!$F$208)/(Driver!$G$208-Driver!$F$208)*$BI$1</f>
        <v>0.64444444444444438</v>
      </c>
      <c r="BQ1178" s="67">
        <f>(CL1178-Driver!$F$209)/(Driver!$G$209-Driver!$F$209)*$BI$1</f>
        <v>1.09375</v>
      </c>
      <c r="BR1178" s="28" t="s">
        <v>155</v>
      </c>
      <c r="BS1178" s="8" t="s">
        <v>317</v>
      </c>
      <c r="BT1178" s="9" t="s">
        <v>851</v>
      </c>
      <c r="BU1178" s="10">
        <v>165</v>
      </c>
      <c r="BV1178" s="9" t="s">
        <v>158</v>
      </c>
      <c r="BW1178" s="10">
        <v>165</v>
      </c>
      <c r="BX1178" s="10">
        <v>163.69999999999999</v>
      </c>
      <c r="BY1178" s="10">
        <v>144</v>
      </c>
      <c r="BZ1178" s="10">
        <v>151</v>
      </c>
      <c r="CA1178" s="10">
        <v>122</v>
      </c>
      <c r="CB1178" s="10">
        <v>70</v>
      </c>
      <c r="CC1178" s="10">
        <v>105</v>
      </c>
      <c r="CD1178" s="10">
        <v>13</v>
      </c>
      <c r="CE1178" s="10">
        <v>2126</v>
      </c>
      <c r="CF1178" s="10">
        <v>0.67</v>
      </c>
      <c r="CG1178" s="10">
        <v>1415</v>
      </c>
      <c r="CH1178" s="10">
        <v>198</v>
      </c>
      <c r="CI1178" s="10">
        <v>120</v>
      </c>
      <c r="CJ1178" s="10">
        <v>43</v>
      </c>
      <c r="CK1178" s="10">
        <v>143</v>
      </c>
      <c r="CL1178" s="10">
        <v>7</v>
      </c>
      <c r="CM1178" s="10">
        <v>58</v>
      </c>
      <c r="CN1178" s="10">
        <v>0.16400000000000001</v>
      </c>
      <c r="CO1178" s="10">
        <v>68</v>
      </c>
      <c r="CP1178" s="10">
        <v>57</v>
      </c>
      <c r="CQ1178" s="10">
        <v>76</v>
      </c>
      <c r="CR1178" s="10">
        <v>9</v>
      </c>
      <c r="CS1178" s="10">
        <v>11.9</v>
      </c>
      <c r="CT1178" s="9" t="s">
        <v>349</v>
      </c>
      <c r="CU1178" s="10"/>
      <c r="CV1178" s="10"/>
      <c r="CW1178" s="10"/>
      <c r="CX1178" t="str">
        <f>INDEX('Data_Price '!AG$2:AG$1266,MATCH(Data!$DN1178,'Data_Price '!$AT$2:$AT$1266,0))</f>
        <v>Blizzard Thunderbird Sport CA Skis w/ TPC 11 Bindings</v>
      </c>
      <c r="CY1178" t="str">
        <f>INDEX('Data_Price '!AH$2:AH$1266,MATCH(Data!$DN1178,'Data_Price '!$AT$2:$AT$1266,0))</f>
        <v>Ski World</v>
      </c>
      <c r="CZ1178">
        <f>INDEX('Data_Price '!AI$2:AI$1266,MATCH(Data!$DN1178,'Data_Price '!$AT$2:$AT$1266,0))</f>
        <v>599.95000000000005</v>
      </c>
      <c r="DA1178" t="str">
        <f>INDEX('Data_Price '!AJ$2:AJ$1266,MATCH(Data!$DN1178,'Data_Price '!$AT$2:$AT$1266,0))</f>
        <v>https://tinyurl.com/y92ezzb6</v>
      </c>
      <c r="DB1178" t="str">
        <f>INDEX('Data_Price '!AK$2:AK$1266,MATCH(Data!$DN1178,'Data_Price '!$AT$2:$AT$1266,0))</f>
        <v>Blizzard Phoenix R13 CA Skis TPC 11 Demo Bindings Womens 2022</v>
      </c>
      <c r="DC1178" t="str">
        <f>INDEX('Data_Price '!AL$2:AL$1266,MATCH(Data!$DN1178,'Data_Price '!$AT$2:$AT$1266,0))</f>
        <v>BlueZone Sports</v>
      </c>
      <c r="DD1178">
        <f>INDEX('Data_Price '!AM$2:AM$1266,MATCH(Data!$DN1178,'Data_Price '!$AT$2:$AT$1266,0))</f>
        <v>599.95000000000005</v>
      </c>
      <c r="DE1178" t="str">
        <f>INDEX('Data_Price '!AN$2:AN$1266,MATCH(Data!$DN1178,'Data_Price '!$AT$2:$AT$1266,0))</f>
        <v>https://tinyurl.com/y7ns92gp</v>
      </c>
      <c r="DF1178" t="str">
        <f>INDEX('Data_Price '!AO$2:AO$1266,MATCH(Data!$DN1178,'Data_Price '!$AT$2:$AT$1266,0))</f>
        <v>Blizzard Thunderbird Sport CA Skis w/ TPC 11 Bindings</v>
      </c>
      <c r="DG1178" t="str">
        <f>INDEX('Data_Price '!AP$2:AP$1266,MATCH(Data!$DN1178,'Data_Price '!$AT$2:$AT$1266,0))</f>
        <v>The-House.com</v>
      </c>
      <c r="DH1178">
        <f>INDEX('Data_Price '!AQ$2:AQ$1266,MATCH(Data!$DN1178,'Data_Price '!$AT$2:$AT$1266,0))</f>
        <v>599.95000000000005</v>
      </c>
      <c r="DI1178" t="str">
        <f>INDEX('Data_Price '!AR$2:AR$1266,MATCH(Data!$DN1178,'Data_Price '!$AT$2:$AT$1266,0))</f>
        <v>https://tinyurl.com/y7tsawzz</v>
      </c>
      <c r="DJ1178" s="89" t="str">
        <f t="shared" si="698"/>
        <v>https://tinyurl.com/y92ezzb6</v>
      </c>
      <c r="DK1178" s="89" t="str">
        <f t="shared" si="699"/>
        <v>https://tinyurl.com/y7ns92gp</v>
      </c>
      <c r="DL1178" s="89" t="str">
        <f t="shared" si="700"/>
        <v>https://tinyurl.com/y7tsawzz</v>
      </c>
      <c r="DM1178" s="219" t="str">
        <f t="shared" si="701"/>
        <v>Thunderbird R13</v>
      </c>
      <c r="DN1178" s="89" t="str">
        <f t="shared" si="702"/>
        <v xml:space="preserve"> BlizzardThunderbird R13165 Unisex</v>
      </c>
      <c r="DO1178" s="221"/>
    </row>
    <row r="1179" spans="2:119" ht="15.6" customHeight="1">
      <c r="B1179" s="219" t="b">
        <f t="array" ref="B1179">IF(OR(ISERROR(K1179:P1179)),FALSE,TRUE)</f>
        <v>1</v>
      </c>
      <c r="C1179" s="43" t="b">
        <f>OR(BR1179=Driver!$G$50,Data!BR49=Driver!$H$50)</f>
        <v>1</v>
      </c>
      <c r="D1179" s="43" t="b">
        <f>OR(BV1179=Driver!$G$51,BV1179=Driver!$H$51)</f>
        <v>0</v>
      </c>
      <c r="E1179" s="43" t="b">
        <f>AND(BX1179&gt;Driver!$F$54,BX1179&lt;Driver!$G$54)</f>
        <v>0</v>
      </c>
      <c r="F1179" s="43" t="b">
        <f>CL1179&gt;Driver!$F$56</f>
        <v>1</v>
      </c>
      <c r="G1179" s="43" t="b">
        <f>AND(CB1179&gt;Driver!$F$55,CB1179&lt;Driver!$G$55)</f>
        <v>0</v>
      </c>
      <c r="H1179" s="43" t="b">
        <f t="shared" si="666"/>
        <v>0</v>
      </c>
      <c r="I1179" s="43">
        <f t="shared" si="667"/>
        <v>0</v>
      </c>
      <c r="J1179" s="43" t="b">
        <f t="array" ref="J1179">NOT(OR(($H$9:$H$1273=TRUE)*($I$9:$I$1273&gt;0)*($BT$9:$BT$1273=BT1179)*($K$9:$K$1273&gt;K1179)))</f>
        <v>1</v>
      </c>
      <c r="K1179" s="72">
        <f t="shared" si="668"/>
        <v>0.7744249156223143</v>
      </c>
      <c r="L1179" s="72">
        <f t="shared" si="669"/>
        <v>0.78348907512629162</v>
      </c>
      <c r="M1179" s="72">
        <f t="shared" si="670"/>
        <v>0.76536075611833709</v>
      </c>
      <c r="N1179" s="72">
        <f t="shared" si="671"/>
        <v>0.92189898233067336</v>
      </c>
      <c r="O1179" s="72">
        <f t="shared" si="672"/>
        <v>0.58796151883645009</v>
      </c>
      <c r="P1179" s="72">
        <f t="shared" si="673"/>
        <v>0.78622176718788783</v>
      </c>
      <c r="Q1179" s="72"/>
      <c r="R1179" s="72"/>
      <c r="S1179" s="72">
        <f t="shared" si="674"/>
        <v>0.38219526597904285</v>
      </c>
      <c r="T1179" s="72">
        <f t="shared" si="675"/>
        <v>0.52979561885030435</v>
      </c>
      <c r="U1179" s="72">
        <f t="shared" si="676"/>
        <v>0.6165959773210139</v>
      </c>
      <c r="V1179" s="72">
        <f t="shared" si="677"/>
        <v>0.64161040151864612</v>
      </c>
      <c r="W1179" s="72">
        <f t="shared" si="678"/>
        <v>0.66684782608695647</v>
      </c>
      <c r="X1179" s="72">
        <f t="shared" si="679"/>
        <v>0.2165109248737084</v>
      </c>
      <c r="Y1179" s="72">
        <f t="shared" si="680"/>
        <v>0.23463924388166293</v>
      </c>
      <c r="Z1179" s="72">
        <f t="shared" si="681"/>
        <v>7.8101017669326686E-2</v>
      </c>
      <c r="AA1179" s="72">
        <f t="shared" si="682"/>
        <v>0.41203848116354991</v>
      </c>
      <c r="AB1179" s="72">
        <f t="shared" si="683"/>
        <v>0.2137782328121122</v>
      </c>
      <c r="AC1179" s="72"/>
      <c r="AD1179" s="72"/>
      <c r="AE1179" s="72">
        <f t="shared" si="684"/>
        <v>0.61780473402095715</v>
      </c>
      <c r="AF1179" s="72">
        <f t="shared" si="685"/>
        <v>0.47020438114969565</v>
      </c>
      <c r="AG1179" s="72">
        <f t="shared" si="686"/>
        <v>0.3834040226789861</v>
      </c>
      <c r="AH1179" s="72">
        <f t="shared" si="687"/>
        <v>0.35838959848135388</v>
      </c>
      <c r="AI1179" s="72">
        <f t="shared" si="688"/>
        <v>0.33315217391304353</v>
      </c>
      <c r="AJ1179" s="72">
        <f>(AV1179-Driver!$K$179)/(Driver!$L$179-Driver!$K$179)</f>
        <v>3.7708484408992021E-2</v>
      </c>
      <c r="AK1179" s="72">
        <f>(AW1179-Driver!$K$180)/(Driver!$L$180-Driver!$K$180)</f>
        <v>4.5919469913473995E-2</v>
      </c>
      <c r="AL1179" s="72">
        <f>(AX1179-Driver!$K$181)/(Driver!$L$181-Driver!$K$181)</f>
        <v>0.17978878138240686</v>
      </c>
      <c r="AM1179" s="72">
        <f>(AY1179-Driver!$K$182)/(Driver!$L$182-Driver!$K$182)</f>
        <v>3.5346539933496429E-2</v>
      </c>
      <c r="AN1179" s="72">
        <f>(AZ1179-Driver!$K$183)/(Driver!$L$183-Driver!$K$183)</f>
        <v>4.0441176470588237E-2</v>
      </c>
      <c r="AO1179" s="72"/>
      <c r="AP1179" s="72"/>
      <c r="AQ1179" s="72">
        <f>(BC1179-Driver!$K$188)/(Driver!$L$188-Driver!$K$188)</f>
        <v>2.1952659790428642E-3</v>
      </c>
      <c r="AR1179" s="72">
        <f>MIN((BD1179-Driver!$K$189)/(Driver!$L$189-Driver!$K$189),100%)</f>
        <v>7.9795618850304395E-2</v>
      </c>
      <c r="AS1179" s="72">
        <f>(BE1179-Driver!$K$190)/(Driver!$L$190-Driver!$K$190)</f>
        <v>0.12659597732101394</v>
      </c>
      <c r="AT1179" s="72">
        <f>(BF1179-Driver!$K$191)/(Driver!$L$191-Driver!$K$191)</f>
        <v>0.15161040151864616</v>
      </c>
      <c r="AU1179" s="72">
        <f>(BG1179-Driver!$K$192)/(Driver!$L$192-Driver!$K$192)</f>
        <v>0.58315217391304353</v>
      </c>
      <c r="AV1179" s="70">
        <f t="shared" si="689"/>
        <v>0.79365079365079361</v>
      </c>
      <c r="AW1179" s="70">
        <f t="shared" si="690"/>
        <v>6.347151852421721</v>
      </c>
      <c r="AX1179" s="70">
        <f t="shared" si="691"/>
        <v>2.6180990324416618</v>
      </c>
      <c r="AY1179" s="70">
        <f>IFERROR(Driver!$K$19/Data!BH1179/Data!BI1179*Data!BK1179*Data!BL1179,"")</f>
        <v>4.3274711268219086E-2</v>
      </c>
      <c r="AZ1179" s="70">
        <f t="shared" si="692"/>
        <v>3.6857781087118395</v>
      </c>
      <c r="BA1179" s="70"/>
      <c r="BB1179" s="70"/>
      <c r="BC1179" s="70">
        <f t="shared" si="693"/>
        <v>1.138699724571028</v>
      </c>
      <c r="BD1179" s="70">
        <f t="shared" si="694"/>
        <v>8.7825937628795181</v>
      </c>
      <c r="BE1179" s="70">
        <f t="shared" si="695"/>
        <v>0.12675178276807883</v>
      </c>
      <c r="BF1179" s="70">
        <f t="shared" si="696"/>
        <v>17.123329728178636</v>
      </c>
      <c r="BG1179" s="70">
        <f t="shared" si="697"/>
        <v>2.2081861413043482</v>
      </c>
      <c r="BH1179" s="67">
        <f>MAX((CE1179-Driver!$F$200)/(Driver!$G$200-Driver!$F$200)*$BI$1,1)</f>
        <v>2.6180990324416618</v>
      </c>
      <c r="BI1179" s="67">
        <f>MAX($BI$1*(BY1179-Driver!$F$201)/(Driver!$G$201-Driver!$F$201),1)</f>
        <v>5.6962025316455698</v>
      </c>
      <c r="BJ1179" s="67">
        <f>(CB1179-Driver!$F$206)/(Driver!$G$206-Driver!$F$206)*$BI$1</f>
        <v>3.1746031746031744</v>
      </c>
      <c r="BK1179" s="67">
        <f>(CD1179-Driver!$F$203)/(Driver!$G$203-Driver!$F$203)*$BI$1</f>
        <v>0.55045871559633008</v>
      </c>
      <c r="BL1179" s="67">
        <f>MAX((CR1179-Driver!$F$202)/(Driver!$G$202-Driver!$F$202)*$BI$1,1)</f>
        <v>5.8620689655172411</v>
      </c>
      <c r="BM1179" s="67">
        <f>MAX((CH1179-Driver!$F$204)/(Driver!$G$204-Driver!$F$204)*$BI$1,1)</f>
        <v>1</v>
      </c>
      <c r="BN1179" s="67">
        <f>(CI1179-Driver!$F$205)/(Driver!$G$205-Driver!$F$205)*$BI$1</f>
        <v>0.6470588235294118</v>
      </c>
      <c r="BO1179" s="67">
        <f>(CK1179-Driver!$F$207)/(Driver!$G$207-Driver!$F$207)*$BI$1</f>
        <v>1.4064115822130299</v>
      </c>
      <c r="BP1179" s="67">
        <f>(CM1179-Driver!$F$208)/(Driver!$G$208-Driver!$F$208)*$BI$1</f>
        <v>2.1111111111111112</v>
      </c>
      <c r="BQ1179" s="67">
        <f>(CL1179-Driver!$F$209)/(Driver!$G$209-Driver!$F$209)*$BI$1</f>
        <v>5.78125</v>
      </c>
      <c r="BR1179" s="28" t="s">
        <v>155</v>
      </c>
      <c r="BS1179" s="8" t="s">
        <v>182</v>
      </c>
      <c r="BT1179" s="9" t="s">
        <v>721</v>
      </c>
      <c r="BU1179" s="10">
        <v>143</v>
      </c>
      <c r="BV1179" s="9" t="s">
        <v>163</v>
      </c>
      <c r="BW1179" s="10">
        <v>143</v>
      </c>
      <c r="BX1179" s="10">
        <v>141.19999999999999</v>
      </c>
      <c r="BY1179" s="10">
        <v>98</v>
      </c>
      <c r="BZ1179" s="10">
        <v>116</v>
      </c>
      <c r="CA1179" s="10">
        <v>116</v>
      </c>
      <c r="CB1179" s="10">
        <v>84</v>
      </c>
      <c r="CC1179" s="10">
        <v>108</v>
      </c>
      <c r="CD1179" s="10">
        <v>10.6</v>
      </c>
      <c r="CE1179" s="10">
        <v>1360</v>
      </c>
      <c r="CF1179" s="10">
        <v>0.99</v>
      </c>
      <c r="CG1179" s="10">
        <v>1347</v>
      </c>
      <c r="CH1179" s="10">
        <v>101</v>
      </c>
      <c r="CI1179" s="10">
        <v>44</v>
      </c>
      <c r="CJ1179" s="10">
        <v>49</v>
      </c>
      <c r="CK1179" s="10">
        <v>246</v>
      </c>
      <c r="CL1179" s="10">
        <v>37</v>
      </c>
      <c r="CM1179" s="10">
        <v>190</v>
      </c>
      <c r="CN1179" s="10">
        <v>0.76200000000000001</v>
      </c>
      <c r="CO1179" s="10">
        <v>133</v>
      </c>
      <c r="CP1179" s="10">
        <v>118</v>
      </c>
      <c r="CQ1179" s="10">
        <v>113</v>
      </c>
      <c r="CR1179" s="10">
        <v>6</v>
      </c>
      <c r="CS1179" s="10">
        <v>5.9</v>
      </c>
      <c r="CT1179" s="9" t="s">
        <v>188</v>
      </c>
      <c r="CU1179" s="10"/>
      <c r="CV1179" s="10"/>
      <c r="CW1179" s="10"/>
      <c r="CX1179" t="str">
        <f>INDEX('Data_Price '!AG$2:AG$1266,MATCH(Data!$DN1179,'Data_Price '!$AT$2:$AT$1266,0))</f>
        <v>Armada ARW 84 Skis 2022</v>
      </c>
      <c r="CY1179" t="str">
        <f>INDEX('Data_Price '!AH$2:AH$1266,MATCH(Data!$DN1179,'Data_Price '!$AT$2:$AT$1266,0))</f>
        <v>Fox Chapel Ski and Board</v>
      </c>
      <c r="CZ1179">
        <f>INDEX('Data_Price '!AI$2:AI$1266,MATCH(Data!$DN1179,'Data_Price '!$AT$2:$AT$1266,0))</f>
        <v>269.97000000000003</v>
      </c>
      <c r="DA1179" t="str">
        <f>INDEX('Data_Price '!AJ$2:AJ$1266,MATCH(Data!$DN1179,'Data_Price '!$AT$2:$AT$1266,0))</f>
        <v>https://tinyurl.com/y9e427td</v>
      </c>
      <c r="DB1179" t="str">
        <f>INDEX('Data_Price '!AK$2:AK$1266,MATCH(Data!$DN1179,'Data_Price '!$AT$2:$AT$1266,0))</f>
        <v>Armada ARW 84 Skis 2022</v>
      </c>
      <c r="DC1179" t="str">
        <f>INDEX('Data_Price '!AL$2:AL$1266,MATCH(Data!$DN1179,'Data_Price '!$AT$2:$AT$1266,0))</f>
        <v>sunandski.com</v>
      </c>
      <c r="DD1179">
        <f>INDEX('Data_Price '!AM$2:AM$1266,MATCH(Data!$DN1179,'Data_Price '!$AT$2:$AT$1266,0))</f>
        <v>279.93</v>
      </c>
      <c r="DE1179" t="str">
        <f>INDEX('Data_Price '!AN$2:AN$1266,MATCH(Data!$DN1179,'Data_Price '!$AT$2:$AT$1266,0))</f>
        <v>https://tinyurl.com/ycy9k8xs</v>
      </c>
      <c r="DF1179" t="str">
        <f>INDEX('Data_Price '!AO$2:AO$1266,MATCH(Data!$DN1179,'Data_Price '!$AT$2:$AT$1266,0))</f>
        <v>Armada ARW 84 Skis 2022</v>
      </c>
      <c r="DG1179" t="str">
        <f>INDEX('Data_Price '!AP$2:AP$1266,MATCH(Data!$DN1179,'Data_Price '!$AT$2:$AT$1266,0))</f>
        <v>BlueZone Sports</v>
      </c>
      <c r="DH1179">
        <f>INDEX('Data_Price '!AQ$2:AQ$1266,MATCH(Data!$DN1179,'Data_Price '!$AT$2:$AT$1266,0))</f>
        <v>349.95</v>
      </c>
      <c r="DI1179" t="str">
        <f>INDEX('Data_Price '!AR$2:AR$1266,MATCH(Data!$DN1179,'Data_Price '!$AT$2:$AT$1266,0))</f>
        <v>https://tinyurl.com/ydceospq</v>
      </c>
      <c r="DJ1179" s="89" t="str">
        <f t="shared" si="698"/>
        <v>https://tinyurl.com/y9e427td</v>
      </c>
      <c r="DK1179" s="89" t="str">
        <f t="shared" si="699"/>
        <v>https://tinyurl.com/ycy9k8xs</v>
      </c>
      <c r="DL1179" s="89" t="str">
        <f t="shared" si="700"/>
        <v>https://tinyurl.com/ydceospq</v>
      </c>
      <c r="DM1179" s="219" t="str">
        <f t="shared" si="701"/>
        <v>ARW 84</v>
      </c>
      <c r="DN1179" s="89" t="str">
        <f t="shared" si="702"/>
        <v xml:space="preserve"> ArmadaARW 84143 Women's</v>
      </c>
      <c r="DO1179" s="221" t="s">
        <v>722</v>
      </c>
    </row>
    <row r="1180" spans="2:119" ht="15.6" customHeight="1">
      <c r="B1180" s="219" t="b">
        <f t="array" ref="B1180">IF(OR(ISERROR(K1180:P1180)),FALSE,TRUE)</f>
        <v>1</v>
      </c>
      <c r="C1180" s="43" t="b">
        <f>OR(BR1180=Driver!$G$50,Data!BR784=Driver!$H$50)</f>
        <v>1</v>
      </c>
      <c r="D1180" s="43" t="b">
        <f>OR(BV1180=Driver!$G$51,BV1180=Driver!$H$51)</f>
        <v>0</v>
      </c>
      <c r="E1180" s="43" t="b">
        <f>AND(BX1180&gt;Driver!$F$54,BX1180&lt;Driver!$G$54)</f>
        <v>1</v>
      </c>
      <c r="F1180" s="43" t="b">
        <f>CL1180&gt;Driver!$F$56</f>
        <v>1</v>
      </c>
      <c r="G1180" s="43" t="b">
        <f>AND(CB1180&gt;Driver!$F$55,CB1180&lt;Driver!$G$55)</f>
        <v>0</v>
      </c>
      <c r="H1180" s="43" t="b">
        <f t="shared" si="666"/>
        <v>0</v>
      </c>
      <c r="I1180" s="43">
        <f t="shared" si="667"/>
        <v>0</v>
      </c>
      <c r="J1180" s="43" t="b">
        <f t="array" ref="J1180">NOT(OR(($H$9:$H$1273=TRUE)*($I$9:$I$1273&gt;0)*($BT$9:$BT$1273=BT1180)*($K$9:$K$1273&gt;K1180)))</f>
        <v>1</v>
      </c>
      <c r="K1180" s="72">
        <f t="shared" si="668"/>
        <v>0.85478253003876981</v>
      </c>
      <c r="L1180" s="72">
        <f t="shared" si="669"/>
        <v>0.8107229805327858</v>
      </c>
      <c r="M1180" s="72">
        <f t="shared" si="670"/>
        <v>0.89884207954475381</v>
      </c>
      <c r="N1180" s="72">
        <f t="shared" si="671"/>
        <v>0.9320186803519297</v>
      </c>
      <c r="O1180" s="72">
        <f t="shared" si="672"/>
        <v>0.91284461462385558</v>
      </c>
      <c r="P1180" s="72">
        <f t="shared" si="673"/>
        <v>0.85166294365847606</v>
      </c>
      <c r="Q1180" s="72"/>
      <c r="R1180" s="72"/>
      <c r="S1180" s="72">
        <f t="shared" si="674"/>
        <v>0.40654537990945483</v>
      </c>
      <c r="T1180" s="72">
        <f t="shared" si="675"/>
        <v>0.43707678285962859</v>
      </c>
      <c r="U1180" s="72">
        <f t="shared" si="676"/>
        <v>0.51</v>
      </c>
      <c r="V1180" s="72">
        <f t="shared" si="677"/>
        <v>0.52325658544040576</v>
      </c>
      <c r="W1180" s="72">
        <f t="shared" si="678"/>
        <v>0.94945414847161569</v>
      </c>
      <c r="X1180" s="72">
        <f t="shared" si="679"/>
        <v>0.18927701946721417</v>
      </c>
      <c r="Y1180" s="72">
        <f t="shared" si="680"/>
        <v>0.10115792045524623</v>
      </c>
      <c r="Z1180" s="72">
        <f t="shared" si="681"/>
        <v>6.798131964807036E-2</v>
      </c>
      <c r="AA1180" s="72">
        <f t="shared" si="682"/>
        <v>8.7155385376144368E-2</v>
      </c>
      <c r="AB1180" s="72">
        <f t="shared" si="683"/>
        <v>0.14833705634152397</v>
      </c>
      <c r="AC1180" s="72"/>
      <c r="AD1180" s="72"/>
      <c r="AE1180" s="72">
        <f t="shared" si="684"/>
        <v>0.59345462009054517</v>
      </c>
      <c r="AF1180" s="72">
        <f t="shared" si="685"/>
        <v>0.56292321714037141</v>
      </c>
      <c r="AG1180" s="72">
        <f t="shared" si="686"/>
        <v>0.49</v>
      </c>
      <c r="AH1180" s="72">
        <f t="shared" si="687"/>
        <v>0.47674341455959424</v>
      </c>
      <c r="AI1180" s="72">
        <f t="shared" si="688"/>
        <v>5.0545851528384339E-2</v>
      </c>
      <c r="AJ1180" s="72">
        <f>(AV1180-Driver!$K$179)/(Driver!$L$179-Driver!$K$179)</f>
        <v>6.4942389815486251E-2</v>
      </c>
      <c r="AK1180" s="72">
        <f>(AW1180-Driver!$K$180)/(Driver!$L$180-Driver!$K$180)</f>
        <v>9.7708213223569554E-2</v>
      </c>
      <c r="AL1180" s="72">
        <f>(AX1180-Driver!$K$181)/(Driver!$L$181-Driver!$K$181)</f>
        <v>3.3706444065009812E-2</v>
      </c>
      <c r="AM1180" s="72">
        <f>(AY1180-Driver!$K$182)/(Driver!$L$182-Driver!$K$182)</f>
        <v>0.360229635720902</v>
      </c>
      <c r="AN1180" s="72">
        <f>(AZ1180-Driver!$K$183)/(Driver!$L$183-Driver!$K$183)</f>
        <v>0.10588235294117646</v>
      </c>
      <c r="AO1180" s="72"/>
      <c r="AP1180" s="72"/>
      <c r="AQ1180" s="72">
        <f>(BC1180-Driver!$K$188)/(Driver!$L$188-Driver!$K$188)</f>
        <v>2.6545379909454866E-2</v>
      </c>
      <c r="AR1180" s="72">
        <f>MIN((BD1180-Driver!$K$189)/(Driver!$L$189-Driver!$K$189),100%)</f>
        <v>-1.292321714037134E-2</v>
      </c>
      <c r="AS1180" s="72">
        <f>(BE1180-Driver!$K$190)/(Driver!$L$190-Driver!$K$190)</f>
        <v>1</v>
      </c>
      <c r="AT1180" s="72">
        <f>(BF1180-Driver!$K$191)/(Driver!$L$191-Driver!$K$191)</f>
        <v>3.3256585440405745E-2</v>
      </c>
      <c r="AU1180" s="72">
        <f>(BG1180-Driver!$K$192)/(Driver!$L$192-Driver!$K$192)</f>
        <v>0.19945414847161566</v>
      </c>
      <c r="AV1180" s="70">
        <f t="shared" si="689"/>
        <v>1.3668430335097002</v>
      </c>
      <c r="AW1180" s="70">
        <f t="shared" si="690"/>
        <v>11.394423782938915</v>
      </c>
      <c r="AX1180" s="70">
        <f t="shared" si="691"/>
        <v>1.3033579965850883</v>
      </c>
      <c r="AY1180" s="70">
        <f>IFERROR(Driver!$K$19/Data!BH1180/Data!BI1180*Data!BK1180*Data!BL1180,"")</f>
        <v>0.44102855627192211</v>
      </c>
      <c r="AZ1180" s="70">
        <f t="shared" si="692"/>
        <v>9.6500372300819048</v>
      </c>
      <c r="BA1180" s="70"/>
      <c r="BB1180" s="70"/>
      <c r="BC1180" s="70">
        <f t="shared" si="693"/>
        <v>13.769273099521461</v>
      </c>
      <c r="BD1180" s="70">
        <f t="shared" si="694"/>
        <v>0.57714106576065538</v>
      </c>
      <c r="BE1180" s="70">
        <f t="shared" si="695"/>
        <v>1</v>
      </c>
      <c r="BF1180" s="70">
        <f t="shared" si="696"/>
        <v>3.7560976847579659</v>
      </c>
      <c r="BG1180" s="70">
        <f t="shared" si="697"/>
        <v>0.75526064410480331</v>
      </c>
      <c r="BH1180" s="67">
        <f>MAX((CE1180-Driver!$F$200)/(Driver!$G$200-Driver!$F$200)*$BI$1,1)</f>
        <v>1.3033579965850883</v>
      </c>
      <c r="BI1180" s="67">
        <f>MAX($BI$1*(BY1180-Driver!$F$201)/(Driver!$G$201-Driver!$F$201),1)</f>
        <v>6.8354430379746836</v>
      </c>
      <c r="BJ1180" s="67">
        <f>(CB1180-Driver!$F$206)/(Driver!$G$206-Driver!$F$206)*$BI$1</f>
        <v>4.92063492063492</v>
      </c>
      <c r="BK1180" s="67">
        <f>(CD1180-Driver!$F$203)/(Driver!$G$203-Driver!$F$203)*$BI$1</f>
        <v>3.1651376146788994</v>
      </c>
      <c r="BL1180" s="67">
        <f>MAX((CR1180-Driver!$F$202)/(Driver!$G$202-Driver!$F$202)*$BI$1,1)</f>
        <v>6.2068965517241379</v>
      </c>
      <c r="BM1180" s="67">
        <f>MAX((CH1180-Driver!$F$204)/(Driver!$G$204-Driver!$F$204)*$BI$1,1)</f>
        <v>1.1111111111111112</v>
      </c>
      <c r="BN1180" s="67">
        <f>(CI1180-Driver!$F$205)/(Driver!$G$205-Driver!$F$205)*$BI$1</f>
        <v>1.4117647058823528</v>
      </c>
      <c r="BO1180" s="67">
        <f>(CK1180-Driver!$F$207)/(Driver!$G$207-Driver!$F$207)*$BI$1</f>
        <v>1.6856256463288521</v>
      </c>
      <c r="BP1180" s="67">
        <f>(CM1180-Driver!$F$208)/(Driver!$G$208-Driver!$F$208)*$BI$1</f>
        <v>1.4333333333333333</v>
      </c>
      <c r="BQ1180" s="67">
        <f>(CL1180-Driver!$F$209)/(Driver!$G$209-Driver!$F$209)*$BI$1</f>
        <v>1.09375</v>
      </c>
      <c r="BR1180" s="28" t="s">
        <v>155</v>
      </c>
      <c r="BS1180" s="8" t="s">
        <v>262</v>
      </c>
      <c r="BT1180" s="9" t="s">
        <v>755</v>
      </c>
      <c r="BU1180" s="10">
        <v>156</v>
      </c>
      <c r="BV1180" s="9" t="s">
        <v>163</v>
      </c>
      <c r="BW1180" s="10">
        <v>156</v>
      </c>
      <c r="BX1180" s="10">
        <v>155.69999999999999</v>
      </c>
      <c r="BY1180" s="10">
        <v>116</v>
      </c>
      <c r="BZ1180" s="10">
        <v>129</v>
      </c>
      <c r="CA1180" s="10">
        <v>127</v>
      </c>
      <c r="CB1180" s="10">
        <v>95</v>
      </c>
      <c r="CC1180" s="10">
        <v>114</v>
      </c>
      <c r="CD1180" s="10">
        <v>16.3</v>
      </c>
      <c r="CE1180" s="10">
        <v>1129</v>
      </c>
      <c r="CF1180" s="10">
        <v>1.44</v>
      </c>
      <c r="CG1180" s="10">
        <v>1626</v>
      </c>
      <c r="CH1180" s="10">
        <v>127</v>
      </c>
      <c r="CI1180" s="10">
        <v>57</v>
      </c>
      <c r="CJ1180" s="10">
        <v>51</v>
      </c>
      <c r="CK1180" s="10">
        <v>273</v>
      </c>
      <c r="CL1180" s="10">
        <v>7</v>
      </c>
      <c r="CM1180" s="10">
        <v>129</v>
      </c>
      <c r="CN1180" s="10">
        <v>0.13500000000000001</v>
      </c>
      <c r="CO1180" s="10">
        <v>159</v>
      </c>
      <c r="CP1180" s="10">
        <v>109</v>
      </c>
      <c r="CQ1180" s="10">
        <v>114</v>
      </c>
      <c r="CR1180" s="10">
        <v>7</v>
      </c>
      <c r="CS1180" s="10">
        <v>12</v>
      </c>
      <c r="CT1180" s="9" t="s">
        <v>185</v>
      </c>
      <c r="CU1180" s="9" t="s">
        <v>198</v>
      </c>
      <c r="CV1180" s="10"/>
      <c r="CW1180" s="10"/>
      <c r="CX1180" t="e">
        <f>INDEX('Data_Price '!AG$2:AG$1266,MATCH(Data!$DN1180,'Data_Price '!$AT$2:$AT$1266,0))</f>
        <v>#N/A</v>
      </c>
      <c r="CY1180" t="e">
        <f>INDEX('Data_Price '!AH$2:AH$1266,MATCH(Data!$DN1180,'Data_Price '!$AT$2:$AT$1266,0))</f>
        <v>#N/A</v>
      </c>
      <c r="CZ1180" t="e">
        <f>INDEX('Data_Price '!AI$2:AI$1266,MATCH(Data!$DN1180,'Data_Price '!$AT$2:$AT$1266,0))</f>
        <v>#N/A</v>
      </c>
      <c r="DA1180" t="e">
        <f>INDEX('Data_Price '!AJ$2:AJ$1266,MATCH(Data!$DN1180,'Data_Price '!$AT$2:$AT$1266,0))</f>
        <v>#N/A</v>
      </c>
      <c r="DB1180" t="e">
        <f>INDEX('Data_Price '!AK$2:AK$1266,MATCH(Data!$DN1180,'Data_Price '!$AT$2:$AT$1266,0))</f>
        <v>#N/A</v>
      </c>
      <c r="DC1180" t="e">
        <f>INDEX('Data_Price '!AL$2:AL$1266,MATCH(Data!$DN1180,'Data_Price '!$AT$2:$AT$1266,0))</f>
        <v>#N/A</v>
      </c>
      <c r="DD1180" t="e">
        <f>INDEX('Data_Price '!AM$2:AM$1266,MATCH(Data!$DN1180,'Data_Price '!$AT$2:$AT$1266,0))</f>
        <v>#N/A</v>
      </c>
      <c r="DE1180" t="e">
        <f>INDEX('Data_Price '!AN$2:AN$1266,MATCH(Data!$DN1180,'Data_Price '!$AT$2:$AT$1266,0))</f>
        <v>#N/A</v>
      </c>
      <c r="DF1180" t="e">
        <f>INDEX('Data_Price '!AO$2:AO$1266,MATCH(Data!$DN1180,'Data_Price '!$AT$2:$AT$1266,0))</f>
        <v>#N/A</v>
      </c>
      <c r="DG1180" t="e">
        <f>INDEX('Data_Price '!AP$2:AP$1266,MATCH(Data!$DN1180,'Data_Price '!$AT$2:$AT$1266,0))</f>
        <v>#N/A</v>
      </c>
      <c r="DH1180" t="e">
        <f>INDEX('Data_Price '!AQ$2:AQ$1266,MATCH(Data!$DN1180,'Data_Price '!$AT$2:$AT$1266,0))</f>
        <v>#N/A</v>
      </c>
      <c r="DI1180" t="e">
        <f>INDEX('Data_Price '!AR$2:AR$1266,MATCH(Data!$DN1180,'Data_Price '!$AT$2:$AT$1266,0))</f>
        <v>#N/A</v>
      </c>
      <c r="DJ1180" s="89" t="e">
        <f t="shared" si="698"/>
        <v>#N/A</v>
      </c>
      <c r="DK1180" s="89" t="e">
        <f t="shared" si="699"/>
        <v>#N/A</v>
      </c>
      <c r="DL1180" s="89" t="e">
        <f t="shared" si="700"/>
        <v>#N/A</v>
      </c>
      <c r="DM1180" s="219" t="str">
        <f t="shared" si="701"/>
        <v>Talkback 96</v>
      </c>
      <c r="DN1180" s="89" t="str">
        <f t="shared" si="702"/>
        <v xml:space="preserve"> K2Talkback 96156 Women's</v>
      </c>
      <c r="DO1180" s="221" t="s">
        <v>756</v>
      </c>
    </row>
    <row r="1181" spans="2:119" ht="15.6" customHeight="1">
      <c r="B1181" s="219" t="b">
        <f t="array" ref="B1181">IF(OR(ISERROR(K1181:P1181)),FALSE,TRUE)</f>
        <v>1</v>
      </c>
      <c r="C1181" s="43" t="b">
        <f>OR(BR1181=Driver!$G$50,Data!BR849=Driver!$H$50)</f>
        <v>1</v>
      </c>
      <c r="D1181" s="43" t="b">
        <f>OR(BV1181=Driver!$G$51,BV1181=Driver!$H$51)</f>
        <v>0</v>
      </c>
      <c r="E1181" s="43" t="b">
        <f>AND(BX1181&gt;Driver!$F$54,BX1181&lt;Driver!$G$54)</f>
        <v>0</v>
      </c>
      <c r="F1181" s="43" t="b">
        <f>CL1181&gt;Driver!$F$56</f>
        <v>1</v>
      </c>
      <c r="G1181" s="43" t="b">
        <f>AND(CB1181&gt;Driver!$F$55,CB1181&lt;Driver!$G$55)</f>
        <v>0</v>
      </c>
      <c r="H1181" s="43" t="b">
        <f t="shared" si="666"/>
        <v>0</v>
      </c>
      <c r="I1181" s="43">
        <f t="shared" si="667"/>
        <v>0</v>
      </c>
      <c r="J1181" s="43" t="b">
        <f t="array" ref="J1181">NOT(OR(($H$9:$H$1273=TRUE)*($I$9:$I$1273&gt;0)*($BT$9:$BT$1273=BT1181)*($K$9:$K$1273&gt;K1181)))</f>
        <v>1</v>
      </c>
      <c r="K1181" s="72">
        <f t="shared" si="668"/>
        <v>0.80757968187854701</v>
      </c>
      <c r="L1181" s="72">
        <f t="shared" si="669"/>
        <v>0.78160365090584194</v>
      </c>
      <c r="M1181" s="72">
        <f t="shared" si="670"/>
        <v>0.83355571285125196</v>
      </c>
      <c r="N1181" s="72">
        <f t="shared" si="671"/>
        <v>0.99019721795958615</v>
      </c>
      <c r="O1181" s="72">
        <f t="shared" si="672"/>
        <v>0.64679717301412498</v>
      </c>
      <c r="P1181" s="72">
        <f t="shared" si="673"/>
        <v>0.86367274758004475</v>
      </c>
      <c r="Q1181" s="72"/>
      <c r="R1181" s="72"/>
      <c r="S1181" s="72">
        <f t="shared" si="674"/>
        <v>0.39477301009623267</v>
      </c>
      <c r="T1181" s="72">
        <f t="shared" si="675"/>
        <v>0.47026269864474146</v>
      </c>
      <c r="U1181" s="72">
        <f t="shared" si="676"/>
        <v>0.51</v>
      </c>
      <c r="V1181" s="72">
        <f t="shared" si="677"/>
        <v>0.51214700963360615</v>
      </c>
      <c r="W1181" s="72">
        <f t="shared" si="678"/>
        <v>0.85866477272727271</v>
      </c>
      <c r="X1181" s="72">
        <f t="shared" si="679"/>
        <v>0.218396349094158</v>
      </c>
      <c r="Y1181" s="72">
        <f t="shared" si="680"/>
        <v>0.16644428714874804</v>
      </c>
      <c r="Z1181" s="72">
        <f t="shared" si="681"/>
        <v>9.8027820404137933E-3</v>
      </c>
      <c r="AA1181" s="72">
        <f t="shared" si="682"/>
        <v>0.35320282698587502</v>
      </c>
      <c r="AB1181" s="72">
        <f t="shared" si="683"/>
        <v>0.1363272524199553</v>
      </c>
      <c r="AC1181" s="72"/>
      <c r="AD1181" s="72"/>
      <c r="AE1181" s="72">
        <f t="shared" si="684"/>
        <v>0.60522698990376733</v>
      </c>
      <c r="AF1181" s="72">
        <f t="shared" si="685"/>
        <v>0.52973730135525854</v>
      </c>
      <c r="AG1181" s="72">
        <f t="shared" si="686"/>
        <v>0.49</v>
      </c>
      <c r="AH1181" s="72">
        <f t="shared" si="687"/>
        <v>0.48785299036639385</v>
      </c>
      <c r="AI1181" s="72">
        <f t="shared" si="688"/>
        <v>0.14133522727272724</v>
      </c>
      <c r="AJ1181" s="72">
        <f>(AV1181-Driver!$K$179)/(Driver!$L$179-Driver!$K$179)</f>
        <v>3.5823060188542422E-2</v>
      </c>
      <c r="AK1181" s="72">
        <f>(AW1181-Driver!$K$180)/(Driver!$L$180-Driver!$K$180)</f>
        <v>0.11278021242637909</v>
      </c>
      <c r="AL1181" s="72">
        <f>(AX1181-Driver!$K$181)/(Driver!$L$181-Driver!$K$181)</f>
        <v>0.11149054575349397</v>
      </c>
      <c r="AM1181" s="72">
        <f>(AY1181-Driver!$K$182)/(Driver!$L$182-Driver!$K$182)</f>
        <v>9.4182194111171347E-2</v>
      </c>
      <c r="AN1181" s="72">
        <f>(AZ1181-Driver!$K$183)/(Driver!$L$183-Driver!$K$183)</f>
        <v>0.11789215686274511</v>
      </c>
      <c r="AO1181" s="72"/>
      <c r="AP1181" s="72"/>
      <c r="AQ1181" s="72">
        <f>(BC1181-Driver!$K$188)/(Driver!$L$188-Driver!$K$188)</f>
        <v>1.4773010096232645E-2</v>
      </c>
      <c r="AR1181" s="72">
        <f>MIN((BD1181-Driver!$K$189)/(Driver!$L$189-Driver!$K$189),100%)</f>
        <v>2.0262698644741534E-2</v>
      </c>
      <c r="AS1181" s="72">
        <f>(BE1181-Driver!$K$190)/(Driver!$L$190-Driver!$K$190)</f>
        <v>1</v>
      </c>
      <c r="AT1181" s="72">
        <f>(BF1181-Driver!$K$191)/(Driver!$L$191-Driver!$K$191)</f>
        <v>2.2147009633606149E-2</v>
      </c>
      <c r="AU1181" s="72">
        <f>(BG1181-Driver!$K$192)/(Driver!$L$192-Driver!$K$192)</f>
        <v>0.39133522727272724</v>
      </c>
      <c r="AV1181" s="70">
        <f t="shared" si="689"/>
        <v>0.75396825396825395</v>
      </c>
      <c r="AW1181" s="70">
        <f t="shared" si="690"/>
        <v>12.863323656751623</v>
      </c>
      <c r="AX1181" s="70">
        <f t="shared" si="691"/>
        <v>2.0034149117814457</v>
      </c>
      <c r="AY1181" s="70">
        <f>IFERROR(Driver!$K$19/Data!BH1181/Data!BI1181*Data!BK1181*Data!BL1181,"")</f>
        <v>0.11530710684657219</v>
      </c>
      <c r="AZ1181" s="70">
        <f t="shared" si="692"/>
        <v>10.744601638123605</v>
      </c>
      <c r="BA1181" s="70"/>
      <c r="BB1181" s="70"/>
      <c r="BC1181" s="70">
        <f t="shared" si="693"/>
        <v>7.662863037215895</v>
      </c>
      <c r="BD1181" s="70">
        <f t="shared" si="694"/>
        <v>3.5140358107798688</v>
      </c>
      <c r="BE1181" s="70">
        <f t="shared" si="695"/>
        <v>1</v>
      </c>
      <c r="BF1181" s="70">
        <f t="shared" si="696"/>
        <v>2.5013491465672706</v>
      </c>
      <c r="BG1181" s="70">
        <f t="shared" si="697"/>
        <v>1.4818448153409092</v>
      </c>
      <c r="BH1181" s="67">
        <f>MAX((CE1181-Driver!$F$200)/(Driver!$G$200-Driver!$F$200)*$BI$1,1)</f>
        <v>2.0034149117814457</v>
      </c>
      <c r="BI1181" s="67">
        <f>MAX($BI$1*(BY1181-Driver!$F$201)/(Driver!$G$201-Driver!$F$201),1)</f>
        <v>7.0253164556962027</v>
      </c>
      <c r="BJ1181" s="67">
        <f>(CB1181-Driver!$F$206)/(Driver!$G$206-Driver!$F$206)*$BI$1</f>
        <v>3.0158730158730158</v>
      </c>
      <c r="BK1181" s="67">
        <f>(CD1181-Driver!$F$203)/(Driver!$G$203-Driver!$F$203)*$BI$1</f>
        <v>1.238532110091743</v>
      </c>
      <c r="BL1181" s="67">
        <f>MAX((CR1181-Driver!$F$202)/(Driver!$G$202-Driver!$F$202)*$BI$1,1)</f>
        <v>6.5517241379310338</v>
      </c>
      <c r="BM1181" s="67">
        <f>MAX((CH1181-Driver!$F$204)/(Driver!$G$204-Driver!$F$204)*$BI$1,1)</f>
        <v>1</v>
      </c>
      <c r="BN1181" s="67">
        <f>(CI1181-Driver!$F$205)/(Driver!$G$205-Driver!$F$205)*$BI$1</f>
        <v>1.5294117647058825</v>
      </c>
      <c r="BO1181" s="67">
        <f>(CK1181-Driver!$F$207)/(Driver!$G$207-Driver!$F$207)*$BI$1</f>
        <v>0.62047569803516023</v>
      </c>
      <c r="BP1181" s="67">
        <f>(CM1181-Driver!$F$208)/(Driver!$G$208-Driver!$F$208)*$BI$1</f>
        <v>1.6555555555555557</v>
      </c>
      <c r="BQ1181" s="67">
        <f>(CL1181-Driver!$F$209)/(Driver!$G$209-Driver!$F$209)*$BI$1</f>
        <v>2.96875</v>
      </c>
      <c r="BR1181" s="28" t="s">
        <v>155</v>
      </c>
      <c r="BS1181" s="8" t="s">
        <v>208</v>
      </c>
      <c r="BT1181" s="9" t="s">
        <v>824</v>
      </c>
      <c r="BU1181" s="10">
        <v>151</v>
      </c>
      <c r="BV1181" s="9" t="s">
        <v>163</v>
      </c>
      <c r="BW1181" s="10">
        <v>151</v>
      </c>
      <c r="BX1181" s="10">
        <v>150.5</v>
      </c>
      <c r="BY1181" s="10">
        <v>119</v>
      </c>
      <c r="BZ1181" s="10">
        <v>127</v>
      </c>
      <c r="CA1181" s="10">
        <v>121</v>
      </c>
      <c r="CB1181" s="10">
        <v>83</v>
      </c>
      <c r="CC1181" s="10">
        <v>109</v>
      </c>
      <c r="CD1181" s="10">
        <v>12.1</v>
      </c>
      <c r="CE1181" s="10">
        <v>1252</v>
      </c>
      <c r="CF1181" s="10">
        <v>1.1499999999999999</v>
      </c>
      <c r="CG1181" s="10">
        <v>1443</v>
      </c>
      <c r="CH1181" s="10">
        <v>110</v>
      </c>
      <c r="CI1181" s="10">
        <v>59</v>
      </c>
      <c r="CJ1181" s="10">
        <v>43</v>
      </c>
      <c r="CK1181" s="10">
        <v>170</v>
      </c>
      <c r="CL1181" s="10">
        <v>19</v>
      </c>
      <c r="CM1181" s="10">
        <v>149</v>
      </c>
      <c r="CN1181" s="10">
        <v>0.433</v>
      </c>
      <c r="CO1181" s="10">
        <v>133</v>
      </c>
      <c r="CP1181" s="10">
        <v>104</v>
      </c>
      <c r="CQ1181" s="10">
        <v>37</v>
      </c>
      <c r="CR1181" s="10">
        <v>8</v>
      </c>
      <c r="CS1181" s="10">
        <v>8.5</v>
      </c>
      <c r="CT1181" s="9" t="s">
        <v>231</v>
      </c>
      <c r="CU1181" s="9" t="s">
        <v>188</v>
      </c>
      <c r="CV1181" s="9" t="s">
        <v>185</v>
      </c>
      <c r="CW1181" s="10"/>
      <c r="CX1181" t="str">
        <f>INDEX('Data_Price '!AG$2:AG$1266,MATCH(Data!$DN1181,'Data_Price '!$AT$2:$AT$1266,0))</f>
        <v>Line Pandora 84 Skis - Women's 2022</v>
      </c>
      <c r="CY1181" t="str">
        <f>INDEX('Data_Price '!AH$2:AH$1266,MATCH(Data!$DN1181,'Data_Price '!$AT$2:$AT$1266,0))</f>
        <v>The-House.com</v>
      </c>
      <c r="CZ1181">
        <f>INDEX('Data_Price '!AI$2:AI$1266,MATCH(Data!$DN1181,'Data_Price '!$AT$2:$AT$1266,0))</f>
        <v>319.95</v>
      </c>
      <c r="DA1181" t="str">
        <f>INDEX('Data_Price '!AJ$2:AJ$1266,MATCH(Data!$DN1181,'Data_Price '!$AT$2:$AT$1266,0))</f>
        <v>https://tinyurl.com/ycc22z7p</v>
      </c>
      <c r="DB1181" t="str">
        <f>INDEX('Data_Price '!AK$2:AK$1266,MATCH(Data!$DN1181,'Data_Price '!$AT$2:$AT$1266,0))</f>
        <v>Line Pandora 84 Skis - Women's 2022</v>
      </c>
      <c r="DC1181" t="str">
        <f>INDEX('Data_Price '!AL$2:AL$1266,MATCH(Data!$DN1181,'Data_Price '!$AT$2:$AT$1266,0))</f>
        <v>BlueZone Sports</v>
      </c>
      <c r="DD1181">
        <f>INDEX('Data_Price '!AM$2:AM$1266,MATCH(Data!$DN1181,'Data_Price '!$AT$2:$AT$1266,0))</f>
        <v>319.95999999999998</v>
      </c>
      <c r="DE1181" t="str">
        <f>INDEX('Data_Price '!AN$2:AN$1266,MATCH(Data!$DN1181,'Data_Price '!$AT$2:$AT$1266,0))</f>
        <v>https://tinyurl.com/y9w6yxcz</v>
      </c>
      <c r="DF1181" t="str">
        <f>INDEX('Data_Price '!AO$2:AO$1266,MATCH(Data!$DN1181,'Data_Price '!$AT$2:$AT$1266,0))</f>
        <v>Line Pandora 84 Skis - Women's 2022</v>
      </c>
      <c r="DG1181" t="str">
        <f>INDEX('Data_Price '!AP$2:AP$1266,MATCH(Data!$DN1181,'Data_Price '!$AT$2:$AT$1266,0))</f>
        <v>Absolute-Snow.co.uk</v>
      </c>
      <c r="DH1181">
        <f>INDEX('Data_Price '!AQ$2:AQ$1266,MATCH(Data!$DN1181,'Data_Price '!$AT$2:$AT$1266,0))</f>
        <v>344.5</v>
      </c>
      <c r="DI1181" t="str">
        <f>INDEX('Data_Price '!AR$2:AR$1266,MATCH(Data!$DN1181,'Data_Price '!$AT$2:$AT$1266,0))</f>
        <v>https://tinyurl.com/y89eudjh</v>
      </c>
      <c r="DJ1181" s="89" t="str">
        <f t="shared" si="698"/>
        <v>https://tinyurl.com/ycc22z7p</v>
      </c>
      <c r="DK1181" s="89" t="str">
        <f t="shared" si="699"/>
        <v>https://tinyurl.com/y9w6yxcz</v>
      </c>
      <c r="DL1181" s="89" t="str">
        <f t="shared" si="700"/>
        <v>https://tinyurl.com/y89eudjh</v>
      </c>
      <c r="DM1181" s="219" t="str">
        <f t="shared" si="701"/>
        <v>Pandora 84</v>
      </c>
      <c r="DN1181" s="89" t="str">
        <f t="shared" si="702"/>
        <v xml:space="preserve"> LinePandora 84151 Women's</v>
      </c>
      <c r="DO1181" s="221" t="s">
        <v>825</v>
      </c>
    </row>
    <row r="1182" spans="2:119" ht="15.6" customHeight="1">
      <c r="B1182" s="219" t="b">
        <f t="array" ref="B1182">IF(OR(ISERROR(K1182:P1182)),FALSE,TRUE)</f>
        <v>1</v>
      </c>
      <c r="C1182" s="43" t="b">
        <f>OR(BR1182=Driver!$G$50,Data!BR323=Driver!$H$50)</f>
        <v>1</v>
      </c>
      <c r="D1182" s="43" t="b">
        <f>OR(BV1182=Driver!$G$51,BV1182=Driver!$H$51)</f>
        <v>1</v>
      </c>
      <c r="E1182" s="43" t="b">
        <f>AND(BX1182&gt;Driver!$F$54,BX1182&lt;Driver!$G$54)</f>
        <v>1</v>
      </c>
      <c r="F1182" s="43" t="b">
        <f>CL1182&gt;Driver!$F$56</f>
        <v>1</v>
      </c>
      <c r="G1182" s="43" t="b">
        <f>AND(CB1182&gt;Driver!$F$55,CB1182&lt;Driver!$G$55)</f>
        <v>0</v>
      </c>
      <c r="H1182" s="43" t="b">
        <f t="shared" si="666"/>
        <v>0</v>
      </c>
      <c r="I1182" s="43">
        <f t="shared" si="667"/>
        <v>0</v>
      </c>
      <c r="J1182" s="43" t="b">
        <f t="array" ref="J1182">NOT(OR(($H$9:$H$1273=TRUE)*($I$9:$I$1273&gt;0)*($BT$9:$BT$1273=BT1182)*($K$9:$K$1273&gt;K1182)))</f>
        <v>1</v>
      </c>
      <c r="K1182" s="72">
        <f t="shared" si="668"/>
        <v>0.86994250789779992</v>
      </c>
      <c r="L1182" s="72">
        <f t="shared" si="669"/>
        <v>0.84988179126520058</v>
      </c>
      <c r="M1182" s="72">
        <f t="shared" si="670"/>
        <v>0.89000322453039915</v>
      </c>
      <c r="N1182" s="72">
        <f t="shared" si="671"/>
        <v>0.89831223628691981</v>
      </c>
      <c r="O1182" s="72">
        <f t="shared" si="672"/>
        <v>0.9332697877634486</v>
      </c>
      <c r="P1182" s="72">
        <f t="shared" si="673"/>
        <v>0.83842764954082893</v>
      </c>
      <c r="Q1182" s="72"/>
      <c r="R1182" s="72"/>
      <c r="S1182" s="72">
        <f t="shared" si="674"/>
        <v>0.41654861125679177</v>
      </c>
      <c r="T1182" s="72">
        <f t="shared" si="675"/>
        <v>0.44596181953286052</v>
      </c>
      <c r="U1182" s="72">
        <f t="shared" si="676"/>
        <v>0.51</v>
      </c>
      <c r="V1182" s="72">
        <f t="shared" si="677"/>
        <v>0.50429806745117889</v>
      </c>
      <c r="W1182" s="72">
        <f t="shared" si="678"/>
        <v>0.87779554052696773</v>
      </c>
      <c r="X1182" s="72">
        <f t="shared" si="679"/>
        <v>0.15011820873479936</v>
      </c>
      <c r="Y1182" s="72">
        <f t="shared" si="680"/>
        <v>0.10999677546960086</v>
      </c>
      <c r="Z1182" s="72">
        <f t="shared" si="681"/>
        <v>0.10168776371308018</v>
      </c>
      <c r="AA1182" s="72">
        <f t="shared" si="682"/>
        <v>6.6730212236551401E-2</v>
      </c>
      <c r="AB1182" s="72">
        <f t="shared" si="683"/>
        <v>0.16157235045917101</v>
      </c>
      <c r="AC1182" s="72"/>
      <c r="AD1182" s="72"/>
      <c r="AE1182" s="72">
        <f t="shared" si="684"/>
        <v>0.58345138874320823</v>
      </c>
      <c r="AF1182" s="72">
        <f t="shared" si="685"/>
        <v>0.55403818046713948</v>
      </c>
      <c r="AG1182" s="72">
        <f t="shared" si="686"/>
        <v>0.49</v>
      </c>
      <c r="AH1182" s="72">
        <f t="shared" si="687"/>
        <v>0.49570193254882111</v>
      </c>
      <c r="AI1182" s="72">
        <f t="shared" si="688"/>
        <v>0.12220445947303227</v>
      </c>
      <c r="AJ1182" s="72">
        <f>(AV1182-Driver!$K$179)/(Driver!$L$179-Driver!$K$179)</f>
        <v>0.10410120054790105</v>
      </c>
      <c r="AK1182" s="72">
        <f>(AW1182-Driver!$K$180)/(Driver!$L$180-Driver!$K$180)</f>
        <v>8.4151613529949029E-2</v>
      </c>
      <c r="AL1182" s="72">
        <f>(AX1182-Driver!$K$181)/(Driver!$L$181-Driver!$K$181)</f>
        <v>0</v>
      </c>
      <c r="AM1182" s="72">
        <f>(AY1182-Driver!$K$182)/(Driver!$L$182-Driver!$K$182)</f>
        <v>0.51411523333359777</v>
      </c>
      <c r="AN1182" s="72">
        <f>(AZ1182-Driver!$K$183)/(Driver!$L$183-Driver!$K$183)</f>
        <v>9.2647058823529416E-2</v>
      </c>
      <c r="AO1182" s="72"/>
      <c r="AP1182" s="72"/>
      <c r="AQ1182" s="72">
        <f>(BC1182-Driver!$K$188)/(Driver!$L$188-Driver!$K$188)</f>
        <v>3.6548611256791777E-2</v>
      </c>
      <c r="AR1182" s="72">
        <f>MIN((BD1182-Driver!$K$189)/(Driver!$L$189-Driver!$K$189),100%)</f>
        <v>-4.0381804671394787E-3</v>
      </c>
      <c r="AS1182" s="72">
        <f>(BE1182-Driver!$K$190)/(Driver!$L$190-Driver!$K$190)</f>
        <v>1</v>
      </c>
      <c r="AT1182" s="72">
        <f>(BF1182-Driver!$K$191)/(Driver!$L$191-Driver!$K$191)</f>
        <v>1.4298067451178892E-2</v>
      </c>
      <c r="AU1182" s="72">
        <f>(BG1182-Driver!$K$192)/(Driver!$L$192-Driver!$K$192)</f>
        <v>0.12779554052696773</v>
      </c>
      <c r="AV1182" s="70">
        <f t="shared" si="689"/>
        <v>2.1910188576855245</v>
      </c>
      <c r="AW1182" s="70">
        <f t="shared" si="690"/>
        <v>10.073213019102317</v>
      </c>
      <c r="AX1182" s="70">
        <f t="shared" si="691"/>
        <v>1</v>
      </c>
      <c r="AY1182" s="70">
        <f>IFERROR(Driver!$K$19/Data!BH1182/Data!BI1182*Data!BK1182*Data!BL1182,"")</f>
        <v>0.62943044278064841</v>
      </c>
      <c r="AZ1182" s="70">
        <f t="shared" si="692"/>
        <v>8.4437825763216683</v>
      </c>
      <c r="BA1182" s="70"/>
      <c r="BB1182" s="70"/>
      <c r="BC1182" s="70">
        <f t="shared" si="693"/>
        <v>18.958018740721236</v>
      </c>
      <c r="BD1182" s="70">
        <f t="shared" si="694"/>
        <v>1.3634510679882734</v>
      </c>
      <c r="BE1182" s="70">
        <f t="shared" si="695"/>
        <v>1</v>
      </c>
      <c r="BF1182" s="70">
        <f t="shared" si="696"/>
        <v>1.6148662690017597</v>
      </c>
      <c r="BG1182" s="70">
        <f t="shared" si="697"/>
        <v>0.48391544117647051</v>
      </c>
      <c r="BH1182" s="67">
        <f>MAX((CE1182-Driver!$F$200)/(Driver!$G$200-Driver!$F$200)*$BI$1,1)</f>
        <v>1</v>
      </c>
      <c r="BI1182" s="67">
        <f>MAX($BI$1*(BY1182-Driver!$F$201)/(Driver!$G$201-Driver!$F$201),1)</f>
        <v>6.8354430379746836</v>
      </c>
      <c r="BJ1182" s="67">
        <f>(CB1182-Driver!$F$206)/(Driver!$G$206-Driver!$F$206)*$BI$1</f>
        <v>3.0158730158730158</v>
      </c>
      <c r="BK1182" s="67">
        <f>(CD1182-Driver!$F$203)/(Driver!$G$203-Driver!$F$203)*$BI$1</f>
        <v>3.8990825688073394</v>
      </c>
      <c r="BL1182" s="67">
        <f>MAX((CR1182-Driver!$F$202)/(Driver!$G$202-Driver!$F$202)*$BI$1,1)</f>
        <v>5.5172413793103452</v>
      </c>
      <c r="BM1182" s="67">
        <f>MAX((CH1182-Driver!$F$204)/(Driver!$G$204-Driver!$F$204)*$BI$1,1)</f>
        <v>2.9059829059829063</v>
      </c>
      <c r="BN1182" s="67">
        <f>(CI1182-Driver!$F$205)/(Driver!$G$205-Driver!$F$205)*$BI$1</f>
        <v>1.2352941176470589</v>
      </c>
      <c r="BO1182" s="67">
        <f>(CK1182-Driver!$F$207)/(Driver!$G$207-Driver!$F$207)*$BI$1</f>
        <v>1.1892450879007239</v>
      </c>
      <c r="BP1182" s="67">
        <f>(CM1182-Driver!$F$208)/(Driver!$G$208-Driver!$F$208)*$BI$1</f>
        <v>1.7555555555555555</v>
      </c>
      <c r="BQ1182" s="67">
        <f>(CL1182-Driver!$F$209)/(Driver!$G$209-Driver!$F$209)*$BI$1</f>
        <v>1.40625</v>
      </c>
      <c r="BR1182" s="28" t="s">
        <v>155</v>
      </c>
      <c r="BS1182" s="8" t="s">
        <v>317</v>
      </c>
      <c r="BT1182" s="9" t="s">
        <v>680</v>
      </c>
      <c r="BU1182" s="10">
        <v>157</v>
      </c>
      <c r="BV1182" s="9" t="s">
        <v>158</v>
      </c>
      <c r="BW1182" s="10">
        <v>157</v>
      </c>
      <c r="BX1182" s="10">
        <v>154.69999999999999</v>
      </c>
      <c r="BY1182" s="10">
        <v>116</v>
      </c>
      <c r="BZ1182" s="10">
        <v>129</v>
      </c>
      <c r="CA1182" s="10">
        <v>114</v>
      </c>
      <c r="CB1182" s="10">
        <v>83</v>
      </c>
      <c r="CC1182" s="10">
        <v>98</v>
      </c>
      <c r="CD1182" s="10">
        <v>17.899999999999999</v>
      </c>
      <c r="CE1182" s="10">
        <v>975</v>
      </c>
      <c r="CF1182" s="10">
        <v>1.46</v>
      </c>
      <c r="CG1182" s="10">
        <v>1422</v>
      </c>
      <c r="CH1182" s="10">
        <v>169</v>
      </c>
      <c r="CI1182" s="10">
        <v>54</v>
      </c>
      <c r="CJ1182" s="10">
        <v>60</v>
      </c>
      <c r="CK1182" s="10">
        <v>225</v>
      </c>
      <c r="CL1182" s="10">
        <v>9</v>
      </c>
      <c r="CM1182" s="10">
        <v>158</v>
      </c>
      <c r="CN1182" s="10">
        <v>0.14699999999999999</v>
      </c>
      <c r="CO1182" s="10">
        <v>135</v>
      </c>
      <c r="CP1182" s="10">
        <v>124</v>
      </c>
      <c r="CQ1182" s="10">
        <v>90</v>
      </c>
      <c r="CR1182" s="10">
        <v>5</v>
      </c>
      <c r="CS1182" s="10">
        <v>10.8</v>
      </c>
      <c r="CT1182" s="9" t="s">
        <v>185</v>
      </c>
      <c r="CU1182" s="9" t="s">
        <v>198</v>
      </c>
      <c r="CV1182" s="10"/>
      <c r="CW1182" s="10"/>
      <c r="CX1182" t="str">
        <f>INDEX('Data_Price '!AG$2:AG$1266,MATCH(Data!$DN1182,'Data_Price '!$AT$2:$AT$1266,0))</f>
        <v>Blizzard Zero G 85 Ski 2021</v>
      </c>
      <c r="CY1182" t="str">
        <f>INDEX('Data_Price '!AH$2:AH$1266,MATCH(Data!$DN1182,'Data_Price '!$AT$2:$AT$1266,0))</f>
        <v>Telemark Pyrenees</v>
      </c>
      <c r="CZ1182">
        <f>INDEX('Data_Price '!AI$2:AI$1266,MATCH(Data!$DN1182,'Data_Price '!$AT$2:$AT$1266,0))</f>
        <v>274.13</v>
      </c>
      <c r="DA1182" t="str">
        <f>INDEX('Data_Price '!AJ$2:AJ$1266,MATCH(Data!$DN1182,'Data_Price '!$AT$2:$AT$1266,0))</f>
        <v>https://tinyurl.com/y9f87ddd</v>
      </c>
      <c r="DB1182" t="str">
        <f>INDEX('Data_Price '!AK$2:AK$1266,MATCH(Data!$DN1182,'Data_Price '!$AT$2:$AT$1266,0))</f>
        <v>Blizzard Zero G 85 Ski 2022</v>
      </c>
      <c r="DC1182" t="str">
        <f>INDEX('Data_Price '!AL$2:AL$1266,MATCH(Data!$DN1182,'Data_Price '!$AT$2:$AT$1266,0))</f>
        <v>Snowcountry.eu</v>
      </c>
      <c r="DD1182">
        <f>INDEX('Data_Price '!AM$2:AM$1266,MATCH(Data!$DN1182,'Data_Price '!$AT$2:$AT$1266,0))</f>
        <v>387.14</v>
      </c>
      <c r="DE1182" t="str">
        <f>INDEX('Data_Price '!AN$2:AN$1266,MATCH(Data!$DN1182,'Data_Price '!$AT$2:$AT$1266,0))</f>
        <v>https://tinyurl.com/y72c5sz6</v>
      </c>
      <c r="DF1182" t="str">
        <f>INDEX('Data_Price '!AO$2:AO$1266,MATCH(Data!$DN1182,'Data_Price '!$AT$2:$AT$1266,0))</f>
        <v>Blizzard Zero G 85 Ski 2022</v>
      </c>
      <c r="DG1182" t="str">
        <f>INDEX('Data_Price '!AP$2:AP$1266,MATCH(Data!$DN1182,'Data_Price '!$AT$2:$AT$1266,0))</f>
        <v>AlpinStore</v>
      </c>
      <c r="DH1182">
        <f>INDEX('Data_Price '!AQ$2:AQ$1266,MATCH(Data!$DN1182,'Data_Price '!$AT$2:$AT$1266,0))</f>
        <v>416.43</v>
      </c>
      <c r="DI1182" t="str">
        <f>INDEX('Data_Price '!AR$2:AR$1266,MATCH(Data!$DN1182,'Data_Price '!$AT$2:$AT$1266,0))</f>
        <v>https://tinyurl.com/y78c7pjw</v>
      </c>
      <c r="DJ1182" s="89" t="str">
        <f t="shared" si="698"/>
        <v>https://tinyurl.com/y9f87ddd</v>
      </c>
      <c r="DK1182" s="89" t="str">
        <f t="shared" si="699"/>
        <v>https://tinyurl.com/y72c5sz6</v>
      </c>
      <c r="DL1182" s="89" t="str">
        <f t="shared" si="700"/>
        <v>https://tinyurl.com/y78c7pjw</v>
      </c>
      <c r="DM1182" s="219" t="str">
        <f t="shared" si="701"/>
        <v>Zero G 85</v>
      </c>
      <c r="DN1182" s="89" t="str">
        <f t="shared" si="702"/>
        <v xml:space="preserve"> BlizzardZero G 85157 Unisex</v>
      </c>
      <c r="DO1182" s="221"/>
    </row>
    <row r="1183" spans="2:119" ht="15.6" customHeight="1">
      <c r="B1183" s="219" t="b">
        <f t="array" ref="B1183">IF(OR(ISERROR(K1183:P1183)),FALSE,TRUE)</f>
        <v>1</v>
      </c>
      <c r="C1183" s="43" t="b">
        <f>OR(BR1183=Driver!$G$50,Data!BR75=Driver!$H$50)</f>
        <v>1</v>
      </c>
      <c r="D1183" s="43" t="b">
        <f>OR(BV1183=Driver!$G$51,BV1183=Driver!$H$51)</f>
        <v>1</v>
      </c>
      <c r="E1183" s="43" t="b">
        <f>AND(BX1183&gt;Driver!$F$54,BX1183&lt;Driver!$G$54)</f>
        <v>0</v>
      </c>
      <c r="F1183" s="43" t="b">
        <f>CL1183&gt;Driver!$F$56</f>
        <v>1</v>
      </c>
      <c r="G1183" s="43" t="b">
        <f>AND(CB1183&gt;Driver!$F$55,CB1183&lt;Driver!$G$55)</f>
        <v>0</v>
      </c>
      <c r="H1183" s="43" t="b">
        <f t="shared" si="666"/>
        <v>0</v>
      </c>
      <c r="I1183" s="43">
        <f t="shared" si="667"/>
        <v>0</v>
      </c>
      <c r="J1183" s="43" t="b">
        <f t="array" ref="J1183">NOT(OR(($H$9:$H$1273=TRUE)*($I$9:$I$1273&gt;0)*($BT$9:$BT$1273=BT1183)*($K$9:$K$1273&gt;K1183)))</f>
        <v>1</v>
      </c>
      <c r="K1183" s="72">
        <f t="shared" si="668"/>
        <v>0.73116713440233583</v>
      </c>
      <c r="L1183" s="72">
        <f t="shared" si="669"/>
        <v>0.88438619680989405</v>
      </c>
      <c r="M1183" s="72">
        <f t="shared" si="670"/>
        <v>0.5779480719947776</v>
      </c>
      <c r="N1183" s="72">
        <f t="shared" si="671"/>
        <v>0.55700933457249968</v>
      </c>
      <c r="O1183" s="72">
        <f t="shared" si="672"/>
        <v>0.63895534141017873</v>
      </c>
      <c r="P1183" s="72">
        <f t="shared" si="673"/>
        <v>0.53787954000165472</v>
      </c>
      <c r="Q1183" s="72"/>
      <c r="R1183" s="72"/>
      <c r="S1183" s="72">
        <f t="shared" si="674"/>
        <v>0.63100181874080241</v>
      </c>
      <c r="T1183" s="72">
        <f t="shared" si="675"/>
        <v>0.6099674365138138</v>
      </c>
      <c r="U1183" s="72">
        <f t="shared" si="676"/>
        <v>0.65600753736693884</v>
      </c>
      <c r="V1183" s="72">
        <f t="shared" si="677"/>
        <v>0.51600564298990426</v>
      </c>
      <c r="W1183" s="72">
        <f t="shared" si="678"/>
        <v>0.76924669578535365</v>
      </c>
      <c r="X1183" s="72">
        <f t="shared" si="679"/>
        <v>0.11561380319010595</v>
      </c>
      <c r="Y1183" s="72">
        <f t="shared" si="680"/>
        <v>0.42205192800522234</v>
      </c>
      <c r="Z1183" s="72">
        <f t="shared" si="681"/>
        <v>0.44299066542750032</v>
      </c>
      <c r="AA1183" s="72">
        <f t="shared" si="682"/>
        <v>0.36104465858982127</v>
      </c>
      <c r="AB1183" s="72">
        <f t="shared" si="683"/>
        <v>0.46212045999834533</v>
      </c>
      <c r="AC1183" s="72"/>
      <c r="AD1183" s="72"/>
      <c r="AE1183" s="72">
        <f t="shared" si="684"/>
        <v>0.36899818125919753</v>
      </c>
      <c r="AF1183" s="72">
        <f t="shared" si="685"/>
        <v>0.3900325634861862</v>
      </c>
      <c r="AG1183" s="72">
        <f t="shared" si="686"/>
        <v>0.34399246263306116</v>
      </c>
      <c r="AH1183" s="72">
        <f t="shared" si="687"/>
        <v>0.48399435701009574</v>
      </c>
      <c r="AI1183" s="72">
        <f t="shared" si="688"/>
        <v>0.23075330421464632</v>
      </c>
      <c r="AJ1183" s="72">
        <f>(AV1183-Driver!$K$179)/(Driver!$L$179-Driver!$K$179)</f>
        <v>0.36983321247280637</v>
      </c>
      <c r="AK1183" s="72">
        <f>(AW1183-Driver!$K$180)/(Driver!$L$180-Driver!$K$180)</f>
        <v>0.71232713572245454</v>
      </c>
      <c r="AL1183" s="72">
        <f>(AX1183-Driver!$K$181)/(Driver!$L$181-Driver!$K$181)</f>
        <v>0.54467842914058051</v>
      </c>
      <c r="AM1183" s="72">
        <f>(AY1183-Driver!$K$182)/(Driver!$L$182-Driver!$K$182)</f>
        <v>8.6340362507225071E-2</v>
      </c>
      <c r="AN1183" s="72">
        <f>(AZ1183-Driver!$K$183)/(Driver!$L$183-Driver!$K$183)</f>
        <v>0.71633986928104576</v>
      </c>
      <c r="AO1183" s="72"/>
      <c r="AP1183" s="72"/>
      <c r="AQ1183" s="72">
        <f>(BC1183-Driver!$K$188)/(Driver!$L$188-Driver!$K$188)</f>
        <v>0.25100181874080246</v>
      </c>
      <c r="AR1183" s="72">
        <f>MIN((BD1183-Driver!$K$189)/(Driver!$L$189-Driver!$K$189),100%)</f>
        <v>0.15996743651381387</v>
      </c>
      <c r="AS1183" s="72">
        <f>(BE1183-Driver!$K$190)/(Driver!$L$190-Driver!$K$190)</f>
        <v>0.16600753736693888</v>
      </c>
      <c r="AT1183" s="72">
        <f>(BF1183-Driver!$K$191)/(Driver!$L$191-Driver!$K$191)</f>
        <v>2.6005642989904241E-2</v>
      </c>
      <c r="AU1183" s="72">
        <f>(BG1183-Driver!$K$192)/(Driver!$L$192-Driver!$K$192)</f>
        <v>1.9246695785353679E-2</v>
      </c>
      <c r="AV1183" s="70">
        <f t="shared" si="689"/>
        <v>7.7838827838827838</v>
      </c>
      <c r="AW1183" s="70">
        <f t="shared" si="690"/>
        <v>71.294483858129425</v>
      </c>
      <c r="AX1183" s="70">
        <f t="shared" si="691"/>
        <v>5.9021058622652243</v>
      </c>
      <c r="AY1183" s="70">
        <f>IFERROR(Driver!$K$19/Data!BH1183/Data!BI1183*Data!BK1183*Data!BL1183,"")</f>
        <v>0.10570636518661752</v>
      </c>
      <c r="AZ1183" s="70">
        <f t="shared" si="692"/>
        <v>65.286671630677588</v>
      </c>
      <c r="BA1183" s="70"/>
      <c r="BB1183" s="70"/>
      <c r="BC1183" s="70">
        <f t="shared" si="693"/>
        <v>130.19638831718902</v>
      </c>
      <c r="BD1183" s="70">
        <f t="shared" si="694"/>
        <v>15.877657570045105</v>
      </c>
      <c r="BE1183" s="70">
        <f t="shared" si="695"/>
        <v>0.1661563122352876</v>
      </c>
      <c r="BF1183" s="70">
        <f t="shared" si="696"/>
        <v>2.9371546757275815</v>
      </c>
      <c r="BG1183" s="70">
        <f t="shared" si="697"/>
        <v>7.2880268307901758E-2</v>
      </c>
      <c r="BH1183" s="67">
        <f>MAX((CE1183-Driver!$F$200)/(Driver!$G$200-Driver!$F$200)*$BI$1,1)</f>
        <v>5.9021058622652243</v>
      </c>
      <c r="BI1183" s="67">
        <f>MAX($BI$1*(BY1183-Driver!$F$201)/(Driver!$G$201-Driver!$F$201),1)</f>
        <v>8.6708860759493671</v>
      </c>
      <c r="BJ1183" s="67">
        <f>(CB1183-Driver!$F$206)/(Driver!$G$206-Driver!$F$206)*$BI$1</f>
        <v>4.2857142857142856</v>
      </c>
      <c r="BK1183" s="67">
        <f>(CD1183-Driver!$F$203)/(Driver!$G$203-Driver!$F$203)*$BI$1</f>
        <v>4.1284403669724767</v>
      </c>
      <c r="BL1183" s="67">
        <f>MAX((CR1183-Driver!$F$202)/(Driver!$G$202-Driver!$F$202)*$BI$1,1)</f>
        <v>6.5517241379310338</v>
      </c>
      <c r="BM1183" s="67">
        <f>MAX((CH1183-Driver!$F$204)/(Driver!$G$204-Driver!$F$204)*$BI$1,1)</f>
        <v>7.2649572649572649</v>
      </c>
      <c r="BN1183" s="67">
        <f>(CI1183-Driver!$F$205)/(Driver!$G$205-Driver!$F$205)*$BI$1</f>
        <v>7.5294117647058822</v>
      </c>
      <c r="BO1183" s="67">
        <f>(CK1183-Driver!$F$207)/(Driver!$G$207-Driver!$F$207)*$BI$1</f>
        <v>1.5718717683557393</v>
      </c>
      <c r="BP1183" s="67">
        <f>(CM1183-Driver!$F$208)/(Driver!$G$208-Driver!$F$208)*$BI$1</f>
        <v>1.7999999999999998</v>
      </c>
      <c r="BQ1183" s="67">
        <f>(CL1183-Driver!$F$209)/(Driver!$G$209-Driver!$F$209)*$BI$1</f>
        <v>3.125</v>
      </c>
      <c r="BR1183" s="28" t="s">
        <v>155</v>
      </c>
      <c r="BS1183" s="8" t="s">
        <v>182</v>
      </c>
      <c r="BT1183" s="9" t="s">
        <v>271</v>
      </c>
      <c r="BU1183" s="10">
        <v>188</v>
      </c>
      <c r="BV1183" s="9" t="s">
        <v>158</v>
      </c>
      <c r="BW1183" s="10">
        <v>188</v>
      </c>
      <c r="BX1183" s="10">
        <v>187.6</v>
      </c>
      <c r="BY1183" s="10">
        <v>145</v>
      </c>
      <c r="BZ1183" s="10">
        <v>159</v>
      </c>
      <c r="CA1183" s="10">
        <v>131</v>
      </c>
      <c r="CB1183" s="10">
        <v>91</v>
      </c>
      <c r="CC1183" s="10">
        <v>118</v>
      </c>
      <c r="CD1183" s="10">
        <v>18.399999999999999</v>
      </c>
      <c r="CE1183" s="10">
        <v>1937</v>
      </c>
      <c r="CF1183" s="10">
        <v>1.01</v>
      </c>
      <c r="CG1183" s="10">
        <v>1964</v>
      </c>
      <c r="CH1183" s="10">
        <v>271</v>
      </c>
      <c r="CI1183" s="10">
        <v>161</v>
      </c>
      <c r="CJ1183" s="10">
        <v>49</v>
      </c>
      <c r="CK1183" s="10">
        <v>262</v>
      </c>
      <c r="CL1183" s="10">
        <v>20</v>
      </c>
      <c r="CM1183" s="10">
        <v>162</v>
      </c>
      <c r="CN1183" s="10">
        <v>0.40400000000000003</v>
      </c>
      <c r="CO1183" s="10">
        <v>182</v>
      </c>
      <c r="CP1183" s="10">
        <v>105</v>
      </c>
      <c r="CQ1183" s="10">
        <v>80</v>
      </c>
      <c r="CR1183" s="10">
        <v>8</v>
      </c>
      <c r="CS1183" s="10">
        <v>9.6</v>
      </c>
      <c r="CT1183" s="9" t="s">
        <v>188</v>
      </c>
      <c r="CU1183" s="10"/>
      <c r="CV1183" s="10"/>
      <c r="CW1183" s="10"/>
      <c r="CX1183" t="str">
        <f>INDEX('Data_Price '!AG$2:AG$1266,MATCH(Data!$DN1183,'Data_Price '!$AT$2:$AT$1266,0))</f>
        <v>Armada Declivity 92 Ti Limited Incl Warden 13 Binding Black-Green 188 Ski Men</v>
      </c>
      <c r="CY1183" t="str">
        <f>INDEX('Data_Price '!AH$2:AH$1266,MATCH(Data!$DN1183,'Data_Price '!$AT$2:$AT$1266,0))</f>
        <v>! OutdoorXL.com</v>
      </c>
      <c r="CZ1183">
        <f>INDEX('Data_Price '!AI$2:AI$1266,MATCH(Data!$DN1183,'Data_Price '!$AT$2:$AT$1266,0))</f>
        <v>424.95</v>
      </c>
      <c r="DA1183" t="str">
        <f>INDEX('Data_Price '!AJ$2:AJ$1266,MATCH(Data!$DN1183,'Data_Price '!$AT$2:$AT$1266,0))</f>
        <v>https://tinyurl.com/yc2a7nxo</v>
      </c>
      <c r="DB1183" t="str">
        <f>INDEX('Data_Price '!AK$2:AK$1266,MATCH(Data!$DN1183,'Data_Price '!$AT$2:$AT$1266,0))</f>
        <v>Armada Declivity 92 Ti</v>
      </c>
      <c r="DC1183" t="str">
        <f>INDEX('Data_Price '!AL$2:AL$1266,MATCH(Data!$DN1183,'Data_Price '!$AT$2:$AT$1266,0))</f>
        <v>Curated</v>
      </c>
      <c r="DD1183">
        <f>INDEX('Data_Price '!AM$2:AM$1266,MATCH(Data!$DN1183,'Data_Price '!$AT$2:$AT$1266,0))</f>
        <v>519</v>
      </c>
      <c r="DE1183" t="str">
        <f>INDEX('Data_Price '!AN$2:AN$1266,MATCH(Data!$DN1183,'Data_Price '!$AT$2:$AT$1266,0))</f>
        <v>https://tinyurl.com/yb356tcc</v>
      </c>
      <c r="DF1183" t="str">
        <f>INDEX('Data_Price '!AO$2:AO$1266,MATCH(Data!$DN1183,'Data_Price '!$AT$2:$AT$1266,0))</f>
        <v>Armada Declivity 92 Ti</v>
      </c>
      <c r="DG1183" t="str">
        <f>INDEX('Data_Price '!AP$2:AP$1266,MATCH(Data!$DN1183,'Data_Price '!$AT$2:$AT$1266,0))</f>
        <v>SkiEssentials.com</v>
      </c>
      <c r="DH1183">
        <f>INDEX('Data_Price '!AQ$2:AQ$1266,MATCH(Data!$DN1183,'Data_Price '!$AT$2:$AT$1266,0))</f>
        <v>519.96</v>
      </c>
      <c r="DI1183" t="str">
        <f>INDEX('Data_Price '!AR$2:AR$1266,MATCH(Data!$DN1183,'Data_Price '!$AT$2:$AT$1266,0))</f>
        <v>https://tinyurl.com/y8x47dew</v>
      </c>
      <c r="DJ1183" s="89" t="str">
        <f t="shared" si="698"/>
        <v>https://tinyurl.com/yc2a7nxo</v>
      </c>
      <c r="DK1183" s="89" t="str">
        <f t="shared" si="699"/>
        <v>https://tinyurl.com/yb356tcc</v>
      </c>
      <c r="DL1183" s="89" t="str">
        <f t="shared" si="700"/>
        <v>https://tinyurl.com/y8x47dew</v>
      </c>
      <c r="DM1183" s="219" t="str">
        <f t="shared" si="701"/>
        <v>Declivity 92 Ti</v>
      </c>
      <c r="DN1183" s="89" t="str">
        <f t="shared" si="702"/>
        <v xml:space="preserve"> ArmadaDeclivity 92 Ti188 Unisex</v>
      </c>
      <c r="DO1183" s="221" t="s">
        <v>272</v>
      </c>
    </row>
    <row r="1184" spans="2:119" ht="15.6" customHeight="1">
      <c r="B1184" s="219" t="b">
        <f t="array" ref="B1184">IF(OR(ISERROR(K1184:P1184)),FALSE,TRUE)</f>
        <v>1</v>
      </c>
      <c r="C1184" s="43" t="b">
        <f>OR(BR1184=Driver!$G$50,Data!BR79=Driver!$H$50)</f>
        <v>1</v>
      </c>
      <c r="D1184" s="43" t="b">
        <f>OR(BV1184=Driver!$G$51,BV1184=Driver!$H$51)</f>
        <v>1</v>
      </c>
      <c r="E1184" s="43" t="b">
        <f>AND(BX1184&gt;Driver!$F$54,BX1184&lt;Driver!$G$54)</f>
        <v>0</v>
      </c>
      <c r="F1184" s="43" t="b">
        <f>CL1184&gt;Driver!$F$56</f>
        <v>1</v>
      </c>
      <c r="G1184" s="43" t="b">
        <f>AND(CB1184&gt;Driver!$F$55,CB1184&lt;Driver!$G$55)</f>
        <v>0</v>
      </c>
      <c r="H1184" s="43" t="b">
        <f t="shared" si="666"/>
        <v>0</v>
      </c>
      <c r="I1184" s="43">
        <f t="shared" si="667"/>
        <v>0</v>
      </c>
      <c r="J1184" s="43" t="b">
        <f t="array" ref="J1184">NOT(OR(($H$9:$H$1273=TRUE)*($I$9:$I$1273&gt;0)*($BT$9:$BT$1273=BT1184)*($K$9:$K$1273&gt;K1184)))</f>
        <v>1</v>
      </c>
      <c r="K1184" s="72">
        <f t="shared" si="668"/>
        <v>0.5316423126752351</v>
      </c>
      <c r="L1184" s="72">
        <f t="shared" si="669"/>
        <v>0.45307526296088918</v>
      </c>
      <c r="M1184" s="72">
        <f t="shared" si="670"/>
        <v>0.61020936238958101</v>
      </c>
      <c r="N1184" s="72">
        <f t="shared" si="671"/>
        <v>0.29393464918705725</v>
      </c>
      <c r="O1184" s="72">
        <f t="shared" si="672"/>
        <v>0.6356194535355868</v>
      </c>
      <c r="P1184" s="72">
        <f t="shared" si="673"/>
        <v>0.90107398444609921</v>
      </c>
      <c r="Q1184" s="72"/>
      <c r="R1184" s="72"/>
      <c r="S1184" s="72">
        <f t="shared" si="674"/>
        <v>0.457750772020179</v>
      </c>
      <c r="T1184" s="72">
        <f t="shared" si="675"/>
        <v>0.53757254099472207</v>
      </c>
      <c r="U1184" s="72">
        <f t="shared" si="676"/>
        <v>0.49556693006948427</v>
      </c>
      <c r="V1184" s="72">
        <f t="shared" si="677"/>
        <v>0.78415145832637745</v>
      </c>
      <c r="W1184" s="72">
        <f t="shared" si="678"/>
        <v>0.79154594471349737</v>
      </c>
      <c r="X1184" s="72">
        <f t="shared" si="679"/>
        <v>0.54692473703911082</v>
      </c>
      <c r="Y1184" s="72">
        <f t="shared" si="680"/>
        <v>0.38979063761041893</v>
      </c>
      <c r="Z1184" s="72">
        <f t="shared" si="681"/>
        <v>0.70606535081294275</v>
      </c>
      <c r="AA1184" s="72">
        <f t="shared" si="682"/>
        <v>0.36438054646441326</v>
      </c>
      <c r="AB1184" s="72">
        <f t="shared" si="683"/>
        <v>9.8926015553900792E-2</v>
      </c>
      <c r="AC1184" s="72"/>
      <c r="AD1184" s="72"/>
      <c r="AE1184" s="72">
        <f t="shared" si="684"/>
        <v>0.542249227979821</v>
      </c>
      <c r="AF1184" s="72">
        <f t="shared" si="685"/>
        <v>0.46242745900527793</v>
      </c>
      <c r="AG1184" s="72">
        <f t="shared" si="686"/>
        <v>0.50443306993051573</v>
      </c>
      <c r="AH1184" s="72">
        <f t="shared" si="687"/>
        <v>0.21584854167362255</v>
      </c>
      <c r="AI1184" s="72">
        <f t="shared" si="688"/>
        <v>0.20845405528650265</v>
      </c>
      <c r="AJ1184" s="72">
        <f>(AV1184-Driver!$K$179)/(Driver!$L$179-Driver!$K$179)</f>
        <v>0.8011441463218113</v>
      </c>
      <c r="AK1184" s="72">
        <f>(AW1184-Driver!$K$180)/(Driver!$L$180-Driver!$K$180)</f>
        <v>0.39693582607537092</v>
      </c>
      <c r="AL1184" s="72">
        <f>(AX1184-Driver!$K$181)/(Driver!$L$181-Driver!$K$181)</f>
        <v>0.80775311452602294</v>
      </c>
      <c r="AM1184" s="72">
        <f>(AY1184-Driver!$K$182)/(Driver!$L$182-Driver!$K$182)</f>
        <v>8.3004474632633093E-2</v>
      </c>
      <c r="AN1184" s="72">
        <f>(AZ1184-Driver!$K$183)/(Driver!$L$183-Driver!$K$183)</f>
        <v>0.35314542483660122</v>
      </c>
      <c r="AO1184" s="72"/>
      <c r="AP1184" s="72"/>
      <c r="AQ1184" s="72">
        <f>(BC1184-Driver!$K$188)/(Driver!$L$188-Driver!$K$188)</f>
        <v>7.7750772020179021E-2</v>
      </c>
      <c r="AR1184" s="72">
        <f>MIN((BD1184-Driver!$K$189)/(Driver!$L$189-Driver!$K$189),100%)</f>
        <v>8.7572540994722101E-2</v>
      </c>
      <c r="AS1184" s="72">
        <f>(BE1184-Driver!$K$190)/(Driver!$L$190-Driver!$K$190)</f>
        <v>5.5669300694843075E-3</v>
      </c>
      <c r="AT1184" s="72">
        <f>(BF1184-Driver!$K$191)/(Driver!$L$191-Driver!$K$191)</f>
        <v>0.29415145832637746</v>
      </c>
      <c r="AU1184" s="72">
        <f>(BG1184-Driver!$K$192)/(Driver!$L$192-Driver!$K$192)</f>
        <v>4.1545944713497346E-2</v>
      </c>
      <c r="AV1184" s="70">
        <f t="shared" si="689"/>
        <v>16.861687695021029</v>
      </c>
      <c r="AW1184" s="70">
        <f t="shared" si="690"/>
        <v>40.556806081722215</v>
      </c>
      <c r="AX1184" s="70">
        <f t="shared" si="691"/>
        <v>8.2697780307342068</v>
      </c>
      <c r="AY1184" s="70">
        <f>IFERROR(Driver!$K$19/Data!BH1184/Data!BI1184*Data!BK1184*Data!BL1184,"")</f>
        <v>0.10162224309524084</v>
      </c>
      <c r="AZ1184" s="70">
        <f t="shared" si="692"/>
        <v>32.185405807892771</v>
      </c>
      <c r="BA1184" s="70"/>
      <c r="BB1184" s="70"/>
      <c r="BC1184" s="70">
        <f t="shared" si="693"/>
        <v>40.329865961464861</v>
      </c>
      <c r="BD1184" s="70">
        <f t="shared" si="694"/>
        <v>9.4708375927698434</v>
      </c>
      <c r="BE1184" s="70">
        <f t="shared" si="695"/>
        <v>5.7443257363389436E-3</v>
      </c>
      <c r="BF1184" s="70">
        <f t="shared" si="696"/>
        <v>33.222340687012093</v>
      </c>
      <c r="BG1184" s="70">
        <f t="shared" si="697"/>
        <v>0.15731945013279061</v>
      </c>
      <c r="BH1184" s="67">
        <f>MAX((CE1184-Driver!$F$200)/(Driver!$G$200-Driver!$F$200)*$BI$1,1)</f>
        <v>8.2697780307342068</v>
      </c>
      <c r="BI1184" s="67">
        <f>MAX($BI$1*(BY1184-Driver!$F$201)/(Driver!$G$201-Driver!$F$201),1)</f>
        <v>5.7594936708860756</v>
      </c>
      <c r="BJ1184" s="67">
        <f>(CB1184-Driver!$F$206)/(Driver!$G$206-Driver!$F$206)*$BI$1</f>
        <v>9.6825396825396819</v>
      </c>
      <c r="BK1184" s="67">
        <f>(CD1184-Driver!$F$203)/(Driver!$G$203-Driver!$F$203)*$BI$1</f>
        <v>3.8990825688073394</v>
      </c>
      <c r="BL1184" s="67">
        <f>MAX((CR1184-Driver!$F$202)/(Driver!$G$202-Driver!$F$202)*$BI$1,1)</f>
        <v>6.2068965517241379</v>
      </c>
      <c r="BM1184" s="67">
        <f>MAX((CH1184-Driver!$F$204)/(Driver!$G$204-Driver!$F$204)*$BI$1,1)</f>
        <v>6.9658119658119659</v>
      </c>
      <c r="BN1184" s="67">
        <f>(CI1184-Driver!$F$205)/(Driver!$G$205-Driver!$F$205)*$BI$1</f>
        <v>5.5882352941176467</v>
      </c>
      <c r="BO1184" s="67">
        <f>(CK1184-Driver!$F$207)/(Driver!$G$207-Driver!$F$207)*$BI$1</f>
        <v>3.1437435367114785</v>
      </c>
      <c r="BP1184" s="67">
        <f>(CM1184-Driver!$F$208)/(Driver!$G$208-Driver!$F$208)*$BI$1</f>
        <v>4.2555555555555555</v>
      </c>
      <c r="BQ1184" s="67">
        <f>(CL1184-Driver!$F$209)/(Driver!$G$209-Driver!$F$209)*$BI$1</f>
        <v>9.0625</v>
      </c>
      <c r="BR1184" s="28" t="s">
        <v>155</v>
      </c>
      <c r="BS1184" s="8" t="s">
        <v>182</v>
      </c>
      <c r="BT1184" s="9" t="s">
        <v>876</v>
      </c>
      <c r="BU1184" s="10">
        <v>180</v>
      </c>
      <c r="BV1184" s="9" t="s">
        <v>158</v>
      </c>
      <c r="BW1184" s="10">
        <v>180</v>
      </c>
      <c r="BX1184" s="10">
        <v>178.7</v>
      </c>
      <c r="BY1184" s="10">
        <v>99</v>
      </c>
      <c r="BZ1184" s="10">
        <v>115</v>
      </c>
      <c r="CA1184" s="10">
        <v>142</v>
      </c>
      <c r="CB1184" s="10">
        <v>125</v>
      </c>
      <c r="CC1184" s="10">
        <v>139</v>
      </c>
      <c r="CD1184" s="10">
        <v>17.899999999999999</v>
      </c>
      <c r="CE1184" s="10">
        <v>2353</v>
      </c>
      <c r="CF1184" s="10">
        <v>1</v>
      </c>
      <c r="CG1184" s="10">
        <v>2343</v>
      </c>
      <c r="CH1184" s="10">
        <v>264</v>
      </c>
      <c r="CI1184" s="10">
        <v>128</v>
      </c>
      <c r="CJ1184" s="10">
        <v>60</v>
      </c>
      <c r="CK1184" s="10">
        <v>414</v>
      </c>
      <c r="CL1184" s="10">
        <v>58</v>
      </c>
      <c r="CM1184" s="10">
        <v>383</v>
      </c>
      <c r="CN1184" s="10">
        <v>0.96899999999999997</v>
      </c>
      <c r="CO1184" s="10">
        <v>325</v>
      </c>
      <c r="CP1184" s="10">
        <v>311</v>
      </c>
      <c r="CQ1184" s="10">
        <v>89</v>
      </c>
      <c r="CR1184" s="10">
        <v>7</v>
      </c>
      <c r="CS1184" s="10">
        <v>4.7</v>
      </c>
      <c r="CT1184" s="9" t="s">
        <v>184</v>
      </c>
      <c r="CU1184" s="9" t="s">
        <v>169</v>
      </c>
      <c r="CV1184" s="10"/>
      <c r="CW1184" s="10"/>
      <c r="CX1184" t="str">
        <f>INDEX('Data_Price '!AG$2:AG$1266,MATCH(Data!$DN1184,'Data_Price '!$AT$2:$AT$1266,0))</f>
        <v>Armada Magic J Skis 180cm 2022</v>
      </c>
      <c r="CY1184" t="str">
        <f>INDEX('Data_Price '!AH$2:AH$1266,MATCH(Data!$DN1184,'Data_Price '!$AT$2:$AT$1266,0))</f>
        <v>Blue Tomato</v>
      </c>
      <c r="CZ1184">
        <f>INDEX('Data_Price '!AI$2:AI$1266,MATCH(Data!$DN1184,'Data_Price '!$AT$2:$AT$1266,0))</f>
        <v>451.71</v>
      </c>
      <c r="DA1184" t="str">
        <f>INDEX('Data_Price '!AJ$2:AJ$1266,MATCH(Data!$DN1184,'Data_Price '!$AT$2:$AT$1266,0))</f>
        <v>https://tinyurl.com/yasvbvo7</v>
      </c>
      <c r="DB1184" t="str">
        <f>INDEX('Data_Price '!AK$2:AK$1266,MATCH(Data!$DN1184,'Data_Price '!$AT$2:$AT$1266,0))</f>
        <v>Armada Magic J Skis 180cm 2022</v>
      </c>
      <c r="DC1184" t="str">
        <f>INDEX('Data_Price '!AL$2:AL$1266,MATCH(Data!$DN1184,'Data_Price '!$AT$2:$AT$1266,0))</f>
        <v>Ski Pro  - Snow Ski &amp; Snowboard</v>
      </c>
      <c r="DD1184">
        <f>INDEX('Data_Price '!AM$2:AM$1266,MATCH(Data!$DN1184,'Data_Price '!$AT$2:$AT$1266,0))</f>
        <v>549.95000000000005</v>
      </c>
      <c r="DE1184" t="str">
        <f>INDEX('Data_Price '!AN$2:AN$1266,MATCH(Data!$DN1184,'Data_Price '!$AT$2:$AT$1266,0))</f>
        <v>https://tinyurl.com/y9z7c6yp</v>
      </c>
      <c r="DF1184" t="str">
        <f>INDEX('Data_Price '!AO$2:AO$1266,MATCH(Data!$DN1184,'Data_Price '!$AT$2:$AT$1266,0))</f>
        <v>Armada Magic J Skis 180cm 2022</v>
      </c>
      <c r="DG1184" t="str">
        <f>INDEX('Data_Price '!AP$2:AP$1266,MATCH(Data!$DN1184,'Data_Price '!$AT$2:$AT$1266,0))</f>
        <v>Teton Wasatch Ski Co.</v>
      </c>
      <c r="DH1184">
        <f>INDEX('Data_Price '!AQ$2:AQ$1266,MATCH(Data!$DN1184,'Data_Price '!$AT$2:$AT$1266,0))</f>
        <v>599</v>
      </c>
      <c r="DI1184" t="str">
        <f>INDEX('Data_Price '!AR$2:AR$1266,MATCH(Data!$DN1184,'Data_Price '!$AT$2:$AT$1266,0))</f>
        <v>https://tinyurl.com/y8wbtooe</v>
      </c>
      <c r="DJ1184" s="89" t="str">
        <f t="shared" si="698"/>
        <v>https://tinyurl.com/yasvbvo7</v>
      </c>
      <c r="DK1184" s="89" t="str">
        <f t="shared" si="699"/>
        <v>https://tinyurl.com/y9z7c6yp</v>
      </c>
      <c r="DL1184" s="89" t="str">
        <f t="shared" si="700"/>
        <v>https://tinyurl.com/y8wbtooe</v>
      </c>
      <c r="DM1184" s="219" t="str">
        <f t="shared" si="701"/>
        <v>Magic J</v>
      </c>
      <c r="DN1184" s="89" t="str">
        <f t="shared" si="702"/>
        <v xml:space="preserve"> ArmadaMagic J180 Unisex</v>
      </c>
      <c r="DO1184" s="221" t="s">
        <v>877</v>
      </c>
    </row>
    <row r="1185" spans="2:119" ht="15.6" customHeight="1">
      <c r="B1185" s="219" t="b">
        <f t="array" ref="B1185">IF(OR(ISERROR(K1185:P1185)),FALSE,TRUE)</f>
        <v>1</v>
      </c>
      <c r="C1185" s="43" t="b">
        <f>OR(BR1185=Driver!$G$50,Data!BR313=Driver!$H$50)</f>
        <v>1</v>
      </c>
      <c r="D1185" s="43" t="b">
        <f>OR(BV1185=Driver!$G$51,BV1185=Driver!$H$51)</f>
        <v>1</v>
      </c>
      <c r="E1185" s="43" t="b">
        <f>AND(BX1185&gt;Driver!$F$54,BX1185&lt;Driver!$G$54)</f>
        <v>1</v>
      </c>
      <c r="F1185" s="43" t="b">
        <f>CL1185&gt;Driver!$F$56</f>
        <v>1</v>
      </c>
      <c r="G1185" s="43" t="b">
        <f>AND(CB1185&gt;Driver!$F$55,CB1185&lt;Driver!$G$55)</f>
        <v>0</v>
      </c>
      <c r="H1185" s="43" t="b">
        <f t="shared" si="666"/>
        <v>0</v>
      </c>
      <c r="I1185" s="43">
        <f t="shared" si="667"/>
        <v>0</v>
      </c>
      <c r="J1185" s="43" t="b">
        <f t="array" ref="J1185">NOT(OR(($H$9:$H$1273=TRUE)*($I$9:$I$1273&gt;0)*($BT$9:$BT$1273=BT1185)*($K$9:$K$1273&gt;K1185)))</f>
        <v>1</v>
      </c>
      <c r="K1185" s="72">
        <f t="shared" si="668"/>
        <v>0.70048312180595018</v>
      </c>
      <c r="L1185" s="72">
        <f t="shared" si="669"/>
        <v>0.82998009116045479</v>
      </c>
      <c r="M1185" s="72">
        <f t="shared" si="670"/>
        <v>0.57098615245144546</v>
      </c>
      <c r="N1185" s="72">
        <f t="shared" si="671"/>
        <v>0.36665962231043669</v>
      </c>
      <c r="O1185" s="72">
        <f t="shared" si="672"/>
        <v>0.59379511203570912</v>
      </c>
      <c r="P1185" s="72">
        <f t="shared" si="673"/>
        <v>0.75250372300819057</v>
      </c>
      <c r="Q1185" s="72"/>
      <c r="R1185" s="72"/>
      <c r="S1185" s="72">
        <f t="shared" si="674"/>
        <v>0.54219382814303141</v>
      </c>
      <c r="T1185" s="72">
        <f t="shared" si="675"/>
        <v>0.99812342663449294</v>
      </c>
      <c r="U1185" s="72">
        <f t="shared" si="676"/>
        <v>0.51</v>
      </c>
      <c r="V1185" s="72">
        <f t="shared" si="677"/>
        <v>0.49107769675417956</v>
      </c>
      <c r="W1185" s="72">
        <f t="shared" si="678"/>
        <v>0.76067736606089209</v>
      </c>
      <c r="X1185" s="72">
        <f t="shared" si="679"/>
        <v>0.17001990883954518</v>
      </c>
      <c r="Y1185" s="72">
        <f t="shared" si="680"/>
        <v>0.42901384754855454</v>
      </c>
      <c r="Z1185" s="72">
        <f t="shared" si="681"/>
        <v>0.63334037768956331</v>
      </c>
      <c r="AA1185" s="72">
        <f t="shared" si="682"/>
        <v>0.40620488796429088</v>
      </c>
      <c r="AB1185" s="72">
        <f t="shared" si="683"/>
        <v>0.24749627699180937</v>
      </c>
      <c r="AC1185" s="72"/>
      <c r="AD1185" s="72"/>
      <c r="AE1185" s="72">
        <f t="shared" si="684"/>
        <v>0.45780617185696865</v>
      </c>
      <c r="AF1185" s="72">
        <f t="shared" si="685"/>
        <v>1.8765733655070616E-3</v>
      </c>
      <c r="AG1185" s="72">
        <f t="shared" si="686"/>
        <v>0.49</v>
      </c>
      <c r="AH1185" s="72">
        <f t="shared" si="687"/>
        <v>0.50892230324582044</v>
      </c>
      <c r="AI1185" s="72">
        <f t="shared" si="688"/>
        <v>0.23932263393910785</v>
      </c>
      <c r="AJ1185" s="72">
        <f>(AV1185-Driver!$K$179)/(Driver!$L$179-Driver!$K$179)</f>
        <v>8.4199500443155245E-2</v>
      </c>
      <c r="AK1185" s="72">
        <f>(AW1185-Driver!$K$180)/(Driver!$L$180-Driver!$K$180)</f>
        <v>0.52863088632214361</v>
      </c>
      <c r="AL1185" s="72">
        <f>(AX1185-Driver!$K$181)/(Driver!$L$181-Driver!$K$181)</f>
        <v>0.7350281414026435</v>
      </c>
      <c r="AM1185" s="72">
        <f>(AY1185-Driver!$K$182)/(Driver!$L$182-Driver!$K$182)</f>
        <v>4.1180133132755467E-2</v>
      </c>
      <c r="AN1185" s="72">
        <f>(AZ1185-Driver!$K$183)/(Driver!$L$183-Driver!$K$183)</f>
        <v>0.5017156862745098</v>
      </c>
      <c r="AO1185" s="72"/>
      <c r="AP1185" s="72"/>
      <c r="AQ1185" s="72">
        <f>(BC1185-Driver!$K$188)/(Driver!$L$188-Driver!$K$188)</f>
        <v>0.16219382814303135</v>
      </c>
      <c r="AR1185" s="72">
        <f>MIN((BD1185-Driver!$K$189)/(Driver!$L$189-Driver!$K$189),100%)</f>
        <v>0.54812342663449298</v>
      </c>
      <c r="AS1185" s="72">
        <f>(BE1185-Driver!$K$190)/(Driver!$L$190-Driver!$K$190)</f>
        <v>1</v>
      </c>
      <c r="AT1185" s="72">
        <f>(BF1185-Driver!$K$191)/(Driver!$L$191-Driver!$K$191)</f>
        <v>1.0776967541795816E-3</v>
      </c>
      <c r="AU1185" s="72">
        <f>(BG1185-Driver!$K$192)/(Driver!$L$192-Driver!$K$192)</f>
        <v>1.0677366060892139E-2</v>
      </c>
      <c r="AV1185" s="70">
        <f t="shared" si="689"/>
        <v>1.7721476054809386</v>
      </c>
      <c r="AW1185" s="70">
        <f t="shared" si="690"/>
        <v>53.39165663971464</v>
      </c>
      <c r="AX1185" s="70">
        <f t="shared" si="691"/>
        <v>7.6152532726237911</v>
      </c>
      <c r="AY1185" s="70">
        <f>IFERROR(Driver!$K$19/Data!BH1185/Data!BI1185*Data!BK1185*Data!BL1185,"")</f>
        <v>5.0416769920329126E-2</v>
      </c>
      <c r="AZ1185" s="70">
        <f t="shared" si="692"/>
        <v>45.725986597170518</v>
      </c>
      <c r="BA1185" s="70"/>
      <c r="BB1185" s="70"/>
      <c r="BC1185" s="70">
        <f t="shared" si="693"/>
        <v>84.131066210990667</v>
      </c>
      <c r="BD1185" s="70">
        <f t="shared" si="694"/>
        <v>50.228774924008306</v>
      </c>
      <c r="BE1185" s="70">
        <f t="shared" si="695"/>
        <v>1</v>
      </c>
      <c r="BF1185" s="70">
        <f t="shared" si="696"/>
        <v>0.12171827713638285</v>
      </c>
      <c r="BG1185" s="70">
        <f t="shared" si="697"/>
        <v>4.0431319329714416E-2</v>
      </c>
      <c r="BH1185" s="67">
        <f>MAX((CE1185-Driver!$F$200)/(Driver!$G$200-Driver!$F$200)*$BI$1,1)</f>
        <v>7.6152532726237911</v>
      </c>
      <c r="BI1185" s="67">
        <f>MAX($BI$1*(BY1185-Driver!$F$201)/(Driver!$G$201-Driver!$F$201),1)</f>
        <v>8.7341772151898738</v>
      </c>
      <c r="BJ1185" s="67">
        <f>(CB1185-Driver!$F$206)/(Driver!$G$206-Driver!$F$206)*$BI$1</f>
        <v>1.746031746031746</v>
      </c>
      <c r="BK1185" s="67">
        <f>(CD1185-Driver!$F$203)/(Driver!$G$203-Driver!$F$203)*$BI$1</f>
        <v>2.4311926605504586</v>
      </c>
      <c r="BL1185" s="67">
        <f>MAX((CR1185-Driver!$F$202)/(Driver!$G$202-Driver!$F$202)*$BI$1,1)</f>
        <v>6.8965517241379315</v>
      </c>
      <c r="BM1185" s="67">
        <f>MAX((CH1185-Driver!$F$204)/(Driver!$G$204-Driver!$F$204)*$BI$1,1)</f>
        <v>4.0598290598290596</v>
      </c>
      <c r="BN1185" s="67">
        <f>(CI1185-Driver!$F$205)/(Driver!$G$205-Driver!$F$205)*$BI$1</f>
        <v>5.2352941176470589</v>
      </c>
      <c r="BO1185" s="67">
        <f>(CK1185-Driver!$F$207)/(Driver!$G$207-Driver!$F$207)*$BI$1</f>
        <v>0.25853154084798347</v>
      </c>
      <c r="BP1185" s="67">
        <f>(CM1185-Driver!$F$208)/(Driver!$G$208-Driver!$F$208)*$BI$1</f>
        <v>0.65555555555555567</v>
      </c>
      <c r="BQ1185" s="67">
        <f>(CL1185-Driver!$F$209)/(Driver!$G$209-Driver!$F$209)*$BI$1</f>
        <v>1.25</v>
      </c>
      <c r="BR1185" s="28" t="s">
        <v>155</v>
      </c>
      <c r="BS1185" s="8" t="s">
        <v>317</v>
      </c>
      <c r="BT1185" s="9" t="s">
        <v>878</v>
      </c>
      <c r="BU1185" s="10">
        <v>166</v>
      </c>
      <c r="BV1185" s="9" t="s">
        <v>158</v>
      </c>
      <c r="BW1185" s="10">
        <v>166</v>
      </c>
      <c r="BX1185" s="10">
        <v>165.1</v>
      </c>
      <c r="BY1185" s="10">
        <v>146</v>
      </c>
      <c r="BZ1185" s="10">
        <v>153</v>
      </c>
      <c r="CA1185" s="10">
        <v>124</v>
      </c>
      <c r="CB1185" s="10">
        <v>75</v>
      </c>
      <c r="CC1185" s="10">
        <v>105</v>
      </c>
      <c r="CD1185" s="10">
        <v>14.7</v>
      </c>
      <c r="CE1185" s="10">
        <v>2238</v>
      </c>
      <c r="CF1185" s="10">
        <v>0.66</v>
      </c>
      <c r="CG1185" s="10">
        <v>1477</v>
      </c>
      <c r="CH1185" s="10">
        <v>196</v>
      </c>
      <c r="CI1185" s="10">
        <v>122</v>
      </c>
      <c r="CJ1185" s="10">
        <v>42</v>
      </c>
      <c r="CK1185" s="10">
        <v>135</v>
      </c>
      <c r="CL1185" s="10">
        <v>8</v>
      </c>
      <c r="CM1185" s="10">
        <v>59</v>
      </c>
      <c r="CN1185" s="10">
        <v>0.182</v>
      </c>
      <c r="CO1185" s="10">
        <v>73</v>
      </c>
      <c r="CP1185" s="10">
        <v>51</v>
      </c>
      <c r="CQ1185" s="10">
        <v>62</v>
      </c>
      <c r="CR1185" s="10">
        <v>9</v>
      </c>
      <c r="CS1185" s="10">
        <v>11.7</v>
      </c>
      <c r="CT1185" s="9" t="s">
        <v>349</v>
      </c>
      <c r="CU1185" s="10"/>
      <c r="CV1185" s="10"/>
      <c r="CW1185" s="10"/>
      <c r="CX1185" t="str">
        <f>INDEX('Data_Price '!AG$2:AG$1266,MATCH(Data!$DN1185,'Data_Price '!$AT$2:$AT$1266,0))</f>
        <v>Blizzard Thunderbird R15 WB Skis</v>
      </c>
      <c r="CY1185" t="str">
        <f>INDEX('Data_Price '!AH$2:AH$1266,MATCH(Data!$DN1185,'Data_Price '!$AT$2:$AT$1266,0))</f>
        <v>Cole Sport</v>
      </c>
      <c r="CZ1185">
        <f>INDEX('Data_Price '!AI$2:AI$1266,MATCH(Data!$DN1185,'Data_Price '!$AT$2:$AT$1266,0))</f>
        <v>899.95</v>
      </c>
      <c r="DA1185" t="str">
        <f>INDEX('Data_Price '!AJ$2:AJ$1266,MATCH(Data!$DN1185,'Data_Price '!$AT$2:$AT$1266,0))</f>
        <v>https://tinyurl.com/y9tozqaq</v>
      </c>
      <c r="DB1185" t="str">
        <f>INDEX('Data_Price '!AK$2:AK$1266,MATCH(Data!$DN1185,'Data_Price '!$AT$2:$AT$1266,0))</f>
        <v>Blizzard Thunderbird R15 Wide Body Skis TPX 12 Demo Bindings Mens 202</v>
      </c>
      <c r="DC1185" t="str">
        <f>INDEX('Data_Price '!AL$2:AL$1266,MATCH(Data!$DN1185,'Data_Price '!$AT$2:$AT$1266,0))</f>
        <v>BlueZone Sports</v>
      </c>
      <c r="DD1185">
        <f>INDEX('Data_Price '!AM$2:AM$1266,MATCH(Data!$DN1185,'Data_Price '!$AT$2:$AT$1266,0))</f>
        <v>899.95</v>
      </c>
      <c r="DE1185" t="str">
        <f>INDEX('Data_Price '!AN$2:AN$1266,MATCH(Data!$DN1185,'Data_Price '!$AT$2:$AT$1266,0))</f>
        <v>https://tinyurl.com/ybdfkg2y</v>
      </c>
      <c r="DF1185" t="str">
        <f>INDEX('Data_Price '!AO$2:AO$1266,MATCH(Data!$DN1185,'Data_Price '!$AT$2:$AT$1266,0))</f>
        <v>Blizzard Women's Black Pearl 82 + TP 10 Skis 166</v>
      </c>
      <c r="DG1185" t="str">
        <f>INDEX('Data_Price '!AP$2:AP$1266,MATCH(Data!$DN1185,'Data_Price '!$AT$2:$AT$1266,0))</f>
        <v>sunandski.com</v>
      </c>
      <c r="DH1185">
        <f>INDEX('Data_Price '!AQ$2:AQ$1266,MATCH(Data!$DN1185,'Data_Price '!$AT$2:$AT$1266,0))</f>
        <v>479.93</v>
      </c>
      <c r="DI1185" t="str">
        <f>INDEX('Data_Price '!AR$2:AR$1266,MATCH(Data!$DN1185,'Data_Price '!$AT$2:$AT$1266,0))</f>
        <v>https://tinyurl.com/ybptt583</v>
      </c>
      <c r="DJ1185" s="89" t="str">
        <f t="shared" si="698"/>
        <v>https://tinyurl.com/y9tozqaq</v>
      </c>
      <c r="DK1185" s="89" t="str">
        <f t="shared" si="699"/>
        <v>https://tinyurl.com/ybdfkg2y</v>
      </c>
      <c r="DL1185" s="89" t="str">
        <f t="shared" si="700"/>
        <v>https://tinyurl.com/ybptt583</v>
      </c>
      <c r="DM1185" s="219" t="str">
        <f t="shared" si="701"/>
        <v>Thunderbird R15 WB</v>
      </c>
      <c r="DN1185" s="89" t="str">
        <f t="shared" si="702"/>
        <v xml:space="preserve"> BlizzardThunderbird R15 WB166 Unisex</v>
      </c>
      <c r="DO1185" s="221"/>
    </row>
    <row r="1186" spans="2:119" ht="15.6" customHeight="1">
      <c r="B1186" s="219" t="b">
        <f t="array" ref="B1186">IF(OR(ISERROR(K1186:P1186)),FALSE,TRUE)</f>
        <v>1</v>
      </c>
      <c r="C1186" s="43" t="b">
        <f>OR(BR1186=Driver!$G$50,Data!BR594=Driver!$H$50)</f>
        <v>1</v>
      </c>
      <c r="D1186" s="43" t="b">
        <f>OR(BV1186=Driver!$G$51,BV1186=Driver!$H$51)</f>
        <v>1</v>
      </c>
      <c r="E1186" s="43" t="b">
        <f>AND(BX1186&gt;Driver!$F$54,BX1186&lt;Driver!$G$54)</f>
        <v>0</v>
      </c>
      <c r="F1186" s="43" t="b">
        <f>CL1186&gt;Driver!$F$56</f>
        <v>1</v>
      </c>
      <c r="G1186" s="43" t="b">
        <f>AND(CB1186&gt;Driver!$F$55,CB1186&lt;Driver!$G$55)</f>
        <v>0</v>
      </c>
      <c r="H1186" s="43" t="b">
        <f t="shared" si="666"/>
        <v>0</v>
      </c>
      <c r="I1186" s="43">
        <f t="shared" si="667"/>
        <v>0</v>
      </c>
      <c r="J1186" s="43" t="b">
        <f t="array" ref="J1186">NOT(OR(($H$9:$H$1273=TRUE)*($I$9:$I$1273&gt;0)*($BT$9:$BT$1273=BT1186)*($K$9:$K$1273&gt;K1186)))</f>
        <v>1</v>
      </c>
      <c r="K1186" s="72">
        <f t="shared" si="668"/>
        <v>0.76887904974649113</v>
      </c>
      <c r="L1186" s="72">
        <f t="shared" si="669"/>
        <v>0.95672249709067803</v>
      </c>
      <c r="M1186" s="72">
        <f t="shared" si="670"/>
        <v>0.58103560240230423</v>
      </c>
      <c r="N1186" s="72">
        <f t="shared" si="671"/>
        <v>0.51590391498102428</v>
      </c>
      <c r="O1186" s="72">
        <f t="shared" si="672"/>
        <v>0.59594099928305755</v>
      </c>
      <c r="P1186" s="72">
        <f t="shared" si="673"/>
        <v>0.63126189294283108</v>
      </c>
      <c r="Q1186" s="72"/>
      <c r="R1186" s="72"/>
      <c r="S1186" s="72">
        <f t="shared" si="674"/>
        <v>0.53894044727143053</v>
      </c>
      <c r="T1186" s="72">
        <f t="shared" si="675"/>
        <v>0.83035905320311421</v>
      </c>
      <c r="U1186" s="72">
        <f t="shared" si="676"/>
        <v>0.88236909958526877</v>
      </c>
      <c r="V1186" s="72">
        <f t="shared" si="677"/>
        <v>0.51289117575561138</v>
      </c>
      <c r="W1186" s="72">
        <f t="shared" si="678"/>
        <v>0.75899692412850306</v>
      </c>
      <c r="X1186" s="72">
        <f t="shared" si="679"/>
        <v>4.3277502909322002E-2</v>
      </c>
      <c r="Y1186" s="72">
        <f t="shared" si="680"/>
        <v>0.41896439759769571</v>
      </c>
      <c r="Z1186" s="72">
        <f t="shared" si="681"/>
        <v>0.48409608501897572</v>
      </c>
      <c r="AA1186" s="72">
        <f t="shared" si="682"/>
        <v>0.40405900071694251</v>
      </c>
      <c r="AB1186" s="72">
        <f t="shared" si="683"/>
        <v>0.36873810705716886</v>
      </c>
      <c r="AC1186" s="72"/>
      <c r="AD1186" s="72"/>
      <c r="AE1186" s="72">
        <f t="shared" si="684"/>
        <v>0.46105955272856947</v>
      </c>
      <c r="AF1186" s="72">
        <f t="shared" si="685"/>
        <v>0.16964094679688574</v>
      </c>
      <c r="AG1186" s="72">
        <f t="shared" si="686"/>
        <v>0.11763090041473123</v>
      </c>
      <c r="AH1186" s="72">
        <f t="shared" si="687"/>
        <v>0.48710882424438862</v>
      </c>
      <c r="AI1186" s="72">
        <f t="shared" si="688"/>
        <v>0.24100307587149694</v>
      </c>
      <c r="AJ1186" s="72">
        <f>(AV1186-Driver!$K$179)/(Driver!$L$179-Driver!$K$179)</f>
        <v>0.21094190637337842</v>
      </c>
      <c r="AK1186" s="72">
        <f>(AW1186-Driver!$K$180)/(Driver!$L$180-Driver!$K$180)</f>
        <v>0.62825565919736903</v>
      </c>
      <c r="AL1186" s="72">
        <f>(AX1186-Driver!$K$181)/(Driver!$L$181-Driver!$K$181)</f>
        <v>0.58578384873205591</v>
      </c>
      <c r="AM1186" s="72">
        <f>(AY1186-Driver!$K$182)/(Driver!$L$182-Driver!$K$182)</f>
        <v>4.3326020380103851E-2</v>
      </c>
      <c r="AN1186" s="72">
        <f>(AZ1186-Driver!$K$183)/(Driver!$L$183-Driver!$K$183)</f>
        <v>0.62295751633986929</v>
      </c>
      <c r="AO1186" s="72"/>
      <c r="AP1186" s="72"/>
      <c r="AQ1186" s="72">
        <f>(BC1186-Driver!$K$188)/(Driver!$L$188-Driver!$K$188)</f>
        <v>0.1589404472714305</v>
      </c>
      <c r="AR1186" s="72">
        <f>MIN((BD1186-Driver!$K$189)/(Driver!$L$189-Driver!$K$189),100%)</f>
        <v>0.38035905320311431</v>
      </c>
      <c r="AS1186" s="72">
        <f>(BE1186-Driver!$K$190)/(Driver!$L$190-Driver!$K$190)</f>
        <v>0.39236909958526878</v>
      </c>
      <c r="AT1186" s="72">
        <f>(BF1186-Driver!$K$191)/(Driver!$L$191-Driver!$K$191)</f>
        <v>2.2891175755611365E-2</v>
      </c>
      <c r="AU1186" s="72">
        <f>(BG1186-Driver!$K$192)/(Driver!$L$192-Driver!$K$192)</f>
        <v>8.9969241285030727E-3</v>
      </c>
      <c r="AV1186" s="70">
        <f t="shared" si="689"/>
        <v>4.4396961063627725</v>
      </c>
      <c r="AW1186" s="70">
        <f t="shared" si="690"/>
        <v>63.100973521695344</v>
      </c>
      <c r="AX1186" s="70">
        <f t="shared" si="691"/>
        <v>6.2720546385885036</v>
      </c>
      <c r="AY1186" s="70">
        <f>IFERROR(Driver!$K$19/Data!BH1186/Data!BI1186*Data!BK1186*Data!BL1186,"")</f>
        <v>5.304397618204168E-2</v>
      </c>
      <c r="AZ1186" s="70">
        <f t="shared" si="692"/>
        <v>56.775874906924798</v>
      </c>
      <c r="BA1186" s="70"/>
      <c r="BB1186" s="70"/>
      <c r="BC1186" s="70">
        <f t="shared" si="693"/>
        <v>82.443514935754408</v>
      </c>
      <c r="BD1186" s="70">
        <f t="shared" si="694"/>
        <v>35.381925136211166</v>
      </c>
      <c r="BE1186" s="70">
        <f t="shared" si="695"/>
        <v>0.39247749409872568</v>
      </c>
      <c r="BF1186" s="70">
        <f t="shared" si="696"/>
        <v>2.5853974819848649</v>
      </c>
      <c r="BG1186" s="70">
        <f t="shared" si="697"/>
        <v>3.4068094167629098E-2</v>
      </c>
      <c r="BH1186" s="67">
        <f>MAX((CE1186-Driver!$F$200)/(Driver!$G$200-Driver!$F$200)*$BI$1,1)</f>
        <v>6.2720546385885036</v>
      </c>
      <c r="BI1186" s="67">
        <f>MAX($BI$1*(BY1186-Driver!$F$201)/(Driver!$G$201-Driver!$F$201),1)</f>
        <v>7.9113924050632916</v>
      </c>
      <c r="BJ1186" s="67">
        <f>(CB1186-Driver!$F$206)/(Driver!$G$206-Driver!$F$206)*$BI$1</f>
        <v>2.6984126984126982</v>
      </c>
      <c r="BK1186" s="67">
        <f>(CD1186-Driver!$F$203)/(Driver!$G$203-Driver!$F$203)*$BI$1</f>
        <v>2.3853211009174311</v>
      </c>
      <c r="BL1186" s="67">
        <f>MAX((CR1186-Driver!$F$202)/(Driver!$G$202-Driver!$F$202)*$BI$1,1)</f>
        <v>5.5172413793103452</v>
      </c>
      <c r="BM1186" s="67">
        <f>MAX((CH1186-Driver!$F$204)/(Driver!$G$204-Driver!$F$204)*$BI$1,1)</f>
        <v>6.5811965811965809</v>
      </c>
      <c r="BN1186" s="67">
        <f>(CI1186-Driver!$F$205)/(Driver!$G$205-Driver!$F$205)*$BI$1</f>
        <v>7.1764705882352944</v>
      </c>
      <c r="BO1186" s="67">
        <f>(CK1186-Driver!$F$207)/(Driver!$G$207-Driver!$F$207)*$BI$1</f>
        <v>1.5822130299896586</v>
      </c>
      <c r="BP1186" s="67">
        <f>(CM1186-Driver!$F$208)/(Driver!$G$208-Driver!$F$208)*$BI$1</f>
        <v>1.4444444444444442</v>
      </c>
      <c r="BQ1186" s="67">
        <f>(CL1186-Driver!$F$209)/(Driver!$G$209-Driver!$F$209)*$BI$1</f>
        <v>1.40625</v>
      </c>
      <c r="BR1186" s="28" t="s">
        <v>155</v>
      </c>
      <c r="BS1186" s="8" t="s">
        <v>245</v>
      </c>
      <c r="BT1186" s="9" t="s">
        <v>772</v>
      </c>
      <c r="BU1186" s="10">
        <v>173</v>
      </c>
      <c r="BV1186" s="9" t="s">
        <v>158</v>
      </c>
      <c r="BW1186" s="10">
        <v>173</v>
      </c>
      <c r="BX1186" s="10">
        <v>172.3</v>
      </c>
      <c r="BY1186" s="10">
        <v>133</v>
      </c>
      <c r="BZ1186" s="10">
        <v>154</v>
      </c>
      <c r="CA1186" s="10">
        <v>125</v>
      </c>
      <c r="CB1186" s="10">
        <v>81</v>
      </c>
      <c r="CC1186" s="10">
        <v>112</v>
      </c>
      <c r="CD1186" s="10">
        <v>14.6</v>
      </c>
      <c r="CE1186" s="10">
        <v>2002</v>
      </c>
      <c r="CF1186" s="10">
        <v>0.82</v>
      </c>
      <c r="CG1186" s="10">
        <v>1650</v>
      </c>
      <c r="CH1186" s="10">
        <v>255</v>
      </c>
      <c r="CI1186" s="10">
        <v>155</v>
      </c>
      <c r="CJ1186" s="10">
        <v>50</v>
      </c>
      <c r="CK1186" s="10">
        <v>263</v>
      </c>
      <c r="CL1186" s="10">
        <v>9</v>
      </c>
      <c r="CM1186" s="10">
        <v>130</v>
      </c>
      <c r="CN1186" s="10">
        <v>0.17799999999999999</v>
      </c>
      <c r="CO1186" s="10">
        <v>84</v>
      </c>
      <c r="CP1186" s="10">
        <v>104</v>
      </c>
      <c r="CQ1186" s="10">
        <v>179</v>
      </c>
      <c r="CR1186" s="10">
        <v>5</v>
      </c>
      <c r="CS1186" s="10">
        <v>9.9</v>
      </c>
      <c r="CT1186" s="9" t="s">
        <v>231</v>
      </c>
      <c r="CU1186" s="9" t="s">
        <v>188</v>
      </c>
      <c r="CV1186" s="10"/>
      <c r="CW1186" s="10"/>
      <c r="CX1186" t="str">
        <f>INDEX('Data_Price '!AG$2:AG$1266,MATCH(Data!$DN1186,'Data_Price '!$AT$2:$AT$1266,0))</f>
        <v>Fischer XTR RC One 82 GT RT with RSW 10 Binding - 2021</v>
      </c>
      <c r="CY1186" t="str">
        <f>INDEX('Data_Price '!AH$2:AH$1266,MATCH(Data!$DN1186,'Data_Price '!$AT$2:$AT$1266,0))</f>
        <v>Next Adventure</v>
      </c>
      <c r="CZ1186">
        <f>INDEX('Data_Price '!AI$2:AI$1266,MATCH(Data!$DN1186,'Data_Price '!$AT$2:$AT$1266,0))</f>
        <v>419.99</v>
      </c>
      <c r="DA1186" t="str">
        <f>INDEX('Data_Price '!AJ$2:AJ$1266,MATCH(Data!$DN1186,'Data_Price '!$AT$2:$AT$1266,0))</f>
        <v>https://tinyurl.com/ybs8mrlp</v>
      </c>
      <c r="DB1186" t="str">
        <f>INDEX('Data_Price '!AK$2:AK$1266,MATCH(Data!$DN1186,'Data_Price '!$AT$2:$AT$1266,0))</f>
        <v>Fischer XTR RC One 82 Gt Rentaltrack Skis 2021</v>
      </c>
      <c r="DC1186" t="str">
        <f>INDEX('Data_Price '!AL$2:AL$1266,MATCH(Data!$DN1186,'Data_Price '!$AT$2:$AT$1266,0))</f>
        <v>Level Nine Sports</v>
      </c>
      <c r="DD1186">
        <f>INDEX('Data_Price '!AM$2:AM$1266,MATCH(Data!$DN1186,'Data_Price '!$AT$2:$AT$1266,0))</f>
        <v>469.94</v>
      </c>
      <c r="DE1186" t="str">
        <f>INDEX('Data_Price '!AN$2:AN$1266,MATCH(Data!$DN1186,'Data_Price '!$AT$2:$AT$1266,0))</f>
        <v>https://tinyurl.com/ybpmqo6s</v>
      </c>
      <c r="DF1186" t="str">
        <f>INDEX('Data_Price '!AO$2:AO$1266,MATCH(Data!$DN1186,'Data_Price '!$AT$2:$AT$1266,0))</f>
        <v>Fischer RC One 82 GT Skis 2022 w/bindings 173</v>
      </c>
      <c r="DG1186" t="str">
        <f>INDEX('Data_Price '!AP$2:AP$1266,MATCH(Data!$DN1186,'Data_Price '!$AT$2:$AT$1266,0))</f>
        <v>Ski Depot RaceSkis.com</v>
      </c>
      <c r="DH1186">
        <f>INDEX('Data_Price '!AQ$2:AQ$1266,MATCH(Data!$DN1186,'Data_Price '!$AT$2:$AT$1266,0))</f>
        <v>799.99</v>
      </c>
      <c r="DI1186" t="str">
        <f>INDEX('Data_Price '!AR$2:AR$1266,MATCH(Data!$DN1186,'Data_Price '!$AT$2:$AT$1266,0))</f>
        <v>https://tinyurl.com/y8qv9pya</v>
      </c>
      <c r="DJ1186" s="89" t="str">
        <f t="shared" si="698"/>
        <v>https://tinyurl.com/ybs8mrlp</v>
      </c>
      <c r="DK1186" s="89" t="str">
        <f t="shared" si="699"/>
        <v>https://tinyurl.com/ybpmqo6s</v>
      </c>
      <c r="DL1186" s="89" t="str">
        <f t="shared" si="700"/>
        <v>https://tinyurl.com/y8qv9pya</v>
      </c>
      <c r="DM1186" s="219" t="str">
        <f t="shared" si="701"/>
        <v>RC One 82 GT</v>
      </c>
      <c r="DN1186" s="89" t="str">
        <f t="shared" si="702"/>
        <v xml:space="preserve"> FischerRC One 82 GT173 Unisex</v>
      </c>
      <c r="DO1186" s="221"/>
    </row>
    <row r="1187" spans="2:119" ht="15.6" customHeight="1">
      <c r="B1187" s="219" t="b">
        <f t="array" ref="B1187">IF(OR(ISERROR(K1187:P1187)),FALSE,TRUE)</f>
        <v>1</v>
      </c>
      <c r="C1187" s="43" t="b">
        <f>OR(BR1187=Driver!$G$50,Data!BR373=Driver!$H$50)</f>
        <v>1</v>
      </c>
      <c r="D1187" s="43" t="b">
        <f>OR(BV1187=Driver!$G$51,BV1187=Driver!$H$51)</f>
        <v>0</v>
      </c>
      <c r="E1187" s="43" t="b">
        <f>AND(BX1187&gt;Driver!$F$54,BX1187&lt;Driver!$G$54)</f>
        <v>0</v>
      </c>
      <c r="F1187" s="43" t="b">
        <f>CL1187&gt;Driver!$F$56</f>
        <v>1</v>
      </c>
      <c r="G1187" s="43" t="b">
        <f>AND(CB1187&gt;Driver!$F$55,CB1187&lt;Driver!$G$55)</f>
        <v>0</v>
      </c>
      <c r="H1187" s="43" t="b">
        <f t="shared" si="666"/>
        <v>0</v>
      </c>
      <c r="I1187" s="43">
        <f t="shared" si="667"/>
        <v>0</v>
      </c>
      <c r="J1187" s="43" t="b">
        <f t="array" ref="J1187">NOT(OR(($H$9:$H$1273=TRUE)*($I$9:$I$1273&gt;0)*($BT$9:$BT$1273=BT1187)*($K$9:$K$1273&gt;K1187)))</f>
        <v>1</v>
      </c>
      <c r="K1187" s="72">
        <f t="shared" si="668"/>
        <v>0.83433643627439802</v>
      </c>
      <c r="L1187" s="72">
        <f t="shared" si="669"/>
        <v>0.82957722273728185</v>
      </c>
      <c r="M1187" s="72">
        <f t="shared" si="670"/>
        <v>0.83909564981151419</v>
      </c>
      <c r="N1187" s="72">
        <f t="shared" si="671"/>
        <v>0.89831223628691981</v>
      </c>
      <c r="O1187" s="72">
        <f t="shared" si="672"/>
        <v>0.77793268452182662</v>
      </c>
      <c r="P1187" s="72">
        <f t="shared" si="673"/>
        <v>0.84104202862579625</v>
      </c>
      <c r="Q1187" s="72"/>
      <c r="R1187" s="72"/>
      <c r="S1187" s="72">
        <f t="shared" si="674"/>
        <v>0.39680598066178374</v>
      </c>
      <c r="T1187" s="72">
        <f t="shared" si="675"/>
        <v>0.45342436002886211</v>
      </c>
      <c r="U1187" s="72">
        <f t="shared" si="676"/>
        <v>0.51</v>
      </c>
      <c r="V1187" s="72">
        <f t="shared" si="677"/>
        <v>0.51677644052541738</v>
      </c>
      <c r="W1187" s="72">
        <f t="shared" si="678"/>
        <v>0.95425441092771768</v>
      </c>
      <c r="X1187" s="72">
        <f t="shared" si="679"/>
        <v>0.17042277726271815</v>
      </c>
      <c r="Y1187" s="72">
        <f t="shared" si="680"/>
        <v>0.16090435018848578</v>
      </c>
      <c r="Z1187" s="72">
        <f t="shared" si="681"/>
        <v>0.10168776371308018</v>
      </c>
      <c r="AA1187" s="72">
        <f t="shared" si="682"/>
        <v>0.22206731547817343</v>
      </c>
      <c r="AB1187" s="72">
        <f t="shared" si="683"/>
        <v>0.1589579713742037</v>
      </c>
      <c r="AC1187" s="72"/>
      <c r="AD1187" s="72"/>
      <c r="AE1187" s="72">
        <f t="shared" si="684"/>
        <v>0.60319401933821626</v>
      </c>
      <c r="AF1187" s="72">
        <f t="shared" si="685"/>
        <v>0.54657563997113789</v>
      </c>
      <c r="AG1187" s="72">
        <f t="shared" si="686"/>
        <v>0.49</v>
      </c>
      <c r="AH1187" s="72">
        <f t="shared" si="687"/>
        <v>0.48322355947458256</v>
      </c>
      <c r="AI1187" s="72">
        <f t="shared" si="688"/>
        <v>4.574558907228235E-2</v>
      </c>
      <c r="AJ1187" s="72">
        <f>(AV1187-Driver!$K$179)/(Driver!$L$179-Driver!$K$179)</f>
        <v>8.3796632019982262E-2</v>
      </c>
      <c r="AK1187" s="72">
        <f>(AW1187-Driver!$K$180)/(Driver!$L$180-Driver!$K$180)</f>
        <v>8.296853158621996E-2</v>
      </c>
      <c r="AL1187" s="72">
        <f>(AX1187-Driver!$K$181)/(Driver!$L$181-Driver!$K$181)</f>
        <v>0</v>
      </c>
      <c r="AM1187" s="72">
        <f>(AY1187-Driver!$K$182)/(Driver!$L$182-Driver!$K$182)</f>
        <v>0.22531770561887293</v>
      </c>
      <c r="AN1187" s="72">
        <f>(AZ1187-Driver!$K$183)/(Driver!$L$183-Driver!$K$183)</f>
        <v>9.5261437908496741E-2</v>
      </c>
      <c r="AO1187" s="72"/>
      <c r="AP1187" s="72"/>
      <c r="AQ1187" s="72">
        <f>(BC1187-Driver!$K$188)/(Driver!$L$188-Driver!$K$188)</f>
        <v>1.6805980661783713E-2</v>
      </c>
      <c r="AR1187" s="72">
        <f>MIN((BD1187-Driver!$K$189)/(Driver!$L$189-Driver!$K$189),100%)</f>
        <v>3.4243600288621193E-3</v>
      </c>
      <c r="AS1187" s="72">
        <f>(BE1187-Driver!$K$190)/(Driver!$L$190-Driver!$K$190)</f>
        <v>1</v>
      </c>
      <c r="AT1187" s="72">
        <f>(BF1187-Driver!$K$191)/(Driver!$L$191-Driver!$K$191)</f>
        <v>2.6776440525417465E-2</v>
      </c>
      <c r="AU1187" s="72">
        <f>(BG1187-Driver!$K$192)/(Driver!$L$192-Driver!$K$192)</f>
        <v>0.20425441092771765</v>
      </c>
      <c r="AV1187" s="70">
        <f t="shared" si="689"/>
        <v>1.7636684303350969</v>
      </c>
      <c r="AW1187" s="70">
        <f t="shared" si="690"/>
        <v>9.9579112005134611</v>
      </c>
      <c r="AX1187" s="70">
        <f t="shared" si="691"/>
        <v>1</v>
      </c>
      <c r="AY1187" s="70">
        <f>IFERROR(Driver!$K$19/Data!BH1187/Data!BI1187*Data!BK1187*Data!BL1187,"")</f>
        <v>0.27585609999224042</v>
      </c>
      <c r="AZ1187" s="70">
        <f t="shared" si="692"/>
        <v>8.6820551005212216</v>
      </c>
      <c r="BA1187" s="70"/>
      <c r="BB1187" s="70"/>
      <c r="BC1187" s="70">
        <f t="shared" si="693"/>
        <v>8.7173790025493183</v>
      </c>
      <c r="BD1187" s="70">
        <f t="shared" si="694"/>
        <v>2.0238726790450925</v>
      </c>
      <c r="BE1187" s="70">
        <f t="shared" si="695"/>
        <v>1</v>
      </c>
      <c r="BF1187" s="70">
        <f t="shared" si="696"/>
        <v>3.0242108422046368</v>
      </c>
      <c r="BG1187" s="70">
        <f t="shared" si="697"/>
        <v>0.77343749999999989</v>
      </c>
      <c r="BH1187" s="67">
        <f>MAX((CE1187-Driver!$F$200)/(Driver!$G$200-Driver!$F$200)*$BI$1,1)</f>
        <v>1</v>
      </c>
      <c r="BI1187" s="67">
        <f>MAX($BI$1*(BY1187-Driver!$F$201)/(Driver!$G$201-Driver!$F$201),1)</f>
        <v>6.7088607594936711</v>
      </c>
      <c r="BJ1187" s="67">
        <f>(CB1187-Driver!$F$206)/(Driver!$G$206-Driver!$F$206)*$BI$1</f>
        <v>3.1746031746031744</v>
      </c>
      <c r="BK1187" s="67">
        <f>(CD1187-Driver!$F$203)/(Driver!$G$203-Driver!$F$203)*$BI$1</f>
        <v>1.7889908256880738</v>
      </c>
      <c r="BL1187" s="67">
        <f>MAX((CR1187-Driver!$F$202)/(Driver!$G$202-Driver!$F$202)*$BI$1,1)</f>
        <v>5.1724137931034484</v>
      </c>
      <c r="BM1187" s="67">
        <f>MAX((CH1187-Driver!$F$204)/(Driver!$G$204-Driver!$F$204)*$BI$1,1)</f>
        <v>2.2222222222222223</v>
      </c>
      <c r="BN1187" s="67">
        <f>(CI1187-Driver!$F$205)/(Driver!$G$205-Driver!$F$205)*$BI$1</f>
        <v>1.2941176470588236</v>
      </c>
      <c r="BO1187" s="67">
        <f>(CK1187-Driver!$F$207)/(Driver!$G$207-Driver!$F$207)*$BI$1</f>
        <v>1.0651499482936919</v>
      </c>
      <c r="BP1187" s="67">
        <f>(CM1187-Driver!$F$208)/(Driver!$G$208-Driver!$F$208)*$BI$1</f>
        <v>1.6</v>
      </c>
      <c r="BQ1187" s="67">
        <f>(CL1187-Driver!$F$209)/(Driver!$G$209-Driver!$F$209)*$BI$1</f>
        <v>1.71875</v>
      </c>
      <c r="BR1187" s="28" t="s">
        <v>155</v>
      </c>
      <c r="BS1187" s="8" t="s">
        <v>329</v>
      </c>
      <c r="BT1187" s="9" t="s">
        <v>864</v>
      </c>
      <c r="BU1187" s="10">
        <v>151</v>
      </c>
      <c r="BV1187" s="9" t="s">
        <v>163</v>
      </c>
      <c r="BW1187" s="10">
        <v>151</v>
      </c>
      <c r="BX1187" s="10">
        <v>149.19999999999999</v>
      </c>
      <c r="BY1187" s="10">
        <v>114</v>
      </c>
      <c r="BZ1187" s="10">
        <v>126</v>
      </c>
      <c r="CA1187" s="10">
        <v>119</v>
      </c>
      <c r="CB1187" s="10">
        <v>84</v>
      </c>
      <c r="CC1187" s="10">
        <v>107</v>
      </c>
      <c r="CD1187" s="10">
        <v>13.3</v>
      </c>
      <c r="CE1187" s="10">
        <v>962</v>
      </c>
      <c r="CF1187" s="10">
        <v>1.47</v>
      </c>
      <c r="CG1187" s="10">
        <v>1410</v>
      </c>
      <c r="CH1187" s="10">
        <v>153</v>
      </c>
      <c r="CI1187" s="10">
        <v>55</v>
      </c>
      <c r="CJ1187" s="10">
        <v>50</v>
      </c>
      <c r="CK1187" s="10">
        <v>213</v>
      </c>
      <c r="CL1187" s="10">
        <v>11</v>
      </c>
      <c r="CM1187" s="10">
        <v>144</v>
      </c>
      <c r="CN1187" s="10">
        <v>0.216</v>
      </c>
      <c r="CO1187" s="10">
        <v>140</v>
      </c>
      <c r="CP1187" s="10">
        <v>89</v>
      </c>
      <c r="CQ1187" s="10">
        <v>73</v>
      </c>
      <c r="CR1187" s="10">
        <v>4</v>
      </c>
      <c r="CS1187" s="10">
        <v>12.4</v>
      </c>
      <c r="CT1187" s="9" t="s">
        <v>185</v>
      </c>
      <c r="CU1187" s="9" t="s">
        <v>198</v>
      </c>
      <c r="CV1187" s="10"/>
      <c r="CW1187" s="10"/>
      <c r="CX1187" t="str">
        <f>INDEX('Data_Price '!AG$2:AG$1266,MATCH(Data!$DN1187,'Data_Price '!$AT$2:$AT$1266,0))</f>
        <v>Dynafit Blacklight 88 W Alpine Touring Ski 151</v>
      </c>
      <c r="CY1187" t="str">
        <f>INDEX('Data_Price '!AH$2:AH$1266,MATCH(Data!$DN1187,'Data_Price '!$AT$2:$AT$1266,0))</f>
        <v>Cripple Creek Backcountry</v>
      </c>
      <c r="CZ1187">
        <f>INDEX('Data_Price '!AI$2:AI$1266,MATCH(Data!$DN1187,'Data_Price '!$AT$2:$AT$1266,0))</f>
        <v>549.95000000000005</v>
      </c>
      <c r="DA1187" t="str">
        <f>INDEX('Data_Price '!AJ$2:AJ$1266,MATCH(Data!$DN1187,'Data_Price '!$AT$2:$AT$1266,0))</f>
        <v>https://tinyurl.com/y7v8phac</v>
      </c>
      <c r="DB1187" t="str">
        <f>INDEX('Data_Price '!AK$2:AK$1266,MATCH(Data!$DN1187,'Data_Price '!$AT$2:$AT$1266,0))</f>
        <v>Dynafit Blacklight 88 Ski - Women - 151cm</v>
      </c>
      <c r="DC1187" t="str">
        <f>INDEX('Data_Price '!AL$2:AL$1266,MATCH(Data!$DN1187,'Data_Price '!$AT$2:$AT$1266,0))</f>
        <v>AlpinStore</v>
      </c>
      <c r="DD1187">
        <f>INDEX('Data_Price '!AM$2:AM$1266,MATCH(Data!$DN1187,'Data_Price '!$AT$2:$AT$1266,0))</f>
        <v>451.11</v>
      </c>
      <c r="DE1187" t="str">
        <f>INDEX('Data_Price '!AN$2:AN$1266,MATCH(Data!$DN1187,'Data_Price '!$AT$2:$AT$1266,0))</f>
        <v>https://tinyurl.com/yavmz4fa</v>
      </c>
      <c r="DF1187" t="str">
        <f>INDEX('Data_Price '!AO$2:AO$1266,MATCH(Data!$DN1187,'Data_Price '!$AT$2:$AT$1266,0))</f>
        <v>Dynafit Blacklight 88 Ski - Women - 151cm</v>
      </c>
      <c r="DG1187" t="str">
        <f>INDEX('Data_Price '!AP$2:AP$1266,MATCH(Data!$DN1187,'Data_Price '!$AT$2:$AT$1266,0))</f>
        <v>evo.com</v>
      </c>
      <c r="DH1187">
        <f>INDEX('Data_Price '!AQ$2:AQ$1266,MATCH(Data!$DN1187,'Data_Price '!$AT$2:$AT$1266,0))</f>
        <v>559.96</v>
      </c>
      <c r="DI1187" t="str">
        <f>INDEX('Data_Price '!AR$2:AR$1266,MATCH(Data!$DN1187,'Data_Price '!$AT$2:$AT$1266,0))</f>
        <v>https://tinyurl.com/ybhzxzpl</v>
      </c>
      <c r="DJ1187" s="89" t="str">
        <f t="shared" si="698"/>
        <v>https://tinyurl.com/y7v8phac</v>
      </c>
      <c r="DK1187" s="89" t="str">
        <f t="shared" si="699"/>
        <v>https://tinyurl.com/yavmz4fa</v>
      </c>
      <c r="DL1187" s="89" t="str">
        <f t="shared" si="700"/>
        <v>https://tinyurl.com/ybhzxzpl</v>
      </c>
      <c r="DM1187" s="219" t="str">
        <f t="shared" si="701"/>
        <v>Blacklight 88 W</v>
      </c>
      <c r="DN1187" s="89" t="str">
        <f t="shared" si="702"/>
        <v xml:space="preserve"> DynafitBlacklight 88 W151 Women's</v>
      </c>
      <c r="DO1187" s="221"/>
    </row>
    <row r="1188" spans="2:119" ht="15.6" customHeight="1">
      <c r="B1188" s="219" t="b">
        <f t="array" ref="B1188">IF(OR(ISERROR(K1188:P1188)),FALSE,TRUE)</f>
        <v>1</v>
      </c>
      <c r="C1188" s="43" t="b">
        <f>OR(BR1188=Driver!$G$50,Data!BR790=Driver!$H$50)</f>
        <v>1</v>
      </c>
      <c r="D1188" s="43" t="b">
        <f>OR(BV1188=Driver!$G$51,BV1188=Driver!$H$51)</f>
        <v>1</v>
      </c>
      <c r="E1188" s="43" t="b">
        <f>AND(BX1188&gt;Driver!$F$54,BX1188&lt;Driver!$G$54)</f>
        <v>1</v>
      </c>
      <c r="F1188" s="43" t="b">
        <f>CL1188&gt;Driver!$F$56</f>
        <v>1</v>
      </c>
      <c r="G1188" s="43" t="b">
        <f>AND(CB1188&gt;Driver!$F$55,CB1188&lt;Driver!$G$55)</f>
        <v>0</v>
      </c>
      <c r="H1188" s="43" t="b">
        <f t="shared" si="666"/>
        <v>0</v>
      </c>
      <c r="I1188" s="43">
        <f t="shared" si="667"/>
        <v>0</v>
      </c>
      <c r="J1188" s="43" t="b">
        <f t="array" ref="J1188">NOT(OR(($H$9:$H$1273=TRUE)*($I$9:$I$1273&gt;0)*($BT$9:$BT$1273=BT1188)*($K$9:$K$1273&gt;K1188)))</f>
        <v>1</v>
      </c>
      <c r="K1188" s="72">
        <f t="shared" si="668"/>
        <v>0.88093653901166213</v>
      </c>
      <c r="L1188" s="72">
        <f t="shared" si="669"/>
        <v>0.8347339385538961</v>
      </c>
      <c r="M1188" s="72">
        <f t="shared" si="670"/>
        <v>0.92713913946942805</v>
      </c>
      <c r="N1188" s="72">
        <f t="shared" si="671"/>
        <v>0.91367933930342526</v>
      </c>
      <c r="O1188" s="72">
        <f t="shared" si="672"/>
        <v>0.99520095243984685</v>
      </c>
      <c r="P1188" s="72">
        <f t="shared" si="673"/>
        <v>0.87253712666501193</v>
      </c>
      <c r="Q1188" s="72"/>
      <c r="R1188" s="72"/>
      <c r="S1188" s="72">
        <f t="shared" si="674"/>
        <v>0.41796312111570244</v>
      </c>
      <c r="T1188" s="72">
        <f t="shared" si="675"/>
        <v>0.445093647040254</v>
      </c>
      <c r="U1188" s="72">
        <f t="shared" si="676"/>
        <v>0.51</v>
      </c>
      <c r="V1188" s="72">
        <f t="shared" si="677"/>
        <v>0.52101317925932844</v>
      </c>
      <c r="W1188" s="72">
        <f t="shared" si="678"/>
        <v>0.87370312500000002</v>
      </c>
      <c r="X1188" s="72">
        <f t="shared" si="679"/>
        <v>0.16526606144610387</v>
      </c>
      <c r="Y1188" s="72">
        <f t="shared" si="680"/>
        <v>7.2860860530571961E-2</v>
      </c>
      <c r="Z1188" s="72">
        <f t="shared" si="681"/>
        <v>8.6320660696574764E-2</v>
      </c>
      <c r="AA1188" s="72">
        <f t="shared" si="682"/>
        <v>4.7990475601530913E-3</v>
      </c>
      <c r="AB1188" s="72">
        <f t="shared" si="683"/>
        <v>0.12746287333498801</v>
      </c>
      <c r="AC1188" s="72"/>
      <c r="AD1188" s="72"/>
      <c r="AE1188" s="72">
        <f t="shared" si="684"/>
        <v>0.58203687888429756</v>
      </c>
      <c r="AF1188" s="72">
        <f t="shared" si="685"/>
        <v>0.554906352959746</v>
      </c>
      <c r="AG1188" s="72">
        <f t="shared" si="686"/>
        <v>0.49</v>
      </c>
      <c r="AH1188" s="72">
        <f t="shared" si="687"/>
        <v>0.47898682074067161</v>
      </c>
      <c r="AI1188" s="72">
        <f t="shared" si="688"/>
        <v>0.126296875</v>
      </c>
      <c r="AJ1188" s="72">
        <f>(AV1188-Driver!$K$179)/(Driver!$L$179-Driver!$K$179)</f>
        <v>8.8953347836596558E-2</v>
      </c>
      <c r="AK1188" s="72">
        <f>(AW1188-Driver!$K$180)/(Driver!$L$180-Driver!$K$180)</f>
        <v>0.1166904049024725</v>
      </c>
      <c r="AL1188" s="72">
        <f>(AX1188-Driver!$K$181)/(Driver!$L$181-Driver!$K$181)</f>
        <v>1.5367103016505408E-2</v>
      </c>
      <c r="AM1188" s="72">
        <f>(AY1188-Driver!$K$182)/(Driver!$L$182-Driver!$K$182)</f>
        <v>0.45218406865719946</v>
      </c>
      <c r="AN1188" s="72">
        <f>(AZ1188-Driver!$K$183)/(Driver!$L$183-Driver!$K$183)</f>
        <v>0.12675653594771241</v>
      </c>
      <c r="AO1188" s="72"/>
      <c r="AP1188" s="72"/>
      <c r="AQ1188" s="72">
        <f>(BC1188-Driver!$K$188)/(Driver!$L$188-Driver!$K$188)</f>
        <v>3.7963121115702457E-2</v>
      </c>
      <c r="AR1188" s="72">
        <f>MIN((BD1188-Driver!$K$189)/(Driver!$L$189-Driver!$K$189),100%)</f>
        <v>-4.9063529597459053E-3</v>
      </c>
      <c r="AS1188" s="72">
        <f>(BE1188-Driver!$K$190)/(Driver!$L$190-Driver!$K$190)</f>
        <v>1</v>
      </c>
      <c r="AT1188" s="72">
        <f>(BF1188-Driver!$K$191)/(Driver!$L$191-Driver!$K$191)</f>
        <v>3.1013179259328377E-2</v>
      </c>
      <c r="AU1188" s="72">
        <f>(BG1188-Driver!$K$192)/(Driver!$L$192-Driver!$K$192)</f>
        <v>0.123703125</v>
      </c>
      <c r="AV1188" s="70">
        <f t="shared" si="689"/>
        <v>1.8722018722018721</v>
      </c>
      <c r="AW1188" s="70">
        <f t="shared" si="690"/>
        <v>13.244406561376932</v>
      </c>
      <c r="AX1188" s="70">
        <f t="shared" si="691"/>
        <v>1.1383039271485487</v>
      </c>
      <c r="AY1188" s="70">
        <f>IFERROR(Driver!$K$19/Data!BH1188/Data!BI1188*Data!BK1188*Data!BL1188,"")</f>
        <v>0.55360821874066835</v>
      </c>
      <c r="AZ1188" s="70">
        <f t="shared" si="692"/>
        <v>11.552494415487715</v>
      </c>
      <c r="BA1188" s="70"/>
      <c r="BB1188" s="70"/>
      <c r="BC1188" s="70">
        <f t="shared" si="693"/>
        <v>19.691734838051207</v>
      </c>
      <c r="BD1188" s="70">
        <f t="shared" si="694"/>
        <v>1.2866193407032349</v>
      </c>
      <c r="BE1188" s="70">
        <f t="shared" si="695"/>
        <v>1</v>
      </c>
      <c r="BF1188" s="70">
        <f t="shared" si="696"/>
        <v>3.5027207174256998</v>
      </c>
      <c r="BG1188" s="70">
        <f t="shared" si="697"/>
        <v>0.46841894531250006</v>
      </c>
      <c r="BH1188" s="67">
        <f>MAX((CE1188-Driver!$F$200)/(Driver!$G$200-Driver!$F$200)*$BI$1,1)</f>
        <v>1.1383039271485487</v>
      </c>
      <c r="BI1188" s="67">
        <f>MAX($BI$1*(BY1188-Driver!$F$201)/(Driver!$G$201-Driver!$F$201),1)</f>
        <v>6.7721518987341769</v>
      </c>
      <c r="BJ1188" s="67">
        <f>(CB1188-Driver!$F$206)/(Driver!$G$206-Driver!$F$206)*$BI$1</f>
        <v>3.6507936507936507</v>
      </c>
      <c r="BK1188" s="67">
        <f>(CD1188-Driver!$F$203)/(Driver!$G$203-Driver!$F$203)*$BI$1</f>
        <v>3.2568807339449544</v>
      </c>
      <c r="BL1188" s="67">
        <f>MAX((CR1188-Driver!$F$202)/(Driver!$G$202-Driver!$F$202)*$BI$1,1)</f>
        <v>6.5517241379310338</v>
      </c>
      <c r="BM1188" s="67">
        <f>MAX((CH1188-Driver!$F$204)/(Driver!$G$204-Driver!$F$204)*$BI$1,1)</f>
        <v>2.0512820512820511</v>
      </c>
      <c r="BN1188" s="67">
        <f>(CI1188-Driver!$F$205)/(Driver!$G$205-Driver!$F$205)*$BI$1</f>
        <v>1.7058823529411766</v>
      </c>
      <c r="BO1188" s="67">
        <f>(CK1188-Driver!$F$207)/(Driver!$G$207-Driver!$F$207)*$BI$1</f>
        <v>1.9131334022750777</v>
      </c>
      <c r="BP1188" s="67">
        <f>(CM1188-Driver!$F$208)/(Driver!$G$208-Driver!$F$208)*$BI$1</f>
        <v>1.6333333333333333</v>
      </c>
      <c r="BQ1188" s="67">
        <f>(CL1188-Driver!$F$209)/(Driver!$G$209-Driver!$F$209)*$BI$1</f>
        <v>1.09375</v>
      </c>
      <c r="BR1188" s="28" t="s">
        <v>155</v>
      </c>
      <c r="BS1188" s="8" t="s">
        <v>262</v>
      </c>
      <c r="BT1188" s="9" t="s">
        <v>769</v>
      </c>
      <c r="BU1188" s="10">
        <v>160</v>
      </c>
      <c r="BV1188" s="9" t="s">
        <v>158</v>
      </c>
      <c r="BW1188" s="10">
        <v>160</v>
      </c>
      <c r="BX1188" s="10">
        <v>159.4</v>
      </c>
      <c r="BY1188" s="10">
        <v>115</v>
      </c>
      <c r="BZ1188" s="10">
        <v>134</v>
      </c>
      <c r="CA1188" s="10">
        <v>120</v>
      </c>
      <c r="CB1188" s="10">
        <v>87</v>
      </c>
      <c r="CC1188" s="10">
        <v>108</v>
      </c>
      <c r="CD1188" s="10">
        <v>16.5</v>
      </c>
      <c r="CE1188" s="10">
        <v>1100</v>
      </c>
      <c r="CF1188" s="10">
        <v>1.41</v>
      </c>
      <c r="CG1188" s="10">
        <v>1554</v>
      </c>
      <c r="CH1188" s="10">
        <v>149</v>
      </c>
      <c r="CI1188" s="10">
        <v>62</v>
      </c>
      <c r="CJ1188" s="10">
        <v>46</v>
      </c>
      <c r="CK1188" s="10">
        <v>295</v>
      </c>
      <c r="CL1188" s="10">
        <v>7</v>
      </c>
      <c r="CM1188" s="10">
        <v>147</v>
      </c>
      <c r="CN1188" s="10">
        <v>0.161</v>
      </c>
      <c r="CO1188" s="10">
        <v>153</v>
      </c>
      <c r="CP1188" s="10">
        <v>98</v>
      </c>
      <c r="CQ1188" s="10">
        <v>142</v>
      </c>
      <c r="CR1188" s="10">
        <v>8</v>
      </c>
      <c r="CS1188" s="10">
        <v>10.6</v>
      </c>
      <c r="CT1188" s="9" t="s">
        <v>185</v>
      </c>
      <c r="CU1188" s="9" t="s">
        <v>198</v>
      </c>
      <c r="CV1188" s="10"/>
      <c r="CW1188" s="10"/>
      <c r="CX1188" t="e">
        <f>INDEX('Data_Price '!AG$2:AG$1266,MATCH(Data!$DN1188,'Data_Price '!$AT$2:$AT$1266,0))</f>
        <v>#N/A</v>
      </c>
      <c r="CY1188" t="e">
        <f>INDEX('Data_Price '!AH$2:AH$1266,MATCH(Data!$DN1188,'Data_Price '!$AT$2:$AT$1266,0))</f>
        <v>#N/A</v>
      </c>
      <c r="CZ1188" t="e">
        <f>INDEX('Data_Price '!AI$2:AI$1266,MATCH(Data!$DN1188,'Data_Price '!$AT$2:$AT$1266,0))</f>
        <v>#N/A</v>
      </c>
      <c r="DA1188" t="e">
        <f>INDEX('Data_Price '!AJ$2:AJ$1266,MATCH(Data!$DN1188,'Data_Price '!$AT$2:$AT$1266,0))</f>
        <v>#N/A</v>
      </c>
      <c r="DB1188" t="e">
        <f>INDEX('Data_Price '!AK$2:AK$1266,MATCH(Data!$DN1188,'Data_Price '!$AT$2:$AT$1266,0))</f>
        <v>#N/A</v>
      </c>
      <c r="DC1188" t="e">
        <f>INDEX('Data_Price '!AL$2:AL$1266,MATCH(Data!$DN1188,'Data_Price '!$AT$2:$AT$1266,0))</f>
        <v>#N/A</v>
      </c>
      <c r="DD1188" t="e">
        <f>INDEX('Data_Price '!AM$2:AM$1266,MATCH(Data!$DN1188,'Data_Price '!$AT$2:$AT$1266,0))</f>
        <v>#N/A</v>
      </c>
      <c r="DE1188" t="e">
        <f>INDEX('Data_Price '!AN$2:AN$1266,MATCH(Data!$DN1188,'Data_Price '!$AT$2:$AT$1266,0))</f>
        <v>#N/A</v>
      </c>
      <c r="DF1188" t="e">
        <f>INDEX('Data_Price '!AO$2:AO$1266,MATCH(Data!$DN1188,'Data_Price '!$AT$2:$AT$1266,0))</f>
        <v>#N/A</v>
      </c>
      <c r="DG1188" t="e">
        <f>INDEX('Data_Price '!AP$2:AP$1266,MATCH(Data!$DN1188,'Data_Price '!$AT$2:$AT$1266,0))</f>
        <v>#N/A</v>
      </c>
      <c r="DH1188" t="e">
        <f>INDEX('Data_Price '!AQ$2:AQ$1266,MATCH(Data!$DN1188,'Data_Price '!$AT$2:$AT$1266,0))</f>
        <v>#N/A</v>
      </c>
      <c r="DI1188" t="e">
        <f>INDEX('Data_Price '!AR$2:AR$1266,MATCH(Data!$DN1188,'Data_Price '!$AT$2:$AT$1266,0))</f>
        <v>#N/A</v>
      </c>
      <c r="DJ1188" s="89" t="e">
        <f t="shared" si="698"/>
        <v>#N/A</v>
      </c>
      <c r="DK1188" s="89" t="e">
        <f t="shared" si="699"/>
        <v>#N/A</v>
      </c>
      <c r="DL1188" s="89" t="e">
        <f t="shared" si="700"/>
        <v>#N/A</v>
      </c>
      <c r="DM1188" s="219" t="str">
        <f t="shared" si="701"/>
        <v>Wayback 88</v>
      </c>
      <c r="DN1188" s="89" t="str">
        <f t="shared" si="702"/>
        <v xml:space="preserve"> K2Wayback 88160 Unisex</v>
      </c>
      <c r="DO1188" s="221"/>
    </row>
    <row r="1189" spans="2:119" ht="15.6" customHeight="1">
      <c r="B1189" s="219" t="b">
        <f t="array" ref="B1189">IF(OR(ISERROR(K1189:P1189)),FALSE,TRUE)</f>
        <v>1</v>
      </c>
      <c r="C1189" s="43" t="b">
        <f>OR(BR1189=Driver!$G$50,Data!BR646=Driver!$H$50)</f>
        <v>1</v>
      </c>
      <c r="D1189" s="43" t="b">
        <f>OR(BV1189=Driver!$G$51,BV1189=Driver!$H$51)</f>
        <v>1</v>
      </c>
      <c r="E1189" s="43" t="b">
        <f>AND(BX1189&gt;Driver!$F$54,BX1189&lt;Driver!$G$54)</f>
        <v>0</v>
      </c>
      <c r="F1189" s="43" t="b">
        <f>CL1189&gt;Driver!$F$56</f>
        <v>1</v>
      </c>
      <c r="G1189" s="43" t="b">
        <f>AND(CB1189&gt;Driver!$F$55,CB1189&lt;Driver!$G$55)</f>
        <v>0</v>
      </c>
      <c r="H1189" s="43" t="b">
        <f t="shared" si="666"/>
        <v>0</v>
      </c>
      <c r="I1189" s="43">
        <f t="shared" si="667"/>
        <v>0</v>
      </c>
      <c r="J1189" s="43" t="b">
        <f t="array" ref="J1189">NOT(OR(($H$9:$H$1273=TRUE)*($I$9:$I$1273&gt;0)*($BT$9:$BT$1273=BT1189)*($K$9:$K$1273&gt;K1189)))</f>
        <v>1</v>
      </c>
      <c r="K1189" s="72">
        <f t="shared" si="668"/>
        <v>0.69508982268644703</v>
      </c>
      <c r="L1189" s="72">
        <f t="shared" si="669"/>
        <v>0.81797461214989964</v>
      </c>
      <c r="M1189" s="72">
        <f t="shared" si="670"/>
        <v>0.57220503322299421</v>
      </c>
      <c r="N1189" s="72">
        <f t="shared" si="671"/>
        <v>0.36096810267469404</v>
      </c>
      <c r="O1189" s="72">
        <f t="shared" si="672"/>
        <v>0.58835569228675155</v>
      </c>
      <c r="P1189" s="72">
        <f t="shared" si="673"/>
        <v>0.76729130470753704</v>
      </c>
      <c r="Q1189" s="72"/>
      <c r="R1189" s="72"/>
      <c r="S1189" s="72">
        <f t="shared" si="674"/>
        <v>0.56615853130294758</v>
      </c>
      <c r="T1189" s="72">
        <f t="shared" si="675"/>
        <v>0.55000000000000004</v>
      </c>
      <c r="U1189" s="72">
        <f t="shared" si="676"/>
        <v>0.51</v>
      </c>
      <c r="V1189" s="72">
        <f t="shared" si="677"/>
        <v>0.49087530364319498</v>
      </c>
      <c r="W1189" s="72">
        <f t="shared" si="678"/>
        <v>0.75295187221603566</v>
      </c>
      <c r="X1189" s="72">
        <f t="shared" si="679"/>
        <v>0.18202538785010031</v>
      </c>
      <c r="Y1189" s="72">
        <f t="shared" si="680"/>
        <v>0.42779496677700574</v>
      </c>
      <c r="Z1189" s="72">
        <f t="shared" si="681"/>
        <v>0.63903189732530596</v>
      </c>
      <c r="AA1189" s="72">
        <f t="shared" si="682"/>
        <v>0.41164430771324845</v>
      </c>
      <c r="AB1189" s="72">
        <f t="shared" si="683"/>
        <v>0.23270869529246296</v>
      </c>
      <c r="AC1189" s="72"/>
      <c r="AD1189" s="72"/>
      <c r="AE1189" s="72">
        <f t="shared" si="684"/>
        <v>0.43384146869705242</v>
      </c>
      <c r="AF1189" s="72">
        <f t="shared" si="685"/>
        <v>0.44999999999999996</v>
      </c>
      <c r="AG1189" s="72">
        <f t="shared" si="686"/>
        <v>0.49</v>
      </c>
      <c r="AH1189" s="72">
        <f t="shared" si="687"/>
        <v>0.50912469635680502</v>
      </c>
      <c r="AI1189" s="72">
        <f t="shared" si="688"/>
        <v>0.24704812778396437</v>
      </c>
      <c r="AJ1189" s="72">
        <f>(AV1189-Driver!$K$179)/(Driver!$L$179-Driver!$K$179)</f>
        <v>7.2194021432600106E-2</v>
      </c>
      <c r="AK1189" s="72">
        <f>(AW1189-Driver!$K$180)/(Driver!$L$180-Driver!$K$180)</f>
        <v>0.51525945196545309</v>
      </c>
      <c r="AL1189" s="72">
        <f>(AX1189-Driver!$K$181)/(Driver!$L$181-Driver!$K$181)</f>
        <v>0.74071966103838616</v>
      </c>
      <c r="AM1189" s="72">
        <f>(AY1189-Driver!$K$182)/(Driver!$L$182-Driver!$K$182)</f>
        <v>3.5740713383797938E-2</v>
      </c>
      <c r="AN1189" s="72">
        <f>(AZ1189-Driver!$K$183)/(Driver!$L$183-Driver!$K$183)</f>
        <v>0.48692810457516339</v>
      </c>
      <c r="AO1189" s="72"/>
      <c r="AP1189" s="72"/>
      <c r="AQ1189" s="72">
        <f>(BC1189-Driver!$K$188)/(Driver!$L$188-Driver!$K$188)</f>
        <v>0.18615853130294754</v>
      </c>
      <c r="AR1189" s="72">
        <f>MIN((BD1189-Driver!$K$189)/(Driver!$L$189-Driver!$K$189),100%)</f>
        <v>1</v>
      </c>
      <c r="AS1189" s="72">
        <f>(BE1189-Driver!$K$190)/(Driver!$L$190-Driver!$K$190)</f>
        <v>1</v>
      </c>
      <c r="AT1189" s="72">
        <f>(BF1189-Driver!$K$191)/(Driver!$L$191-Driver!$K$191)</f>
        <v>8.7530364319495749E-4</v>
      </c>
      <c r="AU1189" s="72">
        <f>(BG1189-Driver!$K$192)/(Driver!$L$192-Driver!$K$192)</f>
        <v>2.9518722160356346E-3</v>
      </c>
      <c r="AV1189" s="70">
        <f t="shared" si="689"/>
        <v>1.5194681861348529</v>
      </c>
      <c r="AW1189" s="70">
        <f t="shared" si="690"/>
        <v>52.088491878693659</v>
      </c>
      <c r="AX1189" s="70">
        <f t="shared" si="691"/>
        <v>7.6664769493454754</v>
      </c>
      <c r="AY1189" s="70">
        <f>IFERROR(Driver!$K$19/Data!BH1189/Data!BI1189*Data!BK1189*Data!BL1189,"")</f>
        <v>4.3757297181394435E-2</v>
      </c>
      <c r="AZ1189" s="70">
        <f t="shared" si="692"/>
        <v>44.378257632166793</v>
      </c>
      <c r="BA1189" s="70"/>
      <c r="BB1189" s="70"/>
      <c r="BC1189" s="70">
        <f t="shared" si="693"/>
        <v>96.561724339952718</v>
      </c>
      <c r="BD1189" s="70">
        <f t="shared" si="694"/>
        <v>113.48826142946211</v>
      </c>
      <c r="BE1189" s="70">
        <f t="shared" si="695"/>
        <v>1</v>
      </c>
      <c r="BF1189" s="70">
        <f t="shared" si="696"/>
        <v>9.8859397142747704E-2</v>
      </c>
      <c r="BG1189" s="70">
        <f t="shared" si="697"/>
        <v>1.117767130080735E-2</v>
      </c>
      <c r="BH1189" s="67">
        <f>MAX((CE1189-Driver!$F$200)/(Driver!$G$200-Driver!$F$200)*$BI$1,1)</f>
        <v>7.6664769493454754</v>
      </c>
      <c r="BI1189" s="67">
        <f>MAX($BI$1*(BY1189-Driver!$F$201)/(Driver!$G$201-Driver!$F$201),1)</f>
        <v>9.4303797468354436</v>
      </c>
      <c r="BJ1189" s="67">
        <f>(CB1189-Driver!$F$206)/(Driver!$G$206-Driver!$F$206)*$BI$1</f>
        <v>1.1111111111111112</v>
      </c>
      <c r="BK1189" s="67">
        <f>(CD1189-Driver!$F$203)/(Driver!$G$203-Driver!$F$203)*$BI$1</f>
        <v>2.2935779816513766</v>
      </c>
      <c r="BL1189" s="67">
        <f>MAX((CR1189-Driver!$F$202)/(Driver!$G$202-Driver!$F$202)*$BI$1,1)</f>
        <v>6.8965517241379315</v>
      </c>
      <c r="BM1189" s="67">
        <f>MAX((CH1189-Driver!$F$204)/(Driver!$G$204-Driver!$F$204)*$BI$1,1)</f>
        <v>5.4700854700854702</v>
      </c>
      <c r="BN1189" s="67">
        <f>(CI1189-Driver!$F$205)/(Driver!$G$205-Driver!$F$205)*$BI$1</f>
        <v>4.7058823529411766</v>
      </c>
      <c r="BO1189" s="67">
        <f>(CK1189-Driver!$F$207)/(Driver!$G$207-Driver!$F$207)*$BI$1</f>
        <v>0.38262668045501552</v>
      </c>
      <c r="BP1189" s="67">
        <f>(CM1189-Driver!$F$208)/(Driver!$G$208-Driver!$F$208)*$BI$1</f>
        <v>0.53333333333333333</v>
      </c>
      <c r="BQ1189" s="67">
        <f>(CL1189-Driver!$F$209)/(Driver!$G$209-Driver!$F$209)*$BI$1</f>
        <v>0.46875</v>
      </c>
      <c r="BR1189" s="28" t="s">
        <v>155</v>
      </c>
      <c r="BS1189" s="8" t="s">
        <v>167</v>
      </c>
      <c r="BT1189" s="9" t="s">
        <v>869</v>
      </c>
      <c r="BU1189" s="10">
        <v>177</v>
      </c>
      <c r="BV1189" s="9" t="s">
        <v>158</v>
      </c>
      <c r="BW1189" s="10">
        <v>177</v>
      </c>
      <c r="BX1189" s="10">
        <v>176.3</v>
      </c>
      <c r="BY1189" s="10">
        <v>157</v>
      </c>
      <c r="BZ1189" s="10">
        <v>164</v>
      </c>
      <c r="CA1189" s="10">
        <v>128</v>
      </c>
      <c r="CB1189" s="10">
        <v>71</v>
      </c>
      <c r="CC1189" s="10">
        <v>109</v>
      </c>
      <c r="CD1189" s="10">
        <v>14.4</v>
      </c>
      <c r="CE1189" s="10">
        <v>2247</v>
      </c>
      <c r="CF1189" s="10">
        <v>0.69</v>
      </c>
      <c r="CG1189" s="10">
        <v>1551</v>
      </c>
      <c r="CH1189" s="10">
        <v>229</v>
      </c>
      <c r="CI1189" s="10">
        <v>113</v>
      </c>
      <c r="CJ1189" s="10">
        <v>36</v>
      </c>
      <c r="CK1189" s="10">
        <v>147</v>
      </c>
      <c r="CL1189" s="10">
        <v>3</v>
      </c>
      <c r="CM1189" s="10">
        <v>48</v>
      </c>
      <c r="CN1189" s="10">
        <v>0.09</v>
      </c>
      <c r="CO1189" s="10">
        <v>66</v>
      </c>
      <c r="CP1189" s="10">
        <v>55</v>
      </c>
      <c r="CQ1189" s="10">
        <v>81</v>
      </c>
      <c r="CR1189" s="10">
        <v>9</v>
      </c>
      <c r="CS1189" s="10">
        <v>12.7</v>
      </c>
      <c r="CT1189" s="9" t="s">
        <v>349</v>
      </c>
      <c r="CU1189" s="10"/>
      <c r="CV1189" s="10"/>
      <c r="CW1189" s="10"/>
      <c r="CX1189" t="str">
        <f>INDEX('Data_Price '!AG$2:AG$1266,MATCH(Data!$DN1189,'Data_Price '!$AT$2:$AT$1266,0))</f>
        <v>Head Supershape e-Magnum Skis + PRD 12 GW Bindings Â· 177 cm</v>
      </c>
      <c r="CY1189" t="str">
        <f>INDEX('Data_Price '!AH$2:AH$1266,MATCH(Data!$DN1189,'Data_Price '!$AT$2:$AT$1266,0))</f>
        <v>Powder7 Ski Shop</v>
      </c>
      <c r="CZ1189">
        <f>INDEX('Data_Price '!AI$2:AI$1266,MATCH(Data!$DN1189,'Data_Price '!$AT$2:$AT$1266,0))</f>
        <v>879.95</v>
      </c>
      <c r="DA1189" t="str">
        <f>INDEX('Data_Price '!AJ$2:AJ$1266,MATCH(Data!$DN1189,'Data_Price '!$AT$2:$AT$1266,0))</f>
        <v>https://tinyurl.com/yc3pdtvt</v>
      </c>
      <c r="DB1189" t="str">
        <f>INDEX('Data_Price '!AK$2:AK$1266,MATCH(Data!$DN1189,'Data_Price '!$AT$2:$AT$1266,0))</f>
        <v>Head Supershape I.titan 177 Cm Men's Skis W/ Freeflex Pro Bindings</v>
      </c>
      <c r="DC1189" t="str">
        <f>INDEX('Data_Price '!AL$2:AL$1266,MATCH(Data!$DN1189,'Data_Price '!$AT$2:$AT$1266,0))</f>
        <v>eBay - terrbake_60</v>
      </c>
      <c r="DD1189">
        <f>INDEX('Data_Price '!AM$2:AM$1266,MATCH(Data!$DN1189,'Data_Price '!$AT$2:$AT$1266,0))</f>
        <v>150</v>
      </c>
      <c r="DE1189" t="str">
        <f>INDEX('Data_Price '!AN$2:AN$1266,MATCH(Data!$DN1189,'Data_Price '!$AT$2:$AT$1266,0))</f>
        <v>https://tinyurl.com/y8yjdkd4</v>
      </c>
      <c r="DF1189" t="str">
        <f>INDEX('Data_Price '!AO$2:AO$1266,MATCH(Data!$DN1189,'Data_Price '!$AT$2:$AT$1266,0))</f>
        <v xml:space="preserve">2022 Head Supershape Titan w Head PRD 12 Demo Bindings, Black/Blue / 177 / </v>
      </c>
      <c r="DG1189" t="str">
        <f>INDEX('Data_Price '!AP$2:AP$1266,MATCH(Data!$DN1189,'Data_Price '!$AT$2:$AT$1266,0))</f>
        <v>Lone Pine Gear Exchange</v>
      </c>
      <c r="DH1189">
        <f>INDEX('Data_Price '!AQ$2:AQ$1266,MATCH(Data!$DN1189,'Data_Price '!$AT$2:$AT$1266,0))</f>
        <v>575</v>
      </c>
      <c r="DI1189" t="str">
        <f>INDEX('Data_Price '!AR$2:AR$1266,MATCH(Data!$DN1189,'Data_Price '!$AT$2:$AT$1266,0))</f>
        <v>https://tinyurl.com/y83axxn2</v>
      </c>
      <c r="DJ1189" s="89" t="str">
        <f t="shared" si="698"/>
        <v>https://tinyurl.com/yc3pdtvt</v>
      </c>
      <c r="DK1189" s="89" t="str">
        <f t="shared" si="699"/>
        <v>https://tinyurl.com/y8yjdkd4</v>
      </c>
      <c r="DL1189" s="89" t="str">
        <f t="shared" si="700"/>
        <v>https://tinyurl.com/y83axxn2</v>
      </c>
      <c r="DM1189" s="219" t="str">
        <f t="shared" si="701"/>
        <v>Supershape e-Magnum</v>
      </c>
      <c r="DN1189" s="89" t="str">
        <f t="shared" si="702"/>
        <v xml:space="preserve"> HeadSupershape e-Magnum177 Unisex</v>
      </c>
      <c r="DO1189" s="221"/>
    </row>
    <row r="1190" spans="2:119" ht="15.6" customHeight="1">
      <c r="B1190" s="219" t="b">
        <f t="array" ref="B1190">IF(OR(ISERROR(K1190:P1190)),FALSE,TRUE)</f>
        <v>1</v>
      </c>
      <c r="C1190" s="43" t="b">
        <f>OR(BR1190=Driver!$G$50,Data!BR782=Driver!$H$50)</f>
        <v>1</v>
      </c>
      <c r="D1190" s="43" t="b">
        <f>OR(BV1190=Driver!$G$51,BV1190=Driver!$H$51)</f>
        <v>0</v>
      </c>
      <c r="E1190" s="43" t="b">
        <f>AND(BX1190&gt;Driver!$F$54,BX1190&lt;Driver!$G$54)</f>
        <v>1</v>
      </c>
      <c r="F1190" s="43" t="b">
        <f>CL1190&gt;Driver!$F$56</f>
        <v>1</v>
      </c>
      <c r="G1190" s="43" t="b">
        <f>AND(CB1190&gt;Driver!$F$55,CB1190&lt;Driver!$G$55)</f>
        <v>0</v>
      </c>
      <c r="H1190" s="43" t="b">
        <f t="shared" si="666"/>
        <v>0</v>
      </c>
      <c r="I1190" s="43">
        <f t="shared" si="667"/>
        <v>0</v>
      </c>
      <c r="J1190" s="43" t="b">
        <f t="array" ref="J1190">NOT(OR(($H$9:$H$1273=TRUE)*($I$9:$I$1273&gt;0)*($BT$9:$BT$1273=BT1190)*($K$9:$K$1273&gt;K1190)))</f>
        <v>1</v>
      </c>
      <c r="K1190" s="72">
        <f t="shared" si="668"/>
        <v>0.8601075984123624</v>
      </c>
      <c r="L1190" s="72">
        <f t="shared" si="669"/>
        <v>0.81064240684815125</v>
      </c>
      <c r="M1190" s="72">
        <f t="shared" si="670"/>
        <v>0.90957278997657354</v>
      </c>
      <c r="N1190" s="72">
        <f t="shared" si="671"/>
        <v>0.92442998750427263</v>
      </c>
      <c r="O1190" s="72">
        <f t="shared" si="672"/>
        <v>0.93955354334213514</v>
      </c>
      <c r="P1190" s="72">
        <f t="shared" si="673"/>
        <v>0.86473483908331272</v>
      </c>
      <c r="Q1190" s="72"/>
      <c r="R1190" s="72"/>
      <c r="S1190" s="72">
        <f t="shared" si="674"/>
        <v>0.41462280482557023</v>
      </c>
      <c r="T1190" s="72">
        <f t="shared" si="675"/>
        <v>0.44239063970119819</v>
      </c>
      <c r="U1190" s="72">
        <f t="shared" si="676"/>
        <v>0.51</v>
      </c>
      <c r="V1190" s="72">
        <f t="shared" si="677"/>
        <v>0.5117241746386586</v>
      </c>
      <c r="W1190" s="72">
        <f t="shared" si="678"/>
        <v>0.86168531928900594</v>
      </c>
      <c r="X1190" s="72">
        <f t="shared" si="679"/>
        <v>0.18935759315184875</v>
      </c>
      <c r="Y1190" s="72">
        <f t="shared" si="680"/>
        <v>9.0427210023426505E-2</v>
      </c>
      <c r="Z1190" s="72">
        <f t="shared" si="681"/>
        <v>7.5570012495727368E-2</v>
      </c>
      <c r="AA1190" s="72">
        <f t="shared" si="682"/>
        <v>6.04464566578648E-2</v>
      </c>
      <c r="AB1190" s="72">
        <f t="shared" si="683"/>
        <v>0.13526516091668733</v>
      </c>
      <c r="AC1190" s="72"/>
      <c r="AD1190" s="72"/>
      <c r="AE1190" s="72">
        <f t="shared" si="684"/>
        <v>0.58537719517442977</v>
      </c>
      <c r="AF1190" s="72">
        <f t="shared" si="685"/>
        <v>0.55760936029880181</v>
      </c>
      <c r="AG1190" s="72">
        <f t="shared" si="686"/>
        <v>0.49</v>
      </c>
      <c r="AH1190" s="72">
        <f t="shared" si="687"/>
        <v>0.4882758253613414</v>
      </c>
      <c r="AI1190" s="72">
        <f t="shared" si="688"/>
        <v>0.13831468071099409</v>
      </c>
      <c r="AJ1190" s="72">
        <f>(AV1190-Driver!$K$179)/(Driver!$L$179-Driver!$K$179)</f>
        <v>6.4861816130851666E-2</v>
      </c>
      <c r="AK1190" s="72">
        <f>(AW1190-Driver!$K$180)/(Driver!$L$180-Driver!$K$180)</f>
        <v>0.10956720759930351</v>
      </c>
      <c r="AL1190" s="72">
        <f>(AX1190-Driver!$K$181)/(Driver!$L$181-Driver!$K$181)</f>
        <v>2.6117751217352811E-2</v>
      </c>
      <c r="AM1190" s="72">
        <f>(AY1190-Driver!$K$182)/(Driver!$L$182-Driver!$K$182)</f>
        <v>0.38693856443918156</v>
      </c>
      <c r="AN1190" s="72">
        <f>(AZ1190-Driver!$K$183)/(Driver!$L$183-Driver!$K$183)</f>
        <v>0.11895424836601308</v>
      </c>
      <c r="AO1190" s="72"/>
      <c r="AP1190" s="72"/>
      <c r="AQ1190" s="72">
        <f>(BC1190-Driver!$K$188)/(Driver!$L$188-Driver!$K$188)</f>
        <v>3.4622804825570272E-2</v>
      </c>
      <c r="AR1190" s="72">
        <f>MIN((BD1190-Driver!$K$189)/(Driver!$L$189-Driver!$K$189),100%)</f>
        <v>-7.6093602988018157E-3</v>
      </c>
      <c r="AS1190" s="72">
        <f>(BE1190-Driver!$K$190)/(Driver!$L$190-Driver!$K$190)</f>
        <v>1</v>
      </c>
      <c r="AT1190" s="72">
        <f>(BF1190-Driver!$K$191)/(Driver!$L$191-Driver!$K$191)</f>
        <v>2.1724174638658639E-2</v>
      </c>
      <c r="AU1190" s="72">
        <f>(BG1190-Driver!$K$192)/(Driver!$L$192-Driver!$K$192)</f>
        <v>0.11168531928900591</v>
      </c>
      <c r="AV1190" s="70">
        <f t="shared" si="689"/>
        <v>1.3651471984805319</v>
      </c>
      <c r="AW1190" s="70">
        <f t="shared" si="690"/>
        <v>12.55018786623412</v>
      </c>
      <c r="AX1190" s="70">
        <f t="shared" si="691"/>
        <v>1.2350597609561753</v>
      </c>
      <c r="AY1190" s="70">
        <f>IFERROR(Driver!$K$19/Data!BH1190/Data!BI1190*Data!BK1190*Data!BL1190,"")</f>
        <v>0.47372825419827191</v>
      </c>
      <c r="AZ1190" s="70">
        <f t="shared" si="692"/>
        <v>10.841399851079673</v>
      </c>
      <c r="BA1190" s="70"/>
      <c r="BB1190" s="70"/>
      <c r="BC1190" s="70">
        <f t="shared" si="693"/>
        <v>17.959089556857531</v>
      </c>
      <c r="BD1190" s="70">
        <f t="shared" si="694"/>
        <v>1.0474079806423853</v>
      </c>
      <c r="BE1190" s="70">
        <f t="shared" si="695"/>
        <v>1</v>
      </c>
      <c r="BF1190" s="70">
        <f t="shared" si="696"/>
        <v>2.453592904471912</v>
      </c>
      <c r="BG1190" s="70">
        <f t="shared" si="697"/>
        <v>0.422911866359447</v>
      </c>
      <c r="BH1190" s="67">
        <f>MAX((CE1190-Driver!$F$200)/(Driver!$G$200-Driver!$F$200)*$BI$1,1)</f>
        <v>1.2350597609561753</v>
      </c>
      <c r="BI1190" s="67">
        <f>MAX($BI$1*(BY1190-Driver!$F$201)/(Driver!$G$201-Driver!$F$201),1)</f>
        <v>7.0886075949367084</v>
      </c>
      <c r="BJ1190" s="67">
        <f>(CB1190-Driver!$F$206)/(Driver!$G$206-Driver!$F$206)*$BI$1</f>
        <v>3.6507936507936507</v>
      </c>
      <c r="BK1190" s="67">
        <f>(CD1190-Driver!$F$203)/(Driver!$G$203-Driver!$F$203)*$BI$1</f>
        <v>3.1651376146788994</v>
      </c>
      <c r="BL1190" s="67">
        <f>MAX((CR1190-Driver!$F$202)/(Driver!$G$202-Driver!$F$202)*$BI$1,1)</f>
        <v>6.5517241379310338</v>
      </c>
      <c r="BM1190" s="67">
        <f>MAX((CH1190-Driver!$F$204)/(Driver!$G$204-Driver!$F$204)*$BI$1,1)</f>
        <v>1.4957264957264957</v>
      </c>
      <c r="BN1190" s="67">
        <f>(CI1190-Driver!$F$205)/(Driver!$G$205-Driver!$F$205)*$BI$1</f>
        <v>1.5294117647058825</v>
      </c>
      <c r="BO1190" s="67">
        <f>(CK1190-Driver!$F$207)/(Driver!$G$207-Driver!$F$207)*$BI$1</f>
        <v>1.9338159255429164</v>
      </c>
      <c r="BP1190" s="67">
        <f>(CM1190-Driver!$F$208)/(Driver!$G$208-Driver!$F$208)*$BI$1</f>
        <v>1.1000000000000001</v>
      </c>
      <c r="BQ1190" s="67">
        <f>(CL1190-Driver!$F$209)/(Driver!$G$209-Driver!$F$209)*$BI$1</f>
        <v>0.78125</v>
      </c>
      <c r="BR1190" s="28" t="s">
        <v>155</v>
      </c>
      <c r="BS1190" s="8" t="s">
        <v>262</v>
      </c>
      <c r="BT1190" s="9" t="s">
        <v>846</v>
      </c>
      <c r="BU1190" s="10">
        <v>160</v>
      </c>
      <c r="BV1190" s="9" t="s">
        <v>163</v>
      </c>
      <c r="BW1190" s="10">
        <v>160</v>
      </c>
      <c r="BX1190" s="10">
        <v>159.69999999999999</v>
      </c>
      <c r="BY1190" s="10">
        <v>120</v>
      </c>
      <c r="BZ1190" s="10">
        <v>134</v>
      </c>
      <c r="CA1190" s="10">
        <v>120</v>
      </c>
      <c r="CB1190" s="10">
        <v>87</v>
      </c>
      <c r="CC1190" s="10">
        <v>108</v>
      </c>
      <c r="CD1190" s="10">
        <v>16.3</v>
      </c>
      <c r="CE1190" s="10">
        <v>1117</v>
      </c>
      <c r="CF1190" s="10">
        <v>1.39</v>
      </c>
      <c r="CG1190" s="10">
        <v>1552</v>
      </c>
      <c r="CH1190" s="10">
        <v>136</v>
      </c>
      <c r="CI1190" s="10">
        <v>59</v>
      </c>
      <c r="CJ1190" s="10">
        <v>44</v>
      </c>
      <c r="CK1190" s="10">
        <v>297</v>
      </c>
      <c r="CL1190" s="10">
        <v>5</v>
      </c>
      <c r="CM1190" s="10">
        <v>99</v>
      </c>
      <c r="CN1190" s="10">
        <v>0.114</v>
      </c>
      <c r="CO1190" s="10">
        <v>158</v>
      </c>
      <c r="CP1190" s="10">
        <v>97</v>
      </c>
      <c r="CQ1190" s="10">
        <v>139</v>
      </c>
      <c r="CR1190" s="10">
        <v>8</v>
      </c>
      <c r="CS1190" s="10">
        <v>12</v>
      </c>
      <c r="CT1190" s="9" t="s">
        <v>185</v>
      </c>
      <c r="CU1190" s="9" t="s">
        <v>198</v>
      </c>
      <c r="CV1190" s="10"/>
      <c r="CW1190" s="10"/>
      <c r="CX1190" t="e">
        <f>INDEX('Data_Price '!AG$2:AG$1266,MATCH(Data!$DN1190,'Data_Price '!$AT$2:$AT$1266,0))</f>
        <v>#N/A</v>
      </c>
      <c r="CY1190" t="e">
        <f>INDEX('Data_Price '!AH$2:AH$1266,MATCH(Data!$DN1190,'Data_Price '!$AT$2:$AT$1266,0))</f>
        <v>#N/A</v>
      </c>
      <c r="CZ1190" t="e">
        <f>INDEX('Data_Price '!AI$2:AI$1266,MATCH(Data!$DN1190,'Data_Price '!$AT$2:$AT$1266,0))</f>
        <v>#N/A</v>
      </c>
      <c r="DA1190" t="e">
        <f>INDEX('Data_Price '!AJ$2:AJ$1266,MATCH(Data!$DN1190,'Data_Price '!$AT$2:$AT$1266,0))</f>
        <v>#N/A</v>
      </c>
      <c r="DB1190" t="e">
        <f>INDEX('Data_Price '!AK$2:AK$1266,MATCH(Data!$DN1190,'Data_Price '!$AT$2:$AT$1266,0))</f>
        <v>#N/A</v>
      </c>
      <c r="DC1190" t="e">
        <f>INDEX('Data_Price '!AL$2:AL$1266,MATCH(Data!$DN1190,'Data_Price '!$AT$2:$AT$1266,0))</f>
        <v>#N/A</v>
      </c>
      <c r="DD1190" t="e">
        <f>INDEX('Data_Price '!AM$2:AM$1266,MATCH(Data!$DN1190,'Data_Price '!$AT$2:$AT$1266,0))</f>
        <v>#N/A</v>
      </c>
      <c r="DE1190" t="e">
        <f>INDEX('Data_Price '!AN$2:AN$1266,MATCH(Data!$DN1190,'Data_Price '!$AT$2:$AT$1266,0))</f>
        <v>#N/A</v>
      </c>
      <c r="DF1190" t="e">
        <f>INDEX('Data_Price '!AO$2:AO$1266,MATCH(Data!$DN1190,'Data_Price '!$AT$2:$AT$1266,0))</f>
        <v>#N/A</v>
      </c>
      <c r="DG1190" t="e">
        <f>INDEX('Data_Price '!AP$2:AP$1266,MATCH(Data!$DN1190,'Data_Price '!$AT$2:$AT$1266,0))</f>
        <v>#N/A</v>
      </c>
      <c r="DH1190" t="e">
        <f>INDEX('Data_Price '!AQ$2:AQ$1266,MATCH(Data!$DN1190,'Data_Price '!$AT$2:$AT$1266,0))</f>
        <v>#N/A</v>
      </c>
      <c r="DI1190" t="e">
        <f>INDEX('Data_Price '!AR$2:AR$1266,MATCH(Data!$DN1190,'Data_Price '!$AT$2:$AT$1266,0))</f>
        <v>#N/A</v>
      </c>
      <c r="DJ1190" s="89" t="e">
        <f t="shared" si="698"/>
        <v>#N/A</v>
      </c>
      <c r="DK1190" s="89" t="e">
        <f t="shared" si="699"/>
        <v>#N/A</v>
      </c>
      <c r="DL1190" s="89" t="e">
        <f t="shared" si="700"/>
        <v>#N/A</v>
      </c>
      <c r="DM1190" s="219" t="str">
        <f t="shared" si="701"/>
        <v>Talkback 88</v>
      </c>
      <c r="DN1190" s="89" t="str">
        <f t="shared" si="702"/>
        <v xml:space="preserve"> K2Talkback 88160 Women's</v>
      </c>
      <c r="DO1190" s="221"/>
    </row>
    <row r="1191" spans="2:119" ht="15.6" customHeight="1">
      <c r="B1191" s="219" t="b">
        <f t="array" ref="B1191">IF(OR(ISERROR(K1191:P1191)),FALSE,TRUE)</f>
        <v>1</v>
      </c>
      <c r="C1191" s="43" t="b">
        <f>OR(BR1191=Driver!$G$50,Data!BR455=Driver!$H$50)</f>
        <v>1</v>
      </c>
      <c r="D1191" s="43" t="b">
        <f>OR(BV1191=Driver!$G$51,BV1191=Driver!$H$51)</f>
        <v>0</v>
      </c>
      <c r="E1191" s="43" t="b">
        <f>AND(BX1191&gt;Driver!$F$54,BX1191&lt;Driver!$G$54)</f>
        <v>0</v>
      </c>
      <c r="F1191" s="43" t="b">
        <f>CL1191&gt;Driver!$F$56</f>
        <v>1</v>
      </c>
      <c r="G1191" s="43" t="b">
        <f>AND(CB1191&gt;Driver!$F$55,CB1191&lt;Driver!$G$55)</f>
        <v>0</v>
      </c>
      <c r="H1191" s="43" t="b">
        <f t="shared" si="666"/>
        <v>0</v>
      </c>
      <c r="I1191" s="43">
        <f t="shared" si="667"/>
        <v>0</v>
      </c>
      <c r="J1191" s="43" t="b">
        <f t="array" ref="J1191">NOT(OR(($H$9:$H$1273=TRUE)*($I$9:$I$1273&gt;0)*($BT$9:$BT$1273=BT1191)*($K$9:$K$1273&gt;K1191)))</f>
        <v>1</v>
      </c>
      <c r="K1191" s="72">
        <f t="shared" si="668"/>
        <v>0.80327362711537087</v>
      </c>
      <c r="L1191" s="72">
        <f t="shared" si="669"/>
        <v>0.79025726463559787</v>
      </c>
      <c r="M1191" s="72">
        <f t="shared" si="670"/>
        <v>0.81628998959514387</v>
      </c>
      <c r="N1191" s="72">
        <f t="shared" si="671"/>
        <v>0.97501983226427225</v>
      </c>
      <c r="O1191" s="72">
        <f t="shared" si="672"/>
        <v>0.64800418632673551</v>
      </c>
      <c r="P1191" s="72">
        <f t="shared" si="673"/>
        <v>0.82584595019442375</v>
      </c>
      <c r="Q1191" s="72"/>
      <c r="R1191" s="72"/>
      <c r="S1191" s="72">
        <f t="shared" si="674"/>
        <v>0.39182077366536328</v>
      </c>
      <c r="T1191" s="72">
        <f t="shared" si="675"/>
        <v>0.4509824491208424</v>
      </c>
      <c r="U1191" s="72">
        <f t="shared" si="676"/>
        <v>0.98854085212795195</v>
      </c>
      <c r="V1191" s="72">
        <f t="shared" si="677"/>
        <v>0.55241507202015527</v>
      </c>
      <c r="W1191" s="72">
        <f t="shared" si="678"/>
        <v>0.97559840425531918</v>
      </c>
      <c r="X1191" s="72">
        <f t="shared" si="679"/>
        <v>0.20974273536440213</v>
      </c>
      <c r="Y1191" s="72">
        <f t="shared" si="680"/>
        <v>0.18371001040485616</v>
      </c>
      <c r="Z1191" s="72">
        <f t="shared" si="681"/>
        <v>2.498016773572774E-2</v>
      </c>
      <c r="AA1191" s="72">
        <f t="shared" si="682"/>
        <v>0.35199581367326449</v>
      </c>
      <c r="AB1191" s="72">
        <f t="shared" si="683"/>
        <v>0.17415404980557625</v>
      </c>
      <c r="AC1191" s="72"/>
      <c r="AD1191" s="72"/>
      <c r="AE1191" s="72">
        <f t="shared" si="684"/>
        <v>0.60817922633463672</v>
      </c>
      <c r="AF1191" s="72">
        <f t="shared" si="685"/>
        <v>0.5490175508791576</v>
      </c>
      <c r="AG1191" s="72">
        <f t="shared" si="686"/>
        <v>1.1459147872048048E-2</v>
      </c>
      <c r="AH1191" s="72">
        <f t="shared" si="687"/>
        <v>0.44758492797984478</v>
      </c>
      <c r="AI1191" s="72">
        <f t="shared" si="688"/>
        <v>2.4401595744680843E-2</v>
      </c>
      <c r="AJ1191" s="72">
        <f>(AV1191-Driver!$K$179)/(Driver!$L$179-Driver!$K$179)</f>
        <v>4.4476673918298279E-2</v>
      </c>
      <c r="AK1191" s="72">
        <f>(AW1191-Driver!$K$180)/(Driver!$L$180-Driver!$K$180)</f>
        <v>7.8822998703454411E-2</v>
      </c>
      <c r="AL1191" s="72">
        <f>(AX1191-Driver!$K$181)/(Driver!$L$181-Driver!$K$181)</f>
        <v>0.12666793144880792</v>
      </c>
      <c r="AM1191" s="72">
        <f>(AY1191-Driver!$K$182)/(Driver!$L$182-Driver!$K$182)</f>
        <v>9.5389207423781874E-2</v>
      </c>
      <c r="AN1191" s="72">
        <f>(AZ1191-Driver!$K$183)/(Driver!$L$183-Driver!$K$183)</f>
        <v>8.006535947712419E-2</v>
      </c>
      <c r="AO1191" s="72"/>
      <c r="AP1191" s="72"/>
      <c r="AQ1191" s="72">
        <f>(BC1191-Driver!$K$188)/(Driver!$L$188-Driver!$K$188)</f>
        <v>1.1820773665363318E-2</v>
      </c>
      <c r="AR1191" s="72">
        <f>MIN((BD1191-Driver!$K$189)/(Driver!$L$189-Driver!$K$189),100%)</f>
        <v>9.8244912084245522E-4</v>
      </c>
      <c r="AS1191" s="72">
        <f>(BE1191-Driver!$K$190)/(Driver!$L$190-Driver!$K$190)</f>
        <v>0.49854085212795196</v>
      </c>
      <c r="AT1191" s="72">
        <f>(BF1191-Driver!$K$191)/(Driver!$L$191-Driver!$K$191)</f>
        <v>6.2415072020155241E-2</v>
      </c>
      <c r="AU1191" s="72">
        <f>(BG1191-Driver!$K$192)/(Driver!$L$192-Driver!$K$192)</f>
        <v>0.22559840425531916</v>
      </c>
      <c r="AV1191" s="70">
        <f t="shared" si="689"/>
        <v>0.93610093610093603</v>
      </c>
      <c r="AW1191" s="70">
        <f t="shared" si="690"/>
        <v>9.5538922879298109</v>
      </c>
      <c r="AX1191" s="70">
        <f t="shared" si="691"/>
        <v>2.1400113830392713</v>
      </c>
      <c r="AY1191" s="70">
        <f>IFERROR(Driver!$K$19/Data!BH1191/Data!BI1191*Data!BK1191*Data!BL1191,"")</f>
        <v>0.11678485127922084</v>
      </c>
      <c r="AZ1191" s="70">
        <f t="shared" si="692"/>
        <v>7.2970960536113187</v>
      </c>
      <c r="BA1191" s="70"/>
      <c r="BB1191" s="70"/>
      <c r="BC1191" s="70">
        <f t="shared" si="693"/>
        <v>6.1315174769092744</v>
      </c>
      <c r="BD1191" s="70">
        <f t="shared" si="694"/>
        <v>1.8077678904954504</v>
      </c>
      <c r="BE1191" s="70">
        <f t="shared" si="695"/>
        <v>0.4986303067957692</v>
      </c>
      <c r="BF1191" s="70">
        <f t="shared" si="696"/>
        <v>7.0493438939787492</v>
      </c>
      <c r="BG1191" s="70">
        <f t="shared" si="697"/>
        <v>0.85425947473404262</v>
      </c>
      <c r="BH1191" s="67">
        <f>MAX((CE1191-Driver!$F$200)/(Driver!$G$200-Driver!$F$200)*$BI$1,1)</f>
        <v>2.1400113830392713</v>
      </c>
      <c r="BI1191" s="67">
        <f>MAX($BI$1*(BY1191-Driver!$F$201)/(Driver!$G$201-Driver!$F$201),1)</f>
        <v>6.2025316455696204</v>
      </c>
      <c r="BJ1191" s="67">
        <f>(CB1191-Driver!$F$206)/(Driver!$G$206-Driver!$F$206)*$BI$1</f>
        <v>3.6507936507936507</v>
      </c>
      <c r="BK1191" s="67">
        <f>(CD1191-Driver!$F$203)/(Driver!$G$203-Driver!$F$203)*$BI$1</f>
        <v>1.6055045871559634</v>
      </c>
      <c r="BL1191" s="67">
        <f>MAX((CR1191-Driver!$F$202)/(Driver!$G$202-Driver!$F$202)*$BI$1,1)</f>
        <v>4.8275862068965516</v>
      </c>
      <c r="BM1191" s="67">
        <f>MAX((CH1191-Driver!$F$204)/(Driver!$G$204-Driver!$F$204)*$BI$1,1)</f>
        <v>1.0256410256410255</v>
      </c>
      <c r="BN1191" s="67">
        <f>(CI1191-Driver!$F$205)/(Driver!$G$205-Driver!$F$205)*$BI$1</f>
        <v>1.1764705882352942</v>
      </c>
      <c r="BO1191" s="67">
        <f>(CK1191-Driver!$F$207)/(Driver!$G$207-Driver!$F$207)*$BI$1</f>
        <v>1.9648397104446744</v>
      </c>
      <c r="BP1191" s="67">
        <f>(CM1191-Driver!$F$208)/(Driver!$G$208-Driver!$F$208)*$BI$1</f>
        <v>1.5777777777777777</v>
      </c>
      <c r="BQ1191" s="67">
        <f>(CL1191-Driver!$F$209)/(Driver!$G$209-Driver!$F$209)*$BI$1</f>
        <v>1.875</v>
      </c>
      <c r="BR1191" s="28" t="s">
        <v>155</v>
      </c>
      <c r="BS1191" s="8" t="s">
        <v>164</v>
      </c>
      <c r="BT1191" s="9" t="s">
        <v>826</v>
      </c>
      <c r="BU1191" s="10">
        <v>146</v>
      </c>
      <c r="BV1191" s="9" t="s">
        <v>163</v>
      </c>
      <c r="BW1191" s="10">
        <v>146</v>
      </c>
      <c r="BX1191" s="10">
        <v>149.80000000000001</v>
      </c>
      <c r="BY1191" s="10">
        <v>106</v>
      </c>
      <c r="BZ1191" s="10">
        <v>125</v>
      </c>
      <c r="CA1191" s="10">
        <v>130</v>
      </c>
      <c r="CB1191" s="10">
        <v>87</v>
      </c>
      <c r="CC1191" s="10">
        <v>104</v>
      </c>
      <c r="CD1191" s="10">
        <v>12.9</v>
      </c>
      <c r="CE1191" s="10">
        <v>1276</v>
      </c>
      <c r="CF1191" s="10">
        <v>1.18</v>
      </c>
      <c r="CG1191" s="10">
        <v>1503</v>
      </c>
      <c r="CH1191" s="10">
        <v>125</v>
      </c>
      <c r="CI1191" s="10">
        <v>53</v>
      </c>
      <c r="CJ1191" s="10">
        <v>50</v>
      </c>
      <c r="CK1191" s="10">
        <v>300</v>
      </c>
      <c r="CL1191" s="10">
        <v>12</v>
      </c>
      <c r="CM1191" s="10">
        <v>142</v>
      </c>
      <c r="CN1191" s="10">
        <v>0.23899999999999999</v>
      </c>
      <c r="CO1191" s="10">
        <v>140</v>
      </c>
      <c r="CP1191" s="10">
        <v>111</v>
      </c>
      <c r="CQ1191" s="10">
        <v>159</v>
      </c>
      <c r="CR1191" s="10">
        <v>3</v>
      </c>
      <c r="CS1191" s="10">
        <v>7.6</v>
      </c>
      <c r="CT1191" s="9" t="s">
        <v>188</v>
      </c>
      <c r="CU1191" s="9" t="s">
        <v>185</v>
      </c>
      <c r="CV1191" s="10"/>
      <c r="CW1191" s="10"/>
      <c r="CX1191" t="str">
        <f>INDEX('Data_Price '!AG$2:AG$1266,MATCH(Data!$DN1191,'Data_Price '!$AT$2:$AT$1266,0))</f>
        <v>Elan Ripstick 88 W Women's Skis</v>
      </c>
      <c r="CY1191" t="str">
        <f>INDEX('Data_Price '!AH$2:AH$1266,MATCH(Data!$DN1191,'Data_Price '!$AT$2:$AT$1266,0))</f>
        <v>SkiEssentials.com</v>
      </c>
      <c r="CZ1191">
        <f>INDEX('Data_Price '!AI$2:AI$1266,MATCH(Data!$DN1191,'Data_Price '!$AT$2:$AT$1266,0))</f>
        <v>412.49</v>
      </c>
      <c r="DA1191" t="str">
        <f>INDEX('Data_Price '!AJ$2:AJ$1266,MATCH(Data!$DN1191,'Data_Price '!$AT$2:$AT$1266,0))</f>
        <v>https://tinyurl.com/yc6r778b</v>
      </c>
      <c r="DB1191" t="str">
        <f>INDEX('Data_Price '!AK$2:AK$1266,MATCH(Data!$DN1191,'Data_Price '!$AT$2:$AT$1266,0))</f>
        <v>Ripstick 88 W - 146 cm - 88 mm - Tip and Tail</v>
      </c>
      <c r="DC1191" t="str">
        <f>INDEX('Data_Price '!AL$2:AL$1266,MATCH(Data!$DN1191,'Data_Price '!$AT$2:$AT$1266,0))</f>
        <v>Country Ski &amp; Sport</v>
      </c>
      <c r="DD1191">
        <f>INDEX('Data_Price '!AM$2:AM$1266,MATCH(Data!$DN1191,'Data_Price '!$AT$2:$AT$1266,0))</f>
        <v>599.95000000000005</v>
      </c>
      <c r="DE1191" t="str">
        <f>INDEX('Data_Price '!AN$2:AN$1266,MATCH(Data!$DN1191,'Data_Price '!$AT$2:$AT$1266,0))</f>
        <v>https://tinyurl.com/y8zq2x5j</v>
      </c>
      <c r="DF1191" t="str">
        <f>INDEX('Data_Price '!AO$2:AO$1266,MATCH(Data!$DN1191,'Data_Price '!$AT$2:$AT$1266,0))</f>
        <v>Elan Black Magic LS ELW9.0 22</v>
      </c>
      <c r="DG1191" t="str">
        <f>INDEX('Data_Price '!AP$2:AP$1266,MATCH(Data!$DN1191,'Data_Price '!$AT$2:$AT$1266,0))</f>
        <v>Aspen Ski and Board</v>
      </c>
      <c r="DH1191">
        <f>INDEX('Data_Price '!AQ$2:AQ$1266,MATCH(Data!$DN1191,'Data_Price '!$AT$2:$AT$1266,0))</f>
        <v>319.95</v>
      </c>
      <c r="DI1191" t="str">
        <f>INDEX('Data_Price '!AR$2:AR$1266,MATCH(Data!$DN1191,'Data_Price '!$AT$2:$AT$1266,0))</f>
        <v>https://tinyurl.com/yazyys8c</v>
      </c>
      <c r="DJ1191" s="89" t="str">
        <f t="shared" si="698"/>
        <v>https://tinyurl.com/yc6r778b</v>
      </c>
      <c r="DK1191" s="89" t="str">
        <f t="shared" si="699"/>
        <v>https://tinyurl.com/y8zq2x5j</v>
      </c>
      <c r="DL1191" s="89" t="str">
        <f t="shared" si="700"/>
        <v>https://tinyurl.com/yazyys8c</v>
      </c>
      <c r="DM1191" s="219" t="str">
        <f t="shared" si="701"/>
        <v>Ripstick 88 W</v>
      </c>
      <c r="DN1191" s="89" t="str">
        <f t="shared" si="702"/>
        <v xml:space="preserve"> ElanRipstick 88 W146 Women's</v>
      </c>
      <c r="DO1191" s="221" t="s">
        <v>636</v>
      </c>
    </row>
    <row r="1192" spans="2:119" ht="15.6" customHeight="1">
      <c r="B1192" s="219" t="b">
        <f t="array" ref="B1192">IF(OR(ISERROR(K1192:P1192)),FALSE,TRUE)</f>
        <v>1</v>
      </c>
      <c r="C1192" s="43" t="b">
        <f>OR(BR1192=Driver!$G$50,Data!BR943=Driver!$H$50)</f>
        <v>1</v>
      </c>
      <c r="D1192" s="43" t="b">
        <f>OR(BV1192=Driver!$G$51,BV1192=Driver!$H$51)</f>
        <v>1</v>
      </c>
      <c r="E1192" s="43" t="b">
        <f>AND(BX1192&gt;Driver!$F$54,BX1192&lt;Driver!$G$54)</f>
        <v>0</v>
      </c>
      <c r="F1192" s="43" t="b">
        <f>CL1192&gt;Driver!$F$56</f>
        <v>1</v>
      </c>
      <c r="G1192" s="43" t="b">
        <f>AND(CB1192&gt;Driver!$F$55,CB1192&lt;Driver!$G$55)</f>
        <v>0</v>
      </c>
      <c r="H1192" s="43" t="b">
        <f t="shared" si="666"/>
        <v>0</v>
      </c>
      <c r="I1192" s="43">
        <f t="shared" si="667"/>
        <v>0</v>
      </c>
      <c r="J1192" s="43" t="b">
        <f t="array" ref="J1192">NOT(OR(($H$9:$H$1273=TRUE)*($I$9:$I$1273&gt;0)*($BT$9:$BT$1273=BT1192)*($K$9:$K$1273&gt;K1192)))</f>
        <v>1</v>
      </c>
      <c r="K1192" s="72">
        <f t="shared" si="668"/>
        <v>0.69177976250549467</v>
      </c>
      <c r="L1192" s="72">
        <f t="shared" si="669"/>
        <v>0.78485882776507976</v>
      </c>
      <c r="M1192" s="72">
        <f t="shared" si="670"/>
        <v>0.59870069724590969</v>
      </c>
      <c r="N1192" s="72">
        <f t="shared" si="671"/>
        <v>0.47669566860146317</v>
      </c>
      <c r="O1192" s="72">
        <f t="shared" si="672"/>
        <v>0.60260531450715993</v>
      </c>
      <c r="P1192" s="72">
        <f t="shared" si="673"/>
        <v>0.71680110862910573</v>
      </c>
      <c r="Q1192" s="72"/>
      <c r="R1192" s="72"/>
      <c r="S1192" s="72">
        <f t="shared" si="674"/>
        <v>0.66200224154489884</v>
      </c>
      <c r="T1192" s="72">
        <f t="shared" si="675"/>
        <v>0.55592182177623528</v>
      </c>
      <c r="U1192" s="72">
        <f t="shared" si="676"/>
        <v>0.51</v>
      </c>
      <c r="V1192" s="72">
        <f t="shared" si="677"/>
        <v>0.49034202170354335</v>
      </c>
      <c r="W1192" s="72">
        <f t="shared" si="678"/>
        <v>0.75901530449569554</v>
      </c>
      <c r="X1192" s="72">
        <f t="shared" si="679"/>
        <v>0.21514117223492024</v>
      </c>
      <c r="Y1192" s="72">
        <f t="shared" si="680"/>
        <v>0.40129930275409037</v>
      </c>
      <c r="Z1192" s="72">
        <f t="shared" si="681"/>
        <v>0.52330433139853683</v>
      </c>
      <c r="AA1192" s="72">
        <f t="shared" si="682"/>
        <v>0.39739468549284013</v>
      </c>
      <c r="AB1192" s="72">
        <f t="shared" si="683"/>
        <v>0.28319889137089421</v>
      </c>
      <c r="AC1192" s="72"/>
      <c r="AD1192" s="72"/>
      <c r="AE1192" s="72">
        <f t="shared" si="684"/>
        <v>0.33799775845510116</v>
      </c>
      <c r="AF1192" s="72">
        <f t="shared" si="685"/>
        <v>0.44407817822376472</v>
      </c>
      <c r="AG1192" s="72">
        <f t="shared" si="686"/>
        <v>0.49</v>
      </c>
      <c r="AH1192" s="72">
        <f t="shared" si="687"/>
        <v>0.50965797829645665</v>
      </c>
      <c r="AI1192" s="72">
        <f t="shared" si="688"/>
        <v>0.2409846955043044</v>
      </c>
      <c r="AJ1192" s="72">
        <f>(AV1192-Driver!$K$179)/(Driver!$L$179-Driver!$K$179)</f>
        <v>3.9078237047780198E-2</v>
      </c>
      <c r="AK1192" s="72">
        <f>(AW1192-Driver!$K$180)/(Driver!$L$180-Driver!$K$180)</f>
        <v>0.55196761566086971</v>
      </c>
      <c r="AL1192" s="72">
        <f>(AX1192-Driver!$K$181)/(Driver!$L$181-Driver!$K$181)</f>
        <v>0.62499209511161702</v>
      </c>
      <c r="AM1192" s="72">
        <f>(AY1192-Driver!$K$182)/(Driver!$L$182-Driver!$K$182)</f>
        <v>4.9990335604206258E-2</v>
      </c>
      <c r="AN1192" s="72">
        <f>(AZ1192-Driver!$K$183)/(Driver!$L$183-Driver!$K$183)</f>
        <v>0.53741830065359464</v>
      </c>
      <c r="AO1192" s="72"/>
      <c r="AP1192" s="72"/>
      <c r="AQ1192" s="72">
        <f>(BC1192-Driver!$K$188)/(Driver!$L$188-Driver!$K$188)</f>
        <v>0.28200224154489884</v>
      </c>
      <c r="AR1192" s="72">
        <f>MIN((BD1192-Driver!$K$189)/(Driver!$L$189-Driver!$K$189),100%)</f>
        <v>0.99407817822376476</v>
      </c>
      <c r="AS1192" s="72">
        <f>(BE1192-Driver!$K$190)/(Driver!$L$190-Driver!$K$190)</f>
        <v>1</v>
      </c>
      <c r="AT1192" s="72">
        <f>(BF1192-Driver!$K$191)/(Driver!$L$191-Driver!$K$191)</f>
        <v>3.4202170354338541E-4</v>
      </c>
      <c r="AU1192" s="72">
        <f>(BG1192-Driver!$K$192)/(Driver!$L$192-Driver!$K$192)</f>
        <v>9.0153044956956096E-3</v>
      </c>
      <c r="AV1192" s="70">
        <f t="shared" si="689"/>
        <v>0.82247998914665588</v>
      </c>
      <c r="AW1192" s="70">
        <f t="shared" si="690"/>
        <v>55.666027698231296</v>
      </c>
      <c r="AX1192" s="70">
        <f t="shared" si="691"/>
        <v>6.6249288560045532</v>
      </c>
      <c r="AY1192" s="70">
        <f>IFERROR(Driver!$K$19/Data!BH1192/Data!BI1192*Data!BK1192*Data!BL1192,"")</f>
        <v>6.1203086456089392E-2</v>
      </c>
      <c r="AZ1192" s="70">
        <f t="shared" si="692"/>
        <v>48.979895755770656</v>
      </c>
      <c r="BA1192" s="70"/>
      <c r="BB1192" s="70"/>
      <c r="BC1192" s="70">
        <f t="shared" si="693"/>
        <v>146.27652313711675</v>
      </c>
      <c r="BD1192" s="70">
        <f t="shared" si="694"/>
        <v>89.694980254596757</v>
      </c>
      <c r="BE1192" s="70">
        <f t="shared" si="695"/>
        <v>1</v>
      </c>
      <c r="BF1192" s="70">
        <f t="shared" si="696"/>
        <v>3.8628948576766811E-2</v>
      </c>
      <c r="BG1192" s="70">
        <f t="shared" si="697"/>
        <v>3.4137693963226697E-2</v>
      </c>
      <c r="BH1192" s="67">
        <f>MAX((CE1192-Driver!$F$200)/(Driver!$G$200-Driver!$F$200)*$BI$1,1)</f>
        <v>6.6249288560045532</v>
      </c>
      <c r="BI1192" s="67">
        <f>MAX($BI$1*(BY1192-Driver!$F$201)/(Driver!$G$201-Driver!$F$201),1)</f>
        <v>9.0506329113924053</v>
      </c>
      <c r="BJ1192" s="67">
        <f>(CB1192-Driver!$F$206)/(Driver!$G$206-Driver!$F$206)*$BI$1</f>
        <v>0.79365079365079361</v>
      </c>
      <c r="BK1192" s="67">
        <f>(CD1192-Driver!$F$203)/(Driver!$G$203-Driver!$F$203)*$BI$1</f>
        <v>2.6605504587155959</v>
      </c>
      <c r="BL1192" s="67">
        <f>MAX((CR1192-Driver!$F$202)/(Driver!$G$202-Driver!$F$202)*$BI$1,1)</f>
        <v>6.8965517241379315</v>
      </c>
      <c r="BM1192" s="67">
        <f>MAX((CH1192-Driver!$F$204)/(Driver!$G$204-Driver!$F$204)*$BI$1,1)</f>
        <v>4.1452991452991457</v>
      </c>
      <c r="BN1192" s="67">
        <f>(CI1192-Driver!$F$205)/(Driver!$G$205-Driver!$F$205)*$BI$1</f>
        <v>5.4117647058823524</v>
      </c>
      <c r="BO1192" s="67">
        <f>(CK1192-Driver!$F$207)/(Driver!$G$207-Driver!$F$207)*$BI$1</f>
        <v>0.23784901758014479</v>
      </c>
      <c r="BP1192" s="67">
        <f>(CM1192-Driver!$F$208)/(Driver!$G$208-Driver!$F$208)*$BI$1</f>
        <v>0.5444444444444444</v>
      </c>
      <c r="BQ1192" s="67">
        <f>(CL1192-Driver!$F$209)/(Driver!$G$209-Driver!$F$209)*$BI$1</f>
        <v>0.9375</v>
      </c>
      <c r="BR1192" s="28" t="s">
        <v>155</v>
      </c>
      <c r="BS1192" s="8" t="s">
        <v>332</v>
      </c>
      <c r="BT1192" s="9" t="s">
        <v>790</v>
      </c>
      <c r="BU1192" s="10">
        <v>170</v>
      </c>
      <c r="BV1192" s="9" t="s">
        <v>158</v>
      </c>
      <c r="BW1192" s="10">
        <v>170</v>
      </c>
      <c r="BX1192" s="10">
        <v>169.2</v>
      </c>
      <c r="BY1192" s="10">
        <v>151</v>
      </c>
      <c r="BZ1192" s="10">
        <v>157</v>
      </c>
      <c r="CA1192" s="10">
        <v>120</v>
      </c>
      <c r="CB1192" s="10">
        <v>69</v>
      </c>
      <c r="CC1192" s="10">
        <v>100</v>
      </c>
      <c r="CD1192" s="10">
        <v>15.2</v>
      </c>
      <c r="CE1192" s="10">
        <v>2064</v>
      </c>
      <c r="CF1192" s="10">
        <v>0.69</v>
      </c>
      <c r="CG1192" s="10">
        <v>1427</v>
      </c>
      <c r="CH1192" s="10">
        <v>198</v>
      </c>
      <c r="CI1192" s="10">
        <v>125</v>
      </c>
      <c r="CJ1192" s="10">
        <v>36</v>
      </c>
      <c r="CK1192" s="10">
        <v>133</v>
      </c>
      <c r="CL1192" s="10">
        <v>6</v>
      </c>
      <c r="CM1192" s="10">
        <v>49</v>
      </c>
      <c r="CN1192" s="10">
        <v>0.16400000000000001</v>
      </c>
      <c r="CO1192" s="10">
        <v>67</v>
      </c>
      <c r="CP1192" s="10">
        <v>52</v>
      </c>
      <c r="CQ1192" s="10">
        <v>66</v>
      </c>
      <c r="CR1192" s="10">
        <v>9</v>
      </c>
      <c r="CS1192" s="10">
        <v>13.2</v>
      </c>
      <c r="CT1192" s="9" t="s">
        <v>349</v>
      </c>
      <c r="CU1192" s="10"/>
      <c r="CV1192" s="10"/>
      <c r="CW1192" s="10"/>
      <c r="CX1192">
        <f>INDEX('Data_Price '!AG$2:AG$1266,MATCH(Data!$DN1192,'Data_Price '!$AT$2:$AT$1266,0))</f>
        <v>0</v>
      </c>
      <c r="CY1192">
        <f>INDEX('Data_Price '!AH$2:AH$1266,MATCH(Data!$DN1192,'Data_Price '!$AT$2:$AT$1266,0))</f>
        <v>0</v>
      </c>
      <c r="CZ1192">
        <f>INDEX('Data_Price '!AI$2:AI$1266,MATCH(Data!$DN1192,'Data_Price '!$AT$2:$AT$1266,0))</f>
        <v>0</v>
      </c>
      <c r="DA1192">
        <f>INDEX('Data_Price '!AJ$2:AJ$1266,MATCH(Data!$DN1192,'Data_Price '!$AT$2:$AT$1266,0))</f>
        <v>0</v>
      </c>
      <c r="DB1192">
        <f>INDEX('Data_Price '!AK$2:AK$1266,MATCH(Data!$DN1192,'Data_Price '!$AT$2:$AT$1266,0))</f>
        <v>0</v>
      </c>
      <c r="DC1192">
        <f>INDEX('Data_Price '!AL$2:AL$1266,MATCH(Data!$DN1192,'Data_Price '!$AT$2:$AT$1266,0))</f>
        <v>0</v>
      </c>
      <c r="DD1192">
        <f>INDEX('Data_Price '!AM$2:AM$1266,MATCH(Data!$DN1192,'Data_Price '!$AT$2:$AT$1266,0))</f>
        <v>0</v>
      </c>
      <c r="DE1192">
        <f>INDEX('Data_Price '!AN$2:AN$1266,MATCH(Data!$DN1192,'Data_Price '!$AT$2:$AT$1266,0))</f>
        <v>0</v>
      </c>
      <c r="DF1192">
        <f>INDEX('Data_Price '!AO$2:AO$1266,MATCH(Data!$DN1192,'Data_Price '!$AT$2:$AT$1266,0))</f>
        <v>0</v>
      </c>
      <c r="DG1192">
        <f>INDEX('Data_Price '!AP$2:AP$1266,MATCH(Data!$DN1192,'Data_Price '!$AT$2:$AT$1266,0))</f>
        <v>0</v>
      </c>
      <c r="DH1192">
        <f>INDEX('Data_Price '!AQ$2:AQ$1266,MATCH(Data!$DN1192,'Data_Price '!$AT$2:$AT$1266,0))</f>
        <v>0</v>
      </c>
      <c r="DI1192">
        <f>INDEX('Data_Price '!AR$2:AR$1266,MATCH(Data!$DN1192,'Data_Price '!$AT$2:$AT$1266,0))</f>
        <v>0</v>
      </c>
      <c r="DJ1192" s="89">
        <f t="shared" si="698"/>
        <v>0</v>
      </c>
      <c r="DK1192" s="89">
        <f t="shared" si="699"/>
        <v>0</v>
      </c>
      <c r="DL1192" s="89">
        <f t="shared" si="700"/>
        <v>0</v>
      </c>
      <c r="DM1192" s="219" t="str">
        <f t="shared" si="701"/>
        <v>Spitfire 70 Pro</v>
      </c>
      <c r="DN1192" s="89" t="str">
        <f t="shared" si="702"/>
        <v xml:space="preserve"> NordicaSpitfire 70 Pro170 Unisex</v>
      </c>
      <c r="DO1192" s="221"/>
    </row>
    <row r="1193" spans="2:119" ht="15.6" customHeight="1">
      <c r="B1193" s="219" t="b">
        <f t="array" ref="B1193">IF(OR(ISERROR(K1193:P1193)),FALSE,TRUE)</f>
        <v>1</v>
      </c>
      <c r="C1193" s="43" t="b">
        <f>OR(BR1193=Driver!$G$50,Data!BR20=Driver!$H$50)</f>
        <v>1</v>
      </c>
      <c r="D1193" s="43" t="b">
        <f>OR(BV1193=Driver!$G$51,BV1193=Driver!$H$51)</f>
        <v>1</v>
      </c>
      <c r="E1193" s="43" t="b">
        <f>AND(BX1193&gt;Driver!$F$54,BX1193&lt;Driver!$G$54)</f>
        <v>0</v>
      </c>
      <c r="F1193" s="43" t="b">
        <f>CL1193&gt;Driver!$F$56</f>
        <v>1</v>
      </c>
      <c r="G1193" s="43" t="b">
        <f>AND(CB1193&gt;Driver!$F$55,CB1193&lt;Driver!$G$55)</f>
        <v>0</v>
      </c>
      <c r="H1193" s="43" t="b">
        <f t="shared" si="666"/>
        <v>0</v>
      </c>
      <c r="I1193" s="43">
        <f t="shared" si="667"/>
        <v>0</v>
      </c>
      <c r="J1193" s="43" t="b">
        <f t="array" ref="J1193">NOT(OR(($H$9:$H$1273=TRUE)*($I$9:$I$1273&gt;0)*($BT$9:$BT$1273=BT1193)*($K$9:$K$1273&gt;K1193)))</f>
        <v>1</v>
      </c>
      <c r="K1193" s="72">
        <f t="shared" si="668"/>
        <v>0.69468917334101277</v>
      </c>
      <c r="L1193" s="72">
        <f t="shared" si="669"/>
        <v>0.85151213347897803</v>
      </c>
      <c r="M1193" s="72">
        <f t="shared" si="670"/>
        <v>0.53786621320304762</v>
      </c>
      <c r="N1193" s="72">
        <f t="shared" si="671"/>
        <v>0.35211462768576085</v>
      </c>
      <c r="O1193" s="72">
        <f t="shared" si="672"/>
        <v>0.61020577911126961</v>
      </c>
      <c r="P1193" s="72">
        <f t="shared" si="673"/>
        <v>0.65127823281211206</v>
      </c>
      <c r="Q1193" s="72"/>
      <c r="R1193" s="72"/>
      <c r="S1193" s="72">
        <f t="shared" si="674"/>
        <v>0.55571623499176348</v>
      </c>
      <c r="T1193" s="72">
        <f t="shared" si="675"/>
        <v>0.5764414434254379</v>
      </c>
      <c r="U1193" s="72">
        <f t="shared" si="676"/>
        <v>0.6007530559816231</v>
      </c>
      <c r="V1193" s="72">
        <f t="shared" si="677"/>
        <v>0.5413679978829623</v>
      </c>
      <c r="W1193" s="72">
        <f t="shared" si="678"/>
        <v>0.76187152303978167</v>
      </c>
      <c r="X1193" s="72">
        <f t="shared" si="679"/>
        <v>0.14848786652102197</v>
      </c>
      <c r="Y1193" s="72">
        <f t="shared" si="680"/>
        <v>0.46213378679695244</v>
      </c>
      <c r="Z1193" s="72">
        <f t="shared" si="681"/>
        <v>0.64788537231423915</v>
      </c>
      <c r="AA1193" s="72">
        <f t="shared" si="682"/>
        <v>0.38979422088873034</v>
      </c>
      <c r="AB1193" s="72">
        <f t="shared" si="683"/>
        <v>0.34872176718788789</v>
      </c>
      <c r="AC1193" s="72"/>
      <c r="AD1193" s="72"/>
      <c r="AE1193" s="72">
        <f t="shared" si="684"/>
        <v>0.44428376500823646</v>
      </c>
      <c r="AF1193" s="72">
        <f t="shared" si="685"/>
        <v>0.4235585565745621</v>
      </c>
      <c r="AG1193" s="72">
        <f t="shared" si="686"/>
        <v>0.3992469440183769</v>
      </c>
      <c r="AH1193" s="72">
        <f t="shared" si="687"/>
        <v>0.4586320021170377</v>
      </c>
      <c r="AI1193" s="72">
        <f t="shared" si="688"/>
        <v>0.23812847696021833</v>
      </c>
      <c r="AJ1193" s="72">
        <f>(AV1193-Driver!$K$179)/(Driver!$L$179-Driver!$K$179)</f>
        <v>0.4027072758037224</v>
      </c>
      <c r="AK1193" s="72">
        <f>(AW1193-Driver!$K$180)/(Driver!$L$180-Driver!$K$180)</f>
        <v>0.62484184871406367</v>
      </c>
      <c r="AL1193" s="72">
        <f>(AX1193-Driver!$K$181)/(Driver!$L$181-Driver!$K$181)</f>
        <v>0.74957313602731934</v>
      </c>
      <c r="AM1193" s="72">
        <f>(AY1193-Driver!$K$182)/(Driver!$L$182-Driver!$K$182)</f>
        <v>5.7590800208316029E-2</v>
      </c>
      <c r="AN1193" s="72">
        <f>(AZ1193-Driver!$K$183)/(Driver!$L$183-Driver!$K$183)</f>
        <v>0.60294117647058831</v>
      </c>
      <c r="AO1193" s="72"/>
      <c r="AP1193" s="72"/>
      <c r="AQ1193" s="72">
        <f>(BC1193-Driver!$K$188)/(Driver!$L$188-Driver!$K$188)</f>
        <v>0.17571623499176353</v>
      </c>
      <c r="AR1193" s="72">
        <f>MIN((BD1193-Driver!$K$189)/(Driver!$L$189-Driver!$K$189),100%)</f>
        <v>0.12644144342543795</v>
      </c>
      <c r="AS1193" s="72">
        <f>(BE1193-Driver!$K$190)/(Driver!$L$190-Driver!$K$190)</f>
        <v>0.11075305598162308</v>
      </c>
      <c r="AT1193" s="72">
        <f>(BF1193-Driver!$K$191)/(Driver!$L$191-Driver!$K$191)</f>
        <v>5.136799788296232E-2</v>
      </c>
      <c r="AU1193" s="72">
        <f>(BG1193-Driver!$K$192)/(Driver!$L$192-Driver!$K$192)</f>
        <v>1.1871523039781671E-2</v>
      </c>
      <c r="AV1193" s="70">
        <f t="shared" si="689"/>
        <v>8.4757834757834747</v>
      </c>
      <c r="AW1193" s="70">
        <f t="shared" si="690"/>
        <v>62.768267440659123</v>
      </c>
      <c r="AX1193" s="70">
        <f t="shared" si="691"/>
        <v>7.7461582242458737</v>
      </c>
      <c r="AY1193" s="70">
        <f>IFERROR(Driver!$K$19/Data!BH1193/Data!BI1193*Data!BK1193*Data!BL1193,"")</f>
        <v>7.0508322891282227E-2</v>
      </c>
      <c r="AZ1193" s="70">
        <f t="shared" si="692"/>
        <v>54.95160089352197</v>
      </c>
      <c r="BA1193" s="70"/>
      <c r="BB1193" s="70"/>
      <c r="BC1193" s="70">
        <f t="shared" si="693"/>
        <v>91.145232649675336</v>
      </c>
      <c r="BD1193" s="70">
        <f t="shared" si="694"/>
        <v>12.910666586268437</v>
      </c>
      <c r="BE1193" s="70">
        <f t="shared" si="695"/>
        <v>0.11091168762753527</v>
      </c>
      <c r="BF1193" s="70">
        <f t="shared" si="696"/>
        <v>5.801654480271047</v>
      </c>
      <c r="BG1193" s="70">
        <f t="shared" si="697"/>
        <v>4.4953159441587065E-2</v>
      </c>
      <c r="BH1193" s="67">
        <f>MAX((CE1193-Driver!$F$200)/(Driver!$G$200-Driver!$F$200)*$BI$1,1)</f>
        <v>7.7461582242458737</v>
      </c>
      <c r="BI1193" s="67">
        <f>MAX($BI$1*(BY1193-Driver!$F$201)/(Driver!$G$201-Driver!$F$201),1)</f>
        <v>7.7848101265822782</v>
      </c>
      <c r="BJ1193" s="67">
        <f>(CB1193-Driver!$F$206)/(Driver!$G$206-Driver!$F$206)*$BI$1</f>
        <v>5.3968253968253963</v>
      </c>
      <c r="BK1193" s="67">
        <f>(CD1193-Driver!$F$203)/(Driver!$G$203-Driver!$F$203)*$BI$1</f>
        <v>3.8532110091743128</v>
      </c>
      <c r="BL1193" s="67">
        <f>MAX((CR1193-Driver!$F$202)/(Driver!$G$202-Driver!$F$202)*$BI$1,1)</f>
        <v>5.5172413793103452</v>
      </c>
      <c r="BM1193" s="67">
        <f>MAX((CH1193-Driver!$F$204)/(Driver!$G$204-Driver!$F$204)*$BI$1,1)</f>
        <v>6.2820512820512819</v>
      </c>
      <c r="BN1193" s="67">
        <f>(CI1193-Driver!$F$205)/(Driver!$G$205-Driver!$F$205)*$BI$1</f>
        <v>7.0588235294117654</v>
      </c>
      <c r="BO1193" s="67">
        <f>(CK1193-Driver!$F$207)/(Driver!$G$207-Driver!$F$207)*$BI$1</f>
        <v>1.8097207859358841</v>
      </c>
      <c r="BP1193" s="67">
        <f>(CM1193-Driver!$F$208)/(Driver!$G$208-Driver!$F$208)*$BI$1</f>
        <v>2.2888888888888888</v>
      </c>
      <c r="BQ1193" s="67">
        <f>(CL1193-Driver!$F$209)/(Driver!$G$209-Driver!$F$209)*$BI$1</f>
        <v>2.1875</v>
      </c>
      <c r="BR1193" s="28" t="s">
        <v>155</v>
      </c>
      <c r="BS1193" s="8" t="s">
        <v>190</v>
      </c>
      <c r="BT1193" s="9" t="s">
        <v>879</v>
      </c>
      <c r="BU1193" s="10">
        <v>181</v>
      </c>
      <c r="BV1193" s="9" t="s">
        <v>158</v>
      </c>
      <c r="BW1193" s="10">
        <v>181</v>
      </c>
      <c r="BX1193" s="10">
        <v>180.2</v>
      </c>
      <c r="BY1193" s="10">
        <v>131</v>
      </c>
      <c r="BZ1193" s="10">
        <v>151</v>
      </c>
      <c r="CA1193" s="10">
        <v>134</v>
      </c>
      <c r="CB1193" s="10">
        <v>98</v>
      </c>
      <c r="CC1193" s="10">
        <v>122</v>
      </c>
      <c r="CD1193" s="10">
        <v>17.8</v>
      </c>
      <c r="CE1193" s="10">
        <v>2261</v>
      </c>
      <c r="CF1193" s="10">
        <v>0.88</v>
      </c>
      <c r="CG1193" s="10">
        <v>1982</v>
      </c>
      <c r="CH1193" s="10">
        <v>248</v>
      </c>
      <c r="CI1193" s="10">
        <v>153</v>
      </c>
      <c r="CJ1193" s="10">
        <v>51</v>
      </c>
      <c r="CK1193" s="10">
        <v>285</v>
      </c>
      <c r="CL1193" s="10">
        <v>14</v>
      </c>
      <c r="CM1193" s="10">
        <v>206</v>
      </c>
      <c r="CN1193" s="10">
        <v>0.28299999999999997</v>
      </c>
      <c r="CO1193" s="10">
        <v>160</v>
      </c>
      <c r="CP1193" s="10">
        <v>132</v>
      </c>
      <c r="CQ1193" s="10">
        <v>125</v>
      </c>
      <c r="CR1193" s="10">
        <v>5</v>
      </c>
      <c r="CS1193" s="10">
        <v>8.9</v>
      </c>
      <c r="CT1193" s="9" t="s">
        <v>188</v>
      </c>
      <c r="CU1193" s="10"/>
      <c r="CV1193" s="10"/>
      <c r="CW1193" s="10"/>
      <c r="CX1193" t="e">
        <f>INDEX('Data_Price '!AG$2:AG$1266,MATCH(Data!$DN1193,'Data_Price '!$AT$2:$AT$1266,0))</f>
        <v>#N/A</v>
      </c>
      <c r="CY1193" t="e">
        <f>INDEX('Data_Price '!AH$2:AH$1266,MATCH(Data!$DN1193,'Data_Price '!$AT$2:$AT$1266,0))</f>
        <v>#N/A</v>
      </c>
      <c r="CZ1193" t="e">
        <f>INDEX('Data_Price '!AI$2:AI$1266,MATCH(Data!$DN1193,'Data_Price '!$AT$2:$AT$1266,0))</f>
        <v>#N/A</v>
      </c>
      <c r="DA1193" t="e">
        <f>INDEX('Data_Price '!AJ$2:AJ$1266,MATCH(Data!$DN1193,'Data_Price '!$AT$2:$AT$1266,0))</f>
        <v>#N/A</v>
      </c>
      <c r="DB1193" t="e">
        <f>INDEX('Data_Price '!AK$2:AK$1266,MATCH(Data!$DN1193,'Data_Price '!$AT$2:$AT$1266,0))</f>
        <v>#N/A</v>
      </c>
      <c r="DC1193" t="e">
        <f>INDEX('Data_Price '!AL$2:AL$1266,MATCH(Data!$DN1193,'Data_Price '!$AT$2:$AT$1266,0))</f>
        <v>#N/A</v>
      </c>
      <c r="DD1193" t="e">
        <f>INDEX('Data_Price '!AM$2:AM$1266,MATCH(Data!$DN1193,'Data_Price '!$AT$2:$AT$1266,0))</f>
        <v>#N/A</v>
      </c>
      <c r="DE1193" t="e">
        <f>INDEX('Data_Price '!AN$2:AN$1266,MATCH(Data!$DN1193,'Data_Price '!$AT$2:$AT$1266,0))</f>
        <v>#N/A</v>
      </c>
      <c r="DF1193" t="e">
        <f>INDEX('Data_Price '!AO$2:AO$1266,MATCH(Data!$DN1193,'Data_Price '!$AT$2:$AT$1266,0))</f>
        <v>#N/A</v>
      </c>
      <c r="DG1193" t="e">
        <f>INDEX('Data_Price '!AP$2:AP$1266,MATCH(Data!$DN1193,'Data_Price '!$AT$2:$AT$1266,0))</f>
        <v>#N/A</v>
      </c>
      <c r="DH1193" t="e">
        <f>INDEX('Data_Price '!AQ$2:AQ$1266,MATCH(Data!$DN1193,'Data_Price '!$AT$2:$AT$1266,0))</f>
        <v>#N/A</v>
      </c>
      <c r="DI1193" t="e">
        <f>INDEX('Data_Price '!AR$2:AR$1266,MATCH(Data!$DN1193,'Data_Price '!$AT$2:$AT$1266,0))</f>
        <v>#N/A</v>
      </c>
      <c r="DJ1193" s="89" t="e">
        <f t="shared" si="698"/>
        <v>#N/A</v>
      </c>
      <c r="DK1193" s="89" t="e">
        <f t="shared" si="699"/>
        <v>#N/A</v>
      </c>
      <c r="DL1193" s="89" t="e">
        <f t="shared" si="700"/>
        <v>#N/A</v>
      </c>
      <c r="DM1193" s="219" t="str">
        <f t="shared" si="701"/>
        <v>MSP 99</v>
      </c>
      <c r="DN1193" s="89" t="str">
        <f t="shared" si="702"/>
        <v xml:space="preserve"> 4FRNTMSP 99181 Unisex</v>
      </c>
      <c r="DO1193" s="221"/>
    </row>
    <row r="1194" spans="2:119" ht="15.6" customHeight="1">
      <c r="B1194" s="219" t="b">
        <f t="array" ref="B1194">IF(OR(ISERROR(K1194:P1194)),FALSE,TRUE)</f>
        <v>1</v>
      </c>
      <c r="C1194" s="43" t="b">
        <f>OR(BR1194=Driver!$G$50,Data!BR466=Driver!$H$50)</f>
        <v>1</v>
      </c>
      <c r="D1194" s="43" t="b">
        <f>OR(BV1194=Driver!$G$51,BV1194=Driver!$H$51)</f>
        <v>0</v>
      </c>
      <c r="E1194" s="43" t="b">
        <f>AND(BX1194&gt;Driver!$F$54,BX1194&lt;Driver!$G$54)</f>
        <v>0</v>
      </c>
      <c r="F1194" s="43" t="b">
        <f>CL1194&gt;Driver!$F$56</f>
        <v>1</v>
      </c>
      <c r="G1194" s="43" t="b">
        <f>AND(CB1194&gt;Driver!$F$55,CB1194&lt;Driver!$G$55)</f>
        <v>0</v>
      </c>
      <c r="H1194" s="43" t="b">
        <f t="shared" si="666"/>
        <v>0</v>
      </c>
      <c r="I1194" s="43">
        <f t="shared" si="667"/>
        <v>0</v>
      </c>
      <c r="J1194" s="43" t="b">
        <f t="array" ref="J1194">NOT(OR(($H$9:$H$1273=TRUE)*($I$9:$I$1273&gt;0)*($BT$9:$BT$1273=BT1194)*($K$9:$K$1273&gt;K1194)))</f>
        <v>1</v>
      </c>
      <c r="K1194" s="72">
        <f t="shared" si="668"/>
        <v>0.77652957220470498</v>
      </c>
      <c r="L1194" s="72">
        <f t="shared" si="669"/>
        <v>0.77043613821548673</v>
      </c>
      <c r="M1194" s="72">
        <f t="shared" si="670"/>
        <v>0.78262300619392333</v>
      </c>
      <c r="N1194" s="72">
        <f t="shared" si="671"/>
        <v>0.92442854661322571</v>
      </c>
      <c r="O1194" s="72">
        <f t="shared" si="672"/>
        <v>0.60719419497673488</v>
      </c>
      <c r="P1194" s="72">
        <f t="shared" si="673"/>
        <v>0.81624627699180941</v>
      </c>
      <c r="Q1194" s="72"/>
      <c r="R1194" s="72"/>
      <c r="S1194" s="72">
        <f t="shared" si="674"/>
        <v>0.38997867420721</v>
      </c>
      <c r="T1194" s="72">
        <f t="shared" si="675"/>
        <v>0.63342275163110018</v>
      </c>
      <c r="U1194" s="72">
        <f t="shared" si="676"/>
        <v>0.51</v>
      </c>
      <c r="V1194" s="72">
        <f t="shared" si="677"/>
        <v>0.49433004939321834</v>
      </c>
      <c r="W1194" s="72">
        <f t="shared" si="678"/>
        <v>0.81565402476780191</v>
      </c>
      <c r="X1194" s="72">
        <f t="shared" si="679"/>
        <v>0.22956386178451332</v>
      </c>
      <c r="Y1194" s="72">
        <f t="shared" si="680"/>
        <v>0.2173769938060767</v>
      </c>
      <c r="Z1194" s="72">
        <f t="shared" si="681"/>
        <v>7.5571453386774332E-2</v>
      </c>
      <c r="AA1194" s="72">
        <f t="shared" si="682"/>
        <v>0.39280580502326512</v>
      </c>
      <c r="AB1194" s="72">
        <f t="shared" si="683"/>
        <v>0.18375372300819062</v>
      </c>
      <c r="AC1194" s="72"/>
      <c r="AD1194" s="72"/>
      <c r="AE1194" s="72">
        <f t="shared" si="684"/>
        <v>0.61002132579279</v>
      </c>
      <c r="AF1194" s="72">
        <f t="shared" si="685"/>
        <v>0.36657724836889982</v>
      </c>
      <c r="AG1194" s="72">
        <f t="shared" si="686"/>
        <v>0.49</v>
      </c>
      <c r="AH1194" s="72">
        <f t="shared" si="687"/>
        <v>0.50566995060678166</v>
      </c>
      <c r="AI1194" s="72">
        <f t="shared" si="688"/>
        <v>0.18434597523219814</v>
      </c>
      <c r="AJ1194" s="72">
        <f>(AV1194-Driver!$K$179)/(Driver!$L$179-Driver!$K$179)</f>
        <v>2.4655547498187092E-2</v>
      </c>
      <c r="AK1194" s="72">
        <f>(AW1194-Driver!$K$180)/(Driver!$L$180-Driver!$K$180)</f>
        <v>7.4005079065039753E-2</v>
      </c>
      <c r="AL1194" s="72">
        <f>(AX1194-Driver!$K$181)/(Driver!$L$181-Driver!$K$181)</f>
        <v>0.17725921709985451</v>
      </c>
      <c r="AM1194" s="72">
        <f>(AY1194-Driver!$K$182)/(Driver!$L$182-Driver!$K$182)</f>
        <v>5.4579216073781266E-2</v>
      </c>
      <c r="AN1194" s="72">
        <f>(AZ1194-Driver!$K$183)/(Driver!$L$183-Driver!$K$183)</f>
        <v>7.0465686274509803E-2</v>
      </c>
      <c r="AO1194" s="72"/>
      <c r="AP1194" s="72"/>
      <c r="AQ1194" s="72">
        <f>(BC1194-Driver!$K$188)/(Driver!$L$188-Driver!$K$188)</f>
        <v>9.9786742072099522E-3</v>
      </c>
      <c r="AR1194" s="72">
        <f>MIN((BD1194-Driver!$K$189)/(Driver!$L$189-Driver!$K$189),100%)</f>
        <v>0.18342275163110019</v>
      </c>
      <c r="AS1194" s="72">
        <f>(BE1194-Driver!$K$190)/(Driver!$L$190-Driver!$K$190)</f>
        <v>1</v>
      </c>
      <c r="AT1194" s="72">
        <f>(BF1194-Driver!$K$191)/(Driver!$L$191-Driver!$K$191)</f>
        <v>4.3300493932182998E-3</v>
      </c>
      <c r="AU1194" s="72">
        <f>(BG1194-Driver!$K$192)/(Driver!$L$192-Driver!$K$192)</f>
        <v>6.5654024767801841E-2</v>
      </c>
      <c r="AV1194" s="70">
        <f t="shared" si="689"/>
        <v>0.51892551892551897</v>
      </c>
      <c r="AW1194" s="70">
        <f t="shared" si="690"/>
        <v>9.0843433280554073</v>
      </c>
      <c r="AX1194" s="70">
        <f t="shared" si="691"/>
        <v>2.5953329538986907</v>
      </c>
      <c r="AY1194" s="70">
        <f>IFERROR(Driver!$K$19/Data!BH1194/Data!BI1194*Data!BK1194*Data!BL1194,"")</f>
        <v>6.6821245340632426E-2</v>
      </c>
      <c r="AZ1194" s="70">
        <f t="shared" si="692"/>
        <v>6.4221891288160835</v>
      </c>
      <c r="BA1194" s="70"/>
      <c r="BB1194" s="70"/>
      <c r="BC1194" s="70">
        <f t="shared" si="693"/>
        <v>5.1760076818974508</v>
      </c>
      <c r="BD1194" s="70">
        <f t="shared" si="694"/>
        <v>17.953411397565816</v>
      </c>
      <c r="BE1194" s="70">
        <f t="shared" si="695"/>
        <v>1</v>
      </c>
      <c r="BF1194" s="70">
        <f t="shared" si="696"/>
        <v>0.48904865864534952</v>
      </c>
      <c r="BG1194" s="70">
        <f t="shared" si="697"/>
        <v>0.24860802051083589</v>
      </c>
      <c r="BH1194" s="67">
        <f>MAX((CE1194-Driver!$F$200)/(Driver!$G$200-Driver!$F$200)*$BI$1,1)</f>
        <v>2.5953329538986907</v>
      </c>
      <c r="BI1194" s="67">
        <f>MAX($BI$1*(BY1194-Driver!$F$201)/(Driver!$G$201-Driver!$F$201),1)</f>
        <v>7.2784810126582276</v>
      </c>
      <c r="BJ1194" s="67">
        <f>(CB1194-Driver!$F$206)/(Driver!$G$206-Driver!$F$206)*$BI$1</f>
        <v>1.4285714285714284</v>
      </c>
      <c r="BK1194" s="67">
        <f>(CD1194-Driver!$F$203)/(Driver!$G$203-Driver!$F$203)*$BI$1</f>
        <v>0.96330275229357787</v>
      </c>
      <c r="BL1194" s="67">
        <f>MAX((CR1194-Driver!$F$202)/(Driver!$G$202-Driver!$F$202)*$BI$1,1)</f>
        <v>6.5517241379310338</v>
      </c>
      <c r="BM1194" s="67">
        <f>MAX((CH1194-Driver!$F$204)/(Driver!$G$204-Driver!$F$204)*$BI$1,1)</f>
        <v>1.4529914529914532</v>
      </c>
      <c r="BN1194" s="67">
        <f>(CI1194-Driver!$F$205)/(Driver!$G$205-Driver!$F$205)*$BI$1</f>
        <v>0.88235294117647067</v>
      </c>
      <c r="BO1194" s="67">
        <f>(CK1194-Driver!$F$207)/(Driver!$G$207-Driver!$F$207)*$BI$1</f>
        <v>0.42399172699069287</v>
      </c>
      <c r="BP1194" s="67">
        <f>(CM1194-Driver!$F$208)/(Driver!$G$208-Driver!$F$208)*$BI$1</f>
        <v>0.77777777777777779</v>
      </c>
      <c r="BQ1194" s="67">
        <f>(CL1194-Driver!$F$209)/(Driver!$G$209-Driver!$F$209)*$BI$1</f>
        <v>0.9375</v>
      </c>
      <c r="BR1194" s="28" t="s">
        <v>155</v>
      </c>
      <c r="BS1194" s="8" t="s">
        <v>164</v>
      </c>
      <c r="BT1194" s="9" t="s">
        <v>819</v>
      </c>
      <c r="BU1194" s="10">
        <v>146</v>
      </c>
      <c r="BV1194" s="9" t="s">
        <v>163</v>
      </c>
      <c r="BW1194" s="10">
        <v>146</v>
      </c>
      <c r="BX1194" s="10">
        <v>145</v>
      </c>
      <c r="BY1194" s="10">
        <v>123</v>
      </c>
      <c r="BZ1194" s="10">
        <v>133</v>
      </c>
      <c r="CA1194" s="10">
        <v>122</v>
      </c>
      <c r="CB1194" s="10">
        <v>73</v>
      </c>
      <c r="CC1194" s="10">
        <v>102</v>
      </c>
      <c r="CD1194" s="10">
        <v>11.5</v>
      </c>
      <c r="CE1194" s="10">
        <v>1356</v>
      </c>
      <c r="CF1194" s="10">
        <v>0.94</v>
      </c>
      <c r="CG1194" s="10">
        <v>1273</v>
      </c>
      <c r="CH1194" s="10">
        <v>135</v>
      </c>
      <c r="CI1194" s="10">
        <v>48</v>
      </c>
      <c r="CJ1194" s="10">
        <v>33</v>
      </c>
      <c r="CK1194" s="10">
        <v>151</v>
      </c>
      <c r="CL1194" s="10">
        <v>6</v>
      </c>
      <c r="CM1194" s="10">
        <v>70</v>
      </c>
      <c r="CN1194" s="10">
        <v>0.17499999999999999</v>
      </c>
      <c r="CO1194" s="10">
        <v>78</v>
      </c>
      <c r="CP1194" s="10">
        <v>37</v>
      </c>
      <c r="CQ1194" s="10">
        <v>73</v>
      </c>
      <c r="CR1194" s="10">
        <v>8</v>
      </c>
      <c r="CS1194" s="10">
        <v>8.5</v>
      </c>
      <c r="CT1194" s="9" t="s">
        <v>349</v>
      </c>
      <c r="CU1194" s="10"/>
      <c r="CV1194" s="10"/>
      <c r="CW1194" s="10"/>
      <c r="CX1194" t="str">
        <f>INDEX('Data_Price '!AG$2:AG$1266,MATCH(Data!$DN1194,'Data_Price '!$AT$2:$AT$1266,0))</f>
        <v>Elan Black Magic LS ELW9.0 22</v>
      </c>
      <c r="CY1194" t="str">
        <f>INDEX('Data_Price '!AH$2:AH$1266,MATCH(Data!$DN1194,'Data_Price '!$AT$2:$AT$1266,0))</f>
        <v>Aspen Ski and Board</v>
      </c>
      <c r="CZ1194">
        <f>INDEX('Data_Price '!AI$2:AI$1266,MATCH(Data!$DN1194,'Data_Price '!$AT$2:$AT$1266,0))</f>
        <v>319.95</v>
      </c>
      <c r="DA1194" t="str">
        <f>INDEX('Data_Price '!AJ$2:AJ$1266,MATCH(Data!$DN1194,'Data_Price '!$AT$2:$AT$1266,0))</f>
        <v>https://tinyurl.com/y97o6uld</v>
      </c>
      <c r="DB1194" t="str">
        <f>INDEX('Data_Price '!AK$2:AK$1266,MATCH(Data!$DN1194,'Data_Price '!$AT$2:$AT$1266,0))</f>
        <v>Elan Delight Magic 19/20 Black 146 Ski Lady's Ladies / Women</v>
      </c>
      <c r="DC1194" t="str">
        <f>INDEX('Data_Price '!AL$2:AL$1266,MATCH(Data!$DN1194,'Data_Price '!$AT$2:$AT$1266,0))</f>
        <v>! OutdoorXL.com</v>
      </c>
      <c r="DD1194">
        <f>INDEX('Data_Price '!AM$2:AM$1266,MATCH(Data!$DN1194,'Data_Price '!$AT$2:$AT$1266,0))</f>
        <v>319.95</v>
      </c>
      <c r="DE1194" t="str">
        <f>INDEX('Data_Price '!AN$2:AN$1266,MATCH(Data!$DN1194,'Data_Price '!$AT$2:$AT$1266,0))</f>
        <v>https://tinyurl.com/yamom72n</v>
      </c>
      <c r="DF1194" t="str">
        <f>INDEX('Data_Price '!AO$2:AO$1266,MATCH(Data!$DN1194,'Data_Price '!$AT$2:$AT$1266,0))</f>
        <v>Elan Truflex Black and Red Skis with Bindings 2022</v>
      </c>
      <c r="DG1194" t="str">
        <f>INDEX('Data_Price '!AP$2:AP$1266,MATCH(Data!$DN1194,'Data_Price '!$AT$2:$AT$1266,0))</f>
        <v>Level Nine Sports</v>
      </c>
      <c r="DH1194">
        <f>INDEX('Data_Price '!AQ$2:AQ$1266,MATCH(Data!$DN1194,'Data_Price '!$AT$2:$AT$1266,0))</f>
        <v>349.99</v>
      </c>
      <c r="DI1194" t="str">
        <f>INDEX('Data_Price '!AR$2:AR$1266,MATCH(Data!$DN1194,'Data_Price '!$AT$2:$AT$1266,0))</f>
        <v>https://tinyurl.com/y6u6w26s</v>
      </c>
      <c r="DJ1194" s="89" t="str">
        <f t="shared" si="698"/>
        <v>https://tinyurl.com/y97o6uld</v>
      </c>
      <c r="DK1194" s="89" t="str">
        <f t="shared" si="699"/>
        <v>https://tinyurl.com/yamom72n</v>
      </c>
      <c r="DL1194" s="89" t="str">
        <f t="shared" si="700"/>
        <v>https://tinyurl.com/y6u6w26s</v>
      </c>
      <c r="DM1194" s="219" t="str">
        <f t="shared" si="701"/>
        <v>Snow Black</v>
      </c>
      <c r="DN1194" s="89" t="str">
        <f t="shared" si="702"/>
        <v xml:space="preserve"> ElanSnow Black146 Women's</v>
      </c>
      <c r="DO1194" s="221"/>
    </row>
    <row r="1195" spans="2:119" ht="15.6" customHeight="1">
      <c r="B1195" s="219" t="b">
        <f t="array" ref="B1195">IF(OR(ISERROR(K1195:P1195)),FALSE,TRUE)</f>
        <v>1</v>
      </c>
      <c r="C1195" s="43" t="b">
        <f>OR(BR1195=Driver!$G$50,Data!BR532=Driver!$H$50)</f>
        <v>1</v>
      </c>
      <c r="D1195" s="43" t="b">
        <f>OR(BV1195=Driver!$G$51,BV1195=Driver!$H$51)</f>
        <v>0</v>
      </c>
      <c r="E1195" s="43" t="b">
        <f>AND(BX1195&gt;Driver!$F$54,BX1195&lt;Driver!$G$54)</f>
        <v>1</v>
      </c>
      <c r="F1195" s="43" t="b">
        <f>CL1195&gt;Driver!$F$56</f>
        <v>1</v>
      </c>
      <c r="G1195" s="43" t="b">
        <f>AND(CB1195&gt;Driver!$F$55,CB1195&lt;Driver!$G$55)</f>
        <v>0</v>
      </c>
      <c r="H1195" s="43" t="b">
        <f t="shared" si="666"/>
        <v>0</v>
      </c>
      <c r="I1195" s="43">
        <f t="shared" si="667"/>
        <v>0</v>
      </c>
      <c r="J1195" s="43" t="b">
        <f t="array" ref="J1195">NOT(OR(($H$9:$H$1273=TRUE)*($I$9:$I$1273&gt;0)*($BT$9:$BT$1273=BT1195)*($K$9:$K$1273&gt;K1195)))</f>
        <v>1</v>
      </c>
      <c r="K1195" s="72">
        <f t="shared" si="668"/>
        <v>0.80339530186985231</v>
      </c>
      <c r="L1195" s="72">
        <f t="shared" si="669"/>
        <v>0.79323849096707799</v>
      </c>
      <c r="M1195" s="72">
        <f t="shared" si="670"/>
        <v>0.81355211277262651</v>
      </c>
      <c r="N1195" s="72">
        <f t="shared" si="671"/>
        <v>0.95541570907449169</v>
      </c>
      <c r="O1195" s="72">
        <f t="shared" si="672"/>
        <v>0.6904404306829508</v>
      </c>
      <c r="P1195" s="72">
        <f t="shared" si="673"/>
        <v>0.79480019856043682</v>
      </c>
      <c r="Q1195" s="72"/>
      <c r="R1195" s="72"/>
      <c r="S1195" s="72">
        <f t="shared" si="674"/>
        <v>0.39046521081738206</v>
      </c>
      <c r="T1195" s="72">
        <f t="shared" si="675"/>
        <v>0.46249789752200687</v>
      </c>
      <c r="U1195" s="72">
        <f t="shared" si="676"/>
        <v>0.62195856171667241</v>
      </c>
      <c r="V1195" s="72">
        <f t="shared" si="677"/>
        <v>0.52806739429435567</v>
      </c>
      <c r="W1195" s="72">
        <f t="shared" si="678"/>
        <v>0.65836965998256314</v>
      </c>
      <c r="X1195" s="72">
        <f t="shared" si="679"/>
        <v>0.20676150903292201</v>
      </c>
      <c r="Y1195" s="72">
        <f t="shared" si="680"/>
        <v>0.18644788722737352</v>
      </c>
      <c r="Z1195" s="72">
        <f t="shared" si="681"/>
        <v>4.4584290925508321E-2</v>
      </c>
      <c r="AA1195" s="72">
        <f t="shared" si="682"/>
        <v>0.30955956931704914</v>
      </c>
      <c r="AB1195" s="72">
        <f t="shared" si="683"/>
        <v>0.20519980143956318</v>
      </c>
      <c r="AC1195" s="72"/>
      <c r="AD1195" s="72"/>
      <c r="AE1195" s="72">
        <f t="shared" si="684"/>
        <v>0.60953478918261794</v>
      </c>
      <c r="AF1195" s="72">
        <f t="shared" si="685"/>
        <v>0.53750210247799313</v>
      </c>
      <c r="AG1195" s="72">
        <f t="shared" si="686"/>
        <v>0.37804143828332759</v>
      </c>
      <c r="AH1195" s="72">
        <f t="shared" si="687"/>
        <v>0.47193260570564433</v>
      </c>
      <c r="AI1195" s="72">
        <f t="shared" si="688"/>
        <v>0.34163034001743686</v>
      </c>
      <c r="AJ1195" s="72">
        <f>(AV1195-Driver!$K$179)/(Driver!$L$179-Driver!$K$179)</f>
        <v>4.7457900249778417E-2</v>
      </c>
      <c r="AK1195" s="72">
        <f>(AW1195-Driver!$K$180)/(Driver!$L$180-Driver!$K$180)</f>
        <v>5.2133845277499459E-2</v>
      </c>
      <c r="AL1195" s="72">
        <f>(AX1195-Driver!$K$181)/(Driver!$L$181-Driver!$K$181)</f>
        <v>0.1462720546385885</v>
      </c>
      <c r="AM1195" s="72">
        <f>(AY1195-Driver!$K$182)/(Driver!$L$182-Driver!$K$182)</f>
        <v>0.13782545177999722</v>
      </c>
      <c r="AN1195" s="72">
        <f>(AZ1195-Driver!$K$183)/(Driver!$L$183-Driver!$K$183)</f>
        <v>4.9019607843137247E-2</v>
      </c>
      <c r="AO1195" s="72"/>
      <c r="AP1195" s="72"/>
      <c r="AQ1195" s="72">
        <f>(BC1195-Driver!$K$188)/(Driver!$L$188-Driver!$K$188)</f>
        <v>1.0465210817382022E-2</v>
      </c>
      <c r="AR1195" s="72">
        <f>MIN((BD1195-Driver!$K$189)/(Driver!$L$189-Driver!$K$189),100%)</f>
        <v>1.2497897522006935E-2</v>
      </c>
      <c r="AS1195" s="72">
        <f>(BE1195-Driver!$K$190)/(Driver!$L$190-Driver!$K$190)</f>
        <v>0.13195856171667245</v>
      </c>
      <c r="AT1195" s="72">
        <f>(BF1195-Driver!$K$191)/(Driver!$L$191-Driver!$K$191)</f>
        <v>3.8067394294355697E-2</v>
      </c>
      <c r="AU1195" s="72">
        <f>(BG1195-Driver!$K$192)/(Driver!$L$192-Driver!$K$192)</f>
        <v>0.59163034001743686</v>
      </c>
      <c r="AV1195" s="70">
        <f t="shared" si="689"/>
        <v>0.99884683218016546</v>
      </c>
      <c r="AW1195" s="70">
        <f t="shared" si="690"/>
        <v>6.9527977966133996</v>
      </c>
      <c r="AX1195" s="70">
        <f t="shared" si="691"/>
        <v>2.3164484917472965</v>
      </c>
      <c r="AY1195" s="70">
        <f>IFERROR(Driver!$K$19/Data!BH1195/Data!BI1195*Data!BK1195*Data!BL1195,"")</f>
        <v>0.1687394761244809</v>
      </c>
      <c r="AZ1195" s="70">
        <f t="shared" si="692"/>
        <v>4.4676098287416224</v>
      </c>
      <c r="BA1195" s="70"/>
      <c r="BB1195" s="70"/>
      <c r="BC1195" s="70">
        <f t="shared" si="693"/>
        <v>5.4283776039413434</v>
      </c>
      <c r="BD1195" s="70">
        <f t="shared" si="694"/>
        <v>2.826864669831318</v>
      </c>
      <c r="BE1195" s="70">
        <f t="shared" si="695"/>
        <v>0.13211341053903963</v>
      </c>
      <c r="BF1195" s="70">
        <f t="shared" si="696"/>
        <v>4.2994447469665893</v>
      </c>
      <c r="BG1195" s="70">
        <f t="shared" si="697"/>
        <v>2.2402898866608547</v>
      </c>
      <c r="BH1195" s="67">
        <f>MAX((CE1195-Driver!$F$200)/(Driver!$G$200-Driver!$F$200)*$BI$1,1)</f>
        <v>2.3164484917472965</v>
      </c>
      <c r="BI1195" s="67">
        <f>MAX($BI$1*(BY1195-Driver!$F$201)/(Driver!$G$201-Driver!$F$201),1)</f>
        <v>6.3291139240506329</v>
      </c>
      <c r="BJ1195" s="67">
        <f>(CB1195-Driver!$F$206)/(Driver!$G$206-Driver!$F$206)*$BI$1</f>
        <v>3.0158730158730158</v>
      </c>
      <c r="BK1195" s="67">
        <f>(CD1195-Driver!$F$203)/(Driver!$G$203-Driver!$F$203)*$BI$1</f>
        <v>2.1100917431192663</v>
      </c>
      <c r="BL1195" s="67">
        <f>MAX((CR1195-Driver!$F$202)/(Driver!$G$202-Driver!$F$202)*$BI$1,1)</f>
        <v>5.8620689655172411</v>
      </c>
      <c r="BM1195" s="67">
        <f>MAX((CH1195-Driver!$F$204)/(Driver!$G$204-Driver!$F$204)*$BI$1,1)</f>
        <v>1.3247863247863247</v>
      </c>
      <c r="BN1195" s="67">
        <f>(CI1195-Driver!$F$205)/(Driver!$G$205-Driver!$F$205)*$BI$1</f>
        <v>0.70588235294117641</v>
      </c>
      <c r="BO1195" s="67">
        <f>(CK1195-Driver!$F$207)/(Driver!$G$207-Driver!$F$207)*$BI$1</f>
        <v>1.2306101344364011</v>
      </c>
      <c r="BP1195" s="67">
        <f>(CM1195-Driver!$F$208)/(Driver!$G$208-Driver!$F$208)*$BI$1</f>
        <v>2.4444444444444442</v>
      </c>
      <c r="BQ1195" s="67">
        <f>(CL1195-Driver!$F$209)/(Driver!$G$209-Driver!$F$209)*$BI$1</f>
        <v>6.875</v>
      </c>
      <c r="BR1195" s="28" t="s">
        <v>155</v>
      </c>
      <c r="BS1195" s="8" t="s">
        <v>205</v>
      </c>
      <c r="BT1195" s="9" t="s">
        <v>880</v>
      </c>
      <c r="BU1195" s="10">
        <v>155</v>
      </c>
      <c r="BV1195" s="9" t="s">
        <v>385</v>
      </c>
      <c r="BW1195" s="10">
        <v>155</v>
      </c>
      <c r="BX1195" s="10">
        <v>153.4</v>
      </c>
      <c r="BY1195" s="10">
        <v>108</v>
      </c>
      <c r="BZ1195" s="10">
        <v>130</v>
      </c>
      <c r="CA1195" s="10">
        <v>114</v>
      </c>
      <c r="CB1195" s="10">
        <v>83</v>
      </c>
      <c r="CC1195" s="10">
        <v>110</v>
      </c>
      <c r="CD1195" s="10">
        <v>14</v>
      </c>
      <c r="CE1195" s="10">
        <v>1307</v>
      </c>
      <c r="CF1195" s="10">
        <v>1.1100000000000001</v>
      </c>
      <c r="CG1195" s="10">
        <v>1448</v>
      </c>
      <c r="CH1195" s="10">
        <v>132</v>
      </c>
      <c r="CI1195" s="10">
        <v>45</v>
      </c>
      <c r="CJ1195" s="10">
        <v>46</v>
      </c>
      <c r="CK1195" s="10">
        <v>229</v>
      </c>
      <c r="CL1195" s="10">
        <v>44</v>
      </c>
      <c r="CM1195" s="10">
        <v>220</v>
      </c>
      <c r="CN1195" s="10">
        <v>0.95099999999999996</v>
      </c>
      <c r="CO1195" s="10">
        <v>118</v>
      </c>
      <c r="CP1195" s="10">
        <v>113</v>
      </c>
      <c r="CQ1195" s="10">
        <v>111</v>
      </c>
      <c r="CR1195" s="10">
        <v>6</v>
      </c>
      <c r="CS1195" s="10">
        <v>3.2</v>
      </c>
      <c r="CT1195" s="9" t="s">
        <v>184</v>
      </c>
      <c r="CU1195" s="9" t="s">
        <v>185</v>
      </c>
      <c r="CV1195" s="10"/>
      <c r="CW1195" s="10"/>
      <c r="CX1195" t="str">
        <f>INDEX('Data_Price '!AG$2:AG$1266,MATCH(Data!$DN1195,'Data_Price '!$AT$2:$AT$1266,0))</f>
        <v>Prodigy 1.0 Jr Ski - 2022 - Kids' One Color, 155cm - Excellent</v>
      </c>
      <c r="CY1195" t="str">
        <f>INDEX('Data_Price '!AH$2:AH$1266,MATCH(Data!$DN1195,'Data_Price '!$AT$2:$AT$1266,0))</f>
        <v>Geartrade.com</v>
      </c>
      <c r="CZ1195">
        <f>INDEX('Data_Price '!AI$2:AI$1266,MATCH(Data!$DN1195,'Data_Price '!$AT$2:$AT$1266,0))</f>
        <v>224.66</v>
      </c>
      <c r="DA1195" t="str">
        <f>INDEX('Data_Price '!AJ$2:AJ$1266,MATCH(Data!$DN1195,'Data_Price '!$AT$2:$AT$1266,0))</f>
        <v>https://tinyurl.com/y8srkryv</v>
      </c>
      <c r="DB1195" t="str">
        <f>INDEX('Data_Price '!AK$2:AK$1266,MATCH(Data!$DN1195,'Data_Price '!$AT$2:$AT$1266,0))</f>
        <v>Faction CT 1.0 Skis JR 2022 155</v>
      </c>
      <c r="DC1195" t="str">
        <f>INDEX('Data_Price '!AL$2:AL$1266,MATCH(Data!$DN1195,'Data_Price '!$AT$2:$AT$1266,0))</f>
        <v>fullsendskiandoutdoor.com</v>
      </c>
      <c r="DD1195">
        <f>INDEX('Data_Price '!AM$2:AM$1266,MATCH(Data!$DN1195,'Data_Price '!$AT$2:$AT$1266,0))</f>
        <v>359</v>
      </c>
      <c r="DE1195" t="str">
        <f>INDEX('Data_Price '!AN$2:AN$1266,MATCH(Data!$DN1195,'Data_Price '!$AT$2:$AT$1266,0))</f>
        <v>https://tinyurl.com/y9kg2ocr</v>
      </c>
      <c r="DF1195" t="str">
        <f>INDEX('Data_Price '!AO$2:AO$1266,MATCH(Data!$DN1195,'Data_Price '!$AT$2:$AT$1266,0))</f>
        <v>Faction Ct 1.0 Jr Ski - Youth 2022</v>
      </c>
      <c r="DG1195" t="str">
        <f>INDEX('Data_Price '!AP$2:AP$1266,MATCH(Data!$DN1195,'Data_Price '!$AT$2:$AT$1266,0))</f>
        <v>Next Adventure</v>
      </c>
      <c r="DH1195">
        <f>INDEX('Data_Price '!AQ$2:AQ$1266,MATCH(Data!$DN1195,'Data_Price '!$AT$2:$AT$1266,0))</f>
        <v>367.2</v>
      </c>
      <c r="DI1195" t="str">
        <f>INDEX('Data_Price '!AR$2:AR$1266,MATCH(Data!$DN1195,'Data_Price '!$AT$2:$AT$1266,0))</f>
        <v>https://tinyurl.com/y7o3mve9</v>
      </c>
      <c r="DJ1195" s="89" t="str">
        <f t="shared" si="698"/>
        <v>https://tinyurl.com/y8srkryv</v>
      </c>
      <c r="DK1195" s="89" t="str">
        <f t="shared" si="699"/>
        <v>https://tinyurl.com/y9kg2ocr</v>
      </c>
      <c r="DL1195" s="89" t="str">
        <f t="shared" si="700"/>
        <v>https://tinyurl.com/y7o3mve9</v>
      </c>
      <c r="DM1195" s="219" t="str">
        <f t="shared" si="701"/>
        <v>Prodigy 1.0 Jr</v>
      </c>
      <c r="DN1195" s="89" t="str">
        <f t="shared" si="702"/>
        <v xml:space="preserve"> FactionProdigy 1.0 Jr155 Junior</v>
      </c>
      <c r="DO1195" s="221"/>
    </row>
    <row r="1196" spans="2:119" ht="15.6" customHeight="1">
      <c r="B1196" s="219" t="b">
        <f t="array" ref="B1196">IF(OR(ISERROR(K1196:P1196)),FALSE,TRUE)</f>
        <v>1</v>
      </c>
      <c r="C1196" s="43" t="b">
        <f>OR(BR1196=Driver!$G$50,Data!BR631=Driver!$H$50)</f>
        <v>1</v>
      </c>
      <c r="D1196" s="43" t="b">
        <f>OR(BV1196=Driver!$G$51,BV1196=Driver!$H$51)</f>
        <v>1</v>
      </c>
      <c r="E1196" s="43" t="b">
        <f>AND(BX1196&gt;Driver!$F$54,BX1196&lt;Driver!$G$54)</f>
        <v>0</v>
      </c>
      <c r="F1196" s="43" t="b">
        <f>CL1196&gt;Driver!$F$56</f>
        <v>1</v>
      </c>
      <c r="G1196" s="43" t="b">
        <f>AND(CB1196&gt;Driver!$F$55,CB1196&lt;Driver!$G$55)</f>
        <v>0</v>
      </c>
      <c r="H1196" s="43" t="b">
        <f t="shared" si="666"/>
        <v>0</v>
      </c>
      <c r="I1196" s="43">
        <f t="shared" si="667"/>
        <v>0</v>
      </c>
      <c r="J1196" s="43" t="b">
        <f t="array" ref="J1196">NOT(OR(($H$9:$H$1273=TRUE)*($I$9:$I$1273&gt;0)*($BT$9:$BT$1273=BT1196)*($K$9:$K$1273&gt;K1196)))</f>
        <v>1</v>
      </c>
      <c r="K1196" s="72">
        <f t="shared" si="668"/>
        <v>0.66223250566501624</v>
      </c>
      <c r="L1196" s="72">
        <f t="shared" si="669"/>
        <v>0.69729410108835688</v>
      </c>
      <c r="M1196" s="72">
        <f t="shared" si="670"/>
        <v>0.62717091024167559</v>
      </c>
      <c r="N1196" s="72">
        <f t="shared" si="671"/>
        <v>0.61771887735375564</v>
      </c>
      <c r="O1196" s="72">
        <f t="shared" si="672"/>
        <v>0.64846333297745951</v>
      </c>
      <c r="P1196" s="72">
        <f t="shared" si="673"/>
        <v>0.61533052039381153</v>
      </c>
      <c r="Q1196" s="72"/>
      <c r="R1196" s="72"/>
      <c r="S1196" s="72">
        <f t="shared" si="674"/>
        <v>0.58464201707484542</v>
      </c>
      <c r="T1196" s="72">
        <f t="shared" si="675"/>
        <v>0.5543249169822082</v>
      </c>
      <c r="U1196" s="72">
        <f t="shared" si="676"/>
        <v>0.75522850877479053</v>
      </c>
      <c r="V1196" s="72">
        <f t="shared" si="677"/>
        <v>0.51647255460611774</v>
      </c>
      <c r="W1196" s="72">
        <f t="shared" si="678"/>
        <v>0.76596290515409138</v>
      </c>
      <c r="X1196" s="72">
        <f t="shared" si="679"/>
        <v>0.30270589891164318</v>
      </c>
      <c r="Y1196" s="72">
        <f t="shared" si="680"/>
        <v>0.37282908975832446</v>
      </c>
      <c r="Z1196" s="72">
        <f t="shared" si="681"/>
        <v>0.38228112264624436</v>
      </c>
      <c r="AA1196" s="72">
        <f t="shared" si="682"/>
        <v>0.35153666702254049</v>
      </c>
      <c r="AB1196" s="72">
        <f t="shared" si="683"/>
        <v>0.38466947960618852</v>
      </c>
      <c r="AC1196" s="72"/>
      <c r="AD1196" s="72"/>
      <c r="AE1196" s="72">
        <f t="shared" si="684"/>
        <v>0.41535798292515458</v>
      </c>
      <c r="AF1196" s="72">
        <f t="shared" si="685"/>
        <v>0.4456750830177918</v>
      </c>
      <c r="AG1196" s="72">
        <f t="shared" si="686"/>
        <v>0.24477149122520947</v>
      </c>
      <c r="AH1196" s="72">
        <f t="shared" si="687"/>
        <v>0.48352744539388226</v>
      </c>
      <c r="AI1196" s="72">
        <f t="shared" si="688"/>
        <v>0.23403709484590859</v>
      </c>
      <c r="AJ1196" s="72">
        <f>(AV1196-Driver!$K$179)/(Driver!$L$179-Driver!$K$179)</f>
        <v>0.5569253081943436</v>
      </c>
      <c r="AK1196" s="72">
        <f>(AW1196-Driver!$K$180)/(Driver!$L$180-Driver!$K$180)</f>
        <v>0.63441150316097927</v>
      </c>
      <c r="AL1196" s="72">
        <f>(AX1196-Driver!$K$181)/(Driver!$L$181-Driver!$K$181)</f>
        <v>0.48396888635932456</v>
      </c>
      <c r="AM1196" s="72">
        <f>(AY1196-Driver!$K$182)/(Driver!$L$182-Driver!$K$182)</f>
        <v>9.5848354074505843E-2</v>
      </c>
      <c r="AN1196" s="72">
        <f>(AZ1196-Driver!$K$183)/(Driver!$L$183-Driver!$K$183)</f>
        <v>0.63888888888888895</v>
      </c>
      <c r="AO1196" s="72"/>
      <c r="AP1196" s="72"/>
      <c r="AQ1196" s="72">
        <f>(BC1196-Driver!$K$188)/(Driver!$L$188-Driver!$K$188)</f>
        <v>0.20464201707484542</v>
      </c>
      <c r="AR1196" s="72">
        <f>MIN((BD1196-Driver!$K$189)/(Driver!$L$189-Driver!$K$189),100%)</f>
        <v>0.10432491698220824</v>
      </c>
      <c r="AS1196" s="72">
        <f>(BE1196-Driver!$K$190)/(Driver!$L$190-Driver!$K$190)</f>
        <v>0.26522850877479054</v>
      </c>
      <c r="AT1196" s="72">
        <f>(BF1196-Driver!$K$191)/(Driver!$L$191-Driver!$K$191)</f>
        <v>2.6472554606117762E-2</v>
      </c>
      <c r="AU1196" s="72">
        <f>(BG1196-Driver!$K$192)/(Driver!$L$192-Driver!$K$192)</f>
        <v>1.5962905154091395E-2</v>
      </c>
      <c r="AV1196" s="70">
        <f t="shared" si="689"/>
        <v>11.721611721611719</v>
      </c>
      <c r="AW1196" s="70">
        <f t="shared" si="690"/>
        <v>63.700915062275591</v>
      </c>
      <c r="AX1196" s="70">
        <f t="shared" si="691"/>
        <v>5.355719977233921</v>
      </c>
      <c r="AY1196" s="70">
        <f>IFERROR(Driver!$K$19/Data!BH1196/Data!BI1196*Data!BK1196*Data!BL1196,"")</f>
        <v>0.11734698377584521</v>
      </c>
      <c r="AZ1196" s="70">
        <f t="shared" si="692"/>
        <v>58.227848101265828</v>
      </c>
      <c r="BA1196" s="70"/>
      <c r="BB1196" s="70"/>
      <c r="BC1196" s="70">
        <f t="shared" si="693"/>
        <v>106.14923690494457</v>
      </c>
      <c r="BD1196" s="70">
        <f t="shared" si="694"/>
        <v>10.953393184208579</v>
      </c>
      <c r="BE1196" s="70">
        <f t="shared" si="695"/>
        <v>0.26535958373861973</v>
      </c>
      <c r="BF1196" s="70">
        <f t="shared" si="696"/>
        <v>2.9898890625391465</v>
      </c>
      <c r="BG1196" s="70">
        <f t="shared" si="697"/>
        <v>6.0445742145988322E-2</v>
      </c>
      <c r="BH1196" s="67">
        <f>MAX((CE1196-Driver!$F$200)/(Driver!$G$200-Driver!$F$200)*$BI$1,1)</f>
        <v>5.355719977233921</v>
      </c>
      <c r="BI1196" s="67">
        <f>MAX($BI$1*(BY1196-Driver!$F$201)/(Driver!$G$201-Driver!$F$201),1)</f>
        <v>8.6075949367088604</v>
      </c>
      <c r="BJ1196" s="67">
        <f>(CB1196-Driver!$F$206)/(Driver!$G$206-Driver!$F$206)*$BI$1</f>
        <v>5.7142857142857135</v>
      </c>
      <c r="BK1196" s="67">
        <f>(CD1196-Driver!$F$203)/(Driver!$G$203-Driver!$F$203)*$BI$1</f>
        <v>4.3577981651376145</v>
      </c>
      <c r="BL1196" s="67">
        <f>MAX((CR1196-Driver!$F$202)/(Driver!$G$202-Driver!$F$202)*$BI$1,1)</f>
        <v>6.2068965517241379</v>
      </c>
      <c r="BM1196" s="67">
        <f>MAX((CH1196-Driver!$F$204)/(Driver!$G$204-Driver!$F$204)*$BI$1,1)</f>
        <v>8.2051282051282044</v>
      </c>
      <c r="BN1196" s="67">
        <f>(CI1196-Driver!$F$205)/(Driver!$G$205-Driver!$F$205)*$BI$1</f>
        <v>6.764705882352942</v>
      </c>
      <c r="BO1196" s="67">
        <f>(CK1196-Driver!$F$207)/(Driver!$G$207-Driver!$F$207)*$BI$1</f>
        <v>1.2512926577042398</v>
      </c>
      <c r="BP1196" s="67">
        <f>(CM1196-Driver!$F$208)/(Driver!$G$208-Driver!$F$208)*$BI$1</f>
        <v>1.8222222222222224</v>
      </c>
      <c r="BQ1196" s="67">
        <f>(CL1196-Driver!$F$209)/(Driver!$G$209-Driver!$F$209)*$BI$1</f>
        <v>2.65625</v>
      </c>
      <c r="BR1196" s="28" t="s">
        <v>155</v>
      </c>
      <c r="BS1196" s="8" t="s">
        <v>167</v>
      </c>
      <c r="BT1196" s="9" t="s">
        <v>240</v>
      </c>
      <c r="BU1196" s="10">
        <v>184</v>
      </c>
      <c r="BV1196" s="9" t="s">
        <v>158</v>
      </c>
      <c r="BW1196" s="10">
        <v>184</v>
      </c>
      <c r="BX1196" s="10">
        <v>183.8</v>
      </c>
      <c r="BY1196" s="10">
        <v>144</v>
      </c>
      <c r="BZ1196" s="10">
        <v>150</v>
      </c>
      <c r="CA1196" s="10">
        <v>135</v>
      </c>
      <c r="CB1196" s="10">
        <v>100</v>
      </c>
      <c r="CC1196" s="10">
        <v>121</v>
      </c>
      <c r="CD1196" s="10">
        <v>18.899999999999999</v>
      </c>
      <c r="CE1196" s="10">
        <v>1841</v>
      </c>
      <c r="CF1196" s="10">
        <v>1.1100000000000001</v>
      </c>
      <c r="CG1196" s="10">
        <v>2046</v>
      </c>
      <c r="CH1196" s="10">
        <v>293</v>
      </c>
      <c r="CI1196" s="10">
        <v>148</v>
      </c>
      <c r="CJ1196" s="10">
        <v>51</v>
      </c>
      <c r="CK1196" s="10">
        <v>231</v>
      </c>
      <c r="CL1196" s="10">
        <v>17</v>
      </c>
      <c r="CM1196" s="10">
        <v>164</v>
      </c>
      <c r="CN1196" s="10">
        <v>0.33800000000000002</v>
      </c>
      <c r="CO1196" s="10">
        <v>189</v>
      </c>
      <c r="CP1196" s="10">
        <v>151</v>
      </c>
      <c r="CQ1196" s="10">
        <v>42</v>
      </c>
      <c r="CR1196" s="10">
        <v>7</v>
      </c>
      <c r="CS1196" s="10">
        <v>10.9</v>
      </c>
      <c r="CT1196" s="9" t="s">
        <v>188</v>
      </c>
      <c r="CU1196" s="9" t="s">
        <v>178</v>
      </c>
      <c r="CV1196" s="9" t="s">
        <v>185</v>
      </c>
      <c r="CW1196" s="10"/>
      <c r="CX1196" t="str">
        <f>INDEX('Data_Price '!AG$2:AG$1266,MATCH(Data!$DN1196,'Data_Price '!$AT$2:$AT$1266,0))</f>
        <v>Head Kore 99 Skis</v>
      </c>
      <c r="CY1196" t="str">
        <f>INDEX('Data_Price '!AH$2:AH$1266,MATCH(Data!$DN1196,'Data_Price '!$AT$2:$AT$1266,0))</f>
        <v>SkatePro.com</v>
      </c>
      <c r="CZ1196">
        <f>INDEX('Data_Price '!AI$2:AI$1266,MATCH(Data!$DN1196,'Data_Price '!$AT$2:$AT$1266,0))</f>
        <v>509.95</v>
      </c>
      <c r="DA1196" t="str">
        <f>INDEX('Data_Price '!AJ$2:AJ$1266,MATCH(Data!$DN1196,'Data_Price '!$AT$2:$AT$1266,0))</f>
        <v>https://tinyurl.com/y9obdd26</v>
      </c>
      <c r="DB1196" t="str">
        <f>INDEX('Data_Price '!AK$2:AK$1266,MATCH(Data!$DN1196,'Data_Price '!$AT$2:$AT$1266,0))</f>
        <v>Head Kore 99 Incl Attack 14 GW Binding Anthracite-Red 184 Ski Men</v>
      </c>
      <c r="DC1196" t="str">
        <f>INDEX('Data_Price '!AL$2:AL$1266,MATCH(Data!$DN1196,'Data_Price '!$AT$2:$AT$1266,0))</f>
        <v>! OutdoorXL.com</v>
      </c>
      <c r="DD1196">
        <f>INDEX('Data_Price '!AM$2:AM$1266,MATCH(Data!$DN1196,'Data_Price '!$AT$2:$AT$1266,0))</f>
        <v>514.95000000000005</v>
      </c>
      <c r="DE1196" t="str">
        <f>INDEX('Data_Price '!AN$2:AN$1266,MATCH(Data!$DN1196,'Data_Price '!$AT$2:$AT$1266,0))</f>
        <v>https://tinyurl.com/yc6qbyca</v>
      </c>
      <c r="DF1196" t="str">
        <f>INDEX('Data_Price '!AO$2:AO$1266,MATCH(Data!$DN1196,'Data_Price '!$AT$2:$AT$1266,0))</f>
        <v>Head Kore 99 Skis</v>
      </c>
      <c r="DG1196" t="str">
        <f>INDEX('Data_Price '!AP$2:AP$1266,MATCH(Data!$DN1196,'Data_Price '!$AT$2:$AT$1266,0))</f>
        <v>evo.com</v>
      </c>
      <c r="DH1196">
        <f>INDEX('Data_Price '!AQ$2:AQ$1266,MATCH(Data!$DN1196,'Data_Price '!$AT$2:$AT$1266,0))</f>
        <v>519</v>
      </c>
      <c r="DI1196" t="str">
        <f>INDEX('Data_Price '!AR$2:AR$1266,MATCH(Data!$DN1196,'Data_Price '!$AT$2:$AT$1266,0))</f>
        <v>https://tinyurl.com/yawuluc7</v>
      </c>
      <c r="DJ1196" s="89" t="str">
        <f t="shared" si="698"/>
        <v>https://tinyurl.com/y9obdd26</v>
      </c>
      <c r="DK1196" s="89" t="str">
        <f t="shared" si="699"/>
        <v>https://tinyurl.com/yc6qbyca</v>
      </c>
      <c r="DL1196" s="89" t="str">
        <f t="shared" si="700"/>
        <v>https://tinyurl.com/yawuluc7</v>
      </c>
      <c r="DM1196" s="219" t="str">
        <f t="shared" si="701"/>
        <v>Kore 99</v>
      </c>
      <c r="DN1196" s="89" t="str">
        <f t="shared" si="702"/>
        <v xml:space="preserve"> HeadKore 99184 Unisex</v>
      </c>
      <c r="DO1196" s="221" t="s">
        <v>241</v>
      </c>
    </row>
    <row r="1197" spans="2:119" ht="15.6" customHeight="1">
      <c r="B1197" s="219" t="b">
        <f t="array" ref="B1197">IF(OR(ISERROR(K1197:P1197)),FALSE,TRUE)</f>
        <v>1</v>
      </c>
      <c r="C1197" s="43" t="b">
        <f>OR(BR1197=Driver!$G$50,Data!BR665=Driver!$H$50)</f>
        <v>1</v>
      </c>
      <c r="D1197" s="43" t="b">
        <f>OR(BV1197=Driver!$G$51,BV1197=Driver!$H$51)</f>
        <v>1</v>
      </c>
      <c r="E1197" s="43" t="b">
        <f>AND(BX1197&gt;Driver!$F$54,BX1197&lt;Driver!$G$54)</f>
        <v>0</v>
      </c>
      <c r="F1197" s="43" t="b">
        <f>CL1197&gt;Driver!$F$56</f>
        <v>1</v>
      </c>
      <c r="G1197" s="43" t="b">
        <f>AND(CB1197&gt;Driver!$F$55,CB1197&lt;Driver!$G$55)</f>
        <v>0</v>
      </c>
      <c r="H1197" s="43" t="b">
        <f t="shared" si="666"/>
        <v>0</v>
      </c>
      <c r="I1197" s="43">
        <f t="shared" si="667"/>
        <v>0</v>
      </c>
      <c r="J1197" s="43" t="b">
        <f t="array" ref="J1197">NOT(OR(($H$9:$H$1273=TRUE)*($I$9:$I$1273&gt;0)*($BT$9:$BT$1273=BT1197)*($K$9:$K$1273&gt;K1197)))</f>
        <v>1</v>
      </c>
      <c r="K1197" s="72">
        <f t="shared" si="668"/>
        <v>0.67924075655989902</v>
      </c>
      <c r="L1197" s="72">
        <f t="shared" si="669"/>
        <v>0.7733367908623322</v>
      </c>
      <c r="M1197" s="72">
        <f t="shared" si="670"/>
        <v>0.58514472225746572</v>
      </c>
      <c r="N1197" s="72">
        <f t="shared" si="671"/>
        <v>0.31986268308321875</v>
      </c>
      <c r="O1197" s="72">
        <f t="shared" si="672"/>
        <v>0.59609880643262203</v>
      </c>
      <c r="P1197" s="72">
        <f t="shared" si="673"/>
        <v>0.83947267725655661</v>
      </c>
      <c r="Q1197" s="72"/>
      <c r="R1197" s="72"/>
      <c r="S1197" s="72">
        <f t="shared" si="674"/>
        <v>0.62705271964234299</v>
      </c>
      <c r="T1197" s="72">
        <f t="shared" si="675"/>
        <v>0.55000000000000004</v>
      </c>
      <c r="U1197" s="72">
        <f t="shared" si="676"/>
        <v>0.51</v>
      </c>
      <c r="V1197" s="72">
        <f t="shared" si="677"/>
        <v>0.49027334601621464</v>
      </c>
      <c r="W1197" s="72">
        <f t="shared" si="678"/>
        <v>0.75316180855822279</v>
      </c>
      <c r="X1197" s="72">
        <f t="shared" si="679"/>
        <v>0.2266632091376678</v>
      </c>
      <c r="Y1197" s="72">
        <f t="shared" si="680"/>
        <v>0.41485527774253422</v>
      </c>
      <c r="Z1197" s="72">
        <f t="shared" si="681"/>
        <v>0.68013731691678125</v>
      </c>
      <c r="AA1197" s="72">
        <f t="shared" si="682"/>
        <v>0.40390119356737797</v>
      </c>
      <c r="AB1197" s="72">
        <f t="shared" si="683"/>
        <v>0.16052732274344339</v>
      </c>
      <c r="AC1197" s="72"/>
      <c r="AD1197" s="72"/>
      <c r="AE1197" s="72">
        <f t="shared" si="684"/>
        <v>0.37294728035765706</v>
      </c>
      <c r="AF1197" s="72">
        <f t="shared" si="685"/>
        <v>0.44999999999999996</v>
      </c>
      <c r="AG1197" s="72">
        <f t="shared" si="686"/>
        <v>0.49</v>
      </c>
      <c r="AH1197" s="72">
        <f t="shared" si="687"/>
        <v>0.50972665398378536</v>
      </c>
      <c r="AI1197" s="72">
        <f t="shared" si="688"/>
        <v>0.24683819144177724</v>
      </c>
      <c r="AJ1197" s="72">
        <f>(AV1197-Driver!$K$179)/(Driver!$L$179-Driver!$K$179)</f>
        <v>2.7556200145032628E-2</v>
      </c>
      <c r="AK1197" s="72">
        <f>(AW1197-Driver!$K$180)/(Driver!$L$180-Driver!$K$180)</f>
        <v>0.45165182555646699</v>
      </c>
      <c r="AL1197" s="72">
        <f>(AX1197-Driver!$K$181)/(Driver!$L$181-Driver!$K$181)</f>
        <v>0.78182508062986145</v>
      </c>
      <c r="AM1197" s="72">
        <f>(AY1197-Driver!$K$182)/(Driver!$L$182-Driver!$K$182)</f>
        <v>4.3483827529668367E-2</v>
      </c>
      <c r="AN1197" s="72">
        <f>(AZ1197-Driver!$K$183)/(Driver!$L$183-Driver!$K$183)</f>
        <v>0.41474673202614382</v>
      </c>
      <c r="AO1197" s="72"/>
      <c r="AP1197" s="72"/>
      <c r="AQ1197" s="72">
        <f>(BC1197-Driver!$K$188)/(Driver!$L$188-Driver!$K$188)</f>
        <v>0.24705271964234293</v>
      </c>
      <c r="AR1197" s="72">
        <f>MIN((BD1197-Driver!$K$189)/(Driver!$L$189-Driver!$K$189),100%)</f>
        <v>1</v>
      </c>
      <c r="AS1197" s="72">
        <f>(BE1197-Driver!$K$190)/(Driver!$L$190-Driver!$K$190)</f>
        <v>1</v>
      </c>
      <c r="AT1197" s="72">
        <f>(BF1197-Driver!$K$191)/(Driver!$L$191-Driver!$K$191)</f>
        <v>2.7334601621464149E-4</v>
      </c>
      <c r="AU1197" s="72">
        <f>(BG1197-Driver!$K$192)/(Driver!$L$192-Driver!$K$192)</f>
        <v>3.1618085582227526E-3</v>
      </c>
      <c r="AV1197" s="70">
        <f t="shared" si="689"/>
        <v>0.57997557997557991</v>
      </c>
      <c r="AW1197" s="70">
        <f t="shared" si="690"/>
        <v>45.889365064231725</v>
      </c>
      <c r="AX1197" s="70">
        <f t="shared" si="691"/>
        <v>8.036425725668753</v>
      </c>
      <c r="AY1197" s="70">
        <f>IFERROR(Driver!$K$19/Data!BH1197/Data!BI1197*Data!BK1197*Data!BL1197,"")</f>
        <v>5.3237179218217606E-2</v>
      </c>
      <c r="AZ1197" s="70">
        <f t="shared" si="692"/>
        <v>37.799702159344754</v>
      </c>
      <c r="BA1197" s="70"/>
      <c r="BB1197" s="70"/>
      <c r="BC1197" s="70">
        <f t="shared" si="693"/>
        <v>128.14796316112651</v>
      </c>
      <c r="BD1197" s="70">
        <f t="shared" si="694"/>
        <v>290.85114993295656</v>
      </c>
      <c r="BE1197" s="70">
        <f t="shared" si="695"/>
        <v>1</v>
      </c>
      <c r="BF1197" s="70">
        <f t="shared" si="696"/>
        <v>3.0872512166994798E-2</v>
      </c>
      <c r="BG1197" s="70">
        <f t="shared" si="697"/>
        <v>1.1972624217235725E-2</v>
      </c>
      <c r="BH1197" s="67">
        <f>MAX((CE1197-Driver!$F$200)/(Driver!$G$200-Driver!$F$200)*$BI$1,1)</f>
        <v>8.036425725668753</v>
      </c>
      <c r="BI1197" s="67">
        <f>MAX($BI$1*(BY1197-Driver!$F$201)/(Driver!$G$201-Driver!$F$201),1)</f>
        <v>9.0506329113924053</v>
      </c>
      <c r="BJ1197" s="67">
        <f>(CB1197-Driver!$F$206)/(Driver!$G$206-Driver!$F$206)*$BI$1</f>
        <v>0.47619047619047616</v>
      </c>
      <c r="BK1197" s="67">
        <f>(CD1197-Driver!$F$203)/(Driver!$G$203-Driver!$F$203)*$BI$1</f>
        <v>2.3394495412844036</v>
      </c>
      <c r="BL1197" s="67">
        <f>MAX((CR1197-Driver!$F$202)/(Driver!$G$202-Driver!$F$202)*$BI$1,1)</f>
        <v>8.2758620689655178</v>
      </c>
      <c r="BM1197" s="67">
        <f>MAX((CH1197-Driver!$F$204)/(Driver!$G$204-Driver!$F$204)*$BI$1,1)</f>
        <v>4.8717948717948714</v>
      </c>
      <c r="BN1197" s="67">
        <f>(CI1197-Driver!$F$205)/(Driver!$G$205-Driver!$F$205)*$BI$1</f>
        <v>4.1764705882352944</v>
      </c>
      <c r="BO1197" s="67">
        <f>(CK1197-Driver!$F$207)/(Driver!$G$207-Driver!$F$207)*$BI$1</f>
        <v>0.31023784901758011</v>
      </c>
      <c r="BP1197" s="67">
        <f>(CM1197-Driver!$F$208)/(Driver!$G$208-Driver!$F$208)*$BI$1</f>
        <v>0.48888888888888893</v>
      </c>
      <c r="BQ1197" s="67">
        <f>(CL1197-Driver!$F$209)/(Driver!$G$209-Driver!$F$209)*$BI$1</f>
        <v>0.46875</v>
      </c>
      <c r="BR1197" s="28" t="s">
        <v>155</v>
      </c>
      <c r="BS1197" s="8" t="s">
        <v>167</v>
      </c>
      <c r="BT1197" s="9" t="s">
        <v>858</v>
      </c>
      <c r="BU1197" s="10">
        <v>170</v>
      </c>
      <c r="BV1197" s="9" t="s">
        <v>158</v>
      </c>
      <c r="BW1197" s="10">
        <v>170</v>
      </c>
      <c r="BX1197" s="10">
        <v>169.3</v>
      </c>
      <c r="BY1197" s="10">
        <v>151</v>
      </c>
      <c r="BZ1197" s="10">
        <v>159</v>
      </c>
      <c r="CA1197" s="10">
        <v>120</v>
      </c>
      <c r="CB1197" s="10">
        <v>67</v>
      </c>
      <c r="CC1197" s="10">
        <v>101</v>
      </c>
      <c r="CD1197" s="10">
        <v>14.5</v>
      </c>
      <c r="CE1197" s="10">
        <v>2312</v>
      </c>
      <c r="CF1197" s="10">
        <v>0.61</v>
      </c>
      <c r="CG1197" s="10">
        <v>1401</v>
      </c>
      <c r="CH1197" s="10">
        <v>215</v>
      </c>
      <c r="CI1197" s="10">
        <v>104</v>
      </c>
      <c r="CJ1197" s="10">
        <v>37</v>
      </c>
      <c r="CK1197" s="10">
        <v>140</v>
      </c>
      <c r="CL1197" s="10">
        <v>3</v>
      </c>
      <c r="CM1197" s="10">
        <v>44</v>
      </c>
      <c r="CN1197" s="10">
        <v>0.08</v>
      </c>
      <c r="CO1197" s="10">
        <v>60</v>
      </c>
      <c r="CP1197" s="10">
        <v>46</v>
      </c>
      <c r="CQ1197" s="10">
        <v>80</v>
      </c>
      <c r="CR1197" s="10">
        <v>13</v>
      </c>
      <c r="CS1197" s="10">
        <v>12.3</v>
      </c>
      <c r="CT1197" s="9" t="s">
        <v>349</v>
      </c>
      <c r="CU1197" s="10"/>
      <c r="CV1197" s="10"/>
      <c r="CW1197" s="10"/>
      <c r="CX1197" t="str">
        <f>INDEX('Data_Price '!AG$2:AG$1266,MATCH(Data!$DN1197,'Data_Price '!$AT$2:$AT$1266,0))</f>
        <v>Skiing Head Worldcup Rebels I. Shape Pro (attack Included) (size 170)</v>
      </c>
      <c r="CY1197" t="str">
        <f>INDEX('Data_Price '!AH$2:AH$1266,MATCH(Data!$DN1197,'Data_Price '!$AT$2:$AT$1266,0))</f>
        <v>eBay - vendiamoperte_italia</v>
      </c>
      <c r="CZ1197">
        <f>INDEX('Data_Price '!AI$2:AI$1266,MATCH(Data!$DN1197,'Data_Price '!$AT$2:$AT$1266,0))</f>
        <v>638.75</v>
      </c>
      <c r="DA1197" t="str">
        <f>INDEX('Data_Price '!AJ$2:AJ$1266,MATCH(Data!$DN1197,'Data_Price '!$AT$2:$AT$1266,0))</f>
        <v>https://tinyurl.com/ya92obe8</v>
      </c>
      <c r="DB1197" t="str">
        <f>INDEX('Data_Price '!AK$2:AK$1266,MATCH(Data!$DN1197,'Data_Price '!$AT$2:$AT$1266,0))</f>
        <v>Head Worldcup Rebels eSPEED Pro Skis 2021</v>
      </c>
      <c r="DC1197" t="str">
        <f>INDEX('Data_Price '!AL$2:AL$1266,MATCH(Data!$DN1197,'Data_Price '!$AT$2:$AT$1266,0))</f>
        <v>Suburban Ski and Bike</v>
      </c>
      <c r="DD1197">
        <f>INDEX('Data_Price '!AM$2:AM$1266,MATCH(Data!$DN1197,'Data_Price '!$AT$2:$AT$1266,0))</f>
        <v>669.99</v>
      </c>
      <c r="DE1197" t="str">
        <f>INDEX('Data_Price '!AN$2:AN$1266,MATCH(Data!$DN1197,'Data_Price '!$AT$2:$AT$1266,0))</f>
        <v>https://tinyurl.com/yayc3y2h</v>
      </c>
      <c r="DF1197" t="str">
        <f>INDEX('Data_Price '!AO$2:AO$1266,MATCH(Data!$DN1197,'Data_Price '!$AT$2:$AT$1266,0))</f>
        <v>Head Worldcup Rebels eSPEED Pro Skis 2021</v>
      </c>
      <c r="DG1197" t="str">
        <f>INDEX('Data_Price '!AP$2:AP$1266,MATCH(Data!$DN1197,'Data_Price '!$AT$2:$AT$1266,0))</f>
        <v>Powder7 Ski Shop</v>
      </c>
      <c r="DH1197">
        <f>INDEX('Data_Price '!AQ$2:AQ$1266,MATCH(Data!$DN1197,'Data_Price '!$AT$2:$AT$1266,0))</f>
        <v>899</v>
      </c>
      <c r="DI1197" t="str">
        <f>INDEX('Data_Price '!AR$2:AR$1266,MATCH(Data!$DN1197,'Data_Price '!$AT$2:$AT$1266,0))</f>
        <v>https://tinyurl.com/y8vbozoq</v>
      </c>
      <c r="DJ1197" s="89" t="str">
        <f t="shared" si="698"/>
        <v>https://tinyurl.com/ya92obe8</v>
      </c>
      <c r="DK1197" s="89" t="str">
        <f t="shared" si="699"/>
        <v>https://tinyurl.com/yayc3y2h</v>
      </c>
      <c r="DL1197" s="89" t="str">
        <f t="shared" si="700"/>
        <v>https://tinyurl.com/y8vbozoq</v>
      </c>
      <c r="DM1197" s="219" t="str">
        <f t="shared" si="701"/>
        <v>Worldcup Rebels e-Race Pro</v>
      </c>
      <c r="DN1197" s="89" t="str">
        <f t="shared" si="702"/>
        <v xml:space="preserve"> HeadWorldcup Rebels e-Race Pro170 Unisex</v>
      </c>
      <c r="DO1197" s="221"/>
    </row>
    <row r="1198" spans="2:119" ht="15.6" customHeight="1">
      <c r="B1198" s="219" t="b">
        <f t="array" ref="B1198">IF(OR(ISERROR(K1198:P1198)),FALSE,TRUE)</f>
        <v>1</v>
      </c>
      <c r="C1198" s="43" t="b">
        <f>OR(BR1198=Driver!$G$50,Data!BR324=Driver!$H$50)</f>
        <v>1</v>
      </c>
      <c r="D1198" s="43" t="b">
        <f>OR(BV1198=Driver!$G$51,BV1198=Driver!$H$51)</f>
        <v>1</v>
      </c>
      <c r="E1198" s="43" t="b">
        <f>AND(BX1198&gt;Driver!$F$54,BX1198&lt;Driver!$G$54)</f>
        <v>1</v>
      </c>
      <c r="F1198" s="43" t="b">
        <f>CL1198&gt;Driver!$F$56</f>
        <v>1</v>
      </c>
      <c r="G1198" s="43" t="b">
        <f>AND(CB1198&gt;Driver!$F$55,CB1198&lt;Driver!$G$55)</f>
        <v>0</v>
      </c>
      <c r="H1198" s="43" t="b">
        <f t="shared" si="666"/>
        <v>0</v>
      </c>
      <c r="I1198" s="43">
        <f t="shared" si="667"/>
        <v>0</v>
      </c>
      <c r="J1198" s="43" t="b">
        <f t="array" ref="J1198">NOT(OR(($H$9:$H$1273=TRUE)*($I$9:$I$1273&gt;0)*($BT$9:$BT$1273=BT1198)*($K$9:$K$1273&gt;K1198)))</f>
        <v>1</v>
      </c>
      <c r="K1198" s="72">
        <f t="shared" si="668"/>
        <v>0.86620254501817784</v>
      </c>
      <c r="L1198" s="72">
        <f t="shared" si="669"/>
        <v>0.8422272912249138</v>
      </c>
      <c r="M1198" s="72">
        <f t="shared" si="670"/>
        <v>0.89017779881144199</v>
      </c>
      <c r="N1198" s="72">
        <f t="shared" si="671"/>
        <v>0.89831223628691981</v>
      </c>
      <c r="O1198" s="72">
        <f t="shared" si="672"/>
        <v>0.91663664786147914</v>
      </c>
      <c r="P1198" s="72">
        <f t="shared" si="673"/>
        <v>0.85558451228592702</v>
      </c>
      <c r="Q1198" s="72"/>
      <c r="R1198" s="72"/>
      <c r="S1198" s="72">
        <f t="shared" si="674"/>
        <v>0.43299946765255037</v>
      </c>
      <c r="T1198" s="72">
        <f t="shared" si="675"/>
        <v>0.4407630397704474</v>
      </c>
      <c r="U1198" s="72">
        <f t="shared" si="676"/>
        <v>0.51</v>
      </c>
      <c r="V1198" s="72">
        <f t="shared" si="677"/>
        <v>0.50474085295308557</v>
      </c>
      <c r="W1198" s="72">
        <f t="shared" si="678"/>
        <v>0.90326449304821532</v>
      </c>
      <c r="X1198" s="72">
        <f t="shared" si="679"/>
        <v>0.15777270877508623</v>
      </c>
      <c r="Y1198" s="72">
        <f t="shared" si="680"/>
        <v>0.10982220118855801</v>
      </c>
      <c r="Z1198" s="72">
        <f t="shared" si="681"/>
        <v>0.10168776371308018</v>
      </c>
      <c r="AA1198" s="72">
        <f t="shared" si="682"/>
        <v>8.3363352138520863E-2</v>
      </c>
      <c r="AB1198" s="72">
        <f t="shared" si="683"/>
        <v>0.144415487714073</v>
      </c>
      <c r="AC1198" s="72"/>
      <c r="AD1198" s="72"/>
      <c r="AE1198" s="72">
        <f t="shared" si="684"/>
        <v>0.56700053234744963</v>
      </c>
      <c r="AF1198" s="72">
        <f t="shared" si="685"/>
        <v>0.5592369602295526</v>
      </c>
      <c r="AG1198" s="72">
        <f t="shared" si="686"/>
        <v>0.49</v>
      </c>
      <c r="AH1198" s="72">
        <f t="shared" si="687"/>
        <v>0.49525914704691443</v>
      </c>
      <c r="AI1198" s="72">
        <f t="shared" si="688"/>
        <v>9.6735506951784705E-2</v>
      </c>
      <c r="AJ1198" s="72">
        <f>(AV1198-Driver!$K$179)/(Driver!$L$179-Driver!$K$179)</f>
        <v>9.6446700507614197E-2</v>
      </c>
      <c r="AK1198" s="72">
        <f>(AW1198-Driver!$K$180)/(Driver!$L$180-Driver!$K$180)</f>
        <v>0.10040490596019828</v>
      </c>
      <c r="AL1198" s="72">
        <f>(AX1198-Driver!$K$181)/(Driver!$L$181-Driver!$K$181)</f>
        <v>0</v>
      </c>
      <c r="AM1198" s="72">
        <f>(AY1198-Driver!$K$182)/(Driver!$L$182-Driver!$K$182)</f>
        <v>0.53074837323556723</v>
      </c>
      <c r="AN1198" s="72">
        <f>(AZ1198-Driver!$K$183)/(Driver!$L$183-Driver!$K$183)</f>
        <v>0.10980392156862742</v>
      </c>
      <c r="AO1198" s="72"/>
      <c r="AP1198" s="72"/>
      <c r="AQ1198" s="72">
        <f>(BC1198-Driver!$K$188)/(Driver!$L$188-Driver!$K$188)</f>
        <v>5.2999467652550342E-2</v>
      </c>
      <c r="AR1198" s="72">
        <f>MIN((BD1198-Driver!$K$189)/(Driver!$L$189-Driver!$K$189),100%)</f>
        <v>-9.2369602295525148E-3</v>
      </c>
      <c r="AS1198" s="72">
        <f>(BE1198-Driver!$K$190)/(Driver!$L$190-Driver!$K$190)</f>
        <v>1</v>
      </c>
      <c r="AT1198" s="72">
        <f>(BF1198-Driver!$K$191)/(Driver!$L$191-Driver!$K$191)</f>
        <v>1.4740852953085554E-2</v>
      </c>
      <c r="AU1198" s="72">
        <f>(BG1198-Driver!$K$192)/(Driver!$L$192-Driver!$K$192)</f>
        <v>0.15326449304821529</v>
      </c>
      <c r="AV1198" s="70">
        <f t="shared" si="689"/>
        <v>2.0299145299145298</v>
      </c>
      <c r="AW1198" s="70">
        <f t="shared" si="690"/>
        <v>11.657240385251844</v>
      </c>
      <c r="AX1198" s="70">
        <f t="shared" si="691"/>
        <v>1</v>
      </c>
      <c r="AY1198" s="70">
        <f>IFERROR(Driver!$K$19/Data!BH1198/Data!BI1198*Data!BK1198*Data!BL1198,"")</f>
        <v>0.64979436887061059</v>
      </c>
      <c r="AZ1198" s="70">
        <f t="shared" si="692"/>
        <v>10.007446016381234</v>
      </c>
      <c r="BA1198" s="70"/>
      <c r="BB1198" s="70"/>
      <c r="BC1198" s="70">
        <f t="shared" si="693"/>
        <v>27.491192317699465</v>
      </c>
      <c r="BD1198" s="70">
        <f t="shared" si="694"/>
        <v>0.90336827070737424</v>
      </c>
      <c r="BE1198" s="70">
        <f t="shared" si="695"/>
        <v>1</v>
      </c>
      <c r="BF1198" s="70">
        <f t="shared" si="696"/>
        <v>1.6648757806979104</v>
      </c>
      <c r="BG1198" s="70">
        <f t="shared" si="697"/>
        <v>0.5803571428571429</v>
      </c>
      <c r="BH1198" s="67">
        <f>MAX((CE1198-Driver!$F$200)/(Driver!$G$200-Driver!$F$200)*$BI$1,1)</f>
        <v>1</v>
      </c>
      <c r="BI1198" s="67">
        <f>MAX($BI$1*(BY1198-Driver!$F$201)/(Driver!$G$201-Driver!$F$201),1)</f>
        <v>7.0886075949367084</v>
      </c>
      <c r="BJ1198" s="67">
        <f>(CB1198-Driver!$F$206)/(Driver!$G$206-Driver!$F$206)*$BI$1</f>
        <v>3.0158730158730158</v>
      </c>
      <c r="BK1198" s="67">
        <f>(CD1198-Driver!$F$203)/(Driver!$G$203-Driver!$F$203)*$BI$1</f>
        <v>4.7706422018348631</v>
      </c>
      <c r="BL1198" s="67">
        <f>MAX((CR1198-Driver!$F$202)/(Driver!$G$202-Driver!$F$202)*$BI$1,1)</f>
        <v>4.8275862068965516</v>
      </c>
      <c r="BM1198" s="67">
        <f>MAX((CH1198-Driver!$F$204)/(Driver!$G$204-Driver!$F$204)*$BI$1,1)</f>
        <v>2.6923076923076921</v>
      </c>
      <c r="BN1198" s="67">
        <f>(CI1198-Driver!$F$205)/(Driver!$G$205-Driver!$F$205)*$BI$1</f>
        <v>1.4117647058823528</v>
      </c>
      <c r="BO1198" s="67">
        <f>(CK1198-Driver!$F$207)/(Driver!$G$207-Driver!$F$207)*$BI$1</f>
        <v>1.2409513960703205</v>
      </c>
      <c r="BP1198" s="67">
        <f>(CM1198-Driver!$F$208)/(Driver!$G$208-Driver!$F$208)*$BI$1</f>
        <v>2.1222222222222222</v>
      </c>
      <c r="BQ1198" s="67">
        <f>(CL1198-Driver!$F$209)/(Driver!$G$209-Driver!$F$209)*$BI$1</f>
        <v>1.5625</v>
      </c>
      <c r="BR1198" s="28" t="s">
        <v>155</v>
      </c>
      <c r="BS1198" s="8" t="s">
        <v>317</v>
      </c>
      <c r="BT1198" s="9" t="s">
        <v>680</v>
      </c>
      <c r="BU1198" s="10">
        <v>164</v>
      </c>
      <c r="BV1198" s="9" t="s">
        <v>158</v>
      </c>
      <c r="BW1198" s="10">
        <v>164</v>
      </c>
      <c r="BX1198" s="10">
        <v>161.9</v>
      </c>
      <c r="BY1198" s="10">
        <v>120</v>
      </c>
      <c r="BZ1198" s="10">
        <v>135</v>
      </c>
      <c r="CA1198" s="10">
        <v>114</v>
      </c>
      <c r="CB1198" s="10">
        <v>83</v>
      </c>
      <c r="CC1198" s="10">
        <v>98</v>
      </c>
      <c r="CD1198" s="10">
        <v>19.8</v>
      </c>
      <c r="CE1198" s="10">
        <v>1014</v>
      </c>
      <c r="CF1198" s="10">
        <v>1.46</v>
      </c>
      <c r="CG1198" s="10">
        <v>1484</v>
      </c>
      <c r="CH1198" s="10">
        <v>164</v>
      </c>
      <c r="CI1198" s="10">
        <v>57</v>
      </c>
      <c r="CJ1198" s="10">
        <v>57</v>
      </c>
      <c r="CK1198" s="10">
        <v>230</v>
      </c>
      <c r="CL1198" s="10">
        <v>10</v>
      </c>
      <c r="CM1198" s="10">
        <v>191</v>
      </c>
      <c r="CN1198" s="10">
        <v>0.17</v>
      </c>
      <c r="CO1198" s="10">
        <v>139</v>
      </c>
      <c r="CP1198" s="10">
        <v>127</v>
      </c>
      <c r="CQ1198" s="10">
        <v>91</v>
      </c>
      <c r="CR1198" s="10">
        <v>3</v>
      </c>
      <c r="CS1198" s="10">
        <v>10.6</v>
      </c>
      <c r="CT1198" s="9" t="s">
        <v>185</v>
      </c>
      <c r="CU1198" s="9" t="s">
        <v>198</v>
      </c>
      <c r="CV1198" s="10"/>
      <c r="CW1198" s="10"/>
      <c r="CX1198" t="str">
        <f>INDEX('Data_Price '!AG$2:AG$1266,MATCH(Data!$DN1198,'Data_Price '!$AT$2:$AT$1266,0))</f>
        <v>Blizzard Zero G 85 Ski - 164cm, Grey</v>
      </c>
      <c r="CY1198" t="str">
        <f>INDEX('Data_Price '!AH$2:AH$1266,MATCH(Data!$DN1198,'Data_Price '!$AT$2:$AT$1266,0))</f>
        <v>Backcountry.com</v>
      </c>
      <c r="CZ1198">
        <f>INDEX('Data_Price '!AI$2:AI$1266,MATCH(Data!$DN1198,'Data_Price '!$AT$2:$AT$1266,0))</f>
        <v>479.96</v>
      </c>
      <c r="DA1198" t="str">
        <f>INDEX('Data_Price '!AJ$2:AJ$1266,MATCH(Data!$DN1198,'Data_Price '!$AT$2:$AT$1266,0))</f>
        <v>https://tinyurl.com/y9nsg67l</v>
      </c>
      <c r="DB1198" t="str">
        <f>INDEX('Data_Price '!AK$2:AK$1266,MATCH(Data!$DN1198,'Data_Price '!$AT$2:$AT$1266,0))</f>
        <v>Blizzard Zero G 85 Ski - 164cm, Grey</v>
      </c>
      <c r="DC1198" t="str">
        <f>INDEX('Data_Price '!AL$2:AL$1266,MATCH(Data!$DN1198,'Data_Price '!$AT$2:$AT$1266,0))</f>
        <v>Skimo &amp; SkyRun</v>
      </c>
      <c r="DD1198">
        <f>INDEX('Data_Price '!AM$2:AM$1266,MATCH(Data!$DN1198,'Data_Price '!$AT$2:$AT$1266,0))</f>
        <v>479.96</v>
      </c>
      <c r="DE1198" t="str">
        <f>INDEX('Data_Price '!AN$2:AN$1266,MATCH(Data!$DN1198,'Data_Price '!$AT$2:$AT$1266,0))</f>
        <v>https://tinyurl.com/y8pwtuqo</v>
      </c>
      <c r="DF1198" t="str">
        <f>INDEX('Data_Price '!AO$2:AO$1266,MATCH(Data!$DN1198,'Data_Price '!$AT$2:$AT$1266,0))</f>
        <v>Blizzard Zero G 85 Ski - 164cm, Grey</v>
      </c>
      <c r="DG1198" t="str">
        <f>INDEX('Data_Price '!AP$2:AP$1266,MATCH(Data!$DN1198,'Data_Price '!$AT$2:$AT$1266,0))</f>
        <v>Steep &amp; Cheap</v>
      </c>
      <c r="DH1198">
        <f>INDEX('Data_Price '!AQ$2:AQ$1266,MATCH(Data!$DN1198,'Data_Price '!$AT$2:$AT$1266,0))</f>
        <v>479.96</v>
      </c>
      <c r="DI1198" t="str">
        <f>INDEX('Data_Price '!AR$2:AR$1266,MATCH(Data!$DN1198,'Data_Price '!$AT$2:$AT$1266,0))</f>
        <v>https://tinyurl.com/yccafojz</v>
      </c>
      <c r="DJ1198" s="89" t="str">
        <f t="shared" si="698"/>
        <v>https://tinyurl.com/y9nsg67l</v>
      </c>
      <c r="DK1198" s="89" t="str">
        <f t="shared" si="699"/>
        <v>https://tinyurl.com/y8pwtuqo</v>
      </c>
      <c r="DL1198" s="89" t="str">
        <f t="shared" si="700"/>
        <v>https://tinyurl.com/yccafojz</v>
      </c>
      <c r="DM1198" s="219" t="str">
        <f t="shared" si="701"/>
        <v>Zero G 85</v>
      </c>
      <c r="DN1198" s="89" t="str">
        <f t="shared" si="702"/>
        <v xml:space="preserve"> BlizzardZero G 85164 Unisex</v>
      </c>
      <c r="DO1198" s="221"/>
    </row>
    <row r="1199" spans="2:119" ht="15.6" customHeight="1">
      <c r="B1199" s="219" t="b">
        <f t="array" ref="B1199">IF(OR(ISERROR(K1199:P1199)),FALSE,TRUE)</f>
        <v>1</v>
      </c>
      <c r="C1199" s="43" t="b">
        <f>OR(BR1199=Driver!$G$50,Data!BR158=Driver!$H$50)</f>
        <v>1</v>
      </c>
      <c r="D1199" s="43" t="b">
        <f>OR(BV1199=Driver!$G$51,BV1199=Driver!$H$51)</f>
        <v>1</v>
      </c>
      <c r="E1199" s="43" t="b">
        <f>AND(BX1199&gt;Driver!$F$54,BX1199&lt;Driver!$G$54)</f>
        <v>0</v>
      </c>
      <c r="F1199" s="43" t="b">
        <f>CL1199&gt;Driver!$F$56</f>
        <v>1</v>
      </c>
      <c r="G1199" s="43" t="b">
        <f>AND(CB1199&gt;Driver!$F$55,CB1199&lt;Driver!$G$55)</f>
        <v>0</v>
      </c>
      <c r="H1199" s="43" t="b">
        <f t="shared" si="666"/>
        <v>0</v>
      </c>
      <c r="I1199" s="43">
        <f t="shared" si="667"/>
        <v>0</v>
      </c>
      <c r="J1199" s="43" t="b">
        <f t="array" ref="J1199">NOT(OR(($H$9:$H$1273=TRUE)*($I$9:$I$1273&gt;0)*($BT$9:$BT$1273=BT1199)*($K$9:$K$1273&gt;K1199)))</f>
        <v>1</v>
      </c>
      <c r="K1199" s="72">
        <f t="shared" si="668"/>
        <v>0.70021803618152223</v>
      </c>
      <c r="L1199" s="72">
        <f t="shared" si="669"/>
        <v>0.77851237520003203</v>
      </c>
      <c r="M1199" s="72">
        <f t="shared" si="670"/>
        <v>0.62192369716301243</v>
      </c>
      <c r="N1199" s="72">
        <f t="shared" si="671"/>
        <v>0.63732300054353619</v>
      </c>
      <c r="O1199" s="72">
        <f t="shared" si="672"/>
        <v>0.68337900846018595</v>
      </c>
      <c r="P1199" s="72">
        <f t="shared" si="673"/>
        <v>0.54506908248531483</v>
      </c>
      <c r="Q1199" s="72"/>
      <c r="R1199" s="72"/>
      <c r="S1199" s="72">
        <f t="shared" si="674"/>
        <v>0.66931406339126209</v>
      </c>
      <c r="T1199" s="72">
        <f t="shared" si="675"/>
        <v>0.50636469864714817</v>
      </c>
      <c r="U1199" s="72">
        <f t="shared" si="676"/>
        <v>0.58038976576526247</v>
      </c>
      <c r="V1199" s="72">
        <f t="shared" si="677"/>
        <v>0.54138034340666397</v>
      </c>
      <c r="W1199" s="72">
        <f t="shared" si="678"/>
        <v>0.77159843205574918</v>
      </c>
      <c r="X1199" s="72">
        <f t="shared" si="679"/>
        <v>0.22148762479996803</v>
      </c>
      <c r="Y1199" s="72">
        <f t="shared" si="680"/>
        <v>0.37807630283698762</v>
      </c>
      <c r="Z1199" s="72">
        <f t="shared" si="681"/>
        <v>0.36267699945646381</v>
      </c>
      <c r="AA1199" s="72">
        <f t="shared" si="682"/>
        <v>0.31662099153981405</v>
      </c>
      <c r="AB1199" s="72">
        <f t="shared" si="683"/>
        <v>0.45493091751468512</v>
      </c>
      <c r="AC1199" s="72"/>
      <c r="AD1199" s="72"/>
      <c r="AE1199" s="72">
        <f t="shared" si="684"/>
        <v>0.33068593660873791</v>
      </c>
      <c r="AF1199" s="72">
        <f t="shared" si="685"/>
        <v>0.49363530135285183</v>
      </c>
      <c r="AG1199" s="72">
        <f t="shared" si="686"/>
        <v>0.41961023423473753</v>
      </c>
      <c r="AH1199" s="72">
        <f t="shared" si="687"/>
        <v>0.45861965659333598</v>
      </c>
      <c r="AI1199" s="72">
        <f t="shared" si="688"/>
        <v>0.22840156794425087</v>
      </c>
      <c r="AJ1199" s="72">
        <f>(AV1199-Driver!$K$179)/(Driver!$L$179-Driver!$K$179)</f>
        <v>0.47570703408266846</v>
      </c>
      <c r="AK1199" s="72">
        <f>(AW1199-Driver!$K$180)/(Driver!$L$180-Driver!$K$180)</f>
        <v>0.69874515251607328</v>
      </c>
      <c r="AL1199" s="72">
        <f>(AX1199-Driver!$K$181)/(Driver!$L$181-Driver!$K$181)</f>
        <v>0.464364763169544</v>
      </c>
      <c r="AM1199" s="72">
        <f>(AY1199-Driver!$K$182)/(Driver!$L$182-Driver!$K$182)</f>
        <v>0.13076402955723229</v>
      </c>
      <c r="AN1199" s="72">
        <f>(AZ1199-Driver!$K$183)/(Driver!$L$183-Driver!$K$183)</f>
        <v>0.70915032679738554</v>
      </c>
      <c r="AO1199" s="72"/>
      <c r="AP1199" s="72"/>
      <c r="AQ1199" s="72">
        <f>(BC1199-Driver!$K$188)/(Driver!$L$188-Driver!$K$188)</f>
        <v>0.28931406339126209</v>
      </c>
      <c r="AR1199" s="72">
        <f>MIN((BD1199-Driver!$K$189)/(Driver!$L$189-Driver!$K$189),100%)</f>
        <v>5.6364698647148243E-2</v>
      </c>
      <c r="AS1199" s="72">
        <f>(BE1199-Driver!$K$190)/(Driver!$L$190-Driver!$K$190)</f>
        <v>9.0389765765262461E-2</v>
      </c>
      <c r="AT1199" s="72">
        <f>(BF1199-Driver!$K$191)/(Driver!$L$191-Driver!$K$191)</f>
        <v>5.138034340666401E-2</v>
      </c>
      <c r="AU1199" s="72">
        <f>(BG1199-Driver!$K$192)/(Driver!$L$192-Driver!$K$192)</f>
        <v>2.1598432055749128E-2</v>
      </c>
      <c r="AV1199" s="70">
        <f t="shared" si="689"/>
        <v>10.01221001221001</v>
      </c>
      <c r="AW1199" s="70">
        <f t="shared" si="690"/>
        <v>69.970799246053488</v>
      </c>
      <c r="AX1199" s="70">
        <f t="shared" si="691"/>
        <v>5.1792828685258963</v>
      </c>
      <c r="AY1199" s="70">
        <f>IFERROR(Driver!$K$19/Data!BH1199/Data!BI1199*Data!BK1199*Data!BL1199,"")</f>
        <v>0.16009418839877762</v>
      </c>
      <c r="AZ1199" s="70">
        <f t="shared" si="692"/>
        <v>64.631422189128813</v>
      </c>
      <c r="BA1199" s="70"/>
      <c r="BB1199" s="70"/>
      <c r="BC1199" s="70">
        <f t="shared" si="693"/>
        <v>150.06921595978619</v>
      </c>
      <c r="BD1199" s="70">
        <f t="shared" si="694"/>
        <v>6.7089988420341005</v>
      </c>
      <c r="BE1199" s="70">
        <f t="shared" si="695"/>
        <v>9.0552029992950658E-2</v>
      </c>
      <c r="BF1199" s="70">
        <f t="shared" si="696"/>
        <v>5.8030488204409405</v>
      </c>
      <c r="BG1199" s="70">
        <f t="shared" si="697"/>
        <v>8.1785442073170733E-2</v>
      </c>
      <c r="BH1199" s="67">
        <f>MAX((CE1199-Driver!$F$200)/(Driver!$G$200-Driver!$F$200)*$BI$1,1)</f>
        <v>5.1792828685258963</v>
      </c>
      <c r="BI1199" s="67">
        <f>MAX($BI$1*(BY1199-Driver!$F$201)/(Driver!$G$201-Driver!$F$201),1)</f>
        <v>7.8481012658227849</v>
      </c>
      <c r="BJ1199" s="67">
        <f>(CB1199-Driver!$F$206)/(Driver!$G$206-Driver!$F$206)*$BI$1</f>
        <v>5.7142857142857135</v>
      </c>
      <c r="BK1199" s="67">
        <f>(CD1199-Driver!$F$203)/(Driver!$G$203-Driver!$F$203)*$BI$1</f>
        <v>5.5504587155963305</v>
      </c>
      <c r="BL1199" s="67">
        <f>MAX((CR1199-Driver!$F$202)/(Driver!$G$202-Driver!$F$202)*$BI$1,1)</f>
        <v>5.8620689655172411</v>
      </c>
      <c r="BM1199" s="67">
        <f>MAX((CH1199-Driver!$F$204)/(Driver!$G$204-Driver!$F$204)*$BI$1,1)</f>
        <v>7.0085470085470085</v>
      </c>
      <c r="BN1199" s="67">
        <f>(CI1199-Driver!$F$205)/(Driver!$G$205-Driver!$F$205)*$BI$1</f>
        <v>8.235294117647058</v>
      </c>
      <c r="BO1199" s="67">
        <f>(CK1199-Driver!$F$207)/(Driver!$G$207-Driver!$F$207)*$BI$1</f>
        <v>2.264736297828335</v>
      </c>
      <c r="BP1199" s="67">
        <f>(CM1199-Driver!$F$208)/(Driver!$G$208-Driver!$F$208)*$BI$1</f>
        <v>2.4888888888888889</v>
      </c>
      <c r="BQ1199" s="67">
        <f>(CL1199-Driver!$F$209)/(Driver!$G$209-Driver!$F$209)*$BI$1</f>
        <v>2.96875</v>
      </c>
      <c r="BR1199" s="28" t="s">
        <v>155</v>
      </c>
      <c r="BS1199" s="8" t="s">
        <v>156</v>
      </c>
      <c r="BT1199" s="9" t="s">
        <v>718</v>
      </c>
      <c r="BU1199" s="10">
        <v>188</v>
      </c>
      <c r="BV1199" s="9" t="s">
        <v>158</v>
      </c>
      <c r="BW1199" s="10">
        <v>188</v>
      </c>
      <c r="BX1199" s="10">
        <v>187</v>
      </c>
      <c r="BY1199" s="10">
        <v>132</v>
      </c>
      <c r="BZ1199" s="10">
        <v>149</v>
      </c>
      <c r="CA1199" s="10">
        <v>129</v>
      </c>
      <c r="CB1199" s="10">
        <v>100</v>
      </c>
      <c r="CC1199" s="10">
        <v>120</v>
      </c>
      <c r="CD1199" s="10">
        <v>21.5</v>
      </c>
      <c r="CE1199" s="10">
        <v>1810</v>
      </c>
      <c r="CF1199" s="10">
        <v>1.1200000000000001</v>
      </c>
      <c r="CG1199" s="10">
        <v>2023</v>
      </c>
      <c r="CH1199" s="10">
        <v>265</v>
      </c>
      <c r="CI1199" s="10">
        <v>173</v>
      </c>
      <c r="CJ1199" s="10">
        <v>69</v>
      </c>
      <c r="CK1199" s="10">
        <v>329</v>
      </c>
      <c r="CL1199" s="10">
        <v>19</v>
      </c>
      <c r="CM1199" s="10">
        <v>224</v>
      </c>
      <c r="CN1199" s="10">
        <v>0.28100000000000003</v>
      </c>
      <c r="CO1199" s="10">
        <v>212</v>
      </c>
      <c r="CP1199" s="10">
        <v>164</v>
      </c>
      <c r="CQ1199" s="10">
        <v>117</v>
      </c>
      <c r="CR1199" s="10">
        <v>6</v>
      </c>
      <c r="CS1199" s="10">
        <v>10.8</v>
      </c>
      <c r="CT1199" s="9" t="s">
        <v>188</v>
      </c>
      <c r="CU1199" s="9" t="s">
        <v>185</v>
      </c>
      <c r="CV1199" s="10"/>
      <c r="CW1199" s="10"/>
      <c r="CX1199" t="str">
        <f>INDEX('Data_Price '!AG$2:AG$1266,MATCH(Data!$DN1199,'Data_Price '!$AT$2:$AT$1266,0))</f>
        <v>Atomic Maverick 100 Ti Bk/Darkgreen / 188cm</v>
      </c>
      <c r="CY1199" t="str">
        <f>INDEX('Data_Price '!AH$2:AH$1266,MATCH(Data!$DN1199,'Data_Price '!$AT$2:$AT$1266,0))</f>
        <v>Sundance Ski and Board Shop</v>
      </c>
      <c r="CZ1199">
        <f>INDEX('Data_Price '!AI$2:AI$1266,MATCH(Data!$DN1199,'Data_Price '!$AT$2:$AT$1266,0))</f>
        <v>561.01</v>
      </c>
      <c r="DA1199" t="str">
        <f>INDEX('Data_Price '!AJ$2:AJ$1266,MATCH(Data!$DN1199,'Data_Price '!$AT$2:$AT$1266,0))</f>
        <v>https://tinyurl.com/ybd8wlfa</v>
      </c>
      <c r="DB1199" t="str">
        <f>INDEX('Data_Price '!AK$2:AK$1266,MATCH(Data!$DN1199,'Data_Price '!$AT$2:$AT$1266,0))</f>
        <v>Atomic Maverick 100 Ti Skis 2022</v>
      </c>
      <c r="DC1199" t="str">
        <f>INDEX('Data_Price '!AL$2:AL$1266,MATCH(Data!$DN1199,'Data_Price '!$AT$2:$AT$1266,0))</f>
        <v>Backcountry.com</v>
      </c>
      <c r="DD1199">
        <f>INDEX('Data_Price '!AM$2:AM$1266,MATCH(Data!$DN1199,'Data_Price '!$AT$2:$AT$1266,0))</f>
        <v>599.96</v>
      </c>
      <c r="DE1199" t="str">
        <f>INDEX('Data_Price '!AN$2:AN$1266,MATCH(Data!$DN1199,'Data_Price '!$AT$2:$AT$1266,0))</f>
        <v>https://tinyurl.com/y8rryykq</v>
      </c>
      <c r="DF1199" t="str">
        <f>INDEX('Data_Price '!AO$2:AO$1266,MATCH(Data!$DN1199,'Data_Price '!$AT$2:$AT$1266,0))</f>
        <v>Atomic Maverick 100 Ti Skis 2022</v>
      </c>
      <c r="DG1199" t="str">
        <f>INDEX('Data_Price '!AP$2:AP$1266,MATCH(Data!$DN1199,'Data_Price '!$AT$2:$AT$1266,0))</f>
        <v>evo.com</v>
      </c>
      <c r="DH1199">
        <f>INDEX('Data_Price '!AQ$2:AQ$1266,MATCH(Data!$DN1199,'Data_Price '!$AT$2:$AT$1266,0))</f>
        <v>599.98</v>
      </c>
      <c r="DI1199" t="str">
        <f>INDEX('Data_Price '!AR$2:AR$1266,MATCH(Data!$DN1199,'Data_Price '!$AT$2:$AT$1266,0))</f>
        <v>https://tinyurl.com/y8zjspxc</v>
      </c>
      <c r="DJ1199" s="89" t="str">
        <f t="shared" si="698"/>
        <v>https://tinyurl.com/ybd8wlfa</v>
      </c>
      <c r="DK1199" s="89" t="str">
        <f t="shared" si="699"/>
        <v>https://tinyurl.com/y8rryykq</v>
      </c>
      <c r="DL1199" s="89" t="str">
        <f t="shared" si="700"/>
        <v>https://tinyurl.com/y8zjspxc</v>
      </c>
      <c r="DM1199" s="219" t="str">
        <f t="shared" si="701"/>
        <v>Maverick 100 Ti</v>
      </c>
      <c r="DN1199" s="89" t="str">
        <f t="shared" si="702"/>
        <v xml:space="preserve"> AtomicMaverick 100 Ti188 Unisex</v>
      </c>
      <c r="DO1199" s="221" t="s">
        <v>719</v>
      </c>
    </row>
    <row r="1200" spans="2:119" ht="15.6" customHeight="1">
      <c r="B1200" s="219" t="b">
        <f t="array" ref="B1200">IF(OR(ISERROR(K1200:P1200)),FALSE,TRUE)</f>
        <v>1</v>
      </c>
      <c r="C1200" s="43" t="b">
        <f>OR(BR1200=Driver!$G$50,Data!BR178=Driver!$H$50)</f>
        <v>1</v>
      </c>
      <c r="D1200" s="43" t="b">
        <f>OR(BV1200=Driver!$G$51,BV1200=Driver!$H$51)</f>
        <v>1</v>
      </c>
      <c r="E1200" s="43" t="b">
        <f>AND(BX1200&gt;Driver!$F$54,BX1200&lt;Driver!$G$54)</f>
        <v>0</v>
      </c>
      <c r="F1200" s="43" t="b">
        <f>CL1200&gt;Driver!$F$56</f>
        <v>1</v>
      </c>
      <c r="G1200" s="43" t="b">
        <f>AND(CB1200&gt;Driver!$F$55,CB1200&lt;Driver!$G$55)</f>
        <v>0</v>
      </c>
      <c r="H1200" s="43" t="b">
        <f t="shared" si="666"/>
        <v>0</v>
      </c>
      <c r="I1200" s="43">
        <f t="shared" si="667"/>
        <v>0</v>
      </c>
      <c r="J1200" s="43" t="b">
        <f t="array" ref="J1200">NOT(OR(($H$9:$H$1273=TRUE)*($I$9:$I$1273&gt;0)*($BT$9:$BT$1273=BT1200)*($K$9:$K$1273&gt;K1200)))</f>
        <v>1</v>
      </c>
      <c r="K1200" s="72">
        <f t="shared" si="668"/>
        <v>0.68984743530171733</v>
      </c>
      <c r="L1200" s="72">
        <f t="shared" si="669"/>
        <v>0.7803467014255423</v>
      </c>
      <c r="M1200" s="72">
        <f t="shared" si="670"/>
        <v>0.59934816917789235</v>
      </c>
      <c r="N1200" s="72">
        <f t="shared" si="671"/>
        <v>0.44950285256402567</v>
      </c>
      <c r="O1200" s="72">
        <f t="shared" si="672"/>
        <v>0.5908500234647287</v>
      </c>
      <c r="P1200" s="72">
        <f t="shared" si="673"/>
        <v>0.75769163150492269</v>
      </c>
      <c r="Q1200" s="72"/>
      <c r="R1200" s="72"/>
      <c r="S1200" s="72">
        <f t="shared" si="674"/>
        <v>0.61197438464069753</v>
      </c>
      <c r="T1200" s="72">
        <f t="shared" si="675"/>
        <v>0.55000000000000004</v>
      </c>
      <c r="U1200" s="72">
        <f t="shared" si="676"/>
        <v>0.51</v>
      </c>
      <c r="V1200" s="72">
        <f t="shared" si="677"/>
        <v>0.4903751829382782</v>
      </c>
      <c r="W1200" s="72">
        <f t="shared" si="678"/>
        <v>0.75393161105671458</v>
      </c>
      <c r="X1200" s="72">
        <f t="shared" si="679"/>
        <v>0.21965329857445773</v>
      </c>
      <c r="Y1200" s="72">
        <f t="shared" si="680"/>
        <v>0.40065183082210765</v>
      </c>
      <c r="Z1200" s="72">
        <f t="shared" si="681"/>
        <v>0.55049714743597433</v>
      </c>
      <c r="AA1200" s="72">
        <f t="shared" si="682"/>
        <v>0.40914997653527135</v>
      </c>
      <c r="AB1200" s="72">
        <f t="shared" si="683"/>
        <v>0.24230836849507736</v>
      </c>
      <c r="AC1200" s="72"/>
      <c r="AD1200" s="72"/>
      <c r="AE1200" s="72">
        <f t="shared" si="684"/>
        <v>0.38802561535930241</v>
      </c>
      <c r="AF1200" s="72">
        <f t="shared" si="685"/>
        <v>0.44999999999999996</v>
      </c>
      <c r="AG1200" s="72">
        <f t="shared" si="686"/>
        <v>0.49</v>
      </c>
      <c r="AH1200" s="72">
        <f t="shared" si="687"/>
        <v>0.5096248170617218</v>
      </c>
      <c r="AI1200" s="72">
        <f t="shared" si="688"/>
        <v>0.24606838894328539</v>
      </c>
      <c r="AJ1200" s="72">
        <f>(AV1200-Driver!$K$179)/(Driver!$L$179-Driver!$K$179)</f>
        <v>3.4566110708242691E-2</v>
      </c>
      <c r="AK1200" s="72">
        <f>(AW1200-Driver!$K$180)/(Driver!$L$180-Driver!$K$180)</f>
        <v>0.5160920902770354</v>
      </c>
      <c r="AL1200" s="72">
        <f>(AX1200-Driver!$K$181)/(Driver!$L$181-Driver!$K$181)</f>
        <v>0.65218491114905452</v>
      </c>
      <c r="AM1200" s="72">
        <f>(AY1200-Driver!$K$182)/(Driver!$L$182-Driver!$K$182)</f>
        <v>3.8235044561774997E-2</v>
      </c>
      <c r="AN1200" s="72">
        <f>(AZ1200-Driver!$K$183)/(Driver!$L$183-Driver!$K$183)</f>
        <v>0.49652777777777779</v>
      </c>
      <c r="AO1200" s="72"/>
      <c r="AP1200" s="72"/>
      <c r="AQ1200" s="72">
        <f>(BC1200-Driver!$K$188)/(Driver!$L$188-Driver!$K$188)</f>
        <v>0.23197438464069758</v>
      </c>
      <c r="AR1200" s="72">
        <f>MIN((BD1200-Driver!$K$189)/(Driver!$L$189-Driver!$K$189),100%)</f>
        <v>1</v>
      </c>
      <c r="AS1200" s="72">
        <f>(BE1200-Driver!$K$190)/(Driver!$L$190-Driver!$K$190)</f>
        <v>1</v>
      </c>
      <c r="AT1200" s="72">
        <f>(BF1200-Driver!$K$191)/(Driver!$L$191-Driver!$K$191)</f>
        <v>3.7518293827824389E-4</v>
      </c>
      <c r="AU1200" s="72">
        <f>(BG1200-Driver!$K$192)/(Driver!$L$192-Driver!$K$192)</f>
        <v>3.9316110567146189E-3</v>
      </c>
      <c r="AV1200" s="70">
        <f t="shared" si="689"/>
        <v>0.72751322751322756</v>
      </c>
      <c r="AW1200" s="70">
        <f t="shared" si="690"/>
        <v>52.16963986008335</v>
      </c>
      <c r="AX1200" s="70">
        <f t="shared" si="691"/>
        <v>6.8696642003414912</v>
      </c>
      <c r="AY1200" s="70">
        <f>IFERROR(Driver!$K$19/Data!BH1200/Data!BI1200*Data!BK1200*Data!BL1200,"")</f>
        <v>4.6811102779831026E-2</v>
      </c>
      <c r="AZ1200" s="70">
        <f t="shared" si="692"/>
        <v>45.253164556962027</v>
      </c>
      <c r="BA1200" s="70"/>
      <c r="BB1200" s="70"/>
      <c r="BC1200" s="70">
        <f t="shared" si="693"/>
        <v>120.32672597288874</v>
      </c>
      <c r="BD1200" s="70">
        <f t="shared" si="694"/>
        <v>381.06698493382794</v>
      </c>
      <c r="BE1200" s="70">
        <f t="shared" si="695"/>
        <v>1</v>
      </c>
      <c r="BF1200" s="70">
        <f t="shared" si="696"/>
        <v>4.2374277069209834E-2</v>
      </c>
      <c r="BG1200" s="70">
        <f t="shared" si="697"/>
        <v>1.4887587557430141E-2</v>
      </c>
      <c r="BH1200" s="67">
        <f>MAX((CE1200-Driver!$F$200)/(Driver!$G$200-Driver!$F$200)*$BI$1,1)</f>
        <v>6.8696642003414912</v>
      </c>
      <c r="BI1200" s="67">
        <f>MAX($BI$1*(BY1200-Driver!$F$201)/(Driver!$G$201-Driver!$F$201),1)</f>
        <v>9.0506329113924053</v>
      </c>
      <c r="BJ1200" s="67">
        <f>(CB1200-Driver!$F$206)/(Driver!$G$206-Driver!$F$206)*$BI$1</f>
        <v>0.47619047619047616</v>
      </c>
      <c r="BK1200" s="67">
        <f>(CD1200-Driver!$F$203)/(Driver!$G$203-Driver!$F$203)*$BI$1</f>
        <v>1.834862385321101</v>
      </c>
      <c r="BL1200" s="67">
        <f>MAX((CR1200-Driver!$F$202)/(Driver!$G$202-Driver!$F$202)*$BI$1,1)</f>
        <v>7.931034482758621</v>
      </c>
      <c r="BM1200" s="67">
        <f>MAX((CH1200-Driver!$F$204)/(Driver!$G$204-Driver!$F$204)*$BI$1,1)</f>
        <v>6.1111111111111116</v>
      </c>
      <c r="BN1200" s="67">
        <f>(CI1200-Driver!$F$205)/(Driver!$G$205-Driver!$F$205)*$BI$1</f>
        <v>5</v>
      </c>
      <c r="BO1200" s="67">
        <f>(CK1200-Driver!$F$207)/(Driver!$G$207-Driver!$F$207)*$BI$1</f>
        <v>0.29989658738366076</v>
      </c>
      <c r="BP1200" s="67">
        <f>(CM1200-Driver!$F$208)/(Driver!$G$208-Driver!$F$208)*$BI$1</f>
        <v>0.5444444444444444</v>
      </c>
      <c r="BQ1200" s="67">
        <f>(CL1200-Driver!$F$209)/(Driver!$G$209-Driver!$F$209)*$BI$1</f>
        <v>0.625</v>
      </c>
      <c r="BR1200" s="28" t="s">
        <v>155</v>
      </c>
      <c r="BS1200" s="8" t="s">
        <v>156</v>
      </c>
      <c r="BT1200" s="9" t="s">
        <v>762</v>
      </c>
      <c r="BU1200" s="10">
        <v>170</v>
      </c>
      <c r="BV1200" s="9" t="s">
        <v>158</v>
      </c>
      <c r="BW1200" s="10">
        <v>170</v>
      </c>
      <c r="BX1200" s="10">
        <v>169.5</v>
      </c>
      <c r="BY1200" s="10">
        <v>151</v>
      </c>
      <c r="BZ1200" s="10">
        <v>156</v>
      </c>
      <c r="CA1200" s="10">
        <v>118</v>
      </c>
      <c r="CB1200" s="10">
        <v>67</v>
      </c>
      <c r="CC1200" s="10">
        <v>104</v>
      </c>
      <c r="CD1200" s="10">
        <v>13.4</v>
      </c>
      <c r="CE1200" s="10">
        <v>2107</v>
      </c>
      <c r="CF1200" s="10">
        <v>0.67</v>
      </c>
      <c r="CG1200" s="10">
        <v>1418</v>
      </c>
      <c r="CH1200" s="10">
        <v>244</v>
      </c>
      <c r="CI1200" s="10">
        <v>118</v>
      </c>
      <c r="CJ1200" s="10">
        <v>33</v>
      </c>
      <c r="CK1200" s="10">
        <v>139</v>
      </c>
      <c r="CL1200" s="10">
        <v>4</v>
      </c>
      <c r="CM1200" s="10">
        <v>49</v>
      </c>
      <c r="CN1200" s="10">
        <v>0.122</v>
      </c>
      <c r="CO1200" s="10">
        <v>83</v>
      </c>
      <c r="CP1200" s="10">
        <v>54</v>
      </c>
      <c r="CQ1200" s="10">
        <v>56</v>
      </c>
      <c r="CR1200" s="10">
        <v>12</v>
      </c>
      <c r="CS1200" s="10">
        <v>13.4</v>
      </c>
      <c r="CT1200" s="9" t="s">
        <v>349</v>
      </c>
      <c r="CU1200" s="10"/>
      <c r="CV1200" s="10"/>
      <c r="CW1200" s="10"/>
      <c r="CX1200" t="str">
        <f>INDEX('Data_Price '!AG$2:AG$1266,MATCH(Data!$DN1200,'Data_Price '!$AT$2:$AT$1266,0))</f>
        <v>Atomic Redster S9 Revo S Skis + x 12 GW Bindings Â· 170 cm</v>
      </c>
      <c r="CY1200" t="str">
        <f>INDEX('Data_Price '!AH$2:AH$1266,MATCH(Data!$DN1200,'Data_Price '!$AT$2:$AT$1266,0))</f>
        <v>Suburban Ski and Bike</v>
      </c>
      <c r="CZ1200">
        <f>INDEX('Data_Price '!AI$2:AI$1266,MATCH(Data!$DN1200,'Data_Price '!$AT$2:$AT$1266,0))</f>
        <v>999.99</v>
      </c>
      <c r="DA1200" t="str">
        <f>INDEX('Data_Price '!AJ$2:AJ$1266,MATCH(Data!$DN1200,'Data_Price '!$AT$2:$AT$1266,0))</f>
        <v>https://tinyurl.com/y9s959lt</v>
      </c>
      <c r="DB1200" t="str">
        <f>INDEX('Data_Price '!AK$2:AK$1266,MATCH(Data!$DN1200,'Data_Price '!$AT$2:$AT$1266,0))</f>
        <v>Atomic Redster S9i Skis w Atomic X12 TL GW Demo Bindings  Demo</v>
      </c>
      <c r="DC1200" t="str">
        <f>INDEX('Data_Price '!AL$2:AL$1266,MATCH(Data!$DN1200,'Data_Price '!$AT$2:$AT$1266,0))</f>
        <v>Powder7 Ski Shop</v>
      </c>
      <c r="DD1200">
        <f>INDEX('Data_Price '!AM$2:AM$1266,MATCH(Data!$DN1200,'Data_Price '!$AT$2:$AT$1266,0))</f>
        <v>439.99</v>
      </c>
      <c r="DE1200" t="str">
        <f>INDEX('Data_Price '!AN$2:AN$1266,MATCH(Data!$DN1200,'Data_Price '!$AT$2:$AT$1266,0))</f>
        <v>https://tinyurl.com/y8nz7ey7</v>
      </c>
      <c r="DF1200" t="str">
        <f>INDEX('Data_Price '!AO$2:AO$1266,MATCH(Data!$DN1200,'Data_Price '!$AT$2:$AT$1266,0))</f>
        <v>Atomic Mens Redster XT Skis + XT 10 Bindings 2017 - 170</v>
      </c>
      <c r="DG1200" t="str">
        <f>INDEX('Data_Price '!AP$2:AP$1266,MATCH(Data!$DN1200,'Data_Price '!$AT$2:$AT$1266,0))</f>
        <v>Sun 'N Fun Specialty Sports</v>
      </c>
      <c r="DH1200">
        <f>INDEX('Data_Price '!AQ$2:AQ$1266,MATCH(Data!$DN1200,'Data_Price '!$AT$2:$AT$1266,0))</f>
        <v>499.95</v>
      </c>
      <c r="DI1200" t="str">
        <f>INDEX('Data_Price '!AR$2:AR$1266,MATCH(Data!$DN1200,'Data_Price '!$AT$2:$AT$1266,0))</f>
        <v>https://tinyurl.com/yc856rh3</v>
      </c>
      <c r="DJ1200" s="89" t="str">
        <f t="shared" si="698"/>
        <v>https://tinyurl.com/y9s959lt</v>
      </c>
      <c r="DK1200" s="89" t="str">
        <f t="shared" si="699"/>
        <v>https://tinyurl.com/y8nz7ey7</v>
      </c>
      <c r="DL1200" s="89" t="str">
        <f t="shared" si="700"/>
        <v>https://tinyurl.com/yc856rh3</v>
      </c>
      <c r="DM1200" s="219" t="str">
        <f t="shared" si="701"/>
        <v>Redster S9 Revo</v>
      </c>
      <c r="DN1200" s="89" t="str">
        <f t="shared" si="702"/>
        <v xml:space="preserve"> AtomicRedster S9 Revo170 Unisex</v>
      </c>
      <c r="DO1200" s="221"/>
    </row>
    <row r="1201" spans="2:119" ht="15.6" customHeight="1">
      <c r="B1201" s="219" t="b">
        <f t="array" ref="B1201">IF(OR(ISERROR(K1201:P1201)),FALSE,TRUE)</f>
        <v>1</v>
      </c>
      <c r="C1201" s="43" t="b">
        <f>OR(BR1201=Driver!$G$50,Data!BR902=Driver!$H$50)</f>
        <v>1</v>
      </c>
      <c r="D1201" s="43" t="b">
        <f>OR(BV1201=Driver!$G$51,BV1201=Driver!$H$51)</f>
        <v>1</v>
      </c>
      <c r="E1201" s="43" t="b">
        <f>AND(BX1201&gt;Driver!$F$54,BX1201&lt;Driver!$G$54)</f>
        <v>0</v>
      </c>
      <c r="F1201" s="43" t="b">
        <f>CL1201&gt;Driver!$F$56</f>
        <v>1</v>
      </c>
      <c r="G1201" s="43" t="b">
        <f>AND(CB1201&gt;Driver!$F$55,CB1201&lt;Driver!$G$55)</f>
        <v>1</v>
      </c>
      <c r="H1201" s="43" t="b">
        <f t="shared" si="666"/>
        <v>0</v>
      </c>
      <c r="I1201" s="43">
        <f t="shared" si="667"/>
        <v>0</v>
      </c>
      <c r="J1201" s="43" t="b">
        <f t="array" ref="J1201">NOT(OR(($H$9:$H$1273=TRUE)*($I$9:$I$1273&gt;0)*($BT$9:$BT$1273=BT1201)*($K$9:$K$1273&gt;K1201)))</f>
        <v>1</v>
      </c>
      <c r="K1201" s="72">
        <f t="shared" si="668"/>
        <v>0.7099618228085578</v>
      </c>
      <c r="L1201" s="72">
        <f t="shared" si="669"/>
        <v>0.86263130195855253</v>
      </c>
      <c r="M1201" s="72">
        <f t="shared" si="670"/>
        <v>0.55729234365856306</v>
      </c>
      <c r="N1201" s="72">
        <f t="shared" si="671"/>
        <v>0.33251050449598041</v>
      </c>
      <c r="O1201" s="72">
        <f t="shared" si="672"/>
        <v>0.63955888190289112</v>
      </c>
      <c r="P1201" s="72">
        <f t="shared" si="673"/>
        <v>0.69980764457681799</v>
      </c>
      <c r="Q1201" s="72"/>
      <c r="R1201" s="72"/>
      <c r="S1201" s="72">
        <f t="shared" si="674"/>
        <v>0.53716330457640615</v>
      </c>
      <c r="T1201" s="72">
        <f t="shared" si="675"/>
        <v>0.52769990770749176</v>
      </c>
      <c r="U1201" s="72">
        <f t="shared" si="676"/>
        <v>0.51350415180000875</v>
      </c>
      <c r="V1201" s="72">
        <f t="shared" si="677"/>
        <v>0.58500941797823347</v>
      </c>
      <c r="W1201" s="72">
        <f t="shared" si="678"/>
        <v>0.79401041666666661</v>
      </c>
      <c r="X1201" s="72">
        <f t="shared" si="679"/>
        <v>0.13736869804144752</v>
      </c>
      <c r="Y1201" s="72">
        <f t="shared" si="680"/>
        <v>0.44270765634143688</v>
      </c>
      <c r="Z1201" s="72">
        <f t="shared" si="681"/>
        <v>0.66748949550401959</v>
      </c>
      <c r="AA1201" s="72">
        <f t="shared" si="682"/>
        <v>0.36044111809710888</v>
      </c>
      <c r="AB1201" s="72">
        <f t="shared" si="683"/>
        <v>0.30019235542318196</v>
      </c>
      <c r="AC1201" s="72"/>
      <c r="AD1201" s="72"/>
      <c r="AE1201" s="72">
        <f t="shared" si="684"/>
        <v>0.46283669542359385</v>
      </c>
      <c r="AF1201" s="72">
        <f t="shared" si="685"/>
        <v>0.47230009229250819</v>
      </c>
      <c r="AG1201" s="72">
        <f t="shared" si="686"/>
        <v>0.48649584819999125</v>
      </c>
      <c r="AH1201" s="72">
        <f t="shared" si="687"/>
        <v>0.41499058202176647</v>
      </c>
      <c r="AI1201" s="72">
        <f t="shared" si="688"/>
        <v>0.20598958333333334</v>
      </c>
      <c r="AJ1201" s="72">
        <f>(AV1201-Driver!$K$179)/(Driver!$L$179-Driver!$K$179)</f>
        <v>0.39158810732414795</v>
      </c>
      <c r="AK1201" s="72">
        <f>(AW1201-Driver!$K$180)/(Driver!$L$180-Driver!$K$180)</f>
        <v>0.58163839212874313</v>
      </c>
      <c r="AL1201" s="72">
        <f>(AX1201-Driver!$K$181)/(Driver!$L$181-Driver!$K$181)</f>
        <v>0.76917725921709978</v>
      </c>
      <c r="AM1201" s="72">
        <f>(AY1201-Driver!$K$182)/(Driver!$L$182-Driver!$K$182)</f>
        <v>8.6943902999937497E-2</v>
      </c>
      <c r="AN1201" s="72">
        <f>(AZ1201-Driver!$K$183)/(Driver!$L$183-Driver!$K$183)</f>
        <v>0.55441176470588238</v>
      </c>
      <c r="AO1201" s="72"/>
      <c r="AP1201" s="72"/>
      <c r="AQ1201" s="72">
        <f>(BC1201-Driver!$K$188)/(Driver!$L$188-Driver!$K$188)</f>
        <v>0.15716330457640618</v>
      </c>
      <c r="AR1201" s="72">
        <f>MIN((BD1201-Driver!$K$189)/(Driver!$L$189-Driver!$K$189),100%)</f>
        <v>7.7699907707491842E-2</v>
      </c>
      <c r="AS1201" s="72">
        <f>(BE1201-Driver!$K$190)/(Driver!$L$190-Driver!$K$190)</f>
        <v>2.3504151800008758E-2</v>
      </c>
      <c r="AT1201" s="72">
        <f>(BF1201-Driver!$K$191)/(Driver!$L$191-Driver!$K$191)</f>
        <v>9.5009417978233549E-2</v>
      </c>
      <c r="AU1201" s="72">
        <f>(BG1201-Driver!$K$192)/(Driver!$L$192-Driver!$K$192)</f>
        <v>4.4010416666666656E-2</v>
      </c>
      <c r="AV1201" s="70">
        <f t="shared" si="689"/>
        <v>8.2417582417582427</v>
      </c>
      <c r="AW1201" s="70">
        <f t="shared" si="690"/>
        <v>58.557707774850464</v>
      </c>
      <c r="AX1201" s="70">
        <f t="shared" si="691"/>
        <v>7.9225953329538985</v>
      </c>
      <c r="AY1201" s="70">
        <f>IFERROR(Driver!$K$19/Data!BH1201/Data!BI1201*Data!BK1201*Data!BL1201,"")</f>
        <v>0.10644527882880002</v>
      </c>
      <c r="AZ1201" s="70">
        <f t="shared" si="692"/>
        <v>50.528667163067766</v>
      </c>
      <c r="BA1201" s="70"/>
      <c r="BB1201" s="70"/>
      <c r="BC1201" s="70">
        <f t="shared" si="693"/>
        <v>81.521698665349717</v>
      </c>
      <c r="BD1201" s="70">
        <f t="shared" si="694"/>
        <v>8.5971270401210198</v>
      </c>
      <c r="BE1201" s="70">
        <f t="shared" si="695"/>
        <v>2.3678347668398696E-2</v>
      </c>
      <c r="BF1201" s="70">
        <f t="shared" si="696"/>
        <v>10.730646281703507</v>
      </c>
      <c r="BG1201" s="70">
        <f t="shared" si="697"/>
        <v>0.16665151311063217</v>
      </c>
      <c r="BH1201" s="67">
        <f>MAX((CE1201-Driver!$F$200)/(Driver!$G$200-Driver!$F$200)*$BI$1,1)</f>
        <v>7.9225953329538985</v>
      </c>
      <c r="BI1201" s="67">
        <f>MAX($BI$1*(BY1201-Driver!$F$201)/(Driver!$G$201-Driver!$F$201),1)</f>
        <v>7.4050632911392409</v>
      </c>
      <c r="BJ1201" s="67">
        <f>(CB1201-Driver!$F$206)/(Driver!$G$206-Driver!$F$206)*$BI$1</f>
        <v>7.1428571428571432</v>
      </c>
      <c r="BK1201" s="67">
        <f>(CD1201-Driver!$F$203)/(Driver!$G$203-Driver!$F$203)*$BI$1</f>
        <v>4.3119266055045884</v>
      </c>
      <c r="BL1201" s="67">
        <f>MAX((CR1201-Driver!$F$202)/(Driver!$G$202-Driver!$F$202)*$BI$1,1)</f>
        <v>7.2413793103448274</v>
      </c>
      <c r="BM1201" s="67">
        <f>MAX((CH1201-Driver!$F$204)/(Driver!$G$204-Driver!$F$204)*$BI$1,1)</f>
        <v>4.6153846153846159</v>
      </c>
      <c r="BN1201" s="67">
        <f>(CI1201-Driver!$F$205)/(Driver!$G$205-Driver!$F$205)*$BI$1</f>
        <v>6.8235294117647065</v>
      </c>
      <c r="BO1201" s="67">
        <f>(CK1201-Driver!$F$207)/(Driver!$G$207-Driver!$F$207)*$BI$1</f>
        <v>2.2337125129265769</v>
      </c>
      <c r="BP1201" s="67">
        <f>(CM1201-Driver!$F$208)/(Driver!$G$208-Driver!$F$208)*$BI$1</f>
        <v>2.9</v>
      </c>
      <c r="BQ1201" s="67">
        <f>(CL1201-Driver!$F$209)/(Driver!$G$209-Driver!$F$209)*$BI$1</f>
        <v>6.09375</v>
      </c>
      <c r="BR1201" s="28" t="s">
        <v>155</v>
      </c>
      <c r="BS1201" s="8" t="s">
        <v>332</v>
      </c>
      <c r="BT1201" s="9" t="s">
        <v>809</v>
      </c>
      <c r="BU1201" s="10">
        <v>185</v>
      </c>
      <c r="BV1201" s="9" t="s">
        <v>158</v>
      </c>
      <c r="BW1201" s="10">
        <v>185</v>
      </c>
      <c r="BX1201" s="10">
        <v>184.1</v>
      </c>
      <c r="BY1201" s="10">
        <v>125</v>
      </c>
      <c r="BZ1201" s="10">
        <v>151</v>
      </c>
      <c r="CA1201" s="10">
        <v>140</v>
      </c>
      <c r="CB1201" s="10">
        <v>109</v>
      </c>
      <c r="CC1201" s="10">
        <v>131</v>
      </c>
      <c r="CD1201" s="10">
        <v>18.8</v>
      </c>
      <c r="CE1201" s="10">
        <v>2292</v>
      </c>
      <c r="CF1201" s="10">
        <v>0.96</v>
      </c>
      <c r="CG1201" s="10">
        <v>2194</v>
      </c>
      <c r="CH1201" s="10">
        <v>209</v>
      </c>
      <c r="CI1201" s="10">
        <v>149</v>
      </c>
      <c r="CJ1201" s="10">
        <v>58</v>
      </c>
      <c r="CK1201" s="10">
        <v>326</v>
      </c>
      <c r="CL1201" s="10">
        <v>39</v>
      </c>
      <c r="CM1201" s="10">
        <v>261</v>
      </c>
      <c r="CN1201" s="10">
        <v>0.66</v>
      </c>
      <c r="CO1201" s="10">
        <v>170</v>
      </c>
      <c r="CP1201" s="10">
        <v>161</v>
      </c>
      <c r="CQ1201" s="10">
        <v>157</v>
      </c>
      <c r="CR1201" s="10">
        <v>10</v>
      </c>
      <c r="CS1201" s="10">
        <v>8.8000000000000007</v>
      </c>
      <c r="CT1201" s="9" t="s">
        <v>169</v>
      </c>
      <c r="CU1201" s="10"/>
      <c r="CV1201" s="10"/>
      <c r="CW1201" s="10"/>
      <c r="CX1201" t="str">
        <f>INDEX('Data_Price '!AG$2:AG$1266,MATCH(Data!$DN1201,'Data_Price '!$AT$2:$AT$1266,0))</f>
        <v>2022 Nordica Enforcer 110 Free snow skis 185</v>
      </c>
      <c r="CY1201" t="str">
        <f>INDEX('Data_Price '!AH$2:AH$1266,MATCH(Data!$DN1201,'Data_Price '!$AT$2:$AT$1266,0))</f>
        <v>The Pro Shop</v>
      </c>
      <c r="CZ1201">
        <f>INDEX('Data_Price '!AI$2:AI$1266,MATCH(Data!$DN1201,'Data_Price '!$AT$2:$AT$1266,0))</f>
        <v>799.99</v>
      </c>
      <c r="DA1201" t="str">
        <f>INDEX('Data_Price '!AJ$2:AJ$1266,MATCH(Data!$DN1201,'Data_Price '!$AT$2:$AT$1266,0))</f>
        <v>https://tinyurl.com/yd4vdvoq</v>
      </c>
      <c r="DB1201" t="str">
        <f>INDEX('Data_Price '!AK$2:AK$1266,MATCH(Data!$DN1201,'Data_Price '!$AT$2:$AT$1266,0))</f>
        <v>Nordica Enforcer 93 With Marker Griffon Bindings</v>
      </c>
      <c r="DC1201" t="str">
        <f>INDEX('Data_Price '!AL$2:AL$1266,MATCH(Data!$DN1201,'Data_Price '!$AT$2:$AT$1266,0))</f>
        <v>eBay</v>
      </c>
      <c r="DD1201">
        <f>INDEX('Data_Price '!AM$2:AM$1266,MATCH(Data!$DN1201,'Data_Price '!$AT$2:$AT$1266,0))</f>
        <v>400</v>
      </c>
      <c r="DE1201" t="str">
        <f>INDEX('Data_Price '!AN$2:AN$1266,MATCH(Data!$DN1201,'Data_Price '!$AT$2:$AT$1266,0))</f>
        <v>https://tinyurl.com/yay24pme</v>
      </c>
      <c r="DF1201" t="str">
        <f>INDEX('Data_Price '!AO$2:AO$1266,MATCH(Data!$DN1201,'Data_Price '!$AT$2:$AT$1266,0))</f>
        <v xml:space="preserve"> Nordica Enforcer 93 185 Cm Mens Downhill Ski Combo</v>
      </c>
      <c r="DG1201" t="str">
        <f>INDEX('Data_Price '!AP$2:AP$1266,MATCH(Data!$DN1201,'Data_Price '!$AT$2:$AT$1266,0))</f>
        <v>Play It Again Sports</v>
      </c>
      <c r="DH1201">
        <f>INDEX('Data_Price '!AQ$2:AQ$1266,MATCH(Data!$DN1201,'Data_Price '!$AT$2:$AT$1266,0))</f>
        <v>449.99</v>
      </c>
      <c r="DI1201" t="str">
        <f>INDEX('Data_Price '!AR$2:AR$1266,MATCH(Data!$DN1201,'Data_Price '!$AT$2:$AT$1266,0))</f>
        <v>https://tinyurl.com/ydyh854u</v>
      </c>
      <c r="DJ1201" s="89" t="str">
        <f t="shared" si="698"/>
        <v>https://tinyurl.com/yd4vdvoq</v>
      </c>
      <c r="DK1201" s="89" t="str">
        <f t="shared" si="699"/>
        <v>https://tinyurl.com/yay24pme</v>
      </c>
      <c r="DL1201" s="89" t="str">
        <f t="shared" si="700"/>
        <v>https://tinyurl.com/ydyh854u</v>
      </c>
      <c r="DM1201" s="219" t="str">
        <f t="shared" si="701"/>
        <v>Enforcer 110 Free</v>
      </c>
      <c r="DN1201" s="89" t="str">
        <f t="shared" si="702"/>
        <v xml:space="preserve"> NordicaEnforcer 110 Free185 Unisex</v>
      </c>
      <c r="DO1201" s="221" t="s">
        <v>810</v>
      </c>
    </row>
    <row r="1202" spans="2:119" ht="15.6" customHeight="1">
      <c r="B1202" s="219" t="b">
        <f t="array" ref="B1202">IF(OR(ISERROR(K1202:P1202)),FALSE,TRUE)</f>
        <v>1</v>
      </c>
      <c r="C1202" s="43" t="b">
        <f>OR(BR1202=Driver!$G$50,Data!BR281=Driver!$H$50)</f>
        <v>1</v>
      </c>
      <c r="D1202" s="43" t="b">
        <f>OR(BV1202=Driver!$G$51,BV1202=Driver!$H$51)</f>
        <v>1</v>
      </c>
      <c r="E1202" s="43" t="b">
        <f>AND(BX1202&gt;Driver!$F$54,BX1202&lt;Driver!$G$54)</f>
        <v>1</v>
      </c>
      <c r="F1202" s="43" t="b">
        <f>CL1202&gt;Driver!$F$56</f>
        <v>1</v>
      </c>
      <c r="G1202" s="43" t="b">
        <f>AND(CB1202&gt;Driver!$F$55,CB1202&lt;Driver!$G$55)</f>
        <v>0</v>
      </c>
      <c r="H1202" s="43" t="b">
        <f t="shared" si="666"/>
        <v>0</v>
      </c>
      <c r="I1202" s="43">
        <f t="shared" si="667"/>
        <v>0</v>
      </c>
      <c r="J1202" s="43" t="b">
        <f t="array" ref="J1202">NOT(OR(($H$9:$H$1273=TRUE)*($I$9:$I$1273&gt;0)*($BT$9:$BT$1273=BT1202)*($K$9:$K$1273&gt;K1202)))</f>
        <v>1</v>
      </c>
      <c r="K1202" s="72">
        <f t="shared" si="668"/>
        <v>0.70540135497425083</v>
      </c>
      <c r="L1202" s="72">
        <f t="shared" si="669"/>
        <v>0.82393706481286</v>
      </c>
      <c r="M1202" s="72">
        <f t="shared" si="670"/>
        <v>0.58686564513564177</v>
      </c>
      <c r="N1202" s="72">
        <f t="shared" si="671"/>
        <v>0.45772393648232068</v>
      </c>
      <c r="O1202" s="72">
        <f t="shared" si="672"/>
        <v>0.59767319748504155</v>
      </c>
      <c r="P1202" s="72">
        <f t="shared" si="673"/>
        <v>0.70519980143956329</v>
      </c>
      <c r="Q1202" s="72"/>
      <c r="R1202" s="72"/>
      <c r="S1202" s="72">
        <f t="shared" si="674"/>
        <v>0.55561231873980355</v>
      </c>
      <c r="T1202" s="72">
        <f t="shared" si="675"/>
        <v>0.93630114333593017</v>
      </c>
      <c r="U1202" s="72">
        <f t="shared" si="676"/>
        <v>0.51</v>
      </c>
      <c r="V1202" s="72">
        <f t="shared" si="677"/>
        <v>0.49044849454690731</v>
      </c>
      <c r="W1202" s="72">
        <f t="shared" si="678"/>
        <v>0.75732399108946802</v>
      </c>
      <c r="X1202" s="72">
        <f t="shared" si="679"/>
        <v>0.17606293518714003</v>
      </c>
      <c r="Y1202" s="72">
        <f t="shared" si="680"/>
        <v>0.41313435486435818</v>
      </c>
      <c r="Z1202" s="72">
        <f t="shared" si="681"/>
        <v>0.54227606351767932</v>
      </c>
      <c r="AA1202" s="72">
        <f t="shared" si="682"/>
        <v>0.40232680251495845</v>
      </c>
      <c r="AB1202" s="72">
        <f t="shared" si="683"/>
        <v>0.29480019856043677</v>
      </c>
      <c r="AC1202" s="72"/>
      <c r="AD1202" s="72"/>
      <c r="AE1202" s="72">
        <f t="shared" si="684"/>
        <v>0.44438768126019645</v>
      </c>
      <c r="AF1202" s="72">
        <f t="shared" si="685"/>
        <v>6.3698856664069825E-2</v>
      </c>
      <c r="AG1202" s="72">
        <f t="shared" si="686"/>
        <v>0.49</v>
      </c>
      <c r="AH1202" s="72">
        <f t="shared" si="687"/>
        <v>0.50955150545309269</v>
      </c>
      <c r="AI1202" s="72">
        <f t="shared" si="688"/>
        <v>0.24267600891053204</v>
      </c>
      <c r="AJ1202" s="72">
        <f>(AV1202-Driver!$K$179)/(Driver!$L$179-Driver!$K$179)</f>
        <v>7.8156474095560396E-2</v>
      </c>
      <c r="AK1202" s="72">
        <f>(AW1202-Driver!$K$180)/(Driver!$L$180-Driver!$K$180)</f>
        <v>0.5645066656873966</v>
      </c>
      <c r="AL1202" s="72">
        <f>(AX1202-Driver!$K$181)/(Driver!$L$181-Driver!$K$181)</f>
        <v>0.64396382723075951</v>
      </c>
      <c r="AM1202" s="72">
        <f>(AY1202-Driver!$K$182)/(Driver!$L$182-Driver!$K$182)</f>
        <v>4.5058218582087931E-2</v>
      </c>
      <c r="AN1202" s="72">
        <f>(AZ1202-Driver!$K$183)/(Driver!$L$183-Driver!$K$183)</f>
        <v>0.54901960784313719</v>
      </c>
      <c r="AO1202" s="72"/>
      <c r="AP1202" s="72"/>
      <c r="AQ1202" s="72">
        <f>(BC1202-Driver!$K$188)/(Driver!$L$188-Driver!$K$188)</f>
        <v>0.17561231873980354</v>
      </c>
      <c r="AR1202" s="72">
        <f>MIN((BD1202-Driver!$K$189)/(Driver!$L$189-Driver!$K$189),100%)</f>
        <v>0.61369885666406987</v>
      </c>
      <c r="AS1202" s="72">
        <f>(BE1202-Driver!$K$190)/(Driver!$L$190-Driver!$K$190)</f>
        <v>1</v>
      </c>
      <c r="AT1202" s="72">
        <f>(BF1202-Driver!$K$191)/(Driver!$L$191-Driver!$K$191)</f>
        <v>4.4849454690732614E-4</v>
      </c>
      <c r="AU1202" s="72">
        <f>(BG1202-Driver!$K$192)/(Driver!$L$192-Driver!$K$192)</f>
        <v>7.3239910894679575E-3</v>
      </c>
      <c r="AV1202" s="70">
        <f t="shared" si="689"/>
        <v>1.6449599782933118</v>
      </c>
      <c r="AW1202" s="70">
        <f t="shared" si="690"/>
        <v>56.888069230602341</v>
      </c>
      <c r="AX1202" s="70">
        <f t="shared" si="691"/>
        <v>6.7956744450768358</v>
      </c>
      <c r="AY1202" s="70">
        <f>IFERROR(Driver!$K$19/Data!BH1202/Data!BI1202*Data!BK1202*Data!BL1202,"")</f>
        <v>5.5164703619330457E-2</v>
      </c>
      <c r="AZ1202" s="70">
        <f t="shared" si="692"/>
        <v>50.037230081906173</v>
      </c>
      <c r="BA1202" s="70"/>
      <c r="BB1202" s="70"/>
      <c r="BC1202" s="70">
        <f t="shared" si="693"/>
        <v>91.091330567369624</v>
      </c>
      <c r="BD1202" s="70">
        <f t="shared" si="694"/>
        <v>56.032084288839336</v>
      </c>
      <c r="BE1202" s="70">
        <f t="shared" si="695"/>
        <v>1</v>
      </c>
      <c r="BF1202" s="70">
        <f t="shared" si="696"/>
        <v>5.0654308220664641E-2</v>
      </c>
      <c r="BG1202" s="70">
        <f t="shared" si="697"/>
        <v>2.7733302465937935E-2</v>
      </c>
      <c r="BH1202" s="67">
        <f>MAX((CE1202-Driver!$F$200)/(Driver!$G$200-Driver!$F$200)*$BI$1,1)</f>
        <v>6.7956744450768358</v>
      </c>
      <c r="BI1202" s="67">
        <f>MAX($BI$1*(BY1202-Driver!$F$201)/(Driver!$G$201-Driver!$F$201),1)</f>
        <v>8.8607594936708853</v>
      </c>
      <c r="BJ1202" s="67">
        <f>(CB1202-Driver!$F$206)/(Driver!$G$206-Driver!$F$206)*$BI$1</f>
        <v>1.5873015873015872</v>
      </c>
      <c r="BK1202" s="67">
        <f>(CD1202-Driver!$F$203)/(Driver!$G$203-Driver!$F$203)*$BI$1</f>
        <v>2.2935779816513766</v>
      </c>
      <c r="BL1202" s="67">
        <f>MAX((CR1202-Driver!$F$202)/(Driver!$G$202-Driver!$F$202)*$BI$1,1)</f>
        <v>7.2413793103448274</v>
      </c>
      <c r="BM1202" s="67">
        <f>MAX((CH1202-Driver!$F$204)/(Driver!$G$204-Driver!$F$204)*$BI$1,1)</f>
        <v>4.1452991452991457</v>
      </c>
      <c r="BN1202" s="67">
        <f>(CI1202-Driver!$F$205)/(Driver!$G$205-Driver!$F$205)*$BI$1</f>
        <v>5.6470588235294112</v>
      </c>
      <c r="BO1202" s="67">
        <f>(CK1202-Driver!$F$207)/(Driver!$G$207-Driver!$F$207)*$BI$1</f>
        <v>0.13443640124095141</v>
      </c>
      <c r="BP1202" s="67">
        <f>(CM1202-Driver!$F$208)/(Driver!$G$208-Driver!$F$208)*$BI$1</f>
        <v>0.5444444444444444</v>
      </c>
      <c r="BQ1202" s="67">
        <f>(CL1202-Driver!$F$209)/(Driver!$G$209-Driver!$F$209)*$BI$1</f>
        <v>0.78125</v>
      </c>
      <c r="BR1202" s="28" t="s">
        <v>155</v>
      </c>
      <c r="BS1202" s="8" t="s">
        <v>317</v>
      </c>
      <c r="BT1202" s="9" t="s">
        <v>881</v>
      </c>
      <c r="BU1202" s="10">
        <v>166</v>
      </c>
      <c r="BV1202" s="9" t="s">
        <v>158</v>
      </c>
      <c r="BW1202" s="10">
        <v>166</v>
      </c>
      <c r="BX1202" s="10">
        <v>165.2</v>
      </c>
      <c r="BY1202" s="10">
        <v>148</v>
      </c>
      <c r="BZ1202" s="10">
        <v>153</v>
      </c>
      <c r="CA1202" s="10">
        <v>123</v>
      </c>
      <c r="CB1202" s="10">
        <v>74</v>
      </c>
      <c r="CC1202" s="10">
        <v>104</v>
      </c>
      <c r="CD1202" s="10">
        <v>14.4</v>
      </c>
      <c r="CE1202" s="10">
        <v>2094</v>
      </c>
      <c r="CF1202" s="10">
        <v>0.7</v>
      </c>
      <c r="CG1202" s="10">
        <v>1465</v>
      </c>
      <c r="CH1202" s="10">
        <v>198</v>
      </c>
      <c r="CI1202" s="10">
        <v>129</v>
      </c>
      <c r="CJ1202" s="10">
        <v>36</v>
      </c>
      <c r="CK1202" s="10">
        <v>123</v>
      </c>
      <c r="CL1202" s="10">
        <v>5</v>
      </c>
      <c r="CM1202" s="10">
        <v>49</v>
      </c>
      <c r="CN1202" s="10">
        <v>0.14599999999999999</v>
      </c>
      <c r="CO1202" s="10">
        <v>73</v>
      </c>
      <c r="CP1202" s="10">
        <v>51</v>
      </c>
      <c r="CQ1202" s="10">
        <v>50</v>
      </c>
      <c r="CR1202" s="10">
        <v>10</v>
      </c>
      <c r="CS1202" s="10">
        <v>11.2</v>
      </c>
      <c r="CT1202" s="9" t="s">
        <v>349</v>
      </c>
      <c r="CU1202" s="10"/>
      <c r="CV1202" s="10"/>
      <c r="CW1202" s="10"/>
      <c r="CX1202" t="str">
        <f>INDEX('Data_Price '!AG$2:AG$1266,MATCH(Data!$DN1202,'Data_Price '!$AT$2:$AT$1266,0))</f>
        <v>Blizzard Firebird HRC WC Piston Skis Â· 2022 Â· 166 cm</v>
      </c>
      <c r="CY1202" t="str">
        <f>INDEX('Data_Price '!AH$2:AH$1266,MATCH(Data!$DN1202,'Data_Price '!$AT$2:$AT$1266,0))</f>
        <v>Powder7 Ski Shop</v>
      </c>
      <c r="CZ1202">
        <f>INDEX('Data_Price '!AI$2:AI$1266,MATCH(Data!$DN1202,'Data_Price '!$AT$2:$AT$1266,0))</f>
        <v>799.95</v>
      </c>
      <c r="DA1202" t="str">
        <f>INDEX('Data_Price '!AJ$2:AJ$1266,MATCH(Data!$DN1202,'Data_Price '!$AT$2:$AT$1266,0))</f>
        <v>https://tinyurl.com/y93kncbx</v>
      </c>
      <c r="DB1202" t="str">
        <f>INDEX('Data_Price '!AK$2:AK$1266,MATCH(Data!$DN1202,'Data_Price '!$AT$2:$AT$1266,0))</f>
        <v>2021 Blizzard Firebird HRC Skis w/Xcell 14 Bindings</v>
      </c>
      <c r="DC1202" t="str">
        <f>INDEX('Data_Price '!AL$2:AL$1266,MATCH(Data!$DN1202,'Data_Price '!$AT$2:$AT$1266,0))</f>
        <v>Suburban Ski and Bike</v>
      </c>
      <c r="DD1202">
        <f>INDEX('Data_Price '!AM$2:AM$1266,MATCH(Data!$DN1202,'Data_Price '!$AT$2:$AT$1266,0))</f>
        <v>879</v>
      </c>
      <c r="DE1202" t="str">
        <f>INDEX('Data_Price '!AN$2:AN$1266,MATCH(Data!$DN1202,'Data_Price '!$AT$2:$AT$1266,0))</f>
        <v>https://tinyurl.com/y9ckq7u6</v>
      </c>
      <c r="DF1202" t="str">
        <f>INDEX('Data_Price '!AO$2:AO$1266,MATCH(Data!$DN1202,'Data_Price '!$AT$2:$AT$1266,0))</f>
        <v>2022 Blizzard Firebird Hrc Skis W/ Xcell 14 Bindings | 8a003000</v>
      </c>
      <c r="DG1202" t="str">
        <f>INDEX('Data_Price '!AP$2:AP$1266,MATCH(Data!$DN1202,'Data_Price '!$AT$2:$AT$1266,0))</f>
        <v>eBay - david110549</v>
      </c>
      <c r="DH1202">
        <f>INDEX('Data_Price '!AQ$2:AQ$1266,MATCH(Data!$DN1202,'Data_Price '!$AT$2:$AT$1266,0))</f>
        <v>879.95</v>
      </c>
      <c r="DI1202" t="str">
        <f>INDEX('Data_Price '!AR$2:AR$1266,MATCH(Data!$DN1202,'Data_Price '!$AT$2:$AT$1266,0))</f>
        <v>https://tinyurl.com/y6wajrwg</v>
      </c>
      <c r="DJ1202" s="89" t="str">
        <f t="shared" si="698"/>
        <v>https://tinyurl.com/y93kncbx</v>
      </c>
      <c r="DK1202" s="89" t="str">
        <f t="shared" si="699"/>
        <v>https://tinyurl.com/y9ckq7u6</v>
      </c>
      <c r="DL1202" s="89" t="str">
        <f t="shared" si="700"/>
        <v>https://tinyurl.com/y6wajrwg</v>
      </c>
      <c r="DM1202" s="219" t="str">
        <f t="shared" si="701"/>
        <v>HRC</v>
      </c>
      <c r="DN1202" s="89" t="str">
        <f t="shared" si="702"/>
        <v xml:space="preserve"> BlizzardHRC166 Unisex</v>
      </c>
      <c r="DO1202" s="221"/>
    </row>
    <row r="1203" spans="2:119" ht="15.6" customHeight="1">
      <c r="B1203" s="219" t="b">
        <f t="array" ref="B1203">IF(OR(ISERROR(K1203:P1203)),FALSE,TRUE)</f>
        <v>1</v>
      </c>
      <c r="C1203" s="43" t="b">
        <f>OR(BR1203=Driver!$G$50,Data!BR14=Driver!$H$50)</f>
        <v>1</v>
      </c>
      <c r="D1203" s="43" t="b">
        <f>OR(BV1203=Driver!$G$51,BV1203=Driver!$H$51)</f>
        <v>1</v>
      </c>
      <c r="E1203" s="43" t="b">
        <f>AND(BX1203&gt;Driver!$F$54,BX1203&lt;Driver!$G$54)</f>
        <v>0</v>
      </c>
      <c r="F1203" s="43" t="b">
        <f>CL1203&gt;Driver!$F$56</f>
        <v>1</v>
      </c>
      <c r="G1203" s="43" t="b">
        <f>AND(CB1203&gt;Driver!$F$55,CB1203&lt;Driver!$G$55)</f>
        <v>1</v>
      </c>
      <c r="H1203" s="43" t="b">
        <f t="shared" si="666"/>
        <v>0</v>
      </c>
      <c r="I1203" s="43">
        <f t="shared" si="667"/>
        <v>0</v>
      </c>
      <c r="J1203" s="43" t="b">
        <f t="array" ref="J1203">NOT(OR(($H$9:$H$1273=TRUE)*($I$9:$I$1273&gt;0)*($BT$9:$BT$1273=BT1203)*($K$9:$K$1273&gt;K1203)))</f>
        <v>1</v>
      </c>
      <c r="K1203" s="72">
        <f t="shared" si="668"/>
        <v>0.6043086715227638</v>
      </c>
      <c r="L1203" s="72">
        <f t="shared" si="669"/>
        <v>0.53010370547156516</v>
      </c>
      <c r="M1203" s="72">
        <f t="shared" si="670"/>
        <v>0.67851363757396255</v>
      </c>
      <c r="N1203" s="72">
        <f t="shared" si="671"/>
        <v>0.53614042924144301</v>
      </c>
      <c r="O1203" s="72">
        <f t="shared" si="672"/>
        <v>0.69165910844941958</v>
      </c>
      <c r="P1203" s="72">
        <f t="shared" si="673"/>
        <v>0.80774137503102506</v>
      </c>
      <c r="Q1203" s="72"/>
      <c r="R1203" s="72"/>
      <c r="S1203" s="72">
        <f t="shared" si="674"/>
        <v>0.40160022325195366</v>
      </c>
      <c r="T1203" s="72">
        <f t="shared" si="675"/>
        <v>0.44792761203355236</v>
      </c>
      <c r="U1203" s="72">
        <f t="shared" si="676"/>
        <v>0.49004851282348549</v>
      </c>
      <c r="V1203" s="72">
        <f t="shared" si="677"/>
        <v>0.51</v>
      </c>
      <c r="W1203" s="72">
        <f t="shared" si="678"/>
        <v>0.79096543397576347</v>
      </c>
      <c r="X1203" s="72">
        <f t="shared" si="679"/>
        <v>0.4698962945284349</v>
      </c>
      <c r="Y1203" s="72">
        <f t="shared" si="680"/>
        <v>0.32148636242603745</v>
      </c>
      <c r="Z1203" s="72">
        <f t="shared" si="681"/>
        <v>0.46385957075855699</v>
      </c>
      <c r="AA1203" s="72">
        <f t="shared" si="682"/>
        <v>0.30834089155058042</v>
      </c>
      <c r="AB1203" s="72">
        <f t="shared" si="683"/>
        <v>0.19225862496897494</v>
      </c>
      <c r="AC1203" s="72"/>
      <c r="AD1203" s="72"/>
      <c r="AE1203" s="72">
        <f t="shared" si="684"/>
        <v>0.59839977674804634</v>
      </c>
      <c r="AF1203" s="72">
        <f t="shared" si="685"/>
        <v>0.55207238796644764</v>
      </c>
      <c r="AG1203" s="72">
        <f t="shared" si="686"/>
        <v>0.50995148717651451</v>
      </c>
      <c r="AH1203" s="72">
        <f t="shared" si="687"/>
        <v>0.49</v>
      </c>
      <c r="AI1203" s="72">
        <f t="shared" si="688"/>
        <v>0.20903456602423648</v>
      </c>
      <c r="AJ1203" s="72">
        <f>(AV1203-Driver!$K$179)/(Driver!$L$179-Driver!$K$179)</f>
        <v>0.72411570381113533</v>
      </c>
      <c r="AK1203" s="72">
        <f>(AW1203-Driver!$K$180)/(Driver!$L$180-Driver!$K$180)</f>
        <v>0.10296984410475736</v>
      </c>
      <c r="AL1203" s="72">
        <f>(AX1203-Driver!$K$181)/(Driver!$L$181-Driver!$K$181)</f>
        <v>0.56554733447163719</v>
      </c>
      <c r="AM1203" s="72">
        <f>(AY1203-Driver!$K$182)/(Driver!$L$182-Driver!$K$182)</f>
        <v>0.13904412954646597</v>
      </c>
      <c r="AN1203" s="72">
        <f>(AZ1203-Driver!$K$183)/(Driver!$L$183-Driver!$K$183)</f>
        <v>6.1960784313725481E-2</v>
      </c>
      <c r="AO1203" s="72"/>
      <c r="AP1203" s="72"/>
      <c r="AQ1203" s="72">
        <f>(BC1203-Driver!$K$188)/(Driver!$L$188-Driver!$K$188)</f>
        <v>2.1600223251953602E-2</v>
      </c>
      <c r="AR1203" s="72">
        <f>MIN((BD1203-Driver!$K$189)/(Driver!$L$189-Driver!$K$189),100%)</f>
        <v>-2.072387966447545E-3</v>
      </c>
      <c r="AS1203" s="72">
        <f>(BE1203-Driver!$K$190)/(Driver!$L$190-Driver!$K$190)</f>
        <v>4.8512823485516789E-5</v>
      </c>
      <c r="AT1203" s="72">
        <f>(BF1203-Driver!$K$191)/(Driver!$L$191-Driver!$K$191)</f>
        <v>1</v>
      </c>
      <c r="AU1203" s="72">
        <f>(BG1203-Driver!$K$192)/(Driver!$L$192-Driver!$K$192)</f>
        <v>4.0965433975763535E-2</v>
      </c>
      <c r="AV1203" s="70">
        <f t="shared" si="689"/>
        <v>15.240469407136075</v>
      </c>
      <c r="AW1203" s="70">
        <f t="shared" si="690"/>
        <v>11.907216335103136</v>
      </c>
      <c r="AX1203" s="70">
        <f t="shared" si="691"/>
        <v>6.089926010244735</v>
      </c>
      <c r="AY1203" s="70">
        <f>IFERROR(Driver!$K$19/Data!BH1203/Data!BI1203*Data!BK1203*Data!BL1203,"")</f>
        <v>0.17023150132898912</v>
      </c>
      <c r="AZ1203" s="70">
        <f t="shared" si="692"/>
        <v>5.6470588235294112</v>
      </c>
      <c r="BA1203" s="70"/>
      <c r="BB1203" s="70"/>
      <c r="BC1203" s="70">
        <f t="shared" si="693"/>
        <v>11.20418596310421</v>
      </c>
      <c r="BD1203" s="70">
        <f t="shared" si="694"/>
        <v>1.5374202211213088</v>
      </c>
      <c r="BE1203" s="70">
        <f t="shared" si="695"/>
        <v>2.2689291386440797E-4</v>
      </c>
      <c r="BF1203" s="70">
        <f t="shared" si="696"/>
        <v>112.94297460239021</v>
      </c>
      <c r="BG1203" s="70">
        <f t="shared" si="697"/>
        <v>0.15512126615391494</v>
      </c>
      <c r="BH1203" s="67">
        <f>MAX((CE1203-Driver!$F$200)/(Driver!$G$200-Driver!$F$200)*$BI$1,1)</f>
        <v>6.089926010244735</v>
      </c>
      <c r="BI1203" s="67">
        <f>MAX($BI$1*(BY1203-Driver!$F$201)/(Driver!$G$201-Driver!$F$201),1)</f>
        <v>1</v>
      </c>
      <c r="BJ1203" s="67">
        <f>(CB1203-Driver!$F$206)/(Driver!$G$206-Driver!$F$206)*$BI$1</f>
        <v>6.825396825396826</v>
      </c>
      <c r="BK1203" s="67">
        <f>(CD1203-Driver!$F$203)/(Driver!$G$203-Driver!$F$203)*$BI$1</f>
        <v>5.1834862385321099</v>
      </c>
      <c r="BL1203" s="67">
        <f>MAX((CR1203-Driver!$F$202)/(Driver!$G$202-Driver!$F$202)*$BI$1,1)</f>
        <v>1</v>
      </c>
      <c r="BM1203" s="67">
        <f>MAX((CH1203-Driver!$F$204)/(Driver!$G$204-Driver!$F$204)*$BI$1,1)</f>
        <v>8.9316239316239319</v>
      </c>
      <c r="BN1203" s="67">
        <f>(CI1203-Driver!$F$205)/(Driver!$G$205-Driver!$F$205)*$BI$1</f>
        <v>5.6470588235294112</v>
      </c>
      <c r="BO1203" s="67">
        <f>(CK1203-Driver!$F$207)/(Driver!$G$207-Driver!$F$207)*$BI$1</f>
        <v>8.9038262668045505</v>
      </c>
      <c r="BP1203" s="67">
        <f>(CM1203-Driver!$F$208)/(Driver!$G$208-Driver!$F$208)*$BI$1</f>
        <v>9.6333333333333329</v>
      </c>
      <c r="BQ1203" s="67">
        <f>(CL1203-Driver!$F$209)/(Driver!$G$209-Driver!$F$209)*$BI$1</f>
        <v>8.4375</v>
      </c>
      <c r="BR1203" s="28" t="s">
        <v>155</v>
      </c>
      <c r="BS1203" s="8" t="s">
        <v>190</v>
      </c>
      <c r="BT1203" s="9" t="s">
        <v>882</v>
      </c>
      <c r="BU1203" s="10">
        <v>186</v>
      </c>
      <c r="BV1203" s="9" t="s">
        <v>158</v>
      </c>
      <c r="BW1203" s="10">
        <v>186</v>
      </c>
      <c r="BX1203" s="10">
        <v>183.8</v>
      </c>
      <c r="BY1203" s="10">
        <v>0</v>
      </c>
      <c r="BZ1203" s="10">
        <v>151</v>
      </c>
      <c r="CA1203" s="10">
        <v>136</v>
      </c>
      <c r="CB1203" s="10">
        <v>107</v>
      </c>
      <c r="CC1203" s="10">
        <v>130</v>
      </c>
      <c r="CD1203" s="10">
        <v>20.7</v>
      </c>
      <c r="CE1203" s="10">
        <v>1970</v>
      </c>
      <c r="CF1203" s="10">
        <v>1.0900000000000001</v>
      </c>
      <c r="CG1203" s="10">
        <v>2144</v>
      </c>
      <c r="CH1203" s="10">
        <v>310</v>
      </c>
      <c r="CI1203" s="10">
        <v>129</v>
      </c>
      <c r="CJ1203" s="10">
        <v>59</v>
      </c>
      <c r="CK1203" s="10">
        <v>971</v>
      </c>
      <c r="CL1203" s="10">
        <v>54</v>
      </c>
      <c r="CM1203" s="10">
        <v>867</v>
      </c>
      <c r="CN1203" s="10">
        <v>0.90200000000000002</v>
      </c>
      <c r="CO1203" s="10">
        <v>165</v>
      </c>
      <c r="CP1203" s="10">
        <v>159</v>
      </c>
      <c r="CQ1203" s="10">
        <v>806</v>
      </c>
      <c r="CR1203" s="10">
        <v>-10</v>
      </c>
      <c r="CS1203" s="10">
        <v>5.2</v>
      </c>
      <c r="CT1203" s="9" t="s">
        <v>184</v>
      </c>
      <c r="CU1203" s="9" t="s">
        <v>169</v>
      </c>
      <c r="CV1203" s="9" t="s">
        <v>185</v>
      </c>
      <c r="CW1203" s="10"/>
      <c r="CX1203" t="e">
        <f>INDEX('Data_Price '!AG$2:AG$1266,MATCH(Data!$DN1203,'Data_Price '!$AT$2:$AT$1266,0))</f>
        <v>#N/A</v>
      </c>
      <c r="CY1203" t="e">
        <f>INDEX('Data_Price '!AH$2:AH$1266,MATCH(Data!$DN1203,'Data_Price '!$AT$2:$AT$1266,0))</f>
        <v>#N/A</v>
      </c>
      <c r="CZ1203" t="e">
        <f>INDEX('Data_Price '!AI$2:AI$1266,MATCH(Data!$DN1203,'Data_Price '!$AT$2:$AT$1266,0))</f>
        <v>#N/A</v>
      </c>
      <c r="DA1203" t="e">
        <f>INDEX('Data_Price '!AJ$2:AJ$1266,MATCH(Data!$DN1203,'Data_Price '!$AT$2:$AT$1266,0))</f>
        <v>#N/A</v>
      </c>
      <c r="DB1203" t="e">
        <f>INDEX('Data_Price '!AK$2:AK$1266,MATCH(Data!$DN1203,'Data_Price '!$AT$2:$AT$1266,0))</f>
        <v>#N/A</v>
      </c>
      <c r="DC1203" t="e">
        <f>INDEX('Data_Price '!AL$2:AL$1266,MATCH(Data!$DN1203,'Data_Price '!$AT$2:$AT$1266,0))</f>
        <v>#N/A</v>
      </c>
      <c r="DD1203" t="e">
        <f>INDEX('Data_Price '!AM$2:AM$1266,MATCH(Data!$DN1203,'Data_Price '!$AT$2:$AT$1266,0))</f>
        <v>#N/A</v>
      </c>
      <c r="DE1203" t="e">
        <f>INDEX('Data_Price '!AN$2:AN$1266,MATCH(Data!$DN1203,'Data_Price '!$AT$2:$AT$1266,0))</f>
        <v>#N/A</v>
      </c>
      <c r="DF1203" t="e">
        <f>INDEX('Data_Price '!AO$2:AO$1266,MATCH(Data!$DN1203,'Data_Price '!$AT$2:$AT$1266,0))</f>
        <v>#N/A</v>
      </c>
      <c r="DG1203" t="e">
        <f>INDEX('Data_Price '!AP$2:AP$1266,MATCH(Data!$DN1203,'Data_Price '!$AT$2:$AT$1266,0))</f>
        <v>#N/A</v>
      </c>
      <c r="DH1203" t="e">
        <f>INDEX('Data_Price '!AQ$2:AQ$1266,MATCH(Data!$DN1203,'Data_Price '!$AT$2:$AT$1266,0))</f>
        <v>#N/A</v>
      </c>
      <c r="DI1203" t="e">
        <f>INDEX('Data_Price '!AR$2:AR$1266,MATCH(Data!$DN1203,'Data_Price '!$AT$2:$AT$1266,0))</f>
        <v>#N/A</v>
      </c>
      <c r="DJ1203" s="89" t="e">
        <f t="shared" si="698"/>
        <v>#N/A</v>
      </c>
      <c r="DK1203" s="89" t="e">
        <f t="shared" si="699"/>
        <v>#N/A</v>
      </c>
      <c r="DL1203" s="89" t="e">
        <f t="shared" si="700"/>
        <v>#N/A</v>
      </c>
      <c r="DM1203" s="219" t="str">
        <f t="shared" si="701"/>
        <v>Devastator</v>
      </c>
      <c r="DN1203" s="89" t="str">
        <f t="shared" si="702"/>
        <v xml:space="preserve"> 4FRNTDevastator186 Unisex</v>
      </c>
      <c r="DO1203" s="221"/>
    </row>
    <row r="1204" spans="2:119" ht="15.6" customHeight="1">
      <c r="B1204" s="219" t="b">
        <f t="array" ref="B1204">IF(OR(ISERROR(K1204:P1204)),FALSE,TRUE)</f>
        <v>1</v>
      </c>
      <c r="C1204" s="43" t="b">
        <f>OR(BR1204=Driver!$G$50,Data!BR420=Driver!$H$50)</f>
        <v>1</v>
      </c>
      <c r="D1204" s="43" t="b">
        <f>OR(BV1204=Driver!$G$51,BV1204=Driver!$H$51)</f>
        <v>1</v>
      </c>
      <c r="E1204" s="43" t="b">
        <f>AND(BX1204&gt;Driver!$F$54,BX1204&lt;Driver!$G$54)</f>
        <v>1</v>
      </c>
      <c r="F1204" s="43" t="b">
        <f>CL1204&gt;Driver!$F$56</f>
        <v>1</v>
      </c>
      <c r="G1204" s="43" t="b">
        <f>AND(CB1204&gt;Driver!$F$55,CB1204&lt;Driver!$G$55)</f>
        <v>0</v>
      </c>
      <c r="H1204" s="43" t="b">
        <f t="shared" si="666"/>
        <v>0</v>
      </c>
      <c r="I1204" s="43">
        <f t="shared" si="667"/>
        <v>0</v>
      </c>
      <c r="J1204" s="43" t="b">
        <f t="array" ref="J1204">NOT(OR(($H$9:$H$1273=TRUE)*($I$9:$I$1273&gt;0)*($BT$9:$BT$1273=BT1204)*($K$9:$K$1273&gt;K1204)))</f>
        <v>1</v>
      </c>
      <c r="K1204" s="72">
        <f t="shared" si="668"/>
        <v>0.66975129746062023</v>
      </c>
      <c r="L1204" s="72">
        <f t="shared" si="669"/>
        <v>0.7738202329701398</v>
      </c>
      <c r="M1204" s="72">
        <f t="shared" si="670"/>
        <v>0.56568236195110067</v>
      </c>
      <c r="N1204" s="72">
        <f t="shared" si="671"/>
        <v>0.34199637055555165</v>
      </c>
      <c r="O1204" s="72">
        <f t="shared" si="672"/>
        <v>0.57893588117844819</v>
      </c>
      <c r="P1204" s="72">
        <f t="shared" si="673"/>
        <v>0.77611483411930171</v>
      </c>
      <c r="Q1204" s="72"/>
      <c r="R1204" s="72"/>
      <c r="S1204" s="72">
        <f t="shared" si="674"/>
        <v>0.55869375222277085</v>
      </c>
      <c r="T1204" s="72">
        <f t="shared" si="675"/>
        <v>0.55000000000000004</v>
      </c>
      <c r="U1204" s="72">
        <f t="shared" si="676"/>
        <v>0.51</v>
      </c>
      <c r="V1204" s="72">
        <f t="shared" si="677"/>
        <v>0.49028415949142989</v>
      </c>
      <c r="W1204" s="72">
        <f t="shared" si="678"/>
        <v>0.75318627450980391</v>
      </c>
      <c r="X1204" s="72">
        <f t="shared" si="679"/>
        <v>0.2261797670298602</v>
      </c>
      <c r="Y1204" s="72">
        <f t="shared" si="680"/>
        <v>0.43431763804889939</v>
      </c>
      <c r="Z1204" s="72">
        <f t="shared" si="681"/>
        <v>0.65800362944444835</v>
      </c>
      <c r="AA1204" s="72">
        <f t="shared" si="682"/>
        <v>0.42106411882155176</v>
      </c>
      <c r="AB1204" s="72">
        <f t="shared" si="683"/>
        <v>0.22388516588069829</v>
      </c>
      <c r="AC1204" s="72"/>
      <c r="AD1204" s="72"/>
      <c r="AE1204" s="72">
        <f t="shared" si="684"/>
        <v>0.44130624777722915</v>
      </c>
      <c r="AF1204" s="72">
        <f t="shared" si="685"/>
        <v>0.44999999999999996</v>
      </c>
      <c r="AG1204" s="72">
        <f t="shared" si="686"/>
        <v>0.49</v>
      </c>
      <c r="AH1204" s="72">
        <f t="shared" si="687"/>
        <v>0.50971584050857011</v>
      </c>
      <c r="AI1204" s="72">
        <f t="shared" si="688"/>
        <v>0.24681372549019609</v>
      </c>
      <c r="AJ1204" s="72">
        <f>(AV1204-Driver!$K$179)/(Driver!$L$179-Driver!$K$179)</f>
        <v>2.8039642252840218E-2</v>
      </c>
      <c r="AK1204" s="72">
        <f>(AW1204-Driver!$K$180)/(Driver!$L$180-Driver!$K$180)</f>
        <v>0.50864171773859179</v>
      </c>
      <c r="AL1204" s="72">
        <f>(AX1204-Driver!$K$181)/(Driver!$L$181-Driver!$K$181)</f>
        <v>0.75969139315752854</v>
      </c>
      <c r="AM1204" s="72">
        <f>(AY1204-Driver!$K$182)/(Driver!$L$182-Driver!$K$182)</f>
        <v>2.6320902275494627E-2</v>
      </c>
      <c r="AN1204" s="72">
        <f>(AZ1204-Driver!$K$183)/(Driver!$L$183-Driver!$K$183)</f>
        <v>0.47810457516339872</v>
      </c>
      <c r="AO1204" s="72"/>
      <c r="AP1204" s="72"/>
      <c r="AQ1204" s="72">
        <f>(BC1204-Driver!$K$188)/(Driver!$L$188-Driver!$K$188)</f>
        <v>0.17869375222277081</v>
      </c>
      <c r="AR1204" s="72">
        <f>MIN((BD1204-Driver!$K$189)/(Driver!$L$189-Driver!$K$189),100%)</f>
        <v>1</v>
      </c>
      <c r="AS1204" s="72">
        <f>(BE1204-Driver!$K$190)/(Driver!$L$190-Driver!$K$190)</f>
        <v>1</v>
      </c>
      <c r="AT1204" s="72">
        <f>(BF1204-Driver!$K$191)/(Driver!$L$191-Driver!$K$191)</f>
        <v>2.8415949142995091E-4</v>
      </c>
      <c r="AU1204" s="72">
        <f>(BG1204-Driver!$K$192)/(Driver!$L$192-Driver!$K$192)</f>
        <v>3.1862745098039211E-3</v>
      </c>
      <c r="AV1204" s="70">
        <f t="shared" si="689"/>
        <v>0.59015059015059013</v>
      </c>
      <c r="AW1204" s="70">
        <f t="shared" si="690"/>
        <v>51.443535039195524</v>
      </c>
      <c r="AX1204" s="70">
        <f t="shared" si="691"/>
        <v>7.8372225384177572</v>
      </c>
      <c r="AY1204" s="70">
        <f>IFERROR(Driver!$K$19/Data!BH1204/Data!BI1204*Data!BK1204*Data!BL1204,"")</f>
        <v>3.2224637784464737E-2</v>
      </c>
      <c r="AZ1204" s="70">
        <f t="shared" si="692"/>
        <v>43.574087862993302</v>
      </c>
      <c r="BA1204" s="70"/>
      <c r="BB1204" s="70"/>
      <c r="BC1204" s="70">
        <f t="shared" si="693"/>
        <v>92.689691536762794</v>
      </c>
      <c r="BD1204" s="70">
        <f t="shared" si="694"/>
        <v>402.48659209316594</v>
      </c>
      <c r="BE1204" s="70">
        <f t="shared" si="695"/>
        <v>1</v>
      </c>
      <c r="BF1204" s="70">
        <f t="shared" si="696"/>
        <v>3.2093818223601064E-2</v>
      </c>
      <c r="BG1204" s="70">
        <f t="shared" si="697"/>
        <v>1.2065267917511831E-2</v>
      </c>
      <c r="BH1204" s="67">
        <f>MAX((CE1204-Driver!$F$200)/(Driver!$G$200-Driver!$F$200)*$BI$1,1)</f>
        <v>7.8372225384177572</v>
      </c>
      <c r="BI1204" s="67">
        <f>MAX($BI$1*(BY1204-Driver!$F$201)/(Driver!$G$201-Driver!$F$201),1)</f>
        <v>8.4177215189873422</v>
      </c>
      <c r="BJ1204" s="67">
        <f>(CB1204-Driver!$F$206)/(Driver!$G$206-Driver!$F$206)*$BI$1</f>
        <v>0.47619047619047616</v>
      </c>
      <c r="BK1204" s="67">
        <f>(CD1204-Driver!$F$203)/(Driver!$G$203-Driver!$F$203)*$BI$1</f>
        <v>1.4678899082568806</v>
      </c>
      <c r="BL1204" s="67">
        <f>MAX((CR1204-Driver!$F$202)/(Driver!$G$202-Driver!$F$202)*$BI$1,1)</f>
        <v>7.2413793103448274</v>
      </c>
      <c r="BM1204" s="67">
        <f>MAX((CH1204-Driver!$F$204)/(Driver!$G$204-Driver!$F$204)*$BI$1,1)</f>
        <v>4.9572649572649574</v>
      </c>
      <c r="BN1204" s="67">
        <f>(CI1204-Driver!$F$205)/(Driver!$G$205-Driver!$F$205)*$BI$1</f>
        <v>5.1764705882352944</v>
      </c>
      <c r="BO1204" s="67">
        <f>(CK1204-Driver!$F$207)/(Driver!$G$207-Driver!$F$207)*$BI$1</f>
        <v>0.21716649431230611</v>
      </c>
      <c r="BP1204" s="67">
        <f>(CM1204-Driver!$F$208)/(Driver!$G$208-Driver!$F$208)*$BI$1</f>
        <v>0.4555555555555556</v>
      </c>
      <c r="BQ1204" s="67">
        <f>(CL1204-Driver!$F$209)/(Driver!$G$209-Driver!$F$209)*$BI$1</f>
        <v>0.46875</v>
      </c>
      <c r="BR1204" s="28" t="s">
        <v>155</v>
      </c>
      <c r="BS1204" s="8" t="s">
        <v>164</v>
      </c>
      <c r="BT1204" s="9" t="s">
        <v>883</v>
      </c>
      <c r="BU1204" s="10">
        <v>159</v>
      </c>
      <c r="BV1204" s="9" t="s">
        <v>158</v>
      </c>
      <c r="BW1204" s="10">
        <v>159</v>
      </c>
      <c r="BX1204" s="10">
        <v>157.9</v>
      </c>
      <c r="BY1204" s="10">
        <v>141</v>
      </c>
      <c r="BZ1204" s="10">
        <v>148</v>
      </c>
      <c r="CA1204" s="10">
        <v>118</v>
      </c>
      <c r="CB1204" s="10">
        <v>67</v>
      </c>
      <c r="CC1204" s="10">
        <v>102</v>
      </c>
      <c r="CD1204" s="10">
        <v>12.6</v>
      </c>
      <c r="CE1204" s="10">
        <v>2277</v>
      </c>
      <c r="CF1204" s="10">
        <v>0.57999999999999996</v>
      </c>
      <c r="CG1204" s="10">
        <v>1309</v>
      </c>
      <c r="CH1204" s="10">
        <v>217</v>
      </c>
      <c r="CI1204" s="10">
        <v>121</v>
      </c>
      <c r="CJ1204" s="10">
        <v>36</v>
      </c>
      <c r="CK1204" s="10">
        <v>131</v>
      </c>
      <c r="CL1204" s="10">
        <v>3</v>
      </c>
      <c r="CM1204" s="10">
        <v>41</v>
      </c>
      <c r="CN1204" s="10">
        <v>9.1999999999999998E-2</v>
      </c>
      <c r="CO1204" s="10">
        <v>58</v>
      </c>
      <c r="CP1204" s="10">
        <v>39</v>
      </c>
      <c r="CQ1204" s="10">
        <v>74</v>
      </c>
      <c r="CR1204" s="10">
        <v>10</v>
      </c>
      <c r="CS1204" s="10">
        <v>9</v>
      </c>
      <c r="CT1204" s="9" t="s">
        <v>349</v>
      </c>
      <c r="CU1204" s="10"/>
      <c r="CV1204" s="10"/>
      <c r="CW1204" s="10"/>
      <c r="CX1204" t="str">
        <f>INDEX('Data_Price '!AG$2:AG$1266,MATCH(Data!$DN1204,'Data_Price '!$AT$2:$AT$1266,0))</f>
        <v>Elan SL + EMX 11 21/22</v>
      </c>
      <c r="CY1204" t="str">
        <f>INDEX('Data_Price '!AH$2:AH$1266,MATCH(Data!$DN1204,'Data_Price '!$AT$2:$AT$1266,0))</f>
        <v>Snowcountry.eu</v>
      </c>
      <c r="CZ1204">
        <f>INDEX('Data_Price '!AI$2:AI$1266,MATCH(Data!$DN1204,'Data_Price '!$AT$2:$AT$1266,0))</f>
        <v>515.29999999999995</v>
      </c>
      <c r="DA1204" t="str">
        <f>INDEX('Data_Price '!AJ$2:AJ$1266,MATCH(Data!$DN1204,'Data_Price '!$AT$2:$AT$1266,0))</f>
        <v>https://tinyurl.com/y7dq22xs</v>
      </c>
      <c r="DB1204">
        <f>INDEX('Data_Price '!AK$2:AK$1266,MATCH(Data!$DN1204,'Data_Price '!$AT$2:$AT$1266,0))</f>
        <v>0</v>
      </c>
      <c r="DC1204">
        <f>INDEX('Data_Price '!AL$2:AL$1266,MATCH(Data!$DN1204,'Data_Price '!$AT$2:$AT$1266,0))</f>
        <v>0</v>
      </c>
      <c r="DD1204">
        <f>INDEX('Data_Price '!AM$2:AM$1266,MATCH(Data!$DN1204,'Data_Price '!$AT$2:$AT$1266,0))</f>
        <v>0</v>
      </c>
      <c r="DE1204">
        <f>INDEX('Data_Price '!AN$2:AN$1266,MATCH(Data!$DN1204,'Data_Price '!$AT$2:$AT$1266,0))</f>
        <v>0</v>
      </c>
      <c r="DF1204">
        <f>INDEX('Data_Price '!AO$2:AO$1266,MATCH(Data!$DN1204,'Data_Price '!$AT$2:$AT$1266,0))</f>
        <v>0</v>
      </c>
      <c r="DG1204">
        <f>INDEX('Data_Price '!AP$2:AP$1266,MATCH(Data!$DN1204,'Data_Price '!$AT$2:$AT$1266,0))</f>
        <v>0</v>
      </c>
      <c r="DH1204">
        <f>INDEX('Data_Price '!AQ$2:AQ$1266,MATCH(Data!$DN1204,'Data_Price '!$AT$2:$AT$1266,0))</f>
        <v>0</v>
      </c>
      <c r="DI1204">
        <f>INDEX('Data_Price '!AR$2:AR$1266,MATCH(Data!$DN1204,'Data_Price '!$AT$2:$AT$1266,0))</f>
        <v>0</v>
      </c>
      <c r="DJ1204" s="89" t="str">
        <f t="shared" si="698"/>
        <v>https://tinyurl.com/y7dq22xs</v>
      </c>
      <c r="DK1204" s="89">
        <f t="shared" si="699"/>
        <v>0</v>
      </c>
      <c r="DL1204" s="89">
        <f t="shared" si="700"/>
        <v>0</v>
      </c>
      <c r="DM1204" s="219" t="str">
        <f t="shared" si="701"/>
        <v>Ace SLX</v>
      </c>
      <c r="DN1204" s="89" t="str">
        <f t="shared" si="702"/>
        <v xml:space="preserve"> ElanAce SLX159 Unisex</v>
      </c>
      <c r="DO1204" s="221"/>
    </row>
    <row r="1205" spans="2:119" ht="15.6" customHeight="1">
      <c r="B1205" s="219" t="b">
        <f t="array" ref="B1205">IF(OR(ISERROR(K1205:P1205)),FALSE,TRUE)</f>
        <v>1</v>
      </c>
      <c r="C1205" s="43" t="b">
        <f>OR(BR1205=Driver!$G$50,Data!BR98=Driver!$H$50)</f>
        <v>1</v>
      </c>
      <c r="D1205" s="43" t="b">
        <f>OR(BV1205=Driver!$G$51,BV1205=Driver!$H$51)</f>
        <v>0</v>
      </c>
      <c r="E1205" s="43" t="b">
        <f>AND(BX1205&gt;Driver!$F$54,BX1205&lt;Driver!$G$54)</f>
        <v>0</v>
      </c>
      <c r="F1205" s="43" t="b">
        <f>CL1205&gt;Driver!$F$56</f>
        <v>1</v>
      </c>
      <c r="G1205" s="43" t="b">
        <f>AND(CB1205&gt;Driver!$F$55,CB1205&lt;Driver!$G$55)</f>
        <v>0</v>
      </c>
      <c r="H1205" s="43" t="b">
        <f t="shared" si="666"/>
        <v>0</v>
      </c>
      <c r="I1205" s="43">
        <f t="shared" si="667"/>
        <v>0</v>
      </c>
      <c r="J1205" s="43" t="b">
        <f t="array" ref="J1205">NOT(OR(($H$9:$H$1273=TRUE)*($I$9:$I$1273&gt;0)*($BT$9:$BT$1273=BT1205)*($K$9:$K$1273&gt;K1205)))</f>
        <v>1</v>
      </c>
      <c r="K1205" s="72">
        <f t="shared" si="668"/>
        <v>0.86897890651067533</v>
      </c>
      <c r="L1205" s="72">
        <f t="shared" si="669"/>
        <v>0.8291743543141088</v>
      </c>
      <c r="M1205" s="72">
        <f t="shared" si="670"/>
        <v>0.90878345870724175</v>
      </c>
      <c r="N1205" s="72">
        <f t="shared" si="671"/>
        <v>0.89831223628691981</v>
      </c>
      <c r="O1205" s="72">
        <f t="shared" si="672"/>
        <v>0.96685722232012039</v>
      </c>
      <c r="P1205" s="72">
        <f t="shared" si="673"/>
        <v>0.86118091751468517</v>
      </c>
      <c r="Q1205" s="72"/>
      <c r="R1205" s="72"/>
      <c r="S1205" s="72">
        <f t="shared" si="674"/>
        <v>0.42624489988982328</v>
      </c>
      <c r="T1205" s="72">
        <f t="shared" si="675"/>
        <v>0.43714911392608158</v>
      </c>
      <c r="U1205" s="72">
        <f t="shared" si="676"/>
        <v>0.51</v>
      </c>
      <c r="V1205" s="72">
        <f t="shared" si="677"/>
        <v>0.49744227471062374</v>
      </c>
      <c r="W1205" s="72">
        <f t="shared" si="678"/>
        <v>0.98602731929425158</v>
      </c>
      <c r="X1205" s="72">
        <f t="shared" si="679"/>
        <v>0.17082564568589115</v>
      </c>
      <c r="Y1205" s="72">
        <f t="shared" si="680"/>
        <v>9.1216541292758205E-2</v>
      </c>
      <c r="Z1205" s="72">
        <f t="shared" si="681"/>
        <v>0.10168776371308018</v>
      </c>
      <c r="AA1205" s="72">
        <f t="shared" si="682"/>
        <v>3.3142777679879665E-2</v>
      </c>
      <c r="AB1205" s="72">
        <f t="shared" si="683"/>
        <v>0.1388190824853148</v>
      </c>
      <c r="AC1205" s="72"/>
      <c r="AD1205" s="72"/>
      <c r="AE1205" s="72">
        <f t="shared" si="684"/>
        <v>0.57375510011017672</v>
      </c>
      <c r="AF1205" s="72">
        <f t="shared" si="685"/>
        <v>0.56285088607391842</v>
      </c>
      <c r="AG1205" s="72">
        <f t="shared" si="686"/>
        <v>0.49</v>
      </c>
      <c r="AH1205" s="72">
        <f t="shared" si="687"/>
        <v>0.50255772528937626</v>
      </c>
      <c r="AI1205" s="72">
        <f t="shared" si="688"/>
        <v>1.3972680705748447E-2</v>
      </c>
      <c r="AJ1205" s="72">
        <f>(AV1205-Driver!$K$179)/(Driver!$L$179-Driver!$K$179)</f>
        <v>8.3393763596809278E-2</v>
      </c>
      <c r="AK1205" s="72">
        <f>(AW1205-Driver!$K$180)/(Driver!$L$180-Driver!$K$180)</f>
        <v>0.10500753675698038</v>
      </c>
      <c r="AL1205" s="72">
        <f>(AX1205-Driver!$K$181)/(Driver!$L$181-Driver!$K$181)</f>
        <v>0</v>
      </c>
      <c r="AM1205" s="72">
        <f>(AY1205-Driver!$K$182)/(Driver!$L$182-Driver!$K$182)</f>
        <v>0.48052779877692603</v>
      </c>
      <c r="AN1205" s="72">
        <f>(AZ1205-Driver!$K$183)/(Driver!$L$183-Driver!$K$183)</f>
        <v>0.11540032679738563</v>
      </c>
      <c r="AO1205" s="72"/>
      <c r="AP1205" s="72"/>
      <c r="AQ1205" s="72">
        <f>(BC1205-Driver!$K$188)/(Driver!$L$188-Driver!$K$188)</f>
        <v>4.6244899889823318E-2</v>
      </c>
      <c r="AR1205" s="72">
        <f>MIN((BD1205-Driver!$K$189)/(Driver!$L$189-Driver!$K$189),100%)</f>
        <v>-1.2850886073918377E-2</v>
      </c>
      <c r="AS1205" s="72">
        <f>(BE1205-Driver!$K$190)/(Driver!$L$190-Driver!$K$190)</f>
        <v>1</v>
      </c>
      <c r="AT1205" s="72">
        <f>(BF1205-Driver!$K$191)/(Driver!$L$191-Driver!$K$191)</f>
        <v>7.4422747106237946E-3</v>
      </c>
      <c r="AU1205" s="72">
        <f>(BG1205-Driver!$K$192)/(Driver!$L$192-Driver!$K$192)</f>
        <v>0.23602731929425155</v>
      </c>
      <c r="AV1205" s="70">
        <f t="shared" si="689"/>
        <v>1.7551892551892552</v>
      </c>
      <c r="AW1205" s="70">
        <f t="shared" si="690"/>
        <v>12.105807539855956</v>
      </c>
      <c r="AX1205" s="70">
        <f t="shared" si="691"/>
        <v>1</v>
      </c>
      <c r="AY1205" s="70">
        <f>IFERROR(Driver!$K$19/Data!BH1205/Data!BI1205*Data!BK1205*Data!BL1205,"")</f>
        <v>0.58830940136004906</v>
      </c>
      <c r="AZ1205" s="70">
        <f t="shared" si="692"/>
        <v>10.517498138495906</v>
      </c>
      <c r="BA1205" s="70"/>
      <c r="BB1205" s="70"/>
      <c r="BC1205" s="70">
        <f t="shared" si="693"/>
        <v>23.98755106217968</v>
      </c>
      <c r="BD1205" s="70">
        <f t="shared" si="694"/>
        <v>0.58354223697867669</v>
      </c>
      <c r="BE1205" s="70">
        <f t="shared" si="695"/>
        <v>1</v>
      </c>
      <c r="BF1205" s="70">
        <f t="shared" si="696"/>
        <v>0.84055264362599413</v>
      </c>
      <c r="BG1205" s="70">
        <f t="shared" si="697"/>
        <v>0.89375000000000004</v>
      </c>
      <c r="BH1205" s="67">
        <f>MAX((CE1205-Driver!$F$200)/(Driver!$G$200-Driver!$F$200)*$BI$1,1)</f>
        <v>1</v>
      </c>
      <c r="BI1205" s="67">
        <f>MAX($BI$1*(BY1205-Driver!$F$201)/(Driver!$G$201-Driver!$F$201),1)</f>
        <v>7.1518987341772151</v>
      </c>
      <c r="BJ1205" s="67">
        <f>(CB1205-Driver!$F$206)/(Driver!$G$206-Driver!$F$206)*$BI$1</f>
        <v>3.6507936507936507</v>
      </c>
      <c r="BK1205" s="67">
        <f>(CD1205-Driver!$F$203)/(Driver!$G$203-Driver!$F$203)*$BI$1</f>
        <v>4.3577981651376145</v>
      </c>
      <c r="BL1205" s="67">
        <f>MAX((CR1205-Driver!$F$202)/(Driver!$G$202-Driver!$F$202)*$BI$1,1)</f>
        <v>4.8275862068965516</v>
      </c>
      <c r="BM1205" s="67">
        <f>MAX((CH1205-Driver!$F$204)/(Driver!$G$204-Driver!$F$204)*$BI$1,1)</f>
        <v>1.9230769230769231</v>
      </c>
      <c r="BN1205" s="67">
        <f>(CI1205-Driver!$F$205)/(Driver!$G$205-Driver!$F$205)*$BI$1</f>
        <v>1.4705882352941178</v>
      </c>
      <c r="BO1205" s="67">
        <f>(CK1205-Driver!$F$207)/(Driver!$G$207-Driver!$F$207)*$BI$1</f>
        <v>0.76525336091003104</v>
      </c>
      <c r="BP1205" s="67">
        <f>(CM1205-Driver!$F$208)/(Driver!$G$208-Driver!$F$208)*$BI$1</f>
        <v>1.3111111111111113</v>
      </c>
      <c r="BQ1205" s="67">
        <f>(CL1205-Driver!$F$209)/(Driver!$G$209-Driver!$F$209)*$BI$1</f>
        <v>1.71875</v>
      </c>
      <c r="BR1205" s="28" t="s">
        <v>155</v>
      </c>
      <c r="BS1205" s="8" t="s">
        <v>182</v>
      </c>
      <c r="BT1205" s="9" t="s">
        <v>668</v>
      </c>
      <c r="BU1205" s="10">
        <v>152</v>
      </c>
      <c r="BV1205" s="9" t="s">
        <v>163</v>
      </c>
      <c r="BW1205" s="10">
        <v>152</v>
      </c>
      <c r="BX1205" s="10">
        <v>151.30000000000001</v>
      </c>
      <c r="BY1205" s="10">
        <v>121</v>
      </c>
      <c r="BZ1205" s="10">
        <v>128</v>
      </c>
      <c r="CA1205" s="10">
        <v>113</v>
      </c>
      <c r="CB1205" s="10">
        <v>87</v>
      </c>
      <c r="CC1205" s="10">
        <v>105</v>
      </c>
      <c r="CD1205" s="10">
        <v>18.899999999999999</v>
      </c>
      <c r="CE1205" s="10">
        <v>1062</v>
      </c>
      <c r="CF1205" s="10">
        <v>1.35</v>
      </c>
      <c r="CG1205" s="10">
        <v>1431</v>
      </c>
      <c r="CH1205" s="10">
        <v>146</v>
      </c>
      <c r="CI1205" s="10">
        <v>58</v>
      </c>
      <c r="CJ1205" s="10">
        <v>34</v>
      </c>
      <c r="CK1205" s="10">
        <v>184</v>
      </c>
      <c r="CL1205" s="10">
        <v>11</v>
      </c>
      <c r="CM1205" s="10">
        <v>118</v>
      </c>
      <c r="CN1205" s="10">
        <v>0.312</v>
      </c>
      <c r="CO1205" s="10">
        <v>147</v>
      </c>
      <c r="CP1205" s="10">
        <v>87</v>
      </c>
      <c r="CQ1205" s="10">
        <v>37</v>
      </c>
      <c r="CR1205" s="10">
        <v>3</v>
      </c>
      <c r="CS1205" s="10">
        <v>6.8</v>
      </c>
      <c r="CT1205" s="9" t="s">
        <v>185</v>
      </c>
      <c r="CU1205" s="9" t="s">
        <v>198</v>
      </c>
      <c r="CV1205" s="10"/>
      <c r="CW1205" s="10"/>
      <c r="CX1205" t="str">
        <f>INDEX('Data_Price '!AG$2:AG$1266,MATCH(Data!$DN1205,'Data_Price '!$AT$2:$AT$1266,0))</f>
        <v>Armada Trace 88 White Skis Â· Women's Â· 152 cm</v>
      </c>
      <c r="CY1205" t="str">
        <f>INDEX('Data_Price '!AH$2:AH$1266,MATCH(Data!$DN1205,'Data_Price '!$AT$2:$AT$1266,0))</f>
        <v>Ski Pro  - Snow Ski &amp; Snowboard</v>
      </c>
      <c r="CZ1205">
        <f>INDEX('Data_Price '!AI$2:AI$1266,MATCH(Data!$DN1205,'Data_Price '!$AT$2:$AT$1266,0))</f>
        <v>479.95</v>
      </c>
      <c r="DA1205" t="str">
        <f>INDEX('Data_Price '!AJ$2:AJ$1266,MATCH(Data!$DN1205,'Data_Price '!$AT$2:$AT$1266,0))</f>
        <v>https://tinyurl.com/y8ro578v</v>
      </c>
      <c r="DB1205" t="str">
        <f>INDEX('Data_Price '!AK$2:AK$1266,MATCH(Data!$DN1205,'Data_Price '!$AT$2:$AT$1266,0))</f>
        <v>Armada Trace 88 White Skis Â· Women's Â· 152 cm</v>
      </c>
      <c r="DC1205" t="str">
        <f>INDEX('Data_Price '!AL$2:AL$1266,MATCH(Data!$DN1205,'Data_Price '!$AT$2:$AT$1266,0))</f>
        <v>eBay - david110549</v>
      </c>
      <c r="DD1205">
        <f>INDEX('Data_Price '!AM$2:AM$1266,MATCH(Data!$DN1205,'Data_Price '!$AT$2:$AT$1266,0))</f>
        <v>479.96</v>
      </c>
      <c r="DE1205" t="str">
        <f>INDEX('Data_Price '!AN$2:AN$1266,MATCH(Data!$DN1205,'Data_Price '!$AT$2:$AT$1266,0))</f>
        <v>https://tinyurl.com/y8o9wdm2</v>
      </c>
      <c r="DF1205" t="str">
        <f>INDEX('Data_Price '!AO$2:AO$1266,MATCH(Data!$DN1205,'Data_Price '!$AT$2:$AT$1266,0))</f>
        <v>Armada Trace 88 White Skis Â· Women's Â· 152 cm</v>
      </c>
      <c r="DG1205" t="str">
        <f>INDEX('Data_Price '!AP$2:AP$1266,MATCH(Data!$DN1205,'Data_Price '!$AT$2:$AT$1266,0))</f>
        <v>SkiEssentials.com</v>
      </c>
      <c r="DH1205">
        <f>INDEX('Data_Price '!AQ$2:AQ$1266,MATCH(Data!$DN1205,'Data_Price '!$AT$2:$AT$1266,0))</f>
        <v>479.96</v>
      </c>
      <c r="DI1205" t="str">
        <f>INDEX('Data_Price '!AR$2:AR$1266,MATCH(Data!$DN1205,'Data_Price '!$AT$2:$AT$1266,0))</f>
        <v>https://tinyurl.com/y8wsue5p</v>
      </c>
      <c r="DJ1205" s="89" t="str">
        <f t="shared" si="698"/>
        <v>https://tinyurl.com/y8ro578v</v>
      </c>
      <c r="DK1205" s="89" t="str">
        <f t="shared" si="699"/>
        <v>https://tinyurl.com/y8o9wdm2</v>
      </c>
      <c r="DL1205" s="89" t="str">
        <f t="shared" si="700"/>
        <v>https://tinyurl.com/y8wsue5p</v>
      </c>
      <c r="DM1205" s="219" t="str">
        <f t="shared" si="701"/>
        <v>Trace 88</v>
      </c>
      <c r="DN1205" s="89" t="str">
        <f t="shared" si="702"/>
        <v xml:space="preserve"> ArmadaTrace 88152 Women's</v>
      </c>
      <c r="DO1205" s="221"/>
    </row>
    <row r="1206" spans="2:119" ht="15.6" customHeight="1">
      <c r="B1206" s="219" t="b">
        <f t="array" ref="B1206">IF(OR(ISERROR(K1206:P1206)),FALSE,TRUE)</f>
        <v>1</v>
      </c>
      <c r="C1206" s="43" t="b">
        <f>OR(BR1206=Driver!$G$50,Data!BR15=Driver!$H$50)</f>
        <v>1</v>
      </c>
      <c r="D1206" s="43" t="b">
        <f>OR(BV1206=Driver!$G$51,BV1206=Driver!$H$51)</f>
        <v>1</v>
      </c>
      <c r="E1206" s="43" t="b">
        <f>AND(BX1206&gt;Driver!$F$54,BX1206&lt;Driver!$G$54)</f>
        <v>0</v>
      </c>
      <c r="F1206" s="43" t="b">
        <f>CL1206&gt;Driver!$F$56</f>
        <v>1</v>
      </c>
      <c r="G1206" s="43" t="b">
        <f>AND(CB1206&gt;Driver!$F$55,CB1206&lt;Driver!$G$55)</f>
        <v>0</v>
      </c>
      <c r="H1206" s="43" t="b">
        <f t="shared" si="666"/>
        <v>0</v>
      </c>
      <c r="I1206" s="43">
        <f t="shared" si="667"/>
        <v>0</v>
      </c>
      <c r="J1206" s="43" t="b">
        <f t="array" ref="J1206">NOT(OR(($H$9:$H$1273=TRUE)*($I$9:$I$1273&gt;0)*($BT$9:$BT$1273=BT1206)*($K$9:$K$1273&gt;K1206)))</f>
        <v>1</v>
      </c>
      <c r="K1206" s="72">
        <f t="shared" si="668"/>
        <v>0.61268544867947594</v>
      </c>
      <c r="L1206" s="72">
        <f t="shared" si="669"/>
        <v>0.49618218424039928</v>
      </c>
      <c r="M1206" s="72">
        <f t="shared" si="670"/>
        <v>0.7291887131185526</v>
      </c>
      <c r="N1206" s="72">
        <f t="shared" si="671"/>
        <v>0.56775998277334705</v>
      </c>
      <c r="O1206" s="72">
        <f t="shared" si="672"/>
        <v>0.81980987959050133</v>
      </c>
      <c r="P1206" s="72">
        <f t="shared" si="673"/>
        <v>0.79999627699180942</v>
      </c>
      <c r="Q1206" s="72"/>
      <c r="R1206" s="72"/>
      <c r="S1206" s="72">
        <f t="shared" si="674"/>
        <v>0.41276965008334676</v>
      </c>
      <c r="T1206" s="72">
        <f t="shared" si="675"/>
        <v>0.4381501397041373</v>
      </c>
      <c r="U1206" s="72">
        <f t="shared" si="676"/>
        <v>0.49028670134189989</v>
      </c>
      <c r="V1206" s="72">
        <f t="shared" si="677"/>
        <v>0.9085052725535111</v>
      </c>
      <c r="W1206" s="72">
        <f t="shared" si="678"/>
        <v>0.77376050420168063</v>
      </c>
      <c r="X1206" s="72">
        <f t="shared" si="679"/>
        <v>0.50381781575960072</v>
      </c>
      <c r="Y1206" s="72">
        <f t="shared" si="680"/>
        <v>0.2708112868814474</v>
      </c>
      <c r="Z1206" s="72">
        <f t="shared" si="681"/>
        <v>0.43224001722665295</v>
      </c>
      <c r="AA1206" s="72">
        <f t="shared" si="682"/>
        <v>0.18019012040949867</v>
      </c>
      <c r="AB1206" s="72">
        <f t="shared" si="683"/>
        <v>0.20000372300819064</v>
      </c>
      <c r="AC1206" s="72"/>
      <c r="AD1206" s="72"/>
      <c r="AE1206" s="72">
        <f t="shared" si="684"/>
        <v>0.58723034991665324</v>
      </c>
      <c r="AF1206" s="72">
        <f t="shared" si="685"/>
        <v>0.5618498602958627</v>
      </c>
      <c r="AG1206" s="72">
        <f t="shared" si="686"/>
        <v>0.50971329865810011</v>
      </c>
      <c r="AH1206" s="72">
        <f t="shared" si="687"/>
        <v>9.1494727446488899E-2</v>
      </c>
      <c r="AI1206" s="72">
        <f t="shared" si="688"/>
        <v>0.22623949579831934</v>
      </c>
      <c r="AJ1206" s="72">
        <f>(AV1206-Driver!$K$179)/(Driver!$L$179-Driver!$K$179)</f>
        <v>0.7580372250423012</v>
      </c>
      <c r="AK1206" s="72">
        <f>(AW1206-Driver!$K$180)/(Driver!$L$180-Driver!$K$180)</f>
        <v>9.4416865477239459E-2</v>
      </c>
      <c r="AL1206" s="72">
        <f>(AX1206-Driver!$K$181)/(Driver!$L$181-Driver!$K$181)</f>
        <v>0.53392778093973314</v>
      </c>
      <c r="AM1206" s="72">
        <f>(AY1206-Driver!$K$182)/(Driver!$L$182-Driver!$K$182)</f>
        <v>0.2671949006875477</v>
      </c>
      <c r="AN1206" s="72">
        <f>(AZ1206-Driver!$K$183)/(Driver!$L$183-Driver!$K$183)</f>
        <v>5.4215686274509803E-2</v>
      </c>
      <c r="AO1206" s="72"/>
      <c r="AP1206" s="72"/>
      <c r="AQ1206" s="72">
        <f>(BC1206-Driver!$K$188)/(Driver!$L$188-Driver!$K$188)</f>
        <v>3.276965008334673E-2</v>
      </c>
      <c r="AR1206" s="72">
        <f>MIN((BD1206-Driver!$K$189)/(Driver!$L$189-Driver!$K$189),100%)</f>
        <v>-1.1849860295862689E-2</v>
      </c>
      <c r="AS1206" s="72">
        <f>(BE1206-Driver!$K$190)/(Driver!$L$190-Driver!$K$190)</f>
        <v>2.8670134189993788E-4</v>
      </c>
      <c r="AT1206" s="72">
        <f>(BF1206-Driver!$K$191)/(Driver!$L$191-Driver!$K$191)</f>
        <v>0.60149472744648891</v>
      </c>
      <c r="AU1206" s="72">
        <f>(BG1206-Driver!$K$192)/(Driver!$L$192-Driver!$K$192)</f>
        <v>2.3760504201680663E-2</v>
      </c>
      <c r="AV1206" s="70">
        <f t="shared" si="689"/>
        <v>15.954415954415955</v>
      </c>
      <c r="AW1206" s="70">
        <f t="shared" si="690"/>
        <v>11.073652780751177</v>
      </c>
      <c r="AX1206" s="70">
        <f t="shared" si="691"/>
        <v>5.8053500284575987</v>
      </c>
      <c r="AY1206" s="70">
        <f>IFERROR(Driver!$K$19/Data!BH1206/Data!BI1206*Data!BK1206*Data!BL1206,"")</f>
        <v>0.32712628170534275</v>
      </c>
      <c r="AZ1206" s="70">
        <f t="shared" si="692"/>
        <v>4.9411764705882355</v>
      </c>
      <c r="BA1206" s="70"/>
      <c r="BB1206" s="70"/>
      <c r="BC1206" s="70">
        <f t="shared" si="693"/>
        <v>16.997845309143418</v>
      </c>
      <c r="BD1206" s="70">
        <f t="shared" si="694"/>
        <v>0.67213124462388263</v>
      </c>
      <c r="BE1206" s="70">
        <f t="shared" si="695"/>
        <v>4.6503894212806987E-4</v>
      </c>
      <c r="BF1206" s="70">
        <f t="shared" si="696"/>
        <v>67.93460372546042</v>
      </c>
      <c r="BG1206" s="70">
        <f t="shared" si="697"/>
        <v>8.9972426470588215E-2</v>
      </c>
      <c r="BH1206" s="67">
        <f>MAX((CE1206-Driver!$F$200)/(Driver!$G$200-Driver!$F$200)*$BI$1,1)</f>
        <v>5.8053500284575987</v>
      </c>
      <c r="BI1206" s="67">
        <f>MAX($BI$1*(BY1206-Driver!$F$201)/(Driver!$G$201-Driver!$F$201),1)</f>
        <v>1</v>
      </c>
      <c r="BJ1206" s="67">
        <f>(CB1206-Driver!$F$206)/(Driver!$G$206-Driver!$F$206)*$BI$1</f>
        <v>7.6190476190476186</v>
      </c>
      <c r="BK1206" s="67">
        <f>(CD1206-Driver!$F$203)/(Driver!$G$203-Driver!$F$203)*$BI$1</f>
        <v>9.4954128440367001</v>
      </c>
      <c r="BL1206" s="67">
        <f>MAX((CR1206-Driver!$F$202)/(Driver!$G$202-Driver!$F$202)*$BI$1,1)</f>
        <v>1</v>
      </c>
      <c r="BM1206" s="67">
        <f>MAX((CH1206-Driver!$F$204)/(Driver!$G$204-Driver!$F$204)*$BI$1,1)</f>
        <v>8.3760683760683765</v>
      </c>
      <c r="BN1206" s="67">
        <f>(CI1206-Driver!$F$205)/(Driver!$G$205-Driver!$F$205)*$BI$1</f>
        <v>4.9411764705882355</v>
      </c>
      <c r="BO1206" s="67">
        <f>(CK1206-Driver!$F$207)/(Driver!$G$207-Driver!$F$207)*$BI$1</f>
        <v>9.0175801447776625</v>
      </c>
      <c r="BP1206" s="67">
        <f>(CM1206-Driver!$F$208)/(Driver!$G$208-Driver!$F$208)*$BI$1</f>
        <v>9.3888888888888893</v>
      </c>
      <c r="BQ1206" s="67">
        <f>(CL1206-Driver!$F$209)/(Driver!$G$209-Driver!$F$209)*$BI$1</f>
        <v>4.375</v>
      </c>
      <c r="BR1206" s="28" t="s">
        <v>155</v>
      </c>
      <c r="BS1206" s="8" t="s">
        <v>190</v>
      </c>
      <c r="BT1206" s="9" t="s">
        <v>884</v>
      </c>
      <c r="BU1206" s="10">
        <v>184</v>
      </c>
      <c r="BV1206" s="9" t="s">
        <v>158</v>
      </c>
      <c r="BW1206" s="10">
        <v>184</v>
      </c>
      <c r="BX1206" s="10">
        <v>182.7</v>
      </c>
      <c r="BY1206" s="10">
        <v>0</v>
      </c>
      <c r="BZ1206" s="10">
        <v>132</v>
      </c>
      <c r="CA1206" s="10">
        <v>128</v>
      </c>
      <c r="CB1206" s="10">
        <v>112</v>
      </c>
      <c r="CC1206" s="10">
        <v>119</v>
      </c>
      <c r="CD1206" s="10">
        <v>30.1</v>
      </c>
      <c r="CE1206" s="10">
        <v>1920</v>
      </c>
      <c r="CF1206" s="10">
        <v>1.1000000000000001</v>
      </c>
      <c r="CG1206" s="10">
        <v>2118</v>
      </c>
      <c r="CH1206" s="10">
        <v>297</v>
      </c>
      <c r="CI1206" s="10">
        <v>117</v>
      </c>
      <c r="CJ1206" s="10">
        <v>76</v>
      </c>
      <c r="CK1206" s="10">
        <v>982</v>
      </c>
      <c r="CL1206" s="10">
        <v>28</v>
      </c>
      <c r="CM1206" s="10">
        <v>845</v>
      </c>
      <c r="CN1206" s="10">
        <v>0.36599999999999999</v>
      </c>
      <c r="CO1206" s="10">
        <v>209</v>
      </c>
      <c r="CP1206" s="10">
        <v>301</v>
      </c>
      <c r="CQ1206" s="10">
        <v>773</v>
      </c>
      <c r="CR1206" s="10">
        <v>-11</v>
      </c>
      <c r="CS1206" s="10">
        <v>6.9</v>
      </c>
      <c r="CT1206" s="9" t="s">
        <v>169</v>
      </c>
      <c r="CU1206" s="9" t="s">
        <v>178</v>
      </c>
      <c r="CV1206" s="9" t="s">
        <v>185</v>
      </c>
      <c r="CW1206" s="10"/>
      <c r="CX1206" t="e">
        <f>INDEX('Data_Price '!AG$2:AG$1266,MATCH(Data!$DN1206,'Data_Price '!$AT$2:$AT$1266,0))</f>
        <v>#N/A</v>
      </c>
      <c r="CY1206" t="e">
        <f>INDEX('Data_Price '!AH$2:AH$1266,MATCH(Data!$DN1206,'Data_Price '!$AT$2:$AT$1266,0))</f>
        <v>#N/A</v>
      </c>
      <c r="CZ1206" t="e">
        <f>INDEX('Data_Price '!AI$2:AI$1266,MATCH(Data!$DN1206,'Data_Price '!$AT$2:$AT$1266,0))</f>
        <v>#N/A</v>
      </c>
      <c r="DA1206" t="e">
        <f>INDEX('Data_Price '!AJ$2:AJ$1266,MATCH(Data!$DN1206,'Data_Price '!$AT$2:$AT$1266,0))</f>
        <v>#N/A</v>
      </c>
      <c r="DB1206" t="e">
        <f>INDEX('Data_Price '!AK$2:AK$1266,MATCH(Data!$DN1206,'Data_Price '!$AT$2:$AT$1266,0))</f>
        <v>#N/A</v>
      </c>
      <c r="DC1206" t="e">
        <f>INDEX('Data_Price '!AL$2:AL$1266,MATCH(Data!$DN1206,'Data_Price '!$AT$2:$AT$1266,0))</f>
        <v>#N/A</v>
      </c>
      <c r="DD1206" t="e">
        <f>INDEX('Data_Price '!AM$2:AM$1266,MATCH(Data!$DN1206,'Data_Price '!$AT$2:$AT$1266,0))</f>
        <v>#N/A</v>
      </c>
      <c r="DE1206" t="e">
        <f>INDEX('Data_Price '!AN$2:AN$1266,MATCH(Data!$DN1206,'Data_Price '!$AT$2:$AT$1266,0))</f>
        <v>#N/A</v>
      </c>
      <c r="DF1206" t="e">
        <f>INDEX('Data_Price '!AO$2:AO$1266,MATCH(Data!$DN1206,'Data_Price '!$AT$2:$AT$1266,0))</f>
        <v>#N/A</v>
      </c>
      <c r="DG1206" t="e">
        <f>INDEX('Data_Price '!AP$2:AP$1266,MATCH(Data!$DN1206,'Data_Price '!$AT$2:$AT$1266,0))</f>
        <v>#N/A</v>
      </c>
      <c r="DH1206" t="e">
        <f>INDEX('Data_Price '!AQ$2:AQ$1266,MATCH(Data!$DN1206,'Data_Price '!$AT$2:$AT$1266,0))</f>
        <v>#N/A</v>
      </c>
      <c r="DI1206" t="e">
        <f>INDEX('Data_Price '!AR$2:AR$1266,MATCH(Data!$DN1206,'Data_Price '!$AT$2:$AT$1266,0))</f>
        <v>#N/A</v>
      </c>
      <c r="DJ1206" s="89" t="e">
        <f t="shared" si="698"/>
        <v>#N/A</v>
      </c>
      <c r="DK1206" s="89" t="e">
        <f t="shared" si="699"/>
        <v>#N/A</v>
      </c>
      <c r="DL1206" s="89" t="e">
        <f t="shared" si="700"/>
        <v>#N/A</v>
      </c>
      <c r="DM1206" s="219" t="str">
        <f t="shared" si="701"/>
        <v>Hoji</v>
      </c>
      <c r="DN1206" s="89" t="str">
        <f t="shared" si="702"/>
        <v xml:space="preserve"> 4FRNTHoji184 Unisex</v>
      </c>
      <c r="DO1206" s="221"/>
    </row>
    <row r="1207" spans="2:119" ht="15.6" customHeight="1">
      <c r="B1207" s="219" t="b">
        <f t="array" ref="B1207">IF(OR(ISERROR(K1207:P1207)),FALSE,TRUE)</f>
        <v>1</v>
      </c>
      <c r="C1207" s="43" t="b">
        <f>OR(BR1207=Driver!$G$50,Data!BR273=Driver!$H$50)</f>
        <v>1</v>
      </c>
      <c r="D1207" s="43" t="b">
        <f>OR(BV1207=Driver!$G$51,BV1207=Driver!$H$51)</f>
        <v>1</v>
      </c>
      <c r="E1207" s="43" t="b">
        <f>AND(BX1207&gt;Driver!$F$54,BX1207&lt;Driver!$G$54)</f>
        <v>0</v>
      </c>
      <c r="F1207" s="43" t="b">
        <f>CL1207&gt;Driver!$F$56</f>
        <v>1</v>
      </c>
      <c r="G1207" s="43" t="b">
        <f>AND(CB1207&gt;Driver!$F$55,CB1207&lt;Driver!$G$55)</f>
        <v>0</v>
      </c>
      <c r="H1207" s="43" t="b">
        <f t="shared" si="666"/>
        <v>0</v>
      </c>
      <c r="I1207" s="43">
        <f t="shared" si="667"/>
        <v>0</v>
      </c>
      <c r="J1207" s="43" t="b">
        <f t="array" ref="J1207">NOT(OR(($H$9:$H$1273=TRUE)*($I$9:$I$1273&gt;0)*($BT$9:$BT$1273=BT1207)*($K$9:$K$1273&gt;K1207)))</f>
        <v>1</v>
      </c>
      <c r="K1207" s="72">
        <f t="shared" si="668"/>
        <v>0.76779426131539619</v>
      </c>
      <c r="L1207" s="72">
        <f t="shared" si="669"/>
        <v>0.9841175498664414</v>
      </c>
      <c r="M1207" s="72">
        <f t="shared" si="670"/>
        <v>0.55147097276435098</v>
      </c>
      <c r="N1207" s="72">
        <f t="shared" si="671"/>
        <v>0.46657741147125376</v>
      </c>
      <c r="O1207" s="72">
        <f t="shared" si="672"/>
        <v>0.62389387531687635</v>
      </c>
      <c r="P1207" s="72">
        <f t="shared" si="673"/>
        <v>0.5639416315049226</v>
      </c>
      <c r="Q1207" s="72"/>
      <c r="R1207" s="72"/>
      <c r="S1207" s="72">
        <f t="shared" si="674"/>
        <v>0.755940857827468</v>
      </c>
      <c r="T1207" s="72">
        <f t="shared" si="675"/>
        <v>0.64299096632073083</v>
      </c>
      <c r="U1207" s="72">
        <f t="shared" si="676"/>
        <v>0.51</v>
      </c>
      <c r="V1207" s="72">
        <f t="shared" si="677"/>
        <v>0.49722198196423284</v>
      </c>
      <c r="W1207" s="72">
        <f t="shared" si="678"/>
        <v>0.75413135593220337</v>
      </c>
      <c r="X1207" s="72">
        <f t="shared" si="679"/>
        <v>1.5882450133558573E-2</v>
      </c>
      <c r="Y1207" s="72">
        <f t="shared" si="680"/>
        <v>0.44852902723564908</v>
      </c>
      <c r="Z1207" s="72">
        <f t="shared" si="681"/>
        <v>0.53342258852874624</v>
      </c>
      <c r="AA1207" s="72">
        <f t="shared" si="682"/>
        <v>0.37610612468312371</v>
      </c>
      <c r="AB1207" s="72">
        <f t="shared" si="683"/>
        <v>0.43605836849507734</v>
      </c>
      <c r="AC1207" s="72"/>
      <c r="AD1207" s="72"/>
      <c r="AE1207" s="72">
        <f t="shared" si="684"/>
        <v>0.24405914217253194</v>
      </c>
      <c r="AF1207" s="72">
        <f t="shared" si="685"/>
        <v>0.35700903367926917</v>
      </c>
      <c r="AG1207" s="72">
        <f t="shared" si="686"/>
        <v>0.49</v>
      </c>
      <c r="AH1207" s="72">
        <f t="shared" si="687"/>
        <v>0.50277801803576716</v>
      </c>
      <c r="AI1207" s="72">
        <f t="shared" si="688"/>
        <v>0.2458686440677966</v>
      </c>
      <c r="AJ1207" s="72">
        <f>(AV1207-Driver!$K$179)/(Driver!$L$179-Driver!$K$179)</f>
        <v>0.23833695914914185</v>
      </c>
      <c r="AK1207" s="72">
        <f>(AW1207-Driver!$K$180)/(Driver!$L$180-Driver!$K$180)</f>
        <v>0.69611689448325864</v>
      </c>
      <c r="AL1207" s="72">
        <f>(AX1207-Driver!$K$181)/(Driver!$L$181-Driver!$K$181)</f>
        <v>0.63511035224182644</v>
      </c>
      <c r="AM1207" s="72">
        <f>(AY1207-Driver!$K$182)/(Driver!$L$182-Driver!$K$182)</f>
        <v>7.1278896413922668E-2</v>
      </c>
      <c r="AN1207" s="72">
        <f>(AZ1207-Driver!$K$183)/(Driver!$L$183-Driver!$K$183)</f>
        <v>0.69027777777777777</v>
      </c>
      <c r="AO1207" s="72"/>
      <c r="AP1207" s="72"/>
      <c r="AQ1207" s="72">
        <f>(BC1207-Driver!$K$188)/(Driver!$L$188-Driver!$K$188)</f>
        <v>0.37594085782746806</v>
      </c>
      <c r="AR1207" s="72">
        <f>MIN((BD1207-Driver!$K$189)/(Driver!$L$189-Driver!$K$189),100%)</f>
        <v>0.1929909663207309</v>
      </c>
      <c r="AS1207" s="72">
        <f>(BE1207-Driver!$K$190)/(Driver!$L$190-Driver!$K$190)</f>
        <v>1</v>
      </c>
      <c r="AT1207" s="72">
        <f>(BF1207-Driver!$K$191)/(Driver!$L$191-Driver!$K$191)</f>
        <v>7.2219819642328027E-3</v>
      </c>
      <c r="AU1207" s="72">
        <f>(BG1207-Driver!$K$192)/(Driver!$L$192-Driver!$K$192)</f>
        <v>4.1313559322033889E-3</v>
      </c>
      <c r="AV1207" s="70">
        <f t="shared" si="689"/>
        <v>5.0162800162800156</v>
      </c>
      <c r="AW1207" s="70">
        <f t="shared" si="690"/>
        <v>69.714652212020397</v>
      </c>
      <c r="AX1207" s="70">
        <f t="shared" si="691"/>
        <v>6.7159931701764375</v>
      </c>
      <c r="AY1207" s="70">
        <f>IFERROR(Driver!$K$19/Data!BH1207/Data!BI1207*Data!BK1207*Data!BL1207,"")</f>
        <v>8.726663678066772E-2</v>
      </c>
      <c r="AZ1207" s="70">
        <f t="shared" si="692"/>
        <v>62.911392405063289</v>
      </c>
      <c r="BA1207" s="70"/>
      <c r="BB1207" s="70"/>
      <c r="BC1207" s="70">
        <f t="shared" si="693"/>
        <v>195.00313645355101</v>
      </c>
      <c r="BD1207" s="70">
        <f t="shared" si="694"/>
        <v>18.800181443724917</v>
      </c>
      <c r="BE1207" s="70">
        <f t="shared" si="695"/>
        <v>1</v>
      </c>
      <c r="BF1207" s="70">
        <f t="shared" si="696"/>
        <v>0.81567212556526558</v>
      </c>
      <c r="BG1207" s="70">
        <f t="shared" si="697"/>
        <v>1.5643949079485679E-2</v>
      </c>
      <c r="BH1207" s="67">
        <f>MAX((CE1207-Driver!$F$200)/(Driver!$G$200-Driver!$F$200)*$BI$1,1)</f>
        <v>6.7159931701764375</v>
      </c>
      <c r="BI1207" s="67">
        <f>MAX($BI$1*(BY1207-Driver!$F$201)/(Driver!$G$201-Driver!$F$201),1)</f>
        <v>8.9873417721518987</v>
      </c>
      <c r="BJ1207" s="67">
        <f>(CB1207-Driver!$F$206)/(Driver!$G$206-Driver!$F$206)*$BI$1</f>
        <v>2.6984126984126982</v>
      </c>
      <c r="BK1207" s="67">
        <f>(CD1207-Driver!$F$203)/(Driver!$G$203-Driver!$F$203)*$BI$1</f>
        <v>5.0917431192660558</v>
      </c>
      <c r="BL1207" s="67">
        <f>MAX((CR1207-Driver!$F$202)/(Driver!$G$202-Driver!$F$202)*$BI$1,1)</f>
        <v>5.1724137931034484</v>
      </c>
      <c r="BM1207" s="67">
        <f>MAX((CH1207-Driver!$F$204)/(Driver!$G$204-Driver!$F$204)*$BI$1,1)</f>
        <v>7.4358974358974361</v>
      </c>
      <c r="BN1207" s="67">
        <f>(CI1207-Driver!$F$205)/(Driver!$G$205-Driver!$F$205)*$BI$1</f>
        <v>7</v>
      </c>
      <c r="BO1207" s="67">
        <f>(CK1207-Driver!$F$207)/(Driver!$G$207-Driver!$F$207)*$BI$1</f>
        <v>1.4581178903826266</v>
      </c>
      <c r="BP1207" s="67">
        <f>(CM1207-Driver!$F$208)/(Driver!$G$208-Driver!$F$208)*$BI$1</f>
        <v>1.0555555555555556</v>
      </c>
      <c r="BQ1207" s="67">
        <f>(CL1207-Driver!$F$209)/(Driver!$G$209-Driver!$F$209)*$BI$1</f>
        <v>0.78125</v>
      </c>
      <c r="BR1207" s="28" t="s">
        <v>155</v>
      </c>
      <c r="BS1207" s="8" t="s">
        <v>317</v>
      </c>
      <c r="BT1207" s="9" t="s">
        <v>821</v>
      </c>
      <c r="BU1207" s="10">
        <v>187</v>
      </c>
      <c r="BV1207" s="9" t="s">
        <v>158</v>
      </c>
      <c r="BW1207" s="10">
        <v>187</v>
      </c>
      <c r="BX1207" s="10">
        <v>185</v>
      </c>
      <c r="BY1207" s="10">
        <v>150</v>
      </c>
      <c r="BZ1207" s="10">
        <v>162</v>
      </c>
      <c r="CA1207" s="10">
        <v>121</v>
      </c>
      <c r="CB1207" s="10">
        <v>81</v>
      </c>
      <c r="CC1207" s="10">
        <v>104</v>
      </c>
      <c r="CD1207" s="10">
        <v>20.5</v>
      </c>
      <c r="CE1207" s="10">
        <v>2080</v>
      </c>
      <c r="CF1207" s="10">
        <v>0.83</v>
      </c>
      <c r="CG1207" s="10">
        <v>1729</v>
      </c>
      <c r="CH1207" s="10">
        <v>275</v>
      </c>
      <c r="CI1207" s="10">
        <v>152</v>
      </c>
      <c r="CJ1207" s="10">
        <v>55</v>
      </c>
      <c r="CK1207" s="10">
        <v>251</v>
      </c>
      <c r="CL1207" s="10">
        <v>5</v>
      </c>
      <c r="CM1207" s="10">
        <v>95</v>
      </c>
      <c r="CN1207" s="10">
        <v>8.5000000000000006E-2</v>
      </c>
      <c r="CO1207" s="10">
        <v>122</v>
      </c>
      <c r="CP1207" s="10">
        <v>110</v>
      </c>
      <c r="CQ1207" s="10">
        <v>129</v>
      </c>
      <c r="CR1207" s="10">
        <v>4</v>
      </c>
      <c r="CS1207" s="10">
        <v>11.1</v>
      </c>
      <c r="CT1207" s="9" t="s">
        <v>349</v>
      </c>
      <c r="CU1207" s="9" t="s">
        <v>231</v>
      </c>
      <c r="CV1207" s="9" t="s">
        <v>188</v>
      </c>
      <c r="CW1207" s="10"/>
      <c r="CX1207" t="str">
        <f>INDEX('Data_Price '!AG$2:AG$1266,MATCH(Data!$DN1207,'Data_Price '!$AT$2:$AT$1266,0))</f>
        <v>Blizzard Brahma 82 Skis (Blue) Man</v>
      </c>
      <c r="CY1207" t="str">
        <f>INDEX('Data_Price '!AH$2:AH$1266,MATCH(Data!$DN1207,'Data_Price '!$AT$2:$AT$1266,0))</f>
        <v>AlpinStore</v>
      </c>
      <c r="CZ1207">
        <f>INDEX('Data_Price '!AI$2:AI$1266,MATCH(Data!$DN1207,'Data_Price '!$AT$2:$AT$1266,0))</f>
        <v>416.43</v>
      </c>
      <c r="DA1207" t="str">
        <f>INDEX('Data_Price '!AJ$2:AJ$1266,MATCH(Data!$DN1207,'Data_Price '!$AT$2:$AT$1266,0))</f>
        <v>https://tinyurl.com/yan6fvaf</v>
      </c>
      <c r="DB1207" t="str">
        <f>INDEX('Data_Price '!AK$2:AK$1266,MATCH(Data!$DN1207,'Data_Price '!$AT$2:$AT$1266,0))</f>
        <v>Blizzard Brahma 82 Flat Ski 2020-2021 | BLUE / 187</v>
      </c>
      <c r="DC1207" t="str">
        <f>INDEX('Data_Price '!AL$2:AL$1266,MATCH(Data!$DN1207,'Data_Price '!$AT$2:$AT$1266,0))</f>
        <v>Ski Pro  - Snow Ski &amp; Snowboard</v>
      </c>
      <c r="DD1207">
        <f>INDEX('Data_Price '!AM$2:AM$1266,MATCH(Data!$DN1207,'Data_Price '!$AT$2:$AT$1266,0))</f>
        <v>499.95</v>
      </c>
      <c r="DE1207" t="str">
        <f>INDEX('Data_Price '!AN$2:AN$1266,MATCH(Data!$DN1207,'Data_Price '!$AT$2:$AT$1266,0))</f>
        <v>https://tinyurl.com/yc2l249s</v>
      </c>
      <c r="DF1207" t="str">
        <f>INDEX('Data_Price '!AO$2:AO$1266,MATCH(Data!$DN1207,'Data_Price '!$AT$2:$AT$1266,0))</f>
        <v>2022 Blizzard Brahma 82 Snow Skis 187</v>
      </c>
      <c r="DG1207" t="str">
        <f>INDEX('Data_Price '!AP$2:AP$1266,MATCH(Data!$DN1207,'Data_Price '!$AT$2:$AT$1266,0))</f>
        <v>The Pro Shop</v>
      </c>
      <c r="DH1207">
        <f>INDEX('Data_Price '!AQ$2:AQ$1266,MATCH(Data!$DN1207,'Data_Price '!$AT$2:$AT$1266,0))</f>
        <v>599.95000000000005</v>
      </c>
      <c r="DI1207" t="str">
        <f>INDEX('Data_Price '!AR$2:AR$1266,MATCH(Data!$DN1207,'Data_Price '!$AT$2:$AT$1266,0))</f>
        <v>https://tinyurl.com/y7rxs2jr</v>
      </c>
      <c r="DJ1207" s="89" t="str">
        <f t="shared" si="698"/>
        <v>https://tinyurl.com/yan6fvaf</v>
      </c>
      <c r="DK1207" s="89" t="str">
        <f t="shared" si="699"/>
        <v>https://tinyurl.com/yc2l249s</v>
      </c>
      <c r="DL1207" s="89" t="str">
        <f t="shared" si="700"/>
        <v>https://tinyurl.com/y7rxs2jr</v>
      </c>
      <c r="DM1207" s="219" t="str">
        <f t="shared" si="701"/>
        <v>Brahma 82</v>
      </c>
      <c r="DN1207" s="89" t="str">
        <f t="shared" si="702"/>
        <v xml:space="preserve"> BlizzardBrahma 82187 Unisex</v>
      </c>
      <c r="DO1207" s="221" t="s">
        <v>822</v>
      </c>
    </row>
    <row r="1208" spans="2:119" ht="15.6" customHeight="1">
      <c r="B1208" s="219" t="b">
        <f t="array" ref="B1208">IF(OR(ISERROR(K1208:P1208)),FALSE,TRUE)</f>
        <v>1</v>
      </c>
      <c r="C1208" s="43" t="b">
        <f>OR(BR1208=Driver!$G$50,Data!BR898=Driver!$H$50)</f>
        <v>1</v>
      </c>
      <c r="D1208" s="43" t="b">
        <f>OR(BV1208=Driver!$G$51,BV1208=Driver!$H$51)</f>
        <v>1</v>
      </c>
      <c r="E1208" s="43" t="b">
        <f>AND(BX1208&gt;Driver!$F$54,BX1208&lt;Driver!$G$54)</f>
        <v>0</v>
      </c>
      <c r="F1208" s="43" t="b">
        <f>CL1208&gt;Driver!$F$56</f>
        <v>1</v>
      </c>
      <c r="G1208" s="43" t="b">
        <f>AND(CB1208&gt;Driver!$F$55,CB1208&lt;Driver!$G$55)</f>
        <v>1</v>
      </c>
      <c r="H1208" s="43" t="b">
        <f t="shared" si="666"/>
        <v>0</v>
      </c>
      <c r="I1208" s="43">
        <f t="shared" si="667"/>
        <v>1</v>
      </c>
      <c r="J1208" s="43" t="b">
        <f t="array" ref="J1208">NOT(OR(($H$9:$H$1273=TRUE)*($I$9:$I$1273&gt;0)*($BT$9:$BT$1273=BT1208)*($K$9:$K$1273&gt;K1208)))</f>
        <v>0</v>
      </c>
      <c r="K1208" s="72">
        <f t="shared" si="668"/>
        <v>0.69670019062414656</v>
      </c>
      <c r="L1208" s="72">
        <f t="shared" si="669"/>
        <v>0.84571082818528687</v>
      </c>
      <c r="M1208" s="72">
        <f t="shared" si="670"/>
        <v>0.54768955306300637</v>
      </c>
      <c r="N1208" s="72">
        <f t="shared" si="671"/>
        <v>0.3616004937453321</v>
      </c>
      <c r="O1208" s="72">
        <f t="shared" si="672"/>
        <v>0.62516542282765308</v>
      </c>
      <c r="P1208" s="72">
        <f t="shared" si="673"/>
        <v>0.65630274261603372</v>
      </c>
      <c r="Q1208" s="72"/>
      <c r="R1208" s="72"/>
      <c r="S1208" s="72">
        <f t="shared" si="674"/>
        <v>0.5543203073476991</v>
      </c>
      <c r="T1208" s="72">
        <f t="shared" si="675"/>
        <v>0.54735200566018738</v>
      </c>
      <c r="U1208" s="72">
        <f t="shared" si="676"/>
        <v>0.51609683493616321</v>
      </c>
      <c r="V1208" s="72">
        <f t="shared" si="677"/>
        <v>0.57153447803776447</v>
      </c>
      <c r="W1208" s="72">
        <f t="shared" si="678"/>
        <v>0.78781203566121838</v>
      </c>
      <c r="X1208" s="72">
        <f t="shared" si="679"/>
        <v>0.15428917181471313</v>
      </c>
      <c r="Y1208" s="72">
        <f t="shared" si="680"/>
        <v>0.45231044693699368</v>
      </c>
      <c r="Z1208" s="72">
        <f t="shared" si="681"/>
        <v>0.6383995062546679</v>
      </c>
      <c r="AA1208" s="72">
        <f t="shared" si="682"/>
        <v>0.37483457717234697</v>
      </c>
      <c r="AB1208" s="72">
        <f t="shared" si="683"/>
        <v>0.34369725738396623</v>
      </c>
      <c r="AC1208" s="72"/>
      <c r="AD1208" s="72"/>
      <c r="AE1208" s="72">
        <f t="shared" si="684"/>
        <v>0.4456796926523009</v>
      </c>
      <c r="AF1208" s="72">
        <f t="shared" si="685"/>
        <v>0.45264799433981262</v>
      </c>
      <c r="AG1208" s="72">
        <f t="shared" si="686"/>
        <v>0.48390316506383679</v>
      </c>
      <c r="AH1208" s="72">
        <f t="shared" si="687"/>
        <v>0.42846552196223547</v>
      </c>
      <c r="AI1208" s="72">
        <f t="shared" si="688"/>
        <v>0.21218796433878157</v>
      </c>
      <c r="AJ1208" s="72">
        <f>(AV1208-Driver!$K$179)/(Driver!$L$179-Driver!$K$179)</f>
        <v>0.40850858109741356</v>
      </c>
      <c r="AK1208" s="72">
        <f>(AW1208-Driver!$K$180)/(Driver!$L$180-Driver!$K$180)</f>
        <v>0.61945508624125445</v>
      </c>
      <c r="AL1208" s="72">
        <f>(AX1208-Driver!$K$181)/(Driver!$L$181-Driver!$K$181)</f>
        <v>0.7400872699677481</v>
      </c>
      <c r="AM1208" s="72">
        <f>(AY1208-Driver!$K$182)/(Driver!$L$182-Driver!$K$182)</f>
        <v>7.2550443924699407E-2</v>
      </c>
      <c r="AN1208" s="72">
        <f>(AZ1208-Driver!$K$183)/(Driver!$L$183-Driver!$K$183)</f>
        <v>0.59791666666666665</v>
      </c>
      <c r="AO1208" s="72"/>
      <c r="AP1208" s="72"/>
      <c r="AQ1208" s="72">
        <f>(BC1208-Driver!$K$188)/(Driver!$L$188-Driver!$K$188)</f>
        <v>0.1743203073476991</v>
      </c>
      <c r="AR1208" s="72">
        <f>MIN((BD1208-Driver!$K$189)/(Driver!$L$189-Driver!$K$189),100%)</f>
        <v>9.735200566018741E-2</v>
      </c>
      <c r="AS1208" s="72">
        <f>(BE1208-Driver!$K$190)/(Driver!$L$190-Driver!$K$190)</f>
        <v>2.6096834936163223E-2</v>
      </c>
      <c r="AT1208" s="72">
        <f>(BF1208-Driver!$K$191)/(Driver!$L$191-Driver!$K$191)</f>
        <v>8.1534478037764549E-2</v>
      </c>
      <c r="AU1208" s="72">
        <f>(BG1208-Driver!$K$192)/(Driver!$L$192-Driver!$K$192)</f>
        <v>3.7812035661218421E-2</v>
      </c>
      <c r="AV1208" s="70">
        <f t="shared" si="689"/>
        <v>8.5978835978835981</v>
      </c>
      <c r="AW1208" s="70">
        <f t="shared" si="690"/>
        <v>62.243279706112702</v>
      </c>
      <c r="AX1208" s="70">
        <f t="shared" si="691"/>
        <v>7.6607854297097324</v>
      </c>
      <c r="AY1208" s="70">
        <f>IFERROR(Driver!$K$19/Data!BH1208/Data!BI1208*Data!BK1208*Data!BL1208,"")</f>
        <v>8.8823390327018109E-2</v>
      </c>
      <c r="AZ1208" s="70">
        <f t="shared" si="692"/>
        <v>54.493670886075954</v>
      </c>
      <c r="BA1208" s="70"/>
      <c r="BB1208" s="70"/>
      <c r="BC1208" s="70">
        <f t="shared" si="693"/>
        <v>90.421155276367571</v>
      </c>
      <c r="BD1208" s="70">
        <f t="shared" si="694"/>
        <v>10.336302887477499</v>
      </c>
      <c r="BE1208" s="70">
        <f t="shared" si="695"/>
        <v>2.6270568299063563E-2</v>
      </c>
      <c r="BF1208" s="70">
        <f t="shared" si="696"/>
        <v>9.208746482238384</v>
      </c>
      <c r="BG1208" s="70">
        <f t="shared" si="697"/>
        <v>0.14318048848439821</v>
      </c>
      <c r="BH1208" s="67">
        <f>MAX((CE1208-Driver!$F$200)/(Driver!$G$200-Driver!$F$200)*$BI$1,1)</f>
        <v>7.6607854297097324</v>
      </c>
      <c r="BI1208" s="67">
        <f>MAX($BI$1*(BY1208-Driver!$F$201)/(Driver!$G$201-Driver!$F$201),1)</f>
        <v>7.5316455696202533</v>
      </c>
      <c r="BJ1208" s="67">
        <f>(CB1208-Driver!$F$206)/(Driver!$G$206-Driver!$F$206)*$BI$1</f>
        <v>6.1904761904761907</v>
      </c>
      <c r="BK1208" s="67">
        <f>(CD1208-Driver!$F$203)/(Driver!$G$203-Driver!$F$203)*$BI$1</f>
        <v>4.1284403669724767</v>
      </c>
      <c r="BL1208" s="67">
        <f>MAX((CR1208-Driver!$F$202)/(Driver!$G$202-Driver!$F$202)*$BI$1,1)</f>
        <v>6.2068965517241379</v>
      </c>
      <c r="BM1208" s="67">
        <f>MAX((CH1208-Driver!$F$204)/(Driver!$G$204-Driver!$F$204)*$BI$1,1)</f>
        <v>5.5555555555555554</v>
      </c>
      <c r="BN1208" s="67">
        <f>(CI1208-Driver!$F$205)/(Driver!$G$205-Driver!$F$205)*$BI$1</f>
        <v>7.2352941176470589</v>
      </c>
      <c r="BO1208" s="67">
        <f>(CK1208-Driver!$F$207)/(Driver!$G$207-Driver!$F$207)*$BI$1</f>
        <v>2.1096173733195451</v>
      </c>
      <c r="BP1208" s="67">
        <f>(CM1208-Driver!$F$208)/(Driver!$G$208-Driver!$F$208)*$BI$1</f>
        <v>2.911111111111111</v>
      </c>
      <c r="BQ1208" s="67">
        <f>(CL1208-Driver!$F$209)/(Driver!$G$209-Driver!$F$209)*$BI$1</f>
        <v>6.09375</v>
      </c>
      <c r="BR1208" s="28" t="s">
        <v>155</v>
      </c>
      <c r="BS1208" s="8" t="s">
        <v>332</v>
      </c>
      <c r="BT1208" s="9" t="s">
        <v>694</v>
      </c>
      <c r="BU1208" s="10">
        <v>186</v>
      </c>
      <c r="BV1208" s="9" t="s">
        <v>158</v>
      </c>
      <c r="BW1208" s="10">
        <v>186</v>
      </c>
      <c r="BX1208" s="10">
        <v>184.9</v>
      </c>
      <c r="BY1208" s="10">
        <v>127</v>
      </c>
      <c r="BZ1208" s="10">
        <v>154</v>
      </c>
      <c r="CA1208" s="10">
        <v>136</v>
      </c>
      <c r="CB1208" s="10">
        <v>103</v>
      </c>
      <c r="CC1208" s="10">
        <v>126</v>
      </c>
      <c r="CD1208" s="10">
        <v>18.399999999999999</v>
      </c>
      <c r="CE1208" s="10">
        <v>2246</v>
      </c>
      <c r="CF1208" s="10">
        <v>0.94</v>
      </c>
      <c r="CG1208" s="10">
        <v>2117</v>
      </c>
      <c r="CH1208" s="10">
        <v>231</v>
      </c>
      <c r="CI1208" s="10">
        <v>156</v>
      </c>
      <c r="CJ1208" s="10">
        <v>56</v>
      </c>
      <c r="CK1208" s="10">
        <v>314</v>
      </c>
      <c r="CL1208" s="10">
        <v>39</v>
      </c>
      <c r="CM1208" s="10">
        <v>262</v>
      </c>
      <c r="CN1208" s="10">
        <v>0.69099999999999995</v>
      </c>
      <c r="CO1208" s="10">
        <v>162</v>
      </c>
      <c r="CP1208" s="10">
        <v>151</v>
      </c>
      <c r="CQ1208" s="10">
        <v>151</v>
      </c>
      <c r="CR1208" s="10">
        <v>7</v>
      </c>
      <c r="CS1208" s="10">
        <v>9.1999999999999993</v>
      </c>
      <c r="CT1208" s="9" t="s">
        <v>188</v>
      </c>
      <c r="CU1208" s="9" t="s">
        <v>169</v>
      </c>
      <c r="CV1208" s="10"/>
      <c r="CW1208" s="10"/>
      <c r="CX1208" t="str">
        <f>INDEX('Data_Price '!AG$2:AG$1266,MATCH(Data!$DN1208,'Data_Price '!$AT$2:$AT$1266,0))</f>
        <v>Nordica Enforcer 104 free GREY/BLUE/WHITE / 186cm</v>
      </c>
      <c r="CY1208" t="str">
        <f>INDEX('Data_Price '!AH$2:AH$1266,MATCH(Data!$DN1208,'Data_Price '!$AT$2:$AT$1266,0))</f>
        <v>Sundance Ski and Board Shop</v>
      </c>
      <c r="CZ1208">
        <f>INDEX('Data_Price '!AI$2:AI$1266,MATCH(Data!$DN1208,'Data_Price '!$AT$2:$AT$1266,0))</f>
        <v>561.01</v>
      </c>
      <c r="DA1208" t="str">
        <f>INDEX('Data_Price '!AJ$2:AJ$1266,MATCH(Data!$DN1208,'Data_Price '!$AT$2:$AT$1266,0))</f>
        <v>https://tinyurl.com/y8jhjn2m</v>
      </c>
      <c r="DB1208" t="str">
        <f>INDEX('Data_Price '!AK$2:AK$1266,MATCH(Data!$DN1208,'Data_Price '!$AT$2:$AT$1266,0))</f>
        <v>Nordica Enforcer 104 Free Skis 2022</v>
      </c>
      <c r="DC1208" t="str">
        <f>INDEX('Data_Price '!AL$2:AL$1266,MATCH(Data!$DN1208,'Data_Price '!$AT$2:$AT$1266,0))</f>
        <v>Powder7 Ski Shop</v>
      </c>
      <c r="DD1208">
        <f>INDEX('Data_Price '!AM$2:AM$1266,MATCH(Data!$DN1208,'Data_Price '!$AT$2:$AT$1266,0))</f>
        <v>639.92999999999995</v>
      </c>
      <c r="DE1208" t="str">
        <f>INDEX('Data_Price '!AN$2:AN$1266,MATCH(Data!$DN1208,'Data_Price '!$AT$2:$AT$1266,0))</f>
        <v>https://tinyurl.com/ybedqxzs</v>
      </c>
      <c r="DF1208" t="str">
        <f>INDEX('Data_Price '!AO$2:AO$1266,MATCH(Data!$DN1208,'Data_Price '!$AT$2:$AT$1266,0))</f>
        <v>Nordica Enforcer 104 Free Alpine Skis 2022 - - 186 cm</v>
      </c>
      <c r="DG1208" t="str">
        <f>INDEX('Data_Price '!AP$2:AP$1266,MATCH(Data!$DN1208,'Data_Price '!$AT$2:$AT$1266,0))</f>
        <v>Skirack</v>
      </c>
      <c r="DH1208">
        <f>INDEX('Data_Price '!AQ$2:AQ$1266,MATCH(Data!$DN1208,'Data_Price '!$AT$2:$AT$1266,0))</f>
        <v>639.96</v>
      </c>
      <c r="DI1208" t="str">
        <f>INDEX('Data_Price '!AR$2:AR$1266,MATCH(Data!$DN1208,'Data_Price '!$AT$2:$AT$1266,0))</f>
        <v>https://tinyurl.com/yadz5qkz</v>
      </c>
      <c r="DJ1208" s="89" t="str">
        <f t="shared" si="698"/>
        <v>https://tinyurl.com/y8jhjn2m</v>
      </c>
      <c r="DK1208" s="89" t="str">
        <f t="shared" si="699"/>
        <v>https://tinyurl.com/ybedqxzs</v>
      </c>
      <c r="DL1208" s="89" t="str">
        <f t="shared" si="700"/>
        <v>https://tinyurl.com/yadz5qkz</v>
      </c>
      <c r="DM1208" s="219" t="str">
        <f t="shared" si="701"/>
        <v>Enforcer 104 Free</v>
      </c>
      <c r="DN1208" s="89" t="str">
        <f t="shared" si="702"/>
        <v xml:space="preserve"> NordicaEnforcer 104 Free186 Unisex</v>
      </c>
      <c r="DO1208" s="221" t="s">
        <v>695</v>
      </c>
    </row>
    <row r="1209" spans="2:119" ht="15.6" customHeight="1">
      <c r="B1209" s="219" t="b">
        <f t="array" ref="B1209">IF(OR(ISERROR(K1209:P1209)),FALSE,TRUE)</f>
        <v>1</v>
      </c>
      <c r="C1209" s="43" t="b">
        <f>OR(BR1209=Driver!$G$50,Data!BR186=Driver!$H$50)</f>
        <v>1</v>
      </c>
      <c r="D1209" s="43" t="b">
        <f>OR(BV1209=Driver!$G$51,BV1209=Driver!$H$51)</f>
        <v>1</v>
      </c>
      <c r="E1209" s="43" t="b">
        <f>AND(BX1209&gt;Driver!$F$54,BX1209&lt;Driver!$G$54)</f>
        <v>0</v>
      </c>
      <c r="F1209" s="43" t="b">
        <f>CL1209&gt;Driver!$F$56</f>
        <v>1</v>
      </c>
      <c r="G1209" s="43" t="b">
        <f>AND(CB1209&gt;Driver!$F$55,CB1209&lt;Driver!$G$55)</f>
        <v>0</v>
      </c>
      <c r="H1209" s="43" t="b">
        <f t="shared" si="666"/>
        <v>0</v>
      </c>
      <c r="I1209" s="43">
        <f t="shared" si="667"/>
        <v>0</v>
      </c>
      <c r="J1209" s="43" t="b">
        <f t="array" ref="J1209">NOT(OR(($H$9:$H$1273=TRUE)*($I$9:$I$1273&gt;0)*($BT$9:$BT$1273=BT1209)*($K$9:$K$1273&gt;K1209)))</f>
        <v>1</v>
      </c>
      <c r="K1209" s="72">
        <f t="shared" si="668"/>
        <v>0.70106510868417593</v>
      </c>
      <c r="L1209" s="72">
        <f t="shared" si="669"/>
        <v>0.85133211758862337</v>
      </c>
      <c r="M1209" s="72">
        <f t="shared" si="670"/>
        <v>0.5507980997797286</v>
      </c>
      <c r="N1209" s="72">
        <f t="shared" si="671"/>
        <v>0.41914808117339764</v>
      </c>
      <c r="O1209" s="72">
        <f t="shared" si="672"/>
        <v>0.58090589385040792</v>
      </c>
      <c r="P1209" s="72">
        <f t="shared" si="673"/>
        <v>0.65234032431538003</v>
      </c>
      <c r="Q1209" s="72"/>
      <c r="R1209" s="72"/>
      <c r="S1209" s="72">
        <f t="shared" si="674"/>
        <v>0.54556739863902892</v>
      </c>
      <c r="T1209" s="72">
        <f t="shared" si="675"/>
        <v>0.77320580047526022</v>
      </c>
      <c r="U1209" s="72">
        <f t="shared" si="676"/>
        <v>0.51</v>
      </c>
      <c r="V1209" s="72">
        <f t="shared" si="677"/>
        <v>0.49162428020346849</v>
      </c>
      <c r="W1209" s="72">
        <f t="shared" si="678"/>
        <v>0.75515951461330255</v>
      </c>
      <c r="X1209" s="72">
        <f t="shared" si="679"/>
        <v>0.14866788241137663</v>
      </c>
      <c r="Y1209" s="72">
        <f t="shared" si="680"/>
        <v>0.44920190022027146</v>
      </c>
      <c r="Z1209" s="72">
        <f t="shared" si="681"/>
        <v>0.58085191882660236</v>
      </c>
      <c r="AA1209" s="72">
        <f t="shared" si="682"/>
        <v>0.41909410614959214</v>
      </c>
      <c r="AB1209" s="72">
        <f t="shared" si="683"/>
        <v>0.34765967568461992</v>
      </c>
      <c r="AC1209" s="72"/>
      <c r="AD1209" s="72"/>
      <c r="AE1209" s="72">
        <f t="shared" si="684"/>
        <v>0.45443260136097108</v>
      </c>
      <c r="AF1209" s="72">
        <f t="shared" si="685"/>
        <v>0.22679419952473978</v>
      </c>
      <c r="AG1209" s="72">
        <f t="shared" si="686"/>
        <v>0.49</v>
      </c>
      <c r="AH1209" s="72">
        <f t="shared" si="687"/>
        <v>0.50837571979653151</v>
      </c>
      <c r="AI1209" s="72">
        <f t="shared" si="688"/>
        <v>0.24484048538669748</v>
      </c>
      <c r="AJ1209" s="72">
        <f>(AV1209-Driver!$K$179)/(Driver!$L$179-Driver!$K$179)</f>
        <v>0.1055515268713238</v>
      </c>
      <c r="AK1209" s="72">
        <f>(AW1209-Driver!$K$180)/(Driver!$L$180-Driver!$K$180)</f>
        <v>0.61729024089370721</v>
      </c>
      <c r="AL1209" s="72">
        <f>(AX1209-Driver!$K$181)/(Driver!$L$181-Driver!$K$181)</f>
        <v>0.68253968253968256</v>
      </c>
      <c r="AM1209" s="72">
        <f>(AY1209-Driver!$K$182)/(Driver!$L$182-Driver!$K$182)</f>
        <v>2.8290914947454247E-2</v>
      </c>
      <c r="AN1209" s="72">
        <f>(AZ1209-Driver!$K$183)/(Driver!$L$183-Driver!$K$183)</f>
        <v>0.60187908496732034</v>
      </c>
      <c r="AO1209" s="72"/>
      <c r="AP1209" s="72"/>
      <c r="AQ1209" s="72">
        <f>(BC1209-Driver!$K$188)/(Driver!$L$188-Driver!$K$188)</f>
        <v>0.16556739863902889</v>
      </c>
      <c r="AR1209" s="72">
        <f>MIN((BD1209-Driver!$K$189)/(Driver!$L$189-Driver!$K$189),100%)</f>
        <v>0.77679419952473983</v>
      </c>
      <c r="AS1209" s="72">
        <f>(BE1209-Driver!$K$190)/(Driver!$L$190-Driver!$K$190)</f>
        <v>1</v>
      </c>
      <c r="AT1209" s="72">
        <f>(BF1209-Driver!$K$191)/(Driver!$L$191-Driver!$K$191)</f>
        <v>1.624280203468539E-3</v>
      </c>
      <c r="AU1209" s="72">
        <f>(BG1209-Driver!$K$192)/(Driver!$L$192-Driver!$K$192)</f>
        <v>5.1595146133025151E-3</v>
      </c>
      <c r="AV1209" s="70">
        <f t="shared" si="689"/>
        <v>2.2215438882105545</v>
      </c>
      <c r="AW1209" s="70">
        <f t="shared" si="690"/>
        <v>62.032296344513043</v>
      </c>
      <c r="AX1209" s="70">
        <f t="shared" si="691"/>
        <v>7.1428571428571432</v>
      </c>
      <c r="AY1209" s="70">
        <f>IFERROR(Driver!$K$19/Data!BH1209/Data!BI1209*Data!BK1209*Data!BL1209,"")</f>
        <v>3.4636521089992919E-2</v>
      </c>
      <c r="AZ1209" s="70">
        <f t="shared" si="692"/>
        <v>54.854802680565903</v>
      </c>
      <c r="BA1209" s="70"/>
      <c r="BB1209" s="70"/>
      <c r="BC1209" s="70">
        <f t="shared" si="693"/>
        <v>85.880960679946185</v>
      </c>
      <c r="BD1209" s="70">
        <f t="shared" si="694"/>
        <v>70.465733144161391</v>
      </c>
      <c r="BE1209" s="70">
        <f t="shared" si="695"/>
        <v>1</v>
      </c>
      <c r="BF1209" s="70">
        <f t="shared" si="696"/>
        <v>0.1834510377675124</v>
      </c>
      <c r="BG1209" s="70">
        <f t="shared" si="697"/>
        <v>1.9537213740458016E-2</v>
      </c>
      <c r="BH1209" s="67">
        <f>MAX((CE1209-Driver!$F$200)/(Driver!$G$200-Driver!$F$200)*$BI$1,1)</f>
        <v>7.1428571428571432</v>
      </c>
      <c r="BI1209" s="67">
        <f>MAX($BI$1*(BY1209-Driver!$F$201)/(Driver!$G$201-Driver!$F$201),1)</f>
        <v>8.7974683544303804</v>
      </c>
      <c r="BJ1209" s="67">
        <f>(CB1209-Driver!$F$206)/(Driver!$G$206-Driver!$F$206)*$BI$1</f>
        <v>1.5873015873015872</v>
      </c>
      <c r="BK1209" s="67">
        <f>(CD1209-Driver!$F$203)/(Driver!$G$203-Driver!$F$203)*$BI$1</f>
        <v>1.9724770642201834</v>
      </c>
      <c r="BL1209" s="67">
        <f>MAX((CR1209-Driver!$F$202)/(Driver!$G$202-Driver!$F$202)*$BI$1,1)</f>
        <v>5.5172413793103452</v>
      </c>
      <c r="BM1209" s="67">
        <f>MAX((CH1209-Driver!$F$204)/(Driver!$G$204-Driver!$F$204)*$BI$1,1)</f>
        <v>5.5982905982905979</v>
      </c>
      <c r="BN1209" s="67">
        <f>(CI1209-Driver!$F$205)/(Driver!$G$205-Driver!$F$205)*$BI$1</f>
        <v>6.2352941176470589</v>
      </c>
      <c r="BO1209" s="67">
        <f>(CK1209-Driver!$F$207)/(Driver!$G$207-Driver!$F$207)*$BI$1</f>
        <v>0.33092037228541882</v>
      </c>
      <c r="BP1209" s="67">
        <f>(CM1209-Driver!$F$208)/(Driver!$G$208-Driver!$F$208)*$BI$1</f>
        <v>0.68888888888888888</v>
      </c>
      <c r="BQ1209" s="67">
        <f>(CL1209-Driver!$F$209)/(Driver!$G$209-Driver!$F$209)*$BI$1</f>
        <v>0.78125</v>
      </c>
      <c r="BR1209" s="28" t="s">
        <v>155</v>
      </c>
      <c r="BS1209" s="8" t="s">
        <v>156</v>
      </c>
      <c r="BT1209" s="9" t="s">
        <v>885</v>
      </c>
      <c r="BU1209" s="10">
        <v>168</v>
      </c>
      <c r="BV1209" s="9" t="s">
        <v>158</v>
      </c>
      <c r="BW1209" s="10">
        <v>168</v>
      </c>
      <c r="BX1209" s="10">
        <v>167.4</v>
      </c>
      <c r="BY1209" s="10">
        <v>147</v>
      </c>
      <c r="BZ1209" s="10">
        <v>153</v>
      </c>
      <c r="CA1209" s="10">
        <v>124</v>
      </c>
      <c r="CB1209" s="10">
        <v>74</v>
      </c>
      <c r="CC1209" s="10">
        <v>108</v>
      </c>
      <c r="CD1209" s="10">
        <v>13.7</v>
      </c>
      <c r="CE1209" s="10">
        <v>2155</v>
      </c>
      <c r="CF1209" s="10">
        <v>0.7</v>
      </c>
      <c r="CG1209" s="10">
        <v>1505</v>
      </c>
      <c r="CH1209" s="10">
        <v>232</v>
      </c>
      <c r="CI1209" s="10">
        <v>139</v>
      </c>
      <c r="CJ1209" s="10">
        <v>37</v>
      </c>
      <c r="CK1209" s="10">
        <v>142</v>
      </c>
      <c r="CL1209" s="10">
        <v>5</v>
      </c>
      <c r="CM1209" s="10">
        <v>62</v>
      </c>
      <c r="CN1209" s="10">
        <v>0.14899999999999999</v>
      </c>
      <c r="CO1209" s="10">
        <v>84</v>
      </c>
      <c r="CP1209" s="10">
        <v>55</v>
      </c>
      <c r="CQ1209" s="10">
        <v>58</v>
      </c>
      <c r="CR1209" s="10">
        <v>5</v>
      </c>
      <c r="CS1209" s="10">
        <v>12.8</v>
      </c>
      <c r="CT1209" s="9" t="s">
        <v>349</v>
      </c>
      <c r="CU1209" s="10"/>
      <c r="CV1209" s="10"/>
      <c r="CW1209" s="10"/>
      <c r="CX1209" t="str">
        <f>INDEX('Data_Price '!AG$2:AG$1266,MATCH(Data!$DN1209,'Data_Price '!$AT$2:$AT$1266,0))</f>
        <v>Atomic 2022 Redster X9I WB Revo Ski with x 12 GW Bindings</v>
      </c>
      <c r="CY1209" t="str">
        <f>INDEX('Data_Price '!AH$2:AH$1266,MATCH(Data!$DN1209,'Data_Price '!$AT$2:$AT$1266,0))</f>
        <v>Suburban Ski and Bike</v>
      </c>
      <c r="CZ1209">
        <f>INDEX('Data_Price '!AI$2:AI$1266,MATCH(Data!$DN1209,'Data_Price '!$AT$2:$AT$1266,0))</f>
        <v>799.99</v>
      </c>
      <c r="DA1209" t="str">
        <f>INDEX('Data_Price '!AJ$2:AJ$1266,MATCH(Data!$DN1209,'Data_Price '!$AT$2:$AT$1266,0))</f>
        <v>https://tinyurl.com/yag4yu2f</v>
      </c>
      <c r="DB1209" t="str">
        <f>INDEX('Data_Price '!AK$2:AK$1266,MATCH(Data!$DN1209,'Data_Price '!$AT$2:$AT$1266,0))</f>
        <v>Atomic 2022 Redster X9i WB REVO S+ X 12 GW BLACK/SILVER / 168</v>
      </c>
      <c r="DC1209" t="str">
        <f>INDEX('Data_Price '!AL$2:AL$1266,MATCH(Data!$DN1209,'Data_Price '!$AT$2:$AT$1266,0))</f>
        <v>Cityhome</v>
      </c>
      <c r="DD1209">
        <f>INDEX('Data_Price '!AM$2:AM$1266,MATCH(Data!$DN1209,'Data_Price '!$AT$2:$AT$1266,0))</f>
        <v>999.99</v>
      </c>
      <c r="DE1209" t="str">
        <f>INDEX('Data_Price '!AN$2:AN$1266,MATCH(Data!$DN1209,'Data_Price '!$AT$2:$AT$1266,0))</f>
        <v>https://tinyurl.com/ybo95jax</v>
      </c>
      <c r="DF1209" t="str">
        <f>INDEX('Data_Price '!AO$2:AO$1266,MATCH(Data!$DN1209,'Data_Price '!$AT$2:$AT$1266,0))</f>
        <v>Atomic Atomic Cloud C14 WB Revo S + x 12 GW Black 2022 - Women's</v>
      </c>
      <c r="DG1209" t="str">
        <f>INDEX('Data_Price '!AP$2:AP$1266,MATCH(Data!$DN1209,'Data_Price '!$AT$2:$AT$1266,0))</f>
        <v>eBay - asogear</v>
      </c>
      <c r="DH1209">
        <f>INDEX('Data_Price '!AQ$2:AQ$1266,MATCH(Data!$DN1209,'Data_Price '!$AT$2:$AT$1266,0))</f>
        <v>599.99</v>
      </c>
      <c r="DI1209" t="str">
        <f>INDEX('Data_Price '!AR$2:AR$1266,MATCH(Data!$DN1209,'Data_Price '!$AT$2:$AT$1266,0))</f>
        <v>https://tinyurl.com/y8bqvcnv</v>
      </c>
      <c r="DJ1209" s="89" t="str">
        <f t="shared" si="698"/>
        <v>https://tinyurl.com/yag4yu2f</v>
      </c>
      <c r="DK1209" s="89" t="str">
        <f t="shared" si="699"/>
        <v>https://tinyurl.com/ybo95jax</v>
      </c>
      <c r="DL1209" s="89" t="str">
        <f t="shared" si="700"/>
        <v>https://tinyurl.com/y8bqvcnv</v>
      </c>
      <c r="DM1209" s="219" t="str">
        <f t="shared" si="701"/>
        <v>Redster X9 WB Revo</v>
      </c>
      <c r="DN1209" s="89" t="str">
        <f t="shared" si="702"/>
        <v xml:space="preserve"> AtomicRedster X9 WB Revo168 Unisex</v>
      </c>
      <c r="DO1209" s="221" t="s">
        <v>886</v>
      </c>
    </row>
    <row r="1210" spans="2:119" ht="15.6" customHeight="1">
      <c r="B1210" s="219" t="b">
        <f t="array" ref="B1210">IF(OR(ISERROR(K1210:P1210)),FALSE,TRUE)</f>
        <v>1</v>
      </c>
      <c r="C1210" s="43" t="b">
        <f>OR(BR1210=Driver!$G$50,Data!BR1125=Driver!$H$50)</f>
        <v>1</v>
      </c>
      <c r="D1210" s="43" t="b">
        <f>OR(BV1210=Driver!$G$51,BV1210=Driver!$H$51)</f>
        <v>0</v>
      </c>
      <c r="E1210" s="43" t="b">
        <f>AND(BX1210&gt;Driver!$F$54,BX1210&lt;Driver!$G$54)</f>
        <v>0</v>
      </c>
      <c r="F1210" s="43" t="b">
        <f>CL1210&gt;Driver!$F$56</f>
        <v>1</v>
      </c>
      <c r="G1210" s="43" t="b">
        <f>AND(CB1210&gt;Driver!$F$55,CB1210&lt;Driver!$G$55)</f>
        <v>0</v>
      </c>
      <c r="H1210" s="43" t="b">
        <f t="shared" si="666"/>
        <v>0</v>
      </c>
      <c r="I1210" s="43">
        <f t="shared" si="667"/>
        <v>0</v>
      </c>
      <c r="J1210" s="43" t="b">
        <f t="array" ref="J1210">NOT(OR(($H$9:$H$1273=TRUE)*($I$9:$I$1273&gt;0)*($BT$9:$BT$1273=BT1210)*($K$9:$K$1273&gt;K1210)))</f>
        <v>1</v>
      </c>
      <c r="K1210" s="72">
        <f t="shared" si="668"/>
        <v>0.83750253065489622</v>
      </c>
      <c r="L1210" s="72">
        <f t="shared" si="669"/>
        <v>0.80959494894790152</v>
      </c>
      <c r="M1210" s="72">
        <f t="shared" si="670"/>
        <v>0.86541011236189114</v>
      </c>
      <c r="N1210" s="72">
        <f t="shared" si="671"/>
        <v>0.90925260180895862</v>
      </c>
      <c r="O1210" s="72">
        <f t="shared" si="672"/>
        <v>0.85283930142216013</v>
      </c>
      <c r="P1210" s="72">
        <f t="shared" si="673"/>
        <v>0.83413843385455444</v>
      </c>
      <c r="Q1210" s="72"/>
      <c r="R1210" s="72"/>
      <c r="S1210" s="72">
        <f t="shared" si="674"/>
        <v>0.40190833205492849</v>
      </c>
      <c r="T1210" s="72">
        <f t="shared" si="675"/>
        <v>0.44944959142965912</v>
      </c>
      <c r="U1210" s="72">
        <f t="shared" si="676"/>
        <v>0.51</v>
      </c>
      <c r="V1210" s="72">
        <f t="shared" si="677"/>
        <v>0.51294844939205075</v>
      </c>
      <c r="W1210" s="72">
        <f t="shared" si="678"/>
        <v>0.95033560998586908</v>
      </c>
      <c r="X1210" s="72">
        <f t="shared" si="679"/>
        <v>0.19040505105209854</v>
      </c>
      <c r="Y1210" s="72">
        <f t="shared" si="680"/>
        <v>0.13458988763810889</v>
      </c>
      <c r="Z1210" s="72">
        <f t="shared" si="681"/>
        <v>9.0747398191041342E-2</v>
      </c>
      <c r="AA1210" s="72">
        <f t="shared" si="682"/>
        <v>0.14716069857783987</v>
      </c>
      <c r="AB1210" s="72">
        <f t="shared" si="683"/>
        <v>0.16586156614544553</v>
      </c>
      <c r="AC1210" s="72"/>
      <c r="AD1210" s="72"/>
      <c r="AE1210" s="72">
        <f t="shared" si="684"/>
        <v>0.59809166794507151</v>
      </c>
      <c r="AF1210" s="72">
        <f t="shared" si="685"/>
        <v>0.55055040857034088</v>
      </c>
      <c r="AG1210" s="72">
        <f t="shared" si="686"/>
        <v>0.49</v>
      </c>
      <c r="AH1210" s="72">
        <f t="shared" si="687"/>
        <v>0.48705155060794925</v>
      </c>
      <c r="AI1210" s="72">
        <f t="shared" si="688"/>
        <v>4.9664390014130921E-2</v>
      </c>
      <c r="AJ1210" s="72">
        <f>(AV1210-Driver!$K$179)/(Driver!$L$179-Driver!$K$179)</f>
        <v>6.3814358230601873E-2</v>
      </c>
      <c r="AK1210" s="72">
        <f>(AW1210-Driver!$K$180)/(Driver!$L$180-Driver!$K$180)</f>
        <v>7.8463891973236277E-2</v>
      </c>
      <c r="AL1210" s="72">
        <f>(AX1210-Driver!$K$181)/(Driver!$L$181-Driver!$K$181)</f>
        <v>1.0940365522038833E-2</v>
      </c>
      <c r="AM1210" s="72">
        <f>(AY1210-Driver!$K$182)/(Driver!$L$182-Driver!$K$182)</f>
        <v>0.3002243225192065</v>
      </c>
      <c r="AN1210" s="72">
        <f>(AZ1210-Driver!$K$183)/(Driver!$L$183-Driver!$K$183)</f>
        <v>8.8357843137254893E-2</v>
      </c>
      <c r="AO1210" s="72"/>
      <c r="AP1210" s="72"/>
      <c r="AQ1210" s="72">
        <f>(BC1210-Driver!$K$188)/(Driver!$L$188-Driver!$K$188)</f>
        <v>2.190833205492846E-2</v>
      </c>
      <c r="AR1210" s="72">
        <f>MIN((BD1210-Driver!$K$189)/(Driver!$L$189-Driver!$K$189),100%)</f>
        <v>-5.50408570340797E-4</v>
      </c>
      <c r="AS1210" s="72">
        <f>(BE1210-Driver!$K$190)/(Driver!$L$190-Driver!$K$190)</f>
        <v>1</v>
      </c>
      <c r="AT1210" s="72">
        <f>(BF1210-Driver!$K$191)/(Driver!$L$191-Driver!$K$191)</f>
        <v>2.2948449392050752E-2</v>
      </c>
      <c r="AU1210" s="72">
        <f>(BG1210-Driver!$K$192)/(Driver!$L$192-Driver!$K$192)</f>
        <v>0.29966439001413092</v>
      </c>
      <c r="AV1210" s="70">
        <f t="shared" si="689"/>
        <v>1.343101343101343</v>
      </c>
      <c r="AW1210" s="70">
        <f t="shared" si="690"/>
        <v>9.5188941550607229</v>
      </c>
      <c r="AX1210" s="70">
        <f t="shared" si="691"/>
        <v>1.0984632896983495</v>
      </c>
      <c r="AY1210" s="70">
        <f>IFERROR(Driver!$K$19/Data!BH1210/Data!BI1210*Data!BK1210*Data!BL1210,"")</f>
        <v>0.36756414905559848</v>
      </c>
      <c r="AZ1210" s="70">
        <f t="shared" si="692"/>
        <v>8.0528667163067755</v>
      </c>
      <c r="BA1210" s="70"/>
      <c r="BB1210" s="70"/>
      <c r="BC1210" s="70">
        <f t="shared" si="693"/>
        <v>11.364004141144918</v>
      </c>
      <c r="BD1210" s="70">
        <f t="shared" si="694"/>
        <v>1.6721127008888435</v>
      </c>
      <c r="BE1210" s="70">
        <f t="shared" si="695"/>
        <v>1</v>
      </c>
      <c r="BF1210" s="70">
        <f t="shared" si="696"/>
        <v>2.5918661368506251</v>
      </c>
      <c r="BG1210" s="70">
        <f t="shared" si="697"/>
        <v>1.1347205458078191</v>
      </c>
      <c r="BH1210" s="67">
        <f>MAX((CE1210-Driver!$F$200)/(Driver!$G$200-Driver!$F$200)*$BI$1,1)</f>
        <v>1.0984632896983495</v>
      </c>
      <c r="BI1210" s="67">
        <f>MAX($BI$1*(BY1210-Driver!$F$201)/(Driver!$G$201-Driver!$F$201),1)</f>
        <v>6.518987341772152</v>
      </c>
      <c r="BJ1210" s="67">
        <f>(CB1210-Driver!$F$206)/(Driver!$G$206-Driver!$F$206)*$BI$1</f>
        <v>2.8571428571428568</v>
      </c>
      <c r="BK1210" s="67">
        <f>(CD1210-Driver!$F$203)/(Driver!$G$203-Driver!$F$203)*$BI$1</f>
        <v>2.3853211009174311</v>
      </c>
      <c r="BL1210" s="67">
        <f>MAX((CR1210-Driver!$F$202)/(Driver!$G$202-Driver!$F$202)*$BI$1,1)</f>
        <v>5.5172413793103452</v>
      </c>
      <c r="BM1210" s="67">
        <f>MAX((CH1210-Driver!$F$204)/(Driver!$G$204-Driver!$F$204)*$BI$1,1)</f>
        <v>1.8803418803418803</v>
      </c>
      <c r="BN1210" s="67">
        <f>(CI1210-Driver!$F$205)/(Driver!$G$205-Driver!$F$205)*$BI$1</f>
        <v>1.2352941176470589</v>
      </c>
      <c r="BO1210" s="67">
        <f>(CK1210-Driver!$F$207)/(Driver!$G$207-Driver!$F$207)*$BI$1</f>
        <v>1.8200620475698035</v>
      </c>
      <c r="BP1210" s="67">
        <f>(CM1210-Driver!$F$208)/(Driver!$G$208-Driver!$F$208)*$BI$1</f>
        <v>1.1888888888888889</v>
      </c>
      <c r="BQ1210" s="67">
        <f>(CL1210-Driver!$F$209)/(Driver!$G$209-Driver!$F$209)*$BI$1</f>
        <v>2.34375</v>
      </c>
      <c r="BR1210" s="28" t="s">
        <v>155</v>
      </c>
      <c r="BS1210" s="8" t="s">
        <v>180</v>
      </c>
      <c r="BT1210" s="9" t="s">
        <v>887</v>
      </c>
      <c r="BU1210" s="10">
        <v>152</v>
      </c>
      <c r="BV1210" s="9" t="s">
        <v>163</v>
      </c>
      <c r="BW1210" s="10">
        <v>152</v>
      </c>
      <c r="BX1210" s="10">
        <v>150.80000000000001</v>
      </c>
      <c r="BY1210" s="10">
        <v>111</v>
      </c>
      <c r="BZ1210" s="10">
        <v>133</v>
      </c>
      <c r="CA1210" s="10">
        <v>120</v>
      </c>
      <c r="CB1210" s="10">
        <v>82</v>
      </c>
      <c r="CC1210" s="10">
        <v>105</v>
      </c>
      <c r="CD1210" s="10">
        <v>14.6</v>
      </c>
      <c r="CE1210" s="10">
        <v>1093</v>
      </c>
      <c r="CF1210" s="10">
        <v>1.29</v>
      </c>
      <c r="CG1210" s="10">
        <v>1414</v>
      </c>
      <c r="CH1210" s="10">
        <v>145</v>
      </c>
      <c r="CI1210" s="10">
        <v>54</v>
      </c>
      <c r="CJ1210" s="10">
        <v>58</v>
      </c>
      <c r="CK1210" s="10">
        <v>286</v>
      </c>
      <c r="CL1210" s="10">
        <v>15</v>
      </c>
      <c r="CM1210" s="10">
        <v>107</v>
      </c>
      <c r="CN1210" s="10">
        <v>0.25700000000000001</v>
      </c>
      <c r="CO1210" s="10">
        <v>104</v>
      </c>
      <c r="CP1210" s="10">
        <v>76</v>
      </c>
      <c r="CQ1210" s="10">
        <v>183</v>
      </c>
      <c r="CR1210" s="10">
        <v>5</v>
      </c>
      <c r="CS1210" s="10">
        <v>11</v>
      </c>
      <c r="CT1210" s="9" t="s">
        <v>185</v>
      </c>
      <c r="CU1210" s="9" t="s">
        <v>198</v>
      </c>
      <c r="CV1210" s="10"/>
      <c r="CW1210" s="10"/>
      <c r="CX1210" t="str">
        <f>INDEX('Data_Price '!AG$2:AG$1266,MATCH(Data!$DN1210,'Data_Price '!$AT$2:$AT$1266,0))</f>
        <v>SCOTT Superguide 88 W Alpine Touring Ski 152</v>
      </c>
      <c r="CY1210" t="str">
        <f>INDEX('Data_Price '!AH$2:AH$1266,MATCH(Data!$DN1210,'Data_Price '!$AT$2:$AT$1266,0))</f>
        <v>Cripple Creek Backcountry</v>
      </c>
      <c r="CZ1210">
        <f>INDEX('Data_Price '!AI$2:AI$1266,MATCH(Data!$DN1210,'Data_Price '!$AT$2:$AT$1266,0))</f>
        <v>649.95000000000005</v>
      </c>
      <c r="DA1210" t="str">
        <f>INDEX('Data_Price '!AJ$2:AJ$1266,MATCH(Data!$DN1210,'Data_Price '!$AT$2:$AT$1266,0))</f>
        <v>https://tinyurl.com/ycf5shxy</v>
      </c>
      <c r="DB1210" t="str">
        <f>INDEX('Data_Price '!AK$2:AK$1266,MATCH(Data!$DN1210,'Data_Price '!$AT$2:$AT$1266,0))</f>
        <v>Scott Superguide 88 Women Ski 2022</v>
      </c>
      <c r="DC1210" t="str">
        <f>INDEX('Data_Price '!AL$2:AL$1266,MATCH(Data!$DN1210,'Data_Price '!$AT$2:$AT$1266,0))</f>
        <v>Telemark Pyrenees</v>
      </c>
      <c r="DD1210">
        <f>INDEX('Data_Price '!AM$2:AM$1266,MATCH(Data!$DN1210,'Data_Price '!$AT$2:$AT$1266,0))</f>
        <v>352.89</v>
      </c>
      <c r="DE1210" t="str">
        <f>INDEX('Data_Price '!AN$2:AN$1266,MATCH(Data!$DN1210,'Data_Price '!$AT$2:$AT$1266,0))</f>
        <v>https://tinyurl.com/ybmxtkdf</v>
      </c>
      <c r="DF1210" t="str">
        <f>INDEX('Data_Price '!AO$2:AO$1266,MATCH(Data!$DN1210,'Data_Price '!$AT$2:$AT$1266,0))</f>
        <v>Scott Superguide 88 Women Ski 2022</v>
      </c>
      <c r="DG1210" t="str">
        <f>INDEX('Data_Price '!AP$2:AP$1266,MATCH(Data!$DN1210,'Data_Price '!$AT$2:$AT$1266,0))</f>
        <v>Bobleisure</v>
      </c>
      <c r="DH1210">
        <f>INDEX('Data_Price '!AQ$2:AQ$1266,MATCH(Data!$DN1210,'Data_Price '!$AT$2:$AT$1266,0))</f>
        <v>362.87</v>
      </c>
      <c r="DI1210" t="str">
        <f>INDEX('Data_Price '!AR$2:AR$1266,MATCH(Data!$DN1210,'Data_Price '!$AT$2:$AT$1266,0))</f>
        <v>https://tinyurl.com/y7gdnh7r</v>
      </c>
      <c r="DJ1210" s="89" t="str">
        <f t="shared" si="698"/>
        <v>https://tinyurl.com/ycf5shxy</v>
      </c>
      <c r="DK1210" s="89" t="str">
        <f t="shared" si="699"/>
        <v>https://tinyurl.com/ybmxtkdf</v>
      </c>
      <c r="DL1210" s="89" t="str">
        <f t="shared" si="700"/>
        <v>https://tinyurl.com/y7gdnh7r</v>
      </c>
      <c r="DM1210" s="219" t="str">
        <f t="shared" si="701"/>
        <v>Superguide 88 W</v>
      </c>
      <c r="DN1210" s="89" t="str">
        <f t="shared" si="702"/>
        <v xml:space="preserve"> ScottSuperguide 88 W152 Women's</v>
      </c>
      <c r="DO1210" s="221"/>
    </row>
    <row r="1211" spans="2:119" ht="15.6" customHeight="1">
      <c r="B1211" s="219" t="b">
        <f t="array" ref="B1211">IF(OR(ISERROR(K1211:P1211)),FALSE,TRUE)</f>
        <v>1</v>
      </c>
      <c r="C1211" s="43" t="b">
        <f>OR(BR1211=Driver!$G$50,Data!BR66=Driver!$H$50)</f>
        <v>1</v>
      </c>
      <c r="D1211" s="43" t="b">
        <f>OR(BV1211=Driver!$G$51,BV1211=Driver!$H$51)</f>
        <v>1</v>
      </c>
      <c r="E1211" s="43" t="b">
        <f>AND(BX1211&gt;Driver!$F$54,BX1211&lt;Driver!$G$54)</f>
        <v>0</v>
      </c>
      <c r="F1211" s="43" t="b">
        <f>CL1211&gt;Driver!$F$56</f>
        <v>1</v>
      </c>
      <c r="G1211" s="43" t="b">
        <f>AND(CB1211&gt;Driver!$F$55,CB1211&lt;Driver!$G$55)</f>
        <v>1</v>
      </c>
      <c r="H1211" s="43" t="b">
        <f t="shared" si="666"/>
        <v>0</v>
      </c>
      <c r="I1211" s="43">
        <f t="shared" si="667"/>
        <v>0</v>
      </c>
      <c r="J1211" s="43" t="b">
        <f t="array" ref="J1211">NOT(OR(($H$9:$H$1273=TRUE)*($I$9:$I$1273&gt;0)*($BT$9:$BT$1273=BT1211)*($K$9:$K$1273&gt;K1211)))</f>
        <v>1</v>
      </c>
      <c r="K1211" s="72">
        <f t="shared" si="668"/>
        <v>0.6440009992964939</v>
      </c>
      <c r="L1211" s="72">
        <f t="shared" si="669"/>
        <v>0.66176110616449879</v>
      </c>
      <c r="M1211" s="72">
        <f t="shared" si="670"/>
        <v>0.62624089242848902</v>
      </c>
      <c r="N1211" s="72">
        <f t="shared" si="671"/>
        <v>0.58420215060993719</v>
      </c>
      <c r="O1211" s="72">
        <f t="shared" si="672"/>
        <v>0.69316059451701273</v>
      </c>
      <c r="P1211" s="72">
        <f t="shared" si="673"/>
        <v>0.60135993215851746</v>
      </c>
      <c r="Q1211" s="72"/>
      <c r="R1211" s="72"/>
      <c r="S1211" s="72">
        <f t="shared" si="674"/>
        <v>0.64586216311050393</v>
      </c>
      <c r="T1211" s="72">
        <f t="shared" si="675"/>
        <v>0.50071526550806433</v>
      </c>
      <c r="U1211" s="72">
        <f t="shared" si="676"/>
        <v>0.53589261506947683</v>
      </c>
      <c r="V1211" s="72">
        <f t="shared" si="677"/>
        <v>0.5552635733655229</v>
      </c>
      <c r="W1211" s="72">
        <f t="shared" si="678"/>
        <v>0.77894472095732281</v>
      </c>
      <c r="X1211" s="72">
        <f t="shared" si="679"/>
        <v>0.33823889383550115</v>
      </c>
      <c r="Y1211" s="72">
        <f t="shared" si="680"/>
        <v>0.37375910757151093</v>
      </c>
      <c r="Z1211" s="72">
        <f t="shared" si="681"/>
        <v>0.41579784939006281</v>
      </c>
      <c r="AA1211" s="72">
        <f t="shared" si="682"/>
        <v>0.30683940548298727</v>
      </c>
      <c r="AB1211" s="72">
        <f t="shared" si="683"/>
        <v>0.39864006784148259</v>
      </c>
      <c r="AC1211" s="72"/>
      <c r="AD1211" s="72"/>
      <c r="AE1211" s="72">
        <f t="shared" si="684"/>
        <v>0.35413783688949613</v>
      </c>
      <c r="AF1211" s="72">
        <f t="shared" si="685"/>
        <v>0.49928473449193567</v>
      </c>
      <c r="AG1211" s="72">
        <f t="shared" si="686"/>
        <v>0.46410738493052317</v>
      </c>
      <c r="AH1211" s="72">
        <f t="shared" si="687"/>
        <v>0.44473642663447716</v>
      </c>
      <c r="AI1211" s="72">
        <f t="shared" si="688"/>
        <v>0.22105527904267713</v>
      </c>
      <c r="AJ1211" s="72">
        <f>(AV1211-Driver!$K$179)/(Driver!$L$179-Driver!$K$179)</f>
        <v>0.59245830311820158</v>
      </c>
      <c r="AK1211" s="72">
        <f>(AW1211-Driver!$K$180)/(Driver!$L$180-Driver!$K$180)</f>
        <v>0.65113283677100831</v>
      </c>
      <c r="AL1211" s="72">
        <f>(AX1211-Driver!$K$181)/(Driver!$L$181-Driver!$K$181)</f>
        <v>0.51748561310314301</v>
      </c>
      <c r="AM1211" s="72">
        <f>(AY1211-Driver!$K$182)/(Driver!$L$182-Driver!$K$182)</f>
        <v>0.14054561561405907</v>
      </c>
      <c r="AN1211" s="72">
        <f>(AZ1211-Driver!$K$183)/(Driver!$L$183-Driver!$K$183)</f>
        <v>0.65285947712418302</v>
      </c>
      <c r="AO1211" s="72"/>
      <c r="AP1211" s="72"/>
      <c r="AQ1211" s="72">
        <f>(BC1211-Driver!$K$188)/(Driver!$L$188-Driver!$K$188)</f>
        <v>0.26586216311050387</v>
      </c>
      <c r="AR1211" s="72">
        <f>MIN((BD1211-Driver!$K$189)/(Driver!$L$189-Driver!$K$189),100%)</f>
        <v>5.0715265508064371E-2</v>
      </c>
      <c r="AS1211" s="72">
        <f>(BE1211-Driver!$K$190)/(Driver!$L$190-Driver!$K$190)</f>
        <v>4.5892615069476866E-2</v>
      </c>
      <c r="AT1211" s="72">
        <f>(BF1211-Driver!$K$191)/(Driver!$L$191-Driver!$K$191)</f>
        <v>6.5263573365522867E-2</v>
      </c>
      <c r="AU1211" s="72">
        <f>(BG1211-Driver!$K$192)/(Driver!$L$192-Driver!$K$192)</f>
        <v>2.8944720957322881E-2</v>
      </c>
      <c r="AV1211" s="70">
        <f t="shared" si="689"/>
        <v>12.46947496947497</v>
      </c>
      <c r="AW1211" s="70">
        <f t="shared" si="690"/>
        <v>65.330557188661402</v>
      </c>
      <c r="AX1211" s="70">
        <f t="shared" si="691"/>
        <v>5.6573705179282872</v>
      </c>
      <c r="AY1211" s="70">
        <f>IFERROR(Driver!$K$19/Data!BH1211/Data!BI1211*Data!BK1211*Data!BL1211,"")</f>
        <v>0.1720697682759264</v>
      </c>
      <c r="AZ1211" s="70">
        <f t="shared" si="692"/>
        <v>59.501116902457191</v>
      </c>
      <c r="BA1211" s="70"/>
      <c r="BB1211" s="70"/>
      <c r="BC1211" s="70">
        <f t="shared" si="693"/>
        <v>137.90455224919117</v>
      </c>
      <c r="BD1211" s="70">
        <f t="shared" si="694"/>
        <v>6.2090340194283655</v>
      </c>
      <c r="BE1211" s="70">
        <f t="shared" si="695"/>
        <v>4.6062817088012423E-2</v>
      </c>
      <c r="BF1211" s="70">
        <f t="shared" si="696"/>
        <v>7.3710621090834794</v>
      </c>
      <c r="BG1211" s="70">
        <f t="shared" si="697"/>
        <v>0.10960317828020756</v>
      </c>
      <c r="BH1211" s="67">
        <f>MAX((CE1211-Driver!$F$200)/(Driver!$G$200-Driver!$F$200)*$BI$1,1)</f>
        <v>5.6573705179282872</v>
      </c>
      <c r="BI1211" s="67">
        <f>MAX($BI$1*(BY1211-Driver!$F$201)/(Driver!$G$201-Driver!$F$201),1)</f>
        <v>7.7215189873417724</v>
      </c>
      <c r="BJ1211" s="67">
        <f>(CB1211-Driver!$F$206)/(Driver!$G$206-Driver!$F$206)*$BI$1</f>
        <v>6.825396825396826</v>
      </c>
      <c r="BK1211" s="67">
        <f>(CD1211-Driver!$F$203)/(Driver!$G$203-Driver!$F$203)*$BI$1</f>
        <v>6.0550458715596349</v>
      </c>
      <c r="BL1211" s="67">
        <f>MAX((CR1211-Driver!$F$202)/(Driver!$G$202-Driver!$F$202)*$BI$1,1)</f>
        <v>6.2068965517241379</v>
      </c>
      <c r="BM1211" s="67">
        <f>MAX((CH1211-Driver!$F$204)/(Driver!$G$204-Driver!$F$204)*$BI$1,1)</f>
        <v>7.3076923076923075</v>
      </c>
      <c r="BN1211" s="67">
        <f>(CI1211-Driver!$F$205)/(Driver!$G$205-Driver!$F$205)*$BI$1</f>
        <v>7.7058823529411766</v>
      </c>
      <c r="BO1211" s="67">
        <f>(CK1211-Driver!$F$207)/(Driver!$G$207-Driver!$F$207)*$BI$1</f>
        <v>2.8024819027921404</v>
      </c>
      <c r="BP1211" s="67">
        <f>(CM1211-Driver!$F$208)/(Driver!$G$208-Driver!$F$208)*$BI$1</f>
        <v>2.3333333333333335</v>
      </c>
      <c r="BQ1211" s="67">
        <f>(CL1211-Driver!$F$209)/(Driver!$G$209-Driver!$F$209)*$BI$1</f>
        <v>4.53125</v>
      </c>
      <c r="BR1211" s="28" t="s">
        <v>155</v>
      </c>
      <c r="BS1211" s="8" t="s">
        <v>182</v>
      </c>
      <c r="BT1211" s="9" t="s">
        <v>839</v>
      </c>
      <c r="BU1211" s="10">
        <v>190</v>
      </c>
      <c r="BV1211" s="9" t="s">
        <v>158</v>
      </c>
      <c r="BW1211" s="10">
        <v>190</v>
      </c>
      <c r="BX1211" s="10">
        <v>189.5</v>
      </c>
      <c r="BY1211" s="10">
        <v>130</v>
      </c>
      <c r="BZ1211" s="10">
        <v>150</v>
      </c>
      <c r="CA1211" s="10">
        <v>135</v>
      </c>
      <c r="CB1211" s="10">
        <v>107</v>
      </c>
      <c r="CC1211" s="10">
        <v>126</v>
      </c>
      <c r="CD1211" s="10">
        <v>22.6</v>
      </c>
      <c r="CE1211" s="10">
        <v>1894</v>
      </c>
      <c r="CF1211" s="10">
        <v>1.1599999999999999</v>
      </c>
      <c r="CG1211" s="10">
        <v>2205</v>
      </c>
      <c r="CH1211" s="10">
        <v>272</v>
      </c>
      <c r="CI1211" s="10">
        <v>164</v>
      </c>
      <c r="CJ1211" s="10">
        <v>61</v>
      </c>
      <c r="CK1211" s="10">
        <v>381</v>
      </c>
      <c r="CL1211" s="10">
        <v>29</v>
      </c>
      <c r="CM1211" s="10">
        <v>210</v>
      </c>
      <c r="CN1211" s="10">
        <v>0.47</v>
      </c>
      <c r="CO1211" s="10">
        <v>245</v>
      </c>
      <c r="CP1211" s="10">
        <v>145</v>
      </c>
      <c r="CQ1211" s="10">
        <v>136</v>
      </c>
      <c r="CR1211" s="10">
        <v>7</v>
      </c>
      <c r="CS1211" s="10">
        <v>9.3000000000000007</v>
      </c>
      <c r="CT1211" s="9" t="s">
        <v>169</v>
      </c>
      <c r="CU1211" s="9" t="s">
        <v>185</v>
      </c>
      <c r="CV1211" s="10"/>
      <c r="CW1211" s="10"/>
      <c r="CX1211" t="str">
        <f>INDEX('Data_Price '!AG$2:AG$1266,MATCH(Data!$DN1211,'Data_Price '!$AT$2:$AT$1266,0))</f>
        <v>Armada Declivity 108 Ti Skis 190cm 2022</v>
      </c>
      <c r="CY1211" t="str">
        <f>INDEX('Data_Price '!AH$2:AH$1266,MATCH(Data!$DN1211,'Data_Price '!$AT$2:$AT$1266,0))</f>
        <v>REI</v>
      </c>
      <c r="CZ1211">
        <f>INDEX('Data_Price '!AI$2:AI$1266,MATCH(Data!$DN1211,'Data_Price '!$AT$2:$AT$1266,0))</f>
        <v>639.92999999999995</v>
      </c>
      <c r="DA1211" t="str">
        <f>INDEX('Data_Price '!AJ$2:AJ$1266,MATCH(Data!$DN1211,'Data_Price '!$AT$2:$AT$1266,0))</f>
        <v>https://tinyurl.com/y8223hgu</v>
      </c>
      <c r="DB1211" t="str">
        <f>INDEX('Data_Price '!AK$2:AK$1266,MATCH(Data!$DN1211,'Data_Price '!$AT$2:$AT$1266,0))</f>
        <v>Armada Declivity 108 Ti Skis 190cm 2022</v>
      </c>
      <c r="DC1211" t="str">
        <f>INDEX('Data_Price '!AL$2:AL$1266,MATCH(Data!$DN1211,'Data_Price '!$AT$2:$AT$1266,0))</f>
        <v>Backcountry.com</v>
      </c>
      <c r="DD1211">
        <f>INDEX('Data_Price '!AM$2:AM$1266,MATCH(Data!$DN1211,'Data_Price '!$AT$2:$AT$1266,0))</f>
        <v>639.96</v>
      </c>
      <c r="DE1211" t="str">
        <f>INDEX('Data_Price '!AN$2:AN$1266,MATCH(Data!$DN1211,'Data_Price '!$AT$2:$AT$1266,0))</f>
        <v>https://tinyurl.com/ycw3m3w6</v>
      </c>
      <c r="DF1211" t="str">
        <f>INDEX('Data_Price '!AO$2:AO$1266,MATCH(Data!$DN1211,'Data_Price '!$AT$2:$AT$1266,0))</f>
        <v>Armada Declivity 108 Ti Skis 190cm 2022</v>
      </c>
      <c r="DG1211" t="str">
        <f>INDEX('Data_Price '!AP$2:AP$1266,MATCH(Data!$DN1211,'Data_Price '!$AT$2:$AT$1266,0))</f>
        <v>SkiEssentials.com</v>
      </c>
      <c r="DH1211">
        <f>INDEX('Data_Price '!AQ$2:AQ$1266,MATCH(Data!$DN1211,'Data_Price '!$AT$2:$AT$1266,0))</f>
        <v>639.96</v>
      </c>
      <c r="DI1211" t="str">
        <f>INDEX('Data_Price '!AR$2:AR$1266,MATCH(Data!$DN1211,'Data_Price '!$AT$2:$AT$1266,0))</f>
        <v>https://tinyurl.com/y6wuypb5</v>
      </c>
      <c r="DJ1211" s="89" t="str">
        <f t="shared" si="698"/>
        <v>https://tinyurl.com/y8223hgu</v>
      </c>
      <c r="DK1211" s="89" t="str">
        <f t="shared" si="699"/>
        <v>https://tinyurl.com/ycw3m3w6</v>
      </c>
      <c r="DL1211" s="89" t="str">
        <f t="shared" si="700"/>
        <v>https://tinyurl.com/y6wuypb5</v>
      </c>
      <c r="DM1211" s="219" t="str">
        <f t="shared" si="701"/>
        <v>Declivity 108 Ti</v>
      </c>
      <c r="DN1211" s="89" t="str">
        <f t="shared" si="702"/>
        <v xml:space="preserve"> ArmadaDeclivity 108 Ti190 Unisex</v>
      </c>
      <c r="DO1211" s="221" t="s">
        <v>840</v>
      </c>
    </row>
    <row r="1212" spans="2:119" ht="15.6" customHeight="1">
      <c r="B1212" s="219" t="b">
        <f t="array" ref="B1212">IF(OR(ISERROR(K1212:P1212)),FALSE,TRUE)</f>
        <v>1</v>
      </c>
      <c r="C1212" s="43" t="b">
        <f>OR(BR1212=Driver!$G$50,Data!BR1228=Driver!$H$50)</f>
        <v>1</v>
      </c>
      <c r="D1212" s="43" t="b">
        <f>OR(BV1212=Driver!$G$51,BV1212=Driver!$H$51)</f>
        <v>1</v>
      </c>
      <c r="E1212" s="43" t="b">
        <f>AND(BX1212&gt;Driver!$F$54,BX1212&lt;Driver!$G$54)</f>
        <v>0</v>
      </c>
      <c r="F1212" s="43" t="b">
        <f>CL1212&gt;Driver!$F$56</f>
        <v>1</v>
      </c>
      <c r="G1212" s="43" t="b">
        <f>AND(CB1212&gt;Driver!$F$55,CB1212&lt;Driver!$G$55)</f>
        <v>0</v>
      </c>
      <c r="H1212" s="43" t="b">
        <f t="shared" si="666"/>
        <v>0</v>
      </c>
      <c r="I1212" s="43">
        <f t="shared" si="667"/>
        <v>0</v>
      </c>
      <c r="J1212" s="43" t="b">
        <f t="array" ref="J1212">NOT(OR(($H$9:$H$1273=TRUE)*($I$9:$I$1273&gt;0)*($BT$9:$BT$1273=BT1212)*($K$9:$K$1273&gt;K1212)))</f>
        <v>1</v>
      </c>
      <c r="K1212" s="72">
        <f t="shared" si="668"/>
        <v>0.7143310487079666</v>
      </c>
      <c r="L1212" s="72">
        <f t="shared" si="669"/>
        <v>0.88954291262650842</v>
      </c>
      <c r="M1212" s="72">
        <f t="shared" si="670"/>
        <v>0.539119184789425</v>
      </c>
      <c r="N1212" s="72">
        <f t="shared" si="671"/>
        <v>0.35401180089767514</v>
      </c>
      <c r="O1212" s="72">
        <f t="shared" si="672"/>
        <v>0.64703484091992536</v>
      </c>
      <c r="P1212" s="72">
        <f t="shared" si="673"/>
        <v>0.61631091255067427</v>
      </c>
      <c r="Q1212" s="72"/>
      <c r="R1212" s="72"/>
      <c r="S1212" s="72">
        <f t="shared" si="674"/>
        <v>0.71144440715716573</v>
      </c>
      <c r="T1212" s="72">
        <f t="shared" si="675"/>
        <v>0.52369860732977869</v>
      </c>
      <c r="U1212" s="72">
        <f t="shared" si="676"/>
        <v>0.55840476698624042</v>
      </c>
      <c r="V1212" s="72">
        <f t="shared" si="677"/>
        <v>0.5260972848102563</v>
      </c>
      <c r="W1212" s="72">
        <f t="shared" si="678"/>
        <v>0.76540188028325296</v>
      </c>
      <c r="X1212" s="72">
        <f t="shared" si="679"/>
        <v>0.11045708737349164</v>
      </c>
      <c r="Y1212" s="72">
        <f t="shared" si="680"/>
        <v>0.46088081521057506</v>
      </c>
      <c r="Z1212" s="72">
        <f t="shared" si="681"/>
        <v>0.64598819910232486</v>
      </c>
      <c r="AA1212" s="72">
        <f t="shared" si="682"/>
        <v>0.35296515908007464</v>
      </c>
      <c r="AB1212" s="72">
        <f t="shared" si="683"/>
        <v>0.38368908744932578</v>
      </c>
      <c r="AC1212" s="72"/>
      <c r="AD1212" s="72"/>
      <c r="AE1212" s="72">
        <f t="shared" si="684"/>
        <v>0.28855559284283433</v>
      </c>
      <c r="AF1212" s="72">
        <f t="shared" si="685"/>
        <v>0.47630139267022131</v>
      </c>
      <c r="AG1212" s="72">
        <f t="shared" si="686"/>
        <v>0.44159523301375958</v>
      </c>
      <c r="AH1212" s="72">
        <f t="shared" si="687"/>
        <v>0.47390271518974364</v>
      </c>
      <c r="AI1212" s="72">
        <f t="shared" si="688"/>
        <v>0.23459811971674704</v>
      </c>
      <c r="AJ1212" s="72">
        <f>(AV1212-Driver!$K$179)/(Driver!$L$179-Driver!$K$179)</f>
        <v>0.36467649665619206</v>
      </c>
      <c r="AK1212" s="72">
        <f>(AW1212-Driver!$K$180)/(Driver!$L$180-Driver!$K$180)</f>
        <v>0.65782920546040835</v>
      </c>
      <c r="AL1212" s="72">
        <f>(AX1212-Driver!$K$181)/(Driver!$L$181-Driver!$K$181)</f>
        <v>0.74767596281540505</v>
      </c>
      <c r="AM1212" s="72">
        <f>(AY1212-Driver!$K$182)/(Driver!$L$182-Driver!$K$182)</f>
        <v>9.4419862016971709E-2</v>
      </c>
      <c r="AN1212" s="72">
        <f>(AZ1212-Driver!$K$183)/(Driver!$L$183-Driver!$K$183)</f>
        <v>0.63790849673202621</v>
      </c>
      <c r="AO1212" s="72"/>
      <c r="AP1212" s="72"/>
      <c r="AQ1212" s="72">
        <f>(BC1212-Driver!$K$188)/(Driver!$L$188-Driver!$K$188)</f>
        <v>0.33144440715716567</v>
      </c>
      <c r="AR1212" s="72">
        <f>MIN((BD1212-Driver!$K$189)/(Driver!$L$189-Driver!$K$189),100%)</f>
        <v>7.3698607329778745E-2</v>
      </c>
      <c r="AS1212" s="72">
        <f>(BE1212-Driver!$K$190)/(Driver!$L$190-Driver!$K$190)</f>
        <v>6.8404766986240428E-2</v>
      </c>
      <c r="AT1212" s="72">
        <f>(BF1212-Driver!$K$191)/(Driver!$L$191-Driver!$K$191)</f>
        <v>3.6097284810256355E-2</v>
      </c>
      <c r="AU1212" s="72">
        <f>(BG1212-Driver!$K$192)/(Driver!$L$192-Driver!$K$192)</f>
        <v>1.5401880283252969E-2</v>
      </c>
      <c r="AV1212" s="70">
        <f t="shared" si="689"/>
        <v>7.6753493420160082</v>
      </c>
      <c r="AW1212" s="70">
        <f t="shared" si="690"/>
        <v>65.983177653306171</v>
      </c>
      <c r="AX1212" s="70">
        <f t="shared" si="691"/>
        <v>7.7290836653386457</v>
      </c>
      <c r="AY1212" s="70">
        <f>IFERROR(Driver!$K$19/Data!BH1212/Data!BI1212*Data!BK1212*Data!BL1212,"")</f>
        <v>0.11559808327653065</v>
      </c>
      <c r="AZ1212" s="70">
        <f t="shared" si="692"/>
        <v>58.138495904690998</v>
      </c>
      <c r="BA1212" s="70"/>
      <c r="BB1212" s="70"/>
      <c r="BC1212" s="70">
        <f t="shared" si="693"/>
        <v>171.9225181565586</v>
      </c>
      <c r="BD1212" s="70">
        <f t="shared" si="694"/>
        <v>8.2430190465781497</v>
      </c>
      <c r="BE1212" s="70">
        <f t="shared" si="695"/>
        <v>6.8570953090259096E-2</v>
      </c>
      <c r="BF1212" s="70">
        <f t="shared" si="696"/>
        <v>4.0769347215400291</v>
      </c>
      <c r="BG1212" s="70">
        <f t="shared" si="697"/>
        <v>5.8321344089817824E-2</v>
      </c>
      <c r="BH1212" s="67">
        <f>MAX((CE1212-Driver!$F$200)/(Driver!$G$200-Driver!$F$200)*$BI$1,1)</f>
        <v>7.7290836653386457</v>
      </c>
      <c r="BI1212" s="67">
        <f>MAX($BI$1*(BY1212-Driver!$F$201)/(Driver!$G$201-Driver!$F$201),1)</f>
        <v>8.1012658227848107</v>
      </c>
      <c r="BJ1212" s="67">
        <f>(CB1212-Driver!$F$206)/(Driver!$G$206-Driver!$F$206)*$BI$1</f>
        <v>4.92063492063492</v>
      </c>
      <c r="BK1212" s="67">
        <f>(CD1212-Driver!$F$203)/(Driver!$G$203-Driver!$F$203)*$BI$1</f>
        <v>6.5596330275229366</v>
      </c>
      <c r="BL1212" s="67">
        <f>MAX((CR1212-Driver!$F$202)/(Driver!$G$202-Driver!$F$202)*$BI$1,1)</f>
        <v>5.5172413793103452</v>
      </c>
      <c r="BM1212" s="67">
        <f>MAX((CH1212-Driver!$F$204)/(Driver!$G$204-Driver!$F$204)*$BI$1,1)</f>
        <v>6.2393162393162394</v>
      </c>
      <c r="BN1212" s="67">
        <f>(CI1212-Driver!$F$205)/(Driver!$G$205-Driver!$F$205)*$BI$1</f>
        <v>7.1764705882352944</v>
      </c>
      <c r="BO1212" s="67">
        <f>(CK1212-Driver!$F$207)/(Driver!$G$207-Driver!$F$207)*$BI$1</f>
        <v>2.2750775594622543</v>
      </c>
      <c r="BP1212" s="67">
        <f>(CM1212-Driver!$F$208)/(Driver!$G$208-Driver!$F$208)*$BI$1</f>
        <v>2.3888888888888888</v>
      </c>
      <c r="BQ1212" s="67">
        <f>(CL1212-Driver!$F$209)/(Driver!$G$209-Driver!$F$209)*$BI$1</f>
        <v>2.8125</v>
      </c>
      <c r="BR1212" s="28" t="s">
        <v>155</v>
      </c>
      <c r="BS1212" s="8" t="s">
        <v>229</v>
      </c>
      <c r="BT1212" s="9" t="s">
        <v>820</v>
      </c>
      <c r="BU1212" s="10">
        <v>191</v>
      </c>
      <c r="BV1212" s="9" t="s">
        <v>158</v>
      </c>
      <c r="BW1212" s="10">
        <v>191</v>
      </c>
      <c r="BX1212" s="10">
        <v>190.2</v>
      </c>
      <c r="BY1212" s="10">
        <v>136</v>
      </c>
      <c r="BZ1212" s="10">
        <v>168</v>
      </c>
      <c r="CA1212" s="10">
        <v>133</v>
      </c>
      <c r="CB1212" s="10">
        <v>95</v>
      </c>
      <c r="CC1212" s="10">
        <v>116</v>
      </c>
      <c r="CD1212" s="10">
        <v>23.7</v>
      </c>
      <c r="CE1212" s="10">
        <v>2258</v>
      </c>
      <c r="CF1212" s="10">
        <v>0.9</v>
      </c>
      <c r="CG1212" s="10">
        <v>2026</v>
      </c>
      <c r="CH1212" s="10">
        <v>247</v>
      </c>
      <c r="CI1212" s="10">
        <v>155</v>
      </c>
      <c r="CJ1212" s="10">
        <v>40</v>
      </c>
      <c r="CK1212" s="10">
        <v>330</v>
      </c>
      <c r="CL1212" s="10">
        <v>18</v>
      </c>
      <c r="CM1212" s="10">
        <v>215</v>
      </c>
      <c r="CN1212" s="10">
        <v>0.45</v>
      </c>
      <c r="CO1212" s="10">
        <v>123</v>
      </c>
      <c r="CP1212" s="10">
        <v>100</v>
      </c>
      <c r="CQ1212" s="10">
        <v>207</v>
      </c>
      <c r="CR1212" s="10">
        <v>5</v>
      </c>
      <c r="CS1212" s="10">
        <v>11.2</v>
      </c>
      <c r="CT1212" s="9" t="s">
        <v>188</v>
      </c>
      <c r="CU1212" s="10"/>
      <c r="CV1212" s="10"/>
      <c r="CW1212" s="10"/>
      <c r="CX1212" t="e">
        <f>INDEX('Data_Price '!AG$2:AG$1266,MATCH(Data!$DN1212,'Data_Price '!$AT$2:$AT$1266,0))</f>
        <v>#N/A</v>
      </c>
      <c r="CY1212" t="e">
        <f>INDEX('Data_Price '!AH$2:AH$1266,MATCH(Data!$DN1212,'Data_Price '!$AT$2:$AT$1266,0))</f>
        <v>#N/A</v>
      </c>
      <c r="CZ1212" t="e">
        <f>INDEX('Data_Price '!AI$2:AI$1266,MATCH(Data!$DN1212,'Data_Price '!$AT$2:$AT$1266,0))</f>
        <v>#N/A</v>
      </c>
      <c r="DA1212" t="e">
        <f>INDEX('Data_Price '!AJ$2:AJ$1266,MATCH(Data!$DN1212,'Data_Price '!$AT$2:$AT$1266,0))</f>
        <v>#N/A</v>
      </c>
      <c r="DB1212" t="e">
        <f>INDEX('Data_Price '!AK$2:AK$1266,MATCH(Data!$DN1212,'Data_Price '!$AT$2:$AT$1266,0))</f>
        <v>#N/A</v>
      </c>
      <c r="DC1212" t="e">
        <f>INDEX('Data_Price '!AL$2:AL$1266,MATCH(Data!$DN1212,'Data_Price '!$AT$2:$AT$1266,0))</f>
        <v>#N/A</v>
      </c>
      <c r="DD1212" t="e">
        <f>INDEX('Data_Price '!AM$2:AM$1266,MATCH(Data!$DN1212,'Data_Price '!$AT$2:$AT$1266,0))</f>
        <v>#N/A</v>
      </c>
      <c r="DE1212" t="e">
        <f>INDEX('Data_Price '!AN$2:AN$1266,MATCH(Data!$DN1212,'Data_Price '!$AT$2:$AT$1266,0))</f>
        <v>#N/A</v>
      </c>
      <c r="DF1212" t="e">
        <f>INDEX('Data_Price '!AO$2:AO$1266,MATCH(Data!$DN1212,'Data_Price '!$AT$2:$AT$1266,0))</f>
        <v>#N/A</v>
      </c>
      <c r="DG1212" t="e">
        <f>INDEX('Data_Price '!AP$2:AP$1266,MATCH(Data!$DN1212,'Data_Price '!$AT$2:$AT$1266,0))</f>
        <v>#N/A</v>
      </c>
      <c r="DH1212" t="e">
        <f>INDEX('Data_Price '!AQ$2:AQ$1266,MATCH(Data!$DN1212,'Data_Price '!$AT$2:$AT$1266,0))</f>
        <v>#N/A</v>
      </c>
      <c r="DI1212" t="e">
        <f>INDEX('Data_Price '!AR$2:AR$1266,MATCH(Data!$DN1212,'Data_Price '!$AT$2:$AT$1266,0))</f>
        <v>#N/A</v>
      </c>
      <c r="DJ1212" s="89" t="e">
        <f t="shared" si="698"/>
        <v>#N/A</v>
      </c>
      <c r="DK1212" s="89" t="e">
        <f t="shared" si="699"/>
        <v>#N/A</v>
      </c>
      <c r="DL1212" s="89" t="e">
        <f t="shared" si="700"/>
        <v>#N/A</v>
      </c>
      <c r="DM1212" s="219" t="str">
        <f t="shared" si="701"/>
        <v>Mantra M5</v>
      </c>
      <c r="DN1212" s="89" t="str">
        <f t="shared" si="702"/>
        <v xml:space="preserve"> VölklMantra M5191 Unisex</v>
      </c>
      <c r="DO1212" s="221"/>
    </row>
    <row r="1213" spans="2:119" ht="15.6" customHeight="1">
      <c r="B1213" s="219" t="b">
        <f t="array" ref="B1213">IF(OR(ISERROR(K1213:P1213)),FALSE,TRUE)</f>
        <v>1</v>
      </c>
      <c r="C1213" s="43" t="b">
        <f>OR(BR1213=Driver!$G$50,Data!BR1113=Driver!$H$50)</f>
        <v>1</v>
      </c>
      <c r="D1213" s="43" t="b">
        <f>OR(BV1213=Driver!$G$51,BV1213=Driver!$H$51)</f>
        <v>1</v>
      </c>
      <c r="E1213" s="43" t="b">
        <f>AND(BX1213&gt;Driver!$F$54,BX1213&lt;Driver!$G$54)</f>
        <v>0</v>
      </c>
      <c r="F1213" s="43" t="b">
        <f>CL1213&gt;Driver!$F$56</f>
        <v>1</v>
      </c>
      <c r="G1213" s="43" t="b">
        <f>AND(CB1213&gt;Driver!$F$55,CB1213&lt;Driver!$G$55)</f>
        <v>0</v>
      </c>
      <c r="H1213" s="43" t="b">
        <f t="shared" si="666"/>
        <v>0</v>
      </c>
      <c r="I1213" s="43">
        <f t="shared" si="667"/>
        <v>0</v>
      </c>
      <c r="J1213" s="43" t="b">
        <f t="array" ref="J1213">NOT(OR(($H$9:$H$1273=TRUE)*($I$9:$I$1273&gt;0)*($BT$9:$BT$1273=BT1213)*($K$9:$K$1273&gt;K1213)))</f>
        <v>1</v>
      </c>
      <c r="K1213" s="72">
        <f t="shared" si="668"/>
        <v>0.73231503366704209</v>
      </c>
      <c r="L1213" s="72">
        <f t="shared" si="669"/>
        <v>0.91701853908690656</v>
      </c>
      <c r="M1213" s="72">
        <f t="shared" si="670"/>
        <v>0.54761152824717785</v>
      </c>
      <c r="N1213" s="72">
        <f t="shared" si="671"/>
        <v>0.45013524363466362</v>
      </c>
      <c r="O1213" s="72">
        <f t="shared" si="672"/>
        <v>0.64877404947122819</v>
      </c>
      <c r="P1213" s="72">
        <f t="shared" si="673"/>
        <v>0.54392529163564163</v>
      </c>
      <c r="Q1213" s="72"/>
      <c r="R1213" s="72"/>
      <c r="S1213" s="72">
        <f t="shared" si="674"/>
        <v>0.63033767997944246</v>
      </c>
      <c r="T1213" s="72">
        <f t="shared" si="675"/>
        <v>0.59264383351391192</v>
      </c>
      <c r="U1213" s="72">
        <f t="shared" si="676"/>
        <v>0.97741005762706146</v>
      </c>
      <c r="V1213" s="72">
        <f t="shared" si="677"/>
        <v>0.51494944627997885</v>
      </c>
      <c r="W1213" s="72">
        <f t="shared" si="678"/>
        <v>0.75625207296849084</v>
      </c>
      <c r="X1213" s="72">
        <f t="shared" si="679"/>
        <v>8.2981460913093497E-2</v>
      </c>
      <c r="Y1213" s="72">
        <f t="shared" si="680"/>
        <v>0.45238847175282221</v>
      </c>
      <c r="Z1213" s="72">
        <f t="shared" si="681"/>
        <v>0.54986475636533638</v>
      </c>
      <c r="AA1213" s="72">
        <f t="shared" si="682"/>
        <v>0.35122595052877181</v>
      </c>
      <c r="AB1213" s="72">
        <f t="shared" si="683"/>
        <v>0.45607470836435843</v>
      </c>
      <c r="AC1213" s="72"/>
      <c r="AD1213" s="72"/>
      <c r="AE1213" s="72">
        <f t="shared" si="684"/>
        <v>0.36966232002055754</v>
      </c>
      <c r="AF1213" s="72">
        <f t="shared" si="685"/>
        <v>0.40735616648608802</v>
      </c>
      <c r="AG1213" s="72">
        <f t="shared" si="686"/>
        <v>2.2589942372938543E-2</v>
      </c>
      <c r="AH1213" s="72">
        <f t="shared" si="687"/>
        <v>0.48505055372002115</v>
      </c>
      <c r="AI1213" s="72">
        <f t="shared" si="688"/>
        <v>0.24374792703150913</v>
      </c>
      <c r="AJ1213" s="72">
        <f>(AV1213-Driver!$K$179)/(Driver!$L$179-Driver!$K$179)</f>
        <v>0.33720087019579392</v>
      </c>
      <c r="AK1213" s="72">
        <f>(AW1213-Driver!$K$180)/(Driver!$L$180-Driver!$K$180)</f>
        <v>0.71666622434512306</v>
      </c>
      <c r="AL1213" s="72">
        <f>(AX1213-Driver!$K$181)/(Driver!$L$181-Driver!$K$181)</f>
        <v>0.65155252007841657</v>
      </c>
      <c r="AM1213" s="72">
        <f>(AY1213-Driver!$K$182)/(Driver!$L$182-Driver!$K$182)</f>
        <v>9.6159070568274538E-2</v>
      </c>
      <c r="AN1213" s="72">
        <f>(AZ1213-Driver!$K$183)/(Driver!$L$183-Driver!$K$183)</f>
        <v>0.71029411764705885</v>
      </c>
      <c r="AO1213" s="72"/>
      <c r="AP1213" s="72"/>
      <c r="AQ1213" s="72">
        <f>(BC1213-Driver!$K$188)/(Driver!$L$188-Driver!$K$188)</f>
        <v>0.25033767997944245</v>
      </c>
      <c r="AR1213" s="72">
        <f>MIN((BD1213-Driver!$K$189)/(Driver!$L$189-Driver!$K$189),100%)</f>
        <v>0.14264383351391202</v>
      </c>
      <c r="AS1213" s="72">
        <f>(BE1213-Driver!$K$190)/(Driver!$L$190-Driver!$K$190)</f>
        <v>0.53258994237293855</v>
      </c>
      <c r="AT1213" s="72">
        <f>(BF1213-Driver!$K$191)/(Driver!$L$191-Driver!$K$191)</f>
        <v>2.494944627997886E-2</v>
      </c>
      <c r="AU1213" s="72">
        <f>(BG1213-Driver!$K$192)/(Driver!$L$192-Driver!$K$192)</f>
        <v>6.2520729684908787E-3</v>
      </c>
      <c r="AV1213" s="70">
        <f t="shared" si="689"/>
        <v>7.0970695970695949</v>
      </c>
      <c r="AW1213" s="70">
        <f t="shared" si="690"/>
        <v>71.717366492644942</v>
      </c>
      <c r="AX1213" s="70">
        <f t="shared" si="691"/>
        <v>6.8639726807057491</v>
      </c>
      <c r="AY1213" s="70">
        <f>IFERROR(Driver!$K$19/Data!BH1213/Data!BI1213*Data!BK1213*Data!BL1213,"")</f>
        <v>0.11772739347307193</v>
      </c>
      <c r="AZ1213" s="70">
        <f t="shared" si="692"/>
        <v>64.735666418466124</v>
      </c>
      <c r="BA1213" s="70"/>
      <c r="BB1213" s="70"/>
      <c r="BC1213" s="70">
        <f t="shared" si="693"/>
        <v>129.85189492465381</v>
      </c>
      <c r="BD1213" s="70">
        <f t="shared" si="694"/>
        <v>14.344549400161954</v>
      </c>
      <c r="BE1213" s="70">
        <f t="shared" si="695"/>
        <v>0.53267332306629489</v>
      </c>
      <c r="BF1213" s="70">
        <f t="shared" si="696"/>
        <v>2.8178646775433513</v>
      </c>
      <c r="BG1213" s="70">
        <f t="shared" si="697"/>
        <v>2.3674336650082919E-2</v>
      </c>
      <c r="BH1213" s="67">
        <f>MAX((CE1213-Driver!$F$200)/(Driver!$G$200-Driver!$F$200)*$BI$1,1)</f>
        <v>6.8639726807057491</v>
      </c>
      <c r="BI1213" s="67">
        <f>MAX($BI$1*(BY1213-Driver!$F$201)/(Driver!$G$201-Driver!$F$201),1)</f>
        <v>8.7341772151898738</v>
      </c>
      <c r="BJ1213" s="67">
        <f>(CB1213-Driver!$F$206)/(Driver!$G$206-Driver!$F$206)*$BI$1</f>
        <v>4.92063492063492</v>
      </c>
      <c r="BK1213" s="67">
        <f>(CD1213-Driver!$F$203)/(Driver!$G$203-Driver!$F$203)*$BI$1</f>
        <v>4.4495412844036704</v>
      </c>
      <c r="BL1213" s="67">
        <f>MAX((CR1213-Driver!$F$202)/(Driver!$G$202-Driver!$F$202)*$BI$1,1)</f>
        <v>7.931034482758621</v>
      </c>
      <c r="BM1213" s="67">
        <f>MAX((CH1213-Driver!$F$204)/(Driver!$G$204-Driver!$F$204)*$BI$1,1)</f>
        <v>5.7692307692307683</v>
      </c>
      <c r="BN1213" s="67">
        <f>(CI1213-Driver!$F$205)/(Driver!$G$205-Driver!$F$205)*$BI$1</f>
        <v>7.4117647058823533</v>
      </c>
      <c r="BO1213" s="67">
        <f>(CK1213-Driver!$F$207)/(Driver!$G$207-Driver!$F$207)*$BI$1</f>
        <v>1.4891416752843847</v>
      </c>
      <c r="BP1213" s="67">
        <f>(CM1213-Driver!$F$208)/(Driver!$G$208-Driver!$F$208)*$BI$1</f>
        <v>1.711111111111111</v>
      </c>
      <c r="BQ1213" s="67">
        <f>(CL1213-Driver!$F$209)/(Driver!$G$209-Driver!$F$209)*$BI$1</f>
        <v>0.9375</v>
      </c>
      <c r="BR1213" s="28" t="s">
        <v>155</v>
      </c>
      <c r="BS1213" s="8" t="s">
        <v>174</v>
      </c>
      <c r="BT1213" s="9" t="s">
        <v>516</v>
      </c>
      <c r="BU1213" s="10">
        <v>188</v>
      </c>
      <c r="BV1213" s="9" t="s">
        <v>158</v>
      </c>
      <c r="BW1213" s="10">
        <v>188</v>
      </c>
      <c r="BX1213" s="10">
        <v>187.1</v>
      </c>
      <c r="BY1213" s="10">
        <v>146</v>
      </c>
      <c r="BZ1213" s="10">
        <v>157</v>
      </c>
      <c r="CA1213" s="10">
        <v>134</v>
      </c>
      <c r="CB1213" s="10">
        <v>95</v>
      </c>
      <c r="CC1213" s="10">
        <v>116</v>
      </c>
      <c r="CD1213" s="10">
        <v>19.100000000000001</v>
      </c>
      <c r="CE1213" s="10">
        <v>2106</v>
      </c>
      <c r="CF1213" s="10">
        <v>0.96</v>
      </c>
      <c r="CG1213" s="10">
        <v>2016</v>
      </c>
      <c r="CH1213" s="10">
        <v>236</v>
      </c>
      <c r="CI1213" s="10">
        <v>159</v>
      </c>
      <c r="CJ1213" s="10">
        <v>48</v>
      </c>
      <c r="CK1213" s="10">
        <v>254</v>
      </c>
      <c r="CL1213" s="10">
        <v>6</v>
      </c>
      <c r="CM1213" s="10">
        <v>154</v>
      </c>
      <c r="CN1213" s="10">
        <v>0.127</v>
      </c>
      <c r="CO1213" s="10">
        <v>158</v>
      </c>
      <c r="CP1213" s="10">
        <v>142</v>
      </c>
      <c r="CQ1213" s="10">
        <v>95</v>
      </c>
      <c r="CR1213" s="10">
        <v>12</v>
      </c>
      <c r="CS1213" s="10">
        <v>10.5</v>
      </c>
      <c r="CT1213" s="9" t="s">
        <v>188</v>
      </c>
      <c r="CU1213" s="10"/>
      <c r="CV1213" s="10"/>
      <c r="CW1213" s="10"/>
      <c r="CX1213" t="str">
        <f>INDEX('Data_Price '!AG$2:AG$1266,MATCH(Data!$DN1213,'Data_Price '!$AT$2:$AT$1266,0))</f>
        <v>Salomon Stance 96 Mens Skis Dark Grey/Black/Brown Sz 188cm</v>
      </c>
      <c r="CY1213" t="str">
        <f>INDEX('Data_Price '!AH$2:AH$1266,MATCH(Data!$DN1213,'Data_Price '!$AT$2:$AT$1266,0))</f>
        <v>Buyr.com</v>
      </c>
      <c r="CZ1213">
        <f>INDEX('Data_Price '!AI$2:AI$1266,MATCH(Data!$DN1213,'Data_Price '!$AT$2:$AT$1266,0))</f>
        <v>559.95000000000005</v>
      </c>
      <c r="DA1213" t="str">
        <f>INDEX('Data_Price '!AJ$2:AJ$1266,MATCH(Data!$DN1213,'Data_Price '!$AT$2:$AT$1266,0))</f>
        <v>https://tinyurl.com/yb3zms9j</v>
      </c>
      <c r="DB1213" t="str">
        <f>INDEX('Data_Price '!AK$2:AK$1266,MATCH(Data!$DN1213,'Data_Price '!$AT$2:$AT$1266,0))</f>
        <v>Salomon Stance 96</v>
      </c>
      <c r="DC1213" t="str">
        <f>INDEX('Data_Price '!AL$2:AL$1266,MATCH(Data!$DN1213,'Data_Price '!$AT$2:$AT$1266,0))</f>
        <v>AlpineShopVT.com</v>
      </c>
      <c r="DD1213">
        <f>INDEX('Data_Price '!AM$2:AM$1266,MATCH(Data!$DN1213,'Data_Price '!$AT$2:$AT$1266,0))</f>
        <v>559.96</v>
      </c>
      <c r="DE1213" t="str">
        <f>INDEX('Data_Price '!AN$2:AN$1266,MATCH(Data!$DN1213,'Data_Price '!$AT$2:$AT$1266,0))</f>
        <v>https://tinyurl.com/yalwmuo3</v>
      </c>
      <c r="DF1213" t="str">
        <f>INDEX('Data_Price '!AO$2:AO$1266,MATCH(Data!$DN1213,'Data_Price '!$AT$2:$AT$1266,0))</f>
        <v>Salomon Stance 96</v>
      </c>
      <c r="DG1213" t="str">
        <f>INDEX('Data_Price '!AP$2:AP$1266,MATCH(Data!$DN1213,'Data_Price '!$AT$2:$AT$1266,0))</f>
        <v>Backcountry.com</v>
      </c>
      <c r="DH1213">
        <f>INDEX('Data_Price '!AQ$2:AQ$1266,MATCH(Data!$DN1213,'Data_Price '!$AT$2:$AT$1266,0))</f>
        <v>559.96</v>
      </c>
      <c r="DI1213" t="str">
        <f>INDEX('Data_Price '!AR$2:AR$1266,MATCH(Data!$DN1213,'Data_Price '!$AT$2:$AT$1266,0))</f>
        <v>https://tinyurl.com/yc7sfsrp</v>
      </c>
      <c r="DJ1213" s="89" t="str">
        <f t="shared" si="698"/>
        <v>https://tinyurl.com/yb3zms9j</v>
      </c>
      <c r="DK1213" s="89" t="str">
        <f t="shared" si="699"/>
        <v>https://tinyurl.com/yalwmuo3</v>
      </c>
      <c r="DL1213" s="89" t="str">
        <f t="shared" si="700"/>
        <v>https://tinyurl.com/yc7sfsrp</v>
      </c>
      <c r="DM1213" s="219" t="str">
        <f t="shared" si="701"/>
        <v>Stance 96</v>
      </c>
      <c r="DN1213" s="89" t="str">
        <f t="shared" si="702"/>
        <v xml:space="preserve"> SalomonStance 96188 Unisex</v>
      </c>
      <c r="DO1213" s="221" t="s">
        <v>517</v>
      </c>
    </row>
    <row r="1214" spans="2:119" ht="15.6" customHeight="1">
      <c r="B1214" s="219" t="b">
        <f t="array" ref="B1214">IF(OR(ISERROR(K1214:P1214)),FALSE,TRUE)</f>
        <v>1</v>
      </c>
      <c r="C1214" s="43" t="b">
        <f>OR(BR1214=Driver!$G$50,Data!BR538=Driver!$H$50)</f>
        <v>1</v>
      </c>
      <c r="D1214" s="43" t="b">
        <f>OR(BV1214=Driver!$G$51,BV1214=Driver!$H$51)</f>
        <v>0</v>
      </c>
      <c r="E1214" s="43" t="b">
        <f>AND(BX1214&gt;Driver!$F$54,BX1214&lt;Driver!$G$54)</f>
        <v>0</v>
      </c>
      <c r="F1214" s="43" t="b">
        <f>CL1214&gt;Driver!$F$56</f>
        <v>1</v>
      </c>
      <c r="G1214" s="43" t="b">
        <f>AND(CB1214&gt;Driver!$F$55,CB1214&lt;Driver!$G$55)</f>
        <v>0</v>
      </c>
      <c r="H1214" s="43" t="b">
        <f t="shared" si="666"/>
        <v>0</v>
      </c>
      <c r="I1214" s="43">
        <f t="shared" si="667"/>
        <v>0</v>
      </c>
      <c r="J1214" s="43" t="b">
        <f t="array" ref="J1214">NOT(OR(($H$9:$H$1273=TRUE)*($I$9:$I$1273&gt;0)*($BT$9:$BT$1273=BT1214)*($K$9:$K$1273&gt;K1214)))</f>
        <v>1</v>
      </c>
      <c r="K1214" s="72">
        <f t="shared" si="668"/>
        <v>0.79779634617758122</v>
      </c>
      <c r="L1214" s="72">
        <f t="shared" si="669"/>
        <v>0.80422874155123725</v>
      </c>
      <c r="M1214" s="72">
        <f t="shared" si="670"/>
        <v>0.79136395080392519</v>
      </c>
      <c r="N1214" s="72">
        <f t="shared" si="671"/>
        <v>0.97438744119363419</v>
      </c>
      <c r="O1214" s="72">
        <f t="shared" si="672"/>
        <v>0.63823754599103788</v>
      </c>
      <c r="P1214" s="72">
        <f t="shared" si="673"/>
        <v>0.7614668652271035</v>
      </c>
      <c r="Q1214" s="72"/>
      <c r="R1214" s="72"/>
      <c r="S1214" s="72">
        <f t="shared" si="674"/>
        <v>0.38136787786973037</v>
      </c>
      <c r="T1214" s="72">
        <f t="shared" si="675"/>
        <v>0.45833537301073324</v>
      </c>
      <c r="U1214" s="72">
        <f t="shared" si="676"/>
        <v>0.64510747275394886</v>
      </c>
      <c r="V1214" s="72">
        <f t="shared" si="677"/>
        <v>0.5949843357760618</v>
      </c>
      <c r="W1214" s="72">
        <f t="shared" si="678"/>
        <v>0.40384615384615397</v>
      </c>
      <c r="X1214" s="72">
        <f t="shared" si="679"/>
        <v>0.19577125844876281</v>
      </c>
      <c r="Y1214" s="72">
        <f t="shared" si="680"/>
        <v>0.20863604919607481</v>
      </c>
      <c r="Z1214" s="72">
        <f t="shared" si="681"/>
        <v>2.5612558806365857E-2</v>
      </c>
      <c r="AA1214" s="72">
        <f t="shared" si="682"/>
        <v>0.36176245400896206</v>
      </c>
      <c r="AB1214" s="72">
        <f t="shared" si="683"/>
        <v>0.2385331347728965</v>
      </c>
      <c r="AC1214" s="72"/>
      <c r="AD1214" s="72"/>
      <c r="AE1214" s="72">
        <f t="shared" si="684"/>
        <v>0.61863212213026963</v>
      </c>
      <c r="AF1214" s="72">
        <f t="shared" si="685"/>
        <v>0.54166462698926676</v>
      </c>
      <c r="AG1214" s="72">
        <f t="shared" si="686"/>
        <v>0.35489252724605114</v>
      </c>
      <c r="AH1214" s="72">
        <f t="shared" si="687"/>
        <v>0.4050156642239382</v>
      </c>
      <c r="AI1214" s="72">
        <f t="shared" si="688"/>
        <v>0.59615384615384603</v>
      </c>
      <c r="AJ1214" s="72">
        <f>(AV1214-Driver!$K$179)/(Driver!$L$179-Driver!$K$179)</f>
        <v>5.8448150833937625E-2</v>
      </c>
      <c r="AK1214" s="72">
        <f>(AW1214-Driver!$K$180)/(Driver!$L$180-Driver!$K$180)</f>
        <v>1.8554218458058911E-2</v>
      </c>
      <c r="AL1214" s="72">
        <f>(AX1214-Driver!$K$181)/(Driver!$L$181-Driver!$K$181)</f>
        <v>0.12730032251944604</v>
      </c>
      <c r="AM1214" s="72">
        <f>(AY1214-Driver!$K$182)/(Driver!$L$182-Driver!$K$182)</f>
        <v>8.5622567088084314E-2</v>
      </c>
      <c r="AN1214" s="72">
        <f>(AZ1214-Driver!$K$183)/(Driver!$L$183-Driver!$K$183)</f>
        <v>1.5686274509803921E-2</v>
      </c>
      <c r="AO1214" s="72"/>
      <c r="AP1214" s="72"/>
      <c r="AQ1214" s="72">
        <f>(BC1214-Driver!$K$188)/(Driver!$L$188-Driver!$K$188)</f>
        <v>1.3678778697303639E-3</v>
      </c>
      <c r="AR1214" s="72">
        <f>MIN((BD1214-Driver!$K$189)/(Driver!$L$189-Driver!$K$189),100%)</f>
        <v>8.3353730107332807E-3</v>
      </c>
      <c r="AS1214" s="72">
        <f>(BE1214-Driver!$K$190)/(Driver!$L$190-Driver!$K$190)</f>
        <v>0.15510747275394887</v>
      </c>
      <c r="AT1214" s="72">
        <f>(BF1214-Driver!$K$191)/(Driver!$L$191-Driver!$K$191)</f>
        <v>0.10498433577606182</v>
      </c>
      <c r="AU1214" s="72">
        <f>(BG1214-Driver!$K$192)/(Driver!$L$192-Driver!$K$192)</f>
        <v>0.84615384615384603</v>
      </c>
      <c r="AV1214" s="70">
        <f t="shared" si="689"/>
        <v>1.23015873015873</v>
      </c>
      <c r="AW1214" s="70">
        <f t="shared" si="690"/>
        <v>3.6801656172964403</v>
      </c>
      <c r="AX1214" s="70">
        <f t="shared" si="691"/>
        <v>2.1457029026750143</v>
      </c>
      <c r="AY1214" s="70">
        <f>IFERROR(Driver!$K$19/Data!BH1214/Data!BI1214*Data!BK1214*Data!BL1214,"")</f>
        <v>0.10482756942410698</v>
      </c>
      <c r="AZ1214" s="70">
        <f t="shared" si="692"/>
        <v>1.4296351451973195</v>
      </c>
      <c r="BA1214" s="70"/>
      <c r="BB1214" s="70"/>
      <c r="BC1214" s="70">
        <f t="shared" si="693"/>
        <v>0.70952776036181464</v>
      </c>
      <c r="BD1214" s="70">
        <f t="shared" si="694"/>
        <v>2.4584886261405989</v>
      </c>
      <c r="BE1214" s="70">
        <f t="shared" si="695"/>
        <v>0.15525819207113908</v>
      </c>
      <c r="BF1214" s="70">
        <f t="shared" si="696"/>
        <v>11.857243169204557</v>
      </c>
      <c r="BG1214" s="70">
        <f t="shared" si="697"/>
        <v>3.2040782493368698</v>
      </c>
      <c r="BH1214" s="67">
        <f>MAX((CE1214-Driver!$F$200)/(Driver!$G$200-Driver!$F$200)*$BI$1,1)</f>
        <v>2.1457029026750143</v>
      </c>
      <c r="BI1214" s="67">
        <f>MAX($BI$1*(BY1214-Driver!$F$201)/(Driver!$G$201-Driver!$F$201),1)</f>
        <v>6.075949367088608</v>
      </c>
      <c r="BJ1214" s="67">
        <f>(CB1214-Driver!$F$206)/(Driver!$G$206-Driver!$F$206)*$BI$1</f>
        <v>4.92063492063492</v>
      </c>
      <c r="BK1214" s="67">
        <f>(CD1214-Driver!$F$203)/(Driver!$G$203-Driver!$F$203)*$BI$1</f>
        <v>1.1009174311926608</v>
      </c>
      <c r="BL1214" s="67">
        <f>MAX((CR1214-Driver!$F$202)/(Driver!$G$202-Driver!$F$202)*$BI$1,1)</f>
        <v>6.2068965517241379</v>
      </c>
      <c r="BM1214" s="67">
        <f>MAX((CH1214-Driver!$F$204)/(Driver!$G$204-Driver!$F$204)*$BI$1,1)</f>
        <v>1</v>
      </c>
      <c r="BN1214" s="67">
        <f>(CI1214-Driver!$F$205)/(Driver!$G$205-Driver!$F$205)*$BI$1</f>
        <v>0.23529411764705882</v>
      </c>
      <c r="BO1214" s="67">
        <f>(CK1214-Driver!$F$207)/(Driver!$G$207-Driver!$F$207)*$BI$1</f>
        <v>1.1478800413650465</v>
      </c>
      <c r="BP1214" s="67">
        <f>(CM1214-Driver!$F$208)/(Driver!$G$208-Driver!$F$208)*$BI$1</f>
        <v>2.3111111111111109</v>
      </c>
      <c r="BQ1214" s="67">
        <f>(CL1214-Driver!$F$209)/(Driver!$G$209-Driver!$F$209)*$BI$1</f>
        <v>6.875</v>
      </c>
      <c r="BR1214" s="28" t="s">
        <v>155</v>
      </c>
      <c r="BS1214" s="8" t="s">
        <v>205</v>
      </c>
      <c r="BT1214" s="9" t="s">
        <v>859</v>
      </c>
      <c r="BU1214" s="10">
        <v>149</v>
      </c>
      <c r="BV1214" s="9" t="s">
        <v>385</v>
      </c>
      <c r="BW1214" s="10">
        <v>149</v>
      </c>
      <c r="BX1214" s="10">
        <v>147.30000000000001</v>
      </c>
      <c r="BY1214" s="10">
        <v>104</v>
      </c>
      <c r="BZ1214" s="10">
        <v>123</v>
      </c>
      <c r="CA1214" s="10">
        <v>126</v>
      </c>
      <c r="CB1214" s="10">
        <v>95</v>
      </c>
      <c r="CC1214" s="10">
        <v>122</v>
      </c>
      <c r="CD1214" s="10">
        <v>11.8</v>
      </c>
      <c r="CE1214" s="10">
        <v>1277</v>
      </c>
      <c r="CF1214" s="10">
        <v>1.23</v>
      </c>
      <c r="CG1214" s="10">
        <v>1567</v>
      </c>
      <c r="CH1214" s="10">
        <v>105</v>
      </c>
      <c r="CI1214" s="10">
        <v>37</v>
      </c>
      <c r="CJ1214" s="10">
        <v>51</v>
      </c>
      <c r="CK1214" s="10">
        <v>221</v>
      </c>
      <c r="CL1214" s="10">
        <v>44</v>
      </c>
      <c r="CM1214" s="10">
        <v>208</v>
      </c>
      <c r="CN1214" s="10">
        <v>0.86299999999999999</v>
      </c>
      <c r="CO1214" s="10">
        <v>124</v>
      </c>
      <c r="CP1214" s="10">
        <v>119</v>
      </c>
      <c r="CQ1214" s="10">
        <v>97</v>
      </c>
      <c r="CR1214" s="10">
        <v>7</v>
      </c>
      <c r="CS1214" s="10">
        <v>3</v>
      </c>
      <c r="CT1214" s="9" t="s">
        <v>184</v>
      </c>
      <c r="CU1214" s="9" t="s">
        <v>185</v>
      </c>
      <c r="CV1214" s="10"/>
      <c r="CW1214" s="10"/>
      <c r="CX1214" t="str">
        <f>INDEX('Data_Price '!AG$2:AG$1266,MATCH(Data!$DN1214,'Data_Price '!$AT$2:$AT$1266,0))</f>
        <v>Faction Ct 2.0 Skis - Youth 2022</v>
      </c>
      <c r="CY1214" t="str">
        <f>INDEX('Data_Price '!AH$2:AH$1266,MATCH(Data!$DN1214,'Data_Price '!$AT$2:$AT$1266,0))</f>
        <v>Next Adventure</v>
      </c>
      <c r="CZ1214">
        <f>INDEX('Data_Price '!AI$2:AI$1266,MATCH(Data!$DN1214,'Data_Price '!$AT$2:$AT$1266,0))</f>
        <v>383.2</v>
      </c>
      <c r="DA1214" t="str">
        <f>INDEX('Data_Price '!AJ$2:AJ$1266,MATCH(Data!$DN1214,'Data_Price '!$AT$2:$AT$1266,0))</f>
        <v>https://tinyurl.com/yaqlhuqc</v>
      </c>
      <c r="DB1214">
        <f>INDEX('Data_Price '!AK$2:AK$1266,MATCH(Data!$DN1214,'Data_Price '!$AT$2:$AT$1266,0))</f>
        <v>0</v>
      </c>
      <c r="DC1214">
        <f>INDEX('Data_Price '!AL$2:AL$1266,MATCH(Data!$DN1214,'Data_Price '!$AT$2:$AT$1266,0))</f>
        <v>0</v>
      </c>
      <c r="DD1214">
        <f>INDEX('Data_Price '!AM$2:AM$1266,MATCH(Data!$DN1214,'Data_Price '!$AT$2:$AT$1266,0))</f>
        <v>0</v>
      </c>
      <c r="DE1214">
        <f>INDEX('Data_Price '!AN$2:AN$1266,MATCH(Data!$DN1214,'Data_Price '!$AT$2:$AT$1266,0))</f>
        <v>0</v>
      </c>
      <c r="DF1214">
        <f>INDEX('Data_Price '!AO$2:AO$1266,MATCH(Data!$DN1214,'Data_Price '!$AT$2:$AT$1266,0))</f>
        <v>0</v>
      </c>
      <c r="DG1214">
        <f>INDEX('Data_Price '!AP$2:AP$1266,MATCH(Data!$DN1214,'Data_Price '!$AT$2:$AT$1266,0))</f>
        <v>0</v>
      </c>
      <c r="DH1214">
        <f>INDEX('Data_Price '!AQ$2:AQ$1266,MATCH(Data!$DN1214,'Data_Price '!$AT$2:$AT$1266,0))</f>
        <v>0</v>
      </c>
      <c r="DI1214">
        <f>INDEX('Data_Price '!AR$2:AR$1266,MATCH(Data!$DN1214,'Data_Price '!$AT$2:$AT$1266,0))</f>
        <v>0</v>
      </c>
      <c r="DJ1214" s="89" t="str">
        <f t="shared" si="698"/>
        <v>https://tinyurl.com/yaqlhuqc</v>
      </c>
      <c r="DK1214" s="89">
        <f t="shared" si="699"/>
        <v>0</v>
      </c>
      <c r="DL1214" s="89">
        <f t="shared" si="700"/>
        <v>0</v>
      </c>
      <c r="DM1214" s="219" t="str">
        <f t="shared" si="701"/>
        <v>Prodigy 2.0 Jr</v>
      </c>
      <c r="DN1214" s="89" t="str">
        <f t="shared" si="702"/>
        <v xml:space="preserve"> FactionProdigy 2.0 Jr149 Junior</v>
      </c>
      <c r="DO1214" s="221"/>
    </row>
    <row r="1215" spans="2:119" ht="15.6" customHeight="1">
      <c r="B1215" s="219" t="b">
        <f t="array" ref="B1215">IF(OR(ISERROR(K1215:P1215)),FALSE,TRUE)</f>
        <v>1</v>
      </c>
      <c r="C1215" s="43" t="b">
        <f>OR(BR1215=Driver!$G$50,Data!BR742=Driver!$H$50)</f>
        <v>1</v>
      </c>
      <c r="D1215" s="43" t="b">
        <f>OR(BV1215=Driver!$G$51,BV1215=Driver!$H$51)</f>
        <v>1</v>
      </c>
      <c r="E1215" s="43" t="b">
        <f>AND(BX1215&gt;Driver!$F$54,BX1215&lt;Driver!$G$54)</f>
        <v>0</v>
      </c>
      <c r="F1215" s="43" t="b">
        <f>CL1215&gt;Driver!$F$56</f>
        <v>1</v>
      </c>
      <c r="G1215" s="43" t="b">
        <f>AND(CB1215&gt;Driver!$F$55,CB1215&lt;Driver!$G$55)</f>
        <v>0</v>
      </c>
      <c r="H1215" s="43" t="b">
        <f t="shared" si="666"/>
        <v>0</v>
      </c>
      <c r="I1215" s="43">
        <f t="shared" si="667"/>
        <v>0</v>
      </c>
      <c r="J1215" s="43" t="b">
        <f t="array" ref="J1215">NOT(OR(($H$9:$H$1273=TRUE)*($I$9:$I$1273&gt;0)*($BT$9:$BT$1273=BT1215)*($K$9:$K$1273&gt;K1215)))</f>
        <v>1</v>
      </c>
      <c r="K1215" s="72">
        <f t="shared" si="668"/>
        <v>0.78156401611513215</v>
      </c>
      <c r="L1215" s="72">
        <f t="shared" si="669"/>
        <v>0.98951598673695951</v>
      </c>
      <c r="M1215" s="72">
        <f t="shared" si="670"/>
        <v>0.57361204549330469</v>
      </c>
      <c r="N1215" s="72">
        <f t="shared" si="671"/>
        <v>0.49946174714443414</v>
      </c>
      <c r="O1215" s="72">
        <f t="shared" si="672"/>
        <v>0.63994909769983832</v>
      </c>
      <c r="P1215" s="72">
        <f t="shared" si="673"/>
        <v>0.58142529163564172</v>
      </c>
      <c r="Q1215" s="72"/>
      <c r="R1215" s="72"/>
      <c r="S1215" s="72">
        <f t="shared" si="674"/>
        <v>0.66037967224601291</v>
      </c>
      <c r="T1215" s="72">
        <f t="shared" si="675"/>
        <v>0.55473955540370712</v>
      </c>
      <c r="U1215" s="72">
        <f t="shared" si="676"/>
        <v>0.67675445896136111</v>
      </c>
      <c r="V1215" s="72">
        <f t="shared" si="677"/>
        <v>0.50783680264492692</v>
      </c>
      <c r="W1215" s="72">
        <f t="shared" si="678"/>
        <v>0.77361636187796723</v>
      </c>
      <c r="X1215" s="72">
        <f t="shared" si="679"/>
        <v>1.0484013263040493E-2</v>
      </c>
      <c r="Y1215" s="72">
        <f t="shared" si="680"/>
        <v>0.42638795450669525</v>
      </c>
      <c r="Z1215" s="72">
        <f t="shared" si="681"/>
        <v>0.50053825285556586</v>
      </c>
      <c r="AA1215" s="72">
        <f t="shared" si="682"/>
        <v>0.36005090230016162</v>
      </c>
      <c r="AB1215" s="72">
        <f t="shared" si="683"/>
        <v>0.41857470836435834</v>
      </c>
      <c r="AC1215" s="72"/>
      <c r="AD1215" s="72"/>
      <c r="AE1215" s="72">
        <f t="shared" si="684"/>
        <v>0.33962032775398704</v>
      </c>
      <c r="AF1215" s="72">
        <f t="shared" si="685"/>
        <v>0.44526044459629288</v>
      </c>
      <c r="AG1215" s="72">
        <f t="shared" si="686"/>
        <v>0.32324554103863889</v>
      </c>
      <c r="AH1215" s="72">
        <f t="shared" si="687"/>
        <v>0.49216319735507302</v>
      </c>
      <c r="AI1215" s="72">
        <f t="shared" si="688"/>
        <v>0.22638363812203272</v>
      </c>
      <c r="AJ1215" s="72">
        <f>(AV1215-Driver!$K$179)/(Driver!$L$179-Driver!$K$179)</f>
        <v>0.24373539601965993</v>
      </c>
      <c r="AK1215" s="72">
        <f>(AW1215-Driver!$K$180)/(Driver!$L$180-Driver!$K$180)</f>
        <v>0.67693187501210006</v>
      </c>
      <c r="AL1215" s="72">
        <f>(AX1215-Driver!$K$181)/(Driver!$L$181-Driver!$K$181)</f>
        <v>0.60222601656864605</v>
      </c>
      <c r="AM1215" s="72">
        <f>(AY1215-Driver!$K$182)/(Driver!$L$182-Driver!$K$182)</f>
        <v>8.7334118796884741E-2</v>
      </c>
      <c r="AN1215" s="72">
        <f>(AZ1215-Driver!$K$183)/(Driver!$L$183-Driver!$K$183)</f>
        <v>0.67279411764705876</v>
      </c>
      <c r="AO1215" s="72"/>
      <c r="AP1215" s="72"/>
      <c r="AQ1215" s="72">
        <f>(BC1215-Driver!$K$188)/(Driver!$L$188-Driver!$K$188)</f>
        <v>0.28037967224601296</v>
      </c>
      <c r="AR1215" s="72">
        <f>MIN((BD1215-Driver!$K$189)/(Driver!$L$189-Driver!$K$189),100%)</f>
        <v>0.10473955540370718</v>
      </c>
      <c r="AS1215" s="72">
        <f>(BE1215-Driver!$K$190)/(Driver!$L$190-Driver!$K$190)</f>
        <v>0.18675445896136111</v>
      </c>
      <c r="AT1215" s="72">
        <f>(BF1215-Driver!$K$191)/(Driver!$L$191-Driver!$K$191)</f>
        <v>1.7836802644926982E-2</v>
      </c>
      <c r="AU1215" s="72">
        <f>(BG1215-Driver!$K$192)/(Driver!$L$192-Driver!$K$192)</f>
        <v>2.3616361877967292E-2</v>
      </c>
      <c r="AV1215" s="70">
        <f t="shared" si="689"/>
        <v>5.129900963234296</v>
      </c>
      <c r="AW1215" s="70">
        <f t="shared" si="690"/>
        <v>67.844902067990006</v>
      </c>
      <c r="AX1215" s="70">
        <f t="shared" si="691"/>
        <v>6.4200341491178143</v>
      </c>
      <c r="AY1215" s="70">
        <f>IFERROR(Driver!$K$19/Data!BH1215/Data!BI1215*Data!BK1215*Data!BL1215,"")</f>
        <v>0.10692301939341997</v>
      </c>
      <c r="AZ1215" s="70">
        <f t="shared" si="692"/>
        <v>61.317944899478775</v>
      </c>
      <c r="BA1215" s="70"/>
      <c r="BB1215" s="70"/>
      <c r="BC1215" s="70">
        <f t="shared" si="693"/>
        <v>145.43488516186591</v>
      </c>
      <c r="BD1215" s="70">
        <f t="shared" si="694"/>
        <v>10.990087949815427</v>
      </c>
      <c r="BE1215" s="70">
        <f t="shared" si="695"/>
        <v>0.18689953281241392</v>
      </c>
      <c r="BF1215" s="70">
        <f t="shared" si="696"/>
        <v>2.0145415481138347</v>
      </c>
      <c r="BG1215" s="70">
        <f t="shared" si="697"/>
        <v>8.9426611680147705E-2</v>
      </c>
      <c r="BH1215" s="67">
        <f>MAX((CE1215-Driver!$F$200)/(Driver!$G$200-Driver!$F$200)*$BI$1,1)</f>
        <v>6.4200341491178143</v>
      </c>
      <c r="BI1215" s="67">
        <f>MAX($BI$1*(BY1215-Driver!$F$201)/(Driver!$G$201-Driver!$F$201),1)</f>
        <v>8.5443037974683538</v>
      </c>
      <c r="BJ1215" s="67">
        <f>(CB1215-Driver!$F$206)/(Driver!$G$206-Driver!$F$206)*$BI$1</f>
        <v>3.9682539682539679</v>
      </c>
      <c r="BK1215" s="67">
        <f>(CD1215-Driver!$F$203)/(Driver!$G$203-Driver!$F$203)*$BI$1</f>
        <v>4.7247706422018352</v>
      </c>
      <c r="BL1215" s="67">
        <f>MAX((CR1215-Driver!$F$202)/(Driver!$G$202-Driver!$F$202)*$BI$1,1)</f>
        <v>6.2068965517241379</v>
      </c>
      <c r="BM1215" s="67">
        <f>MAX((CH1215-Driver!$F$204)/(Driver!$G$204-Driver!$F$204)*$BI$1,1)</f>
        <v>5.1709401709401712</v>
      </c>
      <c r="BN1215" s="67">
        <f>(CI1215-Driver!$F$205)/(Driver!$G$205-Driver!$F$205)*$BI$1</f>
        <v>7.1764705882352944</v>
      </c>
      <c r="BO1215" s="67">
        <f>(CK1215-Driver!$F$207)/(Driver!$G$207-Driver!$F$207)*$BI$1</f>
        <v>1.2926577042399172</v>
      </c>
      <c r="BP1215" s="67">
        <f>(CM1215-Driver!$F$208)/(Driver!$G$208-Driver!$F$208)*$BI$1</f>
        <v>1.8555555555555556</v>
      </c>
      <c r="BQ1215" s="67">
        <f>(CL1215-Driver!$F$209)/(Driver!$G$209-Driver!$F$209)*$BI$1</f>
        <v>2.96875</v>
      </c>
      <c r="BR1215" s="28" t="s">
        <v>155</v>
      </c>
      <c r="BS1215" s="8" t="s">
        <v>262</v>
      </c>
      <c r="BT1215" s="9" t="s">
        <v>474</v>
      </c>
      <c r="BU1215" s="10">
        <v>184</v>
      </c>
      <c r="BV1215" s="9" t="s">
        <v>158</v>
      </c>
      <c r="BW1215" s="10">
        <v>184</v>
      </c>
      <c r="BX1215" s="10">
        <v>183.5</v>
      </c>
      <c r="BY1215" s="10">
        <v>143</v>
      </c>
      <c r="BZ1215" s="10">
        <v>159</v>
      </c>
      <c r="CA1215" s="10">
        <v>126</v>
      </c>
      <c r="CB1215" s="10">
        <v>89</v>
      </c>
      <c r="CC1215" s="10">
        <v>113</v>
      </c>
      <c r="CD1215" s="10">
        <v>19.7</v>
      </c>
      <c r="CE1215" s="10">
        <v>2028</v>
      </c>
      <c r="CF1215" s="10">
        <v>0.91</v>
      </c>
      <c r="CG1215" s="10">
        <v>1854</v>
      </c>
      <c r="CH1215" s="10">
        <v>222</v>
      </c>
      <c r="CI1215" s="10">
        <v>155</v>
      </c>
      <c r="CJ1215" s="10">
        <v>47</v>
      </c>
      <c r="CK1215" s="10">
        <v>235</v>
      </c>
      <c r="CL1215" s="10">
        <v>19</v>
      </c>
      <c r="CM1215" s="10">
        <v>167</v>
      </c>
      <c r="CN1215" s="10">
        <v>0.41499999999999998</v>
      </c>
      <c r="CO1215" s="10">
        <v>141</v>
      </c>
      <c r="CP1215" s="10">
        <v>105</v>
      </c>
      <c r="CQ1215" s="10">
        <v>94</v>
      </c>
      <c r="CR1215" s="10">
        <v>7</v>
      </c>
      <c r="CS1215" s="10">
        <v>11.6</v>
      </c>
      <c r="CT1215" s="9" t="s">
        <v>188</v>
      </c>
      <c r="CU1215" s="10"/>
      <c r="CV1215" s="10"/>
      <c r="CW1215" s="10"/>
      <c r="CX1215" t="e">
        <f>INDEX('Data_Price '!AG$2:AG$1266,MATCH(Data!$DN1215,'Data_Price '!$AT$2:$AT$1266,0))</f>
        <v>#N/A</v>
      </c>
      <c r="CY1215" t="e">
        <f>INDEX('Data_Price '!AH$2:AH$1266,MATCH(Data!$DN1215,'Data_Price '!$AT$2:$AT$1266,0))</f>
        <v>#N/A</v>
      </c>
      <c r="CZ1215" t="e">
        <f>INDEX('Data_Price '!AI$2:AI$1266,MATCH(Data!$DN1215,'Data_Price '!$AT$2:$AT$1266,0))</f>
        <v>#N/A</v>
      </c>
      <c r="DA1215" t="e">
        <f>INDEX('Data_Price '!AJ$2:AJ$1266,MATCH(Data!$DN1215,'Data_Price '!$AT$2:$AT$1266,0))</f>
        <v>#N/A</v>
      </c>
      <c r="DB1215" t="e">
        <f>INDEX('Data_Price '!AK$2:AK$1266,MATCH(Data!$DN1215,'Data_Price '!$AT$2:$AT$1266,0))</f>
        <v>#N/A</v>
      </c>
      <c r="DC1215" t="e">
        <f>INDEX('Data_Price '!AL$2:AL$1266,MATCH(Data!$DN1215,'Data_Price '!$AT$2:$AT$1266,0))</f>
        <v>#N/A</v>
      </c>
      <c r="DD1215" t="e">
        <f>INDEX('Data_Price '!AM$2:AM$1266,MATCH(Data!$DN1215,'Data_Price '!$AT$2:$AT$1266,0))</f>
        <v>#N/A</v>
      </c>
      <c r="DE1215" t="e">
        <f>INDEX('Data_Price '!AN$2:AN$1266,MATCH(Data!$DN1215,'Data_Price '!$AT$2:$AT$1266,0))</f>
        <v>#N/A</v>
      </c>
      <c r="DF1215" t="e">
        <f>INDEX('Data_Price '!AO$2:AO$1266,MATCH(Data!$DN1215,'Data_Price '!$AT$2:$AT$1266,0))</f>
        <v>#N/A</v>
      </c>
      <c r="DG1215" t="e">
        <f>INDEX('Data_Price '!AP$2:AP$1266,MATCH(Data!$DN1215,'Data_Price '!$AT$2:$AT$1266,0))</f>
        <v>#N/A</v>
      </c>
      <c r="DH1215" t="e">
        <f>INDEX('Data_Price '!AQ$2:AQ$1266,MATCH(Data!$DN1215,'Data_Price '!$AT$2:$AT$1266,0))</f>
        <v>#N/A</v>
      </c>
      <c r="DI1215" t="e">
        <f>INDEX('Data_Price '!AR$2:AR$1266,MATCH(Data!$DN1215,'Data_Price '!$AT$2:$AT$1266,0))</f>
        <v>#N/A</v>
      </c>
      <c r="DJ1215" s="89" t="e">
        <f t="shared" si="698"/>
        <v>#N/A</v>
      </c>
      <c r="DK1215" s="89" t="e">
        <f t="shared" si="699"/>
        <v>#N/A</v>
      </c>
      <c r="DL1215" s="89" t="e">
        <f t="shared" si="700"/>
        <v>#N/A</v>
      </c>
      <c r="DM1215" s="219" t="str">
        <f t="shared" si="701"/>
        <v>Mindbender 90 Ti</v>
      </c>
      <c r="DN1215" s="89" t="str">
        <f t="shared" si="702"/>
        <v xml:space="preserve"> K2Mindbender 90 Ti184 Unisex</v>
      </c>
      <c r="DO1215" s="221"/>
    </row>
    <row r="1216" spans="2:119" ht="15.6" customHeight="1">
      <c r="B1216" s="219" t="b">
        <f t="array" ref="B1216">IF(OR(ISERROR(K1216:P1216)),FALSE,TRUE)</f>
        <v>1</v>
      </c>
      <c r="C1216" s="43" t="b">
        <f>OR(BR1216=Driver!$G$50,Data!BR1061=Driver!$H$50)</f>
        <v>1</v>
      </c>
      <c r="D1216" s="43" t="b">
        <f>OR(BV1216=Driver!$G$51,BV1216=Driver!$H$51)</f>
        <v>0</v>
      </c>
      <c r="E1216" s="43" t="b">
        <f>AND(BX1216&gt;Driver!$F$54,BX1216&lt;Driver!$G$54)</f>
        <v>0</v>
      </c>
      <c r="F1216" s="43" t="b">
        <f>CL1216&gt;Driver!$F$56</f>
        <v>1</v>
      </c>
      <c r="G1216" s="43" t="b">
        <f>AND(CB1216&gt;Driver!$F$55,CB1216&lt;Driver!$G$55)</f>
        <v>0</v>
      </c>
      <c r="H1216" s="43" t="b">
        <f t="shared" si="666"/>
        <v>0</v>
      </c>
      <c r="I1216" s="43">
        <f t="shared" si="667"/>
        <v>0</v>
      </c>
      <c r="J1216" s="43" t="b">
        <f t="array" ref="J1216">NOT(OR(($H$9:$H$1273=TRUE)*($I$9:$I$1273&gt;0)*($BT$9:$BT$1273=BT1216)*($K$9:$K$1273&gt;K1216)))</f>
        <v>1</v>
      </c>
      <c r="K1216" s="72">
        <f t="shared" si="668"/>
        <v>0.83947622350976459</v>
      </c>
      <c r="L1216" s="72">
        <f t="shared" si="669"/>
        <v>0.79103077200809002</v>
      </c>
      <c r="M1216" s="72">
        <f t="shared" si="670"/>
        <v>0.88792167501143904</v>
      </c>
      <c r="N1216" s="72">
        <f t="shared" si="671"/>
        <v>0.94846084818851983</v>
      </c>
      <c r="O1216" s="72">
        <f t="shared" si="672"/>
        <v>0.88896803057294238</v>
      </c>
      <c r="P1216" s="72">
        <f t="shared" si="673"/>
        <v>0.82633614627285512</v>
      </c>
      <c r="Q1216" s="72"/>
      <c r="R1216" s="72"/>
      <c r="S1216" s="72">
        <f t="shared" si="674"/>
        <v>0.40428342015060326</v>
      </c>
      <c r="T1216" s="72">
        <f t="shared" si="675"/>
        <v>0.43897800478656357</v>
      </c>
      <c r="U1216" s="72">
        <f t="shared" si="676"/>
        <v>0.51</v>
      </c>
      <c r="V1216" s="72">
        <f t="shared" si="677"/>
        <v>0.49835744381381342</v>
      </c>
      <c r="W1216" s="72">
        <f t="shared" si="678"/>
        <v>0.90882352941176481</v>
      </c>
      <c r="X1216" s="72">
        <f t="shared" si="679"/>
        <v>0.20896922799191001</v>
      </c>
      <c r="Y1216" s="72">
        <f t="shared" si="680"/>
        <v>0.11207832498856092</v>
      </c>
      <c r="Z1216" s="72">
        <f t="shared" si="681"/>
        <v>5.1539151811480215E-2</v>
      </c>
      <c r="AA1216" s="72">
        <f t="shared" si="682"/>
        <v>0.11103196942705768</v>
      </c>
      <c r="AB1216" s="72">
        <f t="shared" si="683"/>
        <v>0.17366385372714488</v>
      </c>
      <c r="AC1216" s="72"/>
      <c r="AD1216" s="72"/>
      <c r="AE1216" s="72">
        <f t="shared" si="684"/>
        <v>0.59571657984939674</v>
      </c>
      <c r="AF1216" s="72">
        <f t="shared" si="685"/>
        <v>0.56102199521343643</v>
      </c>
      <c r="AG1216" s="72">
        <f t="shared" si="686"/>
        <v>0.49</v>
      </c>
      <c r="AH1216" s="72">
        <f t="shared" si="687"/>
        <v>0.50164255618618658</v>
      </c>
      <c r="AI1216" s="72">
        <f t="shared" si="688"/>
        <v>9.1176470588235248E-2</v>
      </c>
      <c r="AJ1216" s="72">
        <f>(AV1216-Driver!$K$179)/(Driver!$L$179-Driver!$K$179)</f>
        <v>4.525018129079042E-2</v>
      </c>
      <c r="AK1216" s="72">
        <f>(AW1216-Driver!$K$180)/(Driver!$L$180-Driver!$K$180)</f>
        <v>7.5242142818413668E-2</v>
      </c>
      <c r="AL1216" s="72">
        <f>(AX1216-Driver!$K$181)/(Driver!$L$181-Driver!$K$181)</f>
        <v>5.0148611901599964E-2</v>
      </c>
      <c r="AM1216" s="72">
        <f>(AY1216-Driver!$K$182)/(Driver!$L$182-Driver!$K$182)</f>
        <v>0.33635305166998869</v>
      </c>
      <c r="AN1216" s="72">
        <f>(AZ1216-Driver!$K$183)/(Driver!$L$183-Driver!$K$183)</f>
        <v>8.0555555555555547E-2</v>
      </c>
      <c r="AO1216" s="72"/>
      <c r="AP1216" s="72"/>
      <c r="AQ1216" s="72">
        <f>(BC1216-Driver!$K$188)/(Driver!$L$188-Driver!$K$188)</f>
        <v>2.4283420150603228E-2</v>
      </c>
      <c r="AR1216" s="72">
        <f>MIN((BD1216-Driver!$K$189)/(Driver!$L$189-Driver!$K$189),100%)</f>
        <v>-1.102199521343635E-2</v>
      </c>
      <c r="AS1216" s="72">
        <f>(BE1216-Driver!$K$190)/(Driver!$L$190-Driver!$K$190)</f>
        <v>1</v>
      </c>
      <c r="AT1216" s="72">
        <f>(BF1216-Driver!$K$191)/(Driver!$L$191-Driver!$K$191)</f>
        <v>8.3574438138133856E-3</v>
      </c>
      <c r="AU1216" s="72">
        <f>(BG1216-Driver!$K$192)/(Driver!$L$192-Driver!$K$192)</f>
        <v>0.34117647058823525</v>
      </c>
      <c r="AV1216" s="70">
        <f t="shared" si="689"/>
        <v>0.95238095238095233</v>
      </c>
      <c r="AW1216" s="70">
        <f t="shared" si="690"/>
        <v>9.2049061523216462</v>
      </c>
      <c r="AX1216" s="70">
        <f t="shared" si="691"/>
        <v>1.4513375071143997</v>
      </c>
      <c r="AY1216" s="70">
        <f>IFERROR(Driver!$K$19/Data!BH1216/Data!BI1216*Data!BK1216*Data!BL1216,"")</f>
        <v>0.41179649330851259</v>
      </c>
      <c r="AZ1216" s="70">
        <f t="shared" si="692"/>
        <v>7.3417721518987342</v>
      </c>
      <c r="BA1216" s="70"/>
      <c r="BB1216" s="70"/>
      <c r="BC1216" s="70">
        <f t="shared" si="693"/>
        <v>12.595978847715987</v>
      </c>
      <c r="BD1216" s="70">
        <f t="shared" si="694"/>
        <v>0.74539583752848793</v>
      </c>
      <c r="BE1216" s="70">
        <f t="shared" si="695"/>
        <v>1</v>
      </c>
      <c r="BF1216" s="70">
        <f t="shared" si="696"/>
        <v>0.94391456440442845</v>
      </c>
      <c r="BG1216" s="70">
        <f t="shared" si="697"/>
        <v>1.2919117647058822</v>
      </c>
      <c r="BH1216" s="67">
        <f>MAX((CE1216-Driver!$F$200)/(Driver!$G$200-Driver!$F$200)*$BI$1,1)</f>
        <v>1.4513375071143997</v>
      </c>
      <c r="BI1216" s="67">
        <f>MAX($BI$1*(BY1216-Driver!$F$201)/(Driver!$G$201-Driver!$F$201),1)</f>
        <v>7.3417721518987342</v>
      </c>
      <c r="BJ1216" s="67">
        <f>(CB1216-Driver!$F$206)/(Driver!$G$206-Driver!$F$206)*$BI$1</f>
        <v>3.8095238095238093</v>
      </c>
      <c r="BK1216" s="67">
        <f>(CD1216-Driver!$F$203)/(Driver!$G$203-Driver!$F$203)*$BI$1</f>
        <v>3.3486238532110093</v>
      </c>
      <c r="BL1216" s="67">
        <f>MAX((CR1216-Driver!$F$202)/(Driver!$G$202-Driver!$F$202)*$BI$1,1)</f>
        <v>6.5517241379310338</v>
      </c>
      <c r="BM1216" s="67">
        <f>MAX((CH1216-Driver!$F$204)/(Driver!$G$204-Driver!$F$204)*$BI$1,1)</f>
        <v>1</v>
      </c>
      <c r="BN1216" s="67">
        <f>(CI1216-Driver!$F$205)/(Driver!$G$205-Driver!$F$205)*$BI$1</f>
        <v>1</v>
      </c>
      <c r="BO1216" s="67">
        <f>(CK1216-Driver!$F$207)/(Driver!$G$207-Driver!$F$207)*$BI$1</f>
        <v>0.8996897621509824</v>
      </c>
      <c r="BP1216" s="67">
        <f>(CM1216-Driver!$F$208)/(Driver!$G$208-Driver!$F$208)*$BI$1</f>
        <v>0.92222222222222217</v>
      </c>
      <c r="BQ1216" s="67">
        <f>(CL1216-Driver!$F$209)/(Driver!$G$209-Driver!$F$209)*$BI$1</f>
        <v>1.875</v>
      </c>
      <c r="BR1216" s="28" t="s">
        <v>155</v>
      </c>
      <c r="BS1216" s="8" t="s">
        <v>174</v>
      </c>
      <c r="BT1216" s="9" t="s">
        <v>888</v>
      </c>
      <c r="BU1216" s="10">
        <v>153</v>
      </c>
      <c r="BV1216" s="9" t="s">
        <v>163</v>
      </c>
      <c r="BW1216" s="10">
        <v>153</v>
      </c>
      <c r="BX1216" s="10">
        <v>151.69999999999999</v>
      </c>
      <c r="BY1216" s="10">
        <v>124</v>
      </c>
      <c r="BZ1216" s="10">
        <v>132</v>
      </c>
      <c r="CA1216" s="10">
        <v>121</v>
      </c>
      <c r="CB1216" s="10">
        <v>88</v>
      </c>
      <c r="CC1216" s="10">
        <v>106</v>
      </c>
      <c r="CD1216" s="10">
        <v>16.7</v>
      </c>
      <c r="CE1216" s="10">
        <v>1155</v>
      </c>
      <c r="CF1216" s="10">
        <v>1.29</v>
      </c>
      <c r="CG1216" s="10">
        <v>1492</v>
      </c>
      <c r="CH1216" s="10">
        <v>109</v>
      </c>
      <c r="CI1216" s="10">
        <v>50</v>
      </c>
      <c r="CJ1216" s="10">
        <v>47</v>
      </c>
      <c r="CK1216" s="10">
        <v>197</v>
      </c>
      <c r="CL1216" s="10">
        <v>12</v>
      </c>
      <c r="CM1216" s="10">
        <v>83</v>
      </c>
      <c r="CN1216" s="10">
        <v>0.253</v>
      </c>
      <c r="CO1216" s="10">
        <v>121</v>
      </c>
      <c r="CP1216" s="10">
        <v>74</v>
      </c>
      <c r="CQ1216" s="10">
        <v>76</v>
      </c>
      <c r="CR1216" s="10">
        <v>8</v>
      </c>
      <c r="CS1216" s="10">
        <v>10.199999999999999</v>
      </c>
      <c r="CT1216" s="9" t="s">
        <v>185</v>
      </c>
      <c r="CU1216" s="9" t="s">
        <v>198</v>
      </c>
      <c r="CV1216" s="10"/>
      <c r="CW1216" s="10"/>
      <c r="CX1216" t="str">
        <f>INDEX('Data_Price '!AG$2:AG$1266,MATCH(Data!$DN1216,'Data_Price '!$AT$2:$AT$1266,0))</f>
        <v>Salomon MTN EXPLORE 88 W 153</v>
      </c>
      <c r="CY1216" t="str">
        <f>INDEX('Data_Price '!AH$2:AH$1266,MATCH(Data!$DN1216,'Data_Price '!$AT$2:$AT$1266,0))</f>
        <v>Cripple Creek Backcountry</v>
      </c>
      <c r="CZ1216">
        <f>INDEX('Data_Price '!AI$2:AI$1266,MATCH(Data!$DN1216,'Data_Price '!$AT$2:$AT$1266,0))</f>
        <v>649.99</v>
      </c>
      <c r="DA1216" t="str">
        <f>INDEX('Data_Price '!AJ$2:AJ$1266,MATCH(Data!$DN1216,'Data_Price '!$AT$2:$AT$1266,0))</f>
        <v>https://tinyurl.com/y9af5qlo</v>
      </c>
      <c r="DB1216" t="str">
        <f>INDEX('Data_Price '!AK$2:AK$1266,MATCH(Data!$DN1216,'Data_Price '!$AT$2:$AT$1266,0))</f>
        <v>Salomon MTN Explore 88 - Women - 153cm</v>
      </c>
      <c r="DC1216" t="str">
        <f>INDEX('Data_Price '!AL$2:AL$1266,MATCH(Data!$DN1216,'Data_Price '!$AT$2:$AT$1266,0))</f>
        <v>eBay - grassisport</v>
      </c>
      <c r="DD1216">
        <f>INDEX('Data_Price '!AM$2:AM$1266,MATCH(Data!$DN1216,'Data_Price '!$AT$2:$AT$1266,0))</f>
        <v>461.13</v>
      </c>
      <c r="DE1216" t="str">
        <f>INDEX('Data_Price '!AN$2:AN$1266,MATCH(Data!$DN1216,'Data_Price '!$AT$2:$AT$1266,0))</f>
        <v>https://tinyurl.com/yazk9ft9</v>
      </c>
      <c r="DF1216" t="str">
        <f>INDEX('Data_Price '!AO$2:AO$1266,MATCH(Data!$DN1216,'Data_Price '!$AT$2:$AT$1266,0))</f>
        <v>Salomon MTN Explore 88 - Women - 153cm</v>
      </c>
      <c r="DG1216" t="str">
        <f>INDEX('Data_Price '!AP$2:AP$1266,MATCH(Data!$DN1216,'Data_Price '!$AT$2:$AT$1266,0))</f>
        <v>Curated</v>
      </c>
      <c r="DH1216">
        <f>INDEX('Data_Price '!AQ$2:AQ$1266,MATCH(Data!$DN1216,'Data_Price '!$AT$2:$AT$1266,0))</f>
        <v>519.99</v>
      </c>
      <c r="DI1216" t="str">
        <f>INDEX('Data_Price '!AR$2:AR$1266,MATCH(Data!$DN1216,'Data_Price '!$AT$2:$AT$1266,0))</f>
        <v>https://tinyurl.com/ybyfnvm7</v>
      </c>
      <c r="DJ1216" s="89" t="str">
        <f t="shared" si="698"/>
        <v>https://tinyurl.com/y9af5qlo</v>
      </c>
      <c r="DK1216" s="89" t="str">
        <f t="shared" si="699"/>
        <v>https://tinyurl.com/yazk9ft9</v>
      </c>
      <c r="DL1216" s="89" t="str">
        <f t="shared" si="700"/>
        <v>https://tinyurl.com/ybyfnvm7</v>
      </c>
      <c r="DM1216" s="219" t="str">
        <f t="shared" si="701"/>
        <v>MTN Explore 88 W</v>
      </c>
      <c r="DN1216" s="89" t="str">
        <f t="shared" si="702"/>
        <v xml:space="preserve"> SalomonMTN Explore 88 W153 Women's</v>
      </c>
      <c r="DO1216" s="221" t="s">
        <v>889</v>
      </c>
    </row>
    <row r="1217" spans="2:119" ht="15.6" customHeight="1">
      <c r="B1217" s="219" t="b">
        <f t="array" ref="B1217">IF(OR(ISERROR(K1217:P1217)),FALSE,TRUE)</f>
        <v>1</v>
      </c>
      <c r="C1217" s="43" t="b">
        <f>OR(BR1217=Driver!$G$50,Data!BR976=Driver!$H$50)</f>
        <v>1</v>
      </c>
      <c r="D1217" s="43" t="b">
        <f>OR(BV1217=Driver!$G$51,BV1217=Driver!$H$51)</f>
        <v>1</v>
      </c>
      <c r="E1217" s="43" t="b">
        <f>AND(BX1217&gt;Driver!$F$54,BX1217&lt;Driver!$G$54)</f>
        <v>0</v>
      </c>
      <c r="F1217" s="43" t="b">
        <f>CL1217&gt;Driver!$F$56</f>
        <v>1</v>
      </c>
      <c r="G1217" s="43" t="b">
        <f>AND(CB1217&gt;Driver!$F$55,CB1217&lt;Driver!$G$55)</f>
        <v>0</v>
      </c>
      <c r="H1217" s="43" t="b">
        <f t="shared" si="666"/>
        <v>0</v>
      </c>
      <c r="I1217" s="43">
        <f t="shared" si="667"/>
        <v>0</v>
      </c>
      <c r="J1217" s="43" t="b">
        <f t="array" ref="J1217">NOT(OR(($H$9:$H$1273=TRUE)*($I$9:$I$1273&gt;0)*($BT$9:$BT$1273=BT1217)*($K$9:$K$1273&gt;K1217)))</f>
        <v>1</v>
      </c>
      <c r="K1217" s="72">
        <f t="shared" si="668"/>
        <v>0.58955551930740235</v>
      </c>
      <c r="L1217" s="72">
        <f t="shared" si="669"/>
        <v>0.60898534272883698</v>
      </c>
      <c r="M1217" s="72">
        <f t="shared" si="670"/>
        <v>0.57012569588596773</v>
      </c>
      <c r="N1217" s="72">
        <f t="shared" si="671"/>
        <v>0.21994489392240169</v>
      </c>
      <c r="O1217" s="72">
        <f t="shared" si="672"/>
        <v>0.63555918968155933</v>
      </c>
      <c r="P1217" s="72">
        <f t="shared" si="673"/>
        <v>0.85487300405394229</v>
      </c>
      <c r="Q1217" s="72"/>
      <c r="R1217" s="72"/>
      <c r="S1217" s="72">
        <f t="shared" si="674"/>
        <v>0.51219871464914379</v>
      </c>
      <c r="T1217" s="72">
        <f t="shared" si="675"/>
        <v>0.51261534915593387</v>
      </c>
      <c r="U1217" s="72">
        <f t="shared" si="676"/>
        <v>0.49844715995680022</v>
      </c>
      <c r="V1217" s="72">
        <f t="shared" si="677"/>
        <v>0.63193588061447625</v>
      </c>
      <c r="W1217" s="72">
        <f t="shared" si="678"/>
        <v>0.78648688890727114</v>
      </c>
      <c r="X1217" s="72">
        <f t="shared" si="679"/>
        <v>0.39101465727116297</v>
      </c>
      <c r="Y1217" s="72">
        <f t="shared" si="680"/>
        <v>0.42987430411403227</v>
      </c>
      <c r="Z1217" s="72">
        <f t="shared" si="681"/>
        <v>0.78005510607759831</v>
      </c>
      <c r="AA1217" s="72">
        <f t="shared" si="682"/>
        <v>0.36444081031844067</v>
      </c>
      <c r="AB1217" s="72">
        <f t="shared" si="683"/>
        <v>0.14512699594605777</v>
      </c>
      <c r="AC1217" s="72"/>
      <c r="AD1217" s="72"/>
      <c r="AE1217" s="72">
        <f t="shared" si="684"/>
        <v>0.48780128535085626</v>
      </c>
      <c r="AF1217" s="72">
        <f t="shared" si="685"/>
        <v>0.48738465084406613</v>
      </c>
      <c r="AG1217" s="72">
        <f t="shared" si="686"/>
        <v>0.50155284004319978</v>
      </c>
      <c r="AH1217" s="72">
        <f t="shared" si="687"/>
        <v>0.36806411938552375</v>
      </c>
      <c r="AI1217" s="72">
        <f t="shared" si="688"/>
        <v>0.21351311109272891</v>
      </c>
      <c r="AJ1217" s="72">
        <f>(AV1217-Driver!$K$179)/(Driver!$L$179-Driver!$K$179)</f>
        <v>0.64523406655386339</v>
      </c>
      <c r="AK1217" s="72">
        <f>(AW1217-Driver!$K$180)/(Driver!$L$180-Driver!$K$180)</f>
        <v>0.44697290053867655</v>
      </c>
      <c r="AL1217" s="72">
        <f>(AX1217-Driver!$K$181)/(Driver!$L$181-Driver!$K$181)</f>
        <v>0.88174286979067851</v>
      </c>
      <c r="AM1217" s="72">
        <f>(AY1217-Driver!$K$182)/(Driver!$L$182-Driver!$K$182)</f>
        <v>8.294421077860567E-2</v>
      </c>
      <c r="AN1217" s="72">
        <f>(AZ1217-Driver!$K$183)/(Driver!$L$183-Driver!$K$183)</f>
        <v>0.39934640522875819</v>
      </c>
      <c r="AO1217" s="72"/>
      <c r="AP1217" s="72"/>
      <c r="AQ1217" s="72">
        <f>(BC1217-Driver!$K$188)/(Driver!$L$188-Driver!$K$188)</f>
        <v>0.13219871464914373</v>
      </c>
      <c r="AR1217" s="72">
        <f>MIN((BD1217-Driver!$K$189)/(Driver!$L$189-Driver!$K$189),100%)</f>
        <v>6.2615349155933947E-2</v>
      </c>
      <c r="AS1217" s="72">
        <f>(BE1217-Driver!$K$190)/(Driver!$L$190-Driver!$K$190)</f>
        <v>8.4471599568002546E-3</v>
      </c>
      <c r="AT1217" s="72">
        <f>(BF1217-Driver!$K$191)/(Driver!$L$191-Driver!$K$191)</f>
        <v>0.14193588061447629</v>
      </c>
      <c r="AU1217" s="72">
        <f>(BG1217-Driver!$K$192)/(Driver!$L$192-Driver!$K$192)</f>
        <v>3.6486888907271073E-2</v>
      </c>
      <c r="AV1217" s="70">
        <f t="shared" si="689"/>
        <v>13.580246913580245</v>
      </c>
      <c r="AW1217" s="70">
        <f t="shared" si="690"/>
        <v>45.433362361754781</v>
      </c>
      <c r="AX1217" s="70">
        <f t="shared" si="691"/>
        <v>8.9356858281161067</v>
      </c>
      <c r="AY1217" s="70">
        <f>IFERROR(Driver!$K$19/Data!BH1217/Data!BI1217*Data!BK1217*Data!BL1217,"")</f>
        <v>0.1015484621569127</v>
      </c>
      <c r="AZ1217" s="70">
        <f t="shared" si="692"/>
        <v>36.396128071481762</v>
      </c>
      <c r="BA1217" s="70"/>
      <c r="BB1217" s="70"/>
      <c r="BC1217" s="70">
        <f t="shared" si="693"/>
        <v>68.572392319065131</v>
      </c>
      <c r="BD1217" s="70">
        <f t="shared" si="694"/>
        <v>7.2621703365643056</v>
      </c>
      <c r="BE1217" s="70">
        <f t="shared" si="695"/>
        <v>8.6240418230613628E-3</v>
      </c>
      <c r="BF1217" s="70">
        <f t="shared" si="696"/>
        <v>16.030660559408684</v>
      </c>
      <c r="BG1217" s="70">
        <f t="shared" si="697"/>
        <v>0.13816263752171395</v>
      </c>
      <c r="BH1217" s="67">
        <f>MAX((CE1217-Driver!$F$200)/(Driver!$G$200-Driver!$F$200)*$BI$1,1)</f>
        <v>8.9356858281161067</v>
      </c>
      <c r="BI1217" s="67">
        <f>MAX($BI$1*(BY1217-Driver!$F$201)/(Driver!$G$201-Driver!$F$201),1)</f>
        <v>6.5822784810126587</v>
      </c>
      <c r="BJ1217" s="67">
        <f>(CB1217-Driver!$F$206)/(Driver!$G$206-Driver!$F$206)*$BI$1</f>
        <v>8.2539682539682531</v>
      </c>
      <c r="BK1217" s="67">
        <f>(CD1217-Driver!$F$203)/(Driver!$G$203-Driver!$F$203)*$BI$1</f>
        <v>5.4128440366972477</v>
      </c>
      <c r="BL1217" s="67">
        <f>MAX((CR1217-Driver!$F$202)/(Driver!$G$202-Driver!$F$202)*$BI$1,1)</f>
        <v>5.5172413793103452</v>
      </c>
      <c r="BM1217" s="67">
        <f>MAX((CH1217-Driver!$F$204)/(Driver!$G$204-Driver!$F$204)*$BI$1,1)</f>
        <v>6.5811965811965809</v>
      </c>
      <c r="BN1217" s="67">
        <f>(CI1217-Driver!$F$205)/(Driver!$G$205-Driver!$F$205)*$BI$1</f>
        <v>5.5294117647058822</v>
      </c>
      <c r="BO1217" s="67">
        <f>(CK1217-Driver!$F$207)/(Driver!$G$207-Driver!$F$207)*$BI$1</f>
        <v>2.6577042399172699</v>
      </c>
      <c r="BP1217" s="67">
        <f>(CM1217-Driver!$F$208)/(Driver!$G$208-Driver!$F$208)*$BI$1</f>
        <v>3.9555555555555557</v>
      </c>
      <c r="BQ1217" s="67">
        <f>(CL1217-Driver!$F$209)/(Driver!$G$209-Driver!$F$209)*$BI$1</f>
        <v>8.125</v>
      </c>
      <c r="BR1217" s="28" t="s">
        <v>155</v>
      </c>
      <c r="BS1217" s="8" t="s">
        <v>172</v>
      </c>
      <c r="BT1217" s="9" t="s">
        <v>768</v>
      </c>
      <c r="BU1217" s="10">
        <v>186</v>
      </c>
      <c r="BV1217" s="9" t="s">
        <v>158</v>
      </c>
      <c r="BW1217" s="10">
        <v>186</v>
      </c>
      <c r="BX1217" s="10">
        <v>184.6</v>
      </c>
      <c r="BY1217" s="10">
        <v>112</v>
      </c>
      <c r="BZ1217" s="10">
        <v>157</v>
      </c>
      <c r="CA1217" s="10">
        <v>144</v>
      </c>
      <c r="CB1217" s="10">
        <v>116</v>
      </c>
      <c r="CC1217" s="10">
        <v>139</v>
      </c>
      <c r="CD1217" s="10">
        <v>21.2</v>
      </c>
      <c r="CE1217" s="10">
        <v>2470</v>
      </c>
      <c r="CF1217" s="10">
        <v>0.94</v>
      </c>
      <c r="CG1217" s="10">
        <v>2327</v>
      </c>
      <c r="CH1217" s="10">
        <v>255</v>
      </c>
      <c r="CI1217" s="10">
        <v>127</v>
      </c>
      <c r="CJ1217" s="10">
        <v>63</v>
      </c>
      <c r="CK1217" s="10">
        <v>367</v>
      </c>
      <c r="CL1217" s="10">
        <v>52</v>
      </c>
      <c r="CM1217" s="10">
        <v>356</v>
      </c>
      <c r="CN1217" s="10">
        <v>0.82399999999999995</v>
      </c>
      <c r="CO1217" s="10">
        <v>147</v>
      </c>
      <c r="CP1217" s="10">
        <v>127</v>
      </c>
      <c r="CQ1217" s="10">
        <v>220</v>
      </c>
      <c r="CR1217" s="10">
        <v>5</v>
      </c>
      <c r="CS1217" s="10">
        <v>2.4</v>
      </c>
      <c r="CT1217" s="9" t="s">
        <v>184</v>
      </c>
      <c r="CU1217" s="9" t="s">
        <v>169</v>
      </c>
      <c r="CV1217" s="10"/>
      <c r="CW1217" s="10"/>
      <c r="CX1217" t="str">
        <f>INDEX('Data_Price '!AG$2:AG$1266,MATCH(Data!$DN1217,'Data_Price '!$AT$2:$AT$1266,0))</f>
        <v>Rossignol Blackops Gamer Skis</v>
      </c>
      <c r="CY1217" t="str">
        <f>INDEX('Data_Price '!AH$2:AH$1266,MATCH(Data!$DN1217,'Data_Price '!$AT$2:$AT$1266,0))</f>
        <v>Snowcountry.eu</v>
      </c>
      <c r="CZ1217">
        <f>INDEX('Data_Price '!AI$2:AI$1266,MATCH(Data!$DN1217,'Data_Price '!$AT$2:$AT$1266,0))</f>
        <v>451.66</v>
      </c>
      <c r="DA1217" t="str">
        <f>INDEX('Data_Price '!AJ$2:AJ$1266,MATCH(Data!$DN1217,'Data_Price '!$AT$2:$AT$1266,0))</f>
        <v>https://tinyurl.com/y77xbwf6</v>
      </c>
      <c r="DB1217" t="str">
        <f>INDEX('Data_Price '!AK$2:AK$1266,MATCH(Data!$DN1217,'Data_Price '!$AT$2:$AT$1266,0))</f>
        <v>Rossignol Blackops Gamer 186cm</v>
      </c>
      <c r="DC1217" t="str">
        <f>INDEX('Data_Price '!AL$2:AL$1266,MATCH(Data!$DN1217,'Data_Price '!$AT$2:$AT$1266,0))</f>
        <v>Sundance Ski and Board Shop</v>
      </c>
      <c r="DD1217">
        <f>INDEX('Data_Price '!AM$2:AM$1266,MATCH(Data!$DN1217,'Data_Price '!$AT$2:$AT$1266,0))</f>
        <v>480.86</v>
      </c>
      <c r="DE1217" t="str">
        <f>INDEX('Data_Price '!AN$2:AN$1266,MATCH(Data!$DN1217,'Data_Price '!$AT$2:$AT$1266,0))</f>
        <v>https://tinyurl.com/ybg8qa8v</v>
      </c>
      <c r="DF1217" t="str">
        <f>INDEX('Data_Price '!AO$2:AO$1266,MATCH(Data!$DN1217,'Data_Price '!$AT$2:$AT$1266,0))</f>
        <v>'22 Rossignol Blackops Gamer Skis 186cm</v>
      </c>
      <c r="DG1217" t="str">
        <f>INDEX('Data_Price '!AP$2:AP$1266,MATCH(Data!$DN1217,'Data_Price '!$AT$2:$AT$1266,0))</f>
        <v>purestokesports.com</v>
      </c>
      <c r="DH1217">
        <f>INDEX('Data_Price '!AQ$2:AQ$1266,MATCH(Data!$DN1217,'Data_Price '!$AT$2:$AT$1266,0))</f>
        <v>559.99</v>
      </c>
      <c r="DI1217" t="str">
        <f>INDEX('Data_Price '!AR$2:AR$1266,MATCH(Data!$DN1217,'Data_Price '!$AT$2:$AT$1266,0))</f>
        <v>https://tinyurl.com/yasmoflm</v>
      </c>
      <c r="DJ1217" s="89" t="str">
        <f t="shared" si="698"/>
        <v>https://tinyurl.com/y77xbwf6</v>
      </c>
      <c r="DK1217" s="89" t="str">
        <f t="shared" si="699"/>
        <v>https://tinyurl.com/ybg8qa8v</v>
      </c>
      <c r="DL1217" s="89" t="str">
        <f t="shared" si="700"/>
        <v>https://tinyurl.com/yasmoflm</v>
      </c>
      <c r="DM1217" s="219" t="str">
        <f t="shared" si="701"/>
        <v>Blackops Gamer</v>
      </c>
      <c r="DN1217" s="89" t="str">
        <f t="shared" si="702"/>
        <v xml:space="preserve"> RossignolBlackops Gamer186 Unisex</v>
      </c>
      <c r="DO1217" s="221"/>
    </row>
    <row r="1218" spans="2:119" ht="15.6" customHeight="1">
      <c r="B1218" s="219" t="b">
        <f t="array" ref="B1218">IF(OR(ISERROR(K1218:P1218)),FALSE,TRUE)</f>
        <v>1</v>
      </c>
      <c r="C1218" s="43" t="b">
        <f>OR(BR1218=Driver!$G$50,Data!BR987=Driver!$H$50)</f>
        <v>1</v>
      </c>
      <c r="D1218" s="43" t="b">
        <f>OR(BV1218=Driver!$G$51,BV1218=Driver!$H$51)</f>
        <v>1</v>
      </c>
      <c r="E1218" s="43" t="b">
        <f>AND(BX1218&gt;Driver!$F$54,BX1218&lt;Driver!$G$54)</f>
        <v>0</v>
      </c>
      <c r="F1218" s="43" t="b">
        <f>CL1218&gt;Driver!$F$56</f>
        <v>1</v>
      </c>
      <c r="G1218" s="43" t="b">
        <f>AND(CB1218&gt;Driver!$F$55,CB1218&lt;Driver!$G$55)</f>
        <v>1</v>
      </c>
      <c r="H1218" s="43" t="b">
        <f t="shared" si="666"/>
        <v>0</v>
      </c>
      <c r="I1218" s="43">
        <f t="shared" si="667"/>
        <v>0</v>
      </c>
      <c r="J1218" s="43" t="b">
        <f t="array" ref="J1218">NOT(OR(($H$9:$H$1273=TRUE)*($I$9:$I$1273&gt;0)*($BT$9:$BT$1273=BT1218)*($K$9:$K$1273&gt;K1218)))</f>
        <v>1</v>
      </c>
      <c r="K1218" s="72">
        <f t="shared" si="668"/>
        <v>0.63095179835567916</v>
      </c>
      <c r="L1218" s="72">
        <f t="shared" si="669"/>
        <v>0.6547511956012888</v>
      </c>
      <c r="M1218" s="72">
        <f t="shared" si="670"/>
        <v>0.6071524011100693</v>
      </c>
      <c r="N1218" s="72">
        <f t="shared" si="671"/>
        <v>0.47922523288401553</v>
      </c>
      <c r="O1218" s="72">
        <f t="shared" si="672"/>
        <v>0.64561060037917861</v>
      </c>
      <c r="P1218" s="72">
        <f t="shared" si="673"/>
        <v>0.69662137006701408</v>
      </c>
      <c r="Q1218" s="72"/>
      <c r="R1218" s="72"/>
      <c r="S1218" s="72">
        <f t="shared" si="674"/>
        <v>0.58510970040312982</v>
      </c>
      <c r="T1218" s="72">
        <f t="shared" si="675"/>
        <v>0.53434130815938152</v>
      </c>
      <c r="U1218" s="72">
        <f t="shared" si="676"/>
        <v>0.65625497509993591</v>
      </c>
      <c r="V1218" s="72">
        <f t="shared" si="677"/>
        <v>0.53256519674996239</v>
      </c>
      <c r="W1218" s="72">
        <f t="shared" si="678"/>
        <v>0.75943548387096771</v>
      </c>
      <c r="X1218" s="72">
        <f t="shared" si="679"/>
        <v>0.34524880439871114</v>
      </c>
      <c r="Y1218" s="72">
        <f t="shared" si="680"/>
        <v>0.39284759888993065</v>
      </c>
      <c r="Z1218" s="72">
        <f t="shared" si="681"/>
        <v>0.52077476711598447</v>
      </c>
      <c r="AA1218" s="72">
        <f t="shared" si="682"/>
        <v>0.35438939962082144</v>
      </c>
      <c r="AB1218" s="72">
        <f t="shared" si="683"/>
        <v>0.30337862993298587</v>
      </c>
      <c r="AC1218" s="72"/>
      <c r="AD1218" s="72"/>
      <c r="AE1218" s="72">
        <f t="shared" si="684"/>
        <v>0.41489029959687013</v>
      </c>
      <c r="AF1218" s="72">
        <f t="shared" si="685"/>
        <v>0.46565869184061853</v>
      </c>
      <c r="AG1218" s="72">
        <f t="shared" si="686"/>
        <v>0.34374502490006409</v>
      </c>
      <c r="AH1218" s="72">
        <f t="shared" si="687"/>
        <v>0.46743480325003761</v>
      </c>
      <c r="AI1218" s="72">
        <f t="shared" si="688"/>
        <v>0.24056451612903226</v>
      </c>
      <c r="AJ1218" s="72">
        <f>(AV1218-Driver!$K$179)/(Driver!$L$179-Driver!$K$179)</f>
        <v>0.59946821368141157</v>
      </c>
      <c r="AK1218" s="72">
        <f>(AW1218-Driver!$K$180)/(Driver!$L$180-Driver!$K$180)</f>
        <v>0.57114546415798462</v>
      </c>
      <c r="AL1218" s="72">
        <f>(AX1218-Driver!$K$181)/(Driver!$L$181-Driver!$K$181)</f>
        <v>0.62246253082906466</v>
      </c>
      <c r="AM1218" s="72">
        <f>(AY1218-Driver!$K$182)/(Driver!$L$182-Driver!$K$182)</f>
        <v>9.2995621476224907E-2</v>
      </c>
      <c r="AN1218" s="72">
        <f>(AZ1218-Driver!$K$183)/(Driver!$L$183-Driver!$K$183)</f>
        <v>0.55759803921568629</v>
      </c>
      <c r="AO1218" s="72"/>
      <c r="AP1218" s="72"/>
      <c r="AQ1218" s="72">
        <f>(BC1218-Driver!$K$188)/(Driver!$L$188-Driver!$K$188)</f>
        <v>0.20510970040312987</v>
      </c>
      <c r="AR1218" s="72">
        <f>MIN((BD1218-Driver!$K$189)/(Driver!$L$189-Driver!$K$189),100%)</f>
        <v>8.4341308159381526E-2</v>
      </c>
      <c r="AS1218" s="72">
        <f>(BE1218-Driver!$K$190)/(Driver!$L$190-Driver!$K$190)</f>
        <v>0.16625497509993589</v>
      </c>
      <c r="AT1218" s="72">
        <f>(BF1218-Driver!$K$191)/(Driver!$L$191-Driver!$K$191)</f>
        <v>4.256519674996239E-2</v>
      </c>
      <c r="AU1218" s="72">
        <f>(BG1218-Driver!$K$192)/(Driver!$L$192-Driver!$K$192)</f>
        <v>9.4354838709677438E-3</v>
      </c>
      <c r="AV1218" s="70">
        <f t="shared" si="689"/>
        <v>12.617012617012616</v>
      </c>
      <c r="AW1218" s="70">
        <f t="shared" si="690"/>
        <v>57.535078967299839</v>
      </c>
      <c r="AX1218" s="70">
        <f t="shared" si="691"/>
        <v>6.6021627774615821</v>
      </c>
      <c r="AY1218" s="70">
        <f>IFERROR(Driver!$K$19/Data!BH1218/Data!BI1218*Data!BK1218*Data!BL1218,"")</f>
        <v>0.11385438790229396</v>
      </c>
      <c r="AZ1218" s="70">
        <f t="shared" si="692"/>
        <v>50.819061801935966</v>
      </c>
      <c r="BA1218" s="70"/>
      <c r="BB1218" s="70"/>
      <c r="BC1218" s="70">
        <f t="shared" si="693"/>
        <v>106.39182749860747</v>
      </c>
      <c r="BD1218" s="70">
        <f t="shared" si="694"/>
        <v>9.1848792122479974</v>
      </c>
      <c r="BE1218" s="70">
        <f t="shared" si="695"/>
        <v>0.16640370582817807</v>
      </c>
      <c r="BF1218" s="70">
        <f t="shared" si="696"/>
        <v>4.8074399354767445</v>
      </c>
      <c r="BG1218" s="70">
        <f t="shared" si="697"/>
        <v>3.572876112347053E-2</v>
      </c>
      <c r="BH1218" s="67">
        <f>MAX((CE1218-Driver!$F$200)/(Driver!$G$200-Driver!$F$200)*$BI$1,1)</f>
        <v>6.6021627774615821</v>
      </c>
      <c r="BI1218" s="67">
        <f>MAX($BI$1*(BY1218-Driver!$F$201)/(Driver!$G$201-Driver!$F$201),1)</f>
        <v>8.2278481012658222</v>
      </c>
      <c r="BJ1218" s="67">
        <f>(CB1218-Driver!$F$206)/(Driver!$G$206-Driver!$F$206)*$BI$1</f>
        <v>6.3492063492063489</v>
      </c>
      <c r="BK1218" s="67">
        <f>(CD1218-Driver!$F$203)/(Driver!$G$203-Driver!$F$203)*$BI$1</f>
        <v>5.2752293577981648</v>
      </c>
      <c r="BL1218" s="67">
        <f>MAX((CR1218-Driver!$F$202)/(Driver!$G$202-Driver!$F$202)*$BI$1,1)</f>
        <v>5.8620689655172411</v>
      </c>
      <c r="BM1218" s="67">
        <f>MAX((CH1218-Driver!$F$204)/(Driver!$G$204-Driver!$F$204)*$BI$1,1)</f>
        <v>7.948717948717948</v>
      </c>
      <c r="BN1218" s="67">
        <f>(CI1218-Driver!$F$205)/(Driver!$G$205-Driver!$F$205)*$BI$1</f>
        <v>6.1764705882352944</v>
      </c>
      <c r="BO1218" s="67">
        <f>(CK1218-Driver!$F$207)/(Driver!$G$207-Driver!$F$207)*$BI$1</f>
        <v>1.9751809720785938</v>
      </c>
      <c r="BP1218" s="67">
        <f>(CM1218-Driver!$F$208)/(Driver!$G$208-Driver!$F$208)*$BI$1</f>
        <v>2.0222222222222221</v>
      </c>
      <c r="BQ1218" s="67">
        <f>(CL1218-Driver!$F$209)/(Driver!$G$209-Driver!$F$209)*$BI$1</f>
        <v>1.875</v>
      </c>
      <c r="BR1218" s="28" t="s">
        <v>155</v>
      </c>
      <c r="BS1218" s="8" t="s">
        <v>172</v>
      </c>
      <c r="BT1218" s="9" t="s">
        <v>388</v>
      </c>
      <c r="BU1218" s="10">
        <v>186</v>
      </c>
      <c r="BV1218" s="9" t="s">
        <v>158</v>
      </c>
      <c r="BW1218" s="10">
        <v>186</v>
      </c>
      <c r="BX1218" s="10">
        <v>186.4</v>
      </c>
      <c r="BY1218" s="10">
        <v>138</v>
      </c>
      <c r="BZ1218" s="10">
        <v>159</v>
      </c>
      <c r="CA1218" s="10">
        <v>137</v>
      </c>
      <c r="CB1218" s="10">
        <v>104</v>
      </c>
      <c r="CC1218" s="10">
        <v>127</v>
      </c>
      <c r="CD1218" s="10">
        <v>20.9</v>
      </c>
      <c r="CE1218" s="10">
        <v>2060</v>
      </c>
      <c r="CF1218" s="10">
        <v>1.04</v>
      </c>
      <c r="CG1218" s="10">
        <v>2141</v>
      </c>
      <c r="CH1218" s="10">
        <v>287</v>
      </c>
      <c r="CI1218" s="10">
        <v>138</v>
      </c>
      <c r="CJ1218" s="10">
        <v>50</v>
      </c>
      <c r="CK1218" s="10">
        <v>301</v>
      </c>
      <c r="CL1218" s="10">
        <v>12</v>
      </c>
      <c r="CM1218" s="10">
        <v>182</v>
      </c>
      <c r="CN1218" s="10">
        <v>0.22800000000000001</v>
      </c>
      <c r="CO1218" s="10">
        <v>163</v>
      </c>
      <c r="CP1218" s="10">
        <v>107</v>
      </c>
      <c r="CQ1218" s="10">
        <v>138</v>
      </c>
      <c r="CR1218" s="10">
        <v>6</v>
      </c>
      <c r="CS1218" s="10">
        <v>7.5</v>
      </c>
      <c r="CT1218" s="9" t="s">
        <v>188</v>
      </c>
      <c r="CU1218" s="9" t="s">
        <v>178</v>
      </c>
      <c r="CV1218" s="10"/>
      <c r="CW1218" s="10"/>
      <c r="CX1218" t="str">
        <f>INDEX('Data_Price '!AG$2:AG$1266,MATCH(Data!$DN1218,'Data_Price '!$AT$2:$AT$1266,0))</f>
        <v>Rossignol Skis â€“ BlackOps Sender 2020 â€“ 186cm [NEW]</v>
      </c>
      <c r="CY1218" t="str">
        <f>INDEX('Data_Price '!AH$2:AH$1266,MATCH(Data!$DN1218,'Data_Price '!$AT$2:$AT$1266,0))</f>
        <v>Gearo</v>
      </c>
      <c r="CZ1218">
        <f>INDEX('Data_Price '!AI$2:AI$1266,MATCH(Data!$DN1218,'Data_Price '!$AT$2:$AT$1266,0))</f>
        <v>419.4</v>
      </c>
      <c r="DA1218" t="str">
        <f>INDEX('Data_Price '!AJ$2:AJ$1266,MATCH(Data!$DN1218,'Data_Price '!$AT$2:$AT$1266,0))</f>
        <v>https://tinyurl.com/y7nwgbot</v>
      </c>
      <c r="DB1218" t="str">
        <f>INDEX('Data_Price '!AK$2:AK$1266,MATCH(Data!$DN1218,'Data_Price '!$AT$2:$AT$1266,0))</f>
        <v>Rossignol Blackops Sender Skis 2022</v>
      </c>
      <c r="DC1218" t="str">
        <f>INDEX('Data_Price '!AL$2:AL$1266,MATCH(Data!$DN1218,'Data_Price '!$AT$2:$AT$1266,0))</f>
        <v>Saint Bernard</v>
      </c>
      <c r="DD1218">
        <f>INDEX('Data_Price '!AM$2:AM$1266,MATCH(Data!$DN1218,'Data_Price '!$AT$2:$AT$1266,0))</f>
        <v>552.9</v>
      </c>
      <c r="DE1218" t="str">
        <f>INDEX('Data_Price '!AN$2:AN$1266,MATCH(Data!$DN1218,'Data_Price '!$AT$2:$AT$1266,0))</f>
        <v>https://tinyurl.com/y8hwovge</v>
      </c>
      <c r="DF1218" t="str">
        <f>INDEX('Data_Price '!AO$2:AO$1266,MATCH(Data!$DN1218,'Data_Price '!$AT$2:$AT$1266,0))</f>
        <v>Skis Rossignol Blackops Sender</v>
      </c>
      <c r="DG1218" t="str">
        <f>INDEX('Data_Price '!AP$2:AP$1266,MATCH(Data!$DN1218,'Data_Price '!$AT$2:$AT$1266,0))</f>
        <v>REI</v>
      </c>
      <c r="DH1218">
        <f>INDEX('Data_Price '!AQ$2:AQ$1266,MATCH(Data!$DN1218,'Data_Price '!$AT$2:$AT$1266,0))</f>
        <v>559.92999999999995</v>
      </c>
      <c r="DI1218" t="str">
        <f>INDEX('Data_Price '!AR$2:AR$1266,MATCH(Data!$DN1218,'Data_Price '!$AT$2:$AT$1266,0))</f>
        <v>https://tinyurl.com/y9oe97ey</v>
      </c>
      <c r="DJ1218" s="89" t="str">
        <f t="shared" si="698"/>
        <v>https://tinyurl.com/y7nwgbot</v>
      </c>
      <c r="DK1218" s="89" t="str">
        <f t="shared" si="699"/>
        <v>https://tinyurl.com/y8hwovge</v>
      </c>
      <c r="DL1218" s="89" t="str">
        <f t="shared" si="700"/>
        <v>https://tinyurl.com/y9oe97ey</v>
      </c>
      <c r="DM1218" s="219" t="str">
        <f t="shared" si="701"/>
        <v>Blackops Sender</v>
      </c>
      <c r="DN1218" s="89" t="str">
        <f t="shared" si="702"/>
        <v xml:space="preserve"> RossignolBlackops Sender186 Unisex</v>
      </c>
      <c r="DO1218" s="221"/>
    </row>
    <row r="1219" spans="2:119" ht="15.6" customHeight="1">
      <c r="B1219" s="219" t="b">
        <f t="array" ref="B1219">IF(OR(ISERROR(K1219:P1219)),FALSE,TRUE)</f>
        <v>1</v>
      </c>
      <c r="C1219" s="43" t="b">
        <f>OR(BR1219=Driver!$G$50,Data!BR602=Driver!$H$50)</f>
        <v>1</v>
      </c>
      <c r="D1219" s="43" t="b">
        <f>OR(BV1219=Driver!$G$51,BV1219=Driver!$H$51)</f>
        <v>1</v>
      </c>
      <c r="E1219" s="43" t="b">
        <f>AND(BX1219&gt;Driver!$F$54,BX1219&lt;Driver!$G$54)</f>
        <v>0</v>
      </c>
      <c r="F1219" s="43" t="b">
        <f>CL1219&gt;Driver!$F$56</f>
        <v>1</v>
      </c>
      <c r="G1219" s="43" t="b">
        <f>AND(CB1219&gt;Driver!$F$55,CB1219&lt;Driver!$G$55)</f>
        <v>1</v>
      </c>
      <c r="H1219" s="43" t="b">
        <f t="shared" si="666"/>
        <v>0</v>
      </c>
      <c r="I1219" s="43">
        <f t="shared" si="667"/>
        <v>0</v>
      </c>
      <c r="J1219" s="43" t="b">
        <f t="array" ref="J1219">NOT(OR(($H$9:$H$1273=TRUE)*($I$9:$I$1273&gt;0)*($BT$9:$BT$1273=BT1219)*($K$9:$K$1273&gt;K1219)))</f>
        <v>1</v>
      </c>
      <c r="K1219" s="72">
        <f t="shared" si="668"/>
        <v>0.61791319937395328</v>
      </c>
      <c r="L1219" s="72">
        <f t="shared" si="669"/>
        <v>0.60640698482052979</v>
      </c>
      <c r="M1219" s="72">
        <f t="shared" si="670"/>
        <v>0.62941941392737677</v>
      </c>
      <c r="N1219" s="72">
        <f t="shared" si="671"/>
        <v>0.6113949666473748</v>
      </c>
      <c r="O1219" s="72">
        <f t="shared" si="672"/>
        <v>0.64743961748604195</v>
      </c>
      <c r="P1219" s="72">
        <f t="shared" si="673"/>
        <v>0.62942365764871333</v>
      </c>
      <c r="Q1219" s="72"/>
      <c r="R1219" s="72"/>
      <c r="S1219" s="72">
        <f t="shared" si="674"/>
        <v>0.55586842003796577</v>
      </c>
      <c r="T1219" s="72">
        <f t="shared" si="675"/>
        <v>0.56485168174944733</v>
      </c>
      <c r="U1219" s="72">
        <f t="shared" si="676"/>
        <v>0.64379896174078266</v>
      </c>
      <c r="V1219" s="72">
        <f t="shared" si="677"/>
        <v>0.53092584748002625</v>
      </c>
      <c r="W1219" s="72">
        <f t="shared" si="678"/>
        <v>0.76952540138424597</v>
      </c>
      <c r="X1219" s="72">
        <f t="shared" si="679"/>
        <v>0.39359301517947015</v>
      </c>
      <c r="Y1219" s="72">
        <f t="shared" si="680"/>
        <v>0.37058058607262329</v>
      </c>
      <c r="Z1219" s="72">
        <f t="shared" si="681"/>
        <v>0.38860503335262525</v>
      </c>
      <c r="AA1219" s="72">
        <f t="shared" si="682"/>
        <v>0.35256038251395805</v>
      </c>
      <c r="AB1219" s="72">
        <f t="shared" si="683"/>
        <v>0.37057634235128661</v>
      </c>
      <c r="AC1219" s="72"/>
      <c r="AD1219" s="72"/>
      <c r="AE1219" s="72">
        <f t="shared" si="684"/>
        <v>0.44413157996203423</v>
      </c>
      <c r="AF1219" s="72">
        <f t="shared" si="685"/>
        <v>0.43514831825055261</v>
      </c>
      <c r="AG1219" s="72">
        <f t="shared" si="686"/>
        <v>0.35620103825921728</v>
      </c>
      <c r="AH1219" s="72">
        <f t="shared" si="687"/>
        <v>0.4690741525199737</v>
      </c>
      <c r="AI1219" s="72">
        <f t="shared" si="688"/>
        <v>0.23047459861575403</v>
      </c>
      <c r="AJ1219" s="72">
        <f>(AV1219-Driver!$K$179)/(Driver!$L$179-Driver!$K$179)</f>
        <v>0.64781242446217058</v>
      </c>
      <c r="AK1219" s="72">
        <f>(AW1219-Driver!$K$180)/(Driver!$L$180-Driver!$K$180)</f>
        <v>0.62180335289891542</v>
      </c>
      <c r="AL1219" s="72">
        <f>(AX1219-Driver!$K$181)/(Driver!$L$181-Driver!$K$181)</f>
        <v>0.49029279706570544</v>
      </c>
      <c r="AM1219" s="72">
        <f>(AY1219-Driver!$K$182)/(Driver!$L$182-Driver!$K$182)</f>
        <v>9.4824638583088317E-2</v>
      </c>
      <c r="AN1219" s="72">
        <f>(AZ1219-Driver!$K$183)/(Driver!$L$183-Driver!$K$183)</f>
        <v>0.62479575163398704</v>
      </c>
      <c r="AO1219" s="72"/>
      <c r="AP1219" s="72"/>
      <c r="AQ1219" s="72">
        <f>(BC1219-Driver!$K$188)/(Driver!$L$188-Driver!$K$188)</f>
        <v>0.17586842003796579</v>
      </c>
      <c r="AR1219" s="72">
        <f>MIN((BD1219-Driver!$K$189)/(Driver!$L$189-Driver!$K$189),100%)</f>
        <v>0.11485168174944745</v>
      </c>
      <c r="AS1219" s="72">
        <f>(BE1219-Driver!$K$190)/(Driver!$L$190-Driver!$K$190)</f>
        <v>0.15379896174078272</v>
      </c>
      <c r="AT1219" s="72">
        <f>(BF1219-Driver!$K$191)/(Driver!$L$191-Driver!$K$191)</f>
        <v>4.0925847480026312E-2</v>
      </c>
      <c r="AU1219" s="72">
        <f>(BG1219-Driver!$K$192)/(Driver!$L$192-Driver!$K$192)</f>
        <v>1.9525401384245963E-2</v>
      </c>
      <c r="AV1219" s="70">
        <f t="shared" si="689"/>
        <v>13.634513634513633</v>
      </c>
      <c r="AW1219" s="70">
        <f t="shared" si="690"/>
        <v>62.472139099661092</v>
      </c>
      <c r="AX1219" s="70">
        <f t="shared" si="691"/>
        <v>5.4126351735913492</v>
      </c>
      <c r="AY1219" s="70">
        <f>IFERROR(Driver!$K$19/Data!BH1219/Data!BI1219*Data!BK1219*Data!BL1219,"")</f>
        <v>0.1160936505671281</v>
      </c>
      <c r="AZ1219" s="70">
        <f t="shared" si="692"/>
        <v>56.943410275502615</v>
      </c>
      <c r="BA1219" s="70"/>
      <c r="BB1219" s="70"/>
      <c r="BC1219" s="70">
        <f t="shared" si="693"/>
        <v>91.224172091113729</v>
      </c>
      <c r="BD1219" s="70">
        <f t="shared" si="694"/>
        <v>11.884993213785798</v>
      </c>
      <c r="BE1219" s="70">
        <f t="shared" si="695"/>
        <v>0.15394991448160977</v>
      </c>
      <c r="BF1219" s="70">
        <f t="shared" si="696"/>
        <v>4.6222869525179071</v>
      </c>
      <c r="BG1219" s="70">
        <f t="shared" si="697"/>
        <v>7.3935625500258964E-2</v>
      </c>
      <c r="BH1219" s="67">
        <f>MAX((CE1219-Driver!$F$200)/(Driver!$G$200-Driver!$F$200)*$BI$1,1)</f>
        <v>5.4126351735913492</v>
      </c>
      <c r="BI1219" s="67">
        <f>MAX($BI$1*(BY1219-Driver!$F$201)/(Driver!$G$201-Driver!$F$201),1)</f>
        <v>8.4177215189873422</v>
      </c>
      <c r="BJ1219" s="67">
        <f>(CB1219-Driver!$F$206)/(Driver!$G$206-Driver!$F$206)*$BI$1</f>
        <v>6.3492063492063489</v>
      </c>
      <c r="BK1219" s="67">
        <f>(CD1219-Driver!$F$203)/(Driver!$G$203-Driver!$F$203)*$BI$1</f>
        <v>4.0366972477064227</v>
      </c>
      <c r="BL1219" s="67">
        <f>MAX((CR1219-Driver!$F$202)/(Driver!$G$202-Driver!$F$202)*$BI$1,1)</f>
        <v>6.5517241379310338</v>
      </c>
      <c r="BM1219" s="67">
        <f>MAX((CH1219-Driver!$F$204)/(Driver!$G$204-Driver!$F$204)*$BI$1,1)</f>
        <v>8.5897435897435894</v>
      </c>
      <c r="BN1219" s="67">
        <f>(CI1219-Driver!$F$205)/(Driver!$G$205-Driver!$F$205)*$BI$1</f>
        <v>6.764705882352942</v>
      </c>
      <c r="BO1219" s="67">
        <f>(CK1219-Driver!$F$207)/(Driver!$G$207-Driver!$F$207)*$BI$1</f>
        <v>1.4374353671147879</v>
      </c>
      <c r="BP1219" s="67">
        <f>(CM1219-Driver!$F$208)/(Driver!$G$208-Driver!$F$208)*$BI$1</f>
        <v>2.0444444444444447</v>
      </c>
      <c r="BQ1219" s="67">
        <f>(CL1219-Driver!$F$209)/(Driver!$G$209-Driver!$F$209)*$BI$1</f>
        <v>3.4375</v>
      </c>
      <c r="BR1219" s="28" t="s">
        <v>155</v>
      </c>
      <c r="BS1219" s="8" t="s">
        <v>167</v>
      </c>
      <c r="BT1219" s="9" t="s">
        <v>168</v>
      </c>
      <c r="BU1219" s="10">
        <v>184</v>
      </c>
      <c r="BV1219" s="9" t="s">
        <v>158</v>
      </c>
      <c r="BW1219" s="10">
        <v>184</v>
      </c>
      <c r="BX1219" s="10">
        <v>183.9</v>
      </c>
      <c r="BY1219" s="10">
        <v>141</v>
      </c>
      <c r="BZ1219" s="10">
        <v>142</v>
      </c>
      <c r="CA1219" s="10">
        <v>135</v>
      </c>
      <c r="CB1219" s="10">
        <v>104</v>
      </c>
      <c r="CC1219" s="10">
        <v>123</v>
      </c>
      <c r="CD1219" s="10">
        <v>18.2</v>
      </c>
      <c r="CE1219" s="10">
        <v>1851</v>
      </c>
      <c r="CF1219" s="10">
        <v>1.1399999999999999</v>
      </c>
      <c r="CG1219" s="10">
        <v>2105</v>
      </c>
      <c r="CH1219" s="10">
        <v>302</v>
      </c>
      <c r="CI1219" s="10">
        <v>148</v>
      </c>
      <c r="CJ1219" s="10">
        <v>52</v>
      </c>
      <c r="CK1219" s="10">
        <v>249</v>
      </c>
      <c r="CL1219" s="10">
        <v>22</v>
      </c>
      <c r="CM1219" s="10">
        <v>184</v>
      </c>
      <c r="CN1219" s="10">
        <v>0.41699999999999998</v>
      </c>
      <c r="CO1219" s="10">
        <v>266</v>
      </c>
      <c r="CP1219" s="10">
        <v>157</v>
      </c>
      <c r="CQ1219" s="10">
        <v>-17</v>
      </c>
      <c r="CR1219" s="10">
        <v>8</v>
      </c>
      <c r="CS1219" s="10">
        <v>11</v>
      </c>
      <c r="CT1219" s="9" t="s">
        <v>188</v>
      </c>
      <c r="CU1219" s="9" t="s">
        <v>169</v>
      </c>
      <c r="CV1219" s="9" t="s">
        <v>185</v>
      </c>
      <c r="CW1219" s="10"/>
      <c r="CX1219" t="str">
        <f>INDEX('Data_Price '!AG$2:AG$1266,MATCH(Data!$DN1219,'Data_Price '!$AT$2:$AT$1266,0))</f>
        <v>Head Kore 105 Skis</v>
      </c>
      <c r="CY1219" t="str">
        <f>INDEX('Data_Price '!AH$2:AH$1266,MATCH(Data!$DN1219,'Data_Price '!$AT$2:$AT$1266,0))</f>
        <v>Telemark Pyrenees</v>
      </c>
      <c r="CZ1219">
        <f>INDEX('Data_Price '!AI$2:AI$1266,MATCH(Data!$DN1219,'Data_Price '!$AT$2:$AT$1266,0))</f>
        <v>430.82</v>
      </c>
      <c r="DA1219" t="str">
        <f>INDEX('Data_Price '!AJ$2:AJ$1266,MATCH(Data!$DN1219,'Data_Price '!$AT$2:$AT$1266,0))</f>
        <v>https://tinyurl.com/ya3hupyo</v>
      </c>
      <c r="DB1219" t="str">
        <f>INDEX('Data_Price '!AK$2:AK$1266,MATCH(Data!$DN1219,'Data_Price '!$AT$2:$AT$1266,0))</f>
        <v>Head Kore 105 Skis</v>
      </c>
      <c r="DC1219" t="str">
        <f>INDEX('Data_Price '!AL$2:AL$1266,MATCH(Data!$DN1219,'Data_Price '!$AT$2:$AT$1266,0))</f>
        <v>UtahSkis</v>
      </c>
      <c r="DD1219">
        <f>INDEX('Data_Price '!AM$2:AM$1266,MATCH(Data!$DN1219,'Data_Price '!$AT$2:$AT$1266,0))</f>
        <v>449</v>
      </c>
      <c r="DE1219" t="str">
        <f>INDEX('Data_Price '!AN$2:AN$1266,MATCH(Data!$DN1219,'Data_Price '!$AT$2:$AT$1266,0))</f>
        <v>https://tinyurl.com/ybr4bywo</v>
      </c>
      <c r="DF1219" t="str">
        <f>INDEX('Data_Price '!AO$2:AO$1266,MATCH(Data!$DN1219,'Data_Price '!$AT$2:$AT$1266,0))</f>
        <v>Head Kore 105 Skis</v>
      </c>
      <c r="DG1219" t="str">
        <f>INDEX('Data_Price '!AP$2:AP$1266,MATCH(Data!$DN1219,'Data_Price '!$AT$2:$AT$1266,0))</f>
        <v>Snowcountry.eu</v>
      </c>
      <c r="DH1219">
        <f>INDEX('Data_Price '!AQ$2:AQ$1266,MATCH(Data!$DN1219,'Data_Price '!$AT$2:$AT$1266,0))</f>
        <v>450.77</v>
      </c>
      <c r="DI1219" t="str">
        <f>INDEX('Data_Price '!AR$2:AR$1266,MATCH(Data!$DN1219,'Data_Price '!$AT$2:$AT$1266,0))</f>
        <v>https://tinyurl.com/ybn9xdac</v>
      </c>
      <c r="DJ1219" s="89" t="str">
        <f t="shared" si="698"/>
        <v>https://tinyurl.com/ya3hupyo</v>
      </c>
      <c r="DK1219" s="89" t="str">
        <f t="shared" si="699"/>
        <v>https://tinyurl.com/ybr4bywo</v>
      </c>
      <c r="DL1219" s="89" t="str">
        <f t="shared" si="700"/>
        <v>https://tinyurl.com/ybn9xdac</v>
      </c>
      <c r="DM1219" s="219" t="str">
        <f t="shared" si="701"/>
        <v>Kore 105</v>
      </c>
      <c r="DN1219" s="89" t="str">
        <f t="shared" si="702"/>
        <v xml:space="preserve"> HeadKore 105184 Unisex</v>
      </c>
      <c r="DO1219" s="221" t="s">
        <v>170</v>
      </c>
    </row>
    <row r="1220" spans="2:119" ht="15.6" customHeight="1">
      <c r="B1220" s="219" t="b">
        <f t="array" ref="B1220">IF(OR(ISERROR(K1220:P1220)),FALSE,TRUE)</f>
        <v>1</v>
      </c>
      <c r="C1220" s="43" t="b">
        <f>OR(BR1220=Driver!$G$50,Data!BR115=Driver!$H$50)</f>
        <v>1</v>
      </c>
      <c r="D1220" s="43" t="b">
        <f>OR(BV1220=Driver!$G$51,BV1220=Driver!$H$51)</f>
        <v>1</v>
      </c>
      <c r="E1220" s="43" t="b">
        <f>AND(BX1220&gt;Driver!$F$54,BX1220&lt;Driver!$G$54)</f>
        <v>0</v>
      </c>
      <c r="F1220" s="43" t="b">
        <f>CL1220&gt;Driver!$F$56</f>
        <v>1</v>
      </c>
      <c r="G1220" s="43" t="b">
        <f>AND(CB1220&gt;Driver!$F$55,CB1220&lt;Driver!$G$55)</f>
        <v>0</v>
      </c>
      <c r="H1220" s="43" t="b">
        <f t="shared" si="666"/>
        <v>0</v>
      </c>
      <c r="I1220" s="43">
        <f t="shared" si="667"/>
        <v>0</v>
      </c>
      <c r="J1220" s="43" t="b">
        <f t="array" ref="J1220">NOT(OR(($H$9:$H$1273=TRUE)*($I$9:$I$1273&gt;0)*($BT$9:$BT$1273=BT1220)*($K$9:$K$1273&gt;K1220)))</f>
        <v>1</v>
      </c>
      <c r="K1220" s="72">
        <f t="shared" si="668"/>
        <v>0.56961884885105962</v>
      </c>
      <c r="L1220" s="72">
        <f t="shared" si="669"/>
        <v>0.51455298433708774</v>
      </c>
      <c r="M1220" s="72">
        <f t="shared" si="670"/>
        <v>0.62468471336503151</v>
      </c>
      <c r="N1220" s="72">
        <f t="shared" si="671"/>
        <v>0.529184127464424</v>
      </c>
      <c r="O1220" s="72">
        <f t="shared" si="672"/>
        <v>0.64481727001463662</v>
      </c>
      <c r="P1220" s="72">
        <f t="shared" si="673"/>
        <v>0.70005274261603367</v>
      </c>
      <c r="Q1220" s="72"/>
      <c r="R1220" s="72"/>
      <c r="S1220" s="72">
        <f t="shared" si="674"/>
        <v>0.53541310005012299</v>
      </c>
      <c r="T1220" s="72">
        <f t="shared" si="675"/>
        <v>0.51081352987478068</v>
      </c>
      <c r="U1220" s="72">
        <f t="shared" si="676"/>
        <v>0.50486513311995629</v>
      </c>
      <c r="V1220" s="72">
        <f t="shared" si="677"/>
        <v>0.63319566153005136</v>
      </c>
      <c r="W1220" s="72">
        <f t="shared" si="678"/>
        <v>0.79795328399629972</v>
      </c>
      <c r="X1220" s="72">
        <f t="shared" si="679"/>
        <v>0.48544701566291232</v>
      </c>
      <c r="Y1220" s="72">
        <f t="shared" si="680"/>
        <v>0.37531528663496855</v>
      </c>
      <c r="Z1220" s="72">
        <f t="shared" si="681"/>
        <v>0.470815872535576</v>
      </c>
      <c r="AA1220" s="72">
        <f t="shared" si="682"/>
        <v>0.35518272998536338</v>
      </c>
      <c r="AB1220" s="72">
        <f t="shared" si="683"/>
        <v>0.29994725738396627</v>
      </c>
      <c r="AC1220" s="72"/>
      <c r="AD1220" s="72"/>
      <c r="AE1220" s="72">
        <f t="shared" si="684"/>
        <v>0.46458689994987701</v>
      </c>
      <c r="AF1220" s="72">
        <f t="shared" si="685"/>
        <v>0.48918647012521932</v>
      </c>
      <c r="AG1220" s="72">
        <f t="shared" si="686"/>
        <v>0.49513486688004377</v>
      </c>
      <c r="AH1220" s="72">
        <f t="shared" si="687"/>
        <v>0.36680433846994864</v>
      </c>
      <c r="AI1220" s="72">
        <f t="shared" si="688"/>
        <v>0.20204671600370028</v>
      </c>
      <c r="AJ1220" s="72">
        <f>(AV1220-Driver!$K$179)/(Driver!$L$179-Driver!$K$179)</f>
        <v>0.73966642494561274</v>
      </c>
      <c r="AK1220" s="72">
        <f>(AW1220-Driver!$K$180)/(Driver!$L$180-Driver!$K$180)</f>
        <v>0.56331309257833984</v>
      </c>
      <c r="AL1220" s="72">
        <f>(AX1220-Driver!$K$181)/(Driver!$L$181-Driver!$K$181)</f>
        <v>0.57250363624865619</v>
      </c>
      <c r="AM1220" s="72">
        <f>(AY1220-Driver!$K$182)/(Driver!$L$182-Driver!$K$182)</f>
        <v>9.2202291111683002E-2</v>
      </c>
      <c r="AN1220" s="72">
        <f>(AZ1220-Driver!$K$183)/(Driver!$L$183-Driver!$K$183)</f>
        <v>0.5541666666666667</v>
      </c>
      <c r="AO1220" s="72"/>
      <c r="AP1220" s="72"/>
      <c r="AQ1220" s="72">
        <f>(BC1220-Driver!$K$188)/(Driver!$L$188-Driver!$K$188)</f>
        <v>0.15541310005012299</v>
      </c>
      <c r="AR1220" s="72">
        <f>MIN((BD1220-Driver!$K$189)/(Driver!$L$189-Driver!$K$189),100%)</f>
        <v>6.0813529874780732E-2</v>
      </c>
      <c r="AS1220" s="72">
        <f>(BE1220-Driver!$K$190)/(Driver!$L$190-Driver!$K$190)</f>
        <v>1.4865133119956232E-2</v>
      </c>
      <c r="AT1220" s="72">
        <f>(BF1220-Driver!$K$191)/(Driver!$L$191-Driver!$K$191)</f>
        <v>0.14319566153005137</v>
      </c>
      <c r="AU1220" s="72">
        <f>(BG1220-Driver!$K$192)/(Driver!$L$192-Driver!$K$192)</f>
        <v>4.7953283996299716E-2</v>
      </c>
      <c r="AV1220" s="70">
        <f t="shared" si="689"/>
        <v>15.567765567765568</v>
      </c>
      <c r="AW1220" s="70">
        <f t="shared" si="690"/>
        <v>56.771744954991121</v>
      </c>
      <c r="AX1220" s="70">
        <f t="shared" si="691"/>
        <v>6.1525327262379061</v>
      </c>
      <c r="AY1220" s="70">
        <f>IFERROR(Driver!$K$19/Data!BH1220/Data!BI1220*Data!BK1220*Data!BL1220,"")</f>
        <v>0.11288311482915993</v>
      </c>
      <c r="AZ1220" s="70">
        <f t="shared" si="692"/>
        <v>50.506329113924053</v>
      </c>
      <c r="BA1220" s="70"/>
      <c r="BB1220" s="70"/>
      <c r="BC1220" s="70">
        <f t="shared" si="693"/>
        <v>80.613855410342154</v>
      </c>
      <c r="BD1220" s="70">
        <f t="shared" si="694"/>
        <v>7.102712522817094</v>
      </c>
      <c r="BE1220" s="70">
        <f t="shared" si="695"/>
        <v>1.5040870092042398E-2</v>
      </c>
      <c r="BF1220" s="70">
        <f t="shared" si="696"/>
        <v>16.172943963361057</v>
      </c>
      <c r="BG1220" s="70">
        <f t="shared" si="697"/>
        <v>0.18158172409805734</v>
      </c>
      <c r="BH1220" s="67">
        <f>MAX((CE1220-Driver!$F$200)/(Driver!$G$200-Driver!$F$200)*$BI$1,1)</f>
        <v>6.1525327262379061</v>
      </c>
      <c r="BI1220" s="67">
        <f>MAX($BI$1*(BY1220-Driver!$F$201)/(Driver!$G$201-Driver!$F$201),1)</f>
        <v>7.2151898734177218</v>
      </c>
      <c r="BJ1220" s="67">
        <f>(CB1220-Driver!$F$206)/(Driver!$G$206-Driver!$F$206)*$BI$1</f>
        <v>8.0952380952380949</v>
      </c>
      <c r="BK1220" s="67">
        <f>(CD1220-Driver!$F$203)/(Driver!$G$203-Driver!$F$203)*$BI$1</f>
        <v>4.5412844036697253</v>
      </c>
      <c r="BL1220" s="67">
        <f>MAX((CR1220-Driver!$F$202)/(Driver!$G$202-Driver!$F$202)*$BI$1,1)</f>
        <v>5.5172413793103452</v>
      </c>
      <c r="BM1220" s="67">
        <f>MAX((CH1220-Driver!$F$204)/(Driver!$G$204-Driver!$F$204)*$BI$1,1)</f>
        <v>7.6923076923076925</v>
      </c>
      <c r="BN1220" s="67">
        <f>(CI1220-Driver!$F$205)/(Driver!$G$205-Driver!$F$205)*$BI$1</f>
        <v>7</v>
      </c>
      <c r="BO1220" s="67">
        <f>(CK1220-Driver!$F$207)/(Driver!$G$207-Driver!$F$207)*$BI$1</f>
        <v>2.4819027921406409</v>
      </c>
      <c r="BP1220" s="67">
        <f>(CM1220-Driver!$F$208)/(Driver!$G$208-Driver!$F$208)*$BI$1</f>
        <v>3.6555555555555559</v>
      </c>
      <c r="BQ1220" s="67">
        <f>(CL1220-Driver!$F$209)/(Driver!$G$209-Driver!$F$209)*$BI$1</f>
        <v>8.59375</v>
      </c>
      <c r="BR1220" s="28" t="s">
        <v>155</v>
      </c>
      <c r="BS1220" s="8" t="s">
        <v>182</v>
      </c>
      <c r="BT1220" s="9" t="s">
        <v>852</v>
      </c>
      <c r="BU1220" s="10">
        <v>192</v>
      </c>
      <c r="BV1220" s="9" t="s">
        <v>158</v>
      </c>
      <c r="BW1220" s="10">
        <v>192</v>
      </c>
      <c r="BX1220" s="10">
        <v>190.1</v>
      </c>
      <c r="BY1220" s="10">
        <v>122</v>
      </c>
      <c r="BZ1220" s="10">
        <v>141</v>
      </c>
      <c r="CA1220" s="10">
        <v>139</v>
      </c>
      <c r="CB1220" s="10">
        <v>115</v>
      </c>
      <c r="CC1220" s="10">
        <v>135</v>
      </c>
      <c r="CD1220" s="10">
        <v>19.3</v>
      </c>
      <c r="CE1220" s="10">
        <v>1981</v>
      </c>
      <c r="CF1220" s="10">
        <v>1.18</v>
      </c>
      <c r="CG1220" s="10">
        <v>2337</v>
      </c>
      <c r="CH1220" s="10">
        <v>281</v>
      </c>
      <c r="CI1220" s="10">
        <v>152</v>
      </c>
      <c r="CJ1220" s="10">
        <v>57</v>
      </c>
      <c r="CK1220" s="10">
        <v>350</v>
      </c>
      <c r="CL1220" s="10">
        <v>55</v>
      </c>
      <c r="CM1220" s="10">
        <v>329</v>
      </c>
      <c r="CN1220" s="10">
        <v>0.95599999999999996</v>
      </c>
      <c r="CO1220" s="10">
        <v>258</v>
      </c>
      <c r="CP1220" s="10">
        <v>229</v>
      </c>
      <c r="CQ1220" s="10">
        <v>92</v>
      </c>
      <c r="CR1220" s="10">
        <v>5</v>
      </c>
      <c r="CS1220" s="10">
        <v>7.6</v>
      </c>
      <c r="CT1220" s="9" t="s">
        <v>184</v>
      </c>
      <c r="CU1220" s="9" t="s">
        <v>169</v>
      </c>
      <c r="CV1220" s="9" t="s">
        <v>185</v>
      </c>
      <c r="CW1220" s="10"/>
      <c r="CX1220" t="str">
        <f>INDEX('Data_Price '!AG$2:AG$1266,MATCH(Data!$DN1220,'Data_Price '!$AT$2:$AT$1266,0))</f>
        <v>Armada Whitewalker Skis 2022</v>
      </c>
      <c r="CY1220" t="str">
        <f>INDEX('Data_Price '!AH$2:AH$1266,MATCH(Data!$DN1220,'Data_Price '!$AT$2:$AT$1266,0))</f>
        <v>Blue Tomato</v>
      </c>
      <c r="CZ1220">
        <f>INDEX('Data_Price '!AI$2:AI$1266,MATCH(Data!$DN1220,'Data_Price '!$AT$2:$AT$1266,0))</f>
        <v>553.33000000000004</v>
      </c>
      <c r="DA1220" t="str">
        <f>INDEX('Data_Price '!AJ$2:AJ$1266,MATCH(Data!$DN1220,'Data_Price '!$AT$2:$AT$1266,0))</f>
        <v>https://tinyurl.com/yakfocxt</v>
      </c>
      <c r="DB1220" t="str">
        <f>INDEX('Data_Price '!AK$2:AK$1266,MATCH(Data!$DN1220,'Data_Price '!$AT$2:$AT$1266,0))</f>
        <v>Armada Whitewalker Skis 2022</v>
      </c>
      <c r="DC1220" t="str">
        <f>INDEX('Data_Price '!AL$2:AL$1266,MATCH(Data!$DN1220,'Data_Price '!$AT$2:$AT$1266,0))</f>
        <v>Snowcountry.eu</v>
      </c>
      <c r="DD1220">
        <f>INDEX('Data_Price '!AM$2:AM$1266,MATCH(Data!$DN1220,'Data_Price '!$AT$2:$AT$1266,0))</f>
        <v>587.63</v>
      </c>
      <c r="DE1220" t="str">
        <f>INDEX('Data_Price '!AN$2:AN$1266,MATCH(Data!$DN1220,'Data_Price '!$AT$2:$AT$1266,0))</f>
        <v>https://tinyurl.com/ya8fkhua</v>
      </c>
      <c r="DF1220" t="str">
        <f>INDEX('Data_Price '!AO$2:AO$1266,MATCH(Data!$DN1220,'Data_Price '!$AT$2:$AT$1266,0))</f>
        <v>Armada Whitewalker Skis 2022</v>
      </c>
      <c r="DG1220" t="str">
        <f>INDEX('Data_Price '!AP$2:AP$1266,MATCH(Data!$DN1220,'Data_Price '!$AT$2:$AT$1266,0))</f>
        <v>Next Adventure</v>
      </c>
      <c r="DH1220">
        <f>INDEX('Data_Price '!AQ$2:AQ$1266,MATCH(Data!$DN1220,'Data_Price '!$AT$2:$AT$1266,0))</f>
        <v>639.96</v>
      </c>
      <c r="DI1220" t="str">
        <f>INDEX('Data_Price '!AR$2:AR$1266,MATCH(Data!$DN1220,'Data_Price '!$AT$2:$AT$1266,0))</f>
        <v>https://tinyurl.com/yczppwak</v>
      </c>
      <c r="DJ1220" s="89" t="str">
        <f t="shared" si="698"/>
        <v>https://tinyurl.com/yakfocxt</v>
      </c>
      <c r="DK1220" s="89" t="str">
        <f t="shared" si="699"/>
        <v>https://tinyurl.com/ya8fkhua</v>
      </c>
      <c r="DL1220" s="89" t="str">
        <f t="shared" si="700"/>
        <v>https://tinyurl.com/yczppwak</v>
      </c>
      <c r="DM1220" s="219" t="str">
        <f t="shared" si="701"/>
        <v>Whitewalker</v>
      </c>
      <c r="DN1220" s="89" t="str">
        <f t="shared" si="702"/>
        <v xml:space="preserve"> ArmadaWhitewalker192 Unisex</v>
      </c>
      <c r="DO1220" s="221" t="s">
        <v>853</v>
      </c>
    </row>
    <row r="1221" spans="2:119" ht="15.6" customHeight="1">
      <c r="B1221" s="219" t="b">
        <f t="array" ref="B1221">IF(OR(ISERROR(K1221:P1221)),FALSE,TRUE)</f>
        <v>1</v>
      </c>
      <c r="C1221" s="43" t="b">
        <f>OR(BR1221=Driver!$G$50,Data!BR1204=Driver!$H$50)</f>
        <v>1</v>
      </c>
      <c r="D1221" s="43" t="b">
        <f>OR(BV1221=Driver!$G$51,BV1221=Driver!$H$51)</f>
        <v>1</v>
      </c>
      <c r="E1221" s="43" t="b">
        <f>AND(BX1221&gt;Driver!$F$54,BX1221&lt;Driver!$G$54)</f>
        <v>0</v>
      </c>
      <c r="F1221" s="43" t="b">
        <f>CL1221&gt;Driver!$F$56</f>
        <v>1</v>
      </c>
      <c r="G1221" s="43" t="b">
        <f>AND(CB1221&gt;Driver!$F$55,CB1221&lt;Driver!$G$55)</f>
        <v>1</v>
      </c>
      <c r="H1221" s="43" t="b">
        <f t="shared" si="666"/>
        <v>0</v>
      </c>
      <c r="I1221" s="43">
        <f t="shared" si="667"/>
        <v>0</v>
      </c>
      <c r="J1221" s="43" t="b">
        <f t="array" ref="J1221">NOT(OR(($H$9:$H$1273=TRUE)*($I$9:$I$1273&gt;0)*($BT$9:$BT$1273=BT1221)*($K$9:$K$1273&gt;K1221)))</f>
        <v>1</v>
      </c>
      <c r="K1221" s="72">
        <f t="shared" si="668"/>
        <v>0.66674670353928744</v>
      </c>
      <c r="L1221" s="72">
        <f t="shared" si="669"/>
        <v>0.81074184905387114</v>
      </c>
      <c r="M1221" s="72">
        <f t="shared" si="670"/>
        <v>0.52275155802470374</v>
      </c>
      <c r="N1221" s="72">
        <f t="shared" si="671"/>
        <v>0.36729201338107487</v>
      </c>
      <c r="O1221" s="72">
        <f t="shared" si="672"/>
        <v>0.61598344748876743</v>
      </c>
      <c r="P1221" s="72">
        <f t="shared" si="673"/>
        <v>0.58497921320426904</v>
      </c>
      <c r="Q1221" s="72"/>
      <c r="R1221" s="72"/>
      <c r="S1221" s="72">
        <f t="shared" si="674"/>
        <v>0.58646427127485201</v>
      </c>
      <c r="T1221" s="72">
        <f t="shared" si="675"/>
        <v>0.50825886483670479</v>
      </c>
      <c r="U1221" s="72">
        <f t="shared" si="676"/>
        <v>0.62516335857958216</v>
      </c>
      <c r="V1221" s="72">
        <f t="shared" si="677"/>
        <v>0.52871585171610491</v>
      </c>
      <c r="W1221" s="72">
        <f t="shared" si="678"/>
        <v>0.76685238640613318</v>
      </c>
      <c r="X1221" s="72">
        <f t="shared" si="679"/>
        <v>0.18925815094612886</v>
      </c>
      <c r="Y1221" s="72">
        <f t="shared" si="680"/>
        <v>0.47724844197529626</v>
      </c>
      <c r="Z1221" s="72">
        <f t="shared" si="681"/>
        <v>0.63270798661892513</v>
      </c>
      <c r="AA1221" s="72">
        <f t="shared" si="682"/>
        <v>0.38401655251123257</v>
      </c>
      <c r="AB1221" s="72">
        <f t="shared" si="683"/>
        <v>0.4150207867957309</v>
      </c>
      <c r="AC1221" s="72"/>
      <c r="AD1221" s="72"/>
      <c r="AE1221" s="72">
        <f t="shared" si="684"/>
        <v>0.41353572872514799</v>
      </c>
      <c r="AF1221" s="72">
        <f t="shared" si="685"/>
        <v>0.49174113516329526</v>
      </c>
      <c r="AG1221" s="72">
        <f t="shared" si="686"/>
        <v>0.37483664142041784</v>
      </c>
      <c r="AH1221" s="72">
        <f t="shared" si="687"/>
        <v>0.47128414828389509</v>
      </c>
      <c r="AI1221" s="72">
        <f t="shared" si="688"/>
        <v>0.23314761359386688</v>
      </c>
      <c r="AJ1221" s="72">
        <f>(AV1221-Driver!$K$179)/(Driver!$L$179-Driver!$K$179)</f>
        <v>0.44347756022882928</v>
      </c>
      <c r="AK1221" s="72">
        <f>(AW1221-Driver!$K$180)/(Driver!$L$180-Driver!$K$180)</f>
        <v>0.68551277547649481</v>
      </c>
      <c r="AL1221" s="72">
        <f>(AX1221-Driver!$K$181)/(Driver!$L$181-Driver!$K$181)</f>
        <v>0.73439575033200533</v>
      </c>
      <c r="AM1221" s="72">
        <f>(AY1221-Driver!$K$182)/(Driver!$L$182-Driver!$K$182)</f>
        <v>6.3368468585813784E-2</v>
      </c>
      <c r="AN1221" s="72">
        <f>(AZ1221-Driver!$K$183)/(Driver!$L$183-Driver!$K$183)</f>
        <v>0.66924019607843133</v>
      </c>
      <c r="AO1221" s="72"/>
      <c r="AP1221" s="72"/>
      <c r="AQ1221" s="72">
        <f>(BC1221-Driver!$K$188)/(Driver!$L$188-Driver!$K$188)</f>
        <v>0.20646427127485198</v>
      </c>
      <c r="AR1221" s="72">
        <f>MIN((BD1221-Driver!$K$189)/(Driver!$L$189-Driver!$K$189),100%)</f>
        <v>5.8258864836704803E-2</v>
      </c>
      <c r="AS1221" s="72">
        <f>(BE1221-Driver!$K$190)/(Driver!$L$190-Driver!$K$190)</f>
        <v>0.1351633585795822</v>
      </c>
      <c r="AT1221" s="72">
        <f>(BF1221-Driver!$K$191)/(Driver!$L$191-Driver!$K$191)</f>
        <v>3.8715851716104907E-2</v>
      </c>
      <c r="AU1221" s="72">
        <f>(BG1221-Driver!$K$192)/(Driver!$L$192-Driver!$K$192)</f>
        <v>1.6852386406133128E-2</v>
      </c>
      <c r="AV1221" s="70">
        <f t="shared" si="689"/>
        <v>9.3338760005426682</v>
      </c>
      <c r="AW1221" s="70">
        <f t="shared" si="690"/>
        <v>68.681186852758259</v>
      </c>
      <c r="AX1221" s="70">
        <f t="shared" si="691"/>
        <v>7.6095617529880482</v>
      </c>
      <c r="AY1221" s="70">
        <f>IFERROR(Driver!$K$19/Data!BH1221/Data!BI1221*Data!BK1221*Data!BL1221,"")</f>
        <v>7.7581912875200151E-2</v>
      </c>
      <c r="AZ1221" s="70">
        <f t="shared" si="692"/>
        <v>60.994043186895013</v>
      </c>
      <c r="BA1221" s="70"/>
      <c r="BB1221" s="70"/>
      <c r="BC1221" s="70">
        <f t="shared" si="693"/>
        <v>107.09445282659365</v>
      </c>
      <c r="BD1221" s="70">
        <f t="shared" si="694"/>
        <v>6.8766291935459689</v>
      </c>
      <c r="BE1221" s="70">
        <f t="shared" si="695"/>
        <v>0.13531763570226055</v>
      </c>
      <c r="BF1221" s="70">
        <f t="shared" si="696"/>
        <v>4.3726834570819415</v>
      </c>
      <c r="BG1221" s="70">
        <f t="shared" si="697"/>
        <v>6.38138855939136E-2</v>
      </c>
      <c r="BH1221" s="67">
        <f>MAX((CE1221-Driver!$F$200)/(Driver!$G$200-Driver!$F$200)*$BI$1,1)</f>
        <v>7.6095617529880482</v>
      </c>
      <c r="BI1221" s="67">
        <f>MAX($BI$1*(BY1221-Driver!$F$201)/(Driver!$G$201-Driver!$F$201),1)</f>
        <v>8.037974683544304</v>
      </c>
      <c r="BJ1221" s="67">
        <f>(CB1221-Driver!$F$206)/(Driver!$G$206-Driver!$F$206)*$BI$1</f>
        <v>6.825396825396826</v>
      </c>
      <c r="BK1221" s="67">
        <f>(CD1221-Driver!$F$203)/(Driver!$G$203-Driver!$F$203)*$BI$1</f>
        <v>4.5871559633027523</v>
      </c>
      <c r="BL1221" s="67">
        <f>MAX((CR1221-Driver!$F$202)/(Driver!$G$202-Driver!$F$202)*$BI$1,1)</f>
        <v>5.1724137931034484</v>
      </c>
      <c r="BM1221" s="67">
        <f>MAX((CH1221-Driver!$F$204)/(Driver!$G$204-Driver!$F$204)*$BI$1,1)</f>
        <v>5.4700854700854702</v>
      </c>
      <c r="BN1221" s="67">
        <f>(CI1221-Driver!$F$205)/(Driver!$G$205-Driver!$F$205)*$BI$1</f>
        <v>7.5882352941176467</v>
      </c>
      <c r="BO1221" s="67">
        <f>(CK1221-Driver!$F$207)/(Driver!$G$207-Driver!$F$207)*$BI$1</f>
        <v>1.4374353671147879</v>
      </c>
      <c r="BP1221" s="67">
        <f>(CM1221-Driver!$F$208)/(Driver!$G$208-Driver!$F$208)*$BI$1</f>
        <v>2.0444444444444447</v>
      </c>
      <c r="BQ1221" s="67">
        <f>(CL1221-Driver!$F$209)/(Driver!$G$209-Driver!$F$209)*$BI$1</f>
        <v>2.65625</v>
      </c>
      <c r="BR1221" s="28" t="s">
        <v>155</v>
      </c>
      <c r="BS1221" s="8" t="s">
        <v>229</v>
      </c>
      <c r="BT1221" s="9" t="s">
        <v>861</v>
      </c>
      <c r="BU1221" s="10">
        <v>177</v>
      </c>
      <c r="BV1221" s="9" t="s">
        <v>158</v>
      </c>
      <c r="BW1221" s="10">
        <v>177</v>
      </c>
      <c r="BX1221" s="10">
        <v>178.1</v>
      </c>
      <c r="BY1221" s="10">
        <v>135</v>
      </c>
      <c r="BZ1221" s="10">
        <v>155</v>
      </c>
      <c r="CA1221" s="10">
        <v>145</v>
      </c>
      <c r="CB1221" s="10">
        <v>107</v>
      </c>
      <c r="CC1221" s="10">
        <v>128</v>
      </c>
      <c r="CD1221" s="10">
        <v>19.399999999999999</v>
      </c>
      <c r="CE1221" s="10">
        <v>2237</v>
      </c>
      <c r="CF1221" s="10">
        <v>0.95</v>
      </c>
      <c r="CG1221" s="10">
        <v>2115</v>
      </c>
      <c r="CH1221" s="10">
        <v>229</v>
      </c>
      <c r="CI1221" s="10">
        <v>162</v>
      </c>
      <c r="CJ1221" s="10">
        <v>49</v>
      </c>
      <c r="CK1221" s="10">
        <v>249</v>
      </c>
      <c r="CL1221" s="10">
        <v>17</v>
      </c>
      <c r="CM1221" s="10">
        <v>184</v>
      </c>
      <c r="CN1221" s="10">
        <v>0.35</v>
      </c>
      <c r="CO1221" s="10">
        <v>131</v>
      </c>
      <c r="CP1221" s="10">
        <v>104</v>
      </c>
      <c r="CQ1221" s="10">
        <v>118</v>
      </c>
      <c r="CR1221" s="10">
        <v>4</v>
      </c>
      <c r="CS1221" s="10">
        <v>11.5</v>
      </c>
      <c r="CT1221" s="9" t="s">
        <v>169</v>
      </c>
      <c r="CU1221" s="9" t="s">
        <v>178</v>
      </c>
      <c r="CV1221" s="10"/>
      <c r="CW1221" s="10"/>
      <c r="CX1221" t="e">
        <f>INDEX('Data_Price '!AG$2:AG$1266,MATCH(Data!$DN1221,'Data_Price '!$AT$2:$AT$1266,0))</f>
        <v>#N/A</v>
      </c>
      <c r="CY1221" t="e">
        <f>INDEX('Data_Price '!AH$2:AH$1266,MATCH(Data!$DN1221,'Data_Price '!$AT$2:$AT$1266,0))</f>
        <v>#N/A</v>
      </c>
      <c r="CZ1221" t="e">
        <f>INDEX('Data_Price '!AI$2:AI$1266,MATCH(Data!$DN1221,'Data_Price '!$AT$2:$AT$1266,0))</f>
        <v>#N/A</v>
      </c>
      <c r="DA1221" t="e">
        <f>INDEX('Data_Price '!AJ$2:AJ$1266,MATCH(Data!$DN1221,'Data_Price '!$AT$2:$AT$1266,0))</f>
        <v>#N/A</v>
      </c>
      <c r="DB1221" t="e">
        <f>INDEX('Data_Price '!AK$2:AK$1266,MATCH(Data!$DN1221,'Data_Price '!$AT$2:$AT$1266,0))</f>
        <v>#N/A</v>
      </c>
      <c r="DC1221" t="e">
        <f>INDEX('Data_Price '!AL$2:AL$1266,MATCH(Data!$DN1221,'Data_Price '!$AT$2:$AT$1266,0))</f>
        <v>#N/A</v>
      </c>
      <c r="DD1221" t="e">
        <f>INDEX('Data_Price '!AM$2:AM$1266,MATCH(Data!$DN1221,'Data_Price '!$AT$2:$AT$1266,0))</f>
        <v>#N/A</v>
      </c>
      <c r="DE1221" t="e">
        <f>INDEX('Data_Price '!AN$2:AN$1266,MATCH(Data!$DN1221,'Data_Price '!$AT$2:$AT$1266,0))</f>
        <v>#N/A</v>
      </c>
      <c r="DF1221" t="e">
        <f>INDEX('Data_Price '!AO$2:AO$1266,MATCH(Data!$DN1221,'Data_Price '!$AT$2:$AT$1266,0))</f>
        <v>#N/A</v>
      </c>
      <c r="DG1221" t="e">
        <f>INDEX('Data_Price '!AP$2:AP$1266,MATCH(Data!$DN1221,'Data_Price '!$AT$2:$AT$1266,0))</f>
        <v>#N/A</v>
      </c>
      <c r="DH1221" t="e">
        <f>INDEX('Data_Price '!AQ$2:AQ$1266,MATCH(Data!$DN1221,'Data_Price '!$AT$2:$AT$1266,0))</f>
        <v>#N/A</v>
      </c>
      <c r="DI1221" t="e">
        <f>INDEX('Data_Price '!AR$2:AR$1266,MATCH(Data!$DN1221,'Data_Price '!$AT$2:$AT$1266,0))</f>
        <v>#N/A</v>
      </c>
      <c r="DJ1221" s="89" t="e">
        <f t="shared" si="698"/>
        <v>#N/A</v>
      </c>
      <c r="DK1221" s="89" t="e">
        <f t="shared" si="699"/>
        <v>#N/A</v>
      </c>
      <c r="DL1221" s="89" t="e">
        <f t="shared" si="700"/>
        <v>#N/A</v>
      </c>
      <c r="DM1221" s="219" t="str">
        <f t="shared" si="701"/>
        <v>Katana 108</v>
      </c>
      <c r="DN1221" s="89" t="str">
        <f t="shared" si="702"/>
        <v xml:space="preserve"> VölklKatana 108177 Unisex</v>
      </c>
      <c r="DO1221" s="221" t="s">
        <v>862</v>
      </c>
    </row>
    <row r="1222" spans="2:119" ht="15.6" customHeight="1">
      <c r="B1222" s="219" t="b">
        <f t="array" ref="B1222">IF(OR(ISERROR(K1222:P1222)),FALSE,TRUE)</f>
        <v>1</v>
      </c>
      <c r="C1222" s="43" t="b">
        <f>OR(BR1222=Driver!$G$50,Data!BR719=Driver!$H$50)</f>
        <v>1</v>
      </c>
      <c r="D1222" s="43" t="b">
        <f>OR(BV1222=Driver!$G$51,BV1222=Driver!$H$51)</f>
        <v>1</v>
      </c>
      <c r="E1222" s="43" t="b">
        <f>AND(BX1222&gt;Driver!$F$54,BX1222&lt;Driver!$G$54)</f>
        <v>0</v>
      </c>
      <c r="F1222" s="43" t="b">
        <f>CL1222&gt;Driver!$F$56</f>
        <v>1</v>
      </c>
      <c r="G1222" s="43" t="b">
        <f>AND(CB1222&gt;Driver!$F$55,CB1222&lt;Driver!$G$55)</f>
        <v>1</v>
      </c>
      <c r="H1222" s="43" t="b">
        <f t="shared" si="666"/>
        <v>0</v>
      </c>
      <c r="I1222" s="43">
        <f t="shared" si="667"/>
        <v>0</v>
      </c>
      <c r="J1222" s="43" t="b">
        <f t="array" ref="J1222">NOT(OR(($H$9:$H$1273=TRUE)*($I$9:$I$1273&gt;0)*($BT$9:$BT$1273=BT1222)*($K$9:$K$1273&gt;K1222)))</f>
        <v>1</v>
      </c>
      <c r="K1222" s="72">
        <f t="shared" si="668"/>
        <v>0.68193850988135274</v>
      </c>
      <c r="L1222" s="72">
        <f t="shared" si="669"/>
        <v>0.78648916997885721</v>
      </c>
      <c r="M1222" s="72">
        <f t="shared" si="670"/>
        <v>0.57738784978384827</v>
      </c>
      <c r="N1222" s="72">
        <f t="shared" si="671"/>
        <v>0.42800155616233071</v>
      </c>
      <c r="O1222" s="72">
        <f t="shared" si="672"/>
        <v>0.66885598259932411</v>
      </c>
      <c r="P1222" s="72">
        <f t="shared" si="673"/>
        <v>0.63530601058989</v>
      </c>
      <c r="Q1222" s="72"/>
      <c r="R1222" s="72"/>
      <c r="S1222" s="72">
        <f t="shared" si="674"/>
        <v>0.64158530418707427</v>
      </c>
      <c r="T1222" s="72">
        <f t="shared" si="675"/>
        <v>0.48978141502270678</v>
      </c>
      <c r="U1222" s="72">
        <f t="shared" si="676"/>
        <v>0.51709025968520428</v>
      </c>
      <c r="V1222" s="72">
        <f t="shared" si="677"/>
        <v>0.58186627242294875</v>
      </c>
      <c r="W1222" s="72">
        <f t="shared" si="678"/>
        <v>0.77430298146655918</v>
      </c>
      <c r="X1222" s="72">
        <f t="shared" si="679"/>
        <v>0.21351083002114285</v>
      </c>
      <c r="Y1222" s="72">
        <f t="shared" si="680"/>
        <v>0.42261215021615173</v>
      </c>
      <c r="Z1222" s="72">
        <f t="shared" si="681"/>
        <v>0.57199844383766929</v>
      </c>
      <c r="AA1222" s="72">
        <f t="shared" si="682"/>
        <v>0.33114401740067595</v>
      </c>
      <c r="AB1222" s="72">
        <f t="shared" si="683"/>
        <v>0.36469398941011005</v>
      </c>
      <c r="AC1222" s="72"/>
      <c r="AD1222" s="72"/>
      <c r="AE1222" s="72">
        <f t="shared" si="684"/>
        <v>0.35841469581292573</v>
      </c>
      <c r="AF1222" s="72">
        <f t="shared" si="685"/>
        <v>0.51021858497729322</v>
      </c>
      <c r="AG1222" s="72">
        <f t="shared" si="686"/>
        <v>0.48290974031479578</v>
      </c>
      <c r="AH1222" s="72">
        <f t="shared" si="687"/>
        <v>0.41813372757705125</v>
      </c>
      <c r="AI1222" s="72">
        <f t="shared" si="688"/>
        <v>0.22569701853344076</v>
      </c>
      <c r="AJ1222" s="72">
        <f>(AV1222-Driver!$K$179)/(Driver!$L$179-Driver!$K$179)</f>
        <v>0.46773023930384328</v>
      </c>
      <c r="AK1222" s="72">
        <f>(AW1222-Driver!$K$180)/(Driver!$L$180-Driver!$K$180)</f>
        <v>0.63350724031655725</v>
      </c>
      <c r="AL1222" s="72">
        <f>(AX1222-Driver!$K$181)/(Driver!$L$181-Driver!$K$181)</f>
        <v>0.67368620755074948</v>
      </c>
      <c r="AM1222" s="72">
        <f>(AY1222-Driver!$K$182)/(Driver!$L$182-Driver!$K$182)</f>
        <v>0.1162410036963704</v>
      </c>
      <c r="AN1222" s="72">
        <f>(AZ1222-Driver!$K$183)/(Driver!$L$183-Driver!$K$183)</f>
        <v>0.61891339869281048</v>
      </c>
      <c r="AO1222" s="72"/>
      <c r="AP1222" s="72"/>
      <c r="AQ1222" s="72">
        <f>(BC1222-Driver!$K$188)/(Driver!$L$188-Driver!$K$188)</f>
        <v>0.26158530418707426</v>
      </c>
      <c r="AR1222" s="72">
        <f>MIN((BD1222-Driver!$K$189)/(Driver!$L$189-Driver!$K$189),100%)</f>
        <v>3.9781415022706872E-2</v>
      </c>
      <c r="AS1222" s="72">
        <f>(BE1222-Driver!$K$190)/(Driver!$L$190-Driver!$K$190)</f>
        <v>2.7090259685204243E-2</v>
      </c>
      <c r="AT1222" s="72">
        <f>(BF1222-Driver!$K$191)/(Driver!$L$191-Driver!$K$191)</f>
        <v>9.1866272422948786E-2</v>
      </c>
      <c r="AU1222" s="72">
        <f>(BG1222-Driver!$K$192)/(Driver!$L$192-Driver!$K$192)</f>
        <v>2.4302981466559227E-2</v>
      </c>
      <c r="AV1222" s="70">
        <f t="shared" si="689"/>
        <v>9.8443223443223431</v>
      </c>
      <c r="AW1222" s="70">
        <f t="shared" si="690"/>
        <v>63.612786635502751</v>
      </c>
      <c r="AX1222" s="70">
        <f t="shared" si="691"/>
        <v>7.0631758679567449</v>
      </c>
      <c r="AY1222" s="70">
        <f>IFERROR(Driver!$K$19/Data!BH1222/Data!BI1222*Data!BK1222*Data!BL1222,"")</f>
        <v>0.14231367149239454</v>
      </c>
      <c r="AZ1222" s="70">
        <f t="shared" si="692"/>
        <v>56.407297096053611</v>
      </c>
      <c r="BA1222" s="70"/>
      <c r="BB1222" s="70"/>
      <c r="BC1222" s="70">
        <f t="shared" si="693"/>
        <v>135.68611579336735</v>
      </c>
      <c r="BD1222" s="70">
        <f t="shared" si="694"/>
        <v>5.2414076251108881</v>
      </c>
      <c r="BE1222" s="70">
        <f t="shared" si="695"/>
        <v>2.7263815832310828E-2</v>
      </c>
      <c r="BF1222" s="70">
        <f t="shared" si="696"/>
        <v>10.375650073081365</v>
      </c>
      <c r="BG1222" s="70">
        <f t="shared" si="697"/>
        <v>9.2026591458501214E-2</v>
      </c>
      <c r="BH1222" s="67">
        <f>MAX((CE1222-Driver!$F$200)/(Driver!$G$200-Driver!$F$200)*$BI$1,1)</f>
        <v>7.0631758679567449</v>
      </c>
      <c r="BI1222" s="67">
        <f>MAX($BI$1*(BY1222-Driver!$F$201)/(Driver!$G$201-Driver!$F$201),1)</f>
        <v>6.8987341772151902</v>
      </c>
      <c r="BJ1222" s="67">
        <f>(CB1222-Driver!$F$206)/(Driver!$G$206-Driver!$F$206)*$BI$1</f>
        <v>6.825396825396826</v>
      </c>
      <c r="BK1222" s="67">
        <f>(CD1222-Driver!$F$203)/(Driver!$G$203-Driver!$F$203)*$BI$1</f>
        <v>6.2844036697247718</v>
      </c>
      <c r="BL1222" s="67">
        <f>MAX((CR1222-Driver!$F$202)/(Driver!$G$202-Driver!$F$202)*$BI$1,1)</f>
        <v>5.5172413793103452</v>
      </c>
      <c r="BM1222" s="67">
        <f>MAX((CH1222-Driver!$F$204)/(Driver!$G$204-Driver!$F$204)*$BI$1,1)</f>
        <v>5.7692307692307683</v>
      </c>
      <c r="BN1222" s="67">
        <f>(CI1222-Driver!$F$205)/(Driver!$G$205-Driver!$F$205)*$BI$1</f>
        <v>8.1764705882352935</v>
      </c>
      <c r="BO1222" s="67">
        <f>(CK1222-Driver!$F$207)/(Driver!$G$207-Driver!$F$207)*$BI$1</f>
        <v>3.0816959669079629</v>
      </c>
      <c r="BP1222" s="67">
        <f>(CM1222-Driver!$F$208)/(Driver!$G$208-Driver!$F$208)*$BI$1</f>
        <v>3.1</v>
      </c>
      <c r="BQ1222" s="67">
        <f>(CL1222-Driver!$F$209)/(Driver!$G$209-Driver!$F$209)*$BI$1</f>
        <v>3.75</v>
      </c>
      <c r="BR1222" s="28" t="s">
        <v>155</v>
      </c>
      <c r="BS1222" s="8" t="s">
        <v>262</v>
      </c>
      <c r="BT1222" s="9" t="s">
        <v>405</v>
      </c>
      <c r="BU1222" s="10">
        <v>186</v>
      </c>
      <c r="BV1222" s="9" t="s">
        <v>158</v>
      </c>
      <c r="BW1222" s="10">
        <v>186</v>
      </c>
      <c r="BX1222" s="10">
        <v>185.9</v>
      </c>
      <c r="BY1222" s="10">
        <v>117</v>
      </c>
      <c r="BZ1222" s="10">
        <v>150</v>
      </c>
      <c r="CA1222" s="10">
        <v>136</v>
      </c>
      <c r="CB1222" s="10">
        <v>107</v>
      </c>
      <c r="CC1222" s="10">
        <v>124</v>
      </c>
      <c r="CD1222" s="10">
        <v>23.1</v>
      </c>
      <c r="CE1222" s="10">
        <v>2141</v>
      </c>
      <c r="CF1222" s="10">
        <v>1.01</v>
      </c>
      <c r="CG1222" s="10">
        <v>2160</v>
      </c>
      <c r="CH1222" s="10">
        <v>236</v>
      </c>
      <c r="CI1222" s="10">
        <v>172</v>
      </c>
      <c r="CJ1222" s="10">
        <v>49</v>
      </c>
      <c r="CK1222" s="10">
        <v>408</v>
      </c>
      <c r="CL1222" s="10">
        <v>24</v>
      </c>
      <c r="CM1222" s="10">
        <v>279</v>
      </c>
      <c r="CN1222" s="10">
        <v>0.48799999999999999</v>
      </c>
      <c r="CO1222" s="10">
        <v>182</v>
      </c>
      <c r="CP1222" s="10">
        <v>180</v>
      </c>
      <c r="CQ1222" s="10">
        <v>225</v>
      </c>
      <c r="CR1222" s="10">
        <v>5</v>
      </c>
      <c r="CS1222" s="10">
        <v>10.5</v>
      </c>
      <c r="CT1222" s="9" t="s">
        <v>169</v>
      </c>
      <c r="CU1222" s="10"/>
      <c r="CV1222" s="10"/>
      <c r="CW1222" s="10"/>
      <c r="CX1222" t="e">
        <f>INDEX('Data_Price '!AG$2:AG$1266,MATCH(Data!$DN1222,'Data_Price '!$AT$2:$AT$1266,0))</f>
        <v>#N/A</v>
      </c>
      <c r="CY1222" t="e">
        <f>INDEX('Data_Price '!AH$2:AH$1266,MATCH(Data!$DN1222,'Data_Price '!$AT$2:$AT$1266,0))</f>
        <v>#N/A</v>
      </c>
      <c r="CZ1222" t="e">
        <f>INDEX('Data_Price '!AI$2:AI$1266,MATCH(Data!$DN1222,'Data_Price '!$AT$2:$AT$1266,0))</f>
        <v>#N/A</v>
      </c>
      <c r="DA1222" t="e">
        <f>INDEX('Data_Price '!AJ$2:AJ$1266,MATCH(Data!$DN1222,'Data_Price '!$AT$2:$AT$1266,0))</f>
        <v>#N/A</v>
      </c>
      <c r="DB1222" t="e">
        <f>INDEX('Data_Price '!AK$2:AK$1266,MATCH(Data!$DN1222,'Data_Price '!$AT$2:$AT$1266,0))</f>
        <v>#N/A</v>
      </c>
      <c r="DC1222" t="e">
        <f>INDEX('Data_Price '!AL$2:AL$1266,MATCH(Data!$DN1222,'Data_Price '!$AT$2:$AT$1266,0))</f>
        <v>#N/A</v>
      </c>
      <c r="DD1222" t="e">
        <f>INDEX('Data_Price '!AM$2:AM$1266,MATCH(Data!$DN1222,'Data_Price '!$AT$2:$AT$1266,0))</f>
        <v>#N/A</v>
      </c>
      <c r="DE1222" t="e">
        <f>INDEX('Data_Price '!AN$2:AN$1266,MATCH(Data!$DN1222,'Data_Price '!$AT$2:$AT$1266,0))</f>
        <v>#N/A</v>
      </c>
      <c r="DF1222" t="e">
        <f>INDEX('Data_Price '!AO$2:AO$1266,MATCH(Data!$DN1222,'Data_Price '!$AT$2:$AT$1266,0))</f>
        <v>#N/A</v>
      </c>
      <c r="DG1222" t="e">
        <f>INDEX('Data_Price '!AP$2:AP$1266,MATCH(Data!$DN1222,'Data_Price '!$AT$2:$AT$1266,0))</f>
        <v>#N/A</v>
      </c>
      <c r="DH1222" t="e">
        <f>INDEX('Data_Price '!AQ$2:AQ$1266,MATCH(Data!$DN1222,'Data_Price '!$AT$2:$AT$1266,0))</f>
        <v>#N/A</v>
      </c>
      <c r="DI1222" t="e">
        <f>INDEX('Data_Price '!AR$2:AR$1266,MATCH(Data!$DN1222,'Data_Price '!$AT$2:$AT$1266,0))</f>
        <v>#N/A</v>
      </c>
      <c r="DJ1222" s="89" t="e">
        <f t="shared" si="698"/>
        <v>#N/A</v>
      </c>
      <c r="DK1222" s="89" t="e">
        <f t="shared" si="699"/>
        <v>#N/A</v>
      </c>
      <c r="DL1222" s="89" t="e">
        <f t="shared" si="700"/>
        <v>#N/A</v>
      </c>
      <c r="DM1222" s="219" t="str">
        <f t="shared" si="701"/>
        <v>Mindbender 108 Ti</v>
      </c>
      <c r="DN1222" s="89" t="str">
        <f t="shared" si="702"/>
        <v xml:space="preserve"> K2Mindbender 108 Ti186 Unisex</v>
      </c>
      <c r="DO1222" s="221" t="s">
        <v>406</v>
      </c>
    </row>
    <row r="1223" spans="2:119" ht="15.6" customHeight="1">
      <c r="B1223" s="219" t="b">
        <f t="array" ref="B1223">IF(OR(ISERROR(K1223:P1223)),FALSE,TRUE)</f>
        <v>1</v>
      </c>
      <c r="C1223" s="43" t="b">
        <f>OR(BR1223=Driver!$G$50,Data!BR907=Driver!$H$50)</f>
        <v>1</v>
      </c>
      <c r="D1223" s="43" t="b">
        <f>OR(BV1223=Driver!$G$51,BV1223=Driver!$H$51)</f>
        <v>1</v>
      </c>
      <c r="E1223" s="43" t="b">
        <f>AND(BX1223&gt;Driver!$F$54,BX1223&lt;Driver!$G$54)</f>
        <v>0</v>
      </c>
      <c r="F1223" s="43" t="b">
        <f>CL1223&gt;Driver!$F$56</f>
        <v>1</v>
      </c>
      <c r="G1223" s="43" t="b">
        <f>AND(CB1223&gt;Driver!$F$55,CB1223&lt;Driver!$G$55)</f>
        <v>0</v>
      </c>
      <c r="H1223" s="43" t="b">
        <f t="shared" si="666"/>
        <v>0</v>
      </c>
      <c r="I1223" s="43">
        <f t="shared" si="667"/>
        <v>0</v>
      </c>
      <c r="J1223" s="43" t="b">
        <f t="array" ref="J1223">NOT(OR(($H$9:$H$1273=TRUE)*($I$9:$I$1273&gt;0)*($BT$9:$BT$1273=BT1223)*($K$9:$K$1273&gt;K1223)))</f>
        <v>1</v>
      </c>
      <c r="K1223" s="72">
        <f t="shared" si="668"/>
        <v>0.72544542839877579</v>
      </c>
      <c r="L1223" s="72">
        <f t="shared" si="669"/>
        <v>0.91137838116248449</v>
      </c>
      <c r="M1223" s="72">
        <f t="shared" si="670"/>
        <v>0.5395124756350671</v>
      </c>
      <c r="N1223" s="72">
        <f t="shared" si="671"/>
        <v>0.43053112044488318</v>
      </c>
      <c r="O1223" s="72">
        <f t="shared" si="672"/>
        <v>0.62410552462859781</v>
      </c>
      <c r="P1223" s="72">
        <f t="shared" si="673"/>
        <v>0.5639007818317201</v>
      </c>
      <c r="Q1223" s="72"/>
      <c r="R1223" s="72"/>
      <c r="S1223" s="72">
        <f t="shared" si="674"/>
        <v>0.6275151108532484</v>
      </c>
      <c r="T1223" s="72">
        <f t="shared" si="675"/>
        <v>0.72003965302008488</v>
      </c>
      <c r="U1223" s="72">
        <f t="shared" si="676"/>
        <v>0.68022415017539273</v>
      </c>
      <c r="V1223" s="72">
        <f t="shared" si="677"/>
        <v>0.51983828546573796</v>
      </c>
      <c r="W1223" s="72">
        <f t="shared" si="678"/>
        <v>0.75815464615787975</v>
      </c>
      <c r="X1223" s="72">
        <f t="shared" si="679"/>
        <v>8.8621618837515459E-2</v>
      </c>
      <c r="Y1223" s="72">
        <f t="shared" si="680"/>
        <v>0.46048752436493295</v>
      </c>
      <c r="Z1223" s="72">
        <f t="shared" si="681"/>
        <v>0.56946887955511682</v>
      </c>
      <c r="AA1223" s="72">
        <f t="shared" si="682"/>
        <v>0.37589447537140219</v>
      </c>
      <c r="AB1223" s="72">
        <f t="shared" si="683"/>
        <v>0.43609921816827996</v>
      </c>
      <c r="AC1223" s="72"/>
      <c r="AD1223" s="72"/>
      <c r="AE1223" s="72">
        <f t="shared" si="684"/>
        <v>0.37248488914675154</v>
      </c>
      <c r="AF1223" s="72">
        <f t="shared" si="685"/>
        <v>0.27996034697991512</v>
      </c>
      <c r="AG1223" s="72">
        <f t="shared" si="686"/>
        <v>0.31977584982460727</v>
      </c>
      <c r="AH1223" s="72">
        <f t="shared" si="687"/>
        <v>0.48016171453426199</v>
      </c>
      <c r="AI1223" s="72">
        <f t="shared" si="688"/>
        <v>0.24184535384212022</v>
      </c>
      <c r="AJ1223" s="72">
        <f>(AV1223-Driver!$K$179)/(Driver!$L$179-Driver!$K$179)</f>
        <v>0.34284102812021588</v>
      </c>
      <c r="AK1223" s="72">
        <f>(AW1223-Driver!$K$180)/(Driver!$L$180-Driver!$K$180)</f>
        <v>0.69948650855732197</v>
      </c>
      <c r="AL1223" s="72">
        <f>(AX1223-Driver!$K$181)/(Driver!$L$181-Driver!$K$181)</f>
        <v>0.67115664326819702</v>
      </c>
      <c r="AM1223" s="72">
        <f>(AY1223-Driver!$K$182)/(Driver!$L$182-Driver!$K$182)</f>
        <v>7.1490545725644172E-2</v>
      </c>
      <c r="AN1223" s="72">
        <f>(AZ1223-Driver!$K$183)/(Driver!$L$183-Driver!$K$183)</f>
        <v>0.69031862745098038</v>
      </c>
      <c r="AO1223" s="72"/>
      <c r="AP1223" s="72"/>
      <c r="AQ1223" s="72">
        <f>(BC1223-Driver!$K$188)/(Driver!$L$188-Driver!$K$188)</f>
        <v>0.24751511085324845</v>
      </c>
      <c r="AR1223" s="72">
        <f>MIN((BD1223-Driver!$K$189)/(Driver!$L$189-Driver!$K$189),100%)</f>
        <v>0.27003965302008492</v>
      </c>
      <c r="AS1223" s="72">
        <f>(BE1223-Driver!$K$190)/(Driver!$L$190-Driver!$K$190)</f>
        <v>0.19022415017539271</v>
      </c>
      <c r="AT1223" s="72">
        <f>(BF1223-Driver!$K$191)/(Driver!$L$191-Driver!$K$191)</f>
        <v>2.9838285465738017E-2</v>
      </c>
      <c r="AU1223" s="72">
        <f>(BG1223-Driver!$K$192)/(Driver!$L$192-Driver!$K$192)</f>
        <v>8.1546461578797889E-3</v>
      </c>
      <c r="AV1223" s="70">
        <f t="shared" si="689"/>
        <v>7.2157780491113819</v>
      </c>
      <c r="AW1223" s="70">
        <f t="shared" si="690"/>
        <v>70.043050961355959</v>
      </c>
      <c r="AX1223" s="70">
        <f t="shared" si="691"/>
        <v>7.0404097894137729</v>
      </c>
      <c r="AY1223" s="70">
        <f>IFERROR(Driver!$K$19/Data!BH1223/Data!BI1223*Data!BK1223*Data!BL1223,"")</f>
        <v>8.752575868827446E-2</v>
      </c>
      <c r="AZ1223" s="70">
        <f t="shared" si="692"/>
        <v>62.915115413253908</v>
      </c>
      <c r="BA1223" s="70"/>
      <c r="BB1223" s="70"/>
      <c r="BC1223" s="70">
        <f t="shared" si="693"/>
        <v>128.38780869671476</v>
      </c>
      <c r="BD1223" s="70">
        <f t="shared" si="694"/>
        <v>25.618853694423358</v>
      </c>
      <c r="BE1223" s="70">
        <f t="shared" si="695"/>
        <v>0.19036860507258599</v>
      </c>
      <c r="BF1223" s="70">
        <f t="shared" si="696"/>
        <v>3.3700247175357179</v>
      </c>
      <c r="BG1223" s="70">
        <f t="shared" si="697"/>
        <v>3.0878692455592223E-2</v>
      </c>
      <c r="BH1223" s="67">
        <f>MAX((CE1223-Driver!$F$200)/(Driver!$G$200-Driver!$F$200)*$BI$1,1)</f>
        <v>7.0404097894137729</v>
      </c>
      <c r="BI1223" s="67">
        <f>MAX($BI$1*(BY1223-Driver!$F$201)/(Driver!$G$201-Driver!$F$201),1)</f>
        <v>8.2911392405063289</v>
      </c>
      <c r="BJ1223" s="67">
        <f>(CB1223-Driver!$F$206)/(Driver!$G$206-Driver!$F$206)*$BI$1</f>
        <v>3.6507936507936507</v>
      </c>
      <c r="BK1223" s="67">
        <f>(CD1223-Driver!$F$203)/(Driver!$G$203-Driver!$F$203)*$BI$1</f>
        <v>3.8990825688073394</v>
      </c>
      <c r="BL1223" s="67">
        <f>MAX((CR1223-Driver!$F$202)/(Driver!$G$202-Driver!$F$202)*$BI$1,1)</f>
        <v>6.5517241379310338</v>
      </c>
      <c r="BM1223" s="67">
        <f>MAX((CH1223-Driver!$F$204)/(Driver!$G$204-Driver!$F$204)*$BI$1,1)</f>
        <v>7.9059829059829054</v>
      </c>
      <c r="BN1223" s="67">
        <f>(CI1223-Driver!$F$205)/(Driver!$G$205-Driver!$F$205)*$BI$1</f>
        <v>7.5882352941176467</v>
      </c>
      <c r="BO1223" s="67">
        <f>(CK1223-Driver!$F$207)/(Driver!$G$207-Driver!$F$207)*$BI$1</f>
        <v>1.6959669079627715</v>
      </c>
      <c r="BP1223" s="67">
        <f>(CM1223-Driver!$F$208)/(Driver!$G$208-Driver!$F$208)*$BI$1</f>
        <v>2.1222222222222222</v>
      </c>
      <c r="BQ1223" s="67">
        <f>(CL1223-Driver!$F$209)/(Driver!$G$209-Driver!$F$209)*$BI$1</f>
        <v>1.71875</v>
      </c>
      <c r="BR1223" s="28" t="s">
        <v>155</v>
      </c>
      <c r="BS1223" s="8" t="s">
        <v>332</v>
      </c>
      <c r="BT1223" s="9" t="s">
        <v>455</v>
      </c>
      <c r="BU1223" s="10">
        <v>186</v>
      </c>
      <c r="BV1223" s="9" t="s">
        <v>158</v>
      </c>
      <c r="BW1223" s="10">
        <v>186</v>
      </c>
      <c r="BX1223" s="10">
        <v>185.2</v>
      </c>
      <c r="BY1223" s="10">
        <v>139</v>
      </c>
      <c r="BZ1223" s="10">
        <v>157</v>
      </c>
      <c r="CA1223" s="10">
        <v>124</v>
      </c>
      <c r="CB1223" s="10">
        <v>87</v>
      </c>
      <c r="CC1223" s="10">
        <v>110</v>
      </c>
      <c r="CD1223" s="10">
        <v>17.899999999999999</v>
      </c>
      <c r="CE1223" s="10">
        <v>2137</v>
      </c>
      <c r="CF1223" s="10">
        <v>0.87</v>
      </c>
      <c r="CG1223" s="10">
        <v>1851</v>
      </c>
      <c r="CH1223" s="10">
        <v>286</v>
      </c>
      <c r="CI1223" s="10">
        <v>162</v>
      </c>
      <c r="CJ1223" s="10">
        <v>54</v>
      </c>
      <c r="CK1223" s="10">
        <v>274</v>
      </c>
      <c r="CL1223" s="10">
        <v>11</v>
      </c>
      <c r="CM1223" s="10">
        <v>191</v>
      </c>
      <c r="CN1223" s="10">
        <v>0.20799999999999999</v>
      </c>
      <c r="CO1223" s="10">
        <v>124</v>
      </c>
      <c r="CP1223" s="10">
        <v>155</v>
      </c>
      <c r="CQ1223" s="10">
        <v>150</v>
      </c>
      <c r="CR1223" s="10">
        <v>8</v>
      </c>
      <c r="CS1223" s="10">
        <v>8.5</v>
      </c>
      <c r="CT1223" s="9" t="s">
        <v>188</v>
      </c>
      <c r="CU1223" s="10"/>
      <c r="CV1223" s="10"/>
      <c r="CW1223" s="10"/>
      <c r="CX1223" t="str">
        <f>INDEX('Data_Price '!AG$2:AG$1266,MATCH(Data!$DN1223,'Data_Price '!$AT$2:$AT$1266,0))</f>
        <v>Nordica Enforcer 88 Skis Â· 2022 Â· 186 cm</v>
      </c>
      <c r="CY1223" t="str">
        <f>INDEX('Data_Price '!AH$2:AH$1266,MATCH(Data!$DN1223,'Data_Price '!$AT$2:$AT$1266,0))</f>
        <v>BlueZone Sports</v>
      </c>
      <c r="CZ1223">
        <f>INDEX('Data_Price '!AI$2:AI$1266,MATCH(Data!$DN1223,'Data_Price '!$AT$2:$AT$1266,0))</f>
        <v>487.49</v>
      </c>
      <c r="DA1223" t="str">
        <f>INDEX('Data_Price '!AJ$2:AJ$1266,MATCH(Data!$DN1223,'Data_Price '!$AT$2:$AT$1266,0))</f>
        <v>https://tinyurl.com/y92u95xn</v>
      </c>
      <c r="DB1223" t="str">
        <f>INDEX('Data_Price '!AK$2:AK$1266,MATCH(Data!$DN1223,'Data_Price '!$AT$2:$AT$1266,0))</f>
        <v>Nordica Enforcer 88 Skis Â· 2022 Â· 186 cm</v>
      </c>
      <c r="DC1223" t="str">
        <f>INDEX('Data_Price '!AL$2:AL$1266,MATCH(Data!$DN1223,'Data_Price '!$AT$2:$AT$1266,0))</f>
        <v>Skirack</v>
      </c>
      <c r="DD1223">
        <f>INDEX('Data_Price '!AM$2:AM$1266,MATCH(Data!$DN1223,'Data_Price '!$AT$2:$AT$1266,0))</f>
        <v>519.96</v>
      </c>
      <c r="DE1223" t="str">
        <f>INDEX('Data_Price '!AN$2:AN$1266,MATCH(Data!$DN1223,'Data_Price '!$AT$2:$AT$1266,0))</f>
        <v>https://tinyurl.com/ya7qh2uz</v>
      </c>
      <c r="DF1223" t="str">
        <f>INDEX('Data_Price '!AO$2:AO$1266,MATCH(Data!$DN1223,'Data_Price '!$AT$2:$AT$1266,0))</f>
        <v>Nordica Enforcer 88 Skis Â· 2022 Â· 186 cm</v>
      </c>
      <c r="DG1223" t="str">
        <f>INDEX('Data_Price '!AP$2:AP$1266,MATCH(Data!$DN1223,'Data_Price '!$AT$2:$AT$1266,0))</f>
        <v>GritrOutdoors</v>
      </c>
      <c r="DH1223">
        <f>INDEX('Data_Price '!AQ$2:AQ$1266,MATCH(Data!$DN1223,'Data_Price '!$AT$2:$AT$1266,0))</f>
        <v>519.99</v>
      </c>
      <c r="DI1223" t="str">
        <f>INDEX('Data_Price '!AR$2:AR$1266,MATCH(Data!$DN1223,'Data_Price '!$AT$2:$AT$1266,0))</f>
        <v>https://tinyurl.com/yd88kfdy</v>
      </c>
      <c r="DJ1223" s="89" t="str">
        <f t="shared" si="698"/>
        <v>https://tinyurl.com/y92u95xn</v>
      </c>
      <c r="DK1223" s="89" t="str">
        <f t="shared" si="699"/>
        <v>https://tinyurl.com/ya7qh2uz</v>
      </c>
      <c r="DL1223" s="89" t="str">
        <f t="shared" si="700"/>
        <v>https://tinyurl.com/yd88kfdy</v>
      </c>
      <c r="DM1223" s="219" t="str">
        <f t="shared" si="701"/>
        <v>Enforcer 88</v>
      </c>
      <c r="DN1223" s="89" t="str">
        <f t="shared" si="702"/>
        <v xml:space="preserve"> NordicaEnforcer 88186 Unisex</v>
      </c>
      <c r="DO1223" s="221"/>
    </row>
    <row r="1224" spans="2:119" ht="15.6" customHeight="1">
      <c r="B1224" s="219" t="b">
        <f t="array" ref="B1224">IF(OR(ISERROR(K1224:P1224)),FALSE,TRUE)</f>
        <v>1</v>
      </c>
      <c r="C1224" s="43" t="b">
        <f>OR(BR1224=Driver!$G$50,Data!BR277=Driver!$H$50)</f>
        <v>1</v>
      </c>
      <c r="D1224" s="43" t="b">
        <f>OR(BV1224=Driver!$G$51,BV1224=Driver!$H$51)</f>
        <v>1</v>
      </c>
      <c r="E1224" s="43" t="b">
        <f>AND(BX1224&gt;Driver!$F$54,BX1224&lt;Driver!$G$54)</f>
        <v>0</v>
      </c>
      <c r="F1224" s="43" t="b">
        <f>CL1224&gt;Driver!$F$56</f>
        <v>1</v>
      </c>
      <c r="G1224" s="43" t="b">
        <f>AND(CB1224&gt;Driver!$F$55,CB1224&lt;Driver!$G$55)</f>
        <v>0</v>
      </c>
      <c r="H1224" s="43" t="b">
        <f t="shared" si="666"/>
        <v>0</v>
      </c>
      <c r="I1224" s="43">
        <f t="shared" si="667"/>
        <v>0</v>
      </c>
      <c r="J1224" s="43" t="b">
        <f t="array" ref="J1224">NOT(OR(($H$9:$H$1273=TRUE)*($I$9:$I$1273&gt;0)*($BT$9:$BT$1273=BT1224)*($K$9:$K$1273&gt;K1224)))</f>
        <v>1</v>
      </c>
      <c r="K1224" s="72">
        <f t="shared" si="668"/>
        <v>0.75205937528473432</v>
      </c>
      <c r="L1224" s="72">
        <f t="shared" si="669"/>
        <v>0.98478100786460354</v>
      </c>
      <c r="M1224" s="72">
        <f t="shared" si="670"/>
        <v>0.5193377427048651</v>
      </c>
      <c r="N1224" s="72">
        <f t="shared" si="671"/>
        <v>0.32365702950704722</v>
      </c>
      <c r="O1224" s="72">
        <f t="shared" si="672"/>
        <v>0.63830672396537047</v>
      </c>
      <c r="P1224" s="72">
        <f t="shared" si="673"/>
        <v>0.59604947464217761</v>
      </c>
      <c r="Q1224" s="72"/>
      <c r="R1224" s="72"/>
      <c r="S1224" s="72">
        <f t="shared" si="674"/>
        <v>0.69509883376578296</v>
      </c>
      <c r="T1224" s="72">
        <f t="shared" si="675"/>
        <v>0.69254722739960617</v>
      </c>
      <c r="U1224" s="72">
        <f t="shared" si="676"/>
        <v>0.51</v>
      </c>
      <c r="V1224" s="72">
        <f t="shared" si="677"/>
        <v>0.49521902093421233</v>
      </c>
      <c r="W1224" s="72">
        <f t="shared" si="678"/>
        <v>0.75317530134012123</v>
      </c>
      <c r="X1224" s="72">
        <f t="shared" si="679"/>
        <v>1.5218992135396403E-2</v>
      </c>
      <c r="Y1224" s="72">
        <f t="shared" si="680"/>
        <v>0.4806622572951349</v>
      </c>
      <c r="Z1224" s="72">
        <f t="shared" si="681"/>
        <v>0.67634297049295278</v>
      </c>
      <c r="AA1224" s="72">
        <f t="shared" si="682"/>
        <v>0.36169327603462953</v>
      </c>
      <c r="AB1224" s="72">
        <f t="shared" si="683"/>
        <v>0.40395052535782244</v>
      </c>
      <c r="AC1224" s="72"/>
      <c r="AD1224" s="72"/>
      <c r="AE1224" s="72">
        <f t="shared" si="684"/>
        <v>0.30490116623421704</v>
      </c>
      <c r="AF1224" s="72">
        <f t="shared" si="685"/>
        <v>0.30745277260039383</v>
      </c>
      <c r="AG1224" s="72">
        <f t="shared" si="686"/>
        <v>0.49</v>
      </c>
      <c r="AH1224" s="72">
        <f t="shared" si="687"/>
        <v>0.50478097906578767</v>
      </c>
      <c r="AI1224" s="72">
        <f t="shared" si="688"/>
        <v>0.24682469865987872</v>
      </c>
      <c r="AJ1224" s="72">
        <f>(AV1224-Driver!$K$179)/(Driver!$L$179-Driver!$K$179)</f>
        <v>0.26943840141809683</v>
      </c>
      <c r="AK1224" s="72">
        <f>(AW1224-Driver!$K$180)/(Driver!$L$180-Driver!$K$180)</f>
        <v>0.67947032835250487</v>
      </c>
      <c r="AL1224" s="72">
        <f>(AX1224-Driver!$K$181)/(Driver!$L$181-Driver!$K$181)</f>
        <v>0.77803073420603297</v>
      </c>
      <c r="AM1224" s="72">
        <f>(AY1224-Driver!$K$182)/(Driver!$L$182-Driver!$K$182)</f>
        <v>8.5691745062416821E-2</v>
      </c>
      <c r="AN1224" s="72">
        <f>(AZ1224-Driver!$K$183)/(Driver!$L$183-Driver!$K$183)</f>
        <v>0.65816993464052287</v>
      </c>
      <c r="AO1224" s="72"/>
      <c r="AP1224" s="72"/>
      <c r="AQ1224" s="72">
        <f>(BC1224-Driver!$K$188)/(Driver!$L$188-Driver!$K$188)</f>
        <v>0.31509883376578296</v>
      </c>
      <c r="AR1224" s="72">
        <f>MIN((BD1224-Driver!$K$189)/(Driver!$L$189-Driver!$K$189),100%)</f>
        <v>0.24254722739960619</v>
      </c>
      <c r="AS1224" s="72">
        <f>(BE1224-Driver!$K$190)/(Driver!$L$190-Driver!$K$190)</f>
        <v>1</v>
      </c>
      <c r="AT1224" s="72">
        <f>(BF1224-Driver!$K$191)/(Driver!$L$191-Driver!$K$191)</f>
        <v>5.2190209342122844E-3</v>
      </c>
      <c r="AU1224" s="72">
        <f>(BG1224-Driver!$K$192)/(Driver!$L$192-Driver!$K$192)</f>
        <v>3.175301340121285E-3</v>
      </c>
      <c r="AV1224" s="70">
        <f t="shared" si="689"/>
        <v>5.670872337539004</v>
      </c>
      <c r="AW1224" s="70">
        <f t="shared" si="690"/>
        <v>68.092296838997228</v>
      </c>
      <c r="AX1224" s="70">
        <f t="shared" si="691"/>
        <v>8.0022766078542968</v>
      </c>
      <c r="AY1224" s="70">
        <f>IFERROR(Driver!$K$19/Data!BH1224/Data!BI1224*Data!BK1224*Data!BL1224,"")</f>
        <v>0.10491226390540534</v>
      </c>
      <c r="AZ1224" s="70">
        <f t="shared" si="692"/>
        <v>59.985107967237525</v>
      </c>
      <c r="BA1224" s="70"/>
      <c r="BB1224" s="70"/>
      <c r="BC1224" s="70">
        <f t="shared" si="693"/>
        <v>163.44395560586568</v>
      </c>
      <c r="BD1224" s="70">
        <f t="shared" si="694"/>
        <v>23.185822740706648</v>
      </c>
      <c r="BE1224" s="70">
        <f t="shared" si="695"/>
        <v>1</v>
      </c>
      <c r="BF1224" s="70">
        <f t="shared" si="696"/>
        <v>0.58945174882208085</v>
      </c>
      <c r="BG1224" s="70">
        <f t="shared" si="697"/>
        <v>1.2023716496967884E-2</v>
      </c>
      <c r="BH1224" s="67">
        <f>MAX((CE1224-Driver!$F$200)/(Driver!$G$200-Driver!$F$200)*$BI$1,1)</f>
        <v>8.0022766078542968</v>
      </c>
      <c r="BI1224" s="67">
        <f>MAX($BI$1*(BY1224-Driver!$F$201)/(Driver!$G$201-Driver!$F$201),1)</f>
        <v>9.6202531645569618</v>
      </c>
      <c r="BJ1224" s="67">
        <f>(CB1224-Driver!$F$206)/(Driver!$G$206-Driver!$F$206)*$BI$1</f>
        <v>3.4920634920634921</v>
      </c>
      <c r="BK1224" s="67">
        <f>(CD1224-Driver!$F$203)/(Driver!$G$203-Driver!$F$203)*$BI$1</f>
        <v>5.0917431192660558</v>
      </c>
      <c r="BL1224" s="67">
        <f>MAX((CR1224-Driver!$F$202)/(Driver!$G$202-Driver!$F$202)*$BI$1,1)</f>
        <v>7.931034482758621</v>
      </c>
      <c r="BM1224" s="67">
        <f>MAX((CH1224-Driver!$F$204)/(Driver!$G$204-Driver!$F$204)*$BI$1,1)</f>
        <v>6.4957264957264957</v>
      </c>
      <c r="BN1224" s="67">
        <f>(CI1224-Driver!$F$205)/(Driver!$G$205-Driver!$F$205)*$BI$1</f>
        <v>6.2352941176470589</v>
      </c>
      <c r="BO1224" s="67">
        <f>(CK1224-Driver!$F$207)/(Driver!$G$207-Driver!$F$207)*$BI$1</f>
        <v>0.91003102378490175</v>
      </c>
      <c r="BP1224" s="67">
        <f>(CM1224-Driver!$F$208)/(Driver!$G$208-Driver!$F$208)*$BI$1</f>
        <v>0.94444444444444442</v>
      </c>
      <c r="BQ1224" s="67">
        <f>(CL1224-Driver!$F$209)/(Driver!$G$209-Driver!$F$209)*$BI$1</f>
        <v>0.625</v>
      </c>
      <c r="BR1224" s="28" t="s">
        <v>155</v>
      </c>
      <c r="BS1224" s="8" t="s">
        <v>317</v>
      </c>
      <c r="BT1224" s="9" t="s">
        <v>630</v>
      </c>
      <c r="BU1224" s="10">
        <v>189</v>
      </c>
      <c r="BV1224" s="9" t="s">
        <v>158</v>
      </c>
      <c r="BW1224" s="10">
        <v>189</v>
      </c>
      <c r="BX1224" s="10">
        <v>188.1</v>
      </c>
      <c r="BY1224" s="10">
        <v>160</v>
      </c>
      <c r="BZ1224" s="10">
        <v>165</v>
      </c>
      <c r="CA1224" s="10">
        <v>127</v>
      </c>
      <c r="CB1224" s="10">
        <v>86</v>
      </c>
      <c r="CC1224" s="10">
        <v>109</v>
      </c>
      <c r="CD1224" s="10">
        <v>20.5</v>
      </c>
      <c r="CE1224" s="10">
        <v>2306</v>
      </c>
      <c r="CF1224" s="10">
        <v>0.8</v>
      </c>
      <c r="CG1224" s="10">
        <v>1848</v>
      </c>
      <c r="CH1224" s="10">
        <v>253</v>
      </c>
      <c r="CI1224" s="10">
        <v>139</v>
      </c>
      <c r="CJ1224" s="10">
        <v>54</v>
      </c>
      <c r="CK1224" s="10">
        <v>198</v>
      </c>
      <c r="CL1224" s="10">
        <v>4</v>
      </c>
      <c r="CM1224" s="10">
        <v>85</v>
      </c>
      <c r="CN1224" s="10">
        <v>7.8E-2</v>
      </c>
      <c r="CO1224" s="10">
        <v>123</v>
      </c>
      <c r="CP1224" s="10">
        <v>104</v>
      </c>
      <c r="CQ1224" s="10">
        <v>75</v>
      </c>
      <c r="CR1224" s="10">
        <v>12</v>
      </c>
      <c r="CS1224" s="10">
        <v>11</v>
      </c>
      <c r="CT1224" s="9" t="s">
        <v>188</v>
      </c>
      <c r="CU1224" s="10"/>
      <c r="CV1224" s="10"/>
      <c r="CW1224" s="10"/>
      <c r="CX1224" t="str">
        <f>INDEX('Data_Price '!AG$2:AG$1266,MATCH(Data!$DN1224,'Data_Price '!$AT$2:$AT$1266,0))</f>
        <v>Blizzard Brahma 88 20/21</v>
      </c>
      <c r="CY1224" t="str">
        <f>INDEX('Data_Price '!AH$2:AH$1266,MATCH(Data!$DN1224,'Data_Price '!$AT$2:$AT$1266,0))</f>
        <v>Telemark Pyrenees</v>
      </c>
      <c r="CZ1224">
        <f>INDEX('Data_Price '!AI$2:AI$1266,MATCH(Data!$DN1224,'Data_Price '!$AT$2:$AT$1266,0))</f>
        <v>394.15</v>
      </c>
      <c r="DA1224" t="str">
        <f>INDEX('Data_Price '!AJ$2:AJ$1266,MATCH(Data!$DN1224,'Data_Price '!$AT$2:$AT$1266,0))</f>
        <v>https://tinyurl.com/y84zpmp8</v>
      </c>
      <c r="DB1224" t="str">
        <f>INDEX('Data_Price '!AK$2:AK$1266,MATCH(Data!$DN1224,'Data_Price '!$AT$2:$AT$1266,0))</f>
        <v>Blizzard Men's Brahma 88 Alpine Ski 2022 189</v>
      </c>
      <c r="DC1224" t="str">
        <f>INDEX('Data_Price '!AL$2:AL$1266,MATCH(Data!$DN1224,'Data_Price '!$AT$2:$AT$1266,0))</f>
        <v>Boyne Country Sports</v>
      </c>
      <c r="DD1224">
        <f>INDEX('Data_Price '!AM$2:AM$1266,MATCH(Data!$DN1224,'Data_Price '!$AT$2:$AT$1266,0))</f>
        <v>699.95</v>
      </c>
      <c r="DE1224" t="str">
        <f>INDEX('Data_Price '!AN$2:AN$1266,MATCH(Data!$DN1224,'Data_Price '!$AT$2:$AT$1266,0))</f>
        <v>https://tinyurl.com/y9hegnr4</v>
      </c>
      <c r="DF1224" t="str">
        <f>INDEX('Data_Price '!AO$2:AO$1266,MATCH(Data!$DN1224,'Data_Price '!$AT$2:$AT$1266,0))</f>
        <v>Blizzard Brahma 88 Skis W/ Warden 13 Bindings 2021 - 189cm - No-Binding Mounting</v>
      </c>
      <c r="DG1224" t="str">
        <f>INDEX('Data_Price '!AP$2:AP$1266,MATCH(Data!$DN1224,'Data_Price '!$AT$2:$AT$1266,0))</f>
        <v>ColoradoSkiShop.com</v>
      </c>
      <c r="DH1224">
        <f>INDEX('Data_Price '!AQ$2:AQ$1266,MATCH(Data!$DN1224,'Data_Price '!$AT$2:$AT$1266,0))</f>
        <v>799.99</v>
      </c>
      <c r="DI1224" t="str">
        <f>INDEX('Data_Price '!AR$2:AR$1266,MATCH(Data!$DN1224,'Data_Price '!$AT$2:$AT$1266,0))</f>
        <v>https://tinyurl.com/y7p4hxj6</v>
      </c>
      <c r="DJ1224" s="89" t="str">
        <f t="shared" si="698"/>
        <v>https://tinyurl.com/y84zpmp8</v>
      </c>
      <c r="DK1224" s="89" t="str">
        <f t="shared" si="699"/>
        <v>https://tinyurl.com/y9hegnr4</v>
      </c>
      <c r="DL1224" s="89" t="str">
        <f t="shared" si="700"/>
        <v>https://tinyurl.com/y7p4hxj6</v>
      </c>
      <c r="DM1224" s="219" t="str">
        <f t="shared" si="701"/>
        <v>Brahma 88</v>
      </c>
      <c r="DN1224" s="89" t="str">
        <f t="shared" si="702"/>
        <v xml:space="preserve"> BlizzardBrahma 88189 Unisex</v>
      </c>
      <c r="DO1224" s="221"/>
    </row>
    <row r="1225" spans="2:119" ht="15.6" customHeight="1">
      <c r="B1225" s="219" t="b">
        <f t="array" ref="B1225">IF(OR(ISERROR(K1225:P1225)),FALSE,TRUE)</f>
        <v>1</v>
      </c>
      <c r="C1225" s="43" t="b">
        <f>OR(BR1225=Driver!$G$50,Data!BR554=Driver!$H$50)</f>
        <v>1</v>
      </c>
      <c r="D1225" s="43" t="b">
        <f>OR(BV1225=Driver!$G$51,BV1225=Driver!$H$51)</f>
        <v>1</v>
      </c>
      <c r="E1225" s="43" t="b">
        <f>AND(BX1225&gt;Driver!$F$54,BX1225&lt;Driver!$G$54)</f>
        <v>1</v>
      </c>
      <c r="F1225" s="43" t="b">
        <f>CL1225&gt;Driver!$F$56</f>
        <v>1</v>
      </c>
      <c r="G1225" s="43" t="b">
        <f>AND(CB1225&gt;Driver!$F$55,CB1225&lt;Driver!$G$55)</f>
        <v>0</v>
      </c>
      <c r="H1225" s="43" t="b">
        <f t="shared" ref="H1225:H1288" si="703">AND(B1225:G1225)</f>
        <v>0</v>
      </c>
      <c r="I1225" s="43">
        <f t="shared" ref="I1225:I1273" si="704">COUNTIFS($H$9:$H$1273,TRUE,$BT$9:$BT$1273,BT1225)</f>
        <v>0</v>
      </c>
      <c r="J1225" s="43" t="b">
        <f t="array" ref="J1225">NOT(OR(($H$9:$H$1273=TRUE)*($I$9:$I$1273&gt;0)*($BT$9:$BT$1273=BT1225)*($K$9:$K$1273&gt;K1225)))</f>
        <v>1</v>
      </c>
      <c r="K1225" s="72">
        <f t="shared" ref="K1225:K1273" si="705">IFERROR(1-AVERAGE(X1225:Y1225),"")</f>
        <v>0.84109072433995191</v>
      </c>
      <c r="L1225" s="72">
        <f t="shared" ref="L1225:L1273" si="706">1-X1225</f>
        <v>0.80045789311033799</v>
      </c>
      <c r="M1225" s="72">
        <f t="shared" ref="M1225:M1273" si="707">1-Y1225</f>
        <v>0.88172355556956583</v>
      </c>
      <c r="N1225" s="72">
        <f t="shared" ref="N1225:N1273" si="708">1-Z1225</f>
        <v>0.93454824463448194</v>
      </c>
      <c r="O1225" s="72">
        <f t="shared" ref="O1225:O1273" si="709">1-AA1225</f>
        <v>0.88984183135691608</v>
      </c>
      <c r="P1225" s="72">
        <f t="shared" ref="P1225:P1273" si="710">1-AB1225</f>
        <v>0.82078059071729959</v>
      </c>
      <c r="Q1225" s="72"/>
      <c r="R1225" s="72"/>
      <c r="S1225" s="72">
        <f t="shared" ref="S1225:S1273" si="711">1-AE1225</f>
        <v>0.40563898182147351</v>
      </c>
      <c r="T1225" s="72">
        <f t="shared" ref="T1225:T1273" si="712">1-AF1225</f>
        <v>0.43405113271917217</v>
      </c>
      <c r="U1225" s="72">
        <f t="shared" ref="U1225:U1273" si="713">1-AG1225</f>
        <v>0.51</v>
      </c>
      <c r="V1225" s="72">
        <f t="shared" ref="V1225:V1273" si="714">1-AH1225</f>
        <v>0.52111855974272836</v>
      </c>
      <c r="W1225" s="72">
        <f t="shared" ref="W1225:W1273" si="715">1-AI1225</f>
        <v>0.90557939914163088</v>
      </c>
      <c r="X1225" s="72">
        <f t="shared" ref="X1225:X1273" si="716">ABS(AJ1225-AJ$1)</f>
        <v>0.19954210688966201</v>
      </c>
      <c r="Y1225" s="72">
        <f t="shared" ref="Y1225:Y1288" si="717">AVERAGE(Z1225:AB1225)</f>
        <v>0.11827644443043413</v>
      </c>
      <c r="Z1225" s="72">
        <f t="shared" ref="Z1225:Z1273" si="718">ABS(AL1225-AL$1)</f>
        <v>6.5451755365518047E-2</v>
      </c>
      <c r="AA1225" s="72">
        <f t="shared" ref="AA1225:AA1273" si="719">ABS(AM1225-AM$1)</f>
        <v>0.11015816864308392</v>
      </c>
      <c r="AB1225" s="72">
        <f t="shared" ref="AB1225:AB1273" si="720">ABS(AN1225-AN$1)</f>
        <v>0.17921940928270041</v>
      </c>
      <c r="AC1225" s="72"/>
      <c r="AD1225" s="72"/>
      <c r="AE1225" s="72">
        <f t="shared" ref="AE1225:AE1273" si="721">ABS(AQ$1-AQ1225)</f>
        <v>0.59436101817852649</v>
      </c>
      <c r="AF1225" s="72">
        <f t="shared" ref="AF1225:AF1273" si="722">ABS(AR$1-AR1225)</f>
        <v>0.56594886728082783</v>
      </c>
      <c r="AG1225" s="72">
        <f t="shared" ref="AG1225:AG1273" si="723">ABS(AS$1-AS1225)</f>
        <v>0.49</v>
      </c>
      <c r="AH1225" s="72">
        <f t="shared" ref="AH1225:AH1273" si="724">ABS(AT$1-AT1225)</f>
        <v>0.47888144025727164</v>
      </c>
      <c r="AI1225" s="72">
        <f t="shared" ref="AI1225:AI1273" si="725">ABS(AU$1-AU1225)</f>
        <v>9.4420600858369119E-2</v>
      </c>
      <c r="AJ1225" s="72">
        <f>(AV1225-Driver!$K$179)/(Driver!$L$179-Driver!$K$179)</f>
        <v>5.4677302393038425E-2</v>
      </c>
      <c r="AK1225" s="72">
        <f>(AW1225-Driver!$K$180)/(Driver!$L$180-Driver!$K$180)</f>
        <v>6.877302603208435E-2</v>
      </c>
      <c r="AL1225" s="72">
        <f>(AX1225-Driver!$K$181)/(Driver!$L$181-Driver!$K$181)</f>
        <v>3.6236008347562132E-2</v>
      </c>
      <c r="AM1225" s="72">
        <f>(AY1225-Driver!$K$182)/(Driver!$L$182-Driver!$K$182)</f>
        <v>0.33722685245396244</v>
      </c>
      <c r="AN1225" s="72">
        <f>(AZ1225-Driver!$K$183)/(Driver!$L$183-Driver!$K$183)</f>
        <v>7.4999999999999997E-2</v>
      </c>
      <c r="AO1225" s="72"/>
      <c r="AP1225" s="72"/>
      <c r="AQ1225" s="72">
        <f>(BC1225-Driver!$K$188)/(Driver!$L$188-Driver!$K$188)</f>
        <v>2.5638981821473547E-2</v>
      </c>
      <c r="AR1225" s="72">
        <f>MIN((BD1225-Driver!$K$189)/(Driver!$L$189-Driver!$K$189),100%)</f>
        <v>-1.5948867280827811E-2</v>
      </c>
      <c r="AS1225" s="72">
        <f>(BE1225-Driver!$K$190)/(Driver!$L$190-Driver!$K$190)</f>
        <v>1</v>
      </c>
      <c r="AT1225" s="72">
        <f>(BF1225-Driver!$K$191)/(Driver!$L$191-Driver!$K$191)</f>
        <v>3.1118559742728362E-2</v>
      </c>
      <c r="AU1225" s="72">
        <f>(BG1225-Driver!$K$192)/(Driver!$L$192-Driver!$K$192)</f>
        <v>0.15557939914163088</v>
      </c>
      <c r="AV1225" s="70">
        <f t="shared" ref="AV1225:AV1273" si="726">IFERROR(BM1225*BJ1225^1/4,"")</f>
        <v>1.1507936507936507</v>
      </c>
      <c r="AW1225" s="70">
        <f t="shared" ref="AW1225:AW1288" si="727">IFERROR(SUM(AX1225:AZ1225),"")</f>
        <v>8.5744333992878303</v>
      </c>
      <c r="AX1225" s="70">
        <f t="shared" ref="AX1225:AX1273" si="728">IFERROR(BH1225,"")</f>
        <v>1.3261240751280592</v>
      </c>
      <c r="AY1225" s="70">
        <f>IFERROR(Driver!$K$19/Data!BH1225/Data!BI1225*Data!BK1225*Data!BL1225,"")</f>
        <v>0.41286628618508703</v>
      </c>
      <c r="AZ1225" s="70">
        <f t="shared" ref="AZ1225:AZ1273" si="729">IFERROR(BI1225*BN1225,"")</f>
        <v>6.8354430379746836</v>
      </c>
      <c r="BA1225" s="70"/>
      <c r="BB1225" s="70"/>
      <c r="BC1225" s="70">
        <f t="shared" ref="BC1225:BC1273" si="730">IFERROR(BI1225*BN1225*BK1225/BJ1225^(1/2),"")</f>
        <v>13.299118110108273</v>
      </c>
      <c r="BD1225" s="70">
        <f t="shared" ref="BD1225:BD1273" si="731">IFERROR(BH1225*BM1225*BL1225/BJ1225/BK1225,"")</f>
        <v>0.30937638946507162</v>
      </c>
      <c r="BE1225" s="70">
        <f t="shared" ref="BE1225:BE1273" si="732">IFERROR(MIN(BI1225/BQ1225/BP1225/BO1225/BH1225,$BE$1),"")</f>
        <v>1</v>
      </c>
      <c r="BF1225" s="70">
        <f t="shared" ref="BF1225:BF1273" si="733">IFERROR(BJ1225*BO1225*BP1225/BK1225,"")</f>
        <v>3.5146227026859318</v>
      </c>
      <c r="BG1225" s="70">
        <f t="shared" ref="BG1225:BG1288" si="734">IFERROR(1/BM1225/BH1225*BQ1225,"")</f>
        <v>0.58912285407725318</v>
      </c>
      <c r="BH1225" s="67">
        <f>MAX((CE1225-Driver!$F$200)/(Driver!$G$200-Driver!$F$200)*$BI$1,1)</f>
        <v>1.3261240751280592</v>
      </c>
      <c r="BI1225" s="67">
        <f>MAX($BI$1*(BY1225-Driver!$F$201)/(Driver!$G$201-Driver!$F$201),1)</f>
        <v>6.8354430379746836</v>
      </c>
      <c r="BJ1225" s="67">
        <f>(CB1225-Driver!$F$206)/(Driver!$G$206-Driver!$F$206)*$BI$1</f>
        <v>4.6031746031746028</v>
      </c>
      <c r="BK1225" s="67">
        <f>(CD1225-Driver!$F$203)/(Driver!$G$203-Driver!$F$203)*$BI$1</f>
        <v>4.1743119266055047</v>
      </c>
      <c r="BL1225" s="67">
        <f>MAX((CR1225-Driver!$F$202)/(Driver!$G$202-Driver!$F$202)*$BI$1,1)</f>
        <v>4.4827586206896548</v>
      </c>
      <c r="BM1225" s="67">
        <f>MAX((CH1225-Driver!$F$204)/(Driver!$G$204-Driver!$F$204)*$BI$1,1)</f>
        <v>1</v>
      </c>
      <c r="BN1225" s="67">
        <f>(CI1225-Driver!$F$205)/(Driver!$G$205-Driver!$F$205)*$BI$1</f>
        <v>1</v>
      </c>
      <c r="BO1225" s="67">
        <f>(CK1225-Driver!$F$207)/(Driver!$G$207-Driver!$F$207)*$BI$1</f>
        <v>2.0785935884177871</v>
      </c>
      <c r="BP1225" s="67">
        <f>(CM1225-Driver!$F$208)/(Driver!$G$208-Driver!$F$208)*$BI$1</f>
        <v>1.5333333333333332</v>
      </c>
      <c r="BQ1225" s="67">
        <f>(CL1225-Driver!$F$209)/(Driver!$G$209-Driver!$F$209)*$BI$1</f>
        <v>0.78125</v>
      </c>
      <c r="BR1225" s="28" t="s">
        <v>155</v>
      </c>
      <c r="BS1225" s="8" t="s">
        <v>245</v>
      </c>
      <c r="BT1225" s="9" t="s">
        <v>616</v>
      </c>
      <c r="BU1225" s="10">
        <v>162</v>
      </c>
      <c r="BV1225" s="9" t="s">
        <v>158</v>
      </c>
      <c r="BW1225" s="10">
        <v>162</v>
      </c>
      <c r="BX1225" s="10">
        <v>161</v>
      </c>
      <c r="BY1225" s="10">
        <v>116</v>
      </c>
      <c r="BZ1225" s="10">
        <v>138</v>
      </c>
      <c r="CA1225" s="10">
        <v>124</v>
      </c>
      <c r="CB1225" s="10">
        <v>93</v>
      </c>
      <c r="CC1225" s="10">
        <v>111</v>
      </c>
      <c r="CD1225" s="10">
        <v>18.5</v>
      </c>
      <c r="CE1225" s="10">
        <v>1133</v>
      </c>
      <c r="CF1225" s="10">
        <v>1.45</v>
      </c>
      <c r="CG1225" s="10">
        <v>1640</v>
      </c>
      <c r="CH1225" s="10">
        <v>118</v>
      </c>
      <c r="CI1225" s="10">
        <v>50</v>
      </c>
      <c r="CJ1225" s="10">
        <v>58</v>
      </c>
      <c r="CK1225" s="10">
        <v>311</v>
      </c>
      <c r="CL1225" s="10">
        <v>5</v>
      </c>
      <c r="CM1225" s="10">
        <v>138</v>
      </c>
      <c r="CN1225" s="10">
        <v>8.5000000000000006E-2</v>
      </c>
      <c r="CO1225" s="10">
        <v>150</v>
      </c>
      <c r="CP1225" s="10">
        <v>76</v>
      </c>
      <c r="CQ1225" s="10">
        <v>161</v>
      </c>
      <c r="CR1225" s="10">
        <v>2</v>
      </c>
      <c r="CS1225" s="10">
        <v>10</v>
      </c>
      <c r="CT1225" s="9" t="s">
        <v>185</v>
      </c>
      <c r="CU1225" s="9" t="s">
        <v>198</v>
      </c>
      <c r="CV1225" s="10"/>
      <c r="CW1225" s="10"/>
      <c r="CX1225" t="str">
        <f>INDEX('Data_Price '!AG$2:AG$1266,MATCH(Data!$DN1225,'Data_Price '!$AT$2:$AT$1266,0))</f>
        <v>2022 Fischer Hannibal 96 Carbon Skis Mounted W/ Kingpin 13 284mm 162cm</v>
      </c>
      <c r="CY1225" t="str">
        <f>INDEX('Data_Price '!AH$2:AH$1266,MATCH(Data!$DN1225,'Data_Price '!$AT$2:$AT$1266,0))</f>
        <v>eBay - david110549</v>
      </c>
      <c r="CZ1225">
        <f>INDEX('Data_Price '!AI$2:AI$1266,MATCH(Data!$DN1225,'Data_Price '!$AT$2:$AT$1266,0))</f>
        <v>1049.95</v>
      </c>
      <c r="DA1225" t="str">
        <f>INDEX('Data_Price '!AJ$2:AJ$1266,MATCH(Data!$DN1225,'Data_Price '!$AT$2:$AT$1266,0))</f>
        <v>https://tinyurl.com/y7gxteft</v>
      </c>
      <c r="DB1225" t="str">
        <f>INDEX('Data_Price '!AK$2:AK$1266,MATCH(Data!$DN1225,'Data_Price '!$AT$2:$AT$1266,0))</f>
        <v>Fischer Hannibal 96 Kit 162</v>
      </c>
      <c r="DC1225" t="str">
        <f>INDEX('Data_Price '!AL$2:AL$1266,MATCH(Data!$DN1225,'Data_Price '!$AT$2:$AT$1266,0))</f>
        <v>Ski The Whites</v>
      </c>
      <c r="DD1225">
        <f>INDEX('Data_Price '!AM$2:AM$1266,MATCH(Data!$DN1225,'Data_Price '!$AT$2:$AT$1266,0))</f>
        <v>1250</v>
      </c>
      <c r="DE1225" t="str">
        <f>INDEX('Data_Price '!AN$2:AN$1266,MATCH(Data!$DN1225,'Data_Price '!$AT$2:$AT$1266,0))</f>
        <v>https://tinyurl.com/ycv2kp3h</v>
      </c>
      <c r="DF1225" t="str">
        <f>INDEX('Data_Price '!AO$2:AO$1266,MATCH(Data!$DN1225,'Data_Price '!$AT$2:$AT$1266,0))</f>
        <v>Fischer Hannibal 96 Carbon Ski - 162cm</v>
      </c>
      <c r="DG1225" t="str">
        <f>INDEX('Data_Price '!AP$2:AP$1266,MATCH(Data!$DN1225,'Data_Price '!$AT$2:$AT$1266,0))</f>
        <v>JANS Mountain Outfitters</v>
      </c>
      <c r="DH1225">
        <f>INDEX('Data_Price '!AQ$2:AQ$1266,MATCH(Data!$DN1225,'Data_Price '!$AT$2:$AT$1266,0))</f>
        <v>450</v>
      </c>
      <c r="DI1225" t="str">
        <f>INDEX('Data_Price '!AR$2:AR$1266,MATCH(Data!$DN1225,'Data_Price '!$AT$2:$AT$1266,0))</f>
        <v>https://tinyurl.com/ybtf8zhc</v>
      </c>
      <c r="DJ1225" s="89" t="str">
        <f t="shared" ref="DJ1225:DJ1273" si="735">DA1225</f>
        <v>https://tinyurl.com/y7gxteft</v>
      </c>
      <c r="DK1225" s="89" t="str">
        <f t="shared" ref="DK1225:DK1273" si="736">DE1225</f>
        <v>https://tinyurl.com/ycv2kp3h</v>
      </c>
      <c r="DL1225" s="89" t="str">
        <f t="shared" ref="DL1225:DL1273" si="737">DI1225</f>
        <v>https://tinyurl.com/ybtf8zhc</v>
      </c>
      <c r="DM1225" s="219" t="str">
        <f t="shared" ref="DM1225:DM1273" si="738">IF(LEFT(BT1225,1)=" ",RIGHT(BT1225,LEN(BT1225)-1),BT1225)</f>
        <v>Hannibal 96</v>
      </c>
      <c r="DN1225" s="89" t="str">
        <f t="shared" ref="DN1225:DN1288" si="739">_xlfn.CONCAT(BS1225,DM1225,BU1225,BV1225)</f>
        <v xml:space="preserve"> FischerHannibal 96162 Unisex</v>
      </c>
      <c r="DO1225" s="221" t="s">
        <v>617</v>
      </c>
    </row>
    <row r="1226" spans="2:119" ht="15.6" customHeight="1">
      <c r="B1226" s="219" t="b">
        <f t="array" ref="B1226">IF(OR(ISERROR(K1226:P1226)),FALSE,TRUE)</f>
        <v>1</v>
      </c>
      <c r="C1226" s="43" t="b">
        <f>OR(BR1226=Driver!$G$50,Data!BR322=Driver!$H$50)</f>
        <v>1</v>
      </c>
      <c r="D1226" s="43" t="b">
        <f>OR(BV1226=Driver!$G$51,BV1226=Driver!$H$51)</f>
        <v>1</v>
      </c>
      <c r="E1226" s="43" t="b">
        <f>AND(BX1226&gt;Driver!$F$54,BX1226&lt;Driver!$G$54)</f>
        <v>0</v>
      </c>
      <c r="F1226" s="43" t="b">
        <f>CL1226&gt;Driver!$F$56</f>
        <v>1</v>
      </c>
      <c r="G1226" s="43" t="b">
        <f>AND(CB1226&gt;Driver!$F$55,CB1226&lt;Driver!$G$55)</f>
        <v>0</v>
      </c>
      <c r="H1226" s="43" t="b">
        <f t="shared" si="703"/>
        <v>0</v>
      </c>
      <c r="I1226" s="43">
        <f t="shared" si="704"/>
        <v>0</v>
      </c>
      <c r="J1226" s="43" t="b">
        <f t="array" ref="J1226">NOT(OR(($H$9:$H$1273=TRUE)*($I$9:$I$1273&gt;0)*($BT$9:$BT$1273=BT1226)*($K$9:$K$1273&gt;K1226)))</f>
        <v>1</v>
      </c>
      <c r="K1226" s="72">
        <f t="shared" si="705"/>
        <v>0.8441473843710825</v>
      </c>
      <c r="L1226" s="72">
        <f t="shared" si="706"/>
        <v>0.80234331733078756</v>
      </c>
      <c r="M1226" s="72">
        <f t="shared" si="707"/>
        <v>0.88595145141137754</v>
      </c>
      <c r="N1226" s="72">
        <f t="shared" si="708"/>
        <v>0.89831223628691981</v>
      </c>
      <c r="O1226" s="72">
        <f t="shared" si="709"/>
        <v>0.96837754030180856</v>
      </c>
      <c r="P1226" s="72">
        <f t="shared" si="710"/>
        <v>0.79116457764540415</v>
      </c>
      <c r="Q1226" s="72"/>
      <c r="R1226" s="72"/>
      <c r="S1226" s="72">
        <f t="shared" si="711"/>
        <v>0.39709584619055638</v>
      </c>
      <c r="T1226" s="72">
        <f t="shared" si="712"/>
        <v>0.43996344837468193</v>
      </c>
      <c r="U1226" s="72">
        <f t="shared" si="713"/>
        <v>0.51</v>
      </c>
      <c r="V1226" s="72">
        <f t="shared" si="714"/>
        <v>0.50462404332272115</v>
      </c>
      <c r="W1226" s="72">
        <f t="shared" si="715"/>
        <v>0.97766078542970969</v>
      </c>
      <c r="X1226" s="72">
        <f t="shared" si="716"/>
        <v>0.19765668266921241</v>
      </c>
      <c r="Y1226" s="72">
        <f t="shared" si="717"/>
        <v>0.1140485485886225</v>
      </c>
      <c r="Z1226" s="72">
        <f t="shared" si="718"/>
        <v>0.10168776371308018</v>
      </c>
      <c r="AA1226" s="72">
        <f t="shared" si="719"/>
        <v>3.1622459698191441E-2</v>
      </c>
      <c r="AB1226" s="72">
        <f t="shared" si="720"/>
        <v>0.20883542235459585</v>
      </c>
      <c r="AC1226" s="72"/>
      <c r="AD1226" s="72"/>
      <c r="AE1226" s="72">
        <f t="shared" si="721"/>
        <v>0.60290415380944362</v>
      </c>
      <c r="AF1226" s="72">
        <f t="shared" si="722"/>
        <v>0.56003655162531807</v>
      </c>
      <c r="AG1226" s="72">
        <f t="shared" si="723"/>
        <v>0.49</v>
      </c>
      <c r="AH1226" s="72">
        <f t="shared" si="724"/>
        <v>0.49537595667727891</v>
      </c>
      <c r="AI1226" s="72">
        <f t="shared" si="725"/>
        <v>2.2339214570290311E-2</v>
      </c>
      <c r="AJ1226" s="72">
        <f>(AV1226-Driver!$K$179)/(Driver!$L$179-Driver!$K$179)</f>
        <v>5.6562726613488018E-2</v>
      </c>
      <c r="AK1226" s="72">
        <f>(AW1226-Driver!$K$180)/(Driver!$L$180-Driver!$K$180)</f>
        <v>3.9512236457857682E-2</v>
      </c>
      <c r="AL1226" s="72">
        <f>(AX1226-Driver!$K$181)/(Driver!$L$181-Driver!$K$181)</f>
        <v>0</v>
      </c>
      <c r="AM1226" s="72">
        <f>(AY1226-Driver!$K$182)/(Driver!$L$182-Driver!$K$182)</f>
        <v>0.47900748079523781</v>
      </c>
      <c r="AN1226" s="72">
        <f>(AZ1226-Driver!$K$183)/(Driver!$L$183-Driver!$K$183)</f>
        <v>4.538398692810458E-2</v>
      </c>
      <c r="AO1226" s="72"/>
      <c r="AP1226" s="72"/>
      <c r="AQ1226" s="72">
        <f>(BC1226-Driver!$K$188)/(Driver!$L$188-Driver!$K$188)</f>
        <v>1.7095846190556357E-2</v>
      </c>
      <c r="AR1226" s="72">
        <f>MIN((BD1226-Driver!$K$189)/(Driver!$L$189-Driver!$K$189),100%)</f>
        <v>-1.0036551625317991E-2</v>
      </c>
      <c r="AS1226" s="72">
        <f>(BE1226-Driver!$K$190)/(Driver!$L$190-Driver!$K$190)</f>
        <v>1</v>
      </c>
      <c r="AT1226" s="72">
        <f>(BF1226-Driver!$K$191)/(Driver!$L$191-Driver!$K$191)</f>
        <v>1.4624043322721086E-2</v>
      </c>
      <c r="AU1226" s="72">
        <f>(BG1226-Driver!$K$192)/(Driver!$L$192-Driver!$K$192)</f>
        <v>0.27233921457029031</v>
      </c>
      <c r="AV1226" s="70">
        <f t="shared" si="726"/>
        <v>1.1904761904761902</v>
      </c>
      <c r="AW1226" s="70">
        <f t="shared" si="727"/>
        <v>5.7227101783079792</v>
      </c>
      <c r="AX1226" s="70">
        <f t="shared" si="728"/>
        <v>1</v>
      </c>
      <c r="AY1226" s="70">
        <f>IFERROR(Driver!$K$19/Data!BH1226/Data!BI1226*Data!BK1226*Data!BL1226,"")</f>
        <v>0.5864480785313585</v>
      </c>
      <c r="AZ1226" s="70">
        <f t="shared" si="729"/>
        <v>4.1362620997766202</v>
      </c>
      <c r="BA1226" s="70"/>
      <c r="BB1226" s="70"/>
      <c r="BC1226" s="70">
        <f t="shared" si="730"/>
        <v>8.8677342674361519</v>
      </c>
      <c r="BD1226" s="70">
        <f t="shared" si="731"/>
        <v>0.83260584897424683</v>
      </c>
      <c r="BE1226" s="70">
        <f t="shared" si="732"/>
        <v>1</v>
      </c>
      <c r="BF1226" s="70">
        <f t="shared" si="733"/>
        <v>1.6516829535823416</v>
      </c>
      <c r="BG1226" s="70">
        <f t="shared" si="734"/>
        <v>1.0312500000000002</v>
      </c>
      <c r="BH1226" s="67">
        <f>MAX((CE1226-Driver!$F$200)/(Driver!$G$200-Driver!$F$200)*$BI$1,1)</f>
        <v>1</v>
      </c>
      <c r="BI1226" s="67">
        <f>MAX($BI$1*(BY1226-Driver!$F$201)/(Driver!$G$201-Driver!$F$201),1)</f>
        <v>6.3924050632911396</v>
      </c>
      <c r="BJ1226" s="67">
        <f>(CB1226-Driver!$F$206)/(Driver!$G$206-Driver!$F$206)*$BI$1</f>
        <v>2.8571428571428568</v>
      </c>
      <c r="BK1226" s="67">
        <f>(CD1226-Driver!$F$203)/(Driver!$G$203-Driver!$F$203)*$BI$1</f>
        <v>3.623853211009175</v>
      </c>
      <c r="BL1226" s="67">
        <f>MAX((CR1226-Driver!$F$202)/(Driver!$G$202-Driver!$F$202)*$BI$1,1)</f>
        <v>5.1724137931034484</v>
      </c>
      <c r="BM1226" s="67">
        <f>MAX((CH1226-Driver!$F$204)/(Driver!$G$204-Driver!$F$204)*$BI$1,1)</f>
        <v>1.6666666666666665</v>
      </c>
      <c r="BN1226" s="67">
        <f>(CI1226-Driver!$F$205)/(Driver!$G$205-Driver!$F$205)*$BI$1</f>
        <v>0.6470588235294118</v>
      </c>
      <c r="BO1226" s="67">
        <f>(CK1226-Driver!$F$207)/(Driver!$G$207-Driver!$F$207)*$BI$1</f>
        <v>1.0961737331954498</v>
      </c>
      <c r="BP1226" s="67">
        <f>(CM1226-Driver!$F$208)/(Driver!$G$208-Driver!$F$208)*$BI$1</f>
        <v>1.9111111111111112</v>
      </c>
      <c r="BQ1226" s="67">
        <f>(CL1226-Driver!$F$209)/(Driver!$G$209-Driver!$F$209)*$BI$1</f>
        <v>1.71875</v>
      </c>
      <c r="BR1226" s="28" t="s">
        <v>155</v>
      </c>
      <c r="BS1226" s="8" t="s">
        <v>317</v>
      </c>
      <c r="BT1226" s="9" t="s">
        <v>680</v>
      </c>
      <c r="BU1226" s="10">
        <v>150</v>
      </c>
      <c r="BV1226" s="9" t="s">
        <v>158</v>
      </c>
      <c r="BW1226" s="10">
        <v>150</v>
      </c>
      <c r="BX1226" s="10">
        <v>147.6</v>
      </c>
      <c r="BY1226" s="10">
        <v>109</v>
      </c>
      <c r="BZ1226" s="10">
        <v>123</v>
      </c>
      <c r="CA1226" s="10">
        <v>112</v>
      </c>
      <c r="CB1226" s="10">
        <v>82</v>
      </c>
      <c r="CC1226" s="10">
        <v>95</v>
      </c>
      <c r="CD1226" s="10">
        <v>17.3</v>
      </c>
      <c r="CE1226" s="10">
        <v>900</v>
      </c>
      <c r="CF1226" s="10">
        <v>1.49</v>
      </c>
      <c r="CG1226" s="10">
        <v>1337</v>
      </c>
      <c r="CH1226" s="10">
        <v>140</v>
      </c>
      <c r="CI1226" s="10">
        <v>44</v>
      </c>
      <c r="CJ1226" s="10">
        <v>58</v>
      </c>
      <c r="CK1226" s="10">
        <v>216</v>
      </c>
      <c r="CL1226" s="10">
        <v>11</v>
      </c>
      <c r="CM1226" s="10">
        <v>172</v>
      </c>
      <c r="CN1226" s="10">
        <v>0.189</v>
      </c>
      <c r="CO1226" s="10">
        <v>126</v>
      </c>
      <c r="CP1226" s="10">
        <v>121</v>
      </c>
      <c r="CQ1226" s="10">
        <v>90</v>
      </c>
      <c r="CR1226" s="10">
        <v>4</v>
      </c>
      <c r="CS1226" s="10">
        <v>10.1</v>
      </c>
      <c r="CT1226" s="9" t="s">
        <v>185</v>
      </c>
      <c r="CU1226" s="9" t="s">
        <v>198</v>
      </c>
      <c r="CV1226" s="10"/>
      <c r="CW1226" s="10"/>
      <c r="CX1226" t="str">
        <f>INDEX('Data_Price '!AG$2:AG$1266,MATCH(Data!$DN1226,'Data_Price '!$AT$2:$AT$1266,0))</f>
        <v>Blizzard Zero G 85 Light Grey Skis Â· 150 cm</v>
      </c>
      <c r="CY1226" t="str">
        <f>INDEX('Data_Price '!AH$2:AH$1266,MATCH(Data!$DN1226,'Data_Price '!$AT$2:$AT$1266,0))</f>
        <v>Skimo &amp; SkyRun</v>
      </c>
      <c r="CZ1226">
        <f>INDEX('Data_Price '!AI$2:AI$1266,MATCH(Data!$DN1226,'Data_Price '!$AT$2:$AT$1266,0))</f>
        <v>479.96</v>
      </c>
      <c r="DA1226" t="str">
        <f>INDEX('Data_Price '!AJ$2:AJ$1266,MATCH(Data!$DN1226,'Data_Price '!$AT$2:$AT$1266,0))</f>
        <v>https://tinyurl.com/ybnwt726</v>
      </c>
      <c r="DB1226" t="str">
        <f>INDEX('Data_Price '!AK$2:AK$1266,MATCH(Data!$DN1226,'Data_Price '!$AT$2:$AT$1266,0))</f>
        <v>Blizzard Zero G 85 Light Grey Skis Â· 150 cm</v>
      </c>
      <c r="DC1226" t="str">
        <f>INDEX('Data_Price '!AL$2:AL$1266,MATCH(Data!$DN1226,'Data_Price '!$AT$2:$AT$1266,0))</f>
        <v>Backcountry.com</v>
      </c>
      <c r="DD1226">
        <f>INDEX('Data_Price '!AM$2:AM$1266,MATCH(Data!$DN1226,'Data_Price '!$AT$2:$AT$1266,0))</f>
        <v>479.96</v>
      </c>
      <c r="DE1226" t="str">
        <f>INDEX('Data_Price '!AN$2:AN$1266,MATCH(Data!$DN1226,'Data_Price '!$AT$2:$AT$1266,0))</f>
        <v>https://tinyurl.com/yae464hn</v>
      </c>
      <c r="DF1226" t="str">
        <f>INDEX('Data_Price '!AO$2:AO$1266,MATCH(Data!$DN1226,'Data_Price '!$AT$2:$AT$1266,0))</f>
        <v>Blizzard Zero G 85 Light Grey Skis Â· 150 cm</v>
      </c>
      <c r="DG1226" t="str">
        <f>INDEX('Data_Price '!AP$2:AP$1266,MATCH(Data!$DN1226,'Data_Price '!$AT$2:$AT$1266,0))</f>
        <v>Steep &amp; Cheap</v>
      </c>
      <c r="DH1226">
        <f>INDEX('Data_Price '!AQ$2:AQ$1266,MATCH(Data!$DN1226,'Data_Price '!$AT$2:$AT$1266,0))</f>
        <v>479.96</v>
      </c>
      <c r="DI1226" t="str">
        <f>INDEX('Data_Price '!AR$2:AR$1266,MATCH(Data!$DN1226,'Data_Price '!$AT$2:$AT$1266,0))</f>
        <v>https://tinyurl.com/ydb53nda</v>
      </c>
      <c r="DJ1226" s="89" t="str">
        <f t="shared" si="735"/>
        <v>https://tinyurl.com/ybnwt726</v>
      </c>
      <c r="DK1226" s="89" t="str">
        <f t="shared" si="736"/>
        <v>https://tinyurl.com/yae464hn</v>
      </c>
      <c r="DL1226" s="89" t="str">
        <f t="shared" si="737"/>
        <v>https://tinyurl.com/ydb53nda</v>
      </c>
      <c r="DM1226" s="219" t="str">
        <f t="shared" si="738"/>
        <v>Zero G 85</v>
      </c>
      <c r="DN1226" s="89" t="str">
        <f t="shared" si="739"/>
        <v xml:space="preserve"> BlizzardZero G 85150 Unisex</v>
      </c>
      <c r="DO1226" s="221"/>
    </row>
    <row r="1227" spans="2:119" ht="15.6" customHeight="1">
      <c r="B1227" s="219" t="b">
        <f t="array" ref="B1227">IF(OR(ISERROR(K1227:P1227)),FALSE,TRUE)</f>
        <v>1</v>
      </c>
      <c r="C1227" s="43" t="b">
        <f>OR(BR1227=Driver!$G$50,Data!BR345=Driver!$H$50)</f>
        <v>1</v>
      </c>
      <c r="D1227" s="43" t="b">
        <f>OR(BV1227=Driver!$G$51,BV1227=Driver!$H$51)</f>
        <v>1</v>
      </c>
      <c r="E1227" s="43" t="b">
        <f>AND(BX1227&gt;Driver!$F$54,BX1227&lt;Driver!$G$54)</f>
        <v>0</v>
      </c>
      <c r="F1227" s="43" t="b">
        <f>CL1227&gt;Driver!$F$56</f>
        <v>1</v>
      </c>
      <c r="G1227" s="43" t="b">
        <f>AND(CB1227&gt;Driver!$F$55,CB1227&lt;Driver!$G$55)</f>
        <v>1</v>
      </c>
      <c r="H1227" s="43" t="b">
        <f t="shared" si="703"/>
        <v>0</v>
      </c>
      <c r="I1227" s="43">
        <f t="shared" si="704"/>
        <v>0</v>
      </c>
      <c r="J1227" s="43" t="b">
        <f t="array" ref="J1227">NOT(OR(($H$9:$H$1273=TRUE)*($I$9:$I$1273&gt;0)*($BT$9:$BT$1273=BT1227)*($K$9:$K$1273&gt;K1227)))</f>
        <v>1</v>
      </c>
      <c r="K1227" s="72">
        <f t="shared" si="705"/>
        <v>0.52377860059250136</v>
      </c>
      <c r="L1227" s="72">
        <f t="shared" si="706"/>
        <v>0.44380928922791041</v>
      </c>
      <c r="M1227" s="72">
        <f t="shared" si="707"/>
        <v>0.60374791195709232</v>
      </c>
      <c r="N1227" s="72">
        <f t="shared" si="708"/>
        <v>0.43432546686871165</v>
      </c>
      <c r="O1227" s="72">
        <f t="shared" si="709"/>
        <v>0.60738023226888416</v>
      </c>
      <c r="P1227" s="72">
        <f t="shared" si="710"/>
        <v>0.76953803673368082</v>
      </c>
      <c r="Q1227" s="72"/>
      <c r="R1227" s="72"/>
      <c r="S1227" s="72">
        <f t="shared" si="711"/>
        <v>0.46438330465833966</v>
      </c>
      <c r="T1227" s="72">
        <f t="shared" si="712"/>
        <v>0.65312768626884765</v>
      </c>
      <c r="U1227" s="72">
        <f t="shared" si="713"/>
        <v>0.51563527356247618</v>
      </c>
      <c r="V1227" s="72">
        <f t="shared" si="714"/>
        <v>0.71064134531490386</v>
      </c>
      <c r="W1227" s="72">
        <f t="shared" si="715"/>
        <v>0.76803184099243071</v>
      </c>
      <c r="X1227" s="72">
        <f t="shared" si="716"/>
        <v>0.55619071077208959</v>
      </c>
      <c r="Y1227" s="72">
        <f t="shared" si="717"/>
        <v>0.39625208804290774</v>
      </c>
      <c r="Z1227" s="72">
        <f t="shared" si="718"/>
        <v>0.56567453313128835</v>
      </c>
      <c r="AA1227" s="72">
        <f t="shared" si="719"/>
        <v>0.39261976773111579</v>
      </c>
      <c r="AB1227" s="72">
        <f t="shared" si="720"/>
        <v>0.23046196326631924</v>
      </c>
      <c r="AC1227" s="72"/>
      <c r="AD1227" s="72"/>
      <c r="AE1227" s="72">
        <f t="shared" si="721"/>
        <v>0.53561669534166034</v>
      </c>
      <c r="AF1227" s="72">
        <f t="shared" si="722"/>
        <v>0.34687231373115235</v>
      </c>
      <c r="AG1227" s="72">
        <f t="shared" si="723"/>
        <v>0.48436472643752382</v>
      </c>
      <c r="AH1227" s="72">
        <f t="shared" si="724"/>
        <v>0.28935865468509614</v>
      </c>
      <c r="AI1227" s="72">
        <f t="shared" si="725"/>
        <v>0.23196815900756926</v>
      </c>
      <c r="AJ1227" s="72">
        <f>(AV1227-Driver!$K$179)/(Driver!$L$179-Driver!$K$179)</f>
        <v>0.81041012005479007</v>
      </c>
      <c r="AK1227" s="72">
        <f>(AW1227-Driver!$K$180)/(Driver!$L$180-Driver!$K$180)</f>
        <v>0.5066230898416576</v>
      </c>
      <c r="AL1227" s="72">
        <f>(AX1227-Driver!$K$181)/(Driver!$L$181-Driver!$K$181)</f>
        <v>0.66736229684436854</v>
      </c>
      <c r="AM1227" s="72">
        <f>(AY1227-Driver!$K$182)/(Driver!$L$182-Driver!$K$182)</f>
        <v>5.4765253365930563E-2</v>
      </c>
      <c r="AN1227" s="72">
        <f>(AZ1227-Driver!$K$183)/(Driver!$L$183-Driver!$K$183)</f>
        <v>0.48468137254901966</v>
      </c>
      <c r="AO1227" s="72"/>
      <c r="AP1227" s="72"/>
      <c r="AQ1227" s="72">
        <f>(BC1227-Driver!$K$188)/(Driver!$L$188-Driver!$K$188)</f>
        <v>8.4383304658339681E-2</v>
      </c>
      <c r="AR1227" s="72">
        <f>MIN((BD1227-Driver!$K$189)/(Driver!$L$189-Driver!$K$189),100%)</f>
        <v>0.2031276862688477</v>
      </c>
      <c r="AS1227" s="72">
        <f>(BE1227-Driver!$K$190)/(Driver!$L$190-Driver!$K$190)</f>
        <v>2.5635273562476194E-2</v>
      </c>
      <c r="AT1227" s="72">
        <f>(BF1227-Driver!$K$191)/(Driver!$L$191-Driver!$K$191)</f>
        <v>0.2206413453149039</v>
      </c>
      <c r="AU1227" s="72">
        <f>(BG1227-Driver!$K$192)/(Driver!$L$192-Driver!$K$192)</f>
        <v>1.8031840992430739E-2</v>
      </c>
      <c r="AV1227" s="70">
        <f t="shared" si="726"/>
        <v>17.05670872337539</v>
      </c>
      <c r="AW1227" s="70">
        <f t="shared" si="727"/>
        <v>51.246801863776511</v>
      </c>
      <c r="AX1227" s="70">
        <f t="shared" si="728"/>
        <v>7.0062606715993168</v>
      </c>
      <c r="AY1227" s="70">
        <f>IFERROR(Driver!$K$19/Data!BH1227/Data!BI1227*Data!BK1227*Data!BL1227,"")</f>
        <v>6.7049010494393713E-2</v>
      </c>
      <c r="AZ1227" s="70">
        <f t="shared" si="729"/>
        <v>44.173492181682803</v>
      </c>
      <c r="BA1227" s="70"/>
      <c r="BB1227" s="70"/>
      <c r="BC1227" s="70">
        <f t="shared" si="730"/>
        <v>43.770206749497646</v>
      </c>
      <c r="BD1227" s="70">
        <f t="shared" si="731"/>
        <v>19.697263197928326</v>
      </c>
      <c r="BE1227" s="70">
        <f t="shared" si="732"/>
        <v>2.5809089262730508E-2</v>
      </c>
      <c r="BF1227" s="70">
        <f t="shared" si="733"/>
        <v>24.919889860138397</v>
      </c>
      <c r="BG1227" s="70">
        <f t="shared" si="734"/>
        <v>6.8280053068320717E-2</v>
      </c>
      <c r="BH1227" s="67">
        <f>MAX((CE1227-Driver!$F$200)/(Driver!$G$200-Driver!$F$200)*$BI$1,1)</f>
        <v>7.0062606715993168</v>
      </c>
      <c r="BI1227" s="67">
        <f>MAX($BI$1*(BY1227-Driver!$F$201)/(Driver!$G$201-Driver!$F$201),1)</f>
        <v>7.1518987341772151</v>
      </c>
      <c r="BJ1227" s="67">
        <f>(CB1227-Driver!$F$206)/(Driver!$G$206-Driver!$F$206)*$BI$1</f>
        <v>7.4603174603174605</v>
      </c>
      <c r="BK1227" s="67">
        <f>(CD1227-Driver!$F$203)/(Driver!$G$203-Driver!$F$203)*$BI$1</f>
        <v>2.7064220183486243</v>
      </c>
      <c r="BL1227" s="67">
        <f>MAX((CR1227-Driver!$F$202)/(Driver!$G$202-Driver!$F$202)*$BI$1,1)</f>
        <v>6.2068965517241379</v>
      </c>
      <c r="BM1227" s="67">
        <f>MAX((CH1227-Driver!$F$204)/(Driver!$G$204-Driver!$F$204)*$BI$1,1)</f>
        <v>9.1452991452991448</v>
      </c>
      <c r="BN1227" s="67">
        <f>(CI1227-Driver!$F$205)/(Driver!$G$205-Driver!$F$205)*$BI$1</f>
        <v>6.1764705882352944</v>
      </c>
      <c r="BO1227" s="67">
        <f>(CK1227-Driver!$F$207)/(Driver!$G$207-Driver!$F$207)*$BI$1</f>
        <v>2.9162357807652532</v>
      </c>
      <c r="BP1227" s="67">
        <f>(CM1227-Driver!$F$208)/(Driver!$G$208-Driver!$F$208)*$BI$1</f>
        <v>3.1</v>
      </c>
      <c r="BQ1227" s="67">
        <f>(CL1227-Driver!$F$209)/(Driver!$G$209-Driver!$F$209)*$BI$1</f>
        <v>4.375</v>
      </c>
      <c r="BR1227" s="28" t="s">
        <v>155</v>
      </c>
      <c r="BS1227" s="8" t="s">
        <v>218</v>
      </c>
      <c r="BT1227" s="9" t="s">
        <v>273</v>
      </c>
      <c r="BU1227" s="10">
        <v>189</v>
      </c>
      <c r="BV1227" s="9" t="s">
        <v>158</v>
      </c>
      <c r="BW1227" s="10">
        <v>189</v>
      </c>
      <c r="BX1227" s="10">
        <v>187.8</v>
      </c>
      <c r="BY1227" s="10">
        <v>121</v>
      </c>
      <c r="BZ1227" s="10">
        <v>131</v>
      </c>
      <c r="CA1227" s="10">
        <v>141</v>
      </c>
      <c r="CB1227" s="10">
        <v>111</v>
      </c>
      <c r="CC1227" s="10">
        <v>127</v>
      </c>
      <c r="CD1227" s="10">
        <v>15.3</v>
      </c>
      <c r="CE1227" s="10">
        <v>2131</v>
      </c>
      <c r="CF1227" s="10">
        <v>1.07</v>
      </c>
      <c r="CG1227" s="10">
        <v>2278</v>
      </c>
      <c r="CH1227" s="10">
        <v>315</v>
      </c>
      <c r="CI1227" s="10">
        <v>138</v>
      </c>
      <c r="CJ1227" s="10">
        <v>67</v>
      </c>
      <c r="CK1227" s="10">
        <v>392</v>
      </c>
      <c r="CL1227" s="10">
        <v>28</v>
      </c>
      <c r="CM1227" s="10">
        <v>279</v>
      </c>
      <c r="CN1227" s="10">
        <v>0.42</v>
      </c>
      <c r="CO1227" s="10">
        <v>292</v>
      </c>
      <c r="CP1227" s="10">
        <v>279</v>
      </c>
      <c r="CQ1227" s="10">
        <v>100</v>
      </c>
      <c r="CR1227" s="10">
        <v>7</v>
      </c>
      <c r="CS1227" s="10">
        <v>12.6</v>
      </c>
      <c r="CT1227" s="9" t="s">
        <v>169</v>
      </c>
      <c r="CU1227" s="9" t="s">
        <v>185</v>
      </c>
      <c r="CV1227" s="10"/>
      <c r="CW1227" s="10"/>
      <c r="CX1227" t="str">
        <f>INDEX('Data_Price '!AG$2:AG$1266,MATCH(Data!$DN1227,'Data_Price '!$AT$2:$AT$1266,0))</f>
        <v>DPS Pagoda 112 RP Skis Â· 189 cm Â· Yellow</v>
      </c>
      <c r="CY1227" t="str">
        <f>INDEX('Data_Price '!AH$2:AH$1266,MATCH(Data!$DN1227,'Data_Price '!$AT$2:$AT$1266,0))</f>
        <v>Curated</v>
      </c>
      <c r="CZ1227">
        <f>INDEX('Data_Price '!AI$2:AI$1266,MATCH(Data!$DN1227,'Data_Price '!$AT$2:$AT$1266,0))</f>
        <v>1039</v>
      </c>
      <c r="DA1227" t="str">
        <f>INDEX('Data_Price '!AJ$2:AJ$1266,MATCH(Data!$DN1227,'Data_Price '!$AT$2:$AT$1266,0))</f>
        <v>https://tinyurl.com/ybrs6soz</v>
      </c>
      <c r="DB1227" t="str">
        <f>INDEX('Data_Price '!AK$2:AK$1266,MATCH(Data!$DN1227,'Data_Price '!$AT$2:$AT$1266,0))</f>
        <v>DPS Pagoda 112 RP Skis Â· 189 cm Â· Yellow</v>
      </c>
      <c r="DC1227" t="str">
        <f>INDEX('Data_Price '!AL$2:AL$1266,MATCH(Data!$DN1227,'Data_Price '!$AT$2:$AT$1266,0))</f>
        <v>Teton Wasatch Ski Co.</v>
      </c>
      <c r="DD1227">
        <f>INDEX('Data_Price '!AM$2:AM$1266,MATCH(Data!$DN1227,'Data_Price '!$AT$2:$AT$1266,0))</f>
        <v>1039</v>
      </c>
      <c r="DE1227" t="str">
        <f>INDEX('Data_Price '!AN$2:AN$1266,MATCH(Data!$DN1227,'Data_Price '!$AT$2:$AT$1266,0))</f>
        <v>https://tinyurl.com/ybj9jqag</v>
      </c>
      <c r="DF1227" t="str">
        <f>INDEX('Data_Price '!AO$2:AO$1266,MATCH(Data!$DN1227,'Data_Price '!$AT$2:$AT$1266,0))</f>
        <v>DPS Pagoda 112 RP Skis Â· 189 cm Â· Yellow</v>
      </c>
      <c r="DG1227" t="str">
        <f>INDEX('Data_Price '!AP$2:AP$1266,MATCH(Data!$DN1227,'Data_Price '!$AT$2:$AT$1266,0))</f>
        <v>Powder7 Ski Shop</v>
      </c>
      <c r="DH1227">
        <f>INDEX('Data_Price '!AQ$2:AQ$1266,MATCH(Data!$DN1227,'Data_Price '!$AT$2:$AT$1266,0))</f>
        <v>1039.2</v>
      </c>
      <c r="DI1227" t="str">
        <f>INDEX('Data_Price '!AR$2:AR$1266,MATCH(Data!$DN1227,'Data_Price '!$AT$2:$AT$1266,0))</f>
        <v>https://tinyurl.com/y853f8bs</v>
      </c>
      <c r="DJ1227" s="89" t="str">
        <f t="shared" si="735"/>
        <v>https://tinyurl.com/ybrs6soz</v>
      </c>
      <c r="DK1227" s="89" t="str">
        <f t="shared" si="736"/>
        <v>https://tinyurl.com/ybj9jqag</v>
      </c>
      <c r="DL1227" s="89" t="str">
        <f t="shared" si="737"/>
        <v>https://tinyurl.com/y853f8bs</v>
      </c>
      <c r="DM1227" s="219" t="str">
        <f t="shared" si="738"/>
        <v>Pagoda 112 RP</v>
      </c>
      <c r="DN1227" s="89" t="str">
        <f t="shared" si="739"/>
        <v xml:space="preserve"> DPSPagoda 112 RP189 Unisex</v>
      </c>
      <c r="DO1227" s="221" t="s">
        <v>274</v>
      </c>
    </row>
    <row r="1228" spans="2:119" ht="15.6" customHeight="1">
      <c r="B1228" s="219" t="b">
        <f t="array" ref="B1228">IF(OR(ISERROR(K1228:P1228)),FALSE,TRUE)</f>
        <v>1</v>
      </c>
      <c r="C1228" s="43" t="b">
        <f>OR(BR1228=Driver!$G$50,Data!BR1207=Driver!$H$50)</f>
        <v>1</v>
      </c>
      <c r="D1228" s="43" t="b">
        <f>OR(BV1228=Driver!$G$51,BV1228=Driver!$H$51)</f>
        <v>1</v>
      </c>
      <c r="E1228" s="43" t="b">
        <f>AND(BX1228&gt;Driver!$F$54,BX1228&lt;Driver!$G$54)</f>
        <v>0</v>
      </c>
      <c r="F1228" s="43" t="b">
        <f>CL1228&gt;Driver!$F$56</f>
        <v>1</v>
      </c>
      <c r="G1228" s="43" t="b">
        <f>AND(CB1228&gt;Driver!$F$55,CB1228&lt;Driver!$G$55)</f>
        <v>1</v>
      </c>
      <c r="H1228" s="43" t="b">
        <f t="shared" si="703"/>
        <v>0</v>
      </c>
      <c r="I1228" s="43">
        <f t="shared" si="704"/>
        <v>0</v>
      </c>
      <c r="J1228" s="43" t="b">
        <f t="array" ref="J1228">NOT(OR(($H$9:$H$1273=TRUE)*($I$9:$I$1273&gt;0)*($BT$9:$BT$1273=BT1228)*($K$9:$K$1273&gt;K1228)))</f>
        <v>1</v>
      </c>
      <c r="K1228" s="72">
        <f t="shared" si="705"/>
        <v>0.63451501588019499</v>
      </c>
      <c r="L1228" s="72">
        <f t="shared" si="706"/>
        <v>0.49303981053965007</v>
      </c>
      <c r="M1228" s="72">
        <f t="shared" si="707"/>
        <v>0.77599022122073991</v>
      </c>
      <c r="N1228" s="72">
        <f t="shared" si="708"/>
        <v>0.50894761320400539</v>
      </c>
      <c r="O1228" s="72">
        <f t="shared" si="709"/>
        <v>0.96868363621150311</v>
      </c>
      <c r="P1228" s="72">
        <f t="shared" si="710"/>
        <v>0.85033941424671133</v>
      </c>
      <c r="Q1228" s="72"/>
      <c r="R1228" s="72"/>
      <c r="S1228" s="72">
        <f t="shared" si="711"/>
        <v>0.43245148617225238</v>
      </c>
      <c r="T1228" s="72">
        <f t="shared" si="712"/>
        <v>0.45242144542494633</v>
      </c>
      <c r="U1228" s="72">
        <f t="shared" si="713"/>
        <v>0.49048040676256965</v>
      </c>
      <c r="V1228" s="72">
        <f t="shared" si="714"/>
        <v>0.74577862804222228</v>
      </c>
      <c r="W1228" s="72">
        <f t="shared" si="715"/>
        <v>0.76289174075713073</v>
      </c>
      <c r="X1228" s="72">
        <f t="shared" si="716"/>
        <v>0.50696018946034993</v>
      </c>
      <c r="Y1228" s="72">
        <f t="shared" si="717"/>
        <v>0.22400977877926007</v>
      </c>
      <c r="Z1228" s="72">
        <f t="shared" si="718"/>
        <v>0.49105238679599461</v>
      </c>
      <c r="AA1228" s="72">
        <f t="shared" si="719"/>
        <v>3.1316363788496893E-2</v>
      </c>
      <c r="AB1228" s="72">
        <f t="shared" si="720"/>
        <v>0.14966058575328867</v>
      </c>
      <c r="AC1228" s="72"/>
      <c r="AD1228" s="72"/>
      <c r="AE1228" s="72">
        <f t="shared" si="721"/>
        <v>0.56754851382774762</v>
      </c>
      <c r="AF1228" s="72">
        <f t="shared" si="722"/>
        <v>0.54757855457505367</v>
      </c>
      <c r="AG1228" s="72">
        <f t="shared" si="723"/>
        <v>0.50951959323743035</v>
      </c>
      <c r="AH1228" s="72">
        <f t="shared" si="724"/>
        <v>0.25422137195777772</v>
      </c>
      <c r="AI1228" s="72">
        <f t="shared" si="725"/>
        <v>0.23710825924286921</v>
      </c>
      <c r="AJ1228" s="72">
        <f>(AV1228-Driver!$K$179)/(Driver!$L$179-Driver!$K$179)</f>
        <v>0.76117959874305041</v>
      </c>
      <c r="AK1228" s="72">
        <f>(AW1228-Driver!$K$180)/(Driver!$L$180-Driver!$K$180)</f>
        <v>0.14879686201084522</v>
      </c>
      <c r="AL1228" s="72">
        <f>(AX1228-Driver!$K$181)/(Driver!$L$181-Driver!$K$181)</f>
        <v>0.5927401505090748</v>
      </c>
      <c r="AM1228" s="72">
        <f>(AY1228-Driver!$K$182)/(Driver!$L$182-Driver!$K$182)</f>
        <v>0.41606865730854947</v>
      </c>
      <c r="AN1228" s="72">
        <f>(AZ1228-Driver!$K$183)/(Driver!$L$183-Driver!$K$183)</f>
        <v>0.10455882352941176</v>
      </c>
      <c r="AO1228" s="72"/>
      <c r="AP1228" s="72"/>
      <c r="AQ1228" s="72">
        <f>(BC1228-Driver!$K$188)/(Driver!$L$188-Driver!$K$188)</f>
        <v>5.2451486172252322E-2</v>
      </c>
      <c r="AR1228" s="72">
        <f>MIN((BD1228-Driver!$K$189)/(Driver!$L$189-Driver!$K$189),100%)</f>
        <v>2.4214454249463641E-3</v>
      </c>
      <c r="AS1228" s="72">
        <f>(BE1228-Driver!$K$190)/(Driver!$L$190-Driver!$K$190)</f>
        <v>4.8040676256964801E-4</v>
      </c>
      <c r="AT1228" s="72">
        <f>(BF1228-Driver!$K$191)/(Driver!$L$191-Driver!$K$191)</f>
        <v>0.76422137195777773</v>
      </c>
      <c r="AU1228" s="72">
        <f>(BG1228-Driver!$K$192)/(Driver!$L$192-Driver!$K$192)</f>
        <v>1.2891740757130787E-2</v>
      </c>
      <c r="AV1228" s="70">
        <f t="shared" si="726"/>
        <v>16.02055352055352</v>
      </c>
      <c r="AW1228" s="70">
        <f t="shared" si="727"/>
        <v>16.373465298738768</v>
      </c>
      <c r="AX1228" s="70">
        <f t="shared" si="728"/>
        <v>6.334661354581673</v>
      </c>
      <c r="AY1228" s="70">
        <f>IFERROR(Driver!$K$19/Data!BH1228/Data!BI1228*Data!BK1228*Data!BL1228,"")</f>
        <v>0.50939217945121273</v>
      </c>
      <c r="AZ1228" s="70">
        <f t="shared" si="729"/>
        <v>9.5294117647058822</v>
      </c>
      <c r="BA1228" s="70"/>
      <c r="BB1228" s="70"/>
      <c r="BC1228" s="70">
        <f t="shared" si="730"/>
        <v>27.206950514363434</v>
      </c>
      <c r="BD1228" s="70">
        <f t="shared" si="731"/>
        <v>1.9351165136580721</v>
      </c>
      <c r="BE1228" s="70">
        <f t="shared" si="732"/>
        <v>6.5870980793097987E-4</v>
      </c>
      <c r="BF1228" s="70">
        <f t="shared" si="733"/>
        <v>86.313435003631085</v>
      </c>
      <c r="BG1228" s="70">
        <f t="shared" si="734"/>
        <v>4.8816354548014647E-2</v>
      </c>
      <c r="BH1228" s="67">
        <f>MAX((CE1228-Driver!$F$200)/(Driver!$G$200-Driver!$F$200)*$BI$1,1)</f>
        <v>6.334661354581673</v>
      </c>
      <c r="BI1228" s="67">
        <f>MAX($BI$1*(BY1228-Driver!$F$201)/(Driver!$G$201-Driver!$F$201),1)</f>
        <v>1</v>
      </c>
      <c r="BJ1228" s="67">
        <f>(CB1228-Driver!$F$206)/(Driver!$G$206-Driver!$F$206)*$BI$1</f>
        <v>7.4603174603174605</v>
      </c>
      <c r="BK1228" s="67">
        <f>(CD1228-Driver!$F$203)/(Driver!$G$203-Driver!$F$203)*$BI$1</f>
        <v>7.7981651376146797</v>
      </c>
      <c r="BL1228" s="67">
        <f>MAX((CR1228-Driver!$F$202)/(Driver!$G$202-Driver!$F$202)*$BI$1,1)</f>
        <v>2.0689655172413794</v>
      </c>
      <c r="BM1228" s="67">
        <f>MAX((CH1228-Driver!$F$204)/(Driver!$G$204-Driver!$F$204)*$BI$1,1)</f>
        <v>8.5897435897435894</v>
      </c>
      <c r="BN1228" s="67">
        <f>(CI1228-Driver!$F$205)/(Driver!$G$205-Driver!$F$205)*$BI$1</f>
        <v>9.5294117647058822</v>
      </c>
      <c r="BO1228" s="67">
        <f>(CK1228-Driver!$F$207)/(Driver!$G$207-Driver!$F$207)*$BI$1</f>
        <v>10</v>
      </c>
      <c r="BP1228" s="67">
        <f>(CM1228-Driver!$F$208)/(Driver!$G$208-Driver!$F$208)*$BI$1</f>
        <v>9.0222222222222221</v>
      </c>
      <c r="BQ1228" s="67">
        <f>(CL1228-Driver!$F$209)/(Driver!$G$209-Driver!$F$209)*$BI$1</f>
        <v>2.65625</v>
      </c>
      <c r="BR1228" s="28" t="s">
        <v>155</v>
      </c>
      <c r="BS1228" s="8" t="s">
        <v>229</v>
      </c>
      <c r="BT1228" s="9" t="s">
        <v>890</v>
      </c>
      <c r="BU1228" s="10">
        <v>191</v>
      </c>
      <c r="BV1228" s="9" t="s">
        <v>158</v>
      </c>
      <c r="BW1228" s="10">
        <v>191</v>
      </c>
      <c r="BX1228" s="10">
        <v>188.9</v>
      </c>
      <c r="BY1228" s="10">
        <v>0</v>
      </c>
      <c r="BZ1228" s="10">
        <v>165</v>
      </c>
      <c r="CA1228" s="10">
        <v>142</v>
      </c>
      <c r="CB1228" s="10">
        <v>111</v>
      </c>
      <c r="CC1228" s="10">
        <v>131</v>
      </c>
      <c r="CD1228" s="10">
        <v>26.4</v>
      </c>
      <c r="CE1228" s="10">
        <v>2013</v>
      </c>
      <c r="CF1228" s="10">
        <v>1.1299999999999999</v>
      </c>
      <c r="CG1228" s="10">
        <v>2278</v>
      </c>
      <c r="CH1228" s="10">
        <v>302</v>
      </c>
      <c r="CI1228" s="10">
        <v>195</v>
      </c>
      <c r="CJ1228" s="10">
        <v>49</v>
      </c>
      <c r="CK1228" s="10">
        <v>1077</v>
      </c>
      <c r="CL1228" s="10">
        <v>17</v>
      </c>
      <c r="CM1228" s="10">
        <v>812</v>
      </c>
      <c r="CN1228" s="10">
        <v>0.34100000000000003</v>
      </c>
      <c r="CO1228" s="10">
        <v>142</v>
      </c>
      <c r="CP1228" s="10">
        <v>99</v>
      </c>
      <c r="CQ1228" s="10">
        <v>935</v>
      </c>
      <c r="CR1228" s="10">
        <v>-5</v>
      </c>
      <c r="CS1228" s="10">
        <v>13.3</v>
      </c>
      <c r="CT1228" s="9" t="s">
        <v>178</v>
      </c>
      <c r="CU1228" s="9" t="s">
        <v>185</v>
      </c>
      <c r="CV1228" s="10"/>
      <c r="CW1228" s="10"/>
      <c r="CX1228" t="e">
        <f>INDEX('Data_Price '!AG$2:AG$1266,MATCH(Data!$DN1228,'Data_Price '!$AT$2:$AT$1266,0))</f>
        <v>#N/A</v>
      </c>
      <c r="CY1228" t="e">
        <f>INDEX('Data_Price '!AH$2:AH$1266,MATCH(Data!$DN1228,'Data_Price '!$AT$2:$AT$1266,0))</f>
        <v>#N/A</v>
      </c>
      <c r="CZ1228" t="e">
        <f>INDEX('Data_Price '!AI$2:AI$1266,MATCH(Data!$DN1228,'Data_Price '!$AT$2:$AT$1266,0))</f>
        <v>#N/A</v>
      </c>
      <c r="DA1228" t="e">
        <f>INDEX('Data_Price '!AJ$2:AJ$1266,MATCH(Data!$DN1228,'Data_Price '!$AT$2:$AT$1266,0))</f>
        <v>#N/A</v>
      </c>
      <c r="DB1228" t="e">
        <f>INDEX('Data_Price '!AK$2:AK$1266,MATCH(Data!$DN1228,'Data_Price '!$AT$2:$AT$1266,0))</f>
        <v>#N/A</v>
      </c>
      <c r="DC1228" t="e">
        <f>INDEX('Data_Price '!AL$2:AL$1266,MATCH(Data!$DN1228,'Data_Price '!$AT$2:$AT$1266,0))</f>
        <v>#N/A</v>
      </c>
      <c r="DD1228" t="e">
        <f>INDEX('Data_Price '!AM$2:AM$1266,MATCH(Data!$DN1228,'Data_Price '!$AT$2:$AT$1266,0))</f>
        <v>#N/A</v>
      </c>
      <c r="DE1228" t="e">
        <f>INDEX('Data_Price '!AN$2:AN$1266,MATCH(Data!$DN1228,'Data_Price '!$AT$2:$AT$1266,0))</f>
        <v>#N/A</v>
      </c>
      <c r="DF1228" t="e">
        <f>INDEX('Data_Price '!AO$2:AO$1266,MATCH(Data!$DN1228,'Data_Price '!$AT$2:$AT$1266,0))</f>
        <v>#N/A</v>
      </c>
      <c r="DG1228" t="e">
        <f>INDEX('Data_Price '!AP$2:AP$1266,MATCH(Data!$DN1228,'Data_Price '!$AT$2:$AT$1266,0))</f>
        <v>#N/A</v>
      </c>
      <c r="DH1228" t="e">
        <f>INDEX('Data_Price '!AQ$2:AQ$1266,MATCH(Data!$DN1228,'Data_Price '!$AT$2:$AT$1266,0))</f>
        <v>#N/A</v>
      </c>
      <c r="DI1228" t="e">
        <f>INDEX('Data_Price '!AR$2:AR$1266,MATCH(Data!$DN1228,'Data_Price '!$AT$2:$AT$1266,0))</f>
        <v>#N/A</v>
      </c>
      <c r="DJ1228" s="89" t="e">
        <f t="shared" si="735"/>
        <v>#N/A</v>
      </c>
      <c r="DK1228" s="89" t="e">
        <f t="shared" si="736"/>
        <v>#N/A</v>
      </c>
      <c r="DL1228" s="89" t="e">
        <f t="shared" si="737"/>
        <v>#N/A</v>
      </c>
      <c r="DM1228" s="219" t="str">
        <f t="shared" si="738"/>
        <v>Katana V.Werks</v>
      </c>
      <c r="DN1228" s="89" t="str">
        <f t="shared" si="739"/>
        <v xml:space="preserve"> VölklKatana V.Werks191 Unisex</v>
      </c>
      <c r="DO1228" s="221" t="s">
        <v>891</v>
      </c>
    </row>
    <row r="1229" spans="2:119" ht="15.6" customHeight="1">
      <c r="B1229" s="219" t="b">
        <f t="array" ref="B1229">IF(OR(ISERROR(K1229:P1229)),FALSE,TRUE)</f>
        <v>1</v>
      </c>
      <c r="C1229" s="43" t="b">
        <f>OR(BR1229=Driver!$G$50,Data!BR781=Driver!$H$50)</f>
        <v>1</v>
      </c>
      <c r="D1229" s="43" t="b">
        <f>OR(BV1229=Driver!$G$51,BV1229=Driver!$H$51)</f>
        <v>0</v>
      </c>
      <c r="E1229" s="43" t="b">
        <f>AND(BX1229&gt;Driver!$F$54,BX1229&lt;Driver!$G$54)</f>
        <v>0</v>
      </c>
      <c r="F1229" s="43" t="b">
        <f>CL1229&gt;Driver!$F$56</f>
        <v>1</v>
      </c>
      <c r="G1229" s="43" t="b">
        <f>AND(CB1229&gt;Driver!$F$55,CB1229&lt;Driver!$G$55)</f>
        <v>0</v>
      </c>
      <c r="H1229" s="43" t="b">
        <f t="shared" si="703"/>
        <v>0</v>
      </c>
      <c r="I1229" s="43">
        <f t="shared" si="704"/>
        <v>0</v>
      </c>
      <c r="J1229" s="43" t="b">
        <f t="array" ref="J1229">NOT(OR(($H$9:$H$1273=TRUE)*($I$9:$I$1273&gt;0)*($BT$9:$BT$1273=BT1229)*($K$9:$K$1273&gt;K1229)))</f>
        <v>1</v>
      </c>
      <c r="K1229" s="72">
        <f t="shared" si="705"/>
        <v>0.85035619123390804</v>
      </c>
      <c r="L1229" s="72">
        <f t="shared" si="706"/>
        <v>0.79581684887538517</v>
      </c>
      <c r="M1229" s="72">
        <f t="shared" si="707"/>
        <v>0.90489553359243091</v>
      </c>
      <c r="N1229" s="72">
        <f t="shared" si="708"/>
        <v>0.89831223628691981</v>
      </c>
      <c r="O1229" s="72">
        <f t="shared" si="709"/>
        <v>0.98399246658353079</v>
      </c>
      <c r="P1229" s="72">
        <f t="shared" si="710"/>
        <v>0.83238189790684203</v>
      </c>
      <c r="Q1229" s="72"/>
      <c r="R1229" s="72"/>
      <c r="S1229" s="72">
        <f t="shared" si="711"/>
        <v>0.40045717564944505</v>
      </c>
      <c r="T1229" s="72">
        <f t="shared" si="712"/>
        <v>0.44014325084117745</v>
      </c>
      <c r="U1229" s="72">
        <f t="shared" si="713"/>
        <v>0.51</v>
      </c>
      <c r="V1229" s="72">
        <f t="shared" si="714"/>
        <v>0.51550504703566391</v>
      </c>
      <c r="W1229" s="72">
        <f t="shared" si="715"/>
        <v>0.96457029026750141</v>
      </c>
      <c r="X1229" s="72">
        <f t="shared" si="716"/>
        <v>0.20418315112461485</v>
      </c>
      <c r="Y1229" s="72">
        <f t="shared" si="717"/>
        <v>9.5104466407569102E-2</v>
      </c>
      <c r="Z1229" s="72">
        <f t="shared" si="718"/>
        <v>0.10168776371308018</v>
      </c>
      <c r="AA1229" s="72">
        <f t="shared" si="719"/>
        <v>1.6007533416469211E-2</v>
      </c>
      <c r="AB1229" s="72">
        <f t="shared" si="720"/>
        <v>0.16761810209315794</v>
      </c>
      <c r="AC1229" s="72"/>
      <c r="AD1229" s="72"/>
      <c r="AE1229" s="72">
        <f t="shared" si="721"/>
        <v>0.59954282435055495</v>
      </c>
      <c r="AF1229" s="72">
        <f t="shared" si="722"/>
        <v>0.55985674915882255</v>
      </c>
      <c r="AG1229" s="72">
        <f t="shared" si="723"/>
        <v>0.49</v>
      </c>
      <c r="AH1229" s="72">
        <f t="shared" si="724"/>
        <v>0.48449495296433615</v>
      </c>
      <c r="AI1229" s="72">
        <f t="shared" si="725"/>
        <v>3.5429709732498621E-2</v>
      </c>
      <c r="AJ1229" s="72">
        <f>(AV1229-Driver!$K$179)/(Driver!$L$179-Driver!$K$179)</f>
        <v>5.0036258158085566E-2</v>
      </c>
      <c r="AK1229" s="72">
        <f>(AW1229-Driver!$K$180)/(Driver!$L$180-Driver!$K$180)</f>
        <v>7.7458523815804731E-2</v>
      </c>
      <c r="AL1229" s="72">
        <f>(AX1229-Driver!$K$181)/(Driver!$L$181-Driver!$K$181)</f>
        <v>0</v>
      </c>
      <c r="AM1229" s="72">
        <f>(AY1229-Driver!$K$182)/(Driver!$L$182-Driver!$K$182)</f>
        <v>0.43137748768057715</v>
      </c>
      <c r="AN1229" s="72">
        <f>(AZ1229-Driver!$K$183)/(Driver!$L$183-Driver!$K$183)</f>
        <v>8.6601307189542481E-2</v>
      </c>
      <c r="AO1229" s="72"/>
      <c r="AP1229" s="72"/>
      <c r="AQ1229" s="72">
        <f>(BC1229-Driver!$K$188)/(Driver!$L$188-Driver!$K$188)</f>
        <v>2.0457175649445086E-2</v>
      </c>
      <c r="AR1229" s="72">
        <f>MIN((BD1229-Driver!$K$189)/(Driver!$L$189-Driver!$K$189),100%)</f>
        <v>-9.8567491588225607E-3</v>
      </c>
      <c r="AS1229" s="72">
        <f>(BE1229-Driver!$K$190)/(Driver!$L$190-Driver!$K$190)</f>
        <v>1</v>
      </c>
      <c r="AT1229" s="72">
        <f>(BF1229-Driver!$K$191)/(Driver!$L$191-Driver!$K$191)</f>
        <v>2.5505047035663878E-2</v>
      </c>
      <c r="AU1229" s="72">
        <f>(BG1229-Driver!$K$192)/(Driver!$L$192-Driver!$K$192)</f>
        <v>0.21457029026750138</v>
      </c>
      <c r="AV1229" s="70">
        <f t="shared" si="726"/>
        <v>1.0531135531135531</v>
      </c>
      <c r="AW1229" s="70">
        <f t="shared" si="727"/>
        <v>9.4209121196509003</v>
      </c>
      <c r="AX1229" s="70">
        <f t="shared" si="728"/>
        <v>1</v>
      </c>
      <c r="AY1229" s="70">
        <f>IFERROR(Driver!$K$19/Data!BH1229/Data!BI1229*Data!BK1229*Data!BL1229,"")</f>
        <v>0.52813475554069955</v>
      </c>
      <c r="AZ1229" s="70">
        <f t="shared" si="729"/>
        <v>7.8927773641102013</v>
      </c>
      <c r="BA1229" s="70"/>
      <c r="BB1229" s="70"/>
      <c r="BC1229" s="70">
        <f t="shared" si="730"/>
        <v>10.611279225345028</v>
      </c>
      <c r="BD1229" s="70">
        <f t="shared" si="731"/>
        <v>0.84851804866797387</v>
      </c>
      <c r="BE1229" s="70">
        <f t="shared" si="732"/>
        <v>1</v>
      </c>
      <c r="BF1229" s="70">
        <f t="shared" si="733"/>
        <v>2.8806158795817529</v>
      </c>
      <c r="BG1229" s="70">
        <f t="shared" si="734"/>
        <v>0.81249999999999989</v>
      </c>
      <c r="BH1229" s="67">
        <f>MAX((CE1229-Driver!$F$200)/(Driver!$G$200-Driver!$F$200)*$BI$1,1)</f>
        <v>1</v>
      </c>
      <c r="BI1229" s="67">
        <f>MAX($BI$1*(BY1229-Driver!$F$201)/(Driver!$G$201-Driver!$F$201),1)</f>
        <v>6.7088607594936711</v>
      </c>
      <c r="BJ1229" s="67">
        <f>(CB1229-Driver!$F$206)/(Driver!$G$206-Driver!$F$206)*$BI$1</f>
        <v>3.6507936507936507</v>
      </c>
      <c r="BK1229" s="67">
        <f>(CD1229-Driver!$F$203)/(Driver!$G$203-Driver!$F$203)*$BI$1</f>
        <v>2.5688073394495414</v>
      </c>
      <c r="BL1229" s="67">
        <f>MAX((CR1229-Driver!$F$202)/(Driver!$G$202-Driver!$F$202)*$BI$1,1)</f>
        <v>6.8965517241379315</v>
      </c>
      <c r="BM1229" s="67">
        <f>MAX((CH1229-Driver!$F$204)/(Driver!$G$204-Driver!$F$204)*$BI$1,1)</f>
        <v>1.153846153846154</v>
      </c>
      <c r="BN1229" s="67">
        <f>(CI1229-Driver!$F$205)/(Driver!$G$205-Driver!$F$205)*$BI$1</f>
        <v>1.1764705882352942</v>
      </c>
      <c r="BO1229" s="67">
        <f>(CK1229-Driver!$F$207)/(Driver!$G$207-Driver!$F$207)*$BI$1</f>
        <v>1.5201654601861427</v>
      </c>
      <c r="BP1229" s="67">
        <f>(CM1229-Driver!$F$208)/(Driver!$G$208-Driver!$F$208)*$BI$1</f>
        <v>1.3333333333333333</v>
      </c>
      <c r="BQ1229" s="67">
        <f>(CL1229-Driver!$F$209)/(Driver!$G$209-Driver!$F$209)*$BI$1</f>
        <v>0.9375</v>
      </c>
      <c r="BR1229" s="28" t="s">
        <v>155</v>
      </c>
      <c r="BS1229" s="8" t="s">
        <v>262</v>
      </c>
      <c r="BT1229" s="9" t="s">
        <v>846</v>
      </c>
      <c r="BU1229" s="10">
        <v>153</v>
      </c>
      <c r="BV1229" s="9" t="s">
        <v>163</v>
      </c>
      <c r="BW1229" s="10">
        <v>153</v>
      </c>
      <c r="BX1229" s="10">
        <v>151.69999999999999</v>
      </c>
      <c r="BY1229" s="10">
        <v>114</v>
      </c>
      <c r="BZ1229" s="10">
        <v>127</v>
      </c>
      <c r="CA1229" s="10">
        <v>120</v>
      </c>
      <c r="CB1229" s="10">
        <v>87</v>
      </c>
      <c r="CC1229" s="10">
        <v>108</v>
      </c>
      <c r="CD1229" s="10">
        <v>15</v>
      </c>
      <c r="CE1229" s="10">
        <v>1048</v>
      </c>
      <c r="CF1229" s="10">
        <v>1.41</v>
      </c>
      <c r="CG1229" s="10">
        <v>1477</v>
      </c>
      <c r="CH1229" s="10">
        <v>128</v>
      </c>
      <c r="CI1229" s="10">
        <v>53</v>
      </c>
      <c r="CJ1229" s="10">
        <v>43</v>
      </c>
      <c r="CK1229" s="10">
        <v>257</v>
      </c>
      <c r="CL1229" s="10">
        <v>6</v>
      </c>
      <c r="CM1229" s="10">
        <v>120</v>
      </c>
      <c r="CN1229" s="10">
        <v>0.14099999999999999</v>
      </c>
      <c r="CO1229" s="10">
        <v>145</v>
      </c>
      <c r="CP1229" s="10">
        <v>97</v>
      </c>
      <c r="CQ1229" s="10">
        <v>111</v>
      </c>
      <c r="CR1229" s="10">
        <v>9</v>
      </c>
      <c r="CS1229" s="10">
        <v>11</v>
      </c>
      <c r="CT1229" s="9" t="s">
        <v>185</v>
      </c>
      <c r="CU1229" s="9" t="s">
        <v>198</v>
      </c>
      <c r="CV1229" s="10"/>
      <c r="CW1229" s="10"/>
      <c r="CX1229" t="e">
        <f>INDEX('Data_Price '!AG$2:AG$1266,MATCH(Data!$DN1229,'Data_Price '!$AT$2:$AT$1266,0))</f>
        <v>#N/A</v>
      </c>
      <c r="CY1229" t="e">
        <f>INDEX('Data_Price '!AH$2:AH$1266,MATCH(Data!$DN1229,'Data_Price '!$AT$2:$AT$1266,0))</f>
        <v>#N/A</v>
      </c>
      <c r="CZ1229" t="e">
        <f>INDEX('Data_Price '!AI$2:AI$1266,MATCH(Data!$DN1229,'Data_Price '!$AT$2:$AT$1266,0))</f>
        <v>#N/A</v>
      </c>
      <c r="DA1229" t="e">
        <f>INDEX('Data_Price '!AJ$2:AJ$1266,MATCH(Data!$DN1229,'Data_Price '!$AT$2:$AT$1266,0))</f>
        <v>#N/A</v>
      </c>
      <c r="DB1229" t="e">
        <f>INDEX('Data_Price '!AK$2:AK$1266,MATCH(Data!$DN1229,'Data_Price '!$AT$2:$AT$1266,0))</f>
        <v>#N/A</v>
      </c>
      <c r="DC1229" t="e">
        <f>INDEX('Data_Price '!AL$2:AL$1266,MATCH(Data!$DN1229,'Data_Price '!$AT$2:$AT$1266,0))</f>
        <v>#N/A</v>
      </c>
      <c r="DD1229" t="e">
        <f>INDEX('Data_Price '!AM$2:AM$1266,MATCH(Data!$DN1229,'Data_Price '!$AT$2:$AT$1266,0))</f>
        <v>#N/A</v>
      </c>
      <c r="DE1229" t="e">
        <f>INDEX('Data_Price '!AN$2:AN$1266,MATCH(Data!$DN1229,'Data_Price '!$AT$2:$AT$1266,0))</f>
        <v>#N/A</v>
      </c>
      <c r="DF1229" t="e">
        <f>INDEX('Data_Price '!AO$2:AO$1266,MATCH(Data!$DN1229,'Data_Price '!$AT$2:$AT$1266,0))</f>
        <v>#N/A</v>
      </c>
      <c r="DG1229" t="e">
        <f>INDEX('Data_Price '!AP$2:AP$1266,MATCH(Data!$DN1229,'Data_Price '!$AT$2:$AT$1266,0))</f>
        <v>#N/A</v>
      </c>
      <c r="DH1229" t="e">
        <f>INDEX('Data_Price '!AQ$2:AQ$1266,MATCH(Data!$DN1229,'Data_Price '!$AT$2:$AT$1266,0))</f>
        <v>#N/A</v>
      </c>
      <c r="DI1229" t="e">
        <f>INDEX('Data_Price '!AR$2:AR$1266,MATCH(Data!$DN1229,'Data_Price '!$AT$2:$AT$1266,0))</f>
        <v>#N/A</v>
      </c>
      <c r="DJ1229" s="89" t="e">
        <f t="shared" si="735"/>
        <v>#N/A</v>
      </c>
      <c r="DK1229" s="89" t="e">
        <f t="shared" si="736"/>
        <v>#N/A</v>
      </c>
      <c r="DL1229" s="89" t="e">
        <f t="shared" si="737"/>
        <v>#N/A</v>
      </c>
      <c r="DM1229" s="219" t="str">
        <f t="shared" si="738"/>
        <v>Talkback 88</v>
      </c>
      <c r="DN1229" s="89" t="str">
        <f t="shared" si="739"/>
        <v xml:space="preserve"> K2Talkback 88153 Women's</v>
      </c>
      <c r="DO1229" s="221"/>
    </row>
    <row r="1230" spans="2:119" ht="15.6" customHeight="1">
      <c r="B1230" s="219" t="b">
        <f t="array" ref="B1230">IF(OR(ISERROR(K1230:P1230)),FALSE,TRUE)</f>
        <v>1</v>
      </c>
      <c r="C1230" s="43" t="b">
        <f>OR(BR1230=Driver!$G$50,Data!BR1092=Driver!$H$50)</f>
        <v>1</v>
      </c>
      <c r="D1230" s="43" t="b">
        <f>OR(BV1230=Driver!$G$51,BV1230=Driver!$H$51)</f>
        <v>1</v>
      </c>
      <c r="E1230" s="43" t="b">
        <f>AND(BX1230&gt;Driver!$F$54,BX1230&lt;Driver!$G$54)</f>
        <v>1</v>
      </c>
      <c r="F1230" s="43" t="b">
        <f>CL1230&gt;Driver!$F$56</f>
        <v>1</v>
      </c>
      <c r="G1230" s="43" t="b">
        <f>AND(CB1230&gt;Driver!$F$55,CB1230&lt;Driver!$G$55)</f>
        <v>0</v>
      </c>
      <c r="H1230" s="43" t="b">
        <f t="shared" si="703"/>
        <v>0</v>
      </c>
      <c r="I1230" s="43">
        <f t="shared" si="704"/>
        <v>0</v>
      </c>
      <c r="J1230" s="43" t="b">
        <f t="array" ref="J1230">NOT(OR(($H$9:$H$1273=TRUE)*($I$9:$I$1273&gt;0)*($BT$9:$BT$1273=BT1230)*($K$9:$K$1273&gt;K1230)))</f>
        <v>1</v>
      </c>
      <c r="K1230" s="72">
        <f t="shared" si="705"/>
        <v>0.70398595356903781</v>
      </c>
      <c r="L1230" s="72">
        <f t="shared" si="706"/>
        <v>0.8237759174435908</v>
      </c>
      <c r="M1230" s="72">
        <f t="shared" si="707"/>
        <v>0.58419598969448483</v>
      </c>
      <c r="N1230" s="72">
        <f t="shared" si="708"/>
        <v>0.52286021675804328</v>
      </c>
      <c r="O1230" s="72">
        <f t="shared" si="709"/>
        <v>0.60790213389238401</v>
      </c>
      <c r="P1230" s="72">
        <f t="shared" si="710"/>
        <v>0.62182561843302731</v>
      </c>
      <c r="Q1230" s="72"/>
      <c r="R1230" s="72"/>
      <c r="S1230" s="72">
        <f t="shared" si="711"/>
        <v>0.5971105655877611</v>
      </c>
      <c r="T1230" s="72">
        <f t="shared" si="712"/>
        <v>0.55000000000000004</v>
      </c>
      <c r="U1230" s="72">
        <f t="shared" si="713"/>
        <v>0.51</v>
      </c>
      <c r="V1230" s="72">
        <f t="shared" si="714"/>
        <v>0.49083784695576094</v>
      </c>
      <c r="W1230" s="72">
        <f t="shared" si="715"/>
        <v>0.75514048071751594</v>
      </c>
      <c r="X1230" s="72">
        <f t="shared" si="716"/>
        <v>0.17622408255640926</v>
      </c>
      <c r="Y1230" s="72">
        <f t="shared" si="717"/>
        <v>0.41580401030551517</v>
      </c>
      <c r="Z1230" s="72">
        <f t="shared" si="718"/>
        <v>0.47713978324195672</v>
      </c>
      <c r="AA1230" s="72">
        <f t="shared" si="719"/>
        <v>0.39209786610761599</v>
      </c>
      <c r="AB1230" s="72">
        <f t="shared" si="720"/>
        <v>0.37817438156697275</v>
      </c>
      <c r="AC1230" s="72"/>
      <c r="AD1230" s="72"/>
      <c r="AE1230" s="72">
        <f t="shared" si="721"/>
        <v>0.4028894344122389</v>
      </c>
      <c r="AF1230" s="72">
        <f t="shared" si="722"/>
        <v>0.44999999999999996</v>
      </c>
      <c r="AG1230" s="72">
        <f t="shared" si="723"/>
        <v>0.49</v>
      </c>
      <c r="AH1230" s="72">
        <f t="shared" si="724"/>
        <v>0.50916215304423906</v>
      </c>
      <c r="AI1230" s="72">
        <f t="shared" si="725"/>
        <v>0.24485951928248403</v>
      </c>
      <c r="AJ1230" s="72">
        <f>(AV1230-Driver!$K$179)/(Driver!$L$179-Driver!$K$179)</f>
        <v>7.7995326726291184E-2</v>
      </c>
      <c r="AK1230" s="72">
        <f>(AW1230-Driver!$K$180)/(Driver!$L$180-Driver!$K$180)</f>
        <v>0.6365879151477134</v>
      </c>
      <c r="AL1230" s="72">
        <f>(AX1230-Driver!$K$181)/(Driver!$L$181-Driver!$K$181)</f>
        <v>0.57882754695503691</v>
      </c>
      <c r="AM1230" s="72">
        <f>(AY1230-Driver!$K$182)/(Driver!$L$182-Driver!$K$182)</f>
        <v>5.5287154989430404E-2</v>
      </c>
      <c r="AN1230" s="72">
        <f>(AZ1230-Driver!$K$183)/(Driver!$L$183-Driver!$K$183)</f>
        <v>0.63239379084967318</v>
      </c>
      <c r="AO1230" s="72"/>
      <c r="AP1230" s="72"/>
      <c r="AQ1230" s="72">
        <f>(BC1230-Driver!$K$188)/(Driver!$L$188-Driver!$K$188)</f>
        <v>0.2171105655877611</v>
      </c>
      <c r="AR1230" s="72">
        <f>MIN((BD1230-Driver!$K$189)/(Driver!$L$189-Driver!$K$189),100%)</f>
        <v>1</v>
      </c>
      <c r="AS1230" s="72">
        <f>(BE1230-Driver!$K$190)/(Driver!$L$190-Driver!$K$190)</f>
        <v>1</v>
      </c>
      <c r="AT1230" s="72">
        <f>(BF1230-Driver!$K$191)/(Driver!$L$191-Driver!$K$191)</f>
        <v>8.378469557609392E-4</v>
      </c>
      <c r="AU1230" s="72">
        <f>(BG1230-Driver!$K$192)/(Driver!$L$192-Driver!$K$192)</f>
        <v>5.1404807175159644E-3</v>
      </c>
      <c r="AV1230" s="70">
        <f t="shared" si="726"/>
        <v>1.6415683082349748</v>
      </c>
      <c r="AW1230" s="70">
        <f t="shared" si="727"/>
        <v>63.913025695354861</v>
      </c>
      <c r="AX1230" s="70">
        <f t="shared" si="728"/>
        <v>6.2094479225953325</v>
      </c>
      <c r="AY1230" s="70">
        <f>IFERROR(Driver!$K$19/Data!BH1230/Data!BI1230*Data!BK1230*Data!BL1230,"")</f>
        <v>6.7687973801972431E-2</v>
      </c>
      <c r="AZ1230" s="70">
        <f t="shared" si="729"/>
        <v>57.635889798957557</v>
      </c>
      <c r="BA1230" s="70"/>
      <c r="BB1230" s="70"/>
      <c r="BC1230" s="70">
        <f t="shared" si="730"/>
        <v>112.61675969853694</v>
      </c>
      <c r="BD1230" s="70">
        <f t="shared" si="731"/>
        <v>95.038935768860924</v>
      </c>
      <c r="BE1230" s="70">
        <f t="shared" si="732"/>
        <v>1</v>
      </c>
      <c r="BF1230" s="70">
        <f t="shared" si="733"/>
        <v>9.4628927445197714E-2</v>
      </c>
      <c r="BG1230" s="70">
        <f t="shared" si="734"/>
        <v>1.9465139268697307E-2</v>
      </c>
      <c r="BH1230" s="67">
        <f>MAX((CE1230-Driver!$F$200)/(Driver!$G$200-Driver!$F$200)*$BI$1,1)</f>
        <v>6.2094479225953325</v>
      </c>
      <c r="BI1230" s="67">
        <f>MAX($BI$1*(BY1230-Driver!$F$201)/(Driver!$G$201-Driver!$F$201),1)</f>
        <v>8.6708860759493671</v>
      </c>
      <c r="BJ1230" s="67">
        <f>(CB1230-Driver!$F$206)/(Driver!$G$206-Driver!$F$206)*$BI$1</f>
        <v>1.2698412698412698</v>
      </c>
      <c r="BK1230" s="67">
        <f>(CD1230-Driver!$F$203)/(Driver!$G$203-Driver!$F$203)*$BI$1</f>
        <v>2.2018348623853208</v>
      </c>
      <c r="BL1230" s="67">
        <f>MAX((CR1230-Driver!$F$202)/(Driver!$G$202-Driver!$F$202)*$BI$1,1)</f>
        <v>8.2758620689655178</v>
      </c>
      <c r="BM1230" s="67">
        <f>MAX((CH1230-Driver!$F$204)/(Driver!$G$204-Driver!$F$204)*$BI$1,1)</f>
        <v>5.1709401709401712</v>
      </c>
      <c r="BN1230" s="67">
        <f>(CI1230-Driver!$F$205)/(Driver!$G$205-Driver!$F$205)*$BI$1</f>
        <v>6.6470588235294112</v>
      </c>
      <c r="BO1230" s="67">
        <f>(CK1230-Driver!$F$207)/(Driver!$G$207-Driver!$F$207)*$BI$1</f>
        <v>0.28955532574974147</v>
      </c>
      <c r="BP1230" s="67">
        <f>(CM1230-Driver!$F$208)/(Driver!$G$208-Driver!$F$208)*$BI$1</f>
        <v>0.56666666666666665</v>
      </c>
      <c r="BQ1230" s="67">
        <f>(CL1230-Driver!$F$209)/(Driver!$G$209-Driver!$F$209)*$BI$1</f>
        <v>0.625</v>
      </c>
      <c r="BR1230" s="28" t="s">
        <v>155</v>
      </c>
      <c r="BS1230" s="8" t="s">
        <v>174</v>
      </c>
      <c r="BT1230" s="9" t="s">
        <v>892</v>
      </c>
      <c r="BU1230" s="10">
        <v>165</v>
      </c>
      <c r="BV1230" s="9" t="s">
        <v>158</v>
      </c>
      <c r="BW1230" s="10">
        <v>165</v>
      </c>
      <c r="BX1230" s="10">
        <v>164.4</v>
      </c>
      <c r="BY1230" s="10">
        <v>145</v>
      </c>
      <c r="BZ1230" s="10">
        <v>153</v>
      </c>
      <c r="CA1230" s="10">
        <v>121</v>
      </c>
      <c r="CB1230" s="10">
        <v>72</v>
      </c>
      <c r="CC1230" s="10">
        <v>107</v>
      </c>
      <c r="CD1230" s="10">
        <v>14.2</v>
      </c>
      <c r="CE1230" s="10">
        <v>1991</v>
      </c>
      <c r="CF1230" s="10">
        <v>0.73</v>
      </c>
      <c r="CG1230" s="10">
        <v>1450</v>
      </c>
      <c r="CH1230" s="10">
        <v>222</v>
      </c>
      <c r="CI1230" s="10">
        <v>146</v>
      </c>
      <c r="CJ1230" s="10">
        <v>36</v>
      </c>
      <c r="CK1230" s="10">
        <v>138</v>
      </c>
      <c r="CL1230" s="10">
        <v>4</v>
      </c>
      <c r="CM1230" s="10">
        <v>51</v>
      </c>
      <c r="CN1230" s="10">
        <v>0.11</v>
      </c>
      <c r="CO1230" s="10">
        <v>79</v>
      </c>
      <c r="CP1230" s="10">
        <v>31</v>
      </c>
      <c r="CQ1230" s="10">
        <v>60</v>
      </c>
      <c r="CR1230" s="10">
        <v>13</v>
      </c>
      <c r="CS1230" s="10">
        <v>11.3</v>
      </c>
      <c r="CT1230" s="9" t="s">
        <v>349</v>
      </c>
      <c r="CU1230" s="10"/>
      <c r="CV1230" s="10"/>
      <c r="CW1230" s="10"/>
      <c r="CX1230" t="str">
        <f>INDEX('Data_Price '!AG$2:AG$1266,MATCH(Data!$DN1230,'Data_Price '!$AT$2:$AT$1266,0))</f>
        <v>2022 Salomon S/MAX 8 Skis + M11 GW Bindings</v>
      </c>
      <c r="CY1230" t="str">
        <f>INDEX('Data_Price '!AH$2:AH$1266,MATCH(Data!$DN1230,'Data_Price '!$AT$2:$AT$1266,0))</f>
        <v>Coast Water Sport</v>
      </c>
      <c r="CZ1230">
        <f>INDEX('Data_Price '!AI$2:AI$1266,MATCH(Data!$DN1230,'Data_Price '!$AT$2:$AT$1266,0))</f>
        <v>382.06</v>
      </c>
      <c r="DA1230" t="str">
        <f>INDEX('Data_Price '!AJ$2:AJ$1266,MATCH(Data!$DN1230,'Data_Price '!$AT$2:$AT$1266,0))</f>
        <v>https://tinyurl.com/ycsrmo9k</v>
      </c>
      <c r="DB1230" t="str">
        <f>INDEX('Data_Price '!AK$2:AK$1266,MATCH(Data!$DN1230,'Data_Price '!$AT$2:$AT$1266,0))</f>
        <v>Salomon E S/RACE MT + Z12 GW F80 Blue/Yellow / 165cm</v>
      </c>
      <c r="DC1230" t="str">
        <f>INDEX('Data_Price '!AL$2:AL$1266,MATCH(Data!$DN1230,'Data_Price '!$AT$2:$AT$1266,0))</f>
        <v>Sundance Ski and Board Shop</v>
      </c>
      <c r="DD1230">
        <f>INDEX('Data_Price '!AM$2:AM$1266,MATCH(Data!$DN1230,'Data_Price '!$AT$2:$AT$1266,0))</f>
        <v>400.72</v>
      </c>
      <c r="DE1230" t="str">
        <f>INDEX('Data_Price '!AN$2:AN$1266,MATCH(Data!$DN1230,'Data_Price '!$AT$2:$AT$1266,0))</f>
        <v>https://tinyurl.com/y8gq9swn</v>
      </c>
      <c r="DF1230" t="str">
        <f>INDEX('Data_Price '!AO$2:AO$1266,MATCH(Data!$DN1230,'Data_Price '!$AT$2:$AT$1266,0))</f>
        <v>Salomon S/race Rush SL Skis Â· 165 cm</v>
      </c>
      <c r="DG1230" t="str">
        <f>INDEX('Data_Price '!AP$2:AP$1266,MATCH(Data!$DN1230,'Data_Price '!$AT$2:$AT$1266,0))</f>
        <v>Curated</v>
      </c>
      <c r="DH1230">
        <f>INDEX('Data_Price '!AQ$2:AQ$1266,MATCH(Data!$DN1230,'Data_Price '!$AT$2:$AT$1266,0))</f>
        <v>899.95</v>
      </c>
      <c r="DI1230" t="str">
        <f>INDEX('Data_Price '!AR$2:AR$1266,MATCH(Data!$DN1230,'Data_Price '!$AT$2:$AT$1266,0))</f>
        <v>https://tinyurl.com/ybzvwlp4</v>
      </c>
      <c r="DJ1230" s="89" t="str">
        <f t="shared" si="735"/>
        <v>https://tinyurl.com/ycsrmo9k</v>
      </c>
      <c r="DK1230" s="89" t="str">
        <f t="shared" si="736"/>
        <v>https://tinyurl.com/y8gq9swn</v>
      </c>
      <c r="DL1230" s="89" t="str">
        <f t="shared" si="737"/>
        <v>https://tinyurl.com/ybzvwlp4</v>
      </c>
      <c r="DM1230" s="219" t="str">
        <f t="shared" si="738"/>
        <v>S/Max 12</v>
      </c>
      <c r="DN1230" s="89" t="str">
        <f t="shared" si="739"/>
        <v xml:space="preserve"> SalomonS/Max 12165 Unisex</v>
      </c>
      <c r="DO1230" s="221"/>
    </row>
    <row r="1231" spans="2:119" ht="15.6" customHeight="1">
      <c r="B1231" s="219" t="b">
        <f t="array" ref="B1231">IF(OR(ISERROR(K1231:P1231)),FALSE,TRUE)</f>
        <v>1</v>
      </c>
      <c r="C1231" s="43" t="b">
        <f>OR(BR1231=Driver!$G$50,Data!BR172=Driver!$H$50)</f>
        <v>1</v>
      </c>
      <c r="D1231" s="43" t="b">
        <f>OR(BV1231=Driver!$G$51,BV1231=Driver!$H$51)</f>
        <v>1</v>
      </c>
      <c r="E1231" s="43" t="b">
        <f>AND(BX1231&gt;Driver!$F$54,BX1231&lt;Driver!$G$54)</f>
        <v>0</v>
      </c>
      <c r="F1231" s="43" t="b">
        <f>CL1231&gt;Driver!$F$56</f>
        <v>1</v>
      </c>
      <c r="G1231" s="43" t="b">
        <f>AND(CB1231&gt;Driver!$F$55,CB1231&lt;Driver!$G$55)</f>
        <v>0</v>
      </c>
      <c r="H1231" s="43" t="b">
        <f t="shared" si="703"/>
        <v>0</v>
      </c>
      <c r="I1231" s="43">
        <f t="shared" si="704"/>
        <v>0</v>
      </c>
      <c r="J1231" s="43" t="b">
        <f t="array" ref="J1231">NOT(OR(($H$9:$H$1273=TRUE)*($I$9:$I$1273&gt;0)*($BT$9:$BT$1273=BT1231)*($K$9:$K$1273&gt;K1231)))</f>
        <v>1</v>
      </c>
      <c r="K1231" s="72">
        <f t="shared" si="705"/>
        <v>0.70058750547278414</v>
      </c>
      <c r="L1231" s="72">
        <f t="shared" si="706"/>
        <v>0.83829804919890383</v>
      </c>
      <c r="M1231" s="72">
        <f t="shared" si="707"/>
        <v>0.56287696174666446</v>
      </c>
      <c r="N1231" s="72">
        <f t="shared" si="708"/>
        <v>0.53993477566527148</v>
      </c>
      <c r="O1231" s="72">
        <f t="shared" si="709"/>
        <v>0.6704162427756819</v>
      </c>
      <c r="P1231" s="72">
        <f t="shared" si="710"/>
        <v>0.47827986679904022</v>
      </c>
      <c r="Q1231" s="72"/>
      <c r="R1231" s="72"/>
      <c r="S1231" s="72">
        <f t="shared" si="711"/>
        <v>0.69772581404378275</v>
      </c>
      <c r="T1231" s="72">
        <f t="shared" si="712"/>
        <v>0.5943248811903693</v>
      </c>
      <c r="U1231" s="72">
        <f t="shared" si="713"/>
        <v>0.63968500698015307</v>
      </c>
      <c r="V1231" s="72">
        <f t="shared" si="714"/>
        <v>0.52177921012489747</v>
      </c>
      <c r="W1231" s="72">
        <f t="shared" si="715"/>
        <v>0.76343641758891612</v>
      </c>
      <c r="X1231" s="72">
        <f t="shared" si="716"/>
        <v>0.16170195080109617</v>
      </c>
      <c r="Y1231" s="72">
        <f t="shared" si="717"/>
        <v>0.43712303825333548</v>
      </c>
      <c r="Z1231" s="72">
        <f t="shared" si="718"/>
        <v>0.46006522433472852</v>
      </c>
      <c r="AA1231" s="72">
        <f t="shared" si="719"/>
        <v>0.32958375722431804</v>
      </c>
      <c r="AB1231" s="72">
        <f t="shared" si="720"/>
        <v>0.52172013320095978</v>
      </c>
      <c r="AC1231" s="72"/>
      <c r="AD1231" s="72"/>
      <c r="AE1231" s="72">
        <f t="shared" si="721"/>
        <v>0.3022741859562173</v>
      </c>
      <c r="AF1231" s="72">
        <f t="shared" si="722"/>
        <v>0.4056751188096307</v>
      </c>
      <c r="AG1231" s="72">
        <f t="shared" si="723"/>
        <v>0.36031499301984693</v>
      </c>
      <c r="AH1231" s="72">
        <f t="shared" si="724"/>
        <v>0.47822078987510253</v>
      </c>
      <c r="AI1231" s="72">
        <f t="shared" si="725"/>
        <v>0.23656358241108388</v>
      </c>
      <c r="AJ1231" s="72">
        <f>(AV1231-Driver!$K$179)/(Driver!$L$179-Driver!$K$179)</f>
        <v>0.4159213600837966</v>
      </c>
      <c r="AK1231" s="72">
        <f>(AW1231-Driver!$K$180)/(Driver!$L$180-Driver!$K$180)</f>
        <v>0.77003412571348984</v>
      </c>
      <c r="AL1231" s="72">
        <f>(AX1231-Driver!$K$181)/(Driver!$L$181-Driver!$K$181)</f>
        <v>0.56175298804780871</v>
      </c>
      <c r="AM1231" s="72">
        <f>(AY1231-Driver!$K$182)/(Driver!$L$182-Driver!$K$182)</f>
        <v>0.11780126387272831</v>
      </c>
      <c r="AN1231" s="72">
        <f>(AZ1231-Driver!$K$183)/(Driver!$L$183-Driver!$K$183)</f>
        <v>0.77593954248366015</v>
      </c>
      <c r="AO1231" s="72"/>
      <c r="AP1231" s="72"/>
      <c r="AQ1231" s="72">
        <f>(BC1231-Driver!$K$188)/(Driver!$L$188-Driver!$K$188)</f>
        <v>0.31772581404378269</v>
      </c>
      <c r="AR1231" s="72">
        <f>MIN((BD1231-Driver!$K$189)/(Driver!$L$189-Driver!$K$189),100%)</f>
        <v>0.14432488119036935</v>
      </c>
      <c r="AS1231" s="72">
        <f>(BE1231-Driver!$K$190)/(Driver!$L$190-Driver!$K$190)</f>
        <v>0.14968500698015308</v>
      </c>
      <c r="AT1231" s="72">
        <f>(BF1231-Driver!$K$191)/(Driver!$L$191-Driver!$K$191)</f>
        <v>3.1779210124897504E-2</v>
      </c>
      <c r="AU1231" s="72">
        <f>(BG1231-Driver!$K$192)/(Driver!$L$192-Driver!$K$192)</f>
        <v>1.3436417588916108E-2</v>
      </c>
      <c r="AV1231" s="70">
        <f t="shared" si="726"/>
        <v>8.7539004205670867</v>
      </c>
      <c r="AW1231" s="70">
        <f t="shared" si="727"/>
        <v>76.918541368704524</v>
      </c>
      <c r="AX1231" s="70">
        <f t="shared" si="728"/>
        <v>6.0557768924302788</v>
      </c>
      <c r="AY1231" s="70">
        <f>IFERROR(Driver!$K$19/Data!BH1231/Data!BI1231*Data!BK1231*Data!BL1231,"")</f>
        <v>0.14422389548496145</v>
      </c>
      <c r="AZ1231" s="70">
        <f t="shared" si="729"/>
        <v>70.718540580789281</v>
      </c>
      <c r="BA1231" s="70"/>
      <c r="BB1231" s="70"/>
      <c r="BC1231" s="70">
        <f t="shared" si="730"/>
        <v>164.80658853853475</v>
      </c>
      <c r="BD1231" s="70">
        <f t="shared" si="731"/>
        <v>14.493319140888199</v>
      </c>
      <c r="BE1231" s="70">
        <f t="shared" si="732"/>
        <v>0.1498366936042049</v>
      </c>
      <c r="BF1231" s="70">
        <f t="shared" si="733"/>
        <v>3.5892385220203202</v>
      </c>
      <c r="BG1231" s="70">
        <f t="shared" si="734"/>
        <v>5.087884849940863E-2</v>
      </c>
      <c r="BH1231" s="67">
        <f>MAX((CE1231-Driver!$F$200)/(Driver!$G$200-Driver!$F$200)*$BI$1,1)</f>
        <v>6.0557768924302788</v>
      </c>
      <c r="BI1231" s="67">
        <f>MAX($BI$1*(BY1231-Driver!$F$201)/(Driver!$G$201-Driver!$F$201),1)</f>
        <v>8.2911392405063289</v>
      </c>
      <c r="BJ1231" s="67">
        <f>(CB1231-Driver!$F$206)/(Driver!$G$206-Driver!$F$206)*$BI$1</f>
        <v>4.6031746031746028</v>
      </c>
      <c r="BK1231" s="67">
        <f>(CD1231-Driver!$F$203)/(Driver!$G$203-Driver!$F$203)*$BI$1</f>
        <v>5.0000000000000009</v>
      </c>
      <c r="BL1231" s="67">
        <f>MAX((CR1231-Driver!$F$202)/(Driver!$G$202-Driver!$F$202)*$BI$1,1)</f>
        <v>7.2413793103448274</v>
      </c>
      <c r="BM1231" s="67">
        <f>MAX((CH1231-Driver!$F$204)/(Driver!$G$204-Driver!$F$204)*$BI$1,1)</f>
        <v>7.6068376068376065</v>
      </c>
      <c r="BN1231" s="67">
        <f>(CI1231-Driver!$F$205)/(Driver!$G$205-Driver!$F$205)*$BI$1</f>
        <v>8.5294117647058822</v>
      </c>
      <c r="BO1231" s="67">
        <f>(CK1231-Driver!$F$207)/(Driver!$G$207-Driver!$F$207)*$BI$1</f>
        <v>1.7993795243019648</v>
      </c>
      <c r="BP1231" s="67">
        <f>(CM1231-Driver!$F$208)/(Driver!$G$208-Driver!$F$208)*$BI$1</f>
        <v>2.166666666666667</v>
      </c>
      <c r="BQ1231" s="67">
        <f>(CL1231-Driver!$F$209)/(Driver!$G$209-Driver!$F$209)*$BI$1</f>
        <v>2.34375</v>
      </c>
      <c r="BR1231" s="28" t="s">
        <v>155</v>
      </c>
      <c r="BS1231" s="8" t="s">
        <v>156</v>
      </c>
      <c r="BT1231" s="9" t="s">
        <v>611</v>
      </c>
      <c r="BU1231" s="10">
        <v>188</v>
      </c>
      <c r="BV1231" s="9" t="s">
        <v>158</v>
      </c>
      <c r="BW1231" s="10">
        <v>188</v>
      </c>
      <c r="BX1231" s="10">
        <v>187.1</v>
      </c>
      <c r="BY1231" s="10">
        <v>139</v>
      </c>
      <c r="BZ1231" s="10">
        <v>154</v>
      </c>
      <c r="CA1231" s="10">
        <v>129</v>
      </c>
      <c r="CB1231" s="10">
        <v>93</v>
      </c>
      <c r="CC1231" s="10">
        <v>114</v>
      </c>
      <c r="CD1231" s="10">
        <v>20.3</v>
      </c>
      <c r="CE1231" s="10">
        <v>1964</v>
      </c>
      <c r="CF1231" s="10">
        <v>0.99</v>
      </c>
      <c r="CG1231" s="10">
        <v>1952</v>
      </c>
      <c r="CH1231" s="10">
        <v>279</v>
      </c>
      <c r="CI1231" s="10">
        <v>178</v>
      </c>
      <c r="CJ1231" s="10">
        <v>49</v>
      </c>
      <c r="CK1231" s="10">
        <v>284</v>
      </c>
      <c r="CL1231" s="10">
        <v>15</v>
      </c>
      <c r="CM1231" s="10">
        <v>195</v>
      </c>
      <c r="CN1231" s="10">
        <v>0.30299999999999999</v>
      </c>
      <c r="CO1231" s="10">
        <v>176</v>
      </c>
      <c r="CP1231" s="10">
        <v>150</v>
      </c>
      <c r="CQ1231" s="10">
        <v>108</v>
      </c>
      <c r="CR1231" s="10">
        <v>10</v>
      </c>
      <c r="CS1231" s="10">
        <v>9</v>
      </c>
      <c r="CT1231" s="9" t="s">
        <v>188</v>
      </c>
      <c r="CU1231" s="10"/>
      <c r="CV1231" s="10"/>
      <c r="CW1231" s="10"/>
      <c r="CX1231" t="str">
        <f>INDEX('Data_Price '!AG$2:AG$1266,MATCH(Data!$DN1231,'Data_Price '!$AT$2:$AT$1266,0))</f>
        <v>Atomic Maverick 95 Ti</v>
      </c>
      <c r="CY1231" t="str">
        <f>INDEX('Data_Price '!AH$2:AH$1266,MATCH(Data!$DN1231,'Data_Price '!$AT$2:$AT$1266,0))</f>
        <v>REI</v>
      </c>
      <c r="CZ1231">
        <f>INDEX('Data_Price '!AI$2:AI$1266,MATCH(Data!$DN1231,'Data_Price '!$AT$2:$AT$1266,0))</f>
        <v>559.92999999999995</v>
      </c>
      <c r="DA1231" t="str">
        <f>INDEX('Data_Price '!AJ$2:AJ$1266,MATCH(Data!$DN1231,'Data_Price '!$AT$2:$AT$1266,0))</f>
        <v>https://tinyurl.com/y7nx3n9d</v>
      </c>
      <c r="DB1231" t="str">
        <f>INDEX('Data_Price '!AK$2:AK$1266,MATCH(Data!$DN1231,'Data_Price '!$AT$2:$AT$1266,0))</f>
        <v>Atomic Maverick 95 Ti</v>
      </c>
      <c r="DC1231" t="str">
        <f>INDEX('Data_Price '!AL$2:AL$1266,MATCH(Data!$DN1231,'Data_Price '!$AT$2:$AT$1266,0))</f>
        <v>Backcountry.com</v>
      </c>
      <c r="DD1231">
        <f>INDEX('Data_Price '!AM$2:AM$1266,MATCH(Data!$DN1231,'Data_Price '!$AT$2:$AT$1266,0))</f>
        <v>559.96</v>
      </c>
      <c r="DE1231" t="str">
        <f>INDEX('Data_Price '!AN$2:AN$1266,MATCH(Data!$DN1231,'Data_Price '!$AT$2:$AT$1266,0))</f>
        <v>https://tinyurl.com/y8y4ur8x</v>
      </c>
      <c r="DF1231" t="str">
        <f>INDEX('Data_Price '!AO$2:AO$1266,MATCH(Data!$DN1231,'Data_Price '!$AT$2:$AT$1266,0))</f>
        <v>Atomic Maverick 95 Ti</v>
      </c>
      <c r="DG1231" t="str">
        <f>INDEX('Data_Price '!AP$2:AP$1266,MATCH(Data!$DN1231,'Data_Price '!$AT$2:$AT$1266,0))</f>
        <v>evo.com</v>
      </c>
      <c r="DH1231">
        <f>INDEX('Data_Price '!AQ$2:AQ$1266,MATCH(Data!$DN1231,'Data_Price '!$AT$2:$AT$1266,0))</f>
        <v>559.98</v>
      </c>
      <c r="DI1231" t="str">
        <f>INDEX('Data_Price '!AR$2:AR$1266,MATCH(Data!$DN1231,'Data_Price '!$AT$2:$AT$1266,0))</f>
        <v>https://tinyurl.com/y9la5aj4</v>
      </c>
      <c r="DJ1231" s="89" t="str">
        <f t="shared" si="735"/>
        <v>https://tinyurl.com/y7nx3n9d</v>
      </c>
      <c r="DK1231" s="89" t="str">
        <f t="shared" si="736"/>
        <v>https://tinyurl.com/y8y4ur8x</v>
      </c>
      <c r="DL1231" s="89" t="str">
        <f t="shared" si="737"/>
        <v>https://tinyurl.com/y9la5aj4</v>
      </c>
      <c r="DM1231" s="219" t="str">
        <f t="shared" si="738"/>
        <v>Maverick 95 Ti</v>
      </c>
      <c r="DN1231" s="89" t="str">
        <f t="shared" si="739"/>
        <v xml:space="preserve"> AtomicMaverick 95 Ti188 Unisex</v>
      </c>
      <c r="DO1231" s="221" t="s">
        <v>612</v>
      </c>
    </row>
    <row r="1232" spans="2:119" ht="15.6" customHeight="1">
      <c r="B1232" s="219" t="b">
        <f t="array" ref="B1232">IF(OR(ISERROR(K1232:P1232)),FALSE,TRUE)</f>
        <v>1</v>
      </c>
      <c r="C1232" s="43" t="b">
        <f>OR(BR1232=Driver!$G$50,Data!BR1205=Driver!$H$50)</f>
        <v>1</v>
      </c>
      <c r="D1232" s="43" t="b">
        <f>OR(BV1232=Driver!$G$51,BV1232=Driver!$H$51)</f>
        <v>1</v>
      </c>
      <c r="E1232" s="43" t="b">
        <f>AND(BX1232&gt;Driver!$F$54,BX1232&lt;Driver!$G$54)</f>
        <v>0</v>
      </c>
      <c r="F1232" s="43" t="b">
        <f>CL1232&gt;Driver!$F$56</f>
        <v>1</v>
      </c>
      <c r="G1232" s="43" t="b">
        <f>AND(CB1232&gt;Driver!$F$55,CB1232&lt;Driver!$G$55)</f>
        <v>1</v>
      </c>
      <c r="H1232" s="43" t="b">
        <f t="shared" si="703"/>
        <v>0</v>
      </c>
      <c r="I1232" s="43">
        <f t="shared" si="704"/>
        <v>0</v>
      </c>
      <c r="J1232" s="43" t="b">
        <f t="array" ref="J1232">NOT(OR(($H$9:$H$1273=TRUE)*($I$9:$I$1273&gt;0)*($BT$9:$BT$1273=BT1232)*($K$9:$K$1273&gt;K1232)))</f>
        <v>1</v>
      </c>
      <c r="K1232" s="72">
        <f t="shared" si="705"/>
        <v>0.65963588485060676</v>
      </c>
      <c r="L1232" s="72">
        <f t="shared" si="706"/>
        <v>0.79341850685743265</v>
      </c>
      <c r="M1232" s="72">
        <f t="shared" si="707"/>
        <v>0.52585326284378087</v>
      </c>
      <c r="N1232" s="72">
        <f t="shared" si="708"/>
        <v>0.31417116344747598</v>
      </c>
      <c r="O1232" s="72">
        <f t="shared" si="709"/>
        <v>0.62207771253319244</v>
      </c>
      <c r="P1232" s="72">
        <f t="shared" si="710"/>
        <v>0.64131091255067441</v>
      </c>
      <c r="Q1232" s="72"/>
      <c r="R1232" s="72"/>
      <c r="S1232" s="72">
        <f t="shared" si="711"/>
        <v>0.58988505268209401</v>
      </c>
      <c r="T1232" s="72">
        <f t="shared" si="712"/>
        <v>0.507862920544775</v>
      </c>
      <c r="U1232" s="72">
        <f t="shared" si="713"/>
        <v>0.54920429187252162</v>
      </c>
      <c r="V1232" s="72">
        <f t="shared" si="714"/>
        <v>0.55376054025644705</v>
      </c>
      <c r="W1232" s="72">
        <f t="shared" si="715"/>
        <v>0.76705539358600583</v>
      </c>
      <c r="X1232" s="72">
        <f t="shared" si="716"/>
        <v>0.20658149314256741</v>
      </c>
      <c r="Y1232" s="72">
        <f t="shared" si="717"/>
        <v>0.47414673715621908</v>
      </c>
      <c r="Z1232" s="72">
        <f t="shared" si="718"/>
        <v>0.68582883655252402</v>
      </c>
      <c r="AA1232" s="72">
        <f t="shared" si="719"/>
        <v>0.37792228746680762</v>
      </c>
      <c r="AB1232" s="72">
        <f t="shared" si="720"/>
        <v>0.35868908744932565</v>
      </c>
      <c r="AC1232" s="72"/>
      <c r="AD1232" s="72"/>
      <c r="AE1232" s="72">
        <f t="shared" si="721"/>
        <v>0.41011494731790599</v>
      </c>
      <c r="AF1232" s="72">
        <f t="shared" si="722"/>
        <v>0.492137079455225</v>
      </c>
      <c r="AG1232" s="72">
        <f t="shared" si="723"/>
        <v>0.45079570812747838</v>
      </c>
      <c r="AH1232" s="72">
        <f t="shared" si="724"/>
        <v>0.44623945974355295</v>
      </c>
      <c r="AI1232" s="72">
        <f t="shared" si="725"/>
        <v>0.23294460641399417</v>
      </c>
      <c r="AJ1232" s="72">
        <f>(AV1232-Driver!$K$179)/(Driver!$L$179-Driver!$K$179)</f>
        <v>0.46080090242526783</v>
      </c>
      <c r="AK1232" s="72">
        <f>(AW1232-Driver!$K$180)/(Driver!$L$180-Driver!$K$180)</f>
        <v>0.6378159380242806</v>
      </c>
      <c r="AL1232" s="72">
        <f>(AX1232-Driver!$K$181)/(Driver!$L$181-Driver!$K$181)</f>
        <v>0.78751660026560422</v>
      </c>
      <c r="AM1232" s="72">
        <f>(AY1232-Driver!$K$182)/(Driver!$L$182-Driver!$K$182)</f>
        <v>6.9462733630238749E-2</v>
      </c>
      <c r="AN1232" s="72">
        <f>(AZ1232-Driver!$K$183)/(Driver!$L$183-Driver!$K$183)</f>
        <v>0.61290849673202608</v>
      </c>
      <c r="AO1232" s="72"/>
      <c r="AP1232" s="72"/>
      <c r="AQ1232" s="72">
        <f>(BC1232-Driver!$K$188)/(Driver!$L$188-Driver!$K$188)</f>
        <v>0.20988505268209401</v>
      </c>
      <c r="AR1232" s="72">
        <f>MIN((BD1232-Driver!$K$189)/(Driver!$L$189-Driver!$K$189),100%)</f>
        <v>5.7862920544775057E-2</v>
      </c>
      <c r="AS1232" s="72">
        <f>(BE1232-Driver!$K$190)/(Driver!$L$190-Driver!$K$190)</f>
        <v>5.9204291872521617E-2</v>
      </c>
      <c r="AT1232" s="72">
        <f>(BF1232-Driver!$K$191)/(Driver!$L$191-Driver!$K$191)</f>
        <v>6.3760540256447076E-2</v>
      </c>
      <c r="AU1232" s="72">
        <f>(BG1232-Driver!$K$192)/(Driver!$L$192-Driver!$K$192)</f>
        <v>1.7055393586005833E-2</v>
      </c>
      <c r="AV1232" s="70">
        <f t="shared" si="726"/>
        <v>9.698480531813864</v>
      </c>
      <c r="AW1232" s="70">
        <f t="shared" si="727"/>
        <v>64.032707406065967</v>
      </c>
      <c r="AX1232" s="70">
        <f t="shared" si="728"/>
        <v>8.0876494023904382</v>
      </c>
      <c r="AY1232" s="70">
        <f>IFERROR(Driver!$K$19/Data!BH1232/Data!BI1232*Data!BK1232*Data!BL1232,"")</f>
        <v>8.5043111642765151E-2</v>
      </c>
      <c r="AZ1232" s="70">
        <f t="shared" si="729"/>
        <v>55.860014892032758</v>
      </c>
      <c r="BA1232" s="70"/>
      <c r="BB1232" s="70"/>
      <c r="BC1232" s="70">
        <f t="shared" si="730"/>
        <v>108.86883592341663</v>
      </c>
      <c r="BD1232" s="70">
        <f t="shared" si="731"/>
        <v>6.8415888252819572</v>
      </c>
      <c r="BE1232" s="70">
        <f t="shared" si="732"/>
        <v>5.9372119237744811E-2</v>
      </c>
      <c r="BF1232" s="70">
        <f t="shared" si="733"/>
        <v>7.2013050788185806</v>
      </c>
      <c r="BG1232" s="70">
        <f t="shared" si="734"/>
        <v>6.4582600281491917E-2</v>
      </c>
      <c r="BH1232" s="67">
        <f>MAX((CE1232-Driver!$F$200)/(Driver!$G$200-Driver!$F$200)*$BI$1,1)</f>
        <v>8.0876494023904382</v>
      </c>
      <c r="BI1232" s="67">
        <f>MAX($BI$1*(BY1232-Driver!$F$201)/(Driver!$G$201-Driver!$F$201),1)</f>
        <v>7.6582278481012658</v>
      </c>
      <c r="BJ1232" s="67">
        <f>(CB1232-Driver!$F$206)/(Driver!$G$206-Driver!$F$206)*$BI$1</f>
        <v>6.825396825396826</v>
      </c>
      <c r="BK1232" s="67">
        <f>(CD1232-Driver!$F$203)/(Driver!$G$203-Driver!$F$203)*$BI$1</f>
        <v>5.0917431192660558</v>
      </c>
      <c r="BL1232" s="67">
        <f>MAX((CR1232-Driver!$F$202)/(Driver!$G$202-Driver!$F$202)*$BI$1,1)</f>
        <v>5.1724137931034484</v>
      </c>
      <c r="BM1232" s="67">
        <f>MAX((CH1232-Driver!$F$204)/(Driver!$G$204-Driver!$F$204)*$BI$1,1)</f>
        <v>5.6837606837606831</v>
      </c>
      <c r="BN1232" s="67">
        <f>(CI1232-Driver!$F$205)/(Driver!$G$205-Driver!$F$205)*$BI$1</f>
        <v>7.2941176470588234</v>
      </c>
      <c r="BO1232" s="67">
        <f>(CK1232-Driver!$F$207)/(Driver!$G$207-Driver!$F$207)*$BI$1</f>
        <v>2.0062047569803516</v>
      </c>
      <c r="BP1232" s="67">
        <f>(CM1232-Driver!$F$208)/(Driver!$G$208-Driver!$F$208)*$BI$1</f>
        <v>2.677777777777778</v>
      </c>
      <c r="BQ1232" s="67">
        <f>(CL1232-Driver!$F$209)/(Driver!$G$209-Driver!$F$209)*$BI$1</f>
        <v>2.96875</v>
      </c>
      <c r="BR1232" s="28" t="s">
        <v>155</v>
      </c>
      <c r="BS1232" s="8" t="s">
        <v>229</v>
      </c>
      <c r="BT1232" s="9" t="s">
        <v>861</v>
      </c>
      <c r="BU1232" s="10">
        <v>184</v>
      </c>
      <c r="BV1232" s="9" t="s">
        <v>158</v>
      </c>
      <c r="BW1232" s="10">
        <v>184</v>
      </c>
      <c r="BX1232" s="10">
        <v>183.1</v>
      </c>
      <c r="BY1232" s="10">
        <v>129</v>
      </c>
      <c r="BZ1232" s="10">
        <v>160</v>
      </c>
      <c r="CA1232" s="10">
        <v>145</v>
      </c>
      <c r="CB1232" s="10">
        <v>107</v>
      </c>
      <c r="CC1232" s="10">
        <v>128</v>
      </c>
      <c r="CD1232" s="10">
        <v>20.5</v>
      </c>
      <c r="CE1232" s="10">
        <v>2321</v>
      </c>
      <c r="CF1232" s="10">
        <v>0.94</v>
      </c>
      <c r="CG1232" s="10">
        <v>2175</v>
      </c>
      <c r="CH1232" s="10">
        <v>234</v>
      </c>
      <c r="CI1232" s="10">
        <v>157</v>
      </c>
      <c r="CJ1232" s="10">
        <v>50</v>
      </c>
      <c r="CK1232" s="10">
        <v>304</v>
      </c>
      <c r="CL1232" s="10">
        <v>19</v>
      </c>
      <c r="CM1232" s="10">
        <v>241</v>
      </c>
      <c r="CN1232" s="10">
        <v>0.38800000000000001</v>
      </c>
      <c r="CO1232" s="10">
        <v>128</v>
      </c>
      <c r="CP1232" s="10">
        <v>104</v>
      </c>
      <c r="CQ1232" s="10">
        <v>176</v>
      </c>
      <c r="CR1232" s="10">
        <v>4</v>
      </c>
      <c r="CS1232" s="10">
        <v>11.8</v>
      </c>
      <c r="CT1232" s="9" t="s">
        <v>169</v>
      </c>
      <c r="CU1232" s="9" t="s">
        <v>178</v>
      </c>
      <c r="CV1232" s="10"/>
      <c r="CW1232" s="10"/>
      <c r="CX1232" t="e">
        <f>INDEX('Data_Price '!AG$2:AG$1266,MATCH(Data!$DN1232,'Data_Price '!$AT$2:$AT$1266,0))</f>
        <v>#N/A</v>
      </c>
      <c r="CY1232" t="e">
        <f>INDEX('Data_Price '!AH$2:AH$1266,MATCH(Data!$DN1232,'Data_Price '!$AT$2:$AT$1266,0))</f>
        <v>#N/A</v>
      </c>
      <c r="CZ1232" t="e">
        <f>INDEX('Data_Price '!AI$2:AI$1266,MATCH(Data!$DN1232,'Data_Price '!$AT$2:$AT$1266,0))</f>
        <v>#N/A</v>
      </c>
      <c r="DA1232" t="e">
        <f>INDEX('Data_Price '!AJ$2:AJ$1266,MATCH(Data!$DN1232,'Data_Price '!$AT$2:$AT$1266,0))</f>
        <v>#N/A</v>
      </c>
      <c r="DB1232" t="e">
        <f>INDEX('Data_Price '!AK$2:AK$1266,MATCH(Data!$DN1232,'Data_Price '!$AT$2:$AT$1266,0))</f>
        <v>#N/A</v>
      </c>
      <c r="DC1232" t="e">
        <f>INDEX('Data_Price '!AL$2:AL$1266,MATCH(Data!$DN1232,'Data_Price '!$AT$2:$AT$1266,0))</f>
        <v>#N/A</v>
      </c>
      <c r="DD1232" t="e">
        <f>INDEX('Data_Price '!AM$2:AM$1266,MATCH(Data!$DN1232,'Data_Price '!$AT$2:$AT$1266,0))</f>
        <v>#N/A</v>
      </c>
      <c r="DE1232" t="e">
        <f>INDEX('Data_Price '!AN$2:AN$1266,MATCH(Data!$DN1232,'Data_Price '!$AT$2:$AT$1266,0))</f>
        <v>#N/A</v>
      </c>
      <c r="DF1232" t="e">
        <f>INDEX('Data_Price '!AO$2:AO$1266,MATCH(Data!$DN1232,'Data_Price '!$AT$2:$AT$1266,0))</f>
        <v>#N/A</v>
      </c>
      <c r="DG1232" t="e">
        <f>INDEX('Data_Price '!AP$2:AP$1266,MATCH(Data!$DN1232,'Data_Price '!$AT$2:$AT$1266,0))</f>
        <v>#N/A</v>
      </c>
      <c r="DH1232" t="e">
        <f>INDEX('Data_Price '!AQ$2:AQ$1266,MATCH(Data!$DN1232,'Data_Price '!$AT$2:$AT$1266,0))</f>
        <v>#N/A</v>
      </c>
      <c r="DI1232" t="e">
        <f>INDEX('Data_Price '!AR$2:AR$1266,MATCH(Data!$DN1232,'Data_Price '!$AT$2:$AT$1266,0))</f>
        <v>#N/A</v>
      </c>
      <c r="DJ1232" s="89" t="e">
        <f t="shared" si="735"/>
        <v>#N/A</v>
      </c>
      <c r="DK1232" s="89" t="e">
        <f t="shared" si="736"/>
        <v>#N/A</v>
      </c>
      <c r="DL1232" s="89" t="e">
        <f t="shared" si="737"/>
        <v>#N/A</v>
      </c>
      <c r="DM1232" s="219" t="str">
        <f t="shared" si="738"/>
        <v>Katana 108</v>
      </c>
      <c r="DN1232" s="89" t="str">
        <f t="shared" si="739"/>
        <v xml:space="preserve"> VölklKatana 108184 Unisex</v>
      </c>
      <c r="DO1232" s="221" t="s">
        <v>862</v>
      </c>
    </row>
    <row r="1233" spans="2:119" ht="15.6" customHeight="1">
      <c r="B1233" s="219" t="b">
        <f t="array" ref="B1233">IF(OR(ISERROR(K1233:P1233)),FALSE,TRUE)</f>
        <v>1</v>
      </c>
      <c r="C1233" s="43" t="b">
        <f>OR(BR1233=Driver!$G$50,Data!BR990=Driver!$H$50)</f>
        <v>1</v>
      </c>
      <c r="D1233" s="43" t="b">
        <f>OR(BV1233=Driver!$G$51,BV1233=Driver!$H$51)</f>
        <v>1</v>
      </c>
      <c r="E1233" s="43" t="b">
        <f>AND(BX1233&gt;Driver!$F$54,BX1233&lt;Driver!$G$54)</f>
        <v>0</v>
      </c>
      <c r="F1233" s="43" t="b">
        <f>CL1233&gt;Driver!$F$56</f>
        <v>1</v>
      </c>
      <c r="G1233" s="43" t="b">
        <f>AND(CB1233&gt;Driver!$F$55,CB1233&lt;Driver!$G$55)</f>
        <v>1</v>
      </c>
      <c r="H1233" s="43" t="b">
        <f t="shared" si="703"/>
        <v>0</v>
      </c>
      <c r="I1233" s="43">
        <f t="shared" si="704"/>
        <v>0</v>
      </c>
      <c r="J1233" s="43" t="b">
        <f t="array" ref="J1233">NOT(OR(($H$9:$H$1273=TRUE)*($I$9:$I$1273&gt;0)*($BT$9:$BT$1273=BT1233)*($K$9:$K$1273&gt;K1233)))</f>
        <v>1</v>
      </c>
      <c r="K1233" s="72">
        <f t="shared" si="705"/>
        <v>0.59685048917717287</v>
      </c>
      <c r="L1233" s="72">
        <f t="shared" si="706"/>
        <v>0.6199433638391425</v>
      </c>
      <c r="M1233" s="72">
        <f t="shared" si="707"/>
        <v>0.57375761451520324</v>
      </c>
      <c r="N1233" s="72">
        <f t="shared" si="708"/>
        <v>0.33630485091980877</v>
      </c>
      <c r="O1233" s="72">
        <f t="shared" si="709"/>
        <v>0.65121426961761064</v>
      </c>
      <c r="P1233" s="72">
        <f t="shared" si="710"/>
        <v>0.73375372300819053</v>
      </c>
      <c r="Q1233" s="72"/>
      <c r="R1233" s="72"/>
      <c r="S1233" s="72">
        <f t="shared" si="711"/>
        <v>0.61843241289006357</v>
      </c>
      <c r="T1233" s="72">
        <f t="shared" si="712"/>
        <v>0.53542786519030139</v>
      </c>
      <c r="U1233" s="72">
        <f t="shared" si="713"/>
        <v>0.63200329321877236</v>
      </c>
      <c r="V1233" s="72">
        <f t="shared" si="714"/>
        <v>0.52572539602818491</v>
      </c>
      <c r="W1233" s="72">
        <f t="shared" si="715"/>
        <v>0.75765016233766236</v>
      </c>
      <c r="X1233" s="72">
        <f t="shared" si="716"/>
        <v>0.38005663616085755</v>
      </c>
      <c r="Y1233" s="72">
        <f t="shared" si="717"/>
        <v>0.4262423854847967</v>
      </c>
      <c r="Z1233" s="72">
        <f t="shared" si="718"/>
        <v>0.66369514908019123</v>
      </c>
      <c r="AA1233" s="72">
        <f t="shared" si="719"/>
        <v>0.3487857303823893</v>
      </c>
      <c r="AB1233" s="72">
        <f t="shared" si="720"/>
        <v>0.26624627699180942</v>
      </c>
      <c r="AC1233" s="72"/>
      <c r="AD1233" s="72"/>
      <c r="AE1233" s="72">
        <f t="shared" si="721"/>
        <v>0.38156758710993649</v>
      </c>
      <c r="AF1233" s="72">
        <f t="shared" si="722"/>
        <v>0.46457213480969861</v>
      </c>
      <c r="AG1233" s="72">
        <f t="shared" si="723"/>
        <v>0.36799670678122764</v>
      </c>
      <c r="AH1233" s="72">
        <f t="shared" si="724"/>
        <v>0.47427460397181503</v>
      </c>
      <c r="AI1233" s="72">
        <f t="shared" si="725"/>
        <v>0.24234983766233767</v>
      </c>
      <c r="AJ1233" s="72">
        <f>(AV1233-Driver!$K$179)/(Driver!$L$179-Driver!$K$179)</f>
        <v>0.63427604544355798</v>
      </c>
      <c r="AK1233" s="72">
        <f>(AW1233-Driver!$K$180)/(Driver!$L$180-Driver!$K$180)</f>
        <v>0.54968953470085713</v>
      </c>
      <c r="AL1233" s="72">
        <f>(AX1233-Driver!$K$181)/(Driver!$L$181-Driver!$K$181)</f>
        <v>0.76538291279327142</v>
      </c>
      <c r="AM1233" s="72">
        <f>(AY1233-Driver!$K$182)/(Driver!$L$182-Driver!$K$182)</f>
        <v>9.8599290714657076E-2</v>
      </c>
      <c r="AN1233" s="72">
        <f>(AZ1233-Driver!$K$183)/(Driver!$L$183-Driver!$K$183)</f>
        <v>0.52046568627450984</v>
      </c>
      <c r="AO1233" s="72"/>
      <c r="AP1233" s="72"/>
      <c r="AQ1233" s="72">
        <f>(BC1233-Driver!$K$188)/(Driver!$L$188-Driver!$K$188)</f>
        <v>0.23843241289006351</v>
      </c>
      <c r="AR1233" s="72">
        <f>MIN((BD1233-Driver!$K$189)/(Driver!$L$189-Driver!$K$189),100%)</f>
        <v>8.5427865190301447E-2</v>
      </c>
      <c r="AS1233" s="72">
        <f>(BE1233-Driver!$K$190)/(Driver!$L$190-Driver!$K$190)</f>
        <v>0.14200329321877234</v>
      </c>
      <c r="AT1233" s="72">
        <f>(BF1233-Driver!$K$191)/(Driver!$L$191-Driver!$K$191)</f>
        <v>3.5725396028184989E-2</v>
      </c>
      <c r="AU1233" s="72">
        <f>(BG1233-Driver!$K$192)/(Driver!$L$192-Driver!$K$192)</f>
        <v>7.6501623376623376E-3</v>
      </c>
      <c r="AV1233" s="70">
        <f t="shared" si="726"/>
        <v>13.349613349613348</v>
      </c>
      <c r="AW1233" s="70">
        <f t="shared" si="727"/>
        <v>55.444008522827289</v>
      </c>
      <c r="AX1233" s="70">
        <f t="shared" si="728"/>
        <v>7.8884462151394423</v>
      </c>
      <c r="AY1233" s="70">
        <f>IFERROR(Driver!$K$19/Data!BH1233/Data!BI1233*Data!BK1233*Data!BL1233,"")</f>
        <v>0.12071495102366328</v>
      </c>
      <c r="AZ1233" s="70">
        <f t="shared" si="729"/>
        <v>47.434847356664186</v>
      </c>
      <c r="BA1233" s="70"/>
      <c r="BB1233" s="70"/>
      <c r="BC1233" s="70">
        <f t="shared" si="730"/>
        <v>123.67655012131887</v>
      </c>
      <c r="BD1233" s="70">
        <f t="shared" si="731"/>
        <v>9.2810375842192752</v>
      </c>
      <c r="BE1233" s="70">
        <f t="shared" si="732"/>
        <v>0.14215635017409781</v>
      </c>
      <c r="BF1233" s="70">
        <f t="shared" si="733"/>
        <v>4.0349324962716295</v>
      </c>
      <c r="BG1233" s="70">
        <f t="shared" si="734"/>
        <v>2.896839488636364E-2</v>
      </c>
      <c r="BH1233" s="67">
        <f>MAX((CE1233-Driver!$F$200)/(Driver!$G$200-Driver!$F$200)*$BI$1,1)</f>
        <v>7.8884462151394423</v>
      </c>
      <c r="BI1233" s="67">
        <f>MAX($BI$1*(BY1233-Driver!$F$201)/(Driver!$G$201-Driver!$F$201),1)</f>
        <v>8.6708860759493671</v>
      </c>
      <c r="BJ1233" s="67">
        <f>(CB1233-Driver!$F$206)/(Driver!$G$206-Driver!$F$206)*$BI$1</f>
        <v>6.5079365079365079</v>
      </c>
      <c r="BK1233" s="67">
        <f>(CD1233-Driver!$F$203)/(Driver!$G$203-Driver!$F$203)*$BI$1</f>
        <v>6.6513761467889907</v>
      </c>
      <c r="BL1233" s="67">
        <f>MAX((CR1233-Driver!$F$202)/(Driver!$G$202-Driver!$F$202)*$BI$1,1)</f>
        <v>6.2068965517241379</v>
      </c>
      <c r="BM1233" s="67">
        <f>MAX((CH1233-Driver!$F$204)/(Driver!$G$204-Driver!$F$204)*$BI$1,1)</f>
        <v>8.2051282051282044</v>
      </c>
      <c r="BN1233" s="67">
        <f>(CI1233-Driver!$F$205)/(Driver!$G$205-Driver!$F$205)*$BI$1</f>
        <v>5.4705882352941178</v>
      </c>
      <c r="BO1233" s="67">
        <f>(CK1233-Driver!$F$207)/(Driver!$G$207-Driver!$F$207)*$BI$1</f>
        <v>2.0062047569803516</v>
      </c>
      <c r="BP1233" s="67">
        <f>(CM1233-Driver!$F$208)/(Driver!$G$208-Driver!$F$208)*$BI$1</f>
        <v>2.0555555555555554</v>
      </c>
      <c r="BQ1233" s="67">
        <f>(CL1233-Driver!$F$209)/(Driver!$G$209-Driver!$F$209)*$BI$1</f>
        <v>1.875</v>
      </c>
      <c r="BR1233" s="28" t="s">
        <v>155</v>
      </c>
      <c r="BS1233" s="8" t="s">
        <v>172</v>
      </c>
      <c r="BT1233" s="9" t="s">
        <v>893</v>
      </c>
      <c r="BU1233" s="10">
        <v>194</v>
      </c>
      <c r="BV1233" s="9" t="s">
        <v>158</v>
      </c>
      <c r="BW1233" s="10">
        <v>194</v>
      </c>
      <c r="BX1233" s="10">
        <v>193.9</v>
      </c>
      <c r="BY1233" s="10">
        <v>145</v>
      </c>
      <c r="BZ1233" s="10">
        <v>167</v>
      </c>
      <c r="CA1233" s="10">
        <v>136</v>
      </c>
      <c r="CB1233" s="10">
        <v>105</v>
      </c>
      <c r="CC1233" s="10">
        <v>127</v>
      </c>
      <c r="CD1233" s="10">
        <v>23.9</v>
      </c>
      <c r="CE1233" s="10">
        <v>2286</v>
      </c>
      <c r="CF1233" s="10">
        <v>0.98</v>
      </c>
      <c r="CG1233" s="10">
        <v>2231</v>
      </c>
      <c r="CH1233" s="10">
        <v>293</v>
      </c>
      <c r="CI1233" s="10">
        <v>126</v>
      </c>
      <c r="CJ1233" s="10">
        <v>51</v>
      </c>
      <c r="CK1233" s="10">
        <v>304</v>
      </c>
      <c r="CL1233" s="10">
        <v>12</v>
      </c>
      <c r="CM1233" s="10">
        <v>185</v>
      </c>
      <c r="CN1233" s="10">
        <v>0.22600000000000001</v>
      </c>
      <c r="CO1233" s="10">
        <v>161</v>
      </c>
      <c r="CP1233" s="10">
        <v>104</v>
      </c>
      <c r="CQ1233" s="10">
        <v>142</v>
      </c>
      <c r="CR1233" s="10">
        <v>7</v>
      </c>
      <c r="CS1233" s="10">
        <v>7.9</v>
      </c>
      <c r="CT1233" s="9" t="s">
        <v>188</v>
      </c>
      <c r="CU1233" s="9" t="s">
        <v>178</v>
      </c>
      <c r="CV1233" s="10"/>
      <c r="CW1233" s="10"/>
      <c r="CX1233" t="str">
        <f>INDEX('Data_Price '!AG$2:AG$1266,MATCH(Data!$DN1233,'Data_Price '!$AT$2:$AT$1266,0))</f>
        <v>Rossignol Blackops Sender Ti Skis</v>
      </c>
      <c r="CY1233" t="str">
        <f>INDEX('Data_Price '!AH$2:AH$1266,MATCH(Data!$DN1233,'Data_Price '!$AT$2:$AT$1266,0))</f>
        <v>Snowcountry.eu</v>
      </c>
      <c r="CZ1233">
        <f>INDEX('Data_Price '!AI$2:AI$1266,MATCH(Data!$DN1233,'Data_Price '!$AT$2:$AT$1266,0))</f>
        <v>460</v>
      </c>
      <c r="DA1233" t="str">
        <f>INDEX('Data_Price '!AJ$2:AJ$1266,MATCH(Data!$DN1233,'Data_Price '!$AT$2:$AT$1266,0))</f>
        <v>https://tinyurl.com/y7zzb48c</v>
      </c>
      <c r="DB1233" t="str">
        <f>INDEX('Data_Price '!AK$2:AK$1266,MATCH(Data!$DN1233,'Data_Price '!$AT$2:$AT$1266,0))</f>
        <v>Rossignol Blackops Sender TI 194cm</v>
      </c>
      <c r="DC1233" t="str">
        <f>INDEX('Data_Price '!AL$2:AL$1266,MATCH(Data!$DN1233,'Data_Price '!$AT$2:$AT$1266,0))</f>
        <v>Sundance Ski and Board Shop</v>
      </c>
      <c r="DD1233">
        <f>INDEX('Data_Price '!AM$2:AM$1266,MATCH(Data!$DN1233,'Data_Price '!$AT$2:$AT$1266,0))</f>
        <v>544.98</v>
      </c>
      <c r="DE1233" t="str">
        <f>INDEX('Data_Price '!AN$2:AN$1266,MATCH(Data!$DN1233,'Data_Price '!$AT$2:$AT$1266,0))</f>
        <v>https://tinyurl.com/y87rwc5j</v>
      </c>
      <c r="DF1233" t="str">
        <f>INDEX('Data_Price '!AO$2:AO$1266,MATCH(Data!$DN1233,'Data_Price '!$AT$2:$AT$1266,0))</f>
        <v>Rossignol Blackops Sender TI Skis 2022</v>
      </c>
      <c r="DG1233" t="str">
        <f>INDEX('Data_Price '!AP$2:AP$1266,MATCH(Data!$DN1233,'Data_Price '!$AT$2:$AT$1266,0))</f>
        <v>Saint Bernard</v>
      </c>
      <c r="DH1233">
        <f>INDEX('Data_Price '!AQ$2:AQ$1266,MATCH(Data!$DN1233,'Data_Price '!$AT$2:$AT$1266,0))</f>
        <v>631.9</v>
      </c>
      <c r="DI1233" t="str">
        <f>INDEX('Data_Price '!AR$2:AR$1266,MATCH(Data!$DN1233,'Data_Price '!$AT$2:$AT$1266,0))</f>
        <v>https://tinyurl.com/yb4stvy6</v>
      </c>
      <c r="DJ1233" s="89" t="str">
        <f t="shared" si="735"/>
        <v>https://tinyurl.com/y7zzb48c</v>
      </c>
      <c r="DK1233" s="89" t="str">
        <f t="shared" si="736"/>
        <v>https://tinyurl.com/y87rwc5j</v>
      </c>
      <c r="DL1233" s="89" t="str">
        <f t="shared" si="737"/>
        <v>https://tinyurl.com/yb4stvy6</v>
      </c>
      <c r="DM1233" s="219" t="str">
        <f t="shared" si="738"/>
        <v>Blackops Sender Ti</v>
      </c>
      <c r="DN1233" s="89" t="str">
        <f t="shared" si="739"/>
        <v xml:space="preserve"> RossignolBlackops Sender Ti194 Unisex</v>
      </c>
      <c r="DO1233" s="221"/>
    </row>
    <row r="1234" spans="2:119" ht="15.6" customHeight="1">
      <c r="B1234" s="219" t="b">
        <f t="array" ref="B1234">IF(OR(ISERROR(K1234:P1234)),FALSE,TRUE)</f>
        <v>1</v>
      </c>
      <c r="C1234" s="43" t="b">
        <f>OR(BR1234=Driver!$G$50,Data!BR236=Driver!$H$50)</f>
        <v>1</v>
      </c>
      <c r="D1234" s="43" t="b">
        <f>OR(BV1234=Driver!$G$51,BV1234=Driver!$H$51)</f>
        <v>1</v>
      </c>
      <c r="E1234" s="43" t="b">
        <f>AND(BX1234&gt;Driver!$F$54,BX1234&lt;Driver!$G$54)</f>
        <v>0</v>
      </c>
      <c r="F1234" s="43" t="b">
        <f>CL1234&gt;Driver!$F$56</f>
        <v>1</v>
      </c>
      <c r="G1234" s="43" t="b">
        <f>AND(CB1234&gt;Driver!$F$55,CB1234&lt;Driver!$G$55)</f>
        <v>0</v>
      </c>
      <c r="H1234" s="43" t="b">
        <f t="shared" si="703"/>
        <v>0</v>
      </c>
      <c r="I1234" s="43">
        <f t="shared" si="704"/>
        <v>0</v>
      </c>
      <c r="J1234" s="43" t="b">
        <f t="array" ref="J1234">NOT(OR(($H$9:$H$1273=TRUE)*($I$9:$I$1273&gt;0)*($BT$9:$BT$1273=BT1234)*($K$9:$K$1273&gt;K1234)))</f>
        <v>1</v>
      </c>
      <c r="K1234" s="72">
        <f t="shared" si="705"/>
        <v>0.67768364563740313</v>
      </c>
      <c r="L1234" s="72">
        <f t="shared" si="706"/>
        <v>0.63879760604363844</v>
      </c>
      <c r="M1234" s="72">
        <f t="shared" si="707"/>
        <v>0.71656968523116782</v>
      </c>
      <c r="N1234" s="72">
        <f t="shared" si="708"/>
        <v>0.37298353301681764</v>
      </c>
      <c r="O1234" s="72">
        <f t="shared" si="709"/>
        <v>0.98576519339729463</v>
      </c>
      <c r="P1234" s="72">
        <f t="shared" si="710"/>
        <v>0.79096032927939108</v>
      </c>
      <c r="Q1234" s="72"/>
      <c r="R1234" s="72"/>
      <c r="S1234" s="72">
        <f t="shared" si="711"/>
        <v>0.40191199792885679</v>
      </c>
      <c r="T1234" s="72">
        <f t="shared" si="712"/>
        <v>0.44627064430166263</v>
      </c>
      <c r="U1234" s="72">
        <f t="shared" si="713"/>
        <v>0.49</v>
      </c>
      <c r="V1234" s="72">
        <f t="shared" si="714"/>
        <v>0.61201509012761635</v>
      </c>
      <c r="W1234" s="72">
        <f t="shared" si="715"/>
        <v>0.79862069546844094</v>
      </c>
      <c r="X1234" s="72">
        <f t="shared" si="716"/>
        <v>0.3612023939563615</v>
      </c>
      <c r="Y1234" s="72">
        <f t="shared" si="717"/>
        <v>0.28343031476883224</v>
      </c>
      <c r="Z1234" s="72">
        <f t="shared" si="718"/>
        <v>0.62701646698318236</v>
      </c>
      <c r="AA1234" s="72">
        <f t="shared" si="719"/>
        <v>1.423480660270543E-2</v>
      </c>
      <c r="AB1234" s="72">
        <f t="shared" si="720"/>
        <v>0.20903967072060892</v>
      </c>
      <c r="AC1234" s="72"/>
      <c r="AD1234" s="72"/>
      <c r="AE1234" s="72">
        <f t="shared" si="721"/>
        <v>0.59808800207114321</v>
      </c>
      <c r="AF1234" s="72">
        <f t="shared" si="722"/>
        <v>0.55372935569833737</v>
      </c>
      <c r="AG1234" s="72">
        <f t="shared" si="723"/>
        <v>0.51</v>
      </c>
      <c r="AH1234" s="72">
        <f t="shared" si="724"/>
        <v>0.38798490987238365</v>
      </c>
      <c r="AI1234" s="72">
        <f t="shared" si="725"/>
        <v>0.20137930453155906</v>
      </c>
      <c r="AJ1234" s="72">
        <f>(AV1234-Driver!$K$179)/(Driver!$L$179-Driver!$K$179)</f>
        <v>0.61542180323906193</v>
      </c>
      <c r="AK1234" s="72">
        <f>(AW1234-Driver!$K$180)/(Driver!$L$180-Driver!$K$180)</f>
        <v>0.10603856355532319</v>
      </c>
      <c r="AL1234" s="72">
        <f>(AX1234-Driver!$K$181)/(Driver!$L$181-Driver!$K$181)</f>
        <v>0.72870423069626256</v>
      </c>
      <c r="AM1234" s="72">
        <f>(AY1234-Driver!$K$182)/(Driver!$L$182-Driver!$K$182)</f>
        <v>0.43315021449434093</v>
      </c>
      <c r="AN1234" s="72">
        <f>(AZ1234-Driver!$K$183)/(Driver!$L$183-Driver!$K$183)</f>
        <v>4.5179738562091495E-2</v>
      </c>
      <c r="AO1234" s="72"/>
      <c r="AP1234" s="72"/>
      <c r="AQ1234" s="72">
        <f>(BC1234-Driver!$K$188)/(Driver!$L$188-Driver!$K$188)</f>
        <v>2.191199792885673E-2</v>
      </c>
      <c r="AR1234" s="72">
        <f>MIN((BD1234-Driver!$K$189)/(Driver!$L$189-Driver!$K$189),100%)</f>
        <v>-3.7293556983373382E-3</v>
      </c>
      <c r="AS1234" s="72">
        <f>(BE1234-Driver!$K$190)/(Driver!$L$190-Driver!$K$190)</f>
        <v>0</v>
      </c>
      <c r="AT1234" s="72">
        <f>(BF1234-Driver!$K$191)/(Driver!$L$191-Driver!$K$191)</f>
        <v>0.89798490987238366</v>
      </c>
      <c r="AU1234" s="72">
        <f>(BG1234-Driver!$K$192)/(Driver!$L$192-Driver!$K$192)</f>
        <v>4.862069546844093E-2</v>
      </c>
      <c r="AV1234" s="70">
        <f t="shared" si="726"/>
        <v>12.952787952787951</v>
      </c>
      <c r="AW1234" s="70">
        <f t="shared" si="727"/>
        <v>12.206290237181269</v>
      </c>
      <c r="AX1234" s="70">
        <f t="shared" si="728"/>
        <v>7.558338076266363</v>
      </c>
      <c r="AY1234" s="70">
        <f>IFERROR(Driver!$K$19/Data!BH1234/Data!BI1234*Data!BK1234*Data!BL1234,"")</f>
        <v>0.53030510209137727</v>
      </c>
      <c r="AZ1234" s="70">
        <f t="shared" si="729"/>
        <v>4.117647058823529</v>
      </c>
      <c r="BA1234" s="70"/>
      <c r="BB1234" s="70"/>
      <c r="BC1234" s="70">
        <f t="shared" si="730"/>
        <v>11.365905655436254</v>
      </c>
      <c r="BD1234" s="70">
        <f t="shared" si="731"/>
        <v>1.3907815128221523</v>
      </c>
      <c r="BE1234" s="70">
        <f t="shared" si="732"/>
        <v>1.7838874452056591E-4</v>
      </c>
      <c r="BF1234" s="70">
        <f t="shared" si="733"/>
        <v>101.42108686904629</v>
      </c>
      <c r="BG1234" s="70">
        <f t="shared" si="734"/>
        <v>0.18410896969407484</v>
      </c>
      <c r="BH1234" s="67">
        <f>MAX((CE1234-Driver!$F$200)/(Driver!$G$200-Driver!$F$200)*$BI$1,1)</f>
        <v>7.558338076266363</v>
      </c>
      <c r="BI1234" s="67">
        <f>MAX($BI$1*(BY1234-Driver!$F$201)/(Driver!$G$201-Driver!$F$201),1)</f>
        <v>1</v>
      </c>
      <c r="BJ1234" s="67">
        <f>(CB1234-Driver!$F$206)/(Driver!$G$206-Driver!$F$206)*$BI$1</f>
        <v>9.0476190476190474</v>
      </c>
      <c r="BK1234" s="67">
        <f>(CD1234-Driver!$F$203)/(Driver!$G$203-Driver!$F$203)*$BI$1</f>
        <v>8.3027522935779832</v>
      </c>
      <c r="BL1234" s="67">
        <f>MAX((CR1234-Driver!$F$202)/(Driver!$G$202-Driver!$F$202)*$BI$1,1)</f>
        <v>2.4137931034482758</v>
      </c>
      <c r="BM1234" s="67">
        <f>MAX((CH1234-Driver!$F$204)/(Driver!$G$204-Driver!$F$204)*$BI$1,1)</f>
        <v>5.7264957264957257</v>
      </c>
      <c r="BN1234" s="67">
        <f>(CI1234-Driver!$F$205)/(Driver!$G$205-Driver!$F$205)*$BI$1</f>
        <v>4.117647058823529</v>
      </c>
      <c r="BO1234" s="67">
        <f>(CK1234-Driver!$F$207)/(Driver!$G$207-Driver!$F$207)*$BI$1</f>
        <v>9.3071354705274043</v>
      </c>
      <c r="BP1234" s="67">
        <f>(CM1234-Driver!$F$208)/(Driver!$G$208-Driver!$F$208)*$BI$1</f>
        <v>10</v>
      </c>
      <c r="BQ1234" s="67">
        <f>(CL1234-Driver!$F$209)/(Driver!$G$209-Driver!$F$209)*$BI$1</f>
        <v>7.96875</v>
      </c>
      <c r="BR1234" s="28" t="s">
        <v>155</v>
      </c>
      <c r="BS1234" s="8" t="s">
        <v>237</v>
      </c>
      <c r="BT1234" s="9" t="s">
        <v>894</v>
      </c>
      <c r="BU1234" s="10">
        <v>190.6</v>
      </c>
      <c r="BV1234" s="9" t="s">
        <v>158</v>
      </c>
      <c r="BW1234" s="10">
        <v>190.6</v>
      </c>
      <c r="BX1234" s="10">
        <v>191</v>
      </c>
      <c r="BY1234" s="10">
        <v>0</v>
      </c>
      <c r="BZ1234" s="10">
        <v>142</v>
      </c>
      <c r="CA1234" s="10">
        <v>140</v>
      </c>
      <c r="CB1234" s="10">
        <v>121</v>
      </c>
      <c r="CC1234" s="10">
        <v>133</v>
      </c>
      <c r="CD1234" s="10">
        <v>27.5</v>
      </c>
      <c r="CE1234" s="10">
        <v>2228</v>
      </c>
      <c r="CF1234" s="10">
        <v>1.0900000000000001</v>
      </c>
      <c r="CG1234" s="10">
        <v>2427</v>
      </c>
      <c r="CH1234" s="10">
        <v>235</v>
      </c>
      <c r="CI1234" s="10">
        <v>103</v>
      </c>
      <c r="CJ1234" s="10">
        <v>54</v>
      </c>
      <c r="CK1234" s="10">
        <v>1010</v>
      </c>
      <c r="CL1234" s="10">
        <v>51</v>
      </c>
      <c r="CM1234" s="10">
        <v>900</v>
      </c>
      <c r="CN1234" s="10">
        <v>0.93700000000000006</v>
      </c>
      <c r="CO1234" s="10">
        <v>255</v>
      </c>
      <c r="CP1234" s="10">
        <v>232</v>
      </c>
      <c r="CQ1234" s="10">
        <v>755</v>
      </c>
      <c r="CR1234" s="10">
        <v>-4</v>
      </c>
      <c r="CS1234" s="10">
        <v>5.5</v>
      </c>
      <c r="CT1234" s="9" t="s">
        <v>184</v>
      </c>
      <c r="CU1234" s="9" t="s">
        <v>169</v>
      </c>
      <c r="CV1234" s="9" t="s">
        <v>185</v>
      </c>
      <c r="CW1234" s="10"/>
      <c r="CX1234" t="str">
        <f>INDEX('Data_Price '!AG$2:AG$1266,MATCH(Data!$DN1234,'Data_Price '!$AT$2:$AT$1266,0))</f>
        <v>Black Crows NOCTA Skis</v>
      </c>
      <c r="CY1234" t="str">
        <f>INDEX('Data_Price '!AH$2:AH$1266,MATCH(Data!$DN1234,'Data_Price '!$AT$2:$AT$1266,0))</f>
        <v>Powder7 Ski Shop</v>
      </c>
      <c r="CZ1234">
        <f>INDEX('Data_Price '!AI$2:AI$1266,MATCH(Data!$DN1234,'Data_Price '!$AT$2:$AT$1266,0))</f>
        <v>419.91</v>
      </c>
      <c r="DA1234" t="str">
        <f>INDEX('Data_Price '!AJ$2:AJ$1266,MATCH(Data!$DN1234,'Data_Price '!$AT$2:$AT$1266,0))</f>
        <v>https://tinyurl.com/ybkobdr4</v>
      </c>
      <c r="DB1234" t="str">
        <f>INDEX('Data_Price '!AK$2:AK$1266,MATCH(Data!$DN1234,'Data_Price '!$AT$2:$AT$1266,0))</f>
        <v>Black Crows NOCTA Skis</v>
      </c>
      <c r="DC1234" t="str">
        <f>INDEX('Data_Price '!AL$2:AL$1266,MATCH(Data!$DN1234,'Data_Price '!$AT$2:$AT$1266,0))</f>
        <v>Absolute-Snow.co.uk</v>
      </c>
      <c r="DD1234">
        <f>INDEX('Data_Price '!AM$2:AM$1266,MATCH(Data!$DN1234,'Data_Price '!$AT$2:$AT$1266,0))</f>
        <v>668.05</v>
      </c>
      <c r="DE1234" t="str">
        <f>INDEX('Data_Price '!AN$2:AN$1266,MATCH(Data!$DN1234,'Data_Price '!$AT$2:$AT$1266,0))</f>
        <v>https://tinyurl.com/yb2h38kh</v>
      </c>
      <c r="DF1234" t="str">
        <f>INDEX('Data_Price '!AO$2:AO$1266,MATCH(Data!$DN1234,'Data_Price '!$AT$2:$AT$1266,0))</f>
        <v>Black Crows Nocta Skis 190cm</v>
      </c>
      <c r="DG1234" t="str">
        <f>INDEX('Data_Price '!AP$2:AP$1266,MATCH(Data!$DN1234,'Data_Price '!$AT$2:$AT$1266,0))</f>
        <v>eBay</v>
      </c>
      <c r="DH1234">
        <f>INDEX('Data_Price '!AQ$2:AQ$1266,MATCH(Data!$DN1234,'Data_Price '!$AT$2:$AT$1266,0))</f>
        <v>699</v>
      </c>
      <c r="DI1234" t="str">
        <f>INDEX('Data_Price '!AR$2:AR$1266,MATCH(Data!$DN1234,'Data_Price '!$AT$2:$AT$1266,0))</f>
        <v>https://tinyurl.com/yazc77k4</v>
      </c>
      <c r="DJ1234" s="89" t="str">
        <f t="shared" si="735"/>
        <v>https://tinyurl.com/ybkobdr4</v>
      </c>
      <c r="DK1234" s="89" t="str">
        <f t="shared" si="736"/>
        <v>https://tinyurl.com/yb2h38kh</v>
      </c>
      <c r="DL1234" s="89" t="str">
        <f t="shared" si="737"/>
        <v>https://tinyurl.com/yazc77k4</v>
      </c>
      <c r="DM1234" s="219" t="str">
        <f t="shared" si="738"/>
        <v>Nocta</v>
      </c>
      <c r="DN1234" s="89" t="str">
        <f t="shared" si="739"/>
        <v xml:space="preserve"> Black CrowsNocta190.6 Unisex</v>
      </c>
      <c r="DO1234" s="221" t="s">
        <v>895</v>
      </c>
    </row>
    <row r="1235" spans="2:119" ht="15.6" customHeight="1">
      <c r="B1235" s="219" t="b">
        <f t="array" ref="B1235">IF(OR(ISERROR(K1235:P1235)),FALSE,TRUE)</f>
        <v>1</v>
      </c>
      <c r="C1235" s="43" t="b">
        <f>OR(BR1235=Driver!$G$50,Data!BR996=Driver!$H$50)</f>
        <v>1</v>
      </c>
      <c r="D1235" s="43" t="b">
        <f>OR(BV1235=Driver!$G$51,BV1235=Driver!$H$51)</f>
        <v>1</v>
      </c>
      <c r="E1235" s="43" t="b">
        <f>AND(BX1235&gt;Driver!$F$54,BX1235&lt;Driver!$G$54)</f>
        <v>0</v>
      </c>
      <c r="F1235" s="43" t="b">
        <f>CL1235&gt;Driver!$F$56</f>
        <v>1</v>
      </c>
      <c r="G1235" s="43" t="b">
        <f>AND(CB1235&gt;Driver!$F$55,CB1235&lt;Driver!$G$55)</f>
        <v>0</v>
      </c>
      <c r="H1235" s="43" t="b">
        <f t="shared" si="703"/>
        <v>0</v>
      </c>
      <c r="I1235" s="43">
        <f t="shared" si="704"/>
        <v>0</v>
      </c>
      <c r="J1235" s="43" t="b">
        <f t="array" ref="J1235">NOT(OR(($H$9:$H$1273=TRUE)*($I$9:$I$1273&gt;0)*($BT$9:$BT$1273=BT1235)*($K$9:$K$1273&gt;K1235)))</f>
        <v>1</v>
      </c>
      <c r="K1235" s="72">
        <f t="shared" si="705"/>
        <v>0.81555447739268994</v>
      </c>
      <c r="L1235" s="72">
        <f t="shared" si="706"/>
        <v>0.76652025714224514</v>
      </c>
      <c r="M1235" s="72">
        <f t="shared" si="707"/>
        <v>0.86458869764313473</v>
      </c>
      <c r="N1235" s="72">
        <f t="shared" si="708"/>
        <v>0.9522551946123482</v>
      </c>
      <c r="O1235" s="72">
        <f t="shared" si="709"/>
        <v>0.84131854289387387</v>
      </c>
      <c r="P1235" s="72">
        <f t="shared" si="710"/>
        <v>0.8001923554231819</v>
      </c>
      <c r="Q1235" s="72"/>
      <c r="R1235" s="72"/>
      <c r="S1235" s="72">
        <f t="shared" si="711"/>
        <v>0.39759014648155988</v>
      </c>
      <c r="T1235" s="72">
        <f t="shared" si="712"/>
        <v>0.46055294177451889</v>
      </c>
      <c r="U1235" s="72">
        <f t="shared" si="713"/>
        <v>0.51</v>
      </c>
      <c r="V1235" s="72">
        <f t="shared" si="714"/>
        <v>0.49337848799411954</v>
      </c>
      <c r="W1235" s="72">
        <f t="shared" si="715"/>
        <v>0.25</v>
      </c>
      <c r="X1235" s="72">
        <f t="shared" si="716"/>
        <v>0.2334797428577548</v>
      </c>
      <c r="Y1235" s="72">
        <f t="shared" si="717"/>
        <v>0.1354113023568653</v>
      </c>
      <c r="Z1235" s="72">
        <f t="shared" si="718"/>
        <v>4.7744805387651752E-2</v>
      </c>
      <c r="AA1235" s="72">
        <f t="shared" si="719"/>
        <v>0.15868145710612608</v>
      </c>
      <c r="AB1235" s="72">
        <f t="shared" si="720"/>
        <v>0.19980764457681807</v>
      </c>
      <c r="AC1235" s="72"/>
      <c r="AD1235" s="72"/>
      <c r="AE1235" s="72">
        <f t="shared" si="721"/>
        <v>0.60240985351844012</v>
      </c>
      <c r="AF1235" s="72">
        <f t="shared" si="722"/>
        <v>0.53944705822548111</v>
      </c>
      <c r="AG1235" s="72">
        <f t="shared" si="723"/>
        <v>0.49</v>
      </c>
      <c r="AH1235" s="72">
        <f t="shared" si="724"/>
        <v>0.50662151200588046</v>
      </c>
      <c r="AI1235" s="72">
        <f t="shared" si="725"/>
        <v>0.75</v>
      </c>
      <c r="AJ1235" s="72">
        <f>(AV1235-Driver!$K$179)/(Driver!$L$179-Driver!$K$179)</f>
        <v>2.073966642494561E-2</v>
      </c>
      <c r="AK1235" s="72">
        <f>(AW1235-Driver!$K$180)/(Driver!$L$180-Driver!$K$180)</f>
        <v>5.0545431897790982E-2</v>
      </c>
      <c r="AL1235" s="72">
        <f>(AX1235-Driver!$K$181)/(Driver!$L$181-Driver!$K$181)</f>
        <v>5.3942958325428426E-2</v>
      </c>
      <c r="AM1235" s="72">
        <f>(AY1235-Driver!$K$182)/(Driver!$L$182-Driver!$K$182)</f>
        <v>0.28870356399092029</v>
      </c>
      <c r="AN1235" s="72">
        <f>(AZ1235-Driver!$K$183)/(Driver!$L$183-Driver!$K$183)</f>
        <v>5.4411764705882347E-2</v>
      </c>
      <c r="AO1235" s="72"/>
      <c r="AP1235" s="72"/>
      <c r="AQ1235" s="72">
        <f>(BC1235-Driver!$K$188)/(Driver!$L$188-Driver!$K$188)</f>
        <v>1.7590146481559821E-2</v>
      </c>
      <c r="AR1235" s="72">
        <f>MIN((BD1235-Driver!$K$189)/(Driver!$L$189-Driver!$K$189),100%)</f>
        <v>1.0552941774518976E-2</v>
      </c>
      <c r="AS1235" s="72">
        <f>(BE1235-Driver!$K$190)/(Driver!$L$190-Driver!$K$190)</f>
        <v>1</v>
      </c>
      <c r="AT1235" s="72">
        <f>(BF1235-Driver!$K$191)/(Driver!$L$191-Driver!$K$191)</f>
        <v>3.3784879941195813E-3</v>
      </c>
      <c r="AU1235" s="72">
        <f>(BG1235-Driver!$K$192)/(Driver!$L$192-Driver!$K$192)</f>
        <v>1</v>
      </c>
      <c r="AV1235" s="70">
        <f t="shared" si="726"/>
        <v>0.43650793650793651</v>
      </c>
      <c r="AW1235" s="70">
        <f t="shared" si="727"/>
        <v>6.7979928379864596</v>
      </c>
      <c r="AX1235" s="70">
        <f t="shared" si="728"/>
        <v>1.4854866249288559</v>
      </c>
      <c r="AY1235" s="70">
        <f>IFERROR(Driver!$K$19/Data!BH1235/Data!BI1235*Data!BK1235*Data!BL1235,"")</f>
        <v>0.35345930315440188</v>
      </c>
      <c r="AZ1235" s="70">
        <f t="shared" si="729"/>
        <v>4.9590469099032015</v>
      </c>
      <c r="BA1235" s="70"/>
      <c r="BB1235" s="70"/>
      <c r="BC1235" s="70">
        <f t="shared" si="730"/>
        <v>9.124131264699523</v>
      </c>
      <c r="BD1235" s="70">
        <f t="shared" si="731"/>
        <v>2.6547395324362926</v>
      </c>
      <c r="BE1235" s="70">
        <f t="shared" si="732"/>
        <v>1</v>
      </c>
      <c r="BF1235" s="70">
        <f t="shared" si="733"/>
        <v>0.38157648371432812</v>
      </c>
      <c r="BG1235" s="70">
        <f t="shared" si="734"/>
        <v>3.7866379310344831</v>
      </c>
      <c r="BH1235" s="67">
        <f>MAX((CE1235-Driver!$F$200)/(Driver!$G$200-Driver!$F$200)*$BI$1,1)</f>
        <v>1.4854866249288559</v>
      </c>
      <c r="BI1235" s="67">
        <f>MAX($BI$1*(BY1235-Driver!$F$201)/(Driver!$G$201-Driver!$F$201),1)</f>
        <v>7.0253164556962027</v>
      </c>
      <c r="BJ1235" s="67">
        <f>(CB1235-Driver!$F$206)/(Driver!$G$206-Driver!$F$206)*$BI$1</f>
        <v>1.746031746031746</v>
      </c>
      <c r="BK1235" s="67">
        <f>(CD1235-Driver!$F$203)/(Driver!$G$203-Driver!$F$203)*$BI$1</f>
        <v>2.4311926605504586</v>
      </c>
      <c r="BL1235" s="67">
        <f>MAX((CR1235-Driver!$F$202)/(Driver!$G$202-Driver!$F$202)*$BI$1,1)</f>
        <v>7.5862068965517242</v>
      </c>
      <c r="BM1235" s="67">
        <f>MAX((CH1235-Driver!$F$204)/(Driver!$G$204-Driver!$F$204)*$BI$1,1)</f>
        <v>1</v>
      </c>
      <c r="BN1235" s="67">
        <f>(CI1235-Driver!$F$205)/(Driver!$G$205-Driver!$F$205)*$BI$1</f>
        <v>0.70588235294117641</v>
      </c>
      <c r="BO1235" s="67">
        <f>(CK1235-Driver!$F$207)/(Driver!$G$207-Driver!$F$207)*$BI$1</f>
        <v>0.35160289555325747</v>
      </c>
      <c r="BP1235" s="67">
        <f>(CM1235-Driver!$F$208)/(Driver!$G$208-Driver!$F$208)*$BI$1</f>
        <v>1.5111111111111111</v>
      </c>
      <c r="BQ1235" s="67">
        <f>(CL1235-Driver!$F$209)/(Driver!$G$209-Driver!$F$209)*$BI$1</f>
        <v>5.625</v>
      </c>
      <c r="BR1235" s="28" t="s">
        <v>155</v>
      </c>
      <c r="BS1235" s="8" t="s">
        <v>172</v>
      </c>
      <c r="BT1235" s="9" t="s">
        <v>896</v>
      </c>
      <c r="BU1235" s="10">
        <v>148</v>
      </c>
      <c r="BV1235" s="9" t="s">
        <v>158</v>
      </c>
      <c r="BW1235" s="10">
        <v>148</v>
      </c>
      <c r="BX1235" s="10">
        <v>147.30000000000001</v>
      </c>
      <c r="BY1235" s="10">
        <v>119</v>
      </c>
      <c r="BZ1235" s="10">
        <v>129</v>
      </c>
      <c r="CA1235" s="10">
        <v>105</v>
      </c>
      <c r="CB1235" s="10">
        <v>75</v>
      </c>
      <c r="CC1235" s="10">
        <v>99</v>
      </c>
      <c r="CD1235" s="10">
        <v>14.7</v>
      </c>
      <c r="CE1235" s="10">
        <v>1161</v>
      </c>
      <c r="CF1235" s="10">
        <v>1.08</v>
      </c>
      <c r="CG1235" s="10">
        <v>1252</v>
      </c>
      <c r="CH1235" s="10">
        <v>117</v>
      </c>
      <c r="CI1235" s="10">
        <v>45</v>
      </c>
      <c r="CJ1235" s="10">
        <v>40</v>
      </c>
      <c r="CK1235" s="10">
        <v>144</v>
      </c>
      <c r="CL1235" s="10">
        <v>36</v>
      </c>
      <c r="CM1235" s="10">
        <v>136</v>
      </c>
      <c r="CN1235" s="10">
        <v>0.89600000000000002</v>
      </c>
      <c r="CO1235" s="10">
        <v>95</v>
      </c>
      <c r="CP1235" s="10">
        <v>90</v>
      </c>
      <c r="CQ1235" s="10">
        <v>49</v>
      </c>
      <c r="CR1235" s="10">
        <v>11</v>
      </c>
      <c r="CS1235" s="10">
        <v>5.4</v>
      </c>
      <c r="CT1235" s="9" t="s">
        <v>184</v>
      </c>
      <c r="CU1235" s="9" t="s">
        <v>185</v>
      </c>
      <c r="CV1235" s="10"/>
      <c r="CW1235" s="10"/>
      <c r="CX1235" t="str">
        <f>INDEX('Data_Price '!AG$2:AG$1266,MATCH(Data!$DN1235,'Data_Price '!$AT$2:$AT$1266,0))</f>
        <v>Rossignol Blackops Whizbanger 148cm</v>
      </c>
      <c r="CY1235" t="str">
        <f>INDEX('Data_Price '!AH$2:AH$1266,MATCH(Data!$DN1235,'Data_Price '!$AT$2:$AT$1266,0))</f>
        <v>Sundance Ski and Board Shop</v>
      </c>
      <c r="CZ1235">
        <f>INDEX('Data_Price '!AI$2:AI$1266,MATCH(Data!$DN1235,'Data_Price '!$AT$2:$AT$1266,0))</f>
        <v>192.34</v>
      </c>
      <c r="DA1235" t="str">
        <f>INDEX('Data_Price '!AJ$2:AJ$1266,MATCH(Data!$DN1235,'Data_Price '!$AT$2:$AT$1266,0))</f>
        <v>https://tinyurl.com/y6wtv3w9</v>
      </c>
      <c r="DB1235" t="str">
        <f>INDEX('Data_Price '!AK$2:AK$1266,MATCH(Data!$DN1235,'Data_Price '!$AT$2:$AT$1266,0))</f>
        <v>Rossignol Blackops Whizbanger Skis</v>
      </c>
      <c r="DC1235" t="str">
        <f>INDEX('Data_Price '!AL$2:AL$1266,MATCH(Data!$DN1235,'Data_Price '!$AT$2:$AT$1266,0))</f>
        <v>eBay - asogear</v>
      </c>
      <c r="DD1235">
        <f>INDEX('Data_Price '!AM$2:AM$1266,MATCH(Data!$DN1235,'Data_Price '!$AT$2:$AT$1266,0))</f>
        <v>209.99</v>
      </c>
      <c r="DE1235" t="str">
        <f>INDEX('Data_Price '!AN$2:AN$1266,MATCH(Data!$DN1235,'Data_Price '!$AT$2:$AT$1266,0))</f>
        <v>https://tinyurl.com/yba7ozw8</v>
      </c>
      <c r="DF1235" t="str">
        <f>INDEX('Data_Price '!AO$2:AO$1266,MATCH(Data!$DN1235,'Data_Price '!$AT$2:$AT$1266,0))</f>
        <v>Rossignol BlackOps Whizbanger Skis - Kid's &amp; Junior 2022 148cm</v>
      </c>
      <c r="DG1235" t="str">
        <f>INDEX('Data_Price '!AP$2:AP$1266,MATCH(Data!$DN1235,'Data_Price '!$AT$2:$AT$1266,0))</f>
        <v>Glacier Ski Shop</v>
      </c>
      <c r="DH1235">
        <f>INDEX('Data_Price '!AQ$2:AQ$1266,MATCH(Data!$DN1235,'Data_Price '!$AT$2:$AT$1266,0))</f>
        <v>269</v>
      </c>
      <c r="DI1235" t="str">
        <f>INDEX('Data_Price '!AR$2:AR$1266,MATCH(Data!$DN1235,'Data_Price '!$AT$2:$AT$1266,0))</f>
        <v>https://tinyurl.com/y9n2h2l4</v>
      </c>
      <c r="DJ1235" s="89" t="str">
        <f t="shared" si="735"/>
        <v>https://tinyurl.com/y6wtv3w9</v>
      </c>
      <c r="DK1235" s="89" t="str">
        <f t="shared" si="736"/>
        <v>https://tinyurl.com/yba7ozw8</v>
      </c>
      <c r="DL1235" s="89" t="str">
        <f t="shared" si="737"/>
        <v>https://tinyurl.com/y9n2h2l4</v>
      </c>
      <c r="DM1235" s="219" t="str">
        <f t="shared" si="738"/>
        <v>Blackops Whizbanger</v>
      </c>
      <c r="DN1235" s="89" t="str">
        <f t="shared" si="739"/>
        <v xml:space="preserve"> RossignolBlackops Whizbanger148 Unisex</v>
      </c>
      <c r="DO1235" s="221"/>
    </row>
    <row r="1236" spans="2:119" ht="15.6" customHeight="1">
      <c r="B1236" s="219" t="b">
        <f t="array" ref="B1236">IF(OR(ISERROR(K1236:P1236)),FALSE,TRUE)</f>
        <v>1</v>
      </c>
      <c r="C1236" s="43" t="b">
        <f>OR(BR1236=Driver!$G$50,Data!BR18=Driver!$H$50)</f>
        <v>1</v>
      </c>
      <c r="D1236" s="43" t="b">
        <f>OR(BV1236=Driver!$G$51,BV1236=Driver!$H$51)</f>
        <v>1</v>
      </c>
      <c r="E1236" s="43" t="b">
        <f>AND(BX1236&gt;Driver!$F$54,BX1236&lt;Driver!$G$54)</f>
        <v>0</v>
      </c>
      <c r="F1236" s="43" t="b">
        <f>CL1236&gt;Driver!$F$56</f>
        <v>1</v>
      </c>
      <c r="G1236" s="43" t="b">
        <f>AND(CB1236&gt;Driver!$F$55,CB1236&lt;Driver!$G$55)</f>
        <v>0</v>
      </c>
      <c r="H1236" s="43" t="b">
        <f t="shared" si="703"/>
        <v>0</v>
      </c>
      <c r="I1236" s="43">
        <f t="shared" si="704"/>
        <v>0</v>
      </c>
      <c r="J1236" s="43" t="b">
        <f t="array" ref="J1236">NOT(OR(($H$9:$H$1273=TRUE)*($I$9:$I$1273&gt;0)*($BT$9:$BT$1273=BT1236)*($K$9:$K$1273&gt;K1236)))</f>
        <v>1</v>
      </c>
      <c r="K1236" s="72">
        <f t="shared" si="705"/>
        <v>0.62660927912620878</v>
      </c>
      <c r="L1236" s="72">
        <f t="shared" si="706"/>
        <v>0.51116888958243445</v>
      </c>
      <c r="M1236" s="72">
        <f t="shared" si="707"/>
        <v>0.74204966866998312</v>
      </c>
      <c r="N1236" s="72">
        <f t="shared" si="708"/>
        <v>0.51843347926357664</v>
      </c>
      <c r="O1236" s="72">
        <f t="shared" si="709"/>
        <v>0.9148189229571777</v>
      </c>
      <c r="P1236" s="72">
        <f t="shared" si="710"/>
        <v>0.79289660378919502</v>
      </c>
      <c r="Q1236" s="72"/>
      <c r="R1236" s="72"/>
      <c r="S1236" s="72">
        <f t="shared" si="711"/>
        <v>0.40107917418031069</v>
      </c>
      <c r="T1236" s="72">
        <f t="shared" si="712"/>
        <v>0.45386927832724466</v>
      </c>
      <c r="U1236" s="72">
        <f t="shared" si="713"/>
        <v>0.49005067520369383</v>
      </c>
      <c r="V1236" s="72">
        <f t="shared" si="714"/>
        <v>0.62580850568572821</v>
      </c>
      <c r="W1236" s="72">
        <f t="shared" si="715"/>
        <v>0.79528688524590163</v>
      </c>
      <c r="X1236" s="72">
        <f t="shared" si="716"/>
        <v>0.4888311104175655</v>
      </c>
      <c r="Y1236" s="72">
        <f t="shared" si="717"/>
        <v>0.25795033133001688</v>
      </c>
      <c r="Z1236" s="72">
        <f t="shared" si="718"/>
        <v>0.48156652073642336</v>
      </c>
      <c r="AA1236" s="72">
        <f t="shared" si="719"/>
        <v>8.5181077042822295E-2</v>
      </c>
      <c r="AB1236" s="72">
        <f t="shared" si="720"/>
        <v>0.20710339621080501</v>
      </c>
      <c r="AC1236" s="72"/>
      <c r="AD1236" s="72"/>
      <c r="AE1236" s="72">
        <f t="shared" si="721"/>
        <v>0.59892082581968931</v>
      </c>
      <c r="AF1236" s="72">
        <f t="shared" si="722"/>
        <v>0.54613072167275534</v>
      </c>
      <c r="AG1236" s="72">
        <f t="shared" si="723"/>
        <v>0.50994932479630617</v>
      </c>
      <c r="AH1236" s="72">
        <f t="shared" si="724"/>
        <v>0.37419149431427179</v>
      </c>
      <c r="AI1236" s="72">
        <f t="shared" si="725"/>
        <v>0.20471311475409837</v>
      </c>
      <c r="AJ1236" s="72">
        <f>(AV1236-Driver!$K$179)/(Driver!$L$179-Driver!$K$179)</f>
        <v>0.74305051970026592</v>
      </c>
      <c r="AK1236" s="72">
        <f>(AW1236-Driver!$K$180)/(Driver!$L$180-Driver!$K$180)</f>
        <v>9.5666348918120356E-2</v>
      </c>
      <c r="AL1236" s="72">
        <f>(AX1236-Driver!$K$181)/(Driver!$L$181-Driver!$K$181)</f>
        <v>0.58325428444950356</v>
      </c>
      <c r="AM1236" s="72">
        <f>(AY1236-Driver!$K$182)/(Driver!$L$182-Driver!$K$182)</f>
        <v>0.53256609813986866</v>
      </c>
      <c r="AN1236" s="72">
        <f>(AZ1236-Driver!$K$183)/(Driver!$L$183-Driver!$K$183)</f>
        <v>4.7116013071895418E-2</v>
      </c>
      <c r="AO1236" s="72"/>
      <c r="AP1236" s="72"/>
      <c r="AQ1236" s="72">
        <f>(BC1236-Driver!$K$188)/(Driver!$L$188-Driver!$K$188)</f>
        <v>2.1079174180310651E-2</v>
      </c>
      <c r="AR1236" s="72">
        <f>MIN((BD1236-Driver!$K$189)/(Driver!$L$189-Driver!$K$189),100%)</f>
        <v>3.8692783272447238E-3</v>
      </c>
      <c r="AS1236" s="72">
        <f>(BE1236-Driver!$K$190)/(Driver!$L$190-Driver!$K$190)</f>
        <v>5.0675203693879362E-5</v>
      </c>
      <c r="AT1236" s="72">
        <f>(BF1236-Driver!$K$191)/(Driver!$L$191-Driver!$K$191)</f>
        <v>0.8841914943142718</v>
      </c>
      <c r="AU1236" s="72">
        <f>(BG1236-Driver!$K$192)/(Driver!$L$192-Driver!$K$192)</f>
        <v>4.5286885245901638E-2</v>
      </c>
      <c r="AV1236" s="70">
        <f t="shared" si="726"/>
        <v>15.63899063899064</v>
      </c>
      <c r="AW1236" s="70">
        <f t="shared" si="727"/>
        <v>11.195426013614597</v>
      </c>
      <c r="AX1236" s="70">
        <f t="shared" si="728"/>
        <v>6.2492885600455317</v>
      </c>
      <c r="AY1236" s="70">
        <f>IFERROR(Driver!$K$19/Data!BH1236/Data!BI1236*Data!BK1236*Data!BL1236,"")</f>
        <v>0.65201980651024094</v>
      </c>
      <c r="AZ1236" s="70">
        <f t="shared" si="729"/>
        <v>4.2941176470588234</v>
      </c>
      <c r="BA1236" s="70"/>
      <c r="BB1236" s="70"/>
      <c r="BC1236" s="70">
        <f t="shared" si="730"/>
        <v>10.933914187368632</v>
      </c>
      <c r="BD1236" s="70">
        <f t="shared" si="731"/>
        <v>2.0632471601033773</v>
      </c>
      <c r="BE1236" s="70">
        <f t="shared" si="732"/>
        <v>2.2905490832848E-4</v>
      </c>
      <c r="BF1236" s="70">
        <f t="shared" si="733"/>
        <v>99.86321748598624</v>
      </c>
      <c r="BG1236" s="70">
        <f t="shared" si="734"/>
        <v>0.17148503745053703</v>
      </c>
      <c r="BH1236" s="67">
        <f>MAX((CE1236-Driver!$F$200)/(Driver!$G$200-Driver!$F$200)*$BI$1,1)</f>
        <v>6.2492885600455317</v>
      </c>
      <c r="BI1236" s="67">
        <f>MAX($BI$1*(BY1236-Driver!$F$201)/(Driver!$G$201-Driver!$F$201),1)</f>
        <v>1</v>
      </c>
      <c r="BJ1236" s="67">
        <f>(CB1236-Driver!$F$206)/(Driver!$G$206-Driver!$F$206)*$BI$1</f>
        <v>8.412698412698413</v>
      </c>
      <c r="BK1236" s="67">
        <f>(CD1236-Driver!$F$203)/(Driver!$G$203-Driver!$F$203)*$BI$1</f>
        <v>7.385321100917432</v>
      </c>
      <c r="BL1236" s="67">
        <f>MAX((CR1236-Driver!$F$202)/(Driver!$G$202-Driver!$F$202)*$BI$1,1)</f>
        <v>2.7586206896551726</v>
      </c>
      <c r="BM1236" s="67">
        <f>MAX((CH1236-Driver!$F$204)/(Driver!$G$204-Driver!$F$204)*$BI$1,1)</f>
        <v>7.4358974358974361</v>
      </c>
      <c r="BN1236" s="67">
        <f>(CI1236-Driver!$F$205)/(Driver!$G$205-Driver!$F$205)*$BI$1</f>
        <v>4.2941176470588234</v>
      </c>
      <c r="BO1236" s="67">
        <f>(CK1236-Driver!$F$207)/(Driver!$G$207-Driver!$F$207)*$BI$1</f>
        <v>9.0899689762150988</v>
      </c>
      <c r="BP1236" s="67">
        <f>(CM1236-Driver!$F$208)/(Driver!$G$208-Driver!$F$208)*$BI$1</f>
        <v>9.6444444444444439</v>
      </c>
      <c r="BQ1236" s="67">
        <f>(CL1236-Driver!$F$209)/(Driver!$G$209-Driver!$F$209)*$BI$1</f>
        <v>7.96875</v>
      </c>
      <c r="BR1236" s="28" t="s">
        <v>155</v>
      </c>
      <c r="BS1236" s="8" t="s">
        <v>190</v>
      </c>
      <c r="BT1236" s="9" t="s">
        <v>897</v>
      </c>
      <c r="BU1236" s="10">
        <v>188</v>
      </c>
      <c r="BV1236" s="9" t="s">
        <v>158</v>
      </c>
      <c r="BW1236" s="10">
        <v>188</v>
      </c>
      <c r="BX1236" s="10">
        <v>185.7</v>
      </c>
      <c r="BY1236" s="10">
        <v>0</v>
      </c>
      <c r="BZ1236" s="10">
        <v>136</v>
      </c>
      <c r="CA1236" s="10">
        <v>137</v>
      </c>
      <c r="CB1236" s="10">
        <v>117</v>
      </c>
      <c r="CC1236" s="10">
        <v>128</v>
      </c>
      <c r="CD1236" s="10">
        <v>25.5</v>
      </c>
      <c r="CE1236" s="10">
        <v>1998</v>
      </c>
      <c r="CF1236" s="10">
        <v>1.1399999999999999</v>
      </c>
      <c r="CG1236" s="10">
        <v>2273</v>
      </c>
      <c r="CH1236" s="10">
        <v>275</v>
      </c>
      <c r="CI1236" s="10">
        <v>106</v>
      </c>
      <c r="CJ1236" s="10">
        <v>61</v>
      </c>
      <c r="CK1236" s="10">
        <v>989</v>
      </c>
      <c r="CL1236" s="10">
        <v>51</v>
      </c>
      <c r="CM1236" s="10">
        <v>868</v>
      </c>
      <c r="CN1236" s="10">
        <v>0.83699999999999997</v>
      </c>
      <c r="CO1236" s="10">
        <v>229</v>
      </c>
      <c r="CP1236" s="10">
        <v>272</v>
      </c>
      <c r="CQ1236" s="10">
        <v>760</v>
      </c>
      <c r="CR1236" s="10">
        <v>-3</v>
      </c>
      <c r="CS1236" s="10">
        <v>6</v>
      </c>
      <c r="CT1236" s="9" t="s">
        <v>184</v>
      </c>
      <c r="CU1236" s="9" t="s">
        <v>169</v>
      </c>
      <c r="CV1236" s="9" t="s">
        <v>185</v>
      </c>
      <c r="CW1236" s="10"/>
      <c r="CX1236" t="e">
        <f>INDEX('Data_Price '!AG$2:AG$1266,MATCH(Data!$DN1236,'Data_Price '!$AT$2:$AT$1266,0))</f>
        <v>#N/A</v>
      </c>
      <c r="CY1236" t="e">
        <f>INDEX('Data_Price '!AH$2:AH$1266,MATCH(Data!$DN1236,'Data_Price '!$AT$2:$AT$1266,0))</f>
        <v>#N/A</v>
      </c>
      <c r="CZ1236" t="e">
        <f>INDEX('Data_Price '!AI$2:AI$1266,MATCH(Data!$DN1236,'Data_Price '!$AT$2:$AT$1266,0))</f>
        <v>#N/A</v>
      </c>
      <c r="DA1236" t="e">
        <f>INDEX('Data_Price '!AJ$2:AJ$1266,MATCH(Data!$DN1236,'Data_Price '!$AT$2:$AT$1266,0))</f>
        <v>#N/A</v>
      </c>
      <c r="DB1236" t="e">
        <f>INDEX('Data_Price '!AK$2:AK$1266,MATCH(Data!$DN1236,'Data_Price '!$AT$2:$AT$1266,0))</f>
        <v>#N/A</v>
      </c>
      <c r="DC1236" t="e">
        <f>INDEX('Data_Price '!AL$2:AL$1266,MATCH(Data!$DN1236,'Data_Price '!$AT$2:$AT$1266,0))</f>
        <v>#N/A</v>
      </c>
      <c r="DD1236" t="e">
        <f>INDEX('Data_Price '!AM$2:AM$1266,MATCH(Data!$DN1236,'Data_Price '!$AT$2:$AT$1266,0))</f>
        <v>#N/A</v>
      </c>
      <c r="DE1236" t="e">
        <f>INDEX('Data_Price '!AN$2:AN$1266,MATCH(Data!$DN1236,'Data_Price '!$AT$2:$AT$1266,0))</f>
        <v>#N/A</v>
      </c>
      <c r="DF1236" t="e">
        <f>INDEX('Data_Price '!AO$2:AO$1266,MATCH(Data!$DN1236,'Data_Price '!$AT$2:$AT$1266,0))</f>
        <v>#N/A</v>
      </c>
      <c r="DG1236" t="e">
        <f>INDEX('Data_Price '!AP$2:AP$1266,MATCH(Data!$DN1236,'Data_Price '!$AT$2:$AT$1266,0))</f>
        <v>#N/A</v>
      </c>
      <c r="DH1236" t="e">
        <f>INDEX('Data_Price '!AQ$2:AQ$1266,MATCH(Data!$DN1236,'Data_Price '!$AT$2:$AT$1266,0))</f>
        <v>#N/A</v>
      </c>
      <c r="DI1236" t="e">
        <f>INDEX('Data_Price '!AR$2:AR$1266,MATCH(Data!$DN1236,'Data_Price '!$AT$2:$AT$1266,0))</f>
        <v>#N/A</v>
      </c>
      <c r="DJ1236" s="89" t="e">
        <f t="shared" si="735"/>
        <v>#N/A</v>
      </c>
      <c r="DK1236" s="89" t="e">
        <f t="shared" si="736"/>
        <v>#N/A</v>
      </c>
      <c r="DL1236" s="89" t="e">
        <f t="shared" si="737"/>
        <v>#N/A</v>
      </c>
      <c r="DM1236" s="219" t="str">
        <f t="shared" si="738"/>
        <v>Inthayne</v>
      </c>
      <c r="DN1236" s="89" t="str">
        <f t="shared" si="739"/>
        <v xml:space="preserve"> 4FRNTInthayne188 Unisex</v>
      </c>
      <c r="DO1236" s="221"/>
    </row>
    <row r="1237" spans="2:119" ht="15.6" customHeight="1">
      <c r="B1237" s="219" t="b">
        <f t="array" ref="B1237">IF(OR(ISERROR(K1237:P1237)),FALSE,TRUE)</f>
        <v>1</v>
      </c>
      <c r="C1237" s="43" t="b">
        <f>OR(BR1237=Driver!$G$50,Data!BR961=Driver!$H$50)</f>
        <v>1</v>
      </c>
      <c r="D1237" s="43" t="b">
        <f>OR(BV1237=Driver!$G$51,BV1237=Driver!$H$51)</f>
        <v>1</v>
      </c>
      <c r="E1237" s="43" t="b">
        <f>AND(BX1237&gt;Driver!$F$54,BX1237&lt;Driver!$G$54)</f>
        <v>0</v>
      </c>
      <c r="F1237" s="43" t="b">
        <f>CL1237&gt;Driver!$F$56</f>
        <v>1</v>
      </c>
      <c r="G1237" s="43" t="b">
        <f>AND(CB1237&gt;Driver!$F$55,CB1237&lt;Driver!$G$55)</f>
        <v>0</v>
      </c>
      <c r="H1237" s="43" t="b">
        <f t="shared" si="703"/>
        <v>0</v>
      </c>
      <c r="I1237" s="43">
        <f t="shared" si="704"/>
        <v>0</v>
      </c>
      <c r="J1237" s="43" t="b">
        <f t="array" ref="J1237">NOT(OR(($H$9:$H$1273=TRUE)*($I$9:$I$1273&gt;0)*($BT$9:$BT$1273=BT1237)*($K$9:$K$1273&gt;K1237)))</f>
        <v>1</v>
      </c>
      <c r="K1237" s="72">
        <f t="shared" si="705"/>
        <v>0.73960676112799772</v>
      </c>
      <c r="L1237" s="72">
        <f t="shared" si="706"/>
        <v>0.95206809190295671</v>
      </c>
      <c r="M1237" s="72">
        <f t="shared" si="707"/>
        <v>0.52714543035303896</v>
      </c>
      <c r="N1237" s="72">
        <f t="shared" si="708"/>
        <v>0.51653630605166234</v>
      </c>
      <c r="O1237" s="72">
        <f t="shared" si="709"/>
        <v>0.59846652343717222</v>
      </c>
      <c r="P1237" s="72">
        <f t="shared" si="710"/>
        <v>0.46643346157028209</v>
      </c>
      <c r="Q1237" s="72"/>
      <c r="R1237" s="72"/>
      <c r="S1237" s="72">
        <f t="shared" si="711"/>
        <v>0.54574433239708964</v>
      </c>
      <c r="T1237" s="72">
        <f t="shared" si="712"/>
        <v>0.72819068282535615</v>
      </c>
      <c r="U1237" s="72">
        <f t="shared" si="713"/>
        <v>0.51</v>
      </c>
      <c r="V1237" s="72">
        <f t="shared" si="714"/>
        <v>0.50307443385030148</v>
      </c>
      <c r="W1237" s="72">
        <f t="shared" si="715"/>
        <v>0.75924523160762947</v>
      </c>
      <c r="X1237" s="72">
        <f t="shared" si="716"/>
        <v>4.7931908097043341E-2</v>
      </c>
      <c r="Y1237" s="72">
        <f t="shared" si="717"/>
        <v>0.4728545696469611</v>
      </c>
      <c r="Z1237" s="72">
        <f t="shared" si="718"/>
        <v>0.48346369394833766</v>
      </c>
      <c r="AA1237" s="72">
        <f t="shared" si="719"/>
        <v>0.40153347656282784</v>
      </c>
      <c r="AB1237" s="72">
        <f t="shared" si="720"/>
        <v>0.53356653842971791</v>
      </c>
      <c r="AC1237" s="72"/>
      <c r="AD1237" s="72"/>
      <c r="AE1237" s="72">
        <f t="shared" si="721"/>
        <v>0.45425566760291036</v>
      </c>
      <c r="AF1237" s="72">
        <f t="shared" si="722"/>
        <v>0.27180931717464385</v>
      </c>
      <c r="AG1237" s="72">
        <f t="shared" si="723"/>
        <v>0.49</v>
      </c>
      <c r="AH1237" s="72">
        <f t="shared" si="724"/>
        <v>0.49692556614969852</v>
      </c>
      <c r="AI1237" s="72">
        <f t="shared" si="725"/>
        <v>0.24075476839237059</v>
      </c>
      <c r="AJ1237" s="72">
        <f>(AV1237-Driver!$K$179)/(Driver!$L$179-Driver!$K$179)</f>
        <v>0.30215131737974377</v>
      </c>
      <c r="AK1237" s="72">
        <f>(AW1237-Driver!$K$180)/(Driver!$L$180-Driver!$K$180)</f>
        <v>0.78236928607231326</v>
      </c>
      <c r="AL1237" s="72">
        <f>(AX1237-Driver!$K$181)/(Driver!$L$181-Driver!$K$181)</f>
        <v>0.58515145766141785</v>
      </c>
      <c r="AM1237" s="72">
        <f>(AY1237-Driver!$K$182)/(Driver!$L$182-Driver!$K$182)</f>
        <v>4.5851544534218504E-2</v>
      </c>
      <c r="AN1237" s="72">
        <f>(AZ1237-Driver!$K$183)/(Driver!$L$183-Driver!$K$183)</f>
        <v>0.78778594771241839</v>
      </c>
      <c r="AO1237" s="72"/>
      <c r="AP1237" s="72"/>
      <c r="AQ1237" s="72">
        <f>(BC1237-Driver!$K$188)/(Driver!$L$188-Driver!$K$188)</f>
        <v>0.16574433239708961</v>
      </c>
      <c r="AR1237" s="72">
        <f>MIN((BD1237-Driver!$K$189)/(Driver!$L$189-Driver!$K$189),100%)</f>
        <v>0.27819068282535619</v>
      </c>
      <c r="AS1237" s="72">
        <f>(BE1237-Driver!$K$190)/(Driver!$L$190-Driver!$K$190)</f>
        <v>1</v>
      </c>
      <c r="AT1237" s="72">
        <f>(BF1237-Driver!$K$191)/(Driver!$L$191-Driver!$K$191)</f>
        <v>1.3074433850301498E-2</v>
      </c>
      <c r="AU1237" s="72">
        <f>(BG1237-Driver!$K$192)/(Driver!$L$192-Driver!$K$192)</f>
        <v>9.2452316076294255E-3</v>
      </c>
      <c r="AV1237" s="70">
        <f t="shared" si="726"/>
        <v>6.3593813593813593</v>
      </c>
      <c r="AW1237" s="70">
        <f t="shared" si="727"/>
        <v>78.120712046311624</v>
      </c>
      <c r="AX1237" s="70">
        <f t="shared" si="728"/>
        <v>6.2663631189527607</v>
      </c>
      <c r="AY1237" s="70">
        <f>IFERROR(Driver!$K$19/Data!BH1237/Data!BI1237*Data!BK1237*Data!BL1237,"")</f>
        <v>5.6135971290356482E-2</v>
      </c>
      <c r="AZ1237" s="70">
        <f t="shared" si="729"/>
        <v>71.798212956068511</v>
      </c>
      <c r="BA1237" s="70"/>
      <c r="BB1237" s="70"/>
      <c r="BC1237" s="70">
        <f t="shared" si="730"/>
        <v>85.972737450275815</v>
      </c>
      <c r="BD1237" s="70">
        <f t="shared" si="731"/>
        <v>26.340205389419676</v>
      </c>
      <c r="BE1237" s="70">
        <f t="shared" si="732"/>
        <v>1</v>
      </c>
      <c r="BF1237" s="70">
        <f t="shared" si="733"/>
        <v>1.4766654502952328</v>
      </c>
      <c r="BG1237" s="70">
        <f t="shared" si="734"/>
        <v>3.5008344686648499E-2</v>
      </c>
      <c r="BH1237" s="67">
        <f>MAX((CE1237-Driver!$F$200)/(Driver!$G$200-Driver!$F$200)*$BI$1,1)</f>
        <v>6.2663631189527607</v>
      </c>
      <c r="BI1237" s="67">
        <f>MAX($BI$1*(BY1237-Driver!$F$201)/(Driver!$G$201-Driver!$F$201),1)</f>
        <v>8.4177215189873422</v>
      </c>
      <c r="BJ1237" s="67">
        <f>(CB1237-Driver!$F$206)/(Driver!$G$206-Driver!$F$206)*$BI$1</f>
        <v>3.9682539682539679</v>
      </c>
      <c r="BK1237" s="67">
        <f>(CD1237-Driver!$F$203)/(Driver!$G$203-Driver!$F$203)*$BI$1</f>
        <v>2.3853211009174311</v>
      </c>
      <c r="BL1237" s="67">
        <f>MAX((CR1237-Driver!$F$202)/(Driver!$G$202-Driver!$F$202)*$BI$1,1)</f>
        <v>6.2068965517241379</v>
      </c>
      <c r="BM1237" s="67">
        <f>MAX((CH1237-Driver!$F$204)/(Driver!$G$204-Driver!$F$204)*$BI$1,1)</f>
        <v>6.4102564102564106</v>
      </c>
      <c r="BN1237" s="67">
        <f>(CI1237-Driver!$F$205)/(Driver!$G$205-Driver!$F$205)*$BI$1</f>
        <v>8.5294117647058822</v>
      </c>
      <c r="BO1237" s="67">
        <f>(CK1237-Driver!$F$207)/(Driver!$G$207-Driver!$F$207)*$BI$1</f>
        <v>1.0651499482936919</v>
      </c>
      <c r="BP1237" s="67">
        <f>(CM1237-Driver!$F$208)/(Driver!$G$208-Driver!$F$208)*$BI$1</f>
        <v>0.83333333333333326</v>
      </c>
      <c r="BQ1237" s="67">
        <f>(CL1237-Driver!$F$209)/(Driver!$G$209-Driver!$F$209)*$BI$1</f>
        <v>1.40625</v>
      </c>
      <c r="BR1237" s="28" t="s">
        <v>155</v>
      </c>
      <c r="BS1237" s="8" t="s">
        <v>227</v>
      </c>
      <c r="BT1237" s="9" t="s">
        <v>898</v>
      </c>
      <c r="BU1237" s="10">
        <v>171</v>
      </c>
      <c r="BV1237" s="9" t="s">
        <v>158</v>
      </c>
      <c r="BW1237" s="10">
        <v>171</v>
      </c>
      <c r="BX1237" s="10">
        <v>170.2</v>
      </c>
      <c r="BY1237" s="10">
        <v>141</v>
      </c>
      <c r="BZ1237" s="10">
        <v>158</v>
      </c>
      <c r="CA1237" s="10">
        <v>136</v>
      </c>
      <c r="CB1237" s="10">
        <v>89</v>
      </c>
      <c r="CC1237" s="10">
        <v>125</v>
      </c>
      <c r="CD1237" s="10">
        <v>14.6</v>
      </c>
      <c r="CE1237" s="10">
        <v>2001</v>
      </c>
      <c r="CF1237" s="10">
        <v>0.89</v>
      </c>
      <c r="CG1237" s="10">
        <v>1773</v>
      </c>
      <c r="CH1237" s="10">
        <v>251</v>
      </c>
      <c r="CI1237" s="10">
        <v>178</v>
      </c>
      <c r="CJ1237" s="10">
        <v>51</v>
      </c>
      <c r="CK1237" s="10">
        <v>213</v>
      </c>
      <c r="CL1237" s="10">
        <v>9</v>
      </c>
      <c r="CM1237" s="10">
        <v>75</v>
      </c>
      <c r="CN1237" s="10">
        <v>0.16600000000000001</v>
      </c>
      <c r="CO1237" s="10">
        <v>65</v>
      </c>
      <c r="CP1237" s="10">
        <v>61</v>
      </c>
      <c r="CQ1237" s="10">
        <v>148</v>
      </c>
      <c r="CR1237" s="10">
        <v>7</v>
      </c>
      <c r="CS1237" s="10">
        <v>10.5</v>
      </c>
      <c r="CT1237" s="9" t="s">
        <v>188</v>
      </c>
      <c r="CU1237" s="10"/>
      <c r="CV1237" s="10"/>
      <c r="CW1237" s="10"/>
      <c r="CX1237">
        <f>INDEX('Data_Price '!AG$2:AG$1266,MATCH(Data!$DN1237,'Data_Price '!$AT$2:$AT$1266,0))</f>
        <v>0</v>
      </c>
      <c r="CY1237">
        <f>INDEX('Data_Price '!AH$2:AH$1266,MATCH(Data!$DN1237,'Data_Price '!$AT$2:$AT$1266,0))</f>
        <v>0</v>
      </c>
      <c r="CZ1237">
        <f>INDEX('Data_Price '!AI$2:AI$1266,MATCH(Data!$DN1237,'Data_Price '!$AT$2:$AT$1266,0))</f>
        <v>0</v>
      </c>
      <c r="DA1237">
        <f>INDEX('Data_Price '!AJ$2:AJ$1266,MATCH(Data!$DN1237,'Data_Price '!$AT$2:$AT$1266,0))</f>
        <v>0</v>
      </c>
      <c r="DB1237">
        <f>INDEX('Data_Price '!AK$2:AK$1266,MATCH(Data!$DN1237,'Data_Price '!$AT$2:$AT$1266,0))</f>
        <v>0</v>
      </c>
      <c r="DC1237">
        <f>INDEX('Data_Price '!AL$2:AL$1266,MATCH(Data!$DN1237,'Data_Price '!$AT$2:$AT$1266,0))</f>
        <v>0</v>
      </c>
      <c r="DD1237">
        <f>INDEX('Data_Price '!AM$2:AM$1266,MATCH(Data!$DN1237,'Data_Price '!$AT$2:$AT$1266,0))</f>
        <v>0</v>
      </c>
      <c r="DE1237">
        <f>INDEX('Data_Price '!AN$2:AN$1266,MATCH(Data!$DN1237,'Data_Price '!$AT$2:$AT$1266,0))</f>
        <v>0</v>
      </c>
      <c r="DF1237">
        <f>INDEX('Data_Price '!AO$2:AO$1266,MATCH(Data!$DN1237,'Data_Price '!$AT$2:$AT$1266,0))</f>
        <v>0</v>
      </c>
      <c r="DG1237">
        <f>INDEX('Data_Price '!AP$2:AP$1266,MATCH(Data!$DN1237,'Data_Price '!$AT$2:$AT$1266,0))</f>
        <v>0</v>
      </c>
      <c r="DH1237">
        <f>INDEX('Data_Price '!AQ$2:AQ$1266,MATCH(Data!$DN1237,'Data_Price '!$AT$2:$AT$1266,0))</f>
        <v>0</v>
      </c>
      <c r="DI1237">
        <f>INDEX('Data_Price '!AR$2:AR$1266,MATCH(Data!$DN1237,'Data_Price '!$AT$2:$AT$1266,0))</f>
        <v>0</v>
      </c>
      <c r="DJ1237" s="89">
        <f t="shared" si="735"/>
        <v>0</v>
      </c>
      <c r="DK1237" s="89">
        <f t="shared" si="736"/>
        <v>0</v>
      </c>
      <c r="DL1237" s="89">
        <f t="shared" si="737"/>
        <v>0</v>
      </c>
      <c r="DM1237" s="219" t="str">
        <f t="shared" si="738"/>
        <v>Le Nomade Ti</v>
      </c>
      <c r="DN1237" s="89" t="str">
        <f t="shared" si="739"/>
        <v xml:space="preserve"> RaccoonLe Nomade Ti171 Unisex</v>
      </c>
      <c r="DO1237" s="221"/>
    </row>
    <row r="1238" spans="2:119" ht="15.6" customHeight="1">
      <c r="B1238" s="219" t="b">
        <f t="array" ref="B1238">IF(OR(ISERROR(K1238:P1238)),FALSE,TRUE)</f>
        <v>1</v>
      </c>
      <c r="C1238" s="43" t="b">
        <f>OR(BR1238=Driver!$G$50,Data!BR383=Driver!$H$50)</f>
        <v>1</v>
      </c>
      <c r="D1238" s="43" t="b">
        <f>OR(BV1238=Driver!$G$51,BV1238=Driver!$H$51)</f>
        <v>1</v>
      </c>
      <c r="E1238" s="43" t="b">
        <f>AND(BX1238&gt;Driver!$F$54,BX1238&lt;Driver!$G$54)</f>
        <v>0</v>
      </c>
      <c r="F1238" s="43" t="b">
        <f>CL1238&gt;Driver!$F$56</f>
        <v>1</v>
      </c>
      <c r="G1238" s="43" t="b">
        <f>AND(CB1238&gt;Driver!$F$55,CB1238&lt;Driver!$G$55)</f>
        <v>1</v>
      </c>
      <c r="H1238" s="43" t="b">
        <f t="shared" si="703"/>
        <v>0</v>
      </c>
      <c r="I1238" s="43">
        <f t="shared" si="704"/>
        <v>0</v>
      </c>
      <c r="J1238" s="43" t="b">
        <f t="array" ref="J1238">NOT(OR(($H$9:$H$1273=TRUE)*($I$9:$I$1273&gt;0)*($BT$9:$BT$1273=BT1238)*($K$9:$K$1273&gt;K1238)))</f>
        <v>1</v>
      </c>
      <c r="K1238" s="72">
        <f t="shared" si="705"/>
        <v>0.59066747940711206</v>
      </c>
      <c r="L1238" s="72">
        <f t="shared" si="706"/>
        <v>0.62711442177162158</v>
      </c>
      <c r="M1238" s="72">
        <f t="shared" si="707"/>
        <v>0.55422053704260255</v>
      </c>
      <c r="N1238" s="72">
        <f t="shared" si="708"/>
        <v>0.30847964381173321</v>
      </c>
      <c r="O1238" s="72">
        <f t="shared" si="709"/>
        <v>0.6542926233928511</v>
      </c>
      <c r="P1238" s="72">
        <f t="shared" si="710"/>
        <v>0.69988934392322344</v>
      </c>
      <c r="Q1238" s="72"/>
      <c r="R1238" s="72"/>
      <c r="S1238" s="72">
        <f t="shared" si="711"/>
        <v>0.56982539088883066</v>
      </c>
      <c r="T1238" s="72">
        <f t="shared" si="712"/>
        <v>0.57877955547552029</v>
      </c>
      <c r="U1238" s="72">
        <f t="shared" si="713"/>
        <v>0.5037961355051972</v>
      </c>
      <c r="V1238" s="72">
        <f t="shared" si="714"/>
        <v>0.60306538203322746</v>
      </c>
      <c r="W1238" s="72">
        <f t="shared" si="715"/>
        <v>0.77818432948267202</v>
      </c>
      <c r="X1238" s="72">
        <f t="shared" si="716"/>
        <v>0.37288557822837848</v>
      </c>
      <c r="Y1238" s="72">
        <f t="shared" si="717"/>
        <v>0.4457794629573974</v>
      </c>
      <c r="Z1238" s="72">
        <f t="shared" si="718"/>
        <v>0.69152035618826679</v>
      </c>
      <c r="AA1238" s="72">
        <f t="shared" si="719"/>
        <v>0.3457073766071489</v>
      </c>
      <c r="AB1238" s="72">
        <f t="shared" si="720"/>
        <v>0.30011065607677662</v>
      </c>
      <c r="AC1238" s="72"/>
      <c r="AD1238" s="72"/>
      <c r="AE1238" s="72">
        <f t="shared" si="721"/>
        <v>0.43017460911116928</v>
      </c>
      <c r="AF1238" s="72">
        <f t="shared" si="722"/>
        <v>0.42122044452447971</v>
      </c>
      <c r="AG1238" s="72">
        <f t="shared" si="723"/>
        <v>0.49620386449480286</v>
      </c>
      <c r="AH1238" s="72">
        <f t="shared" si="724"/>
        <v>0.3969346179667726</v>
      </c>
      <c r="AI1238" s="72">
        <f t="shared" si="725"/>
        <v>0.22181567051732798</v>
      </c>
      <c r="AJ1238" s="72">
        <f>(AV1238-Driver!$K$179)/(Driver!$L$179-Driver!$K$179)</f>
        <v>0.6271049875110789</v>
      </c>
      <c r="AK1238" s="72">
        <f>(AW1238-Driver!$K$180)/(Driver!$L$180-Driver!$K$180)</f>
        <v>0.58396624845074929</v>
      </c>
      <c r="AL1238" s="72">
        <f>(AX1238-Driver!$K$181)/(Driver!$L$181-Driver!$K$181)</f>
        <v>0.79320811990134699</v>
      </c>
      <c r="AM1238" s="72">
        <f>(AY1238-Driver!$K$182)/(Driver!$L$182-Driver!$K$182)</f>
        <v>0.10167764448989745</v>
      </c>
      <c r="AN1238" s="72">
        <f>(AZ1238-Driver!$K$183)/(Driver!$L$183-Driver!$K$183)</f>
        <v>0.55433006535947704</v>
      </c>
      <c r="AO1238" s="72"/>
      <c r="AP1238" s="72"/>
      <c r="AQ1238" s="72">
        <f>(BC1238-Driver!$K$188)/(Driver!$L$188-Driver!$K$188)</f>
        <v>0.18982539088883071</v>
      </c>
      <c r="AR1238" s="72">
        <f>MIN((BD1238-Driver!$K$189)/(Driver!$L$189-Driver!$K$189),100%)</f>
        <v>0.12877955547552031</v>
      </c>
      <c r="AS1238" s="72">
        <f>(BE1238-Driver!$K$190)/(Driver!$L$190-Driver!$K$190)</f>
        <v>1.3796135505197151E-2</v>
      </c>
      <c r="AT1238" s="72">
        <f>(BF1238-Driver!$K$191)/(Driver!$L$191-Driver!$K$191)</f>
        <v>0.1130653820332274</v>
      </c>
      <c r="AU1238" s="72">
        <f>(BG1238-Driver!$K$192)/(Driver!$L$192-Driver!$K$192)</f>
        <v>2.8184329482672021E-2</v>
      </c>
      <c r="AV1238" s="70">
        <f t="shared" si="726"/>
        <v>13.198684032017367</v>
      </c>
      <c r="AW1238" s="70">
        <f t="shared" si="727"/>
        <v>58.784578000335316</v>
      </c>
      <c r="AX1238" s="70">
        <f t="shared" si="728"/>
        <v>8.1388730791121233</v>
      </c>
      <c r="AY1238" s="70">
        <f>IFERROR(Driver!$K$19/Data!BH1238/Data!BI1238*Data!BK1238*Data!BL1238,"")</f>
        <v>0.12448377453667472</v>
      </c>
      <c r="AZ1238" s="70">
        <f t="shared" si="729"/>
        <v>50.521221146686521</v>
      </c>
      <c r="BA1238" s="70"/>
      <c r="BB1238" s="70"/>
      <c r="BC1238" s="70">
        <f t="shared" si="730"/>
        <v>98.463749898744581</v>
      </c>
      <c r="BD1238" s="70">
        <f t="shared" si="731"/>
        <v>13.11758535981132</v>
      </c>
      <c r="BE1238" s="70">
        <f t="shared" si="732"/>
        <v>1.397206317442571E-2</v>
      </c>
      <c r="BF1238" s="70">
        <f t="shared" si="733"/>
        <v>12.769940571388348</v>
      </c>
      <c r="BG1238" s="70">
        <f t="shared" si="734"/>
        <v>0.10672385107985936</v>
      </c>
      <c r="BH1238" s="67">
        <f>MAX((CE1238-Driver!$F$200)/(Driver!$G$200-Driver!$F$200)*$BI$1,1)</f>
        <v>8.1388730791121233</v>
      </c>
      <c r="BI1238" s="67">
        <f>MAX($BI$1*(BY1238-Driver!$F$201)/(Driver!$G$201-Driver!$F$201),1)</f>
        <v>7.2784810126582276</v>
      </c>
      <c r="BJ1238" s="67">
        <f>(CB1238-Driver!$F$206)/(Driver!$G$206-Driver!$F$206)*$BI$1</f>
        <v>6.825396825396826</v>
      </c>
      <c r="BK1238" s="67">
        <f>(CD1238-Driver!$F$203)/(Driver!$G$203-Driver!$F$203)*$BI$1</f>
        <v>5.0917431192660558</v>
      </c>
      <c r="BL1238" s="67">
        <f>MAX((CR1238-Driver!$F$202)/(Driver!$G$202-Driver!$F$202)*$BI$1,1)</f>
        <v>7.2413793103448274</v>
      </c>
      <c r="BM1238" s="67">
        <f>MAX((CH1238-Driver!$F$204)/(Driver!$G$204-Driver!$F$204)*$BI$1,1)</f>
        <v>7.7350427350427351</v>
      </c>
      <c r="BN1238" s="67">
        <f>(CI1238-Driver!$F$205)/(Driver!$G$205-Driver!$F$205)*$BI$1</f>
        <v>6.9411764705882355</v>
      </c>
      <c r="BO1238" s="67">
        <f>(CK1238-Driver!$F$207)/(Driver!$G$207-Driver!$F$207)*$BI$1</f>
        <v>2.6059979317476731</v>
      </c>
      <c r="BP1238" s="67">
        <f>(CM1238-Driver!$F$208)/(Driver!$G$208-Driver!$F$208)*$BI$1</f>
        <v>3.6555555555555559</v>
      </c>
      <c r="BQ1238" s="67">
        <f>(CL1238-Driver!$F$209)/(Driver!$G$209-Driver!$F$209)*$BI$1</f>
        <v>6.71875</v>
      </c>
      <c r="BR1238" s="28" t="s">
        <v>155</v>
      </c>
      <c r="BS1238" s="8" t="s">
        <v>202</v>
      </c>
      <c r="BT1238" s="9" t="s">
        <v>493</v>
      </c>
      <c r="BU1238" s="10">
        <v>192</v>
      </c>
      <c r="BV1238" s="9" t="s">
        <v>158</v>
      </c>
      <c r="BW1238" s="10">
        <v>192</v>
      </c>
      <c r="BX1238" s="10">
        <v>191.8</v>
      </c>
      <c r="BY1238" s="10">
        <v>123</v>
      </c>
      <c r="BZ1238" s="10">
        <v>152</v>
      </c>
      <c r="CA1238" s="10">
        <v>137</v>
      </c>
      <c r="CB1238" s="10">
        <v>107</v>
      </c>
      <c r="CC1238" s="10">
        <v>127</v>
      </c>
      <c r="CD1238" s="10">
        <v>20.5</v>
      </c>
      <c r="CE1238" s="10">
        <v>2330</v>
      </c>
      <c r="CF1238" s="10">
        <v>0.96</v>
      </c>
      <c r="CG1238" s="10">
        <v>2226</v>
      </c>
      <c r="CH1238" s="10">
        <v>282</v>
      </c>
      <c r="CI1238" s="10">
        <v>151</v>
      </c>
      <c r="CJ1238" s="10">
        <v>67</v>
      </c>
      <c r="CK1238" s="10">
        <v>362</v>
      </c>
      <c r="CL1238" s="10">
        <v>43</v>
      </c>
      <c r="CM1238" s="10">
        <v>329</v>
      </c>
      <c r="CN1238" s="10">
        <v>0.64500000000000002</v>
      </c>
      <c r="CO1238" s="10">
        <v>216</v>
      </c>
      <c r="CP1238" s="10">
        <v>181</v>
      </c>
      <c r="CQ1238" s="10">
        <v>145</v>
      </c>
      <c r="CR1238" s="10">
        <v>10</v>
      </c>
      <c r="CS1238" s="10">
        <v>8.6999999999999993</v>
      </c>
      <c r="CT1238" s="9" t="s">
        <v>169</v>
      </c>
      <c r="CU1238" s="10"/>
      <c r="CV1238" s="10"/>
      <c r="CW1238" s="10"/>
      <c r="CX1238" t="str">
        <f>INDEX('Data_Price '!AG$2:AG$1266,MATCH(Data!$DN1238,'Data_Price '!$AT$2:$AT$1266,0))</f>
        <v>2022 Dynastar M-Free 108 Ski with Salomon Guardian MNC 16 Bindings</v>
      </c>
      <c r="CY1238" t="str">
        <f>INDEX('Data_Price '!AH$2:AH$1266,MATCH(Data!$DN1238,'Data_Price '!$AT$2:$AT$1266,0))</f>
        <v>Geartrade.com</v>
      </c>
      <c r="CZ1238">
        <f>INDEX('Data_Price '!AI$2:AI$1266,MATCH(Data!$DN1238,'Data_Price '!$AT$2:$AT$1266,0))</f>
        <v>515.98</v>
      </c>
      <c r="DA1238" t="str">
        <f>INDEX('Data_Price '!AJ$2:AJ$1266,MATCH(Data!$DN1238,'Data_Price '!$AT$2:$AT$1266,0))</f>
        <v>https://tinyurl.com/yauwm4vd</v>
      </c>
      <c r="DB1238" t="str">
        <f>INDEX('Data_Price '!AK$2:AK$1266,MATCH(Data!$DN1238,'Data_Price '!$AT$2:$AT$1266,0))</f>
        <v>Dynastar M-Free 108 Skis</v>
      </c>
      <c r="DC1238" t="str">
        <f>INDEX('Data_Price '!AL$2:AL$1266,MATCH(Data!$DN1238,'Data_Price '!$AT$2:$AT$1266,0))</f>
        <v>Cole Sport</v>
      </c>
      <c r="DD1238">
        <f>INDEX('Data_Price '!AM$2:AM$1266,MATCH(Data!$DN1238,'Data_Price '!$AT$2:$AT$1266,0))</f>
        <v>559.96</v>
      </c>
      <c r="DE1238" t="str">
        <f>INDEX('Data_Price '!AN$2:AN$1266,MATCH(Data!$DN1238,'Data_Price '!$AT$2:$AT$1266,0))</f>
        <v>https://tinyurl.com/y77qpmg7</v>
      </c>
      <c r="DF1238" t="str">
        <f>INDEX('Data_Price '!AO$2:AO$1266,MATCH(Data!$DN1238,'Data_Price '!$AT$2:$AT$1266,0))</f>
        <v>Dynastar M-Free 108</v>
      </c>
      <c r="DG1238" t="str">
        <f>INDEX('Data_Price '!AP$2:AP$1266,MATCH(Data!$DN1238,'Data_Price '!$AT$2:$AT$1266,0))</f>
        <v>Next Adventure</v>
      </c>
      <c r="DH1238">
        <f>INDEX('Data_Price '!AQ$2:AQ$1266,MATCH(Data!$DN1238,'Data_Price '!$AT$2:$AT$1266,0))</f>
        <v>559.96</v>
      </c>
      <c r="DI1238" t="str">
        <f>INDEX('Data_Price '!AR$2:AR$1266,MATCH(Data!$DN1238,'Data_Price '!$AT$2:$AT$1266,0))</f>
        <v>https://tinyurl.com/y7l3byr8</v>
      </c>
      <c r="DJ1238" s="89" t="str">
        <f t="shared" si="735"/>
        <v>https://tinyurl.com/yauwm4vd</v>
      </c>
      <c r="DK1238" s="89" t="str">
        <f t="shared" si="736"/>
        <v>https://tinyurl.com/y77qpmg7</v>
      </c>
      <c r="DL1238" s="89" t="str">
        <f t="shared" si="737"/>
        <v>https://tinyurl.com/y7l3byr8</v>
      </c>
      <c r="DM1238" s="219" t="str">
        <f t="shared" si="738"/>
        <v>M-Free 108</v>
      </c>
      <c r="DN1238" s="89" t="str">
        <f t="shared" si="739"/>
        <v xml:space="preserve"> DynastarM-Free 108192 Unisex</v>
      </c>
      <c r="DO1238" s="221" t="s">
        <v>494</v>
      </c>
    </row>
    <row r="1239" spans="2:119" ht="15.6" customHeight="1">
      <c r="B1239" s="219" t="b">
        <f t="array" ref="B1239">IF(OR(ISERROR(K1239:P1239)),FALSE,TRUE)</f>
        <v>1</v>
      </c>
      <c r="C1239" s="43" t="b">
        <f>OR(BR1239=Driver!$G$50,Data!BR500=Driver!$H$50)</f>
        <v>1</v>
      </c>
      <c r="D1239" s="43" t="b">
        <f>OR(BV1239=Driver!$G$51,BV1239=Driver!$H$51)</f>
        <v>0</v>
      </c>
      <c r="E1239" s="43" t="b">
        <f>AND(BX1239&gt;Driver!$F$54,BX1239&lt;Driver!$G$54)</f>
        <v>0</v>
      </c>
      <c r="F1239" s="43" t="b">
        <f>CL1239&gt;Driver!$F$56</f>
        <v>1</v>
      </c>
      <c r="G1239" s="43" t="b">
        <f>AND(CB1239&gt;Driver!$F$55,CB1239&lt;Driver!$G$55)</f>
        <v>0</v>
      </c>
      <c r="H1239" s="43" t="b">
        <f t="shared" si="703"/>
        <v>0</v>
      </c>
      <c r="I1239" s="43">
        <f t="shared" si="704"/>
        <v>0</v>
      </c>
      <c r="J1239" s="43" t="b">
        <f t="array" ref="J1239">NOT(OR(($H$9:$H$1273=TRUE)*($I$9:$I$1273&gt;0)*($BT$9:$BT$1273=BT1239)*($K$9:$K$1273&gt;K1239)))</f>
        <v>1</v>
      </c>
      <c r="K1239" s="72">
        <f t="shared" si="705"/>
        <v>0.79106719037361584</v>
      </c>
      <c r="L1239" s="72">
        <f t="shared" si="706"/>
        <v>0.78160365090584194</v>
      </c>
      <c r="M1239" s="72">
        <f t="shared" si="707"/>
        <v>0.80053072984138962</v>
      </c>
      <c r="N1239" s="72">
        <f t="shared" si="708"/>
        <v>0.97818322850850969</v>
      </c>
      <c r="O1239" s="72">
        <f t="shared" si="709"/>
        <v>0.67762837029835965</v>
      </c>
      <c r="P1239" s="72">
        <f t="shared" si="710"/>
        <v>0.74578059071729963</v>
      </c>
      <c r="Q1239" s="72"/>
      <c r="R1239" s="72"/>
      <c r="S1239" s="72">
        <f t="shared" si="711"/>
        <v>0.38</v>
      </c>
      <c r="T1239" s="72">
        <f t="shared" si="712"/>
        <v>0.46928426235863341</v>
      </c>
      <c r="U1239" s="72">
        <f t="shared" si="713"/>
        <v>0.75278480956972926</v>
      </c>
      <c r="V1239" s="72">
        <f t="shared" si="714"/>
        <v>0.54217716559558771</v>
      </c>
      <c r="W1239" s="72">
        <f t="shared" si="715"/>
        <v>0.3377483443708611</v>
      </c>
      <c r="X1239" s="72">
        <f t="shared" si="716"/>
        <v>0.218396349094158</v>
      </c>
      <c r="Y1239" s="72">
        <f t="shared" si="717"/>
        <v>0.19946927015861038</v>
      </c>
      <c r="Z1239" s="72">
        <f t="shared" si="718"/>
        <v>2.1816771491490347E-2</v>
      </c>
      <c r="AA1239" s="72">
        <f t="shared" si="719"/>
        <v>0.32237162970164035</v>
      </c>
      <c r="AB1239" s="72">
        <f t="shared" si="720"/>
        <v>0.25421940928270043</v>
      </c>
      <c r="AC1239" s="72"/>
      <c r="AD1239" s="72"/>
      <c r="AE1239" s="72">
        <f t="shared" si="721"/>
        <v>0.62</v>
      </c>
      <c r="AF1239" s="72">
        <f t="shared" si="722"/>
        <v>0.53071573764136659</v>
      </c>
      <c r="AG1239" s="72">
        <f t="shared" si="723"/>
        <v>0.24721519043027074</v>
      </c>
      <c r="AH1239" s="72">
        <f t="shared" si="724"/>
        <v>0.45782283440441229</v>
      </c>
      <c r="AI1239" s="72">
        <f t="shared" si="725"/>
        <v>0.6622516556291389</v>
      </c>
      <c r="AJ1239" s="72">
        <f>(AV1239-Driver!$K$179)/(Driver!$L$179-Driver!$K$179)</f>
        <v>3.5823060188542422E-2</v>
      </c>
      <c r="AK1239" s="72">
        <f>(AW1239-Driver!$K$180)/(Driver!$L$180-Driver!$K$180)</f>
        <v>0</v>
      </c>
      <c r="AL1239" s="72">
        <f>(AX1239-Driver!$K$181)/(Driver!$L$181-Driver!$K$181)</f>
        <v>7.9870992221589832E-2</v>
      </c>
      <c r="AM1239" s="72">
        <f>(AY1239-Driver!$K$182)/(Driver!$L$182-Driver!$K$182)</f>
        <v>0.12501339139540604</v>
      </c>
      <c r="AN1239" s="72">
        <f>(AZ1239-Driver!$K$183)/(Driver!$L$183-Driver!$K$183)</f>
        <v>0</v>
      </c>
      <c r="AO1239" s="72"/>
      <c r="AP1239" s="72"/>
      <c r="AQ1239" s="72">
        <f>(BC1239-Driver!$K$188)/(Driver!$L$188-Driver!$K$188)</f>
        <v>0</v>
      </c>
      <c r="AR1239" s="72">
        <f>MIN((BD1239-Driver!$K$189)/(Driver!$L$189-Driver!$K$189),100%)</f>
        <v>1.9284262358633505E-2</v>
      </c>
      <c r="AS1239" s="72">
        <f>(BE1239-Driver!$K$190)/(Driver!$L$190-Driver!$K$190)</f>
        <v>0.26278480956972927</v>
      </c>
      <c r="AT1239" s="72">
        <f>(BF1239-Driver!$K$191)/(Driver!$L$191-Driver!$K$191)</f>
        <v>5.2177165595587702E-2</v>
      </c>
      <c r="AU1239" s="72">
        <f>(BG1239-Driver!$K$192)/(Driver!$L$192-Driver!$K$192)</f>
        <v>0.9122516556291389</v>
      </c>
      <c r="AV1239" s="70">
        <f t="shared" si="726"/>
        <v>0.75396825396825395</v>
      </c>
      <c r="AW1239" s="70">
        <f t="shared" si="727"/>
        <v>1.8718926214581881</v>
      </c>
      <c r="AX1239" s="70">
        <f t="shared" si="728"/>
        <v>1.7188389299943085</v>
      </c>
      <c r="AY1239" s="70">
        <f>IFERROR(Driver!$K$19/Data!BH1239/Data!BI1239*Data!BK1239*Data!BL1239,"")</f>
        <v>0.15305369146387957</v>
      </c>
      <c r="AZ1239" s="70">
        <f t="shared" si="729"/>
        <v>0</v>
      </c>
      <c r="BA1239" s="70"/>
      <c r="BB1239" s="70"/>
      <c r="BC1239" s="70">
        <f t="shared" si="730"/>
        <v>0</v>
      </c>
      <c r="BD1239" s="70">
        <f t="shared" si="731"/>
        <v>3.4274459331458194</v>
      </c>
      <c r="BE1239" s="70">
        <f t="shared" si="732"/>
        <v>0.26291632046199165</v>
      </c>
      <c r="BF1239" s="70">
        <f t="shared" si="733"/>
        <v>5.8930442886871699</v>
      </c>
      <c r="BG1239" s="70">
        <f t="shared" si="734"/>
        <v>3.4543667218543042</v>
      </c>
      <c r="BH1239" s="67">
        <f>MAX((CE1239-Driver!$F$200)/(Driver!$G$200-Driver!$F$200)*$BI$1,1)</f>
        <v>1.7188389299943085</v>
      </c>
      <c r="BI1239" s="67">
        <f>MAX($BI$1*(BY1239-Driver!$F$201)/(Driver!$G$201-Driver!$F$201),1)</f>
        <v>6.0126582278481013</v>
      </c>
      <c r="BJ1239" s="67">
        <f>(CB1239-Driver!$F$206)/(Driver!$G$206-Driver!$F$206)*$BI$1</f>
        <v>3.0158730158730158</v>
      </c>
      <c r="BK1239" s="67">
        <f>(CD1239-Driver!$F$203)/(Driver!$G$203-Driver!$F$203)*$BI$1</f>
        <v>1.1467889908256883</v>
      </c>
      <c r="BL1239" s="67">
        <f>MAX((CR1239-Driver!$F$202)/(Driver!$G$202-Driver!$F$202)*$BI$1,1)</f>
        <v>6.8965517241379315</v>
      </c>
      <c r="BM1239" s="67">
        <f>MAX((CH1239-Driver!$F$204)/(Driver!$G$204-Driver!$F$204)*$BI$1,1)</f>
        <v>1</v>
      </c>
      <c r="BN1239" s="67">
        <f>(CI1239-Driver!$F$205)/(Driver!$G$205-Driver!$F$205)*$BI$1</f>
        <v>0</v>
      </c>
      <c r="BO1239" s="67">
        <f>(CK1239-Driver!$F$207)/(Driver!$G$207-Driver!$F$207)*$BI$1</f>
        <v>1.0134436401240952</v>
      </c>
      <c r="BP1239" s="67">
        <f>(CM1239-Driver!$F$208)/(Driver!$G$208-Driver!$F$208)*$BI$1</f>
        <v>2.2111111111111112</v>
      </c>
      <c r="BQ1239" s="67">
        <f>(CL1239-Driver!$F$209)/(Driver!$G$209-Driver!$F$209)*$BI$1</f>
        <v>5.9375</v>
      </c>
      <c r="BR1239" s="28" t="s">
        <v>155</v>
      </c>
      <c r="BS1239" s="8" t="s">
        <v>205</v>
      </c>
      <c r="BT1239" s="9" t="s">
        <v>899</v>
      </c>
      <c r="BU1239" s="10">
        <v>145</v>
      </c>
      <c r="BV1239" s="9" t="s">
        <v>385</v>
      </c>
      <c r="BW1239" s="10">
        <v>145</v>
      </c>
      <c r="BX1239" s="10">
        <v>143.69999999999999</v>
      </c>
      <c r="BY1239" s="10">
        <v>103</v>
      </c>
      <c r="BZ1239" s="10">
        <v>120</v>
      </c>
      <c r="CA1239" s="10">
        <v>114</v>
      </c>
      <c r="CB1239" s="10">
        <v>83</v>
      </c>
      <c r="CC1239" s="10">
        <v>110</v>
      </c>
      <c r="CD1239" s="10">
        <v>11.9</v>
      </c>
      <c r="CE1239" s="10">
        <v>1202</v>
      </c>
      <c r="CF1239" s="10">
        <v>1.1299999999999999</v>
      </c>
      <c r="CG1239" s="10">
        <v>1355</v>
      </c>
      <c r="CH1239" s="10">
        <v>108</v>
      </c>
      <c r="CI1239" s="10">
        <v>33</v>
      </c>
      <c r="CJ1239" s="10">
        <v>44</v>
      </c>
      <c r="CK1239" s="10">
        <v>208</v>
      </c>
      <c r="CL1239" s="10">
        <v>38</v>
      </c>
      <c r="CM1239" s="10">
        <v>199</v>
      </c>
      <c r="CN1239" s="10">
        <v>0.85599999999999998</v>
      </c>
      <c r="CO1239" s="10">
        <v>123</v>
      </c>
      <c r="CP1239" s="10">
        <v>110</v>
      </c>
      <c r="CQ1239" s="10">
        <v>85</v>
      </c>
      <c r="CR1239" s="10">
        <v>9</v>
      </c>
      <c r="CS1239" s="10">
        <v>3</v>
      </c>
      <c r="CT1239" s="9" t="s">
        <v>188</v>
      </c>
      <c r="CU1239" s="9" t="s">
        <v>184</v>
      </c>
      <c r="CV1239" s="9" t="s">
        <v>185</v>
      </c>
      <c r="CW1239" s="10"/>
      <c r="CX1239" t="str">
        <f>INDEX('Data_Price '!AG$2:AG$1266,MATCH(Data!$DN1239,'Data_Price '!$AT$2:$AT$1266,0))</f>
        <v>Faction Candide Ct 1.0 Jr (Red) Kids Skis</v>
      </c>
      <c r="CY1239" t="str">
        <f>INDEX('Data_Price '!AH$2:AH$1266,MATCH(Data!$DN1239,'Data_Price '!$AT$2:$AT$1266,0))</f>
        <v>AlpinStore</v>
      </c>
      <c r="CZ1239">
        <f>INDEX('Data_Price '!AI$2:AI$1266,MATCH(Data!$DN1239,'Data_Price '!$AT$2:$AT$1266,0))</f>
        <v>276.87</v>
      </c>
      <c r="DA1239" t="str">
        <f>INDEX('Data_Price '!AJ$2:AJ$1266,MATCH(Data!$DN1239,'Data_Price '!$AT$2:$AT$1266,0))</f>
        <v>https://tinyurl.com/y6weu3xp</v>
      </c>
      <c r="DB1239" t="str">
        <f>INDEX('Data_Price '!AK$2:AK$1266,MATCH(Data!$DN1239,'Data_Price '!$AT$2:$AT$1266,0))</f>
        <v>Faction CT 1.0 Skis JR 2022 145</v>
      </c>
      <c r="DC1239" t="str">
        <f>INDEX('Data_Price '!AL$2:AL$1266,MATCH(Data!$DN1239,'Data_Price '!$AT$2:$AT$1266,0))</f>
        <v>fullsendskiandoutdoor.com</v>
      </c>
      <c r="DD1239">
        <f>INDEX('Data_Price '!AM$2:AM$1266,MATCH(Data!$DN1239,'Data_Price '!$AT$2:$AT$1266,0))</f>
        <v>359</v>
      </c>
      <c r="DE1239" t="str">
        <f>INDEX('Data_Price '!AN$2:AN$1266,MATCH(Data!$DN1239,'Data_Price '!$AT$2:$AT$1266,0))</f>
        <v>https://tinyurl.com/y78xs3hf</v>
      </c>
      <c r="DF1239">
        <f>INDEX('Data_Price '!AO$2:AO$1266,MATCH(Data!$DN1239,'Data_Price '!$AT$2:$AT$1266,0))</f>
        <v>0</v>
      </c>
      <c r="DG1239">
        <f>INDEX('Data_Price '!AP$2:AP$1266,MATCH(Data!$DN1239,'Data_Price '!$AT$2:$AT$1266,0))</f>
        <v>0</v>
      </c>
      <c r="DH1239">
        <f>INDEX('Data_Price '!AQ$2:AQ$1266,MATCH(Data!$DN1239,'Data_Price '!$AT$2:$AT$1266,0))</f>
        <v>0</v>
      </c>
      <c r="DI1239">
        <f>INDEX('Data_Price '!AR$2:AR$1266,MATCH(Data!$DN1239,'Data_Price '!$AT$2:$AT$1266,0))</f>
        <v>0</v>
      </c>
      <c r="DJ1239" s="89" t="str">
        <f t="shared" si="735"/>
        <v>https://tinyurl.com/y6weu3xp</v>
      </c>
      <c r="DK1239" s="89" t="str">
        <f t="shared" si="736"/>
        <v>https://tinyurl.com/y78xs3hf</v>
      </c>
      <c r="DL1239" s="89">
        <f t="shared" si="737"/>
        <v>0</v>
      </c>
      <c r="DM1239" s="219" t="str">
        <f t="shared" si="738"/>
        <v>CT 1.0 Jr</v>
      </c>
      <c r="DN1239" s="89" t="str">
        <f t="shared" si="739"/>
        <v xml:space="preserve"> FactionCT 1.0 Jr145 Junior</v>
      </c>
      <c r="DO1239" s="221" t="s">
        <v>900</v>
      </c>
    </row>
    <row r="1240" spans="2:119" ht="15.6" customHeight="1">
      <c r="B1240" s="219" t="b">
        <f t="array" ref="B1240">IF(OR(ISERROR(K1240:P1240)),FALSE,TRUE)</f>
        <v>1</v>
      </c>
      <c r="C1240" s="43" t="b">
        <f>OR(BR1240=Driver!$G$50,Data!BR708=Driver!$H$50)</f>
        <v>1</v>
      </c>
      <c r="D1240" s="43" t="b">
        <f>OR(BV1240=Driver!$G$51,BV1240=Driver!$H$51)</f>
        <v>1</v>
      </c>
      <c r="E1240" s="43" t="b">
        <f>AND(BX1240&gt;Driver!$F$54,BX1240&lt;Driver!$G$54)</f>
        <v>0</v>
      </c>
      <c r="F1240" s="43" t="b">
        <f>CL1240&gt;Driver!$F$56</f>
        <v>1</v>
      </c>
      <c r="G1240" s="43" t="b">
        <f>AND(CB1240&gt;Driver!$F$55,CB1240&lt;Driver!$G$55)</f>
        <v>0</v>
      </c>
      <c r="H1240" s="43" t="b">
        <f t="shared" si="703"/>
        <v>0</v>
      </c>
      <c r="I1240" s="43">
        <f t="shared" si="704"/>
        <v>0</v>
      </c>
      <c r="J1240" s="43" t="b">
        <f t="array" ref="J1240">NOT(OR(($H$9:$H$1273=TRUE)*($I$9:$I$1273&gt;0)*($BT$9:$BT$1273=BT1240)*($K$9:$K$1273&gt;K1240)))</f>
        <v>1</v>
      </c>
      <c r="K1240" s="72">
        <f t="shared" si="705"/>
        <v>0.72352020788598126</v>
      </c>
      <c r="L1240" s="72">
        <f t="shared" si="706"/>
        <v>0.92658793903733816</v>
      </c>
      <c r="M1240" s="72">
        <f t="shared" si="707"/>
        <v>0.52045247673462436</v>
      </c>
      <c r="N1240" s="72">
        <f t="shared" si="708"/>
        <v>0.44001698650445431</v>
      </c>
      <c r="O1240" s="72">
        <f t="shared" si="709"/>
        <v>0.61589554422063986</v>
      </c>
      <c r="P1240" s="72">
        <f t="shared" si="710"/>
        <v>0.50544489947877902</v>
      </c>
      <c r="Q1240" s="72"/>
      <c r="R1240" s="72"/>
      <c r="S1240" s="72">
        <f t="shared" si="711"/>
        <v>0.65921407097715545</v>
      </c>
      <c r="T1240" s="72">
        <f t="shared" si="712"/>
        <v>0.75555985593585917</v>
      </c>
      <c r="U1240" s="72">
        <f t="shared" si="713"/>
        <v>0.51</v>
      </c>
      <c r="V1240" s="72">
        <f t="shared" si="714"/>
        <v>0.49182058473845802</v>
      </c>
      <c r="W1240" s="72">
        <f t="shared" si="715"/>
        <v>0.75736218568665381</v>
      </c>
      <c r="X1240" s="72">
        <f t="shared" si="716"/>
        <v>7.3412060962661785E-2</v>
      </c>
      <c r="Y1240" s="72">
        <f t="shared" si="717"/>
        <v>0.47954752326537559</v>
      </c>
      <c r="Z1240" s="72">
        <f t="shared" si="718"/>
        <v>0.55998301349554569</v>
      </c>
      <c r="AA1240" s="72">
        <f t="shared" si="719"/>
        <v>0.38410445577936014</v>
      </c>
      <c r="AB1240" s="72">
        <f t="shared" si="720"/>
        <v>0.49455510052122093</v>
      </c>
      <c r="AC1240" s="72"/>
      <c r="AD1240" s="72"/>
      <c r="AE1240" s="72">
        <f t="shared" si="721"/>
        <v>0.34078592902284449</v>
      </c>
      <c r="AF1240" s="72">
        <f t="shared" si="722"/>
        <v>0.24444014406414089</v>
      </c>
      <c r="AG1240" s="72">
        <f t="shared" si="723"/>
        <v>0.49</v>
      </c>
      <c r="AH1240" s="72">
        <f t="shared" si="724"/>
        <v>0.50817941526154198</v>
      </c>
      <c r="AI1240" s="72">
        <f t="shared" si="725"/>
        <v>0.24263781431334622</v>
      </c>
      <c r="AJ1240" s="72">
        <f>(AV1240-Driver!$K$179)/(Driver!$L$179-Driver!$K$179)</f>
        <v>0.18080734832003864</v>
      </c>
      <c r="AK1240" s="72">
        <f>(AW1240-Driver!$K$180)/(Driver!$L$180-Driver!$K$180)</f>
        <v>0.75317275537166084</v>
      </c>
      <c r="AL1240" s="72">
        <f>(AX1240-Driver!$K$181)/(Driver!$L$181-Driver!$K$181)</f>
        <v>0.66167077720862588</v>
      </c>
      <c r="AM1240" s="72">
        <f>(AY1240-Driver!$K$182)/(Driver!$L$182-Driver!$K$182)</f>
        <v>6.3280565317686194E-2</v>
      </c>
      <c r="AN1240" s="72">
        <f>(AZ1240-Driver!$K$183)/(Driver!$L$183-Driver!$K$183)</f>
        <v>0.74877450980392135</v>
      </c>
      <c r="AO1240" s="72"/>
      <c r="AP1240" s="72"/>
      <c r="AQ1240" s="72">
        <f>(BC1240-Driver!$K$188)/(Driver!$L$188-Driver!$K$188)</f>
        <v>0.2792140709771555</v>
      </c>
      <c r="AR1240" s="72">
        <f>MIN((BD1240-Driver!$K$189)/(Driver!$L$189-Driver!$K$189),100%)</f>
        <v>0.30555985593585916</v>
      </c>
      <c r="AS1240" s="72">
        <f>(BE1240-Driver!$K$190)/(Driver!$L$190-Driver!$K$190)</f>
        <v>1</v>
      </c>
      <c r="AT1240" s="72">
        <f>(BF1240-Driver!$K$191)/(Driver!$L$191-Driver!$K$191)</f>
        <v>1.8205847384579798E-3</v>
      </c>
      <c r="AU1240" s="72">
        <f>(BG1240-Driver!$K$192)/(Driver!$L$192-Driver!$K$192)</f>
        <v>7.3621856866537714E-3</v>
      </c>
      <c r="AV1240" s="70">
        <f t="shared" si="726"/>
        <v>3.805453805453805</v>
      </c>
      <c r="AW1240" s="70">
        <f t="shared" si="727"/>
        <v>75.275251421953129</v>
      </c>
      <c r="AX1240" s="70">
        <f t="shared" si="728"/>
        <v>6.9550369948776325</v>
      </c>
      <c r="AY1240" s="70">
        <f>IFERROR(Driver!$K$19/Data!BH1240/Data!BI1240*Data!BK1240*Data!BL1240,"")</f>
        <v>7.7474293047208168E-2</v>
      </c>
      <c r="AZ1240" s="70">
        <f t="shared" si="729"/>
        <v>68.242740134028281</v>
      </c>
      <c r="BA1240" s="70"/>
      <c r="BB1240" s="70"/>
      <c r="BC1240" s="70">
        <f t="shared" si="730"/>
        <v>144.83027968058099</v>
      </c>
      <c r="BD1240" s="70">
        <f t="shared" si="731"/>
        <v>28.762328714394055</v>
      </c>
      <c r="BE1240" s="70">
        <f t="shared" si="732"/>
        <v>1</v>
      </c>
      <c r="BF1240" s="70">
        <f t="shared" si="733"/>
        <v>0.20562225587715882</v>
      </c>
      <c r="BG1240" s="70">
        <f t="shared" si="734"/>
        <v>2.7877931576402323E-2</v>
      </c>
      <c r="BH1240" s="67">
        <f>MAX((CE1240-Driver!$F$200)/(Driver!$G$200-Driver!$F$200)*$BI$1,1)</f>
        <v>6.9550369948776325</v>
      </c>
      <c r="BI1240" s="67">
        <f>MAX($BI$1*(BY1240-Driver!$F$201)/(Driver!$G$201-Driver!$F$201),1)</f>
        <v>8.924050632911392</v>
      </c>
      <c r="BJ1240" s="67">
        <f>(CB1240-Driver!$F$206)/(Driver!$G$206-Driver!$F$206)*$BI$1</f>
        <v>2.6984126984126982</v>
      </c>
      <c r="BK1240" s="67">
        <f>(CD1240-Driver!$F$203)/(Driver!$G$203-Driver!$F$203)*$BI$1</f>
        <v>3.4862385321100922</v>
      </c>
      <c r="BL1240" s="67">
        <f>MAX((CR1240-Driver!$F$202)/(Driver!$G$202-Driver!$F$202)*$BI$1,1)</f>
        <v>6.8965517241379315</v>
      </c>
      <c r="BM1240" s="67">
        <f>MAX((CH1240-Driver!$F$204)/(Driver!$G$204-Driver!$F$204)*$BI$1,1)</f>
        <v>5.6410256410256405</v>
      </c>
      <c r="BN1240" s="67">
        <f>(CI1240-Driver!$F$205)/(Driver!$G$205-Driver!$F$205)*$BI$1</f>
        <v>7.6470588235294112</v>
      </c>
      <c r="BO1240" s="67">
        <f>(CK1240-Driver!$F$207)/(Driver!$G$207-Driver!$F$207)*$BI$1</f>
        <v>0.35160289555325747</v>
      </c>
      <c r="BP1240" s="67">
        <f>(CM1240-Driver!$F$208)/(Driver!$G$208-Driver!$F$208)*$BI$1</f>
        <v>0.75555555555555554</v>
      </c>
      <c r="BQ1240" s="67">
        <f>(CL1240-Driver!$F$209)/(Driver!$G$209-Driver!$F$209)*$BI$1</f>
        <v>1.09375</v>
      </c>
      <c r="BR1240" s="28" t="s">
        <v>155</v>
      </c>
      <c r="BS1240" s="8" t="s">
        <v>262</v>
      </c>
      <c r="BT1240" s="9" t="s">
        <v>901</v>
      </c>
      <c r="BU1240" s="10">
        <v>170</v>
      </c>
      <c r="BV1240" s="9" t="s">
        <v>158</v>
      </c>
      <c r="BW1240" s="10">
        <v>170</v>
      </c>
      <c r="BX1240" s="10">
        <v>170.5</v>
      </c>
      <c r="BY1240" s="10">
        <v>149</v>
      </c>
      <c r="BZ1240" s="10">
        <v>159</v>
      </c>
      <c r="CA1240" s="10">
        <v>125</v>
      </c>
      <c r="CB1240" s="10">
        <v>81</v>
      </c>
      <c r="CC1240" s="10">
        <v>111</v>
      </c>
      <c r="CD1240" s="10">
        <v>17</v>
      </c>
      <c r="CE1240" s="10">
        <v>2122</v>
      </c>
      <c r="CF1240" s="10">
        <v>0.76</v>
      </c>
      <c r="CG1240" s="10">
        <v>1613</v>
      </c>
      <c r="CH1240" s="10">
        <v>233</v>
      </c>
      <c r="CI1240" s="10">
        <v>163</v>
      </c>
      <c r="CJ1240" s="10">
        <v>32</v>
      </c>
      <c r="CK1240" s="10">
        <v>144</v>
      </c>
      <c r="CL1240" s="10">
        <v>7</v>
      </c>
      <c r="CM1240" s="10">
        <v>68</v>
      </c>
      <c r="CN1240" s="10">
        <v>0.217</v>
      </c>
      <c r="CO1240" s="10">
        <v>74</v>
      </c>
      <c r="CP1240" s="10">
        <v>40</v>
      </c>
      <c r="CQ1240" s="10">
        <v>70</v>
      </c>
      <c r="CR1240" s="10">
        <v>9</v>
      </c>
      <c r="CS1240" s="10">
        <v>10.7</v>
      </c>
      <c r="CT1240" s="9" t="s">
        <v>349</v>
      </c>
      <c r="CU1240" s="9" t="s">
        <v>188</v>
      </c>
      <c r="CV1240" s="10"/>
      <c r="CW1240" s="10"/>
      <c r="CX1240" t="e">
        <f>INDEX('Data_Price '!AG$2:AG$1266,MATCH(Data!$DN1240,'Data_Price '!$AT$2:$AT$1266,0))</f>
        <v>#N/A</v>
      </c>
      <c r="CY1240" t="e">
        <f>INDEX('Data_Price '!AH$2:AH$1266,MATCH(Data!$DN1240,'Data_Price '!$AT$2:$AT$1266,0))</f>
        <v>#N/A</v>
      </c>
      <c r="CZ1240" t="e">
        <f>INDEX('Data_Price '!AI$2:AI$1266,MATCH(Data!$DN1240,'Data_Price '!$AT$2:$AT$1266,0))</f>
        <v>#N/A</v>
      </c>
      <c r="DA1240" t="e">
        <f>INDEX('Data_Price '!AJ$2:AJ$1266,MATCH(Data!$DN1240,'Data_Price '!$AT$2:$AT$1266,0))</f>
        <v>#N/A</v>
      </c>
      <c r="DB1240" t="e">
        <f>INDEX('Data_Price '!AK$2:AK$1266,MATCH(Data!$DN1240,'Data_Price '!$AT$2:$AT$1266,0))</f>
        <v>#N/A</v>
      </c>
      <c r="DC1240" t="e">
        <f>INDEX('Data_Price '!AL$2:AL$1266,MATCH(Data!$DN1240,'Data_Price '!$AT$2:$AT$1266,0))</f>
        <v>#N/A</v>
      </c>
      <c r="DD1240" t="e">
        <f>INDEX('Data_Price '!AM$2:AM$1266,MATCH(Data!$DN1240,'Data_Price '!$AT$2:$AT$1266,0))</f>
        <v>#N/A</v>
      </c>
      <c r="DE1240" t="e">
        <f>INDEX('Data_Price '!AN$2:AN$1266,MATCH(Data!$DN1240,'Data_Price '!$AT$2:$AT$1266,0))</f>
        <v>#N/A</v>
      </c>
      <c r="DF1240" t="e">
        <f>INDEX('Data_Price '!AO$2:AO$1266,MATCH(Data!$DN1240,'Data_Price '!$AT$2:$AT$1266,0))</f>
        <v>#N/A</v>
      </c>
      <c r="DG1240" t="e">
        <f>INDEX('Data_Price '!AP$2:AP$1266,MATCH(Data!$DN1240,'Data_Price '!$AT$2:$AT$1266,0))</f>
        <v>#N/A</v>
      </c>
      <c r="DH1240" t="e">
        <f>INDEX('Data_Price '!AQ$2:AQ$1266,MATCH(Data!$DN1240,'Data_Price '!$AT$2:$AT$1266,0))</f>
        <v>#N/A</v>
      </c>
      <c r="DI1240" t="e">
        <f>INDEX('Data_Price '!AR$2:AR$1266,MATCH(Data!$DN1240,'Data_Price '!$AT$2:$AT$1266,0))</f>
        <v>#N/A</v>
      </c>
      <c r="DJ1240" s="89" t="e">
        <f t="shared" si="735"/>
        <v>#N/A</v>
      </c>
      <c r="DK1240" s="89" t="e">
        <f t="shared" si="736"/>
        <v>#N/A</v>
      </c>
      <c r="DL1240" s="89" t="e">
        <f t="shared" si="737"/>
        <v>#N/A</v>
      </c>
      <c r="DM1240" s="219" t="str">
        <f t="shared" si="738"/>
        <v>Disruption 82 Ti</v>
      </c>
      <c r="DN1240" s="89" t="str">
        <f t="shared" si="739"/>
        <v xml:space="preserve"> K2Disruption 82 Ti170 Unisex</v>
      </c>
      <c r="DO1240" s="221"/>
    </row>
    <row r="1241" spans="2:119" ht="15.6" customHeight="1">
      <c r="B1241" s="219" t="b">
        <f t="array" ref="B1241">IF(OR(ISERROR(K1241:P1241)),FALSE,TRUE)</f>
        <v>1</v>
      </c>
      <c r="C1241" s="43" t="b">
        <f>OR(BR1241=Driver!$G$50,Data!BR531=Driver!$H$50)</f>
        <v>1</v>
      </c>
      <c r="D1241" s="43" t="b">
        <f>OR(BV1241=Driver!$G$51,BV1241=Driver!$H$51)</f>
        <v>0</v>
      </c>
      <c r="E1241" s="43" t="b">
        <f>AND(BX1241&gt;Driver!$F$54,BX1241&lt;Driver!$G$54)</f>
        <v>0</v>
      </c>
      <c r="F1241" s="43" t="b">
        <f>CL1241&gt;Driver!$F$56</f>
        <v>1</v>
      </c>
      <c r="G1241" s="43" t="b">
        <f>AND(CB1241&gt;Driver!$F$55,CB1241&lt;Driver!$G$55)</f>
        <v>0</v>
      </c>
      <c r="H1241" s="43" t="b">
        <f t="shared" si="703"/>
        <v>0</v>
      </c>
      <c r="I1241" s="43">
        <f t="shared" si="704"/>
        <v>0</v>
      </c>
      <c r="J1241" s="43" t="b">
        <f t="array" ref="J1241">NOT(OR(($H$9:$H$1273=TRUE)*($I$9:$I$1273&gt;0)*($BT$9:$BT$1273=BT1241)*($K$9:$K$1273&gt;K1241)))</f>
        <v>1</v>
      </c>
      <c r="K1241" s="72">
        <f t="shared" si="705"/>
        <v>0.79028491932344269</v>
      </c>
      <c r="L1241" s="72">
        <f t="shared" si="706"/>
        <v>0.78160365090584194</v>
      </c>
      <c r="M1241" s="72">
        <f t="shared" si="707"/>
        <v>0.79896618774104344</v>
      </c>
      <c r="N1241" s="72">
        <f t="shared" si="708"/>
        <v>0.96300584281319568</v>
      </c>
      <c r="O1241" s="72">
        <f t="shared" si="709"/>
        <v>0.67646997282988997</v>
      </c>
      <c r="P1241" s="72">
        <f t="shared" si="710"/>
        <v>0.75742274758004469</v>
      </c>
      <c r="Q1241" s="72"/>
      <c r="R1241" s="72"/>
      <c r="S1241" s="72">
        <f t="shared" si="711"/>
        <v>0.38129677612302348</v>
      </c>
      <c r="T1241" s="72">
        <f t="shared" si="712"/>
        <v>0.46583509633670106</v>
      </c>
      <c r="U1241" s="72">
        <f t="shared" si="713"/>
        <v>0.77264423244100655</v>
      </c>
      <c r="V1241" s="72">
        <f t="shared" si="714"/>
        <v>0.54489745752048324</v>
      </c>
      <c r="W1241" s="72">
        <f t="shared" si="715"/>
        <v>0.25899280575539574</v>
      </c>
      <c r="X1241" s="72">
        <f t="shared" si="716"/>
        <v>0.218396349094158</v>
      </c>
      <c r="Y1241" s="72">
        <f t="shared" si="717"/>
        <v>0.20103381225895656</v>
      </c>
      <c r="Z1241" s="72">
        <f t="shared" si="718"/>
        <v>3.699415718680435E-2</v>
      </c>
      <c r="AA1241" s="72">
        <f t="shared" si="719"/>
        <v>0.32353002717010998</v>
      </c>
      <c r="AB1241" s="72">
        <f t="shared" si="720"/>
        <v>0.24257725241995534</v>
      </c>
      <c r="AC1241" s="72"/>
      <c r="AD1241" s="72"/>
      <c r="AE1241" s="72">
        <f t="shared" si="721"/>
        <v>0.61870322387697652</v>
      </c>
      <c r="AF1241" s="72">
        <f t="shared" si="722"/>
        <v>0.53416490366329894</v>
      </c>
      <c r="AG1241" s="72">
        <f t="shared" si="723"/>
        <v>0.22735576755899345</v>
      </c>
      <c r="AH1241" s="72">
        <f t="shared" si="724"/>
        <v>0.4551025424795167</v>
      </c>
      <c r="AI1241" s="72">
        <f t="shared" si="725"/>
        <v>0.74100719424460426</v>
      </c>
      <c r="AJ1241" s="72">
        <f>(AV1241-Driver!$K$179)/(Driver!$L$179-Driver!$K$179)</f>
        <v>3.5823060188542422E-2</v>
      </c>
      <c r="AK1241" s="72">
        <f>(AW1241-Driver!$K$180)/(Driver!$L$180-Driver!$K$180)</f>
        <v>9.4711002201047275E-3</v>
      </c>
      <c r="AL1241" s="72">
        <f>(AX1241-Driver!$K$181)/(Driver!$L$181-Driver!$K$181)</f>
        <v>6.4693606526275829E-2</v>
      </c>
      <c r="AM1241" s="72">
        <f>(AY1241-Driver!$K$182)/(Driver!$L$182-Driver!$K$182)</f>
        <v>0.12385499392693637</v>
      </c>
      <c r="AN1241" s="72">
        <f>(AZ1241-Driver!$K$183)/(Driver!$L$183-Driver!$K$183)</f>
        <v>1.1642156862745097E-2</v>
      </c>
      <c r="AO1241" s="72"/>
      <c r="AP1241" s="72"/>
      <c r="AQ1241" s="72">
        <f>(BC1241-Driver!$K$188)/(Driver!$L$188-Driver!$K$188)</f>
        <v>1.2967761230234247E-3</v>
      </c>
      <c r="AR1241" s="72">
        <f>MIN((BD1241-Driver!$K$189)/(Driver!$L$189-Driver!$K$189),100%)</f>
        <v>1.5835096336701084E-2</v>
      </c>
      <c r="AS1241" s="72">
        <f>(BE1241-Driver!$K$190)/(Driver!$L$190-Driver!$K$190)</f>
        <v>0.28264423244100656</v>
      </c>
      <c r="AT1241" s="72">
        <f>(BF1241-Driver!$K$191)/(Driver!$L$191-Driver!$K$191)</f>
        <v>5.4897457520483292E-2</v>
      </c>
      <c r="AU1241" s="72">
        <f>(BG1241-Driver!$K$192)/(Driver!$L$192-Driver!$K$192)</f>
        <v>0.99100719424460426</v>
      </c>
      <c r="AV1241" s="70">
        <f t="shared" si="726"/>
        <v>0.75396825396825395</v>
      </c>
      <c r="AW1241" s="70">
        <f t="shared" si="727"/>
        <v>2.7949352603926449</v>
      </c>
      <c r="AX1241" s="70">
        <f t="shared" si="728"/>
        <v>1.5822424587364825</v>
      </c>
      <c r="AY1241" s="70">
        <f>IFERROR(Driver!$K$19/Data!BH1241/Data!BI1241*Data!BK1241*Data!BL1241,"")</f>
        <v>0.1516354673300272</v>
      </c>
      <c r="AZ1241" s="70">
        <f t="shared" si="729"/>
        <v>1.0610573343261354</v>
      </c>
      <c r="BA1241" s="70"/>
      <c r="BB1241" s="70"/>
      <c r="BC1241" s="70">
        <f t="shared" si="730"/>
        <v>0.6726467900536014</v>
      </c>
      <c r="BD1241" s="70">
        <f t="shared" si="731"/>
        <v>3.122200851765351</v>
      </c>
      <c r="BE1241" s="70">
        <f t="shared" si="732"/>
        <v>0.28277220063575603</v>
      </c>
      <c r="BF1241" s="70">
        <f t="shared" si="733"/>
        <v>6.2002821504717396</v>
      </c>
      <c r="BG1241" s="70">
        <f t="shared" si="734"/>
        <v>3.7525854316546763</v>
      </c>
      <c r="BH1241" s="67">
        <f>MAX((CE1241-Driver!$F$200)/(Driver!$G$200-Driver!$F$200)*$BI$1,1)</f>
        <v>1.5822424587364825</v>
      </c>
      <c r="BI1241" s="67">
        <f>MAX($BI$1*(BY1241-Driver!$F$201)/(Driver!$G$201-Driver!$F$201),1)</f>
        <v>6.0126582278481013</v>
      </c>
      <c r="BJ1241" s="67">
        <f>(CB1241-Driver!$F$206)/(Driver!$G$206-Driver!$F$206)*$BI$1</f>
        <v>3.0158730158730158</v>
      </c>
      <c r="BK1241" s="67">
        <f>(CD1241-Driver!$F$203)/(Driver!$G$203-Driver!$F$203)*$BI$1</f>
        <v>1.1009174311926608</v>
      </c>
      <c r="BL1241" s="67">
        <f>MAX((CR1241-Driver!$F$202)/(Driver!$G$202-Driver!$F$202)*$BI$1,1)</f>
        <v>6.5517241379310338</v>
      </c>
      <c r="BM1241" s="67">
        <f>MAX((CH1241-Driver!$F$204)/(Driver!$G$204-Driver!$F$204)*$BI$1,1)</f>
        <v>1</v>
      </c>
      <c r="BN1241" s="67">
        <f>(CI1241-Driver!$F$205)/(Driver!$G$205-Driver!$F$205)*$BI$1</f>
        <v>0.1764705882352941</v>
      </c>
      <c r="BO1241" s="67">
        <f>(CK1241-Driver!$F$207)/(Driver!$G$207-Driver!$F$207)*$BI$1</f>
        <v>1.0134436401240952</v>
      </c>
      <c r="BP1241" s="67">
        <f>(CM1241-Driver!$F$208)/(Driver!$G$208-Driver!$F$208)*$BI$1</f>
        <v>2.2333333333333334</v>
      </c>
      <c r="BQ1241" s="67">
        <f>(CL1241-Driver!$F$209)/(Driver!$G$209-Driver!$F$209)*$BI$1</f>
        <v>5.9375</v>
      </c>
      <c r="BR1241" s="28" t="s">
        <v>155</v>
      </c>
      <c r="BS1241" s="8" t="s">
        <v>205</v>
      </c>
      <c r="BT1241" s="9" t="s">
        <v>880</v>
      </c>
      <c r="BU1241" s="10">
        <v>145</v>
      </c>
      <c r="BV1241" s="9" t="s">
        <v>385</v>
      </c>
      <c r="BW1241" s="10">
        <v>145</v>
      </c>
      <c r="BX1241" s="10">
        <v>143.69999999999999</v>
      </c>
      <c r="BY1241" s="10">
        <v>103</v>
      </c>
      <c r="BZ1241" s="10">
        <v>120</v>
      </c>
      <c r="CA1241" s="10">
        <v>114</v>
      </c>
      <c r="CB1241" s="10">
        <v>83</v>
      </c>
      <c r="CC1241" s="10">
        <v>110</v>
      </c>
      <c r="CD1241" s="10">
        <v>11.8</v>
      </c>
      <c r="CE1241" s="10">
        <v>1178</v>
      </c>
      <c r="CF1241" s="10">
        <v>1.1499999999999999</v>
      </c>
      <c r="CG1241" s="10">
        <v>1358</v>
      </c>
      <c r="CH1241" s="10">
        <v>104</v>
      </c>
      <c r="CI1241" s="10">
        <v>36</v>
      </c>
      <c r="CJ1241" s="10">
        <v>43</v>
      </c>
      <c r="CK1241" s="10">
        <v>208</v>
      </c>
      <c r="CL1241" s="10">
        <v>38</v>
      </c>
      <c r="CM1241" s="10">
        <v>201</v>
      </c>
      <c r="CN1241" s="10">
        <v>0.88400000000000001</v>
      </c>
      <c r="CO1241" s="10">
        <v>122</v>
      </c>
      <c r="CP1241" s="10">
        <v>112</v>
      </c>
      <c r="CQ1241" s="10">
        <v>86</v>
      </c>
      <c r="CR1241" s="10">
        <v>8</v>
      </c>
      <c r="CS1241" s="10">
        <v>3</v>
      </c>
      <c r="CT1241" s="9" t="s">
        <v>184</v>
      </c>
      <c r="CU1241" s="9" t="s">
        <v>185</v>
      </c>
      <c r="CV1241" s="10"/>
      <c r="CW1241" s="10"/>
      <c r="CX1241" t="str">
        <f>INDEX('Data_Price '!AG$2:AG$1266,MATCH(Data!$DN1241,'Data_Price '!$AT$2:$AT$1266,0))</f>
        <v>Faction Candide Ct 1.0 Jr (Red) Kids Skis</v>
      </c>
      <c r="CY1241" t="str">
        <f>INDEX('Data_Price '!AH$2:AH$1266,MATCH(Data!$DN1241,'Data_Price '!$AT$2:$AT$1266,0))</f>
        <v>AlpinStore</v>
      </c>
      <c r="CZ1241">
        <f>INDEX('Data_Price '!AI$2:AI$1266,MATCH(Data!$DN1241,'Data_Price '!$AT$2:$AT$1266,0))</f>
        <v>276.87</v>
      </c>
      <c r="DA1241" t="str">
        <f>INDEX('Data_Price '!AJ$2:AJ$1266,MATCH(Data!$DN1241,'Data_Price '!$AT$2:$AT$1266,0))</f>
        <v>https://tinyurl.com/y7v4xmrj</v>
      </c>
      <c r="DB1241" t="str">
        <f>INDEX('Data_Price '!AK$2:AK$1266,MATCH(Data!$DN1241,'Data_Price '!$AT$2:$AT$1266,0))</f>
        <v>Faction CT 1.0 Skis JR 2022 145</v>
      </c>
      <c r="DC1241" t="str">
        <f>INDEX('Data_Price '!AL$2:AL$1266,MATCH(Data!$DN1241,'Data_Price '!$AT$2:$AT$1266,0))</f>
        <v>fullsendskiandoutdoor.com</v>
      </c>
      <c r="DD1241">
        <f>INDEX('Data_Price '!AM$2:AM$1266,MATCH(Data!$DN1241,'Data_Price '!$AT$2:$AT$1266,0))</f>
        <v>359</v>
      </c>
      <c r="DE1241" t="str">
        <f>INDEX('Data_Price '!AN$2:AN$1266,MATCH(Data!$DN1241,'Data_Price '!$AT$2:$AT$1266,0))</f>
        <v>https://tinyurl.com/y9u9cx99</v>
      </c>
      <c r="DF1241">
        <f>INDEX('Data_Price '!AO$2:AO$1266,MATCH(Data!$DN1241,'Data_Price '!$AT$2:$AT$1266,0))</f>
        <v>0</v>
      </c>
      <c r="DG1241">
        <f>INDEX('Data_Price '!AP$2:AP$1266,MATCH(Data!$DN1241,'Data_Price '!$AT$2:$AT$1266,0))</f>
        <v>0</v>
      </c>
      <c r="DH1241">
        <f>INDEX('Data_Price '!AQ$2:AQ$1266,MATCH(Data!$DN1241,'Data_Price '!$AT$2:$AT$1266,0))</f>
        <v>0</v>
      </c>
      <c r="DI1241">
        <f>INDEX('Data_Price '!AR$2:AR$1266,MATCH(Data!$DN1241,'Data_Price '!$AT$2:$AT$1266,0))</f>
        <v>0</v>
      </c>
      <c r="DJ1241" s="89" t="str">
        <f t="shared" si="735"/>
        <v>https://tinyurl.com/y7v4xmrj</v>
      </c>
      <c r="DK1241" s="89" t="str">
        <f t="shared" si="736"/>
        <v>https://tinyurl.com/y9u9cx99</v>
      </c>
      <c r="DL1241" s="89">
        <f t="shared" si="737"/>
        <v>0</v>
      </c>
      <c r="DM1241" s="219" t="str">
        <f t="shared" si="738"/>
        <v>Prodigy 1.0 Jr</v>
      </c>
      <c r="DN1241" s="89" t="str">
        <f t="shared" si="739"/>
        <v xml:space="preserve"> FactionProdigy 1.0 Jr145 Junior</v>
      </c>
      <c r="DO1241" s="221"/>
    </row>
    <row r="1242" spans="2:119" ht="15.6" customHeight="1">
      <c r="B1242" s="219" t="b">
        <f t="array" ref="B1242">IF(OR(ISERROR(K1242:P1242)),FALSE,TRUE)</f>
        <v>1</v>
      </c>
      <c r="C1242" s="43" t="b">
        <f>OR(BR1242=Driver!$G$50,Data!BR1093=Driver!$H$50)</f>
        <v>1</v>
      </c>
      <c r="D1242" s="43" t="b">
        <f>OR(BV1242=Driver!$G$51,BV1242=Driver!$H$51)</f>
        <v>1</v>
      </c>
      <c r="E1242" s="43" t="b">
        <f>AND(BX1242&gt;Driver!$F$54,BX1242&lt;Driver!$G$54)</f>
        <v>0</v>
      </c>
      <c r="F1242" s="43" t="b">
        <f>CL1242&gt;Driver!$F$56</f>
        <v>1</v>
      </c>
      <c r="G1242" s="43" t="b">
        <f>AND(CB1242&gt;Driver!$F$55,CB1242&lt;Driver!$G$55)</f>
        <v>0</v>
      </c>
      <c r="H1242" s="43" t="b">
        <f t="shared" si="703"/>
        <v>0</v>
      </c>
      <c r="I1242" s="43">
        <f t="shared" si="704"/>
        <v>0</v>
      </c>
      <c r="J1242" s="43" t="b">
        <f t="array" ref="J1242">NOT(OR(($H$9:$H$1273=TRUE)*($I$9:$I$1273&gt;0)*($BT$9:$BT$1273=BT1242)*($K$9:$K$1273&gt;K1242)))</f>
        <v>1</v>
      </c>
      <c r="K1242" s="72">
        <f t="shared" si="705"/>
        <v>0.69278934327735764</v>
      </c>
      <c r="L1242" s="72">
        <f t="shared" si="706"/>
        <v>0.83086640169143533</v>
      </c>
      <c r="M1242" s="72">
        <f t="shared" si="707"/>
        <v>0.55471228486327995</v>
      </c>
      <c r="N1242" s="72">
        <f t="shared" si="708"/>
        <v>0.48238718823720594</v>
      </c>
      <c r="O1242" s="72">
        <f t="shared" si="709"/>
        <v>0.6109861394228745</v>
      </c>
      <c r="P1242" s="72">
        <f t="shared" si="710"/>
        <v>0.57076352692975929</v>
      </c>
      <c r="Q1242" s="72"/>
      <c r="R1242" s="72"/>
      <c r="S1242" s="72">
        <f t="shared" si="711"/>
        <v>0.65374779956012552</v>
      </c>
      <c r="T1242" s="72">
        <f t="shared" si="712"/>
        <v>0.55000000000000004</v>
      </c>
      <c r="U1242" s="72">
        <f t="shared" si="713"/>
        <v>0.51</v>
      </c>
      <c r="V1242" s="72">
        <f t="shared" si="714"/>
        <v>0.49058639228716516</v>
      </c>
      <c r="W1242" s="72">
        <f t="shared" si="715"/>
        <v>0.75445100354191263</v>
      </c>
      <c r="X1242" s="72">
        <f t="shared" si="716"/>
        <v>0.16913359830856461</v>
      </c>
      <c r="Y1242" s="72">
        <f t="shared" si="717"/>
        <v>0.44528771513672011</v>
      </c>
      <c r="Z1242" s="72">
        <f t="shared" si="718"/>
        <v>0.51761281176279406</v>
      </c>
      <c r="AA1242" s="72">
        <f t="shared" si="719"/>
        <v>0.3890138605771255</v>
      </c>
      <c r="AB1242" s="72">
        <f t="shared" si="720"/>
        <v>0.42923647307024076</v>
      </c>
      <c r="AC1242" s="72"/>
      <c r="AD1242" s="72"/>
      <c r="AE1242" s="72">
        <f t="shared" si="721"/>
        <v>0.34625220043987442</v>
      </c>
      <c r="AF1242" s="72">
        <f t="shared" si="722"/>
        <v>0.44999999999999996</v>
      </c>
      <c r="AG1242" s="72">
        <f t="shared" si="723"/>
        <v>0.49</v>
      </c>
      <c r="AH1242" s="72">
        <f t="shared" si="724"/>
        <v>0.50941360771283484</v>
      </c>
      <c r="AI1242" s="72">
        <f t="shared" si="725"/>
        <v>0.24554899645808737</v>
      </c>
      <c r="AJ1242" s="72">
        <f>(AV1242-Driver!$K$179)/(Driver!$L$179-Driver!$K$179)</f>
        <v>8.5085810974135825E-2</v>
      </c>
      <c r="AK1242" s="72">
        <f>(AW1242-Driver!$K$180)/(Driver!$L$180-Driver!$K$180)</f>
        <v>0.68811522822587612</v>
      </c>
      <c r="AL1242" s="72">
        <f>(AX1242-Driver!$K$181)/(Driver!$L$181-Driver!$K$181)</f>
        <v>0.61930057547587425</v>
      </c>
      <c r="AM1242" s="72">
        <f>(AY1242-Driver!$K$182)/(Driver!$L$182-Driver!$K$182)</f>
        <v>5.8371160519920841E-2</v>
      </c>
      <c r="AN1242" s="72">
        <f>(AZ1242-Driver!$K$183)/(Driver!$L$183-Driver!$K$183)</f>
        <v>0.68345588235294119</v>
      </c>
      <c r="AO1242" s="72"/>
      <c r="AP1242" s="72"/>
      <c r="AQ1242" s="72">
        <f>(BC1242-Driver!$K$188)/(Driver!$L$188-Driver!$K$188)</f>
        <v>0.27374779956012557</v>
      </c>
      <c r="AR1242" s="72">
        <f>MIN((BD1242-Driver!$K$189)/(Driver!$L$189-Driver!$K$189),100%)</f>
        <v>1</v>
      </c>
      <c r="AS1242" s="72">
        <f>(BE1242-Driver!$K$190)/(Driver!$L$190-Driver!$K$190)</f>
        <v>1</v>
      </c>
      <c r="AT1242" s="72">
        <f>(BF1242-Driver!$K$191)/(Driver!$L$191-Driver!$K$191)</f>
        <v>5.8639228716521894E-4</v>
      </c>
      <c r="AU1242" s="72">
        <f>(BG1242-Driver!$K$192)/(Driver!$L$192-Driver!$K$192)</f>
        <v>4.4510035419126331E-3</v>
      </c>
      <c r="AV1242" s="70">
        <f t="shared" si="726"/>
        <v>1.7908017908017906</v>
      </c>
      <c r="AW1242" s="70">
        <f t="shared" si="727"/>
        <v>68.93481893326269</v>
      </c>
      <c r="AX1242" s="70">
        <f t="shared" si="728"/>
        <v>6.573705179282868</v>
      </c>
      <c r="AY1242" s="70">
        <f>IFERROR(Driver!$K$19/Data!BH1242/Data!BI1242*Data!BK1242*Data!BL1242,"")</f>
        <v>7.1463716749730968E-2</v>
      </c>
      <c r="AZ1242" s="70">
        <f t="shared" si="729"/>
        <v>62.289650037230089</v>
      </c>
      <c r="BA1242" s="70"/>
      <c r="BB1242" s="70"/>
      <c r="BC1242" s="70">
        <f t="shared" si="730"/>
        <v>141.99488669566517</v>
      </c>
      <c r="BD1242" s="70">
        <f t="shared" si="731"/>
        <v>94.080706352309591</v>
      </c>
      <c r="BE1242" s="70">
        <f t="shared" si="732"/>
        <v>1</v>
      </c>
      <c r="BF1242" s="70">
        <f t="shared" si="733"/>
        <v>6.6228889196338833E-2</v>
      </c>
      <c r="BG1242" s="70">
        <f t="shared" si="734"/>
        <v>1.685433884297521E-2</v>
      </c>
      <c r="BH1242" s="67">
        <f>MAX((CE1242-Driver!$F$200)/(Driver!$G$200-Driver!$F$200)*$BI$1,1)</f>
        <v>6.573705179282868</v>
      </c>
      <c r="BI1242" s="67">
        <f>MAX($BI$1*(BY1242-Driver!$F$201)/(Driver!$G$201-Driver!$F$201),1)</f>
        <v>9.0506329113924053</v>
      </c>
      <c r="BJ1242" s="67">
        <f>(CB1242-Driver!$F$206)/(Driver!$G$206-Driver!$F$206)*$BI$1</f>
        <v>1.2698412698412698</v>
      </c>
      <c r="BK1242" s="67">
        <f>(CD1242-Driver!$F$203)/(Driver!$G$203-Driver!$F$203)*$BI$1</f>
        <v>2.5688073394495414</v>
      </c>
      <c r="BL1242" s="67">
        <f>MAX((CR1242-Driver!$F$202)/(Driver!$G$202-Driver!$F$202)*$BI$1,1)</f>
        <v>8.2758620689655178</v>
      </c>
      <c r="BM1242" s="67">
        <f>MAX((CH1242-Driver!$F$204)/(Driver!$G$204-Driver!$F$204)*$BI$1,1)</f>
        <v>5.6410256410256405</v>
      </c>
      <c r="BN1242" s="67">
        <f>(CI1242-Driver!$F$205)/(Driver!$G$205-Driver!$F$205)*$BI$1</f>
        <v>6.882352941176471</v>
      </c>
      <c r="BO1242" s="67">
        <f>(CK1242-Driver!$F$207)/(Driver!$G$207-Driver!$F$207)*$BI$1</f>
        <v>0.22750775594622544</v>
      </c>
      <c r="BP1242" s="67">
        <f>(CM1242-Driver!$F$208)/(Driver!$G$208-Driver!$F$208)*$BI$1</f>
        <v>0.58888888888888891</v>
      </c>
      <c r="BQ1242" s="67">
        <f>(CL1242-Driver!$F$209)/(Driver!$G$209-Driver!$F$209)*$BI$1</f>
        <v>0.625</v>
      </c>
      <c r="BR1242" s="28" t="s">
        <v>155</v>
      </c>
      <c r="BS1242" s="8" t="s">
        <v>174</v>
      </c>
      <c r="BT1242" s="9" t="s">
        <v>892</v>
      </c>
      <c r="BU1242" s="10">
        <v>170</v>
      </c>
      <c r="BV1242" s="9" t="s">
        <v>158</v>
      </c>
      <c r="BW1242" s="10">
        <v>170</v>
      </c>
      <c r="BX1242" s="10">
        <v>169.4</v>
      </c>
      <c r="BY1242" s="10">
        <v>151</v>
      </c>
      <c r="BZ1242" s="10">
        <v>159</v>
      </c>
      <c r="CA1242" s="10">
        <v>121</v>
      </c>
      <c r="CB1242" s="10">
        <v>72</v>
      </c>
      <c r="CC1242" s="10">
        <v>106</v>
      </c>
      <c r="CD1242" s="10">
        <v>15</v>
      </c>
      <c r="CE1242" s="10">
        <v>2055</v>
      </c>
      <c r="CF1242" s="10">
        <v>0.73</v>
      </c>
      <c r="CG1242" s="10">
        <v>1494</v>
      </c>
      <c r="CH1242" s="10">
        <v>233</v>
      </c>
      <c r="CI1242" s="10">
        <v>150</v>
      </c>
      <c r="CJ1242" s="10">
        <v>32</v>
      </c>
      <c r="CK1242" s="10">
        <v>132</v>
      </c>
      <c r="CL1242" s="10">
        <v>4</v>
      </c>
      <c r="CM1242" s="10">
        <v>53</v>
      </c>
      <c r="CN1242" s="10">
        <v>0.13400000000000001</v>
      </c>
      <c r="CO1242" s="10">
        <v>73</v>
      </c>
      <c r="CP1242" s="10">
        <v>32</v>
      </c>
      <c r="CQ1242" s="10">
        <v>59</v>
      </c>
      <c r="CR1242" s="10">
        <v>13</v>
      </c>
      <c r="CS1242" s="10">
        <v>11.6</v>
      </c>
      <c r="CT1242" s="9" t="s">
        <v>349</v>
      </c>
      <c r="CU1242" s="10"/>
      <c r="CV1242" s="10"/>
      <c r="CW1242" s="10"/>
      <c r="CX1242" t="str">
        <f>INDEX('Data_Price '!AG$2:AG$1266,MATCH(Data!$DN1242,'Data_Price '!$AT$2:$AT$1266,0))</f>
        <v>Salomon S/Max Blast Women's Skis w/ Z12 GW Bindings 2020</v>
      </c>
      <c r="CY1242" t="str">
        <f>INDEX('Data_Price '!AH$2:AH$1266,MATCH(Data!$DN1242,'Data_Price '!$AT$2:$AT$1266,0))</f>
        <v>Level Nine Sports</v>
      </c>
      <c r="CZ1242">
        <f>INDEX('Data_Price '!AI$2:AI$1266,MATCH(Data!$DN1242,'Data_Price '!$AT$2:$AT$1266,0))</f>
        <v>399.99</v>
      </c>
      <c r="DA1242" t="str">
        <f>INDEX('Data_Price '!AJ$2:AJ$1266,MATCH(Data!$DN1242,'Data_Price '!$AT$2:$AT$1266,0))</f>
        <v>https://tinyurl.com/y8ysqkwr</v>
      </c>
      <c r="DB1242" t="str">
        <f>INDEX('Data_Price '!AK$2:AK$1266,MATCH(Data!$DN1242,'Data_Price '!$AT$2:$AT$1266,0))</f>
        <v>Salomon Ski Set E S/Max 8 + M11 GW L80 Skis - Dark Grey/Yellow/Black</v>
      </c>
      <c r="DC1242" t="str">
        <f>INDEX('Data_Price '!AL$2:AL$1266,MATCH(Data!$DN1242,'Data_Price '!$AT$2:$AT$1266,0))</f>
        <v>Surfdome US</v>
      </c>
      <c r="DD1242">
        <f>INDEX('Data_Price '!AM$2:AM$1266,MATCH(Data!$DN1242,'Data_Price '!$AT$2:$AT$1266,0))</f>
        <v>453.95</v>
      </c>
      <c r="DE1242" t="str">
        <f>INDEX('Data_Price '!AN$2:AN$1266,MATCH(Data!$DN1242,'Data_Price '!$AT$2:$AT$1266,0))</f>
        <v>https://tinyurl.com/ycju8dbh</v>
      </c>
      <c r="DF1242" t="str">
        <f>INDEX('Data_Price '!AO$2:AO$1266,MATCH(Data!$DN1242,'Data_Price '!$AT$2:$AT$1266,0))</f>
        <v>Salomon Ski Set E S/Max 8 + M11 GW L80 Skis - Dark Grey/Yellow/Black</v>
      </c>
      <c r="DG1242" t="str">
        <f>INDEX('Data_Price '!AP$2:AP$1266,MATCH(Data!$DN1242,'Data_Price '!$AT$2:$AT$1266,0))</f>
        <v>eBay - extremepiestores</v>
      </c>
      <c r="DH1242">
        <f>INDEX('Data_Price '!AQ$2:AQ$1266,MATCH(Data!$DN1242,'Data_Price '!$AT$2:$AT$1266,0))</f>
        <v>500.62</v>
      </c>
      <c r="DI1242" t="str">
        <f>INDEX('Data_Price '!AR$2:AR$1266,MATCH(Data!$DN1242,'Data_Price '!$AT$2:$AT$1266,0))</f>
        <v>https://tinyurl.com/yaf6xxuh</v>
      </c>
      <c r="DJ1242" s="89" t="str">
        <f t="shared" si="735"/>
        <v>https://tinyurl.com/y8ysqkwr</v>
      </c>
      <c r="DK1242" s="89" t="str">
        <f t="shared" si="736"/>
        <v>https://tinyurl.com/ycju8dbh</v>
      </c>
      <c r="DL1242" s="89" t="str">
        <f t="shared" si="737"/>
        <v>https://tinyurl.com/yaf6xxuh</v>
      </c>
      <c r="DM1242" s="219" t="str">
        <f t="shared" si="738"/>
        <v>S/Max 12</v>
      </c>
      <c r="DN1242" s="89" t="str">
        <f t="shared" si="739"/>
        <v xml:space="preserve"> SalomonS/Max 12170 Unisex</v>
      </c>
      <c r="DO1242" s="221"/>
    </row>
    <row r="1243" spans="2:119" ht="15.6" customHeight="1">
      <c r="B1243" s="219" t="b">
        <f t="array" ref="B1243">IF(OR(ISERROR(K1243:P1243)),FALSE,TRUE)</f>
        <v>1</v>
      </c>
      <c r="C1243" s="43" t="b">
        <f>OR(BR1243=Driver!$G$50,Data!BR1025=Driver!$H$50)</f>
        <v>1</v>
      </c>
      <c r="D1243" s="43" t="b">
        <f>OR(BV1243=Driver!$G$51,BV1243=Driver!$H$51)</f>
        <v>1</v>
      </c>
      <c r="E1243" s="43" t="b">
        <f>AND(BX1243&gt;Driver!$F$54,BX1243&lt;Driver!$G$54)</f>
        <v>0</v>
      </c>
      <c r="F1243" s="43" t="b">
        <f>CL1243&gt;Driver!$F$56</f>
        <v>1</v>
      </c>
      <c r="G1243" s="43" t="b">
        <f>AND(CB1243&gt;Driver!$F$55,CB1243&lt;Driver!$G$55)</f>
        <v>0</v>
      </c>
      <c r="H1243" s="43" t="b">
        <f t="shared" si="703"/>
        <v>0</v>
      </c>
      <c r="I1243" s="43">
        <f t="shared" si="704"/>
        <v>0</v>
      </c>
      <c r="J1243" s="43" t="b">
        <f t="array" ref="J1243">NOT(OR(($H$9:$H$1273=TRUE)*($I$9:$I$1273&gt;0)*($BT$9:$BT$1273=BT1243)*($K$9:$K$1273&gt;K1243)))</f>
        <v>1</v>
      </c>
      <c r="K1243" s="72">
        <f t="shared" si="705"/>
        <v>0.6896257764166448</v>
      </c>
      <c r="L1243" s="72">
        <f t="shared" si="706"/>
        <v>0.8110452752713242</v>
      </c>
      <c r="M1243" s="72">
        <f t="shared" si="707"/>
        <v>0.5682062775619654</v>
      </c>
      <c r="N1243" s="72">
        <f t="shared" si="708"/>
        <v>0.48491675251975819</v>
      </c>
      <c r="O1243" s="72">
        <f t="shared" si="709"/>
        <v>0.61973103689650944</v>
      </c>
      <c r="P1243" s="72">
        <f t="shared" si="710"/>
        <v>0.59997104326962858</v>
      </c>
      <c r="Q1243" s="72"/>
      <c r="R1243" s="72"/>
      <c r="S1243" s="72">
        <f t="shared" si="711"/>
        <v>0.79433612700749767</v>
      </c>
      <c r="T1243" s="72">
        <f t="shared" si="712"/>
        <v>0.55000000000000004</v>
      </c>
      <c r="U1243" s="72">
        <f t="shared" si="713"/>
        <v>0.51</v>
      </c>
      <c r="V1243" s="72">
        <f t="shared" si="714"/>
        <v>0.49048379878237813</v>
      </c>
      <c r="W1243" s="72">
        <f t="shared" si="715"/>
        <v>0.75363934742735783</v>
      </c>
      <c r="X1243" s="72">
        <f t="shared" si="716"/>
        <v>0.18895472472867578</v>
      </c>
      <c r="Y1243" s="72">
        <f t="shared" si="717"/>
        <v>0.4317937224380346</v>
      </c>
      <c r="Z1243" s="72">
        <f t="shared" si="718"/>
        <v>0.51508324748024181</v>
      </c>
      <c r="AA1243" s="72">
        <f t="shared" si="719"/>
        <v>0.38026896310349056</v>
      </c>
      <c r="AB1243" s="72">
        <f t="shared" si="720"/>
        <v>0.40002895673037137</v>
      </c>
      <c r="AC1243" s="72"/>
      <c r="AD1243" s="72"/>
      <c r="AE1243" s="72">
        <f t="shared" si="721"/>
        <v>0.20566387299250233</v>
      </c>
      <c r="AF1243" s="72">
        <f t="shared" si="722"/>
        <v>0.44999999999999996</v>
      </c>
      <c r="AG1243" s="72">
        <f t="shared" si="723"/>
        <v>0.49</v>
      </c>
      <c r="AH1243" s="72">
        <f t="shared" si="724"/>
        <v>0.50951620121762187</v>
      </c>
      <c r="AI1243" s="72">
        <f t="shared" si="725"/>
        <v>0.24636065257264214</v>
      </c>
      <c r="AJ1243" s="72">
        <f>(AV1243-Driver!$K$179)/(Driver!$L$179-Driver!$K$179)</f>
        <v>6.5264684554024649E-2</v>
      </c>
      <c r="AK1243" s="72">
        <f>(AW1243-Driver!$K$180)/(Driver!$L$180-Driver!$K$180)</f>
        <v>0.66067790188767139</v>
      </c>
      <c r="AL1243" s="72">
        <f>(AX1243-Driver!$K$181)/(Driver!$L$181-Driver!$K$181)</f>
        <v>0.61677101119332201</v>
      </c>
      <c r="AM1243" s="72">
        <f>(AY1243-Driver!$K$182)/(Driver!$L$182-Driver!$K$182)</f>
        <v>6.71160579935558E-2</v>
      </c>
      <c r="AN1243" s="72">
        <f>(AZ1243-Driver!$K$183)/(Driver!$L$183-Driver!$K$183)</f>
        <v>0.65424836601307179</v>
      </c>
      <c r="AO1243" s="72"/>
      <c r="AP1243" s="72"/>
      <c r="AQ1243" s="72">
        <f>(BC1243-Driver!$K$188)/(Driver!$L$188-Driver!$K$188)</f>
        <v>0.41433612700749767</v>
      </c>
      <c r="AR1243" s="72">
        <f>MIN((BD1243-Driver!$K$189)/(Driver!$L$189-Driver!$K$189),100%)</f>
        <v>1</v>
      </c>
      <c r="AS1243" s="72">
        <f>(BE1243-Driver!$K$190)/(Driver!$L$190-Driver!$K$190)</f>
        <v>1</v>
      </c>
      <c r="AT1243" s="72">
        <f>(BF1243-Driver!$K$191)/(Driver!$L$191-Driver!$K$191)</f>
        <v>4.8379878237816526E-4</v>
      </c>
      <c r="AU1243" s="72">
        <f>(BG1243-Driver!$K$192)/(Driver!$L$192-Driver!$K$192)</f>
        <v>3.6393474273578525E-3</v>
      </c>
      <c r="AV1243" s="70">
        <f t="shared" si="726"/>
        <v>1.3736263736263736</v>
      </c>
      <c r="AW1243" s="70">
        <f t="shared" si="727"/>
        <v>66.260808362161129</v>
      </c>
      <c r="AX1243" s="70">
        <f t="shared" si="728"/>
        <v>6.5509391007398978</v>
      </c>
      <c r="AY1243" s="70">
        <f>IFERROR(Driver!$K$19/Data!BH1243/Data!BI1243*Data!BK1243*Data!BL1243,"")</f>
        <v>8.2170080483033939E-2</v>
      </c>
      <c r="AZ1243" s="70">
        <f t="shared" si="729"/>
        <v>59.627699180938194</v>
      </c>
      <c r="BA1243" s="70"/>
      <c r="BB1243" s="70"/>
      <c r="BC1243" s="70">
        <f t="shared" si="730"/>
        <v>214.91902949681329</v>
      </c>
      <c r="BD1243" s="70">
        <f t="shared" si="731"/>
        <v>135.00703544291952</v>
      </c>
      <c r="BE1243" s="70">
        <f t="shared" si="732"/>
        <v>1</v>
      </c>
      <c r="BF1243" s="70">
        <f t="shared" si="733"/>
        <v>5.4641673590804428E-2</v>
      </c>
      <c r="BG1243" s="70">
        <f t="shared" si="734"/>
        <v>1.3780891012646007E-2</v>
      </c>
      <c r="BH1243" s="67">
        <f>MAX((CE1243-Driver!$F$200)/(Driver!$G$200-Driver!$F$200)*$BI$1,1)</f>
        <v>6.5509391007398978</v>
      </c>
      <c r="BI1243" s="67">
        <f>MAX($BI$1*(BY1243-Driver!$F$201)/(Driver!$G$201-Driver!$F$201),1)</f>
        <v>9.0506329113924053</v>
      </c>
      <c r="BJ1243" s="67">
        <f>(CB1243-Driver!$F$206)/(Driver!$G$206-Driver!$F$206)*$BI$1</f>
        <v>0.79365079365079361</v>
      </c>
      <c r="BK1243" s="67">
        <f>(CD1243-Driver!$F$203)/(Driver!$G$203-Driver!$F$203)*$BI$1</f>
        <v>3.2110091743119265</v>
      </c>
      <c r="BL1243" s="67">
        <f>MAX((CR1243-Driver!$F$202)/(Driver!$G$202-Driver!$F$202)*$BI$1,1)</f>
        <v>7.5862068965517242</v>
      </c>
      <c r="BM1243" s="67">
        <f>MAX((CH1243-Driver!$F$204)/(Driver!$G$204-Driver!$F$204)*$BI$1,1)</f>
        <v>6.9230769230769234</v>
      </c>
      <c r="BN1243" s="67">
        <f>(CI1243-Driver!$F$205)/(Driver!$G$205-Driver!$F$205)*$BI$1</f>
        <v>6.5882352941176467</v>
      </c>
      <c r="BO1243" s="67">
        <f>(CK1243-Driver!$F$207)/(Driver!$G$207-Driver!$F$207)*$BI$1</f>
        <v>0.38262668045501552</v>
      </c>
      <c r="BP1243" s="67">
        <f>(CM1243-Driver!$F$208)/(Driver!$G$208-Driver!$F$208)*$BI$1</f>
        <v>0.57777777777777772</v>
      </c>
      <c r="BQ1243" s="67">
        <f>(CL1243-Driver!$F$209)/(Driver!$G$209-Driver!$F$209)*$BI$1</f>
        <v>0.625</v>
      </c>
      <c r="BR1243" s="28" t="s">
        <v>155</v>
      </c>
      <c r="BS1243" s="8" t="s">
        <v>172</v>
      </c>
      <c r="BT1243" s="9" t="s">
        <v>902</v>
      </c>
      <c r="BU1243" s="10">
        <v>172</v>
      </c>
      <c r="BV1243" s="9" t="s">
        <v>158</v>
      </c>
      <c r="BW1243" s="10">
        <v>172</v>
      </c>
      <c r="BX1243" s="10">
        <v>171.4</v>
      </c>
      <c r="BY1243" s="10">
        <v>151</v>
      </c>
      <c r="BZ1243" s="10">
        <v>160</v>
      </c>
      <c r="CA1243" s="10">
        <v>118</v>
      </c>
      <c r="CB1243" s="10">
        <v>69</v>
      </c>
      <c r="CC1243" s="10">
        <v>100</v>
      </c>
      <c r="CD1243" s="10">
        <v>16.399999999999999</v>
      </c>
      <c r="CE1243" s="10">
        <v>2051</v>
      </c>
      <c r="CF1243" s="10">
        <v>0.7</v>
      </c>
      <c r="CG1243" s="10">
        <v>1435</v>
      </c>
      <c r="CH1243" s="10">
        <v>263</v>
      </c>
      <c r="CI1243" s="10">
        <v>145</v>
      </c>
      <c r="CJ1243" s="10">
        <v>39</v>
      </c>
      <c r="CK1243" s="10">
        <v>147</v>
      </c>
      <c r="CL1243" s="10">
        <v>4</v>
      </c>
      <c r="CM1243" s="10">
        <v>52</v>
      </c>
      <c r="CN1243" s="10">
        <v>0.115</v>
      </c>
      <c r="CO1243" s="10">
        <v>71</v>
      </c>
      <c r="CP1243" s="10">
        <v>44</v>
      </c>
      <c r="CQ1243" s="10">
        <v>76</v>
      </c>
      <c r="CR1243" s="10">
        <v>11</v>
      </c>
      <c r="CS1243" s="10">
        <v>11.4</v>
      </c>
      <c r="CT1243" s="9" t="s">
        <v>349</v>
      </c>
      <c r="CU1243" s="10"/>
      <c r="CV1243" s="10"/>
      <c r="CW1243" s="10"/>
      <c r="CX1243" t="str">
        <f>INDEX('Data_Price '!AG$2:AG$1266,MATCH(Data!$DN1243,'Data_Price '!$AT$2:$AT$1266,0))</f>
        <v>Rossignol Unisex's Racing Skis Hero Elite St Ti Limited Edition Konect</v>
      </c>
      <c r="CY1243" t="str">
        <f>INDEX('Data_Price '!AH$2:AH$1266,MATCH(Data!$DN1243,'Data_Price '!$AT$2:$AT$1266,0))</f>
        <v>Rossignol US</v>
      </c>
      <c r="CZ1243">
        <f>INDEX('Data_Price '!AI$2:AI$1266,MATCH(Data!$DN1243,'Data_Price '!$AT$2:$AT$1266,0))</f>
        <v>1149</v>
      </c>
      <c r="DA1243" t="str">
        <f>INDEX('Data_Price '!AJ$2:AJ$1266,MATCH(Data!$DN1243,'Data_Price '!$AT$2:$AT$1266,0))</f>
        <v>https://tinyurl.com/ycckov29</v>
      </c>
      <c r="DB1243" t="str">
        <f>INDEX('Data_Price '!AK$2:AK$1266,MATCH(Data!$DN1243,'Data_Price '!$AT$2:$AT$1266,0))</f>
        <v>Rossignol Hero Elite LT Ti + SPX 14 Konect 21/22</v>
      </c>
      <c r="DC1243" t="str">
        <f>INDEX('Data_Price '!AL$2:AL$1266,MATCH(Data!$DN1243,'Data_Price '!$AT$2:$AT$1266,0))</f>
        <v>Snowcountry.eu</v>
      </c>
      <c r="DD1243">
        <f>INDEX('Data_Price '!AM$2:AM$1266,MATCH(Data!$DN1243,'Data_Price '!$AT$2:$AT$1266,0))</f>
        <v>506.05</v>
      </c>
      <c r="DE1243" t="str">
        <f>INDEX('Data_Price '!AN$2:AN$1266,MATCH(Data!$DN1243,'Data_Price '!$AT$2:$AT$1266,0))</f>
        <v>https://tinyurl.com/ydfl3ddx</v>
      </c>
      <c r="DF1243" t="str">
        <f>INDEX('Data_Price '!AO$2:AO$1266,MATCH(Data!$DN1243,'Data_Price '!$AT$2:$AT$1266,0))</f>
        <v>Rossignol Blackops Escaper Skis Men's 2022</v>
      </c>
      <c r="DG1243" t="str">
        <f>INDEX('Data_Price '!AP$2:AP$1266,MATCH(Data!$DN1243,'Data_Price '!$AT$2:$AT$1266,0))</f>
        <v>Level Nine Sports</v>
      </c>
      <c r="DH1243">
        <f>INDEX('Data_Price '!AQ$2:AQ$1266,MATCH(Data!$DN1243,'Data_Price '!$AT$2:$AT$1266,0))</f>
        <v>479.96</v>
      </c>
      <c r="DI1243" t="str">
        <f>INDEX('Data_Price '!AR$2:AR$1266,MATCH(Data!$DN1243,'Data_Price '!$AT$2:$AT$1266,0))</f>
        <v>https://tinyurl.com/y7wo2ckd</v>
      </c>
      <c r="DJ1243" s="89" t="str">
        <f t="shared" si="735"/>
        <v>https://tinyurl.com/ycckov29</v>
      </c>
      <c r="DK1243" s="89" t="str">
        <f t="shared" si="736"/>
        <v>https://tinyurl.com/ydfl3ddx</v>
      </c>
      <c r="DL1243" s="89" t="str">
        <f t="shared" si="737"/>
        <v>https://tinyurl.com/y7wo2ckd</v>
      </c>
      <c r="DM1243" s="219" t="str">
        <f t="shared" si="738"/>
        <v>Hero Elite Long Turn Ti</v>
      </c>
      <c r="DN1243" s="89" t="str">
        <f t="shared" si="739"/>
        <v xml:space="preserve"> RossignolHero Elite Long Turn Ti172 Unisex</v>
      </c>
      <c r="DO1243" s="221"/>
    </row>
    <row r="1244" spans="2:119" ht="15.6" customHeight="1">
      <c r="B1244" s="219" t="b">
        <f t="array" ref="B1244">IF(OR(ISERROR(K1244:P1244)),FALSE,TRUE)</f>
        <v>1</v>
      </c>
      <c r="C1244" s="43" t="b">
        <f>OR(BR1244=Driver!$G$50,Data!BR282=Driver!$H$50)</f>
        <v>1</v>
      </c>
      <c r="D1244" s="43" t="b">
        <f>OR(BV1244=Driver!$G$51,BV1244=Driver!$H$51)</f>
        <v>1</v>
      </c>
      <c r="E1244" s="43" t="b">
        <f>AND(BX1244&gt;Driver!$F$54,BX1244&lt;Driver!$G$54)</f>
        <v>0</v>
      </c>
      <c r="F1244" s="43" t="b">
        <f>CL1244&gt;Driver!$F$56</f>
        <v>1</v>
      </c>
      <c r="G1244" s="43" t="b">
        <f>AND(CB1244&gt;Driver!$F$55,CB1244&lt;Driver!$G$55)</f>
        <v>0</v>
      </c>
      <c r="H1244" s="43" t="b">
        <f t="shared" si="703"/>
        <v>0</v>
      </c>
      <c r="I1244" s="43">
        <f t="shared" si="704"/>
        <v>0</v>
      </c>
      <c r="J1244" s="43" t="b">
        <f t="array" ref="J1244">NOT(OR(($H$9:$H$1273=TRUE)*($I$9:$I$1273&gt;0)*($BT$9:$BT$1273=BT1244)*($K$9:$K$1273&gt;K1244)))</f>
        <v>1</v>
      </c>
      <c r="K1244" s="72">
        <f t="shared" si="705"/>
        <v>0.69413304589364067</v>
      </c>
      <c r="L1244" s="72">
        <f t="shared" si="706"/>
        <v>0.85922833868281401</v>
      </c>
      <c r="M1244" s="72">
        <f t="shared" si="707"/>
        <v>0.52903775310446743</v>
      </c>
      <c r="N1244" s="72">
        <f t="shared" si="708"/>
        <v>0.39574961155978861</v>
      </c>
      <c r="O1244" s="72">
        <f t="shared" si="709"/>
        <v>0.59613116657548804</v>
      </c>
      <c r="P1244" s="72">
        <f t="shared" si="710"/>
        <v>0.59523248117812533</v>
      </c>
      <c r="Q1244" s="72"/>
      <c r="R1244" s="72"/>
      <c r="S1244" s="72">
        <f t="shared" si="711"/>
        <v>0.61313397496105071</v>
      </c>
      <c r="T1244" s="72">
        <f t="shared" si="712"/>
        <v>0.89467023274683355</v>
      </c>
      <c r="U1244" s="72">
        <f t="shared" si="713"/>
        <v>0.51</v>
      </c>
      <c r="V1244" s="72">
        <f t="shared" si="714"/>
        <v>0.49040860516561735</v>
      </c>
      <c r="W1244" s="72">
        <f t="shared" si="715"/>
        <v>0.75512922068498456</v>
      </c>
      <c r="X1244" s="72">
        <f t="shared" si="716"/>
        <v>0.14077166131718599</v>
      </c>
      <c r="Y1244" s="72">
        <f t="shared" si="717"/>
        <v>0.47096224689553262</v>
      </c>
      <c r="Z1244" s="72">
        <f t="shared" si="718"/>
        <v>0.60425038844021139</v>
      </c>
      <c r="AA1244" s="72">
        <f t="shared" si="719"/>
        <v>0.40386883342451196</v>
      </c>
      <c r="AB1244" s="72">
        <f t="shared" si="720"/>
        <v>0.40476751882187473</v>
      </c>
      <c r="AC1244" s="72"/>
      <c r="AD1244" s="72"/>
      <c r="AE1244" s="72">
        <f t="shared" si="721"/>
        <v>0.38686602503894929</v>
      </c>
      <c r="AF1244" s="72">
        <f t="shared" si="722"/>
        <v>0.10532976725316645</v>
      </c>
      <c r="AG1244" s="72">
        <f t="shared" si="723"/>
        <v>0.49</v>
      </c>
      <c r="AH1244" s="72">
        <f t="shared" si="724"/>
        <v>0.50959139483438265</v>
      </c>
      <c r="AI1244" s="72">
        <f t="shared" si="725"/>
        <v>0.24487077931501547</v>
      </c>
      <c r="AJ1244" s="72">
        <f>(AV1244-Driver!$K$179)/(Driver!$L$179-Driver!$K$179)</f>
        <v>0.11344774796551445</v>
      </c>
      <c r="AK1244" s="72">
        <f>(AW1244-Driver!$K$180)/(Driver!$L$180-Driver!$K$180)</f>
        <v>0.67304701768491371</v>
      </c>
      <c r="AL1244" s="72">
        <f>(AX1244-Driver!$K$181)/(Driver!$L$181-Driver!$K$181)</f>
        <v>0.70593815215329159</v>
      </c>
      <c r="AM1244" s="72">
        <f>(AY1244-Driver!$K$182)/(Driver!$L$182-Driver!$K$182)</f>
        <v>4.3516187672534408E-2</v>
      </c>
      <c r="AN1244" s="72">
        <f>(AZ1244-Driver!$K$183)/(Driver!$L$183-Driver!$K$183)</f>
        <v>0.65898692810457515</v>
      </c>
      <c r="AO1244" s="72"/>
      <c r="AP1244" s="72"/>
      <c r="AQ1244" s="72">
        <f>(BC1244-Driver!$K$188)/(Driver!$L$188-Driver!$K$188)</f>
        <v>0.23313397496105073</v>
      </c>
      <c r="AR1244" s="72">
        <f>MIN((BD1244-Driver!$K$189)/(Driver!$L$189-Driver!$K$189),100%)</f>
        <v>0.6553297672531665</v>
      </c>
      <c r="AS1244" s="72">
        <f>(BE1244-Driver!$K$190)/(Driver!$L$190-Driver!$K$190)</f>
        <v>1</v>
      </c>
      <c r="AT1244" s="72">
        <f>(BF1244-Driver!$K$191)/(Driver!$L$191-Driver!$K$191)</f>
        <v>4.0860516561740389E-4</v>
      </c>
      <c r="AU1244" s="72">
        <f>(BG1244-Driver!$K$192)/(Driver!$L$192-Driver!$K$192)</f>
        <v>5.1292206849845191E-3</v>
      </c>
      <c r="AV1244" s="70">
        <f t="shared" si="726"/>
        <v>2.3877357210690544</v>
      </c>
      <c r="AW1244" s="70">
        <f t="shared" si="727"/>
        <v>67.466288298117945</v>
      </c>
      <c r="AX1244" s="70">
        <f t="shared" si="728"/>
        <v>7.3534433693796242</v>
      </c>
      <c r="AY1244" s="70">
        <f>IFERROR(Driver!$K$19/Data!BH1244/Data!BI1244*Data!BK1244*Data!BL1244,"")</f>
        <v>5.3276797688420377E-2</v>
      </c>
      <c r="AZ1244" s="70">
        <f t="shared" si="729"/>
        <v>60.059568131049893</v>
      </c>
      <c r="BA1244" s="70"/>
      <c r="BB1244" s="70"/>
      <c r="BC1244" s="70">
        <f t="shared" si="730"/>
        <v>120.92821353339704</v>
      </c>
      <c r="BD1244" s="70">
        <f t="shared" si="731"/>
        <v>59.716346110365762</v>
      </c>
      <c r="BE1244" s="70">
        <f t="shared" si="732"/>
        <v>1</v>
      </c>
      <c r="BF1244" s="70">
        <f t="shared" si="733"/>
        <v>4.6149082842731892E-2</v>
      </c>
      <c r="BG1244" s="70">
        <f t="shared" si="734"/>
        <v>1.9422501602409055E-2</v>
      </c>
      <c r="BH1244" s="67">
        <f>MAX((CE1244-Driver!$F$200)/(Driver!$G$200-Driver!$F$200)*$BI$1,1)</f>
        <v>7.3534433693796242</v>
      </c>
      <c r="BI1244" s="67">
        <f>MAX($BI$1*(BY1244-Driver!$F$201)/(Driver!$G$201-Driver!$F$201),1)</f>
        <v>9.3670886075949369</v>
      </c>
      <c r="BJ1244" s="67">
        <f>(CB1244-Driver!$F$206)/(Driver!$G$206-Driver!$F$206)*$BI$1</f>
        <v>1.746031746031746</v>
      </c>
      <c r="BK1244" s="67">
        <f>(CD1244-Driver!$F$203)/(Driver!$G$203-Driver!$F$203)*$BI$1</f>
        <v>2.6605504587155959</v>
      </c>
      <c r="BL1244" s="67">
        <f>MAX((CR1244-Driver!$F$202)/(Driver!$G$202-Driver!$F$202)*$BI$1,1)</f>
        <v>6.8965517241379315</v>
      </c>
      <c r="BM1244" s="67">
        <f>MAX((CH1244-Driver!$F$204)/(Driver!$G$204-Driver!$F$204)*$BI$1,1)</f>
        <v>5.4700854700854702</v>
      </c>
      <c r="BN1244" s="67">
        <f>(CI1244-Driver!$F$205)/(Driver!$G$205-Driver!$F$205)*$BI$1</f>
        <v>6.4117647058823533</v>
      </c>
      <c r="BO1244" s="67">
        <f>(CK1244-Driver!$F$207)/(Driver!$G$207-Driver!$F$207)*$BI$1</f>
        <v>0.12409513960703206</v>
      </c>
      <c r="BP1244" s="67">
        <f>(CM1244-Driver!$F$208)/(Driver!$G$208-Driver!$F$208)*$BI$1</f>
        <v>0.56666666666666665</v>
      </c>
      <c r="BQ1244" s="67">
        <f>(CL1244-Driver!$F$209)/(Driver!$G$209-Driver!$F$209)*$BI$1</f>
        <v>0.78125</v>
      </c>
      <c r="BR1244" s="28" t="s">
        <v>155</v>
      </c>
      <c r="BS1244" s="8" t="s">
        <v>317</v>
      </c>
      <c r="BT1244" s="9" t="s">
        <v>881</v>
      </c>
      <c r="BU1244" s="10">
        <v>174</v>
      </c>
      <c r="BV1244" s="9" t="s">
        <v>158</v>
      </c>
      <c r="BW1244" s="10">
        <v>174</v>
      </c>
      <c r="BX1244" s="10">
        <v>173.1</v>
      </c>
      <c r="BY1244" s="10">
        <v>156</v>
      </c>
      <c r="BZ1244" s="10">
        <v>160</v>
      </c>
      <c r="CA1244" s="10">
        <v>125</v>
      </c>
      <c r="CB1244" s="10">
        <v>75</v>
      </c>
      <c r="CC1244" s="10">
        <v>106</v>
      </c>
      <c r="CD1244" s="10">
        <v>15.2</v>
      </c>
      <c r="CE1244" s="10">
        <v>2192</v>
      </c>
      <c r="CF1244" s="10">
        <v>0.71</v>
      </c>
      <c r="CG1244" s="10">
        <v>1555</v>
      </c>
      <c r="CH1244" s="10">
        <v>229</v>
      </c>
      <c r="CI1244" s="10">
        <v>142</v>
      </c>
      <c r="CJ1244" s="10">
        <v>37</v>
      </c>
      <c r="CK1244" s="10">
        <v>122</v>
      </c>
      <c r="CL1244" s="10">
        <v>5</v>
      </c>
      <c r="CM1244" s="10">
        <v>51</v>
      </c>
      <c r="CN1244" s="10">
        <v>0.14799999999999999</v>
      </c>
      <c r="CO1244" s="10">
        <v>76</v>
      </c>
      <c r="CP1244" s="10">
        <v>52</v>
      </c>
      <c r="CQ1244" s="10">
        <v>46</v>
      </c>
      <c r="CR1244" s="10">
        <v>9</v>
      </c>
      <c r="CS1244" s="10">
        <v>11.1</v>
      </c>
      <c r="CT1244" s="9" t="s">
        <v>349</v>
      </c>
      <c r="CU1244" s="10"/>
      <c r="CV1244" s="10"/>
      <c r="CW1244" s="10"/>
      <c r="CX1244" t="str">
        <f>INDEX('Data_Price '!AG$2:AG$1266,MATCH(Data!$DN1244,'Data_Price '!$AT$2:$AT$1266,0))</f>
        <v>Blizzard Firebird HRC Skis</v>
      </c>
      <c r="CY1244" t="str">
        <f>INDEX('Data_Price '!AH$2:AH$1266,MATCH(Data!$DN1244,'Data_Price '!$AT$2:$AT$1266,0))</f>
        <v>Cole Sport</v>
      </c>
      <c r="CZ1244">
        <f>INDEX('Data_Price '!AI$2:AI$1266,MATCH(Data!$DN1244,'Data_Price '!$AT$2:$AT$1266,0))</f>
        <v>879.95</v>
      </c>
      <c r="DA1244" t="str">
        <f>INDEX('Data_Price '!AJ$2:AJ$1266,MATCH(Data!$DN1244,'Data_Price '!$AT$2:$AT$1266,0))</f>
        <v>https://tinyurl.com/ya7fbnzq</v>
      </c>
      <c r="DB1244" t="str">
        <f>INDEX('Data_Price '!AK$2:AK$1266,MATCH(Data!$DN1244,'Data_Price '!$AT$2:$AT$1266,0))</f>
        <v>Blizzard Firebird HRC WC Piston Skis Â· 2021 Â· 174 cm</v>
      </c>
      <c r="DC1244" t="str">
        <f>INDEX('Data_Price '!AL$2:AL$1266,MATCH(Data!$DN1244,'Data_Price '!$AT$2:$AT$1266,0))</f>
        <v>Powder7 Ski Shop</v>
      </c>
      <c r="DD1244">
        <f>INDEX('Data_Price '!AM$2:AM$1266,MATCH(Data!$DN1244,'Data_Price '!$AT$2:$AT$1266,0))</f>
        <v>899.95</v>
      </c>
      <c r="DE1244" t="str">
        <f>INDEX('Data_Price '!AN$2:AN$1266,MATCH(Data!$DN1244,'Data_Price '!$AT$2:$AT$1266,0))</f>
        <v>https://tinyurl.com/y8bo66nw</v>
      </c>
      <c r="DF1244" t="str">
        <f>INDEX('Data_Price '!AO$2:AO$1266,MATCH(Data!$DN1244,'Data_Price '!$AT$2:$AT$1266,0))</f>
        <v>Blizzard Quattro RS Ski + Marker Race Xcell 14 Ski Binding - 2018 - Size: 174cm</v>
      </c>
      <c r="DG1244" t="str">
        <f>INDEX('Data_Price '!AP$2:AP$1266,MATCH(Data!$DN1244,'Data_Price '!$AT$2:$AT$1266,0))</f>
        <v>SkiEssentials.com</v>
      </c>
      <c r="DH1244">
        <f>INDEX('Data_Price '!AQ$2:AQ$1266,MATCH(Data!$DN1244,'Data_Price '!$AT$2:$AT$1266,0))</f>
        <v>1099.95</v>
      </c>
      <c r="DI1244" t="str">
        <f>INDEX('Data_Price '!AR$2:AR$1266,MATCH(Data!$DN1244,'Data_Price '!$AT$2:$AT$1266,0))</f>
        <v>https://tinyurl.com/y85v6nne</v>
      </c>
      <c r="DJ1244" s="89" t="str">
        <f t="shared" si="735"/>
        <v>https://tinyurl.com/ya7fbnzq</v>
      </c>
      <c r="DK1244" s="89" t="str">
        <f t="shared" si="736"/>
        <v>https://tinyurl.com/y8bo66nw</v>
      </c>
      <c r="DL1244" s="89" t="str">
        <f t="shared" si="737"/>
        <v>https://tinyurl.com/y85v6nne</v>
      </c>
      <c r="DM1244" s="219" t="str">
        <f t="shared" si="738"/>
        <v>HRC</v>
      </c>
      <c r="DN1244" s="89" t="str">
        <f t="shared" si="739"/>
        <v xml:space="preserve"> BlizzardHRC174 Unisex</v>
      </c>
      <c r="DO1244" s="221"/>
    </row>
    <row r="1245" spans="2:119" ht="15.6" customHeight="1">
      <c r="B1245" s="219" t="b">
        <f t="array" ref="B1245">IF(OR(ISERROR(K1245:P1245)),FALSE,TRUE)</f>
        <v>1</v>
      </c>
      <c r="C1245" s="43" t="b">
        <f>OR(BR1245=Driver!$G$50,Data!BR80=Driver!$H$50)</f>
        <v>1</v>
      </c>
      <c r="D1245" s="43" t="b">
        <f>OR(BV1245=Driver!$G$51,BV1245=Driver!$H$51)</f>
        <v>1</v>
      </c>
      <c r="E1245" s="43" t="b">
        <f>AND(BX1245&gt;Driver!$F$54,BX1245&lt;Driver!$G$54)</f>
        <v>0</v>
      </c>
      <c r="F1245" s="43" t="b">
        <f>CL1245&gt;Driver!$F$56</f>
        <v>1</v>
      </c>
      <c r="G1245" s="43" t="b">
        <f>AND(CB1245&gt;Driver!$F$55,CB1245&lt;Driver!$G$55)</f>
        <v>0</v>
      </c>
      <c r="H1245" s="43" t="b">
        <f t="shared" si="703"/>
        <v>0</v>
      </c>
      <c r="I1245" s="43">
        <f t="shared" si="704"/>
        <v>0</v>
      </c>
      <c r="J1245" s="43" t="b">
        <f t="array" ref="J1245">NOT(OR(($H$9:$H$1273=TRUE)*($I$9:$I$1273&gt;0)*($BT$9:$BT$1273=BT1245)*($K$9:$K$1273&gt;K1245)))</f>
        <v>1</v>
      </c>
      <c r="K1245" s="72">
        <f t="shared" si="705"/>
        <v>0.50193856884613464</v>
      </c>
      <c r="L1245" s="72">
        <f t="shared" si="706"/>
        <v>0.44324527343546816</v>
      </c>
      <c r="M1245" s="72">
        <f t="shared" si="707"/>
        <v>0.56063186425680112</v>
      </c>
      <c r="N1245" s="72">
        <f t="shared" si="708"/>
        <v>0.18263382075475476</v>
      </c>
      <c r="O1245" s="72">
        <f t="shared" si="709"/>
        <v>0.66170902939961485</v>
      </c>
      <c r="P1245" s="72">
        <f t="shared" si="710"/>
        <v>0.83755274261603374</v>
      </c>
      <c r="Q1245" s="72"/>
      <c r="R1245" s="72"/>
      <c r="S1245" s="72">
        <f t="shared" si="711"/>
        <v>0.52353988680648444</v>
      </c>
      <c r="T1245" s="72">
        <f t="shared" si="712"/>
        <v>0.51248736883327473</v>
      </c>
      <c r="U1245" s="72">
        <f t="shared" si="713"/>
        <v>0.49576641276343025</v>
      </c>
      <c r="V1245" s="72">
        <f t="shared" si="714"/>
        <v>0.67164291191980297</v>
      </c>
      <c r="W1245" s="72">
        <f t="shared" si="715"/>
        <v>0.78660806964674368</v>
      </c>
      <c r="X1245" s="72">
        <f t="shared" si="716"/>
        <v>0.55675472656453184</v>
      </c>
      <c r="Y1245" s="72">
        <f t="shared" si="717"/>
        <v>0.43936813574319888</v>
      </c>
      <c r="Z1245" s="72">
        <f t="shared" si="718"/>
        <v>0.81736617924524524</v>
      </c>
      <c r="AA1245" s="72">
        <f t="shared" si="719"/>
        <v>0.33829097060038515</v>
      </c>
      <c r="AB1245" s="72">
        <f t="shared" si="720"/>
        <v>0.16244725738396626</v>
      </c>
      <c r="AC1245" s="72"/>
      <c r="AD1245" s="72"/>
      <c r="AE1245" s="72">
        <f t="shared" si="721"/>
        <v>0.47646011319351556</v>
      </c>
      <c r="AF1245" s="72">
        <f t="shared" si="722"/>
        <v>0.48751263116672527</v>
      </c>
      <c r="AG1245" s="72">
        <f t="shared" si="723"/>
        <v>0.50423358723656975</v>
      </c>
      <c r="AH1245" s="72">
        <f t="shared" si="724"/>
        <v>0.32835708808019703</v>
      </c>
      <c r="AI1245" s="72">
        <f t="shared" si="725"/>
        <v>0.21339193035325632</v>
      </c>
      <c r="AJ1245" s="72">
        <f>(AV1245-Driver!$K$179)/(Driver!$L$179-Driver!$K$179)</f>
        <v>0.81097413584723221</v>
      </c>
      <c r="AK1245" s="72">
        <f>(AW1245-Driver!$K$180)/(Driver!$L$180-Driver!$K$180)</f>
        <v>0.46694409986834995</v>
      </c>
      <c r="AL1245" s="72">
        <f>(AX1245-Driver!$K$181)/(Driver!$L$181-Driver!$K$181)</f>
        <v>0.91905394295832543</v>
      </c>
      <c r="AM1245" s="72">
        <f>(AY1245-Driver!$K$182)/(Driver!$L$182-Driver!$K$182)</f>
        <v>0.10909405049666124</v>
      </c>
      <c r="AN1245" s="72">
        <f>(AZ1245-Driver!$K$183)/(Driver!$L$183-Driver!$K$183)</f>
        <v>0.41666666666666669</v>
      </c>
      <c r="AO1245" s="72"/>
      <c r="AP1245" s="72"/>
      <c r="AQ1245" s="72">
        <f>(BC1245-Driver!$K$188)/(Driver!$L$188-Driver!$K$188)</f>
        <v>0.14353988680648441</v>
      </c>
      <c r="AR1245" s="72">
        <f>MIN((BD1245-Driver!$K$189)/(Driver!$L$189-Driver!$K$189),100%)</f>
        <v>6.248736883327477E-2</v>
      </c>
      <c r="AS1245" s="72">
        <f>(BE1245-Driver!$K$190)/(Driver!$L$190-Driver!$K$190)</f>
        <v>5.7664127634302273E-3</v>
      </c>
      <c r="AT1245" s="72">
        <f>(BF1245-Driver!$K$191)/(Driver!$L$191-Driver!$K$191)</f>
        <v>0.181642911919803</v>
      </c>
      <c r="AU1245" s="72">
        <f>(BG1245-Driver!$K$192)/(Driver!$L$192-Driver!$K$192)</f>
        <v>3.6608069646743679E-2</v>
      </c>
      <c r="AV1245" s="70">
        <f t="shared" si="726"/>
        <v>17.068579568579569</v>
      </c>
      <c r="AW1245" s="70">
        <f t="shared" si="727"/>
        <v>47.379732699259662</v>
      </c>
      <c r="AX1245" s="70">
        <f t="shared" si="728"/>
        <v>9.271485486624929</v>
      </c>
      <c r="AY1245" s="70">
        <f>IFERROR(Driver!$K$19/Data!BH1245/Data!BI1245*Data!BK1245*Data!BL1245,"")</f>
        <v>0.13356366833093108</v>
      </c>
      <c r="AZ1245" s="70">
        <f t="shared" si="729"/>
        <v>37.974683544303801</v>
      </c>
      <c r="BA1245" s="70"/>
      <c r="BB1245" s="70"/>
      <c r="BC1245" s="70">
        <f t="shared" si="730"/>
        <v>74.455137159627469</v>
      </c>
      <c r="BD1245" s="70">
        <f t="shared" si="731"/>
        <v>7.2508443047766811</v>
      </c>
      <c r="BE1245" s="70">
        <f t="shared" si="732"/>
        <v>5.9437728448175371E-3</v>
      </c>
      <c r="BF1245" s="70">
        <f t="shared" si="733"/>
        <v>20.515290787662511</v>
      </c>
      <c r="BG1245" s="70">
        <f t="shared" si="734"/>
        <v>0.13862150510631174</v>
      </c>
      <c r="BH1245" s="67">
        <f>MAX((CE1245-Driver!$F$200)/(Driver!$G$200-Driver!$F$200)*$BI$1,1)</f>
        <v>9.271485486624929</v>
      </c>
      <c r="BI1245" s="67">
        <f>MAX($BI$1*(BY1245-Driver!$F$201)/(Driver!$G$201-Driver!$F$201),1)</f>
        <v>6.4556962025316453</v>
      </c>
      <c r="BJ1245" s="67">
        <f>(CB1245-Driver!$F$206)/(Driver!$G$206-Driver!$F$206)*$BI$1</f>
        <v>9.6825396825396819</v>
      </c>
      <c r="BK1245" s="67">
        <f>(CD1245-Driver!$F$203)/(Driver!$G$203-Driver!$F$203)*$BI$1</f>
        <v>6.1009174311926611</v>
      </c>
      <c r="BL1245" s="67">
        <f>MAX((CR1245-Driver!$F$202)/(Driver!$G$202-Driver!$F$202)*$BI$1,1)</f>
        <v>6.5517241379310338</v>
      </c>
      <c r="BM1245" s="67">
        <f>MAX((CH1245-Driver!$F$204)/(Driver!$G$204-Driver!$F$204)*$BI$1,1)</f>
        <v>7.051282051282052</v>
      </c>
      <c r="BN1245" s="67">
        <f>(CI1245-Driver!$F$205)/(Driver!$G$205-Driver!$F$205)*$BI$1</f>
        <v>5.882352941176471</v>
      </c>
      <c r="BO1245" s="67">
        <f>(CK1245-Driver!$F$207)/(Driver!$G$207-Driver!$F$207)*$BI$1</f>
        <v>3.1023784901758016</v>
      </c>
      <c r="BP1245" s="67">
        <f>(CM1245-Driver!$F$208)/(Driver!$G$208-Driver!$F$208)*$BI$1</f>
        <v>4.166666666666667</v>
      </c>
      <c r="BQ1245" s="67">
        <f>(CL1245-Driver!$F$209)/(Driver!$G$209-Driver!$F$209)*$BI$1</f>
        <v>9.0625</v>
      </c>
      <c r="BR1245" s="28" t="s">
        <v>155</v>
      </c>
      <c r="BS1245" s="8" t="s">
        <v>182</v>
      </c>
      <c r="BT1245" s="9" t="s">
        <v>876</v>
      </c>
      <c r="BU1245" s="10">
        <v>190</v>
      </c>
      <c r="BV1245" s="9" t="s">
        <v>158</v>
      </c>
      <c r="BW1245" s="10">
        <v>190</v>
      </c>
      <c r="BX1245" s="10">
        <v>188.7</v>
      </c>
      <c r="BY1245" s="10">
        <v>110</v>
      </c>
      <c r="BZ1245" s="10">
        <v>126</v>
      </c>
      <c r="CA1245" s="10">
        <v>142</v>
      </c>
      <c r="CB1245" s="10">
        <v>125</v>
      </c>
      <c r="CC1245" s="10">
        <v>139</v>
      </c>
      <c r="CD1245" s="10">
        <v>22.7</v>
      </c>
      <c r="CE1245" s="10">
        <v>2529</v>
      </c>
      <c r="CF1245" s="10">
        <v>0.98</v>
      </c>
      <c r="CG1245" s="10">
        <v>2479</v>
      </c>
      <c r="CH1245" s="10">
        <v>266</v>
      </c>
      <c r="CI1245" s="10">
        <v>133</v>
      </c>
      <c r="CJ1245" s="10">
        <v>56</v>
      </c>
      <c r="CK1245" s="10">
        <v>410</v>
      </c>
      <c r="CL1245" s="10">
        <v>58</v>
      </c>
      <c r="CM1245" s="10">
        <v>375</v>
      </c>
      <c r="CN1245" s="10">
        <v>1.0429999999999999</v>
      </c>
      <c r="CO1245" s="10">
        <v>333</v>
      </c>
      <c r="CP1245" s="10">
        <v>294</v>
      </c>
      <c r="CQ1245" s="10">
        <v>77</v>
      </c>
      <c r="CR1245" s="10">
        <v>8</v>
      </c>
      <c r="CS1245" s="10">
        <v>4.3</v>
      </c>
      <c r="CT1245" s="9" t="s">
        <v>184</v>
      </c>
      <c r="CU1245" s="9" t="s">
        <v>169</v>
      </c>
      <c r="CV1245" s="10"/>
      <c r="CW1245" s="10"/>
      <c r="CX1245" t="str">
        <f>INDEX('Data_Price '!AG$2:AG$1266,MATCH(Data!$DN1245,'Data_Price '!$AT$2:$AT$1266,0))</f>
        <v>Armada Magic J 127mm 190 2022 Skis Men, Freeride ski, Freeski</v>
      </c>
      <c r="CY1245" t="str">
        <f>INDEX('Data_Price '!AH$2:AH$1266,MATCH(Data!$DN1245,'Data_Price '!$AT$2:$AT$1266,0))</f>
        <v>Blue Tomato</v>
      </c>
      <c r="CZ1245">
        <f>INDEX('Data_Price '!AI$2:AI$1266,MATCH(Data!$DN1245,'Data_Price '!$AT$2:$AT$1266,0))</f>
        <v>497.9</v>
      </c>
      <c r="DA1245" t="str">
        <f>INDEX('Data_Price '!AJ$2:AJ$1266,MATCH(Data!$DN1245,'Data_Price '!$AT$2:$AT$1266,0))</f>
        <v>https://tinyurl.com/ybrswd8n</v>
      </c>
      <c r="DB1245" t="str">
        <f>INDEX('Data_Price '!AK$2:AK$1266,MATCH(Data!$DN1245,'Data_Price '!$AT$2:$AT$1266,0))</f>
        <v>Armada Magic J Skis 190cm 2022</v>
      </c>
      <c r="DC1245" t="str">
        <f>INDEX('Data_Price '!AL$2:AL$1266,MATCH(Data!$DN1245,'Data_Price '!$AT$2:$AT$1266,0))</f>
        <v>REI</v>
      </c>
      <c r="DD1245">
        <f>INDEX('Data_Price '!AM$2:AM$1266,MATCH(Data!$DN1245,'Data_Price '!$AT$2:$AT$1266,0))</f>
        <v>599.92999999999995</v>
      </c>
      <c r="DE1245" t="str">
        <f>INDEX('Data_Price '!AN$2:AN$1266,MATCH(Data!$DN1245,'Data_Price '!$AT$2:$AT$1266,0))</f>
        <v>https://tinyurl.com/ycffy7sw</v>
      </c>
      <c r="DF1245" t="str">
        <f>INDEX('Data_Price '!AO$2:AO$1266,MATCH(Data!$DN1245,'Data_Price '!$AT$2:$AT$1266,0))</f>
        <v>Armada Magic J Skis - 2022 190cm</v>
      </c>
      <c r="DG1245" t="str">
        <f>INDEX('Data_Price '!AP$2:AP$1266,MATCH(Data!$DN1245,'Data_Price '!$AT$2:$AT$1266,0))</f>
        <v>Glacier Ski Shop</v>
      </c>
      <c r="DH1245">
        <f>INDEX('Data_Price '!AQ$2:AQ$1266,MATCH(Data!$DN1245,'Data_Price '!$AT$2:$AT$1266,0))</f>
        <v>674</v>
      </c>
      <c r="DI1245" t="str">
        <f>INDEX('Data_Price '!AR$2:AR$1266,MATCH(Data!$DN1245,'Data_Price '!$AT$2:$AT$1266,0))</f>
        <v>https://tinyurl.com/y7w45sr7</v>
      </c>
      <c r="DJ1245" s="89" t="str">
        <f t="shared" si="735"/>
        <v>https://tinyurl.com/ybrswd8n</v>
      </c>
      <c r="DK1245" s="89" t="str">
        <f t="shared" si="736"/>
        <v>https://tinyurl.com/ycffy7sw</v>
      </c>
      <c r="DL1245" s="89" t="str">
        <f t="shared" si="737"/>
        <v>https://tinyurl.com/y7w45sr7</v>
      </c>
      <c r="DM1245" s="219" t="str">
        <f t="shared" si="738"/>
        <v>Magic J</v>
      </c>
      <c r="DN1245" s="89" t="str">
        <f t="shared" si="739"/>
        <v xml:space="preserve"> ArmadaMagic J190 Unisex</v>
      </c>
      <c r="DO1245" s="221" t="s">
        <v>877</v>
      </c>
    </row>
    <row r="1246" spans="2:119" ht="15.6" customHeight="1">
      <c r="B1246" s="219" t="b">
        <f t="array" ref="B1246">IF(OR(ISERROR(K1246:P1246)),FALSE,TRUE)</f>
        <v>1</v>
      </c>
      <c r="C1246" s="43" t="b">
        <f>OR(BR1246=Driver!$G$50,Data!BR1235=Driver!$H$50)</f>
        <v>1</v>
      </c>
      <c r="D1246" s="43" t="b">
        <f>OR(BV1246=Driver!$G$51,BV1246=Driver!$H$51)</f>
        <v>1</v>
      </c>
      <c r="E1246" s="43" t="b">
        <f>AND(BX1246&gt;Driver!$F$54,BX1246&lt;Driver!$G$54)</f>
        <v>0</v>
      </c>
      <c r="F1246" s="43" t="b">
        <f>CL1246&gt;Driver!$F$56</f>
        <v>1</v>
      </c>
      <c r="G1246" s="43" t="b">
        <f>AND(CB1246&gt;Driver!$F$55,CB1246&lt;Driver!$G$55)</f>
        <v>0</v>
      </c>
      <c r="H1246" s="43" t="b">
        <f t="shared" si="703"/>
        <v>0</v>
      </c>
      <c r="I1246" s="43">
        <f t="shared" si="704"/>
        <v>0</v>
      </c>
      <c r="J1246" s="43" t="b">
        <f t="array" ref="J1246">NOT(OR(($H$9:$H$1273=TRUE)*($I$9:$I$1273&gt;0)*($BT$9:$BT$1273=BT1246)*($K$9:$K$1273&gt;K1246)))</f>
        <v>1</v>
      </c>
      <c r="K1246" s="72">
        <f t="shared" si="705"/>
        <v>0.6633477717275984</v>
      </c>
      <c r="L1246" s="72">
        <f t="shared" si="706"/>
        <v>0.77672088561698538</v>
      </c>
      <c r="M1246" s="72">
        <f t="shared" si="707"/>
        <v>0.54997465783821142</v>
      </c>
      <c r="N1246" s="72">
        <f t="shared" si="708"/>
        <v>0.47416610431891082</v>
      </c>
      <c r="O1246" s="72">
        <f t="shared" si="709"/>
        <v>0.58109728344243505</v>
      </c>
      <c r="P1246" s="72">
        <f t="shared" si="710"/>
        <v>0.59466058575328851</v>
      </c>
      <c r="Q1246" s="72"/>
      <c r="R1246" s="72"/>
      <c r="S1246" s="72">
        <f t="shared" si="711"/>
        <v>0.68814137510561113</v>
      </c>
      <c r="T1246" s="72">
        <f t="shared" si="712"/>
        <v>0.55000000000000004</v>
      </c>
      <c r="U1246" s="72">
        <f t="shared" si="713"/>
        <v>0.51</v>
      </c>
      <c r="V1246" s="72">
        <f t="shared" si="714"/>
        <v>0.49103076297750758</v>
      </c>
      <c r="W1246" s="72">
        <f t="shared" si="715"/>
        <v>0.756808513484589</v>
      </c>
      <c r="X1246" s="72">
        <f t="shared" si="716"/>
        <v>0.22327911438301468</v>
      </c>
      <c r="Y1246" s="72">
        <f t="shared" si="717"/>
        <v>0.45002534216178852</v>
      </c>
      <c r="Z1246" s="72">
        <f t="shared" si="718"/>
        <v>0.52583389568108918</v>
      </c>
      <c r="AA1246" s="72">
        <f t="shared" si="719"/>
        <v>0.41890271655756495</v>
      </c>
      <c r="AB1246" s="72">
        <f t="shared" si="720"/>
        <v>0.40533941424671144</v>
      </c>
      <c r="AC1246" s="72"/>
      <c r="AD1246" s="72"/>
      <c r="AE1246" s="72">
        <f t="shared" si="721"/>
        <v>0.31185862489438887</v>
      </c>
      <c r="AF1246" s="72">
        <f t="shared" si="722"/>
        <v>0.44999999999999996</v>
      </c>
      <c r="AG1246" s="72">
        <f t="shared" si="723"/>
        <v>0.49</v>
      </c>
      <c r="AH1246" s="72">
        <f t="shared" si="724"/>
        <v>0.50896923702249242</v>
      </c>
      <c r="AI1246" s="72">
        <f t="shared" si="725"/>
        <v>0.24319148651541095</v>
      </c>
      <c r="AJ1246" s="72">
        <f>(AV1246-Driver!$K$179)/(Driver!$L$179-Driver!$K$179)</f>
        <v>3.094029489968576E-2</v>
      </c>
      <c r="AK1246" s="72">
        <f>(AW1246-Driver!$K$180)/(Driver!$L$180-Driver!$K$180)</f>
        <v>0.66615146942403303</v>
      </c>
      <c r="AL1246" s="72">
        <f>(AX1246-Driver!$K$181)/(Driver!$L$181-Driver!$K$181)</f>
        <v>0.62752165939416937</v>
      </c>
      <c r="AM1246" s="72">
        <f>(AY1246-Driver!$K$182)/(Driver!$L$182-Driver!$K$182)</f>
        <v>2.8482304539481425E-2</v>
      </c>
      <c r="AN1246" s="72">
        <f>(AZ1246-Driver!$K$183)/(Driver!$L$183-Driver!$K$183)</f>
        <v>0.65955882352941186</v>
      </c>
      <c r="AO1246" s="72"/>
      <c r="AP1246" s="72"/>
      <c r="AQ1246" s="72">
        <f>(BC1246-Driver!$K$188)/(Driver!$L$188-Driver!$K$188)</f>
        <v>0.30814137510561113</v>
      </c>
      <c r="AR1246" s="72">
        <f>MIN((BD1246-Driver!$K$189)/(Driver!$L$189-Driver!$K$189),100%)</f>
        <v>1</v>
      </c>
      <c r="AS1246" s="72">
        <f>(BE1246-Driver!$K$190)/(Driver!$L$190-Driver!$K$190)</f>
        <v>1</v>
      </c>
      <c r="AT1246" s="72">
        <f>(BF1246-Driver!$K$191)/(Driver!$L$191-Driver!$K$191)</f>
        <v>1.0307629775075753E-3</v>
      </c>
      <c r="AU1246" s="72">
        <f>(BG1246-Driver!$K$192)/(Driver!$L$192-Driver!$K$192)</f>
        <v>6.8085134845890394E-3</v>
      </c>
      <c r="AV1246" s="70">
        <f t="shared" si="726"/>
        <v>0.65120065120065118</v>
      </c>
      <c r="AW1246" s="70">
        <f t="shared" si="727"/>
        <v>66.79425601932185</v>
      </c>
      <c r="AX1246" s="70">
        <f t="shared" si="728"/>
        <v>6.6476949345475242</v>
      </c>
      <c r="AY1246" s="70">
        <f>IFERROR(Driver!$K$19/Data!BH1246/Data!BI1246*Data!BK1246*Data!BL1246,"")</f>
        <v>3.4870839055776877E-2</v>
      </c>
      <c r="AZ1246" s="70">
        <f t="shared" si="729"/>
        <v>60.111690245718549</v>
      </c>
      <c r="BA1246" s="70"/>
      <c r="BB1246" s="70"/>
      <c r="BC1246" s="70">
        <f t="shared" si="730"/>
        <v>159.83507343136665</v>
      </c>
      <c r="BD1246" s="70">
        <f t="shared" si="731"/>
        <v>229.61643787361606</v>
      </c>
      <c r="BE1246" s="70">
        <f t="shared" si="732"/>
        <v>1</v>
      </c>
      <c r="BF1246" s="70">
        <f t="shared" si="733"/>
        <v>0.11641743678972219</v>
      </c>
      <c r="BG1246" s="70">
        <f t="shared" si="734"/>
        <v>2.578137541470462E-2</v>
      </c>
      <c r="BH1246" s="67">
        <f>MAX((CE1246-Driver!$F$200)/(Driver!$G$200-Driver!$F$200)*$BI$1,1)</f>
        <v>6.6476949345475242</v>
      </c>
      <c r="BI1246" s="67">
        <f>MAX($BI$1*(BY1246-Driver!$F$201)/(Driver!$G$201-Driver!$F$201),1)</f>
        <v>8.7341772151898738</v>
      </c>
      <c r="BJ1246" s="67">
        <f>(CB1246-Driver!$F$206)/(Driver!$G$206-Driver!$F$206)*$BI$1</f>
        <v>0.47619047619047616</v>
      </c>
      <c r="BK1246" s="67">
        <f>(CD1246-Driver!$F$203)/(Driver!$G$203-Driver!$F$203)*$BI$1</f>
        <v>1.834862385321101</v>
      </c>
      <c r="BL1246" s="67">
        <f>MAX((CR1246-Driver!$F$202)/(Driver!$G$202-Driver!$F$202)*$BI$1,1)</f>
        <v>5.5172413793103452</v>
      </c>
      <c r="BM1246" s="67">
        <f>MAX((CH1246-Driver!$F$204)/(Driver!$G$204-Driver!$F$204)*$BI$1,1)</f>
        <v>5.4700854700854702</v>
      </c>
      <c r="BN1246" s="67">
        <f>(CI1246-Driver!$F$205)/(Driver!$G$205-Driver!$F$205)*$BI$1</f>
        <v>6.882352941176471</v>
      </c>
      <c r="BO1246" s="67">
        <f>(CK1246-Driver!$F$207)/(Driver!$G$207-Driver!$F$207)*$BI$1</f>
        <v>0.66184074457083764</v>
      </c>
      <c r="BP1246" s="67">
        <f>(CM1246-Driver!$F$208)/(Driver!$G$208-Driver!$F$208)*$BI$1</f>
        <v>0.67777777777777781</v>
      </c>
      <c r="BQ1246" s="67">
        <f>(CL1246-Driver!$F$209)/(Driver!$G$209-Driver!$F$209)*$BI$1</f>
        <v>0.9375</v>
      </c>
      <c r="BR1246" s="28" t="s">
        <v>155</v>
      </c>
      <c r="BS1246" s="8" t="s">
        <v>229</v>
      </c>
      <c r="BT1246" s="9" t="s">
        <v>782</v>
      </c>
      <c r="BU1246" s="10">
        <v>170</v>
      </c>
      <c r="BV1246" s="9" t="s">
        <v>158</v>
      </c>
      <c r="BW1246" s="10">
        <v>170</v>
      </c>
      <c r="BX1246" s="10">
        <v>169.2</v>
      </c>
      <c r="BY1246" s="10">
        <v>146</v>
      </c>
      <c r="BZ1246" s="10">
        <v>158</v>
      </c>
      <c r="CA1246" s="10">
        <v>126</v>
      </c>
      <c r="CB1246" s="10">
        <v>67</v>
      </c>
      <c r="CC1246" s="10">
        <v>102</v>
      </c>
      <c r="CD1246" s="10">
        <v>13.4</v>
      </c>
      <c r="CE1246" s="10">
        <v>2068</v>
      </c>
      <c r="CF1246" s="10">
        <v>0.69</v>
      </c>
      <c r="CG1246" s="10">
        <v>1425</v>
      </c>
      <c r="CH1246" s="10">
        <v>229</v>
      </c>
      <c r="CI1246" s="10">
        <v>150</v>
      </c>
      <c r="CJ1246" s="10">
        <v>43</v>
      </c>
      <c r="CK1246" s="10">
        <v>174</v>
      </c>
      <c r="CL1246" s="10">
        <v>6</v>
      </c>
      <c r="CM1246" s="10">
        <v>61</v>
      </c>
      <c r="CN1246" s="10">
        <v>0.151</v>
      </c>
      <c r="CO1246" s="10">
        <v>57</v>
      </c>
      <c r="CP1246" s="10">
        <v>50</v>
      </c>
      <c r="CQ1246" s="10">
        <v>117</v>
      </c>
      <c r="CR1246" s="10">
        <v>5</v>
      </c>
      <c r="CS1246" s="10">
        <v>11.5</v>
      </c>
      <c r="CT1246" s="9" t="s">
        <v>349</v>
      </c>
      <c r="CU1246" s="10"/>
      <c r="CV1246" s="10"/>
      <c r="CW1246" s="10"/>
      <c r="CX1246" t="e">
        <f>INDEX('Data_Price '!AG$2:AG$1266,MATCH(Data!$DN1246,'Data_Price '!$AT$2:$AT$1266,0))</f>
        <v>#N/A</v>
      </c>
      <c r="CY1246" t="e">
        <f>INDEX('Data_Price '!AH$2:AH$1266,MATCH(Data!$DN1246,'Data_Price '!$AT$2:$AT$1266,0))</f>
        <v>#N/A</v>
      </c>
      <c r="CZ1246" t="e">
        <f>INDEX('Data_Price '!AI$2:AI$1266,MATCH(Data!$DN1246,'Data_Price '!$AT$2:$AT$1266,0))</f>
        <v>#N/A</v>
      </c>
      <c r="DA1246" t="e">
        <f>INDEX('Data_Price '!AJ$2:AJ$1266,MATCH(Data!$DN1246,'Data_Price '!$AT$2:$AT$1266,0))</f>
        <v>#N/A</v>
      </c>
      <c r="DB1246" t="e">
        <f>INDEX('Data_Price '!AK$2:AK$1266,MATCH(Data!$DN1246,'Data_Price '!$AT$2:$AT$1266,0))</f>
        <v>#N/A</v>
      </c>
      <c r="DC1246" t="e">
        <f>INDEX('Data_Price '!AL$2:AL$1266,MATCH(Data!$DN1246,'Data_Price '!$AT$2:$AT$1266,0))</f>
        <v>#N/A</v>
      </c>
      <c r="DD1246" t="e">
        <f>INDEX('Data_Price '!AM$2:AM$1266,MATCH(Data!$DN1246,'Data_Price '!$AT$2:$AT$1266,0))</f>
        <v>#N/A</v>
      </c>
      <c r="DE1246" t="e">
        <f>INDEX('Data_Price '!AN$2:AN$1266,MATCH(Data!$DN1246,'Data_Price '!$AT$2:$AT$1266,0))</f>
        <v>#N/A</v>
      </c>
      <c r="DF1246" t="e">
        <f>INDEX('Data_Price '!AO$2:AO$1266,MATCH(Data!$DN1246,'Data_Price '!$AT$2:$AT$1266,0))</f>
        <v>#N/A</v>
      </c>
      <c r="DG1246" t="e">
        <f>INDEX('Data_Price '!AP$2:AP$1266,MATCH(Data!$DN1246,'Data_Price '!$AT$2:$AT$1266,0))</f>
        <v>#N/A</v>
      </c>
      <c r="DH1246" t="e">
        <f>INDEX('Data_Price '!AQ$2:AQ$1266,MATCH(Data!$DN1246,'Data_Price '!$AT$2:$AT$1266,0))</f>
        <v>#N/A</v>
      </c>
      <c r="DI1246" t="e">
        <f>INDEX('Data_Price '!AR$2:AR$1266,MATCH(Data!$DN1246,'Data_Price '!$AT$2:$AT$1266,0))</f>
        <v>#N/A</v>
      </c>
      <c r="DJ1246" s="89" t="e">
        <f t="shared" si="735"/>
        <v>#N/A</v>
      </c>
      <c r="DK1246" s="89" t="e">
        <f t="shared" si="736"/>
        <v>#N/A</v>
      </c>
      <c r="DL1246" s="89" t="e">
        <f t="shared" si="737"/>
        <v>#N/A</v>
      </c>
      <c r="DM1246" s="219" t="str">
        <f t="shared" si="738"/>
        <v>Racetiger SL</v>
      </c>
      <c r="DN1246" s="89" t="str">
        <f t="shared" si="739"/>
        <v xml:space="preserve"> VölklRacetiger SL170 Unisex</v>
      </c>
      <c r="DO1246" s="221"/>
    </row>
    <row r="1247" spans="2:119" ht="15.6" customHeight="1">
      <c r="B1247" s="219" t="b">
        <f t="array" ref="B1247">IF(OR(ISERROR(K1247:P1247)),FALSE,TRUE)</f>
        <v>1</v>
      </c>
      <c r="C1247" s="43" t="b">
        <f>OR(BR1247=Driver!$G$50,Data!BR1094=Driver!$H$50)</f>
        <v>1</v>
      </c>
      <c r="D1247" s="43" t="b">
        <f>OR(BV1247=Driver!$G$51,BV1247=Driver!$H$51)</f>
        <v>1</v>
      </c>
      <c r="E1247" s="43" t="b">
        <f>AND(BX1247&gt;Driver!$F$54,BX1247&lt;Driver!$G$54)</f>
        <v>0</v>
      </c>
      <c r="F1247" s="43" t="b">
        <f>CL1247&gt;Driver!$F$56</f>
        <v>1</v>
      </c>
      <c r="G1247" s="43" t="b">
        <f>AND(CB1247&gt;Driver!$F$55,CB1247&lt;Driver!$G$55)</f>
        <v>0</v>
      </c>
      <c r="H1247" s="43" t="b">
        <f t="shared" si="703"/>
        <v>0</v>
      </c>
      <c r="I1247" s="43">
        <f t="shared" si="704"/>
        <v>0</v>
      </c>
      <c r="J1247" s="43" t="b">
        <f t="array" ref="J1247">NOT(OR(($H$9:$H$1273=TRUE)*($I$9:$I$1273&gt;0)*($BT$9:$BT$1273=BT1247)*($K$9:$K$1273&gt;K1247)))</f>
        <v>1</v>
      </c>
      <c r="K1247" s="72">
        <f t="shared" si="705"/>
        <v>0.69128202193611743</v>
      </c>
      <c r="L1247" s="72">
        <f t="shared" si="706"/>
        <v>0.83280017012266572</v>
      </c>
      <c r="M1247" s="72">
        <f t="shared" si="707"/>
        <v>0.54976387374956914</v>
      </c>
      <c r="N1247" s="72">
        <f t="shared" si="708"/>
        <v>0.47479849538954899</v>
      </c>
      <c r="O1247" s="72">
        <f t="shared" si="709"/>
        <v>0.61684234402743854</v>
      </c>
      <c r="P1247" s="72">
        <f t="shared" si="710"/>
        <v>0.55765078183172001</v>
      </c>
      <c r="Q1247" s="72"/>
      <c r="R1247" s="72"/>
      <c r="S1247" s="72">
        <f t="shared" si="711"/>
        <v>0.69885703889951156</v>
      </c>
      <c r="T1247" s="72">
        <f t="shared" si="712"/>
        <v>0.60822480960585779</v>
      </c>
      <c r="U1247" s="72">
        <f t="shared" si="713"/>
        <v>0.51</v>
      </c>
      <c r="V1247" s="72">
        <f t="shared" si="714"/>
        <v>0.49060594288764847</v>
      </c>
      <c r="W1247" s="72">
        <f t="shared" si="715"/>
        <v>0.75538417594972862</v>
      </c>
      <c r="X1247" s="72">
        <f t="shared" si="716"/>
        <v>0.16719982987733426</v>
      </c>
      <c r="Y1247" s="72">
        <f t="shared" si="717"/>
        <v>0.45023612625043086</v>
      </c>
      <c r="Z1247" s="72">
        <f t="shared" si="718"/>
        <v>0.52520150461045101</v>
      </c>
      <c r="AA1247" s="72">
        <f t="shared" si="719"/>
        <v>0.38315765597256146</v>
      </c>
      <c r="AB1247" s="72">
        <f t="shared" si="720"/>
        <v>0.44234921816828005</v>
      </c>
      <c r="AC1247" s="72"/>
      <c r="AD1247" s="72"/>
      <c r="AE1247" s="72">
        <f t="shared" si="721"/>
        <v>0.30114296110048844</v>
      </c>
      <c r="AF1247" s="72">
        <f t="shared" si="722"/>
        <v>0.39177519039414221</v>
      </c>
      <c r="AG1247" s="72">
        <f t="shared" si="723"/>
        <v>0.49</v>
      </c>
      <c r="AH1247" s="72">
        <f t="shared" si="724"/>
        <v>0.50939405711235153</v>
      </c>
      <c r="AI1247" s="72">
        <f t="shared" si="725"/>
        <v>0.24461582405027135</v>
      </c>
      <c r="AJ1247" s="72">
        <f>(AV1247-Driver!$K$179)/(Driver!$L$179-Driver!$K$179)</f>
        <v>8.7019579405366171E-2</v>
      </c>
      <c r="AK1247" s="72">
        <f>(AW1247-Driver!$K$180)/(Driver!$L$180-Driver!$K$180)</f>
        <v>0.70115204801655118</v>
      </c>
      <c r="AL1247" s="72">
        <f>(AX1247-Driver!$K$181)/(Driver!$L$181-Driver!$K$181)</f>
        <v>0.6268892683235312</v>
      </c>
      <c r="AM1247" s="72">
        <f>(AY1247-Driver!$K$182)/(Driver!$L$182-Driver!$K$182)</f>
        <v>6.4227365124484903E-2</v>
      </c>
      <c r="AN1247" s="72">
        <f>(AZ1247-Driver!$K$183)/(Driver!$L$183-Driver!$K$183)</f>
        <v>0.69656862745098047</v>
      </c>
      <c r="AO1247" s="72"/>
      <c r="AP1247" s="72"/>
      <c r="AQ1247" s="72">
        <f>(BC1247-Driver!$K$188)/(Driver!$L$188-Driver!$K$188)</f>
        <v>0.31885703889951156</v>
      </c>
      <c r="AR1247" s="72">
        <f>MIN((BD1247-Driver!$K$189)/(Driver!$L$189-Driver!$K$189),100%)</f>
        <v>0.94177519039414226</v>
      </c>
      <c r="AS1247" s="72">
        <f>(BE1247-Driver!$K$190)/(Driver!$L$190-Driver!$K$190)</f>
        <v>1</v>
      </c>
      <c r="AT1247" s="72">
        <f>(BF1247-Driver!$K$191)/(Driver!$L$191-Driver!$K$191)</f>
        <v>6.0594288764853599E-4</v>
      </c>
      <c r="AU1247" s="72">
        <f>(BG1247-Driver!$K$192)/(Driver!$L$192-Driver!$K$192)</f>
        <v>5.3841759497286496E-3</v>
      </c>
      <c r="AV1247" s="70">
        <f t="shared" si="726"/>
        <v>1.831501831501831</v>
      </c>
      <c r="AW1247" s="70">
        <f t="shared" si="727"/>
        <v>70.205372539838777</v>
      </c>
      <c r="AX1247" s="70">
        <f t="shared" si="728"/>
        <v>6.6420034149117813</v>
      </c>
      <c r="AY1247" s="70">
        <f>IFERROR(Driver!$K$19/Data!BH1247/Data!BI1247*Data!BK1247*Data!BL1247,"")</f>
        <v>7.8633458508526544E-2</v>
      </c>
      <c r="AZ1247" s="70">
        <f t="shared" si="729"/>
        <v>63.484735666418473</v>
      </c>
      <c r="BA1247" s="70"/>
      <c r="BB1247" s="70"/>
      <c r="BC1247" s="70">
        <f t="shared" si="730"/>
        <v>165.39336273534894</v>
      </c>
      <c r="BD1247" s="70">
        <f t="shared" si="731"/>
        <v>85.066258507085706</v>
      </c>
      <c r="BE1247" s="70">
        <f t="shared" si="732"/>
        <v>1</v>
      </c>
      <c r="BF1247" s="70">
        <f t="shared" si="733"/>
        <v>6.8436992170187588E-2</v>
      </c>
      <c r="BG1247" s="70">
        <f t="shared" si="734"/>
        <v>2.0387924878606117E-2</v>
      </c>
      <c r="BH1247" s="67">
        <f>MAX((CE1247-Driver!$F$200)/(Driver!$G$200-Driver!$F$200)*$BI$1,1)</f>
        <v>6.6420034149117813</v>
      </c>
      <c r="BI1247" s="67">
        <f>MAX($BI$1*(BY1247-Driver!$F$201)/(Driver!$G$201-Driver!$F$201),1)</f>
        <v>9.3037974683544302</v>
      </c>
      <c r="BJ1247" s="67">
        <f>(CB1247-Driver!$F$206)/(Driver!$G$206-Driver!$F$206)*$BI$1</f>
        <v>1.2698412698412698</v>
      </c>
      <c r="BK1247" s="67">
        <f>(CD1247-Driver!$F$203)/(Driver!$G$203-Driver!$F$203)*$BI$1</f>
        <v>2.9357798165137621</v>
      </c>
      <c r="BL1247" s="67">
        <f>MAX((CR1247-Driver!$F$202)/(Driver!$G$202-Driver!$F$202)*$BI$1,1)</f>
        <v>8.2758620689655178</v>
      </c>
      <c r="BM1247" s="67">
        <f>MAX((CH1247-Driver!$F$204)/(Driver!$G$204-Driver!$F$204)*$BI$1,1)</f>
        <v>5.7692307692307683</v>
      </c>
      <c r="BN1247" s="67">
        <f>(CI1247-Driver!$F$205)/(Driver!$G$205-Driver!$F$205)*$BI$1</f>
        <v>6.8235294117647065</v>
      </c>
      <c r="BO1247" s="67">
        <f>(CK1247-Driver!$F$207)/(Driver!$G$207-Driver!$F$207)*$BI$1</f>
        <v>0.27921406411582211</v>
      </c>
      <c r="BP1247" s="67">
        <f>(CM1247-Driver!$F$208)/(Driver!$G$208-Driver!$F$208)*$BI$1</f>
        <v>0.56666666666666665</v>
      </c>
      <c r="BQ1247" s="67">
        <f>(CL1247-Driver!$F$209)/(Driver!$G$209-Driver!$F$209)*$BI$1</f>
        <v>0.78125</v>
      </c>
      <c r="BR1247" s="28" t="s">
        <v>155</v>
      </c>
      <c r="BS1247" s="8" t="s">
        <v>174</v>
      </c>
      <c r="BT1247" s="9" t="s">
        <v>892</v>
      </c>
      <c r="BU1247" s="10">
        <v>175</v>
      </c>
      <c r="BV1247" s="9" t="s">
        <v>158</v>
      </c>
      <c r="BW1247" s="10">
        <v>175</v>
      </c>
      <c r="BX1247" s="10">
        <v>174.2</v>
      </c>
      <c r="BY1247" s="10">
        <v>155</v>
      </c>
      <c r="BZ1247" s="10">
        <v>163</v>
      </c>
      <c r="CA1247" s="10">
        <v>121</v>
      </c>
      <c r="CB1247" s="10">
        <v>72</v>
      </c>
      <c r="CC1247" s="10">
        <v>107</v>
      </c>
      <c r="CD1247" s="10">
        <v>15.8</v>
      </c>
      <c r="CE1247" s="10">
        <v>2067</v>
      </c>
      <c r="CF1247" s="10">
        <v>0.74</v>
      </c>
      <c r="CG1247" s="10">
        <v>1533</v>
      </c>
      <c r="CH1247" s="10">
        <v>236</v>
      </c>
      <c r="CI1247" s="10">
        <v>149</v>
      </c>
      <c r="CJ1247" s="10">
        <v>37</v>
      </c>
      <c r="CK1247" s="10">
        <v>137</v>
      </c>
      <c r="CL1247" s="10">
        <v>5</v>
      </c>
      <c r="CM1247" s="10">
        <v>51</v>
      </c>
      <c r="CN1247" s="10">
        <v>0.127</v>
      </c>
      <c r="CO1247" s="10">
        <v>80</v>
      </c>
      <c r="CP1247" s="10">
        <v>34</v>
      </c>
      <c r="CQ1247" s="10">
        <v>58</v>
      </c>
      <c r="CR1247" s="10">
        <v>13</v>
      </c>
      <c r="CS1247" s="10">
        <v>12</v>
      </c>
      <c r="CT1247" s="9" t="s">
        <v>349</v>
      </c>
      <c r="CU1247" s="10"/>
      <c r="CV1247" s="10"/>
      <c r="CW1247" s="10"/>
      <c r="CX1247" t="str">
        <f>INDEX('Data_Price '!AG$2:AG$1266,MATCH(Data!$DN1247,'Data_Price '!$AT$2:$AT$1266,0))</f>
        <v>Salomon X-Race Lab Race Skis with X-12 Lab Bindings</v>
      </c>
      <c r="CY1247" t="str">
        <f>INDEX('Data_Price '!AH$2:AH$1266,MATCH(Data!$DN1247,'Data_Price '!$AT$2:$AT$1266,0))</f>
        <v>The-House.com</v>
      </c>
      <c r="CZ1247">
        <f>INDEX('Data_Price '!AI$2:AI$1266,MATCH(Data!$DN1247,'Data_Price '!$AT$2:$AT$1266,0))</f>
        <v>1149.99</v>
      </c>
      <c r="DA1247" t="str">
        <f>INDEX('Data_Price '!AJ$2:AJ$1266,MATCH(Data!$DN1247,'Data_Price '!$AT$2:$AT$1266,0))</f>
        <v>https://tinyurl.com/y8vudvja</v>
      </c>
      <c r="DB1247">
        <f>INDEX('Data_Price '!AK$2:AK$1266,MATCH(Data!$DN1247,'Data_Price '!$AT$2:$AT$1266,0))</f>
        <v>0</v>
      </c>
      <c r="DC1247">
        <f>INDEX('Data_Price '!AL$2:AL$1266,MATCH(Data!$DN1247,'Data_Price '!$AT$2:$AT$1266,0))</f>
        <v>0</v>
      </c>
      <c r="DD1247">
        <f>INDEX('Data_Price '!AM$2:AM$1266,MATCH(Data!$DN1247,'Data_Price '!$AT$2:$AT$1266,0))</f>
        <v>0</v>
      </c>
      <c r="DE1247">
        <f>INDEX('Data_Price '!AN$2:AN$1266,MATCH(Data!$DN1247,'Data_Price '!$AT$2:$AT$1266,0))</f>
        <v>0</v>
      </c>
      <c r="DF1247">
        <f>INDEX('Data_Price '!AO$2:AO$1266,MATCH(Data!$DN1247,'Data_Price '!$AT$2:$AT$1266,0))</f>
        <v>0</v>
      </c>
      <c r="DG1247">
        <f>INDEX('Data_Price '!AP$2:AP$1266,MATCH(Data!$DN1247,'Data_Price '!$AT$2:$AT$1266,0))</f>
        <v>0</v>
      </c>
      <c r="DH1247">
        <f>INDEX('Data_Price '!AQ$2:AQ$1266,MATCH(Data!$DN1247,'Data_Price '!$AT$2:$AT$1266,0))</f>
        <v>0</v>
      </c>
      <c r="DI1247">
        <f>INDEX('Data_Price '!AR$2:AR$1266,MATCH(Data!$DN1247,'Data_Price '!$AT$2:$AT$1266,0))</f>
        <v>0</v>
      </c>
      <c r="DJ1247" s="89" t="str">
        <f t="shared" si="735"/>
        <v>https://tinyurl.com/y8vudvja</v>
      </c>
      <c r="DK1247" s="89">
        <f t="shared" si="736"/>
        <v>0</v>
      </c>
      <c r="DL1247" s="89">
        <f t="shared" si="737"/>
        <v>0</v>
      </c>
      <c r="DM1247" s="219" t="str">
        <f t="shared" si="738"/>
        <v>S/Max 12</v>
      </c>
      <c r="DN1247" s="89" t="str">
        <f t="shared" si="739"/>
        <v xml:space="preserve"> SalomonS/Max 12175 Unisex</v>
      </c>
      <c r="DO1247" s="221"/>
    </row>
    <row r="1248" spans="2:119" ht="15.6" customHeight="1">
      <c r="B1248" s="219" t="b">
        <f t="array" ref="B1248">IF(OR(ISERROR(K1248:P1248)),FALSE,TRUE)</f>
        <v>1</v>
      </c>
      <c r="C1248" s="43" t="b">
        <f>OR(BR1248=Driver!$G$50,Data!BR903=Driver!$H$50)</f>
        <v>1</v>
      </c>
      <c r="D1248" s="43" t="b">
        <f>OR(BV1248=Driver!$G$51,BV1248=Driver!$H$51)</f>
        <v>1</v>
      </c>
      <c r="E1248" s="43" t="b">
        <f>AND(BX1248&gt;Driver!$F$54,BX1248&lt;Driver!$G$54)</f>
        <v>0</v>
      </c>
      <c r="F1248" s="43" t="b">
        <f>CL1248&gt;Driver!$F$56</f>
        <v>1</v>
      </c>
      <c r="G1248" s="43" t="b">
        <f>AND(CB1248&gt;Driver!$F$55,CB1248&lt;Driver!$G$55)</f>
        <v>0</v>
      </c>
      <c r="H1248" s="43" t="b">
        <f t="shared" si="703"/>
        <v>0</v>
      </c>
      <c r="I1248" s="43">
        <f t="shared" si="704"/>
        <v>0</v>
      </c>
      <c r="J1248" s="43" t="b">
        <f t="array" ref="J1248">NOT(OR(($H$9:$H$1273=TRUE)*($I$9:$I$1273&gt;0)*($BT$9:$BT$1273=BT1248)*($K$9:$K$1273&gt;K1248)))</f>
        <v>1</v>
      </c>
      <c r="K1248" s="72">
        <f t="shared" si="705"/>
        <v>0.54359309450592175</v>
      </c>
      <c r="L1248" s="72">
        <f t="shared" si="706"/>
        <v>0.52099887910785569</v>
      </c>
      <c r="M1248" s="72">
        <f t="shared" si="707"/>
        <v>0.56618730990398802</v>
      </c>
      <c r="N1248" s="72">
        <f t="shared" si="708"/>
        <v>0.33251050449598041</v>
      </c>
      <c r="O1248" s="72">
        <f t="shared" si="709"/>
        <v>0.64614574142347903</v>
      </c>
      <c r="P1248" s="72">
        <f t="shared" si="710"/>
        <v>0.71990568379250441</v>
      </c>
      <c r="Q1248" s="72"/>
      <c r="R1248" s="72"/>
      <c r="S1248" s="72">
        <f t="shared" si="711"/>
        <v>0.56496681412938321</v>
      </c>
      <c r="T1248" s="72">
        <f t="shared" si="712"/>
        <v>0.52866332546014161</v>
      </c>
      <c r="U1248" s="72">
        <f t="shared" si="713"/>
        <v>0.51010150196217396</v>
      </c>
      <c r="V1248" s="72">
        <f t="shared" si="714"/>
        <v>0.58120946615426572</v>
      </c>
      <c r="W1248" s="72">
        <f t="shared" si="715"/>
        <v>0.77812499999999996</v>
      </c>
      <c r="X1248" s="72">
        <f t="shared" si="716"/>
        <v>0.47900112089214436</v>
      </c>
      <c r="Y1248" s="72">
        <f t="shared" si="717"/>
        <v>0.43381269009601203</v>
      </c>
      <c r="Z1248" s="72">
        <f t="shared" si="718"/>
        <v>0.66748949550401959</v>
      </c>
      <c r="AA1248" s="72">
        <f t="shared" si="719"/>
        <v>0.35385425857652092</v>
      </c>
      <c r="AB1248" s="72">
        <f t="shared" si="720"/>
        <v>0.28009431620749564</v>
      </c>
      <c r="AC1248" s="72"/>
      <c r="AD1248" s="72"/>
      <c r="AE1248" s="72">
        <f t="shared" si="721"/>
        <v>0.43503318587061679</v>
      </c>
      <c r="AF1248" s="72">
        <f t="shared" si="722"/>
        <v>0.47133667453985845</v>
      </c>
      <c r="AG1248" s="72">
        <f t="shared" si="723"/>
        <v>0.48989849803782604</v>
      </c>
      <c r="AH1248" s="72">
        <f t="shared" si="724"/>
        <v>0.41879053384573428</v>
      </c>
      <c r="AI1248" s="72">
        <f t="shared" si="725"/>
        <v>0.22187499999999999</v>
      </c>
      <c r="AJ1248" s="72">
        <f>(AV1248-Driver!$K$179)/(Driver!$L$179-Driver!$K$179)</f>
        <v>0.73322053017484479</v>
      </c>
      <c r="AK1248" s="72">
        <f>(AW1248-Driver!$K$180)/(Driver!$L$180-Driver!$K$180)</f>
        <v>0.56292633525126146</v>
      </c>
      <c r="AL1248" s="72">
        <f>(AX1248-Driver!$K$181)/(Driver!$L$181-Driver!$K$181)</f>
        <v>0.76917725921709978</v>
      </c>
      <c r="AM1248" s="72">
        <f>(AY1248-Driver!$K$182)/(Driver!$L$182-Driver!$K$182)</f>
        <v>9.3530762520525446E-2</v>
      </c>
      <c r="AN1248" s="72">
        <f>(AZ1248-Driver!$K$183)/(Driver!$L$183-Driver!$K$183)</f>
        <v>0.53431372549019607</v>
      </c>
      <c r="AO1248" s="72"/>
      <c r="AP1248" s="72"/>
      <c r="AQ1248" s="72">
        <f>(BC1248-Driver!$K$188)/(Driver!$L$188-Driver!$K$188)</f>
        <v>0.18496681412938321</v>
      </c>
      <c r="AR1248" s="72">
        <f>MIN((BD1248-Driver!$K$189)/(Driver!$L$189-Driver!$K$189),100%)</f>
        <v>7.8663325460141612E-2</v>
      </c>
      <c r="AS1248" s="72">
        <f>(BE1248-Driver!$K$190)/(Driver!$L$190-Driver!$K$190)</f>
        <v>2.0101501962173945E-2</v>
      </c>
      <c r="AT1248" s="72">
        <f>(BF1248-Driver!$K$191)/(Driver!$L$191-Driver!$K$191)</f>
        <v>9.1209466154265728E-2</v>
      </c>
      <c r="AU1248" s="72">
        <f>(BG1248-Driver!$K$192)/(Driver!$L$192-Driver!$K$192)</f>
        <v>2.8125000000000004E-2</v>
      </c>
      <c r="AV1248" s="70">
        <f t="shared" si="726"/>
        <v>15.432098765432098</v>
      </c>
      <c r="AW1248" s="70">
        <f t="shared" si="727"/>
        <v>56.734052026448786</v>
      </c>
      <c r="AX1248" s="70">
        <f t="shared" si="728"/>
        <v>7.9225953329538985</v>
      </c>
      <c r="AY1248" s="70">
        <f>IFERROR(Driver!$K$19/Data!BH1248/Data!BI1248*Data!BK1248*Data!BL1248,"")</f>
        <v>0.11450956021119466</v>
      </c>
      <c r="AZ1248" s="70">
        <f t="shared" si="729"/>
        <v>48.696947133283693</v>
      </c>
      <c r="BA1248" s="70"/>
      <c r="BB1248" s="70"/>
      <c r="BC1248" s="70">
        <f t="shared" si="730"/>
        <v>95.943572357341509</v>
      </c>
      <c r="BD1248" s="70">
        <f t="shared" si="731"/>
        <v>8.6823878041552796</v>
      </c>
      <c r="BE1248" s="70">
        <f t="shared" si="732"/>
        <v>2.02763048249965E-2</v>
      </c>
      <c r="BF1248" s="70">
        <f t="shared" si="733"/>
        <v>10.301468419358804</v>
      </c>
      <c r="BG1248" s="70">
        <f t="shared" si="734"/>
        <v>0.10649919181034485</v>
      </c>
      <c r="BH1248" s="67">
        <f>MAX((CE1248-Driver!$F$200)/(Driver!$G$200-Driver!$F$200)*$BI$1,1)</f>
        <v>7.9225953329538985</v>
      </c>
      <c r="BI1248" s="67">
        <f>MAX($BI$1*(BY1248-Driver!$F$201)/(Driver!$G$201-Driver!$F$201),1)</f>
        <v>7.5949367088607591</v>
      </c>
      <c r="BJ1248" s="67">
        <f>(CB1248-Driver!$F$206)/(Driver!$G$206-Driver!$F$206)*$BI$1</f>
        <v>7.9365079365079358</v>
      </c>
      <c r="BK1248" s="67">
        <f>(CD1248-Driver!$F$203)/(Driver!$G$203-Driver!$F$203)*$BI$1</f>
        <v>5.5504587155963305</v>
      </c>
      <c r="BL1248" s="67">
        <f>MAX((CR1248-Driver!$F$202)/(Driver!$G$202-Driver!$F$202)*$BI$1,1)</f>
        <v>6.2068965517241379</v>
      </c>
      <c r="BM1248" s="67">
        <f>MAX((CH1248-Driver!$F$204)/(Driver!$G$204-Driver!$F$204)*$BI$1,1)</f>
        <v>7.7777777777777777</v>
      </c>
      <c r="BN1248" s="67">
        <f>(CI1248-Driver!$F$205)/(Driver!$G$205-Driver!$F$205)*$BI$1</f>
        <v>6.4117647058823533</v>
      </c>
      <c r="BO1248" s="67">
        <f>(CK1248-Driver!$F$207)/(Driver!$G$207-Driver!$F$207)*$BI$1</f>
        <v>2.3578076525336091</v>
      </c>
      <c r="BP1248" s="67">
        <f>(CM1248-Driver!$F$208)/(Driver!$G$208-Driver!$F$208)*$BI$1</f>
        <v>3.0555555555555558</v>
      </c>
      <c r="BQ1248" s="67">
        <f>(CL1248-Driver!$F$209)/(Driver!$G$209-Driver!$F$209)*$BI$1</f>
        <v>6.5625</v>
      </c>
      <c r="BR1248" s="28" t="s">
        <v>155</v>
      </c>
      <c r="BS1248" s="8" t="s">
        <v>332</v>
      </c>
      <c r="BT1248" s="9" t="s">
        <v>903</v>
      </c>
      <c r="BU1248" s="10">
        <v>191</v>
      </c>
      <c r="BV1248" s="9" t="s">
        <v>158</v>
      </c>
      <c r="BW1248" s="10">
        <v>191</v>
      </c>
      <c r="BX1248" s="10">
        <v>189.6</v>
      </c>
      <c r="BY1248" s="10">
        <v>128</v>
      </c>
      <c r="BZ1248" s="10">
        <v>154</v>
      </c>
      <c r="CA1248" s="10">
        <v>144</v>
      </c>
      <c r="CB1248" s="10">
        <v>114</v>
      </c>
      <c r="CC1248" s="10">
        <v>134</v>
      </c>
      <c r="CD1248" s="10">
        <v>21.5</v>
      </c>
      <c r="CE1248" s="10">
        <v>2292</v>
      </c>
      <c r="CF1248" s="10">
        <v>1.02</v>
      </c>
      <c r="CG1248" s="10">
        <v>2347</v>
      </c>
      <c r="CH1248" s="10">
        <v>283</v>
      </c>
      <c r="CI1248" s="10">
        <v>142</v>
      </c>
      <c r="CJ1248" s="10">
        <v>67</v>
      </c>
      <c r="CK1248" s="10">
        <v>338</v>
      </c>
      <c r="CL1248" s="10">
        <v>42</v>
      </c>
      <c r="CM1248" s="10">
        <v>275</v>
      </c>
      <c r="CN1248" s="10">
        <v>0.63200000000000001</v>
      </c>
      <c r="CO1248" s="10">
        <v>182</v>
      </c>
      <c r="CP1248" s="10">
        <v>175</v>
      </c>
      <c r="CQ1248" s="10">
        <v>156</v>
      </c>
      <c r="CR1248" s="10">
        <v>7</v>
      </c>
      <c r="CS1248" s="10">
        <v>9.4</v>
      </c>
      <c r="CT1248" s="9" t="s">
        <v>169</v>
      </c>
      <c r="CU1248" s="10"/>
      <c r="CV1248" s="10"/>
      <c r="CW1248" s="10"/>
      <c r="CX1248" t="str">
        <f>INDEX('Data_Price '!AG$2:AG$1266,MATCH(Data!$DN1248,'Data_Price '!$AT$2:$AT$1266,0))</f>
        <v>Nordica Enforcer 104 Free Skis 2022</v>
      </c>
      <c r="CY1248" t="str">
        <f>INDEX('Data_Price '!AH$2:AH$1266,MATCH(Data!$DN1248,'Data_Price '!$AT$2:$AT$1266,0))</f>
        <v>BlueZone Sports</v>
      </c>
      <c r="CZ1248">
        <f>INDEX('Data_Price '!AI$2:AI$1266,MATCH(Data!$DN1248,'Data_Price '!$AT$2:$AT$1266,0))</f>
        <v>599.99</v>
      </c>
      <c r="DA1248" t="str">
        <f>INDEX('Data_Price '!AJ$2:AJ$1266,MATCH(Data!$DN1248,'Data_Price '!$AT$2:$AT$1266,0))</f>
        <v>https://tinyurl.com/ycg38gwn</v>
      </c>
      <c r="DB1248" t="str">
        <f>INDEX('Data_Price '!AK$2:AK$1266,MATCH(Data!$DN1248,'Data_Price '!$AT$2:$AT$1266,0))</f>
        <v>Nordica Enforcer 104 Free Skis 2022</v>
      </c>
      <c r="DC1248" t="str">
        <f>INDEX('Data_Price '!AL$2:AL$1266,MATCH(Data!$DN1248,'Data_Price '!$AT$2:$AT$1266,0))</f>
        <v>Ski Town All-Stars</v>
      </c>
      <c r="DD1248">
        <f>INDEX('Data_Price '!AM$2:AM$1266,MATCH(Data!$DN1248,'Data_Price '!$AT$2:$AT$1266,0))</f>
        <v>639.99</v>
      </c>
      <c r="DE1248" t="str">
        <f>INDEX('Data_Price '!AN$2:AN$1266,MATCH(Data!$DN1248,'Data_Price '!$AT$2:$AT$1266,0))</f>
        <v>https://tinyurl.com/y8sudxyu</v>
      </c>
      <c r="DF1248" t="str">
        <f>INDEX('Data_Price '!AO$2:AO$1266,MATCH(Data!$DN1248,'Data_Price '!$AT$2:$AT$1266,0))</f>
        <v>Nordica Enforcer 104 Free Skis</v>
      </c>
      <c r="DG1248" t="str">
        <f>INDEX('Data_Price '!AP$2:AP$1266,MATCH(Data!$DN1248,'Data_Price '!$AT$2:$AT$1266,0))</f>
        <v>Cole Sport</v>
      </c>
      <c r="DH1248">
        <f>INDEX('Data_Price '!AQ$2:AQ$1266,MATCH(Data!$DN1248,'Data_Price '!$AT$2:$AT$1266,0))</f>
        <v>639.99</v>
      </c>
      <c r="DI1248" t="str">
        <f>INDEX('Data_Price '!AR$2:AR$1266,MATCH(Data!$DN1248,'Data_Price '!$AT$2:$AT$1266,0))</f>
        <v>https://tinyurl.com/yd4s76aa</v>
      </c>
      <c r="DJ1248" s="89" t="str">
        <f t="shared" si="735"/>
        <v>https://tinyurl.com/ycg38gwn</v>
      </c>
      <c r="DK1248" s="89" t="str">
        <f t="shared" si="736"/>
        <v>https://tinyurl.com/y8sudxyu</v>
      </c>
      <c r="DL1248" s="89" t="str">
        <f t="shared" si="737"/>
        <v>https://tinyurl.com/yd4s76aa</v>
      </c>
      <c r="DM1248" s="219" t="str">
        <f t="shared" si="738"/>
        <v>Enforcer 115 Free</v>
      </c>
      <c r="DN1248" s="89" t="str">
        <f t="shared" si="739"/>
        <v xml:space="preserve"> NordicaEnforcer 115 Free191 Unisex</v>
      </c>
      <c r="DO1248" s="221" t="s">
        <v>904</v>
      </c>
    </row>
    <row r="1249" spans="2:119" ht="15.6" customHeight="1">
      <c r="B1249" s="219" t="b">
        <f t="array" ref="B1249">IF(OR(ISERROR(K1249:P1249)),FALSE,TRUE)</f>
        <v>1</v>
      </c>
      <c r="C1249" s="43" t="b">
        <f>OR(BR1249=Driver!$G$50,Data!BR608=Driver!$H$50)</f>
        <v>1</v>
      </c>
      <c r="D1249" s="43" t="b">
        <f>OR(BV1249=Driver!$G$51,BV1249=Driver!$H$51)</f>
        <v>1</v>
      </c>
      <c r="E1249" s="43" t="b">
        <f>AND(BX1249&gt;Driver!$F$54,BX1249&lt;Driver!$G$54)</f>
        <v>0</v>
      </c>
      <c r="F1249" s="43" t="b">
        <f>CL1249&gt;Driver!$F$56</f>
        <v>1</v>
      </c>
      <c r="G1249" s="43" t="b">
        <f>AND(CB1249&gt;Driver!$F$55,CB1249&lt;Driver!$G$55)</f>
        <v>0</v>
      </c>
      <c r="H1249" s="43" t="b">
        <f t="shared" si="703"/>
        <v>0</v>
      </c>
      <c r="I1249" s="43">
        <f t="shared" si="704"/>
        <v>0</v>
      </c>
      <c r="J1249" s="43" t="b">
        <f t="array" ref="J1249">NOT(OR(($H$9:$H$1273=TRUE)*($I$9:$I$1273&gt;0)*($BT$9:$BT$1273=BT1249)*($K$9:$K$1273&gt;K1249)))</f>
        <v>1</v>
      </c>
      <c r="K1249" s="72">
        <f t="shared" si="705"/>
        <v>0.45869414421228516</v>
      </c>
      <c r="L1249" s="72">
        <f t="shared" si="706"/>
        <v>0.2737988146489081</v>
      </c>
      <c r="M1249" s="72">
        <f t="shared" si="707"/>
        <v>0.64358947377566222</v>
      </c>
      <c r="N1249" s="72">
        <f t="shared" si="708"/>
        <v>0.54942064172484273</v>
      </c>
      <c r="O1249" s="72">
        <f t="shared" si="709"/>
        <v>0.70678523306454155</v>
      </c>
      <c r="P1249" s="72">
        <f t="shared" si="710"/>
        <v>0.67456254653760239</v>
      </c>
      <c r="Q1249" s="72"/>
      <c r="R1249" s="72"/>
      <c r="S1249" s="72">
        <f t="shared" si="711"/>
        <v>0.63205663032873582</v>
      </c>
      <c r="T1249" s="72">
        <f t="shared" si="712"/>
        <v>0.49397921258355393</v>
      </c>
      <c r="U1249" s="72">
        <f t="shared" si="713"/>
        <v>0.53603000564914294</v>
      </c>
      <c r="V1249" s="72">
        <f t="shared" si="714"/>
        <v>0.56546991056345486</v>
      </c>
      <c r="W1249" s="72">
        <f t="shared" si="715"/>
        <v>0.76520495710200187</v>
      </c>
      <c r="X1249" s="72">
        <f t="shared" si="716"/>
        <v>0.7262011853510919</v>
      </c>
      <c r="Y1249" s="72">
        <f t="shared" si="717"/>
        <v>0.35641052622433778</v>
      </c>
      <c r="Z1249" s="72">
        <f t="shared" si="718"/>
        <v>0.45057935827515727</v>
      </c>
      <c r="AA1249" s="72">
        <f t="shared" si="719"/>
        <v>0.29321476693545845</v>
      </c>
      <c r="AB1249" s="72">
        <f t="shared" si="720"/>
        <v>0.32543745346239755</v>
      </c>
      <c r="AC1249" s="72"/>
      <c r="AD1249" s="72"/>
      <c r="AE1249" s="72">
        <f t="shared" si="721"/>
        <v>0.36794336967126412</v>
      </c>
      <c r="AF1249" s="72">
        <f t="shared" si="722"/>
        <v>0.50602078741644607</v>
      </c>
      <c r="AG1249" s="72">
        <f t="shared" si="723"/>
        <v>0.46396999435085701</v>
      </c>
      <c r="AH1249" s="72">
        <f t="shared" si="724"/>
        <v>0.4345300894365452</v>
      </c>
      <c r="AI1249" s="72">
        <f t="shared" si="725"/>
        <v>0.2347950428979981</v>
      </c>
      <c r="AJ1249" s="72">
        <f>(AV1249-Driver!$K$179)/(Driver!$L$179-Driver!$K$179)</f>
        <v>0.98042059463379239</v>
      </c>
      <c r="AK1249" s="72">
        <f>(AW1249-Driver!$K$180)/(Driver!$L$180-Driver!$K$180)</f>
        <v>0.58606008282967603</v>
      </c>
      <c r="AL1249" s="72">
        <f>(AX1249-Driver!$K$181)/(Driver!$L$181-Driver!$K$181)</f>
        <v>0.55226712198823746</v>
      </c>
      <c r="AM1249" s="72">
        <f>(AY1249-Driver!$K$182)/(Driver!$L$182-Driver!$K$182)</f>
        <v>0.15417025416158789</v>
      </c>
      <c r="AN1249" s="72">
        <f>(AZ1249-Driver!$K$183)/(Driver!$L$183-Driver!$K$183)</f>
        <v>0.57965686274509798</v>
      </c>
      <c r="AO1249" s="72"/>
      <c r="AP1249" s="72"/>
      <c r="AQ1249" s="72">
        <f>(BC1249-Driver!$K$188)/(Driver!$L$188-Driver!$K$188)</f>
        <v>0.25205663032873588</v>
      </c>
      <c r="AR1249" s="72">
        <f>MIN((BD1249-Driver!$K$189)/(Driver!$L$189-Driver!$K$189),100%)</f>
        <v>4.3979212583553987E-2</v>
      </c>
      <c r="AS1249" s="72">
        <f>(BE1249-Driver!$K$190)/(Driver!$L$190-Driver!$K$190)</f>
        <v>4.6030005649143016E-2</v>
      </c>
      <c r="AT1249" s="72">
        <f>(BF1249-Driver!$K$191)/(Driver!$L$191-Driver!$K$191)</f>
        <v>7.5469910563454798E-2</v>
      </c>
      <c r="AU1249" s="72">
        <f>(BG1249-Driver!$K$192)/(Driver!$L$192-Driver!$K$192)</f>
        <v>1.5204957102001909E-2</v>
      </c>
      <c r="AV1249" s="70">
        <f t="shared" si="726"/>
        <v>20.634920634920633</v>
      </c>
      <c r="AW1249" s="70">
        <f t="shared" si="727"/>
        <v>58.988640713821717</v>
      </c>
      <c r="AX1249" s="70">
        <f t="shared" si="728"/>
        <v>5.9704040978941375</v>
      </c>
      <c r="AY1249" s="70">
        <f>IFERROR(Driver!$K$19/Data!BH1249/Data!BI1249*Data!BK1249*Data!BL1249,"")</f>
        <v>0.18875039105788691</v>
      </c>
      <c r="AZ1249" s="70">
        <f t="shared" si="729"/>
        <v>52.82948622486969</v>
      </c>
      <c r="BA1249" s="70"/>
      <c r="BB1249" s="70"/>
      <c r="BC1249" s="70">
        <f t="shared" si="730"/>
        <v>130.74352642078125</v>
      </c>
      <c r="BD1249" s="70">
        <f t="shared" si="731"/>
        <v>5.6129052711887129</v>
      </c>
      <c r="BE1249" s="70">
        <f t="shared" si="732"/>
        <v>4.6200183158745557E-2</v>
      </c>
      <c r="BF1249" s="70">
        <f t="shared" si="733"/>
        <v>8.5237961920129361</v>
      </c>
      <c r="BG1249" s="70">
        <f t="shared" si="734"/>
        <v>5.7575667302192574E-2</v>
      </c>
      <c r="BH1249" s="67">
        <f>MAX((CE1249-Driver!$F$200)/(Driver!$G$200-Driver!$F$200)*$BI$1,1)</f>
        <v>5.9704040978941375</v>
      </c>
      <c r="BI1249" s="67">
        <f>MAX($BI$1*(BY1249-Driver!$F$201)/(Driver!$G$201-Driver!$F$201),1)</f>
        <v>6.962025316455696</v>
      </c>
      <c r="BJ1249" s="67">
        <f>(CB1249-Driver!$F$206)/(Driver!$G$206-Driver!$F$206)*$BI$1</f>
        <v>8.2539682539682531</v>
      </c>
      <c r="BK1249" s="67">
        <f>(CD1249-Driver!$F$203)/(Driver!$G$203-Driver!$F$203)*$BI$1</f>
        <v>7.1100917431192654</v>
      </c>
      <c r="BL1249" s="67">
        <f>MAX((CR1249-Driver!$F$202)/(Driver!$G$202-Driver!$F$202)*$BI$1,1)</f>
        <v>5.5172413793103452</v>
      </c>
      <c r="BM1249" s="67">
        <f>MAX((CH1249-Driver!$F$204)/(Driver!$G$204-Driver!$F$204)*$BI$1,1)</f>
        <v>10</v>
      </c>
      <c r="BN1249" s="67">
        <f>(CI1249-Driver!$F$205)/(Driver!$G$205-Driver!$F$205)*$BI$1</f>
        <v>7.5882352941176467</v>
      </c>
      <c r="BO1249" s="67">
        <f>(CK1249-Driver!$F$207)/(Driver!$G$207-Driver!$F$207)*$BI$1</f>
        <v>1.8407445708376422</v>
      </c>
      <c r="BP1249" s="67">
        <f>(CM1249-Driver!$F$208)/(Driver!$G$208-Driver!$F$208)*$BI$1</f>
        <v>3.9888888888888889</v>
      </c>
      <c r="BQ1249" s="67">
        <f>(CL1249-Driver!$F$209)/(Driver!$G$209-Driver!$F$209)*$BI$1</f>
        <v>3.4375</v>
      </c>
      <c r="BR1249" s="28" t="s">
        <v>155</v>
      </c>
      <c r="BS1249" s="8" t="s">
        <v>167</v>
      </c>
      <c r="BT1249" s="9" t="s">
        <v>835</v>
      </c>
      <c r="BU1249" s="10">
        <v>184</v>
      </c>
      <c r="BV1249" s="9" t="s">
        <v>158</v>
      </c>
      <c r="BW1249" s="10">
        <v>184</v>
      </c>
      <c r="BX1249" s="10">
        <v>182.9</v>
      </c>
      <c r="BY1249" s="10">
        <v>118</v>
      </c>
      <c r="BZ1249" s="10">
        <v>145</v>
      </c>
      <c r="CA1249" s="10">
        <v>144</v>
      </c>
      <c r="CB1249" s="10">
        <v>116</v>
      </c>
      <c r="CC1249" s="10">
        <v>128</v>
      </c>
      <c r="CD1249" s="10">
        <v>24.9</v>
      </c>
      <c r="CE1249" s="10">
        <v>1949</v>
      </c>
      <c r="CF1249" s="10">
        <v>1.17</v>
      </c>
      <c r="CG1249" s="10">
        <v>2275</v>
      </c>
      <c r="CH1249" s="10">
        <v>335</v>
      </c>
      <c r="CI1249" s="10">
        <v>162</v>
      </c>
      <c r="CJ1249" s="10">
        <v>63</v>
      </c>
      <c r="CK1249" s="10">
        <v>288</v>
      </c>
      <c r="CL1249" s="10">
        <v>22</v>
      </c>
      <c r="CM1249" s="10">
        <v>359</v>
      </c>
      <c r="CN1249" s="10">
        <v>0.35499999999999998</v>
      </c>
      <c r="CO1249" s="10">
        <v>231</v>
      </c>
      <c r="CP1249" s="10">
        <v>145</v>
      </c>
      <c r="CQ1249" s="10">
        <v>57</v>
      </c>
      <c r="CR1249" s="10">
        <v>5</v>
      </c>
      <c r="CS1249" s="10">
        <v>7.5</v>
      </c>
      <c r="CT1249" s="9" t="s">
        <v>169</v>
      </c>
      <c r="CU1249" s="9" t="s">
        <v>178</v>
      </c>
      <c r="CV1249" s="9" t="s">
        <v>185</v>
      </c>
      <c r="CW1249" s="10"/>
      <c r="CX1249" t="str">
        <f>INDEX('Data_Price '!AG$2:AG$1266,MATCH(Data!$DN1249,'Data_Price '!$AT$2:$AT$1266,0))</f>
        <v>Head Kore 117 Skis Â· 2022 Â· 184 cm</v>
      </c>
      <c r="CY1249" t="str">
        <f>INDEX('Data_Price '!AH$2:AH$1266,MATCH(Data!$DN1249,'Data_Price '!$AT$2:$AT$1266,0))</f>
        <v>Snowcountry.eu</v>
      </c>
      <c r="CZ1249">
        <f>INDEX('Data_Price '!AI$2:AI$1266,MATCH(Data!$DN1249,'Data_Price '!$AT$2:$AT$1266,0))</f>
        <v>450.74</v>
      </c>
      <c r="DA1249" t="str">
        <f>INDEX('Data_Price '!AJ$2:AJ$1266,MATCH(Data!$DN1249,'Data_Price '!$AT$2:$AT$1266,0))</f>
        <v>https://tinyurl.com/ycn978or</v>
      </c>
      <c r="DB1249" t="str">
        <f>INDEX('Data_Price '!AK$2:AK$1266,MATCH(Data!$DN1249,'Data_Price '!$AT$2:$AT$1266,0))</f>
        <v>Head Kore 117 Skis</v>
      </c>
      <c r="DC1249" t="str">
        <f>INDEX('Data_Price '!AL$2:AL$1266,MATCH(Data!$DN1249,'Data_Price '!$AT$2:$AT$1266,0))</f>
        <v>eBay</v>
      </c>
      <c r="DD1249">
        <f>INDEX('Data_Price '!AM$2:AM$1266,MATCH(Data!$DN1249,'Data_Price '!$AT$2:$AT$1266,0))</f>
        <v>499</v>
      </c>
      <c r="DE1249" t="str">
        <f>INDEX('Data_Price '!AN$2:AN$1266,MATCH(Data!$DN1249,'Data_Price '!$AT$2:$AT$1266,0))</f>
        <v>https://tinyurl.com/yc7dppvt</v>
      </c>
      <c r="DF1249" t="str">
        <f>INDEX('Data_Price '!AO$2:AO$1266,MATCH(Data!$DN1249,'Data_Price '!$AT$2:$AT$1266,0))</f>
        <v>Head Kore 117 Anthracite/Black / 184cm</v>
      </c>
      <c r="DG1249" t="str">
        <f>INDEX('Data_Price '!AP$2:AP$1266,MATCH(Data!$DN1249,'Data_Price '!$AT$2:$AT$1266,0))</f>
        <v>Sundance Ski and Board Shop</v>
      </c>
      <c r="DH1249">
        <f>INDEX('Data_Price '!AQ$2:AQ$1266,MATCH(Data!$DN1249,'Data_Price '!$AT$2:$AT$1266,0))</f>
        <v>544.98</v>
      </c>
      <c r="DI1249" t="str">
        <f>INDEX('Data_Price '!AR$2:AR$1266,MATCH(Data!$DN1249,'Data_Price '!$AT$2:$AT$1266,0))</f>
        <v>https://tinyurl.com/y8fvep98</v>
      </c>
      <c r="DJ1249" s="89" t="str">
        <f t="shared" si="735"/>
        <v>https://tinyurl.com/ycn978or</v>
      </c>
      <c r="DK1249" s="89" t="str">
        <f t="shared" si="736"/>
        <v>https://tinyurl.com/yc7dppvt</v>
      </c>
      <c r="DL1249" s="89" t="str">
        <f t="shared" si="737"/>
        <v>https://tinyurl.com/y8fvep98</v>
      </c>
      <c r="DM1249" s="219" t="str">
        <f t="shared" si="738"/>
        <v>Kore 117</v>
      </c>
      <c r="DN1249" s="89" t="str">
        <f t="shared" si="739"/>
        <v xml:space="preserve"> HeadKore 117184 Unisex</v>
      </c>
      <c r="DO1249" s="221" t="s">
        <v>836</v>
      </c>
    </row>
    <row r="1250" spans="2:119" ht="15.6" customHeight="1">
      <c r="B1250" s="219" t="b">
        <f t="array" ref="B1250">IF(OR(ISERROR(K1250:P1250)),FALSE,TRUE)</f>
        <v>1</v>
      </c>
      <c r="C1250" s="43" t="b">
        <f>OR(BR1250=Driver!$G$50,Data!BR1206=Driver!$H$50)</f>
        <v>1</v>
      </c>
      <c r="D1250" s="43" t="b">
        <f>OR(BV1250=Driver!$G$51,BV1250=Driver!$H$51)</f>
        <v>1</v>
      </c>
      <c r="E1250" s="43" t="b">
        <f>AND(BX1250&gt;Driver!$F$54,BX1250&lt;Driver!$G$54)</f>
        <v>0</v>
      </c>
      <c r="F1250" s="43" t="b">
        <f>CL1250&gt;Driver!$F$56</f>
        <v>1</v>
      </c>
      <c r="G1250" s="43" t="b">
        <f>AND(CB1250&gt;Driver!$F$55,CB1250&lt;Driver!$G$55)</f>
        <v>1</v>
      </c>
      <c r="H1250" s="43" t="b">
        <f t="shared" si="703"/>
        <v>0</v>
      </c>
      <c r="I1250" s="43">
        <f t="shared" si="704"/>
        <v>0</v>
      </c>
      <c r="J1250" s="43" t="b">
        <f t="array" ref="J1250">NOT(OR(($H$9:$H$1273=TRUE)*($I$9:$I$1273&gt;0)*($BT$9:$BT$1273=BT1250)*($K$9:$K$1273&gt;K1250)))</f>
        <v>1</v>
      </c>
      <c r="K1250" s="72">
        <f t="shared" si="705"/>
        <v>0.59410946703820522</v>
      </c>
      <c r="L1250" s="72">
        <f t="shared" si="706"/>
        <v>0.67279970095943886</v>
      </c>
      <c r="M1250" s="72">
        <f t="shared" si="707"/>
        <v>0.51541923311697158</v>
      </c>
      <c r="N1250" s="72">
        <f t="shared" si="708"/>
        <v>0.26105031351387709</v>
      </c>
      <c r="O1250" s="72">
        <f t="shared" si="709"/>
        <v>0.6257592183844024</v>
      </c>
      <c r="P1250" s="72">
        <f t="shared" si="710"/>
        <v>0.65944816745263513</v>
      </c>
      <c r="Q1250" s="72"/>
      <c r="R1250" s="72"/>
      <c r="S1250" s="72">
        <f t="shared" si="711"/>
        <v>0.62125281077264272</v>
      </c>
      <c r="T1250" s="72">
        <f t="shared" si="712"/>
        <v>0.49643233194106462</v>
      </c>
      <c r="U1250" s="72">
        <f t="shared" si="713"/>
        <v>0.50530472337132604</v>
      </c>
      <c r="V1250" s="72">
        <f t="shared" si="714"/>
        <v>0.62417028212627979</v>
      </c>
      <c r="W1250" s="72">
        <f t="shared" si="715"/>
        <v>0.76649623207195527</v>
      </c>
      <c r="X1250" s="72">
        <f t="shared" si="716"/>
        <v>0.32720029904056108</v>
      </c>
      <c r="Y1250" s="72">
        <f t="shared" si="717"/>
        <v>0.48458076688302842</v>
      </c>
      <c r="Z1250" s="72">
        <f t="shared" si="718"/>
        <v>0.73894968648612291</v>
      </c>
      <c r="AA1250" s="72">
        <f t="shared" si="719"/>
        <v>0.3742407816155976</v>
      </c>
      <c r="AB1250" s="72">
        <f t="shared" si="720"/>
        <v>0.34055183254736493</v>
      </c>
      <c r="AC1250" s="72"/>
      <c r="AD1250" s="72"/>
      <c r="AE1250" s="72">
        <f t="shared" si="721"/>
        <v>0.37874718922735728</v>
      </c>
      <c r="AF1250" s="72">
        <f t="shared" si="722"/>
        <v>0.50356766805893538</v>
      </c>
      <c r="AG1250" s="72">
        <f t="shared" si="723"/>
        <v>0.49469527662867396</v>
      </c>
      <c r="AH1250" s="72">
        <f t="shared" si="724"/>
        <v>0.37582971787372021</v>
      </c>
      <c r="AI1250" s="72">
        <f t="shared" si="725"/>
        <v>0.23350376792804473</v>
      </c>
      <c r="AJ1250" s="72">
        <f>(AV1250-Driver!$K$179)/(Driver!$L$179-Driver!$K$179)</f>
        <v>0.58141970832326151</v>
      </c>
      <c r="AK1250" s="72">
        <f>(AW1250-Driver!$K$180)/(Driver!$L$180-Driver!$K$180)</f>
        <v>0.62580655565730559</v>
      </c>
      <c r="AL1250" s="72">
        <f>(AX1250-Driver!$K$181)/(Driver!$L$181-Driver!$K$181)</f>
        <v>0.84063745019920311</v>
      </c>
      <c r="AM1250" s="72">
        <f>(AY1250-Driver!$K$182)/(Driver!$L$182-Driver!$K$182)</f>
        <v>7.3144239481448783E-2</v>
      </c>
      <c r="AN1250" s="72">
        <f>(AZ1250-Driver!$K$183)/(Driver!$L$183-Driver!$K$183)</f>
        <v>0.59477124183006536</v>
      </c>
      <c r="AO1250" s="72"/>
      <c r="AP1250" s="72"/>
      <c r="AQ1250" s="72">
        <f>(BC1250-Driver!$K$188)/(Driver!$L$188-Driver!$K$188)</f>
        <v>0.24125281077264271</v>
      </c>
      <c r="AR1250" s="72">
        <f>MIN((BD1250-Driver!$K$189)/(Driver!$L$189-Driver!$K$189),100%)</f>
        <v>4.6432331941064678E-2</v>
      </c>
      <c r="AS1250" s="72">
        <f>(BE1250-Driver!$K$190)/(Driver!$L$190-Driver!$K$190)</f>
        <v>1.5304723371326023E-2</v>
      </c>
      <c r="AT1250" s="72">
        <f>(BF1250-Driver!$K$191)/(Driver!$L$191-Driver!$K$191)</f>
        <v>0.13417028212627982</v>
      </c>
      <c r="AU1250" s="72">
        <f>(BG1250-Driver!$K$192)/(Driver!$L$192-Driver!$K$192)</f>
        <v>1.6496232071955271E-2</v>
      </c>
      <c r="AV1250" s="70">
        <f t="shared" si="726"/>
        <v>12.237145570478903</v>
      </c>
      <c r="AW1250" s="70">
        <f t="shared" si="727"/>
        <v>62.862286680451163</v>
      </c>
      <c r="AX1250" s="70">
        <f t="shared" si="728"/>
        <v>8.5657370517928282</v>
      </c>
      <c r="AY1250" s="70">
        <f>IFERROR(Driver!$K$19/Data!BH1250/Data!BI1250*Data!BK1250*Data!BL1250,"")</f>
        <v>8.9550373259973573E-2</v>
      </c>
      <c r="AZ1250" s="70">
        <f t="shared" si="729"/>
        <v>54.206999255398358</v>
      </c>
      <c r="BA1250" s="70"/>
      <c r="BB1250" s="70"/>
      <c r="BC1250" s="70">
        <f t="shared" si="730"/>
        <v>125.13951011010069</v>
      </c>
      <c r="BD1250" s="70">
        <f t="shared" si="731"/>
        <v>5.8300019876581137</v>
      </c>
      <c r="BE1250" s="70">
        <f t="shared" si="732"/>
        <v>1.5480381925459143E-2</v>
      </c>
      <c r="BF1250" s="70">
        <f t="shared" si="733"/>
        <v>15.15359076658395</v>
      </c>
      <c r="BG1250" s="70">
        <f t="shared" si="734"/>
        <v>6.2465258082813391E-2</v>
      </c>
      <c r="BH1250" s="67">
        <f>MAX((CE1250-Driver!$F$200)/(Driver!$G$200-Driver!$F$200)*$BI$1,1)</f>
        <v>8.5657370517928282</v>
      </c>
      <c r="BI1250" s="67">
        <f>MAX($BI$1*(BY1250-Driver!$F$201)/(Driver!$G$201-Driver!$F$201),1)</f>
        <v>6.5822784810126587</v>
      </c>
      <c r="BJ1250" s="67">
        <f>(CB1250-Driver!$F$206)/(Driver!$G$206-Driver!$F$206)*$BI$1</f>
        <v>6.9841269841269842</v>
      </c>
      <c r="BK1250" s="67">
        <f>(CD1250-Driver!$F$203)/(Driver!$G$203-Driver!$F$203)*$BI$1</f>
        <v>6.1009174311926611</v>
      </c>
      <c r="BL1250" s="67">
        <f>MAX((CR1250-Driver!$F$202)/(Driver!$G$202-Driver!$F$202)*$BI$1,1)</f>
        <v>4.1379310344827589</v>
      </c>
      <c r="BM1250" s="67">
        <f>MAX((CH1250-Driver!$F$204)/(Driver!$G$204-Driver!$F$204)*$BI$1,1)</f>
        <v>7.0085470085470085</v>
      </c>
      <c r="BN1250" s="67">
        <f>(CI1250-Driver!$F$205)/(Driver!$G$205-Driver!$F$205)*$BI$1</f>
        <v>8.235294117647058</v>
      </c>
      <c r="BO1250" s="67">
        <f>(CK1250-Driver!$F$207)/(Driver!$G$207-Driver!$F$207)*$BI$1</f>
        <v>3.5884177869700102</v>
      </c>
      <c r="BP1250" s="67">
        <f>(CM1250-Driver!$F$208)/(Driver!$G$208-Driver!$F$208)*$BI$1</f>
        <v>3.6888888888888887</v>
      </c>
      <c r="BQ1250" s="67">
        <f>(CL1250-Driver!$F$209)/(Driver!$G$209-Driver!$F$209)*$BI$1</f>
        <v>3.75</v>
      </c>
      <c r="BR1250" s="28" t="s">
        <v>155</v>
      </c>
      <c r="BS1250" s="8" t="s">
        <v>229</v>
      </c>
      <c r="BT1250" s="9" t="s">
        <v>861</v>
      </c>
      <c r="BU1250" s="10">
        <v>191</v>
      </c>
      <c r="BV1250" s="9" t="s">
        <v>158</v>
      </c>
      <c r="BW1250" s="10">
        <v>191</v>
      </c>
      <c r="BX1250" s="10">
        <v>191.2</v>
      </c>
      <c r="BY1250" s="10">
        <v>112</v>
      </c>
      <c r="BZ1250" s="10">
        <v>167</v>
      </c>
      <c r="CA1250" s="10">
        <v>145</v>
      </c>
      <c r="CB1250" s="10">
        <v>108</v>
      </c>
      <c r="CC1250" s="10">
        <v>129</v>
      </c>
      <c r="CD1250" s="10">
        <v>22.7</v>
      </c>
      <c r="CE1250" s="10">
        <v>2405</v>
      </c>
      <c r="CF1250" s="10">
        <v>0.94</v>
      </c>
      <c r="CG1250" s="10">
        <v>2270</v>
      </c>
      <c r="CH1250" s="10">
        <v>265</v>
      </c>
      <c r="CI1250" s="10">
        <v>173</v>
      </c>
      <c r="CJ1250" s="10">
        <v>53</v>
      </c>
      <c r="CK1250" s="10">
        <v>457</v>
      </c>
      <c r="CL1250" s="10">
        <v>24</v>
      </c>
      <c r="CM1250" s="10">
        <v>332</v>
      </c>
      <c r="CN1250" s="10">
        <v>0.46</v>
      </c>
      <c r="CO1250" s="10">
        <v>130</v>
      </c>
      <c r="CP1250" s="10">
        <v>110</v>
      </c>
      <c r="CQ1250" s="10">
        <v>327</v>
      </c>
      <c r="CR1250" s="10">
        <v>1</v>
      </c>
      <c r="CS1250" s="10">
        <v>11.9</v>
      </c>
      <c r="CT1250" s="9" t="s">
        <v>169</v>
      </c>
      <c r="CU1250" s="10"/>
      <c r="CV1250" s="10"/>
      <c r="CW1250" s="10"/>
      <c r="CX1250" t="e">
        <f>INDEX('Data_Price '!AG$2:AG$1266,MATCH(Data!$DN1250,'Data_Price '!$AT$2:$AT$1266,0))</f>
        <v>#N/A</v>
      </c>
      <c r="CY1250" t="e">
        <f>INDEX('Data_Price '!AH$2:AH$1266,MATCH(Data!$DN1250,'Data_Price '!$AT$2:$AT$1266,0))</f>
        <v>#N/A</v>
      </c>
      <c r="CZ1250" t="e">
        <f>INDEX('Data_Price '!AI$2:AI$1266,MATCH(Data!$DN1250,'Data_Price '!$AT$2:$AT$1266,0))</f>
        <v>#N/A</v>
      </c>
      <c r="DA1250" t="e">
        <f>INDEX('Data_Price '!AJ$2:AJ$1266,MATCH(Data!$DN1250,'Data_Price '!$AT$2:$AT$1266,0))</f>
        <v>#N/A</v>
      </c>
      <c r="DB1250" t="e">
        <f>INDEX('Data_Price '!AK$2:AK$1266,MATCH(Data!$DN1250,'Data_Price '!$AT$2:$AT$1266,0))</f>
        <v>#N/A</v>
      </c>
      <c r="DC1250" t="e">
        <f>INDEX('Data_Price '!AL$2:AL$1266,MATCH(Data!$DN1250,'Data_Price '!$AT$2:$AT$1266,0))</f>
        <v>#N/A</v>
      </c>
      <c r="DD1250" t="e">
        <f>INDEX('Data_Price '!AM$2:AM$1266,MATCH(Data!$DN1250,'Data_Price '!$AT$2:$AT$1266,0))</f>
        <v>#N/A</v>
      </c>
      <c r="DE1250" t="e">
        <f>INDEX('Data_Price '!AN$2:AN$1266,MATCH(Data!$DN1250,'Data_Price '!$AT$2:$AT$1266,0))</f>
        <v>#N/A</v>
      </c>
      <c r="DF1250" t="e">
        <f>INDEX('Data_Price '!AO$2:AO$1266,MATCH(Data!$DN1250,'Data_Price '!$AT$2:$AT$1266,0))</f>
        <v>#N/A</v>
      </c>
      <c r="DG1250" t="e">
        <f>INDEX('Data_Price '!AP$2:AP$1266,MATCH(Data!$DN1250,'Data_Price '!$AT$2:$AT$1266,0))</f>
        <v>#N/A</v>
      </c>
      <c r="DH1250" t="e">
        <f>INDEX('Data_Price '!AQ$2:AQ$1266,MATCH(Data!$DN1250,'Data_Price '!$AT$2:$AT$1266,0))</f>
        <v>#N/A</v>
      </c>
      <c r="DI1250" t="e">
        <f>INDEX('Data_Price '!AR$2:AR$1266,MATCH(Data!$DN1250,'Data_Price '!$AT$2:$AT$1266,0))</f>
        <v>#N/A</v>
      </c>
      <c r="DJ1250" s="89" t="e">
        <f t="shared" si="735"/>
        <v>#N/A</v>
      </c>
      <c r="DK1250" s="89" t="e">
        <f t="shared" si="736"/>
        <v>#N/A</v>
      </c>
      <c r="DL1250" s="89" t="e">
        <f t="shared" si="737"/>
        <v>#N/A</v>
      </c>
      <c r="DM1250" s="219" t="str">
        <f t="shared" si="738"/>
        <v>Katana 108</v>
      </c>
      <c r="DN1250" s="89" t="str">
        <f t="shared" si="739"/>
        <v xml:space="preserve"> VölklKatana 108191 Unisex</v>
      </c>
      <c r="DO1250" s="221" t="s">
        <v>862</v>
      </c>
    </row>
    <row r="1251" spans="2:119" ht="15.6" customHeight="1">
      <c r="B1251" s="219" t="b">
        <f t="array" ref="B1251">IF(OR(ISERROR(K1251:P1251)),FALSE,TRUE)</f>
        <v>1</v>
      </c>
      <c r="C1251" s="43" t="b">
        <f>OR(BR1251=Driver!$G$50,Data!BR894=Driver!$H$50)</f>
        <v>1</v>
      </c>
      <c r="D1251" s="43" t="b">
        <f>OR(BV1251=Driver!$G$51,BV1251=Driver!$H$51)</f>
        <v>1</v>
      </c>
      <c r="E1251" s="43" t="b">
        <f>AND(BX1251&gt;Driver!$F$54,BX1251&lt;Driver!$G$54)</f>
        <v>0</v>
      </c>
      <c r="F1251" s="43" t="b">
        <f>CL1251&gt;Driver!$F$56</f>
        <v>1</v>
      </c>
      <c r="G1251" s="43" t="b">
        <f>AND(CB1251&gt;Driver!$F$55,CB1251&lt;Driver!$G$55)</f>
        <v>0</v>
      </c>
      <c r="H1251" s="43" t="b">
        <f t="shared" si="703"/>
        <v>0</v>
      </c>
      <c r="I1251" s="43">
        <f t="shared" si="704"/>
        <v>0</v>
      </c>
      <c r="J1251" s="43" t="b">
        <f t="array" ref="J1251">NOT(OR(($H$9:$H$1273=TRUE)*($I$9:$I$1273&gt;0)*($BT$9:$BT$1273=BT1251)*($K$9:$K$1273&gt;K1251)))</f>
        <v>1</v>
      </c>
      <c r="K1251" s="72">
        <f t="shared" si="705"/>
        <v>0.64300897122434231</v>
      </c>
      <c r="L1251" s="72">
        <f t="shared" si="706"/>
        <v>0.79736661740452797</v>
      </c>
      <c r="M1251" s="72">
        <f t="shared" si="707"/>
        <v>0.48865132504415676</v>
      </c>
      <c r="N1251" s="72">
        <f t="shared" si="708"/>
        <v>0.29772899561088584</v>
      </c>
      <c r="O1251" s="72">
        <f t="shared" si="709"/>
        <v>0.61465916501012563</v>
      </c>
      <c r="P1251" s="72">
        <f t="shared" si="710"/>
        <v>0.55356581451145859</v>
      </c>
      <c r="Q1251" s="72"/>
      <c r="R1251" s="72"/>
      <c r="S1251" s="72">
        <f t="shared" si="711"/>
        <v>0.59323400141125049</v>
      </c>
      <c r="T1251" s="72">
        <f t="shared" si="712"/>
        <v>0.60686443388114353</v>
      </c>
      <c r="U1251" s="72">
        <f t="shared" si="713"/>
        <v>0.59745793400096758</v>
      </c>
      <c r="V1251" s="72">
        <f t="shared" si="714"/>
        <v>0.54034557566622987</v>
      </c>
      <c r="W1251" s="72">
        <f t="shared" si="715"/>
        <v>0.76013207402288263</v>
      </c>
      <c r="X1251" s="72">
        <f t="shared" si="716"/>
        <v>0.20263338259547209</v>
      </c>
      <c r="Y1251" s="72">
        <f t="shared" si="717"/>
        <v>0.51134867495584324</v>
      </c>
      <c r="Z1251" s="72">
        <f t="shared" si="718"/>
        <v>0.70227100438911416</v>
      </c>
      <c r="AA1251" s="72">
        <f t="shared" si="719"/>
        <v>0.38534083498987437</v>
      </c>
      <c r="AB1251" s="72">
        <f t="shared" si="720"/>
        <v>0.44643418548854147</v>
      </c>
      <c r="AC1251" s="72"/>
      <c r="AD1251" s="72"/>
      <c r="AE1251" s="72">
        <f t="shared" si="721"/>
        <v>0.40676599858874957</v>
      </c>
      <c r="AF1251" s="72">
        <f t="shared" si="722"/>
        <v>0.39313556611885653</v>
      </c>
      <c r="AG1251" s="72">
        <f t="shared" si="723"/>
        <v>0.40254206599903236</v>
      </c>
      <c r="AH1251" s="72">
        <f t="shared" si="724"/>
        <v>0.45965442433377018</v>
      </c>
      <c r="AI1251" s="72">
        <f t="shared" si="725"/>
        <v>0.2398679259771174</v>
      </c>
      <c r="AJ1251" s="72">
        <f>(AV1251-Driver!$K$179)/(Driver!$L$179-Driver!$K$179)</f>
        <v>0.45685279187817252</v>
      </c>
      <c r="AK1251" s="72">
        <f>(AW1251-Driver!$K$180)/(Driver!$L$180-Driver!$K$180)</f>
        <v>0.72129648061504992</v>
      </c>
      <c r="AL1251" s="72">
        <f>(AX1251-Driver!$K$181)/(Driver!$L$181-Driver!$K$181)</f>
        <v>0.80395876810219435</v>
      </c>
      <c r="AM1251" s="72">
        <f>(AY1251-Driver!$K$182)/(Driver!$L$182-Driver!$K$182)</f>
        <v>6.2044186107172009E-2</v>
      </c>
      <c r="AN1251" s="72">
        <f>(AZ1251-Driver!$K$183)/(Driver!$L$183-Driver!$K$183)</f>
        <v>0.70065359477124189</v>
      </c>
      <c r="AO1251" s="72"/>
      <c r="AP1251" s="72"/>
      <c r="AQ1251" s="72">
        <f>(BC1251-Driver!$K$188)/(Driver!$L$188-Driver!$K$188)</f>
        <v>0.21323400141125043</v>
      </c>
      <c r="AR1251" s="72">
        <f>MIN((BD1251-Driver!$K$189)/(Driver!$L$189-Driver!$K$189),100%)</f>
        <v>0.15686443388114352</v>
      </c>
      <c r="AS1251" s="72">
        <f>(BE1251-Driver!$K$190)/(Driver!$L$190-Driver!$K$190)</f>
        <v>0.10745793400096763</v>
      </c>
      <c r="AT1251" s="72">
        <f>(BF1251-Driver!$K$191)/(Driver!$L$191-Driver!$K$191)</f>
        <v>5.0345575666229846E-2</v>
      </c>
      <c r="AU1251" s="72">
        <f>(BG1251-Driver!$K$192)/(Driver!$L$192-Driver!$K$192)</f>
        <v>1.0132074022882591E-2</v>
      </c>
      <c r="AV1251" s="70">
        <f t="shared" si="726"/>
        <v>9.615384615384615</v>
      </c>
      <c r="AW1251" s="70">
        <f t="shared" si="727"/>
        <v>72.168625994393608</v>
      </c>
      <c r="AX1251" s="70">
        <f t="shared" si="728"/>
        <v>8.2356289129197489</v>
      </c>
      <c r="AY1251" s="70">
        <f>IFERROR(Driver!$K$19/Data!BH1251/Data!BI1251*Data!BK1251*Data!BL1251,"")</f>
        <v>7.596059599358719E-2</v>
      </c>
      <c r="AZ1251" s="70">
        <f t="shared" si="729"/>
        <v>63.857036485480272</v>
      </c>
      <c r="BA1251" s="70"/>
      <c r="BB1251" s="70"/>
      <c r="BC1251" s="70">
        <f t="shared" si="730"/>
        <v>110.60595891074392</v>
      </c>
      <c r="BD1251" s="70">
        <f t="shared" si="731"/>
        <v>15.603047335249098</v>
      </c>
      <c r="BE1251" s="70">
        <f t="shared" si="732"/>
        <v>0.107617153459553</v>
      </c>
      <c r="BF1251" s="70">
        <f t="shared" si="733"/>
        <v>5.6861790738137117</v>
      </c>
      <c r="BG1251" s="70">
        <f t="shared" si="734"/>
        <v>3.8366495815096366E-2</v>
      </c>
      <c r="BH1251" s="67">
        <f>MAX((CE1251-Driver!$F$200)/(Driver!$G$200-Driver!$F$200)*$BI$1,1)</f>
        <v>8.2356289129197489</v>
      </c>
      <c r="BI1251" s="67">
        <f>MAX($BI$1*(BY1251-Driver!$F$201)/(Driver!$G$201-Driver!$F$201),1)</f>
        <v>8.1012658227848107</v>
      </c>
      <c r="BJ1251" s="67">
        <f>(CB1251-Driver!$F$206)/(Driver!$G$206-Driver!$F$206)*$BI$1</f>
        <v>5.5555555555555554</v>
      </c>
      <c r="BK1251" s="67">
        <f>(CD1251-Driver!$F$203)/(Driver!$G$203-Driver!$F$203)*$BI$1</f>
        <v>4.0825688073394497</v>
      </c>
      <c r="BL1251" s="67">
        <f>MAX((CR1251-Driver!$F$202)/(Driver!$G$202-Driver!$F$202)*$BI$1,1)</f>
        <v>6.2068965517241379</v>
      </c>
      <c r="BM1251" s="67">
        <f>MAX((CH1251-Driver!$F$204)/(Driver!$G$204-Driver!$F$204)*$BI$1,1)</f>
        <v>6.9230769230769234</v>
      </c>
      <c r="BN1251" s="67">
        <f>(CI1251-Driver!$F$205)/(Driver!$G$205-Driver!$F$205)*$BI$1</f>
        <v>7.8823529411764701</v>
      </c>
      <c r="BO1251" s="67">
        <f>(CK1251-Driver!$F$207)/(Driver!$G$207-Driver!$F$207)*$BI$1</f>
        <v>1.7993795243019648</v>
      </c>
      <c r="BP1251" s="67">
        <f>(CM1251-Driver!$F$208)/(Driver!$G$208-Driver!$F$208)*$BI$1</f>
        <v>2.322222222222222</v>
      </c>
      <c r="BQ1251" s="67">
        <f>(CL1251-Driver!$F$209)/(Driver!$G$209-Driver!$F$209)*$BI$1</f>
        <v>2.1875</v>
      </c>
      <c r="BR1251" s="28" t="s">
        <v>155</v>
      </c>
      <c r="BS1251" s="8" t="s">
        <v>332</v>
      </c>
      <c r="BT1251" s="9" t="s">
        <v>730</v>
      </c>
      <c r="BU1251" s="10">
        <v>186</v>
      </c>
      <c r="BV1251" s="9" t="s">
        <v>158</v>
      </c>
      <c r="BW1251" s="10">
        <v>186</v>
      </c>
      <c r="BX1251" s="10">
        <v>185.3</v>
      </c>
      <c r="BY1251" s="10">
        <v>136</v>
      </c>
      <c r="BZ1251" s="10">
        <v>154</v>
      </c>
      <c r="CA1251" s="10">
        <v>134</v>
      </c>
      <c r="CB1251" s="10">
        <v>99</v>
      </c>
      <c r="CC1251" s="10">
        <v>120</v>
      </c>
      <c r="CD1251" s="10">
        <v>18.3</v>
      </c>
      <c r="CE1251" s="10">
        <v>2347</v>
      </c>
      <c r="CF1251" s="10">
        <v>0.87</v>
      </c>
      <c r="CG1251" s="10">
        <v>2048</v>
      </c>
      <c r="CH1251" s="10">
        <v>263</v>
      </c>
      <c r="CI1251" s="10">
        <v>167</v>
      </c>
      <c r="CJ1251" s="10">
        <v>49</v>
      </c>
      <c r="CK1251" s="10">
        <v>284</v>
      </c>
      <c r="CL1251" s="10">
        <v>14</v>
      </c>
      <c r="CM1251" s="10">
        <v>209</v>
      </c>
      <c r="CN1251" s="10">
        <v>0.29099999999999998</v>
      </c>
      <c r="CO1251" s="10">
        <v>143</v>
      </c>
      <c r="CP1251" s="10">
        <v>169</v>
      </c>
      <c r="CQ1251" s="10">
        <v>141</v>
      </c>
      <c r="CR1251" s="10">
        <v>7</v>
      </c>
      <c r="CS1251" s="10">
        <v>8.8000000000000007</v>
      </c>
      <c r="CT1251" s="9" t="s">
        <v>188</v>
      </c>
      <c r="CU1251" s="10"/>
      <c r="CV1251" s="10"/>
      <c r="CW1251" s="10"/>
      <c r="CX1251" t="str">
        <f>INDEX('Data_Price '!AG$2:AG$1266,MATCH(Data!$DN1251,'Data_Price '!$AT$2:$AT$1266,0))</f>
        <v>Nordica Enforcer 100 Skis 2022</v>
      </c>
      <c r="CY1251" t="str">
        <f>INDEX('Data_Price '!AH$2:AH$1266,MATCH(Data!$DN1251,'Data_Price '!$AT$2:$AT$1266,0))</f>
        <v>BlueZone Sports</v>
      </c>
      <c r="CZ1251">
        <f>INDEX('Data_Price '!AI$2:AI$1266,MATCH(Data!$DN1251,'Data_Price '!$AT$2:$AT$1266,0))</f>
        <v>599.99</v>
      </c>
      <c r="DA1251" t="str">
        <f>INDEX('Data_Price '!AJ$2:AJ$1266,MATCH(Data!$DN1251,'Data_Price '!$AT$2:$AT$1266,0))</f>
        <v>https://tinyurl.com/y72udlv6</v>
      </c>
      <c r="DB1251" t="str">
        <f>INDEX('Data_Price '!AK$2:AK$1266,MATCH(Data!$DN1251,'Data_Price '!$AT$2:$AT$1266,0))</f>
        <v>Nordica Enforcer 100 Skis 2022</v>
      </c>
      <c r="DC1251" t="str">
        <f>INDEX('Data_Price '!AL$2:AL$1266,MATCH(Data!$DN1251,'Data_Price '!$AT$2:$AT$1266,0))</f>
        <v>Stowesports.com</v>
      </c>
      <c r="DD1251">
        <f>INDEX('Data_Price '!AM$2:AM$1266,MATCH(Data!$DN1251,'Data_Price '!$AT$2:$AT$1266,0))</f>
        <v>599.99</v>
      </c>
      <c r="DE1251" t="str">
        <f>INDEX('Data_Price '!AN$2:AN$1266,MATCH(Data!$DN1251,'Data_Price '!$AT$2:$AT$1266,0))</f>
        <v>https://tinyurl.com/y8b2hb5o</v>
      </c>
      <c r="DF1251" t="str">
        <f>INDEX('Data_Price '!AO$2:AO$1266,MATCH(Data!$DN1251,'Data_Price '!$AT$2:$AT$1266,0))</f>
        <v>Nordica Enforcer 100 Skis 2022</v>
      </c>
      <c r="DG1251" t="str">
        <f>INDEX('Data_Price '!AP$2:AP$1266,MATCH(Data!$DN1251,'Data_Price '!$AT$2:$AT$1266,0))</f>
        <v>evo.com</v>
      </c>
      <c r="DH1251">
        <f>INDEX('Data_Price '!AQ$2:AQ$1266,MATCH(Data!$DN1251,'Data_Price '!$AT$2:$AT$1266,0))</f>
        <v>599.99</v>
      </c>
      <c r="DI1251" t="str">
        <f>INDEX('Data_Price '!AR$2:AR$1266,MATCH(Data!$DN1251,'Data_Price '!$AT$2:$AT$1266,0))</f>
        <v>https://tinyurl.com/y9kv7dn7</v>
      </c>
      <c r="DJ1251" s="89" t="str">
        <f t="shared" si="735"/>
        <v>https://tinyurl.com/y72udlv6</v>
      </c>
      <c r="DK1251" s="89" t="str">
        <f t="shared" si="736"/>
        <v>https://tinyurl.com/y8b2hb5o</v>
      </c>
      <c r="DL1251" s="89" t="str">
        <f t="shared" si="737"/>
        <v>https://tinyurl.com/y9kv7dn7</v>
      </c>
      <c r="DM1251" s="219" t="str">
        <f t="shared" si="738"/>
        <v>Enforcer 100</v>
      </c>
      <c r="DN1251" s="89" t="str">
        <f t="shared" si="739"/>
        <v xml:space="preserve"> NordicaEnforcer 100186 Unisex</v>
      </c>
      <c r="DO1251" s="221" t="s">
        <v>731</v>
      </c>
    </row>
    <row r="1252" spans="2:119" ht="15.6" customHeight="1">
      <c r="B1252" s="219" t="b">
        <f t="array" ref="B1252">IF(OR(ISERROR(K1252:P1252)),FALSE,TRUE)</f>
        <v>1</v>
      </c>
      <c r="C1252" s="43" t="b">
        <f>OR(BR1252=Driver!$G$50,Data!BR187=Driver!$H$50)</f>
        <v>1</v>
      </c>
      <c r="D1252" s="43" t="b">
        <f>OR(BV1252=Driver!$G$51,BV1252=Driver!$H$51)</f>
        <v>1</v>
      </c>
      <c r="E1252" s="43" t="b">
        <f>AND(BX1252&gt;Driver!$F$54,BX1252&lt;Driver!$G$54)</f>
        <v>0</v>
      </c>
      <c r="F1252" s="43" t="b">
        <f>CL1252&gt;Driver!$F$56</f>
        <v>1</v>
      </c>
      <c r="G1252" s="43" t="b">
        <f>AND(CB1252&gt;Driver!$F$55,CB1252&lt;Driver!$G$55)</f>
        <v>0</v>
      </c>
      <c r="H1252" s="43" t="b">
        <f t="shared" si="703"/>
        <v>0</v>
      </c>
      <c r="I1252" s="43">
        <f t="shared" si="704"/>
        <v>0</v>
      </c>
      <c r="J1252" s="43" t="b">
        <f t="array" ref="J1252">NOT(OR(($H$9:$H$1273=TRUE)*($I$9:$I$1273&gt;0)*($BT$9:$BT$1273=BT1252)*($K$9:$K$1273&gt;K1252)))</f>
        <v>1</v>
      </c>
      <c r="K1252" s="72">
        <f t="shared" si="705"/>
        <v>0.68545827014279936</v>
      </c>
      <c r="L1252" s="72">
        <f t="shared" si="706"/>
        <v>0.86422390713015917</v>
      </c>
      <c r="M1252" s="72">
        <f t="shared" si="707"/>
        <v>0.50669263315543955</v>
      </c>
      <c r="N1252" s="72">
        <f t="shared" si="708"/>
        <v>0.35717375625086556</v>
      </c>
      <c r="O1252" s="72">
        <f t="shared" si="709"/>
        <v>0.58723865550138021</v>
      </c>
      <c r="P1252" s="72">
        <f t="shared" si="710"/>
        <v>0.575665487714073</v>
      </c>
      <c r="Q1252" s="72"/>
      <c r="R1252" s="72"/>
      <c r="S1252" s="72">
        <f t="shared" si="711"/>
        <v>0.58836401618477685</v>
      </c>
      <c r="T1252" s="72">
        <f t="shared" si="712"/>
        <v>0.55000000000000004</v>
      </c>
      <c r="U1252" s="72">
        <f t="shared" si="713"/>
        <v>0.51</v>
      </c>
      <c r="V1252" s="72">
        <f t="shared" si="714"/>
        <v>0.4913795431755833</v>
      </c>
      <c r="W1252" s="72">
        <f t="shared" si="715"/>
        <v>0.754264898864202</v>
      </c>
      <c r="X1252" s="72">
        <f t="shared" si="716"/>
        <v>0.13577609286984088</v>
      </c>
      <c r="Y1252" s="72">
        <f t="shared" si="717"/>
        <v>0.49330736684456039</v>
      </c>
      <c r="Z1252" s="72">
        <f t="shared" si="718"/>
        <v>0.64282624374913444</v>
      </c>
      <c r="AA1252" s="72">
        <f t="shared" si="719"/>
        <v>0.41276134449861979</v>
      </c>
      <c r="AB1252" s="72">
        <f t="shared" si="720"/>
        <v>0.42433451228592695</v>
      </c>
      <c r="AC1252" s="72"/>
      <c r="AD1252" s="72"/>
      <c r="AE1252" s="72">
        <f t="shared" si="721"/>
        <v>0.41163598381522315</v>
      </c>
      <c r="AF1252" s="72">
        <f t="shared" si="722"/>
        <v>0.44999999999999996</v>
      </c>
      <c r="AG1252" s="72">
        <f t="shared" si="723"/>
        <v>0.49</v>
      </c>
      <c r="AH1252" s="72">
        <f t="shared" si="724"/>
        <v>0.5086204568244167</v>
      </c>
      <c r="AI1252" s="72">
        <f t="shared" si="725"/>
        <v>0.245735101135798</v>
      </c>
      <c r="AJ1252" s="72">
        <f>(AV1252-Driver!$K$179)/(Driver!$L$179-Driver!$K$179)</f>
        <v>0.11844331641285955</v>
      </c>
      <c r="AK1252" s="72">
        <f>(AW1252-Driver!$K$180)/(Driver!$L$180-Driver!$K$180)</f>
        <v>0.69479585113789966</v>
      </c>
      <c r="AL1252" s="72">
        <f>(AX1252-Driver!$K$181)/(Driver!$L$181-Driver!$K$181)</f>
        <v>0.74451400746221463</v>
      </c>
      <c r="AM1252" s="72">
        <f>(AY1252-Driver!$K$182)/(Driver!$L$182-Driver!$K$182)</f>
        <v>3.4623676598426578E-2</v>
      </c>
      <c r="AN1252" s="72">
        <f>(AZ1252-Driver!$K$183)/(Driver!$L$183-Driver!$K$183)</f>
        <v>0.67855392156862737</v>
      </c>
      <c r="AO1252" s="72"/>
      <c r="AP1252" s="72"/>
      <c r="AQ1252" s="72">
        <f>(BC1252-Driver!$K$188)/(Driver!$L$188-Driver!$K$188)</f>
        <v>0.20836401618477685</v>
      </c>
      <c r="AR1252" s="72">
        <f>MIN((BD1252-Driver!$K$189)/(Driver!$L$189-Driver!$K$189),100%)</f>
        <v>1</v>
      </c>
      <c r="AS1252" s="72">
        <f>(BE1252-Driver!$K$190)/(Driver!$L$190-Driver!$K$190)</f>
        <v>1</v>
      </c>
      <c r="AT1252" s="72">
        <f>(BF1252-Driver!$K$191)/(Driver!$L$191-Driver!$K$191)</f>
        <v>1.3795431755832688E-3</v>
      </c>
      <c r="AU1252" s="72">
        <f>(BG1252-Driver!$K$192)/(Driver!$L$192-Driver!$K$192)</f>
        <v>4.2648988642019995E-3</v>
      </c>
      <c r="AV1252" s="70">
        <f t="shared" si="726"/>
        <v>2.4928774928774926</v>
      </c>
      <c r="AW1252" s="70">
        <f t="shared" si="727"/>
        <v>69.585904832380336</v>
      </c>
      <c r="AX1252" s="70">
        <f t="shared" si="728"/>
        <v>7.7006260671599316</v>
      </c>
      <c r="AY1252" s="70">
        <f>IFERROR(Driver!$K$19/Data!BH1252/Data!BI1252*Data!BK1252*Data!BL1252,"")</f>
        <v>4.2389710864491156E-2</v>
      </c>
      <c r="AZ1252" s="70">
        <f t="shared" si="729"/>
        <v>61.842889054355915</v>
      </c>
      <c r="BA1252" s="70"/>
      <c r="BB1252" s="70"/>
      <c r="BC1252" s="70">
        <f t="shared" si="730"/>
        <v>108.07986371818403</v>
      </c>
      <c r="BD1252" s="70">
        <f t="shared" si="731"/>
        <v>95.458656091813154</v>
      </c>
      <c r="BE1252" s="70">
        <f t="shared" si="732"/>
        <v>1</v>
      </c>
      <c r="BF1252" s="70">
        <f t="shared" si="733"/>
        <v>0.15580970984280187</v>
      </c>
      <c r="BG1252" s="70">
        <f t="shared" si="734"/>
        <v>1.6149627811213176E-2</v>
      </c>
      <c r="BH1252" s="67">
        <f>MAX((CE1252-Driver!$F$200)/(Driver!$G$200-Driver!$F$200)*$BI$1,1)</f>
        <v>7.7006260671599316</v>
      </c>
      <c r="BI1252" s="67">
        <f>MAX($BI$1*(BY1252-Driver!$F$201)/(Driver!$G$201-Driver!$F$201),1)</f>
        <v>9.3037974683544302</v>
      </c>
      <c r="BJ1252" s="67">
        <f>(CB1252-Driver!$F$206)/(Driver!$G$206-Driver!$F$206)*$BI$1</f>
        <v>1.5873015873015872</v>
      </c>
      <c r="BK1252" s="67">
        <f>(CD1252-Driver!$F$203)/(Driver!$G$203-Driver!$F$203)*$BI$1</f>
        <v>2.2018348623853208</v>
      </c>
      <c r="BL1252" s="67">
        <f>MAX((CR1252-Driver!$F$202)/(Driver!$G$202-Driver!$F$202)*$BI$1,1)</f>
        <v>6.8965517241379315</v>
      </c>
      <c r="BM1252" s="67">
        <f>MAX((CH1252-Driver!$F$204)/(Driver!$G$204-Driver!$F$204)*$BI$1,1)</f>
        <v>6.2820512820512819</v>
      </c>
      <c r="BN1252" s="67">
        <f>(CI1252-Driver!$F$205)/(Driver!$G$205-Driver!$F$205)*$BI$1</f>
        <v>6.6470588235294112</v>
      </c>
      <c r="BO1252" s="67">
        <f>(CK1252-Driver!$F$207)/(Driver!$G$207-Driver!$F$207)*$BI$1</f>
        <v>0.34126163391933811</v>
      </c>
      <c r="BP1252" s="67">
        <f>(CM1252-Driver!$F$208)/(Driver!$G$208-Driver!$F$208)*$BI$1</f>
        <v>0.63333333333333341</v>
      </c>
      <c r="BQ1252" s="67">
        <f>(CL1252-Driver!$F$209)/(Driver!$G$209-Driver!$F$209)*$BI$1</f>
        <v>0.78125</v>
      </c>
      <c r="BR1252" s="28" t="s">
        <v>155</v>
      </c>
      <c r="BS1252" s="8" t="s">
        <v>156</v>
      </c>
      <c r="BT1252" s="9" t="s">
        <v>885</v>
      </c>
      <c r="BU1252" s="10">
        <v>176</v>
      </c>
      <c r="BV1252" s="9" t="s">
        <v>158</v>
      </c>
      <c r="BW1252" s="10">
        <v>176</v>
      </c>
      <c r="BX1252" s="10">
        <v>175.3</v>
      </c>
      <c r="BY1252" s="10">
        <v>155</v>
      </c>
      <c r="BZ1252" s="10">
        <v>161</v>
      </c>
      <c r="CA1252" s="10">
        <v>127</v>
      </c>
      <c r="CB1252" s="10">
        <v>74</v>
      </c>
      <c r="CC1252" s="10">
        <v>111</v>
      </c>
      <c r="CD1252" s="10">
        <v>14.2</v>
      </c>
      <c r="CE1252" s="10">
        <v>2253</v>
      </c>
      <c r="CF1252" s="10">
        <v>0.71</v>
      </c>
      <c r="CG1252" s="10">
        <v>1590</v>
      </c>
      <c r="CH1252" s="10">
        <v>248</v>
      </c>
      <c r="CI1252" s="10">
        <v>146</v>
      </c>
      <c r="CJ1252" s="10">
        <v>37</v>
      </c>
      <c r="CK1252" s="10">
        <v>143</v>
      </c>
      <c r="CL1252" s="10">
        <v>5</v>
      </c>
      <c r="CM1252" s="10">
        <v>57</v>
      </c>
      <c r="CN1252" s="10">
        <v>0.13900000000000001</v>
      </c>
      <c r="CO1252" s="10">
        <v>85</v>
      </c>
      <c r="CP1252" s="10">
        <v>56</v>
      </c>
      <c r="CQ1252" s="10">
        <v>59</v>
      </c>
      <c r="CR1252" s="10">
        <v>9</v>
      </c>
      <c r="CS1252" s="10">
        <v>12.5</v>
      </c>
      <c r="CT1252" s="9" t="s">
        <v>349</v>
      </c>
      <c r="CU1252" s="10"/>
      <c r="CV1252" s="10"/>
      <c r="CW1252" s="10"/>
      <c r="CX1252" t="str">
        <f>INDEX('Data_Price '!AG$2:AG$1266,MATCH(Data!$DN1252,'Data_Price '!$AT$2:$AT$1266,0))</f>
        <v>Atomic 2022 Redster X9I WB Revo Ski with x 12 GW Bindings</v>
      </c>
      <c r="CY1252" t="str">
        <f>INDEX('Data_Price '!AH$2:AH$1266,MATCH(Data!$DN1252,'Data_Price '!$AT$2:$AT$1266,0))</f>
        <v>The-House.com</v>
      </c>
      <c r="CZ1252">
        <f>INDEX('Data_Price '!AI$2:AI$1266,MATCH(Data!$DN1252,'Data_Price '!$AT$2:$AT$1266,0))</f>
        <v>999.99</v>
      </c>
      <c r="DA1252" t="str">
        <f>INDEX('Data_Price '!AJ$2:AJ$1266,MATCH(Data!$DN1252,'Data_Price '!$AT$2:$AT$1266,0))</f>
        <v>https://tinyurl.com/y9lxsvba</v>
      </c>
      <c r="DB1252" t="str">
        <f>INDEX('Data_Price '!AK$2:AK$1266,MATCH(Data!$DN1252,'Data_Price '!$AT$2:$AT$1266,0))</f>
        <v>Atomic Redster X7 WB Skis w Atomic FT 12 GW Bindings  Demo Skis</v>
      </c>
      <c r="DC1252" t="str">
        <f>INDEX('Data_Price '!AL$2:AL$1266,MATCH(Data!$DN1252,'Data_Price '!$AT$2:$AT$1266,0))</f>
        <v>Powder7 Ski Shop</v>
      </c>
      <c r="DD1252">
        <f>INDEX('Data_Price '!AM$2:AM$1266,MATCH(Data!$DN1252,'Data_Price '!$AT$2:$AT$1266,0))</f>
        <v>509.99</v>
      </c>
      <c r="DE1252" t="str">
        <f>INDEX('Data_Price '!AN$2:AN$1266,MATCH(Data!$DN1252,'Data_Price '!$AT$2:$AT$1266,0))</f>
        <v>https://tinyurl.com/ycsbavxz</v>
      </c>
      <c r="DF1252" t="str">
        <f>INDEX('Data_Price '!AO$2:AO$1266,MATCH(Data!$DN1252,'Data_Price '!$AT$2:$AT$1266,0))</f>
        <v>2017 Atomic Rs Doubledeck 3.0 Gs Men's Skis Only</v>
      </c>
      <c r="DG1252" t="str">
        <f>INDEX('Data_Price '!AP$2:AP$1266,MATCH(Data!$DN1252,'Data_Price '!$AT$2:$AT$1266,0))</f>
        <v>eBay - asogear</v>
      </c>
      <c r="DH1252">
        <f>INDEX('Data_Price '!AQ$2:AQ$1266,MATCH(Data!$DN1252,'Data_Price '!$AT$2:$AT$1266,0))</f>
        <v>299.99</v>
      </c>
      <c r="DI1252" t="str">
        <f>INDEX('Data_Price '!AR$2:AR$1266,MATCH(Data!$DN1252,'Data_Price '!$AT$2:$AT$1266,0))</f>
        <v>https://tinyurl.com/y955efzc</v>
      </c>
      <c r="DJ1252" s="89" t="str">
        <f t="shared" si="735"/>
        <v>https://tinyurl.com/y9lxsvba</v>
      </c>
      <c r="DK1252" s="89" t="str">
        <f t="shared" si="736"/>
        <v>https://tinyurl.com/ycsbavxz</v>
      </c>
      <c r="DL1252" s="89" t="str">
        <f t="shared" si="737"/>
        <v>https://tinyurl.com/y955efzc</v>
      </c>
      <c r="DM1252" s="219" t="str">
        <f t="shared" si="738"/>
        <v>Redster X9 WB Revo</v>
      </c>
      <c r="DN1252" s="89" t="str">
        <f t="shared" si="739"/>
        <v xml:space="preserve"> AtomicRedster X9 WB Revo176 Unisex</v>
      </c>
      <c r="DO1252" s="221" t="s">
        <v>886</v>
      </c>
    </row>
    <row r="1253" spans="2:119" ht="15.6" customHeight="1">
      <c r="B1253" s="219" t="b">
        <f t="array" ref="B1253">IF(OR(ISERROR(K1253:P1253)),FALSE,TRUE)</f>
        <v>1</v>
      </c>
      <c r="C1253" s="43" t="b">
        <f>OR(BR1253=Driver!$G$50,Data!BR1040=Driver!$H$50)</f>
        <v>1</v>
      </c>
      <c r="D1253" s="43" t="b">
        <f>OR(BV1253=Driver!$G$51,BV1253=Driver!$H$51)</f>
        <v>1</v>
      </c>
      <c r="E1253" s="43" t="b">
        <f>AND(BX1253&gt;Driver!$F$54,BX1253&lt;Driver!$G$54)</f>
        <v>0</v>
      </c>
      <c r="F1253" s="43" t="b">
        <f>CL1253&gt;Driver!$F$56</f>
        <v>1</v>
      </c>
      <c r="G1253" s="43" t="b">
        <f>AND(CB1253&gt;Driver!$F$55,CB1253&lt;Driver!$G$55)</f>
        <v>0</v>
      </c>
      <c r="H1253" s="43" t="b">
        <f t="shared" si="703"/>
        <v>0</v>
      </c>
      <c r="I1253" s="43">
        <f t="shared" si="704"/>
        <v>0</v>
      </c>
      <c r="J1253" s="43" t="b">
        <f t="array" ref="J1253">NOT(OR(($H$9:$H$1273=TRUE)*($I$9:$I$1273&gt;0)*($BT$9:$BT$1273=BT1253)*($K$9:$K$1273&gt;K1253)))</f>
        <v>1</v>
      </c>
      <c r="K1253" s="72">
        <f t="shared" si="705"/>
        <v>0.67484979731233607</v>
      </c>
      <c r="L1253" s="72">
        <f t="shared" si="706"/>
        <v>0.80540511734690234</v>
      </c>
      <c r="M1253" s="72">
        <f t="shared" si="707"/>
        <v>0.54429447727776981</v>
      </c>
      <c r="N1253" s="72">
        <f t="shared" si="708"/>
        <v>0.40650025976063608</v>
      </c>
      <c r="O1253" s="72">
        <f t="shared" si="709"/>
        <v>0.63719644252853491</v>
      </c>
      <c r="P1253" s="72">
        <f t="shared" si="710"/>
        <v>0.58918672954413842</v>
      </c>
      <c r="Q1253" s="72"/>
      <c r="R1253" s="72"/>
      <c r="S1253" s="72">
        <f t="shared" si="711"/>
        <v>0.91548228659171504</v>
      </c>
      <c r="T1253" s="72">
        <f t="shared" si="712"/>
        <v>0.55000000000000004</v>
      </c>
      <c r="U1253" s="72">
        <f t="shared" si="713"/>
        <v>0.51</v>
      </c>
      <c r="V1253" s="72">
        <f t="shared" si="714"/>
        <v>0.49001067976008195</v>
      </c>
      <c r="W1253" s="72">
        <f t="shared" si="715"/>
        <v>0.75359618441971388</v>
      </c>
      <c r="X1253" s="72">
        <f t="shared" si="716"/>
        <v>0.19459488265309766</v>
      </c>
      <c r="Y1253" s="72">
        <f t="shared" si="717"/>
        <v>0.45570552272223019</v>
      </c>
      <c r="Z1253" s="72">
        <f t="shared" si="718"/>
        <v>0.59349974023936392</v>
      </c>
      <c r="AA1253" s="72">
        <f t="shared" si="719"/>
        <v>0.36280355747146509</v>
      </c>
      <c r="AB1253" s="72">
        <f t="shared" si="720"/>
        <v>0.41081327045586163</v>
      </c>
      <c r="AC1253" s="72"/>
      <c r="AD1253" s="72"/>
      <c r="AE1253" s="72">
        <f t="shared" si="721"/>
        <v>8.4517713408284956E-2</v>
      </c>
      <c r="AF1253" s="72">
        <f t="shared" si="722"/>
        <v>0.44999999999999996</v>
      </c>
      <c r="AG1253" s="72">
        <f t="shared" si="723"/>
        <v>0.49</v>
      </c>
      <c r="AH1253" s="72">
        <f t="shared" si="724"/>
        <v>0.50998932023991805</v>
      </c>
      <c r="AI1253" s="72">
        <f t="shared" si="725"/>
        <v>0.24640381558028618</v>
      </c>
      <c r="AJ1253" s="72">
        <f>(AV1253-Driver!$K$179)/(Driver!$L$179-Driver!$K$179)</f>
        <v>5.9624526629602756E-2</v>
      </c>
      <c r="AK1253" s="72">
        <f>(AW1253-Driver!$K$180)/(Driver!$L$180-Driver!$K$180)</f>
        <v>0.6782238227922146</v>
      </c>
      <c r="AL1253" s="72">
        <f>(AX1253-Driver!$K$181)/(Driver!$L$181-Driver!$K$181)</f>
        <v>0.69518750395244411</v>
      </c>
      <c r="AM1253" s="72">
        <f>(AY1253-Driver!$K$182)/(Driver!$L$182-Driver!$K$182)</f>
        <v>8.4581463625581249E-2</v>
      </c>
      <c r="AN1253" s="72">
        <f>(AZ1253-Driver!$K$183)/(Driver!$L$183-Driver!$K$183)</f>
        <v>0.66503267973856206</v>
      </c>
      <c r="AO1253" s="72"/>
      <c r="AP1253" s="72"/>
      <c r="AQ1253" s="72">
        <f>(BC1253-Driver!$K$188)/(Driver!$L$188-Driver!$K$188)</f>
        <v>0.53548228659171504</v>
      </c>
      <c r="AR1253" s="72">
        <f>MIN((BD1253-Driver!$K$189)/(Driver!$L$189-Driver!$K$189),100%)</f>
        <v>1</v>
      </c>
      <c r="AS1253" s="72">
        <f>(BE1253-Driver!$K$190)/(Driver!$L$190-Driver!$K$190)</f>
        <v>1</v>
      </c>
      <c r="AT1253" s="72">
        <f>(BF1253-Driver!$K$191)/(Driver!$L$191-Driver!$K$191)</f>
        <v>1.0679760081930579E-5</v>
      </c>
      <c r="AU1253" s="72">
        <f>(BG1253-Driver!$K$192)/(Driver!$L$192-Driver!$K$192)</f>
        <v>3.5961844197138315E-3</v>
      </c>
      <c r="AV1253" s="70">
        <f t="shared" si="726"/>
        <v>1.254917921584588</v>
      </c>
      <c r="AW1253" s="70">
        <f t="shared" si="727"/>
        <v>67.97081382698407</v>
      </c>
      <c r="AX1253" s="70">
        <f t="shared" si="728"/>
        <v>7.2566875355719969</v>
      </c>
      <c r="AY1253" s="70">
        <f>IFERROR(Driver!$K$19/Data!BH1253/Data!BI1253*Data!BK1253*Data!BL1253,"")</f>
        <v>0.10355294815071134</v>
      </c>
      <c r="AZ1253" s="70">
        <f t="shared" si="729"/>
        <v>60.610573343261358</v>
      </c>
      <c r="BA1253" s="70"/>
      <c r="BB1253" s="70"/>
      <c r="BC1253" s="70">
        <f t="shared" si="730"/>
        <v>277.75838466758489</v>
      </c>
      <c r="BD1253" s="70">
        <f t="shared" si="731"/>
        <v>122.11340018283494</v>
      </c>
      <c r="BE1253" s="70">
        <f t="shared" si="732"/>
        <v>1</v>
      </c>
      <c r="BF1253" s="70">
        <f t="shared" si="733"/>
        <v>1.2062038716931062E-3</v>
      </c>
      <c r="BG1253" s="70">
        <f t="shared" si="734"/>
        <v>1.3617448330683625E-2</v>
      </c>
      <c r="BH1253" s="67">
        <f>MAX((CE1253-Driver!$F$200)/(Driver!$G$200-Driver!$F$200)*$BI$1,1)</f>
        <v>7.2566875355719969</v>
      </c>
      <c r="BI1253" s="67">
        <f>MAX($BI$1*(BY1253-Driver!$F$201)/(Driver!$G$201-Driver!$F$201),1)</f>
        <v>9.3670886075949369</v>
      </c>
      <c r="BJ1253" s="67">
        <f>(CB1253-Driver!$F$206)/(Driver!$G$206-Driver!$F$206)*$BI$1</f>
        <v>0.79365079365079361</v>
      </c>
      <c r="BK1253" s="67">
        <f>(CD1253-Driver!$F$203)/(Driver!$G$203-Driver!$F$203)*$BI$1</f>
        <v>4.0825688073394497</v>
      </c>
      <c r="BL1253" s="67">
        <f>MAX((CR1253-Driver!$F$202)/(Driver!$G$202-Driver!$F$202)*$BI$1,1)</f>
        <v>8.6206896551724128</v>
      </c>
      <c r="BM1253" s="67">
        <f>MAX((CH1253-Driver!$F$204)/(Driver!$G$204-Driver!$F$204)*$BI$1,1)</f>
        <v>6.3247863247863245</v>
      </c>
      <c r="BN1253" s="67">
        <f>(CI1253-Driver!$F$205)/(Driver!$G$205-Driver!$F$205)*$BI$1</f>
        <v>6.4705882352941178</v>
      </c>
      <c r="BO1253" s="67">
        <f>(CK1253-Driver!$F$207)/(Driver!$G$207-Driver!$F$207)*$BI$1</f>
        <v>1.0341261633919338E-2</v>
      </c>
      <c r="BP1253" s="67">
        <f>(CM1253-Driver!$F$208)/(Driver!$G$208-Driver!$F$208)*$BI$1</f>
        <v>0.6</v>
      </c>
      <c r="BQ1253" s="67">
        <f>(CL1253-Driver!$F$209)/(Driver!$G$209-Driver!$F$209)*$BI$1</f>
        <v>0.625</v>
      </c>
      <c r="BR1253" s="28" t="s">
        <v>155</v>
      </c>
      <c r="BS1253" s="8" t="s">
        <v>172</v>
      </c>
      <c r="BT1253" s="9" t="s">
        <v>905</v>
      </c>
      <c r="BU1253" s="10">
        <v>173</v>
      </c>
      <c r="BV1253" s="9" t="s">
        <v>158</v>
      </c>
      <c r="BW1253" s="10">
        <v>173</v>
      </c>
      <c r="BX1253" s="10">
        <v>172.3</v>
      </c>
      <c r="BY1253" s="10">
        <v>156</v>
      </c>
      <c r="BZ1253" s="10">
        <v>164</v>
      </c>
      <c r="CA1253" s="10">
        <v>113</v>
      </c>
      <c r="CB1253" s="10">
        <v>69</v>
      </c>
      <c r="CC1253" s="10">
        <v>97</v>
      </c>
      <c r="CD1253" s="10">
        <v>18.3</v>
      </c>
      <c r="CE1253" s="10">
        <v>2175</v>
      </c>
      <c r="CF1253" s="10">
        <v>0.65</v>
      </c>
      <c r="CG1253" s="10">
        <v>1413</v>
      </c>
      <c r="CH1253" s="10">
        <v>249</v>
      </c>
      <c r="CI1253" s="10">
        <v>143</v>
      </c>
      <c r="CJ1253" s="10">
        <v>30</v>
      </c>
      <c r="CK1253" s="10">
        <v>111</v>
      </c>
      <c r="CL1253" s="10">
        <v>4</v>
      </c>
      <c r="CM1253" s="10">
        <v>54</v>
      </c>
      <c r="CN1253" s="10">
        <v>0.14799999999999999</v>
      </c>
      <c r="CO1253" s="10">
        <v>41</v>
      </c>
      <c r="CP1253" s="10">
        <v>45</v>
      </c>
      <c r="CQ1253" s="10">
        <v>70</v>
      </c>
      <c r="CR1253" s="10">
        <v>14</v>
      </c>
      <c r="CS1253" s="10">
        <v>8.3000000000000007</v>
      </c>
      <c r="CT1253" s="9" t="s">
        <v>349</v>
      </c>
      <c r="CU1253" s="10"/>
      <c r="CV1253" s="10"/>
      <c r="CW1253" s="10"/>
      <c r="CX1253" t="str">
        <f>INDEX('Data_Price '!AG$2:AG$1266,MATCH(Data!$DN1253,'Data_Price '!$AT$2:$AT$1266,0))</f>
        <v>Rossignol Hero Master (R22) 173cm</v>
      </c>
      <c r="CY1253" t="str">
        <f>INDEX('Data_Price '!AH$2:AH$1266,MATCH(Data!$DN1253,'Data_Price '!$AT$2:$AT$1266,0))</f>
        <v>Sundance Ski and Board Shop</v>
      </c>
      <c r="CZ1253">
        <f>INDEX('Data_Price '!AI$2:AI$1266,MATCH(Data!$DN1253,'Data_Price '!$AT$2:$AT$1266,0))</f>
        <v>641.15</v>
      </c>
      <c r="DA1253" t="str">
        <f>INDEX('Data_Price '!AJ$2:AJ$1266,MATCH(Data!$DN1253,'Data_Price '!$AT$2:$AT$1266,0))</f>
        <v>https://tinyurl.com/y9voz77e</v>
      </c>
      <c r="DB1253" t="str">
        <f>INDEX('Data_Price '!AK$2:AK$1266,MATCH(Data!$DN1253,'Data_Price '!$AT$2:$AT$1266,0))</f>
        <v>Rossignol Hero Master LT + SPX15 Rockerace Forza 22/23</v>
      </c>
      <c r="DC1253" t="str">
        <f>INDEX('Data_Price '!AL$2:AL$1266,MATCH(Data!$DN1253,'Data_Price '!$AT$2:$AT$1266,0))</f>
        <v>Snowcountry.eu</v>
      </c>
      <c r="DD1253">
        <f>INDEX('Data_Price '!AM$2:AM$1266,MATCH(Data!$DN1253,'Data_Price '!$AT$2:$AT$1266,0))</f>
        <v>1106.08</v>
      </c>
      <c r="DE1253" t="str">
        <f>INDEX('Data_Price '!AN$2:AN$1266,MATCH(Data!$DN1253,'Data_Price '!$AT$2:$AT$1266,0))</f>
        <v>https://tinyurl.com/y9ga8jgw</v>
      </c>
      <c r="DF1253" t="str">
        <f>INDEX('Data_Price '!AO$2:AO$1266,MATCH(Data!$DN1253,'Data_Price '!$AT$2:$AT$1266,0))</f>
        <v>Rossignol Hero Master Flat Skis 20/21 /m17 Â· 173 cm</v>
      </c>
      <c r="DG1253" t="str">
        <f>INDEX('Data_Price '!AP$2:AP$1266,MATCH(Data!$DN1253,'Data_Price '!$AT$2:$AT$1266,0))</f>
        <v>Suburban Ski and Bike</v>
      </c>
      <c r="DH1253">
        <f>INDEX('Data_Price '!AQ$2:AQ$1266,MATCH(Data!$DN1253,'Data_Price '!$AT$2:$AT$1266,0))</f>
        <v>899.95</v>
      </c>
      <c r="DI1253" t="str">
        <f>INDEX('Data_Price '!AR$2:AR$1266,MATCH(Data!$DN1253,'Data_Price '!$AT$2:$AT$1266,0))</f>
        <v>https://tinyurl.com/y97oajx9</v>
      </c>
      <c r="DJ1253" s="89" t="str">
        <f t="shared" si="735"/>
        <v>https://tinyurl.com/y9voz77e</v>
      </c>
      <c r="DK1253" s="89" t="str">
        <f t="shared" si="736"/>
        <v>https://tinyurl.com/y9ga8jgw</v>
      </c>
      <c r="DL1253" s="89" t="str">
        <f t="shared" si="737"/>
        <v>https://tinyurl.com/y97oajx9</v>
      </c>
      <c r="DM1253" s="219" t="str">
        <f t="shared" si="738"/>
        <v>Hero Master M17 (R22)</v>
      </c>
      <c r="DN1253" s="89" t="str">
        <f t="shared" si="739"/>
        <v xml:space="preserve"> RossignolHero Master M17 (R22)173 Unisex</v>
      </c>
      <c r="DO1253" s="221"/>
    </row>
    <row r="1254" spans="2:119" ht="15.6" customHeight="1">
      <c r="B1254" s="219" t="b">
        <f t="array" ref="B1254">IF(OR(ISERROR(K1254:P1254)),FALSE,TRUE)</f>
        <v>1</v>
      </c>
      <c r="C1254" s="43" t="b">
        <f>OR(BR1254=Driver!$G$50,Data!BR911=Driver!$H$50)</f>
        <v>1</v>
      </c>
      <c r="D1254" s="43" t="b">
        <f>OR(BV1254=Driver!$G$51,BV1254=Driver!$H$51)</f>
        <v>1</v>
      </c>
      <c r="E1254" s="43" t="b">
        <f>AND(BX1254&gt;Driver!$F$54,BX1254&lt;Driver!$G$54)</f>
        <v>0</v>
      </c>
      <c r="F1254" s="43" t="b">
        <f>CL1254&gt;Driver!$F$56</f>
        <v>1</v>
      </c>
      <c r="G1254" s="43" t="b">
        <f>AND(CB1254&gt;Driver!$F$55,CB1254&lt;Driver!$G$55)</f>
        <v>0</v>
      </c>
      <c r="H1254" s="43" t="b">
        <f t="shared" si="703"/>
        <v>0</v>
      </c>
      <c r="I1254" s="43">
        <f t="shared" si="704"/>
        <v>0</v>
      </c>
      <c r="J1254" s="43" t="b">
        <f t="array" ref="J1254">NOT(OR(($H$9:$H$1273=TRUE)*($I$9:$I$1273&gt;0)*($BT$9:$BT$1273=BT1254)*($K$9:$K$1273&gt;K1254)))</f>
        <v>1</v>
      </c>
      <c r="K1254" s="72">
        <f t="shared" si="705"/>
        <v>0.66676851767872269</v>
      </c>
      <c r="L1254" s="72">
        <f t="shared" si="706"/>
        <v>0.84530795976211393</v>
      </c>
      <c r="M1254" s="72">
        <f t="shared" si="707"/>
        <v>0.48822907559533146</v>
      </c>
      <c r="N1254" s="72">
        <f t="shared" si="708"/>
        <v>0.32808376700151376</v>
      </c>
      <c r="O1254" s="72">
        <f t="shared" si="709"/>
        <v>0.61485954069785875</v>
      </c>
      <c r="P1254" s="72">
        <f t="shared" si="710"/>
        <v>0.52174391908662199</v>
      </c>
      <c r="Q1254" s="72"/>
      <c r="R1254" s="72"/>
      <c r="S1254" s="72">
        <f t="shared" si="711"/>
        <v>0.61939246046441909</v>
      </c>
      <c r="T1254" s="72">
        <f t="shared" si="712"/>
        <v>0.65790157281122574</v>
      </c>
      <c r="U1254" s="72">
        <f t="shared" si="713"/>
        <v>0.59998439630366363</v>
      </c>
      <c r="V1254" s="72">
        <f t="shared" si="714"/>
        <v>0.53056517004719872</v>
      </c>
      <c r="W1254" s="72">
        <f t="shared" si="715"/>
        <v>0.76039415909322983</v>
      </c>
      <c r="X1254" s="72">
        <f t="shared" si="716"/>
        <v>0.15469204023788607</v>
      </c>
      <c r="Y1254" s="72">
        <f t="shared" si="717"/>
        <v>0.51177092440466854</v>
      </c>
      <c r="Z1254" s="72">
        <f t="shared" si="718"/>
        <v>0.67191623299848624</v>
      </c>
      <c r="AA1254" s="72">
        <f t="shared" si="719"/>
        <v>0.3851404593021413</v>
      </c>
      <c r="AB1254" s="72">
        <f t="shared" si="720"/>
        <v>0.47825608091337796</v>
      </c>
      <c r="AC1254" s="72"/>
      <c r="AD1254" s="72"/>
      <c r="AE1254" s="72">
        <f t="shared" si="721"/>
        <v>0.38060753953558091</v>
      </c>
      <c r="AF1254" s="72">
        <f t="shared" si="722"/>
        <v>0.34209842718877426</v>
      </c>
      <c r="AG1254" s="72">
        <f t="shared" si="723"/>
        <v>0.40001560369633637</v>
      </c>
      <c r="AH1254" s="72">
        <f t="shared" si="724"/>
        <v>0.46943482995280128</v>
      </c>
      <c r="AI1254" s="72">
        <f t="shared" si="725"/>
        <v>0.23960584090677015</v>
      </c>
      <c r="AJ1254" s="72">
        <f>(AV1254-Driver!$K$179)/(Driver!$L$179-Driver!$K$179)</f>
        <v>0.4089114495205865</v>
      </c>
      <c r="AK1254" s="72">
        <f>(AW1254-Driver!$K$180)/(Driver!$L$180-Driver!$K$180)</f>
        <v>0.7482542731985462</v>
      </c>
      <c r="AL1254" s="72">
        <f>(AX1254-Driver!$K$181)/(Driver!$L$181-Driver!$K$181)</f>
        <v>0.77360399671156643</v>
      </c>
      <c r="AM1254" s="72">
        <f>(AY1254-Driver!$K$182)/(Driver!$L$182-Driver!$K$182)</f>
        <v>6.2244561794905055E-2</v>
      </c>
      <c r="AN1254" s="72">
        <f>(AZ1254-Driver!$K$183)/(Driver!$L$183-Driver!$K$183)</f>
        <v>0.73247549019607838</v>
      </c>
      <c r="AO1254" s="72"/>
      <c r="AP1254" s="72"/>
      <c r="AQ1254" s="72">
        <f>(BC1254-Driver!$K$188)/(Driver!$L$188-Driver!$K$188)</f>
        <v>0.23939246046441909</v>
      </c>
      <c r="AR1254" s="72">
        <f>MIN((BD1254-Driver!$K$189)/(Driver!$L$189-Driver!$K$189),100%)</f>
        <v>0.20790157281122576</v>
      </c>
      <c r="AS1254" s="72">
        <f>(BE1254-Driver!$K$190)/(Driver!$L$190-Driver!$K$190)</f>
        <v>0.10998439630366362</v>
      </c>
      <c r="AT1254" s="72">
        <f>(BF1254-Driver!$K$191)/(Driver!$L$191-Driver!$K$191)</f>
        <v>4.0565170047198743E-2</v>
      </c>
      <c r="AU1254" s="72">
        <f>(BG1254-Driver!$K$192)/(Driver!$L$192-Driver!$K$192)</f>
        <v>1.0394159093229856E-2</v>
      </c>
      <c r="AV1254" s="70">
        <f t="shared" si="726"/>
        <v>8.6063627730294385</v>
      </c>
      <c r="AW1254" s="70">
        <f t="shared" si="727"/>
        <v>74.795901751997505</v>
      </c>
      <c r="AX1254" s="70">
        <f t="shared" si="728"/>
        <v>7.9624359704040977</v>
      </c>
      <c r="AY1254" s="70">
        <f>IFERROR(Driver!$K$19/Data!BH1254/Data!BI1254*Data!BK1254*Data!BL1254,"")</f>
        <v>7.620591562170731E-2</v>
      </c>
      <c r="AZ1254" s="70">
        <f t="shared" si="729"/>
        <v>66.757259865971704</v>
      </c>
      <c r="BA1254" s="70"/>
      <c r="BB1254" s="70"/>
      <c r="BC1254" s="70">
        <f t="shared" si="730"/>
        <v>124.17453347227956</v>
      </c>
      <c r="BD1254" s="70">
        <f t="shared" si="731"/>
        <v>20.119743698102365</v>
      </c>
      <c r="BE1254" s="70">
        <f t="shared" si="732"/>
        <v>0.11014316506981073</v>
      </c>
      <c r="BF1254" s="70">
        <f t="shared" si="733"/>
        <v>4.5815509703824073</v>
      </c>
      <c r="BG1254" s="70">
        <f t="shared" si="734"/>
        <v>3.9358917083631165E-2</v>
      </c>
      <c r="BH1254" s="67">
        <f>MAX((CE1254-Driver!$F$200)/(Driver!$G$200-Driver!$F$200)*$BI$1,1)</f>
        <v>7.9624359704040977</v>
      </c>
      <c r="BI1254" s="67">
        <f>MAX($BI$1*(BY1254-Driver!$F$201)/(Driver!$G$201-Driver!$F$201),1)</f>
        <v>8.1645569620253173</v>
      </c>
      <c r="BJ1254" s="67">
        <f>(CB1254-Driver!$F$206)/(Driver!$G$206-Driver!$F$206)*$BI$1</f>
        <v>4.6031746031746028</v>
      </c>
      <c r="BK1254" s="67">
        <f>(CD1254-Driver!$F$203)/(Driver!$G$203-Driver!$F$203)*$BI$1</f>
        <v>3.9908256880733957</v>
      </c>
      <c r="BL1254" s="67">
        <f>MAX((CR1254-Driver!$F$202)/(Driver!$G$202-Driver!$F$202)*$BI$1,1)</f>
        <v>6.2068965517241379</v>
      </c>
      <c r="BM1254" s="67">
        <f>MAX((CH1254-Driver!$F$204)/(Driver!$G$204-Driver!$F$204)*$BI$1,1)</f>
        <v>7.4786324786324787</v>
      </c>
      <c r="BN1254" s="67">
        <f>(CI1254-Driver!$F$205)/(Driver!$G$205-Driver!$F$205)*$BI$1</f>
        <v>8.1764705882352935</v>
      </c>
      <c r="BO1254" s="67">
        <f>(CK1254-Driver!$F$207)/(Driver!$G$207-Driver!$F$207)*$BI$1</f>
        <v>1.7269906928645296</v>
      </c>
      <c r="BP1254" s="67">
        <f>(CM1254-Driver!$F$208)/(Driver!$G$208-Driver!$F$208)*$BI$1</f>
        <v>2.3000000000000003</v>
      </c>
      <c r="BQ1254" s="67">
        <f>(CL1254-Driver!$F$209)/(Driver!$G$209-Driver!$F$209)*$BI$1</f>
        <v>2.34375</v>
      </c>
      <c r="BR1254" s="28" t="s">
        <v>155</v>
      </c>
      <c r="BS1254" s="8" t="s">
        <v>332</v>
      </c>
      <c r="BT1254" s="9" t="s">
        <v>788</v>
      </c>
      <c r="BU1254" s="10">
        <v>186</v>
      </c>
      <c r="BV1254" s="9" t="s">
        <v>158</v>
      </c>
      <c r="BW1254" s="10">
        <v>186</v>
      </c>
      <c r="BX1254" s="10">
        <v>185.1</v>
      </c>
      <c r="BY1254" s="10">
        <v>137</v>
      </c>
      <c r="BZ1254" s="10">
        <v>155</v>
      </c>
      <c r="CA1254" s="10">
        <v>129</v>
      </c>
      <c r="CB1254" s="10">
        <v>93</v>
      </c>
      <c r="CC1254" s="10">
        <v>115</v>
      </c>
      <c r="CD1254" s="10">
        <v>18.100000000000001</v>
      </c>
      <c r="CE1254" s="10">
        <v>2299</v>
      </c>
      <c r="CF1254" s="10">
        <v>0.85</v>
      </c>
      <c r="CG1254" s="10">
        <v>1945</v>
      </c>
      <c r="CH1254" s="10">
        <v>276</v>
      </c>
      <c r="CI1254" s="10">
        <v>172</v>
      </c>
      <c r="CJ1254" s="10">
        <v>53</v>
      </c>
      <c r="CK1254" s="10">
        <v>277</v>
      </c>
      <c r="CL1254" s="10">
        <v>15</v>
      </c>
      <c r="CM1254" s="10">
        <v>207</v>
      </c>
      <c r="CN1254" s="10">
        <v>0.28299999999999997</v>
      </c>
      <c r="CO1254" s="10">
        <v>140</v>
      </c>
      <c r="CP1254" s="10">
        <v>162</v>
      </c>
      <c r="CQ1254" s="10">
        <v>137</v>
      </c>
      <c r="CR1254" s="10">
        <v>7</v>
      </c>
      <c r="CS1254" s="10">
        <v>8.5</v>
      </c>
      <c r="CT1254" s="9" t="s">
        <v>188</v>
      </c>
      <c r="CU1254" s="10"/>
      <c r="CV1254" s="10"/>
      <c r="CW1254" s="10"/>
      <c r="CX1254" t="str">
        <f>INDEX('Data_Price '!AG$2:AG$1266,MATCH(Data!$DN1254,'Data_Price '!$AT$2:$AT$1266,0))</f>
        <v>Nordica Enforcer 94 Skis 2022</v>
      </c>
      <c r="CY1254" t="str">
        <f>INDEX('Data_Price '!AH$2:AH$1266,MATCH(Data!$DN1254,'Data_Price '!$AT$2:$AT$1266,0))</f>
        <v>sunandski.com</v>
      </c>
      <c r="CZ1254">
        <f>INDEX('Data_Price '!AI$2:AI$1266,MATCH(Data!$DN1254,'Data_Price '!$AT$2:$AT$1266,0))</f>
        <v>559.92999999999995</v>
      </c>
      <c r="DA1254" t="str">
        <f>INDEX('Data_Price '!AJ$2:AJ$1266,MATCH(Data!$DN1254,'Data_Price '!$AT$2:$AT$1266,0))</f>
        <v>https://tinyurl.com/ya2qv9vy</v>
      </c>
      <c r="DB1254" t="str">
        <f>INDEX('Data_Price '!AK$2:AK$1266,MATCH(Data!$DN1254,'Data_Price '!$AT$2:$AT$1266,0))</f>
        <v>Nordica Enforcer 94 Skis 2022</v>
      </c>
      <c r="DC1254" t="str">
        <f>INDEX('Data_Price '!AL$2:AL$1266,MATCH(Data!$DN1254,'Data_Price '!$AT$2:$AT$1266,0))</f>
        <v>SkiEssentials.com</v>
      </c>
      <c r="DD1254">
        <f>INDEX('Data_Price '!AM$2:AM$1266,MATCH(Data!$DN1254,'Data_Price '!$AT$2:$AT$1266,0))</f>
        <v>559.99</v>
      </c>
      <c r="DE1254" t="str">
        <f>INDEX('Data_Price '!AN$2:AN$1266,MATCH(Data!$DN1254,'Data_Price '!$AT$2:$AT$1266,0))</f>
        <v>https://tinyurl.com/ycrn3ltr</v>
      </c>
      <c r="DF1254" t="str">
        <f>INDEX('Data_Price '!AO$2:AO$1266,MATCH(Data!$DN1254,'Data_Price '!$AT$2:$AT$1266,0))</f>
        <v>Nordica Enforcer 94 Skis 2022</v>
      </c>
      <c r="DG1254" t="str">
        <f>INDEX('Data_Price '!AP$2:AP$1266,MATCH(Data!$DN1254,'Data_Price '!$AT$2:$AT$1266,0))</f>
        <v>AlpineShopVT.com</v>
      </c>
      <c r="DH1254">
        <f>INDEX('Data_Price '!AQ$2:AQ$1266,MATCH(Data!$DN1254,'Data_Price '!$AT$2:$AT$1266,0))</f>
        <v>559.99</v>
      </c>
      <c r="DI1254" t="str">
        <f>INDEX('Data_Price '!AR$2:AR$1266,MATCH(Data!$DN1254,'Data_Price '!$AT$2:$AT$1266,0))</f>
        <v>https://tinyurl.com/ydyzf93j</v>
      </c>
      <c r="DJ1254" s="89" t="str">
        <f t="shared" si="735"/>
        <v>https://tinyurl.com/ya2qv9vy</v>
      </c>
      <c r="DK1254" s="89" t="str">
        <f t="shared" si="736"/>
        <v>https://tinyurl.com/ycrn3ltr</v>
      </c>
      <c r="DL1254" s="89" t="str">
        <f t="shared" si="737"/>
        <v>https://tinyurl.com/ydyzf93j</v>
      </c>
      <c r="DM1254" s="219" t="str">
        <f t="shared" si="738"/>
        <v>Enforcer 94</v>
      </c>
      <c r="DN1254" s="89" t="str">
        <f t="shared" si="739"/>
        <v xml:space="preserve"> NordicaEnforcer 94186 Unisex</v>
      </c>
      <c r="DO1254" s="221" t="s">
        <v>789</v>
      </c>
    </row>
    <row r="1255" spans="2:119" ht="15.6" customHeight="1">
      <c r="B1255" s="219" t="b">
        <f t="array" ref="B1255">IF(OR(ISERROR(K1255:P1255)),FALSE,TRUE)</f>
        <v>1</v>
      </c>
      <c r="C1255" s="43" t="b">
        <f>OR(BR1255=Driver!$G$50,Data!BR279=Driver!$H$50)</f>
        <v>1</v>
      </c>
      <c r="D1255" s="43" t="b">
        <f>OR(BV1255=Driver!$G$51,BV1255=Driver!$H$51)</f>
        <v>1</v>
      </c>
      <c r="E1255" s="43" t="b">
        <f>AND(BX1255&gt;Driver!$F$54,BX1255&lt;Driver!$G$54)</f>
        <v>0</v>
      </c>
      <c r="F1255" s="43" t="b">
        <f>CL1255&gt;Driver!$F$56</f>
        <v>1</v>
      </c>
      <c r="G1255" s="43" t="b">
        <f>AND(CB1255&gt;Driver!$F$55,CB1255&lt;Driver!$G$55)</f>
        <v>1</v>
      </c>
      <c r="H1255" s="43" t="b">
        <f t="shared" si="703"/>
        <v>0</v>
      </c>
      <c r="I1255" s="43">
        <f t="shared" si="704"/>
        <v>0</v>
      </c>
      <c r="J1255" s="43" t="b">
        <f t="array" ref="J1255">NOT(OR(($H$9:$H$1273=TRUE)*($I$9:$I$1273&gt;0)*($BT$9:$BT$1273=BT1255)*($K$9:$K$1273&gt;K1255)))</f>
        <v>1</v>
      </c>
      <c r="K1255" s="72">
        <f t="shared" si="705"/>
        <v>0.61362392994911497</v>
      </c>
      <c r="L1255" s="72">
        <f t="shared" si="706"/>
        <v>0.73306881706611859</v>
      </c>
      <c r="M1255" s="72">
        <f t="shared" si="707"/>
        <v>0.49417904283211145</v>
      </c>
      <c r="N1255" s="72">
        <f t="shared" si="708"/>
        <v>0.28191921884493376</v>
      </c>
      <c r="O1255" s="72">
        <f t="shared" si="709"/>
        <v>0.64737889252556291</v>
      </c>
      <c r="P1255" s="72">
        <f t="shared" si="710"/>
        <v>0.55323901712583767</v>
      </c>
      <c r="Q1255" s="72"/>
      <c r="R1255" s="72"/>
      <c r="S1255" s="72">
        <f t="shared" si="711"/>
        <v>0.72572869705961307</v>
      </c>
      <c r="T1255" s="72">
        <f t="shared" si="712"/>
        <v>0.50169612400971597</v>
      </c>
      <c r="U1255" s="72">
        <f t="shared" si="713"/>
        <v>0.63411143998429931</v>
      </c>
      <c r="V1255" s="72">
        <f t="shared" si="714"/>
        <v>0.51534502637732227</v>
      </c>
      <c r="W1255" s="72">
        <f t="shared" si="715"/>
        <v>0.76047739624505928</v>
      </c>
      <c r="X1255" s="72">
        <f t="shared" si="716"/>
        <v>0.26693118293388146</v>
      </c>
      <c r="Y1255" s="72">
        <f t="shared" si="717"/>
        <v>0.50582095716788855</v>
      </c>
      <c r="Z1255" s="72">
        <f t="shared" si="718"/>
        <v>0.71808078115506624</v>
      </c>
      <c r="AA1255" s="72">
        <f t="shared" si="719"/>
        <v>0.35262110747443709</v>
      </c>
      <c r="AB1255" s="72">
        <f t="shared" si="720"/>
        <v>0.44676098287416227</v>
      </c>
      <c r="AC1255" s="72"/>
      <c r="AD1255" s="72"/>
      <c r="AE1255" s="72">
        <f t="shared" si="721"/>
        <v>0.27427130294038693</v>
      </c>
      <c r="AF1255" s="72">
        <f t="shared" si="722"/>
        <v>0.49830387599028403</v>
      </c>
      <c r="AG1255" s="72">
        <f t="shared" si="723"/>
        <v>0.36588856001570069</v>
      </c>
      <c r="AH1255" s="72">
        <f t="shared" si="724"/>
        <v>0.48465497362267768</v>
      </c>
      <c r="AI1255" s="72">
        <f t="shared" si="725"/>
        <v>0.23952260375494072</v>
      </c>
      <c r="AJ1255" s="72">
        <f>(AV1255-Driver!$K$179)/(Driver!$L$179-Driver!$K$179)</f>
        <v>0.52115059221658189</v>
      </c>
      <c r="AK1255" s="72">
        <f>(AW1255-Driver!$K$180)/(Driver!$L$180-Driver!$K$180)</f>
        <v>0.72347309917553604</v>
      </c>
      <c r="AL1255" s="72">
        <f>(AX1255-Driver!$K$181)/(Driver!$L$181-Driver!$K$181)</f>
        <v>0.81976854486814643</v>
      </c>
      <c r="AM1255" s="72">
        <f>(AY1255-Driver!$K$182)/(Driver!$L$182-Driver!$K$182)</f>
        <v>9.4763913622609275E-2</v>
      </c>
      <c r="AN1255" s="72">
        <f>(AZ1255-Driver!$K$183)/(Driver!$L$183-Driver!$K$183)</f>
        <v>0.7009803921568627</v>
      </c>
      <c r="AO1255" s="72"/>
      <c r="AP1255" s="72"/>
      <c r="AQ1255" s="72">
        <f>(BC1255-Driver!$K$188)/(Driver!$L$188-Driver!$K$188)</f>
        <v>0.34572869705961307</v>
      </c>
      <c r="AR1255" s="72">
        <f>MIN((BD1255-Driver!$K$189)/(Driver!$L$189-Driver!$K$189),100%)</f>
        <v>5.1696124009716023E-2</v>
      </c>
      <c r="AS1255" s="72">
        <f>(BE1255-Driver!$K$190)/(Driver!$L$190-Driver!$K$190)</f>
        <v>0.14411143998429929</v>
      </c>
      <c r="AT1255" s="72">
        <f>(BF1255-Driver!$K$191)/(Driver!$L$191-Driver!$K$191)</f>
        <v>2.5345026377322343E-2</v>
      </c>
      <c r="AU1255" s="72">
        <f>(BG1255-Driver!$K$192)/(Driver!$L$192-Driver!$K$192)</f>
        <v>1.0477396245059287E-2</v>
      </c>
      <c r="AV1255" s="70">
        <f t="shared" si="726"/>
        <v>10.968660968660966</v>
      </c>
      <c r="AW1255" s="70">
        <f t="shared" si="727"/>
        <v>72.380756759915442</v>
      </c>
      <c r="AX1255" s="70">
        <f t="shared" si="728"/>
        <v>8.3779169038133183</v>
      </c>
      <c r="AY1255" s="70">
        <f>IFERROR(Driver!$K$19/Data!BH1255/Data!BI1255*Data!BK1255*Data!BL1255,"")</f>
        <v>0.11601930509692229</v>
      </c>
      <c r="AZ1255" s="70">
        <f t="shared" si="729"/>
        <v>63.886820551005208</v>
      </c>
      <c r="BA1255" s="70"/>
      <c r="BB1255" s="70"/>
      <c r="BC1255" s="70">
        <f t="shared" si="730"/>
        <v>179.3318786317304</v>
      </c>
      <c r="BD1255" s="70">
        <f t="shared" si="731"/>
        <v>6.2958382588461133</v>
      </c>
      <c r="BE1255" s="70">
        <f t="shared" si="732"/>
        <v>0.14426412086996998</v>
      </c>
      <c r="BF1255" s="70">
        <f t="shared" si="733"/>
        <v>2.8625426704308272</v>
      </c>
      <c r="BG1255" s="70">
        <f t="shared" si="734"/>
        <v>3.9674106040019759E-2</v>
      </c>
      <c r="BH1255" s="67">
        <f>MAX((CE1255-Driver!$F$200)/(Driver!$G$200-Driver!$F$200)*$BI$1,1)</f>
        <v>8.3779169038133183</v>
      </c>
      <c r="BI1255" s="67">
        <f>MAX($BI$1*(BY1255-Driver!$F$201)/(Driver!$G$201-Driver!$F$201),1)</f>
        <v>8.2278481012658222</v>
      </c>
      <c r="BJ1255" s="67">
        <f>(CB1255-Driver!$F$206)/(Driver!$G$206-Driver!$F$206)*$BI$1</f>
        <v>6.6666666666666661</v>
      </c>
      <c r="BK1255" s="67">
        <f>(CD1255-Driver!$F$203)/(Driver!$G$203-Driver!$F$203)*$BI$1</f>
        <v>7.24770642201835</v>
      </c>
      <c r="BL1255" s="67">
        <f>MAX((CR1255-Driver!$F$202)/(Driver!$G$202-Driver!$F$202)*$BI$1,1)</f>
        <v>5.5172413793103452</v>
      </c>
      <c r="BM1255" s="67">
        <f>MAX((CH1255-Driver!$F$204)/(Driver!$G$204-Driver!$F$204)*$BI$1,1)</f>
        <v>6.5811965811965809</v>
      </c>
      <c r="BN1255" s="67">
        <f>(CI1255-Driver!$F$205)/(Driver!$G$205-Driver!$F$205)*$BI$1</f>
        <v>7.7647058823529411</v>
      </c>
      <c r="BO1255" s="67">
        <f>(CK1255-Driver!$F$207)/(Driver!$G$207-Driver!$F$207)*$BI$1</f>
        <v>2.295760082730093</v>
      </c>
      <c r="BP1255" s="67">
        <f>(CM1255-Driver!$F$208)/(Driver!$G$208-Driver!$F$208)*$BI$1</f>
        <v>1.3555555555555556</v>
      </c>
      <c r="BQ1255" s="67">
        <f>(CL1255-Driver!$F$209)/(Driver!$G$209-Driver!$F$209)*$BI$1</f>
        <v>2.1875</v>
      </c>
      <c r="BR1255" s="28" t="s">
        <v>155</v>
      </c>
      <c r="BS1255" s="8" t="s">
        <v>317</v>
      </c>
      <c r="BT1255" s="9" t="s">
        <v>754</v>
      </c>
      <c r="BU1255" s="10">
        <v>185</v>
      </c>
      <c r="BV1255" s="9" t="s">
        <v>158</v>
      </c>
      <c r="BW1255" s="10">
        <v>185</v>
      </c>
      <c r="BX1255" s="10">
        <v>182.9</v>
      </c>
      <c r="BY1255" s="10">
        <v>138</v>
      </c>
      <c r="BZ1255" s="10">
        <v>157</v>
      </c>
      <c r="CA1255" s="10">
        <v>136</v>
      </c>
      <c r="CB1255" s="10">
        <v>106</v>
      </c>
      <c r="CC1255" s="10">
        <v>123</v>
      </c>
      <c r="CD1255" s="10">
        <v>25.2</v>
      </c>
      <c r="CE1255" s="10">
        <v>2372</v>
      </c>
      <c r="CF1255" s="10">
        <v>0.88</v>
      </c>
      <c r="CG1255" s="10">
        <v>2096</v>
      </c>
      <c r="CH1255" s="10">
        <v>255</v>
      </c>
      <c r="CI1255" s="10">
        <v>165</v>
      </c>
      <c r="CJ1255" s="10">
        <v>49</v>
      </c>
      <c r="CK1255" s="10">
        <v>332</v>
      </c>
      <c r="CL1255" s="10">
        <v>14</v>
      </c>
      <c r="CM1255" s="10">
        <v>122</v>
      </c>
      <c r="CN1255" s="10">
        <v>0.28299999999999997</v>
      </c>
      <c r="CO1255" s="10">
        <v>142</v>
      </c>
      <c r="CP1255" s="10">
        <v>117</v>
      </c>
      <c r="CQ1255" s="10">
        <v>189</v>
      </c>
      <c r="CR1255" s="10">
        <v>5</v>
      </c>
      <c r="CS1255" s="10">
        <v>11.4</v>
      </c>
      <c r="CT1255" s="9" t="s">
        <v>178</v>
      </c>
      <c r="CU1255" s="10"/>
      <c r="CV1255" s="10"/>
      <c r="CW1255" s="10"/>
      <c r="CX1255" t="str">
        <f>INDEX('Data_Price '!AG$2:AG$1266,MATCH(Data!$DN1255,'Data_Price '!$AT$2:$AT$1266,0))</f>
        <v>Blizzard Cochise 106 185</v>
      </c>
      <c r="CY1255" t="str">
        <f>INDEX('Data_Price '!AH$2:AH$1266,MATCH(Data!$DN1255,'Data_Price '!$AT$2:$AT$1266,0))</f>
        <v>Snowcountry.eu</v>
      </c>
      <c r="CZ1255">
        <f>INDEX('Data_Price '!AI$2:AI$1266,MATCH(Data!$DN1255,'Data_Price '!$AT$2:$AT$1266,0))</f>
        <v>483.9</v>
      </c>
      <c r="DA1255" t="str">
        <f>INDEX('Data_Price '!AJ$2:AJ$1266,MATCH(Data!$DN1255,'Data_Price '!$AT$2:$AT$1266,0))</f>
        <v>https://tinyurl.com/y8ph3cb2</v>
      </c>
      <c r="DB1255" t="str">
        <f>INDEX('Data_Price '!AK$2:AK$1266,MATCH(Data!$DN1255,'Data_Price '!$AT$2:$AT$1266,0))</f>
        <v>2022 Blizzard Cochise 106 Demo Skis w/ Marker Griffon 13 ID Bindings - 185| Ski Essentials</v>
      </c>
      <c r="DC1255" t="str">
        <f>INDEX('Data_Price '!AL$2:AL$1266,MATCH(Data!$DN1255,'Data_Price '!$AT$2:$AT$1266,0))</f>
        <v>SkiEssentials.com</v>
      </c>
      <c r="DD1255">
        <f>INDEX('Data_Price '!AM$2:AM$1266,MATCH(Data!$DN1255,'Data_Price '!$AT$2:$AT$1266,0))</f>
        <v>599</v>
      </c>
      <c r="DE1255" t="str">
        <f>INDEX('Data_Price '!AN$2:AN$1266,MATCH(Data!$DN1255,'Data_Price '!$AT$2:$AT$1266,0))</f>
        <v>https://tinyurl.com/y7agl2tp</v>
      </c>
      <c r="DF1255" t="str">
        <f>INDEX('Data_Price '!AO$2:AO$1266,MATCH(Data!$DN1255,'Data_Price '!$AT$2:$AT$1266,0))</f>
        <v>Blizzard Cochise 106 Skis</v>
      </c>
      <c r="DG1255" t="str">
        <f>INDEX('Data_Price '!AP$2:AP$1266,MATCH(Data!$DN1255,'Data_Price '!$AT$2:$AT$1266,0))</f>
        <v>Cole Sport</v>
      </c>
      <c r="DH1255">
        <f>INDEX('Data_Price '!AQ$2:AQ$1266,MATCH(Data!$DN1255,'Data_Price '!$AT$2:$AT$1266,0))</f>
        <v>799.95</v>
      </c>
      <c r="DI1255" t="str">
        <f>INDEX('Data_Price '!AR$2:AR$1266,MATCH(Data!$DN1255,'Data_Price '!$AT$2:$AT$1266,0))</f>
        <v>https://tinyurl.com/y9ddpbgn</v>
      </c>
      <c r="DJ1255" s="89" t="str">
        <f t="shared" si="735"/>
        <v>https://tinyurl.com/y8ph3cb2</v>
      </c>
      <c r="DK1255" s="89" t="str">
        <f t="shared" si="736"/>
        <v>https://tinyurl.com/y7agl2tp</v>
      </c>
      <c r="DL1255" s="89" t="str">
        <f t="shared" si="737"/>
        <v>https://tinyurl.com/y9ddpbgn</v>
      </c>
      <c r="DM1255" s="219" t="str">
        <f t="shared" si="738"/>
        <v>Cochise 106</v>
      </c>
      <c r="DN1255" s="89" t="str">
        <f t="shared" si="739"/>
        <v xml:space="preserve"> BlizzardCochise 106185 Unisex</v>
      </c>
      <c r="DO1255" s="221"/>
    </row>
    <row r="1256" spans="2:119" ht="15.6" customHeight="1">
      <c r="B1256" s="219" t="b">
        <f t="array" ref="B1256">IF(OR(ISERROR(K1256:P1256)),FALSE,TRUE)</f>
        <v>1</v>
      </c>
      <c r="C1256" s="43" t="b">
        <f>OR(BR1256=Driver!$G$50,Data!BR314=Driver!$H$50)</f>
        <v>1</v>
      </c>
      <c r="D1256" s="43" t="b">
        <f>OR(BV1256=Driver!$G$51,BV1256=Driver!$H$51)</f>
        <v>1</v>
      </c>
      <c r="E1256" s="43" t="b">
        <f>AND(BX1256&gt;Driver!$F$54,BX1256&lt;Driver!$G$54)</f>
        <v>0</v>
      </c>
      <c r="F1256" s="43" t="b">
        <f>CL1256&gt;Driver!$F$56</f>
        <v>1</v>
      </c>
      <c r="G1256" s="43" t="b">
        <f>AND(CB1256&gt;Driver!$F$55,CB1256&lt;Driver!$G$55)</f>
        <v>0</v>
      </c>
      <c r="H1256" s="43" t="b">
        <f t="shared" si="703"/>
        <v>0</v>
      </c>
      <c r="I1256" s="43">
        <f t="shared" si="704"/>
        <v>0</v>
      </c>
      <c r="J1256" s="43" t="b">
        <f t="array" ref="J1256">NOT(OR(($H$9:$H$1273=TRUE)*($I$9:$I$1273&gt;0)*($BT$9:$BT$1273=BT1256)*($K$9:$K$1273&gt;K1256)))</f>
        <v>1</v>
      </c>
      <c r="K1256" s="72">
        <f t="shared" si="705"/>
        <v>0.67513836750020328</v>
      </c>
      <c r="L1256" s="72">
        <f t="shared" si="706"/>
        <v>0.85391047549693055</v>
      </c>
      <c r="M1256" s="72">
        <f t="shared" si="707"/>
        <v>0.49636625950347601</v>
      </c>
      <c r="N1256" s="72">
        <f t="shared" si="708"/>
        <v>0.30595007952918096</v>
      </c>
      <c r="O1256" s="72">
        <f t="shared" si="709"/>
        <v>0.58946850538482098</v>
      </c>
      <c r="P1256" s="72">
        <f t="shared" si="710"/>
        <v>0.59368019359642599</v>
      </c>
      <c r="Q1256" s="72"/>
      <c r="R1256" s="72"/>
      <c r="S1256" s="72">
        <f t="shared" si="711"/>
        <v>0.60965411794703495</v>
      </c>
      <c r="T1256" s="72">
        <f t="shared" si="712"/>
        <v>0.87940848693135409</v>
      </c>
      <c r="U1256" s="72">
        <f t="shared" si="713"/>
        <v>0.51</v>
      </c>
      <c r="V1256" s="72">
        <f t="shared" si="714"/>
        <v>0.4906467590535698</v>
      </c>
      <c r="W1256" s="72">
        <f t="shared" si="715"/>
        <v>0.75581830029494479</v>
      </c>
      <c r="X1256" s="72">
        <f t="shared" si="716"/>
        <v>0.14608952450306945</v>
      </c>
      <c r="Y1256" s="72">
        <f t="shared" si="717"/>
        <v>0.50363374049652399</v>
      </c>
      <c r="Z1256" s="72">
        <f t="shared" si="718"/>
        <v>0.69404992047081904</v>
      </c>
      <c r="AA1256" s="72">
        <f t="shared" si="719"/>
        <v>0.41053149461517902</v>
      </c>
      <c r="AB1256" s="72">
        <f t="shared" si="720"/>
        <v>0.40631980640357407</v>
      </c>
      <c r="AC1256" s="72"/>
      <c r="AD1256" s="72"/>
      <c r="AE1256" s="72">
        <f t="shared" si="721"/>
        <v>0.39034588205296511</v>
      </c>
      <c r="AF1256" s="72">
        <f t="shared" si="722"/>
        <v>0.12059151306864591</v>
      </c>
      <c r="AG1256" s="72">
        <f t="shared" si="723"/>
        <v>0.49</v>
      </c>
      <c r="AH1256" s="72">
        <f t="shared" si="724"/>
        <v>0.5093532409464302</v>
      </c>
      <c r="AI1256" s="72">
        <f t="shared" si="725"/>
        <v>0.24418169970505521</v>
      </c>
      <c r="AJ1256" s="72">
        <f>(AV1256-Driver!$K$179)/(Driver!$L$179-Driver!$K$179)</f>
        <v>0.10812988477963098</v>
      </c>
      <c r="AK1256" s="72">
        <f>(AW1256-Driver!$K$180)/(Driver!$L$180-Driver!$K$180)</f>
        <v>0.68270763761795206</v>
      </c>
      <c r="AL1256" s="72">
        <f>(AX1256-Driver!$K$181)/(Driver!$L$181-Driver!$K$181)</f>
        <v>0.79573768418389923</v>
      </c>
      <c r="AM1256" s="72">
        <f>(AY1256-Driver!$K$182)/(Driver!$L$182-Driver!$K$182)</f>
        <v>3.6853526481867342E-2</v>
      </c>
      <c r="AN1256" s="72">
        <f>(AZ1256-Driver!$K$183)/(Driver!$L$183-Driver!$K$183)</f>
        <v>0.66053921568627449</v>
      </c>
      <c r="AO1256" s="72"/>
      <c r="AP1256" s="72"/>
      <c r="AQ1256" s="72">
        <f>(BC1256-Driver!$K$188)/(Driver!$L$188-Driver!$K$188)</f>
        <v>0.22965411794703489</v>
      </c>
      <c r="AR1256" s="72">
        <f>MIN((BD1256-Driver!$K$189)/(Driver!$L$189-Driver!$K$189),100%)</f>
        <v>0.67059151306864595</v>
      </c>
      <c r="AS1256" s="72">
        <f>(BE1256-Driver!$K$190)/(Driver!$L$190-Driver!$K$190)</f>
        <v>1</v>
      </c>
      <c r="AT1256" s="72">
        <f>(BF1256-Driver!$K$191)/(Driver!$L$191-Driver!$K$191)</f>
        <v>6.4675905356984757E-4</v>
      </c>
      <c r="AU1256" s="72">
        <f>(BG1256-Driver!$K$192)/(Driver!$L$192-Driver!$K$192)</f>
        <v>5.8183002949447841E-3</v>
      </c>
      <c r="AV1256" s="70">
        <f t="shared" si="726"/>
        <v>2.2758106091439427</v>
      </c>
      <c r="AW1256" s="70">
        <f t="shared" si="727"/>
        <v>68.407801312393275</v>
      </c>
      <c r="AX1256" s="70">
        <f t="shared" si="728"/>
        <v>8.1616391576550935</v>
      </c>
      <c r="AY1256" s="70">
        <f>IFERROR(Driver!$K$19/Data!BH1256/Data!BI1256*Data!BK1256*Data!BL1256,"")</f>
        <v>4.511971244481347E-2</v>
      </c>
      <c r="AZ1256" s="70">
        <f t="shared" si="729"/>
        <v>60.201042442293371</v>
      </c>
      <c r="BA1256" s="70"/>
      <c r="BB1256" s="70"/>
      <c r="BC1256" s="70">
        <f t="shared" si="730"/>
        <v>119.12318750865354</v>
      </c>
      <c r="BD1256" s="70">
        <f t="shared" si="731"/>
        <v>61.066983572822288</v>
      </c>
      <c r="BE1256" s="70">
        <f t="shared" si="732"/>
        <v>1</v>
      </c>
      <c r="BF1256" s="70">
        <f t="shared" si="733"/>
        <v>7.3046891361205221E-2</v>
      </c>
      <c r="BG1256" s="70">
        <f t="shared" si="734"/>
        <v>2.203179659098704E-2</v>
      </c>
      <c r="BH1256" s="67">
        <f>MAX((CE1256-Driver!$F$200)/(Driver!$G$200-Driver!$F$200)*$BI$1,1)</f>
        <v>8.1616391576550935</v>
      </c>
      <c r="BI1256" s="67">
        <f>MAX($BI$1*(BY1256-Driver!$F$201)/(Driver!$G$201-Driver!$F$201),1)</f>
        <v>9.3037974683544302</v>
      </c>
      <c r="BJ1256" s="67">
        <f>(CB1256-Driver!$F$206)/(Driver!$G$206-Driver!$F$206)*$BI$1</f>
        <v>1.746031746031746</v>
      </c>
      <c r="BK1256" s="67">
        <f>(CD1256-Driver!$F$203)/(Driver!$G$203-Driver!$F$203)*$BI$1</f>
        <v>2.6146788990825689</v>
      </c>
      <c r="BL1256" s="67">
        <f>MAX((CR1256-Driver!$F$202)/(Driver!$G$202-Driver!$F$202)*$BI$1,1)</f>
        <v>6.5517241379310338</v>
      </c>
      <c r="BM1256" s="67">
        <f>MAX((CH1256-Driver!$F$204)/(Driver!$G$204-Driver!$F$204)*$BI$1,1)</f>
        <v>5.2136752136752138</v>
      </c>
      <c r="BN1256" s="67">
        <f>(CI1256-Driver!$F$205)/(Driver!$G$205-Driver!$F$205)*$BI$1</f>
        <v>6.4705882352941178</v>
      </c>
      <c r="BO1256" s="67">
        <f>(CK1256-Driver!$F$207)/(Driver!$G$207-Driver!$F$207)*$BI$1</f>
        <v>0.17580144777662873</v>
      </c>
      <c r="BP1256" s="67">
        <f>(CM1256-Driver!$F$208)/(Driver!$G$208-Driver!$F$208)*$BI$1</f>
        <v>0.62222222222222223</v>
      </c>
      <c r="BQ1256" s="67">
        <f>(CL1256-Driver!$F$209)/(Driver!$G$209-Driver!$F$209)*$BI$1</f>
        <v>0.9375</v>
      </c>
      <c r="BR1256" s="28" t="s">
        <v>155</v>
      </c>
      <c r="BS1256" s="8" t="s">
        <v>317</v>
      </c>
      <c r="BT1256" s="9" t="s">
        <v>878</v>
      </c>
      <c r="BU1256" s="10">
        <v>174</v>
      </c>
      <c r="BV1256" s="9" t="s">
        <v>158</v>
      </c>
      <c r="BW1256" s="10">
        <v>174</v>
      </c>
      <c r="BX1256" s="10">
        <v>172.9</v>
      </c>
      <c r="BY1256" s="10">
        <v>155</v>
      </c>
      <c r="BZ1256" s="10">
        <v>160</v>
      </c>
      <c r="CA1256" s="10">
        <v>125</v>
      </c>
      <c r="CB1256" s="10">
        <v>75</v>
      </c>
      <c r="CC1256" s="10">
        <v>106</v>
      </c>
      <c r="CD1256" s="10">
        <v>15.1</v>
      </c>
      <c r="CE1256" s="10">
        <v>2334</v>
      </c>
      <c r="CF1256" s="10">
        <v>0.67</v>
      </c>
      <c r="CG1256" s="10">
        <v>1555</v>
      </c>
      <c r="CH1256" s="10">
        <v>223</v>
      </c>
      <c r="CI1256" s="10">
        <v>143</v>
      </c>
      <c r="CJ1256" s="10">
        <v>40</v>
      </c>
      <c r="CK1256" s="10">
        <v>127</v>
      </c>
      <c r="CL1256" s="10">
        <v>6</v>
      </c>
      <c r="CM1256" s="10">
        <v>56</v>
      </c>
      <c r="CN1256" s="10">
        <v>0.157</v>
      </c>
      <c r="CO1256" s="10">
        <v>75</v>
      </c>
      <c r="CP1256" s="10">
        <v>52</v>
      </c>
      <c r="CQ1256" s="10">
        <v>52</v>
      </c>
      <c r="CR1256" s="10">
        <v>8</v>
      </c>
      <c r="CS1256" s="10">
        <v>11.4</v>
      </c>
      <c r="CT1256" s="9" t="s">
        <v>349</v>
      </c>
      <c r="CU1256" s="10"/>
      <c r="CV1256" s="10"/>
      <c r="CW1256" s="10"/>
      <c r="CX1256" t="str">
        <f>INDEX('Data_Price '!AG$2:AG$1266,MATCH(Data!$DN1256,'Data_Price '!$AT$2:$AT$1266,0))</f>
        <v>Blizzard Thunderbird R15 WB Ski System with TPX 12 Bindings Men's, 174</v>
      </c>
      <c r="CY1256" t="str">
        <f>INDEX('Data_Price '!AH$2:AH$1266,MATCH(Data!$DN1256,'Data_Price '!$AT$2:$AT$1266,0))</f>
        <v>Ski Country Sports</v>
      </c>
      <c r="CZ1256">
        <f>INDEX('Data_Price '!AI$2:AI$1266,MATCH(Data!$DN1256,'Data_Price '!$AT$2:$AT$1266,0))</f>
        <v>899.95</v>
      </c>
      <c r="DA1256" t="str">
        <f>INDEX('Data_Price '!AJ$2:AJ$1266,MATCH(Data!$DN1256,'Data_Price '!$AT$2:$AT$1266,0))</f>
        <v>https://tinyurl.com/y75y8oej</v>
      </c>
      <c r="DB1256" t="str">
        <f>INDEX('Data_Price '!AK$2:AK$1266,MATCH(Data!$DN1256,'Data_Price '!$AT$2:$AT$1266,0))</f>
        <v>Blizzard Men's Thunderbird Sport 7.2 Skis with TLT 10 Bindings '22</v>
      </c>
      <c r="DC1256" t="str">
        <f>INDEX('Data_Price '!AL$2:AL$1266,MATCH(Data!$DN1256,'Data_Price '!$AT$2:$AT$1266,0))</f>
        <v>sunandski.com</v>
      </c>
      <c r="DD1256">
        <f>INDEX('Data_Price '!AM$2:AM$1266,MATCH(Data!$DN1256,'Data_Price '!$AT$2:$AT$1266,0))</f>
        <v>319.93</v>
      </c>
      <c r="DE1256" t="str">
        <f>INDEX('Data_Price '!AN$2:AN$1266,MATCH(Data!$DN1256,'Data_Price '!$AT$2:$AT$1266,0))</f>
        <v>https://tinyurl.com/ycy7hkot</v>
      </c>
      <c r="DF1256" t="str">
        <f>INDEX('Data_Price '!AO$2:AO$1266,MATCH(Data!$DN1256,'Data_Price '!$AT$2:$AT$1266,0))</f>
        <v>Blizzard Thunderbird 72 Ski + TLT10 - Winter 2021/2022 174</v>
      </c>
      <c r="DG1256" t="str">
        <f>INDEX('Data_Price '!AP$2:AP$1266,MATCH(Data!$DN1256,'Data_Price '!$AT$2:$AT$1266,0))</f>
        <v>Equipe Sport</v>
      </c>
      <c r="DH1256">
        <f>INDEX('Data_Price '!AQ$2:AQ$1266,MATCH(Data!$DN1256,'Data_Price '!$AT$2:$AT$1266,0))</f>
        <v>399</v>
      </c>
      <c r="DI1256" t="str">
        <f>INDEX('Data_Price '!AR$2:AR$1266,MATCH(Data!$DN1256,'Data_Price '!$AT$2:$AT$1266,0))</f>
        <v>https://tinyurl.com/ybfc26ez</v>
      </c>
      <c r="DJ1256" s="89" t="str">
        <f t="shared" si="735"/>
        <v>https://tinyurl.com/y75y8oej</v>
      </c>
      <c r="DK1256" s="89" t="str">
        <f t="shared" si="736"/>
        <v>https://tinyurl.com/ycy7hkot</v>
      </c>
      <c r="DL1256" s="89" t="str">
        <f t="shared" si="737"/>
        <v>https://tinyurl.com/ybfc26ez</v>
      </c>
      <c r="DM1256" s="219" t="str">
        <f t="shared" si="738"/>
        <v>Thunderbird R15 WB</v>
      </c>
      <c r="DN1256" s="89" t="str">
        <f t="shared" si="739"/>
        <v xml:space="preserve"> BlizzardThunderbird R15 WB174 Unisex</v>
      </c>
      <c r="DO1256" s="221"/>
    </row>
    <row r="1257" spans="2:119" ht="15.6" customHeight="1">
      <c r="B1257" s="219" t="b">
        <f t="array" ref="B1257">IF(OR(ISERROR(K1257:P1257)),FALSE,TRUE)</f>
        <v>1</v>
      </c>
      <c r="C1257" s="43" t="b">
        <f>OR(BR1257=Driver!$G$50,Data!BR596=Driver!$H$50)</f>
        <v>1</v>
      </c>
      <c r="D1257" s="43" t="b">
        <f>OR(BV1257=Driver!$G$51,BV1257=Driver!$H$51)</f>
        <v>1</v>
      </c>
      <c r="E1257" s="43" t="b">
        <f>AND(BX1257&gt;Driver!$F$54,BX1257&lt;Driver!$G$54)</f>
        <v>0</v>
      </c>
      <c r="F1257" s="43" t="b">
        <f>CL1257&gt;Driver!$F$56</f>
        <v>1</v>
      </c>
      <c r="G1257" s="43" t="b">
        <f>AND(CB1257&gt;Driver!$F$55,CB1257&lt;Driver!$G$55)</f>
        <v>0</v>
      </c>
      <c r="H1257" s="43" t="b">
        <f t="shared" si="703"/>
        <v>0</v>
      </c>
      <c r="I1257" s="43">
        <f t="shared" si="704"/>
        <v>0</v>
      </c>
      <c r="J1257" s="43" t="b">
        <f t="array" ref="J1257">NOT(OR(($H$9:$H$1273=TRUE)*($I$9:$I$1273&gt;0)*($BT$9:$BT$1273=BT1257)*($K$9:$K$1273&gt;K1257)))</f>
        <v>1</v>
      </c>
      <c r="K1257" s="72">
        <f t="shared" si="705"/>
        <v>0.63487368298471036</v>
      </c>
      <c r="L1257" s="72">
        <f t="shared" si="706"/>
        <v>0.76914695926133314</v>
      </c>
      <c r="M1257" s="72">
        <f t="shared" si="707"/>
        <v>0.50060040670808781</v>
      </c>
      <c r="N1257" s="72">
        <f t="shared" si="708"/>
        <v>0.43748742222190207</v>
      </c>
      <c r="O1257" s="72">
        <f t="shared" si="709"/>
        <v>0.58158131672423596</v>
      </c>
      <c r="P1257" s="72">
        <f t="shared" si="710"/>
        <v>0.48273248117812528</v>
      </c>
      <c r="Q1257" s="72"/>
      <c r="R1257" s="72"/>
      <c r="S1257" s="72">
        <f t="shared" si="711"/>
        <v>0.78833105969292161</v>
      </c>
      <c r="T1257" s="72">
        <f t="shared" si="712"/>
        <v>0.55000000000000004</v>
      </c>
      <c r="U1257" s="72">
        <f t="shared" si="713"/>
        <v>0.51</v>
      </c>
      <c r="V1257" s="72">
        <f t="shared" si="714"/>
        <v>0.49025689152629504</v>
      </c>
      <c r="W1257" s="72">
        <f t="shared" si="715"/>
        <v>0.75381729200652525</v>
      </c>
      <c r="X1257" s="72">
        <f t="shared" si="716"/>
        <v>0.23085304073866691</v>
      </c>
      <c r="Y1257" s="72">
        <f t="shared" si="717"/>
        <v>0.49939959329191225</v>
      </c>
      <c r="Z1257" s="72">
        <f t="shared" si="718"/>
        <v>0.56251257777809793</v>
      </c>
      <c r="AA1257" s="72">
        <f t="shared" si="719"/>
        <v>0.41841868327576404</v>
      </c>
      <c r="AB1257" s="72">
        <f t="shared" si="720"/>
        <v>0.51726751882187472</v>
      </c>
      <c r="AC1257" s="72"/>
      <c r="AD1257" s="72"/>
      <c r="AE1257" s="72">
        <f t="shared" si="721"/>
        <v>0.21166894030707839</v>
      </c>
      <c r="AF1257" s="72">
        <f t="shared" si="722"/>
        <v>0.44999999999999996</v>
      </c>
      <c r="AG1257" s="72">
        <f t="shared" si="723"/>
        <v>0.49</v>
      </c>
      <c r="AH1257" s="72">
        <f t="shared" si="724"/>
        <v>0.50974310847370496</v>
      </c>
      <c r="AI1257" s="72">
        <f t="shared" si="725"/>
        <v>0.24618270799347472</v>
      </c>
      <c r="AJ1257" s="72">
        <f>(AV1257-Driver!$K$179)/(Driver!$L$179-Driver!$K$179)</f>
        <v>2.3366368544033518E-2</v>
      </c>
      <c r="AK1257" s="72">
        <f>(AW1257-Driver!$K$180)/(Driver!$L$180-Driver!$K$180)</f>
        <v>0.77421494446279249</v>
      </c>
      <c r="AL1257" s="72">
        <f>(AX1257-Driver!$K$181)/(Driver!$L$181-Driver!$K$181)</f>
        <v>0.66420034149117813</v>
      </c>
      <c r="AM1257" s="72">
        <f>(AY1257-Driver!$K$182)/(Driver!$L$182-Driver!$K$182)</f>
        <v>2.8966337821282318E-2</v>
      </c>
      <c r="AN1257" s="72">
        <f>(AZ1257-Driver!$K$183)/(Driver!$L$183-Driver!$K$183)</f>
        <v>0.77148692810457509</v>
      </c>
      <c r="AO1257" s="72"/>
      <c r="AP1257" s="72"/>
      <c r="AQ1257" s="72">
        <f>(BC1257-Driver!$K$188)/(Driver!$L$188-Driver!$K$188)</f>
        <v>0.40833105969292161</v>
      </c>
      <c r="AR1257" s="72">
        <f>MIN((BD1257-Driver!$K$189)/(Driver!$L$189-Driver!$K$189),100%)</f>
        <v>1</v>
      </c>
      <c r="AS1257" s="72">
        <f>(BE1257-Driver!$K$190)/(Driver!$L$190-Driver!$K$190)</f>
        <v>1</v>
      </c>
      <c r="AT1257" s="72">
        <f>(BF1257-Driver!$K$191)/(Driver!$L$191-Driver!$K$191)</f>
        <v>2.5689152629508692E-4</v>
      </c>
      <c r="AU1257" s="72">
        <f>(BG1257-Driver!$K$192)/(Driver!$L$192-Driver!$K$192)</f>
        <v>3.8172920065252859E-3</v>
      </c>
      <c r="AV1257" s="70">
        <f t="shared" si="726"/>
        <v>0.49179215845882512</v>
      </c>
      <c r="AW1257" s="70">
        <f t="shared" si="727"/>
        <v>77.325999201646795</v>
      </c>
      <c r="AX1257" s="70">
        <f t="shared" si="728"/>
        <v>6.9778030734206027</v>
      </c>
      <c r="AY1257" s="70">
        <f>IFERROR(Driver!$K$19/Data!BH1257/Data!BI1257*Data!BK1257*Data!BL1257,"")</f>
        <v>3.546344021429345E-2</v>
      </c>
      <c r="AZ1257" s="70">
        <f t="shared" si="729"/>
        <v>70.312732688011906</v>
      </c>
      <c r="BA1257" s="70"/>
      <c r="BB1257" s="70"/>
      <c r="BC1257" s="70">
        <f t="shared" si="730"/>
        <v>211.80415933419201</v>
      </c>
      <c r="BD1257" s="70">
        <f t="shared" si="731"/>
        <v>525.76513074521051</v>
      </c>
      <c r="BE1257" s="70">
        <f t="shared" si="732"/>
        <v>1</v>
      </c>
      <c r="BF1257" s="70">
        <f t="shared" si="733"/>
        <v>2.901409312991526E-2</v>
      </c>
      <c r="BG1257" s="70">
        <f t="shared" si="734"/>
        <v>1.4454702705743378E-2</v>
      </c>
      <c r="BH1257" s="67">
        <f>MAX((CE1257-Driver!$F$200)/(Driver!$G$200-Driver!$F$200)*$BI$1,1)</f>
        <v>6.9778030734206027</v>
      </c>
      <c r="BI1257" s="67">
        <f>MAX($BI$1*(BY1257-Driver!$F$201)/(Driver!$G$201-Driver!$F$201),1)</f>
        <v>8.9873417721518987</v>
      </c>
      <c r="BJ1257" s="67">
        <f>(CB1257-Driver!$F$206)/(Driver!$G$206-Driver!$F$206)*$BI$1</f>
        <v>0.31746031746031744</v>
      </c>
      <c r="BK1257" s="67">
        <f>(CD1257-Driver!$F$203)/(Driver!$G$203-Driver!$F$203)*$BI$1</f>
        <v>1.6972477064220182</v>
      </c>
      <c r="BL1257" s="67">
        <f>MAX((CR1257-Driver!$F$202)/(Driver!$G$202-Driver!$F$202)*$BI$1,1)</f>
        <v>6.5517241379310338</v>
      </c>
      <c r="BM1257" s="67">
        <f>MAX((CH1257-Driver!$F$204)/(Driver!$G$204-Driver!$F$204)*$BI$1,1)</f>
        <v>6.1965811965811968</v>
      </c>
      <c r="BN1257" s="67">
        <f>(CI1257-Driver!$F$205)/(Driver!$G$205-Driver!$F$205)*$BI$1</f>
        <v>7.8235294117647056</v>
      </c>
      <c r="BO1257" s="67">
        <f>(CK1257-Driver!$F$207)/(Driver!$G$207-Driver!$F$207)*$BI$1</f>
        <v>0.27921406411582211</v>
      </c>
      <c r="BP1257" s="67">
        <f>(CM1257-Driver!$F$208)/(Driver!$G$208-Driver!$F$208)*$BI$1</f>
        <v>0.55555555555555558</v>
      </c>
      <c r="BQ1257" s="67">
        <f>(CL1257-Driver!$F$209)/(Driver!$G$209-Driver!$F$209)*$BI$1</f>
        <v>0.625</v>
      </c>
      <c r="BR1257" s="28" t="s">
        <v>155</v>
      </c>
      <c r="BS1257" s="8" t="s">
        <v>245</v>
      </c>
      <c r="BT1257" s="9" t="s">
        <v>873</v>
      </c>
      <c r="BU1257" s="10">
        <v>170</v>
      </c>
      <c r="BV1257" s="9" t="s">
        <v>158</v>
      </c>
      <c r="BW1257" s="10">
        <v>170</v>
      </c>
      <c r="BX1257" s="10">
        <v>169.2</v>
      </c>
      <c r="BY1257" s="10">
        <v>150</v>
      </c>
      <c r="BZ1257" s="10">
        <v>160</v>
      </c>
      <c r="CA1257" s="10">
        <v>121</v>
      </c>
      <c r="CB1257" s="10">
        <v>66</v>
      </c>
      <c r="CC1257" s="10">
        <v>104</v>
      </c>
      <c r="CD1257" s="10">
        <v>13.1</v>
      </c>
      <c r="CE1257" s="10">
        <v>2126</v>
      </c>
      <c r="CF1257" s="10">
        <v>0.67</v>
      </c>
      <c r="CG1257" s="10">
        <v>1419</v>
      </c>
      <c r="CH1257" s="10">
        <v>246</v>
      </c>
      <c r="CI1257" s="10">
        <v>166</v>
      </c>
      <c r="CJ1257" s="10">
        <v>36</v>
      </c>
      <c r="CK1257" s="10">
        <v>137</v>
      </c>
      <c r="CL1257" s="10">
        <v>4</v>
      </c>
      <c r="CM1257" s="10">
        <v>50</v>
      </c>
      <c r="CN1257" s="10">
        <v>0.107</v>
      </c>
      <c r="CO1257" s="10">
        <v>47</v>
      </c>
      <c r="CP1257" s="10">
        <v>43</v>
      </c>
      <c r="CQ1257" s="10">
        <v>91</v>
      </c>
      <c r="CR1257" s="10">
        <v>8</v>
      </c>
      <c r="CS1257" s="10">
        <v>13.1</v>
      </c>
      <c r="CT1257" s="9" t="s">
        <v>349</v>
      </c>
      <c r="CU1257" s="10"/>
      <c r="CV1257" s="10"/>
      <c r="CW1257" s="10"/>
      <c r="CX1257" t="str">
        <f>INDEX('Data_Price '!AG$2:AG$1266,MATCH(Data!$DN1257,'Data_Price '!$AT$2:$AT$1266,0))</f>
        <v>Fischer RC4 WC GS MO-Plate Junior Race Skis 170cm</v>
      </c>
      <c r="CY1257" t="str">
        <f>INDEX('Data_Price '!AH$2:AH$1266,MATCH(Data!$DN1257,'Data_Price '!$AT$2:$AT$1266,0))</f>
        <v>Peak Performance Ski Shop</v>
      </c>
      <c r="CZ1257">
        <f>INDEX('Data_Price '!AI$2:AI$1266,MATCH(Data!$DN1257,'Data_Price '!$AT$2:$AT$1266,0))</f>
        <v>329.99</v>
      </c>
      <c r="DA1257" t="str">
        <f>INDEX('Data_Price '!AJ$2:AJ$1266,MATCH(Data!$DN1257,'Data_Price '!$AT$2:$AT$1266,0))</f>
        <v>https://tinyurl.com/y85yj87u</v>
      </c>
      <c r="DB1257" t="str">
        <f>INDEX('Data_Price '!AK$2:AK$1266,MATCH(Data!$DN1257,'Data_Price '!$AT$2:$AT$1266,0))</f>
        <v>Fischer RC4 Worldcup SC Pro Black-Yellow 170 Ski Lady's Men</v>
      </c>
      <c r="DC1257" t="str">
        <f>INDEX('Data_Price '!AL$2:AL$1266,MATCH(Data!$DN1257,'Data_Price '!$AT$2:$AT$1266,0))</f>
        <v>! OutdoorXL.com</v>
      </c>
      <c r="DD1257">
        <f>INDEX('Data_Price '!AM$2:AM$1266,MATCH(Data!$DN1257,'Data_Price '!$AT$2:$AT$1266,0))</f>
        <v>589.95000000000005</v>
      </c>
      <c r="DE1257" t="str">
        <f>INDEX('Data_Price '!AN$2:AN$1266,MATCH(Data!$DN1257,'Data_Price '!$AT$2:$AT$1266,0))</f>
        <v>https://tinyurl.com/yaopwd9t</v>
      </c>
      <c r="DF1257" t="str">
        <f>INDEX('Data_Price '!AO$2:AO$1266,MATCH(Data!$DN1257,'Data_Price '!$AT$2:$AT$1266,0))</f>
        <v>Fischer RC4 World Cup SC Pro M/o+rc4 Z13 FF Woman 170</v>
      </c>
      <c r="DG1257" t="str">
        <f>INDEX('Data_Price '!AP$2:AP$1266,MATCH(Data!$DN1257,'Data_Price '!$AT$2:$AT$1266,0))</f>
        <v>Snowinn.com</v>
      </c>
      <c r="DH1257">
        <f>INDEX('Data_Price '!AQ$2:AQ$1266,MATCH(Data!$DN1257,'Data_Price '!$AT$2:$AT$1266,0))</f>
        <v>591.49</v>
      </c>
      <c r="DI1257" t="str">
        <f>INDEX('Data_Price '!AR$2:AR$1266,MATCH(Data!$DN1257,'Data_Price '!$AT$2:$AT$1266,0))</f>
        <v>https://tinyurl.com/y78tjd3v</v>
      </c>
      <c r="DJ1257" s="89" t="str">
        <f t="shared" si="735"/>
        <v>https://tinyurl.com/y85yj87u</v>
      </c>
      <c r="DK1257" s="89" t="str">
        <f t="shared" si="736"/>
        <v>https://tinyurl.com/yaopwd9t</v>
      </c>
      <c r="DL1257" s="89" t="str">
        <f t="shared" si="737"/>
        <v>https://tinyurl.com/y78tjd3v</v>
      </c>
      <c r="DM1257" s="219" t="str">
        <f t="shared" si="738"/>
        <v>RC4 WC SC</v>
      </c>
      <c r="DN1257" s="89" t="str">
        <f t="shared" si="739"/>
        <v xml:space="preserve"> FischerRC4 WC SC170 Unisex</v>
      </c>
      <c r="DO1257" s="221"/>
    </row>
    <row r="1258" spans="2:119" ht="15.6" customHeight="1">
      <c r="B1258" s="219" t="b">
        <f t="array" ref="B1258">IF(OR(ISERROR(K1258:P1258)),FALSE,TRUE)</f>
        <v>1</v>
      </c>
      <c r="C1258" s="43" t="b">
        <f>OR(BR1258=Driver!$G$50,Data!BR422=Driver!$H$50)</f>
        <v>1</v>
      </c>
      <c r="D1258" s="43" t="b">
        <f>OR(BV1258=Driver!$G$51,BV1258=Driver!$H$51)</f>
        <v>1</v>
      </c>
      <c r="E1258" s="43" t="b">
        <f>AND(BX1258&gt;Driver!$F$54,BX1258&lt;Driver!$G$54)</f>
        <v>0</v>
      </c>
      <c r="F1258" s="43" t="b">
        <f>CL1258&gt;Driver!$F$56</f>
        <v>1</v>
      </c>
      <c r="G1258" s="43" t="b">
        <f>AND(CB1258&gt;Driver!$F$55,CB1258&lt;Driver!$G$55)</f>
        <v>0</v>
      </c>
      <c r="H1258" s="43" t="b">
        <f t="shared" si="703"/>
        <v>0</v>
      </c>
      <c r="I1258" s="43">
        <f t="shared" si="704"/>
        <v>0</v>
      </c>
      <c r="J1258" s="43" t="b">
        <f t="array" ref="J1258">NOT(OR(($H$9:$H$1273=TRUE)*($I$9:$I$1273&gt;0)*($BT$9:$BT$1273=BT1258)*($K$9:$K$1273&gt;K1258)))</f>
        <v>1</v>
      </c>
      <c r="K1258" s="72">
        <f t="shared" si="705"/>
        <v>0.63334299238820835</v>
      </c>
      <c r="L1258" s="72">
        <f t="shared" si="706"/>
        <v>0.7803467014255423</v>
      </c>
      <c r="M1258" s="72">
        <f t="shared" si="707"/>
        <v>0.4863392833508744</v>
      </c>
      <c r="N1258" s="72">
        <f t="shared" si="708"/>
        <v>0.22626880462878241</v>
      </c>
      <c r="O1258" s="72">
        <f t="shared" si="709"/>
        <v>0.58020447274244746</v>
      </c>
      <c r="P1258" s="72">
        <f t="shared" si="710"/>
        <v>0.65254457268139321</v>
      </c>
      <c r="Q1258" s="72"/>
      <c r="R1258" s="72"/>
      <c r="S1258" s="72">
        <f t="shared" si="711"/>
        <v>0.65407091267696538</v>
      </c>
      <c r="T1258" s="72">
        <f t="shared" si="712"/>
        <v>0.55000000000000004</v>
      </c>
      <c r="U1258" s="72">
        <f t="shared" si="713"/>
        <v>0.51</v>
      </c>
      <c r="V1258" s="72">
        <f t="shared" si="714"/>
        <v>0.49023884324983225</v>
      </c>
      <c r="W1258" s="72">
        <f t="shared" si="715"/>
        <v>0.75228146853146849</v>
      </c>
      <c r="X1258" s="72">
        <f t="shared" si="716"/>
        <v>0.21965329857445773</v>
      </c>
      <c r="Y1258" s="72">
        <f t="shared" si="717"/>
        <v>0.5136607166491256</v>
      </c>
      <c r="Z1258" s="72">
        <f t="shared" si="718"/>
        <v>0.77373119537121759</v>
      </c>
      <c r="AA1258" s="72">
        <f t="shared" si="719"/>
        <v>0.41979552725755254</v>
      </c>
      <c r="AB1258" s="72">
        <f t="shared" si="720"/>
        <v>0.34745542731860674</v>
      </c>
      <c r="AC1258" s="72"/>
      <c r="AD1258" s="72"/>
      <c r="AE1258" s="72">
        <f t="shared" si="721"/>
        <v>0.34592908732303462</v>
      </c>
      <c r="AF1258" s="72">
        <f t="shared" si="722"/>
        <v>0.44999999999999996</v>
      </c>
      <c r="AG1258" s="72">
        <f t="shared" si="723"/>
        <v>0.49</v>
      </c>
      <c r="AH1258" s="72">
        <f t="shared" si="724"/>
        <v>0.50976115675016775</v>
      </c>
      <c r="AI1258" s="72">
        <f t="shared" si="725"/>
        <v>0.24771853146853146</v>
      </c>
      <c r="AJ1258" s="72">
        <f>(AV1258-Driver!$K$179)/(Driver!$L$179-Driver!$K$179)</f>
        <v>3.4566110708242691E-2</v>
      </c>
      <c r="AK1258" s="72">
        <f>(AW1258-Driver!$K$180)/(Driver!$L$180-Driver!$K$180)</f>
        <v>0.63490218180244495</v>
      </c>
      <c r="AL1258" s="72">
        <f>(AX1258-Driver!$K$181)/(Driver!$L$181-Driver!$K$181)</f>
        <v>0.87541895908429779</v>
      </c>
      <c r="AM1258" s="72">
        <f>(AY1258-Driver!$K$182)/(Driver!$L$182-Driver!$K$182)</f>
        <v>2.7589493839493835E-2</v>
      </c>
      <c r="AN1258" s="72">
        <f>(AZ1258-Driver!$K$183)/(Driver!$L$183-Driver!$K$183)</f>
        <v>0.60167483660130716</v>
      </c>
      <c r="AO1258" s="72"/>
      <c r="AP1258" s="72"/>
      <c r="AQ1258" s="72">
        <f>(BC1258-Driver!$K$188)/(Driver!$L$188-Driver!$K$188)</f>
        <v>0.27407091267696537</v>
      </c>
      <c r="AR1258" s="72">
        <f>MIN((BD1258-Driver!$K$189)/(Driver!$L$189-Driver!$K$189),100%)</f>
        <v>1</v>
      </c>
      <c r="AS1258" s="72">
        <f>(BE1258-Driver!$K$190)/(Driver!$L$190-Driver!$K$190)</f>
        <v>1</v>
      </c>
      <c r="AT1258" s="72">
        <f>(BF1258-Driver!$K$191)/(Driver!$L$191-Driver!$K$191)</f>
        <v>2.3884324983230386E-4</v>
      </c>
      <c r="AU1258" s="72">
        <f>(BG1258-Driver!$K$192)/(Driver!$L$192-Driver!$K$192)</f>
        <v>2.2814685314685311E-3</v>
      </c>
      <c r="AV1258" s="70">
        <f t="shared" si="726"/>
        <v>0.72751322751322756</v>
      </c>
      <c r="AW1258" s="70">
        <f t="shared" si="727"/>
        <v>63.748736043741481</v>
      </c>
      <c r="AX1258" s="70">
        <f t="shared" si="728"/>
        <v>8.8787706317586803</v>
      </c>
      <c r="AY1258" s="70">
        <f>IFERROR(Driver!$K$19/Data!BH1258/Data!BI1258*Data!BK1258*Data!BL1258,"")</f>
        <v>3.3777772369990029E-2</v>
      </c>
      <c r="AZ1258" s="70">
        <f t="shared" si="729"/>
        <v>54.83618763961281</v>
      </c>
      <c r="BA1258" s="70"/>
      <c r="BB1258" s="70"/>
      <c r="BC1258" s="70">
        <f t="shared" si="730"/>
        <v>142.16248771561592</v>
      </c>
      <c r="BD1258" s="70">
        <f t="shared" si="731"/>
        <v>483.17992398223197</v>
      </c>
      <c r="BE1258" s="70">
        <f t="shared" si="732"/>
        <v>1</v>
      </c>
      <c r="BF1258" s="70">
        <f t="shared" si="733"/>
        <v>2.6975667099762235E-2</v>
      </c>
      <c r="BG1258" s="70">
        <f t="shared" si="734"/>
        <v>8.6390952797202793E-3</v>
      </c>
      <c r="BH1258" s="67">
        <f>MAX((CE1258-Driver!$F$200)/(Driver!$G$200-Driver!$F$200)*$BI$1,1)</f>
        <v>8.8787706317586803</v>
      </c>
      <c r="BI1258" s="67">
        <f>MAX($BI$1*(BY1258-Driver!$F$201)/(Driver!$G$201-Driver!$F$201),1)</f>
        <v>9.0506329113924053</v>
      </c>
      <c r="BJ1258" s="67">
        <f>(CB1258-Driver!$F$206)/(Driver!$G$206-Driver!$F$206)*$BI$1</f>
        <v>0.47619047619047616</v>
      </c>
      <c r="BK1258" s="67">
        <f>(CD1258-Driver!$F$203)/(Driver!$G$203-Driver!$F$203)*$BI$1</f>
        <v>1.7889908256880738</v>
      </c>
      <c r="BL1258" s="67">
        <f>MAX((CR1258-Driver!$F$202)/(Driver!$G$202-Driver!$F$202)*$BI$1,1)</f>
        <v>7.5862068965517242</v>
      </c>
      <c r="BM1258" s="67">
        <f>MAX((CH1258-Driver!$F$204)/(Driver!$G$204-Driver!$F$204)*$BI$1,1)</f>
        <v>6.1111111111111116</v>
      </c>
      <c r="BN1258" s="67">
        <f>(CI1258-Driver!$F$205)/(Driver!$G$205-Driver!$F$205)*$BI$1</f>
        <v>6.0588235294117645</v>
      </c>
      <c r="BO1258" s="67">
        <f>(CK1258-Driver!$F$207)/(Driver!$G$207-Driver!$F$207)*$BI$1</f>
        <v>0.21716649431230611</v>
      </c>
      <c r="BP1258" s="67">
        <f>(CM1258-Driver!$F$208)/(Driver!$G$208-Driver!$F$208)*$BI$1</f>
        <v>0.46666666666666667</v>
      </c>
      <c r="BQ1258" s="67">
        <f>(CL1258-Driver!$F$209)/(Driver!$G$209-Driver!$F$209)*$BI$1</f>
        <v>0.46875</v>
      </c>
      <c r="BR1258" s="28" t="s">
        <v>155</v>
      </c>
      <c r="BS1258" s="8" t="s">
        <v>164</v>
      </c>
      <c r="BT1258" s="9" t="s">
        <v>883</v>
      </c>
      <c r="BU1258" s="10">
        <v>169</v>
      </c>
      <c r="BV1258" s="9" t="s">
        <v>158</v>
      </c>
      <c r="BW1258" s="10">
        <v>169</v>
      </c>
      <c r="BX1258" s="10">
        <v>168.1</v>
      </c>
      <c r="BY1258" s="10">
        <v>151</v>
      </c>
      <c r="BZ1258" s="10">
        <v>158</v>
      </c>
      <c r="CA1258" s="10">
        <v>121</v>
      </c>
      <c r="CB1258" s="10">
        <v>67</v>
      </c>
      <c r="CC1258" s="10">
        <v>104</v>
      </c>
      <c r="CD1258" s="10">
        <v>13.3</v>
      </c>
      <c r="CE1258" s="10">
        <v>2460</v>
      </c>
      <c r="CF1258" s="10">
        <v>0.57999999999999996</v>
      </c>
      <c r="CG1258" s="10">
        <v>1418</v>
      </c>
      <c r="CH1258" s="10">
        <v>244</v>
      </c>
      <c r="CI1258" s="10">
        <v>136</v>
      </c>
      <c r="CJ1258" s="10">
        <v>37</v>
      </c>
      <c r="CK1258" s="10">
        <v>131</v>
      </c>
      <c r="CL1258" s="10">
        <v>3</v>
      </c>
      <c r="CM1258" s="10">
        <v>42</v>
      </c>
      <c r="CN1258" s="10">
        <v>7.3999999999999996E-2</v>
      </c>
      <c r="CO1258" s="10">
        <v>56</v>
      </c>
      <c r="CP1258" s="10">
        <v>41</v>
      </c>
      <c r="CQ1258" s="10">
        <v>75</v>
      </c>
      <c r="CR1258" s="10">
        <v>11</v>
      </c>
      <c r="CS1258" s="10">
        <v>8.6</v>
      </c>
      <c r="CT1258" s="9" t="s">
        <v>349</v>
      </c>
      <c r="CU1258" s="10"/>
      <c r="CV1258" s="10"/>
      <c r="CW1258" s="10"/>
      <c r="CX1258" t="str">
        <f>INDEX('Data_Price '!AG$2:AG$1266,MATCH(Data!$DN1258,'Data_Price '!$AT$2:$AT$1266,0))</f>
        <v>Elan Ace SLX Blue-Green 169 Ski Lady's Men</v>
      </c>
      <c r="CY1258" t="str">
        <f>INDEX('Data_Price '!AH$2:AH$1266,MATCH(Data!$DN1258,'Data_Price '!$AT$2:$AT$1266,0))</f>
        <v>! OutdoorXL.com</v>
      </c>
      <c r="CZ1258">
        <f>INDEX('Data_Price '!AI$2:AI$1266,MATCH(Data!$DN1258,'Data_Price '!$AT$2:$AT$1266,0))</f>
        <v>659.95</v>
      </c>
      <c r="DA1258" t="str">
        <f>INDEX('Data_Price '!AJ$2:AJ$1266,MATCH(Data!$DN1258,'Data_Price '!$AT$2:$AT$1266,0))</f>
        <v>https://tinyurl.com/y87ppdwx</v>
      </c>
      <c r="DB1258">
        <f>INDEX('Data_Price '!AK$2:AK$1266,MATCH(Data!$DN1258,'Data_Price '!$AT$2:$AT$1266,0))</f>
        <v>0</v>
      </c>
      <c r="DC1258">
        <f>INDEX('Data_Price '!AL$2:AL$1266,MATCH(Data!$DN1258,'Data_Price '!$AT$2:$AT$1266,0))</f>
        <v>0</v>
      </c>
      <c r="DD1258">
        <f>INDEX('Data_Price '!AM$2:AM$1266,MATCH(Data!$DN1258,'Data_Price '!$AT$2:$AT$1266,0))</f>
        <v>0</v>
      </c>
      <c r="DE1258">
        <f>INDEX('Data_Price '!AN$2:AN$1266,MATCH(Data!$DN1258,'Data_Price '!$AT$2:$AT$1266,0))</f>
        <v>0</v>
      </c>
      <c r="DF1258">
        <f>INDEX('Data_Price '!AO$2:AO$1266,MATCH(Data!$DN1258,'Data_Price '!$AT$2:$AT$1266,0))</f>
        <v>0</v>
      </c>
      <c r="DG1258">
        <f>INDEX('Data_Price '!AP$2:AP$1266,MATCH(Data!$DN1258,'Data_Price '!$AT$2:$AT$1266,0))</f>
        <v>0</v>
      </c>
      <c r="DH1258">
        <f>INDEX('Data_Price '!AQ$2:AQ$1266,MATCH(Data!$DN1258,'Data_Price '!$AT$2:$AT$1266,0))</f>
        <v>0</v>
      </c>
      <c r="DI1258">
        <f>INDEX('Data_Price '!AR$2:AR$1266,MATCH(Data!$DN1258,'Data_Price '!$AT$2:$AT$1266,0))</f>
        <v>0</v>
      </c>
      <c r="DJ1258" s="89" t="str">
        <f t="shared" si="735"/>
        <v>https://tinyurl.com/y87ppdwx</v>
      </c>
      <c r="DK1258" s="89">
        <f t="shared" si="736"/>
        <v>0</v>
      </c>
      <c r="DL1258" s="89">
        <f t="shared" si="737"/>
        <v>0</v>
      </c>
      <c r="DM1258" s="219" t="str">
        <f t="shared" si="738"/>
        <v>Ace SLX</v>
      </c>
      <c r="DN1258" s="89" t="str">
        <f t="shared" si="739"/>
        <v xml:space="preserve"> ElanAce SLX169 Unisex</v>
      </c>
      <c r="DO1258" s="221"/>
    </row>
    <row r="1259" spans="2:119" ht="15.6" customHeight="1">
      <c r="B1259" s="219" t="b">
        <f t="array" ref="B1259">IF(OR(ISERROR(K1259:P1259)),FALSE,TRUE)</f>
        <v>1</v>
      </c>
      <c r="C1259" s="43" t="b">
        <f>OR(BR1259=Driver!$G$50,Data!BR703=Driver!$H$50)</f>
        <v>1</v>
      </c>
      <c r="D1259" s="43" t="b">
        <f>OR(BV1259=Driver!$G$51,BV1259=Driver!$H$51)</f>
        <v>1</v>
      </c>
      <c r="E1259" s="43" t="b">
        <f>AND(BX1259&gt;Driver!$F$54,BX1259&lt;Driver!$G$54)</f>
        <v>0</v>
      </c>
      <c r="F1259" s="43" t="b">
        <f>CL1259&gt;Driver!$F$56</f>
        <v>1</v>
      </c>
      <c r="G1259" s="43" t="b">
        <f>AND(CB1259&gt;Driver!$F$55,CB1259&lt;Driver!$G$55)</f>
        <v>0</v>
      </c>
      <c r="H1259" s="43" t="b">
        <f t="shared" si="703"/>
        <v>0</v>
      </c>
      <c r="I1259" s="43">
        <f t="shared" si="704"/>
        <v>0</v>
      </c>
      <c r="J1259" s="43" t="b">
        <f t="array" ref="J1259">NOT(OR(($H$9:$H$1273=TRUE)*($I$9:$I$1273&gt;0)*($BT$9:$BT$1273=BT1259)*($K$9:$K$1273&gt;K1259)))</f>
        <v>1</v>
      </c>
      <c r="K1259" s="72">
        <f t="shared" si="705"/>
        <v>0.69906452284076792</v>
      </c>
      <c r="L1259" s="72">
        <f t="shared" si="706"/>
        <v>0.91272926528018727</v>
      </c>
      <c r="M1259" s="72">
        <f t="shared" si="707"/>
        <v>0.48539978040134846</v>
      </c>
      <c r="N1259" s="72">
        <f t="shared" si="708"/>
        <v>0.42483960080914029</v>
      </c>
      <c r="O1259" s="72">
        <f t="shared" si="709"/>
        <v>0.61807170366122421</v>
      </c>
      <c r="P1259" s="72">
        <f t="shared" si="710"/>
        <v>0.41328803673368086</v>
      </c>
      <c r="Q1259" s="72"/>
      <c r="R1259" s="72"/>
      <c r="S1259" s="72">
        <f t="shared" si="711"/>
        <v>0.75737380185795811</v>
      </c>
      <c r="T1259" s="72">
        <f t="shared" si="712"/>
        <v>0.84367933242431747</v>
      </c>
      <c r="U1259" s="72">
        <f t="shared" si="713"/>
        <v>0.51</v>
      </c>
      <c r="V1259" s="72">
        <f t="shared" si="714"/>
        <v>0.49242744036509623</v>
      </c>
      <c r="W1259" s="72">
        <f t="shared" si="715"/>
        <v>0.75643979653811111</v>
      </c>
      <c r="X1259" s="72">
        <f t="shared" si="716"/>
        <v>8.727073471981267E-2</v>
      </c>
      <c r="Y1259" s="72">
        <f t="shared" si="717"/>
        <v>0.51460021959865154</v>
      </c>
      <c r="Z1259" s="72">
        <f t="shared" si="718"/>
        <v>0.57516039919085971</v>
      </c>
      <c r="AA1259" s="72">
        <f t="shared" si="719"/>
        <v>0.38192829633877584</v>
      </c>
      <c r="AB1259" s="72">
        <f t="shared" si="720"/>
        <v>0.58671196326631914</v>
      </c>
      <c r="AC1259" s="72"/>
      <c r="AD1259" s="72"/>
      <c r="AE1259" s="72">
        <f t="shared" si="721"/>
        <v>0.24262619814204184</v>
      </c>
      <c r="AF1259" s="72">
        <f t="shared" si="722"/>
        <v>0.15632066757568258</v>
      </c>
      <c r="AG1259" s="72">
        <f t="shared" si="723"/>
        <v>0.49</v>
      </c>
      <c r="AH1259" s="72">
        <f t="shared" si="724"/>
        <v>0.50757255963490377</v>
      </c>
      <c r="AI1259" s="72">
        <f t="shared" si="725"/>
        <v>0.24356020346188886</v>
      </c>
      <c r="AJ1259" s="72">
        <f>(AV1259-Driver!$K$179)/(Driver!$L$179-Driver!$K$179)</f>
        <v>0.16694867456288776</v>
      </c>
      <c r="AK1259" s="72">
        <f>(AW1259-Driver!$K$180)/(Driver!$L$180-Driver!$K$180)</f>
        <v>0.84078271857848041</v>
      </c>
      <c r="AL1259" s="72">
        <f>(AX1259-Driver!$K$181)/(Driver!$L$181-Driver!$K$181)</f>
        <v>0.6768481629039399</v>
      </c>
      <c r="AM1259" s="72">
        <f>(AY1259-Driver!$K$182)/(Driver!$L$182-Driver!$K$182)</f>
        <v>6.545672475827051E-2</v>
      </c>
      <c r="AN1259" s="72">
        <f>(AZ1259-Driver!$K$183)/(Driver!$L$183-Driver!$K$183)</f>
        <v>0.84093137254901962</v>
      </c>
      <c r="AO1259" s="72"/>
      <c r="AP1259" s="72"/>
      <c r="AQ1259" s="72">
        <f>(BC1259-Driver!$K$188)/(Driver!$L$188-Driver!$K$188)</f>
        <v>0.37737380185795816</v>
      </c>
      <c r="AR1259" s="72">
        <f>MIN((BD1259-Driver!$K$189)/(Driver!$L$189-Driver!$K$189),100%)</f>
        <v>0.39367933242431746</v>
      </c>
      <c r="AS1259" s="72">
        <f>(BE1259-Driver!$K$190)/(Driver!$L$190-Driver!$K$190)</f>
        <v>1</v>
      </c>
      <c r="AT1259" s="72">
        <f>(BF1259-Driver!$K$191)/(Driver!$L$191-Driver!$K$191)</f>
        <v>2.4274403650961867E-3</v>
      </c>
      <c r="AU1259" s="72">
        <f>(BG1259-Driver!$K$192)/(Driver!$L$192-Driver!$K$192)</f>
        <v>6.4397965381111436E-3</v>
      </c>
      <c r="AV1259" s="70">
        <f t="shared" si="726"/>
        <v>3.5137701804368473</v>
      </c>
      <c r="AW1259" s="70">
        <f t="shared" si="727"/>
        <v>83.813618639703805</v>
      </c>
      <c r="AX1259" s="70">
        <f t="shared" si="728"/>
        <v>7.091633466135459</v>
      </c>
      <c r="AY1259" s="70">
        <f>IFERROR(Driver!$K$19/Data!BH1259/Data!BI1259*Data!BK1259*Data!BL1259,"")</f>
        <v>8.0138561505792211E-2</v>
      </c>
      <c r="AZ1259" s="70">
        <f t="shared" si="729"/>
        <v>76.641846612062551</v>
      </c>
      <c r="BA1259" s="70"/>
      <c r="BB1259" s="70"/>
      <c r="BC1259" s="70">
        <f t="shared" si="730"/>
        <v>195.7464144838315</v>
      </c>
      <c r="BD1259" s="70">
        <f t="shared" si="731"/>
        <v>36.560746245149474</v>
      </c>
      <c r="BE1259" s="70">
        <f t="shared" si="732"/>
        <v>1</v>
      </c>
      <c r="BF1259" s="70">
        <f t="shared" si="733"/>
        <v>0.27416233550387542</v>
      </c>
      <c r="BG1259" s="70">
        <f t="shared" si="734"/>
        <v>2.4385177839356207E-2</v>
      </c>
      <c r="BH1259" s="67">
        <f>MAX((CE1259-Driver!$F$200)/(Driver!$G$200-Driver!$F$200)*$BI$1,1)</f>
        <v>7.091633466135459</v>
      </c>
      <c r="BI1259" s="67">
        <f>MAX($BI$1*(BY1259-Driver!$F$201)/(Driver!$G$201-Driver!$F$201),1)</f>
        <v>9.2405063291139236</v>
      </c>
      <c r="BJ1259" s="67">
        <f>(CB1259-Driver!$F$206)/(Driver!$G$206-Driver!$F$206)*$BI$1</f>
        <v>2.2222222222222223</v>
      </c>
      <c r="BK1259" s="67">
        <f>(CD1259-Driver!$F$203)/(Driver!$G$203-Driver!$F$203)*$BI$1</f>
        <v>3.8073394495412844</v>
      </c>
      <c r="BL1259" s="67">
        <f>MAX((CR1259-Driver!$F$202)/(Driver!$G$202-Driver!$F$202)*$BI$1,1)</f>
        <v>6.8965517241379315</v>
      </c>
      <c r="BM1259" s="67">
        <f>MAX((CH1259-Driver!$F$204)/(Driver!$G$204-Driver!$F$204)*$BI$1,1)</f>
        <v>6.3247863247863245</v>
      </c>
      <c r="BN1259" s="67">
        <f>(CI1259-Driver!$F$205)/(Driver!$G$205-Driver!$F$205)*$BI$1</f>
        <v>8.2941176470588243</v>
      </c>
      <c r="BO1259" s="67">
        <f>(CK1259-Driver!$F$207)/(Driver!$G$207-Driver!$F$207)*$BI$1</f>
        <v>0.57911065149948293</v>
      </c>
      <c r="BP1259" s="67">
        <f>(CM1259-Driver!$F$208)/(Driver!$G$208-Driver!$F$208)*$BI$1</f>
        <v>0.81111111111111112</v>
      </c>
      <c r="BQ1259" s="67">
        <f>(CL1259-Driver!$F$209)/(Driver!$G$209-Driver!$F$209)*$BI$1</f>
        <v>1.09375</v>
      </c>
      <c r="BR1259" s="28" t="s">
        <v>155</v>
      </c>
      <c r="BS1259" s="8" t="s">
        <v>262</v>
      </c>
      <c r="BT1259" s="9" t="s">
        <v>906</v>
      </c>
      <c r="BU1259" s="10">
        <v>177</v>
      </c>
      <c r="BV1259" s="9" t="s">
        <v>158</v>
      </c>
      <c r="BW1259" s="10">
        <v>177</v>
      </c>
      <c r="BX1259" s="10">
        <v>177.5</v>
      </c>
      <c r="BY1259" s="10">
        <v>154</v>
      </c>
      <c r="BZ1259" s="10">
        <v>165</v>
      </c>
      <c r="CA1259" s="10">
        <v>123</v>
      </c>
      <c r="CB1259" s="10">
        <v>78</v>
      </c>
      <c r="CC1259" s="10">
        <v>109</v>
      </c>
      <c r="CD1259" s="10">
        <v>17.7</v>
      </c>
      <c r="CE1259" s="10">
        <v>2146</v>
      </c>
      <c r="CF1259" s="10">
        <v>0.76</v>
      </c>
      <c r="CG1259" s="10">
        <v>1624</v>
      </c>
      <c r="CH1259" s="10">
        <v>249</v>
      </c>
      <c r="CI1259" s="10">
        <v>174</v>
      </c>
      <c r="CJ1259" s="10">
        <v>35</v>
      </c>
      <c r="CK1259" s="10">
        <v>166</v>
      </c>
      <c r="CL1259" s="10">
        <v>7</v>
      </c>
      <c r="CM1259" s="10">
        <v>73</v>
      </c>
      <c r="CN1259" s="10">
        <v>0.20399999999999999</v>
      </c>
      <c r="CO1259" s="10">
        <v>81</v>
      </c>
      <c r="CP1259" s="10">
        <v>43</v>
      </c>
      <c r="CQ1259" s="10">
        <v>85</v>
      </c>
      <c r="CR1259" s="10">
        <v>9</v>
      </c>
      <c r="CS1259" s="10">
        <v>10.1</v>
      </c>
      <c r="CT1259" s="9" t="s">
        <v>349</v>
      </c>
      <c r="CU1259" s="10"/>
      <c r="CV1259" s="10"/>
      <c r="CW1259" s="10"/>
      <c r="CX1259" t="e">
        <f>INDEX('Data_Price '!AG$2:AG$1266,MATCH(Data!$DN1259,'Data_Price '!$AT$2:$AT$1266,0))</f>
        <v>#N/A</v>
      </c>
      <c r="CY1259" t="e">
        <f>INDEX('Data_Price '!AH$2:AH$1266,MATCH(Data!$DN1259,'Data_Price '!$AT$2:$AT$1266,0))</f>
        <v>#N/A</v>
      </c>
      <c r="CZ1259" t="e">
        <f>INDEX('Data_Price '!AI$2:AI$1266,MATCH(Data!$DN1259,'Data_Price '!$AT$2:$AT$1266,0))</f>
        <v>#N/A</v>
      </c>
      <c r="DA1259" t="e">
        <f>INDEX('Data_Price '!AJ$2:AJ$1266,MATCH(Data!$DN1259,'Data_Price '!$AT$2:$AT$1266,0))</f>
        <v>#N/A</v>
      </c>
      <c r="DB1259" t="e">
        <f>INDEX('Data_Price '!AK$2:AK$1266,MATCH(Data!$DN1259,'Data_Price '!$AT$2:$AT$1266,0))</f>
        <v>#N/A</v>
      </c>
      <c r="DC1259" t="e">
        <f>INDEX('Data_Price '!AL$2:AL$1266,MATCH(Data!$DN1259,'Data_Price '!$AT$2:$AT$1266,0))</f>
        <v>#N/A</v>
      </c>
      <c r="DD1259" t="e">
        <f>INDEX('Data_Price '!AM$2:AM$1266,MATCH(Data!$DN1259,'Data_Price '!$AT$2:$AT$1266,0))</f>
        <v>#N/A</v>
      </c>
      <c r="DE1259" t="e">
        <f>INDEX('Data_Price '!AN$2:AN$1266,MATCH(Data!$DN1259,'Data_Price '!$AT$2:$AT$1266,0))</f>
        <v>#N/A</v>
      </c>
      <c r="DF1259" t="e">
        <f>INDEX('Data_Price '!AO$2:AO$1266,MATCH(Data!$DN1259,'Data_Price '!$AT$2:$AT$1266,0))</f>
        <v>#N/A</v>
      </c>
      <c r="DG1259" t="e">
        <f>INDEX('Data_Price '!AP$2:AP$1266,MATCH(Data!$DN1259,'Data_Price '!$AT$2:$AT$1266,0))</f>
        <v>#N/A</v>
      </c>
      <c r="DH1259" t="e">
        <f>INDEX('Data_Price '!AQ$2:AQ$1266,MATCH(Data!$DN1259,'Data_Price '!$AT$2:$AT$1266,0))</f>
        <v>#N/A</v>
      </c>
      <c r="DI1259" t="e">
        <f>INDEX('Data_Price '!AR$2:AR$1266,MATCH(Data!$DN1259,'Data_Price '!$AT$2:$AT$1266,0))</f>
        <v>#N/A</v>
      </c>
      <c r="DJ1259" s="89" t="e">
        <f t="shared" si="735"/>
        <v>#N/A</v>
      </c>
      <c r="DK1259" s="89" t="e">
        <f t="shared" si="736"/>
        <v>#N/A</v>
      </c>
      <c r="DL1259" s="89" t="e">
        <f t="shared" si="737"/>
        <v>#N/A</v>
      </c>
      <c r="DM1259" s="219" t="str">
        <f t="shared" si="738"/>
        <v>Disruption 78 Ti</v>
      </c>
      <c r="DN1259" s="89" t="str">
        <f t="shared" si="739"/>
        <v xml:space="preserve"> K2Disruption 78 Ti177 Unisex</v>
      </c>
      <c r="DO1259" s="221"/>
    </row>
    <row r="1260" spans="2:119" ht="15.6" customHeight="1">
      <c r="B1260" s="219" t="b">
        <f t="array" ref="B1260">IF(OR(ISERROR(K1260:P1260)),FALSE,TRUE)</f>
        <v>1</v>
      </c>
      <c r="C1260" s="43" t="b">
        <f>OR(BR1260=Driver!$G$50,Data!BR709=Driver!$H$50)</f>
        <v>1</v>
      </c>
      <c r="D1260" s="43" t="b">
        <f>OR(BV1260=Driver!$G$51,BV1260=Driver!$H$51)</f>
        <v>1</v>
      </c>
      <c r="E1260" s="43" t="b">
        <f>AND(BX1260&gt;Driver!$F$54,BX1260&lt;Driver!$G$54)</f>
        <v>0</v>
      </c>
      <c r="F1260" s="43" t="b">
        <f>CL1260&gt;Driver!$F$56</f>
        <v>1</v>
      </c>
      <c r="G1260" s="43" t="b">
        <f>AND(CB1260&gt;Driver!$F$55,CB1260&lt;Driver!$G$55)</f>
        <v>0</v>
      </c>
      <c r="H1260" s="43" t="b">
        <f t="shared" si="703"/>
        <v>0</v>
      </c>
      <c r="I1260" s="43">
        <f t="shared" si="704"/>
        <v>0</v>
      </c>
      <c r="J1260" s="43" t="b">
        <f t="array" ref="J1260">NOT(OR(($H$9:$H$1273=TRUE)*($I$9:$I$1273&gt;0)*($BT$9:$BT$1273=BT1260)*($K$9:$K$1273&gt;K1260)))</f>
        <v>1</v>
      </c>
      <c r="K1260" s="72">
        <f t="shared" si="705"/>
        <v>0.71027295829891712</v>
      </c>
      <c r="L1260" s="72">
        <f t="shared" si="706"/>
        <v>0.96083175500704243</v>
      </c>
      <c r="M1260" s="72">
        <f t="shared" si="707"/>
        <v>0.45971416159079181</v>
      </c>
      <c r="N1260" s="72">
        <f t="shared" si="708"/>
        <v>0.38499896335894113</v>
      </c>
      <c r="O1260" s="72">
        <f t="shared" si="709"/>
        <v>0.62003032128106073</v>
      </c>
      <c r="P1260" s="72">
        <f t="shared" si="710"/>
        <v>0.3741132001323737</v>
      </c>
      <c r="Q1260" s="72"/>
      <c r="R1260" s="72"/>
      <c r="S1260" s="72">
        <f t="shared" si="711"/>
        <v>0.7686424644157217</v>
      </c>
      <c r="T1260" s="72">
        <f t="shared" si="712"/>
        <v>0.76273898568265042</v>
      </c>
      <c r="U1260" s="72">
        <f t="shared" si="713"/>
        <v>0.64497176558905356</v>
      </c>
      <c r="V1260" s="72">
        <f t="shared" si="714"/>
        <v>0.49561756435100668</v>
      </c>
      <c r="W1260" s="72">
        <f t="shared" si="715"/>
        <v>0.75742945701731768</v>
      </c>
      <c r="X1260" s="72">
        <f t="shared" si="716"/>
        <v>3.9168244992957513E-2</v>
      </c>
      <c r="Y1260" s="72">
        <f t="shared" si="717"/>
        <v>0.54028583840920819</v>
      </c>
      <c r="Z1260" s="72">
        <f t="shared" si="718"/>
        <v>0.61500103664105887</v>
      </c>
      <c r="AA1260" s="72">
        <f t="shared" si="719"/>
        <v>0.37996967871893933</v>
      </c>
      <c r="AB1260" s="72">
        <f t="shared" si="720"/>
        <v>0.6258867998676263</v>
      </c>
      <c r="AC1260" s="72"/>
      <c r="AD1260" s="72"/>
      <c r="AE1260" s="72">
        <f t="shared" si="721"/>
        <v>0.23135753558427835</v>
      </c>
      <c r="AF1260" s="72">
        <f t="shared" si="722"/>
        <v>0.23726101431734958</v>
      </c>
      <c r="AG1260" s="72">
        <f t="shared" si="723"/>
        <v>0.35502823441094644</v>
      </c>
      <c r="AH1260" s="72">
        <f t="shared" si="724"/>
        <v>0.50438243564899332</v>
      </c>
      <c r="AI1260" s="72">
        <f t="shared" si="725"/>
        <v>0.24257054298268235</v>
      </c>
      <c r="AJ1260" s="72">
        <f>(AV1260-Driver!$K$179)/(Driver!$L$179-Driver!$K$179)</f>
        <v>0.21505116428974291</v>
      </c>
      <c r="AK1260" s="72">
        <f>(AW1260-Driver!$K$180)/(Driver!$L$180-Driver!$K$180)</f>
        <v>0.88112105711286348</v>
      </c>
      <c r="AL1260" s="72">
        <f>(AX1260-Driver!$K$181)/(Driver!$L$181-Driver!$K$181)</f>
        <v>0.71668880035413907</v>
      </c>
      <c r="AM1260" s="72">
        <f>(AY1260-Driver!$K$182)/(Driver!$L$182-Driver!$K$182)</f>
        <v>6.7415342378107049E-2</v>
      </c>
      <c r="AN1260" s="72">
        <f>(AZ1260-Driver!$K$183)/(Driver!$L$183-Driver!$K$183)</f>
        <v>0.88010620915032678</v>
      </c>
      <c r="AO1260" s="72"/>
      <c r="AP1260" s="72"/>
      <c r="AQ1260" s="72">
        <f>(BC1260-Driver!$K$188)/(Driver!$L$188-Driver!$K$188)</f>
        <v>0.38864246441572164</v>
      </c>
      <c r="AR1260" s="72">
        <f>MIN((BD1260-Driver!$K$189)/(Driver!$L$189-Driver!$K$189),100%)</f>
        <v>0.31273898568265046</v>
      </c>
      <c r="AS1260" s="72">
        <f>(BE1260-Driver!$K$190)/(Driver!$L$190-Driver!$K$190)</f>
        <v>0.86502823441094645</v>
      </c>
      <c r="AT1260" s="72">
        <f>(BF1260-Driver!$K$191)/(Driver!$L$191-Driver!$K$191)</f>
        <v>5.6175643510066771E-3</v>
      </c>
      <c r="AU1260" s="72">
        <f>(BG1260-Driver!$K$192)/(Driver!$L$192-Driver!$K$192)</f>
        <v>7.4294570173176391E-3</v>
      </c>
      <c r="AV1260" s="70">
        <f t="shared" si="726"/>
        <v>4.5261836928503589</v>
      </c>
      <c r="AW1260" s="70">
        <f t="shared" si="727"/>
        <v>87.744947163920045</v>
      </c>
      <c r="AX1260" s="70">
        <f t="shared" si="728"/>
        <v>7.4501992031872515</v>
      </c>
      <c r="AY1260" s="70">
        <f>IFERROR(Driver!$K$19/Data!BH1260/Data!BI1260*Data!BK1260*Data!BL1260,"")</f>
        <v>8.2536493867566327E-2</v>
      </c>
      <c r="AZ1260" s="70">
        <f t="shared" si="729"/>
        <v>80.212211466865227</v>
      </c>
      <c r="BA1260" s="70"/>
      <c r="BB1260" s="70"/>
      <c r="BC1260" s="70">
        <f t="shared" si="730"/>
        <v>201.5915480910146</v>
      </c>
      <c r="BD1260" s="70">
        <f t="shared" si="731"/>
        <v>29.397668976319892</v>
      </c>
      <c r="BE1260" s="70">
        <f t="shared" si="732"/>
        <v>0.86505231185475562</v>
      </c>
      <c r="BF1260" s="70">
        <f t="shared" si="733"/>
        <v>0.6344644278230398</v>
      </c>
      <c r="BG1260" s="70">
        <f t="shared" si="734"/>
        <v>2.8132663748765288E-2</v>
      </c>
      <c r="BH1260" s="67">
        <f>MAX((CE1260-Driver!$F$200)/(Driver!$G$200-Driver!$F$200)*$BI$1,1)</f>
        <v>7.4501992031872515</v>
      </c>
      <c r="BI1260" s="67">
        <f>MAX($BI$1*(BY1260-Driver!$F$201)/(Driver!$G$201-Driver!$F$201),1)</f>
        <v>8.7974683544303804</v>
      </c>
      <c r="BJ1260" s="67">
        <f>(CB1260-Driver!$F$206)/(Driver!$G$206-Driver!$F$206)*$BI$1</f>
        <v>2.6984126984126982</v>
      </c>
      <c r="BK1260" s="67">
        <f>(CD1260-Driver!$F$203)/(Driver!$G$203-Driver!$F$203)*$BI$1</f>
        <v>4.1284403669724767</v>
      </c>
      <c r="BL1260" s="67">
        <f>MAX((CR1260-Driver!$F$202)/(Driver!$G$202-Driver!$F$202)*$BI$1,1)</f>
        <v>6.5517241379310338</v>
      </c>
      <c r="BM1260" s="67">
        <f>MAX((CH1260-Driver!$F$204)/(Driver!$G$204-Driver!$F$204)*$BI$1,1)</f>
        <v>6.7094017094017087</v>
      </c>
      <c r="BN1260" s="67">
        <f>(CI1260-Driver!$F$205)/(Driver!$G$205-Driver!$F$205)*$BI$1</f>
        <v>9.117647058823529</v>
      </c>
      <c r="BO1260" s="67">
        <f>(CK1260-Driver!$F$207)/(Driver!$G$207-Driver!$F$207)*$BI$1</f>
        <v>0.68252326783867623</v>
      </c>
      <c r="BP1260" s="67">
        <f>(CM1260-Driver!$F$208)/(Driver!$G$208-Driver!$F$208)*$BI$1</f>
        <v>1.4222222222222223</v>
      </c>
      <c r="BQ1260" s="67">
        <f>(CL1260-Driver!$F$209)/(Driver!$G$209-Driver!$F$209)*$BI$1</f>
        <v>1.40625</v>
      </c>
      <c r="BR1260" s="28" t="s">
        <v>155</v>
      </c>
      <c r="BS1260" s="8" t="s">
        <v>262</v>
      </c>
      <c r="BT1260" s="9" t="s">
        <v>901</v>
      </c>
      <c r="BU1260" s="10">
        <v>177</v>
      </c>
      <c r="BV1260" s="9" t="s">
        <v>158</v>
      </c>
      <c r="BW1260" s="10">
        <v>177</v>
      </c>
      <c r="BX1260" s="10">
        <v>177.6</v>
      </c>
      <c r="BY1260" s="10">
        <v>147</v>
      </c>
      <c r="BZ1260" s="10">
        <v>165</v>
      </c>
      <c r="CA1260" s="10">
        <v>124</v>
      </c>
      <c r="CB1260" s="10">
        <v>81</v>
      </c>
      <c r="CC1260" s="10">
        <v>111</v>
      </c>
      <c r="CD1260" s="10">
        <v>18.399999999999999</v>
      </c>
      <c r="CE1260" s="10">
        <v>2209</v>
      </c>
      <c r="CF1260" s="10">
        <v>0.76</v>
      </c>
      <c r="CG1260" s="10">
        <v>1678</v>
      </c>
      <c r="CH1260" s="10">
        <v>258</v>
      </c>
      <c r="CI1260" s="10">
        <v>188</v>
      </c>
      <c r="CJ1260" s="10">
        <v>34</v>
      </c>
      <c r="CK1260" s="10">
        <v>176</v>
      </c>
      <c r="CL1260" s="10">
        <v>9</v>
      </c>
      <c r="CM1260" s="10">
        <v>128</v>
      </c>
      <c r="CN1260" s="10">
        <v>0.253</v>
      </c>
      <c r="CO1260" s="10">
        <v>81</v>
      </c>
      <c r="CP1260" s="10">
        <v>44</v>
      </c>
      <c r="CQ1260" s="10">
        <v>95</v>
      </c>
      <c r="CR1260" s="10">
        <v>8</v>
      </c>
      <c r="CS1260" s="10">
        <v>11.5</v>
      </c>
      <c r="CT1260" s="9" t="s">
        <v>188</v>
      </c>
      <c r="CU1260" s="10"/>
      <c r="CV1260" s="10"/>
      <c r="CW1260" s="10"/>
      <c r="CX1260" t="e">
        <f>INDEX('Data_Price '!AG$2:AG$1266,MATCH(Data!$DN1260,'Data_Price '!$AT$2:$AT$1266,0))</f>
        <v>#N/A</v>
      </c>
      <c r="CY1260" t="e">
        <f>INDEX('Data_Price '!AH$2:AH$1266,MATCH(Data!$DN1260,'Data_Price '!$AT$2:$AT$1266,0))</f>
        <v>#N/A</v>
      </c>
      <c r="CZ1260" t="e">
        <f>INDEX('Data_Price '!AI$2:AI$1266,MATCH(Data!$DN1260,'Data_Price '!$AT$2:$AT$1266,0))</f>
        <v>#N/A</v>
      </c>
      <c r="DA1260" t="e">
        <f>INDEX('Data_Price '!AJ$2:AJ$1266,MATCH(Data!$DN1260,'Data_Price '!$AT$2:$AT$1266,0))</f>
        <v>#N/A</v>
      </c>
      <c r="DB1260" t="e">
        <f>INDEX('Data_Price '!AK$2:AK$1266,MATCH(Data!$DN1260,'Data_Price '!$AT$2:$AT$1266,0))</f>
        <v>#N/A</v>
      </c>
      <c r="DC1260" t="e">
        <f>INDEX('Data_Price '!AL$2:AL$1266,MATCH(Data!$DN1260,'Data_Price '!$AT$2:$AT$1266,0))</f>
        <v>#N/A</v>
      </c>
      <c r="DD1260" t="e">
        <f>INDEX('Data_Price '!AM$2:AM$1266,MATCH(Data!$DN1260,'Data_Price '!$AT$2:$AT$1266,0))</f>
        <v>#N/A</v>
      </c>
      <c r="DE1260" t="e">
        <f>INDEX('Data_Price '!AN$2:AN$1266,MATCH(Data!$DN1260,'Data_Price '!$AT$2:$AT$1266,0))</f>
        <v>#N/A</v>
      </c>
      <c r="DF1260" t="e">
        <f>INDEX('Data_Price '!AO$2:AO$1266,MATCH(Data!$DN1260,'Data_Price '!$AT$2:$AT$1266,0))</f>
        <v>#N/A</v>
      </c>
      <c r="DG1260" t="e">
        <f>INDEX('Data_Price '!AP$2:AP$1266,MATCH(Data!$DN1260,'Data_Price '!$AT$2:$AT$1266,0))</f>
        <v>#N/A</v>
      </c>
      <c r="DH1260" t="e">
        <f>INDEX('Data_Price '!AQ$2:AQ$1266,MATCH(Data!$DN1260,'Data_Price '!$AT$2:$AT$1266,0))</f>
        <v>#N/A</v>
      </c>
      <c r="DI1260" t="e">
        <f>INDEX('Data_Price '!AR$2:AR$1266,MATCH(Data!$DN1260,'Data_Price '!$AT$2:$AT$1266,0))</f>
        <v>#N/A</v>
      </c>
      <c r="DJ1260" s="89" t="e">
        <f t="shared" si="735"/>
        <v>#N/A</v>
      </c>
      <c r="DK1260" s="89" t="e">
        <f t="shared" si="736"/>
        <v>#N/A</v>
      </c>
      <c r="DL1260" s="89" t="e">
        <f t="shared" si="737"/>
        <v>#N/A</v>
      </c>
      <c r="DM1260" s="219" t="str">
        <f t="shared" si="738"/>
        <v>Disruption 82 Ti</v>
      </c>
      <c r="DN1260" s="89" t="str">
        <f t="shared" si="739"/>
        <v xml:space="preserve"> K2Disruption 82 Ti177 Unisex</v>
      </c>
      <c r="DO1260" s="221"/>
    </row>
    <row r="1261" spans="2:119" ht="15.6" customHeight="1">
      <c r="B1261" s="219" t="b">
        <f t="array" ref="B1261">IF(OR(ISERROR(K1261:P1261)),FALSE,TRUE)</f>
        <v>1</v>
      </c>
      <c r="C1261" s="43" t="b">
        <f>OR(BR1261=Driver!$G$50,Data!BR711=Driver!$H$50)</f>
        <v>1</v>
      </c>
      <c r="D1261" s="43" t="b">
        <f>OR(BV1261=Driver!$G$51,BV1261=Driver!$H$51)</f>
        <v>1</v>
      </c>
      <c r="E1261" s="43" t="b">
        <f>AND(BX1261&gt;Driver!$F$54,BX1261&lt;Driver!$G$54)</f>
        <v>0</v>
      </c>
      <c r="F1261" s="43" t="b">
        <f>CL1261&gt;Driver!$F$56</f>
        <v>1</v>
      </c>
      <c r="G1261" s="43" t="b">
        <f>AND(CB1261&gt;Driver!$F$55,CB1261&lt;Driver!$G$55)</f>
        <v>0</v>
      </c>
      <c r="H1261" s="43" t="b">
        <f t="shared" si="703"/>
        <v>0</v>
      </c>
      <c r="I1261" s="43">
        <f t="shared" si="704"/>
        <v>0</v>
      </c>
      <c r="J1261" s="43" t="b">
        <f t="array" ref="J1261">NOT(OR(($H$9:$H$1273=TRUE)*($I$9:$I$1273&gt;0)*($BT$9:$BT$1273=BT1261)*($K$9:$K$1273&gt;K1261)))</f>
        <v>1</v>
      </c>
      <c r="K1261" s="72">
        <f t="shared" si="705"/>
        <v>0.66457635409589</v>
      </c>
      <c r="L1261" s="72">
        <f t="shared" si="706"/>
        <v>0.83932663857806822</v>
      </c>
      <c r="M1261" s="72">
        <f t="shared" si="707"/>
        <v>0.48982606961371189</v>
      </c>
      <c r="N1261" s="72">
        <f t="shared" si="708"/>
        <v>0.34009919734363725</v>
      </c>
      <c r="O1261" s="72">
        <f t="shared" si="709"/>
        <v>0.62025764143048456</v>
      </c>
      <c r="P1261" s="72">
        <f t="shared" si="710"/>
        <v>0.50912137006701408</v>
      </c>
      <c r="Q1261" s="72"/>
      <c r="R1261" s="72"/>
      <c r="S1261" s="72">
        <f t="shared" si="711"/>
        <v>0.81210345088744851</v>
      </c>
      <c r="T1261" s="72">
        <f t="shared" si="712"/>
        <v>0.88089940820206725</v>
      </c>
      <c r="U1261" s="72" t="e">
        <f t="shared" si="713"/>
        <v>#VALUE!</v>
      </c>
      <c r="V1261" s="72">
        <f t="shared" si="714"/>
        <v>0.49</v>
      </c>
      <c r="W1261" s="72">
        <f t="shared" si="715"/>
        <v>0.75285894843276036</v>
      </c>
      <c r="X1261" s="72">
        <f t="shared" si="716"/>
        <v>0.16067336142193178</v>
      </c>
      <c r="Y1261" s="72">
        <f t="shared" si="717"/>
        <v>0.51017393038628811</v>
      </c>
      <c r="Z1261" s="72">
        <f t="shared" si="718"/>
        <v>0.65990080265636275</v>
      </c>
      <c r="AA1261" s="72">
        <f t="shared" si="719"/>
        <v>0.37974235856951544</v>
      </c>
      <c r="AB1261" s="72">
        <f t="shared" si="720"/>
        <v>0.49087862993298587</v>
      </c>
      <c r="AC1261" s="72"/>
      <c r="AD1261" s="72"/>
      <c r="AE1261" s="72">
        <f t="shared" si="721"/>
        <v>0.18789654911255149</v>
      </c>
      <c r="AF1261" s="72">
        <f t="shared" si="722"/>
        <v>0.11910059179793275</v>
      </c>
      <c r="AG1261" s="72" t="e">
        <f t="shared" si="723"/>
        <v>#VALUE!</v>
      </c>
      <c r="AH1261" s="72">
        <f t="shared" si="724"/>
        <v>0.51</v>
      </c>
      <c r="AI1261" s="72">
        <f t="shared" si="725"/>
        <v>0.24714105156723964</v>
      </c>
      <c r="AJ1261" s="72">
        <f>(AV1261-Driver!$K$179)/(Driver!$L$179-Driver!$K$179)</f>
        <v>9.3546047860768644E-2</v>
      </c>
      <c r="AK1261" s="72">
        <f>(AW1261-Driver!$K$180)/(Driver!$L$180-Driver!$K$180)</f>
        <v>0.75901655313959226</v>
      </c>
      <c r="AL1261" s="72">
        <f>(AX1261-Driver!$K$181)/(Driver!$L$181-Driver!$K$181)</f>
        <v>0.76158856636944294</v>
      </c>
      <c r="AM1261" s="72">
        <f>(AY1261-Driver!$K$182)/(Driver!$L$182-Driver!$K$182)</f>
        <v>6.7642662527530928E-2</v>
      </c>
      <c r="AN1261" s="72">
        <f>(AZ1261-Driver!$K$183)/(Driver!$L$183-Driver!$K$183)</f>
        <v>0.74509803921568629</v>
      </c>
      <c r="AO1261" s="72"/>
      <c r="AP1261" s="72"/>
      <c r="AQ1261" s="72">
        <f>(BC1261-Driver!$K$188)/(Driver!$L$188-Driver!$K$188)</f>
        <v>0.4321034508874485</v>
      </c>
      <c r="AR1261" s="72">
        <f>MIN((BD1261-Driver!$K$189)/(Driver!$L$189-Driver!$K$189),100%)</f>
        <v>0.6691005917979328</v>
      </c>
      <c r="AS1261" s="72" t="e">
        <f>(BE1261-Driver!$K$190)/(Driver!$L$190-Driver!$K$190)</f>
        <v>#VALUE!</v>
      </c>
      <c r="AT1261" s="72">
        <f>(BF1261-Driver!$K$191)/(Driver!$L$191-Driver!$K$191)</f>
        <v>0</v>
      </c>
      <c r="AU1261" s="72">
        <f>(BG1261-Driver!$K$192)/(Driver!$L$192-Driver!$K$192)</f>
        <v>2.858948432760364E-3</v>
      </c>
      <c r="AV1261" s="70">
        <f t="shared" si="726"/>
        <v>1.9688644688644685</v>
      </c>
      <c r="AW1261" s="70">
        <f t="shared" si="727"/>
        <v>75.844781295753904</v>
      </c>
      <c r="AX1261" s="70">
        <f t="shared" si="728"/>
        <v>7.8542970973249862</v>
      </c>
      <c r="AY1261" s="70">
        <f>IFERROR(Driver!$K$19/Data!BH1261/Data!BI1261*Data!BK1261*Data!BL1261,"")</f>
        <v>8.2814801556247472E-2</v>
      </c>
      <c r="AZ1261" s="70">
        <f t="shared" si="729"/>
        <v>67.907669396872677</v>
      </c>
      <c r="BA1261" s="70"/>
      <c r="BB1261" s="70"/>
      <c r="BC1261" s="70">
        <f t="shared" si="730"/>
        <v>224.13506390977554</v>
      </c>
      <c r="BD1261" s="70">
        <f t="shared" si="731"/>
        <v>60.93503968212034</v>
      </c>
      <c r="BE1261" s="70" t="str">
        <f t="shared" si="732"/>
        <v/>
      </c>
      <c r="BF1261" s="70">
        <f t="shared" si="733"/>
        <v>0</v>
      </c>
      <c r="BG1261" s="70">
        <f t="shared" si="734"/>
        <v>1.0825802578361982E-2</v>
      </c>
      <c r="BH1261" s="67">
        <f>MAX((CE1261-Driver!$F$200)/(Driver!$G$200-Driver!$F$200)*$BI$1,1)</f>
        <v>7.8542970973249862</v>
      </c>
      <c r="BI1261" s="67">
        <f>MAX($BI$1*(BY1261-Driver!$F$201)/(Driver!$G$201-Driver!$F$201),1)</f>
        <v>9.6202531645569618</v>
      </c>
      <c r="BJ1261" s="67">
        <f>(CB1261-Driver!$F$206)/(Driver!$G$206-Driver!$F$206)*$BI$1</f>
        <v>1.4285714285714284</v>
      </c>
      <c r="BK1261" s="67">
        <f>(CD1261-Driver!$F$203)/(Driver!$G$203-Driver!$F$203)*$BI$1</f>
        <v>3.9449541284403673</v>
      </c>
      <c r="BL1261" s="67">
        <f>MAX((CR1261-Driver!$F$202)/(Driver!$G$202-Driver!$F$202)*$BI$1,1)</f>
        <v>7.931034482758621</v>
      </c>
      <c r="BM1261" s="67">
        <f>MAX((CH1261-Driver!$F$204)/(Driver!$G$204-Driver!$F$204)*$BI$1,1)</f>
        <v>5.5128205128205128</v>
      </c>
      <c r="BN1261" s="67">
        <f>(CI1261-Driver!$F$205)/(Driver!$G$205-Driver!$F$205)*$BI$1</f>
        <v>7.0588235294117654</v>
      </c>
      <c r="BO1261" s="67">
        <f>(CK1261-Driver!$F$207)/(Driver!$G$207-Driver!$F$207)*$BI$1</f>
        <v>0</v>
      </c>
      <c r="BP1261" s="67">
        <f>(CM1261-Driver!$F$208)/(Driver!$G$208-Driver!$F$208)*$BI$1</f>
        <v>0.4777777777777778</v>
      </c>
      <c r="BQ1261" s="67">
        <f>(CL1261-Driver!$F$209)/(Driver!$G$209-Driver!$F$209)*$BI$1</f>
        <v>0.46875</v>
      </c>
      <c r="BR1261" s="28" t="s">
        <v>155</v>
      </c>
      <c r="BS1261" s="8" t="s">
        <v>262</v>
      </c>
      <c r="BT1261" s="9" t="s">
        <v>907</v>
      </c>
      <c r="BU1261" s="10">
        <v>175</v>
      </c>
      <c r="BV1261" s="9" t="s">
        <v>158</v>
      </c>
      <c r="BW1261" s="10">
        <v>175</v>
      </c>
      <c r="BX1261" s="10">
        <v>175.6</v>
      </c>
      <c r="BY1261" s="10">
        <v>160</v>
      </c>
      <c r="BZ1261" s="10">
        <v>165</v>
      </c>
      <c r="CA1261" s="10">
        <v>118</v>
      </c>
      <c r="CB1261" s="10">
        <v>73</v>
      </c>
      <c r="CC1261" s="10">
        <v>103</v>
      </c>
      <c r="CD1261" s="10">
        <v>18</v>
      </c>
      <c r="CE1261" s="10">
        <v>2280</v>
      </c>
      <c r="CF1261" s="10">
        <v>0.67</v>
      </c>
      <c r="CG1261" s="10">
        <v>1528</v>
      </c>
      <c r="CH1261" s="10">
        <v>230</v>
      </c>
      <c r="CI1261" s="10">
        <v>153</v>
      </c>
      <c r="CJ1261" s="10">
        <v>24</v>
      </c>
      <c r="CK1261" s="10">
        <v>110</v>
      </c>
      <c r="CL1261" s="10">
        <v>3</v>
      </c>
      <c r="CM1261" s="10">
        <v>43</v>
      </c>
      <c r="CN1261" s="10">
        <v>0.125</v>
      </c>
      <c r="CO1261" s="10">
        <v>73</v>
      </c>
      <c r="CP1261" s="10">
        <v>30</v>
      </c>
      <c r="CQ1261" s="10">
        <v>37</v>
      </c>
      <c r="CR1261" s="10">
        <v>12</v>
      </c>
      <c r="CS1261" s="10">
        <v>12.7</v>
      </c>
      <c r="CT1261" s="9" t="s">
        <v>349</v>
      </c>
      <c r="CU1261" s="10"/>
      <c r="CV1261" s="10"/>
      <c r="CW1261" s="10"/>
      <c r="CX1261" t="e">
        <f>INDEX('Data_Price '!AG$2:AG$1266,MATCH(Data!$DN1261,'Data_Price '!$AT$2:$AT$1266,0))</f>
        <v>#N/A</v>
      </c>
      <c r="CY1261" t="e">
        <f>INDEX('Data_Price '!AH$2:AH$1266,MATCH(Data!$DN1261,'Data_Price '!$AT$2:$AT$1266,0))</f>
        <v>#N/A</v>
      </c>
      <c r="CZ1261" t="e">
        <f>INDEX('Data_Price '!AI$2:AI$1266,MATCH(Data!$DN1261,'Data_Price '!$AT$2:$AT$1266,0))</f>
        <v>#N/A</v>
      </c>
      <c r="DA1261" t="e">
        <f>INDEX('Data_Price '!AJ$2:AJ$1266,MATCH(Data!$DN1261,'Data_Price '!$AT$2:$AT$1266,0))</f>
        <v>#N/A</v>
      </c>
      <c r="DB1261" t="e">
        <f>INDEX('Data_Price '!AK$2:AK$1266,MATCH(Data!$DN1261,'Data_Price '!$AT$2:$AT$1266,0))</f>
        <v>#N/A</v>
      </c>
      <c r="DC1261" t="e">
        <f>INDEX('Data_Price '!AL$2:AL$1266,MATCH(Data!$DN1261,'Data_Price '!$AT$2:$AT$1266,0))</f>
        <v>#N/A</v>
      </c>
      <c r="DD1261" t="e">
        <f>INDEX('Data_Price '!AM$2:AM$1266,MATCH(Data!$DN1261,'Data_Price '!$AT$2:$AT$1266,0))</f>
        <v>#N/A</v>
      </c>
      <c r="DE1261" t="e">
        <f>INDEX('Data_Price '!AN$2:AN$1266,MATCH(Data!$DN1261,'Data_Price '!$AT$2:$AT$1266,0))</f>
        <v>#N/A</v>
      </c>
      <c r="DF1261" t="e">
        <f>INDEX('Data_Price '!AO$2:AO$1266,MATCH(Data!$DN1261,'Data_Price '!$AT$2:$AT$1266,0))</f>
        <v>#N/A</v>
      </c>
      <c r="DG1261" t="e">
        <f>INDEX('Data_Price '!AP$2:AP$1266,MATCH(Data!$DN1261,'Data_Price '!$AT$2:$AT$1266,0))</f>
        <v>#N/A</v>
      </c>
      <c r="DH1261" t="e">
        <f>INDEX('Data_Price '!AQ$2:AQ$1266,MATCH(Data!$DN1261,'Data_Price '!$AT$2:$AT$1266,0))</f>
        <v>#N/A</v>
      </c>
      <c r="DI1261" t="e">
        <f>INDEX('Data_Price '!AR$2:AR$1266,MATCH(Data!$DN1261,'Data_Price '!$AT$2:$AT$1266,0))</f>
        <v>#N/A</v>
      </c>
      <c r="DJ1261" s="89" t="e">
        <f t="shared" si="735"/>
        <v>#N/A</v>
      </c>
      <c r="DK1261" s="89" t="e">
        <f t="shared" si="736"/>
        <v>#N/A</v>
      </c>
      <c r="DL1261" s="89" t="e">
        <f t="shared" si="737"/>
        <v>#N/A</v>
      </c>
      <c r="DM1261" s="219" t="str">
        <f t="shared" si="738"/>
        <v>Disruption Mti</v>
      </c>
      <c r="DN1261" s="89" t="str">
        <f t="shared" si="739"/>
        <v xml:space="preserve"> K2Disruption Mti175 Unisex</v>
      </c>
      <c r="DO1261" s="221" t="s">
        <v>849</v>
      </c>
    </row>
    <row r="1262" spans="2:119" ht="15.6" customHeight="1">
      <c r="B1262" s="219" t="b">
        <f t="array" ref="B1262">IF(OR(ISERROR(K1262:P1262)),FALSE,TRUE)</f>
        <v>1</v>
      </c>
      <c r="C1262" s="43" t="b">
        <f>OR(BR1262=Driver!$G$50,Data!BR962=Driver!$H$50)</f>
        <v>1</v>
      </c>
      <c r="D1262" s="43" t="b">
        <f>OR(BV1262=Driver!$G$51,BV1262=Driver!$H$51)</f>
        <v>1</v>
      </c>
      <c r="E1262" s="43" t="b">
        <f>AND(BX1262&gt;Driver!$F$54,BX1262&lt;Driver!$G$54)</f>
        <v>0</v>
      </c>
      <c r="F1262" s="43" t="b">
        <f>CL1262&gt;Driver!$F$56</f>
        <v>1</v>
      </c>
      <c r="G1262" s="43" t="b">
        <f>AND(CB1262&gt;Driver!$F$55,CB1262&lt;Driver!$G$55)</f>
        <v>0</v>
      </c>
      <c r="H1262" s="43" t="b">
        <f t="shared" si="703"/>
        <v>0</v>
      </c>
      <c r="I1262" s="43">
        <f t="shared" si="704"/>
        <v>0</v>
      </c>
      <c r="J1262" s="43" t="b">
        <f t="array" ref="J1262">NOT(OR(($H$9:$H$1273=TRUE)*($I$9:$I$1273&gt;0)*($BT$9:$BT$1273=BT1262)*($K$9:$K$1273&gt;K1262)))</f>
        <v>1</v>
      </c>
      <c r="K1262" s="72">
        <f t="shared" si="705"/>
        <v>0.67954317220978822</v>
      </c>
      <c r="L1262" s="72">
        <f t="shared" si="706"/>
        <v>0.90775256535392757</v>
      </c>
      <c r="M1262" s="72">
        <f t="shared" si="707"/>
        <v>0.45133377906564875</v>
      </c>
      <c r="N1262" s="72">
        <f t="shared" si="708"/>
        <v>0.44760567935211137</v>
      </c>
      <c r="O1262" s="72">
        <f t="shared" si="709"/>
        <v>0.60609781718958522</v>
      </c>
      <c r="P1262" s="72">
        <f t="shared" si="710"/>
        <v>0.30029784065524945</v>
      </c>
      <c r="Q1262" s="72"/>
      <c r="R1262" s="72"/>
      <c r="S1262" s="72">
        <f t="shared" si="711"/>
        <v>0.63473212431845316</v>
      </c>
      <c r="T1262" s="72">
        <f t="shared" si="712"/>
        <v>0.74248756803787153</v>
      </c>
      <c r="U1262" s="72">
        <f t="shared" si="713"/>
        <v>0.64143565401298319</v>
      </c>
      <c r="V1262" s="72">
        <f t="shared" si="714"/>
        <v>0.50213725966280887</v>
      </c>
      <c r="W1262" s="72">
        <f t="shared" si="715"/>
        <v>0.75733639246588513</v>
      </c>
      <c r="X1262" s="72">
        <f t="shared" si="716"/>
        <v>9.2247434646072435E-2</v>
      </c>
      <c r="Y1262" s="72">
        <f t="shared" si="717"/>
        <v>0.54866622093435125</v>
      </c>
      <c r="Z1262" s="72">
        <f t="shared" si="718"/>
        <v>0.55239432064788863</v>
      </c>
      <c r="AA1262" s="72">
        <f t="shared" si="719"/>
        <v>0.39390218281041478</v>
      </c>
      <c r="AB1262" s="72">
        <f t="shared" si="720"/>
        <v>0.69970215934475055</v>
      </c>
      <c r="AC1262" s="72"/>
      <c r="AD1262" s="72"/>
      <c r="AE1262" s="72">
        <f t="shared" si="721"/>
        <v>0.36526787568154684</v>
      </c>
      <c r="AF1262" s="72">
        <f t="shared" si="722"/>
        <v>0.25751243196212842</v>
      </c>
      <c r="AG1262" s="72">
        <f t="shared" si="723"/>
        <v>0.35856434598701681</v>
      </c>
      <c r="AH1262" s="72">
        <f t="shared" si="724"/>
        <v>0.49786274033719113</v>
      </c>
      <c r="AI1262" s="72">
        <f t="shared" si="725"/>
        <v>0.24266360753411492</v>
      </c>
      <c r="AJ1262" s="72">
        <f>(AV1262-Driver!$K$179)/(Driver!$L$179-Driver!$K$179)</f>
        <v>0.34646684392877286</v>
      </c>
      <c r="AK1262" s="72">
        <f>(AW1262-Driver!$K$180)/(Driver!$L$180-Driver!$K$180)</f>
        <v>0.94419339099393418</v>
      </c>
      <c r="AL1262" s="72">
        <f>(AX1262-Driver!$K$181)/(Driver!$L$181-Driver!$K$181)</f>
        <v>0.65408208436096882</v>
      </c>
      <c r="AM1262" s="72">
        <f>(AY1262-Driver!$K$182)/(Driver!$L$182-Driver!$K$182)</f>
        <v>5.3482838286631605E-2</v>
      </c>
      <c r="AN1262" s="72">
        <f>(AZ1262-Driver!$K$183)/(Driver!$L$183-Driver!$K$183)</f>
        <v>0.95392156862745103</v>
      </c>
      <c r="AO1262" s="72"/>
      <c r="AP1262" s="72"/>
      <c r="AQ1262" s="72">
        <f>(BC1262-Driver!$K$188)/(Driver!$L$188-Driver!$K$188)</f>
        <v>0.25473212431845316</v>
      </c>
      <c r="AR1262" s="72">
        <f>MIN((BD1262-Driver!$K$189)/(Driver!$L$189-Driver!$K$189),100%)</f>
        <v>0.29248756803787163</v>
      </c>
      <c r="AS1262" s="72">
        <f>(BE1262-Driver!$K$190)/(Driver!$L$190-Driver!$K$190)</f>
        <v>0.86856434598701682</v>
      </c>
      <c r="AT1262" s="72">
        <f>(BF1262-Driver!$K$191)/(Driver!$L$191-Driver!$K$191)</f>
        <v>1.2137259662808868E-2</v>
      </c>
      <c r="AU1262" s="72">
        <f>(BG1262-Driver!$K$192)/(Driver!$L$192-Driver!$K$192)</f>
        <v>7.3363924658850646E-3</v>
      </c>
      <c r="AV1262" s="70">
        <f t="shared" si="726"/>
        <v>7.2920906254239588</v>
      </c>
      <c r="AW1262" s="70">
        <f t="shared" si="727"/>
        <v>93.891904978362319</v>
      </c>
      <c r="AX1262" s="70">
        <f t="shared" si="728"/>
        <v>6.8867387592487193</v>
      </c>
      <c r="AY1262" s="70">
        <f>IFERROR(Driver!$K$19/Data!BH1262/Data!BI1262*Data!BK1262*Data!BL1262,"")</f>
        <v>6.5478951801602639E-2</v>
      </c>
      <c r="AZ1262" s="70">
        <f t="shared" si="729"/>
        <v>86.939687267311996</v>
      </c>
      <c r="BA1262" s="70"/>
      <c r="BB1262" s="70"/>
      <c r="BC1262" s="70">
        <f t="shared" si="730"/>
        <v>132.13132375298008</v>
      </c>
      <c r="BD1262" s="70">
        <f t="shared" si="731"/>
        <v>27.605454398145703</v>
      </c>
      <c r="BE1262" s="70">
        <f t="shared" si="732"/>
        <v>0.86858779262832142</v>
      </c>
      <c r="BF1262" s="70">
        <f t="shared" si="733"/>
        <v>1.3708182098392372</v>
      </c>
      <c r="BG1262" s="70">
        <f t="shared" si="734"/>
        <v>2.7780261988275989E-2</v>
      </c>
      <c r="BH1262" s="67">
        <f>MAX((CE1262-Driver!$F$200)/(Driver!$G$200-Driver!$F$200)*$BI$1,1)</f>
        <v>6.8867387592487193</v>
      </c>
      <c r="BI1262" s="67">
        <f>MAX($BI$1*(BY1262-Driver!$F$201)/(Driver!$G$201-Driver!$F$201),1)</f>
        <v>8.7974683544303804</v>
      </c>
      <c r="BJ1262" s="67">
        <f>(CB1262-Driver!$F$206)/(Driver!$G$206-Driver!$F$206)*$BI$1</f>
        <v>3.9682539682539679</v>
      </c>
      <c r="BK1262" s="67">
        <f>(CD1262-Driver!$F$203)/(Driver!$G$203-Driver!$F$203)*$BI$1</f>
        <v>3.0275229357798166</v>
      </c>
      <c r="BL1262" s="67">
        <f>MAX((CR1262-Driver!$F$202)/(Driver!$G$202-Driver!$F$202)*$BI$1,1)</f>
        <v>6.5517241379310338</v>
      </c>
      <c r="BM1262" s="67">
        <f>MAX((CH1262-Driver!$F$204)/(Driver!$G$204-Driver!$F$204)*$BI$1,1)</f>
        <v>7.350427350427351</v>
      </c>
      <c r="BN1262" s="67">
        <f>(CI1262-Driver!$F$205)/(Driver!$G$205-Driver!$F$205)*$BI$1</f>
        <v>9.882352941176471</v>
      </c>
      <c r="BO1262" s="67">
        <f>(CK1262-Driver!$F$207)/(Driver!$G$207-Driver!$F$207)*$BI$1</f>
        <v>1.1478800413650465</v>
      </c>
      <c r="BP1262" s="67">
        <f>(CM1262-Driver!$F$208)/(Driver!$G$208-Driver!$F$208)*$BI$1</f>
        <v>0.9111111111111112</v>
      </c>
      <c r="BQ1262" s="67">
        <f>(CL1262-Driver!$F$209)/(Driver!$G$209-Driver!$F$209)*$BI$1</f>
        <v>1.40625</v>
      </c>
      <c r="BR1262" s="28" t="s">
        <v>155</v>
      </c>
      <c r="BS1262" s="8" t="s">
        <v>227</v>
      </c>
      <c r="BT1262" s="9" t="s">
        <v>908</v>
      </c>
      <c r="BU1262" s="10">
        <v>178</v>
      </c>
      <c r="BV1262" s="9" t="s">
        <v>158</v>
      </c>
      <c r="BW1262" s="10">
        <v>178</v>
      </c>
      <c r="BX1262" s="10">
        <v>177.3</v>
      </c>
      <c r="BY1262" s="10">
        <v>147</v>
      </c>
      <c r="BZ1262" s="10">
        <v>165</v>
      </c>
      <c r="CA1262" s="10">
        <v>136</v>
      </c>
      <c r="CB1262" s="10">
        <v>89</v>
      </c>
      <c r="CC1262" s="10">
        <v>124</v>
      </c>
      <c r="CD1262" s="10">
        <v>16</v>
      </c>
      <c r="CE1262" s="10">
        <v>2110</v>
      </c>
      <c r="CF1262" s="10">
        <v>0.87</v>
      </c>
      <c r="CG1262" s="10">
        <v>1838</v>
      </c>
      <c r="CH1262" s="10">
        <v>273</v>
      </c>
      <c r="CI1262" s="10">
        <v>201</v>
      </c>
      <c r="CJ1262" s="10">
        <v>51</v>
      </c>
      <c r="CK1262" s="10">
        <v>221</v>
      </c>
      <c r="CL1262" s="10">
        <v>9</v>
      </c>
      <c r="CM1262" s="10">
        <v>82</v>
      </c>
      <c r="CN1262" s="10">
        <v>0.183</v>
      </c>
      <c r="CO1262" s="10">
        <v>62</v>
      </c>
      <c r="CP1262" s="10">
        <v>58</v>
      </c>
      <c r="CQ1262" s="10">
        <v>159</v>
      </c>
      <c r="CR1262" s="10">
        <v>8</v>
      </c>
      <c r="CS1262" s="10">
        <v>13.2</v>
      </c>
      <c r="CT1262" s="9" t="s">
        <v>188</v>
      </c>
      <c r="CU1262" s="10"/>
      <c r="CV1262" s="10"/>
      <c r="CW1262" s="10"/>
      <c r="CX1262">
        <f>INDEX('Data_Price '!AG$2:AG$1266,MATCH(Data!$DN1262,'Data_Price '!$AT$2:$AT$1266,0))</f>
        <v>0</v>
      </c>
      <c r="CY1262">
        <f>INDEX('Data_Price '!AH$2:AH$1266,MATCH(Data!$DN1262,'Data_Price '!$AT$2:$AT$1266,0))</f>
        <v>0</v>
      </c>
      <c r="CZ1262">
        <f>INDEX('Data_Price '!AI$2:AI$1266,MATCH(Data!$DN1262,'Data_Price '!$AT$2:$AT$1266,0))</f>
        <v>0</v>
      </c>
      <c r="DA1262">
        <f>INDEX('Data_Price '!AJ$2:AJ$1266,MATCH(Data!$DN1262,'Data_Price '!$AT$2:$AT$1266,0))</f>
        <v>0</v>
      </c>
      <c r="DB1262">
        <f>INDEX('Data_Price '!AK$2:AK$1266,MATCH(Data!$DN1262,'Data_Price '!$AT$2:$AT$1266,0))</f>
        <v>0</v>
      </c>
      <c r="DC1262">
        <f>INDEX('Data_Price '!AL$2:AL$1266,MATCH(Data!$DN1262,'Data_Price '!$AT$2:$AT$1266,0))</f>
        <v>0</v>
      </c>
      <c r="DD1262">
        <f>INDEX('Data_Price '!AM$2:AM$1266,MATCH(Data!$DN1262,'Data_Price '!$AT$2:$AT$1266,0))</f>
        <v>0</v>
      </c>
      <c r="DE1262">
        <f>INDEX('Data_Price '!AN$2:AN$1266,MATCH(Data!$DN1262,'Data_Price '!$AT$2:$AT$1266,0))</f>
        <v>0</v>
      </c>
      <c r="DF1262">
        <f>INDEX('Data_Price '!AO$2:AO$1266,MATCH(Data!$DN1262,'Data_Price '!$AT$2:$AT$1266,0))</f>
        <v>0</v>
      </c>
      <c r="DG1262">
        <f>INDEX('Data_Price '!AP$2:AP$1266,MATCH(Data!$DN1262,'Data_Price '!$AT$2:$AT$1266,0))</f>
        <v>0</v>
      </c>
      <c r="DH1262">
        <f>INDEX('Data_Price '!AQ$2:AQ$1266,MATCH(Data!$DN1262,'Data_Price '!$AT$2:$AT$1266,0))</f>
        <v>0</v>
      </c>
      <c r="DI1262">
        <f>INDEX('Data_Price '!AR$2:AR$1266,MATCH(Data!$DN1262,'Data_Price '!$AT$2:$AT$1266,0))</f>
        <v>0</v>
      </c>
      <c r="DJ1262" s="89">
        <f t="shared" si="735"/>
        <v>0</v>
      </c>
      <c r="DK1262" s="89">
        <f t="shared" si="736"/>
        <v>0</v>
      </c>
      <c r="DL1262" s="89">
        <f t="shared" si="737"/>
        <v>0</v>
      </c>
      <c r="DM1262" s="219" t="str">
        <f t="shared" si="738"/>
        <v>Le Nomade Ti</v>
      </c>
      <c r="DN1262" s="89" t="str">
        <f t="shared" si="739"/>
        <v xml:space="preserve"> RaccoonLe Nomade Ti178 Unisex</v>
      </c>
      <c r="DO1262" s="221"/>
    </row>
    <row r="1263" spans="2:119" ht="15.6" customHeight="1">
      <c r="B1263" s="219" t="b">
        <f t="array" ref="B1263">IF(OR(ISERROR(K1263:P1263)),FALSE,TRUE)</f>
        <v>1</v>
      </c>
      <c r="C1263" s="43" t="b">
        <f>OR(BR1263=Driver!$G$50,Data!BR899=Driver!$H$50)</f>
        <v>1</v>
      </c>
      <c r="D1263" s="43" t="b">
        <f>OR(BV1263=Driver!$G$51,BV1263=Driver!$H$51)</f>
        <v>1</v>
      </c>
      <c r="E1263" s="43" t="b">
        <f>AND(BX1263&gt;Driver!$F$54,BX1263&lt;Driver!$G$54)</f>
        <v>0</v>
      </c>
      <c r="F1263" s="43" t="b">
        <f>CL1263&gt;Driver!$F$56</f>
        <v>1</v>
      </c>
      <c r="G1263" s="43" t="b">
        <f>AND(CB1263&gt;Driver!$F$55,CB1263&lt;Driver!$G$55)</f>
        <v>1</v>
      </c>
      <c r="H1263" s="43" t="b">
        <f t="shared" si="703"/>
        <v>0</v>
      </c>
      <c r="I1263" s="43">
        <f t="shared" si="704"/>
        <v>1</v>
      </c>
      <c r="J1263" s="43" t="b">
        <f t="array" ref="J1263">NOT(OR(($H$9:$H$1273=TRUE)*($I$9:$I$1273&gt;0)*($BT$9:$BT$1273=BT1263)*($K$9:$K$1273&gt;K1263)))</f>
        <v>0</v>
      </c>
      <c r="K1263" s="72">
        <f t="shared" si="705"/>
        <v>0.59285661451305027</v>
      </c>
      <c r="L1263" s="72">
        <f t="shared" si="706"/>
        <v>0.71058875905306551</v>
      </c>
      <c r="M1263" s="72">
        <f t="shared" si="707"/>
        <v>0.47512446997303504</v>
      </c>
      <c r="N1263" s="72">
        <f t="shared" si="708"/>
        <v>0.28697834741003836</v>
      </c>
      <c r="O1263" s="72">
        <f t="shared" si="709"/>
        <v>0.63891421531786952</v>
      </c>
      <c r="P1263" s="72">
        <f t="shared" si="710"/>
        <v>0.49948084719119712</v>
      </c>
      <c r="Q1263" s="72"/>
      <c r="R1263" s="72"/>
      <c r="S1263" s="72">
        <f t="shared" si="711"/>
        <v>0.63426974854427765</v>
      </c>
      <c r="T1263" s="72">
        <f t="shared" si="712"/>
        <v>0.60123636308081108</v>
      </c>
      <c r="U1263" s="72">
        <f t="shared" si="713"/>
        <v>0.51766356662456259</v>
      </c>
      <c r="V1263" s="72">
        <f t="shared" si="714"/>
        <v>0.56108409744732701</v>
      </c>
      <c r="W1263" s="72">
        <f t="shared" si="715"/>
        <v>0.77344416279730877</v>
      </c>
      <c r="X1263" s="72">
        <f t="shared" si="716"/>
        <v>0.28941124094693454</v>
      </c>
      <c r="Y1263" s="72">
        <f t="shared" si="717"/>
        <v>0.52487553002696496</v>
      </c>
      <c r="Z1263" s="72">
        <f t="shared" si="718"/>
        <v>0.71302165258996164</v>
      </c>
      <c r="AA1263" s="72">
        <f t="shared" si="719"/>
        <v>0.36108578468213043</v>
      </c>
      <c r="AB1263" s="72">
        <f t="shared" si="720"/>
        <v>0.50051915280880288</v>
      </c>
      <c r="AC1263" s="72"/>
      <c r="AD1263" s="72"/>
      <c r="AE1263" s="72">
        <f t="shared" si="721"/>
        <v>0.36573025145572235</v>
      </c>
      <c r="AF1263" s="72">
        <f t="shared" si="722"/>
        <v>0.39876363691918892</v>
      </c>
      <c r="AG1263" s="72">
        <f t="shared" si="723"/>
        <v>0.48233643337543736</v>
      </c>
      <c r="AH1263" s="72">
        <f t="shared" si="724"/>
        <v>0.43891590255267304</v>
      </c>
      <c r="AI1263" s="72">
        <f t="shared" si="725"/>
        <v>0.22655583720269118</v>
      </c>
      <c r="AJ1263" s="72">
        <f>(AV1263-Driver!$K$179)/(Driver!$L$179-Driver!$K$179)</f>
        <v>0.54363065022963497</v>
      </c>
      <c r="AK1263" s="72">
        <f>(AW1263-Driver!$K$180)/(Driver!$L$180-Driver!$K$180)</f>
        <v>0.77317184679530659</v>
      </c>
      <c r="AL1263" s="72">
        <f>(AX1263-Driver!$K$181)/(Driver!$L$181-Driver!$K$181)</f>
        <v>0.81470941630304183</v>
      </c>
      <c r="AM1263" s="72">
        <f>(AY1263-Driver!$K$182)/(Driver!$L$182-Driver!$K$182)</f>
        <v>8.6299236414915936E-2</v>
      </c>
      <c r="AN1263" s="72">
        <f>(AZ1263-Driver!$K$183)/(Driver!$L$183-Driver!$K$183)</f>
        <v>0.75473856209150336</v>
      </c>
      <c r="AO1263" s="72"/>
      <c r="AP1263" s="72"/>
      <c r="AQ1263" s="72">
        <f>(BC1263-Driver!$K$188)/(Driver!$L$188-Driver!$K$188)</f>
        <v>0.25426974854427764</v>
      </c>
      <c r="AR1263" s="72">
        <f>MIN((BD1263-Driver!$K$189)/(Driver!$L$189-Driver!$K$189),100%)</f>
        <v>0.15123636308081109</v>
      </c>
      <c r="AS1263" s="72">
        <f>(BE1263-Driver!$K$190)/(Driver!$L$190-Driver!$K$190)</f>
        <v>2.7663566624562663E-2</v>
      </c>
      <c r="AT1263" s="72">
        <f>(BF1263-Driver!$K$191)/(Driver!$L$191-Driver!$K$191)</f>
        <v>7.108409744732698E-2</v>
      </c>
      <c r="AU1263" s="72">
        <f>(BG1263-Driver!$K$192)/(Driver!$L$192-Driver!$K$192)</f>
        <v>2.3444162797308821E-2</v>
      </c>
      <c r="AV1263" s="70">
        <f t="shared" si="726"/>
        <v>11.441798941798943</v>
      </c>
      <c r="AW1263" s="70">
        <f t="shared" si="727"/>
        <v>77.224340091164706</v>
      </c>
      <c r="AX1263" s="70">
        <f t="shared" si="728"/>
        <v>8.3323847467273762</v>
      </c>
      <c r="AY1263" s="70">
        <f>IFERROR(Driver!$K$19/Data!BH1263/Data!BI1263*Data!BK1263*Data!BL1263,"")</f>
        <v>0.10565601457878954</v>
      </c>
      <c r="AZ1263" s="70">
        <f t="shared" si="729"/>
        <v>68.786299329858537</v>
      </c>
      <c r="BA1263" s="70"/>
      <c r="BB1263" s="70"/>
      <c r="BC1263" s="70">
        <f t="shared" si="730"/>
        <v>131.89148622453101</v>
      </c>
      <c r="BD1263" s="70">
        <f t="shared" si="731"/>
        <v>15.104973041771043</v>
      </c>
      <c r="BE1263" s="70">
        <f t="shared" si="732"/>
        <v>2.7837020500164109E-2</v>
      </c>
      <c r="BF1263" s="70">
        <f t="shared" si="733"/>
        <v>8.0284494126272818</v>
      </c>
      <c r="BG1263" s="70">
        <f t="shared" si="734"/>
        <v>8.8774556109637068E-2</v>
      </c>
      <c r="BH1263" s="67">
        <f>MAX((CE1263-Driver!$F$200)/(Driver!$G$200-Driver!$F$200)*$BI$1,1)</f>
        <v>8.3323847467273762</v>
      </c>
      <c r="BI1263" s="67">
        <f>MAX($BI$1*(BY1263-Driver!$F$201)/(Driver!$G$201-Driver!$F$201),1)</f>
        <v>7.8481012658227849</v>
      </c>
      <c r="BJ1263" s="67">
        <f>(CB1263-Driver!$F$206)/(Driver!$G$206-Driver!$F$206)*$BI$1</f>
        <v>6.1904761904761907</v>
      </c>
      <c r="BK1263" s="67">
        <f>(CD1263-Driver!$F$203)/(Driver!$G$203-Driver!$F$203)*$BI$1</f>
        <v>4.7706422018348631</v>
      </c>
      <c r="BL1263" s="67">
        <f>MAX((CR1263-Driver!$F$202)/(Driver!$G$202-Driver!$F$202)*$BI$1,1)</f>
        <v>7.2413793103448274</v>
      </c>
      <c r="BM1263" s="67">
        <f>MAX((CH1263-Driver!$F$204)/(Driver!$G$204-Driver!$F$204)*$BI$1,1)</f>
        <v>7.3931623931623935</v>
      </c>
      <c r="BN1263" s="67">
        <f>(CI1263-Driver!$F$205)/(Driver!$G$205-Driver!$F$205)*$BI$1</f>
        <v>8.764705882352942</v>
      </c>
      <c r="BO1263" s="67">
        <f>(CK1263-Driver!$F$207)/(Driver!$G$207-Driver!$F$207)*$BI$1</f>
        <v>2.2543950361944156</v>
      </c>
      <c r="BP1263" s="67">
        <f>(CM1263-Driver!$F$208)/(Driver!$G$208-Driver!$F$208)*$BI$1</f>
        <v>2.7444444444444445</v>
      </c>
      <c r="BQ1263" s="67">
        <f>(CL1263-Driver!$F$209)/(Driver!$G$209-Driver!$F$209)*$BI$1</f>
        <v>5.46875</v>
      </c>
      <c r="BR1263" s="28" t="s">
        <v>155</v>
      </c>
      <c r="BS1263" s="8" t="s">
        <v>332</v>
      </c>
      <c r="BT1263" s="9" t="s">
        <v>694</v>
      </c>
      <c r="BU1263" s="10">
        <v>191</v>
      </c>
      <c r="BV1263" s="9" t="s">
        <v>158</v>
      </c>
      <c r="BW1263" s="10">
        <v>191</v>
      </c>
      <c r="BX1263" s="10">
        <v>189.9</v>
      </c>
      <c r="BY1263" s="10">
        <v>132</v>
      </c>
      <c r="BZ1263" s="10">
        <v>158</v>
      </c>
      <c r="CA1263" s="10">
        <v>135</v>
      </c>
      <c r="CB1263" s="10">
        <v>103</v>
      </c>
      <c r="CC1263" s="10">
        <v>126</v>
      </c>
      <c r="CD1263" s="10">
        <v>19.8</v>
      </c>
      <c r="CE1263" s="10">
        <v>2364</v>
      </c>
      <c r="CF1263" s="10">
        <v>0.92</v>
      </c>
      <c r="CG1263" s="10">
        <v>2165</v>
      </c>
      <c r="CH1263" s="10">
        <v>274</v>
      </c>
      <c r="CI1263" s="10">
        <v>182</v>
      </c>
      <c r="CJ1263" s="10">
        <v>62</v>
      </c>
      <c r="CK1263" s="10">
        <v>328</v>
      </c>
      <c r="CL1263" s="10">
        <v>35</v>
      </c>
      <c r="CM1263" s="10">
        <v>247</v>
      </c>
      <c r="CN1263" s="10">
        <v>0.56599999999999995</v>
      </c>
      <c r="CO1263" s="10">
        <v>167</v>
      </c>
      <c r="CP1263" s="10">
        <v>155</v>
      </c>
      <c r="CQ1263" s="10">
        <v>160</v>
      </c>
      <c r="CR1263" s="10">
        <v>10</v>
      </c>
      <c r="CS1263" s="10">
        <v>9.1</v>
      </c>
      <c r="CT1263" s="9" t="s">
        <v>188</v>
      </c>
      <c r="CU1263" s="9" t="s">
        <v>169</v>
      </c>
      <c r="CV1263" s="10"/>
      <c r="CW1263" s="10"/>
      <c r="CX1263" t="str">
        <f>INDEX('Data_Price '!AG$2:AG$1266,MATCH(Data!$DN1263,'Data_Price '!$AT$2:$AT$1266,0))</f>
        <v>Nordica Enforcer 104 Free Skis 2022</v>
      </c>
      <c r="CY1263" t="str">
        <f>INDEX('Data_Price '!AH$2:AH$1266,MATCH(Data!$DN1263,'Data_Price '!$AT$2:$AT$1266,0))</f>
        <v>BlueZone Sports</v>
      </c>
      <c r="CZ1263">
        <f>INDEX('Data_Price '!AI$2:AI$1266,MATCH(Data!$DN1263,'Data_Price '!$AT$2:$AT$1266,0))</f>
        <v>599.99</v>
      </c>
      <c r="DA1263" t="str">
        <f>INDEX('Data_Price '!AJ$2:AJ$1266,MATCH(Data!$DN1263,'Data_Price '!$AT$2:$AT$1266,0))</f>
        <v>https://tinyurl.com/y93obo7x</v>
      </c>
      <c r="DB1263" t="str">
        <f>INDEX('Data_Price '!AK$2:AK$1266,MATCH(Data!$DN1263,'Data_Price '!$AT$2:$AT$1266,0))</f>
        <v>Nordica Enforcer 104 Free Skis 2022</v>
      </c>
      <c r="DC1263" t="str">
        <f>INDEX('Data_Price '!AL$2:AL$1266,MATCH(Data!$DN1263,'Data_Price '!$AT$2:$AT$1266,0))</f>
        <v>Ski Town All-Stars</v>
      </c>
      <c r="DD1263">
        <f>INDEX('Data_Price '!AM$2:AM$1266,MATCH(Data!$DN1263,'Data_Price '!$AT$2:$AT$1266,0))</f>
        <v>639.99</v>
      </c>
      <c r="DE1263" t="str">
        <f>INDEX('Data_Price '!AN$2:AN$1266,MATCH(Data!$DN1263,'Data_Price '!$AT$2:$AT$1266,0))</f>
        <v>https://tinyurl.com/ycqg3bjn</v>
      </c>
      <c r="DF1263" t="str">
        <f>INDEX('Data_Price '!AO$2:AO$1266,MATCH(Data!$DN1263,'Data_Price '!$AT$2:$AT$1266,0))</f>
        <v>Nordica Enforcer 104 Free Skis</v>
      </c>
      <c r="DG1263" t="str">
        <f>INDEX('Data_Price '!AP$2:AP$1266,MATCH(Data!$DN1263,'Data_Price '!$AT$2:$AT$1266,0))</f>
        <v>Cole Sport</v>
      </c>
      <c r="DH1263">
        <f>INDEX('Data_Price '!AQ$2:AQ$1266,MATCH(Data!$DN1263,'Data_Price '!$AT$2:$AT$1266,0))</f>
        <v>639.99</v>
      </c>
      <c r="DI1263" t="str">
        <f>INDEX('Data_Price '!AR$2:AR$1266,MATCH(Data!$DN1263,'Data_Price '!$AT$2:$AT$1266,0))</f>
        <v>https://tinyurl.com/ycg6zuq2</v>
      </c>
      <c r="DJ1263" s="89" t="str">
        <f t="shared" si="735"/>
        <v>https://tinyurl.com/y93obo7x</v>
      </c>
      <c r="DK1263" s="89" t="str">
        <f t="shared" si="736"/>
        <v>https://tinyurl.com/ycqg3bjn</v>
      </c>
      <c r="DL1263" s="89" t="str">
        <f t="shared" si="737"/>
        <v>https://tinyurl.com/ycg6zuq2</v>
      </c>
      <c r="DM1263" s="219" t="str">
        <f t="shared" si="738"/>
        <v>Enforcer 104 Free</v>
      </c>
      <c r="DN1263" s="89" t="str">
        <f t="shared" si="739"/>
        <v xml:space="preserve"> NordicaEnforcer 104 Free191 Unisex</v>
      </c>
      <c r="DO1263" s="221" t="s">
        <v>695</v>
      </c>
    </row>
    <row r="1264" spans="2:119" ht="15.6" customHeight="1">
      <c r="B1264" s="219" t="b">
        <f t="array" ref="B1264">IF(OR(ISERROR(K1264:P1264)),FALSE,TRUE)</f>
        <v>1</v>
      </c>
      <c r="C1264" s="43" t="b">
        <f>OR(BR1264=Driver!$G$50,Data!BR753=Driver!$H$50)</f>
        <v>1</v>
      </c>
      <c r="D1264" s="43" t="b">
        <f>OR(BV1264=Driver!$G$51,BV1264=Driver!$H$51)</f>
        <v>1</v>
      </c>
      <c r="E1264" s="43" t="b">
        <f>AND(BX1264&gt;Driver!$F$54,BX1264&lt;Driver!$G$54)</f>
        <v>0</v>
      </c>
      <c r="F1264" s="43" t="b">
        <f>CL1264&gt;Driver!$F$56</f>
        <v>1</v>
      </c>
      <c r="G1264" s="43" t="b">
        <f>AND(CB1264&gt;Driver!$F$55,CB1264&lt;Driver!$G$55)</f>
        <v>0</v>
      </c>
      <c r="H1264" s="43" t="b">
        <f t="shared" si="703"/>
        <v>0</v>
      </c>
      <c r="I1264" s="43">
        <f t="shared" si="704"/>
        <v>0</v>
      </c>
      <c r="J1264" s="43" t="b">
        <f t="array" ref="J1264">NOT(OR(($H$9:$H$1273=TRUE)*($I$9:$I$1273&gt;0)*($BT$9:$BT$1273=BT1264)*($K$9:$K$1273&gt;K1264)))</f>
        <v>1</v>
      </c>
      <c r="K1264" s="72">
        <f t="shared" si="705"/>
        <v>0.56299955523886513</v>
      </c>
      <c r="L1264" s="72">
        <f t="shared" si="706"/>
        <v>0.67070478515893939</v>
      </c>
      <c r="M1264" s="72">
        <f t="shared" si="707"/>
        <v>0.45529432531879088</v>
      </c>
      <c r="N1264" s="72">
        <f t="shared" si="708"/>
        <v>0.29077269383386684</v>
      </c>
      <c r="O1264" s="72">
        <f t="shared" si="709"/>
        <v>0.63155263754568769</v>
      </c>
      <c r="P1264" s="72">
        <f t="shared" si="710"/>
        <v>0.44355764457681812</v>
      </c>
      <c r="Q1264" s="72"/>
      <c r="R1264" s="72"/>
      <c r="S1264" s="72">
        <f t="shared" si="711"/>
        <v>0.70062855683710512</v>
      </c>
      <c r="T1264" s="72">
        <f t="shared" si="712"/>
        <v>0.62870060050564081</v>
      </c>
      <c r="U1264" s="72">
        <f t="shared" si="713"/>
        <v>0.58688680767276113</v>
      </c>
      <c r="V1264" s="72">
        <f t="shared" si="714"/>
        <v>0.52649778931849844</v>
      </c>
      <c r="W1264" s="72">
        <f t="shared" si="715"/>
        <v>0.75928679070306615</v>
      </c>
      <c r="X1264" s="72">
        <f t="shared" si="716"/>
        <v>0.32929521484106067</v>
      </c>
      <c r="Y1264" s="72">
        <f t="shared" si="717"/>
        <v>0.54470567468120912</v>
      </c>
      <c r="Z1264" s="72">
        <f t="shared" si="718"/>
        <v>0.70922730616613316</v>
      </c>
      <c r="AA1264" s="72">
        <f t="shared" si="719"/>
        <v>0.36844736245431225</v>
      </c>
      <c r="AB1264" s="72">
        <f t="shared" si="720"/>
        <v>0.55644235542318188</v>
      </c>
      <c r="AC1264" s="72"/>
      <c r="AD1264" s="72"/>
      <c r="AE1264" s="72">
        <f t="shared" si="721"/>
        <v>0.29937144316289493</v>
      </c>
      <c r="AF1264" s="72">
        <f t="shared" si="722"/>
        <v>0.37129939949435925</v>
      </c>
      <c r="AG1264" s="72">
        <f t="shared" si="723"/>
        <v>0.41311319232723881</v>
      </c>
      <c r="AH1264" s="72">
        <f t="shared" si="724"/>
        <v>0.47350221068150156</v>
      </c>
      <c r="AI1264" s="72">
        <f t="shared" si="725"/>
        <v>0.24071320929693388</v>
      </c>
      <c r="AJ1264" s="72">
        <f>(AV1264-Driver!$K$179)/(Driver!$L$179-Driver!$K$179)</f>
        <v>0.58351462412376109</v>
      </c>
      <c r="AK1264" s="72">
        <f>(AW1264-Driver!$K$180)/(Driver!$L$180-Driver!$K$180)</f>
        <v>0.82502589352563072</v>
      </c>
      <c r="AL1264" s="72">
        <f>(AX1264-Driver!$K$181)/(Driver!$L$181-Driver!$K$181)</f>
        <v>0.81091506987921336</v>
      </c>
      <c r="AM1264" s="72">
        <f>(AY1264-Driver!$K$182)/(Driver!$L$182-Driver!$K$182)</f>
        <v>7.8937658642734096E-2</v>
      </c>
      <c r="AN1264" s="72">
        <f>(AZ1264-Driver!$K$183)/(Driver!$L$183-Driver!$K$183)</f>
        <v>0.81066176470588236</v>
      </c>
      <c r="AO1264" s="72"/>
      <c r="AP1264" s="72"/>
      <c r="AQ1264" s="72">
        <f>(BC1264-Driver!$K$188)/(Driver!$L$188-Driver!$K$188)</f>
        <v>0.32062855683710506</v>
      </c>
      <c r="AR1264" s="72">
        <f>MIN((BD1264-Driver!$K$189)/(Driver!$L$189-Driver!$K$189),100%)</f>
        <v>0.17870060050564079</v>
      </c>
      <c r="AS1264" s="72">
        <f>(BE1264-Driver!$K$190)/(Driver!$L$190-Driver!$K$190)</f>
        <v>9.6886807672761213E-2</v>
      </c>
      <c r="AT1264" s="72">
        <f>(BF1264-Driver!$K$191)/(Driver!$L$191-Driver!$K$191)</f>
        <v>3.6497789318498446E-2</v>
      </c>
      <c r="AU1264" s="72">
        <f>(BG1264-Driver!$K$192)/(Driver!$L$192-Driver!$K$192)</f>
        <v>9.2867907030661327E-3</v>
      </c>
      <c r="AV1264" s="70">
        <f t="shared" si="726"/>
        <v>12.28123728123728</v>
      </c>
      <c r="AW1264" s="70">
        <f t="shared" si="727"/>
        <v>82.277976418630345</v>
      </c>
      <c r="AX1264" s="70">
        <f t="shared" si="728"/>
        <v>8.29823562891292</v>
      </c>
      <c r="AY1264" s="70">
        <f>IFERROR(Driver!$K$19/Data!BH1264/Data!BI1264*Data!BK1264*Data!BL1264,"")</f>
        <v>9.6643246902827759E-2</v>
      </c>
      <c r="AZ1264" s="70">
        <f t="shared" si="729"/>
        <v>73.883097542814596</v>
      </c>
      <c r="BA1264" s="70"/>
      <c r="BB1264" s="70"/>
      <c r="BC1264" s="70">
        <f t="shared" si="730"/>
        <v>166.31226140497159</v>
      </c>
      <c r="BD1264" s="70">
        <f t="shared" si="731"/>
        <v>17.535509390119341</v>
      </c>
      <c r="BE1264" s="70">
        <f t="shared" si="732"/>
        <v>9.7047912901300437E-2</v>
      </c>
      <c r="BF1264" s="70">
        <f t="shared" si="733"/>
        <v>4.1221688920425583</v>
      </c>
      <c r="BG1264" s="70">
        <f t="shared" si="734"/>
        <v>3.5165713933808615E-2</v>
      </c>
      <c r="BH1264" s="67">
        <f>MAX((CE1264-Driver!$F$200)/(Driver!$G$200-Driver!$F$200)*$BI$1,1)</f>
        <v>8.29823562891292</v>
      </c>
      <c r="BI1264" s="67">
        <f>MAX($BI$1*(BY1264-Driver!$F$201)/(Driver!$G$201-Driver!$F$201),1)</f>
        <v>8.5443037974683538</v>
      </c>
      <c r="BJ1264" s="67">
        <f>(CB1264-Driver!$F$206)/(Driver!$G$206-Driver!$F$206)*$BI$1</f>
        <v>5.3968253968253963</v>
      </c>
      <c r="BK1264" s="67">
        <f>(CD1264-Driver!$F$203)/(Driver!$G$203-Driver!$F$203)*$BI$1</f>
        <v>5.2293577981651387</v>
      </c>
      <c r="BL1264" s="67">
        <f>MAX((CR1264-Driver!$F$202)/(Driver!$G$202-Driver!$F$202)*$BI$1,1)</f>
        <v>6.5517241379310338</v>
      </c>
      <c r="BM1264" s="67">
        <f>MAX((CH1264-Driver!$F$204)/(Driver!$G$204-Driver!$F$204)*$BI$1,1)</f>
        <v>9.1025641025641022</v>
      </c>
      <c r="BN1264" s="67">
        <f>(CI1264-Driver!$F$205)/(Driver!$G$205-Driver!$F$205)*$BI$1</f>
        <v>8.647058823529413</v>
      </c>
      <c r="BO1264" s="67">
        <f>(CK1264-Driver!$F$207)/(Driver!$G$207-Driver!$F$207)*$BI$1</f>
        <v>1.9751809720785938</v>
      </c>
      <c r="BP1264" s="67">
        <f>(CM1264-Driver!$F$208)/(Driver!$G$208-Driver!$F$208)*$BI$1</f>
        <v>2.0222222222222221</v>
      </c>
      <c r="BQ1264" s="67">
        <f>(CL1264-Driver!$F$209)/(Driver!$G$209-Driver!$F$209)*$BI$1</f>
        <v>2.65625</v>
      </c>
      <c r="BR1264" s="28" t="s">
        <v>155</v>
      </c>
      <c r="BS1264" s="8" t="s">
        <v>262</v>
      </c>
      <c r="BT1264" s="9" t="s">
        <v>522</v>
      </c>
      <c r="BU1264" s="10">
        <v>191</v>
      </c>
      <c r="BV1264" s="9" t="s">
        <v>158</v>
      </c>
      <c r="BW1264" s="10">
        <v>191</v>
      </c>
      <c r="BX1264" s="10">
        <v>190.8</v>
      </c>
      <c r="BY1264" s="10">
        <v>143</v>
      </c>
      <c r="BZ1264" s="10">
        <v>163</v>
      </c>
      <c r="CA1264" s="10">
        <v>137</v>
      </c>
      <c r="CB1264" s="10">
        <v>98</v>
      </c>
      <c r="CC1264" s="10">
        <v>122</v>
      </c>
      <c r="CD1264" s="10">
        <v>20.8</v>
      </c>
      <c r="CE1264" s="10">
        <v>2358</v>
      </c>
      <c r="CF1264" s="10">
        <v>0.89</v>
      </c>
      <c r="CG1264" s="10">
        <v>2098</v>
      </c>
      <c r="CH1264" s="10">
        <v>314</v>
      </c>
      <c r="CI1264" s="10">
        <v>180</v>
      </c>
      <c r="CJ1264" s="10">
        <v>53</v>
      </c>
      <c r="CK1264" s="10">
        <v>301</v>
      </c>
      <c r="CL1264" s="10">
        <v>17</v>
      </c>
      <c r="CM1264" s="10">
        <v>182</v>
      </c>
      <c r="CN1264" s="10">
        <v>0.32400000000000001</v>
      </c>
      <c r="CO1264" s="10">
        <v>151</v>
      </c>
      <c r="CP1264" s="10">
        <v>123</v>
      </c>
      <c r="CQ1264" s="10">
        <v>149</v>
      </c>
      <c r="CR1264" s="10">
        <v>8</v>
      </c>
      <c r="CS1264" s="10">
        <v>12</v>
      </c>
      <c r="CT1264" s="9" t="s">
        <v>188</v>
      </c>
      <c r="CU1264" s="10"/>
      <c r="CV1264" s="10"/>
      <c r="CW1264" s="10"/>
      <c r="CX1264" t="e">
        <f>INDEX('Data_Price '!AG$2:AG$1266,MATCH(Data!$DN1264,'Data_Price '!$AT$2:$AT$1266,0))</f>
        <v>#N/A</v>
      </c>
      <c r="CY1264" t="e">
        <f>INDEX('Data_Price '!AH$2:AH$1266,MATCH(Data!$DN1264,'Data_Price '!$AT$2:$AT$1266,0))</f>
        <v>#N/A</v>
      </c>
      <c r="CZ1264" t="e">
        <f>INDEX('Data_Price '!AI$2:AI$1266,MATCH(Data!$DN1264,'Data_Price '!$AT$2:$AT$1266,0))</f>
        <v>#N/A</v>
      </c>
      <c r="DA1264" t="e">
        <f>INDEX('Data_Price '!AJ$2:AJ$1266,MATCH(Data!$DN1264,'Data_Price '!$AT$2:$AT$1266,0))</f>
        <v>#N/A</v>
      </c>
      <c r="DB1264" t="e">
        <f>INDEX('Data_Price '!AK$2:AK$1266,MATCH(Data!$DN1264,'Data_Price '!$AT$2:$AT$1266,0))</f>
        <v>#N/A</v>
      </c>
      <c r="DC1264" t="e">
        <f>INDEX('Data_Price '!AL$2:AL$1266,MATCH(Data!$DN1264,'Data_Price '!$AT$2:$AT$1266,0))</f>
        <v>#N/A</v>
      </c>
      <c r="DD1264" t="e">
        <f>INDEX('Data_Price '!AM$2:AM$1266,MATCH(Data!$DN1264,'Data_Price '!$AT$2:$AT$1266,0))</f>
        <v>#N/A</v>
      </c>
      <c r="DE1264" t="e">
        <f>INDEX('Data_Price '!AN$2:AN$1266,MATCH(Data!$DN1264,'Data_Price '!$AT$2:$AT$1266,0))</f>
        <v>#N/A</v>
      </c>
      <c r="DF1264" t="e">
        <f>INDEX('Data_Price '!AO$2:AO$1266,MATCH(Data!$DN1264,'Data_Price '!$AT$2:$AT$1266,0))</f>
        <v>#N/A</v>
      </c>
      <c r="DG1264" t="e">
        <f>INDEX('Data_Price '!AP$2:AP$1266,MATCH(Data!$DN1264,'Data_Price '!$AT$2:$AT$1266,0))</f>
        <v>#N/A</v>
      </c>
      <c r="DH1264" t="e">
        <f>INDEX('Data_Price '!AQ$2:AQ$1266,MATCH(Data!$DN1264,'Data_Price '!$AT$2:$AT$1266,0))</f>
        <v>#N/A</v>
      </c>
      <c r="DI1264" t="e">
        <f>INDEX('Data_Price '!AR$2:AR$1266,MATCH(Data!$DN1264,'Data_Price '!$AT$2:$AT$1266,0))</f>
        <v>#N/A</v>
      </c>
      <c r="DJ1264" s="89" t="e">
        <f t="shared" si="735"/>
        <v>#N/A</v>
      </c>
      <c r="DK1264" s="89" t="e">
        <f t="shared" si="736"/>
        <v>#N/A</v>
      </c>
      <c r="DL1264" s="89" t="e">
        <f t="shared" si="737"/>
        <v>#N/A</v>
      </c>
      <c r="DM1264" s="219" t="str">
        <f t="shared" si="738"/>
        <v>Mindbender 99 Ti</v>
      </c>
      <c r="DN1264" s="89" t="str">
        <f t="shared" si="739"/>
        <v xml:space="preserve"> K2Mindbender 99 Ti191 Unisex</v>
      </c>
      <c r="DO1264" s="221"/>
    </row>
    <row r="1265" spans="2:119" ht="15.6" customHeight="1">
      <c r="B1265" s="219" t="b">
        <f t="array" ref="B1265">IF(OR(ISERROR(K1265:P1265)),FALSE,TRUE)</f>
        <v>1</v>
      </c>
      <c r="C1265" s="43" t="b">
        <f>OR(BR1265=Driver!$G$50,Data!BR720=Driver!$H$50)</f>
        <v>1</v>
      </c>
      <c r="D1265" s="43" t="b">
        <f>OR(BV1265=Driver!$G$51,BV1265=Driver!$H$51)</f>
        <v>1</v>
      </c>
      <c r="E1265" s="43" t="b">
        <f>AND(BX1265&gt;Driver!$F$54,BX1265&lt;Driver!$G$54)</f>
        <v>0</v>
      </c>
      <c r="F1265" s="43" t="b">
        <f>CL1265&gt;Driver!$F$56</f>
        <v>1</v>
      </c>
      <c r="G1265" s="43" t="b">
        <f>AND(CB1265&gt;Driver!$F$55,CB1265&lt;Driver!$G$55)</f>
        <v>1</v>
      </c>
      <c r="H1265" s="43" t="b">
        <f t="shared" si="703"/>
        <v>0</v>
      </c>
      <c r="I1265" s="43">
        <f t="shared" si="704"/>
        <v>0</v>
      </c>
      <c r="J1265" s="43" t="b">
        <f t="array" ref="J1265">NOT(OR(($H$9:$H$1273=TRUE)*($I$9:$I$1273&gt;0)*($BT$9:$BT$1273=BT1265)*($K$9:$K$1273&gt;K1265)))</f>
        <v>1</v>
      </c>
      <c r="K1265" s="72">
        <f t="shared" si="705"/>
        <v>0.56887248220663111</v>
      </c>
      <c r="L1265" s="72">
        <f t="shared" si="706"/>
        <v>0.63404375865019702</v>
      </c>
      <c r="M1265" s="72">
        <f t="shared" si="707"/>
        <v>0.50370120576306521</v>
      </c>
      <c r="N1265" s="72">
        <f t="shared" si="708"/>
        <v>0.3495850634032085</v>
      </c>
      <c r="O1265" s="72">
        <f t="shared" si="709"/>
        <v>0.67302626878629312</v>
      </c>
      <c r="P1265" s="72">
        <f t="shared" si="710"/>
        <v>0.488492285099694</v>
      </c>
      <c r="Q1265" s="72"/>
      <c r="R1265" s="72"/>
      <c r="S1265" s="72">
        <f t="shared" si="711"/>
        <v>0.746158077630654</v>
      </c>
      <c r="T1265" s="72">
        <f t="shared" si="712"/>
        <v>0.51167217604194659</v>
      </c>
      <c r="U1265" s="72">
        <f t="shared" si="713"/>
        <v>0.51473826511185994</v>
      </c>
      <c r="V1265" s="72">
        <f t="shared" si="714"/>
        <v>0.57523722103580477</v>
      </c>
      <c r="W1265" s="72">
        <f t="shared" si="715"/>
        <v>0.7666640063846768</v>
      </c>
      <c r="X1265" s="72">
        <f t="shared" si="716"/>
        <v>0.36595624134980292</v>
      </c>
      <c r="Y1265" s="72">
        <f t="shared" si="717"/>
        <v>0.49629879423693479</v>
      </c>
      <c r="Z1265" s="72">
        <f t="shared" si="718"/>
        <v>0.6504149365967915</v>
      </c>
      <c r="AA1265" s="72">
        <f t="shared" si="719"/>
        <v>0.32697373121370682</v>
      </c>
      <c r="AB1265" s="72">
        <f t="shared" si="720"/>
        <v>0.511507714900306</v>
      </c>
      <c r="AC1265" s="72"/>
      <c r="AD1265" s="72"/>
      <c r="AE1265" s="72">
        <f t="shared" si="721"/>
        <v>0.25384192236934594</v>
      </c>
      <c r="AF1265" s="72">
        <f t="shared" si="722"/>
        <v>0.48832782395805341</v>
      </c>
      <c r="AG1265" s="72">
        <f t="shared" si="723"/>
        <v>0.48526173488814001</v>
      </c>
      <c r="AH1265" s="72">
        <f t="shared" si="724"/>
        <v>0.42476277896419518</v>
      </c>
      <c r="AI1265" s="72">
        <f t="shared" si="725"/>
        <v>0.23333599361532323</v>
      </c>
      <c r="AJ1265" s="72">
        <f>(AV1265-Driver!$K$179)/(Driver!$L$179-Driver!$K$179)</f>
        <v>0.62017565063250335</v>
      </c>
      <c r="AK1265" s="72">
        <f>(AW1265-Driver!$K$180)/(Driver!$L$180-Driver!$K$180)</f>
        <v>0.77809486853391319</v>
      </c>
      <c r="AL1265" s="72">
        <f>(AX1265-Driver!$K$181)/(Driver!$L$181-Driver!$K$181)</f>
        <v>0.7521027003098717</v>
      </c>
      <c r="AM1265" s="72">
        <f>(AY1265-Driver!$K$182)/(Driver!$L$182-Driver!$K$182)</f>
        <v>0.12041128988333955</v>
      </c>
      <c r="AN1265" s="72">
        <f>(AZ1265-Driver!$K$183)/(Driver!$L$183-Driver!$K$183)</f>
        <v>0.76572712418300648</v>
      </c>
      <c r="AO1265" s="72"/>
      <c r="AP1265" s="72"/>
      <c r="AQ1265" s="72">
        <f>(BC1265-Driver!$K$188)/(Driver!$L$188-Driver!$K$188)</f>
        <v>0.36615807763065406</v>
      </c>
      <c r="AR1265" s="72">
        <f>MIN((BD1265-Driver!$K$189)/(Driver!$L$189-Driver!$K$189),100%)</f>
        <v>6.1672176041946622E-2</v>
      </c>
      <c r="AS1265" s="72">
        <f>(BE1265-Driver!$K$190)/(Driver!$L$190-Driver!$K$190)</f>
        <v>2.4738265111859999E-2</v>
      </c>
      <c r="AT1265" s="72">
        <f>(BF1265-Driver!$K$191)/(Driver!$L$191-Driver!$K$191)</f>
        <v>8.5237221035804819E-2</v>
      </c>
      <c r="AU1265" s="72">
        <f>(BG1265-Driver!$K$192)/(Driver!$L$192-Driver!$K$192)</f>
        <v>1.6664006384676775E-2</v>
      </c>
      <c r="AV1265" s="70">
        <f t="shared" si="726"/>
        <v>13.052842219508886</v>
      </c>
      <c r="AW1265" s="70">
        <f t="shared" si="727"/>
        <v>77.704132182002169</v>
      </c>
      <c r="AX1265" s="70">
        <f t="shared" si="728"/>
        <v>7.7689243027888448</v>
      </c>
      <c r="AY1265" s="70">
        <f>IFERROR(Driver!$K$19/Data!BH1265/Data!BI1265*Data!BK1265*Data!BL1265,"")</f>
        <v>0.14741934607854859</v>
      </c>
      <c r="AZ1265" s="70">
        <f t="shared" si="729"/>
        <v>69.787788533134773</v>
      </c>
      <c r="BA1265" s="70"/>
      <c r="BB1265" s="70"/>
      <c r="BC1265" s="70">
        <f t="shared" si="730"/>
        <v>189.92874035667899</v>
      </c>
      <c r="BD1265" s="70">
        <f t="shared" si="731"/>
        <v>7.1787011871802946</v>
      </c>
      <c r="BE1265" s="70">
        <f t="shared" si="732"/>
        <v>2.4912240828325643E-2</v>
      </c>
      <c r="BF1265" s="70">
        <f t="shared" si="733"/>
        <v>9.6269452906252244</v>
      </c>
      <c r="BG1265" s="70">
        <f t="shared" si="734"/>
        <v>6.3100558659217876E-2</v>
      </c>
      <c r="BH1265" s="67">
        <f>MAX((CE1265-Driver!$F$200)/(Driver!$G$200-Driver!$F$200)*$BI$1,1)</f>
        <v>7.7689243027888448</v>
      </c>
      <c r="BI1265" s="67">
        <f>MAX($BI$1*(BY1265-Driver!$F$201)/(Driver!$G$201-Driver!$F$201),1)</f>
        <v>7.2784810126582276</v>
      </c>
      <c r="BJ1265" s="67">
        <f>(CB1265-Driver!$F$206)/(Driver!$G$206-Driver!$F$206)*$BI$1</f>
        <v>6.825396825396826</v>
      </c>
      <c r="BK1265" s="67">
        <f>(CD1265-Driver!$F$203)/(Driver!$G$203-Driver!$F$203)*$BI$1</f>
        <v>7.1100917431192654</v>
      </c>
      <c r="BL1265" s="67">
        <f>MAX((CR1265-Driver!$F$202)/(Driver!$G$202-Driver!$F$202)*$BI$1,1)</f>
        <v>5.8620689655172411</v>
      </c>
      <c r="BM1265" s="67">
        <f>MAX((CH1265-Driver!$F$204)/(Driver!$G$204-Driver!$F$204)*$BI$1,1)</f>
        <v>7.649572649572649</v>
      </c>
      <c r="BN1265" s="67">
        <f>(CI1265-Driver!$F$205)/(Driver!$G$205-Driver!$F$205)*$BI$1</f>
        <v>9.5882352941176467</v>
      </c>
      <c r="BO1265" s="67">
        <f>(CK1265-Driver!$F$207)/(Driver!$G$207-Driver!$F$207)*$BI$1</f>
        <v>2.9886246122026887</v>
      </c>
      <c r="BP1265" s="67">
        <f>(CM1265-Driver!$F$208)/(Driver!$G$208-Driver!$F$208)*$BI$1</f>
        <v>3.3555555555555556</v>
      </c>
      <c r="BQ1265" s="67">
        <f>(CL1265-Driver!$F$209)/(Driver!$G$209-Driver!$F$209)*$BI$1</f>
        <v>3.75</v>
      </c>
      <c r="BR1265" s="28" t="s">
        <v>155</v>
      </c>
      <c r="BS1265" s="8" t="s">
        <v>262</v>
      </c>
      <c r="BT1265" s="9" t="s">
        <v>405</v>
      </c>
      <c r="BU1265" s="10">
        <v>193</v>
      </c>
      <c r="BV1265" s="9" t="s">
        <v>158</v>
      </c>
      <c r="BW1265" s="10">
        <v>193</v>
      </c>
      <c r="BX1265" s="10">
        <v>193</v>
      </c>
      <c r="BY1265" s="10">
        <v>123</v>
      </c>
      <c r="BZ1265" s="10">
        <v>156</v>
      </c>
      <c r="CA1265" s="10">
        <v>136</v>
      </c>
      <c r="CB1265" s="10">
        <v>107</v>
      </c>
      <c r="CC1265" s="10">
        <v>125</v>
      </c>
      <c r="CD1265" s="10">
        <v>24.9</v>
      </c>
      <c r="CE1265" s="10">
        <v>2265</v>
      </c>
      <c r="CF1265" s="10">
        <v>0.99</v>
      </c>
      <c r="CG1265" s="10">
        <v>2238</v>
      </c>
      <c r="CH1265" s="10">
        <v>280</v>
      </c>
      <c r="CI1265" s="10">
        <v>196</v>
      </c>
      <c r="CJ1265" s="10">
        <v>48</v>
      </c>
      <c r="CK1265" s="10">
        <v>399</v>
      </c>
      <c r="CL1265" s="10">
        <v>24</v>
      </c>
      <c r="CM1265" s="10">
        <v>302</v>
      </c>
      <c r="CN1265" s="10">
        <v>0.49099999999999999</v>
      </c>
      <c r="CO1265" s="10">
        <v>181</v>
      </c>
      <c r="CP1265" s="10">
        <v>184</v>
      </c>
      <c r="CQ1265" s="10">
        <v>217</v>
      </c>
      <c r="CR1265" s="10">
        <v>6</v>
      </c>
      <c r="CS1265" s="10">
        <v>11</v>
      </c>
      <c r="CT1265" s="9" t="s">
        <v>169</v>
      </c>
      <c r="CU1265" s="10"/>
      <c r="CV1265" s="10"/>
      <c r="CW1265" s="10"/>
      <c r="CX1265" t="e">
        <f>INDEX('Data_Price '!AG$2:AG$1266,MATCH(Data!$DN1265,'Data_Price '!$AT$2:$AT$1266,0))</f>
        <v>#N/A</v>
      </c>
      <c r="CY1265" t="e">
        <f>INDEX('Data_Price '!AH$2:AH$1266,MATCH(Data!$DN1265,'Data_Price '!$AT$2:$AT$1266,0))</f>
        <v>#N/A</v>
      </c>
      <c r="CZ1265" t="e">
        <f>INDEX('Data_Price '!AI$2:AI$1266,MATCH(Data!$DN1265,'Data_Price '!$AT$2:$AT$1266,0))</f>
        <v>#N/A</v>
      </c>
      <c r="DA1265" t="e">
        <f>INDEX('Data_Price '!AJ$2:AJ$1266,MATCH(Data!$DN1265,'Data_Price '!$AT$2:$AT$1266,0))</f>
        <v>#N/A</v>
      </c>
      <c r="DB1265" t="e">
        <f>INDEX('Data_Price '!AK$2:AK$1266,MATCH(Data!$DN1265,'Data_Price '!$AT$2:$AT$1266,0))</f>
        <v>#N/A</v>
      </c>
      <c r="DC1265" t="e">
        <f>INDEX('Data_Price '!AL$2:AL$1266,MATCH(Data!$DN1265,'Data_Price '!$AT$2:$AT$1266,0))</f>
        <v>#N/A</v>
      </c>
      <c r="DD1265" t="e">
        <f>INDEX('Data_Price '!AM$2:AM$1266,MATCH(Data!$DN1265,'Data_Price '!$AT$2:$AT$1266,0))</f>
        <v>#N/A</v>
      </c>
      <c r="DE1265" t="e">
        <f>INDEX('Data_Price '!AN$2:AN$1266,MATCH(Data!$DN1265,'Data_Price '!$AT$2:$AT$1266,0))</f>
        <v>#N/A</v>
      </c>
      <c r="DF1265" t="e">
        <f>INDEX('Data_Price '!AO$2:AO$1266,MATCH(Data!$DN1265,'Data_Price '!$AT$2:$AT$1266,0))</f>
        <v>#N/A</v>
      </c>
      <c r="DG1265" t="e">
        <f>INDEX('Data_Price '!AP$2:AP$1266,MATCH(Data!$DN1265,'Data_Price '!$AT$2:$AT$1266,0))</f>
        <v>#N/A</v>
      </c>
      <c r="DH1265" t="e">
        <f>INDEX('Data_Price '!AQ$2:AQ$1266,MATCH(Data!$DN1265,'Data_Price '!$AT$2:$AT$1266,0))</f>
        <v>#N/A</v>
      </c>
      <c r="DI1265" t="e">
        <f>INDEX('Data_Price '!AR$2:AR$1266,MATCH(Data!$DN1265,'Data_Price '!$AT$2:$AT$1266,0))</f>
        <v>#N/A</v>
      </c>
      <c r="DJ1265" s="89" t="e">
        <f t="shared" si="735"/>
        <v>#N/A</v>
      </c>
      <c r="DK1265" s="89" t="e">
        <f t="shared" si="736"/>
        <v>#N/A</v>
      </c>
      <c r="DL1265" s="89" t="e">
        <f t="shared" si="737"/>
        <v>#N/A</v>
      </c>
      <c r="DM1265" s="219" t="str">
        <f t="shared" si="738"/>
        <v>Mindbender 108 Ti</v>
      </c>
      <c r="DN1265" s="89" t="str">
        <f t="shared" si="739"/>
        <v xml:space="preserve"> K2Mindbender 108 Ti193 Unisex</v>
      </c>
      <c r="DO1265" s="221" t="s">
        <v>406</v>
      </c>
    </row>
    <row r="1266" spans="2:119" ht="15.6" customHeight="1">
      <c r="B1266" s="219" t="b">
        <f t="array" ref="B1266">IF(OR(ISERROR(K1266:P1266)),FALSE,TRUE)</f>
        <v>1</v>
      </c>
      <c r="C1266" s="43" t="b">
        <f>OR(BR1266=Driver!$G$50,Data!BR606=Driver!$H$50)</f>
        <v>1</v>
      </c>
      <c r="D1266" s="43" t="b">
        <f>OR(BV1266=Driver!$G$51,BV1266=Driver!$H$51)</f>
        <v>1</v>
      </c>
      <c r="E1266" s="43" t="b">
        <f>AND(BX1266&gt;Driver!$F$54,BX1266&lt;Driver!$G$54)</f>
        <v>0</v>
      </c>
      <c r="F1266" s="43" t="b">
        <f>CL1266&gt;Driver!$F$56</f>
        <v>1</v>
      </c>
      <c r="G1266" s="43" t="b">
        <f>AND(CB1266&gt;Driver!$F$55,CB1266&lt;Driver!$G$55)</f>
        <v>0</v>
      </c>
      <c r="H1266" s="43" t="b">
        <f t="shared" si="703"/>
        <v>0</v>
      </c>
      <c r="I1266" s="43">
        <f t="shared" si="704"/>
        <v>0</v>
      </c>
      <c r="J1266" s="43" t="b">
        <f t="array" ref="J1266">NOT(OR(($H$9:$H$1273=TRUE)*($I$9:$I$1273&gt;0)*($BT$9:$BT$1273=BT1266)*($K$9:$K$1273&gt;K1266)))</f>
        <v>1</v>
      </c>
      <c r="K1266" s="72">
        <f t="shared" si="705"/>
        <v>0.48622684282158901</v>
      </c>
      <c r="L1266" s="72">
        <f t="shared" si="706"/>
        <v>0.39175868895395993</v>
      </c>
      <c r="M1266" s="72">
        <f t="shared" si="707"/>
        <v>0.58069499668921809</v>
      </c>
      <c r="N1266" s="72">
        <f t="shared" si="708"/>
        <v>0.55131781493675702</v>
      </c>
      <c r="O1266" s="72">
        <f t="shared" si="709"/>
        <v>0.69594319068479826</v>
      </c>
      <c r="P1266" s="72">
        <f t="shared" si="710"/>
        <v>0.4948239844460991</v>
      </c>
      <c r="Q1266" s="72"/>
      <c r="R1266" s="72"/>
      <c r="S1266" s="72">
        <f t="shared" si="711"/>
        <v>0.6970885154757771</v>
      </c>
      <c r="T1266" s="72">
        <f t="shared" si="712"/>
        <v>0.51459599658531663</v>
      </c>
      <c r="U1266" s="72">
        <f t="shared" si="713"/>
        <v>0.58476950475395606</v>
      </c>
      <c r="V1266" s="72">
        <f t="shared" si="714"/>
        <v>0.53791044929845766</v>
      </c>
      <c r="W1266" s="72">
        <f t="shared" si="715"/>
        <v>0.76454612489175078</v>
      </c>
      <c r="X1266" s="72">
        <f t="shared" si="716"/>
        <v>0.60824131104604007</v>
      </c>
      <c r="Y1266" s="72">
        <f t="shared" si="717"/>
        <v>0.41930500331078191</v>
      </c>
      <c r="Z1266" s="72">
        <f t="shared" si="718"/>
        <v>0.44868218506324298</v>
      </c>
      <c r="AA1266" s="72">
        <f t="shared" si="719"/>
        <v>0.30405680931520174</v>
      </c>
      <c r="AB1266" s="72">
        <f t="shared" si="720"/>
        <v>0.5051760155539009</v>
      </c>
      <c r="AC1266" s="72"/>
      <c r="AD1266" s="72"/>
      <c r="AE1266" s="72">
        <f t="shared" si="721"/>
        <v>0.30291148452422295</v>
      </c>
      <c r="AF1266" s="72">
        <f t="shared" si="722"/>
        <v>0.48540400341468343</v>
      </c>
      <c r="AG1266" s="72">
        <f t="shared" si="723"/>
        <v>0.41523049524604394</v>
      </c>
      <c r="AH1266" s="72">
        <f t="shared" si="724"/>
        <v>0.46208955070154234</v>
      </c>
      <c r="AI1266" s="72">
        <f t="shared" si="725"/>
        <v>0.23545387510824922</v>
      </c>
      <c r="AJ1266" s="72">
        <f>(AV1266-Driver!$K$179)/(Driver!$L$179-Driver!$K$179)</f>
        <v>0.86246072032874044</v>
      </c>
      <c r="AK1266" s="72">
        <f>(AW1266-Driver!$K$180)/(Driver!$L$180-Driver!$K$180)</f>
        <v>0.75383228367170574</v>
      </c>
      <c r="AL1266" s="72">
        <f>(AX1266-Driver!$K$181)/(Driver!$L$181-Driver!$K$181)</f>
        <v>0.55036994877632317</v>
      </c>
      <c r="AM1266" s="72">
        <f>(AY1266-Driver!$K$182)/(Driver!$L$182-Driver!$K$182)</f>
        <v>0.14332821178184466</v>
      </c>
      <c r="AN1266" s="72">
        <f>(AZ1266-Driver!$K$183)/(Driver!$L$183-Driver!$K$183)</f>
        <v>0.75939542483660127</v>
      </c>
      <c r="AO1266" s="72"/>
      <c r="AP1266" s="72"/>
      <c r="AQ1266" s="72">
        <f>(BC1266-Driver!$K$188)/(Driver!$L$188-Driver!$K$188)</f>
        <v>0.31708851547577704</v>
      </c>
      <c r="AR1266" s="72">
        <f>MIN((BD1266-Driver!$K$189)/(Driver!$L$189-Driver!$K$189),100%)</f>
        <v>6.4595996585316603E-2</v>
      </c>
      <c r="AS1266" s="72">
        <f>(BE1266-Driver!$K$190)/(Driver!$L$190-Driver!$K$190)</f>
        <v>9.4769504753956041E-2</v>
      </c>
      <c r="AT1266" s="72">
        <f>(BF1266-Driver!$K$191)/(Driver!$L$191-Driver!$K$191)</f>
        <v>4.7910449298457683E-2</v>
      </c>
      <c r="AU1266" s="72">
        <f>(BG1266-Driver!$K$192)/(Driver!$L$192-Driver!$K$192)</f>
        <v>1.4546124891750766E-2</v>
      </c>
      <c r="AV1266" s="70">
        <f t="shared" si="726"/>
        <v>18.15221815221815</v>
      </c>
      <c r="AW1266" s="70">
        <f t="shared" si="727"/>
        <v>75.33952829880775</v>
      </c>
      <c r="AX1266" s="70">
        <f t="shared" si="728"/>
        <v>5.9533295389869085</v>
      </c>
      <c r="AY1266" s="70">
        <f>IFERROR(Driver!$K$19/Data!BH1266/Data!BI1266*Data!BK1266*Data!BL1266,"")</f>
        <v>0.17547649623186026</v>
      </c>
      <c r="AZ1266" s="70">
        <f t="shared" si="729"/>
        <v>69.210722263588977</v>
      </c>
      <c r="BA1266" s="70"/>
      <c r="BB1266" s="70"/>
      <c r="BC1266" s="70">
        <f t="shared" si="730"/>
        <v>164.47601734088246</v>
      </c>
      <c r="BD1266" s="70">
        <f t="shared" si="731"/>
        <v>7.437454124565094</v>
      </c>
      <c r="BE1266" s="70">
        <f t="shared" si="732"/>
        <v>9.4930987685504717E-2</v>
      </c>
      <c r="BF1266" s="70">
        <f t="shared" si="733"/>
        <v>5.4111486583048096</v>
      </c>
      <c r="BG1266" s="70">
        <f t="shared" si="734"/>
        <v>5.5080908264668313E-2</v>
      </c>
      <c r="BH1266" s="67">
        <f>MAX((CE1266-Driver!$F$200)/(Driver!$G$200-Driver!$F$200)*$BI$1,1)</f>
        <v>5.9533295389869085</v>
      </c>
      <c r="BI1266" s="67">
        <f>MAX($BI$1*(BY1266-Driver!$F$201)/(Driver!$G$201-Driver!$F$201),1)</f>
        <v>8.2278481012658222</v>
      </c>
      <c r="BJ1266" s="67">
        <f>(CB1266-Driver!$F$206)/(Driver!$G$206-Driver!$F$206)*$BI$1</f>
        <v>7.6190476190476186</v>
      </c>
      <c r="BK1266" s="67">
        <f>(CD1266-Driver!$F$203)/(Driver!$G$203-Driver!$F$203)*$BI$1</f>
        <v>6.5596330275229366</v>
      </c>
      <c r="BL1266" s="67">
        <f>MAX((CR1266-Driver!$F$202)/(Driver!$G$202-Driver!$F$202)*$BI$1,1)</f>
        <v>6.5517241379310338</v>
      </c>
      <c r="BM1266" s="67">
        <f>MAX((CH1266-Driver!$F$204)/(Driver!$G$204-Driver!$F$204)*$BI$1,1)</f>
        <v>9.5299145299145298</v>
      </c>
      <c r="BN1266" s="67">
        <f>(CI1266-Driver!$F$205)/(Driver!$G$205-Driver!$F$205)*$BI$1</f>
        <v>8.4117647058823533</v>
      </c>
      <c r="BO1266" s="67">
        <f>(CK1266-Driver!$F$207)/(Driver!$G$207-Driver!$F$207)*$BI$1</f>
        <v>1.6442605997931747</v>
      </c>
      <c r="BP1266" s="67">
        <f>(CM1266-Driver!$F$208)/(Driver!$G$208-Driver!$F$208)*$BI$1</f>
        <v>2.833333333333333</v>
      </c>
      <c r="BQ1266" s="67">
        <f>(CL1266-Driver!$F$209)/(Driver!$G$209-Driver!$F$209)*$BI$1</f>
        <v>3.125</v>
      </c>
      <c r="BR1266" s="28" t="s">
        <v>155</v>
      </c>
      <c r="BS1266" s="8" t="s">
        <v>167</v>
      </c>
      <c r="BT1266" s="9" t="s">
        <v>786</v>
      </c>
      <c r="BU1266" s="10">
        <v>191</v>
      </c>
      <c r="BV1266" s="9" t="s">
        <v>158</v>
      </c>
      <c r="BW1266" s="10">
        <v>191</v>
      </c>
      <c r="BX1266" s="10">
        <v>190.2</v>
      </c>
      <c r="BY1266" s="10">
        <v>138</v>
      </c>
      <c r="BZ1266" s="10">
        <v>153</v>
      </c>
      <c r="CA1266" s="10">
        <v>142</v>
      </c>
      <c r="CB1266" s="10">
        <v>112</v>
      </c>
      <c r="CC1266" s="10">
        <v>128</v>
      </c>
      <c r="CD1266" s="10">
        <v>23.7</v>
      </c>
      <c r="CE1266" s="10">
        <v>1946</v>
      </c>
      <c r="CF1266" s="10">
        <v>1.19</v>
      </c>
      <c r="CG1266" s="10">
        <v>2317</v>
      </c>
      <c r="CH1266" s="10">
        <v>324</v>
      </c>
      <c r="CI1266" s="10">
        <v>176</v>
      </c>
      <c r="CJ1266" s="10">
        <v>56</v>
      </c>
      <c r="CK1266" s="10">
        <v>269</v>
      </c>
      <c r="CL1266" s="10">
        <v>20</v>
      </c>
      <c r="CM1266" s="10">
        <v>255</v>
      </c>
      <c r="CN1266" s="10">
        <v>0.36499999999999999</v>
      </c>
      <c r="CO1266" s="10">
        <v>230</v>
      </c>
      <c r="CP1266" s="10">
        <v>142</v>
      </c>
      <c r="CQ1266" s="10">
        <v>39</v>
      </c>
      <c r="CR1266" s="10">
        <v>8</v>
      </c>
      <c r="CS1266" s="10">
        <v>9.9</v>
      </c>
      <c r="CT1266" s="9" t="s">
        <v>169</v>
      </c>
      <c r="CU1266" s="9" t="s">
        <v>178</v>
      </c>
      <c r="CV1266" s="9" t="s">
        <v>185</v>
      </c>
      <c r="CW1266" s="10"/>
      <c r="CX1266" t="str">
        <f>INDEX('Data_Price '!AG$2:AG$1266,MATCH(Data!$DN1266,'Data_Price '!$AT$2:$AT$1266,0))</f>
        <v>Head Kore 111 Skis - 2022</v>
      </c>
      <c r="CY1266" t="str">
        <f>INDEX('Data_Price '!AH$2:AH$1266,MATCH(Data!$DN1266,'Data_Price '!$AT$2:$AT$1266,0))</f>
        <v>! OutdoorXL.com</v>
      </c>
      <c r="CZ1266">
        <f>INDEX('Data_Price '!AI$2:AI$1266,MATCH(Data!$DN1266,'Data_Price '!$AT$2:$AT$1266,0))</f>
        <v>424.95</v>
      </c>
      <c r="DA1266" t="str">
        <f>INDEX('Data_Price '!AJ$2:AJ$1266,MATCH(Data!$DN1266,'Data_Price '!$AT$2:$AT$1266,0))</f>
        <v>https://tinyurl.com/y9aw2ro6</v>
      </c>
      <c r="DB1266" t="str">
        <f>INDEX('Data_Price '!AK$2:AK$1266,MATCH(Data!$DN1266,'Data_Price '!$AT$2:$AT$1266,0))</f>
        <v>Head Kore 111 Anth/Bl / 191cm</v>
      </c>
      <c r="DC1266" t="str">
        <f>INDEX('Data_Price '!AL$2:AL$1266,MATCH(Data!$DN1266,'Data_Price '!$AT$2:$AT$1266,0))</f>
        <v>Sundance Ski and Board Shop</v>
      </c>
      <c r="DD1266">
        <f>INDEX('Data_Price '!AM$2:AM$1266,MATCH(Data!$DN1266,'Data_Price '!$AT$2:$AT$1266,0))</f>
        <v>544.98</v>
      </c>
      <c r="DE1266" t="str">
        <f>INDEX('Data_Price '!AN$2:AN$1266,MATCH(Data!$DN1266,'Data_Price '!$AT$2:$AT$1266,0))</f>
        <v>https://tinyurl.com/ybf96c2n</v>
      </c>
      <c r="DF1266" t="str">
        <f>INDEX('Data_Price '!AO$2:AO$1266,MATCH(Data!$DN1266,'Data_Price '!$AT$2:$AT$1266,0))</f>
        <v>Head Kore 111 Skis - 2022</v>
      </c>
      <c r="DG1266" t="str">
        <f>INDEX('Data_Price '!AP$2:AP$1266,MATCH(Data!$DN1266,'Data_Price '!$AT$2:$AT$1266,0))</f>
        <v>Powder7 Ski Shop</v>
      </c>
      <c r="DH1266">
        <f>INDEX('Data_Price '!AQ$2:AQ$1266,MATCH(Data!$DN1266,'Data_Price '!$AT$2:$AT$1266,0))</f>
        <v>549.92999999999995</v>
      </c>
      <c r="DI1266" t="str">
        <f>INDEX('Data_Price '!AR$2:AR$1266,MATCH(Data!$DN1266,'Data_Price '!$AT$2:$AT$1266,0))</f>
        <v>https://tinyurl.com/y7dhauje</v>
      </c>
      <c r="DJ1266" s="89" t="str">
        <f t="shared" si="735"/>
        <v>https://tinyurl.com/y9aw2ro6</v>
      </c>
      <c r="DK1266" s="89" t="str">
        <f t="shared" si="736"/>
        <v>https://tinyurl.com/ybf96c2n</v>
      </c>
      <c r="DL1266" s="89" t="str">
        <f t="shared" si="737"/>
        <v>https://tinyurl.com/y7dhauje</v>
      </c>
      <c r="DM1266" s="219" t="str">
        <f t="shared" si="738"/>
        <v>Kore 111</v>
      </c>
      <c r="DN1266" s="89" t="str">
        <f t="shared" si="739"/>
        <v xml:space="preserve"> HeadKore 111191 Unisex</v>
      </c>
      <c r="DO1266" s="221" t="s">
        <v>787</v>
      </c>
    </row>
    <row r="1267" spans="2:119" ht="15.6" customHeight="1">
      <c r="B1267" s="219" t="b">
        <f t="array" ref="B1267">IF(OR(ISERROR(K1267:P1267)),FALSE,TRUE)</f>
        <v>1</v>
      </c>
      <c r="C1267" s="43" t="b">
        <f>OR(BR1267=Driver!$G$50,Data!BR1041=Driver!$H$50)</f>
        <v>1</v>
      </c>
      <c r="D1267" s="43" t="b">
        <f>OR(BV1267=Driver!$G$51,BV1267=Driver!$H$51)</f>
        <v>1</v>
      </c>
      <c r="E1267" s="43" t="b">
        <f>AND(BX1267&gt;Driver!$F$54,BX1267&lt;Driver!$G$54)</f>
        <v>0</v>
      </c>
      <c r="F1267" s="43" t="b">
        <f>CL1267&gt;Driver!$F$56</f>
        <v>1</v>
      </c>
      <c r="G1267" s="43" t="b">
        <f>AND(CB1267&gt;Driver!$F$55,CB1267&lt;Driver!$G$55)</f>
        <v>0</v>
      </c>
      <c r="H1267" s="43" t="b">
        <f t="shared" si="703"/>
        <v>0</v>
      </c>
      <c r="I1267" s="43">
        <f t="shared" si="704"/>
        <v>0</v>
      </c>
      <c r="J1267" s="43" t="b">
        <f t="array" ref="J1267">NOT(OR(($H$9:$H$1273=TRUE)*($I$9:$I$1273&gt;0)*($BT$9:$BT$1273=BT1267)*($K$9:$K$1273&gt;K1267)))</f>
        <v>1</v>
      </c>
      <c r="K1267" s="72">
        <f t="shared" si="705"/>
        <v>0.64680306820758138</v>
      </c>
      <c r="L1267" s="72">
        <f t="shared" si="706"/>
        <v>0.81426822265670817</v>
      </c>
      <c r="M1267" s="72">
        <f t="shared" si="707"/>
        <v>0.47933791375845447</v>
      </c>
      <c r="N1267" s="72">
        <f t="shared" si="708"/>
        <v>0.36476244909852262</v>
      </c>
      <c r="O1267" s="72">
        <f t="shared" si="709"/>
        <v>0.63243057570459782</v>
      </c>
      <c r="P1267" s="72">
        <f t="shared" si="710"/>
        <v>0.44082071647224308</v>
      </c>
      <c r="Q1267" s="72"/>
      <c r="R1267" s="72"/>
      <c r="S1267" s="72">
        <f t="shared" si="711"/>
        <v>0.82523388773269968</v>
      </c>
      <c r="T1267" s="72">
        <f t="shared" si="712"/>
        <v>0.55000000000000004</v>
      </c>
      <c r="U1267" s="72">
        <f t="shared" si="713"/>
        <v>0.51</v>
      </c>
      <c r="V1267" s="72">
        <f t="shared" si="714"/>
        <v>0.49010398116203224</v>
      </c>
      <c r="W1267" s="72">
        <f t="shared" si="715"/>
        <v>0.75372088432688511</v>
      </c>
      <c r="X1267" s="72">
        <f t="shared" si="716"/>
        <v>0.18573177734329185</v>
      </c>
      <c r="Y1267" s="72">
        <f t="shared" si="717"/>
        <v>0.52066208624154553</v>
      </c>
      <c r="Z1267" s="72">
        <f t="shared" si="718"/>
        <v>0.63523755090147738</v>
      </c>
      <c r="AA1267" s="72">
        <f t="shared" si="719"/>
        <v>0.36756942429540224</v>
      </c>
      <c r="AB1267" s="72">
        <f t="shared" si="720"/>
        <v>0.55917928352775692</v>
      </c>
      <c r="AC1267" s="72"/>
      <c r="AD1267" s="72"/>
      <c r="AE1267" s="72">
        <f t="shared" si="721"/>
        <v>0.17476611226730032</v>
      </c>
      <c r="AF1267" s="72">
        <f t="shared" si="722"/>
        <v>0.44999999999999996</v>
      </c>
      <c r="AG1267" s="72">
        <f t="shared" si="723"/>
        <v>0.49</v>
      </c>
      <c r="AH1267" s="72">
        <f t="shared" si="724"/>
        <v>0.50989601883796776</v>
      </c>
      <c r="AI1267" s="72">
        <f t="shared" si="725"/>
        <v>0.24627911567311489</v>
      </c>
      <c r="AJ1267" s="72">
        <f>(AV1267-Driver!$K$179)/(Driver!$L$179-Driver!$K$179)</f>
        <v>6.8487631939408572E-2</v>
      </c>
      <c r="AK1267" s="72">
        <f>(AW1267-Driver!$K$180)/(Driver!$L$180-Driver!$K$180)</f>
        <v>0.82076367060910416</v>
      </c>
      <c r="AL1267" s="72">
        <f>(AX1267-Driver!$K$181)/(Driver!$L$181-Driver!$K$181)</f>
        <v>0.73692531461455757</v>
      </c>
      <c r="AM1267" s="72">
        <f>(AY1267-Driver!$K$182)/(Driver!$L$182-Driver!$K$182)</f>
        <v>7.9815596801644115E-2</v>
      </c>
      <c r="AN1267" s="72">
        <f>(AZ1267-Driver!$K$183)/(Driver!$L$183-Driver!$K$183)</f>
        <v>0.8133986928104574</v>
      </c>
      <c r="AO1267" s="72"/>
      <c r="AP1267" s="72"/>
      <c r="AQ1267" s="72">
        <f>(BC1267-Driver!$K$188)/(Driver!$L$188-Driver!$K$188)</f>
        <v>0.79476611226730032</v>
      </c>
      <c r="AR1267" s="72">
        <f>MIN((BD1267-Driver!$K$189)/(Driver!$L$189-Driver!$K$189),100%)</f>
        <v>1</v>
      </c>
      <c r="AS1267" s="72">
        <f>(BE1267-Driver!$K$190)/(Driver!$L$190-Driver!$K$190)</f>
        <v>1</v>
      </c>
      <c r="AT1267" s="72">
        <f>(BF1267-Driver!$K$191)/(Driver!$L$191-Driver!$K$191)</f>
        <v>1.0398116203226717E-4</v>
      </c>
      <c r="AU1267" s="72">
        <f>(BG1267-Driver!$K$192)/(Driver!$L$192-Driver!$K$192)</f>
        <v>3.720884326885116E-3</v>
      </c>
      <c r="AV1267" s="70">
        <f t="shared" si="726"/>
        <v>1.4414597747931079</v>
      </c>
      <c r="AW1267" s="70">
        <f t="shared" si="727"/>
        <v>81.862585028277806</v>
      </c>
      <c r="AX1267" s="70">
        <f t="shared" si="728"/>
        <v>7.6323278315310183</v>
      </c>
      <c r="AY1267" s="70">
        <f>IFERROR(Driver!$K$19/Data!BH1267/Data!BI1267*Data!BK1267*Data!BL1267,"")</f>
        <v>9.7718105160797708E-2</v>
      </c>
      <c r="AZ1267" s="70">
        <f t="shared" si="729"/>
        <v>74.132539091585997</v>
      </c>
      <c r="BA1267" s="70"/>
      <c r="BB1267" s="70"/>
      <c r="BC1267" s="70">
        <f t="shared" si="730"/>
        <v>412.25070755742388</v>
      </c>
      <c r="BD1267" s="70">
        <f t="shared" si="731"/>
        <v>102.12090629524343</v>
      </c>
      <c r="BE1267" s="70">
        <f t="shared" si="732"/>
        <v>1</v>
      </c>
      <c r="BF1267" s="70">
        <f t="shared" si="733"/>
        <v>1.1743941742537371E-2</v>
      </c>
      <c r="BG1267" s="70">
        <f t="shared" si="734"/>
        <v>1.4089641729174891E-2</v>
      </c>
      <c r="BH1267" s="67">
        <f>MAX((CE1267-Driver!$F$200)/(Driver!$G$200-Driver!$F$200)*$BI$1,1)</f>
        <v>7.6323278315310183</v>
      </c>
      <c r="BI1267" s="67">
        <f>MAX($BI$1*(BY1267-Driver!$F$201)/(Driver!$G$201-Driver!$F$201),1)</f>
        <v>9.6202531645569618</v>
      </c>
      <c r="BJ1267" s="67">
        <f>(CB1267-Driver!$F$206)/(Driver!$G$206-Driver!$F$206)*$BI$1</f>
        <v>0.79365079365079361</v>
      </c>
      <c r="BK1267" s="67">
        <f>(CD1267-Driver!$F$203)/(Driver!$G$203-Driver!$F$203)*$BI$1</f>
        <v>4.954128440366973</v>
      </c>
      <c r="BL1267" s="67">
        <f>MAX((CR1267-Driver!$F$202)/(Driver!$G$202-Driver!$F$202)*$BI$1,1)</f>
        <v>7.2413793103448274</v>
      </c>
      <c r="BM1267" s="67">
        <f>MAX((CH1267-Driver!$F$204)/(Driver!$G$204-Driver!$F$204)*$BI$1,1)</f>
        <v>7.2649572649572649</v>
      </c>
      <c r="BN1267" s="67">
        <f>(CI1267-Driver!$F$205)/(Driver!$G$205-Driver!$F$205)*$BI$1</f>
        <v>7.7058823529411766</v>
      </c>
      <c r="BO1267" s="67">
        <f>(CK1267-Driver!$F$207)/(Driver!$G$207-Driver!$F$207)*$BI$1</f>
        <v>0.11375387797311272</v>
      </c>
      <c r="BP1267" s="67">
        <f>(CM1267-Driver!$F$208)/(Driver!$G$208-Driver!$F$208)*$BI$1</f>
        <v>0.64444444444444438</v>
      </c>
      <c r="BQ1267" s="67">
        <f>(CL1267-Driver!$F$209)/(Driver!$G$209-Driver!$F$209)*$BI$1</f>
        <v>0.78125</v>
      </c>
      <c r="BR1267" s="28" t="s">
        <v>155</v>
      </c>
      <c r="BS1267" s="8" t="s">
        <v>172</v>
      </c>
      <c r="BT1267" s="9" t="s">
        <v>909</v>
      </c>
      <c r="BU1267" s="10">
        <v>179</v>
      </c>
      <c r="BV1267" s="9" t="s">
        <v>158</v>
      </c>
      <c r="BW1267" s="10">
        <v>179</v>
      </c>
      <c r="BX1267" s="10">
        <v>177.8</v>
      </c>
      <c r="BY1267" s="10">
        <v>160</v>
      </c>
      <c r="BZ1267" s="10">
        <v>171</v>
      </c>
      <c r="CA1267" s="10">
        <v>114</v>
      </c>
      <c r="CB1267" s="10">
        <v>69</v>
      </c>
      <c r="CC1267" s="10">
        <v>96</v>
      </c>
      <c r="CD1267" s="10">
        <v>20.2</v>
      </c>
      <c r="CE1267" s="10">
        <v>2241</v>
      </c>
      <c r="CF1267" s="10">
        <v>0.65</v>
      </c>
      <c r="CG1267" s="10">
        <v>1447</v>
      </c>
      <c r="CH1267" s="10">
        <v>271</v>
      </c>
      <c r="CI1267" s="10">
        <v>164</v>
      </c>
      <c r="CJ1267" s="10">
        <v>31</v>
      </c>
      <c r="CK1267" s="10">
        <v>121</v>
      </c>
      <c r="CL1267" s="10">
        <v>5</v>
      </c>
      <c r="CM1267" s="10">
        <v>58</v>
      </c>
      <c r="CN1267" s="10">
        <v>0.156</v>
      </c>
      <c r="CO1267" s="10">
        <v>30</v>
      </c>
      <c r="CP1267" s="10">
        <v>35</v>
      </c>
      <c r="CQ1267" s="10">
        <v>91</v>
      </c>
      <c r="CR1267" s="10">
        <v>10</v>
      </c>
      <c r="CS1267" s="10">
        <v>8.8000000000000007</v>
      </c>
      <c r="CT1267" s="9" t="s">
        <v>349</v>
      </c>
      <c r="CU1267" s="10"/>
      <c r="CV1267" s="10"/>
      <c r="CW1267" s="10"/>
      <c r="CX1267" t="str">
        <f>INDEX('Data_Price '!AG$2:AG$1266,MATCH(Data!$DN1267,'Data_Price '!$AT$2:$AT$1266,0))</f>
        <v>Rossignol Hero Master (R22) 179cm</v>
      </c>
      <c r="CY1267" t="str">
        <f>INDEX('Data_Price '!AH$2:AH$1266,MATCH(Data!$DN1267,'Data_Price '!$AT$2:$AT$1266,0))</f>
        <v>Sundance Ski and Board Shop</v>
      </c>
      <c r="CZ1267">
        <f>INDEX('Data_Price '!AI$2:AI$1266,MATCH(Data!$DN1267,'Data_Price '!$AT$2:$AT$1266,0))</f>
        <v>641.15</v>
      </c>
      <c r="DA1267" t="str">
        <f>INDEX('Data_Price '!AJ$2:AJ$1266,MATCH(Data!$DN1267,'Data_Price '!$AT$2:$AT$1266,0))</f>
        <v>https://tinyurl.com/y88ngcya</v>
      </c>
      <c r="DB1267" t="str">
        <f>INDEX('Data_Price '!AK$2:AK$1266,MATCH(Data!$DN1267,'Data_Price '!$AT$2:$AT$1266,0))</f>
        <v>Rossignol Hero Master LT + SPX15 Rockerace Forza 22/23</v>
      </c>
      <c r="DC1267" t="str">
        <f>INDEX('Data_Price '!AL$2:AL$1266,MATCH(Data!$DN1267,'Data_Price '!$AT$2:$AT$1266,0))</f>
        <v>Snowcountry.eu</v>
      </c>
      <c r="DD1267">
        <f>INDEX('Data_Price '!AM$2:AM$1266,MATCH(Data!$DN1267,'Data_Price '!$AT$2:$AT$1266,0))</f>
        <v>1106.08</v>
      </c>
      <c r="DE1267" t="str">
        <f>INDEX('Data_Price '!AN$2:AN$1266,MATCH(Data!$DN1267,'Data_Price '!$AT$2:$AT$1266,0))</f>
        <v>https://tinyurl.com/ya9je2pv</v>
      </c>
      <c r="DF1267" t="str">
        <f>INDEX('Data_Price '!AO$2:AO$1266,MATCH(Data!$DN1267,'Data_Price '!$AT$2:$AT$1266,0))</f>
        <v>Rossignol Unisex Racing Skis Hero Master Â· 179 cm</v>
      </c>
      <c r="DG1267" t="str">
        <f>INDEX('Data_Price '!AP$2:AP$1266,MATCH(Data!$DN1267,'Data_Price '!$AT$2:$AT$1266,0))</f>
        <v>Suburban Ski and Bike</v>
      </c>
      <c r="DH1267">
        <f>INDEX('Data_Price '!AQ$2:AQ$1266,MATCH(Data!$DN1267,'Data_Price '!$AT$2:$AT$1266,0))</f>
        <v>899.95</v>
      </c>
      <c r="DI1267" t="str">
        <f>INDEX('Data_Price '!AR$2:AR$1266,MATCH(Data!$DN1267,'Data_Price '!$AT$2:$AT$1266,0))</f>
        <v>https://tinyurl.com/ybat64qo</v>
      </c>
      <c r="DJ1267" s="89" t="str">
        <f t="shared" si="735"/>
        <v>https://tinyurl.com/y88ngcya</v>
      </c>
      <c r="DK1267" s="89" t="str">
        <f t="shared" si="736"/>
        <v>https://tinyurl.com/ya9je2pv</v>
      </c>
      <c r="DL1267" s="89" t="str">
        <f t="shared" si="737"/>
        <v>https://tinyurl.com/ybat64qo</v>
      </c>
      <c r="DM1267" s="219" t="str">
        <f t="shared" si="738"/>
        <v>Hero Master M19 (R22)</v>
      </c>
      <c r="DN1267" s="89" t="str">
        <f t="shared" si="739"/>
        <v xml:space="preserve"> RossignolHero Master M19 (R22)179 Unisex</v>
      </c>
      <c r="DO1267" s="221"/>
    </row>
    <row r="1268" spans="2:119" ht="15.6" customHeight="1">
      <c r="B1268" s="219" t="b">
        <f t="array" ref="B1268">IF(OR(ISERROR(K1268:P1268)),FALSE,TRUE)</f>
        <v>1</v>
      </c>
      <c r="C1268" s="43" t="b">
        <f>OR(BR1268=Driver!$G$50,Data!BR307=Driver!$H$50)</f>
        <v>1</v>
      </c>
      <c r="D1268" s="43" t="b">
        <f>OR(BV1268=Driver!$G$51,BV1268=Driver!$H$51)</f>
        <v>1</v>
      </c>
      <c r="E1268" s="43" t="b">
        <f>AND(BX1268&gt;Driver!$F$54,BX1268&lt;Driver!$G$54)</f>
        <v>0</v>
      </c>
      <c r="F1268" s="43" t="b">
        <f>CL1268&gt;Driver!$F$56</f>
        <v>1</v>
      </c>
      <c r="G1268" s="43" t="b">
        <f>AND(CB1268&gt;Driver!$F$55,CB1268&lt;Driver!$G$55)</f>
        <v>0</v>
      </c>
      <c r="H1268" s="43" t="b">
        <f t="shared" si="703"/>
        <v>0</v>
      </c>
      <c r="I1268" s="43">
        <f t="shared" si="704"/>
        <v>0</v>
      </c>
      <c r="J1268" s="43" t="b">
        <f t="array" ref="J1268">NOT(OR(($H$9:$H$1273=TRUE)*($I$9:$I$1273&gt;0)*($BT$9:$BT$1273=BT1268)*($K$9:$K$1273&gt;K1268)))</f>
        <v>1</v>
      </c>
      <c r="K1268" s="72">
        <f t="shared" si="705"/>
        <v>0.40456443843602885</v>
      </c>
      <c r="L1268" s="72">
        <f t="shared" si="706"/>
        <v>0.25421940928270037</v>
      </c>
      <c r="M1268" s="72">
        <f t="shared" si="707"/>
        <v>0.55490946758935733</v>
      </c>
      <c r="N1268" s="72">
        <f t="shared" si="708"/>
        <v>0.38183700800575082</v>
      </c>
      <c r="O1268" s="72">
        <f t="shared" si="709"/>
        <v>0.68185825998942429</v>
      </c>
      <c r="P1268" s="72">
        <f t="shared" si="710"/>
        <v>0.60103313477289655</v>
      </c>
      <c r="Q1268" s="72"/>
      <c r="R1268" s="72"/>
      <c r="S1268" s="72">
        <f t="shared" si="711"/>
        <v>0.7262798559458048</v>
      </c>
      <c r="T1268" s="72">
        <f t="shared" si="712"/>
        <v>0.46655197642999402</v>
      </c>
      <c r="U1268" s="72">
        <f t="shared" si="713"/>
        <v>0.58420739221970752</v>
      </c>
      <c r="V1268" s="72">
        <f t="shared" si="714"/>
        <v>0.53679301794147616</v>
      </c>
      <c r="W1268" s="72">
        <f t="shared" si="715"/>
        <v>0.75917530074403727</v>
      </c>
      <c r="X1268" s="72">
        <f t="shared" si="716"/>
        <v>0.74578059071729963</v>
      </c>
      <c r="Y1268" s="72">
        <f t="shared" si="717"/>
        <v>0.44509053241064273</v>
      </c>
      <c r="Z1268" s="72">
        <f t="shared" si="718"/>
        <v>0.61816299199424918</v>
      </c>
      <c r="AA1268" s="72">
        <f t="shared" si="719"/>
        <v>0.31814174001057571</v>
      </c>
      <c r="AB1268" s="72">
        <f t="shared" si="720"/>
        <v>0.3989668652271034</v>
      </c>
      <c r="AC1268" s="72"/>
      <c r="AD1268" s="72"/>
      <c r="AE1268" s="72">
        <f t="shared" si="721"/>
        <v>0.27372014405419515</v>
      </c>
      <c r="AF1268" s="72">
        <f t="shared" si="722"/>
        <v>0.53344802357000598</v>
      </c>
      <c r="AG1268" s="72">
        <f t="shared" si="723"/>
        <v>0.41579260778029253</v>
      </c>
      <c r="AH1268" s="72">
        <f t="shared" si="724"/>
        <v>0.46320698205852384</v>
      </c>
      <c r="AI1268" s="72">
        <f t="shared" si="725"/>
        <v>0.24082469925596273</v>
      </c>
      <c r="AJ1268" s="72">
        <f>(AV1268-Driver!$K$179)/(Driver!$L$179-Driver!$K$179)</f>
        <v>1</v>
      </c>
      <c r="AK1268" s="72">
        <f>(AW1268-Driver!$K$180)/(Driver!$L$180-Driver!$K$180)</f>
        <v>0.66998420546357218</v>
      </c>
      <c r="AL1268" s="72">
        <f>(AX1268-Driver!$K$181)/(Driver!$L$181-Driver!$K$181)</f>
        <v>0.71985075570732937</v>
      </c>
      <c r="AM1268" s="72">
        <f>(AY1268-Driver!$K$182)/(Driver!$L$182-Driver!$K$182)</f>
        <v>0.12924328108647068</v>
      </c>
      <c r="AN1268" s="72">
        <f>(AZ1268-Driver!$K$183)/(Driver!$L$183-Driver!$K$183)</f>
        <v>0.65318627450980382</v>
      </c>
      <c r="AO1268" s="72"/>
      <c r="AP1268" s="72"/>
      <c r="AQ1268" s="72">
        <f>(BC1268-Driver!$K$188)/(Driver!$L$188-Driver!$K$188)</f>
        <v>0.34627985594580485</v>
      </c>
      <c r="AR1268" s="72">
        <f>MIN((BD1268-Driver!$K$189)/(Driver!$L$189-Driver!$K$189),100%)</f>
        <v>1.655197642999405E-2</v>
      </c>
      <c r="AS1268" s="72">
        <f>(BE1268-Driver!$K$190)/(Driver!$L$190-Driver!$K$190)</f>
        <v>9.4207392219707461E-2</v>
      </c>
      <c r="AT1268" s="72">
        <f>(BF1268-Driver!$K$191)/(Driver!$L$191-Driver!$K$191)</f>
        <v>4.6793017941476146E-2</v>
      </c>
      <c r="AU1268" s="72">
        <f>(BG1268-Driver!$K$192)/(Driver!$L$192-Driver!$K$192)</f>
        <v>9.1753007440372684E-3</v>
      </c>
      <c r="AV1268" s="70">
        <f t="shared" si="726"/>
        <v>21.047008547008549</v>
      </c>
      <c r="AW1268" s="70">
        <f t="shared" si="727"/>
        <v>67.167790107871099</v>
      </c>
      <c r="AX1268" s="70">
        <f t="shared" si="728"/>
        <v>7.4786568013659647</v>
      </c>
      <c r="AY1268" s="70">
        <f>IFERROR(Driver!$K$19/Data!BH1268/Data!BI1268*Data!BK1268*Data!BL1268,"")</f>
        <v>0.15823233852301569</v>
      </c>
      <c r="AZ1268" s="70">
        <f t="shared" si="729"/>
        <v>59.53090096798212</v>
      </c>
      <c r="BA1268" s="70"/>
      <c r="BB1268" s="70"/>
      <c r="BC1268" s="70">
        <f t="shared" si="730"/>
        <v>179.6177685775925</v>
      </c>
      <c r="BD1268" s="70">
        <f t="shared" si="731"/>
        <v>3.185643469785417</v>
      </c>
      <c r="BE1268" s="70">
        <f t="shared" si="732"/>
        <v>9.4368975425805399E-2</v>
      </c>
      <c r="BF1268" s="70">
        <f t="shared" si="733"/>
        <v>5.2849426369333301</v>
      </c>
      <c r="BG1268" s="70">
        <f t="shared" si="734"/>
        <v>3.4743541826020435E-2</v>
      </c>
      <c r="BH1268" s="67">
        <f>MAX((CE1268-Driver!$F$200)/(Driver!$G$200-Driver!$F$200)*$BI$1,1)</f>
        <v>7.4786568013659647</v>
      </c>
      <c r="BI1268" s="67">
        <f>MAX($BI$1*(BY1268-Driver!$F$201)/(Driver!$G$201-Driver!$F$201),1)</f>
        <v>7.7848101265822782</v>
      </c>
      <c r="BJ1268" s="67">
        <f>(CB1268-Driver!$F$206)/(Driver!$G$206-Driver!$F$206)*$BI$1</f>
        <v>10</v>
      </c>
      <c r="BK1268" s="67">
        <f>(CD1268-Driver!$F$203)/(Driver!$G$203-Driver!$F$203)*$BI$1</f>
        <v>9.5412844036697244</v>
      </c>
      <c r="BL1268" s="67">
        <f>MAX((CR1268-Driver!$F$202)/(Driver!$G$202-Driver!$F$202)*$BI$1,1)</f>
        <v>4.8275862068965516</v>
      </c>
      <c r="BM1268" s="67">
        <f>MAX((CH1268-Driver!$F$204)/(Driver!$G$204-Driver!$F$204)*$BI$1,1)</f>
        <v>8.4188034188034191</v>
      </c>
      <c r="BN1268" s="67">
        <f>(CI1268-Driver!$F$205)/(Driver!$G$205-Driver!$F$205)*$BI$1</f>
        <v>7.6470588235294112</v>
      </c>
      <c r="BO1268" s="67">
        <f>(CK1268-Driver!$F$207)/(Driver!$G$207-Driver!$F$207)*$BI$1</f>
        <v>3.4643226473629785</v>
      </c>
      <c r="BP1268" s="67">
        <f>(CM1268-Driver!$F$208)/(Driver!$G$208-Driver!$F$208)*$BI$1</f>
        <v>1.4555555555555555</v>
      </c>
      <c r="BQ1268" s="67">
        <f>(CL1268-Driver!$F$209)/(Driver!$G$209-Driver!$F$209)*$BI$1</f>
        <v>2.1875</v>
      </c>
      <c r="BR1268" s="28" t="s">
        <v>155</v>
      </c>
      <c r="BS1268" s="8" t="s">
        <v>317</v>
      </c>
      <c r="BT1268" s="9" t="s">
        <v>910</v>
      </c>
      <c r="BU1268" s="10">
        <v>189</v>
      </c>
      <c r="BV1268" s="9" t="s">
        <v>158</v>
      </c>
      <c r="BW1268" s="10">
        <v>189</v>
      </c>
      <c r="BX1268" s="10">
        <v>188.3</v>
      </c>
      <c r="BY1268" s="10">
        <v>131</v>
      </c>
      <c r="BZ1268" s="10">
        <v>137</v>
      </c>
      <c r="CA1268" s="10">
        <v>148</v>
      </c>
      <c r="CB1268" s="10">
        <v>127</v>
      </c>
      <c r="CC1268" s="10">
        <v>135</v>
      </c>
      <c r="CD1268" s="10">
        <v>30.2</v>
      </c>
      <c r="CE1268" s="10">
        <v>2214</v>
      </c>
      <c r="CF1268" s="10">
        <v>1.1200000000000001</v>
      </c>
      <c r="CG1268" s="10">
        <v>2489</v>
      </c>
      <c r="CH1268" s="10">
        <v>298</v>
      </c>
      <c r="CI1268" s="10">
        <v>163</v>
      </c>
      <c r="CJ1268" s="10">
        <v>53</v>
      </c>
      <c r="CK1268" s="10">
        <v>445</v>
      </c>
      <c r="CL1268" s="10">
        <v>14</v>
      </c>
      <c r="CM1268" s="10">
        <v>131</v>
      </c>
      <c r="CN1268" s="10">
        <v>0.26700000000000002</v>
      </c>
      <c r="CO1268" s="10">
        <v>273</v>
      </c>
      <c r="CP1268" s="10">
        <v>242</v>
      </c>
      <c r="CQ1268" s="10">
        <v>172</v>
      </c>
      <c r="CR1268" s="10">
        <v>3</v>
      </c>
      <c r="CS1268" s="10">
        <v>10.7</v>
      </c>
      <c r="CT1268" s="9" t="s">
        <v>178</v>
      </c>
      <c r="CU1268" s="9" t="s">
        <v>185</v>
      </c>
      <c r="CV1268" s="10"/>
      <c r="CW1268" s="10"/>
      <c r="CX1268" t="str">
        <f>INDEX('Data_Price '!AG$2:AG$1266,MATCH(Data!$DN1268,'Data_Price '!$AT$2:$AT$1266,0))</f>
        <v>Blizzard Spur Skis 189cm 2022</v>
      </c>
      <c r="CY1268" t="str">
        <f>INDEX('Data_Price '!AH$2:AH$1266,MATCH(Data!$DN1268,'Data_Price '!$AT$2:$AT$1266,0))</f>
        <v>Steep &amp; Cheap</v>
      </c>
      <c r="CZ1268">
        <f>INDEX('Data_Price '!AI$2:AI$1266,MATCH(Data!$DN1268,'Data_Price '!$AT$2:$AT$1266,0))</f>
        <v>639.96</v>
      </c>
      <c r="DA1268" t="str">
        <f>INDEX('Data_Price '!AJ$2:AJ$1266,MATCH(Data!$DN1268,'Data_Price '!$AT$2:$AT$1266,0))</f>
        <v>https://tinyurl.com/yc65t9po</v>
      </c>
      <c r="DB1268" t="str">
        <f>INDEX('Data_Price '!AK$2:AK$1266,MATCH(Data!$DN1268,'Data_Price '!$AT$2:$AT$1266,0))</f>
        <v>Blizzard Spur Skis 189cm 2022</v>
      </c>
      <c r="DC1268" t="str">
        <f>INDEX('Data_Price '!AL$2:AL$1266,MATCH(Data!$DN1268,'Data_Price '!$AT$2:$AT$1266,0))</f>
        <v>Backcountry.com</v>
      </c>
      <c r="DD1268">
        <f>INDEX('Data_Price '!AM$2:AM$1266,MATCH(Data!$DN1268,'Data_Price '!$AT$2:$AT$1266,0))</f>
        <v>639.96</v>
      </c>
      <c r="DE1268" t="str">
        <f>INDEX('Data_Price '!AN$2:AN$1266,MATCH(Data!$DN1268,'Data_Price '!$AT$2:$AT$1266,0))</f>
        <v>https://tinyurl.com/y7w98lcl</v>
      </c>
      <c r="DF1268" t="str">
        <f>INDEX('Data_Price '!AO$2:AO$1266,MATCH(Data!$DN1268,'Data_Price '!$AT$2:$AT$1266,0))</f>
        <v>Blizzard Spur Skis 189cm 2022</v>
      </c>
      <c r="DG1268" t="str">
        <f>INDEX('Data_Price '!AP$2:AP$1266,MATCH(Data!$DN1268,'Data_Price '!$AT$2:$AT$1266,0))</f>
        <v>BlueZone Sports</v>
      </c>
      <c r="DH1268">
        <f>INDEX('Data_Price '!AQ$2:AQ$1266,MATCH(Data!$DN1268,'Data_Price '!$AT$2:$AT$1266,0))</f>
        <v>799.95</v>
      </c>
      <c r="DI1268" t="str">
        <f>INDEX('Data_Price '!AR$2:AR$1266,MATCH(Data!$DN1268,'Data_Price '!$AT$2:$AT$1266,0))</f>
        <v>https://tinyurl.com/y79wkdfe</v>
      </c>
      <c r="DJ1268" s="89" t="str">
        <f t="shared" si="735"/>
        <v>https://tinyurl.com/yc65t9po</v>
      </c>
      <c r="DK1268" s="89" t="str">
        <f t="shared" si="736"/>
        <v>https://tinyurl.com/y7w98lcl</v>
      </c>
      <c r="DL1268" s="89" t="str">
        <f t="shared" si="737"/>
        <v>https://tinyurl.com/y79wkdfe</v>
      </c>
      <c r="DM1268" s="219" t="str">
        <f t="shared" si="738"/>
        <v>Spur</v>
      </c>
      <c r="DN1268" s="89" t="str">
        <f t="shared" si="739"/>
        <v xml:space="preserve"> BlizzardSpur189 Unisex</v>
      </c>
      <c r="DO1268" s="221" t="s">
        <v>685</v>
      </c>
    </row>
    <row r="1269" spans="2:119" ht="15.6" customHeight="1">
      <c r="B1269" s="219" t="b">
        <f t="array" ref="B1269">IF(OR(ISERROR(K1269:P1269)),FALSE,TRUE)</f>
        <v>1</v>
      </c>
      <c r="C1269" s="43" t="b">
        <f>OR(BR1269=Driver!$G$50,Data!BR1224=Driver!$H$50)</f>
        <v>1</v>
      </c>
      <c r="D1269" s="43" t="b">
        <f>OR(BV1269=Driver!$G$51,BV1269=Driver!$H$51)</f>
        <v>1</v>
      </c>
      <c r="E1269" s="43" t="b">
        <f>AND(BX1269&gt;Driver!$F$54,BX1269&lt;Driver!$G$54)</f>
        <v>0</v>
      </c>
      <c r="F1269" s="43" t="b">
        <f>CL1269&gt;Driver!$F$56</f>
        <v>1</v>
      </c>
      <c r="G1269" s="43" t="b">
        <f>AND(CB1269&gt;Driver!$F$55,CB1269&lt;Driver!$G$55)</f>
        <v>1</v>
      </c>
      <c r="H1269" s="43" t="b">
        <f t="shared" si="703"/>
        <v>0</v>
      </c>
      <c r="I1269" s="43">
        <f t="shared" si="704"/>
        <v>0</v>
      </c>
      <c r="J1269" s="43" t="b">
        <f t="array" ref="J1269">NOT(OR(($H$9:$H$1273=TRUE)*($I$9:$I$1273&gt;0)*($BT$9:$BT$1273=BT1269)*($K$9:$K$1273&gt;K1269)))</f>
        <v>1</v>
      </c>
      <c r="K1269" s="72">
        <f t="shared" si="705"/>
        <v>0.59625731484037026</v>
      </c>
      <c r="L1269" s="72">
        <f t="shared" si="706"/>
        <v>0.77126074358291796</v>
      </c>
      <c r="M1269" s="72">
        <f t="shared" si="707"/>
        <v>0.42125388609782244</v>
      </c>
      <c r="N1269" s="72">
        <f t="shared" si="708"/>
        <v>0.25788835816068656</v>
      </c>
      <c r="O1269" s="72">
        <f t="shared" si="709"/>
        <v>0.62755258366053779</v>
      </c>
      <c r="P1269" s="72">
        <f t="shared" si="710"/>
        <v>0.37832071647224286</v>
      </c>
      <c r="Q1269" s="72"/>
      <c r="R1269" s="72"/>
      <c r="S1269" s="72">
        <f t="shared" si="711"/>
        <v>0.78782906109670636</v>
      </c>
      <c r="T1269" s="72">
        <f t="shared" si="712"/>
        <v>0.52890181305615402</v>
      </c>
      <c r="U1269" s="72">
        <f t="shared" si="713"/>
        <v>0.65880906079971879</v>
      </c>
      <c r="V1269" s="72">
        <f t="shared" si="714"/>
        <v>0.51138297579884107</v>
      </c>
      <c r="W1269" s="72">
        <f t="shared" si="715"/>
        <v>0.76040286975717442</v>
      </c>
      <c r="X1269" s="72">
        <f t="shared" si="716"/>
        <v>0.22873925641708204</v>
      </c>
      <c r="Y1269" s="72">
        <f t="shared" si="717"/>
        <v>0.57874611390217756</v>
      </c>
      <c r="Z1269" s="72">
        <f t="shared" si="718"/>
        <v>0.74211164183931344</v>
      </c>
      <c r="AA1269" s="72">
        <f t="shared" si="719"/>
        <v>0.37244741633946216</v>
      </c>
      <c r="AB1269" s="72">
        <f t="shared" si="720"/>
        <v>0.62167928352775714</v>
      </c>
      <c r="AC1269" s="72"/>
      <c r="AD1269" s="72"/>
      <c r="AE1269" s="72">
        <f t="shared" si="721"/>
        <v>0.21217093890329364</v>
      </c>
      <c r="AF1269" s="72">
        <f t="shared" si="722"/>
        <v>0.47109818694384592</v>
      </c>
      <c r="AG1269" s="72">
        <f t="shared" si="723"/>
        <v>0.34119093920028121</v>
      </c>
      <c r="AH1269" s="72">
        <f t="shared" si="724"/>
        <v>0.48861702420115893</v>
      </c>
      <c r="AI1269" s="72">
        <f t="shared" si="725"/>
        <v>0.23959713024282561</v>
      </c>
      <c r="AJ1269" s="72">
        <f>(AV1269-Driver!$K$179)/(Driver!$L$179-Driver!$K$179)</f>
        <v>0.48295866569978246</v>
      </c>
      <c r="AK1269" s="72">
        <f>(AW1269-Driver!$K$180)/(Driver!$L$180-Driver!$K$180)</f>
        <v>0.88901910855334043</v>
      </c>
      <c r="AL1269" s="72">
        <f>(AX1269-Driver!$K$181)/(Driver!$L$181-Driver!$K$181)</f>
        <v>0.84379940555239363</v>
      </c>
      <c r="AM1269" s="72">
        <f>(AY1269-Driver!$K$182)/(Driver!$L$182-Driver!$K$182)</f>
        <v>7.4937604757584222E-2</v>
      </c>
      <c r="AN1269" s="72">
        <f>(AZ1269-Driver!$K$183)/(Driver!$L$183-Driver!$K$183)</f>
        <v>0.87589869281045762</v>
      </c>
      <c r="AO1269" s="72"/>
      <c r="AP1269" s="72"/>
      <c r="AQ1269" s="72">
        <f>(BC1269-Driver!$K$188)/(Driver!$L$188-Driver!$K$188)</f>
        <v>0.40782906109670636</v>
      </c>
      <c r="AR1269" s="72">
        <f>MIN((BD1269-Driver!$K$189)/(Driver!$L$189-Driver!$K$189),100%)</f>
        <v>7.8901813056154138E-2</v>
      </c>
      <c r="AS1269" s="72">
        <f>(BE1269-Driver!$K$190)/(Driver!$L$190-Driver!$K$190)</f>
        <v>0.16880906079971883</v>
      </c>
      <c r="AT1269" s="72">
        <f>(BF1269-Driver!$K$191)/(Driver!$L$191-Driver!$K$191)</f>
        <v>2.1382975798841099E-2</v>
      </c>
      <c r="AU1269" s="72">
        <f>(BG1269-Driver!$K$192)/(Driver!$L$192-Driver!$K$192)</f>
        <v>1.040286975717439E-2</v>
      </c>
      <c r="AV1269" s="70">
        <f t="shared" si="726"/>
        <v>10.164835164835166</v>
      </c>
      <c r="AW1269" s="70">
        <f t="shared" si="727"/>
        <v>88.514682260649636</v>
      </c>
      <c r="AX1269" s="70">
        <f t="shared" si="728"/>
        <v>8.5941946499715431</v>
      </c>
      <c r="AY1269" s="70">
        <f>IFERROR(Driver!$K$19/Data!BH1269/Data!BI1269*Data!BK1269*Data!BL1269,"")</f>
        <v>9.1745987446517074E-2</v>
      </c>
      <c r="AZ1269" s="70">
        <f t="shared" si="729"/>
        <v>79.828741623231579</v>
      </c>
      <c r="BA1269" s="70"/>
      <c r="BB1269" s="70"/>
      <c r="BC1269" s="70">
        <f t="shared" si="730"/>
        <v>211.54376917249755</v>
      </c>
      <c r="BD1269" s="70">
        <f t="shared" si="731"/>
        <v>8.7034935338273733</v>
      </c>
      <c r="BE1269" s="70">
        <f t="shared" si="732"/>
        <v>0.16895733590781964</v>
      </c>
      <c r="BF1269" s="70">
        <f t="shared" si="733"/>
        <v>2.4150568925720348</v>
      </c>
      <c r="BG1269" s="70">
        <f t="shared" si="734"/>
        <v>3.9391901214128028E-2</v>
      </c>
      <c r="BH1269" s="67">
        <f>MAX((CE1269-Driver!$F$200)/(Driver!$G$200-Driver!$F$200)*$BI$1,1)</f>
        <v>8.5941946499715431</v>
      </c>
      <c r="BI1269" s="67">
        <f>MAX($BI$1*(BY1269-Driver!$F$201)/(Driver!$G$201-Driver!$F$201),1)</f>
        <v>8.9873417721518987</v>
      </c>
      <c r="BJ1269" s="67">
        <f>(CB1269-Driver!$F$206)/(Driver!$G$206-Driver!$F$206)*$BI$1</f>
        <v>5.8730158730158735</v>
      </c>
      <c r="BK1269" s="67">
        <f>(CD1269-Driver!$F$203)/(Driver!$G$203-Driver!$F$203)*$BI$1</f>
        <v>6.4220183486238538</v>
      </c>
      <c r="BL1269" s="67">
        <f>MAX((CR1269-Driver!$F$202)/(Driver!$G$202-Driver!$F$202)*$BI$1,1)</f>
        <v>5.5172413793103452</v>
      </c>
      <c r="BM1269" s="67">
        <f>MAX((CH1269-Driver!$F$204)/(Driver!$G$204-Driver!$F$204)*$BI$1,1)</f>
        <v>6.9230769230769234</v>
      </c>
      <c r="BN1269" s="67">
        <f>(CI1269-Driver!$F$205)/(Driver!$G$205-Driver!$F$205)*$BI$1</f>
        <v>8.882352941176471</v>
      </c>
      <c r="BO1269" s="67">
        <f>(CK1269-Driver!$F$207)/(Driver!$G$207-Driver!$F$207)*$BI$1</f>
        <v>1.4581178903826266</v>
      </c>
      <c r="BP1269" s="67">
        <f>(CM1269-Driver!$F$208)/(Driver!$G$208-Driver!$F$208)*$BI$1</f>
        <v>1.8111111111111111</v>
      </c>
      <c r="BQ1269" s="67">
        <f>(CL1269-Driver!$F$209)/(Driver!$G$209-Driver!$F$209)*$BI$1</f>
        <v>2.34375</v>
      </c>
      <c r="BR1269" s="28" t="s">
        <v>155</v>
      </c>
      <c r="BS1269" s="8" t="s">
        <v>229</v>
      </c>
      <c r="BT1269" s="9" t="s">
        <v>814</v>
      </c>
      <c r="BU1269" s="10">
        <v>191</v>
      </c>
      <c r="BV1269" s="9" t="s">
        <v>158</v>
      </c>
      <c r="BW1269" s="10">
        <v>191</v>
      </c>
      <c r="BX1269" s="10">
        <v>191.5</v>
      </c>
      <c r="BY1269" s="10">
        <v>150</v>
      </c>
      <c r="BZ1269" s="10">
        <v>169</v>
      </c>
      <c r="CA1269" s="10">
        <v>139</v>
      </c>
      <c r="CB1269" s="10">
        <v>101</v>
      </c>
      <c r="CC1269" s="10">
        <v>122</v>
      </c>
      <c r="CD1269" s="10">
        <v>23.4</v>
      </c>
      <c r="CE1269" s="10">
        <v>2410</v>
      </c>
      <c r="CF1269" s="10">
        <v>0.89</v>
      </c>
      <c r="CG1269" s="10">
        <v>2155</v>
      </c>
      <c r="CH1269" s="10">
        <v>263</v>
      </c>
      <c r="CI1269" s="10">
        <v>184</v>
      </c>
      <c r="CJ1269" s="10">
        <v>44</v>
      </c>
      <c r="CK1269" s="10">
        <v>251</v>
      </c>
      <c r="CL1269" s="10">
        <v>15</v>
      </c>
      <c r="CM1269" s="10">
        <v>163</v>
      </c>
      <c r="CN1269" s="10">
        <v>0.34300000000000003</v>
      </c>
      <c r="CO1269" s="10">
        <v>130</v>
      </c>
      <c r="CP1269" s="10">
        <v>98</v>
      </c>
      <c r="CQ1269" s="10">
        <v>122</v>
      </c>
      <c r="CR1269" s="10">
        <v>5</v>
      </c>
      <c r="CS1269" s="10">
        <v>11.8</v>
      </c>
      <c r="CT1269" s="9" t="s">
        <v>188</v>
      </c>
      <c r="CU1269" s="9" t="s">
        <v>178</v>
      </c>
      <c r="CV1269" s="10"/>
      <c r="CW1269" s="10"/>
      <c r="CX1269" t="e">
        <f>INDEX('Data_Price '!AG$2:AG$1266,MATCH(Data!$DN1269,'Data_Price '!$AT$2:$AT$1266,0))</f>
        <v>#N/A</v>
      </c>
      <c r="CY1269" t="e">
        <f>INDEX('Data_Price '!AH$2:AH$1266,MATCH(Data!$DN1269,'Data_Price '!$AT$2:$AT$1266,0))</f>
        <v>#N/A</v>
      </c>
      <c r="CZ1269" t="e">
        <f>INDEX('Data_Price '!AI$2:AI$1266,MATCH(Data!$DN1269,'Data_Price '!$AT$2:$AT$1266,0))</f>
        <v>#N/A</v>
      </c>
      <c r="DA1269" t="e">
        <f>INDEX('Data_Price '!AJ$2:AJ$1266,MATCH(Data!$DN1269,'Data_Price '!$AT$2:$AT$1266,0))</f>
        <v>#N/A</v>
      </c>
      <c r="DB1269" t="e">
        <f>INDEX('Data_Price '!AK$2:AK$1266,MATCH(Data!$DN1269,'Data_Price '!$AT$2:$AT$1266,0))</f>
        <v>#N/A</v>
      </c>
      <c r="DC1269" t="e">
        <f>INDEX('Data_Price '!AL$2:AL$1266,MATCH(Data!$DN1269,'Data_Price '!$AT$2:$AT$1266,0))</f>
        <v>#N/A</v>
      </c>
      <c r="DD1269" t="e">
        <f>INDEX('Data_Price '!AM$2:AM$1266,MATCH(Data!$DN1269,'Data_Price '!$AT$2:$AT$1266,0))</f>
        <v>#N/A</v>
      </c>
      <c r="DE1269" t="e">
        <f>INDEX('Data_Price '!AN$2:AN$1266,MATCH(Data!$DN1269,'Data_Price '!$AT$2:$AT$1266,0))</f>
        <v>#N/A</v>
      </c>
      <c r="DF1269" t="e">
        <f>INDEX('Data_Price '!AO$2:AO$1266,MATCH(Data!$DN1269,'Data_Price '!$AT$2:$AT$1266,0))</f>
        <v>#N/A</v>
      </c>
      <c r="DG1269" t="e">
        <f>INDEX('Data_Price '!AP$2:AP$1266,MATCH(Data!$DN1269,'Data_Price '!$AT$2:$AT$1266,0))</f>
        <v>#N/A</v>
      </c>
      <c r="DH1269" t="e">
        <f>INDEX('Data_Price '!AQ$2:AQ$1266,MATCH(Data!$DN1269,'Data_Price '!$AT$2:$AT$1266,0))</f>
        <v>#N/A</v>
      </c>
      <c r="DI1269" t="e">
        <f>INDEX('Data_Price '!AR$2:AR$1266,MATCH(Data!$DN1269,'Data_Price '!$AT$2:$AT$1266,0))</f>
        <v>#N/A</v>
      </c>
      <c r="DJ1269" s="89" t="e">
        <f t="shared" si="735"/>
        <v>#N/A</v>
      </c>
      <c r="DK1269" s="89" t="e">
        <f t="shared" si="736"/>
        <v>#N/A</v>
      </c>
      <c r="DL1269" s="89" t="e">
        <f t="shared" si="737"/>
        <v>#N/A</v>
      </c>
      <c r="DM1269" s="219" t="str">
        <f t="shared" si="738"/>
        <v>Mantra 102</v>
      </c>
      <c r="DN1269" s="89" t="str">
        <f t="shared" si="739"/>
        <v xml:space="preserve"> VölklMantra 102191 Unisex</v>
      </c>
      <c r="DO1269" s="221" t="s">
        <v>815</v>
      </c>
    </row>
    <row r="1270" spans="2:119">
      <c r="B1270" s="219" t="b">
        <f t="array" ref="B1270">IF(OR(ISERROR(K1270:P1270)),FALSE,TRUE)</f>
        <v>1</v>
      </c>
      <c r="C1270" s="43" t="b">
        <f>OR(BR1270=Driver!$G$50,Data!BR710=Driver!$H$50)</f>
        <v>1</v>
      </c>
      <c r="D1270" s="43" t="b">
        <f>OR(BV1270=Driver!$G$51,BV1270=Driver!$H$51)</f>
        <v>1</v>
      </c>
      <c r="E1270" s="43" t="b">
        <f>AND(BX1270&gt;Driver!$F$54,BX1270&lt;Driver!$G$54)</f>
        <v>0</v>
      </c>
      <c r="F1270" s="43" t="b">
        <f>CL1270&gt;Driver!$F$56</f>
        <v>1</v>
      </c>
      <c r="G1270" s="43" t="b">
        <f>AND(CB1270&gt;Driver!$F$55,CB1270&lt;Driver!$G$55)</f>
        <v>0</v>
      </c>
      <c r="H1270" s="43" t="b">
        <f t="shared" si="703"/>
        <v>0</v>
      </c>
      <c r="I1270" s="43">
        <f t="shared" si="704"/>
        <v>0</v>
      </c>
      <c r="J1270" s="43" t="b">
        <f t="array" ref="J1270">NOT(OR(($H$9:$H$1273=TRUE)*($I$9:$I$1273&gt;0)*($BT$9:$BT$1273=BT1270)*($K$9:$K$1273&gt;K1270)))</f>
        <v>1</v>
      </c>
      <c r="K1270" s="72">
        <f t="shared" si="705"/>
        <v>0.69022770297936442</v>
      </c>
      <c r="L1270" s="72">
        <f t="shared" si="706"/>
        <v>0.98026888152506619</v>
      </c>
      <c r="M1270" s="72">
        <f t="shared" si="707"/>
        <v>0.40018652443366265</v>
      </c>
      <c r="N1270" s="72">
        <f t="shared" si="708"/>
        <v>0.3135387723768378</v>
      </c>
      <c r="O1270" s="72">
        <f t="shared" si="709"/>
        <v>0.63280139164144966</v>
      </c>
      <c r="P1270" s="72">
        <f t="shared" si="710"/>
        <v>0.25421940928270037</v>
      </c>
      <c r="Q1270" s="72"/>
      <c r="R1270" s="72"/>
      <c r="S1270" s="72">
        <f t="shared" si="711"/>
        <v>0.91480955140391362</v>
      </c>
      <c r="T1270" s="72">
        <f t="shared" si="712"/>
        <v>0.85007301262073098</v>
      </c>
      <c r="U1270" s="72">
        <f t="shared" si="713"/>
        <v>0.54205884432643969</v>
      </c>
      <c r="V1270" s="72">
        <f t="shared" si="714"/>
        <v>0.49444728724879661</v>
      </c>
      <c r="W1270" s="72">
        <f t="shared" si="715"/>
        <v>0.75477215189873414</v>
      </c>
      <c r="X1270" s="72">
        <f t="shared" si="716"/>
        <v>1.9731118474933862E-2</v>
      </c>
      <c r="Y1270" s="72">
        <f t="shared" si="717"/>
        <v>0.59981347556633735</v>
      </c>
      <c r="Z1270" s="72">
        <f t="shared" si="718"/>
        <v>0.6864612276231622</v>
      </c>
      <c r="AA1270" s="72">
        <f t="shared" si="719"/>
        <v>0.36719860835855034</v>
      </c>
      <c r="AB1270" s="72">
        <f t="shared" si="720"/>
        <v>0.74578059071729963</v>
      </c>
      <c r="AC1270" s="72"/>
      <c r="AD1270" s="72"/>
      <c r="AE1270" s="72">
        <f t="shared" si="721"/>
        <v>8.5190448596086377E-2</v>
      </c>
      <c r="AF1270" s="72">
        <f t="shared" si="722"/>
        <v>0.14992698737926896</v>
      </c>
      <c r="AG1270" s="72">
        <f t="shared" si="723"/>
        <v>0.45794115567356031</v>
      </c>
      <c r="AH1270" s="72">
        <f t="shared" si="724"/>
        <v>0.50555271275120339</v>
      </c>
      <c r="AI1270" s="72">
        <f t="shared" si="725"/>
        <v>0.24522784810126583</v>
      </c>
      <c r="AJ1270" s="72">
        <f>(AV1270-Driver!$K$179)/(Driver!$L$179-Driver!$K$179)</f>
        <v>0.27395052775763429</v>
      </c>
      <c r="AK1270" s="72">
        <f>(AW1270-Driver!$K$180)/(Driver!$L$180-Driver!$K$180)</f>
        <v>1</v>
      </c>
      <c r="AL1270" s="72">
        <f>(AX1270-Driver!$K$181)/(Driver!$L$181-Driver!$K$181)</f>
        <v>0.78814899133624239</v>
      </c>
      <c r="AM1270" s="72">
        <f>(AY1270-Driver!$K$182)/(Driver!$L$182-Driver!$K$182)</f>
        <v>8.0186412738496055E-2</v>
      </c>
      <c r="AN1270" s="72">
        <f>(AZ1270-Driver!$K$183)/(Driver!$L$183-Driver!$K$183)</f>
        <v>1</v>
      </c>
      <c r="AO1270" s="72"/>
      <c r="AP1270" s="72"/>
      <c r="AQ1270" s="72">
        <f>(BC1270-Driver!$K$188)/(Driver!$L$188-Driver!$K$188)</f>
        <v>0.53480955140391362</v>
      </c>
      <c r="AR1270" s="72">
        <f>MIN((BD1270-Driver!$K$189)/(Driver!$L$189-Driver!$K$189),100%)</f>
        <v>0.40007301262073108</v>
      </c>
      <c r="AS1270" s="72">
        <f>(BE1270-Driver!$K$190)/(Driver!$L$190-Driver!$K$190)</f>
        <v>0.96794115567356032</v>
      </c>
      <c r="AT1270" s="72">
        <f>(BF1270-Driver!$K$191)/(Driver!$L$191-Driver!$K$191)</f>
        <v>4.4472872487965956E-3</v>
      </c>
      <c r="AU1270" s="72">
        <f>(BG1270-Driver!$K$192)/(Driver!$L$192-Driver!$K$192)</f>
        <v>4.772151898734177E-3</v>
      </c>
      <c r="AV1270" s="70">
        <f t="shared" si="726"/>
        <v>5.7658390991724318</v>
      </c>
      <c r="AW1270" s="70">
        <f t="shared" si="727"/>
        <v>99.330753522863603</v>
      </c>
      <c r="AX1270" s="70">
        <f t="shared" si="728"/>
        <v>8.0933409220261812</v>
      </c>
      <c r="AY1270" s="70">
        <f>IFERROR(Driver!$K$19/Data!BH1270/Data!BI1270*Data!BK1270*Data!BL1270,"")</f>
        <v>9.8172094508301416E-2</v>
      </c>
      <c r="AZ1270" s="70">
        <f t="shared" si="729"/>
        <v>91.139240506329116</v>
      </c>
      <c r="BA1270" s="70"/>
      <c r="BB1270" s="70"/>
      <c r="BC1270" s="70">
        <f t="shared" si="730"/>
        <v>277.4094322488931</v>
      </c>
      <c r="BD1270" s="70">
        <f t="shared" si="731"/>
        <v>37.12657561360114</v>
      </c>
      <c r="BE1270" s="70">
        <f t="shared" si="732"/>
        <v>0.96794687461055051</v>
      </c>
      <c r="BF1270" s="70">
        <f t="shared" si="733"/>
        <v>0.5022898507903677</v>
      </c>
      <c r="BG1270" s="70">
        <f t="shared" si="734"/>
        <v>1.8070411392405065E-2</v>
      </c>
      <c r="BH1270" s="67">
        <f>MAX((CE1270-Driver!$F$200)/(Driver!$G$200-Driver!$F$200)*$BI$1,1)</f>
        <v>8.0933409220261812</v>
      </c>
      <c r="BI1270" s="67">
        <f>MAX($BI$1*(BY1270-Driver!$F$201)/(Driver!$G$201-Driver!$F$201),1)</f>
        <v>9.113924050632912</v>
      </c>
      <c r="BJ1270" s="67">
        <f>(CB1270-Driver!$F$206)/(Driver!$G$206-Driver!$F$206)*$BI$1</f>
        <v>2.6984126984126982</v>
      </c>
      <c r="BK1270" s="67">
        <f>(CD1270-Driver!$F$203)/(Driver!$G$203-Driver!$F$203)*$BI$1</f>
        <v>5.0000000000000009</v>
      </c>
      <c r="BL1270" s="67">
        <f>MAX((CR1270-Driver!$F$202)/(Driver!$G$202-Driver!$F$202)*$BI$1,1)</f>
        <v>7.2413793103448274</v>
      </c>
      <c r="BM1270" s="67">
        <f>MAX((CH1270-Driver!$F$204)/(Driver!$G$204-Driver!$F$204)*$BI$1,1)</f>
        <v>8.5470085470085468</v>
      </c>
      <c r="BN1270" s="67">
        <f>(CI1270-Driver!$F$205)/(Driver!$G$205-Driver!$F$205)*$BI$1</f>
        <v>10</v>
      </c>
      <c r="BO1270" s="67">
        <f>(CK1270-Driver!$F$207)/(Driver!$G$207-Driver!$F$207)*$BI$1</f>
        <v>0.51706308169596693</v>
      </c>
      <c r="BP1270" s="67">
        <f>(CM1270-Driver!$F$208)/(Driver!$G$208-Driver!$F$208)*$BI$1</f>
        <v>1.7999999999999998</v>
      </c>
      <c r="BQ1270" s="67">
        <f>(CL1270-Driver!$F$209)/(Driver!$G$209-Driver!$F$209)*$BI$1</f>
        <v>1.25</v>
      </c>
      <c r="BR1270" s="28" t="s">
        <v>155</v>
      </c>
      <c r="BS1270" s="8" t="s">
        <v>262</v>
      </c>
      <c r="BT1270" s="9" t="s">
        <v>901</v>
      </c>
      <c r="BU1270" s="10">
        <v>184</v>
      </c>
      <c r="BV1270" s="9" t="s">
        <v>158</v>
      </c>
      <c r="BW1270" s="10">
        <v>184</v>
      </c>
      <c r="BX1270" s="10">
        <v>184.5</v>
      </c>
      <c r="BY1270" s="10">
        <v>152</v>
      </c>
      <c r="BZ1270" s="10">
        <v>173</v>
      </c>
      <c r="CA1270" s="10">
        <v>125</v>
      </c>
      <c r="CB1270" s="10">
        <v>81</v>
      </c>
      <c r="CC1270" s="10">
        <v>111</v>
      </c>
      <c r="CD1270" s="10">
        <v>20.3</v>
      </c>
      <c r="CE1270" s="10">
        <v>2322</v>
      </c>
      <c r="CF1270" s="10">
        <v>0.75</v>
      </c>
      <c r="CG1270" s="10">
        <v>1743</v>
      </c>
      <c r="CH1270" s="10">
        <v>301</v>
      </c>
      <c r="CI1270" s="10">
        <v>203</v>
      </c>
      <c r="CJ1270" s="10">
        <v>35</v>
      </c>
      <c r="CK1270" s="10">
        <v>160</v>
      </c>
      <c r="CL1270" s="10">
        <v>8</v>
      </c>
      <c r="CM1270" s="10">
        <v>162</v>
      </c>
      <c r="CN1270" s="10">
        <v>0.23300000000000001</v>
      </c>
      <c r="CO1270" s="10">
        <v>74</v>
      </c>
      <c r="CP1270" s="10">
        <v>40</v>
      </c>
      <c r="CQ1270" s="10">
        <v>86</v>
      </c>
      <c r="CR1270" s="10">
        <v>10</v>
      </c>
      <c r="CS1270" s="10">
        <v>11.4</v>
      </c>
      <c r="CT1270" s="9" t="s">
        <v>188</v>
      </c>
      <c r="CU1270" s="10"/>
      <c r="CV1270" s="10"/>
      <c r="CW1270" s="10"/>
      <c r="CX1270" t="e">
        <f>INDEX('Data_Price '!AG$2:AG$1266,MATCH(Data!$DN1270,'Data_Price '!$AT$2:$AT$1266,0))</f>
        <v>#N/A</v>
      </c>
      <c r="CY1270" t="e">
        <f>INDEX('Data_Price '!AH$2:AH$1266,MATCH(Data!$DN1270,'Data_Price '!$AT$2:$AT$1266,0))</f>
        <v>#N/A</v>
      </c>
      <c r="CZ1270" t="e">
        <f>INDEX('Data_Price '!AI$2:AI$1266,MATCH(Data!$DN1270,'Data_Price '!$AT$2:$AT$1266,0))</f>
        <v>#N/A</v>
      </c>
      <c r="DA1270" t="e">
        <f>INDEX('Data_Price '!AJ$2:AJ$1266,MATCH(Data!$DN1270,'Data_Price '!$AT$2:$AT$1266,0))</f>
        <v>#N/A</v>
      </c>
      <c r="DB1270" t="e">
        <f>INDEX('Data_Price '!AK$2:AK$1266,MATCH(Data!$DN1270,'Data_Price '!$AT$2:$AT$1266,0))</f>
        <v>#N/A</v>
      </c>
      <c r="DC1270" t="e">
        <f>INDEX('Data_Price '!AL$2:AL$1266,MATCH(Data!$DN1270,'Data_Price '!$AT$2:$AT$1266,0))</f>
        <v>#N/A</v>
      </c>
      <c r="DD1270" t="e">
        <f>INDEX('Data_Price '!AM$2:AM$1266,MATCH(Data!$DN1270,'Data_Price '!$AT$2:$AT$1266,0))</f>
        <v>#N/A</v>
      </c>
      <c r="DE1270" t="e">
        <f>INDEX('Data_Price '!AN$2:AN$1266,MATCH(Data!$DN1270,'Data_Price '!$AT$2:$AT$1266,0))</f>
        <v>#N/A</v>
      </c>
      <c r="DF1270" t="e">
        <f>INDEX('Data_Price '!AO$2:AO$1266,MATCH(Data!$DN1270,'Data_Price '!$AT$2:$AT$1266,0))</f>
        <v>#N/A</v>
      </c>
      <c r="DG1270" t="e">
        <f>INDEX('Data_Price '!AP$2:AP$1266,MATCH(Data!$DN1270,'Data_Price '!$AT$2:$AT$1266,0))</f>
        <v>#N/A</v>
      </c>
      <c r="DH1270" t="e">
        <f>INDEX('Data_Price '!AQ$2:AQ$1266,MATCH(Data!$DN1270,'Data_Price '!$AT$2:$AT$1266,0))</f>
        <v>#N/A</v>
      </c>
      <c r="DI1270" t="e">
        <f>INDEX('Data_Price '!AR$2:AR$1266,MATCH(Data!$DN1270,'Data_Price '!$AT$2:$AT$1266,0))</f>
        <v>#N/A</v>
      </c>
      <c r="DJ1270" s="89" t="e">
        <f t="shared" si="735"/>
        <v>#N/A</v>
      </c>
      <c r="DK1270" s="89" t="e">
        <f t="shared" si="736"/>
        <v>#N/A</v>
      </c>
      <c r="DL1270" s="89" t="e">
        <f t="shared" si="737"/>
        <v>#N/A</v>
      </c>
      <c r="DM1270" s="219" t="str">
        <f t="shared" si="738"/>
        <v>Disruption 82 Ti</v>
      </c>
      <c r="DN1270" s="89" t="str">
        <f t="shared" si="739"/>
        <v xml:space="preserve"> K2Disruption 82 Ti184 Unisex</v>
      </c>
    </row>
    <row r="1271" spans="2:119" ht="198">
      <c r="B1271" s="219" t="b">
        <f t="array" ref="B1271">IF(OR(ISERROR(K1271:P1271)),FALSE,TRUE)</f>
        <v>1</v>
      </c>
      <c r="C1271" s="43" t="b">
        <f>OR(BR1271=Driver!$G$50,Data!BR1042=Driver!$H$50)</f>
        <v>1</v>
      </c>
      <c r="D1271" s="43" t="b">
        <f>OR(BV1271=Driver!$G$51,BV1271=Driver!$H$51)</f>
        <v>1</v>
      </c>
      <c r="E1271" s="43" t="b">
        <f>AND(BX1271&gt;Driver!$F$54,BX1271&lt;Driver!$G$54)</f>
        <v>0</v>
      </c>
      <c r="F1271" s="43" t="b">
        <f>CL1271&gt;Driver!$F$56</f>
        <v>1</v>
      </c>
      <c r="G1271" s="43" t="b">
        <f>AND(CB1271&gt;Driver!$F$55,CB1271&lt;Driver!$G$55)</f>
        <v>0</v>
      </c>
      <c r="H1271" s="43" t="b">
        <f t="shared" si="703"/>
        <v>0</v>
      </c>
      <c r="I1271" s="43">
        <f t="shared" si="704"/>
        <v>0</v>
      </c>
      <c r="J1271" s="43" t="b">
        <f t="array" ref="J1271">NOT(OR(($H$9:$H$1273=TRUE)*($I$9:$I$1273&gt;0)*($BT$9:$BT$1273=BT1271)*($K$9:$K$1273&gt;K1271)))</f>
        <v>1</v>
      </c>
      <c r="K1271" s="72">
        <f t="shared" si="705"/>
        <v>0.63534791481252917</v>
      </c>
      <c r="L1271" s="72">
        <f t="shared" si="706"/>
        <v>0.84488622281785553</v>
      </c>
      <c r="M1271" s="72">
        <f t="shared" si="707"/>
        <v>0.4258096068072027</v>
      </c>
      <c r="N1271" s="72">
        <f t="shared" si="708"/>
        <v>0.27938965456238152</v>
      </c>
      <c r="O1271" s="72">
        <f t="shared" si="709"/>
        <v>0.64741452781835618</v>
      </c>
      <c r="P1271" s="72">
        <f t="shared" si="710"/>
        <v>0.35062463804087041</v>
      </c>
      <c r="Q1271" s="72"/>
      <c r="R1271" s="72"/>
      <c r="S1271" s="72">
        <f t="shared" si="711"/>
        <v>0.62</v>
      </c>
      <c r="T1271" s="72">
        <f t="shared" si="712"/>
        <v>0.55000000000000004</v>
      </c>
      <c r="U1271" s="72">
        <f t="shared" si="713"/>
        <v>0.51</v>
      </c>
      <c r="V1271" s="72">
        <f t="shared" si="714"/>
        <v>0.49002506289965497</v>
      </c>
      <c r="W1271" s="72">
        <f t="shared" si="715"/>
        <v>0.75280339083878645</v>
      </c>
      <c r="X1271" s="72">
        <f t="shared" si="716"/>
        <v>0.15511377718214447</v>
      </c>
      <c r="Y1271" s="72">
        <f t="shared" si="717"/>
        <v>0.5741903931927973</v>
      </c>
      <c r="Z1271" s="72">
        <f t="shared" si="718"/>
        <v>0.72061034543761848</v>
      </c>
      <c r="AA1271" s="72">
        <f t="shared" si="719"/>
        <v>0.35258547218164382</v>
      </c>
      <c r="AB1271" s="72">
        <f t="shared" si="720"/>
        <v>0.64937536195912959</v>
      </c>
      <c r="AC1271" s="72"/>
      <c r="AD1271" s="72"/>
      <c r="AE1271" s="72">
        <f t="shared" si="721"/>
        <v>0.38</v>
      </c>
      <c r="AF1271" s="72">
        <f t="shared" si="722"/>
        <v>0.44999999999999996</v>
      </c>
      <c r="AG1271" s="72">
        <f t="shared" si="723"/>
        <v>0.49</v>
      </c>
      <c r="AH1271" s="72">
        <f t="shared" si="724"/>
        <v>0.50997493710034503</v>
      </c>
      <c r="AI1271" s="72">
        <f t="shared" si="725"/>
        <v>0.24719660916121355</v>
      </c>
      <c r="AJ1271" s="72">
        <f>(AV1271-Driver!$K$179)/(Driver!$L$179-Driver!$K$179)</f>
        <v>9.9105632100555952E-2</v>
      </c>
      <c r="AK1271" s="72">
        <f>(AW1271-Driver!$K$180)/(Driver!$L$180-Driver!$K$180)</f>
        <v>0.91318320004510878</v>
      </c>
      <c r="AL1271" s="72">
        <f>(AX1271-Driver!$K$181)/(Driver!$L$181-Driver!$K$181)</f>
        <v>0.82229810915069868</v>
      </c>
      <c r="AM1271" s="72">
        <f>(AY1271-Driver!$K$182)/(Driver!$L$182-Driver!$K$182)</f>
        <v>9.4799548915402571E-2</v>
      </c>
      <c r="AN1271" s="72">
        <f>(AZ1271-Driver!$K$183)/(Driver!$L$183-Driver!$K$183)</f>
        <v>0.90359477124182996</v>
      </c>
      <c r="AO1271" s="72"/>
      <c r="AP1271" s="72"/>
      <c r="AQ1271" s="72">
        <f>(BC1271-Driver!$K$188)/(Driver!$L$188-Driver!$K$188)</f>
        <v>1</v>
      </c>
      <c r="AR1271" s="72">
        <f>MIN((BD1271-Driver!$K$189)/(Driver!$L$189-Driver!$K$189),100%)</f>
        <v>1</v>
      </c>
      <c r="AS1271" s="72">
        <f>(BE1271-Driver!$K$190)/(Driver!$L$190-Driver!$K$190)</f>
        <v>1</v>
      </c>
      <c r="AT1271" s="72">
        <f>(BF1271-Driver!$K$191)/(Driver!$L$191-Driver!$K$191)</f>
        <v>2.5062899654958476E-5</v>
      </c>
      <c r="AU1271" s="72">
        <f>(BG1271-Driver!$K$192)/(Driver!$L$192-Driver!$K$192)</f>
        <v>2.8033908387864364E-3</v>
      </c>
      <c r="AV1271" s="70">
        <f t="shared" si="726"/>
        <v>2.0858770858770859</v>
      </c>
      <c r="AW1271" s="70">
        <f t="shared" si="727"/>
        <v>90.86968709215472</v>
      </c>
      <c r="AX1271" s="70">
        <f t="shared" si="728"/>
        <v>8.4006829823562885</v>
      </c>
      <c r="AY1271" s="70">
        <f>IFERROR(Driver!$K$19/Data!BH1271/Data!BI1271*Data!BK1271*Data!BL1271,"")</f>
        <v>0.11606293332784644</v>
      </c>
      <c r="AZ1271" s="70">
        <f t="shared" si="729"/>
        <v>82.35294117647058</v>
      </c>
      <c r="BA1271" s="70"/>
      <c r="BB1271" s="70"/>
      <c r="BC1271" s="70">
        <f t="shared" si="730"/>
        <v>518.7069518872155</v>
      </c>
      <c r="BD1271" s="70">
        <f t="shared" si="731"/>
        <v>99.706490952930807</v>
      </c>
      <c r="BE1271" s="70">
        <f t="shared" si="732"/>
        <v>1</v>
      </c>
      <c r="BF1271" s="70">
        <f t="shared" si="733"/>
        <v>2.8306784391922296E-3</v>
      </c>
      <c r="BG1271" s="70">
        <f t="shared" si="734"/>
        <v>1.0615426085663295E-2</v>
      </c>
      <c r="BH1271" s="67">
        <f>MAX((CE1271-Driver!$F$200)/(Driver!$G$200-Driver!$F$200)*$BI$1,1)</f>
        <v>8.4006829823562885</v>
      </c>
      <c r="BI1271" s="67">
        <f>MAX($BI$1*(BY1271-Driver!$F$201)/(Driver!$G$201-Driver!$F$201),1)</f>
        <v>10</v>
      </c>
      <c r="BJ1271" s="67">
        <f>(CB1271-Driver!$F$206)/(Driver!$G$206-Driver!$F$206)*$BI$1</f>
        <v>0.95238095238095233</v>
      </c>
      <c r="BK1271" s="67">
        <f>(CD1271-Driver!$F$203)/(Driver!$G$203-Driver!$F$203)*$BI$1</f>
        <v>6.146788990825689</v>
      </c>
      <c r="BL1271" s="67">
        <f>MAX((CR1271-Driver!$F$202)/(Driver!$G$202-Driver!$F$202)*$BI$1,1)</f>
        <v>7.931034482758621</v>
      </c>
      <c r="BM1271" s="67">
        <f>MAX((CH1271-Driver!$F$204)/(Driver!$G$204-Driver!$F$204)*$BI$1,1)</f>
        <v>8.7606837606837615</v>
      </c>
      <c r="BN1271" s="67">
        <f>(CI1271-Driver!$F$205)/(Driver!$G$205-Driver!$F$205)*$BI$1</f>
        <v>8.235294117647058</v>
      </c>
      <c r="BO1271" s="67">
        <f>(CK1271-Driver!$F$207)/(Driver!$G$207-Driver!$F$207)*$BI$1</f>
        <v>3.1023784901758014E-2</v>
      </c>
      <c r="BP1271" s="67">
        <f>(CM1271-Driver!$F$208)/(Driver!$G$208-Driver!$F$208)*$BI$1</f>
        <v>0.58888888888888891</v>
      </c>
      <c r="BQ1271" s="67">
        <f>(CL1271-Driver!$F$209)/(Driver!$G$209-Driver!$F$209)*$BI$1</f>
        <v>0.78125</v>
      </c>
      <c r="BR1271" s="28" t="s">
        <v>155</v>
      </c>
      <c r="BS1271" s="8" t="s">
        <v>172</v>
      </c>
      <c r="BT1271" s="9" t="s">
        <v>911</v>
      </c>
      <c r="BU1271" s="10">
        <v>183</v>
      </c>
      <c r="BV1271" s="9" t="s">
        <v>158</v>
      </c>
      <c r="BW1271" s="10">
        <v>183</v>
      </c>
      <c r="BX1271" s="10">
        <v>183.1</v>
      </c>
      <c r="BY1271" s="10">
        <v>166</v>
      </c>
      <c r="BZ1271" s="10">
        <v>175</v>
      </c>
      <c r="CA1271" s="10">
        <v>114</v>
      </c>
      <c r="CB1271" s="10">
        <v>70</v>
      </c>
      <c r="CC1271" s="10">
        <v>95</v>
      </c>
      <c r="CD1271" s="10">
        <v>22.8</v>
      </c>
      <c r="CE1271" s="10">
        <v>2376</v>
      </c>
      <c r="CF1271" s="10">
        <v>0.63</v>
      </c>
      <c r="CG1271" s="10">
        <v>1500</v>
      </c>
      <c r="CH1271" s="10">
        <v>306</v>
      </c>
      <c r="CI1271" s="10">
        <v>173</v>
      </c>
      <c r="CJ1271" s="10">
        <v>31</v>
      </c>
      <c r="CK1271" s="10">
        <v>113</v>
      </c>
      <c r="CL1271" s="10">
        <v>5</v>
      </c>
      <c r="CM1271" s="10">
        <v>53</v>
      </c>
      <c r="CN1271" s="10">
        <v>0.153</v>
      </c>
      <c r="CO1271" s="10">
        <v>32</v>
      </c>
      <c r="CP1271" s="10">
        <v>48</v>
      </c>
      <c r="CQ1271" s="10">
        <v>82</v>
      </c>
      <c r="CR1271" s="10">
        <v>12</v>
      </c>
      <c r="CS1271" s="10">
        <v>8.9</v>
      </c>
      <c r="CT1271" s="9" t="s">
        <v>349</v>
      </c>
      <c r="CU1271" s="10"/>
      <c r="CV1271" s="10"/>
      <c r="CW1271" s="10"/>
      <c r="CX1271" t="str">
        <f>INDEX('Data_Price '!AG$2:AG$1266,MATCH(Data!$DN1271,'Data_Price '!$AT$2:$AT$1266,0))</f>
        <v>Rossignol Other | Rossignol Race Carver DualTec Course 183 Skis W B | Color: Yellow | Size: Os | Alan_Ildo's Closet</v>
      </c>
      <c r="CY1271" t="str">
        <f>INDEX('Data_Price '!AH$2:AH$1266,MATCH(Data!$DN1271,'Data_Price '!$AT$2:$AT$1266,0))</f>
        <v>Poshmark</v>
      </c>
      <c r="CZ1271">
        <f>INDEX('Data_Price '!AI$2:AI$1266,MATCH(Data!$DN1271,'Data_Price '!$AT$2:$AT$1266,0))</f>
        <v>100</v>
      </c>
      <c r="DA1271" t="str">
        <f>INDEX('Data_Price '!AJ$2:AJ$1266,MATCH(Data!$DN1271,'Data_Price '!$AT$2:$AT$1266,0))</f>
        <v>https://tinyurl.com/yc7w47np</v>
      </c>
      <c r="DB1271" t="str">
        <f>INDEX('Data_Price '!AK$2:AK$1266,MATCH(Data!$DN1271,'Data_Price '!$AT$2:$AT$1266,0))</f>
        <v>Rossignol Dualtec Viper Skis - 183 Cm</v>
      </c>
      <c r="DC1271" t="str">
        <f>INDEX('Data_Price '!AL$2:AL$1266,MATCH(Data!$DN1271,'Data_Price '!$AT$2:$AT$1266,0))</f>
        <v>eBay</v>
      </c>
      <c r="DD1271">
        <f>INDEX('Data_Price '!AM$2:AM$1266,MATCH(Data!$DN1271,'Data_Price '!$AT$2:$AT$1266,0))</f>
        <v>120</v>
      </c>
      <c r="DE1271" t="str">
        <f>INDEX('Data_Price '!AN$2:AN$1266,MATCH(Data!$DN1271,'Data_Price '!$AT$2:$AT$1266,0))</f>
        <v>https://tinyurl.com/y8ggq7y4</v>
      </c>
      <c r="DF1271">
        <f>INDEX('Data_Price '!AO$2:AO$1266,MATCH(Data!$DN1271,'Data_Price '!$AT$2:$AT$1266,0))</f>
        <v>0</v>
      </c>
      <c r="DG1271">
        <f>INDEX('Data_Price '!AP$2:AP$1266,MATCH(Data!$DN1271,'Data_Price '!$AT$2:$AT$1266,0))</f>
        <v>0</v>
      </c>
      <c r="DH1271">
        <f>INDEX('Data_Price '!AQ$2:AQ$1266,MATCH(Data!$DN1271,'Data_Price '!$AT$2:$AT$1266,0))</f>
        <v>0</v>
      </c>
      <c r="DI1271">
        <f>INDEX('Data_Price '!AR$2:AR$1266,MATCH(Data!$DN1271,'Data_Price '!$AT$2:$AT$1266,0))</f>
        <v>0</v>
      </c>
      <c r="DJ1271" s="89" t="str">
        <f t="shared" si="735"/>
        <v>https://tinyurl.com/yc7w47np</v>
      </c>
      <c r="DK1271" s="89" t="str">
        <f t="shared" si="736"/>
        <v>https://tinyurl.com/y8ggq7y4</v>
      </c>
      <c r="DL1271" s="89">
        <f t="shared" si="737"/>
        <v>0</v>
      </c>
      <c r="DM1271" s="219" t="str">
        <f t="shared" si="738"/>
        <v>Hero Master M21 (R22)</v>
      </c>
      <c r="DN1271" s="89" t="str">
        <f t="shared" si="739"/>
        <v xml:space="preserve"> RossignolHero Master M21 (R22)183 Unisex</v>
      </c>
    </row>
    <row r="1272" spans="2:119" ht="66">
      <c r="B1272" s="219" t="b">
        <f t="array" ref="B1272">IF(OR(ISERROR(K1272:P1272)),FALSE,TRUE)</f>
        <v>1</v>
      </c>
      <c r="C1272" s="43" t="b">
        <f>OR(BR1272=Driver!$G$50,Data!BR280=Driver!$H$50)</f>
        <v>1</v>
      </c>
      <c r="D1272" s="43" t="b">
        <f>OR(BV1272=Driver!$G$51,BV1272=Driver!$H$51)</f>
        <v>1</v>
      </c>
      <c r="E1272" s="43" t="b">
        <f>AND(BX1272&gt;Driver!$F$54,BX1272&lt;Driver!$G$54)</f>
        <v>0</v>
      </c>
      <c r="F1272" s="43" t="b">
        <f>CL1272&gt;Driver!$F$56</f>
        <v>1</v>
      </c>
      <c r="G1272" s="43" t="b">
        <f>AND(CB1272&gt;Driver!$F$55,CB1272&lt;Driver!$G$55)</f>
        <v>1</v>
      </c>
      <c r="H1272" s="43" t="b">
        <f t="shared" si="703"/>
        <v>0</v>
      </c>
      <c r="I1272" s="43">
        <f t="shared" si="704"/>
        <v>0</v>
      </c>
      <c r="J1272" s="43" t="b">
        <f t="array" ref="J1272">NOT(OR(($H$9:$H$1273=TRUE)*($I$9:$I$1273&gt;0)*($BT$9:$BT$1273=BT1272)*($K$9:$K$1273&gt;K1272)))</f>
        <v>1</v>
      </c>
      <c r="K1272" s="72">
        <f t="shared" si="705"/>
        <v>0.49030680293425477</v>
      </c>
      <c r="L1272" s="72">
        <f t="shared" si="706"/>
        <v>0.59432093212533998</v>
      </c>
      <c r="M1272" s="72">
        <f t="shared" si="707"/>
        <v>0.38629267374316956</v>
      </c>
      <c r="N1272" s="72">
        <f t="shared" si="708"/>
        <v>0.1529114404347649</v>
      </c>
      <c r="O1272" s="72">
        <f t="shared" si="709"/>
        <v>0.65174717151204331</v>
      </c>
      <c r="P1272" s="72">
        <f t="shared" si="710"/>
        <v>0.35421940928270046</v>
      </c>
      <c r="Q1272" s="72"/>
      <c r="R1272" s="72"/>
      <c r="S1272" s="72">
        <f t="shared" si="711"/>
        <v>0.87164658920622129</v>
      </c>
      <c r="T1272" s="72">
        <f t="shared" si="712"/>
        <v>0.53473199542590066</v>
      </c>
      <c r="U1272" s="72">
        <f t="shared" si="713"/>
        <v>0.63290751626718389</v>
      </c>
      <c r="V1272" s="72">
        <f t="shared" si="714"/>
        <v>0.51283308972716579</v>
      </c>
      <c r="W1272" s="72">
        <f t="shared" si="715"/>
        <v>0.75674821002386639</v>
      </c>
      <c r="X1272" s="72">
        <f t="shared" si="716"/>
        <v>0.40567906787465996</v>
      </c>
      <c r="Y1272" s="72">
        <f t="shared" si="717"/>
        <v>0.61370732625683044</v>
      </c>
      <c r="Z1272" s="72">
        <f t="shared" si="718"/>
        <v>0.8470885595652351</v>
      </c>
      <c r="AA1272" s="72">
        <f t="shared" si="719"/>
        <v>0.34825282848795674</v>
      </c>
      <c r="AB1272" s="72">
        <f t="shared" si="720"/>
        <v>0.64578059071729954</v>
      </c>
      <c r="AC1272" s="72"/>
      <c r="AD1272" s="72"/>
      <c r="AE1272" s="72">
        <f t="shared" si="721"/>
        <v>0.12835341079377866</v>
      </c>
      <c r="AF1272" s="72">
        <f t="shared" si="722"/>
        <v>0.46526800457409928</v>
      </c>
      <c r="AG1272" s="72">
        <f t="shared" si="723"/>
        <v>0.36709248373281611</v>
      </c>
      <c r="AH1272" s="72">
        <f t="shared" si="724"/>
        <v>0.48716691027283426</v>
      </c>
      <c r="AI1272" s="72">
        <f t="shared" si="725"/>
        <v>0.24325178997613364</v>
      </c>
      <c r="AJ1272" s="72">
        <f>(AV1272-Driver!$K$179)/(Driver!$L$179-Driver!$K$179)</f>
        <v>0.65989847715736039</v>
      </c>
      <c r="AK1272" s="72">
        <f>(AW1272-Driver!$K$180)/(Driver!$L$180-Driver!$K$180)</f>
        <v>0.92155579590190662</v>
      </c>
      <c r="AL1272" s="72">
        <f>(AX1272-Driver!$K$181)/(Driver!$L$181-Driver!$K$181)</f>
        <v>0.94877632327831529</v>
      </c>
      <c r="AM1272" s="72">
        <f>(AY1272-Driver!$K$182)/(Driver!$L$182-Driver!$K$182)</f>
        <v>9.9132192609089634E-2</v>
      </c>
      <c r="AN1272" s="72">
        <f>(AZ1272-Driver!$K$183)/(Driver!$L$183-Driver!$K$183)</f>
        <v>0.89999999999999991</v>
      </c>
      <c r="AO1272" s="72"/>
      <c r="AP1272" s="72"/>
      <c r="AQ1272" s="72">
        <f>(BC1272-Driver!$K$188)/(Driver!$L$188-Driver!$K$188)</f>
        <v>0.49164658920622134</v>
      </c>
      <c r="AR1272" s="72">
        <f>MIN((BD1272-Driver!$K$189)/(Driver!$L$189-Driver!$K$189),100%)</f>
        <v>8.473199542590075E-2</v>
      </c>
      <c r="AS1272" s="72">
        <f>(BE1272-Driver!$K$190)/(Driver!$L$190-Driver!$K$190)</f>
        <v>0.14290751626718387</v>
      </c>
      <c r="AT1272" s="72">
        <f>(BF1272-Driver!$K$191)/(Driver!$L$191-Driver!$K$191)</f>
        <v>2.2833089727165752E-2</v>
      </c>
      <c r="AU1272" s="72">
        <f>(BG1272-Driver!$K$192)/(Driver!$L$192-Driver!$K$192)</f>
        <v>6.7482100238663483E-3</v>
      </c>
      <c r="AV1272" s="70">
        <f t="shared" si="726"/>
        <v>13.888888888888889</v>
      </c>
      <c r="AW1272" s="70">
        <f t="shared" si="727"/>
        <v>91.685670747146062</v>
      </c>
      <c r="AX1272" s="70">
        <f t="shared" si="728"/>
        <v>9.5389869095048372</v>
      </c>
      <c r="AY1272" s="70">
        <f>IFERROR(Driver!$K$19/Data!BH1272/Data!BI1272*Data!BK1272*Data!BL1272,"")</f>
        <v>0.12136738194502772</v>
      </c>
      <c r="AZ1272" s="70">
        <f t="shared" si="729"/>
        <v>82.025316455696199</v>
      </c>
      <c r="BA1272" s="70"/>
      <c r="BB1272" s="70"/>
      <c r="BC1272" s="70">
        <f t="shared" si="730"/>
        <v>255.02050369290507</v>
      </c>
      <c r="BD1272" s="70">
        <f t="shared" si="731"/>
        <v>9.2194543430780751</v>
      </c>
      <c r="BE1272" s="70">
        <f t="shared" si="732"/>
        <v>0.14306041191929497</v>
      </c>
      <c r="BF1272" s="70">
        <f t="shared" si="733"/>
        <v>2.5788370731493782</v>
      </c>
      <c r="BG1272" s="70">
        <f t="shared" si="734"/>
        <v>2.555302804295943E-2</v>
      </c>
      <c r="BH1272" s="67">
        <f>MAX((CE1272-Driver!$F$200)/(Driver!$G$200-Driver!$F$200)*$BI$1,1)</f>
        <v>9.5389869095048372</v>
      </c>
      <c r="BI1272" s="67">
        <f>MAX($BI$1*(BY1272-Driver!$F$201)/(Driver!$G$201-Driver!$F$201),1)</f>
        <v>8.6075949367088604</v>
      </c>
      <c r="BJ1272" s="67">
        <f>(CB1272-Driver!$F$206)/(Driver!$G$206-Driver!$F$206)*$BI$1</f>
        <v>6.6666666666666661</v>
      </c>
      <c r="BK1272" s="67">
        <f>(CD1272-Driver!$F$203)/(Driver!$G$203-Driver!$F$203)*$BI$1</f>
        <v>8.0275229357798175</v>
      </c>
      <c r="BL1272" s="67">
        <f>MAX((CR1272-Driver!$F$202)/(Driver!$G$202-Driver!$F$202)*$BI$1,1)</f>
        <v>6.2068965517241379</v>
      </c>
      <c r="BM1272" s="67">
        <f>MAX((CH1272-Driver!$F$204)/(Driver!$G$204-Driver!$F$204)*$BI$1,1)</f>
        <v>8.3333333333333339</v>
      </c>
      <c r="BN1272" s="67">
        <f>(CI1272-Driver!$F$205)/(Driver!$G$205-Driver!$F$205)*$BI$1</f>
        <v>9.5294117647058822</v>
      </c>
      <c r="BO1272" s="67">
        <f>(CK1272-Driver!$F$207)/(Driver!$G$207-Driver!$F$207)*$BI$1</f>
        <v>2.4301964839710442</v>
      </c>
      <c r="BP1272" s="67">
        <f>(CM1272-Driver!$F$208)/(Driver!$G$208-Driver!$F$208)*$BI$1</f>
        <v>1.2777777777777777</v>
      </c>
      <c r="BQ1272" s="67">
        <f>(CL1272-Driver!$F$209)/(Driver!$G$209-Driver!$F$209)*$BI$1</f>
        <v>2.03125</v>
      </c>
      <c r="BR1272" s="28" t="s">
        <v>155</v>
      </c>
      <c r="BS1272" s="8" t="s">
        <v>317</v>
      </c>
      <c r="BT1272" s="9" t="s">
        <v>754</v>
      </c>
      <c r="BU1272" s="10">
        <v>192</v>
      </c>
      <c r="BV1272" s="9" t="s">
        <v>158</v>
      </c>
      <c r="BW1272" s="10">
        <v>192</v>
      </c>
      <c r="BX1272" s="10">
        <v>190.3</v>
      </c>
      <c r="BY1272" s="10">
        <v>144</v>
      </c>
      <c r="BZ1272" s="10">
        <v>164</v>
      </c>
      <c r="CA1272" s="10">
        <v>136</v>
      </c>
      <c r="CB1272" s="10">
        <v>106</v>
      </c>
      <c r="CC1272" s="10">
        <v>123</v>
      </c>
      <c r="CD1272" s="10">
        <v>26.9</v>
      </c>
      <c r="CE1272" s="10">
        <v>2576</v>
      </c>
      <c r="CF1272" s="10">
        <v>0.84</v>
      </c>
      <c r="CG1272" s="10">
        <v>2176</v>
      </c>
      <c r="CH1272" s="10">
        <v>296</v>
      </c>
      <c r="CI1272" s="10">
        <v>195</v>
      </c>
      <c r="CJ1272" s="10">
        <v>52</v>
      </c>
      <c r="CK1272" s="10">
        <v>345</v>
      </c>
      <c r="CL1272" s="10">
        <v>13</v>
      </c>
      <c r="CM1272" s="10">
        <v>115</v>
      </c>
      <c r="CN1272" s="10">
        <v>0.255</v>
      </c>
      <c r="CO1272" s="10">
        <v>148</v>
      </c>
      <c r="CP1272" s="10">
        <v>112</v>
      </c>
      <c r="CQ1272" s="10">
        <v>197</v>
      </c>
      <c r="CR1272" s="10">
        <v>7</v>
      </c>
      <c r="CS1272" s="10">
        <v>11</v>
      </c>
      <c r="CT1272" s="9" t="s">
        <v>178</v>
      </c>
      <c r="CU1272" s="10"/>
      <c r="CV1272" s="10"/>
      <c r="CW1272" s="10"/>
      <c r="CX1272" t="str">
        <f>INDEX('Data_Price '!AG$2:AG$1266,MATCH(Data!$DN1272,'Data_Price '!$AT$2:$AT$1266,0))</f>
        <v>Blizzard Cochise 106 21/22</v>
      </c>
      <c r="CY1272" t="str">
        <f>INDEX('Data_Price '!AH$2:AH$1266,MATCH(Data!$DN1272,'Data_Price '!$AT$2:$AT$1266,0))</f>
        <v>Snowcountry.eu</v>
      </c>
      <c r="CZ1272">
        <f>INDEX('Data_Price '!AI$2:AI$1266,MATCH(Data!$DN1272,'Data_Price '!$AT$2:$AT$1266,0))</f>
        <v>483.9</v>
      </c>
      <c r="DA1272" t="str">
        <f>INDEX('Data_Price '!AJ$2:AJ$1266,MATCH(Data!$DN1272,'Data_Price '!$AT$2:$AT$1266,0))</f>
        <v>https://tinyurl.com/yanqumuy</v>
      </c>
      <c r="DB1272" t="str">
        <f>INDEX('Data_Price '!AK$2:AK$1266,MATCH(Data!$DN1272,'Data_Price '!$AT$2:$AT$1266,0))</f>
        <v>'22 Blizzard Rustler 11 Skis 192cm</v>
      </c>
      <c r="DC1272" t="str">
        <f>INDEX('Data_Price '!AL$2:AL$1266,MATCH(Data!$DN1272,'Data_Price '!$AT$2:$AT$1266,0))</f>
        <v>Al's Ski Equipment Barn</v>
      </c>
      <c r="DD1272">
        <f>INDEX('Data_Price '!AM$2:AM$1266,MATCH(Data!$DN1272,'Data_Price '!$AT$2:$AT$1266,0))</f>
        <v>749</v>
      </c>
      <c r="DE1272" t="str">
        <f>INDEX('Data_Price '!AN$2:AN$1266,MATCH(Data!$DN1272,'Data_Price '!$AT$2:$AT$1266,0))</f>
        <v>https://tinyurl.com/ycsctxys</v>
      </c>
      <c r="DF1272" t="str">
        <f>INDEX('Data_Price '!AO$2:AO$1266,MATCH(Data!$DN1272,'Data_Price '!$AT$2:$AT$1266,0))</f>
        <v>Blizzard Rustler 11 Skis 192cm 2022</v>
      </c>
      <c r="DG1272" t="str">
        <f>INDEX('Data_Price '!AP$2:AP$1266,MATCH(Data!$DN1272,'Data_Price '!$AT$2:$AT$1266,0))</f>
        <v>The-House.com</v>
      </c>
      <c r="DH1272">
        <f>INDEX('Data_Price '!AQ$2:AQ$1266,MATCH(Data!$DN1272,'Data_Price '!$AT$2:$AT$1266,0))</f>
        <v>749.95</v>
      </c>
      <c r="DI1272" t="str">
        <f>INDEX('Data_Price '!AR$2:AR$1266,MATCH(Data!$DN1272,'Data_Price '!$AT$2:$AT$1266,0))</f>
        <v>https://tinyurl.com/y6wkefxn</v>
      </c>
      <c r="DJ1272" s="89" t="str">
        <f t="shared" si="735"/>
        <v>https://tinyurl.com/yanqumuy</v>
      </c>
      <c r="DK1272" s="89" t="str">
        <f t="shared" si="736"/>
        <v>https://tinyurl.com/ycsctxys</v>
      </c>
      <c r="DL1272" s="89" t="str">
        <f t="shared" si="737"/>
        <v>https://tinyurl.com/y6wkefxn</v>
      </c>
      <c r="DM1272" s="219" t="str">
        <f t="shared" si="738"/>
        <v>Cochise 106</v>
      </c>
      <c r="DN1272" s="89" t="str">
        <f t="shared" si="739"/>
        <v xml:space="preserve"> BlizzardCochise 106192 Unisex</v>
      </c>
    </row>
    <row r="1273" spans="2:119" ht="118.8">
      <c r="B1273" s="219" t="b">
        <f t="array" ref="B1273">IF(OR(ISERROR(K1273:P1273)),FALSE,TRUE)</f>
        <v>1</v>
      </c>
      <c r="C1273" s="43" t="b">
        <f>OR(BR1273=Driver!$G$50,Data!BR409=Driver!$H$50)</f>
        <v>1</v>
      </c>
      <c r="D1273" s="43" t="b">
        <f>OR(BV1273=Driver!$G$51,BV1273=Driver!$H$51)</f>
        <v>1</v>
      </c>
      <c r="E1273" s="43" t="b">
        <f>AND(BX1273&gt;Driver!$F$54,BX1273&lt;Driver!$G$54)</f>
        <v>0</v>
      </c>
      <c r="F1273" s="43" t="b">
        <f>CL1273&gt;Driver!$F$56</f>
        <v>1</v>
      </c>
      <c r="G1273" s="43" t="b">
        <f>AND(CB1273&gt;Driver!$F$55,CB1273&lt;Driver!$G$55)</f>
        <v>1</v>
      </c>
      <c r="H1273" s="43" t="b">
        <f t="shared" si="703"/>
        <v>0</v>
      </c>
      <c r="I1273" s="43">
        <f t="shared" si="704"/>
        <v>0</v>
      </c>
      <c r="J1273" s="43" t="b">
        <f t="array" ref="J1273">NOT(OR(($H$9:$H$1273=TRUE)*($I$9:$I$1273&gt;0)*($BT$9:$BT$1273=BT1273)*($K$9:$K$1273&gt;K1273)))</f>
        <v>1</v>
      </c>
      <c r="K1273" s="72">
        <f t="shared" si="705"/>
        <v>0.54074258247395446</v>
      </c>
      <c r="L1273" s="72">
        <f t="shared" si="706"/>
        <v>0.69020361684051212</v>
      </c>
      <c r="M1273" s="72">
        <f t="shared" si="707"/>
        <v>0.39128154810739679</v>
      </c>
      <c r="N1273" s="72">
        <f t="shared" si="708"/>
        <v>0.10168776371308019</v>
      </c>
      <c r="O1273" s="72">
        <f t="shared" si="709"/>
        <v>0.68766786348327247</v>
      </c>
      <c r="P1273" s="72">
        <f t="shared" si="710"/>
        <v>0.38448901712583772</v>
      </c>
      <c r="Q1273" s="72"/>
      <c r="R1273" s="72"/>
      <c r="S1273" s="72">
        <f t="shared" si="711"/>
        <v>0.89466365140140935</v>
      </c>
      <c r="T1273" s="72">
        <f t="shared" si="712"/>
        <v>0.57657742316198357</v>
      </c>
      <c r="U1273" s="72">
        <f t="shared" si="713"/>
        <v>0.93476476351234083</v>
      </c>
      <c r="V1273" s="72">
        <f t="shared" si="714"/>
        <v>0.49827989932751982</v>
      </c>
      <c r="W1273" s="72">
        <f t="shared" si="715"/>
        <v>0.75606927392470935</v>
      </c>
      <c r="X1273" s="72">
        <f t="shared" si="716"/>
        <v>0.30979638315948782</v>
      </c>
      <c r="Y1273" s="72">
        <f t="shared" si="717"/>
        <v>0.60871845189260321</v>
      </c>
      <c r="Z1273" s="72">
        <f t="shared" si="718"/>
        <v>0.89831223628691981</v>
      </c>
      <c r="AA1273" s="72">
        <f t="shared" si="719"/>
        <v>0.31233213651672753</v>
      </c>
      <c r="AB1273" s="72">
        <f t="shared" si="720"/>
        <v>0.61551098287416228</v>
      </c>
      <c r="AC1273" s="72"/>
      <c r="AD1273" s="72"/>
      <c r="AE1273" s="72">
        <f t="shared" si="721"/>
        <v>0.10533634859859065</v>
      </c>
      <c r="AF1273" s="72">
        <f t="shared" si="722"/>
        <v>0.42342257683801643</v>
      </c>
      <c r="AG1273" s="72">
        <f t="shared" si="723"/>
        <v>6.523523648765911E-2</v>
      </c>
      <c r="AH1273" s="72">
        <f t="shared" si="724"/>
        <v>0.50172010067248018</v>
      </c>
      <c r="AI1273" s="72">
        <f t="shared" si="725"/>
        <v>0.24393072607529068</v>
      </c>
      <c r="AJ1273" s="72">
        <f>(AV1273-Driver!$K$179)/(Driver!$L$179-Driver!$K$179)</f>
        <v>0.56401579244218825</v>
      </c>
      <c r="AK1273" s="72">
        <f>(AW1273-Driver!$K$180)/(Driver!$L$180-Driver!$K$180)</f>
        <v>0.89843056836246349</v>
      </c>
      <c r="AL1273" s="72">
        <f>(AX1273-Driver!$K$181)/(Driver!$L$181-Driver!$K$181)</f>
        <v>1</v>
      </c>
      <c r="AM1273" s="72">
        <f>(AY1273-Driver!$K$182)/(Driver!$L$182-Driver!$K$182)</f>
        <v>0.13505288458031883</v>
      </c>
      <c r="AN1273" s="72">
        <f>(AZ1273-Driver!$K$183)/(Driver!$L$183-Driver!$K$183)</f>
        <v>0.86973039215686276</v>
      </c>
      <c r="AO1273" s="72"/>
      <c r="AP1273" s="72"/>
      <c r="AQ1273" s="72">
        <f>(BC1273-Driver!$K$188)/(Driver!$L$188-Driver!$K$188)</f>
        <v>0.51466365140140935</v>
      </c>
      <c r="AR1273" s="72">
        <f>MIN((BD1273-Driver!$K$189)/(Driver!$L$189-Driver!$K$189),100%)</f>
        <v>0.12657742316198364</v>
      </c>
      <c r="AS1273" s="72">
        <f>(BE1273-Driver!$K$190)/(Driver!$L$190-Driver!$K$190)</f>
        <v>0.4447647635123409</v>
      </c>
      <c r="AT1273" s="72">
        <f>(BF1273-Driver!$K$191)/(Driver!$L$191-Driver!$K$191)</f>
        <v>8.2798993275198657E-3</v>
      </c>
      <c r="AU1273" s="72">
        <f>(BG1273-Driver!$K$192)/(Driver!$L$192-Driver!$K$192)</f>
        <v>6.0692739247093256E-3</v>
      </c>
      <c r="AV1273" s="70">
        <f t="shared" si="726"/>
        <v>11.870845204178536</v>
      </c>
      <c r="AW1273" s="70">
        <f t="shared" si="727"/>
        <v>89.431912413066129</v>
      </c>
      <c r="AX1273" s="70">
        <f t="shared" si="728"/>
        <v>10</v>
      </c>
      <c r="AY1273" s="70">
        <f>IFERROR(Driver!$K$19/Data!BH1273/Data!BI1273*Data!BK1273*Data!BL1273,"")</f>
        <v>0.16534502661786554</v>
      </c>
      <c r="AZ1273" s="70">
        <f t="shared" si="729"/>
        <v>79.266567386448259</v>
      </c>
      <c r="BA1273" s="70"/>
      <c r="BB1273" s="70"/>
      <c r="BC1273" s="70">
        <f t="shared" si="730"/>
        <v>266.95961386556951</v>
      </c>
      <c r="BD1273" s="70">
        <f t="shared" si="731"/>
        <v>12.922700552010895</v>
      </c>
      <c r="BE1273" s="70">
        <f t="shared" si="732"/>
        <v>0.44486381122909152</v>
      </c>
      <c r="BF1273" s="70">
        <f t="shared" si="733"/>
        <v>0.93515645945842396</v>
      </c>
      <c r="BG1273" s="70">
        <f t="shared" si="734"/>
        <v>2.2982142857142857E-2</v>
      </c>
      <c r="BH1273" s="67">
        <f>MAX((CE1273-Driver!$F$200)/(Driver!$G$200-Driver!$F$200)*$BI$1,1)</f>
        <v>10</v>
      </c>
      <c r="BI1273" s="67">
        <f>MAX($BI$1*(BY1273-Driver!$F$201)/(Driver!$G$201-Driver!$F$201),1)</f>
        <v>9.5569620253164551</v>
      </c>
      <c r="BJ1273" s="67">
        <f>(CB1273-Driver!$F$206)/(Driver!$G$206-Driver!$F$206)*$BI$1</f>
        <v>6.3492063492063489</v>
      </c>
      <c r="BK1273" s="67">
        <f>(CD1273-Driver!$F$203)/(Driver!$G$203-Driver!$F$203)*$BI$1</f>
        <v>8.486238532110093</v>
      </c>
      <c r="BL1273" s="67">
        <f>MAX((CR1273-Driver!$F$202)/(Driver!$G$202-Driver!$F$202)*$BI$1,1)</f>
        <v>9.3103448275862064</v>
      </c>
      <c r="BM1273" s="67">
        <f>MAX((CH1273-Driver!$F$204)/(Driver!$G$204-Driver!$F$204)*$BI$1,1)</f>
        <v>7.4786324786324787</v>
      </c>
      <c r="BN1273" s="67">
        <f>(CI1273-Driver!$F$205)/(Driver!$G$205-Driver!$F$205)*$BI$1</f>
        <v>8.2941176470588243</v>
      </c>
      <c r="BO1273" s="67">
        <f>(CK1273-Driver!$F$207)/(Driver!$G$207-Driver!$F$207)*$BI$1</f>
        <v>1.1478800413650465</v>
      </c>
      <c r="BP1273" s="67">
        <f>(CM1273-Driver!$F$208)/(Driver!$G$208-Driver!$F$208)*$BI$1</f>
        <v>1.0888888888888888</v>
      </c>
      <c r="BQ1273" s="67">
        <f>(CL1273-Driver!$F$209)/(Driver!$G$209-Driver!$F$209)*$BI$1</f>
        <v>1.71875</v>
      </c>
      <c r="BR1273" s="28" t="s">
        <v>155</v>
      </c>
      <c r="BS1273" s="8" t="s">
        <v>202</v>
      </c>
      <c r="BT1273" s="9" t="s">
        <v>912</v>
      </c>
      <c r="BU1273" s="10">
        <v>192</v>
      </c>
      <c r="BV1273" s="9" t="s">
        <v>158</v>
      </c>
      <c r="BW1273" s="10">
        <v>192</v>
      </c>
      <c r="BX1273" s="10">
        <v>191</v>
      </c>
      <c r="BY1273" s="10">
        <v>159</v>
      </c>
      <c r="BZ1273" s="10">
        <v>161</v>
      </c>
      <c r="CA1273" s="10">
        <v>132</v>
      </c>
      <c r="CB1273" s="10">
        <v>104</v>
      </c>
      <c r="CC1273" s="10">
        <v>120</v>
      </c>
      <c r="CD1273" s="10">
        <v>27.9</v>
      </c>
      <c r="CE1273" s="10">
        <v>2657</v>
      </c>
      <c r="CF1273" s="10">
        <v>0.81</v>
      </c>
      <c r="CG1273" s="10">
        <v>2147</v>
      </c>
      <c r="CH1273" s="10">
        <v>276</v>
      </c>
      <c r="CI1273" s="10">
        <v>174</v>
      </c>
      <c r="CJ1273" s="10">
        <v>33</v>
      </c>
      <c r="CK1273" s="10">
        <v>221</v>
      </c>
      <c r="CL1273" s="10">
        <v>11</v>
      </c>
      <c r="CM1273" s="10">
        <v>98</v>
      </c>
      <c r="CN1273" s="10">
        <v>0.32</v>
      </c>
      <c r="CO1273" s="10">
        <v>187</v>
      </c>
      <c r="CP1273" s="10">
        <v>114</v>
      </c>
      <c r="CQ1273" s="10">
        <v>34</v>
      </c>
      <c r="CR1273" s="10">
        <v>16</v>
      </c>
      <c r="CS1273" s="10">
        <v>12.4</v>
      </c>
      <c r="CT1273" s="9" t="s">
        <v>188</v>
      </c>
      <c r="CU1273" s="9" t="s">
        <v>178</v>
      </c>
      <c r="CV1273" s="10"/>
      <c r="CW1273" s="10"/>
      <c r="CX1273" t="str">
        <f>INDEX('Data_Price '!AG$2:AG$1266,MATCH(Data!$DN1273,'Data_Price '!$AT$2:$AT$1266,0))</f>
        <v>Dynastar M-Pro Rider 192</v>
      </c>
      <c r="CY1273" t="str">
        <f>INDEX('Data_Price '!AH$2:AH$1266,MATCH(Data!$DN1273,'Data_Price '!$AT$2:$AT$1266,0))</f>
        <v>Bobleisure</v>
      </c>
      <c r="CZ1273">
        <f>INDEX('Data_Price '!AI$2:AI$1266,MATCH(Data!$DN1273,'Data_Price '!$AT$2:$AT$1266,0))</f>
        <v>719.28</v>
      </c>
      <c r="DA1273" t="str">
        <f>INDEX('Data_Price '!AJ$2:AJ$1266,MATCH(Data!$DN1273,'Data_Price '!$AT$2:$AT$1266,0))</f>
        <v>https://tinyurl.com/yblvbo48</v>
      </c>
      <c r="DB1273" t="str">
        <f>INDEX('Data_Price '!AK$2:AK$1266,MATCH(Data!$DN1273,'Data_Price '!$AT$2:$AT$1266,0))</f>
        <v>Dynastar Skis Max 9 192 Marker M 1000 Made In France Men's Us 6.5 -</v>
      </c>
      <c r="DC1273" t="str">
        <f>INDEX('Data_Price '!AL$2:AL$1266,MATCH(Data!$DN1273,'Data_Price '!$AT$2:$AT$1266,0))</f>
        <v>eBay</v>
      </c>
      <c r="DD1273">
        <f>INDEX('Data_Price '!AM$2:AM$1266,MATCH(Data!$DN1273,'Data_Price '!$AT$2:$AT$1266,0))</f>
        <v>179</v>
      </c>
      <c r="DE1273" t="str">
        <f>INDEX('Data_Price '!AN$2:AN$1266,MATCH(Data!$DN1273,'Data_Price '!$AT$2:$AT$1266,0))</f>
        <v>https://tinyurl.com/y886mwao</v>
      </c>
      <c r="DF1273" t="str">
        <f>INDEX('Data_Price '!AO$2:AO$1266,MATCH(Data!$DN1273,'Data_Price '!$AT$2:$AT$1266,0))</f>
        <v>2022 Dynastar M-Free 108 Ski with Salomon Guardian MNC 16 Bindings</v>
      </c>
      <c r="DG1273" t="str">
        <f>INDEX('Data_Price '!AP$2:AP$1266,MATCH(Data!$DN1273,'Data_Price '!$AT$2:$AT$1266,0))</f>
        <v>Geartrade.com</v>
      </c>
      <c r="DH1273">
        <f>INDEX('Data_Price '!AQ$2:AQ$1266,MATCH(Data!$DN1273,'Data_Price '!$AT$2:$AT$1266,0))</f>
        <v>515.98</v>
      </c>
      <c r="DI1273" t="str">
        <f>INDEX('Data_Price '!AR$2:AR$1266,MATCH(Data!$DN1273,'Data_Price '!$AT$2:$AT$1266,0))</f>
        <v>https://tinyurl.com/y7yp5nd4</v>
      </c>
      <c r="DJ1273" s="89" t="str">
        <f t="shared" si="735"/>
        <v>https://tinyurl.com/yblvbo48</v>
      </c>
      <c r="DK1273" s="89" t="str">
        <f t="shared" si="736"/>
        <v>https://tinyurl.com/y886mwao</v>
      </c>
      <c r="DL1273" s="89" t="str">
        <f t="shared" si="737"/>
        <v>https://tinyurl.com/y7yp5nd4</v>
      </c>
      <c r="DM1273" s="219" t="str">
        <f t="shared" si="738"/>
        <v>M-Pro Pro Rider</v>
      </c>
      <c r="DN1273" s="89" t="str">
        <f t="shared" si="739"/>
        <v xml:space="preserve"> DynastarM-Pro Pro Rider192 Unisex</v>
      </c>
    </row>
  </sheetData>
  <autoFilter ref="A8:DU1273" xr:uid="{00000000-0009-0000-0000-000001000000}"/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7" tint="0.39997558519241921"/>
  </sheetPr>
  <dimension ref="A1"/>
  <sheetViews>
    <sheetView showGridLines="0" topLeftCell="A69" workbookViewId="0">
      <selection activeCell="G25" sqref="G25"/>
    </sheetView>
  </sheetViews>
  <sheetFormatPr defaultColWidth="8.77734375" defaultRowHeight="13.2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7" tint="0.39997558519241921"/>
  </sheetPr>
  <dimension ref="A1:AT1480"/>
  <sheetViews>
    <sheetView showGridLines="0" workbookViewId="0">
      <selection activeCell="AS5" sqref="AS5"/>
    </sheetView>
  </sheetViews>
  <sheetFormatPr defaultColWidth="8.6640625" defaultRowHeight="13.2"/>
  <cols>
    <col min="1" max="1" width="2.77734375" style="89" customWidth="1"/>
    <col min="2" max="2" width="3.21875" style="89" customWidth="1"/>
    <col min="3" max="4" width="3.33203125" style="89" customWidth="1"/>
    <col min="5" max="5" width="16.33203125" style="89" customWidth="1"/>
    <col min="6" max="6" width="11.6640625" style="89" customWidth="1"/>
    <col min="7" max="7" width="13.21875" style="89" customWidth="1"/>
    <col min="8" max="8" width="17.44140625" style="89" customWidth="1"/>
    <col min="9" max="11" width="11.77734375" style="89" customWidth="1"/>
    <col min="12" max="14" width="12.33203125" style="89" customWidth="1"/>
    <col min="15" max="37" width="10.33203125" style="89" customWidth="1"/>
    <col min="38" max="38" width="8.6640625" style="89" customWidth="1"/>
    <col min="39" max="16384" width="8.6640625" style="89"/>
  </cols>
  <sheetData>
    <row r="1" spans="1:46" s="26" customFormat="1">
      <c r="B1" s="23" t="s">
        <v>913</v>
      </c>
    </row>
    <row r="2" spans="1:46" s="24" customFormat="1">
      <c r="C2" s="25" t="s">
        <v>914</v>
      </c>
      <c r="D2" s="25"/>
    </row>
    <row r="3" spans="1:46">
      <c r="B3" s="169"/>
    </row>
    <row r="4" spans="1:46">
      <c r="A4" s="196" t="s">
        <v>915</v>
      </c>
      <c r="B4" s="196" t="s">
        <v>916</v>
      </c>
      <c r="C4" s="196" t="s">
        <v>917</v>
      </c>
      <c r="D4" s="196" t="s">
        <v>918</v>
      </c>
      <c r="E4" s="196" t="s">
        <v>919</v>
      </c>
      <c r="F4" s="196" t="s">
        <v>920</v>
      </c>
      <c r="G4" s="196" t="s">
        <v>921</v>
      </c>
      <c r="H4" s="196" t="s">
        <v>922</v>
      </c>
      <c r="I4" s="196" t="s">
        <v>923</v>
      </c>
      <c r="J4" s="196" t="s">
        <v>924</v>
      </c>
      <c r="K4" s="196" t="s">
        <v>925</v>
      </c>
      <c r="L4" s="196" t="s">
        <v>926</v>
      </c>
      <c r="M4" s="196" t="s">
        <v>927</v>
      </c>
      <c r="N4" s="196" t="s">
        <v>928</v>
      </c>
      <c r="O4" s="196" t="s">
        <v>929</v>
      </c>
      <c r="P4" s="196" t="s">
        <v>930</v>
      </c>
      <c r="Q4" s="196" t="s">
        <v>931</v>
      </c>
      <c r="R4" s="196" t="s">
        <v>932</v>
      </c>
      <c r="S4" s="196" t="s">
        <v>933</v>
      </c>
      <c r="T4" s="196" t="s">
        <v>934</v>
      </c>
      <c r="U4" s="196" t="s">
        <v>73</v>
      </c>
      <c r="V4" s="196" t="s">
        <v>935</v>
      </c>
      <c r="W4" s="196" t="s">
        <v>936</v>
      </c>
      <c r="X4" s="196" t="s">
        <v>937</v>
      </c>
      <c r="Y4" s="196" t="s">
        <v>938</v>
      </c>
      <c r="Z4" s="196" t="s">
        <v>939</v>
      </c>
      <c r="AA4" s="196" t="s">
        <v>940</v>
      </c>
      <c r="AB4" s="196" t="s">
        <v>941</v>
      </c>
      <c r="AC4" s="196" t="s">
        <v>942</v>
      </c>
      <c r="AD4" s="196" t="s">
        <v>943</v>
      </c>
      <c r="AE4" s="196" t="s">
        <v>944</v>
      </c>
      <c r="AF4" s="196" t="s">
        <v>945</v>
      </c>
      <c r="AG4" s="196" t="s">
        <v>946</v>
      </c>
      <c r="AH4" s="196" t="s">
        <v>947</v>
      </c>
      <c r="AI4" s="196" t="s">
        <v>948</v>
      </c>
      <c r="AJ4" s="196" t="s">
        <v>949</v>
      </c>
      <c r="AK4" s="196" t="s">
        <v>950</v>
      </c>
      <c r="AL4" s="196" t="s">
        <v>951</v>
      </c>
      <c r="AM4" s="196" t="s">
        <v>952</v>
      </c>
      <c r="AN4" s="196" t="s">
        <v>953</v>
      </c>
      <c r="AO4" s="196" t="s">
        <v>954</v>
      </c>
      <c r="AP4" s="196" t="s">
        <v>955</v>
      </c>
      <c r="AQ4" s="196" t="s">
        <v>956</v>
      </c>
      <c r="AR4" s="196" t="s">
        <v>957</v>
      </c>
    </row>
    <row r="5" spans="1:46">
      <c r="A5" s="197" t="s">
        <v>958</v>
      </c>
      <c r="B5" s="197" t="s">
        <v>959</v>
      </c>
      <c r="C5" s="198">
        <v>0</v>
      </c>
      <c r="D5" s="198" t="s">
        <v>960</v>
      </c>
      <c r="E5">
        <v>100</v>
      </c>
      <c r="F5">
        <v>207</v>
      </c>
      <c r="G5" s="198">
        <v>1</v>
      </c>
      <c r="H5" s="197" t="s">
        <v>959</v>
      </c>
      <c r="I5" s="198" t="s">
        <v>961</v>
      </c>
      <c r="J5" s="198"/>
      <c r="K5" s="198"/>
      <c r="L5" s="198"/>
      <c r="M5" s="198"/>
      <c r="N5">
        <v>53.553405759999997</v>
      </c>
      <c r="O5">
        <v>-113.4981995</v>
      </c>
      <c r="P5" s="198" t="s">
        <v>962</v>
      </c>
      <c r="Q5" s="198" t="s">
        <v>963</v>
      </c>
      <c r="R5" s="198" t="s">
        <v>964</v>
      </c>
      <c r="S5" s="198">
        <v>120</v>
      </c>
      <c r="T5" s="198">
        <v>2</v>
      </c>
      <c r="U5" s="198" t="s">
        <v>965</v>
      </c>
      <c r="V5">
        <v>62</v>
      </c>
      <c r="W5">
        <v>55</v>
      </c>
      <c r="X5">
        <v>51</v>
      </c>
      <c r="Y5">
        <v>51</v>
      </c>
      <c r="Z5">
        <v>25</v>
      </c>
      <c r="AA5" s="198">
        <v>1</v>
      </c>
      <c r="AB5" s="198">
        <v>5</v>
      </c>
      <c r="AC5" s="198" t="s">
        <v>966</v>
      </c>
      <c r="AD5" s="198">
        <v>13</v>
      </c>
      <c r="AE5">
        <v>88</v>
      </c>
      <c r="AF5">
        <v>75</v>
      </c>
      <c r="AG5">
        <v>61</v>
      </c>
      <c r="AH5">
        <v>39</v>
      </c>
      <c r="AI5" s="198"/>
      <c r="AJ5" s="198">
        <v>2</v>
      </c>
      <c r="AK5" s="198">
        <v>2</v>
      </c>
      <c r="AL5" s="198"/>
      <c r="AM5" s="198">
        <v>1</v>
      </c>
      <c r="AN5" s="198" t="s">
        <v>967</v>
      </c>
      <c r="AO5" s="198" t="s">
        <v>968</v>
      </c>
      <c r="AP5" s="198" t="s">
        <v>969</v>
      </c>
      <c r="AQ5" s="198" t="s">
        <v>970</v>
      </c>
      <c r="AR5" s="198"/>
      <c r="AS5" s="198"/>
      <c r="AT5" s="198"/>
    </row>
    <row r="6" spans="1:46" s="165" customFormat="1" ht="13.8" customHeight="1">
      <c r="A6" s="166"/>
      <c r="B6" s="166"/>
      <c r="C6" s="167"/>
      <c r="D6" s="167"/>
      <c r="G6" s="167"/>
      <c r="H6" s="166"/>
      <c r="I6" s="167"/>
      <c r="J6" s="167"/>
      <c r="K6" s="167"/>
      <c r="L6" s="167"/>
      <c r="M6" s="167"/>
      <c r="P6" s="167"/>
      <c r="Q6" s="167"/>
      <c r="R6" s="167"/>
      <c r="S6" s="167"/>
      <c r="T6" s="167"/>
      <c r="U6" s="167"/>
      <c r="V6" s="167"/>
      <c r="W6" s="167"/>
      <c r="AC6" s="167"/>
      <c r="AE6" s="167"/>
      <c r="AK6" s="167"/>
      <c r="AL6" s="167"/>
      <c r="AM6" s="167"/>
      <c r="AN6" s="167"/>
    </row>
    <row r="7" spans="1:46" s="24" customFormat="1">
      <c r="C7" s="25" t="s">
        <v>971</v>
      </c>
      <c r="D7" s="25"/>
    </row>
    <row r="9" spans="1:46">
      <c r="E9" s="107" t="s">
        <v>972</v>
      </c>
    </row>
    <row r="10" spans="1:46">
      <c r="E10" s="12" t="s">
        <v>973</v>
      </c>
    </row>
    <row r="11" spans="1:46">
      <c r="E11" s="12"/>
    </row>
    <row r="12" spans="1:46">
      <c r="E12" s="64" t="s">
        <v>974</v>
      </c>
    </row>
    <row r="13" spans="1:46">
      <c r="E13" s="119" t="s">
        <v>975</v>
      </c>
      <c r="F13" s="217" t="str">
        <f>R5</f>
        <v>5' 4''</v>
      </c>
    </row>
    <row r="14" spans="1:46">
      <c r="E14" s="136" t="s">
        <v>976</v>
      </c>
      <c r="F14" s="88" t="str">
        <f>LEFT(F13,FIND("'",F13,1)-1)</f>
        <v>5</v>
      </c>
    </row>
    <row r="15" spans="1:46">
      <c r="E15" s="136" t="s">
        <v>977</v>
      </c>
      <c r="F15" s="88" t="str">
        <f>LEFT(RIGHT(F13,LEN(F13)-FIND(" ",F13,1)),LEN(F13)-5)</f>
        <v>4</v>
      </c>
    </row>
    <row r="16" spans="1:46">
      <c r="E16" s="136" t="s">
        <v>978</v>
      </c>
      <c r="F16" s="89">
        <f>(F14*12+F15)*2.54</f>
        <v>162.56</v>
      </c>
    </row>
    <row r="18" spans="5:11">
      <c r="G18" s="89" t="s">
        <v>979</v>
      </c>
      <c r="H18" s="89" t="s">
        <v>980</v>
      </c>
      <c r="I18" s="89" t="s">
        <v>981</v>
      </c>
      <c r="J18" s="89" t="s">
        <v>982</v>
      </c>
      <c r="K18" s="89" t="s">
        <v>983</v>
      </c>
    </row>
    <row r="19" spans="5:11">
      <c r="E19" s="89" t="s">
        <v>19</v>
      </c>
      <c r="F19" s="199">
        <f>S5</f>
        <v>120</v>
      </c>
      <c r="G19" s="89">
        <v>100</v>
      </c>
      <c r="H19" s="89">
        <v>200</v>
      </c>
      <c r="I19" s="57">
        <v>0</v>
      </c>
      <c r="J19" s="57">
        <f>100%</f>
        <v>1</v>
      </c>
      <c r="K19" s="57">
        <f>MIN((F19-G19)/(H19-G19),100%)</f>
        <v>0.2</v>
      </c>
    </row>
    <row r="21" spans="5:11">
      <c r="E21" s="64" t="s">
        <v>984</v>
      </c>
      <c r="J21" s="11"/>
    </row>
    <row r="22" spans="5:11">
      <c r="E22" s="89" t="s">
        <v>80</v>
      </c>
      <c r="F22" s="107">
        <f t="array" ref="F22:F26">TRANSPOSE(V5:Z5)</f>
        <v>62</v>
      </c>
      <c r="G22" s="57">
        <f t="shared" ref="G22:G27" si="0">IFERROR(F22/100,0%)</f>
        <v>0.62</v>
      </c>
    </row>
    <row r="23" spans="5:11">
      <c r="E23" s="56" t="s">
        <v>81</v>
      </c>
      <c r="F23" s="107">
        <v>55</v>
      </c>
      <c r="G23" s="57">
        <f t="shared" si="0"/>
        <v>0.55000000000000004</v>
      </c>
      <c r="H23" s="42" t="s">
        <v>985</v>
      </c>
    </row>
    <row r="24" spans="5:11">
      <c r="E24" s="89" t="s">
        <v>82</v>
      </c>
      <c r="F24" s="107">
        <v>51</v>
      </c>
      <c r="G24" s="57">
        <f t="shared" si="0"/>
        <v>0.51</v>
      </c>
    </row>
    <row r="25" spans="5:11">
      <c r="E25" s="89" t="s">
        <v>83</v>
      </c>
      <c r="F25" s="107">
        <v>51</v>
      </c>
      <c r="G25" s="57">
        <f t="shared" si="0"/>
        <v>0.51</v>
      </c>
    </row>
    <row r="26" spans="5:11">
      <c r="E26" s="56" t="s">
        <v>84</v>
      </c>
      <c r="F26" s="107">
        <v>25</v>
      </c>
      <c r="G26" s="57">
        <f t="shared" si="0"/>
        <v>0.25</v>
      </c>
      <c r="H26" s="56" t="s">
        <v>986</v>
      </c>
    </row>
    <row r="27" spans="5:11">
      <c r="E27" s="58" t="s">
        <v>987</v>
      </c>
      <c r="F27" s="89">
        <f>SUM(F23:F25)</f>
        <v>157</v>
      </c>
      <c r="G27" s="57">
        <f t="shared" si="0"/>
        <v>1.57</v>
      </c>
    </row>
    <row r="29" spans="5:11">
      <c r="E29" s="64" t="s">
        <v>988</v>
      </c>
    </row>
    <row r="30" spans="5:11">
      <c r="F30" s="89" t="s">
        <v>989</v>
      </c>
      <c r="G30" s="89" t="s">
        <v>990</v>
      </c>
      <c r="H30" s="89" t="s">
        <v>991</v>
      </c>
    </row>
    <row r="31" spans="5:11">
      <c r="E31" s="89" t="s">
        <v>992</v>
      </c>
      <c r="F31" s="13">
        <f t="array" ref="F31:F35">TRANSPOSE(AD5:AH5)</f>
        <v>13</v>
      </c>
      <c r="G31" s="57">
        <f>IFERROR(F31/SUM($F$31:$F$34),0%)</f>
        <v>5.4852320675105488E-2</v>
      </c>
      <c r="H31" s="12">
        <v>1</v>
      </c>
    </row>
    <row r="32" spans="5:11">
      <c r="E32" s="89" t="s">
        <v>993</v>
      </c>
      <c r="F32" s="13">
        <v>88</v>
      </c>
      <c r="G32" s="57">
        <f>IFERROR(F32/SUM($F$31:$F$34),0%)</f>
        <v>0.37130801687763715</v>
      </c>
      <c r="H32" s="12">
        <v>2</v>
      </c>
    </row>
    <row r="33" spans="2:11">
      <c r="E33" s="89" t="s">
        <v>994</v>
      </c>
      <c r="F33" s="13">
        <v>75</v>
      </c>
      <c r="G33" s="57">
        <f>IFERROR(F33/SUM($F$31:$F$34),0%)</f>
        <v>0.31645569620253167</v>
      </c>
      <c r="H33" s="12">
        <v>3</v>
      </c>
    </row>
    <row r="34" spans="2:11">
      <c r="E34" s="89" t="s">
        <v>995</v>
      </c>
      <c r="F34" s="13">
        <v>61</v>
      </c>
      <c r="G34" s="57">
        <f>IFERROR(F34/SUM($F$31:$F$34),0%)</f>
        <v>0.25738396624472576</v>
      </c>
      <c r="H34" s="12">
        <v>5</v>
      </c>
      <c r="I34" s="58" t="s">
        <v>996</v>
      </c>
    </row>
    <row r="35" spans="2:11">
      <c r="E35" s="170" t="s">
        <v>997</v>
      </c>
      <c r="F35" s="170">
        <v>39</v>
      </c>
      <c r="H35" s="170"/>
    </row>
    <row r="37" spans="2:11">
      <c r="F37" s="89" t="s">
        <v>998</v>
      </c>
      <c r="G37" s="89" t="s">
        <v>999</v>
      </c>
      <c r="H37" s="89" t="s">
        <v>980</v>
      </c>
      <c r="I37" s="89" t="s">
        <v>981</v>
      </c>
      <c r="J37" s="89" t="s">
        <v>982</v>
      </c>
      <c r="K37" s="89" t="s">
        <v>983</v>
      </c>
    </row>
    <row r="38" spans="2:11">
      <c r="E38" s="89" t="s">
        <v>988</v>
      </c>
      <c r="F38" s="11">
        <f>SUMPRODUCT(G31:G34,H31:H34)</f>
        <v>3.0337552742616034</v>
      </c>
      <c r="G38" s="89">
        <f>100%*1</f>
        <v>1</v>
      </c>
      <c r="H38" s="89">
        <f>100%*H34</f>
        <v>5</v>
      </c>
      <c r="I38" s="57">
        <v>0</v>
      </c>
      <c r="J38" s="57">
        <f>100%</f>
        <v>1</v>
      </c>
      <c r="K38" s="57">
        <f>(F38-G38)/(H38-G38)</f>
        <v>0.50843881856540085</v>
      </c>
    </row>
    <row r="39" spans="2:11">
      <c r="E39" s="89" t="s">
        <v>11</v>
      </c>
      <c r="F39" s="107">
        <f>IF(AB5="",5,AB5)</f>
        <v>5</v>
      </c>
      <c r="G39" s="89">
        <v>0</v>
      </c>
      <c r="H39" s="89">
        <v>10</v>
      </c>
      <c r="I39" s="57">
        <f>G39-G39</f>
        <v>0</v>
      </c>
      <c r="J39" s="57">
        <v>1</v>
      </c>
      <c r="K39" s="57">
        <f>(F39-G39)/(H39-G39)</f>
        <v>0.5</v>
      </c>
    </row>
    <row r="40" spans="2:11">
      <c r="E40" s="89" t="s">
        <v>1000</v>
      </c>
      <c r="F40" s="107">
        <f>10-F39</f>
        <v>5</v>
      </c>
      <c r="G40" s="89">
        <v>0</v>
      </c>
      <c r="H40" s="89">
        <v>10</v>
      </c>
      <c r="I40" s="57">
        <f>G40-G40</f>
        <v>0</v>
      </c>
      <c r="J40" s="57">
        <v>1</v>
      </c>
      <c r="K40" s="57">
        <f>(F40-G40)/(H40-G40)</f>
        <v>0.5</v>
      </c>
    </row>
    <row r="42" spans="2:11">
      <c r="E42" s="64" t="s">
        <v>1001</v>
      </c>
    </row>
    <row r="43" spans="2:11">
      <c r="E43" s="89" t="s">
        <v>1002</v>
      </c>
      <c r="F43" s="200">
        <f>AI5</f>
        <v>0</v>
      </c>
      <c r="G43" s="89" t="b">
        <f>IF(F43="Yes",TRUE,FALSE)</f>
        <v>0</v>
      </c>
    </row>
    <row r="45" spans="2:11" s="24" customFormat="1">
      <c r="B45" s="25" t="s">
        <v>1003</v>
      </c>
      <c r="C45" s="25"/>
    </row>
    <row r="46" spans="2:11" s="48" customFormat="1" ht="14.4" customHeight="1">
      <c r="C46" s="51" t="s">
        <v>913</v>
      </c>
      <c r="D46" s="90"/>
      <c r="E46" s="49"/>
    </row>
    <row r="48" spans="2:11" ht="14.4" customHeight="1">
      <c r="E48" s="22" t="s">
        <v>1004</v>
      </c>
    </row>
    <row r="49" spans="2:13" ht="14.4" customHeight="1">
      <c r="E49" s="148" t="s">
        <v>1005</v>
      </c>
      <c r="F49" s="89" t="s">
        <v>1006</v>
      </c>
      <c r="G49" s="89" t="s">
        <v>1007</v>
      </c>
      <c r="H49" s="89" t="s">
        <v>1008</v>
      </c>
    </row>
    <row r="50" spans="2:13" ht="14.4" customHeight="1">
      <c r="E50" s="81" t="s">
        <v>70</v>
      </c>
      <c r="F50" s="89" t="s">
        <v>1009</v>
      </c>
      <c r="G50" s="89" t="s">
        <v>155</v>
      </c>
      <c r="H50" s="89" t="s">
        <v>217</v>
      </c>
    </row>
    <row r="51" spans="2:13" ht="14.4" customHeight="1">
      <c r="E51" s="81" t="s">
        <v>73</v>
      </c>
      <c r="F51" s="89" t="s">
        <v>1009</v>
      </c>
      <c r="G51" s="89" t="s">
        <v>1010</v>
      </c>
      <c r="H51" s="89" t="s">
        <v>158</v>
      </c>
    </row>
    <row r="52" spans="2:13" ht="14.4" customHeight="1">
      <c r="E52" s="81"/>
    </row>
    <row r="53" spans="2:13" ht="14.4" customHeight="1">
      <c r="E53" s="148" t="s">
        <v>1011</v>
      </c>
      <c r="F53" s="89" t="s">
        <v>1012</v>
      </c>
      <c r="G53" s="89" t="s">
        <v>1013</v>
      </c>
      <c r="H53" s="89" t="s">
        <v>1014</v>
      </c>
      <c r="I53" s="89" t="s">
        <v>1015</v>
      </c>
    </row>
    <row r="54" spans="2:13" ht="14.4" customHeight="1">
      <c r="E54" s="81" t="s">
        <v>1016</v>
      </c>
      <c r="F54" s="65">
        <f>$F$16*(1+H54)</f>
        <v>152.8064</v>
      </c>
      <c r="G54" s="65">
        <f>$F$16*(1+I54)</f>
        <v>165.81120000000001</v>
      </c>
      <c r="H54" s="57">
        <f>INDEX($G$78:$G$82,MATCH(TRUE,$F$78:$F$82,0))</f>
        <v>-0.06</v>
      </c>
      <c r="I54" s="57">
        <f>INDEX($H$78:$H$82,MATCH(TRUE,$F$78:$F$82,0))</f>
        <v>0.02</v>
      </c>
    </row>
    <row r="55" spans="2:13" ht="14.4" customHeight="1">
      <c r="E55" s="81" t="s">
        <v>135</v>
      </c>
      <c r="F55" s="89">
        <f>INDEX(H$95:H$100,MATCH(TRUE,$K$95:$K$100,0))</f>
        <v>100</v>
      </c>
      <c r="G55" s="89">
        <f>INDEX(I$95:I$100,MATCH(TRUE,$K$95:$K$100,0))</f>
        <v>112</v>
      </c>
    </row>
    <row r="56" spans="2:13" ht="14.4" customHeight="1">
      <c r="E56" s="81" t="s">
        <v>134</v>
      </c>
      <c r="F56" s="89">
        <f>IF(G43,$F$128,0)</f>
        <v>0</v>
      </c>
      <c r="G56" s="89" t="s">
        <v>1017</v>
      </c>
    </row>
    <row r="57" spans="2:13" ht="14.4" customHeight="1">
      <c r="E57" s="81"/>
    </row>
    <row r="58" spans="2:13" s="48" customFormat="1" ht="14.4" customHeight="1">
      <c r="C58" s="51" t="s">
        <v>1016</v>
      </c>
      <c r="D58" s="90"/>
      <c r="E58" s="49"/>
    </row>
    <row r="59" spans="2:13" ht="14.4" customHeight="1">
      <c r="B59" s="81"/>
    </row>
    <row r="60" spans="2:13" ht="39.6" customHeight="1">
      <c r="B60" s="81"/>
      <c r="E60" s="219" t="s">
        <v>1018</v>
      </c>
      <c r="F60" s="219" t="s">
        <v>1019</v>
      </c>
      <c r="G60" s="219" t="s">
        <v>1020</v>
      </c>
      <c r="H60" s="219" t="s">
        <v>999</v>
      </c>
      <c r="I60" s="219" t="s">
        <v>980</v>
      </c>
      <c r="J60" s="219" t="s">
        <v>1021</v>
      </c>
      <c r="K60" s="219" t="s">
        <v>1022</v>
      </c>
      <c r="L60" s="219" t="s">
        <v>1023</v>
      </c>
      <c r="M60" s="219" t="s">
        <v>1024</v>
      </c>
    </row>
    <row r="61" spans="2:13" ht="14.4" customHeight="1">
      <c r="B61" s="81"/>
      <c r="E61" s="89" t="s">
        <v>1025</v>
      </c>
      <c r="F61" s="89" t="s">
        <v>1026</v>
      </c>
      <c r="G61" s="89" t="s">
        <v>1027</v>
      </c>
      <c r="H61" s="89" t="str">
        <f t="shared" ref="H61:H73" si="1">LEFT(G61,3)</f>
        <v>115</v>
      </c>
      <c r="I61" s="89" t="str">
        <f t="shared" ref="I61:I73" si="2">RIGHT(G61,3)</f>
        <v>130</v>
      </c>
      <c r="J61" s="89">
        <f t="shared" ref="J61:J73" si="3">H61-$C61</f>
        <v>115</v>
      </c>
      <c r="K61" s="89">
        <f t="shared" ref="K61:K73" si="4">I61-$C61</f>
        <v>130</v>
      </c>
      <c r="L61" s="89" t="e">
        <f t="shared" ref="L61:L73" si="5">H61/$F61-1</f>
        <v>#VALUE!</v>
      </c>
      <c r="M61" s="89" t="e">
        <f t="shared" ref="M61:M73" si="6">I61/$F61-1</f>
        <v>#VALUE!</v>
      </c>
    </row>
    <row r="62" spans="2:13" ht="14.4" customHeight="1">
      <c r="B62" s="81"/>
      <c r="E62" s="89" t="s">
        <v>1028</v>
      </c>
      <c r="F62" s="89">
        <v>137</v>
      </c>
      <c r="G62" s="89" t="s">
        <v>1029</v>
      </c>
      <c r="H62" s="89" t="str">
        <f t="shared" si="1"/>
        <v>125</v>
      </c>
      <c r="I62" s="89" t="str">
        <f t="shared" si="2"/>
        <v>140</v>
      </c>
      <c r="J62" s="89">
        <f t="shared" si="3"/>
        <v>125</v>
      </c>
      <c r="K62" s="89">
        <f t="shared" si="4"/>
        <v>140</v>
      </c>
      <c r="L62" s="89">
        <f t="shared" si="5"/>
        <v>-8.7591240875912413E-2</v>
      </c>
      <c r="M62" s="89">
        <f t="shared" si="6"/>
        <v>2.1897810218978186E-2</v>
      </c>
    </row>
    <row r="63" spans="2:13" ht="14.4" customHeight="1">
      <c r="B63" s="81"/>
      <c r="E63" s="89" t="s">
        <v>1030</v>
      </c>
      <c r="F63" s="89">
        <v>142</v>
      </c>
      <c r="G63" s="89" t="s">
        <v>1031</v>
      </c>
      <c r="H63" s="89" t="str">
        <f t="shared" si="1"/>
        <v>130</v>
      </c>
      <c r="I63" s="89" t="str">
        <f t="shared" si="2"/>
        <v>145</v>
      </c>
      <c r="J63" s="89">
        <f t="shared" si="3"/>
        <v>130</v>
      </c>
      <c r="K63" s="89">
        <f t="shared" si="4"/>
        <v>145</v>
      </c>
      <c r="L63" s="89">
        <f t="shared" si="5"/>
        <v>-8.4507042253521125E-2</v>
      </c>
      <c r="M63" s="89">
        <f t="shared" si="6"/>
        <v>2.1126760563380254E-2</v>
      </c>
    </row>
    <row r="64" spans="2:13" ht="14.4" customHeight="1">
      <c r="B64" s="81"/>
      <c r="E64" s="89" t="s">
        <v>1032</v>
      </c>
      <c r="F64" s="89">
        <v>147</v>
      </c>
      <c r="G64" s="89" t="s">
        <v>1033</v>
      </c>
      <c r="H64" s="89" t="str">
        <f t="shared" si="1"/>
        <v>135</v>
      </c>
      <c r="I64" s="89" t="str">
        <f t="shared" si="2"/>
        <v>150</v>
      </c>
      <c r="J64" s="89">
        <f t="shared" si="3"/>
        <v>135</v>
      </c>
      <c r="K64" s="89">
        <f t="shared" si="4"/>
        <v>150</v>
      </c>
      <c r="L64" s="89">
        <f t="shared" si="5"/>
        <v>-8.1632653061224469E-2</v>
      </c>
      <c r="M64" s="89">
        <f t="shared" si="6"/>
        <v>2.0408163265306145E-2</v>
      </c>
    </row>
    <row r="65" spans="2:13" ht="14.4" customHeight="1">
      <c r="B65" s="81"/>
      <c r="E65" s="89" t="s">
        <v>1034</v>
      </c>
      <c r="F65" s="89">
        <v>152</v>
      </c>
      <c r="G65" s="89" t="s">
        <v>1035</v>
      </c>
      <c r="H65" s="89" t="str">
        <f t="shared" si="1"/>
        <v>140</v>
      </c>
      <c r="I65" s="89" t="str">
        <f t="shared" si="2"/>
        <v>155</v>
      </c>
      <c r="J65" s="89">
        <f t="shared" si="3"/>
        <v>140</v>
      </c>
      <c r="K65" s="89">
        <f t="shared" si="4"/>
        <v>155</v>
      </c>
      <c r="L65" s="89">
        <f t="shared" si="5"/>
        <v>-7.8947368421052655E-2</v>
      </c>
      <c r="M65" s="89">
        <f t="shared" si="6"/>
        <v>1.9736842105263053E-2</v>
      </c>
    </row>
    <row r="66" spans="2:13" ht="14.4" customHeight="1">
      <c r="B66" s="81"/>
      <c r="E66" s="89" t="s">
        <v>1036</v>
      </c>
      <c r="F66" s="89">
        <v>158</v>
      </c>
      <c r="G66" s="89" t="s">
        <v>1037</v>
      </c>
      <c r="H66" s="89" t="str">
        <f t="shared" si="1"/>
        <v>145</v>
      </c>
      <c r="I66" s="89" t="str">
        <f t="shared" si="2"/>
        <v>165</v>
      </c>
      <c r="J66" s="89">
        <f t="shared" si="3"/>
        <v>145</v>
      </c>
      <c r="K66" s="89">
        <f t="shared" si="4"/>
        <v>165</v>
      </c>
      <c r="L66" s="89">
        <f t="shared" si="5"/>
        <v>-8.2278481012658222E-2</v>
      </c>
      <c r="M66" s="89">
        <f t="shared" si="6"/>
        <v>4.4303797468354444E-2</v>
      </c>
    </row>
    <row r="67" spans="2:13" ht="14.4" customHeight="1">
      <c r="B67" s="81"/>
      <c r="E67" s="89" t="s">
        <v>1038</v>
      </c>
      <c r="F67" s="89">
        <v>163</v>
      </c>
      <c r="G67" s="89" t="s">
        <v>1039</v>
      </c>
      <c r="H67" s="89" t="str">
        <f t="shared" si="1"/>
        <v>150</v>
      </c>
      <c r="I67" s="89" t="str">
        <f t="shared" si="2"/>
        <v>170</v>
      </c>
      <c r="J67" s="89">
        <f t="shared" si="3"/>
        <v>150</v>
      </c>
      <c r="K67" s="89">
        <f t="shared" si="4"/>
        <v>170</v>
      </c>
      <c r="L67" s="89">
        <f t="shared" si="5"/>
        <v>-7.9754601226993849E-2</v>
      </c>
      <c r="M67" s="89">
        <f t="shared" si="6"/>
        <v>4.2944785276073594E-2</v>
      </c>
    </row>
    <row r="68" spans="2:13" ht="14.4" customHeight="1">
      <c r="B68" s="81"/>
      <c r="E68" s="89" t="s">
        <v>1040</v>
      </c>
      <c r="F68" s="89">
        <v>168</v>
      </c>
      <c r="G68" s="89" t="s">
        <v>1041</v>
      </c>
      <c r="H68" s="89" t="str">
        <f t="shared" si="1"/>
        <v>155</v>
      </c>
      <c r="I68" s="89" t="str">
        <f t="shared" si="2"/>
        <v>175</v>
      </c>
      <c r="J68" s="89">
        <f t="shared" si="3"/>
        <v>155</v>
      </c>
      <c r="K68" s="89">
        <f t="shared" si="4"/>
        <v>175</v>
      </c>
      <c r="L68" s="89">
        <f t="shared" si="5"/>
        <v>-7.7380952380952328E-2</v>
      </c>
      <c r="M68" s="89">
        <f t="shared" si="6"/>
        <v>4.1666666666666741E-2</v>
      </c>
    </row>
    <row r="69" spans="2:13" ht="14.4" customHeight="1">
      <c r="B69" s="81"/>
      <c r="E69" s="89" t="s">
        <v>1042</v>
      </c>
      <c r="F69" s="89">
        <v>173</v>
      </c>
      <c r="G69" s="89" t="s">
        <v>1043</v>
      </c>
      <c r="H69" s="89" t="str">
        <f t="shared" si="1"/>
        <v>160</v>
      </c>
      <c r="I69" s="89" t="str">
        <f t="shared" si="2"/>
        <v>180</v>
      </c>
      <c r="J69" s="89">
        <f t="shared" si="3"/>
        <v>160</v>
      </c>
      <c r="K69" s="89">
        <f t="shared" si="4"/>
        <v>180</v>
      </c>
      <c r="L69" s="89">
        <f t="shared" si="5"/>
        <v>-7.5144508670520249E-2</v>
      </c>
      <c r="M69" s="89">
        <f t="shared" si="6"/>
        <v>4.0462427745664664E-2</v>
      </c>
    </row>
    <row r="70" spans="2:13" ht="14.4" customHeight="1">
      <c r="B70" s="81"/>
      <c r="E70" s="89" t="s">
        <v>1044</v>
      </c>
      <c r="F70" s="89">
        <v>178</v>
      </c>
      <c r="G70" s="89" t="s">
        <v>1045</v>
      </c>
      <c r="H70" s="89" t="str">
        <f t="shared" si="1"/>
        <v>165</v>
      </c>
      <c r="I70" s="89" t="str">
        <f t="shared" si="2"/>
        <v>185</v>
      </c>
      <c r="J70" s="89">
        <f t="shared" si="3"/>
        <v>165</v>
      </c>
      <c r="K70" s="89">
        <f t="shared" si="4"/>
        <v>185</v>
      </c>
      <c r="L70" s="89">
        <f t="shared" si="5"/>
        <v>-7.3033707865168496E-2</v>
      </c>
      <c r="M70" s="89">
        <f t="shared" si="6"/>
        <v>3.9325842696629199E-2</v>
      </c>
    </row>
    <row r="71" spans="2:13" ht="14.4" customHeight="1">
      <c r="B71" s="81"/>
      <c r="E71" s="89" t="s">
        <v>1046</v>
      </c>
      <c r="F71" s="89">
        <v>183</v>
      </c>
      <c r="G71" s="89" t="s">
        <v>1047</v>
      </c>
      <c r="H71" s="89" t="str">
        <f t="shared" si="1"/>
        <v>170</v>
      </c>
      <c r="I71" s="89" t="str">
        <f t="shared" si="2"/>
        <v>190</v>
      </c>
      <c r="J71" s="89">
        <f t="shared" si="3"/>
        <v>170</v>
      </c>
      <c r="K71" s="89">
        <f t="shared" si="4"/>
        <v>190</v>
      </c>
      <c r="L71" s="89">
        <f t="shared" si="5"/>
        <v>-7.1038251366120186E-2</v>
      </c>
      <c r="M71" s="89">
        <f t="shared" si="6"/>
        <v>3.8251366120218622E-2</v>
      </c>
    </row>
    <row r="72" spans="2:13" ht="14.4" customHeight="1">
      <c r="B72" s="81"/>
      <c r="E72" s="89" t="s">
        <v>1048</v>
      </c>
      <c r="F72" s="89">
        <v>188</v>
      </c>
      <c r="G72" s="89" t="s">
        <v>1049</v>
      </c>
      <c r="H72" s="89" t="str">
        <f t="shared" si="1"/>
        <v>175</v>
      </c>
      <c r="I72" s="89" t="str">
        <f t="shared" si="2"/>
        <v>195</v>
      </c>
      <c r="J72" s="89">
        <f t="shared" si="3"/>
        <v>175</v>
      </c>
      <c r="K72" s="89">
        <f t="shared" si="4"/>
        <v>195</v>
      </c>
      <c r="L72" s="89">
        <f t="shared" si="5"/>
        <v>-6.9148936170212782E-2</v>
      </c>
      <c r="M72" s="89">
        <f t="shared" si="6"/>
        <v>3.7234042553191404E-2</v>
      </c>
    </row>
    <row r="73" spans="2:13" ht="14.4" customHeight="1">
      <c r="B73" s="81"/>
      <c r="E73" s="89" t="s">
        <v>1050</v>
      </c>
      <c r="F73" s="89">
        <v>193</v>
      </c>
      <c r="G73" s="89" t="s">
        <v>1051</v>
      </c>
      <c r="H73" s="89" t="str">
        <f t="shared" si="1"/>
        <v>180</v>
      </c>
      <c r="I73" s="89" t="str">
        <f t="shared" si="2"/>
        <v>200</v>
      </c>
      <c r="J73" s="89">
        <f t="shared" si="3"/>
        <v>180</v>
      </c>
      <c r="K73" s="89">
        <f t="shared" si="4"/>
        <v>200</v>
      </c>
      <c r="L73" s="89">
        <f t="shared" si="5"/>
        <v>-6.7357512953367893E-2</v>
      </c>
      <c r="M73" s="89">
        <f t="shared" si="6"/>
        <v>3.6269430051813378E-2</v>
      </c>
    </row>
    <row r="74" spans="2:13" ht="14.4" customHeight="1">
      <c r="B74" s="81"/>
    </row>
    <row r="75" spans="2:13" ht="14.4" customHeight="1">
      <c r="B75" s="81"/>
      <c r="K75" s="89" t="s">
        <v>1052</v>
      </c>
      <c r="L75" s="57">
        <f>MIN(L62:L73)</f>
        <v>-8.7591240875912413E-2</v>
      </c>
      <c r="M75" s="57">
        <f>MAX(M62:M73)</f>
        <v>4.4303797468354444E-2</v>
      </c>
    </row>
    <row r="76" spans="2:13" ht="14.4" customHeight="1">
      <c r="B76" s="81"/>
      <c r="G76" s="53" t="s">
        <v>1053</v>
      </c>
      <c r="H76" s="53"/>
      <c r="L76" s="57"/>
      <c r="M76" s="57"/>
    </row>
    <row r="77" spans="2:13" ht="14.4" customHeight="1">
      <c r="B77" s="81"/>
      <c r="E77" s="53" t="s">
        <v>1054</v>
      </c>
      <c r="F77" s="53" t="s">
        <v>1055</v>
      </c>
      <c r="G77" s="84" t="s">
        <v>999</v>
      </c>
      <c r="H77" s="84" t="s">
        <v>980</v>
      </c>
      <c r="L77" s="57"/>
      <c r="M77" s="57"/>
    </row>
    <row r="78" spans="2:13" ht="14.4" customHeight="1">
      <c r="B78" s="81"/>
      <c r="E78" s="57">
        <v>0</v>
      </c>
      <c r="F78" s="89" t="b">
        <f>IF(AND($K$38&gt;E78,$K$38&lt;E80),TRUE,FALSE)</f>
        <v>0</v>
      </c>
      <c r="G78" s="57">
        <v>-0.09</v>
      </c>
      <c r="H78" s="57">
        <v>-0.04</v>
      </c>
      <c r="J78" s="89" t="s">
        <v>1056</v>
      </c>
      <c r="L78" s="57"/>
      <c r="M78" s="57"/>
    </row>
    <row r="79" spans="2:13" ht="14.4" customHeight="1">
      <c r="B79" s="81"/>
      <c r="E79" s="57">
        <v>0.15</v>
      </c>
      <c r="F79" s="89" t="b">
        <f>IF(AND($K$38&gt;E79,$K$38&lt;E80),TRUE,FALSE)</f>
        <v>0</v>
      </c>
      <c r="G79" s="57">
        <v>-0.08</v>
      </c>
      <c r="H79" s="57">
        <v>-0.03</v>
      </c>
      <c r="L79" s="57"/>
      <c r="M79" s="57"/>
    </row>
    <row r="80" spans="2:13" ht="14.4" customHeight="1">
      <c r="B80" s="81"/>
      <c r="E80" s="57">
        <v>0.3</v>
      </c>
      <c r="F80" s="89" t="b">
        <f>IF(AND($K$38&gt;E80,$K$38&lt;E81),TRUE,FALSE)</f>
        <v>0</v>
      </c>
      <c r="G80" s="57">
        <v>-7.0000000000000007E-2</v>
      </c>
      <c r="H80" s="57">
        <v>0</v>
      </c>
      <c r="L80" s="57"/>
      <c r="M80" s="57"/>
    </row>
    <row r="81" spans="2:13" ht="14.4" customHeight="1">
      <c r="B81" s="81"/>
      <c r="E81" s="57">
        <v>0.45</v>
      </c>
      <c r="F81" s="89" t="b">
        <f>IF(AND($K$38&gt;E81,$K$38&lt;E82),TRUE,FALSE)</f>
        <v>1</v>
      </c>
      <c r="G81" s="57">
        <v>-0.06</v>
      </c>
      <c r="H81" s="57">
        <v>0.02</v>
      </c>
      <c r="L81" s="57"/>
      <c r="M81" s="57"/>
    </row>
    <row r="82" spans="2:13" ht="14.4" customHeight="1">
      <c r="B82" s="81"/>
      <c r="E82" s="57">
        <v>0.8</v>
      </c>
      <c r="F82" s="89" t="b">
        <f>IF(AND($K$38&gt;E82,$K$38&lt;E83),TRUE,FALSE)</f>
        <v>0</v>
      </c>
      <c r="G82" s="57">
        <v>-0.05</v>
      </c>
      <c r="H82" s="57">
        <v>0.03</v>
      </c>
      <c r="L82" s="57"/>
      <c r="M82" s="57"/>
    </row>
    <row r="83" spans="2:13" ht="14.4" customHeight="1">
      <c r="B83" s="81"/>
      <c r="E83" s="57">
        <v>1</v>
      </c>
      <c r="F83" s="88" t="s">
        <v>27</v>
      </c>
      <c r="G83" s="88" t="s">
        <v>27</v>
      </c>
      <c r="H83" s="88" t="s">
        <v>27</v>
      </c>
      <c r="L83" s="57"/>
      <c r="M83" s="57"/>
    </row>
    <row r="84" spans="2:13" ht="14.4" customHeight="1">
      <c r="B84" s="81"/>
      <c r="E84" s="57"/>
      <c r="L84" s="57"/>
      <c r="M84" s="57"/>
    </row>
    <row r="85" spans="2:13" s="48" customFormat="1" ht="14.4" customHeight="1">
      <c r="C85" s="51" t="s">
        <v>135</v>
      </c>
      <c r="D85" s="90"/>
      <c r="E85" s="49"/>
    </row>
    <row r="86" spans="2:13" ht="14.4" customHeight="1">
      <c r="B86" s="81"/>
      <c r="L86" s="57"/>
      <c r="M86" s="57"/>
    </row>
    <row r="87" spans="2:13" ht="14.4" customHeight="1">
      <c r="B87" s="81"/>
      <c r="E87" s="164" t="s">
        <v>1006</v>
      </c>
      <c r="F87" s="164" t="s">
        <v>1057</v>
      </c>
      <c r="G87" s="89" t="s">
        <v>999</v>
      </c>
      <c r="H87" s="89" t="s">
        <v>980</v>
      </c>
      <c r="L87" s="57"/>
      <c r="M87" s="57"/>
    </row>
    <row r="88" spans="2:13" ht="14.4" customHeight="1">
      <c r="B88" s="81"/>
      <c r="E88" s="168" t="s">
        <v>80</v>
      </c>
      <c r="F88" s="168" t="s">
        <v>1058</v>
      </c>
      <c r="G88" s="89">
        <v>70</v>
      </c>
      <c r="H88" s="89">
        <v>85</v>
      </c>
      <c r="L88" s="57"/>
      <c r="M88" s="57"/>
    </row>
    <row r="89" spans="2:13" ht="14.4" customHeight="1">
      <c r="B89" s="81"/>
      <c r="E89" s="168" t="s">
        <v>1059</v>
      </c>
      <c r="F89" s="168" t="s">
        <v>1060</v>
      </c>
      <c r="G89" s="89">
        <v>85</v>
      </c>
      <c r="H89" s="89">
        <v>96</v>
      </c>
      <c r="L89" s="57"/>
      <c r="M89" s="57"/>
    </row>
    <row r="90" spans="2:13" ht="28.8" customHeight="1">
      <c r="B90" s="81"/>
      <c r="E90" s="168" t="s">
        <v>1061</v>
      </c>
      <c r="F90" s="168" t="s">
        <v>1062</v>
      </c>
      <c r="G90" s="89">
        <v>96</v>
      </c>
      <c r="H90" s="89">
        <v>109</v>
      </c>
      <c r="L90" s="57"/>
      <c r="M90" s="57"/>
    </row>
    <row r="91" spans="2:13" ht="14.4" customHeight="1">
      <c r="B91" s="81"/>
      <c r="E91" s="168" t="s">
        <v>83</v>
      </c>
      <c r="F91" s="168" t="s">
        <v>1063</v>
      </c>
      <c r="G91" s="89">
        <v>109</v>
      </c>
      <c r="H91" s="89">
        <v>115</v>
      </c>
      <c r="L91" s="57"/>
      <c r="M91" s="57"/>
    </row>
    <row r="92" spans="2:13" ht="14.4" customHeight="1">
      <c r="B92" s="81"/>
      <c r="E92" s="168" t="s">
        <v>1064</v>
      </c>
      <c r="F92" s="168" t="s">
        <v>1065</v>
      </c>
      <c r="G92" s="89">
        <v>115</v>
      </c>
      <c r="H92" s="89">
        <v>130</v>
      </c>
      <c r="L92" s="57"/>
      <c r="M92" s="57"/>
    </row>
    <row r="93" spans="2:13" ht="14.4" customHeight="1">
      <c r="B93" s="81"/>
      <c r="L93" s="57"/>
      <c r="M93" s="57"/>
    </row>
    <row r="94" spans="2:13" ht="14.4" customHeight="1">
      <c r="B94" s="81"/>
      <c r="E94" s="89" t="s">
        <v>1066</v>
      </c>
      <c r="F94" s="89" t="s">
        <v>1067</v>
      </c>
      <c r="G94" s="89" t="s">
        <v>1068</v>
      </c>
      <c r="H94" s="89" t="s">
        <v>999</v>
      </c>
      <c r="I94" s="89" t="s">
        <v>980</v>
      </c>
      <c r="J94" s="89" t="s">
        <v>1069</v>
      </c>
      <c r="K94" s="89" t="s">
        <v>1070</v>
      </c>
      <c r="L94" s="89" t="s">
        <v>1071</v>
      </c>
      <c r="M94" s="57" t="s">
        <v>1072</v>
      </c>
    </row>
    <row r="95" spans="2:13" ht="14.4" customHeight="1">
      <c r="B95" s="81"/>
      <c r="E95" s="89" t="s">
        <v>1073</v>
      </c>
      <c r="F95" s="89" t="s">
        <v>1074</v>
      </c>
      <c r="G95" s="57">
        <v>0.92</v>
      </c>
      <c r="H95" s="89">
        <v>70</v>
      </c>
      <c r="I95" s="89">
        <v>85</v>
      </c>
      <c r="J95" s="57" t="b">
        <f>$G$22&gt;G95</f>
        <v>0</v>
      </c>
      <c r="K95" s="57" t="b">
        <f>J95</f>
        <v>0</v>
      </c>
      <c r="L95" s="89">
        <f t="shared" ref="L95:L100" si="7">IF(J95,1,0)</f>
        <v>0</v>
      </c>
      <c r="M95" s="57"/>
    </row>
    <row r="96" spans="2:13" ht="14.4" customHeight="1">
      <c r="B96" s="81"/>
      <c r="E96" s="89" t="s">
        <v>987</v>
      </c>
      <c r="F96" s="89" t="s">
        <v>1074</v>
      </c>
      <c r="G96" s="57">
        <v>0.08</v>
      </c>
      <c r="H96" s="89">
        <v>85</v>
      </c>
      <c r="I96" s="89">
        <v>95</v>
      </c>
      <c r="J96" s="89" t="b">
        <f>$G$27&gt;G96</f>
        <v>1</v>
      </c>
      <c r="K96" s="89" t="b">
        <f>IF(J96,IF(J97,FALSE,J96),J96)</f>
        <v>0</v>
      </c>
      <c r="L96" s="89">
        <f t="shared" si="7"/>
        <v>1</v>
      </c>
      <c r="M96" s="57"/>
    </row>
    <row r="97" spans="2:13" ht="14.4" customHeight="1">
      <c r="B97" s="81"/>
      <c r="E97" s="89" t="s">
        <v>987</v>
      </c>
      <c r="F97" s="89" t="s">
        <v>1074</v>
      </c>
      <c r="G97" s="57">
        <v>0.25</v>
      </c>
      <c r="H97" s="89">
        <v>90</v>
      </c>
      <c r="I97" s="89">
        <v>100</v>
      </c>
      <c r="J97" s="57" t="b">
        <f>$G$27&gt;G97</f>
        <v>1</v>
      </c>
      <c r="K97" s="89" t="b">
        <f>IF(J97,IF(J98,FALSE,J97),J97)</f>
        <v>0</v>
      </c>
      <c r="L97" s="89">
        <f t="shared" si="7"/>
        <v>1</v>
      </c>
      <c r="M97" s="57"/>
    </row>
    <row r="98" spans="2:13" ht="14.4" customHeight="1">
      <c r="B98" s="81"/>
      <c r="E98" s="89" t="s">
        <v>83</v>
      </c>
      <c r="F98" s="89" t="s">
        <v>1074</v>
      </c>
      <c r="G98" s="57">
        <v>0.2</v>
      </c>
      <c r="H98" s="89">
        <v>95</v>
      </c>
      <c r="I98" s="89">
        <v>105</v>
      </c>
      <c r="J98" s="57" t="b">
        <f>$G$25&gt;G98</f>
        <v>1</v>
      </c>
      <c r="K98" s="89" t="b">
        <f>IF(J98,IF(J99,FALSE,J98),J98)</f>
        <v>0</v>
      </c>
      <c r="L98" s="89">
        <f t="shared" si="7"/>
        <v>1</v>
      </c>
      <c r="M98" s="57"/>
    </row>
    <row r="99" spans="2:13" ht="14.4" customHeight="1">
      <c r="B99" s="81"/>
      <c r="E99" s="89" t="s">
        <v>83</v>
      </c>
      <c r="F99" s="89" t="s">
        <v>1074</v>
      </c>
      <c r="G99" s="57">
        <v>0.3</v>
      </c>
      <c r="H99" s="89">
        <v>100</v>
      </c>
      <c r="I99" s="89">
        <v>112</v>
      </c>
      <c r="J99" s="57" t="b">
        <f>$G$25&gt;G99</f>
        <v>1</v>
      </c>
      <c r="K99" s="89" t="b">
        <f>IF(J99,IF(J100,FALSE,J99),J99)</f>
        <v>1</v>
      </c>
      <c r="L99" s="89">
        <f t="shared" si="7"/>
        <v>1</v>
      </c>
      <c r="M99" s="57"/>
    </row>
    <row r="100" spans="2:13" ht="14.4" customHeight="1">
      <c r="B100" s="81"/>
      <c r="E100" s="89" t="s">
        <v>83</v>
      </c>
      <c r="F100" s="89" t="s">
        <v>1074</v>
      </c>
      <c r="G100" s="57">
        <v>0.75</v>
      </c>
      <c r="H100" s="89">
        <v>105</v>
      </c>
      <c r="I100" s="89">
        <v>130</v>
      </c>
      <c r="J100" s="57" t="b">
        <f>$G$25&gt;G100</f>
        <v>0</v>
      </c>
      <c r="K100" s="57" t="b">
        <f>J100</f>
        <v>0</v>
      </c>
      <c r="L100" s="89">
        <f t="shared" si="7"/>
        <v>0</v>
      </c>
      <c r="M100" s="57"/>
    </row>
    <row r="101" spans="2:13" ht="14.4" customHeight="1">
      <c r="B101" s="81"/>
      <c r="L101" s="57"/>
      <c r="M101" s="57"/>
    </row>
    <row r="102" spans="2:13" ht="14.4" customHeight="1">
      <c r="B102" s="81"/>
      <c r="E102" s="106" t="s">
        <v>1075</v>
      </c>
      <c r="L102" s="57"/>
      <c r="M102" s="57"/>
    </row>
    <row r="103" spans="2:13" ht="14.4" customHeight="1">
      <c r="B103" s="81"/>
      <c r="E103" s="89" t="s">
        <v>1076</v>
      </c>
      <c r="L103" s="57"/>
      <c r="M103" s="57"/>
    </row>
    <row r="104" spans="2:13" ht="14.4" customHeight="1">
      <c r="B104" s="81"/>
      <c r="E104" s="89" t="s">
        <v>1077</v>
      </c>
      <c r="L104" s="57"/>
      <c r="M104" s="57"/>
    </row>
    <row r="105" spans="2:13" ht="14.4" customHeight="1">
      <c r="B105" s="81"/>
      <c r="E105" s="89" t="s">
        <v>1078</v>
      </c>
      <c r="L105" s="57"/>
      <c r="M105" s="57"/>
    </row>
    <row r="106" spans="2:13" ht="14.4" customHeight="1">
      <c r="B106" s="81"/>
      <c r="E106" s="89" t="s">
        <v>1079</v>
      </c>
      <c r="L106" s="57"/>
      <c r="M106" s="57"/>
    </row>
    <row r="107" spans="2:13" ht="14.4" customHeight="1">
      <c r="B107" s="81"/>
      <c r="E107" s="89" t="s">
        <v>1080</v>
      </c>
      <c r="L107" s="57"/>
      <c r="M107" s="57"/>
    </row>
    <row r="108" spans="2:13" ht="14.4" customHeight="1">
      <c r="B108" s="81"/>
      <c r="E108" s="89" t="s">
        <v>1081</v>
      </c>
      <c r="L108" s="57"/>
      <c r="M108" s="57"/>
    </row>
    <row r="109" spans="2:13" ht="14.4" customHeight="1">
      <c r="B109" s="81"/>
      <c r="E109" s="89" t="s">
        <v>1082</v>
      </c>
    </row>
    <row r="110" spans="2:13" ht="14.4" customHeight="1">
      <c r="B110" s="81"/>
    </row>
    <row r="111" spans="2:13" ht="14.4" customHeight="1">
      <c r="B111" s="81"/>
    </row>
    <row r="112" spans="2:13" ht="14.4" customHeight="1">
      <c r="B112" s="81"/>
    </row>
    <row r="113" spans="2:16" ht="14.4" customHeight="1">
      <c r="B113" s="81"/>
    </row>
    <row r="114" spans="2:16" s="48" customFormat="1" ht="14.4" customHeight="1">
      <c r="C114" s="51" t="s">
        <v>134</v>
      </c>
      <c r="D114" s="90"/>
      <c r="E114" s="49"/>
    </row>
    <row r="115" spans="2:16" ht="14.4" customHeight="1">
      <c r="B115" s="81"/>
    </row>
    <row r="116" spans="2:16" ht="14.4" customHeight="1">
      <c r="B116" s="81"/>
      <c r="F116" s="89" t="s">
        <v>1083</v>
      </c>
      <c r="L116" s="89" t="s">
        <v>143</v>
      </c>
    </row>
    <row r="117" spans="2:16" ht="14.4" customHeight="1">
      <c r="B117" s="81"/>
      <c r="F117" s="89" t="s">
        <v>1084</v>
      </c>
      <c r="J117" s="89" t="s">
        <v>980</v>
      </c>
      <c r="L117" s="89" t="s">
        <v>1084</v>
      </c>
      <c r="P117" s="89" t="s">
        <v>980</v>
      </c>
    </row>
    <row r="118" spans="2:16" ht="14.4" customHeight="1">
      <c r="B118" s="81"/>
      <c r="E118" s="106" t="s">
        <v>1085</v>
      </c>
      <c r="F118" s="57">
        <v>0</v>
      </c>
      <c r="G118" s="57">
        <v>0.25</v>
      </c>
      <c r="H118" s="57">
        <v>0.5</v>
      </c>
      <c r="I118" s="57">
        <v>0.75</v>
      </c>
      <c r="J118" s="57">
        <v>1</v>
      </c>
      <c r="L118" s="57">
        <v>0</v>
      </c>
      <c r="M118" s="57">
        <v>0.25</v>
      </c>
      <c r="N118" s="57">
        <v>0.5</v>
      </c>
      <c r="O118" s="57">
        <v>0.75</v>
      </c>
      <c r="P118" s="57">
        <v>1</v>
      </c>
    </row>
    <row r="119" spans="2:16" ht="14.4" customHeight="1">
      <c r="B119" s="81"/>
      <c r="E119" s="89" t="s">
        <v>169</v>
      </c>
      <c r="F119" s="66">
        <f t="array" ref="F119">PERCENTILE(IF(Table4[ [ Powder] ]=$E119,Table4[Tip Height (mm)]),F$118)</f>
        <v>34</v>
      </c>
      <c r="G119" s="66">
        <f t="array" ref="G119">PERCENTILE(IF(Table4[ [ Powder] ]=$E119,Table4[Tip Height (mm)]),G$118)</f>
        <v>50</v>
      </c>
      <c r="H119" s="66">
        <f t="array" ref="H119">PERCENTILE(IF(Table4[ [ Powder] ]=$E119,Table4[Tip Height (mm)]),H$118)</f>
        <v>55</v>
      </c>
      <c r="I119" s="66">
        <f t="array" ref="I119">PERCENTILE(IF(Table4[ [ Powder] ]=$E119,Table4[Tip Height (mm)]),I$118)</f>
        <v>61.5</v>
      </c>
      <c r="J119" s="66">
        <f t="array" ref="J119">PERCENTILE(IF(Table4[ [ Powder] ]=$E119,Table4[Tip Height (mm)]),J$118)</f>
        <v>83</v>
      </c>
      <c r="L119" s="66">
        <f t="array" ref="L119">PERCENTILE(IF(Table4[ [ Powder] ]=$E119,Table4[Waist width (mm) ]),L$118)</f>
        <v>104</v>
      </c>
      <c r="M119" s="66">
        <f t="array" ref="M119">PERCENTILE(IF(Table4[ [ Powder] ]=$E119,Table4[Waist width (mm) ]),M$118)</f>
        <v>106.5</v>
      </c>
      <c r="N119" s="66">
        <f t="array" ref="N119">PERCENTILE(IF(Table4[ [ Powder] ]=$E119,Table4[Waist width (mm) ]),N$118)</f>
        <v>108</v>
      </c>
      <c r="O119" s="66">
        <f t="array" ref="O119">PERCENTILE(IF(Table4[ [ Powder] ]=$E119,Table4[Waist width (mm) ]),O$118)</f>
        <v>112</v>
      </c>
      <c r="P119" s="66">
        <f t="array" ref="P119">PERCENTILE(IF(Table4[ [ Powder] ]=$E119,Table4[Waist width (mm) ]),P$118)</f>
        <v>125</v>
      </c>
    </row>
    <row r="120" spans="2:16" ht="14.4" customHeight="1">
      <c r="B120" s="81"/>
      <c r="E120" s="89" t="s">
        <v>185</v>
      </c>
      <c r="F120" s="66">
        <f t="array" ref="F120">PERCENTILE(IF(Table4[ [ Powder] ]=$E120,Table4[Tip Height (mm)]),F$118)</f>
        <v>33</v>
      </c>
      <c r="G120" s="66">
        <f t="array" ref="G120">PERCENTILE(IF(Table4[ [ Powder] ]=$E120,Table4[Tip Height (mm)]),G$118)</f>
        <v>46</v>
      </c>
      <c r="H120" s="66">
        <f t="array" ref="H120">PERCENTILE(IF(Table4[ [ Powder] ]=$E120,Table4[Tip Height (mm)]),H$118)</f>
        <v>52</v>
      </c>
      <c r="I120" s="66">
        <f t="array" ref="I120">PERCENTILE(IF(Table4[ [ Powder] ]=$E120,Table4[Tip Height (mm)]),I$118)</f>
        <v>56</v>
      </c>
      <c r="J120" s="66">
        <f t="array" ref="J120">PERCENTILE(IF(Table4[ [ Powder] ]=$E120,Table4[Tip Height (mm)]),J$118)</f>
        <v>75</v>
      </c>
      <c r="L120" s="66">
        <f t="array" ref="L120">PERCENTILE(IF(Table4[ [ Powder] ]=$E120,Table4[Waist width (mm) ]),L$118)</f>
        <v>78</v>
      </c>
      <c r="M120" s="66">
        <f t="array" ref="M120">PERCENTILE(IF(Table4[ [ Powder] ]=$E120,Table4[Waist width (mm) ]),M$118)</f>
        <v>87</v>
      </c>
      <c r="N120" s="66">
        <f t="array" ref="N120">PERCENTILE(IF(Table4[ [ Powder] ]=$E120,Table4[Waist width (mm) ]),N$118)</f>
        <v>93</v>
      </c>
      <c r="O120" s="66">
        <f t="array" ref="O120">PERCENTILE(IF(Table4[ [ Powder] ]=$E120,Table4[Waist width (mm) ]),O$118)</f>
        <v>96</v>
      </c>
      <c r="P120" s="66">
        <f t="array" ref="P120">PERCENTILE(IF(Table4[ [ Powder] ]=$E120,Table4[Waist width (mm) ]),P$118)</f>
        <v>100</v>
      </c>
    </row>
    <row r="121" spans="2:16" ht="14.4" customHeight="1">
      <c r="B121" s="81"/>
      <c r="E121" s="89" t="s">
        <v>184</v>
      </c>
      <c r="F121" s="66">
        <f t="array" ref="F121">PERCENTILE(IF(Table4[ [ Powder] ]=$E121,Table4[Tip Height (mm)]),F$118)</f>
        <v>36</v>
      </c>
      <c r="G121" s="66">
        <f t="array" ref="G121">PERCENTILE(IF(Table4[ [ Powder] ]=$E121,Table4[Tip Height (mm)]),G$118)</f>
        <v>43</v>
      </c>
      <c r="H121" s="66">
        <f t="array" ref="H121">PERCENTILE(IF(Table4[ [ Powder] ]=$E121,Table4[Tip Height (mm)]),H$118)</f>
        <v>47</v>
      </c>
      <c r="I121" s="66">
        <f t="array" ref="I121">PERCENTILE(IF(Table4[ [ Powder] ]=$E121,Table4[Tip Height (mm)]),I$118)</f>
        <v>54.75</v>
      </c>
      <c r="J121" s="66">
        <f t="array" ref="J121">PERCENTILE(IF(Table4[ [ Powder] ]=$E121,Table4[Tip Height (mm)]),J$118)</f>
        <v>70</v>
      </c>
      <c r="L121" s="66">
        <f t="array" ref="L121">PERCENTILE(IF(Table4[ [ Powder] ]=$E121,Table4[Waist width (mm) ]),L$118)</f>
        <v>75</v>
      </c>
      <c r="M121" s="66">
        <f t="array" ref="M121">PERCENTILE(IF(Table4[ [ Powder] ]=$E121,Table4[Waist width (mm) ]),M$118)</f>
        <v>89</v>
      </c>
      <c r="N121" s="66">
        <f t="array" ref="N121">PERCENTILE(IF(Table4[ [ Powder] ]=$E121,Table4[Waist width (mm) ]),N$118)</f>
        <v>94.5</v>
      </c>
      <c r="O121" s="66">
        <f t="array" ref="O121">PERCENTILE(IF(Table4[ [ Powder] ]=$E121,Table4[Waist width (mm) ]),O$118)</f>
        <v>105.75</v>
      </c>
      <c r="P121" s="66">
        <f t="array" ref="P121">PERCENTILE(IF(Table4[ [ Powder] ]=$E121,Table4[Waist width (mm) ]),P$118)</f>
        <v>125</v>
      </c>
    </row>
    <row r="122" spans="2:16" ht="14.4" customHeight="1">
      <c r="B122" s="81"/>
      <c r="E122" s="89" t="s">
        <v>178</v>
      </c>
      <c r="F122" s="66">
        <f t="array" ref="F122">PERCENTILE(IF(Table4[ [ Powder] ]=$E122,Table4[Tip Height (mm)]),F$118)</f>
        <v>42</v>
      </c>
      <c r="G122" s="66">
        <f t="array" ref="G122">PERCENTILE(IF(Table4[ [ Powder] ]=$E122,Table4[Tip Height (mm)]),G$118)</f>
        <v>46</v>
      </c>
      <c r="H122" s="66">
        <f t="array" ref="H122">PERCENTILE(IF(Table4[ [ Powder] ]=$E122,Table4[Tip Height (mm)]),H$118)</f>
        <v>49</v>
      </c>
      <c r="I122" s="66">
        <f t="array" ref="I122">PERCENTILE(IF(Table4[ [ Powder] ]=$E122,Table4[Tip Height (mm)]),I$118)</f>
        <v>58</v>
      </c>
      <c r="J122" s="66">
        <f t="array" ref="J122">PERCENTILE(IF(Table4[ [ Powder] ]=$E122,Table4[Tip Height (mm)]),J$118)</f>
        <v>69</v>
      </c>
      <c r="L122" s="66">
        <f t="array" ref="L122">PERCENTILE(IF(Table4[ [ Powder] ]=$E122,Table4[Waist width (mm) ]),L$118)</f>
        <v>101</v>
      </c>
      <c r="M122" s="66">
        <f t="array" ref="M122">PERCENTILE(IF(Table4[ [ Powder] ]=$E122,Table4[Waist width (mm) ]),M$118)</f>
        <v>105</v>
      </c>
      <c r="N122" s="66">
        <f t="array" ref="N122">PERCENTILE(IF(Table4[ [ Powder] ]=$E122,Table4[Waist width (mm) ]),N$118)</f>
        <v>106</v>
      </c>
      <c r="O122" s="66">
        <f t="array" ref="O122">PERCENTILE(IF(Table4[ [ Powder] ]=$E122,Table4[Waist width (mm) ]),O$118)</f>
        <v>108.5</v>
      </c>
      <c r="P122" s="66">
        <f t="array" ref="P122">PERCENTILE(IF(Table4[ [ Powder] ]=$E122,Table4[Waist width (mm) ]),P$118)</f>
        <v>127</v>
      </c>
    </row>
    <row r="123" spans="2:16" ht="14.4" customHeight="1">
      <c r="B123" s="81"/>
      <c r="E123" s="89" t="s">
        <v>188</v>
      </c>
      <c r="F123" s="66">
        <f t="array" ref="F123">PERCENTILE(IF(Table4[ [ Powder] ]=$E123,Table4[Tip Height (mm)]),F$118)</f>
        <v>30</v>
      </c>
      <c r="G123" s="66">
        <f t="array" ref="G123">PERCENTILE(IF(Table4[ [ Powder] ]=$E123,Table4[Tip Height (mm)]),G$118)</f>
        <v>45</v>
      </c>
      <c r="H123" s="66">
        <f t="array" ref="H123">PERCENTILE(IF(Table4[ [ Powder] ]=$E123,Table4[Tip Height (mm)]),H$118)</f>
        <v>49</v>
      </c>
      <c r="I123" s="66">
        <f t="array" ref="I123">PERCENTILE(IF(Table4[ [ Powder] ]=$E123,Table4[Tip Height (mm)]),I$118)</f>
        <v>53</v>
      </c>
      <c r="J123" s="66">
        <f t="array" ref="J123">PERCENTILE(IF(Table4[ [ Powder] ]=$E123,Table4[Tip Height (mm)]),J$118)</f>
        <v>73</v>
      </c>
      <c r="L123" s="66">
        <f t="array" ref="L123">PERCENTILE(IF(Table4[ [ Powder] ]=$E123,Table4[Waist width (mm) ]),L$118)</f>
        <v>80</v>
      </c>
      <c r="M123" s="66">
        <f t="array" ref="M123">PERCENTILE(IF(Table4[ [ Powder] ]=$E123,Table4[Waist width (mm) ]),M$118)</f>
        <v>88</v>
      </c>
      <c r="N123" s="66">
        <f t="array" ref="N123">PERCENTILE(IF(Table4[ [ Powder] ]=$E123,Table4[Waist width (mm) ]),N$118)</f>
        <v>94</v>
      </c>
      <c r="O123" s="66">
        <f t="array" ref="O123">PERCENTILE(IF(Table4[ [ Powder] ]=$E123,Table4[Waist width (mm) ]),O$118)</f>
        <v>98</v>
      </c>
      <c r="P123" s="66">
        <f t="array" ref="P123">PERCENTILE(IF(Table4[ [ Powder] ]=$E123,Table4[Waist width (mm) ]),P$118)</f>
        <v>105</v>
      </c>
    </row>
    <row r="124" spans="2:16" ht="14.4" customHeight="1">
      <c r="B124" s="81"/>
      <c r="E124" s="89" t="s">
        <v>231</v>
      </c>
      <c r="F124" s="66">
        <f t="array" ref="F124">PERCENTILE(IF(Table4[ [ Powder] ]=$E124,Table4[Tip Height (mm)]),F$118)</f>
        <v>34</v>
      </c>
      <c r="G124" s="66">
        <f t="array" ref="G124">PERCENTILE(IF(Table4[ [ Powder] ]=$E124,Table4[Tip Height (mm)]),G$118)</f>
        <v>40</v>
      </c>
      <c r="H124" s="66">
        <f t="array" ref="H124">PERCENTILE(IF(Table4[ [ Powder] ]=$E124,Table4[Tip Height (mm)]),H$118)</f>
        <v>43</v>
      </c>
      <c r="I124" s="66">
        <f t="array" ref="I124">PERCENTILE(IF(Table4[ [ Powder] ]=$E124,Table4[Tip Height (mm)]),I$118)</f>
        <v>49</v>
      </c>
      <c r="J124" s="66">
        <f t="array" ref="J124">PERCENTILE(IF(Table4[ [ Powder] ]=$E124,Table4[Tip Height (mm)]),J$118)</f>
        <v>62</v>
      </c>
      <c r="L124" s="66">
        <f t="array" ref="L124">PERCENTILE(IF(Table4[ [ Powder] ]=$E124,Table4[Waist width (mm) ]),L$118)</f>
        <v>72</v>
      </c>
      <c r="M124" s="66">
        <f t="array" ref="M124">PERCENTILE(IF(Table4[ [ Powder] ]=$E124,Table4[Waist width (mm) ]),M$118)</f>
        <v>81</v>
      </c>
      <c r="N124" s="66">
        <f t="array" ref="N124">PERCENTILE(IF(Table4[ [ Powder] ]=$E124,Table4[Waist width (mm) ]),N$118)</f>
        <v>83</v>
      </c>
      <c r="O124" s="66">
        <f t="array" ref="O124">PERCENTILE(IF(Table4[ [ Powder] ]=$E124,Table4[Waist width (mm) ]),O$118)</f>
        <v>84</v>
      </c>
      <c r="P124" s="66">
        <f t="array" ref="P124">PERCENTILE(IF(Table4[ [ Powder] ]=$E124,Table4[Waist width (mm) ]),P$118)</f>
        <v>85</v>
      </c>
    </row>
    <row r="125" spans="2:16" ht="14.4" customHeight="1">
      <c r="B125" s="81"/>
      <c r="E125" s="89" t="s">
        <v>349</v>
      </c>
      <c r="F125" s="66">
        <f t="array" ref="F125">PERCENTILE(IF(Table4[ [ Powder] ]=$E125,Table4[Tip Height (mm)]),F$118)</f>
        <v>24</v>
      </c>
      <c r="G125" s="66">
        <f t="array" ref="G125">PERCENTILE(IF(Table4[ [ Powder] ]=$E125,Table4[Tip Height (mm)]),G$118)</f>
        <v>35</v>
      </c>
      <c r="H125" s="66">
        <f t="array" ref="H125">PERCENTILE(IF(Table4[ [ Powder] ]=$E125,Table4[Tip Height (mm)]),H$118)</f>
        <v>38</v>
      </c>
      <c r="I125" s="66">
        <f t="array" ref="I125">PERCENTILE(IF(Table4[ [ Powder] ]=$E125,Table4[Tip Height (mm)]),I$118)</f>
        <v>40</v>
      </c>
      <c r="J125" s="66">
        <f t="array" ref="J125">PERCENTILE(IF(Table4[ [ Powder] ]=$E125,Table4[Tip Height (mm)]),J$118)</f>
        <v>55</v>
      </c>
      <c r="L125" s="66">
        <f t="array" ref="L125">PERCENTILE(IF(Table4[ [ Powder] ]=$E125,Table4[Waist width (mm) ]),L$118)</f>
        <v>64</v>
      </c>
      <c r="M125" s="66">
        <f t="array" ref="M125">PERCENTILE(IF(Table4[ [ Powder] ]=$E125,Table4[Waist width (mm) ]),M$118)</f>
        <v>70</v>
      </c>
      <c r="N125" s="66">
        <f t="array" ref="N125">PERCENTILE(IF(Table4[ [ Powder] ]=$E125,Table4[Waist width (mm) ]),N$118)</f>
        <v>73</v>
      </c>
      <c r="O125" s="66">
        <f t="array" ref="O125">PERCENTILE(IF(Table4[ [ Powder] ]=$E125,Table4[Waist width (mm) ]),O$118)</f>
        <v>76</v>
      </c>
      <c r="P125" s="66">
        <f t="array" ref="P125">PERCENTILE(IF(Table4[ [ Powder] ]=$E125,Table4[Waist width (mm) ]),P$118)</f>
        <v>84</v>
      </c>
    </row>
    <row r="126" spans="2:16" ht="14.4" customHeight="1">
      <c r="B126" s="81"/>
      <c r="E126" s="89" t="s">
        <v>160</v>
      </c>
      <c r="F126" s="66">
        <f t="array" ref="F126">PERCENTILE(IF(Table4[ [ Powder] ]=$E126,Table4[Tip Height (mm)]),F$118)</f>
        <v>31</v>
      </c>
      <c r="G126" s="66">
        <f t="array" ref="G126">PERCENTILE(IF(Table4[ [ Powder] ]=$E126,Table4[Tip Height (mm)]),G$118)</f>
        <v>38</v>
      </c>
      <c r="H126" s="66">
        <f t="array" ref="H126">PERCENTILE(IF(Table4[ [ Powder] ]=$E126,Table4[Tip Height (mm)]),H$118)</f>
        <v>47</v>
      </c>
      <c r="I126" s="66">
        <f t="array" ref="I126">PERCENTILE(IF(Table4[ [ Powder] ]=$E126,Table4[Tip Height (mm)]),I$118)</f>
        <v>49</v>
      </c>
      <c r="J126" s="66">
        <f t="array" ref="J126">PERCENTILE(IF(Table4[ [ Powder] ]=$E126,Table4[Tip Height (mm)]),J$118)</f>
        <v>59</v>
      </c>
      <c r="L126" s="66">
        <f t="array" ref="L126">PERCENTILE(IF(Table4[ [ Powder] ]=$E126,Table4[Waist width (mm) ]),L$118)</f>
        <v>67</v>
      </c>
      <c r="M126" s="66">
        <f t="array" ref="M126">PERCENTILE(IF(Table4[ [ Powder] ]=$E126,Table4[Waist width (mm) ]),M$118)</f>
        <v>74</v>
      </c>
      <c r="N126" s="66">
        <f t="array" ref="N126">PERCENTILE(IF(Table4[ [ Powder] ]=$E126,Table4[Waist width (mm) ]),N$118)</f>
        <v>79</v>
      </c>
      <c r="O126" s="66">
        <f t="array" ref="O126">PERCENTILE(IF(Table4[ [ Powder] ]=$E126,Table4[Waist width (mm) ]),O$118)</f>
        <v>80</v>
      </c>
      <c r="P126" s="66">
        <f t="array" ref="P126">PERCENTILE(IF(Table4[ [ Powder] ]=$E126,Table4[Waist width (mm) ]),P$118)</f>
        <v>98</v>
      </c>
    </row>
    <row r="127" spans="2:16" ht="14.4" customHeight="1">
      <c r="B127" s="81"/>
    </row>
    <row r="128" spans="2:16" ht="26.4" customHeight="1">
      <c r="B128" s="81"/>
      <c r="E128" s="219" t="s">
        <v>1086</v>
      </c>
      <c r="F128" s="41">
        <v>30</v>
      </c>
      <c r="G128" s="58" t="s">
        <v>1087</v>
      </c>
    </row>
    <row r="129" spans="2:5" ht="14.4" customHeight="1">
      <c r="B129" s="81"/>
    </row>
    <row r="130" spans="2:5" ht="14.4" customHeight="1">
      <c r="E130" s="81"/>
    </row>
    <row r="131" spans="2:5" s="24" customFormat="1">
      <c r="C131" s="25" t="s">
        <v>1088</v>
      </c>
    </row>
    <row r="132" spans="2:5" s="48" customFormat="1" ht="14.4" customHeight="1">
      <c r="D132" s="49" t="s">
        <v>1089</v>
      </c>
      <c r="E132" s="49"/>
    </row>
    <row r="133" spans="2:5" ht="14.4" customHeight="1">
      <c r="E133" s="81"/>
    </row>
    <row r="134" spans="2:5">
      <c r="E134" s="64" t="s">
        <v>1090</v>
      </c>
    </row>
    <row r="135" spans="2:5">
      <c r="E135" s="89" t="s">
        <v>1091</v>
      </c>
    </row>
    <row r="136" spans="2:5">
      <c r="E136" s="89" t="s">
        <v>1092</v>
      </c>
    </row>
    <row r="137" spans="2:5">
      <c r="E137" s="89" t="s">
        <v>1093</v>
      </c>
    </row>
    <row r="138" spans="2:5">
      <c r="E138" s="89" t="s">
        <v>1094</v>
      </c>
    </row>
    <row r="139" spans="2:5">
      <c r="E139" s="89" t="s">
        <v>1095</v>
      </c>
    </row>
    <row r="140" spans="2:5">
      <c r="E140" s="89" t="s">
        <v>145</v>
      </c>
    </row>
    <row r="141" spans="2:5">
      <c r="E141" s="89" t="s">
        <v>148</v>
      </c>
    </row>
    <row r="142" spans="2:5">
      <c r="E142" s="89" t="s">
        <v>149</v>
      </c>
    </row>
    <row r="143" spans="2:5">
      <c r="E143" s="89" t="s">
        <v>1096</v>
      </c>
    </row>
    <row r="144" spans="2:5">
      <c r="E144" s="89" t="s">
        <v>1097</v>
      </c>
    </row>
    <row r="145" spans="5:10" ht="14.4" customHeight="1">
      <c r="E145" s="81"/>
    </row>
    <row r="146" spans="5:10">
      <c r="E146" s="47" t="s">
        <v>1089</v>
      </c>
    </row>
    <row r="147" spans="5:10">
      <c r="E147" s="89" t="s">
        <v>1098</v>
      </c>
    </row>
    <row r="148" spans="5:10">
      <c r="E148" s="89" t="s">
        <v>1099</v>
      </c>
    </row>
    <row r="149" spans="5:10">
      <c r="E149" s="89" t="s">
        <v>1100</v>
      </c>
    </row>
    <row r="150" spans="5:10" ht="14.4" customHeight="1">
      <c r="E150" s="81"/>
    </row>
    <row r="151" spans="5:10" ht="14.4" customHeight="1">
      <c r="E151" s="68" t="s">
        <v>1101</v>
      </c>
    </row>
    <row r="152" spans="5:10" ht="14.4" customHeight="1">
      <c r="E152" s="69" t="s">
        <v>1102</v>
      </c>
    </row>
    <row r="153" spans="5:10" ht="14.4" customHeight="1">
      <c r="E153" s="69" t="s">
        <v>1103</v>
      </c>
    </row>
    <row r="154" spans="5:10" ht="14.4" customHeight="1">
      <c r="E154" s="81" t="s">
        <v>1104</v>
      </c>
    </row>
    <row r="155" spans="5:10" ht="14.4" customHeight="1">
      <c r="E155" s="81" t="s">
        <v>1105</v>
      </c>
    </row>
    <row r="156" spans="5:10" ht="14.4" customHeight="1">
      <c r="E156" s="81"/>
    </row>
    <row r="157" spans="5:10" ht="14.4" customHeight="1">
      <c r="E157" s="81"/>
      <c r="F157" s="58" t="s">
        <v>1106</v>
      </c>
      <c r="J157" s="58" t="s">
        <v>1107</v>
      </c>
    </row>
    <row r="158" spans="5:10" ht="14.4" customHeight="1">
      <c r="E158" s="55" t="s">
        <v>8</v>
      </c>
    </row>
    <row r="159" spans="5:10">
      <c r="E159" s="89" t="s">
        <v>11</v>
      </c>
      <c r="F159" s="89" t="s">
        <v>1108</v>
      </c>
      <c r="J159" s="89" t="s">
        <v>1109</v>
      </c>
    </row>
    <row r="160" spans="5:10">
      <c r="E160" s="89" t="s">
        <v>13</v>
      </c>
      <c r="F160" s="89" t="s">
        <v>1110</v>
      </c>
      <c r="J160" s="89" t="s">
        <v>1110</v>
      </c>
    </row>
    <row r="161" spans="4:14">
      <c r="E161" s="136" t="s">
        <v>19</v>
      </c>
      <c r="F161" s="89" t="s">
        <v>1111</v>
      </c>
      <c r="J161" s="89" t="s">
        <v>1112</v>
      </c>
    </row>
    <row r="162" spans="4:14">
      <c r="E162" s="136" t="s">
        <v>22</v>
      </c>
      <c r="F162" s="89" t="s">
        <v>1113</v>
      </c>
      <c r="J162" s="89" t="s">
        <v>1114</v>
      </c>
    </row>
    <row r="163" spans="4:14">
      <c r="E163" s="136" t="s">
        <v>25</v>
      </c>
      <c r="F163" s="89" t="s">
        <v>1115</v>
      </c>
      <c r="J163" s="89" t="s">
        <v>1116</v>
      </c>
    </row>
    <row r="164" spans="4:14" ht="14.4" customHeight="1">
      <c r="E164" s="55" t="s">
        <v>128</v>
      </c>
    </row>
    <row r="165" spans="4:14">
      <c r="E165" s="89" t="s">
        <v>1117</v>
      </c>
      <c r="F165" s="89" t="s">
        <v>1118</v>
      </c>
      <c r="J165" s="89" t="s">
        <v>1119</v>
      </c>
    </row>
    <row r="166" spans="4:14">
      <c r="E166" s="89" t="s">
        <v>140</v>
      </c>
      <c r="F166" s="89" t="s">
        <v>1120</v>
      </c>
      <c r="J166" s="89" t="s">
        <v>1121</v>
      </c>
    </row>
    <row r="167" spans="4:14">
      <c r="E167" s="64" t="s">
        <v>63</v>
      </c>
    </row>
    <row r="168" spans="4:14">
      <c r="E168" s="45" t="s">
        <v>80</v>
      </c>
      <c r="F168" s="89" t="s">
        <v>1122</v>
      </c>
      <c r="J168" s="89" t="s">
        <v>1123</v>
      </c>
    </row>
    <row r="169" spans="4:14">
      <c r="E169" s="45" t="s">
        <v>81</v>
      </c>
      <c r="F169" s="89" t="s">
        <v>1124</v>
      </c>
      <c r="J169" s="89" t="s">
        <v>1125</v>
      </c>
    </row>
    <row r="170" spans="4:14">
      <c r="E170" s="45" t="s">
        <v>82</v>
      </c>
      <c r="F170" s="89" t="s">
        <v>1126</v>
      </c>
      <c r="J170" s="89" t="s">
        <v>1127</v>
      </c>
    </row>
    <row r="171" spans="4:14">
      <c r="E171" s="45" t="s">
        <v>83</v>
      </c>
      <c r="F171" s="89" t="s">
        <v>1128</v>
      </c>
      <c r="J171" s="89" t="s">
        <v>1129</v>
      </c>
    </row>
    <row r="172" spans="4:14">
      <c r="E172" s="45" t="s">
        <v>84</v>
      </c>
      <c r="F172" s="89" t="s">
        <v>1130</v>
      </c>
      <c r="J172" s="89" t="s">
        <v>1131</v>
      </c>
    </row>
    <row r="173" spans="4:14" ht="14.4" customHeight="1">
      <c r="J173" s="54"/>
    </row>
    <row r="174" spans="4:14" s="48" customFormat="1" ht="14.4" customHeight="1">
      <c r="D174" s="51" t="s">
        <v>1132</v>
      </c>
      <c r="J174" s="50"/>
    </row>
    <row r="175" spans="4:14" ht="14.4" customHeight="1">
      <c r="D175" s="106"/>
      <c r="J175" s="54"/>
    </row>
    <row r="176" spans="4:14" ht="14.4" customHeight="1">
      <c r="F176" s="53" t="s">
        <v>1133</v>
      </c>
      <c r="G176" s="53"/>
      <c r="H176" s="53"/>
      <c r="I176" s="54"/>
      <c r="J176" s="75"/>
      <c r="K176" s="53" t="s">
        <v>1134</v>
      </c>
      <c r="L176" s="53"/>
      <c r="M176" s="53"/>
      <c r="N176" s="53"/>
    </row>
    <row r="177" spans="5:20" ht="14.4" customHeight="1">
      <c r="E177" s="52" t="s">
        <v>1066</v>
      </c>
      <c r="F177" s="53" t="s">
        <v>1002</v>
      </c>
      <c r="G177" s="53" t="s">
        <v>999</v>
      </c>
      <c r="H177" s="53" t="s">
        <v>980</v>
      </c>
      <c r="I177" s="84" t="s">
        <v>1135</v>
      </c>
      <c r="J177" s="75" t="s">
        <v>1136</v>
      </c>
      <c r="K177" s="53" t="s">
        <v>999</v>
      </c>
      <c r="L177" s="53" t="s">
        <v>980</v>
      </c>
      <c r="M177" s="53" t="s">
        <v>1137</v>
      </c>
      <c r="N177" s="53" t="s">
        <v>1138</v>
      </c>
    </row>
    <row r="178" spans="5:20" ht="14.4" customHeight="1">
      <c r="E178" s="55" t="s">
        <v>8</v>
      </c>
      <c r="J178" s="73"/>
    </row>
    <row r="179" spans="5:20">
      <c r="E179" s="89" t="s">
        <v>11</v>
      </c>
      <c r="F179" s="57">
        <f>K38*K39</f>
        <v>0.25421940928270043</v>
      </c>
      <c r="G179" s="57">
        <f>I39*I38</f>
        <v>0</v>
      </c>
      <c r="H179" s="57">
        <f>J38*J39</f>
        <v>1</v>
      </c>
      <c r="I179" s="57">
        <f>F179/H179</f>
        <v>0.25421940928270043</v>
      </c>
      <c r="J179" s="76">
        <f>K39</f>
        <v>0.5</v>
      </c>
      <c r="K179" s="65">
        <f t="array" ref="K179:K183">TRANSPOSE(P179:T179)</f>
        <v>0</v>
      </c>
      <c r="L179" s="65">
        <f t="array" ref="L179:L183">TRANSPOSE(P180:T180)</f>
        <v>21.047008547008549</v>
      </c>
      <c r="P179" s="11">
        <f>MIN(Data!AV9:AV1273)</f>
        <v>0</v>
      </c>
      <c r="Q179" s="11">
        <f>MIN(Data!AW9:AW1273)</f>
        <v>1.8718926214581881</v>
      </c>
      <c r="R179" s="11">
        <f>MIN(Data!AX9:AX1273)</f>
        <v>1</v>
      </c>
      <c r="S179" s="11">
        <f>MIN(Data!AY9:AY1273)</f>
        <v>0</v>
      </c>
      <c r="T179" s="11">
        <f>MIN(Data!AZ9:AZ1273)</f>
        <v>0</v>
      </c>
    </row>
    <row r="180" spans="5:20">
      <c r="E180" s="89" t="s">
        <v>13</v>
      </c>
      <c r="G180" s="57"/>
      <c r="I180" s="57"/>
      <c r="J180" s="73"/>
      <c r="K180" s="65">
        <v>1.8718926214581881</v>
      </c>
      <c r="L180" s="65">
        <v>99.330753522863603</v>
      </c>
      <c r="P180" s="11">
        <f>MAX(Data!AV9:AV1273)</f>
        <v>21.047008547008549</v>
      </c>
      <c r="Q180" s="11">
        <f>MAX(Data!AW9:AW1273)</f>
        <v>99.330753522863603</v>
      </c>
      <c r="R180" s="11">
        <f>MAX(Data!AX9:AX1273)</f>
        <v>10</v>
      </c>
      <c r="S180" s="11">
        <f>MAX(Data!AY9:AY1273)</f>
        <v>1.2242983712023665</v>
      </c>
      <c r="T180" s="11">
        <f>MAX(Data!AZ9:AZ1273)</f>
        <v>91.139240506329116</v>
      </c>
    </row>
    <row r="181" spans="5:20">
      <c r="E181" s="136" t="s">
        <v>19</v>
      </c>
      <c r="F181" s="57">
        <f>K19*K38</f>
        <v>0.10168776371308018</v>
      </c>
      <c r="G181" s="57">
        <f>I38*I19</f>
        <v>0</v>
      </c>
      <c r="H181" s="57">
        <f>J38*J19</f>
        <v>1</v>
      </c>
      <c r="I181" s="57">
        <f>F181/H181</f>
        <v>0.10168776371308018</v>
      </c>
      <c r="J181" s="76">
        <f>K19</f>
        <v>0.2</v>
      </c>
      <c r="K181" s="65">
        <v>1</v>
      </c>
      <c r="L181" s="65">
        <v>10</v>
      </c>
    </row>
    <row r="182" spans="5:20">
      <c r="E182" s="136" t="s">
        <v>22</v>
      </c>
      <c r="F182" s="57">
        <f>G24*G23*K38+(1-K38)*G22</f>
        <v>0.44738502109704636</v>
      </c>
      <c r="G182" s="57">
        <v>0</v>
      </c>
      <c r="H182" s="57">
        <v>1</v>
      </c>
      <c r="I182" s="57">
        <f>F182/H182</f>
        <v>0.44738502109704636</v>
      </c>
      <c r="J182" s="76">
        <f>I182</f>
        <v>0.44738502109704636</v>
      </c>
      <c r="K182" s="65">
        <v>0</v>
      </c>
      <c r="L182" s="65">
        <v>1.2242983712023665</v>
      </c>
      <c r="P182" s="11">
        <f>_xlfn.PERCENTILE.EXC(Data!AV12:AV1276,0.05)</f>
        <v>0.72751322751322756</v>
      </c>
      <c r="Q182" s="11">
        <f>_xlfn.PERCENTILE.EXC(Data!AW12:AW1276,0.05)</f>
        <v>11.793141066085729</v>
      </c>
      <c r="R182" s="11">
        <f>_xlfn.PERCENTILE.EXC(Data!AX12:AX1276,0.05)</f>
        <v>2.056346044393853</v>
      </c>
      <c r="S182" s="11">
        <f>_xlfn.PERCENTILE.EXC(Data!AY12:AY1276,0.05)</f>
        <v>4.0968635650727427E-2</v>
      </c>
      <c r="T182" s="11">
        <f>_xlfn.PERCENTILE.EXC(Data!AZ12:AZ1276,0.05)</f>
        <v>8.4504839910647807</v>
      </c>
    </row>
    <row r="183" spans="5:20">
      <c r="E183" s="136" t="s">
        <v>25</v>
      </c>
      <c r="F183" s="57">
        <f>K40*K38</f>
        <v>0.25421940928270043</v>
      </c>
      <c r="G183" s="57">
        <f>I40*I38</f>
        <v>0</v>
      </c>
      <c r="H183" s="57">
        <f>J40*J38</f>
        <v>1</v>
      </c>
      <c r="I183" s="57">
        <f>F183/H183</f>
        <v>0.25421940928270043</v>
      </c>
      <c r="J183" s="76">
        <f>I183</f>
        <v>0.25421940928270043</v>
      </c>
      <c r="K183" s="65">
        <v>0</v>
      </c>
      <c r="L183" s="65">
        <v>91.139240506329116</v>
      </c>
      <c r="P183" s="11">
        <f>_xlfn.PERCENTILE.EXC(Data!AV12:AV1276,0.95)</f>
        <v>11.228802062135392</v>
      </c>
      <c r="Q183" s="11">
        <f>_xlfn.PERCENTILE.EXC(Data!AW12:AW1276,0.95)</f>
        <v>61.808044370075571</v>
      </c>
      <c r="R183" s="11">
        <f>_xlfn.PERCENTILE.EXC(Data!AX12:AX1276,0.95)</f>
        <v>7.4294251565167899</v>
      </c>
      <c r="S183" s="11">
        <f>_xlfn.PERCENTILE.EXC(Data!AY12:AY1276,0.95)</f>
        <v>0.30048713988923448</v>
      </c>
      <c r="T183" s="11">
        <f>_xlfn.PERCENTILE.EXC(Data!AZ12:AZ1276,0.95)</f>
        <v>54.450670141474291</v>
      </c>
    </row>
    <row r="184" spans="5:20" ht="14.4" customHeight="1">
      <c r="E184" s="55" t="s">
        <v>128</v>
      </c>
      <c r="J184" s="73"/>
    </row>
    <row r="185" spans="5:20">
      <c r="E185" s="89" t="s">
        <v>1117</v>
      </c>
      <c r="F185" s="88" t="s">
        <v>1139</v>
      </c>
      <c r="J185" s="73"/>
    </row>
    <row r="186" spans="5:20">
      <c r="E186" s="89" t="s">
        <v>140</v>
      </c>
      <c r="J186" s="73"/>
    </row>
    <row r="187" spans="5:20">
      <c r="E187" s="64" t="s">
        <v>63</v>
      </c>
      <c r="J187" s="73"/>
    </row>
    <row r="188" spans="5:20">
      <c r="E188" s="45" t="s">
        <v>80</v>
      </c>
      <c r="F188" s="57">
        <f>G22</f>
        <v>0.62</v>
      </c>
      <c r="G188" s="57">
        <v>0</v>
      </c>
      <c r="H188" s="57">
        <v>1</v>
      </c>
      <c r="I188" s="46">
        <f>F188/H188</f>
        <v>0.62</v>
      </c>
      <c r="J188" s="74">
        <f>I188</f>
        <v>0.62</v>
      </c>
      <c r="K188" s="65">
        <f t="array" ref="K188:K192">TRANSPOSE(P188:T188)</f>
        <v>0</v>
      </c>
      <c r="L188" s="65">
        <f t="array" ref="L188:L192">TRANSPOSE(P189:T189)</f>
        <v>518.7069518872155</v>
      </c>
      <c r="P188" s="65">
        <f>MIN(Data!BC9:BC1273)</f>
        <v>0</v>
      </c>
      <c r="Q188" s="65">
        <f>_xlfn.PERCENTILE.EXC(Data!BD9:BD1273,0.05)</f>
        <v>1.7208228840977269</v>
      </c>
      <c r="R188" s="65">
        <f>MIN(Data!BE9:BE1273)</f>
        <v>1.7838874452056591E-4</v>
      </c>
      <c r="S188" s="65">
        <f>MIN(Data!BF9:BF1273)</f>
        <v>0</v>
      </c>
      <c r="T188" s="65">
        <f>MIN(Data!BG9:BG1273)</f>
        <v>0</v>
      </c>
    </row>
    <row r="189" spans="5:20">
      <c r="E189" s="45" t="s">
        <v>81</v>
      </c>
      <c r="F189" s="57">
        <f>G23</f>
        <v>0.55000000000000004</v>
      </c>
      <c r="G189" s="57">
        <v>0</v>
      </c>
      <c r="H189" s="57">
        <v>1</v>
      </c>
      <c r="I189" s="46">
        <f>F189/H189</f>
        <v>0.55000000000000004</v>
      </c>
      <c r="J189" s="74">
        <f>I189</f>
        <v>0.55000000000000004</v>
      </c>
      <c r="K189" s="65">
        <v>1.7208228840977269</v>
      </c>
      <c r="L189" s="65">
        <v>90.219050988946279</v>
      </c>
      <c r="P189" s="65">
        <f>MAX(Data!BC9:BC1273)</f>
        <v>518.7069518872155</v>
      </c>
      <c r="Q189" s="65">
        <f>_xlfn.PERCENTILE.EXC(Data!BD9:BD1273,0.95)</f>
        <v>90.219050988946279</v>
      </c>
      <c r="R189" s="65">
        <f>MAX(Data!BE9:BE1273)</f>
        <v>1</v>
      </c>
      <c r="S189" s="65">
        <f>MAX(Data!BF9:BF1273)</f>
        <v>112.94297460239021</v>
      </c>
      <c r="T189" s="65">
        <f>MAX(Data!BG9:BG1273)</f>
        <v>3.7866379310344831</v>
      </c>
    </row>
    <row r="190" spans="5:20">
      <c r="E190" s="45" t="s">
        <v>82</v>
      </c>
      <c r="F190" s="57">
        <f>G24</f>
        <v>0.51</v>
      </c>
      <c r="G190" s="57">
        <v>0</v>
      </c>
      <c r="H190" s="57">
        <v>1</v>
      </c>
      <c r="I190" s="46">
        <f>F190/H190</f>
        <v>0.51</v>
      </c>
      <c r="J190" s="74">
        <f>I190</f>
        <v>0.51</v>
      </c>
      <c r="K190" s="65">
        <v>1.7838874452056591E-4</v>
      </c>
      <c r="L190" s="65">
        <v>1</v>
      </c>
    </row>
    <row r="191" spans="5:20">
      <c r="E191" s="45" t="s">
        <v>83</v>
      </c>
      <c r="F191" s="57">
        <f>G25</f>
        <v>0.51</v>
      </c>
      <c r="G191" s="57">
        <v>0</v>
      </c>
      <c r="H191" s="57">
        <v>1</v>
      </c>
      <c r="I191" s="46">
        <f>F191/H191</f>
        <v>0.51</v>
      </c>
      <c r="J191" s="74">
        <f>I191</f>
        <v>0.51</v>
      </c>
      <c r="K191" s="65">
        <v>0</v>
      </c>
      <c r="L191" s="65">
        <v>112.94297460239021</v>
      </c>
    </row>
    <row r="192" spans="5:20">
      <c r="E192" s="45" t="s">
        <v>84</v>
      </c>
      <c r="F192" s="57">
        <f>G26</f>
        <v>0.25</v>
      </c>
      <c r="G192" s="57">
        <v>0</v>
      </c>
      <c r="H192" s="57">
        <v>1</v>
      </c>
      <c r="I192" s="46">
        <f>F192/H192</f>
        <v>0.25</v>
      </c>
      <c r="J192" s="74">
        <f>I192</f>
        <v>0.25</v>
      </c>
      <c r="K192" s="65">
        <v>0</v>
      </c>
      <c r="L192" s="65">
        <v>3.7866379310344831</v>
      </c>
    </row>
    <row r="193" spans="4:11">
      <c r="E193" s="45"/>
      <c r="F193" s="57"/>
      <c r="G193" s="57"/>
      <c r="H193" s="57"/>
      <c r="I193" s="46"/>
      <c r="J193" s="46"/>
    </row>
    <row r="194" spans="4:11" s="48" customFormat="1" ht="14.4" customHeight="1">
      <c r="D194" s="51" t="s">
        <v>122</v>
      </c>
      <c r="J194" s="50"/>
    </row>
    <row r="195" spans="4:11" ht="14.4" customHeight="1">
      <c r="D195" s="106"/>
      <c r="J195" s="54"/>
    </row>
    <row r="196" spans="4:11" ht="14.4" customHeight="1">
      <c r="D196" s="106"/>
      <c r="E196" s="89" t="s">
        <v>1140</v>
      </c>
      <c r="F196" s="57">
        <v>0.05</v>
      </c>
      <c r="J196" s="54"/>
    </row>
    <row r="197" spans="4:11" ht="14.4" customHeight="1">
      <c r="D197" s="106"/>
      <c r="H197" s="54"/>
    </row>
    <row r="198" spans="4:11">
      <c r="D198" s="106"/>
      <c r="E198" s="89" t="s">
        <v>1141</v>
      </c>
      <c r="F198" s="89" t="s">
        <v>999</v>
      </c>
      <c r="G198" s="89" t="s">
        <v>980</v>
      </c>
      <c r="H198" s="89" t="s">
        <v>1142</v>
      </c>
      <c r="I198" s="89" t="s">
        <v>980</v>
      </c>
      <c r="K198" s="89" t="s">
        <v>1143</v>
      </c>
    </row>
    <row r="199" spans="4:11">
      <c r="D199" s="106"/>
      <c r="E199" s="64" t="s">
        <v>1134</v>
      </c>
      <c r="K199" s="89" t="s">
        <v>1144</v>
      </c>
    </row>
    <row r="200" spans="4:11">
      <c r="D200" s="106"/>
      <c r="E200" s="89" t="s">
        <v>141</v>
      </c>
      <c r="F200" s="89">
        <f>MIN(Table4[Mass (g)])</f>
        <v>900</v>
      </c>
      <c r="G200" s="89">
        <f>MAX(Table4[Mass (g)])</f>
        <v>2657</v>
      </c>
      <c r="H200" s="66">
        <f>_xlfn.PERCENTILE.INC(Table4[Mass (g)],$F$196)</f>
        <v>1262.55</v>
      </c>
      <c r="I200" s="66">
        <f>_xlfn.PERCENTILE.INC(Table4[Mass (g)],1-$F$196)</f>
        <v>2201.1500000000005</v>
      </c>
    </row>
    <row r="201" spans="4:11">
      <c r="D201" s="106"/>
      <c r="E201" s="89" t="s">
        <v>142</v>
      </c>
      <c r="F201" s="89">
        <f t="array" ref="F201">MIN(IF(Table4[Camber (mm)]&gt;0,Table4[Running lenght (cm)]))</f>
        <v>8</v>
      </c>
      <c r="G201" s="89">
        <f>MAX(Table4[Running lenght (cm)])</f>
        <v>166</v>
      </c>
      <c r="H201" s="89">
        <f>_xlfn.PERCENTILE.INC(Table4[Running lenght (cm)],$F$196)</f>
        <v>97</v>
      </c>
      <c r="I201" s="89">
        <f>_xlfn.PERCENTILE.INC(Table4[Running lenght (cm)],1-$F$196)</f>
        <v>149</v>
      </c>
    </row>
    <row r="202" spans="4:11">
      <c r="D202" s="106"/>
      <c r="E202" s="89" t="s">
        <v>145</v>
      </c>
      <c r="F202" s="89">
        <f>MIN(Table4[Camber (mm)])</f>
        <v>-11</v>
      </c>
      <c r="G202" s="89">
        <f>MAX(Table4[Camber (mm)])</f>
        <v>18</v>
      </c>
      <c r="H202" s="89">
        <f>_xlfn.PERCENTILE.INC(Table4[Camber (mm)],$F$196)</f>
        <v>2</v>
      </c>
      <c r="I202" s="89">
        <f>_xlfn.PERCENTILE.INC(Table4[Camber (mm)],1-$F$196)</f>
        <v>12</v>
      </c>
    </row>
    <row r="203" spans="4:11">
      <c r="D203" s="106"/>
      <c r="E203" s="89" t="s">
        <v>144</v>
      </c>
      <c r="F203" s="89">
        <f>MIN(Table4[Sidecut radius (m)])</f>
        <v>9.4</v>
      </c>
      <c r="G203" s="89">
        <f>MAX(Table4[Sidecut radius (m)])</f>
        <v>31.2</v>
      </c>
      <c r="H203" s="89">
        <f>_xlfn.PERCENTILE.INC(Table4[Sidecut radius (m)],$F$196)</f>
        <v>11.8</v>
      </c>
      <c r="I203" s="65">
        <f>_xlfn.PERCENTILE.INC(Table4[Sidecut radius (m)],1-$F$196)</f>
        <v>22.08</v>
      </c>
    </row>
    <row r="204" spans="4:11">
      <c r="D204" s="106"/>
      <c r="E204" s="89" t="s">
        <v>146</v>
      </c>
      <c r="F204" s="89">
        <f>MIN(Table4[Avg Bending Stiffness (El)])</f>
        <v>101</v>
      </c>
      <c r="G204" s="89">
        <f>MAX(Table4[Avg Bending Stiffness (El)])</f>
        <v>335</v>
      </c>
      <c r="H204" s="89">
        <f>_xlfn.PERCENTILE.INC(Table4[Avg Bending Stiffness (El)],$F$196)</f>
        <v>133</v>
      </c>
      <c r="I204" s="89">
        <f>_xlfn.PERCENTILE.INC(Table4[Avg Bending Stiffness (El)],1-$F$196)</f>
        <v>266.79999999999995</v>
      </c>
    </row>
    <row r="205" spans="4:11">
      <c r="D205" s="106"/>
      <c r="E205" s="89" t="s">
        <v>147</v>
      </c>
      <c r="F205" s="89">
        <f>MIN(Table4[Avg Torsional  Stiffness (GJ)])</f>
        <v>33</v>
      </c>
      <c r="G205" s="89">
        <f>MAX(Table4[Avg Torsional  Stiffness (GJ)])</f>
        <v>203</v>
      </c>
      <c r="H205" s="89">
        <f>_xlfn.PERCENTILE.INC(Table4[Avg Torsional  Stiffness (GJ)],$F$196)</f>
        <v>56</v>
      </c>
      <c r="I205" s="89">
        <f>_xlfn.PERCENTILE.INC(Table4[Avg Torsional  Stiffness (GJ)],1-$F$196)</f>
        <v>148</v>
      </c>
    </row>
    <row r="206" spans="4:11" ht="14.4" customHeight="1">
      <c r="D206" s="106"/>
      <c r="E206" s="89" t="s">
        <v>1145</v>
      </c>
      <c r="F206" s="89">
        <f>MIN(Table4[Waist width (mm) ])</f>
        <v>64</v>
      </c>
      <c r="G206" s="89">
        <f>MAX(Table4[Waist width (mm) ])</f>
        <v>127</v>
      </c>
      <c r="H206" s="89">
        <f>_xlfn.PERCENTILE.INC(Table4[Waist width (mm) ],F196)</f>
        <v>70.2</v>
      </c>
      <c r="I206" s="89">
        <f>_xlfn.PERCENTILE.INC(Table4[Waist width (mm) ],1-F196)</f>
        <v>111</v>
      </c>
      <c r="J206" s="54"/>
    </row>
    <row r="207" spans="4:11" ht="14.4" customHeight="1">
      <c r="D207" s="106"/>
      <c r="E207" s="89" t="s">
        <v>148</v>
      </c>
      <c r="F207" s="89">
        <f>MIN(Table4[Tip Rocker Length (mm)])</f>
        <v>110</v>
      </c>
      <c r="G207" s="89">
        <f>MAX(Table4[Tip Rocker Length (mm)])</f>
        <v>1077</v>
      </c>
      <c r="H207" s="89">
        <f>_xlfn.PERCENTILE.INC(Table4[Tip Rocker Length (mm)],$F$196)</f>
        <v>138</v>
      </c>
      <c r="I207" s="89">
        <f>_xlfn.PERCENTILE.INC(Table4[Tip Rocker Length (mm)],1-$F$196)</f>
        <v>426</v>
      </c>
      <c r="J207" s="54"/>
    </row>
    <row r="208" spans="4:11" ht="14.4" customHeight="1">
      <c r="D208" s="106"/>
      <c r="E208" s="89" t="s">
        <v>149</v>
      </c>
      <c r="F208" s="89">
        <f>MIN(Table4[Tail Rocker Length (mm)])</f>
        <v>0</v>
      </c>
      <c r="G208" s="89">
        <f>MAX(Table4[Tail Rocker Length (mm)])</f>
        <v>900</v>
      </c>
      <c r="H208" s="89">
        <f>_xlfn.PERCENTILE.INC(Table4[Tail Rocker Length (mm)],$F$196)</f>
        <v>53</v>
      </c>
      <c r="I208" s="89">
        <f>_xlfn.PERCENTILE.INC(Table4[Tail Rocker Length (mm)],1-$F$196)</f>
        <v>338.79999999999995</v>
      </c>
      <c r="J208" s="54"/>
    </row>
    <row r="209" spans="2:37" ht="14.4" customHeight="1">
      <c r="D209" s="106"/>
      <c r="E209" s="89" t="s">
        <v>134</v>
      </c>
      <c r="F209" s="89">
        <f>MIN(Table4[Tail height (mm)])</f>
        <v>0</v>
      </c>
      <c r="G209" s="89">
        <f>MAX(Table4[Tail height (mm)])</f>
        <v>64</v>
      </c>
      <c r="H209" s="89">
        <f>_xlfn.PERCENTILE.INC(Table4[Tail height (mm)],$F$196)</f>
        <v>4</v>
      </c>
      <c r="I209" s="89">
        <f>_xlfn.PERCENTILE.INC(Table4[Tail height (mm)],1-$F$196)</f>
        <v>45.799999999999955</v>
      </c>
      <c r="J209" s="54"/>
    </row>
    <row r="210" spans="2:37" ht="14.4" customHeight="1">
      <c r="D210" s="106"/>
      <c r="J210" s="54"/>
    </row>
    <row r="211" spans="2:37" ht="14.4" customHeight="1">
      <c r="B211" s="20"/>
      <c r="E211" s="45"/>
    </row>
    <row r="212" spans="2:37" s="26" customFormat="1" ht="14.4" customHeight="1">
      <c r="B212" s="21" t="s">
        <v>1011</v>
      </c>
    </row>
    <row r="213" spans="2:37" s="26" customFormat="1" ht="14.4" customHeight="1">
      <c r="B213" s="21" t="s">
        <v>1146</v>
      </c>
    </row>
    <row r="214" spans="2:37" ht="14.4" customHeight="1">
      <c r="B214" s="81"/>
    </row>
    <row r="215" spans="2:37">
      <c r="E215" s="32" t="s">
        <v>70</v>
      </c>
      <c r="F215" s="33" t="s">
        <v>71</v>
      </c>
      <c r="G215" s="33" t="s">
        <v>72</v>
      </c>
      <c r="H215" s="33" t="s">
        <v>74</v>
      </c>
      <c r="I215" s="33" t="s">
        <v>73</v>
      </c>
      <c r="J215" s="33" t="s">
        <v>1147</v>
      </c>
      <c r="K215" s="33" t="s">
        <v>75</v>
      </c>
      <c r="L215" s="33" t="s">
        <v>85</v>
      </c>
      <c r="M215" s="33" t="s">
        <v>86</v>
      </c>
      <c r="N215" s="33" t="s">
        <v>87</v>
      </c>
      <c r="O215" s="33" t="s">
        <v>76</v>
      </c>
      <c r="P215" s="33" t="s">
        <v>88</v>
      </c>
      <c r="Q215" s="33" t="s">
        <v>89</v>
      </c>
      <c r="R215" s="33" t="s">
        <v>90</v>
      </c>
      <c r="S215" s="33" t="s">
        <v>91</v>
      </c>
      <c r="T215" s="33" t="s">
        <v>92</v>
      </c>
      <c r="U215" s="33" t="s">
        <v>93</v>
      </c>
      <c r="V215" s="33" t="s">
        <v>94</v>
      </c>
      <c r="W215" s="33" t="s">
        <v>95</v>
      </c>
      <c r="X215" s="33" t="s">
        <v>96</v>
      </c>
      <c r="Y215" s="33" t="s">
        <v>97</v>
      </c>
      <c r="Z215" s="33" t="s">
        <v>98</v>
      </c>
      <c r="AA215" s="33" t="s">
        <v>99</v>
      </c>
      <c r="AB215" s="33" t="s">
        <v>100</v>
      </c>
      <c r="AC215" s="33" t="s">
        <v>101</v>
      </c>
      <c r="AD215" s="33" t="s">
        <v>102</v>
      </c>
      <c r="AE215" s="33" t="s">
        <v>103</v>
      </c>
      <c r="AF215" s="33" t="s">
        <v>104</v>
      </c>
      <c r="AG215" s="33" t="s">
        <v>169</v>
      </c>
      <c r="AH215" s="33" t="s">
        <v>1148</v>
      </c>
      <c r="AI215" s="34" t="s">
        <v>1149</v>
      </c>
      <c r="AJ215" s="34" t="s">
        <v>1150</v>
      </c>
      <c r="AK215" s="35" t="s">
        <v>1151</v>
      </c>
    </row>
    <row r="216" spans="2:37">
      <c r="E216" s="27" t="s">
        <v>217</v>
      </c>
      <c r="F216" s="4" t="s">
        <v>218</v>
      </c>
      <c r="G216" s="5" t="s">
        <v>222</v>
      </c>
      <c r="H216" s="6">
        <v>171</v>
      </c>
      <c r="I216" s="5" t="s">
        <v>158</v>
      </c>
      <c r="J216" s="6">
        <v>171</v>
      </c>
      <c r="K216" s="6">
        <v>169.4</v>
      </c>
      <c r="L216" s="6">
        <v>107</v>
      </c>
      <c r="M216" s="6">
        <v>130</v>
      </c>
      <c r="N216" s="6">
        <v>129</v>
      </c>
      <c r="O216" s="6">
        <v>100</v>
      </c>
      <c r="P216" s="6">
        <v>115</v>
      </c>
      <c r="Q216" s="6">
        <v>15.3</v>
      </c>
      <c r="R216" s="6">
        <v>1410</v>
      </c>
      <c r="S216" s="6">
        <v>1.32</v>
      </c>
      <c r="T216" s="6">
        <v>1864</v>
      </c>
      <c r="U216" s="6">
        <v>217</v>
      </c>
      <c r="V216" s="6">
        <v>104</v>
      </c>
      <c r="W216" s="6">
        <v>61</v>
      </c>
      <c r="X216" s="6">
        <v>353</v>
      </c>
      <c r="Y216" s="6">
        <v>14</v>
      </c>
      <c r="Z216" s="6">
        <v>267</v>
      </c>
      <c r="AA216" s="6">
        <v>0.23300000000000001</v>
      </c>
      <c r="AB216" s="6">
        <v>214</v>
      </c>
      <c r="AC216" s="6">
        <v>182</v>
      </c>
      <c r="AD216" s="6">
        <v>139</v>
      </c>
      <c r="AE216" s="6">
        <v>4</v>
      </c>
      <c r="AF216" s="6">
        <v>11.9</v>
      </c>
      <c r="AG216" s="5" t="s">
        <v>185</v>
      </c>
      <c r="AH216" s="5" t="s">
        <v>198</v>
      </c>
      <c r="AI216" s="6"/>
      <c r="AJ216" s="6"/>
      <c r="AK216" s="29"/>
    </row>
    <row r="217" spans="2:37">
      <c r="E217" s="28" t="s">
        <v>217</v>
      </c>
      <c r="F217" s="8" t="s">
        <v>218</v>
      </c>
      <c r="G217" s="9" t="s">
        <v>397</v>
      </c>
      <c r="H217" s="10">
        <v>163</v>
      </c>
      <c r="I217" s="9" t="s">
        <v>163</v>
      </c>
      <c r="J217" s="10">
        <v>163</v>
      </c>
      <c r="K217" s="10">
        <v>161.69999999999999</v>
      </c>
      <c r="L217" s="10">
        <v>111</v>
      </c>
      <c r="M217" s="10">
        <v>124</v>
      </c>
      <c r="N217" s="10">
        <v>132</v>
      </c>
      <c r="O217" s="10">
        <v>106</v>
      </c>
      <c r="P217" s="10">
        <v>118</v>
      </c>
      <c r="Q217" s="10">
        <v>18.899999999999999</v>
      </c>
      <c r="R217" s="10">
        <v>1364</v>
      </c>
      <c r="S217" s="10">
        <v>1.35</v>
      </c>
      <c r="T217" s="10">
        <v>1840</v>
      </c>
      <c r="U217" s="10">
        <v>210</v>
      </c>
      <c r="V217" s="10">
        <v>97</v>
      </c>
      <c r="W217" s="10">
        <v>43</v>
      </c>
      <c r="X217" s="10">
        <v>273</v>
      </c>
      <c r="Y217" s="10">
        <v>22</v>
      </c>
      <c r="Z217" s="10">
        <v>231</v>
      </c>
      <c r="AA217" s="10">
        <v>0.52300000000000002</v>
      </c>
      <c r="AB217" s="10">
        <v>194</v>
      </c>
      <c r="AC217" s="10">
        <v>181</v>
      </c>
      <c r="AD217" s="10">
        <v>79</v>
      </c>
      <c r="AE217" s="10">
        <v>5</v>
      </c>
      <c r="AF217" s="10">
        <v>10.7</v>
      </c>
      <c r="AG217" s="9" t="s">
        <v>169</v>
      </c>
      <c r="AH217" s="9" t="s">
        <v>185</v>
      </c>
      <c r="AI217" s="9" t="s">
        <v>198</v>
      </c>
      <c r="AJ217" s="10"/>
      <c r="AK217" s="30"/>
    </row>
    <row r="218" spans="2:37">
      <c r="E218" s="28" t="s">
        <v>217</v>
      </c>
      <c r="F218" s="8" t="s">
        <v>218</v>
      </c>
      <c r="G218" s="9" t="s">
        <v>404</v>
      </c>
      <c r="H218" s="10">
        <v>168</v>
      </c>
      <c r="I218" s="9" t="s">
        <v>163</v>
      </c>
      <c r="J218" s="10">
        <v>168</v>
      </c>
      <c r="K218" s="10">
        <v>166.3</v>
      </c>
      <c r="L218" s="10">
        <v>95</v>
      </c>
      <c r="M218" s="10">
        <v>111</v>
      </c>
      <c r="N218" s="10">
        <v>136</v>
      </c>
      <c r="O218" s="10">
        <v>112</v>
      </c>
      <c r="P218" s="10">
        <v>124</v>
      </c>
      <c r="Q218" s="10">
        <v>15.2</v>
      </c>
      <c r="R218" s="10">
        <v>1419</v>
      </c>
      <c r="S218" s="10">
        <v>1.4</v>
      </c>
      <c r="T218" s="10">
        <v>1992</v>
      </c>
      <c r="U218" s="10">
        <v>212</v>
      </c>
      <c r="V218" s="10">
        <v>112</v>
      </c>
      <c r="W218" s="10">
        <v>64</v>
      </c>
      <c r="X218" s="10">
        <v>403</v>
      </c>
      <c r="Y218" s="10">
        <v>36</v>
      </c>
      <c r="Z218" s="10">
        <v>309</v>
      </c>
      <c r="AA218" s="10">
        <v>0.55600000000000005</v>
      </c>
      <c r="AB218" s="10">
        <v>298</v>
      </c>
      <c r="AC218" s="10">
        <v>253</v>
      </c>
      <c r="AD218" s="10">
        <v>104</v>
      </c>
      <c r="AE218" s="10">
        <v>4</v>
      </c>
      <c r="AF218" s="10">
        <v>13.3</v>
      </c>
      <c r="AG218" s="9" t="s">
        <v>169</v>
      </c>
      <c r="AH218" s="9" t="s">
        <v>185</v>
      </c>
      <c r="AI218" s="9" t="s">
        <v>198</v>
      </c>
      <c r="AJ218" s="10"/>
      <c r="AK218" s="30"/>
    </row>
    <row r="219" spans="2:37">
      <c r="E219" s="28" t="s">
        <v>217</v>
      </c>
      <c r="F219" s="8" t="s">
        <v>218</v>
      </c>
      <c r="G219" s="9" t="s">
        <v>550</v>
      </c>
      <c r="H219" s="10">
        <v>178</v>
      </c>
      <c r="I219" s="9" t="s">
        <v>158</v>
      </c>
      <c r="J219" s="10">
        <v>178</v>
      </c>
      <c r="K219" s="10">
        <v>177.6</v>
      </c>
      <c r="L219" s="10">
        <v>118</v>
      </c>
      <c r="M219" s="10">
        <v>135</v>
      </c>
      <c r="N219" s="10">
        <v>125</v>
      </c>
      <c r="O219" s="10">
        <v>90</v>
      </c>
      <c r="P219" s="10">
        <v>109</v>
      </c>
      <c r="Q219" s="10">
        <v>15</v>
      </c>
      <c r="R219" s="10">
        <v>1319</v>
      </c>
      <c r="S219" s="10">
        <v>1.38</v>
      </c>
      <c r="T219" s="10">
        <v>1819</v>
      </c>
      <c r="U219" s="10">
        <v>201</v>
      </c>
      <c r="V219" s="10">
        <v>92</v>
      </c>
      <c r="W219" s="10">
        <v>60</v>
      </c>
      <c r="X219" s="10">
        <v>342</v>
      </c>
      <c r="Y219" s="10">
        <v>13</v>
      </c>
      <c r="Z219" s="10">
        <v>254</v>
      </c>
      <c r="AA219" s="10">
        <v>0.215</v>
      </c>
      <c r="AB219" s="10">
        <v>197</v>
      </c>
      <c r="AC219" s="10">
        <v>230</v>
      </c>
      <c r="AD219" s="10">
        <v>144</v>
      </c>
      <c r="AE219" s="10">
        <v>8</v>
      </c>
      <c r="AF219" s="10">
        <v>13</v>
      </c>
      <c r="AG219" s="9" t="s">
        <v>185</v>
      </c>
      <c r="AH219" s="9" t="s">
        <v>198</v>
      </c>
      <c r="AI219" s="10"/>
      <c r="AJ219" s="10"/>
      <c r="AK219" s="30"/>
    </row>
    <row r="220" spans="2:37">
      <c r="E220" s="28" t="s">
        <v>217</v>
      </c>
      <c r="F220" s="8" t="s">
        <v>218</v>
      </c>
      <c r="G220" s="9" t="s">
        <v>219</v>
      </c>
      <c r="H220" s="10">
        <v>178</v>
      </c>
      <c r="I220" s="9" t="s">
        <v>158</v>
      </c>
      <c r="J220" s="10">
        <v>178</v>
      </c>
      <c r="K220" s="10">
        <v>176.2</v>
      </c>
      <c r="L220" s="10">
        <v>130</v>
      </c>
      <c r="M220" s="10">
        <v>146</v>
      </c>
      <c r="N220" s="10">
        <v>131</v>
      </c>
      <c r="O220" s="10">
        <v>94</v>
      </c>
      <c r="P220" s="10">
        <v>111</v>
      </c>
      <c r="Q220" s="10">
        <v>18.899999999999999</v>
      </c>
      <c r="R220" s="10">
        <v>1372</v>
      </c>
      <c r="S220" s="10">
        <v>1.35</v>
      </c>
      <c r="T220" s="10">
        <v>1846</v>
      </c>
      <c r="U220" s="10">
        <v>227</v>
      </c>
      <c r="V220" s="10">
        <v>101</v>
      </c>
      <c r="W220" s="10">
        <v>53</v>
      </c>
      <c r="X220" s="10">
        <v>269</v>
      </c>
      <c r="Y220" s="10">
        <v>23</v>
      </c>
      <c r="Z220" s="10">
        <v>189</v>
      </c>
      <c r="AA220" s="10">
        <v>0.437</v>
      </c>
      <c r="AB220" s="10">
        <v>143</v>
      </c>
      <c r="AC220" s="10">
        <v>159</v>
      </c>
      <c r="AD220" s="10">
        <v>125</v>
      </c>
      <c r="AE220" s="10">
        <v>6</v>
      </c>
      <c r="AF220" s="10">
        <v>10.8</v>
      </c>
      <c r="AG220" s="9" t="s">
        <v>185</v>
      </c>
      <c r="AH220" s="9" t="s">
        <v>198</v>
      </c>
      <c r="AI220" s="10"/>
      <c r="AJ220" s="10"/>
      <c r="AK220" s="30"/>
    </row>
    <row r="221" spans="2:37">
      <c r="E221" s="28" t="s">
        <v>155</v>
      </c>
      <c r="F221" s="8" t="s">
        <v>1152</v>
      </c>
      <c r="G221" s="9" t="s">
        <v>1153</v>
      </c>
      <c r="H221" s="10">
        <v>186</v>
      </c>
      <c r="I221" s="9" t="s">
        <v>158</v>
      </c>
      <c r="J221" s="10">
        <v>186</v>
      </c>
      <c r="K221" s="10">
        <v>183.8</v>
      </c>
      <c r="L221" s="10">
        <v>0</v>
      </c>
      <c r="M221" s="10">
        <v>151</v>
      </c>
      <c r="N221" s="10">
        <v>136</v>
      </c>
      <c r="O221" s="10">
        <v>107</v>
      </c>
      <c r="P221" s="10">
        <v>130</v>
      </c>
      <c r="Q221" s="10">
        <v>20.7</v>
      </c>
      <c r="R221" s="10">
        <v>1970</v>
      </c>
      <c r="S221" s="10">
        <v>1.0900000000000001</v>
      </c>
      <c r="T221" s="10">
        <v>2144</v>
      </c>
      <c r="U221" s="10">
        <v>310</v>
      </c>
      <c r="V221" s="10">
        <v>129</v>
      </c>
      <c r="W221" s="10">
        <v>59</v>
      </c>
      <c r="X221" s="10">
        <v>971</v>
      </c>
      <c r="Y221" s="10">
        <v>54</v>
      </c>
      <c r="Z221" s="10">
        <v>867</v>
      </c>
      <c r="AA221" s="10">
        <v>0.90200000000000002</v>
      </c>
      <c r="AB221" s="10">
        <v>165</v>
      </c>
      <c r="AC221" s="10">
        <v>159</v>
      </c>
      <c r="AD221" s="10">
        <v>806</v>
      </c>
      <c r="AE221" s="10">
        <v>-10</v>
      </c>
      <c r="AF221" s="10">
        <v>5.2</v>
      </c>
      <c r="AG221" s="9" t="s">
        <v>184</v>
      </c>
      <c r="AH221" s="9" t="s">
        <v>169</v>
      </c>
      <c r="AI221" s="9" t="s">
        <v>185</v>
      </c>
      <c r="AJ221" s="10"/>
      <c r="AK221" s="30"/>
    </row>
    <row r="222" spans="2:37">
      <c r="E222" s="28" t="s">
        <v>155</v>
      </c>
      <c r="F222" s="8" t="s">
        <v>1152</v>
      </c>
      <c r="G222" s="9" t="s">
        <v>884</v>
      </c>
      <c r="H222" s="10">
        <v>184</v>
      </c>
      <c r="I222" s="9" t="s">
        <v>158</v>
      </c>
      <c r="J222" s="10">
        <v>184</v>
      </c>
      <c r="K222" s="10">
        <v>182.7</v>
      </c>
      <c r="L222" s="10">
        <v>0</v>
      </c>
      <c r="M222" s="10">
        <v>132</v>
      </c>
      <c r="N222" s="10">
        <v>128</v>
      </c>
      <c r="O222" s="10">
        <v>112</v>
      </c>
      <c r="P222" s="10">
        <v>119</v>
      </c>
      <c r="Q222" s="10">
        <v>30.1</v>
      </c>
      <c r="R222" s="10">
        <v>1920</v>
      </c>
      <c r="S222" s="10">
        <v>1.1000000000000001</v>
      </c>
      <c r="T222" s="10">
        <v>2118</v>
      </c>
      <c r="U222" s="10">
        <v>297</v>
      </c>
      <c r="V222" s="10">
        <v>117</v>
      </c>
      <c r="W222" s="10">
        <v>76</v>
      </c>
      <c r="X222" s="10">
        <v>982</v>
      </c>
      <c r="Y222" s="10">
        <v>28</v>
      </c>
      <c r="Z222" s="10">
        <v>845</v>
      </c>
      <c r="AA222" s="10">
        <v>0.36599999999999999</v>
      </c>
      <c r="AB222" s="10">
        <v>209</v>
      </c>
      <c r="AC222" s="10">
        <v>301</v>
      </c>
      <c r="AD222" s="10">
        <v>773</v>
      </c>
      <c r="AE222" s="10">
        <v>-11</v>
      </c>
      <c r="AF222" s="10">
        <v>6.9</v>
      </c>
      <c r="AG222" s="9" t="s">
        <v>169</v>
      </c>
      <c r="AH222" s="9" t="s">
        <v>178</v>
      </c>
      <c r="AI222" s="9" t="s">
        <v>185</v>
      </c>
      <c r="AJ222" s="10"/>
      <c r="AK222" s="30"/>
    </row>
    <row r="223" spans="2:37">
      <c r="E223" s="28" t="s">
        <v>155</v>
      </c>
      <c r="F223" s="8" t="s">
        <v>1152</v>
      </c>
      <c r="G223" s="9" t="s">
        <v>870</v>
      </c>
      <c r="H223" s="10">
        <v>170</v>
      </c>
      <c r="I223" s="9" t="s">
        <v>163</v>
      </c>
      <c r="J223" s="10">
        <v>170</v>
      </c>
      <c r="K223" s="10">
        <v>168.6</v>
      </c>
      <c r="L223" s="10">
        <v>0</v>
      </c>
      <c r="M223" s="10">
        <v>117</v>
      </c>
      <c r="N223" s="10">
        <v>125</v>
      </c>
      <c r="O223" s="10">
        <v>111</v>
      </c>
      <c r="P223" s="10">
        <v>117</v>
      </c>
      <c r="Q223" s="10">
        <v>29.9</v>
      </c>
      <c r="R223" s="10">
        <v>1785</v>
      </c>
      <c r="S223" s="10">
        <v>1.08</v>
      </c>
      <c r="T223" s="10">
        <v>1933</v>
      </c>
      <c r="U223" s="10">
        <v>258</v>
      </c>
      <c r="V223" s="10">
        <v>120</v>
      </c>
      <c r="W223" s="10">
        <v>76</v>
      </c>
      <c r="X223" s="10">
        <v>911</v>
      </c>
      <c r="Y223" s="10">
        <v>31</v>
      </c>
      <c r="Z223" s="10">
        <v>775</v>
      </c>
      <c r="AA223" s="10">
        <v>0.41099999999999998</v>
      </c>
      <c r="AB223" s="10">
        <v>200</v>
      </c>
      <c r="AC223" s="10">
        <v>314</v>
      </c>
      <c r="AD223" s="10">
        <v>711</v>
      </c>
      <c r="AE223" s="10">
        <v>-11</v>
      </c>
      <c r="AF223" s="10">
        <v>6.8</v>
      </c>
      <c r="AG223" s="9" t="s">
        <v>169</v>
      </c>
      <c r="AH223" s="9" t="s">
        <v>185</v>
      </c>
      <c r="AI223" s="10"/>
      <c r="AJ223" s="10"/>
      <c r="AK223" s="30"/>
    </row>
    <row r="224" spans="2:37">
      <c r="E224" s="28" t="s">
        <v>155</v>
      </c>
      <c r="F224" s="8" t="s">
        <v>1152</v>
      </c>
      <c r="G224" s="9" t="s">
        <v>870</v>
      </c>
      <c r="H224" s="10">
        <v>177</v>
      </c>
      <c r="I224" s="9" t="s">
        <v>163</v>
      </c>
      <c r="J224" s="10">
        <v>177</v>
      </c>
      <c r="K224" s="10">
        <v>175.5</v>
      </c>
      <c r="L224" s="10">
        <v>0</v>
      </c>
      <c r="M224" s="10">
        <v>126</v>
      </c>
      <c r="N224" s="10">
        <v>126</v>
      </c>
      <c r="O224" s="10">
        <v>111</v>
      </c>
      <c r="P224" s="10">
        <v>118</v>
      </c>
      <c r="Q224" s="10">
        <v>30.4</v>
      </c>
      <c r="R224" s="10">
        <v>1822</v>
      </c>
      <c r="S224" s="10">
        <v>1.1100000000000001</v>
      </c>
      <c r="T224" s="10">
        <v>2023</v>
      </c>
      <c r="U224" s="10">
        <v>278</v>
      </c>
      <c r="V224" s="10">
        <v>123</v>
      </c>
      <c r="W224" s="10">
        <v>75</v>
      </c>
      <c r="X224" s="10">
        <v>945</v>
      </c>
      <c r="Y224" s="10">
        <v>31</v>
      </c>
      <c r="Z224" s="10">
        <v>810</v>
      </c>
      <c r="AA224" s="10">
        <v>0.41</v>
      </c>
      <c r="AB224" s="10">
        <v>200</v>
      </c>
      <c r="AC224" s="10">
        <v>299</v>
      </c>
      <c r="AD224" s="10">
        <v>745</v>
      </c>
      <c r="AE224" s="10">
        <v>-11</v>
      </c>
      <c r="AF224" s="10">
        <v>6.8</v>
      </c>
      <c r="AG224" s="9" t="s">
        <v>169</v>
      </c>
      <c r="AH224" s="9" t="s">
        <v>185</v>
      </c>
      <c r="AI224" s="10"/>
      <c r="AJ224" s="10"/>
      <c r="AK224" s="30"/>
    </row>
    <row r="225" spans="5:37">
      <c r="E225" s="28" t="s">
        <v>155</v>
      </c>
      <c r="F225" s="8" t="s">
        <v>1152</v>
      </c>
      <c r="G225" s="9" t="s">
        <v>1154</v>
      </c>
      <c r="H225" s="10">
        <v>188</v>
      </c>
      <c r="I225" s="9" t="s">
        <v>158</v>
      </c>
      <c r="J225" s="10">
        <v>188</v>
      </c>
      <c r="K225" s="10">
        <v>185.7</v>
      </c>
      <c r="L225" s="10">
        <v>0</v>
      </c>
      <c r="M225" s="10">
        <v>136</v>
      </c>
      <c r="N225" s="10">
        <v>137</v>
      </c>
      <c r="O225" s="10">
        <v>117</v>
      </c>
      <c r="P225" s="10">
        <v>128</v>
      </c>
      <c r="Q225" s="10">
        <v>25.5</v>
      </c>
      <c r="R225" s="10">
        <v>1998</v>
      </c>
      <c r="S225" s="10">
        <v>1.1399999999999999</v>
      </c>
      <c r="T225" s="10">
        <v>2273</v>
      </c>
      <c r="U225" s="10">
        <v>275</v>
      </c>
      <c r="V225" s="10">
        <v>106</v>
      </c>
      <c r="W225" s="10">
        <v>61</v>
      </c>
      <c r="X225" s="10">
        <v>989</v>
      </c>
      <c r="Y225" s="10">
        <v>51</v>
      </c>
      <c r="Z225" s="10">
        <v>868</v>
      </c>
      <c r="AA225" s="10">
        <v>0.83699999999999997</v>
      </c>
      <c r="AB225" s="10">
        <v>229</v>
      </c>
      <c r="AC225" s="10">
        <v>272</v>
      </c>
      <c r="AD225" s="10">
        <v>760</v>
      </c>
      <c r="AE225" s="10">
        <v>-3</v>
      </c>
      <c r="AF225" s="10">
        <v>6</v>
      </c>
      <c r="AG225" s="9" t="s">
        <v>184</v>
      </c>
      <c r="AH225" s="9" t="s">
        <v>169</v>
      </c>
      <c r="AI225" s="9" t="s">
        <v>185</v>
      </c>
      <c r="AJ225" s="10"/>
      <c r="AK225" s="30"/>
    </row>
    <row r="226" spans="5:37">
      <c r="E226" s="28" t="s">
        <v>155</v>
      </c>
      <c r="F226" s="8" t="s">
        <v>1152</v>
      </c>
      <c r="G226" s="9" t="s">
        <v>632</v>
      </c>
      <c r="H226" s="10">
        <v>181</v>
      </c>
      <c r="I226" s="9" t="s">
        <v>158</v>
      </c>
      <c r="J226" s="10">
        <v>181</v>
      </c>
      <c r="K226" s="10">
        <v>179.9</v>
      </c>
      <c r="L226" s="10">
        <v>126</v>
      </c>
      <c r="M226" s="10">
        <v>149</v>
      </c>
      <c r="N226" s="10">
        <v>138</v>
      </c>
      <c r="O226" s="10">
        <v>106</v>
      </c>
      <c r="P226" s="10">
        <v>128</v>
      </c>
      <c r="Q226" s="10">
        <v>19.899999999999999</v>
      </c>
      <c r="R226" s="10">
        <v>2090</v>
      </c>
      <c r="S226" s="10">
        <v>1</v>
      </c>
      <c r="T226" s="10">
        <v>2091</v>
      </c>
      <c r="U226" s="10">
        <v>221</v>
      </c>
      <c r="V226" s="10">
        <v>113</v>
      </c>
      <c r="W226" s="10">
        <v>58</v>
      </c>
      <c r="X226" s="10">
        <v>316</v>
      </c>
      <c r="Y226" s="10">
        <v>19</v>
      </c>
      <c r="Z226" s="10">
        <v>221</v>
      </c>
      <c r="AA226" s="10">
        <v>0.32200000000000001</v>
      </c>
      <c r="AB226" s="10">
        <v>169</v>
      </c>
      <c r="AC226" s="10">
        <v>141</v>
      </c>
      <c r="AD226" s="10">
        <v>147</v>
      </c>
      <c r="AE226" s="10">
        <v>5</v>
      </c>
      <c r="AF226" s="10">
        <v>8.8000000000000007</v>
      </c>
      <c r="AG226" s="9" t="s">
        <v>178</v>
      </c>
      <c r="AH226" s="10"/>
      <c r="AI226" s="10"/>
      <c r="AJ226" s="10"/>
      <c r="AK226" s="30"/>
    </row>
    <row r="227" spans="5:37">
      <c r="E227" s="28" t="s">
        <v>155</v>
      </c>
      <c r="F227" s="8" t="s">
        <v>1152</v>
      </c>
      <c r="G227" s="9" t="s">
        <v>879</v>
      </c>
      <c r="H227" s="10">
        <v>181</v>
      </c>
      <c r="I227" s="9" t="s">
        <v>158</v>
      </c>
      <c r="J227" s="10">
        <v>181</v>
      </c>
      <c r="K227" s="10">
        <v>180.2</v>
      </c>
      <c r="L227" s="10">
        <v>131</v>
      </c>
      <c r="M227" s="10">
        <v>151</v>
      </c>
      <c r="N227" s="10">
        <v>134</v>
      </c>
      <c r="O227" s="10">
        <v>98</v>
      </c>
      <c r="P227" s="10">
        <v>122</v>
      </c>
      <c r="Q227" s="10">
        <v>17.8</v>
      </c>
      <c r="R227" s="10">
        <v>2261</v>
      </c>
      <c r="S227" s="10">
        <v>0.88</v>
      </c>
      <c r="T227" s="10">
        <v>1982</v>
      </c>
      <c r="U227" s="10">
        <v>248</v>
      </c>
      <c r="V227" s="10">
        <v>153</v>
      </c>
      <c r="W227" s="10">
        <v>51</v>
      </c>
      <c r="X227" s="10">
        <v>285</v>
      </c>
      <c r="Y227" s="10">
        <v>14</v>
      </c>
      <c r="Z227" s="10">
        <v>206</v>
      </c>
      <c r="AA227" s="10">
        <v>0.28299999999999997</v>
      </c>
      <c r="AB227" s="10">
        <v>160</v>
      </c>
      <c r="AC227" s="10">
        <v>132</v>
      </c>
      <c r="AD227" s="10">
        <v>125</v>
      </c>
      <c r="AE227" s="10">
        <v>5</v>
      </c>
      <c r="AF227" s="10">
        <v>8.9</v>
      </c>
      <c r="AG227" s="9" t="s">
        <v>188</v>
      </c>
      <c r="AH227" s="10"/>
      <c r="AI227" s="10"/>
      <c r="AJ227" s="10"/>
      <c r="AK227" s="30"/>
    </row>
    <row r="228" spans="5:37">
      <c r="E228" s="28" t="s">
        <v>155</v>
      </c>
      <c r="F228" s="8" t="s">
        <v>1152</v>
      </c>
      <c r="G228" s="9" t="s">
        <v>745</v>
      </c>
      <c r="H228" s="10">
        <v>171</v>
      </c>
      <c r="I228" s="9" t="s">
        <v>163</v>
      </c>
      <c r="J228" s="10">
        <v>171</v>
      </c>
      <c r="K228" s="10">
        <v>170.4</v>
      </c>
      <c r="L228" s="10">
        <v>128</v>
      </c>
      <c r="M228" s="10">
        <v>143</v>
      </c>
      <c r="N228" s="10">
        <v>133</v>
      </c>
      <c r="O228" s="10">
        <v>98</v>
      </c>
      <c r="P228" s="10">
        <v>121</v>
      </c>
      <c r="Q228" s="10">
        <v>16.600000000000001</v>
      </c>
      <c r="R228" s="10">
        <v>1988</v>
      </c>
      <c r="S228" s="10">
        <v>0.94</v>
      </c>
      <c r="T228" s="10">
        <v>1865</v>
      </c>
      <c r="U228" s="10">
        <v>205</v>
      </c>
      <c r="V228" s="10">
        <v>125</v>
      </c>
      <c r="W228" s="10">
        <v>43</v>
      </c>
      <c r="X228" s="10">
        <v>257</v>
      </c>
      <c r="Y228" s="10">
        <v>8</v>
      </c>
      <c r="Z228" s="10">
        <v>162</v>
      </c>
      <c r="AA228" s="10">
        <v>0.191</v>
      </c>
      <c r="AB228" s="10">
        <v>151</v>
      </c>
      <c r="AC228" s="10">
        <v>125</v>
      </c>
      <c r="AD228" s="10">
        <v>107</v>
      </c>
      <c r="AE228" s="10">
        <v>8</v>
      </c>
      <c r="AF228" s="10">
        <v>7.9</v>
      </c>
      <c r="AG228" s="9" t="s">
        <v>188</v>
      </c>
      <c r="AH228" s="10"/>
      <c r="AI228" s="10"/>
      <c r="AJ228" s="10"/>
      <c r="AK228" s="30"/>
    </row>
    <row r="229" spans="5:37">
      <c r="E229" s="28" t="s">
        <v>155</v>
      </c>
      <c r="F229" s="8" t="s">
        <v>1152</v>
      </c>
      <c r="G229" s="9" t="s">
        <v>192</v>
      </c>
      <c r="H229" s="10">
        <v>184</v>
      </c>
      <c r="I229" s="9" t="s">
        <v>158</v>
      </c>
      <c r="J229" s="10">
        <v>184</v>
      </c>
      <c r="K229" s="10">
        <v>182.6</v>
      </c>
      <c r="L229" s="10">
        <v>0</v>
      </c>
      <c r="M229" s="10">
        <v>130</v>
      </c>
      <c r="N229" s="10">
        <v>121</v>
      </c>
      <c r="O229" s="10">
        <v>103</v>
      </c>
      <c r="P229" s="10">
        <v>111</v>
      </c>
      <c r="Q229" s="10">
        <v>28.4</v>
      </c>
      <c r="R229" s="10">
        <v>1810</v>
      </c>
      <c r="S229" s="10">
        <v>1.0900000000000001</v>
      </c>
      <c r="T229" s="10">
        <v>1969</v>
      </c>
      <c r="U229" s="10">
        <v>221</v>
      </c>
      <c r="V229" s="10">
        <v>96</v>
      </c>
      <c r="W229" s="10">
        <v>67</v>
      </c>
      <c r="X229" s="10">
        <v>972</v>
      </c>
      <c r="Y229" s="10">
        <v>26</v>
      </c>
      <c r="Z229" s="10">
        <v>854</v>
      </c>
      <c r="AA229" s="10">
        <v>0.39400000000000002</v>
      </c>
      <c r="AB229" s="10">
        <v>216</v>
      </c>
      <c r="AC229" s="10">
        <v>309</v>
      </c>
      <c r="AD229" s="10">
        <v>756</v>
      </c>
      <c r="AE229" s="10">
        <v>-7</v>
      </c>
      <c r="AF229" s="10">
        <v>5.9</v>
      </c>
      <c r="AG229" s="9" t="s">
        <v>188</v>
      </c>
      <c r="AH229" s="9" t="s">
        <v>169</v>
      </c>
      <c r="AI229" s="9" t="s">
        <v>178</v>
      </c>
      <c r="AJ229" s="9" t="s">
        <v>185</v>
      </c>
      <c r="AK229" s="30"/>
    </row>
    <row r="230" spans="5:37">
      <c r="E230" s="28" t="s">
        <v>155</v>
      </c>
      <c r="F230" s="8" t="s">
        <v>1152</v>
      </c>
      <c r="G230" s="9" t="s">
        <v>195</v>
      </c>
      <c r="H230" s="10">
        <v>184</v>
      </c>
      <c r="I230" s="9" t="s">
        <v>158</v>
      </c>
      <c r="J230" s="10">
        <v>184</v>
      </c>
      <c r="K230" s="10">
        <v>182.2</v>
      </c>
      <c r="L230" s="10">
        <v>0</v>
      </c>
      <c r="M230" s="10">
        <v>131</v>
      </c>
      <c r="N230" s="10">
        <v>136</v>
      </c>
      <c r="O230" s="10">
        <v>122</v>
      </c>
      <c r="P230" s="10">
        <v>129</v>
      </c>
      <c r="Q230" s="10">
        <v>31.2</v>
      </c>
      <c r="R230" s="10">
        <v>2031</v>
      </c>
      <c r="S230" s="10">
        <v>1.1200000000000001</v>
      </c>
      <c r="T230" s="10">
        <v>2279</v>
      </c>
      <c r="U230" s="10">
        <v>287</v>
      </c>
      <c r="V230" s="10">
        <v>124</v>
      </c>
      <c r="W230" s="10">
        <v>83</v>
      </c>
      <c r="X230" s="10">
        <v>968</v>
      </c>
      <c r="Y230" s="10">
        <v>34</v>
      </c>
      <c r="Z230" s="10">
        <v>854</v>
      </c>
      <c r="AA230" s="10">
        <v>0.40500000000000003</v>
      </c>
      <c r="AB230" s="10">
        <v>238</v>
      </c>
      <c r="AC230" s="10">
        <v>276</v>
      </c>
      <c r="AD230" s="10">
        <v>730</v>
      </c>
      <c r="AE230" s="10">
        <v>-10</v>
      </c>
      <c r="AF230" s="10">
        <v>5.7</v>
      </c>
      <c r="AG230" s="9" t="s">
        <v>169</v>
      </c>
      <c r="AH230" s="9" t="s">
        <v>185</v>
      </c>
      <c r="AI230" s="10"/>
      <c r="AJ230" s="10"/>
      <c r="AK230" s="30"/>
    </row>
    <row r="231" spans="5:37">
      <c r="E231" s="28" t="s">
        <v>155</v>
      </c>
      <c r="F231" s="8" t="s">
        <v>1152</v>
      </c>
      <c r="G231" s="9" t="s">
        <v>191</v>
      </c>
      <c r="H231" s="10">
        <v>184</v>
      </c>
      <c r="I231" s="9" t="s">
        <v>158</v>
      </c>
      <c r="J231" s="10">
        <v>184</v>
      </c>
      <c r="K231" s="10">
        <v>182.1</v>
      </c>
      <c r="L231" s="10">
        <v>146</v>
      </c>
      <c r="M231" s="10">
        <v>149</v>
      </c>
      <c r="N231" s="10">
        <v>126</v>
      </c>
      <c r="O231" s="10">
        <v>98</v>
      </c>
      <c r="P231" s="10">
        <v>122</v>
      </c>
      <c r="Q231" s="10">
        <v>18.8</v>
      </c>
      <c r="R231" s="10">
        <v>1760</v>
      </c>
      <c r="S231" s="10">
        <v>1.1200000000000001</v>
      </c>
      <c r="T231" s="10">
        <v>1978</v>
      </c>
      <c r="U231" s="10">
        <v>181</v>
      </c>
      <c r="V231" s="10">
        <v>87</v>
      </c>
      <c r="W231" s="10">
        <v>40</v>
      </c>
      <c r="X231" s="10">
        <v>202</v>
      </c>
      <c r="Y231" s="10">
        <v>30</v>
      </c>
      <c r="Z231" s="10">
        <v>155</v>
      </c>
      <c r="AA231" s="10">
        <v>0.746</v>
      </c>
      <c r="AB231" s="10">
        <v>176</v>
      </c>
      <c r="AC231" s="10">
        <v>154</v>
      </c>
      <c r="AD231" s="10">
        <v>27</v>
      </c>
      <c r="AE231" s="10">
        <v>8</v>
      </c>
      <c r="AF231" s="10">
        <v>3.6</v>
      </c>
      <c r="AG231" s="9" t="s">
        <v>188</v>
      </c>
      <c r="AH231" s="9" t="s">
        <v>185</v>
      </c>
      <c r="AI231" s="10"/>
      <c r="AJ231" s="10"/>
      <c r="AK231" s="30"/>
    </row>
    <row r="232" spans="5:37">
      <c r="E232" s="28" t="s">
        <v>155</v>
      </c>
      <c r="F232" s="8" t="s">
        <v>182</v>
      </c>
      <c r="G232" s="9" t="s">
        <v>187</v>
      </c>
      <c r="H232" s="10">
        <v>172</v>
      </c>
      <c r="I232" s="9" t="s">
        <v>158</v>
      </c>
      <c r="J232" s="10">
        <v>172</v>
      </c>
      <c r="K232" s="10">
        <v>170.4</v>
      </c>
      <c r="L232" s="10">
        <v>119</v>
      </c>
      <c r="M232" s="10">
        <v>140</v>
      </c>
      <c r="N232" s="10">
        <v>132</v>
      </c>
      <c r="O232" s="10">
        <v>105</v>
      </c>
      <c r="P232" s="10">
        <v>122</v>
      </c>
      <c r="Q232" s="10">
        <v>20</v>
      </c>
      <c r="R232" s="10">
        <v>1948</v>
      </c>
      <c r="S232" s="10">
        <v>0.98</v>
      </c>
      <c r="T232" s="10">
        <v>1900</v>
      </c>
      <c r="U232" s="10">
        <v>187</v>
      </c>
      <c r="V232" s="10">
        <v>103</v>
      </c>
      <c r="W232" s="10">
        <v>55</v>
      </c>
      <c r="X232" s="10">
        <v>280</v>
      </c>
      <c r="Y232" s="10">
        <v>43</v>
      </c>
      <c r="Z232" s="10">
        <v>237</v>
      </c>
      <c r="AA232" s="10">
        <v>0.78</v>
      </c>
      <c r="AB232" s="10">
        <v>150</v>
      </c>
      <c r="AC232" s="10">
        <v>155</v>
      </c>
      <c r="AD232" s="10">
        <v>130</v>
      </c>
      <c r="AE232" s="10">
        <v>7</v>
      </c>
      <c r="AF232" s="10">
        <v>5.4</v>
      </c>
      <c r="AG232" s="9" t="s">
        <v>188</v>
      </c>
      <c r="AH232" s="9" t="s">
        <v>169</v>
      </c>
      <c r="AI232" s="10"/>
      <c r="AJ232" s="10"/>
      <c r="AK232" s="30"/>
    </row>
    <row r="233" spans="5:37">
      <c r="E233" s="28" t="s">
        <v>155</v>
      </c>
      <c r="F233" s="8" t="s">
        <v>182</v>
      </c>
      <c r="G233" s="9" t="s">
        <v>187</v>
      </c>
      <c r="H233" s="10">
        <v>180</v>
      </c>
      <c r="I233" s="9" t="s">
        <v>158</v>
      </c>
      <c r="J233" s="10">
        <v>180</v>
      </c>
      <c r="K233" s="10">
        <v>177.9</v>
      </c>
      <c r="L233" s="10">
        <v>125</v>
      </c>
      <c r="M233" s="10">
        <v>140</v>
      </c>
      <c r="N233" s="10">
        <v>132</v>
      </c>
      <c r="O233" s="10">
        <v>105</v>
      </c>
      <c r="P233" s="10">
        <v>121</v>
      </c>
      <c r="Q233" s="10">
        <v>20.7</v>
      </c>
      <c r="R233" s="10">
        <v>2142</v>
      </c>
      <c r="S233" s="10">
        <v>0.93</v>
      </c>
      <c r="T233" s="10">
        <v>1983</v>
      </c>
      <c r="U233" s="10">
        <v>242</v>
      </c>
      <c r="V233" s="10">
        <v>119</v>
      </c>
      <c r="W233" s="10">
        <v>53</v>
      </c>
      <c r="X233" s="10">
        <v>285</v>
      </c>
      <c r="Y233" s="10">
        <v>46</v>
      </c>
      <c r="Z233" s="10">
        <v>242</v>
      </c>
      <c r="AA233" s="10">
        <v>0.85199999999999998</v>
      </c>
      <c r="AB233" s="10">
        <v>177</v>
      </c>
      <c r="AC233" s="10">
        <v>200</v>
      </c>
      <c r="AD233" s="10">
        <v>108</v>
      </c>
      <c r="AE233" s="10">
        <v>8</v>
      </c>
      <c r="AF233" s="10">
        <v>5.4</v>
      </c>
      <c r="AG233" s="9" t="s">
        <v>188</v>
      </c>
      <c r="AH233" s="9" t="s">
        <v>184</v>
      </c>
      <c r="AI233" s="9" t="s">
        <v>169</v>
      </c>
      <c r="AJ233" s="10"/>
      <c r="AK233" s="30"/>
    </row>
    <row r="234" spans="5:37">
      <c r="E234" s="28" t="s">
        <v>155</v>
      </c>
      <c r="F234" s="8" t="s">
        <v>182</v>
      </c>
      <c r="G234" s="9" t="s">
        <v>187</v>
      </c>
      <c r="H234" s="10">
        <v>188</v>
      </c>
      <c r="I234" s="9" t="s">
        <v>158</v>
      </c>
      <c r="J234" s="10">
        <v>188</v>
      </c>
      <c r="K234" s="10">
        <v>186.1</v>
      </c>
      <c r="L234" s="10">
        <v>131</v>
      </c>
      <c r="M234" s="10">
        <v>151</v>
      </c>
      <c r="N234" s="10">
        <v>136</v>
      </c>
      <c r="O234" s="10">
        <v>105</v>
      </c>
      <c r="P234" s="10">
        <v>124</v>
      </c>
      <c r="Q234" s="10">
        <v>21.8</v>
      </c>
      <c r="R234" s="10">
        <v>2335</v>
      </c>
      <c r="S234" s="10">
        <v>0.9</v>
      </c>
      <c r="T234" s="10">
        <v>2091</v>
      </c>
      <c r="U234" s="10">
        <v>263</v>
      </c>
      <c r="V234" s="10">
        <v>135</v>
      </c>
      <c r="W234" s="10">
        <v>56</v>
      </c>
      <c r="X234" s="10">
        <v>298</v>
      </c>
      <c r="Y234" s="10">
        <v>46</v>
      </c>
      <c r="Z234" s="10">
        <v>253</v>
      </c>
      <c r="AA234" s="10">
        <v>0.82299999999999995</v>
      </c>
      <c r="AB234" s="10">
        <v>174</v>
      </c>
      <c r="AC234" s="10">
        <v>174</v>
      </c>
      <c r="AD234" s="10">
        <v>125</v>
      </c>
      <c r="AE234" s="10">
        <v>9</v>
      </c>
      <c r="AF234" s="10">
        <v>5.2</v>
      </c>
      <c r="AG234" s="9" t="s">
        <v>188</v>
      </c>
      <c r="AH234" s="9" t="s">
        <v>184</v>
      </c>
      <c r="AI234" s="9" t="s">
        <v>169</v>
      </c>
      <c r="AJ234" s="10"/>
      <c r="AK234" s="30"/>
    </row>
    <row r="235" spans="5:37">
      <c r="E235" s="28" t="s">
        <v>155</v>
      </c>
      <c r="F235" s="8" t="s">
        <v>182</v>
      </c>
      <c r="G235" s="9" t="s">
        <v>183</v>
      </c>
      <c r="H235" s="10">
        <v>165</v>
      </c>
      <c r="I235" s="9" t="s">
        <v>158</v>
      </c>
      <c r="J235" s="10">
        <v>165</v>
      </c>
      <c r="K235" s="10">
        <v>163.4</v>
      </c>
      <c r="L235" s="10">
        <v>101</v>
      </c>
      <c r="M235" s="10">
        <v>122</v>
      </c>
      <c r="N235" s="10">
        <v>137</v>
      </c>
      <c r="O235" s="10">
        <v>115</v>
      </c>
      <c r="P235" s="10">
        <v>133</v>
      </c>
      <c r="Q235" s="10">
        <v>16.2</v>
      </c>
      <c r="R235" s="10">
        <v>1617</v>
      </c>
      <c r="S235" s="10">
        <v>1.24</v>
      </c>
      <c r="T235" s="10">
        <v>2008</v>
      </c>
      <c r="U235" s="10">
        <v>166</v>
      </c>
      <c r="V235" s="10">
        <v>94</v>
      </c>
      <c r="W235" s="10">
        <v>57</v>
      </c>
      <c r="X235" s="10">
        <v>324</v>
      </c>
      <c r="Y235" s="10">
        <v>56</v>
      </c>
      <c r="Z235" s="10">
        <v>304</v>
      </c>
      <c r="AA235" s="10">
        <v>0.98699999999999999</v>
      </c>
      <c r="AB235" s="10">
        <v>226</v>
      </c>
      <c r="AC235" s="10">
        <v>188</v>
      </c>
      <c r="AD235" s="10">
        <v>98</v>
      </c>
      <c r="AE235" s="10">
        <v>5</v>
      </c>
      <c r="AF235" s="10">
        <v>5.8</v>
      </c>
      <c r="AG235" s="9" t="s">
        <v>184</v>
      </c>
      <c r="AH235" s="9" t="s">
        <v>169</v>
      </c>
      <c r="AI235" s="9" t="s">
        <v>185</v>
      </c>
      <c r="AJ235" s="10"/>
      <c r="AK235" s="30"/>
    </row>
    <row r="236" spans="5:37">
      <c r="E236" s="28" t="s">
        <v>155</v>
      </c>
      <c r="F236" s="8" t="s">
        <v>182</v>
      </c>
      <c r="G236" s="9" t="s">
        <v>183</v>
      </c>
      <c r="H236" s="10">
        <v>175</v>
      </c>
      <c r="I236" s="9" t="s">
        <v>158</v>
      </c>
      <c r="J236" s="10">
        <v>175</v>
      </c>
      <c r="K236" s="10">
        <v>173.2</v>
      </c>
      <c r="L236" s="10">
        <v>103</v>
      </c>
      <c r="M236" s="10">
        <v>130</v>
      </c>
      <c r="N236" s="10">
        <v>138</v>
      </c>
      <c r="O236" s="10">
        <v>115</v>
      </c>
      <c r="P236" s="10">
        <v>135</v>
      </c>
      <c r="Q236" s="10">
        <v>17.5</v>
      </c>
      <c r="R236" s="10">
        <v>1700</v>
      </c>
      <c r="S236" s="10">
        <v>1.24</v>
      </c>
      <c r="T236" s="10">
        <v>2109</v>
      </c>
      <c r="U236" s="10">
        <v>185</v>
      </c>
      <c r="V236" s="10">
        <v>96</v>
      </c>
      <c r="W236" s="10">
        <v>63</v>
      </c>
      <c r="X236" s="10">
        <v>359</v>
      </c>
      <c r="Y236" s="10">
        <v>63</v>
      </c>
      <c r="Z236" s="10">
        <v>344</v>
      </c>
      <c r="AA236" s="10">
        <v>0.98599999999999999</v>
      </c>
      <c r="AB236" s="10">
        <v>239</v>
      </c>
      <c r="AC236" s="10">
        <v>197</v>
      </c>
      <c r="AD236" s="10">
        <v>120</v>
      </c>
      <c r="AE236" s="10">
        <v>3</v>
      </c>
      <c r="AF236" s="10">
        <v>6</v>
      </c>
      <c r="AG236" s="9" t="s">
        <v>184</v>
      </c>
      <c r="AH236" s="9" t="s">
        <v>169</v>
      </c>
      <c r="AI236" s="9" t="s">
        <v>185</v>
      </c>
      <c r="AJ236" s="10"/>
      <c r="AK236" s="30"/>
    </row>
    <row r="237" spans="5:37">
      <c r="E237" s="28" t="s">
        <v>155</v>
      </c>
      <c r="F237" s="8" t="s">
        <v>182</v>
      </c>
      <c r="G237" s="9" t="s">
        <v>183</v>
      </c>
      <c r="H237" s="10">
        <v>185</v>
      </c>
      <c r="I237" s="9" t="s">
        <v>158</v>
      </c>
      <c r="J237" s="10">
        <v>185</v>
      </c>
      <c r="K237" s="10">
        <v>183</v>
      </c>
      <c r="L237" s="10">
        <v>113</v>
      </c>
      <c r="M237" s="10">
        <v>136</v>
      </c>
      <c r="N237" s="10">
        <v>138</v>
      </c>
      <c r="O237" s="10">
        <v>115</v>
      </c>
      <c r="P237" s="10">
        <v>134</v>
      </c>
      <c r="Q237" s="10">
        <v>18.5</v>
      </c>
      <c r="R237" s="10">
        <v>1783</v>
      </c>
      <c r="S237" s="10">
        <v>1.24</v>
      </c>
      <c r="T237" s="10">
        <v>2218</v>
      </c>
      <c r="U237" s="10">
        <v>203</v>
      </c>
      <c r="V237" s="10">
        <v>103</v>
      </c>
      <c r="W237" s="10">
        <v>66</v>
      </c>
      <c r="X237" s="10">
        <v>361</v>
      </c>
      <c r="Y237" s="10">
        <v>63</v>
      </c>
      <c r="Z237" s="10">
        <v>340</v>
      </c>
      <c r="AA237" s="10">
        <v>0.95299999999999996</v>
      </c>
      <c r="AB237" s="10">
        <v>236</v>
      </c>
      <c r="AC237" s="10">
        <v>231</v>
      </c>
      <c r="AD237" s="10">
        <v>124</v>
      </c>
      <c r="AE237" s="10">
        <v>4</v>
      </c>
      <c r="AF237" s="10">
        <v>5.4</v>
      </c>
      <c r="AG237" s="9" t="s">
        <v>184</v>
      </c>
      <c r="AH237" s="9" t="s">
        <v>169</v>
      </c>
      <c r="AI237" s="9" t="s">
        <v>185</v>
      </c>
      <c r="AJ237" s="10"/>
      <c r="AK237" s="30"/>
    </row>
    <row r="238" spans="5:37">
      <c r="E238" s="28" t="s">
        <v>155</v>
      </c>
      <c r="F238" s="8" t="s">
        <v>182</v>
      </c>
      <c r="G238" s="9" t="s">
        <v>183</v>
      </c>
      <c r="H238" s="10">
        <v>192</v>
      </c>
      <c r="I238" s="9" t="s">
        <v>158</v>
      </c>
      <c r="J238" s="10">
        <v>192</v>
      </c>
      <c r="K238" s="10">
        <v>188.2</v>
      </c>
      <c r="L238" s="10">
        <v>121</v>
      </c>
      <c r="M238" s="10">
        <v>138</v>
      </c>
      <c r="N238" s="10">
        <v>138</v>
      </c>
      <c r="O238" s="10">
        <v>115</v>
      </c>
      <c r="P238" s="10">
        <v>134</v>
      </c>
      <c r="Q238" s="10">
        <v>19.3</v>
      </c>
      <c r="R238" s="10">
        <v>1874</v>
      </c>
      <c r="S238" s="10">
        <v>1.21</v>
      </c>
      <c r="T238" s="10">
        <v>2270</v>
      </c>
      <c r="U238" s="10">
        <v>239</v>
      </c>
      <c r="V238" s="10">
        <v>118</v>
      </c>
      <c r="W238" s="10">
        <v>62</v>
      </c>
      <c r="X238" s="10">
        <v>359</v>
      </c>
      <c r="Y238" s="10">
        <v>52</v>
      </c>
      <c r="Z238" s="10">
        <v>318</v>
      </c>
      <c r="AA238" s="10">
        <v>0.83899999999999997</v>
      </c>
      <c r="AB238" s="10">
        <v>270</v>
      </c>
      <c r="AC238" s="10">
        <v>234</v>
      </c>
      <c r="AD238" s="10">
        <v>89</v>
      </c>
      <c r="AE238" s="10">
        <v>5</v>
      </c>
      <c r="AF238" s="10">
        <v>6.7</v>
      </c>
      <c r="AG238" s="9" t="s">
        <v>184</v>
      </c>
      <c r="AH238" s="9" t="s">
        <v>169</v>
      </c>
      <c r="AI238" s="9" t="s">
        <v>185</v>
      </c>
      <c r="AJ238" s="10"/>
      <c r="AK238" s="30"/>
    </row>
    <row r="239" spans="5:37">
      <c r="E239" s="28" t="s">
        <v>155</v>
      </c>
      <c r="F239" s="8" t="s">
        <v>182</v>
      </c>
      <c r="G239" s="9" t="s">
        <v>193</v>
      </c>
      <c r="H239" s="10">
        <v>143</v>
      </c>
      <c r="I239" s="9" t="s">
        <v>158</v>
      </c>
      <c r="J239" s="10">
        <v>143</v>
      </c>
      <c r="K239" s="10">
        <v>140.9</v>
      </c>
      <c r="L239" s="10">
        <v>98</v>
      </c>
      <c r="M239" s="10">
        <v>116</v>
      </c>
      <c r="N239" s="10">
        <v>116</v>
      </c>
      <c r="O239" s="10">
        <v>84</v>
      </c>
      <c r="P239" s="10">
        <v>108</v>
      </c>
      <c r="Q239" s="10">
        <v>10.5</v>
      </c>
      <c r="R239" s="10">
        <v>1373</v>
      </c>
      <c r="S239" s="10">
        <v>0.99</v>
      </c>
      <c r="T239" s="10">
        <v>1353</v>
      </c>
      <c r="U239" s="10">
        <v>112</v>
      </c>
      <c r="V239" s="10">
        <v>43</v>
      </c>
      <c r="W239" s="10">
        <v>47</v>
      </c>
      <c r="X239" s="10">
        <v>245</v>
      </c>
      <c r="Y239" s="10">
        <v>37</v>
      </c>
      <c r="Z239" s="10">
        <v>189</v>
      </c>
      <c r="AA239" s="10">
        <v>0.76900000000000002</v>
      </c>
      <c r="AB239" s="10">
        <v>130</v>
      </c>
      <c r="AC239" s="10">
        <v>114</v>
      </c>
      <c r="AD239" s="10">
        <v>115</v>
      </c>
      <c r="AE239" s="10">
        <v>5</v>
      </c>
      <c r="AF239" s="10">
        <v>9.1</v>
      </c>
      <c r="AG239" s="9" t="s">
        <v>188</v>
      </c>
      <c r="AH239" s="10"/>
      <c r="AI239" s="10"/>
      <c r="AJ239" s="10"/>
      <c r="AK239" s="30"/>
    </row>
    <row r="240" spans="5:37">
      <c r="E240" s="28" t="s">
        <v>155</v>
      </c>
      <c r="F240" s="8" t="s">
        <v>182</v>
      </c>
      <c r="G240" s="9" t="s">
        <v>193</v>
      </c>
      <c r="H240" s="10">
        <v>150</v>
      </c>
      <c r="I240" s="9" t="s">
        <v>158</v>
      </c>
      <c r="J240" s="10">
        <v>150</v>
      </c>
      <c r="K240" s="10">
        <v>148</v>
      </c>
      <c r="L240" s="10">
        <v>103</v>
      </c>
      <c r="M240" s="10">
        <v>122</v>
      </c>
      <c r="N240" s="10">
        <v>116</v>
      </c>
      <c r="O240" s="10">
        <v>84</v>
      </c>
      <c r="P240" s="10">
        <v>107</v>
      </c>
      <c r="Q240" s="10">
        <v>12</v>
      </c>
      <c r="R240" s="10">
        <v>1466</v>
      </c>
      <c r="S240" s="10">
        <v>0.96</v>
      </c>
      <c r="T240" s="10">
        <v>1412</v>
      </c>
      <c r="U240" s="10">
        <v>124</v>
      </c>
      <c r="V240" s="10">
        <v>45</v>
      </c>
      <c r="W240" s="10">
        <v>49</v>
      </c>
      <c r="X240" s="10">
        <v>256</v>
      </c>
      <c r="Y240" s="10">
        <v>38</v>
      </c>
      <c r="Z240" s="10">
        <v>198</v>
      </c>
      <c r="AA240" s="10">
        <v>0.76900000000000002</v>
      </c>
      <c r="AB240" s="10">
        <v>138</v>
      </c>
      <c r="AC240" s="10">
        <v>121</v>
      </c>
      <c r="AD240" s="10">
        <v>118</v>
      </c>
      <c r="AE240" s="10">
        <v>7</v>
      </c>
      <c r="AF240" s="10">
        <v>5.8</v>
      </c>
      <c r="AG240" s="9" t="s">
        <v>188</v>
      </c>
      <c r="AH240" s="10"/>
      <c r="AI240" s="10"/>
      <c r="AJ240" s="10"/>
      <c r="AK240" s="30"/>
    </row>
    <row r="241" spans="5:37">
      <c r="E241" s="28" t="s">
        <v>155</v>
      </c>
      <c r="F241" s="8" t="s">
        <v>182</v>
      </c>
      <c r="G241" s="9" t="s">
        <v>193</v>
      </c>
      <c r="H241" s="10">
        <v>157</v>
      </c>
      <c r="I241" s="9" t="s">
        <v>158</v>
      </c>
      <c r="J241" s="10">
        <v>157</v>
      </c>
      <c r="K241" s="10">
        <v>155.4</v>
      </c>
      <c r="L241" s="10">
        <v>111</v>
      </c>
      <c r="M241" s="10">
        <v>128</v>
      </c>
      <c r="N241" s="10">
        <v>116</v>
      </c>
      <c r="O241" s="10">
        <v>84</v>
      </c>
      <c r="P241" s="10">
        <v>108</v>
      </c>
      <c r="Q241" s="10">
        <v>13.3</v>
      </c>
      <c r="R241" s="10">
        <v>1533</v>
      </c>
      <c r="S241" s="10">
        <v>0.96</v>
      </c>
      <c r="T241" s="10">
        <v>1479</v>
      </c>
      <c r="U241" s="10">
        <v>130</v>
      </c>
      <c r="V241" s="10">
        <v>47</v>
      </c>
      <c r="W241" s="10">
        <v>46</v>
      </c>
      <c r="X241" s="10">
        <v>248</v>
      </c>
      <c r="Y241" s="10">
        <v>37</v>
      </c>
      <c r="Z241" s="10">
        <v>192</v>
      </c>
      <c r="AA241" s="10">
        <v>0.79800000000000004</v>
      </c>
      <c r="AB241" s="10">
        <v>144</v>
      </c>
      <c r="AC241" s="10">
        <v>126</v>
      </c>
      <c r="AD241" s="10">
        <v>104</v>
      </c>
      <c r="AE241" s="10">
        <v>8</v>
      </c>
      <c r="AF241" s="10">
        <v>6.8</v>
      </c>
      <c r="AG241" s="9" t="s">
        <v>188</v>
      </c>
      <c r="AH241" s="10"/>
      <c r="AI241" s="10"/>
      <c r="AJ241" s="10"/>
      <c r="AK241" s="30"/>
    </row>
    <row r="242" spans="5:37">
      <c r="E242" s="28" t="s">
        <v>155</v>
      </c>
      <c r="F242" s="8" t="s">
        <v>182</v>
      </c>
      <c r="G242" s="9" t="s">
        <v>193</v>
      </c>
      <c r="H242" s="10">
        <v>164</v>
      </c>
      <c r="I242" s="9" t="s">
        <v>158</v>
      </c>
      <c r="J242" s="10">
        <v>164</v>
      </c>
      <c r="K242" s="10">
        <v>162.4</v>
      </c>
      <c r="L242" s="10">
        <v>116</v>
      </c>
      <c r="M242" s="10">
        <v>137</v>
      </c>
      <c r="N242" s="10">
        <v>117</v>
      </c>
      <c r="O242" s="10">
        <v>84</v>
      </c>
      <c r="P242" s="10">
        <v>108</v>
      </c>
      <c r="Q242" s="10">
        <v>15.1</v>
      </c>
      <c r="R242" s="10">
        <v>1673</v>
      </c>
      <c r="S242" s="10">
        <v>0.93</v>
      </c>
      <c r="T242" s="10">
        <v>1556</v>
      </c>
      <c r="U242" s="10">
        <v>151</v>
      </c>
      <c r="V242" s="10">
        <v>59</v>
      </c>
      <c r="W242" s="10">
        <v>46</v>
      </c>
      <c r="X242" s="10">
        <v>267</v>
      </c>
      <c r="Y242" s="10">
        <v>35</v>
      </c>
      <c r="Z242" s="10">
        <v>200</v>
      </c>
      <c r="AA242" s="10">
        <v>0.75600000000000001</v>
      </c>
      <c r="AB242" s="10">
        <v>137</v>
      </c>
      <c r="AC242" s="10">
        <v>117</v>
      </c>
      <c r="AD242" s="10">
        <v>130</v>
      </c>
      <c r="AE242" s="10">
        <v>7</v>
      </c>
      <c r="AF242" s="10">
        <v>7.1</v>
      </c>
      <c r="AG242" s="9" t="s">
        <v>188</v>
      </c>
      <c r="AH242" s="10"/>
      <c r="AI242" s="10"/>
      <c r="AJ242" s="10"/>
      <c r="AK242" s="30"/>
    </row>
    <row r="243" spans="5:37">
      <c r="E243" s="28" t="s">
        <v>155</v>
      </c>
      <c r="F243" s="8" t="s">
        <v>182</v>
      </c>
      <c r="G243" s="9" t="s">
        <v>193</v>
      </c>
      <c r="H243" s="10">
        <v>171</v>
      </c>
      <c r="I243" s="9" t="s">
        <v>158</v>
      </c>
      <c r="J243" s="10">
        <v>171</v>
      </c>
      <c r="K243" s="10">
        <v>169.7</v>
      </c>
      <c r="L243" s="10">
        <v>120</v>
      </c>
      <c r="M243" s="10">
        <v>141</v>
      </c>
      <c r="N243" s="10">
        <v>116</v>
      </c>
      <c r="O243" s="10">
        <v>83</v>
      </c>
      <c r="P243" s="10">
        <v>108</v>
      </c>
      <c r="Q243" s="10">
        <v>16.5</v>
      </c>
      <c r="R243" s="10">
        <v>1790</v>
      </c>
      <c r="S243" s="10">
        <v>0.9</v>
      </c>
      <c r="T243" s="10">
        <v>1612</v>
      </c>
      <c r="U243" s="10">
        <v>176</v>
      </c>
      <c r="V243" s="10">
        <v>69</v>
      </c>
      <c r="W243" s="10">
        <v>49</v>
      </c>
      <c r="X243" s="10">
        <v>283</v>
      </c>
      <c r="Y243" s="10">
        <v>37</v>
      </c>
      <c r="Z243" s="10">
        <v>214</v>
      </c>
      <c r="AA243" s="10">
        <v>0.749</v>
      </c>
      <c r="AB243" s="10">
        <v>159</v>
      </c>
      <c r="AC243" s="10">
        <v>128</v>
      </c>
      <c r="AD243" s="10">
        <v>124</v>
      </c>
      <c r="AE243" s="10">
        <v>8</v>
      </c>
      <c r="AF243" s="10">
        <v>7.2</v>
      </c>
      <c r="AG243" s="9" t="s">
        <v>188</v>
      </c>
      <c r="AH243" s="10"/>
      <c r="AI243" s="10"/>
      <c r="AJ243" s="10"/>
      <c r="AK243" s="30"/>
    </row>
    <row r="244" spans="5:37">
      <c r="E244" s="28" t="s">
        <v>155</v>
      </c>
      <c r="F244" s="8" t="s">
        <v>182</v>
      </c>
      <c r="G244" s="9" t="s">
        <v>491</v>
      </c>
      <c r="H244" s="10">
        <v>163</v>
      </c>
      <c r="I244" s="9" t="s">
        <v>158</v>
      </c>
      <c r="J244" s="10">
        <v>163</v>
      </c>
      <c r="K244" s="10">
        <v>161.19999999999999</v>
      </c>
      <c r="L244" s="10">
        <v>126</v>
      </c>
      <c r="M244" s="10">
        <v>137</v>
      </c>
      <c r="N244" s="10">
        <v>114</v>
      </c>
      <c r="O244" s="10">
        <v>86</v>
      </c>
      <c r="P244" s="10">
        <v>108</v>
      </c>
      <c r="Q244" s="10">
        <v>16.899999999999999</v>
      </c>
      <c r="R244" s="10">
        <v>1525</v>
      </c>
      <c r="S244" s="10">
        <v>1.01</v>
      </c>
      <c r="T244" s="10">
        <v>1537</v>
      </c>
      <c r="U244" s="10">
        <v>151</v>
      </c>
      <c r="V244" s="10">
        <v>81</v>
      </c>
      <c r="W244" s="10">
        <v>44</v>
      </c>
      <c r="X244" s="10">
        <v>182</v>
      </c>
      <c r="Y244" s="10">
        <v>41</v>
      </c>
      <c r="Z244" s="10">
        <v>173</v>
      </c>
      <c r="AA244" s="10">
        <v>0.91900000000000004</v>
      </c>
      <c r="AB244" s="10">
        <v>104</v>
      </c>
      <c r="AC244" s="10">
        <v>138</v>
      </c>
      <c r="AD244" s="10">
        <v>78</v>
      </c>
      <c r="AE244" s="10">
        <v>11</v>
      </c>
      <c r="AF244" s="10">
        <v>3.5</v>
      </c>
      <c r="AG244" s="9" t="s">
        <v>184</v>
      </c>
      <c r="AH244" s="10"/>
      <c r="AI244" s="10"/>
      <c r="AJ244" s="10"/>
      <c r="AK244" s="30"/>
    </row>
    <row r="245" spans="5:37">
      <c r="E245" s="28" t="s">
        <v>155</v>
      </c>
      <c r="F245" s="8" t="s">
        <v>182</v>
      </c>
      <c r="G245" s="9" t="s">
        <v>491</v>
      </c>
      <c r="H245" s="10">
        <v>170</v>
      </c>
      <c r="I245" s="9" t="s">
        <v>158</v>
      </c>
      <c r="J245" s="10">
        <v>170</v>
      </c>
      <c r="K245" s="10">
        <v>167.9</v>
      </c>
      <c r="L245" s="10">
        <v>134</v>
      </c>
      <c r="M245" s="10">
        <v>142</v>
      </c>
      <c r="N245" s="10">
        <v>114</v>
      </c>
      <c r="O245" s="10">
        <v>85</v>
      </c>
      <c r="P245" s="10">
        <v>108</v>
      </c>
      <c r="Q245" s="10">
        <v>17.7</v>
      </c>
      <c r="R245" s="10">
        <v>1710</v>
      </c>
      <c r="S245" s="10">
        <v>0.94</v>
      </c>
      <c r="T245" s="10">
        <v>1606</v>
      </c>
      <c r="U245" s="10">
        <v>175</v>
      </c>
      <c r="V245" s="10">
        <v>103</v>
      </c>
      <c r="W245" s="10">
        <v>43</v>
      </c>
      <c r="X245" s="10">
        <v>179</v>
      </c>
      <c r="Y245" s="10">
        <v>37</v>
      </c>
      <c r="Z245" s="10">
        <v>162</v>
      </c>
      <c r="AA245" s="10">
        <v>0.86899999999999999</v>
      </c>
      <c r="AB245" s="10">
        <v>125</v>
      </c>
      <c r="AC245" s="10">
        <v>130</v>
      </c>
      <c r="AD245" s="10">
        <v>54</v>
      </c>
      <c r="AE245" s="10">
        <v>11</v>
      </c>
      <c r="AF245" s="10">
        <v>3.6</v>
      </c>
      <c r="AG245" s="9" t="s">
        <v>184</v>
      </c>
      <c r="AH245" s="10"/>
      <c r="AI245" s="10"/>
      <c r="AJ245" s="10"/>
      <c r="AK245" s="30"/>
    </row>
    <row r="246" spans="5:37">
      <c r="E246" s="28" t="s">
        <v>155</v>
      </c>
      <c r="F246" s="8" t="s">
        <v>182</v>
      </c>
      <c r="G246" s="9" t="s">
        <v>491</v>
      </c>
      <c r="H246" s="10">
        <v>177</v>
      </c>
      <c r="I246" s="9" t="s">
        <v>158</v>
      </c>
      <c r="J246" s="10">
        <v>177</v>
      </c>
      <c r="K246" s="10">
        <v>174.9</v>
      </c>
      <c r="L246" s="10">
        <v>140</v>
      </c>
      <c r="M246" s="10">
        <v>152</v>
      </c>
      <c r="N246" s="10">
        <v>118</v>
      </c>
      <c r="O246" s="10">
        <v>85</v>
      </c>
      <c r="P246" s="10">
        <v>112</v>
      </c>
      <c r="Q246" s="10">
        <v>18</v>
      </c>
      <c r="R246" s="10">
        <v>1819</v>
      </c>
      <c r="S246" s="10">
        <v>0.93</v>
      </c>
      <c r="T246" s="10">
        <v>1694</v>
      </c>
      <c r="U246" s="10">
        <v>204</v>
      </c>
      <c r="V246" s="10">
        <v>97</v>
      </c>
      <c r="W246" s="10">
        <v>44</v>
      </c>
      <c r="X246" s="10">
        <v>181</v>
      </c>
      <c r="Y246" s="10">
        <v>38</v>
      </c>
      <c r="Z246" s="10">
        <v>169</v>
      </c>
      <c r="AA246" s="10">
        <v>0.85299999999999998</v>
      </c>
      <c r="AB246" s="10">
        <v>108</v>
      </c>
      <c r="AC246" s="10">
        <v>120</v>
      </c>
      <c r="AD246" s="10">
        <v>73</v>
      </c>
      <c r="AE246" s="10">
        <v>11</v>
      </c>
      <c r="AF246" s="10">
        <v>4</v>
      </c>
      <c r="AG246" s="9" t="s">
        <v>188</v>
      </c>
      <c r="AH246" s="9" t="s">
        <v>184</v>
      </c>
      <c r="AI246" s="10"/>
      <c r="AJ246" s="10"/>
      <c r="AK246" s="30"/>
    </row>
    <row r="247" spans="5:37">
      <c r="E247" s="28" t="s">
        <v>155</v>
      </c>
      <c r="F247" s="8" t="s">
        <v>182</v>
      </c>
      <c r="G247" s="9" t="s">
        <v>491</v>
      </c>
      <c r="H247" s="10">
        <v>184</v>
      </c>
      <c r="I247" s="9" t="s">
        <v>158</v>
      </c>
      <c r="J247" s="10">
        <v>184</v>
      </c>
      <c r="K247" s="10">
        <v>181.7</v>
      </c>
      <c r="L247" s="10">
        <v>147</v>
      </c>
      <c r="M247" s="10">
        <v>157</v>
      </c>
      <c r="N247" s="10">
        <v>118</v>
      </c>
      <c r="O247" s="10">
        <v>86</v>
      </c>
      <c r="P247" s="10">
        <v>112</v>
      </c>
      <c r="Q247" s="10">
        <v>18.7</v>
      </c>
      <c r="R247" s="10">
        <v>1901</v>
      </c>
      <c r="S247" s="10">
        <v>0.93</v>
      </c>
      <c r="T247" s="10">
        <v>1766</v>
      </c>
      <c r="U247" s="10">
        <v>222</v>
      </c>
      <c r="V247" s="10">
        <v>114</v>
      </c>
      <c r="W247" s="10">
        <v>45</v>
      </c>
      <c r="X247" s="10">
        <v>187</v>
      </c>
      <c r="Y247" s="10">
        <v>37</v>
      </c>
      <c r="Z247" s="10">
        <v>158</v>
      </c>
      <c r="AA247" s="10">
        <v>0.83799999999999997</v>
      </c>
      <c r="AB247" s="10">
        <v>116</v>
      </c>
      <c r="AC247" s="10">
        <v>129</v>
      </c>
      <c r="AD247" s="10">
        <v>72</v>
      </c>
      <c r="AE247" s="10">
        <v>10</v>
      </c>
      <c r="AF247" s="10">
        <v>4.5999999999999996</v>
      </c>
      <c r="AG247" s="9" t="s">
        <v>188</v>
      </c>
      <c r="AH247" s="9" t="s">
        <v>184</v>
      </c>
      <c r="AI247" s="10"/>
      <c r="AJ247" s="10"/>
      <c r="AK247" s="30"/>
    </row>
    <row r="248" spans="5:37">
      <c r="E248" s="28" t="s">
        <v>155</v>
      </c>
      <c r="F248" s="8" t="s">
        <v>182</v>
      </c>
      <c r="G248" s="9" t="s">
        <v>505</v>
      </c>
      <c r="H248" s="10">
        <v>163</v>
      </c>
      <c r="I248" s="9" t="s">
        <v>158</v>
      </c>
      <c r="J248" s="10">
        <v>163</v>
      </c>
      <c r="K248" s="10">
        <v>161.6</v>
      </c>
      <c r="L248" s="10">
        <v>117</v>
      </c>
      <c r="M248" s="10">
        <v>133</v>
      </c>
      <c r="N248" s="10">
        <v>122</v>
      </c>
      <c r="O248" s="10">
        <v>95</v>
      </c>
      <c r="P248" s="10">
        <v>114</v>
      </c>
      <c r="Q248" s="10">
        <v>17.7</v>
      </c>
      <c r="R248" s="10">
        <v>1627</v>
      </c>
      <c r="S248" s="10">
        <v>1.03</v>
      </c>
      <c r="T248" s="10">
        <v>1675</v>
      </c>
      <c r="U248" s="10">
        <v>141</v>
      </c>
      <c r="V248" s="10">
        <v>86</v>
      </c>
      <c r="W248" s="10">
        <v>48</v>
      </c>
      <c r="X248" s="10">
        <v>237</v>
      </c>
      <c r="Y248" s="10">
        <v>39</v>
      </c>
      <c r="Z248" s="10">
        <v>213</v>
      </c>
      <c r="AA248" s="10">
        <v>0.81299999999999994</v>
      </c>
      <c r="AB248" s="10">
        <v>133</v>
      </c>
      <c r="AC248" s="10">
        <v>155</v>
      </c>
      <c r="AD248" s="10">
        <v>104</v>
      </c>
      <c r="AE248" s="10">
        <v>9</v>
      </c>
      <c r="AF248" s="10">
        <v>4.7</v>
      </c>
      <c r="AG248" s="9" t="s">
        <v>188</v>
      </c>
      <c r="AH248" s="9" t="s">
        <v>184</v>
      </c>
      <c r="AI248" s="10"/>
      <c r="AJ248" s="10"/>
      <c r="AK248" s="30"/>
    </row>
    <row r="249" spans="5:37">
      <c r="E249" s="28" t="s">
        <v>155</v>
      </c>
      <c r="F249" s="8" t="s">
        <v>182</v>
      </c>
      <c r="G249" s="9" t="s">
        <v>505</v>
      </c>
      <c r="H249" s="10">
        <v>170</v>
      </c>
      <c r="I249" s="9" t="s">
        <v>158</v>
      </c>
      <c r="J249" s="10">
        <v>170</v>
      </c>
      <c r="K249" s="10">
        <v>168.9</v>
      </c>
      <c r="L249" s="10">
        <v>126</v>
      </c>
      <c r="M249" s="10">
        <v>141</v>
      </c>
      <c r="N249" s="10">
        <v>123</v>
      </c>
      <c r="O249" s="10">
        <v>95</v>
      </c>
      <c r="P249" s="10">
        <v>115</v>
      </c>
      <c r="Q249" s="10">
        <v>18.7</v>
      </c>
      <c r="R249" s="10">
        <v>1729</v>
      </c>
      <c r="S249" s="10">
        <v>1.02</v>
      </c>
      <c r="T249" s="10">
        <v>1755</v>
      </c>
      <c r="U249" s="10">
        <v>155</v>
      </c>
      <c r="V249" s="10">
        <v>92</v>
      </c>
      <c r="W249" s="10">
        <v>44</v>
      </c>
      <c r="X249" s="10">
        <v>226</v>
      </c>
      <c r="Y249" s="10">
        <v>37</v>
      </c>
      <c r="Z249" s="10">
        <v>205</v>
      </c>
      <c r="AA249" s="10">
        <v>0.83599999999999997</v>
      </c>
      <c r="AB249" s="10">
        <v>135</v>
      </c>
      <c r="AC249" s="10">
        <v>141</v>
      </c>
      <c r="AD249" s="10">
        <v>91</v>
      </c>
      <c r="AE249" s="10">
        <v>11</v>
      </c>
      <c r="AF249" s="10">
        <v>4.8</v>
      </c>
      <c r="AG249" s="9" t="s">
        <v>188</v>
      </c>
      <c r="AH249" s="9" t="s">
        <v>184</v>
      </c>
      <c r="AI249" s="10"/>
      <c r="AJ249" s="10"/>
      <c r="AK249" s="30"/>
    </row>
    <row r="250" spans="5:37">
      <c r="E250" s="28" t="s">
        <v>155</v>
      </c>
      <c r="F250" s="8" t="s">
        <v>182</v>
      </c>
      <c r="G250" s="9" t="s">
        <v>505</v>
      </c>
      <c r="H250" s="10">
        <v>177</v>
      </c>
      <c r="I250" s="9" t="s">
        <v>158</v>
      </c>
      <c r="J250" s="10">
        <v>177</v>
      </c>
      <c r="K250" s="10">
        <v>175.2</v>
      </c>
      <c r="L250" s="10">
        <v>130</v>
      </c>
      <c r="M250" s="10">
        <v>146</v>
      </c>
      <c r="N250" s="10">
        <v>125</v>
      </c>
      <c r="O250" s="10">
        <v>95</v>
      </c>
      <c r="P250" s="10">
        <v>116</v>
      </c>
      <c r="Q250" s="10">
        <v>18.899999999999999</v>
      </c>
      <c r="R250" s="10">
        <v>1938</v>
      </c>
      <c r="S250" s="10">
        <v>0.95</v>
      </c>
      <c r="T250" s="10">
        <v>1845</v>
      </c>
      <c r="U250" s="10">
        <v>215</v>
      </c>
      <c r="V250" s="10">
        <v>115</v>
      </c>
      <c r="W250" s="10">
        <v>45</v>
      </c>
      <c r="X250" s="10">
        <v>233</v>
      </c>
      <c r="Y250" s="10">
        <v>38</v>
      </c>
      <c r="Z250" s="10">
        <v>217</v>
      </c>
      <c r="AA250" s="10">
        <v>0.85199999999999998</v>
      </c>
      <c r="AB250" s="10">
        <v>155</v>
      </c>
      <c r="AC250" s="10">
        <v>138</v>
      </c>
      <c r="AD250" s="10">
        <v>78</v>
      </c>
      <c r="AE250" s="10">
        <v>9</v>
      </c>
      <c r="AF250" s="10">
        <v>5.2</v>
      </c>
      <c r="AG250" s="9" t="s">
        <v>188</v>
      </c>
      <c r="AH250" s="9" t="s">
        <v>184</v>
      </c>
      <c r="AI250" s="10"/>
      <c r="AJ250" s="10"/>
      <c r="AK250" s="30"/>
    </row>
    <row r="251" spans="5:37">
      <c r="E251" s="28" t="s">
        <v>155</v>
      </c>
      <c r="F251" s="8" t="s">
        <v>182</v>
      </c>
      <c r="G251" s="9" t="s">
        <v>505</v>
      </c>
      <c r="H251" s="10">
        <v>184</v>
      </c>
      <c r="I251" s="9" t="s">
        <v>158</v>
      </c>
      <c r="J251" s="10">
        <v>184</v>
      </c>
      <c r="K251" s="10">
        <v>182</v>
      </c>
      <c r="L251" s="10">
        <v>138</v>
      </c>
      <c r="M251" s="10">
        <v>152</v>
      </c>
      <c r="N251" s="10">
        <v>126</v>
      </c>
      <c r="O251" s="10">
        <v>95</v>
      </c>
      <c r="P251" s="10">
        <v>118</v>
      </c>
      <c r="Q251" s="10">
        <v>19.600000000000001</v>
      </c>
      <c r="R251" s="10">
        <v>2068</v>
      </c>
      <c r="S251" s="10">
        <v>0.93</v>
      </c>
      <c r="T251" s="10">
        <v>1924</v>
      </c>
      <c r="U251" s="10">
        <v>233</v>
      </c>
      <c r="V251" s="10">
        <v>123</v>
      </c>
      <c r="W251" s="10">
        <v>45</v>
      </c>
      <c r="X251" s="10">
        <v>233</v>
      </c>
      <c r="Y251" s="10">
        <v>38</v>
      </c>
      <c r="Z251" s="10">
        <v>211</v>
      </c>
      <c r="AA251" s="10">
        <v>0.84799999999999998</v>
      </c>
      <c r="AB251" s="10">
        <v>148</v>
      </c>
      <c r="AC251" s="10">
        <v>156</v>
      </c>
      <c r="AD251" s="10">
        <v>85</v>
      </c>
      <c r="AE251" s="10">
        <v>11</v>
      </c>
      <c r="AF251" s="10">
        <v>5.4</v>
      </c>
      <c r="AG251" s="9" t="s">
        <v>188</v>
      </c>
      <c r="AH251" s="9" t="s">
        <v>184</v>
      </c>
      <c r="AI251" s="10"/>
      <c r="AJ251" s="10"/>
      <c r="AK251" s="30"/>
    </row>
    <row r="252" spans="5:37">
      <c r="E252" s="28" t="s">
        <v>155</v>
      </c>
      <c r="F252" s="8" t="s">
        <v>182</v>
      </c>
      <c r="G252" s="9" t="s">
        <v>220</v>
      </c>
      <c r="H252" s="10">
        <v>164</v>
      </c>
      <c r="I252" s="9" t="s">
        <v>163</v>
      </c>
      <c r="J252" s="10">
        <v>164</v>
      </c>
      <c r="K252" s="10">
        <v>161.80000000000001</v>
      </c>
      <c r="L252" s="10">
        <v>111</v>
      </c>
      <c r="M252" s="10">
        <v>129</v>
      </c>
      <c r="N252" s="10">
        <v>131</v>
      </c>
      <c r="O252" s="10">
        <v>105</v>
      </c>
      <c r="P252" s="10">
        <v>120</v>
      </c>
      <c r="Q252" s="10">
        <v>18.399999999999999</v>
      </c>
      <c r="R252" s="10">
        <v>1668</v>
      </c>
      <c r="S252" s="10">
        <v>1.0900000000000001</v>
      </c>
      <c r="T252" s="10">
        <v>1816</v>
      </c>
      <c r="U252" s="10">
        <v>174</v>
      </c>
      <c r="V252" s="10">
        <v>85</v>
      </c>
      <c r="W252" s="10">
        <v>52</v>
      </c>
      <c r="X252" s="10">
        <v>274</v>
      </c>
      <c r="Y252" s="10">
        <v>44</v>
      </c>
      <c r="Z252" s="10">
        <v>233</v>
      </c>
      <c r="AA252" s="10">
        <v>0.84499999999999997</v>
      </c>
      <c r="AB252" s="10">
        <v>144</v>
      </c>
      <c r="AC252" s="10">
        <v>188</v>
      </c>
      <c r="AD252" s="10">
        <v>129</v>
      </c>
      <c r="AE252" s="10">
        <v>5</v>
      </c>
      <c r="AF252" s="10">
        <v>2.6</v>
      </c>
      <c r="AG252" s="9" t="s">
        <v>188</v>
      </c>
      <c r="AH252" s="9" t="s">
        <v>184</v>
      </c>
      <c r="AI252" s="9" t="s">
        <v>169</v>
      </c>
      <c r="AJ252" s="9" t="s">
        <v>185</v>
      </c>
      <c r="AK252" s="30"/>
    </row>
    <row r="253" spans="5:37">
      <c r="E253" s="28" t="s">
        <v>155</v>
      </c>
      <c r="F253" s="8" t="s">
        <v>182</v>
      </c>
      <c r="G253" s="9" t="s">
        <v>220</v>
      </c>
      <c r="H253" s="10">
        <v>172</v>
      </c>
      <c r="I253" s="9" t="s">
        <v>163</v>
      </c>
      <c r="J253" s="10">
        <v>172</v>
      </c>
      <c r="K253" s="10">
        <v>170.1</v>
      </c>
      <c r="L253" s="10">
        <v>119</v>
      </c>
      <c r="M253" s="10">
        <v>137</v>
      </c>
      <c r="N253" s="10">
        <v>133</v>
      </c>
      <c r="O253" s="10">
        <v>105</v>
      </c>
      <c r="P253" s="10">
        <v>122</v>
      </c>
      <c r="Q253" s="10">
        <v>19.3</v>
      </c>
      <c r="R253" s="10">
        <v>1762</v>
      </c>
      <c r="S253" s="10">
        <v>1.0900000000000001</v>
      </c>
      <c r="T253" s="10">
        <v>1917</v>
      </c>
      <c r="U253" s="10">
        <v>200</v>
      </c>
      <c r="V253" s="10">
        <v>97</v>
      </c>
      <c r="W253" s="10">
        <v>54</v>
      </c>
      <c r="X253" s="10">
        <v>275</v>
      </c>
      <c r="Y253" s="10">
        <v>44</v>
      </c>
      <c r="Z253" s="10">
        <v>241</v>
      </c>
      <c r="AA253" s="10">
        <v>0.82299999999999995</v>
      </c>
      <c r="AB253" s="10">
        <v>146</v>
      </c>
      <c r="AC253" s="10">
        <v>180</v>
      </c>
      <c r="AD253" s="10">
        <v>129</v>
      </c>
      <c r="AE253" s="10">
        <v>7</v>
      </c>
      <c r="AF253" s="10">
        <v>6.1</v>
      </c>
      <c r="AG253" s="9" t="s">
        <v>188</v>
      </c>
      <c r="AH253" s="9" t="s">
        <v>184</v>
      </c>
      <c r="AI253" s="9" t="s">
        <v>169</v>
      </c>
      <c r="AJ253" s="9" t="s">
        <v>185</v>
      </c>
      <c r="AK253" s="30"/>
    </row>
    <row r="254" spans="5:37">
      <c r="E254" s="28" t="s">
        <v>155</v>
      </c>
      <c r="F254" s="8" t="s">
        <v>182</v>
      </c>
      <c r="G254" s="9" t="s">
        <v>220</v>
      </c>
      <c r="H254" s="10">
        <v>180</v>
      </c>
      <c r="I254" s="9" t="s">
        <v>163</v>
      </c>
      <c r="J254" s="10">
        <v>180</v>
      </c>
      <c r="K254" s="10">
        <v>177.6</v>
      </c>
      <c r="L254" s="10">
        <v>124</v>
      </c>
      <c r="M254" s="10">
        <v>142</v>
      </c>
      <c r="N254" s="10">
        <v>134</v>
      </c>
      <c r="O254" s="10">
        <v>105</v>
      </c>
      <c r="P254" s="10">
        <v>124</v>
      </c>
      <c r="Q254" s="10">
        <v>20.2</v>
      </c>
      <c r="R254" s="10">
        <v>1853</v>
      </c>
      <c r="S254" s="10">
        <v>1.0900000000000001</v>
      </c>
      <c r="T254" s="10">
        <v>2011</v>
      </c>
      <c r="U254" s="10">
        <v>229</v>
      </c>
      <c r="V254" s="10">
        <v>103</v>
      </c>
      <c r="W254" s="10">
        <v>57</v>
      </c>
      <c r="X254" s="10">
        <v>291</v>
      </c>
      <c r="Y254" s="10">
        <v>47</v>
      </c>
      <c r="Z254" s="10">
        <v>249</v>
      </c>
      <c r="AA254" s="10">
        <v>0.83199999999999996</v>
      </c>
      <c r="AB254" s="10">
        <v>172</v>
      </c>
      <c r="AC254" s="10">
        <v>184</v>
      </c>
      <c r="AD254" s="10">
        <v>119</v>
      </c>
      <c r="AE254" s="10">
        <v>7</v>
      </c>
      <c r="AF254" s="10">
        <v>2.6</v>
      </c>
      <c r="AG254" s="9" t="s">
        <v>188</v>
      </c>
      <c r="AH254" s="9" t="s">
        <v>184</v>
      </c>
      <c r="AI254" s="9" t="s">
        <v>169</v>
      </c>
      <c r="AJ254" s="9" t="s">
        <v>185</v>
      </c>
      <c r="AK254" s="30"/>
    </row>
    <row r="255" spans="5:37">
      <c r="E255" s="28" t="s">
        <v>155</v>
      </c>
      <c r="F255" s="8" t="s">
        <v>182</v>
      </c>
      <c r="G255" s="9" t="s">
        <v>220</v>
      </c>
      <c r="H255" s="10">
        <v>188</v>
      </c>
      <c r="I255" s="9" t="s">
        <v>163</v>
      </c>
      <c r="J255" s="10">
        <v>188</v>
      </c>
      <c r="K255" s="10">
        <v>183.1</v>
      </c>
      <c r="L255" s="10">
        <v>129</v>
      </c>
      <c r="M255" s="10">
        <v>150</v>
      </c>
      <c r="N255" s="10">
        <v>136</v>
      </c>
      <c r="O255" s="10">
        <v>105</v>
      </c>
      <c r="P255" s="10">
        <v>125</v>
      </c>
      <c r="Q255" s="10">
        <v>21.8</v>
      </c>
      <c r="R255" s="10">
        <v>1953</v>
      </c>
      <c r="S255" s="10">
        <v>1.07</v>
      </c>
      <c r="T255" s="10">
        <v>2093</v>
      </c>
      <c r="U255" s="10">
        <v>266</v>
      </c>
      <c r="V255" s="10">
        <v>129</v>
      </c>
      <c r="W255" s="10">
        <v>58</v>
      </c>
      <c r="X255" s="10">
        <v>308</v>
      </c>
      <c r="Y255" s="10">
        <v>34</v>
      </c>
      <c r="Z255" s="10">
        <v>236</v>
      </c>
      <c r="AA255" s="10">
        <v>0.59</v>
      </c>
      <c r="AB255" s="10">
        <v>176</v>
      </c>
      <c r="AC255" s="10">
        <v>151</v>
      </c>
      <c r="AD255" s="10">
        <v>132</v>
      </c>
      <c r="AE255" s="10">
        <v>6</v>
      </c>
      <c r="AF255" s="10">
        <v>4.0999999999999996</v>
      </c>
      <c r="AG255" s="9" t="s">
        <v>188</v>
      </c>
      <c r="AH255" s="9" t="s">
        <v>169</v>
      </c>
      <c r="AI255" s="9" t="s">
        <v>185</v>
      </c>
      <c r="AJ255" s="10"/>
      <c r="AK255" s="30"/>
    </row>
    <row r="256" spans="5:37">
      <c r="E256" s="28" t="s">
        <v>155</v>
      </c>
      <c r="F256" s="8" t="s">
        <v>182</v>
      </c>
      <c r="G256" s="9" t="s">
        <v>721</v>
      </c>
      <c r="H256" s="10">
        <v>143</v>
      </c>
      <c r="I256" s="9" t="s">
        <v>163</v>
      </c>
      <c r="J256" s="10">
        <v>143</v>
      </c>
      <c r="K256" s="10">
        <v>141.19999999999999</v>
      </c>
      <c r="L256" s="10">
        <v>98</v>
      </c>
      <c r="M256" s="10">
        <v>116</v>
      </c>
      <c r="N256" s="10">
        <v>116</v>
      </c>
      <c r="O256" s="10">
        <v>84</v>
      </c>
      <c r="P256" s="10">
        <v>108</v>
      </c>
      <c r="Q256" s="10">
        <v>10.6</v>
      </c>
      <c r="R256" s="10">
        <v>1360</v>
      </c>
      <c r="S256" s="10">
        <v>0.99</v>
      </c>
      <c r="T256" s="10">
        <v>1347</v>
      </c>
      <c r="U256" s="10">
        <v>101</v>
      </c>
      <c r="V256" s="10">
        <v>44</v>
      </c>
      <c r="W256" s="10">
        <v>49</v>
      </c>
      <c r="X256" s="10">
        <v>246</v>
      </c>
      <c r="Y256" s="10">
        <v>37</v>
      </c>
      <c r="Z256" s="10">
        <v>190</v>
      </c>
      <c r="AA256" s="10">
        <v>0.76200000000000001</v>
      </c>
      <c r="AB256" s="10">
        <v>133</v>
      </c>
      <c r="AC256" s="10">
        <v>118</v>
      </c>
      <c r="AD256" s="10">
        <v>113</v>
      </c>
      <c r="AE256" s="10">
        <v>6</v>
      </c>
      <c r="AF256" s="10">
        <v>5.9</v>
      </c>
      <c r="AG256" s="9" t="s">
        <v>188</v>
      </c>
      <c r="AH256" s="10"/>
      <c r="AI256" s="10"/>
      <c r="AJ256" s="10"/>
      <c r="AK256" s="30"/>
    </row>
    <row r="257" spans="5:37">
      <c r="E257" s="28" t="s">
        <v>155</v>
      </c>
      <c r="F257" s="8" t="s">
        <v>182</v>
      </c>
      <c r="G257" s="9" t="s">
        <v>721</v>
      </c>
      <c r="H257" s="10">
        <v>150</v>
      </c>
      <c r="I257" s="9" t="s">
        <v>163</v>
      </c>
      <c r="J257" s="10">
        <v>150</v>
      </c>
      <c r="K257" s="10">
        <v>148.1</v>
      </c>
      <c r="L257" s="10">
        <v>102</v>
      </c>
      <c r="M257" s="10">
        <v>122</v>
      </c>
      <c r="N257" s="10">
        <v>116</v>
      </c>
      <c r="O257" s="10">
        <v>84</v>
      </c>
      <c r="P257" s="10">
        <v>108</v>
      </c>
      <c r="Q257" s="10">
        <v>12</v>
      </c>
      <c r="R257" s="10">
        <v>1453</v>
      </c>
      <c r="S257" s="10">
        <v>0.97</v>
      </c>
      <c r="T257" s="10">
        <v>1412</v>
      </c>
      <c r="U257" s="10">
        <v>110</v>
      </c>
      <c r="V257" s="10">
        <v>46</v>
      </c>
      <c r="W257" s="10">
        <v>49</v>
      </c>
      <c r="X257" s="10">
        <v>257</v>
      </c>
      <c r="Y257" s="10">
        <v>39</v>
      </c>
      <c r="Z257" s="10">
        <v>207</v>
      </c>
      <c r="AA257" s="10">
        <v>0.80300000000000005</v>
      </c>
      <c r="AB257" s="10">
        <v>134</v>
      </c>
      <c r="AC257" s="10">
        <v>123</v>
      </c>
      <c r="AD257" s="10">
        <v>123</v>
      </c>
      <c r="AE257" s="10">
        <v>6</v>
      </c>
      <c r="AF257" s="10">
        <v>6</v>
      </c>
      <c r="AG257" s="9" t="s">
        <v>188</v>
      </c>
      <c r="AH257" s="9" t="s">
        <v>184</v>
      </c>
      <c r="AI257" s="10"/>
      <c r="AJ257" s="10"/>
      <c r="AK257" s="30"/>
    </row>
    <row r="258" spans="5:37">
      <c r="E258" s="28" t="s">
        <v>155</v>
      </c>
      <c r="F258" s="8" t="s">
        <v>182</v>
      </c>
      <c r="G258" s="9" t="s">
        <v>721</v>
      </c>
      <c r="H258" s="10">
        <v>157</v>
      </c>
      <c r="I258" s="9" t="s">
        <v>163</v>
      </c>
      <c r="J258" s="10">
        <v>157</v>
      </c>
      <c r="K258" s="10">
        <v>155.4</v>
      </c>
      <c r="L258" s="10">
        <v>110</v>
      </c>
      <c r="M258" s="10">
        <v>128</v>
      </c>
      <c r="N258" s="10">
        <v>116</v>
      </c>
      <c r="O258" s="10">
        <v>84</v>
      </c>
      <c r="P258" s="10">
        <v>108</v>
      </c>
      <c r="Q258" s="10">
        <v>13.4</v>
      </c>
      <c r="R258" s="10">
        <v>1546</v>
      </c>
      <c r="S258" s="10">
        <v>0.96</v>
      </c>
      <c r="T258" s="10">
        <v>1484</v>
      </c>
      <c r="U258" s="10">
        <v>136</v>
      </c>
      <c r="V258" s="10">
        <v>46</v>
      </c>
      <c r="W258" s="10">
        <v>46</v>
      </c>
      <c r="X258" s="10">
        <v>251</v>
      </c>
      <c r="Y258" s="10">
        <v>38</v>
      </c>
      <c r="Z258" s="10">
        <v>201</v>
      </c>
      <c r="AA258" s="10">
        <v>0.81899999999999995</v>
      </c>
      <c r="AB258" s="10">
        <v>142</v>
      </c>
      <c r="AC258" s="10">
        <v>128</v>
      </c>
      <c r="AD258" s="10">
        <v>109</v>
      </c>
      <c r="AE258" s="10">
        <v>8</v>
      </c>
      <c r="AF258" s="10">
        <v>6.6</v>
      </c>
      <c r="AG258" s="9" t="s">
        <v>188</v>
      </c>
      <c r="AH258" s="9" t="s">
        <v>184</v>
      </c>
      <c r="AI258" s="10"/>
      <c r="AJ258" s="10"/>
      <c r="AK258" s="30"/>
    </row>
    <row r="259" spans="5:37">
      <c r="E259" s="28" t="s">
        <v>155</v>
      </c>
      <c r="F259" s="8" t="s">
        <v>182</v>
      </c>
      <c r="G259" s="9" t="s">
        <v>721</v>
      </c>
      <c r="H259" s="10">
        <v>164</v>
      </c>
      <c r="I259" s="9" t="s">
        <v>163</v>
      </c>
      <c r="J259" s="10">
        <v>164</v>
      </c>
      <c r="K259" s="10">
        <v>162.5</v>
      </c>
      <c r="L259" s="10">
        <v>117</v>
      </c>
      <c r="M259" s="10">
        <v>134</v>
      </c>
      <c r="N259" s="10">
        <v>117</v>
      </c>
      <c r="O259" s="10">
        <v>85</v>
      </c>
      <c r="P259" s="10">
        <v>109</v>
      </c>
      <c r="Q259" s="10">
        <v>14.7</v>
      </c>
      <c r="R259" s="10">
        <v>1659</v>
      </c>
      <c r="S259" s="10">
        <v>0.94</v>
      </c>
      <c r="T259" s="10">
        <v>1566</v>
      </c>
      <c r="U259" s="10">
        <v>150</v>
      </c>
      <c r="V259" s="10">
        <v>65</v>
      </c>
      <c r="W259" s="10">
        <v>44</v>
      </c>
      <c r="X259" s="10">
        <v>250</v>
      </c>
      <c r="Y259" s="10">
        <v>37</v>
      </c>
      <c r="Z259" s="10">
        <v>210</v>
      </c>
      <c r="AA259" s="10">
        <v>0.83299999999999996</v>
      </c>
      <c r="AB259" s="10">
        <v>158</v>
      </c>
      <c r="AC259" s="10">
        <v>123</v>
      </c>
      <c r="AD259" s="10">
        <v>92</v>
      </c>
      <c r="AE259" s="10">
        <v>9</v>
      </c>
      <c r="AF259" s="10">
        <v>9.9</v>
      </c>
      <c r="AG259" s="9" t="s">
        <v>188</v>
      </c>
      <c r="AH259" s="9" t="s">
        <v>184</v>
      </c>
      <c r="AI259" s="10"/>
      <c r="AJ259" s="10"/>
      <c r="AK259" s="30"/>
    </row>
    <row r="260" spans="5:37">
      <c r="E260" s="28" t="s">
        <v>155</v>
      </c>
      <c r="F260" s="8" t="s">
        <v>182</v>
      </c>
      <c r="G260" s="9" t="s">
        <v>235</v>
      </c>
      <c r="H260" s="10">
        <v>156</v>
      </c>
      <c r="I260" s="9" t="s">
        <v>163</v>
      </c>
      <c r="J260" s="10">
        <v>156</v>
      </c>
      <c r="K260" s="10">
        <v>154</v>
      </c>
      <c r="L260" s="10">
        <v>118</v>
      </c>
      <c r="M260" s="10">
        <v>132</v>
      </c>
      <c r="N260" s="10">
        <v>111</v>
      </c>
      <c r="O260" s="10">
        <v>85</v>
      </c>
      <c r="P260" s="10">
        <v>106</v>
      </c>
      <c r="Q260" s="10">
        <v>16.5</v>
      </c>
      <c r="R260" s="10">
        <v>1469</v>
      </c>
      <c r="S260" s="10">
        <v>0.99</v>
      </c>
      <c r="T260" s="10">
        <v>1455</v>
      </c>
      <c r="U260" s="10">
        <v>136</v>
      </c>
      <c r="V260" s="10">
        <v>72</v>
      </c>
      <c r="W260" s="10">
        <v>44</v>
      </c>
      <c r="X260" s="10">
        <v>186</v>
      </c>
      <c r="Y260" s="10">
        <v>39</v>
      </c>
      <c r="Z260" s="10">
        <v>169</v>
      </c>
      <c r="AA260" s="10">
        <v>0.87</v>
      </c>
      <c r="AB260" s="10">
        <v>110</v>
      </c>
      <c r="AC260" s="10">
        <v>106</v>
      </c>
      <c r="AD260" s="10">
        <v>76</v>
      </c>
      <c r="AE260" s="10">
        <v>9</v>
      </c>
      <c r="AF260" s="10">
        <v>4.2</v>
      </c>
      <c r="AG260" s="9" t="s">
        <v>184</v>
      </c>
      <c r="AH260" s="10"/>
      <c r="AI260" s="10"/>
      <c r="AJ260" s="10"/>
      <c r="AK260" s="30"/>
    </row>
    <row r="261" spans="5:37">
      <c r="E261" s="28" t="s">
        <v>155</v>
      </c>
      <c r="F261" s="8" t="s">
        <v>182</v>
      </c>
      <c r="G261" s="9" t="s">
        <v>235</v>
      </c>
      <c r="H261" s="10">
        <v>163</v>
      </c>
      <c r="I261" s="9" t="s">
        <v>163</v>
      </c>
      <c r="J261" s="10">
        <v>163</v>
      </c>
      <c r="K261" s="10">
        <v>160.9</v>
      </c>
      <c r="L261" s="10">
        <v>127</v>
      </c>
      <c r="M261" s="10">
        <v>137</v>
      </c>
      <c r="N261" s="10">
        <v>113</v>
      </c>
      <c r="O261" s="10">
        <v>85</v>
      </c>
      <c r="P261" s="10">
        <v>107</v>
      </c>
      <c r="Q261" s="10">
        <v>17.3</v>
      </c>
      <c r="R261" s="10">
        <v>1552</v>
      </c>
      <c r="S261" s="10">
        <v>0.98</v>
      </c>
      <c r="T261" s="10">
        <v>1524</v>
      </c>
      <c r="U261" s="10">
        <v>140</v>
      </c>
      <c r="V261" s="10">
        <v>83</v>
      </c>
      <c r="W261" s="10">
        <v>43</v>
      </c>
      <c r="X261" s="10">
        <v>178</v>
      </c>
      <c r="Y261" s="10">
        <v>38</v>
      </c>
      <c r="Z261" s="10">
        <v>160</v>
      </c>
      <c r="AA261" s="10">
        <v>0.86599999999999999</v>
      </c>
      <c r="AB261" s="10">
        <v>107</v>
      </c>
      <c r="AC261" s="10">
        <v>127</v>
      </c>
      <c r="AD261" s="10">
        <v>71</v>
      </c>
      <c r="AE261" s="10">
        <v>12</v>
      </c>
      <c r="AF261" s="10">
        <v>3.8</v>
      </c>
      <c r="AG261" s="9" t="s">
        <v>184</v>
      </c>
      <c r="AH261" s="10"/>
      <c r="AI261" s="10"/>
      <c r="AJ261" s="10"/>
      <c r="AK261" s="30"/>
    </row>
    <row r="262" spans="5:37">
      <c r="E262" s="28" t="s">
        <v>155</v>
      </c>
      <c r="F262" s="8" t="s">
        <v>182</v>
      </c>
      <c r="G262" s="9" t="s">
        <v>235</v>
      </c>
      <c r="H262" s="10">
        <v>170</v>
      </c>
      <c r="I262" s="9" t="s">
        <v>163</v>
      </c>
      <c r="J262" s="10">
        <v>170</v>
      </c>
      <c r="K262" s="10">
        <v>168.2</v>
      </c>
      <c r="L262" s="10">
        <v>135</v>
      </c>
      <c r="M262" s="10">
        <v>139</v>
      </c>
      <c r="N262" s="10">
        <v>114</v>
      </c>
      <c r="O262" s="10">
        <v>85</v>
      </c>
      <c r="P262" s="10">
        <v>108</v>
      </c>
      <c r="Q262" s="10">
        <v>17.600000000000001</v>
      </c>
      <c r="R262" s="10">
        <v>1704</v>
      </c>
      <c r="S262" s="10">
        <v>0.94</v>
      </c>
      <c r="T262" s="10">
        <v>1604</v>
      </c>
      <c r="U262" s="10">
        <v>166</v>
      </c>
      <c r="V262" s="10">
        <v>95</v>
      </c>
      <c r="W262" s="10">
        <v>44</v>
      </c>
      <c r="X262" s="10">
        <v>168</v>
      </c>
      <c r="Y262" s="10">
        <v>38</v>
      </c>
      <c r="Z262" s="10">
        <v>167</v>
      </c>
      <c r="AA262" s="10">
        <v>0.87</v>
      </c>
      <c r="AB262" s="10">
        <v>139</v>
      </c>
      <c r="AC262" s="10">
        <v>152</v>
      </c>
      <c r="AD262" s="10">
        <v>29</v>
      </c>
      <c r="AE262" s="10">
        <v>12</v>
      </c>
      <c r="AF262" s="10">
        <v>3.8</v>
      </c>
      <c r="AG262" s="9" t="s">
        <v>184</v>
      </c>
      <c r="AH262" s="10"/>
      <c r="AI262" s="10"/>
      <c r="AJ262" s="10"/>
      <c r="AK262" s="30"/>
    </row>
    <row r="263" spans="5:37">
      <c r="E263" s="28" t="s">
        <v>155</v>
      </c>
      <c r="F263" s="8" t="s">
        <v>182</v>
      </c>
      <c r="G263" s="9" t="s">
        <v>428</v>
      </c>
      <c r="H263" s="10">
        <v>156</v>
      </c>
      <c r="I263" s="9" t="s">
        <v>163</v>
      </c>
      <c r="J263" s="10">
        <v>156</v>
      </c>
      <c r="K263" s="10">
        <v>154</v>
      </c>
      <c r="L263" s="10">
        <v>106</v>
      </c>
      <c r="M263" s="10">
        <v>129</v>
      </c>
      <c r="N263" s="10">
        <v>120</v>
      </c>
      <c r="O263" s="10">
        <v>95</v>
      </c>
      <c r="P263" s="10">
        <v>113</v>
      </c>
      <c r="Q263" s="10">
        <v>16.899999999999999</v>
      </c>
      <c r="R263" s="10">
        <v>1615</v>
      </c>
      <c r="S263" s="10">
        <v>0.98</v>
      </c>
      <c r="T263" s="10">
        <v>1588</v>
      </c>
      <c r="U263" s="10">
        <v>155</v>
      </c>
      <c r="V263" s="10">
        <v>88</v>
      </c>
      <c r="W263" s="10">
        <v>48</v>
      </c>
      <c r="X263" s="10">
        <v>247</v>
      </c>
      <c r="Y263" s="10">
        <v>42</v>
      </c>
      <c r="Z263" s="10">
        <v>230</v>
      </c>
      <c r="AA263" s="10">
        <v>0.873</v>
      </c>
      <c r="AB263" s="10">
        <v>118</v>
      </c>
      <c r="AC263" s="10">
        <v>134</v>
      </c>
      <c r="AD263" s="10">
        <v>128</v>
      </c>
      <c r="AE263" s="10">
        <v>6</v>
      </c>
      <c r="AF263" s="10">
        <v>5.3</v>
      </c>
      <c r="AG263" s="9" t="s">
        <v>184</v>
      </c>
      <c r="AH263" s="10"/>
      <c r="AI263" s="10"/>
      <c r="AJ263" s="10"/>
      <c r="AK263" s="30"/>
    </row>
    <row r="264" spans="5:37">
      <c r="E264" s="28" t="s">
        <v>155</v>
      </c>
      <c r="F264" s="8" t="s">
        <v>182</v>
      </c>
      <c r="G264" s="9" t="s">
        <v>428</v>
      </c>
      <c r="H264" s="10">
        <v>163</v>
      </c>
      <c r="I264" s="9" t="s">
        <v>163</v>
      </c>
      <c r="J264" s="10">
        <v>163</v>
      </c>
      <c r="K264" s="10">
        <v>161.19999999999999</v>
      </c>
      <c r="L264" s="10">
        <v>116</v>
      </c>
      <c r="M264" s="10">
        <v>135</v>
      </c>
      <c r="N264" s="10">
        <v>123</v>
      </c>
      <c r="O264" s="10">
        <v>95</v>
      </c>
      <c r="P264" s="10">
        <v>115</v>
      </c>
      <c r="Q264" s="10">
        <v>17.399999999999999</v>
      </c>
      <c r="R264" s="10">
        <v>1678</v>
      </c>
      <c r="S264" s="10">
        <v>1</v>
      </c>
      <c r="T264" s="10">
        <v>1683</v>
      </c>
      <c r="U264" s="10">
        <v>155</v>
      </c>
      <c r="V264" s="10">
        <v>88</v>
      </c>
      <c r="W264" s="10">
        <v>45</v>
      </c>
      <c r="X264" s="10">
        <v>236</v>
      </c>
      <c r="Y264" s="10">
        <v>38</v>
      </c>
      <c r="Z264" s="10">
        <v>214</v>
      </c>
      <c r="AA264" s="10">
        <v>0.85299999999999998</v>
      </c>
      <c r="AB264" s="10">
        <v>118</v>
      </c>
      <c r="AC264" s="10">
        <v>147</v>
      </c>
      <c r="AD264" s="10">
        <v>118</v>
      </c>
      <c r="AE264" s="10">
        <v>10</v>
      </c>
      <c r="AF264" s="10">
        <v>5.3</v>
      </c>
      <c r="AG264" s="9" t="s">
        <v>188</v>
      </c>
      <c r="AH264" s="9" t="s">
        <v>184</v>
      </c>
      <c r="AI264" s="10"/>
      <c r="AJ264" s="10"/>
      <c r="AK264" s="30"/>
    </row>
    <row r="265" spans="5:37">
      <c r="E265" s="28" t="s">
        <v>155</v>
      </c>
      <c r="F265" s="8" t="s">
        <v>182</v>
      </c>
      <c r="G265" s="9" t="s">
        <v>428</v>
      </c>
      <c r="H265" s="10">
        <v>170</v>
      </c>
      <c r="I265" s="9" t="s">
        <v>163</v>
      </c>
      <c r="J265" s="10">
        <v>170</v>
      </c>
      <c r="K265" s="10">
        <v>168.4</v>
      </c>
      <c r="L265" s="10">
        <v>123</v>
      </c>
      <c r="M265" s="10">
        <v>139</v>
      </c>
      <c r="N265" s="10">
        <v>123</v>
      </c>
      <c r="O265" s="10">
        <v>95</v>
      </c>
      <c r="P265" s="10">
        <v>115</v>
      </c>
      <c r="Q265" s="10">
        <v>18.2</v>
      </c>
      <c r="R265" s="10">
        <v>1769</v>
      </c>
      <c r="S265" s="10">
        <v>0.99</v>
      </c>
      <c r="T265" s="10">
        <v>1756</v>
      </c>
      <c r="U265" s="10">
        <v>183</v>
      </c>
      <c r="V265" s="10">
        <v>96</v>
      </c>
      <c r="W265" s="10">
        <v>47</v>
      </c>
      <c r="X265" s="10">
        <v>236</v>
      </c>
      <c r="Y265" s="10">
        <v>40</v>
      </c>
      <c r="Z265" s="10">
        <v>221</v>
      </c>
      <c r="AA265" s="10">
        <v>0.86</v>
      </c>
      <c r="AB265" s="10">
        <v>141</v>
      </c>
      <c r="AC265" s="10">
        <v>152</v>
      </c>
      <c r="AD265" s="10">
        <v>94</v>
      </c>
      <c r="AE265" s="10">
        <v>10</v>
      </c>
      <c r="AF265" s="10">
        <v>5</v>
      </c>
      <c r="AG265" s="9" t="s">
        <v>188</v>
      </c>
      <c r="AH265" s="9" t="s">
        <v>184</v>
      </c>
      <c r="AI265" s="10"/>
      <c r="AJ265" s="10"/>
      <c r="AK265" s="30"/>
    </row>
    <row r="266" spans="5:37">
      <c r="E266" s="28" t="s">
        <v>155</v>
      </c>
      <c r="F266" s="8" t="s">
        <v>182</v>
      </c>
      <c r="G266" s="9" t="s">
        <v>743</v>
      </c>
      <c r="H266" s="10">
        <v>164</v>
      </c>
      <c r="I266" s="9" t="s">
        <v>158</v>
      </c>
      <c r="J266" s="10">
        <v>164</v>
      </c>
      <c r="K266" s="10">
        <v>162.69999999999999</v>
      </c>
      <c r="L266" s="10">
        <v>111</v>
      </c>
      <c r="M266" s="10">
        <v>133</v>
      </c>
      <c r="N266" s="10">
        <v>121</v>
      </c>
      <c r="O266" s="10">
        <v>93</v>
      </c>
      <c r="P266" s="10">
        <v>116</v>
      </c>
      <c r="Q266" s="10">
        <v>14.9</v>
      </c>
      <c r="R266" s="10">
        <v>1792</v>
      </c>
      <c r="S266" s="10">
        <v>0.94</v>
      </c>
      <c r="T266" s="10">
        <v>1693</v>
      </c>
      <c r="U266" s="10">
        <v>152</v>
      </c>
      <c r="V266" s="10">
        <v>59</v>
      </c>
      <c r="W266" s="10">
        <v>43</v>
      </c>
      <c r="X266" s="10">
        <v>262</v>
      </c>
      <c r="Y266" s="10">
        <v>39</v>
      </c>
      <c r="Z266" s="10">
        <v>250</v>
      </c>
      <c r="AA266" s="10">
        <v>0.89500000000000002</v>
      </c>
      <c r="AB266" s="10">
        <v>165</v>
      </c>
      <c r="AC266" s="10">
        <v>131</v>
      </c>
      <c r="AD266" s="10">
        <v>98</v>
      </c>
      <c r="AE266" s="10">
        <v>7</v>
      </c>
      <c r="AF266" s="10">
        <v>0.2</v>
      </c>
      <c r="AG266" s="9" t="s">
        <v>184</v>
      </c>
      <c r="AH266" s="10"/>
      <c r="AI266" s="10"/>
      <c r="AJ266" s="10"/>
      <c r="AK266" s="30"/>
    </row>
    <row r="267" spans="5:37">
      <c r="E267" s="28" t="s">
        <v>155</v>
      </c>
      <c r="F267" s="8" t="s">
        <v>182</v>
      </c>
      <c r="G267" s="9" t="s">
        <v>743</v>
      </c>
      <c r="H267" s="10">
        <v>172</v>
      </c>
      <c r="I267" s="9" t="s">
        <v>158</v>
      </c>
      <c r="J267" s="10">
        <v>172</v>
      </c>
      <c r="K267" s="10">
        <v>170.8</v>
      </c>
      <c r="L267" s="10">
        <v>117</v>
      </c>
      <c r="M267" s="10">
        <v>135</v>
      </c>
      <c r="N267" s="10">
        <v>121</v>
      </c>
      <c r="O267" s="10">
        <v>93</v>
      </c>
      <c r="P267" s="10">
        <v>116</v>
      </c>
      <c r="Q267" s="10">
        <v>13.9</v>
      </c>
      <c r="R267" s="10">
        <v>1975</v>
      </c>
      <c r="S267" s="10">
        <v>0.91</v>
      </c>
      <c r="T267" s="10">
        <v>1795</v>
      </c>
      <c r="U267" s="10">
        <v>175</v>
      </c>
      <c r="V267" s="10">
        <v>69</v>
      </c>
      <c r="W267" s="10">
        <v>44</v>
      </c>
      <c r="X267" s="10">
        <v>271</v>
      </c>
      <c r="Y267" s="10">
        <v>42</v>
      </c>
      <c r="Z267" s="10">
        <v>267</v>
      </c>
      <c r="AA267" s="10">
        <v>0.95899999999999996</v>
      </c>
      <c r="AB267" s="10">
        <v>196</v>
      </c>
      <c r="AC267" s="10">
        <v>162</v>
      </c>
      <c r="AD267" s="10">
        <v>75</v>
      </c>
      <c r="AE267" s="10">
        <v>9</v>
      </c>
      <c r="AF267" s="10">
        <v>0.7</v>
      </c>
      <c r="AG267" s="9" t="s">
        <v>184</v>
      </c>
      <c r="AH267" s="10"/>
      <c r="AI267" s="10"/>
      <c r="AJ267" s="10"/>
      <c r="AK267" s="30"/>
    </row>
    <row r="268" spans="5:37">
      <c r="E268" s="28" t="s">
        <v>155</v>
      </c>
      <c r="F268" s="8" t="s">
        <v>182</v>
      </c>
      <c r="G268" s="9" t="s">
        <v>743</v>
      </c>
      <c r="H268" s="10">
        <v>180</v>
      </c>
      <c r="I268" s="9" t="s">
        <v>158</v>
      </c>
      <c r="J268" s="10">
        <v>180</v>
      </c>
      <c r="K268" s="10">
        <v>177.7</v>
      </c>
      <c r="L268" s="10">
        <v>121</v>
      </c>
      <c r="M268" s="10">
        <v>142</v>
      </c>
      <c r="N268" s="10">
        <v>121</v>
      </c>
      <c r="O268" s="10">
        <v>93</v>
      </c>
      <c r="P268" s="10">
        <v>116</v>
      </c>
      <c r="Q268" s="10">
        <v>15.5</v>
      </c>
      <c r="R268" s="10">
        <v>1998</v>
      </c>
      <c r="S268" s="10">
        <v>0.94</v>
      </c>
      <c r="T268" s="10">
        <v>1872</v>
      </c>
      <c r="U268" s="10">
        <v>178</v>
      </c>
      <c r="V268" s="10">
        <v>76</v>
      </c>
      <c r="W268" s="10">
        <v>49</v>
      </c>
      <c r="X268" s="10">
        <v>291</v>
      </c>
      <c r="Y268" s="10">
        <v>39</v>
      </c>
      <c r="Z268" s="10">
        <v>276</v>
      </c>
      <c r="AA268" s="10">
        <v>0.80400000000000005</v>
      </c>
      <c r="AB268" s="10">
        <v>234</v>
      </c>
      <c r="AC268" s="10">
        <v>124</v>
      </c>
      <c r="AD268" s="10">
        <v>57</v>
      </c>
      <c r="AE268" s="10">
        <v>8</v>
      </c>
      <c r="AF268" s="10">
        <v>1.3</v>
      </c>
      <c r="AG268" s="9" t="s">
        <v>188</v>
      </c>
      <c r="AH268" s="9" t="s">
        <v>184</v>
      </c>
      <c r="AI268" s="10"/>
      <c r="AJ268" s="10"/>
      <c r="AK268" s="30"/>
    </row>
    <row r="269" spans="5:37">
      <c r="E269" s="28" t="s">
        <v>155</v>
      </c>
      <c r="F269" s="8" t="s">
        <v>182</v>
      </c>
      <c r="G269" s="9" t="s">
        <v>842</v>
      </c>
      <c r="H269" s="10">
        <v>172</v>
      </c>
      <c r="I269" s="9" t="s">
        <v>158</v>
      </c>
      <c r="J269" s="10">
        <v>172</v>
      </c>
      <c r="K269" s="10">
        <v>170.2</v>
      </c>
      <c r="L269" s="10">
        <v>112</v>
      </c>
      <c r="M269" s="10">
        <v>127</v>
      </c>
      <c r="N269" s="10">
        <v>120</v>
      </c>
      <c r="O269" s="10">
        <v>93</v>
      </c>
      <c r="P269" s="10">
        <v>116</v>
      </c>
      <c r="Q269" s="10">
        <v>14.1</v>
      </c>
      <c r="R269" s="10">
        <v>1801</v>
      </c>
      <c r="S269" s="10">
        <v>0.99</v>
      </c>
      <c r="T269" s="10">
        <v>1789</v>
      </c>
      <c r="U269" s="10">
        <v>133</v>
      </c>
      <c r="V269" s="10">
        <v>66</v>
      </c>
      <c r="W269" s="10">
        <v>50</v>
      </c>
      <c r="X269" s="10">
        <v>291</v>
      </c>
      <c r="Y269" s="10">
        <v>47</v>
      </c>
      <c r="Z269" s="10">
        <v>292</v>
      </c>
      <c r="AA269" s="10">
        <v>0.93799999999999994</v>
      </c>
      <c r="AB269" s="10">
        <v>227</v>
      </c>
      <c r="AC269" s="10">
        <v>207</v>
      </c>
      <c r="AD269" s="10">
        <v>64</v>
      </c>
      <c r="AE269" s="10">
        <v>4</v>
      </c>
      <c r="AF269" s="10">
        <v>0.2</v>
      </c>
      <c r="AG269" s="9" t="s">
        <v>184</v>
      </c>
      <c r="AH269" s="10"/>
      <c r="AI269" s="10"/>
      <c r="AJ269" s="10"/>
      <c r="AK269" s="30"/>
    </row>
    <row r="270" spans="5:37">
      <c r="E270" s="28" t="s">
        <v>155</v>
      </c>
      <c r="F270" s="8" t="s">
        <v>182</v>
      </c>
      <c r="G270" s="9" t="s">
        <v>557</v>
      </c>
      <c r="H270" s="10">
        <v>172</v>
      </c>
      <c r="I270" s="9" t="s">
        <v>158</v>
      </c>
      <c r="J270" s="10">
        <v>172</v>
      </c>
      <c r="K270" s="10">
        <v>171.7</v>
      </c>
      <c r="L270" s="10">
        <v>126</v>
      </c>
      <c r="M270" s="10">
        <v>142</v>
      </c>
      <c r="N270" s="10">
        <v>133</v>
      </c>
      <c r="O270" s="10">
        <v>101</v>
      </c>
      <c r="P270" s="10">
        <v>123</v>
      </c>
      <c r="Q270" s="10">
        <v>17.8</v>
      </c>
      <c r="R270" s="10">
        <v>1896</v>
      </c>
      <c r="S270" s="10">
        <v>1.01</v>
      </c>
      <c r="T270" s="10">
        <v>1914</v>
      </c>
      <c r="U270" s="10">
        <v>209</v>
      </c>
      <c r="V270" s="10">
        <v>123</v>
      </c>
      <c r="W270" s="10">
        <v>54</v>
      </c>
      <c r="X270" s="10">
        <v>291</v>
      </c>
      <c r="Y270" s="10">
        <v>18</v>
      </c>
      <c r="Z270" s="10">
        <v>164</v>
      </c>
      <c r="AA270" s="10">
        <v>0.33200000000000002</v>
      </c>
      <c r="AB270" s="10">
        <v>173</v>
      </c>
      <c r="AC270" s="10">
        <v>120</v>
      </c>
      <c r="AD270" s="10">
        <v>118</v>
      </c>
      <c r="AE270" s="10">
        <v>7</v>
      </c>
      <c r="AF270" s="10">
        <v>7.7</v>
      </c>
      <c r="AG270" s="9" t="s">
        <v>188</v>
      </c>
      <c r="AH270" s="9" t="s">
        <v>178</v>
      </c>
      <c r="AI270" s="10"/>
      <c r="AJ270" s="10"/>
      <c r="AK270" s="30"/>
    </row>
    <row r="271" spans="5:37">
      <c r="E271" s="28" t="s">
        <v>155</v>
      </c>
      <c r="F271" s="8" t="s">
        <v>182</v>
      </c>
      <c r="G271" s="9" t="s">
        <v>557</v>
      </c>
      <c r="H271" s="10">
        <v>180</v>
      </c>
      <c r="I271" s="9" t="s">
        <v>158</v>
      </c>
      <c r="J271" s="10">
        <v>180</v>
      </c>
      <c r="K271" s="10">
        <v>179.5</v>
      </c>
      <c r="L271" s="10">
        <v>131</v>
      </c>
      <c r="M271" s="10">
        <v>147</v>
      </c>
      <c r="N271" s="10">
        <v>134</v>
      </c>
      <c r="O271" s="10">
        <v>101</v>
      </c>
      <c r="P271" s="10">
        <v>123</v>
      </c>
      <c r="Q271" s="10">
        <v>18.5</v>
      </c>
      <c r="R271" s="10">
        <v>1958</v>
      </c>
      <c r="S271" s="10">
        <v>1.03</v>
      </c>
      <c r="T271" s="10">
        <v>2011</v>
      </c>
      <c r="U271" s="10">
        <v>219</v>
      </c>
      <c r="V271" s="10">
        <v>136</v>
      </c>
      <c r="W271" s="10">
        <v>57</v>
      </c>
      <c r="X271" s="10">
        <v>308</v>
      </c>
      <c r="Y271" s="10">
        <v>19</v>
      </c>
      <c r="Z271" s="10">
        <v>180</v>
      </c>
      <c r="AA271" s="10">
        <v>0.33900000000000002</v>
      </c>
      <c r="AB271" s="10">
        <v>188</v>
      </c>
      <c r="AC271" s="10">
        <v>139</v>
      </c>
      <c r="AD271" s="10">
        <v>121</v>
      </c>
      <c r="AE271" s="10">
        <v>8</v>
      </c>
      <c r="AF271" s="10">
        <v>8.8000000000000007</v>
      </c>
      <c r="AG271" s="9" t="s">
        <v>188</v>
      </c>
      <c r="AH271" s="9" t="s">
        <v>178</v>
      </c>
      <c r="AI271" s="10"/>
      <c r="AJ271" s="10"/>
      <c r="AK271" s="30"/>
    </row>
    <row r="272" spans="5:37">
      <c r="E272" s="28" t="s">
        <v>155</v>
      </c>
      <c r="F272" s="8" t="s">
        <v>182</v>
      </c>
      <c r="G272" s="9" t="s">
        <v>839</v>
      </c>
      <c r="H272" s="10">
        <v>182</v>
      </c>
      <c r="I272" s="9" t="s">
        <v>158</v>
      </c>
      <c r="J272" s="10">
        <v>182</v>
      </c>
      <c r="K272" s="10">
        <v>181.5</v>
      </c>
      <c r="L272" s="10">
        <v>126</v>
      </c>
      <c r="M272" s="10">
        <v>147</v>
      </c>
      <c r="N272" s="10">
        <v>135</v>
      </c>
      <c r="O272" s="10">
        <v>107</v>
      </c>
      <c r="P272" s="10">
        <v>124</v>
      </c>
      <c r="Q272" s="10">
        <v>22.1</v>
      </c>
      <c r="R272" s="10">
        <v>1962</v>
      </c>
      <c r="S272" s="10">
        <v>1.07</v>
      </c>
      <c r="T272" s="10">
        <v>2102</v>
      </c>
      <c r="U272" s="10">
        <v>251</v>
      </c>
      <c r="V272" s="10">
        <v>152</v>
      </c>
      <c r="W272" s="10">
        <v>56</v>
      </c>
      <c r="X272" s="10">
        <v>369</v>
      </c>
      <c r="Y272" s="10">
        <v>25</v>
      </c>
      <c r="Z272" s="10">
        <v>187</v>
      </c>
      <c r="AA272" s="10">
        <v>0.45300000000000001</v>
      </c>
      <c r="AB272" s="10">
        <v>210</v>
      </c>
      <c r="AC272" s="10">
        <v>139</v>
      </c>
      <c r="AD272" s="10">
        <v>159</v>
      </c>
      <c r="AE272" s="10">
        <v>7</v>
      </c>
      <c r="AF272" s="10">
        <v>10.6</v>
      </c>
      <c r="AG272" s="9" t="s">
        <v>169</v>
      </c>
      <c r="AH272" s="9" t="s">
        <v>185</v>
      </c>
      <c r="AI272" s="10"/>
      <c r="AJ272" s="10"/>
      <c r="AK272" s="30"/>
    </row>
    <row r="273" spans="5:37">
      <c r="E273" s="28" t="s">
        <v>155</v>
      </c>
      <c r="F273" s="8" t="s">
        <v>182</v>
      </c>
      <c r="G273" s="9" t="s">
        <v>839</v>
      </c>
      <c r="H273" s="10">
        <v>190</v>
      </c>
      <c r="I273" s="9" t="s">
        <v>158</v>
      </c>
      <c r="J273" s="10">
        <v>190</v>
      </c>
      <c r="K273" s="10">
        <v>189.5</v>
      </c>
      <c r="L273" s="10">
        <v>130</v>
      </c>
      <c r="M273" s="10">
        <v>150</v>
      </c>
      <c r="N273" s="10">
        <v>135</v>
      </c>
      <c r="O273" s="10">
        <v>107</v>
      </c>
      <c r="P273" s="10">
        <v>126</v>
      </c>
      <c r="Q273" s="10">
        <v>22.6</v>
      </c>
      <c r="R273" s="10">
        <v>1894</v>
      </c>
      <c r="S273" s="10">
        <v>1.1599999999999999</v>
      </c>
      <c r="T273" s="10">
        <v>2205</v>
      </c>
      <c r="U273" s="10">
        <v>272</v>
      </c>
      <c r="V273" s="10">
        <v>164</v>
      </c>
      <c r="W273" s="10">
        <v>61</v>
      </c>
      <c r="X273" s="10">
        <v>381</v>
      </c>
      <c r="Y273" s="10">
        <v>29</v>
      </c>
      <c r="Z273" s="10">
        <v>210</v>
      </c>
      <c r="AA273" s="10">
        <v>0.47</v>
      </c>
      <c r="AB273" s="10">
        <v>245</v>
      </c>
      <c r="AC273" s="10">
        <v>145</v>
      </c>
      <c r="AD273" s="10">
        <v>136</v>
      </c>
      <c r="AE273" s="10">
        <v>7</v>
      </c>
      <c r="AF273" s="10">
        <v>9.3000000000000007</v>
      </c>
      <c r="AG273" s="9" t="s">
        <v>169</v>
      </c>
      <c r="AH273" s="9" t="s">
        <v>185</v>
      </c>
      <c r="AI273" s="10"/>
      <c r="AJ273" s="10"/>
      <c r="AK273" s="30"/>
    </row>
    <row r="274" spans="5:37">
      <c r="E274" s="28" t="s">
        <v>155</v>
      </c>
      <c r="F274" s="8" t="s">
        <v>182</v>
      </c>
      <c r="G274" s="9" t="s">
        <v>667</v>
      </c>
      <c r="H274" s="10">
        <v>166</v>
      </c>
      <c r="I274" s="9" t="s">
        <v>158</v>
      </c>
      <c r="J274" s="10">
        <v>166</v>
      </c>
      <c r="K274" s="10">
        <v>165.6</v>
      </c>
      <c r="L274" s="10">
        <v>139</v>
      </c>
      <c r="M274" s="10">
        <v>148</v>
      </c>
      <c r="N274" s="10">
        <v>125</v>
      </c>
      <c r="O274" s="10">
        <v>81</v>
      </c>
      <c r="P274" s="10">
        <v>108</v>
      </c>
      <c r="Q274" s="10">
        <v>15.4</v>
      </c>
      <c r="R274" s="10">
        <v>1536</v>
      </c>
      <c r="S274" s="10">
        <v>1.02</v>
      </c>
      <c r="T274" s="10">
        <v>1569</v>
      </c>
      <c r="U274" s="10">
        <v>211</v>
      </c>
      <c r="V274" s="10">
        <v>119</v>
      </c>
      <c r="W274" s="10">
        <v>35</v>
      </c>
      <c r="X274" s="10">
        <v>172</v>
      </c>
      <c r="Y274" s="10">
        <v>10</v>
      </c>
      <c r="Z274" s="10">
        <v>98</v>
      </c>
      <c r="AA274" s="10">
        <v>0.28199999999999997</v>
      </c>
      <c r="AB274" s="10">
        <v>114</v>
      </c>
      <c r="AC274" s="10">
        <v>58</v>
      </c>
      <c r="AD274" s="10">
        <v>58</v>
      </c>
      <c r="AE274" s="10">
        <v>10</v>
      </c>
      <c r="AF274" s="10">
        <v>10.199999999999999</v>
      </c>
      <c r="AG274" s="9" t="s">
        <v>231</v>
      </c>
      <c r="AH274" s="9" t="s">
        <v>188</v>
      </c>
      <c r="AI274" s="10"/>
      <c r="AJ274" s="10"/>
      <c r="AK274" s="30"/>
    </row>
    <row r="275" spans="5:37">
      <c r="E275" s="28" t="s">
        <v>155</v>
      </c>
      <c r="F275" s="8" t="s">
        <v>182</v>
      </c>
      <c r="G275" s="9" t="s">
        <v>667</v>
      </c>
      <c r="H275" s="10">
        <v>174</v>
      </c>
      <c r="I275" s="9" t="s">
        <v>158</v>
      </c>
      <c r="J275" s="10">
        <v>174</v>
      </c>
      <c r="K275" s="10">
        <v>173.5</v>
      </c>
      <c r="L275" s="10">
        <v>142</v>
      </c>
      <c r="M275" s="10">
        <v>154</v>
      </c>
      <c r="N275" s="10">
        <v>127</v>
      </c>
      <c r="O275" s="10">
        <v>81</v>
      </c>
      <c r="P275" s="10">
        <v>109</v>
      </c>
      <c r="Q275" s="10">
        <v>15.9</v>
      </c>
      <c r="R275" s="10">
        <v>1648</v>
      </c>
      <c r="S275" s="10">
        <v>1.01</v>
      </c>
      <c r="T275" s="10">
        <v>1659</v>
      </c>
      <c r="U275" s="10">
        <v>230</v>
      </c>
      <c r="V275" s="10">
        <v>139</v>
      </c>
      <c r="W275" s="10">
        <v>42</v>
      </c>
      <c r="X275" s="10">
        <v>198</v>
      </c>
      <c r="Y275" s="10">
        <v>12</v>
      </c>
      <c r="Z275" s="10">
        <v>121</v>
      </c>
      <c r="AA275" s="10">
        <v>0.29099999999999998</v>
      </c>
      <c r="AB275" s="10">
        <v>120</v>
      </c>
      <c r="AC275" s="10">
        <v>72</v>
      </c>
      <c r="AD275" s="10">
        <v>78</v>
      </c>
      <c r="AE275" s="10">
        <v>7</v>
      </c>
      <c r="AF275" s="10">
        <v>9.4</v>
      </c>
      <c r="AG275" s="9" t="s">
        <v>231</v>
      </c>
      <c r="AH275" s="9" t="s">
        <v>188</v>
      </c>
      <c r="AI275" s="10"/>
      <c r="AJ275" s="10"/>
      <c r="AK275" s="30"/>
    </row>
    <row r="276" spans="5:37">
      <c r="E276" s="28" t="s">
        <v>155</v>
      </c>
      <c r="F276" s="8" t="s">
        <v>182</v>
      </c>
      <c r="G276" s="9" t="s">
        <v>667</v>
      </c>
      <c r="H276" s="10">
        <v>182</v>
      </c>
      <c r="I276" s="9" t="s">
        <v>158</v>
      </c>
      <c r="J276" s="10">
        <v>182</v>
      </c>
      <c r="K276" s="10">
        <v>181.5</v>
      </c>
      <c r="L276" s="10">
        <v>150</v>
      </c>
      <c r="M276" s="10">
        <v>161</v>
      </c>
      <c r="N276" s="10">
        <v>129</v>
      </c>
      <c r="O276" s="10">
        <v>81</v>
      </c>
      <c r="P276" s="10">
        <v>110</v>
      </c>
      <c r="Q276" s="10">
        <v>16.7</v>
      </c>
      <c r="R276" s="10">
        <v>1734</v>
      </c>
      <c r="S276" s="10">
        <v>1</v>
      </c>
      <c r="T276" s="10">
        <v>1742</v>
      </c>
      <c r="U276" s="10">
        <v>245</v>
      </c>
      <c r="V276" s="10">
        <v>129</v>
      </c>
      <c r="W276" s="10">
        <v>41</v>
      </c>
      <c r="X276" s="10">
        <v>197</v>
      </c>
      <c r="Y276" s="10">
        <v>12</v>
      </c>
      <c r="Z276" s="10">
        <v>123</v>
      </c>
      <c r="AA276" s="10">
        <v>0.28899999999999998</v>
      </c>
      <c r="AB276" s="10">
        <v>131</v>
      </c>
      <c r="AC276" s="10">
        <v>73</v>
      </c>
      <c r="AD276" s="10">
        <v>66</v>
      </c>
      <c r="AE276" s="10">
        <v>9</v>
      </c>
      <c r="AF276" s="10">
        <v>9.6</v>
      </c>
      <c r="AG276" s="9" t="s">
        <v>231</v>
      </c>
      <c r="AH276" s="9" t="s">
        <v>188</v>
      </c>
      <c r="AI276" s="10"/>
      <c r="AJ276" s="10"/>
      <c r="AK276" s="30"/>
    </row>
    <row r="277" spans="5:37">
      <c r="E277" s="28" t="s">
        <v>155</v>
      </c>
      <c r="F277" s="8" t="s">
        <v>182</v>
      </c>
      <c r="G277" s="9" t="s">
        <v>310</v>
      </c>
      <c r="H277" s="10">
        <v>160</v>
      </c>
      <c r="I277" s="9" t="s">
        <v>158</v>
      </c>
      <c r="J277" s="10">
        <v>160</v>
      </c>
      <c r="K277" s="10">
        <v>159.6</v>
      </c>
      <c r="L277" s="10">
        <v>133</v>
      </c>
      <c r="M277" s="10">
        <v>142</v>
      </c>
      <c r="N277" s="10">
        <v>127</v>
      </c>
      <c r="O277" s="10">
        <v>87</v>
      </c>
      <c r="P277" s="10">
        <v>109</v>
      </c>
      <c r="Q277" s="10">
        <v>16.100000000000001</v>
      </c>
      <c r="R277" s="10">
        <v>1440</v>
      </c>
      <c r="S277" s="10">
        <v>1.0900000000000001</v>
      </c>
      <c r="T277" s="10">
        <v>1574</v>
      </c>
      <c r="U277" s="10">
        <v>223</v>
      </c>
      <c r="V277" s="10">
        <v>102</v>
      </c>
      <c r="W277" s="10">
        <v>37</v>
      </c>
      <c r="X277" s="10">
        <v>169</v>
      </c>
      <c r="Y277" s="10">
        <v>9</v>
      </c>
      <c r="Z277" s="10">
        <v>94</v>
      </c>
      <c r="AA277" s="10">
        <v>0.23899999999999999</v>
      </c>
      <c r="AB277" s="10">
        <v>114</v>
      </c>
      <c r="AC277" s="10">
        <v>65</v>
      </c>
      <c r="AD277" s="10">
        <v>55</v>
      </c>
      <c r="AE277" s="10">
        <v>6</v>
      </c>
      <c r="AF277" s="10">
        <v>11</v>
      </c>
      <c r="AG277" s="9" t="s">
        <v>188</v>
      </c>
      <c r="AH277" s="9" t="s">
        <v>185</v>
      </c>
      <c r="AI277" s="10"/>
      <c r="AJ277" s="10"/>
      <c r="AK277" s="30"/>
    </row>
    <row r="278" spans="5:37">
      <c r="E278" s="28" t="s">
        <v>155</v>
      </c>
      <c r="F278" s="8" t="s">
        <v>182</v>
      </c>
      <c r="G278" s="9" t="s">
        <v>310</v>
      </c>
      <c r="H278" s="10">
        <v>168</v>
      </c>
      <c r="I278" s="9" t="s">
        <v>158</v>
      </c>
      <c r="J278" s="10">
        <v>168</v>
      </c>
      <c r="K278" s="10">
        <v>167.5</v>
      </c>
      <c r="L278" s="10">
        <v>139</v>
      </c>
      <c r="M278" s="10">
        <v>148</v>
      </c>
      <c r="N278" s="10">
        <v>129</v>
      </c>
      <c r="O278" s="10">
        <v>87</v>
      </c>
      <c r="P278" s="10">
        <v>110</v>
      </c>
      <c r="Q278" s="10">
        <v>17</v>
      </c>
      <c r="R278" s="10">
        <v>1562</v>
      </c>
      <c r="S278" s="10">
        <v>1.07</v>
      </c>
      <c r="T278" s="10">
        <v>1666</v>
      </c>
      <c r="U278" s="10">
        <v>236</v>
      </c>
      <c r="V278" s="10">
        <v>109</v>
      </c>
      <c r="W278" s="10">
        <v>39</v>
      </c>
      <c r="X278" s="10">
        <v>182</v>
      </c>
      <c r="Y278" s="10">
        <v>9</v>
      </c>
      <c r="Z278" s="10">
        <v>105</v>
      </c>
      <c r="AA278" s="10">
        <v>0.23899999999999999</v>
      </c>
      <c r="AB278" s="10">
        <v>118</v>
      </c>
      <c r="AC278" s="10">
        <v>74</v>
      </c>
      <c r="AD278" s="10">
        <v>65</v>
      </c>
      <c r="AE278" s="10">
        <v>5</v>
      </c>
      <c r="AF278" s="10">
        <v>11.3</v>
      </c>
      <c r="AG278" s="9" t="s">
        <v>188</v>
      </c>
      <c r="AH278" s="9" t="s">
        <v>185</v>
      </c>
      <c r="AI278" s="10"/>
      <c r="AJ278" s="10"/>
      <c r="AK278" s="30"/>
    </row>
    <row r="279" spans="5:37">
      <c r="E279" s="28" t="s">
        <v>155</v>
      </c>
      <c r="F279" s="8" t="s">
        <v>182</v>
      </c>
      <c r="G279" s="9" t="s">
        <v>310</v>
      </c>
      <c r="H279" s="10">
        <v>176</v>
      </c>
      <c r="I279" s="9" t="s">
        <v>158</v>
      </c>
      <c r="J279" s="10">
        <v>176</v>
      </c>
      <c r="K279" s="10">
        <v>175.4</v>
      </c>
      <c r="L279" s="10">
        <v>145</v>
      </c>
      <c r="M279" s="10">
        <v>154</v>
      </c>
      <c r="N279" s="10">
        <v>131</v>
      </c>
      <c r="O279" s="10">
        <v>87</v>
      </c>
      <c r="P279" s="10">
        <v>111</v>
      </c>
      <c r="Q279" s="10">
        <v>17.2</v>
      </c>
      <c r="R279" s="10">
        <v>1632</v>
      </c>
      <c r="S279" s="10">
        <v>1.08</v>
      </c>
      <c r="T279" s="10">
        <v>1766</v>
      </c>
      <c r="U279" s="10">
        <v>276</v>
      </c>
      <c r="V279" s="10">
        <v>116</v>
      </c>
      <c r="W279" s="10">
        <v>40</v>
      </c>
      <c r="X279" s="10">
        <v>189</v>
      </c>
      <c r="Y279" s="10">
        <v>11</v>
      </c>
      <c r="Z279" s="10">
        <v>117</v>
      </c>
      <c r="AA279" s="10">
        <v>0.27200000000000002</v>
      </c>
      <c r="AB279" s="10">
        <v>138</v>
      </c>
      <c r="AC279" s="10">
        <v>80</v>
      </c>
      <c r="AD279" s="10">
        <v>51</v>
      </c>
      <c r="AE279" s="10">
        <v>6</v>
      </c>
      <c r="AF279" s="10">
        <v>11.8</v>
      </c>
      <c r="AG279" s="9" t="s">
        <v>188</v>
      </c>
      <c r="AH279" s="9" t="s">
        <v>185</v>
      </c>
      <c r="AI279" s="10"/>
      <c r="AJ279" s="10"/>
      <c r="AK279" s="30"/>
    </row>
    <row r="280" spans="5:37">
      <c r="E280" s="28" t="s">
        <v>155</v>
      </c>
      <c r="F280" s="8" t="s">
        <v>182</v>
      </c>
      <c r="G280" s="9" t="s">
        <v>271</v>
      </c>
      <c r="H280" s="10">
        <v>164</v>
      </c>
      <c r="I280" s="9" t="s">
        <v>158</v>
      </c>
      <c r="J280" s="10">
        <v>164</v>
      </c>
      <c r="K280" s="10">
        <v>163.80000000000001</v>
      </c>
      <c r="L280" s="10">
        <v>126</v>
      </c>
      <c r="M280" s="10">
        <v>143</v>
      </c>
      <c r="N280" s="10">
        <v>129</v>
      </c>
      <c r="O280" s="10">
        <v>91</v>
      </c>
      <c r="P280" s="10">
        <v>114</v>
      </c>
      <c r="Q280" s="10">
        <v>16.399999999999999</v>
      </c>
      <c r="R280" s="10">
        <v>1621</v>
      </c>
      <c r="S280" s="10">
        <v>1.04</v>
      </c>
      <c r="T280" s="10">
        <v>1688</v>
      </c>
      <c r="U280" s="10">
        <v>188</v>
      </c>
      <c r="V280" s="10">
        <v>101</v>
      </c>
      <c r="W280" s="10">
        <v>42</v>
      </c>
      <c r="X280" s="10">
        <v>231</v>
      </c>
      <c r="Y280" s="10">
        <v>18</v>
      </c>
      <c r="Z280" s="10">
        <v>145</v>
      </c>
      <c r="AA280" s="10">
        <v>0.43</v>
      </c>
      <c r="AB280" s="10">
        <v>131</v>
      </c>
      <c r="AC280" s="10">
        <v>74</v>
      </c>
      <c r="AD280" s="10">
        <v>100</v>
      </c>
      <c r="AE280" s="10">
        <v>7</v>
      </c>
      <c r="AF280" s="10">
        <v>10.3</v>
      </c>
      <c r="AG280" s="9" t="s">
        <v>188</v>
      </c>
      <c r="AH280" s="10"/>
      <c r="AI280" s="10"/>
      <c r="AJ280" s="10"/>
      <c r="AK280" s="30"/>
    </row>
    <row r="281" spans="5:37">
      <c r="E281" s="28" t="s">
        <v>155</v>
      </c>
      <c r="F281" s="8" t="s">
        <v>182</v>
      </c>
      <c r="G281" s="9" t="s">
        <v>271</v>
      </c>
      <c r="H281" s="10">
        <v>180</v>
      </c>
      <c r="I281" s="9" t="s">
        <v>158</v>
      </c>
      <c r="J281" s="10">
        <v>180</v>
      </c>
      <c r="K281" s="10">
        <v>179.8</v>
      </c>
      <c r="L281" s="10">
        <v>141</v>
      </c>
      <c r="M281" s="10">
        <v>154</v>
      </c>
      <c r="N281" s="10">
        <v>130</v>
      </c>
      <c r="O281" s="10">
        <v>91</v>
      </c>
      <c r="P281" s="10">
        <v>116</v>
      </c>
      <c r="Q281" s="10">
        <v>17.899999999999999</v>
      </c>
      <c r="R281" s="10">
        <v>1858</v>
      </c>
      <c r="S281" s="10">
        <v>1.01</v>
      </c>
      <c r="T281" s="10">
        <v>1871</v>
      </c>
      <c r="U281" s="10">
        <v>240</v>
      </c>
      <c r="V281" s="10">
        <v>141</v>
      </c>
      <c r="W281" s="10">
        <v>45</v>
      </c>
      <c r="X281" s="10">
        <v>243</v>
      </c>
      <c r="Y281" s="10">
        <v>16</v>
      </c>
      <c r="Z281" s="10">
        <v>143</v>
      </c>
      <c r="AA281" s="10">
        <v>0.35599999999999998</v>
      </c>
      <c r="AB281" s="10">
        <v>159</v>
      </c>
      <c r="AC281" s="10">
        <v>95</v>
      </c>
      <c r="AD281" s="10">
        <v>84</v>
      </c>
      <c r="AE281" s="10">
        <v>10</v>
      </c>
      <c r="AF281" s="10">
        <v>10.5</v>
      </c>
      <c r="AG281" s="9" t="s">
        <v>188</v>
      </c>
      <c r="AH281" s="10"/>
      <c r="AI281" s="10"/>
      <c r="AJ281" s="10"/>
      <c r="AK281" s="30"/>
    </row>
    <row r="282" spans="5:37">
      <c r="E282" s="28" t="s">
        <v>155</v>
      </c>
      <c r="F282" s="8" t="s">
        <v>182</v>
      </c>
      <c r="G282" s="9" t="s">
        <v>271</v>
      </c>
      <c r="H282" s="10">
        <v>188</v>
      </c>
      <c r="I282" s="9" t="s">
        <v>158</v>
      </c>
      <c r="J282" s="10">
        <v>188</v>
      </c>
      <c r="K282" s="10">
        <v>187.6</v>
      </c>
      <c r="L282" s="10">
        <v>145</v>
      </c>
      <c r="M282" s="10">
        <v>159</v>
      </c>
      <c r="N282" s="10">
        <v>131</v>
      </c>
      <c r="O282" s="10">
        <v>91</v>
      </c>
      <c r="P282" s="10">
        <v>118</v>
      </c>
      <c r="Q282" s="10">
        <v>18.399999999999999</v>
      </c>
      <c r="R282" s="10">
        <v>1937</v>
      </c>
      <c r="S282" s="10">
        <v>1.01</v>
      </c>
      <c r="T282" s="10">
        <v>1964</v>
      </c>
      <c r="U282" s="10">
        <v>271</v>
      </c>
      <c r="V282" s="10">
        <v>161</v>
      </c>
      <c r="W282" s="10">
        <v>49</v>
      </c>
      <c r="X282" s="10">
        <v>262</v>
      </c>
      <c r="Y282" s="10">
        <v>20</v>
      </c>
      <c r="Z282" s="10">
        <v>162</v>
      </c>
      <c r="AA282" s="10">
        <v>0.40400000000000003</v>
      </c>
      <c r="AB282" s="10">
        <v>182</v>
      </c>
      <c r="AC282" s="10">
        <v>105</v>
      </c>
      <c r="AD282" s="10">
        <v>80</v>
      </c>
      <c r="AE282" s="10">
        <v>8</v>
      </c>
      <c r="AF282" s="10">
        <v>9.6</v>
      </c>
      <c r="AG282" s="9" t="s">
        <v>188</v>
      </c>
      <c r="AH282" s="10"/>
      <c r="AI282" s="10"/>
      <c r="AJ282" s="10"/>
      <c r="AK282" s="30"/>
    </row>
    <row r="283" spans="5:37">
      <c r="E283" s="28" t="s">
        <v>155</v>
      </c>
      <c r="F283" s="8" t="s">
        <v>182</v>
      </c>
      <c r="G283" s="9" t="s">
        <v>537</v>
      </c>
      <c r="H283" s="10">
        <v>164</v>
      </c>
      <c r="I283" s="9" t="s">
        <v>158</v>
      </c>
      <c r="J283" s="10">
        <v>164</v>
      </c>
      <c r="K283" s="10">
        <v>162.1</v>
      </c>
      <c r="L283" s="10">
        <v>120</v>
      </c>
      <c r="M283" s="10">
        <v>143</v>
      </c>
      <c r="N283" s="10">
        <v>128</v>
      </c>
      <c r="O283" s="10">
        <v>97</v>
      </c>
      <c r="P283" s="10">
        <v>119</v>
      </c>
      <c r="Q283" s="10">
        <v>18.600000000000001</v>
      </c>
      <c r="R283" s="10">
        <v>1828</v>
      </c>
      <c r="S283" s="10">
        <v>0.94</v>
      </c>
      <c r="T283" s="10">
        <v>1720</v>
      </c>
      <c r="U283" s="10">
        <v>164</v>
      </c>
      <c r="V283" s="10">
        <v>68</v>
      </c>
      <c r="W283" s="10">
        <v>48</v>
      </c>
      <c r="X283" s="10">
        <v>253</v>
      </c>
      <c r="Y283" s="10">
        <v>45</v>
      </c>
      <c r="Z283" s="10">
        <v>165</v>
      </c>
      <c r="AA283" s="10">
        <v>0.94699999999999995</v>
      </c>
      <c r="AB283" s="10">
        <v>93</v>
      </c>
      <c r="AC283" s="10">
        <v>102</v>
      </c>
      <c r="AD283" s="10">
        <v>160</v>
      </c>
      <c r="AE283" s="10">
        <v>8</v>
      </c>
      <c r="AF283" s="10">
        <v>2.2999999999999998</v>
      </c>
      <c r="AG283" s="9" t="s">
        <v>184</v>
      </c>
      <c r="AH283" s="10"/>
      <c r="AI283" s="10"/>
      <c r="AJ283" s="10"/>
      <c r="AK283" s="30"/>
    </row>
    <row r="284" spans="5:37">
      <c r="E284" s="28" t="s">
        <v>155</v>
      </c>
      <c r="F284" s="8" t="s">
        <v>182</v>
      </c>
      <c r="G284" s="9" t="s">
        <v>537</v>
      </c>
      <c r="H284" s="10">
        <v>172</v>
      </c>
      <c r="I284" s="9" t="s">
        <v>158</v>
      </c>
      <c r="J284" s="10">
        <v>172</v>
      </c>
      <c r="K284" s="10">
        <v>170</v>
      </c>
      <c r="L284" s="10">
        <v>126</v>
      </c>
      <c r="M284" s="10">
        <v>150</v>
      </c>
      <c r="N284" s="10">
        <v>130</v>
      </c>
      <c r="O284" s="10">
        <v>97</v>
      </c>
      <c r="P284" s="10">
        <v>120</v>
      </c>
      <c r="Q284" s="10">
        <v>19.600000000000001</v>
      </c>
      <c r="R284" s="10">
        <v>1915</v>
      </c>
      <c r="S284" s="10">
        <v>0.95</v>
      </c>
      <c r="T284" s="10">
        <v>1816</v>
      </c>
      <c r="U284" s="10">
        <v>170</v>
      </c>
      <c r="V284" s="10">
        <v>87</v>
      </c>
      <c r="W284" s="10">
        <v>55</v>
      </c>
      <c r="X284" s="10">
        <v>273</v>
      </c>
      <c r="Y284" s="10">
        <v>46</v>
      </c>
      <c r="Z284" s="10">
        <v>168</v>
      </c>
      <c r="AA284" s="10">
        <v>0.84099999999999997</v>
      </c>
      <c r="AB284" s="10">
        <v>96</v>
      </c>
      <c r="AC284" s="10">
        <v>101</v>
      </c>
      <c r="AD284" s="10">
        <v>176</v>
      </c>
      <c r="AE284" s="10">
        <v>7</v>
      </c>
      <c r="AF284" s="10">
        <v>3.5</v>
      </c>
      <c r="AG284" s="9" t="s">
        <v>188</v>
      </c>
      <c r="AH284" s="9" t="s">
        <v>184</v>
      </c>
      <c r="AI284" s="10"/>
      <c r="AJ284" s="10"/>
      <c r="AK284" s="30"/>
    </row>
    <row r="285" spans="5:37">
      <c r="E285" s="28" t="s">
        <v>155</v>
      </c>
      <c r="F285" s="8" t="s">
        <v>182</v>
      </c>
      <c r="G285" s="9" t="s">
        <v>537</v>
      </c>
      <c r="H285" s="10">
        <v>180</v>
      </c>
      <c r="I285" s="9" t="s">
        <v>158</v>
      </c>
      <c r="J285" s="10">
        <v>180</v>
      </c>
      <c r="K285" s="10">
        <v>178</v>
      </c>
      <c r="L285" s="10">
        <v>134</v>
      </c>
      <c r="M285" s="10">
        <v>159</v>
      </c>
      <c r="N285" s="10">
        <v>132</v>
      </c>
      <c r="O285" s="10">
        <v>97</v>
      </c>
      <c r="P285" s="10">
        <v>122</v>
      </c>
      <c r="Q285" s="10">
        <v>20.399999999999999</v>
      </c>
      <c r="R285" s="10">
        <v>2021</v>
      </c>
      <c r="S285" s="10">
        <v>0.95</v>
      </c>
      <c r="T285" s="10">
        <v>1913</v>
      </c>
      <c r="U285" s="10">
        <v>198</v>
      </c>
      <c r="V285" s="10">
        <v>87</v>
      </c>
      <c r="W285" s="10">
        <v>50</v>
      </c>
      <c r="X285" s="10">
        <v>266</v>
      </c>
      <c r="Y285" s="10">
        <v>48</v>
      </c>
      <c r="Z285" s="10">
        <v>172</v>
      </c>
      <c r="AA285" s="10">
        <v>0.95699999999999996</v>
      </c>
      <c r="AB285" s="10">
        <v>87</v>
      </c>
      <c r="AC285" s="10">
        <v>98</v>
      </c>
      <c r="AD285" s="10">
        <v>179</v>
      </c>
      <c r="AE285" s="10">
        <v>8</v>
      </c>
      <c r="AF285" s="10">
        <v>3.2</v>
      </c>
      <c r="AG285" s="9" t="s">
        <v>184</v>
      </c>
      <c r="AH285" s="10"/>
      <c r="AI285" s="10"/>
      <c r="AJ285" s="10"/>
      <c r="AK285" s="30"/>
    </row>
    <row r="286" spans="5:37">
      <c r="E286" s="28" t="s">
        <v>155</v>
      </c>
      <c r="F286" s="8" t="s">
        <v>182</v>
      </c>
      <c r="G286" s="9" t="s">
        <v>876</v>
      </c>
      <c r="H286" s="10">
        <v>180</v>
      </c>
      <c r="I286" s="9" t="s">
        <v>158</v>
      </c>
      <c r="J286" s="10">
        <v>180</v>
      </c>
      <c r="K286" s="10">
        <v>178.7</v>
      </c>
      <c r="L286" s="10">
        <v>99</v>
      </c>
      <c r="M286" s="10">
        <v>115</v>
      </c>
      <c r="N286" s="10">
        <v>142</v>
      </c>
      <c r="O286" s="10">
        <v>125</v>
      </c>
      <c r="P286" s="10">
        <v>139</v>
      </c>
      <c r="Q286" s="10">
        <v>17.899999999999999</v>
      </c>
      <c r="R286" s="10">
        <v>2353</v>
      </c>
      <c r="S286" s="10">
        <v>1</v>
      </c>
      <c r="T286" s="10">
        <v>2343</v>
      </c>
      <c r="U286" s="10">
        <v>264</v>
      </c>
      <c r="V286" s="10">
        <v>128</v>
      </c>
      <c r="W286" s="10">
        <v>60</v>
      </c>
      <c r="X286" s="10">
        <v>414</v>
      </c>
      <c r="Y286" s="10">
        <v>58</v>
      </c>
      <c r="Z286" s="10">
        <v>383</v>
      </c>
      <c r="AA286" s="10">
        <v>0.96899999999999997</v>
      </c>
      <c r="AB286" s="10">
        <v>325</v>
      </c>
      <c r="AC286" s="10">
        <v>311</v>
      </c>
      <c r="AD286" s="10">
        <v>89</v>
      </c>
      <c r="AE286" s="10">
        <v>7</v>
      </c>
      <c r="AF286" s="10">
        <v>4.7</v>
      </c>
      <c r="AG286" s="9" t="s">
        <v>184</v>
      </c>
      <c r="AH286" s="9" t="s">
        <v>169</v>
      </c>
      <c r="AI286" s="10"/>
      <c r="AJ286" s="10"/>
      <c r="AK286" s="30"/>
    </row>
    <row r="287" spans="5:37">
      <c r="E287" s="28" t="s">
        <v>155</v>
      </c>
      <c r="F287" s="8" t="s">
        <v>182</v>
      </c>
      <c r="G287" s="9" t="s">
        <v>876</v>
      </c>
      <c r="H287" s="10">
        <v>190</v>
      </c>
      <c r="I287" s="9" t="s">
        <v>158</v>
      </c>
      <c r="J287" s="10">
        <v>190</v>
      </c>
      <c r="K287" s="10">
        <v>188.7</v>
      </c>
      <c r="L287" s="10">
        <v>110</v>
      </c>
      <c r="M287" s="10">
        <v>126</v>
      </c>
      <c r="N287" s="10">
        <v>142</v>
      </c>
      <c r="O287" s="10">
        <v>125</v>
      </c>
      <c r="P287" s="10">
        <v>139</v>
      </c>
      <c r="Q287" s="10">
        <v>22.7</v>
      </c>
      <c r="R287" s="10">
        <v>2529</v>
      </c>
      <c r="S287" s="10">
        <v>0.98</v>
      </c>
      <c r="T287" s="10">
        <v>2479</v>
      </c>
      <c r="U287" s="10">
        <v>266</v>
      </c>
      <c r="V287" s="10">
        <v>133</v>
      </c>
      <c r="W287" s="10">
        <v>56</v>
      </c>
      <c r="X287" s="10">
        <v>410</v>
      </c>
      <c r="Y287" s="10">
        <v>58</v>
      </c>
      <c r="Z287" s="10">
        <v>375</v>
      </c>
      <c r="AA287" s="10">
        <v>1.0429999999999999</v>
      </c>
      <c r="AB287" s="10">
        <v>333</v>
      </c>
      <c r="AC287" s="10">
        <v>294</v>
      </c>
      <c r="AD287" s="10">
        <v>77</v>
      </c>
      <c r="AE287" s="10">
        <v>8</v>
      </c>
      <c r="AF287" s="10">
        <v>4.3</v>
      </c>
      <c r="AG287" s="9" t="s">
        <v>184</v>
      </c>
      <c r="AH287" s="9" t="s">
        <v>169</v>
      </c>
      <c r="AI287" s="10"/>
      <c r="AJ287" s="10"/>
      <c r="AK287" s="30"/>
    </row>
    <row r="288" spans="5:37">
      <c r="E288" s="28" t="s">
        <v>155</v>
      </c>
      <c r="F288" s="8" t="s">
        <v>182</v>
      </c>
      <c r="G288" s="9" t="s">
        <v>287</v>
      </c>
      <c r="H288" s="10">
        <v>164</v>
      </c>
      <c r="I288" s="9" t="s">
        <v>163</v>
      </c>
      <c r="J288" s="10">
        <v>164</v>
      </c>
      <c r="K288" s="10">
        <v>163.5</v>
      </c>
      <c r="L288" s="10">
        <v>117</v>
      </c>
      <c r="M288" s="10">
        <v>136</v>
      </c>
      <c r="N288" s="10">
        <v>132</v>
      </c>
      <c r="O288" s="10">
        <v>101</v>
      </c>
      <c r="P288" s="10">
        <v>122</v>
      </c>
      <c r="Q288" s="10">
        <v>16.899999999999999</v>
      </c>
      <c r="R288" s="10">
        <v>1707</v>
      </c>
      <c r="S288" s="10">
        <v>1.07</v>
      </c>
      <c r="T288" s="10">
        <v>1819</v>
      </c>
      <c r="U288" s="10">
        <v>190</v>
      </c>
      <c r="V288" s="10">
        <v>112</v>
      </c>
      <c r="W288" s="10">
        <v>53</v>
      </c>
      <c r="X288" s="10">
        <v>304</v>
      </c>
      <c r="Y288" s="10">
        <v>18</v>
      </c>
      <c r="Z288" s="10">
        <v>157</v>
      </c>
      <c r="AA288" s="10">
        <v>0.33</v>
      </c>
      <c r="AB288" s="10">
        <v>162</v>
      </c>
      <c r="AC288" s="10">
        <v>116</v>
      </c>
      <c r="AD288" s="10">
        <v>142</v>
      </c>
      <c r="AE288" s="10">
        <v>4</v>
      </c>
      <c r="AF288" s="10">
        <v>7.5</v>
      </c>
      <c r="AG288" s="9" t="s">
        <v>188</v>
      </c>
      <c r="AH288" s="9" t="s">
        <v>178</v>
      </c>
      <c r="AI288" s="9" t="s">
        <v>185</v>
      </c>
      <c r="AJ288" s="10"/>
      <c r="AK288" s="30"/>
    </row>
    <row r="289" spans="5:37">
      <c r="E289" s="28" t="s">
        <v>155</v>
      </c>
      <c r="F289" s="8" t="s">
        <v>182</v>
      </c>
      <c r="G289" s="9" t="s">
        <v>287</v>
      </c>
      <c r="H289" s="10">
        <v>172</v>
      </c>
      <c r="I289" s="9" t="s">
        <v>163</v>
      </c>
      <c r="J289" s="10">
        <v>172</v>
      </c>
      <c r="K289" s="10">
        <v>171.4</v>
      </c>
      <c r="L289" s="10">
        <v>127</v>
      </c>
      <c r="M289" s="10">
        <v>141</v>
      </c>
      <c r="N289" s="10">
        <v>133</v>
      </c>
      <c r="O289" s="10">
        <v>101</v>
      </c>
      <c r="P289" s="10">
        <v>123</v>
      </c>
      <c r="Q289" s="10">
        <v>17.399999999999999</v>
      </c>
      <c r="R289" s="10">
        <v>1873</v>
      </c>
      <c r="S289" s="10">
        <v>1.02</v>
      </c>
      <c r="T289" s="10">
        <v>1917</v>
      </c>
      <c r="U289" s="10">
        <v>213</v>
      </c>
      <c r="V289" s="10">
        <v>131</v>
      </c>
      <c r="W289" s="10">
        <v>52</v>
      </c>
      <c r="X289" s="10">
        <v>285</v>
      </c>
      <c r="Y289" s="10">
        <v>17</v>
      </c>
      <c r="Z289" s="10">
        <v>161</v>
      </c>
      <c r="AA289" s="10">
        <v>0.33600000000000002</v>
      </c>
      <c r="AB289" s="10">
        <v>181</v>
      </c>
      <c r="AC289" s="10">
        <v>127</v>
      </c>
      <c r="AD289" s="10">
        <v>105</v>
      </c>
      <c r="AE289" s="10">
        <v>8</v>
      </c>
      <c r="AF289" s="10">
        <v>8.4</v>
      </c>
      <c r="AG289" s="9" t="s">
        <v>188</v>
      </c>
      <c r="AH289" s="9" t="s">
        <v>178</v>
      </c>
      <c r="AI289" s="10"/>
      <c r="AJ289" s="10"/>
      <c r="AK289" s="30"/>
    </row>
    <row r="290" spans="5:37">
      <c r="E290" s="28" t="s">
        <v>155</v>
      </c>
      <c r="F290" s="8" t="s">
        <v>182</v>
      </c>
      <c r="G290" s="9" t="s">
        <v>610</v>
      </c>
      <c r="H290" s="10">
        <v>150</v>
      </c>
      <c r="I290" s="9" t="s">
        <v>163</v>
      </c>
      <c r="J290" s="10">
        <v>150</v>
      </c>
      <c r="K290" s="10">
        <v>149.69999999999999</v>
      </c>
      <c r="L290" s="10">
        <v>124</v>
      </c>
      <c r="M290" s="10">
        <v>135</v>
      </c>
      <c r="N290" s="10">
        <v>121</v>
      </c>
      <c r="O290" s="10">
        <v>81</v>
      </c>
      <c r="P290" s="10">
        <v>107</v>
      </c>
      <c r="Q290" s="10">
        <v>14</v>
      </c>
      <c r="R290" s="10">
        <v>1348</v>
      </c>
      <c r="S290" s="10">
        <v>1.04</v>
      </c>
      <c r="T290" s="10">
        <v>1398</v>
      </c>
      <c r="U290" s="10">
        <v>161</v>
      </c>
      <c r="V290" s="10">
        <v>97</v>
      </c>
      <c r="W290" s="10">
        <v>35</v>
      </c>
      <c r="X290" s="10">
        <v>164</v>
      </c>
      <c r="Y290" s="10">
        <v>10</v>
      </c>
      <c r="Z290" s="10">
        <v>96</v>
      </c>
      <c r="AA290" s="10">
        <v>0.28599999999999998</v>
      </c>
      <c r="AB290" s="10">
        <v>91</v>
      </c>
      <c r="AC290" s="10">
        <v>53</v>
      </c>
      <c r="AD290" s="10">
        <v>73</v>
      </c>
      <c r="AE290" s="10">
        <v>7</v>
      </c>
      <c r="AF290" s="10">
        <v>8.1999999999999993</v>
      </c>
      <c r="AG290" s="9" t="s">
        <v>188</v>
      </c>
      <c r="AH290" s="10"/>
      <c r="AI290" s="10"/>
      <c r="AJ290" s="10"/>
      <c r="AK290" s="30"/>
    </row>
    <row r="291" spans="5:37">
      <c r="E291" s="28" t="s">
        <v>155</v>
      </c>
      <c r="F291" s="8" t="s">
        <v>182</v>
      </c>
      <c r="G291" s="9" t="s">
        <v>610</v>
      </c>
      <c r="H291" s="10">
        <v>166</v>
      </c>
      <c r="I291" s="9" t="s">
        <v>163</v>
      </c>
      <c r="J291" s="10">
        <v>166</v>
      </c>
      <c r="K291" s="10">
        <v>165.5</v>
      </c>
      <c r="L291" s="10">
        <v>138</v>
      </c>
      <c r="M291" s="10">
        <v>149</v>
      </c>
      <c r="N291" s="10">
        <v>125</v>
      </c>
      <c r="O291" s="10">
        <v>81</v>
      </c>
      <c r="P291" s="10">
        <v>108</v>
      </c>
      <c r="Q291" s="10">
        <v>15.4</v>
      </c>
      <c r="R291" s="10">
        <v>1533</v>
      </c>
      <c r="S291" s="10">
        <v>1.02</v>
      </c>
      <c r="T291" s="10">
        <v>1569</v>
      </c>
      <c r="U291" s="10">
        <v>205</v>
      </c>
      <c r="V291" s="10">
        <v>122</v>
      </c>
      <c r="W291" s="10">
        <v>36</v>
      </c>
      <c r="X291" s="10">
        <v>176</v>
      </c>
      <c r="Y291" s="10">
        <v>10</v>
      </c>
      <c r="Z291" s="10">
        <v>104</v>
      </c>
      <c r="AA291" s="10">
        <v>0.26900000000000002</v>
      </c>
      <c r="AB291" s="10">
        <v>112</v>
      </c>
      <c r="AC291" s="10">
        <v>55</v>
      </c>
      <c r="AD291" s="10">
        <v>64</v>
      </c>
      <c r="AE291" s="10">
        <v>9</v>
      </c>
      <c r="AF291" s="10">
        <v>10.3</v>
      </c>
      <c r="AG291" s="9" t="s">
        <v>231</v>
      </c>
      <c r="AH291" s="9" t="s">
        <v>188</v>
      </c>
      <c r="AI291" s="10"/>
      <c r="AJ291" s="10"/>
      <c r="AK291" s="30"/>
    </row>
    <row r="292" spans="5:37">
      <c r="E292" s="28" t="s">
        <v>155</v>
      </c>
      <c r="F292" s="8" t="s">
        <v>182</v>
      </c>
      <c r="G292" s="9" t="s">
        <v>610</v>
      </c>
      <c r="H292" s="10">
        <v>174</v>
      </c>
      <c r="I292" s="9" t="s">
        <v>163</v>
      </c>
      <c r="J292" s="10">
        <v>174</v>
      </c>
      <c r="K292" s="10">
        <v>173.3</v>
      </c>
      <c r="L292" s="10">
        <v>142</v>
      </c>
      <c r="M292" s="10">
        <v>155</v>
      </c>
      <c r="N292" s="10">
        <v>127</v>
      </c>
      <c r="O292" s="10">
        <v>81</v>
      </c>
      <c r="P292" s="10">
        <v>109</v>
      </c>
      <c r="Q292" s="10">
        <v>15.9</v>
      </c>
      <c r="R292" s="10">
        <v>1650</v>
      </c>
      <c r="S292" s="10">
        <v>1</v>
      </c>
      <c r="T292" s="10">
        <v>1654</v>
      </c>
      <c r="U292" s="10">
        <v>245</v>
      </c>
      <c r="V292" s="10">
        <v>133</v>
      </c>
      <c r="W292" s="10">
        <v>45</v>
      </c>
      <c r="X292" s="10">
        <v>197</v>
      </c>
      <c r="Y292" s="10">
        <v>11</v>
      </c>
      <c r="Z292" s="10">
        <v>115</v>
      </c>
      <c r="AA292" s="10">
        <v>0.248</v>
      </c>
      <c r="AB292" s="10">
        <v>115</v>
      </c>
      <c r="AC292" s="10">
        <v>70</v>
      </c>
      <c r="AD292" s="10">
        <v>82</v>
      </c>
      <c r="AE292" s="10">
        <v>10</v>
      </c>
      <c r="AF292" s="10">
        <v>9.6</v>
      </c>
      <c r="AG292" s="9" t="s">
        <v>231</v>
      </c>
      <c r="AH292" s="9" t="s">
        <v>188</v>
      </c>
      <c r="AI292" s="10"/>
      <c r="AJ292" s="10"/>
      <c r="AK292" s="30"/>
    </row>
    <row r="293" spans="5:37">
      <c r="E293" s="28" t="s">
        <v>155</v>
      </c>
      <c r="F293" s="8" t="s">
        <v>182</v>
      </c>
      <c r="G293" s="9" t="s">
        <v>244</v>
      </c>
      <c r="H293" s="10">
        <v>152</v>
      </c>
      <c r="I293" s="9" t="s">
        <v>163</v>
      </c>
      <c r="J293" s="10">
        <v>152</v>
      </c>
      <c r="K293" s="10">
        <v>152</v>
      </c>
      <c r="L293" s="10">
        <v>124</v>
      </c>
      <c r="M293" s="10">
        <v>134</v>
      </c>
      <c r="N293" s="10">
        <v>124</v>
      </c>
      <c r="O293" s="10">
        <v>87</v>
      </c>
      <c r="P293" s="10">
        <v>106</v>
      </c>
      <c r="Q293" s="10">
        <v>15.9</v>
      </c>
      <c r="R293" s="10">
        <v>1345</v>
      </c>
      <c r="S293" s="10">
        <v>1.1100000000000001</v>
      </c>
      <c r="T293" s="10">
        <v>1488</v>
      </c>
      <c r="U293" s="10">
        <v>178</v>
      </c>
      <c r="V293" s="10">
        <v>85</v>
      </c>
      <c r="W293" s="10">
        <v>41</v>
      </c>
      <c r="X293" s="10">
        <v>177</v>
      </c>
      <c r="Y293" s="10">
        <v>9</v>
      </c>
      <c r="Z293" s="10">
        <v>99</v>
      </c>
      <c r="AA293" s="10">
        <v>0.218</v>
      </c>
      <c r="AB293" s="10">
        <v>110</v>
      </c>
      <c r="AC293" s="10">
        <v>66</v>
      </c>
      <c r="AD293" s="10">
        <v>67</v>
      </c>
      <c r="AE293" s="10">
        <v>5</v>
      </c>
      <c r="AF293" s="10">
        <v>10.6</v>
      </c>
      <c r="AG293" s="9" t="s">
        <v>188</v>
      </c>
      <c r="AH293" s="9" t="s">
        <v>185</v>
      </c>
      <c r="AI293" s="10"/>
      <c r="AJ293" s="10"/>
      <c r="AK293" s="30"/>
    </row>
    <row r="294" spans="5:37">
      <c r="E294" s="28" t="s">
        <v>155</v>
      </c>
      <c r="F294" s="8" t="s">
        <v>182</v>
      </c>
      <c r="G294" s="9" t="s">
        <v>244</v>
      </c>
      <c r="H294" s="10">
        <v>160</v>
      </c>
      <c r="I294" s="9" t="s">
        <v>163</v>
      </c>
      <c r="J294" s="10">
        <v>160</v>
      </c>
      <c r="K294" s="10">
        <v>159.5</v>
      </c>
      <c r="L294" s="10">
        <v>132</v>
      </c>
      <c r="M294" s="10">
        <v>142</v>
      </c>
      <c r="N294" s="10">
        <v>127</v>
      </c>
      <c r="O294" s="10">
        <v>87</v>
      </c>
      <c r="P294" s="10">
        <v>109</v>
      </c>
      <c r="Q294" s="10">
        <v>16.3</v>
      </c>
      <c r="R294" s="10">
        <v>1478</v>
      </c>
      <c r="S294" s="10">
        <v>1.06</v>
      </c>
      <c r="T294" s="10">
        <v>1574</v>
      </c>
      <c r="U294" s="10">
        <v>222</v>
      </c>
      <c r="V294" s="10">
        <v>104</v>
      </c>
      <c r="W294" s="10">
        <v>39</v>
      </c>
      <c r="X294" s="10">
        <v>172</v>
      </c>
      <c r="Y294" s="10">
        <v>10</v>
      </c>
      <c r="Z294" s="10">
        <v>100</v>
      </c>
      <c r="AA294" s="10">
        <v>0.245</v>
      </c>
      <c r="AB294" s="10">
        <v>112</v>
      </c>
      <c r="AC294" s="10">
        <v>62</v>
      </c>
      <c r="AD294" s="10">
        <v>60</v>
      </c>
      <c r="AE294" s="10">
        <v>5</v>
      </c>
      <c r="AF294" s="10">
        <v>11.4</v>
      </c>
      <c r="AG294" s="9" t="s">
        <v>188</v>
      </c>
      <c r="AH294" s="9" t="s">
        <v>185</v>
      </c>
      <c r="AI294" s="10"/>
      <c r="AJ294" s="10"/>
      <c r="AK294" s="30"/>
    </row>
    <row r="295" spans="5:37">
      <c r="E295" s="28" t="s">
        <v>155</v>
      </c>
      <c r="F295" s="8" t="s">
        <v>182</v>
      </c>
      <c r="G295" s="9" t="s">
        <v>244</v>
      </c>
      <c r="H295" s="10">
        <v>168</v>
      </c>
      <c r="I295" s="9" t="s">
        <v>163</v>
      </c>
      <c r="J295" s="10">
        <v>168</v>
      </c>
      <c r="K295" s="10">
        <v>167.4</v>
      </c>
      <c r="L295" s="10">
        <v>138</v>
      </c>
      <c r="M295" s="10">
        <v>149</v>
      </c>
      <c r="N295" s="10">
        <v>128</v>
      </c>
      <c r="O295" s="10">
        <v>87</v>
      </c>
      <c r="P295" s="10">
        <v>109</v>
      </c>
      <c r="Q295" s="10">
        <v>16.899999999999999</v>
      </c>
      <c r="R295" s="10">
        <v>1550</v>
      </c>
      <c r="S295" s="10">
        <v>1.07</v>
      </c>
      <c r="T295" s="10">
        <v>1664</v>
      </c>
      <c r="U295" s="10">
        <v>243</v>
      </c>
      <c r="V295" s="10">
        <v>106</v>
      </c>
      <c r="W295" s="10">
        <v>41</v>
      </c>
      <c r="X295" s="10">
        <v>186</v>
      </c>
      <c r="Y295" s="10">
        <v>11</v>
      </c>
      <c r="Z295" s="10">
        <v>112</v>
      </c>
      <c r="AA295" s="10">
        <v>0.25800000000000001</v>
      </c>
      <c r="AB295" s="10">
        <v>114</v>
      </c>
      <c r="AC295" s="10">
        <v>74</v>
      </c>
      <c r="AD295" s="10">
        <v>72</v>
      </c>
      <c r="AE295" s="10">
        <v>5</v>
      </c>
      <c r="AF295" s="10">
        <v>11.8</v>
      </c>
      <c r="AG295" s="9" t="s">
        <v>188</v>
      </c>
      <c r="AH295" s="9" t="s">
        <v>185</v>
      </c>
      <c r="AI295" s="10"/>
      <c r="AJ295" s="10"/>
      <c r="AK295" s="30"/>
    </row>
    <row r="296" spans="5:37">
      <c r="E296" s="28" t="s">
        <v>155</v>
      </c>
      <c r="F296" s="8" t="s">
        <v>182</v>
      </c>
      <c r="G296" s="9" t="s">
        <v>440</v>
      </c>
      <c r="H296" s="10">
        <v>156</v>
      </c>
      <c r="I296" s="9" t="s">
        <v>163</v>
      </c>
      <c r="J296" s="10">
        <v>156</v>
      </c>
      <c r="K296" s="10">
        <v>155.6</v>
      </c>
      <c r="L296" s="10">
        <v>119</v>
      </c>
      <c r="M296" s="10">
        <v>136</v>
      </c>
      <c r="N296" s="10">
        <v>128</v>
      </c>
      <c r="O296" s="10">
        <v>91</v>
      </c>
      <c r="P296" s="10">
        <v>114</v>
      </c>
      <c r="Q296" s="10">
        <v>15.5</v>
      </c>
      <c r="R296" s="10">
        <v>1492</v>
      </c>
      <c r="S296" s="10">
        <v>1.07</v>
      </c>
      <c r="T296" s="10">
        <v>1595</v>
      </c>
      <c r="U296" s="10">
        <v>169</v>
      </c>
      <c r="V296" s="10">
        <v>94</v>
      </c>
      <c r="W296" s="10">
        <v>43</v>
      </c>
      <c r="X296" s="10">
        <v>226</v>
      </c>
      <c r="Y296" s="10">
        <v>17</v>
      </c>
      <c r="Z296" s="10">
        <v>145</v>
      </c>
      <c r="AA296" s="10">
        <v>0.38600000000000001</v>
      </c>
      <c r="AB296" s="10">
        <v>128</v>
      </c>
      <c r="AC296" s="10">
        <v>70</v>
      </c>
      <c r="AD296" s="10">
        <v>98</v>
      </c>
      <c r="AE296" s="10">
        <v>6</v>
      </c>
      <c r="AF296" s="10">
        <v>9.8000000000000007</v>
      </c>
      <c r="AG296" s="9" t="s">
        <v>188</v>
      </c>
      <c r="AH296" s="9" t="s">
        <v>185</v>
      </c>
      <c r="AI296" s="10"/>
      <c r="AJ296" s="10"/>
      <c r="AK296" s="30"/>
    </row>
    <row r="297" spans="5:37">
      <c r="E297" s="28" t="s">
        <v>155</v>
      </c>
      <c r="F297" s="8" t="s">
        <v>182</v>
      </c>
      <c r="G297" s="9" t="s">
        <v>440</v>
      </c>
      <c r="H297" s="10">
        <v>164</v>
      </c>
      <c r="I297" s="9" t="s">
        <v>163</v>
      </c>
      <c r="J297" s="10">
        <v>164</v>
      </c>
      <c r="K297" s="10">
        <v>163.6</v>
      </c>
      <c r="L297" s="10">
        <v>126</v>
      </c>
      <c r="M297" s="10">
        <v>143</v>
      </c>
      <c r="N297" s="10">
        <v>129</v>
      </c>
      <c r="O297" s="10">
        <v>91</v>
      </c>
      <c r="P297" s="10">
        <v>114</v>
      </c>
      <c r="Q297" s="10">
        <v>16.399999999999999</v>
      </c>
      <c r="R297" s="10">
        <v>1610</v>
      </c>
      <c r="S297" s="10">
        <v>1.05</v>
      </c>
      <c r="T297" s="10">
        <v>1687</v>
      </c>
      <c r="U297" s="10">
        <v>203</v>
      </c>
      <c r="V297" s="10">
        <v>125</v>
      </c>
      <c r="W297" s="10">
        <v>40</v>
      </c>
      <c r="X297" s="10">
        <v>229</v>
      </c>
      <c r="Y297" s="10">
        <v>17</v>
      </c>
      <c r="Z297" s="10">
        <v>146</v>
      </c>
      <c r="AA297" s="10">
        <v>0.41699999999999998</v>
      </c>
      <c r="AB297" s="10">
        <v>130</v>
      </c>
      <c r="AC297" s="10">
        <v>78</v>
      </c>
      <c r="AD297" s="10">
        <v>99</v>
      </c>
      <c r="AE297" s="10">
        <v>8</v>
      </c>
      <c r="AF297" s="10">
        <v>9.9</v>
      </c>
      <c r="AG297" s="9" t="s">
        <v>188</v>
      </c>
      <c r="AH297" s="10"/>
      <c r="AI297" s="10"/>
      <c r="AJ297" s="10"/>
      <c r="AK297" s="30"/>
    </row>
    <row r="298" spans="5:37">
      <c r="E298" s="28" t="s">
        <v>155</v>
      </c>
      <c r="F298" s="8" t="s">
        <v>182</v>
      </c>
      <c r="G298" s="9" t="s">
        <v>440</v>
      </c>
      <c r="H298" s="10">
        <v>172</v>
      </c>
      <c r="I298" s="9" t="s">
        <v>163</v>
      </c>
      <c r="J298" s="10">
        <v>172</v>
      </c>
      <c r="K298" s="10">
        <v>172.1</v>
      </c>
      <c r="L298" s="10">
        <v>134</v>
      </c>
      <c r="M298" s="10">
        <v>149</v>
      </c>
      <c r="N298" s="10">
        <v>130</v>
      </c>
      <c r="O298" s="10">
        <v>91</v>
      </c>
      <c r="P298" s="10">
        <v>116</v>
      </c>
      <c r="Q298" s="10">
        <v>16.899999999999999</v>
      </c>
      <c r="R298" s="10">
        <v>1690</v>
      </c>
      <c r="S298" s="10">
        <v>1.05</v>
      </c>
      <c r="T298" s="10">
        <v>1780</v>
      </c>
      <c r="U298" s="10">
        <v>208</v>
      </c>
      <c r="V298" s="10">
        <v>140</v>
      </c>
      <c r="W298" s="10">
        <v>40</v>
      </c>
      <c r="X298" s="10">
        <v>237</v>
      </c>
      <c r="Y298" s="10">
        <v>16</v>
      </c>
      <c r="Z298" s="10">
        <v>145</v>
      </c>
      <c r="AA298" s="10">
        <v>0.40899999999999997</v>
      </c>
      <c r="AB298" s="10">
        <v>147</v>
      </c>
      <c r="AC298" s="10">
        <v>87</v>
      </c>
      <c r="AD298" s="10">
        <v>90</v>
      </c>
      <c r="AE298" s="10">
        <v>9</v>
      </c>
      <c r="AF298" s="10">
        <v>9.6</v>
      </c>
      <c r="AG298" s="9" t="s">
        <v>188</v>
      </c>
      <c r="AH298" s="9" t="s">
        <v>185</v>
      </c>
      <c r="AI298" s="10"/>
      <c r="AJ298" s="10"/>
      <c r="AK298" s="30"/>
    </row>
    <row r="299" spans="5:37">
      <c r="E299" s="28" t="s">
        <v>155</v>
      </c>
      <c r="F299" s="8" t="s">
        <v>182</v>
      </c>
      <c r="G299" s="9" t="s">
        <v>686</v>
      </c>
      <c r="H299" s="10">
        <v>172</v>
      </c>
      <c r="I299" s="9" t="s">
        <v>158</v>
      </c>
      <c r="J299" s="10">
        <v>172</v>
      </c>
      <c r="K299" s="10">
        <v>170.9</v>
      </c>
      <c r="L299" s="10">
        <v>119</v>
      </c>
      <c r="M299" s="10">
        <v>140</v>
      </c>
      <c r="N299" s="10">
        <v>138</v>
      </c>
      <c r="O299" s="10">
        <v>99</v>
      </c>
      <c r="P299" s="10">
        <v>119</v>
      </c>
      <c r="Q299" s="10">
        <v>15.2</v>
      </c>
      <c r="R299" s="10">
        <v>2003</v>
      </c>
      <c r="S299" s="10">
        <v>0.96</v>
      </c>
      <c r="T299" s="10">
        <v>1924</v>
      </c>
      <c r="U299" s="10">
        <v>163</v>
      </c>
      <c r="V299" s="10">
        <v>75</v>
      </c>
      <c r="W299" s="10">
        <v>57</v>
      </c>
      <c r="X299" s="10">
        <v>294</v>
      </c>
      <c r="Y299" s="10">
        <v>35</v>
      </c>
      <c r="Z299" s="10">
        <v>226</v>
      </c>
      <c r="AA299" s="10">
        <v>0.60499999999999998</v>
      </c>
      <c r="AB299" s="10">
        <v>196</v>
      </c>
      <c r="AC299" s="10">
        <v>111</v>
      </c>
      <c r="AD299" s="10">
        <v>97</v>
      </c>
      <c r="AE299" s="10">
        <v>8</v>
      </c>
      <c r="AF299" s="10">
        <v>10.1</v>
      </c>
      <c r="AG299" s="9" t="s">
        <v>188</v>
      </c>
      <c r="AH299" s="10"/>
      <c r="AI299" s="10"/>
      <c r="AJ299" s="10"/>
      <c r="AK299" s="30"/>
    </row>
    <row r="300" spans="5:37">
      <c r="E300" s="28" t="s">
        <v>155</v>
      </c>
      <c r="F300" s="8" t="s">
        <v>182</v>
      </c>
      <c r="G300" s="9" t="s">
        <v>686</v>
      </c>
      <c r="H300" s="10">
        <v>180</v>
      </c>
      <c r="I300" s="9" t="s">
        <v>158</v>
      </c>
      <c r="J300" s="10">
        <v>180</v>
      </c>
      <c r="K300" s="10">
        <v>179.4</v>
      </c>
      <c r="L300" s="10">
        <v>125</v>
      </c>
      <c r="M300" s="10">
        <v>149</v>
      </c>
      <c r="N300" s="10">
        <v>138</v>
      </c>
      <c r="O300" s="10">
        <v>99</v>
      </c>
      <c r="P300" s="10">
        <v>120</v>
      </c>
      <c r="Q300" s="10">
        <v>16.100000000000001</v>
      </c>
      <c r="R300" s="10">
        <v>2185</v>
      </c>
      <c r="S300" s="10">
        <v>0.92</v>
      </c>
      <c r="T300" s="10">
        <v>2019</v>
      </c>
      <c r="U300" s="10">
        <v>191</v>
      </c>
      <c r="V300" s="10">
        <v>90</v>
      </c>
      <c r="W300" s="10">
        <v>61</v>
      </c>
      <c r="X300" s="10">
        <v>308</v>
      </c>
      <c r="Y300" s="10">
        <v>40</v>
      </c>
      <c r="Z300" s="10">
        <v>240</v>
      </c>
      <c r="AA300" s="10">
        <v>0.64800000000000002</v>
      </c>
      <c r="AB300" s="10">
        <v>197</v>
      </c>
      <c r="AC300" s="10">
        <v>112</v>
      </c>
      <c r="AD300" s="10">
        <v>112</v>
      </c>
      <c r="AE300" s="10">
        <v>8</v>
      </c>
      <c r="AF300" s="10">
        <v>9.4</v>
      </c>
      <c r="AG300" s="9" t="s">
        <v>188</v>
      </c>
      <c r="AH300" s="10"/>
      <c r="AI300" s="10"/>
      <c r="AJ300" s="10"/>
      <c r="AK300" s="30"/>
    </row>
    <row r="301" spans="5:37">
      <c r="E301" s="28" t="s">
        <v>155</v>
      </c>
      <c r="F301" s="8" t="s">
        <v>182</v>
      </c>
      <c r="G301" s="9" t="s">
        <v>837</v>
      </c>
      <c r="H301" s="10">
        <v>138</v>
      </c>
      <c r="I301" s="9" t="s">
        <v>385</v>
      </c>
      <c r="J301" s="10">
        <v>138</v>
      </c>
      <c r="K301" s="10">
        <v>137</v>
      </c>
      <c r="L301" s="10">
        <v>91</v>
      </c>
      <c r="M301" s="10">
        <v>100</v>
      </c>
      <c r="N301" s="10">
        <v>124</v>
      </c>
      <c r="O301" s="10">
        <v>97</v>
      </c>
      <c r="P301" s="10">
        <v>114</v>
      </c>
      <c r="Q301" s="10">
        <v>9.9</v>
      </c>
      <c r="R301" s="10">
        <v>1318</v>
      </c>
      <c r="S301" s="10">
        <v>1.1100000000000001</v>
      </c>
      <c r="T301" s="10">
        <v>1457</v>
      </c>
      <c r="U301" s="10">
        <v>124</v>
      </c>
      <c r="V301" s="10">
        <v>61</v>
      </c>
      <c r="W301" s="10">
        <v>47</v>
      </c>
      <c r="X301" s="10">
        <v>313</v>
      </c>
      <c r="Y301" s="10">
        <v>31</v>
      </c>
      <c r="Z301" s="10">
        <v>144</v>
      </c>
      <c r="AA301" s="10">
        <v>0.66800000000000004</v>
      </c>
      <c r="AB301" s="10">
        <v>229</v>
      </c>
      <c r="AC301" s="10">
        <v>137</v>
      </c>
      <c r="AD301" s="10">
        <v>84</v>
      </c>
      <c r="AE301" s="10">
        <v>8</v>
      </c>
      <c r="AF301" s="10">
        <v>6.9</v>
      </c>
      <c r="AG301" s="9" t="s">
        <v>188</v>
      </c>
      <c r="AH301" s="9" t="s">
        <v>185</v>
      </c>
      <c r="AI301" s="10"/>
      <c r="AJ301" s="10"/>
      <c r="AK301" s="30"/>
    </row>
    <row r="302" spans="5:37">
      <c r="E302" s="28" t="s">
        <v>155</v>
      </c>
      <c r="F302" s="8" t="s">
        <v>182</v>
      </c>
      <c r="G302" s="9" t="s">
        <v>837</v>
      </c>
      <c r="H302" s="10">
        <v>147</v>
      </c>
      <c r="I302" s="9" t="s">
        <v>385</v>
      </c>
      <c r="J302" s="10">
        <v>147</v>
      </c>
      <c r="K302" s="10">
        <v>146</v>
      </c>
      <c r="L302" s="10">
        <v>96</v>
      </c>
      <c r="M302" s="10">
        <v>106</v>
      </c>
      <c r="N302" s="10">
        <v>127</v>
      </c>
      <c r="O302" s="10">
        <v>98</v>
      </c>
      <c r="P302" s="10">
        <v>117</v>
      </c>
      <c r="Q302" s="10">
        <v>10.1</v>
      </c>
      <c r="R302" s="10">
        <v>1409</v>
      </c>
      <c r="S302" s="10">
        <v>1.1299999999999999</v>
      </c>
      <c r="T302" s="10">
        <v>1591</v>
      </c>
      <c r="U302" s="10">
        <v>123</v>
      </c>
      <c r="V302" s="10">
        <v>71</v>
      </c>
      <c r="W302" s="10">
        <v>46</v>
      </c>
      <c r="X302" s="10">
        <v>349</v>
      </c>
      <c r="Y302" s="10">
        <v>34</v>
      </c>
      <c r="Z302" s="10">
        <v>152</v>
      </c>
      <c r="AA302" s="10">
        <v>0.74099999999999999</v>
      </c>
      <c r="AB302" s="10">
        <v>262</v>
      </c>
      <c r="AC302" s="10">
        <v>135</v>
      </c>
      <c r="AD302" s="10">
        <v>87</v>
      </c>
      <c r="AE302" s="10">
        <v>8</v>
      </c>
      <c r="AF302" s="10">
        <v>8</v>
      </c>
      <c r="AG302" s="9" t="s">
        <v>188</v>
      </c>
      <c r="AH302" s="9" t="s">
        <v>185</v>
      </c>
      <c r="AI302" s="10"/>
      <c r="AJ302" s="10"/>
      <c r="AK302" s="30"/>
    </row>
    <row r="303" spans="5:37">
      <c r="E303" s="28" t="s">
        <v>155</v>
      </c>
      <c r="F303" s="8" t="s">
        <v>182</v>
      </c>
      <c r="G303" s="9" t="s">
        <v>395</v>
      </c>
      <c r="H303" s="10">
        <v>164</v>
      </c>
      <c r="I303" s="9" t="s">
        <v>163</v>
      </c>
      <c r="J303" s="10">
        <v>164</v>
      </c>
      <c r="K303" s="10">
        <v>163.5</v>
      </c>
      <c r="L303" s="10">
        <v>114</v>
      </c>
      <c r="M303" s="10">
        <v>132</v>
      </c>
      <c r="N303" s="10">
        <v>131</v>
      </c>
      <c r="O303" s="10">
        <v>107</v>
      </c>
      <c r="P303" s="10">
        <v>124</v>
      </c>
      <c r="Q303" s="10">
        <v>17.399999999999999</v>
      </c>
      <c r="R303" s="10">
        <v>1466</v>
      </c>
      <c r="S303" s="10">
        <v>1.29</v>
      </c>
      <c r="T303" s="10">
        <v>1884</v>
      </c>
      <c r="U303" s="10">
        <v>145</v>
      </c>
      <c r="V303" s="10">
        <v>82</v>
      </c>
      <c r="W303" s="10">
        <v>43</v>
      </c>
      <c r="X303" s="10">
        <v>336</v>
      </c>
      <c r="Y303" s="10">
        <v>27</v>
      </c>
      <c r="Z303" s="10">
        <v>162</v>
      </c>
      <c r="AA303" s="10">
        <v>0.63200000000000001</v>
      </c>
      <c r="AB303" s="10">
        <v>180</v>
      </c>
      <c r="AC303" s="10">
        <v>132</v>
      </c>
      <c r="AD303" s="10">
        <v>157</v>
      </c>
      <c r="AE303" s="10">
        <v>6</v>
      </c>
      <c r="AF303" s="10">
        <v>10</v>
      </c>
      <c r="AG303" s="9" t="s">
        <v>169</v>
      </c>
      <c r="AH303" s="9" t="s">
        <v>185</v>
      </c>
      <c r="AI303" s="9" t="s">
        <v>198</v>
      </c>
      <c r="AJ303" s="10"/>
      <c r="AK303" s="30"/>
    </row>
    <row r="304" spans="5:37">
      <c r="E304" s="28" t="s">
        <v>155</v>
      </c>
      <c r="F304" s="8" t="s">
        <v>182</v>
      </c>
      <c r="G304" s="9" t="s">
        <v>395</v>
      </c>
      <c r="H304" s="10">
        <v>172</v>
      </c>
      <c r="I304" s="9" t="s">
        <v>163</v>
      </c>
      <c r="J304" s="10">
        <v>172</v>
      </c>
      <c r="K304" s="10">
        <v>171.3</v>
      </c>
      <c r="L304" s="10">
        <v>119</v>
      </c>
      <c r="M304" s="10">
        <v>136</v>
      </c>
      <c r="N304" s="10">
        <v>133</v>
      </c>
      <c r="O304" s="10">
        <v>107</v>
      </c>
      <c r="P304" s="10">
        <v>125</v>
      </c>
      <c r="Q304" s="10">
        <v>18.100000000000001</v>
      </c>
      <c r="R304" s="10">
        <v>1596</v>
      </c>
      <c r="S304" s="10">
        <v>1.25</v>
      </c>
      <c r="T304" s="10">
        <v>1989</v>
      </c>
      <c r="U304" s="10">
        <v>163</v>
      </c>
      <c r="V304" s="10">
        <v>93</v>
      </c>
      <c r="W304" s="10">
        <v>45</v>
      </c>
      <c r="X304" s="10">
        <v>355</v>
      </c>
      <c r="Y304" s="10">
        <v>28</v>
      </c>
      <c r="Z304" s="10">
        <v>167</v>
      </c>
      <c r="AA304" s="10">
        <v>0.622</v>
      </c>
      <c r="AB304" s="10">
        <v>208</v>
      </c>
      <c r="AC304" s="10">
        <v>143</v>
      </c>
      <c r="AD304" s="10">
        <v>147</v>
      </c>
      <c r="AE304" s="10">
        <v>5</v>
      </c>
      <c r="AF304" s="10">
        <v>9.8000000000000007</v>
      </c>
      <c r="AG304" s="9" t="s">
        <v>169</v>
      </c>
      <c r="AH304" s="9" t="s">
        <v>185</v>
      </c>
      <c r="AI304" s="10"/>
      <c r="AJ304" s="10"/>
      <c r="AK304" s="30"/>
    </row>
    <row r="305" spans="5:37">
      <c r="E305" s="28" t="s">
        <v>155</v>
      </c>
      <c r="F305" s="8" t="s">
        <v>182</v>
      </c>
      <c r="G305" s="9" t="s">
        <v>668</v>
      </c>
      <c r="H305" s="10">
        <v>152</v>
      </c>
      <c r="I305" s="9" t="s">
        <v>163</v>
      </c>
      <c r="J305" s="10">
        <v>152</v>
      </c>
      <c r="K305" s="10">
        <v>151.30000000000001</v>
      </c>
      <c r="L305" s="10">
        <v>121</v>
      </c>
      <c r="M305" s="10">
        <v>128</v>
      </c>
      <c r="N305" s="10">
        <v>113</v>
      </c>
      <c r="O305" s="10">
        <v>87</v>
      </c>
      <c r="P305" s="10">
        <v>105</v>
      </c>
      <c r="Q305" s="10">
        <v>18.899999999999999</v>
      </c>
      <c r="R305" s="10">
        <v>1062</v>
      </c>
      <c r="S305" s="10">
        <v>1.35</v>
      </c>
      <c r="T305" s="10">
        <v>1431</v>
      </c>
      <c r="U305" s="10">
        <v>146</v>
      </c>
      <c r="V305" s="10">
        <v>58</v>
      </c>
      <c r="W305" s="10">
        <v>34</v>
      </c>
      <c r="X305" s="10">
        <v>184</v>
      </c>
      <c r="Y305" s="10">
        <v>11</v>
      </c>
      <c r="Z305" s="10">
        <v>118</v>
      </c>
      <c r="AA305" s="10">
        <v>0.312</v>
      </c>
      <c r="AB305" s="10">
        <v>147</v>
      </c>
      <c r="AC305" s="10">
        <v>87</v>
      </c>
      <c r="AD305" s="10">
        <v>37</v>
      </c>
      <c r="AE305" s="10">
        <v>3</v>
      </c>
      <c r="AF305" s="10">
        <v>6.8</v>
      </c>
      <c r="AG305" s="9" t="s">
        <v>185</v>
      </c>
      <c r="AH305" s="9" t="s">
        <v>198</v>
      </c>
      <c r="AI305" s="10"/>
      <c r="AJ305" s="10"/>
      <c r="AK305" s="30"/>
    </row>
    <row r="306" spans="5:37">
      <c r="E306" s="28" t="s">
        <v>155</v>
      </c>
      <c r="F306" s="8" t="s">
        <v>182</v>
      </c>
      <c r="G306" s="9" t="s">
        <v>668</v>
      </c>
      <c r="H306" s="10">
        <v>162</v>
      </c>
      <c r="I306" s="9" t="s">
        <v>163</v>
      </c>
      <c r="J306" s="10">
        <v>162</v>
      </c>
      <c r="K306" s="10">
        <v>161.19999999999999</v>
      </c>
      <c r="L306" s="10">
        <v>130</v>
      </c>
      <c r="M306" s="10">
        <v>135</v>
      </c>
      <c r="N306" s="10">
        <v>114</v>
      </c>
      <c r="O306" s="10">
        <v>87</v>
      </c>
      <c r="P306" s="10">
        <v>106</v>
      </c>
      <c r="Q306" s="10">
        <v>19.600000000000001</v>
      </c>
      <c r="R306" s="10">
        <v>1166</v>
      </c>
      <c r="S306" s="10">
        <v>1.32</v>
      </c>
      <c r="T306" s="10">
        <v>1535</v>
      </c>
      <c r="U306" s="10">
        <v>173</v>
      </c>
      <c r="V306" s="10">
        <v>74</v>
      </c>
      <c r="W306" s="10">
        <v>38</v>
      </c>
      <c r="X306" s="10">
        <v>194</v>
      </c>
      <c r="Y306" s="10">
        <v>11</v>
      </c>
      <c r="Z306" s="10">
        <v>123</v>
      </c>
      <c r="AA306" s="10">
        <v>0.29799999999999999</v>
      </c>
      <c r="AB306" s="10">
        <v>153</v>
      </c>
      <c r="AC306" s="10">
        <v>104</v>
      </c>
      <c r="AD306" s="10">
        <v>40</v>
      </c>
      <c r="AE306" s="10">
        <v>5</v>
      </c>
      <c r="AF306" s="10">
        <v>6.1</v>
      </c>
      <c r="AG306" s="9" t="s">
        <v>185</v>
      </c>
      <c r="AH306" s="9" t="s">
        <v>198</v>
      </c>
      <c r="AI306" s="10"/>
      <c r="AJ306" s="10"/>
      <c r="AK306" s="30"/>
    </row>
    <row r="307" spans="5:37">
      <c r="E307" s="28" t="s">
        <v>155</v>
      </c>
      <c r="F307" s="8" t="s">
        <v>182</v>
      </c>
      <c r="G307" s="9" t="s">
        <v>668</v>
      </c>
      <c r="H307" s="10">
        <v>172</v>
      </c>
      <c r="I307" s="9" t="s">
        <v>163</v>
      </c>
      <c r="J307" s="10">
        <v>172</v>
      </c>
      <c r="K307" s="10">
        <v>171.2</v>
      </c>
      <c r="L307" s="10">
        <v>139</v>
      </c>
      <c r="M307" s="10">
        <v>144</v>
      </c>
      <c r="N307" s="10">
        <v>115</v>
      </c>
      <c r="O307" s="10">
        <v>87</v>
      </c>
      <c r="P307" s="10">
        <v>107</v>
      </c>
      <c r="Q307" s="10">
        <v>20.399999999999999</v>
      </c>
      <c r="R307" s="10">
        <v>1246</v>
      </c>
      <c r="S307" s="10">
        <v>1.32</v>
      </c>
      <c r="T307" s="10">
        <v>1643</v>
      </c>
      <c r="U307" s="10">
        <v>190</v>
      </c>
      <c r="V307" s="10">
        <v>84</v>
      </c>
      <c r="W307" s="10">
        <v>42</v>
      </c>
      <c r="X307" s="10">
        <v>205</v>
      </c>
      <c r="Y307" s="10">
        <v>11</v>
      </c>
      <c r="Z307" s="10">
        <v>121</v>
      </c>
      <c r="AA307" s="10">
        <v>0.253</v>
      </c>
      <c r="AB307" s="10">
        <v>166</v>
      </c>
      <c r="AC307" s="10">
        <v>106</v>
      </c>
      <c r="AD307" s="10">
        <v>39</v>
      </c>
      <c r="AE307" s="10">
        <v>4</v>
      </c>
      <c r="AF307" s="10">
        <v>7</v>
      </c>
      <c r="AG307" s="9" t="s">
        <v>185</v>
      </c>
      <c r="AH307" s="9" t="s">
        <v>198</v>
      </c>
      <c r="AI307" s="10"/>
      <c r="AJ307" s="10"/>
      <c r="AK307" s="30"/>
    </row>
    <row r="308" spans="5:37">
      <c r="E308" s="28" t="s">
        <v>155</v>
      </c>
      <c r="F308" s="8" t="s">
        <v>182</v>
      </c>
      <c r="G308" s="9" t="s">
        <v>289</v>
      </c>
      <c r="H308" s="10">
        <v>156</v>
      </c>
      <c r="I308" s="9" t="s">
        <v>163</v>
      </c>
      <c r="J308" s="10">
        <v>156</v>
      </c>
      <c r="K308" s="10">
        <v>155.69999999999999</v>
      </c>
      <c r="L308" s="10">
        <v>116</v>
      </c>
      <c r="M308" s="10">
        <v>129</v>
      </c>
      <c r="N308" s="10">
        <v>124</v>
      </c>
      <c r="O308" s="10">
        <v>97</v>
      </c>
      <c r="P308" s="10">
        <v>117</v>
      </c>
      <c r="Q308" s="10">
        <v>16.2</v>
      </c>
      <c r="R308" s="10">
        <v>1337</v>
      </c>
      <c r="S308" s="10">
        <v>1.23</v>
      </c>
      <c r="T308" s="10">
        <v>1645</v>
      </c>
      <c r="U308" s="10">
        <v>133</v>
      </c>
      <c r="V308" s="10">
        <v>78</v>
      </c>
      <c r="W308" s="10">
        <v>37</v>
      </c>
      <c r="X308" s="10">
        <v>240</v>
      </c>
      <c r="Y308" s="10">
        <v>16</v>
      </c>
      <c r="Z308" s="10">
        <v>153</v>
      </c>
      <c r="AA308" s="10">
        <v>0.432</v>
      </c>
      <c r="AB308" s="10">
        <v>165</v>
      </c>
      <c r="AC308" s="10">
        <v>103</v>
      </c>
      <c r="AD308" s="10">
        <v>74</v>
      </c>
      <c r="AE308" s="10">
        <v>5</v>
      </c>
      <c r="AF308" s="10">
        <v>9</v>
      </c>
      <c r="AG308" s="9" t="s">
        <v>188</v>
      </c>
      <c r="AH308" s="9" t="s">
        <v>185</v>
      </c>
      <c r="AI308" s="10"/>
      <c r="AJ308" s="10"/>
      <c r="AK308" s="30"/>
    </row>
    <row r="309" spans="5:37">
      <c r="E309" s="28" t="s">
        <v>155</v>
      </c>
      <c r="F309" s="8" t="s">
        <v>182</v>
      </c>
      <c r="G309" s="9" t="s">
        <v>289</v>
      </c>
      <c r="H309" s="10">
        <v>164</v>
      </c>
      <c r="I309" s="9" t="s">
        <v>163</v>
      </c>
      <c r="J309" s="10">
        <v>164</v>
      </c>
      <c r="K309" s="10">
        <v>163.69999999999999</v>
      </c>
      <c r="L309" s="10">
        <v>125</v>
      </c>
      <c r="M309" s="10">
        <v>136</v>
      </c>
      <c r="N309" s="10">
        <v>126</v>
      </c>
      <c r="O309" s="10">
        <v>97</v>
      </c>
      <c r="P309" s="10">
        <v>119</v>
      </c>
      <c r="Q309" s="10">
        <v>16.7</v>
      </c>
      <c r="R309" s="10">
        <v>1433</v>
      </c>
      <c r="S309" s="10">
        <v>1.22</v>
      </c>
      <c r="T309" s="10">
        <v>1745</v>
      </c>
      <c r="U309" s="10">
        <v>143</v>
      </c>
      <c r="V309" s="10">
        <v>88</v>
      </c>
      <c r="W309" s="10">
        <v>37</v>
      </c>
      <c r="X309" s="10">
        <v>233</v>
      </c>
      <c r="Y309" s="10">
        <v>17</v>
      </c>
      <c r="Z309" s="10">
        <v>155</v>
      </c>
      <c r="AA309" s="10">
        <v>0.45700000000000002</v>
      </c>
      <c r="AB309" s="10">
        <v>177</v>
      </c>
      <c r="AC309" s="10">
        <v>102</v>
      </c>
      <c r="AD309" s="10">
        <v>57</v>
      </c>
      <c r="AE309" s="10">
        <v>7</v>
      </c>
      <c r="AF309" s="10">
        <v>9.5</v>
      </c>
      <c r="AG309" s="9" t="s">
        <v>188</v>
      </c>
      <c r="AH309" s="9" t="s">
        <v>185</v>
      </c>
      <c r="AI309" s="10"/>
      <c r="AJ309" s="10"/>
      <c r="AK309" s="30"/>
    </row>
    <row r="310" spans="5:37">
      <c r="E310" s="28" t="s">
        <v>155</v>
      </c>
      <c r="F310" s="8" t="s">
        <v>182</v>
      </c>
      <c r="G310" s="9" t="s">
        <v>289</v>
      </c>
      <c r="H310" s="10">
        <v>172</v>
      </c>
      <c r="I310" s="9" t="s">
        <v>163</v>
      </c>
      <c r="J310" s="10">
        <v>172</v>
      </c>
      <c r="K310" s="10">
        <v>171.6</v>
      </c>
      <c r="L310" s="10">
        <v>130</v>
      </c>
      <c r="M310" s="10">
        <v>144</v>
      </c>
      <c r="N310" s="10">
        <v>128</v>
      </c>
      <c r="O310" s="10">
        <v>97</v>
      </c>
      <c r="P310" s="10">
        <v>120</v>
      </c>
      <c r="Q310" s="10">
        <v>17.399999999999999</v>
      </c>
      <c r="R310" s="10">
        <v>1520</v>
      </c>
      <c r="S310" s="10">
        <v>1.21</v>
      </c>
      <c r="T310" s="10">
        <v>1843</v>
      </c>
      <c r="U310" s="10">
        <v>175</v>
      </c>
      <c r="V310" s="10">
        <v>98</v>
      </c>
      <c r="W310" s="10">
        <v>43</v>
      </c>
      <c r="X310" s="10">
        <v>256</v>
      </c>
      <c r="Y310" s="10">
        <v>18</v>
      </c>
      <c r="Z310" s="10">
        <v>158</v>
      </c>
      <c r="AA310" s="10">
        <v>0.40699999999999997</v>
      </c>
      <c r="AB310" s="10">
        <v>171</v>
      </c>
      <c r="AC310" s="10">
        <v>104</v>
      </c>
      <c r="AD310" s="10">
        <v>85</v>
      </c>
      <c r="AE310" s="10">
        <v>5</v>
      </c>
      <c r="AF310" s="10">
        <v>9.5</v>
      </c>
      <c r="AG310" s="9" t="s">
        <v>188</v>
      </c>
      <c r="AH310" s="9" t="s">
        <v>185</v>
      </c>
      <c r="AI310" s="10"/>
      <c r="AJ310" s="10"/>
      <c r="AK310" s="30"/>
    </row>
    <row r="311" spans="5:37">
      <c r="E311" s="28" t="s">
        <v>155</v>
      </c>
      <c r="F311" s="8" t="s">
        <v>182</v>
      </c>
      <c r="G311" s="9" t="s">
        <v>303</v>
      </c>
      <c r="H311" s="10">
        <v>164</v>
      </c>
      <c r="I311" s="9" t="s">
        <v>158</v>
      </c>
      <c r="J311" s="10">
        <v>164</v>
      </c>
      <c r="K311" s="10">
        <v>163.19999999999999</v>
      </c>
      <c r="L311" s="10">
        <v>112</v>
      </c>
      <c r="M311" s="10">
        <v>132</v>
      </c>
      <c r="N311" s="10">
        <v>130</v>
      </c>
      <c r="O311" s="10">
        <v>107</v>
      </c>
      <c r="P311" s="10">
        <v>124</v>
      </c>
      <c r="Q311" s="10">
        <v>17.600000000000001</v>
      </c>
      <c r="R311" s="10">
        <v>1465</v>
      </c>
      <c r="S311" s="10">
        <v>1.28</v>
      </c>
      <c r="T311" s="10">
        <v>1880</v>
      </c>
      <c r="U311" s="10">
        <v>133</v>
      </c>
      <c r="V311" s="10">
        <v>90</v>
      </c>
      <c r="W311" s="10">
        <v>49</v>
      </c>
      <c r="X311" s="10">
        <v>348</v>
      </c>
      <c r="Y311" s="10">
        <v>29</v>
      </c>
      <c r="Z311" s="10">
        <v>165</v>
      </c>
      <c r="AA311" s="10">
        <v>0.58099999999999996</v>
      </c>
      <c r="AB311" s="10">
        <v>167</v>
      </c>
      <c r="AC311" s="10">
        <v>147</v>
      </c>
      <c r="AD311" s="10">
        <v>181</v>
      </c>
      <c r="AE311" s="10">
        <v>5</v>
      </c>
      <c r="AF311" s="10">
        <v>9.6</v>
      </c>
      <c r="AG311" s="9" t="s">
        <v>169</v>
      </c>
      <c r="AH311" s="9" t="s">
        <v>185</v>
      </c>
      <c r="AI311" s="9" t="s">
        <v>198</v>
      </c>
      <c r="AJ311" s="10"/>
      <c r="AK311" s="30"/>
    </row>
    <row r="312" spans="5:37">
      <c r="E312" s="28" t="s">
        <v>155</v>
      </c>
      <c r="F312" s="8" t="s">
        <v>182</v>
      </c>
      <c r="G312" s="9" t="s">
        <v>303</v>
      </c>
      <c r="H312" s="10">
        <v>172</v>
      </c>
      <c r="I312" s="9" t="s">
        <v>158</v>
      </c>
      <c r="J312" s="10">
        <v>172</v>
      </c>
      <c r="K312" s="10">
        <v>171.3</v>
      </c>
      <c r="L312" s="10">
        <v>118</v>
      </c>
      <c r="M312" s="10">
        <v>135</v>
      </c>
      <c r="N312" s="10">
        <v>133</v>
      </c>
      <c r="O312" s="10">
        <v>107</v>
      </c>
      <c r="P312" s="10">
        <v>125</v>
      </c>
      <c r="Q312" s="10">
        <v>17.7</v>
      </c>
      <c r="R312" s="10">
        <v>1625</v>
      </c>
      <c r="S312" s="10">
        <v>1.23</v>
      </c>
      <c r="T312" s="10">
        <v>1991</v>
      </c>
      <c r="U312" s="10">
        <v>166</v>
      </c>
      <c r="V312" s="10">
        <v>92</v>
      </c>
      <c r="W312" s="10">
        <v>47</v>
      </c>
      <c r="X312" s="10">
        <v>371</v>
      </c>
      <c r="Y312" s="10">
        <v>28</v>
      </c>
      <c r="Z312" s="10">
        <v>162</v>
      </c>
      <c r="AA312" s="10">
        <v>0.59099999999999997</v>
      </c>
      <c r="AB312" s="10">
        <v>212</v>
      </c>
      <c r="AC312" s="10">
        <v>150</v>
      </c>
      <c r="AD312" s="10">
        <v>159</v>
      </c>
      <c r="AE312" s="10">
        <v>5</v>
      </c>
      <c r="AF312" s="10">
        <v>10.199999999999999</v>
      </c>
      <c r="AG312" s="9" t="s">
        <v>169</v>
      </c>
      <c r="AH312" s="9" t="s">
        <v>185</v>
      </c>
      <c r="AI312" s="10"/>
      <c r="AJ312" s="10"/>
      <c r="AK312" s="30"/>
    </row>
    <row r="313" spans="5:37">
      <c r="E313" s="28" t="s">
        <v>155</v>
      </c>
      <c r="F313" s="8" t="s">
        <v>182</v>
      </c>
      <c r="G313" s="9" t="s">
        <v>303</v>
      </c>
      <c r="H313" s="10">
        <v>180</v>
      </c>
      <c r="I313" s="9" t="s">
        <v>158</v>
      </c>
      <c r="J313" s="10">
        <v>180</v>
      </c>
      <c r="K313" s="10">
        <v>179.4</v>
      </c>
      <c r="L313" s="10">
        <v>125</v>
      </c>
      <c r="M313" s="10">
        <v>139</v>
      </c>
      <c r="N313" s="10">
        <v>133</v>
      </c>
      <c r="O313" s="10">
        <v>107</v>
      </c>
      <c r="P313" s="10">
        <v>125</v>
      </c>
      <c r="Q313" s="10">
        <v>19.2</v>
      </c>
      <c r="R313" s="10">
        <v>1712</v>
      </c>
      <c r="S313" s="10">
        <v>1.22</v>
      </c>
      <c r="T313" s="10">
        <v>2087</v>
      </c>
      <c r="U313" s="10">
        <v>204</v>
      </c>
      <c r="V313" s="10">
        <v>111</v>
      </c>
      <c r="W313" s="10">
        <v>44</v>
      </c>
      <c r="X313" s="10">
        <v>388</v>
      </c>
      <c r="Y313" s="10">
        <v>27</v>
      </c>
      <c r="Z313" s="10">
        <v>159</v>
      </c>
      <c r="AA313" s="10">
        <v>0.60899999999999999</v>
      </c>
      <c r="AB313" s="10">
        <v>236</v>
      </c>
      <c r="AC313" s="10">
        <v>164</v>
      </c>
      <c r="AD313" s="10">
        <v>152</v>
      </c>
      <c r="AE313" s="10">
        <v>5</v>
      </c>
      <c r="AF313" s="10">
        <v>9.5</v>
      </c>
      <c r="AG313" s="9" t="s">
        <v>169</v>
      </c>
      <c r="AH313" s="9" t="s">
        <v>185</v>
      </c>
      <c r="AI313" s="10"/>
      <c r="AJ313" s="10"/>
      <c r="AK313" s="30"/>
    </row>
    <row r="314" spans="5:37">
      <c r="E314" s="28" t="s">
        <v>155</v>
      </c>
      <c r="F314" s="8" t="s">
        <v>182</v>
      </c>
      <c r="G314" s="9" t="s">
        <v>303</v>
      </c>
      <c r="H314" s="10">
        <v>188</v>
      </c>
      <c r="I314" s="9" t="s">
        <v>158</v>
      </c>
      <c r="J314" s="10">
        <v>188</v>
      </c>
      <c r="K314" s="10">
        <v>187.3</v>
      </c>
      <c r="L314" s="10">
        <v>128</v>
      </c>
      <c r="M314" s="10">
        <v>149</v>
      </c>
      <c r="N314" s="10">
        <v>134</v>
      </c>
      <c r="O314" s="10">
        <v>107</v>
      </c>
      <c r="P314" s="10">
        <v>125</v>
      </c>
      <c r="Q314" s="10">
        <v>20.7</v>
      </c>
      <c r="R314" s="10">
        <v>1799</v>
      </c>
      <c r="S314" s="10">
        <v>1.21</v>
      </c>
      <c r="T314" s="10">
        <v>2185</v>
      </c>
      <c r="U314" s="10">
        <v>210</v>
      </c>
      <c r="V314" s="10">
        <v>122</v>
      </c>
      <c r="W314" s="10">
        <v>49</v>
      </c>
      <c r="X314" s="10">
        <v>426</v>
      </c>
      <c r="Y314" s="10">
        <v>28</v>
      </c>
      <c r="Z314" s="10">
        <v>169</v>
      </c>
      <c r="AA314" s="10">
        <v>0.57999999999999996</v>
      </c>
      <c r="AB314" s="10">
        <v>211</v>
      </c>
      <c r="AC314" s="10">
        <v>170</v>
      </c>
      <c r="AD314" s="10">
        <v>215</v>
      </c>
      <c r="AE314" s="10">
        <v>4</v>
      </c>
      <c r="AF314" s="10">
        <v>10.8</v>
      </c>
      <c r="AG314" s="9" t="s">
        <v>169</v>
      </c>
      <c r="AH314" s="9" t="s">
        <v>185</v>
      </c>
      <c r="AI314" s="10"/>
      <c r="AJ314" s="10"/>
      <c r="AK314" s="30"/>
    </row>
    <row r="315" spans="5:37">
      <c r="E315" s="28" t="s">
        <v>155</v>
      </c>
      <c r="F315" s="8" t="s">
        <v>182</v>
      </c>
      <c r="G315" s="9" t="s">
        <v>413</v>
      </c>
      <c r="H315" s="10">
        <v>172</v>
      </c>
      <c r="I315" s="9" t="s">
        <v>158</v>
      </c>
      <c r="J315" s="10">
        <v>172</v>
      </c>
      <c r="K315" s="10">
        <v>171.2</v>
      </c>
      <c r="L315" s="10">
        <v>139</v>
      </c>
      <c r="M315" s="10">
        <v>143</v>
      </c>
      <c r="N315" s="10">
        <v>115</v>
      </c>
      <c r="O315" s="10">
        <v>87</v>
      </c>
      <c r="P315" s="10">
        <v>107</v>
      </c>
      <c r="Q315" s="10">
        <v>20.6</v>
      </c>
      <c r="R315" s="10">
        <v>1228</v>
      </c>
      <c r="S315" s="10">
        <v>1.34</v>
      </c>
      <c r="T315" s="10">
        <v>1641</v>
      </c>
      <c r="U315" s="10">
        <v>192</v>
      </c>
      <c r="V315" s="10">
        <v>76</v>
      </c>
      <c r="W315" s="10">
        <v>41</v>
      </c>
      <c r="X315" s="10">
        <v>199</v>
      </c>
      <c r="Y315" s="10">
        <v>11</v>
      </c>
      <c r="Z315" s="10">
        <v>121</v>
      </c>
      <c r="AA315" s="10">
        <v>0.27900000000000003</v>
      </c>
      <c r="AB315" s="10">
        <v>169</v>
      </c>
      <c r="AC315" s="10">
        <v>109</v>
      </c>
      <c r="AD315" s="10">
        <v>30</v>
      </c>
      <c r="AE315" s="10">
        <v>6</v>
      </c>
      <c r="AF315" s="10">
        <v>7.3</v>
      </c>
      <c r="AG315" s="9" t="s">
        <v>185</v>
      </c>
      <c r="AH315" s="9" t="s">
        <v>198</v>
      </c>
      <c r="AI315" s="10"/>
      <c r="AJ315" s="10"/>
      <c r="AK315" s="30"/>
    </row>
    <row r="316" spans="5:37">
      <c r="E316" s="28" t="s">
        <v>155</v>
      </c>
      <c r="F316" s="8" t="s">
        <v>182</v>
      </c>
      <c r="G316" s="9" t="s">
        <v>413</v>
      </c>
      <c r="H316" s="10">
        <v>182</v>
      </c>
      <c r="I316" s="9" t="s">
        <v>158</v>
      </c>
      <c r="J316" s="10">
        <v>182</v>
      </c>
      <c r="K316" s="10">
        <v>181.2</v>
      </c>
      <c r="L316" s="10">
        <v>146</v>
      </c>
      <c r="M316" s="10">
        <v>151</v>
      </c>
      <c r="N316" s="10">
        <v>116</v>
      </c>
      <c r="O316" s="10">
        <v>87</v>
      </c>
      <c r="P316" s="10">
        <v>108</v>
      </c>
      <c r="Q316" s="10">
        <v>21.7</v>
      </c>
      <c r="R316" s="10">
        <v>1329</v>
      </c>
      <c r="S316" s="10">
        <v>1.31</v>
      </c>
      <c r="T316" s="10">
        <v>1745</v>
      </c>
      <c r="U316" s="10">
        <v>226</v>
      </c>
      <c r="V316" s="10">
        <v>96</v>
      </c>
      <c r="W316" s="10">
        <v>41</v>
      </c>
      <c r="X316" s="10">
        <v>215</v>
      </c>
      <c r="Y316" s="10">
        <v>11</v>
      </c>
      <c r="Z316" s="10">
        <v>134</v>
      </c>
      <c r="AA316" s="10">
        <v>0.26700000000000002</v>
      </c>
      <c r="AB316" s="10">
        <v>186</v>
      </c>
      <c r="AC316" s="10">
        <v>115</v>
      </c>
      <c r="AD316" s="10">
        <v>29</v>
      </c>
      <c r="AE316" s="10">
        <v>5</v>
      </c>
      <c r="AF316" s="10">
        <v>8.3000000000000007</v>
      </c>
      <c r="AG316" s="9" t="s">
        <v>185</v>
      </c>
      <c r="AH316" s="9" t="s">
        <v>198</v>
      </c>
      <c r="AI316" s="10"/>
      <c r="AJ316" s="10"/>
      <c r="AK316" s="30"/>
    </row>
    <row r="317" spans="5:37">
      <c r="E317" s="28" t="s">
        <v>155</v>
      </c>
      <c r="F317" s="8" t="s">
        <v>182</v>
      </c>
      <c r="G317" s="9" t="s">
        <v>373</v>
      </c>
      <c r="H317" s="10">
        <v>164</v>
      </c>
      <c r="I317" s="9" t="s">
        <v>158</v>
      </c>
      <c r="J317" s="10">
        <v>164</v>
      </c>
      <c r="K317" s="10">
        <v>163.69999999999999</v>
      </c>
      <c r="L317" s="10">
        <v>125</v>
      </c>
      <c r="M317" s="10">
        <v>137</v>
      </c>
      <c r="N317" s="10">
        <v>126</v>
      </c>
      <c r="O317" s="10">
        <v>97</v>
      </c>
      <c r="P317" s="10">
        <v>119</v>
      </c>
      <c r="Q317" s="10">
        <v>16.8</v>
      </c>
      <c r="R317" s="10">
        <v>1419</v>
      </c>
      <c r="S317" s="10">
        <v>1.23</v>
      </c>
      <c r="T317" s="10">
        <v>1749</v>
      </c>
      <c r="U317" s="10">
        <v>139</v>
      </c>
      <c r="V317" s="10">
        <v>85</v>
      </c>
      <c r="W317" s="10">
        <v>37</v>
      </c>
      <c r="X317" s="10">
        <v>237</v>
      </c>
      <c r="Y317" s="10">
        <v>16</v>
      </c>
      <c r="Z317" s="10">
        <v>146</v>
      </c>
      <c r="AA317" s="10">
        <v>0.42199999999999999</v>
      </c>
      <c r="AB317" s="10">
        <v>172</v>
      </c>
      <c r="AC317" s="10">
        <v>99</v>
      </c>
      <c r="AD317" s="10">
        <v>65</v>
      </c>
      <c r="AE317" s="10">
        <v>8</v>
      </c>
      <c r="AF317" s="10">
        <v>9.3000000000000007</v>
      </c>
      <c r="AG317" s="9" t="s">
        <v>188</v>
      </c>
      <c r="AH317" s="9" t="s">
        <v>185</v>
      </c>
      <c r="AI317" s="10"/>
      <c r="AJ317" s="10"/>
      <c r="AK317" s="30"/>
    </row>
    <row r="318" spans="5:37">
      <c r="E318" s="28" t="s">
        <v>155</v>
      </c>
      <c r="F318" s="8" t="s">
        <v>182</v>
      </c>
      <c r="G318" s="9" t="s">
        <v>373</v>
      </c>
      <c r="H318" s="10">
        <v>172</v>
      </c>
      <c r="I318" s="9" t="s">
        <v>158</v>
      </c>
      <c r="J318" s="10">
        <v>172</v>
      </c>
      <c r="K318" s="10">
        <v>171.5</v>
      </c>
      <c r="L318" s="10">
        <v>132</v>
      </c>
      <c r="M318" s="10">
        <v>143</v>
      </c>
      <c r="N318" s="10">
        <v>129</v>
      </c>
      <c r="O318" s="10">
        <v>97</v>
      </c>
      <c r="P318" s="10">
        <v>120</v>
      </c>
      <c r="Q318" s="10">
        <v>17.3</v>
      </c>
      <c r="R318" s="10">
        <v>1497</v>
      </c>
      <c r="S318" s="10">
        <v>1.23</v>
      </c>
      <c r="T318" s="10">
        <v>1844</v>
      </c>
      <c r="U318" s="10">
        <v>163</v>
      </c>
      <c r="V318" s="10">
        <v>102</v>
      </c>
      <c r="W318" s="10">
        <v>41</v>
      </c>
      <c r="X318" s="10">
        <v>250</v>
      </c>
      <c r="Y318" s="10">
        <v>15</v>
      </c>
      <c r="Z318" s="10">
        <v>145</v>
      </c>
      <c r="AA318" s="10">
        <v>0.36899999999999999</v>
      </c>
      <c r="AB318" s="10">
        <v>171</v>
      </c>
      <c r="AC318" s="10">
        <v>112</v>
      </c>
      <c r="AD318" s="10">
        <v>79</v>
      </c>
      <c r="AE318" s="10">
        <v>6</v>
      </c>
      <c r="AF318" s="10">
        <v>10</v>
      </c>
      <c r="AG318" s="9" t="s">
        <v>188</v>
      </c>
      <c r="AH318" s="9" t="s">
        <v>185</v>
      </c>
      <c r="AI318" s="10"/>
      <c r="AJ318" s="10"/>
      <c r="AK318" s="30"/>
    </row>
    <row r="319" spans="5:37">
      <c r="E319" s="28" t="s">
        <v>155</v>
      </c>
      <c r="F319" s="8" t="s">
        <v>182</v>
      </c>
      <c r="G319" s="9" t="s">
        <v>373</v>
      </c>
      <c r="H319" s="10">
        <v>180</v>
      </c>
      <c r="I319" s="9" t="s">
        <v>158</v>
      </c>
      <c r="J319" s="10">
        <v>180</v>
      </c>
      <c r="K319" s="10">
        <v>179.4</v>
      </c>
      <c r="L319" s="10">
        <v>136</v>
      </c>
      <c r="M319" s="10">
        <v>151</v>
      </c>
      <c r="N319" s="10">
        <v>131</v>
      </c>
      <c r="O319" s="10">
        <v>97</v>
      </c>
      <c r="P319" s="10">
        <v>122</v>
      </c>
      <c r="Q319" s="10">
        <v>17.899999999999999</v>
      </c>
      <c r="R319" s="10">
        <v>1601</v>
      </c>
      <c r="S319" s="10">
        <v>1.21</v>
      </c>
      <c r="T319" s="10">
        <v>1945</v>
      </c>
      <c r="U319" s="10">
        <v>200</v>
      </c>
      <c r="V319" s="10">
        <v>108</v>
      </c>
      <c r="W319" s="10">
        <v>46</v>
      </c>
      <c r="X319" s="10">
        <v>260</v>
      </c>
      <c r="Y319" s="10">
        <v>19</v>
      </c>
      <c r="Z319" s="10">
        <v>169</v>
      </c>
      <c r="AA319" s="10">
        <v>0.42299999999999999</v>
      </c>
      <c r="AB319" s="10">
        <v>174</v>
      </c>
      <c r="AC319" s="10">
        <v>109</v>
      </c>
      <c r="AD319" s="10">
        <v>86</v>
      </c>
      <c r="AE319" s="10">
        <v>5</v>
      </c>
      <c r="AF319" s="10">
        <v>10.3</v>
      </c>
      <c r="AG319" s="9" t="s">
        <v>188</v>
      </c>
      <c r="AH319" s="9" t="s">
        <v>185</v>
      </c>
      <c r="AI319" s="10"/>
      <c r="AJ319" s="10"/>
      <c r="AK319" s="30"/>
    </row>
    <row r="320" spans="5:37">
      <c r="E320" s="28" t="s">
        <v>155</v>
      </c>
      <c r="F320" s="8" t="s">
        <v>182</v>
      </c>
      <c r="G320" s="9" t="s">
        <v>373</v>
      </c>
      <c r="H320" s="10">
        <v>188</v>
      </c>
      <c r="I320" s="9" t="s">
        <v>158</v>
      </c>
      <c r="J320" s="10">
        <v>188</v>
      </c>
      <c r="K320" s="10">
        <v>187.8</v>
      </c>
      <c r="L320" s="10">
        <v>145</v>
      </c>
      <c r="M320" s="10">
        <v>159</v>
      </c>
      <c r="N320" s="10">
        <v>131</v>
      </c>
      <c r="O320" s="10">
        <v>97</v>
      </c>
      <c r="P320" s="10">
        <v>122</v>
      </c>
      <c r="Q320" s="10">
        <v>18.899999999999999</v>
      </c>
      <c r="R320" s="10">
        <v>1700</v>
      </c>
      <c r="S320" s="10">
        <v>1.2</v>
      </c>
      <c r="T320" s="10">
        <v>2046</v>
      </c>
      <c r="U320" s="10">
        <v>193</v>
      </c>
      <c r="V320" s="10">
        <v>127</v>
      </c>
      <c r="W320" s="10">
        <v>50</v>
      </c>
      <c r="X320" s="10">
        <v>272</v>
      </c>
      <c r="Y320" s="10">
        <v>18</v>
      </c>
      <c r="Z320" s="10">
        <v>161</v>
      </c>
      <c r="AA320" s="10">
        <v>0.36499999999999999</v>
      </c>
      <c r="AB320" s="10">
        <v>177</v>
      </c>
      <c r="AC320" s="10">
        <v>112</v>
      </c>
      <c r="AD320" s="10">
        <v>95</v>
      </c>
      <c r="AE320" s="10">
        <v>8</v>
      </c>
      <c r="AF320" s="10">
        <v>9.8000000000000007</v>
      </c>
      <c r="AG320" s="9" t="s">
        <v>188</v>
      </c>
      <c r="AH320" s="9" t="s">
        <v>185</v>
      </c>
      <c r="AI320" s="10"/>
      <c r="AJ320" s="10"/>
      <c r="AK320" s="30"/>
    </row>
    <row r="321" spans="5:37">
      <c r="E321" s="28" t="s">
        <v>155</v>
      </c>
      <c r="F321" s="8" t="s">
        <v>182</v>
      </c>
      <c r="G321" s="9" t="s">
        <v>852</v>
      </c>
      <c r="H321" s="10">
        <v>185</v>
      </c>
      <c r="I321" s="9" t="s">
        <v>158</v>
      </c>
      <c r="J321" s="10">
        <v>185</v>
      </c>
      <c r="K321" s="10">
        <v>183.2</v>
      </c>
      <c r="L321" s="10">
        <v>113</v>
      </c>
      <c r="M321" s="10">
        <v>133</v>
      </c>
      <c r="N321" s="10">
        <v>138</v>
      </c>
      <c r="O321" s="10">
        <v>115</v>
      </c>
      <c r="P321" s="10">
        <v>134</v>
      </c>
      <c r="Q321" s="10">
        <v>18.2</v>
      </c>
      <c r="R321" s="10">
        <v>1891</v>
      </c>
      <c r="S321" s="10">
        <v>1.19</v>
      </c>
      <c r="T321" s="10">
        <v>2242</v>
      </c>
      <c r="U321" s="10">
        <v>278</v>
      </c>
      <c r="V321" s="10">
        <v>144</v>
      </c>
      <c r="W321" s="10">
        <v>64</v>
      </c>
      <c r="X321" s="10">
        <v>362</v>
      </c>
      <c r="Y321" s="10">
        <v>61</v>
      </c>
      <c r="Z321" s="10">
        <v>338</v>
      </c>
      <c r="AA321" s="10">
        <v>0.95699999999999996</v>
      </c>
      <c r="AB321" s="10">
        <v>256</v>
      </c>
      <c r="AC321" s="10">
        <v>248</v>
      </c>
      <c r="AD321" s="10">
        <v>106</v>
      </c>
      <c r="AE321" s="10">
        <v>4</v>
      </c>
      <c r="AF321" s="10">
        <v>5.7</v>
      </c>
      <c r="AG321" s="9" t="s">
        <v>184</v>
      </c>
      <c r="AH321" s="9" t="s">
        <v>169</v>
      </c>
      <c r="AI321" s="9" t="s">
        <v>185</v>
      </c>
      <c r="AJ321" s="10"/>
      <c r="AK321" s="30"/>
    </row>
    <row r="322" spans="5:37">
      <c r="E322" s="28" t="s">
        <v>155</v>
      </c>
      <c r="F322" s="8" t="s">
        <v>182</v>
      </c>
      <c r="G322" s="9" t="s">
        <v>852</v>
      </c>
      <c r="H322" s="10">
        <v>192</v>
      </c>
      <c r="I322" s="9" t="s">
        <v>158</v>
      </c>
      <c r="J322" s="10">
        <v>192</v>
      </c>
      <c r="K322" s="10">
        <v>190.1</v>
      </c>
      <c r="L322" s="10">
        <v>122</v>
      </c>
      <c r="M322" s="10">
        <v>141</v>
      </c>
      <c r="N322" s="10">
        <v>139</v>
      </c>
      <c r="O322" s="10">
        <v>115</v>
      </c>
      <c r="P322" s="10">
        <v>135</v>
      </c>
      <c r="Q322" s="10">
        <v>19.3</v>
      </c>
      <c r="R322" s="10">
        <v>1981</v>
      </c>
      <c r="S322" s="10">
        <v>1.18</v>
      </c>
      <c r="T322" s="10">
        <v>2337</v>
      </c>
      <c r="U322" s="10">
        <v>281</v>
      </c>
      <c r="V322" s="10">
        <v>152</v>
      </c>
      <c r="W322" s="10">
        <v>57</v>
      </c>
      <c r="X322" s="10">
        <v>350</v>
      </c>
      <c r="Y322" s="10">
        <v>55</v>
      </c>
      <c r="Z322" s="10">
        <v>329</v>
      </c>
      <c r="AA322" s="10">
        <v>0.95599999999999996</v>
      </c>
      <c r="AB322" s="10">
        <v>258</v>
      </c>
      <c r="AC322" s="10">
        <v>229</v>
      </c>
      <c r="AD322" s="10">
        <v>92</v>
      </c>
      <c r="AE322" s="10">
        <v>5</v>
      </c>
      <c r="AF322" s="10">
        <v>7.6</v>
      </c>
      <c r="AG322" s="9" t="s">
        <v>184</v>
      </c>
      <c r="AH322" s="9" t="s">
        <v>169</v>
      </c>
      <c r="AI322" s="9" t="s">
        <v>185</v>
      </c>
      <c r="AJ322" s="10"/>
      <c r="AK322" s="30"/>
    </row>
    <row r="323" spans="5:37">
      <c r="E323" s="28" t="s">
        <v>155</v>
      </c>
      <c r="F323" s="8" t="s">
        <v>156</v>
      </c>
      <c r="G323" s="9" t="s">
        <v>399</v>
      </c>
      <c r="H323" s="10">
        <v>164</v>
      </c>
      <c r="I323" s="9" t="s">
        <v>158</v>
      </c>
      <c r="J323" s="10">
        <v>164</v>
      </c>
      <c r="K323" s="10">
        <v>163</v>
      </c>
      <c r="L323" s="10">
        <v>108</v>
      </c>
      <c r="M323" s="10">
        <v>129</v>
      </c>
      <c r="N323" s="10">
        <v>126</v>
      </c>
      <c r="O323" s="10">
        <v>97</v>
      </c>
      <c r="P323" s="10">
        <v>117</v>
      </c>
      <c r="Q323" s="10">
        <v>15</v>
      </c>
      <c r="R323" s="10">
        <v>1182</v>
      </c>
      <c r="S323" s="10">
        <v>1.46</v>
      </c>
      <c r="T323" s="10">
        <v>1728</v>
      </c>
      <c r="U323" s="10">
        <v>160</v>
      </c>
      <c r="V323" s="10">
        <v>69</v>
      </c>
      <c r="W323" s="10">
        <v>56</v>
      </c>
      <c r="X323" s="10">
        <v>329</v>
      </c>
      <c r="Y323" s="10">
        <v>16</v>
      </c>
      <c r="Z323" s="10">
        <v>223</v>
      </c>
      <c r="AA323" s="10">
        <v>0.28000000000000003</v>
      </c>
      <c r="AB323" s="10">
        <v>173</v>
      </c>
      <c r="AC323" s="10">
        <v>165</v>
      </c>
      <c r="AD323" s="10">
        <v>156</v>
      </c>
      <c r="AE323" s="10">
        <v>3</v>
      </c>
      <c r="AF323" s="10">
        <v>8.3000000000000007</v>
      </c>
      <c r="AG323" s="9" t="s">
        <v>185</v>
      </c>
      <c r="AH323" s="9" t="s">
        <v>198</v>
      </c>
      <c r="AI323" s="10"/>
      <c r="AJ323" s="10"/>
      <c r="AK323" s="30"/>
    </row>
    <row r="324" spans="5:37">
      <c r="E324" s="28" t="s">
        <v>155</v>
      </c>
      <c r="F324" s="8" t="s">
        <v>156</v>
      </c>
      <c r="G324" s="9" t="s">
        <v>399</v>
      </c>
      <c r="H324" s="10">
        <v>172</v>
      </c>
      <c r="I324" s="9" t="s">
        <v>158</v>
      </c>
      <c r="J324" s="10">
        <v>172</v>
      </c>
      <c r="K324" s="10">
        <v>171.1</v>
      </c>
      <c r="L324" s="10">
        <v>123</v>
      </c>
      <c r="M324" s="10">
        <v>138</v>
      </c>
      <c r="N324" s="10">
        <v>127</v>
      </c>
      <c r="O324" s="10">
        <v>98</v>
      </c>
      <c r="P324" s="10">
        <v>117</v>
      </c>
      <c r="Q324" s="10">
        <v>17.5</v>
      </c>
      <c r="R324" s="10">
        <v>1227</v>
      </c>
      <c r="S324" s="10">
        <v>1.49</v>
      </c>
      <c r="T324" s="10">
        <v>1825</v>
      </c>
      <c r="U324" s="10">
        <v>161</v>
      </c>
      <c r="V324" s="10">
        <v>88</v>
      </c>
      <c r="W324" s="10">
        <v>53</v>
      </c>
      <c r="X324" s="10">
        <v>291</v>
      </c>
      <c r="Y324" s="10">
        <v>14</v>
      </c>
      <c r="Z324" s="10">
        <v>191</v>
      </c>
      <c r="AA324" s="10">
        <v>0.27200000000000002</v>
      </c>
      <c r="AB324" s="10">
        <v>172</v>
      </c>
      <c r="AC324" s="10">
        <v>163</v>
      </c>
      <c r="AD324" s="10">
        <v>120</v>
      </c>
      <c r="AE324" s="10">
        <v>5</v>
      </c>
      <c r="AF324" s="10">
        <v>7.9</v>
      </c>
      <c r="AG324" s="9" t="s">
        <v>185</v>
      </c>
      <c r="AH324" s="9" t="s">
        <v>198</v>
      </c>
      <c r="AI324" s="10"/>
      <c r="AJ324" s="10"/>
      <c r="AK324" s="30"/>
    </row>
    <row r="325" spans="5:37">
      <c r="E325" s="28" t="s">
        <v>155</v>
      </c>
      <c r="F325" s="8" t="s">
        <v>156</v>
      </c>
      <c r="G325" s="9" t="s">
        <v>399</v>
      </c>
      <c r="H325" s="10">
        <v>180</v>
      </c>
      <c r="I325" s="9" t="s">
        <v>158</v>
      </c>
      <c r="J325" s="10">
        <v>180</v>
      </c>
      <c r="K325" s="10">
        <v>178.3</v>
      </c>
      <c r="L325" s="10">
        <v>129</v>
      </c>
      <c r="M325" s="10">
        <v>144</v>
      </c>
      <c r="N325" s="10">
        <v>129</v>
      </c>
      <c r="O325" s="10">
        <v>99</v>
      </c>
      <c r="P325" s="10">
        <v>119</v>
      </c>
      <c r="Q325" s="10">
        <v>19.3</v>
      </c>
      <c r="R325" s="10">
        <v>1344</v>
      </c>
      <c r="S325" s="10">
        <v>1.44</v>
      </c>
      <c r="T325" s="10">
        <v>1931</v>
      </c>
      <c r="U325" s="10">
        <v>190</v>
      </c>
      <c r="V325" s="10">
        <v>88</v>
      </c>
      <c r="W325" s="10">
        <v>53</v>
      </c>
      <c r="X325" s="10">
        <v>284</v>
      </c>
      <c r="Y325" s="10">
        <v>16</v>
      </c>
      <c r="Z325" s="10">
        <v>208</v>
      </c>
      <c r="AA325" s="10">
        <v>0.30599999999999999</v>
      </c>
      <c r="AB325" s="10">
        <v>177</v>
      </c>
      <c r="AC325" s="10">
        <v>167</v>
      </c>
      <c r="AD325" s="10">
        <v>107</v>
      </c>
      <c r="AE325" s="10">
        <v>4</v>
      </c>
      <c r="AF325" s="10">
        <v>8.5</v>
      </c>
      <c r="AG325" s="9" t="s">
        <v>185</v>
      </c>
      <c r="AH325" s="9" t="s">
        <v>198</v>
      </c>
      <c r="AI325" s="10"/>
      <c r="AJ325" s="10"/>
      <c r="AK325" s="30"/>
    </row>
    <row r="326" spans="5:37">
      <c r="E326" s="28" t="s">
        <v>155</v>
      </c>
      <c r="F326" s="8" t="s">
        <v>156</v>
      </c>
      <c r="G326" s="9" t="s">
        <v>399</v>
      </c>
      <c r="H326" s="10">
        <v>188</v>
      </c>
      <c r="I326" s="9" t="s">
        <v>158</v>
      </c>
      <c r="J326" s="10">
        <v>188</v>
      </c>
      <c r="K326" s="10">
        <v>186.7</v>
      </c>
      <c r="L326" s="10">
        <v>140</v>
      </c>
      <c r="M326" s="10">
        <v>150</v>
      </c>
      <c r="N326" s="10">
        <v>129</v>
      </c>
      <c r="O326" s="10">
        <v>100</v>
      </c>
      <c r="P326" s="10">
        <v>120</v>
      </c>
      <c r="Q326" s="10">
        <v>21.5</v>
      </c>
      <c r="R326" s="10">
        <v>1435</v>
      </c>
      <c r="S326" s="10">
        <v>1.4</v>
      </c>
      <c r="T326" s="10">
        <v>2009</v>
      </c>
      <c r="U326" s="10">
        <v>217</v>
      </c>
      <c r="V326" s="10">
        <v>112</v>
      </c>
      <c r="W326" s="10">
        <v>54</v>
      </c>
      <c r="X326" s="10">
        <v>286</v>
      </c>
      <c r="Y326" s="10">
        <v>14</v>
      </c>
      <c r="Z326" s="10">
        <v>180</v>
      </c>
      <c r="AA326" s="10">
        <v>0.251</v>
      </c>
      <c r="AB326" s="10">
        <v>195</v>
      </c>
      <c r="AC326" s="10">
        <v>169</v>
      </c>
      <c r="AD326" s="10">
        <v>90</v>
      </c>
      <c r="AE326" s="10">
        <v>7</v>
      </c>
      <c r="AF326" s="10">
        <v>9</v>
      </c>
      <c r="AG326" s="9" t="s">
        <v>185</v>
      </c>
      <c r="AH326" s="9" t="s">
        <v>198</v>
      </c>
      <c r="AI326" s="10"/>
      <c r="AJ326" s="10"/>
      <c r="AK326" s="30"/>
    </row>
    <row r="327" spans="5:37">
      <c r="E327" s="28" t="s">
        <v>155</v>
      </c>
      <c r="F327" s="8" t="s">
        <v>156</v>
      </c>
      <c r="G327" s="9" t="s">
        <v>197</v>
      </c>
      <c r="H327" s="10">
        <v>175</v>
      </c>
      <c r="I327" s="9" t="s">
        <v>158</v>
      </c>
      <c r="J327" s="10">
        <v>175</v>
      </c>
      <c r="K327" s="10">
        <v>174.5</v>
      </c>
      <c r="L327" s="10">
        <v>114</v>
      </c>
      <c r="M327" s="10">
        <v>134</v>
      </c>
      <c r="N327" s="10">
        <v>135</v>
      </c>
      <c r="O327" s="10">
        <v>107</v>
      </c>
      <c r="P327" s="10">
        <v>122</v>
      </c>
      <c r="Q327" s="10">
        <v>18.100000000000001</v>
      </c>
      <c r="R327" s="10">
        <v>1508</v>
      </c>
      <c r="S327" s="10">
        <v>1.33</v>
      </c>
      <c r="T327" s="10">
        <v>2013</v>
      </c>
      <c r="U327" s="10">
        <v>178</v>
      </c>
      <c r="V327" s="10">
        <v>89</v>
      </c>
      <c r="W327" s="10">
        <v>51</v>
      </c>
      <c r="X327" s="10">
        <v>367</v>
      </c>
      <c r="Y327" s="10">
        <v>16</v>
      </c>
      <c r="Z327" s="10">
        <v>234</v>
      </c>
      <c r="AA327" s="10">
        <v>0.32</v>
      </c>
      <c r="AB327" s="10">
        <v>225</v>
      </c>
      <c r="AC327" s="10">
        <v>185</v>
      </c>
      <c r="AD327" s="10">
        <v>143</v>
      </c>
      <c r="AE327" s="10">
        <v>4</v>
      </c>
      <c r="AF327" s="10">
        <v>9.6999999999999993</v>
      </c>
      <c r="AG327" s="9" t="s">
        <v>178</v>
      </c>
      <c r="AH327" s="9" t="s">
        <v>185</v>
      </c>
      <c r="AI327" s="9" t="s">
        <v>198</v>
      </c>
      <c r="AJ327" s="10"/>
      <c r="AK327" s="30"/>
    </row>
    <row r="328" spans="5:37">
      <c r="E328" s="28" t="s">
        <v>155</v>
      </c>
      <c r="F328" s="8" t="s">
        <v>156</v>
      </c>
      <c r="G328" s="9" t="s">
        <v>197</v>
      </c>
      <c r="H328" s="10">
        <v>182</v>
      </c>
      <c r="I328" s="9" t="s">
        <v>158</v>
      </c>
      <c r="J328" s="10">
        <v>182</v>
      </c>
      <c r="K328" s="10">
        <v>181.2</v>
      </c>
      <c r="L328" s="10">
        <v>121</v>
      </c>
      <c r="M328" s="10">
        <v>143</v>
      </c>
      <c r="N328" s="10">
        <v>136</v>
      </c>
      <c r="O328" s="10">
        <v>107</v>
      </c>
      <c r="P328" s="10">
        <v>123</v>
      </c>
      <c r="Q328" s="10">
        <v>19.2</v>
      </c>
      <c r="R328" s="10">
        <v>1649</v>
      </c>
      <c r="S328" s="10">
        <v>1.27</v>
      </c>
      <c r="T328" s="10">
        <v>2094</v>
      </c>
      <c r="U328" s="10">
        <v>190</v>
      </c>
      <c r="V328" s="10">
        <v>102</v>
      </c>
      <c r="W328" s="10">
        <v>47</v>
      </c>
      <c r="X328" s="10">
        <v>373</v>
      </c>
      <c r="Y328" s="10">
        <v>16</v>
      </c>
      <c r="Z328" s="10">
        <v>230</v>
      </c>
      <c r="AA328" s="10">
        <v>0.34699999999999998</v>
      </c>
      <c r="AB328" s="10">
        <v>214</v>
      </c>
      <c r="AC328" s="10">
        <v>170</v>
      </c>
      <c r="AD328" s="10">
        <v>160</v>
      </c>
      <c r="AE328" s="10">
        <v>7</v>
      </c>
      <c r="AF328" s="10">
        <v>9.8000000000000007</v>
      </c>
      <c r="AG328" s="9" t="s">
        <v>178</v>
      </c>
      <c r="AH328" s="9" t="s">
        <v>185</v>
      </c>
      <c r="AI328" s="9" t="s">
        <v>198</v>
      </c>
      <c r="AJ328" s="10"/>
      <c r="AK328" s="30"/>
    </row>
    <row r="329" spans="5:37">
      <c r="E329" s="28" t="s">
        <v>155</v>
      </c>
      <c r="F329" s="8" t="s">
        <v>156</v>
      </c>
      <c r="G329" s="9" t="s">
        <v>678</v>
      </c>
      <c r="H329" s="10">
        <v>159</v>
      </c>
      <c r="I329" s="9" t="s">
        <v>158</v>
      </c>
      <c r="J329" s="10">
        <v>159</v>
      </c>
      <c r="K329" s="10">
        <v>158.69999999999999</v>
      </c>
      <c r="L329" s="10">
        <v>102</v>
      </c>
      <c r="M329" s="10">
        <v>121</v>
      </c>
      <c r="N329" s="10">
        <v>133</v>
      </c>
      <c r="O329" s="10">
        <v>107</v>
      </c>
      <c r="P329" s="10">
        <v>120</v>
      </c>
      <c r="Q329" s="10">
        <v>15.4</v>
      </c>
      <c r="R329" s="10">
        <v>1350</v>
      </c>
      <c r="S329" s="10">
        <v>1.34</v>
      </c>
      <c r="T329" s="10">
        <v>1816</v>
      </c>
      <c r="U329" s="10">
        <v>139</v>
      </c>
      <c r="V329" s="10">
        <v>74</v>
      </c>
      <c r="W329" s="10">
        <v>46</v>
      </c>
      <c r="X329" s="10">
        <v>354</v>
      </c>
      <c r="Y329" s="10">
        <v>13</v>
      </c>
      <c r="Z329" s="10">
        <v>213</v>
      </c>
      <c r="AA329" s="10">
        <v>0.28799999999999998</v>
      </c>
      <c r="AB329" s="10">
        <v>207</v>
      </c>
      <c r="AC329" s="10">
        <v>171</v>
      </c>
      <c r="AD329" s="10">
        <v>147</v>
      </c>
      <c r="AE329" s="10">
        <v>5</v>
      </c>
      <c r="AF329" s="10">
        <v>9.5</v>
      </c>
      <c r="AG329" s="9" t="s">
        <v>178</v>
      </c>
      <c r="AH329" s="9" t="s">
        <v>185</v>
      </c>
      <c r="AI329" s="9" t="s">
        <v>198</v>
      </c>
      <c r="AJ329" s="10"/>
      <c r="AK329" s="30"/>
    </row>
    <row r="330" spans="5:37">
      <c r="E330" s="28" t="s">
        <v>155</v>
      </c>
      <c r="F330" s="8" t="s">
        <v>156</v>
      </c>
      <c r="G330" s="9" t="s">
        <v>678</v>
      </c>
      <c r="H330" s="10">
        <v>167</v>
      </c>
      <c r="I330" s="9" t="s">
        <v>158</v>
      </c>
      <c r="J330" s="10">
        <v>167</v>
      </c>
      <c r="K330" s="10">
        <v>166.7</v>
      </c>
      <c r="L330" s="10">
        <v>106</v>
      </c>
      <c r="M330" s="10">
        <v>127</v>
      </c>
      <c r="N330" s="10">
        <v>134</v>
      </c>
      <c r="O330" s="10">
        <v>107</v>
      </c>
      <c r="P330" s="10">
        <v>121</v>
      </c>
      <c r="Q330" s="10">
        <v>16.5</v>
      </c>
      <c r="R330" s="10">
        <v>1470</v>
      </c>
      <c r="S330" s="10">
        <v>1.31</v>
      </c>
      <c r="T330" s="10">
        <v>1921</v>
      </c>
      <c r="U330" s="10">
        <v>156</v>
      </c>
      <c r="V330" s="10">
        <v>76</v>
      </c>
      <c r="W330" s="10">
        <v>46</v>
      </c>
      <c r="X330" s="10">
        <v>380</v>
      </c>
      <c r="Y330" s="10">
        <v>14</v>
      </c>
      <c r="Z330" s="10">
        <v>225</v>
      </c>
      <c r="AA330" s="10">
        <v>0.30599999999999999</v>
      </c>
      <c r="AB330" s="10">
        <v>228</v>
      </c>
      <c r="AC330" s="10">
        <v>166</v>
      </c>
      <c r="AD330" s="10">
        <v>151</v>
      </c>
      <c r="AE330" s="10">
        <v>5</v>
      </c>
      <c r="AF330" s="10">
        <v>9.6999999999999993</v>
      </c>
      <c r="AG330" s="9" t="s">
        <v>178</v>
      </c>
      <c r="AH330" s="9" t="s">
        <v>185</v>
      </c>
      <c r="AI330" s="9" t="s">
        <v>198</v>
      </c>
      <c r="AJ330" s="10"/>
      <c r="AK330" s="30"/>
    </row>
    <row r="331" spans="5:37">
      <c r="E331" s="28" t="s">
        <v>155</v>
      </c>
      <c r="F331" s="8" t="s">
        <v>156</v>
      </c>
      <c r="G331" s="9" t="s">
        <v>536</v>
      </c>
      <c r="H331" s="10">
        <v>158</v>
      </c>
      <c r="I331" s="9" t="s">
        <v>158</v>
      </c>
      <c r="J331" s="10">
        <v>158</v>
      </c>
      <c r="K331" s="10">
        <v>157.1</v>
      </c>
      <c r="L331" s="10">
        <v>118</v>
      </c>
      <c r="M331" s="10">
        <v>130</v>
      </c>
      <c r="N331" s="10">
        <v>115</v>
      </c>
      <c r="O331" s="10">
        <v>86</v>
      </c>
      <c r="P331" s="10">
        <v>103</v>
      </c>
      <c r="Q331" s="10">
        <v>15.4</v>
      </c>
      <c r="R331" s="10">
        <v>1116</v>
      </c>
      <c r="S331" s="10">
        <v>1.34</v>
      </c>
      <c r="T331" s="10">
        <v>1490</v>
      </c>
      <c r="U331" s="10">
        <v>150</v>
      </c>
      <c r="V331" s="10">
        <v>68</v>
      </c>
      <c r="W331" s="10">
        <v>52</v>
      </c>
      <c r="X331" s="10">
        <v>247</v>
      </c>
      <c r="Y331" s="10">
        <v>11</v>
      </c>
      <c r="Z331" s="10">
        <v>144</v>
      </c>
      <c r="AA331" s="10">
        <v>0.216</v>
      </c>
      <c r="AB331" s="10">
        <v>156</v>
      </c>
      <c r="AC331" s="10">
        <v>117</v>
      </c>
      <c r="AD331" s="10">
        <v>91</v>
      </c>
      <c r="AE331" s="10">
        <v>4</v>
      </c>
      <c r="AF331" s="10">
        <v>12.4</v>
      </c>
      <c r="AG331" s="9" t="s">
        <v>185</v>
      </c>
      <c r="AH331" s="9" t="s">
        <v>198</v>
      </c>
      <c r="AI331" s="10"/>
      <c r="AJ331" s="10"/>
      <c r="AK331" s="30"/>
    </row>
    <row r="332" spans="5:37">
      <c r="E332" s="28" t="s">
        <v>155</v>
      </c>
      <c r="F332" s="8" t="s">
        <v>156</v>
      </c>
      <c r="G332" s="9" t="s">
        <v>536</v>
      </c>
      <c r="H332" s="10">
        <v>165</v>
      </c>
      <c r="I332" s="9" t="s">
        <v>158</v>
      </c>
      <c r="J332" s="10">
        <v>165</v>
      </c>
      <c r="K332" s="10">
        <v>164.1</v>
      </c>
      <c r="L332" s="10">
        <v>126</v>
      </c>
      <c r="M332" s="10">
        <v>135</v>
      </c>
      <c r="N332" s="10">
        <v>115</v>
      </c>
      <c r="O332" s="10">
        <v>85</v>
      </c>
      <c r="P332" s="10">
        <v>104</v>
      </c>
      <c r="Q332" s="10">
        <v>16.600000000000001</v>
      </c>
      <c r="R332" s="10">
        <v>1180</v>
      </c>
      <c r="S332" s="10">
        <v>1.32</v>
      </c>
      <c r="T332" s="10">
        <v>1557</v>
      </c>
      <c r="U332" s="10">
        <v>163</v>
      </c>
      <c r="V332" s="10">
        <v>68</v>
      </c>
      <c r="W332" s="10">
        <v>52</v>
      </c>
      <c r="X332" s="10">
        <v>245</v>
      </c>
      <c r="Y332" s="10">
        <v>10</v>
      </c>
      <c r="Z332" s="10">
        <v>140</v>
      </c>
      <c r="AA332" s="10">
        <v>0.2</v>
      </c>
      <c r="AB332" s="10">
        <v>172</v>
      </c>
      <c r="AC332" s="10">
        <v>118</v>
      </c>
      <c r="AD332" s="10">
        <v>74</v>
      </c>
      <c r="AE332" s="10">
        <v>7</v>
      </c>
      <c r="AF332" s="10">
        <v>12.5</v>
      </c>
      <c r="AG332" s="9" t="s">
        <v>185</v>
      </c>
      <c r="AH332" s="9" t="s">
        <v>198</v>
      </c>
      <c r="AI332" s="10"/>
      <c r="AJ332" s="10"/>
      <c r="AK332" s="30"/>
    </row>
    <row r="333" spans="5:37">
      <c r="E333" s="28" t="s">
        <v>155</v>
      </c>
      <c r="F333" s="8" t="s">
        <v>156</v>
      </c>
      <c r="G333" s="9" t="s">
        <v>536</v>
      </c>
      <c r="H333" s="10">
        <v>179</v>
      </c>
      <c r="I333" s="9" t="s">
        <v>158</v>
      </c>
      <c r="J333" s="10">
        <v>179</v>
      </c>
      <c r="K333" s="10">
        <v>177.9</v>
      </c>
      <c r="L333" s="10">
        <v>139</v>
      </c>
      <c r="M333" s="10">
        <v>149</v>
      </c>
      <c r="N333" s="10">
        <v>118</v>
      </c>
      <c r="O333" s="10">
        <v>86</v>
      </c>
      <c r="P333" s="10">
        <v>106</v>
      </c>
      <c r="Q333" s="10">
        <v>19.2</v>
      </c>
      <c r="R333" s="10">
        <v>1301</v>
      </c>
      <c r="S333" s="10">
        <v>1.31</v>
      </c>
      <c r="T333" s="10">
        <v>1700</v>
      </c>
      <c r="U333" s="10">
        <v>215</v>
      </c>
      <c r="V333" s="10">
        <v>84</v>
      </c>
      <c r="W333" s="10">
        <v>50</v>
      </c>
      <c r="X333" s="10">
        <v>242</v>
      </c>
      <c r="Y333" s="10">
        <v>13</v>
      </c>
      <c r="Z333" s="10">
        <v>145</v>
      </c>
      <c r="AA333" s="10">
        <v>0.255</v>
      </c>
      <c r="AB333" s="10">
        <v>175</v>
      </c>
      <c r="AC333" s="10">
        <v>113</v>
      </c>
      <c r="AD333" s="10">
        <v>67</v>
      </c>
      <c r="AE333" s="10">
        <v>6</v>
      </c>
      <c r="AF333" s="10">
        <v>12.1</v>
      </c>
      <c r="AG333" s="9" t="s">
        <v>185</v>
      </c>
      <c r="AH333" s="9" t="s">
        <v>198</v>
      </c>
      <c r="AI333" s="10"/>
      <c r="AJ333" s="10"/>
      <c r="AK333" s="30"/>
    </row>
    <row r="334" spans="5:37">
      <c r="E334" s="28" t="s">
        <v>155</v>
      </c>
      <c r="F334" s="8" t="s">
        <v>156</v>
      </c>
      <c r="G334" s="9" t="s">
        <v>389</v>
      </c>
      <c r="H334" s="10">
        <v>169</v>
      </c>
      <c r="I334" s="9" t="s">
        <v>158</v>
      </c>
      <c r="J334" s="10">
        <v>169</v>
      </c>
      <c r="K334" s="10">
        <v>167.5</v>
      </c>
      <c r="L334" s="10">
        <v>127</v>
      </c>
      <c r="M334" s="10">
        <v>138</v>
      </c>
      <c r="N334" s="10">
        <v>125</v>
      </c>
      <c r="O334" s="10">
        <v>93</v>
      </c>
      <c r="P334" s="10">
        <v>113</v>
      </c>
      <c r="Q334" s="10">
        <v>17.3</v>
      </c>
      <c r="R334" s="10">
        <v>1331</v>
      </c>
      <c r="S334" s="10">
        <v>1.3</v>
      </c>
      <c r="T334" s="10">
        <v>1725</v>
      </c>
      <c r="U334" s="10">
        <v>187</v>
      </c>
      <c r="V334" s="10">
        <v>85</v>
      </c>
      <c r="W334" s="10">
        <v>49</v>
      </c>
      <c r="X334" s="10">
        <v>243</v>
      </c>
      <c r="Y334" s="10">
        <v>10</v>
      </c>
      <c r="Z334" s="10">
        <v>159</v>
      </c>
      <c r="AA334" s="10">
        <v>0.19600000000000001</v>
      </c>
      <c r="AB334" s="10">
        <v>175</v>
      </c>
      <c r="AC334" s="10">
        <v>117</v>
      </c>
      <c r="AD334" s="10">
        <v>68</v>
      </c>
      <c r="AE334" s="10">
        <v>4</v>
      </c>
      <c r="AF334" s="10">
        <v>11.6</v>
      </c>
      <c r="AG334" s="9" t="s">
        <v>185</v>
      </c>
      <c r="AH334" s="9" t="s">
        <v>198</v>
      </c>
      <c r="AI334" s="10"/>
      <c r="AJ334" s="10"/>
      <c r="AK334" s="30"/>
    </row>
    <row r="335" spans="5:37">
      <c r="E335" s="28" t="s">
        <v>155</v>
      </c>
      <c r="F335" s="8" t="s">
        <v>156</v>
      </c>
      <c r="G335" s="9" t="s">
        <v>389</v>
      </c>
      <c r="H335" s="10">
        <v>177</v>
      </c>
      <c r="I335" s="9" t="s">
        <v>158</v>
      </c>
      <c r="J335" s="10">
        <v>177</v>
      </c>
      <c r="K335" s="10">
        <v>176</v>
      </c>
      <c r="L335" s="10">
        <v>136</v>
      </c>
      <c r="M335" s="10">
        <v>146</v>
      </c>
      <c r="N335" s="10">
        <v>126</v>
      </c>
      <c r="O335" s="10">
        <v>93</v>
      </c>
      <c r="P335" s="10">
        <v>115</v>
      </c>
      <c r="Q335" s="10">
        <v>18.2</v>
      </c>
      <c r="R335" s="10">
        <v>1416</v>
      </c>
      <c r="S335" s="10">
        <v>1.29</v>
      </c>
      <c r="T335" s="10">
        <v>1830</v>
      </c>
      <c r="U335" s="10">
        <v>214</v>
      </c>
      <c r="V335" s="10">
        <v>92</v>
      </c>
      <c r="W335" s="10">
        <v>50</v>
      </c>
      <c r="X335" s="10">
        <v>243</v>
      </c>
      <c r="Y335" s="10">
        <v>10</v>
      </c>
      <c r="Z335" s="10">
        <v>160</v>
      </c>
      <c r="AA335" s="10">
        <v>0.20899999999999999</v>
      </c>
      <c r="AB335" s="10">
        <v>174</v>
      </c>
      <c r="AC335" s="10">
        <v>123</v>
      </c>
      <c r="AD335" s="10">
        <v>69</v>
      </c>
      <c r="AE335" s="10">
        <v>6</v>
      </c>
      <c r="AF335" s="10">
        <v>11.1</v>
      </c>
      <c r="AG335" s="9" t="s">
        <v>185</v>
      </c>
      <c r="AH335" s="9" t="s">
        <v>198</v>
      </c>
      <c r="AI335" s="10"/>
      <c r="AJ335" s="10"/>
      <c r="AK335" s="30"/>
    </row>
    <row r="336" spans="5:37">
      <c r="E336" s="28" t="s">
        <v>155</v>
      </c>
      <c r="F336" s="8" t="s">
        <v>156</v>
      </c>
      <c r="G336" s="9" t="s">
        <v>829</v>
      </c>
      <c r="H336" s="10">
        <v>156</v>
      </c>
      <c r="I336" s="9" t="s">
        <v>158</v>
      </c>
      <c r="J336" s="10">
        <v>156</v>
      </c>
      <c r="K336" s="10">
        <v>155</v>
      </c>
      <c r="L336" s="10">
        <v>104</v>
      </c>
      <c r="M336" s="10">
        <v>121</v>
      </c>
      <c r="N336" s="10">
        <v>125</v>
      </c>
      <c r="O336" s="10">
        <v>96</v>
      </c>
      <c r="P336" s="10">
        <v>115</v>
      </c>
      <c r="Q336" s="10">
        <v>12.9</v>
      </c>
      <c r="R336" s="10">
        <v>1110</v>
      </c>
      <c r="S336" s="10">
        <v>1.46</v>
      </c>
      <c r="T336" s="10">
        <v>1623</v>
      </c>
      <c r="U336" s="10">
        <v>142</v>
      </c>
      <c r="V336" s="10">
        <v>64</v>
      </c>
      <c r="W336" s="10">
        <v>53</v>
      </c>
      <c r="X336" s="10">
        <v>296</v>
      </c>
      <c r="Y336" s="10">
        <v>16</v>
      </c>
      <c r="Z336" s="10">
        <v>214</v>
      </c>
      <c r="AA336" s="10">
        <v>0.3</v>
      </c>
      <c r="AB336" s="10">
        <v>179</v>
      </c>
      <c r="AC336" s="10">
        <v>156</v>
      </c>
      <c r="AD336" s="10">
        <v>117</v>
      </c>
      <c r="AE336" s="10">
        <v>3</v>
      </c>
      <c r="AF336" s="10">
        <v>8.4</v>
      </c>
      <c r="AG336" s="9" t="s">
        <v>185</v>
      </c>
      <c r="AH336" s="9" t="s">
        <v>198</v>
      </c>
      <c r="AI336" s="10"/>
      <c r="AJ336" s="10"/>
      <c r="AK336" s="30"/>
    </row>
    <row r="337" spans="5:37">
      <c r="E337" s="28" t="s">
        <v>155</v>
      </c>
      <c r="F337" s="8" t="s">
        <v>156</v>
      </c>
      <c r="G337" s="9" t="s">
        <v>829</v>
      </c>
      <c r="H337" s="10">
        <v>164</v>
      </c>
      <c r="I337" s="9" t="s">
        <v>158</v>
      </c>
      <c r="J337" s="10">
        <v>164</v>
      </c>
      <c r="K337" s="10">
        <v>162.9</v>
      </c>
      <c r="L337" s="10">
        <v>110</v>
      </c>
      <c r="M337" s="10">
        <v>126</v>
      </c>
      <c r="N337" s="10">
        <v>126</v>
      </c>
      <c r="O337" s="10">
        <v>97</v>
      </c>
      <c r="P337" s="10">
        <v>116</v>
      </c>
      <c r="Q337" s="10">
        <v>15</v>
      </c>
      <c r="R337" s="10">
        <v>1152</v>
      </c>
      <c r="S337" s="10">
        <v>1.49</v>
      </c>
      <c r="T337" s="10">
        <v>1722</v>
      </c>
      <c r="U337" s="10">
        <v>155</v>
      </c>
      <c r="V337" s="10">
        <v>71</v>
      </c>
      <c r="W337" s="10">
        <v>56</v>
      </c>
      <c r="X337" s="10">
        <v>316</v>
      </c>
      <c r="Y337" s="10">
        <v>18</v>
      </c>
      <c r="Z337" s="10">
        <v>215</v>
      </c>
      <c r="AA337" s="10">
        <v>0.32400000000000001</v>
      </c>
      <c r="AB337" s="10">
        <v>201</v>
      </c>
      <c r="AC337" s="10">
        <v>168</v>
      </c>
      <c r="AD337" s="10">
        <v>115</v>
      </c>
      <c r="AE337" s="10">
        <v>3</v>
      </c>
      <c r="AF337" s="10">
        <v>8.1999999999999993</v>
      </c>
      <c r="AG337" s="9" t="s">
        <v>185</v>
      </c>
      <c r="AH337" s="9" t="s">
        <v>198</v>
      </c>
      <c r="AI337" s="10"/>
      <c r="AJ337" s="10"/>
      <c r="AK337" s="30"/>
    </row>
    <row r="338" spans="5:37">
      <c r="E338" s="28" t="s">
        <v>155</v>
      </c>
      <c r="F338" s="8" t="s">
        <v>156</v>
      </c>
      <c r="G338" s="9" t="s">
        <v>257</v>
      </c>
      <c r="H338" s="10">
        <v>164</v>
      </c>
      <c r="I338" s="9" t="s">
        <v>158</v>
      </c>
      <c r="J338" s="10">
        <v>164</v>
      </c>
      <c r="K338" s="10">
        <v>163.4</v>
      </c>
      <c r="L338" s="10">
        <v>115</v>
      </c>
      <c r="M338" s="10">
        <v>129</v>
      </c>
      <c r="N338" s="10">
        <v>127</v>
      </c>
      <c r="O338" s="10">
        <v>99</v>
      </c>
      <c r="P338" s="10">
        <v>117</v>
      </c>
      <c r="Q338" s="10">
        <v>16.3</v>
      </c>
      <c r="R338" s="10">
        <v>1568</v>
      </c>
      <c r="S338" s="10">
        <v>1.1100000000000001</v>
      </c>
      <c r="T338" s="10">
        <v>1733</v>
      </c>
      <c r="U338" s="10">
        <v>165</v>
      </c>
      <c r="V338" s="10">
        <v>99</v>
      </c>
      <c r="W338" s="10">
        <v>48</v>
      </c>
      <c r="X338" s="10">
        <v>297</v>
      </c>
      <c r="Y338" s="10">
        <v>30</v>
      </c>
      <c r="Z338" s="10">
        <v>187</v>
      </c>
      <c r="AA338" s="10">
        <v>0.61899999999999999</v>
      </c>
      <c r="AB338" s="10">
        <v>187</v>
      </c>
      <c r="AC338" s="10">
        <v>160</v>
      </c>
      <c r="AD338" s="10">
        <v>110</v>
      </c>
      <c r="AE338" s="10">
        <v>8</v>
      </c>
      <c r="AF338" s="10">
        <v>7.9</v>
      </c>
      <c r="AG338" s="9" t="s">
        <v>188</v>
      </c>
      <c r="AH338" s="9" t="s">
        <v>185</v>
      </c>
      <c r="AI338" s="10"/>
      <c r="AJ338" s="10"/>
      <c r="AK338" s="30"/>
    </row>
    <row r="339" spans="5:37">
      <c r="E339" s="28" t="s">
        <v>155</v>
      </c>
      <c r="F339" s="8" t="s">
        <v>156</v>
      </c>
      <c r="G339" s="9" t="s">
        <v>257</v>
      </c>
      <c r="H339" s="10">
        <v>172</v>
      </c>
      <c r="I339" s="9" t="s">
        <v>158</v>
      </c>
      <c r="J339" s="10">
        <v>172</v>
      </c>
      <c r="K339" s="10">
        <v>171.4</v>
      </c>
      <c r="L339" s="10">
        <v>124</v>
      </c>
      <c r="M339" s="10">
        <v>139</v>
      </c>
      <c r="N339" s="10">
        <v>128</v>
      </c>
      <c r="O339" s="10">
        <v>99</v>
      </c>
      <c r="P339" s="10">
        <v>118</v>
      </c>
      <c r="Q339" s="10">
        <v>17.7</v>
      </c>
      <c r="R339" s="10">
        <v>1678</v>
      </c>
      <c r="S339" s="10">
        <v>1.0900000000000001</v>
      </c>
      <c r="T339" s="10">
        <v>1829</v>
      </c>
      <c r="U339" s="10">
        <v>190</v>
      </c>
      <c r="V339" s="10">
        <v>108</v>
      </c>
      <c r="W339" s="10">
        <v>46</v>
      </c>
      <c r="X339" s="10">
        <v>293</v>
      </c>
      <c r="Y339" s="10">
        <v>29</v>
      </c>
      <c r="Z339" s="10">
        <v>182</v>
      </c>
      <c r="AA339" s="10">
        <v>0.64300000000000002</v>
      </c>
      <c r="AB339" s="10">
        <v>180</v>
      </c>
      <c r="AC339" s="10">
        <v>147</v>
      </c>
      <c r="AD339" s="10">
        <v>113</v>
      </c>
      <c r="AE339" s="10">
        <v>10</v>
      </c>
      <c r="AF339" s="10">
        <v>7.9</v>
      </c>
      <c r="AG339" s="9" t="s">
        <v>188</v>
      </c>
      <c r="AH339" s="9" t="s">
        <v>185</v>
      </c>
      <c r="AI339" s="10"/>
      <c r="AJ339" s="10"/>
      <c r="AK339" s="30"/>
    </row>
    <row r="340" spans="5:37">
      <c r="E340" s="28" t="s">
        <v>155</v>
      </c>
      <c r="F340" s="8" t="s">
        <v>156</v>
      </c>
      <c r="G340" s="9" t="s">
        <v>257</v>
      </c>
      <c r="H340" s="10">
        <v>180</v>
      </c>
      <c r="I340" s="9" t="s">
        <v>158</v>
      </c>
      <c r="J340" s="10">
        <v>180</v>
      </c>
      <c r="K340" s="10">
        <v>179.3</v>
      </c>
      <c r="L340" s="10">
        <v>135</v>
      </c>
      <c r="M340" s="10">
        <v>146</v>
      </c>
      <c r="N340" s="10">
        <v>129</v>
      </c>
      <c r="O340" s="10">
        <v>99</v>
      </c>
      <c r="P340" s="10">
        <v>119</v>
      </c>
      <c r="Q340" s="10">
        <v>19.600000000000001</v>
      </c>
      <c r="R340" s="10">
        <v>1763</v>
      </c>
      <c r="S340" s="10">
        <v>1.0900000000000001</v>
      </c>
      <c r="T340" s="10">
        <v>1921</v>
      </c>
      <c r="U340" s="10">
        <v>208</v>
      </c>
      <c r="V340" s="10">
        <v>113</v>
      </c>
      <c r="W340" s="10">
        <v>45</v>
      </c>
      <c r="X340" s="10">
        <v>277</v>
      </c>
      <c r="Y340" s="10">
        <v>26</v>
      </c>
      <c r="Z340" s="10">
        <v>168</v>
      </c>
      <c r="AA340" s="10">
        <v>0.58299999999999996</v>
      </c>
      <c r="AB340" s="10">
        <v>184</v>
      </c>
      <c r="AC340" s="10">
        <v>147</v>
      </c>
      <c r="AD340" s="10">
        <v>94</v>
      </c>
      <c r="AE340" s="10">
        <v>12</v>
      </c>
      <c r="AF340" s="10">
        <v>8.1999999999999993</v>
      </c>
      <c r="AG340" s="9" t="s">
        <v>188</v>
      </c>
      <c r="AH340" s="9" t="s">
        <v>185</v>
      </c>
      <c r="AI340" s="10"/>
      <c r="AJ340" s="10"/>
      <c r="AK340" s="30"/>
    </row>
    <row r="341" spans="5:37">
      <c r="E341" s="28" t="s">
        <v>155</v>
      </c>
      <c r="F341" s="8" t="s">
        <v>156</v>
      </c>
      <c r="G341" s="9" t="s">
        <v>257</v>
      </c>
      <c r="H341" s="10">
        <v>188</v>
      </c>
      <c r="I341" s="9" t="s">
        <v>158</v>
      </c>
      <c r="J341" s="10">
        <v>188</v>
      </c>
      <c r="K341" s="10">
        <v>187.2</v>
      </c>
      <c r="L341" s="10">
        <v>144</v>
      </c>
      <c r="M341" s="10">
        <v>155</v>
      </c>
      <c r="N341" s="10">
        <v>130</v>
      </c>
      <c r="O341" s="10">
        <v>99</v>
      </c>
      <c r="P341" s="10">
        <v>120</v>
      </c>
      <c r="Q341" s="10">
        <v>21</v>
      </c>
      <c r="R341" s="10">
        <v>1877</v>
      </c>
      <c r="S341" s="10">
        <v>1.07</v>
      </c>
      <c r="T341" s="10">
        <v>2007</v>
      </c>
      <c r="U341" s="10">
        <v>234</v>
      </c>
      <c r="V341" s="10">
        <v>135</v>
      </c>
      <c r="W341" s="10">
        <v>41</v>
      </c>
      <c r="X341" s="10">
        <v>270</v>
      </c>
      <c r="Y341" s="10">
        <v>27</v>
      </c>
      <c r="Z341" s="10">
        <v>165</v>
      </c>
      <c r="AA341" s="10">
        <v>0.66500000000000004</v>
      </c>
      <c r="AB341" s="10">
        <v>176</v>
      </c>
      <c r="AC341" s="10">
        <v>149</v>
      </c>
      <c r="AD341" s="10">
        <v>94</v>
      </c>
      <c r="AE341" s="10">
        <v>11</v>
      </c>
      <c r="AF341" s="10">
        <v>8.1</v>
      </c>
      <c r="AG341" s="9" t="s">
        <v>188</v>
      </c>
      <c r="AH341" s="9" t="s">
        <v>185</v>
      </c>
      <c r="AI341" s="10"/>
      <c r="AJ341" s="10"/>
      <c r="AK341" s="30"/>
    </row>
    <row r="342" spans="5:37">
      <c r="E342" s="28" t="s">
        <v>155</v>
      </c>
      <c r="F342" s="8" t="s">
        <v>156</v>
      </c>
      <c r="G342" s="9" t="s">
        <v>696</v>
      </c>
      <c r="H342" s="10">
        <v>176</v>
      </c>
      <c r="I342" s="9" t="s">
        <v>158</v>
      </c>
      <c r="J342" s="10">
        <v>176</v>
      </c>
      <c r="K342" s="10">
        <v>174.7</v>
      </c>
      <c r="L342" s="10">
        <v>99</v>
      </c>
      <c r="M342" s="10">
        <v>123</v>
      </c>
      <c r="N342" s="10">
        <v>141</v>
      </c>
      <c r="O342" s="10">
        <v>119</v>
      </c>
      <c r="P342" s="10">
        <v>132</v>
      </c>
      <c r="Q342" s="10">
        <v>18.8</v>
      </c>
      <c r="R342" s="10">
        <v>1779</v>
      </c>
      <c r="S342" s="10">
        <v>1.21</v>
      </c>
      <c r="T342" s="10">
        <v>2159</v>
      </c>
      <c r="U342" s="10">
        <v>217</v>
      </c>
      <c r="V342" s="10">
        <v>91</v>
      </c>
      <c r="W342" s="10">
        <v>55</v>
      </c>
      <c r="X342" s="10">
        <v>399</v>
      </c>
      <c r="Y342" s="10">
        <v>52</v>
      </c>
      <c r="Z342" s="10">
        <v>362</v>
      </c>
      <c r="AA342" s="10">
        <v>0.95799999999999996</v>
      </c>
      <c r="AB342" s="10">
        <v>215</v>
      </c>
      <c r="AC342" s="10">
        <v>302</v>
      </c>
      <c r="AD342" s="10">
        <v>184</v>
      </c>
      <c r="AE342" s="10">
        <v>4</v>
      </c>
      <c r="AF342" s="10">
        <v>3.1</v>
      </c>
      <c r="AG342" s="9" t="s">
        <v>184</v>
      </c>
      <c r="AH342" s="9" t="s">
        <v>169</v>
      </c>
      <c r="AI342" s="9" t="s">
        <v>185</v>
      </c>
      <c r="AJ342" s="10"/>
      <c r="AK342" s="30"/>
    </row>
    <row r="343" spans="5:37">
      <c r="E343" s="28" t="s">
        <v>155</v>
      </c>
      <c r="F343" s="8" t="s">
        <v>156</v>
      </c>
      <c r="G343" s="9" t="s">
        <v>696</v>
      </c>
      <c r="H343" s="10">
        <v>184</v>
      </c>
      <c r="I343" s="9" t="s">
        <v>158</v>
      </c>
      <c r="J343" s="10">
        <v>184</v>
      </c>
      <c r="K343" s="10">
        <v>182.6</v>
      </c>
      <c r="L343" s="10">
        <v>107</v>
      </c>
      <c r="M343" s="10">
        <v>137</v>
      </c>
      <c r="N343" s="10">
        <v>142</v>
      </c>
      <c r="O343" s="10">
        <v>119</v>
      </c>
      <c r="P343" s="10">
        <v>133</v>
      </c>
      <c r="Q343" s="10">
        <v>20.2</v>
      </c>
      <c r="R343" s="10">
        <v>1816</v>
      </c>
      <c r="S343" s="10">
        <v>1.25</v>
      </c>
      <c r="T343" s="10">
        <v>2262</v>
      </c>
      <c r="U343" s="10">
        <v>255</v>
      </c>
      <c r="V343" s="10">
        <v>103</v>
      </c>
      <c r="W343" s="10">
        <v>54</v>
      </c>
      <c r="X343" s="10">
        <v>395</v>
      </c>
      <c r="Y343" s="10">
        <v>53</v>
      </c>
      <c r="Z343" s="10">
        <v>359</v>
      </c>
      <c r="AA343" s="10">
        <v>0.98799999999999999</v>
      </c>
      <c r="AB343" s="10">
        <v>204</v>
      </c>
      <c r="AC343" s="10">
        <v>255</v>
      </c>
      <c r="AD343" s="10">
        <v>191</v>
      </c>
      <c r="AE343" s="10">
        <v>5</v>
      </c>
      <c r="AF343" s="10">
        <v>3.9</v>
      </c>
      <c r="AG343" s="9" t="s">
        <v>184</v>
      </c>
      <c r="AH343" s="9" t="s">
        <v>169</v>
      </c>
      <c r="AI343" s="9" t="s">
        <v>185</v>
      </c>
      <c r="AJ343" s="10"/>
      <c r="AK343" s="30"/>
    </row>
    <row r="344" spans="5:37">
      <c r="E344" s="28" t="s">
        <v>155</v>
      </c>
      <c r="F344" s="8" t="s">
        <v>156</v>
      </c>
      <c r="G344" s="9" t="s">
        <v>696</v>
      </c>
      <c r="H344" s="10">
        <v>192</v>
      </c>
      <c r="I344" s="9" t="s">
        <v>158</v>
      </c>
      <c r="J344" s="10">
        <v>192</v>
      </c>
      <c r="K344" s="10">
        <v>188.1</v>
      </c>
      <c r="L344" s="10">
        <v>115</v>
      </c>
      <c r="M344" s="10">
        <v>143</v>
      </c>
      <c r="N344" s="10">
        <v>143</v>
      </c>
      <c r="O344" s="10">
        <v>119</v>
      </c>
      <c r="P344" s="10">
        <v>134</v>
      </c>
      <c r="Q344" s="10">
        <v>21.4</v>
      </c>
      <c r="R344" s="10">
        <v>1970</v>
      </c>
      <c r="S344" s="10">
        <v>1.19</v>
      </c>
      <c r="T344" s="10">
        <v>2341</v>
      </c>
      <c r="U344" s="10">
        <v>275</v>
      </c>
      <c r="V344" s="10">
        <v>115</v>
      </c>
      <c r="W344" s="10">
        <v>56</v>
      </c>
      <c r="X344" s="10">
        <v>398</v>
      </c>
      <c r="Y344" s="10">
        <v>42</v>
      </c>
      <c r="Z344" s="10">
        <v>329</v>
      </c>
      <c r="AA344" s="10">
        <v>0.76200000000000001</v>
      </c>
      <c r="AB344" s="10">
        <v>204</v>
      </c>
      <c r="AC344" s="10">
        <v>252</v>
      </c>
      <c r="AD344" s="10">
        <v>194</v>
      </c>
      <c r="AE344" s="10">
        <v>5</v>
      </c>
      <c r="AF344" s="10">
        <v>6.5</v>
      </c>
      <c r="AG344" s="9" t="s">
        <v>169</v>
      </c>
      <c r="AH344" s="9" t="s">
        <v>185</v>
      </c>
      <c r="AI344" s="10"/>
      <c r="AJ344" s="10"/>
      <c r="AK344" s="30"/>
    </row>
    <row r="345" spans="5:37">
      <c r="E345" s="28" t="s">
        <v>155</v>
      </c>
      <c r="F345" s="8" t="s">
        <v>156</v>
      </c>
      <c r="G345" s="9" t="s">
        <v>784</v>
      </c>
      <c r="H345" s="10">
        <v>140</v>
      </c>
      <c r="I345" s="9" t="s">
        <v>385</v>
      </c>
      <c r="J345" s="10">
        <v>140</v>
      </c>
      <c r="K345" s="10">
        <v>139.6</v>
      </c>
      <c r="L345" s="10">
        <v>101</v>
      </c>
      <c r="M345" s="10">
        <v>121</v>
      </c>
      <c r="N345" s="10">
        <v>121</v>
      </c>
      <c r="O345" s="10">
        <v>83</v>
      </c>
      <c r="P345" s="10">
        <v>111</v>
      </c>
      <c r="Q345" s="10">
        <v>10.8</v>
      </c>
      <c r="R345" s="10">
        <v>1483</v>
      </c>
      <c r="S345" s="10">
        <v>0.9</v>
      </c>
      <c r="T345" s="10">
        <v>1331</v>
      </c>
      <c r="U345" s="10">
        <v>114</v>
      </c>
      <c r="V345" s="10">
        <v>62</v>
      </c>
      <c r="W345" s="10">
        <v>40</v>
      </c>
      <c r="X345" s="10">
        <v>198</v>
      </c>
      <c r="Y345" s="10">
        <v>30</v>
      </c>
      <c r="Z345" s="10">
        <v>186</v>
      </c>
      <c r="AA345" s="10">
        <v>0.75900000000000001</v>
      </c>
      <c r="AB345" s="10">
        <v>89</v>
      </c>
      <c r="AC345" s="10">
        <v>93</v>
      </c>
      <c r="AD345" s="10">
        <v>109</v>
      </c>
      <c r="AE345" s="10">
        <v>4</v>
      </c>
      <c r="AF345" s="10">
        <v>3.7</v>
      </c>
      <c r="AG345" s="9" t="s">
        <v>188</v>
      </c>
      <c r="AH345" s="10"/>
      <c r="AI345" s="10"/>
      <c r="AJ345" s="10"/>
      <c r="AK345" s="30"/>
    </row>
    <row r="346" spans="5:37">
      <c r="E346" s="28" t="s">
        <v>155</v>
      </c>
      <c r="F346" s="8" t="s">
        <v>156</v>
      </c>
      <c r="G346" s="9" t="s">
        <v>784</v>
      </c>
      <c r="H346" s="10">
        <v>150</v>
      </c>
      <c r="I346" s="9" t="s">
        <v>385</v>
      </c>
      <c r="J346" s="10">
        <v>150</v>
      </c>
      <c r="K346" s="10">
        <v>149.80000000000001</v>
      </c>
      <c r="L346" s="10">
        <v>118</v>
      </c>
      <c r="M346" s="10">
        <v>131</v>
      </c>
      <c r="N346" s="10">
        <v>121</v>
      </c>
      <c r="O346" s="10">
        <v>83</v>
      </c>
      <c r="P346" s="10">
        <v>110</v>
      </c>
      <c r="Q346" s="10">
        <v>12.9</v>
      </c>
      <c r="R346" s="10">
        <v>1631</v>
      </c>
      <c r="S346" s="10">
        <v>0.87</v>
      </c>
      <c r="T346" s="10">
        <v>1427</v>
      </c>
      <c r="U346" s="10">
        <v>137</v>
      </c>
      <c r="V346" s="10">
        <v>63</v>
      </c>
      <c r="W346" s="10">
        <v>41</v>
      </c>
      <c r="X346" s="10">
        <v>182</v>
      </c>
      <c r="Y346" s="10">
        <v>29</v>
      </c>
      <c r="Z346" s="10">
        <v>133</v>
      </c>
      <c r="AA346" s="10">
        <v>0.69899999999999995</v>
      </c>
      <c r="AB346" s="10">
        <v>89</v>
      </c>
      <c r="AC346" s="10">
        <v>98</v>
      </c>
      <c r="AD346" s="10">
        <v>93</v>
      </c>
      <c r="AE346" s="10">
        <v>7</v>
      </c>
      <c r="AF346" s="10">
        <v>5</v>
      </c>
      <c r="AG346" s="9" t="s">
        <v>188</v>
      </c>
      <c r="AH346" s="10"/>
      <c r="AI346" s="10"/>
      <c r="AJ346" s="10"/>
      <c r="AK346" s="30"/>
    </row>
    <row r="347" spans="5:37">
      <c r="E347" s="28" t="s">
        <v>155</v>
      </c>
      <c r="F347" s="8" t="s">
        <v>156</v>
      </c>
      <c r="G347" s="9" t="s">
        <v>715</v>
      </c>
      <c r="H347" s="10">
        <v>160</v>
      </c>
      <c r="I347" s="9" t="s">
        <v>163</v>
      </c>
      <c r="J347" s="10">
        <v>160</v>
      </c>
      <c r="K347" s="10">
        <v>159.30000000000001</v>
      </c>
      <c r="L347" s="10">
        <v>138</v>
      </c>
      <c r="M347" s="10">
        <v>145</v>
      </c>
      <c r="N347" s="10">
        <v>122</v>
      </c>
      <c r="O347" s="10">
        <v>74</v>
      </c>
      <c r="P347" s="10">
        <v>106</v>
      </c>
      <c r="Q347" s="10">
        <v>13</v>
      </c>
      <c r="R347" s="10">
        <v>1544</v>
      </c>
      <c r="S347" s="10">
        <v>0.92</v>
      </c>
      <c r="T347" s="10">
        <v>1425</v>
      </c>
      <c r="U347" s="10">
        <v>180</v>
      </c>
      <c r="V347" s="10">
        <v>65</v>
      </c>
      <c r="W347" s="10">
        <v>39</v>
      </c>
      <c r="X347" s="10">
        <v>149</v>
      </c>
      <c r="Y347" s="10">
        <v>5</v>
      </c>
      <c r="Z347" s="10">
        <v>59</v>
      </c>
      <c r="AA347" s="10">
        <v>0.121</v>
      </c>
      <c r="AB347" s="10">
        <v>83</v>
      </c>
      <c r="AC347" s="10">
        <v>56</v>
      </c>
      <c r="AD347" s="10">
        <v>66</v>
      </c>
      <c r="AE347" s="10">
        <v>3</v>
      </c>
      <c r="AF347" s="10">
        <v>13.2</v>
      </c>
      <c r="AG347" s="9" t="s">
        <v>349</v>
      </c>
      <c r="AH347" s="10"/>
      <c r="AI347" s="10"/>
      <c r="AJ347" s="10"/>
      <c r="AK347" s="30"/>
    </row>
    <row r="348" spans="5:37">
      <c r="E348" s="28" t="s">
        <v>155</v>
      </c>
      <c r="F348" s="8" t="s">
        <v>156</v>
      </c>
      <c r="G348" s="9" t="s">
        <v>845</v>
      </c>
      <c r="H348" s="10">
        <v>147</v>
      </c>
      <c r="I348" s="9" t="s">
        <v>163</v>
      </c>
      <c r="J348" s="10">
        <v>147</v>
      </c>
      <c r="K348" s="10">
        <v>146.6</v>
      </c>
      <c r="L348" s="10">
        <v>127</v>
      </c>
      <c r="M348" s="10">
        <v>134</v>
      </c>
      <c r="N348" s="10">
        <v>107</v>
      </c>
      <c r="O348" s="10">
        <v>69</v>
      </c>
      <c r="P348" s="10">
        <v>95</v>
      </c>
      <c r="Q348" s="10">
        <v>13.1</v>
      </c>
      <c r="R348" s="10">
        <v>1663</v>
      </c>
      <c r="S348" s="10">
        <v>0.72</v>
      </c>
      <c r="T348" s="10">
        <v>1193</v>
      </c>
      <c r="U348" s="10">
        <v>134</v>
      </c>
      <c r="V348" s="10">
        <v>45</v>
      </c>
      <c r="W348" s="10">
        <v>36</v>
      </c>
      <c r="X348" s="10">
        <v>140</v>
      </c>
      <c r="Y348" s="10">
        <v>4</v>
      </c>
      <c r="Z348" s="10">
        <v>52</v>
      </c>
      <c r="AA348" s="10">
        <v>0.11700000000000001</v>
      </c>
      <c r="AB348" s="10">
        <v>80</v>
      </c>
      <c r="AC348" s="10">
        <v>49</v>
      </c>
      <c r="AD348" s="10">
        <v>60</v>
      </c>
      <c r="AE348" s="10">
        <v>7</v>
      </c>
      <c r="AF348" s="10">
        <v>12.3</v>
      </c>
      <c r="AG348" s="9" t="s">
        <v>349</v>
      </c>
      <c r="AH348" s="10"/>
      <c r="AI348" s="10"/>
      <c r="AJ348" s="10"/>
      <c r="AK348" s="30"/>
    </row>
    <row r="349" spans="5:37">
      <c r="E349" s="28" t="s">
        <v>155</v>
      </c>
      <c r="F349" s="8" t="s">
        <v>156</v>
      </c>
      <c r="G349" s="9" t="s">
        <v>845</v>
      </c>
      <c r="H349" s="10">
        <v>154</v>
      </c>
      <c r="I349" s="9" t="s">
        <v>163</v>
      </c>
      <c r="J349" s="10">
        <v>154</v>
      </c>
      <c r="K349" s="10">
        <v>153.6</v>
      </c>
      <c r="L349" s="10">
        <v>134</v>
      </c>
      <c r="M349" s="10">
        <v>140</v>
      </c>
      <c r="N349" s="10">
        <v>109</v>
      </c>
      <c r="O349" s="10">
        <v>69</v>
      </c>
      <c r="P349" s="10">
        <v>97</v>
      </c>
      <c r="Q349" s="10">
        <v>13.8</v>
      </c>
      <c r="R349" s="10">
        <v>1767</v>
      </c>
      <c r="S349" s="10">
        <v>0.71</v>
      </c>
      <c r="T349" s="10">
        <v>1256</v>
      </c>
      <c r="U349" s="10">
        <v>158</v>
      </c>
      <c r="V349" s="10">
        <v>52</v>
      </c>
      <c r="W349" s="10">
        <v>37</v>
      </c>
      <c r="X349" s="10">
        <v>143</v>
      </c>
      <c r="Y349" s="10">
        <v>5</v>
      </c>
      <c r="Z349" s="10">
        <v>56</v>
      </c>
      <c r="AA349" s="10">
        <v>0.123</v>
      </c>
      <c r="AB349" s="10">
        <v>84</v>
      </c>
      <c r="AC349" s="10">
        <v>53</v>
      </c>
      <c r="AD349" s="10">
        <v>59</v>
      </c>
      <c r="AE349" s="10">
        <v>6</v>
      </c>
      <c r="AF349" s="10">
        <v>12.4</v>
      </c>
      <c r="AG349" s="9" t="s">
        <v>349</v>
      </c>
      <c r="AH349" s="10"/>
      <c r="AI349" s="10"/>
      <c r="AJ349" s="10"/>
      <c r="AK349" s="30"/>
    </row>
    <row r="350" spans="5:37">
      <c r="E350" s="28" t="s">
        <v>155</v>
      </c>
      <c r="F350" s="8" t="s">
        <v>156</v>
      </c>
      <c r="G350" s="9" t="s">
        <v>845</v>
      </c>
      <c r="H350" s="10">
        <v>161</v>
      </c>
      <c r="I350" s="9" t="s">
        <v>163</v>
      </c>
      <c r="J350" s="10">
        <v>161</v>
      </c>
      <c r="K350" s="10">
        <v>160.30000000000001</v>
      </c>
      <c r="L350" s="10">
        <v>141</v>
      </c>
      <c r="M350" s="10">
        <v>147</v>
      </c>
      <c r="N350" s="10">
        <v>110</v>
      </c>
      <c r="O350" s="10">
        <v>69</v>
      </c>
      <c r="P350" s="10">
        <v>99</v>
      </c>
      <c r="Q350" s="10">
        <v>14.5</v>
      </c>
      <c r="R350" s="10">
        <v>1803</v>
      </c>
      <c r="S350" s="10">
        <v>0.73</v>
      </c>
      <c r="T350" s="10">
        <v>1319</v>
      </c>
      <c r="U350" s="10">
        <v>163</v>
      </c>
      <c r="V350" s="10">
        <v>56</v>
      </c>
      <c r="W350" s="10">
        <v>38</v>
      </c>
      <c r="X350" s="10">
        <v>145</v>
      </c>
      <c r="Y350" s="10">
        <v>4</v>
      </c>
      <c r="Z350" s="10">
        <v>50</v>
      </c>
      <c r="AA350" s="10">
        <v>9.7000000000000003E-2</v>
      </c>
      <c r="AB350" s="10">
        <v>80</v>
      </c>
      <c r="AC350" s="10">
        <v>53</v>
      </c>
      <c r="AD350" s="10">
        <v>65</v>
      </c>
      <c r="AE350" s="10">
        <v>8</v>
      </c>
      <c r="AF350" s="10">
        <v>12.5</v>
      </c>
      <c r="AG350" s="9" t="s">
        <v>349</v>
      </c>
      <c r="AH350" s="10"/>
      <c r="AI350" s="10"/>
      <c r="AJ350" s="10"/>
      <c r="AK350" s="30"/>
    </row>
    <row r="351" spans="5:37">
      <c r="E351" s="28" t="s">
        <v>155</v>
      </c>
      <c r="F351" s="8" t="s">
        <v>156</v>
      </c>
      <c r="G351" s="9" t="s">
        <v>587</v>
      </c>
      <c r="H351" s="10">
        <v>143</v>
      </c>
      <c r="I351" s="9" t="s">
        <v>163</v>
      </c>
      <c r="J351" s="10">
        <v>143</v>
      </c>
      <c r="K351" s="10">
        <v>142.9</v>
      </c>
      <c r="L351" s="10">
        <v>125</v>
      </c>
      <c r="M351" s="10">
        <v>129</v>
      </c>
      <c r="N351" s="10">
        <v>108</v>
      </c>
      <c r="O351" s="10">
        <v>72</v>
      </c>
      <c r="P351" s="10">
        <v>94</v>
      </c>
      <c r="Q351" s="10">
        <v>13.7</v>
      </c>
      <c r="R351" s="10">
        <v>1478</v>
      </c>
      <c r="S351" s="10">
        <v>0.8</v>
      </c>
      <c r="T351" s="10">
        <v>1189</v>
      </c>
      <c r="U351" s="10">
        <v>119</v>
      </c>
      <c r="V351" s="10">
        <v>57</v>
      </c>
      <c r="W351" s="10">
        <v>32</v>
      </c>
      <c r="X351" s="10">
        <v>133</v>
      </c>
      <c r="Y351" s="10">
        <v>4</v>
      </c>
      <c r="Z351" s="10">
        <v>48</v>
      </c>
      <c r="AA351" s="10">
        <v>0.11700000000000001</v>
      </c>
      <c r="AB351" s="10">
        <v>89</v>
      </c>
      <c r="AC351" s="10">
        <v>52</v>
      </c>
      <c r="AD351" s="10">
        <v>45</v>
      </c>
      <c r="AE351" s="10">
        <v>11</v>
      </c>
      <c r="AF351" s="10">
        <v>12.6</v>
      </c>
      <c r="AG351" s="9" t="s">
        <v>349</v>
      </c>
      <c r="AH351" s="10"/>
      <c r="AI351" s="10"/>
      <c r="AJ351" s="10"/>
      <c r="AK351" s="30"/>
    </row>
    <row r="352" spans="5:37">
      <c r="E352" s="28" t="s">
        <v>155</v>
      </c>
      <c r="F352" s="8" t="s">
        <v>156</v>
      </c>
      <c r="G352" s="9" t="s">
        <v>587</v>
      </c>
      <c r="H352" s="10">
        <v>150</v>
      </c>
      <c r="I352" s="9" t="s">
        <v>163</v>
      </c>
      <c r="J352" s="10">
        <v>150</v>
      </c>
      <c r="K352" s="10">
        <v>149.69999999999999</v>
      </c>
      <c r="L352" s="10">
        <v>132</v>
      </c>
      <c r="M352" s="10">
        <v>135</v>
      </c>
      <c r="N352" s="10">
        <v>110</v>
      </c>
      <c r="O352" s="10">
        <v>71</v>
      </c>
      <c r="P352" s="10">
        <v>96</v>
      </c>
      <c r="Q352" s="10">
        <v>14.2</v>
      </c>
      <c r="R352" s="10">
        <v>1528</v>
      </c>
      <c r="S352" s="10">
        <v>0.82</v>
      </c>
      <c r="T352" s="10">
        <v>1247</v>
      </c>
      <c r="U352" s="10">
        <v>128</v>
      </c>
      <c r="V352" s="10">
        <v>67</v>
      </c>
      <c r="W352" s="10">
        <v>30</v>
      </c>
      <c r="X352" s="10">
        <v>134</v>
      </c>
      <c r="Y352" s="10">
        <v>4</v>
      </c>
      <c r="Z352" s="10">
        <v>47</v>
      </c>
      <c r="AA352" s="10">
        <v>0.11899999999999999</v>
      </c>
      <c r="AB352" s="10">
        <v>95</v>
      </c>
      <c r="AC352" s="10">
        <v>55</v>
      </c>
      <c r="AD352" s="10">
        <v>38</v>
      </c>
      <c r="AE352" s="10">
        <v>11</v>
      </c>
      <c r="AF352" s="10">
        <v>12.1</v>
      </c>
      <c r="AG352" s="9" t="s">
        <v>349</v>
      </c>
      <c r="AH352" s="9" t="s">
        <v>231</v>
      </c>
      <c r="AI352" s="10"/>
      <c r="AJ352" s="10"/>
      <c r="AK352" s="30"/>
    </row>
    <row r="353" spans="5:37">
      <c r="E353" s="28" t="s">
        <v>155</v>
      </c>
      <c r="F353" s="8" t="s">
        <v>156</v>
      </c>
      <c r="G353" s="9" t="s">
        <v>587</v>
      </c>
      <c r="H353" s="10">
        <v>157</v>
      </c>
      <c r="I353" s="9" t="s">
        <v>163</v>
      </c>
      <c r="J353" s="10">
        <v>157</v>
      </c>
      <c r="K353" s="10">
        <v>156.9</v>
      </c>
      <c r="L353" s="10">
        <v>138</v>
      </c>
      <c r="M353" s="10">
        <v>142</v>
      </c>
      <c r="N353" s="10">
        <v>112</v>
      </c>
      <c r="O353" s="10">
        <v>72</v>
      </c>
      <c r="P353" s="10">
        <v>98</v>
      </c>
      <c r="Q353" s="10">
        <v>14.8</v>
      </c>
      <c r="R353" s="10">
        <v>1646</v>
      </c>
      <c r="S353" s="10">
        <v>0.81</v>
      </c>
      <c r="T353" s="10">
        <v>1328</v>
      </c>
      <c r="U353" s="10">
        <v>150</v>
      </c>
      <c r="V353" s="10">
        <v>75</v>
      </c>
      <c r="W353" s="10">
        <v>32</v>
      </c>
      <c r="X353" s="10">
        <v>138</v>
      </c>
      <c r="Y353" s="10">
        <v>4</v>
      </c>
      <c r="Z353" s="10">
        <v>48</v>
      </c>
      <c r="AA353" s="10">
        <v>0.127</v>
      </c>
      <c r="AB353" s="10">
        <v>94</v>
      </c>
      <c r="AC353" s="10">
        <v>54</v>
      </c>
      <c r="AD353" s="10">
        <v>44</v>
      </c>
      <c r="AE353" s="10">
        <v>11</v>
      </c>
      <c r="AF353" s="10">
        <v>12.4</v>
      </c>
      <c r="AG353" s="9" t="s">
        <v>349</v>
      </c>
      <c r="AH353" s="10"/>
      <c r="AI353" s="10"/>
      <c r="AJ353" s="10"/>
      <c r="AK353" s="30"/>
    </row>
    <row r="354" spans="5:37">
      <c r="E354" s="28" t="s">
        <v>155</v>
      </c>
      <c r="F354" s="8" t="s">
        <v>156</v>
      </c>
      <c r="G354" s="9" t="s">
        <v>587</v>
      </c>
      <c r="H354" s="10">
        <v>164</v>
      </c>
      <c r="I354" s="9" t="s">
        <v>163</v>
      </c>
      <c r="J354" s="10">
        <v>164</v>
      </c>
      <c r="K354" s="10">
        <v>163.5</v>
      </c>
      <c r="L354" s="10">
        <v>146</v>
      </c>
      <c r="M354" s="10">
        <v>148</v>
      </c>
      <c r="N354" s="10">
        <v>114</v>
      </c>
      <c r="O354" s="10">
        <v>72</v>
      </c>
      <c r="P354" s="10">
        <v>101</v>
      </c>
      <c r="Q354" s="10">
        <v>15.4</v>
      </c>
      <c r="R354" s="10">
        <v>1747</v>
      </c>
      <c r="S354" s="10">
        <v>0.8</v>
      </c>
      <c r="T354" s="10">
        <v>1399</v>
      </c>
      <c r="U354" s="10">
        <v>163</v>
      </c>
      <c r="V354" s="10">
        <v>79</v>
      </c>
      <c r="W354" s="10">
        <v>30</v>
      </c>
      <c r="X354" s="10">
        <v>132</v>
      </c>
      <c r="Y354" s="10">
        <v>3</v>
      </c>
      <c r="Z354" s="10">
        <v>47</v>
      </c>
      <c r="AA354" s="10">
        <v>0.111</v>
      </c>
      <c r="AB354" s="10">
        <v>93</v>
      </c>
      <c r="AC354" s="10">
        <v>57</v>
      </c>
      <c r="AD354" s="10">
        <v>39</v>
      </c>
      <c r="AE354" s="10">
        <v>15</v>
      </c>
      <c r="AF354" s="10">
        <v>12.5</v>
      </c>
      <c r="AG354" s="9" t="s">
        <v>349</v>
      </c>
      <c r="AH354" s="10"/>
      <c r="AI354" s="10"/>
      <c r="AJ354" s="10"/>
      <c r="AK354" s="30"/>
    </row>
    <row r="355" spans="5:37">
      <c r="E355" s="28" t="s">
        <v>155</v>
      </c>
      <c r="F355" s="8" t="s">
        <v>156</v>
      </c>
      <c r="G355" s="9" t="s">
        <v>703</v>
      </c>
      <c r="H355" s="10">
        <v>147</v>
      </c>
      <c r="I355" s="9" t="s">
        <v>163</v>
      </c>
      <c r="J355" s="10">
        <v>147</v>
      </c>
      <c r="K355" s="10">
        <v>146</v>
      </c>
      <c r="L355" s="10">
        <v>95</v>
      </c>
      <c r="M355" s="10">
        <v>121</v>
      </c>
      <c r="N355" s="10">
        <v>118</v>
      </c>
      <c r="O355" s="10">
        <v>85</v>
      </c>
      <c r="P355" s="10">
        <v>101</v>
      </c>
      <c r="Q355" s="10">
        <v>13.6</v>
      </c>
      <c r="R355" s="10">
        <v>1280</v>
      </c>
      <c r="S355" s="10">
        <v>1.0900000000000001</v>
      </c>
      <c r="T355" s="10">
        <v>1391</v>
      </c>
      <c r="U355" s="10">
        <v>173</v>
      </c>
      <c r="V355" s="10">
        <v>73</v>
      </c>
      <c r="W355" s="10">
        <v>52</v>
      </c>
      <c r="X355" s="10">
        <v>303</v>
      </c>
      <c r="Y355" s="10">
        <v>14</v>
      </c>
      <c r="Z355" s="10">
        <v>206</v>
      </c>
      <c r="AA355" s="10">
        <v>0.27300000000000002</v>
      </c>
      <c r="AB355" s="10">
        <v>158</v>
      </c>
      <c r="AC355" s="10">
        <v>94</v>
      </c>
      <c r="AD355" s="10">
        <v>144</v>
      </c>
      <c r="AE355" s="10">
        <v>2</v>
      </c>
      <c r="AF355" s="10">
        <v>8.3000000000000007</v>
      </c>
      <c r="AG355" s="9" t="s">
        <v>231</v>
      </c>
      <c r="AH355" s="9" t="s">
        <v>188</v>
      </c>
      <c r="AI355" s="9" t="s">
        <v>185</v>
      </c>
      <c r="AJ355" s="10"/>
      <c r="AK355" s="30"/>
    </row>
    <row r="356" spans="5:37">
      <c r="E356" s="28" t="s">
        <v>155</v>
      </c>
      <c r="F356" s="8" t="s">
        <v>156</v>
      </c>
      <c r="G356" s="9" t="s">
        <v>703</v>
      </c>
      <c r="H356" s="10">
        <v>153</v>
      </c>
      <c r="I356" s="9" t="s">
        <v>163</v>
      </c>
      <c r="J356" s="10">
        <v>153</v>
      </c>
      <c r="K356" s="10">
        <v>152.1</v>
      </c>
      <c r="L356" s="10">
        <v>104</v>
      </c>
      <c r="M356" s="10">
        <v>127</v>
      </c>
      <c r="N356" s="10">
        <v>120</v>
      </c>
      <c r="O356" s="10">
        <v>86</v>
      </c>
      <c r="P356" s="10">
        <v>103</v>
      </c>
      <c r="Q356" s="10">
        <v>14.2</v>
      </c>
      <c r="R356" s="10">
        <v>1338</v>
      </c>
      <c r="S356" s="10">
        <v>1.1000000000000001</v>
      </c>
      <c r="T356" s="10">
        <v>1467</v>
      </c>
      <c r="U356" s="10">
        <v>184</v>
      </c>
      <c r="V356" s="10">
        <v>76</v>
      </c>
      <c r="W356" s="10">
        <v>47</v>
      </c>
      <c r="X356" s="10">
        <v>284</v>
      </c>
      <c r="Y356" s="10">
        <v>13</v>
      </c>
      <c r="Z356" s="10">
        <v>200</v>
      </c>
      <c r="AA356" s="10">
        <v>0.27200000000000002</v>
      </c>
      <c r="AB356" s="10">
        <v>153</v>
      </c>
      <c r="AC356" s="10">
        <v>102</v>
      </c>
      <c r="AD356" s="10">
        <v>131</v>
      </c>
      <c r="AE356" s="10">
        <v>3</v>
      </c>
      <c r="AF356" s="10">
        <v>8.3000000000000007</v>
      </c>
      <c r="AG356" s="9" t="s">
        <v>188</v>
      </c>
      <c r="AH356" s="9" t="s">
        <v>185</v>
      </c>
      <c r="AI356" s="10"/>
      <c r="AJ356" s="10"/>
      <c r="AK356" s="30"/>
    </row>
    <row r="357" spans="5:37">
      <c r="E357" s="28" t="s">
        <v>155</v>
      </c>
      <c r="F357" s="8" t="s">
        <v>156</v>
      </c>
      <c r="G357" s="9" t="s">
        <v>703</v>
      </c>
      <c r="H357" s="10">
        <v>161</v>
      </c>
      <c r="I357" s="9" t="s">
        <v>163</v>
      </c>
      <c r="J357" s="10">
        <v>161</v>
      </c>
      <c r="K357" s="10">
        <v>160.19999999999999</v>
      </c>
      <c r="L357" s="10">
        <v>113</v>
      </c>
      <c r="M357" s="10">
        <v>133</v>
      </c>
      <c r="N357" s="10">
        <v>121</v>
      </c>
      <c r="O357" s="10">
        <v>86</v>
      </c>
      <c r="P357" s="10">
        <v>104</v>
      </c>
      <c r="Q357" s="10">
        <v>16</v>
      </c>
      <c r="R357" s="10">
        <v>1403</v>
      </c>
      <c r="S357" s="10">
        <v>1.1100000000000001</v>
      </c>
      <c r="T357" s="10">
        <v>1551</v>
      </c>
      <c r="U357" s="10">
        <v>191</v>
      </c>
      <c r="V357" s="10">
        <v>82</v>
      </c>
      <c r="W357" s="10">
        <v>48</v>
      </c>
      <c r="X357" s="10">
        <v>277</v>
      </c>
      <c r="Y357" s="10">
        <v>12</v>
      </c>
      <c r="Z357" s="10">
        <v>191</v>
      </c>
      <c r="AA357" s="10">
        <v>0.255</v>
      </c>
      <c r="AB357" s="10">
        <v>166</v>
      </c>
      <c r="AC357" s="10">
        <v>104</v>
      </c>
      <c r="AD357" s="10">
        <v>111</v>
      </c>
      <c r="AE357" s="10">
        <v>4</v>
      </c>
      <c r="AF357" s="10">
        <v>8.6999999999999993</v>
      </c>
      <c r="AG357" s="9" t="s">
        <v>188</v>
      </c>
      <c r="AH357" s="9" t="s">
        <v>185</v>
      </c>
      <c r="AI357" s="10"/>
      <c r="AJ357" s="10"/>
      <c r="AK357" s="30"/>
    </row>
    <row r="358" spans="5:37">
      <c r="E358" s="28" t="s">
        <v>155</v>
      </c>
      <c r="F358" s="8" t="s">
        <v>156</v>
      </c>
      <c r="G358" s="9" t="s">
        <v>647</v>
      </c>
      <c r="H358" s="10">
        <v>153</v>
      </c>
      <c r="I358" s="9" t="s">
        <v>163</v>
      </c>
      <c r="J358" s="10">
        <v>153</v>
      </c>
      <c r="K358" s="10">
        <v>152</v>
      </c>
      <c r="L358" s="10">
        <v>102</v>
      </c>
      <c r="M358" s="10">
        <v>126</v>
      </c>
      <c r="N358" s="10">
        <v>120</v>
      </c>
      <c r="O358" s="10">
        <v>86</v>
      </c>
      <c r="P358" s="10">
        <v>103</v>
      </c>
      <c r="Q358" s="10">
        <v>14.1</v>
      </c>
      <c r="R358" s="10">
        <v>1332</v>
      </c>
      <c r="S358" s="10">
        <v>1.1000000000000001</v>
      </c>
      <c r="T358" s="10">
        <v>1465</v>
      </c>
      <c r="U358" s="10">
        <v>178</v>
      </c>
      <c r="V358" s="10">
        <v>75</v>
      </c>
      <c r="W358" s="10">
        <v>49</v>
      </c>
      <c r="X358" s="10">
        <v>292</v>
      </c>
      <c r="Y358" s="10">
        <v>13</v>
      </c>
      <c r="Z358" s="10">
        <v>205</v>
      </c>
      <c r="AA358" s="10">
        <v>0.27100000000000002</v>
      </c>
      <c r="AB358" s="10">
        <v>157</v>
      </c>
      <c r="AC358" s="10">
        <v>103</v>
      </c>
      <c r="AD358" s="10">
        <v>135</v>
      </c>
      <c r="AE358" s="10">
        <v>2</v>
      </c>
      <c r="AF358" s="10">
        <v>8.5</v>
      </c>
      <c r="AG358" s="9" t="s">
        <v>188</v>
      </c>
      <c r="AH358" s="9" t="s">
        <v>185</v>
      </c>
      <c r="AI358" s="10"/>
      <c r="AJ358" s="10"/>
      <c r="AK358" s="30"/>
    </row>
    <row r="359" spans="5:37">
      <c r="E359" s="28" t="s">
        <v>155</v>
      </c>
      <c r="F359" s="8" t="s">
        <v>156</v>
      </c>
      <c r="G359" s="9" t="s">
        <v>647</v>
      </c>
      <c r="H359" s="10">
        <v>161</v>
      </c>
      <c r="I359" s="9" t="s">
        <v>163</v>
      </c>
      <c r="J359" s="10">
        <v>161</v>
      </c>
      <c r="K359" s="10">
        <v>160.30000000000001</v>
      </c>
      <c r="L359" s="10">
        <v>112</v>
      </c>
      <c r="M359" s="10">
        <v>133</v>
      </c>
      <c r="N359" s="10">
        <v>122</v>
      </c>
      <c r="O359" s="10">
        <v>86</v>
      </c>
      <c r="P359" s="10">
        <v>104</v>
      </c>
      <c r="Q359" s="10">
        <v>15.6</v>
      </c>
      <c r="R359" s="10">
        <v>1424</v>
      </c>
      <c r="S359" s="10">
        <v>1.0900000000000001</v>
      </c>
      <c r="T359" s="10">
        <v>1557</v>
      </c>
      <c r="U359" s="10">
        <v>202</v>
      </c>
      <c r="V359" s="10">
        <v>85</v>
      </c>
      <c r="W359" s="10">
        <v>45</v>
      </c>
      <c r="X359" s="10">
        <v>280</v>
      </c>
      <c r="Y359" s="10">
        <v>13</v>
      </c>
      <c r="Z359" s="10">
        <v>208</v>
      </c>
      <c r="AA359" s="10">
        <v>0.28799999999999998</v>
      </c>
      <c r="AB359" s="10">
        <v>166</v>
      </c>
      <c r="AC359" s="10">
        <v>108</v>
      </c>
      <c r="AD359" s="10">
        <v>114</v>
      </c>
      <c r="AE359" s="10">
        <v>2</v>
      </c>
      <c r="AF359" s="10">
        <v>8.9</v>
      </c>
      <c r="AG359" s="9" t="s">
        <v>188</v>
      </c>
      <c r="AH359" s="9" t="s">
        <v>185</v>
      </c>
      <c r="AI359" s="10"/>
      <c r="AJ359" s="10"/>
      <c r="AK359" s="30"/>
    </row>
    <row r="360" spans="5:37">
      <c r="E360" s="28" t="s">
        <v>155</v>
      </c>
      <c r="F360" s="8" t="s">
        <v>156</v>
      </c>
      <c r="G360" s="9" t="s">
        <v>247</v>
      </c>
      <c r="H360" s="10">
        <v>156</v>
      </c>
      <c r="I360" s="9" t="s">
        <v>163</v>
      </c>
      <c r="J360" s="10">
        <v>156</v>
      </c>
      <c r="K360" s="10">
        <v>155.19999999999999</v>
      </c>
      <c r="L360" s="10">
        <v>105</v>
      </c>
      <c r="M360" s="10">
        <v>126</v>
      </c>
      <c r="N360" s="10">
        <v>124</v>
      </c>
      <c r="O360" s="10">
        <v>92</v>
      </c>
      <c r="P360" s="10">
        <v>108</v>
      </c>
      <c r="Q360" s="10">
        <v>15</v>
      </c>
      <c r="R360" s="10">
        <v>1407</v>
      </c>
      <c r="S360" s="10">
        <v>1.1299999999999999</v>
      </c>
      <c r="T360" s="10">
        <v>1583</v>
      </c>
      <c r="U360" s="10">
        <v>171</v>
      </c>
      <c r="V360" s="10">
        <v>86</v>
      </c>
      <c r="W360" s="10">
        <v>51</v>
      </c>
      <c r="X360" s="10">
        <v>304</v>
      </c>
      <c r="Y360" s="10">
        <v>15</v>
      </c>
      <c r="Z360" s="10">
        <v>200</v>
      </c>
      <c r="AA360" s="10">
        <v>0.28599999999999998</v>
      </c>
      <c r="AB360" s="10">
        <v>167</v>
      </c>
      <c r="AC360" s="10">
        <v>125</v>
      </c>
      <c r="AD360" s="10">
        <v>137</v>
      </c>
      <c r="AE360" s="10">
        <v>3</v>
      </c>
      <c r="AF360" s="10">
        <v>8.6</v>
      </c>
      <c r="AG360" s="9" t="s">
        <v>188</v>
      </c>
      <c r="AH360" s="9" t="s">
        <v>185</v>
      </c>
      <c r="AI360" s="10"/>
      <c r="AJ360" s="10"/>
      <c r="AK360" s="30"/>
    </row>
    <row r="361" spans="5:37">
      <c r="E361" s="28" t="s">
        <v>155</v>
      </c>
      <c r="F361" s="8" t="s">
        <v>156</v>
      </c>
      <c r="G361" s="9" t="s">
        <v>247</v>
      </c>
      <c r="H361" s="10">
        <v>164</v>
      </c>
      <c r="I361" s="9" t="s">
        <v>163</v>
      </c>
      <c r="J361" s="10">
        <v>164</v>
      </c>
      <c r="K361" s="10">
        <v>163.4</v>
      </c>
      <c r="L361" s="10">
        <v>113</v>
      </c>
      <c r="M361" s="10">
        <v>134</v>
      </c>
      <c r="N361" s="10">
        <v>125</v>
      </c>
      <c r="O361" s="10">
        <v>92</v>
      </c>
      <c r="P361" s="10">
        <v>109</v>
      </c>
      <c r="Q361" s="10">
        <v>16.600000000000001</v>
      </c>
      <c r="R361" s="10">
        <v>1489</v>
      </c>
      <c r="S361" s="10">
        <v>1.1200000000000001</v>
      </c>
      <c r="T361" s="10">
        <v>1669</v>
      </c>
      <c r="U361" s="10">
        <v>218</v>
      </c>
      <c r="V361" s="10">
        <v>87</v>
      </c>
      <c r="W361" s="10">
        <v>53</v>
      </c>
      <c r="X361" s="10">
        <v>303</v>
      </c>
      <c r="Y361" s="10">
        <v>13</v>
      </c>
      <c r="Z361" s="10">
        <v>197</v>
      </c>
      <c r="AA361" s="10">
        <v>0.255</v>
      </c>
      <c r="AB361" s="10">
        <v>163</v>
      </c>
      <c r="AC361" s="10">
        <v>135</v>
      </c>
      <c r="AD361" s="10">
        <v>140</v>
      </c>
      <c r="AE361" s="10">
        <v>4</v>
      </c>
      <c r="AF361" s="10">
        <v>9.5</v>
      </c>
      <c r="AG361" s="9" t="s">
        <v>188</v>
      </c>
      <c r="AH361" s="9" t="s">
        <v>185</v>
      </c>
      <c r="AI361" s="10"/>
      <c r="AJ361" s="10"/>
      <c r="AK361" s="30"/>
    </row>
    <row r="362" spans="5:37">
      <c r="E362" s="28" t="s">
        <v>155</v>
      </c>
      <c r="F362" s="8" t="s">
        <v>156</v>
      </c>
      <c r="G362" s="9" t="s">
        <v>247</v>
      </c>
      <c r="H362" s="10">
        <v>172</v>
      </c>
      <c r="I362" s="9" t="s">
        <v>163</v>
      </c>
      <c r="J362" s="10">
        <v>172</v>
      </c>
      <c r="K362" s="10">
        <v>171.4</v>
      </c>
      <c r="L362" s="10">
        <v>122</v>
      </c>
      <c r="M362" s="10">
        <v>140</v>
      </c>
      <c r="N362" s="10">
        <v>127</v>
      </c>
      <c r="O362" s="10">
        <v>92</v>
      </c>
      <c r="P362" s="10">
        <v>110</v>
      </c>
      <c r="Q362" s="10">
        <v>17.899999999999999</v>
      </c>
      <c r="R362" s="10">
        <v>1642</v>
      </c>
      <c r="S362" s="10">
        <v>1.07</v>
      </c>
      <c r="T362" s="10">
        <v>1761</v>
      </c>
      <c r="U362" s="10">
        <v>219</v>
      </c>
      <c r="V362" s="10">
        <v>107</v>
      </c>
      <c r="W362" s="10">
        <v>52</v>
      </c>
      <c r="X362" s="10">
        <v>297</v>
      </c>
      <c r="Y362" s="10">
        <v>14</v>
      </c>
      <c r="Z362" s="10">
        <v>194</v>
      </c>
      <c r="AA362" s="10">
        <v>0.26900000000000002</v>
      </c>
      <c r="AB362" s="10">
        <v>183</v>
      </c>
      <c r="AC362" s="10">
        <v>133</v>
      </c>
      <c r="AD362" s="10">
        <v>114</v>
      </c>
      <c r="AE362" s="10">
        <v>5</v>
      </c>
      <c r="AF362" s="10">
        <v>8.8000000000000007</v>
      </c>
      <c r="AG362" s="9" t="s">
        <v>188</v>
      </c>
      <c r="AH362" s="9" t="s">
        <v>185</v>
      </c>
      <c r="AI362" s="10"/>
      <c r="AJ362" s="10"/>
      <c r="AK362" s="30"/>
    </row>
    <row r="363" spans="5:37">
      <c r="E363" s="28" t="s">
        <v>155</v>
      </c>
      <c r="F363" s="8" t="s">
        <v>156</v>
      </c>
      <c r="G363" s="9" t="s">
        <v>718</v>
      </c>
      <c r="H363" s="10">
        <v>172</v>
      </c>
      <c r="I363" s="9" t="s">
        <v>158</v>
      </c>
      <c r="J363" s="10">
        <v>172</v>
      </c>
      <c r="K363" s="10">
        <v>171.4</v>
      </c>
      <c r="L363" s="10">
        <v>122</v>
      </c>
      <c r="M363" s="10">
        <v>136</v>
      </c>
      <c r="N363" s="10">
        <v>127</v>
      </c>
      <c r="O363" s="10">
        <v>98</v>
      </c>
      <c r="P363" s="10">
        <v>117</v>
      </c>
      <c r="Q363" s="10">
        <v>17.8</v>
      </c>
      <c r="R363" s="10">
        <v>1629</v>
      </c>
      <c r="S363" s="10">
        <v>1.1200000000000001</v>
      </c>
      <c r="T363" s="10">
        <v>1830</v>
      </c>
      <c r="U363" s="10">
        <v>203</v>
      </c>
      <c r="V363" s="10">
        <v>150</v>
      </c>
      <c r="W363" s="10">
        <v>56</v>
      </c>
      <c r="X363" s="10">
        <v>294</v>
      </c>
      <c r="Y363" s="10">
        <v>17</v>
      </c>
      <c r="Z363" s="10">
        <v>203</v>
      </c>
      <c r="AA363" s="10">
        <v>0.31</v>
      </c>
      <c r="AB363" s="10">
        <v>189</v>
      </c>
      <c r="AC363" s="10">
        <v>164</v>
      </c>
      <c r="AD363" s="10">
        <v>105</v>
      </c>
      <c r="AE363" s="10">
        <v>7</v>
      </c>
      <c r="AF363" s="10">
        <v>9.8000000000000007</v>
      </c>
      <c r="AG363" s="9" t="s">
        <v>188</v>
      </c>
      <c r="AH363" s="9" t="s">
        <v>185</v>
      </c>
      <c r="AI363" s="10"/>
      <c r="AJ363" s="10"/>
      <c r="AK363" s="30"/>
    </row>
    <row r="364" spans="5:37">
      <c r="E364" s="28" t="s">
        <v>155</v>
      </c>
      <c r="F364" s="8" t="s">
        <v>156</v>
      </c>
      <c r="G364" s="9" t="s">
        <v>718</v>
      </c>
      <c r="H364" s="10">
        <v>180</v>
      </c>
      <c r="I364" s="9" t="s">
        <v>158</v>
      </c>
      <c r="J364" s="10">
        <v>180</v>
      </c>
      <c r="K364" s="10">
        <v>178</v>
      </c>
      <c r="L364" s="10">
        <v>129</v>
      </c>
      <c r="M364" s="10">
        <v>144</v>
      </c>
      <c r="N364" s="10">
        <v>128</v>
      </c>
      <c r="O364" s="10">
        <v>99</v>
      </c>
      <c r="P364" s="10">
        <v>118</v>
      </c>
      <c r="Q364" s="10">
        <v>19.8</v>
      </c>
      <c r="R364" s="10">
        <v>1744</v>
      </c>
      <c r="S364" s="10">
        <v>1.1000000000000001</v>
      </c>
      <c r="T364" s="10">
        <v>1914</v>
      </c>
      <c r="U364" s="10">
        <v>227</v>
      </c>
      <c r="V364" s="10">
        <v>166</v>
      </c>
      <c r="W364" s="10">
        <v>60</v>
      </c>
      <c r="X364" s="10">
        <v>293</v>
      </c>
      <c r="Y364" s="10">
        <v>18</v>
      </c>
      <c r="Z364" s="10">
        <v>199</v>
      </c>
      <c r="AA364" s="10">
        <v>0.29899999999999999</v>
      </c>
      <c r="AB364" s="10">
        <v>180</v>
      </c>
      <c r="AC364" s="10">
        <v>163</v>
      </c>
      <c r="AD364" s="10">
        <v>114</v>
      </c>
      <c r="AE364" s="10">
        <v>7</v>
      </c>
      <c r="AF364" s="10">
        <v>9.1999999999999993</v>
      </c>
      <c r="AG364" s="9" t="s">
        <v>188</v>
      </c>
      <c r="AH364" s="9" t="s">
        <v>185</v>
      </c>
      <c r="AI364" s="10"/>
      <c r="AJ364" s="10"/>
      <c r="AK364" s="30"/>
    </row>
    <row r="365" spans="5:37">
      <c r="E365" s="28" t="s">
        <v>155</v>
      </c>
      <c r="F365" s="8" t="s">
        <v>156</v>
      </c>
      <c r="G365" s="9" t="s">
        <v>718</v>
      </c>
      <c r="H365" s="10">
        <v>188</v>
      </c>
      <c r="I365" s="9" t="s">
        <v>158</v>
      </c>
      <c r="J365" s="10">
        <v>188</v>
      </c>
      <c r="K365" s="10">
        <v>187</v>
      </c>
      <c r="L365" s="10">
        <v>132</v>
      </c>
      <c r="M365" s="10">
        <v>149</v>
      </c>
      <c r="N365" s="10">
        <v>129</v>
      </c>
      <c r="O365" s="10">
        <v>100</v>
      </c>
      <c r="P365" s="10">
        <v>120</v>
      </c>
      <c r="Q365" s="10">
        <v>21.5</v>
      </c>
      <c r="R365" s="10">
        <v>1810</v>
      </c>
      <c r="S365" s="10">
        <v>1.1200000000000001</v>
      </c>
      <c r="T365" s="10">
        <v>2023</v>
      </c>
      <c r="U365" s="10">
        <v>265</v>
      </c>
      <c r="V365" s="10">
        <v>173</v>
      </c>
      <c r="W365" s="10">
        <v>69</v>
      </c>
      <c r="X365" s="10">
        <v>329</v>
      </c>
      <c r="Y365" s="10">
        <v>19</v>
      </c>
      <c r="Z365" s="10">
        <v>224</v>
      </c>
      <c r="AA365" s="10">
        <v>0.28100000000000003</v>
      </c>
      <c r="AB365" s="10">
        <v>212</v>
      </c>
      <c r="AC365" s="10">
        <v>164</v>
      </c>
      <c r="AD365" s="10">
        <v>117</v>
      </c>
      <c r="AE365" s="10">
        <v>6</v>
      </c>
      <c r="AF365" s="10">
        <v>10.8</v>
      </c>
      <c r="AG365" s="9" t="s">
        <v>188</v>
      </c>
      <c r="AH365" s="9" t="s">
        <v>185</v>
      </c>
      <c r="AI365" s="10"/>
      <c r="AJ365" s="10"/>
      <c r="AK365" s="30"/>
    </row>
    <row r="366" spans="5:37">
      <c r="E366" s="28" t="s">
        <v>155</v>
      </c>
      <c r="F366" s="8" t="s">
        <v>156</v>
      </c>
      <c r="G366" s="9" t="s">
        <v>689</v>
      </c>
      <c r="H366" s="10">
        <v>157</v>
      </c>
      <c r="I366" s="9" t="s">
        <v>158</v>
      </c>
      <c r="J366" s="10">
        <v>157</v>
      </c>
      <c r="K366" s="10">
        <v>155.80000000000001</v>
      </c>
      <c r="L366" s="10">
        <v>127</v>
      </c>
      <c r="M366" s="10">
        <v>136</v>
      </c>
      <c r="N366" s="10">
        <v>119</v>
      </c>
      <c r="O366" s="10">
        <v>82</v>
      </c>
      <c r="P366" s="10">
        <v>103</v>
      </c>
      <c r="Q366" s="10">
        <v>14.3</v>
      </c>
      <c r="R366" s="10">
        <v>1696</v>
      </c>
      <c r="S366" s="10">
        <v>0.86</v>
      </c>
      <c r="T366" s="10">
        <v>1459</v>
      </c>
      <c r="U366" s="10">
        <v>152</v>
      </c>
      <c r="V366" s="10">
        <v>63</v>
      </c>
      <c r="W366" s="10">
        <v>42</v>
      </c>
      <c r="X366" s="10">
        <v>177</v>
      </c>
      <c r="Y366" s="10">
        <v>21</v>
      </c>
      <c r="Z366" s="10">
        <v>113</v>
      </c>
      <c r="AA366" s="10">
        <v>0.504</v>
      </c>
      <c r="AB366" s="10">
        <v>113</v>
      </c>
      <c r="AC366" s="10">
        <v>88</v>
      </c>
      <c r="AD366" s="10">
        <v>63</v>
      </c>
      <c r="AE366" s="10">
        <v>11</v>
      </c>
      <c r="AF366" s="10">
        <v>8.1999999999999993</v>
      </c>
      <c r="AG366" s="9" t="s">
        <v>188</v>
      </c>
      <c r="AH366" s="10"/>
      <c r="AI366" s="10"/>
      <c r="AJ366" s="10"/>
      <c r="AK366" s="30"/>
    </row>
    <row r="367" spans="5:37">
      <c r="E367" s="28" t="s">
        <v>155</v>
      </c>
      <c r="F367" s="8" t="s">
        <v>156</v>
      </c>
      <c r="G367" s="9" t="s">
        <v>689</v>
      </c>
      <c r="H367" s="10">
        <v>165</v>
      </c>
      <c r="I367" s="9" t="s">
        <v>158</v>
      </c>
      <c r="J367" s="10">
        <v>165</v>
      </c>
      <c r="K367" s="10">
        <v>163.80000000000001</v>
      </c>
      <c r="L367" s="10">
        <v>132</v>
      </c>
      <c r="M367" s="10">
        <v>142</v>
      </c>
      <c r="N367" s="10">
        <v>121</v>
      </c>
      <c r="O367" s="10">
        <v>81</v>
      </c>
      <c r="P367" s="10">
        <v>105</v>
      </c>
      <c r="Q367" s="10">
        <v>14.9</v>
      </c>
      <c r="R367" s="10">
        <v>1825</v>
      </c>
      <c r="S367" s="10">
        <v>0.84</v>
      </c>
      <c r="T367" s="10">
        <v>1542</v>
      </c>
      <c r="U367" s="10">
        <v>165</v>
      </c>
      <c r="V367" s="10">
        <v>71</v>
      </c>
      <c r="W367" s="10">
        <v>44</v>
      </c>
      <c r="X367" s="10">
        <v>196</v>
      </c>
      <c r="Y367" s="10">
        <v>23</v>
      </c>
      <c r="Z367" s="10">
        <v>118</v>
      </c>
      <c r="AA367" s="10">
        <v>0.51700000000000002</v>
      </c>
      <c r="AB367" s="10">
        <v>124</v>
      </c>
      <c r="AC367" s="10">
        <v>90</v>
      </c>
      <c r="AD367" s="10">
        <v>73</v>
      </c>
      <c r="AE367" s="10">
        <v>8</v>
      </c>
      <c r="AF367" s="10">
        <v>8.1</v>
      </c>
      <c r="AG367" s="9" t="s">
        <v>188</v>
      </c>
      <c r="AH367" s="10"/>
      <c r="AI367" s="10"/>
      <c r="AJ367" s="10"/>
      <c r="AK367" s="30"/>
    </row>
    <row r="368" spans="5:37">
      <c r="E368" s="28" t="s">
        <v>155</v>
      </c>
      <c r="F368" s="8" t="s">
        <v>156</v>
      </c>
      <c r="G368" s="9" t="s">
        <v>689</v>
      </c>
      <c r="H368" s="10">
        <v>173</v>
      </c>
      <c r="I368" s="9" t="s">
        <v>158</v>
      </c>
      <c r="J368" s="10">
        <v>173</v>
      </c>
      <c r="K368" s="10">
        <v>171.9</v>
      </c>
      <c r="L368" s="10">
        <v>141</v>
      </c>
      <c r="M368" s="10">
        <v>151</v>
      </c>
      <c r="N368" s="10">
        <v>122</v>
      </c>
      <c r="O368" s="10">
        <v>81</v>
      </c>
      <c r="P368" s="10">
        <v>106</v>
      </c>
      <c r="Q368" s="10">
        <v>15.7</v>
      </c>
      <c r="R368" s="10">
        <v>1980</v>
      </c>
      <c r="S368" s="10">
        <v>0.82</v>
      </c>
      <c r="T368" s="10">
        <v>1626</v>
      </c>
      <c r="U368" s="10">
        <v>199</v>
      </c>
      <c r="V368" s="10">
        <v>87</v>
      </c>
      <c r="W368" s="10">
        <v>41</v>
      </c>
      <c r="X368" s="10">
        <v>191</v>
      </c>
      <c r="Y368" s="10">
        <v>22</v>
      </c>
      <c r="Z368" s="10">
        <v>117</v>
      </c>
      <c r="AA368" s="10">
        <v>0.54100000000000004</v>
      </c>
      <c r="AB368" s="10">
        <v>116</v>
      </c>
      <c r="AC368" s="10">
        <v>92</v>
      </c>
      <c r="AD368" s="10">
        <v>75</v>
      </c>
      <c r="AE368" s="10">
        <v>11</v>
      </c>
      <c r="AF368" s="10">
        <v>8.3000000000000007</v>
      </c>
      <c r="AG368" s="9" t="s">
        <v>188</v>
      </c>
      <c r="AH368" s="10"/>
      <c r="AI368" s="10"/>
      <c r="AJ368" s="10"/>
      <c r="AK368" s="30"/>
    </row>
    <row r="369" spans="5:37">
      <c r="E369" s="28" t="s">
        <v>155</v>
      </c>
      <c r="F369" s="8" t="s">
        <v>156</v>
      </c>
      <c r="G369" s="9" t="s">
        <v>689</v>
      </c>
      <c r="H369" s="10">
        <v>181</v>
      </c>
      <c r="I369" s="9" t="s">
        <v>158</v>
      </c>
      <c r="J369" s="10">
        <v>181</v>
      </c>
      <c r="K369" s="10">
        <v>179.6</v>
      </c>
      <c r="L369" s="10">
        <v>151</v>
      </c>
      <c r="M369" s="10">
        <v>159</v>
      </c>
      <c r="N369" s="10">
        <v>123</v>
      </c>
      <c r="O369" s="10">
        <v>81</v>
      </c>
      <c r="P369" s="10">
        <v>107</v>
      </c>
      <c r="Q369" s="10">
        <v>16.899999999999999</v>
      </c>
      <c r="R369" s="10">
        <v>2079</v>
      </c>
      <c r="S369" s="10">
        <v>0.82</v>
      </c>
      <c r="T369" s="10">
        <v>1704</v>
      </c>
      <c r="U369" s="10">
        <v>213</v>
      </c>
      <c r="V369" s="10">
        <v>102</v>
      </c>
      <c r="W369" s="10">
        <v>42</v>
      </c>
      <c r="X369" s="10">
        <v>178</v>
      </c>
      <c r="Y369" s="10">
        <v>21</v>
      </c>
      <c r="Z369" s="10">
        <v>111</v>
      </c>
      <c r="AA369" s="10">
        <v>0.495</v>
      </c>
      <c r="AB369" s="10">
        <v>112</v>
      </c>
      <c r="AC369" s="10">
        <v>91</v>
      </c>
      <c r="AD369" s="10">
        <v>66</v>
      </c>
      <c r="AE369" s="10">
        <v>13</v>
      </c>
      <c r="AF369" s="10">
        <v>8.5</v>
      </c>
      <c r="AG369" s="9" t="s">
        <v>188</v>
      </c>
      <c r="AH369" s="10"/>
      <c r="AI369" s="10"/>
      <c r="AJ369" s="10"/>
      <c r="AK369" s="30"/>
    </row>
    <row r="370" spans="5:37">
      <c r="E370" s="28" t="s">
        <v>155</v>
      </c>
      <c r="F370" s="8" t="s">
        <v>156</v>
      </c>
      <c r="G370" s="9" t="s">
        <v>267</v>
      </c>
      <c r="H370" s="10">
        <v>161</v>
      </c>
      <c r="I370" s="9" t="s">
        <v>158</v>
      </c>
      <c r="J370" s="10">
        <v>161</v>
      </c>
      <c r="K370" s="10">
        <v>160.1</v>
      </c>
      <c r="L370" s="10">
        <v>114</v>
      </c>
      <c r="M370" s="10">
        <v>135</v>
      </c>
      <c r="N370" s="10">
        <v>121</v>
      </c>
      <c r="O370" s="10">
        <v>86</v>
      </c>
      <c r="P370" s="10">
        <v>104</v>
      </c>
      <c r="Q370" s="10">
        <v>15.6</v>
      </c>
      <c r="R370" s="10">
        <v>1400</v>
      </c>
      <c r="S370" s="10">
        <v>1.1100000000000001</v>
      </c>
      <c r="T370" s="10">
        <v>1548</v>
      </c>
      <c r="U370" s="10">
        <v>180</v>
      </c>
      <c r="V370" s="10">
        <v>86</v>
      </c>
      <c r="W370" s="10">
        <v>48</v>
      </c>
      <c r="X370" s="10">
        <v>282</v>
      </c>
      <c r="Y370" s="10">
        <v>11</v>
      </c>
      <c r="Z370" s="10">
        <v>183</v>
      </c>
      <c r="AA370" s="10">
        <v>0.22500000000000001</v>
      </c>
      <c r="AB370" s="10">
        <v>153</v>
      </c>
      <c r="AC370" s="10">
        <v>103</v>
      </c>
      <c r="AD370" s="10">
        <v>128</v>
      </c>
      <c r="AE370" s="10">
        <v>5</v>
      </c>
      <c r="AF370" s="10">
        <v>8.8000000000000007</v>
      </c>
      <c r="AG370" s="9" t="s">
        <v>188</v>
      </c>
      <c r="AH370" s="9" t="s">
        <v>185</v>
      </c>
      <c r="AI370" s="10"/>
      <c r="AJ370" s="10"/>
      <c r="AK370" s="30"/>
    </row>
    <row r="371" spans="5:37">
      <c r="E371" s="28" t="s">
        <v>155</v>
      </c>
      <c r="F371" s="8" t="s">
        <v>156</v>
      </c>
      <c r="G371" s="9" t="s">
        <v>267</v>
      </c>
      <c r="H371" s="10">
        <v>169</v>
      </c>
      <c r="I371" s="9" t="s">
        <v>158</v>
      </c>
      <c r="J371" s="10">
        <v>169</v>
      </c>
      <c r="K371" s="10">
        <v>168.3</v>
      </c>
      <c r="L371" s="10">
        <v>117</v>
      </c>
      <c r="M371" s="10">
        <v>142</v>
      </c>
      <c r="N371" s="10">
        <v>122</v>
      </c>
      <c r="O371" s="10">
        <v>86</v>
      </c>
      <c r="P371" s="10">
        <v>106</v>
      </c>
      <c r="Q371" s="10">
        <v>17</v>
      </c>
      <c r="R371" s="10">
        <v>1462</v>
      </c>
      <c r="S371" s="10">
        <v>1.1200000000000001</v>
      </c>
      <c r="T371" s="10">
        <v>1634</v>
      </c>
      <c r="U371" s="10">
        <v>188</v>
      </c>
      <c r="V371" s="10">
        <v>87</v>
      </c>
      <c r="W371" s="10">
        <v>50</v>
      </c>
      <c r="X371" s="10">
        <v>299</v>
      </c>
      <c r="Y371" s="10">
        <v>15</v>
      </c>
      <c r="Z371" s="10">
        <v>215</v>
      </c>
      <c r="AA371" s="10">
        <v>0.29499999999999998</v>
      </c>
      <c r="AB371" s="10">
        <v>166</v>
      </c>
      <c r="AC371" s="10">
        <v>100</v>
      </c>
      <c r="AD371" s="10">
        <v>133</v>
      </c>
      <c r="AE371" s="10">
        <v>2</v>
      </c>
      <c r="AF371" s="10">
        <v>8.9</v>
      </c>
      <c r="AG371" s="9" t="s">
        <v>188</v>
      </c>
      <c r="AH371" s="9" t="s">
        <v>185</v>
      </c>
      <c r="AI371" s="10"/>
      <c r="AJ371" s="10"/>
      <c r="AK371" s="30"/>
    </row>
    <row r="372" spans="5:37">
      <c r="E372" s="28" t="s">
        <v>155</v>
      </c>
      <c r="F372" s="8" t="s">
        <v>156</v>
      </c>
      <c r="G372" s="9" t="s">
        <v>267</v>
      </c>
      <c r="H372" s="10">
        <v>176</v>
      </c>
      <c r="I372" s="9" t="s">
        <v>158</v>
      </c>
      <c r="J372" s="10">
        <v>176</v>
      </c>
      <c r="K372" s="10">
        <v>175.3</v>
      </c>
      <c r="L372" s="10">
        <v>131</v>
      </c>
      <c r="M372" s="10">
        <v>147</v>
      </c>
      <c r="N372" s="10">
        <v>124</v>
      </c>
      <c r="O372" s="10">
        <v>87</v>
      </c>
      <c r="P372" s="10">
        <v>107</v>
      </c>
      <c r="Q372" s="10">
        <v>18.3</v>
      </c>
      <c r="R372" s="10">
        <v>1547</v>
      </c>
      <c r="S372" s="10">
        <v>1.1100000000000001</v>
      </c>
      <c r="T372" s="10">
        <v>1719</v>
      </c>
      <c r="U372" s="10">
        <v>217</v>
      </c>
      <c r="V372" s="10">
        <v>99</v>
      </c>
      <c r="W372" s="10">
        <v>45</v>
      </c>
      <c r="X372" s="10">
        <v>268</v>
      </c>
      <c r="Y372" s="10">
        <v>11</v>
      </c>
      <c r="Z372" s="10">
        <v>173</v>
      </c>
      <c r="AA372" s="10">
        <v>0.24</v>
      </c>
      <c r="AB372" s="10">
        <v>170</v>
      </c>
      <c r="AC372" s="10">
        <v>109</v>
      </c>
      <c r="AD372" s="10">
        <v>98</v>
      </c>
      <c r="AE372" s="10">
        <v>6</v>
      </c>
      <c r="AF372" s="10">
        <v>8.8000000000000007</v>
      </c>
      <c r="AG372" s="9" t="s">
        <v>188</v>
      </c>
      <c r="AH372" s="9" t="s">
        <v>185</v>
      </c>
      <c r="AI372" s="10"/>
      <c r="AJ372" s="10"/>
      <c r="AK372" s="30"/>
    </row>
    <row r="373" spans="5:37">
      <c r="E373" s="28" t="s">
        <v>155</v>
      </c>
      <c r="F373" s="8" t="s">
        <v>156</v>
      </c>
      <c r="G373" s="9" t="s">
        <v>411</v>
      </c>
      <c r="H373" s="10">
        <v>169</v>
      </c>
      <c r="I373" s="9" t="s">
        <v>158</v>
      </c>
      <c r="J373" s="10">
        <v>169</v>
      </c>
      <c r="K373" s="10">
        <v>168</v>
      </c>
      <c r="L373" s="10">
        <v>120</v>
      </c>
      <c r="M373" s="10">
        <v>144</v>
      </c>
      <c r="N373" s="10">
        <v>122</v>
      </c>
      <c r="O373" s="10">
        <v>86</v>
      </c>
      <c r="P373" s="10">
        <v>106</v>
      </c>
      <c r="Q373" s="10">
        <v>17.100000000000001</v>
      </c>
      <c r="R373" s="10">
        <v>1591</v>
      </c>
      <c r="S373" s="10">
        <v>1.03</v>
      </c>
      <c r="T373" s="10">
        <v>1637</v>
      </c>
      <c r="U373" s="10">
        <v>189</v>
      </c>
      <c r="V373" s="10">
        <v>122</v>
      </c>
      <c r="W373" s="10">
        <v>53</v>
      </c>
      <c r="X373" s="10">
        <v>288</v>
      </c>
      <c r="Y373" s="10">
        <v>13</v>
      </c>
      <c r="Z373" s="10">
        <v>192</v>
      </c>
      <c r="AA373" s="10">
        <v>0.251</v>
      </c>
      <c r="AB373" s="10">
        <v>148</v>
      </c>
      <c r="AC373" s="10">
        <v>94</v>
      </c>
      <c r="AD373" s="10">
        <v>139</v>
      </c>
      <c r="AE373" s="10">
        <v>6</v>
      </c>
      <c r="AF373" s="10">
        <v>8.8000000000000007</v>
      </c>
      <c r="AG373" s="9" t="s">
        <v>188</v>
      </c>
      <c r="AH373" s="10"/>
      <c r="AI373" s="10"/>
      <c r="AJ373" s="10"/>
      <c r="AK373" s="30"/>
    </row>
    <row r="374" spans="5:37">
      <c r="E374" s="28" t="s">
        <v>155</v>
      </c>
      <c r="F374" s="8" t="s">
        <v>156</v>
      </c>
      <c r="G374" s="9" t="s">
        <v>411</v>
      </c>
      <c r="H374" s="10">
        <v>176</v>
      </c>
      <c r="I374" s="9" t="s">
        <v>158</v>
      </c>
      <c r="J374" s="10">
        <v>176</v>
      </c>
      <c r="K374" s="10">
        <v>175.1</v>
      </c>
      <c r="L374" s="10">
        <v>132</v>
      </c>
      <c r="M374" s="10">
        <v>149</v>
      </c>
      <c r="N374" s="10">
        <v>124</v>
      </c>
      <c r="O374" s="10">
        <v>87</v>
      </c>
      <c r="P374" s="10">
        <v>107</v>
      </c>
      <c r="Q374" s="10">
        <v>18.3</v>
      </c>
      <c r="R374" s="10">
        <v>1694</v>
      </c>
      <c r="S374" s="10">
        <v>1.02</v>
      </c>
      <c r="T374" s="10">
        <v>1721</v>
      </c>
      <c r="U374" s="10">
        <v>215</v>
      </c>
      <c r="V374" s="10">
        <v>143</v>
      </c>
      <c r="W374" s="10">
        <v>46</v>
      </c>
      <c r="X374" s="10">
        <v>253</v>
      </c>
      <c r="Y374" s="10">
        <v>11</v>
      </c>
      <c r="Z374" s="10">
        <v>176</v>
      </c>
      <c r="AA374" s="10">
        <v>0.23799999999999999</v>
      </c>
      <c r="AB374" s="10">
        <v>155</v>
      </c>
      <c r="AC374" s="10">
        <v>111</v>
      </c>
      <c r="AD374" s="10">
        <v>98</v>
      </c>
      <c r="AE374" s="10">
        <v>9</v>
      </c>
      <c r="AF374" s="10">
        <v>8.6</v>
      </c>
      <c r="AG374" s="9" t="s">
        <v>188</v>
      </c>
      <c r="AH374" s="10"/>
      <c r="AI374" s="10"/>
      <c r="AJ374" s="10"/>
      <c r="AK374" s="30"/>
    </row>
    <row r="375" spans="5:37">
      <c r="E375" s="28" t="s">
        <v>155</v>
      </c>
      <c r="F375" s="8" t="s">
        <v>156</v>
      </c>
      <c r="G375" s="9" t="s">
        <v>411</v>
      </c>
      <c r="H375" s="10">
        <v>184</v>
      </c>
      <c r="I375" s="9" t="s">
        <v>158</v>
      </c>
      <c r="J375" s="10">
        <v>184</v>
      </c>
      <c r="K375" s="10">
        <v>182.9</v>
      </c>
      <c r="L375" s="10">
        <v>135</v>
      </c>
      <c r="M375" s="10">
        <v>156</v>
      </c>
      <c r="N375" s="10">
        <v>125</v>
      </c>
      <c r="O375" s="10">
        <v>87</v>
      </c>
      <c r="P375" s="10">
        <v>109</v>
      </c>
      <c r="Q375" s="10">
        <v>19.7</v>
      </c>
      <c r="R375" s="10">
        <v>1853</v>
      </c>
      <c r="S375" s="10">
        <v>0.98</v>
      </c>
      <c r="T375" s="10">
        <v>1808</v>
      </c>
      <c r="U375" s="10">
        <v>261</v>
      </c>
      <c r="V375" s="10">
        <v>167</v>
      </c>
      <c r="W375" s="10">
        <v>52</v>
      </c>
      <c r="X375" s="10">
        <v>291</v>
      </c>
      <c r="Y375" s="10">
        <v>13</v>
      </c>
      <c r="Z375" s="10">
        <v>189</v>
      </c>
      <c r="AA375" s="10">
        <v>0.25700000000000001</v>
      </c>
      <c r="AB375" s="10">
        <v>161</v>
      </c>
      <c r="AC375" s="10">
        <v>107</v>
      </c>
      <c r="AD375" s="10">
        <v>130</v>
      </c>
      <c r="AE375" s="10">
        <v>7</v>
      </c>
      <c r="AF375" s="10">
        <v>8.5</v>
      </c>
      <c r="AG375" s="9" t="s">
        <v>188</v>
      </c>
      <c r="AH375" s="10"/>
      <c r="AI375" s="10"/>
      <c r="AJ375" s="10"/>
      <c r="AK375" s="30"/>
    </row>
    <row r="376" spans="5:37">
      <c r="E376" s="28" t="s">
        <v>155</v>
      </c>
      <c r="F376" s="8" t="s">
        <v>156</v>
      </c>
      <c r="G376" s="9" t="s">
        <v>611</v>
      </c>
      <c r="H376" s="10">
        <v>164</v>
      </c>
      <c r="I376" s="9" t="s">
        <v>158</v>
      </c>
      <c r="J376" s="10">
        <v>164</v>
      </c>
      <c r="K376" s="10">
        <v>163.1</v>
      </c>
      <c r="L376" s="10">
        <v>116</v>
      </c>
      <c r="M376" s="10">
        <v>132</v>
      </c>
      <c r="N376" s="10">
        <v>125</v>
      </c>
      <c r="O376" s="10">
        <v>92</v>
      </c>
      <c r="P376" s="10">
        <v>109</v>
      </c>
      <c r="Q376" s="10">
        <v>16.399999999999999</v>
      </c>
      <c r="R376" s="10">
        <v>1566</v>
      </c>
      <c r="S376" s="10">
        <v>1.06</v>
      </c>
      <c r="T376" s="10">
        <v>1663</v>
      </c>
      <c r="U376" s="10">
        <v>169</v>
      </c>
      <c r="V376" s="10">
        <v>131</v>
      </c>
      <c r="W376" s="10">
        <v>53</v>
      </c>
      <c r="X376" s="10">
        <v>288</v>
      </c>
      <c r="Y376" s="10">
        <v>13</v>
      </c>
      <c r="Z376" s="10">
        <v>183</v>
      </c>
      <c r="AA376" s="10">
        <v>0.253</v>
      </c>
      <c r="AB376" s="10">
        <v>173</v>
      </c>
      <c r="AC376" s="10">
        <v>140</v>
      </c>
      <c r="AD376" s="10">
        <v>115</v>
      </c>
      <c r="AE376" s="10">
        <v>6</v>
      </c>
      <c r="AF376" s="10">
        <v>9.3000000000000007</v>
      </c>
      <c r="AG376" s="9" t="s">
        <v>188</v>
      </c>
      <c r="AH376" s="9" t="s">
        <v>185</v>
      </c>
      <c r="AI376" s="10"/>
      <c r="AJ376" s="10"/>
      <c r="AK376" s="30"/>
    </row>
    <row r="377" spans="5:37">
      <c r="E377" s="28" t="s">
        <v>155</v>
      </c>
      <c r="F377" s="8" t="s">
        <v>156</v>
      </c>
      <c r="G377" s="9" t="s">
        <v>611</v>
      </c>
      <c r="H377" s="10">
        <v>172</v>
      </c>
      <c r="I377" s="9" t="s">
        <v>158</v>
      </c>
      <c r="J377" s="10">
        <v>172</v>
      </c>
      <c r="K377" s="10">
        <v>171.3</v>
      </c>
      <c r="L377" s="10">
        <v>122</v>
      </c>
      <c r="M377" s="10">
        <v>141</v>
      </c>
      <c r="N377" s="10">
        <v>126</v>
      </c>
      <c r="O377" s="10">
        <v>93</v>
      </c>
      <c r="P377" s="10">
        <v>111</v>
      </c>
      <c r="Q377" s="10">
        <v>17.7</v>
      </c>
      <c r="R377" s="10">
        <v>1699</v>
      </c>
      <c r="S377" s="10">
        <v>1.04</v>
      </c>
      <c r="T377" s="10">
        <v>1768</v>
      </c>
      <c r="U377" s="10">
        <v>203</v>
      </c>
      <c r="V377" s="10">
        <v>144</v>
      </c>
      <c r="W377" s="10">
        <v>55</v>
      </c>
      <c r="X377" s="10">
        <v>298</v>
      </c>
      <c r="Y377" s="10">
        <v>15</v>
      </c>
      <c r="Z377" s="10">
        <v>197</v>
      </c>
      <c r="AA377" s="10">
        <v>0.26700000000000002</v>
      </c>
      <c r="AB377" s="10">
        <v>171</v>
      </c>
      <c r="AC377" s="10">
        <v>136</v>
      </c>
      <c r="AD377" s="10">
        <v>127</v>
      </c>
      <c r="AE377" s="10">
        <v>7</v>
      </c>
      <c r="AF377" s="10">
        <v>8.9</v>
      </c>
      <c r="AG377" s="9" t="s">
        <v>188</v>
      </c>
      <c r="AH377" s="10"/>
      <c r="AI377" s="10"/>
      <c r="AJ377" s="10"/>
      <c r="AK377" s="30"/>
    </row>
    <row r="378" spans="5:37">
      <c r="E378" s="28" t="s">
        <v>155</v>
      </c>
      <c r="F378" s="8" t="s">
        <v>156</v>
      </c>
      <c r="G378" s="9" t="s">
        <v>611</v>
      </c>
      <c r="H378" s="10">
        <v>180</v>
      </c>
      <c r="I378" s="9" t="s">
        <v>158</v>
      </c>
      <c r="J378" s="10">
        <v>180</v>
      </c>
      <c r="K378" s="10">
        <v>179.1</v>
      </c>
      <c r="L378" s="10">
        <v>128</v>
      </c>
      <c r="M378" s="10">
        <v>148</v>
      </c>
      <c r="N378" s="10">
        <v>128</v>
      </c>
      <c r="O378" s="10">
        <v>93</v>
      </c>
      <c r="P378" s="10">
        <v>112</v>
      </c>
      <c r="Q378" s="10">
        <v>19.2</v>
      </c>
      <c r="R378" s="10">
        <v>1781</v>
      </c>
      <c r="S378" s="10">
        <v>1.05</v>
      </c>
      <c r="T378" s="10">
        <v>1863</v>
      </c>
      <c r="U378" s="10">
        <v>240</v>
      </c>
      <c r="V378" s="10">
        <v>169</v>
      </c>
      <c r="W378" s="10">
        <v>55</v>
      </c>
      <c r="X378" s="10">
        <v>314</v>
      </c>
      <c r="Y378" s="10">
        <v>14</v>
      </c>
      <c r="Z378" s="10">
        <v>197</v>
      </c>
      <c r="AA378" s="10">
        <v>0.254</v>
      </c>
      <c r="AB378" s="10">
        <v>169</v>
      </c>
      <c r="AC378" s="10">
        <v>142</v>
      </c>
      <c r="AD378" s="10">
        <v>145</v>
      </c>
      <c r="AE378" s="10">
        <v>5</v>
      </c>
      <c r="AF378" s="10">
        <v>9</v>
      </c>
      <c r="AG378" s="9" t="s">
        <v>188</v>
      </c>
      <c r="AH378" s="10"/>
      <c r="AI378" s="10"/>
      <c r="AJ378" s="10"/>
      <c r="AK378" s="30"/>
    </row>
    <row r="379" spans="5:37">
      <c r="E379" s="28" t="s">
        <v>155</v>
      </c>
      <c r="F379" s="8" t="s">
        <v>156</v>
      </c>
      <c r="G379" s="9" t="s">
        <v>611</v>
      </c>
      <c r="H379" s="10">
        <v>188</v>
      </c>
      <c r="I379" s="9" t="s">
        <v>158</v>
      </c>
      <c r="J379" s="10">
        <v>188</v>
      </c>
      <c r="K379" s="10">
        <v>187.1</v>
      </c>
      <c r="L379" s="10">
        <v>139</v>
      </c>
      <c r="M379" s="10">
        <v>154</v>
      </c>
      <c r="N379" s="10">
        <v>129</v>
      </c>
      <c r="O379" s="10">
        <v>93</v>
      </c>
      <c r="P379" s="10">
        <v>114</v>
      </c>
      <c r="Q379" s="10">
        <v>20.3</v>
      </c>
      <c r="R379" s="10">
        <v>1964</v>
      </c>
      <c r="S379" s="10">
        <v>0.99</v>
      </c>
      <c r="T379" s="10">
        <v>1952</v>
      </c>
      <c r="U379" s="10">
        <v>279</v>
      </c>
      <c r="V379" s="10">
        <v>178</v>
      </c>
      <c r="W379" s="10">
        <v>49</v>
      </c>
      <c r="X379" s="10">
        <v>284</v>
      </c>
      <c r="Y379" s="10">
        <v>15</v>
      </c>
      <c r="Z379" s="10">
        <v>195</v>
      </c>
      <c r="AA379" s="10">
        <v>0.30299999999999999</v>
      </c>
      <c r="AB379" s="10">
        <v>176</v>
      </c>
      <c r="AC379" s="10">
        <v>150</v>
      </c>
      <c r="AD379" s="10">
        <v>108</v>
      </c>
      <c r="AE379" s="10">
        <v>10</v>
      </c>
      <c r="AF379" s="10">
        <v>9</v>
      </c>
      <c r="AG379" s="9" t="s">
        <v>188</v>
      </c>
      <c r="AH379" s="10"/>
      <c r="AI379" s="10"/>
      <c r="AJ379" s="10"/>
      <c r="AK379" s="30"/>
    </row>
    <row r="380" spans="5:37">
      <c r="E380" s="28" t="s">
        <v>155</v>
      </c>
      <c r="F380" s="8" t="s">
        <v>156</v>
      </c>
      <c r="G380" s="9" t="s">
        <v>532</v>
      </c>
      <c r="H380" s="10">
        <v>149</v>
      </c>
      <c r="I380" s="9" t="s">
        <v>158</v>
      </c>
      <c r="J380" s="10">
        <v>149</v>
      </c>
      <c r="K380" s="10">
        <v>146</v>
      </c>
      <c r="L380" s="10">
        <v>125</v>
      </c>
      <c r="M380" s="10">
        <v>133</v>
      </c>
      <c r="N380" s="10">
        <v>108</v>
      </c>
      <c r="O380" s="10">
        <v>69</v>
      </c>
      <c r="P380" s="10">
        <v>96</v>
      </c>
      <c r="Q380" s="10">
        <v>13</v>
      </c>
      <c r="R380" s="10">
        <v>1474</v>
      </c>
      <c r="S380" s="10">
        <v>0.81</v>
      </c>
      <c r="T380" s="10">
        <v>1195</v>
      </c>
      <c r="U380" s="10">
        <v>153</v>
      </c>
      <c r="V380" s="10">
        <v>69</v>
      </c>
      <c r="W380" s="10">
        <v>40</v>
      </c>
      <c r="X380" s="10">
        <v>151</v>
      </c>
      <c r="Y380" s="10">
        <v>5</v>
      </c>
      <c r="Z380" s="10">
        <v>58</v>
      </c>
      <c r="AA380" s="10">
        <v>0.122</v>
      </c>
      <c r="AB380" s="10">
        <v>83</v>
      </c>
      <c r="AC380" s="10">
        <v>52</v>
      </c>
      <c r="AD380" s="10">
        <v>68</v>
      </c>
      <c r="AE380" s="10">
        <v>6</v>
      </c>
      <c r="AF380" s="10">
        <v>12.4</v>
      </c>
      <c r="AG380" s="9" t="s">
        <v>349</v>
      </c>
      <c r="AH380" s="10"/>
      <c r="AI380" s="10"/>
      <c r="AJ380" s="10"/>
      <c r="AK380" s="30"/>
    </row>
    <row r="381" spans="5:37">
      <c r="E381" s="28" t="s">
        <v>155</v>
      </c>
      <c r="F381" s="8" t="s">
        <v>156</v>
      </c>
      <c r="G381" s="9" t="s">
        <v>532</v>
      </c>
      <c r="H381" s="10">
        <v>156</v>
      </c>
      <c r="I381" s="9" t="s">
        <v>158</v>
      </c>
      <c r="J381" s="10">
        <v>156</v>
      </c>
      <c r="K381" s="10">
        <v>153.4</v>
      </c>
      <c r="L381" s="10">
        <v>133</v>
      </c>
      <c r="M381" s="10">
        <v>140</v>
      </c>
      <c r="N381" s="10">
        <v>109</v>
      </c>
      <c r="O381" s="10">
        <v>70</v>
      </c>
      <c r="P381" s="10">
        <v>97</v>
      </c>
      <c r="Q381" s="10">
        <v>13.8</v>
      </c>
      <c r="R381" s="10">
        <v>1573</v>
      </c>
      <c r="S381" s="10">
        <v>0.8</v>
      </c>
      <c r="T381" s="10">
        <v>1265</v>
      </c>
      <c r="U381" s="10">
        <v>175</v>
      </c>
      <c r="V381" s="10">
        <v>83</v>
      </c>
      <c r="W381" s="10">
        <v>39</v>
      </c>
      <c r="X381" s="10">
        <v>146</v>
      </c>
      <c r="Y381" s="10">
        <v>5</v>
      </c>
      <c r="Z381" s="10">
        <v>62</v>
      </c>
      <c r="AA381" s="10">
        <v>0.13100000000000001</v>
      </c>
      <c r="AB381" s="10">
        <v>84</v>
      </c>
      <c r="AC381" s="10">
        <v>53</v>
      </c>
      <c r="AD381" s="10">
        <v>62</v>
      </c>
      <c r="AE381" s="10">
        <v>6</v>
      </c>
      <c r="AF381" s="10">
        <v>12.4</v>
      </c>
      <c r="AG381" s="9" t="s">
        <v>349</v>
      </c>
      <c r="AH381" s="10"/>
      <c r="AI381" s="10"/>
      <c r="AJ381" s="10"/>
      <c r="AK381" s="30"/>
    </row>
    <row r="382" spans="5:37">
      <c r="E382" s="28" t="s">
        <v>155</v>
      </c>
      <c r="F382" s="8" t="s">
        <v>156</v>
      </c>
      <c r="G382" s="9" t="s">
        <v>532</v>
      </c>
      <c r="H382" s="10">
        <v>163</v>
      </c>
      <c r="I382" s="9" t="s">
        <v>158</v>
      </c>
      <c r="J382" s="10">
        <v>163</v>
      </c>
      <c r="K382" s="10">
        <v>160.4</v>
      </c>
      <c r="L382" s="10">
        <v>139</v>
      </c>
      <c r="M382" s="10">
        <v>146</v>
      </c>
      <c r="N382" s="10">
        <v>111</v>
      </c>
      <c r="O382" s="10">
        <v>69</v>
      </c>
      <c r="P382" s="10">
        <v>99</v>
      </c>
      <c r="Q382" s="10">
        <v>14.5</v>
      </c>
      <c r="R382" s="10">
        <v>1682</v>
      </c>
      <c r="S382" s="10">
        <v>0.79</v>
      </c>
      <c r="T382" s="10">
        <v>1331</v>
      </c>
      <c r="U382" s="10">
        <v>198</v>
      </c>
      <c r="V382" s="10">
        <v>98</v>
      </c>
      <c r="W382" s="10">
        <v>40</v>
      </c>
      <c r="X382" s="10">
        <v>147</v>
      </c>
      <c r="Y382" s="10">
        <v>5</v>
      </c>
      <c r="Z382" s="10">
        <v>64</v>
      </c>
      <c r="AA382" s="10">
        <v>0.13800000000000001</v>
      </c>
      <c r="AB382" s="10">
        <v>83</v>
      </c>
      <c r="AC382" s="10">
        <v>57</v>
      </c>
      <c r="AD382" s="10">
        <v>65</v>
      </c>
      <c r="AE382" s="10">
        <v>6</v>
      </c>
      <c r="AF382" s="10">
        <v>12.5</v>
      </c>
      <c r="AG382" s="9" t="s">
        <v>349</v>
      </c>
      <c r="AH382" s="10"/>
      <c r="AI382" s="10"/>
      <c r="AJ382" s="10"/>
      <c r="AK382" s="30"/>
    </row>
    <row r="383" spans="5:37">
      <c r="E383" s="28" t="s">
        <v>155</v>
      </c>
      <c r="F383" s="8" t="s">
        <v>156</v>
      </c>
      <c r="G383" s="9" t="s">
        <v>762</v>
      </c>
      <c r="H383" s="10">
        <v>160</v>
      </c>
      <c r="I383" s="9" t="s">
        <v>158</v>
      </c>
      <c r="J383" s="10">
        <v>160</v>
      </c>
      <c r="K383" s="10">
        <v>159.6</v>
      </c>
      <c r="L383" s="10">
        <v>140</v>
      </c>
      <c r="M383" s="10">
        <v>146</v>
      </c>
      <c r="N383" s="10">
        <v>115</v>
      </c>
      <c r="O383" s="10">
        <v>67</v>
      </c>
      <c r="P383" s="10">
        <v>101</v>
      </c>
      <c r="Q383" s="10">
        <v>12.5</v>
      </c>
      <c r="R383" s="10">
        <v>1985</v>
      </c>
      <c r="S383" s="10">
        <v>0.66</v>
      </c>
      <c r="T383" s="10">
        <v>1316</v>
      </c>
      <c r="U383" s="10">
        <v>196</v>
      </c>
      <c r="V383" s="10">
        <v>97</v>
      </c>
      <c r="W383" s="10">
        <v>32</v>
      </c>
      <c r="X383" s="10">
        <v>141</v>
      </c>
      <c r="Y383" s="10">
        <v>4</v>
      </c>
      <c r="Z383" s="10">
        <v>51</v>
      </c>
      <c r="AA383" s="10">
        <v>0.13</v>
      </c>
      <c r="AB383" s="10">
        <v>80</v>
      </c>
      <c r="AC383" s="10">
        <v>51</v>
      </c>
      <c r="AD383" s="10">
        <v>60</v>
      </c>
      <c r="AE383" s="10">
        <v>11</v>
      </c>
      <c r="AF383" s="10">
        <v>13.6</v>
      </c>
      <c r="AG383" s="9" t="s">
        <v>349</v>
      </c>
      <c r="AH383" s="10"/>
      <c r="AI383" s="10"/>
      <c r="AJ383" s="10"/>
      <c r="AK383" s="30"/>
    </row>
    <row r="384" spans="5:37">
      <c r="E384" s="28" t="s">
        <v>155</v>
      </c>
      <c r="F384" s="8" t="s">
        <v>156</v>
      </c>
      <c r="G384" s="9" t="s">
        <v>762</v>
      </c>
      <c r="H384" s="10">
        <v>165</v>
      </c>
      <c r="I384" s="9" t="s">
        <v>158</v>
      </c>
      <c r="J384" s="10">
        <v>165</v>
      </c>
      <c r="K384" s="10">
        <v>164.7</v>
      </c>
      <c r="L384" s="10">
        <v>145</v>
      </c>
      <c r="M384" s="10">
        <v>151</v>
      </c>
      <c r="N384" s="10">
        <v>116</v>
      </c>
      <c r="O384" s="10">
        <v>67</v>
      </c>
      <c r="P384" s="10">
        <v>102</v>
      </c>
      <c r="Q384" s="10">
        <v>13.1</v>
      </c>
      <c r="R384" s="10">
        <v>2072</v>
      </c>
      <c r="S384" s="10">
        <v>0.66</v>
      </c>
      <c r="T384" s="10">
        <v>1364</v>
      </c>
      <c r="U384" s="10">
        <v>220</v>
      </c>
      <c r="V384" s="10">
        <v>101</v>
      </c>
      <c r="W384" s="10">
        <v>33</v>
      </c>
      <c r="X384" s="10">
        <v>143</v>
      </c>
      <c r="Y384" s="10">
        <v>4</v>
      </c>
      <c r="Z384" s="10">
        <v>49</v>
      </c>
      <c r="AA384" s="10">
        <v>0.13100000000000001</v>
      </c>
      <c r="AB384" s="10">
        <v>82</v>
      </c>
      <c r="AC384" s="10">
        <v>56</v>
      </c>
      <c r="AD384" s="10">
        <v>61</v>
      </c>
      <c r="AE384" s="10">
        <v>13</v>
      </c>
      <c r="AF384" s="10">
        <v>13.8</v>
      </c>
      <c r="AG384" s="9" t="s">
        <v>349</v>
      </c>
      <c r="AH384" s="10"/>
      <c r="AI384" s="10"/>
      <c r="AJ384" s="10"/>
      <c r="AK384" s="30"/>
    </row>
    <row r="385" spans="5:37">
      <c r="E385" s="28" t="s">
        <v>155</v>
      </c>
      <c r="F385" s="8" t="s">
        <v>156</v>
      </c>
      <c r="G385" s="9" t="s">
        <v>762</v>
      </c>
      <c r="H385" s="10">
        <v>170</v>
      </c>
      <c r="I385" s="9" t="s">
        <v>158</v>
      </c>
      <c r="J385" s="10">
        <v>170</v>
      </c>
      <c r="K385" s="10">
        <v>169.5</v>
      </c>
      <c r="L385" s="10">
        <v>151</v>
      </c>
      <c r="M385" s="10">
        <v>156</v>
      </c>
      <c r="N385" s="10">
        <v>118</v>
      </c>
      <c r="O385" s="10">
        <v>67</v>
      </c>
      <c r="P385" s="10">
        <v>104</v>
      </c>
      <c r="Q385" s="10">
        <v>13.4</v>
      </c>
      <c r="R385" s="10">
        <v>2107</v>
      </c>
      <c r="S385" s="10">
        <v>0.67</v>
      </c>
      <c r="T385" s="10">
        <v>1418</v>
      </c>
      <c r="U385" s="10">
        <v>244</v>
      </c>
      <c r="V385" s="10">
        <v>118</v>
      </c>
      <c r="W385" s="10">
        <v>33</v>
      </c>
      <c r="X385" s="10">
        <v>139</v>
      </c>
      <c r="Y385" s="10">
        <v>4</v>
      </c>
      <c r="Z385" s="10">
        <v>49</v>
      </c>
      <c r="AA385" s="10">
        <v>0.122</v>
      </c>
      <c r="AB385" s="10">
        <v>83</v>
      </c>
      <c r="AC385" s="10">
        <v>54</v>
      </c>
      <c r="AD385" s="10">
        <v>56</v>
      </c>
      <c r="AE385" s="10">
        <v>12</v>
      </c>
      <c r="AF385" s="10">
        <v>13.4</v>
      </c>
      <c r="AG385" s="9" t="s">
        <v>349</v>
      </c>
      <c r="AH385" s="10"/>
      <c r="AI385" s="10"/>
      <c r="AJ385" s="10"/>
      <c r="AK385" s="30"/>
    </row>
    <row r="386" spans="5:37">
      <c r="E386" s="28" t="s">
        <v>155</v>
      </c>
      <c r="F386" s="8" t="s">
        <v>156</v>
      </c>
      <c r="G386" s="9" t="s">
        <v>800</v>
      </c>
      <c r="H386" s="10">
        <v>159</v>
      </c>
      <c r="I386" s="9" t="s">
        <v>158</v>
      </c>
      <c r="J386" s="10">
        <v>159</v>
      </c>
      <c r="K386" s="10">
        <v>158</v>
      </c>
      <c r="L386" s="10">
        <v>137</v>
      </c>
      <c r="M386" s="10">
        <v>145</v>
      </c>
      <c r="N386" s="10">
        <v>117</v>
      </c>
      <c r="O386" s="10">
        <v>69</v>
      </c>
      <c r="P386" s="10">
        <v>103</v>
      </c>
      <c r="Q386" s="10">
        <v>12.1</v>
      </c>
      <c r="R386" s="10">
        <v>2069</v>
      </c>
      <c r="S386" s="10">
        <v>0.64</v>
      </c>
      <c r="T386" s="10">
        <v>1334</v>
      </c>
      <c r="U386" s="10">
        <v>206</v>
      </c>
      <c r="V386" s="10">
        <v>102</v>
      </c>
      <c r="W386" s="10">
        <v>33</v>
      </c>
      <c r="X386" s="10">
        <v>153</v>
      </c>
      <c r="Y386" s="10">
        <v>6</v>
      </c>
      <c r="Z386" s="10">
        <v>53</v>
      </c>
      <c r="AA386" s="10">
        <v>0.17100000000000001</v>
      </c>
      <c r="AB386" s="10">
        <v>81</v>
      </c>
      <c r="AC386" s="10">
        <v>54</v>
      </c>
      <c r="AD386" s="10">
        <v>72</v>
      </c>
      <c r="AE386" s="10">
        <v>10</v>
      </c>
      <c r="AF386" s="10">
        <v>13.7</v>
      </c>
      <c r="AG386" s="9" t="s">
        <v>349</v>
      </c>
      <c r="AH386" s="10"/>
      <c r="AI386" s="10"/>
      <c r="AJ386" s="10"/>
      <c r="AK386" s="30"/>
    </row>
    <row r="387" spans="5:37">
      <c r="E387" s="28" t="s">
        <v>155</v>
      </c>
      <c r="F387" s="8" t="s">
        <v>156</v>
      </c>
      <c r="G387" s="9" t="s">
        <v>800</v>
      </c>
      <c r="H387" s="10">
        <v>165</v>
      </c>
      <c r="I387" s="9" t="s">
        <v>158</v>
      </c>
      <c r="J387" s="10">
        <v>165</v>
      </c>
      <c r="K387" s="10">
        <v>163.80000000000001</v>
      </c>
      <c r="L387" s="10">
        <v>143</v>
      </c>
      <c r="M387" s="10">
        <v>151</v>
      </c>
      <c r="N387" s="10">
        <v>117</v>
      </c>
      <c r="O387" s="10">
        <v>67</v>
      </c>
      <c r="P387" s="10">
        <v>103</v>
      </c>
      <c r="Q387" s="10">
        <v>12.8</v>
      </c>
      <c r="R387" s="10">
        <v>2148</v>
      </c>
      <c r="S387" s="10">
        <v>0.63</v>
      </c>
      <c r="T387" s="10">
        <v>1362</v>
      </c>
      <c r="U387" s="10">
        <v>213</v>
      </c>
      <c r="V387" s="10">
        <v>108</v>
      </c>
      <c r="W387" s="10">
        <v>34</v>
      </c>
      <c r="X387" s="10">
        <v>153</v>
      </c>
      <c r="Y387" s="10">
        <v>5</v>
      </c>
      <c r="Z387" s="10">
        <v>54</v>
      </c>
      <c r="AA387" s="10">
        <v>0.16</v>
      </c>
      <c r="AB387" s="10">
        <v>79</v>
      </c>
      <c r="AC387" s="10">
        <v>53</v>
      </c>
      <c r="AD387" s="10">
        <v>74</v>
      </c>
      <c r="AE387" s="10">
        <v>10</v>
      </c>
      <c r="AF387" s="10">
        <v>13.6</v>
      </c>
      <c r="AG387" s="9" t="s">
        <v>349</v>
      </c>
      <c r="AH387" s="10"/>
      <c r="AI387" s="10"/>
      <c r="AJ387" s="10"/>
      <c r="AK387" s="30"/>
    </row>
    <row r="388" spans="5:37">
      <c r="E388" s="28" t="s">
        <v>155</v>
      </c>
      <c r="F388" s="8" t="s">
        <v>156</v>
      </c>
      <c r="G388" s="9" t="s">
        <v>658</v>
      </c>
      <c r="H388" s="10">
        <v>154</v>
      </c>
      <c r="I388" s="9" t="s">
        <v>158</v>
      </c>
      <c r="J388" s="10">
        <v>154</v>
      </c>
      <c r="K388" s="10">
        <v>153.4</v>
      </c>
      <c r="L388" s="10">
        <v>133</v>
      </c>
      <c r="M388" s="10">
        <v>139</v>
      </c>
      <c r="N388" s="10">
        <v>117</v>
      </c>
      <c r="O388" s="10">
        <v>69</v>
      </c>
      <c r="P388" s="10">
        <v>100</v>
      </c>
      <c r="Q388" s="10">
        <v>11.8</v>
      </c>
      <c r="R388" s="10">
        <v>1659</v>
      </c>
      <c r="S388" s="10">
        <v>0.78</v>
      </c>
      <c r="T388" s="10">
        <v>1290</v>
      </c>
      <c r="U388" s="10">
        <v>165</v>
      </c>
      <c r="V388" s="10">
        <v>88</v>
      </c>
      <c r="W388" s="10">
        <v>36</v>
      </c>
      <c r="X388" s="10">
        <v>150</v>
      </c>
      <c r="Y388" s="10">
        <v>3</v>
      </c>
      <c r="Z388" s="10">
        <v>52</v>
      </c>
      <c r="AA388" s="10">
        <v>9.1999999999999998E-2</v>
      </c>
      <c r="AB388" s="10">
        <v>88</v>
      </c>
      <c r="AC388" s="10">
        <v>59</v>
      </c>
      <c r="AD388" s="10">
        <v>62</v>
      </c>
      <c r="AE388" s="10">
        <v>7</v>
      </c>
      <c r="AF388" s="10">
        <v>12.8</v>
      </c>
      <c r="AG388" s="9" t="s">
        <v>349</v>
      </c>
      <c r="AH388" s="10"/>
      <c r="AI388" s="10"/>
      <c r="AJ388" s="10"/>
      <c r="AK388" s="30"/>
    </row>
    <row r="389" spans="5:37">
      <c r="E389" s="28" t="s">
        <v>155</v>
      </c>
      <c r="F389" s="8" t="s">
        <v>156</v>
      </c>
      <c r="G389" s="9" t="s">
        <v>658</v>
      </c>
      <c r="H389" s="10">
        <v>168</v>
      </c>
      <c r="I389" s="9" t="s">
        <v>158</v>
      </c>
      <c r="J389" s="10">
        <v>168</v>
      </c>
      <c r="K389" s="10">
        <v>167.3</v>
      </c>
      <c r="L389" s="10">
        <v>149</v>
      </c>
      <c r="M389" s="10">
        <v>153</v>
      </c>
      <c r="N389" s="10">
        <v>119</v>
      </c>
      <c r="O389" s="10">
        <v>70</v>
      </c>
      <c r="P389" s="10">
        <v>102</v>
      </c>
      <c r="Q389" s="10">
        <v>14.1</v>
      </c>
      <c r="R389" s="10">
        <v>1854</v>
      </c>
      <c r="S389" s="10">
        <v>0.77</v>
      </c>
      <c r="T389" s="10">
        <v>1428</v>
      </c>
      <c r="U389" s="10">
        <v>211</v>
      </c>
      <c r="V389" s="10">
        <v>105</v>
      </c>
      <c r="W389" s="10">
        <v>34</v>
      </c>
      <c r="X389" s="10">
        <v>139</v>
      </c>
      <c r="Y389" s="10">
        <v>3</v>
      </c>
      <c r="Z389" s="10">
        <v>47</v>
      </c>
      <c r="AA389" s="10">
        <v>9.5000000000000001E-2</v>
      </c>
      <c r="AB389" s="10">
        <v>88</v>
      </c>
      <c r="AC389" s="10">
        <v>57</v>
      </c>
      <c r="AD389" s="10">
        <v>51</v>
      </c>
      <c r="AE389" s="10">
        <v>12</v>
      </c>
      <c r="AF389" s="10">
        <v>13.1</v>
      </c>
      <c r="AG389" s="9" t="s">
        <v>349</v>
      </c>
      <c r="AH389" s="10"/>
      <c r="AI389" s="10"/>
      <c r="AJ389" s="10"/>
      <c r="AK389" s="30"/>
    </row>
    <row r="390" spans="5:37">
      <c r="E390" s="28" t="s">
        <v>155</v>
      </c>
      <c r="F390" s="8" t="s">
        <v>156</v>
      </c>
      <c r="G390" s="9" t="s">
        <v>658</v>
      </c>
      <c r="H390" s="10">
        <v>175</v>
      </c>
      <c r="I390" s="9" t="s">
        <v>158</v>
      </c>
      <c r="J390" s="10">
        <v>175</v>
      </c>
      <c r="K390" s="10">
        <v>174.3</v>
      </c>
      <c r="L390" s="10">
        <v>157</v>
      </c>
      <c r="M390" s="10">
        <v>160</v>
      </c>
      <c r="N390" s="10">
        <v>120</v>
      </c>
      <c r="O390" s="10">
        <v>70</v>
      </c>
      <c r="P390" s="10">
        <v>103</v>
      </c>
      <c r="Q390" s="10">
        <v>15.3</v>
      </c>
      <c r="R390" s="10">
        <v>2053</v>
      </c>
      <c r="S390" s="10">
        <v>0.73</v>
      </c>
      <c r="T390" s="10">
        <v>1496</v>
      </c>
      <c r="U390" s="10">
        <v>218</v>
      </c>
      <c r="V390" s="10">
        <v>119</v>
      </c>
      <c r="W390" s="10">
        <v>30</v>
      </c>
      <c r="X390" s="10">
        <v>129</v>
      </c>
      <c r="Y390" s="10">
        <v>3</v>
      </c>
      <c r="Z390" s="10">
        <v>43</v>
      </c>
      <c r="AA390" s="10">
        <v>9.7000000000000003E-2</v>
      </c>
      <c r="AB390" s="10">
        <v>86</v>
      </c>
      <c r="AC390" s="10">
        <v>55</v>
      </c>
      <c r="AD390" s="10">
        <v>43</v>
      </c>
      <c r="AE390" s="10">
        <v>16</v>
      </c>
      <c r="AF390" s="10">
        <v>12.4</v>
      </c>
      <c r="AG390" s="9" t="s">
        <v>349</v>
      </c>
      <c r="AH390" s="10"/>
      <c r="AI390" s="10"/>
      <c r="AJ390" s="10"/>
      <c r="AK390" s="30"/>
    </row>
    <row r="391" spans="5:37">
      <c r="E391" s="28" t="s">
        <v>155</v>
      </c>
      <c r="F391" s="8" t="s">
        <v>156</v>
      </c>
      <c r="G391" s="9" t="s">
        <v>589</v>
      </c>
      <c r="H391" s="10">
        <v>160</v>
      </c>
      <c r="I391" s="9" t="s">
        <v>158</v>
      </c>
      <c r="J391" s="10">
        <v>160</v>
      </c>
      <c r="K391" s="10">
        <v>159.30000000000001</v>
      </c>
      <c r="L391" s="10">
        <v>140</v>
      </c>
      <c r="M391" s="10">
        <v>145</v>
      </c>
      <c r="N391" s="10">
        <v>123</v>
      </c>
      <c r="O391" s="10">
        <v>75</v>
      </c>
      <c r="P391" s="10">
        <v>106</v>
      </c>
      <c r="Q391" s="10">
        <v>13</v>
      </c>
      <c r="R391" s="10">
        <v>1663</v>
      </c>
      <c r="S391" s="10">
        <v>0.86</v>
      </c>
      <c r="T391" s="10">
        <v>1425</v>
      </c>
      <c r="U391" s="10">
        <v>168</v>
      </c>
      <c r="V391" s="10">
        <v>74</v>
      </c>
      <c r="W391" s="10">
        <v>38</v>
      </c>
      <c r="X391" s="10">
        <v>142</v>
      </c>
      <c r="Y391" s="10">
        <v>5</v>
      </c>
      <c r="Z391" s="10">
        <v>53</v>
      </c>
      <c r="AA391" s="10">
        <v>0.129</v>
      </c>
      <c r="AB391" s="10">
        <v>89</v>
      </c>
      <c r="AC391" s="10">
        <v>54</v>
      </c>
      <c r="AD391" s="10">
        <v>54</v>
      </c>
      <c r="AE391" s="10">
        <v>9</v>
      </c>
      <c r="AF391" s="10">
        <v>12.6</v>
      </c>
      <c r="AG391" s="9" t="s">
        <v>349</v>
      </c>
      <c r="AH391" s="10"/>
      <c r="AI391" s="10"/>
      <c r="AJ391" s="10"/>
      <c r="AK391" s="30"/>
    </row>
    <row r="392" spans="5:37">
      <c r="E392" s="28" t="s">
        <v>155</v>
      </c>
      <c r="F392" s="8" t="s">
        <v>156</v>
      </c>
      <c r="G392" s="9" t="s">
        <v>589</v>
      </c>
      <c r="H392" s="10">
        <v>168</v>
      </c>
      <c r="I392" s="9" t="s">
        <v>158</v>
      </c>
      <c r="J392" s="10">
        <v>168</v>
      </c>
      <c r="K392" s="10">
        <v>167.4</v>
      </c>
      <c r="L392" s="10">
        <v>148</v>
      </c>
      <c r="M392" s="10">
        <v>153</v>
      </c>
      <c r="N392" s="10">
        <v>125</v>
      </c>
      <c r="O392" s="10">
        <v>75</v>
      </c>
      <c r="P392" s="10">
        <v>109</v>
      </c>
      <c r="Q392" s="10">
        <v>13.7</v>
      </c>
      <c r="R392" s="10">
        <v>1748</v>
      </c>
      <c r="S392" s="10">
        <v>0.87</v>
      </c>
      <c r="T392" s="10">
        <v>1512</v>
      </c>
      <c r="U392" s="10">
        <v>192</v>
      </c>
      <c r="V392" s="10">
        <v>83</v>
      </c>
      <c r="W392" s="10">
        <v>38</v>
      </c>
      <c r="X392" s="10">
        <v>146</v>
      </c>
      <c r="Y392" s="10">
        <v>5</v>
      </c>
      <c r="Z392" s="10">
        <v>51</v>
      </c>
      <c r="AA392" s="10">
        <v>0.11799999999999999</v>
      </c>
      <c r="AB392" s="10">
        <v>90</v>
      </c>
      <c r="AC392" s="10">
        <v>53</v>
      </c>
      <c r="AD392" s="10">
        <v>56</v>
      </c>
      <c r="AE392" s="10">
        <v>7</v>
      </c>
      <c r="AF392" s="10">
        <v>12.9</v>
      </c>
      <c r="AG392" s="9" t="s">
        <v>349</v>
      </c>
      <c r="AH392" s="10"/>
      <c r="AI392" s="10"/>
      <c r="AJ392" s="10"/>
      <c r="AK392" s="30"/>
    </row>
    <row r="393" spans="5:37">
      <c r="E393" s="28" t="s">
        <v>155</v>
      </c>
      <c r="F393" s="8" t="s">
        <v>156</v>
      </c>
      <c r="G393" s="9" t="s">
        <v>885</v>
      </c>
      <c r="H393" s="10">
        <v>168</v>
      </c>
      <c r="I393" s="9" t="s">
        <v>158</v>
      </c>
      <c r="J393" s="10">
        <v>168</v>
      </c>
      <c r="K393" s="10">
        <v>167.4</v>
      </c>
      <c r="L393" s="10">
        <v>147</v>
      </c>
      <c r="M393" s="10">
        <v>153</v>
      </c>
      <c r="N393" s="10">
        <v>124</v>
      </c>
      <c r="O393" s="10">
        <v>74</v>
      </c>
      <c r="P393" s="10">
        <v>108</v>
      </c>
      <c r="Q393" s="10">
        <v>13.7</v>
      </c>
      <c r="R393" s="10">
        <v>2155</v>
      </c>
      <c r="S393" s="10">
        <v>0.7</v>
      </c>
      <c r="T393" s="10">
        <v>1505</v>
      </c>
      <c r="U393" s="10">
        <v>232</v>
      </c>
      <c r="V393" s="10">
        <v>139</v>
      </c>
      <c r="W393" s="10">
        <v>37</v>
      </c>
      <c r="X393" s="10">
        <v>142</v>
      </c>
      <c r="Y393" s="10">
        <v>5</v>
      </c>
      <c r="Z393" s="10">
        <v>62</v>
      </c>
      <c r="AA393" s="10">
        <v>0.14899999999999999</v>
      </c>
      <c r="AB393" s="10">
        <v>84</v>
      </c>
      <c r="AC393" s="10">
        <v>55</v>
      </c>
      <c r="AD393" s="10">
        <v>58</v>
      </c>
      <c r="AE393" s="10">
        <v>5</v>
      </c>
      <c r="AF393" s="10">
        <v>12.8</v>
      </c>
      <c r="AG393" s="9" t="s">
        <v>349</v>
      </c>
      <c r="AH393" s="10"/>
      <c r="AI393" s="10"/>
      <c r="AJ393" s="10"/>
      <c r="AK393" s="30"/>
    </row>
    <row r="394" spans="5:37">
      <c r="E394" s="28" t="s">
        <v>155</v>
      </c>
      <c r="F394" s="8" t="s">
        <v>156</v>
      </c>
      <c r="G394" s="9" t="s">
        <v>885</v>
      </c>
      <c r="H394" s="10">
        <v>176</v>
      </c>
      <c r="I394" s="9" t="s">
        <v>158</v>
      </c>
      <c r="J394" s="10">
        <v>176</v>
      </c>
      <c r="K394" s="10">
        <v>175.3</v>
      </c>
      <c r="L394" s="10">
        <v>155</v>
      </c>
      <c r="M394" s="10">
        <v>161</v>
      </c>
      <c r="N394" s="10">
        <v>127</v>
      </c>
      <c r="O394" s="10">
        <v>74</v>
      </c>
      <c r="P394" s="10">
        <v>111</v>
      </c>
      <c r="Q394" s="10">
        <v>14.2</v>
      </c>
      <c r="R394" s="10">
        <v>2253</v>
      </c>
      <c r="S394" s="10">
        <v>0.71</v>
      </c>
      <c r="T394" s="10">
        <v>1590</v>
      </c>
      <c r="U394" s="10">
        <v>248</v>
      </c>
      <c r="V394" s="10">
        <v>146</v>
      </c>
      <c r="W394" s="10">
        <v>37</v>
      </c>
      <c r="X394" s="10">
        <v>143</v>
      </c>
      <c r="Y394" s="10">
        <v>5</v>
      </c>
      <c r="Z394" s="10">
        <v>57</v>
      </c>
      <c r="AA394" s="10">
        <v>0.13900000000000001</v>
      </c>
      <c r="AB394" s="10">
        <v>85</v>
      </c>
      <c r="AC394" s="10">
        <v>56</v>
      </c>
      <c r="AD394" s="10">
        <v>59</v>
      </c>
      <c r="AE394" s="10">
        <v>9</v>
      </c>
      <c r="AF394" s="10">
        <v>12.5</v>
      </c>
      <c r="AG394" s="9" t="s">
        <v>349</v>
      </c>
      <c r="AH394" s="10"/>
      <c r="AI394" s="10"/>
      <c r="AJ394" s="10"/>
      <c r="AK394" s="30"/>
    </row>
    <row r="395" spans="5:37">
      <c r="E395" s="28" t="s">
        <v>155</v>
      </c>
      <c r="F395" s="8" t="s">
        <v>156</v>
      </c>
      <c r="G395" s="9" t="s">
        <v>626</v>
      </c>
      <c r="H395" s="10">
        <v>161</v>
      </c>
      <c r="I395" s="9" t="s">
        <v>158</v>
      </c>
      <c r="J395" s="10">
        <v>161</v>
      </c>
      <c r="K395" s="10">
        <v>160.5</v>
      </c>
      <c r="L395" s="10">
        <v>135</v>
      </c>
      <c r="M395" s="10">
        <v>143</v>
      </c>
      <c r="N395" s="10">
        <v>114</v>
      </c>
      <c r="O395" s="10">
        <v>74</v>
      </c>
      <c r="P395" s="10">
        <v>99</v>
      </c>
      <c r="Q395" s="10">
        <v>15.2</v>
      </c>
      <c r="R395" s="10">
        <v>1774</v>
      </c>
      <c r="S395" s="10">
        <v>0.78</v>
      </c>
      <c r="T395" s="10">
        <v>1388</v>
      </c>
      <c r="U395" s="10">
        <v>166</v>
      </c>
      <c r="V395" s="10">
        <v>84</v>
      </c>
      <c r="W395" s="10">
        <v>39</v>
      </c>
      <c r="X395" s="10">
        <v>176</v>
      </c>
      <c r="Y395" s="10">
        <v>4</v>
      </c>
      <c r="Z395" s="10">
        <v>78</v>
      </c>
      <c r="AA395" s="10">
        <v>0.112</v>
      </c>
      <c r="AB395" s="10">
        <v>100</v>
      </c>
      <c r="AC395" s="10">
        <v>76</v>
      </c>
      <c r="AD395" s="10">
        <v>76</v>
      </c>
      <c r="AE395" s="10">
        <v>11</v>
      </c>
      <c r="AF395" s="10">
        <v>10.5</v>
      </c>
      <c r="AG395" s="9" t="s">
        <v>349</v>
      </c>
      <c r="AH395" s="9" t="s">
        <v>231</v>
      </c>
      <c r="AI395" s="10"/>
      <c r="AJ395" s="10"/>
      <c r="AK395" s="30"/>
    </row>
    <row r="396" spans="5:37">
      <c r="E396" s="28" t="s">
        <v>155</v>
      </c>
      <c r="F396" s="8" t="s">
        <v>156</v>
      </c>
      <c r="G396" s="9" t="s">
        <v>626</v>
      </c>
      <c r="H396" s="10">
        <v>169</v>
      </c>
      <c r="I396" s="9" t="s">
        <v>158</v>
      </c>
      <c r="J396" s="10">
        <v>169</v>
      </c>
      <c r="K396" s="10">
        <v>168.5</v>
      </c>
      <c r="L396" s="10">
        <v>142</v>
      </c>
      <c r="M396" s="10">
        <v>152</v>
      </c>
      <c r="N396" s="10">
        <v>115</v>
      </c>
      <c r="O396" s="10">
        <v>74</v>
      </c>
      <c r="P396" s="10">
        <v>100</v>
      </c>
      <c r="Q396" s="10">
        <v>16.2</v>
      </c>
      <c r="R396" s="10">
        <v>1889</v>
      </c>
      <c r="S396" s="10">
        <v>0.77</v>
      </c>
      <c r="T396" s="10">
        <v>1464</v>
      </c>
      <c r="U396" s="10">
        <v>188</v>
      </c>
      <c r="V396" s="10">
        <v>91</v>
      </c>
      <c r="W396" s="10">
        <v>39</v>
      </c>
      <c r="X396" s="10">
        <v>185</v>
      </c>
      <c r="Y396" s="10">
        <v>4</v>
      </c>
      <c r="Z396" s="10">
        <v>76</v>
      </c>
      <c r="AA396" s="10">
        <v>0.11600000000000001</v>
      </c>
      <c r="AB396" s="10">
        <v>97</v>
      </c>
      <c r="AC396" s="10">
        <v>73</v>
      </c>
      <c r="AD396" s="10">
        <v>87</v>
      </c>
      <c r="AE396" s="10">
        <v>10</v>
      </c>
      <c r="AF396" s="10">
        <v>10.4</v>
      </c>
      <c r="AG396" s="9" t="s">
        <v>349</v>
      </c>
      <c r="AH396" s="9" t="s">
        <v>231</v>
      </c>
      <c r="AI396" s="10"/>
      <c r="AJ396" s="10"/>
      <c r="AK396" s="30"/>
    </row>
    <row r="397" spans="5:37">
      <c r="E397" s="28" t="s">
        <v>155</v>
      </c>
      <c r="F397" s="8" t="s">
        <v>156</v>
      </c>
      <c r="G397" s="9" t="s">
        <v>157</v>
      </c>
      <c r="H397" s="10">
        <v>154</v>
      </c>
      <c r="I397" s="9" t="s">
        <v>158</v>
      </c>
      <c r="J397" s="10">
        <v>154</v>
      </c>
      <c r="K397" s="10">
        <v>153.5</v>
      </c>
      <c r="L397" s="10">
        <v>129</v>
      </c>
      <c r="M397" s="10">
        <v>137</v>
      </c>
      <c r="N397" s="10">
        <v>113</v>
      </c>
      <c r="O397" s="10">
        <v>74</v>
      </c>
      <c r="P397" s="10">
        <v>98</v>
      </c>
      <c r="Q397" s="10">
        <v>14.2</v>
      </c>
      <c r="R397" s="9" t="s">
        <v>1155</v>
      </c>
      <c r="S397" s="9" t="s">
        <v>1155</v>
      </c>
      <c r="T397" s="10">
        <v>1328</v>
      </c>
      <c r="U397" s="10">
        <v>154</v>
      </c>
      <c r="V397" s="10">
        <v>67</v>
      </c>
      <c r="W397" s="10">
        <v>35</v>
      </c>
      <c r="X397" s="10">
        <v>169</v>
      </c>
      <c r="Y397" s="10">
        <v>6</v>
      </c>
      <c r="Z397" s="10">
        <v>73</v>
      </c>
      <c r="AA397" s="10">
        <v>0.16</v>
      </c>
      <c r="AB397" s="10">
        <v>98</v>
      </c>
      <c r="AC397" s="10">
        <v>70</v>
      </c>
      <c r="AD397" s="10">
        <v>71</v>
      </c>
      <c r="AE397" s="10">
        <v>10</v>
      </c>
      <c r="AF397" s="10">
        <v>10.7</v>
      </c>
      <c r="AG397" s="9" t="s">
        <v>160</v>
      </c>
      <c r="AH397" s="10"/>
      <c r="AI397" s="10"/>
      <c r="AJ397" s="10"/>
      <c r="AK397" s="30"/>
    </row>
    <row r="398" spans="5:37">
      <c r="E398" s="28" t="s">
        <v>155</v>
      </c>
      <c r="F398" s="8" t="s">
        <v>156</v>
      </c>
      <c r="G398" s="9" t="s">
        <v>157</v>
      </c>
      <c r="H398" s="10">
        <v>161</v>
      </c>
      <c r="I398" s="9" t="s">
        <v>158</v>
      </c>
      <c r="J398" s="10">
        <v>161</v>
      </c>
      <c r="K398" s="10">
        <v>160.4</v>
      </c>
      <c r="L398" s="10">
        <v>135</v>
      </c>
      <c r="M398" s="10">
        <v>143</v>
      </c>
      <c r="N398" s="10">
        <v>115</v>
      </c>
      <c r="O398" s="10">
        <v>74</v>
      </c>
      <c r="P398" s="10">
        <v>99</v>
      </c>
      <c r="Q398" s="10">
        <v>15.3</v>
      </c>
      <c r="R398" s="10">
        <v>1731</v>
      </c>
      <c r="S398" s="10">
        <v>0.81</v>
      </c>
      <c r="T398" s="10">
        <v>1394</v>
      </c>
      <c r="U398" s="10">
        <v>156</v>
      </c>
      <c r="V398" s="10">
        <v>67</v>
      </c>
      <c r="W398" s="10">
        <v>39</v>
      </c>
      <c r="X398" s="10">
        <v>178</v>
      </c>
      <c r="Y398" s="10">
        <v>4</v>
      </c>
      <c r="Z398" s="10">
        <v>76</v>
      </c>
      <c r="AA398" s="10">
        <v>0.113</v>
      </c>
      <c r="AB398" s="10">
        <v>98</v>
      </c>
      <c r="AC398" s="10">
        <v>71</v>
      </c>
      <c r="AD398" s="10">
        <v>79</v>
      </c>
      <c r="AE398" s="10">
        <v>10</v>
      </c>
      <c r="AF398" s="10">
        <v>10.4</v>
      </c>
      <c r="AG398" s="9" t="s">
        <v>349</v>
      </c>
      <c r="AH398" s="9" t="s">
        <v>231</v>
      </c>
      <c r="AI398" s="10"/>
      <c r="AJ398" s="10"/>
      <c r="AK398" s="30"/>
    </row>
    <row r="399" spans="5:37">
      <c r="E399" s="28" t="s">
        <v>155</v>
      </c>
      <c r="F399" s="8" t="s">
        <v>156</v>
      </c>
      <c r="G399" s="9" t="s">
        <v>162</v>
      </c>
      <c r="H399" s="10">
        <v>161</v>
      </c>
      <c r="I399" s="9" t="s">
        <v>163</v>
      </c>
      <c r="J399" s="10">
        <v>161</v>
      </c>
      <c r="K399" s="10">
        <v>160.5</v>
      </c>
      <c r="L399" s="10">
        <v>135</v>
      </c>
      <c r="M399" s="10">
        <v>144</v>
      </c>
      <c r="N399" s="10">
        <v>115</v>
      </c>
      <c r="O399" s="10">
        <v>74</v>
      </c>
      <c r="P399" s="10">
        <v>99</v>
      </c>
      <c r="Q399" s="10">
        <v>15.2</v>
      </c>
      <c r="R399" s="9" t="s">
        <v>1155</v>
      </c>
      <c r="S399" s="9" t="s">
        <v>1155</v>
      </c>
      <c r="T399" s="10">
        <v>1397</v>
      </c>
      <c r="U399" s="10">
        <v>161</v>
      </c>
      <c r="V399" s="10">
        <v>69</v>
      </c>
      <c r="W399" s="10">
        <v>38</v>
      </c>
      <c r="X399" s="10">
        <v>177</v>
      </c>
      <c r="Y399" s="10">
        <v>5</v>
      </c>
      <c r="Z399" s="10">
        <v>82</v>
      </c>
      <c r="AA399" s="10">
        <v>0.11899999999999999</v>
      </c>
      <c r="AB399" s="10">
        <v>97</v>
      </c>
      <c r="AC399" s="10">
        <v>71</v>
      </c>
      <c r="AD399" s="10">
        <v>80</v>
      </c>
      <c r="AE399" s="10">
        <v>10</v>
      </c>
      <c r="AF399" s="10">
        <v>10.6</v>
      </c>
      <c r="AG399" s="9" t="s">
        <v>160</v>
      </c>
      <c r="AH399" s="10"/>
      <c r="AI399" s="10"/>
      <c r="AJ399" s="10"/>
      <c r="AK399" s="30"/>
    </row>
    <row r="400" spans="5:37">
      <c r="E400" s="28" t="s">
        <v>155</v>
      </c>
      <c r="F400" s="8" t="s">
        <v>156</v>
      </c>
      <c r="G400" s="9" t="s">
        <v>735</v>
      </c>
      <c r="H400" s="10">
        <v>163</v>
      </c>
      <c r="I400" s="9" t="s">
        <v>158</v>
      </c>
      <c r="J400" s="10">
        <v>163</v>
      </c>
      <c r="K400" s="10">
        <v>162.5</v>
      </c>
      <c r="L400" s="10">
        <v>136</v>
      </c>
      <c r="M400" s="10">
        <v>146</v>
      </c>
      <c r="N400" s="10">
        <v>118</v>
      </c>
      <c r="O400" s="10">
        <v>77</v>
      </c>
      <c r="P400" s="10">
        <v>103</v>
      </c>
      <c r="Q400" s="10">
        <v>15.3</v>
      </c>
      <c r="R400" s="10">
        <v>1917</v>
      </c>
      <c r="S400" s="10">
        <v>0.77</v>
      </c>
      <c r="T400" s="10">
        <v>1469</v>
      </c>
      <c r="U400" s="10">
        <v>193</v>
      </c>
      <c r="V400" s="10">
        <v>82</v>
      </c>
      <c r="W400" s="10">
        <v>39</v>
      </c>
      <c r="X400" s="10">
        <v>179</v>
      </c>
      <c r="Y400" s="10">
        <v>5</v>
      </c>
      <c r="Z400" s="10">
        <v>82</v>
      </c>
      <c r="AA400" s="10">
        <v>0.126</v>
      </c>
      <c r="AB400" s="10">
        <v>90</v>
      </c>
      <c r="AC400" s="10">
        <v>72</v>
      </c>
      <c r="AD400" s="10">
        <v>89</v>
      </c>
      <c r="AE400" s="10">
        <v>8</v>
      </c>
      <c r="AF400" s="10">
        <v>11.4</v>
      </c>
      <c r="AG400" s="9" t="s">
        <v>349</v>
      </c>
      <c r="AH400" s="10"/>
      <c r="AI400" s="10"/>
      <c r="AJ400" s="10"/>
      <c r="AK400" s="30"/>
    </row>
    <row r="401" spans="5:37">
      <c r="E401" s="28" t="s">
        <v>155</v>
      </c>
      <c r="F401" s="8" t="s">
        <v>156</v>
      </c>
      <c r="G401" s="9" t="s">
        <v>646</v>
      </c>
      <c r="H401" s="10">
        <v>159</v>
      </c>
      <c r="I401" s="9" t="s">
        <v>158</v>
      </c>
      <c r="J401" s="10">
        <v>159</v>
      </c>
      <c r="K401" s="10">
        <v>158.4</v>
      </c>
      <c r="L401" s="10">
        <v>130</v>
      </c>
      <c r="M401" s="10">
        <v>143</v>
      </c>
      <c r="N401" s="10">
        <v>118</v>
      </c>
      <c r="O401" s="10">
        <v>79</v>
      </c>
      <c r="P401" s="10">
        <v>104</v>
      </c>
      <c r="Q401" s="10">
        <v>14.8</v>
      </c>
      <c r="R401" s="10">
        <v>1506</v>
      </c>
      <c r="S401" s="10">
        <v>0.97</v>
      </c>
      <c r="T401" s="10">
        <v>1456</v>
      </c>
      <c r="U401" s="10">
        <v>184</v>
      </c>
      <c r="V401" s="10">
        <v>75</v>
      </c>
      <c r="W401" s="10">
        <v>45</v>
      </c>
      <c r="X401" s="10">
        <v>199</v>
      </c>
      <c r="Y401" s="10">
        <v>6</v>
      </c>
      <c r="Z401" s="10">
        <v>89</v>
      </c>
      <c r="AA401" s="10">
        <v>0.13200000000000001</v>
      </c>
      <c r="AB401" s="10">
        <v>86</v>
      </c>
      <c r="AC401" s="10">
        <v>69</v>
      </c>
      <c r="AD401" s="10">
        <v>113</v>
      </c>
      <c r="AE401" s="10">
        <v>5</v>
      </c>
      <c r="AF401" s="10">
        <v>11</v>
      </c>
      <c r="AG401" s="9" t="s">
        <v>349</v>
      </c>
      <c r="AH401" s="10"/>
      <c r="AI401" s="10"/>
      <c r="AJ401" s="10"/>
      <c r="AK401" s="30"/>
    </row>
    <row r="402" spans="5:37">
      <c r="E402" s="28" t="s">
        <v>155</v>
      </c>
      <c r="F402" s="8" t="s">
        <v>156</v>
      </c>
      <c r="G402" s="9" t="s">
        <v>646</v>
      </c>
      <c r="H402" s="10">
        <v>174</v>
      </c>
      <c r="I402" s="9" t="s">
        <v>158</v>
      </c>
      <c r="J402" s="10">
        <v>174</v>
      </c>
      <c r="K402" s="10">
        <v>173.3</v>
      </c>
      <c r="L402" s="10">
        <v>146</v>
      </c>
      <c r="M402" s="10">
        <v>156</v>
      </c>
      <c r="N402" s="10">
        <v>122</v>
      </c>
      <c r="O402" s="10">
        <v>82</v>
      </c>
      <c r="P402" s="10">
        <v>108</v>
      </c>
      <c r="Q402" s="10">
        <v>17.3</v>
      </c>
      <c r="R402" s="10">
        <v>1882</v>
      </c>
      <c r="S402" s="10">
        <v>0.87</v>
      </c>
      <c r="T402" s="10">
        <v>1639</v>
      </c>
      <c r="U402" s="10">
        <v>244</v>
      </c>
      <c r="V402" s="10">
        <v>104</v>
      </c>
      <c r="W402" s="10">
        <v>41</v>
      </c>
      <c r="X402" s="10">
        <v>183</v>
      </c>
      <c r="Y402" s="10">
        <v>5</v>
      </c>
      <c r="Z402" s="10">
        <v>86</v>
      </c>
      <c r="AA402" s="10">
        <v>0.12</v>
      </c>
      <c r="AB402" s="10">
        <v>101</v>
      </c>
      <c r="AC402" s="10">
        <v>72</v>
      </c>
      <c r="AD402" s="10">
        <v>82</v>
      </c>
      <c r="AE402" s="10">
        <v>7</v>
      </c>
      <c r="AF402" s="10">
        <v>11.1</v>
      </c>
      <c r="AG402" s="9" t="s">
        <v>349</v>
      </c>
      <c r="AH402" s="9" t="s">
        <v>188</v>
      </c>
      <c r="AI402" s="10"/>
      <c r="AJ402" s="10"/>
      <c r="AK402" s="30"/>
    </row>
    <row r="403" spans="5:37">
      <c r="E403" s="28" t="s">
        <v>155</v>
      </c>
      <c r="F403" s="8" t="s">
        <v>237</v>
      </c>
      <c r="G403" s="9" t="s">
        <v>773</v>
      </c>
      <c r="H403" s="10">
        <v>182.1</v>
      </c>
      <c r="I403" s="9" t="s">
        <v>158</v>
      </c>
      <c r="J403" s="10">
        <v>182.1</v>
      </c>
      <c r="K403" s="10">
        <v>180.9</v>
      </c>
      <c r="L403" s="10">
        <v>115</v>
      </c>
      <c r="M403" s="10">
        <v>148</v>
      </c>
      <c r="N403" s="10">
        <v>145</v>
      </c>
      <c r="O403" s="10">
        <v>114</v>
      </c>
      <c r="P403" s="10">
        <v>134</v>
      </c>
      <c r="Q403" s="10">
        <v>19.3</v>
      </c>
      <c r="R403" s="10">
        <v>2227</v>
      </c>
      <c r="S403" s="10">
        <v>1.01</v>
      </c>
      <c r="T403" s="10">
        <v>2241</v>
      </c>
      <c r="U403" s="10">
        <v>230</v>
      </c>
      <c r="V403" s="10">
        <v>107</v>
      </c>
      <c r="W403" s="10">
        <v>50</v>
      </c>
      <c r="X403" s="10">
        <v>375</v>
      </c>
      <c r="Y403" s="10">
        <v>47</v>
      </c>
      <c r="Z403" s="10">
        <v>286</v>
      </c>
      <c r="AA403" s="10">
        <v>0.92800000000000005</v>
      </c>
      <c r="AB403" s="10">
        <v>185</v>
      </c>
      <c r="AC403" s="10">
        <v>145</v>
      </c>
      <c r="AD403" s="10">
        <v>191</v>
      </c>
      <c r="AE403" s="10">
        <v>7</v>
      </c>
      <c r="AF403" s="10">
        <v>7.1</v>
      </c>
      <c r="AG403" s="9" t="s">
        <v>184</v>
      </c>
      <c r="AH403" s="9" t="s">
        <v>169</v>
      </c>
      <c r="AI403" s="10"/>
      <c r="AJ403" s="10"/>
      <c r="AK403" s="30"/>
    </row>
    <row r="404" spans="5:37">
      <c r="E404" s="28" t="s">
        <v>155</v>
      </c>
      <c r="F404" s="8" t="s">
        <v>237</v>
      </c>
      <c r="G404" s="9" t="s">
        <v>541</v>
      </c>
      <c r="H404" s="10">
        <v>178.3</v>
      </c>
      <c r="I404" s="9" t="s">
        <v>158</v>
      </c>
      <c r="J404" s="10">
        <v>178.3</v>
      </c>
      <c r="K404" s="10">
        <v>176.9</v>
      </c>
      <c r="L404" s="10">
        <v>122</v>
      </c>
      <c r="M404" s="10">
        <v>145</v>
      </c>
      <c r="N404" s="10">
        <v>138</v>
      </c>
      <c r="O404" s="10">
        <v>108</v>
      </c>
      <c r="P404" s="10">
        <v>125</v>
      </c>
      <c r="Q404" s="10">
        <v>20.399999999999999</v>
      </c>
      <c r="R404" s="10">
        <v>1900</v>
      </c>
      <c r="S404" s="10">
        <v>1.0900000000000001</v>
      </c>
      <c r="T404" s="10">
        <v>2078</v>
      </c>
      <c r="U404" s="10">
        <v>197</v>
      </c>
      <c r="V404" s="10">
        <v>85</v>
      </c>
      <c r="W404" s="10">
        <v>53</v>
      </c>
      <c r="X404" s="10">
        <v>339</v>
      </c>
      <c r="Y404" s="10">
        <v>30</v>
      </c>
      <c r="Z404" s="10">
        <v>214</v>
      </c>
      <c r="AA404" s="10">
        <v>0.57799999999999996</v>
      </c>
      <c r="AB404" s="10">
        <v>198</v>
      </c>
      <c r="AC404" s="10">
        <v>118</v>
      </c>
      <c r="AD404" s="10">
        <v>140</v>
      </c>
      <c r="AE404" s="10">
        <v>5</v>
      </c>
      <c r="AF404" s="10">
        <v>8.1</v>
      </c>
      <c r="AG404" s="9" t="s">
        <v>169</v>
      </c>
      <c r="AH404" s="9" t="s">
        <v>185</v>
      </c>
      <c r="AI404" s="10"/>
      <c r="AJ404" s="10"/>
      <c r="AK404" s="30"/>
    </row>
    <row r="405" spans="5:37">
      <c r="E405" s="28" t="s">
        <v>155</v>
      </c>
      <c r="F405" s="8" t="s">
        <v>237</v>
      </c>
      <c r="G405" s="9" t="s">
        <v>541</v>
      </c>
      <c r="H405" s="10">
        <v>184.2</v>
      </c>
      <c r="I405" s="9" t="s">
        <v>158</v>
      </c>
      <c r="J405" s="10">
        <v>184.2</v>
      </c>
      <c r="K405" s="10">
        <v>182.7</v>
      </c>
      <c r="L405" s="10">
        <v>121</v>
      </c>
      <c r="M405" s="10">
        <v>148</v>
      </c>
      <c r="N405" s="10">
        <v>138</v>
      </c>
      <c r="O405" s="10">
        <v>107</v>
      </c>
      <c r="P405" s="10">
        <v>125</v>
      </c>
      <c r="Q405" s="10">
        <v>20.399999999999999</v>
      </c>
      <c r="R405" s="10">
        <v>2066</v>
      </c>
      <c r="S405" s="10">
        <v>1.04</v>
      </c>
      <c r="T405" s="10">
        <v>2146</v>
      </c>
      <c r="U405" s="10">
        <v>247</v>
      </c>
      <c r="V405" s="10">
        <v>99</v>
      </c>
      <c r="W405" s="10">
        <v>57</v>
      </c>
      <c r="X405" s="10">
        <v>356</v>
      </c>
      <c r="Y405" s="10">
        <v>32</v>
      </c>
      <c r="Z405" s="10">
        <v>260</v>
      </c>
      <c r="AA405" s="10">
        <v>0.56000000000000005</v>
      </c>
      <c r="AB405" s="10">
        <v>227</v>
      </c>
      <c r="AC405" s="10">
        <v>121</v>
      </c>
      <c r="AD405" s="10">
        <v>128</v>
      </c>
      <c r="AE405" s="10">
        <v>3</v>
      </c>
      <c r="AF405" s="10">
        <v>7.9</v>
      </c>
      <c r="AG405" s="9" t="s">
        <v>169</v>
      </c>
      <c r="AH405" s="10"/>
      <c r="AI405" s="10"/>
      <c r="AJ405" s="10"/>
      <c r="AK405" s="30"/>
    </row>
    <row r="406" spans="5:37">
      <c r="E406" s="28" t="s">
        <v>155</v>
      </c>
      <c r="F406" s="8" t="s">
        <v>237</v>
      </c>
      <c r="G406" s="9" t="s">
        <v>541</v>
      </c>
      <c r="H406" s="10">
        <v>189.7</v>
      </c>
      <c r="I406" s="9" t="s">
        <v>158</v>
      </c>
      <c r="J406" s="10">
        <v>189.7</v>
      </c>
      <c r="K406" s="10">
        <v>187.6</v>
      </c>
      <c r="L406" s="10">
        <v>131</v>
      </c>
      <c r="M406" s="10">
        <v>151</v>
      </c>
      <c r="N406" s="10">
        <v>139</v>
      </c>
      <c r="O406" s="10">
        <v>107</v>
      </c>
      <c r="P406" s="10">
        <v>126</v>
      </c>
      <c r="Q406" s="10">
        <v>20.399999999999999</v>
      </c>
      <c r="R406" s="10">
        <v>2131</v>
      </c>
      <c r="S406" s="10">
        <v>1.04</v>
      </c>
      <c r="T406" s="10">
        <v>2208</v>
      </c>
      <c r="U406" s="10">
        <v>251</v>
      </c>
      <c r="V406" s="10">
        <v>121</v>
      </c>
      <c r="W406" s="10">
        <v>52</v>
      </c>
      <c r="X406" s="10">
        <v>334</v>
      </c>
      <c r="Y406" s="10">
        <v>34</v>
      </c>
      <c r="Z406" s="10">
        <v>234</v>
      </c>
      <c r="AA406" s="10">
        <v>0.65</v>
      </c>
      <c r="AB406" s="10">
        <v>227</v>
      </c>
      <c r="AC406" s="10">
        <v>141</v>
      </c>
      <c r="AD406" s="10">
        <v>108</v>
      </c>
      <c r="AE406" s="10">
        <v>5</v>
      </c>
      <c r="AF406" s="10">
        <v>8.1</v>
      </c>
      <c r="AG406" s="9" t="s">
        <v>169</v>
      </c>
      <c r="AH406" s="10"/>
      <c r="AI406" s="10"/>
      <c r="AJ406" s="10"/>
      <c r="AK406" s="30"/>
    </row>
    <row r="407" spans="5:37">
      <c r="E407" s="28" t="s">
        <v>155</v>
      </c>
      <c r="F407" s="8" t="s">
        <v>237</v>
      </c>
      <c r="G407" s="9" t="s">
        <v>665</v>
      </c>
      <c r="H407" s="10">
        <v>160.1</v>
      </c>
      <c r="I407" s="9" t="s">
        <v>163</v>
      </c>
      <c r="J407" s="10">
        <v>160.1</v>
      </c>
      <c r="K407" s="10">
        <v>158.9</v>
      </c>
      <c r="L407" s="10">
        <v>112</v>
      </c>
      <c r="M407" s="10">
        <v>133</v>
      </c>
      <c r="N407" s="10">
        <v>135</v>
      </c>
      <c r="O407" s="10">
        <v>106</v>
      </c>
      <c r="P407" s="10">
        <v>121</v>
      </c>
      <c r="Q407" s="10">
        <v>19.2</v>
      </c>
      <c r="R407" s="10">
        <v>1649</v>
      </c>
      <c r="S407" s="10">
        <v>1.1100000000000001</v>
      </c>
      <c r="T407" s="10">
        <v>1831</v>
      </c>
      <c r="U407" s="10">
        <v>121</v>
      </c>
      <c r="V407" s="10">
        <v>57</v>
      </c>
      <c r="W407" s="10">
        <v>50</v>
      </c>
      <c r="X407" s="10">
        <v>283</v>
      </c>
      <c r="Y407" s="10">
        <v>30</v>
      </c>
      <c r="Z407" s="10">
        <v>184</v>
      </c>
      <c r="AA407" s="10">
        <v>0.60399999999999998</v>
      </c>
      <c r="AB407" s="10">
        <v>155</v>
      </c>
      <c r="AC407" s="10">
        <v>100</v>
      </c>
      <c r="AD407" s="10">
        <v>128</v>
      </c>
      <c r="AE407" s="10">
        <v>7</v>
      </c>
      <c r="AF407" s="10">
        <v>8.5</v>
      </c>
      <c r="AG407" s="9" t="s">
        <v>169</v>
      </c>
      <c r="AH407" s="9" t="s">
        <v>185</v>
      </c>
      <c r="AI407" s="10"/>
      <c r="AJ407" s="10"/>
      <c r="AK407" s="30"/>
    </row>
    <row r="408" spans="5:37">
      <c r="E408" s="28" t="s">
        <v>155</v>
      </c>
      <c r="F408" s="8" t="s">
        <v>237</v>
      </c>
      <c r="G408" s="9" t="s">
        <v>665</v>
      </c>
      <c r="H408" s="10">
        <v>169.1</v>
      </c>
      <c r="I408" s="9" t="s">
        <v>163</v>
      </c>
      <c r="J408" s="10">
        <v>169.1</v>
      </c>
      <c r="K408" s="10">
        <v>167.9</v>
      </c>
      <c r="L408" s="10">
        <v>120</v>
      </c>
      <c r="M408" s="10">
        <v>139</v>
      </c>
      <c r="N408" s="10">
        <v>136</v>
      </c>
      <c r="O408" s="10">
        <v>107</v>
      </c>
      <c r="P408" s="10">
        <v>122</v>
      </c>
      <c r="Q408" s="10">
        <v>20.3</v>
      </c>
      <c r="R408" s="10">
        <v>1780</v>
      </c>
      <c r="S408" s="10">
        <v>1.0900000000000001</v>
      </c>
      <c r="T408" s="10">
        <v>1946</v>
      </c>
      <c r="U408" s="10">
        <v>167</v>
      </c>
      <c r="V408" s="10">
        <v>70</v>
      </c>
      <c r="W408" s="10">
        <v>46</v>
      </c>
      <c r="X408" s="10">
        <v>268</v>
      </c>
      <c r="Y408" s="10">
        <v>32</v>
      </c>
      <c r="Z408" s="10">
        <v>212</v>
      </c>
      <c r="AA408" s="10">
        <v>0.68700000000000006</v>
      </c>
      <c r="AB408" s="10">
        <v>173</v>
      </c>
      <c r="AC408" s="10">
        <v>117</v>
      </c>
      <c r="AD408" s="10">
        <v>95</v>
      </c>
      <c r="AE408" s="10">
        <v>5</v>
      </c>
      <c r="AF408" s="10">
        <v>8.4</v>
      </c>
      <c r="AG408" s="9" t="s">
        <v>169</v>
      </c>
      <c r="AH408" s="9" t="s">
        <v>185</v>
      </c>
      <c r="AI408" s="10"/>
      <c r="AJ408" s="10"/>
      <c r="AK408" s="30"/>
    </row>
    <row r="409" spans="5:37">
      <c r="E409" s="28" t="s">
        <v>155</v>
      </c>
      <c r="F409" s="8" t="s">
        <v>237</v>
      </c>
      <c r="G409" s="9" t="s">
        <v>507</v>
      </c>
      <c r="H409" s="10">
        <v>168.1</v>
      </c>
      <c r="I409" s="9" t="s">
        <v>158</v>
      </c>
      <c r="J409" s="10">
        <v>168.1</v>
      </c>
      <c r="K409" s="10">
        <v>167.5</v>
      </c>
      <c r="L409" s="10">
        <v>130</v>
      </c>
      <c r="M409" s="10">
        <v>144</v>
      </c>
      <c r="N409" s="10">
        <v>127</v>
      </c>
      <c r="O409" s="10">
        <v>96</v>
      </c>
      <c r="P409" s="10">
        <v>116</v>
      </c>
      <c r="Q409" s="10">
        <v>18.7</v>
      </c>
      <c r="R409" s="10">
        <v>1696</v>
      </c>
      <c r="S409" s="10">
        <v>1.04</v>
      </c>
      <c r="T409" s="10">
        <v>1772</v>
      </c>
      <c r="U409" s="10">
        <v>141</v>
      </c>
      <c r="V409" s="10">
        <v>74</v>
      </c>
      <c r="W409" s="10">
        <v>46</v>
      </c>
      <c r="X409" s="10">
        <v>225</v>
      </c>
      <c r="Y409" s="10">
        <v>29</v>
      </c>
      <c r="Z409" s="10">
        <v>150</v>
      </c>
      <c r="AA409" s="10">
        <v>0.63200000000000001</v>
      </c>
      <c r="AB409" s="10">
        <v>128</v>
      </c>
      <c r="AC409" s="10">
        <v>112</v>
      </c>
      <c r="AD409" s="10">
        <v>97</v>
      </c>
      <c r="AE409" s="10">
        <v>14</v>
      </c>
      <c r="AF409" s="10">
        <v>6.2</v>
      </c>
      <c r="AG409" s="9" t="s">
        <v>188</v>
      </c>
      <c r="AH409" s="10"/>
      <c r="AI409" s="10"/>
      <c r="AJ409" s="10"/>
      <c r="AK409" s="30"/>
    </row>
    <row r="410" spans="5:37">
      <c r="E410" s="28" t="s">
        <v>155</v>
      </c>
      <c r="F410" s="8" t="s">
        <v>237</v>
      </c>
      <c r="G410" s="9" t="s">
        <v>507</v>
      </c>
      <c r="H410" s="10">
        <v>174.2</v>
      </c>
      <c r="I410" s="9" t="s">
        <v>158</v>
      </c>
      <c r="J410" s="10">
        <v>174.2</v>
      </c>
      <c r="K410" s="10">
        <v>173.3</v>
      </c>
      <c r="L410" s="10">
        <v>135</v>
      </c>
      <c r="M410" s="10">
        <v>150</v>
      </c>
      <c r="N410" s="10">
        <v>128</v>
      </c>
      <c r="O410" s="10">
        <v>96</v>
      </c>
      <c r="P410" s="10">
        <v>116</v>
      </c>
      <c r="Q410" s="10">
        <v>20.6</v>
      </c>
      <c r="R410" s="10">
        <v>1773</v>
      </c>
      <c r="S410" s="10">
        <v>1.03</v>
      </c>
      <c r="T410" s="10">
        <v>1830</v>
      </c>
      <c r="U410" s="10">
        <v>168</v>
      </c>
      <c r="V410" s="10">
        <v>86</v>
      </c>
      <c r="W410" s="10">
        <v>44</v>
      </c>
      <c r="X410" s="10">
        <v>227</v>
      </c>
      <c r="Y410" s="10">
        <v>30</v>
      </c>
      <c r="Z410" s="10">
        <v>153</v>
      </c>
      <c r="AA410" s="10">
        <v>0.67100000000000004</v>
      </c>
      <c r="AB410" s="10">
        <v>118</v>
      </c>
      <c r="AC410" s="10">
        <v>111</v>
      </c>
      <c r="AD410" s="10">
        <v>109</v>
      </c>
      <c r="AE410" s="10">
        <v>12</v>
      </c>
      <c r="AF410" s="10">
        <v>6.4</v>
      </c>
      <c r="AG410" s="9" t="s">
        <v>188</v>
      </c>
      <c r="AH410" s="10"/>
      <c r="AI410" s="10"/>
      <c r="AJ410" s="10"/>
      <c r="AK410" s="30"/>
    </row>
    <row r="411" spans="5:37">
      <c r="E411" s="28" t="s">
        <v>155</v>
      </c>
      <c r="F411" s="8" t="s">
        <v>237</v>
      </c>
      <c r="G411" s="9" t="s">
        <v>507</v>
      </c>
      <c r="H411" s="10">
        <v>180.4</v>
      </c>
      <c r="I411" s="9" t="s">
        <v>158</v>
      </c>
      <c r="J411" s="10">
        <v>180.4</v>
      </c>
      <c r="K411" s="10">
        <v>179.2</v>
      </c>
      <c r="L411" s="10">
        <v>143</v>
      </c>
      <c r="M411" s="10">
        <v>157</v>
      </c>
      <c r="N411" s="10">
        <v>129</v>
      </c>
      <c r="O411" s="10">
        <v>96</v>
      </c>
      <c r="P411" s="10">
        <v>118</v>
      </c>
      <c r="Q411" s="10">
        <v>20.2</v>
      </c>
      <c r="R411" s="10">
        <v>1790</v>
      </c>
      <c r="S411" s="10">
        <v>1.07</v>
      </c>
      <c r="T411" s="10">
        <v>1910</v>
      </c>
      <c r="U411" s="10">
        <v>177</v>
      </c>
      <c r="V411" s="10">
        <v>83</v>
      </c>
      <c r="W411" s="10">
        <v>44</v>
      </c>
      <c r="X411" s="10">
        <v>214</v>
      </c>
      <c r="Y411" s="10">
        <v>29</v>
      </c>
      <c r="Z411" s="10">
        <v>145</v>
      </c>
      <c r="AA411" s="10">
        <v>0.66700000000000004</v>
      </c>
      <c r="AB411" s="10">
        <v>137</v>
      </c>
      <c r="AC411" s="10">
        <v>86</v>
      </c>
      <c r="AD411" s="10">
        <v>77</v>
      </c>
      <c r="AE411" s="10">
        <v>15</v>
      </c>
      <c r="AF411" s="10">
        <v>6.7</v>
      </c>
      <c r="AG411" s="9" t="s">
        <v>188</v>
      </c>
      <c r="AH411" s="9" t="s">
        <v>185</v>
      </c>
      <c r="AI411" s="10"/>
      <c r="AJ411" s="10"/>
      <c r="AK411" s="30"/>
    </row>
    <row r="412" spans="5:37">
      <c r="E412" s="28" t="s">
        <v>155</v>
      </c>
      <c r="F412" s="8" t="s">
        <v>237</v>
      </c>
      <c r="G412" s="9" t="s">
        <v>507</v>
      </c>
      <c r="H412" s="10">
        <v>186.5</v>
      </c>
      <c r="I412" s="9" t="s">
        <v>158</v>
      </c>
      <c r="J412" s="10">
        <v>186.5</v>
      </c>
      <c r="K412" s="10">
        <v>185.4</v>
      </c>
      <c r="L412" s="10">
        <v>148</v>
      </c>
      <c r="M412" s="10">
        <v>159</v>
      </c>
      <c r="N412" s="10">
        <v>131</v>
      </c>
      <c r="O412" s="10">
        <v>96</v>
      </c>
      <c r="P412" s="10">
        <v>119</v>
      </c>
      <c r="Q412" s="10">
        <v>20.3</v>
      </c>
      <c r="R412" s="10">
        <v>1958</v>
      </c>
      <c r="S412" s="10">
        <v>1.02</v>
      </c>
      <c r="T412" s="10">
        <v>1990</v>
      </c>
      <c r="U412" s="10">
        <v>198</v>
      </c>
      <c r="V412" s="10">
        <v>96</v>
      </c>
      <c r="W412" s="10">
        <v>43</v>
      </c>
      <c r="X412" s="10">
        <v>219</v>
      </c>
      <c r="Y412" s="10">
        <v>30</v>
      </c>
      <c r="Z412" s="10">
        <v>155</v>
      </c>
      <c r="AA412" s="10">
        <v>0.70899999999999996</v>
      </c>
      <c r="AB412" s="10">
        <v>139</v>
      </c>
      <c r="AC412" s="10">
        <v>127</v>
      </c>
      <c r="AD412" s="10">
        <v>80</v>
      </c>
      <c r="AE412" s="10">
        <v>17</v>
      </c>
      <c r="AF412" s="10">
        <v>6</v>
      </c>
      <c r="AG412" s="9" t="s">
        <v>188</v>
      </c>
      <c r="AH412" s="10"/>
      <c r="AI412" s="10"/>
      <c r="AJ412" s="10"/>
      <c r="AK412" s="30"/>
    </row>
    <row r="413" spans="5:37">
      <c r="E413" s="28" t="s">
        <v>155</v>
      </c>
      <c r="F413" s="8" t="s">
        <v>237</v>
      </c>
      <c r="G413" s="9" t="s">
        <v>642</v>
      </c>
      <c r="H413" s="10">
        <v>156.1</v>
      </c>
      <c r="I413" s="9" t="s">
        <v>163</v>
      </c>
      <c r="J413" s="10">
        <v>156.1</v>
      </c>
      <c r="K413" s="10">
        <v>154.9</v>
      </c>
      <c r="L413" s="10">
        <v>120</v>
      </c>
      <c r="M413" s="10">
        <v>136</v>
      </c>
      <c r="N413" s="10">
        <v>126</v>
      </c>
      <c r="O413" s="10">
        <v>95</v>
      </c>
      <c r="P413" s="10">
        <v>114</v>
      </c>
      <c r="Q413" s="10">
        <v>18.399999999999999</v>
      </c>
      <c r="R413" s="10">
        <v>1543</v>
      </c>
      <c r="S413" s="10">
        <v>1.05</v>
      </c>
      <c r="T413" s="10">
        <v>1616</v>
      </c>
      <c r="U413" s="10">
        <v>148</v>
      </c>
      <c r="V413" s="10">
        <v>61</v>
      </c>
      <c r="W413" s="10">
        <v>38</v>
      </c>
      <c r="X413" s="10">
        <v>198</v>
      </c>
      <c r="Y413" s="10">
        <v>30</v>
      </c>
      <c r="Z413" s="10">
        <v>156</v>
      </c>
      <c r="AA413" s="10">
        <v>0.78700000000000003</v>
      </c>
      <c r="AB413" s="10">
        <v>100</v>
      </c>
      <c r="AC413" s="10">
        <v>94</v>
      </c>
      <c r="AD413" s="10">
        <v>98</v>
      </c>
      <c r="AE413" s="10">
        <v>14</v>
      </c>
      <c r="AF413" s="10">
        <v>6.6</v>
      </c>
      <c r="AG413" s="9" t="s">
        <v>188</v>
      </c>
      <c r="AH413" s="10"/>
      <c r="AI413" s="10"/>
      <c r="AJ413" s="10"/>
      <c r="AK413" s="30"/>
    </row>
    <row r="414" spans="5:37">
      <c r="E414" s="28" t="s">
        <v>155</v>
      </c>
      <c r="F414" s="8" t="s">
        <v>237</v>
      </c>
      <c r="G414" s="9" t="s">
        <v>642</v>
      </c>
      <c r="H414" s="10">
        <v>162.30000000000001</v>
      </c>
      <c r="I414" s="9" t="s">
        <v>163</v>
      </c>
      <c r="J414" s="10">
        <v>162.30000000000001</v>
      </c>
      <c r="K414" s="10">
        <v>160.80000000000001</v>
      </c>
      <c r="L414" s="10">
        <v>117</v>
      </c>
      <c r="M414" s="10">
        <v>140</v>
      </c>
      <c r="N414" s="10">
        <v>129</v>
      </c>
      <c r="O414" s="10">
        <v>97</v>
      </c>
      <c r="P414" s="10">
        <v>117</v>
      </c>
      <c r="Q414" s="10">
        <v>18.3</v>
      </c>
      <c r="R414" s="10">
        <v>1601</v>
      </c>
      <c r="S414" s="10">
        <v>1.07</v>
      </c>
      <c r="T414" s="10">
        <v>1720</v>
      </c>
      <c r="U414" s="10">
        <v>142</v>
      </c>
      <c r="V414" s="10">
        <v>74</v>
      </c>
      <c r="W414" s="10">
        <v>45</v>
      </c>
      <c r="X414" s="10">
        <v>246</v>
      </c>
      <c r="Y414" s="10">
        <v>32</v>
      </c>
      <c r="Z414" s="10">
        <v>194</v>
      </c>
      <c r="AA414" s="10">
        <v>0.71499999999999997</v>
      </c>
      <c r="AB414" s="10">
        <v>103</v>
      </c>
      <c r="AC414" s="10">
        <v>110</v>
      </c>
      <c r="AD414" s="10">
        <v>143</v>
      </c>
      <c r="AE414" s="10">
        <v>8</v>
      </c>
      <c r="AF414" s="10">
        <v>6.4</v>
      </c>
      <c r="AG414" s="9" t="s">
        <v>188</v>
      </c>
      <c r="AH414" s="9" t="s">
        <v>185</v>
      </c>
      <c r="AI414" s="10"/>
      <c r="AJ414" s="10"/>
      <c r="AK414" s="30"/>
    </row>
    <row r="415" spans="5:37">
      <c r="E415" s="28" t="s">
        <v>155</v>
      </c>
      <c r="F415" s="8" t="s">
        <v>237</v>
      </c>
      <c r="G415" s="9" t="s">
        <v>642</v>
      </c>
      <c r="H415" s="10">
        <v>168.1</v>
      </c>
      <c r="I415" s="9" t="s">
        <v>163</v>
      </c>
      <c r="J415" s="10">
        <v>168.1</v>
      </c>
      <c r="K415" s="10">
        <v>166.9</v>
      </c>
      <c r="L415" s="10">
        <v>121</v>
      </c>
      <c r="M415" s="10">
        <v>144</v>
      </c>
      <c r="N415" s="10">
        <v>130</v>
      </c>
      <c r="O415" s="10">
        <v>97</v>
      </c>
      <c r="P415" s="10">
        <v>119</v>
      </c>
      <c r="Q415" s="10">
        <v>18.5</v>
      </c>
      <c r="R415" s="10">
        <v>1719</v>
      </c>
      <c r="S415" s="10">
        <v>1.05</v>
      </c>
      <c r="T415" s="10">
        <v>1798</v>
      </c>
      <c r="U415" s="10">
        <v>172</v>
      </c>
      <c r="V415" s="10">
        <v>75</v>
      </c>
      <c r="W415" s="10">
        <v>49</v>
      </c>
      <c r="X415" s="10">
        <v>260</v>
      </c>
      <c r="Y415" s="10">
        <v>35</v>
      </c>
      <c r="Z415" s="10">
        <v>198</v>
      </c>
      <c r="AA415" s="10">
        <v>0.70899999999999996</v>
      </c>
      <c r="AB415" s="10">
        <v>122</v>
      </c>
      <c r="AC415" s="10">
        <v>109</v>
      </c>
      <c r="AD415" s="10">
        <v>139</v>
      </c>
      <c r="AE415" s="10">
        <v>6</v>
      </c>
      <c r="AF415" s="10">
        <v>6.6</v>
      </c>
      <c r="AG415" s="9" t="s">
        <v>188</v>
      </c>
      <c r="AH415" s="10"/>
      <c r="AI415" s="10"/>
      <c r="AJ415" s="10"/>
      <c r="AK415" s="30"/>
    </row>
    <row r="416" spans="5:37">
      <c r="E416" s="28" t="s">
        <v>155</v>
      </c>
      <c r="F416" s="8" t="s">
        <v>237</v>
      </c>
      <c r="G416" s="9" t="s">
        <v>361</v>
      </c>
      <c r="H416" s="10">
        <v>160.19999999999999</v>
      </c>
      <c r="I416" s="9" t="s">
        <v>158</v>
      </c>
      <c r="J416" s="10">
        <v>160.19999999999999</v>
      </c>
      <c r="K416" s="10">
        <v>159.80000000000001</v>
      </c>
      <c r="L416" s="10">
        <v>114</v>
      </c>
      <c r="M416" s="10">
        <v>135</v>
      </c>
      <c r="N416" s="10">
        <v>128</v>
      </c>
      <c r="O416" s="10">
        <v>95</v>
      </c>
      <c r="P416" s="10">
        <v>112</v>
      </c>
      <c r="Q416" s="10">
        <v>17.3</v>
      </c>
      <c r="R416" s="10">
        <v>1331</v>
      </c>
      <c r="S416" s="10">
        <v>1.26</v>
      </c>
      <c r="T416" s="10">
        <v>1675</v>
      </c>
      <c r="U416" s="10">
        <v>155</v>
      </c>
      <c r="V416" s="10">
        <v>77</v>
      </c>
      <c r="W416" s="10">
        <v>52</v>
      </c>
      <c r="X416" s="10">
        <v>307</v>
      </c>
      <c r="Y416" s="10">
        <v>15</v>
      </c>
      <c r="Z416" s="10">
        <v>155</v>
      </c>
      <c r="AA416" s="10">
        <v>0.29099999999999998</v>
      </c>
      <c r="AB416" s="10">
        <v>149</v>
      </c>
      <c r="AC416" s="10">
        <v>104</v>
      </c>
      <c r="AD416" s="10">
        <v>158</v>
      </c>
      <c r="AE416" s="10">
        <v>3</v>
      </c>
      <c r="AF416" s="10">
        <v>8.1</v>
      </c>
      <c r="AG416" s="9" t="s">
        <v>188</v>
      </c>
      <c r="AH416" s="9" t="s">
        <v>185</v>
      </c>
      <c r="AI416" s="9" t="s">
        <v>198</v>
      </c>
      <c r="AJ416" s="10"/>
      <c r="AK416" s="30"/>
    </row>
    <row r="417" spans="5:37">
      <c r="E417" s="28" t="s">
        <v>155</v>
      </c>
      <c r="F417" s="8" t="s">
        <v>237</v>
      </c>
      <c r="G417" s="9" t="s">
        <v>361</v>
      </c>
      <c r="H417" s="10">
        <v>166.2</v>
      </c>
      <c r="I417" s="9" t="s">
        <v>158</v>
      </c>
      <c r="J417" s="10">
        <v>166.2</v>
      </c>
      <c r="K417" s="10">
        <v>165.4</v>
      </c>
      <c r="L417" s="10">
        <v>127</v>
      </c>
      <c r="M417" s="10">
        <v>139</v>
      </c>
      <c r="N417" s="10">
        <v>132</v>
      </c>
      <c r="O417" s="10">
        <v>95</v>
      </c>
      <c r="P417" s="10">
        <v>114</v>
      </c>
      <c r="Q417" s="10">
        <v>16.7</v>
      </c>
      <c r="R417" s="10">
        <v>1393</v>
      </c>
      <c r="S417" s="10">
        <v>1.26</v>
      </c>
      <c r="T417" s="10">
        <v>1758</v>
      </c>
      <c r="U417" s="10">
        <v>167</v>
      </c>
      <c r="V417" s="10">
        <v>84</v>
      </c>
      <c r="W417" s="10">
        <v>44</v>
      </c>
      <c r="X417" s="10">
        <v>247</v>
      </c>
      <c r="Y417" s="10">
        <v>12</v>
      </c>
      <c r="Z417" s="10">
        <v>139</v>
      </c>
      <c r="AA417" s="10">
        <v>0.27700000000000002</v>
      </c>
      <c r="AB417" s="10">
        <v>149</v>
      </c>
      <c r="AC417" s="10">
        <v>119</v>
      </c>
      <c r="AD417" s="10">
        <v>98</v>
      </c>
      <c r="AE417" s="10">
        <v>10</v>
      </c>
      <c r="AF417" s="10">
        <v>9.1</v>
      </c>
      <c r="AG417" s="9" t="s">
        <v>188</v>
      </c>
      <c r="AH417" s="9" t="s">
        <v>185</v>
      </c>
      <c r="AI417" s="9" t="s">
        <v>198</v>
      </c>
      <c r="AJ417" s="10"/>
      <c r="AK417" s="30"/>
    </row>
    <row r="418" spans="5:37">
      <c r="E418" s="28" t="s">
        <v>155</v>
      </c>
      <c r="F418" s="8" t="s">
        <v>237</v>
      </c>
      <c r="G418" s="9" t="s">
        <v>361</v>
      </c>
      <c r="H418" s="10">
        <v>172.2</v>
      </c>
      <c r="I418" s="9" t="s">
        <v>158</v>
      </c>
      <c r="J418" s="10">
        <v>172.2</v>
      </c>
      <c r="K418" s="10">
        <v>171.3</v>
      </c>
      <c r="L418" s="10">
        <v>132</v>
      </c>
      <c r="M418" s="10">
        <v>144</v>
      </c>
      <c r="N418" s="10">
        <v>132</v>
      </c>
      <c r="O418" s="10">
        <v>95</v>
      </c>
      <c r="P418" s="10">
        <v>114</v>
      </c>
      <c r="Q418" s="10">
        <v>17.100000000000001</v>
      </c>
      <c r="R418" s="10">
        <v>1468</v>
      </c>
      <c r="S418" s="10">
        <v>1.24</v>
      </c>
      <c r="T418" s="10">
        <v>1822</v>
      </c>
      <c r="U418" s="10">
        <v>192</v>
      </c>
      <c r="V418" s="10">
        <v>99</v>
      </c>
      <c r="W418" s="10">
        <v>43</v>
      </c>
      <c r="X418" s="10">
        <v>252</v>
      </c>
      <c r="Y418" s="10">
        <v>11</v>
      </c>
      <c r="Z418" s="10">
        <v>137</v>
      </c>
      <c r="AA418" s="10">
        <v>0.25900000000000001</v>
      </c>
      <c r="AB418" s="10">
        <v>164</v>
      </c>
      <c r="AC418" s="10">
        <v>110</v>
      </c>
      <c r="AD418" s="10">
        <v>88</v>
      </c>
      <c r="AE418" s="10">
        <v>9</v>
      </c>
      <c r="AF418" s="10">
        <v>9.4</v>
      </c>
      <c r="AG418" s="9" t="s">
        <v>188</v>
      </c>
      <c r="AH418" s="9" t="s">
        <v>185</v>
      </c>
      <c r="AI418" s="10"/>
      <c r="AJ418" s="10"/>
      <c r="AK418" s="30"/>
    </row>
    <row r="419" spans="5:37">
      <c r="E419" s="28" t="s">
        <v>155</v>
      </c>
      <c r="F419" s="8" t="s">
        <v>237</v>
      </c>
      <c r="G419" s="9" t="s">
        <v>361</v>
      </c>
      <c r="H419" s="10">
        <v>178.2</v>
      </c>
      <c r="I419" s="9" t="s">
        <v>158</v>
      </c>
      <c r="J419" s="10">
        <v>178.2</v>
      </c>
      <c r="K419" s="10">
        <v>177.2</v>
      </c>
      <c r="L419" s="10">
        <v>137</v>
      </c>
      <c r="M419" s="10">
        <v>147</v>
      </c>
      <c r="N419" s="10">
        <v>134</v>
      </c>
      <c r="O419" s="10">
        <v>95</v>
      </c>
      <c r="P419" s="10">
        <v>114</v>
      </c>
      <c r="Q419" s="10">
        <v>17.100000000000001</v>
      </c>
      <c r="R419" s="10">
        <v>1505</v>
      </c>
      <c r="S419" s="10">
        <v>1.26</v>
      </c>
      <c r="T419" s="10">
        <v>1902</v>
      </c>
      <c r="U419" s="10">
        <v>208</v>
      </c>
      <c r="V419" s="10">
        <v>111</v>
      </c>
      <c r="W419" s="10">
        <v>44</v>
      </c>
      <c r="X419" s="10">
        <v>254</v>
      </c>
      <c r="Y419" s="10">
        <v>12</v>
      </c>
      <c r="Z419" s="10">
        <v>144</v>
      </c>
      <c r="AA419" s="10">
        <v>0.27300000000000002</v>
      </c>
      <c r="AB419" s="10">
        <v>169</v>
      </c>
      <c r="AC419" s="10">
        <v>133</v>
      </c>
      <c r="AD419" s="10">
        <v>85</v>
      </c>
      <c r="AE419" s="10">
        <v>8</v>
      </c>
      <c r="AF419" s="10">
        <v>9.1999999999999993</v>
      </c>
      <c r="AG419" s="9" t="s">
        <v>188</v>
      </c>
      <c r="AH419" s="9" t="s">
        <v>185</v>
      </c>
      <c r="AI419" s="9" t="s">
        <v>198</v>
      </c>
      <c r="AJ419" s="10"/>
      <c r="AK419" s="30"/>
    </row>
    <row r="420" spans="5:37">
      <c r="E420" s="28" t="s">
        <v>155</v>
      </c>
      <c r="F420" s="8" t="s">
        <v>237</v>
      </c>
      <c r="G420" s="9" t="s">
        <v>361</v>
      </c>
      <c r="H420" s="10">
        <v>183.3</v>
      </c>
      <c r="I420" s="9" t="s">
        <v>158</v>
      </c>
      <c r="J420" s="10">
        <v>183.3</v>
      </c>
      <c r="K420" s="10">
        <v>182.3</v>
      </c>
      <c r="L420" s="10">
        <v>141</v>
      </c>
      <c r="M420" s="10">
        <v>150</v>
      </c>
      <c r="N420" s="10">
        <v>136</v>
      </c>
      <c r="O420" s="10">
        <v>95</v>
      </c>
      <c r="P420" s="10">
        <v>116</v>
      </c>
      <c r="Q420" s="10">
        <v>17.3</v>
      </c>
      <c r="R420" s="10">
        <v>1615</v>
      </c>
      <c r="S420" s="10">
        <v>1.22</v>
      </c>
      <c r="T420" s="10">
        <v>1966</v>
      </c>
      <c r="U420" s="10">
        <v>229</v>
      </c>
      <c r="V420" s="10">
        <v>113</v>
      </c>
      <c r="W420" s="10">
        <v>43</v>
      </c>
      <c r="X420" s="10">
        <v>248</v>
      </c>
      <c r="Y420" s="10">
        <v>13</v>
      </c>
      <c r="Z420" s="10">
        <v>167</v>
      </c>
      <c r="AA420" s="10">
        <v>0.312</v>
      </c>
      <c r="AB420" s="10">
        <v>179</v>
      </c>
      <c r="AC420" s="10">
        <v>142</v>
      </c>
      <c r="AD420" s="10">
        <v>69</v>
      </c>
      <c r="AE420" s="10">
        <v>8</v>
      </c>
      <c r="AF420" s="10">
        <v>9</v>
      </c>
      <c r="AG420" s="9" t="s">
        <v>188</v>
      </c>
      <c r="AH420" s="9" t="s">
        <v>185</v>
      </c>
      <c r="AI420" s="10"/>
      <c r="AJ420" s="10"/>
      <c r="AK420" s="30"/>
    </row>
    <row r="421" spans="5:37">
      <c r="E421" s="28" t="s">
        <v>155</v>
      </c>
      <c r="F421" s="8" t="s">
        <v>237</v>
      </c>
      <c r="G421" s="9" t="s">
        <v>361</v>
      </c>
      <c r="H421" s="10">
        <v>188.3</v>
      </c>
      <c r="I421" s="9" t="s">
        <v>158</v>
      </c>
      <c r="J421" s="10">
        <v>188.3</v>
      </c>
      <c r="K421" s="10">
        <v>187.7</v>
      </c>
      <c r="L421" s="10">
        <v>142</v>
      </c>
      <c r="M421" s="10">
        <v>154</v>
      </c>
      <c r="N421" s="10">
        <v>135</v>
      </c>
      <c r="O421" s="10">
        <v>95</v>
      </c>
      <c r="P421" s="10">
        <v>117</v>
      </c>
      <c r="Q421" s="10">
        <v>17.5</v>
      </c>
      <c r="R421" s="10">
        <v>1704</v>
      </c>
      <c r="S421" s="10">
        <v>1.19</v>
      </c>
      <c r="T421" s="10">
        <v>2028</v>
      </c>
      <c r="U421" s="10">
        <v>261</v>
      </c>
      <c r="V421" s="10">
        <v>124</v>
      </c>
      <c r="W421" s="10">
        <v>48</v>
      </c>
      <c r="X421" s="10">
        <v>290</v>
      </c>
      <c r="Y421" s="10">
        <v>13</v>
      </c>
      <c r="Z421" s="10">
        <v>168</v>
      </c>
      <c r="AA421" s="10">
        <v>0.26400000000000001</v>
      </c>
      <c r="AB421" s="10">
        <v>205</v>
      </c>
      <c r="AC421" s="10">
        <v>131</v>
      </c>
      <c r="AD421" s="10">
        <v>85</v>
      </c>
      <c r="AE421" s="10">
        <v>6</v>
      </c>
      <c r="AF421" s="10">
        <v>8.9</v>
      </c>
      <c r="AG421" s="9" t="s">
        <v>188</v>
      </c>
      <c r="AH421" s="9" t="s">
        <v>185</v>
      </c>
      <c r="AI421" s="10"/>
      <c r="AJ421" s="10"/>
      <c r="AK421" s="30"/>
    </row>
    <row r="422" spans="5:37">
      <c r="E422" s="28" t="s">
        <v>155</v>
      </c>
      <c r="F422" s="8" t="s">
        <v>237</v>
      </c>
      <c r="G422" s="9" t="s">
        <v>604</v>
      </c>
      <c r="H422" s="10">
        <v>171.1</v>
      </c>
      <c r="I422" s="9" t="s">
        <v>158</v>
      </c>
      <c r="J422" s="10">
        <v>171.1</v>
      </c>
      <c r="K422" s="10">
        <v>169.9</v>
      </c>
      <c r="L422" s="10">
        <v>119</v>
      </c>
      <c r="M422" s="10">
        <v>137</v>
      </c>
      <c r="N422" s="10">
        <v>118</v>
      </c>
      <c r="O422" s="10">
        <v>89</v>
      </c>
      <c r="P422" s="10">
        <v>110</v>
      </c>
      <c r="Q422" s="10">
        <v>17.3</v>
      </c>
      <c r="R422" s="10">
        <v>1634</v>
      </c>
      <c r="S422" s="10">
        <v>1.04</v>
      </c>
      <c r="T422" s="10">
        <v>1703</v>
      </c>
      <c r="U422" s="10">
        <v>147</v>
      </c>
      <c r="V422" s="10">
        <v>71</v>
      </c>
      <c r="W422" s="10">
        <v>41</v>
      </c>
      <c r="X422" s="10">
        <v>315</v>
      </c>
      <c r="Y422" s="10">
        <v>34</v>
      </c>
      <c r="Z422" s="10">
        <v>198</v>
      </c>
      <c r="AA422" s="10">
        <v>0.81899999999999995</v>
      </c>
      <c r="AB422" s="10">
        <v>207</v>
      </c>
      <c r="AC422" s="10">
        <v>120</v>
      </c>
      <c r="AD422" s="10">
        <v>108</v>
      </c>
      <c r="AE422" s="10">
        <v>4</v>
      </c>
      <c r="AF422" s="10">
        <v>6.5</v>
      </c>
      <c r="AG422" s="9" t="s">
        <v>188</v>
      </c>
      <c r="AH422" s="9" t="s">
        <v>184</v>
      </c>
      <c r="AI422" s="10"/>
      <c r="AJ422" s="10"/>
      <c r="AK422" s="30"/>
    </row>
    <row r="423" spans="5:37">
      <c r="E423" s="28" t="s">
        <v>155</v>
      </c>
      <c r="F423" s="8" t="s">
        <v>237</v>
      </c>
      <c r="G423" s="9" t="s">
        <v>604</v>
      </c>
      <c r="H423" s="10">
        <v>178.3</v>
      </c>
      <c r="I423" s="9" t="s">
        <v>158</v>
      </c>
      <c r="J423" s="10">
        <v>178.3</v>
      </c>
      <c r="K423" s="10">
        <v>176.7</v>
      </c>
      <c r="L423" s="10">
        <v>132</v>
      </c>
      <c r="M423" s="10">
        <v>143</v>
      </c>
      <c r="N423" s="10">
        <v>120</v>
      </c>
      <c r="O423" s="10">
        <v>89</v>
      </c>
      <c r="P423" s="10">
        <v>111</v>
      </c>
      <c r="Q423" s="10">
        <v>17.5</v>
      </c>
      <c r="R423" s="10">
        <v>1708</v>
      </c>
      <c r="S423" s="10">
        <v>1.04</v>
      </c>
      <c r="T423" s="10">
        <v>1782</v>
      </c>
      <c r="U423" s="10">
        <v>175</v>
      </c>
      <c r="V423" s="10">
        <v>80</v>
      </c>
      <c r="W423" s="10">
        <v>39</v>
      </c>
      <c r="X423" s="10">
        <v>242</v>
      </c>
      <c r="Y423" s="10">
        <v>34</v>
      </c>
      <c r="Z423" s="10">
        <v>201</v>
      </c>
      <c r="AA423" s="10">
        <v>0.88500000000000001</v>
      </c>
      <c r="AB423" s="10">
        <v>204</v>
      </c>
      <c r="AC423" s="10">
        <v>136</v>
      </c>
      <c r="AD423" s="10">
        <v>38</v>
      </c>
      <c r="AE423" s="10">
        <v>4</v>
      </c>
      <c r="AF423" s="10">
        <v>6.3</v>
      </c>
      <c r="AG423" s="9" t="s">
        <v>184</v>
      </c>
      <c r="AH423" s="10"/>
      <c r="AI423" s="10"/>
      <c r="AJ423" s="10"/>
      <c r="AK423" s="30"/>
    </row>
    <row r="424" spans="5:37">
      <c r="E424" s="28" t="s">
        <v>155</v>
      </c>
      <c r="F424" s="8" t="s">
        <v>237</v>
      </c>
      <c r="G424" s="9" t="s">
        <v>865</v>
      </c>
      <c r="H424" s="10">
        <v>188.2</v>
      </c>
      <c r="I424" s="9" t="s">
        <v>158</v>
      </c>
      <c r="J424" s="10">
        <v>188.2</v>
      </c>
      <c r="K424" s="10">
        <v>187.7</v>
      </c>
      <c r="L424" s="10">
        <v>0</v>
      </c>
      <c r="M424" s="10">
        <v>164</v>
      </c>
      <c r="N424" s="10">
        <v>137</v>
      </c>
      <c r="O424" s="10">
        <v>106</v>
      </c>
      <c r="P424" s="10">
        <v>126</v>
      </c>
      <c r="Q424" s="10">
        <v>25.6</v>
      </c>
      <c r="R424" s="10">
        <v>1981</v>
      </c>
      <c r="S424" s="10">
        <v>1.0900000000000001</v>
      </c>
      <c r="T424" s="10">
        <v>2162</v>
      </c>
      <c r="U424" s="10">
        <v>269</v>
      </c>
      <c r="V424" s="10">
        <v>173</v>
      </c>
      <c r="W424" s="10">
        <v>46</v>
      </c>
      <c r="X424" s="10">
        <v>1016</v>
      </c>
      <c r="Y424" s="10">
        <v>10</v>
      </c>
      <c r="Z424" s="10">
        <v>861</v>
      </c>
      <c r="AA424" s="10">
        <v>0.215</v>
      </c>
      <c r="AB424" s="10">
        <v>146</v>
      </c>
      <c r="AC424" s="10">
        <v>93</v>
      </c>
      <c r="AD424" s="10">
        <v>870</v>
      </c>
      <c r="AE424" s="10">
        <v>-4</v>
      </c>
      <c r="AF424" s="10">
        <v>7.8</v>
      </c>
      <c r="AG424" s="9" t="s">
        <v>178</v>
      </c>
      <c r="AH424" s="9" t="s">
        <v>185</v>
      </c>
      <c r="AI424" s="10"/>
      <c r="AJ424" s="10"/>
      <c r="AK424" s="30"/>
    </row>
    <row r="425" spans="5:37">
      <c r="E425" s="28" t="s">
        <v>155</v>
      </c>
      <c r="F425" s="8" t="s">
        <v>237</v>
      </c>
      <c r="G425" s="9" t="s">
        <v>443</v>
      </c>
      <c r="H425" s="10">
        <v>176</v>
      </c>
      <c r="I425" s="9" t="s">
        <v>158</v>
      </c>
      <c r="J425" s="10">
        <v>176</v>
      </c>
      <c r="K425" s="10">
        <v>175.6</v>
      </c>
      <c r="L425" s="10">
        <v>140</v>
      </c>
      <c r="M425" s="10">
        <v>143</v>
      </c>
      <c r="N425" s="10">
        <v>141</v>
      </c>
      <c r="O425" s="10">
        <v>106</v>
      </c>
      <c r="P425" s="10">
        <v>118</v>
      </c>
      <c r="Q425" s="10">
        <v>20.8</v>
      </c>
      <c r="R425" s="10">
        <v>1817</v>
      </c>
      <c r="S425" s="10">
        <v>1.1200000000000001</v>
      </c>
      <c r="T425" s="10">
        <v>2035</v>
      </c>
      <c r="U425" s="10">
        <v>189</v>
      </c>
      <c r="V425" s="10">
        <v>103</v>
      </c>
      <c r="W425" s="10">
        <v>45</v>
      </c>
      <c r="X425" s="10">
        <v>274</v>
      </c>
      <c r="Y425" s="10">
        <v>4</v>
      </c>
      <c r="Z425" s="10">
        <v>83</v>
      </c>
      <c r="AA425" s="10">
        <v>0.08</v>
      </c>
      <c r="AB425" s="10">
        <v>193</v>
      </c>
      <c r="AC425" s="10">
        <v>138</v>
      </c>
      <c r="AD425" s="10">
        <v>81</v>
      </c>
      <c r="AE425" s="10">
        <v>9</v>
      </c>
      <c r="AF425" s="10">
        <v>10.3</v>
      </c>
      <c r="AG425" s="9" t="s">
        <v>178</v>
      </c>
      <c r="AH425" s="9" t="s">
        <v>185</v>
      </c>
      <c r="AI425" s="10"/>
      <c r="AJ425" s="10"/>
      <c r="AK425" s="30"/>
    </row>
    <row r="426" spans="5:37">
      <c r="E426" s="28" t="s">
        <v>155</v>
      </c>
      <c r="F426" s="8" t="s">
        <v>237</v>
      </c>
      <c r="G426" s="9" t="s">
        <v>443</v>
      </c>
      <c r="H426" s="10">
        <v>183.4</v>
      </c>
      <c r="I426" s="9" t="s">
        <v>158</v>
      </c>
      <c r="J426" s="10">
        <v>183.4</v>
      </c>
      <c r="K426" s="10">
        <v>182.6</v>
      </c>
      <c r="L426" s="10">
        <v>145</v>
      </c>
      <c r="M426" s="10">
        <v>148</v>
      </c>
      <c r="N426" s="10">
        <v>141</v>
      </c>
      <c r="O426" s="10">
        <v>105</v>
      </c>
      <c r="P426" s="10">
        <v>118</v>
      </c>
      <c r="Q426" s="10">
        <v>21</v>
      </c>
      <c r="R426" s="10">
        <v>1950</v>
      </c>
      <c r="S426" s="10">
        <v>1.08</v>
      </c>
      <c r="T426" s="10">
        <v>2112</v>
      </c>
      <c r="U426" s="10">
        <v>230</v>
      </c>
      <c r="V426" s="10">
        <v>107</v>
      </c>
      <c r="W426" s="10">
        <v>46</v>
      </c>
      <c r="X426" s="10">
        <v>282</v>
      </c>
      <c r="Y426" s="10">
        <v>6</v>
      </c>
      <c r="Z426" s="10">
        <v>91</v>
      </c>
      <c r="AA426" s="10">
        <v>0.129</v>
      </c>
      <c r="AB426" s="10">
        <v>192</v>
      </c>
      <c r="AC426" s="10">
        <v>155</v>
      </c>
      <c r="AD426" s="10">
        <v>90</v>
      </c>
      <c r="AE426" s="10">
        <v>8</v>
      </c>
      <c r="AF426" s="10">
        <v>10.4</v>
      </c>
      <c r="AG426" s="9" t="s">
        <v>178</v>
      </c>
      <c r="AH426" s="9" t="s">
        <v>185</v>
      </c>
      <c r="AI426" s="10"/>
      <c r="AJ426" s="10"/>
      <c r="AK426" s="30"/>
    </row>
    <row r="427" spans="5:37">
      <c r="E427" s="28" t="s">
        <v>155</v>
      </c>
      <c r="F427" s="8" t="s">
        <v>237</v>
      </c>
      <c r="G427" s="9" t="s">
        <v>443</v>
      </c>
      <c r="H427" s="10">
        <v>188.2</v>
      </c>
      <c r="I427" s="9" t="s">
        <v>158</v>
      </c>
      <c r="J427" s="10">
        <v>188.2</v>
      </c>
      <c r="K427" s="10">
        <v>187.1</v>
      </c>
      <c r="L427" s="10">
        <v>153</v>
      </c>
      <c r="M427" s="10">
        <v>151</v>
      </c>
      <c r="N427" s="10">
        <v>142</v>
      </c>
      <c r="O427" s="10">
        <v>105</v>
      </c>
      <c r="P427" s="10">
        <v>119</v>
      </c>
      <c r="Q427" s="10">
        <v>21.2</v>
      </c>
      <c r="R427" s="10">
        <v>1929</v>
      </c>
      <c r="S427" s="10">
        <v>1.1299999999999999</v>
      </c>
      <c r="T427" s="10">
        <v>2173</v>
      </c>
      <c r="U427" s="10">
        <v>228</v>
      </c>
      <c r="V427" s="10">
        <v>126</v>
      </c>
      <c r="W427" s="10">
        <v>44</v>
      </c>
      <c r="X427" s="10">
        <v>279</v>
      </c>
      <c r="Y427" s="10">
        <v>2</v>
      </c>
      <c r="Z427" s="10">
        <v>66</v>
      </c>
      <c r="AA427" s="10">
        <v>5.5E-2</v>
      </c>
      <c r="AB427" s="10">
        <v>205</v>
      </c>
      <c r="AC427" s="10">
        <v>156</v>
      </c>
      <c r="AD427" s="10">
        <v>74</v>
      </c>
      <c r="AE427" s="10">
        <v>9</v>
      </c>
      <c r="AF427" s="10">
        <v>10.6</v>
      </c>
      <c r="AG427" s="9" t="s">
        <v>178</v>
      </c>
      <c r="AH427" s="9" t="s">
        <v>185</v>
      </c>
      <c r="AI427" s="10"/>
      <c r="AJ427" s="10"/>
      <c r="AK427" s="30"/>
    </row>
    <row r="428" spans="5:37">
      <c r="E428" s="28" t="s">
        <v>155</v>
      </c>
      <c r="F428" s="8" t="s">
        <v>237</v>
      </c>
      <c r="G428" s="9" t="s">
        <v>323</v>
      </c>
      <c r="H428" s="10">
        <v>167.2</v>
      </c>
      <c r="I428" s="9" t="s">
        <v>158</v>
      </c>
      <c r="J428" s="10">
        <v>167.2</v>
      </c>
      <c r="K428" s="10">
        <v>166.5</v>
      </c>
      <c r="L428" s="10">
        <v>115</v>
      </c>
      <c r="M428" s="10">
        <v>147</v>
      </c>
      <c r="N428" s="10">
        <v>121</v>
      </c>
      <c r="O428" s="10">
        <v>81</v>
      </c>
      <c r="P428" s="10">
        <v>105</v>
      </c>
      <c r="Q428" s="10">
        <v>16.100000000000001</v>
      </c>
      <c r="R428" s="10">
        <v>1519</v>
      </c>
      <c r="S428" s="10">
        <v>1.02</v>
      </c>
      <c r="T428" s="10">
        <v>1554</v>
      </c>
      <c r="U428" s="10">
        <v>165</v>
      </c>
      <c r="V428" s="10">
        <v>98</v>
      </c>
      <c r="W428" s="10">
        <v>35</v>
      </c>
      <c r="X428" s="10">
        <v>319</v>
      </c>
      <c r="Y428" s="10">
        <v>19</v>
      </c>
      <c r="Z428" s="10">
        <v>192</v>
      </c>
      <c r="AA428" s="10">
        <v>0.53700000000000003</v>
      </c>
      <c r="AB428" s="10">
        <v>110</v>
      </c>
      <c r="AC428" s="10">
        <v>88</v>
      </c>
      <c r="AD428" s="10">
        <v>209</v>
      </c>
      <c r="AE428" s="10">
        <v>4</v>
      </c>
      <c r="AF428" s="10">
        <v>10.5</v>
      </c>
      <c r="AG428" s="9" t="s">
        <v>188</v>
      </c>
      <c r="AH428" s="10"/>
      <c r="AI428" s="10"/>
      <c r="AJ428" s="10"/>
      <c r="AK428" s="30"/>
    </row>
    <row r="429" spans="5:37">
      <c r="E429" s="28" t="s">
        <v>155</v>
      </c>
      <c r="F429" s="8" t="s">
        <v>237</v>
      </c>
      <c r="G429" s="9" t="s">
        <v>323</v>
      </c>
      <c r="H429" s="10">
        <v>172.1</v>
      </c>
      <c r="I429" s="9" t="s">
        <v>158</v>
      </c>
      <c r="J429" s="10">
        <v>172.1</v>
      </c>
      <c r="K429" s="10">
        <v>171.1</v>
      </c>
      <c r="L429" s="10">
        <v>136</v>
      </c>
      <c r="M429" s="10">
        <v>151</v>
      </c>
      <c r="N429" s="10">
        <v>123</v>
      </c>
      <c r="O429" s="10">
        <v>81</v>
      </c>
      <c r="P429" s="10">
        <v>109</v>
      </c>
      <c r="Q429" s="10">
        <v>15.9</v>
      </c>
      <c r="R429" s="10">
        <v>1580</v>
      </c>
      <c r="S429" s="10">
        <v>1.02</v>
      </c>
      <c r="T429" s="10">
        <v>1614</v>
      </c>
      <c r="U429" s="10">
        <v>183</v>
      </c>
      <c r="V429" s="10">
        <v>97</v>
      </c>
      <c r="W429" s="10">
        <v>36</v>
      </c>
      <c r="X429" s="10">
        <v>199</v>
      </c>
      <c r="Y429" s="10">
        <v>17</v>
      </c>
      <c r="Z429" s="10">
        <v>157</v>
      </c>
      <c r="AA429" s="10">
        <v>0.47599999999999998</v>
      </c>
      <c r="AB429" s="10">
        <v>113</v>
      </c>
      <c r="AC429" s="10">
        <v>84</v>
      </c>
      <c r="AD429" s="10">
        <v>86</v>
      </c>
      <c r="AE429" s="10">
        <v>7</v>
      </c>
      <c r="AF429" s="10">
        <v>10.4</v>
      </c>
      <c r="AG429" s="9" t="s">
        <v>188</v>
      </c>
      <c r="AH429" s="10"/>
      <c r="AI429" s="10"/>
      <c r="AJ429" s="10"/>
      <c r="AK429" s="30"/>
    </row>
    <row r="430" spans="5:37">
      <c r="E430" s="28" t="s">
        <v>155</v>
      </c>
      <c r="F430" s="8" t="s">
        <v>237</v>
      </c>
      <c r="G430" s="9" t="s">
        <v>323</v>
      </c>
      <c r="H430" s="10">
        <v>177.3</v>
      </c>
      <c r="I430" s="9" t="s">
        <v>158</v>
      </c>
      <c r="J430" s="10">
        <v>177.3</v>
      </c>
      <c r="K430" s="10">
        <v>176.1</v>
      </c>
      <c r="L430" s="10">
        <v>137</v>
      </c>
      <c r="M430" s="10">
        <v>156</v>
      </c>
      <c r="N430" s="10">
        <v>123</v>
      </c>
      <c r="O430" s="10">
        <v>81</v>
      </c>
      <c r="P430" s="10">
        <v>109</v>
      </c>
      <c r="Q430" s="10">
        <v>17</v>
      </c>
      <c r="R430" s="10">
        <v>1748</v>
      </c>
      <c r="S430" s="10">
        <v>0.95</v>
      </c>
      <c r="T430" s="10">
        <v>1660</v>
      </c>
      <c r="U430" s="10">
        <v>203</v>
      </c>
      <c r="V430" s="10">
        <v>106</v>
      </c>
      <c r="W430" s="10">
        <v>42</v>
      </c>
      <c r="X430" s="10">
        <v>237</v>
      </c>
      <c r="Y430" s="10">
        <v>17</v>
      </c>
      <c r="Z430" s="10">
        <v>152</v>
      </c>
      <c r="AA430" s="10">
        <v>0.4</v>
      </c>
      <c r="AB430" s="10">
        <v>112</v>
      </c>
      <c r="AC430" s="10">
        <v>87</v>
      </c>
      <c r="AD430" s="10">
        <v>125</v>
      </c>
      <c r="AE430" s="10">
        <v>7</v>
      </c>
      <c r="AF430" s="10">
        <v>10.199999999999999</v>
      </c>
      <c r="AG430" s="9" t="s">
        <v>231</v>
      </c>
      <c r="AH430" s="9" t="s">
        <v>188</v>
      </c>
      <c r="AI430" s="10"/>
      <c r="AJ430" s="10"/>
      <c r="AK430" s="30"/>
    </row>
    <row r="431" spans="5:37">
      <c r="E431" s="28" t="s">
        <v>155</v>
      </c>
      <c r="F431" s="8" t="s">
        <v>237</v>
      </c>
      <c r="G431" s="9" t="s">
        <v>486</v>
      </c>
      <c r="H431" s="10">
        <v>170.1</v>
      </c>
      <c r="I431" s="9" t="s">
        <v>158</v>
      </c>
      <c r="J431" s="10">
        <v>170.1</v>
      </c>
      <c r="K431" s="10">
        <v>168.7</v>
      </c>
      <c r="L431" s="10">
        <v>122</v>
      </c>
      <c r="M431" s="10">
        <v>136</v>
      </c>
      <c r="N431" s="10">
        <v>135</v>
      </c>
      <c r="O431" s="10">
        <v>108</v>
      </c>
      <c r="P431" s="10">
        <v>124</v>
      </c>
      <c r="Q431" s="10">
        <v>20.9</v>
      </c>
      <c r="R431" s="10">
        <v>1727</v>
      </c>
      <c r="S431" s="10">
        <v>1.1399999999999999</v>
      </c>
      <c r="T431" s="10">
        <v>1960</v>
      </c>
      <c r="U431" s="10">
        <v>180</v>
      </c>
      <c r="V431" s="10">
        <v>73</v>
      </c>
      <c r="W431" s="10">
        <v>39</v>
      </c>
      <c r="X431" s="10">
        <v>200</v>
      </c>
      <c r="Y431" s="10">
        <v>36</v>
      </c>
      <c r="Z431" s="10">
        <v>271</v>
      </c>
      <c r="AA431" s="10">
        <v>0.90800000000000003</v>
      </c>
      <c r="AB431" s="10">
        <v>190</v>
      </c>
      <c r="AC431" s="10">
        <v>141</v>
      </c>
      <c r="AD431" s="10">
        <v>10</v>
      </c>
      <c r="AE431" s="10">
        <v>3</v>
      </c>
      <c r="AF431" s="10">
        <v>8.5</v>
      </c>
      <c r="AG431" s="9" t="s">
        <v>184</v>
      </c>
      <c r="AH431" s="9" t="s">
        <v>169</v>
      </c>
      <c r="AI431" s="9" t="s">
        <v>185</v>
      </c>
      <c r="AJ431" s="10"/>
      <c r="AK431" s="30"/>
    </row>
    <row r="432" spans="5:37">
      <c r="E432" s="28" t="s">
        <v>155</v>
      </c>
      <c r="F432" s="8" t="s">
        <v>237</v>
      </c>
      <c r="G432" s="9" t="s">
        <v>486</v>
      </c>
      <c r="H432" s="10">
        <v>176.7</v>
      </c>
      <c r="I432" s="9" t="s">
        <v>158</v>
      </c>
      <c r="J432" s="10">
        <v>176.7</v>
      </c>
      <c r="K432" s="10">
        <v>174.7</v>
      </c>
      <c r="L432" s="10">
        <v>130</v>
      </c>
      <c r="M432" s="10">
        <v>139</v>
      </c>
      <c r="N432" s="10">
        <v>138</v>
      </c>
      <c r="O432" s="10">
        <v>110</v>
      </c>
      <c r="P432" s="10">
        <v>127</v>
      </c>
      <c r="Q432" s="10">
        <v>21.1</v>
      </c>
      <c r="R432" s="10">
        <v>1878</v>
      </c>
      <c r="S432" s="10">
        <v>1.1000000000000001</v>
      </c>
      <c r="T432" s="10">
        <v>2065</v>
      </c>
      <c r="U432" s="10">
        <v>209</v>
      </c>
      <c r="V432" s="10">
        <v>79</v>
      </c>
      <c r="W432" s="10">
        <v>44</v>
      </c>
      <c r="X432" s="10">
        <v>219</v>
      </c>
      <c r="Y432" s="10">
        <v>34</v>
      </c>
      <c r="Z432" s="10">
        <v>230</v>
      </c>
      <c r="AA432" s="10">
        <v>0.78</v>
      </c>
      <c r="AB432" s="10">
        <v>196</v>
      </c>
      <c r="AC432" s="10">
        <v>159</v>
      </c>
      <c r="AD432" s="10">
        <v>23</v>
      </c>
      <c r="AE432" s="10">
        <v>3</v>
      </c>
      <c r="AF432" s="10">
        <v>8.3000000000000007</v>
      </c>
      <c r="AG432" s="9" t="s">
        <v>169</v>
      </c>
      <c r="AH432" s="9" t="s">
        <v>185</v>
      </c>
      <c r="AI432" s="10"/>
      <c r="AJ432" s="10"/>
      <c r="AK432" s="30"/>
    </row>
    <row r="433" spans="5:37">
      <c r="E433" s="28" t="s">
        <v>155</v>
      </c>
      <c r="F433" s="8" t="s">
        <v>237</v>
      </c>
      <c r="G433" s="9" t="s">
        <v>486</v>
      </c>
      <c r="H433" s="10">
        <v>181.4</v>
      </c>
      <c r="I433" s="9" t="s">
        <v>158</v>
      </c>
      <c r="J433" s="10">
        <v>181.4</v>
      </c>
      <c r="K433" s="10">
        <v>179.6</v>
      </c>
      <c r="L433" s="10">
        <v>106</v>
      </c>
      <c r="M433" s="10">
        <v>142</v>
      </c>
      <c r="N433" s="10">
        <v>137</v>
      </c>
      <c r="O433" s="10">
        <v>108</v>
      </c>
      <c r="P433" s="10">
        <v>126</v>
      </c>
      <c r="Q433" s="10">
        <v>21.2</v>
      </c>
      <c r="R433" s="10">
        <v>1915</v>
      </c>
      <c r="S433" s="10">
        <v>1.1000000000000001</v>
      </c>
      <c r="T433" s="10">
        <v>2104</v>
      </c>
      <c r="U433" s="10">
        <v>210</v>
      </c>
      <c r="V433" s="10">
        <v>89</v>
      </c>
      <c r="W433" s="10">
        <v>44</v>
      </c>
      <c r="X433" s="10">
        <v>514</v>
      </c>
      <c r="Y433" s="10">
        <v>33</v>
      </c>
      <c r="Z433" s="10">
        <v>220</v>
      </c>
      <c r="AA433" s="10">
        <v>0.751</v>
      </c>
      <c r="AB433" s="10">
        <v>210</v>
      </c>
      <c r="AC433" s="10">
        <v>163</v>
      </c>
      <c r="AD433" s="10">
        <v>305</v>
      </c>
      <c r="AE433" s="10">
        <v>2</v>
      </c>
      <c r="AF433" s="10">
        <v>8.3000000000000007</v>
      </c>
      <c r="AG433" s="9" t="s">
        <v>169</v>
      </c>
      <c r="AH433" s="9" t="s">
        <v>185</v>
      </c>
      <c r="AI433" s="10"/>
      <c r="AJ433" s="10"/>
      <c r="AK433" s="30"/>
    </row>
    <row r="434" spans="5:37">
      <c r="E434" s="28" t="s">
        <v>155</v>
      </c>
      <c r="F434" s="8" t="s">
        <v>237</v>
      </c>
      <c r="G434" s="9" t="s">
        <v>486</v>
      </c>
      <c r="H434" s="10">
        <v>186.2</v>
      </c>
      <c r="I434" s="9" t="s">
        <v>158</v>
      </c>
      <c r="J434" s="10">
        <v>186.2</v>
      </c>
      <c r="K434" s="10">
        <v>184.6</v>
      </c>
      <c r="L434" s="10">
        <v>136</v>
      </c>
      <c r="M434" s="10">
        <v>145</v>
      </c>
      <c r="N434" s="10">
        <v>138</v>
      </c>
      <c r="O434" s="10">
        <v>109</v>
      </c>
      <c r="P434" s="10">
        <v>127</v>
      </c>
      <c r="Q434" s="10">
        <v>21.2</v>
      </c>
      <c r="R434" s="10">
        <v>1964</v>
      </c>
      <c r="S434" s="10">
        <v>1.1100000000000001</v>
      </c>
      <c r="T434" s="10">
        <v>2179</v>
      </c>
      <c r="U434" s="10">
        <v>210</v>
      </c>
      <c r="V434" s="10">
        <v>94</v>
      </c>
      <c r="W434" s="10">
        <v>42</v>
      </c>
      <c r="X434" s="10">
        <v>195</v>
      </c>
      <c r="Y434" s="10">
        <v>39</v>
      </c>
      <c r="Z434" s="10">
        <v>293</v>
      </c>
      <c r="AA434" s="10">
        <v>0.92800000000000005</v>
      </c>
      <c r="AB434" s="10">
        <v>220</v>
      </c>
      <c r="AC434" s="10">
        <v>174</v>
      </c>
      <c r="AD434" s="10">
        <v>-25</v>
      </c>
      <c r="AE434" s="10">
        <v>3</v>
      </c>
      <c r="AF434" s="10">
        <v>8.1999999999999993</v>
      </c>
      <c r="AG434" s="9" t="s">
        <v>184</v>
      </c>
      <c r="AH434" s="9" t="s">
        <v>169</v>
      </c>
      <c r="AI434" s="9" t="s">
        <v>185</v>
      </c>
      <c r="AJ434" s="10"/>
      <c r="AK434" s="30"/>
    </row>
    <row r="435" spans="5:37">
      <c r="E435" s="28" t="s">
        <v>155</v>
      </c>
      <c r="F435" s="8" t="s">
        <v>237</v>
      </c>
      <c r="G435" s="9" t="s">
        <v>555</v>
      </c>
      <c r="H435" s="10">
        <v>177.4</v>
      </c>
      <c r="I435" s="9" t="s">
        <v>158</v>
      </c>
      <c r="J435" s="10">
        <v>177.4</v>
      </c>
      <c r="K435" s="10">
        <v>176.1</v>
      </c>
      <c r="L435" s="10">
        <v>104</v>
      </c>
      <c r="M435" s="10">
        <v>157</v>
      </c>
      <c r="N435" s="10">
        <v>137</v>
      </c>
      <c r="O435" s="10">
        <v>98</v>
      </c>
      <c r="P435" s="10">
        <v>122</v>
      </c>
      <c r="Q435" s="10">
        <v>19.399999999999999</v>
      </c>
      <c r="R435" s="10">
        <v>1952</v>
      </c>
      <c r="S435" s="10">
        <v>0.99</v>
      </c>
      <c r="T435" s="10">
        <v>1934</v>
      </c>
      <c r="U435" s="10">
        <v>262</v>
      </c>
      <c r="V435" s="10">
        <v>114</v>
      </c>
      <c r="W435" s="10">
        <v>53</v>
      </c>
      <c r="X435" s="10">
        <v>426</v>
      </c>
      <c r="Y435" s="10">
        <v>30</v>
      </c>
      <c r="Z435" s="10">
        <v>295</v>
      </c>
      <c r="AA435" s="10">
        <v>0.57299999999999995</v>
      </c>
      <c r="AB435" s="10">
        <v>112</v>
      </c>
      <c r="AC435" s="10">
        <v>84</v>
      </c>
      <c r="AD435" s="10">
        <v>314</v>
      </c>
      <c r="AE435" s="10">
        <v>2</v>
      </c>
      <c r="AF435" s="10">
        <v>8.5</v>
      </c>
      <c r="AG435" s="9" t="s">
        <v>188</v>
      </c>
      <c r="AH435" s="10"/>
      <c r="AI435" s="10"/>
      <c r="AJ435" s="10"/>
      <c r="AK435" s="30"/>
    </row>
    <row r="436" spans="5:37">
      <c r="E436" s="28" t="s">
        <v>155</v>
      </c>
      <c r="F436" s="8" t="s">
        <v>237</v>
      </c>
      <c r="G436" s="9" t="s">
        <v>555</v>
      </c>
      <c r="H436" s="10">
        <v>183.1</v>
      </c>
      <c r="I436" s="9" t="s">
        <v>158</v>
      </c>
      <c r="J436" s="10">
        <v>183.1</v>
      </c>
      <c r="K436" s="10">
        <v>182</v>
      </c>
      <c r="L436" s="10">
        <v>109</v>
      </c>
      <c r="M436" s="10">
        <v>163</v>
      </c>
      <c r="N436" s="10">
        <v>137</v>
      </c>
      <c r="O436" s="10">
        <v>98</v>
      </c>
      <c r="P436" s="10">
        <v>122</v>
      </c>
      <c r="Q436" s="10">
        <v>20.8</v>
      </c>
      <c r="R436" s="10">
        <v>2045</v>
      </c>
      <c r="S436" s="10">
        <v>0.98</v>
      </c>
      <c r="T436" s="10">
        <v>1997</v>
      </c>
      <c r="U436" s="10">
        <v>292</v>
      </c>
      <c r="V436" s="10">
        <v>134</v>
      </c>
      <c r="W436" s="10">
        <v>48</v>
      </c>
      <c r="X436" s="10">
        <v>428</v>
      </c>
      <c r="Y436" s="10">
        <v>33</v>
      </c>
      <c r="Z436" s="10">
        <v>299</v>
      </c>
      <c r="AA436" s="10">
        <v>0.67700000000000005</v>
      </c>
      <c r="AB436" s="10">
        <v>107</v>
      </c>
      <c r="AC436" s="10">
        <v>86</v>
      </c>
      <c r="AD436" s="10">
        <v>321</v>
      </c>
      <c r="AE436" s="10">
        <v>3</v>
      </c>
      <c r="AF436" s="10">
        <v>8.3000000000000007</v>
      </c>
      <c r="AG436" s="9" t="s">
        <v>188</v>
      </c>
      <c r="AH436" s="10"/>
      <c r="AI436" s="10"/>
      <c r="AJ436" s="10"/>
      <c r="AK436" s="30"/>
    </row>
    <row r="437" spans="5:37">
      <c r="E437" s="28" t="s">
        <v>155</v>
      </c>
      <c r="F437" s="8" t="s">
        <v>237</v>
      </c>
      <c r="G437" s="9" t="s">
        <v>732</v>
      </c>
      <c r="H437" s="10">
        <v>173.2</v>
      </c>
      <c r="I437" s="9" t="s">
        <v>158</v>
      </c>
      <c r="J437" s="10">
        <v>173.2</v>
      </c>
      <c r="K437" s="10">
        <v>171.7</v>
      </c>
      <c r="L437" s="10">
        <v>119</v>
      </c>
      <c r="M437" s="10">
        <v>147</v>
      </c>
      <c r="N437" s="10">
        <v>130</v>
      </c>
      <c r="O437" s="10">
        <v>86</v>
      </c>
      <c r="P437" s="10">
        <v>121</v>
      </c>
      <c r="Q437" s="10">
        <v>12.7</v>
      </c>
      <c r="R437" s="10">
        <v>1725</v>
      </c>
      <c r="S437" s="10">
        <v>1.02</v>
      </c>
      <c r="T437" s="10">
        <v>1763</v>
      </c>
      <c r="U437" s="10">
        <v>177</v>
      </c>
      <c r="V437" s="10">
        <v>71</v>
      </c>
      <c r="W437" s="10">
        <v>42</v>
      </c>
      <c r="X437" s="10">
        <v>279</v>
      </c>
      <c r="Y437" s="10">
        <v>36</v>
      </c>
      <c r="Z437" s="10">
        <v>249</v>
      </c>
      <c r="AA437" s="10">
        <v>0.85799999999999998</v>
      </c>
      <c r="AB437" s="10">
        <v>139</v>
      </c>
      <c r="AC437" s="10">
        <v>113</v>
      </c>
      <c r="AD437" s="10">
        <v>140</v>
      </c>
      <c r="AE437" s="10">
        <v>3</v>
      </c>
      <c r="AF437" s="10">
        <v>3.5</v>
      </c>
      <c r="AG437" s="9" t="s">
        <v>188</v>
      </c>
      <c r="AH437" s="9" t="s">
        <v>184</v>
      </c>
      <c r="AI437" s="10"/>
      <c r="AJ437" s="10"/>
      <c r="AK437" s="30"/>
    </row>
    <row r="438" spans="5:37">
      <c r="E438" s="28" t="s">
        <v>155</v>
      </c>
      <c r="F438" s="8" t="s">
        <v>237</v>
      </c>
      <c r="G438" s="9" t="s">
        <v>732</v>
      </c>
      <c r="H438" s="10">
        <v>178</v>
      </c>
      <c r="I438" s="9" t="s">
        <v>158</v>
      </c>
      <c r="J438" s="10">
        <v>178</v>
      </c>
      <c r="K438" s="10">
        <v>176.7</v>
      </c>
      <c r="L438" s="10">
        <v>118</v>
      </c>
      <c r="M438" s="10">
        <v>152</v>
      </c>
      <c r="N438" s="10">
        <v>133</v>
      </c>
      <c r="O438" s="10">
        <v>86</v>
      </c>
      <c r="P438" s="10">
        <v>123</v>
      </c>
      <c r="Q438" s="10">
        <v>12.7</v>
      </c>
      <c r="R438" s="10">
        <v>1860</v>
      </c>
      <c r="S438" s="10">
        <v>0.98</v>
      </c>
      <c r="T438" s="10">
        <v>1827</v>
      </c>
      <c r="U438" s="10">
        <v>192</v>
      </c>
      <c r="V438" s="10">
        <v>73</v>
      </c>
      <c r="W438" s="10">
        <v>36</v>
      </c>
      <c r="X438" s="10">
        <v>271</v>
      </c>
      <c r="Y438" s="10">
        <v>37</v>
      </c>
      <c r="Z438" s="10">
        <v>316</v>
      </c>
      <c r="AA438" s="10">
        <v>1.0249999999999999</v>
      </c>
      <c r="AB438" s="10">
        <v>138</v>
      </c>
      <c r="AC438" s="10">
        <v>112</v>
      </c>
      <c r="AD438" s="10">
        <v>133</v>
      </c>
      <c r="AE438" s="10">
        <v>3</v>
      </c>
      <c r="AF438" s="10">
        <v>4.5999999999999996</v>
      </c>
      <c r="AG438" s="9" t="s">
        <v>184</v>
      </c>
      <c r="AH438" s="10"/>
      <c r="AI438" s="10"/>
      <c r="AJ438" s="10"/>
      <c r="AK438" s="30"/>
    </row>
    <row r="439" spans="5:37">
      <c r="E439" s="28" t="s">
        <v>155</v>
      </c>
      <c r="F439" s="8" t="s">
        <v>237</v>
      </c>
      <c r="G439" s="9" t="s">
        <v>238</v>
      </c>
      <c r="H439" s="10">
        <v>167.1</v>
      </c>
      <c r="I439" s="9" t="s">
        <v>158</v>
      </c>
      <c r="J439" s="10">
        <v>167.1</v>
      </c>
      <c r="K439" s="10">
        <v>166.5</v>
      </c>
      <c r="L439" s="10">
        <v>114</v>
      </c>
      <c r="M439" s="10">
        <v>140</v>
      </c>
      <c r="N439" s="10">
        <v>137</v>
      </c>
      <c r="O439" s="10">
        <v>100</v>
      </c>
      <c r="P439" s="10">
        <v>117</v>
      </c>
      <c r="Q439" s="10">
        <v>18.2</v>
      </c>
      <c r="R439" s="10">
        <v>1576</v>
      </c>
      <c r="S439" s="10">
        <v>1.17</v>
      </c>
      <c r="T439" s="10">
        <v>1847</v>
      </c>
      <c r="U439" s="10">
        <v>185</v>
      </c>
      <c r="V439" s="10">
        <v>82</v>
      </c>
      <c r="W439" s="10">
        <v>46</v>
      </c>
      <c r="X439" s="10">
        <v>309</v>
      </c>
      <c r="Y439" s="10">
        <v>17</v>
      </c>
      <c r="Z439" s="10">
        <v>215</v>
      </c>
      <c r="AA439" s="10">
        <v>0.36099999999999999</v>
      </c>
      <c r="AB439" s="10">
        <v>138</v>
      </c>
      <c r="AC439" s="10">
        <v>122</v>
      </c>
      <c r="AD439" s="10">
        <v>171</v>
      </c>
      <c r="AE439" s="10">
        <v>4</v>
      </c>
      <c r="AF439" s="10">
        <v>9.3000000000000007</v>
      </c>
      <c r="AG439" s="9" t="s">
        <v>188</v>
      </c>
      <c r="AH439" s="9" t="s">
        <v>169</v>
      </c>
      <c r="AI439" s="9" t="s">
        <v>178</v>
      </c>
      <c r="AJ439" s="9" t="s">
        <v>185</v>
      </c>
      <c r="AK439" s="30"/>
    </row>
    <row r="440" spans="5:37">
      <c r="E440" s="28" t="s">
        <v>155</v>
      </c>
      <c r="F440" s="8" t="s">
        <v>237</v>
      </c>
      <c r="G440" s="9" t="s">
        <v>238</v>
      </c>
      <c r="H440" s="10">
        <v>173.4</v>
      </c>
      <c r="I440" s="9" t="s">
        <v>158</v>
      </c>
      <c r="J440" s="10">
        <v>173.4</v>
      </c>
      <c r="K440" s="10">
        <v>171.8</v>
      </c>
      <c r="L440" s="10">
        <v>122</v>
      </c>
      <c r="M440" s="10">
        <v>145</v>
      </c>
      <c r="N440" s="10">
        <v>138</v>
      </c>
      <c r="O440" s="10">
        <v>100</v>
      </c>
      <c r="P440" s="10">
        <v>118</v>
      </c>
      <c r="Q440" s="10">
        <v>18.7</v>
      </c>
      <c r="R440" s="10">
        <v>1671</v>
      </c>
      <c r="S440" s="10">
        <v>1.1399999999999999</v>
      </c>
      <c r="T440" s="10">
        <v>1913</v>
      </c>
      <c r="U440" s="10">
        <v>209</v>
      </c>
      <c r="V440" s="10">
        <v>95</v>
      </c>
      <c r="W440" s="10">
        <v>44</v>
      </c>
      <c r="X440" s="10">
        <v>292</v>
      </c>
      <c r="Y440" s="10">
        <v>16</v>
      </c>
      <c r="Z440" s="10">
        <v>202</v>
      </c>
      <c r="AA440" s="10">
        <v>0.35199999999999998</v>
      </c>
      <c r="AB440" s="10">
        <v>157</v>
      </c>
      <c r="AC440" s="10">
        <v>116</v>
      </c>
      <c r="AD440" s="10">
        <v>135</v>
      </c>
      <c r="AE440" s="10">
        <v>4</v>
      </c>
      <c r="AF440" s="10">
        <v>9.6999999999999993</v>
      </c>
      <c r="AG440" s="9" t="s">
        <v>188</v>
      </c>
      <c r="AH440" s="9" t="s">
        <v>169</v>
      </c>
      <c r="AI440" s="9" t="s">
        <v>178</v>
      </c>
      <c r="AJ440" s="9" t="s">
        <v>185</v>
      </c>
      <c r="AK440" s="30"/>
    </row>
    <row r="441" spans="5:37">
      <c r="E441" s="28" t="s">
        <v>155</v>
      </c>
      <c r="F441" s="8" t="s">
        <v>237</v>
      </c>
      <c r="G441" s="9" t="s">
        <v>238</v>
      </c>
      <c r="H441" s="10">
        <v>179.1</v>
      </c>
      <c r="I441" s="9" t="s">
        <v>158</v>
      </c>
      <c r="J441" s="10">
        <v>179.1</v>
      </c>
      <c r="K441" s="10">
        <v>178.4</v>
      </c>
      <c r="L441" s="10">
        <v>125</v>
      </c>
      <c r="M441" s="10">
        <v>149</v>
      </c>
      <c r="N441" s="10">
        <v>138</v>
      </c>
      <c r="O441" s="10">
        <v>100</v>
      </c>
      <c r="P441" s="10">
        <v>119</v>
      </c>
      <c r="Q441" s="10">
        <v>19</v>
      </c>
      <c r="R441" s="10">
        <v>1748</v>
      </c>
      <c r="S441" s="10">
        <v>1.1399999999999999</v>
      </c>
      <c r="T441" s="10">
        <v>1996</v>
      </c>
      <c r="U441" s="10">
        <v>231</v>
      </c>
      <c r="V441" s="10">
        <v>108</v>
      </c>
      <c r="W441" s="10">
        <v>45</v>
      </c>
      <c r="X441" s="10">
        <v>338</v>
      </c>
      <c r="Y441" s="10">
        <v>15</v>
      </c>
      <c r="Z441" s="10">
        <v>196</v>
      </c>
      <c r="AA441" s="10">
        <v>0.33300000000000002</v>
      </c>
      <c r="AB441" s="10">
        <v>166</v>
      </c>
      <c r="AC441" s="10">
        <v>130</v>
      </c>
      <c r="AD441" s="10">
        <v>171</v>
      </c>
      <c r="AE441" s="10">
        <v>5</v>
      </c>
      <c r="AF441" s="10">
        <v>9.4</v>
      </c>
      <c r="AG441" s="9" t="s">
        <v>188</v>
      </c>
      <c r="AH441" s="9" t="s">
        <v>178</v>
      </c>
      <c r="AI441" s="9" t="s">
        <v>185</v>
      </c>
      <c r="AJ441" s="10"/>
      <c r="AK441" s="30"/>
    </row>
    <row r="442" spans="5:37">
      <c r="E442" s="28" t="s">
        <v>155</v>
      </c>
      <c r="F442" s="8" t="s">
        <v>237</v>
      </c>
      <c r="G442" s="9" t="s">
        <v>238</v>
      </c>
      <c r="H442" s="10">
        <v>185.8</v>
      </c>
      <c r="I442" s="9" t="s">
        <v>158</v>
      </c>
      <c r="J442" s="10">
        <v>185.8</v>
      </c>
      <c r="K442" s="10">
        <v>184.5</v>
      </c>
      <c r="L442" s="10">
        <v>143</v>
      </c>
      <c r="M442" s="10">
        <v>152</v>
      </c>
      <c r="N442" s="10">
        <v>139</v>
      </c>
      <c r="O442" s="10">
        <v>100</v>
      </c>
      <c r="P442" s="10">
        <v>120</v>
      </c>
      <c r="Q442" s="10">
        <v>19.100000000000001</v>
      </c>
      <c r="R442" s="10">
        <v>1800</v>
      </c>
      <c r="S442" s="10">
        <v>1.1499999999999999</v>
      </c>
      <c r="T442" s="10">
        <v>2071</v>
      </c>
      <c r="U442" s="10">
        <v>239</v>
      </c>
      <c r="V442" s="10">
        <v>116</v>
      </c>
      <c r="W442" s="10">
        <v>41</v>
      </c>
      <c r="X442" s="10">
        <v>213</v>
      </c>
      <c r="Y442" s="10">
        <v>15</v>
      </c>
      <c r="Z442" s="10">
        <v>202</v>
      </c>
      <c r="AA442" s="10">
        <v>0.371</v>
      </c>
      <c r="AB442" s="10">
        <v>182</v>
      </c>
      <c r="AC442" s="10">
        <v>142</v>
      </c>
      <c r="AD442" s="10">
        <v>31</v>
      </c>
      <c r="AE442" s="10">
        <v>7</v>
      </c>
      <c r="AF442" s="10">
        <v>9.5</v>
      </c>
      <c r="AG442" s="9" t="s">
        <v>188</v>
      </c>
      <c r="AH442" s="9" t="s">
        <v>169</v>
      </c>
      <c r="AI442" s="9" t="s">
        <v>178</v>
      </c>
      <c r="AJ442" s="9" t="s">
        <v>185</v>
      </c>
      <c r="AK442" s="30"/>
    </row>
    <row r="443" spans="5:37">
      <c r="E443" s="28" t="s">
        <v>155</v>
      </c>
      <c r="F443" s="8" t="s">
        <v>237</v>
      </c>
      <c r="G443" s="9" t="s">
        <v>1156</v>
      </c>
      <c r="H443" s="10">
        <v>190.6</v>
      </c>
      <c r="I443" s="9" t="s">
        <v>158</v>
      </c>
      <c r="J443" s="10">
        <v>190.6</v>
      </c>
      <c r="K443" s="10">
        <v>191</v>
      </c>
      <c r="L443" s="10">
        <v>0</v>
      </c>
      <c r="M443" s="10">
        <v>142</v>
      </c>
      <c r="N443" s="10">
        <v>140</v>
      </c>
      <c r="O443" s="10">
        <v>121</v>
      </c>
      <c r="P443" s="10">
        <v>133</v>
      </c>
      <c r="Q443" s="10">
        <v>27.5</v>
      </c>
      <c r="R443" s="10">
        <v>2228</v>
      </c>
      <c r="S443" s="10">
        <v>1.0900000000000001</v>
      </c>
      <c r="T443" s="10">
        <v>2427</v>
      </c>
      <c r="U443" s="10">
        <v>235</v>
      </c>
      <c r="V443" s="10">
        <v>103</v>
      </c>
      <c r="W443" s="10">
        <v>54</v>
      </c>
      <c r="X443" s="10">
        <v>1010</v>
      </c>
      <c r="Y443" s="10">
        <v>51</v>
      </c>
      <c r="Z443" s="10">
        <v>900</v>
      </c>
      <c r="AA443" s="10">
        <v>0.93700000000000006</v>
      </c>
      <c r="AB443" s="10">
        <v>255</v>
      </c>
      <c r="AC443" s="10">
        <v>232</v>
      </c>
      <c r="AD443" s="10">
        <v>755</v>
      </c>
      <c r="AE443" s="10">
        <v>-4</v>
      </c>
      <c r="AF443" s="10">
        <v>5.5</v>
      </c>
      <c r="AG443" s="9" t="s">
        <v>184</v>
      </c>
      <c r="AH443" s="9" t="s">
        <v>169</v>
      </c>
      <c r="AI443" s="9" t="s">
        <v>185</v>
      </c>
      <c r="AJ443" s="10"/>
      <c r="AK443" s="30"/>
    </row>
    <row r="444" spans="5:37">
      <c r="E444" s="28" t="s">
        <v>155</v>
      </c>
      <c r="F444" s="8" t="s">
        <v>237</v>
      </c>
      <c r="G444" s="9" t="s">
        <v>371</v>
      </c>
      <c r="H444" s="10">
        <v>169.2</v>
      </c>
      <c r="I444" s="9" t="s">
        <v>158</v>
      </c>
      <c r="J444" s="10">
        <v>169.2</v>
      </c>
      <c r="K444" s="10">
        <v>168.8</v>
      </c>
      <c r="L444" s="10">
        <v>104</v>
      </c>
      <c r="M444" s="10">
        <v>151</v>
      </c>
      <c r="N444" s="10">
        <v>122</v>
      </c>
      <c r="O444" s="10">
        <v>87</v>
      </c>
      <c r="P444" s="10">
        <v>106</v>
      </c>
      <c r="Q444" s="10">
        <v>21.1</v>
      </c>
      <c r="R444" s="10">
        <v>1615</v>
      </c>
      <c r="S444" s="10">
        <v>1.02</v>
      </c>
      <c r="T444" s="10">
        <v>1640</v>
      </c>
      <c r="U444" s="10">
        <v>190</v>
      </c>
      <c r="V444" s="10">
        <v>109</v>
      </c>
      <c r="W444" s="10">
        <v>43</v>
      </c>
      <c r="X444" s="10">
        <v>396</v>
      </c>
      <c r="Y444" s="10">
        <v>19</v>
      </c>
      <c r="Z444" s="10">
        <v>251</v>
      </c>
      <c r="AA444" s="10">
        <v>0.45</v>
      </c>
      <c r="AB444" s="10">
        <v>97</v>
      </c>
      <c r="AC444" s="10">
        <v>78</v>
      </c>
      <c r="AD444" s="10">
        <v>299</v>
      </c>
      <c r="AE444" s="10">
        <v>4</v>
      </c>
      <c r="AF444" s="10">
        <v>9.9</v>
      </c>
      <c r="AG444" s="9" t="s">
        <v>188</v>
      </c>
      <c r="AH444" s="10"/>
      <c r="AI444" s="10"/>
      <c r="AJ444" s="10"/>
      <c r="AK444" s="30"/>
    </row>
    <row r="445" spans="5:37">
      <c r="E445" s="28" t="s">
        <v>155</v>
      </c>
      <c r="F445" s="8" t="s">
        <v>237</v>
      </c>
      <c r="G445" s="9" t="s">
        <v>371</v>
      </c>
      <c r="H445" s="10">
        <v>179.1</v>
      </c>
      <c r="I445" s="9" t="s">
        <v>158</v>
      </c>
      <c r="J445" s="10">
        <v>179.1</v>
      </c>
      <c r="K445" s="10">
        <v>178.6</v>
      </c>
      <c r="L445" s="10">
        <v>139</v>
      </c>
      <c r="M445" s="10">
        <v>159</v>
      </c>
      <c r="N445" s="10">
        <v>123</v>
      </c>
      <c r="O445" s="10">
        <v>87</v>
      </c>
      <c r="P445" s="10">
        <v>108</v>
      </c>
      <c r="Q445" s="10">
        <v>21.7</v>
      </c>
      <c r="R445" s="10">
        <v>1801</v>
      </c>
      <c r="S445" s="10">
        <v>0.97</v>
      </c>
      <c r="T445" s="10">
        <v>1747</v>
      </c>
      <c r="U445" s="10">
        <v>209</v>
      </c>
      <c r="V445" s="10">
        <v>119</v>
      </c>
      <c r="W445" s="10">
        <v>44</v>
      </c>
      <c r="X445" s="10">
        <v>233</v>
      </c>
      <c r="Y445" s="10">
        <v>16</v>
      </c>
      <c r="Z445" s="10">
        <v>167</v>
      </c>
      <c r="AA445" s="10">
        <v>0.36399999999999999</v>
      </c>
      <c r="AB445" s="10">
        <v>111</v>
      </c>
      <c r="AC445" s="10">
        <v>90</v>
      </c>
      <c r="AD445" s="10">
        <v>122</v>
      </c>
      <c r="AE445" s="10">
        <v>5</v>
      </c>
      <c r="AF445" s="10">
        <v>9.6999999999999993</v>
      </c>
      <c r="AG445" s="9" t="s">
        <v>188</v>
      </c>
      <c r="AH445" s="10"/>
      <c r="AI445" s="10"/>
      <c r="AJ445" s="10"/>
      <c r="AK445" s="30"/>
    </row>
    <row r="446" spans="5:37">
      <c r="E446" s="28" t="s">
        <v>155</v>
      </c>
      <c r="F446" s="8" t="s">
        <v>237</v>
      </c>
      <c r="G446" s="9" t="s">
        <v>391</v>
      </c>
      <c r="H446" s="10">
        <v>167.2</v>
      </c>
      <c r="I446" s="9" t="s">
        <v>158</v>
      </c>
      <c r="J446" s="10">
        <v>167.2</v>
      </c>
      <c r="K446" s="10">
        <v>166.1</v>
      </c>
      <c r="L446" s="10">
        <v>127</v>
      </c>
      <c r="M446" s="10">
        <v>146</v>
      </c>
      <c r="N446" s="10">
        <v>124</v>
      </c>
      <c r="O446" s="10">
        <v>88</v>
      </c>
      <c r="P446" s="10">
        <v>110</v>
      </c>
      <c r="Q446" s="10">
        <v>17.5</v>
      </c>
      <c r="R446" s="10">
        <v>1306</v>
      </c>
      <c r="S446" s="10">
        <v>1.27</v>
      </c>
      <c r="T446" s="10">
        <v>1656</v>
      </c>
      <c r="U446" s="10">
        <v>144</v>
      </c>
      <c r="V446" s="10">
        <v>71</v>
      </c>
      <c r="W446" s="10">
        <v>40</v>
      </c>
      <c r="X446" s="10">
        <v>245</v>
      </c>
      <c r="Y446" s="10">
        <v>10</v>
      </c>
      <c r="Z446" s="10">
        <v>142</v>
      </c>
      <c r="AA446" s="10">
        <v>0.251</v>
      </c>
      <c r="AB446" s="10">
        <v>96</v>
      </c>
      <c r="AC446" s="10">
        <v>103</v>
      </c>
      <c r="AD446" s="10">
        <v>148</v>
      </c>
      <c r="AE446" s="10">
        <v>7</v>
      </c>
      <c r="AF446" s="10">
        <v>10.3</v>
      </c>
      <c r="AG446" s="9" t="s">
        <v>188</v>
      </c>
      <c r="AH446" s="9" t="s">
        <v>185</v>
      </c>
      <c r="AI446" s="9" t="s">
        <v>198</v>
      </c>
      <c r="AJ446" s="10"/>
      <c r="AK446" s="30"/>
    </row>
    <row r="447" spans="5:37">
      <c r="E447" s="28" t="s">
        <v>155</v>
      </c>
      <c r="F447" s="8" t="s">
        <v>237</v>
      </c>
      <c r="G447" s="9" t="s">
        <v>391</v>
      </c>
      <c r="H447" s="10">
        <v>173.1</v>
      </c>
      <c r="I447" s="9" t="s">
        <v>158</v>
      </c>
      <c r="J447" s="10">
        <v>173.1</v>
      </c>
      <c r="K447" s="10">
        <v>172.3</v>
      </c>
      <c r="L447" s="10">
        <v>132</v>
      </c>
      <c r="M447" s="10">
        <v>149</v>
      </c>
      <c r="N447" s="10">
        <v>126</v>
      </c>
      <c r="O447" s="10">
        <v>88</v>
      </c>
      <c r="P447" s="10">
        <v>110</v>
      </c>
      <c r="Q447" s="10">
        <v>17.600000000000001</v>
      </c>
      <c r="R447" s="10">
        <v>1417</v>
      </c>
      <c r="S447" s="10">
        <v>1.22</v>
      </c>
      <c r="T447" s="10">
        <v>1722</v>
      </c>
      <c r="U447" s="10">
        <v>164</v>
      </c>
      <c r="V447" s="10">
        <v>72</v>
      </c>
      <c r="W447" s="10">
        <v>41</v>
      </c>
      <c r="X447" s="10">
        <v>254</v>
      </c>
      <c r="Y447" s="10">
        <v>11</v>
      </c>
      <c r="Z447" s="10">
        <v>152</v>
      </c>
      <c r="AA447" s="10">
        <v>0.27800000000000002</v>
      </c>
      <c r="AB447" s="10">
        <v>113</v>
      </c>
      <c r="AC447" s="10">
        <v>121</v>
      </c>
      <c r="AD447" s="10">
        <v>141</v>
      </c>
      <c r="AE447" s="10">
        <v>6</v>
      </c>
      <c r="AF447" s="10">
        <v>10.8</v>
      </c>
      <c r="AG447" s="9" t="s">
        <v>188</v>
      </c>
      <c r="AH447" s="9" t="s">
        <v>185</v>
      </c>
      <c r="AI447" s="10"/>
      <c r="AJ447" s="10"/>
      <c r="AK447" s="30"/>
    </row>
    <row r="448" spans="5:37">
      <c r="E448" s="28" t="s">
        <v>155</v>
      </c>
      <c r="F448" s="8" t="s">
        <v>237</v>
      </c>
      <c r="G448" s="9" t="s">
        <v>391</v>
      </c>
      <c r="H448" s="10">
        <v>179.3</v>
      </c>
      <c r="I448" s="9" t="s">
        <v>158</v>
      </c>
      <c r="J448" s="10">
        <v>179.3</v>
      </c>
      <c r="K448" s="10">
        <v>178.4</v>
      </c>
      <c r="L448" s="10">
        <v>139</v>
      </c>
      <c r="M448" s="10">
        <v>150</v>
      </c>
      <c r="N448" s="10">
        <v>127</v>
      </c>
      <c r="O448" s="10">
        <v>88</v>
      </c>
      <c r="P448" s="10">
        <v>111</v>
      </c>
      <c r="Q448" s="10">
        <v>17.600000000000001</v>
      </c>
      <c r="R448" s="10">
        <v>1450</v>
      </c>
      <c r="S448" s="10">
        <v>1.24</v>
      </c>
      <c r="T448" s="10">
        <v>1793</v>
      </c>
      <c r="U448" s="10">
        <v>189</v>
      </c>
      <c r="V448" s="10">
        <v>89</v>
      </c>
      <c r="W448" s="10">
        <v>39</v>
      </c>
      <c r="X448" s="10">
        <v>254</v>
      </c>
      <c r="Y448" s="10">
        <v>11</v>
      </c>
      <c r="Z448" s="10">
        <v>143</v>
      </c>
      <c r="AA448" s="10">
        <v>0.27</v>
      </c>
      <c r="AB448" s="10">
        <v>139</v>
      </c>
      <c r="AC448" s="10">
        <v>142</v>
      </c>
      <c r="AD448" s="10">
        <v>115</v>
      </c>
      <c r="AE448" s="10">
        <v>7</v>
      </c>
      <c r="AF448" s="10">
        <v>10.4</v>
      </c>
      <c r="AG448" s="9" t="s">
        <v>188</v>
      </c>
      <c r="AH448" s="9" t="s">
        <v>185</v>
      </c>
      <c r="AI448" s="10"/>
      <c r="AJ448" s="10"/>
      <c r="AK448" s="30"/>
    </row>
    <row r="449" spans="5:37">
      <c r="E449" s="28" t="s">
        <v>155</v>
      </c>
      <c r="F449" s="8" t="s">
        <v>237</v>
      </c>
      <c r="G449" s="9" t="s">
        <v>363</v>
      </c>
      <c r="H449" s="10">
        <v>168.2</v>
      </c>
      <c r="I449" s="9" t="s">
        <v>158</v>
      </c>
      <c r="J449" s="10">
        <v>168.2</v>
      </c>
      <c r="K449" s="10">
        <v>167.8</v>
      </c>
      <c r="L449" s="10">
        <v>112</v>
      </c>
      <c r="M449" s="10">
        <v>149</v>
      </c>
      <c r="N449" s="10">
        <v>128</v>
      </c>
      <c r="O449" s="10">
        <v>92</v>
      </c>
      <c r="P449" s="10">
        <v>111</v>
      </c>
      <c r="Q449" s="10">
        <v>19.7</v>
      </c>
      <c r="R449" s="10">
        <v>1721</v>
      </c>
      <c r="S449" s="10">
        <v>1</v>
      </c>
      <c r="T449" s="10">
        <v>1713</v>
      </c>
      <c r="U449" s="10">
        <v>167</v>
      </c>
      <c r="V449" s="10">
        <v>89</v>
      </c>
      <c r="W449" s="10">
        <v>46</v>
      </c>
      <c r="X449" s="10">
        <v>309</v>
      </c>
      <c r="Y449" s="10">
        <v>13</v>
      </c>
      <c r="Z449" s="10">
        <v>246</v>
      </c>
      <c r="AA449" s="10">
        <v>0.28000000000000003</v>
      </c>
      <c r="AB449" s="10">
        <v>100</v>
      </c>
      <c r="AC449" s="10">
        <v>89</v>
      </c>
      <c r="AD449" s="10">
        <v>209</v>
      </c>
      <c r="AE449" s="10">
        <v>4</v>
      </c>
      <c r="AF449" s="10">
        <v>7.9</v>
      </c>
      <c r="AG449" s="9" t="s">
        <v>188</v>
      </c>
      <c r="AH449" s="10"/>
      <c r="AI449" s="10"/>
      <c r="AJ449" s="10"/>
      <c r="AK449" s="30"/>
    </row>
    <row r="450" spans="5:37">
      <c r="E450" s="28" t="s">
        <v>155</v>
      </c>
      <c r="F450" s="8" t="s">
        <v>237</v>
      </c>
      <c r="G450" s="9" t="s">
        <v>363</v>
      </c>
      <c r="H450" s="10">
        <v>174.1</v>
      </c>
      <c r="I450" s="9" t="s">
        <v>158</v>
      </c>
      <c r="J450" s="10">
        <v>174.1</v>
      </c>
      <c r="K450" s="10">
        <v>173.5</v>
      </c>
      <c r="L450" s="10">
        <v>117</v>
      </c>
      <c r="M450" s="10">
        <v>153</v>
      </c>
      <c r="N450" s="10">
        <v>129</v>
      </c>
      <c r="O450" s="10">
        <v>92</v>
      </c>
      <c r="P450" s="10">
        <v>112</v>
      </c>
      <c r="Q450" s="10">
        <v>19.8</v>
      </c>
      <c r="R450" s="10">
        <v>1752</v>
      </c>
      <c r="S450" s="10">
        <v>1.02</v>
      </c>
      <c r="T450" s="10">
        <v>1784</v>
      </c>
      <c r="U450" s="10">
        <v>185</v>
      </c>
      <c r="V450" s="10">
        <v>80</v>
      </c>
      <c r="W450" s="10">
        <v>42</v>
      </c>
      <c r="X450" s="10">
        <v>292</v>
      </c>
      <c r="Y450" s="10">
        <v>14</v>
      </c>
      <c r="Z450" s="10">
        <v>276</v>
      </c>
      <c r="AA450" s="10">
        <v>0.32400000000000001</v>
      </c>
      <c r="AB450" s="10">
        <v>107</v>
      </c>
      <c r="AC450" s="10">
        <v>95</v>
      </c>
      <c r="AD450" s="10">
        <v>185</v>
      </c>
      <c r="AE450" s="10">
        <v>3</v>
      </c>
      <c r="AF450" s="10">
        <v>8.5</v>
      </c>
      <c r="AG450" s="9" t="s">
        <v>188</v>
      </c>
      <c r="AH450" s="10"/>
      <c r="AI450" s="10"/>
      <c r="AJ450" s="10"/>
      <c r="AK450" s="30"/>
    </row>
    <row r="451" spans="5:37">
      <c r="E451" s="28" t="s">
        <v>155</v>
      </c>
      <c r="F451" s="8" t="s">
        <v>237</v>
      </c>
      <c r="G451" s="9" t="s">
        <v>363</v>
      </c>
      <c r="H451" s="10">
        <v>180.1</v>
      </c>
      <c r="I451" s="9" t="s">
        <v>158</v>
      </c>
      <c r="J451" s="10">
        <v>180.1</v>
      </c>
      <c r="K451" s="10">
        <v>179.2</v>
      </c>
      <c r="L451" s="10">
        <v>123</v>
      </c>
      <c r="M451" s="10">
        <v>157</v>
      </c>
      <c r="N451" s="10">
        <v>131</v>
      </c>
      <c r="O451" s="10">
        <v>92</v>
      </c>
      <c r="P451" s="10">
        <v>114</v>
      </c>
      <c r="Q451" s="10">
        <v>19.399999999999999</v>
      </c>
      <c r="R451" s="10">
        <v>1828</v>
      </c>
      <c r="S451" s="10">
        <v>1.01</v>
      </c>
      <c r="T451" s="10">
        <v>1855</v>
      </c>
      <c r="U451" s="10">
        <v>221</v>
      </c>
      <c r="V451" s="10">
        <v>97</v>
      </c>
      <c r="W451" s="10">
        <v>54</v>
      </c>
      <c r="X451" s="10">
        <v>333</v>
      </c>
      <c r="Y451" s="10">
        <v>11</v>
      </c>
      <c r="Z451" s="10">
        <v>230</v>
      </c>
      <c r="AA451" s="10">
        <v>0.19800000000000001</v>
      </c>
      <c r="AB451" s="10">
        <v>111</v>
      </c>
      <c r="AC451" s="10">
        <v>109</v>
      </c>
      <c r="AD451" s="10">
        <v>222</v>
      </c>
      <c r="AE451" s="10">
        <v>4</v>
      </c>
      <c r="AF451" s="10">
        <v>8.1999999999999993</v>
      </c>
      <c r="AG451" s="9" t="s">
        <v>188</v>
      </c>
      <c r="AH451" s="10"/>
      <c r="AI451" s="10"/>
      <c r="AJ451" s="10"/>
      <c r="AK451" s="30"/>
    </row>
    <row r="452" spans="5:37">
      <c r="E452" s="28" t="s">
        <v>155</v>
      </c>
      <c r="F452" s="8" t="s">
        <v>237</v>
      </c>
      <c r="G452" s="9" t="s">
        <v>363</v>
      </c>
      <c r="H452" s="10">
        <v>186.3</v>
      </c>
      <c r="I452" s="9" t="s">
        <v>158</v>
      </c>
      <c r="J452" s="10">
        <v>186.3</v>
      </c>
      <c r="K452" s="10">
        <v>185.8</v>
      </c>
      <c r="L452" s="10">
        <v>119</v>
      </c>
      <c r="M452" s="10">
        <v>162</v>
      </c>
      <c r="N452" s="10">
        <v>131</v>
      </c>
      <c r="O452" s="10">
        <v>91</v>
      </c>
      <c r="P452" s="10">
        <v>114</v>
      </c>
      <c r="Q452" s="10">
        <v>19.8</v>
      </c>
      <c r="R452" s="10">
        <v>1964</v>
      </c>
      <c r="S452" s="10">
        <v>0.98</v>
      </c>
      <c r="T452" s="10">
        <v>1927</v>
      </c>
      <c r="U452" s="10">
        <v>220</v>
      </c>
      <c r="V452" s="10">
        <v>113</v>
      </c>
      <c r="W452" s="10">
        <v>51</v>
      </c>
      <c r="X452" s="10">
        <v>362</v>
      </c>
      <c r="Y452" s="10">
        <v>15</v>
      </c>
      <c r="Z452" s="10">
        <v>310</v>
      </c>
      <c r="AA452" s="10">
        <v>0.29599999999999999</v>
      </c>
      <c r="AB452" s="10">
        <v>121</v>
      </c>
      <c r="AC452" s="10">
        <v>115</v>
      </c>
      <c r="AD452" s="10">
        <v>241</v>
      </c>
      <c r="AE452" s="10">
        <v>2</v>
      </c>
      <c r="AF452" s="10">
        <v>8.1</v>
      </c>
      <c r="AG452" s="9" t="s">
        <v>188</v>
      </c>
      <c r="AH452" s="10"/>
      <c r="AI452" s="10"/>
      <c r="AJ452" s="10"/>
      <c r="AK452" s="30"/>
    </row>
    <row r="453" spans="5:37">
      <c r="E453" s="28" t="s">
        <v>155</v>
      </c>
      <c r="F453" s="8" t="s">
        <v>354</v>
      </c>
      <c r="G453" s="9" t="s">
        <v>500</v>
      </c>
      <c r="H453" s="10">
        <v>165</v>
      </c>
      <c r="I453" s="9" t="s">
        <v>158</v>
      </c>
      <c r="J453" s="10">
        <v>165</v>
      </c>
      <c r="K453" s="10">
        <v>165.7</v>
      </c>
      <c r="L453" s="10">
        <v>120</v>
      </c>
      <c r="M453" s="10">
        <v>131</v>
      </c>
      <c r="N453" s="10">
        <v>134</v>
      </c>
      <c r="O453" s="10">
        <v>103</v>
      </c>
      <c r="P453" s="10">
        <v>122</v>
      </c>
      <c r="Q453" s="10">
        <v>15.9</v>
      </c>
      <c r="R453" s="10">
        <v>1780</v>
      </c>
      <c r="S453" s="10">
        <v>1.05</v>
      </c>
      <c r="T453" s="10">
        <v>1864</v>
      </c>
      <c r="U453" s="10">
        <v>185</v>
      </c>
      <c r="V453" s="10">
        <v>75</v>
      </c>
      <c r="W453" s="10">
        <v>39</v>
      </c>
      <c r="X453" s="10">
        <v>272</v>
      </c>
      <c r="Y453" s="10">
        <v>19</v>
      </c>
      <c r="Z453" s="10">
        <v>185</v>
      </c>
      <c r="AA453" s="10">
        <v>0.49299999999999999</v>
      </c>
      <c r="AB453" s="10">
        <v>214</v>
      </c>
      <c r="AC453" s="10">
        <v>137</v>
      </c>
      <c r="AD453" s="10">
        <v>58</v>
      </c>
      <c r="AE453" s="10">
        <v>8</v>
      </c>
      <c r="AF453" s="10">
        <v>8.4</v>
      </c>
      <c r="AG453" s="9" t="s">
        <v>188</v>
      </c>
      <c r="AH453" s="9" t="s">
        <v>169</v>
      </c>
      <c r="AI453" s="10"/>
      <c r="AJ453" s="10"/>
      <c r="AK453" s="30"/>
    </row>
    <row r="454" spans="5:37">
      <c r="E454" s="28" t="s">
        <v>155</v>
      </c>
      <c r="F454" s="8" t="s">
        <v>354</v>
      </c>
      <c r="G454" s="9" t="s">
        <v>500</v>
      </c>
      <c r="H454" s="10">
        <v>172</v>
      </c>
      <c r="I454" s="9" t="s">
        <v>158</v>
      </c>
      <c r="J454" s="10">
        <v>172</v>
      </c>
      <c r="K454" s="10">
        <v>172.7</v>
      </c>
      <c r="L454" s="10">
        <v>124</v>
      </c>
      <c r="M454" s="10">
        <v>135</v>
      </c>
      <c r="N454" s="10">
        <v>134</v>
      </c>
      <c r="O454" s="10">
        <v>103</v>
      </c>
      <c r="P454" s="10">
        <v>122</v>
      </c>
      <c r="Q454" s="10">
        <v>17</v>
      </c>
      <c r="R454" s="10">
        <v>1822</v>
      </c>
      <c r="S454" s="10">
        <v>1.07</v>
      </c>
      <c r="T454" s="10">
        <v>1948</v>
      </c>
      <c r="U454" s="10">
        <v>186</v>
      </c>
      <c r="V454" s="10">
        <v>82</v>
      </c>
      <c r="W454" s="10">
        <v>40</v>
      </c>
      <c r="X454" s="10">
        <v>282</v>
      </c>
      <c r="Y454" s="10">
        <v>22</v>
      </c>
      <c r="Z454" s="10">
        <v>205</v>
      </c>
      <c r="AA454" s="10">
        <v>0.55400000000000005</v>
      </c>
      <c r="AB454" s="10">
        <v>232</v>
      </c>
      <c r="AC454" s="10">
        <v>147</v>
      </c>
      <c r="AD454" s="10">
        <v>50</v>
      </c>
      <c r="AE454" s="10">
        <v>7</v>
      </c>
      <c r="AF454" s="10">
        <v>8.9</v>
      </c>
      <c r="AG454" s="9" t="s">
        <v>188</v>
      </c>
      <c r="AH454" s="9" t="s">
        <v>169</v>
      </c>
      <c r="AI454" s="9" t="s">
        <v>185</v>
      </c>
      <c r="AJ454" s="10"/>
      <c r="AK454" s="30"/>
    </row>
    <row r="455" spans="5:37">
      <c r="E455" s="28" t="s">
        <v>155</v>
      </c>
      <c r="F455" s="8" t="s">
        <v>354</v>
      </c>
      <c r="G455" s="9" t="s">
        <v>500</v>
      </c>
      <c r="H455" s="10">
        <v>179</v>
      </c>
      <c r="I455" s="9" t="s">
        <v>158</v>
      </c>
      <c r="J455" s="10">
        <v>179</v>
      </c>
      <c r="K455" s="10">
        <v>179.6</v>
      </c>
      <c r="L455" s="10">
        <v>129</v>
      </c>
      <c r="M455" s="10">
        <v>141</v>
      </c>
      <c r="N455" s="10">
        <v>135</v>
      </c>
      <c r="O455" s="10">
        <v>103</v>
      </c>
      <c r="P455" s="10">
        <v>122</v>
      </c>
      <c r="Q455" s="10">
        <v>18.100000000000001</v>
      </c>
      <c r="R455" s="10">
        <v>1929</v>
      </c>
      <c r="S455" s="10">
        <v>1.05</v>
      </c>
      <c r="T455" s="10">
        <v>2028</v>
      </c>
      <c r="U455" s="10">
        <v>201</v>
      </c>
      <c r="V455" s="10">
        <v>80</v>
      </c>
      <c r="W455" s="10">
        <v>46</v>
      </c>
      <c r="X455" s="10">
        <v>293</v>
      </c>
      <c r="Y455" s="10">
        <v>24</v>
      </c>
      <c r="Z455" s="10">
        <v>212</v>
      </c>
      <c r="AA455" s="10">
        <v>0.51900000000000002</v>
      </c>
      <c r="AB455" s="10">
        <v>233</v>
      </c>
      <c r="AC455" s="10">
        <v>151</v>
      </c>
      <c r="AD455" s="10">
        <v>60</v>
      </c>
      <c r="AE455" s="10">
        <v>8</v>
      </c>
      <c r="AF455" s="10">
        <v>9.1999999999999993</v>
      </c>
      <c r="AG455" s="9" t="s">
        <v>188</v>
      </c>
      <c r="AH455" s="9" t="s">
        <v>169</v>
      </c>
      <c r="AI455" s="9" t="s">
        <v>185</v>
      </c>
      <c r="AJ455" s="10"/>
      <c r="AK455" s="30"/>
    </row>
    <row r="456" spans="5:37">
      <c r="E456" s="28" t="s">
        <v>155</v>
      </c>
      <c r="F456" s="8" t="s">
        <v>354</v>
      </c>
      <c r="G456" s="9" t="s">
        <v>500</v>
      </c>
      <c r="H456" s="10">
        <v>186</v>
      </c>
      <c r="I456" s="9" t="s">
        <v>158</v>
      </c>
      <c r="J456" s="10">
        <v>186</v>
      </c>
      <c r="K456" s="10">
        <v>186.6</v>
      </c>
      <c r="L456" s="10">
        <v>136</v>
      </c>
      <c r="M456" s="10">
        <v>147</v>
      </c>
      <c r="N456" s="10">
        <v>136</v>
      </c>
      <c r="O456" s="10">
        <v>103</v>
      </c>
      <c r="P456" s="10">
        <v>123</v>
      </c>
      <c r="Q456" s="10">
        <v>19</v>
      </c>
      <c r="R456" s="10">
        <v>2084</v>
      </c>
      <c r="S456" s="10">
        <v>1.02</v>
      </c>
      <c r="T456" s="10">
        <v>2118</v>
      </c>
      <c r="U456" s="10">
        <v>225</v>
      </c>
      <c r="V456" s="10">
        <v>95</v>
      </c>
      <c r="W456" s="10">
        <v>46</v>
      </c>
      <c r="X456" s="10">
        <v>300</v>
      </c>
      <c r="Y456" s="10">
        <v>22</v>
      </c>
      <c r="Z456" s="10">
        <v>207</v>
      </c>
      <c r="AA456" s="10">
        <v>0.49099999999999999</v>
      </c>
      <c r="AB456" s="10">
        <v>240</v>
      </c>
      <c r="AC456" s="10">
        <v>160</v>
      </c>
      <c r="AD456" s="10">
        <v>60</v>
      </c>
      <c r="AE456" s="10">
        <v>9</v>
      </c>
      <c r="AF456" s="10">
        <v>9.1999999999999993</v>
      </c>
      <c r="AG456" s="9" t="s">
        <v>188</v>
      </c>
      <c r="AH456" s="9" t="s">
        <v>169</v>
      </c>
      <c r="AI456" s="10"/>
      <c r="AJ456" s="10"/>
      <c r="AK456" s="30"/>
    </row>
    <row r="457" spans="5:37">
      <c r="E457" s="28" t="s">
        <v>155</v>
      </c>
      <c r="F457" s="8" t="s">
        <v>354</v>
      </c>
      <c r="G457" s="9" t="s">
        <v>355</v>
      </c>
      <c r="H457" s="10">
        <v>161</v>
      </c>
      <c r="I457" s="9" t="s">
        <v>158</v>
      </c>
      <c r="J457" s="10">
        <v>161</v>
      </c>
      <c r="K457" s="10">
        <v>161.6</v>
      </c>
      <c r="L457" s="10">
        <v>118</v>
      </c>
      <c r="M457" s="10">
        <v>132</v>
      </c>
      <c r="N457" s="10">
        <v>129</v>
      </c>
      <c r="O457" s="10">
        <v>97</v>
      </c>
      <c r="P457" s="10">
        <v>117</v>
      </c>
      <c r="Q457" s="10">
        <v>14.9</v>
      </c>
      <c r="R457" s="10">
        <v>1702</v>
      </c>
      <c r="S457" s="10">
        <v>1.02</v>
      </c>
      <c r="T457" s="10">
        <v>1732</v>
      </c>
      <c r="U457" s="10">
        <v>179</v>
      </c>
      <c r="V457" s="10">
        <v>76</v>
      </c>
      <c r="W457" s="10">
        <v>35</v>
      </c>
      <c r="X457" s="10">
        <v>253</v>
      </c>
      <c r="Y457" s="10">
        <v>19</v>
      </c>
      <c r="Z457" s="10">
        <v>186</v>
      </c>
      <c r="AA457" s="10">
        <v>0.55600000000000005</v>
      </c>
      <c r="AB457" s="10">
        <v>183</v>
      </c>
      <c r="AC457" s="10">
        <v>118</v>
      </c>
      <c r="AD457" s="10">
        <v>71</v>
      </c>
      <c r="AE457" s="10">
        <v>9</v>
      </c>
      <c r="AF457" s="10">
        <v>8.1999999999999993</v>
      </c>
      <c r="AG457" s="9" t="s">
        <v>188</v>
      </c>
      <c r="AH457" s="10"/>
      <c r="AI457" s="10"/>
      <c r="AJ457" s="10"/>
      <c r="AK457" s="30"/>
    </row>
    <row r="458" spans="5:37">
      <c r="E458" s="28" t="s">
        <v>155</v>
      </c>
      <c r="F458" s="8" t="s">
        <v>354</v>
      </c>
      <c r="G458" s="9" t="s">
        <v>355</v>
      </c>
      <c r="H458" s="10">
        <v>175</v>
      </c>
      <c r="I458" s="9" t="s">
        <v>158</v>
      </c>
      <c r="J458" s="10">
        <v>175</v>
      </c>
      <c r="K458" s="10">
        <v>175.7</v>
      </c>
      <c r="L458" s="10">
        <v>128</v>
      </c>
      <c r="M458" s="10">
        <v>141</v>
      </c>
      <c r="N458" s="10">
        <v>130</v>
      </c>
      <c r="O458" s="10">
        <v>97</v>
      </c>
      <c r="P458" s="10">
        <v>118</v>
      </c>
      <c r="Q458" s="10">
        <v>16.8</v>
      </c>
      <c r="R458" s="10">
        <v>1856</v>
      </c>
      <c r="S458" s="10">
        <v>1.02</v>
      </c>
      <c r="T458" s="10">
        <v>1896</v>
      </c>
      <c r="U458" s="10">
        <v>212</v>
      </c>
      <c r="V458" s="10">
        <v>85</v>
      </c>
      <c r="W458" s="10">
        <v>40</v>
      </c>
      <c r="X458" s="10">
        <v>273</v>
      </c>
      <c r="Y458" s="10">
        <v>22</v>
      </c>
      <c r="Z458" s="10">
        <v>202</v>
      </c>
      <c r="AA458" s="10">
        <v>0.56100000000000005</v>
      </c>
      <c r="AB458" s="10">
        <v>217</v>
      </c>
      <c r="AC458" s="10">
        <v>131</v>
      </c>
      <c r="AD458" s="10">
        <v>57</v>
      </c>
      <c r="AE458" s="10">
        <v>10</v>
      </c>
      <c r="AF458" s="10">
        <v>8.5</v>
      </c>
      <c r="AG458" s="9" t="s">
        <v>188</v>
      </c>
      <c r="AH458" s="10"/>
      <c r="AI458" s="10"/>
      <c r="AJ458" s="10"/>
      <c r="AK458" s="30"/>
    </row>
    <row r="459" spans="5:37">
      <c r="E459" s="28" t="s">
        <v>155</v>
      </c>
      <c r="F459" s="8" t="s">
        <v>354</v>
      </c>
      <c r="G459" s="9" t="s">
        <v>355</v>
      </c>
      <c r="H459" s="10">
        <v>182</v>
      </c>
      <c r="I459" s="9" t="s">
        <v>158</v>
      </c>
      <c r="J459" s="10">
        <v>182</v>
      </c>
      <c r="K459" s="10">
        <v>182.6</v>
      </c>
      <c r="L459" s="10">
        <v>130</v>
      </c>
      <c r="M459" s="10">
        <v>148</v>
      </c>
      <c r="N459" s="10">
        <v>131</v>
      </c>
      <c r="O459" s="10">
        <v>97</v>
      </c>
      <c r="P459" s="10">
        <v>118</v>
      </c>
      <c r="Q459" s="10">
        <v>17.899999999999999</v>
      </c>
      <c r="R459" s="10">
        <v>1920</v>
      </c>
      <c r="S459" s="10">
        <v>1.03</v>
      </c>
      <c r="T459" s="10">
        <v>1975</v>
      </c>
      <c r="U459" s="10">
        <v>224</v>
      </c>
      <c r="V459" s="10">
        <v>96</v>
      </c>
      <c r="W459" s="10">
        <v>46</v>
      </c>
      <c r="X459" s="10">
        <v>300</v>
      </c>
      <c r="Y459" s="10">
        <v>25</v>
      </c>
      <c r="Z459" s="10">
        <v>223</v>
      </c>
      <c r="AA459" s="10">
        <v>0.55200000000000005</v>
      </c>
      <c r="AB459" s="10">
        <v>215</v>
      </c>
      <c r="AC459" s="10">
        <v>135</v>
      </c>
      <c r="AD459" s="10">
        <v>85</v>
      </c>
      <c r="AE459" s="10">
        <v>6</v>
      </c>
      <c r="AF459" s="10">
        <v>8.9</v>
      </c>
      <c r="AG459" s="9" t="s">
        <v>188</v>
      </c>
      <c r="AH459" s="10"/>
      <c r="AI459" s="10"/>
      <c r="AJ459" s="10"/>
      <c r="AK459" s="30"/>
    </row>
    <row r="460" spans="5:37">
      <c r="E460" s="28" t="s">
        <v>155</v>
      </c>
      <c r="F460" s="8" t="s">
        <v>317</v>
      </c>
      <c r="G460" s="9" t="s">
        <v>618</v>
      </c>
      <c r="H460" s="10">
        <v>145</v>
      </c>
      <c r="I460" s="9" t="s">
        <v>163</v>
      </c>
      <c r="J460" s="10">
        <v>145</v>
      </c>
      <c r="K460" s="10">
        <v>143.5</v>
      </c>
      <c r="L460" s="10">
        <v>112</v>
      </c>
      <c r="M460" s="10">
        <v>121</v>
      </c>
      <c r="N460" s="10">
        <v>118</v>
      </c>
      <c r="O460" s="10">
        <v>81</v>
      </c>
      <c r="P460" s="10">
        <v>102</v>
      </c>
      <c r="Q460" s="10">
        <v>11.7</v>
      </c>
      <c r="R460" s="10">
        <v>1395</v>
      </c>
      <c r="S460" s="10">
        <v>0.96</v>
      </c>
      <c r="T460" s="10">
        <v>1335</v>
      </c>
      <c r="U460" s="10">
        <v>123</v>
      </c>
      <c r="V460" s="10">
        <v>66</v>
      </c>
      <c r="W460" s="10">
        <v>52</v>
      </c>
      <c r="X460" s="10">
        <v>204</v>
      </c>
      <c r="Y460" s="10">
        <v>7</v>
      </c>
      <c r="Z460" s="10">
        <v>111</v>
      </c>
      <c r="AA460" s="10">
        <v>0.14000000000000001</v>
      </c>
      <c r="AB460" s="10">
        <v>121</v>
      </c>
      <c r="AC460" s="10">
        <v>107</v>
      </c>
      <c r="AD460" s="10">
        <v>83</v>
      </c>
      <c r="AE460" s="10">
        <v>5</v>
      </c>
      <c r="AF460" s="10">
        <v>10.9</v>
      </c>
      <c r="AG460" s="9" t="s">
        <v>231</v>
      </c>
      <c r="AH460" s="9" t="s">
        <v>188</v>
      </c>
      <c r="AI460" s="10"/>
      <c r="AJ460" s="10"/>
      <c r="AK460" s="30"/>
    </row>
    <row r="461" spans="5:37">
      <c r="E461" s="28" t="s">
        <v>155</v>
      </c>
      <c r="F461" s="8" t="s">
        <v>317</v>
      </c>
      <c r="G461" s="9" t="s">
        <v>618</v>
      </c>
      <c r="H461" s="10">
        <v>152</v>
      </c>
      <c r="I461" s="9" t="s">
        <v>163</v>
      </c>
      <c r="J461" s="10">
        <v>152</v>
      </c>
      <c r="K461" s="10">
        <v>150.1</v>
      </c>
      <c r="L461" s="10">
        <v>114</v>
      </c>
      <c r="M461" s="10">
        <v>129</v>
      </c>
      <c r="N461" s="10">
        <v>118</v>
      </c>
      <c r="O461" s="10">
        <v>81</v>
      </c>
      <c r="P461" s="10">
        <v>102</v>
      </c>
      <c r="Q461" s="10">
        <v>13.4</v>
      </c>
      <c r="R461" s="10">
        <v>1479</v>
      </c>
      <c r="S461" s="10">
        <v>0.94</v>
      </c>
      <c r="T461" s="10">
        <v>1391</v>
      </c>
      <c r="U461" s="10">
        <v>154</v>
      </c>
      <c r="V461" s="10">
        <v>73</v>
      </c>
      <c r="W461" s="10">
        <v>54</v>
      </c>
      <c r="X461" s="10">
        <v>252</v>
      </c>
      <c r="Y461" s="10">
        <v>7</v>
      </c>
      <c r="Z461" s="10">
        <v>109</v>
      </c>
      <c r="AA461" s="10">
        <v>0.13200000000000001</v>
      </c>
      <c r="AB461" s="10">
        <v>114</v>
      </c>
      <c r="AC461" s="10">
        <v>99</v>
      </c>
      <c r="AD461" s="10">
        <v>138</v>
      </c>
      <c r="AE461" s="10">
        <v>3</v>
      </c>
      <c r="AF461" s="10">
        <v>10.9</v>
      </c>
      <c r="AG461" s="9" t="s">
        <v>231</v>
      </c>
      <c r="AH461" s="9" t="s">
        <v>188</v>
      </c>
      <c r="AI461" s="10"/>
      <c r="AJ461" s="10"/>
      <c r="AK461" s="30"/>
    </row>
    <row r="462" spans="5:37">
      <c r="E462" s="28" t="s">
        <v>155</v>
      </c>
      <c r="F462" s="8" t="s">
        <v>317</v>
      </c>
      <c r="G462" s="9" t="s">
        <v>618</v>
      </c>
      <c r="H462" s="10">
        <v>159</v>
      </c>
      <c r="I462" s="9" t="s">
        <v>163</v>
      </c>
      <c r="J462" s="10">
        <v>159</v>
      </c>
      <c r="K462" s="10">
        <v>157</v>
      </c>
      <c r="L462" s="10">
        <v>103</v>
      </c>
      <c r="M462" s="10">
        <v>135</v>
      </c>
      <c r="N462" s="10">
        <v>120</v>
      </c>
      <c r="O462" s="10">
        <v>82</v>
      </c>
      <c r="P462" s="10">
        <v>103</v>
      </c>
      <c r="Q462" s="10">
        <v>14.3</v>
      </c>
      <c r="R462" s="10">
        <v>1551</v>
      </c>
      <c r="S462" s="10">
        <v>0.95</v>
      </c>
      <c r="T462" s="10">
        <v>1472</v>
      </c>
      <c r="U462" s="10">
        <v>189</v>
      </c>
      <c r="V462" s="10">
        <v>91</v>
      </c>
      <c r="W462" s="10">
        <v>59</v>
      </c>
      <c r="X462" s="10">
        <v>301</v>
      </c>
      <c r="Y462" s="10">
        <v>9</v>
      </c>
      <c r="Z462" s="10">
        <v>240</v>
      </c>
      <c r="AA462" s="10">
        <v>0.158</v>
      </c>
      <c r="AB462" s="10">
        <v>114</v>
      </c>
      <c r="AC462" s="10">
        <v>102</v>
      </c>
      <c r="AD462" s="10">
        <v>187</v>
      </c>
      <c r="AE462" s="10">
        <v>2</v>
      </c>
      <c r="AF462" s="10">
        <v>10.5</v>
      </c>
      <c r="AG462" s="9" t="s">
        <v>231</v>
      </c>
      <c r="AH462" s="9" t="s">
        <v>188</v>
      </c>
      <c r="AI462" s="10"/>
      <c r="AJ462" s="10"/>
      <c r="AK462" s="30"/>
    </row>
    <row r="463" spans="5:37">
      <c r="E463" s="28" t="s">
        <v>155</v>
      </c>
      <c r="F463" s="8" t="s">
        <v>317</v>
      </c>
      <c r="G463" s="9" t="s">
        <v>618</v>
      </c>
      <c r="H463" s="10">
        <v>166</v>
      </c>
      <c r="I463" s="9" t="s">
        <v>163</v>
      </c>
      <c r="J463" s="10">
        <v>166</v>
      </c>
      <c r="K463" s="10">
        <v>163.69999999999999</v>
      </c>
      <c r="L463" s="10">
        <v>118</v>
      </c>
      <c r="M463" s="10">
        <v>142</v>
      </c>
      <c r="N463" s="10">
        <v>121</v>
      </c>
      <c r="O463" s="10">
        <v>82</v>
      </c>
      <c r="P463" s="10">
        <v>104</v>
      </c>
      <c r="Q463" s="10">
        <v>15.4</v>
      </c>
      <c r="R463" s="10">
        <v>1679</v>
      </c>
      <c r="S463" s="10">
        <v>0.92</v>
      </c>
      <c r="T463" s="10">
        <v>1539</v>
      </c>
      <c r="U463" s="10">
        <v>181</v>
      </c>
      <c r="V463" s="10">
        <v>88</v>
      </c>
      <c r="W463" s="10">
        <v>62</v>
      </c>
      <c r="X463" s="10">
        <v>310</v>
      </c>
      <c r="Y463" s="10">
        <v>8</v>
      </c>
      <c r="Z463" s="10">
        <v>150</v>
      </c>
      <c r="AA463" s="10">
        <v>0.13600000000000001</v>
      </c>
      <c r="AB463" s="10">
        <v>122</v>
      </c>
      <c r="AC463" s="10">
        <v>94</v>
      </c>
      <c r="AD463" s="10">
        <v>189</v>
      </c>
      <c r="AE463" s="10">
        <v>3</v>
      </c>
      <c r="AF463" s="10">
        <v>10.5</v>
      </c>
      <c r="AG463" s="9" t="s">
        <v>231</v>
      </c>
      <c r="AH463" s="9" t="s">
        <v>188</v>
      </c>
      <c r="AI463" s="10"/>
      <c r="AJ463" s="10"/>
      <c r="AK463" s="30"/>
    </row>
    <row r="464" spans="5:37">
      <c r="E464" s="28" t="s">
        <v>155</v>
      </c>
      <c r="F464" s="8" t="s">
        <v>317</v>
      </c>
      <c r="G464" s="9" t="s">
        <v>618</v>
      </c>
      <c r="H464" s="10">
        <v>173</v>
      </c>
      <c r="I464" s="9" t="s">
        <v>163</v>
      </c>
      <c r="J464" s="10">
        <v>173</v>
      </c>
      <c r="K464" s="10">
        <v>171.3</v>
      </c>
      <c r="L464" s="10">
        <v>138</v>
      </c>
      <c r="M464" s="10">
        <v>148</v>
      </c>
      <c r="N464" s="10">
        <v>121</v>
      </c>
      <c r="O464" s="10">
        <v>81</v>
      </c>
      <c r="P464" s="10">
        <v>104</v>
      </c>
      <c r="Q464" s="10">
        <v>17</v>
      </c>
      <c r="R464" s="10">
        <v>1783</v>
      </c>
      <c r="S464" s="10">
        <v>0.9</v>
      </c>
      <c r="T464" s="10">
        <v>1600</v>
      </c>
      <c r="U464" s="10">
        <v>215</v>
      </c>
      <c r="V464" s="10">
        <v>109</v>
      </c>
      <c r="W464" s="10">
        <v>50</v>
      </c>
      <c r="X464" s="10">
        <v>231</v>
      </c>
      <c r="Y464" s="10">
        <v>7</v>
      </c>
      <c r="Z464" s="10">
        <v>107</v>
      </c>
      <c r="AA464" s="10">
        <v>0.13500000000000001</v>
      </c>
      <c r="AB464" s="10">
        <v>120</v>
      </c>
      <c r="AC464" s="10">
        <v>109</v>
      </c>
      <c r="AD464" s="10">
        <v>111</v>
      </c>
      <c r="AE464" s="10">
        <v>6</v>
      </c>
      <c r="AF464" s="10">
        <v>11.4</v>
      </c>
      <c r="AG464" s="9" t="s">
        <v>231</v>
      </c>
      <c r="AH464" s="9" t="s">
        <v>188</v>
      </c>
      <c r="AI464" s="10"/>
      <c r="AJ464" s="10"/>
      <c r="AK464" s="30"/>
    </row>
    <row r="465" spans="5:37">
      <c r="E465" s="28" t="s">
        <v>155</v>
      </c>
      <c r="F465" s="8" t="s">
        <v>317</v>
      </c>
      <c r="G465" s="9" t="s">
        <v>502</v>
      </c>
      <c r="H465" s="10">
        <v>147</v>
      </c>
      <c r="I465" s="9" t="s">
        <v>163</v>
      </c>
      <c r="J465" s="10">
        <v>147</v>
      </c>
      <c r="K465" s="10">
        <v>145.4</v>
      </c>
      <c r="L465" s="10">
        <v>114</v>
      </c>
      <c r="M465" s="10">
        <v>124</v>
      </c>
      <c r="N465" s="10">
        <v>125</v>
      </c>
      <c r="O465" s="10">
        <v>86</v>
      </c>
      <c r="P465" s="10">
        <v>107</v>
      </c>
      <c r="Q465" s="10">
        <v>11.8</v>
      </c>
      <c r="R465" s="10">
        <v>1483</v>
      </c>
      <c r="S465" s="10">
        <v>0.96</v>
      </c>
      <c r="T465" s="10">
        <v>1422</v>
      </c>
      <c r="U465" s="10">
        <v>127</v>
      </c>
      <c r="V465" s="10">
        <v>62</v>
      </c>
      <c r="W465" s="10">
        <v>62</v>
      </c>
      <c r="X465" s="10">
        <v>207</v>
      </c>
      <c r="Y465" s="10">
        <v>7</v>
      </c>
      <c r="Z465" s="10">
        <v>106</v>
      </c>
      <c r="AA465" s="10">
        <v>0.112</v>
      </c>
      <c r="AB465" s="10">
        <v>113</v>
      </c>
      <c r="AC465" s="10">
        <v>104</v>
      </c>
      <c r="AD465" s="10">
        <v>95</v>
      </c>
      <c r="AE465" s="10">
        <v>6</v>
      </c>
      <c r="AF465" s="10">
        <v>11.1</v>
      </c>
      <c r="AG465" s="9" t="s">
        <v>188</v>
      </c>
      <c r="AH465" s="10"/>
      <c r="AI465" s="10"/>
      <c r="AJ465" s="10"/>
      <c r="AK465" s="30"/>
    </row>
    <row r="466" spans="5:37">
      <c r="E466" s="28" t="s">
        <v>155</v>
      </c>
      <c r="F466" s="8" t="s">
        <v>317</v>
      </c>
      <c r="G466" s="9" t="s">
        <v>502</v>
      </c>
      <c r="H466" s="10">
        <v>153</v>
      </c>
      <c r="I466" s="9" t="s">
        <v>163</v>
      </c>
      <c r="J466" s="10">
        <v>153</v>
      </c>
      <c r="K466" s="10">
        <v>151.6</v>
      </c>
      <c r="L466" s="10">
        <v>122</v>
      </c>
      <c r="M466" s="10">
        <v>129</v>
      </c>
      <c r="N466" s="10">
        <v>125</v>
      </c>
      <c r="O466" s="10">
        <v>86</v>
      </c>
      <c r="P466" s="10">
        <v>107</v>
      </c>
      <c r="Q466" s="10">
        <v>13.2</v>
      </c>
      <c r="R466" s="10">
        <v>1585</v>
      </c>
      <c r="S466" s="10">
        <v>0.94</v>
      </c>
      <c r="T466" s="10">
        <v>1484</v>
      </c>
      <c r="U466" s="10">
        <v>141</v>
      </c>
      <c r="V466" s="10">
        <v>70</v>
      </c>
      <c r="W466" s="10">
        <v>60</v>
      </c>
      <c r="X466" s="10">
        <v>193</v>
      </c>
      <c r="Y466" s="10">
        <v>8</v>
      </c>
      <c r="Z466" s="10">
        <v>99</v>
      </c>
      <c r="AA466" s="10">
        <v>0.13500000000000001</v>
      </c>
      <c r="AB466" s="10">
        <v>116</v>
      </c>
      <c r="AC466" s="10">
        <v>105</v>
      </c>
      <c r="AD466" s="10">
        <v>77</v>
      </c>
      <c r="AE466" s="10">
        <v>7</v>
      </c>
      <c r="AF466" s="10">
        <v>11.3</v>
      </c>
      <c r="AG466" s="9" t="s">
        <v>188</v>
      </c>
      <c r="AH466" s="10"/>
      <c r="AI466" s="10"/>
      <c r="AJ466" s="10"/>
      <c r="AK466" s="30"/>
    </row>
    <row r="467" spans="5:37">
      <c r="E467" s="28" t="s">
        <v>155</v>
      </c>
      <c r="F467" s="8" t="s">
        <v>317</v>
      </c>
      <c r="G467" s="9" t="s">
        <v>502</v>
      </c>
      <c r="H467" s="10">
        <v>159</v>
      </c>
      <c r="I467" s="9" t="s">
        <v>163</v>
      </c>
      <c r="J467" s="10">
        <v>159</v>
      </c>
      <c r="K467" s="10">
        <v>157.80000000000001</v>
      </c>
      <c r="L467" s="10">
        <v>126</v>
      </c>
      <c r="M467" s="10">
        <v>134</v>
      </c>
      <c r="N467" s="10">
        <v>126</v>
      </c>
      <c r="O467" s="10">
        <v>86</v>
      </c>
      <c r="P467" s="10">
        <v>108</v>
      </c>
      <c r="Q467" s="10">
        <v>13.9</v>
      </c>
      <c r="R467" s="10">
        <v>1654</v>
      </c>
      <c r="S467" s="10">
        <v>0.94</v>
      </c>
      <c r="T467" s="10">
        <v>1549</v>
      </c>
      <c r="U467" s="10">
        <v>151</v>
      </c>
      <c r="V467" s="10">
        <v>74</v>
      </c>
      <c r="W467" s="10">
        <v>59</v>
      </c>
      <c r="X467" s="10">
        <v>219</v>
      </c>
      <c r="Y467" s="10">
        <v>7</v>
      </c>
      <c r="Z467" s="10">
        <v>99</v>
      </c>
      <c r="AA467" s="10">
        <v>0.126</v>
      </c>
      <c r="AB467" s="10">
        <v>124</v>
      </c>
      <c r="AC467" s="10">
        <v>112</v>
      </c>
      <c r="AD467" s="10">
        <v>95</v>
      </c>
      <c r="AE467" s="10">
        <v>8</v>
      </c>
      <c r="AF467" s="10">
        <v>11.4</v>
      </c>
      <c r="AG467" s="9" t="s">
        <v>188</v>
      </c>
      <c r="AH467" s="10"/>
      <c r="AI467" s="10"/>
      <c r="AJ467" s="10"/>
      <c r="AK467" s="30"/>
    </row>
    <row r="468" spans="5:37">
      <c r="E468" s="28" t="s">
        <v>155</v>
      </c>
      <c r="F468" s="8" t="s">
        <v>317</v>
      </c>
      <c r="G468" s="9" t="s">
        <v>502</v>
      </c>
      <c r="H468" s="10">
        <v>165</v>
      </c>
      <c r="I468" s="9" t="s">
        <v>163</v>
      </c>
      <c r="J468" s="10">
        <v>165</v>
      </c>
      <c r="K468" s="10">
        <v>163.69999999999999</v>
      </c>
      <c r="L468" s="10">
        <v>133</v>
      </c>
      <c r="M468" s="10">
        <v>141</v>
      </c>
      <c r="N468" s="10">
        <v>128</v>
      </c>
      <c r="O468" s="10">
        <v>86</v>
      </c>
      <c r="P468" s="10">
        <v>109</v>
      </c>
      <c r="Q468" s="10">
        <v>14.9</v>
      </c>
      <c r="R468" s="10">
        <v>1757</v>
      </c>
      <c r="S468" s="10">
        <v>0.92</v>
      </c>
      <c r="T468" s="10">
        <v>1613</v>
      </c>
      <c r="U468" s="10">
        <v>177</v>
      </c>
      <c r="V468" s="10">
        <v>91</v>
      </c>
      <c r="W468" s="10">
        <v>63</v>
      </c>
      <c r="X468" s="10">
        <v>209</v>
      </c>
      <c r="Y468" s="10">
        <v>7</v>
      </c>
      <c r="Z468" s="10">
        <v>96</v>
      </c>
      <c r="AA468" s="10">
        <v>0.11799999999999999</v>
      </c>
      <c r="AB468" s="10">
        <v>123</v>
      </c>
      <c r="AC468" s="10">
        <v>106</v>
      </c>
      <c r="AD468" s="10">
        <v>86</v>
      </c>
      <c r="AE468" s="10">
        <v>8</v>
      </c>
      <c r="AF468" s="10">
        <v>11.1</v>
      </c>
      <c r="AG468" s="9" t="s">
        <v>188</v>
      </c>
      <c r="AH468" s="10"/>
      <c r="AI468" s="10"/>
      <c r="AJ468" s="10"/>
      <c r="AK468" s="30"/>
    </row>
    <row r="469" spans="5:37">
      <c r="E469" s="28" t="s">
        <v>155</v>
      </c>
      <c r="F469" s="8" t="s">
        <v>317</v>
      </c>
      <c r="G469" s="9" t="s">
        <v>502</v>
      </c>
      <c r="H469" s="10">
        <v>171</v>
      </c>
      <c r="I469" s="9" t="s">
        <v>163</v>
      </c>
      <c r="J469" s="10">
        <v>171</v>
      </c>
      <c r="K469" s="10">
        <v>172.4</v>
      </c>
      <c r="L469" s="10">
        <v>137</v>
      </c>
      <c r="M469" s="10">
        <v>147</v>
      </c>
      <c r="N469" s="10">
        <v>127</v>
      </c>
      <c r="O469" s="10">
        <v>86</v>
      </c>
      <c r="P469" s="10">
        <v>109</v>
      </c>
      <c r="Q469" s="10">
        <v>16</v>
      </c>
      <c r="R469" s="10">
        <v>1893</v>
      </c>
      <c r="S469" s="10">
        <v>0.89</v>
      </c>
      <c r="T469" s="10">
        <v>1689</v>
      </c>
      <c r="U469" s="10">
        <v>224</v>
      </c>
      <c r="V469" s="10">
        <v>103</v>
      </c>
      <c r="W469" s="10">
        <v>58</v>
      </c>
      <c r="X469" s="10">
        <v>217</v>
      </c>
      <c r="Y469" s="10">
        <v>12</v>
      </c>
      <c r="Z469" s="10">
        <v>140</v>
      </c>
      <c r="AA469" s="10">
        <v>0.215</v>
      </c>
      <c r="AB469" s="10">
        <v>118</v>
      </c>
      <c r="AC469" s="10">
        <v>134</v>
      </c>
      <c r="AD469" s="10">
        <v>99</v>
      </c>
      <c r="AE469" s="10">
        <v>6</v>
      </c>
      <c r="AF469" s="10">
        <v>9.6999999999999993</v>
      </c>
      <c r="AG469" s="9" t="s">
        <v>188</v>
      </c>
      <c r="AH469" s="10"/>
      <c r="AI469" s="10"/>
      <c r="AJ469" s="10"/>
      <c r="AK469" s="30"/>
    </row>
    <row r="470" spans="5:37">
      <c r="E470" s="28" t="s">
        <v>155</v>
      </c>
      <c r="F470" s="8" t="s">
        <v>317</v>
      </c>
      <c r="G470" s="9" t="s">
        <v>502</v>
      </c>
      <c r="H470" s="10">
        <v>177</v>
      </c>
      <c r="I470" s="9" t="s">
        <v>163</v>
      </c>
      <c r="J470" s="10">
        <v>177</v>
      </c>
      <c r="K470" s="10">
        <v>175.8</v>
      </c>
      <c r="L470" s="10">
        <v>145</v>
      </c>
      <c r="M470" s="10">
        <v>153</v>
      </c>
      <c r="N470" s="10">
        <v>127</v>
      </c>
      <c r="O470" s="10">
        <v>86</v>
      </c>
      <c r="P470" s="10">
        <v>109</v>
      </c>
      <c r="Q470" s="10">
        <v>17.7</v>
      </c>
      <c r="R470" s="10">
        <v>1933</v>
      </c>
      <c r="S470" s="10">
        <v>0.89</v>
      </c>
      <c r="T470" s="10">
        <v>1730</v>
      </c>
      <c r="U470" s="10">
        <v>225</v>
      </c>
      <c r="V470" s="10">
        <v>109</v>
      </c>
      <c r="W470" s="10">
        <v>57</v>
      </c>
      <c r="X470" s="10">
        <v>209</v>
      </c>
      <c r="Y470" s="10">
        <v>6</v>
      </c>
      <c r="Z470" s="10">
        <v>95</v>
      </c>
      <c r="AA470" s="10">
        <v>0.111</v>
      </c>
      <c r="AB470" s="10">
        <v>127</v>
      </c>
      <c r="AC470" s="10">
        <v>97</v>
      </c>
      <c r="AD470" s="10">
        <v>83</v>
      </c>
      <c r="AE470" s="10">
        <v>9</v>
      </c>
      <c r="AF470" s="10">
        <v>11</v>
      </c>
      <c r="AG470" s="9" t="s">
        <v>188</v>
      </c>
      <c r="AH470" s="10"/>
      <c r="AI470" s="10"/>
      <c r="AJ470" s="10"/>
      <c r="AK470" s="30"/>
    </row>
    <row r="471" spans="5:37">
      <c r="E471" s="28" t="s">
        <v>155</v>
      </c>
      <c r="F471" s="8" t="s">
        <v>317</v>
      </c>
      <c r="G471" s="9" t="s">
        <v>456</v>
      </c>
      <c r="H471" s="10">
        <v>153</v>
      </c>
      <c r="I471" s="9" t="s">
        <v>163</v>
      </c>
      <c r="J471" s="10">
        <v>153</v>
      </c>
      <c r="K471" s="10">
        <v>151.4</v>
      </c>
      <c r="L471" s="10">
        <v>119</v>
      </c>
      <c r="M471" s="10">
        <v>128</v>
      </c>
      <c r="N471" s="10">
        <v>134</v>
      </c>
      <c r="O471" s="10">
        <v>96</v>
      </c>
      <c r="P471" s="10">
        <v>116</v>
      </c>
      <c r="Q471" s="10">
        <v>13.7</v>
      </c>
      <c r="R471" s="10">
        <v>1655</v>
      </c>
      <c r="S471" s="10">
        <v>0.98</v>
      </c>
      <c r="T471" s="10">
        <v>1626</v>
      </c>
      <c r="U471" s="10">
        <v>135</v>
      </c>
      <c r="V471" s="10">
        <v>72</v>
      </c>
      <c r="W471" s="10">
        <v>63</v>
      </c>
      <c r="X471" s="10">
        <v>222</v>
      </c>
      <c r="Y471" s="10">
        <v>8</v>
      </c>
      <c r="Z471" s="10">
        <v>104</v>
      </c>
      <c r="AA471" s="10">
        <v>0.124</v>
      </c>
      <c r="AB471" s="10">
        <v>122</v>
      </c>
      <c r="AC471" s="10">
        <v>111</v>
      </c>
      <c r="AD471" s="10">
        <v>100</v>
      </c>
      <c r="AE471" s="10">
        <v>5</v>
      </c>
      <c r="AF471" s="10">
        <v>11.2</v>
      </c>
      <c r="AG471" s="9" t="s">
        <v>188</v>
      </c>
      <c r="AH471" s="10"/>
      <c r="AI471" s="10"/>
      <c r="AJ471" s="10"/>
      <c r="AK471" s="30"/>
    </row>
    <row r="472" spans="5:37">
      <c r="E472" s="28" t="s">
        <v>155</v>
      </c>
      <c r="F472" s="8" t="s">
        <v>317</v>
      </c>
      <c r="G472" s="9" t="s">
        <v>456</v>
      </c>
      <c r="H472" s="10">
        <v>159</v>
      </c>
      <c r="I472" s="9" t="s">
        <v>163</v>
      </c>
      <c r="J472" s="10">
        <v>159</v>
      </c>
      <c r="K472" s="10">
        <v>157.69999999999999</v>
      </c>
      <c r="L472" s="10">
        <v>124</v>
      </c>
      <c r="M472" s="10">
        <v>134</v>
      </c>
      <c r="N472" s="10">
        <v>135</v>
      </c>
      <c r="O472" s="10">
        <v>96</v>
      </c>
      <c r="P472" s="10">
        <v>117</v>
      </c>
      <c r="Q472" s="10">
        <v>14.4</v>
      </c>
      <c r="R472" s="10">
        <v>1753</v>
      </c>
      <c r="S472" s="10">
        <v>0.97</v>
      </c>
      <c r="T472" s="10">
        <v>1700</v>
      </c>
      <c r="U472" s="10">
        <v>155</v>
      </c>
      <c r="V472" s="10">
        <v>83</v>
      </c>
      <c r="W472" s="10">
        <v>59</v>
      </c>
      <c r="X472" s="10">
        <v>230</v>
      </c>
      <c r="Y472" s="10">
        <v>7</v>
      </c>
      <c r="Z472" s="10">
        <v>112</v>
      </c>
      <c r="AA472" s="10">
        <v>0.126</v>
      </c>
      <c r="AB472" s="10">
        <v>130</v>
      </c>
      <c r="AC472" s="10">
        <v>109</v>
      </c>
      <c r="AD472" s="10">
        <v>99</v>
      </c>
      <c r="AE472" s="10">
        <v>5</v>
      </c>
      <c r="AF472" s="10">
        <v>11.3</v>
      </c>
      <c r="AG472" s="9" t="s">
        <v>188</v>
      </c>
      <c r="AH472" s="10"/>
      <c r="AI472" s="10"/>
      <c r="AJ472" s="10"/>
      <c r="AK472" s="30"/>
    </row>
    <row r="473" spans="5:37">
      <c r="E473" s="28" t="s">
        <v>155</v>
      </c>
      <c r="F473" s="8" t="s">
        <v>317</v>
      </c>
      <c r="G473" s="9" t="s">
        <v>456</v>
      </c>
      <c r="H473" s="10">
        <v>165</v>
      </c>
      <c r="I473" s="9" t="s">
        <v>163</v>
      </c>
      <c r="J473" s="10">
        <v>165</v>
      </c>
      <c r="K473" s="10">
        <v>163.80000000000001</v>
      </c>
      <c r="L473" s="10">
        <v>130</v>
      </c>
      <c r="M473" s="10">
        <v>140</v>
      </c>
      <c r="N473" s="10">
        <v>136</v>
      </c>
      <c r="O473" s="10">
        <v>96</v>
      </c>
      <c r="P473" s="10">
        <v>118</v>
      </c>
      <c r="Q473" s="10">
        <v>15.3</v>
      </c>
      <c r="R473" s="10">
        <v>1911</v>
      </c>
      <c r="S473" s="10">
        <v>0.92</v>
      </c>
      <c r="T473" s="10">
        <v>1766</v>
      </c>
      <c r="U473" s="10">
        <v>191</v>
      </c>
      <c r="V473" s="10">
        <v>95</v>
      </c>
      <c r="W473" s="10">
        <v>59</v>
      </c>
      <c r="X473" s="10">
        <v>228</v>
      </c>
      <c r="Y473" s="10">
        <v>9</v>
      </c>
      <c r="Z473" s="10">
        <v>112</v>
      </c>
      <c r="AA473" s="10">
        <v>0.16</v>
      </c>
      <c r="AB473" s="10">
        <v>126</v>
      </c>
      <c r="AC473" s="10">
        <v>108</v>
      </c>
      <c r="AD473" s="10">
        <v>102</v>
      </c>
      <c r="AE473" s="10">
        <v>6</v>
      </c>
      <c r="AF473" s="10">
        <v>11.4</v>
      </c>
      <c r="AG473" s="9" t="s">
        <v>188</v>
      </c>
      <c r="AH473" s="10"/>
      <c r="AI473" s="10"/>
      <c r="AJ473" s="10"/>
      <c r="AK473" s="30"/>
    </row>
    <row r="474" spans="5:37">
      <c r="E474" s="28" t="s">
        <v>155</v>
      </c>
      <c r="F474" s="8" t="s">
        <v>317</v>
      </c>
      <c r="G474" s="9" t="s">
        <v>456</v>
      </c>
      <c r="H474" s="10">
        <v>171</v>
      </c>
      <c r="I474" s="9" t="s">
        <v>163</v>
      </c>
      <c r="J474" s="10">
        <v>171</v>
      </c>
      <c r="K474" s="10">
        <v>169.8</v>
      </c>
      <c r="L474" s="10">
        <v>134</v>
      </c>
      <c r="M474" s="10">
        <v>146</v>
      </c>
      <c r="N474" s="10">
        <v>136</v>
      </c>
      <c r="O474" s="10">
        <v>96</v>
      </c>
      <c r="P474" s="10">
        <v>118</v>
      </c>
      <c r="Q474" s="10">
        <v>16.8</v>
      </c>
      <c r="R474" s="10">
        <v>1926</v>
      </c>
      <c r="S474" s="10">
        <v>0.95</v>
      </c>
      <c r="T474" s="10">
        <v>1836</v>
      </c>
      <c r="U474" s="10">
        <v>190</v>
      </c>
      <c r="V474" s="10">
        <v>105</v>
      </c>
      <c r="W474" s="10">
        <v>57</v>
      </c>
      <c r="X474" s="10">
        <v>244</v>
      </c>
      <c r="Y474" s="10">
        <v>8</v>
      </c>
      <c r="Z474" s="10">
        <v>116</v>
      </c>
      <c r="AA474" s="10">
        <v>0.14000000000000001</v>
      </c>
      <c r="AB474" s="10">
        <v>128</v>
      </c>
      <c r="AC474" s="10">
        <v>112</v>
      </c>
      <c r="AD474" s="10">
        <v>116</v>
      </c>
      <c r="AE474" s="10">
        <v>4</v>
      </c>
      <c r="AF474" s="10">
        <v>11.4</v>
      </c>
      <c r="AG474" s="9" t="s">
        <v>188</v>
      </c>
      <c r="AH474" s="10"/>
      <c r="AI474" s="10"/>
      <c r="AJ474" s="10"/>
      <c r="AK474" s="30"/>
    </row>
    <row r="475" spans="5:37">
      <c r="E475" s="28" t="s">
        <v>155</v>
      </c>
      <c r="F475" s="8" t="s">
        <v>317</v>
      </c>
      <c r="G475" s="9" t="s">
        <v>793</v>
      </c>
      <c r="H475" s="10">
        <v>171</v>
      </c>
      <c r="I475" s="9" t="s">
        <v>158</v>
      </c>
      <c r="J475" s="10">
        <v>171</v>
      </c>
      <c r="K475" s="10">
        <v>169.8</v>
      </c>
      <c r="L475" s="10">
        <v>140</v>
      </c>
      <c r="M475" s="10">
        <v>146</v>
      </c>
      <c r="N475" s="10">
        <v>136</v>
      </c>
      <c r="O475" s="10">
        <v>96</v>
      </c>
      <c r="P475" s="10">
        <v>117</v>
      </c>
      <c r="Q475" s="10">
        <v>16.7</v>
      </c>
      <c r="R475" s="10">
        <v>2154</v>
      </c>
      <c r="S475" s="10">
        <v>0.85</v>
      </c>
      <c r="T475" s="10">
        <v>1824</v>
      </c>
      <c r="U475" s="10">
        <v>170</v>
      </c>
      <c r="V475" s="10">
        <v>107</v>
      </c>
      <c r="W475" s="10">
        <v>51</v>
      </c>
      <c r="X475" s="10">
        <v>195</v>
      </c>
      <c r="Y475" s="10">
        <v>7</v>
      </c>
      <c r="Z475" s="10">
        <v>98</v>
      </c>
      <c r="AA475" s="10">
        <v>0.13200000000000001</v>
      </c>
      <c r="AB475" s="10">
        <v>129</v>
      </c>
      <c r="AC475" s="10">
        <v>105</v>
      </c>
      <c r="AD475" s="10">
        <v>66</v>
      </c>
      <c r="AE475" s="10">
        <v>9</v>
      </c>
      <c r="AF475" s="10">
        <v>11.5</v>
      </c>
      <c r="AG475" s="9" t="s">
        <v>188</v>
      </c>
      <c r="AH475" s="10"/>
      <c r="AI475" s="10"/>
      <c r="AJ475" s="10"/>
      <c r="AK475" s="30"/>
    </row>
    <row r="476" spans="5:37">
      <c r="E476" s="28" t="s">
        <v>155</v>
      </c>
      <c r="F476" s="8" t="s">
        <v>317</v>
      </c>
      <c r="G476" s="9" t="s">
        <v>793</v>
      </c>
      <c r="H476" s="10">
        <v>177</v>
      </c>
      <c r="I476" s="9" t="s">
        <v>158</v>
      </c>
      <c r="J476" s="10">
        <v>177</v>
      </c>
      <c r="K476" s="10">
        <v>176.1</v>
      </c>
      <c r="L476" s="10">
        <v>148</v>
      </c>
      <c r="M476" s="10">
        <v>151</v>
      </c>
      <c r="N476" s="10">
        <v>136</v>
      </c>
      <c r="O476" s="10">
        <v>96</v>
      </c>
      <c r="P476" s="10">
        <v>118</v>
      </c>
      <c r="Q476" s="10">
        <v>18.2</v>
      </c>
      <c r="R476" s="10">
        <v>2255</v>
      </c>
      <c r="S476" s="10">
        <v>0.84</v>
      </c>
      <c r="T476" s="10">
        <v>1898</v>
      </c>
      <c r="U476" s="10">
        <v>192</v>
      </c>
      <c r="V476" s="10">
        <v>121</v>
      </c>
      <c r="W476" s="10">
        <v>44</v>
      </c>
      <c r="X476" s="10">
        <v>188</v>
      </c>
      <c r="Y476" s="10">
        <v>6</v>
      </c>
      <c r="Z476" s="10">
        <v>98</v>
      </c>
      <c r="AA476" s="10">
        <v>0.13300000000000001</v>
      </c>
      <c r="AB476" s="10">
        <v>134</v>
      </c>
      <c r="AC476" s="10">
        <v>113</v>
      </c>
      <c r="AD476" s="10">
        <v>54</v>
      </c>
      <c r="AE476" s="10">
        <v>10</v>
      </c>
      <c r="AF476" s="10">
        <v>11.3</v>
      </c>
      <c r="AG476" s="9" t="s">
        <v>188</v>
      </c>
      <c r="AH476" s="10"/>
      <c r="AI476" s="10"/>
      <c r="AJ476" s="10"/>
      <c r="AK476" s="30"/>
    </row>
    <row r="477" spans="5:37">
      <c r="E477" s="28" t="s">
        <v>155</v>
      </c>
      <c r="F477" s="8" t="s">
        <v>317</v>
      </c>
      <c r="G477" s="9" t="s">
        <v>793</v>
      </c>
      <c r="H477" s="10">
        <v>183</v>
      </c>
      <c r="I477" s="9" t="s">
        <v>158</v>
      </c>
      <c r="J477" s="10">
        <v>183</v>
      </c>
      <c r="K477" s="10">
        <v>181.8</v>
      </c>
      <c r="L477" s="10">
        <v>149</v>
      </c>
      <c r="M477" s="10">
        <v>157</v>
      </c>
      <c r="N477" s="10">
        <v>136</v>
      </c>
      <c r="O477" s="10">
        <v>96</v>
      </c>
      <c r="P477" s="10">
        <v>117</v>
      </c>
      <c r="Q477" s="10">
        <v>19.7</v>
      </c>
      <c r="R477" s="10">
        <v>2287</v>
      </c>
      <c r="S477" s="10">
        <v>0.86</v>
      </c>
      <c r="T477" s="10">
        <v>1958</v>
      </c>
      <c r="U477" s="10">
        <v>230</v>
      </c>
      <c r="V477" s="10">
        <v>136</v>
      </c>
      <c r="W477" s="10">
        <v>52</v>
      </c>
      <c r="X477" s="10">
        <v>226</v>
      </c>
      <c r="Y477" s="10">
        <v>6</v>
      </c>
      <c r="Z477" s="10">
        <v>101</v>
      </c>
      <c r="AA477" s="10">
        <v>0.11600000000000001</v>
      </c>
      <c r="AB477" s="10">
        <v>133</v>
      </c>
      <c r="AC477" s="10">
        <v>119</v>
      </c>
      <c r="AD477" s="10">
        <v>93</v>
      </c>
      <c r="AE477" s="10">
        <v>8</v>
      </c>
      <c r="AF477" s="10">
        <v>11.3</v>
      </c>
      <c r="AG477" s="9" t="s">
        <v>188</v>
      </c>
      <c r="AH477" s="10"/>
      <c r="AI477" s="10"/>
      <c r="AJ477" s="10"/>
      <c r="AK477" s="30"/>
    </row>
    <row r="478" spans="5:37">
      <c r="E478" s="28" t="s">
        <v>155</v>
      </c>
      <c r="F478" s="8" t="s">
        <v>317</v>
      </c>
      <c r="G478" s="9" t="s">
        <v>821</v>
      </c>
      <c r="H478" s="10">
        <v>173</v>
      </c>
      <c r="I478" s="9" t="s">
        <v>158</v>
      </c>
      <c r="J478" s="10">
        <v>173</v>
      </c>
      <c r="K478" s="10">
        <v>171.1</v>
      </c>
      <c r="L478" s="10">
        <v>136</v>
      </c>
      <c r="M478" s="10">
        <v>147</v>
      </c>
      <c r="N478" s="10">
        <v>121</v>
      </c>
      <c r="O478" s="10">
        <v>81</v>
      </c>
      <c r="P478" s="10">
        <v>104</v>
      </c>
      <c r="Q478" s="10">
        <v>17</v>
      </c>
      <c r="R478" s="10">
        <v>1888</v>
      </c>
      <c r="S478" s="10">
        <v>0.85</v>
      </c>
      <c r="T478" s="10">
        <v>1600</v>
      </c>
      <c r="U478" s="10">
        <v>190</v>
      </c>
      <c r="V478" s="10">
        <v>122</v>
      </c>
      <c r="W478" s="10">
        <v>53</v>
      </c>
      <c r="X478" s="10">
        <v>251</v>
      </c>
      <c r="Y478" s="10">
        <v>5</v>
      </c>
      <c r="Z478" s="10">
        <v>97</v>
      </c>
      <c r="AA478" s="10">
        <v>0.10299999999999999</v>
      </c>
      <c r="AB478" s="10">
        <v>126</v>
      </c>
      <c r="AC478" s="10">
        <v>112</v>
      </c>
      <c r="AD478" s="10">
        <v>125</v>
      </c>
      <c r="AE478" s="10">
        <v>4</v>
      </c>
      <c r="AF478" s="10">
        <v>10.6</v>
      </c>
      <c r="AG478" s="9" t="s">
        <v>349</v>
      </c>
      <c r="AH478" s="9" t="s">
        <v>231</v>
      </c>
      <c r="AI478" s="9" t="s">
        <v>188</v>
      </c>
      <c r="AJ478" s="10"/>
      <c r="AK478" s="30"/>
    </row>
    <row r="479" spans="5:37">
      <c r="E479" s="28" t="s">
        <v>155</v>
      </c>
      <c r="F479" s="8" t="s">
        <v>317</v>
      </c>
      <c r="G479" s="9" t="s">
        <v>821</v>
      </c>
      <c r="H479" s="10">
        <v>180</v>
      </c>
      <c r="I479" s="9" t="s">
        <v>158</v>
      </c>
      <c r="J479" s="10">
        <v>180</v>
      </c>
      <c r="K479" s="10">
        <v>178</v>
      </c>
      <c r="L479" s="10">
        <v>148</v>
      </c>
      <c r="M479" s="10">
        <v>156</v>
      </c>
      <c r="N479" s="10">
        <v>120</v>
      </c>
      <c r="O479" s="10">
        <v>81</v>
      </c>
      <c r="P479" s="10">
        <v>104</v>
      </c>
      <c r="Q479" s="10">
        <v>19</v>
      </c>
      <c r="R479" s="10">
        <v>2010</v>
      </c>
      <c r="S479" s="10">
        <v>0.83</v>
      </c>
      <c r="T479" s="10">
        <v>1661</v>
      </c>
      <c r="U479" s="10">
        <v>210</v>
      </c>
      <c r="V479" s="10">
        <v>127</v>
      </c>
      <c r="W479" s="10">
        <v>53</v>
      </c>
      <c r="X479" s="10">
        <v>220</v>
      </c>
      <c r="Y479" s="10">
        <v>5</v>
      </c>
      <c r="Z479" s="10">
        <v>81</v>
      </c>
      <c r="AA479" s="10">
        <v>9.6000000000000002E-2</v>
      </c>
      <c r="AB479" s="10">
        <v>119</v>
      </c>
      <c r="AC479" s="10">
        <v>106</v>
      </c>
      <c r="AD479" s="10">
        <v>102</v>
      </c>
      <c r="AE479" s="10">
        <v>9</v>
      </c>
      <c r="AF479" s="10">
        <v>11.2</v>
      </c>
      <c r="AG479" s="9" t="s">
        <v>349</v>
      </c>
      <c r="AH479" s="9" t="s">
        <v>231</v>
      </c>
      <c r="AI479" s="9" t="s">
        <v>188</v>
      </c>
      <c r="AJ479" s="10"/>
      <c r="AK479" s="30"/>
    </row>
    <row r="480" spans="5:37">
      <c r="E480" s="28" t="s">
        <v>155</v>
      </c>
      <c r="F480" s="8" t="s">
        <v>317</v>
      </c>
      <c r="G480" s="9" t="s">
        <v>821</v>
      </c>
      <c r="H480" s="10">
        <v>187</v>
      </c>
      <c r="I480" s="9" t="s">
        <v>158</v>
      </c>
      <c r="J480" s="10">
        <v>187</v>
      </c>
      <c r="K480" s="10">
        <v>185</v>
      </c>
      <c r="L480" s="10">
        <v>150</v>
      </c>
      <c r="M480" s="10">
        <v>162</v>
      </c>
      <c r="N480" s="10">
        <v>121</v>
      </c>
      <c r="O480" s="10">
        <v>81</v>
      </c>
      <c r="P480" s="10">
        <v>104</v>
      </c>
      <c r="Q480" s="10">
        <v>20.5</v>
      </c>
      <c r="R480" s="10">
        <v>2080</v>
      </c>
      <c r="S480" s="10">
        <v>0.83</v>
      </c>
      <c r="T480" s="10">
        <v>1729</v>
      </c>
      <c r="U480" s="10">
        <v>275</v>
      </c>
      <c r="V480" s="10">
        <v>152</v>
      </c>
      <c r="W480" s="10">
        <v>55</v>
      </c>
      <c r="X480" s="10">
        <v>251</v>
      </c>
      <c r="Y480" s="10">
        <v>5</v>
      </c>
      <c r="Z480" s="10">
        <v>95</v>
      </c>
      <c r="AA480" s="10">
        <v>8.5000000000000006E-2</v>
      </c>
      <c r="AB480" s="10">
        <v>122</v>
      </c>
      <c r="AC480" s="10">
        <v>110</v>
      </c>
      <c r="AD480" s="10">
        <v>129</v>
      </c>
      <c r="AE480" s="10">
        <v>4</v>
      </c>
      <c r="AF480" s="10">
        <v>11.1</v>
      </c>
      <c r="AG480" s="9" t="s">
        <v>349</v>
      </c>
      <c r="AH480" s="9" t="s">
        <v>231</v>
      </c>
      <c r="AI480" s="9" t="s">
        <v>188</v>
      </c>
      <c r="AJ480" s="10"/>
      <c r="AK480" s="30"/>
    </row>
    <row r="481" spans="5:37">
      <c r="E481" s="28" t="s">
        <v>155</v>
      </c>
      <c r="F481" s="8" t="s">
        <v>317</v>
      </c>
      <c r="G481" s="9" t="s">
        <v>630</v>
      </c>
      <c r="H481" s="10">
        <v>165</v>
      </c>
      <c r="I481" s="9" t="s">
        <v>158</v>
      </c>
      <c r="J481" s="10">
        <v>165</v>
      </c>
      <c r="K481" s="10">
        <v>163.5</v>
      </c>
      <c r="L481" s="10">
        <v>133</v>
      </c>
      <c r="M481" s="10">
        <v>141</v>
      </c>
      <c r="N481" s="10">
        <v>128</v>
      </c>
      <c r="O481" s="10">
        <v>86</v>
      </c>
      <c r="P481" s="10">
        <v>109</v>
      </c>
      <c r="Q481" s="10">
        <v>14.6</v>
      </c>
      <c r="R481" s="10">
        <v>1894</v>
      </c>
      <c r="S481" s="10">
        <v>0.85</v>
      </c>
      <c r="T481" s="10">
        <v>1618</v>
      </c>
      <c r="U481" s="10">
        <v>178</v>
      </c>
      <c r="V481" s="10">
        <v>89</v>
      </c>
      <c r="W481" s="10">
        <v>59</v>
      </c>
      <c r="X481" s="10">
        <v>202</v>
      </c>
      <c r="Y481" s="10">
        <v>7</v>
      </c>
      <c r="Z481" s="10">
        <v>101</v>
      </c>
      <c r="AA481" s="10">
        <v>0.113</v>
      </c>
      <c r="AB481" s="10">
        <v>122</v>
      </c>
      <c r="AC481" s="10">
        <v>103</v>
      </c>
      <c r="AD481" s="10">
        <v>80</v>
      </c>
      <c r="AE481" s="10">
        <v>8</v>
      </c>
      <c r="AF481" s="10">
        <v>11</v>
      </c>
      <c r="AG481" s="9" t="s">
        <v>188</v>
      </c>
      <c r="AH481" s="10"/>
      <c r="AI481" s="10"/>
      <c r="AJ481" s="10"/>
      <c r="AK481" s="30"/>
    </row>
    <row r="482" spans="5:37">
      <c r="E482" s="28" t="s">
        <v>155</v>
      </c>
      <c r="F482" s="8" t="s">
        <v>317</v>
      </c>
      <c r="G482" s="9" t="s">
        <v>630</v>
      </c>
      <c r="H482" s="10">
        <v>177</v>
      </c>
      <c r="I482" s="9" t="s">
        <v>158</v>
      </c>
      <c r="J482" s="10">
        <v>177</v>
      </c>
      <c r="K482" s="10">
        <v>175.9</v>
      </c>
      <c r="L482" s="10">
        <v>144</v>
      </c>
      <c r="M482" s="10">
        <v>154</v>
      </c>
      <c r="N482" s="10">
        <v>128</v>
      </c>
      <c r="O482" s="10">
        <v>86</v>
      </c>
      <c r="P482" s="10">
        <v>109</v>
      </c>
      <c r="Q482" s="10">
        <v>17.3</v>
      </c>
      <c r="R482" s="10">
        <v>2133</v>
      </c>
      <c r="S482" s="10">
        <v>0.81</v>
      </c>
      <c r="T482" s="10">
        <v>1735</v>
      </c>
      <c r="U482" s="10">
        <v>219</v>
      </c>
      <c r="V482" s="10">
        <v>115</v>
      </c>
      <c r="W482" s="10">
        <v>53</v>
      </c>
      <c r="X482" s="10">
        <v>211</v>
      </c>
      <c r="Y482" s="10">
        <v>8</v>
      </c>
      <c r="Z482" s="10">
        <v>112</v>
      </c>
      <c r="AA482" s="10">
        <v>0.14699999999999999</v>
      </c>
      <c r="AB482" s="10">
        <v>119</v>
      </c>
      <c r="AC482" s="10">
        <v>99</v>
      </c>
      <c r="AD482" s="10">
        <v>92</v>
      </c>
      <c r="AE482" s="10">
        <v>5</v>
      </c>
      <c r="AF482" s="10">
        <v>11.1</v>
      </c>
      <c r="AG482" s="9" t="s">
        <v>188</v>
      </c>
      <c r="AH482" s="10"/>
      <c r="AI482" s="10"/>
      <c r="AJ482" s="10"/>
      <c r="AK482" s="30"/>
    </row>
    <row r="483" spans="5:37">
      <c r="E483" s="28" t="s">
        <v>155</v>
      </c>
      <c r="F483" s="8" t="s">
        <v>317</v>
      </c>
      <c r="G483" s="9" t="s">
        <v>630</v>
      </c>
      <c r="H483" s="10">
        <v>183</v>
      </c>
      <c r="I483" s="9" t="s">
        <v>158</v>
      </c>
      <c r="J483" s="10">
        <v>183</v>
      </c>
      <c r="K483" s="10">
        <v>181.8</v>
      </c>
      <c r="L483" s="10">
        <v>152</v>
      </c>
      <c r="M483" s="10">
        <v>159</v>
      </c>
      <c r="N483" s="10">
        <v>128</v>
      </c>
      <c r="O483" s="10">
        <v>86</v>
      </c>
      <c r="P483" s="10">
        <v>110</v>
      </c>
      <c r="Q483" s="10">
        <v>18.8</v>
      </c>
      <c r="R483" s="10">
        <v>2198</v>
      </c>
      <c r="S483" s="10">
        <v>0.82</v>
      </c>
      <c r="T483" s="10">
        <v>1796</v>
      </c>
      <c r="U483" s="10">
        <v>229</v>
      </c>
      <c r="V483" s="10">
        <v>127</v>
      </c>
      <c r="W483" s="10">
        <v>51</v>
      </c>
      <c r="X483" s="10">
        <v>205</v>
      </c>
      <c r="Y483" s="10">
        <v>5</v>
      </c>
      <c r="Z483" s="10">
        <v>89</v>
      </c>
      <c r="AA483" s="10">
        <v>9.5000000000000001E-2</v>
      </c>
      <c r="AB483" s="10">
        <v>122</v>
      </c>
      <c r="AC483" s="10">
        <v>106</v>
      </c>
      <c r="AD483" s="10">
        <v>83</v>
      </c>
      <c r="AE483" s="10">
        <v>11</v>
      </c>
      <c r="AF483" s="10">
        <v>11.1</v>
      </c>
      <c r="AG483" s="9" t="s">
        <v>188</v>
      </c>
      <c r="AH483" s="10"/>
      <c r="AI483" s="10"/>
      <c r="AJ483" s="10"/>
      <c r="AK483" s="30"/>
    </row>
    <row r="484" spans="5:37">
      <c r="E484" s="28" t="s">
        <v>155</v>
      </c>
      <c r="F484" s="8" t="s">
        <v>317</v>
      </c>
      <c r="G484" s="9" t="s">
        <v>630</v>
      </c>
      <c r="H484" s="10">
        <v>189</v>
      </c>
      <c r="I484" s="9" t="s">
        <v>158</v>
      </c>
      <c r="J484" s="10">
        <v>189</v>
      </c>
      <c r="K484" s="10">
        <v>188.1</v>
      </c>
      <c r="L484" s="10">
        <v>160</v>
      </c>
      <c r="M484" s="10">
        <v>165</v>
      </c>
      <c r="N484" s="10">
        <v>127</v>
      </c>
      <c r="O484" s="10">
        <v>86</v>
      </c>
      <c r="P484" s="10">
        <v>109</v>
      </c>
      <c r="Q484" s="10">
        <v>20.5</v>
      </c>
      <c r="R484" s="10">
        <v>2306</v>
      </c>
      <c r="S484" s="10">
        <v>0.8</v>
      </c>
      <c r="T484" s="10">
        <v>1848</v>
      </c>
      <c r="U484" s="10">
        <v>253</v>
      </c>
      <c r="V484" s="10">
        <v>139</v>
      </c>
      <c r="W484" s="10">
        <v>54</v>
      </c>
      <c r="X484" s="10">
        <v>198</v>
      </c>
      <c r="Y484" s="10">
        <v>4</v>
      </c>
      <c r="Z484" s="10">
        <v>85</v>
      </c>
      <c r="AA484" s="10">
        <v>7.8E-2</v>
      </c>
      <c r="AB484" s="10">
        <v>123</v>
      </c>
      <c r="AC484" s="10">
        <v>104</v>
      </c>
      <c r="AD484" s="10">
        <v>75</v>
      </c>
      <c r="AE484" s="10">
        <v>12</v>
      </c>
      <c r="AF484" s="10">
        <v>11</v>
      </c>
      <c r="AG484" s="9" t="s">
        <v>188</v>
      </c>
      <c r="AH484" s="10"/>
      <c r="AI484" s="10"/>
      <c r="AJ484" s="10"/>
      <c r="AK484" s="30"/>
    </row>
    <row r="485" spans="5:37">
      <c r="E485" s="28" t="s">
        <v>155</v>
      </c>
      <c r="F485" s="8" t="s">
        <v>317</v>
      </c>
      <c r="G485" s="9" t="s">
        <v>754</v>
      </c>
      <c r="H485" s="10">
        <v>177</v>
      </c>
      <c r="I485" s="9" t="s">
        <v>158</v>
      </c>
      <c r="J485" s="10">
        <v>177</v>
      </c>
      <c r="K485" s="10">
        <v>175.1</v>
      </c>
      <c r="L485" s="10">
        <v>114</v>
      </c>
      <c r="M485" s="10">
        <v>149</v>
      </c>
      <c r="N485" s="10">
        <v>135</v>
      </c>
      <c r="O485" s="10">
        <v>106</v>
      </c>
      <c r="P485" s="10">
        <v>123</v>
      </c>
      <c r="Q485" s="10">
        <v>23.9</v>
      </c>
      <c r="R485" s="10">
        <v>2214</v>
      </c>
      <c r="S485" s="10">
        <v>0.9</v>
      </c>
      <c r="T485" s="10">
        <v>2003</v>
      </c>
      <c r="U485" s="10">
        <v>203</v>
      </c>
      <c r="V485" s="10">
        <v>129</v>
      </c>
      <c r="W485" s="10">
        <v>47</v>
      </c>
      <c r="X485" s="10">
        <v>316</v>
      </c>
      <c r="Y485" s="10">
        <v>16</v>
      </c>
      <c r="Z485" s="10">
        <v>291</v>
      </c>
      <c r="AA485" s="10">
        <v>0.34799999999999998</v>
      </c>
      <c r="AB485" s="10">
        <v>151</v>
      </c>
      <c r="AC485" s="10">
        <v>114</v>
      </c>
      <c r="AD485" s="10">
        <v>165</v>
      </c>
      <c r="AE485" s="10">
        <v>4</v>
      </c>
      <c r="AF485" s="10">
        <v>11.4</v>
      </c>
      <c r="AG485" s="9" t="s">
        <v>178</v>
      </c>
      <c r="AH485" s="10"/>
      <c r="AI485" s="10"/>
      <c r="AJ485" s="10"/>
      <c r="AK485" s="30"/>
    </row>
    <row r="486" spans="5:37">
      <c r="E486" s="28" t="s">
        <v>155</v>
      </c>
      <c r="F486" s="8" t="s">
        <v>317</v>
      </c>
      <c r="G486" s="9" t="s">
        <v>754</v>
      </c>
      <c r="H486" s="10">
        <v>185</v>
      </c>
      <c r="I486" s="9" t="s">
        <v>158</v>
      </c>
      <c r="J486" s="10">
        <v>185</v>
      </c>
      <c r="K486" s="10">
        <v>182.9</v>
      </c>
      <c r="L486" s="10">
        <v>138</v>
      </c>
      <c r="M486" s="10">
        <v>157</v>
      </c>
      <c r="N486" s="10">
        <v>136</v>
      </c>
      <c r="O486" s="10">
        <v>106</v>
      </c>
      <c r="P486" s="10">
        <v>123</v>
      </c>
      <c r="Q486" s="10">
        <v>25.2</v>
      </c>
      <c r="R486" s="10">
        <v>2372</v>
      </c>
      <c r="S486" s="10">
        <v>0.88</v>
      </c>
      <c r="T486" s="10">
        <v>2096</v>
      </c>
      <c r="U486" s="10">
        <v>255</v>
      </c>
      <c r="V486" s="10">
        <v>165</v>
      </c>
      <c r="W486" s="10">
        <v>49</v>
      </c>
      <c r="X486" s="10">
        <v>332</v>
      </c>
      <c r="Y486" s="10">
        <v>14</v>
      </c>
      <c r="Z486" s="10">
        <v>122</v>
      </c>
      <c r="AA486" s="10">
        <v>0.28299999999999997</v>
      </c>
      <c r="AB486" s="10">
        <v>142</v>
      </c>
      <c r="AC486" s="10">
        <v>117</v>
      </c>
      <c r="AD486" s="10">
        <v>189</v>
      </c>
      <c r="AE486" s="10">
        <v>5</v>
      </c>
      <c r="AF486" s="10">
        <v>11.4</v>
      </c>
      <c r="AG486" s="9" t="s">
        <v>178</v>
      </c>
      <c r="AH486" s="10"/>
      <c r="AI486" s="10"/>
      <c r="AJ486" s="10"/>
      <c r="AK486" s="30"/>
    </row>
    <row r="487" spans="5:37">
      <c r="E487" s="28" t="s">
        <v>155</v>
      </c>
      <c r="F487" s="8" t="s">
        <v>317</v>
      </c>
      <c r="G487" s="9" t="s">
        <v>754</v>
      </c>
      <c r="H487" s="10">
        <v>192</v>
      </c>
      <c r="I487" s="9" t="s">
        <v>158</v>
      </c>
      <c r="J487" s="10">
        <v>192</v>
      </c>
      <c r="K487" s="10">
        <v>190.3</v>
      </c>
      <c r="L487" s="10">
        <v>144</v>
      </c>
      <c r="M487" s="10">
        <v>164</v>
      </c>
      <c r="N487" s="10">
        <v>136</v>
      </c>
      <c r="O487" s="10">
        <v>106</v>
      </c>
      <c r="P487" s="10">
        <v>123</v>
      </c>
      <c r="Q487" s="10">
        <v>26.9</v>
      </c>
      <c r="R487" s="10">
        <v>2576</v>
      </c>
      <c r="S487" s="10">
        <v>0.84</v>
      </c>
      <c r="T487" s="10">
        <v>2176</v>
      </c>
      <c r="U487" s="10">
        <v>296</v>
      </c>
      <c r="V487" s="10">
        <v>195</v>
      </c>
      <c r="W487" s="10">
        <v>52</v>
      </c>
      <c r="X487" s="10">
        <v>345</v>
      </c>
      <c r="Y487" s="10">
        <v>13</v>
      </c>
      <c r="Z487" s="10">
        <v>115</v>
      </c>
      <c r="AA487" s="10">
        <v>0.255</v>
      </c>
      <c r="AB487" s="10">
        <v>148</v>
      </c>
      <c r="AC487" s="10">
        <v>112</v>
      </c>
      <c r="AD487" s="10">
        <v>197</v>
      </c>
      <c r="AE487" s="10">
        <v>7</v>
      </c>
      <c r="AF487" s="10">
        <v>11</v>
      </c>
      <c r="AG487" s="9" t="s">
        <v>178</v>
      </c>
      <c r="AH487" s="10"/>
      <c r="AI487" s="10"/>
      <c r="AJ487" s="10"/>
      <c r="AK487" s="30"/>
    </row>
    <row r="488" spans="5:37">
      <c r="E488" s="28" t="s">
        <v>155</v>
      </c>
      <c r="F488" s="8" t="s">
        <v>317</v>
      </c>
      <c r="G488" s="9" t="s">
        <v>881</v>
      </c>
      <c r="H488" s="10">
        <v>166</v>
      </c>
      <c r="I488" s="9" t="s">
        <v>158</v>
      </c>
      <c r="J488" s="10">
        <v>166</v>
      </c>
      <c r="K488" s="10">
        <v>165.2</v>
      </c>
      <c r="L488" s="10">
        <v>148</v>
      </c>
      <c r="M488" s="10">
        <v>153</v>
      </c>
      <c r="N488" s="10">
        <v>123</v>
      </c>
      <c r="O488" s="10">
        <v>74</v>
      </c>
      <c r="P488" s="10">
        <v>104</v>
      </c>
      <c r="Q488" s="10">
        <v>14.4</v>
      </c>
      <c r="R488" s="10">
        <v>2094</v>
      </c>
      <c r="S488" s="10">
        <v>0.7</v>
      </c>
      <c r="T488" s="10">
        <v>1465</v>
      </c>
      <c r="U488" s="10">
        <v>198</v>
      </c>
      <c r="V488" s="10">
        <v>129</v>
      </c>
      <c r="W488" s="10">
        <v>36</v>
      </c>
      <c r="X488" s="10">
        <v>123</v>
      </c>
      <c r="Y488" s="10">
        <v>5</v>
      </c>
      <c r="Z488" s="10">
        <v>49</v>
      </c>
      <c r="AA488" s="10">
        <v>0.14599999999999999</v>
      </c>
      <c r="AB488" s="10">
        <v>73</v>
      </c>
      <c r="AC488" s="10">
        <v>51</v>
      </c>
      <c r="AD488" s="10">
        <v>50</v>
      </c>
      <c r="AE488" s="10">
        <v>10</v>
      </c>
      <c r="AF488" s="10">
        <v>11.2</v>
      </c>
      <c r="AG488" s="9" t="s">
        <v>349</v>
      </c>
      <c r="AH488" s="10"/>
      <c r="AI488" s="10"/>
      <c r="AJ488" s="10"/>
      <c r="AK488" s="30"/>
    </row>
    <row r="489" spans="5:37">
      <c r="E489" s="28" t="s">
        <v>155</v>
      </c>
      <c r="F489" s="8" t="s">
        <v>317</v>
      </c>
      <c r="G489" s="9" t="s">
        <v>881</v>
      </c>
      <c r="H489" s="10">
        <v>174</v>
      </c>
      <c r="I489" s="9" t="s">
        <v>158</v>
      </c>
      <c r="J489" s="10">
        <v>174</v>
      </c>
      <c r="K489" s="10">
        <v>173.1</v>
      </c>
      <c r="L489" s="10">
        <v>156</v>
      </c>
      <c r="M489" s="10">
        <v>160</v>
      </c>
      <c r="N489" s="10">
        <v>125</v>
      </c>
      <c r="O489" s="10">
        <v>75</v>
      </c>
      <c r="P489" s="10">
        <v>106</v>
      </c>
      <c r="Q489" s="10">
        <v>15.2</v>
      </c>
      <c r="R489" s="10">
        <v>2192</v>
      </c>
      <c r="S489" s="10">
        <v>0.71</v>
      </c>
      <c r="T489" s="10">
        <v>1555</v>
      </c>
      <c r="U489" s="10">
        <v>229</v>
      </c>
      <c r="V489" s="10">
        <v>142</v>
      </c>
      <c r="W489" s="10">
        <v>37</v>
      </c>
      <c r="X489" s="10">
        <v>122</v>
      </c>
      <c r="Y489" s="10">
        <v>5</v>
      </c>
      <c r="Z489" s="10">
        <v>51</v>
      </c>
      <c r="AA489" s="10">
        <v>0.14799999999999999</v>
      </c>
      <c r="AB489" s="10">
        <v>76</v>
      </c>
      <c r="AC489" s="10">
        <v>52</v>
      </c>
      <c r="AD489" s="10">
        <v>46</v>
      </c>
      <c r="AE489" s="10">
        <v>9</v>
      </c>
      <c r="AF489" s="10">
        <v>11.1</v>
      </c>
      <c r="AG489" s="9" t="s">
        <v>349</v>
      </c>
      <c r="AH489" s="10"/>
      <c r="AI489" s="10"/>
      <c r="AJ489" s="10"/>
      <c r="AK489" s="30"/>
    </row>
    <row r="490" spans="5:37">
      <c r="E490" s="28" t="s">
        <v>155</v>
      </c>
      <c r="F490" s="8" t="s">
        <v>317</v>
      </c>
      <c r="G490" s="9" t="s">
        <v>613</v>
      </c>
      <c r="H490" s="10">
        <v>153</v>
      </c>
      <c r="I490" s="9" t="s">
        <v>163</v>
      </c>
      <c r="J490" s="10">
        <v>153</v>
      </c>
      <c r="K490" s="10">
        <v>151.4</v>
      </c>
      <c r="L490" s="10">
        <v>132</v>
      </c>
      <c r="M490" s="10">
        <v>139</v>
      </c>
      <c r="N490" s="10">
        <v>119</v>
      </c>
      <c r="O490" s="10">
        <v>71</v>
      </c>
      <c r="P490" s="10">
        <v>101</v>
      </c>
      <c r="Q490" s="10">
        <v>12.5</v>
      </c>
      <c r="R490" s="10">
        <v>1608</v>
      </c>
      <c r="S490" s="10">
        <v>0.8</v>
      </c>
      <c r="T490" s="10">
        <v>1292</v>
      </c>
      <c r="U490" s="10">
        <v>202</v>
      </c>
      <c r="V490" s="10">
        <v>74</v>
      </c>
      <c r="W490" s="10">
        <v>31</v>
      </c>
      <c r="X490" s="10">
        <v>133</v>
      </c>
      <c r="Y490" s="10">
        <v>8</v>
      </c>
      <c r="Z490" s="10">
        <v>64</v>
      </c>
      <c r="AA490" s="10">
        <v>0.25900000000000001</v>
      </c>
      <c r="AB490" s="10">
        <v>73</v>
      </c>
      <c r="AC490" s="10">
        <v>51</v>
      </c>
      <c r="AD490" s="10">
        <v>59</v>
      </c>
      <c r="AE490" s="10">
        <v>7</v>
      </c>
      <c r="AF490" s="10">
        <v>10.199999999999999</v>
      </c>
      <c r="AG490" s="9" t="s">
        <v>349</v>
      </c>
      <c r="AH490" s="10"/>
      <c r="AI490" s="10"/>
      <c r="AJ490" s="10"/>
      <c r="AK490" s="30"/>
    </row>
    <row r="491" spans="5:37">
      <c r="E491" s="28" t="s">
        <v>155</v>
      </c>
      <c r="F491" s="8" t="s">
        <v>317</v>
      </c>
      <c r="G491" s="9" t="s">
        <v>613</v>
      </c>
      <c r="H491" s="10">
        <v>160</v>
      </c>
      <c r="I491" s="9" t="s">
        <v>163</v>
      </c>
      <c r="J491" s="10">
        <v>160</v>
      </c>
      <c r="K491" s="10">
        <v>158.5</v>
      </c>
      <c r="L491" s="10">
        <v>133</v>
      </c>
      <c r="M491" s="10">
        <v>146</v>
      </c>
      <c r="N491" s="10">
        <v>118</v>
      </c>
      <c r="O491" s="10">
        <v>71</v>
      </c>
      <c r="P491" s="10">
        <v>101</v>
      </c>
      <c r="Q491" s="10">
        <v>13.8</v>
      </c>
      <c r="R491" s="10">
        <v>1809</v>
      </c>
      <c r="S491" s="10">
        <v>0.74</v>
      </c>
      <c r="T491" s="10">
        <v>1346</v>
      </c>
      <c r="U491" s="10">
        <v>227</v>
      </c>
      <c r="V491" s="10">
        <v>89</v>
      </c>
      <c r="W491" s="10">
        <v>34</v>
      </c>
      <c r="X491" s="10">
        <v>186</v>
      </c>
      <c r="Y491" s="10">
        <v>8</v>
      </c>
      <c r="Z491" s="10">
        <v>74</v>
      </c>
      <c r="AA491" s="10">
        <v>0.249</v>
      </c>
      <c r="AB491" s="10">
        <v>76</v>
      </c>
      <c r="AC491" s="10">
        <v>54</v>
      </c>
      <c r="AD491" s="10">
        <v>111</v>
      </c>
      <c r="AE491" s="10">
        <v>7</v>
      </c>
      <c r="AF491" s="10">
        <v>10.199999999999999</v>
      </c>
      <c r="AG491" s="9" t="s">
        <v>349</v>
      </c>
      <c r="AH491" s="10"/>
      <c r="AI491" s="10"/>
      <c r="AJ491" s="10"/>
      <c r="AK491" s="30"/>
    </row>
    <row r="492" spans="5:37">
      <c r="E492" s="28" t="s">
        <v>155</v>
      </c>
      <c r="F492" s="8" t="s">
        <v>317</v>
      </c>
      <c r="G492" s="9" t="s">
        <v>669</v>
      </c>
      <c r="H492" s="10">
        <v>156</v>
      </c>
      <c r="I492" s="9" t="s">
        <v>163</v>
      </c>
      <c r="J492" s="10">
        <v>156</v>
      </c>
      <c r="K492" s="10">
        <v>154.19999999999999</v>
      </c>
      <c r="L492" s="10">
        <v>130</v>
      </c>
      <c r="M492" s="10">
        <v>142</v>
      </c>
      <c r="N492" s="10">
        <v>116</v>
      </c>
      <c r="O492" s="10">
        <v>71</v>
      </c>
      <c r="P492" s="10">
        <v>99</v>
      </c>
      <c r="Q492" s="10">
        <v>13.8</v>
      </c>
      <c r="R492" s="10">
        <v>1682</v>
      </c>
      <c r="S492" s="10">
        <v>0.78</v>
      </c>
      <c r="T492" s="10">
        <v>1304</v>
      </c>
      <c r="U492" s="10">
        <v>180</v>
      </c>
      <c r="V492" s="10">
        <v>78</v>
      </c>
      <c r="W492" s="10">
        <v>42</v>
      </c>
      <c r="X492" s="10">
        <v>168</v>
      </c>
      <c r="Y492" s="10">
        <v>8</v>
      </c>
      <c r="Z492" s="10">
        <v>70</v>
      </c>
      <c r="AA492" s="10">
        <v>0.19700000000000001</v>
      </c>
      <c r="AB492" s="10">
        <v>67</v>
      </c>
      <c r="AC492" s="10">
        <v>52</v>
      </c>
      <c r="AD492" s="10">
        <v>101</v>
      </c>
      <c r="AE492" s="10">
        <v>5</v>
      </c>
      <c r="AF492" s="10">
        <v>10.1</v>
      </c>
      <c r="AG492" s="9" t="s">
        <v>349</v>
      </c>
      <c r="AH492" s="10"/>
      <c r="AI492" s="10"/>
      <c r="AJ492" s="10"/>
      <c r="AK492" s="30"/>
    </row>
    <row r="493" spans="5:37">
      <c r="E493" s="28" t="s">
        <v>155</v>
      </c>
      <c r="F493" s="8" t="s">
        <v>317</v>
      </c>
      <c r="G493" s="9" t="s">
        <v>551</v>
      </c>
      <c r="H493" s="10">
        <v>164</v>
      </c>
      <c r="I493" s="9" t="s">
        <v>158</v>
      </c>
      <c r="J493" s="10">
        <v>164</v>
      </c>
      <c r="K493" s="10">
        <v>162.4</v>
      </c>
      <c r="L493" s="10">
        <v>98</v>
      </c>
      <c r="M493" s="10">
        <v>133</v>
      </c>
      <c r="N493" s="10">
        <v>131</v>
      </c>
      <c r="O493" s="10">
        <v>101</v>
      </c>
      <c r="P493" s="10">
        <v>121</v>
      </c>
      <c r="Q493" s="10">
        <v>15.4</v>
      </c>
      <c r="R493" s="10">
        <v>1840</v>
      </c>
      <c r="S493" s="10">
        <v>0.99</v>
      </c>
      <c r="T493" s="10">
        <v>1813</v>
      </c>
      <c r="U493" s="10">
        <v>157</v>
      </c>
      <c r="V493" s="10">
        <v>84</v>
      </c>
      <c r="W493" s="10">
        <v>66</v>
      </c>
      <c r="X493" s="10">
        <v>361</v>
      </c>
      <c r="Y493" s="10">
        <v>33</v>
      </c>
      <c r="Z493" s="10">
        <v>279</v>
      </c>
      <c r="AA493" s="10">
        <v>0.503</v>
      </c>
      <c r="AB493" s="10">
        <v>161</v>
      </c>
      <c r="AC493" s="10">
        <v>136</v>
      </c>
      <c r="AD493" s="10">
        <v>200</v>
      </c>
      <c r="AE493" s="10">
        <v>4</v>
      </c>
      <c r="AF493" s="10">
        <v>7</v>
      </c>
      <c r="AG493" s="9" t="s">
        <v>188</v>
      </c>
      <c r="AH493" s="9" t="s">
        <v>169</v>
      </c>
      <c r="AI493" s="10"/>
      <c r="AJ493" s="10"/>
      <c r="AK493" s="30"/>
    </row>
    <row r="494" spans="5:37">
      <c r="E494" s="28" t="s">
        <v>155</v>
      </c>
      <c r="F494" s="8" t="s">
        <v>317</v>
      </c>
      <c r="G494" s="9" t="s">
        <v>551</v>
      </c>
      <c r="H494" s="10">
        <v>172</v>
      </c>
      <c r="I494" s="9" t="s">
        <v>158</v>
      </c>
      <c r="J494" s="10">
        <v>172</v>
      </c>
      <c r="K494" s="10">
        <v>170.5</v>
      </c>
      <c r="L494" s="10">
        <v>103</v>
      </c>
      <c r="M494" s="10">
        <v>141</v>
      </c>
      <c r="N494" s="10">
        <v>132</v>
      </c>
      <c r="O494" s="10">
        <v>101</v>
      </c>
      <c r="P494" s="10">
        <v>121</v>
      </c>
      <c r="Q494" s="10">
        <v>17.100000000000001</v>
      </c>
      <c r="R494" s="10">
        <v>1908</v>
      </c>
      <c r="S494" s="10">
        <v>1</v>
      </c>
      <c r="T494" s="10">
        <v>1903</v>
      </c>
      <c r="U494" s="10">
        <v>181</v>
      </c>
      <c r="V494" s="10">
        <v>99</v>
      </c>
      <c r="W494" s="10">
        <v>65</v>
      </c>
      <c r="X494" s="10">
        <v>375</v>
      </c>
      <c r="Y494" s="10">
        <v>36</v>
      </c>
      <c r="Z494" s="10">
        <v>300</v>
      </c>
      <c r="AA494" s="10">
        <v>0.55200000000000005</v>
      </c>
      <c r="AB494" s="10">
        <v>155</v>
      </c>
      <c r="AC494" s="10">
        <v>139</v>
      </c>
      <c r="AD494" s="10">
        <v>220</v>
      </c>
      <c r="AE494" s="10">
        <v>4</v>
      </c>
      <c r="AF494" s="10">
        <v>7.6</v>
      </c>
      <c r="AG494" s="9" t="s">
        <v>188</v>
      </c>
      <c r="AH494" s="9" t="s">
        <v>169</v>
      </c>
      <c r="AI494" s="10"/>
      <c r="AJ494" s="10"/>
      <c r="AK494" s="30"/>
    </row>
    <row r="495" spans="5:37">
      <c r="E495" s="28" t="s">
        <v>155</v>
      </c>
      <c r="F495" s="8" t="s">
        <v>317</v>
      </c>
      <c r="G495" s="9" t="s">
        <v>551</v>
      </c>
      <c r="H495" s="10">
        <v>180</v>
      </c>
      <c r="I495" s="9" t="s">
        <v>158</v>
      </c>
      <c r="J495" s="10">
        <v>180</v>
      </c>
      <c r="K495" s="10">
        <v>178.3</v>
      </c>
      <c r="L495" s="10">
        <v>109</v>
      </c>
      <c r="M495" s="10">
        <v>150</v>
      </c>
      <c r="N495" s="10">
        <v>132</v>
      </c>
      <c r="O495" s="10">
        <v>101</v>
      </c>
      <c r="P495" s="10">
        <v>122</v>
      </c>
      <c r="Q495" s="10">
        <v>18.600000000000001</v>
      </c>
      <c r="R495" s="10">
        <v>2008</v>
      </c>
      <c r="S495" s="10">
        <v>0.99</v>
      </c>
      <c r="T495" s="10">
        <v>1996</v>
      </c>
      <c r="U495" s="10">
        <v>209</v>
      </c>
      <c r="V495" s="10">
        <v>99</v>
      </c>
      <c r="W495" s="10">
        <v>63</v>
      </c>
      <c r="X495" s="10">
        <v>386</v>
      </c>
      <c r="Y495" s="10">
        <v>36</v>
      </c>
      <c r="Z495" s="10">
        <v>312</v>
      </c>
      <c r="AA495" s="10">
        <v>0.56599999999999995</v>
      </c>
      <c r="AB495" s="10">
        <v>145</v>
      </c>
      <c r="AC495" s="10">
        <v>142</v>
      </c>
      <c r="AD495" s="10">
        <v>241</v>
      </c>
      <c r="AE495" s="10">
        <v>4</v>
      </c>
      <c r="AF495" s="10">
        <v>7.6</v>
      </c>
      <c r="AG495" s="9" t="s">
        <v>188</v>
      </c>
      <c r="AH495" s="9" t="s">
        <v>169</v>
      </c>
      <c r="AI495" s="10"/>
      <c r="AJ495" s="10"/>
      <c r="AK495" s="30"/>
    </row>
    <row r="496" spans="5:37">
      <c r="E496" s="28" t="s">
        <v>155</v>
      </c>
      <c r="F496" s="8" t="s">
        <v>317</v>
      </c>
      <c r="G496" s="9" t="s">
        <v>551</v>
      </c>
      <c r="H496" s="10">
        <v>188</v>
      </c>
      <c r="I496" s="9" t="s">
        <v>158</v>
      </c>
      <c r="J496" s="10">
        <v>188</v>
      </c>
      <c r="K496" s="10">
        <v>186.2</v>
      </c>
      <c r="L496" s="10">
        <v>112</v>
      </c>
      <c r="M496" s="10">
        <v>157</v>
      </c>
      <c r="N496" s="10">
        <v>134</v>
      </c>
      <c r="O496" s="10">
        <v>103</v>
      </c>
      <c r="P496" s="10">
        <v>125</v>
      </c>
      <c r="Q496" s="10">
        <v>19.899999999999999</v>
      </c>
      <c r="R496" s="10">
        <v>2276</v>
      </c>
      <c r="S496" s="10">
        <v>0.93</v>
      </c>
      <c r="T496" s="10">
        <v>2122</v>
      </c>
      <c r="U496" s="10">
        <v>282</v>
      </c>
      <c r="V496" s="10">
        <v>145</v>
      </c>
      <c r="W496" s="10">
        <v>68</v>
      </c>
      <c r="X496" s="10">
        <v>417</v>
      </c>
      <c r="Y496" s="10">
        <v>33</v>
      </c>
      <c r="Z496" s="10">
        <v>326</v>
      </c>
      <c r="AA496" s="10">
        <v>0.49099999999999999</v>
      </c>
      <c r="AB496" s="10">
        <v>147</v>
      </c>
      <c r="AC496" s="10">
        <v>146</v>
      </c>
      <c r="AD496" s="10">
        <v>270</v>
      </c>
      <c r="AE496" s="10">
        <v>3</v>
      </c>
      <c r="AF496" s="10">
        <v>7.5</v>
      </c>
      <c r="AG496" s="9" t="s">
        <v>188</v>
      </c>
      <c r="AH496" s="9" t="s">
        <v>169</v>
      </c>
      <c r="AI496" s="10"/>
      <c r="AJ496" s="10"/>
      <c r="AK496" s="30"/>
    </row>
    <row r="497" spans="5:37">
      <c r="E497" s="28" t="s">
        <v>155</v>
      </c>
      <c r="F497" s="8" t="s">
        <v>317</v>
      </c>
      <c r="G497" s="9" t="s">
        <v>559</v>
      </c>
      <c r="H497" s="10">
        <v>172</v>
      </c>
      <c r="I497" s="9" t="s">
        <v>158</v>
      </c>
      <c r="J497" s="10">
        <v>172</v>
      </c>
      <c r="K497" s="10">
        <v>170.8</v>
      </c>
      <c r="L497" s="10">
        <v>103</v>
      </c>
      <c r="M497" s="10">
        <v>140</v>
      </c>
      <c r="N497" s="10">
        <v>138</v>
      </c>
      <c r="O497" s="10">
        <v>111</v>
      </c>
      <c r="P497" s="10">
        <v>127</v>
      </c>
      <c r="Q497" s="10">
        <v>19.5</v>
      </c>
      <c r="R497" s="10">
        <v>1985</v>
      </c>
      <c r="S497" s="10">
        <v>1.03</v>
      </c>
      <c r="T497" s="10">
        <v>2043</v>
      </c>
      <c r="U497" s="10">
        <v>194</v>
      </c>
      <c r="V497" s="10">
        <v>100</v>
      </c>
      <c r="W497" s="10">
        <v>63</v>
      </c>
      <c r="X497" s="10">
        <v>391</v>
      </c>
      <c r="Y497" s="10">
        <v>24</v>
      </c>
      <c r="Z497" s="10">
        <v>284</v>
      </c>
      <c r="AA497" s="10">
        <v>0.38200000000000001</v>
      </c>
      <c r="AB497" s="10">
        <v>161</v>
      </c>
      <c r="AC497" s="10">
        <v>144</v>
      </c>
      <c r="AD497" s="10">
        <v>230</v>
      </c>
      <c r="AE497" s="10">
        <v>4</v>
      </c>
      <c r="AF497" s="10">
        <v>7.2</v>
      </c>
      <c r="AG497" s="9" t="s">
        <v>169</v>
      </c>
      <c r="AH497" s="9" t="s">
        <v>178</v>
      </c>
      <c r="AI497" s="10"/>
      <c r="AJ497" s="10"/>
      <c r="AK497" s="30"/>
    </row>
    <row r="498" spans="5:37">
      <c r="E498" s="28" t="s">
        <v>155</v>
      </c>
      <c r="F498" s="8" t="s">
        <v>317</v>
      </c>
      <c r="G498" s="9" t="s">
        <v>559</v>
      </c>
      <c r="H498" s="10">
        <v>180</v>
      </c>
      <c r="I498" s="9" t="s">
        <v>158</v>
      </c>
      <c r="J498" s="10">
        <v>180</v>
      </c>
      <c r="K498" s="10">
        <v>178.8</v>
      </c>
      <c r="L498" s="10">
        <v>111</v>
      </c>
      <c r="M498" s="10">
        <v>147</v>
      </c>
      <c r="N498" s="10">
        <v>139</v>
      </c>
      <c r="O498" s="10">
        <v>111</v>
      </c>
      <c r="P498" s="10">
        <v>129</v>
      </c>
      <c r="Q498" s="10">
        <v>20.5</v>
      </c>
      <c r="R498" s="10">
        <v>2055</v>
      </c>
      <c r="S498" s="10">
        <v>1.05</v>
      </c>
      <c r="T498" s="10">
        <v>2150</v>
      </c>
      <c r="U498" s="10">
        <v>218</v>
      </c>
      <c r="V498" s="10">
        <v>123</v>
      </c>
      <c r="W498" s="10">
        <v>57</v>
      </c>
      <c r="X498" s="10">
        <v>372</v>
      </c>
      <c r="Y498" s="10">
        <v>28</v>
      </c>
      <c r="Z498" s="10">
        <v>306</v>
      </c>
      <c r="AA498" s="10">
        <v>0.49299999999999999</v>
      </c>
      <c r="AB498" s="10">
        <v>168</v>
      </c>
      <c r="AC498" s="10">
        <v>150</v>
      </c>
      <c r="AD498" s="10">
        <v>204</v>
      </c>
      <c r="AE498" s="10">
        <v>6</v>
      </c>
      <c r="AF498" s="10">
        <v>9.4</v>
      </c>
      <c r="AG498" s="9" t="s">
        <v>169</v>
      </c>
      <c r="AH498" s="10"/>
      <c r="AI498" s="10"/>
      <c r="AJ498" s="10"/>
      <c r="AK498" s="30"/>
    </row>
    <row r="499" spans="5:37">
      <c r="E499" s="28" t="s">
        <v>155</v>
      </c>
      <c r="F499" s="8" t="s">
        <v>317</v>
      </c>
      <c r="G499" s="9" t="s">
        <v>559</v>
      </c>
      <c r="H499" s="10">
        <v>188</v>
      </c>
      <c r="I499" s="9" t="s">
        <v>158</v>
      </c>
      <c r="J499" s="10">
        <v>188</v>
      </c>
      <c r="K499" s="10">
        <v>186.4</v>
      </c>
      <c r="L499" s="10">
        <v>108</v>
      </c>
      <c r="M499" s="10">
        <v>156</v>
      </c>
      <c r="N499" s="10">
        <v>141</v>
      </c>
      <c r="O499" s="10">
        <v>113</v>
      </c>
      <c r="P499" s="10">
        <v>131</v>
      </c>
      <c r="Q499" s="10">
        <v>23</v>
      </c>
      <c r="R499" s="10">
        <v>2186</v>
      </c>
      <c r="S499" s="10">
        <v>1.04</v>
      </c>
      <c r="T499" s="10">
        <v>2277</v>
      </c>
      <c r="U499" s="10">
        <v>268</v>
      </c>
      <c r="V499" s="10">
        <v>129</v>
      </c>
      <c r="W499" s="10">
        <v>61</v>
      </c>
      <c r="X499" s="10">
        <v>440</v>
      </c>
      <c r="Y499" s="10">
        <v>31</v>
      </c>
      <c r="Z499" s="10">
        <v>340</v>
      </c>
      <c r="AA499" s="10">
        <v>0.505</v>
      </c>
      <c r="AB499" s="10">
        <v>159</v>
      </c>
      <c r="AC499" s="10">
        <v>147</v>
      </c>
      <c r="AD499" s="10">
        <v>281</v>
      </c>
      <c r="AE499" s="10">
        <v>4</v>
      </c>
      <c r="AF499" s="10">
        <v>8.1</v>
      </c>
      <c r="AG499" s="9" t="s">
        <v>169</v>
      </c>
      <c r="AH499" s="10"/>
      <c r="AI499" s="10"/>
      <c r="AJ499" s="10"/>
      <c r="AK499" s="30"/>
    </row>
    <row r="500" spans="5:37">
      <c r="E500" s="28" t="s">
        <v>155</v>
      </c>
      <c r="F500" s="8" t="s">
        <v>317</v>
      </c>
      <c r="G500" s="9" t="s">
        <v>463</v>
      </c>
      <c r="H500" s="10">
        <v>164</v>
      </c>
      <c r="I500" s="9" t="s">
        <v>158</v>
      </c>
      <c r="J500" s="10">
        <v>164</v>
      </c>
      <c r="K500" s="10">
        <v>162.80000000000001</v>
      </c>
      <c r="L500" s="10">
        <v>109</v>
      </c>
      <c r="M500" s="10">
        <v>135</v>
      </c>
      <c r="N500" s="10">
        <v>123</v>
      </c>
      <c r="O500" s="10">
        <v>91</v>
      </c>
      <c r="P500" s="10">
        <v>113</v>
      </c>
      <c r="Q500" s="10">
        <v>14.6</v>
      </c>
      <c r="R500" s="10">
        <v>1794</v>
      </c>
      <c r="S500" s="10">
        <v>0.93</v>
      </c>
      <c r="T500" s="10">
        <v>1671</v>
      </c>
      <c r="U500" s="10">
        <v>185</v>
      </c>
      <c r="V500" s="10">
        <v>89</v>
      </c>
      <c r="W500" s="10">
        <v>62</v>
      </c>
      <c r="X500" s="10">
        <v>307</v>
      </c>
      <c r="Y500" s="10">
        <v>31</v>
      </c>
      <c r="Z500" s="10">
        <v>229</v>
      </c>
      <c r="AA500" s="10">
        <v>0.498</v>
      </c>
      <c r="AB500" s="10">
        <v>149</v>
      </c>
      <c r="AC500" s="10">
        <v>134</v>
      </c>
      <c r="AD500" s="10">
        <v>158</v>
      </c>
      <c r="AE500" s="10">
        <v>3</v>
      </c>
      <c r="AF500" s="10">
        <v>7.2</v>
      </c>
      <c r="AG500" s="9" t="s">
        <v>188</v>
      </c>
      <c r="AH500" s="10"/>
      <c r="AI500" s="10"/>
      <c r="AJ500" s="10"/>
      <c r="AK500" s="30"/>
    </row>
    <row r="501" spans="5:37">
      <c r="E501" s="28" t="s">
        <v>155</v>
      </c>
      <c r="F501" s="8" t="s">
        <v>317</v>
      </c>
      <c r="G501" s="9" t="s">
        <v>463</v>
      </c>
      <c r="H501" s="10">
        <v>172</v>
      </c>
      <c r="I501" s="9" t="s">
        <v>158</v>
      </c>
      <c r="J501" s="10">
        <v>172</v>
      </c>
      <c r="K501" s="10">
        <v>170.8</v>
      </c>
      <c r="L501" s="10">
        <v>118</v>
      </c>
      <c r="M501" s="10">
        <v>142</v>
      </c>
      <c r="N501" s="10">
        <v>124</v>
      </c>
      <c r="O501" s="10">
        <v>91</v>
      </c>
      <c r="P501" s="10">
        <v>113</v>
      </c>
      <c r="Q501" s="10">
        <v>15.9</v>
      </c>
      <c r="R501" s="10">
        <v>1914</v>
      </c>
      <c r="S501" s="10">
        <v>0.92</v>
      </c>
      <c r="T501" s="10">
        <v>1751</v>
      </c>
      <c r="U501" s="10">
        <v>200</v>
      </c>
      <c r="V501" s="10">
        <v>109</v>
      </c>
      <c r="W501" s="10">
        <v>62</v>
      </c>
      <c r="X501" s="10">
        <v>320</v>
      </c>
      <c r="Y501" s="10">
        <v>27</v>
      </c>
      <c r="Z501" s="10">
        <v>208</v>
      </c>
      <c r="AA501" s="10">
        <v>0.436</v>
      </c>
      <c r="AB501" s="10">
        <v>153</v>
      </c>
      <c r="AC501" s="10">
        <v>133</v>
      </c>
      <c r="AD501" s="10">
        <v>167</v>
      </c>
      <c r="AE501" s="10">
        <v>5</v>
      </c>
      <c r="AF501" s="10">
        <v>7.2</v>
      </c>
      <c r="AG501" s="9" t="s">
        <v>188</v>
      </c>
      <c r="AH501" s="10"/>
      <c r="AI501" s="10"/>
      <c r="AJ501" s="10"/>
      <c r="AK501" s="30"/>
    </row>
    <row r="502" spans="5:37">
      <c r="E502" s="28" t="s">
        <v>155</v>
      </c>
      <c r="F502" s="8" t="s">
        <v>317</v>
      </c>
      <c r="G502" s="9" t="s">
        <v>463</v>
      </c>
      <c r="H502" s="10">
        <v>180</v>
      </c>
      <c r="I502" s="9" t="s">
        <v>158</v>
      </c>
      <c r="J502" s="10">
        <v>180</v>
      </c>
      <c r="K502" s="10">
        <v>178.6</v>
      </c>
      <c r="L502" s="10">
        <v>121</v>
      </c>
      <c r="M502" s="10">
        <v>150</v>
      </c>
      <c r="N502" s="10">
        <v>127</v>
      </c>
      <c r="O502" s="10">
        <v>93</v>
      </c>
      <c r="P502" s="10">
        <v>117</v>
      </c>
      <c r="Q502" s="10">
        <v>17.3</v>
      </c>
      <c r="R502" s="10">
        <v>2073</v>
      </c>
      <c r="S502" s="10">
        <v>0.91</v>
      </c>
      <c r="T502" s="10">
        <v>1880</v>
      </c>
      <c r="U502" s="10">
        <v>230</v>
      </c>
      <c r="V502" s="10">
        <v>114</v>
      </c>
      <c r="W502" s="10">
        <v>63</v>
      </c>
      <c r="X502" s="10">
        <v>335</v>
      </c>
      <c r="Y502" s="10">
        <v>27</v>
      </c>
      <c r="Z502" s="10">
        <v>242</v>
      </c>
      <c r="AA502" s="10">
        <v>0.42699999999999999</v>
      </c>
      <c r="AB502" s="10">
        <v>148</v>
      </c>
      <c r="AC502" s="10">
        <v>140</v>
      </c>
      <c r="AD502" s="10">
        <v>187</v>
      </c>
      <c r="AE502" s="10">
        <v>3</v>
      </c>
      <c r="AF502" s="10">
        <v>7.9</v>
      </c>
      <c r="AG502" s="9" t="s">
        <v>188</v>
      </c>
      <c r="AH502" s="10"/>
      <c r="AI502" s="10"/>
      <c r="AJ502" s="10"/>
      <c r="AK502" s="30"/>
    </row>
    <row r="503" spans="5:37">
      <c r="E503" s="28" t="s">
        <v>155</v>
      </c>
      <c r="F503" s="8" t="s">
        <v>317</v>
      </c>
      <c r="G503" s="9" t="s">
        <v>463</v>
      </c>
      <c r="H503" s="10">
        <v>188</v>
      </c>
      <c r="I503" s="9" t="s">
        <v>158</v>
      </c>
      <c r="J503" s="10">
        <v>188</v>
      </c>
      <c r="K503" s="10">
        <v>186.7</v>
      </c>
      <c r="L503" s="10">
        <v>129</v>
      </c>
      <c r="M503" s="10">
        <v>158</v>
      </c>
      <c r="N503" s="10">
        <v>127</v>
      </c>
      <c r="O503" s="10">
        <v>93</v>
      </c>
      <c r="P503" s="10">
        <v>116</v>
      </c>
      <c r="Q503" s="10">
        <v>19.399999999999999</v>
      </c>
      <c r="R503" s="10">
        <v>2205</v>
      </c>
      <c r="S503" s="10">
        <v>0.89</v>
      </c>
      <c r="T503" s="10">
        <v>1954</v>
      </c>
      <c r="U503" s="10">
        <v>262</v>
      </c>
      <c r="V503" s="10">
        <v>135</v>
      </c>
      <c r="W503" s="10">
        <v>62</v>
      </c>
      <c r="X503" s="10">
        <v>343</v>
      </c>
      <c r="Y503" s="10">
        <v>27</v>
      </c>
      <c r="Z503" s="10">
        <v>238</v>
      </c>
      <c r="AA503" s="10">
        <v>0.42699999999999999</v>
      </c>
      <c r="AB503" s="10">
        <v>158</v>
      </c>
      <c r="AC503" s="10">
        <v>131</v>
      </c>
      <c r="AD503" s="10">
        <v>185</v>
      </c>
      <c r="AE503" s="10">
        <v>5</v>
      </c>
      <c r="AF503" s="10">
        <v>7.5</v>
      </c>
      <c r="AG503" s="9" t="s">
        <v>188</v>
      </c>
      <c r="AH503" s="10"/>
      <c r="AI503" s="10"/>
      <c r="AJ503" s="10"/>
      <c r="AK503" s="30"/>
    </row>
    <row r="504" spans="5:37">
      <c r="E504" s="28" t="s">
        <v>155</v>
      </c>
      <c r="F504" s="8" t="s">
        <v>317</v>
      </c>
      <c r="G504" s="9" t="s">
        <v>447</v>
      </c>
      <c r="H504" s="10">
        <v>156</v>
      </c>
      <c r="I504" s="9" t="s">
        <v>163</v>
      </c>
      <c r="J504" s="10">
        <v>156</v>
      </c>
      <c r="K504" s="10">
        <v>154.5</v>
      </c>
      <c r="L504" s="10">
        <v>90</v>
      </c>
      <c r="M504" s="10">
        <v>126</v>
      </c>
      <c r="N504" s="10">
        <v>131</v>
      </c>
      <c r="O504" s="10">
        <v>101</v>
      </c>
      <c r="P504" s="10">
        <v>120</v>
      </c>
      <c r="Q504" s="10">
        <v>14</v>
      </c>
      <c r="R504" s="10">
        <v>1708</v>
      </c>
      <c r="S504" s="10">
        <v>1.01</v>
      </c>
      <c r="T504" s="10">
        <v>1721</v>
      </c>
      <c r="U504" s="10">
        <v>134</v>
      </c>
      <c r="V504" s="10">
        <v>72</v>
      </c>
      <c r="W504" s="10">
        <v>68</v>
      </c>
      <c r="X504" s="10">
        <v>361</v>
      </c>
      <c r="Y504" s="10">
        <v>39</v>
      </c>
      <c r="Z504" s="10">
        <v>285</v>
      </c>
      <c r="AA504" s="10">
        <v>0.56699999999999995</v>
      </c>
      <c r="AB504" s="10">
        <v>157</v>
      </c>
      <c r="AC504" s="10">
        <v>130</v>
      </c>
      <c r="AD504" s="10">
        <v>204</v>
      </c>
      <c r="AE504" s="10">
        <v>3</v>
      </c>
      <c r="AF504" s="10">
        <v>7.2</v>
      </c>
      <c r="AG504" s="9" t="s">
        <v>188</v>
      </c>
      <c r="AH504" s="9" t="s">
        <v>169</v>
      </c>
      <c r="AI504" s="10"/>
      <c r="AJ504" s="10"/>
      <c r="AK504" s="30"/>
    </row>
    <row r="505" spans="5:37">
      <c r="E505" s="28" t="s">
        <v>155</v>
      </c>
      <c r="F505" s="8" t="s">
        <v>317</v>
      </c>
      <c r="G505" s="9" t="s">
        <v>447</v>
      </c>
      <c r="H505" s="10">
        <v>164</v>
      </c>
      <c r="I505" s="9" t="s">
        <v>163</v>
      </c>
      <c r="J505" s="10">
        <v>164</v>
      </c>
      <c r="K505" s="10">
        <v>162.4</v>
      </c>
      <c r="L505" s="10">
        <v>98</v>
      </c>
      <c r="M505" s="10">
        <v>133</v>
      </c>
      <c r="N505" s="10">
        <v>131</v>
      </c>
      <c r="O505" s="10">
        <v>101</v>
      </c>
      <c r="P505" s="10">
        <v>121</v>
      </c>
      <c r="Q505" s="10">
        <v>15.3</v>
      </c>
      <c r="R505" s="10">
        <v>1807</v>
      </c>
      <c r="S505" s="10">
        <v>1</v>
      </c>
      <c r="T505" s="10">
        <v>1813</v>
      </c>
      <c r="U505" s="10">
        <v>150</v>
      </c>
      <c r="V505" s="10">
        <v>75</v>
      </c>
      <c r="W505" s="10">
        <v>68</v>
      </c>
      <c r="X505" s="10">
        <v>359</v>
      </c>
      <c r="Y505" s="10">
        <v>35</v>
      </c>
      <c r="Z505" s="10">
        <v>280</v>
      </c>
      <c r="AA505" s="10">
        <v>0.50900000000000001</v>
      </c>
      <c r="AB505" s="10">
        <v>156</v>
      </c>
      <c r="AC505" s="10">
        <v>139</v>
      </c>
      <c r="AD505" s="10">
        <v>204</v>
      </c>
      <c r="AE505" s="10">
        <v>4</v>
      </c>
      <c r="AF505" s="10">
        <v>7</v>
      </c>
      <c r="AG505" s="9" t="s">
        <v>188</v>
      </c>
      <c r="AH505" s="9" t="s">
        <v>169</v>
      </c>
      <c r="AI505" s="10"/>
      <c r="AJ505" s="10"/>
      <c r="AK505" s="30"/>
    </row>
    <row r="506" spans="5:37">
      <c r="E506" s="28" t="s">
        <v>155</v>
      </c>
      <c r="F506" s="8" t="s">
        <v>317</v>
      </c>
      <c r="G506" s="9" t="s">
        <v>447</v>
      </c>
      <c r="H506" s="10">
        <v>172</v>
      </c>
      <c r="I506" s="9" t="s">
        <v>163</v>
      </c>
      <c r="J506" s="10">
        <v>172</v>
      </c>
      <c r="K506" s="10">
        <v>170.1</v>
      </c>
      <c r="L506" s="10">
        <v>100</v>
      </c>
      <c r="M506" s="10">
        <v>141</v>
      </c>
      <c r="N506" s="10">
        <v>132</v>
      </c>
      <c r="O506" s="10">
        <v>101</v>
      </c>
      <c r="P506" s="10">
        <v>122</v>
      </c>
      <c r="Q506" s="10">
        <v>17.100000000000001</v>
      </c>
      <c r="R506" s="10">
        <v>1919</v>
      </c>
      <c r="S506" s="10">
        <v>0.99</v>
      </c>
      <c r="T506" s="10">
        <v>1903</v>
      </c>
      <c r="U506" s="10">
        <v>190</v>
      </c>
      <c r="V506" s="10">
        <v>106</v>
      </c>
      <c r="W506" s="10">
        <v>72</v>
      </c>
      <c r="X506" s="10">
        <v>387</v>
      </c>
      <c r="Y506" s="10">
        <v>37</v>
      </c>
      <c r="Z506" s="10">
        <v>313</v>
      </c>
      <c r="AA506" s="10">
        <v>0.51700000000000002</v>
      </c>
      <c r="AB506" s="10">
        <v>147</v>
      </c>
      <c r="AC506" s="10">
        <v>145</v>
      </c>
      <c r="AD506" s="10">
        <v>240</v>
      </c>
      <c r="AE506" s="10">
        <v>3</v>
      </c>
      <c r="AF506" s="10">
        <v>7.5</v>
      </c>
      <c r="AG506" s="9" t="s">
        <v>188</v>
      </c>
      <c r="AH506" s="9" t="s">
        <v>169</v>
      </c>
      <c r="AI506" s="10"/>
      <c r="AJ506" s="10"/>
      <c r="AK506" s="30"/>
    </row>
    <row r="507" spans="5:37">
      <c r="E507" s="28" t="s">
        <v>155</v>
      </c>
      <c r="F507" s="8" t="s">
        <v>317</v>
      </c>
      <c r="G507" s="9" t="s">
        <v>318</v>
      </c>
      <c r="H507" s="10">
        <v>164</v>
      </c>
      <c r="I507" s="9" t="s">
        <v>163</v>
      </c>
      <c r="J507" s="10">
        <v>164</v>
      </c>
      <c r="K507" s="10">
        <v>162.80000000000001</v>
      </c>
      <c r="L507" s="10">
        <v>92</v>
      </c>
      <c r="M507" s="10">
        <v>131</v>
      </c>
      <c r="N507" s="10">
        <v>138</v>
      </c>
      <c r="O507" s="10">
        <v>112</v>
      </c>
      <c r="P507" s="10">
        <v>128</v>
      </c>
      <c r="Q507" s="10">
        <v>17.399999999999999</v>
      </c>
      <c r="R507" s="10">
        <v>1810</v>
      </c>
      <c r="S507" s="10">
        <v>1.08</v>
      </c>
      <c r="T507" s="10">
        <v>1955</v>
      </c>
      <c r="U507" s="10">
        <v>161</v>
      </c>
      <c r="V507" s="10">
        <v>97</v>
      </c>
      <c r="W507" s="10">
        <v>67</v>
      </c>
      <c r="X507" s="10">
        <v>403</v>
      </c>
      <c r="Y507" s="10">
        <v>27</v>
      </c>
      <c r="Z507" s="10">
        <v>309</v>
      </c>
      <c r="AA507" s="10">
        <v>0.40300000000000002</v>
      </c>
      <c r="AB507" s="10">
        <v>167</v>
      </c>
      <c r="AC507" s="10">
        <v>150</v>
      </c>
      <c r="AD507" s="10">
        <v>235</v>
      </c>
      <c r="AE507" s="10">
        <v>3</v>
      </c>
      <c r="AF507" s="10">
        <v>7.6</v>
      </c>
      <c r="AG507" s="9" t="s">
        <v>169</v>
      </c>
      <c r="AH507" s="9" t="s">
        <v>185</v>
      </c>
      <c r="AI507" s="10"/>
      <c r="AJ507" s="10"/>
      <c r="AK507" s="30"/>
    </row>
    <row r="508" spans="5:37">
      <c r="E508" s="28" t="s">
        <v>155</v>
      </c>
      <c r="F508" s="8" t="s">
        <v>317</v>
      </c>
      <c r="G508" s="9" t="s">
        <v>571</v>
      </c>
      <c r="H508" s="10">
        <v>148</v>
      </c>
      <c r="I508" s="9" t="s">
        <v>163</v>
      </c>
      <c r="J508" s="10">
        <v>148</v>
      </c>
      <c r="K508" s="10">
        <v>147.30000000000001</v>
      </c>
      <c r="L508" s="10">
        <v>103</v>
      </c>
      <c r="M508" s="10">
        <v>115</v>
      </c>
      <c r="N508" s="10">
        <v>117</v>
      </c>
      <c r="O508" s="10">
        <v>89</v>
      </c>
      <c r="P508" s="10">
        <v>107</v>
      </c>
      <c r="Q508" s="10">
        <v>12.7</v>
      </c>
      <c r="R508" s="10">
        <v>1323</v>
      </c>
      <c r="S508" s="10">
        <v>1.1000000000000001</v>
      </c>
      <c r="T508" s="10">
        <v>1457</v>
      </c>
      <c r="U508" s="10">
        <v>122</v>
      </c>
      <c r="V508" s="10">
        <v>59</v>
      </c>
      <c r="W508" s="10">
        <v>48</v>
      </c>
      <c r="X508" s="10">
        <v>269</v>
      </c>
      <c r="Y508" s="10">
        <v>21</v>
      </c>
      <c r="Z508" s="10">
        <v>172</v>
      </c>
      <c r="AA508" s="10">
        <v>0.435</v>
      </c>
      <c r="AB508" s="10">
        <v>149</v>
      </c>
      <c r="AC508" s="10">
        <v>174</v>
      </c>
      <c r="AD508" s="10">
        <v>121</v>
      </c>
      <c r="AE508" s="10">
        <v>5</v>
      </c>
      <c r="AF508" s="10">
        <v>6.5</v>
      </c>
      <c r="AG508" s="9" t="s">
        <v>188</v>
      </c>
      <c r="AH508" s="9" t="s">
        <v>185</v>
      </c>
      <c r="AI508" s="10"/>
      <c r="AJ508" s="10"/>
      <c r="AK508" s="30"/>
    </row>
    <row r="509" spans="5:37">
      <c r="E509" s="28" t="s">
        <v>155</v>
      </c>
      <c r="F509" s="8" t="s">
        <v>317</v>
      </c>
      <c r="G509" s="9" t="s">
        <v>571</v>
      </c>
      <c r="H509" s="10">
        <v>157</v>
      </c>
      <c r="I509" s="9" t="s">
        <v>163</v>
      </c>
      <c r="J509" s="10">
        <v>157</v>
      </c>
      <c r="K509" s="10">
        <v>155.69999999999999</v>
      </c>
      <c r="L509" s="10">
        <v>104</v>
      </c>
      <c r="M509" s="10">
        <v>127</v>
      </c>
      <c r="N509" s="10">
        <v>122</v>
      </c>
      <c r="O509" s="10">
        <v>91</v>
      </c>
      <c r="P509" s="10">
        <v>112</v>
      </c>
      <c r="Q509" s="10">
        <v>13.9</v>
      </c>
      <c r="R509" s="10">
        <v>1689</v>
      </c>
      <c r="S509" s="10">
        <v>0.94</v>
      </c>
      <c r="T509" s="10">
        <v>1585</v>
      </c>
      <c r="U509" s="10">
        <v>161</v>
      </c>
      <c r="V509" s="10">
        <v>83</v>
      </c>
      <c r="W509" s="10">
        <v>63</v>
      </c>
      <c r="X509" s="10">
        <v>307</v>
      </c>
      <c r="Y509" s="10">
        <v>28</v>
      </c>
      <c r="Z509" s="10">
        <v>206</v>
      </c>
      <c r="AA509" s="10">
        <v>0.442</v>
      </c>
      <c r="AB509" s="10">
        <v>146</v>
      </c>
      <c r="AC509" s="10">
        <v>137</v>
      </c>
      <c r="AD509" s="10">
        <v>160</v>
      </c>
      <c r="AE509" s="10">
        <v>4</v>
      </c>
      <c r="AF509" s="10">
        <v>6.3</v>
      </c>
      <c r="AG509" s="9" t="s">
        <v>188</v>
      </c>
      <c r="AH509" s="10"/>
      <c r="AI509" s="10"/>
      <c r="AJ509" s="10"/>
      <c r="AK509" s="30"/>
    </row>
    <row r="510" spans="5:37">
      <c r="E510" s="28" t="s">
        <v>155</v>
      </c>
      <c r="F510" s="8" t="s">
        <v>317</v>
      </c>
      <c r="G510" s="9" t="s">
        <v>571</v>
      </c>
      <c r="H510" s="10">
        <v>164</v>
      </c>
      <c r="I510" s="9" t="s">
        <v>163</v>
      </c>
      <c r="J510" s="10">
        <v>164</v>
      </c>
      <c r="K510" s="10">
        <v>162.80000000000001</v>
      </c>
      <c r="L510" s="10">
        <v>110</v>
      </c>
      <c r="M510" s="10">
        <v>135</v>
      </c>
      <c r="N510" s="10">
        <v>124</v>
      </c>
      <c r="O510" s="10">
        <v>91</v>
      </c>
      <c r="P510" s="10">
        <v>113</v>
      </c>
      <c r="Q510" s="10">
        <v>14.4</v>
      </c>
      <c r="R510" s="10">
        <v>1799</v>
      </c>
      <c r="S510" s="10">
        <v>0.93</v>
      </c>
      <c r="T510" s="10">
        <v>1673</v>
      </c>
      <c r="U510" s="10">
        <v>185</v>
      </c>
      <c r="V510" s="10">
        <v>88</v>
      </c>
      <c r="W510" s="10">
        <v>61</v>
      </c>
      <c r="X510" s="10">
        <v>303</v>
      </c>
      <c r="Y510" s="10">
        <v>28</v>
      </c>
      <c r="Z510" s="10">
        <v>223</v>
      </c>
      <c r="AA510" s="10">
        <v>0.45400000000000001</v>
      </c>
      <c r="AB510" s="10">
        <v>147</v>
      </c>
      <c r="AC510" s="10">
        <v>134</v>
      </c>
      <c r="AD510" s="10">
        <v>156</v>
      </c>
      <c r="AE510" s="10">
        <v>4</v>
      </c>
      <c r="AF510" s="10">
        <v>7.2</v>
      </c>
      <c r="AG510" s="9" t="s">
        <v>188</v>
      </c>
      <c r="AH510" s="10"/>
      <c r="AI510" s="10"/>
      <c r="AJ510" s="10"/>
      <c r="AK510" s="30"/>
    </row>
    <row r="511" spans="5:37">
      <c r="E511" s="28" t="s">
        <v>155</v>
      </c>
      <c r="F511" s="8" t="s">
        <v>317</v>
      </c>
      <c r="G511" s="9" t="s">
        <v>571</v>
      </c>
      <c r="H511" s="10">
        <v>172</v>
      </c>
      <c r="I511" s="9" t="s">
        <v>163</v>
      </c>
      <c r="J511" s="10">
        <v>172</v>
      </c>
      <c r="K511" s="10">
        <v>170.8</v>
      </c>
      <c r="L511" s="10">
        <v>115</v>
      </c>
      <c r="M511" s="10">
        <v>142</v>
      </c>
      <c r="N511" s="10">
        <v>124</v>
      </c>
      <c r="O511" s="10">
        <v>91</v>
      </c>
      <c r="P511" s="10">
        <v>114</v>
      </c>
      <c r="Q511" s="10">
        <v>16.399999999999999</v>
      </c>
      <c r="R511" s="10">
        <v>1938</v>
      </c>
      <c r="S511" s="10">
        <v>0.91</v>
      </c>
      <c r="T511" s="10">
        <v>1757</v>
      </c>
      <c r="U511" s="10">
        <v>190</v>
      </c>
      <c r="V511" s="10">
        <v>95</v>
      </c>
      <c r="W511" s="10">
        <v>65</v>
      </c>
      <c r="X511" s="10">
        <v>325</v>
      </c>
      <c r="Y511" s="10">
        <v>31</v>
      </c>
      <c r="Z511" s="10">
        <v>237</v>
      </c>
      <c r="AA511" s="10">
        <v>0.48499999999999999</v>
      </c>
      <c r="AB511" s="10">
        <v>146</v>
      </c>
      <c r="AC511" s="10">
        <v>138</v>
      </c>
      <c r="AD511" s="10">
        <v>179</v>
      </c>
      <c r="AE511" s="10">
        <v>4</v>
      </c>
      <c r="AF511" s="10">
        <v>8</v>
      </c>
      <c r="AG511" s="9" t="s">
        <v>188</v>
      </c>
      <c r="AH511" s="10"/>
      <c r="AI511" s="10"/>
      <c r="AJ511" s="10"/>
      <c r="AK511" s="30"/>
    </row>
    <row r="512" spans="5:37">
      <c r="E512" s="28" t="s">
        <v>155</v>
      </c>
      <c r="F512" s="8" t="s">
        <v>317</v>
      </c>
      <c r="G512" s="9" t="s">
        <v>684</v>
      </c>
      <c r="H512" s="10">
        <v>159</v>
      </c>
      <c r="I512" s="9" t="s">
        <v>158</v>
      </c>
      <c r="J512" s="10">
        <v>159</v>
      </c>
      <c r="K512" s="10">
        <v>158.30000000000001</v>
      </c>
      <c r="L512" s="10">
        <v>80</v>
      </c>
      <c r="M512" s="10">
        <v>108</v>
      </c>
      <c r="N512" s="10">
        <v>145</v>
      </c>
      <c r="O512" s="10">
        <v>124</v>
      </c>
      <c r="P512" s="10">
        <v>129</v>
      </c>
      <c r="Q512" s="10">
        <v>20.7</v>
      </c>
      <c r="R512" s="10">
        <v>1702</v>
      </c>
      <c r="S512" s="10">
        <v>1.2</v>
      </c>
      <c r="T512" s="10">
        <v>2044</v>
      </c>
      <c r="U512" s="10">
        <v>138</v>
      </c>
      <c r="V512" s="10">
        <v>86</v>
      </c>
      <c r="W512" s="10">
        <v>53</v>
      </c>
      <c r="X512" s="10">
        <v>489</v>
      </c>
      <c r="Y512" s="10">
        <v>15</v>
      </c>
      <c r="Z512" s="10">
        <v>293</v>
      </c>
      <c r="AA512" s="10">
        <v>0.27900000000000003</v>
      </c>
      <c r="AB512" s="10">
        <v>272</v>
      </c>
      <c r="AC512" s="10">
        <v>231</v>
      </c>
      <c r="AD512" s="10">
        <v>217</v>
      </c>
      <c r="AE512" s="10">
        <v>2</v>
      </c>
      <c r="AF512" s="10">
        <v>10.8</v>
      </c>
      <c r="AG512" s="9" t="s">
        <v>178</v>
      </c>
      <c r="AH512" s="9" t="s">
        <v>185</v>
      </c>
      <c r="AI512" s="10"/>
      <c r="AJ512" s="10"/>
      <c r="AK512" s="30"/>
    </row>
    <row r="513" spans="5:37">
      <c r="E513" s="28" t="s">
        <v>155</v>
      </c>
      <c r="F513" s="8" t="s">
        <v>317</v>
      </c>
      <c r="G513" s="9" t="s">
        <v>684</v>
      </c>
      <c r="H513" s="10">
        <v>179</v>
      </c>
      <c r="I513" s="9" t="s">
        <v>158</v>
      </c>
      <c r="J513" s="10">
        <v>179</v>
      </c>
      <c r="K513" s="10">
        <v>177.8</v>
      </c>
      <c r="L513" s="10">
        <v>108</v>
      </c>
      <c r="M513" s="10">
        <v>132</v>
      </c>
      <c r="N513" s="10">
        <v>147</v>
      </c>
      <c r="O513" s="10">
        <v>126</v>
      </c>
      <c r="P513" s="10">
        <v>135</v>
      </c>
      <c r="Q513" s="10">
        <v>25</v>
      </c>
      <c r="R513" s="10">
        <v>2094</v>
      </c>
      <c r="S513" s="10">
        <v>1.1100000000000001</v>
      </c>
      <c r="T513" s="10">
        <v>2332</v>
      </c>
      <c r="U513" s="10">
        <v>234</v>
      </c>
      <c r="V513" s="10">
        <v>128</v>
      </c>
      <c r="W513" s="10">
        <v>61</v>
      </c>
      <c r="X513" s="10">
        <v>443</v>
      </c>
      <c r="Y513" s="10">
        <v>17</v>
      </c>
      <c r="Z513" s="10">
        <v>260</v>
      </c>
      <c r="AA513" s="10">
        <v>0.27500000000000002</v>
      </c>
      <c r="AB513" s="10">
        <v>233</v>
      </c>
      <c r="AC513" s="10">
        <v>229</v>
      </c>
      <c r="AD513" s="10">
        <v>209</v>
      </c>
      <c r="AE513" s="10">
        <v>1</v>
      </c>
      <c r="AF513" s="10">
        <v>10.6</v>
      </c>
      <c r="AG513" s="9" t="s">
        <v>178</v>
      </c>
      <c r="AH513" s="9" t="s">
        <v>185</v>
      </c>
      <c r="AI513" s="10"/>
      <c r="AJ513" s="10"/>
      <c r="AK513" s="30"/>
    </row>
    <row r="514" spans="5:37">
      <c r="E514" s="28" t="s">
        <v>155</v>
      </c>
      <c r="F514" s="8" t="s">
        <v>317</v>
      </c>
      <c r="G514" s="9" t="s">
        <v>684</v>
      </c>
      <c r="H514" s="10">
        <v>189</v>
      </c>
      <c r="I514" s="9" t="s">
        <v>158</v>
      </c>
      <c r="J514" s="10">
        <v>189</v>
      </c>
      <c r="K514" s="10">
        <v>188.3</v>
      </c>
      <c r="L514" s="10">
        <v>131</v>
      </c>
      <c r="M514" s="10">
        <v>137</v>
      </c>
      <c r="N514" s="10">
        <v>148</v>
      </c>
      <c r="O514" s="10">
        <v>127</v>
      </c>
      <c r="P514" s="10">
        <v>135</v>
      </c>
      <c r="Q514" s="10">
        <v>30.2</v>
      </c>
      <c r="R514" s="10">
        <v>2214</v>
      </c>
      <c r="S514" s="10">
        <v>1.1200000000000001</v>
      </c>
      <c r="T514" s="10">
        <v>2489</v>
      </c>
      <c r="U514" s="10">
        <v>298</v>
      </c>
      <c r="V514" s="10">
        <v>163</v>
      </c>
      <c r="W514" s="10">
        <v>53</v>
      </c>
      <c r="X514" s="10">
        <v>445</v>
      </c>
      <c r="Y514" s="10">
        <v>14</v>
      </c>
      <c r="Z514" s="10">
        <v>131</v>
      </c>
      <c r="AA514" s="10">
        <v>0.26700000000000002</v>
      </c>
      <c r="AB514" s="10">
        <v>273</v>
      </c>
      <c r="AC514" s="10">
        <v>242</v>
      </c>
      <c r="AD514" s="10">
        <v>172</v>
      </c>
      <c r="AE514" s="10">
        <v>3</v>
      </c>
      <c r="AF514" s="10">
        <v>10.7</v>
      </c>
      <c r="AG514" s="9" t="s">
        <v>178</v>
      </c>
      <c r="AH514" s="9" t="s">
        <v>185</v>
      </c>
      <c r="AI514" s="10"/>
      <c r="AJ514" s="10"/>
      <c r="AK514" s="30"/>
    </row>
    <row r="515" spans="5:37">
      <c r="E515" s="28" t="s">
        <v>155</v>
      </c>
      <c r="F515" s="8" t="s">
        <v>317</v>
      </c>
      <c r="G515" s="9" t="s">
        <v>850</v>
      </c>
      <c r="H515" s="10">
        <v>155</v>
      </c>
      <c r="I515" s="9" t="s">
        <v>158</v>
      </c>
      <c r="J515" s="10">
        <v>155</v>
      </c>
      <c r="K515" s="10">
        <v>154.1</v>
      </c>
      <c r="L515" s="10">
        <v>135</v>
      </c>
      <c r="M515" s="10">
        <v>141</v>
      </c>
      <c r="N515" s="10">
        <v>120</v>
      </c>
      <c r="O515" s="10">
        <v>70</v>
      </c>
      <c r="P515" s="10">
        <v>103</v>
      </c>
      <c r="Q515" s="10">
        <v>11.5</v>
      </c>
      <c r="R515" s="10">
        <v>1931</v>
      </c>
      <c r="S515" s="10">
        <v>0.68</v>
      </c>
      <c r="T515" s="10">
        <v>1318</v>
      </c>
      <c r="U515" s="10">
        <v>180</v>
      </c>
      <c r="V515" s="10">
        <v>121</v>
      </c>
      <c r="W515" s="10">
        <v>40</v>
      </c>
      <c r="X515" s="10">
        <v>140</v>
      </c>
      <c r="Y515" s="10">
        <v>5</v>
      </c>
      <c r="Z515" s="10">
        <v>47</v>
      </c>
      <c r="AA515" s="10">
        <v>0.124</v>
      </c>
      <c r="AB515" s="10">
        <v>74</v>
      </c>
      <c r="AC515" s="10">
        <v>56</v>
      </c>
      <c r="AD515" s="10">
        <v>66</v>
      </c>
      <c r="AE515" s="10">
        <v>13</v>
      </c>
      <c r="AF515" s="10">
        <v>12.3</v>
      </c>
      <c r="AG515" s="9" t="s">
        <v>349</v>
      </c>
      <c r="AH515" s="10"/>
      <c r="AI515" s="10"/>
      <c r="AJ515" s="10"/>
      <c r="AK515" s="30"/>
    </row>
    <row r="516" spans="5:37">
      <c r="E516" s="28" t="s">
        <v>155</v>
      </c>
      <c r="F516" s="8" t="s">
        <v>317</v>
      </c>
      <c r="G516" s="9" t="s">
        <v>850</v>
      </c>
      <c r="H516" s="10">
        <v>160</v>
      </c>
      <c r="I516" s="9" t="s">
        <v>158</v>
      </c>
      <c r="J516" s="10">
        <v>160</v>
      </c>
      <c r="K516" s="10">
        <v>159.1</v>
      </c>
      <c r="L516" s="10">
        <v>141</v>
      </c>
      <c r="M516" s="10">
        <v>146</v>
      </c>
      <c r="N516" s="10">
        <v>119</v>
      </c>
      <c r="O516" s="10">
        <v>69</v>
      </c>
      <c r="P516" s="10">
        <v>103</v>
      </c>
      <c r="Q516" s="10">
        <v>12.2</v>
      </c>
      <c r="R516" s="10">
        <v>1970</v>
      </c>
      <c r="S516" s="10">
        <v>0.69</v>
      </c>
      <c r="T516" s="10">
        <v>1350</v>
      </c>
      <c r="U516" s="10">
        <v>195</v>
      </c>
      <c r="V516" s="10">
        <v>125</v>
      </c>
      <c r="W516" s="10">
        <v>39</v>
      </c>
      <c r="X516" s="10">
        <v>136</v>
      </c>
      <c r="Y516" s="10">
        <v>5</v>
      </c>
      <c r="Z516" s="10">
        <v>48</v>
      </c>
      <c r="AA516" s="10">
        <v>0.11700000000000001</v>
      </c>
      <c r="AB516" s="10">
        <v>70</v>
      </c>
      <c r="AC516" s="10">
        <v>57</v>
      </c>
      <c r="AD516" s="10">
        <v>66</v>
      </c>
      <c r="AE516" s="10">
        <v>15</v>
      </c>
      <c r="AF516" s="10">
        <v>11.8</v>
      </c>
      <c r="AG516" s="9" t="s">
        <v>349</v>
      </c>
      <c r="AH516" s="10"/>
      <c r="AI516" s="10"/>
      <c r="AJ516" s="10"/>
      <c r="AK516" s="30"/>
    </row>
    <row r="517" spans="5:37">
      <c r="E517" s="28" t="s">
        <v>155</v>
      </c>
      <c r="F517" s="8" t="s">
        <v>317</v>
      </c>
      <c r="G517" s="9" t="s">
        <v>850</v>
      </c>
      <c r="H517" s="10">
        <v>165</v>
      </c>
      <c r="I517" s="9" t="s">
        <v>158</v>
      </c>
      <c r="J517" s="10">
        <v>165</v>
      </c>
      <c r="K517" s="10">
        <v>163.9</v>
      </c>
      <c r="L517" s="10">
        <v>145</v>
      </c>
      <c r="M517" s="10">
        <v>151</v>
      </c>
      <c r="N517" s="10">
        <v>121</v>
      </c>
      <c r="O517" s="10">
        <v>70</v>
      </c>
      <c r="P517" s="10">
        <v>104</v>
      </c>
      <c r="Q517" s="10">
        <v>12.9</v>
      </c>
      <c r="R517" s="10">
        <v>2006</v>
      </c>
      <c r="S517" s="10">
        <v>0.7</v>
      </c>
      <c r="T517" s="10">
        <v>1404</v>
      </c>
      <c r="U517" s="10">
        <v>199</v>
      </c>
      <c r="V517" s="10">
        <v>127</v>
      </c>
      <c r="W517" s="10">
        <v>38</v>
      </c>
      <c r="X517" s="10">
        <v>138</v>
      </c>
      <c r="Y517" s="10">
        <v>7</v>
      </c>
      <c r="Z517" s="10">
        <v>52</v>
      </c>
      <c r="AA517" s="10">
        <v>0.183</v>
      </c>
      <c r="AB517" s="10">
        <v>72</v>
      </c>
      <c r="AC517" s="10">
        <v>55</v>
      </c>
      <c r="AD517" s="10">
        <v>66</v>
      </c>
      <c r="AE517" s="10">
        <v>12</v>
      </c>
      <c r="AF517" s="10">
        <v>11.9</v>
      </c>
      <c r="AG517" s="9" t="s">
        <v>349</v>
      </c>
      <c r="AH517" s="10"/>
      <c r="AI517" s="10"/>
      <c r="AJ517" s="10"/>
      <c r="AK517" s="30"/>
    </row>
    <row r="518" spans="5:37">
      <c r="E518" s="28" t="s">
        <v>155</v>
      </c>
      <c r="F518" s="8" t="s">
        <v>317</v>
      </c>
      <c r="G518" s="9" t="s">
        <v>851</v>
      </c>
      <c r="H518" s="10">
        <v>160</v>
      </c>
      <c r="I518" s="9" t="s">
        <v>158</v>
      </c>
      <c r="J518" s="10">
        <v>160</v>
      </c>
      <c r="K518" s="10">
        <v>158.9</v>
      </c>
      <c r="L518" s="10">
        <v>139</v>
      </c>
      <c r="M518" s="10">
        <v>146</v>
      </c>
      <c r="N518" s="10">
        <v>122</v>
      </c>
      <c r="O518" s="10">
        <v>71</v>
      </c>
      <c r="P518" s="10">
        <v>105</v>
      </c>
      <c r="Q518" s="10">
        <v>12.4</v>
      </c>
      <c r="R518" s="10">
        <v>2080</v>
      </c>
      <c r="S518" s="10">
        <v>0.67</v>
      </c>
      <c r="T518" s="10">
        <v>1384</v>
      </c>
      <c r="U518" s="10">
        <v>178</v>
      </c>
      <c r="V518" s="10">
        <v>113</v>
      </c>
      <c r="W518" s="10">
        <v>43</v>
      </c>
      <c r="X518" s="10">
        <v>143</v>
      </c>
      <c r="Y518" s="10">
        <v>7</v>
      </c>
      <c r="Z518" s="10">
        <v>55</v>
      </c>
      <c r="AA518" s="10">
        <v>0.156</v>
      </c>
      <c r="AB518" s="10">
        <v>75</v>
      </c>
      <c r="AC518" s="10">
        <v>54</v>
      </c>
      <c r="AD518" s="10">
        <v>68</v>
      </c>
      <c r="AE518" s="10">
        <v>10</v>
      </c>
      <c r="AF518" s="10">
        <v>12.1</v>
      </c>
      <c r="AG518" s="9" t="s">
        <v>349</v>
      </c>
      <c r="AH518" s="10"/>
      <c r="AI518" s="10"/>
      <c r="AJ518" s="10"/>
      <c r="AK518" s="30"/>
    </row>
    <row r="519" spans="5:37">
      <c r="E519" s="28" t="s">
        <v>155</v>
      </c>
      <c r="F519" s="8" t="s">
        <v>317</v>
      </c>
      <c r="G519" s="9" t="s">
        <v>851</v>
      </c>
      <c r="H519" s="10">
        <v>165</v>
      </c>
      <c r="I519" s="9" t="s">
        <v>158</v>
      </c>
      <c r="J519" s="10">
        <v>165</v>
      </c>
      <c r="K519" s="10">
        <v>163.69999999999999</v>
      </c>
      <c r="L519" s="10">
        <v>144</v>
      </c>
      <c r="M519" s="10">
        <v>151</v>
      </c>
      <c r="N519" s="10">
        <v>122</v>
      </c>
      <c r="O519" s="10">
        <v>70</v>
      </c>
      <c r="P519" s="10">
        <v>105</v>
      </c>
      <c r="Q519" s="10">
        <v>13</v>
      </c>
      <c r="R519" s="10">
        <v>2126</v>
      </c>
      <c r="S519" s="10">
        <v>0.67</v>
      </c>
      <c r="T519" s="10">
        <v>1415</v>
      </c>
      <c r="U519" s="10">
        <v>198</v>
      </c>
      <c r="V519" s="10">
        <v>120</v>
      </c>
      <c r="W519" s="10">
        <v>43</v>
      </c>
      <c r="X519" s="10">
        <v>143</v>
      </c>
      <c r="Y519" s="10">
        <v>7</v>
      </c>
      <c r="Z519" s="10">
        <v>58</v>
      </c>
      <c r="AA519" s="10">
        <v>0.16400000000000001</v>
      </c>
      <c r="AB519" s="10">
        <v>68</v>
      </c>
      <c r="AC519" s="10">
        <v>57</v>
      </c>
      <c r="AD519" s="10">
        <v>76</v>
      </c>
      <c r="AE519" s="10">
        <v>9</v>
      </c>
      <c r="AF519" s="10">
        <v>11.9</v>
      </c>
      <c r="AG519" s="9" t="s">
        <v>349</v>
      </c>
      <c r="AH519" s="10"/>
      <c r="AI519" s="10"/>
      <c r="AJ519" s="10"/>
      <c r="AK519" s="30"/>
    </row>
    <row r="520" spans="5:37">
      <c r="E520" s="28" t="s">
        <v>155</v>
      </c>
      <c r="F520" s="8" t="s">
        <v>317</v>
      </c>
      <c r="G520" s="9" t="s">
        <v>878</v>
      </c>
      <c r="H520" s="10">
        <v>166</v>
      </c>
      <c r="I520" s="9" t="s">
        <v>158</v>
      </c>
      <c r="J520" s="10">
        <v>166</v>
      </c>
      <c r="K520" s="10">
        <v>165.1</v>
      </c>
      <c r="L520" s="10">
        <v>146</v>
      </c>
      <c r="M520" s="10">
        <v>153</v>
      </c>
      <c r="N520" s="10">
        <v>124</v>
      </c>
      <c r="O520" s="10">
        <v>75</v>
      </c>
      <c r="P520" s="10">
        <v>105</v>
      </c>
      <c r="Q520" s="10">
        <v>14.7</v>
      </c>
      <c r="R520" s="10">
        <v>2238</v>
      </c>
      <c r="S520" s="10">
        <v>0.66</v>
      </c>
      <c r="T520" s="10">
        <v>1477</v>
      </c>
      <c r="U520" s="10">
        <v>196</v>
      </c>
      <c r="V520" s="10">
        <v>122</v>
      </c>
      <c r="W520" s="10">
        <v>42</v>
      </c>
      <c r="X520" s="10">
        <v>135</v>
      </c>
      <c r="Y520" s="10">
        <v>8</v>
      </c>
      <c r="Z520" s="10">
        <v>59</v>
      </c>
      <c r="AA520" s="10">
        <v>0.182</v>
      </c>
      <c r="AB520" s="10">
        <v>73</v>
      </c>
      <c r="AC520" s="10">
        <v>51</v>
      </c>
      <c r="AD520" s="10">
        <v>62</v>
      </c>
      <c r="AE520" s="10">
        <v>9</v>
      </c>
      <c r="AF520" s="10">
        <v>11.7</v>
      </c>
      <c r="AG520" s="9" t="s">
        <v>349</v>
      </c>
      <c r="AH520" s="10"/>
      <c r="AI520" s="10"/>
      <c r="AJ520" s="10"/>
      <c r="AK520" s="30"/>
    </row>
    <row r="521" spans="5:37">
      <c r="E521" s="28" t="s">
        <v>155</v>
      </c>
      <c r="F521" s="8" t="s">
        <v>317</v>
      </c>
      <c r="G521" s="9" t="s">
        <v>878</v>
      </c>
      <c r="H521" s="10">
        <v>174</v>
      </c>
      <c r="I521" s="9" t="s">
        <v>158</v>
      </c>
      <c r="J521" s="10">
        <v>174</v>
      </c>
      <c r="K521" s="10">
        <v>172.9</v>
      </c>
      <c r="L521" s="10">
        <v>155</v>
      </c>
      <c r="M521" s="10">
        <v>160</v>
      </c>
      <c r="N521" s="10">
        <v>125</v>
      </c>
      <c r="O521" s="10">
        <v>75</v>
      </c>
      <c r="P521" s="10">
        <v>106</v>
      </c>
      <c r="Q521" s="10">
        <v>15.1</v>
      </c>
      <c r="R521" s="10">
        <v>2334</v>
      </c>
      <c r="S521" s="10">
        <v>0.67</v>
      </c>
      <c r="T521" s="10">
        <v>1555</v>
      </c>
      <c r="U521" s="10">
        <v>223</v>
      </c>
      <c r="V521" s="10">
        <v>143</v>
      </c>
      <c r="W521" s="10">
        <v>40</v>
      </c>
      <c r="X521" s="10">
        <v>127</v>
      </c>
      <c r="Y521" s="10">
        <v>6</v>
      </c>
      <c r="Z521" s="10">
        <v>56</v>
      </c>
      <c r="AA521" s="10">
        <v>0.157</v>
      </c>
      <c r="AB521" s="10">
        <v>75</v>
      </c>
      <c r="AC521" s="10">
        <v>52</v>
      </c>
      <c r="AD521" s="10">
        <v>52</v>
      </c>
      <c r="AE521" s="10">
        <v>8</v>
      </c>
      <c r="AF521" s="10">
        <v>11.4</v>
      </c>
      <c r="AG521" s="9" t="s">
        <v>349</v>
      </c>
      <c r="AH521" s="10"/>
      <c r="AI521" s="10"/>
      <c r="AJ521" s="10"/>
      <c r="AK521" s="30"/>
    </row>
    <row r="522" spans="5:37">
      <c r="E522" s="28" t="s">
        <v>155</v>
      </c>
      <c r="F522" s="8" t="s">
        <v>317</v>
      </c>
      <c r="G522" s="9" t="s">
        <v>639</v>
      </c>
      <c r="H522" s="10">
        <v>160</v>
      </c>
      <c r="I522" s="9" t="s">
        <v>158</v>
      </c>
      <c r="J522" s="10">
        <v>160</v>
      </c>
      <c r="K522" s="10">
        <v>159.6</v>
      </c>
      <c r="L522" s="10">
        <v>141</v>
      </c>
      <c r="M522" s="10">
        <v>147</v>
      </c>
      <c r="N522" s="10">
        <v>125</v>
      </c>
      <c r="O522" s="10">
        <v>76</v>
      </c>
      <c r="P522" s="10">
        <v>105</v>
      </c>
      <c r="Q522" s="10">
        <v>13.7</v>
      </c>
      <c r="R522" s="10">
        <v>1818</v>
      </c>
      <c r="S522" s="10">
        <v>0.8</v>
      </c>
      <c r="T522" s="10">
        <v>1448</v>
      </c>
      <c r="U522" s="10">
        <v>192</v>
      </c>
      <c r="V522" s="10">
        <v>95</v>
      </c>
      <c r="W522" s="10">
        <v>37</v>
      </c>
      <c r="X522" s="10">
        <v>137</v>
      </c>
      <c r="Y522" s="10">
        <v>6</v>
      </c>
      <c r="Z522" s="10">
        <v>51</v>
      </c>
      <c r="AA522" s="10">
        <v>0.16800000000000001</v>
      </c>
      <c r="AB522" s="10">
        <v>76</v>
      </c>
      <c r="AC522" s="10">
        <v>52</v>
      </c>
      <c r="AD522" s="10">
        <v>61</v>
      </c>
      <c r="AE522" s="10">
        <v>7</v>
      </c>
      <c r="AF522" s="10">
        <v>12.1</v>
      </c>
      <c r="AG522" s="9" t="s">
        <v>349</v>
      </c>
      <c r="AH522" s="10"/>
      <c r="AI522" s="10"/>
      <c r="AJ522" s="10"/>
      <c r="AK522" s="30"/>
    </row>
    <row r="523" spans="5:37">
      <c r="E523" s="28" t="s">
        <v>155</v>
      </c>
      <c r="F523" s="8" t="s">
        <v>317</v>
      </c>
      <c r="G523" s="9" t="s">
        <v>639</v>
      </c>
      <c r="H523" s="10">
        <v>165</v>
      </c>
      <c r="I523" s="9" t="s">
        <v>158</v>
      </c>
      <c r="J523" s="10">
        <v>165</v>
      </c>
      <c r="K523" s="10">
        <v>164.3</v>
      </c>
      <c r="L523" s="10">
        <v>143</v>
      </c>
      <c r="M523" s="10">
        <v>152</v>
      </c>
      <c r="N523" s="10">
        <v>124</v>
      </c>
      <c r="O523" s="10">
        <v>75</v>
      </c>
      <c r="P523" s="10">
        <v>104</v>
      </c>
      <c r="Q523" s="10">
        <v>14.5</v>
      </c>
      <c r="R523" s="10">
        <v>1866</v>
      </c>
      <c r="S523" s="10">
        <v>0.79</v>
      </c>
      <c r="T523" s="10">
        <v>1470</v>
      </c>
      <c r="U523" s="10">
        <v>205</v>
      </c>
      <c r="V523" s="10">
        <v>100</v>
      </c>
      <c r="W523" s="10">
        <v>42</v>
      </c>
      <c r="X523" s="10">
        <v>164</v>
      </c>
      <c r="Y523" s="10">
        <v>6</v>
      </c>
      <c r="Z523" s="10">
        <v>51</v>
      </c>
      <c r="AA523" s="10">
        <v>0.152</v>
      </c>
      <c r="AB523" s="10">
        <v>69</v>
      </c>
      <c r="AC523" s="10">
        <v>58</v>
      </c>
      <c r="AD523" s="10">
        <v>95</v>
      </c>
      <c r="AE523" s="10">
        <v>6</v>
      </c>
      <c r="AF523" s="10">
        <v>11.7</v>
      </c>
      <c r="AG523" s="9" t="s">
        <v>349</v>
      </c>
      <c r="AH523" s="10"/>
      <c r="AI523" s="10"/>
      <c r="AJ523" s="10"/>
      <c r="AK523" s="30"/>
    </row>
    <row r="524" spans="5:37">
      <c r="E524" s="28" t="s">
        <v>155</v>
      </c>
      <c r="F524" s="8" t="s">
        <v>317</v>
      </c>
      <c r="G524" s="9" t="s">
        <v>639</v>
      </c>
      <c r="H524" s="10">
        <v>170</v>
      </c>
      <c r="I524" s="9" t="s">
        <v>158</v>
      </c>
      <c r="J524" s="10">
        <v>170</v>
      </c>
      <c r="K524" s="10">
        <v>169.1</v>
      </c>
      <c r="L524" s="10">
        <v>148</v>
      </c>
      <c r="M524" s="10">
        <v>157</v>
      </c>
      <c r="N524" s="10">
        <v>124</v>
      </c>
      <c r="O524" s="10">
        <v>76</v>
      </c>
      <c r="P524" s="10">
        <v>104</v>
      </c>
      <c r="Q524" s="10">
        <v>15.5</v>
      </c>
      <c r="R524" s="10">
        <v>1971</v>
      </c>
      <c r="S524" s="10">
        <v>0.77</v>
      </c>
      <c r="T524" s="10">
        <v>1521</v>
      </c>
      <c r="U524" s="10">
        <v>234</v>
      </c>
      <c r="V524" s="10">
        <v>110</v>
      </c>
      <c r="W524" s="10">
        <v>41</v>
      </c>
      <c r="X524" s="10">
        <v>163</v>
      </c>
      <c r="Y524" s="10">
        <v>5</v>
      </c>
      <c r="Z524" s="10">
        <v>51</v>
      </c>
      <c r="AA524" s="10">
        <v>0.13100000000000001</v>
      </c>
      <c r="AB524" s="10">
        <v>71</v>
      </c>
      <c r="AC524" s="10">
        <v>55</v>
      </c>
      <c r="AD524" s="10">
        <v>93</v>
      </c>
      <c r="AE524" s="10">
        <v>6</v>
      </c>
      <c r="AF524" s="10">
        <v>12.1</v>
      </c>
      <c r="AG524" s="9" t="s">
        <v>349</v>
      </c>
      <c r="AH524" s="10"/>
      <c r="AI524" s="10"/>
      <c r="AJ524" s="10"/>
      <c r="AK524" s="30"/>
    </row>
    <row r="525" spans="5:37">
      <c r="E525" s="28" t="s">
        <v>155</v>
      </c>
      <c r="F525" s="8" t="s">
        <v>317</v>
      </c>
      <c r="G525" s="9" t="s">
        <v>432</v>
      </c>
      <c r="H525" s="10">
        <v>164</v>
      </c>
      <c r="I525" s="9" t="s">
        <v>158</v>
      </c>
      <c r="J525" s="10">
        <v>164</v>
      </c>
      <c r="K525" s="10">
        <v>162</v>
      </c>
      <c r="L525" s="10">
        <v>114</v>
      </c>
      <c r="M525" s="10">
        <v>132</v>
      </c>
      <c r="N525" s="10">
        <v>130</v>
      </c>
      <c r="O525" s="10">
        <v>102</v>
      </c>
      <c r="P525" s="10">
        <v>116</v>
      </c>
      <c r="Q525" s="10">
        <v>18.600000000000001</v>
      </c>
      <c r="R525" s="10">
        <v>1343</v>
      </c>
      <c r="S525" s="10">
        <v>1.33</v>
      </c>
      <c r="T525" s="10">
        <v>1786</v>
      </c>
      <c r="U525" s="10">
        <v>166</v>
      </c>
      <c r="V525" s="10">
        <v>59</v>
      </c>
      <c r="W525" s="10">
        <v>58</v>
      </c>
      <c r="X525" s="10">
        <v>311</v>
      </c>
      <c r="Y525" s="10">
        <v>17</v>
      </c>
      <c r="Z525" s="10">
        <v>170</v>
      </c>
      <c r="AA525" s="10">
        <v>0.28799999999999998</v>
      </c>
      <c r="AB525" s="10">
        <v>157</v>
      </c>
      <c r="AC525" s="10">
        <v>147</v>
      </c>
      <c r="AD525" s="10">
        <v>155</v>
      </c>
      <c r="AE525" s="10">
        <v>5</v>
      </c>
      <c r="AF525" s="10">
        <v>8.9</v>
      </c>
      <c r="AG525" s="9" t="s">
        <v>178</v>
      </c>
      <c r="AH525" s="9" t="s">
        <v>185</v>
      </c>
      <c r="AI525" s="9" t="s">
        <v>198</v>
      </c>
      <c r="AJ525" s="10"/>
      <c r="AK525" s="30"/>
    </row>
    <row r="526" spans="5:37">
      <c r="E526" s="28" t="s">
        <v>155</v>
      </c>
      <c r="F526" s="8" t="s">
        <v>317</v>
      </c>
      <c r="G526" s="9" t="s">
        <v>432</v>
      </c>
      <c r="H526" s="10">
        <v>172</v>
      </c>
      <c r="I526" s="9" t="s">
        <v>158</v>
      </c>
      <c r="J526" s="10">
        <v>172</v>
      </c>
      <c r="K526" s="10">
        <v>169.8</v>
      </c>
      <c r="L526" s="10">
        <v>124</v>
      </c>
      <c r="M526" s="10">
        <v>139</v>
      </c>
      <c r="N526" s="10">
        <v>130</v>
      </c>
      <c r="O526" s="10">
        <v>102</v>
      </c>
      <c r="P526" s="10">
        <v>116</v>
      </c>
      <c r="Q526" s="10">
        <v>21.4</v>
      </c>
      <c r="R526" s="10">
        <v>1416</v>
      </c>
      <c r="S526" s="10">
        <v>1.32</v>
      </c>
      <c r="T526" s="10">
        <v>1874</v>
      </c>
      <c r="U526" s="10">
        <v>189</v>
      </c>
      <c r="V526" s="10">
        <v>64</v>
      </c>
      <c r="W526" s="10">
        <v>54</v>
      </c>
      <c r="X526" s="10">
        <v>297</v>
      </c>
      <c r="Y526" s="10">
        <v>18</v>
      </c>
      <c r="Z526" s="10">
        <v>165</v>
      </c>
      <c r="AA526" s="10">
        <v>0.33200000000000002</v>
      </c>
      <c r="AB526" s="10">
        <v>160</v>
      </c>
      <c r="AC526" s="10">
        <v>148</v>
      </c>
      <c r="AD526" s="10">
        <v>137</v>
      </c>
      <c r="AE526" s="10">
        <v>6</v>
      </c>
      <c r="AF526" s="10">
        <v>9.8000000000000007</v>
      </c>
      <c r="AG526" s="9" t="s">
        <v>178</v>
      </c>
      <c r="AH526" s="9" t="s">
        <v>185</v>
      </c>
      <c r="AI526" s="9" t="s">
        <v>198</v>
      </c>
      <c r="AJ526" s="10"/>
      <c r="AK526" s="30"/>
    </row>
    <row r="527" spans="5:37">
      <c r="E527" s="28" t="s">
        <v>155</v>
      </c>
      <c r="F527" s="8" t="s">
        <v>317</v>
      </c>
      <c r="G527" s="9" t="s">
        <v>432</v>
      </c>
      <c r="H527" s="10">
        <v>180</v>
      </c>
      <c r="I527" s="9" t="s">
        <v>158</v>
      </c>
      <c r="J527" s="10">
        <v>180</v>
      </c>
      <c r="K527" s="10">
        <v>177.9</v>
      </c>
      <c r="L527" s="10">
        <v>120</v>
      </c>
      <c r="M527" s="10">
        <v>148</v>
      </c>
      <c r="N527" s="10">
        <v>132</v>
      </c>
      <c r="O527" s="10">
        <v>104</v>
      </c>
      <c r="P527" s="10">
        <v>118</v>
      </c>
      <c r="Q527" s="10">
        <v>23.8</v>
      </c>
      <c r="R527" s="10">
        <v>1487</v>
      </c>
      <c r="S527" s="10">
        <v>1.34</v>
      </c>
      <c r="T527" s="10">
        <v>1999</v>
      </c>
      <c r="U527" s="10">
        <v>208</v>
      </c>
      <c r="V527" s="10">
        <v>78</v>
      </c>
      <c r="W527" s="10">
        <v>58</v>
      </c>
      <c r="X527" s="10">
        <v>336</v>
      </c>
      <c r="Y527" s="10">
        <v>24</v>
      </c>
      <c r="Z527" s="10">
        <v>243</v>
      </c>
      <c r="AA527" s="10">
        <v>0.41399999999999998</v>
      </c>
      <c r="AB527" s="10">
        <v>152</v>
      </c>
      <c r="AC527" s="10">
        <v>145</v>
      </c>
      <c r="AD527" s="10">
        <v>184</v>
      </c>
      <c r="AE527" s="10">
        <v>3</v>
      </c>
      <c r="AF527" s="10">
        <v>9.1999999999999993</v>
      </c>
      <c r="AG527" s="9" t="s">
        <v>169</v>
      </c>
      <c r="AH527" s="9" t="s">
        <v>185</v>
      </c>
      <c r="AI527" s="9" t="s">
        <v>198</v>
      </c>
      <c r="AJ527" s="10"/>
      <c r="AK527" s="30"/>
    </row>
    <row r="528" spans="5:37">
      <c r="E528" s="28" t="s">
        <v>155</v>
      </c>
      <c r="F528" s="8" t="s">
        <v>317</v>
      </c>
      <c r="G528" s="9" t="s">
        <v>432</v>
      </c>
      <c r="H528" s="10">
        <v>188</v>
      </c>
      <c r="I528" s="9" t="s">
        <v>158</v>
      </c>
      <c r="J528" s="10">
        <v>188</v>
      </c>
      <c r="K528" s="10">
        <v>185.8</v>
      </c>
      <c r="L528" s="10">
        <v>126</v>
      </c>
      <c r="M528" s="10">
        <v>155</v>
      </c>
      <c r="N528" s="10">
        <v>133</v>
      </c>
      <c r="O528" s="10">
        <v>104</v>
      </c>
      <c r="P528" s="10">
        <v>119</v>
      </c>
      <c r="Q528" s="10">
        <v>25.3</v>
      </c>
      <c r="R528" s="10">
        <v>1645</v>
      </c>
      <c r="S528" s="10">
        <v>1.27</v>
      </c>
      <c r="T528" s="10">
        <v>2096</v>
      </c>
      <c r="U528" s="10">
        <v>265</v>
      </c>
      <c r="V528" s="10">
        <v>95</v>
      </c>
      <c r="W528" s="10">
        <v>52</v>
      </c>
      <c r="X528" s="10">
        <v>333</v>
      </c>
      <c r="Y528" s="10">
        <v>22</v>
      </c>
      <c r="Z528" s="10">
        <v>265</v>
      </c>
      <c r="AA528" s="10">
        <v>0.42499999999999999</v>
      </c>
      <c r="AB528" s="10">
        <v>160</v>
      </c>
      <c r="AC528" s="10">
        <v>145</v>
      </c>
      <c r="AD528" s="10">
        <v>173</v>
      </c>
      <c r="AE528" s="10">
        <v>4</v>
      </c>
      <c r="AF528" s="10">
        <v>9.6</v>
      </c>
      <c r="AG528" s="9" t="s">
        <v>188</v>
      </c>
      <c r="AH528" s="9" t="s">
        <v>169</v>
      </c>
      <c r="AI528" s="9" t="s">
        <v>185</v>
      </c>
      <c r="AJ528" s="9" t="s">
        <v>198</v>
      </c>
      <c r="AK528" s="30"/>
    </row>
    <row r="529" spans="5:37">
      <c r="E529" s="28" t="s">
        <v>155</v>
      </c>
      <c r="F529" s="8" t="s">
        <v>317</v>
      </c>
      <c r="G529" s="9" t="s">
        <v>680</v>
      </c>
      <c r="H529" s="10">
        <v>150</v>
      </c>
      <c r="I529" s="9" t="s">
        <v>158</v>
      </c>
      <c r="J529" s="10">
        <v>150</v>
      </c>
      <c r="K529" s="10">
        <v>147.6</v>
      </c>
      <c r="L529" s="10">
        <v>109</v>
      </c>
      <c r="M529" s="10">
        <v>123</v>
      </c>
      <c r="N529" s="10">
        <v>112</v>
      </c>
      <c r="O529" s="10">
        <v>82</v>
      </c>
      <c r="P529" s="10">
        <v>95</v>
      </c>
      <c r="Q529" s="10">
        <v>17.3</v>
      </c>
      <c r="R529" s="10">
        <v>900</v>
      </c>
      <c r="S529" s="10">
        <v>1.49</v>
      </c>
      <c r="T529" s="10">
        <v>1337</v>
      </c>
      <c r="U529" s="10">
        <v>140</v>
      </c>
      <c r="V529" s="10">
        <v>44</v>
      </c>
      <c r="W529" s="10">
        <v>58</v>
      </c>
      <c r="X529" s="10">
        <v>216</v>
      </c>
      <c r="Y529" s="10">
        <v>11</v>
      </c>
      <c r="Z529" s="10">
        <v>172</v>
      </c>
      <c r="AA529" s="10">
        <v>0.189</v>
      </c>
      <c r="AB529" s="10">
        <v>126</v>
      </c>
      <c r="AC529" s="10">
        <v>121</v>
      </c>
      <c r="AD529" s="10">
        <v>90</v>
      </c>
      <c r="AE529" s="10">
        <v>4</v>
      </c>
      <c r="AF529" s="10">
        <v>10.1</v>
      </c>
      <c r="AG529" s="9" t="s">
        <v>185</v>
      </c>
      <c r="AH529" s="9" t="s">
        <v>198</v>
      </c>
      <c r="AI529" s="10"/>
      <c r="AJ529" s="10"/>
      <c r="AK529" s="30"/>
    </row>
    <row r="530" spans="5:37">
      <c r="E530" s="28" t="s">
        <v>155</v>
      </c>
      <c r="F530" s="8" t="s">
        <v>317</v>
      </c>
      <c r="G530" s="9" t="s">
        <v>680</v>
      </c>
      <c r="H530" s="10">
        <v>157</v>
      </c>
      <c r="I530" s="9" t="s">
        <v>158</v>
      </c>
      <c r="J530" s="10">
        <v>157</v>
      </c>
      <c r="K530" s="10">
        <v>154.69999999999999</v>
      </c>
      <c r="L530" s="10">
        <v>116</v>
      </c>
      <c r="M530" s="10">
        <v>129</v>
      </c>
      <c r="N530" s="10">
        <v>114</v>
      </c>
      <c r="O530" s="10">
        <v>83</v>
      </c>
      <c r="P530" s="10">
        <v>98</v>
      </c>
      <c r="Q530" s="10">
        <v>17.899999999999999</v>
      </c>
      <c r="R530" s="10">
        <v>975</v>
      </c>
      <c r="S530" s="10">
        <v>1.46</v>
      </c>
      <c r="T530" s="10">
        <v>1422</v>
      </c>
      <c r="U530" s="10">
        <v>169</v>
      </c>
      <c r="V530" s="10">
        <v>54</v>
      </c>
      <c r="W530" s="10">
        <v>60</v>
      </c>
      <c r="X530" s="10">
        <v>225</v>
      </c>
      <c r="Y530" s="10">
        <v>9</v>
      </c>
      <c r="Z530" s="10">
        <v>158</v>
      </c>
      <c r="AA530" s="10">
        <v>0.14699999999999999</v>
      </c>
      <c r="AB530" s="10">
        <v>135</v>
      </c>
      <c r="AC530" s="10">
        <v>124</v>
      </c>
      <c r="AD530" s="10">
        <v>90</v>
      </c>
      <c r="AE530" s="10">
        <v>5</v>
      </c>
      <c r="AF530" s="10">
        <v>10.8</v>
      </c>
      <c r="AG530" s="9" t="s">
        <v>185</v>
      </c>
      <c r="AH530" s="9" t="s">
        <v>198</v>
      </c>
      <c r="AI530" s="10"/>
      <c r="AJ530" s="10"/>
      <c r="AK530" s="30"/>
    </row>
    <row r="531" spans="5:37">
      <c r="E531" s="28" t="s">
        <v>155</v>
      </c>
      <c r="F531" s="8" t="s">
        <v>317</v>
      </c>
      <c r="G531" s="9" t="s">
        <v>680</v>
      </c>
      <c r="H531" s="10">
        <v>164</v>
      </c>
      <c r="I531" s="9" t="s">
        <v>158</v>
      </c>
      <c r="J531" s="10">
        <v>164</v>
      </c>
      <c r="K531" s="10">
        <v>161.9</v>
      </c>
      <c r="L531" s="10">
        <v>120</v>
      </c>
      <c r="M531" s="10">
        <v>135</v>
      </c>
      <c r="N531" s="10">
        <v>114</v>
      </c>
      <c r="O531" s="10">
        <v>83</v>
      </c>
      <c r="P531" s="10">
        <v>98</v>
      </c>
      <c r="Q531" s="10">
        <v>19.8</v>
      </c>
      <c r="R531" s="10">
        <v>1014</v>
      </c>
      <c r="S531" s="10">
        <v>1.46</v>
      </c>
      <c r="T531" s="10">
        <v>1484</v>
      </c>
      <c r="U531" s="10">
        <v>164</v>
      </c>
      <c r="V531" s="10">
        <v>57</v>
      </c>
      <c r="W531" s="10">
        <v>57</v>
      </c>
      <c r="X531" s="10">
        <v>230</v>
      </c>
      <c r="Y531" s="10">
        <v>10</v>
      </c>
      <c r="Z531" s="10">
        <v>191</v>
      </c>
      <c r="AA531" s="10">
        <v>0.17</v>
      </c>
      <c r="AB531" s="10">
        <v>139</v>
      </c>
      <c r="AC531" s="10">
        <v>127</v>
      </c>
      <c r="AD531" s="10">
        <v>91</v>
      </c>
      <c r="AE531" s="10">
        <v>3</v>
      </c>
      <c r="AF531" s="10">
        <v>10.6</v>
      </c>
      <c r="AG531" s="9" t="s">
        <v>185</v>
      </c>
      <c r="AH531" s="9" t="s">
        <v>198</v>
      </c>
      <c r="AI531" s="10"/>
      <c r="AJ531" s="10"/>
      <c r="AK531" s="30"/>
    </row>
    <row r="532" spans="5:37">
      <c r="E532" s="28" t="s">
        <v>155</v>
      </c>
      <c r="F532" s="8" t="s">
        <v>317</v>
      </c>
      <c r="G532" s="9" t="s">
        <v>680</v>
      </c>
      <c r="H532" s="10">
        <v>171</v>
      </c>
      <c r="I532" s="9" t="s">
        <v>158</v>
      </c>
      <c r="J532" s="10">
        <v>171</v>
      </c>
      <c r="K532" s="10">
        <v>168.9</v>
      </c>
      <c r="L532" s="10">
        <v>127</v>
      </c>
      <c r="M532" s="10">
        <v>144</v>
      </c>
      <c r="N532" s="10">
        <v>114</v>
      </c>
      <c r="O532" s="10">
        <v>83</v>
      </c>
      <c r="P532" s="10">
        <v>98</v>
      </c>
      <c r="Q532" s="10">
        <v>22</v>
      </c>
      <c r="R532" s="10">
        <v>1122</v>
      </c>
      <c r="S532" s="10">
        <v>1.38</v>
      </c>
      <c r="T532" s="10">
        <v>1546</v>
      </c>
      <c r="U532" s="10">
        <v>197</v>
      </c>
      <c r="V532" s="10">
        <v>69</v>
      </c>
      <c r="W532" s="10">
        <v>55</v>
      </c>
      <c r="X532" s="10">
        <v>244</v>
      </c>
      <c r="Y532" s="10">
        <v>10</v>
      </c>
      <c r="Z532" s="10">
        <v>171</v>
      </c>
      <c r="AA532" s="10">
        <v>0.188</v>
      </c>
      <c r="AB532" s="10">
        <v>130</v>
      </c>
      <c r="AC532" s="10">
        <v>122</v>
      </c>
      <c r="AD532" s="10">
        <v>114</v>
      </c>
      <c r="AE532" s="10">
        <v>4</v>
      </c>
      <c r="AF532" s="10">
        <v>10.5</v>
      </c>
      <c r="AG532" s="9" t="s">
        <v>185</v>
      </c>
      <c r="AH532" s="9" t="s">
        <v>198</v>
      </c>
      <c r="AI532" s="10"/>
      <c r="AJ532" s="10"/>
      <c r="AK532" s="30"/>
    </row>
    <row r="533" spans="5:37">
      <c r="E533" s="28" t="s">
        <v>155</v>
      </c>
      <c r="F533" s="8" t="s">
        <v>317</v>
      </c>
      <c r="G533" s="9" t="s">
        <v>680</v>
      </c>
      <c r="H533" s="10">
        <v>178</v>
      </c>
      <c r="I533" s="9" t="s">
        <v>158</v>
      </c>
      <c r="J533" s="10">
        <v>178</v>
      </c>
      <c r="K533" s="10">
        <v>176</v>
      </c>
      <c r="L533" s="10">
        <v>132</v>
      </c>
      <c r="M533" s="10">
        <v>149</v>
      </c>
      <c r="N533" s="10">
        <v>117</v>
      </c>
      <c r="O533" s="10">
        <v>83</v>
      </c>
      <c r="P533" s="10">
        <v>100</v>
      </c>
      <c r="Q533" s="10">
        <v>22</v>
      </c>
      <c r="R533" s="10">
        <v>1151</v>
      </c>
      <c r="S533" s="10">
        <v>1.42</v>
      </c>
      <c r="T533" s="10">
        <v>1635</v>
      </c>
      <c r="U533" s="10">
        <v>231</v>
      </c>
      <c r="V533" s="10">
        <v>78</v>
      </c>
      <c r="W533" s="10">
        <v>54</v>
      </c>
      <c r="X533" s="10">
        <v>252</v>
      </c>
      <c r="Y533" s="10">
        <v>10</v>
      </c>
      <c r="Z533" s="10">
        <v>184</v>
      </c>
      <c r="AA533" s="10">
        <v>0.17599999999999999</v>
      </c>
      <c r="AB533" s="10">
        <v>133</v>
      </c>
      <c r="AC533" s="10">
        <v>132</v>
      </c>
      <c r="AD533" s="10">
        <v>118</v>
      </c>
      <c r="AE533" s="10">
        <v>4</v>
      </c>
      <c r="AF533" s="10">
        <v>10.5</v>
      </c>
      <c r="AG533" s="9" t="s">
        <v>185</v>
      </c>
      <c r="AH533" s="9" t="s">
        <v>198</v>
      </c>
      <c r="AI533" s="10"/>
      <c r="AJ533" s="10"/>
      <c r="AK533" s="30"/>
    </row>
    <row r="534" spans="5:37">
      <c r="E534" s="28" t="s">
        <v>155</v>
      </c>
      <c r="F534" s="8" t="s">
        <v>317</v>
      </c>
      <c r="G534" s="9" t="s">
        <v>449</v>
      </c>
      <c r="H534" s="10">
        <v>157</v>
      </c>
      <c r="I534" s="9" t="s">
        <v>158</v>
      </c>
      <c r="J534" s="10">
        <v>157</v>
      </c>
      <c r="K534" s="10">
        <v>154.69999999999999</v>
      </c>
      <c r="L534" s="10">
        <v>118</v>
      </c>
      <c r="M534" s="10">
        <v>128</v>
      </c>
      <c r="N534" s="10">
        <v>124</v>
      </c>
      <c r="O534" s="10">
        <v>93</v>
      </c>
      <c r="P534" s="10">
        <v>108</v>
      </c>
      <c r="Q534" s="10">
        <v>17.7</v>
      </c>
      <c r="R534" s="10">
        <v>1072</v>
      </c>
      <c r="S534" s="10">
        <v>1.46</v>
      </c>
      <c r="T534" s="10">
        <v>1566</v>
      </c>
      <c r="U534" s="10">
        <v>159</v>
      </c>
      <c r="V534" s="10">
        <v>62</v>
      </c>
      <c r="W534" s="10">
        <v>57</v>
      </c>
      <c r="X534" s="10">
        <v>216</v>
      </c>
      <c r="Y534" s="10">
        <v>8</v>
      </c>
      <c r="Z534" s="10">
        <v>155</v>
      </c>
      <c r="AA534" s="10">
        <v>0.14599999999999999</v>
      </c>
      <c r="AB534" s="10">
        <v>132</v>
      </c>
      <c r="AC534" s="10">
        <v>132</v>
      </c>
      <c r="AD534" s="10">
        <v>85</v>
      </c>
      <c r="AE534" s="10">
        <v>5</v>
      </c>
      <c r="AF534" s="10">
        <v>10.199999999999999</v>
      </c>
      <c r="AG534" s="9" t="s">
        <v>185</v>
      </c>
      <c r="AH534" s="9" t="s">
        <v>198</v>
      </c>
      <c r="AI534" s="10"/>
      <c r="AJ534" s="10"/>
      <c r="AK534" s="30"/>
    </row>
    <row r="535" spans="5:37">
      <c r="E535" s="28" t="s">
        <v>155</v>
      </c>
      <c r="F535" s="8" t="s">
        <v>317</v>
      </c>
      <c r="G535" s="9" t="s">
        <v>449</v>
      </c>
      <c r="H535" s="10">
        <v>164</v>
      </c>
      <c r="I535" s="9" t="s">
        <v>158</v>
      </c>
      <c r="J535" s="10">
        <v>164</v>
      </c>
      <c r="K535" s="10">
        <v>161.69999999999999</v>
      </c>
      <c r="L535" s="10">
        <v>115</v>
      </c>
      <c r="M535" s="10">
        <v>135</v>
      </c>
      <c r="N535" s="10">
        <v>124</v>
      </c>
      <c r="O535" s="10">
        <v>93</v>
      </c>
      <c r="P535" s="10">
        <v>108</v>
      </c>
      <c r="Q535" s="10">
        <v>19.5</v>
      </c>
      <c r="R535" s="10">
        <v>1113</v>
      </c>
      <c r="S535" s="10">
        <v>1.47</v>
      </c>
      <c r="T535" s="10">
        <v>1639</v>
      </c>
      <c r="U535" s="10">
        <v>186</v>
      </c>
      <c r="V535" s="10">
        <v>62</v>
      </c>
      <c r="W535" s="10">
        <v>58</v>
      </c>
      <c r="X535" s="10">
        <v>267</v>
      </c>
      <c r="Y535" s="10">
        <v>11</v>
      </c>
      <c r="Z535" s="10">
        <v>201</v>
      </c>
      <c r="AA535" s="10">
        <v>0.19600000000000001</v>
      </c>
      <c r="AB535" s="10">
        <v>142</v>
      </c>
      <c r="AC535" s="10">
        <v>120</v>
      </c>
      <c r="AD535" s="10">
        <v>125</v>
      </c>
      <c r="AE535" s="10">
        <v>3</v>
      </c>
      <c r="AF535" s="10">
        <v>10</v>
      </c>
      <c r="AG535" s="9" t="s">
        <v>185</v>
      </c>
      <c r="AH535" s="9" t="s">
        <v>198</v>
      </c>
      <c r="AI535" s="10"/>
      <c r="AJ535" s="10"/>
      <c r="AK535" s="30"/>
    </row>
    <row r="536" spans="5:37">
      <c r="E536" s="28" t="s">
        <v>155</v>
      </c>
      <c r="F536" s="8" t="s">
        <v>317</v>
      </c>
      <c r="G536" s="9" t="s">
        <v>449</v>
      </c>
      <c r="H536" s="10">
        <v>171</v>
      </c>
      <c r="I536" s="9" t="s">
        <v>158</v>
      </c>
      <c r="J536" s="10">
        <v>171</v>
      </c>
      <c r="K536" s="10">
        <v>169</v>
      </c>
      <c r="L536" s="10">
        <v>120</v>
      </c>
      <c r="M536" s="10">
        <v>143</v>
      </c>
      <c r="N536" s="10">
        <v>124</v>
      </c>
      <c r="O536" s="10">
        <v>93</v>
      </c>
      <c r="P536" s="10">
        <v>107</v>
      </c>
      <c r="Q536" s="10">
        <v>22</v>
      </c>
      <c r="R536" s="10">
        <v>1201</v>
      </c>
      <c r="S536" s="10">
        <v>1.42</v>
      </c>
      <c r="T536" s="10">
        <v>1709</v>
      </c>
      <c r="U536" s="10">
        <v>207</v>
      </c>
      <c r="V536" s="10">
        <v>75</v>
      </c>
      <c r="W536" s="10">
        <v>55</v>
      </c>
      <c r="X536" s="10">
        <v>273</v>
      </c>
      <c r="Y536" s="10">
        <v>11</v>
      </c>
      <c r="Z536" s="10">
        <v>216</v>
      </c>
      <c r="AA536" s="10">
        <v>0.191</v>
      </c>
      <c r="AB536" s="10">
        <v>130</v>
      </c>
      <c r="AC536" s="10">
        <v>134</v>
      </c>
      <c r="AD536" s="10">
        <v>143</v>
      </c>
      <c r="AE536" s="10">
        <v>3</v>
      </c>
      <c r="AF536" s="10">
        <v>10.5</v>
      </c>
      <c r="AG536" s="9" t="s">
        <v>185</v>
      </c>
      <c r="AH536" s="9" t="s">
        <v>198</v>
      </c>
      <c r="AI536" s="10"/>
      <c r="AJ536" s="10"/>
      <c r="AK536" s="30"/>
    </row>
    <row r="537" spans="5:37">
      <c r="E537" s="28" t="s">
        <v>155</v>
      </c>
      <c r="F537" s="8" t="s">
        <v>317</v>
      </c>
      <c r="G537" s="9" t="s">
        <v>449</v>
      </c>
      <c r="H537" s="10">
        <v>178</v>
      </c>
      <c r="I537" s="9" t="s">
        <v>158</v>
      </c>
      <c r="J537" s="10">
        <v>178</v>
      </c>
      <c r="K537" s="10">
        <v>176</v>
      </c>
      <c r="L537" s="10">
        <v>125</v>
      </c>
      <c r="M537" s="10">
        <v>149</v>
      </c>
      <c r="N537" s="10">
        <v>126</v>
      </c>
      <c r="O537" s="10">
        <v>93</v>
      </c>
      <c r="P537" s="10">
        <v>110</v>
      </c>
      <c r="Q537" s="10">
        <v>22.1</v>
      </c>
      <c r="R537" s="10">
        <v>1284</v>
      </c>
      <c r="S537" s="10">
        <v>1.4</v>
      </c>
      <c r="T537" s="10">
        <v>1794</v>
      </c>
      <c r="U537" s="10">
        <v>242</v>
      </c>
      <c r="V537" s="10">
        <v>84</v>
      </c>
      <c r="W537" s="10">
        <v>54</v>
      </c>
      <c r="X537" s="10">
        <v>304</v>
      </c>
      <c r="Y537" s="10">
        <v>12</v>
      </c>
      <c r="Z537" s="10">
        <v>210</v>
      </c>
      <c r="AA537" s="10">
        <v>0.219</v>
      </c>
      <c r="AB537" s="10">
        <v>138</v>
      </c>
      <c r="AC537" s="10">
        <v>129</v>
      </c>
      <c r="AD537" s="10">
        <v>166</v>
      </c>
      <c r="AE537" s="10">
        <v>3</v>
      </c>
      <c r="AF537" s="10">
        <v>10.5</v>
      </c>
      <c r="AG537" s="9" t="s">
        <v>185</v>
      </c>
      <c r="AH537" s="9" t="s">
        <v>198</v>
      </c>
      <c r="AI537" s="10"/>
      <c r="AJ537" s="10"/>
      <c r="AK537" s="30"/>
    </row>
    <row r="538" spans="5:37">
      <c r="E538" s="28" t="s">
        <v>155</v>
      </c>
      <c r="F538" s="8" t="s">
        <v>317</v>
      </c>
      <c r="G538" s="9" t="s">
        <v>449</v>
      </c>
      <c r="H538" s="10">
        <v>185</v>
      </c>
      <c r="I538" s="9" t="s">
        <v>158</v>
      </c>
      <c r="J538" s="10">
        <v>185</v>
      </c>
      <c r="K538" s="10">
        <v>182.7</v>
      </c>
      <c r="L538" s="10">
        <v>141</v>
      </c>
      <c r="M538" s="10">
        <v>156</v>
      </c>
      <c r="N538" s="10">
        <v>127</v>
      </c>
      <c r="O538" s="10">
        <v>93</v>
      </c>
      <c r="P538" s="10">
        <v>110</v>
      </c>
      <c r="Q538" s="10">
        <v>24</v>
      </c>
      <c r="R538" s="10">
        <v>1374</v>
      </c>
      <c r="S538" s="10">
        <v>1.36</v>
      </c>
      <c r="T538" s="10">
        <v>1865</v>
      </c>
      <c r="U538" s="10">
        <v>275</v>
      </c>
      <c r="V538" s="10">
        <v>104</v>
      </c>
      <c r="W538" s="10">
        <v>56</v>
      </c>
      <c r="X538" s="10">
        <v>276</v>
      </c>
      <c r="Y538" s="10">
        <v>9</v>
      </c>
      <c r="Z538" s="10">
        <v>143</v>
      </c>
      <c r="AA538" s="10">
        <v>0.16700000000000001</v>
      </c>
      <c r="AB538" s="10">
        <v>134</v>
      </c>
      <c r="AC538" s="10">
        <v>137</v>
      </c>
      <c r="AD538" s="10">
        <v>142</v>
      </c>
      <c r="AE538" s="10">
        <v>4</v>
      </c>
      <c r="AF538" s="10">
        <v>10.8</v>
      </c>
      <c r="AG538" s="9" t="s">
        <v>185</v>
      </c>
      <c r="AH538" s="9" t="s">
        <v>198</v>
      </c>
      <c r="AI538" s="10"/>
      <c r="AJ538" s="10"/>
      <c r="AK538" s="30"/>
    </row>
    <row r="539" spans="5:37">
      <c r="E539" s="28" t="s">
        <v>155</v>
      </c>
      <c r="F539" s="8" t="s">
        <v>218</v>
      </c>
      <c r="G539" s="9" t="s">
        <v>398</v>
      </c>
      <c r="H539" s="10">
        <v>168</v>
      </c>
      <c r="I539" s="9" t="s">
        <v>158</v>
      </c>
      <c r="J539" s="10">
        <v>168</v>
      </c>
      <c r="K539" s="10">
        <v>167.4</v>
      </c>
      <c r="L539" s="10">
        <v>108</v>
      </c>
      <c r="M539" s="10">
        <v>133</v>
      </c>
      <c r="N539" s="10">
        <v>128</v>
      </c>
      <c r="O539" s="10">
        <v>103</v>
      </c>
      <c r="P539" s="10">
        <v>117</v>
      </c>
      <c r="Q539" s="10">
        <v>18.2</v>
      </c>
      <c r="R539" s="10">
        <v>1615</v>
      </c>
      <c r="S539" s="10">
        <v>1.1499999999999999</v>
      </c>
      <c r="T539" s="10">
        <v>1863</v>
      </c>
      <c r="U539" s="10">
        <v>173</v>
      </c>
      <c r="V539" s="10">
        <v>79</v>
      </c>
      <c r="W539" s="10">
        <v>50</v>
      </c>
      <c r="X539" s="10">
        <v>313</v>
      </c>
      <c r="Y539" s="10">
        <v>33</v>
      </c>
      <c r="Z539" s="10">
        <v>278</v>
      </c>
      <c r="AA539" s="10">
        <v>0.66100000000000003</v>
      </c>
      <c r="AB539" s="10">
        <v>198</v>
      </c>
      <c r="AC539" s="10">
        <v>147</v>
      </c>
      <c r="AD539" s="10">
        <v>115</v>
      </c>
      <c r="AE539" s="10">
        <v>5</v>
      </c>
      <c r="AF539" s="10">
        <v>6.5</v>
      </c>
      <c r="AG539" s="9" t="s">
        <v>188</v>
      </c>
      <c r="AH539" s="9" t="s">
        <v>169</v>
      </c>
      <c r="AI539" s="9" t="s">
        <v>185</v>
      </c>
      <c r="AJ539" s="10"/>
      <c r="AK539" s="30"/>
    </row>
    <row r="540" spans="5:37">
      <c r="E540" s="28" t="s">
        <v>155</v>
      </c>
      <c r="F540" s="8" t="s">
        <v>218</v>
      </c>
      <c r="G540" s="9" t="s">
        <v>398</v>
      </c>
      <c r="H540" s="10">
        <v>176</v>
      </c>
      <c r="I540" s="9" t="s">
        <v>158</v>
      </c>
      <c r="J540" s="10">
        <v>176</v>
      </c>
      <c r="K540" s="10">
        <v>175.1</v>
      </c>
      <c r="L540" s="10">
        <v>117</v>
      </c>
      <c r="M540" s="10">
        <v>140</v>
      </c>
      <c r="N540" s="10">
        <v>131</v>
      </c>
      <c r="O540" s="10">
        <v>103</v>
      </c>
      <c r="P540" s="10">
        <v>120</v>
      </c>
      <c r="Q540" s="10">
        <v>18.3</v>
      </c>
      <c r="R540" s="10">
        <v>1804</v>
      </c>
      <c r="S540" s="10">
        <v>1.0900000000000001</v>
      </c>
      <c r="T540" s="10">
        <v>1972</v>
      </c>
      <c r="U540" s="10">
        <v>210</v>
      </c>
      <c r="V540" s="10">
        <v>95</v>
      </c>
      <c r="W540" s="10">
        <v>48</v>
      </c>
      <c r="X540" s="10">
        <v>298</v>
      </c>
      <c r="Y540" s="10">
        <v>37</v>
      </c>
      <c r="Z540" s="10">
        <v>280</v>
      </c>
      <c r="AA540" s="10">
        <v>0.77700000000000002</v>
      </c>
      <c r="AB540" s="10">
        <v>184</v>
      </c>
      <c r="AC540" s="10">
        <v>167</v>
      </c>
      <c r="AD540" s="10">
        <v>114</v>
      </c>
      <c r="AE540" s="10">
        <v>7</v>
      </c>
      <c r="AF540" s="10">
        <v>6.3</v>
      </c>
      <c r="AG540" s="9" t="s">
        <v>188</v>
      </c>
      <c r="AH540" s="9" t="s">
        <v>169</v>
      </c>
      <c r="AI540" s="9" t="s">
        <v>185</v>
      </c>
      <c r="AJ540" s="10"/>
      <c r="AK540" s="30"/>
    </row>
    <row r="541" spans="5:37">
      <c r="E541" s="28" t="s">
        <v>155</v>
      </c>
      <c r="F541" s="8" t="s">
        <v>218</v>
      </c>
      <c r="G541" s="9" t="s">
        <v>398</v>
      </c>
      <c r="H541" s="10">
        <v>184</v>
      </c>
      <c r="I541" s="9" t="s">
        <v>158</v>
      </c>
      <c r="J541" s="10">
        <v>184</v>
      </c>
      <c r="K541" s="10">
        <v>182.8</v>
      </c>
      <c r="L541" s="10">
        <v>121</v>
      </c>
      <c r="M541" s="10">
        <v>149</v>
      </c>
      <c r="N541" s="10">
        <v>132</v>
      </c>
      <c r="O541" s="10">
        <v>103</v>
      </c>
      <c r="P541" s="10">
        <v>121</v>
      </c>
      <c r="Q541" s="10">
        <v>18.5</v>
      </c>
      <c r="R541" s="10">
        <v>2074</v>
      </c>
      <c r="S541" s="10">
        <v>1</v>
      </c>
      <c r="T541" s="10">
        <v>2076</v>
      </c>
      <c r="U541" s="10">
        <v>264</v>
      </c>
      <c r="V541" s="10">
        <v>120</v>
      </c>
      <c r="W541" s="10">
        <v>53</v>
      </c>
      <c r="X541" s="10">
        <v>331</v>
      </c>
      <c r="Y541" s="10">
        <v>39</v>
      </c>
      <c r="Z541" s="10">
        <v>290</v>
      </c>
      <c r="AA541" s="10">
        <v>0.73799999999999999</v>
      </c>
      <c r="AB541" s="10">
        <v>204</v>
      </c>
      <c r="AC541" s="10">
        <v>137</v>
      </c>
      <c r="AD541" s="10">
        <v>128</v>
      </c>
      <c r="AE541" s="10">
        <v>7</v>
      </c>
      <c r="AF541" s="10">
        <v>6.9</v>
      </c>
      <c r="AG541" s="9" t="s">
        <v>188</v>
      </c>
      <c r="AH541" s="9" t="s">
        <v>169</v>
      </c>
      <c r="AI541" s="10"/>
      <c r="AJ541" s="10"/>
      <c r="AK541" s="30"/>
    </row>
    <row r="542" spans="5:37">
      <c r="E542" s="28" t="s">
        <v>155</v>
      </c>
      <c r="F542" s="8" t="s">
        <v>218</v>
      </c>
      <c r="G542" s="9" t="s">
        <v>398</v>
      </c>
      <c r="H542" s="10">
        <v>189</v>
      </c>
      <c r="I542" s="9" t="s">
        <v>158</v>
      </c>
      <c r="J542" s="10">
        <v>189</v>
      </c>
      <c r="K542" s="10">
        <v>187.4</v>
      </c>
      <c r="L542" s="10">
        <v>120</v>
      </c>
      <c r="M542" s="10">
        <v>145</v>
      </c>
      <c r="N542" s="10">
        <v>134</v>
      </c>
      <c r="O542" s="10">
        <v>102</v>
      </c>
      <c r="P542" s="10">
        <v>122</v>
      </c>
      <c r="Q542" s="10">
        <v>18.100000000000001</v>
      </c>
      <c r="R542" s="10">
        <v>2041</v>
      </c>
      <c r="S542" s="10">
        <v>1.04</v>
      </c>
      <c r="T542" s="10">
        <v>2132</v>
      </c>
      <c r="U542" s="10">
        <v>250</v>
      </c>
      <c r="V542" s="10">
        <v>115</v>
      </c>
      <c r="W542" s="10">
        <v>61</v>
      </c>
      <c r="X542" s="10">
        <v>350</v>
      </c>
      <c r="Y542" s="10">
        <v>45</v>
      </c>
      <c r="Z542" s="10">
        <v>327</v>
      </c>
      <c r="AA542" s="10">
        <v>0.74099999999999999</v>
      </c>
      <c r="AB542" s="10">
        <v>243</v>
      </c>
      <c r="AC542" s="10">
        <v>180</v>
      </c>
      <c r="AD542" s="10">
        <v>107</v>
      </c>
      <c r="AE542" s="10">
        <v>4</v>
      </c>
      <c r="AF542" s="10">
        <v>7.2</v>
      </c>
      <c r="AG542" s="9" t="s">
        <v>188</v>
      </c>
      <c r="AH542" s="9" t="s">
        <v>169</v>
      </c>
      <c r="AI542" s="10"/>
      <c r="AJ542" s="10"/>
      <c r="AK542" s="30"/>
    </row>
    <row r="543" spans="5:37">
      <c r="E543" s="28" t="s">
        <v>155</v>
      </c>
      <c r="F543" s="8" t="s">
        <v>218</v>
      </c>
      <c r="G543" s="9" t="s">
        <v>350</v>
      </c>
      <c r="H543" s="10">
        <v>171</v>
      </c>
      <c r="I543" s="9" t="s">
        <v>158</v>
      </c>
      <c r="J543" s="10">
        <v>171</v>
      </c>
      <c r="K543" s="10">
        <v>169.1</v>
      </c>
      <c r="L543" s="10">
        <v>112</v>
      </c>
      <c r="M543" s="10">
        <v>124</v>
      </c>
      <c r="N543" s="10">
        <v>129</v>
      </c>
      <c r="O543" s="10">
        <v>100</v>
      </c>
      <c r="P543" s="10">
        <v>115</v>
      </c>
      <c r="Q543" s="10">
        <v>15</v>
      </c>
      <c r="R543" s="10">
        <v>1718</v>
      </c>
      <c r="S543" s="10">
        <v>1.08</v>
      </c>
      <c r="T543" s="10">
        <v>1858</v>
      </c>
      <c r="U543" s="10">
        <v>192</v>
      </c>
      <c r="V543" s="10">
        <v>99</v>
      </c>
      <c r="W543" s="10">
        <v>56</v>
      </c>
      <c r="X543" s="10">
        <v>335</v>
      </c>
      <c r="Y543" s="10">
        <v>26</v>
      </c>
      <c r="Z543" s="10">
        <v>233</v>
      </c>
      <c r="AA543" s="10">
        <v>0.45600000000000002</v>
      </c>
      <c r="AB543" s="10">
        <v>237</v>
      </c>
      <c r="AC543" s="10">
        <v>211</v>
      </c>
      <c r="AD543" s="10">
        <v>98</v>
      </c>
      <c r="AE543" s="10">
        <v>8</v>
      </c>
      <c r="AF543" s="10">
        <v>12.4</v>
      </c>
      <c r="AG543" s="9" t="s">
        <v>188</v>
      </c>
      <c r="AH543" s="9" t="s">
        <v>185</v>
      </c>
      <c r="AI543" s="10"/>
      <c r="AJ543" s="10"/>
      <c r="AK543" s="30"/>
    </row>
    <row r="544" spans="5:37">
      <c r="E544" s="28" t="s">
        <v>155</v>
      </c>
      <c r="F544" s="8" t="s">
        <v>218</v>
      </c>
      <c r="G544" s="9" t="s">
        <v>250</v>
      </c>
      <c r="H544" s="10">
        <v>155</v>
      </c>
      <c r="I544" s="9" t="s">
        <v>158</v>
      </c>
      <c r="J544" s="10">
        <v>155</v>
      </c>
      <c r="K544" s="10">
        <v>154</v>
      </c>
      <c r="L544" s="10">
        <v>107</v>
      </c>
      <c r="M544" s="10">
        <v>119</v>
      </c>
      <c r="N544" s="10">
        <v>129</v>
      </c>
      <c r="O544" s="10">
        <v>106</v>
      </c>
      <c r="P544" s="10">
        <v>116</v>
      </c>
      <c r="Q544" s="10">
        <v>19.3</v>
      </c>
      <c r="R544" s="10">
        <v>1590</v>
      </c>
      <c r="S544" s="10">
        <v>1.0900000000000001</v>
      </c>
      <c r="T544" s="10">
        <v>1730</v>
      </c>
      <c r="U544" s="10">
        <v>187</v>
      </c>
      <c r="V544" s="10">
        <v>95</v>
      </c>
      <c r="W544" s="10">
        <v>39</v>
      </c>
      <c r="X544" s="10">
        <v>261</v>
      </c>
      <c r="Y544" s="10">
        <v>19</v>
      </c>
      <c r="Z544" s="10">
        <v>204</v>
      </c>
      <c r="AA544" s="10">
        <v>0.49</v>
      </c>
      <c r="AB544" s="10">
        <v>188</v>
      </c>
      <c r="AC544" s="10">
        <v>165</v>
      </c>
      <c r="AD544" s="10">
        <v>73</v>
      </c>
      <c r="AE544" s="10">
        <v>5</v>
      </c>
      <c r="AF544" s="10">
        <v>11.5</v>
      </c>
      <c r="AG544" s="9" t="s">
        <v>169</v>
      </c>
      <c r="AH544" s="9" t="s">
        <v>185</v>
      </c>
      <c r="AI544" s="10"/>
      <c r="AJ544" s="10"/>
      <c r="AK544" s="30"/>
    </row>
    <row r="545" spans="5:37">
      <c r="E545" s="28" t="s">
        <v>155</v>
      </c>
      <c r="F545" s="8" t="s">
        <v>218</v>
      </c>
      <c r="G545" s="9" t="s">
        <v>250</v>
      </c>
      <c r="H545" s="10">
        <v>163</v>
      </c>
      <c r="I545" s="9" t="s">
        <v>158</v>
      </c>
      <c r="J545" s="10">
        <v>163</v>
      </c>
      <c r="K545" s="10">
        <v>162</v>
      </c>
      <c r="L545" s="10">
        <v>113</v>
      </c>
      <c r="M545" s="10">
        <v>126</v>
      </c>
      <c r="N545" s="10">
        <v>131</v>
      </c>
      <c r="O545" s="10">
        <v>105</v>
      </c>
      <c r="P545" s="10">
        <v>117</v>
      </c>
      <c r="Q545" s="10">
        <v>19.2</v>
      </c>
      <c r="R545" s="10">
        <v>1720</v>
      </c>
      <c r="S545" s="10">
        <v>1.06</v>
      </c>
      <c r="T545" s="10">
        <v>1832</v>
      </c>
      <c r="U545" s="10">
        <v>212</v>
      </c>
      <c r="V545" s="10">
        <v>109</v>
      </c>
      <c r="W545" s="10">
        <v>43</v>
      </c>
      <c r="X545" s="10">
        <v>278</v>
      </c>
      <c r="Y545" s="10">
        <v>20</v>
      </c>
      <c r="Z545" s="10">
        <v>214</v>
      </c>
      <c r="AA545" s="10">
        <v>0.46300000000000002</v>
      </c>
      <c r="AB545" s="10">
        <v>192</v>
      </c>
      <c r="AC545" s="10">
        <v>173</v>
      </c>
      <c r="AD545" s="10">
        <v>86</v>
      </c>
      <c r="AE545" s="10">
        <v>6</v>
      </c>
      <c r="AF545" s="10">
        <v>9.5</v>
      </c>
      <c r="AG545" s="9" t="s">
        <v>169</v>
      </c>
      <c r="AH545" s="9" t="s">
        <v>185</v>
      </c>
      <c r="AI545" s="10"/>
      <c r="AJ545" s="10"/>
      <c r="AK545" s="30"/>
    </row>
    <row r="546" spans="5:37">
      <c r="E546" s="28" t="s">
        <v>155</v>
      </c>
      <c r="F546" s="8" t="s">
        <v>218</v>
      </c>
      <c r="G546" s="9" t="s">
        <v>250</v>
      </c>
      <c r="H546" s="10">
        <v>171</v>
      </c>
      <c r="I546" s="9" t="s">
        <v>158</v>
      </c>
      <c r="J546" s="10">
        <v>171</v>
      </c>
      <c r="K546" s="10">
        <v>169.4</v>
      </c>
      <c r="L546" s="10">
        <v>123</v>
      </c>
      <c r="M546" s="10">
        <v>131</v>
      </c>
      <c r="N546" s="10">
        <v>134</v>
      </c>
      <c r="O546" s="10">
        <v>106</v>
      </c>
      <c r="P546" s="10">
        <v>119</v>
      </c>
      <c r="Q546" s="10">
        <v>19</v>
      </c>
      <c r="R546" s="10">
        <v>1843</v>
      </c>
      <c r="S546" s="10">
        <v>1.05</v>
      </c>
      <c r="T546" s="10">
        <v>1938</v>
      </c>
      <c r="U546" s="10">
        <v>209</v>
      </c>
      <c r="V546" s="10">
        <v>116</v>
      </c>
      <c r="W546" s="10">
        <v>34</v>
      </c>
      <c r="X546" s="10">
        <v>261</v>
      </c>
      <c r="Y546" s="10">
        <v>21</v>
      </c>
      <c r="Z546" s="10">
        <v>203</v>
      </c>
      <c r="AA546" s="10">
        <v>0.60699999999999998</v>
      </c>
      <c r="AB546" s="10">
        <v>199</v>
      </c>
      <c r="AC546" s="10">
        <v>188</v>
      </c>
      <c r="AD546" s="10">
        <v>62</v>
      </c>
      <c r="AE546" s="10">
        <v>9</v>
      </c>
      <c r="AF546" s="10">
        <v>10.6</v>
      </c>
      <c r="AG546" s="9" t="s">
        <v>169</v>
      </c>
      <c r="AH546" s="9" t="s">
        <v>185</v>
      </c>
      <c r="AI546" s="10"/>
      <c r="AJ546" s="10"/>
      <c r="AK546" s="30"/>
    </row>
    <row r="547" spans="5:37">
      <c r="E547" s="28" t="s">
        <v>155</v>
      </c>
      <c r="F547" s="8" t="s">
        <v>218</v>
      </c>
      <c r="G547" s="9" t="s">
        <v>250</v>
      </c>
      <c r="H547" s="10">
        <v>179</v>
      </c>
      <c r="I547" s="9" t="s">
        <v>158</v>
      </c>
      <c r="J547" s="10">
        <v>179</v>
      </c>
      <c r="K547" s="10">
        <v>177.3</v>
      </c>
      <c r="L547" s="10">
        <v>127</v>
      </c>
      <c r="M547" s="10">
        <v>138</v>
      </c>
      <c r="N547" s="10">
        <v>137</v>
      </c>
      <c r="O547" s="10">
        <v>106</v>
      </c>
      <c r="P547" s="10">
        <v>121</v>
      </c>
      <c r="Q547" s="10">
        <v>19</v>
      </c>
      <c r="R547" s="10">
        <v>2005</v>
      </c>
      <c r="S547" s="10">
        <v>1.02</v>
      </c>
      <c r="T547" s="10">
        <v>2052</v>
      </c>
      <c r="U547" s="10">
        <v>264</v>
      </c>
      <c r="V547" s="10">
        <v>137</v>
      </c>
      <c r="W547" s="10">
        <v>47</v>
      </c>
      <c r="X547" s="10">
        <v>287</v>
      </c>
      <c r="Y547" s="10">
        <v>23</v>
      </c>
      <c r="Z547" s="10">
        <v>220</v>
      </c>
      <c r="AA547" s="10">
        <v>0.499</v>
      </c>
      <c r="AB547" s="10">
        <v>202</v>
      </c>
      <c r="AC547" s="10">
        <v>188</v>
      </c>
      <c r="AD547" s="10">
        <v>86</v>
      </c>
      <c r="AE547" s="10">
        <v>9</v>
      </c>
      <c r="AF547" s="10">
        <v>11.8</v>
      </c>
      <c r="AG547" s="9" t="s">
        <v>169</v>
      </c>
      <c r="AH547" s="10"/>
      <c r="AI547" s="10"/>
      <c r="AJ547" s="10"/>
      <c r="AK547" s="30"/>
    </row>
    <row r="548" spans="5:37">
      <c r="E548" s="28" t="s">
        <v>155</v>
      </c>
      <c r="F548" s="8" t="s">
        <v>218</v>
      </c>
      <c r="G548" s="9" t="s">
        <v>250</v>
      </c>
      <c r="H548" s="10">
        <v>184</v>
      </c>
      <c r="I548" s="9" t="s">
        <v>158</v>
      </c>
      <c r="J548" s="10">
        <v>184</v>
      </c>
      <c r="K548" s="10">
        <v>183.7</v>
      </c>
      <c r="L548" s="10">
        <v>126</v>
      </c>
      <c r="M548" s="10">
        <v>143</v>
      </c>
      <c r="N548" s="10">
        <v>138</v>
      </c>
      <c r="O548" s="10">
        <v>106</v>
      </c>
      <c r="P548" s="10">
        <v>121</v>
      </c>
      <c r="Q548" s="10">
        <v>19.100000000000001</v>
      </c>
      <c r="R548" s="10">
        <v>2040</v>
      </c>
      <c r="S548" s="10">
        <v>1.04</v>
      </c>
      <c r="T548" s="10">
        <v>2125</v>
      </c>
      <c r="U548" s="10">
        <v>254</v>
      </c>
      <c r="V548" s="10">
        <v>139</v>
      </c>
      <c r="W548" s="10">
        <v>54</v>
      </c>
      <c r="X548" s="10">
        <v>330</v>
      </c>
      <c r="Y548" s="10">
        <v>27</v>
      </c>
      <c r="Z548" s="10">
        <v>248</v>
      </c>
      <c r="AA548" s="10">
        <v>0.501</v>
      </c>
      <c r="AB548" s="10">
        <v>214</v>
      </c>
      <c r="AC548" s="10">
        <v>196</v>
      </c>
      <c r="AD548" s="10">
        <v>116</v>
      </c>
      <c r="AE548" s="10">
        <v>9</v>
      </c>
      <c r="AF548" s="10">
        <v>10.8</v>
      </c>
      <c r="AG548" s="9" t="s">
        <v>169</v>
      </c>
      <c r="AH548" s="10"/>
      <c r="AI548" s="10"/>
      <c r="AJ548" s="10"/>
      <c r="AK548" s="30"/>
    </row>
    <row r="549" spans="5:37">
      <c r="E549" s="28" t="s">
        <v>155</v>
      </c>
      <c r="F549" s="8" t="s">
        <v>218</v>
      </c>
      <c r="G549" s="9" t="s">
        <v>273</v>
      </c>
      <c r="H549" s="10">
        <v>168</v>
      </c>
      <c r="I549" s="9" t="s">
        <v>158</v>
      </c>
      <c r="J549" s="10">
        <v>168</v>
      </c>
      <c r="K549" s="10">
        <v>166.6</v>
      </c>
      <c r="L549" s="10">
        <v>98</v>
      </c>
      <c r="M549" s="10">
        <v>112</v>
      </c>
      <c r="N549" s="10">
        <v>136</v>
      </c>
      <c r="O549" s="10">
        <v>112</v>
      </c>
      <c r="P549" s="10">
        <v>124</v>
      </c>
      <c r="Q549" s="10">
        <v>15.2</v>
      </c>
      <c r="R549" s="10">
        <v>1732</v>
      </c>
      <c r="S549" s="10">
        <v>1.1499999999999999</v>
      </c>
      <c r="T549" s="10">
        <v>1985</v>
      </c>
      <c r="U549" s="10">
        <v>154</v>
      </c>
      <c r="V549" s="10">
        <v>96</v>
      </c>
      <c r="W549" s="10">
        <v>59</v>
      </c>
      <c r="X549" s="10">
        <v>395</v>
      </c>
      <c r="Y549" s="10">
        <v>32</v>
      </c>
      <c r="Z549" s="10">
        <v>287</v>
      </c>
      <c r="AA549" s="10">
        <v>0.54300000000000004</v>
      </c>
      <c r="AB549" s="10">
        <v>306</v>
      </c>
      <c r="AC549" s="10">
        <v>243</v>
      </c>
      <c r="AD549" s="10">
        <v>89</v>
      </c>
      <c r="AE549" s="10">
        <v>6</v>
      </c>
      <c r="AF549" s="10">
        <v>14</v>
      </c>
      <c r="AG549" s="9" t="s">
        <v>169</v>
      </c>
      <c r="AH549" s="9" t="s">
        <v>185</v>
      </c>
      <c r="AI549" s="10"/>
      <c r="AJ549" s="10"/>
      <c r="AK549" s="30"/>
    </row>
    <row r="550" spans="5:37">
      <c r="E550" s="28" t="s">
        <v>155</v>
      </c>
      <c r="F550" s="8" t="s">
        <v>218</v>
      </c>
      <c r="G550" s="9" t="s">
        <v>273</v>
      </c>
      <c r="H550" s="10">
        <v>178</v>
      </c>
      <c r="I550" s="9" t="s">
        <v>158</v>
      </c>
      <c r="J550" s="10">
        <v>178</v>
      </c>
      <c r="K550" s="10">
        <v>176.7</v>
      </c>
      <c r="L550" s="10">
        <v>105</v>
      </c>
      <c r="M550" s="10">
        <v>124</v>
      </c>
      <c r="N550" s="10">
        <v>138</v>
      </c>
      <c r="O550" s="10">
        <v>112</v>
      </c>
      <c r="P550" s="10">
        <v>126</v>
      </c>
      <c r="Q550" s="10">
        <v>15.7</v>
      </c>
      <c r="R550" s="10">
        <v>1887</v>
      </c>
      <c r="S550" s="10">
        <v>1.1299999999999999</v>
      </c>
      <c r="T550" s="10">
        <v>2127</v>
      </c>
      <c r="U550" s="10">
        <v>187</v>
      </c>
      <c r="V550" s="10">
        <v>110</v>
      </c>
      <c r="W550" s="10">
        <v>63</v>
      </c>
      <c r="X550" s="10">
        <v>411</v>
      </c>
      <c r="Y550" s="10">
        <v>34</v>
      </c>
      <c r="Z550" s="10">
        <v>303</v>
      </c>
      <c r="AA550" s="10">
        <v>0.54200000000000004</v>
      </c>
      <c r="AB550" s="10">
        <v>322</v>
      </c>
      <c r="AC550" s="10">
        <v>201</v>
      </c>
      <c r="AD550" s="10">
        <v>89</v>
      </c>
      <c r="AE550" s="10">
        <v>6</v>
      </c>
      <c r="AF550" s="10">
        <v>14.8</v>
      </c>
      <c r="AG550" s="9" t="s">
        <v>169</v>
      </c>
      <c r="AH550" s="9" t="s">
        <v>185</v>
      </c>
      <c r="AI550" s="10"/>
      <c r="AJ550" s="10"/>
      <c r="AK550" s="30"/>
    </row>
    <row r="551" spans="5:37">
      <c r="E551" s="28" t="s">
        <v>155</v>
      </c>
      <c r="F551" s="8" t="s">
        <v>218</v>
      </c>
      <c r="G551" s="9" t="s">
        <v>273</v>
      </c>
      <c r="H551" s="10">
        <v>184</v>
      </c>
      <c r="I551" s="9" t="s">
        <v>158</v>
      </c>
      <c r="J551" s="10">
        <v>184</v>
      </c>
      <c r="K551" s="10">
        <v>182.6</v>
      </c>
      <c r="L551" s="10">
        <v>109</v>
      </c>
      <c r="M551" s="10">
        <v>125</v>
      </c>
      <c r="N551" s="10">
        <v>140</v>
      </c>
      <c r="O551" s="10">
        <v>112</v>
      </c>
      <c r="P551" s="10">
        <v>127</v>
      </c>
      <c r="Q551" s="10">
        <v>15.5</v>
      </c>
      <c r="R551" s="10">
        <v>2062</v>
      </c>
      <c r="S551" s="10">
        <v>1.07</v>
      </c>
      <c r="T551" s="10">
        <v>2207</v>
      </c>
      <c r="U551" s="10">
        <v>267</v>
      </c>
      <c r="V551" s="10">
        <v>128</v>
      </c>
      <c r="W551" s="10">
        <v>77</v>
      </c>
      <c r="X551" s="10">
        <v>424</v>
      </c>
      <c r="Y551" s="10">
        <v>34</v>
      </c>
      <c r="Z551" s="10">
        <v>316</v>
      </c>
      <c r="AA551" s="10">
        <v>0.44400000000000001</v>
      </c>
      <c r="AB551" s="10">
        <v>310</v>
      </c>
      <c r="AC551" s="10">
        <v>270</v>
      </c>
      <c r="AD551" s="10">
        <v>114</v>
      </c>
      <c r="AE551" s="10">
        <v>4</v>
      </c>
      <c r="AF551" s="10">
        <v>13.5</v>
      </c>
      <c r="AG551" s="9" t="s">
        <v>169</v>
      </c>
      <c r="AH551" s="9" t="s">
        <v>185</v>
      </c>
      <c r="AI551" s="10"/>
      <c r="AJ551" s="10"/>
      <c r="AK551" s="30"/>
    </row>
    <row r="552" spans="5:37">
      <c r="E552" s="28" t="s">
        <v>155</v>
      </c>
      <c r="F552" s="8" t="s">
        <v>218</v>
      </c>
      <c r="G552" s="9" t="s">
        <v>273</v>
      </c>
      <c r="H552" s="10">
        <v>189</v>
      </c>
      <c r="I552" s="9" t="s">
        <v>158</v>
      </c>
      <c r="J552" s="10">
        <v>189</v>
      </c>
      <c r="K552" s="10">
        <v>187.8</v>
      </c>
      <c r="L552" s="10">
        <v>121</v>
      </c>
      <c r="M552" s="10">
        <v>131</v>
      </c>
      <c r="N552" s="10">
        <v>141</v>
      </c>
      <c r="O552" s="10">
        <v>111</v>
      </c>
      <c r="P552" s="10">
        <v>127</v>
      </c>
      <c r="Q552" s="10">
        <v>15.3</v>
      </c>
      <c r="R552" s="10">
        <v>2131</v>
      </c>
      <c r="S552" s="10">
        <v>1.07</v>
      </c>
      <c r="T552" s="10">
        <v>2278</v>
      </c>
      <c r="U552" s="10">
        <v>315</v>
      </c>
      <c r="V552" s="10">
        <v>138</v>
      </c>
      <c r="W552" s="10">
        <v>67</v>
      </c>
      <c r="X552" s="10">
        <v>392</v>
      </c>
      <c r="Y552" s="10">
        <v>28</v>
      </c>
      <c r="Z552" s="10">
        <v>279</v>
      </c>
      <c r="AA552" s="10">
        <v>0.42</v>
      </c>
      <c r="AB552" s="10">
        <v>292</v>
      </c>
      <c r="AC552" s="10">
        <v>279</v>
      </c>
      <c r="AD552" s="10">
        <v>100</v>
      </c>
      <c r="AE552" s="10">
        <v>7</v>
      </c>
      <c r="AF552" s="10">
        <v>12.6</v>
      </c>
      <c r="AG552" s="9" t="s">
        <v>169</v>
      </c>
      <c r="AH552" s="9" t="s">
        <v>185</v>
      </c>
      <c r="AI552" s="10"/>
      <c r="AJ552" s="10"/>
      <c r="AK552" s="30"/>
    </row>
    <row r="553" spans="5:37">
      <c r="E553" s="28" t="s">
        <v>155</v>
      </c>
      <c r="F553" s="8" t="s">
        <v>218</v>
      </c>
      <c r="G553" s="9" t="s">
        <v>254</v>
      </c>
      <c r="H553" s="10">
        <v>157</v>
      </c>
      <c r="I553" s="9" t="s">
        <v>158</v>
      </c>
      <c r="J553" s="10">
        <v>157</v>
      </c>
      <c r="K553" s="10">
        <v>156.80000000000001</v>
      </c>
      <c r="L553" s="10">
        <v>118</v>
      </c>
      <c r="M553" s="10">
        <v>121</v>
      </c>
      <c r="N553" s="10">
        <v>125</v>
      </c>
      <c r="O553" s="10">
        <v>100</v>
      </c>
      <c r="P553" s="10">
        <v>111</v>
      </c>
      <c r="Q553" s="10">
        <v>18.8</v>
      </c>
      <c r="R553" s="10">
        <v>1559</v>
      </c>
      <c r="S553" s="10">
        <v>1.08</v>
      </c>
      <c r="T553" s="10">
        <v>1683</v>
      </c>
      <c r="U553" s="10">
        <v>175</v>
      </c>
      <c r="V553" s="10">
        <v>104</v>
      </c>
      <c r="W553" s="10">
        <v>35</v>
      </c>
      <c r="X553" s="10">
        <v>223</v>
      </c>
      <c r="Y553" s="10">
        <v>18</v>
      </c>
      <c r="Z553" s="10">
        <v>169</v>
      </c>
      <c r="AA553" s="10">
        <v>0.50800000000000001</v>
      </c>
      <c r="AB553" s="10">
        <v>170</v>
      </c>
      <c r="AC553" s="10">
        <v>184</v>
      </c>
      <c r="AD553" s="10">
        <v>53</v>
      </c>
      <c r="AE553" s="10">
        <v>7</v>
      </c>
      <c r="AF553" s="10">
        <v>10.199999999999999</v>
      </c>
      <c r="AG553" s="9" t="s">
        <v>188</v>
      </c>
      <c r="AH553" s="9" t="s">
        <v>185</v>
      </c>
      <c r="AI553" s="10"/>
      <c r="AJ553" s="10"/>
      <c r="AK553" s="30"/>
    </row>
    <row r="554" spans="5:37">
      <c r="E554" s="28" t="s">
        <v>155</v>
      </c>
      <c r="F554" s="8" t="s">
        <v>218</v>
      </c>
      <c r="G554" s="9" t="s">
        <v>254</v>
      </c>
      <c r="H554" s="10">
        <v>165</v>
      </c>
      <c r="I554" s="9" t="s">
        <v>158</v>
      </c>
      <c r="J554" s="10">
        <v>165</v>
      </c>
      <c r="K554" s="10">
        <v>164.5</v>
      </c>
      <c r="L554" s="10">
        <v>123</v>
      </c>
      <c r="M554" s="10">
        <v>128</v>
      </c>
      <c r="N554" s="10">
        <v>127</v>
      </c>
      <c r="O554" s="10">
        <v>100</v>
      </c>
      <c r="P554" s="10">
        <v>112</v>
      </c>
      <c r="Q554" s="10">
        <v>18.899999999999999</v>
      </c>
      <c r="R554" s="10">
        <v>1732</v>
      </c>
      <c r="S554" s="10">
        <v>1.03</v>
      </c>
      <c r="T554" s="10">
        <v>1777</v>
      </c>
      <c r="U554" s="10">
        <v>183</v>
      </c>
      <c r="V554" s="10">
        <v>117</v>
      </c>
      <c r="W554" s="10">
        <v>39</v>
      </c>
      <c r="X554" s="10">
        <v>238</v>
      </c>
      <c r="Y554" s="10">
        <v>19</v>
      </c>
      <c r="Z554" s="10">
        <v>180</v>
      </c>
      <c r="AA554" s="10">
        <v>0.48</v>
      </c>
      <c r="AB554" s="10">
        <v>186</v>
      </c>
      <c r="AC554" s="10">
        <v>183</v>
      </c>
      <c r="AD554" s="10">
        <v>52</v>
      </c>
      <c r="AE554" s="10">
        <v>6</v>
      </c>
      <c r="AF554" s="10">
        <v>10.4</v>
      </c>
      <c r="AG554" s="9" t="s">
        <v>188</v>
      </c>
      <c r="AH554" s="10"/>
      <c r="AI554" s="10"/>
      <c r="AJ554" s="10"/>
      <c r="AK554" s="30"/>
    </row>
    <row r="555" spans="5:37">
      <c r="E555" s="28" t="s">
        <v>155</v>
      </c>
      <c r="F555" s="8" t="s">
        <v>218</v>
      </c>
      <c r="G555" s="9" t="s">
        <v>254</v>
      </c>
      <c r="H555" s="10">
        <v>171</v>
      </c>
      <c r="I555" s="9" t="s">
        <v>158</v>
      </c>
      <c r="J555" s="10">
        <v>171</v>
      </c>
      <c r="K555" s="10">
        <v>170.9</v>
      </c>
      <c r="L555" s="10">
        <v>127</v>
      </c>
      <c r="M555" s="10">
        <v>135</v>
      </c>
      <c r="N555" s="10">
        <v>128</v>
      </c>
      <c r="O555" s="10">
        <v>99</v>
      </c>
      <c r="P555" s="10">
        <v>115</v>
      </c>
      <c r="Q555" s="10">
        <v>19.399999999999999</v>
      </c>
      <c r="R555" s="10">
        <v>1793</v>
      </c>
      <c r="S555" s="10">
        <v>1.03</v>
      </c>
      <c r="T555" s="10">
        <v>1849</v>
      </c>
      <c r="U555" s="10">
        <v>192</v>
      </c>
      <c r="V555" s="10">
        <v>106</v>
      </c>
      <c r="W555" s="10">
        <v>43</v>
      </c>
      <c r="X555" s="10">
        <v>252</v>
      </c>
      <c r="Y555" s="10">
        <v>21</v>
      </c>
      <c r="Z555" s="10">
        <v>184</v>
      </c>
      <c r="AA555" s="10">
        <v>0.48799999999999999</v>
      </c>
      <c r="AB555" s="10">
        <v>185</v>
      </c>
      <c r="AC555" s="10">
        <v>176</v>
      </c>
      <c r="AD555" s="10">
        <v>67</v>
      </c>
      <c r="AE555" s="10">
        <v>8</v>
      </c>
      <c r="AF555" s="10">
        <v>10.4</v>
      </c>
      <c r="AG555" s="9" t="s">
        <v>188</v>
      </c>
      <c r="AH555" s="10"/>
      <c r="AI555" s="10"/>
      <c r="AJ555" s="10"/>
      <c r="AK555" s="30"/>
    </row>
    <row r="556" spans="5:37">
      <c r="E556" s="28" t="s">
        <v>155</v>
      </c>
      <c r="F556" s="8" t="s">
        <v>218</v>
      </c>
      <c r="G556" s="9" t="s">
        <v>254</v>
      </c>
      <c r="H556" s="10">
        <v>179</v>
      </c>
      <c r="I556" s="9" t="s">
        <v>158</v>
      </c>
      <c r="J556" s="10">
        <v>179</v>
      </c>
      <c r="K556" s="10">
        <v>177.7</v>
      </c>
      <c r="L556" s="10">
        <v>132</v>
      </c>
      <c r="M556" s="10">
        <v>142</v>
      </c>
      <c r="N556" s="10">
        <v>132</v>
      </c>
      <c r="O556" s="10">
        <v>100</v>
      </c>
      <c r="P556" s="10">
        <v>115</v>
      </c>
      <c r="Q556" s="10">
        <v>19.600000000000001</v>
      </c>
      <c r="R556" s="10">
        <v>1975</v>
      </c>
      <c r="S556" s="10">
        <v>0.99</v>
      </c>
      <c r="T556" s="10">
        <v>1953</v>
      </c>
      <c r="U556" s="10">
        <v>251</v>
      </c>
      <c r="V556" s="10">
        <v>143</v>
      </c>
      <c r="W556" s="10">
        <v>47</v>
      </c>
      <c r="X556" s="10">
        <v>267</v>
      </c>
      <c r="Y556" s="10">
        <v>18</v>
      </c>
      <c r="Z556" s="10">
        <v>190</v>
      </c>
      <c r="AA556" s="10">
        <v>0.38700000000000001</v>
      </c>
      <c r="AB556" s="10">
        <v>189</v>
      </c>
      <c r="AC556" s="10">
        <v>173</v>
      </c>
      <c r="AD556" s="10">
        <v>78</v>
      </c>
      <c r="AE556" s="10">
        <v>7</v>
      </c>
      <c r="AF556" s="10">
        <v>11.3</v>
      </c>
      <c r="AG556" s="9" t="s">
        <v>188</v>
      </c>
      <c r="AH556" s="10"/>
      <c r="AI556" s="10"/>
      <c r="AJ556" s="10"/>
      <c r="AK556" s="30"/>
    </row>
    <row r="557" spans="5:37">
      <c r="E557" s="28" t="s">
        <v>155</v>
      </c>
      <c r="F557" s="8" t="s">
        <v>218</v>
      </c>
      <c r="G557" s="9" t="s">
        <v>254</v>
      </c>
      <c r="H557" s="10">
        <v>184</v>
      </c>
      <c r="I557" s="9" t="s">
        <v>158</v>
      </c>
      <c r="J557" s="10">
        <v>184</v>
      </c>
      <c r="K557" s="10">
        <v>183.4</v>
      </c>
      <c r="L557" s="10">
        <v>133</v>
      </c>
      <c r="M557" s="10">
        <v>146</v>
      </c>
      <c r="N557" s="10">
        <v>132</v>
      </c>
      <c r="O557" s="10">
        <v>100</v>
      </c>
      <c r="P557" s="10">
        <v>116</v>
      </c>
      <c r="Q557" s="10">
        <v>19.2</v>
      </c>
      <c r="R557" s="10">
        <v>2074</v>
      </c>
      <c r="S557" s="10">
        <v>0.97</v>
      </c>
      <c r="T557" s="10">
        <v>2019</v>
      </c>
      <c r="U557" s="10">
        <v>249</v>
      </c>
      <c r="V557" s="10">
        <v>138</v>
      </c>
      <c r="W557" s="10">
        <v>54</v>
      </c>
      <c r="X557" s="10">
        <v>278</v>
      </c>
      <c r="Y557" s="10">
        <v>24</v>
      </c>
      <c r="Z557" s="10">
        <v>223</v>
      </c>
      <c r="AA557" s="10">
        <v>0.45100000000000001</v>
      </c>
      <c r="AB557" s="10">
        <v>181</v>
      </c>
      <c r="AC557" s="10">
        <v>189</v>
      </c>
      <c r="AD557" s="10">
        <v>96</v>
      </c>
      <c r="AE557" s="10">
        <v>7</v>
      </c>
      <c r="AF557" s="10">
        <v>10.8</v>
      </c>
      <c r="AG557" s="9" t="s">
        <v>188</v>
      </c>
      <c r="AH557" s="10"/>
      <c r="AI557" s="10"/>
      <c r="AJ557" s="10"/>
      <c r="AK557" s="30"/>
    </row>
    <row r="558" spans="5:37">
      <c r="E558" s="28" t="s">
        <v>155</v>
      </c>
      <c r="F558" s="8" t="s">
        <v>218</v>
      </c>
      <c r="G558" s="9" t="s">
        <v>387</v>
      </c>
      <c r="H558" s="10">
        <v>171</v>
      </c>
      <c r="I558" s="9" t="s">
        <v>158</v>
      </c>
      <c r="J558" s="10">
        <v>171</v>
      </c>
      <c r="K558" s="10">
        <v>169.2</v>
      </c>
      <c r="L558" s="10">
        <v>124</v>
      </c>
      <c r="M558" s="10">
        <v>130</v>
      </c>
      <c r="N558" s="10">
        <v>122</v>
      </c>
      <c r="O558" s="10">
        <v>90</v>
      </c>
      <c r="P558" s="10">
        <v>107</v>
      </c>
      <c r="Q558" s="10">
        <v>15</v>
      </c>
      <c r="R558" s="10">
        <v>1643</v>
      </c>
      <c r="S558" s="10">
        <v>1.04</v>
      </c>
      <c r="T558" s="10">
        <v>1714</v>
      </c>
      <c r="U558" s="10">
        <v>217</v>
      </c>
      <c r="V558" s="10">
        <v>112</v>
      </c>
      <c r="W558" s="10">
        <v>49</v>
      </c>
      <c r="X558" s="10">
        <v>310</v>
      </c>
      <c r="Y558" s="10">
        <v>7</v>
      </c>
      <c r="Z558" s="10">
        <v>140</v>
      </c>
      <c r="AA558" s="10">
        <v>0.14799999999999999</v>
      </c>
      <c r="AB558" s="10">
        <v>199</v>
      </c>
      <c r="AC558" s="10">
        <v>197</v>
      </c>
      <c r="AD558" s="10">
        <v>111</v>
      </c>
      <c r="AE558" s="10">
        <v>9</v>
      </c>
      <c r="AF558" s="10">
        <v>11.8</v>
      </c>
      <c r="AG558" s="9" t="s">
        <v>188</v>
      </c>
      <c r="AH558" s="10"/>
      <c r="AI558" s="10"/>
      <c r="AJ558" s="10"/>
      <c r="AK558" s="30"/>
    </row>
    <row r="559" spans="5:37">
      <c r="E559" s="28" t="s">
        <v>155</v>
      </c>
      <c r="F559" s="8" t="s">
        <v>218</v>
      </c>
      <c r="G559" s="9" t="s">
        <v>387</v>
      </c>
      <c r="H559" s="10">
        <v>179</v>
      </c>
      <c r="I559" s="9" t="s">
        <v>158</v>
      </c>
      <c r="J559" s="10">
        <v>179</v>
      </c>
      <c r="K559" s="10">
        <v>178.4</v>
      </c>
      <c r="L559" s="10">
        <v>125</v>
      </c>
      <c r="M559" s="10">
        <v>137</v>
      </c>
      <c r="N559" s="10">
        <v>125</v>
      </c>
      <c r="O559" s="10">
        <v>90</v>
      </c>
      <c r="P559" s="10">
        <v>109</v>
      </c>
      <c r="Q559" s="10">
        <v>14.9</v>
      </c>
      <c r="R559" s="10">
        <v>1826</v>
      </c>
      <c r="S559" s="10">
        <v>1</v>
      </c>
      <c r="T559" s="10">
        <v>1819</v>
      </c>
      <c r="U559" s="10">
        <v>234</v>
      </c>
      <c r="V559" s="10">
        <v>110</v>
      </c>
      <c r="W559" s="10">
        <v>56</v>
      </c>
      <c r="X559" s="10">
        <v>336</v>
      </c>
      <c r="Y559" s="10">
        <v>11</v>
      </c>
      <c r="Z559" s="10">
        <v>194</v>
      </c>
      <c r="AA559" s="10">
        <v>0.19900000000000001</v>
      </c>
      <c r="AB559" s="10">
        <v>203</v>
      </c>
      <c r="AC559" s="10">
        <v>212</v>
      </c>
      <c r="AD559" s="10">
        <v>133</v>
      </c>
      <c r="AE559" s="10">
        <v>10</v>
      </c>
      <c r="AF559" s="10">
        <v>11.7</v>
      </c>
      <c r="AG559" s="9" t="s">
        <v>188</v>
      </c>
      <c r="AH559" s="10"/>
      <c r="AI559" s="10"/>
      <c r="AJ559" s="10"/>
      <c r="AK559" s="30"/>
    </row>
    <row r="560" spans="5:37">
      <c r="E560" s="28" t="s">
        <v>155</v>
      </c>
      <c r="F560" s="8" t="s">
        <v>218</v>
      </c>
      <c r="G560" s="9" t="s">
        <v>387</v>
      </c>
      <c r="H560" s="10">
        <v>184</v>
      </c>
      <c r="I560" s="9" t="s">
        <v>158</v>
      </c>
      <c r="J560" s="10">
        <v>184</v>
      </c>
      <c r="K560" s="10">
        <v>183.3</v>
      </c>
      <c r="L560" s="10">
        <v>131</v>
      </c>
      <c r="M560" s="10">
        <v>140</v>
      </c>
      <c r="N560" s="10">
        <v>127</v>
      </c>
      <c r="O560" s="10">
        <v>90</v>
      </c>
      <c r="P560" s="10">
        <v>110</v>
      </c>
      <c r="Q560" s="10">
        <v>14.9</v>
      </c>
      <c r="R560" s="10">
        <v>1885</v>
      </c>
      <c r="S560" s="10">
        <v>1</v>
      </c>
      <c r="T560" s="10">
        <v>1885</v>
      </c>
      <c r="U560" s="10">
        <v>245</v>
      </c>
      <c r="V560" s="10">
        <v>117</v>
      </c>
      <c r="W560" s="10">
        <v>58</v>
      </c>
      <c r="X560" s="10">
        <v>339</v>
      </c>
      <c r="Y560" s="10">
        <v>11</v>
      </c>
      <c r="Z560" s="10">
        <v>184</v>
      </c>
      <c r="AA560" s="10">
        <v>0.184</v>
      </c>
      <c r="AB560" s="10">
        <v>203</v>
      </c>
      <c r="AC560" s="10">
        <v>227</v>
      </c>
      <c r="AD560" s="10">
        <v>136</v>
      </c>
      <c r="AE560" s="10">
        <v>9</v>
      </c>
      <c r="AF560" s="10">
        <v>12</v>
      </c>
      <c r="AG560" s="9" t="s">
        <v>188</v>
      </c>
      <c r="AH560" s="10"/>
      <c r="AI560" s="10"/>
      <c r="AJ560" s="10"/>
      <c r="AK560" s="30"/>
    </row>
    <row r="561" spans="5:37">
      <c r="E561" s="28" t="s">
        <v>155</v>
      </c>
      <c r="F561" s="8" t="s">
        <v>218</v>
      </c>
      <c r="G561" s="9" t="s">
        <v>222</v>
      </c>
      <c r="H561" s="10">
        <v>153</v>
      </c>
      <c r="I561" s="9" t="s">
        <v>158</v>
      </c>
      <c r="J561" s="10">
        <v>153</v>
      </c>
      <c r="K561" s="10">
        <v>151.80000000000001</v>
      </c>
      <c r="L561" s="10">
        <v>103</v>
      </c>
      <c r="M561" s="10">
        <v>111</v>
      </c>
      <c r="N561" s="10">
        <v>124</v>
      </c>
      <c r="O561" s="10">
        <v>100</v>
      </c>
      <c r="P561" s="10">
        <v>112</v>
      </c>
      <c r="Q561" s="10">
        <v>14.9</v>
      </c>
      <c r="R561" s="10">
        <v>1170</v>
      </c>
      <c r="S561" s="10">
        <v>1.4</v>
      </c>
      <c r="T561" s="10">
        <v>1633</v>
      </c>
      <c r="U561" s="10">
        <v>143</v>
      </c>
      <c r="V561" s="10">
        <v>70</v>
      </c>
      <c r="W561" s="10">
        <v>33</v>
      </c>
      <c r="X561" s="10">
        <v>255</v>
      </c>
      <c r="Y561" s="10">
        <v>16</v>
      </c>
      <c r="Z561" s="10">
        <v>229</v>
      </c>
      <c r="AA561" s="10">
        <v>0.46600000000000003</v>
      </c>
      <c r="AB561" s="10">
        <v>215</v>
      </c>
      <c r="AC561" s="10">
        <v>188</v>
      </c>
      <c r="AD561" s="10">
        <v>40</v>
      </c>
      <c r="AE561" s="10">
        <v>6</v>
      </c>
      <c r="AF561" s="10">
        <v>11.5</v>
      </c>
      <c r="AG561" s="9" t="s">
        <v>185</v>
      </c>
      <c r="AH561" s="9" t="s">
        <v>198</v>
      </c>
      <c r="AI561" s="10"/>
      <c r="AJ561" s="10"/>
      <c r="AK561" s="30"/>
    </row>
    <row r="562" spans="5:37">
      <c r="E562" s="28" t="s">
        <v>155</v>
      </c>
      <c r="F562" s="8" t="s">
        <v>218</v>
      </c>
      <c r="G562" s="9" t="s">
        <v>222</v>
      </c>
      <c r="H562" s="10">
        <v>163</v>
      </c>
      <c r="I562" s="9" t="s">
        <v>158</v>
      </c>
      <c r="J562" s="10">
        <v>163</v>
      </c>
      <c r="K562" s="10">
        <v>161.4</v>
      </c>
      <c r="L562" s="10">
        <v>107</v>
      </c>
      <c r="M562" s="10">
        <v>121</v>
      </c>
      <c r="N562" s="10">
        <v>126</v>
      </c>
      <c r="O562" s="10">
        <v>100</v>
      </c>
      <c r="P562" s="10">
        <v>113</v>
      </c>
      <c r="Q562" s="10">
        <v>15.1</v>
      </c>
      <c r="R562" s="10">
        <v>1280</v>
      </c>
      <c r="S562" s="10">
        <v>1.37</v>
      </c>
      <c r="T562" s="10">
        <v>1755</v>
      </c>
      <c r="U562" s="10">
        <v>173</v>
      </c>
      <c r="V562" s="10">
        <v>79</v>
      </c>
      <c r="W562" s="10">
        <v>54</v>
      </c>
      <c r="X562" s="10">
        <v>325</v>
      </c>
      <c r="Y562" s="10">
        <v>11</v>
      </c>
      <c r="Z562" s="10">
        <v>215</v>
      </c>
      <c r="AA562" s="10">
        <v>0.2</v>
      </c>
      <c r="AB562" s="10">
        <v>221</v>
      </c>
      <c r="AC562" s="10">
        <v>188</v>
      </c>
      <c r="AD562" s="10">
        <v>104</v>
      </c>
      <c r="AE562" s="10">
        <v>7</v>
      </c>
      <c r="AF562" s="10">
        <v>11.8</v>
      </c>
      <c r="AG562" s="9" t="s">
        <v>185</v>
      </c>
      <c r="AH562" s="9" t="s">
        <v>198</v>
      </c>
      <c r="AI562" s="10"/>
      <c r="AJ562" s="10"/>
      <c r="AK562" s="30"/>
    </row>
    <row r="563" spans="5:37">
      <c r="E563" s="28" t="s">
        <v>155</v>
      </c>
      <c r="F563" s="8" t="s">
        <v>218</v>
      </c>
      <c r="G563" s="9" t="s">
        <v>222</v>
      </c>
      <c r="H563" s="10">
        <v>171</v>
      </c>
      <c r="I563" s="9" t="s">
        <v>158</v>
      </c>
      <c r="J563" s="10">
        <v>171</v>
      </c>
      <c r="K563" s="10">
        <v>169.5</v>
      </c>
      <c r="L563" s="10">
        <v>115</v>
      </c>
      <c r="M563" s="10">
        <v>125</v>
      </c>
      <c r="N563" s="10">
        <v>129</v>
      </c>
      <c r="O563" s="10">
        <v>100</v>
      </c>
      <c r="P563" s="10">
        <v>115</v>
      </c>
      <c r="Q563" s="10">
        <v>15</v>
      </c>
      <c r="R563" s="10">
        <v>1431</v>
      </c>
      <c r="S563" s="10">
        <v>1.3</v>
      </c>
      <c r="T563" s="10">
        <v>1861</v>
      </c>
      <c r="U563" s="10">
        <v>203</v>
      </c>
      <c r="V563" s="10">
        <v>94</v>
      </c>
      <c r="W563" s="10">
        <v>57</v>
      </c>
      <c r="X563" s="10">
        <v>332</v>
      </c>
      <c r="Y563" s="10">
        <v>12</v>
      </c>
      <c r="Z563" s="10">
        <v>210</v>
      </c>
      <c r="AA563" s="10">
        <v>0.20899999999999999</v>
      </c>
      <c r="AB563" s="10">
        <v>230</v>
      </c>
      <c r="AC563" s="10">
        <v>213</v>
      </c>
      <c r="AD563" s="10">
        <v>102</v>
      </c>
      <c r="AE563" s="10">
        <v>6</v>
      </c>
      <c r="AF563" s="10">
        <v>11.9</v>
      </c>
      <c r="AG563" s="9" t="s">
        <v>185</v>
      </c>
      <c r="AH563" s="9" t="s">
        <v>198</v>
      </c>
      <c r="AI563" s="10"/>
      <c r="AJ563" s="10"/>
      <c r="AK563" s="30"/>
    </row>
    <row r="564" spans="5:37">
      <c r="E564" s="28" t="s">
        <v>155</v>
      </c>
      <c r="F564" s="8" t="s">
        <v>218</v>
      </c>
      <c r="G564" s="9" t="s">
        <v>222</v>
      </c>
      <c r="H564" s="10">
        <v>179</v>
      </c>
      <c r="I564" s="9" t="s">
        <v>158</v>
      </c>
      <c r="J564" s="10">
        <v>179</v>
      </c>
      <c r="K564" s="10">
        <v>177.4</v>
      </c>
      <c r="L564" s="10">
        <v>115</v>
      </c>
      <c r="M564" s="10">
        <v>132</v>
      </c>
      <c r="N564" s="10">
        <v>132</v>
      </c>
      <c r="O564" s="10">
        <v>99</v>
      </c>
      <c r="P564" s="10">
        <v>117</v>
      </c>
      <c r="Q564" s="10">
        <v>15</v>
      </c>
      <c r="R564" s="10">
        <v>1545</v>
      </c>
      <c r="S564" s="10">
        <v>1.27</v>
      </c>
      <c r="T564" s="10">
        <v>1968</v>
      </c>
      <c r="U564" s="10">
        <v>235</v>
      </c>
      <c r="V564" s="10">
        <v>111</v>
      </c>
      <c r="W564" s="10">
        <v>62</v>
      </c>
      <c r="X564" s="10">
        <v>354</v>
      </c>
      <c r="Y564" s="10">
        <v>16</v>
      </c>
      <c r="Z564" s="10">
        <v>270</v>
      </c>
      <c r="AA564" s="10">
        <v>0.25600000000000001</v>
      </c>
      <c r="AB564" s="10">
        <v>231</v>
      </c>
      <c r="AC564" s="10">
        <v>222</v>
      </c>
      <c r="AD564" s="10">
        <v>123</v>
      </c>
      <c r="AE564" s="10">
        <v>6</v>
      </c>
      <c r="AF564" s="10">
        <v>12.2</v>
      </c>
      <c r="AG564" s="9" t="s">
        <v>188</v>
      </c>
      <c r="AH564" s="9" t="s">
        <v>185</v>
      </c>
      <c r="AI564" s="9" t="s">
        <v>198</v>
      </c>
      <c r="AJ564" s="10"/>
      <c r="AK564" s="30"/>
    </row>
    <row r="565" spans="5:37">
      <c r="E565" s="28" t="s">
        <v>155</v>
      </c>
      <c r="F565" s="8" t="s">
        <v>218</v>
      </c>
      <c r="G565" s="9" t="s">
        <v>222</v>
      </c>
      <c r="H565" s="10">
        <v>184</v>
      </c>
      <c r="I565" s="9" t="s">
        <v>158</v>
      </c>
      <c r="J565" s="10">
        <v>184</v>
      </c>
      <c r="K565" s="10">
        <v>182.4</v>
      </c>
      <c r="L565" s="10">
        <v>120</v>
      </c>
      <c r="M565" s="10">
        <v>134</v>
      </c>
      <c r="N565" s="10">
        <v>133</v>
      </c>
      <c r="O565" s="10">
        <v>99</v>
      </c>
      <c r="P565" s="10">
        <v>118</v>
      </c>
      <c r="Q565" s="10">
        <v>15</v>
      </c>
      <c r="R565" s="10">
        <v>1575</v>
      </c>
      <c r="S565" s="10">
        <v>1.29</v>
      </c>
      <c r="T565" s="10">
        <v>2033</v>
      </c>
      <c r="U565" s="10">
        <v>254</v>
      </c>
      <c r="V565" s="10">
        <v>123</v>
      </c>
      <c r="W565" s="10">
        <v>68</v>
      </c>
      <c r="X565" s="10">
        <v>372</v>
      </c>
      <c r="Y565" s="10">
        <v>16</v>
      </c>
      <c r="Z565" s="10">
        <v>256</v>
      </c>
      <c r="AA565" s="10">
        <v>0.23200000000000001</v>
      </c>
      <c r="AB565" s="10">
        <v>250</v>
      </c>
      <c r="AC565" s="10">
        <v>231</v>
      </c>
      <c r="AD565" s="10">
        <v>122</v>
      </c>
      <c r="AE565" s="10">
        <v>6</v>
      </c>
      <c r="AF565" s="10">
        <v>12.8</v>
      </c>
      <c r="AG565" s="9" t="s">
        <v>185</v>
      </c>
      <c r="AH565" s="9" t="s">
        <v>198</v>
      </c>
      <c r="AI565" s="10"/>
      <c r="AJ565" s="10"/>
      <c r="AK565" s="30"/>
    </row>
    <row r="566" spans="5:37">
      <c r="E566" s="28" t="s">
        <v>155</v>
      </c>
      <c r="F566" s="8" t="s">
        <v>218</v>
      </c>
      <c r="G566" s="9" t="s">
        <v>294</v>
      </c>
      <c r="H566" s="10">
        <v>158</v>
      </c>
      <c r="I566" s="9" t="s">
        <v>158</v>
      </c>
      <c r="J566" s="10">
        <v>158</v>
      </c>
      <c r="K566" s="10">
        <v>156.5</v>
      </c>
      <c r="L566" s="10">
        <v>91</v>
      </c>
      <c r="M566" s="10">
        <v>104</v>
      </c>
      <c r="N566" s="10">
        <v>133</v>
      </c>
      <c r="O566" s="10">
        <v>111</v>
      </c>
      <c r="P566" s="10">
        <v>121</v>
      </c>
      <c r="Q566" s="10">
        <v>15.2</v>
      </c>
      <c r="R566" s="10">
        <v>1294</v>
      </c>
      <c r="S566" s="10">
        <v>1.42</v>
      </c>
      <c r="T566" s="10">
        <v>1841</v>
      </c>
      <c r="U566" s="10">
        <v>153</v>
      </c>
      <c r="V566" s="10">
        <v>86</v>
      </c>
      <c r="W566" s="10">
        <v>62</v>
      </c>
      <c r="X566" s="10">
        <v>374</v>
      </c>
      <c r="Y566" s="10">
        <v>31</v>
      </c>
      <c r="Z566" s="10">
        <v>282</v>
      </c>
      <c r="AA566" s="10">
        <v>0.49099999999999999</v>
      </c>
      <c r="AB566" s="10">
        <v>312</v>
      </c>
      <c r="AC566" s="10">
        <v>212</v>
      </c>
      <c r="AD566" s="10">
        <v>62</v>
      </c>
      <c r="AE566" s="10">
        <v>4</v>
      </c>
      <c r="AF566" s="10">
        <v>13.5</v>
      </c>
      <c r="AG566" s="9" t="s">
        <v>169</v>
      </c>
      <c r="AH566" s="9" t="s">
        <v>185</v>
      </c>
      <c r="AI566" s="9" t="s">
        <v>198</v>
      </c>
      <c r="AJ566" s="10"/>
      <c r="AK566" s="30"/>
    </row>
    <row r="567" spans="5:37">
      <c r="E567" s="28" t="s">
        <v>155</v>
      </c>
      <c r="F567" s="8" t="s">
        <v>218</v>
      </c>
      <c r="G567" s="9" t="s">
        <v>294</v>
      </c>
      <c r="H567" s="10">
        <v>168</v>
      </c>
      <c r="I567" s="9" t="s">
        <v>158</v>
      </c>
      <c r="J567" s="10">
        <v>168</v>
      </c>
      <c r="K567" s="10">
        <v>166.2</v>
      </c>
      <c r="L567" s="10">
        <v>96</v>
      </c>
      <c r="M567" s="10">
        <v>112</v>
      </c>
      <c r="N567" s="10">
        <v>136</v>
      </c>
      <c r="O567" s="10">
        <v>112</v>
      </c>
      <c r="P567" s="10">
        <v>124</v>
      </c>
      <c r="Q567" s="10">
        <v>15.1</v>
      </c>
      <c r="R567" s="10">
        <v>1370</v>
      </c>
      <c r="S567" s="10">
        <v>1.45</v>
      </c>
      <c r="T567" s="10">
        <v>1988</v>
      </c>
      <c r="U567" s="10">
        <v>163</v>
      </c>
      <c r="V567" s="10">
        <v>79</v>
      </c>
      <c r="W567" s="10">
        <v>59</v>
      </c>
      <c r="X567" s="10">
        <v>398</v>
      </c>
      <c r="Y567" s="10">
        <v>32</v>
      </c>
      <c r="Z567" s="10">
        <v>303</v>
      </c>
      <c r="AA567" s="10">
        <v>0.54800000000000004</v>
      </c>
      <c r="AB567" s="10">
        <v>296</v>
      </c>
      <c r="AC567" s="10">
        <v>242</v>
      </c>
      <c r="AD567" s="10">
        <v>102</v>
      </c>
      <c r="AE567" s="10">
        <v>4</v>
      </c>
      <c r="AF567" s="10">
        <v>13.7</v>
      </c>
      <c r="AG567" s="9" t="s">
        <v>169</v>
      </c>
      <c r="AH567" s="9" t="s">
        <v>185</v>
      </c>
      <c r="AI567" s="9" t="s">
        <v>198</v>
      </c>
      <c r="AJ567" s="10"/>
      <c r="AK567" s="30"/>
    </row>
    <row r="568" spans="5:37">
      <c r="E568" s="28" t="s">
        <v>155</v>
      </c>
      <c r="F568" s="8" t="s">
        <v>218</v>
      </c>
      <c r="G568" s="9" t="s">
        <v>294</v>
      </c>
      <c r="H568" s="10">
        <v>178</v>
      </c>
      <c r="I568" s="9" t="s">
        <v>158</v>
      </c>
      <c r="J568" s="10">
        <v>178</v>
      </c>
      <c r="K568" s="10">
        <v>176.4</v>
      </c>
      <c r="L568" s="10">
        <v>94</v>
      </c>
      <c r="M568" s="10">
        <v>123</v>
      </c>
      <c r="N568" s="10">
        <v>139</v>
      </c>
      <c r="O568" s="10">
        <v>112</v>
      </c>
      <c r="P568" s="10">
        <v>126</v>
      </c>
      <c r="Q568" s="10">
        <v>15.3</v>
      </c>
      <c r="R568" s="10">
        <v>1572</v>
      </c>
      <c r="S568" s="10">
        <v>1.35</v>
      </c>
      <c r="T568" s="10">
        <v>2127</v>
      </c>
      <c r="U568" s="10">
        <v>211</v>
      </c>
      <c r="V568" s="10">
        <v>110</v>
      </c>
      <c r="W568" s="10">
        <v>62</v>
      </c>
      <c r="X568" s="10">
        <v>439</v>
      </c>
      <c r="Y568" s="10">
        <v>39</v>
      </c>
      <c r="Z568" s="10">
        <v>389</v>
      </c>
      <c r="AA568" s="10">
        <v>0.63100000000000001</v>
      </c>
      <c r="AB568" s="10">
        <v>290</v>
      </c>
      <c r="AC568" s="10">
        <v>248</v>
      </c>
      <c r="AD568" s="10">
        <v>149</v>
      </c>
      <c r="AE568" s="10">
        <v>3</v>
      </c>
      <c r="AF568" s="10">
        <v>14.6</v>
      </c>
      <c r="AG568" s="9" t="s">
        <v>169</v>
      </c>
      <c r="AH568" s="9" t="s">
        <v>185</v>
      </c>
      <c r="AI568" s="9" t="s">
        <v>198</v>
      </c>
      <c r="AJ568" s="10"/>
      <c r="AK568" s="30"/>
    </row>
    <row r="569" spans="5:37">
      <c r="E569" s="28" t="s">
        <v>155</v>
      </c>
      <c r="F569" s="8" t="s">
        <v>218</v>
      </c>
      <c r="G569" s="9" t="s">
        <v>294</v>
      </c>
      <c r="H569" s="10">
        <v>184</v>
      </c>
      <c r="I569" s="9" t="s">
        <v>158</v>
      </c>
      <c r="J569" s="10">
        <v>184</v>
      </c>
      <c r="K569" s="10">
        <v>182.2</v>
      </c>
      <c r="L569" s="10">
        <v>107</v>
      </c>
      <c r="M569" s="10">
        <v>125</v>
      </c>
      <c r="N569" s="10">
        <v>140</v>
      </c>
      <c r="O569" s="10">
        <v>112</v>
      </c>
      <c r="P569" s="10">
        <v>127</v>
      </c>
      <c r="Q569" s="10">
        <v>15.2</v>
      </c>
      <c r="R569" s="10">
        <v>1661</v>
      </c>
      <c r="S569" s="10">
        <v>1.33</v>
      </c>
      <c r="T569" s="10">
        <v>2209</v>
      </c>
      <c r="U569" s="10">
        <v>229</v>
      </c>
      <c r="V569" s="10">
        <v>112</v>
      </c>
      <c r="W569" s="10">
        <v>73</v>
      </c>
      <c r="X569" s="10">
        <v>422</v>
      </c>
      <c r="Y569" s="10">
        <v>34</v>
      </c>
      <c r="Z569" s="10">
        <v>330</v>
      </c>
      <c r="AA569" s="10">
        <v>0.46400000000000002</v>
      </c>
      <c r="AB569" s="10">
        <v>304</v>
      </c>
      <c r="AC569" s="10">
        <v>270</v>
      </c>
      <c r="AD569" s="10">
        <v>118</v>
      </c>
      <c r="AE569" s="10">
        <v>4</v>
      </c>
      <c r="AF569" s="10">
        <v>13.2</v>
      </c>
      <c r="AG569" s="9" t="s">
        <v>169</v>
      </c>
      <c r="AH569" s="9" t="s">
        <v>185</v>
      </c>
      <c r="AI569" s="9" t="s">
        <v>198</v>
      </c>
      <c r="AJ569" s="10"/>
      <c r="AK569" s="30"/>
    </row>
    <row r="570" spans="5:37">
      <c r="E570" s="28" t="s">
        <v>155</v>
      </c>
      <c r="F570" s="8" t="s">
        <v>329</v>
      </c>
      <c r="G570" s="9" t="s">
        <v>330</v>
      </c>
      <c r="H570" s="10">
        <v>173</v>
      </c>
      <c r="I570" s="9" t="s">
        <v>158</v>
      </c>
      <c r="J570" s="10">
        <v>173</v>
      </c>
      <c r="K570" s="10">
        <v>171.8</v>
      </c>
      <c r="L570" s="10">
        <v>109</v>
      </c>
      <c r="M570" s="10">
        <v>137</v>
      </c>
      <c r="N570" s="10">
        <v>133</v>
      </c>
      <c r="O570" s="10">
        <v>105</v>
      </c>
      <c r="P570" s="10">
        <v>123</v>
      </c>
      <c r="Q570" s="10">
        <v>18.7</v>
      </c>
      <c r="R570" s="10">
        <v>1538</v>
      </c>
      <c r="S570" s="10">
        <v>1.28</v>
      </c>
      <c r="T570" s="10">
        <v>1962</v>
      </c>
      <c r="U570" s="10">
        <v>211</v>
      </c>
      <c r="V570" s="10">
        <v>101</v>
      </c>
      <c r="W570" s="10">
        <v>70</v>
      </c>
      <c r="X570" s="10">
        <v>443</v>
      </c>
      <c r="Y570" s="10">
        <v>15</v>
      </c>
      <c r="Z570" s="10">
        <v>189</v>
      </c>
      <c r="AA570" s="10">
        <v>0.214</v>
      </c>
      <c r="AB570" s="10">
        <v>198</v>
      </c>
      <c r="AC570" s="10">
        <v>150</v>
      </c>
      <c r="AD570" s="10">
        <v>244</v>
      </c>
      <c r="AE570" s="10">
        <v>4</v>
      </c>
      <c r="AF570" s="10">
        <v>8</v>
      </c>
      <c r="AG570" s="9" t="s">
        <v>188</v>
      </c>
      <c r="AH570" s="9" t="s">
        <v>178</v>
      </c>
      <c r="AI570" s="9" t="s">
        <v>185</v>
      </c>
      <c r="AJ570" s="9" t="s">
        <v>198</v>
      </c>
      <c r="AK570" s="30"/>
    </row>
    <row r="571" spans="5:37">
      <c r="E571" s="28" t="s">
        <v>155</v>
      </c>
      <c r="F571" s="8" t="s">
        <v>329</v>
      </c>
      <c r="G571" s="9" t="s">
        <v>425</v>
      </c>
      <c r="H571" s="10">
        <v>170</v>
      </c>
      <c r="I571" s="9" t="s">
        <v>158</v>
      </c>
      <c r="J571" s="10">
        <v>170</v>
      </c>
      <c r="K571" s="10">
        <v>169</v>
      </c>
      <c r="L571" s="10">
        <v>108</v>
      </c>
      <c r="M571" s="10">
        <v>136</v>
      </c>
      <c r="N571" s="10">
        <v>123</v>
      </c>
      <c r="O571" s="10">
        <v>95</v>
      </c>
      <c r="P571" s="10">
        <v>112</v>
      </c>
      <c r="Q571" s="10">
        <v>17.2</v>
      </c>
      <c r="R571" s="10">
        <v>1326</v>
      </c>
      <c r="S571" s="10">
        <v>1.33</v>
      </c>
      <c r="T571" s="10">
        <v>1760</v>
      </c>
      <c r="U571" s="10">
        <v>154</v>
      </c>
      <c r="V571" s="10">
        <v>74</v>
      </c>
      <c r="W571" s="10">
        <v>62</v>
      </c>
      <c r="X571" s="10">
        <v>382</v>
      </c>
      <c r="Y571" s="10">
        <v>14</v>
      </c>
      <c r="Z571" s="10">
        <v>229</v>
      </c>
      <c r="AA571" s="10">
        <v>0.23300000000000001</v>
      </c>
      <c r="AB571" s="10">
        <v>172</v>
      </c>
      <c r="AC571" s="10">
        <v>155</v>
      </c>
      <c r="AD571" s="10">
        <v>210</v>
      </c>
      <c r="AE571" s="10">
        <v>3</v>
      </c>
      <c r="AF571" s="10">
        <v>8.6</v>
      </c>
      <c r="AG571" s="9" t="s">
        <v>185</v>
      </c>
      <c r="AH571" s="9" t="s">
        <v>198</v>
      </c>
      <c r="AI571" s="10"/>
      <c r="AJ571" s="10"/>
      <c r="AK571" s="30"/>
    </row>
    <row r="572" spans="5:37">
      <c r="E572" s="28" t="s">
        <v>155</v>
      </c>
      <c r="F572" s="8" t="s">
        <v>329</v>
      </c>
      <c r="G572" s="9" t="s">
        <v>425</v>
      </c>
      <c r="H572" s="10">
        <v>177</v>
      </c>
      <c r="I572" s="9" t="s">
        <v>158</v>
      </c>
      <c r="J572" s="10">
        <v>177</v>
      </c>
      <c r="K572" s="10">
        <v>175.8</v>
      </c>
      <c r="L572" s="10">
        <v>115</v>
      </c>
      <c r="M572" s="10">
        <v>142</v>
      </c>
      <c r="N572" s="10">
        <v>125</v>
      </c>
      <c r="O572" s="10">
        <v>96</v>
      </c>
      <c r="P572" s="10">
        <v>115</v>
      </c>
      <c r="Q572" s="10">
        <v>18.399999999999999</v>
      </c>
      <c r="R572" s="10">
        <v>1525</v>
      </c>
      <c r="S572" s="10">
        <v>1.22</v>
      </c>
      <c r="T572" s="10">
        <v>1867</v>
      </c>
      <c r="U572" s="10">
        <v>187</v>
      </c>
      <c r="V572" s="10">
        <v>92</v>
      </c>
      <c r="W572" s="10">
        <v>59</v>
      </c>
      <c r="X572" s="10">
        <v>442</v>
      </c>
      <c r="Y572" s="10">
        <v>13</v>
      </c>
      <c r="Z572" s="10">
        <v>167</v>
      </c>
      <c r="AA572" s="10">
        <v>0.224</v>
      </c>
      <c r="AB572" s="10">
        <v>183</v>
      </c>
      <c r="AC572" s="10">
        <v>151</v>
      </c>
      <c r="AD572" s="10">
        <v>259</v>
      </c>
      <c r="AE572" s="10">
        <v>3</v>
      </c>
      <c r="AF572" s="10">
        <v>8.5</v>
      </c>
      <c r="AG572" s="9" t="s">
        <v>188</v>
      </c>
      <c r="AH572" s="9" t="s">
        <v>185</v>
      </c>
      <c r="AI572" s="10"/>
      <c r="AJ572" s="10"/>
      <c r="AK572" s="30"/>
    </row>
    <row r="573" spans="5:37">
      <c r="E573" s="28" t="s">
        <v>155</v>
      </c>
      <c r="F573" s="8" t="s">
        <v>329</v>
      </c>
      <c r="G573" s="9" t="s">
        <v>570</v>
      </c>
      <c r="H573" s="10">
        <v>165</v>
      </c>
      <c r="I573" s="9" t="s">
        <v>158</v>
      </c>
      <c r="J573" s="10">
        <v>165</v>
      </c>
      <c r="K573" s="10">
        <v>162.9</v>
      </c>
      <c r="L573" s="10">
        <v>122</v>
      </c>
      <c r="M573" s="10">
        <v>140</v>
      </c>
      <c r="N573" s="10">
        <v>114</v>
      </c>
      <c r="O573" s="10">
        <v>78</v>
      </c>
      <c r="P573" s="10">
        <v>98</v>
      </c>
      <c r="Q573" s="10">
        <v>17.399999999999999</v>
      </c>
      <c r="R573" s="10">
        <v>1053</v>
      </c>
      <c r="S573" s="10">
        <v>1.37</v>
      </c>
      <c r="T573" s="10">
        <v>1440</v>
      </c>
      <c r="U573" s="10">
        <v>218</v>
      </c>
      <c r="V573" s="10">
        <v>73</v>
      </c>
      <c r="W573" s="10">
        <v>58</v>
      </c>
      <c r="X573" s="10">
        <v>258</v>
      </c>
      <c r="Y573" s="10">
        <v>12</v>
      </c>
      <c r="Z573" s="10">
        <v>152</v>
      </c>
      <c r="AA573" s="10">
        <v>0.19900000000000001</v>
      </c>
      <c r="AB573" s="10">
        <v>135</v>
      </c>
      <c r="AC573" s="10">
        <v>91</v>
      </c>
      <c r="AD573" s="10">
        <v>122</v>
      </c>
      <c r="AE573" s="10">
        <v>4</v>
      </c>
      <c r="AF573" s="10">
        <v>12.1</v>
      </c>
      <c r="AG573" s="9" t="s">
        <v>185</v>
      </c>
      <c r="AH573" s="9" t="s">
        <v>198</v>
      </c>
      <c r="AI573" s="10"/>
      <c r="AJ573" s="10"/>
      <c r="AK573" s="30"/>
    </row>
    <row r="574" spans="5:37">
      <c r="E574" s="28" t="s">
        <v>155</v>
      </c>
      <c r="F574" s="8" t="s">
        <v>329</v>
      </c>
      <c r="G574" s="9" t="s">
        <v>570</v>
      </c>
      <c r="H574" s="10">
        <v>172</v>
      </c>
      <c r="I574" s="9" t="s">
        <v>158</v>
      </c>
      <c r="J574" s="10">
        <v>172</v>
      </c>
      <c r="K574" s="10">
        <v>169.8</v>
      </c>
      <c r="L574" s="10">
        <v>132</v>
      </c>
      <c r="M574" s="10">
        <v>148</v>
      </c>
      <c r="N574" s="10">
        <v>115</v>
      </c>
      <c r="O574" s="10">
        <v>79</v>
      </c>
      <c r="P574" s="10">
        <v>99</v>
      </c>
      <c r="Q574" s="10">
        <v>19.2</v>
      </c>
      <c r="R574" s="10">
        <v>1127</v>
      </c>
      <c r="S574" s="10">
        <v>1.35</v>
      </c>
      <c r="T574" s="10">
        <v>1520</v>
      </c>
      <c r="U574" s="10">
        <v>261</v>
      </c>
      <c r="V574" s="10">
        <v>91</v>
      </c>
      <c r="W574" s="10">
        <v>53</v>
      </c>
      <c r="X574" s="10">
        <v>278</v>
      </c>
      <c r="Y574" s="10">
        <v>9</v>
      </c>
      <c r="Z574" s="10">
        <v>103</v>
      </c>
      <c r="AA574" s="10">
        <v>0.16600000000000001</v>
      </c>
      <c r="AB574" s="10">
        <v>134</v>
      </c>
      <c r="AC574" s="10">
        <v>86</v>
      </c>
      <c r="AD574" s="10">
        <v>144</v>
      </c>
      <c r="AE574" s="10">
        <v>5</v>
      </c>
      <c r="AF574" s="10">
        <v>12.6</v>
      </c>
      <c r="AG574" s="9" t="s">
        <v>185</v>
      </c>
      <c r="AH574" s="9" t="s">
        <v>198</v>
      </c>
      <c r="AI574" s="10"/>
      <c r="AJ574" s="10"/>
      <c r="AK574" s="30"/>
    </row>
    <row r="575" spans="5:37">
      <c r="E575" s="28" t="s">
        <v>155</v>
      </c>
      <c r="F575" s="8" t="s">
        <v>329</v>
      </c>
      <c r="G575" s="9" t="s">
        <v>570</v>
      </c>
      <c r="H575" s="10">
        <v>178</v>
      </c>
      <c r="I575" s="9" t="s">
        <v>158</v>
      </c>
      <c r="J575" s="10">
        <v>178</v>
      </c>
      <c r="K575" s="10">
        <v>175.8</v>
      </c>
      <c r="L575" s="10">
        <v>138</v>
      </c>
      <c r="M575" s="10">
        <v>153</v>
      </c>
      <c r="N575" s="10">
        <v>116</v>
      </c>
      <c r="O575" s="10">
        <v>80</v>
      </c>
      <c r="P575" s="10">
        <v>100</v>
      </c>
      <c r="Q575" s="10">
        <v>20.6</v>
      </c>
      <c r="R575" s="10">
        <v>1175</v>
      </c>
      <c r="S575" s="10">
        <v>1.35</v>
      </c>
      <c r="T575" s="10">
        <v>1590</v>
      </c>
      <c r="U575" s="10">
        <v>285</v>
      </c>
      <c r="V575" s="10">
        <v>102</v>
      </c>
      <c r="W575" s="10">
        <v>56</v>
      </c>
      <c r="X575" s="10">
        <v>280</v>
      </c>
      <c r="Y575" s="10">
        <v>9</v>
      </c>
      <c r="Z575" s="10">
        <v>95</v>
      </c>
      <c r="AA575" s="10">
        <v>0.16300000000000001</v>
      </c>
      <c r="AB575" s="10">
        <v>136</v>
      </c>
      <c r="AC575" s="10">
        <v>90</v>
      </c>
      <c r="AD575" s="10">
        <v>144</v>
      </c>
      <c r="AE575" s="10">
        <v>5</v>
      </c>
      <c r="AF575" s="10">
        <v>12.3</v>
      </c>
      <c r="AG575" s="9" t="s">
        <v>185</v>
      </c>
      <c r="AH575" s="9" t="s">
        <v>198</v>
      </c>
      <c r="AI575" s="10"/>
      <c r="AJ575" s="10"/>
      <c r="AK575" s="30"/>
    </row>
    <row r="576" spans="5:37">
      <c r="E576" s="28" t="s">
        <v>155</v>
      </c>
      <c r="F576" s="8" t="s">
        <v>329</v>
      </c>
      <c r="G576" s="9" t="s">
        <v>520</v>
      </c>
      <c r="H576" s="10">
        <v>158</v>
      </c>
      <c r="I576" s="9" t="s">
        <v>158</v>
      </c>
      <c r="J576" s="10">
        <v>158</v>
      </c>
      <c r="K576" s="10">
        <v>156</v>
      </c>
      <c r="L576" s="10">
        <v>110</v>
      </c>
      <c r="M576" s="10">
        <v>133</v>
      </c>
      <c r="N576" s="10">
        <v>120</v>
      </c>
      <c r="O576" s="10">
        <v>85</v>
      </c>
      <c r="P576" s="10">
        <v>108</v>
      </c>
      <c r="Q576" s="10">
        <v>14.9</v>
      </c>
      <c r="R576" s="10">
        <v>1056</v>
      </c>
      <c r="S576" s="10">
        <v>1.41</v>
      </c>
      <c r="T576" s="10">
        <v>1491</v>
      </c>
      <c r="U576" s="10">
        <v>204</v>
      </c>
      <c r="V576" s="10">
        <v>71</v>
      </c>
      <c r="W576" s="10">
        <v>54</v>
      </c>
      <c r="X576" s="10">
        <v>304</v>
      </c>
      <c r="Y576" s="10">
        <v>11</v>
      </c>
      <c r="Z576" s="10">
        <v>152</v>
      </c>
      <c r="AA576" s="10">
        <v>0.19700000000000001</v>
      </c>
      <c r="AB576" s="10">
        <v>137</v>
      </c>
      <c r="AC576" s="10">
        <v>90</v>
      </c>
      <c r="AD576" s="10">
        <v>168</v>
      </c>
      <c r="AE576" s="10">
        <v>5</v>
      </c>
      <c r="AF576" s="10">
        <v>12.3</v>
      </c>
      <c r="AG576" s="9" t="s">
        <v>185</v>
      </c>
      <c r="AH576" s="9" t="s">
        <v>198</v>
      </c>
      <c r="AI576" s="10"/>
      <c r="AJ576" s="10"/>
      <c r="AK576" s="30"/>
    </row>
    <row r="577" spans="5:37">
      <c r="E577" s="28" t="s">
        <v>155</v>
      </c>
      <c r="F577" s="8" t="s">
        <v>329</v>
      </c>
      <c r="G577" s="9" t="s">
        <v>520</v>
      </c>
      <c r="H577" s="10">
        <v>165</v>
      </c>
      <c r="I577" s="9" t="s">
        <v>158</v>
      </c>
      <c r="J577" s="10">
        <v>165</v>
      </c>
      <c r="K577" s="10">
        <v>163.1</v>
      </c>
      <c r="L577" s="10">
        <v>114</v>
      </c>
      <c r="M577" s="10">
        <v>140</v>
      </c>
      <c r="N577" s="10">
        <v>121</v>
      </c>
      <c r="O577" s="10">
        <v>86</v>
      </c>
      <c r="P577" s="10">
        <v>109</v>
      </c>
      <c r="Q577" s="10">
        <v>16.600000000000001</v>
      </c>
      <c r="R577" s="10">
        <v>1101</v>
      </c>
      <c r="S577" s="10">
        <v>1.43</v>
      </c>
      <c r="T577" s="10">
        <v>1571</v>
      </c>
      <c r="U577" s="10">
        <v>228</v>
      </c>
      <c r="V577" s="10">
        <v>77</v>
      </c>
      <c r="W577" s="10">
        <v>54</v>
      </c>
      <c r="X577" s="10">
        <v>318</v>
      </c>
      <c r="Y577" s="10">
        <v>12</v>
      </c>
      <c r="Z577" s="10">
        <v>168</v>
      </c>
      <c r="AA577" s="10">
        <v>0.22500000000000001</v>
      </c>
      <c r="AB577" s="10">
        <v>140</v>
      </c>
      <c r="AC577" s="10">
        <v>93</v>
      </c>
      <c r="AD577" s="10">
        <v>179</v>
      </c>
      <c r="AE577" s="10">
        <v>5</v>
      </c>
      <c r="AF577" s="10">
        <v>12.4</v>
      </c>
      <c r="AG577" s="9" t="s">
        <v>185</v>
      </c>
      <c r="AH577" s="9" t="s">
        <v>198</v>
      </c>
      <c r="AI577" s="10"/>
      <c r="AJ577" s="10"/>
      <c r="AK577" s="30"/>
    </row>
    <row r="578" spans="5:37">
      <c r="E578" s="28" t="s">
        <v>155</v>
      </c>
      <c r="F578" s="8" t="s">
        <v>329</v>
      </c>
      <c r="G578" s="9" t="s">
        <v>520</v>
      </c>
      <c r="H578" s="10">
        <v>172</v>
      </c>
      <c r="I578" s="9" t="s">
        <v>158</v>
      </c>
      <c r="J578" s="10">
        <v>172</v>
      </c>
      <c r="K578" s="10">
        <v>169.7</v>
      </c>
      <c r="L578" s="10">
        <v>117</v>
      </c>
      <c r="M578" s="10">
        <v>146</v>
      </c>
      <c r="N578" s="10">
        <v>122</v>
      </c>
      <c r="O578" s="10">
        <v>87</v>
      </c>
      <c r="P578" s="10">
        <v>110</v>
      </c>
      <c r="Q578" s="10">
        <v>18.100000000000001</v>
      </c>
      <c r="R578" s="10">
        <v>1186</v>
      </c>
      <c r="S578" s="10">
        <v>1.39</v>
      </c>
      <c r="T578" s="10">
        <v>1652</v>
      </c>
      <c r="U578" s="10">
        <v>256</v>
      </c>
      <c r="V578" s="10">
        <v>87</v>
      </c>
      <c r="W578" s="10">
        <v>60</v>
      </c>
      <c r="X578" s="10">
        <v>348</v>
      </c>
      <c r="Y578" s="10">
        <v>10</v>
      </c>
      <c r="Z578" s="10">
        <v>179</v>
      </c>
      <c r="AA578" s="10">
        <v>0.16500000000000001</v>
      </c>
      <c r="AB578" s="10">
        <v>136</v>
      </c>
      <c r="AC578" s="10">
        <v>104</v>
      </c>
      <c r="AD578" s="10">
        <v>213</v>
      </c>
      <c r="AE578" s="10">
        <v>4</v>
      </c>
      <c r="AF578" s="10">
        <v>12.6</v>
      </c>
      <c r="AG578" s="9" t="s">
        <v>185</v>
      </c>
      <c r="AH578" s="9" t="s">
        <v>198</v>
      </c>
      <c r="AI578" s="10"/>
      <c r="AJ578" s="10"/>
      <c r="AK578" s="30"/>
    </row>
    <row r="579" spans="5:37">
      <c r="E579" s="28" t="s">
        <v>155</v>
      </c>
      <c r="F579" s="8" t="s">
        <v>329</v>
      </c>
      <c r="G579" s="9" t="s">
        <v>520</v>
      </c>
      <c r="H579" s="10">
        <v>178</v>
      </c>
      <c r="I579" s="9" t="s">
        <v>158</v>
      </c>
      <c r="J579" s="10">
        <v>178</v>
      </c>
      <c r="K579" s="10">
        <v>175.9</v>
      </c>
      <c r="L579" s="10">
        <v>123</v>
      </c>
      <c r="M579" s="10">
        <v>153</v>
      </c>
      <c r="N579" s="10">
        <v>123</v>
      </c>
      <c r="O579" s="10">
        <v>88</v>
      </c>
      <c r="P579" s="10">
        <v>111</v>
      </c>
      <c r="Q579" s="10">
        <v>19.8</v>
      </c>
      <c r="R579" s="10">
        <v>1263</v>
      </c>
      <c r="S579" s="10">
        <v>1.37</v>
      </c>
      <c r="T579" s="10">
        <v>1727</v>
      </c>
      <c r="U579" s="10">
        <v>312</v>
      </c>
      <c r="V579" s="10">
        <v>103</v>
      </c>
      <c r="W579" s="10">
        <v>54</v>
      </c>
      <c r="X579" s="10">
        <v>364</v>
      </c>
      <c r="Y579" s="10">
        <v>10</v>
      </c>
      <c r="Z579" s="10">
        <v>167</v>
      </c>
      <c r="AA579" s="10">
        <v>0.18</v>
      </c>
      <c r="AB579" s="10">
        <v>138</v>
      </c>
      <c r="AC579" s="10">
        <v>96</v>
      </c>
      <c r="AD579" s="10">
        <v>226</v>
      </c>
      <c r="AE579" s="10">
        <v>2</v>
      </c>
      <c r="AF579" s="10">
        <v>12.4</v>
      </c>
      <c r="AG579" s="9" t="s">
        <v>185</v>
      </c>
      <c r="AH579" s="9" t="s">
        <v>198</v>
      </c>
      <c r="AI579" s="10"/>
      <c r="AJ579" s="10"/>
      <c r="AK579" s="30"/>
    </row>
    <row r="580" spans="5:37">
      <c r="E580" s="28" t="s">
        <v>155</v>
      </c>
      <c r="F580" s="8" t="s">
        <v>329</v>
      </c>
      <c r="G580" s="9" t="s">
        <v>864</v>
      </c>
      <c r="H580" s="10">
        <v>151</v>
      </c>
      <c r="I580" s="9" t="s">
        <v>163</v>
      </c>
      <c r="J580" s="10">
        <v>151</v>
      </c>
      <c r="K580" s="10">
        <v>149.19999999999999</v>
      </c>
      <c r="L580" s="10">
        <v>114</v>
      </c>
      <c r="M580" s="10">
        <v>126</v>
      </c>
      <c r="N580" s="10">
        <v>119</v>
      </c>
      <c r="O580" s="10">
        <v>84</v>
      </c>
      <c r="P580" s="10">
        <v>107</v>
      </c>
      <c r="Q580" s="10">
        <v>13.3</v>
      </c>
      <c r="R580" s="10">
        <v>962</v>
      </c>
      <c r="S580" s="10">
        <v>1.47</v>
      </c>
      <c r="T580" s="10">
        <v>1410</v>
      </c>
      <c r="U580" s="10">
        <v>153</v>
      </c>
      <c r="V580" s="10">
        <v>55</v>
      </c>
      <c r="W580" s="10">
        <v>50</v>
      </c>
      <c r="X580" s="10">
        <v>213</v>
      </c>
      <c r="Y580" s="10">
        <v>11</v>
      </c>
      <c r="Z580" s="10">
        <v>144</v>
      </c>
      <c r="AA580" s="10">
        <v>0.216</v>
      </c>
      <c r="AB580" s="10">
        <v>140</v>
      </c>
      <c r="AC580" s="10">
        <v>89</v>
      </c>
      <c r="AD580" s="10">
        <v>73</v>
      </c>
      <c r="AE580" s="10">
        <v>4</v>
      </c>
      <c r="AF580" s="10">
        <v>12.4</v>
      </c>
      <c r="AG580" s="9" t="s">
        <v>185</v>
      </c>
      <c r="AH580" s="9" t="s">
        <v>198</v>
      </c>
      <c r="AI580" s="10"/>
      <c r="AJ580" s="10"/>
      <c r="AK580" s="30"/>
    </row>
    <row r="581" spans="5:37">
      <c r="E581" s="28" t="s">
        <v>155</v>
      </c>
      <c r="F581" s="8" t="s">
        <v>329</v>
      </c>
      <c r="G581" s="9" t="s">
        <v>864</v>
      </c>
      <c r="H581" s="10">
        <v>158</v>
      </c>
      <c r="I581" s="9" t="s">
        <v>163</v>
      </c>
      <c r="J581" s="10">
        <v>158</v>
      </c>
      <c r="K581" s="10">
        <v>156.19999999999999</v>
      </c>
      <c r="L581" s="10">
        <v>109</v>
      </c>
      <c r="M581" s="10">
        <v>134</v>
      </c>
      <c r="N581" s="10">
        <v>121</v>
      </c>
      <c r="O581" s="10">
        <v>85</v>
      </c>
      <c r="P581" s="10">
        <v>108</v>
      </c>
      <c r="Q581" s="10">
        <v>14.9</v>
      </c>
      <c r="R581" s="10">
        <v>1055</v>
      </c>
      <c r="S581" s="10">
        <v>1.41</v>
      </c>
      <c r="T581" s="10">
        <v>1491</v>
      </c>
      <c r="U581" s="10">
        <v>196</v>
      </c>
      <c r="V581" s="10">
        <v>68</v>
      </c>
      <c r="W581" s="10">
        <v>52</v>
      </c>
      <c r="X581" s="10">
        <v>312</v>
      </c>
      <c r="Y581" s="10">
        <v>12</v>
      </c>
      <c r="Z581" s="10">
        <v>162</v>
      </c>
      <c r="AA581" s="10">
        <v>0.22800000000000001</v>
      </c>
      <c r="AB581" s="10">
        <v>136</v>
      </c>
      <c r="AC581" s="10">
        <v>90</v>
      </c>
      <c r="AD581" s="10">
        <v>176</v>
      </c>
      <c r="AE581" s="10">
        <v>4</v>
      </c>
      <c r="AF581" s="10">
        <v>12.6</v>
      </c>
      <c r="AG581" s="9" t="s">
        <v>185</v>
      </c>
      <c r="AH581" s="9" t="s">
        <v>198</v>
      </c>
      <c r="AI581" s="10"/>
      <c r="AJ581" s="10"/>
      <c r="AK581" s="30"/>
    </row>
    <row r="582" spans="5:37">
      <c r="E582" s="28" t="s">
        <v>155</v>
      </c>
      <c r="F582" s="8" t="s">
        <v>329</v>
      </c>
      <c r="G582" s="9" t="s">
        <v>548</v>
      </c>
      <c r="H582" s="10">
        <v>172</v>
      </c>
      <c r="I582" s="9" t="s">
        <v>158</v>
      </c>
      <c r="J582" s="10">
        <v>172</v>
      </c>
      <c r="K582" s="10">
        <v>170.2</v>
      </c>
      <c r="L582" s="10">
        <v>127</v>
      </c>
      <c r="M582" s="10">
        <v>146</v>
      </c>
      <c r="N582" s="10">
        <v>126</v>
      </c>
      <c r="O582" s="10">
        <v>94</v>
      </c>
      <c r="P582" s="10">
        <v>113</v>
      </c>
      <c r="Q582" s="10">
        <v>20</v>
      </c>
      <c r="R582" s="10">
        <v>1202</v>
      </c>
      <c r="S582" s="10">
        <v>1.45</v>
      </c>
      <c r="T582" s="10">
        <v>1748</v>
      </c>
      <c r="U582" s="10">
        <v>235</v>
      </c>
      <c r="V582" s="10">
        <v>95</v>
      </c>
      <c r="W582" s="10">
        <v>48</v>
      </c>
      <c r="X582" s="10">
        <v>268</v>
      </c>
      <c r="Y582" s="10">
        <v>11</v>
      </c>
      <c r="Z582" s="10">
        <v>159</v>
      </c>
      <c r="AA582" s="10">
        <v>0.23400000000000001</v>
      </c>
      <c r="AB582" s="10">
        <v>137</v>
      </c>
      <c r="AC582" s="10">
        <v>100</v>
      </c>
      <c r="AD582" s="10">
        <v>131</v>
      </c>
      <c r="AE582" s="10">
        <v>4</v>
      </c>
      <c r="AF582" s="10">
        <v>12.6</v>
      </c>
      <c r="AG582" s="9" t="s">
        <v>185</v>
      </c>
      <c r="AH582" s="9" t="s">
        <v>198</v>
      </c>
      <c r="AI582" s="10"/>
      <c r="AJ582" s="10"/>
      <c r="AK582" s="30"/>
    </row>
    <row r="583" spans="5:37">
      <c r="E583" s="28" t="s">
        <v>155</v>
      </c>
      <c r="F583" s="8" t="s">
        <v>329</v>
      </c>
      <c r="G583" s="9" t="s">
        <v>548</v>
      </c>
      <c r="H583" s="10">
        <v>178</v>
      </c>
      <c r="I583" s="9" t="s">
        <v>158</v>
      </c>
      <c r="J583" s="10">
        <v>178</v>
      </c>
      <c r="K583" s="10">
        <v>175.9</v>
      </c>
      <c r="L583" s="10">
        <v>125</v>
      </c>
      <c r="M583" s="10">
        <v>152</v>
      </c>
      <c r="N583" s="10">
        <v>127</v>
      </c>
      <c r="O583" s="10">
        <v>95</v>
      </c>
      <c r="P583" s="10">
        <v>115</v>
      </c>
      <c r="Q583" s="10">
        <v>22.1</v>
      </c>
      <c r="R583" s="10">
        <v>1278</v>
      </c>
      <c r="S583" s="10">
        <v>1.43</v>
      </c>
      <c r="T583" s="10">
        <v>1825</v>
      </c>
      <c r="U583" s="10">
        <v>276</v>
      </c>
      <c r="V583" s="10">
        <v>94</v>
      </c>
      <c r="W583" s="10">
        <v>50</v>
      </c>
      <c r="X583" s="10">
        <v>326</v>
      </c>
      <c r="Y583" s="10">
        <v>12</v>
      </c>
      <c r="Z583" s="10">
        <v>179</v>
      </c>
      <c r="AA583" s="10">
        <v>0.23499999999999999</v>
      </c>
      <c r="AB583" s="10">
        <v>143</v>
      </c>
      <c r="AC583" s="10">
        <v>95</v>
      </c>
      <c r="AD583" s="10">
        <v>183</v>
      </c>
      <c r="AE583" s="10">
        <v>4</v>
      </c>
      <c r="AF583" s="10">
        <v>12.3</v>
      </c>
      <c r="AG583" s="9" t="s">
        <v>185</v>
      </c>
      <c r="AH583" s="9" t="s">
        <v>198</v>
      </c>
      <c r="AI583" s="10"/>
      <c r="AJ583" s="10"/>
      <c r="AK583" s="30"/>
    </row>
    <row r="584" spans="5:37">
      <c r="E584" s="28" t="s">
        <v>155</v>
      </c>
      <c r="F584" s="8" t="s">
        <v>329</v>
      </c>
      <c r="G584" s="9" t="s">
        <v>548</v>
      </c>
      <c r="H584" s="10">
        <v>184</v>
      </c>
      <c r="I584" s="9" t="s">
        <v>158</v>
      </c>
      <c r="J584" s="10">
        <v>184</v>
      </c>
      <c r="K584" s="10">
        <v>182</v>
      </c>
      <c r="L584" s="10">
        <v>145</v>
      </c>
      <c r="M584" s="10">
        <v>158</v>
      </c>
      <c r="N584" s="10">
        <v>128</v>
      </c>
      <c r="O584" s="10">
        <v>96</v>
      </c>
      <c r="P584" s="10">
        <v>116</v>
      </c>
      <c r="Q584" s="10">
        <v>23.7</v>
      </c>
      <c r="R584" s="10">
        <v>1367</v>
      </c>
      <c r="S584" s="10">
        <v>1.39</v>
      </c>
      <c r="T584" s="10">
        <v>1903</v>
      </c>
      <c r="U584" s="10">
        <v>292</v>
      </c>
      <c r="V584" s="10">
        <v>103</v>
      </c>
      <c r="W584" s="10">
        <v>51</v>
      </c>
      <c r="X584" s="10">
        <v>277</v>
      </c>
      <c r="Y584" s="10">
        <v>8</v>
      </c>
      <c r="Z584" s="10">
        <v>97</v>
      </c>
      <c r="AA584" s="10">
        <v>0.157</v>
      </c>
      <c r="AB584" s="10">
        <v>146</v>
      </c>
      <c r="AC584" s="10">
        <v>99</v>
      </c>
      <c r="AD584" s="10">
        <v>131</v>
      </c>
      <c r="AE584" s="10">
        <v>6</v>
      </c>
      <c r="AF584" s="10">
        <v>12.4</v>
      </c>
      <c r="AG584" s="9" t="s">
        <v>185</v>
      </c>
      <c r="AH584" s="9" t="s">
        <v>198</v>
      </c>
      <c r="AI584" s="10"/>
      <c r="AJ584" s="10"/>
      <c r="AK584" s="30"/>
    </row>
    <row r="585" spans="5:37">
      <c r="E585" s="28" t="s">
        <v>155</v>
      </c>
      <c r="F585" s="8" t="s">
        <v>329</v>
      </c>
      <c r="G585" s="9" t="s">
        <v>682</v>
      </c>
      <c r="H585" s="10">
        <v>166</v>
      </c>
      <c r="I585" s="9" t="s">
        <v>158</v>
      </c>
      <c r="J585" s="10">
        <v>166</v>
      </c>
      <c r="K585" s="10">
        <v>165.4</v>
      </c>
      <c r="L585" s="10">
        <v>132</v>
      </c>
      <c r="M585" s="10">
        <v>139</v>
      </c>
      <c r="N585" s="10">
        <v>113</v>
      </c>
      <c r="O585" s="10">
        <v>83</v>
      </c>
      <c r="P585" s="10">
        <v>103</v>
      </c>
      <c r="Q585" s="10">
        <v>18.2</v>
      </c>
      <c r="R585" s="10">
        <v>1911</v>
      </c>
      <c r="S585" s="10">
        <v>0.81</v>
      </c>
      <c r="T585" s="10">
        <v>1544</v>
      </c>
      <c r="U585" s="10">
        <v>176</v>
      </c>
      <c r="V585" s="10">
        <v>72</v>
      </c>
      <c r="W585" s="10">
        <v>47</v>
      </c>
      <c r="X585" s="10">
        <v>247</v>
      </c>
      <c r="Y585" s="10">
        <v>7</v>
      </c>
      <c r="Z585" s="10">
        <v>84</v>
      </c>
      <c r="AA585" s="10">
        <v>0.14899999999999999</v>
      </c>
      <c r="AB585" s="10">
        <v>185</v>
      </c>
      <c r="AC585" s="10">
        <v>79</v>
      </c>
      <c r="AD585" s="10">
        <v>62</v>
      </c>
      <c r="AE585" s="10">
        <v>6</v>
      </c>
      <c r="AF585" s="10">
        <v>11.8</v>
      </c>
      <c r="AG585" s="9" t="s">
        <v>349</v>
      </c>
      <c r="AH585" s="9" t="s">
        <v>231</v>
      </c>
      <c r="AI585" s="9" t="s">
        <v>188</v>
      </c>
      <c r="AJ585" s="10"/>
      <c r="AK585" s="30"/>
    </row>
    <row r="586" spans="5:37">
      <c r="E586" s="28" t="s">
        <v>155</v>
      </c>
      <c r="F586" s="8" t="s">
        <v>329</v>
      </c>
      <c r="G586" s="9" t="s">
        <v>682</v>
      </c>
      <c r="H586" s="10">
        <v>174</v>
      </c>
      <c r="I586" s="9" t="s">
        <v>158</v>
      </c>
      <c r="J586" s="10">
        <v>174</v>
      </c>
      <c r="K586" s="10">
        <v>173.4</v>
      </c>
      <c r="L586" s="10">
        <v>138</v>
      </c>
      <c r="M586" s="10">
        <v>146</v>
      </c>
      <c r="N586" s="10">
        <v>115</v>
      </c>
      <c r="O586" s="10">
        <v>84</v>
      </c>
      <c r="P586" s="10">
        <v>104</v>
      </c>
      <c r="Q586" s="10">
        <v>19.8</v>
      </c>
      <c r="R586" s="10">
        <v>1961</v>
      </c>
      <c r="S586" s="10">
        <v>0.84</v>
      </c>
      <c r="T586" s="10">
        <v>1638</v>
      </c>
      <c r="U586" s="10">
        <v>211</v>
      </c>
      <c r="V586" s="10">
        <v>82</v>
      </c>
      <c r="W586" s="10">
        <v>50</v>
      </c>
      <c r="X586" s="10">
        <v>261</v>
      </c>
      <c r="Y586" s="10">
        <v>8</v>
      </c>
      <c r="Z586" s="10">
        <v>93</v>
      </c>
      <c r="AA586" s="10">
        <v>0.16500000000000001</v>
      </c>
      <c r="AB586" s="10">
        <v>196</v>
      </c>
      <c r="AC586" s="10">
        <v>83</v>
      </c>
      <c r="AD586" s="10">
        <v>65</v>
      </c>
      <c r="AE586" s="10">
        <v>5</v>
      </c>
      <c r="AF586" s="10">
        <v>11.8</v>
      </c>
      <c r="AG586" s="9" t="s">
        <v>349</v>
      </c>
      <c r="AH586" s="9" t="s">
        <v>231</v>
      </c>
      <c r="AI586" s="9" t="s">
        <v>188</v>
      </c>
      <c r="AJ586" s="10"/>
      <c r="AK586" s="30"/>
    </row>
    <row r="587" spans="5:37">
      <c r="E587" s="28" t="s">
        <v>155</v>
      </c>
      <c r="F587" s="8" t="s">
        <v>202</v>
      </c>
      <c r="G587" s="9" t="s">
        <v>783</v>
      </c>
      <c r="H587" s="10">
        <v>162</v>
      </c>
      <c r="I587" s="9" t="s">
        <v>163</v>
      </c>
      <c r="J587" s="10">
        <v>162</v>
      </c>
      <c r="K587" s="10">
        <v>162.19999999999999</v>
      </c>
      <c r="L587" s="10">
        <v>141</v>
      </c>
      <c r="M587" s="10">
        <v>148</v>
      </c>
      <c r="N587" s="10">
        <v>123</v>
      </c>
      <c r="O587" s="10">
        <v>74</v>
      </c>
      <c r="P587" s="10">
        <v>109</v>
      </c>
      <c r="Q587" s="10">
        <v>13</v>
      </c>
      <c r="R587" s="10">
        <v>1591</v>
      </c>
      <c r="S587" s="10">
        <v>0.91</v>
      </c>
      <c r="T587" s="10">
        <v>1445</v>
      </c>
      <c r="U587" s="10">
        <v>170</v>
      </c>
      <c r="V587" s="10">
        <v>62</v>
      </c>
      <c r="W587" s="10">
        <v>43</v>
      </c>
      <c r="X587" s="10">
        <v>153</v>
      </c>
      <c r="Y587" s="10">
        <v>4</v>
      </c>
      <c r="Z587" s="10">
        <v>54</v>
      </c>
      <c r="AA587" s="10">
        <v>0.10199999999999999</v>
      </c>
      <c r="AB587" s="10">
        <v>80</v>
      </c>
      <c r="AC587" s="10">
        <v>59</v>
      </c>
      <c r="AD587" s="10">
        <v>73</v>
      </c>
      <c r="AE587" s="10">
        <v>12</v>
      </c>
      <c r="AF587" s="10">
        <v>10.1</v>
      </c>
      <c r="AG587" s="9" t="s">
        <v>349</v>
      </c>
      <c r="AH587" s="10"/>
      <c r="AI587" s="10"/>
      <c r="AJ587" s="10"/>
      <c r="AK587" s="30"/>
    </row>
    <row r="588" spans="5:37">
      <c r="E588" s="28" t="s">
        <v>155</v>
      </c>
      <c r="F588" s="8" t="s">
        <v>202</v>
      </c>
      <c r="G588" s="9" t="s">
        <v>493</v>
      </c>
      <c r="H588" s="10">
        <v>172</v>
      </c>
      <c r="I588" s="9" t="s">
        <v>158</v>
      </c>
      <c r="J588" s="10">
        <v>172</v>
      </c>
      <c r="K588" s="10">
        <v>170</v>
      </c>
      <c r="L588" s="10">
        <v>107</v>
      </c>
      <c r="M588" s="10">
        <v>133</v>
      </c>
      <c r="N588" s="10">
        <v>137</v>
      </c>
      <c r="O588" s="10">
        <v>107</v>
      </c>
      <c r="P588" s="10">
        <v>127</v>
      </c>
      <c r="Q588" s="10">
        <v>15.1</v>
      </c>
      <c r="R588" s="10">
        <v>1972</v>
      </c>
      <c r="S588" s="10">
        <v>1.01</v>
      </c>
      <c r="T588" s="10">
        <v>1986</v>
      </c>
      <c r="U588" s="10">
        <v>197</v>
      </c>
      <c r="V588" s="10">
        <v>95</v>
      </c>
      <c r="W588" s="10">
        <v>57</v>
      </c>
      <c r="X588" s="10">
        <v>334</v>
      </c>
      <c r="Y588" s="10">
        <v>40</v>
      </c>
      <c r="Z588" s="10">
        <v>300</v>
      </c>
      <c r="AA588" s="10">
        <v>0.69899999999999995</v>
      </c>
      <c r="AB588" s="10">
        <v>198</v>
      </c>
      <c r="AC588" s="10">
        <v>172</v>
      </c>
      <c r="AD588" s="10">
        <v>135</v>
      </c>
      <c r="AE588" s="10">
        <v>7</v>
      </c>
      <c r="AF588" s="10">
        <v>7.4</v>
      </c>
      <c r="AG588" s="9" t="s">
        <v>169</v>
      </c>
      <c r="AH588" s="10"/>
      <c r="AI588" s="10"/>
      <c r="AJ588" s="10"/>
      <c r="AK588" s="30"/>
    </row>
    <row r="589" spans="5:37">
      <c r="E589" s="28" t="s">
        <v>155</v>
      </c>
      <c r="F589" s="8" t="s">
        <v>202</v>
      </c>
      <c r="G589" s="9" t="s">
        <v>493</v>
      </c>
      <c r="H589" s="10">
        <v>182</v>
      </c>
      <c r="I589" s="9" t="s">
        <v>158</v>
      </c>
      <c r="J589" s="10">
        <v>182</v>
      </c>
      <c r="K589" s="10">
        <v>181.7</v>
      </c>
      <c r="L589" s="10">
        <v>116</v>
      </c>
      <c r="M589" s="10">
        <v>145</v>
      </c>
      <c r="N589" s="10">
        <v>136</v>
      </c>
      <c r="O589" s="10">
        <v>107</v>
      </c>
      <c r="P589" s="10">
        <v>127</v>
      </c>
      <c r="Q589" s="10">
        <v>18.3</v>
      </c>
      <c r="R589" s="10">
        <v>2192</v>
      </c>
      <c r="S589" s="10">
        <v>0.97</v>
      </c>
      <c r="T589" s="10">
        <v>2122</v>
      </c>
      <c r="U589" s="10">
        <v>260</v>
      </c>
      <c r="V589" s="10">
        <v>117</v>
      </c>
      <c r="W589" s="10">
        <v>58</v>
      </c>
      <c r="X589" s="10">
        <v>316</v>
      </c>
      <c r="Y589" s="10">
        <v>41</v>
      </c>
      <c r="Z589" s="10">
        <v>340</v>
      </c>
      <c r="AA589" s="10">
        <v>0.71599999999999997</v>
      </c>
      <c r="AB589" s="10">
        <v>189</v>
      </c>
      <c r="AC589" s="10">
        <v>180</v>
      </c>
      <c r="AD589" s="10">
        <v>127</v>
      </c>
      <c r="AE589" s="10">
        <v>7</v>
      </c>
      <c r="AF589" s="10">
        <v>8.4</v>
      </c>
      <c r="AG589" s="9" t="s">
        <v>169</v>
      </c>
      <c r="AH589" s="10"/>
      <c r="AI589" s="10"/>
      <c r="AJ589" s="10"/>
      <c r="AK589" s="30"/>
    </row>
    <row r="590" spans="5:37">
      <c r="E590" s="28" t="s">
        <v>155</v>
      </c>
      <c r="F590" s="8" t="s">
        <v>202</v>
      </c>
      <c r="G590" s="9" t="s">
        <v>493</v>
      </c>
      <c r="H590" s="10">
        <v>192</v>
      </c>
      <c r="I590" s="9" t="s">
        <v>158</v>
      </c>
      <c r="J590" s="10">
        <v>192</v>
      </c>
      <c r="K590" s="10">
        <v>191.8</v>
      </c>
      <c r="L590" s="10">
        <v>123</v>
      </c>
      <c r="M590" s="10">
        <v>152</v>
      </c>
      <c r="N590" s="10">
        <v>137</v>
      </c>
      <c r="O590" s="10">
        <v>107</v>
      </c>
      <c r="P590" s="10">
        <v>127</v>
      </c>
      <c r="Q590" s="10">
        <v>20.5</v>
      </c>
      <c r="R590" s="10">
        <v>2330</v>
      </c>
      <c r="S590" s="10">
        <v>0.96</v>
      </c>
      <c r="T590" s="10">
        <v>2226</v>
      </c>
      <c r="U590" s="10">
        <v>282</v>
      </c>
      <c r="V590" s="10">
        <v>151</v>
      </c>
      <c r="W590" s="10">
        <v>67</v>
      </c>
      <c r="X590" s="10">
        <v>362</v>
      </c>
      <c r="Y590" s="10">
        <v>43</v>
      </c>
      <c r="Z590" s="10">
        <v>329</v>
      </c>
      <c r="AA590" s="10">
        <v>0.64500000000000002</v>
      </c>
      <c r="AB590" s="10">
        <v>216</v>
      </c>
      <c r="AC590" s="10">
        <v>181</v>
      </c>
      <c r="AD590" s="10">
        <v>145</v>
      </c>
      <c r="AE590" s="10">
        <v>10</v>
      </c>
      <c r="AF590" s="10">
        <v>8.6999999999999993</v>
      </c>
      <c r="AG590" s="9" t="s">
        <v>169</v>
      </c>
      <c r="AH590" s="10"/>
      <c r="AI590" s="10"/>
      <c r="AJ590" s="10"/>
      <c r="AK590" s="30"/>
    </row>
    <row r="591" spans="5:37">
      <c r="E591" s="28" t="s">
        <v>155</v>
      </c>
      <c r="F591" s="8" t="s">
        <v>202</v>
      </c>
      <c r="G591" s="9" t="s">
        <v>817</v>
      </c>
      <c r="H591" s="10">
        <v>180</v>
      </c>
      <c r="I591" s="9" t="s">
        <v>158</v>
      </c>
      <c r="J591" s="10">
        <v>180</v>
      </c>
      <c r="K591" s="10">
        <v>179.3</v>
      </c>
      <c r="L591" s="10">
        <v>117</v>
      </c>
      <c r="M591" s="10">
        <v>135</v>
      </c>
      <c r="N591" s="10">
        <v>144</v>
      </c>
      <c r="O591" s="10">
        <v>117</v>
      </c>
      <c r="P591" s="10">
        <v>134</v>
      </c>
      <c r="Q591" s="10">
        <v>18.399999999999999</v>
      </c>
      <c r="R591" s="10">
        <v>2269</v>
      </c>
      <c r="S591" s="10">
        <v>0.99</v>
      </c>
      <c r="T591" s="10">
        <v>2240</v>
      </c>
      <c r="U591" s="10">
        <v>226</v>
      </c>
      <c r="V591" s="10">
        <v>101</v>
      </c>
      <c r="W591" s="10">
        <v>56</v>
      </c>
      <c r="X591" s="10">
        <v>338</v>
      </c>
      <c r="Y591" s="10">
        <v>32</v>
      </c>
      <c r="Z591" s="10">
        <v>287</v>
      </c>
      <c r="AA591" s="10">
        <v>0.57699999999999996</v>
      </c>
      <c r="AB591" s="10">
        <v>264</v>
      </c>
      <c r="AC591" s="10">
        <v>182</v>
      </c>
      <c r="AD591" s="10">
        <v>74</v>
      </c>
      <c r="AE591" s="10">
        <v>8</v>
      </c>
      <c r="AF591" s="10">
        <v>9.4</v>
      </c>
      <c r="AG591" s="9" t="s">
        <v>169</v>
      </c>
      <c r="AH591" s="10"/>
      <c r="AI591" s="10"/>
      <c r="AJ591" s="10"/>
      <c r="AK591" s="30"/>
    </row>
    <row r="592" spans="5:37">
      <c r="E592" s="28" t="s">
        <v>155</v>
      </c>
      <c r="F592" s="8" t="s">
        <v>202</v>
      </c>
      <c r="G592" s="9" t="s">
        <v>817</v>
      </c>
      <c r="H592" s="10">
        <v>189</v>
      </c>
      <c r="I592" s="9" t="s">
        <v>158</v>
      </c>
      <c r="J592" s="10">
        <v>189</v>
      </c>
      <c r="K592" s="10">
        <v>186.9</v>
      </c>
      <c r="L592" s="10">
        <v>125</v>
      </c>
      <c r="M592" s="10">
        <v>141</v>
      </c>
      <c r="N592" s="10">
        <v>144</v>
      </c>
      <c r="O592" s="10">
        <v>117</v>
      </c>
      <c r="P592" s="10">
        <v>134</v>
      </c>
      <c r="Q592" s="10">
        <v>20.9</v>
      </c>
      <c r="R592" s="10">
        <v>2472</v>
      </c>
      <c r="S592" s="10">
        <v>0.94</v>
      </c>
      <c r="T592" s="10">
        <v>2327</v>
      </c>
      <c r="U592" s="10">
        <v>237</v>
      </c>
      <c r="V592" s="10">
        <v>122</v>
      </c>
      <c r="W592" s="10">
        <v>61</v>
      </c>
      <c r="X592" s="10">
        <v>352</v>
      </c>
      <c r="Y592" s="10">
        <v>30</v>
      </c>
      <c r="Z592" s="10">
        <v>268</v>
      </c>
      <c r="AA592" s="10">
        <v>0.48799999999999999</v>
      </c>
      <c r="AB592" s="10">
        <v>271</v>
      </c>
      <c r="AC592" s="10">
        <v>189</v>
      </c>
      <c r="AD592" s="10">
        <v>82</v>
      </c>
      <c r="AE592" s="10">
        <v>10</v>
      </c>
      <c r="AF592" s="10">
        <v>9.9</v>
      </c>
      <c r="AG592" s="9" t="s">
        <v>169</v>
      </c>
      <c r="AH592" s="10"/>
      <c r="AI592" s="10"/>
      <c r="AJ592" s="10"/>
      <c r="AK592" s="30"/>
    </row>
    <row r="593" spans="5:37">
      <c r="E593" s="28" t="s">
        <v>155</v>
      </c>
      <c r="F593" s="8" t="s">
        <v>202</v>
      </c>
      <c r="G593" s="9" t="s">
        <v>340</v>
      </c>
      <c r="H593" s="10">
        <v>171</v>
      </c>
      <c r="I593" s="9" t="s">
        <v>158</v>
      </c>
      <c r="J593" s="10">
        <v>171</v>
      </c>
      <c r="K593" s="10">
        <v>170</v>
      </c>
      <c r="L593" s="10">
        <v>102</v>
      </c>
      <c r="M593" s="10">
        <v>136</v>
      </c>
      <c r="N593" s="10">
        <v>127</v>
      </c>
      <c r="O593" s="10">
        <v>96</v>
      </c>
      <c r="P593" s="10">
        <v>119</v>
      </c>
      <c r="Q593" s="10">
        <v>14.8</v>
      </c>
      <c r="R593" s="10">
        <v>1768</v>
      </c>
      <c r="S593" s="10">
        <v>1.03</v>
      </c>
      <c r="T593" s="10">
        <v>1829</v>
      </c>
      <c r="U593" s="10">
        <v>181</v>
      </c>
      <c r="V593" s="10">
        <v>91</v>
      </c>
      <c r="W593" s="10">
        <v>57</v>
      </c>
      <c r="X593" s="10">
        <v>342</v>
      </c>
      <c r="Y593" s="10">
        <v>44</v>
      </c>
      <c r="Z593" s="10">
        <v>339</v>
      </c>
      <c r="AA593" s="10">
        <v>0.76400000000000001</v>
      </c>
      <c r="AB593" s="10">
        <v>199</v>
      </c>
      <c r="AC593" s="10">
        <v>144</v>
      </c>
      <c r="AD593" s="10">
        <v>143</v>
      </c>
      <c r="AE593" s="10">
        <v>6</v>
      </c>
      <c r="AF593" s="10">
        <v>7.3</v>
      </c>
      <c r="AG593" s="9" t="s">
        <v>188</v>
      </c>
      <c r="AH593" s="10"/>
      <c r="AI593" s="10"/>
      <c r="AJ593" s="10"/>
      <c r="AK593" s="30"/>
    </row>
    <row r="594" spans="5:37">
      <c r="E594" s="28" t="s">
        <v>155</v>
      </c>
      <c r="F594" s="8" t="s">
        <v>202</v>
      </c>
      <c r="G594" s="9" t="s">
        <v>340</v>
      </c>
      <c r="H594" s="10">
        <v>179</v>
      </c>
      <c r="I594" s="9" t="s">
        <v>158</v>
      </c>
      <c r="J594" s="10">
        <v>179</v>
      </c>
      <c r="K594" s="10">
        <v>177.9</v>
      </c>
      <c r="L594" s="10">
        <v>110</v>
      </c>
      <c r="M594" s="10">
        <v>143</v>
      </c>
      <c r="N594" s="10">
        <v>127</v>
      </c>
      <c r="O594" s="10">
        <v>97</v>
      </c>
      <c r="P594" s="10">
        <v>119</v>
      </c>
      <c r="Q594" s="10">
        <v>16.7</v>
      </c>
      <c r="R594" s="10">
        <v>1935</v>
      </c>
      <c r="S594" s="10">
        <v>0.99</v>
      </c>
      <c r="T594" s="10">
        <v>1914</v>
      </c>
      <c r="U594" s="10">
        <v>228</v>
      </c>
      <c r="V594" s="10">
        <v>106</v>
      </c>
      <c r="W594" s="10">
        <v>54</v>
      </c>
      <c r="X594" s="10">
        <v>335</v>
      </c>
      <c r="Y594" s="10">
        <v>46</v>
      </c>
      <c r="Z594" s="10">
        <v>343</v>
      </c>
      <c r="AA594" s="10">
        <v>0.85199999999999998</v>
      </c>
      <c r="AB594" s="10">
        <v>198</v>
      </c>
      <c r="AC594" s="10">
        <v>155</v>
      </c>
      <c r="AD594" s="10">
        <v>137</v>
      </c>
      <c r="AE594" s="10">
        <v>7</v>
      </c>
      <c r="AF594" s="10">
        <v>8</v>
      </c>
      <c r="AG594" s="9" t="s">
        <v>188</v>
      </c>
      <c r="AH594" s="9" t="s">
        <v>184</v>
      </c>
      <c r="AI594" s="10"/>
      <c r="AJ594" s="10"/>
      <c r="AK594" s="30"/>
    </row>
    <row r="595" spans="5:37">
      <c r="E595" s="28" t="s">
        <v>155</v>
      </c>
      <c r="F595" s="8" t="s">
        <v>202</v>
      </c>
      <c r="G595" s="9" t="s">
        <v>340</v>
      </c>
      <c r="H595" s="10">
        <v>185</v>
      </c>
      <c r="I595" s="9" t="s">
        <v>158</v>
      </c>
      <c r="J595" s="10">
        <v>185</v>
      </c>
      <c r="K595" s="10">
        <v>184.2</v>
      </c>
      <c r="L595" s="10">
        <v>112</v>
      </c>
      <c r="M595" s="10">
        <v>149</v>
      </c>
      <c r="N595" s="10">
        <v>127</v>
      </c>
      <c r="O595" s="10">
        <v>96</v>
      </c>
      <c r="P595" s="10">
        <v>119</v>
      </c>
      <c r="Q595" s="10">
        <v>17.899999999999999</v>
      </c>
      <c r="R595" s="10">
        <v>1999</v>
      </c>
      <c r="S595" s="10">
        <v>0.98</v>
      </c>
      <c r="T595" s="10">
        <v>1968</v>
      </c>
      <c r="U595" s="10">
        <v>242</v>
      </c>
      <c r="V595" s="10">
        <v>114</v>
      </c>
      <c r="W595" s="10">
        <v>59</v>
      </c>
      <c r="X595" s="10">
        <v>341</v>
      </c>
      <c r="Y595" s="10">
        <v>60</v>
      </c>
      <c r="Z595" s="10">
        <v>382</v>
      </c>
      <c r="AA595" s="10">
        <v>1.028</v>
      </c>
      <c r="AB595" s="10">
        <v>184</v>
      </c>
      <c r="AC595" s="10">
        <v>170</v>
      </c>
      <c r="AD595" s="10">
        <v>157</v>
      </c>
      <c r="AE595" s="10">
        <v>7</v>
      </c>
      <c r="AF595" s="10">
        <v>6.5</v>
      </c>
      <c r="AG595" s="9" t="s">
        <v>184</v>
      </c>
      <c r="AH595" s="10"/>
      <c r="AI595" s="10"/>
      <c r="AJ595" s="10"/>
      <c r="AK595" s="30"/>
    </row>
    <row r="596" spans="5:37">
      <c r="E596" s="28" t="s">
        <v>155</v>
      </c>
      <c r="F596" s="8" t="s">
        <v>202</v>
      </c>
      <c r="G596" s="9" t="s">
        <v>602</v>
      </c>
      <c r="H596" s="10">
        <v>140</v>
      </c>
      <c r="I596" s="9" t="s">
        <v>158</v>
      </c>
      <c r="J596" s="10">
        <v>140</v>
      </c>
      <c r="K596" s="10">
        <v>138.6</v>
      </c>
      <c r="L596" s="10">
        <v>90</v>
      </c>
      <c r="M596" s="10">
        <v>115</v>
      </c>
      <c r="N596" s="10">
        <v>117</v>
      </c>
      <c r="O596" s="10">
        <v>89</v>
      </c>
      <c r="P596" s="10">
        <v>107</v>
      </c>
      <c r="Q596" s="10">
        <v>13.4</v>
      </c>
      <c r="R596" s="10">
        <v>1412</v>
      </c>
      <c r="S596" s="10">
        <v>0.96</v>
      </c>
      <c r="T596" s="10">
        <v>1359</v>
      </c>
      <c r="U596" s="10">
        <v>153</v>
      </c>
      <c r="V596" s="10">
        <v>67</v>
      </c>
      <c r="W596" s="10">
        <v>49</v>
      </c>
      <c r="X596" s="10">
        <v>259</v>
      </c>
      <c r="Y596" s="10">
        <v>33</v>
      </c>
      <c r="Z596" s="10">
        <v>223</v>
      </c>
      <c r="AA596" s="10">
        <v>0.67</v>
      </c>
      <c r="AB596" s="10">
        <v>114</v>
      </c>
      <c r="AC596" s="10">
        <v>124</v>
      </c>
      <c r="AD596" s="10">
        <v>145</v>
      </c>
      <c r="AE596" s="10">
        <v>5</v>
      </c>
      <c r="AF596" s="10">
        <v>6.8</v>
      </c>
      <c r="AG596" s="9" t="s">
        <v>188</v>
      </c>
      <c r="AH596" s="10"/>
      <c r="AI596" s="10"/>
      <c r="AJ596" s="10"/>
      <c r="AK596" s="30"/>
    </row>
    <row r="597" spans="5:37">
      <c r="E597" s="28" t="s">
        <v>155</v>
      </c>
      <c r="F597" s="8" t="s">
        <v>202</v>
      </c>
      <c r="G597" s="9" t="s">
        <v>602</v>
      </c>
      <c r="H597" s="10">
        <v>150</v>
      </c>
      <c r="I597" s="9" t="s">
        <v>158</v>
      </c>
      <c r="J597" s="10">
        <v>150</v>
      </c>
      <c r="K597" s="10">
        <v>148.5</v>
      </c>
      <c r="L597" s="10">
        <v>100</v>
      </c>
      <c r="M597" s="10">
        <v>123</v>
      </c>
      <c r="N597" s="10">
        <v>118</v>
      </c>
      <c r="O597" s="10">
        <v>89</v>
      </c>
      <c r="P597" s="10">
        <v>107</v>
      </c>
      <c r="Q597" s="10">
        <v>17</v>
      </c>
      <c r="R597" s="10">
        <v>1464</v>
      </c>
      <c r="S597" s="10">
        <v>0.99</v>
      </c>
      <c r="T597" s="10">
        <v>1453</v>
      </c>
      <c r="U597" s="10">
        <v>149</v>
      </c>
      <c r="V597" s="10">
        <v>60</v>
      </c>
      <c r="W597" s="10">
        <v>50</v>
      </c>
      <c r="X597" s="10">
        <v>258</v>
      </c>
      <c r="Y597" s="10">
        <v>31</v>
      </c>
      <c r="Z597" s="10">
        <v>227</v>
      </c>
      <c r="AA597" s="10">
        <v>0.63</v>
      </c>
      <c r="AB597" s="10">
        <v>126</v>
      </c>
      <c r="AC597" s="10">
        <v>132</v>
      </c>
      <c r="AD597" s="10">
        <v>132</v>
      </c>
      <c r="AE597" s="10">
        <v>5</v>
      </c>
      <c r="AF597" s="10">
        <v>6.8</v>
      </c>
      <c r="AG597" s="9" t="s">
        <v>188</v>
      </c>
      <c r="AH597" s="10"/>
      <c r="AI597" s="10"/>
      <c r="AJ597" s="10"/>
      <c r="AK597" s="30"/>
    </row>
    <row r="598" spans="5:37">
      <c r="E598" s="28" t="s">
        <v>155</v>
      </c>
      <c r="F598" s="8" t="s">
        <v>202</v>
      </c>
      <c r="G598" s="9" t="s">
        <v>602</v>
      </c>
      <c r="H598" s="10">
        <v>160</v>
      </c>
      <c r="I598" s="9" t="s">
        <v>158</v>
      </c>
      <c r="J598" s="10">
        <v>160</v>
      </c>
      <c r="K598" s="10">
        <v>158.5</v>
      </c>
      <c r="L598" s="10">
        <v>112</v>
      </c>
      <c r="M598" s="10">
        <v>134</v>
      </c>
      <c r="N598" s="10">
        <v>117</v>
      </c>
      <c r="O598" s="10">
        <v>89</v>
      </c>
      <c r="P598" s="10">
        <v>107</v>
      </c>
      <c r="Q598" s="10">
        <v>20.5</v>
      </c>
      <c r="R598" s="10">
        <v>1535</v>
      </c>
      <c r="S598" s="10">
        <v>1.01</v>
      </c>
      <c r="T598" s="10">
        <v>1545</v>
      </c>
      <c r="U598" s="10">
        <v>157</v>
      </c>
      <c r="V598" s="10">
        <v>59</v>
      </c>
      <c r="W598" s="10">
        <v>48</v>
      </c>
      <c r="X598" s="10">
        <v>257</v>
      </c>
      <c r="Y598" s="10">
        <v>29</v>
      </c>
      <c r="Z598" s="10">
        <v>212</v>
      </c>
      <c r="AA598" s="10">
        <v>0.60099999999999998</v>
      </c>
      <c r="AB598" s="10">
        <v>117</v>
      </c>
      <c r="AC598" s="10">
        <v>126</v>
      </c>
      <c r="AD598" s="10">
        <v>140</v>
      </c>
      <c r="AE598" s="10">
        <v>5</v>
      </c>
      <c r="AF598" s="10">
        <v>7.2</v>
      </c>
      <c r="AG598" s="9" t="s">
        <v>188</v>
      </c>
      <c r="AH598" s="10"/>
      <c r="AI598" s="10"/>
      <c r="AJ598" s="10"/>
      <c r="AK598" s="30"/>
    </row>
    <row r="599" spans="5:37">
      <c r="E599" s="28" t="s">
        <v>155</v>
      </c>
      <c r="F599" s="8" t="s">
        <v>202</v>
      </c>
      <c r="G599" s="9" t="s">
        <v>602</v>
      </c>
      <c r="H599" s="10">
        <v>170</v>
      </c>
      <c r="I599" s="9" t="s">
        <v>158</v>
      </c>
      <c r="J599" s="10">
        <v>170</v>
      </c>
      <c r="K599" s="10">
        <v>168.5</v>
      </c>
      <c r="L599" s="10">
        <v>121</v>
      </c>
      <c r="M599" s="10">
        <v>142</v>
      </c>
      <c r="N599" s="10">
        <v>118</v>
      </c>
      <c r="O599" s="10">
        <v>91</v>
      </c>
      <c r="P599" s="10">
        <v>108</v>
      </c>
      <c r="Q599" s="10">
        <v>22.3</v>
      </c>
      <c r="R599" s="10">
        <v>1662</v>
      </c>
      <c r="S599" s="10">
        <v>1.01</v>
      </c>
      <c r="T599" s="10">
        <v>1679</v>
      </c>
      <c r="U599" s="10">
        <v>187</v>
      </c>
      <c r="V599" s="10">
        <v>74</v>
      </c>
      <c r="W599" s="10">
        <v>50</v>
      </c>
      <c r="X599" s="10">
        <v>249</v>
      </c>
      <c r="Y599" s="10">
        <v>32</v>
      </c>
      <c r="Z599" s="10">
        <v>223</v>
      </c>
      <c r="AA599" s="10">
        <v>0.63800000000000001</v>
      </c>
      <c r="AB599" s="10">
        <v>132</v>
      </c>
      <c r="AC599" s="10">
        <v>134</v>
      </c>
      <c r="AD599" s="10">
        <v>118</v>
      </c>
      <c r="AE599" s="10">
        <v>8</v>
      </c>
      <c r="AF599" s="10">
        <v>7.4</v>
      </c>
      <c r="AG599" s="9" t="s">
        <v>188</v>
      </c>
      <c r="AH599" s="10"/>
      <c r="AI599" s="10"/>
      <c r="AJ599" s="10"/>
      <c r="AK599" s="30"/>
    </row>
    <row r="600" spans="5:37">
      <c r="E600" s="28" t="s">
        <v>155</v>
      </c>
      <c r="F600" s="8" t="s">
        <v>202</v>
      </c>
      <c r="G600" s="9" t="s">
        <v>420</v>
      </c>
      <c r="H600" s="10">
        <v>170</v>
      </c>
      <c r="I600" s="9" t="s">
        <v>158</v>
      </c>
      <c r="J600" s="10">
        <v>170</v>
      </c>
      <c r="K600" s="10">
        <v>171.1</v>
      </c>
      <c r="L600" s="10">
        <v>139</v>
      </c>
      <c r="M600" s="10">
        <v>140</v>
      </c>
      <c r="N600" s="10">
        <v>121</v>
      </c>
      <c r="O600" s="10">
        <v>82</v>
      </c>
      <c r="P600" s="10">
        <v>103</v>
      </c>
      <c r="Q600" s="10">
        <v>15.6</v>
      </c>
      <c r="R600" s="10">
        <v>1610</v>
      </c>
      <c r="S600" s="10">
        <v>1</v>
      </c>
      <c r="T600" s="10">
        <v>1615</v>
      </c>
      <c r="U600" s="10">
        <v>186</v>
      </c>
      <c r="V600" s="10">
        <v>84</v>
      </c>
      <c r="W600" s="10">
        <v>41</v>
      </c>
      <c r="X600" s="10">
        <v>260</v>
      </c>
      <c r="Y600" s="10">
        <v>5</v>
      </c>
      <c r="Z600" s="10">
        <v>59</v>
      </c>
      <c r="AA600" s="10">
        <v>0.115</v>
      </c>
      <c r="AB600" s="10">
        <v>164</v>
      </c>
      <c r="AC600" s="10">
        <v>148</v>
      </c>
      <c r="AD600" s="10">
        <v>96</v>
      </c>
      <c r="AE600" s="10">
        <v>11</v>
      </c>
      <c r="AF600" s="10">
        <v>6.2</v>
      </c>
      <c r="AG600" s="9" t="s">
        <v>231</v>
      </c>
      <c r="AH600" s="9" t="s">
        <v>188</v>
      </c>
      <c r="AI600" s="10"/>
      <c r="AJ600" s="10"/>
      <c r="AK600" s="30"/>
    </row>
    <row r="601" spans="5:37">
      <c r="E601" s="28" t="s">
        <v>155</v>
      </c>
      <c r="F601" s="8" t="s">
        <v>202</v>
      </c>
      <c r="G601" s="9" t="s">
        <v>420</v>
      </c>
      <c r="H601" s="10">
        <v>177</v>
      </c>
      <c r="I601" s="9" t="s">
        <v>158</v>
      </c>
      <c r="J601" s="10">
        <v>177</v>
      </c>
      <c r="K601" s="10">
        <v>177</v>
      </c>
      <c r="L601" s="10">
        <v>146</v>
      </c>
      <c r="M601" s="10">
        <v>143</v>
      </c>
      <c r="N601" s="10">
        <v>120</v>
      </c>
      <c r="O601" s="10">
        <v>82</v>
      </c>
      <c r="P601" s="10">
        <v>105</v>
      </c>
      <c r="Q601" s="10">
        <v>16.399999999999999</v>
      </c>
      <c r="R601" s="10">
        <v>1760</v>
      </c>
      <c r="S601" s="10">
        <v>0.95</v>
      </c>
      <c r="T601" s="10">
        <v>1670</v>
      </c>
      <c r="U601" s="10">
        <v>223</v>
      </c>
      <c r="V601" s="10">
        <v>99</v>
      </c>
      <c r="W601" s="10">
        <v>40</v>
      </c>
      <c r="X601" s="10">
        <v>252</v>
      </c>
      <c r="Y601" s="10">
        <v>5</v>
      </c>
      <c r="Z601" s="10">
        <v>63</v>
      </c>
      <c r="AA601" s="10">
        <v>0.13700000000000001</v>
      </c>
      <c r="AB601" s="10">
        <v>167</v>
      </c>
      <c r="AC601" s="10">
        <v>175</v>
      </c>
      <c r="AD601" s="10">
        <v>85</v>
      </c>
      <c r="AE601" s="10">
        <v>9</v>
      </c>
      <c r="AF601" s="10">
        <v>6.6</v>
      </c>
      <c r="AG601" s="9" t="s">
        <v>349</v>
      </c>
      <c r="AH601" s="9" t="s">
        <v>231</v>
      </c>
      <c r="AI601" s="9" t="s">
        <v>188</v>
      </c>
      <c r="AJ601" s="10"/>
      <c r="AK601" s="30"/>
    </row>
    <row r="602" spans="5:37">
      <c r="E602" s="28" t="s">
        <v>155</v>
      </c>
      <c r="F602" s="8" t="s">
        <v>202</v>
      </c>
      <c r="G602" s="9" t="s">
        <v>420</v>
      </c>
      <c r="H602" s="10">
        <v>184</v>
      </c>
      <c r="I602" s="9" t="s">
        <v>158</v>
      </c>
      <c r="J602" s="10">
        <v>184</v>
      </c>
      <c r="K602" s="10">
        <v>184.4</v>
      </c>
      <c r="L602" s="10">
        <v>153</v>
      </c>
      <c r="M602" s="10">
        <v>152</v>
      </c>
      <c r="N602" s="10">
        <v>121</v>
      </c>
      <c r="O602" s="10">
        <v>82</v>
      </c>
      <c r="P602" s="10">
        <v>104</v>
      </c>
      <c r="Q602" s="10">
        <v>18.600000000000001</v>
      </c>
      <c r="R602" s="10">
        <v>1884</v>
      </c>
      <c r="S602" s="10">
        <v>0.92</v>
      </c>
      <c r="T602" s="10">
        <v>1740</v>
      </c>
      <c r="U602" s="10">
        <v>239</v>
      </c>
      <c r="V602" s="10">
        <v>113</v>
      </c>
      <c r="W602" s="10">
        <v>39</v>
      </c>
      <c r="X602" s="10">
        <v>249</v>
      </c>
      <c r="Y602" s="10">
        <v>6</v>
      </c>
      <c r="Z602" s="10">
        <v>65</v>
      </c>
      <c r="AA602" s="10">
        <v>0.14499999999999999</v>
      </c>
      <c r="AB602" s="10">
        <v>164</v>
      </c>
      <c r="AC602" s="10">
        <v>162</v>
      </c>
      <c r="AD602" s="10">
        <v>85</v>
      </c>
      <c r="AE602" s="10">
        <v>10</v>
      </c>
      <c r="AF602" s="10">
        <v>6.9</v>
      </c>
      <c r="AG602" s="9" t="s">
        <v>349</v>
      </c>
      <c r="AH602" s="9" t="s">
        <v>231</v>
      </c>
      <c r="AI602" s="9" t="s">
        <v>188</v>
      </c>
      <c r="AJ602" s="10"/>
      <c r="AK602" s="30"/>
    </row>
    <row r="603" spans="5:37">
      <c r="E603" s="28" t="s">
        <v>155</v>
      </c>
      <c r="F603" s="8" t="s">
        <v>202</v>
      </c>
      <c r="G603" s="9" t="s">
        <v>649</v>
      </c>
      <c r="H603" s="10">
        <v>149</v>
      </c>
      <c r="I603" s="9" t="s">
        <v>163</v>
      </c>
      <c r="J603" s="10">
        <v>149</v>
      </c>
      <c r="K603" s="10">
        <v>148.69999999999999</v>
      </c>
      <c r="L603" s="10">
        <v>116</v>
      </c>
      <c r="M603" s="10">
        <v>119</v>
      </c>
      <c r="N603" s="10">
        <v>121</v>
      </c>
      <c r="O603" s="10">
        <v>82</v>
      </c>
      <c r="P603" s="10">
        <v>103</v>
      </c>
      <c r="Q603" s="10">
        <v>10.8</v>
      </c>
      <c r="R603" s="10">
        <v>1401</v>
      </c>
      <c r="S603" s="10">
        <v>1.01</v>
      </c>
      <c r="T603" s="10">
        <v>1409</v>
      </c>
      <c r="U603" s="10">
        <v>162</v>
      </c>
      <c r="V603" s="10">
        <v>78</v>
      </c>
      <c r="W603" s="10">
        <v>41</v>
      </c>
      <c r="X603" s="10">
        <v>266</v>
      </c>
      <c r="Y603" s="10">
        <v>5</v>
      </c>
      <c r="Z603" s="10">
        <v>60</v>
      </c>
      <c r="AA603" s="10">
        <v>0.113</v>
      </c>
      <c r="AB603" s="10">
        <v>156</v>
      </c>
      <c r="AC603" s="10">
        <v>140</v>
      </c>
      <c r="AD603" s="10">
        <v>110</v>
      </c>
      <c r="AE603" s="10">
        <v>8</v>
      </c>
      <c r="AF603" s="10">
        <v>6</v>
      </c>
      <c r="AG603" s="9" t="s">
        <v>231</v>
      </c>
      <c r="AH603" s="9" t="s">
        <v>188</v>
      </c>
      <c r="AI603" s="10"/>
      <c r="AJ603" s="10"/>
      <c r="AK603" s="30"/>
    </row>
    <row r="604" spans="5:37">
      <c r="E604" s="28" t="s">
        <v>155</v>
      </c>
      <c r="F604" s="8" t="s">
        <v>202</v>
      </c>
      <c r="G604" s="9" t="s">
        <v>649</v>
      </c>
      <c r="H604" s="10">
        <v>156</v>
      </c>
      <c r="I604" s="9" t="s">
        <v>163</v>
      </c>
      <c r="J604" s="10">
        <v>156</v>
      </c>
      <c r="K604" s="10">
        <v>156.69999999999999</v>
      </c>
      <c r="L604" s="10">
        <v>124</v>
      </c>
      <c r="M604" s="10">
        <v>125</v>
      </c>
      <c r="N604" s="10">
        <v>121</v>
      </c>
      <c r="O604" s="10">
        <v>82</v>
      </c>
      <c r="P604" s="10">
        <v>103</v>
      </c>
      <c r="Q604" s="10">
        <v>12.3</v>
      </c>
      <c r="R604" s="10">
        <v>1435</v>
      </c>
      <c r="S604" s="10">
        <v>1.03</v>
      </c>
      <c r="T604" s="10">
        <v>1485</v>
      </c>
      <c r="U604" s="10">
        <v>165</v>
      </c>
      <c r="V604" s="10">
        <v>70</v>
      </c>
      <c r="W604" s="10">
        <v>40</v>
      </c>
      <c r="X604" s="10">
        <v>266</v>
      </c>
      <c r="Y604" s="10">
        <v>5</v>
      </c>
      <c r="Z604" s="10">
        <v>62</v>
      </c>
      <c r="AA604" s="10">
        <v>0.124</v>
      </c>
      <c r="AB604" s="10">
        <v>169</v>
      </c>
      <c r="AC604" s="10">
        <v>143</v>
      </c>
      <c r="AD604" s="10">
        <v>96</v>
      </c>
      <c r="AE604" s="10">
        <v>8</v>
      </c>
      <c r="AF604" s="10">
        <v>6</v>
      </c>
      <c r="AG604" s="9" t="s">
        <v>231</v>
      </c>
      <c r="AH604" s="9" t="s">
        <v>188</v>
      </c>
      <c r="AI604" s="10"/>
      <c r="AJ604" s="10"/>
      <c r="AK604" s="30"/>
    </row>
    <row r="605" spans="5:37">
      <c r="E605" s="28" t="s">
        <v>155</v>
      </c>
      <c r="F605" s="8" t="s">
        <v>202</v>
      </c>
      <c r="G605" s="9" t="s">
        <v>649</v>
      </c>
      <c r="H605" s="10">
        <v>163</v>
      </c>
      <c r="I605" s="9" t="s">
        <v>163</v>
      </c>
      <c r="J605" s="10">
        <v>163</v>
      </c>
      <c r="K605" s="10">
        <v>163.9</v>
      </c>
      <c r="L605" s="10">
        <v>133</v>
      </c>
      <c r="M605" s="10">
        <v>133</v>
      </c>
      <c r="N605" s="10">
        <v>121</v>
      </c>
      <c r="O605" s="10">
        <v>82</v>
      </c>
      <c r="P605" s="10">
        <v>104</v>
      </c>
      <c r="Q605" s="10">
        <v>13.8</v>
      </c>
      <c r="R605" s="10">
        <v>1543</v>
      </c>
      <c r="S605" s="10">
        <v>1</v>
      </c>
      <c r="T605" s="10">
        <v>1551</v>
      </c>
      <c r="U605" s="10">
        <v>184</v>
      </c>
      <c r="V605" s="10">
        <v>74</v>
      </c>
      <c r="W605" s="10">
        <v>38</v>
      </c>
      <c r="X605" s="10">
        <v>248</v>
      </c>
      <c r="Y605" s="10">
        <v>5</v>
      </c>
      <c r="Z605" s="10">
        <v>64</v>
      </c>
      <c r="AA605" s="10">
        <v>0.14099999999999999</v>
      </c>
      <c r="AB605" s="10">
        <v>159</v>
      </c>
      <c r="AC605" s="10">
        <v>147</v>
      </c>
      <c r="AD605" s="10">
        <v>90</v>
      </c>
      <c r="AE605" s="10">
        <v>8</v>
      </c>
      <c r="AF605" s="10">
        <v>6.6</v>
      </c>
      <c r="AG605" s="9" t="s">
        <v>231</v>
      </c>
      <c r="AH605" s="9" t="s">
        <v>188</v>
      </c>
      <c r="AI605" s="10"/>
      <c r="AJ605" s="10"/>
      <c r="AK605" s="30"/>
    </row>
    <row r="606" spans="5:37">
      <c r="E606" s="28" t="s">
        <v>155</v>
      </c>
      <c r="F606" s="8" t="s">
        <v>202</v>
      </c>
      <c r="G606" s="9" t="s">
        <v>203</v>
      </c>
      <c r="H606" s="10">
        <v>170</v>
      </c>
      <c r="I606" s="9" t="s">
        <v>158</v>
      </c>
      <c r="J606" s="10">
        <v>170</v>
      </c>
      <c r="K606" s="10">
        <v>170</v>
      </c>
      <c r="L606" s="10">
        <v>121</v>
      </c>
      <c r="M606" s="10">
        <v>140</v>
      </c>
      <c r="N606" s="10">
        <v>118</v>
      </c>
      <c r="O606" s="10">
        <v>87</v>
      </c>
      <c r="P606" s="10">
        <v>108</v>
      </c>
      <c r="Q606" s="10">
        <v>16.5</v>
      </c>
      <c r="R606" s="10">
        <v>1683</v>
      </c>
      <c r="S606" s="10">
        <v>0.99</v>
      </c>
      <c r="T606" s="10">
        <v>1668</v>
      </c>
      <c r="U606" s="10">
        <v>223</v>
      </c>
      <c r="V606" s="10">
        <v>89</v>
      </c>
      <c r="W606" s="10">
        <v>62</v>
      </c>
      <c r="X606" s="10">
        <v>334</v>
      </c>
      <c r="Y606" s="10">
        <v>15</v>
      </c>
      <c r="Z606" s="10">
        <v>153</v>
      </c>
      <c r="AA606" s="10">
        <v>0.23400000000000001</v>
      </c>
      <c r="AB606" s="10">
        <v>187</v>
      </c>
      <c r="AC606" s="10">
        <v>117</v>
      </c>
      <c r="AD606" s="10">
        <v>147</v>
      </c>
      <c r="AE606" s="10">
        <v>6</v>
      </c>
      <c r="AF606" s="10">
        <v>11.4</v>
      </c>
      <c r="AG606" s="9" t="s">
        <v>188</v>
      </c>
      <c r="AH606" s="10"/>
      <c r="AI606" s="10"/>
      <c r="AJ606" s="10"/>
      <c r="AK606" s="30"/>
    </row>
    <row r="607" spans="5:37">
      <c r="E607" s="28" t="s">
        <v>155</v>
      </c>
      <c r="F607" s="8" t="s">
        <v>202</v>
      </c>
      <c r="G607" s="9" t="s">
        <v>203</v>
      </c>
      <c r="H607" s="10">
        <v>178</v>
      </c>
      <c r="I607" s="9" t="s">
        <v>158</v>
      </c>
      <c r="J607" s="10">
        <v>178</v>
      </c>
      <c r="K607" s="10">
        <v>177.3</v>
      </c>
      <c r="L607" s="10">
        <v>130</v>
      </c>
      <c r="M607" s="10">
        <v>147</v>
      </c>
      <c r="N607" s="10">
        <v>119</v>
      </c>
      <c r="O607" s="10">
        <v>88</v>
      </c>
      <c r="P607" s="10">
        <v>109</v>
      </c>
      <c r="Q607" s="10">
        <v>18.3</v>
      </c>
      <c r="R607" s="10">
        <v>1765</v>
      </c>
      <c r="S607" s="10">
        <v>1</v>
      </c>
      <c r="T607" s="10">
        <v>1756</v>
      </c>
      <c r="U607" s="10">
        <v>245</v>
      </c>
      <c r="V607" s="10">
        <v>97</v>
      </c>
      <c r="W607" s="10">
        <v>60</v>
      </c>
      <c r="X607" s="10">
        <v>325</v>
      </c>
      <c r="Y607" s="10">
        <v>13</v>
      </c>
      <c r="Z607" s="10">
        <v>147</v>
      </c>
      <c r="AA607" s="10">
        <v>0.22</v>
      </c>
      <c r="AB607" s="10">
        <v>187</v>
      </c>
      <c r="AC607" s="10">
        <v>119</v>
      </c>
      <c r="AD607" s="10">
        <v>137</v>
      </c>
      <c r="AE607" s="10">
        <v>7</v>
      </c>
      <c r="AF607" s="10">
        <v>11.9</v>
      </c>
      <c r="AG607" s="9" t="s">
        <v>188</v>
      </c>
      <c r="AH607" s="10"/>
      <c r="AI607" s="10"/>
      <c r="AJ607" s="10"/>
      <c r="AK607" s="30"/>
    </row>
    <row r="608" spans="5:37">
      <c r="E608" s="28" t="s">
        <v>155</v>
      </c>
      <c r="F608" s="8" t="s">
        <v>202</v>
      </c>
      <c r="G608" s="9" t="s">
        <v>203</v>
      </c>
      <c r="H608" s="10">
        <v>186</v>
      </c>
      <c r="I608" s="9" t="s">
        <v>158</v>
      </c>
      <c r="J608" s="10">
        <v>186</v>
      </c>
      <c r="K608" s="10">
        <v>185.6</v>
      </c>
      <c r="L608" s="10">
        <v>137</v>
      </c>
      <c r="M608" s="10">
        <v>154</v>
      </c>
      <c r="N608" s="10">
        <v>119</v>
      </c>
      <c r="O608" s="10">
        <v>88</v>
      </c>
      <c r="P608" s="10">
        <v>108</v>
      </c>
      <c r="Q608" s="10">
        <v>20.5</v>
      </c>
      <c r="R608" s="10">
        <v>1922</v>
      </c>
      <c r="S608" s="10">
        <v>0.95</v>
      </c>
      <c r="T608" s="10">
        <v>1834</v>
      </c>
      <c r="U608" s="10">
        <v>286</v>
      </c>
      <c r="V608" s="10">
        <v>116</v>
      </c>
      <c r="W608" s="10">
        <v>66</v>
      </c>
      <c r="X608" s="10">
        <v>334</v>
      </c>
      <c r="Y608" s="10">
        <v>14</v>
      </c>
      <c r="Z608" s="10">
        <v>152</v>
      </c>
      <c r="AA608" s="10">
        <v>0.219</v>
      </c>
      <c r="AB608" s="10">
        <v>203</v>
      </c>
      <c r="AC608" s="10">
        <v>116</v>
      </c>
      <c r="AD608" s="10">
        <v>131</v>
      </c>
      <c r="AE608" s="10">
        <v>7</v>
      </c>
      <c r="AF608" s="10">
        <v>11.7</v>
      </c>
      <c r="AG608" s="9" t="s">
        <v>188</v>
      </c>
      <c r="AH608" s="10"/>
      <c r="AI608" s="10"/>
      <c r="AJ608" s="10"/>
      <c r="AK608" s="30"/>
    </row>
    <row r="609" spans="5:37">
      <c r="E609" s="28" t="s">
        <v>155</v>
      </c>
      <c r="F609" s="8" t="s">
        <v>202</v>
      </c>
      <c r="G609" s="9" t="s">
        <v>585</v>
      </c>
      <c r="H609" s="10">
        <v>154</v>
      </c>
      <c r="I609" s="9" t="s">
        <v>163</v>
      </c>
      <c r="J609" s="10">
        <v>154</v>
      </c>
      <c r="K609" s="10">
        <v>153.5</v>
      </c>
      <c r="L609" s="10">
        <v>104</v>
      </c>
      <c r="M609" s="10">
        <v>123</v>
      </c>
      <c r="N609" s="10">
        <v>117</v>
      </c>
      <c r="O609" s="10">
        <v>86</v>
      </c>
      <c r="P609" s="10">
        <v>107</v>
      </c>
      <c r="Q609" s="10">
        <v>12.5</v>
      </c>
      <c r="R609" s="10">
        <v>1460</v>
      </c>
      <c r="S609" s="10">
        <v>1.03</v>
      </c>
      <c r="T609" s="10">
        <v>1499</v>
      </c>
      <c r="U609" s="10">
        <v>229</v>
      </c>
      <c r="V609" s="10">
        <v>85</v>
      </c>
      <c r="W609" s="10">
        <v>64</v>
      </c>
      <c r="X609" s="10">
        <v>334</v>
      </c>
      <c r="Y609" s="10">
        <v>15</v>
      </c>
      <c r="Z609" s="10">
        <v>160</v>
      </c>
      <c r="AA609" s="10">
        <v>0.23300000000000001</v>
      </c>
      <c r="AB609" s="10">
        <v>210</v>
      </c>
      <c r="AC609" s="10">
        <v>99</v>
      </c>
      <c r="AD609" s="10">
        <v>125</v>
      </c>
      <c r="AE609" s="10">
        <v>4</v>
      </c>
      <c r="AF609" s="10">
        <v>11.6</v>
      </c>
      <c r="AG609" s="9" t="s">
        <v>188</v>
      </c>
      <c r="AH609" s="10"/>
      <c r="AI609" s="10"/>
      <c r="AJ609" s="10"/>
      <c r="AK609" s="30"/>
    </row>
    <row r="610" spans="5:37">
      <c r="E610" s="28" t="s">
        <v>155</v>
      </c>
      <c r="F610" s="8" t="s">
        <v>202</v>
      </c>
      <c r="G610" s="9" t="s">
        <v>380</v>
      </c>
      <c r="H610" s="10">
        <v>170</v>
      </c>
      <c r="I610" s="9" t="s">
        <v>158</v>
      </c>
      <c r="J610" s="10">
        <v>170</v>
      </c>
      <c r="K610" s="10">
        <v>169</v>
      </c>
      <c r="L610" s="10">
        <v>121</v>
      </c>
      <c r="M610" s="10">
        <v>137</v>
      </c>
      <c r="N610" s="10">
        <v>125</v>
      </c>
      <c r="O610" s="10">
        <v>96</v>
      </c>
      <c r="P610" s="10">
        <v>115</v>
      </c>
      <c r="Q610" s="10">
        <v>17.600000000000001</v>
      </c>
      <c r="R610" s="10">
        <v>1830</v>
      </c>
      <c r="S610" s="10">
        <v>0.98</v>
      </c>
      <c r="T610" s="10">
        <v>1791</v>
      </c>
      <c r="U610" s="10">
        <v>253</v>
      </c>
      <c r="V610" s="10">
        <v>93</v>
      </c>
      <c r="W610" s="10">
        <v>60</v>
      </c>
      <c r="X610" s="10">
        <v>330</v>
      </c>
      <c r="Y610" s="10">
        <v>12</v>
      </c>
      <c r="Z610" s="10">
        <v>146</v>
      </c>
      <c r="AA610" s="10">
        <v>0.19700000000000001</v>
      </c>
      <c r="AB610" s="10">
        <v>202</v>
      </c>
      <c r="AC610" s="10">
        <v>116</v>
      </c>
      <c r="AD610" s="10">
        <v>127</v>
      </c>
      <c r="AE610" s="10">
        <v>6</v>
      </c>
      <c r="AF610" s="10">
        <v>12.1</v>
      </c>
      <c r="AG610" s="9" t="s">
        <v>188</v>
      </c>
      <c r="AH610" s="10"/>
      <c r="AI610" s="10"/>
      <c r="AJ610" s="10"/>
      <c r="AK610" s="30"/>
    </row>
    <row r="611" spans="5:37">
      <c r="E611" s="28" t="s">
        <v>155</v>
      </c>
      <c r="F611" s="8" t="s">
        <v>202</v>
      </c>
      <c r="G611" s="9" t="s">
        <v>380</v>
      </c>
      <c r="H611" s="10">
        <v>178</v>
      </c>
      <c r="I611" s="9" t="s">
        <v>158</v>
      </c>
      <c r="J611" s="10">
        <v>178</v>
      </c>
      <c r="K611" s="10">
        <v>177.3</v>
      </c>
      <c r="L611" s="10">
        <v>129</v>
      </c>
      <c r="M611" s="10">
        <v>146</v>
      </c>
      <c r="N611" s="10">
        <v>126</v>
      </c>
      <c r="O611" s="10">
        <v>97</v>
      </c>
      <c r="P611" s="10">
        <v>116</v>
      </c>
      <c r="Q611" s="10">
        <v>19.7</v>
      </c>
      <c r="R611" s="10">
        <v>1920</v>
      </c>
      <c r="S611" s="10">
        <v>0.99</v>
      </c>
      <c r="T611" s="10">
        <v>1893</v>
      </c>
      <c r="U611" s="10">
        <v>267</v>
      </c>
      <c r="V611" s="10">
        <v>109</v>
      </c>
      <c r="W611" s="10">
        <v>62</v>
      </c>
      <c r="X611" s="10">
        <v>327</v>
      </c>
      <c r="Y611" s="10">
        <v>14</v>
      </c>
      <c r="Z611" s="10">
        <v>151</v>
      </c>
      <c r="AA611" s="10">
        <v>0.22900000000000001</v>
      </c>
      <c r="AB611" s="10">
        <v>189</v>
      </c>
      <c r="AC611" s="10">
        <v>125</v>
      </c>
      <c r="AD611" s="10">
        <v>138</v>
      </c>
      <c r="AE611" s="10">
        <v>6</v>
      </c>
      <c r="AF611" s="10">
        <v>12.2</v>
      </c>
      <c r="AG611" s="9" t="s">
        <v>188</v>
      </c>
      <c r="AH611" s="10"/>
      <c r="AI611" s="10"/>
      <c r="AJ611" s="10"/>
      <c r="AK611" s="30"/>
    </row>
    <row r="612" spans="5:37">
      <c r="E612" s="28" t="s">
        <v>155</v>
      </c>
      <c r="F612" s="8" t="s">
        <v>202</v>
      </c>
      <c r="G612" s="9" t="s">
        <v>380</v>
      </c>
      <c r="H612" s="10">
        <v>186</v>
      </c>
      <c r="I612" s="9" t="s">
        <v>158</v>
      </c>
      <c r="J612" s="10">
        <v>186</v>
      </c>
      <c r="K612" s="10">
        <v>185.2</v>
      </c>
      <c r="L612" s="10">
        <v>136</v>
      </c>
      <c r="M612" s="10">
        <v>153</v>
      </c>
      <c r="N612" s="10">
        <v>126</v>
      </c>
      <c r="O612" s="10">
        <v>97</v>
      </c>
      <c r="P612" s="10">
        <v>116</v>
      </c>
      <c r="Q612" s="10">
        <v>21.9</v>
      </c>
      <c r="R612" s="10">
        <v>2038</v>
      </c>
      <c r="S612" s="10">
        <v>0.97</v>
      </c>
      <c r="T612" s="10">
        <v>1973</v>
      </c>
      <c r="U612" s="10">
        <v>275</v>
      </c>
      <c r="V612" s="10">
        <v>118</v>
      </c>
      <c r="W612" s="10">
        <v>61</v>
      </c>
      <c r="X612" s="10">
        <v>330</v>
      </c>
      <c r="Y612" s="10">
        <v>16</v>
      </c>
      <c r="Z612" s="10">
        <v>162</v>
      </c>
      <c r="AA612" s="10">
        <v>0.27100000000000002</v>
      </c>
      <c r="AB612" s="10">
        <v>202</v>
      </c>
      <c r="AC612" s="10">
        <v>123</v>
      </c>
      <c r="AD612" s="10">
        <v>128</v>
      </c>
      <c r="AE612" s="10">
        <v>5</v>
      </c>
      <c r="AF612" s="10">
        <v>12.4</v>
      </c>
      <c r="AG612" s="9" t="s">
        <v>188</v>
      </c>
      <c r="AH612" s="10"/>
      <c r="AI612" s="10"/>
      <c r="AJ612" s="10"/>
      <c r="AK612" s="30"/>
    </row>
    <row r="613" spans="5:37">
      <c r="E613" s="28" t="s">
        <v>155</v>
      </c>
      <c r="F613" s="8" t="s">
        <v>202</v>
      </c>
      <c r="G613" s="9" t="s">
        <v>211</v>
      </c>
      <c r="H613" s="10">
        <v>154</v>
      </c>
      <c r="I613" s="9" t="s">
        <v>163</v>
      </c>
      <c r="J613" s="10">
        <v>154</v>
      </c>
      <c r="K613" s="10">
        <v>153.69999999999999</v>
      </c>
      <c r="L613" s="10">
        <v>105</v>
      </c>
      <c r="M613" s="10">
        <v>124</v>
      </c>
      <c r="N613" s="10">
        <v>124</v>
      </c>
      <c r="O613" s="10">
        <v>95</v>
      </c>
      <c r="P613" s="10">
        <v>114</v>
      </c>
      <c r="Q613" s="10">
        <v>13.8</v>
      </c>
      <c r="R613" s="10">
        <v>1561</v>
      </c>
      <c r="S613" s="10">
        <v>1.03</v>
      </c>
      <c r="T613" s="10">
        <v>1614</v>
      </c>
      <c r="U613" s="10">
        <v>205</v>
      </c>
      <c r="V613" s="10">
        <v>91</v>
      </c>
      <c r="W613" s="10">
        <v>64</v>
      </c>
      <c r="X613" s="10">
        <v>334</v>
      </c>
      <c r="Y613" s="10">
        <v>14</v>
      </c>
      <c r="Z613" s="10">
        <v>150</v>
      </c>
      <c r="AA613" s="10">
        <v>0.22500000000000001</v>
      </c>
      <c r="AB613" s="10">
        <v>194</v>
      </c>
      <c r="AC613" s="10">
        <v>99</v>
      </c>
      <c r="AD613" s="10">
        <v>140</v>
      </c>
      <c r="AE613" s="10">
        <v>4</v>
      </c>
      <c r="AF613" s="10">
        <v>11.2</v>
      </c>
      <c r="AG613" s="9" t="s">
        <v>188</v>
      </c>
      <c r="AH613" s="10"/>
      <c r="AI613" s="10"/>
      <c r="AJ613" s="10"/>
      <c r="AK613" s="30"/>
    </row>
    <row r="614" spans="5:37">
      <c r="E614" s="28" t="s">
        <v>155</v>
      </c>
      <c r="F614" s="8" t="s">
        <v>202</v>
      </c>
      <c r="G614" s="9" t="s">
        <v>211</v>
      </c>
      <c r="H614" s="10">
        <v>162</v>
      </c>
      <c r="I614" s="9" t="s">
        <v>163</v>
      </c>
      <c r="J614" s="10">
        <v>162</v>
      </c>
      <c r="K614" s="10">
        <v>161.4</v>
      </c>
      <c r="L614" s="10">
        <v>113</v>
      </c>
      <c r="M614" s="10">
        <v>132</v>
      </c>
      <c r="N614" s="10">
        <v>124</v>
      </c>
      <c r="O614" s="10">
        <v>95</v>
      </c>
      <c r="P614" s="10">
        <v>114</v>
      </c>
      <c r="Q614" s="10">
        <v>15.4</v>
      </c>
      <c r="R614" s="10">
        <v>1710</v>
      </c>
      <c r="S614" s="10">
        <v>0.99</v>
      </c>
      <c r="T614" s="10">
        <v>1698</v>
      </c>
      <c r="U614" s="10">
        <v>249</v>
      </c>
      <c r="V614" s="10">
        <v>95</v>
      </c>
      <c r="W614" s="10">
        <v>59</v>
      </c>
      <c r="X614" s="10">
        <v>332</v>
      </c>
      <c r="Y614" s="10">
        <v>15</v>
      </c>
      <c r="Z614" s="10">
        <v>157</v>
      </c>
      <c r="AA614" s="10">
        <v>0.254</v>
      </c>
      <c r="AB614" s="10">
        <v>192</v>
      </c>
      <c r="AC614" s="10">
        <v>105</v>
      </c>
      <c r="AD614" s="10">
        <v>140</v>
      </c>
      <c r="AE614" s="10">
        <v>5</v>
      </c>
      <c r="AF614" s="10">
        <v>12</v>
      </c>
      <c r="AG614" s="9" t="s">
        <v>188</v>
      </c>
      <c r="AH614" s="10"/>
      <c r="AI614" s="10"/>
      <c r="AJ614" s="10"/>
      <c r="AK614" s="30"/>
    </row>
    <row r="615" spans="5:37">
      <c r="E615" s="28" t="s">
        <v>155</v>
      </c>
      <c r="F615" s="8" t="s">
        <v>202</v>
      </c>
      <c r="G615" s="9" t="s">
        <v>211</v>
      </c>
      <c r="H615" s="10">
        <v>170</v>
      </c>
      <c r="I615" s="9" t="s">
        <v>163</v>
      </c>
      <c r="J615" s="10">
        <v>170</v>
      </c>
      <c r="K615" s="10">
        <v>169.6</v>
      </c>
      <c r="L615" s="10">
        <v>122</v>
      </c>
      <c r="M615" s="10">
        <v>139</v>
      </c>
      <c r="N615" s="10">
        <v>125</v>
      </c>
      <c r="O615" s="10">
        <v>96</v>
      </c>
      <c r="P615" s="10">
        <v>114</v>
      </c>
      <c r="Q615" s="10">
        <v>17.3</v>
      </c>
      <c r="R615" s="10">
        <v>1768</v>
      </c>
      <c r="S615" s="10">
        <v>1.01</v>
      </c>
      <c r="T615" s="10">
        <v>1789</v>
      </c>
      <c r="U615" s="10">
        <v>227</v>
      </c>
      <c r="V615" s="10">
        <v>99</v>
      </c>
      <c r="W615" s="10">
        <v>60</v>
      </c>
      <c r="X615" s="10">
        <v>325</v>
      </c>
      <c r="Y615" s="10">
        <v>14</v>
      </c>
      <c r="Z615" s="10">
        <v>148</v>
      </c>
      <c r="AA615" s="10">
        <v>0.22900000000000001</v>
      </c>
      <c r="AB615" s="10">
        <v>199</v>
      </c>
      <c r="AC615" s="10">
        <v>107</v>
      </c>
      <c r="AD615" s="10">
        <v>126</v>
      </c>
      <c r="AE615" s="10">
        <v>9</v>
      </c>
      <c r="AF615" s="10">
        <v>11.6</v>
      </c>
      <c r="AG615" s="9" t="s">
        <v>188</v>
      </c>
      <c r="AH615" s="10"/>
      <c r="AI615" s="10"/>
      <c r="AJ615" s="10"/>
      <c r="AK615" s="30"/>
    </row>
    <row r="616" spans="5:37">
      <c r="E616" s="28" t="s">
        <v>155</v>
      </c>
      <c r="F616" s="8" t="s">
        <v>202</v>
      </c>
      <c r="G616" s="9" t="s">
        <v>1157</v>
      </c>
      <c r="H616" s="10">
        <v>192</v>
      </c>
      <c r="I616" s="9" t="s">
        <v>158</v>
      </c>
      <c r="J616" s="10">
        <v>192</v>
      </c>
      <c r="K616" s="10">
        <v>191</v>
      </c>
      <c r="L616" s="10">
        <v>159</v>
      </c>
      <c r="M616" s="10">
        <v>161</v>
      </c>
      <c r="N616" s="10">
        <v>132</v>
      </c>
      <c r="O616" s="10">
        <v>104</v>
      </c>
      <c r="P616" s="10">
        <v>120</v>
      </c>
      <c r="Q616" s="10">
        <v>27.9</v>
      </c>
      <c r="R616" s="10">
        <v>2657</v>
      </c>
      <c r="S616" s="10">
        <v>0.81</v>
      </c>
      <c r="T616" s="10">
        <v>2147</v>
      </c>
      <c r="U616" s="10">
        <v>276</v>
      </c>
      <c r="V616" s="10">
        <v>174</v>
      </c>
      <c r="W616" s="10">
        <v>33</v>
      </c>
      <c r="X616" s="10">
        <v>221</v>
      </c>
      <c r="Y616" s="10">
        <v>11</v>
      </c>
      <c r="Z616" s="10">
        <v>98</v>
      </c>
      <c r="AA616" s="10">
        <v>0.32</v>
      </c>
      <c r="AB616" s="10">
        <v>187</v>
      </c>
      <c r="AC616" s="10">
        <v>114</v>
      </c>
      <c r="AD616" s="10">
        <v>34</v>
      </c>
      <c r="AE616" s="10">
        <v>16</v>
      </c>
      <c r="AF616" s="10">
        <v>12.4</v>
      </c>
      <c r="AG616" s="9" t="s">
        <v>188</v>
      </c>
      <c r="AH616" s="9" t="s">
        <v>178</v>
      </c>
      <c r="AI616" s="10"/>
      <c r="AJ616" s="10"/>
      <c r="AK616" s="30"/>
    </row>
    <row r="617" spans="5:37">
      <c r="E617" s="28" t="s">
        <v>155</v>
      </c>
      <c r="F617" s="8" t="s">
        <v>202</v>
      </c>
      <c r="G617" s="9" t="s">
        <v>660</v>
      </c>
      <c r="H617" s="10">
        <v>171</v>
      </c>
      <c r="I617" s="9" t="s">
        <v>158</v>
      </c>
      <c r="J617" s="10">
        <v>171</v>
      </c>
      <c r="K617" s="10">
        <v>170.5</v>
      </c>
      <c r="L617" s="10">
        <v>130</v>
      </c>
      <c r="M617" s="10">
        <v>127</v>
      </c>
      <c r="N617" s="10">
        <v>127</v>
      </c>
      <c r="O617" s="10">
        <v>86</v>
      </c>
      <c r="P617" s="10">
        <v>103</v>
      </c>
      <c r="Q617" s="10">
        <v>13.8</v>
      </c>
      <c r="R617" s="10">
        <v>1250</v>
      </c>
      <c r="S617" s="10">
        <v>1.34</v>
      </c>
      <c r="T617" s="10">
        <v>1673</v>
      </c>
      <c r="U617" s="10">
        <v>223</v>
      </c>
      <c r="V617" s="10">
        <v>66</v>
      </c>
      <c r="W617" s="10">
        <v>74</v>
      </c>
      <c r="X617" s="10">
        <v>353</v>
      </c>
      <c r="Y617" s="10">
        <v>4</v>
      </c>
      <c r="Z617" s="10">
        <v>49</v>
      </c>
      <c r="AA617" s="10">
        <v>4.8000000000000001E-2</v>
      </c>
      <c r="AB617" s="10">
        <v>198</v>
      </c>
      <c r="AC617" s="10">
        <v>240</v>
      </c>
      <c r="AD617" s="10">
        <v>154</v>
      </c>
      <c r="AE617" s="10">
        <v>5</v>
      </c>
      <c r="AF617" s="10">
        <v>11.8</v>
      </c>
      <c r="AG617" s="9" t="s">
        <v>185</v>
      </c>
      <c r="AH617" s="9" t="s">
        <v>198</v>
      </c>
      <c r="AI617" s="10"/>
      <c r="AJ617" s="10"/>
      <c r="AK617" s="30"/>
    </row>
    <row r="618" spans="5:37">
      <c r="E618" s="28" t="s">
        <v>155</v>
      </c>
      <c r="F618" s="8" t="s">
        <v>202</v>
      </c>
      <c r="G618" s="9" t="s">
        <v>660</v>
      </c>
      <c r="H618" s="10">
        <v>179</v>
      </c>
      <c r="I618" s="9" t="s">
        <v>158</v>
      </c>
      <c r="J618" s="10">
        <v>179</v>
      </c>
      <c r="K618" s="10">
        <v>176.4</v>
      </c>
      <c r="L618" s="10">
        <v>138</v>
      </c>
      <c r="M618" s="10">
        <v>132</v>
      </c>
      <c r="N618" s="10">
        <v>127</v>
      </c>
      <c r="O618" s="10">
        <v>86</v>
      </c>
      <c r="P618" s="10">
        <v>102</v>
      </c>
      <c r="Q618" s="10">
        <v>15.4</v>
      </c>
      <c r="R618" s="10">
        <v>1272</v>
      </c>
      <c r="S618" s="10">
        <v>1.36</v>
      </c>
      <c r="T618" s="10">
        <v>1734</v>
      </c>
      <c r="U618" s="10">
        <v>236</v>
      </c>
      <c r="V618" s="10">
        <v>74</v>
      </c>
      <c r="W618" s="10">
        <v>72</v>
      </c>
      <c r="X618" s="10">
        <v>339</v>
      </c>
      <c r="Y618" s="10">
        <v>5</v>
      </c>
      <c r="Z618" s="10">
        <v>49</v>
      </c>
      <c r="AA618" s="10">
        <v>6.8000000000000005E-2</v>
      </c>
      <c r="AB618" s="10">
        <v>208</v>
      </c>
      <c r="AC618" s="10">
        <v>232</v>
      </c>
      <c r="AD618" s="10">
        <v>131</v>
      </c>
      <c r="AE618" s="10">
        <v>6</v>
      </c>
      <c r="AF618" s="10">
        <v>12.9</v>
      </c>
      <c r="AG618" s="9" t="s">
        <v>185</v>
      </c>
      <c r="AH618" s="9" t="s">
        <v>198</v>
      </c>
      <c r="AI618" s="10"/>
      <c r="AJ618" s="10"/>
      <c r="AK618" s="30"/>
    </row>
    <row r="619" spans="5:37">
      <c r="E619" s="28" t="s">
        <v>155</v>
      </c>
      <c r="F619" s="8" t="s">
        <v>202</v>
      </c>
      <c r="G619" s="9" t="s">
        <v>498</v>
      </c>
      <c r="H619" s="10">
        <v>170</v>
      </c>
      <c r="I619" s="9" t="s">
        <v>158</v>
      </c>
      <c r="J619" s="10">
        <v>170</v>
      </c>
      <c r="K619" s="10">
        <v>169.6</v>
      </c>
      <c r="L619" s="10">
        <v>123</v>
      </c>
      <c r="M619" s="10">
        <v>136</v>
      </c>
      <c r="N619" s="10">
        <v>125</v>
      </c>
      <c r="O619" s="10">
        <v>96</v>
      </c>
      <c r="P619" s="10">
        <v>115</v>
      </c>
      <c r="Q619" s="10">
        <v>17.600000000000001</v>
      </c>
      <c r="R619" s="10">
        <v>1245</v>
      </c>
      <c r="S619" s="10">
        <v>1.44</v>
      </c>
      <c r="T619" s="10">
        <v>1796</v>
      </c>
      <c r="U619" s="10">
        <v>189</v>
      </c>
      <c r="V619" s="10">
        <v>80</v>
      </c>
      <c r="W619" s="10">
        <v>55</v>
      </c>
      <c r="X619" s="10">
        <v>320</v>
      </c>
      <c r="Y619" s="10">
        <v>14</v>
      </c>
      <c r="Z619" s="10">
        <v>149</v>
      </c>
      <c r="AA619" s="10">
        <v>0.255</v>
      </c>
      <c r="AB619" s="10">
        <v>201</v>
      </c>
      <c r="AC619" s="10">
        <v>132</v>
      </c>
      <c r="AD619" s="10">
        <v>120</v>
      </c>
      <c r="AE619" s="10">
        <v>6</v>
      </c>
      <c r="AF619" s="10">
        <v>11.9</v>
      </c>
      <c r="AG619" s="9" t="s">
        <v>185</v>
      </c>
      <c r="AH619" s="9" t="s">
        <v>198</v>
      </c>
      <c r="AI619" s="10"/>
      <c r="AJ619" s="10"/>
      <c r="AK619" s="30"/>
    </row>
    <row r="620" spans="5:37">
      <c r="E620" s="28" t="s">
        <v>155</v>
      </c>
      <c r="F620" s="8" t="s">
        <v>202</v>
      </c>
      <c r="G620" s="9" t="s">
        <v>498</v>
      </c>
      <c r="H620" s="10">
        <v>178</v>
      </c>
      <c r="I620" s="9" t="s">
        <v>158</v>
      </c>
      <c r="J620" s="10">
        <v>178</v>
      </c>
      <c r="K620" s="10">
        <v>177.2</v>
      </c>
      <c r="L620" s="10">
        <v>131</v>
      </c>
      <c r="M620" s="10">
        <v>145</v>
      </c>
      <c r="N620" s="10">
        <v>126</v>
      </c>
      <c r="O620" s="10">
        <v>97</v>
      </c>
      <c r="P620" s="10">
        <v>116</v>
      </c>
      <c r="Q620" s="10">
        <v>19.8</v>
      </c>
      <c r="R620" s="10">
        <v>1334</v>
      </c>
      <c r="S620" s="10">
        <v>1.42</v>
      </c>
      <c r="T620" s="10">
        <v>1897</v>
      </c>
      <c r="U620" s="10">
        <v>243</v>
      </c>
      <c r="V620" s="10">
        <v>77</v>
      </c>
      <c r="W620" s="10">
        <v>59</v>
      </c>
      <c r="X620" s="10">
        <v>324</v>
      </c>
      <c r="Y620" s="10">
        <v>11</v>
      </c>
      <c r="Z620" s="10">
        <v>140</v>
      </c>
      <c r="AA620" s="10">
        <v>0.18099999999999999</v>
      </c>
      <c r="AB620" s="10">
        <v>196</v>
      </c>
      <c r="AC620" s="10">
        <v>126</v>
      </c>
      <c r="AD620" s="10">
        <v>128</v>
      </c>
      <c r="AE620" s="10">
        <v>7</v>
      </c>
      <c r="AF620" s="10">
        <v>12.2</v>
      </c>
      <c r="AG620" s="9" t="s">
        <v>185</v>
      </c>
      <c r="AH620" s="9" t="s">
        <v>198</v>
      </c>
      <c r="AI620" s="10"/>
      <c r="AJ620" s="10"/>
      <c r="AK620" s="30"/>
    </row>
    <row r="621" spans="5:37">
      <c r="E621" s="28" t="s">
        <v>155</v>
      </c>
      <c r="F621" s="8" t="s">
        <v>202</v>
      </c>
      <c r="G621" s="9" t="s">
        <v>498</v>
      </c>
      <c r="H621" s="10">
        <v>186</v>
      </c>
      <c r="I621" s="9" t="s">
        <v>158</v>
      </c>
      <c r="J621" s="10">
        <v>186</v>
      </c>
      <c r="K621" s="10">
        <v>185.2</v>
      </c>
      <c r="L621" s="10">
        <v>138</v>
      </c>
      <c r="M621" s="10">
        <v>153</v>
      </c>
      <c r="N621" s="10">
        <v>126</v>
      </c>
      <c r="O621" s="10">
        <v>97</v>
      </c>
      <c r="P621" s="10">
        <v>116</v>
      </c>
      <c r="Q621" s="10">
        <v>22.1</v>
      </c>
      <c r="R621" s="10">
        <v>1421</v>
      </c>
      <c r="S621" s="10">
        <v>1.39</v>
      </c>
      <c r="T621" s="10">
        <v>1975</v>
      </c>
      <c r="U621" s="10">
        <v>278</v>
      </c>
      <c r="V621" s="10">
        <v>92</v>
      </c>
      <c r="W621" s="10">
        <v>56</v>
      </c>
      <c r="X621" s="10">
        <v>324</v>
      </c>
      <c r="Y621" s="10">
        <v>12</v>
      </c>
      <c r="Z621" s="10">
        <v>145</v>
      </c>
      <c r="AA621" s="10">
        <v>0.214</v>
      </c>
      <c r="AB621" s="10">
        <v>201</v>
      </c>
      <c r="AC621" s="10">
        <v>122</v>
      </c>
      <c r="AD621" s="10">
        <v>123</v>
      </c>
      <c r="AE621" s="10">
        <v>7</v>
      </c>
      <c r="AF621" s="10">
        <v>12.4</v>
      </c>
      <c r="AG621" s="9" t="s">
        <v>185</v>
      </c>
      <c r="AH621" s="9" t="s">
        <v>198</v>
      </c>
      <c r="AI621" s="10"/>
      <c r="AJ621" s="10"/>
      <c r="AK621" s="30"/>
    </row>
    <row r="622" spans="5:37">
      <c r="E622" s="28" t="s">
        <v>155</v>
      </c>
      <c r="F622" s="8" t="s">
        <v>202</v>
      </c>
      <c r="G622" s="9" t="s">
        <v>729</v>
      </c>
      <c r="H622" s="10">
        <v>155</v>
      </c>
      <c r="I622" s="9" t="s">
        <v>158</v>
      </c>
      <c r="J622" s="10">
        <v>155</v>
      </c>
      <c r="K622" s="10">
        <v>155.30000000000001</v>
      </c>
      <c r="L622" s="10">
        <v>135</v>
      </c>
      <c r="M622" s="10">
        <v>141</v>
      </c>
      <c r="N622" s="10">
        <v>123</v>
      </c>
      <c r="O622" s="10">
        <v>74</v>
      </c>
      <c r="P622" s="10">
        <v>109</v>
      </c>
      <c r="Q622" s="10">
        <v>11.8</v>
      </c>
      <c r="R622" s="10">
        <v>1474</v>
      </c>
      <c r="S622" s="10">
        <v>0.94</v>
      </c>
      <c r="T622" s="10">
        <v>1387</v>
      </c>
      <c r="U622" s="10">
        <v>147</v>
      </c>
      <c r="V622" s="10">
        <v>50</v>
      </c>
      <c r="W622" s="10">
        <v>40</v>
      </c>
      <c r="X622" s="10">
        <v>147</v>
      </c>
      <c r="Y622" s="10">
        <v>5</v>
      </c>
      <c r="Z622" s="10">
        <v>54</v>
      </c>
      <c r="AA622" s="10">
        <v>0.129</v>
      </c>
      <c r="AB622" s="10">
        <v>84</v>
      </c>
      <c r="AC622" s="10">
        <v>58</v>
      </c>
      <c r="AD622" s="10">
        <v>63</v>
      </c>
      <c r="AE622" s="10">
        <v>7</v>
      </c>
      <c r="AF622" s="10">
        <v>9.9</v>
      </c>
      <c r="AG622" s="9" t="s">
        <v>349</v>
      </c>
      <c r="AH622" s="10"/>
      <c r="AI622" s="10"/>
      <c r="AJ622" s="10"/>
      <c r="AK622" s="30"/>
    </row>
    <row r="623" spans="5:37">
      <c r="E623" s="28" t="s">
        <v>155</v>
      </c>
      <c r="F623" s="8" t="s">
        <v>202</v>
      </c>
      <c r="G623" s="9" t="s">
        <v>729</v>
      </c>
      <c r="H623" s="10">
        <v>170</v>
      </c>
      <c r="I623" s="9" t="s">
        <v>158</v>
      </c>
      <c r="J623" s="10">
        <v>170</v>
      </c>
      <c r="K623" s="10">
        <v>168.6</v>
      </c>
      <c r="L623" s="10">
        <v>148</v>
      </c>
      <c r="M623" s="10">
        <v>155</v>
      </c>
      <c r="N623" s="10">
        <v>123</v>
      </c>
      <c r="O623" s="10">
        <v>74</v>
      </c>
      <c r="P623" s="10">
        <v>110</v>
      </c>
      <c r="Q623" s="10">
        <v>14.4</v>
      </c>
      <c r="R623" s="10">
        <v>1638</v>
      </c>
      <c r="S623" s="10">
        <v>0.92</v>
      </c>
      <c r="T623" s="10">
        <v>1502</v>
      </c>
      <c r="U623" s="10">
        <v>194</v>
      </c>
      <c r="V623" s="10">
        <v>64</v>
      </c>
      <c r="W623" s="10">
        <v>43</v>
      </c>
      <c r="X623" s="10">
        <v>152</v>
      </c>
      <c r="Y623" s="10">
        <v>4</v>
      </c>
      <c r="Z623" s="10">
        <v>54</v>
      </c>
      <c r="AA623" s="10">
        <v>9.8000000000000004E-2</v>
      </c>
      <c r="AB623" s="10">
        <v>80</v>
      </c>
      <c r="AC623" s="10">
        <v>52</v>
      </c>
      <c r="AD623" s="10">
        <v>72</v>
      </c>
      <c r="AE623" s="10">
        <v>9</v>
      </c>
      <c r="AF623" s="10">
        <v>10.5</v>
      </c>
      <c r="AG623" s="9" t="s">
        <v>349</v>
      </c>
      <c r="AH623" s="10"/>
      <c r="AI623" s="10"/>
      <c r="AJ623" s="10"/>
      <c r="AK623" s="30"/>
    </row>
    <row r="624" spans="5:37">
      <c r="E624" s="28" t="s">
        <v>155</v>
      </c>
      <c r="F624" s="8" t="s">
        <v>202</v>
      </c>
      <c r="G624" s="9" t="s">
        <v>798</v>
      </c>
      <c r="H624" s="10">
        <v>158</v>
      </c>
      <c r="I624" s="9" t="s">
        <v>158</v>
      </c>
      <c r="J624" s="10">
        <v>158</v>
      </c>
      <c r="K624" s="10">
        <v>157.5</v>
      </c>
      <c r="L624" s="10">
        <v>136</v>
      </c>
      <c r="M624" s="10">
        <v>143</v>
      </c>
      <c r="N624" s="10">
        <v>121</v>
      </c>
      <c r="O624" s="10">
        <v>72</v>
      </c>
      <c r="P624" s="10">
        <v>106</v>
      </c>
      <c r="Q624" s="10">
        <v>12.1</v>
      </c>
      <c r="R624" s="10">
        <v>1913</v>
      </c>
      <c r="S624" s="10">
        <v>0.72</v>
      </c>
      <c r="T624" s="10">
        <v>1372</v>
      </c>
      <c r="U624" s="10">
        <v>220</v>
      </c>
      <c r="V624" s="10">
        <v>115</v>
      </c>
      <c r="W624" s="10">
        <v>40</v>
      </c>
      <c r="X624" s="10">
        <v>151</v>
      </c>
      <c r="Y624" s="10">
        <v>7</v>
      </c>
      <c r="Z624" s="10">
        <v>62</v>
      </c>
      <c r="AA624" s="10">
        <v>0.189</v>
      </c>
      <c r="AB624" s="10">
        <v>84</v>
      </c>
      <c r="AC624" s="10">
        <v>64</v>
      </c>
      <c r="AD624" s="10">
        <v>67</v>
      </c>
      <c r="AE624" s="10">
        <v>10</v>
      </c>
      <c r="AF624" s="10">
        <v>11.1</v>
      </c>
      <c r="AG624" s="9" t="s">
        <v>349</v>
      </c>
      <c r="AH624" s="10"/>
      <c r="AI624" s="10"/>
      <c r="AJ624" s="10"/>
      <c r="AK624" s="30"/>
    </row>
    <row r="625" spans="5:37">
      <c r="E625" s="28" t="s">
        <v>155</v>
      </c>
      <c r="F625" s="8" t="s">
        <v>202</v>
      </c>
      <c r="G625" s="9" t="s">
        <v>798</v>
      </c>
      <c r="H625" s="10">
        <v>166</v>
      </c>
      <c r="I625" s="9" t="s">
        <v>158</v>
      </c>
      <c r="J625" s="10">
        <v>166</v>
      </c>
      <c r="K625" s="10">
        <v>165.1</v>
      </c>
      <c r="L625" s="10">
        <v>144</v>
      </c>
      <c r="M625" s="10">
        <v>150</v>
      </c>
      <c r="N625" s="10">
        <v>120</v>
      </c>
      <c r="O625" s="10">
        <v>72</v>
      </c>
      <c r="P625" s="10">
        <v>106</v>
      </c>
      <c r="Q625" s="10">
        <v>13.5</v>
      </c>
      <c r="R625" s="10">
        <v>1994</v>
      </c>
      <c r="S625" s="10">
        <v>0.72</v>
      </c>
      <c r="T625" s="10">
        <v>1439</v>
      </c>
      <c r="U625" s="10">
        <v>213</v>
      </c>
      <c r="V625" s="10">
        <v>106</v>
      </c>
      <c r="W625" s="10">
        <v>41</v>
      </c>
      <c r="X625" s="10">
        <v>153</v>
      </c>
      <c r="Y625" s="10">
        <v>7</v>
      </c>
      <c r="Z625" s="10">
        <v>58</v>
      </c>
      <c r="AA625" s="10">
        <v>0.16400000000000001</v>
      </c>
      <c r="AB625" s="10">
        <v>87</v>
      </c>
      <c r="AC625" s="10">
        <v>62</v>
      </c>
      <c r="AD625" s="10">
        <v>66</v>
      </c>
      <c r="AE625" s="10">
        <v>11</v>
      </c>
      <c r="AF625" s="10">
        <v>11.5</v>
      </c>
      <c r="AG625" s="9" t="s">
        <v>349</v>
      </c>
      <c r="AH625" s="10"/>
      <c r="AI625" s="10"/>
      <c r="AJ625" s="10"/>
      <c r="AK625" s="30"/>
    </row>
    <row r="626" spans="5:37">
      <c r="E626" s="28" t="s">
        <v>155</v>
      </c>
      <c r="F626" s="8" t="s">
        <v>202</v>
      </c>
      <c r="G626" s="9" t="s">
        <v>798</v>
      </c>
      <c r="H626" s="10">
        <v>174</v>
      </c>
      <c r="I626" s="9" t="s">
        <v>158</v>
      </c>
      <c r="J626" s="10">
        <v>174</v>
      </c>
      <c r="K626" s="10">
        <v>173.1</v>
      </c>
      <c r="L626" s="10">
        <v>153</v>
      </c>
      <c r="M626" s="10">
        <v>159</v>
      </c>
      <c r="N626" s="10">
        <v>121</v>
      </c>
      <c r="O626" s="10">
        <v>72</v>
      </c>
      <c r="P626" s="10">
        <v>105</v>
      </c>
      <c r="Q626" s="10">
        <v>15.1</v>
      </c>
      <c r="R626" s="10">
        <v>2102</v>
      </c>
      <c r="S626" s="10">
        <v>0.72</v>
      </c>
      <c r="T626" s="10">
        <v>1507</v>
      </c>
      <c r="U626" s="10">
        <v>224</v>
      </c>
      <c r="V626" s="10">
        <v>112</v>
      </c>
      <c r="W626" s="10">
        <v>39</v>
      </c>
      <c r="X626" s="10">
        <v>144</v>
      </c>
      <c r="Y626" s="10">
        <v>7</v>
      </c>
      <c r="Z626" s="10">
        <v>58</v>
      </c>
      <c r="AA626" s="10">
        <v>0.17699999999999999</v>
      </c>
      <c r="AB626" s="10">
        <v>82</v>
      </c>
      <c r="AC626" s="10">
        <v>62</v>
      </c>
      <c r="AD626" s="10">
        <v>62</v>
      </c>
      <c r="AE626" s="10">
        <v>12</v>
      </c>
      <c r="AF626" s="10">
        <v>11.8</v>
      </c>
      <c r="AG626" s="9" t="s">
        <v>349</v>
      </c>
      <c r="AH626" s="10"/>
      <c r="AI626" s="10"/>
      <c r="AJ626" s="10"/>
      <c r="AK626" s="30"/>
    </row>
    <row r="627" spans="5:37">
      <c r="E627" s="28" t="s">
        <v>155</v>
      </c>
      <c r="F627" s="8" t="s">
        <v>164</v>
      </c>
      <c r="G627" s="9" t="s">
        <v>883</v>
      </c>
      <c r="H627" s="10">
        <v>159</v>
      </c>
      <c r="I627" s="9" t="s">
        <v>158</v>
      </c>
      <c r="J627" s="10">
        <v>159</v>
      </c>
      <c r="K627" s="10">
        <v>157.9</v>
      </c>
      <c r="L627" s="10">
        <v>141</v>
      </c>
      <c r="M627" s="10">
        <v>148</v>
      </c>
      <c r="N627" s="10">
        <v>118</v>
      </c>
      <c r="O627" s="10">
        <v>67</v>
      </c>
      <c r="P627" s="10">
        <v>102</v>
      </c>
      <c r="Q627" s="10">
        <v>12.6</v>
      </c>
      <c r="R627" s="10">
        <v>2277</v>
      </c>
      <c r="S627" s="10">
        <v>0.57999999999999996</v>
      </c>
      <c r="T627" s="10">
        <v>1309</v>
      </c>
      <c r="U627" s="10">
        <v>217</v>
      </c>
      <c r="V627" s="10">
        <v>121</v>
      </c>
      <c r="W627" s="10">
        <v>36</v>
      </c>
      <c r="X627" s="10">
        <v>131</v>
      </c>
      <c r="Y627" s="10">
        <v>3</v>
      </c>
      <c r="Z627" s="10">
        <v>41</v>
      </c>
      <c r="AA627" s="10">
        <v>9.1999999999999998E-2</v>
      </c>
      <c r="AB627" s="10">
        <v>58</v>
      </c>
      <c r="AC627" s="10">
        <v>39</v>
      </c>
      <c r="AD627" s="10">
        <v>74</v>
      </c>
      <c r="AE627" s="10">
        <v>10</v>
      </c>
      <c r="AF627" s="10">
        <v>9</v>
      </c>
      <c r="AG627" s="9" t="s">
        <v>349</v>
      </c>
      <c r="AH627" s="10"/>
      <c r="AI627" s="10"/>
      <c r="AJ627" s="10"/>
      <c r="AK627" s="30"/>
    </row>
    <row r="628" spans="5:37">
      <c r="E628" s="28" t="s">
        <v>155</v>
      </c>
      <c r="F628" s="8" t="s">
        <v>164</v>
      </c>
      <c r="G628" s="9" t="s">
        <v>883</v>
      </c>
      <c r="H628" s="10">
        <v>164</v>
      </c>
      <c r="I628" s="9" t="s">
        <v>158</v>
      </c>
      <c r="J628" s="10">
        <v>164</v>
      </c>
      <c r="K628" s="10">
        <v>162.9</v>
      </c>
      <c r="L628" s="10">
        <v>146</v>
      </c>
      <c r="M628" s="10">
        <v>153</v>
      </c>
      <c r="N628" s="10">
        <v>120</v>
      </c>
      <c r="O628" s="10">
        <v>67</v>
      </c>
      <c r="P628" s="10">
        <v>103</v>
      </c>
      <c r="Q628" s="10">
        <v>12.8</v>
      </c>
      <c r="R628" s="9" t="s">
        <v>1155</v>
      </c>
      <c r="S628" s="9" t="s">
        <v>1155</v>
      </c>
      <c r="T628" s="10">
        <v>1363</v>
      </c>
      <c r="U628" s="10">
        <v>216</v>
      </c>
      <c r="V628" s="10">
        <v>116</v>
      </c>
      <c r="W628" s="10">
        <v>37</v>
      </c>
      <c r="X628" s="10">
        <v>127</v>
      </c>
      <c r="Y628" s="10">
        <v>3</v>
      </c>
      <c r="Z628" s="10">
        <v>42</v>
      </c>
      <c r="AA628" s="10">
        <v>7.4999999999999997E-2</v>
      </c>
      <c r="AB628" s="10">
        <v>60</v>
      </c>
      <c r="AC628" s="10">
        <v>39</v>
      </c>
      <c r="AD628" s="10">
        <v>67</v>
      </c>
      <c r="AE628" s="10">
        <v>10</v>
      </c>
      <c r="AF628" s="10">
        <v>8.4</v>
      </c>
      <c r="AG628" s="9" t="s">
        <v>160</v>
      </c>
      <c r="AH628" s="10"/>
      <c r="AI628" s="10"/>
      <c r="AJ628" s="10"/>
      <c r="AK628" s="30"/>
    </row>
    <row r="629" spans="5:37">
      <c r="E629" s="28" t="s">
        <v>155</v>
      </c>
      <c r="F629" s="8" t="s">
        <v>164</v>
      </c>
      <c r="G629" s="9" t="s">
        <v>883</v>
      </c>
      <c r="H629" s="10">
        <v>169</v>
      </c>
      <c r="I629" s="9" t="s">
        <v>158</v>
      </c>
      <c r="J629" s="10">
        <v>169</v>
      </c>
      <c r="K629" s="10">
        <v>168.1</v>
      </c>
      <c r="L629" s="10">
        <v>151</v>
      </c>
      <c r="M629" s="10">
        <v>158</v>
      </c>
      <c r="N629" s="10">
        <v>121</v>
      </c>
      <c r="O629" s="10">
        <v>67</v>
      </c>
      <c r="P629" s="10">
        <v>104</v>
      </c>
      <c r="Q629" s="10">
        <v>13.3</v>
      </c>
      <c r="R629" s="10">
        <v>2460</v>
      </c>
      <c r="S629" s="10">
        <v>0.57999999999999996</v>
      </c>
      <c r="T629" s="10">
        <v>1418</v>
      </c>
      <c r="U629" s="10">
        <v>244</v>
      </c>
      <c r="V629" s="10">
        <v>136</v>
      </c>
      <c r="W629" s="10">
        <v>37</v>
      </c>
      <c r="X629" s="10">
        <v>131</v>
      </c>
      <c r="Y629" s="10">
        <v>3</v>
      </c>
      <c r="Z629" s="10">
        <v>42</v>
      </c>
      <c r="AA629" s="10">
        <v>7.3999999999999996E-2</v>
      </c>
      <c r="AB629" s="10">
        <v>56</v>
      </c>
      <c r="AC629" s="10">
        <v>41</v>
      </c>
      <c r="AD629" s="10">
        <v>75</v>
      </c>
      <c r="AE629" s="10">
        <v>11</v>
      </c>
      <c r="AF629" s="10">
        <v>8.6</v>
      </c>
      <c r="AG629" s="9" t="s">
        <v>349</v>
      </c>
      <c r="AH629" s="10"/>
      <c r="AI629" s="10"/>
      <c r="AJ629" s="10"/>
      <c r="AK629" s="30"/>
    </row>
    <row r="630" spans="5:37">
      <c r="E630" s="28" t="s">
        <v>155</v>
      </c>
      <c r="F630" s="8" t="s">
        <v>164</v>
      </c>
      <c r="G630" s="9" t="s">
        <v>419</v>
      </c>
      <c r="H630" s="10">
        <v>149</v>
      </c>
      <c r="I630" s="9" t="s">
        <v>163</v>
      </c>
      <c r="J630" s="10">
        <v>149</v>
      </c>
      <c r="K630" s="10">
        <v>147.69999999999999</v>
      </c>
      <c r="L630" s="10">
        <v>131</v>
      </c>
      <c r="M630" s="10">
        <v>138</v>
      </c>
      <c r="N630" s="10">
        <v>109</v>
      </c>
      <c r="O630" s="10">
        <v>67</v>
      </c>
      <c r="P630" s="10">
        <v>95</v>
      </c>
      <c r="Q630" s="10">
        <v>12.7</v>
      </c>
      <c r="R630" s="10">
        <v>1569</v>
      </c>
      <c r="S630" s="10">
        <v>0.76</v>
      </c>
      <c r="T630" s="10">
        <v>1185</v>
      </c>
      <c r="U630" s="10">
        <v>222</v>
      </c>
      <c r="V630" s="10">
        <v>98</v>
      </c>
      <c r="W630" s="10">
        <v>34</v>
      </c>
      <c r="X630" s="10">
        <v>125</v>
      </c>
      <c r="Y630" s="10">
        <v>3</v>
      </c>
      <c r="Z630" s="10">
        <v>44</v>
      </c>
      <c r="AA630" s="10">
        <v>7.9000000000000001E-2</v>
      </c>
      <c r="AB630" s="10">
        <v>57</v>
      </c>
      <c r="AC630" s="10">
        <v>40</v>
      </c>
      <c r="AD630" s="10">
        <v>68</v>
      </c>
      <c r="AE630" s="10">
        <v>6</v>
      </c>
      <c r="AF630" s="10">
        <v>11</v>
      </c>
      <c r="AG630" s="9" t="s">
        <v>349</v>
      </c>
      <c r="AH630" s="10"/>
      <c r="AI630" s="10"/>
      <c r="AJ630" s="10"/>
      <c r="AK630" s="30"/>
    </row>
    <row r="631" spans="5:37">
      <c r="E631" s="28" t="s">
        <v>155</v>
      </c>
      <c r="F631" s="8" t="s">
        <v>164</v>
      </c>
      <c r="G631" s="9" t="s">
        <v>419</v>
      </c>
      <c r="H631" s="10">
        <v>155</v>
      </c>
      <c r="I631" s="9" t="s">
        <v>163</v>
      </c>
      <c r="J631" s="10">
        <v>155</v>
      </c>
      <c r="K631" s="10">
        <v>153.6</v>
      </c>
      <c r="L631" s="10">
        <v>137</v>
      </c>
      <c r="M631" s="10">
        <v>143</v>
      </c>
      <c r="N631" s="10">
        <v>110</v>
      </c>
      <c r="O631" s="10">
        <v>66</v>
      </c>
      <c r="P631" s="10">
        <v>96</v>
      </c>
      <c r="Q631" s="10">
        <v>13.5</v>
      </c>
      <c r="R631" s="10">
        <v>1676</v>
      </c>
      <c r="S631" s="10">
        <v>0.74</v>
      </c>
      <c r="T631" s="10">
        <v>1233</v>
      </c>
      <c r="U631" s="10">
        <v>223</v>
      </c>
      <c r="V631" s="10">
        <v>107</v>
      </c>
      <c r="W631" s="10">
        <v>36</v>
      </c>
      <c r="X631" s="10">
        <v>126</v>
      </c>
      <c r="Y631" s="10">
        <v>3</v>
      </c>
      <c r="Z631" s="10">
        <v>40</v>
      </c>
      <c r="AA631" s="10">
        <v>7.3999999999999996E-2</v>
      </c>
      <c r="AB631" s="10">
        <v>64</v>
      </c>
      <c r="AC631" s="10">
        <v>40</v>
      </c>
      <c r="AD631" s="10">
        <v>62</v>
      </c>
      <c r="AE631" s="10">
        <v>8</v>
      </c>
      <c r="AF631" s="10">
        <v>10.4</v>
      </c>
      <c r="AG631" s="9" t="s">
        <v>349</v>
      </c>
      <c r="AH631" s="10"/>
      <c r="AI631" s="10"/>
      <c r="AJ631" s="10"/>
      <c r="AK631" s="30"/>
    </row>
    <row r="632" spans="5:37">
      <c r="E632" s="28" t="s">
        <v>155</v>
      </c>
      <c r="F632" s="8" t="s">
        <v>164</v>
      </c>
      <c r="G632" s="9" t="s">
        <v>659</v>
      </c>
      <c r="H632" s="10">
        <v>160</v>
      </c>
      <c r="I632" s="9" t="s">
        <v>158</v>
      </c>
      <c r="J632" s="10">
        <v>160</v>
      </c>
      <c r="K632" s="10">
        <v>159.1</v>
      </c>
      <c r="L632" s="10">
        <v>138</v>
      </c>
      <c r="M632" s="10">
        <v>143</v>
      </c>
      <c r="N632" s="10">
        <v>125</v>
      </c>
      <c r="O632" s="10">
        <v>76</v>
      </c>
      <c r="P632" s="10">
        <v>104</v>
      </c>
      <c r="Q632" s="10">
        <v>13.2</v>
      </c>
      <c r="R632" s="10">
        <v>1926</v>
      </c>
      <c r="S632" s="10">
        <v>0.75</v>
      </c>
      <c r="T632" s="10">
        <v>1448</v>
      </c>
      <c r="U632" s="10">
        <v>176</v>
      </c>
      <c r="V632" s="10">
        <v>79</v>
      </c>
      <c r="W632" s="10">
        <v>32</v>
      </c>
      <c r="X632" s="10">
        <v>140</v>
      </c>
      <c r="Y632" s="10">
        <v>10</v>
      </c>
      <c r="Z632" s="10">
        <v>69</v>
      </c>
      <c r="AA632" s="10">
        <v>0.307</v>
      </c>
      <c r="AB632" s="10">
        <v>98</v>
      </c>
      <c r="AC632" s="10">
        <v>61</v>
      </c>
      <c r="AD632" s="10">
        <v>42</v>
      </c>
      <c r="AE632" s="10">
        <v>11</v>
      </c>
      <c r="AF632" s="10">
        <v>9.5</v>
      </c>
      <c r="AG632" s="9" t="s">
        <v>349</v>
      </c>
      <c r="AH632" s="9" t="s">
        <v>231</v>
      </c>
      <c r="AI632" s="10"/>
      <c r="AJ632" s="10"/>
      <c r="AK632" s="30"/>
    </row>
    <row r="633" spans="5:37">
      <c r="E633" s="28" t="s">
        <v>155</v>
      </c>
      <c r="F633" s="8" t="s">
        <v>164</v>
      </c>
      <c r="G633" s="9" t="s">
        <v>659</v>
      </c>
      <c r="H633" s="10">
        <v>168</v>
      </c>
      <c r="I633" s="9" t="s">
        <v>158</v>
      </c>
      <c r="J633" s="10">
        <v>168</v>
      </c>
      <c r="K633" s="10">
        <v>167.3</v>
      </c>
      <c r="L633" s="10">
        <v>146</v>
      </c>
      <c r="M633" s="10">
        <v>153</v>
      </c>
      <c r="N633" s="10">
        <v>124</v>
      </c>
      <c r="O633" s="10">
        <v>75</v>
      </c>
      <c r="P633" s="10">
        <v>103</v>
      </c>
      <c r="Q633" s="10">
        <v>14.8</v>
      </c>
      <c r="R633" s="10">
        <v>2032</v>
      </c>
      <c r="S633" s="10">
        <v>0.74</v>
      </c>
      <c r="T633" s="10">
        <v>1498</v>
      </c>
      <c r="U633" s="10">
        <v>208</v>
      </c>
      <c r="V633" s="10">
        <v>93</v>
      </c>
      <c r="W633" s="10">
        <v>31</v>
      </c>
      <c r="X633" s="10">
        <v>144</v>
      </c>
      <c r="Y633" s="10">
        <v>10</v>
      </c>
      <c r="Z633" s="10">
        <v>72</v>
      </c>
      <c r="AA633" s="10">
        <v>0.32200000000000001</v>
      </c>
      <c r="AB633" s="10">
        <v>85</v>
      </c>
      <c r="AC633" s="10">
        <v>60</v>
      </c>
      <c r="AD633" s="10">
        <v>59</v>
      </c>
      <c r="AE633" s="10">
        <v>11</v>
      </c>
      <c r="AF633" s="10">
        <v>9.4</v>
      </c>
      <c r="AG633" s="9" t="s">
        <v>349</v>
      </c>
      <c r="AH633" s="10"/>
      <c r="AI633" s="10"/>
      <c r="AJ633" s="10"/>
      <c r="AK633" s="30"/>
    </row>
    <row r="634" spans="5:37">
      <c r="E634" s="28" t="s">
        <v>155</v>
      </c>
      <c r="F634" s="8" t="s">
        <v>164</v>
      </c>
      <c r="G634" s="9" t="s">
        <v>641</v>
      </c>
      <c r="H634" s="10">
        <v>160</v>
      </c>
      <c r="I634" s="9" t="s">
        <v>158</v>
      </c>
      <c r="J634" s="10">
        <v>160</v>
      </c>
      <c r="K634" s="10">
        <v>159</v>
      </c>
      <c r="L634" s="10">
        <v>138</v>
      </c>
      <c r="M634" s="10">
        <v>145</v>
      </c>
      <c r="N634" s="10">
        <v>126</v>
      </c>
      <c r="O634" s="10">
        <v>75</v>
      </c>
      <c r="P634" s="10">
        <v>104</v>
      </c>
      <c r="Q634" s="10">
        <v>12.9</v>
      </c>
      <c r="R634" s="10">
        <v>1562</v>
      </c>
      <c r="S634" s="10">
        <v>0.92</v>
      </c>
      <c r="T634" s="10">
        <v>1434</v>
      </c>
      <c r="U634" s="10">
        <v>153</v>
      </c>
      <c r="V634" s="10">
        <v>71</v>
      </c>
      <c r="W634" s="10">
        <v>40</v>
      </c>
      <c r="X634" s="10">
        <v>146</v>
      </c>
      <c r="Y634" s="10">
        <v>6</v>
      </c>
      <c r="Z634" s="10">
        <v>62</v>
      </c>
      <c r="AA634" s="10">
        <v>0.154</v>
      </c>
      <c r="AB634" s="10">
        <v>95</v>
      </c>
      <c r="AC634" s="10">
        <v>49</v>
      </c>
      <c r="AD634" s="10">
        <v>51</v>
      </c>
      <c r="AE634" s="10">
        <v>11</v>
      </c>
      <c r="AF634" s="10">
        <v>10</v>
      </c>
      <c r="AG634" s="9" t="s">
        <v>349</v>
      </c>
      <c r="AH634" s="10"/>
      <c r="AI634" s="10"/>
      <c r="AJ634" s="10"/>
      <c r="AK634" s="30"/>
    </row>
    <row r="635" spans="5:37">
      <c r="E635" s="28" t="s">
        <v>155</v>
      </c>
      <c r="F635" s="8" t="s">
        <v>164</v>
      </c>
      <c r="G635" s="9" t="s">
        <v>641</v>
      </c>
      <c r="H635" s="10">
        <v>176</v>
      </c>
      <c r="I635" s="9" t="s">
        <v>158</v>
      </c>
      <c r="J635" s="10">
        <v>176</v>
      </c>
      <c r="K635" s="10">
        <v>174.8</v>
      </c>
      <c r="L635" s="10">
        <v>154</v>
      </c>
      <c r="M635" s="10">
        <v>161</v>
      </c>
      <c r="N635" s="10">
        <v>126</v>
      </c>
      <c r="O635" s="10">
        <v>75</v>
      </c>
      <c r="P635" s="10">
        <v>104</v>
      </c>
      <c r="Q635" s="10">
        <v>16.2</v>
      </c>
      <c r="R635" s="10">
        <v>1827</v>
      </c>
      <c r="S635" s="10">
        <v>0.86</v>
      </c>
      <c r="T635" s="10">
        <v>1572</v>
      </c>
      <c r="U635" s="10">
        <v>232</v>
      </c>
      <c r="V635" s="10">
        <v>93</v>
      </c>
      <c r="W635" s="10">
        <v>39</v>
      </c>
      <c r="X635" s="10">
        <v>140</v>
      </c>
      <c r="Y635" s="10">
        <v>7</v>
      </c>
      <c r="Z635" s="10">
        <v>68</v>
      </c>
      <c r="AA635" s="10">
        <v>0.17599999999999999</v>
      </c>
      <c r="AB635" s="10">
        <v>87</v>
      </c>
      <c r="AC635" s="10">
        <v>52</v>
      </c>
      <c r="AD635" s="10">
        <v>53</v>
      </c>
      <c r="AE635" s="10">
        <v>9</v>
      </c>
      <c r="AF635" s="10">
        <v>10.5</v>
      </c>
      <c r="AG635" s="9" t="s">
        <v>349</v>
      </c>
      <c r="AH635" s="10"/>
      <c r="AI635" s="10"/>
      <c r="AJ635" s="10"/>
      <c r="AK635" s="30"/>
    </row>
    <row r="636" spans="5:37">
      <c r="E636" s="28" t="s">
        <v>155</v>
      </c>
      <c r="F636" s="8" t="s">
        <v>164</v>
      </c>
      <c r="G636" s="9" t="s">
        <v>717</v>
      </c>
      <c r="H636" s="10">
        <v>144</v>
      </c>
      <c r="I636" s="9" t="s">
        <v>158</v>
      </c>
      <c r="J636" s="10">
        <v>144</v>
      </c>
      <c r="K636" s="10">
        <v>143.19999999999999</v>
      </c>
      <c r="L636" s="10">
        <v>111</v>
      </c>
      <c r="M636" s="10">
        <v>130</v>
      </c>
      <c r="N636" s="10">
        <v>125</v>
      </c>
      <c r="O636" s="10">
        <v>74</v>
      </c>
      <c r="P636" s="10">
        <v>100</v>
      </c>
      <c r="Q636" s="10">
        <v>10.5</v>
      </c>
      <c r="R636" s="10">
        <v>1485</v>
      </c>
      <c r="S636" s="10">
        <v>0.86</v>
      </c>
      <c r="T636" s="10">
        <v>1277</v>
      </c>
      <c r="U636" s="10">
        <v>142</v>
      </c>
      <c r="V636" s="10">
        <v>51</v>
      </c>
      <c r="W636" s="10">
        <v>38</v>
      </c>
      <c r="X636" s="10">
        <v>186</v>
      </c>
      <c r="Y636" s="10">
        <v>10</v>
      </c>
      <c r="Z636" s="10">
        <v>132</v>
      </c>
      <c r="AA636" s="10">
        <v>0.27400000000000002</v>
      </c>
      <c r="AB636" s="10">
        <v>81</v>
      </c>
      <c r="AC636" s="10">
        <v>55</v>
      </c>
      <c r="AD636" s="10">
        <v>105</v>
      </c>
      <c r="AE636" s="10">
        <v>3</v>
      </c>
      <c r="AF636" s="10">
        <v>10.1</v>
      </c>
      <c r="AG636" s="9" t="s">
        <v>160</v>
      </c>
      <c r="AH636" s="10"/>
      <c r="AI636" s="10"/>
      <c r="AJ636" s="10"/>
      <c r="AK636" s="30"/>
    </row>
    <row r="637" spans="5:37">
      <c r="E637" s="28" t="s">
        <v>155</v>
      </c>
      <c r="F637" s="8" t="s">
        <v>164</v>
      </c>
      <c r="G637" s="9" t="s">
        <v>717</v>
      </c>
      <c r="H637" s="10">
        <v>152</v>
      </c>
      <c r="I637" s="9" t="s">
        <v>158</v>
      </c>
      <c r="J637" s="10">
        <v>152</v>
      </c>
      <c r="K637" s="10">
        <v>151.30000000000001</v>
      </c>
      <c r="L637" s="10">
        <v>128</v>
      </c>
      <c r="M637" s="10">
        <v>137</v>
      </c>
      <c r="N637" s="10">
        <v>125</v>
      </c>
      <c r="O637" s="10">
        <v>74</v>
      </c>
      <c r="P637" s="10">
        <v>100</v>
      </c>
      <c r="Q637" s="10">
        <v>12</v>
      </c>
      <c r="R637" s="10">
        <v>1543</v>
      </c>
      <c r="S637" s="10">
        <v>0.87</v>
      </c>
      <c r="T637" s="10">
        <v>1349</v>
      </c>
      <c r="U637" s="10">
        <v>144</v>
      </c>
      <c r="V637" s="10">
        <v>54</v>
      </c>
      <c r="W637" s="10">
        <v>35</v>
      </c>
      <c r="X637" s="10">
        <v>159</v>
      </c>
      <c r="Y637" s="10">
        <v>9</v>
      </c>
      <c r="Z637" s="10">
        <v>70</v>
      </c>
      <c r="AA637" s="10">
        <v>0.25600000000000001</v>
      </c>
      <c r="AB637" s="10">
        <v>91</v>
      </c>
      <c r="AC637" s="10">
        <v>53</v>
      </c>
      <c r="AD637" s="10">
        <v>69</v>
      </c>
      <c r="AE637" s="10">
        <v>6</v>
      </c>
      <c r="AF637" s="10">
        <v>11.5</v>
      </c>
      <c r="AG637" s="9" t="s">
        <v>349</v>
      </c>
      <c r="AH637" s="10"/>
      <c r="AI637" s="10"/>
      <c r="AJ637" s="10"/>
      <c r="AK637" s="30"/>
    </row>
    <row r="638" spans="5:37">
      <c r="E638" s="28" t="s">
        <v>155</v>
      </c>
      <c r="F638" s="8" t="s">
        <v>164</v>
      </c>
      <c r="G638" s="9" t="s">
        <v>717</v>
      </c>
      <c r="H638" s="10">
        <v>160</v>
      </c>
      <c r="I638" s="9" t="s">
        <v>158</v>
      </c>
      <c r="J638" s="10">
        <v>160</v>
      </c>
      <c r="K638" s="10">
        <v>159.5</v>
      </c>
      <c r="L638" s="10">
        <v>135</v>
      </c>
      <c r="M638" s="10">
        <v>146</v>
      </c>
      <c r="N638" s="10">
        <v>126</v>
      </c>
      <c r="O638" s="10">
        <v>75</v>
      </c>
      <c r="P638" s="10">
        <v>101</v>
      </c>
      <c r="Q638" s="10">
        <v>13.5</v>
      </c>
      <c r="R638" s="10">
        <v>1710</v>
      </c>
      <c r="S638" s="10">
        <v>0.84</v>
      </c>
      <c r="T638" s="10">
        <v>1435</v>
      </c>
      <c r="U638" s="10">
        <v>172</v>
      </c>
      <c r="V638" s="10">
        <v>63</v>
      </c>
      <c r="W638" s="10">
        <v>38</v>
      </c>
      <c r="X638" s="10">
        <v>167</v>
      </c>
      <c r="Y638" s="10">
        <v>10</v>
      </c>
      <c r="Z638" s="10">
        <v>74</v>
      </c>
      <c r="AA638" s="10">
        <v>0.25800000000000001</v>
      </c>
      <c r="AB638" s="10">
        <v>80</v>
      </c>
      <c r="AC638" s="10">
        <v>56</v>
      </c>
      <c r="AD638" s="10">
        <v>87</v>
      </c>
      <c r="AE638" s="10">
        <v>6</v>
      </c>
      <c r="AF638" s="10">
        <v>11.3</v>
      </c>
      <c r="AG638" s="9" t="s">
        <v>349</v>
      </c>
      <c r="AH638" s="10"/>
      <c r="AI638" s="10"/>
      <c r="AJ638" s="10"/>
      <c r="AK638" s="30"/>
    </row>
    <row r="639" spans="5:37">
      <c r="E639" s="28" t="s">
        <v>155</v>
      </c>
      <c r="F639" s="8" t="s">
        <v>164</v>
      </c>
      <c r="G639" s="9" t="s">
        <v>717</v>
      </c>
      <c r="H639" s="10">
        <v>168</v>
      </c>
      <c r="I639" s="9" t="s">
        <v>158</v>
      </c>
      <c r="J639" s="10">
        <v>168</v>
      </c>
      <c r="K639" s="10">
        <v>167.4</v>
      </c>
      <c r="L639" s="10">
        <v>144</v>
      </c>
      <c r="M639" s="10">
        <v>153</v>
      </c>
      <c r="N639" s="10">
        <v>126</v>
      </c>
      <c r="O639" s="10">
        <v>75</v>
      </c>
      <c r="P639" s="10">
        <v>101</v>
      </c>
      <c r="Q639" s="10">
        <v>15.1</v>
      </c>
      <c r="R639" s="10">
        <v>1822</v>
      </c>
      <c r="S639" s="10">
        <v>0.83</v>
      </c>
      <c r="T639" s="10">
        <v>1504</v>
      </c>
      <c r="U639" s="10">
        <v>203</v>
      </c>
      <c r="V639" s="10">
        <v>74</v>
      </c>
      <c r="W639" s="10">
        <v>34</v>
      </c>
      <c r="X639" s="10">
        <v>153</v>
      </c>
      <c r="Y639" s="10">
        <v>10</v>
      </c>
      <c r="Z639" s="10">
        <v>79</v>
      </c>
      <c r="AA639" s="10">
        <v>0.29599999999999999</v>
      </c>
      <c r="AB639" s="10">
        <v>86</v>
      </c>
      <c r="AC639" s="10">
        <v>58</v>
      </c>
      <c r="AD639" s="10">
        <v>68</v>
      </c>
      <c r="AE639" s="10">
        <v>6</v>
      </c>
      <c r="AF639" s="10">
        <v>11.1</v>
      </c>
      <c r="AG639" s="9" t="s">
        <v>349</v>
      </c>
      <c r="AH639" s="10"/>
      <c r="AI639" s="10"/>
      <c r="AJ639" s="10"/>
      <c r="AK639" s="30"/>
    </row>
    <row r="640" spans="5:37">
      <c r="E640" s="28" t="s">
        <v>155</v>
      </c>
      <c r="F640" s="8" t="s">
        <v>164</v>
      </c>
      <c r="G640" s="9" t="s">
        <v>717</v>
      </c>
      <c r="H640" s="10">
        <v>176</v>
      </c>
      <c r="I640" s="9" t="s">
        <v>158</v>
      </c>
      <c r="J640" s="10">
        <v>176</v>
      </c>
      <c r="K640" s="10">
        <v>175.4</v>
      </c>
      <c r="L640" s="10">
        <v>149</v>
      </c>
      <c r="M640" s="10">
        <v>161</v>
      </c>
      <c r="N640" s="10">
        <v>128</v>
      </c>
      <c r="O640" s="10">
        <v>77</v>
      </c>
      <c r="P640" s="10">
        <v>104</v>
      </c>
      <c r="Q640" s="10">
        <v>16.8</v>
      </c>
      <c r="R640" s="10">
        <v>1957</v>
      </c>
      <c r="S640" s="10">
        <v>0.82</v>
      </c>
      <c r="T640" s="10">
        <v>1604</v>
      </c>
      <c r="U640" s="10">
        <v>220</v>
      </c>
      <c r="V640" s="10">
        <v>73</v>
      </c>
      <c r="W640" s="10">
        <v>35</v>
      </c>
      <c r="X640" s="10">
        <v>170</v>
      </c>
      <c r="Y640" s="10">
        <v>10</v>
      </c>
      <c r="Z640" s="10">
        <v>92</v>
      </c>
      <c r="AA640" s="10">
        <v>0.29699999999999999</v>
      </c>
      <c r="AB640" s="10">
        <v>85</v>
      </c>
      <c r="AC640" s="10">
        <v>58</v>
      </c>
      <c r="AD640" s="10">
        <v>85</v>
      </c>
      <c r="AE640" s="10">
        <v>5</v>
      </c>
      <c r="AF640" s="10">
        <v>11.2</v>
      </c>
      <c r="AG640" s="9" t="s">
        <v>349</v>
      </c>
      <c r="AH640" s="10"/>
      <c r="AI640" s="10"/>
      <c r="AJ640" s="10"/>
      <c r="AK640" s="30"/>
    </row>
    <row r="641" spans="5:37">
      <c r="E641" s="28" t="s">
        <v>155</v>
      </c>
      <c r="F641" s="8" t="s">
        <v>164</v>
      </c>
      <c r="G641" s="9" t="s">
        <v>777</v>
      </c>
      <c r="H641" s="10">
        <v>152</v>
      </c>
      <c r="I641" s="9" t="s">
        <v>163</v>
      </c>
      <c r="J641" s="10">
        <v>152</v>
      </c>
      <c r="K641" s="10">
        <v>151.30000000000001</v>
      </c>
      <c r="L641" s="10">
        <v>124</v>
      </c>
      <c r="M641" s="10">
        <v>138</v>
      </c>
      <c r="N641" s="10">
        <v>126</v>
      </c>
      <c r="O641" s="10">
        <v>74</v>
      </c>
      <c r="P641" s="10">
        <v>101</v>
      </c>
      <c r="Q641" s="10">
        <v>12</v>
      </c>
      <c r="R641" s="10">
        <v>1553</v>
      </c>
      <c r="S641" s="10">
        <v>0.87</v>
      </c>
      <c r="T641" s="10">
        <v>1355</v>
      </c>
      <c r="U641" s="10">
        <v>160</v>
      </c>
      <c r="V641" s="10">
        <v>53</v>
      </c>
      <c r="W641" s="10">
        <v>38</v>
      </c>
      <c r="X641" s="10">
        <v>181</v>
      </c>
      <c r="Y641" s="10">
        <v>11</v>
      </c>
      <c r="Z641" s="10">
        <v>92</v>
      </c>
      <c r="AA641" s="10">
        <v>0.27800000000000002</v>
      </c>
      <c r="AB641" s="10">
        <v>76</v>
      </c>
      <c r="AC641" s="10">
        <v>55</v>
      </c>
      <c r="AD641" s="10">
        <v>105</v>
      </c>
      <c r="AE641" s="10">
        <v>6</v>
      </c>
      <c r="AF641" s="10">
        <v>10.4</v>
      </c>
      <c r="AG641" s="9" t="s">
        <v>160</v>
      </c>
      <c r="AH641" s="10"/>
      <c r="AI641" s="10"/>
      <c r="AJ641" s="10"/>
      <c r="AK641" s="30"/>
    </row>
    <row r="642" spans="5:37">
      <c r="E642" s="28" t="s">
        <v>155</v>
      </c>
      <c r="F642" s="8" t="s">
        <v>164</v>
      </c>
      <c r="G642" s="9" t="s">
        <v>777</v>
      </c>
      <c r="H642" s="10">
        <v>160</v>
      </c>
      <c r="I642" s="9" t="s">
        <v>163</v>
      </c>
      <c r="J642" s="10">
        <v>160</v>
      </c>
      <c r="K642" s="10">
        <v>159.5</v>
      </c>
      <c r="L642" s="10">
        <v>136</v>
      </c>
      <c r="M642" s="10">
        <v>145</v>
      </c>
      <c r="N642" s="10">
        <v>127</v>
      </c>
      <c r="O642" s="10">
        <v>75</v>
      </c>
      <c r="P642" s="10">
        <v>102</v>
      </c>
      <c r="Q642" s="10">
        <v>13.4</v>
      </c>
      <c r="R642" s="10">
        <v>1737</v>
      </c>
      <c r="S642" s="10">
        <v>0.83</v>
      </c>
      <c r="T642" s="10">
        <v>1440</v>
      </c>
      <c r="U642" s="10">
        <v>176</v>
      </c>
      <c r="V642" s="10">
        <v>61</v>
      </c>
      <c r="W642" s="10">
        <v>37</v>
      </c>
      <c r="X642" s="10">
        <v>164</v>
      </c>
      <c r="Y642" s="10">
        <v>10</v>
      </c>
      <c r="Z642" s="10">
        <v>73</v>
      </c>
      <c r="AA642" s="10">
        <v>0.26800000000000002</v>
      </c>
      <c r="AB642" s="10">
        <v>82</v>
      </c>
      <c r="AC642" s="10">
        <v>59</v>
      </c>
      <c r="AD642" s="10">
        <v>82</v>
      </c>
      <c r="AE642" s="10">
        <v>8</v>
      </c>
      <c r="AF642" s="10">
        <v>10.5</v>
      </c>
      <c r="AG642" s="9" t="s">
        <v>349</v>
      </c>
      <c r="AH642" s="10"/>
      <c r="AI642" s="10"/>
      <c r="AJ642" s="10"/>
      <c r="AK642" s="30"/>
    </row>
    <row r="643" spans="5:37">
      <c r="E643" s="28" t="s">
        <v>155</v>
      </c>
      <c r="F643" s="8" t="s">
        <v>164</v>
      </c>
      <c r="G643" s="9" t="s">
        <v>777</v>
      </c>
      <c r="H643" s="10">
        <v>168</v>
      </c>
      <c r="I643" s="9" t="s">
        <v>163</v>
      </c>
      <c r="J643" s="10">
        <v>168</v>
      </c>
      <c r="K643" s="10">
        <v>167.5</v>
      </c>
      <c r="L643" s="10">
        <v>144</v>
      </c>
      <c r="M643" s="10">
        <v>153</v>
      </c>
      <c r="N643" s="10">
        <v>127</v>
      </c>
      <c r="O643" s="10">
        <v>75</v>
      </c>
      <c r="P643" s="10">
        <v>102</v>
      </c>
      <c r="Q643" s="10">
        <v>15.1</v>
      </c>
      <c r="R643" s="10">
        <v>1819</v>
      </c>
      <c r="S643" s="10">
        <v>0.83</v>
      </c>
      <c r="T643" s="10">
        <v>1513</v>
      </c>
      <c r="U643" s="10">
        <v>203</v>
      </c>
      <c r="V643" s="10">
        <v>70</v>
      </c>
      <c r="W643" s="10">
        <v>34</v>
      </c>
      <c r="X643" s="10">
        <v>154</v>
      </c>
      <c r="Y643" s="10">
        <v>10</v>
      </c>
      <c r="Z643" s="10">
        <v>77</v>
      </c>
      <c r="AA643" s="10">
        <v>0.28599999999999998</v>
      </c>
      <c r="AB643" s="10">
        <v>85</v>
      </c>
      <c r="AC643" s="10">
        <v>59</v>
      </c>
      <c r="AD643" s="10">
        <v>69</v>
      </c>
      <c r="AE643" s="10">
        <v>8</v>
      </c>
      <c r="AF643" s="10">
        <v>10.5</v>
      </c>
      <c r="AG643" s="9" t="s">
        <v>349</v>
      </c>
      <c r="AH643" s="10"/>
      <c r="AI643" s="10"/>
      <c r="AJ643" s="10"/>
      <c r="AK643" s="30"/>
    </row>
    <row r="644" spans="5:37">
      <c r="E644" s="28" t="s">
        <v>155</v>
      </c>
      <c r="F644" s="8" t="s">
        <v>164</v>
      </c>
      <c r="G644" s="9" t="s">
        <v>796</v>
      </c>
      <c r="H644" s="10">
        <v>158</v>
      </c>
      <c r="I644" s="9" t="s">
        <v>163</v>
      </c>
      <c r="J644" s="10">
        <v>158</v>
      </c>
      <c r="K644" s="10">
        <v>159.1</v>
      </c>
      <c r="L644" s="10">
        <v>138</v>
      </c>
      <c r="M644" s="10">
        <v>144</v>
      </c>
      <c r="N644" s="10">
        <v>125</v>
      </c>
      <c r="O644" s="10">
        <v>76</v>
      </c>
      <c r="P644" s="10">
        <v>105</v>
      </c>
      <c r="Q644" s="10">
        <v>13.1</v>
      </c>
      <c r="R644" s="10">
        <v>1731</v>
      </c>
      <c r="S644" s="10">
        <v>0.84</v>
      </c>
      <c r="T644" s="10">
        <v>1451</v>
      </c>
      <c r="U644" s="10">
        <v>161</v>
      </c>
      <c r="V644" s="10">
        <v>62</v>
      </c>
      <c r="W644" s="10">
        <v>32</v>
      </c>
      <c r="X644" s="10">
        <v>142</v>
      </c>
      <c r="Y644" s="10">
        <v>10</v>
      </c>
      <c r="Z644" s="10">
        <v>70</v>
      </c>
      <c r="AA644" s="10">
        <v>0.30199999999999999</v>
      </c>
      <c r="AB644" s="10">
        <v>93</v>
      </c>
      <c r="AC644" s="10">
        <v>60</v>
      </c>
      <c r="AD644" s="10">
        <v>49</v>
      </c>
      <c r="AE644" s="10">
        <v>8</v>
      </c>
      <c r="AF644" s="10">
        <v>8.6999999999999993</v>
      </c>
      <c r="AG644" s="9" t="s">
        <v>349</v>
      </c>
      <c r="AH644" s="10"/>
      <c r="AI644" s="10"/>
      <c r="AJ644" s="10"/>
      <c r="AK644" s="30"/>
    </row>
    <row r="645" spans="5:37">
      <c r="E645" s="28" t="s">
        <v>155</v>
      </c>
      <c r="F645" s="8" t="s">
        <v>164</v>
      </c>
      <c r="G645" s="9" t="s">
        <v>700</v>
      </c>
      <c r="H645" s="10">
        <v>158</v>
      </c>
      <c r="I645" s="9" t="s">
        <v>163</v>
      </c>
      <c r="J645" s="10">
        <v>158</v>
      </c>
      <c r="K645" s="10">
        <v>159.1</v>
      </c>
      <c r="L645" s="10">
        <v>138</v>
      </c>
      <c r="M645" s="10">
        <v>144</v>
      </c>
      <c r="N645" s="10">
        <v>125</v>
      </c>
      <c r="O645" s="10">
        <v>76</v>
      </c>
      <c r="P645" s="10">
        <v>105</v>
      </c>
      <c r="Q645" s="10">
        <v>13.1</v>
      </c>
      <c r="R645" s="10">
        <v>1773</v>
      </c>
      <c r="S645" s="10">
        <v>0.82</v>
      </c>
      <c r="T645" s="10">
        <v>1451</v>
      </c>
      <c r="U645" s="10">
        <v>182</v>
      </c>
      <c r="V645" s="10">
        <v>79</v>
      </c>
      <c r="W645" s="10">
        <v>32</v>
      </c>
      <c r="X645" s="10">
        <v>140</v>
      </c>
      <c r="Y645" s="10">
        <v>10</v>
      </c>
      <c r="Z645" s="10">
        <v>69</v>
      </c>
      <c r="AA645" s="10">
        <v>0.30199999999999999</v>
      </c>
      <c r="AB645" s="10">
        <v>92</v>
      </c>
      <c r="AC645" s="10">
        <v>62</v>
      </c>
      <c r="AD645" s="10">
        <v>48</v>
      </c>
      <c r="AE645" s="10">
        <v>10</v>
      </c>
      <c r="AF645" s="10">
        <v>8.6999999999999993</v>
      </c>
      <c r="AG645" s="9" t="s">
        <v>349</v>
      </c>
      <c r="AH645" s="10"/>
      <c r="AI645" s="10"/>
      <c r="AJ645" s="10"/>
      <c r="AK645" s="30"/>
    </row>
    <row r="646" spans="5:37">
      <c r="E646" s="28" t="s">
        <v>155</v>
      </c>
      <c r="F646" s="8" t="s">
        <v>164</v>
      </c>
      <c r="G646" s="9" t="s">
        <v>714</v>
      </c>
      <c r="H646" s="10">
        <v>152</v>
      </c>
      <c r="I646" s="9" t="s">
        <v>163</v>
      </c>
      <c r="J646" s="10">
        <v>152</v>
      </c>
      <c r="K646" s="10">
        <v>152.80000000000001</v>
      </c>
      <c r="L646" s="10">
        <v>134</v>
      </c>
      <c r="M646" s="10">
        <v>142</v>
      </c>
      <c r="N646" s="10">
        <v>121</v>
      </c>
      <c r="O646" s="10">
        <v>72</v>
      </c>
      <c r="P646" s="10">
        <v>103</v>
      </c>
      <c r="Q646" s="10">
        <v>12.3</v>
      </c>
      <c r="R646" s="10">
        <v>1690</v>
      </c>
      <c r="S646" s="10">
        <v>0.79</v>
      </c>
      <c r="T646" s="10">
        <v>1337</v>
      </c>
      <c r="U646" s="10">
        <v>183</v>
      </c>
      <c r="V646" s="10">
        <v>72</v>
      </c>
      <c r="W646" s="10">
        <v>41</v>
      </c>
      <c r="X646" s="10">
        <v>136</v>
      </c>
      <c r="Y646" s="10">
        <v>4</v>
      </c>
      <c r="Z646" s="10">
        <v>49</v>
      </c>
      <c r="AA646" s="10">
        <v>9.6000000000000002E-2</v>
      </c>
      <c r="AB646" s="10">
        <v>74</v>
      </c>
      <c r="AC646" s="10">
        <v>39</v>
      </c>
      <c r="AD646" s="10">
        <v>63</v>
      </c>
      <c r="AE646" s="10">
        <v>6</v>
      </c>
      <c r="AF646" s="10">
        <v>10.1</v>
      </c>
      <c r="AG646" s="9" t="s">
        <v>349</v>
      </c>
      <c r="AH646" s="10"/>
      <c r="AI646" s="10"/>
      <c r="AJ646" s="10"/>
      <c r="AK646" s="30"/>
    </row>
    <row r="647" spans="5:37">
      <c r="E647" s="28" t="s">
        <v>155</v>
      </c>
      <c r="F647" s="8" t="s">
        <v>164</v>
      </c>
      <c r="G647" s="9" t="s">
        <v>714</v>
      </c>
      <c r="H647" s="10">
        <v>158</v>
      </c>
      <c r="I647" s="9" t="s">
        <v>163</v>
      </c>
      <c r="J647" s="10">
        <v>158</v>
      </c>
      <c r="K647" s="10">
        <v>159</v>
      </c>
      <c r="L647" s="10">
        <v>140</v>
      </c>
      <c r="M647" s="10">
        <v>147</v>
      </c>
      <c r="N647" s="10">
        <v>122</v>
      </c>
      <c r="O647" s="10">
        <v>73</v>
      </c>
      <c r="P647" s="10">
        <v>104</v>
      </c>
      <c r="Q647" s="10">
        <v>13.4</v>
      </c>
      <c r="R647" s="10">
        <v>1753</v>
      </c>
      <c r="S647" s="10">
        <v>0.8</v>
      </c>
      <c r="T647" s="10">
        <v>1395</v>
      </c>
      <c r="U647" s="10">
        <v>186</v>
      </c>
      <c r="V647" s="10">
        <v>75</v>
      </c>
      <c r="W647" s="10">
        <v>41</v>
      </c>
      <c r="X647" s="10">
        <v>138</v>
      </c>
      <c r="Y647" s="10">
        <v>3</v>
      </c>
      <c r="Z647" s="10">
        <v>48</v>
      </c>
      <c r="AA647" s="10">
        <v>7.5999999999999998E-2</v>
      </c>
      <c r="AB647" s="10">
        <v>78</v>
      </c>
      <c r="AC647" s="10">
        <v>38</v>
      </c>
      <c r="AD647" s="10">
        <v>60</v>
      </c>
      <c r="AE647" s="10">
        <v>8</v>
      </c>
      <c r="AF647" s="10">
        <v>9.8000000000000007</v>
      </c>
      <c r="AG647" s="9" t="s">
        <v>349</v>
      </c>
      <c r="AH647" s="10"/>
      <c r="AI647" s="10"/>
      <c r="AJ647" s="10"/>
      <c r="AK647" s="30"/>
    </row>
    <row r="648" spans="5:37">
      <c r="E648" s="28" t="s">
        <v>155</v>
      </c>
      <c r="F648" s="8" t="s">
        <v>164</v>
      </c>
      <c r="G648" s="9" t="s">
        <v>714</v>
      </c>
      <c r="H648" s="10">
        <v>164</v>
      </c>
      <c r="I648" s="9" t="s">
        <v>163</v>
      </c>
      <c r="J648" s="10">
        <v>164</v>
      </c>
      <c r="K648" s="10">
        <v>164.9</v>
      </c>
      <c r="L648" s="10">
        <v>147</v>
      </c>
      <c r="M648" s="10">
        <v>153</v>
      </c>
      <c r="N648" s="10">
        <v>121</v>
      </c>
      <c r="O648" s="10">
        <v>73</v>
      </c>
      <c r="P648" s="10">
        <v>104</v>
      </c>
      <c r="Q648" s="10">
        <v>14.6</v>
      </c>
      <c r="R648" s="10">
        <v>1813</v>
      </c>
      <c r="S648" s="10">
        <v>0.8</v>
      </c>
      <c r="T648" s="10">
        <v>1444</v>
      </c>
      <c r="U648" s="10">
        <v>207</v>
      </c>
      <c r="V648" s="10">
        <v>79</v>
      </c>
      <c r="W648" s="10">
        <v>41</v>
      </c>
      <c r="X648" s="10">
        <v>138</v>
      </c>
      <c r="Y648" s="10">
        <v>3</v>
      </c>
      <c r="Z648" s="10">
        <v>46</v>
      </c>
      <c r="AA648" s="10">
        <v>6.9000000000000006E-2</v>
      </c>
      <c r="AB648" s="10">
        <v>82</v>
      </c>
      <c r="AC648" s="10">
        <v>38</v>
      </c>
      <c r="AD648" s="10">
        <v>56</v>
      </c>
      <c r="AE648" s="10">
        <v>9</v>
      </c>
      <c r="AF648" s="10">
        <v>9.6</v>
      </c>
      <c r="AG648" s="9" t="s">
        <v>349</v>
      </c>
      <c r="AH648" s="10"/>
      <c r="AI648" s="10"/>
      <c r="AJ648" s="10"/>
      <c r="AK648" s="30"/>
    </row>
    <row r="649" spans="5:37">
      <c r="E649" s="28" t="s">
        <v>155</v>
      </c>
      <c r="F649" s="8" t="s">
        <v>164</v>
      </c>
      <c r="G649" s="9" t="s">
        <v>366</v>
      </c>
      <c r="H649" s="10">
        <v>154</v>
      </c>
      <c r="I649" s="9" t="s">
        <v>163</v>
      </c>
      <c r="J649" s="10">
        <v>154</v>
      </c>
      <c r="K649" s="10">
        <v>154.80000000000001</v>
      </c>
      <c r="L649" s="10">
        <v>109</v>
      </c>
      <c r="M649" s="10">
        <v>123</v>
      </c>
      <c r="N649" s="10">
        <v>137</v>
      </c>
      <c r="O649" s="10">
        <v>101</v>
      </c>
      <c r="P649" s="10">
        <v>115</v>
      </c>
      <c r="Q649" s="10">
        <v>14.8</v>
      </c>
      <c r="R649" s="10">
        <v>1507</v>
      </c>
      <c r="S649" s="10">
        <v>1.1499999999999999</v>
      </c>
      <c r="T649" s="10">
        <v>1733</v>
      </c>
      <c r="U649" s="10">
        <v>140</v>
      </c>
      <c r="V649" s="10">
        <v>68</v>
      </c>
      <c r="W649" s="10">
        <v>49</v>
      </c>
      <c r="X649" s="10">
        <v>296</v>
      </c>
      <c r="Y649" s="10">
        <v>15</v>
      </c>
      <c r="Z649" s="10">
        <v>159</v>
      </c>
      <c r="AA649" s="10">
        <v>0.29799999999999999</v>
      </c>
      <c r="AB649" s="10">
        <v>166</v>
      </c>
      <c r="AC649" s="10">
        <v>156</v>
      </c>
      <c r="AD649" s="10">
        <v>130</v>
      </c>
      <c r="AE649" s="10">
        <v>4</v>
      </c>
      <c r="AF649" s="10">
        <v>9.1</v>
      </c>
      <c r="AG649" s="9" t="s">
        <v>188</v>
      </c>
      <c r="AH649" s="9" t="s">
        <v>178</v>
      </c>
      <c r="AI649" s="9" t="s">
        <v>185</v>
      </c>
      <c r="AJ649" s="10"/>
      <c r="AK649" s="30"/>
    </row>
    <row r="650" spans="5:37">
      <c r="E650" s="28" t="s">
        <v>155</v>
      </c>
      <c r="F650" s="8" t="s">
        <v>164</v>
      </c>
      <c r="G650" s="9" t="s">
        <v>366</v>
      </c>
      <c r="H650" s="10">
        <v>162</v>
      </c>
      <c r="I650" s="9" t="s">
        <v>163</v>
      </c>
      <c r="J650" s="10">
        <v>162</v>
      </c>
      <c r="K650" s="10">
        <v>161.80000000000001</v>
      </c>
      <c r="L650" s="10">
        <v>106</v>
      </c>
      <c r="M650" s="10">
        <v>129</v>
      </c>
      <c r="N650" s="10">
        <v>140</v>
      </c>
      <c r="O650" s="10">
        <v>103</v>
      </c>
      <c r="P650" s="10">
        <v>118</v>
      </c>
      <c r="Q650" s="10">
        <v>15.6</v>
      </c>
      <c r="R650" s="10">
        <v>1581</v>
      </c>
      <c r="S650" s="10">
        <v>1.17</v>
      </c>
      <c r="T650" s="10">
        <v>1847</v>
      </c>
      <c r="U650" s="10">
        <v>181</v>
      </c>
      <c r="V650" s="10">
        <v>78</v>
      </c>
      <c r="W650" s="10">
        <v>54</v>
      </c>
      <c r="X650" s="10">
        <v>320</v>
      </c>
      <c r="Y650" s="10">
        <v>22</v>
      </c>
      <c r="Z650" s="10">
        <v>241</v>
      </c>
      <c r="AA650" s="10">
        <v>0.40200000000000002</v>
      </c>
      <c r="AB650" s="10">
        <v>166</v>
      </c>
      <c r="AC650" s="10">
        <v>164</v>
      </c>
      <c r="AD650" s="10">
        <v>154</v>
      </c>
      <c r="AE650" s="10">
        <v>2</v>
      </c>
      <c r="AF650" s="10">
        <v>6.1</v>
      </c>
      <c r="AG650" s="9" t="s">
        <v>188</v>
      </c>
      <c r="AH650" s="9" t="s">
        <v>169</v>
      </c>
      <c r="AI650" s="9" t="s">
        <v>185</v>
      </c>
      <c r="AJ650" s="10"/>
      <c r="AK650" s="30"/>
    </row>
    <row r="651" spans="5:37">
      <c r="E651" s="28" t="s">
        <v>155</v>
      </c>
      <c r="F651" s="8" t="s">
        <v>164</v>
      </c>
      <c r="G651" s="9" t="s">
        <v>366</v>
      </c>
      <c r="H651" s="10">
        <v>170</v>
      </c>
      <c r="I651" s="9" t="s">
        <v>163</v>
      </c>
      <c r="J651" s="10">
        <v>170</v>
      </c>
      <c r="K651" s="10">
        <v>170.3</v>
      </c>
      <c r="L651" s="10">
        <v>127</v>
      </c>
      <c r="M651" s="10">
        <v>136</v>
      </c>
      <c r="N651" s="10">
        <v>143</v>
      </c>
      <c r="O651" s="10">
        <v>105</v>
      </c>
      <c r="P651" s="10">
        <v>120</v>
      </c>
      <c r="Q651" s="10">
        <v>16.399999999999999</v>
      </c>
      <c r="R651" s="10">
        <v>1797</v>
      </c>
      <c r="S651" s="10">
        <v>1.1000000000000001</v>
      </c>
      <c r="T651" s="10">
        <v>1982</v>
      </c>
      <c r="U651" s="10">
        <v>205</v>
      </c>
      <c r="V651" s="10">
        <v>86</v>
      </c>
      <c r="W651" s="10">
        <v>47</v>
      </c>
      <c r="X651" s="10">
        <v>266</v>
      </c>
      <c r="Y651" s="10">
        <v>17</v>
      </c>
      <c r="Z651" s="10">
        <v>167</v>
      </c>
      <c r="AA651" s="10">
        <v>0.35499999999999998</v>
      </c>
      <c r="AB651" s="10">
        <v>174</v>
      </c>
      <c r="AC651" s="10">
        <v>167</v>
      </c>
      <c r="AD651" s="10">
        <v>92</v>
      </c>
      <c r="AE651" s="10">
        <v>5</v>
      </c>
      <c r="AF651" s="10">
        <v>8.6999999999999993</v>
      </c>
      <c r="AG651" s="9" t="s">
        <v>188</v>
      </c>
      <c r="AH651" s="9" t="s">
        <v>169</v>
      </c>
      <c r="AI651" s="9" t="s">
        <v>178</v>
      </c>
      <c r="AJ651" s="9" t="s">
        <v>185</v>
      </c>
      <c r="AK651" s="30"/>
    </row>
    <row r="652" spans="5:37">
      <c r="E652" s="28" t="s">
        <v>155</v>
      </c>
      <c r="F652" s="8" t="s">
        <v>164</v>
      </c>
      <c r="G652" s="9" t="s">
        <v>313</v>
      </c>
      <c r="H652" s="10">
        <v>172</v>
      </c>
      <c r="I652" s="9" t="s">
        <v>158</v>
      </c>
      <c r="J652" s="10">
        <v>172</v>
      </c>
      <c r="K652" s="10">
        <v>170.4</v>
      </c>
      <c r="L652" s="10">
        <v>128</v>
      </c>
      <c r="M652" s="10">
        <v>136</v>
      </c>
      <c r="N652" s="10">
        <v>143</v>
      </c>
      <c r="O652" s="10">
        <v>104</v>
      </c>
      <c r="P652" s="10">
        <v>120</v>
      </c>
      <c r="Q652" s="10">
        <v>16.399999999999999</v>
      </c>
      <c r="R652" s="10">
        <v>1544</v>
      </c>
      <c r="S652" s="10">
        <v>1.28</v>
      </c>
      <c r="T652" s="10">
        <v>1975</v>
      </c>
      <c r="U652" s="10">
        <v>199</v>
      </c>
      <c r="V652" s="10">
        <v>85</v>
      </c>
      <c r="W652" s="10">
        <v>48</v>
      </c>
      <c r="X652" s="10">
        <v>246</v>
      </c>
      <c r="Y652" s="10">
        <v>17</v>
      </c>
      <c r="Z652" s="10">
        <v>181</v>
      </c>
      <c r="AA652" s="10">
        <v>0.35099999999999998</v>
      </c>
      <c r="AB652" s="10">
        <v>175</v>
      </c>
      <c r="AC652" s="10">
        <v>167</v>
      </c>
      <c r="AD652" s="10">
        <v>71</v>
      </c>
      <c r="AE652" s="10">
        <v>5</v>
      </c>
      <c r="AF652" s="10">
        <v>9.8000000000000007</v>
      </c>
      <c r="AG652" s="9" t="s">
        <v>188</v>
      </c>
      <c r="AH652" s="9" t="s">
        <v>169</v>
      </c>
      <c r="AI652" s="9" t="s">
        <v>178</v>
      </c>
      <c r="AJ652" s="9" t="s">
        <v>185</v>
      </c>
      <c r="AK652" s="31" t="s">
        <v>198</v>
      </c>
    </row>
    <row r="653" spans="5:37">
      <c r="E653" s="28" t="s">
        <v>155</v>
      </c>
      <c r="F653" s="8" t="s">
        <v>164</v>
      </c>
      <c r="G653" s="9" t="s">
        <v>313</v>
      </c>
      <c r="H653" s="10">
        <v>180</v>
      </c>
      <c r="I653" s="9" t="s">
        <v>158</v>
      </c>
      <c r="J653" s="10">
        <v>180</v>
      </c>
      <c r="K653" s="10">
        <v>177.3</v>
      </c>
      <c r="L653" s="10">
        <v>125</v>
      </c>
      <c r="M653" s="10">
        <v>142</v>
      </c>
      <c r="N653" s="10">
        <v>143</v>
      </c>
      <c r="O653" s="10">
        <v>104</v>
      </c>
      <c r="P653" s="10">
        <v>119</v>
      </c>
      <c r="Q653" s="10">
        <v>18.3</v>
      </c>
      <c r="R653" s="10">
        <v>1799</v>
      </c>
      <c r="S653" s="10">
        <v>1.1399999999999999</v>
      </c>
      <c r="T653" s="10">
        <v>2050</v>
      </c>
      <c r="U653" s="10">
        <v>242</v>
      </c>
      <c r="V653" s="10">
        <v>109</v>
      </c>
      <c r="W653" s="10">
        <v>52</v>
      </c>
      <c r="X653" s="10">
        <v>310</v>
      </c>
      <c r="Y653" s="10">
        <v>17</v>
      </c>
      <c r="Z653" s="10">
        <v>213</v>
      </c>
      <c r="AA653" s="10">
        <v>0.32400000000000001</v>
      </c>
      <c r="AB653" s="10">
        <v>176</v>
      </c>
      <c r="AC653" s="10">
        <v>180</v>
      </c>
      <c r="AD653" s="10">
        <v>134</v>
      </c>
      <c r="AE653" s="10">
        <v>4</v>
      </c>
      <c r="AF653" s="10">
        <v>10</v>
      </c>
      <c r="AG653" s="9" t="s">
        <v>188</v>
      </c>
      <c r="AH653" s="9" t="s">
        <v>178</v>
      </c>
      <c r="AI653" s="9" t="s">
        <v>185</v>
      </c>
      <c r="AJ653" s="10"/>
      <c r="AK653" s="30"/>
    </row>
    <row r="654" spans="5:37">
      <c r="E654" s="28" t="s">
        <v>155</v>
      </c>
      <c r="F654" s="8" t="s">
        <v>164</v>
      </c>
      <c r="G654" s="9" t="s">
        <v>313</v>
      </c>
      <c r="H654" s="10">
        <v>188</v>
      </c>
      <c r="I654" s="9" t="s">
        <v>158</v>
      </c>
      <c r="J654" s="10">
        <v>188</v>
      </c>
      <c r="K654" s="10">
        <v>184.7</v>
      </c>
      <c r="L654" s="10">
        <v>134</v>
      </c>
      <c r="M654" s="10">
        <v>150</v>
      </c>
      <c r="N654" s="10">
        <v>143</v>
      </c>
      <c r="O654" s="10">
        <v>104</v>
      </c>
      <c r="P654" s="10">
        <v>119</v>
      </c>
      <c r="Q654" s="10">
        <v>20.3</v>
      </c>
      <c r="R654" s="10">
        <v>1959</v>
      </c>
      <c r="S654" s="10">
        <v>1.0900000000000001</v>
      </c>
      <c r="T654" s="10">
        <v>2136</v>
      </c>
      <c r="U654" s="10">
        <v>290</v>
      </c>
      <c r="V654" s="10">
        <v>109</v>
      </c>
      <c r="W654" s="10">
        <v>49</v>
      </c>
      <c r="X654" s="10">
        <v>235</v>
      </c>
      <c r="Y654" s="10">
        <v>18</v>
      </c>
      <c r="Z654" s="10">
        <v>274</v>
      </c>
      <c r="AA654" s="10">
        <v>0.36099999999999999</v>
      </c>
      <c r="AB654" s="10">
        <v>179</v>
      </c>
      <c r="AC654" s="10">
        <v>173</v>
      </c>
      <c r="AD654" s="10">
        <v>55</v>
      </c>
      <c r="AE654" s="10">
        <v>4</v>
      </c>
      <c r="AF654" s="10">
        <v>10.3</v>
      </c>
      <c r="AG654" s="9" t="s">
        <v>188</v>
      </c>
      <c r="AH654" s="9" t="s">
        <v>169</v>
      </c>
      <c r="AI654" s="9" t="s">
        <v>178</v>
      </c>
      <c r="AJ654" s="9" t="s">
        <v>185</v>
      </c>
      <c r="AK654" s="30"/>
    </row>
    <row r="655" spans="5:37">
      <c r="E655" s="28" t="s">
        <v>155</v>
      </c>
      <c r="F655" s="8" t="s">
        <v>164</v>
      </c>
      <c r="G655" s="9" t="s">
        <v>801</v>
      </c>
      <c r="H655" s="10">
        <v>180</v>
      </c>
      <c r="I655" s="9" t="s">
        <v>158</v>
      </c>
      <c r="J655" s="10">
        <v>180</v>
      </c>
      <c r="K655" s="10">
        <v>177.3</v>
      </c>
      <c r="L655" s="10">
        <v>134</v>
      </c>
      <c r="M655" s="10">
        <v>143</v>
      </c>
      <c r="N655" s="10">
        <v>142</v>
      </c>
      <c r="O655" s="10">
        <v>104</v>
      </c>
      <c r="P655" s="10">
        <v>120</v>
      </c>
      <c r="Q655" s="10">
        <v>18.5</v>
      </c>
      <c r="R655" s="10">
        <v>1929</v>
      </c>
      <c r="S655" s="10">
        <v>1.06</v>
      </c>
      <c r="T655" s="10">
        <v>2054</v>
      </c>
      <c r="U655" s="10">
        <v>272</v>
      </c>
      <c r="V655" s="10">
        <v>120</v>
      </c>
      <c r="W655" s="10">
        <v>48</v>
      </c>
      <c r="X655" s="10">
        <v>269</v>
      </c>
      <c r="Y655" s="10">
        <v>14</v>
      </c>
      <c r="Z655" s="10">
        <v>165</v>
      </c>
      <c r="AA655" s="10">
        <v>0.30399999999999999</v>
      </c>
      <c r="AB655" s="10">
        <v>174</v>
      </c>
      <c r="AC655" s="10">
        <v>173</v>
      </c>
      <c r="AD655" s="10">
        <v>95</v>
      </c>
      <c r="AE655" s="10">
        <v>5</v>
      </c>
      <c r="AF655" s="10">
        <v>10.1</v>
      </c>
      <c r="AG655" s="9" t="s">
        <v>188</v>
      </c>
      <c r="AH655" s="9" t="s">
        <v>178</v>
      </c>
      <c r="AI655" s="9" t="s">
        <v>185</v>
      </c>
      <c r="AJ655" s="10"/>
      <c r="AK655" s="30"/>
    </row>
    <row r="656" spans="5:37">
      <c r="E656" s="28" t="s">
        <v>155</v>
      </c>
      <c r="F656" s="8" t="s">
        <v>164</v>
      </c>
      <c r="G656" s="9" t="s">
        <v>801</v>
      </c>
      <c r="H656" s="10">
        <v>188</v>
      </c>
      <c r="I656" s="9" t="s">
        <v>158</v>
      </c>
      <c r="J656" s="10">
        <v>188</v>
      </c>
      <c r="K656" s="10">
        <v>184.7</v>
      </c>
      <c r="L656" s="10">
        <v>129</v>
      </c>
      <c r="M656" s="10">
        <v>149</v>
      </c>
      <c r="N656" s="10">
        <v>143</v>
      </c>
      <c r="O656" s="10">
        <v>104</v>
      </c>
      <c r="P656" s="10">
        <v>120</v>
      </c>
      <c r="Q656" s="10">
        <v>20.3</v>
      </c>
      <c r="R656" s="10">
        <v>2041</v>
      </c>
      <c r="S656" s="10">
        <v>1.05</v>
      </c>
      <c r="T656" s="10">
        <v>2137</v>
      </c>
      <c r="U656" s="10">
        <v>290</v>
      </c>
      <c r="V656" s="10">
        <v>122</v>
      </c>
      <c r="W656" s="10">
        <v>51</v>
      </c>
      <c r="X656" s="10">
        <v>301</v>
      </c>
      <c r="Y656" s="10">
        <v>17</v>
      </c>
      <c r="Z656" s="10">
        <v>253</v>
      </c>
      <c r="AA656" s="10">
        <v>0.33200000000000002</v>
      </c>
      <c r="AB656" s="10">
        <v>185</v>
      </c>
      <c r="AC656" s="10">
        <v>170</v>
      </c>
      <c r="AD656" s="10">
        <v>117</v>
      </c>
      <c r="AE656" s="10">
        <v>3</v>
      </c>
      <c r="AF656" s="10">
        <v>10</v>
      </c>
      <c r="AG656" s="9" t="s">
        <v>188</v>
      </c>
      <c r="AH656" s="9" t="s">
        <v>178</v>
      </c>
      <c r="AI656" s="10"/>
      <c r="AJ656" s="10"/>
      <c r="AK656" s="30"/>
    </row>
    <row r="657" spans="5:37">
      <c r="E657" s="28" t="s">
        <v>155</v>
      </c>
      <c r="F657" s="8" t="s">
        <v>164</v>
      </c>
      <c r="G657" s="9" t="s">
        <v>710</v>
      </c>
      <c r="H657" s="10">
        <v>185</v>
      </c>
      <c r="I657" s="9" t="s">
        <v>158</v>
      </c>
      <c r="J657" s="10">
        <v>185</v>
      </c>
      <c r="K657" s="10">
        <v>183.4</v>
      </c>
      <c r="L657" s="10">
        <v>133</v>
      </c>
      <c r="M657" s="10">
        <v>145</v>
      </c>
      <c r="N657" s="10">
        <v>145</v>
      </c>
      <c r="O657" s="10">
        <v>114</v>
      </c>
      <c r="P657" s="10">
        <v>131</v>
      </c>
      <c r="Q657" s="10">
        <v>20.5</v>
      </c>
      <c r="R657" s="10">
        <v>2023</v>
      </c>
      <c r="S657" s="10">
        <v>1.1200000000000001</v>
      </c>
      <c r="T657" s="10">
        <v>2266</v>
      </c>
      <c r="U657" s="10">
        <v>241</v>
      </c>
      <c r="V657" s="10">
        <v>104</v>
      </c>
      <c r="W657" s="10">
        <v>41</v>
      </c>
      <c r="X657" s="10">
        <v>282</v>
      </c>
      <c r="Y657" s="10">
        <v>26</v>
      </c>
      <c r="Z657" s="10">
        <v>223</v>
      </c>
      <c r="AA657" s="10">
        <v>0.61699999999999999</v>
      </c>
      <c r="AB657" s="10">
        <v>186</v>
      </c>
      <c r="AC657" s="10">
        <v>198</v>
      </c>
      <c r="AD657" s="10">
        <v>95</v>
      </c>
      <c r="AE657" s="10">
        <v>4</v>
      </c>
      <c r="AF657" s="10">
        <v>6</v>
      </c>
      <c r="AG657" s="9" t="s">
        <v>169</v>
      </c>
      <c r="AH657" s="9" t="s">
        <v>185</v>
      </c>
      <c r="AI657" s="10"/>
      <c r="AJ657" s="10"/>
      <c r="AK657" s="30"/>
    </row>
    <row r="658" spans="5:37">
      <c r="E658" s="28" t="s">
        <v>155</v>
      </c>
      <c r="F658" s="8" t="s">
        <v>164</v>
      </c>
      <c r="G658" s="9" t="s">
        <v>635</v>
      </c>
      <c r="H658" s="10">
        <v>164</v>
      </c>
      <c r="I658" s="9" t="s">
        <v>158</v>
      </c>
      <c r="J658" s="10">
        <v>164</v>
      </c>
      <c r="K658" s="10">
        <v>163.80000000000001</v>
      </c>
      <c r="L658" s="10">
        <v>125</v>
      </c>
      <c r="M658" s="10">
        <v>134</v>
      </c>
      <c r="N658" s="10">
        <v>129</v>
      </c>
      <c r="O658" s="10">
        <v>87</v>
      </c>
      <c r="P658" s="10">
        <v>104</v>
      </c>
      <c r="Q658" s="10">
        <v>14.2</v>
      </c>
      <c r="R658" s="10">
        <v>1383</v>
      </c>
      <c r="S658" s="10">
        <v>1.19</v>
      </c>
      <c r="T658" s="10">
        <v>1644</v>
      </c>
      <c r="U658" s="10">
        <v>136</v>
      </c>
      <c r="V658" s="10">
        <v>57</v>
      </c>
      <c r="W658" s="10">
        <v>48</v>
      </c>
      <c r="X658" s="10">
        <v>229</v>
      </c>
      <c r="Y658" s="10">
        <v>13</v>
      </c>
      <c r="Z658" s="10">
        <v>160</v>
      </c>
      <c r="AA658" s="10">
        <v>0.26300000000000001</v>
      </c>
      <c r="AB658" s="10">
        <v>159</v>
      </c>
      <c r="AC658" s="10">
        <v>141</v>
      </c>
      <c r="AD658" s="10">
        <v>70</v>
      </c>
      <c r="AE658" s="10">
        <v>5</v>
      </c>
      <c r="AF658" s="10">
        <v>9.6</v>
      </c>
      <c r="AG658" s="9" t="s">
        <v>188</v>
      </c>
      <c r="AH658" s="9" t="s">
        <v>185</v>
      </c>
      <c r="AI658" s="10"/>
      <c r="AJ658" s="10"/>
      <c r="AK658" s="30"/>
    </row>
    <row r="659" spans="5:37">
      <c r="E659" s="28" t="s">
        <v>155</v>
      </c>
      <c r="F659" s="8" t="s">
        <v>164</v>
      </c>
      <c r="G659" s="9" t="s">
        <v>635</v>
      </c>
      <c r="H659" s="10">
        <v>172</v>
      </c>
      <c r="I659" s="9" t="s">
        <v>158</v>
      </c>
      <c r="J659" s="10">
        <v>172</v>
      </c>
      <c r="K659" s="10">
        <v>170.4</v>
      </c>
      <c r="L659" s="10">
        <v>128</v>
      </c>
      <c r="M659" s="10">
        <v>138</v>
      </c>
      <c r="N659" s="10">
        <v>129</v>
      </c>
      <c r="O659" s="10">
        <v>87</v>
      </c>
      <c r="P659" s="10">
        <v>104</v>
      </c>
      <c r="Q659" s="10">
        <v>15.4</v>
      </c>
      <c r="R659" s="10">
        <v>1539</v>
      </c>
      <c r="S659" s="10">
        <v>1.1100000000000001</v>
      </c>
      <c r="T659" s="10">
        <v>1713</v>
      </c>
      <c r="U659" s="10">
        <v>182</v>
      </c>
      <c r="V659" s="10">
        <v>67</v>
      </c>
      <c r="W659" s="10">
        <v>49</v>
      </c>
      <c r="X659" s="10">
        <v>233</v>
      </c>
      <c r="Y659" s="10">
        <v>16</v>
      </c>
      <c r="Z659" s="10">
        <v>191</v>
      </c>
      <c r="AA659" s="10">
        <v>0.32400000000000001</v>
      </c>
      <c r="AB659" s="10">
        <v>152</v>
      </c>
      <c r="AC659" s="10">
        <v>167</v>
      </c>
      <c r="AD659" s="10">
        <v>81</v>
      </c>
      <c r="AE659" s="10">
        <v>4</v>
      </c>
      <c r="AF659" s="10">
        <v>9.3000000000000007</v>
      </c>
      <c r="AG659" s="9" t="s">
        <v>188</v>
      </c>
      <c r="AH659" s="9" t="s">
        <v>185</v>
      </c>
      <c r="AI659" s="10"/>
      <c r="AJ659" s="10"/>
      <c r="AK659" s="30"/>
    </row>
    <row r="660" spans="5:37">
      <c r="E660" s="28" t="s">
        <v>155</v>
      </c>
      <c r="F660" s="8" t="s">
        <v>164</v>
      </c>
      <c r="G660" s="9" t="s">
        <v>635</v>
      </c>
      <c r="H660" s="10">
        <v>180</v>
      </c>
      <c r="I660" s="9" t="s">
        <v>158</v>
      </c>
      <c r="J660" s="10">
        <v>180</v>
      </c>
      <c r="K660" s="10">
        <v>177</v>
      </c>
      <c r="L660" s="10">
        <v>139</v>
      </c>
      <c r="M660" s="10">
        <v>144</v>
      </c>
      <c r="N660" s="10">
        <v>129</v>
      </c>
      <c r="O660" s="10">
        <v>87</v>
      </c>
      <c r="P660" s="10">
        <v>104</v>
      </c>
      <c r="Q660" s="10">
        <v>17.100000000000001</v>
      </c>
      <c r="R660" s="10">
        <v>1569</v>
      </c>
      <c r="S660" s="10">
        <v>1.1299999999999999</v>
      </c>
      <c r="T660" s="10">
        <v>1777</v>
      </c>
      <c r="U660" s="10">
        <v>193</v>
      </c>
      <c r="V660" s="10">
        <v>71</v>
      </c>
      <c r="W660" s="10">
        <v>50</v>
      </c>
      <c r="X660" s="10">
        <v>230</v>
      </c>
      <c r="Y660" s="10">
        <v>14</v>
      </c>
      <c r="Z660" s="10">
        <v>154</v>
      </c>
      <c r="AA660" s="10">
        <v>0.28399999999999997</v>
      </c>
      <c r="AB660" s="10">
        <v>161</v>
      </c>
      <c r="AC660" s="10">
        <v>174</v>
      </c>
      <c r="AD660" s="10">
        <v>69</v>
      </c>
      <c r="AE660" s="10">
        <v>5</v>
      </c>
      <c r="AF660" s="10">
        <v>9.1</v>
      </c>
      <c r="AG660" s="9" t="s">
        <v>188</v>
      </c>
      <c r="AH660" s="9" t="s">
        <v>185</v>
      </c>
      <c r="AI660" s="10"/>
      <c r="AJ660" s="10"/>
      <c r="AK660" s="30"/>
    </row>
    <row r="661" spans="5:37">
      <c r="E661" s="28" t="s">
        <v>155</v>
      </c>
      <c r="F661" s="8" t="s">
        <v>164</v>
      </c>
      <c r="G661" s="9" t="s">
        <v>635</v>
      </c>
      <c r="H661" s="10">
        <v>188</v>
      </c>
      <c r="I661" s="9" t="s">
        <v>158</v>
      </c>
      <c r="J661" s="10">
        <v>188</v>
      </c>
      <c r="K661" s="10">
        <v>184.3</v>
      </c>
      <c r="L661" s="10">
        <v>142</v>
      </c>
      <c r="M661" s="10">
        <v>153</v>
      </c>
      <c r="N661" s="10">
        <v>129</v>
      </c>
      <c r="O661" s="10">
        <v>87</v>
      </c>
      <c r="P661" s="10">
        <v>104</v>
      </c>
      <c r="Q661" s="10">
        <v>18.8</v>
      </c>
      <c r="R661" s="10">
        <v>1663</v>
      </c>
      <c r="S661" s="10">
        <v>1.1100000000000001</v>
      </c>
      <c r="T661" s="10">
        <v>1848</v>
      </c>
      <c r="U661" s="10">
        <v>176</v>
      </c>
      <c r="V661" s="10">
        <v>69</v>
      </c>
      <c r="W661" s="10">
        <v>49</v>
      </c>
      <c r="X661" s="10">
        <v>225</v>
      </c>
      <c r="Y661" s="10">
        <v>16</v>
      </c>
      <c r="Z661" s="10">
        <v>195</v>
      </c>
      <c r="AA661" s="10">
        <v>0.32100000000000001</v>
      </c>
      <c r="AB661" s="10">
        <v>147</v>
      </c>
      <c r="AC661" s="10">
        <v>166</v>
      </c>
      <c r="AD661" s="10">
        <v>77</v>
      </c>
      <c r="AE661" s="10">
        <v>7</v>
      </c>
      <c r="AF661" s="10">
        <v>9.5</v>
      </c>
      <c r="AG661" s="9" t="s">
        <v>188</v>
      </c>
      <c r="AH661" s="9" t="s">
        <v>185</v>
      </c>
      <c r="AI661" s="10"/>
      <c r="AJ661" s="10"/>
      <c r="AK661" s="30"/>
    </row>
    <row r="662" spans="5:37">
      <c r="E662" s="28" t="s">
        <v>155</v>
      </c>
      <c r="F662" s="8" t="s">
        <v>164</v>
      </c>
      <c r="G662" s="9" t="s">
        <v>826</v>
      </c>
      <c r="H662" s="10">
        <v>146</v>
      </c>
      <c r="I662" s="9" t="s">
        <v>163</v>
      </c>
      <c r="J662" s="10">
        <v>146</v>
      </c>
      <c r="K662" s="10">
        <v>149.80000000000001</v>
      </c>
      <c r="L662" s="10">
        <v>106</v>
      </c>
      <c r="M662" s="10">
        <v>125</v>
      </c>
      <c r="N662" s="10">
        <v>130</v>
      </c>
      <c r="O662" s="10">
        <v>87</v>
      </c>
      <c r="P662" s="10">
        <v>104</v>
      </c>
      <c r="Q662" s="10">
        <v>12.9</v>
      </c>
      <c r="R662" s="10">
        <v>1276</v>
      </c>
      <c r="S662" s="10">
        <v>1.18</v>
      </c>
      <c r="T662" s="10">
        <v>1503</v>
      </c>
      <c r="U662" s="10">
        <v>125</v>
      </c>
      <c r="V662" s="10">
        <v>53</v>
      </c>
      <c r="W662" s="10">
        <v>50</v>
      </c>
      <c r="X662" s="10">
        <v>300</v>
      </c>
      <c r="Y662" s="10">
        <v>12</v>
      </c>
      <c r="Z662" s="10">
        <v>142</v>
      </c>
      <c r="AA662" s="10">
        <v>0.23899999999999999</v>
      </c>
      <c r="AB662" s="10">
        <v>140</v>
      </c>
      <c r="AC662" s="10">
        <v>111</v>
      </c>
      <c r="AD662" s="10">
        <v>159</v>
      </c>
      <c r="AE662" s="10">
        <v>3</v>
      </c>
      <c r="AF662" s="10">
        <v>7.6</v>
      </c>
      <c r="AG662" s="9" t="s">
        <v>188</v>
      </c>
      <c r="AH662" s="9" t="s">
        <v>185</v>
      </c>
      <c r="AI662" s="10"/>
      <c r="AJ662" s="10"/>
      <c r="AK662" s="30"/>
    </row>
    <row r="663" spans="5:37">
      <c r="E663" s="28" t="s">
        <v>155</v>
      </c>
      <c r="F663" s="8" t="s">
        <v>164</v>
      </c>
      <c r="G663" s="9" t="s">
        <v>826</v>
      </c>
      <c r="H663" s="10">
        <v>154</v>
      </c>
      <c r="I663" s="9" t="s">
        <v>163</v>
      </c>
      <c r="J663" s="10">
        <v>154</v>
      </c>
      <c r="K663" s="10">
        <v>156.4</v>
      </c>
      <c r="L663" s="10">
        <v>121</v>
      </c>
      <c r="M663" s="10">
        <v>132</v>
      </c>
      <c r="N663" s="10">
        <v>129</v>
      </c>
      <c r="O663" s="10">
        <v>87</v>
      </c>
      <c r="P663" s="10">
        <v>105</v>
      </c>
      <c r="Q663" s="10">
        <v>13.6</v>
      </c>
      <c r="R663" s="10">
        <v>1327</v>
      </c>
      <c r="S663" s="10">
        <v>1.18</v>
      </c>
      <c r="T663" s="10">
        <v>1572</v>
      </c>
      <c r="U663" s="10">
        <v>121</v>
      </c>
      <c r="V663" s="10">
        <v>56</v>
      </c>
      <c r="W663" s="10">
        <v>46</v>
      </c>
      <c r="X663" s="10">
        <v>221</v>
      </c>
      <c r="Y663" s="10">
        <v>11</v>
      </c>
      <c r="Z663" s="10">
        <v>133</v>
      </c>
      <c r="AA663" s="10">
        <v>0.24299999999999999</v>
      </c>
      <c r="AB663" s="10">
        <v>136</v>
      </c>
      <c r="AC663" s="10">
        <v>104</v>
      </c>
      <c r="AD663" s="10">
        <v>84</v>
      </c>
      <c r="AE663" s="10">
        <v>4</v>
      </c>
      <c r="AF663" s="10">
        <v>8.5</v>
      </c>
      <c r="AG663" s="9" t="s">
        <v>188</v>
      </c>
      <c r="AH663" s="9" t="s">
        <v>185</v>
      </c>
      <c r="AI663" s="10"/>
      <c r="AJ663" s="10"/>
      <c r="AK663" s="30"/>
    </row>
    <row r="664" spans="5:37">
      <c r="E664" s="28" t="s">
        <v>155</v>
      </c>
      <c r="F664" s="8" t="s">
        <v>164</v>
      </c>
      <c r="G664" s="9" t="s">
        <v>826</v>
      </c>
      <c r="H664" s="10">
        <v>162</v>
      </c>
      <c r="I664" s="9" t="s">
        <v>163</v>
      </c>
      <c r="J664" s="10">
        <v>162</v>
      </c>
      <c r="K664" s="10">
        <v>163.9</v>
      </c>
      <c r="L664" s="10">
        <v>123</v>
      </c>
      <c r="M664" s="10">
        <v>133</v>
      </c>
      <c r="N664" s="10">
        <v>130</v>
      </c>
      <c r="O664" s="10">
        <v>87</v>
      </c>
      <c r="P664" s="10">
        <v>105</v>
      </c>
      <c r="Q664" s="10">
        <v>14.1</v>
      </c>
      <c r="R664" s="10">
        <v>1404</v>
      </c>
      <c r="S664" s="10">
        <v>1.18</v>
      </c>
      <c r="T664" s="10">
        <v>1651</v>
      </c>
      <c r="U664" s="10">
        <v>130</v>
      </c>
      <c r="V664" s="10">
        <v>61</v>
      </c>
      <c r="W664" s="10">
        <v>46</v>
      </c>
      <c r="X664" s="10">
        <v>260</v>
      </c>
      <c r="Y664" s="10">
        <v>13</v>
      </c>
      <c r="Z664" s="10">
        <v>149</v>
      </c>
      <c r="AA664" s="10">
        <v>0.27500000000000002</v>
      </c>
      <c r="AB664" s="10">
        <v>157</v>
      </c>
      <c r="AC664" s="10">
        <v>153</v>
      </c>
      <c r="AD664" s="10">
        <v>103</v>
      </c>
      <c r="AE664" s="10">
        <v>4</v>
      </c>
      <c r="AF664" s="10">
        <v>8.5</v>
      </c>
      <c r="AG664" s="9" t="s">
        <v>188</v>
      </c>
      <c r="AH664" s="9" t="s">
        <v>185</v>
      </c>
      <c r="AI664" s="10"/>
      <c r="AJ664" s="10"/>
      <c r="AK664" s="30"/>
    </row>
    <row r="665" spans="5:37">
      <c r="E665" s="28" t="s">
        <v>155</v>
      </c>
      <c r="F665" s="8" t="s">
        <v>164</v>
      </c>
      <c r="G665" s="9" t="s">
        <v>826</v>
      </c>
      <c r="H665" s="10">
        <v>170</v>
      </c>
      <c r="I665" s="9" t="s">
        <v>163</v>
      </c>
      <c r="J665" s="10">
        <v>170</v>
      </c>
      <c r="K665" s="10">
        <v>170.5</v>
      </c>
      <c r="L665" s="10">
        <v>128</v>
      </c>
      <c r="M665" s="10">
        <v>138</v>
      </c>
      <c r="N665" s="10">
        <v>129</v>
      </c>
      <c r="O665" s="10">
        <v>88</v>
      </c>
      <c r="P665" s="10">
        <v>105</v>
      </c>
      <c r="Q665" s="10">
        <v>15.4</v>
      </c>
      <c r="R665" s="10">
        <v>1501</v>
      </c>
      <c r="S665" s="10">
        <v>1.1399999999999999</v>
      </c>
      <c r="T665" s="10">
        <v>1718</v>
      </c>
      <c r="U665" s="10">
        <v>157</v>
      </c>
      <c r="V665" s="10">
        <v>60</v>
      </c>
      <c r="W665" s="10">
        <v>49</v>
      </c>
      <c r="X665" s="10">
        <v>231</v>
      </c>
      <c r="Y665" s="10">
        <v>16</v>
      </c>
      <c r="Z665" s="10">
        <v>198</v>
      </c>
      <c r="AA665" s="10">
        <v>0.33800000000000002</v>
      </c>
      <c r="AB665" s="10">
        <v>157</v>
      </c>
      <c r="AC665" s="10">
        <v>168</v>
      </c>
      <c r="AD665" s="10">
        <v>74</v>
      </c>
      <c r="AE665" s="10">
        <v>4</v>
      </c>
      <c r="AF665" s="10">
        <v>8.6999999999999993</v>
      </c>
      <c r="AG665" s="9" t="s">
        <v>188</v>
      </c>
      <c r="AH665" s="9" t="s">
        <v>185</v>
      </c>
      <c r="AI665" s="10"/>
      <c r="AJ665" s="10"/>
      <c r="AK665" s="30"/>
    </row>
    <row r="666" spans="5:37">
      <c r="E666" s="28" t="s">
        <v>155</v>
      </c>
      <c r="F666" s="8" t="s">
        <v>164</v>
      </c>
      <c r="G666" s="9" t="s">
        <v>518</v>
      </c>
      <c r="H666" s="10">
        <v>154</v>
      </c>
      <c r="I666" s="9" t="s">
        <v>163</v>
      </c>
      <c r="J666" s="10">
        <v>154</v>
      </c>
      <c r="K666" s="10">
        <v>154.9</v>
      </c>
      <c r="L666" s="10">
        <v>105</v>
      </c>
      <c r="M666" s="10">
        <v>121</v>
      </c>
      <c r="N666" s="10">
        <v>131</v>
      </c>
      <c r="O666" s="10">
        <v>94</v>
      </c>
      <c r="P666" s="10">
        <v>107</v>
      </c>
      <c r="Q666" s="10">
        <v>13.9</v>
      </c>
      <c r="R666" s="10">
        <v>1394</v>
      </c>
      <c r="S666" s="10">
        <v>1.17</v>
      </c>
      <c r="T666" s="10">
        <v>1628</v>
      </c>
      <c r="U666" s="10">
        <v>146</v>
      </c>
      <c r="V666" s="10">
        <v>62</v>
      </c>
      <c r="W666" s="10">
        <v>49</v>
      </c>
      <c r="X666" s="10">
        <v>298</v>
      </c>
      <c r="Y666" s="10">
        <v>16</v>
      </c>
      <c r="Z666" s="10">
        <v>203</v>
      </c>
      <c r="AA666" s="10">
        <v>0.32200000000000001</v>
      </c>
      <c r="AB666" s="10">
        <v>176</v>
      </c>
      <c r="AC666" s="10">
        <v>161</v>
      </c>
      <c r="AD666" s="10">
        <v>122</v>
      </c>
      <c r="AE666" s="10">
        <v>3</v>
      </c>
      <c r="AF666" s="10">
        <v>7</v>
      </c>
      <c r="AG666" s="9" t="s">
        <v>188</v>
      </c>
      <c r="AH666" s="9" t="s">
        <v>185</v>
      </c>
      <c r="AI666" s="10"/>
      <c r="AJ666" s="10"/>
      <c r="AK666" s="30"/>
    </row>
    <row r="667" spans="5:37">
      <c r="E667" s="28" t="s">
        <v>155</v>
      </c>
      <c r="F667" s="8" t="s">
        <v>164</v>
      </c>
      <c r="G667" s="9" t="s">
        <v>518</v>
      </c>
      <c r="H667" s="10">
        <v>162</v>
      </c>
      <c r="I667" s="9" t="s">
        <v>163</v>
      </c>
      <c r="J667" s="10">
        <v>162</v>
      </c>
      <c r="K667" s="10">
        <v>162.1</v>
      </c>
      <c r="L667" s="10">
        <v>116</v>
      </c>
      <c r="M667" s="10">
        <v>129</v>
      </c>
      <c r="N667" s="10">
        <v>133</v>
      </c>
      <c r="O667" s="10">
        <v>94</v>
      </c>
      <c r="P667" s="10">
        <v>108</v>
      </c>
      <c r="Q667" s="10">
        <v>14.9</v>
      </c>
      <c r="R667" s="10">
        <v>1451</v>
      </c>
      <c r="S667" s="10">
        <v>1.18</v>
      </c>
      <c r="T667" s="10">
        <v>1717</v>
      </c>
      <c r="U667" s="10">
        <v>156</v>
      </c>
      <c r="V667" s="10">
        <v>60</v>
      </c>
      <c r="W667" s="10">
        <v>45</v>
      </c>
      <c r="X667" s="10">
        <v>279</v>
      </c>
      <c r="Y667" s="10">
        <v>14</v>
      </c>
      <c r="Z667" s="10">
        <v>183</v>
      </c>
      <c r="AA667" s="10">
        <v>0.31</v>
      </c>
      <c r="AB667" s="10">
        <v>166</v>
      </c>
      <c r="AC667" s="10">
        <v>162</v>
      </c>
      <c r="AD667" s="10">
        <v>113</v>
      </c>
      <c r="AE667" s="10">
        <v>5</v>
      </c>
      <c r="AF667" s="10">
        <v>7.2</v>
      </c>
      <c r="AG667" s="9" t="s">
        <v>188</v>
      </c>
      <c r="AH667" s="9" t="s">
        <v>185</v>
      </c>
      <c r="AI667" s="10"/>
      <c r="AJ667" s="10"/>
      <c r="AK667" s="30"/>
    </row>
    <row r="668" spans="5:37">
      <c r="E668" s="28" t="s">
        <v>155</v>
      </c>
      <c r="F668" s="8" t="s">
        <v>164</v>
      </c>
      <c r="G668" s="9" t="s">
        <v>518</v>
      </c>
      <c r="H668" s="10">
        <v>170</v>
      </c>
      <c r="I668" s="9" t="s">
        <v>163</v>
      </c>
      <c r="J668" s="10">
        <v>170</v>
      </c>
      <c r="K668" s="10">
        <v>170.4</v>
      </c>
      <c r="L668" s="10">
        <v>128</v>
      </c>
      <c r="M668" s="10">
        <v>137</v>
      </c>
      <c r="N668" s="10">
        <v>136</v>
      </c>
      <c r="O668" s="10">
        <v>95</v>
      </c>
      <c r="P668" s="10">
        <v>111</v>
      </c>
      <c r="Q668" s="10">
        <v>15.7</v>
      </c>
      <c r="R668" s="10">
        <v>1612</v>
      </c>
      <c r="S668" s="10">
        <v>1.1299999999999999</v>
      </c>
      <c r="T668" s="10">
        <v>1827</v>
      </c>
      <c r="U668" s="10">
        <v>187</v>
      </c>
      <c r="V668" s="10">
        <v>74</v>
      </c>
      <c r="W668" s="10">
        <v>47</v>
      </c>
      <c r="X668" s="10">
        <v>242</v>
      </c>
      <c r="Y668" s="10">
        <v>16</v>
      </c>
      <c r="Z668" s="10">
        <v>181</v>
      </c>
      <c r="AA668" s="10">
        <v>0.34699999999999998</v>
      </c>
      <c r="AB668" s="10">
        <v>176</v>
      </c>
      <c r="AC668" s="10">
        <v>163</v>
      </c>
      <c r="AD668" s="10">
        <v>66</v>
      </c>
      <c r="AE668" s="10">
        <v>4</v>
      </c>
      <c r="AF668" s="10">
        <v>6.8</v>
      </c>
      <c r="AG668" s="9" t="s">
        <v>188</v>
      </c>
      <c r="AH668" s="9" t="s">
        <v>185</v>
      </c>
      <c r="AI668" s="10"/>
      <c r="AJ668" s="10"/>
      <c r="AK668" s="30"/>
    </row>
    <row r="669" spans="5:37">
      <c r="E669" s="28" t="s">
        <v>155</v>
      </c>
      <c r="F669" s="8" t="s">
        <v>164</v>
      </c>
      <c r="G669" s="9" t="s">
        <v>255</v>
      </c>
      <c r="H669" s="10">
        <v>172</v>
      </c>
      <c r="I669" s="9" t="s">
        <v>158</v>
      </c>
      <c r="J669" s="10">
        <v>172</v>
      </c>
      <c r="K669" s="10">
        <v>170.3</v>
      </c>
      <c r="L669" s="10">
        <v>127</v>
      </c>
      <c r="M669" s="10">
        <v>136</v>
      </c>
      <c r="N669" s="10">
        <v>136</v>
      </c>
      <c r="O669" s="10">
        <v>94</v>
      </c>
      <c r="P669" s="10">
        <v>110</v>
      </c>
      <c r="Q669" s="10">
        <v>15.6</v>
      </c>
      <c r="R669" s="10">
        <v>1577</v>
      </c>
      <c r="S669" s="10">
        <v>1.1599999999999999</v>
      </c>
      <c r="T669" s="10">
        <v>1823</v>
      </c>
      <c r="U669" s="10">
        <v>190</v>
      </c>
      <c r="V669" s="10">
        <v>74</v>
      </c>
      <c r="W669" s="10">
        <v>51</v>
      </c>
      <c r="X669" s="10">
        <v>274</v>
      </c>
      <c r="Y669" s="10">
        <v>15</v>
      </c>
      <c r="Z669" s="10">
        <v>159</v>
      </c>
      <c r="AA669" s="10">
        <v>0.3</v>
      </c>
      <c r="AB669" s="10">
        <v>178</v>
      </c>
      <c r="AC669" s="10">
        <v>166</v>
      </c>
      <c r="AD669" s="10">
        <v>96</v>
      </c>
      <c r="AE669" s="10">
        <v>4</v>
      </c>
      <c r="AF669" s="10">
        <v>7.7</v>
      </c>
      <c r="AG669" s="9" t="s">
        <v>188</v>
      </c>
      <c r="AH669" s="9" t="s">
        <v>185</v>
      </c>
      <c r="AI669" s="10"/>
      <c r="AJ669" s="10"/>
      <c r="AK669" s="30"/>
    </row>
    <row r="670" spans="5:37">
      <c r="E670" s="28" t="s">
        <v>155</v>
      </c>
      <c r="F670" s="8" t="s">
        <v>164</v>
      </c>
      <c r="G670" s="9" t="s">
        <v>255</v>
      </c>
      <c r="H670" s="10">
        <v>180</v>
      </c>
      <c r="I670" s="9" t="s">
        <v>158</v>
      </c>
      <c r="J670" s="10">
        <v>180</v>
      </c>
      <c r="K670" s="10">
        <v>177.1</v>
      </c>
      <c r="L670" s="10">
        <v>139</v>
      </c>
      <c r="M670" s="10">
        <v>144</v>
      </c>
      <c r="N670" s="10">
        <v>136</v>
      </c>
      <c r="O670" s="10">
        <v>94</v>
      </c>
      <c r="P670" s="10">
        <v>110</v>
      </c>
      <c r="Q670" s="10">
        <v>17.5</v>
      </c>
      <c r="R670" s="10">
        <v>1720</v>
      </c>
      <c r="S670" s="10">
        <v>1.1000000000000001</v>
      </c>
      <c r="T670" s="10">
        <v>1895</v>
      </c>
      <c r="U670" s="10">
        <v>187</v>
      </c>
      <c r="V670" s="10">
        <v>73</v>
      </c>
      <c r="W670" s="10">
        <v>44</v>
      </c>
      <c r="X670" s="10">
        <v>219</v>
      </c>
      <c r="Y670" s="10">
        <v>16</v>
      </c>
      <c r="Z670" s="10">
        <v>166</v>
      </c>
      <c r="AA670" s="10">
        <v>0.35199999999999998</v>
      </c>
      <c r="AB670" s="10">
        <v>172</v>
      </c>
      <c r="AC670" s="10">
        <v>158</v>
      </c>
      <c r="AD670" s="10">
        <v>47</v>
      </c>
      <c r="AE670" s="10">
        <v>9</v>
      </c>
      <c r="AF670" s="10">
        <v>8.3000000000000007</v>
      </c>
      <c r="AG670" s="9" t="s">
        <v>188</v>
      </c>
      <c r="AH670" s="9" t="s">
        <v>185</v>
      </c>
      <c r="AI670" s="10"/>
      <c r="AJ670" s="10"/>
      <c r="AK670" s="30"/>
    </row>
    <row r="671" spans="5:37">
      <c r="E671" s="28" t="s">
        <v>155</v>
      </c>
      <c r="F671" s="8" t="s">
        <v>164</v>
      </c>
      <c r="G671" s="9" t="s">
        <v>255</v>
      </c>
      <c r="H671" s="10">
        <v>188</v>
      </c>
      <c r="I671" s="9" t="s">
        <v>158</v>
      </c>
      <c r="J671" s="10">
        <v>188</v>
      </c>
      <c r="K671" s="10">
        <v>184.2</v>
      </c>
      <c r="L671" s="10">
        <v>135</v>
      </c>
      <c r="M671" s="10">
        <v>150</v>
      </c>
      <c r="N671" s="10">
        <v>136</v>
      </c>
      <c r="O671" s="10">
        <v>94</v>
      </c>
      <c r="P671" s="10">
        <v>110</v>
      </c>
      <c r="Q671" s="10">
        <v>19</v>
      </c>
      <c r="R671" s="10">
        <v>1789</v>
      </c>
      <c r="S671" s="10">
        <v>1.0900000000000001</v>
      </c>
      <c r="T671" s="10">
        <v>1958</v>
      </c>
      <c r="U671" s="10">
        <v>239</v>
      </c>
      <c r="V671" s="10">
        <v>92</v>
      </c>
      <c r="W671" s="10">
        <v>45</v>
      </c>
      <c r="X671" s="10">
        <v>259</v>
      </c>
      <c r="Y671" s="10">
        <v>12</v>
      </c>
      <c r="Z671" s="10">
        <v>233</v>
      </c>
      <c r="AA671" s="10">
        <v>0.27600000000000002</v>
      </c>
      <c r="AB671" s="10">
        <v>170</v>
      </c>
      <c r="AC671" s="10">
        <v>168</v>
      </c>
      <c r="AD671" s="10">
        <v>88</v>
      </c>
      <c r="AE671" s="10">
        <v>4</v>
      </c>
      <c r="AF671" s="10">
        <v>7.7</v>
      </c>
      <c r="AG671" s="9" t="s">
        <v>188</v>
      </c>
      <c r="AH671" s="9" t="s">
        <v>185</v>
      </c>
      <c r="AI671" s="10"/>
      <c r="AJ671" s="10"/>
      <c r="AK671" s="30"/>
    </row>
    <row r="672" spans="5:37">
      <c r="E672" s="28" t="s">
        <v>155</v>
      </c>
      <c r="F672" s="8" t="s">
        <v>164</v>
      </c>
      <c r="G672" s="9" t="s">
        <v>408</v>
      </c>
      <c r="H672" s="10">
        <v>188</v>
      </c>
      <c r="I672" s="9" t="s">
        <v>158</v>
      </c>
      <c r="J672" s="10">
        <v>188</v>
      </c>
      <c r="K672" s="10">
        <v>184</v>
      </c>
      <c r="L672" s="10">
        <v>132</v>
      </c>
      <c r="M672" s="10">
        <v>151</v>
      </c>
      <c r="N672" s="10">
        <v>136</v>
      </c>
      <c r="O672" s="10">
        <v>94</v>
      </c>
      <c r="P672" s="10">
        <v>110</v>
      </c>
      <c r="Q672" s="10">
        <v>18.899999999999999</v>
      </c>
      <c r="R672" s="10">
        <v>1775</v>
      </c>
      <c r="S672" s="10">
        <v>1.1000000000000001</v>
      </c>
      <c r="T672" s="10">
        <v>1957</v>
      </c>
      <c r="U672" s="10">
        <v>261</v>
      </c>
      <c r="V672" s="10">
        <v>107</v>
      </c>
      <c r="W672" s="10">
        <v>49</v>
      </c>
      <c r="X672" s="10">
        <v>264</v>
      </c>
      <c r="Y672" s="10">
        <v>18</v>
      </c>
      <c r="Z672" s="10">
        <v>260</v>
      </c>
      <c r="AA672" s="10">
        <v>0.371</v>
      </c>
      <c r="AB672" s="10">
        <v>172</v>
      </c>
      <c r="AC672" s="10">
        <v>159</v>
      </c>
      <c r="AD672" s="10">
        <v>93</v>
      </c>
      <c r="AE672" s="10">
        <v>5</v>
      </c>
      <c r="AF672" s="10">
        <v>8.1</v>
      </c>
      <c r="AG672" s="9" t="s">
        <v>188</v>
      </c>
      <c r="AH672" s="9" t="s">
        <v>185</v>
      </c>
      <c r="AI672" s="10"/>
      <c r="AJ672" s="10"/>
      <c r="AK672" s="30"/>
    </row>
    <row r="673" spans="5:37">
      <c r="E673" s="28" t="s">
        <v>155</v>
      </c>
      <c r="F673" s="8" t="s">
        <v>164</v>
      </c>
      <c r="G673" s="9" t="s">
        <v>819</v>
      </c>
      <c r="H673" s="10">
        <v>146</v>
      </c>
      <c r="I673" s="9" t="s">
        <v>163</v>
      </c>
      <c r="J673" s="10">
        <v>146</v>
      </c>
      <c r="K673" s="10">
        <v>145</v>
      </c>
      <c r="L673" s="10">
        <v>123</v>
      </c>
      <c r="M673" s="10">
        <v>133</v>
      </c>
      <c r="N673" s="10">
        <v>122</v>
      </c>
      <c r="O673" s="10">
        <v>73</v>
      </c>
      <c r="P673" s="10">
        <v>102</v>
      </c>
      <c r="Q673" s="10">
        <v>11.5</v>
      </c>
      <c r="R673" s="10">
        <v>1356</v>
      </c>
      <c r="S673" s="10">
        <v>0.94</v>
      </c>
      <c r="T673" s="10">
        <v>1273</v>
      </c>
      <c r="U673" s="10">
        <v>135</v>
      </c>
      <c r="V673" s="10">
        <v>48</v>
      </c>
      <c r="W673" s="10">
        <v>33</v>
      </c>
      <c r="X673" s="10">
        <v>151</v>
      </c>
      <c r="Y673" s="10">
        <v>6</v>
      </c>
      <c r="Z673" s="10">
        <v>70</v>
      </c>
      <c r="AA673" s="10">
        <v>0.17499999999999999</v>
      </c>
      <c r="AB673" s="10">
        <v>78</v>
      </c>
      <c r="AC673" s="10">
        <v>37</v>
      </c>
      <c r="AD673" s="10">
        <v>73</v>
      </c>
      <c r="AE673" s="10">
        <v>8</v>
      </c>
      <c r="AF673" s="10">
        <v>8.5</v>
      </c>
      <c r="AG673" s="9" t="s">
        <v>349</v>
      </c>
      <c r="AH673" s="10"/>
      <c r="AI673" s="10"/>
      <c r="AJ673" s="10"/>
      <c r="AK673" s="30"/>
    </row>
    <row r="674" spans="5:37">
      <c r="E674" s="28" t="s">
        <v>155</v>
      </c>
      <c r="F674" s="8" t="s">
        <v>164</v>
      </c>
      <c r="G674" s="9" t="s">
        <v>819</v>
      </c>
      <c r="H674" s="10">
        <v>158</v>
      </c>
      <c r="I674" s="9" t="s">
        <v>163</v>
      </c>
      <c r="J674" s="10">
        <v>158</v>
      </c>
      <c r="K674" s="10">
        <v>159.19999999999999</v>
      </c>
      <c r="L674" s="10">
        <v>138</v>
      </c>
      <c r="M674" s="10">
        <v>147</v>
      </c>
      <c r="N674" s="10">
        <v>122</v>
      </c>
      <c r="O674" s="10">
        <v>74</v>
      </c>
      <c r="P674" s="10">
        <v>103</v>
      </c>
      <c r="Q674" s="10">
        <v>13.9</v>
      </c>
      <c r="R674" s="10">
        <v>1522</v>
      </c>
      <c r="S674" s="10">
        <v>0.92</v>
      </c>
      <c r="T674" s="10">
        <v>1401</v>
      </c>
      <c r="U674" s="10">
        <v>187</v>
      </c>
      <c r="V674" s="10">
        <v>60</v>
      </c>
      <c r="W674" s="10">
        <v>34</v>
      </c>
      <c r="X674" s="10">
        <v>141</v>
      </c>
      <c r="Y674" s="10">
        <v>6</v>
      </c>
      <c r="Z674" s="10">
        <v>71</v>
      </c>
      <c r="AA674" s="10">
        <v>0.186</v>
      </c>
      <c r="AB674" s="10">
        <v>79</v>
      </c>
      <c r="AC674" s="10">
        <v>39</v>
      </c>
      <c r="AD674" s="10">
        <v>62</v>
      </c>
      <c r="AE674" s="10">
        <v>9</v>
      </c>
      <c r="AF674" s="10">
        <v>9.1</v>
      </c>
      <c r="AG674" s="9" t="s">
        <v>349</v>
      </c>
      <c r="AH674" s="10"/>
      <c r="AI674" s="10"/>
      <c r="AJ674" s="10"/>
      <c r="AK674" s="30"/>
    </row>
    <row r="675" spans="5:37">
      <c r="E675" s="28" t="s">
        <v>155</v>
      </c>
      <c r="F675" s="8" t="s">
        <v>164</v>
      </c>
      <c r="G675" s="9" t="s">
        <v>1158</v>
      </c>
      <c r="H675" s="10">
        <v>166</v>
      </c>
      <c r="I675" s="9" t="s">
        <v>158</v>
      </c>
      <c r="J675" s="10">
        <v>166</v>
      </c>
      <c r="K675" s="10">
        <v>164.3</v>
      </c>
      <c r="L675" s="10">
        <v>145</v>
      </c>
      <c r="M675" s="10">
        <v>151</v>
      </c>
      <c r="N675" s="10">
        <v>127</v>
      </c>
      <c r="O675" s="10">
        <v>77</v>
      </c>
      <c r="P675" s="10">
        <v>110</v>
      </c>
      <c r="Q675" s="10">
        <v>13.6</v>
      </c>
      <c r="R675" s="9" t="s">
        <v>1155</v>
      </c>
      <c r="S675" s="9" t="s">
        <v>1155</v>
      </c>
      <c r="T675" s="10">
        <v>1528</v>
      </c>
      <c r="U675" s="10">
        <v>204</v>
      </c>
      <c r="V675" s="10">
        <v>76</v>
      </c>
      <c r="W675" s="10">
        <v>39</v>
      </c>
      <c r="X675" s="10">
        <v>133</v>
      </c>
      <c r="Y675" s="10">
        <v>7</v>
      </c>
      <c r="Z675" s="10">
        <v>57</v>
      </c>
      <c r="AA675" s="10">
        <v>0.182</v>
      </c>
      <c r="AB675" s="10">
        <v>84</v>
      </c>
      <c r="AC675" s="10">
        <v>47</v>
      </c>
      <c r="AD675" s="10">
        <v>49</v>
      </c>
      <c r="AE675" s="10">
        <v>15</v>
      </c>
      <c r="AF675" s="10">
        <v>7.5</v>
      </c>
      <c r="AG675" s="9" t="s">
        <v>160</v>
      </c>
      <c r="AH675" s="10"/>
      <c r="AI675" s="10"/>
      <c r="AJ675" s="10"/>
      <c r="AK675" s="30"/>
    </row>
    <row r="676" spans="5:37">
      <c r="E676" s="28" t="s">
        <v>155</v>
      </c>
      <c r="F676" s="8" t="s">
        <v>164</v>
      </c>
      <c r="G676" s="9" t="s">
        <v>601</v>
      </c>
      <c r="H676" s="10">
        <v>150</v>
      </c>
      <c r="I676" s="9" t="s">
        <v>163</v>
      </c>
      <c r="J676" s="10">
        <v>150</v>
      </c>
      <c r="K676" s="10">
        <v>150.19999999999999</v>
      </c>
      <c r="L676" s="10">
        <v>131</v>
      </c>
      <c r="M676" s="10">
        <v>136</v>
      </c>
      <c r="N676" s="10">
        <v>127</v>
      </c>
      <c r="O676" s="10">
        <v>75</v>
      </c>
      <c r="P676" s="10">
        <v>105</v>
      </c>
      <c r="Q676" s="10">
        <v>11.5</v>
      </c>
      <c r="R676" s="10">
        <v>1415</v>
      </c>
      <c r="S676" s="10">
        <v>0.96</v>
      </c>
      <c r="T676" s="10">
        <v>1365</v>
      </c>
      <c r="U676" s="10">
        <v>135</v>
      </c>
      <c r="V676" s="10">
        <v>60</v>
      </c>
      <c r="W676" s="10">
        <v>38</v>
      </c>
      <c r="X676" s="10">
        <v>132</v>
      </c>
      <c r="Y676" s="10">
        <v>6</v>
      </c>
      <c r="Z676" s="10">
        <v>63</v>
      </c>
      <c r="AA676" s="10">
        <v>0.159</v>
      </c>
      <c r="AB676" s="10">
        <v>89</v>
      </c>
      <c r="AC676" s="10">
        <v>49</v>
      </c>
      <c r="AD676" s="10">
        <v>43</v>
      </c>
      <c r="AE676" s="10">
        <v>8</v>
      </c>
      <c r="AF676" s="10">
        <v>9.6999999999999993</v>
      </c>
      <c r="AG676" s="9" t="s">
        <v>349</v>
      </c>
      <c r="AH676" s="10"/>
      <c r="AI676" s="10"/>
      <c r="AJ676" s="10"/>
      <c r="AK676" s="30"/>
    </row>
    <row r="677" spans="5:37">
      <c r="E677" s="28" t="s">
        <v>155</v>
      </c>
      <c r="F677" s="8" t="s">
        <v>164</v>
      </c>
      <c r="G677" s="9" t="s">
        <v>601</v>
      </c>
      <c r="H677" s="10">
        <v>158</v>
      </c>
      <c r="I677" s="9" t="s">
        <v>163</v>
      </c>
      <c r="J677" s="10">
        <v>158</v>
      </c>
      <c r="K677" s="10">
        <v>158.4</v>
      </c>
      <c r="L677" s="10">
        <v>138</v>
      </c>
      <c r="M677" s="10">
        <v>145</v>
      </c>
      <c r="N677" s="10">
        <v>127</v>
      </c>
      <c r="O677" s="10">
        <v>75</v>
      </c>
      <c r="P677" s="10">
        <v>104</v>
      </c>
      <c r="Q677" s="10">
        <v>13</v>
      </c>
      <c r="R677" s="10">
        <v>1515</v>
      </c>
      <c r="S677" s="10">
        <v>0.95</v>
      </c>
      <c r="T677" s="10">
        <v>1438</v>
      </c>
      <c r="U677" s="10">
        <v>163</v>
      </c>
      <c r="V677" s="10">
        <v>69</v>
      </c>
      <c r="W677" s="10">
        <v>37</v>
      </c>
      <c r="X677" s="10">
        <v>141</v>
      </c>
      <c r="Y677" s="10">
        <v>7</v>
      </c>
      <c r="Z677" s="10">
        <v>68</v>
      </c>
      <c r="AA677" s="10">
        <v>0.187</v>
      </c>
      <c r="AB677" s="10">
        <v>88</v>
      </c>
      <c r="AC677" s="10">
        <v>49</v>
      </c>
      <c r="AD677" s="10">
        <v>53</v>
      </c>
      <c r="AE677" s="10">
        <v>9</v>
      </c>
      <c r="AF677" s="10">
        <v>9.1999999999999993</v>
      </c>
      <c r="AG677" s="9" t="s">
        <v>349</v>
      </c>
      <c r="AH677" s="10"/>
      <c r="AI677" s="10"/>
      <c r="AJ677" s="10"/>
      <c r="AK677" s="30"/>
    </row>
    <row r="678" spans="5:37">
      <c r="E678" s="28" t="s">
        <v>155</v>
      </c>
      <c r="F678" s="8" t="s">
        <v>164</v>
      </c>
      <c r="G678" s="9" t="s">
        <v>292</v>
      </c>
      <c r="H678" s="10">
        <v>152</v>
      </c>
      <c r="I678" s="9" t="s">
        <v>163</v>
      </c>
      <c r="J678" s="10">
        <v>152</v>
      </c>
      <c r="K678" s="10">
        <v>153.1</v>
      </c>
      <c r="L678" s="10">
        <v>122</v>
      </c>
      <c r="M678" s="10">
        <v>133</v>
      </c>
      <c r="N678" s="10">
        <v>129</v>
      </c>
      <c r="O678" s="10">
        <v>81</v>
      </c>
      <c r="P678" s="10">
        <v>112</v>
      </c>
      <c r="Q678" s="10">
        <v>10.9</v>
      </c>
      <c r="R678" s="10">
        <v>1695</v>
      </c>
      <c r="S678" s="10">
        <v>0.87</v>
      </c>
      <c r="T678" s="10">
        <v>1483</v>
      </c>
      <c r="U678" s="10">
        <v>210</v>
      </c>
      <c r="V678" s="10">
        <v>81</v>
      </c>
      <c r="W678" s="10">
        <v>40</v>
      </c>
      <c r="X678" s="10">
        <v>190</v>
      </c>
      <c r="Y678" s="10">
        <v>9</v>
      </c>
      <c r="Z678" s="10">
        <v>121</v>
      </c>
      <c r="AA678" s="10">
        <v>0.23499999999999999</v>
      </c>
      <c r="AB678" s="10">
        <v>110</v>
      </c>
      <c r="AC678" s="10">
        <v>92</v>
      </c>
      <c r="AD678" s="10">
        <v>80</v>
      </c>
      <c r="AE678" s="10">
        <v>6</v>
      </c>
      <c r="AF678" s="10">
        <v>8.5</v>
      </c>
      <c r="AG678" s="9" t="s">
        <v>231</v>
      </c>
      <c r="AH678" s="9" t="s">
        <v>188</v>
      </c>
      <c r="AI678" s="10"/>
      <c r="AJ678" s="10"/>
      <c r="AK678" s="30"/>
    </row>
    <row r="679" spans="5:37">
      <c r="E679" s="28" t="s">
        <v>155</v>
      </c>
      <c r="F679" s="8" t="s">
        <v>164</v>
      </c>
      <c r="G679" s="9" t="s">
        <v>292</v>
      </c>
      <c r="H679" s="10">
        <v>158</v>
      </c>
      <c r="I679" s="9" t="s">
        <v>163</v>
      </c>
      <c r="J679" s="10">
        <v>158</v>
      </c>
      <c r="K679" s="10">
        <v>161.69999999999999</v>
      </c>
      <c r="L679" s="10">
        <v>128</v>
      </c>
      <c r="M679" s="10">
        <v>139</v>
      </c>
      <c r="N679" s="10">
        <v>128</v>
      </c>
      <c r="O679" s="10">
        <v>81</v>
      </c>
      <c r="P679" s="10">
        <v>112</v>
      </c>
      <c r="Q679" s="10">
        <v>12</v>
      </c>
      <c r="R679" s="10">
        <v>1726</v>
      </c>
      <c r="S679" s="10">
        <v>0.9</v>
      </c>
      <c r="T679" s="10">
        <v>1560</v>
      </c>
      <c r="U679" s="10">
        <v>207</v>
      </c>
      <c r="V679" s="10">
        <v>81</v>
      </c>
      <c r="W679" s="10">
        <v>42</v>
      </c>
      <c r="X679" s="10">
        <v>188</v>
      </c>
      <c r="Y679" s="10">
        <v>12</v>
      </c>
      <c r="Z679" s="10">
        <v>145</v>
      </c>
      <c r="AA679" s="10">
        <v>0.28100000000000003</v>
      </c>
      <c r="AB679" s="10">
        <v>110</v>
      </c>
      <c r="AC679" s="10">
        <v>115</v>
      </c>
      <c r="AD679" s="10">
        <v>78</v>
      </c>
      <c r="AE679" s="10">
        <v>6</v>
      </c>
      <c r="AF679" s="10">
        <v>7.4</v>
      </c>
      <c r="AG679" s="9" t="s">
        <v>231</v>
      </c>
      <c r="AH679" s="9" t="s">
        <v>188</v>
      </c>
      <c r="AI679" s="10"/>
      <c r="AJ679" s="10"/>
      <c r="AK679" s="30"/>
    </row>
    <row r="680" spans="5:37">
      <c r="E680" s="28" t="s">
        <v>155</v>
      </c>
      <c r="F680" s="8" t="s">
        <v>164</v>
      </c>
      <c r="G680" s="9" t="s">
        <v>292</v>
      </c>
      <c r="H680" s="10">
        <v>164</v>
      </c>
      <c r="I680" s="9" t="s">
        <v>163</v>
      </c>
      <c r="J680" s="10">
        <v>164</v>
      </c>
      <c r="K680" s="10">
        <v>165.1</v>
      </c>
      <c r="L680" s="10">
        <v>135</v>
      </c>
      <c r="M680" s="10">
        <v>145</v>
      </c>
      <c r="N680" s="10">
        <v>129</v>
      </c>
      <c r="O680" s="10">
        <v>82</v>
      </c>
      <c r="P680" s="10">
        <v>112</v>
      </c>
      <c r="Q680" s="10">
        <v>13.1</v>
      </c>
      <c r="R680" s="10">
        <v>1818</v>
      </c>
      <c r="S680" s="10">
        <v>0.88</v>
      </c>
      <c r="T680" s="10">
        <v>1600</v>
      </c>
      <c r="U680" s="10">
        <v>222</v>
      </c>
      <c r="V680" s="10">
        <v>89</v>
      </c>
      <c r="W680" s="10">
        <v>41</v>
      </c>
      <c r="X680" s="10">
        <v>185</v>
      </c>
      <c r="Y680" s="10">
        <v>9</v>
      </c>
      <c r="Z680" s="10">
        <v>117</v>
      </c>
      <c r="AA680" s="10">
        <v>0.22</v>
      </c>
      <c r="AB680" s="10">
        <v>109</v>
      </c>
      <c r="AC680" s="10">
        <v>91</v>
      </c>
      <c r="AD680" s="10">
        <v>76</v>
      </c>
      <c r="AE680" s="10">
        <v>8</v>
      </c>
      <c r="AF680" s="10">
        <v>8.6</v>
      </c>
      <c r="AG680" s="9" t="s">
        <v>231</v>
      </c>
      <c r="AH680" s="9" t="s">
        <v>188</v>
      </c>
      <c r="AI680" s="10"/>
      <c r="AJ680" s="10"/>
      <c r="AK680" s="30"/>
    </row>
    <row r="681" spans="5:37">
      <c r="E681" s="28" t="s">
        <v>155</v>
      </c>
      <c r="F681" s="8" t="s">
        <v>164</v>
      </c>
      <c r="G681" s="9" t="s">
        <v>484</v>
      </c>
      <c r="H681" s="10">
        <v>158</v>
      </c>
      <c r="I681" s="9" t="s">
        <v>163</v>
      </c>
      <c r="J681" s="10">
        <v>158</v>
      </c>
      <c r="K681" s="10">
        <v>159.30000000000001</v>
      </c>
      <c r="L681" s="10">
        <v>126</v>
      </c>
      <c r="M681" s="10">
        <v>139</v>
      </c>
      <c r="N681" s="10">
        <v>129</v>
      </c>
      <c r="O681" s="10">
        <v>81</v>
      </c>
      <c r="P681" s="10">
        <v>112</v>
      </c>
      <c r="Q681" s="10">
        <v>12</v>
      </c>
      <c r="R681" s="10">
        <v>1737</v>
      </c>
      <c r="S681" s="10">
        <v>0.89</v>
      </c>
      <c r="T681" s="10">
        <v>1543</v>
      </c>
      <c r="U681" s="10">
        <v>192</v>
      </c>
      <c r="V681" s="10">
        <v>75</v>
      </c>
      <c r="W681" s="10">
        <v>45</v>
      </c>
      <c r="X681" s="10">
        <v>196</v>
      </c>
      <c r="Y681" s="10">
        <v>11</v>
      </c>
      <c r="Z681" s="10">
        <v>133</v>
      </c>
      <c r="AA681" s="10">
        <v>0.24</v>
      </c>
      <c r="AB681" s="10">
        <v>110</v>
      </c>
      <c r="AC681" s="10">
        <v>94</v>
      </c>
      <c r="AD681" s="10">
        <v>86</v>
      </c>
      <c r="AE681" s="10">
        <v>6</v>
      </c>
      <c r="AF681" s="10">
        <v>8.4</v>
      </c>
      <c r="AG681" s="9" t="s">
        <v>231</v>
      </c>
      <c r="AH681" s="9" t="s">
        <v>188</v>
      </c>
      <c r="AI681" s="10"/>
      <c r="AJ681" s="10"/>
      <c r="AK681" s="30"/>
    </row>
    <row r="682" spans="5:37">
      <c r="E682" s="28" t="s">
        <v>155</v>
      </c>
      <c r="F682" s="8" t="s">
        <v>164</v>
      </c>
      <c r="G682" s="9" t="s">
        <v>484</v>
      </c>
      <c r="H682" s="10">
        <v>164</v>
      </c>
      <c r="I682" s="9" t="s">
        <v>163</v>
      </c>
      <c r="J682" s="10">
        <v>164</v>
      </c>
      <c r="K682" s="10">
        <v>165.2</v>
      </c>
      <c r="L682" s="10">
        <v>136</v>
      </c>
      <c r="M682" s="10">
        <v>145</v>
      </c>
      <c r="N682" s="10">
        <v>128</v>
      </c>
      <c r="O682" s="10">
        <v>82</v>
      </c>
      <c r="P682" s="10">
        <v>112</v>
      </c>
      <c r="Q682" s="10">
        <v>13.1</v>
      </c>
      <c r="R682" s="10">
        <v>1790</v>
      </c>
      <c r="S682" s="10">
        <v>0.89</v>
      </c>
      <c r="T682" s="10">
        <v>1600</v>
      </c>
      <c r="U682" s="10">
        <v>206</v>
      </c>
      <c r="V682" s="10">
        <v>91</v>
      </c>
      <c r="W682" s="10">
        <v>41</v>
      </c>
      <c r="X682" s="10">
        <v>179</v>
      </c>
      <c r="Y682" s="10">
        <v>9</v>
      </c>
      <c r="Z682" s="10">
        <v>118</v>
      </c>
      <c r="AA682" s="10">
        <v>0.214</v>
      </c>
      <c r="AB682" s="10">
        <v>106</v>
      </c>
      <c r="AC682" s="10">
        <v>92</v>
      </c>
      <c r="AD682" s="10">
        <v>72</v>
      </c>
      <c r="AE682" s="10">
        <v>8</v>
      </c>
      <c r="AF682" s="10">
        <v>8.4</v>
      </c>
      <c r="AG682" s="9" t="s">
        <v>231</v>
      </c>
      <c r="AH682" s="9" t="s">
        <v>188</v>
      </c>
      <c r="AI682" s="10"/>
      <c r="AJ682" s="10"/>
      <c r="AK682" s="30"/>
    </row>
    <row r="683" spans="5:37">
      <c r="E683" s="28" t="s">
        <v>155</v>
      </c>
      <c r="F683" s="8" t="s">
        <v>164</v>
      </c>
      <c r="G683" s="9" t="s">
        <v>693</v>
      </c>
      <c r="H683" s="10">
        <v>160</v>
      </c>
      <c r="I683" s="9" t="s">
        <v>158</v>
      </c>
      <c r="J683" s="10">
        <v>160</v>
      </c>
      <c r="K683" s="10">
        <v>158.5</v>
      </c>
      <c r="L683" s="10">
        <v>138</v>
      </c>
      <c r="M683" s="10">
        <v>144</v>
      </c>
      <c r="N683" s="10">
        <v>125</v>
      </c>
      <c r="O683" s="10">
        <v>76</v>
      </c>
      <c r="P683" s="10">
        <v>105</v>
      </c>
      <c r="Q683" s="10">
        <v>13.2</v>
      </c>
      <c r="R683" s="10">
        <v>1808</v>
      </c>
      <c r="S683" s="10">
        <v>0.8</v>
      </c>
      <c r="T683" s="10">
        <v>1443</v>
      </c>
      <c r="U683" s="10">
        <v>176</v>
      </c>
      <c r="V683" s="10">
        <v>81</v>
      </c>
      <c r="W683" s="10">
        <v>29</v>
      </c>
      <c r="X683" s="10">
        <v>138</v>
      </c>
      <c r="Y683" s="10">
        <v>11</v>
      </c>
      <c r="Z683" s="10">
        <v>72</v>
      </c>
      <c r="AA683" s="10">
        <v>0.36899999999999999</v>
      </c>
      <c r="AB683" s="10">
        <v>86</v>
      </c>
      <c r="AC683" s="10">
        <v>60</v>
      </c>
      <c r="AD683" s="10">
        <v>52</v>
      </c>
      <c r="AE683" s="10">
        <v>9</v>
      </c>
      <c r="AF683" s="10">
        <v>8.9</v>
      </c>
      <c r="AG683" s="9" t="s">
        <v>349</v>
      </c>
      <c r="AH683" s="10"/>
      <c r="AI683" s="10"/>
      <c r="AJ683" s="10"/>
      <c r="AK683" s="30"/>
    </row>
    <row r="684" spans="5:37">
      <c r="E684" s="28" t="s">
        <v>155</v>
      </c>
      <c r="F684" s="8" t="s">
        <v>164</v>
      </c>
      <c r="G684" s="9" t="s">
        <v>693</v>
      </c>
      <c r="H684" s="10">
        <v>168</v>
      </c>
      <c r="I684" s="9" t="s">
        <v>158</v>
      </c>
      <c r="J684" s="10">
        <v>168</v>
      </c>
      <c r="K684" s="10">
        <v>166.3</v>
      </c>
      <c r="L684" s="10">
        <v>146</v>
      </c>
      <c r="M684" s="10">
        <v>153</v>
      </c>
      <c r="N684" s="10">
        <v>124</v>
      </c>
      <c r="O684" s="10">
        <v>75</v>
      </c>
      <c r="P684" s="10">
        <v>103</v>
      </c>
      <c r="Q684" s="10">
        <v>14.8</v>
      </c>
      <c r="R684" s="10">
        <v>1913</v>
      </c>
      <c r="S684" s="10">
        <v>0.78</v>
      </c>
      <c r="T684" s="10">
        <v>1490</v>
      </c>
      <c r="U684" s="10">
        <v>199</v>
      </c>
      <c r="V684" s="10">
        <v>88</v>
      </c>
      <c r="W684" s="10">
        <v>28</v>
      </c>
      <c r="X684" s="10">
        <v>132</v>
      </c>
      <c r="Y684" s="10">
        <v>10</v>
      </c>
      <c r="Z684" s="10">
        <v>70</v>
      </c>
      <c r="AA684" s="10">
        <v>0.35299999999999998</v>
      </c>
      <c r="AB684" s="10">
        <v>76</v>
      </c>
      <c r="AC684" s="10">
        <v>56</v>
      </c>
      <c r="AD684" s="10">
        <v>56</v>
      </c>
      <c r="AE684" s="10">
        <v>10</v>
      </c>
      <c r="AF684" s="10">
        <v>9</v>
      </c>
      <c r="AG684" s="9" t="s">
        <v>349</v>
      </c>
      <c r="AH684" s="10"/>
      <c r="AI684" s="10"/>
      <c r="AJ684" s="10"/>
      <c r="AK684" s="30"/>
    </row>
    <row r="685" spans="5:37">
      <c r="E685" s="28" t="s">
        <v>155</v>
      </c>
      <c r="F685" s="8" t="s">
        <v>164</v>
      </c>
      <c r="G685" s="9" t="s">
        <v>693</v>
      </c>
      <c r="H685" s="10">
        <v>176</v>
      </c>
      <c r="I685" s="9" t="s">
        <v>158</v>
      </c>
      <c r="J685" s="10">
        <v>176</v>
      </c>
      <c r="K685" s="10">
        <v>174</v>
      </c>
      <c r="L685" s="10">
        <v>155</v>
      </c>
      <c r="M685" s="10">
        <v>160</v>
      </c>
      <c r="N685" s="10">
        <v>125</v>
      </c>
      <c r="O685" s="10">
        <v>76</v>
      </c>
      <c r="P685" s="10">
        <v>105</v>
      </c>
      <c r="Q685" s="10">
        <v>16.2</v>
      </c>
      <c r="R685" s="10">
        <v>2041</v>
      </c>
      <c r="S685" s="10">
        <v>0.77</v>
      </c>
      <c r="T685" s="10">
        <v>1576</v>
      </c>
      <c r="U685" s="10">
        <v>228</v>
      </c>
      <c r="V685" s="10">
        <v>102</v>
      </c>
      <c r="W685" s="10">
        <v>27</v>
      </c>
      <c r="X685" s="10">
        <v>127</v>
      </c>
      <c r="Y685" s="10">
        <v>9</v>
      </c>
      <c r="Z685" s="10">
        <v>67</v>
      </c>
      <c r="AA685" s="10">
        <v>0.33400000000000002</v>
      </c>
      <c r="AB685" s="10">
        <v>79</v>
      </c>
      <c r="AC685" s="10">
        <v>60</v>
      </c>
      <c r="AD685" s="10">
        <v>49</v>
      </c>
      <c r="AE685" s="10">
        <v>14</v>
      </c>
      <c r="AF685" s="10">
        <v>9.1999999999999993</v>
      </c>
      <c r="AG685" s="9" t="s">
        <v>349</v>
      </c>
      <c r="AH685" s="10"/>
      <c r="AI685" s="10"/>
      <c r="AJ685" s="10"/>
      <c r="AK685" s="30"/>
    </row>
    <row r="686" spans="5:37">
      <c r="E686" s="28" t="s">
        <v>155</v>
      </c>
      <c r="F686" s="8" t="s">
        <v>164</v>
      </c>
      <c r="G686" s="9" t="s">
        <v>811</v>
      </c>
      <c r="H686" s="10">
        <v>172</v>
      </c>
      <c r="I686" s="9" t="s">
        <v>158</v>
      </c>
      <c r="J686" s="10">
        <v>172</v>
      </c>
      <c r="K686" s="10">
        <v>171.3</v>
      </c>
      <c r="L686" s="10">
        <v>142</v>
      </c>
      <c r="M686" s="10">
        <v>151</v>
      </c>
      <c r="N686" s="10">
        <v>128</v>
      </c>
      <c r="O686" s="10">
        <v>81</v>
      </c>
      <c r="P686" s="10">
        <v>111</v>
      </c>
      <c r="Q686" s="10">
        <v>14.2</v>
      </c>
      <c r="R686" s="10">
        <v>2130</v>
      </c>
      <c r="S686" s="10">
        <v>0.78</v>
      </c>
      <c r="T686" s="10">
        <v>1653</v>
      </c>
      <c r="U686" s="10">
        <v>261</v>
      </c>
      <c r="V686" s="10">
        <v>113</v>
      </c>
      <c r="W686" s="10">
        <v>39</v>
      </c>
      <c r="X686" s="10">
        <v>175</v>
      </c>
      <c r="Y686" s="10">
        <v>10</v>
      </c>
      <c r="Z686" s="10">
        <v>120</v>
      </c>
      <c r="AA686" s="10">
        <v>0.25800000000000001</v>
      </c>
      <c r="AB686" s="10">
        <v>110</v>
      </c>
      <c r="AC686" s="10">
        <v>92</v>
      </c>
      <c r="AD686" s="10">
        <v>66</v>
      </c>
      <c r="AE686" s="10">
        <v>9</v>
      </c>
      <c r="AF686" s="10">
        <v>10</v>
      </c>
      <c r="AG686" s="9" t="s">
        <v>231</v>
      </c>
      <c r="AH686" s="9" t="s">
        <v>188</v>
      </c>
      <c r="AI686" s="10"/>
      <c r="AJ686" s="10"/>
      <c r="AK686" s="30"/>
    </row>
    <row r="687" spans="5:37">
      <c r="E687" s="28" t="s">
        <v>155</v>
      </c>
      <c r="F687" s="8" t="s">
        <v>164</v>
      </c>
      <c r="G687" s="9" t="s">
        <v>479</v>
      </c>
      <c r="H687" s="10">
        <v>172</v>
      </c>
      <c r="I687" s="9" t="s">
        <v>158</v>
      </c>
      <c r="J687" s="10">
        <v>172</v>
      </c>
      <c r="K687" s="10">
        <v>171.3</v>
      </c>
      <c r="L687" s="10">
        <v>142</v>
      </c>
      <c r="M687" s="10">
        <v>151</v>
      </c>
      <c r="N687" s="10">
        <v>128</v>
      </c>
      <c r="O687" s="10">
        <v>81</v>
      </c>
      <c r="P687" s="10">
        <v>111</v>
      </c>
      <c r="Q687" s="10">
        <v>14.3</v>
      </c>
      <c r="R687" s="10">
        <v>1910</v>
      </c>
      <c r="S687" s="10">
        <v>0.86</v>
      </c>
      <c r="T687" s="10">
        <v>1651</v>
      </c>
      <c r="U687" s="10">
        <v>231</v>
      </c>
      <c r="V687" s="10">
        <v>99</v>
      </c>
      <c r="W687" s="10">
        <v>37</v>
      </c>
      <c r="X687" s="10">
        <v>170</v>
      </c>
      <c r="Y687" s="10">
        <v>12</v>
      </c>
      <c r="Z687" s="10">
        <v>122</v>
      </c>
      <c r="AA687" s="10">
        <v>0.313</v>
      </c>
      <c r="AB687" s="10">
        <v>105</v>
      </c>
      <c r="AC687" s="10">
        <v>95</v>
      </c>
      <c r="AD687" s="10">
        <v>66</v>
      </c>
      <c r="AE687" s="10">
        <v>11</v>
      </c>
      <c r="AF687" s="10">
        <v>10</v>
      </c>
      <c r="AG687" s="9" t="s">
        <v>231</v>
      </c>
      <c r="AH687" s="9" t="s">
        <v>188</v>
      </c>
      <c r="AI687" s="10"/>
      <c r="AJ687" s="10"/>
      <c r="AK687" s="30"/>
    </row>
    <row r="688" spans="5:37">
      <c r="E688" s="28" t="s">
        <v>155</v>
      </c>
      <c r="F688" s="8" t="s">
        <v>164</v>
      </c>
      <c r="G688" s="9" t="s">
        <v>688</v>
      </c>
      <c r="H688" s="10">
        <v>172</v>
      </c>
      <c r="I688" s="9" t="s">
        <v>158</v>
      </c>
      <c r="J688" s="10">
        <v>172</v>
      </c>
      <c r="K688" s="10">
        <v>171.4</v>
      </c>
      <c r="L688" s="10">
        <v>137</v>
      </c>
      <c r="M688" s="10">
        <v>152</v>
      </c>
      <c r="N688" s="10">
        <v>128</v>
      </c>
      <c r="O688" s="10">
        <v>85</v>
      </c>
      <c r="P688" s="10">
        <v>114</v>
      </c>
      <c r="Q688" s="10">
        <v>15.4</v>
      </c>
      <c r="R688" s="10">
        <v>2080</v>
      </c>
      <c r="S688" s="10">
        <v>0.82</v>
      </c>
      <c r="T688" s="10">
        <v>1700</v>
      </c>
      <c r="U688" s="10">
        <v>206</v>
      </c>
      <c r="V688" s="10">
        <v>92</v>
      </c>
      <c r="W688" s="10">
        <v>42</v>
      </c>
      <c r="X688" s="10">
        <v>214</v>
      </c>
      <c r="Y688" s="10">
        <v>8</v>
      </c>
      <c r="Z688" s="10">
        <v>130</v>
      </c>
      <c r="AA688" s="10">
        <v>0.20200000000000001</v>
      </c>
      <c r="AB688" s="10">
        <v>102</v>
      </c>
      <c r="AC688" s="10">
        <v>93</v>
      </c>
      <c r="AD688" s="10">
        <v>112</v>
      </c>
      <c r="AE688" s="10">
        <v>8</v>
      </c>
      <c r="AF688" s="10">
        <v>8.9</v>
      </c>
      <c r="AG688" s="9" t="s">
        <v>188</v>
      </c>
      <c r="AH688" s="10"/>
      <c r="AI688" s="10"/>
      <c r="AJ688" s="10"/>
      <c r="AK688" s="30"/>
    </row>
    <row r="689" spans="5:37">
      <c r="E689" s="28" t="s">
        <v>155</v>
      </c>
      <c r="F689" s="8" t="s">
        <v>164</v>
      </c>
      <c r="G689" s="9" t="s">
        <v>688</v>
      </c>
      <c r="H689" s="10">
        <v>178</v>
      </c>
      <c r="I689" s="9" t="s">
        <v>158</v>
      </c>
      <c r="J689" s="10">
        <v>178</v>
      </c>
      <c r="K689" s="10">
        <v>177.5</v>
      </c>
      <c r="L689" s="10">
        <v>144</v>
      </c>
      <c r="M689" s="10">
        <v>157</v>
      </c>
      <c r="N689" s="10">
        <v>130</v>
      </c>
      <c r="O689" s="10">
        <v>85</v>
      </c>
      <c r="P689" s="10">
        <v>114</v>
      </c>
      <c r="Q689" s="10">
        <v>16.399999999999999</v>
      </c>
      <c r="R689" s="10">
        <v>2172</v>
      </c>
      <c r="S689" s="10">
        <v>0.81</v>
      </c>
      <c r="T689" s="10">
        <v>1765</v>
      </c>
      <c r="U689" s="10">
        <v>250</v>
      </c>
      <c r="V689" s="10">
        <v>106</v>
      </c>
      <c r="W689" s="10">
        <v>38</v>
      </c>
      <c r="X689" s="10">
        <v>207</v>
      </c>
      <c r="Y689" s="10">
        <v>7</v>
      </c>
      <c r="Z689" s="10">
        <v>130</v>
      </c>
      <c r="AA689" s="10">
        <v>0.19600000000000001</v>
      </c>
      <c r="AB689" s="10">
        <v>106</v>
      </c>
      <c r="AC689" s="10">
        <v>97</v>
      </c>
      <c r="AD689" s="10">
        <v>100</v>
      </c>
      <c r="AE689" s="10">
        <v>9</v>
      </c>
      <c r="AF689" s="10">
        <v>9.1999999999999993</v>
      </c>
      <c r="AG689" s="9" t="s">
        <v>188</v>
      </c>
      <c r="AH689" s="10"/>
      <c r="AI689" s="10"/>
      <c r="AJ689" s="10"/>
      <c r="AK689" s="30"/>
    </row>
    <row r="690" spans="5:37">
      <c r="E690" s="28" t="s">
        <v>155</v>
      </c>
      <c r="F690" s="8" t="s">
        <v>164</v>
      </c>
      <c r="G690" s="9" t="s">
        <v>627</v>
      </c>
      <c r="H690" s="10">
        <v>166</v>
      </c>
      <c r="I690" s="9" t="s">
        <v>158</v>
      </c>
      <c r="J690" s="10">
        <v>166</v>
      </c>
      <c r="K690" s="10">
        <v>165.2</v>
      </c>
      <c r="L690" s="10">
        <v>134</v>
      </c>
      <c r="M690" s="10">
        <v>146</v>
      </c>
      <c r="N690" s="10">
        <v>127</v>
      </c>
      <c r="O690" s="10">
        <v>85</v>
      </c>
      <c r="P690" s="10">
        <v>113</v>
      </c>
      <c r="Q690" s="10">
        <v>14.7</v>
      </c>
      <c r="R690" s="10">
        <v>2004</v>
      </c>
      <c r="S690" s="10">
        <v>0.82</v>
      </c>
      <c r="T690" s="10">
        <v>1638</v>
      </c>
      <c r="U690" s="10">
        <v>191</v>
      </c>
      <c r="V690" s="10">
        <v>93</v>
      </c>
      <c r="W690" s="10">
        <v>41</v>
      </c>
      <c r="X690" s="10">
        <v>206</v>
      </c>
      <c r="Y690" s="10">
        <v>7</v>
      </c>
      <c r="Z690" s="10">
        <v>106</v>
      </c>
      <c r="AA690" s="10">
        <v>0.16600000000000001</v>
      </c>
      <c r="AB690" s="10">
        <v>98</v>
      </c>
      <c r="AC690" s="10">
        <v>95</v>
      </c>
      <c r="AD690" s="10">
        <v>108</v>
      </c>
      <c r="AE690" s="10">
        <v>10</v>
      </c>
      <c r="AF690" s="10">
        <v>8.9</v>
      </c>
      <c r="AG690" s="9" t="s">
        <v>188</v>
      </c>
      <c r="AH690" s="10"/>
      <c r="AI690" s="10"/>
      <c r="AJ690" s="10"/>
      <c r="AK690" s="30"/>
    </row>
    <row r="691" spans="5:37">
      <c r="E691" s="28" t="s">
        <v>155</v>
      </c>
      <c r="F691" s="8" t="s">
        <v>164</v>
      </c>
      <c r="G691" s="9" t="s">
        <v>627</v>
      </c>
      <c r="H691" s="10">
        <v>172</v>
      </c>
      <c r="I691" s="9" t="s">
        <v>158</v>
      </c>
      <c r="J691" s="10">
        <v>172</v>
      </c>
      <c r="K691" s="10">
        <v>171.3</v>
      </c>
      <c r="L691" s="10">
        <v>135</v>
      </c>
      <c r="M691" s="10">
        <v>152</v>
      </c>
      <c r="N691" s="10">
        <v>128</v>
      </c>
      <c r="O691" s="10">
        <v>85</v>
      </c>
      <c r="P691" s="10">
        <v>114</v>
      </c>
      <c r="Q691" s="10">
        <v>15.5</v>
      </c>
      <c r="R691" s="10">
        <v>2093</v>
      </c>
      <c r="S691" s="10">
        <v>0.81</v>
      </c>
      <c r="T691" s="10">
        <v>1700</v>
      </c>
      <c r="U691" s="10">
        <v>205</v>
      </c>
      <c r="V691" s="10">
        <v>97</v>
      </c>
      <c r="W691" s="10">
        <v>41</v>
      </c>
      <c r="X691" s="10">
        <v>224</v>
      </c>
      <c r="Y691" s="10">
        <v>8</v>
      </c>
      <c r="Z691" s="10">
        <v>135</v>
      </c>
      <c r="AA691" s="10">
        <v>0.20399999999999999</v>
      </c>
      <c r="AB691" s="10">
        <v>97</v>
      </c>
      <c r="AC691" s="10">
        <v>96</v>
      </c>
      <c r="AD691" s="10">
        <v>126</v>
      </c>
      <c r="AE691" s="10">
        <v>6</v>
      </c>
      <c r="AF691" s="10">
        <v>9.1999999999999993</v>
      </c>
      <c r="AG691" s="9" t="s">
        <v>188</v>
      </c>
      <c r="AH691" s="10"/>
      <c r="AI691" s="10"/>
      <c r="AJ691" s="10"/>
      <c r="AK691" s="30"/>
    </row>
    <row r="692" spans="5:37">
      <c r="E692" s="28" t="s">
        <v>155</v>
      </c>
      <c r="F692" s="8" t="s">
        <v>164</v>
      </c>
      <c r="G692" s="9" t="s">
        <v>627</v>
      </c>
      <c r="H692" s="10">
        <v>178</v>
      </c>
      <c r="I692" s="9" t="s">
        <v>158</v>
      </c>
      <c r="J692" s="10">
        <v>178</v>
      </c>
      <c r="K692" s="10">
        <v>177.4</v>
      </c>
      <c r="L692" s="10">
        <v>143</v>
      </c>
      <c r="M692" s="10">
        <v>158</v>
      </c>
      <c r="N692" s="10">
        <v>130</v>
      </c>
      <c r="O692" s="10">
        <v>86</v>
      </c>
      <c r="P692" s="10">
        <v>114</v>
      </c>
      <c r="Q692" s="10">
        <v>16.399999999999999</v>
      </c>
      <c r="R692" s="10">
        <v>2178</v>
      </c>
      <c r="S692" s="10">
        <v>0.81</v>
      </c>
      <c r="T692" s="10">
        <v>1770</v>
      </c>
      <c r="U692" s="10">
        <v>222</v>
      </c>
      <c r="V692" s="10">
        <v>110</v>
      </c>
      <c r="W692" s="10">
        <v>39</v>
      </c>
      <c r="X692" s="10">
        <v>213</v>
      </c>
      <c r="Y692" s="10">
        <v>8</v>
      </c>
      <c r="Z692" s="10">
        <v>128</v>
      </c>
      <c r="AA692" s="10">
        <v>0.20499999999999999</v>
      </c>
      <c r="AB692" s="10">
        <v>100</v>
      </c>
      <c r="AC692" s="10">
        <v>96</v>
      </c>
      <c r="AD692" s="10">
        <v>113</v>
      </c>
      <c r="AE692" s="10">
        <v>8</v>
      </c>
      <c r="AF692" s="10">
        <v>9</v>
      </c>
      <c r="AG692" s="9" t="s">
        <v>188</v>
      </c>
      <c r="AH692" s="10"/>
      <c r="AI692" s="10"/>
      <c r="AJ692" s="10"/>
      <c r="AK692" s="30"/>
    </row>
    <row r="693" spans="5:37">
      <c r="E693" s="28" t="s">
        <v>155</v>
      </c>
      <c r="F693" s="8" t="s">
        <v>205</v>
      </c>
      <c r="G693" s="9" t="s">
        <v>407</v>
      </c>
      <c r="H693" s="10">
        <v>154</v>
      </c>
      <c r="I693" s="9" t="s">
        <v>163</v>
      </c>
      <c r="J693" s="10">
        <v>154</v>
      </c>
      <c r="K693" s="10">
        <v>152.19999999999999</v>
      </c>
      <c r="L693" s="10">
        <v>118</v>
      </c>
      <c r="M693" s="10">
        <v>129</v>
      </c>
      <c r="N693" s="10">
        <v>119</v>
      </c>
      <c r="O693" s="10">
        <v>85</v>
      </c>
      <c r="P693" s="10">
        <v>109</v>
      </c>
      <c r="Q693" s="10">
        <v>13.2</v>
      </c>
      <c r="R693" s="10">
        <v>1297</v>
      </c>
      <c r="S693" s="10">
        <v>1.1399999999999999</v>
      </c>
      <c r="T693" s="10">
        <v>1476</v>
      </c>
      <c r="U693" s="10">
        <v>172</v>
      </c>
      <c r="V693" s="10">
        <v>76</v>
      </c>
      <c r="W693" s="10">
        <v>51</v>
      </c>
      <c r="X693" s="10">
        <v>206</v>
      </c>
      <c r="Y693" s="10">
        <v>19</v>
      </c>
      <c r="Z693" s="10">
        <v>133</v>
      </c>
      <c r="AA693" s="10">
        <v>0.376</v>
      </c>
      <c r="AB693" s="10">
        <v>138</v>
      </c>
      <c r="AC693" s="10">
        <v>96</v>
      </c>
      <c r="AD693" s="10">
        <v>68</v>
      </c>
      <c r="AE693" s="10">
        <v>6</v>
      </c>
      <c r="AF693" s="10">
        <v>9.1999999999999993</v>
      </c>
      <c r="AG693" s="9" t="s">
        <v>188</v>
      </c>
      <c r="AH693" s="9" t="s">
        <v>185</v>
      </c>
      <c r="AI693" s="10"/>
      <c r="AJ693" s="10"/>
      <c r="AK693" s="30"/>
    </row>
    <row r="694" spans="5:37">
      <c r="E694" s="28" t="s">
        <v>155</v>
      </c>
      <c r="F694" s="8" t="s">
        <v>205</v>
      </c>
      <c r="G694" s="9" t="s">
        <v>407</v>
      </c>
      <c r="H694" s="10">
        <v>162</v>
      </c>
      <c r="I694" s="9" t="s">
        <v>163</v>
      </c>
      <c r="J694" s="10">
        <v>162</v>
      </c>
      <c r="K694" s="10">
        <v>160.30000000000001</v>
      </c>
      <c r="L694" s="10">
        <v>125</v>
      </c>
      <c r="M694" s="10">
        <v>137</v>
      </c>
      <c r="N694" s="10">
        <v>119</v>
      </c>
      <c r="O694" s="10">
        <v>85</v>
      </c>
      <c r="P694" s="10">
        <v>109</v>
      </c>
      <c r="Q694" s="10">
        <v>14.9</v>
      </c>
      <c r="R694" s="10">
        <v>1390</v>
      </c>
      <c r="S694" s="10">
        <v>1.1200000000000001</v>
      </c>
      <c r="T694" s="10">
        <v>1552</v>
      </c>
      <c r="U694" s="10">
        <v>169</v>
      </c>
      <c r="V694" s="10">
        <v>80</v>
      </c>
      <c r="W694" s="10">
        <v>50</v>
      </c>
      <c r="X694" s="10">
        <v>212</v>
      </c>
      <c r="Y694" s="10">
        <v>20</v>
      </c>
      <c r="Z694" s="10">
        <v>142</v>
      </c>
      <c r="AA694" s="10">
        <v>0.40600000000000003</v>
      </c>
      <c r="AB694" s="10">
        <v>150</v>
      </c>
      <c r="AC694" s="10">
        <v>86</v>
      </c>
      <c r="AD694" s="10">
        <v>63</v>
      </c>
      <c r="AE694" s="10">
        <v>7</v>
      </c>
      <c r="AF694" s="10">
        <v>9.5</v>
      </c>
      <c r="AG694" s="9" t="s">
        <v>188</v>
      </c>
      <c r="AH694" s="9" t="s">
        <v>185</v>
      </c>
      <c r="AI694" s="10"/>
      <c r="AJ694" s="10"/>
      <c r="AK694" s="30"/>
    </row>
    <row r="695" spans="5:37">
      <c r="E695" s="28" t="s">
        <v>155</v>
      </c>
      <c r="F695" s="8" t="s">
        <v>205</v>
      </c>
      <c r="G695" s="9" t="s">
        <v>407</v>
      </c>
      <c r="H695" s="10">
        <v>170</v>
      </c>
      <c r="I695" s="9" t="s">
        <v>163</v>
      </c>
      <c r="J695" s="10">
        <v>170</v>
      </c>
      <c r="K695" s="10">
        <v>168.4</v>
      </c>
      <c r="L695" s="10">
        <v>130</v>
      </c>
      <c r="M695" s="10">
        <v>143</v>
      </c>
      <c r="N695" s="10">
        <v>119</v>
      </c>
      <c r="O695" s="10">
        <v>85</v>
      </c>
      <c r="P695" s="10">
        <v>109</v>
      </c>
      <c r="Q695" s="10">
        <v>16.8</v>
      </c>
      <c r="R695" s="10">
        <v>1447</v>
      </c>
      <c r="S695" s="10">
        <v>1.1299999999999999</v>
      </c>
      <c r="T695" s="10">
        <v>1629</v>
      </c>
      <c r="U695" s="10">
        <v>208</v>
      </c>
      <c r="V695" s="10">
        <v>96</v>
      </c>
      <c r="W695" s="10">
        <v>50</v>
      </c>
      <c r="X695" s="10">
        <v>228</v>
      </c>
      <c r="Y695" s="10">
        <v>21</v>
      </c>
      <c r="Z695" s="10">
        <v>157</v>
      </c>
      <c r="AA695" s="10">
        <v>0.41199999999999998</v>
      </c>
      <c r="AB695" s="10">
        <v>148</v>
      </c>
      <c r="AC695" s="10">
        <v>103</v>
      </c>
      <c r="AD695" s="10">
        <v>80</v>
      </c>
      <c r="AE695" s="10">
        <v>8</v>
      </c>
      <c r="AF695" s="10">
        <v>9.9</v>
      </c>
      <c r="AG695" s="9" t="s">
        <v>188</v>
      </c>
      <c r="AH695" s="9" t="s">
        <v>185</v>
      </c>
      <c r="AI695" s="10"/>
      <c r="AJ695" s="10"/>
      <c r="AK695" s="30"/>
    </row>
    <row r="696" spans="5:37">
      <c r="E696" s="28" t="s">
        <v>155</v>
      </c>
      <c r="F696" s="8" t="s">
        <v>205</v>
      </c>
      <c r="G696" s="9" t="s">
        <v>206</v>
      </c>
      <c r="H696" s="10">
        <v>171</v>
      </c>
      <c r="I696" s="9" t="s">
        <v>158</v>
      </c>
      <c r="J696" s="10">
        <v>171</v>
      </c>
      <c r="K696" s="10">
        <v>169.4</v>
      </c>
      <c r="L696" s="10">
        <v>126</v>
      </c>
      <c r="M696" s="10">
        <v>143</v>
      </c>
      <c r="N696" s="10">
        <v>127</v>
      </c>
      <c r="O696" s="10">
        <v>95</v>
      </c>
      <c r="P696" s="10">
        <v>117</v>
      </c>
      <c r="Q696" s="10">
        <v>17.600000000000001</v>
      </c>
      <c r="R696" s="10">
        <v>1566</v>
      </c>
      <c r="S696" s="10">
        <v>1.1499999999999999</v>
      </c>
      <c r="T696" s="10">
        <v>1801</v>
      </c>
      <c r="U696" s="10">
        <v>206</v>
      </c>
      <c r="V696" s="10">
        <v>96</v>
      </c>
      <c r="W696" s="10">
        <v>52</v>
      </c>
      <c r="X696" s="10">
        <v>247</v>
      </c>
      <c r="Y696" s="10">
        <v>20</v>
      </c>
      <c r="Z696" s="10">
        <v>186</v>
      </c>
      <c r="AA696" s="10">
        <v>0.38800000000000001</v>
      </c>
      <c r="AB696" s="10">
        <v>161</v>
      </c>
      <c r="AC696" s="10">
        <v>107</v>
      </c>
      <c r="AD696" s="10">
        <v>86</v>
      </c>
      <c r="AE696" s="10">
        <v>6</v>
      </c>
      <c r="AF696" s="10">
        <v>11.4</v>
      </c>
      <c r="AG696" s="9" t="s">
        <v>188</v>
      </c>
      <c r="AH696" s="9" t="s">
        <v>185</v>
      </c>
      <c r="AI696" s="10"/>
      <c r="AJ696" s="10"/>
      <c r="AK696" s="30"/>
    </row>
    <row r="697" spans="5:37">
      <c r="E697" s="28" t="s">
        <v>155</v>
      </c>
      <c r="F697" s="8" t="s">
        <v>205</v>
      </c>
      <c r="G697" s="9" t="s">
        <v>206</v>
      </c>
      <c r="H697" s="10">
        <v>179</v>
      </c>
      <c r="I697" s="9" t="s">
        <v>158</v>
      </c>
      <c r="J697" s="10">
        <v>179</v>
      </c>
      <c r="K697" s="10">
        <v>177.3</v>
      </c>
      <c r="L697" s="10">
        <v>134</v>
      </c>
      <c r="M697" s="10">
        <v>149</v>
      </c>
      <c r="N697" s="10">
        <v>127</v>
      </c>
      <c r="O697" s="10">
        <v>95</v>
      </c>
      <c r="P697" s="10">
        <v>117</v>
      </c>
      <c r="Q697" s="10">
        <v>19.7</v>
      </c>
      <c r="R697" s="10">
        <v>1630</v>
      </c>
      <c r="S697" s="10">
        <v>1.1599999999999999</v>
      </c>
      <c r="T697" s="10">
        <v>1883</v>
      </c>
      <c r="U697" s="10">
        <v>218</v>
      </c>
      <c r="V697" s="10">
        <v>115</v>
      </c>
      <c r="W697" s="10">
        <v>52</v>
      </c>
      <c r="X697" s="10">
        <v>259</v>
      </c>
      <c r="Y697" s="10">
        <v>21</v>
      </c>
      <c r="Z697" s="10">
        <v>177</v>
      </c>
      <c r="AA697" s="10">
        <v>0.39600000000000002</v>
      </c>
      <c r="AB697" s="10">
        <v>174</v>
      </c>
      <c r="AC697" s="10">
        <v>104</v>
      </c>
      <c r="AD697" s="10">
        <v>85</v>
      </c>
      <c r="AE697" s="10">
        <v>8</v>
      </c>
      <c r="AF697" s="10">
        <v>11.3</v>
      </c>
      <c r="AG697" s="9" t="s">
        <v>188</v>
      </c>
      <c r="AH697" s="9" t="s">
        <v>185</v>
      </c>
      <c r="AI697" s="10"/>
      <c r="AJ697" s="10"/>
      <c r="AK697" s="30"/>
    </row>
    <row r="698" spans="5:37">
      <c r="E698" s="28" t="s">
        <v>155</v>
      </c>
      <c r="F698" s="8" t="s">
        <v>205</v>
      </c>
      <c r="G698" s="9" t="s">
        <v>249</v>
      </c>
      <c r="H698" s="10">
        <v>155</v>
      </c>
      <c r="I698" s="9" t="s">
        <v>163</v>
      </c>
      <c r="J698" s="10">
        <v>155</v>
      </c>
      <c r="K698" s="10">
        <v>153.30000000000001</v>
      </c>
      <c r="L698" s="10">
        <v>115</v>
      </c>
      <c r="M698" s="10">
        <v>127</v>
      </c>
      <c r="N698" s="10">
        <v>126</v>
      </c>
      <c r="O698" s="10">
        <v>95</v>
      </c>
      <c r="P698" s="10">
        <v>116</v>
      </c>
      <c r="Q698" s="10">
        <v>13.9</v>
      </c>
      <c r="R698" s="10">
        <v>1418</v>
      </c>
      <c r="S698" s="10">
        <v>1.1399999999999999</v>
      </c>
      <c r="T698" s="10">
        <v>1623</v>
      </c>
      <c r="U698" s="10">
        <v>162</v>
      </c>
      <c r="V698" s="10">
        <v>84</v>
      </c>
      <c r="W698" s="10">
        <v>52</v>
      </c>
      <c r="X698" s="10">
        <v>229</v>
      </c>
      <c r="Y698" s="10">
        <v>21</v>
      </c>
      <c r="Z698" s="10">
        <v>155</v>
      </c>
      <c r="AA698" s="10">
        <v>0.39200000000000002</v>
      </c>
      <c r="AB698" s="10">
        <v>172</v>
      </c>
      <c r="AC698" s="10">
        <v>92</v>
      </c>
      <c r="AD698" s="10">
        <v>57</v>
      </c>
      <c r="AE698" s="10">
        <v>7</v>
      </c>
      <c r="AF698" s="10">
        <v>10.6</v>
      </c>
      <c r="AG698" s="9" t="s">
        <v>188</v>
      </c>
      <c r="AH698" s="9" t="s">
        <v>185</v>
      </c>
      <c r="AI698" s="10"/>
      <c r="AJ698" s="10"/>
      <c r="AK698" s="30"/>
    </row>
    <row r="699" spans="5:37">
      <c r="E699" s="28" t="s">
        <v>155</v>
      </c>
      <c r="F699" s="8" t="s">
        <v>205</v>
      </c>
      <c r="G699" s="9" t="s">
        <v>249</v>
      </c>
      <c r="H699" s="10">
        <v>163</v>
      </c>
      <c r="I699" s="9" t="s">
        <v>163</v>
      </c>
      <c r="J699" s="10">
        <v>163</v>
      </c>
      <c r="K699" s="10">
        <v>169.5</v>
      </c>
      <c r="L699" s="10">
        <v>126</v>
      </c>
      <c r="M699" s="10">
        <v>140</v>
      </c>
      <c r="N699" s="10">
        <v>126</v>
      </c>
      <c r="O699" s="10">
        <v>95</v>
      </c>
      <c r="P699" s="10">
        <v>116</v>
      </c>
      <c r="Q699" s="10">
        <v>17.600000000000001</v>
      </c>
      <c r="R699" s="10">
        <v>1528</v>
      </c>
      <c r="S699" s="10">
        <v>1.17</v>
      </c>
      <c r="T699" s="10">
        <v>1793</v>
      </c>
      <c r="U699" s="10">
        <v>221</v>
      </c>
      <c r="V699" s="10">
        <v>107</v>
      </c>
      <c r="W699" s="10">
        <v>52</v>
      </c>
      <c r="X699" s="10">
        <v>247</v>
      </c>
      <c r="Y699" s="10">
        <v>21</v>
      </c>
      <c r="Z699" s="10">
        <v>186</v>
      </c>
      <c r="AA699" s="10">
        <v>0.40500000000000003</v>
      </c>
      <c r="AB699" s="10">
        <v>173</v>
      </c>
      <c r="AC699" s="10">
        <v>120</v>
      </c>
      <c r="AD699" s="10">
        <v>74</v>
      </c>
      <c r="AE699" s="10">
        <v>6</v>
      </c>
      <c r="AF699" s="10">
        <v>10.9</v>
      </c>
      <c r="AG699" s="9" t="s">
        <v>188</v>
      </c>
      <c r="AH699" s="9" t="s">
        <v>185</v>
      </c>
      <c r="AI699" s="10"/>
      <c r="AJ699" s="10"/>
      <c r="AK699" s="30"/>
    </row>
    <row r="700" spans="5:37">
      <c r="E700" s="28" t="s">
        <v>155</v>
      </c>
      <c r="F700" s="8" t="s">
        <v>205</v>
      </c>
      <c r="G700" s="9" t="s">
        <v>249</v>
      </c>
      <c r="H700" s="10">
        <v>171</v>
      </c>
      <c r="I700" s="9" t="s">
        <v>163</v>
      </c>
      <c r="J700" s="10">
        <v>171</v>
      </c>
      <c r="K700" s="10">
        <v>153.30000000000001</v>
      </c>
      <c r="L700" s="10">
        <v>115</v>
      </c>
      <c r="M700" s="10">
        <v>127</v>
      </c>
      <c r="N700" s="10">
        <v>126</v>
      </c>
      <c r="O700" s="10">
        <v>95</v>
      </c>
      <c r="P700" s="10">
        <v>116</v>
      </c>
      <c r="Q700" s="10">
        <v>13.9</v>
      </c>
      <c r="R700" s="10">
        <v>1641</v>
      </c>
      <c r="S700" s="10">
        <v>0.99</v>
      </c>
      <c r="T700" s="10">
        <v>1623</v>
      </c>
      <c r="U700" s="10">
        <v>162</v>
      </c>
      <c r="V700" s="10">
        <v>84</v>
      </c>
      <c r="W700" s="10">
        <v>52</v>
      </c>
      <c r="X700" s="10">
        <v>229</v>
      </c>
      <c r="Y700" s="10">
        <v>21</v>
      </c>
      <c r="Z700" s="10">
        <v>155</v>
      </c>
      <c r="AA700" s="10">
        <v>0.39200000000000002</v>
      </c>
      <c r="AB700" s="10">
        <v>172</v>
      </c>
      <c r="AC700" s="10">
        <v>92</v>
      </c>
      <c r="AD700" s="10">
        <v>57</v>
      </c>
      <c r="AE700" s="10">
        <v>7</v>
      </c>
      <c r="AF700" s="10">
        <v>10.6</v>
      </c>
      <c r="AG700" s="9" t="s">
        <v>188</v>
      </c>
      <c r="AH700" s="10"/>
      <c r="AI700" s="10"/>
      <c r="AJ700" s="10"/>
      <c r="AK700" s="30"/>
    </row>
    <row r="701" spans="5:37">
      <c r="E701" s="28" t="s">
        <v>155</v>
      </c>
      <c r="F701" s="8" t="s">
        <v>205</v>
      </c>
      <c r="G701" s="9" t="s">
        <v>277</v>
      </c>
      <c r="H701" s="10">
        <v>172</v>
      </c>
      <c r="I701" s="9" t="s">
        <v>158</v>
      </c>
      <c r="J701" s="10">
        <v>172</v>
      </c>
      <c r="K701" s="10">
        <v>170.6</v>
      </c>
      <c r="L701" s="10">
        <v>122</v>
      </c>
      <c r="M701" s="10">
        <v>139</v>
      </c>
      <c r="N701" s="10">
        <v>134</v>
      </c>
      <c r="O701" s="10">
        <v>106</v>
      </c>
      <c r="P701" s="10">
        <v>124</v>
      </c>
      <c r="Q701" s="10">
        <v>18.8</v>
      </c>
      <c r="R701" s="10">
        <v>1724</v>
      </c>
      <c r="S701" s="10">
        <v>1.1399999999999999</v>
      </c>
      <c r="T701" s="10">
        <v>1964</v>
      </c>
      <c r="U701" s="10">
        <v>202</v>
      </c>
      <c r="V701" s="10">
        <v>107</v>
      </c>
      <c r="W701" s="10">
        <v>55</v>
      </c>
      <c r="X701" s="10">
        <v>291</v>
      </c>
      <c r="Y701" s="10">
        <v>21</v>
      </c>
      <c r="Z701" s="10">
        <v>198</v>
      </c>
      <c r="AA701" s="10">
        <v>0.378</v>
      </c>
      <c r="AB701" s="10">
        <v>200</v>
      </c>
      <c r="AC701" s="10">
        <v>121</v>
      </c>
      <c r="AD701" s="10">
        <v>91</v>
      </c>
      <c r="AE701" s="10">
        <v>6</v>
      </c>
      <c r="AF701" s="10">
        <v>11.1</v>
      </c>
      <c r="AG701" s="9" t="s">
        <v>169</v>
      </c>
      <c r="AH701" s="9" t="s">
        <v>178</v>
      </c>
      <c r="AI701" s="9" t="s">
        <v>185</v>
      </c>
      <c r="AJ701" s="10"/>
      <c r="AK701" s="30"/>
    </row>
    <row r="702" spans="5:37">
      <c r="E702" s="28" t="s">
        <v>155</v>
      </c>
      <c r="F702" s="8" t="s">
        <v>205</v>
      </c>
      <c r="G702" s="9" t="s">
        <v>277</v>
      </c>
      <c r="H702" s="10">
        <v>180</v>
      </c>
      <c r="I702" s="9" t="s">
        <v>158</v>
      </c>
      <c r="J702" s="10">
        <v>180</v>
      </c>
      <c r="K702" s="10">
        <v>178.8</v>
      </c>
      <c r="L702" s="10">
        <v>132</v>
      </c>
      <c r="M702" s="10">
        <v>147</v>
      </c>
      <c r="N702" s="10">
        <v>134</v>
      </c>
      <c r="O702" s="10">
        <v>106</v>
      </c>
      <c r="P702" s="10">
        <v>124</v>
      </c>
      <c r="Q702" s="10">
        <v>21</v>
      </c>
      <c r="R702" s="10">
        <v>1752</v>
      </c>
      <c r="S702" s="10">
        <v>1.18</v>
      </c>
      <c r="T702" s="10">
        <v>2059</v>
      </c>
      <c r="U702" s="10">
        <v>223</v>
      </c>
      <c r="V702" s="10">
        <v>106</v>
      </c>
      <c r="W702" s="10">
        <v>51</v>
      </c>
      <c r="X702" s="10">
        <v>275</v>
      </c>
      <c r="Y702" s="10">
        <v>20</v>
      </c>
      <c r="Z702" s="10">
        <v>194</v>
      </c>
      <c r="AA702" s="10">
        <v>0.39100000000000001</v>
      </c>
      <c r="AB702" s="10">
        <v>198</v>
      </c>
      <c r="AC702" s="10">
        <v>116</v>
      </c>
      <c r="AD702" s="10">
        <v>77</v>
      </c>
      <c r="AE702" s="10">
        <v>5</v>
      </c>
      <c r="AF702" s="10">
        <v>11.5</v>
      </c>
      <c r="AG702" s="9" t="s">
        <v>169</v>
      </c>
      <c r="AH702" s="9" t="s">
        <v>178</v>
      </c>
      <c r="AI702" s="9" t="s">
        <v>185</v>
      </c>
      <c r="AJ702" s="10"/>
      <c r="AK702" s="30"/>
    </row>
    <row r="703" spans="5:37">
      <c r="E703" s="28" t="s">
        <v>155</v>
      </c>
      <c r="F703" s="8" t="s">
        <v>205</v>
      </c>
      <c r="G703" s="9" t="s">
        <v>277</v>
      </c>
      <c r="H703" s="10">
        <v>188</v>
      </c>
      <c r="I703" s="9" t="s">
        <v>158</v>
      </c>
      <c r="J703" s="10">
        <v>188</v>
      </c>
      <c r="K703" s="10">
        <v>186.5</v>
      </c>
      <c r="L703" s="10">
        <v>130</v>
      </c>
      <c r="M703" s="10">
        <v>156</v>
      </c>
      <c r="N703" s="10">
        <v>133</v>
      </c>
      <c r="O703" s="10">
        <v>105</v>
      </c>
      <c r="P703" s="10">
        <v>123</v>
      </c>
      <c r="Q703" s="10">
        <v>23.5</v>
      </c>
      <c r="R703" s="10">
        <v>1873</v>
      </c>
      <c r="S703" s="10">
        <v>1.1399999999999999</v>
      </c>
      <c r="T703" s="10">
        <v>2138</v>
      </c>
      <c r="U703" s="10">
        <v>262</v>
      </c>
      <c r="V703" s="10">
        <v>127</v>
      </c>
      <c r="W703" s="10">
        <v>55</v>
      </c>
      <c r="X703" s="10">
        <v>339</v>
      </c>
      <c r="Y703" s="10">
        <v>23</v>
      </c>
      <c r="Z703" s="10">
        <v>227</v>
      </c>
      <c r="AA703" s="10">
        <v>0.42</v>
      </c>
      <c r="AB703" s="10">
        <v>191</v>
      </c>
      <c r="AC703" s="10">
        <v>114</v>
      </c>
      <c r="AD703" s="10">
        <v>148</v>
      </c>
      <c r="AE703" s="10">
        <v>4</v>
      </c>
      <c r="AF703" s="10">
        <v>11.7</v>
      </c>
      <c r="AG703" s="9" t="s">
        <v>169</v>
      </c>
      <c r="AH703" s="9" t="s">
        <v>185</v>
      </c>
      <c r="AI703" s="10"/>
      <c r="AJ703" s="10"/>
      <c r="AK703" s="30"/>
    </row>
    <row r="704" spans="5:37">
      <c r="E704" s="28" t="s">
        <v>155</v>
      </c>
      <c r="F704" s="8" t="s">
        <v>205</v>
      </c>
      <c r="G704" s="9" t="s">
        <v>325</v>
      </c>
      <c r="H704" s="10">
        <v>164</v>
      </c>
      <c r="I704" s="9" t="s">
        <v>163</v>
      </c>
      <c r="J704" s="10">
        <v>164</v>
      </c>
      <c r="K704" s="10">
        <v>162.6</v>
      </c>
      <c r="L704" s="10">
        <v>117</v>
      </c>
      <c r="M704" s="10">
        <v>134</v>
      </c>
      <c r="N704" s="10">
        <v>133</v>
      </c>
      <c r="O704" s="10">
        <v>106</v>
      </c>
      <c r="P704" s="10">
        <v>124</v>
      </c>
      <c r="Q704" s="10">
        <v>16.8</v>
      </c>
      <c r="R704" s="10">
        <v>1604</v>
      </c>
      <c r="S704" s="10">
        <v>1.17</v>
      </c>
      <c r="T704" s="10">
        <v>1872</v>
      </c>
      <c r="U704" s="10">
        <v>182</v>
      </c>
      <c r="V704" s="10">
        <v>88</v>
      </c>
      <c r="W704" s="10">
        <v>53</v>
      </c>
      <c r="X704" s="10">
        <v>275</v>
      </c>
      <c r="Y704" s="10">
        <v>20</v>
      </c>
      <c r="Z704" s="10">
        <v>179</v>
      </c>
      <c r="AA704" s="10">
        <v>0.378</v>
      </c>
      <c r="AB704" s="10">
        <v>179</v>
      </c>
      <c r="AC704" s="10">
        <v>111</v>
      </c>
      <c r="AD704" s="10">
        <v>96</v>
      </c>
      <c r="AE704" s="10">
        <v>5</v>
      </c>
      <c r="AF704" s="10">
        <v>10.6</v>
      </c>
      <c r="AG704" s="9" t="s">
        <v>169</v>
      </c>
      <c r="AH704" s="9" t="s">
        <v>178</v>
      </c>
      <c r="AI704" s="9" t="s">
        <v>185</v>
      </c>
      <c r="AJ704" s="10"/>
      <c r="AK704" s="30"/>
    </row>
    <row r="705" spans="5:37">
      <c r="E705" s="28" t="s">
        <v>155</v>
      </c>
      <c r="F705" s="8" t="s">
        <v>205</v>
      </c>
      <c r="G705" s="9" t="s">
        <v>325</v>
      </c>
      <c r="H705" s="10">
        <v>172</v>
      </c>
      <c r="I705" s="9" t="s">
        <v>163</v>
      </c>
      <c r="J705" s="10">
        <v>172</v>
      </c>
      <c r="K705" s="10">
        <v>170.6</v>
      </c>
      <c r="L705" s="10">
        <v>123</v>
      </c>
      <c r="M705" s="10">
        <v>139</v>
      </c>
      <c r="N705" s="10">
        <v>134</v>
      </c>
      <c r="O705" s="10">
        <v>106</v>
      </c>
      <c r="P705" s="10">
        <v>124</v>
      </c>
      <c r="Q705" s="10">
        <v>19</v>
      </c>
      <c r="R705" s="10">
        <v>1685</v>
      </c>
      <c r="S705" s="10">
        <v>1.1599999999999999</v>
      </c>
      <c r="T705" s="10">
        <v>1962</v>
      </c>
      <c r="U705" s="10">
        <v>218</v>
      </c>
      <c r="V705" s="10">
        <v>103</v>
      </c>
      <c r="W705" s="10">
        <v>55</v>
      </c>
      <c r="X705" s="10">
        <v>296</v>
      </c>
      <c r="Y705" s="10">
        <v>23</v>
      </c>
      <c r="Z705" s="10">
        <v>184</v>
      </c>
      <c r="AA705" s="10">
        <v>0.41899999999999998</v>
      </c>
      <c r="AB705" s="10">
        <v>194</v>
      </c>
      <c r="AC705" s="10">
        <v>121</v>
      </c>
      <c r="AD705" s="10">
        <v>102</v>
      </c>
      <c r="AE705" s="10">
        <v>6</v>
      </c>
      <c r="AF705" s="10">
        <v>11.1</v>
      </c>
      <c r="AG705" s="9" t="s">
        <v>169</v>
      </c>
      <c r="AH705" s="9" t="s">
        <v>185</v>
      </c>
      <c r="AI705" s="10"/>
      <c r="AJ705" s="10"/>
      <c r="AK705" s="30"/>
    </row>
    <row r="706" spans="5:37">
      <c r="E706" s="28" t="s">
        <v>155</v>
      </c>
      <c r="F706" s="8" t="s">
        <v>205</v>
      </c>
      <c r="G706" s="9" t="s">
        <v>553</v>
      </c>
      <c r="H706" s="10">
        <v>179</v>
      </c>
      <c r="I706" s="9" t="s">
        <v>158</v>
      </c>
      <c r="J706" s="10">
        <v>179</v>
      </c>
      <c r="K706" s="10">
        <v>177.4</v>
      </c>
      <c r="L706" s="10">
        <v>111</v>
      </c>
      <c r="M706" s="10">
        <v>143</v>
      </c>
      <c r="N706" s="10">
        <v>140</v>
      </c>
      <c r="O706" s="10">
        <v>115</v>
      </c>
      <c r="P706" s="10">
        <v>131</v>
      </c>
      <c r="Q706" s="10">
        <v>21.9</v>
      </c>
      <c r="R706" s="10">
        <v>1717</v>
      </c>
      <c r="S706" s="10">
        <v>1.28</v>
      </c>
      <c r="T706" s="10">
        <v>2191</v>
      </c>
      <c r="U706" s="10">
        <v>207</v>
      </c>
      <c r="V706" s="10">
        <v>89</v>
      </c>
      <c r="W706" s="10">
        <v>64</v>
      </c>
      <c r="X706" s="10">
        <v>368</v>
      </c>
      <c r="Y706" s="10">
        <v>20</v>
      </c>
      <c r="Z706" s="10">
        <v>292</v>
      </c>
      <c r="AA706" s="10">
        <v>0.315</v>
      </c>
      <c r="AB706" s="10">
        <v>212</v>
      </c>
      <c r="AC706" s="10">
        <v>135</v>
      </c>
      <c r="AD706" s="10">
        <v>156</v>
      </c>
      <c r="AE706" s="10">
        <v>3</v>
      </c>
      <c r="AF706" s="10">
        <v>12.2</v>
      </c>
      <c r="AG706" s="9" t="s">
        <v>178</v>
      </c>
      <c r="AH706" s="9" t="s">
        <v>185</v>
      </c>
      <c r="AI706" s="9" t="s">
        <v>198</v>
      </c>
      <c r="AJ706" s="10"/>
      <c r="AK706" s="30"/>
    </row>
    <row r="707" spans="5:37">
      <c r="E707" s="28" t="s">
        <v>155</v>
      </c>
      <c r="F707" s="8" t="s">
        <v>205</v>
      </c>
      <c r="G707" s="9" t="s">
        <v>899</v>
      </c>
      <c r="H707" s="10">
        <v>145</v>
      </c>
      <c r="I707" s="9" t="s">
        <v>385</v>
      </c>
      <c r="J707" s="10">
        <v>145</v>
      </c>
      <c r="K707" s="10">
        <v>143.69999999999999</v>
      </c>
      <c r="L707" s="10">
        <v>103</v>
      </c>
      <c r="M707" s="10">
        <v>120</v>
      </c>
      <c r="N707" s="10">
        <v>114</v>
      </c>
      <c r="O707" s="10">
        <v>83</v>
      </c>
      <c r="P707" s="10">
        <v>110</v>
      </c>
      <c r="Q707" s="10">
        <v>11.9</v>
      </c>
      <c r="R707" s="10">
        <v>1202</v>
      </c>
      <c r="S707" s="10">
        <v>1.1299999999999999</v>
      </c>
      <c r="T707" s="10">
        <v>1355</v>
      </c>
      <c r="U707" s="10">
        <v>108</v>
      </c>
      <c r="V707" s="10">
        <v>33</v>
      </c>
      <c r="W707" s="10">
        <v>44</v>
      </c>
      <c r="X707" s="10">
        <v>208</v>
      </c>
      <c r="Y707" s="10">
        <v>38</v>
      </c>
      <c r="Z707" s="10">
        <v>199</v>
      </c>
      <c r="AA707" s="10">
        <v>0.85599999999999998</v>
      </c>
      <c r="AB707" s="10">
        <v>123</v>
      </c>
      <c r="AC707" s="10">
        <v>110</v>
      </c>
      <c r="AD707" s="10">
        <v>85</v>
      </c>
      <c r="AE707" s="10">
        <v>9</v>
      </c>
      <c r="AF707" s="10">
        <v>3</v>
      </c>
      <c r="AG707" s="9" t="s">
        <v>188</v>
      </c>
      <c r="AH707" s="9" t="s">
        <v>184</v>
      </c>
      <c r="AI707" s="9" t="s">
        <v>185</v>
      </c>
      <c r="AJ707" s="10"/>
      <c r="AK707" s="30"/>
    </row>
    <row r="708" spans="5:37">
      <c r="E708" s="28" t="s">
        <v>155</v>
      </c>
      <c r="F708" s="8" t="s">
        <v>205</v>
      </c>
      <c r="G708" s="9" t="s">
        <v>259</v>
      </c>
      <c r="H708" s="10">
        <v>166</v>
      </c>
      <c r="I708" s="9" t="s">
        <v>158</v>
      </c>
      <c r="J708" s="10">
        <v>166</v>
      </c>
      <c r="K708" s="10">
        <v>163.9</v>
      </c>
      <c r="L708" s="10">
        <v>108</v>
      </c>
      <c r="M708" s="10">
        <v>138</v>
      </c>
      <c r="N708" s="10">
        <v>131</v>
      </c>
      <c r="O708" s="10">
        <v>102</v>
      </c>
      <c r="P708" s="10">
        <v>127</v>
      </c>
      <c r="Q708" s="10">
        <v>16.2</v>
      </c>
      <c r="R708" s="10">
        <v>1726</v>
      </c>
      <c r="S708" s="10">
        <v>1.06</v>
      </c>
      <c r="T708" s="10">
        <v>1831</v>
      </c>
      <c r="U708" s="10">
        <v>204</v>
      </c>
      <c r="V708" s="10">
        <v>92</v>
      </c>
      <c r="W708" s="10">
        <v>51</v>
      </c>
      <c r="X708" s="10">
        <v>285</v>
      </c>
      <c r="Y708" s="10">
        <v>51</v>
      </c>
      <c r="Z708" s="10">
        <v>278</v>
      </c>
      <c r="AA708" s="10">
        <v>0.99299999999999999</v>
      </c>
      <c r="AB708" s="10">
        <v>133</v>
      </c>
      <c r="AC708" s="10">
        <v>130</v>
      </c>
      <c r="AD708" s="10">
        <v>151</v>
      </c>
      <c r="AE708" s="10">
        <v>6</v>
      </c>
      <c r="AF708" s="10">
        <v>3.8</v>
      </c>
      <c r="AG708" s="9" t="s">
        <v>184</v>
      </c>
      <c r="AH708" s="9" t="s">
        <v>169</v>
      </c>
      <c r="AI708" s="9" t="s">
        <v>185</v>
      </c>
      <c r="AJ708" s="10"/>
      <c r="AK708" s="30"/>
    </row>
    <row r="709" spans="5:37">
      <c r="E709" s="28" t="s">
        <v>155</v>
      </c>
      <c r="F709" s="8" t="s">
        <v>205</v>
      </c>
      <c r="G709" s="9" t="s">
        <v>259</v>
      </c>
      <c r="H709" s="10">
        <v>173</v>
      </c>
      <c r="I709" s="9" t="s">
        <v>158</v>
      </c>
      <c r="J709" s="10">
        <v>173</v>
      </c>
      <c r="K709" s="10">
        <v>171.1</v>
      </c>
      <c r="L709" s="10">
        <v>112</v>
      </c>
      <c r="M709" s="10">
        <v>145</v>
      </c>
      <c r="N709" s="10">
        <v>131</v>
      </c>
      <c r="O709" s="10">
        <v>102</v>
      </c>
      <c r="P709" s="10">
        <v>127</v>
      </c>
      <c r="Q709" s="10">
        <v>18.100000000000001</v>
      </c>
      <c r="R709" s="10">
        <v>1782</v>
      </c>
      <c r="S709" s="10">
        <v>1.07</v>
      </c>
      <c r="T709" s="10">
        <v>1913</v>
      </c>
      <c r="U709" s="10">
        <v>213</v>
      </c>
      <c r="V709" s="10">
        <v>96</v>
      </c>
      <c r="W709" s="10">
        <v>57</v>
      </c>
      <c r="X709" s="10">
        <v>316</v>
      </c>
      <c r="Y709" s="10">
        <v>51</v>
      </c>
      <c r="Z709" s="10">
        <v>278</v>
      </c>
      <c r="AA709" s="10">
        <v>0.88700000000000001</v>
      </c>
      <c r="AB709" s="10">
        <v>136</v>
      </c>
      <c r="AC709" s="10">
        <v>123</v>
      </c>
      <c r="AD709" s="10">
        <v>179</v>
      </c>
      <c r="AE709" s="10">
        <v>5</v>
      </c>
      <c r="AF709" s="10">
        <v>4</v>
      </c>
      <c r="AG709" s="9" t="s">
        <v>184</v>
      </c>
      <c r="AH709" s="9" t="s">
        <v>169</v>
      </c>
      <c r="AI709" s="9" t="s">
        <v>185</v>
      </c>
      <c r="AJ709" s="10"/>
      <c r="AK709" s="30"/>
    </row>
    <row r="710" spans="5:37">
      <c r="E710" s="28" t="s">
        <v>155</v>
      </c>
      <c r="F710" s="8" t="s">
        <v>205</v>
      </c>
      <c r="G710" s="9" t="s">
        <v>259</v>
      </c>
      <c r="H710" s="10">
        <v>178</v>
      </c>
      <c r="I710" s="9" t="s">
        <v>158</v>
      </c>
      <c r="J710" s="10">
        <v>178</v>
      </c>
      <c r="K710" s="10">
        <v>176.1</v>
      </c>
      <c r="L710" s="10">
        <v>119</v>
      </c>
      <c r="M710" s="10">
        <v>147</v>
      </c>
      <c r="N710" s="10">
        <v>131</v>
      </c>
      <c r="O710" s="10">
        <v>102</v>
      </c>
      <c r="P710" s="10">
        <v>127</v>
      </c>
      <c r="Q710" s="10">
        <v>19.399999999999999</v>
      </c>
      <c r="R710" s="10">
        <v>1905</v>
      </c>
      <c r="S710" s="10">
        <v>1.03</v>
      </c>
      <c r="T710" s="10">
        <v>1969</v>
      </c>
      <c r="U710" s="10">
        <v>227</v>
      </c>
      <c r="V710" s="10">
        <v>97</v>
      </c>
      <c r="W710" s="10">
        <v>55</v>
      </c>
      <c r="X710" s="10">
        <v>302</v>
      </c>
      <c r="Y710" s="10">
        <v>49</v>
      </c>
      <c r="Z710" s="10">
        <v>270</v>
      </c>
      <c r="AA710" s="10">
        <v>0.89100000000000001</v>
      </c>
      <c r="AB710" s="10">
        <v>149</v>
      </c>
      <c r="AC710" s="10">
        <v>141</v>
      </c>
      <c r="AD710" s="10">
        <v>153</v>
      </c>
      <c r="AE710" s="10">
        <v>7</v>
      </c>
      <c r="AF710" s="10">
        <v>4.5999999999999996</v>
      </c>
      <c r="AG710" s="9" t="s">
        <v>184</v>
      </c>
      <c r="AH710" s="9" t="s">
        <v>169</v>
      </c>
      <c r="AI710" s="10"/>
      <c r="AJ710" s="10"/>
      <c r="AK710" s="30"/>
    </row>
    <row r="711" spans="5:37">
      <c r="E711" s="28" t="s">
        <v>155</v>
      </c>
      <c r="F711" s="8" t="s">
        <v>205</v>
      </c>
      <c r="G711" s="9" t="s">
        <v>259</v>
      </c>
      <c r="H711" s="10">
        <v>183</v>
      </c>
      <c r="I711" s="9" t="s">
        <v>158</v>
      </c>
      <c r="J711" s="10">
        <v>183</v>
      </c>
      <c r="K711" s="10">
        <v>181.1</v>
      </c>
      <c r="L711" s="10">
        <v>120</v>
      </c>
      <c r="M711" s="10">
        <v>154</v>
      </c>
      <c r="N711" s="10">
        <v>131</v>
      </c>
      <c r="O711" s="10">
        <v>101</v>
      </c>
      <c r="P711" s="10">
        <v>127</v>
      </c>
      <c r="Q711" s="10">
        <v>20.7</v>
      </c>
      <c r="R711" s="10">
        <v>1912</v>
      </c>
      <c r="S711" s="10">
        <v>1.06</v>
      </c>
      <c r="T711" s="10">
        <v>2023</v>
      </c>
      <c r="U711" s="10">
        <v>245</v>
      </c>
      <c r="V711" s="10">
        <v>102</v>
      </c>
      <c r="W711" s="10">
        <v>54</v>
      </c>
      <c r="X711" s="10">
        <v>320</v>
      </c>
      <c r="Y711" s="10">
        <v>49</v>
      </c>
      <c r="Z711" s="10">
        <v>291</v>
      </c>
      <c r="AA711" s="10">
        <v>0.90900000000000003</v>
      </c>
      <c r="AB711" s="10">
        <v>143</v>
      </c>
      <c r="AC711" s="10">
        <v>130</v>
      </c>
      <c r="AD711" s="10">
        <v>177</v>
      </c>
      <c r="AE711" s="10">
        <v>6</v>
      </c>
      <c r="AF711" s="10">
        <v>4.0999999999999996</v>
      </c>
      <c r="AG711" s="9" t="s">
        <v>184</v>
      </c>
      <c r="AH711" s="9" t="s">
        <v>169</v>
      </c>
      <c r="AI711" s="9" t="s">
        <v>185</v>
      </c>
      <c r="AJ711" s="10"/>
      <c r="AK711" s="30"/>
    </row>
    <row r="712" spans="5:37">
      <c r="E712" s="28" t="s">
        <v>155</v>
      </c>
      <c r="F712" s="8" t="s">
        <v>205</v>
      </c>
      <c r="G712" s="9" t="s">
        <v>868</v>
      </c>
      <c r="H712" s="10">
        <v>159</v>
      </c>
      <c r="I712" s="9" t="s">
        <v>385</v>
      </c>
      <c r="J712" s="10">
        <v>159</v>
      </c>
      <c r="K712" s="10">
        <v>157.1</v>
      </c>
      <c r="L712" s="10">
        <v>110</v>
      </c>
      <c r="M712" s="10">
        <v>132</v>
      </c>
      <c r="N712" s="10">
        <v>128</v>
      </c>
      <c r="O712" s="10">
        <v>97</v>
      </c>
      <c r="P712" s="10">
        <v>124</v>
      </c>
      <c r="Q712" s="10">
        <v>13.8</v>
      </c>
      <c r="R712" s="10">
        <v>1435</v>
      </c>
      <c r="S712" s="10">
        <v>1.18</v>
      </c>
      <c r="T712" s="10">
        <v>1700</v>
      </c>
      <c r="U712" s="10">
        <v>130</v>
      </c>
      <c r="V712" s="10">
        <v>44</v>
      </c>
      <c r="W712" s="10">
        <v>55</v>
      </c>
      <c r="X712" s="10">
        <v>240</v>
      </c>
      <c r="Y712" s="10">
        <v>46</v>
      </c>
      <c r="Z712" s="10">
        <v>232</v>
      </c>
      <c r="AA712" s="10">
        <v>0.83699999999999997</v>
      </c>
      <c r="AB712" s="10">
        <v>131</v>
      </c>
      <c r="AC712" s="10">
        <v>123</v>
      </c>
      <c r="AD712" s="10">
        <v>108</v>
      </c>
      <c r="AE712" s="10">
        <v>5</v>
      </c>
      <c r="AF712" s="10">
        <v>3.2</v>
      </c>
      <c r="AG712" s="9" t="s">
        <v>188</v>
      </c>
      <c r="AH712" s="9" t="s">
        <v>184</v>
      </c>
      <c r="AI712" s="9" t="s">
        <v>185</v>
      </c>
      <c r="AJ712" s="10"/>
      <c r="AK712" s="30"/>
    </row>
    <row r="713" spans="5:37">
      <c r="E713" s="28" t="s">
        <v>155</v>
      </c>
      <c r="F713" s="8" t="s">
        <v>205</v>
      </c>
      <c r="G713" s="9" t="s">
        <v>242</v>
      </c>
      <c r="H713" s="10">
        <v>178</v>
      </c>
      <c r="I713" s="9" t="s">
        <v>158</v>
      </c>
      <c r="J713" s="10">
        <v>178</v>
      </c>
      <c r="K713" s="10">
        <v>176.4</v>
      </c>
      <c r="L713" s="10">
        <v>111</v>
      </c>
      <c r="M713" s="10">
        <v>147</v>
      </c>
      <c r="N713" s="10">
        <v>139</v>
      </c>
      <c r="O713" s="10">
        <v>111</v>
      </c>
      <c r="P713" s="10">
        <v>133</v>
      </c>
      <c r="Q713" s="10">
        <v>20</v>
      </c>
      <c r="R713" s="10">
        <v>1931</v>
      </c>
      <c r="S713" s="10">
        <v>1.1000000000000001</v>
      </c>
      <c r="T713" s="10">
        <v>2119</v>
      </c>
      <c r="U713" s="10">
        <v>221</v>
      </c>
      <c r="V713" s="10">
        <v>106</v>
      </c>
      <c r="W713" s="10">
        <v>59</v>
      </c>
      <c r="X713" s="10">
        <v>346</v>
      </c>
      <c r="Y713" s="10">
        <v>52</v>
      </c>
      <c r="Z713" s="10">
        <v>305</v>
      </c>
      <c r="AA713" s="10">
        <v>0.88200000000000001</v>
      </c>
      <c r="AB713" s="10">
        <v>148</v>
      </c>
      <c r="AC713" s="10">
        <v>147</v>
      </c>
      <c r="AD713" s="10">
        <v>198</v>
      </c>
      <c r="AE713" s="10">
        <v>6</v>
      </c>
      <c r="AF713" s="10">
        <v>5.6</v>
      </c>
      <c r="AG713" s="9" t="s">
        <v>184</v>
      </c>
      <c r="AH713" s="9" t="s">
        <v>169</v>
      </c>
      <c r="AI713" s="9" t="s">
        <v>185</v>
      </c>
      <c r="AJ713" s="10"/>
      <c r="AK713" s="30"/>
    </row>
    <row r="714" spans="5:37">
      <c r="E714" s="28" t="s">
        <v>155</v>
      </c>
      <c r="F714" s="8" t="s">
        <v>205</v>
      </c>
      <c r="G714" s="9" t="s">
        <v>242</v>
      </c>
      <c r="H714" s="10">
        <v>184</v>
      </c>
      <c r="I714" s="9" t="s">
        <v>158</v>
      </c>
      <c r="J714" s="10">
        <v>184</v>
      </c>
      <c r="K714" s="10">
        <v>182.3</v>
      </c>
      <c r="L714" s="10">
        <v>113</v>
      </c>
      <c r="M714" s="10">
        <v>153</v>
      </c>
      <c r="N714" s="10">
        <v>139</v>
      </c>
      <c r="O714" s="10">
        <v>111</v>
      </c>
      <c r="P714" s="10">
        <v>133</v>
      </c>
      <c r="Q714" s="10">
        <v>21.9</v>
      </c>
      <c r="R714" s="10">
        <v>2007</v>
      </c>
      <c r="S714" s="10">
        <v>1.0900000000000001</v>
      </c>
      <c r="T714" s="10">
        <v>2189</v>
      </c>
      <c r="U714" s="10">
        <v>237</v>
      </c>
      <c r="V714" s="10">
        <v>115</v>
      </c>
      <c r="W714" s="10">
        <v>57</v>
      </c>
      <c r="X714" s="10">
        <v>370</v>
      </c>
      <c r="Y714" s="10">
        <v>52</v>
      </c>
      <c r="Z714" s="10">
        <v>325</v>
      </c>
      <c r="AA714" s="10">
        <v>0.92200000000000004</v>
      </c>
      <c r="AB714" s="10">
        <v>158</v>
      </c>
      <c r="AC714" s="10">
        <v>132</v>
      </c>
      <c r="AD714" s="10">
        <v>212</v>
      </c>
      <c r="AE714" s="10">
        <v>5</v>
      </c>
      <c r="AF714" s="10">
        <v>6.1</v>
      </c>
      <c r="AG714" s="9" t="s">
        <v>184</v>
      </c>
      <c r="AH714" s="9" t="s">
        <v>169</v>
      </c>
      <c r="AI714" s="9" t="s">
        <v>185</v>
      </c>
      <c r="AJ714" s="10"/>
      <c r="AK714" s="30"/>
    </row>
    <row r="715" spans="5:37">
      <c r="E715" s="28" t="s">
        <v>155</v>
      </c>
      <c r="F715" s="8" t="s">
        <v>205</v>
      </c>
      <c r="G715" s="9" t="s">
        <v>663</v>
      </c>
      <c r="H715" s="10">
        <v>170</v>
      </c>
      <c r="I715" s="9" t="s">
        <v>158</v>
      </c>
      <c r="J715" s="10">
        <v>170</v>
      </c>
      <c r="K715" s="10">
        <v>168.5</v>
      </c>
      <c r="L715" s="10">
        <v>130</v>
      </c>
      <c r="M715" s="10">
        <v>144</v>
      </c>
      <c r="N715" s="10">
        <v>119</v>
      </c>
      <c r="O715" s="10">
        <v>85</v>
      </c>
      <c r="P715" s="10">
        <v>109</v>
      </c>
      <c r="Q715" s="10">
        <v>16.600000000000001</v>
      </c>
      <c r="R715" s="10">
        <v>1686</v>
      </c>
      <c r="S715" s="10">
        <v>0.97</v>
      </c>
      <c r="T715" s="10">
        <v>1628</v>
      </c>
      <c r="U715" s="10">
        <v>208</v>
      </c>
      <c r="V715" s="10">
        <v>127</v>
      </c>
      <c r="W715" s="10">
        <v>49</v>
      </c>
      <c r="X715" s="10">
        <v>223</v>
      </c>
      <c r="Y715" s="10">
        <v>20</v>
      </c>
      <c r="Z715" s="10">
        <v>158</v>
      </c>
      <c r="AA715" s="10">
        <v>0.41199999999999998</v>
      </c>
      <c r="AB715" s="10">
        <v>154</v>
      </c>
      <c r="AC715" s="10">
        <v>90</v>
      </c>
      <c r="AD715" s="10">
        <v>69</v>
      </c>
      <c r="AE715" s="10">
        <v>7</v>
      </c>
      <c r="AF715" s="10">
        <v>10.1</v>
      </c>
      <c r="AG715" s="9" t="s">
        <v>231</v>
      </c>
      <c r="AH715" s="9" t="s">
        <v>188</v>
      </c>
      <c r="AI715" s="10"/>
      <c r="AJ715" s="10"/>
      <c r="AK715" s="30"/>
    </row>
    <row r="716" spans="5:37">
      <c r="E716" s="28" t="s">
        <v>155</v>
      </c>
      <c r="F716" s="8" t="s">
        <v>205</v>
      </c>
      <c r="G716" s="9" t="s">
        <v>663</v>
      </c>
      <c r="H716" s="10">
        <v>178</v>
      </c>
      <c r="I716" s="9" t="s">
        <v>158</v>
      </c>
      <c r="J716" s="10">
        <v>178</v>
      </c>
      <c r="K716" s="10">
        <v>176.4</v>
      </c>
      <c r="L716" s="10">
        <v>135</v>
      </c>
      <c r="M716" s="10">
        <v>151</v>
      </c>
      <c r="N716" s="10">
        <v>119</v>
      </c>
      <c r="O716" s="10">
        <v>85</v>
      </c>
      <c r="P716" s="10">
        <v>109</v>
      </c>
      <c r="Q716" s="10">
        <v>18.7</v>
      </c>
      <c r="R716" s="10">
        <v>1694</v>
      </c>
      <c r="S716" s="10">
        <v>1.01</v>
      </c>
      <c r="T716" s="10">
        <v>1703</v>
      </c>
      <c r="U716" s="10">
        <v>243</v>
      </c>
      <c r="V716" s="10">
        <v>143</v>
      </c>
      <c r="W716" s="10">
        <v>51</v>
      </c>
      <c r="X716" s="10">
        <v>247</v>
      </c>
      <c r="Y716" s="10">
        <v>20</v>
      </c>
      <c r="Z716" s="10">
        <v>166</v>
      </c>
      <c r="AA716" s="10">
        <v>0.39</v>
      </c>
      <c r="AB716" s="10">
        <v>155</v>
      </c>
      <c r="AC716" s="10">
        <v>97</v>
      </c>
      <c r="AD716" s="10">
        <v>91</v>
      </c>
      <c r="AE716" s="10">
        <v>8</v>
      </c>
      <c r="AF716" s="10">
        <v>9.5</v>
      </c>
      <c r="AG716" s="9" t="s">
        <v>231</v>
      </c>
      <c r="AH716" s="9" t="s">
        <v>188</v>
      </c>
      <c r="AI716" s="10"/>
      <c r="AJ716" s="10"/>
      <c r="AK716" s="30"/>
    </row>
    <row r="717" spans="5:37">
      <c r="E717" s="28" t="s">
        <v>155</v>
      </c>
      <c r="F717" s="8" t="s">
        <v>205</v>
      </c>
      <c r="G717" s="9" t="s">
        <v>436</v>
      </c>
      <c r="H717" s="10">
        <v>162</v>
      </c>
      <c r="I717" s="9" t="s">
        <v>163</v>
      </c>
      <c r="J717" s="10">
        <v>162</v>
      </c>
      <c r="K717" s="10">
        <v>160.30000000000001</v>
      </c>
      <c r="L717" s="10">
        <v>122</v>
      </c>
      <c r="M717" s="10">
        <v>136</v>
      </c>
      <c r="N717" s="10">
        <v>120</v>
      </c>
      <c r="O717" s="10">
        <v>86</v>
      </c>
      <c r="P717" s="10">
        <v>110</v>
      </c>
      <c r="Q717" s="10">
        <v>15</v>
      </c>
      <c r="R717" s="10">
        <v>1574</v>
      </c>
      <c r="S717" s="10">
        <v>0.99</v>
      </c>
      <c r="T717" s="10">
        <v>1561</v>
      </c>
      <c r="U717" s="10">
        <v>190</v>
      </c>
      <c r="V717" s="10">
        <v>116</v>
      </c>
      <c r="W717" s="10">
        <v>50</v>
      </c>
      <c r="X717" s="10">
        <v>230</v>
      </c>
      <c r="Y717" s="10">
        <v>20</v>
      </c>
      <c r="Z717" s="10">
        <v>150</v>
      </c>
      <c r="AA717" s="10">
        <v>0.40400000000000003</v>
      </c>
      <c r="AB717" s="10">
        <v>154</v>
      </c>
      <c r="AC717" s="10">
        <v>88</v>
      </c>
      <c r="AD717" s="10">
        <v>76</v>
      </c>
      <c r="AE717" s="10">
        <v>6</v>
      </c>
      <c r="AF717" s="10">
        <v>9.4</v>
      </c>
      <c r="AG717" s="9" t="s">
        <v>188</v>
      </c>
      <c r="AH717" s="10"/>
      <c r="AI717" s="10"/>
      <c r="AJ717" s="10"/>
      <c r="AK717" s="30"/>
    </row>
    <row r="718" spans="5:37">
      <c r="E718" s="28" t="s">
        <v>155</v>
      </c>
      <c r="F718" s="8" t="s">
        <v>205</v>
      </c>
      <c r="G718" s="9" t="s">
        <v>378</v>
      </c>
      <c r="H718" s="10">
        <v>163</v>
      </c>
      <c r="I718" s="9" t="s">
        <v>158</v>
      </c>
      <c r="J718" s="10">
        <v>163</v>
      </c>
      <c r="K718" s="10">
        <v>163</v>
      </c>
      <c r="L718" s="10">
        <v>119</v>
      </c>
      <c r="M718" s="10">
        <v>135</v>
      </c>
      <c r="N718" s="10">
        <v>127</v>
      </c>
      <c r="O718" s="10">
        <v>96</v>
      </c>
      <c r="P718" s="10">
        <v>117</v>
      </c>
      <c r="Q718" s="10">
        <v>15.6</v>
      </c>
      <c r="R718" s="10">
        <v>1699</v>
      </c>
      <c r="S718" s="10">
        <v>1.02</v>
      </c>
      <c r="T718" s="10">
        <v>1730</v>
      </c>
      <c r="U718" s="10">
        <v>183</v>
      </c>
      <c r="V718" s="10">
        <v>117</v>
      </c>
      <c r="W718" s="10">
        <v>56</v>
      </c>
      <c r="X718" s="10">
        <v>253</v>
      </c>
      <c r="Y718" s="10">
        <v>25</v>
      </c>
      <c r="Z718" s="10">
        <v>184</v>
      </c>
      <c r="AA718" s="10">
        <v>0.45600000000000002</v>
      </c>
      <c r="AB718" s="10">
        <v>162</v>
      </c>
      <c r="AC718" s="10">
        <v>120</v>
      </c>
      <c r="AD718" s="10">
        <v>91</v>
      </c>
      <c r="AE718" s="10">
        <v>5</v>
      </c>
      <c r="AF718" s="10">
        <v>9.9</v>
      </c>
      <c r="AG718" s="9" t="s">
        <v>188</v>
      </c>
      <c r="AH718" s="10"/>
      <c r="AI718" s="10"/>
      <c r="AJ718" s="10"/>
      <c r="AK718" s="30"/>
    </row>
    <row r="719" spans="5:37">
      <c r="E719" s="28" t="s">
        <v>155</v>
      </c>
      <c r="F719" s="8" t="s">
        <v>205</v>
      </c>
      <c r="G719" s="9" t="s">
        <v>378</v>
      </c>
      <c r="H719" s="10">
        <v>171</v>
      </c>
      <c r="I719" s="9" t="s">
        <v>158</v>
      </c>
      <c r="J719" s="10">
        <v>171</v>
      </c>
      <c r="K719" s="10">
        <v>169.5</v>
      </c>
      <c r="L719" s="10">
        <v>128</v>
      </c>
      <c r="M719" s="10">
        <v>141</v>
      </c>
      <c r="N719" s="10">
        <v>126</v>
      </c>
      <c r="O719" s="10">
        <v>95</v>
      </c>
      <c r="P719" s="10">
        <v>116</v>
      </c>
      <c r="Q719" s="10">
        <v>17.600000000000001</v>
      </c>
      <c r="R719" s="10">
        <v>1848</v>
      </c>
      <c r="S719" s="10">
        <v>0.97</v>
      </c>
      <c r="T719" s="10">
        <v>1789</v>
      </c>
      <c r="U719" s="10">
        <v>226</v>
      </c>
      <c r="V719" s="10">
        <v>130</v>
      </c>
      <c r="W719" s="10">
        <v>52</v>
      </c>
      <c r="X719" s="10">
        <v>240</v>
      </c>
      <c r="Y719" s="10">
        <v>22</v>
      </c>
      <c r="Z719" s="10">
        <v>177</v>
      </c>
      <c r="AA719" s="10">
        <v>0.42</v>
      </c>
      <c r="AB719" s="10">
        <v>176</v>
      </c>
      <c r="AC719" s="10">
        <v>105</v>
      </c>
      <c r="AD719" s="10">
        <v>64</v>
      </c>
      <c r="AE719" s="10">
        <v>8</v>
      </c>
      <c r="AF719" s="10">
        <v>10.9</v>
      </c>
      <c r="AG719" s="9" t="s">
        <v>188</v>
      </c>
      <c r="AH719" s="10"/>
      <c r="AI719" s="10"/>
      <c r="AJ719" s="10"/>
      <c r="AK719" s="30"/>
    </row>
    <row r="720" spans="5:37">
      <c r="E720" s="28" t="s">
        <v>155</v>
      </c>
      <c r="F720" s="8" t="s">
        <v>205</v>
      </c>
      <c r="G720" s="9" t="s">
        <v>378</v>
      </c>
      <c r="H720" s="10">
        <v>179</v>
      </c>
      <c r="I720" s="9" t="s">
        <v>158</v>
      </c>
      <c r="J720" s="10">
        <v>179</v>
      </c>
      <c r="K720" s="10">
        <v>177.5</v>
      </c>
      <c r="L720" s="10">
        <v>135</v>
      </c>
      <c r="M720" s="10">
        <v>151</v>
      </c>
      <c r="N720" s="10">
        <v>127</v>
      </c>
      <c r="O720" s="10">
        <v>96</v>
      </c>
      <c r="P720" s="10">
        <v>117</v>
      </c>
      <c r="Q720" s="10">
        <v>19.600000000000001</v>
      </c>
      <c r="R720" s="10">
        <v>1844</v>
      </c>
      <c r="S720" s="10">
        <v>1.02</v>
      </c>
      <c r="T720" s="10">
        <v>1887</v>
      </c>
      <c r="U720" s="10">
        <v>241</v>
      </c>
      <c r="V720" s="10">
        <v>151</v>
      </c>
      <c r="W720" s="10">
        <v>53</v>
      </c>
      <c r="X720" s="10">
        <v>259</v>
      </c>
      <c r="Y720" s="10">
        <v>19</v>
      </c>
      <c r="Z720" s="10">
        <v>171</v>
      </c>
      <c r="AA720" s="10">
        <v>0.35799999999999998</v>
      </c>
      <c r="AB720" s="10">
        <v>165</v>
      </c>
      <c r="AC720" s="10">
        <v>103</v>
      </c>
      <c r="AD720" s="10">
        <v>94</v>
      </c>
      <c r="AE720" s="10">
        <v>9</v>
      </c>
      <c r="AF720" s="10">
        <v>11.1</v>
      </c>
      <c r="AG720" s="9" t="s">
        <v>188</v>
      </c>
      <c r="AH720" s="10"/>
      <c r="AI720" s="10"/>
      <c r="AJ720" s="10"/>
      <c r="AK720" s="30"/>
    </row>
    <row r="721" spans="5:37">
      <c r="E721" s="28" t="s">
        <v>155</v>
      </c>
      <c r="F721" s="8" t="s">
        <v>205</v>
      </c>
      <c r="G721" s="9" t="s">
        <v>515</v>
      </c>
      <c r="H721" s="10">
        <v>163</v>
      </c>
      <c r="I721" s="9" t="s">
        <v>163</v>
      </c>
      <c r="J721" s="10">
        <v>163</v>
      </c>
      <c r="K721" s="10">
        <v>161.6</v>
      </c>
      <c r="L721" s="10">
        <v>119</v>
      </c>
      <c r="M721" s="10">
        <v>134</v>
      </c>
      <c r="N721" s="10">
        <v>127</v>
      </c>
      <c r="O721" s="10">
        <v>96</v>
      </c>
      <c r="P721" s="10">
        <v>117</v>
      </c>
      <c r="Q721" s="10">
        <v>15.4</v>
      </c>
      <c r="R721" s="10">
        <v>1753</v>
      </c>
      <c r="S721" s="10">
        <v>0.98</v>
      </c>
      <c r="T721" s="10">
        <v>1719</v>
      </c>
      <c r="U721" s="10">
        <v>197</v>
      </c>
      <c r="V721" s="10">
        <v>122</v>
      </c>
      <c r="W721" s="10">
        <v>54</v>
      </c>
      <c r="X721" s="10">
        <v>252</v>
      </c>
      <c r="Y721" s="10">
        <v>20</v>
      </c>
      <c r="Z721" s="10">
        <v>170</v>
      </c>
      <c r="AA721" s="10">
        <v>0.377</v>
      </c>
      <c r="AB721" s="10">
        <v>168</v>
      </c>
      <c r="AC721" s="10">
        <v>108</v>
      </c>
      <c r="AD721" s="10">
        <v>84</v>
      </c>
      <c r="AE721" s="10">
        <v>5</v>
      </c>
      <c r="AF721" s="10">
        <v>10.4</v>
      </c>
      <c r="AG721" s="9" t="s">
        <v>188</v>
      </c>
      <c r="AH721" s="10"/>
      <c r="AI721" s="10"/>
      <c r="AJ721" s="10"/>
      <c r="AK721" s="30"/>
    </row>
    <row r="722" spans="5:37">
      <c r="E722" s="28" t="s">
        <v>155</v>
      </c>
      <c r="F722" s="8" t="s">
        <v>205</v>
      </c>
      <c r="G722" s="9" t="s">
        <v>691</v>
      </c>
      <c r="H722" s="10">
        <v>172</v>
      </c>
      <c r="I722" s="9" t="s">
        <v>158</v>
      </c>
      <c r="J722" s="10">
        <v>172</v>
      </c>
      <c r="K722" s="10">
        <v>170.3</v>
      </c>
      <c r="L722" s="10">
        <v>117</v>
      </c>
      <c r="M722" s="10">
        <v>139</v>
      </c>
      <c r="N722" s="10">
        <v>133</v>
      </c>
      <c r="O722" s="10">
        <v>106</v>
      </c>
      <c r="P722" s="10">
        <v>124</v>
      </c>
      <c r="Q722" s="10">
        <v>18.899999999999999</v>
      </c>
      <c r="R722" s="10">
        <v>1898</v>
      </c>
      <c r="S722" s="10">
        <v>1.03</v>
      </c>
      <c r="T722" s="10">
        <v>1959</v>
      </c>
      <c r="U722" s="10">
        <v>210</v>
      </c>
      <c r="V722" s="10">
        <v>136</v>
      </c>
      <c r="W722" s="10">
        <v>63</v>
      </c>
      <c r="X722" s="10">
        <v>325</v>
      </c>
      <c r="Y722" s="10">
        <v>22</v>
      </c>
      <c r="Z722" s="10">
        <v>212</v>
      </c>
      <c r="AA722" s="10">
        <v>0.35399999999999998</v>
      </c>
      <c r="AB722" s="10">
        <v>186</v>
      </c>
      <c r="AC722" s="10">
        <v>124</v>
      </c>
      <c r="AD722" s="10">
        <v>138</v>
      </c>
      <c r="AE722" s="10">
        <v>4</v>
      </c>
      <c r="AF722" s="10">
        <v>10.8</v>
      </c>
      <c r="AG722" s="9" t="s">
        <v>169</v>
      </c>
      <c r="AH722" s="9" t="s">
        <v>178</v>
      </c>
      <c r="AI722" s="10"/>
      <c r="AJ722" s="10"/>
      <c r="AK722" s="30"/>
    </row>
    <row r="723" spans="5:37">
      <c r="E723" s="28" t="s">
        <v>155</v>
      </c>
      <c r="F723" s="8" t="s">
        <v>205</v>
      </c>
      <c r="G723" s="9" t="s">
        <v>691</v>
      </c>
      <c r="H723" s="10">
        <v>180</v>
      </c>
      <c r="I723" s="9" t="s">
        <v>158</v>
      </c>
      <c r="J723" s="10">
        <v>180</v>
      </c>
      <c r="K723" s="10">
        <v>178.8</v>
      </c>
      <c r="L723" s="10">
        <v>130</v>
      </c>
      <c r="M723" s="10">
        <v>150</v>
      </c>
      <c r="N723" s="10">
        <v>134</v>
      </c>
      <c r="O723" s="10">
        <v>106</v>
      </c>
      <c r="P723" s="10">
        <v>123</v>
      </c>
      <c r="Q723" s="10">
        <v>21.1</v>
      </c>
      <c r="R723" s="10">
        <v>2041</v>
      </c>
      <c r="S723" s="10">
        <v>1.01</v>
      </c>
      <c r="T723" s="10">
        <v>2057</v>
      </c>
      <c r="U723" s="10">
        <v>234</v>
      </c>
      <c r="V723" s="10">
        <v>148</v>
      </c>
      <c r="W723" s="10">
        <v>56</v>
      </c>
      <c r="X723" s="10">
        <v>290</v>
      </c>
      <c r="Y723" s="10">
        <v>20</v>
      </c>
      <c r="Z723" s="10">
        <v>198</v>
      </c>
      <c r="AA723" s="10">
        <v>0.35199999999999998</v>
      </c>
      <c r="AB723" s="10">
        <v>182</v>
      </c>
      <c r="AC723" s="10">
        <v>110</v>
      </c>
      <c r="AD723" s="10">
        <v>108</v>
      </c>
      <c r="AE723" s="10">
        <v>7</v>
      </c>
      <c r="AF723" s="10">
        <v>11.1</v>
      </c>
      <c r="AG723" s="9" t="s">
        <v>169</v>
      </c>
      <c r="AH723" s="9" t="s">
        <v>178</v>
      </c>
      <c r="AI723" s="10"/>
      <c r="AJ723" s="10"/>
      <c r="AK723" s="30"/>
    </row>
    <row r="724" spans="5:37">
      <c r="E724" s="28" t="s">
        <v>155</v>
      </c>
      <c r="F724" s="8" t="s">
        <v>205</v>
      </c>
      <c r="G724" s="9" t="s">
        <v>347</v>
      </c>
      <c r="H724" s="10">
        <v>154</v>
      </c>
      <c r="I724" s="9" t="s">
        <v>158</v>
      </c>
      <c r="J724" s="10">
        <v>154</v>
      </c>
      <c r="K724" s="10">
        <v>152.30000000000001</v>
      </c>
      <c r="L724" s="10">
        <v>118</v>
      </c>
      <c r="M724" s="10">
        <v>128</v>
      </c>
      <c r="N724" s="10">
        <v>119</v>
      </c>
      <c r="O724" s="10">
        <v>85</v>
      </c>
      <c r="P724" s="10">
        <v>109</v>
      </c>
      <c r="Q724" s="10">
        <v>13.2</v>
      </c>
      <c r="R724" s="10">
        <v>1380</v>
      </c>
      <c r="S724" s="10">
        <v>1.07</v>
      </c>
      <c r="T724" s="10">
        <v>1471</v>
      </c>
      <c r="U724" s="10">
        <v>144</v>
      </c>
      <c r="V724" s="10">
        <v>66</v>
      </c>
      <c r="W724" s="10">
        <v>48</v>
      </c>
      <c r="X724" s="10">
        <v>211</v>
      </c>
      <c r="Y724" s="10">
        <v>18</v>
      </c>
      <c r="Z724" s="10">
        <v>132</v>
      </c>
      <c r="AA724" s="10">
        <v>0.38200000000000001</v>
      </c>
      <c r="AB724" s="10">
        <v>151</v>
      </c>
      <c r="AC724" s="10">
        <v>95</v>
      </c>
      <c r="AD724" s="10">
        <v>59</v>
      </c>
      <c r="AE724" s="10">
        <v>10</v>
      </c>
      <c r="AF724" s="10">
        <v>9.1</v>
      </c>
      <c r="AG724" s="9" t="s">
        <v>231</v>
      </c>
      <c r="AH724" s="9" t="s">
        <v>188</v>
      </c>
      <c r="AI724" s="9" t="s">
        <v>185</v>
      </c>
      <c r="AJ724" s="10"/>
      <c r="AK724" s="30"/>
    </row>
    <row r="725" spans="5:37">
      <c r="E725" s="28" t="s">
        <v>155</v>
      </c>
      <c r="F725" s="8" t="s">
        <v>205</v>
      </c>
      <c r="G725" s="9" t="s">
        <v>347</v>
      </c>
      <c r="H725" s="10">
        <v>162</v>
      </c>
      <c r="I725" s="9" t="s">
        <v>158</v>
      </c>
      <c r="J725" s="10">
        <v>162</v>
      </c>
      <c r="K725" s="10">
        <v>160.4</v>
      </c>
      <c r="L725" s="10">
        <v>125</v>
      </c>
      <c r="M725" s="10">
        <v>136</v>
      </c>
      <c r="N725" s="10">
        <v>119</v>
      </c>
      <c r="O725" s="10">
        <v>85</v>
      </c>
      <c r="P725" s="10">
        <v>109</v>
      </c>
      <c r="Q725" s="10">
        <v>14.9</v>
      </c>
      <c r="R725" s="10">
        <v>1438</v>
      </c>
      <c r="S725" s="10">
        <v>1.08</v>
      </c>
      <c r="T725" s="10">
        <v>1548</v>
      </c>
      <c r="U725" s="10">
        <v>156</v>
      </c>
      <c r="V725" s="10">
        <v>73</v>
      </c>
      <c r="W725" s="10">
        <v>52</v>
      </c>
      <c r="X725" s="10">
        <v>219</v>
      </c>
      <c r="Y725" s="10">
        <v>18</v>
      </c>
      <c r="Z725" s="10">
        <v>137</v>
      </c>
      <c r="AA725" s="10">
        <v>0.33700000000000002</v>
      </c>
      <c r="AB725" s="10">
        <v>152</v>
      </c>
      <c r="AC725" s="10">
        <v>96</v>
      </c>
      <c r="AD725" s="10">
        <v>67</v>
      </c>
      <c r="AE725" s="10">
        <v>9</v>
      </c>
      <c r="AF725" s="10">
        <v>9.5</v>
      </c>
      <c r="AG725" s="9" t="s">
        <v>231</v>
      </c>
      <c r="AH725" s="9" t="s">
        <v>188</v>
      </c>
      <c r="AI725" s="9" t="s">
        <v>185</v>
      </c>
      <c r="AJ725" s="10"/>
      <c r="AK725" s="30"/>
    </row>
    <row r="726" spans="5:37">
      <c r="E726" s="28" t="s">
        <v>155</v>
      </c>
      <c r="F726" s="8" t="s">
        <v>205</v>
      </c>
      <c r="G726" s="9" t="s">
        <v>347</v>
      </c>
      <c r="H726" s="10">
        <v>178</v>
      </c>
      <c r="I726" s="9" t="s">
        <v>158</v>
      </c>
      <c r="J726" s="10">
        <v>178</v>
      </c>
      <c r="K726" s="10">
        <v>176.5</v>
      </c>
      <c r="L726" s="10">
        <v>139</v>
      </c>
      <c r="M726" s="10">
        <v>151</v>
      </c>
      <c r="N726" s="10">
        <v>119</v>
      </c>
      <c r="O726" s="10">
        <v>85</v>
      </c>
      <c r="P726" s="10">
        <v>109</v>
      </c>
      <c r="Q726" s="10">
        <v>18.8</v>
      </c>
      <c r="R726" s="10">
        <v>1648</v>
      </c>
      <c r="S726" s="10">
        <v>1.03</v>
      </c>
      <c r="T726" s="10">
        <v>1703</v>
      </c>
      <c r="U726" s="10">
        <v>216</v>
      </c>
      <c r="V726" s="10">
        <v>96</v>
      </c>
      <c r="W726" s="10">
        <v>48</v>
      </c>
      <c r="X726" s="10">
        <v>226</v>
      </c>
      <c r="Y726" s="10">
        <v>17</v>
      </c>
      <c r="Z726" s="10">
        <v>146</v>
      </c>
      <c r="AA726" s="10">
        <v>0.34499999999999997</v>
      </c>
      <c r="AB726" s="10">
        <v>157</v>
      </c>
      <c r="AC726" s="10">
        <v>97</v>
      </c>
      <c r="AD726" s="10">
        <v>69</v>
      </c>
      <c r="AE726" s="10">
        <v>9</v>
      </c>
      <c r="AF726" s="10">
        <v>10.3</v>
      </c>
      <c r="AG726" s="9" t="s">
        <v>231</v>
      </c>
      <c r="AH726" s="9" t="s">
        <v>188</v>
      </c>
      <c r="AI726" s="10"/>
      <c r="AJ726" s="10"/>
      <c r="AK726" s="30"/>
    </row>
    <row r="727" spans="5:37">
      <c r="E727" s="28" t="s">
        <v>155</v>
      </c>
      <c r="F727" s="8" t="s">
        <v>205</v>
      </c>
      <c r="G727" s="9" t="s">
        <v>279</v>
      </c>
      <c r="H727" s="10">
        <v>171</v>
      </c>
      <c r="I727" s="9" t="s">
        <v>158</v>
      </c>
      <c r="J727" s="10">
        <v>171</v>
      </c>
      <c r="K727" s="10">
        <v>169.4</v>
      </c>
      <c r="L727" s="10">
        <v>127</v>
      </c>
      <c r="M727" s="10">
        <v>142</v>
      </c>
      <c r="N727" s="10">
        <v>126</v>
      </c>
      <c r="O727" s="10">
        <v>94</v>
      </c>
      <c r="P727" s="10">
        <v>116</v>
      </c>
      <c r="Q727" s="10">
        <v>17.399999999999999</v>
      </c>
      <c r="R727" s="10">
        <v>1721</v>
      </c>
      <c r="S727" s="10">
        <v>1.04</v>
      </c>
      <c r="T727" s="10">
        <v>1784</v>
      </c>
      <c r="U727" s="10">
        <v>205</v>
      </c>
      <c r="V727" s="10">
        <v>87</v>
      </c>
      <c r="W727" s="10">
        <v>49</v>
      </c>
      <c r="X727" s="10">
        <v>248</v>
      </c>
      <c r="Y727" s="10">
        <v>21</v>
      </c>
      <c r="Z727" s="10">
        <v>174</v>
      </c>
      <c r="AA727" s="10">
        <v>0.42399999999999999</v>
      </c>
      <c r="AB727" s="10">
        <v>172</v>
      </c>
      <c r="AC727" s="10">
        <v>107</v>
      </c>
      <c r="AD727" s="10">
        <v>76</v>
      </c>
      <c r="AE727" s="10">
        <v>9</v>
      </c>
      <c r="AF727" s="10">
        <v>10.9</v>
      </c>
      <c r="AG727" s="9" t="s">
        <v>188</v>
      </c>
      <c r="AH727" s="10"/>
      <c r="AI727" s="10"/>
      <c r="AJ727" s="10"/>
      <c r="AK727" s="30"/>
    </row>
    <row r="728" spans="5:37">
      <c r="E728" s="28" t="s">
        <v>155</v>
      </c>
      <c r="F728" s="8" t="s">
        <v>205</v>
      </c>
      <c r="G728" s="9" t="s">
        <v>279</v>
      </c>
      <c r="H728" s="10">
        <v>179</v>
      </c>
      <c r="I728" s="9" t="s">
        <v>158</v>
      </c>
      <c r="J728" s="10">
        <v>179</v>
      </c>
      <c r="K728" s="10">
        <v>177.6</v>
      </c>
      <c r="L728" s="10">
        <v>134</v>
      </c>
      <c r="M728" s="10">
        <v>150</v>
      </c>
      <c r="N728" s="10">
        <v>126</v>
      </c>
      <c r="O728" s="10">
        <v>95</v>
      </c>
      <c r="P728" s="10">
        <v>116</v>
      </c>
      <c r="Q728" s="10">
        <v>19.600000000000001</v>
      </c>
      <c r="R728" s="10">
        <v>1784</v>
      </c>
      <c r="S728" s="10">
        <v>1.05</v>
      </c>
      <c r="T728" s="10">
        <v>1869</v>
      </c>
      <c r="U728" s="10">
        <v>220</v>
      </c>
      <c r="V728" s="10">
        <v>98</v>
      </c>
      <c r="W728" s="10">
        <v>52</v>
      </c>
      <c r="X728" s="10">
        <v>269</v>
      </c>
      <c r="Y728" s="10">
        <v>19</v>
      </c>
      <c r="Z728" s="10">
        <v>171</v>
      </c>
      <c r="AA728" s="10">
        <v>0.36499999999999999</v>
      </c>
      <c r="AB728" s="10">
        <v>168</v>
      </c>
      <c r="AC728" s="10">
        <v>107</v>
      </c>
      <c r="AD728" s="10">
        <v>101</v>
      </c>
      <c r="AE728" s="10">
        <v>8</v>
      </c>
      <c r="AF728" s="10">
        <v>11.3</v>
      </c>
      <c r="AG728" s="9" t="s">
        <v>188</v>
      </c>
      <c r="AH728" s="10"/>
      <c r="AI728" s="10"/>
      <c r="AJ728" s="10"/>
      <c r="AK728" s="30"/>
    </row>
    <row r="729" spans="5:37">
      <c r="E729" s="28" t="s">
        <v>155</v>
      </c>
      <c r="F729" s="8" t="s">
        <v>205</v>
      </c>
      <c r="G729" s="9" t="s">
        <v>872</v>
      </c>
      <c r="H729" s="10">
        <v>178</v>
      </c>
      <c r="I729" s="9" t="s">
        <v>158</v>
      </c>
      <c r="J729" s="10">
        <v>178</v>
      </c>
      <c r="K729" s="10">
        <v>176.6</v>
      </c>
      <c r="L729" s="10">
        <v>8</v>
      </c>
      <c r="M729" s="10">
        <v>139</v>
      </c>
      <c r="N729" s="10">
        <v>147</v>
      </c>
      <c r="O729" s="10">
        <v>125</v>
      </c>
      <c r="P729" s="10">
        <v>138</v>
      </c>
      <c r="Q729" s="10">
        <v>24.8</v>
      </c>
      <c r="R729" s="10">
        <v>1739</v>
      </c>
      <c r="S729" s="10">
        <v>1.34</v>
      </c>
      <c r="T729" s="10">
        <v>2328</v>
      </c>
      <c r="U729" s="10">
        <v>213</v>
      </c>
      <c r="V729" s="10">
        <v>88</v>
      </c>
      <c r="W729" s="10">
        <v>68</v>
      </c>
      <c r="X729" s="10">
        <v>1012</v>
      </c>
      <c r="Y729" s="10">
        <v>30</v>
      </c>
      <c r="Z729" s="10">
        <v>676</v>
      </c>
      <c r="AA729" s="10">
        <v>0.44500000000000001</v>
      </c>
      <c r="AB729" s="10">
        <v>224</v>
      </c>
      <c r="AC729" s="10">
        <v>151</v>
      </c>
      <c r="AD729" s="10">
        <v>788</v>
      </c>
      <c r="AE729" s="10">
        <v>1</v>
      </c>
      <c r="AF729" s="10">
        <v>12.9</v>
      </c>
      <c r="AG729" s="9" t="s">
        <v>169</v>
      </c>
      <c r="AH729" s="9" t="s">
        <v>185</v>
      </c>
      <c r="AI729" s="9" t="s">
        <v>198</v>
      </c>
      <c r="AJ729" s="10"/>
      <c r="AK729" s="30"/>
    </row>
    <row r="730" spans="5:37">
      <c r="E730" s="28" t="s">
        <v>155</v>
      </c>
      <c r="F730" s="8" t="s">
        <v>205</v>
      </c>
      <c r="G730" s="9" t="s">
        <v>673</v>
      </c>
      <c r="H730" s="10">
        <v>150</v>
      </c>
      <c r="I730" s="9" t="s">
        <v>158</v>
      </c>
      <c r="J730" s="10">
        <v>150</v>
      </c>
      <c r="K730" s="10">
        <v>148.1</v>
      </c>
      <c r="L730" s="10">
        <v>102</v>
      </c>
      <c r="M730" s="10">
        <v>124</v>
      </c>
      <c r="N730" s="10">
        <v>116</v>
      </c>
      <c r="O730" s="10">
        <v>84</v>
      </c>
      <c r="P730" s="10">
        <v>108</v>
      </c>
      <c r="Q730" s="10">
        <v>11.9</v>
      </c>
      <c r="R730" s="10">
        <v>1453</v>
      </c>
      <c r="S730" s="10">
        <v>0.97</v>
      </c>
      <c r="T730" s="10">
        <v>1415</v>
      </c>
      <c r="U730" s="10">
        <v>123</v>
      </c>
      <c r="V730" s="10">
        <v>54</v>
      </c>
      <c r="W730" s="10">
        <v>50</v>
      </c>
      <c r="X730" s="10">
        <v>262</v>
      </c>
      <c r="Y730" s="10">
        <v>37</v>
      </c>
      <c r="Z730" s="10">
        <v>203</v>
      </c>
      <c r="AA730" s="10">
        <v>0.74299999999999999</v>
      </c>
      <c r="AB730" s="10">
        <v>131</v>
      </c>
      <c r="AC730" s="10">
        <v>112</v>
      </c>
      <c r="AD730" s="10">
        <v>130</v>
      </c>
      <c r="AE730" s="10">
        <v>5</v>
      </c>
      <c r="AF730" s="10">
        <v>5.7</v>
      </c>
      <c r="AG730" s="9" t="s">
        <v>188</v>
      </c>
      <c r="AH730" s="10"/>
      <c r="AI730" s="10"/>
      <c r="AJ730" s="10"/>
      <c r="AK730" s="30"/>
    </row>
    <row r="731" spans="5:37">
      <c r="E731" s="28" t="s">
        <v>155</v>
      </c>
      <c r="F731" s="8" t="s">
        <v>205</v>
      </c>
      <c r="G731" s="9" t="s">
        <v>673</v>
      </c>
      <c r="H731" s="10">
        <v>157</v>
      </c>
      <c r="I731" s="9" t="s">
        <v>158</v>
      </c>
      <c r="J731" s="10">
        <v>157</v>
      </c>
      <c r="K731" s="10">
        <v>155.19999999999999</v>
      </c>
      <c r="L731" s="10">
        <v>108</v>
      </c>
      <c r="M731" s="10">
        <v>130</v>
      </c>
      <c r="N731" s="10">
        <v>116</v>
      </c>
      <c r="O731" s="10">
        <v>84</v>
      </c>
      <c r="P731" s="10">
        <v>108</v>
      </c>
      <c r="Q731" s="10">
        <v>13.3</v>
      </c>
      <c r="R731" s="10">
        <v>1553</v>
      </c>
      <c r="S731" s="10">
        <v>0.95</v>
      </c>
      <c r="T731" s="10">
        <v>1480</v>
      </c>
      <c r="U731" s="10">
        <v>127</v>
      </c>
      <c r="V731" s="10">
        <v>59</v>
      </c>
      <c r="W731" s="10">
        <v>47</v>
      </c>
      <c r="X731" s="10">
        <v>262</v>
      </c>
      <c r="Y731" s="10">
        <v>36</v>
      </c>
      <c r="Z731" s="10">
        <v>208</v>
      </c>
      <c r="AA731" s="10">
        <v>0.76300000000000001</v>
      </c>
      <c r="AB731" s="10">
        <v>131</v>
      </c>
      <c r="AC731" s="10">
        <v>120</v>
      </c>
      <c r="AD731" s="10">
        <v>131</v>
      </c>
      <c r="AE731" s="10">
        <v>6</v>
      </c>
      <c r="AF731" s="10">
        <v>6.4</v>
      </c>
      <c r="AG731" s="9" t="s">
        <v>188</v>
      </c>
      <c r="AH731" s="10"/>
      <c r="AI731" s="10"/>
      <c r="AJ731" s="10"/>
      <c r="AK731" s="30"/>
    </row>
    <row r="732" spans="5:37">
      <c r="E732" s="28" t="s">
        <v>155</v>
      </c>
      <c r="F732" s="8" t="s">
        <v>205</v>
      </c>
      <c r="G732" s="9" t="s">
        <v>673</v>
      </c>
      <c r="H732" s="10">
        <v>164</v>
      </c>
      <c r="I732" s="9" t="s">
        <v>158</v>
      </c>
      <c r="J732" s="10">
        <v>164</v>
      </c>
      <c r="K732" s="10">
        <v>162.5</v>
      </c>
      <c r="L732" s="10">
        <v>112</v>
      </c>
      <c r="M732" s="10">
        <v>138</v>
      </c>
      <c r="N732" s="10">
        <v>117</v>
      </c>
      <c r="O732" s="10">
        <v>84</v>
      </c>
      <c r="P732" s="10">
        <v>109</v>
      </c>
      <c r="Q732" s="10">
        <v>14.7</v>
      </c>
      <c r="R732" s="10">
        <v>1659</v>
      </c>
      <c r="S732" s="10">
        <v>0.94</v>
      </c>
      <c r="T732" s="10">
        <v>1559</v>
      </c>
      <c r="U732" s="10">
        <v>152</v>
      </c>
      <c r="V732" s="10">
        <v>69</v>
      </c>
      <c r="W732" s="10">
        <v>49</v>
      </c>
      <c r="X732" s="10">
        <v>282</v>
      </c>
      <c r="Y732" s="10">
        <v>36</v>
      </c>
      <c r="Z732" s="10">
        <v>221</v>
      </c>
      <c r="AA732" s="10">
        <v>0.72799999999999998</v>
      </c>
      <c r="AB732" s="10">
        <v>136</v>
      </c>
      <c r="AC732" s="10">
        <v>114</v>
      </c>
      <c r="AD732" s="10">
        <v>146</v>
      </c>
      <c r="AE732" s="10">
        <v>5</v>
      </c>
      <c r="AF732" s="10">
        <v>6.9</v>
      </c>
      <c r="AG732" s="9" t="s">
        <v>188</v>
      </c>
      <c r="AH732" s="10"/>
      <c r="AI732" s="10"/>
      <c r="AJ732" s="10"/>
      <c r="AK732" s="30"/>
    </row>
    <row r="733" spans="5:37">
      <c r="E733" s="28" t="s">
        <v>155</v>
      </c>
      <c r="F733" s="8" t="s">
        <v>205</v>
      </c>
      <c r="G733" s="9" t="s">
        <v>673</v>
      </c>
      <c r="H733" s="10">
        <v>171</v>
      </c>
      <c r="I733" s="9" t="s">
        <v>158</v>
      </c>
      <c r="J733" s="10">
        <v>171</v>
      </c>
      <c r="K733" s="10">
        <v>169.5</v>
      </c>
      <c r="L733" s="10">
        <v>120</v>
      </c>
      <c r="M733" s="10">
        <v>143</v>
      </c>
      <c r="N733" s="10">
        <v>116</v>
      </c>
      <c r="O733" s="10">
        <v>84</v>
      </c>
      <c r="P733" s="10">
        <v>108</v>
      </c>
      <c r="Q733" s="10">
        <v>16.399999999999999</v>
      </c>
      <c r="R733" s="10">
        <v>1766</v>
      </c>
      <c r="S733" s="10">
        <v>0.91</v>
      </c>
      <c r="T733" s="10">
        <v>1614</v>
      </c>
      <c r="U733" s="10">
        <v>176</v>
      </c>
      <c r="V733" s="10">
        <v>81</v>
      </c>
      <c r="W733" s="10">
        <v>47</v>
      </c>
      <c r="X733" s="10">
        <v>281</v>
      </c>
      <c r="Y733" s="10">
        <v>35</v>
      </c>
      <c r="Z733" s="10">
        <v>209</v>
      </c>
      <c r="AA733" s="10">
        <v>0.745</v>
      </c>
      <c r="AB733" s="10">
        <v>145</v>
      </c>
      <c r="AC733" s="10">
        <v>118</v>
      </c>
      <c r="AD733" s="10">
        <v>136</v>
      </c>
      <c r="AE733" s="10">
        <v>9</v>
      </c>
      <c r="AF733" s="10">
        <v>6.9</v>
      </c>
      <c r="AG733" s="9" t="s">
        <v>188</v>
      </c>
      <c r="AH733" s="10"/>
      <c r="AI733" s="10"/>
      <c r="AJ733" s="10"/>
      <c r="AK733" s="30"/>
    </row>
    <row r="734" spans="5:37">
      <c r="E734" s="28" t="s">
        <v>155</v>
      </c>
      <c r="F734" s="8" t="s">
        <v>205</v>
      </c>
      <c r="G734" s="9" t="s">
        <v>857</v>
      </c>
      <c r="H734" s="10">
        <v>150</v>
      </c>
      <c r="I734" s="9" t="s">
        <v>163</v>
      </c>
      <c r="J734" s="10">
        <v>150</v>
      </c>
      <c r="K734" s="10">
        <v>148</v>
      </c>
      <c r="L734" s="10">
        <v>104</v>
      </c>
      <c r="M734" s="10">
        <v>122</v>
      </c>
      <c r="N734" s="10">
        <v>116</v>
      </c>
      <c r="O734" s="10">
        <v>84</v>
      </c>
      <c r="P734" s="10">
        <v>108</v>
      </c>
      <c r="Q734" s="10">
        <v>11.9</v>
      </c>
      <c r="R734" s="10">
        <v>1451</v>
      </c>
      <c r="S734" s="10">
        <v>0.98</v>
      </c>
      <c r="T734" s="10">
        <v>1416</v>
      </c>
      <c r="U734" s="10">
        <v>124</v>
      </c>
      <c r="V734" s="10">
        <v>51</v>
      </c>
      <c r="W734" s="10">
        <v>46</v>
      </c>
      <c r="X734" s="10">
        <v>243</v>
      </c>
      <c r="Y734" s="10">
        <v>38</v>
      </c>
      <c r="Z734" s="10">
        <v>194</v>
      </c>
      <c r="AA734" s="10">
        <v>0.81399999999999995</v>
      </c>
      <c r="AB734" s="10">
        <v>135</v>
      </c>
      <c r="AC734" s="10">
        <v>122</v>
      </c>
      <c r="AD734" s="10">
        <v>108</v>
      </c>
      <c r="AE734" s="10">
        <v>8</v>
      </c>
      <c r="AF734" s="10">
        <v>6.4</v>
      </c>
      <c r="AG734" s="9" t="s">
        <v>188</v>
      </c>
      <c r="AH734" s="9" t="s">
        <v>184</v>
      </c>
      <c r="AI734" s="10"/>
      <c r="AJ734" s="10"/>
      <c r="AK734" s="30"/>
    </row>
    <row r="735" spans="5:37">
      <c r="E735" s="28" t="s">
        <v>155</v>
      </c>
      <c r="F735" s="8" t="s">
        <v>205</v>
      </c>
      <c r="G735" s="9" t="s">
        <v>535</v>
      </c>
      <c r="H735" s="10">
        <v>164</v>
      </c>
      <c r="I735" s="9" t="s">
        <v>158</v>
      </c>
      <c r="J735" s="10">
        <v>164</v>
      </c>
      <c r="K735" s="10">
        <v>161.9</v>
      </c>
      <c r="L735" s="10">
        <v>117</v>
      </c>
      <c r="M735" s="10">
        <v>136</v>
      </c>
      <c r="N735" s="10">
        <v>119</v>
      </c>
      <c r="O735" s="10">
        <v>87</v>
      </c>
      <c r="P735" s="10">
        <v>112</v>
      </c>
      <c r="Q735" s="10">
        <v>14.6</v>
      </c>
      <c r="R735" s="10">
        <v>1587</v>
      </c>
      <c r="S735" s="10">
        <v>1.01</v>
      </c>
      <c r="T735" s="10">
        <v>1604</v>
      </c>
      <c r="U735" s="10">
        <v>170</v>
      </c>
      <c r="V735" s="10">
        <v>70</v>
      </c>
      <c r="W735" s="10">
        <v>53</v>
      </c>
      <c r="X735" s="10">
        <v>265</v>
      </c>
      <c r="Y735" s="10">
        <v>38</v>
      </c>
      <c r="Z735" s="10">
        <v>188</v>
      </c>
      <c r="AA735" s="10">
        <v>0.70499999999999996</v>
      </c>
      <c r="AB735" s="10">
        <v>134</v>
      </c>
      <c r="AC735" s="10">
        <v>126</v>
      </c>
      <c r="AD735" s="10">
        <v>131</v>
      </c>
      <c r="AE735" s="10">
        <v>9</v>
      </c>
      <c r="AF735" s="10">
        <v>6.5</v>
      </c>
      <c r="AG735" s="9" t="s">
        <v>188</v>
      </c>
      <c r="AH735" s="10"/>
      <c r="AI735" s="10"/>
      <c r="AJ735" s="10"/>
      <c r="AK735" s="30"/>
    </row>
    <row r="736" spans="5:37">
      <c r="E736" s="28" t="s">
        <v>155</v>
      </c>
      <c r="F736" s="8" t="s">
        <v>205</v>
      </c>
      <c r="G736" s="9" t="s">
        <v>535</v>
      </c>
      <c r="H736" s="10">
        <v>171</v>
      </c>
      <c r="I736" s="9" t="s">
        <v>158</v>
      </c>
      <c r="J736" s="10">
        <v>171</v>
      </c>
      <c r="K736" s="10">
        <v>169.3</v>
      </c>
      <c r="L736" s="10">
        <v>121</v>
      </c>
      <c r="M736" s="10">
        <v>142</v>
      </c>
      <c r="N736" s="10">
        <v>120</v>
      </c>
      <c r="O736" s="10">
        <v>87</v>
      </c>
      <c r="P736" s="10">
        <v>112</v>
      </c>
      <c r="Q736" s="10">
        <v>16.3</v>
      </c>
      <c r="R736" s="10">
        <v>1794</v>
      </c>
      <c r="S736" s="10">
        <v>0.93</v>
      </c>
      <c r="T736" s="10">
        <v>1674</v>
      </c>
      <c r="U736" s="10">
        <v>185</v>
      </c>
      <c r="V736" s="10">
        <v>87</v>
      </c>
      <c r="W736" s="10">
        <v>53</v>
      </c>
      <c r="X736" s="10">
        <v>277</v>
      </c>
      <c r="Y736" s="10">
        <v>38</v>
      </c>
      <c r="Z736" s="10">
        <v>203</v>
      </c>
      <c r="AA736" s="10">
        <v>0.72599999999999998</v>
      </c>
      <c r="AB736" s="10">
        <v>147</v>
      </c>
      <c r="AC736" s="10">
        <v>122</v>
      </c>
      <c r="AD736" s="10">
        <v>129</v>
      </c>
      <c r="AE736" s="10">
        <v>7</v>
      </c>
      <c r="AF736" s="10">
        <v>7.1</v>
      </c>
      <c r="AG736" s="9" t="s">
        <v>188</v>
      </c>
      <c r="AH736" s="10"/>
      <c r="AI736" s="10"/>
      <c r="AJ736" s="10"/>
      <c r="AK736" s="30"/>
    </row>
    <row r="737" spans="5:37">
      <c r="E737" s="28" t="s">
        <v>155</v>
      </c>
      <c r="F737" s="8" t="s">
        <v>205</v>
      </c>
      <c r="G737" s="9" t="s">
        <v>535</v>
      </c>
      <c r="H737" s="10">
        <v>178</v>
      </c>
      <c r="I737" s="9" t="s">
        <v>158</v>
      </c>
      <c r="J737" s="10">
        <v>178</v>
      </c>
      <c r="K737" s="10">
        <v>176.4</v>
      </c>
      <c r="L737" s="10">
        <v>135</v>
      </c>
      <c r="M737" s="10">
        <v>149</v>
      </c>
      <c r="N737" s="10">
        <v>120</v>
      </c>
      <c r="O737" s="10">
        <v>88</v>
      </c>
      <c r="P737" s="10">
        <v>112</v>
      </c>
      <c r="Q737" s="10">
        <v>17.899999999999999</v>
      </c>
      <c r="R737" s="10">
        <v>1894</v>
      </c>
      <c r="S737" s="10">
        <v>0.92</v>
      </c>
      <c r="T737" s="10">
        <v>1751</v>
      </c>
      <c r="U737" s="10">
        <v>201</v>
      </c>
      <c r="V737" s="10">
        <v>88</v>
      </c>
      <c r="W737" s="10">
        <v>43</v>
      </c>
      <c r="X737" s="10">
        <v>223</v>
      </c>
      <c r="Y737" s="10">
        <v>36</v>
      </c>
      <c r="Z737" s="10">
        <v>187</v>
      </c>
      <c r="AA737" s="10">
        <v>0.83599999999999997</v>
      </c>
      <c r="AB737" s="10">
        <v>145</v>
      </c>
      <c r="AC737" s="10">
        <v>124</v>
      </c>
      <c r="AD737" s="10">
        <v>78</v>
      </c>
      <c r="AE737" s="10">
        <v>14</v>
      </c>
      <c r="AF737" s="10">
        <v>7.7</v>
      </c>
      <c r="AG737" s="9" t="s">
        <v>188</v>
      </c>
      <c r="AH737" s="9" t="s">
        <v>184</v>
      </c>
      <c r="AI737" s="10"/>
      <c r="AJ737" s="10"/>
      <c r="AK737" s="30"/>
    </row>
    <row r="738" spans="5:37">
      <c r="E738" s="28" t="s">
        <v>155</v>
      </c>
      <c r="F738" s="8" t="s">
        <v>205</v>
      </c>
      <c r="G738" s="9" t="s">
        <v>880</v>
      </c>
      <c r="H738" s="10">
        <v>145</v>
      </c>
      <c r="I738" s="9" t="s">
        <v>385</v>
      </c>
      <c r="J738" s="10">
        <v>145</v>
      </c>
      <c r="K738" s="10">
        <v>143.69999999999999</v>
      </c>
      <c r="L738" s="10">
        <v>103</v>
      </c>
      <c r="M738" s="10">
        <v>120</v>
      </c>
      <c r="N738" s="10">
        <v>114</v>
      </c>
      <c r="O738" s="10">
        <v>83</v>
      </c>
      <c r="P738" s="10">
        <v>110</v>
      </c>
      <c r="Q738" s="10">
        <v>11.8</v>
      </c>
      <c r="R738" s="10">
        <v>1178</v>
      </c>
      <c r="S738" s="10">
        <v>1.1499999999999999</v>
      </c>
      <c r="T738" s="10">
        <v>1358</v>
      </c>
      <c r="U738" s="10">
        <v>104</v>
      </c>
      <c r="V738" s="10">
        <v>36</v>
      </c>
      <c r="W738" s="10">
        <v>43</v>
      </c>
      <c r="X738" s="10">
        <v>208</v>
      </c>
      <c r="Y738" s="10">
        <v>38</v>
      </c>
      <c r="Z738" s="10">
        <v>201</v>
      </c>
      <c r="AA738" s="10">
        <v>0.88400000000000001</v>
      </c>
      <c r="AB738" s="10">
        <v>122</v>
      </c>
      <c r="AC738" s="10">
        <v>112</v>
      </c>
      <c r="AD738" s="10">
        <v>86</v>
      </c>
      <c r="AE738" s="10">
        <v>8</v>
      </c>
      <c r="AF738" s="10">
        <v>3</v>
      </c>
      <c r="AG738" s="9" t="s">
        <v>184</v>
      </c>
      <c r="AH738" s="9" t="s">
        <v>185</v>
      </c>
      <c r="AI738" s="10"/>
      <c r="AJ738" s="10"/>
      <c r="AK738" s="30"/>
    </row>
    <row r="739" spans="5:37">
      <c r="E739" s="28" t="s">
        <v>155</v>
      </c>
      <c r="F739" s="8" t="s">
        <v>205</v>
      </c>
      <c r="G739" s="9" t="s">
        <v>880</v>
      </c>
      <c r="H739" s="10">
        <v>155</v>
      </c>
      <c r="I739" s="9" t="s">
        <v>385</v>
      </c>
      <c r="J739" s="10">
        <v>155</v>
      </c>
      <c r="K739" s="10">
        <v>153.4</v>
      </c>
      <c r="L739" s="10">
        <v>108</v>
      </c>
      <c r="M739" s="10">
        <v>130</v>
      </c>
      <c r="N739" s="10">
        <v>114</v>
      </c>
      <c r="O739" s="10">
        <v>83</v>
      </c>
      <c r="P739" s="10">
        <v>110</v>
      </c>
      <c r="Q739" s="10">
        <v>14</v>
      </c>
      <c r="R739" s="10">
        <v>1307</v>
      </c>
      <c r="S739" s="10">
        <v>1.1100000000000001</v>
      </c>
      <c r="T739" s="10">
        <v>1448</v>
      </c>
      <c r="U739" s="10">
        <v>132</v>
      </c>
      <c r="V739" s="10">
        <v>45</v>
      </c>
      <c r="W739" s="10">
        <v>46</v>
      </c>
      <c r="X739" s="10">
        <v>229</v>
      </c>
      <c r="Y739" s="10">
        <v>44</v>
      </c>
      <c r="Z739" s="10">
        <v>220</v>
      </c>
      <c r="AA739" s="10">
        <v>0.95099999999999996</v>
      </c>
      <c r="AB739" s="10">
        <v>118</v>
      </c>
      <c r="AC739" s="10">
        <v>113</v>
      </c>
      <c r="AD739" s="10">
        <v>111</v>
      </c>
      <c r="AE739" s="10">
        <v>6</v>
      </c>
      <c r="AF739" s="10">
        <v>3.2</v>
      </c>
      <c r="AG739" s="9" t="s">
        <v>184</v>
      </c>
      <c r="AH739" s="9" t="s">
        <v>185</v>
      </c>
      <c r="AI739" s="10"/>
      <c r="AJ739" s="10"/>
      <c r="AK739" s="30"/>
    </row>
    <row r="740" spans="5:37">
      <c r="E740" s="28" t="s">
        <v>155</v>
      </c>
      <c r="F740" s="8" t="s">
        <v>205</v>
      </c>
      <c r="G740" s="9" t="s">
        <v>664</v>
      </c>
      <c r="H740" s="10">
        <v>158</v>
      </c>
      <c r="I740" s="9" t="s">
        <v>163</v>
      </c>
      <c r="J740" s="10">
        <v>158</v>
      </c>
      <c r="K740" s="10">
        <v>155.9</v>
      </c>
      <c r="L740" s="10">
        <v>111</v>
      </c>
      <c r="M740" s="10">
        <v>129</v>
      </c>
      <c r="N740" s="10">
        <v>119</v>
      </c>
      <c r="O740" s="10">
        <v>87</v>
      </c>
      <c r="P740" s="10">
        <v>112</v>
      </c>
      <c r="Q740" s="10">
        <v>13</v>
      </c>
      <c r="R740" s="10">
        <v>1577</v>
      </c>
      <c r="S740" s="10">
        <v>0.98</v>
      </c>
      <c r="T740" s="10">
        <v>1544</v>
      </c>
      <c r="U740" s="10">
        <v>159</v>
      </c>
      <c r="V740" s="10">
        <v>79</v>
      </c>
      <c r="W740" s="10">
        <v>53</v>
      </c>
      <c r="X740" s="10">
        <v>259</v>
      </c>
      <c r="Y740" s="10">
        <v>39</v>
      </c>
      <c r="Z740" s="10">
        <v>195</v>
      </c>
      <c r="AA740" s="10">
        <v>0.73399999999999999</v>
      </c>
      <c r="AB740" s="10">
        <v>145</v>
      </c>
      <c r="AC740" s="10">
        <v>121</v>
      </c>
      <c r="AD740" s="10">
        <v>113</v>
      </c>
      <c r="AE740" s="10">
        <v>6</v>
      </c>
      <c r="AF740" s="10">
        <v>6.8</v>
      </c>
      <c r="AG740" s="9" t="s">
        <v>188</v>
      </c>
      <c r="AH740" s="10"/>
      <c r="AI740" s="10"/>
      <c r="AJ740" s="10"/>
      <c r="AK740" s="30"/>
    </row>
    <row r="741" spans="5:37">
      <c r="E741" s="28" t="s">
        <v>155</v>
      </c>
      <c r="F741" s="8" t="s">
        <v>205</v>
      </c>
      <c r="G741" s="9" t="s">
        <v>664</v>
      </c>
      <c r="H741" s="10">
        <v>164</v>
      </c>
      <c r="I741" s="9" t="s">
        <v>163</v>
      </c>
      <c r="J741" s="10">
        <v>164</v>
      </c>
      <c r="K741" s="10">
        <v>162.1</v>
      </c>
      <c r="L741" s="10">
        <v>118</v>
      </c>
      <c r="M741" s="10">
        <v>135</v>
      </c>
      <c r="N741" s="10">
        <v>119</v>
      </c>
      <c r="O741" s="10">
        <v>87</v>
      </c>
      <c r="P741" s="10">
        <v>111</v>
      </c>
      <c r="Q741" s="10">
        <v>14.7</v>
      </c>
      <c r="R741" s="10">
        <v>1614</v>
      </c>
      <c r="S741" s="10">
        <v>0.99</v>
      </c>
      <c r="T741" s="10">
        <v>1604</v>
      </c>
      <c r="U741" s="10">
        <v>153</v>
      </c>
      <c r="V741" s="10">
        <v>61</v>
      </c>
      <c r="W741" s="10">
        <v>53</v>
      </c>
      <c r="X741" s="10">
        <v>259</v>
      </c>
      <c r="Y741" s="10">
        <v>37</v>
      </c>
      <c r="Z741" s="10">
        <v>179</v>
      </c>
      <c r="AA741" s="10">
        <v>0.69699999999999995</v>
      </c>
      <c r="AB741" s="10">
        <v>143</v>
      </c>
      <c r="AC741" s="10">
        <v>129</v>
      </c>
      <c r="AD741" s="10">
        <v>117</v>
      </c>
      <c r="AE741" s="10">
        <v>9</v>
      </c>
      <c r="AF741" s="10">
        <v>7.2</v>
      </c>
      <c r="AG741" s="9" t="s">
        <v>188</v>
      </c>
      <c r="AH741" s="10"/>
      <c r="AI741" s="10"/>
      <c r="AJ741" s="10"/>
      <c r="AK741" s="30"/>
    </row>
    <row r="742" spans="5:37">
      <c r="E742" s="28" t="s">
        <v>155</v>
      </c>
      <c r="F742" s="8" t="s">
        <v>205</v>
      </c>
      <c r="G742" s="9" t="s">
        <v>308</v>
      </c>
      <c r="H742" s="10">
        <v>171</v>
      </c>
      <c r="I742" s="9" t="s">
        <v>158</v>
      </c>
      <c r="J742" s="10">
        <v>171</v>
      </c>
      <c r="K742" s="10">
        <v>169.3</v>
      </c>
      <c r="L742" s="10">
        <v>114</v>
      </c>
      <c r="M742" s="10">
        <v>139</v>
      </c>
      <c r="N742" s="10">
        <v>126</v>
      </c>
      <c r="O742" s="10">
        <v>97</v>
      </c>
      <c r="P742" s="10">
        <v>119</v>
      </c>
      <c r="Q742" s="10">
        <v>17.3</v>
      </c>
      <c r="R742" s="10">
        <v>1904</v>
      </c>
      <c r="S742" s="10">
        <v>0.96</v>
      </c>
      <c r="T742" s="10">
        <v>1824</v>
      </c>
      <c r="U742" s="10">
        <v>200</v>
      </c>
      <c r="V742" s="10">
        <v>90</v>
      </c>
      <c r="W742" s="10">
        <v>52</v>
      </c>
      <c r="X742" s="10">
        <v>304</v>
      </c>
      <c r="Y742" s="10">
        <v>43</v>
      </c>
      <c r="Z742" s="10">
        <v>250</v>
      </c>
      <c r="AA742" s="10">
        <v>0.83099999999999996</v>
      </c>
      <c r="AB742" s="10">
        <v>162</v>
      </c>
      <c r="AC742" s="10">
        <v>144</v>
      </c>
      <c r="AD742" s="10">
        <v>142</v>
      </c>
      <c r="AE742" s="10">
        <v>5</v>
      </c>
      <c r="AF742" s="10">
        <v>8.1</v>
      </c>
      <c r="AG742" s="9" t="s">
        <v>188</v>
      </c>
      <c r="AH742" s="9" t="s">
        <v>184</v>
      </c>
      <c r="AI742" s="10"/>
      <c r="AJ742" s="10"/>
      <c r="AK742" s="30"/>
    </row>
    <row r="743" spans="5:37">
      <c r="E743" s="28" t="s">
        <v>155</v>
      </c>
      <c r="F743" s="8" t="s">
        <v>205</v>
      </c>
      <c r="G743" s="9" t="s">
        <v>308</v>
      </c>
      <c r="H743" s="10">
        <v>177</v>
      </c>
      <c r="I743" s="9" t="s">
        <v>158</v>
      </c>
      <c r="J743" s="10">
        <v>177</v>
      </c>
      <c r="K743" s="10">
        <v>175.3</v>
      </c>
      <c r="L743" s="10">
        <v>126</v>
      </c>
      <c r="M743" s="10">
        <v>145</v>
      </c>
      <c r="N743" s="10">
        <v>127</v>
      </c>
      <c r="O743" s="10">
        <v>97</v>
      </c>
      <c r="P743" s="10">
        <v>119</v>
      </c>
      <c r="Q743" s="10">
        <v>18.7</v>
      </c>
      <c r="R743" s="10">
        <v>1891</v>
      </c>
      <c r="S743" s="10">
        <v>1</v>
      </c>
      <c r="T743" s="10">
        <v>1887</v>
      </c>
      <c r="U743" s="10">
        <v>219</v>
      </c>
      <c r="V743" s="10">
        <v>99</v>
      </c>
      <c r="W743" s="10">
        <v>51</v>
      </c>
      <c r="X743" s="10">
        <v>272</v>
      </c>
      <c r="Y743" s="10">
        <v>43</v>
      </c>
      <c r="Z743" s="10">
        <v>225</v>
      </c>
      <c r="AA743" s="10">
        <v>0.82899999999999996</v>
      </c>
      <c r="AB743" s="10">
        <v>167</v>
      </c>
      <c r="AC743" s="10">
        <v>138</v>
      </c>
      <c r="AD743" s="10">
        <v>105</v>
      </c>
      <c r="AE743" s="10">
        <v>8</v>
      </c>
      <c r="AF743" s="10">
        <v>7.6</v>
      </c>
      <c r="AG743" s="9" t="s">
        <v>188</v>
      </c>
      <c r="AH743" s="9" t="s">
        <v>184</v>
      </c>
      <c r="AI743" s="10"/>
      <c r="AJ743" s="10"/>
      <c r="AK743" s="30"/>
    </row>
    <row r="744" spans="5:37">
      <c r="E744" s="28" t="s">
        <v>155</v>
      </c>
      <c r="F744" s="8" t="s">
        <v>205</v>
      </c>
      <c r="G744" s="9" t="s">
        <v>308</v>
      </c>
      <c r="H744" s="10">
        <v>183</v>
      </c>
      <c r="I744" s="9" t="s">
        <v>158</v>
      </c>
      <c r="J744" s="10">
        <v>183</v>
      </c>
      <c r="K744" s="10">
        <v>181.4</v>
      </c>
      <c r="L744" s="10">
        <v>128</v>
      </c>
      <c r="M744" s="10">
        <v>150</v>
      </c>
      <c r="N744" s="10">
        <v>127</v>
      </c>
      <c r="O744" s="10">
        <v>97</v>
      </c>
      <c r="P744" s="10">
        <v>119</v>
      </c>
      <c r="Q744" s="10">
        <v>20.100000000000001</v>
      </c>
      <c r="R744" s="10">
        <v>2125</v>
      </c>
      <c r="S744" s="10">
        <v>0.92</v>
      </c>
      <c r="T744" s="10">
        <v>1955</v>
      </c>
      <c r="U744" s="10">
        <v>253</v>
      </c>
      <c r="V744" s="10">
        <v>118</v>
      </c>
      <c r="W744" s="10">
        <v>51</v>
      </c>
      <c r="X744" s="10">
        <v>282</v>
      </c>
      <c r="Y744" s="10">
        <v>45</v>
      </c>
      <c r="Z744" s="10">
        <v>254</v>
      </c>
      <c r="AA744" s="10">
        <v>0.88900000000000001</v>
      </c>
      <c r="AB744" s="10">
        <v>169</v>
      </c>
      <c r="AC744" s="10">
        <v>146</v>
      </c>
      <c r="AD744" s="10">
        <v>113</v>
      </c>
      <c r="AE744" s="10">
        <v>6</v>
      </c>
      <c r="AF744" s="10">
        <v>8.4</v>
      </c>
      <c r="AG744" s="9" t="s">
        <v>184</v>
      </c>
      <c r="AH744" s="10"/>
      <c r="AI744" s="10"/>
      <c r="AJ744" s="10"/>
      <c r="AK744" s="30"/>
    </row>
    <row r="745" spans="5:37">
      <c r="E745" s="28" t="s">
        <v>155</v>
      </c>
      <c r="F745" s="8" t="s">
        <v>205</v>
      </c>
      <c r="G745" s="9" t="s">
        <v>859</v>
      </c>
      <c r="H745" s="10">
        <v>149</v>
      </c>
      <c r="I745" s="9" t="s">
        <v>385</v>
      </c>
      <c r="J745" s="10">
        <v>149</v>
      </c>
      <c r="K745" s="10">
        <v>147.30000000000001</v>
      </c>
      <c r="L745" s="10">
        <v>104</v>
      </c>
      <c r="M745" s="10">
        <v>123</v>
      </c>
      <c r="N745" s="10">
        <v>126</v>
      </c>
      <c r="O745" s="10">
        <v>95</v>
      </c>
      <c r="P745" s="10">
        <v>122</v>
      </c>
      <c r="Q745" s="10">
        <v>11.8</v>
      </c>
      <c r="R745" s="10">
        <v>1277</v>
      </c>
      <c r="S745" s="10">
        <v>1.23</v>
      </c>
      <c r="T745" s="10">
        <v>1567</v>
      </c>
      <c r="U745" s="10">
        <v>105</v>
      </c>
      <c r="V745" s="10">
        <v>37</v>
      </c>
      <c r="W745" s="10">
        <v>51</v>
      </c>
      <c r="X745" s="10">
        <v>221</v>
      </c>
      <c r="Y745" s="10">
        <v>44</v>
      </c>
      <c r="Z745" s="10">
        <v>208</v>
      </c>
      <c r="AA745" s="10">
        <v>0.86299999999999999</v>
      </c>
      <c r="AB745" s="10">
        <v>124</v>
      </c>
      <c r="AC745" s="10">
        <v>119</v>
      </c>
      <c r="AD745" s="10">
        <v>97</v>
      </c>
      <c r="AE745" s="10">
        <v>7</v>
      </c>
      <c r="AF745" s="10">
        <v>3</v>
      </c>
      <c r="AG745" s="9" t="s">
        <v>184</v>
      </c>
      <c r="AH745" s="9" t="s">
        <v>185</v>
      </c>
      <c r="AI745" s="10"/>
      <c r="AJ745" s="10"/>
      <c r="AK745" s="30"/>
    </row>
    <row r="746" spans="5:37">
      <c r="E746" s="28" t="s">
        <v>155</v>
      </c>
      <c r="F746" s="8" t="s">
        <v>205</v>
      </c>
      <c r="G746" s="9" t="s">
        <v>859</v>
      </c>
      <c r="H746" s="10">
        <v>159</v>
      </c>
      <c r="I746" s="9" t="s">
        <v>385</v>
      </c>
      <c r="J746" s="10">
        <v>159</v>
      </c>
      <c r="K746" s="10">
        <v>157.1</v>
      </c>
      <c r="L746" s="10">
        <v>113</v>
      </c>
      <c r="M746" s="10">
        <v>133</v>
      </c>
      <c r="N746" s="10">
        <v>128</v>
      </c>
      <c r="O746" s="10">
        <v>97</v>
      </c>
      <c r="P746" s="10">
        <v>124</v>
      </c>
      <c r="Q746" s="10">
        <v>13.9</v>
      </c>
      <c r="R746" s="10">
        <v>1460</v>
      </c>
      <c r="S746" s="10">
        <v>1.1599999999999999</v>
      </c>
      <c r="T746" s="10">
        <v>1699</v>
      </c>
      <c r="U746" s="10">
        <v>131</v>
      </c>
      <c r="V746" s="10">
        <v>45</v>
      </c>
      <c r="W746" s="10">
        <v>52</v>
      </c>
      <c r="X746" s="10">
        <v>227</v>
      </c>
      <c r="Y746" s="10">
        <v>45</v>
      </c>
      <c r="Z746" s="10">
        <v>211</v>
      </c>
      <c r="AA746" s="10">
        <v>0.874</v>
      </c>
      <c r="AB746" s="10">
        <v>128</v>
      </c>
      <c r="AC746" s="10">
        <v>113</v>
      </c>
      <c r="AD746" s="10">
        <v>99</v>
      </c>
      <c r="AE746" s="10">
        <v>8</v>
      </c>
      <c r="AF746" s="10">
        <v>3.4</v>
      </c>
      <c r="AG746" s="9" t="s">
        <v>184</v>
      </c>
      <c r="AH746" s="9" t="s">
        <v>185</v>
      </c>
      <c r="AI746" s="10"/>
      <c r="AJ746" s="10"/>
      <c r="AK746" s="30"/>
    </row>
    <row r="747" spans="5:37">
      <c r="E747" s="28" t="s">
        <v>155</v>
      </c>
      <c r="F747" s="8" t="s">
        <v>205</v>
      </c>
      <c r="G747" s="9" t="s">
        <v>225</v>
      </c>
      <c r="H747" s="10">
        <v>172</v>
      </c>
      <c r="I747" s="9" t="s">
        <v>158</v>
      </c>
      <c r="J747" s="10">
        <v>172</v>
      </c>
      <c r="K747" s="10">
        <v>170.5</v>
      </c>
      <c r="L747" s="10">
        <v>118</v>
      </c>
      <c r="M747" s="10">
        <v>138</v>
      </c>
      <c r="N747" s="10">
        <v>132</v>
      </c>
      <c r="O747" s="10">
        <v>105</v>
      </c>
      <c r="P747" s="10">
        <v>125</v>
      </c>
      <c r="Q747" s="10">
        <v>17.8</v>
      </c>
      <c r="R747" s="10">
        <v>1914</v>
      </c>
      <c r="S747" s="10">
        <v>1.02</v>
      </c>
      <c r="T747" s="10">
        <v>1960</v>
      </c>
      <c r="U747" s="10">
        <v>152</v>
      </c>
      <c r="V747" s="10">
        <v>80</v>
      </c>
      <c r="W747" s="10">
        <v>51</v>
      </c>
      <c r="X747" s="10">
        <v>289</v>
      </c>
      <c r="Y747" s="10">
        <v>43</v>
      </c>
      <c r="Z747" s="10">
        <v>237</v>
      </c>
      <c r="AA747" s="10">
        <v>0.84299999999999997</v>
      </c>
      <c r="AB747" s="10">
        <v>183</v>
      </c>
      <c r="AC747" s="10">
        <v>145</v>
      </c>
      <c r="AD747" s="10">
        <v>107</v>
      </c>
      <c r="AE747" s="10">
        <v>7</v>
      </c>
      <c r="AF747" s="10">
        <v>8.3000000000000007</v>
      </c>
      <c r="AG747" s="9" t="s">
        <v>184</v>
      </c>
      <c r="AH747" s="9" t="s">
        <v>169</v>
      </c>
      <c r="AI747" s="10"/>
      <c r="AJ747" s="10"/>
      <c r="AK747" s="30"/>
    </row>
    <row r="748" spans="5:37">
      <c r="E748" s="28" t="s">
        <v>155</v>
      </c>
      <c r="F748" s="8" t="s">
        <v>205</v>
      </c>
      <c r="G748" s="9" t="s">
        <v>225</v>
      </c>
      <c r="H748" s="10">
        <v>178</v>
      </c>
      <c r="I748" s="9" t="s">
        <v>158</v>
      </c>
      <c r="J748" s="10">
        <v>178</v>
      </c>
      <c r="K748" s="10">
        <v>176.5</v>
      </c>
      <c r="L748" s="10">
        <v>122</v>
      </c>
      <c r="M748" s="10">
        <v>142</v>
      </c>
      <c r="N748" s="10">
        <v>132</v>
      </c>
      <c r="O748" s="10">
        <v>105</v>
      </c>
      <c r="P748" s="10">
        <v>125</v>
      </c>
      <c r="Q748" s="10">
        <v>19.399999999999999</v>
      </c>
      <c r="R748" s="10">
        <v>2049</v>
      </c>
      <c r="S748" s="10">
        <v>0.99</v>
      </c>
      <c r="T748" s="10">
        <v>2028</v>
      </c>
      <c r="U748" s="10">
        <v>211</v>
      </c>
      <c r="V748" s="10">
        <v>99</v>
      </c>
      <c r="W748" s="10">
        <v>52</v>
      </c>
      <c r="X748" s="10">
        <v>290</v>
      </c>
      <c r="Y748" s="10">
        <v>43</v>
      </c>
      <c r="Z748" s="10">
        <v>252</v>
      </c>
      <c r="AA748" s="10">
        <v>0.83299999999999996</v>
      </c>
      <c r="AB748" s="10">
        <v>180</v>
      </c>
      <c r="AC748" s="10">
        <v>165</v>
      </c>
      <c r="AD748" s="10">
        <v>111</v>
      </c>
      <c r="AE748" s="10">
        <v>9</v>
      </c>
      <c r="AF748" s="10">
        <v>9</v>
      </c>
      <c r="AG748" s="9" t="s">
        <v>184</v>
      </c>
      <c r="AH748" s="9" t="s">
        <v>169</v>
      </c>
      <c r="AI748" s="10"/>
      <c r="AJ748" s="10"/>
      <c r="AK748" s="30"/>
    </row>
    <row r="749" spans="5:37">
      <c r="E749" s="28" t="s">
        <v>155</v>
      </c>
      <c r="F749" s="8" t="s">
        <v>205</v>
      </c>
      <c r="G749" s="9" t="s">
        <v>225</v>
      </c>
      <c r="H749" s="10">
        <v>184</v>
      </c>
      <c r="I749" s="9" t="s">
        <v>158</v>
      </c>
      <c r="J749" s="10">
        <v>184</v>
      </c>
      <c r="K749" s="10">
        <v>182.6</v>
      </c>
      <c r="L749" s="10">
        <v>124</v>
      </c>
      <c r="M749" s="10">
        <v>147</v>
      </c>
      <c r="N749" s="10">
        <v>132</v>
      </c>
      <c r="O749" s="10">
        <v>105</v>
      </c>
      <c r="P749" s="10">
        <v>125</v>
      </c>
      <c r="Q749" s="10">
        <v>21</v>
      </c>
      <c r="R749" s="10">
        <v>2000</v>
      </c>
      <c r="S749" s="10">
        <v>1.05</v>
      </c>
      <c r="T749" s="10">
        <v>2096</v>
      </c>
      <c r="U749" s="10">
        <v>206</v>
      </c>
      <c r="V749" s="10">
        <v>97</v>
      </c>
      <c r="W749" s="10">
        <v>51</v>
      </c>
      <c r="X749" s="10">
        <v>328</v>
      </c>
      <c r="Y749" s="10">
        <v>43</v>
      </c>
      <c r="Z749" s="10">
        <v>261</v>
      </c>
      <c r="AA749" s="10">
        <v>0.84599999999999997</v>
      </c>
      <c r="AB749" s="10">
        <v>192</v>
      </c>
      <c r="AC749" s="10">
        <v>164</v>
      </c>
      <c r="AD749" s="10">
        <v>137</v>
      </c>
      <c r="AE749" s="10">
        <v>7</v>
      </c>
      <c r="AF749" s="10">
        <v>9.3000000000000007</v>
      </c>
      <c r="AG749" s="9" t="s">
        <v>184</v>
      </c>
      <c r="AH749" s="9" t="s">
        <v>169</v>
      </c>
      <c r="AI749" s="10"/>
      <c r="AJ749" s="10"/>
      <c r="AK749" s="30"/>
    </row>
    <row r="750" spans="5:37">
      <c r="E750" s="28" t="s">
        <v>155</v>
      </c>
      <c r="F750" s="8" t="s">
        <v>321</v>
      </c>
      <c r="G750" s="9" t="s">
        <v>322</v>
      </c>
      <c r="H750" s="10">
        <v>162</v>
      </c>
      <c r="I750" s="9" t="s">
        <v>158</v>
      </c>
      <c r="J750" s="10">
        <v>162</v>
      </c>
      <c r="K750" s="10">
        <v>160.5</v>
      </c>
      <c r="L750" s="10">
        <v>115</v>
      </c>
      <c r="M750" s="10">
        <v>135</v>
      </c>
      <c r="N750" s="10">
        <v>129</v>
      </c>
      <c r="O750" s="10">
        <v>96</v>
      </c>
      <c r="P750" s="10">
        <v>118</v>
      </c>
      <c r="Q750" s="10">
        <v>14.3</v>
      </c>
      <c r="R750" s="10">
        <v>1565</v>
      </c>
      <c r="S750" s="10">
        <v>1.1100000000000001</v>
      </c>
      <c r="T750" s="10">
        <v>1734</v>
      </c>
      <c r="U750" s="10">
        <v>197</v>
      </c>
      <c r="V750" s="10">
        <v>89</v>
      </c>
      <c r="W750" s="10">
        <v>59</v>
      </c>
      <c r="X750" s="10">
        <v>270</v>
      </c>
      <c r="Y750" s="10">
        <v>27</v>
      </c>
      <c r="Z750" s="10">
        <v>185</v>
      </c>
      <c r="AA750" s="10">
        <v>0.46400000000000002</v>
      </c>
      <c r="AB750" s="10">
        <v>132</v>
      </c>
      <c r="AC750" s="10">
        <v>119</v>
      </c>
      <c r="AD750" s="10">
        <v>138</v>
      </c>
      <c r="AE750" s="10">
        <v>11</v>
      </c>
      <c r="AF750" s="10">
        <v>7.8</v>
      </c>
      <c r="AG750" s="9" t="s">
        <v>188</v>
      </c>
      <c r="AH750" s="9" t="s">
        <v>185</v>
      </c>
      <c r="AI750" s="10"/>
      <c r="AJ750" s="10"/>
      <c r="AK750" s="30"/>
    </row>
    <row r="751" spans="5:37">
      <c r="E751" s="28" t="s">
        <v>155</v>
      </c>
      <c r="F751" s="8" t="s">
        <v>321</v>
      </c>
      <c r="G751" s="9" t="s">
        <v>322</v>
      </c>
      <c r="H751" s="10">
        <v>172</v>
      </c>
      <c r="I751" s="9" t="s">
        <v>158</v>
      </c>
      <c r="J751" s="10">
        <v>172</v>
      </c>
      <c r="K751" s="10">
        <v>170.1</v>
      </c>
      <c r="L751" s="10">
        <v>123</v>
      </c>
      <c r="M751" s="10">
        <v>145</v>
      </c>
      <c r="N751" s="10">
        <v>129</v>
      </c>
      <c r="O751" s="10">
        <v>96</v>
      </c>
      <c r="P751" s="10">
        <v>119</v>
      </c>
      <c r="Q751" s="10">
        <v>15.4</v>
      </c>
      <c r="R751" s="10">
        <v>1584</v>
      </c>
      <c r="S751" s="10">
        <v>1.1599999999999999</v>
      </c>
      <c r="T751" s="10">
        <v>1844</v>
      </c>
      <c r="U751" s="10">
        <v>184</v>
      </c>
      <c r="V751" s="10">
        <v>87</v>
      </c>
      <c r="W751" s="10">
        <v>60</v>
      </c>
      <c r="X751" s="10">
        <v>275</v>
      </c>
      <c r="Y751" s="10">
        <v>29</v>
      </c>
      <c r="Z751" s="10">
        <v>195</v>
      </c>
      <c r="AA751" s="10">
        <v>0.48499999999999999</v>
      </c>
      <c r="AB751" s="10">
        <v>136</v>
      </c>
      <c r="AC751" s="10">
        <v>120</v>
      </c>
      <c r="AD751" s="10">
        <v>139</v>
      </c>
      <c r="AE751" s="10">
        <v>9</v>
      </c>
      <c r="AF751" s="10">
        <v>8</v>
      </c>
      <c r="AG751" s="9" t="s">
        <v>188</v>
      </c>
      <c r="AH751" s="9" t="s">
        <v>185</v>
      </c>
      <c r="AI751" s="10"/>
      <c r="AJ751" s="10"/>
      <c r="AK751" s="30"/>
    </row>
    <row r="752" spans="5:37">
      <c r="E752" s="28" t="s">
        <v>155</v>
      </c>
      <c r="F752" s="8" t="s">
        <v>321</v>
      </c>
      <c r="G752" s="9" t="s">
        <v>322</v>
      </c>
      <c r="H752" s="10">
        <v>182</v>
      </c>
      <c r="I752" s="9" t="s">
        <v>158</v>
      </c>
      <c r="J752" s="10">
        <v>182</v>
      </c>
      <c r="K752" s="10">
        <v>179.8</v>
      </c>
      <c r="L752" s="10">
        <v>134</v>
      </c>
      <c r="M752" s="10">
        <v>152</v>
      </c>
      <c r="N752" s="10">
        <v>130</v>
      </c>
      <c r="O752" s="10">
        <v>97</v>
      </c>
      <c r="P752" s="10">
        <v>120</v>
      </c>
      <c r="Q752" s="10">
        <v>17</v>
      </c>
      <c r="R752" s="10">
        <v>1714</v>
      </c>
      <c r="S752" s="10">
        <v>1.1499999999999999</v>
      </c>
      <c r="T752" s="10">
        <v>1972</v>
      </c>
      <c r="U752" s="10">
        <v>195</v>
      </c>
      <c r="V752" s="10">
        <v>90</v>
      </c>
      <c r="W752" s="10">
        <v>56</v>
      </c>
      <c r="X752" s="10">
        <v>266</v>
      </c>
      <c r="Y752" s="10">
        <v>28</v>
      </c>
      <c r="Z752" s="10">
        <v>187</v>
      </c>
      <c r="AA752" s="10">
        <v>0.501</v>
      </c>
      <c r="AB752" s="10">
        <v>160</v>
      </c>
      <c r="AC752" s="10">
        <v>117</v>
      </c>
      <c r="AD752" s="10">
        <v>106</v>
      </c>
      <c r="AE752" s="10">
        <v>11</v>
      </c>
      <c r="AF752" s="10">
        <v>8</v>
      </c>
      <c r="AG752" s="9" t="s">
        <v>188</v>
      </c>
      <c r="AH752" s="9" t="s">
        <v>185</v>
      </c>
      <c r="AI752" s="10"/>
      <c r="AJ752" s="10"/>
      <c r="AK752" s="30"/>
    </row>
    <row r="753" spans="5:37">
      <c r="E753" s="28" t="s">
        <v>155</v>
      </c>
      <c r="F753" s="8" t="s">
        <v>321</v>
      </c>
      <c r="G753" s="9" t="s">
        <v>365</v>
      </c>
      <c r="H753" s="10">
        <v>164</v>
      </c>
      <c r="I753" s="9" t="s">
        <v>158</v>
      </c>
      <c r="J753" s="10">
        <v>164</v>
      </c>
      <c r="K753" s="10">
        <v>164.8</v>
      </c>
      <c r="L753" s="10">
        <v>110</v>
      </c>
      <c r="M753" s="10">
        <v>131</v>
      </c>
      <c r="N753" s="10">
        <v>132</v>
      </c>
      <c r="O753" s="10">
        <v>103</v>
      </c>
      <c r="P753" s="10">
        <v>124</v>
      </c>
      <c r="Q753" s="10">
        <v>14.2</v>
      </c>
      <c r="R753" s="10">
        <v>1634</v>
      </c>
      <c r="S753" s="10">
        <v>1.1499999999999999</v>
      </c>
      <c r="T753" s="10">
        <v>1876</v>
      </c>
      <c r="U753" s="10">
        <v>194</v>
      </c>
      <c r="V753" s="10">
        <v>73</v>
      </c>
      <c r="W753" s="10">
        <v>46</v>
      </c>
      <c r="X753" s="10">
        <v>324</v>
      </c>
      <c r="Y753" s="10">
        <v>27</v>
      </c>
      <c r="Z753" s="10">
        <v>222</v>
      </c>
      <c r="AA753" s="10">
        <v>0.58499999999999996</v>
      </c>
      <c r="AB753" s="10">
        <v>227</v>
      </c>
      <c r="AC753" s="10">
        <v>107</v>
      </c>
      <c r="AD753" s="10">
        <v>97</v>
      </c>
      <c r="AE753" s="10">
        <v>10</v>
      </c>
      <c r="AF753" s="10">
        <v>7.9</v>
      </c>
      <c r="AG753" s="9" t="s">
        <v>188</v>
      </c>
      <c r="AH753" s="9" t="s">
        <v>169</v>
      </c>
      <c r="AI753" s="9" t="s">
        <v>185</v>
      </c>
      <c r="AJ753" s="10"/>
      <c r="AK753" s="30"/>
    </row>
    <row r="754" spans="5:37">
      <c r="E754" s="28" t="s">
        <v>155</v>
      </c>
      <c r="F754" s="8" t="s">
        <v>321</v>
      </c>
      <c r="G754" s="9" t="s">
        <v>365</v>
      </c>
      <c r="H754" s="10">
        <v>172</v>
      </c>
      <c r="I754" s="9" t="s">
        <v>158</v>
      </c>
      <c r="J754" s="10">
        <v>172</v>
      </c>
      <c r="K754" s="10">
        <v>172.7</v>
      </c>
      <c r="L754" s="10">
        <v>118</v>
      </c>
      <c r="M754" s="10">
        <v>136</v>
      </c>
      <c r="N754" s="10">
        <v>133</v>
      </c>
      <c r="O754" s="10">
        <v>103</v>
      </c>
      <c r="P754" s="10">
        <v>125</v>
      </c>
      <c r="Q754" s="10">
        <v>14.8</v>
      </c>
      <c r="R754" s="10">
        <v>1660</v>
      </c>
      <c r="S754" s="10">
        <v>1.19</v>
      </c>
      <c r="T754" s="10">
        <v>1973</v>
      </c>
      <c r="U754" s="10">
        <v>201</v>
      </c>
      <c r="V754" s="10">
        <v>84</v>
      </c>
      <c r="W754" s="10">
        <v>46</v>
      </c>
      <c r="X754" s="10">
        <v>328</v>
      </c>
      <c r="Y754" s="10">
        <v>27</v>
      </c>
      <c r="Z754" s="10">
        <v>220</v>
      </c>
      <c r="AA754" s="10">
        <v>0.57199999999999995</v>
      </c>
      <c r="AB754" s="10">
        <v>250</v>
      </c>
      <c r="AC754" s="10">
        <v>116</v>
      </c>
      <c r="AD754" s="10">
        <v>78</v>
      </c>
      <c r="AE754" s="10">
        <v>10</v>
      </c>
      <c r="AF754" s="10">
        <v>9.5</v>
      </c>
      <c r="AG754" s="9" t="s">
        <v>188</v>
      </c>
      <c r="AH754" s="9" t="s">
        <v>169</v>
      </c>
      <c r="AI754" s="9" t="s">
        <v>185</v>
      </c>
      <c r="AJ754" s="10"/>
      <c r="AK754" s="30"/>
    </row>
    <row r="755" spans="5:37">
      <c r="E755" s="28" t="s">
        <v>155</v>
      </c>
      <c r="F755" s="8" t="s">
        <v>321</v>
      </c>
      <c r="G755" s="9" t="s">
        <v>365</v>
      </c>
      <c r="H755" s="10">
        <v>180</v>
      </c>
      <c r="I755" s="9" t="s">
        <v>158</v>
      </c>
      <c r="J755" s="10">
        <v>180</v>
      </c>
      <c r="K755" s="10">
        <v>179.2</v>
      </c>
      <c r="L755" s="10">
        <v>125</v>
      </c>
      <c r="M755" s="10">
        <v>143</v>
      </c>
      <c r="N755" s="10">
        <v>133</v>
      </c>
      <c r="O755" s="10">
        <v>103</v>
      </c>
      <c r="P755" s="10">
        <v>125</v>
      </c>
      <c r="Q755" s="10">
        <v>16.399999999999999</v>
      </c>
      <c r="R755" s="10">
        <v>1720</v>
      </c>
      <c r="S755" s="10">
        <v>1.19</v>
      </c>
      <c r="T755" s="10">
        <v>2048</v>
      </c>
      <c r="U755" s="10">
        <v>224</v>
      </c>
      <c r="V755" s="10">
        <v>88</v>
      </c>
      <c r="W755" s="10">
        <v>44</v>
      </c>
      <c r="X755" s="10">
        <v>326</v>
      </c>
      <c r="Y755" s="10">
        <v>26</v>
      </c>
      <c r="Z755" s="10">
        <v>219</v>
      </c>
      <c r="AA755" s="10">
        <v>0.59899999999999998</v>
      </c>
      <c r="AB755" s="10">
        <v>244</v>
      </c>
      <c r="AC755" s="10">
        <v>116</v>
      </c>
      <c r="AD755" s="10">
        <v>82</v>
      </c>
      <c r="AE755" s="10">
        <v>10</v>
      </c>
      <c r="AF755" s="10">
        <v>9</v>
      </c>
      <c r="AG755" s="9" t="s">
        <v>188</v>
      </c>
      <c r="AH755" s="9" t="s">
        <v>169</v>
      </c>
      <c r="AI755" s="9" t="s">
        <v>185</v>
      </c>
      <c r="AJ755" s="10"/>
      <c r="AK755" s="30"/>
    </row>
    <row r="756" spans="5:37">
      <c r="E756" s="28" t="s">
        <v>155</v>
      </c>
      <c r="F756" s="8" t="s">
        <v>321</v>
      </c>
      <c r="G756" s="9" t="s">
        <v>365</v>
      </c>
      <c r="H756" s="10">
        <v>188</v>
      </c>
      <c r="I756" s="9" t="s">
        <v>158</v>
      </c>
      <c r="J756" s="10">
        <v>188</v>
      </c>
      <c r="K756" s="10">
        <v>188.6</v>
      </c>
      <c r="L756" s="10">
        <v>134</v>
      </c>
      <c r="M756" s="10">
        <v>149</v>
      </c>
      <c r="N756" s="10">
        <v>136</v>
      </c>
      <c r="O756" s="10">
        <v>104</v>
      </c>
      <c r="P756" s="10">
        <v>126</v>
      </c>
      <c r="Q756" s="10">
        <v>17.399999999999999</v>
      </c>
      <c r="R756" s="10">
        <v>1891</v>
      </c>
      <c r="S756" s="10">
        <v>1.1499999999999999</v>
      </c>
      <c r="T756" s="10">
        <v>2168</v>
      </c>
      <c r="U756" s="10">
        <v>237</v>
      </c>
      <c r="V756" s="10">
        <v>89</v>
      </c>
      <c r="W756" s="10">
        <v>45</v>
      </c>
      <c r="X756" s="10">
        <v>322</v>
      </c>
      <c r="Y756" s="10">
        <v>26</v>
      </c>
      <c r="Z756" s="10">
        <v>221</v>
      </c>
      <c r="AA756" s="10">
        <v>0.56799999999999995</v>
      </c>
      <c r="AB756" s="10">
        <v>271</v>
      </c>
      <c r="AC756" s="10">
        <v>124</v>
      </c>
      <c r="AD756" s="10">
        <v>51</v>
      </c>
      <c r="AE756" s="10">
        <v>11</v>
      </c>
      <c r="AF756" s="10">
        <v>10.6</v>
      </c>
      <c r="AG756" s="9" t="s">
        <v>188</v>
      </c>
      <c r="AH756" s="9" t="s">
        <v>169</v>
      </c>
      <c r="AI756" s="9" t="s">
        <v>185</v>
      </c>
      <c r="AJ756" s="10"/>
      <c r="AK756" s="30"/>
    </row>
    <row r="757" spans="5:37">
      <c r="E757" s="28" t="s">
        <v>155</v>
      </c>
      <c r="F757" s="8" t="s">
        <v>321</v>
      </c>
      <c r="G757" s="9" t="s">
        <v>795</v>
      </c>
      <c r="H757" s="10">
        <v>177</v>
      </c>
      <c r="I757" s="9" t="s">
        <v>158</v>
      </c>
      <c r="J757" s="10">
        <v>177</v>
      </c>
      <c r="K757" s="10">
        <v>175.8</v>
      </c>
      <c r="L757" s="10">
        <v>117</v>
      </c>
      <c r="M757" s="10">
        <v>155</v>
      </c>
      <c r="N757" s="10">
        <v>127</v>
      </c>
      <c r="O757" s="10">
        <v>91</v>
      </c>
      <c r="P757" s="10">
        <v>124</v>
      </c>
      <c r="Q757" s="10">
        <v>16.399999999999999</v>
      </c>
      <c r="R757" s="10">
        <v>1863</v>
      </c>
      <c r="S757" s="10">
        <v>0.98</v>
      </c>
      <c r="T757" s="10">
        <v>1825</v>
      </c>
      <c r="U757" s="10">
        <v>186</v>
      </c>
      <c r="V757" s="10">
        <v>68</v>
      </c>
      <c r="W757" s="10">
        <v>46</v>
      </c>
      <c r="X757" s="10">
        <v>267</v>
      </c>
      <c r="Y757" s="10">
        <v>41</v>
      </c>
      <c r="Z757" s="10">
        <v>325</v>
      </c>
      <c r="AA757" s="10">
        <v>0.89200000000000002</v>
      </c>
      <c r="AB757" s="10">
        <v>125</v>
      </c>
      <c r="AC757" s="10">
        <v>82</v>
      </c>
      <c r="AD757" s="10">
        <v>142</v>
      </c>
      <c r="AE757" s="10">
        <v>7</v>
      </c>
      <c r="AF757" s="10">
        <v>3.5</v>
      </c>
      <c r="AG757" s="9" t="s">
        <v>184</v>
      </c>
      <c r="AH757" s="10"/>
      <c r="AI757" s="10"/>
      <c r="AJ757" s="10"/>
      <c r="AK757" s="30"/>
    </row>
    <row r="758" spans="5:37">
      <c r="E758" s="28" t="s">
        <v>155</v>
      </c>
      <c r="F758" s="8" t="s">
        <v>245</v>
      </c>
      <c r="G758" s="9" t="s">
        <v>275</v>
      </c>
      <c r="H758" s="10">
        <v>171</v>
      </c>
      <c r="I758" s="9" t="s">
        <v>158</v>
      </c>
      <c r="J758" s="10">
        <v>171</v>
      </c>
      <c r="K758" s="10">
        <v>169.8</v>
      </c>
      <c r="L758" s="10">
        <v>111</v>
      </c>
      <c r="M758" s="10">
        <v>142</v>
      </c>
      <c r="N758" s="10">
        <v>135</v>
      </c>
      <c r="O758" s="10">
        <v>103</v>
      </c>
      <c r="P758" s="10">
        <v>118</v>
      </c>
      <c r="Q758" s="10">
        <v>20.399999999999999</v>
      </c>
      <c r="R758" s="10">
        <v>1463</v>
      </c>
      <c r="S758" s="10">
        <v>1.3</v>
      </c>
      <c r="T758" s="10">
        <v>1895</v>
      </c>
      <c r="U758" s="10">
        <v>216</v>
      </c>
      <c r="V758" s="10">
        <v>93</v>
      </c>
      <c r="W758" s="10">
        <v>65</v>
      </c>
      <c r="X758" s="10">
        <v>419</v>
      </c>
      <c r="Y758" s="10">
        <v>14</v>
      </c>
      <c r="Z758" s="10">
        <v>165</v>
      </c>
      <c r="AA758" s="10">
        <v>0.216</v>
      </c>
      <c r="AB758" s="10">
        <v>163</v>
      </c>
      <c r="AC758" s="10">
        <v>119</v>
      </c>
      <c r="AD758" s="10">
        <v>256</v>
      </c>
      <c r="AE758" s="10">
        <v>1</v>
      </c>
      <c r="AF758" s="10">
        <v>12.9</v>
      </c>
      <c r="AG758" s="9" t="s">
        <v>178</v>
      </c>
      <c r="AH758" s="9" t="s">
        <v>185</v>
      </c>
      <c r="AI758" s="9" t="s">
        <v>198</v>
      </c>
      <c r="AJ758" s="10"/>
      <c r="AK758" s="30"/>
    </row>
    <row r="759" spans="5:37">
      <c r="E759" s="28" t="s">
        <v>155</v>
      </c>
      <c r="F759" s="8" t="s">
        <v>245</v>
      </c>
      <c r="G759" s="9" t="s">
        <v>275</v>
      </c>
      <c r="H759" s="10">
        <v>178</v>
      </c>
      <c r="I759" s="9" t="s">
        <v>158</v>
      </c>
      <c r="J759" s="10">
        <v>178</v>
      </c>
      <c r="K759" s="10">
        <v>176.9</v>
      </c>
      <c r="L759" s="10">
        <v>118</v>
      </c>
      <c r="M759" s="10">
        <v>148</v>
      </c>
      <c r="N759" s="10">
        <v>137</v>
      </c>
      <c r="O759" s="10">
        <v>104</v>
      </c>
      <c r="P759" s="10">
        <v>120</v>
      </c>
      <c r="Q759" s="10">
        <v>21.7</v>
      </c>
      <c r="R759" s="10">
        <v>1560</v>
      </c>
      <c r="S759" s="10">
        <v>1.29</v>
      </c>
      <c r="T759" s="10">
        <v>2007</v>
      </c>
      <c r="U759" s="10">
        <v>243</v>
      </c>
      <c r="V759" s="10">
        <v>107</v>
      </c>
      <c r="W759" s="10">
        <v>63</v>
      </c>
      <c r="X759" s="10">
        <v>411</v>
      </c>
      <c r="Y759" s="10">
        <v>13</v>
      </c>
      <c r="Z759" s="10">
        <v>175</v>
      </c>
      <c r="AA759" s="10">
        <v>0.20499999999999999</v>
      </c>
      <c r="AB759" s="10">
        <v>164</v>
      </c>
      <c r="AC759" s="10">
        <v>126</v>
      </c>
      <c r="AD759" s="10">
        <v>247</v>
      </c>
      <c r="AE759" s="10">
        <v>4</v>
      </c>
      <c r="AF759" s="10">
        <v>11.4</v>
      </c>
      <c r="AG759" s="9" t="s">
        <v>188</v>
      </c>
      <c r="AH759" s="9" t="s">
        <v>178</v>
      </c>
      <c r="AI759" s="9" t="s">
        <v>185</v>
      </c>
      <c r="AJ759" s="9" t="s">
        <v>198</v>
      </c>
      <c r="AK759" s="30"/>
    </row>
    <row r="760" spans="5:37">
      <c r="E760" s="28" t="s">
        <v>155</v>
      </c>
      <c r="F760" s="8" t="s">
        <v>245</v>
      </c>
      <c r="G760" s="9" t="s">
        <v>275</v>
      </c>
      <c r="H760" s="10">
        <v>185</v>
      </c>
      <c r="I760" s="9" t="s">
        <v>158</v>
      </c>
      <c r="J760" s="10">
        <v>185</v>
      </c>
      <c r="K760" s="10">
        <v>183.6</v>
      </c>
      <c r="L760" s="10">
        <v>118</v>
      </c>
      <c r="M760" s="10">
        <v>152</v>
      </c>
      <c r="N760" s="10">
        <v>139</v>
      </c>
      <c r="O760" s="10">
        <v>107</v>
      </c>
      <c r="P760" s="10">
        <v>123</v>
      </c>
      <c r="Q760" s="10">
        <v>22.7</v>
      </c>
      <c r="R760" s="10">
        <v>1692</v>
      </c>
      <c r="S760" s="10">
        <v>1.26</v>
      </c>
      <c r="T760" s="10">
        <v>2133</v>
      </c>
      <c r="U760" s="10">
        <v>264</v>
      </c>
      <c r="V760" s="10">
        <v>124</v>
      </c>
      <c r="W760" s="10">
        <v>69</v>
      </c>
      <c r="X760" s="10">
        <v>464</v>
      </c>
      <c r="Y760" s="10">
        <v>9</v>
      </c>
      <c r="Z760" s="10">
        <v>189</v>
      </c>
      <c r="AA760" s="10">
        <v>0.13100000000000001</v>
      </c>
      <c r="AB760" s="10">
        <v>185</v>
      </c>
      <c r="AC760" s="10">
        <v>135</v>
      </c>
      <c r="AD760" s="10">
        <v>280</v>
      </c>
      <c r="AE760" s="10">
        <v>4</v>
      </c>
      <c r="AF760" s="10">
        <v>11.8</v>
      </c>
      <c r="AG760" s="9" t="s">
        <v>178</v>
      </c>
      <c r="AH760" s="9" t="s">
        <v>185</v>
      </c>
      <c r="AI760" s="9" t="s">
        <v>198</v>
      </c>
      <c r="AJ760" s="10"/>
      <c r="AK760" s="30"/>
    </row>
    <row r="761" spans="5:37">
      <c r="E761" s="28" t="s">
        <v>155</v>
      </c>
      <c r="F761" s="8" t="s">
        <v>245</v>
      </c>
      <c r="G761" s="9" t="s">
        <v>616</v>
      </c>
      <c r="H761" s="10">
        <v>162</v>
      </c>
      <c r="I761" s="9" t="s">
        <v>158</v>
      </c>
      <c r="J761" s="10">
        <v>162</v>
      </c>
      <c r="K761" s="10">
        <v>161</v>
      </c>
      <c r="L761" s="10">
        <v>116</v>
      </c>
      <c r="M761" s="10">
        <v>138</v>
      </c>
      <c r="N761" s="10">
        <v>124</v>
      </c>
      <c r="O761" s="10">
        <v>93</v>
      </c>
      <c r="P761" s="10">
        <v>111</v>
      </c>
      <c r="Q761" s="10">
        <v>18.5</v>
      </c>
      <c r="R761" s="10">
        <v>1133</v>
      </c>
      <c r="S761" s="10">
        <v>1.45</v>
      </c>
      <c r="T761" s="10">
        <v>1640</v>
      </c>
      <c r="U761" s="10">
        <v>118</v>
      </c>
      <c r="V761" s="10">
        <v>50</v>
      </c>
      <c r="W761" s="10">
        <v>58</v>
      </c>
      <c r="X761" s="10">
        <v>311</v>
      </c>
      <c r="Y761" s="10">
        <v>5</v>
      </c>
      <c r="Z761" s="10">
        <v>138</v>
      </c>
      <c r="AA761" s="10">
        <v>8.5000000000000006E-2</v>
      </c>
      <c r="AB761" s="10">
        <v>150</v>
      </c>
      <c r="AC761" s="10">
        <v>76</v>
      </c>
      <c r="AD761" s="10">
        <v>161</v>
      </c>
      <c r="AE761" s="10">
        <v>2</v>
      </c>
      <c r="AF761" s="10">
        <v>10</v>
      </c>
      <c r="AG761" s="9" t="s">
        <v>185</v>
      </c>
      <c r="AH761" s="9" t="s">
        <v>198</v>
      </c>
      <c r="AI761" s="10"/>
      <c r="AJ761" s="10"/>
      <c r="AK761" s="30"/>
    </row>
    <row r="762" spans="5:37">
      <c r="E762" s="28" t="s">
        <v>155</v>
      </c>
      <c r="F762" s="8" t="s">
        <v>245</v>
      </c>
      <c r="G762" s="9" t="s">
        <v>616</v>
      </c>
      <c r="H762" s="10">
        <v>169</v>
      </c>
      <c r="I762" s="9" t="s">
        <v>158</v>
      </c>
      <c r="J762" s="10">
        <v>169</v>
      </c>
      <c r="K762" s="10">
        <v>168.5</v>
      </c>
      <c r="L762" s="10">
        <v>130</v>
      </c>
      <c r="M762" s="10">
        <v>144</v>
      </c>
      <c r="N762" s="10">
        <v>125</v>
      </c>
      <c r="O762" s="10">
        <v>94</v>
      </c>
      <c r="P762" s="10">
        <v>111</v>
      </c>
      <c r="Q762" s="10">
        <v>19.899999999999999</v>
      </c>
      <c r="R762" s="10">
        <v>1198</v>
      </c>
      <c r="S762" s="10">
        <v>1.45</v>
      </c>
      <c r="T762" s="10">
        <v>1735</v>
      </c>
      <c r="U762" s="10">
        <v>136</v>
      </c>
      <c r="V762" s="10">
        <v>58</v>
      </c>
      <c r="W762" s="10">
        <v>54</v>
      </c>
      <c r="X762" s="10">
        <v>280</v>
      </c>
      <c r="Y762" s="10">
        <v>3</v>
      </c>
      <c r="Z762" s="10">
        <v>106</v>
      </c>
      <c r="AA762" s="10">
        <v>6.2E-2</v>
      </c>
      <c r="AB762" s="10">
        <v>161</v>
      </c>
      <c r="AC762" s="10">
        <v>87</v>
      </c>
      <c r="AD762" s="10">
        <v>119</v>
      </c>
      <c r="AE762" s="10">
        <v>6</v>
      </c>
      <c r="AF762" s="10">
        <v>9.8000000000000007</v>
      </c>
      <c r="AG762" s="9" t="s">
        <v>185</v>
      </c>
      <c r="AH762" s="9" t="s">
        <v>198</v>
      </c>
      <c r="AI762" s="10"/>
      <c r="AJ762" s="10"/>
      <c r="AK762" s="30"/>
    </row>
    <row r="763" spans="5:37">
      <c r="E763" s="28" t="s">
        <v>155</v>
      </c>
      <c r="F763" s="8" t="s">
        <v>245</v>
      </c>
      <c r="G763" s="9" t="s">
        <v>616</v>
      </c>
      <c r="H763" s="10">
        <v>176</v>
      </c>
      <c r="I763" s="9" t="s">
        <v>158</v>
      </c>
      <c r="J763" s="10">
        <v>176</v>
      </c>
      <c r="K763" s="10">
        <v>174.7</v>
      </c>
      <c r="L763" s="10">
        <v>130</v>
      </c>
      <c r="M763" s="10">
        <v>150</v>
      </c>
      <c r="N763" s="10">
        <v>126</v>
      </c>
      <c r="O763" s="10">
        <v>95</v>
      </c>
      <c r="P763" s="10">
        <v>112</v>
      </c>
      <c r="Q763" s="10">
        <v>21</v>
      </c>
      <c r="R763" s="10">
        <v>1265</v>
      </c>
      <c r="S763" s="10">
        <v>1.44</v>
      </c>
      <c r="T763" s="10">
        <v>1824</v>
      </c>
      <c r="U763" s="10">
        <v>155</v>
      </c>
      <c r="V763" s="10">
        <v>66</v>
      </c>
      <c r="W763" s="10">
        <v>65</v>
      </c>
      <c r="X763" s="10">
        <v>301</v>
      </c>
      <c r="Y763" s="10">
        <v>5</v>
      </c>
      <c r="Z763" s="10">
        <v>149</v>
      </c>
      <c r="AA763" s="10">
        <v>7.5999999999999998E-2</v>
      </c>
      <c r="AB763" s="10">
        <v>161</v>
      </c>
      <c r="AC763" s="10">
        <v>90</v>
      </c>
      <c r="AD763" s="10">
        <v>140</v>
      </c>
      <c r="AE763" s="10">
        <v>5</v>
      </c>
      <c r="AF763" s="10">
        <v>9.3000000000000007</v>
      </c>
      <c r="AG763" s="9" t="s">
        <v>185</v>
      </c>
      <c r="AH763" s="9" t="s">
        <v>198</v>
      </c>
      <c r="AI763" s="10"/>
      <c r="AJ763" s="10"/>
      <c r="AK763" s="30"/>
    </row>
    <row r="764" spans="5:37">
      <c r="E764" s="28" t="s">
        <v>155</v>
      </c>
      <c r="F764" s="8" t="s">
        <v>245</v>
      </c>
      <c r="G764" s="9" t="s">
        <v>616</v>
      </c>
      <c r="H764" s="10">
        <v>183</v>
      </c>
      <c r="I764" s="9" t="s">
        <v>158</v>
      </c>
      <c r="J764" s="10">
        <v>183</v>
      </c>
      <c r="K764" s="10">
        <v>181.9</v>
      </c>
      <c r="L764" s="10">
        <v>139</v>
      </c>
      <c r="M764" s="10">
        <v>156</v>
      </c>
      <c r="N764" s="10">
        <v>127</v>
      </c>
      <c r="O764" s="10">
        <v>96</v>
      </c>
      <c r="P764" s="10">
        <v>114</v>
      </c>
      <c r="Q764" s="10">
        <v>22.3</v>
      </c>
      <c r="R764" s="10">
        <v>1367</v>
      </c>
      <c r="S764" s="10">
        <v>1.4</v>
      </c>
      <c r="T764" s="10">
        <v>1919</v>
      </c>
      <c r="U764" s="10">
        <v>179</v>
      </c>
      <c r="V764" s="10">
        <v>78</v>
      </c>
      <c r="W764" s="10">
        <v>60</v>
      </c>
      <c r="X764" s="10">
        <v>308</v>
      </c>
      <c r="Y764" s="10">
        <v>3</v>
      </c>
      <c r="Z764" s="10">
        <v>125</v>
      </c>
      <c r="AA764" s="10">
        <v>5.8000000000000003E-2</v>
      </c>
      <c r="AB764" s="10">
        <v>172</v>
      </c>
      <c r="AC764" s="10">
        <v>91</v>
      </c>
      <c r="AD764" s="10">
        <v>136</v>
      </c>
      <c r="AE764" s="10">
        <v>6</v>
      </c>
      <c r="AF764" s="10">
        <v>9.6</v>
      </c>
      <c r="AG764" s="9" t="s">
        <v>185</v>
      </c>
      <c r="AH764" s="9" t="s">
        <v>198</v>
      </c>
      <c r="AI764" s="10"/>
      <c r="AJ764" s="10"/>
      <c r="AK764" s="30"/>
    </row>
    <row r="765" spans="5:37">
      <c r="E765" s="28" t="s">
        <v>155</v>
      </c>
      <c r="F765" s="8" t="s">
        <v>245</v>
      </c>
      <c r="G765" s="9" t="s">
        <v>832</v>
      </c>
      <c r="H765" s="10">
        <v>151</v>
      </c>
      <c r="I765" s="9" t="s">
        <v>385</v>
      </c>
      <c r="J765" s="10">
        <v>151</v>
      </c>
      <c r="K765" s="10">
        <v>149.19999999999999</v>
      </c>
      <c r="L765" s="10">
        <v>121</v>
      </c>
      <c r="M765" s="10">
        <v>130</v>
      </c>
      <c r="N765" s="10">
        <v>117</v>
      </c>
      <c r="O765" s="10">
        <v>81</v>
      </c>
      <c r="P765" s="10">
        <v>106</v>
      </c>
      <c r="Q765" s="10">
        <v>14.1</v>
      </c>
      <c r="R765" s="10">
        <v>1365</v>
      </c>
      <c r="S765" s="10">
        <v>1</v>
      </c>
      <c r="T765" s="10">
        <v>1370</v>
      </c>
      <c r="U765" s="10">
        <v>114</v>
      </c>
      <c r="V765" s="10">
        <v>43</v>
      </c>
      <c r="W765" s="10">
        <v>47</v>
      </c>
      <c r="X765" s="10">
        <v>151</v>
      </c>
      <c r="Y765" s="10">
        <v>33</v>
      </c>
      <c r="Z765" s="10">
        <v>127</v>
      </c>
      <c r="AA765" s="10">
        <v>0.71</v>
      </c>
      <c r="AB765" s="10">
        <v>100</v>
      </c>
      <c r="AC765" s="10">
        <v>91</v>
      </c>
      <c r="AD765" s="10">
        <v>51</v>
      </c>
      <c r="AE765" s="10">
        <v>12</v>
      </c>
      <c r="AF765" s="10">
        <v>-0.9</v>
      </c>
      <c r="AG765" s="9" t="s">
        <v>188</v>
      </c>
      <c r="AH765" s="10"/>
      <c r="AI765" s="10"/>
      <c r="AJ765" s="10"/>
      <c r="AK765" s="30"/>
    </row>
    <row r="766" spans="5:37">
      <c r="E766" s="28" t="s">
        <v>155</v>
      </c>
      <c r="F766" s="8" t="s">
        <v>245</v>
      </c>
      <c r="G766" s="9" t="s">
        <v>832</v>
      </c>
      <c r="H766" s="10">
        <v>161</v>
      </c>
      <c r="I766" s="9" t="s">
        <v>385</v>
      </c>
      <c r="J766" s="10">
        <v>161</v>
      </c>
      <c r="K766" s="10">
        <v>159.1</v>
      </c>
      <c r="L766" s="10">
        <v>130</v>
      </c>
      <c r="M766" s="10">
        <v>141</v>
      </c>
      <c r="N766" s="10">
        <v>118</v>
      </c>
      <c r="O766" s="10">
        <v>82</v>
      </c>
      <c r="P766" s="10">
        <v>107</v>
      </c>
      <c r="Q766" s="10">
        <v>15.7</v>
      </c>
      <c r="R766" s="10">
        <v>1564</v>
      </c>
      <c r="S766" s="10">
        <v>0.95</v>
      </c>
      <c r="T766" s="10">
        <v>1482</v>
      </c>
      <c r="U766" s="10">
        <v>156</v>
      </c>
      <c r="V766" s="10">
        <v>56</v>
      </c>
      <c r="W766" s="10">
        <v>47</v>
      </c>
      <c r="X766" s="10">
        <v>156</v>
      </c>
      <c r="Y766" s="10">
        <v>36</v>
      </c>
      <c r="Z766" s="10">
        <v>139</v>
      </c>
      <c r="AA766" s="10">
        <v>0.752</v>
      </c>
      <c r="AB766" s="10">
        <v>94</v>
      </c>
      <c r="AC766" s="10">
        <v>90</v>
      </c>
      <c r="AD766" s="10">
        <v>62</v>
      </c>
      <c r="AE766" s="10">
        <v>9</v>
      </c>
      <c r="AF766" s="10">
        <v>-1.3</v>
      </c>
      <c r="AG766" s="9" t="s">
        <v>188</v>
      </c>
      <c r="AH766" s="10"/>
      <c r="AI766" s="10"/>
      <c r="AJ766" s="10"/>
      <c r="AK766" s="30"/>
    </row>
    <row r="767" spans="5:37">
      <c r="E767" s="28" t="s">
        <v>155</v>
      </c>
      <c r="F767" s="8" t="s">
        <v>245</v>
      </c>
      <c r="G767" s="9" t="s">
        <v>260</v>
      </c>
      <c r="H767" s="10">
        <v>170</v>
      </c>
      <c r="I767" s="9" t="s">
        <v>158</v>
      </c>
      <c r="J767" s="10">
        <v>170</v>
      </c>
      <c r="K767" s="10">
        <v>168.7</v>
      </c>
      <c r="L767" s="10">
        <v>116</v>
      </c>
      <c r="M767" s="10">
        <v>139</v>
      </c>
      <c r="N767" s="10">
        <v>134</v>
      </c>
      <c r="O767" s="10">
        <v>100</v>
      </c>
      <c r="P767" s="10">
        <v>124</v>
      </c>
      <c r="Q767" s="10">
        <v>13.9</v>
      </c>
      <c r="R767" s="10">
        <v>1664</v>
      </c>
      <c r="S767" s="10">
        <v>1.1399999999999999</v>
      </c>
      <c r="T767" s="10">
        <v>1900</v>
      </c>
      <c r="U767" s="10">
        <v>172</v>
      </c>
      <c r="V767" s="10">
        <v>89</v>
      </c>
      <c r="W767" s="10">
        <v>48</v>
      </c>
      <c r="X767" s="10">
        <v>342</v>
      </c>
      <c r="Y767" s="10">
        <v>29</v>
      </c>
      <c r="Z767" s="10">
        <v>182</v>
      </c>
      <c r="AA767" s="10">
        <v>0.60099999999999998</v>
      </c>
      <c r="AB767" s="10">
        <v>153</v>
      </c>
      <c r="AC767" s="10">
        <v>145</v>
      </c>
      <c r="AD767" s="10">
        <v>189</v>
      </c>
      <c r="AE767" s="10">
        <v>7</v>
      </c>
      <c r="AF767" s="10">
        <v>9.5</v>
      </c>
      <c r="AG767" s="9" t="s">
        <v>188</v>
      </c>
      <c r="AH767" s="9" t="s">
        <v>185</v>
      </c>
      <c r="AI767" s="10"/>
      <c r="AJ767" s="10"/>
      <c r="AK767" s="30"/>
    </row>
    <row r="768" spans="5:37">
      <c r="E768" s="28" t="s">
        <v>155</v>
      </c>
      <c r="F768" s="8" t="s">
        <v>245</v>
      </c>
      <c r="G768" s="9" t="s">
        <v>260</v>
      </c>
      <c r="H768" s="10">
        <v>177</v>
      </c>
      <c r="I768" s="9" t="s">
        <v>158</v>
      </c>
      <c r="J768" s="10">
        <v>177</v>
      </c>
      <c r="K768" s="10">
        <v>176.8</v>
      </c>
      <c r="L768" s="10">
        <v>121</v>
      </c>
      <c r="M768" s="10">
        <v>146</v>
      </c>
      <c r="N768" s="10">
        <v>135</v>
      </c>
      <c r="O768" s="10">
        <v>101</v>
      </c>
      <c r="P768" s="10">
        <v>125</v>
      </c>
      <c r="Q768" s="10">
        <v>15.4</v>
      </c>
      <c r="R768" s="10">
        <v>1850</v>
      </c>
      <c r="S768" s="10">
        <v>1.08</v>
      </c>
      <c r="T768" s="10">
        <v>2004</v>
      </c>
      <c r="U768" s="10">
        <v>214</v>
      </c>
      <c r="V768" s="10">
        <v>104</v>
      </c>
      <c r="W768" s="10">
        <v>49</v>
      </c>
      <c r="X768" s="10">
        <v>368</v>
      </c>
      <c r="Y768" s="10">
        <v>29</v>
      </c>
      <c r="Z768" s="10">
        <v>195</v>
      </c>
      <c r="AA768" s="10">
        <v>0.59799999999999998</v>
      </c>
      <c r="AB768" s="10">
        <v>158</v>
      </c>
      <c r="AC768" s="10">
        <v>154</v>
      </c>
      <c r="AD768" s="10">
        <v>210</v>
      </c>
      <c r="AE768" s="10">
        <v>6</v>
      </c>
      <c r="AF768" s="10">
        <v>9.1999999999999993</v>
      </c>
      <c r="AG768" s="9" t="s">
        <v>188</v>
      </c>
      <c r="AH768" s="9" t="s">
        <v>169</v>
      </c>
      <c r="AI768" s="9" t="s">
        <v>185</v>
      </c>
      <c r="AJ768" s="10"/>
      <c r="AK768" s="30"/>
    </row>
    <row r="769" spans="5:37">
      <c r="E769" s="28" t="s">
        <v>155</v>
      </c>
      <c r="F769" s="8" t="s">
        <v>245</v>
      </c>
      <c r="G769" s="9" t="s">
        <v>260</v>
      </c>
      <c r="H769" s="10">
        <v>191</v>
      </c>
      <c r="I769" s="9" t="s">
        <v>158</v>
      </c>
      <c r="J769" s="10">
        <v>191</v>
      </c>
      <c r="K769" s="10">
        <v>190.7</v>
      </c>
      <c r="L769" s="10">
        <v>132</v>
      </c>
      <c r="M769" s="10">
        <v>157</v>
      </c>
      <c r="N769" s="10">
        <v>137</v>
      </c>
      <c r="O769" s="10">
        <v>103</v>
      </c>
      <c r="P769" s="10">
        <v>127</v>
      </c>
      <c r="Q769" s="10">
        <v>17.7</v>
      </c>
      <c r="R769" s="10">
        <v>2039</v>
      </c>
      <c r="S769" s="10">
        <v>1.08</v>
      </c>
      <c r="T769" s="10">
        <v>2209</v>
      </c>
      <c r="U769" s="10">
        <v>251</v>
      </c>
      <c r="V769" s="10">
        <v>121</v>
      </c>
      <c r="W769" s="10">
        <v>50</v>
      </c>
      <c r="X769" s="10">
        <v>379</v>
      </c>
      <c r="Y769" s="10">
        <v>28</v>
      </c>
      <c r="Z769" s="10">
        <v>212</v>
      </c>
      <c r="AA769" s="10">
        <v>0.55200000000000005</v>
      </c>
      <c r="AB769" s="10">
        <v>174</v>
      </c>
      <c r="AC769" s="10">
        <v>163</v>
      </c>
      <c r="AD769" s="10">
        <v>204</v>
      </c>
      <c r="AE769" s="10">
        <v>6</v>
      </c>
      <c r="AF769" s="10">
        <v>10.6</v>
      </c>
      <c r="AG769" s="9" t="s">
        <v>188</v>
      </c>
      <c r="AH769" s="9" t="s">
        <v>169</v>
      </c>
      <c r="AI769" s="9" t="s">
        <v>185</v>
      </c>
      <c r="AJ769" s="10"/>
      <c r="AK769" s="30"/>
    </row>
    <row r="770" spans="5:37">
      <c r="E770" s="28" t="s">
        <v>155</v>
      </c>
      <c r="F770" s="8" t="s">
        <v>245</v>
      </c>
      <c r="G770" s="9" t="s">
        <v>337</v>
      </c>
      <c r="H770" s="10">
        <v>156</v>
      </c>
      <c r="I770" s="9" t="s">
        <v>163</v>
      </c>
      <c r="J770" s="10">
        <v>156</v>
      </c>
      <c r="K770" s="10">
        <v>154.80000000000001</v>
      </c>
      <c r="L770" s="10">
        <v>109</v>
      </c>
      <c r="M770" s="10">
        <v>128</v>
      </c>
      <c r="N770" s="10">
        <v>132</v>
      </c>
      <c r="O770" s="10">
        <v>98</v>
      </c>
      <c r="P770" s="10">
        <v>122</v>
      </c>
      <c r="Q770" s="10">
        <v>11.9</v>
      </c>
      <c r="R770" s="10">
        <v>1519</v>
      </c>
      <c r="S770" s="10">
        <v>1.1299999999999999</v>
      </c>
      <c r="T770" s="10">
        <v>1716</v>
      </c>
      <c r="U770" s="10">
        <v>159</v>
      </c>
      <c r="V770" s="10">
        <v>80</v>
      </c>
      <c r="W770" s="10">
        <v>48</v>
      </c>
      <c r="X770" s="10">
        <v>257</v>
      </c>
      <c r="Y770" s="10">
        <v>34</v>
      </c>
      <c r="Z770" s="10">
        <v>198</v>
      </c>
      <c r="AA770" s="10">
        <v>0.71899999999999997</v>
      </c>
      <c r="AB770" s="10">
        <v>132</v>
      </c>
      <c r="AC770" s="10">
        <v>137</v>
      </c>
      <c r="AD770" s="10">
        <v>125</v>
      </c>
      <c r="AE770" s="10">
        <v>4</v>
      </c>
      <c r="AF770" s="10">
        <v>9</v>
      </c>
      <c r="AG770" s="9" t="s">
        <v>188</v>
      </c>
      <c r="AH770" s="9" t="s">
        <v>185</v>
      </c>
      <c r="AI770" s="10"/>
      <c r="AJ770" s="10"/>
      <c r="AK770" s="30"/>
    </row>
    <row r="771" spans="5:37">
      <c r="E771" s="28" t="s">
        <v>155</v>
      </c>
      <c r="F771" s="8" t="s">
        <v>245</v>
      </c>
      <c r="G771" s="9" t="s">
        <v>337</v>
      </c>
      <c r="H771" s="10">
        <v>163</v>
      </c>
      <c r="I771" s="9" t="s">
        <v>163</v>
      </c>
      <c r="J771" s="10">
        <v>163</v>
      </c>
      <c r="K771" s="10">
        <v>162.4</v>
      </c>
      <c r="L771" s="10">
        <v>106</v>
      </c>
      <c r="M771" s="10">
        <v>134</v>
      </c>
      <c r="N771" s="10">
        <v>134</v>
      </c>
      <c r="O771" s="10">
        <v>99</v>
      </c>
      <c r="P771" s="10">
        <v>124</v>
      </c>
      <c r="Q771" s="10">
        <v>12.7</v>
      </c>
      <c r="R771" s="10">
        <v>1609</v>
      </c>
      <c r="S771" s="10">
        <v>1.1299999999999999</v>
      </c>
      <c r="T771" s="10">
        <v>1821</v>
      </c>
      <c r="U771" s="10">
        <v>170</v>
      </c>
      <c r="V771" s="10">
        <v>82</v>
      </c>
      <c r="W771" s="10">
        <v>51</v>
      </c>
      <c r="X771" s="10">
        <v>345</v>
      </c>
      <c r="Y771" s="10">
        <v>32</v>
      </c>
      <c r="Z771" s="10">
        <v>218</v>
      </c>
      <c r="AA771" s="10">
        <v>0.623</v>
      </c>
      <c r="AB771" s="10">
        <v>143</v>
      </c>
      <c r="AC771" s="10">
        <v>145</v>
      </c>
      <c r="AD771" s="10">
        <v>202</v>
      </c>
      <c r="AE771" s="10">
        <v>5</v>
      </c>
      <c r="AF771" s="10">
        <v>9.9</v>
      </c>
      <c r="AG771" s="9" t="s">
        <v>188</v>
      </c>
      <c r="AH771" s="9" t="s">
        <v>185</v>
      </c>
      <c r="AI771" s="10"/>
      <c r="AJ771" s="10"/>
      <c r="AK771" s="30"/>
    </row>
    <row r="772" spans="5:37">
      <c r="E772" s="28" t="s">
        <v>155</v>
      </c>
      <c r="F772" s="8" t="s">
        <v>245</v>
      </c>
      <c r="G772" s="9" t="s">
        <v>337</v>
      </c>
      <c r="H772" s="10">
        <v>170</v>
      </c>
      <c r="I772" s="9" t="s">
        <v>163</v>
      </c>
      <c r="J772" s="10">
        <v>170</v>
      </c>
      <c r="K772" s="10">
        <v>168.3</v>
      </c>
      <c r="L772" s="10">
        <v>113</v>
      </c>
      <c r="M772" s="10">
        <v>139</v>
      </c>
      <c r="N772" s="10">
        <v>135</v>
      </c>
      <c r="O772" s="10">
        <v>100</v>
      </c>
      <c r="P772" s="10">
        <v>124</v>
      </c>
      <c r="Q772" s="10">
        <v>13.7</v>
      </c>
      <c r="R772" s="10">
        <v>1700</v>
      </c>
      <c r="S772" s="10">
        <v>1.1200000000000001</v>
      </c>
      <c r="T772" s="10">
        <v>1900</v>
      </c>
      <c r="U772" s="10">
        <v>191</v>
      </c>
      <c r="V772" s="10">
        <v>86</v>
      </c>
      <c r="W772" s="10">
        <v>50</v>
      </c>
      <c r="X772" s="10">
        <v>361</v>
      </c>
      <c r="Y772" s="10">
        <v>30</v>
      </c>
      <c r="Z772" s="10">
        <v>189</v>
      </c>
      <c r="AA772" s="10">
        <v>0.59399999999999997</v>
      </c>
      <c r="AB772" s="10">
        <v>153</v>
      </c>
      <c r="AC772" s="10">
        <v>139</v>
      </c>
      <c r="AD772" s="10">
        <v>208</v>
      </c>
      <c r="AE772" s="10">
        <v>6</v>
      </c>
      <c r="AF772" s="10">
        <v>10.5</v>
      </c>
      <c r="AG772" s="9" t="s">
        <v>188</v>
      </c>
      <c r="AH772" s="9" t="s">
        <v>185</v>
      </c>
      <c r="AI772" s="10"/>
      <c r="AJ772" s="10"/>
      <c r="AK772" s="30"/>
    </row>
    <row r="773" spans="5:37">
      <c r="E773" s="28" t="s">
        <v>155</v>
      </c>
      <c r="F773" s="8" t="s">
        <v>245</v>
      </c>
      <c r="G773" s="9" t="s">
        <v>337</v>
      </c>
      <c r="H773" s="10">
        <v>177</v>
      </c>
      <c r="I773" s="9" t="s">
        <v>163</v>
      </c>
      <c r="J773" s="10">
        <v>177</v>
      </c>
      <c r="K773" s="10">
        <v>176.5</v>
      </c>
      <c r="L773" s="10">
        <v>119</v>
      </c>
      <c r="M773" s="10">
        <v>147</v>
      </c>
      <c r="N773" s="10">
        <v>135</v>
      </c>
      <c r="O773" s="10">
        <v>101</v>
      </c>
      <c r="P773" s="10">
        <v>125</v>
      </c>
      <c r="Q773" s="10">
        <v>15.2</v>
      </c>
      <c r="R773" s="10">
        <v>1771</v>
      </c>
      <c r="S773" s="10">
        <v>1.1299999999999999</v>
      </c>
      <c r="T773" s="10">
        <v>2009</v>
      </c>
      <c r="U773" s="10">
        <v>229</v>
      </c>
      <c r="V773" s="10">
        <v>105</v>
      </c>
      <c r="W773" s="10">
        <v>49</v>
      </c>
      <c r="X773" s="10">
        <v>380</v>
      </c>
      <c r="Y773" s="10">
        <v>28</v>
      </c>
      <c r="Z773" s="10">
        <v>192</v>
      </c>
      <c r="AA773" s="10">
        <v>0.57499999999999996</v>
      </c>
      <c r="AB773" s="10">
        <v>148</v>
      </c>
      <c r="AC773" s="10">
        <v>152</v>
      </c>
      <c r="AD773" s="10">
        <v>232</v>
      </c>
      <c r="AE773" s="10">
        <v>6</v>
      </c>
      <c r="AF773" s="10">
        <v>10.7</v>
      </c>
      <c r="AG773" s="9" t="s">
        <v>188</v>
      </c>
      <c r="AH773" s="9" t="s">
        <v>169</v>
      </c>
      <c r="AI773" s="9" t="s">
        <v>185</v>
      </c>
      <c r="AJ773" s="10"/>
      <c r="AK773" s="30"/>
    </row>
    <row r="774" spans="5:37">
      <c r="E774" s="28" t="s">
        <v>155</v>
      </c>
      <c r="F774" s="8" t="s">
        <v>245</v>
      </c>
      <c r="G774" s="9" t="s">
        <v>337</v>
      </c>
      <c r="H774" s="10">
        <v>184</v>
      </c>
      <c r="I774" s="9" t="s">
        <v>163</v>
      </c>
      <c r="J774" s="10">
        <v>184</v>
      </c>
      <c r="K774" s="10">
        <v>184.2</v>
      </c>
      <c r="L774" s="10">
        <v>125</v>
      </c>
      <c r="M774" s="10">
        <v>152</v>
      </c>
      <c r="N774" s="10">
        <v>137</v>
      </c>
      <c r="O774" s="10">
        <v>102</v>
      </c>
      <c r="P774" s="10">
        <v>127</v>
      </c>
      <c r="Q774" s="10">
        <v>16.100000000000001</v>
      </c>
      <c r="R774" s="10">
        <v>1930</v>
      </c>
      <c r="S774" s="10">
        <v>1.1000000000000001</v>
      </c>
      <c r="T774" s="10">
        <v>2127</v>
      </c>
      <c r="U774" s="10">
        <v>230</v>
      </c>
      <c r="V774" s="10">
        <v>108</v>
      </c>
      <c r="W774" s="10">
        <v>51</v>
      </c>
      <c r="X774" s="10">
        <v>396</v>
      </c>
      <c r="Y774" s="10">
        <v>28</v>
      </c>
      <c r="Z774" s="10">
        <v>199</v>
      </c>
      <c r="AA774" s="10">
        <v>0.55200000000000005</v>
      </c>
      <c r="AB774" s="10">
        <v>156</v>
      </c>
      <c r="AC774" s="10">
        <v>168</v>
      </c>
      <c r="AD774" s="10">
        <v>240</v>
      </c>
      <c r="AE774" s="10">
        <v>5</v>
      </c>
      <c r="AF774" s="10">
        <v>10</v>
      </c>
      <c r="AG774" s="9" t="s">
        <v>188</v>
      </c>
      <c r="AH774" s="9" t="s">
        <v>169</v>
      </c>
      <c r="AI774" s="9" t="s">
        <v>185</v>
      </c>
      <c r="AJ774" s="10"/>
      <c r="AK774" s="30"/>
    </row>
    <row r="775" spans="5:37">
      <c r="E775" s="28" t="s">
        <v>155</v>
      </c>
      <c r="F775" s="8" t="s">
        <v>245</v>
      </c>
      <c r="G775" s="9" t="s">
        <v>337</v>
      </c>
      <c r="H775" s="10">
        <v>191</v>
      </c>
      <c r="I775" s="9" t="s">
        <v>163</v>
      </c>
      <c r="J775" s="10">
        <v>191</v>
      </c>
      <c r="K775" s="10">
        <v>190.3</v>
      </c>
      <c r="L775" s="10">
        <v>131</v>
      </c>
      <c r="M775" s="10">
        <v>157</v>
      </c>
      <c r="N775" s="10">
        <v>137</v>
      </c>
      <c r="O775" s="10">
        <v>103</v>
      </c>
      <c r="P775" s="10">
        <v>127</v>
      </c>
      <c r="Q775" s="10">
        <v>17.7</v>
      </c>
      <c r="R775" s="10">
        <v>2039</v>
      </c>
      <c r="S775" s="10">
        <v>1.08</v>
      </c>
      <c r="T775" s="10">
        <v>2205</v>
      </c>
      <c r="U775" s="10">
        <v>247</v>
      </c>
      <c r="V775" s="10">
        <v>126</v>
      </c>
      <c r="W775" s="10">
        <v>49</v>
      </c>
      <c r="X775" s="10">
        <v>379</v>
      </c>
      <c r="Y775" s="10">
        <v>27</v>
      </c>
      <c r="Z775" s="10">
        <v>212</v>
      </c>
      <c r="AA775" s="10">
        <v>0.55100000000000005</v>
      </c>
      <c r="AB775" s="10">
        <v>174</v>
      </c>
      <c r="AC775" s="10">
        <v>155</v>
      </c>
      <c r="AD775" s="10">
        <v>205</v>
      </c>
      <c r="AE775" s="10">
        <v>7</v>
      </c>
      <c r="AF775" s="10">
        <v>10.7</v>
      </c>
      <c r="AG775" s="9" t="s">
        <v>188</v>
      </c>
      <c r="AH775" s="9" t="s">
        <v>169</v>
      </c>
      <c r="AI775" s="9" t="s">
        <v>185</v>
      </c>
      <c r="AJ775" s="10"/>
      <c r="AK775" s="30"/>
    </row>
    <row r="776" spans="5:37">
      <c r="E776" s="28" t="s">
        <v>155</v>
      </c>
      <c r="F776" s="8" t="s">
        <v>245</v>
      </c>
      <c r="G776" s="9" t="s">
        <v>462</v>
      </c>
      <c r="H776" s="10">
        <v>172</v>
      </c>
      <c r="I776" s="9" t="s">
        <v>158</v>
      </c>
      <c r="J776" s="10">
        <v>172</v>
      </c>
      <c r="K776" s="10">
        <v>171.2</v>
      </c>
      <c r="L776" s="10">
        <v>117</v>
      </c>
      <c r="M776" s="10">
        <v>140</v>
      </c>
      <c r="N776" s="10">
        <v>138</v>
      </c>
      <c r="O776" s="10">
        <v>109</v>
      </c>
      <c r="P776" s="10">
        <v>128</v>
      </c>
      <c r="Q776" s="10">
        <v>17.3</v>
      </c>
      <c r="R776" s="10">
        <v>1827</v>
      </c>
      <c r="S776" s="10">
        <v>1.1100000000000001</v>
      </c>
      <c r="T776" s="10">
        <v>2027</v>
      </c>
      <c r="U776" s="10">
        <v>186</v>
      </c>
      <c r="V776" s="10">
        <v>91</v>
      </c>
      <c r="W776" s="10">
        <v>51</v>
      </c>
      <c r="X776" s="10">
        <v>340</v>
      </c>
      <c r="Y776" s="10">
        <v>30</v>
      </c>
      <c r="Z776" s="10">
        <v>205</v>
      </c>
      <c r="AA776" s="10">
        <v>0.58699999999999997</v>
      </c>
      <c r="AB776" s="10">
        <v>159</v>
      </c>
      <c r="AC776" s="10">
        <v>152</v>
      </c>
      <c r="AD776" s="10">
        <v>180</v>
      </c>
      <c r="AE776" s="10">
        <v>7</v>
      </c>
      <c r="AF776" s="10">
        <v>9.6</v>
      </c>
      <c r="AG776" s="9" t="s">
        <v>169</v>
      </c>
      <c r="AH776" s="9" t="s">
        <v>185</v>
      </c>
      <c r="AI776" s="10"/>
      <c r="AJ776" s="10"/>
      <c r="AK776" s="30"/>
    </row>
    <row r="777" spans="5:37">
      <c r="E777" s="28" t="s">
        <v>155</v>
      </c>
      <c r="F777" s="8" t="s">
        <v>245</v>
      </c>
      <c r="G777" s="9" t="s">
        <v>462</v>
      </c>
      <c r="H777" s="10">
        <v>178</v>
      </c>
      <c r="I777" s="9" t="s">
        <v>158</v>
      </c>
      <c r="J777" s="10">
        <v>178</v>
      </c>
      <c r="K777" s="10">
        <v>179</v>
      </c>
      <c r="L777" s="10">
        <v>130</v>
      </c>
      <c r="M777" s="10">
        <v>148</v>
      </c>
      <c r="N777" s="10">
        <v>140</v>
      </c>
      <c r="O777" s="10">
        <v>111</v>
      </c>
      <c r="P777" s="10">
        <v>130</v>
      </c>
      <c r="Q777" s="10">
        <v>19</v>
      </c>
      <c r="R777" s="10">
        <v>1998</v>
      </c>
      <c r="S777" s="10">
        <v>1.08</v>
      </c>
      <c r="T777" s="10">
        <v>2157</v>
      </c>
      <c r="U777" s="10">
        <v>203</v>
      </c>
      <c r="V777" s="10">
        <v>91</v>
      </c>
      <c r="W777" s="10">
        <v>46</v>
      </c>
      <c r="X777" s="10">
        <v>316</v>
      </c>
      <c r="Y777" s="10">
        <v>31</v>
      </c>
      <c r="Z777" s="10">
        <v>179</v>
      </c>
      <c r="AA777" s="10">
        <v>0.67400000000000004</v>
      </c>
      <c r="AB777" s="10">
        <v>149</v>
      </c>
      <c r="AC777" s="10">
        <v>160</v>
      </c>
      <c r="AD777" s="10">
        <v>167</v>
      </c>
      <c r="AE777" s="10">
        <v>9</v>
      </c>
      <c r="AF777" s="10">
        <v>9.5</v>
      </c>
      <c r="AG777" s="9" t="s">
        <v>169</v>
      </c>
      <c r="AH777" s="9" t="s">
        <v>185</v>
      </c>
      <c r="AI777" s="10"/>
      <c r="AJ777" s="10"/>
      <c r="AK777" s="30"/>
    </row>
    <row r="778" spans="5:37">
      <c r="E778" s="28" t="s">
        <v>155</v>
      </c>
      <c r="F778" s="8" t="s">
        <v>245</v>
      </c>
      <c r="G778" s="9" t="s">
        <v>462</v>
      </c>
      <c r="H778" s="10">
        <v>188</v>
      </c>
      <c r="I778" s="9" t="s">
        <v>158</v>
      </c>
      <c r="J778" s="10">
        <v>188</v>
      </c>
      <c r="K778" s="10">
        <v>186.8</v>
      </c>
      <c r="L778" s="10">
        <v>125</v>
      </c>
      <c r="M778" s="10">
        <v>152</v>
      </c>
      <c r="N778" s="10">
        <v>144</v>
      </c>
      <c r="O778" s="10">
        <v>114</v>
      </c>
      <c r="P778" s="10">
        <v>134</v>
      </c>
      <c r="Q778" s="10">
        <v>20.2</v>
      </c>
      <c r="R778" s="10">
        <v>2104</v>
      </c>
      <c r="S778" s="10">
        <v>1.1000000000000001</v>
      </c>
      <c r="T778" s="10">
        <v>2309</v>
      </c>
      <c r="U778" s="10">
        <v>245</v>
      </c>
      <c r="V778" s="10">
        <v>101</v>
      </c>
      <c r="W778" s="10">
        <v>51</v>
      </c>
      <c r="X778" s="10">
        <v>401</v>
      </c>
      <c r="Y778" s="10">
        <v>38</v>
      </c>
      <c r="Z778" s="10">
        <v>214</v>
      </c>
      <c r="AA778" s="10">
        <v>0.73799999999999999</v>
      </c>
      <c r="AB778" s="10">
        <v>173</v>
      </c>
      <c r="AC778" s="10">
        <v>175</v>
      </c>
      <c r="AD778" s="10">
        <v>228</v>
      </c>
      <c r="AE778" s="10">
        <v>7</v>
      </c>
      <c r="AF778" s="10">
        <v>9.3000000000000007</v>
      </c>
      <c r="AG778" s="9" t="s">
        <v>169</v>
      </c>
      <c r="AH778" s="9" t="s">
        <v>185</v>
      </c>
      <c r="AI778" s="10"/>
      <c r="AJ778" s="10"/>
      <c r="AK778" s="30"/>
    </row>
    <row r="779" spans="5:37">
      <c r="E779" s="28" t="s">
        <v>155</v>
      </c>
      <c r="F779" s="8" t="s">
        <v>245</v>
      </c>
      <c r="G779" s="9" t="s">
        <v>462</v>
      </c>
      <c r="H779" s="10">
        <v>196</v>
      </c>
      <c r="I779" s="9" t="s">
        <v>158</v>
      </c>
      <c r="J779" s="10">
        <v>196</v>
      </c>
      <c r="K779" s="10">
        <v>195.1</v>
      </c>
      <c r="L779" s="10">
        <v>136</v>
      </c>
      <c r="M779" s="10">
        <v>159</v>
      </c>
      <c r="N779" s="10">
        <v>146</v>
      </c>
      <c r="O779" s="10">
        <v>116</v>
      </c>
      <c r="P779" s="10">
        <v>136</v>
      </c>
      <c r="Q779" s="10">
        <v>21.7</v>
      </c>
      <c r="R779" s="10">
        <v>2307</v>
      </c>
      <c r="S779" s="10">
        <v>1.07</v>
      </c>
      <c r="T779" s="10">
        <v>2465</v>
      </c>
      <c r="U779" s="10">
        <v>240</v>
      </c>
      <c r="V779" s="10">
        <v>114</v>
      </c>
      <c r="W779" s="10">
        <v>51</v>
      </c>
      <c r="X779" s="10">
        <v>361</v>
      </c>
      <c r="Y779" s="10">
        <v>38</v>
      </c>
      <c r="Z779" s="10">
        <v>227</v>
      </c>
      <c r="AA779" s="10">
        <v>0.75700000000000001</v>
      </c>
      <c r="AB779" s="10">
        <v>176</v>
      </c>
      <c r="AC779" s="10">
        <v>184</v>
      </c>
      <c r="AD779" s="10">
        <v>185</v>
      </c>
      <c r="AE779" s="10">
        <v>10</v>
      </c>
      <c r="AF779" s="10">
        <v>8.6999999999999993</v>
      </c>
      <c r="AG779" s="9" t="s">
        <v>169</v>
      </c>
      <c r="AH779" s="9" t="s">
        <v>185</v>
      </c>
      <c r="AI779" s="10"/>
      <c r="AJ779" s="10"/>
      <c r="AK779" s="30"/>
    </row>
    <row r="780" spans="5:37">
      <c r="E780" s="28" t="s">
        <v>155</v>
      </c>
      <c r="F780" s="8" t="s">
        <v>245</v>
      </c>
      <c r="G780" s="9" t="s">
        <v>326</v>
      </c>
      <c r="H780" s="10">
        <v>172</v>
      </c>
      <c r="I780" s="9" t="s">
        <v>158</v>
      </c>
      <c r="J780" s="10">
        <v>172</v>
      </c>
      <c r="K780" s="10">
        <v>170.6</v>
      </c>
      <c r="L780" s="10">
        <v>138</v>
      </c>
      <c r="M780" s="10">
        <v>145</v>
      </c>
      <c r="N780" s="10">
        <v>129</v>
      </c>
      <c r="O780" s="10">
        <v>92</v>
      </c>
      <c r="P780" s="10">
        <v>117</v>
      </c>
      <c r="Q780" s="10">
        <v>15.3</v>
      </c>
      <c r="R780" s="10">
        <v>1677</v>
      </c>
      <c r="S780" s="10">
        <v>1.06</v>
      </c>
      <c r="T780" s="10">
        <v>1782</v>
      </c>
      <c r="U780" s="10">
        <v>214</v>
      </c>
      <c r="V780" s="10">
        <v>103</v>
      </c>
      <c r="W780" s="10">
        <v>56</v>
      </c>
      <c r="X780" s="10">
        <v>203</v>
      </c>
      <c r="Y780" s="10">
        <v>22</v>
      </c>
      <c r="Z780" s="10">
        <v>123</v>
      </c>
      <c r="AA780" s="10">
        <v>0.39200000000000002</v>
      </c>
      <c r="AB780" s="10">
        <v>153</v>
      </c>
      <c r="AC780" s="10">
        <v>98</v>
      </c>
      <c r="AD780" s="10">
        <v>50</v>
      </c>
      <c r="AE780" s="10">
        <v>8</v>
      </c>
      <c r="AF780" s="10">
        <v>10.9</v>
      </c>
      <c r="AG780" s="9" t="s">
        <v>188</v>
      </c>
      <c r="AH780" s="9" t="s">
        <v>185</v>
      </c>
      <c r="AI780" s="10"/>
      <c r="AJ780" s="10"/>
      <c r="AK780" s="30"/>
    </row>
    <row r="781" spans="5:37">
      <c r="E781" s="28" t="s">
        <v>155</v>
      </c>
      <c r="F781" s="8" t="s">
        <v>245</v>
      </c>
      <c r="G781" s="9" t="s">
        <v>418</v>
      </c>
      <c r="H781" s="10">
        <v>171</v>
      </c>
      <c r="I781" s="9" t="s">
        <v>158</v>
      </c>
      <c r="J781" s="10">
        <v>171</v>
      </c>
      <c r="K781" s="10">
        <v>170.8</v>
      </c>
      <c r="L781" s="10">
        <v>117</v>
      </c>
      <c r="M781" s="10">
        <v>144</v>
      </c>
      <c r="N781" s="10">
        <v>124</v>
      </c>
      <c r="O781" s="10">
        <v>89</v>
      </c>
      <c r="P781" s="10">
        <v>115</v>
      </c>
      <c r="Q781" s="10">
        <v>14.3</v>
      </c>
      <c r="R781" s="10">
        <v>1645</v>
      </c>
      <c r="S781" s="10">
        <v>1.06</v>
      </c>
      <c r="T781" s="10">
        <v>1751</v>
      </c>
      <c r="U781" s="10">
        <v>187</v>
      </c>
      <c r="V781" s="10">
        <v>116</v>
      </c>
      <c r="W781" s="10">
        <v>49</v>
      </c>
      <c r="X781" s="10">
        <v>317</v>
      </c>
      <c r="Y781" s="10">
        <v>16</v>
      </c>
      <c r="Z781" s="10">
        <v>216</v>
      </c>
      <c r="AA781" s="10">
        <v>0.31900000000000001</v>
      </c>
      <c r="AB781" s="10">
        <v>132</v>
      </c>
      <c r="AC781" s="10">
        <v>138</v>
      </c>
      <c r="AD781" s="10">
        <v>186</v>
      </c>
      <c r="AE781" s="10">
        <v>4</v>
      </c>
      <c r="AF781" s="10">
        <v>9.8000000000000007</v>
      </c>
      <c r="AG781" s="9" t="s">
        <v>188</v>
      </c>
      <c r="AH781" s="9" t="s">
        <v>185</v>
      </c>
      <c r="AI781" s="10"/>
      <c r="AJ781" s="10"/>
      <c r="AK781" s="30"/>
    </row>
    <row r="782" spans="5:37">
      <c r="E782" s="28" t="s">
        <v>155</v>
      </c>
      <c r="F782" s="8" t="s">
        <v>245</v>
      </c>
      <c r="G782" s="9" t="s">
        <v>418</v>
      </c>
      <c r="H782" s="10">
        <v>178</v>
      </c>
      <c r="I782" s="9" t="s">
        <v>158</v>
      </c>
      <c r="J782" s="10">
        <v>178</v>
      </c>
      <c r="K782" s="10">
        <v>177.5</v>
      </c>
      <c r="L782" s="10">
        <v>125</v>
      </c>
      <c r="M782" s="10">
        <v>151</v>
      </c>
      <c r="N782" s="10">
        <v>125</v>
      </c>
      <c r="O782" s="10">
        <v>90</v>
      </c>
      <c r="P782" s="10">
        <v>116</v>
      </c>
      <c r="Q782" s="10">
        <v>15.5</v>
      </c>
      <c r="R782" s="10">
        <v>1775</v>
      </c>
      <c r="S782" s="10">
        <v>1.04</v>
      </c>
      <c r="T782" s="10">
        <v>1839</v>
      </c>
      <c r="U782" s="10">
        <v>228</v>
      </c>
      <c r="V782" s="10">
        <v>127</v>
      </c>
      <c r="W782" s="10">
        <v>48</v>
      </c>
      <c r="X782" s="10">
        <v>304</v>
      </c>
      <c r="Y782" s="10">
        <v>15</v>
      </c>
      <c r="Z782" s="10">
        <v>220</v>
      </c>
      <c r="AA782" s="10">
        <v>0.317</v>
      </c>
      <c r="AB782" s="10">
        <v>135</v>
      </c>
      <c r="AC782" s="10">
        <v>133</v>
      </c>
      <c r="AD782" s="10">
        <v>170</v>
      </c>
      <c r="AE782" s="10">
        <v>4</v>
      </c>
      <c r="AF782" s="10">
        <v>8.4</v>
      </c>
      <c r="AG782" s="9" t="s">
        <v>188</v>
      </c>
      <c r="AH782" s="10"/>
      <c r="AI782" s="10"/>
      <c r="AJ782" s="10"/>
      <c r="AK782" s="30"/>
    </row>
    <row r="783" spans="5:37">
      <c r="E783" s="28" t="s">
        <v>155</v>
      </c>
      <c r="F783" s="8" t="s">
        <v>245</v>
      </c>
      <c r="G783" s="9" t="s">
        <v>418</v>
      </c>
      <c r="H783" s="10">
        <v>185</v>
      </c>
      <c r="I783" s="9" t="s">
        <v>158</v>
      </c>
      <c r="J783" s="10">
        <v>185</v>
      </c>
      <c r="K783" s="10">
        <v>184.5</v>
      </c>
      <c r="L783" s="10">
        <v>131</v>
      </c>
      <c r="M783" s="10">
        <v>155</v>
      </c>
      <c r="N783" s="10">
        <v>126</v>
      </c>
      <c r="O783" s="10">
        <v>91</v>
      </c>
      <c r="P783" s="10">
        <v>117</v>
      </c>
      <c r="Q783" s="10">
        <v>16.600000000000001</v>
      </c>
      <c r="R783" s="10">
        <v>1851</v>
      </c>
      <c r="S783" s="10">
        <v>1.04</v>
      </c>
      <c r="T783" s="10">
        <v>1932</v>
      </c>
      <c r="U783" s="10">
        <v>266</v>
      </c>
      <c r="V783" s="10">
        <v>141</v>
      </c>
      <c r="W783" s="10">
        <v>49</v>
      </c>
      <c r="X783" s="10">
        <v>312</v>
      </c>
      <c r="Y783" s="10">
        <v>19</v>
      </c>
      <c r="Z783" s="10">
        <v>227</v>
      </c>
      <c r="AA783" s="10">
        <v>0.39300000000000002</v>
      </c>
      <c r="AB783" s="10">
        <v>140</v>
      </c>
      <c r="AC783" s="10">
        <v>150</v>
      </c>
      <c r="AD783" s="10">
        <v>172</v>
      </c>
      <c r="AE783" s="10">
        <v>5</v>
      </c>
      <c r="AF783" s="10">
        <v>10.5</v>
      </c>
      <c r="AG783" s="9" t="s">
        <v>188</v>
      </c>
      <c r="AH783" s="10"/>
      <c r="AI783" s="10"/>
      <c r="AJ783" s="10"/>
      <c r="AK783" s="30"/>
    </row>
    <row r="784" spans="5:37">
      <c r="E784" s="28" t="s">
        <v>155</v>
      </c>
      <c r="F784" s="8" t="s">
        <v>245</v>
      </c>
      <c r="G784" s="9" t="s">
        <v>291</v>
      </c>
      <c r="H784" s="10">
        <v>155</v>
      </c>
      <c r="I784" s="9" t="s">
        <v>163</v>
      </c>
      <c r="J784" s="10">
        <v>155</v>
      </c>
      <c r="K784" s="10">
        <v>154.1</v>
      </c>
      <c r="L784" s="10">
        <v>109</v>
      </c>
      <c r="M784" s="10">
        <v>131</v>
      </c>
      <c r="N784" s="10">
        <v>120</v>
      </c>
      <c r="O784" s="10">
        <v>87</v>
      </c>
      <c r="P784" s="10">
        <v>109</v>
      </c>
      <c r="Q784" s="10">
        <v>13.1</v>
      </c>
      <c r="R784" s="10">
        <v>1530</v>
      </c>
      <c r="S784" s="10">
        <v>1</v>
      </c>
      <c r="T784" s="10">
        <v>1525</v>
      </c>
      <c r="U784" s="10">
        <v>179</v>
      </c>
      <c r="V784" s="10">
        <v>111</v>
      </c>
      <c r="W784" s="10">
        <v>48</v>
      </c>
      <c r="X784" s="10">
        <v>288</v>
      </c>
      <c r="Y784" s="10">
        <v>15</v>
      </c>
      <c r="Z784" s="10">
        <v>160</v>
      </c>
      <c r="AA784" s="10">
        <v>0.308</v>
      </c>
      <c r="AB784" s="10">
        <v>114</v>
      </c>
      <c r="AC784" s="10">
        <v>119</v>
      </c>
      <c r="AD784" s="10">
        <v>173</v>
      </c>
      <c r="AE784" s="10">
        <v>2</v>
      </c>
      <c r="AF784" s="10">
        <v>10.1</v>
      </c>
      <c r="AG784" s="9" t="s">
        <v>188</v>
      </c>
      <c r="AH784" s="10"/>
      <c r="AI784" s="10"/>
      <c r="AJ784" s="10"/>
      <c r="AK784" s="30"/>
    </row>
    <row r="785" spans="5:37">
      <c r="E785" s="28" t="s">
        <v>155</v>
      </c>
      <c r="F785" s="8" t="s">
        <v>245</v>
      </c>
      <c r="G785" s="9" t="s">
        <v>291</v>
      </c>
      <c r="H785" s="10">
        <v>163</v>
      </c>
      <c r="I785" s="9" t="s">
        <v>163</v>
      </c>
      <c r="J785" s="10">
        <v>163</v>
      </c>
      <c r="K785" s="10">
        <v>162.1</v>
      </c>
      <c r="L785" s="10">
        <v>113</v>
      </c>
      <c r="M785" s="10">
        <v>138</v>
      </c>
      <c r="N785" s="10">
        <v>123</v>
      </c>
      <c r="O785" s="10">
        <v>88</v>
      </c>
      <c r="P785" s="10">
        <v>113</v>
      </c>
      <c r="Q785" s="10">
        <v>13.5</v>
      </c>
      <c r="R785" s="10">
        <v>1649</v>
      </c>
      <c r="S785" s="10">
        <v>1</v>
      </c>
      <c r="T785" s="10">
        <v>1642</v>
      </c>
      <c r="U785" s="10">
        <v>176</v>
      </c>
      <c r="V785" s="10">
        <v>114</v>
      </c>
      <c r="W785" s="10">
        <v>49</v>
      </c>
      <c r="X785" s="10">
        <v>296</v>
      </c>
      <c r="Y785" s="10">
        <v>15</v>
      </c>
      <c r="Z785" s="10">
        <v>197</v>
      </c>
      <c r="AA785" s="10">
        <v>0.3</v>
      </c>
      <c r="AB785" s="10">
        <v>121</v>
      </c>
      <c r="AC785" s="10">
        <v>121</v>
      </c>
      <c r="AD785" s="10">
        <v>174</v>
      </c>
      <c r="AE785" s="10">
        <v>4</v>
      </c>
      <c r="AF785" s="10">
        <v>9.4</v>
      </c>
      <c r="AG785" s="9" t="s">
        <v>188</v>
      </c>
      <c r="AH785" s="10"/>
      <c r="AI785" s="10"/>
      <c r="AJ785" s="10"/>
      <c r="AK785" s="30"/>
    </row>
    <row r="786" spans="5:37">
      <c r="E786" s="28" t="s">
        <v>155</v>
      </c>
      <c r="F786" s="8" t="s">
        <v>245</v>
      </c>
      <c r="G786" s="9" t="s">
        <v>291</v>
      </c>
      <c r="H786" s="10">
        <v>171</v>
      </c>
      <c r="I786" s="9" t="s">
        <v>163</v>
      </c>
      <c r="J786" s="10">
        <v>171</v>
      </c>
      <c r="K786" s="10">
        <v>170.6</v>
      </c>
      <c r="L786" s="10">
        <v>119</v>
      </c>
      <c r="M786" s="10">
        <v>145</v>
      </c>
      <c r="N786" s="10">
        <v>124</v>
      </c>
      <c r="O786" s="10">
        <v>89</v>
      </c>
      <c r="P786" s="10">
        <v>115</v>
      </c>
      <c r="Q786" s="10">
        <v>14.5</v>
      </c>
      <c r="R786" s="10">
        <v>1752</v>
      </c>
      <c r="S786" s="10">
        <v>1</v>
      </c>
      <c r="T786" s="10">
        <v>1748</v>
      </c>
      <c r="U786" s="10">
        <v>185</v>
      </c>
      <c r="V786" s="10">
        <v>117</v>
      </c>
      <c r="W786" s="10">
        <v>47</v>
      </c>
      <c r="X786" s="10">
        <v>310</v>
      </c>
      <c r="Y786" s="10">
        <v>16</v>
      </c>
      <c r="Z786" s="10">
        <v>207</v>
      </c>
      <c r="AA786" s="10">
        <v>0.33900000000000002</v>
      </c>
      <c r="AB786" s="10">
        <v>130</v>
      </c>
      <c r="AC786" s="10">
        <v>129</v>
      </c>
      <c r="AD786" s="10">
        <v>180</v>
      </c>
      <c r="AE786" s="10">
        <v>5</v>
      </c>
      <c r="AF786" s="10">
        <v>9.8000000000000007</v>
      </c>
      <c r="AG786" s="9" t="s">
        <v>188</v>
      </c>
      <c r="AH786" s="10"/>
      <c r="AI786" s="10"/>
      <c r="AJ786" s="10"/>
      <c r="AK786" s="30"/>
    </row>
    <row r="787" spans="5:37">
      <c r="E787" s="28" t="s">
        <v>155</v>
      </c>
      <c r="F787" s="8" t="s">
        <v>245</v>
      </c>
      <c r="G787" s="9" t="s">
        <v>293</v>
      </c>
      <c r="H787" s="10">
        <v>153</v>
      </c>
      <c r="I787" s="9" t="s">
        <v>158</v>
      </c>
      <c r="J787" s="10">
        <v>153</v>
      </c>
      <c r="K787" s="10">
        <v>152.5</v>
      </c>
      <c r="L787" s="10">
        <v>105</v>
      </c>
      <c r="M787" s="10">
        <v>126</v>
      </c>
      <c r="N787" s="10">
        <v>121</v>
      </c>
      <c r="O787" s="10">
        <v>88</v>
      </c>
      <c r="P787" s="10">
        <v>111</v>
      </c>
      <c r="Q787" s="10">
        <v>11.9</v>
      </c>
      <c r="R787" s="10">
        <v>1451</v>
      </c>
      <c r="S787" s="10">
        <v>1.05</v>
      </c>
      <c r="T787" s="10">
        <v>1525</v>
      </c>
      <c r="U787" s="10">
        <v>152</v>
      </c>
      <c r="V787" s="10">
        <v>79</v>
      </c>
      <c r="W787" s="10">
        <v>53</v>
      </c>
      <c r="X787" s="10">
        <v>294</v>
      </c>
      <c r="Y787" s="10">
        <v>31</v>
      </c>
      <c r="Z787" s="10">
        <v>184</v>
      </c>
      <c r="AA787" s="10">
        <v>0.58699999999999997</v>
      </c>
      <c r="AB787" s="10">
        <v>135</v>
      </c>
      <c r="AC787" s="10">
        <v>131</v>
      </c>
      <c r="AD787" s="10">
        <v>159</v>
      </c>
      <c r="AE787" s="10">
        <v>5</v>
      </c>
      <c r="AF787" s="10">
        <v>6.8</v>
      </c>
      <c r="AG787" s="9" t="s">
        <v>188</v>
      </c>
      <c r="AH787" s="9" t="s">
        <v>185</v>
      </c>
      <c r="AI787" s="10"/>
      <c r="AJ787" s="10"/>
      <c r="AK787" s="30"/>
    </row>
    <row r="788" spans="5:37">
      <c r="E788" s="28" t="s">
        <v>155</v>
      </c>
      <c r="F788" s="8" t="s">
        <v>245</v>
      </c>
      <c r="G788" s="9" t="s">
        <v>293</v>
      </c>
      <c r="H788" s="10">
        <v>169</v>
      </c>
      <c r="I788" s="9" t="s">
        <v>158</v>
      </c>
      <c r="J788" s="10">
        <v>169</v>
      </c>
      <c r="K788" s="10">
        <v>168.3</v>
      </c>
      <c r="L788" s="10">
        <v>119</v>
      </c>
      <c r="M788" s="10">
        <v>137</v>
      </c>
      <c r="N788" s="10">
        <v>125</v>
      </c>
      <c r="O788" s="10">
        <v>90</v>
      </c>
      <c r="P788" s="10">
        <v>115</v>
      </c>
      <c r="Q788" s="10">
        <v>13.2</v>
      </c>
      <c r="R788" s="10">
        <v>1713</v>
      </c>
      <c r="S788" s="10">
        <v>1.01</v>
      </c>
      <c r="T788" s="10">
        <v>1736</v>
      </c>
      <c r="U788" s="10">
        <v>207</v>
      </c>
      <c r="V788" s="10">
        <v>104</v>
      </c>
      <c r="W788" s="10">
        <v>50</v>
      </c>
      <c r="X788" s="10">
        <v>299</v>
      </c>
      <c r="Y788" s="10">
        <v>31</v>
      </c>
      <c r="Z788" s="10">
        <v>190</v>
      </c>
      <c r="AA788" s="10">
        <v>0.621</v>
      </c>
      <c r="AB788" s="10">
        <v>167</v>
      </c>
      <c r="AC788" s="10">
        <v>145</v>
      </c>
      <c r="AD788" s="10">
        <v>132</v>
      </c>
      <c r="AE788" s="10">
        <v>6</v>
      </c>
      <c r="AF788" s="10">
        <v>8</v>
      </c>
      <c r="AG788" s="9" t="s">
        <v>188</v>
      </c>
      <c r="AH788" s="10"/>
      <c r="AI788" s="10"/>
      <c r="AJ788" s="10"/>
      <c r="AK788" s="30"/>
    </row>
    <row r="789" spans="5:37">
      <c r="E789" s="28" t="s">
        <v>155</v>
      </c>
      <c r="F789" s="8" t="s">
        <v>245</v>
      </c>
      <c r="G789" s="9" t="s">
        <v>293</v>
      </c>
      <c r="H789" s="10">
        <v>177</v>
      </c>
      <c r="I789" s="9" t="s">
        <v>158</v>
      </c>
      <c r="J789" s="10">
        <v>177</v>
      </c>
      <c r="K789" s="10">
        <v>176</v>
      </c>
      <c r="L789" s="10">
        <v>113</v>
      </c>
      <c r="M789" s="10">
        <v>148</v>
      </c>
      <c r="N789" s="10">
        <v>125</v>
      </c>
      <c r="O789" s="10">
        <v>91</v>
      </c>
      <c r="P789" s="10">
        <v>116</v>
      </c>
      <c r="Q789" s="10">
        <v>15</v>
      </c>
      <c r="R789" s="10">
        <v>1867</v>
      </c>
      <c r="S789" s="10">
        <v>0.98</v>
      </c>
      <c r="T789" s="10">
        <v>1837</v>
      </c>
      <c r="U789" s="10">
        <v>221</v>
      </c>
      <c r="V789" s="10">
        <v>114</v>
      </c>
      <c r="W789" s="10">
        <v>56</v>
      </c>
      <c r="X789" s="10">
        <v>387</v>
      </c>
      <c r="Y789" s="10">
        <v>34</v>
      </c>
      <c r="Z789" s="10">
        <v>241</v>
      </c>
      <c r="AA789" s="10">
        <v>0.60699999999999998</v>
      </c>
      <c r="AB789" s="10">
        <v>146</v>
      </c>
      <c r="AC789" s="10">
        <v>139</v>
      </c>
      <c r="AD789" s="10">
        <v>241</v>
      </c>
      <c r="AE789" s="10">
        <v>5</v>
      </c>
      <c r="AF789" s="10">
        <v>8.9</v>
      </c>
      <c r="AG789" s="9" t="s">
        <v>188</v>
      </c>
      <c r="AH789" s="10"/>
      <c r="AI789" s="10"/>
      <c r="AJ789" s="10"/>
      <c r="AK789" s="30"/>
    </row>
    <row r="790" spans="5:37">
      <c r="E790" s="28" t="s">
        <v>155</v>
      </c>
      <c r="F790" s="8" t="s">
        <v>245</v>
      </c>
      <c r="G790" s="9" t="s">
        <v>246</v>
      </c>
      <c r="H790" s="10">
        <v>161</v>
      </c>
      <c r="I790" s="9" t="s">
        <v>163</v>
      </c>
      <c r="J790" s="10">
        <v>161</v>
      </c>
      <c r="K790" s="10">
        <v>160.1</v>
      </c>
      <c r="L790" s="10">
        <v>106</v>
      </c>
      <c r="M790" s="10">
        <v>131</v>
      </c>
      <c r="N790" s="10">
        <v>123</v>
      </c>
      <c r="O790" s="10">
        <v>89</v>
      </c>
      <c r="P790" s="10">
        <v>114</v>
      </c>
      <c r="Q790" s="10">
        <v>12.4</v>
      </c>
      <c r="R790" s="10">
        <v>1454</v>
      </c>
      <c r="S790" s="10">
        <v>1.1299999999999999</v>
      </c>
      <c r="T790" s="10">
        <v>1638</v>
      </c>
      <c r="U790" s="10">
        <v>167</v>
      </c>
      <c r="V790" s="10">
        <v>83</v>
      </c>
      <c r="W790" s="10">
        <v>50</v>
      </c>
      <c r="X790" s="10">
        <v>334</v>
      </c>
      <c r="Y790" s="10">
        <v>37</v>
      </c>
      <c r="Z790" s="10">
        <v>204</v>
      </c>
      <c r="AA790" s="10">
        <v>0.746</v>
      </c>
      <c r="AB790" s="10">
        <v>142</v>
      </c>
      <c r="AC790" s="10">
        <v>145</v>
      </c>
      <c r="AD790" s="10">
        <v>192</v>
      </c>
      <c r="AE790" s="10">
        <v>2</v>
      </c>
      <c r="AF790" s="10">
        <v>8.1</v>
      </c>
      <c r="AG790" s="9" t="s">
        <v>188</v>
      </c>
      <c r="AH790" s="9" t="s">
        <v>185</v>
      </c>
      <c r="AI790" s="10"/>
      <c r="AJ790" s="10"/>
      <c r="AK790" s="30"/>
    </row>
    <row r="791" spans="5:37">
      <c r="E791" s="28" t="s">
        <v>155</v>
      </c>
      <c r="F791" s="8" t="s">
        <v>245</v>
      </c>
      <c r="G791" s="9" t="s">
        <v>246</v>
      </c>
      <c r="H791" s="10">
        <v>169</v>
      </c>
      <c r="I791" s="9" t="s">
        <v>163</v>
      </c>
      <c r="J791" s="10">
        <v>169</v>
      </c>
      <c r="K791" s="10">
        <v>168.1</v>
      </c>
      <c r="L791" s="10">
        <v>113</v>
      </c>
      <c r="M791" s="10">
        <v>139</v>
      </c>
      <c r="N791" s="10">
        <v>125</v>
      </c>
      <c r="O791" s="10">
        <v>90</v>
      </c>
      <c r="P791" s="10">
        <v>116</v>
      </c>
      <c r="Q791" s="10">
        <v>13.2</v>
      </c>
      <c r="R791" s="10">
        <v>1593</v>
      </c>
      <c r="S791" s="10">
        <v>1.1000000000000001</v>
      </c>
      <c r="T791" s="10">
        <v>1746</v>
      </c>
      <c r="U791" s="10">
        <v>211</v>
      </c>
      <c r="V791" s="10">
        <v>100</v>
      </c>
      <c r="W791" s="10">
        <v>52</v>
      </c>
      <c r="X791" s="10">
        <v>359</v>
      </c>
      <c r="Y791" s="10">
        <v>33</v>
      </c>
      <c r="Z791" s="10">
        <v>190</v>
      </c>
      <c r="AA791" s="10">
        <v>0.63400000000000001</v>
      </c>
      <c r="AB791" s="10">
        <v>147</v>
      </c>
      <c r="AC791" s="10">
        <v>145</v>
      </c>
      <c r="AD791" s="10">
        <v>212</v>
      </c>
      <c r="AE791" s="10">
        <v>5</v>
      </c>
      <c r="AF791" s="10">
        <v>5.9</v>
      </c>
      <c r="AG791" s="9" t="s">
        <v>188</v>
      </c>
      <c r="AH791" s="9" t="s">
        <v>185</v>
      </c>
      <c r="AI791" s="10"/>
      <c r="AJ791" s="10"/>
      <c r="AK791" s="30"/>
    </row>
    <row r="792" spans="5:37">
      <c r="E792" s="28" t="s">
        <v>155</v>
      </c>
      <c r="F792" s="8" t="s">
        <v>245</v>
      </c>
      <c r="G792" s="9" t="s">
        <v>513</v>
      </c>
      <c r="H792" s="10">
        <v>174</v>
      </c>
      <c r="I792" s="9" t="s">
        <v>158</v>
      </c>
      <c r="J792" s="10">
        <v>174</v>
      </c>
      <c r="K792" s="10">
        <v>174.2</v>
      </c>
      <c r="L792" s="10">
        <v>123</v>
      </c>
      <c r="M792" s="10">
        <v>147</v>
      </c>
      <c r="N792" s="10">
        <v>127</v>
      </c>
      <c r="O792" s="10">
        <v>95</v>
      </c>
      <c r="P792" s="10">
        <v>118</v>
      </c>
      <c r="Q792" s="10">
        <v>16.5</v>
      </c>
      <c r="R792" s="10">
        <v>1786</v>
      </c>
      <c r="S792" s="10">
        <v>1.04</v>
      </c>
      <c r="T792" s="10">
        <v>1857</v>
      </c>
      <c r="U792" s="10">
        <v>210</v>
      </c>
      <c r="V792" s="10">
        <v>118</v>
      </c>
      <c r="W792" s="10">
        <v>49</v>
      </c>
      <c r="X792" s="10">
        <v>296</v>
      </c>
      <c r="Y792" s="10">
        <v>18</v>
      </c>
      <c r="Z792" s="10">
        <v>217</v>
      </c>
      <c r="AA792" s="10">
        <v>0.373</v>
      </c>
      <c r="AB792" s="10">
        <v>144</v>
      </c>
      <c r="AC792" s="10">
        <v>126</v>
      </c>
      <c r="AD792" s="10">
        <v>152</v>
      </c>
      <c r="AE792" s="10">
        <v>6</v>
      </c>
      <c r="AF792" s="10">
        <v>9.3000000000000007</v>
      </c>
      <c r="AG792" s="9" t="s">
        <v>188</v>
      </c>
      <c r="AH792" s="10"/>
      <c r="AI792" s="10"/>
      <c r="AJ792" s="10"/>
      <c r="AK792" s="30"/>
    </row>
    <row r="793" spans="5:37">
      <c r="E793" s="28" t="s">
        <v>155</v>
      </c>
      <c r="F793" s="8" t="s">
        <v>245</v>
      </c>
      <c r="G793" s="9" t="s">
        <v>513</v>
      </c>
      <c r="H793" s="10">
        <v>181</v>
      </c>
      <c r="I793" s="9" t="s">
        <v>158</v>
      </c>
      <c r="J793" s="10">
        <v>181</v>
      </c>
      <c r="K793" s="10">
        <v>180.2</v>
      </c>
      <c r="L793" s="10">
        <v>123</v>
      </c>
      <c r="M793" s="10">
        <v>152</v>
      </c>
      <c r="N793" s="10">
        <v>129</v>
      </c>
      <c r="O793" s="10">
        <v>96</v>
      </c>
      <c r="P793" s="10">
        <v>121</v>
      </c>
      <c r="Q793" s="10">
        <v>16.899999999999999</v>
      </c>
      <c r="R793" s="10">
        <v>1891</v>
      </c>
      <c r="S793" s="10">
        <v>1.04</v>
      </c>
      <c r="T793" s="10">
        <v>1962</v>
      </c>
      <c r="U793" s="10">
        <v>253</v>
      </c>
      <c r="V793" s="10">
        <v>145</v>
      </c>
      <c r="W793" s="10">
        <v>52</v>
      </c>
      <c r="X793" s="10">
        <v>343</v>
      </c>
      <c r="Y793" s="10">
        <v>18</v>
      </c>
      <c r="Z793" s="10">
        <v>229</v>
      </c>
      <c r="AA793" s="10">
        <v>0.34699999999999998</v>
      </c>
      <c r="AB793" s="10">
        <v>140</v>
      </c>
      <c r="AC793" s="10">
        <v>138</v>
      </c>
      <c r="AD793" s="10">
        <v>203</v>
      </c>
      <c r="AE793" s="10">
        <v>5</v>
      </c>
      <c r="AF793" s="10">
        <v>9.6999999999999993</v>
      </c>
      <c r="AG793" s="9" t="s">
        <v>188</v>
      </c>
      <c r="AH793" s="10"/>
      <c r="AI793" s="10"/>
      <c r="AJ793" s="10"/>
      <c r="AK793" s="30"/>
    </row>
    <row r="794" spans="5:37">
      <c r="E794" s="28" t="s">
        <v>155</v>
      </c>
      <c r="F794" s="8" t="s">
        <v>245</v>
      </c>
      <c r="G794" s="9" t="s">
        <v>513</v>
      </c>
      <c r="H794" s="10">
        <v>188</v>
      </c>
      <c r="I794" s="9" t="s">
        <v>158</v>
      </c>
      <c r="J794" s="10">
        <v>188</v>
      </c>
      <c r="K794" s="10">
        <v>187.6</v>
      </c>
      <c r="L794" s="10">
        <v>127</v>
      </c>
      <c r="M794" s="10">
        <v>160</v>
      </c>
      <c r="N794" s="10">
        <v>130</v>
      </c>
      <c r="O794" s="10">
        <v>98</v>
      </c>
      <c r="P794" s="10">
        <v>122</v>
      </c>
      <c r="Q794" s="10">
        <v>19.100000000000001</v>
      </c>
      <c r="R794" s="10">
        <v>2115</v>
      </c>
      <c r="S794" s="10">
        <v>0.97</v>
      </c>
      <c r="T794" s="10">
        <v>2062</v>
      </c>
      <c r="U794" s="10">
        <v>235</v>
      </c>
      <c r="V794" s="10">
        <v>152</v>
      </c>
      <c r="W794" s="10">
        <v>50</v>
      </c>
      <c r="X794" s="10">
        <v>351</v>
      </c>
      <c r="Y794" s="10">
        <v>22</v>
      </c>
      <c r="Z794" s="10">
        <v>254</v>
      </c>
      <c r="AA794" s="10">
        <v>0.438</v>
      </c>
      <c r="AB794" s="10">
        <v>147</v>
      </c>
      <c r="AC794" s="10">
        <v>131</v>
      </c>
      <c r="AD794" s="10">
        <v>204</v>
      </c>
      <c r="AE794" s="10">
        <v>6</v>
      </c>
      <c r="AF794" s="10">
        <v>9.3000000000000007</v>
      </c>
      <c r="AG794" s="9" t="s">
        <v>188</v>
      </c>
      <c r="AH794" s="10"/>
      <c r="AI794" s="10"/>
      <c r="AJ794" s="10"/>
      <c r="AK794" s="30"/>
    </row>
    <row r="795" spans="5:37">
      <c r="E795" s="28" t="s">
        <v>155</v>
      </c>
      <c r="F795" s="8" t="s">
        <v>245</v>
      </c>
      <c r="G795" s="9" t="s">
        <v>307</v>
      </c>
      <c r="H795" s="10">
        <v>158</v>
      </c>
      <c r="I795" s="9" t="s">
        <v>163</v>
      </c>
      <c r="J795" s="10">
        <v>158</v>
      </c>
      <c r="K795" s="10">
        <v>157.1</v>
      </c>
      <c r="L795" s="10">
        <v>102</v>
      </c>
      <c r="M795" s="10">
        <v>133</v>
      </c>
      <c r="N795" s="10">
        <v>124</v>
      </c>
      <c r="O795" s="10">
        <v>93</v>
      </c>
      <c r="P795" s="10">
        <v>115</v>
      </c>
      <c r="Q795" s="10">
        <v>14.2</v>
      </c>
      <c r="R795" s="10">
        <v>1650</v>
      </c>
      <c r="S795" s="10">
        <v>0.99</v>
      </c>
      <c r="T795" s="10">
        <v>1633</v>
      </c>
      <c r="U795" s="10">
        <v>190</v>
      </c>
      <c r="V795" s="10">
        <v>117</v>
      </c>
      <c r="W795" s="10">
        <v>50</v>
      </c>
      <c r="X795" s="10">
        <v>332</v>
      </c>
      <c r="Y795" s="10">
        <v>19</v>
      </c>
      <c r="Z795" s="10">
        <v>216</v>
      </c>
      <c r="AA795" s="10">
        <v>0.374</v>
      </c>
      <c r="AB795" s="10">
        <v>132</v>
      </c>
      <c r="AC795" s="10">
        <v>114</v>
      </c>
      <c r="AD795" s="10">
        <v>200</v>
      </c>
      <c r="AE795" s="10">
        <v>3</v>
      </c>
      <c r="AF795" s="10">
        <v>9</v>
      </c>
      <c r="AG795" s="9" t="s">
        <v>188</v>
      </c>
      <c r="AH795" s="10"/>
      <c r="AI795" s="10"/>
      <c r="AJ795" s="10"/>
      <c r="AK795" s="30"/>
    </row>
    <row r="796" spans="5:37">
      <c r="E796" s="28" t="s">
        <v>155</v>
      </c>
      <c r="F796" s="8" t="s">
        <v>245</v>
      </c>
      <c r="G796" s="9" t="s">
        <v>307</v>
      </c>
      <c r="H796" s="10">
        <v>166</v>
      </c>
      <c r="I796" s="9" t="s">
        <v>163</v>
      </c>
      <c r="J796" s="10">
        <v>166</v>
      </c>
      <c r="K796" s="10">
        <v>165.2</v>
      </c>
      <c r="L796" s="10">
        <v>114</v>
      </c>
      <c r="M796" s="10">
        <v>140</v>
      </c>
      <c r="N796" s="10">
        <v>126</v>
      </c>
      <c r="O796" s="10">
        <v>94</v>
      </c>
      <c r="P796" s="10">
        <v>117</v>
      </c>
      <c r="Q796" s="10">
        <v>15.3</v>
      </c>
      <c r="R796" s="10">
        <v>1723</v>
      </c>
      <c r="S796" s="10">
        <v>1.01</v>
      </c>
      <c r="T796" s="10">
        <v>1740</v>
      </c>
      <c r="U796" s="10">
        <v>189</v>
      </c>
      <c r="V796" s="10">
        <v>118</v>
      </c>
      <c r="W796" s="10">
        <v>45</v>
      </c>
      <c r="X796" s="10">
        <v>286</v>
      </c>
      <c r="Y796" s="10">
        <v>19</v>
      </c>
      <c r="Z796" s="10">
        <v>229</v>
      </c>
      <c r="AA796" s="10">
        <v>0.40899999999999997</v>
      </c>
      <c r="AB796" s="10">
        <v>134</v>
      </c>
      <c r="AC796" s="10">
        <v>120</v>
      </c>
      <c r="AD796" s="10">
        <v>152</v>
      </c>
      <c r="AE796" s="10">
        <v>4</v>
      </c>
      <c r="AF796" s="10">
        <v>9.5</v>
      </c>
      <c r="AG796" s="9" t="s">
        <v>188</v>
      </c>
      <c r="AH796" s="10"/>
      <c r="AI796" s="10"/>
      <c r="AJ796" s="10"/>
      <c r="AK796" s="30"/>
    </row>
    <row r="797" spans="5:37">
      <c r="E797" s="28" t="s">
        <v>155</v>
      </c>
      <c r="F797" s="8" t="s">
        <v>245</v>
      </c>
      <c r="G797" s="9" t="s">
        <v>763</v>
      </c>
      <c r="H797" s="10">
        <v>159</v>
      </c>
      <c r="I797" s="9" t="s">
        <v>158</v>
      </c>
      <c r="J797" s="10">
        <v>159</v>
      </c>
      <c r="K797" s="10">
        <v>158.19999999999999</v>
      </c>
      <c r="L797" s="10">
        <v>129</v>
      </c>
      <c r="M797" s="10">
        <v>143</v>
      </c>
      <c r="N797" s="10">
        <v>124</v>
      </c>
      <c r="O797" s="10">
        <v>78</v>
      </c>
      <c r="P797" s="10">
        <v>109</v>
      </c>
      <c r="Q797" s="10">
        <v>12.4</v>
      </c>
      <c r="R797" s="10">
        <v>1912</v>
      </c>
      <c r="S797" s="10">
        <v>0.77</v>
      </c>
      <c r="T797" s="10">
        <v>1475</v>
      </c>
      <c r="U797" s="10">
        <v>208</v>
      </c>
      <c r="V797" s="10">
        <v>73</v>
      </c>
      <c r="W797" s="10">
        <v>43</v>
      </c>
      <c r="X797" s="10">
        <v>208</v>
      </c>
      <c r="Y797" s="10">
        <v>14</v>
      </c>
      <c r="Z797" s="10">
        <v>85</v>
      </c>
      <c r="AA797" s="10">
        <v>0.33</v>
      </c>
      <c r="AB797" s="10">
        <v>71</v>
      </c>
      <c r="AC797" s="10">
        <v>78</v>
      </c>
      <c r="AD797" s="10">
        <v>136</v>
      </c>
      <c r="AE797" s="10">
        <v>8</v>
      </c>
      <c r="AF797" s="10">
        <v>8.6</v>
      </c>
      <c r="AG797" s="9" t="s">
        <v>349</v>
      </c>
      <c r="AH797" s="10"/>
      <c r="AI797" s="10"/>
      <c r="AJ797" s="10"/>
      <c r="AK797" s="30"/>
    </row>
    <row r="798" spans="5:37">
      <c r="E798" s="28" t="s">
        <v>155</v>
      </c>
      <c r="F798" s="8" t="s">
        <v>245</v>
      </c>
      <c r="G798" s="9" t="s">
        <v>763</v>
      </c>
      <c r="H798" s="10">
        <v>166</v>
      </c>
      <c r="I798" s="9" t="s">
        <v>158</v>
      </c>
      <c r="J798" s="10">
        <v>166</v>
      </c>
      <c r="K798" s="10">
        <v>167.4</v>
      </c>
      <c r="L798" s="10">
        <v>132</v>
      </c>
      <c r="M798" s="10">
        <v>151</v>
      </c>
      <c r="N798" s="10">
        <v>123</v>
      </c>
      <c r="O798" s="10">
        <v>78</v>
      </c>
      <c r="P798" s="10">
        <v>109</v>
      </c>
      <c r="Q798" s="10">
        <v>13.7</v>
      </c>
      <c r="R798" s="10">
        <v>1950</v>
      </c>
      <c r="S798" s="10">
        <v>0.8</v>
      </c>
      <c r="T798" s="10">
        <v>1556</v>
      </c>
      <c r="U798" s="10">
        <v>211</v>
      </c>
      <c r="V798" s="10">
        <v>69</v>
      </c>
      <c r="W798" s="10">
        <v>50</v>
      </c>
      <c r="X798" s="10">
        <v>243</v>
      </c>
      <c r="Y798" s="10">
        <v>20</v>
      </c>
      <c r="Z798" s="10">
        <v>109</v>
      </c>
      <c r="AA798" s="10">
        <v>0.40799999999999997</v>
      </c>
      <c r="AB798" s="10">
        <v>68</v>
      </c>
      <c r="AC798" s="10">
        <v>96</v>
      </c>
      <c r="AD798" s="10">
        <v>175</v>
      </c>
      <c r="AE798" s="10">
        <v>9</v>
      </c>
      <c r="AF798" s="10">
        <v>7</v>
      </c>
      <c r="AG798" s="9" t="s">
        <v>160</v>
      </c>
      <c r="AH798" s="10"/>
      <c r="AI798" s="10"/>
      <c r="AJ798" s="10"/>
      <c r="AK798" s="30"/>
    </row>
    <row r="799" spans="5:37">
      <c r="E799" s="28" t="s">
        <v>155</v>
      </c>
      <c r="F799" s="8" t="s">
        <v>245</v>
      </c>
      <c r="G799" s="9" t="s">
        <v>763</v>
      </c>
      <c r="H799" s="10">
        <v>173</v>
      </c>
      <c r="I799" s="9" t="s">
        <v>158</v>
      </c>
      <c r="J799" s="10">
        <v>173</v>
      </c>
      <c r="K799" s="10">
        <v>172</v>
      </c>
      <c r="L799" s="10">
        <v>139</v>
      </c>
      <c r="M799" s="10">
        <v>157</v>
      </c>
      <c r="N799" s="10">
        <v>125</v>
      </c>
      <c r="O799" s="10">
        <v>80</v>
      </c>
      <c r="P799" s="10">
        <v>111</v>
      </c>
      <c r="Q799" s="10">
        <v>15</v>
      </c>
      <c r="R799" s="10">
        <v>2106</v>
      </c>
      <c r="S799" s="10">
        <v>0.77</v>
      </c>
      <c r="T799" s="10">
        <v>1622</v>
      </c>
      <c r="U799" s="10">
        <v>233</v>
      </c>
      <c r="V799" s="10">
        <v>79</v>
      </c>
      <c r="W799" s="10">
        <v>49</v>
      </c>
      <c r="X799" s="10">
        <v>241</v>
      </c>
      <c r="Y799" s="10">
        <v>14</v>
      </c>
      <c r="Z799" s="10">
        <v>86</v>
      </c>
      <c r="AA799" s="10">
        <v>0.28799999999999998</v>
      </c>
      <c r="AB799" s="10">
        <v>70</v>
      </c>
      <c r="AC799" s="10">
        <v>78</v>
      </c>
      <c r="AD799" s="10">
        <v>172</v>
      </c>
      <c r="AE799" s="10">
        <v>7</v>
      </c>
      <c r="AF799" s="10">
        <v>8.5</v>
      </c>
      <c r="AG799" s="9" t="s">
        <v>349</v>
      </c>
      <c r="AH799" s="10"/>
      <c r="AI799" s="10"/>
      <c r="AJ799" s="10"/>
      <c r="AK799" s="30"/>
    </row>
    <row r="800" spans="5:37">
      <c r="E800" s="28" t="s">
        <v>155</v>
      </c>
      <c r="F800" s="8" t="s">
        <v>245</v>
      </c>
      <c r="G800" s="9" t="s">
        <v>772</v>
      </c>
      <c r="H800" s="10">
        <v>166</v>
      </c>
      <c r="I800" s="9" t="s">
        <v>158</v>
      </c>
      <c r="J800" s="10">
        <v>166</v>
      </c>
      <c r="K800" s="10">
        <v>165.6</v>
      </c>
      <c r="L800" s="10">
        <v>127</v>
      </c>
      <c r="M800" s="10">
        <v>148</v>
      </c>
      <c r="N800" s="10">
        <v>125</v>
      </c>
      <c r="O800" s="10">
        <v>82</v>
      </c>
      <c r="P800" s="10">
        <v>111</v>
      </c>
      <c r="Q800" s="10">
        <v>13.8</v>
      </c>
      <c r="R800" s="10">
        <v>1915</v>
      </c>
      <c r="S800" s="10">
        <v>0.83</v>
      </c>
      <c r="T800" s="10">
        <v>1583</v>
      </c>
      <c r="U800" s="10">
        <v>215</v>
      </c>
      <c r="V800" s="10">
        <v>123</v>
      </c>
      <c r="W800" s="10">
        <v>49</v>
      </c>
      <c r="X800" s="10">
        <v>280</v>
      </c>
      <c r="Y800" s="10">
        <v>6</v>
      </c>
      <c r="Z800" s="10">
        <v>106</v>
      </c>
      <c r="AA800" s="10">
        <v>0.12</v>
      </c>
      <c r="AB800" s="10">
        <v>84</v>
      </c>
      <c r="AC800" s="10">
        <v>95</v>
      </c>
      <c r="AD800" s="10">
        <v>197</v>
      </c>
      <c r="AE800" s="10">
        <v>4</v>
      </c>
      <c r="AF800" s="10">
        <v>9.3000000000000007</v>
      </c>
      <c r="AG800" s="9" t="s">
        <v>231</v>
      </c>
      <c r="AH800" s="9" t="s">
        <v>188</v>
      </c>
      <c r="AI800" s="10"/>
      <c r="AJ800" s="10"/>
      <c r="AK800" s="30"/>
    </row>
    <row r="801" spans="5:37">
      <c r="E801" s="28" t="s">
        <v>155</v>
      </c>
      <c r="F801" s="8" t="s">
        <v>245</v>
      </c>
      <c r="G801" s="9" t="s">
        <v>772</v>
      </c>
      <c r="H801" s="10">
        <v>173</v>
      </c>
      <c r="I801" s="9" t="s">
        <v>158</v>
      </c>
      <c r="J801" s="10">
        <v>173</v>
      </c>
      <c r="K801" s="10">
        <v>172.3</v>
      </c>
      <c r="L801" s="10">
        <v>133</v>
      </c>
      <c r="M801" s="10">
        <v>154</v>
      </c>
      <c r="N801" s="10">
        <v>125</v>
      </c>
      <c r="O801" s="10">
        <v>81</v>
      </c>
      <c r="P801" s="10">
        <v>112</v>
      </c>
      <c r="Q801" s="10">
        <v>14.6</v>
      </c>
      <c r="R801" s="10">
        <v>2002</v>
      </c>
      <c r="S801" s="10">
        <v>0.82</v>
      </c>
      <c r="T801" s="10">
        <v>1650</v>
      </c>
      <c r="U801" s="10">
        <v>255</v>
      </c>
      <c r="V801" s="10">
        <v>155</v>
      </c>
      <c r="W801" s="10">
        <v>50</v>
      </c>
      <c r="X801" s="10">
        <v>263</v>
      </c>
      <c r="Y801" s="10">
        <v>9</v>
      </c>
      <c r="Z801" s="10">
        <v>130</v>
      </c>
      <c r="AA801" s="10">
        <v>0.17799999999999999</v>
      </c>
      <c r="AB801" s="10">
        <v>84</v>
      </c>
      <c r="AC801" s="10">
        <v>104</v>
      </c>
      <c r="AD801" s="10">
        <v>179</v>
      </c>
      <c r="AE801" s="10">
        <v>5</v>
      </c>
      <c r="AF801" s="10">
        <v>9.9</v>
      </c>
      <c r="AG801" s="9" t="s">
        <v>231</v>
      </c>
      <c r="AH801" s="9" t="s">
        <v>188</v>
      </c>
      <c r="AI801" s="10"/>
      <c r="AJ801" s="10"/>
      <c r="AK801" s="30"/>
    </row>
    <row r="802" spans="5:37">
      <c r="E802" s="28" t="s">
        <v>155</v>
      </c>
      <c r="F802" s="8" t="s">
        <v>245</v>
      </c>
      <c r="G802" s="9" t="s">
        <v>873</v>
      </c>
      <c r="H802" s="10">
        <v>165</v>
      </c>
      <c r="I802" s="9" t="s">
        <v>158</v>
      </c>
      <c r="J802" s="10">
        <v>165</v>
      </c>
      <c r="K802" s="10">
        <v>164.5</v>
      </c>
      <c r="L802" s="10">
        <v>146</v>
      </c>
      <c r="M802" s="10">
        <v>155</v>
      </c>
      <c r="N802" s="10">
        <v>120</v>
      </c>
      <c r="O802" s="10">
        <v>66</v>
      </c>
      <c r="P802" s="10">
        <v>103</v>
      </c>
      <c r="Q802" s="10">
        <v>12.6</v>
      </c>
      <c r="R802" s="10">
        <v>2012</v>
      </c>
      <c r="S802" s="10">
        <v>0.68</v>
      </c>
      <c r="T802" s="10">
        <v>1373</v>
      </c>
      <c r="U802" s="10">
        <v>212</v>
      </c>
      <c r="V802" s="10">
        <v>130</v>
      </c>
      <c r="W802" s="10">
        <v>37</v>
      </c>
      <c r="X802" s="10">
        <v>139</v>
      </c>
      <c r="Y802" s="10">
        <v>4</v>
      </c>
      <c r="Z802" s="10">
        <v>48</v>
      </c>
      <c r="AA802" s="10">
        <v>9.7000000000000003E-2</v>
      </c>
      <c r="AB802" s="10">
        <v>47</v>
      </c>
      <c r="AC802" s="10">
        <v>45</v>
      </c>
      <c r="AD802" s="10">
        <v>92</v>
      </c>
      <c r="AE802" s="10">
        <v>9</v>
      </c>
      <c r="AF802" s="10">
        <v>12.9</v>
      </c>
      <c r="AG802" s="9" t="s">
        <v>349</v>
      </c>
      <c r="AH802" s="10"/>
      <c r="AI802" s="10"/>
      <c r="AJ802" s="10"/>
      <c r="AK802" s="30"/>
    </row>
    <row r="803" spans="5:37">
      <c r="E803" s="28" t="s">
        <v>155</v>
      </c>
      <c r="F803" s="8" t="s">
        <v>245</v>
      </c>
      <c r="G803" s="9" t="s">
        <v>873</v>
      </c>
      <c r="H803" s="10">
        <v>170</v>
      </c>
      <c r="I803" s="9" t="s">
        <v>158</v>
      </c>
      <c r="J803" s="10">
        <v>170</v>
      </c>
      <c r="K803" s="10">
        <v>169.2</v>
      </c>
      <c r="L803" s="10">
        <v>150</v>
      </c>
      <c r="M803" s="10">
        <v>160</v>
      </c>
      <c r="N803" s="10">
        <v>121</v>
      </c>
      <c r="O803" s="10">
        <v>66</v>
      </c>
      <c r="P803" s="10">
        <v>104</v>
      </c>
      <c r="Q803" s="10">
        <v>13.1</v>
      </c>
      <c r="R803" s="10">
        <v>2126</v>
      </c>
      <c r="S803" s="10">
        <v>0.67</v>
      </c>
      <c r="T803" s="10">
        <v>1419</v>
      </c>
      <c r="U803" s="10">
        <v>246</v>
      </c>
      <c r="V803" s="10">
        <v>166</v>
      </c>
      <c r="W803" s="10">
        <v>36</v>
      </c>
      <c r="X803" s="10">
        <v>137</v>
      </c>
      <c r="Y803" s="10">
        <v>4</v>
      </c>
      <c r="Z803" s="10">
        <v>50</v>
      </c>
      <c r="AA803" s="10">
        <v>0.107</v>
      </c>
      <c r="AB803" s="10">
        <v>47</v>
      </c>
      <c r="AC803" s="10">
        <v>43</v>
      </c>
      <c r="AD803" s="10">
        <v>91</v>
      </c>
      <c r="AE803" s="10">
        <v>8</v>
      </c>
      <c r="AF803" s="10">
        <v>13.1</v>
      </c>
      <c r="AG803" s="9" t="s">
        <v>349</v>
      </c>
      <c r="AH803" s="10"/>
      <c r="AI803" s="10"/>
      <c r="AJ803" s="10"/>
      <c r="AK803" s="30"/>
    </row>
    <row r="804" spans="5:37">
      <c r="E804" s="28" t="s">
        <v>155</v>
      </c>
      <c r="F804" s="8" t="s">
        <v>245</v>
      </c>
      <c r="G804" s="9" t="s">
        <v>847</v>
      </c>
      <c r="H804" s="10">
        <v>155</v>
      </c>
      <c r="I804" s="9" t="s">
        <v>163</v>
      </c>
      <c r="J804" s="10">
        <v>155</v>
      </c>
      <c r="K804" s="10">
        <v>155.1</v>
      </c>
      <c r="L804" s="10">
        <v>123</v>
      </c>
      <c r="M804" s="10">
        <v>138</v>
      </c>
      <c r="N804" s="10">
        <v>116</v>
      </c>
      <c r="O804" s="10">
        <v>79</v>
      </c>
      <c r="P804" s="10">
        <v>105</v>
      </c>
      <c r="Q804" s="10">
        <v>14.1</v>
      </c>
      <c r="R804" s="10">
        <v>1056</v>
      </c>
      <c r="S804" s="10">
        <v>1.34</v>
      </c>
      <c r="T804" s="10">
        <v>1415</v>
      </c>
      <c r="U804" s="10">
        <v>182</v>
      </c>
      <c r="V804" s="10">
        <v>66</v>
      </c>
      <c r="W804" s="10">
        <v>54</v>
      </c>
      <c r="X804" s="10">
        <v>231</v>
      </c>
      <c r="Y804" s="10">
        <v>10</v>
      </c>
      <c r="Z804" s="10">
        <v>90</v>
      </c>
      <c r="AA804" s="10">
        <v>0.184</v>
      </c>
      <c r="AB804" s="10">
        <v>93</v>
      </c>
      <c r="AC804" s="10">
        <v>81</v>
      </c>
      <c r="AD804" s="10">
        <v>138</v>
      </c>
      <c r="AE804" s="10">
        <v>6</v>
      </c>
      <c r="AF804" s="10">
        <v>9.5</v>
      </c>
      <c r="AG804" s="9" t="s">
        <v>185</v>
      </c>
      <c r="AH804" s="9" t="s">
        <v>198</v>
      </c>
      <c r="AI804" s="10"/>
      <c r="AJ804" s="10"/>
      <c r="AK804" s="30"/>
    </row>
    <row r="805" spans="5:37">
      <c r="E805" s="28" t="s">
        <v>155</v>
      </c>
      <c r="F805" s="8" t="s">
        <v>245</v>
      </c>
      <c r="G805" s="9" t="s">
        <v>847</v>
      </c>
      <c r="H805" s="10">
        <v>162</v>
      </c>
      <c r="I805" s="9" t="s">
        <v>163</v>
      </c>
      <c r="J805" s="10">
        <v>162</v>
      </c>
      <c r="K805" s="10">
        <v>160.69999999999999</v>
      </c>
      <c r="L805" s="10">
        <v>126</v>
      </c>
      <c r="M805" s="10">
        <v>143</v>
      </c>
      <c r="N805" s="10">
        <v>116</v>
      </c>
      <c r="O805" s="10">
        <v>80</v>
      </c>
      <c r="P805" s="10">
        <v>106</v>
      </c>
      <c r="Q805" s="10">
        <v>15.4</v>
      </c>
      <c r="R805" s="10">
        <v>1092</v>
      </c>
      <c r="S805" s="10">
        <v>1.35</v>
      </c>
      <c r="T805" s="10">
        <v>1473</v>
      </c>
      <c r="U805" s="10">
        <v>195</v>
      </c>
      <c r="V805" s="10">
        <v>80</v>
      </c>
      <c r="W805" s="10">
        <v>47</v>
      </c>
      <c r="X805" s="10">
        <v>250</v>
      </c>
      <c r="Y805" s="10">
        <v>10</v>
      </c>
      <c r="Z805" s="10">
        <v>95</v>
      </c>
      <c r="AA805" s="10">
        <v>0.20300000000000001</v>
      </c>
      <c r="AB805" s="10">
        <v>74</v>
      </c>
      <c r="AC805" s="10">
        <v>103</v>
      </c>
      <c r="AD805" s="10">
        <v>175</v>
      </c>
      <c r="AE805" s="10">
        <v>7</v>
      </c>
      <c r="AF805" s="10">
        <v>9.9</v>
      </c>
      <c r="AG805" s="9" t="s">
        <v>185</v>
      </c>
      <c r="AH805" s="9" t="s">
        <v>198</v>
      </c>
      <c r="AI805" s="10"/>
      <c r="AJ805" s="10"/>
      <c r="AK805" s="30"/>
    </row>
    <row r="806" spans="5:37">
      <c r="E806" s="28" t="s">
        <v>155</v>
      </c>
      <c r="F806" s="8" t="s">
        <v>167</v>
      </c>
      <c r="G806" s="9" t="s">
        <v>799</v>
      </c>
      <c r="H806" s="10">
        <v>153</v>
      </c>
      <c r="I806" s="9" t="s">
        <v>163</v>
      </c>
      <c r="J806" s="10">
        <v>153</v>
      </c>
      <c r="K806" s="10">
        <v>152.30000000000001</v>
      </c>
      <c r="L806" s="10">
        <v>131</v>
      </c>
      <c r="M806" s="10">
        <v>135</v>
      </c>
      <c r="N806" s="10">
        <v>130</v>
      </c>
      <c r="O806" s="10">
        <v>78</v>
      </c>
      <c r="P806" s="10">
        <v>108</v>
      </c>
      <c r="Q806" s="10">
        <v>11.2</v>
      </c>
      <c r="R806" s="10">
        <v>1604</v>
      </c>
      <c r="S806" s="10">
        <v>0.89</v>
      </c>
      <c r="T806" s="10">
        <v>1425</v>
      </c>
      <c r="U806" s="10">
        <v>122</v>
      </c>
      <c r="V806" s="10">
        <v>65</v>
      </c>
      <c r="W806" s="10">
        <v>34</v>
      </c>
      <c r="X806" s="10">
        <v>136</v>
      </c>
      <c r="Y806" s="10">
        <v>11</v>
      </c>
      <c r="Z806" s="10">
        <v>73</v>
      </c>
      <c r="AA806" s="10">
        <v>0.33800000000000002</v>
      </c>
      <c r="AB806" s="10">
        <v>111</v>
      </c>
      <c r="AC806" s="10">
        <v>62</v>
      </c>
      <c r="AD806" s="10">
        <v>25</v>
      </c>
      <c r="AE806" s="10">
        <v>11</v>
      </c>
      <c r="AF806" s="10">
        <v>10.8</v>
      </c>
      <c r="AG806" s="9" t="s">
        <v>349</v>
      </c>
      <c r="AH806" s="9" t="s">
        <v>231</v>
      </c>
      <c r="AI806" s="10"/>
      <c r="AJ806" s="10"/>
      <c r="AK806" s="30"/>
    </row>
    <row r="807" spans="5:37">
      <c r="E807" s="28" t="s">
        <v>155</v>
      </c>
      <c r="F807" s="8" t="s">
        <v>167</v>
      </c>
      <c r="G807" s="9" t="s">
        <v>168</v>
      </c>
      <c r="H807" s="10">
        <v>170</v>
      </c>
      <c r="I807" s="9" t="s">
        <v>158</v>
      </c>
      <c r="J807" s="10">
        <v>170</v>
      </c>
      <c r="K807" s="10">
        <v>170.1</v>
      </c>
      <c r="L807" s="10">
        <v>127</v>
      </c>
      <c r="M807" s="10">
        <v>131</v>
      </c>
      <c r="N807" s="10">
        <v>128</v>
      </c>
      <c r="O807" s="10">
        <v>100</v>
      </c>
      <c r="P807" s="10">
        <v>118</v>
      </c>
      <c r="Q807" s="10">
        <v>15.9</v>
      </c>
      <c r="R807" s="10">
        <v>1636</v>
      </c>
      <c r="S807" s="10">
        <v>1.1499999999999999</v>
      </c>
      <c r="T807" s="10">
        <v>1875</v>
      </c>
      <c r="U807" s="10">
        <v>222</v>
      </c>
      <c r="V807" s="10">
        <v>108</v>
      </c>
      <c r="W807" s="10">
        <v>54</v>
      </c>
      <c r="X807" s="10">
        <v>253</v>
      </c>
      <c r="Y807" s="10">
        <v>19</v>
      </c>
      <c r="Z807" s="10">
        <v>176</v>
      </c>
      <c r="AA807" s="10">
        <v>0.35599999999999998</v>
      </c>
      <c r="AB807" s="10">
        <v>230</v>
      </c>
      <c r="AC807" s="10">
        <v>161</v>
      </c>
      <c r="AD807" s="10">
        <v>23</v>
      </c>
      <c r="AE807" s="10">
        <v>6</v>
      </c>
      <c r="AF807" s="10">
        <v>9.8000000000000007</v>
      </c>
      <c r="AG807" s="9" t="s">
        <v>188</v>
      </c>
      <c r="AH807" s="9" t="s">
        <v>185</v>
      </c>
      <c r="AI807" s="10"/>
      <c r="AJ807" s="10"/>
      <c r="AK807" s="30"/>
    </row>
    <row r="808" spans="5:37">
      <c r="E808" s="28" t="s">
        <v>155</v>
      </c>
      <c r="F808" s="8" t="s">
        <v>167</v>
      </c>
      <c r="G808" s="9" t="s">
        <v>168</v>
      </c>
      <c r="H808" s="10">
        <v>177</v>
      </c>
      <c r="I808" s="9" t="s">
        <v>158</v>
      </c>
      <c r="J808" s="10">
        <v>177</v>
      </c>
      <c r="K808" s="10">
        <v>176.6</v>
      </c>
      <c r="L808" s="10">
        <v>134</v>
      </c>
      <c r="M808" s="10">
        <v>137</v>
      </c>
      <c r="N808" s="10">
        <v>132</v>
      </c>
      <c r="O808" s="10">
        <v>102</v>
      </c>
      <c r="P808" s="10">
        <v>121</v>
      </c>
      <c r="Q808" s="10">
        <v>17</v>
      </c>
      <c r="R808" s="10">
        <v>1686</v>
      </c>
      <c r="S808" s="10">
        <v>1.18</v>
      </c>
      <c r="T808" s="10">
        <v>1988</v>
      </c>
      <c r="U808" s="10">
        <v>253</v>
      </c>
      <c r="V808" s="10">
        <v>129</v>
      </c>
      <c r="W808" s="10">
        <v>52</v>
      </c>
      <c r="X808" s="10">
        <v>246</v>
      </c>
      <c r="Y808" s="10">
        <v>21</v>
      </c>
      <c r="Z808" s="10">
        <v>175</v>
      </c>
      <c r="AA808" s="10">
        <v>0.39300000000000002</v>
      </c>
      <c r="AB808" s="10">
        <v>231</v>
      </c>
      <c r="AC808" s="10">
        <v>167</v>
      </c>
      <c r="AD808" s="10">
        <v>16</v>
      </c>
      <c r="AE808" s="10">
        <v>8</v>
      </c>
      <c r="AF808" s="10">
        <v>10</v>
      </c>
      <c r="AG808" s="9" t="s">
        <v>188</v>
      </c>
      <c r="AH808" s="9" t="s">
        <v>169</v>
      </c>
      <c r="AI808" s="9" t="s">
        <v>178</v>
      </c>
      <c r="AJ808" s="9" t="s">
        <v>185</v>
      </c>
      <c r="AK808" s="30"/>
    </row>
    <row r="809" spans="5:37">
      <c r="E809" s="28" t="s">
        <v>155</v>
      </c>
      <c r="F809" s="8" t="s">
        <v>167</v>
      </c>
      <c r="G809" s="9" t="s">
        <v>168</v>
      </c>
      <c r="H809" s="10">
        <v>184</v>
      </c>
      <c r="I809" s="9" t="s">
        <v>158</v>
      </c>
      <c r="J809" s="10">
        <v>184</v>
      </c>
      <c r="K809" s="10">
        <v>183.9</v>
      </c>
      <c r="L809" s="10">
        <v>141</v>
      </c>
      <c r="M809" s="10">
        <v>142</v>
      </c>
      <c r="N809" s="10">
        <v>135</v>
      </c>
      <c r="O809" s="10">
        <v>104</v>
      </c>
      <c r="P809" s="10">
        <v>123</v>
      </c>
      <c r="Q809" s="10">
        <v>18.2</v>
      </c>
      <c r="R809" s="10">
        <v>1851</v>
      </c>
      <c r="S809" s="10">
        <v>1.1399999999999999</v>
      </c>
      <c r="T809" s="10">
        <v>2105</v>
      </c>
      <c r="U809" s="10">
        <v>302</v>
      </c>
      <c r="V809" s="10">
        <v>148</v>
      </c>
      <c r="W809" s="10">
        <v>52</v>
      </c>
      <c r="X809" s="10">
        <v>249</v>
      </c>
      <c r="Y809" s="10">
        <v>22</v>
      </c>
      <c r="Z809" s="10">
        <v>184</v>
      </c>
      <c r="AA809" s="10">
        <v>0.41699999999999998</v>
      </c>
      <c r="AB809" s="10">
        <v>266</v>
      </c>
      <c r="AC809" s="10">
        <v>157</v>
      </c>
      <c r="AD809" s="10">
        <v>-17</v>
      </c>
      <c r="AE809" s="10">
        <v>8</v>
      </c>
      <c r="AF809" s="10">
        <v>11</v>
      </c>
      <c r="AG809" s="9" t="s">
        <v>188</v>
      </c>
      <c r="AH809" s="9" t="s">
        <v>169</v>
      </c>
      <c r="AI809" s="9" t="s">
        <v>185</v>
      </c>
      <c r="AJ809" s="10"/>
      <c r="AK809" s="30"/>
    </row>
    <row r="810" spans="5:37">
      <c r="E810" s="28" t="s">
        <v>155</v>
      </c>
      <c r="F810" s="8" t="s">
        <v>167</v>
      </c>
      <c r="G810" s="9" t="s">
        <v>168</v>
      </c>
      <c r="H810" s="10">
        <v>191</v>
      </c>
      <c r="I810" s="9" t="s">
        <v>158</v>
      </c>
      <c r="J810" s="10">
        <v>191</v>
      </c>
      <c r="K810" s="10">
        <v>189.6</v>
      </c>
      <c r="L810" s="10">
        <v>148</v>
      </c>
      <c r="M810" s="10">
        <v>152</v>
      </c>
      <c r="N810" s="10">
        <v>136</v>
      </c>
      <c r="O810" s="10">
        <v>106</v>
      </c>
      <c r="P810" s="10">
        <v>126</v>
      </c>
      <c r="Q810" s="10">
        <v>19.7</v>
      </c>
      <c r="R810" s="9" t="s">
        <v>1155</v>
      </c>
      <c r="S810" s="9" t="s">
        <v>1155</v>
      </c>
      <c r="T810" s="10">
        <v>2210</v>
      </c>
      <c r="U810" s="10">
        <v>330</v>
      </c>
      <c r="V810" s="10">
        <v>152</v>
      </c>
      <c r="W810" s="10">
        <v>49</v>
      </c>
      <c r="X810" s="10">
        <v>238</v>
      </c>
      <c r="Y810" s="10">
        <v>22</v>
      </c>
      <c r="Z810" s="10">
        <v>180</v>
      </c>
      <c r="AA810" s="10">
        <v>0.45400000000000001</v>
      </c>
      <c r="AB810" s="10">
        <v>229</v>
      </c>
      <c r="AC810" s="10">
        <v>148</v>
      </c>
      <c r="AD810" s="10">
        <v>9</v>
      </c>
      <c r="AE810" s="10">
        <v>10</v>
      </c>
      <c r="AF810" s="10">
        <v>11.3</v>
      </c>
      <c r="AG810" s="9" t="s">
        <v>169</v>
      </c>
      <c r="AH810" s="10"/>
      <c r="AI810" s="10"/>
      <c r="AJ810" s="10"/>
      <c r="AK810" s="30"/>
    </row>
    <row r="811" spans="5:37">
      <c r="E811" s="28" t="s">
        <v>155</v>
      </c>
      <c r="F811" s="8" t="s">
        <v>167</v>
      </c>
      <c r="G811" s="9" t="s">
        <v>786</v>
      </c>
      <c r="H811" s="10">
        <v>177</v>
      </c>
      <c r="I811" s="9" t="s">
        <v>158</v>
      </c>
      <c r="J811" s="10">
        <v>177</v>
      </c>
      <c r="K811" s="10">
        <v>176.5</v>
      </c>
      <c r="L811" s="10">
        <v>123</v>
      </c>
      <c r="M811" s="10">
        <v>137</v>
      </c>
      <c r="N811" s="10">
        <v>137</v>
      </c>
      <c r="O811" s="10">
        <v>108</v>
      </c>
      <c r="P811" s="10">
        <v>124</v>
      </c>
      <c r="Q811" s="10">
        <v>19.8</v>
      </c>
      <c r="R811" s="10">
        <v>1737</v>
      </c>
      <c r="S811" s="10">
        <v>1.2</v>
      </c>
      <c r="T811" s="10">
        <v>2077</v>
      </c>
      <c r="U811" s="10">
        <v>288</v>
      </c>
      <c r="V811" s="10">
        <v>124</v>
      </c>
      <c r="W811" s="10">
        <v>56</v>
      </c>
      <c r="X811" s="10">
        <v>281</v>
      </c>
      <c r="Y811" s="10">
        <v>20</v>
      </c>
      <c r="Z811" s="10">
        <v>259</v>
      </c>
      <c r="AA811" s="10">
        <v>0.35799999999999998</v>
      </c>
      <c r="AB811" s="10">
        <v>241</v>
      </c>
      <c r="AC811" s="10">
        <v>156</v>
      </c>
      <c r="AD811" s="10">
        <v>40</v>
      </c>
      <c r="AE811" s="10">
        <v>5</v>
      </c>
      <c r="AF811" s="10">
        <v>8.5</v>
      </c>
      <c r="AG811" s="9" t="s">
        <v>169</v>
      </c>
      <c r="AH811" s="9" t="s">
        <v>178</v>
      </c>
      <c r="AI811" s="9" t="s">
        <v>185</v>
      </c>
      <c r="AJ811" s="10"/>
      <c r="AK811" s="30"/>
    </row>
    <row r="812" spans="5:37">
      <c r="E812" s="28" t="s">
        <v>155</v>
      </c>
      <c r="F812" s="8" t="s">
        <v>167</v>
      </c>
      <c r="G812" s="9" t="s">
        <v>786</v>
      </c>
      <c r="H812" s="10">
        <v>184</v>
      </c>
      <c r="I812" s="9" t="s">
        <v>158</v>
      </c>
      <c r="J812" s="10">
        <v>184</v>
      </c>
      <c r="K812" s="10">
        <v>183.2</v>
      </c>
      <c r="L812" s="10">
        <v>129</v>
      </c>
      <c r="M812" s="10">
        <v>145</v>
      </c>
      <c r="N812" s="10">
        <v>139</v>
      </c>
      <c r="O812" s="10">
        <v>110</v>
      </c>
      <c r="P812" s="10">
        <v>126</v>
      </c>
      <c r="Q812" s="10">
        <v>21.6</v>
      </c>
      <c r="R812" s="10">
        <v>1845</v>
      </c>
      <c r="S812" s="10">
        <v>1.19</v>
      </c>
      <c r="T812" s="10">
        <v>2191</v>
      </c>
      <c r="U812" s="10">
        <v>316</v>
      </c>
      <c r="V812" s="10">
        <v>140</v>
      </c>
      <c r="W812" s="10">
        <v>58</v>
      </c>
      <c r="X812" s="10">
        <v>279</v>
      </c>
      <c r="Y812" s="10">
        <v>20</v>
      </c>
      <c r="Z812" s="10">
        <v>268</v>
      </c>
      <c r="AA812" s="10">
        <v>0.34200000000000003</v>
      </c>
      <c r="AB812" s="10">
        <v>240</v>
      </c>
      <c r="AC812" s="10">
        <v>147</v>
      </c>
      <c r="AD812" s="10">
        <v>39</v>
      </c>
      <c r="AE812" s="10">
        <v>5</v>
      </c>
      <c r="AF812" s="10">
        <v>9.3000000000000007</v>
      </c>
      <c r="AG812" s="9" t="s">
        <v>178</v>
      </c>
      <c r="AH812" s="9" t="s">
        <v>185</v>
      </c>
      <c r="AI812" s="10"/>
      <c r="AJ812" s="10"/>
      <c r="AK812" s="30"/>
    </row>
    <row r="813" spans="5:37">
      <c r="E813" s="28" t="s">
        <v>155</v>
      </c>
      <c r="F813" s="8" t="s">
        <v>167</v>
      </c>
      <c r="G813" s="9" t="s">
        <v>786</v>
      </c>
      <c r="H813" s="10">
        <v>191</v>
      </c>
      <c r="I813" s="9" t="s">
        <v>158</v>
      </c>
      <c r="J813" s="10">
        <v>191</v>
      </c>
      <c r="K813" s="10">
        <v>190.2</v>
      </c>
      <c r="L813" s="10">
        <v>138</v>
      </c>
      <c r="M813" s="10">
        <v>153</v>
      </c>
      <c r="N813" s="10">
        <v>142</v>
      </c>
      <c r="O813" s="10">
        <v>112</v>
      </c>
      <c r="P813" s="10">
        <v>128</v>
      </c>
      <c r="Q813" s="10">
        <v>23.7</v>
      </c>
      <c r="R813" s="10">
        <v>1946</v>
      </c>
      <c r="S813" s="10">
        <v>1.19</v>
      </c>
      <c r="T813" s="10">
        <v>2317</v>
      </c>
      <c r="U813" s="10">
        <v>324</v>
      </c>
      <c r="V813" s="10">
        <v>176</v>
      </c>
      <c r="W813" s="10">
        <v>56</v>
      </c>
      <c r="X813" s="10">
        <v>269</v>
      </c>
      <c r="Y813" s="10">
        <v>20</v>
      </c>
      <c r="Z813" s="10">
        <v>255</v>
      </c>
      <c r="AA813" s="10">
        <v>0.36499999999999999</v>
      </c>
      <c r="AB813" s="10">
        <v>230</v>
      </c>
      <c r="AC813" s="10">
        <v>142</v>
      </c>
      <c r="AD813" s="10">
        <v>39</v>
      </c>
      <c r="AE813" s="10">
        <v>8</v>
      </c>
      <c r="AF813" s="10">
        <v>9.9</v>
      </c>
      <c r="AG813" s="9" t="s">
        <v>169</v>
      </c>
      <c r="AH813" s="9" t="s">
        <v>178</v>
      </c>
      <c r="AI813" s="9" t="s">
        <v>185</v>
      </c>
      <c r="AJ813" s="10"/>
      <c r="AK813" s="30"/>
    </row>
    <row r="814" spans="5:37">
      <c r="E814" s="28" t="s">
        <v>155</v>
      </c>
      <c r="F814" s="8" t="s">
        <v>167</v>
      </c>
      <c r="G814" s="9" t="s">
        <v>835</v>
      </c>
      <c r="H814" s="10">
        <v>177</v>
      </c>
      <c r="I814" s="9" t="s">
        <v>158</v>
      </c>
      <c r="J814" s="10">
        <v>177</v>
      </c>
      <c r="K814" s="10">
        <v>175.7</v>
      </c>
      <c r="L814" s="10">
        <v>111</v>
      </c>
      <c r="M814" s="10">
        <v>137</v>
      </c>
      <c r="N814" s="10">
        <v>142</v>
      </c>
      <c r="O814" s="10">
        <v>114</v>
      </c>
      <c r="P814" s="10">
        <v>126</v>
      </c>
      <c r="Q814" s="10">
        <v>23</v>
      </c>
      <c r="R814" s="10">
        <v>1835</v>
      </c>
      <c r="S814" s="10">
        <v>1.17</v>
      </c>
      <c r="T814" s="10">
        <v>2150</v>
      </c>
      <c r="U814" s="10">
        <v>273</v>
      </c>
      <c r="V814" s="10">
        <v>138</v>
      </c>
      <c r="W814" s="10">
        <v>67</v>
      </c>
      <c r="X814" s="10">
        <v>285</v>
      </c>
      <c r="Y814" s="10">
        <v>21</v>
      </c>
      <c r="Z814" s="10">
        <v>365</v>
      </c>
      <c r="AA814" s="10">
        <v>0.309</v>
      </c>
      <c r="AB814" s="10">
        <v>233</v>
      </c>
      <c r="AC814" s="10">
        <v>152</v>
      </c>
      <c r="AD814" s="10">
        <v>52</v>
      </c>
      <c r="AE814" s="10">
        <v>4</v>
      </c>
      <c r="AF814" s="10">
        <v>6.6</v>
      </c>
      <c r="AG814" s="9" t="s">
        <v>178</v>
      </c>
      <c r="AH814" s="9" t="s">
        <v>185</v>
      </c>
      <c r="AI814" s="10"/>
      <c r="AJ814" s="10"/>
      <c r="AK814" s="30"/>
    </row>
    <row r="815" spans="5:37">
      <c r="E815" s="28" t="s">
        <v>155</v>
      </c>
      <c r="F815" s="8" t="s">
        <v>167</v>
      </c>
      <c r="G815" s="9" t="s">
        <v>835</v>
      </c>
      <c r="H815" s="10">
        <v>184</v>
      </c>
      <c r="I815" s="9" t="s">
        <v>158</v>
      </c>
      <c r="J815" s="10">
        <v>184</v>
      </c>
      <c r="K815" s="10">
        <v>182.9</v>
      </c>
      <c r="L815" s="10">
        <v>118</v>
      </c>
      <c r="M815" s="10">
        <v>145</v>
      </c>
      <c r="N815" s="10">
        <v>144</v>
      </c>
      <c r="O815" s="10">
        <v>116</v>
      </c>
      <c r="P815" s="10">
        <v>128</v>
      </c>
      <c r="Q815" s="10">
        <v>24.9</v>
      </c>
      <c r="R815" s="10">
        <v>1949</v>
      </c>
      <c r="S815" s="10">
        <v>1.17</v>
      </c>
      <c r="T815" s="10">
        <v>2275</v>
      </c>
      <c r="U815" s="10">
        <v>335</v>
      </c>
      <c r="V815" s="10">
        <v>162</v>
      </c>
      <c r="W815" s="10">
        <v>63</v>
      </c>
      <c r="X815" s="10">
        <v>288</v>
      </c>
      <c r="Y815" s="10">
        <v>22</v>
      </c>
      <c r="Z815" s="10">
        <v>359</v>
      </c>
      <c r="AA815" s="10">
        <v>0.35499999999999998</v>
      </c>
      <c r="AB815" s="10">
        <v>231</v>
      </c>
      <c r="AC815" s="10">
        <v>145</v>
      </c>
      <c r="AD815" s="10">
        <v>57</v>
      </c>
      <c r="AE815" s="10">
        <v>5</v>
      </c>
      <c r="AF815" s="10">
        <v>7.5</v>
      </c>
      <c r="AG815" s="9" t="s">
        <v>169</v>
      </c>
      <c r="AH815" s="9" t="s">
        <v>178</v>
      </c>
      <c r="AI815" s="9" t="s">
        <v>185</v>
      </c>
      <c r="AJ815" s="10"/>
      <c r="AK815" s="30"/>
    </row>
    <row r="816" spans="5:37">
      <c r="E816" s="28" t="s">
        <v>155</v>
      </c>
      <c r="F816" s="8" t="s">
        <v>167</v>
      </c>
      <c r="G816" s="9" t="s">
        <v>702</v>
      </c>
      <c r="H816" s="10">
        <v>156</v>
      </c>
      <c r="I816" s="9" t="s">
        <v>158</v>
      </c>
      <c r="J816" s="10">
        <v>156</v>
      </c>
      <c r="K816" s="10">
        <v>155.1</v>
      </c>
      <c r="L816" s="10">
        <v>127</v>
      </c>
      <c r="M816" s="10">
        <v>131</v>
      </c>
      <c r="N816" s="10">
        <v>122</v>
      </c>
      <c r="O816" s="10">
        <v>77</v>
      </c>
      <c r="P816" s="10">
        <v>102</v>
      </c>
      <c r="Q816" s="10">
        <v>10.9</v>
      </c>
      <c r="R816" s="10">
        <v>1671</v>
      </c>
      <c r="S816" s="10">
        <v>0.86</v>
      </c>
      <c r="T816" s="10">
        <v>1429</v>
      </c>
      <c r="U816" s="10">
        <v>124</v>
      </c>
      <c r="V816" s="10">
        <v>65</v>
      </c>
      <c r="W816" s="10">
        <v>41</v>
      </c>
      <c r="X816" s="10">
        <v>200</v>
      </c>
      <c r="Y816" s="10">
        <v>7</v>
      </c>
      <c r="Z816" s="10">
        <v>84</v>
      </c>
      <c r="AA816" s="10">
        <v>0.17100000000000001</v>
      </c>
      <c r="AB816" s="10">
        <v>126</v>
      </c>
      <c r="AC816" s="10">
        <v>114</v>
      </c>
      <c r="AD816" s="10">
        <v>73</v>
      </c>
      <c r="AE816" s="10">
        <v>12</v>
      </c>
      <c r="AF816" s="10">
        <v>9.3000000000000007</v>
      </c>
      <c r="AG816" s="9" t="s">
        <v>349</v>
      </c>
      <c r="AH816" s="9" t="s">
        <v>231</v>
      </c>
      <c r="AI816" s="10"/>
      <c r="AJ816" s="10"/>
      <c r="AK816" s="30"/>
    </row>
    <row r="817" spans="5:37">
      <c r="E817" s="28" t="s">
        <v>155</v>
      </c>
      <c r="F817" s="8" t="s">
        <v>167</v>
      </c>
      <c r="G817" s="9" t="s">
        <v>702</v>
      </c>
      <c r="H817" s="10">
        <v>163</v>
      </c>
      <c r="I817" s="9" t="s">
        <v>158</v>
      </c>
      <c r="J817" s="10">
        <v>163</v>
      </c>
      <c r="K817" s="10">
        <v>162.6</v>
      </c>
      <c r="L817" s="10">
        <v>131</v>
      </c>
      <c r="M817" s="10">
        <v>138</v>
      </c>
      <c r="N817" s="10">
        <v>124</v>
      </c>
      <c r="O817" s="10">
        <v>78</v>
      </c>
      <c r="P817" s="10">
        <v>103</v>
      </c>
      <c r="Q817" s="10">
        <v>12.1</v>
      </c>
      <c r="R817" s="10">
        <v>1773</v>
      </c>
      <c r="S817" s="10">
        <v>0.85</v>
      </c>
      <c r="T817" s="10">
        <v>1510</v>
      </c>
      <c r="U817" s="10">
        <v>148</v>
      </c>
      <c r="V817" s="10">
        <v>76</v>
      </c>
      <c r="W817" s="10">
        <v>43</v>
      </c>
      <c r="X817" s="10">
        <v>202</v>
      </c>
      <c r="Y817" s="10">
        <v>11</v>
      </c>
      <c r="Z817" s="10">
        <v>116</v>
      </c>
      <c r="AA817" s="10">
        <v>0.25600000000000001</v>
      </c>
      <c r="AB817" s="10">
        <v>129</v>
      </c>
      <c r="AC817" s="10">
        <v>112</v>
      </c>
      <c r="AD817" s="10">
        <v>73</v>
      </c>
      <c r="AE817" s="10">
        <v>10</v>
      </c>
      <c r="AF817" s="10">
        <v>10.4</v>
      </c>
      <c r="AG817" s="9" t="s">
        <v>231</v>
      </c>
      <c r="AH817" s="10"/>
      <c r="AI817" s="10"/>
      <c r="AJ817" s="10"/>
      <c r="AK817" s="30"/>
    </row>
    <row r="818" spans="5:37">
      <c r="E818" s="28" t="s">
        <v>155</v>
      </c>
      <c r="F818" s="8" t="s">
        <v>167</v>
      </c>
      <c r="G818" s="9" t="s">
        <v>702</v>
      </c>
      <c r="H818" s="10">
        <v>170</v>
      </c>
      <c r="I818" s="9" t="s">
        <v>158</v>
      </c>
      <c r="J818" s="10">
        <v>170</v>
      </c>
      <c r="K818" s="10">
        <v>169.2</v>
      </c>
      <c r="L818" s="10">
        <v>139</v>
      </c>
      <c r="M818" s="10">
        <v>144</v>
      </c>
      <c r="N818" s="10">
        <v>125</v>
      </c>
      <c r="O818" s="10">
        <v>78</v>
      </c>
      <c r="P818" s="10">
        <v>104</v>
      </c>
      <c r="Q818" s="10">
        <v>13.3</v>
      </c>
      <c r="R818" s="10">
        <v>1925</v>
      </c>
      <c r="S818" s="10">
        <v>0.82</v>
      </c>
      <c r="T818" s="10">
        <v>1581</v>
      </c>
      <c r="U818" s="10">
        <v>173</v>
      </c>
      <c r="V818" s="10">
        <v>79</v>
      </c>
      <c r="W818" s="10">
        <v>41</v>
      </c>
      <c r="X818" s="10">
        <v>199</v>
      </c>
      <c r="Y818" s="10">
        <v>8</v>
      </c>
      <c r="Z818" s="10">
        <v>101</v>
      </c>
      <c r="AA818" s="10">
        <v>0.19</v>
      </c>
      <c r="AB818" s="10">
        <v>129</v>
      </c>
      <c r="AC818" s="10">
        <v>121</v>
      </c>
      <c r="AD818" s="10">
        <v>70</v>
      </c>
      <c r="AE818" s="10">
        <v>13</v>
      </c>
      <c r="AF818" s="10">
        <v>11.7</v>
      </c>
      <c r="AG818" s="9" t="s">
        <v>349</v>
      </c>
      <c r="AH818" s="9" t="s">
        <v>231</v>
      </c>
      <c r="AI818" s="10"/>
      <c r="AJ818" s="10"/>
      <c r="AK818" s="30"/>
    </row>
    <row r="819" spans="5:37">
      <c r="E819" s="28" t="s">
        <v>155</v>
      </c>
      <c r="F819" s="8" t="s">
        <v>167</v>
      </c>
      <c r="G819" s="9" t="s">
        <v>702</v>
      </c>
      <c r="H819" s="10">
        <v>177</v>
      </c>
      <c r="I819" s="9" t="s">
        <v>158</v>
      </c>
      <c r="J819" s="10">
        <v>177</v>
      </c>
      <c r="K819" s="10">
        <v>176.3</v>
      </c>
      <c r="L819" s="10">
        <v>147</v>
      </c>
      <c r="M819" s="10">
        <v>150</v>
      </c>
      <c r="N819" s="10">
        <v>126</v>
      </c>
      <c r="O819" s="10">
        <v>79</v>
      </c>
      <c r="P819" s="10">
        <v>105</v>
      </c>
      <c r="Q819" s="10">
        <v>14.4</v>
      </c>
      <c r="R819" s="10">
        <v>2084</v>
      </c>
      <c r="S819" s="10">
        <v>0.8</v>
      </c>
      <c r="T819" s="10">
        <v>1669</v>
      </c>
      <c r="U819" s="10">
        <v>187</v>
      </c>
      <c r="V819" s="10">
        <v>98</v>
      </c>
      <c r="W819" s="10">
        <v>40</v>
      </c>
      <c r="X819" s="10">
        <v>200</v>
      </c>
      <c r="Y819" s="10">
        <v>7</v>
      </c>
      <c r="Z819" s="10">
        <v>96</v>
      </c>
      <c r="AA819" s="10">
        <v>0.17799999999999999</v>
      </c>
      <c r="AB819" s="10">
        <v>135</v>
      </c>
      <c r="AC819" s="10">
        <v>124</v>
      </c>
      <c r="AD819" s="10">
        <v>65</v>
      </c>
      <c r="AE819" s="10">
        <v>13</v>
      </c>
      <c r="AF819" s="10">
        <v>11.4</v>
      </c>
      <c r="AG819" s="9" t="s">
        <v>349</v>
      </c>
      <c r="AH819" s="9" t="s">
        <v>231</v>
      </c>
      <c r="AI819" s="10"/>
      <c r="AJ819" s="10"/>
      <c r="AK819" s="30"/>
    </row>
    <row r="820" spans="5:37">
      <c r="E820" s="28" t="s">
        <v>155</v>
      </c>
      <c r="F820" s="8" t="s">
        <v>167</v>
      </c>
      <c r="G820" s="9" t="s">
        <v>466</v>
      </c>
      <c r="H820" s="10">
        <v>163</v>
      </c>
      <c r="I820" s="9" t="s">
        <v>163</v>
      </c>
      <c r="J820" s="10">
        <v>163</v>
      </c>
      <c r="K820" s="10">
        <v>162.6</v>
      </c>
      <c r="L820" s="10">
        <v>128</v>
      </c>
      <c r="M820" s="10">
        <v>135</v>
      </c>
      <c r="N820" s="10">
        <v>123</v>
      </c>
      <c r="O820" s="10">
        <v>82</v>
      </c>
      <c r="P820" s="10">
        <v>104</v>
      </c>
      <c r="Q820" s="10">
        <v>13.7</v>
      </c>
      <c r="R820" s="10">
        <v>1444</v>
      </c>
      <c r="S820" s="10">
        <v>1.08</v>
      </c>
      <c r="T820" s="10">
        <v>1555</v>
      </c>
      <c r="U820" s="10">
        <v>209</v>
      </c>
      <c r="V820" s="10">
        <v>96</v>
      </c>
      <c r="W820" s="10">
        <v>45</v>
      </c>
      <c r="X820" s="10">
        <v>210</v>
      </c>
      <c r="Y820" s="10">
        <v>11</v>
      </c>
      <c r="Z820" s="10">
        <v>135</v>
      </c>
      <c r="AA820" s="10">
        <v>0.23799999999999999</v>
      </c>
      <c r="AB820" s="10">
        <v>140</v>
      </c>
      <c r="AC820" s="10">
        <v>132</v>
      </c>
      <c r="AD820" s="10">
        <v>70</v>
      </c>
      <c r="AE820" s="10">
        <v>6</v>
      </c>
      <c r="AF820" s="10">
        <v>8.6999999999999993</v>
      </c>
      <c r="AG820" s="9" t="s">
        <v>231</v>
      </c>
      <c r="AH820" s="9" t="s">
        <v>188</v>
      </c>
      <c r="AI820" s="9" t="s">
        <v>185</v>
      </c>
      <c r="AJ820" s="10"/>
      <c r="AK820" s="30"/>
    </row>
    <row r="821" spans="5:37">
      <c r="E821" s="28" t="s">
        <v>155</v>
      </c>
      <c r="F821" s="8" t="s">
        <v>167</v>
      </c>
      <c r="G821" s="9" t="s">
        <v>430</v>
      </c>
      <c r="H821" s="10">
        <v>156</v>
      </c>
      <c r="I821" s="9" t="s">
        <v>158</v>
      </c>
      <c r="J821" s="10">
        <v>156</v>
      </c>
      <c r="K821" s="10">
        <v>157.30000000000001</v>
      </c>
      <c r="L821" s="10">
        <v>121</v>
      </c>
      <c r="M821" s="10">
        <v>125</v>
      </c>
      <c r="N821" s="10">
        <v>124</v>
      </c>
      <c r="O821" s="10">
        <v>87</v>
      </c>
      <c r="P821" s="10">
        <v>107</v>
      </c>
      <c r="Q821" s="10">
        <v>12.1</v>
      </c>
      <c r="R821" s="10">
        <v>1473</v>
      </c>
      <c r="S821" s="10">
        <v>1.06</v>
      </c>
      <c r="T821" s="10">
        <v>1557</v>
      </c>
      <c r="U821" s="10">
        <v>156</v>
      </c>
      <c r="V821" s="10">
        <v>71</v>
      </c>
      <c r="W821" s="10">
        <v>48</v>
      </c>
      <c r="X821" s="10">
        <v>209</v>
      </c>
      <c r="Y821" s="10">
        <v>15</v>
      </c>
      <c r="Z821" s="10">
        <v>152</v>
      </c>
      <c r="AA821" s="10">
        <v>0.308</v>
      </c>
      <c r="AB821" s="10">
        <v>152</v>
      </c>
      <c r="AC821" s="10">
        <v>169</v>
      </c>
      <c r="AD821" s="10">
        <v>57</v>
      </c>
      <c r="AE821" s="10">
        <v>7</v>
      </c>
      <c r="AF821" s="10">
        <v>9.1999999999999993</v>
      </c>
      <c r="AG821" s="9" t="s">
        <v>188</v>
      </c>
      <c r="AH821" s="9" t="s">
        <v>185</v>
      </c>
      <c r="AI821" s="10"/>
      <c r="AJ821" s="10"/>
      <c r="AK821" s="30"/>
    </row>
    <row r="822" spans="5:37">
      <c r="E822" s="28" t="s">
        <v>155</v>
      </c>
      <c r="F822" s="8" t="s">
        <v>167</v>
      </c>
      <c r="G822" s="9" t="s">
        <v>430</v>
      </c>
      <c r="H822" s="10">
        <v>163</v>
      </c>
      <c r="I822" s="9" t="s">
        <v>158</v>
      </c>
      <c r="J822" s="10">
        <v>163</v>
      </c>
      <c r="K822" s="10">
        <v>162.4</v>
      </c>
      <c r="L822" s="10">
        <v>128</v>
      </c>
      <c r="M822" s="10">
        <v>133</v>
      </c>
      <c r="N822" s="10">
        <v>127</v>
      </c>
      <c r="O822" s="10">
        <v>89</v>
      </c>
      <c r="P822" s="10">
        <v>109</v>
      </c>
      <c r="Q822" s="10">
        <v>13.2</v>
      </c>
      <c r="R822" s="10">
        <v>1683</v>
      </c>
      <c r="S822" s="10">
        <v>0.98</v>
      </c>
      <c r="T822" s="10">
        <v>1645</v>
      </c>
      <c r="U822" s="10">
        <v>188</v>
      </c>
      <c r="V822" s="10">
        <v>80</v>
      </c>
      <c r="W822" s="10">
        <v>46</v>
      </c>
      <c r="X822" s="10">
        <v>212</v>
      </c>
      <c r="Y822" s="10">
        <v>11</v>
      </c>
      <c r="Z822" s="10">
        <v>129</v>
      </c>
      <c r="AA822" s="10">
        <v>0.23799999999999999</v>
      </c>
      <c r="AB822" s="10">
        <v>142</v>
      </c>
      <c r="AC822" s="10">
        <v>156</v>
      </c>
      <c r="AD822" s="10">
        <v>70</v>
      </c>
      <c r="AE822" s="10">
        <v>7</v>
      </c>
      <c r="AF822" s="10">
        <v>11.5</v>
      </c>
      <c r="AG822" s="9" t="s">
        <v>188</v>
      </c>
      <c r="AH822" s="10"/>
      <c r="AI822" s="10"/>
      <c r="AJ822" s="10"/>
      <c r="AK822" s="30"/>
    </row>
    <row r="823" spans="5:37">
      <c r="E823" s="28" t="s">
        <v>155</v>
      </c>
      <c r="F823" s="8" t="s">
        <v>167</v>
      </c>
      <c r="G823" s="9" t="s">
        <v>430</v>
      </c>
      <c r="H823" s="10">
        <v>170</v>
      </c>
      <c r="I823" s="9" t="s">
        <v>158</v>
      </c>
      <c r="J823" s="10">
        <v>170</v>
      </c>
      <c r="K823" s="10">
        <v>169.6</v>
      </c>
      <c r="L823" s="10">
        <v>135</v>
      </c>
      <c r="M823" s="10">
        <v>140</v>
      </c>
      <c r="N823" s="10">
        <v>129</v>
      </c>
      <c r="O823" s="10">
        <v>90</v>
      </c>
      <c r="P823" s="10">
        <v>112</v>
      </c>
      <c r="Q823" s="10">
        <v>14.6</v>
      </c>
      <c r="R823" s="10">
        <v>1873</v>
      </c>
      <c r="S823" s="10">
        <v>0.93</v>
      </c>
      <c r="T823" s="10">
        <v>1742</v>
      </c>
      <c r="U823" s="10">
        <v>168</v>
      </c>
      <c r="V823" s="10">
        <v>74</v>
      </c>
      <c r="W823" s="10">
        <v>47</v>
      </c>
      <c r="X823" s="10">
        <v>216</v>
      </c>
      <c r="Y823" s="10">
        <v>11</v>
      </c>
      <c r="Z823" s="10">
        <v>130</v>
      </c>
      <c r="AA823" s="10">
        <v>0.23100000000000001</v>
      </c>
      <c r="AB823" s="10">
        <v>148</v>
      </c>
      <c r="AC823" s="10">
        <v>151</v>
      </c>
      <c r="AD823" s="10">
        <v>67</v>
      </c>
      <c r="AE823" s="10">
        <v>10</v>
      </c>
      <c r="AF823" s="10">
        <v>9.9</v>
      </c>
      <c r="AG823" s="9" t="s">
        <v>188</v>
      </c>
      <c r="AH823" s="10"/>
      <c r="AI823" s="10"/>
      <c r="AJ823" s="10"/>
      <c r="AK823" s="30"/>
    </row>
    <row r="824" spans="5:37">
      <c r="E824" s="28" t="s">
        <v>155</v>
      </c>
      <c r="F824" s="8" t="s">
        <v>167</v>
      </c>
      <c r="G824" s="9" t="s">
        <v>430</v>
      </c>
      <c r="H824" s="10">
        <v>177</v>
      </c>
      <c r="I824" s="9" t="s">
        <v>158</v>
      </c>
      <c r="J824" s="10">
        <v>177</v>
      </c>
      <c r="K824" s="10">
        <v>176.3</v>
      </c>
      <c r="L824" s="10">
        <v>140</v>
      </c>
      <c r="M824" s="10">
        <v>147</v>
      </c>
      <c r="N824" s="10">
        <v>132</v>
      </c>
      <c r="O824" s="10">
        <v>92</v>
      </c>
      <c r="P824" s="10">
        <v>114</v>
      </c>
      <c r="Q824" s="10">
        <v>16.399999999999999</v>
      </c>
      <c r="R824" s="10">
        <v>1930</v>
      </c>
      <c r="S824" s="10">
        <v>0.96</v>
      </c>
      <c r="T824" s="10">
        <v>1845</v>
      </c>
      <c r="U824" s="10">
        <v>216</v>
      </c>
      <c r="V824" s="10">
        <v>101</v>
      </c>
      <c r="W824" s="10">
        <v>51</v>
      </c>
      <c r="X824" s="10">
        <v>217</v>
      </c>
      <c r="Y824" s="10">
        <v>12</v>
      </c>
      <c r="Z824" s="10">
        <v>142</v>
      </c>
      <c r="AA824" s="10">
        <v>0.24099999999999999</v>
      </c>
      <c r="AB824" s="10">
        <v>147</v>
      </c>
      <c r="AC824" s="10">
        <v>146</v>
      </c>
      <c r="AD824" s="10">
        <v>69</v>
      </c>
      <c r="AE824" s="10">
        <v>11</v>
      </c>
      <c r="AF824" s="10">
        <v>10.5</v>
      </c>
      <c r="AG824" s="9" t="s">
        <v>188</v>
      </c>
      <c r="AH824" s="10"/>
      <c r="AI824" s="10"/>
      <c r="AJ824" s="10"/>
      <c r="AK824" s="30"/>
    </row>
    <row r="825" spans="5:37">
      <c r="E825" s="28" t="s">
        <v>155</v>
      </c>
      <c r="F825" s="8" t="s">
        <v>167</v>
      </c>
      <c r="G825" s="9" t="s">
        <v>224</v>
      </c>
      <c r="H825" s="10">
        <v>163</v>
      </c>
      <c r="I825" s="9" t="s">
        <v>163</v>
      </c>
      <c r="J825" s="10">
        <v>163</v>
      </c>
      <c r="K825" s="10">
        <v>162.69999999999999</v>
      </c>
      <c r="L825" s="10">
        <v>127</v>
      </c>
      <c r="M825" s="10">
        <v>132</v>
      </c>
      <c r="N825" s="10">
        <v>126</v>
      </c>
      <c r="O825" s="10">
        <v>88</v>
      </c>
      <c r="P825" s="10">
        <v>108</v>
      </c>
      <c r="Q825" s="10">
        <v>13.6</v>
      </c>
      <c r="R825" s="10">
        <v>1534</v>
      </c>
      <c r="S825" s="10">
        <v>1.07</v>
      </c>
      <c r="T825" s="10">
        <v>1635</v>
      </c>
      <c r="U825" s="10">
        <v>211</v>
      </c>
      <c r="V825" s="10">
        <v>100</v>
      </c>
      <c r="W825" s="10">
        <v>47</v>
      </c>
      <c r="X825" s="10">
        <v>218</v>
      </c>
      <c r="Y825" s="10">
        <v>11</v>
      </c>
      <c r="Z825" s="10">
        <v>138</v>
      </c>
      <c r="AA825" s="10">
        <v>0.24199999999999999</v>
      </c>
      <c r="AB825" s="10">
        <v>147</v>
      </c>
      <c r="AC825" s="10">
        <v>156</v>
      </c>
      <c r="AD825" s="10">
        <v>71</v>
      </c>
      <c r="AE825" s="10">
        <v>5</v>
      </c>
      <c r="AF825" s="10">
        <v>8.1</v>
      </c>
      <c r="AG825" s="9" t="s">
        <v>188</v>
      </c>
      <c r="AH825" s="9" t="s">
        <v>185</v>
      </c>
      <c r="AI825" s="10"/>
      <c r="AJ825" s="10"/>
      <c r="AK825" s="30"/>
    </row>
    <row r="826" spans="5:37">
      <c r="E826" s="28" t="s">
        <v>155</v>
      </c>
      <c r="F826" s="8" t="s">
        <v>167</v>
      </c>
      <c r="G826" s="9" t="s">
        <v>224</v>
      </c>
      <c r="H826" s="10">
        <v>170</v>
      </c>
      <c r="I826" s="9" t="s">
        <v>163</v>
      </c>
      <c r="J826" s="10">
        <v>170</v>
      </c>
      <c r="K826" s="10">
        <v>169.7</v>
      </c>
      <c r="L826" s="10">
        <v>134</v>
      </c>
      <c r="M826" s="10">
        <v>139</v>
      </c>
      <c r="N826" s="10">
        <v>129</v>
      </c>
      <c r="O826" s="10">
        <v>90</v>
      </c>
      <c r="P826" s="10">
        <v>111</v>
      </c>
      <c r="Q826" s="10">
        <v>15</v>
      </c>
      <c r="R826" s="10">
        <v>1551</v>
      </c>
      <c r="S826" s="10">
        <v>1.1200000000000001</v>
      </c>
      <c r="T826" s="10">
        <v>1738</v>
      </c>
      <c r="U826" s="10">
        <v>213</v>
      </c>
      <c r="V826" s="10">
        <v>104</v>
      </c>
      <c r="W826" s="10">
        <v>50</v>
      </c>
      <c r="X826" s="10">
        <v>217</v>
      </c>
      <c r="Y826" s="10">
        <v>12</v>
      </c>
      <c r="Z826" s="10">
        <v>140</v>
      </c>
      <c r="AA826" s="10">
        <v>0.23799999999999999</v>
      </c>
      <c r="AB826" s="10">
        <v>150</v>
      </c>
      <c r="AC826" s="10">
        <v>158</v>
      </c>
      <c r="AD826" s="10">
        <v>67</v>
      </c>
      <c r="AE826" s="10">
        <v>5</v>
      </c>
      <c r="AF826" s="10">
        <v>9</v>
      </c>
      <c r="AG826" s="9" t="s">
        <v>188</v>
      </c>
      <c r="AH826" s="9" t="s">
        <v>185</v>
      </c>
      <c r="AI826" s="10"/>
      <c r="AJ826" s="10"/>
      <c r="AK826" s="30"/>
    </row>
    <row r="827" spans="5:37">
      <c r="E827" s="28" t="s">
        <v>155</v>
      </c>
      <c r="F827" s="8" t="s">
        <v>167</v>
      </c>
      <c r="G827" s="9" t="s">
        <v>200</v>
      </c>
      <c r="H827" s="10">
        <v>156</v>
      </c>
      <c r="I827" s="9" t="s">
        <v>158</v>
      </c>
      <c r="J827" s="10">
        <v>156</v>
      </c>
      <c r="K827" s="10">
        <v>155.4</v>
      </c>
      <c r="L827" s="10">
        <v>119</v>
      </c>
      <c r="M827" s="10">
        <v>126</v>
      </c>
      <c r="N827" s="10">
        <v>124</v>
      </c>
      <c r="O827" s="10">
        <v>86</v>
      </c>
      <c r="P827" s="10">
        <v>107</v>
      </c>
      <c r="Q827" s="10">
        <v>12</v>
      </c>
      <c r="R827" s="10">
        <v>1410</v>
      </c>
      <c r="S827" s="10">
        <v>1.0900000000000001</v>
      </c>
      <c r="T827" s="10">
        <v>1534</v>
      </c>
      <c r="U827" s="10">
        <v>192</v>
      </c>
      <c r="V827" s="10">
        <v>82</v>
      </c>
      <c r="W827" s="10">
        <v>50</v>
      </c>
      <c r="X827" s="10">
        <v>230</v>
      </c>
      <c r="Y827" s="10">
        <v>11</v>
      </c>
      <c r="Z827" s="10">
        <v>134</v>
      </c>
      <c r="AA827" s="10">
        <v>0.224</v>
      </c>
      <c r="AB827" s="10">
        <v>143</v>
      </c>
      <c r="AC827" s="10">
        <v>155</v>
      </c>
      <c r="AD827" s="10">
        <v>87</v>
      </c>
      <c r="AE827" s="10">
        <v>5</v>
      </c>
      <c r="AF827" s="10">
        <v>8.6</v>
      </c>
      <c r="AG827" s="9" t="s">
        <v>188</v>
      </c>
      <c r="AH827" s="9" t="s">
        <v>185</v>
      </c>
      <c r="AI827" s="10"/>
      <c r="AJ827" s="10"/>
      <c r="AK827" s="30"/>
    </row>
    <row r="828" spans="5:37">
      <c r="E828" s="28" t="s">
        <v>155</v>
      </c>
      <c r="F828" s="8" t="s">
        <v>167</v>
      </c>
      <c r="G828" s="9" t="s">
        <v>200</v>
      </c>
      <c r="H828" s="10">
        <v>163</v>
      </c>
      <c r="I828" s="9" t="s">
        <v>158</v>
      </c>
      <c r="J828" s="10">
        <v>163</v>
      </c>
      <c r="K828" s="10">
        <v>162.69999999999999</v>
      </c>
      <c r="L828" s="10">
        <v>128</v>
      </c>
      <c r="M828" s="10">
        <v>132</v>
      </c>
      <c r="N828" s="10">
        <v>127</v>
      </c>
      <c r="O828" s="10">
        <v>88</v>
      </c>
      <c r="P828" s="10">
        <v>109</v>
      </c>
      <c r="Q828" s="10">
        <v>13.2</v>
      </c>
      <c r="R828" s="10">
        <v>1474</v>
      </c>
      <c r="S828" s="10">
        <v>1.1100000000000001</v>
      </c>
      <c r="T828" s="10">
        <v>1639</v>
      </c>
      <c r="U828" s="10">
        <v>206</v>
      </c>
      <c r="V828" s="10">
        <v>93</v>
      </c>
      <c r="W828" s="10">
        <v>49</v>
      </c>
      <c r="X828" s="10">
        <v>218</v>
      </c>
      <c r="Y828" s="10">
        <v>11</v>
      </c>
      <c r="Z828" s="10">
        <v>130</v>
      </c>
      <c r="AA828" s="10">
        <v>0.218</v>
      </c>
      <c r="AB828" s="10">
        <v>152</v>
      </c>
      <c r="AC828" s="10">
        <v>159</v>
      </c>
      <c r="AD828" s="10">
        <v>65</v>
      </c>
      <c r="AE828" s="10">
        <v>7</v>
      </c>
      <c r="AF828" s="10">
        <v>9.1999999999999993</v>
      </c>
      <c r="AG828" s="9" t="s">
        <v>188</v>
      </c>
      <c r="AH828" s="9" t="s">
        <v>185</v>
      </c>
      <c r="AI828" s="10"/>
      <c r="AJ828" s="10"/>
      <c r="AK828" s="30"/>
    </row>
    <row r="829" spans="5:37">
      <c r="E829" s="28" t="s">
        <v>155</v>
      </c>
      <c r="F829" s="8" t="s">
        <v>167</v>
      </c>
      <c r="G829" s="9" t="s">
        <v>200</v>
      </c>
      <c r="H829" s="10">
        <v>170</v>
      </c>
      <c r="I829" s="9" t="s">
        <v>158</v>
      </c>
      <c r="J829" s="10">
        <v>170</v>
      </c>
      <c r="K829" s="10">
        <v>169.7</v>
      </c>
      <c r="L829" s="10">
        <v>134</v>
      </c>
      <c r="M829" s="10">
        <v>140</v>
      </c>
      <c r="N829" s="10">
        <v>129</v>
      </c>
      <c r="O829" s="10">
        <v>90</v>
      </c>
      <c r="P829" s="10">
        <v>112</v>
      </c>
      <c r="Q829" s="10">
        <v>14.6</v>
      </c>
      <c r="R829" s="10">
        <v>1582</v>
      </c>
      <c r="S829" s="10">
        <v>1.1000000000000001</v>
      </c>
      <c r="T829" s="10">
        <v>1742</v>
      </c>
      <c r="U829" s="10">
        <v>228</v>
      </c>
      <c r="V829" s="10">
        <v>101</v>
      </c>
      <c r="W829" s="10">
        <v>48</v>
      </c>
      <c r="X829" s="10">
        <v>217</v>
      </c>
      <c r="Y829" s="10">
        <v>13</v>
      </c>
      <c r="Z829" s="10">
        <v>142</v>
      </c>
      <c r="AA829" s="10">
        <v>0.27700000000000002</v>
      </c>
      <c r="AB829" s="10">
        <v>145</v>
      </c>
      <c r="AC829" s="10">
        <v>153</v>
      </c>
      <c r="AD829" s="10">
        <v>71</v>
      </c>
      <c r="AE829" s="10">
        <v>6</v>
      </c>
      <c r="AF829" s="10">
        <v>10.3</v>
      </c>
      <c r="AG829" s="9" t="s">
        <v>188</v>
      </c>
      <c r="AH829" s="9" t="s">
        <v>185</v>
      </c>
      <c r="AI829" s="10"/>
      <c r="AJ829" s="10"/>
      <c r="AK829" s="30"/>
    </row>
    <row r="830" spans="5:37">
      <c r="E830" s="28" t="s">
        <v>155</v>
      </c>
      <c r="F830" s="8" t="s">
        <v>167</v>
      </c>
      <c r="G830" s="9" t="s">
        <v>200</v>
      </c>
      <c r="H830" s="10">
        <v>177</v>
      </c>
      <c r="I830" s="9" t="s">
        <v>158</v>
      </c>
      <c r="J830" s="10">
        <v>177</v>
      </c>
      <c r="K830" s="10">
        <v>176.3</v>
      </c>
      <c r="L830" s="10">
        <v>138</v>
      </c>
      <c r="M830" s="10">
        <v>146</v>
      </c>
      <c r="N830" s="10">
        <v>132</v>
      </c>
      <c r="O830" s="10">
        <v>92</v>
      </c>
      <c r="P830" s="10">
        <v>114</v>
      </c>
      <c r="Q830" s="10">
        <v>16.399999999999999</v>
      </c>
      <c r="R830" s="10">
        <v>1660</v>
      </c>
      <c r="S830" s="10">
        <v>1.1100000000000001</v>
      </c>
      <c r="T830" s="10">
        <v>1844</v>
      </c>
      <c r="U830" s="10">
        <v>257</v>
      </c>
      <c r="V830" s="10">
        <v>119</v>
      </c>
      <c r="W830" s="10">
        <v>50</v>
      </c>
      <c r="X830" s="10">
        <v>221</v>
      </c>
      <c r="Y830" s="10">
        <v>15</v>
      </c>
      <c r="Z830" s="10">
        <v>160</v>
      </c>
      <c r="AA830" s="10">
        <v>0.29899999999999999</v>
      </c>
      <c r="AB830" s="10">
        <v>147</v>
      </c>
      <c r="AC830" s="10">
        <v>151</v>
      </c>
      <c r="AD830" s="10">
        <v>74</v>
      </c>
      <c r="AE830" s="10">
        <v>8</v>
      </c>
      <c r="AF830" s="10">
        <v>10.199999999999999</v>
      </c>
      <c r="AG830" s="9" t="s">
        <v>188</v>
      </c>
      <c r="AH830" s="9" t="s">
        <v>185</v>
      </c>
      <c r="AI830" s="10"/>
      <c r="AJ830" s="10"/>
      <c r="AK830" s="30"/>
    </row>
    <row r="831" spans="5:37">
      <c r="E831" s="28" t="s">
        <v>155</v>
      </c>
      <c r="F831" s="8" t="s">
        <v>167</v>
      </c>
      <c r="G831" s="9" t="s">
        <v>200</v>
      </c>
      <c r="H831" s="10">
        <v>184</v>
      </c>
      <c r="I831" s="9" t="s">
        <v>158</v>
      </c>
      <c r="J831" s="10">
        <v>184</v>
      </c>
      <c r="K831" s="10">
        <v>183.3</v>
      </c>
      <c r="L831" s="10">
        <v>146</v>
      </c>
      <c r="M831" s="10">
        <v>154</v>
      </c>
      <c r="N831" s="10">
        <v>135</v>
      </c>
      <c r="O831" s="10">
        <v>94</v>
      </c>
      <c r="P831" s="10">
        <v>116</v>
      </c>
      <c r="Q831" s="10">
        <v>17.600000000000001</v>
      </c>
      <c r="R831" s="10">
        <v>1828</v>
      </c>
      <c r="S831" s="10">
        <v>1.07</v>
      </c>
      <c r="T831" s="10">
        <v>1952</v>
      </c>
      <c r="U831" s="10">
        <v>308</v>
      </c>
      <c r="V831" s="10">
        <v>140</v>
      </c>
      <c r="W831" s="10">
        <v>50</v>
      </c>
      <c r="X831" s="10">
        <v>221</v>
      </c>
      <c r="Y831" s="10">
        <v>11</v>
      </c>
      <c r="Z831" s="10">
        <v>150</v>
      </c>
      <c r="AA831" s="10">
        <v>0.219</v>
      </c>
      <c r="AB831" s="10">
        <v>146</v>
      </c>
      <c r="AC831" s="10">
        <v>152</v>
      </c>
      <c r="AD831" s="10">
        <v>75</v>
      </c>
      <c r="AE831" s="10">
        <v>7</v>
      </c>
      <c r="AF831" s="10">
        <v>11.8</v>
      </c>
      <c r="AG831" s="9" t="s">
        <v>188</v>
      </c>
      <c r="AH831" s="9" t="s">
        <v>185</v>
      </c>
      <c r="AI831" s="10"/>
      <c r="AJ831" s="10"/>
      <c r="AK831" s="30"/>
    </row>
    <row r="832" spans="5:37">
      <c r="E832" s="28" t="s">
        <v>155</v>
      </c>
      <c r="F832" s="8" t="s">
        <v>167</v>
      </c>
      <c r="G832" s="9" t="s">
        <v>234</v>
      </c>
      <c r="H832" s="10">
        <v>156</v>
      </c>
      <c r="I832" s="9" t="s">
        <v>163</v>
      </c>
      <c r="J832" s="10">
        <v>156</v>
      </c>
      <c r="K832" s="10">
        <v>155.80000000000001</v>
      </c>
      <c r="L832" s="10">
        <v>119</v>
      </c>
      <c r="M832" s="10">
        <v>123</v>
      </c>
      <c r="N832" s="10">
        <v>124</v>
      </c>
      <c r="O832" s="10">
        <v>92</v>
      </c>
      <c r="P832" s="10">
        <v>111</v>
      </c>
      <c r="Q832" s="10">
        <v>13.1</v>
      </c>
      <c r="R832" s="10">
        <v>1497</v>
      </c>
      <c r="S832" s="10">
        <v>1.08</v>
      </c>
      <c r="T832" s="10">
        <v>1614</v>
      </c>
      <c r="U832" s="10">
        <v>225</v>
      </c>
      <c r="V832" s="10">
        <v>106</v>
      </c>
      <c r="W832" s="10">
        <v>48</v>
      </c>
      <c r="X832" s="10">
        <v>234</v>
      </c>
      <c r="Y832" s="10">
        <v>13</v>
      </c>
      <c r="Z832" s="10">
        <v>137</v>
      </c>
      <c r="AA832" s="10">
        <v>0.27200000000000002</v>
      </c>
      <c r="AB832" s="10">
        <v>167</v>
      </c>
      <c r="AC832" s="10">
        <v>158</v>
      </c>
      <c r="AD832" s="10">
        <v>67</v>
      </c>
      <c r="AE832" s="10">
        <v>5</v>
      </c>
      <c r="AF832" s="10">
        <v>6.9</v>
      </c>
      <c r="AG832" s="9" t="s">
        <v>188</v>
      </c>
      <c r="AH832" s="9" t="s">
        <v>185</v>
      </c>
      <c r="AI832" s="10"/>
      <c r="AJ832" s="10"/>
      <c r="AK832" s="30"/>
    </row>
    <row r="833" spans="5:37">
      <c r="E833" s="28" t="s">
        <v>155</v>
      </c>
      <c r="F833" s="8" t="s">
        <v>167</v>
      </c>
      <c r="G833" s="9" t="s">
        <v>234</v>
      </c>
      <c r="H833" s="10">
        <v>170</v>
      </c>
      <c r="I833" s="9" t="s">
        <v>163</v>
      </c>
      <c r="J833" s="10">
        <v>170</v>
      </c>
      <c r="K833" s="10">
        <v>169.9</v>
      </c>
      <c r="L833" s="10">
        <v>133</v>
      </c>
      <c r="M833" s="10">
        <v>135</v>
      </c>
      <c r="N833" s="10">
        <v>130</v>
      </c>
      <c r="O833" s="10">
        <v>96</v>
      </c>
      <c r="P833" s="10">
        <v>116</v>
      </c>
      <c r="Q833" s="10">
        <v>15.9</v>
      </c>
      <c r="R833" s="10">
        <v>1626</v>
      </c>
      <c r="S833" s="10">
        <v>1.1200000000000001</v>
      </c>
      <c r="T833" s="10">
        <v>1826</v>
      </c>
      <c r="U833" s="10">
        <v>238</v>
      </c>
      <c r="V833" s="10">
        <v>118</v>
      </c>
      <c r="W833" s="10">
        <v>47</v>
      </c>
      <c r="X833" s="10">
        <v>230</v>
      </c>
      <c r="Y833" s="10">
        <v>12</v>
      </c>
      <c r="Z833" s="10">
        <v>138</v>
      </c>
      <c r="AA833" s="10">
        <v>0.25700000000000001</v>
      </c>
      <c r="AB833" s="10">
        <v>186</v>
      </c>
      <c r="AC833" s="10">
        <v>161</v>
      </c>
      <c r="AD833" s="10">
        <v>44</v>
      </c>
      <c r="AE833" s="10">
        <v>7</v>
      </c>
      <c r="AF833" s="10">
        <v>8.8000000000000007</v>
      </c>
      <c r="AG833" s="9" t="s">
        <v>188</v>
      </c>
      <c r="AH833" s="9" t="s">
        <v>185</v>
      </c>
      <c r="AI833" s="10"/>
      <c r="AJ833" s="10"/>
      <c r="AK833" s="30"/>
    </row>
    <row r="834" spans="5:37">
      <c r="E834" s="28" t="s">
        <v>155</v>
      </c>
      <c r="F834" s="8" t="s">
        <v>167</v>
      </c>
      <c r="G834" s="9" t="s">
        <v>234</v>
      </c>
      <c r="H834" s="10">
        <v>177</v>
      </c>
      <c r="I834" s="9" t="s">
        <v>163</v>
      </c>
      <c r="J834" s="10">
        <v>177</v>
      </c>
      <c r="K834" s="10">
        <v>176.6</v>
      </c>
      <c r="L834" s="10">
        <v>137</v>
      </c>
      <c r="M834" s="10">
        <v>144</v>
      </c>
      <c r="N834" s="10">
        <v>132</v>
      </c>
      <c r="O834" s="10">
        <v>98</v>
      </c>
      <c r="P834" s="10">
        <v>118</v>
      </c>
      <c r="Q834" s="10">
        <v>17.100000000000001</v>
      </c>
      <c r="R834" s="10">
        <v>1717</v>
      </c>
      <c r="S834" s="10">
        <v>1.1200000000000001</v>
      </c>
      <c r="T834" s="10">
        <v>1928</v>
      </c>
      <c r="U834" s="10">
        <v>266</v>
      </c>
      <c r="V834" s="10">
        <v>128</v>
      </c>
      <c r="W834" s="10">
        <v>53</v>
      </c>
      <c r="X834" s="10">
        <v>239</v>
      </c>
      <c r="Y834" s="10">
        <v>14</v>
      </c>
      <c r="Z834" s="10">
        <v>158</v>
      </c>
      <c r="AA834" s="10">
        <v>0.26800000000000002</v>
      </c>
      <c r="AB834" s="10">
        <v>182</v>
      </c>
      <c r="AC834" s="10">
        <v>149</v>
      </c>
      <c r="AD834" s="10">
        <v>57</v>
      </c>
      <c r="AE834" s="10">
        <v>6</v>
      </c>
      <c r="AF834" s="10">
        <v>8.9</v>
      </c>
      <c r="AG834" s="9" t="s">
        <v>188</v>
      </c>
      <c r="AH834" s="9" t="s">
        <v>185</v>
      </c>
      <c r="AI834" s="10"/>
      <c r="AJ834" s="10"/>
      <c r="AK834" s="30"/>
    </row>
    <row r="835" spans="5:37">
      <c r="E835" s="28" t="s">
        <v>155</v>
      </c>
      <c r="F835" s="8" t="s">
        <v>167</v>
      </c>
      <c r="G835" s="9" t="s">
        <v>240</v>
      </c>
      <c r="H835" s="10">
        <v>163</v>
      </c>
      <c r="I835" s="9" t="s">
        <v>158</v>
      </c>
      <c r="J835" s="10">
        <v>163</v>
      </c>
      <c r="K835" s="10">
        <v>162.6</v>
      </c>
      <c r="L835" s="10">
        <v>126</v>
      </c>
      <c r="M835" s="10">
        <v>130</v>
      </c>
      <c r="N835" s="10">
        <v>127</v>
      </c>
      <c r="O835" s="10">
        <v>94</v>
      </c>
      <c r="P835" s="10">
        <v>114</v>
      </c>
      <c r="Q835" s="10">
        <v>14.4</v>
      </c>
      <c r="R835" s="10">
        <v>1515</v>
      </c>
      <c r="S835" s="10">
        <v>1.1299999999999999</v>
      </c>
      <c r="T835" s="10">
        <v>1718</v>
      </c>
      <c r="U835" s="10">
        <v>198</v>
      </c>
      <c r="V835" s="10">
        <v>100</v>
      </c>
      <c r="W835" s="10">
        <v>49</v>
      </c>
      <c r="X835" s="10">
        <v>237</v>
      </c>
      <c r="Y835" s="10">
        <v>11</v>
      </c>
      <c r="Z835" s="10">
        <v>134</v>
      </c>
      <c r="AA835" s="10">
        <v>0.219</v>
      </c>
      <c r="AB835" s="10">
        <v>179</v>
      </c>
      <c r="AC835" s="10">
        <v>142</v>
      </c>
      <c r="AD835" s="10">
        <v>58</v>
      </c>
      <c r="AE835" s="10">
        <v>7</v>
      </c>
      <c r="AF835" s="10">
        <v>8.9</v>
      </c>
      <c r="AG835" s="9" t="s">
        <v>188</v>
      </c>
      <c r="AH835" s="9" t="s">
        <v>185</v>
      </c>
      <c r="AI835" s="10"/>
      <c r="AJ835" s="10"/>
      <c r="AK835" s="30"/>
    </row>
    <row r="836" spans="5:37">
      <c r="E836" s="28" t="s">
        <v>155</v>
      </c>
      <c r="F836" s="8" t="s">
        <v>167</v>
      </c>
      <c r="G836" s="9" t="s">
        <v>240</v>
      </c>
      <c r="H836" s="10">
        <v>170</v>
      </c>
      <c r="I836" s="9" t="s">
        <v>158</v>
      </c>
      <c r="J836" s="10">
        <v>170</v>
      </c>
      <c r="K836" s="10">
        <v>169.4</v>
      </c>
      <c r="L836" s="10">
        <v>133</v>
      </c>
      <c r="M836" s="10">
        <v>137</v>
      </c>
      <c r="N836" s="10">
        <v>130</v>
      </c>
      <c r="O836" s="10">
        <v>96</v>
      </c>
      <c r="P836" s="10">
        <v>117</v>
      </c>
      <c r="Q836" s="10">
        <v>15.3</v>
      </c>
      <c r="R836" s="10">
        <v>1623</v>
      </c>
      <c r="S836" s="10">
        <v>1.1200000000000001</v>
      </c>
      <c r="T836" s="10">
        <v>1824</v>
      </c>
      <c r="U836" s="10">
        <v>238</v>
      </c>
      <c r="V836" s="10">
        <v>111</v>
      </c>
      <c r="W836" s="10">
        <v>48</v>
      </c>
      <c r="X836" s="10">
        <v>227</v>
      </c>
      <c r="Y836" s="10">
        <v>12</v>
      </c>
      <c r="Z836" s="10">
        <v>137</v>
      </c>
      <c r="AA836" s="10">
        <v>0.25900000000000001</v>
      </c>
      <c r="AB836" s="10">
        <v>184</v>
      </c>
      <c r="AC836" s="10">
        <v>141</v>
      </c>
      <c r="AD836" s="10">
        <v>43</v>
      </c>
      <c r="AE836" s="10">
        <v>6</v>
      </c>
      <c r="AF836" s="10">
        <v>10.199999999999999</v>
      </c>
      <c r="AG836" s="9" t="s">
        <v>188</v>
      </c>
      <c r="AH836" s="9" t="s">
        <v>185</v>
      </c>
      <c r="AI836" s="10"/>
      <c r="AJ836" s="10"/>
      <c r="AK836" s="30"/>
    </row>
    <row r="837" spans="5:37">
      <c r="E837" s="28" t="s">
        <v>155</v>
      </c>
      <c r="F837" s="8" t="s">
        <v>167</v>
      </c>
      <c r="G837" s="9" t="s">
        <v>240</v>
      </c>
      <c r="H837" s="10">
        <v>177</v>
      </c>
      <c r="I837" s="9" t="s">
        <v>158</v>
      </c>
      <c r="J837" s="10">
        <v>177</v>
      </c>
      <c r="K837" s="10">
        <v>176.7</v>
      </c>
      <c r="L837" s="10">
        <v>137</v>
      </c>
      <c r="M837" s="10">
        <v>139</v>
      </c>
      <c r="N837" s="10">
        <v>133</v>
      </c>
      <c r="O837" s="10">
        <v>98</v>
      </c>
      <c r="P837" s="10">
        <v>119</v>
      </c>
      <c r="Q837" s="10">
        <v>17.5</v>
      </c>
      <c r="R837" s="10">
        <v>1689</v>
      </c>
      <c r="S837" s="10">
        <v>1.1399999999999999</v>
      </c>
      <c r="T837" s="10">
        <v>1933</v>
      </c>
      <c r="U837" s="10">
        <v>259</v>
      </c>
      <c r="V837" s="10">
        <v>127</v>
      </c>
      <c r="W837" s="10">
        <v>53</v>
      </c>
      <c r="X837" s="10">
        <v>237</v>
      </c>
      <c r="Y837" s="10">
        <v>16</v>
      </c>
      <c r="Z837" s="10">
        <v>155</v>
      </c>
      <c r="AA837" s="10">
        <v>0.308</v>
      </c>
      <c r="AB837" s="10">
        <v>201</v>
      </c>
      <c r="AC837" s="10">
        <v>173</v>
      </c>
      <c r="AD837" s="10">
        <v>35</v>
      </c>
      <c r="AE837" s="10">
        <v>6</v>
      </c>
      <c r="AF837" s="10">
        <v>9.9</v>
      </c>
      <c r="AG837" s="9" t="s">
        <v>188</v>
      </c>
      <c r="AH837" s="9" t="s">
        <v>185</v>
      </c>
      <c r="AI837" s="10"/>
      <c r="AJ837" s="10"/>
      <c r="AK837" s="30"/>
    </row>
    <row r="838" spans="5:37">
      <c r="E838" s="28" t="s">
        <v>155</v>
      </c>
      <c r="F838" s="8" t="s">
        <v>167</v>
      </c>
      <c r="G838" s="9" t="s">
        <v>240</v>
      </c>
      <c r="H838" s="10">
        <v>184</v>
      </c>
      <c r="I838" s="9" t="s">
        <v>158</v>
      </c>
      <c r="J838" s="10">
        <v>184</v>
      </c>
      <c r="K838" s="10">
        <v>183.8</v>
      </c>
      <c r="L838" s="10">
        <v>144</v>
      </c>
      <c r="M838" s="10">
        <v>150</v>
      </c>
      <c r="N838" s="10">
        <v>135</v>
      </c>
      <c r="O838" s="10">
        <v>100</v>
      </c>
      <c r="P838" s="10">
        <v>121</v>
      </c>
      <c r="Q838" s="10">
        <v>18.899999999999999</v>
      </c>
      <c r="R838" s="10">
        <v>1841</v>
      </c>
      <c r="S838" s="10">
        <v>1.1100000000000001</v>
      </c>
      <c r="T838" s="10">
        <v>2046</v>
      </c>
      <c r="U838" s="10">
        <v>293</v>
      </c>
      <c r="V838" s="10">
        <v>148</v>
      </c>
      <c r="W838" s="10">
        <v>51</v>
      </c>
      <c r="X838" s="10">
        <v>231</v>
      </c>
      <c r="Y838" s="10">
        <v>17</v>
      </c>
      <c r="Z838" s="10">
        <v>164</v>
      </c>
      <c r="AA838" s="10">
        <v>0.33800000000000002</v>
      </c>
      <c r="AB838" s="10">
        <v>189</v>
      </c>
      <c r="AC838" s="10">
        <v>151</v>
      </c>
      <c r="AD838" s="10">
        <v>42</v>
      </c>
      <c r="AE838" s="10">
        <v>7</v>
      </c>
      <c r="AF838" s="10">
        <v>10.9</v>
      </c>
      <c r="AG838" s="9" t="s">
        <v>188</v>
      </c>
      <c r="AH838" s="9" t="s">
        <v>178</v>
      </c>
      <c r="AI838" s="9" t="s">
        <v>185</v>
      </c>
      <c r="AJ838" s="10"/>
      <c r="AK838" s="30"/>
    </row>
    <row r="839" spans="5:37">
      <c r="E839" s="28" t="s">
        <v>155</v>
      </c>
      <c r="F839" s="8" t="s">
        <v>167</v>
      </c>
      <c r="G839" s="9" t="s">
        <v>706</v>
      </c>
      <c r="H839" s="10">
        <v>171</v>
      </c>
      <c r="I839" s="9" t="s">
        <v>158</v>
      </c>
      <c r="J839" s="10">
        <v>171</v>
      </c>
      <c r="K839" s="10">
        <v>169.2</v>
      </c>
      <c r="L839" s="10">
        <v>140</v>
      </c>
      <c r="M839" s="10">
        <v>151</v>
      </c>
      <c r="N839" s="10">
        <v>119</v>
      </c>
      <c r="O839" s="10">
        <v>82</v>
      </c>
      <c r="P839" s="10">
        <v>108</v>
      </c>
      <c r="Q839" s="10">
        <v>17.8</v>
      </c>
      <c r="R839" s="10">
        <v>1696</v>
      </c>
      <c r="S839" s="10">
        <v>0.94</v>
      </c>
      <c r="T839" s="10">
        <v>1586</v>
      </c>
      <c r="U839" s="10">
        <v>178</v>
      </c>
      <c r="V839" s="10">
        <v>62</v>
      </c>
      <c r="W839" s="10">
        <v>48</v>
      </c>
      <c r="X839" s="10">
        <v>156</v>
      </c>
      <c r="Y839" s="10">
        <v>37</v>
      </c>
      <c r="Z839" s="10">
        <v>133</v>
      </c>
      <c r="AA839" s="10">
        <v>0.76900000000000002</v>
      </c>
      <c r="AB839" s="10">
        <v>96</v>
      </c>
      <c r="AC839" s="10">
        <v>89</v>
      </c>
      <c r="AD839" s="10">
        <v>60</v>
      </c>
      <c r="AE839" s="10">
        <v>11</v>
      </c>
      <c r="AF839" s="10">
        <v>5.4</v>
      </c>
      <c r="AG839" s="9" t="s">
        <v>188</v>
      </c>
      <c r="AH839" s="10"/>
      <c r="AI839" s="10"/>
      <c r="AJ839" s="10"/>
      <c r="AK839" s="30"/>
    </row>
    <row r="840" spans="5:37">
      <c r="E840" s="28" t="s">
        <v>155</v>
      </c>
      <c r="F840" s="8" t="s">
        <v>167</v>
      </c>
      <c r="G840" s="9" t="s">
        <v>706</v>
      </c>
      <c r="H840" s="10">
        <v>176</v>
      </c>
      <c r="I840" s="9" t="s">
        <v>158</v>
      </c>
      <c r="J840" s="10">
        <v>176</v>
      </c>
      <c r="K840" s="10">
        <v>174.1</v>
      </c>
      <c r="L840" s="10">
        <v>145</v>
      </c>
      <c r="M840" s="10">
        <v>155</v>
      </c>
      <c r="N840" s="10">
        <v>120</v>
      </c>
      <c r="O840" s="10">
        <v>83</v>
      </c>
      <c r="P840" s="10">
        <v>109</v>
      </c>
      <c r="Q840" s="10">
        <v>19.100000000000001</v>
      </c>
      <c r="R840" s="10">
        <v>1800</v>
      </c>
      <c r="S840" s="10">
        <v>0.91</v>
      </c>
      <c r="T840" s="10">
        <v>1639</v>
      </c>
      <c r="U840" s="10">
        <v>211</v>
      </c>
      <c r="V840" s="10">
        <v>70</v>
      </c>
      <c r="W840" s="10">
        <v>46</v>
      </c>
      <c r="X840" s="10">
        <v>149</v>
      </c>
      <c r="Y840" s="10">
        <v>37</v>
      </c>
      <c r="Z840" s="10">
        <v>138</v>
      </c>
      <c r="AA840" s="10">
        <v>0.8</v>
      </c>
      <c r="AB840" s="10">
        <v>93</v>
      </c>
      <c r="AC840" s="10">
        <v>94</v>
      </c>
      <c r="AD840" s="10">
        <v>55</v>
      </c>
      <c r="AE840" s="10">
        <v>11</v>
      </c>
      <c r="AF840" s="10">
        <v>5.5</v>
      </c>
      <c r="AG840" s="9" t="s">
        <v>188</v>
      </c>
      <c r="AH840" s="9" t="s">
        <v>184</v>
      </c>
      <c r="AI840" s="10"/>
      <c r="AJ840" s="10"/>
      <c r="AK840" s="30"/>
    </row>
    <row r="841" spans="5:37">
      <c r="E841" s="28" t="s">
        <v>155</v>
      </c>
      <c r="F841" s="8" t="s">
        <v>167</v>
      </c>
      <c r="G841" s="9" t="s">
        <v>393</v>
      </c>
      <c r="H841" s="10">
        <v>163</v>
      </c>
      <c r="I841" s="9" t="s">
        <v>158</v>
      </c>
      <c r="J841" s="10">
        <v>163</v>
      </c>
      <c r="K841" s="10">
        <v>161.1</v>
      </c>
      <c r="L841" s="10">
        <v>123</v>
      </c>
      <c r="M841" s="10">
        <v>142</v>
      </c>
      <c r="N841" s="10">
        <v>125</v>
      </c>
      <c r="O841" s="10">
        <v>91</v>
      </c>
      <c r="P841" s="10">
        <v>115</v>
      </c>
      <c r="Q841" s="10">
        <v>17.7</v>
      </c>
      <c r="R841" s="10">
        <v>1584</v>
      </c>
      <c r="S841" s="10">
        <v>1.03</v>
      </c>
      <c r="T841" s="10">
        <v>1631</v>
      </c>
      <c r="U841" s="10">
        <v>147</v>
      </c>
      <c r="V841" s="10">
        <v>63</v>
      </c>
      <c r="W841" s="10">
        <v>51</v>
      </c>
      <c r="X841" s="10">
        <v>243</v>
      </c>
      <c r="Y841" s="10">
        <v>37</v>
      </c>
      <c r="Z841" s="10">
        <v>133</v>
      </c>
      <c r="AA841" s="10">
        <v>0.71599999999999997</v>
      </c>
      <c r="AB841" s="10">
        <v>100</v>
      </c>
      <c r="AC841" s="10">
        <v>88</v>
      </c>
      <c r="AD841" s="10">
        <v>143</v>
      </c>
      <c r="AE841" s="10">
        <v>10</v>
      </c>
      <c r="AF841" s="10">
        <v>5.5</v>
      </c>
      <c r="AG841" s="9" t="s">
        <v>188</v>
      </c>
      <c r="AH841" s="10"/>
      <c r="AI841" s="10"/>
      <c r="AJ841" s="10"/>
      <c r="AK841" s="30"/>
    </row>
    <row r="842" spans="5:37">
      <c r="E842" s="28" t="s">
        <v>155</v>
      </c>
      <c r="F842" s="8" t="s">
        <v>167</v>
      </c>
      <c r="G842" s="9" t="s">
        <v>393</v>
      </c>
      <c r="H842" s="10">
        <v>170</v>
      </c>
      <c r="I842" s="9" t="s">
        <v>158</v>
      </c>
      <c r="J842" s="10">
        <v>170</v>
      </c>
      <c r="K842" s="10">
        <v>168.1</v>
      </c>
      <c r="L842" s="10">
        <v>130</v>
      </c>
      <c r="M842" s="10">
        <v>150</v>
      </c>
      <c r="N842" s="10">
        <v>125</v>
      </c>
      <c r="O842" s="10">
        <v>92</v>
      </c>
      <c r="P842" s="10">
        <v>116</v>
      </c>
      <c r="Q842" s="10">
        <v>19.3</v>
      </c>
      <c r="R842" s="10">
        <v>1645</v>
      </c>
      <c r="S842" s="10">
        <v>1.04</v>
      </c>
      <c r="T842" s="10">
        <v>1712</v>
      </c>
      <c r="U842" s="10">
        <v>149</v>
      </c>
      <c r="V842" s="10">
        <v>68</v>
      </c>
      <c r="W842" s="10">
        <v>53</v>
      </c>
      <c r="X842" s="10">
        <v>233</v>
      </c>
      <c r="Y842" s="10">
        <v>37</v>
      </c>
      <c r="Z842" s="10">
        <v>145</v>
      </c>
      <c r="AA842" s="10">
        <v>0.70299999999999996</v>
      </c>
      <c r="AB842" s="10">
        <v>97</v>
      </c>
      <c r="AC842" s="10">
        <v>88</v>
      </c>
      <c r="AD842" s="10">
        <v>137</v>
      </c>
      <c r="AE842" s="10">
        <v>10</v>
      </c>
      <c r="AF842" s="10">
        <v>5.6</v>
      </c>
      <c r="AG842" s="9" t="s">
        <v>188</v>
      </c>
      <c r="AH842" s="10"/>
      <c r="AI842" s="10"/>
      <c r="AJ842" s="10"/>
      <c r="AK842" s="30"/>
    </row>
    <row r="843" spans="5:37">
      <c r="E843" s="28" t="s">
        <v>155</v>
      </c>
      <c r="F843" s="8" t="s">
        <v>167</v>
      </c>
      <c r="G843" s="9" t="s">
        <v>393</v>
      </c>
      <c r="H843" s="10">
        <v>177</v>
      </c>
      <c r="I843" s="9" t="s">
        <v>158</v>
      </c>
      <c r="J843" s="10">
        <v>177</v>
      </c>
      <c r="K843" s="10">
        <v>175.2</v>
      </c>
      <c r="L843" s="10">
        <v>137</v>
      </c>
      <c r="M843" s="10">
        <v>156</v>
      </c>
      <c r="N843" s="10">
        <v>126</v>
      </c>
      <c r="O843" s="10">
        <v>92</v>
      </c>
      <c r="P843" s="10">
        <v>116</v>
      </c>
      <c r="Q843" s="10">
        <v>20.9</v>
      </c>
      <c r="R843" s="10">
        <v>1773</v>
      </c>
      <c r="S843" s="10">
        <v>1.01</v>
      </c>
      <c r="T843" s="10">
        <v>1793</v>
      </c>
      <c r="U843" s="10">
        <v>181</v>
      </c>
      <c r="V843" s="10">
        <v>75</v>
      </c>
      <c r="W843" s="10">
        <v>53</v>
      </c>
      <c r="X843" s="10">
        <v>237</v>
      </c>
      <c r="Y843" s="10">
        <v>37</v>
      </c>
      <c r="Z843" s="10">
        <v>141</v>
      </c>
      <c r="AA843" s="10">
        <v>0.69099999999999995</v>
      </c>
      <c r="AB843" s="10">
        <v>98</v>
      </c>
      <c r="AC843" s="10">
        <v>92</v>
      </c>
      <c r="AD843" s="10">
        <v>139</v>
      </c>
      <c r="AE843" s="10">
        <v>10</v>
      </c>
      <c r="AF843" s="10">
        <v>5.5</v>
      </c>
      <c r="AG843" s="9" t="s">
        <v>188</v>
      </c>
      <c r="AH843" s="10"/>
      <c r="AI843" s="10"/>
      <c r="AJ843" s="10"/>
      <c r="AK843" s="30"/>
    </row>
    <row r="844" spans="5:37">
      <c r="E844" s="28" t="s">
        <v>155</v>
      </c>
      <c r="F844" s="8" t="s">
        <v>167</v>
      </c>
      <c r="G844" s="9" t="s">
        <v>393</v>
      </c>
      <c r="H844" s="10">
        <v>184</v>
      </c>
      <c r="I844" s="9" t="s">
        <v>158</v>
      </c>
      <c r="J844" s="10">
        <v>184</v>
      </c>
      <c r="K844" s="10">
        <v>181.9</v>
      </c>
      <c r="L844" s="10">
        <v>142</v>
      </c>
      <c r="M844" s="10">
        <v>164</v>
      </c>
      <c r="N844" s="10">
        <v>127</v>
      </c>
      <c r="O844" s="10">
        <v>93</v>
      </c>
      <c r="P844" s="10">
        <v>117</v>
      </c>
      <c r="Q844" s="10">
        <v>22.6</v>
      </c>
      <c r="R844" s="10">
        <v>1830</v>
      </c>
      <c r="S844" s="10">
        <v>1.03</v>
      </c>
      <c r="T844" s="10">
        <v>1878</v>
      </c>
      <c r="U844" s="10">
        <v>189</v>
      </c>
      <c r="V844" s="10">
        <v>83</v>
      </c>
      <c r="W844" s="10">
        <v>54</v>
      </c>
      <c r="X844" s="10">
        <v>254</v>
      </c>
      <c r="Y844" s="10">
        <v>38</v>
      </c>
      <c r="Z844" s="10">
        <v>145</v>
      </c>
      <c r="AA844" s="10">
        <v>0.70399999999999996</v>
      </c>
      <c r="AB844" s="10">
        <v>95</v>
      </c>
      <c r="AC844" s="10">
        <v>87</v>
      </c>
      <c r="AD844" s="10">
        <v>159</v>
      </c>
      <c r="AE844" s="10">
        <v>9</v>
      </c>
      <c r="AF844" s="10">
        <v>5.6</v>
      </c>
      <c r="AG844" s="9" t="s">
        <v>188</v>
      </c>
      <c r="AH844" s="10"/>
      <c r="AI844" s="10"/>
      <c r="AJ844" s="10"/>
      <c r="AK844" s="30"/>
    </row>
    <row r="845" spans="5:37">
      <c r="E845" s="28" t="s">
        <v>155</v>
      </c>
      <c r="F845" s="8" t="s">
        <v>167</v>
      </c>
      <c r="G845" s="9" t="s">
        <v>739</v>
      </c>
      <c r="H845" s="10">
        <v>153</v>
      </c>
      <c r="I845" s="9" t="s">
        <v>163</v>
      </c>
      <c r="J845" s="10">
        <v>153</v>
      </c>
      <c r="K845" s="10">
        <v>152.5</v>
      </c>
      <c r="L845" s="10">
        <v>132</v>
      </c>
      <c r="M845" s="10">
        <v>137</v>
      </c>
      <c r="N845" s="10">
        <v>121</v>
      </c>
      <c r="O845" s="10">
        <v>67</v>
      </c>
      <c r="P845" s="10">
        <v>100</v>
      </c>
      <c r="Q845" s="10">
        <v>11</v>
      </c>
      <c r="R845" s="10">
        <v>1721</v>
      </c>
      <c r="S845" s="10">
        <v>0.74</v>
      </c>
      <c r="T845" s="10">
        <v>1269</v>
      </c>
      <c r="U845" s="10">
        <v>123</v>
      </c>
      <c r="V845" s="10">
        <v>60</v>
      </c>
      <c r="W845" s="10">
        <v>39</v>
      </c>
      <c r="X845" s="10">
        <v>134</v>
      </c>
      <c r="Y845" s="10">
        <v>12</v>
      </c>
      <c r="Z845" s="10">
        <v>72</v>
      </c>
      <c r="AA845" s="10">
        <v>0.308</v>
      </c>
      <c r="AB845" s="10">
        <v>89</v>
      </c>
      <c r="AC845" s="10">
        <v>62</v>
      </c>
      <c r="AD845" s="10">
        <v>45</v>
      </c>
      <c r="AE845" s="10">
        <v>10</v>
      </c>
      <c r="AF845" s="10">
        <v>9.4</v>
      </c>
      <c r="AG845" s="9" t="s">
        <v>349</v>
      </c>
      <c r="AH845" s="10"/>
      <c r="AI845" s="10"/>
      <c r="AJ845" s="10"/>
      <c r="AK845" s="30"/>
    </row>
    <row r="846" spans="5:37">
      <c r="E846" s="28" t="s">
        <v>155</v>
      </c>
      <c r="F846" s="8" t="s">
        <v>167</v>
      </c>
      <c r="G846" s="9" t="s">
        <v>739</v>
      </c>
      <c r="H846" s="10">
        <v>158</v>
      </c>
      <c r="I846" s="9" t="s">
        <v>163</v>
      </c>
      <c r="J846" s="10">
        <v>158</v>
      </c>
      <c r="K846" s="10">
        <v>157.5</v>
      </c>
      <c r="L846" s="10">
        <v>136</v>
      </c>
      <c r="M846" s="10">
        <v>142</v>
      </c>
      <c r="N846" s="10">
        <v>121</v>
      </c>
      <c r="O846" s="10">
        <v>67</v>
      </c>
      <c r="P846" s="10">
        <v>101</v>
      </c>
      <c r="Q846" s="10">
        <v>11.8</v>
      </c>
      <c r="R846" s="10">
        <v>1757</v>
      </c>
      <c r="S846" s="10">
        <v>0.75</v>
      </c>
      <c r="T846" s="10">
        <v>1310</v>
      </c>
      <c r="U846" s="10">
        <v>138</v>
      </c>
      <c r="V846" s="10">
        <v>76</v>
      </c>
      <c r="W846" s="10">
        <v>39</v>
      </c>
      <c r="X846" s="10">
        <v>137</v>
      </c>
      <c r="Y846" s="10">
        <v>12</v>
      </c>
      <c r="Z846" s="10">
        <v>78</v>
      </c>
      <c r="AA846" s="10">
        <v>0.311</v>
      </c>
      <c r="AB846" s="10">
        <v>93</v>
      </c>
      <c r="AC846" s="10">
        <v>60</v>
      </c>
      <c r="AD846" s="10">
        <v>45</v>
      </c>
      <c r="AE846" s="10">
        <v>9</v>
      </c>
      <c r="AF846" s="10">
        <v>9.1999999999999993</v>
      </c>
      <c r="AG846" s="9" t="s">
        <v>349</v>
      </c>
      <c r="AH846" s="10"/>
      <c r="AI846" s="10"/>
      <c r="AJ846" s="10"/>
      <c r="AK846" s="30"/>
    </row>
    <row r="847" spans="5:37">
      <c r="E847" s="28" t="s">
        <v>155</v>
      </c>
      <c r="F847" s="8" t="s">
        <v>167</v>
      </c>
      <c r="G847" s="9" t="s">
        <v>749</v>
      </c>
      <c r="H847" s="10">
        <v>153</v>
      </c>
      <c r="I847" s="9" t="s">
        <v>163</v>
      </c>
      <c r="J847" s="10">
        <v>153</v>
      </c>
      <c r="K847" s="10">
        <v>152.1</v>
      </c>
      <c r="L847" s="10">
        <v>131</v>
      </c>
      <c r="M847" s="10">
        <v>136</v>
      </c>
      <c r="N847" s="10">
        <v>129</v>
      </c>
      <c r="O847" s="10">
        <v>72</v>
      </c>
      <c r="P847" s="10">
        <v>106</v>
      </c>
      <c r="Q847" s="10">
        <v>10</v>
      </c>
      <c r="R847" s="10">
        <v>1635</v>
      </c>
      <c r="S847" s="10">
        <v>0.83</v>
      </c>
      <c r="T847" s="10">
        <v>1364</v>
      </c>
      <c r="U847" s="10">
        <v>137</v>
      </c>
      <c r="V847" s="10">
        <v>66</v>
      </c>
      <c r="W847" s="10">
        <v>35</v>
      </c>
      <c r="X847" s="10">
        <v>139</v>
      </c>
      <c r="Y847" s="10">
        <v>10</v>
      </c>
      <c r="Z847" s="10">
        <v>69</v>
      </c>
      <c r="AA847" s="10">
        <v>0.29899999999999999</v>
      </c>
      <c r="AB847" s="10">
        <v>103</v>
      </c>
      <c r="AC847" s="10">
        <v>53</v>
      </c>
      <c r="AD847" s="10">
        <v>36</v>
      </c>
      <c r="AE847" s="10">
        <v>11</v>
      </c>
      <c r="AF847" s="10">
        <v>11.4</v>
      </c>
      <c r="AG847" s="9" t="s">
        <v>349</v>
      </c>
      <c r="AH847" s="9" t="s">
        <v>231</v>
      </c>
      <c r="AI847" s="10"/>
      <c r="AJ847" s="10"/>
      <c r="AK847" s="30"/>
    </row>
    <row r="848" spans="5:37">
      <c r="E848" s="28" t="s">
        <v>155</v>
      </c>
      <c r="F848" s="8" t="s">
        <v>167</v>
      </c>
      <c r="G848" s="9" t="s">
        <v>749</v>
      </c>
      <c r="H848" s="10">
        <v>158</v>
      </c>
      <c r="I848" s="9" t="s">
        <v>163</v>
      </c>
      <c r="J848" s="10">
        <v>158</v>
      </c>
      <c r="K848" s="10">
        <v>157.4</v>
      </c>
      <c r="L848" s="10">
        <v>135</v>
      </c>
      <c r="M848" s="10">
        <v>141</v>
      </c>
      <c r="N848" s="10">
        <v>129</v>
      </c>
      <c r="O848" s="10">
        <v>72</v>
      </c>
      <c r="P848" s="10">
        <v>106</v>
      </c>
      <c r="Q848" s="10">
        <v>10.8</v>
      </c>
      <c r="R848" s="10">
        <v>1707</v>
      </c>
      <c r="S848" s="10">
        <v>0.83</v>
      </c>
      <c r="T848" s="10">
        <v>1408</v>
      </c>
      <c r="U848" s="10">
        <v>145</v>
      </c>
      <c r="V848" s="10">
        <v>72</v>
      </c>
      <c r="W848" s="10">
        <v>35</v>
      </c>
      <c r="X848" s="10">
        <v>147</v>
      </c>
      <c r="Y848" s="10">
        <v>12</v>
      </c>
      <c r="Z848" s="10">
        <v>78</v>
      </c>
      <c r="AA848" s="10">
        <v>0.34899999999999998</v>
      </c>
      <c r="AB848" s="10">
        <v>105</v>
      </c>
      <c r="AC848" s="10">
        <v>58</v>
      </c>
      <c r="AD848" s="10">
        <v>42</v>
      </c>
      <c r="AE848" s="10">
        <v>10</v>
      </c>
      <c r="AF848" s="10">
        <v>10.8</v>
      </c>
      <c r="AG848" s="9" t="s">
        <v>349</v>
      </c>
      <c r="AH848" s="9" t="s">
        <v>231</v>
      </c>
      <c r="AI848" s="10"/>
      <c r="AJ848" s="10"/>
      <c r="AK848" s="30"/>
    </row>
    <row r="849" spans="5:37">
      <c r="E849" s="28" t="s">
        <v>155</v>
      </c>
      <c r="F849" s="8" t="s">
        <v>167</v>
      </c>
      <c r="G849" s="9" t="s">
        <v>752</v>
      </c>
      <c r="H849" s="10">
        <v>158</v>
      </c>
      <c r="I849" s="9" t="s">
        <v>163</v>
      </c>
      <c r="J849" s="10">
        <v>158</v>
      </c>
      <c r="K849" s="10">
        <v>157.4</v>
      </c>
      <c r="L849" s="10">
        <v>137</v>
      </c>
      <c r="M849" s="10">
        <v>141</v>
      </c>
      <c r="N849" s="10">
        <v>129</v>
      </c>
      <c r="O849" s="10">
        <v>72</v>
      </c>
      <c r="P849" s="10">
        <v>106</v>
      </c>
      <c r="Q849" s="10">
        <v>10.8</v>
      </c>
      <c r="R849" s="10">
        <v>1680</v>
      </c>
      <c r="S849" s="10">
        <v>0.84</v>
      </c>
      <c r="T849" s="10">
        <v>1409</v>
      </c>
      <c r="U849" s="10">
        <v>153</v>
      </c>
      <c r="V849" s="10">
        <v>73</v>
      </c>
      <c r="W849" s="10">
        <v>34</v>
      </c>
      <c r="X849" s="10">
        <v>135</v>
      </c>
      <c r="Y849" s="10">
        <v>11</v>
      </c>
      <c r="Z849" s="10">
        <v>73</v>
      </c>
      <c r="AA849" s="10">
        <v>0.32900000000000001</v>
      </c>
      <c r="AB849" s="10">
        <v>104</v>
      </c>
      <c r="AC849" s="10">
        <v>55</v>
      </c>
      <c r="AD849" s="10">
        <v>30</v>
      </c>
      <c r="AE849" s="10">
        <v>11</v>
      </c>
      <c r="AF849" s="10">
        <v>10.9</v>
      </c>
      <c r="AG849" s="9" t="s">
        <v>349</v>
      </c>
      <c r="AH849" s="9" t="s">
        <v>231</v>
      </c>
      <c r="AI849" s="10"/>
      <c r="AJ849" s="10"/>
      <c r="AK849" s="30"/>
    </row>
    <row r="850" spans="5:37">
      <c r="E850" s="28" t="s">
        <v>155</v>
      </c>
      <c r="F850" s="8" t="s">
        <v>167</v>
      </c>
      <c r="G850" s="9" t="s">
        <v>841</v>
      </c>
      <c r="H850" s="10">
        <v>153</v>
      </c>
      <c r="I850" s="9" t="s">
        <v>163</v>
      </c>
      <c r="J850" s="10">
        <v>153</v>
      </c>
      <c r="K850" s="10">
        <v>152.4</v>
      </c>
      <c r="L850" s="10">
        <v>131</v>
      </c>
      <c r="M850" s="10">
        <v>137</v>
      </c>
      <c r="N850" s="10">
        <v>128</v>
      </c>
      <c r="O850" s="10">
        <v>74</v>
      </c>
      <c r="P850" s="10">
        <v>107</v>
      </c>
      <c r="Q850" s="10">
        <v>10.6</v>
      </c>
      <c r="R850" s="10">
        <v>1454</v>
      </c>
      <c r="S850" s="10">
        <v>0.95</v>
      </c>
      <c r="T850" s="10">
        <v>1386</v>
      </c>
      <c r="U850" s="10">
        <v>145</v>
      </c>
      <c r="V850" s="10">
        <v>48</v>
      </c>
      <c r="W850" s="10">
        <v>38</v>
      </c>
      <c r="X850" s="10">
        <v>143</v>
      </c>
      <c r="Y850" s="10">
        <v>12</v>
      </c>
      <c r="Z850" s="10">
        <v>75</v>
      </c>
      <c r="AA850" s="10">
        <v>0.32300000000000001</v>
      </c>
      <c r="AB850" s="10">
        <v>96</v>
      </c>
      <c r="AC850" s="10">
        <v>62</v>
      </c>
      <c r="AD850" s="10">
        <v>47</v>
      </c>
      <c r="AE850" s="10">
        <v>11</v>
      </c>
      <c r="AF850" s="10">
        <v>11.1</v>
      </c>
      <c r="AG850" s="9" t="s">
        <v>349</v>
      </c>
      <c r="AH850" s="9" t="s">
        <v>231</v>
      </c>
      <c r="AI850" s="10"/>
      <c r="AJ850" s="10"/>
      <c r="AK850" s="30"/>
    </row>
    <row r="851" spans="5:37">
      <c r="E851" s="28" t="s">
        <v>155</v>
      </c>
      <c r="F851" s="8" t="s">
        <v>167</v>
      </c>
      <c r="G851" s="9" t="s">
        <v>841</v>
      </c>
      <c r="H851" s="10">
        <v>158</v>
      </c>
      <c r="I851" s="9" t="s">
        <v>163</v>
      </c>
      <c r="J851" s="10">
        <v>158</v>
      </c>
      <c r="K851" s="10">
        <v>157.6</v>
      </c>
      <c r="L851" s="10">
        <v>136</v>
      </c>
      <c r="M851" s="10">
        <v>141</v>
      </c>
      <c r="N851" s="10">
        <v>128</v>
      </c>
      <c r="O851" s="10">
        <v>74</v>
      </c>
      <c r="P851" s="10">
        <v>107</v>
      </c>
      <c r="Q851" s="10">
        <v>11.3</v>
      </c>
      <c r="R851" s="10">
        <v>1541</v>
      </c>
      <c r="S851" s="10">
        <v>0.93</v>
      </c>
      <c r="T851" s="10">
        <v>1432</v>
      </c>
      <c r="U851" s="10">
        <v>163</v>
      </c>
      <c r="V851" s="10">
        <v>50</v>
      </c>
      <c r="W851" s="10">
        <v>38</v>
      </c>
      <c r="X851" s="10">
        <v>144</v>
      </c>
      <c r="Y851" s="10">
        <v>14</v>
      </c>
      <c r="Z851" s="10">
        <v>76</v>
      </c>
      <c r="AA851" s="10">
        <v>0.35799999999999998</v>
      </c>
      <c r="AB851" s="10">
        <v>102</v>
      </c>
      <c r="AC851" s="10">
        <v>65</v>
      </c>
      <c r="AD851" s="10">
        <v>43</v>
      </c>
      <c r="AE851" s="10">
        <v>12</v>
      </c>
      <c r="AF851" s="10">
        <v>11.1</v>
      </c>
      <c r="AG851" s="9" t="s">
        <v>349</v>
      </c>
      <c r="AH851" s="9" t="s">
        <v>231</v>
      </c>
      <c r="AI851" s="10"/>
      <c r="AJ851" s="10"/>
      <c r="AK851" s="30"/>
    </row>
    <row r="852" spans="5:37">
      <c r="E852" s="28" t="s">
        <v>155</v>
      </c>
      <c r="F852" s="8" t="s">
        <v>167</v>
      </c>
      <c r="G852" s="9" t="s">
        <v>869</v>
      </c>
      <c r="H852" s="10">
        <v>170</v>
      </c>
      <c r="I852" s="9" t="s">
        <v>158</v>
      </c>
      <c r="J852" s="10">
        <v>170</v>
      </c>
      <c r="K852" s="10">
        <v>169.3</v>
      </c>
      <c r="L852" s="10">
        <v>150</v>
      </c>
      <c r="M852" s="10">
        <v>158</v>
      </c>
      <c r="N852" s="10">
        <v>128</v>
      </c>
      <c r="O852" s="10">
        <v>71</v>
      </c>
      <c r="P852" s="10">
        <v>109</v>
      </c>
      <c r="Q852" s="10">
        <v>13.1</v>
      </c>
      <c r="R852" s="10">
        <v>2206</v>
      </c>
      <c r="S852" s="10">
        <v>0.68</v>
      </c>
      <c r="T852" s="10">
        <v>1491</v>
      </c>
      <c r="U852" s="10">
        <v>213</v>
      </c>
      <c r="V852" s="10">
        <v>105</v>
      </c>
      <c r="W852" s="10">
        <v>36</v>
      </c>
      <c r="X852" s="10">
        <v>149</v>
      </c>
      <c r="Y852" s="10">
        <v>4</v>
      </c>
      <c r="Z852" s="10">
        <v>45</v>
      </c>
      <c r="AA852" s="10">
        <v>0.104</v>
      </c>
      <c r="AB852" s="10">
        <v>65</v>
      </c>
      <c r="AC852" s="10">
        <v>51</v>
      </c>
      <c r="AD852" s="10">
        <v>84</v>
      </c>
      <c r="AE852" s="10">
        <v>9</v>
      </c>
      <c r="AF852" s="10">
        <v>12.9</v>
      </c>
      <c r="AG852" s="9" t="s">
        <v>349</v>
      </c>
      <c r="AH852" s="10"/>
      <c r="AI852" s="10"/>
      <c r="AJ852" s="10"/>
      <c r="AK852" s="30"/>
    </row>
    <row r="853" spans="5:37">
      <c r="E853" s="28" t="s">
        <v>155</v>
      </c>
      <c r="F853" s="8" t="s">
        <v>167</v>
      </c>
      <c r="G853" s="9" t="s">
        <v>869</v>
      </c>
      <c r="H853" s="10">
        <v>177</v>
      </c>
      <c r="I853" s="9" t="s">
        <v>158</v>
      </c>
      <c r="J853" s="10">
        <v>177</v>
      </c>
      <c r="K853" s="10">
        <v>176.3</v>
      </c>
      <c r="L853" s="10">
        <v>157</v>
      </c>
      <c r="M853" s="10">
        <v>164</v>
      </c>
      <c r="N853" s="10">
        <v>128</v>
      </c>
      <c r="O853" s="10">
        <v>71</v>
      </c>
      <c r="P853" s="10">
        <v>109</v>
      </c>
      <c r="Q853" s="10">
        <v>14.4</v>
      </c>
      <c r="R853" s="10">
        <v>2247</v>
      </c>
      <c r="S853" s="10">
        <v>0.69</v>
      </c>
      <c r="T853" s="10">
        <v>1551</v>
      </c>
      <c r="U853" s="10">
        <v>229</v>
      </c>
      <c r="V853" s="10">
        <v>113</v>
      </c>
      <c r="W853" s="10">
        <v>36</v>
      </c>
      <c r="X853" s="10">
        <v>147</v>
      </c>
      <c r="Y853" s="10">
        <v>3</v>
      </c>
      <c r="Z853" s="10">
        <v>48</v>
      </c>
      <c r="AA853" s="10">
        <v>0.09</v>
      </c>
      <c r="AB853" s="10">
        <v>66</v>
      </c>
      <c r="AC853" s="10">
        <v>55</v>
      </c>
      <c r="AD853" s="10">
        <v>81</v>
      </c>
      <c r="AE853" s="10">
        <v>9</v>
      </c>
      <c r="AF853" s="10">
        <v>12.7</v>
      </c>
      <c r="AG853" s="9" t="s">
        <v>349</v>
      </c>
      <c r="AH853" s="10"/>
      <c r="AI853" s="10"/>
      <c r="AJ853" s="10"/>
      <c r="AK853" s="30"/>
    </row>
    <row r="854" spans="5:37">
      <c r="E854" s="28" t="s">
        <v>155</v>
      </c>
      <c r="F854" s="8" t="s">
        <v>167</v>
      </c>
      <c r="G854" s="9" t="s">
        <v>733</v>
      </c>
      <c r="H854" s="10">
        <v>163</v>
      </c>
      <c r="I854" s="9" t="s">
        <v>158</v>
      </c>
      <c r="J854" s="10">
        <v>163</v>
      </c>
      <c r="K854" s="10">
        <v>162.4</v>
      </c>
      <c r="L854" s="10">
        <v>144</v>
      </c>
      <c r="M854" s="10">
        <v>151</v>
      </c>
      <c r="N854" s="10">
        <v>121</v>
      </c>
      <c r="O854" s="10">
        <v>67</v>
      </c>
      <c r="P854" s="10">
        <v>103</v>
      </c>
      <c r="Q854" s="10">
        <v>12.7</v>
      </c>
      <c r="R854" s="10">
        <v>2043</v>
      </c>
      <c r="S854" s="10">
        <v>0.66</v>
      </c>
      <c r="T854" s="10">
        <v>1351</v>
      </c>
      <c r="U854" s="10">
        <v>192</v>
      </c>
      <c r="V854" s="10">
        <v>93</v>
      </c>
      <c r="W854" s="10">
        <v>37</v>
      </c>
      <c r="X854" s="10">
        <v>137</v>
      </c>
      <c r="Y854" s="10">
        <v>3</v>
      </c>
      <c r="Z854" s="10">
        <v>44</v>
      </c>
      <c r="AA854" s="10">
        <v>8.1000000000000003E-2</v>
      </c>
      <c r="AB854" s="10">
        <v>62</v>
      </c>
      <c r="AC854" s="10">
        <v>52</v>
      </c>
      <c r="AD854" s="10">
        <v>75</v>
      </c>
      <c r="AE854" s="10">
        <v>11</v>
      </c>
      <c r="AF854" s="10">
        <v>12.4</v>
      </c>
      <c r="AG854" s="9" t="s">
        <v>349</v>
      </c>
      <c r="AH854" s="10"/>
      <c r="AI854" s="10"/>
      <c r="AJ854" s="10"/>
      <c r="AK854" s="30"/>
    </row>
    <row r="855" spans="5:37">
      <c r="E855" s="28" t="s">
        <v>155</v>
      </c>
      <c r="F855" s="8" t="s">
        <v>167</v>
      </c>
      <c r="G855" s="9" t="s">
        <v>733</v>
      </c>
      <c r="H855" s="10">
        <v>177</v>
      </c>
      <c r="I855" s="9" t="s">
        <v>158</v>
      </c>
      <c r="J855" s="10">
        <v>177</v>
      </c>
      <c r="K855" s="10">
        <v>176.2</v>
      </c>
      <c r="L855" s="10">
        <v>158</v>
      </c>
      <c r="M855" s="10">
        <v>165</v>
      </c>
      <c r="N855" s="10">
        <v>121</v>
      </c>
      <c r="O855" s="10">
        <v>67</v>
      </c>
      <c r="P855" s="10">
        <v>102</v>
      </c>
      <c r="Q855" s="10">
        <v>15.5</v>
      </c>
      <c r="R855" s="10">
        <v>2207</v>
      </c>
      <c r="S855" s="10">
        <v>0.66</v>
      </c>
      <c r="T855" s="10">
        <v>1461</v>
      </c>
      <c r="U855" s="10">
        <v>234</v>
      </c>
      <c r="V855" s="10">
        <v>107</v>
      </c>
      <c r="W855" s="10">
        <v>37</v>
      </c>
      <c r="X855" s="10">
        <v>137</v>
      </c>
      <c r="Y855" s="10">
        <v>3</v>
      </c>
      <c r="Z855" s="10">
        <v>45</v>
      </c>
      <c r="AA855" s="10">
        <v>9.1999999999999998E-2</v>
      </c>
      <c r="AB855" s="10">
        <v>61</v>
      </c>
      <c r="AC855" s="10">
        <v>52</v>
      </c>
      <c r="AD855" s="10">
        <v>76</v>
      </c>
      <c r="AE855" s="10">
        <v>10</v>
      </c>
      <c r="AF855" s="10">
        <v>12.8</v>
      </c>
      <c r="AG855" s="9" t="s">
        <v>349</v>
      </c>
      <c r="AH855" s="10"/>
      <c r="AI855" s="10"/>
      <c r="AJ855" s="10"/>
      <c r="AK855" s="30"/>
    </row>
    <row r="856" spans="5:37">
      <c r="E856" s="28" t="s">
        <v>155</v>
      </c>
      <c r="F856" s="8" t="s">
        <v>167</v>
      </c>
      <c r="G856" s="9" t="s">
        <v>874</v>
      </c>
      <c r="H856" s="10">
        <v>177</v>
      </c>
      <c r="I856" s="9" t="s">
        <v>158</v>
      </c>
      <c r="J856" s="10">
        <v>177</v>
      </c>
      <c r="K856" s="10">
        <v>175.7</v>
      </c>
      <c r="L856" s="10">
        <v>153</v>
      </c>
      <c r="M856" s="10">
        <v>164</v>
      </c>
      <c r="N856" s="10">
        <v>132</v>
      </c>
      <c r="O856" s="10">
        <v>83</v>
      </c>
      <c r="P856" s="10">
        <v>114</v>
      </c>
      <c r="Q856" s="10">
        <v>17.100000000000001</v>
      </c>
      <c r="R856" s="10">
        <v>2234</v>
      </c>
      <c r="S856" s="10">
        <v>0.76</v>
      </c>
      <c r="T856" s="10">
        <v>1701</v>
      </c>
      <c r="U856" s="10">
        <v>256</v>
      </c>
      <c r="V856" s="10">
        <v>125</v>
      </c>
      <c r="W856" s="10">
        <v>47</v>
      </c>
      <c r="X856" s="10">
        <v>165</v>
      </c>
      <c r="Y856" s="10">
        <v>8</v>
      </c>
      <c r="Z856" s="10">
        <v>65</v>
      </c>
      <c r="AA856" s="10">
        <v>0.16600000000000001</v>
      </c>
      <c r="AB856" s="10">
        <v>69</v>
      </c>
      <c r="AC856" s="10">
        <v>48</v>
      </c>
      <c r="AD856" s="10">
        <v>96</v>
      </c>
      <c r="AE856" s="10">
        <v>10</v>
      </c>
      <c r="AF856" s="10">
        <v>13</v>
      </c>
      <c r="AG856" s="9" t="s">
        <v>349</v>
      </c>
      <c r="AH856" s="9" t="s">
        <v>188</v>
      </c>
      <c r="AI856" s="10"/>
      <c r="AJ856" s="10"/>
      <c r="AK856" s="30"/>
    </row>
    <row r="857" spans="5:37">
      <c r="E857" s="28" t="s">
        <v>155</v>
      </c>
      <c r="F857" s="8" t="s">
        <v>167</v>
      </c>
      <c r="G857" s="9" t="s">
        <v>833</v>
      </c>
      <c r="H857" s="10">
        <v>153</v>
      </c>
      <c r="I857" s="9" t="s">
        <v>163</v>
      </c>
      <c r="J857" s="10">
        <v>153</v>
      </c>
      <c r="K857" s="10">
        <v>153.1</v>
      </c>
      <c r="L857" s="10">
        <v>129</v>
      </c>
      <c r="M857" s="10">
        <v>135</v>
      </c>
      <c r="N857" s="10">
        <v>132</v>
      </c>
      <c r="O857" s="10">
        <v>84</v>
      </c>
      <c r="P857" s="10">
        <v>111</v>
      </c>
      <c r="Q857" s="10">
        <v>12.1</v>
      </c>
      <c r="R857" s="10">
        <v>1377</v>
      </c>
      <c r="S857" s="10">
        <v>1.0900000000000001</v>
      </c>
      <c r="T857" s="10">
        <v>1506</v>
      </c>
      <c r="U857" s="10">
        <v>137</v>
      </c>
      <c r="V857" s="10">
        <v>47</v>
      </c>
      <c r="W857" s="10">
        <v>44</v>
      </c>
      <c r="X857" s="10">
        <v>161</v>
      </c>
      <c r="Y857" s="10">
        <v>13</v>
      </c>
      <c r="Z857" s="10">
        <v>77</v>
      </c>
      <c r="AA857" s="10">
        <v>0.30299999999999999</v>
      </c>
      <c r="AB857" s="10">
        <v>109</v>
      </c>
      <c r="AC857" s="10">
        <v>69</v>
      </c>
      <c r="AD857" s="10">
        <v>52</v>
      </c>
      <c r="AE857" s="10">
        <v>14</v>
      </c>
      <c r="AF857" s="10">
        <v>10.1</v>
      </c>
      <c r="AG857" s="9" t="s">
        <v>231</v>
      </c>
      <c r="AH857" s="9" t="s">
        <v>188</v>
      </c>
      <c r="AI857" s="9" t="s">
        <v>185</v>
      </c>
      <c r="AJ857" s="10"/>
      <c r="AK857" s="30"/>
    </row>
    <row r="858" spans="5:37">
      <c r="E858" s="28" t="s">
        <v>155</v>
      </c>
      <c r="F858" s="8" t="s">
        <v>167</v>
      </c>
      <c r="G858" s="9" t="s">
        <v>833</v>
      </c>
      <c r="H858" s="10">
        <v>158</v>
      </c>
      <c r="I858" s="9" t="s">
        <v>163</v>
      </c>
      <c r="J858" s="10">
        <v>158</v>
      </c>
      <c r="K858" s="10">
        <v>157.6</v>
      </c>
      <c r="L858" s="10">
        <v>132</v>
      </c>
      <c r="M858" s="10">
        <v>140</v>
      </c>
      <c r="N858" s="10">
        <v>132</v>
      </c>
      <c r="O858" s="10">
        <v>84</v>
      </c>
      <c r="P858" s="10">
        <v>111</v>
      </c>
      <c r="Q858" s="10">
        <v>12.9</v>
      </c>
      <c r="R858" s="10">
        <v>1435</v>
      </c>
      <c r="S858" s="10">
        <v>1.08</v>
      </c>
      <c r="T858" s="10">
        <v>1549</v>
      </c>
      <c r="U858" s="10">
        <v>168</v>
      </c>
      <c r="V858" s="10">
        <v>59</v>
      </c>
      <c r="W858" s="10">
        <v>44</v>
      </c>
      <c r="X858" s="10">
        <v>185</v>
      </c>
      <c r="Y858" s="10">
        <v>12</v>
      </c>
      <c r="Z858" s="10">
        <v>72</v>
      </c>
      <c r="AA858" s="10">
        <v>0.26600000000000001</v>
      </c>
      <c r="AB858" s="10">
        <v>111</v>
      </c>
      <c r="AC858" s="10">
        <v>66</v>
      </c>
      <c r="AD858" s="10">
        <v>74</v>
      </c>
      <c r="AE858" s="10">
        <v>10</v>
      </c>
      <c r="AF858" s="10">
        <v>10.1</v>
      </c>
      <c r="AG858" s="9" t="s">
        <v>231</v>
      </c>
      <c r="AH858" s="9" t="s">
        <v>188</v>
      </c>
      <c r="AI858" s="9" t="s">
        <v>185</v>
      </c>
      <c r="AJ858" s="10"/>
      <c r="AK858" s="30"/>
    </row>
    <row r="859" spans="5:37">
      <c r="E859" s="28" t="s">
        <v>155</v>
      </c>
      <c r="F859" s="8" t="s">
        <v>167</v>
      </c>
      <c r="G859" s="9" t="s">
        <v>734</v>
      </c>
      <c r="H859" s="10">
        <v>163</v>
      </c>
      <c r="I859" s="9" t="s">
        <v>158</v>
      </c>
      <c r="J859" s="10">
        <v>163</v>
      </c>
      <c r="K859" s="10">
        <v>162.4</v>
      </c>
      <c r="L859" s="10">
        <v>140</v>
      </c>
      <c r="M859" s="10">
        <v>148</v>
      </c>
      <c r="N859" s="10">
        <v>138</v>
      </c>
      <c r="O859" s="10">
        <v>84</v>
      </c>
      <c r="P859" s="10">
        <v>120</v>
      </c>
      <c r="Q859" s="10">
        <v>12.3</v>
      </c>
      <c r="R859" s="10">
        <v>1729</v>
      </c>
      <c r="S859" s="10">
        <v>0.94</v>
      </c>
      <c r="T859" s="10">
        <v>1630</v>
      </c>
      <c r="U859" s="10">
        <v>207</v>
      </c>
      <c r="V859" s="10">
        <v>53</v>
      </c>
      <c r="W859" s="10">
        <v>42</v>
      </c>
      <c r="X859" s="10">
        <v>156</v>
      </c>
      <c r="Y859" s="10">
        <v>9</v>
      </c>
      <c r="Z859" s="10">
        <v>64</v>
      </c>
      <c r="AA859" s="10">
        <v>0.22</v>
      </c>
      <c r="AB859" s="10">
        <v>87</v>
      </c>
      <c r="AC859" s="10">
        <v>54</v>
      </c>
      <c r="AD859" s="10">
        <v>69</v>
      </c>
      <c r="AE859" s="10">
        <v>10</v>
      </c>
      <c r="AF859" s="10">
        <v>12.1</v>
      </c>
      <c r="AG859" s="9" t="s">
        <v>349</v>
      </c>
      <c r="AH859" s="9" t="s">
        <v>188</v>
      </c>
      <c r="AI859" s="10"/>
      <c r="AJ859" s="10"/>
      <c r="AK859" s="30"/>
    </row>
    <row r="860" spans="5:37">
      <c r="E860" s="28" t="s">
        <v>155</v>
      </c>
      <c r="F860" s="8" t="s">
        <v>167</v>
      </c>
      <c r="G860" s="9" t="s">
        <v>734</v>
      </c>
      <c r="H860" s="10">
        <v>170</v>
      </c>
      <c r="I860" s="9" t="s">
        <v>158</v>
      </c>
      <c r="J860" s="10">
        <v>170</v>
      </c>
      <c r="K860" s="10">
        <v>169.1</v>
      </c>
      <c r="L860" s="10">
        <v>147</v>
      </c>
      <c r="M860" s="10">
        <v>155</v>
      </c>
      <c r="N860" s="10">
        <v>138</v>
      </c>
      <c r="O860" s="10">
        <v>84</v>
      </c>
      <c r="P860" s="10">
        <v>120</v>
      </c>
      <c r="Q860" s="10">
        <v>13.6</v>
      </c>
      <c r="R860" s="10">
        <v>1782</v>
      </c>
      <c r="S860" s="10">
        <v>0.95</v>
      </c>
      <c r="T860" s="10">
        <v>1695</v>
      </c>
      <c r="U860" s="10">
        <v>208</v>
      </c>
      <c r="V860" s="10">
        <v>56</v>
      </c>
      <c r="W860" s="10">
        <v>44</v>
      </c>
      <c r="X860" s="10">
        <v>160</v>
      </c>
      <c r="Y860" s="10">
        <v>8</v>
      </c>
      <c r="Z860" s="10">
        <v>59</v>
      </c>
      <c r="AA860" s="10">
        <v>0.188</v>
      </c>
      <c r="AB860" s="10">
        <v>85</v>
      </c>
      <c r="AC860" s="10">
        <v>55</v>
      </c>
      <c r="AD860" s="10">
        <v>76</v>
      </c>
      <c r="AE860" s="10">
        <v>11</v>
      </c>
      <c r="AF860" s="10">
        <v>13.1</v>
      </c>
      <c r="AG860" s="9" t="s">
        <v>349</v>
      </c>
      <c r="AH860" s="9" t="s">
        <v>188</v>
      </c>
      <c r="AI860" s="10"/>
      <c r="AJ860" s="10"/>
      <c r="AK860" s="30"/>
    </row>
    <row r="861" spans="5:37">
      <c r="E861" s="28" t="s">
        <v>155</v>
      </c>
      <c r="F861" s="8" t="s">
        <v>167</v>
      </c>
      <c r="G861" s="9" t="s">
        <v>734</v>
      </c>
      <c r="H861" s="10">
        <v>177</v>
      </c>
      <c r="I861" s="9" t="s">
        <v>158</v>
      </c>
      <c r="J861" s="10">
        <v>177</v>
      </c>
      <c r="K861" s="10">
        <v>176.4</v>
      </c>
      <c r="L861" s="10">
        <v>155</v>
      </c>
      <c r="M861" s="10">
        <v>162</v>
      </c>
      <c r="N861" s="10">
        <v>138</v>
      </c>
      <c r="O861" s="10">
        <v>84</v>
      </c>
      <c r="P861" s="10">
        <v>120</v>
      </c>
      <c r="Q861" s="10">
        <v>14.8</v>
      </c>
      <c r="R861" s="10">
        <v>1881</v>
      </c>
      <c r="S861" s="10">
        <v>0.94</v>
      </c>
      <c r="T861" s="10">
        <v>1768</v>
      </c>
      <c r="U861" s="10">
        <v>227</v>
      </c>
      <c r="V861" s="10">
        <v>66</v>
      </c>
      <c r="W861" s="10">
        <v>39</v>
      </c>
      <c r="X861" s="10">
        <v>147</v>
      </c>
      <c r="Y861" s="10">
        <v>9</v>
      </c>
      <c r="Z861" s="10">
        <v>68</v>
      </c>
      <c r="AA861" s="10">
        <v>0.22700000000000001</v>
      </c>
      <c r="AB861" s="10">
        <v>85</v>
      </c>
      <c r="AC861" s="10">
        <v>58</v>
      </c>
      <c r="AD861" s="10">
        <v>61</v>
      </c>
      <c r="AE861" s="10">
        <v>12</v>
      </c>
      <c r="AF861" s="10">
        <v>13.2</v>
      </c>
      <c r="AG861" s="9" t="s">
        <v>349</v>
      </c>
      <c r="AH861" s="9" t="s">
        <v>188</v>
      </c>
      <c r="AI861" s="10"/>
      <c r="AJ861" s="10"/>
      <c r="AK861" s="30"/>
    </row>
    <row r="862" spans="5:37">
      <c r="E862" s="28" t="s">
        <v>155</v>
      </c>
      <c r="F862" s="8" t="s">
        <v>167</v>
      </c>
      <c r="G862" s="9" t="s">
        <v>677</v>
      </c>
      <c r="H862" s="10">
        <v>156</v>
      </c>
      <c r="I862" s="9" t="s">
        <v>158</v>
      </c>
      <c r="J862" s="10">
        <v>156</v>
      </c>
      <c r="K862" s="10">
        <v>155.19999999999999</v>
      </c>
      <c r="L862" s="10">
        <v>136</v>
      </c>
      <c r="M862" s="10">
        <v>142</v>
      </c>
      <c r="N862" s="10">
        <v>131</v>
      </c>
      <c r="O862" s="10">
        <v>72</v>
      </c>
      <c r="P862" s="10">
        <v>111</v>
      </c>
      <c r="Q862" s="10">
        <v>10.3</v>
      </c>
      <c r="R862" s="10">
        <v>1682</v>
      </c>
      <c r="S862" s="10">
        <v>0.84</v>
      </c>
      <c r="T862" s="10">
        <v>1410</v>
      </c>
      <c r="U862" s="10">
        <v>135</v>
      </c>
      <c r="V862" s="10">
        <v>69</v>
      </c>
      <c r="W862" s="10">
        <v>33</v>
      </c>
      <c r="X862" s="10">
        <v>138</v>
      </c>
      <c r="Y862" s="10">
        <v>6</v>
      </c>
      <c r="Z862" s="10">
        <v>54</v>
      </c>
      <c r="AA862" s="10">
        <v>0.17299999999999999</v>
      </c>
      <c r="AB862" s="10">
        <v>83</v>
      </c>
      <c r="AC862" s="10">
        <v>45</v>
      </c>
      <c r="AD862" s="10">
        <v>55</v>
      </c>
      <c r="AE862" s="10">
        <v>13</v>
      </c>
      <c r="AF862" s="10">
        <v>12.2</v>
      </c>
      <c r="AG862" s="9" t="s">
        <v>349</v>
      </c>
      <c r="AH862" s="10"/>
      <c r="AI862" s="10"/>
      <c r="AJ862" s="10"/>
      <c r="AK862" s="30"/>
    </row>
    <row r="863" spans="5:37">
      <c r="E863" s="28" t="s">
        <v>155</v>
      </c>
      <c r="F863" s="8" t="s">
        <v>167</v>
      </c>
      <c r="G863" s="9" t="s">
        <v>677</v>
      </c>
      <c r="H863" s="10">
        <v>163</v>
      </c>
      <c r="I863" s="9" t="s">
        <v>158</v>
      </c>
      <c r="J863" s="10">
        <v>163</v>
      </c>
      <c r="K863" s="10">
        <v>162.6</v>
      </c>
      <c r="L863" s="10">
        <v>143</v>
      </c>
      <c r="M863" s="10">
        <v>150</v>
      </c>
      <c r="N863" s="10">
        <v>130</v>
      </c>
      <c r="O863" s="10">
        <v>72</v>
      </c>
      <c r="P863" s="10">
        <v>111</v>
      </c>
      <c r="Q863" s="10">
        <v>11.4</v>
      </c>
      <c r="R863" s="10">
        <v>1796</v>
      </c>
      <c r="S863" s="10">
        <v>0.82</v>
      </c>
      <c r="T863" s="10">
        <v>1468</v>
      </c>
      <c r="U863" s="10">
        <v>158</v>
      </c>
      <c r="V863" s="10">
        <v>78</v>
      </c>
      <c r="W863" s="10">
        <v>33</v>
      </c>
      <c r="X863" s="10">
        <v>138</v>
      </c>
      <c r="Y863" s="10">
        <v>7</v>
      </c>
      <c r="Z863" s="10">
        <v>57</v>
      </c>
      <c r="AA863" s="10">
        <v>0.214</v>
      </c>
      <c r="AB863" s="10">
        <v>83</v>
      </c>
      <c r="AC863" s="10">
        <v>48</v>
      </c>
      <c r="AD863" s="10">
        <v>55</v>
      </c>
      <c r="AE863" s="10">
        <v>12</v>
      </c>
      <c r="AF863" s="10">
        <v>12.8</v>
      </c>
      <c r="AG863" s="9" t="s">
        <v>349</v>
      </c>
      <c r="AH863" s="10"/>
      <c r="AI863" s="10"/>
      <c r="AJ863" s="10"/>
      <c r="AK863" s="30"/>
    </row>
    <row r="864" spans="5:37">
      <c r="E864" s="28" t="s">
        <v>155</v>
      </c>
      <c r="F864" s="8" t="s">
        <v>167</v>
      </c>
      <c r="G864" s="9" t="s">
        <v>677</v>
      </c>
      <c r="H864" s="10">
        <v>170</v>
      </c>
      <c r="I864" s="9" t="s">
        <v>158</v>
      </c>
      <c r="J864" s="10">
        <v>170</v>
      </c>
      <c r="K864" s="10">
        <v>169.4</v>
      </c>
      <c r="L864" s="10">
        <v>150</v>
      </c>
      <c r="M864" s="10">
        <v>157</v>
      </c>
      <c r="N864" s="10">
        <v>130</v>
      </c>
      <c r="O864" s="10">
        <v>72</v>
      </c>
      <c r="P864" s="10">
        <v>111</v>
      </c>
      <c r="Q864" s="10">
        <v>12.5</v>
      </c>
      <c r="R864" s="10">
        <v>1868</v>
      </c>
      <c r="S864" s="10">
        <v>0.81</v>
      </c>
      <c r="T864" s="10">
        <v>1522</v>
      </c>
      <c r="U864" s="10">
        <v>175</v>
      </c>
      <c r="V864" s="10">
        <v>88</v>
      </c>
      <c r="W864" s="10">
        <v>32</v>
      </c>
      <c r="X864" s="10">
        <v>136</v>
      </c>
      <c r="Y864" s="10">
        <v>6</v>
      </c>
      <c r="Z864" s="10">
        <v>58</v>
      </c>
      <c r="AA864" s="10">
        <v>0.186</v>
      </c>
      <c r="AB864" s="10">
        <v>76</v>
      </c>
      <c r="AC864" s="10">
        <v>49</v>
      </c>
      <c r="AD864" s="10">
        <v>60</v>
      </c>
      <c r="AE864" s="10">
        <v>13</v>
      </c>
      <c r="AF864" s="10">
        <v>13.4</v>
      </c>
      <c r="AG864" s="9" t="s">
        <v>349</v>
      </c>
      <c r="AH864" s="10"/>
      <c r="AI864" s="10"/>
      <c r="AJ864" s="10"/>
      <c r="AK864" s="30"/>
    </row>
    <row r="865" spans="5:37">
      <c r="E865" s="28" t="s">
        <v>155</v>
      </c>
      <c r="F865" s="8" t="s">
        <v>167</v>
      </c>
      <c r="G865" s="9" t="s">
        <v>525</v>
      </c>
      <c r="H865" s="10">
        <v>170</v>
      </c>
      <c r="I865" s="9" t="s">
        <v>158</v>
      </c>
      <c r="J865" s="10">
        <v>170</v>
      </c>
      <c r="K865" s="10">
        <v>169.4</v>
      </c>
      <c r="L865" s="10">
        <v>150</v>
      </c>
      <c r="M865" s="10">
        <v>156</v>
      </c>
      <c r="N865" s="10">
        <v>133</v>
      </c>
      <c r="O865" s="10">
        <v>82</v>
      </c>
      <c r="P865" s="10">
        <v>114</v>
      </c>
      <c r="Q865" s="10">
        <v>14.5</v>
      </c>
      <c r="R865" s="10">
        <v>2000</v>
      </c>
      <c r="S865" s="10">
        <v>0.82</v>
      </c>
      <c r="T865" s="10">
        <v>1647</v>
      </c>
      <c r="U865" s="10">
        <v>180</v>
      </c>
      <c r="V865" s="10">
        <v>91</v>
      </c>
      <c r="W865" s="10">
        <v>33</v>
      </c>
      <c r="X865" s="10">
        <v>138</v>
      </c>
      <c r="Y865" s="10">
        <v>7</v>
      </c>
      <c r="Z865" s="10">
        <v>58</v>
      </c>
      <c r="AA865" s="10">
        <v>0.21</v>
      </c>
      <c r="AB865" s="10">
        <v>83</v>
      </c>
      <c r="AC865" s="10">
        <v>55</v>
      </c>
      <c r="AD865" s="10">
        <v>55</v>
      </c>
      <c r="AE865" s="10">
        <v>14</v>
      </c>
      <c r="AF865" s="10">
        <v>13.4</v>
      </c>
      <c r="AG865" s="9" t="s">
        <v>349</v>
      </c>
      <c r="AH865" s="9" t="s">
        <v>188</v>
      </c>
      <c r="AI865" s="10"/>
      <c r="AJ865" s="10"/>
      <c r="AK865" s="30"/>
    </row>
    <row r="866" spans="5:37">
      <c r="E866" s="28" t="s">
        <v>155</v>
      </c>
      <c r="F866" s="8" t="s">
        <v>167</v>
      </c>
      <c r="G866" s="9" t="s">
        <v>704</v>
      </c>
      <c r="H866" s="10">
        <v>163</v>
      </c>
      <c r="I866" s="9" t="s">
        <v>158</v>
      </c>
      <c r="J866" s="10">
        <v>163</v>
      </c>
      <c r="K866" s="10">
        <v>162.4</v>
      </c>
      <c r="L866" s="10">
        <v>143</v>
      </c>
      <c r="M866" s="10">
        <v>149</v>
      </c>
      <c r="N866" s="10">
        <v>131</v>
      </c>
      <c r="O866" s="10">
        <v>77</v>
      </c>
      <c r="P866" s="10">
        <v>111</v>
      </c>
      <c r="Q866" s="10">
        <v>12.4</v>
      </c>
      <c r="R866" s="10">
        <v>1882</v>
      </c>
      <c r="S866" s="10">
        <v>0.8</v>
      </c>
      <c r="T866" s="10">
        <v>1514</v>
      </c>
      <c r="U866" s="10">
        <v>169</v>
      </c>
      <c r="V866" s="10">
        <v>80</v>
      </c>
      <c r="W866" s="10">
        <v>34</v>
      </c>
      <c r="X866" s="10">
        <v>138</v>
      </c>
      <c r="Y866" s="10">
        <v>7</v>
      </c>
      <c r="Z866" s="10">
        <v>59</v>
      </c>
      <c r="AA866" s="10">
        <v>0.20899999999999999</v>
      </c>
      <c r="AB866" s="10">
        <v>86</v>
      </c>
      <c r="AC866" s="10">
        <v>51</v>
      </c>
      <c r="AD866" s="10">
        <v>52</v>
      </c>
      <c r="AE866" s="10">
        <v>14</v>
      </c>
      <c r="AF866" s="10">
        <v>12.5</v>
      </c>
      <c r="AG866" s="9" t="s">
        <v>349</v>
      </c>
      <c r="AH866" s="10"/>
      <c r="AI866" s="10"/>
      <c r="AJ866" s="10"/>
      <c r="AK866" s="30"/>
    </row>
    <row r="867" spans="5:37">
      <c r="E867" s="28" t="s">
        <v>155</v>
      </c>
      <c r="F867" s="8" t="s">
        <v>167</v>
      </c>
      <c r="G867" s="9" t="s">
        <v>704</v>
      </c>
      <c r="H867" s="10">
        <v>177</v>
      </c>
      <c r="I867" s="9" t="s">
        <v>158</v>
      </c>
      <c r="J867" s="10">
        <v>177</v>
      </c>
      <c r="K867" s="10">
        <v>176.4</v>
      </c>
      <c r="L867" s="10">
        <v>157</v>
      </c>
      <c r="M867" s="10">
        <v>164</v>
      </c>
      <c r="N867" s="10">
        <v>130</v>
      </c>
      <c r="O867" s="10">
        <v>76</v>
      </c>
      <c r="P867" s="10">
        <v>112</v>
      </c>
      <c r="Q867" s="10">
        <v>15</v>
      </c>
      <c r="R867" s="10">
        <v>2144</v>
      </c>
      <c r="S867" s="10">
        <v>0.76</v>
      </c>
      <c r="T867" s="10">
        <v>1628</v>
      </c>
      <c r="U867" s="10">
        <v>208</v>
      </c>
      <c r="V867" s="10">
        <v>114</v>
      </c>
      <c r="W867" s="10">
        <v>33</v>
      </c>
      <c r="X867" s="10">
        <v>134</v>
      </c>
      <c r="Y867" s="10">
        <v>6</v>
      </c>
      <c r="Z867" s="10">
        <v>56</v>
      </c>
      <c r="AA867" s="10">
        <v>0.188</v>
      </c>
      <c r="AB867" s="10">
        <v>76</v>
      </c>
      <c r="AC867" s="10">
        <v>51</v>
      </c>
      <c r="AD867" s="10">
        <v>58</v>
      </c>
      <c r="AE867" s="10">
        <v>18</v>
      </c>
      <c r="AF867" s="10">
        <v>13.2</v>
      </c>
      <c r="AG867" s="9" t="s">
        <v>349</v>
      </c>
      <c r="AH867" s="10"/>
      <c r="AI867" s="10"/>
      <c r="AJ867" s="10"/>
      <c r="AK867" s="30"/>
    </row>
    <row r="868" spans="5:37">
      <c r="E868" s="28" t="s">
        <v>155</v>
      </c>
      <c r="F868" s="8" t="s">
        <v>167</v>
      </c>
      <c r="G868" s="9" t="s">
        <v>816</v>
      </c>
      <c r="H868" s="10">
        <v>156</v>
      </c>
      <c r="I868" s="9" t="s">
        <v>158</v>
      </c>
      <c r="J868" s="10">
        <v>156</v>
      </c>
      <c r="K868" s="10">
        <v>155.6</v>
      </c>
      <c r="L868" s="10">
        <v>132</v>
      </c>
      <c r="M868" s="10">
        <v>142</v>
      </c>
      <c r="N868" s="10">
        <v>128</v>
      </c>
      <c r="O868" s="10">
        <v>74</v>
      </c>
      <c r="P868" s="10">
        <v>110</v>
      </c>
      <c r="Q868" s="10">
        <v>11.1</v>
      </c>
      <c r="R868" s="10">
        <v>1527</v>
      </c>
      <c r="S868" s="10">
        <v>0.93</v>
      </c>
      <c r="T868" s="10">
        <v>1414</v>
      </c>
      <c r="U868" s="10">
        <v>156</v>
      </c>
      <c r="V868" s="10">
        <v>39</v>
      </c>
      <c r="W868" s="10">
        <v>41</v>
      </c>
      <c r="X868" s="10">
        <v>164</v>
      </c>
      <c r="Y868" s="10">
        <v>10</v>
      </c>
      <c r="Z868" s="10">
        <v>68</v>
      </c>
      <c r="AA868" s="10">
        <v>0.23400000000000001</v>
      </c>
      <c r="AB868" s="10">
        <v>85</v>
      </c>
      <c r="AC868" s="10">
        <v>55</v>
      </c>
      <c r="AD868" s="10">
        <v>79</v>
      </c>
      <c r="AE868" s="10">
        <v>6</v>
      </c>
      <c r="AF868" s="10">
        <v>11.6</v>
      </c>
      <c r="AG868" s="9" t="s">
        <v>349</v>
      </c>
      <c r="AH868" s="10"/>
      <c r="AI868" s="10"/>
      <c r="AJ868" s="10"/>
      <c r="AK868" s="30"/>
    </row>
    <row r="869" spans="5:37">
      <c r="E869" s="28" t="s">
        <v>155</v>
      </c>
      <c r="F869" s="8" t="s">
        <v>167</v>
      </c>
      <c r="G869" s="9" t="s">
        <v>816</v>
      </c>
      <c r="H869" s="10">
        <v>163</v>
      </c>
      <c r="I869" s="9" t="s">
        <v>158</v>
      </c>
      <c r="J869" s="10">
        <v>163</v>
      </c>
      <c r="K869" s="10">
        <v>162.5</v>
      </c>
      <c r="L869" s="10">
        <v>142</v>
      </c>
      <c r="M869" s="10">
        <v>149</v>
      </c>
      <c r="N869" s="10">
        <v>129</v>
      </c>
      <c r="O869" s="10">
        <v>74</v>
      </c>
      <c r="P869" s="10">
        <v>110</v>
      </c>
      <c r="Q869" s="10">
        <v>12.1</v>
      </c>
      <c r="R869" s="10">
        <v>1587</v>
      </c>
      <c r="S869" s="10">
        <v>0.93</v>
      </c>
      <c r="T869" s="10">
        <v>1476</v>
      </c>
      <c r="U869" s="10">
        <v>175</v>
      </c>
      <c r="V869" s="10">
        <v>44</v>
      </c>
      <c r="W869" s="10">
        <v>37</v>
      </c>
      <c r="X869" s="10">
        <v>140</v>
      </c>
      <c r="Y869" s="10">
        <v>9</v>
      </c>
      <c r="Z869" s="10">
        <v>62</v>
      </c>
      <c r="AA869" s="10">
        <v>0.23300000000000001</v>
      </c>
      <c r="AB869" s="10">
        <v>83</v>
      </c>
      <c r="AC869" s="10">
        <v>56</v>
      </c>
      <c r="AD869" s="10">
        <v>57</v>
      </c>
      <c r="AE869" s="10">
        <v>12</v>
      </c>
      <c r="AF869" s="10">
        <v>12.4</v>
      </c>
      <c r="AG869" s="9" t="s">
        <v>349</v>
      </c>
      <c r="AH869" s="10"/>
      <c r="AI869" s="10"/>
      <c r="AJ869" s="10"/>
      <c r="AK869" s="30"/>
    </row>
    <row r="870" spans="5:37">
      <c r="E870" s="28" t="s">
        <v>155</v>
      </c>
      <c r="F870" s="8" t="s">
        <v>167</v>
      </c>
      <c r="G870" s="9" t="s">
        <v>816</v>
      </c>
      <c r="H870" s="10">
        <v>170</v>
      </c>
      <c r="I870" s="9" t="s">
        <v>158</v>
      </c>
      <c r="J870" s="10">
        <v>170</v>
      </c>
      <c r="K870" s="10">
        <v>169.4</v>
      </c>
      <c r="L870" s="10">
        <v>148</v>
      </c>
      <c r="M870" s="10">
        <v>155</v>
      </c>
      <c r="N870" s="10">
        <v>129</v>
      </c>
      <c r="O870" s="10">
        <v>74</v>
      </c>
      <c r="P870" s="10">
        <v>110</v>
      </c>
      <c r="Q870" s="10">
        <v>13.3</v>
      </c>
      <c r="R870" s="10">
        <v>1634</v>
      </c>
      <c r="S870" s="10">
        <v>0.94</v>
      </c>
      <c r="T870" s="10">
        <v>1534</v>
      </c>
      <c r="U870" s="10">
        <v>201</v>
      </c>
      <c r="V870" s="10">
        <v>51</v>
      </c>
      <c r="W870" s="10">
        <v>38</v>
      </c>
      <c r="X870" s="10">
        <v>147</v>
      </c>
      <c r="Y870" s="10">
        <v>8</v>
      </c>
      <c r="Z870" s="10">
        <v>63</v>
      </c>
      <c r="AA870" s="10">
        <v>0.219</v>
      </c>
      <c r="AB870" s="10">
        <v>84</v>
      </c>
      <c r="AC870" s="10">
        <v>55</v>
      </c>
      <c r="AD870" s="10">
        <v>62</v>
      </c>
      <c r="AE870" s="10">
        <v>9</v>
      </c>
      <c r="AF870" s="10">
        <v>13.5</v>
      </c>
      <c r="AG870" s="9" t="s">
        <v>349</v>
      </c>
      <c r="AH870" s="10"/>
      <c r="AI870" s="10"/>
      <c r="AJ870" s="10"/>
      <c r="AK870" s="30"/>
    </row>
    <row r="871" spans="5:37">
      <c r="E871" s="28" t="s">
        <v>155</v>
      </c>
      <c r="F871" s="8" t="s">
        <v>167</v>
      </c>
      <c r="G871" s="9" t="s">
        <v>858</v>
      </c>
      <c r="H871" s="10">
        <v>165</v>
      </c>
      <c r="I871" s="9" t="s">
        <v>158</v>
      </c>
      <c r="J871" s="10">
        <v>165</v>
      </c>
      <c r="K871" s="10">
        <v>164</v>
      </c>
      <c r="L871" s="10">
        <v>147</v>
      </c>
      <c r="M871" s="10">
        <v>154</v>
      </c>
      <c r="N871" s="10">
        <v>120</v>
      </c>
      <c r="O871" s="10">
        <v>67</v>
      </c>
      <c r="P871" s="10">
        <v>101</v>
      </c>
      <c r="Q871" s="10">
        <v>13.4</v>
      </c>
      <c r="R871" s="10">
        <v>2233</v>
      </c>
      <c r="S871" s="10">
        <v>0.61</v>
      </c>
      <c r="T871" s="10">
        <v>1354</v>
      </c>
      <c r="U871" s="10">
        <v>190</v>
      </c>
      <c r="V871" s="10">
        <v>96</v>
      </c>
      <c r="W871" s="10">
        <v>36</v>
      </c>
      <c r="X871" s="10">
        <v>134</v>
      </c>
      <c r="Y871" s="10">
        <v>3</v>
      </c>
      <c r="Z871" s="10">
        <v>41</v>
      </c>
      <c r="AA871" s="10">
        <v>7.2999999999999995E-2</v>
      </c>
      <c r="AB871" s="10">
        <v>59</v>
      </c>
      <c r="AC871" s="10">
        <v>39</v>
      </c>
      <c r="AD871" s="10">
        <v>75</v>
      </c>
      <c r="AE871" s="10">
        <v>13</v>
      </c>
      <c r="AF871" s="10">
        <v>11.1</v>
      </c>
      <c r="AG871" s="9" t="s">
        <v>349</v>
      </c>
      <c r="AH871" s="10"/>
      <c r="AI871" s="10"/>
      <c r="AJ871" s="10"/>
      <c r="AK871" s="30"/>
    </row>
    <row r="872" spans="5:37">
      <c r="E872" s="28" t="s">
        <v>155</v>
      </c>
      <c r="F872" s="8" t="s">
        <v>167</v>
      </c>
      <c r="G872" s="9" t="s">
        <v>858</v>
      </c>
      <c r="H872" s="10">
        <v>170</v>
      </c>
      <c r="I872" s="9" t="s">
        <v>158</v>
      </c>
      <c r="J872" s="10">
        <v>170</v>
      </c>
      <c r="K872" s="10">
        <v>169.3</v>
      </c>
      <c r="L872" s="10">
        <v>151</v>
      </c>
      <c r="M872" s="10">
        <v>159</v>
      </c>
      <c r="N872" s="10">
        <v>120</v>
      </c>
      <c r="O872" s="10">
        <v>67</v>
      </c>
      <c r="P872" s="10">
        <v>101</v>
      </c>
      <c r="Q872" s="10">
        <v>14.5</v>
      </c>
      <c r="R872" s="10">
        <v>2312</v>
      </c>
      <c r="S872" s="10">
        <v>0.61</v>
      </c>
      <c r="T872" s="10">
        <v>1401</v>
      </c>
      <c r="U872" s="10">
        <v>215</v>
      </c>
      <c r="V872" s="10">
        <v>104</v>
      </c>
      <c r="W872" s="10">
        <v>37</v>
      </c>
      <c r="X872" s="10">
        <v>140</v>
      </c>
      <c r="Y872" s="10">
        <v>3</v>
      </c>
      <c r="Z872" s="10">
        <v>44</v>
      </c>
      <c r="AA872" s="10">
        <v>0.08</v>
      </c>
      <c r="AB872" s="10">
        <v>60</v>
      </c>
      <c r="AC872" s="10">
        <v>46</v>
      </c>
      <c r="AD872" s="10">
        <v>80</v>
      </c>
      <c r="AE872" s="10">
        <v>13</v>
      </c>
      <c r="AF872" s="10">
        <v>12.3</v>
      </c>
      <c r="AG872" s="9" t="s">
        <v>349</v>
      </c>
      <c r="AH872" s="10"/>
      <c r="AI872" s="10"/>
      <c r="AJ872" s="10"/>
      <c r="AK872" s="30"/>
    </row>
    <row r="873" spans="5:37">
      <c r="E873" s="28" t="s">
        <v>155</v>
      </c>
      <c r="F873" s="8" t="s">
        <v>167</v>
      </c>
      <c r="G873" s="9" t="s">
        <v>831</v>
      </c>
      <c r="H873" s="10">
        <v>160</v>
      </c>
      <c r="I873" s="9" t="s">
        <v>158</v>
      </c>
      <c r="J873" s="10">
        <v>160</v>
      </c>
      <c r="K873" s="10">
        <v>158.80000000000001</v>
      </c>
      <c r="L873" s="10">
        <v>140</v>
      </c>
      <c r="M873" s="10">
        <v>149</v>
      </c>
      <c r="N873" s="10">
        <v>122</v>
      </c>
      <c r="O873" s="10">
        <v>67</v>
      </c>
      <c r="P873" s="10">
        <v>107</v>
      </c>
      <c r="Q873" s="10">
        <v>11.5</v>
      </c>
      <c r="R873" s="10">
        <v>2253</v>
      </c>
      <c r="S873" s="10">
        <v>0.59</v>
      </c>
      <c r="T873" s="10">
        <v>1338</v>
      </c>
      <c r="U873" s="10">
        <v>205</v>
      </c>
      <c r="V873" s="10">
        <v>96</v>
      </c>
      <c r="W873" s="10">
        <v>42</v>
      </c>
      <c r="X873" s="10">
        <v>147</v>
      </c>
      <c r="Y873" s="10">
        <v>3</v>
      </c>
      <c r="Z873" s="10">
        <v>42</v>
      </c>
      <c r="AA873" s="10">
        <v>6.3E-2</v>
      </c>
      <c r="AB873" s="10">
        <v>59</v>
      </c>
      <c r="AC873" s="10">
        <v>43</v>
      </c>
      <c r="AD873" s="10">
        <v>88</v>
      </c>
      <c r="AE873" s="10">
        <v>11</v>
      </c>
      <c r="AF873" s="10">
        <v>11.9</v>
      </c>
      <c r="AG873" s="9" t="s">
        <v>349</v>
      </c>
      <c r="AH873" s="10"/>
      <c r="AI873" s="10"/>
      <c r="AJ873" s="10"/>
      <c r="AK873" s="30"/>
    </row>
    <row r="874" spans="5:37">
      <c r="E874" s="28" t="s">
        <v>155</v>
      </c>
      <c r="F874" s="8" t="s">
        <v>167</v>
      </c>
      <c r="G874" s="9" t="s">
        <v>831</v>
      </c>
      <c r="H874" s="10">
        <v>170</v>
      </c>
      <c r="I874" s="9" t="s">
        <v>158</v>
      </c>
      <c r="J874" s="10">
        <v>170</v>
      </c>
      <c r="K874" s="10">
        <v>168.9</v>
      </c>
      <c r="L874" s="10">
        <v>151</v>
      </c>
      <c r="M874" s="10">
        <v>159</v>
      </c>
      <c r="N874" s="10">
        <v>122</v>
      </c>
      <c r="O874" s="10">
        <v>67</v>
      </c>
      <c r="P874" s="10">
        <v>107</v>
      </c>
      <c r="Q874" s="10">
        <v>13.2</v>
      </c>
      <c r="R874" s="10">
        <v>2386</v>
      </c>
      <c r="S874" s="10">
        <v>0.6</v>
      </c>
      <c r="T874" s="10">
        <v>1420</v>
      </c>
      <c r="U874" s="10">
        <v>221</v>
      </c>
      <c r="V874" s="10">
        <v>97</v>
      </c>
      <c r="W874" s="10">
        <v>39</v>
      </c>
      <c r="X874" s="10">
        <v>141</v>
      </c>
      <c r="Y874" s="10">
        <v>3</v>
      </c>
      <c r="Z874" s="10">
        <v>41</v>
      </c>
      <c r="AA874" s="10">
        <v>6.7000000000000004E-2</v>
      </c>
      <c r="AB874" s="10">
        <v>58</v>
      </c>
      <c r="AC874" s="10">
        <v>36</v>
      </c>
      <c r="AD874" s="10">
        <v>83</v>
      </c>
      <c r="AE874" s="10">
        <v>10</v>
      </c>
      <c r="AF874" s="10">
        <v>12.5</v>
      </c>
      <c r="AG874" s="9" t="s">
        <v>349</v>
      </c>
      <c r="AH874" s="10"/>
      <c r="AI874" s="10"/>
      <c r="AJ874" s="10"/>
      <c r="AK874" s="30"/>
    </row>
    <row r="875" spans="5:37">
      <c r="E875" s="28" t="s">
        <v>155</v>
      </c>
      <c r="F875" s="8" t="s">
        <v>167</v>
      </c>
      <c r="G875" s="9" t="s">
        <v>1159</v>
      </c>
      <c r="H875" s="10">
        <v>180</v>
      </c>
      <c r="I875" s="9" t="s">
        <v>158</v>
      </c>
      <c r="J875" s="10">
        <v>180</v>
      </c>
      <c r="K875" s="10">
        <v>179</v>
      </c>
      <c r="L875" s="10">
        <v>162</v>
      </c>
      <c r="M875" s="10">
        <v>170</v>
      </c>
      <c r="N875" s="10">
        <v>116</v>
      </c>
      <c r="O875" s="10">
        <v>67</v>
      </c>
      <c r="P875" s="10">
        <v>98</v>
      </c>
      <c r="Q875" s="10">
        <v>18</v>
      </c>
      <c r="R875" s="9" t="s">
        <v>1155</v>
      </c>
      <c r="S875" s="9" t="s">
        <v>1155</v>
      </c>
      <c r="T875" s="10">
        <v>1456</v>
      </c>
      <c r="U875" s="10">
        <v>259</v>
      </c>
      <c r="V875" s="10">
        <v>143</v>
      </c>
      <c r="W875" s="10">
        <v>31</v>
      </c>
      <c r="X875" s="10">
        <v>123</v>
      </c>
      <c r="Y875" s="10">
        <v>3</v>
      </c>
      <c r="Z875" s="10">
        <v>43</v>
      </c>
      <c r="AA875" s="10">
        <v>0.09</v>
      </c>
      <c r="AB875" s="10">
        <v>59</v>
      </c>
      <c r="AC875" s="10">
        <v>33</v>
      </c>
      <c r="AD875" s="10">
        <v>63</v>
      </c>
      <c r="AE875" s="10">
        <v>13</v>
      </c>
      <c r="AF875" s="10">
        <v>13.3</v>
      </c>
      <c r="AG875" s="9" t="s">
        <v>160</v>
      </c>
      <c r="AH875" s="10"/>
      <c r="AI875" s="10"/>
      <c r="AJ875" s="10"/>
      <c r="AK875" s="30"/>
    </row>
    <row r="876" spans="5:37">
      <c r="E876" s="28" t="s">
        <v>155</v>
      </c>
      <c r="F876" s="8" t="s">
        <v>167</v>
      </c>
      <c r="G876" s="9" t="s">
        <v>767</v>
      </c>
      <c r="H876" s="10">
        <v>150</v>
      </c>
      <c r="I876" s="9" t="s">
        <v>158</v>
      </c>
      <c r="J876" s="10">
        <v>150</v>
      </c>
      <c r="K876" s="10">
        <v>149</v>
      </c>
      <c r="L876" s="10">
        <v>129</v>
      </c>
      <c r="M876" s="10">
        <v>135</v>
      </c>
      <c r="N876" s="10">
        <v>119</v>
      </c>
      <c r="O876" s="10">
        <v>64</v>
      </c>
      <c r="P876" s="10">
        <v>104</v>
      </c>
      <c r="Q876" s="10">
        <v>9.4</v>
      </c>
      <c r="R876" s="10">
        <v>1708</v>
      </c>
      <c r="S876" s="10">
        <v>0.71</v>
      </c>
      <c r="T876" s="10">
        <v>1221</v>
      </c>
      <c r="U876" s="10">
        <v>123</v>
      </c>
      <c r="V876" s="10">
        <v>58</v>
      </c>
      <c r="W876" s="10">
        <v>43</v>
      </c>
      <c r="X876" s="10">
        <v>141</v>
      </c>
      <c r="Y876" s="10">
        <v>5</v>
      </c>
      <c r="Z876" s="10">
        <v>54</v>
      </c>
      <c r="AA876" s="10">
        <v>0.122</v>
      </c>
      <c r="AB876" s="10">
        <v>78</v>
      </c>
      <c r="AC876" s="10">
        <v>59</v>
      </c>
      <c r="AD876" s="10">
        <v>63</v>
      </c>
      <c r="AE876" s="10">
        <v>9</v>
      </c>
      <c r="AF876" s="10">
        <v>12.4</v>
      </c>
      <c r="AG876" s="9" t="s">
        <v>349</v>
      </c>
      <c r="AH876" s="10"/>
      <c r="AI876" s="10"/>
      <c r="AJ876" s="10"/>
      <c r="AK876" s="30"/>
    </row>
    <row r="877" spans="5:37">
      <c r="E877" s="28" t="s">
        <v>155</v>
      </c>
      <c r="F877" s="8" t="s">
        <v>167</v>
      </c>
      <c r="G877" s="9" t="s">
        <v>767</v>
      </c>
      <c r="H877" s="10">
        <v>155</v>
      </c>
      <c r="I877" s="9" t="s">
        <v>158</v>
      </c>
      <c r="J877" s="10">
        <v>155</v>
      </c>
      <c r="K877" s="10">
        <v>154.30000000000001</v>
      </c>
      <c r="L877" s="10">
        <v>135</v>
      </c>
      <c r="M877" s="10">
        <v>140</v>
      </c>
      <c r="N877" s="10">
        <v>120</v>
      </c>
      <c r="O877" s="10">
        <v>65</v>
      </c>
      <c r="P877" s="10">
        <v>105</v>
      </c>
      <c r="Q877" s="10">
        <v>10.1</v>
      </c>
      <c r="R877" s="10">
        <v>1796</v>
      </c>
      <c r="S877" s="10">
        <v>0.71</v>
      </c>
      <c r="T877" s="10">
        <v>1273</v>
      </c>
      <c r="U877" s="10">
        <v>135</v>
      </c>
      <c r="V877" s="10">
        <v>65</v>
      </c>
      <c r="W877" s="10">
        <v>44</v>
      </c>
      <c r="X877" s="10">
        <v>141</v>
      </c>
      <c r="Y877" s="10">
        <v>6</v>
      </c>
      <c r="Z877" s="10">
        <v>56</v>
      </c>
      <c r="AA877" s="10">
        <v>0.125</v>
      </c>
      <c r="AB877" s="10">
        <v>78</v>
      </c>
      <c r="AC877" s="10">
        <v>65</v>
      </c>
      <c r="AD877" s="10">
        <v>63</v>
      </c>
      <c r="AE877" s="10">
        <v>10</v>
      </c>
      <c r="AF877" s="10">
        <v>12.4</v>
      </c>
      <c r="AG877" s="9" t="s">
        <v>349</v>
      </c>
      <c r="AH877" s="10"/>
      <c r="AI877" s="10"/>
      <c r="AJ877" s="10"/>
      <c r="AK877" s="30"/>
    </row>
    <row r="878" spans="5:37">
      <c r="E878" s="28" t="s">
        <v>155</v>
      </c>
      <c r="F878" s="8" t="s">
        <v>167</v>
      </c>
      <c r="G878" s="9" t="s">
        <v>767</v>
      </c>
      <c r="H878" s="10">
        <v>160</v>
      </c>
      <c r="I878" s="9" t="s">
        <v>158</v>
      </c>
      <c r="J878" s="10">
        <v>160</v>
      </c>
      <c r="K878" s="10">
        <v>159.19999999999999</v>
      </c>
      <c r="L878" s="10">
        <v>140</v>
      </c>
      <c r="M878" s="10">
        <v>145</v>
      </c>
      <c r="N878" s="10">
        <v>121</v>
      </c>
      <c r="O878" s="10">
        <v>65</v>
      </c>
      <c r="P878" s="10">
        <v>106</v>
      </c>
      <c r="Q878" s="10">
        <v>11</v>
      </c>
      <c r="R878" s="10">
        <v>1871</v>
      </c>
      <c r="S878" s="10">
        <v>0.7</v>
      </c>
      <c r="T878" s="10">
        <v>1318</v>
      </c>
      <c r="U878" s="10">
        <v>159</v>
      </c>
      <c r="V878" s="10">
        <v>79</v>
      </c>
      <c r="W878" s="10">
        <v>40</v>
      </c>
      <c r="X878" s="10">
        <v>143</v>
      </c>
      <c r="Y878" s="10">
        <v>5</v>
      </c>
      <c r="Z878" s="10">
        <v>52</v>
      </c>
      <c r="AA878" s="10">
        <v>0.125</v>
      </c>
      <c r="AB878" s="10">
        <v>80</v>
      </c>
      <c r="AC878" s="10">
        <v>60</v>
      </c>
      <c r="AD878" s="10">
        <v>63</v>
      </c>
      <c r="AE878" s="10">
        <v>9</v>
      </c>
      <c r="AF878" s="10">
        <v>12.8</v>
      </c>
      <c r="AG878" s="9" t="s">
        <v>349</v>
      </c>
      <c r="AH878" s="10"/>
      <c r="AI878" s="10"/>
      <c r="AJ878" s="10"/>
      <c r="AK878" s="30"/>
    </row>
    <row r="879" spans="5:37">
      <c r="E879" s="28" t="s">
        <v>155</v>
      </c>
      <c r="F879" s="8" t="s">
        <v>167</v>
      </c>
      <c r="G879" s="9" t="s">
        <v>767</v>
      </c>
      <c r="H879" s="10">
        <v>165</v>
      </c>
      <c r="I879" s="9" t="s">
        <v>158</v>
      </c>
      <c r="J879" s="10">
        <v>165</v>
      </c>
      <c r="K879" s="10">
        <v>164.1</v>
      </c>
      <c r="L879" s="10">
        <v>145</v>
      </c>
      <c r="M879" s="10">
        <v>150</v>
      </c>
      <c r="N879" s="10">
        <v>121</v>
      </c>
      <c r="O879" s="10">
        <v>65</v>
      </c>
      <c r="P879" s="10">
        <v>106</v>
      </c>
      <c r="Q879" s="10">
        <v>11.5</v>
      </c>
      <c r="R879" s="10">
        <v>1940</v>
      </c>
      <c r="S879" s="10">
        <v>0.7</v>
      </c>
      <c r="T879" s="10">
        <v>1363</v>
      </c>
      <c r="U879" s="10">
        <v>153</v>
      </c>
      <c r="V879" s="10">
        <v>79</v>
      </c>
      <c r="W879" s="10">
        <v>41</v>
      </c>
      <c r="X879" s="10">
        <v>139</v>
      </c>
      <c r="Y879" s="10">
        <v>5</v>
      </c>
      <c r="Z879" s="10">
        <v>51</v>
      </c>
      <c r="AA879" s="10">
        <v>0.11600000000000001</v>
      </c>
      <c r="AB879" s="10">
        <v>77</v>
      </c>
      <c r="AC879" s="10">
        <v>59</v>
      </c>
      <c r="AD879" s="10">
        <v>62</v>
      </c>
      <c r="AE879" s="10">
        <v>11</v>
      </c>
      <c r="AF879" s="10">
        <v>12.8</v>
      </c>
      <c r="AG879" s="9" t="s">
        <v>349</v>
      </c>
      <c r="AH879" s="10"/>
      <c r="AI879" s="10"/>
      <c r="AJ879" s="10"/>
      <c r="AK879" s="30"/>
    </row>
    <row r="880" spans="5:37">
      <c r="E880" s="28" t="s">
        <v>155</v>
      </c>
      <c r="F880" s="8" t="s">
        <v>295</v>
      </c>
      <c r="G880" s="9" t="s">
        <v>758</v>
      </c>
      <c r="H880" s="10">
        <v>155</v>
      </c>
      <c r="I880" s="9" t="s">
        <v>163</v>
      </c>
      <c r="J880" s="10">
        <v>155</v>
      </c>
      <c r="K880" s="10">
        <v>152.5</v>
      </c>
      <c r="L880" s="10">
        <v>84</v>
      </c>
      <c r="M880" s="10">
        <v>127</v>
      </c>
      <c r="N880" s="10">
        <v>126</v>
      </c>
      <c r="O880" s="10">
        <v>92</v>
      </c>
      <c r="P880" s="10">
        <v>117</v>
      </c>
      <c r="Q880" s="10">
        <v>13</v>
      </c>
      <c r="R880" s="10">
        <v>1357</v>
      </c>
      <c r="S880" s="10">
        <v>1.1599999999999999</v>
      </c>
      <c r="T880" s="10">
        <v>1574</v>
      </c>
      <c r="U880" s="10">
        <v>151</v>
      </c>
      <c r="V880" s="10">
        <v>63</v>
      </c>
      <c r="W880" s="10">
        <v>61</v>
      </c>
      <c r="X880" s="10">
        <v>363</v>
      </c>
      <c r="Y880" s="10">
        <v>59</v>
      </c>
      <c r="Z880" s="10">
        <v>318</v>
      </c>
      <c r="AA880" s="10">
        <v>0.96099999999999997</v>
      </c>
      <c r="AB880" s="10">
        <v>123</v>
      </c>
      <c r="AC880" s="10">
        <v>130</v>
      </c>
      <c r="AD880" s="10">
        <v>240</v>
      </c>
      <c r="AE880" s="10">
        <v>2</v>
      </c>
      <c r="AF880" s="10">
        <v>8.1999999999999993</v>
      </c>
      <c r="AG880" s="9" t="s">
        <v>184</v>
      </c>
      <c r="AH880" s="9" t="s">
        <v>185</v>
      </c>
      <c r="AI880" s="10"/>
      <c r="AJ880" s="10"/>
      <c r="AK880" s="30"/>
    </row>
    <row r="881" spans="5:37">
      <c r="E881" s="28" t="s">
        <v>155</v>
      </c>
      <c r="F881" s="8" t="s">
        <v>295</v>
      </c>
      <c r="G881" s="9" t="s">
        <v>758</v>
      </c>
      <c r="H881" s="10">
        <v>162</v>
      </c>
      <c r="I881" s="9" t="s">
        <v>163</v>
      </c>
      <c r="J881" s="10">
        <v>162</v>
      </c>
      <c r="K881" s="10">
        <v>159.80000000000001</v>
      </c>
      <c r="L881" s="10">
        <v>91</v>
      </c>
      <c r="M881" s="10">
        <v>137</v>
      </c>
      <c r="N881" s="10">
        <v>126</v>
      </c>
      <c r="O881" s="10">
        <v>90</v>
      </c>
      <c r="P881" s="10">
        <v>116</v>
      </c>
      <c r="Q881" s="10">
        <v>14.4</v>
      </c>
      <c r="R881" s="10">
        <v>1490</v>
      </c>
      <c r="S881" s="10">
        <v>1.0900000000000001</v>
      </c>
      <c r="T881" s="10">
        <v>1627</v>
      </c>
      <c r="U881" s="10">
        <v>154</v>
      </c>
      <c r="V881" s="10">
        <v>68</v>
      </c>
      <c r="W881" s="10">
        <v>58</v>
      </c>
      <c r="X881" s="10">
        <v>364</v>
      </c>
      <c r="Y881" s="10">
        <v>59</v>
      </c>
      <c r="Z881" s="10">
        <v>320</v>
      </c>
      <c r="AA881" s="10">
        <v>1.02</v>
      </c>
      <c r="AB881" s="10">
        <v>105</v>
      </c>
      <c r="AC881" s="10">
        <v>125</v>
      </c>
      <c r="AD881" s="10">
        <v>259</v>
      </c>
      <c r="AE881" s="10">
        <v>2</v>
      </c>
      <c r="AF881" s="10">
        <v>8</v>
      </c>
      <c r="AG881" s="9" t="s">
        <v>184</v>
      </c>
      <c r="AH881" s="9" t="s">
        <v>185</v>
      </c>
      <c r="AI881" s="10"/>
      <c r="AJ881" s="10"/>
      <c r="AK881" s="30"/>
    </row>
    <row r="882" spans="5:37">
      <c r="E882" s="28" t="s">
        <v>155</v>
      </c>
      <c r="F882" s="8" t="s">
        <v>295</v>
      </c>
      <c r="G882" s="9" t="s">
        <v>359</v>
      </c>
      <c r="H882" s="10">
        <v>171</v>
      </c>
      <c r="I882" s="9" t="s">
        <v>158</v>
      </c>
      <c r="J882" s="10">
        <v>171</v>
      </c>
      <c r="K882" s="10">
        <v>168.6</v>
      </c>
      <c r="L882" s="10">
        <v>118</v>
      </c>
      <c r="M882" s="10">
        <v>134</v>
      </c>
      <c r="N882" s="10">
        <v>132</v>
      </c>
      <c r="O882" s="10">
        <v>101</v>
      </c>
      <c r="P882" s="10">
        <v>116</v>
      </c>
      <c r="Q882" s="10">
        <v>18.8</v>
      </c>
      <c r="R882" s="10">
        <v>1582</v>
      </c>
      <c r="S882" s="10">
        <v>1.17</v>
      </c>
      <c r="T882" s="10">
        <v>1854</v>
      </c>
      <c r="U882" s="10">
        <v>211</v>
      </c>
      <c r="V882" s="10">
        <v>88</v>
      </c>
      <c r="W882" s="10">
        <v>64</v>
      </c>
      <c r="X882" s="10">
        <v>329</v>
      </c>
      <c r="Y882" s="10">
        <v>25</v>
      </c>
      <c r="Z882" s="10">
        <v>177</v>
      </c>
      <c r="AA882" s="10">
        <v>0.39500000000000002</v>
      </c>
      <c r="AB882" s="10">
        <v>238</v>
      </c>
      <c r="AC882" s="10">
        <v>105</v>
      </c>
      <c r="AD882" s="10">
        <v>91</v>
      </c>
      <c r="AE882" s="10">
        <v>5</v>
      </c>
      <c r="AF882" s="10">
        <v>9.5</v>
      </c>
      <c r="AG882" s="9" t="s">
        <v>188</v>
      </c>
      <c r="AH882" s="9" t="s">
        <v>169</v>
      </c>
      <c r="AI882" s="9" t="s">
        <v>178</v>
      </c>
      <c r="AJ882" s="9" t="s">
        <v>185</v>
      </c>
      <c r="AK882" s="30"/>
    </row>
    <row r="883" spans="5:37">
      <c r="E883" s="28" t="s">
        <v>155</v>
      </c>
      <c r="F883" s="8" t="s">
        <v>295</v>
      </c>
      <c r="G883" s="9" t="s">
        <v>359</v>
      </c>
      <c r="H883" s="10">
        <v>178</v>
      </c>
      <c r="I883" s="9" t="s">
        <v>158</v>
      </c>
      <c r="J883" s="10">
        <v>178</v>
      </c>
      <c r="K883" s="10">
        <v>176.2</v>
      </c>
      <c r="L883" s="10">
        <v>128</v>
      </c>
      <c r="M883" s="10">
        <v>142</v>
      </c>
      <c r="N883" s="10">
        <v>132</v>
      </c>
      <c r="O883" s="10">
        <v>100</v>
      </c>
      <c r="P883" s="10">
        <v>117</v>
      </c>
      <c r="Q883" s="10">
        <v>20.6</v>
      </c>
      <c r="R883" s="10">
        <v>1873</v>
      </c>
      <c r="S883" s="10">
        <v>1.03</v>
      </c>
      <c r="T883" s="10">
        <v>1937</v>
      </c>
      <c r="U883" s="10">
        <v>262</v>
      </c>
      <c r="V883" s="10">
        <v>113</v>
      </c>
      <c r="W883" s="10">
        <v>58</v>
      </c>
      <c r="X883" s="10">
        <v>319</v>
      </c>
      <c r="Y883" s="10">
        <v>24</v>
      </c>
      <c r="Z883" s="10">
        <v>168</v>
      </c>
      <c r="AA883" s="10">
        <v>0.41399999999999998</v>
      </c>
      <c r="AB883" s="10">
        <v>240</v>
      </c>
      <c r="AC883" s="10">
        <v>101</v>
      </c>
      <c r="AD883" s="10">
        <v>79</v>
      </c>
      <c r="AE883" s="10">
        <v>6</v>
      </c>
      <c r="AF883" s="10">
        <v>8.8000000000000007</v>
      </c>
      <c r="AG883" s="9" t="s">
        <v>188</v>
      </c>
      <c r="AH883" s="9" t="s">
        <v>169</v>
      </c>
      <c r="AI883" s="10"/>
      <c r="AJ883" s="10"/>
      <c r="AK883" s="30"/>
    </row>
    <row r="884" spans="5:37">
      <c r="E884" s="28" t="s">
        <v>155</v>
      </c>
      <c r="F884" s="8" t="s">
        <v>295</v>
      </c>
      <c r="G884" s="9" t="s">
        <v>475</v>
      </c>
      <c r="H884" s="10">
        <v>171</v>
      </c>
      <c r="I884" s="9" t="s">
        <v>158</v>
      </c>
      <c r="J884" s="10">
        <v>171</v>
      </c>
      <c r="K884" s="10">
        <v>169</v>
      </c>
      <c r="L884" s="10">
        <v>103</v>
      </c>
      <c r="M884" s="10">
        <v>142</v>
      </c>
      <c r="N884" s="10">
        <v>146</v>
      </c>
      <c r="O884" s="10">
        <v>111</v>
      </c>
      <c r="P884" s="10">
        <v>136</v>
      </c>
      <c r="Q884" s="10">
        <v>16.2</v>
      </c>
      <c r="R884" s="10">
        <v>1949</v>
      </c>
      <c r="S884" s="10">
        <v>1.06</v>
      </c>
      <c r="T884" s="10">
        <v>2060</v>
      </c>
      <c r="U884" s="10">
        <v>213</v>
      </c>
      <c r="V884" s="10">
        <v>101</v>
      </c>
      <c r="W884" s="10">
        <v>57</v>
      </c>
      <c r="X884" s="10">
        <v>353</v>
      </c>
      <c r="Y884" s="10">
        <v>55</v>
      </c>
      <c r="Z884" s="10">
        <v>305</v>
      </c>
      <c r="AA884" s="10">
        <v>0.96399999999999997</v>
      </c>
      <c r="AB884" s="10">
        <v>134</v>
      </c>
      <c r="AC884" s="10">
        <v>141</v>
      </c>
      <c r="AD884" s="10">
        <v>220</v>
      </c>
      <c r="AE884" s="10">
        <v>3</v>
      </c>
      <c r="AF884" s="10">
        <v>8.1999999999999993</v>
      </c>
      <c r="AG884" s="9" t="s">
        <v>184</v>
      </c>
      <c r="AH884" s="9" t="s">
        <v>169</v>
      </c>
      <c r="AI884" s="9" t="s">
        <v>185</v>
      </c>
      <c r="AJ884" s="10"/>
      <c r="AK884" s="30"/>
    </row>
    <row r="885" spans="5:37">
      <c r="E885" s="28" t="s">
        <v>155</v>
      </c>
      <c r="F885" s="8" t="s">
        <v>295</v>
      </c>
      <c r="G885" s="9" t="s">
        <v>475</v>
      </c>
      <c r="H885" s="10">
        <v>176</v>
      </c>
      <c r="I885" s="9" t="s">
        <v>158</v>
      </c>
      <c r="J885" s="10">
        <v>176</v>
      </c>
      <c r="K885" s="10">
        <v>173.5</v>
      </c>
      <c r="L885" s="10">
        <v>107</v>
      </c>
      <c r="M885" s="10">
        <v>147</v>
      </c>
      <c r="N885" s="10">
        <v>145</v>
      </c>
      <c r="O885" s="10">
        <v>111</v>
      </c>
      <c r="P885" s="10">
        <v>135</v>
      </c>
      <c r="Q885" s="10">
        <v>18</v>
      </c>
      <c r="R885" s="10">
        <v>1848</v>
      </c>
      <c r="S885" s="10">
        <v>1.1399999999999999</v>
      </c>
      <c r="T885" s="10">
        <v>2103</v>
      </c>
      <c r="U885" s="10">
        <v>216</v>
      </c>
      <c r="V885" s="10">
        <v>102</v>
      </c>
      <c r="W885" s="10">
        <v>58</v>
      </c>
      <c r="X885" s="10">
        <v>351</v>
      </c>
      <c r="Y885" s="10">
        <v>57</v>
      </c>
      <c r="Z885" s="10">
        <v>312</v>
      </c>
      <c r="AA885" s="10">
        <v>0.97499999999999998</v>
      </c>
      <c r="AB885" s="10">
        <v>129</v>
      </c>
      <c r="AC885" s="10">
        <v>132</v>
      </c>
      <c r="AD885" s="10">
        <v>222</v>
      </c>
      <c r="AE885" s="10">
        <v>3</v>
      </c>
      <c r="AF885" s="10">
        <v>8.3000000000000007</v>
      </c>
      <c r="AG885" s="9" t="s">
        <v>184</v>
      </c>
      <c r="AH885" s="9" t="s">
        <v>169</v>
      </c>
      <c r="AI885" s="9" t="s">
        <v>185</v>
      </c>
      <c r="AJ885" s="10"/>
      <c r="AK885" s="30"/>
    </row>
    <row r="886" spans="5:37">
      <c r="E886" s="28" t="s">
        <v>155</v>
      </c>
      <c r="F886" s="8" t="s">
        <v>295</v>
      </c>
      <c r="G886" s="9" t="s">
        <v>475</v>
      </c>
      <c r="H886" s="10">
        <v>181</v>
      </c>
      <c r="I886" s="9" t="s">
        <v>158</v>
      </c>
      <c r="J886" s="10">
        <v>181</v>
      </c>
      <c r="K886" s="10">
        <v>178.5</v>
      </c>
      <c r="L886" s="10">
        <v>109</v>
      </c>
      <c r="M886" s="10">
        <v>153</v>
      </c>
      <c r="N886" s="10">
        <v>145</v>
      </c>
      <c r="O886" s="10">
        <v>111</v>
      </c>
      <c r="P886" s="10">
        <v>135</v>
      </c>
      <c r="Q886" s="10">
        <v>19.100000000000001</v>
      </c>
      <c r="R886" s="10">
        <v>2022</v>
      </c>
      <c r="S886" s="10">
        <v>1.08</v>
      </c>
      <c r="T886" s="10">
        <v>2176</v>
      </c>
      <c r="U886" s="10">
        <v>229</v>
      </c>
      <c r="V886" s="10">
        <v>113</v>
      </c>
      <c r="W886" s="10">
        <v>60</v>
      </c>
      <c r="X886" s="10">
        <v>375</v>
      </c>
      <c r="Y886" s="10">
        <v>56</v>
      </c>
      <c r="Z886" s="10">
        <v>323</v>
      </c>
      <c r="AA886" s="10">
        <v>0.94199999999999995</v>
      </c>
      <c r="AB886" s="10">
        <v>128</v>
      </c>
      <c r="AC886" s="10">
        <v>128</v>
      </c>
      <c r="AD886" s="10">
        <v>248</v>
      </c>
      <c r="AE886" s="10">
        <v>1</v>
      </c>
      <c r="AF886" s="10">
        <v>9.6999999999999993</v>
      </c>
      <c r="AG886" s="9" t="s">
        <v>184</v>
      </c>
      <c r="AH886" s="9" t="s">
        <v>169</v>
      </c>
      <c r="AI886" s="9" t="s">
        <v>185</v>
      </c>
      <c r="AJ886" s="10"/>
      <c r="AK886" s="30"/>
    </row>
    <row r="887" spans="5:37">
      <c r="E887" s="28" t="s">
        <v>155</v>
      </c>
      <c r="F887" s="8" t="s">
        <v>295</v>
      </c>
      <c r="G887" s="9" t="s">
        <v>654</v>
      </c>
      <c r="H887" s="10">
        <v>171</v>
      </c>
      <c r="I887" s="9" t="s">
        <v>158</v>
      </c>
      <c r="J887" s="10">
        <v>171</v>
      </c>
      <c r="K887" s="10">
        <v>168.3</v>
      </c>
      <c r="L887" s="10">
        <v>99</v>
      </c>
      <c r="M887" s="10">
        <v>143</v>
      </c>
      <c r="N887" s="10">
        <v>130</v>
      </c>
      <c r="O887" s="10">
        <v>95</v>
      </c>
      <c r="P887" s="10">
        <v>121</v>
      </c>
      <c r="Q887" s="10">
        <v>16.3</v>
      </c>
      <c r="R887" s="10">
        <v>1539</v>
      </c>
      <c r="S887" s="10">
        <v>1.1599999999999999</v>
      </c>
      <c r="T887" s="10">
        <v>1780</v>
      </c>
      <c r="U887" s="10">
        <v>157</v>
      </c>
      <c r="V887" s="10">
        <v>69</v>
      </c>
      <c r="W887" s="10">
        <v>62</v>
      </c>
      <c r="X887" s="10">
        <v>376</v>
      </c>
      <c r="Y887" s="10">
        <v>55</v>
      </c>
      <c r="Z887" s="10">
        <v>314</v>
      </c>
      <c r="AA887" s="10">
        <v>0.88800000000000001</v>
      </c>
      <c r="AB887" s="10">
        <v>119</v>
      </c>
      <c r="AC887" s="10">
        <v>130</v>
      </c>
      <c r="AD887" s="10">
        <v>257</v>
      </c>
      <c r="AE887" s="10">
        <v>2</v>
      </c>
      <c r="AF887" s="10">
        <v>7.2</v>
      </c>
      <c r="AG887" s="9" t="s">
        <v>184</v>
      </c>
      <c r="AH887" s="9" t="s">
        <v>185</v>
      </c>
      <c r="AI887" s="10"/>
      <c r="AJ887" s="10"/>
      <c r="AK887" s="30"/>
    </row>
    <row r="888" spans="5:37">
      <c r="E888" s="28" t="s">
        <v>155</v>
      </c>
      <c r="F888" s="8" t="s">
        <v>295</v>
      </c>
      <c r="G888" s="9" t="s">
        <v>654</v>
      </c>
      <c r="H888" s="10">
        <v>176</v>
      </c>
      <c r="I888" s="9" t="s">
        <v>158</v>
      </c>
      <c r="J888" s="10">
        <v>176</v>
      </c>
      <c r="K888" s="10">
        <v>173.6</v>
      </c>
      <c r="L888" s="10">
        <v>107</v>
      </c>
      <c r="M888" s="10">
        <v>149</v>
      </c>
      <c r="N888" s="10">
        <v>129</v>
      </c>
      <c r="O888" s="10">
        <v>93</v>
      </c>
      <c r="P888" s="10">
        <v>119</v>
      </c>
      <c r="Q888" s="10">
        <v>17.5</v>
      </c>
      <c r="R888" s="10">
        <v>1715</v>
      </c>
      <c r="S888" s="10">
        <v>1.06</v>
      </c>
      <c r="T888" s="10">
        <v>1816</v>
      </c>
      <c r="U888" s="10">
        <v>175</v>
      </c>
      <c r="V888" s="10">
        <v>73</v>
      </c>
      <c r="W888" s="10">
        <v>58</v>
      </c>
      <c r="X888" s="10">
        <v>353</v>
      </c>
      <c r="Y888" s="10">
        <v>56</v>
      </c>
      <c r="Z888" s="10">
        <v>315</v>
      </c>
      <c r="AA888" s="10">
        <v>0.96899999999999997</v>
      </c>
      <c r="AB888" s="10">
        <v>121</v>
      </c>
      <c r="AC888" s="10">
        <v>122</v>
      </c>
      <c r="AD888" s="10">
        <v>233</v>
      </c>
      <c r="AE888" s="10">
        <v>2</v>
      </c>
      <c r="AF888" s="10">
        <v>8.1999999999999993</v>
      </c>
      <c r="AG888" s="9" t="s">
        <v>184</v>
      </c>
      <c r="AH888" s="9" t="s">
        <v>185</v>
      </c>
      <c r="AI888" s="10"/>
      <c r="AJ888" s="10"/>
      <c r="AK888" s="30"/>
    </row>
    <row r="889" spans="5:37">
      <c r="E889" s="28" t="s">
        <v>155</v>
      </c>
      <c r="F889" s="8" t="s">
        <v>295</v>
      </c>
      <c r="G889" s="9" t="s">
        <v>654</v>
      </c>
      <c r="H889" s="10">
        <v>181</v>
      </c>
      <c r="I889" s="9" t="s">
        <v>158</v>
      </c>
      <c r="J889" s="10">
        <v>181</v>
      </c>
      <c r="K889" s="10">
        <v>178.6</v>
      </c>
      <c r="L889" s="10">
        <v>116</v>
      </c>
      <c r="M889" s="10">
        <v>155</v>
      </c>
      <c r="N889" s="10">
        <v>130</v>
      </c>
      <c r="O889" s="10">
        <v>95</v>
      </c>
      <c r="P889" s="10">
        <v>120</v>
      </c>
      <c r="Q889" s="10">
        <v>19</v>
      </c>
      <c r="R889" s="10">
        <v>1662</v>
      </c>
      <c r="S889" s="10">
        <v>1.1399999999999999</v>
      </c>
      <c r="T889" s="10">
        <v>1889</v>
      </c>
      <c r="U889" s="10">
        <v>191</v>
      </c>
      <c r="V889" s="10">
        <v>75</v>
      </c>
      <c r="W889" s="10">
        <v>55</v>
      </c>
      <c r="X889" s="10">
        <v>338</v>
      </c>
      <c r="Y889" s="10">
        <v>51</v>
      </c>
      <c r="Z889" s="10">
        <v>290</v>
      </c>
      <c r="AA889" s="10">
        <v>0.91400000000000003</v>
      </c>
      <c r="AB889" s="10">
        <v>112</v>
      </c>
      <c r="AC889" s="10">
        <v>128</v>
      </c>
      <c r="AD889" s="10">
        <v>226</v>
      </c>
      <c r="AE889" s="10">
        <v>4</v>
      </c>
      <c r="AF889" s="10">
        <v>9</v>
      </c>
      <c r="AG889" s="9" t="s">
        <v>184</v>
      </c>
      <c r="AH889" s="9" t="s">
        <v>185</v>
      </c>
      <c r="AI889" s="10"/>
      <c r="AJ889" s="10"/>
      <c r="AK889" s="30"/>
    </row>
    <row r="890" spans="5:37">
      <c r="E890" s="28" t="s">
        <v>155</v>
      </c>
      <c r="F890" s="8" t="s">
        <v>295</v>
      </c>
      <c r="G890" s="9" t="s">
        <v>458</v>
      </c>
      <c r="H890" s="10">
        <v>171</v>
      </c>
      <c r="I890" s="9" t="s">
        <v>158</v>
      </c>
      <c r="J890" s="10">
        <v>171</v>
      </c>
      <c r="K890" s="10">
        <v>168.7</v>
      </c>
      <c r="L890" s="10">
        <v>102</v>
      </c>
      <c r="M890" s="10">
        <v>142</v>
      </c>
      <c r="N890" s="10">
        <v>145</v>
      </c>
      <c r="O890" s="10">
        <v>111</v>
      </c>
      <c r="P890" s="10">
        <v>136</v>
      </c>
      <c r="Q890" s="10">
        <v>16.3</v>
      </c>
      <c r="R890" s="10">
        <v>1797</v>
      </c>
      <c r="S890" s="10">
        <v>1.1399999999999999</v>
      </c>
      <c r="T890" s="10">
        <v>2052</v>
      </c>
      <c r="U890" s="10">
        <v>237</v>
      </c>
      <c r="V890" s="10">
        <v>109</v>
      </c>
      <c r="W890" s="10">
        <v>60</v>
      </c>
      <c r="X890" s="10">
        <v>364</v>
      </c>
      <c r="Y890" s="10">
        <v>54</v>
      </c>
      <c r="Z890" s="10">
        <v>304</v>
      </c>
      <c r="AA890" s="10">
        <v>0.91300000000000003</v>
      </c>
      <c r="AB890" s="10">
        <v>134</v>
      </c>
      <c r="AC890" s="10">
        <v>136</v>
      </c>
      <c r="AD890" s="10">
        <v>230</v>
      </c>
      <c r="AE890" s="10">
        <v>2</v>
      </c>
      <c r="AF890" s="10">
        <v>8.6</v>
      </c>
      <c r="AG890" s="9" t="s">
        <v>184</v>
      </c>
      <c r="AH890" s="9" t="s">
        <v>169</v>
      </c>
      <c r="AI890" s="9" t="s">
        <v>185</v>
      </c>
      <c r="AJ890" s="10"/>
      <c r="AK890" s="30"/>
    </row>
    <row r="891" spans="5:37">
      <c r="E891" s="28" t="s">
        <v>155</v>
      </c>
      <c r="F891" s="8" t="s">
        <v>295</v>
      </c>
      <c r="G891" s="9" t="s">
        <v>458</v>
      </c>
      <c r="H891" s="10">
        <v>176</v>
      </c>
      <c r="I891" s="9" t="s">
        <v>158</v>
      </c>
      <c r="J891" s="10">
        <v>176</v>
      </c>
      <c r="K891" s="10">
        <v>173.3</v>
      </c>
      <c r="L891" s="10">
        <v>108</v>
      </c>
      <c r="M891" s="10">
        <v>147</v>
      </c>
      <c r="N891" s="10">
        <v>145</v>
      </c>
      <c r="O891" s="10">
        <v>110</v>
      </c>
      <c r="P891" s="10">
        <v>135</v>
      </c>
      <c r="Q891" s="10">
        <v>17.7</v>
      </c>
      <c r="R891" s="10">
        <v>1781</v>
      </c>
      <c r="S891" s="10">
        <v>1.18</v>
      </c>
      <c r="T891" s="10">
        <v>2096</v>
      </c>
      <c r="U891" s="10">
        <v>247</v>
      </c>
      <c r="V891" s="10">
        <v>108</v>
      </c>
      <c r="W891" s="10">
        <v>57</v>
      </c>
      <c r="X891" s="10">
        <v>354</v>
      </c>
      <c r="Y891" s="10">
        <v>53</v>
      </c>
      <c r="Z891" s="10">
        <v>304</v>
      </c>
      <c r="AA891" s="10">
        <v>0.92400000000000004</v>
      </c>
      <c r="AB891" s="10">
        <v>128</v>
      </c>
      <c r="AC891" s="10">
        <v>137</v>
      </c>
      <c r="AD891" s="10">
        <v>226</v>
      </c>
      <c r="AE891" s="10">
        <v>3</v>
      </c>
      <c r="AF891" s="10">
        <v>8.5</v>
      </c>
      <c r="AG891" s="9" t="s">
        <v>184</v>
      </c>
      <c r="AH891" s="9" t="s">
        <v>169</v>
      </c>
      <c r="AI891" s="9" t="s">
        <v>185</v>
      </c>
      <c r="AJ891" s="10"/>
      <c r="AK891" s="30"/>
    </row>
    <row r="892" spans="5:37">
      <c r="E892" s="28" t="s">
        <v>155</v>
      </c>
      <c r="F892" s="8" t="s">
        <v>295</v>
      </c>
      <c r="G892" s="9" t="s">
        <v>458</v>
      </c>
      <c r="H892" s="10">
        <v>181</v>
      </c>
      <c r="I892" s="9" t="s">
        <v>158</v>
      </c>
      <c r="J892" s="10">
        <v>181</v>
      </c>
      <c r="K892" s="10">
        <v>178.5</v>
      </c>
      <c r="L892" s="10">
        <v>112</v>
      </c>
      <c r="M892" s="10">
        <v>153</v>
      </c>
      <c r="N892" s="10">
        <v>145</v>
      </c>
      <c r="O892" s="10">
        <v>111</v>
      </c>
      <c r="P892" s="10">
        <v>135</v>
      </c>
      <c r="Q892" s="10">
        <v>19.2</v>
      </c>
      <c r="R892" s="10">
        <v>1902</v>
      </c>
      <c r="S892" s="10">
        <v>1.1399999999999999</v>
      </c>
      <c r="T892" s="10">
        <v>2166</v>
      </c>
      <c r="U892" s="10">
        <v>277</v>
      </c>
      <c r="V892" s="10">
        <v>115</v>
      </c>
      <c r="W892" s="10">
        <v>56</v>
      </c>
      <c r="X892" s="10">
        <v>357</v>
      </c>
      <c r="Y892" s="10">
        <v>55</v>
      </c>
      <c r="Z892" s="10">
        <v>308</v>
      </c>
      <c r="AA892" s="10">
        <v>0.96799999999999997</v>
      </c>
      <c r="AB892" s="10">
        <v>127</v>
      </c>
      <c r="AC892" s="10">
        <v>130</v>
      </c>
      <c r="AD892" s="10">
        <v>230</v>
      </c>
      <c r="AE892" s="10">
        <v>3</v>
      </c>
      <c r="AF892" s="10">
        <v>9.4</v>
      </c>
      <c r="AG892" s="9" t="s">
        <v>184</v>
      </c>
      <c r="AH892" s="9" t="s">
        <v>169</v>
      </c>
      <c r="AI892" s="9" t="s">
        <v>185</v>
      </c>
      <c r="AJ892" s="10"/>
      <c r="AK892" s="30"/>
    </row>
    <row r="893" spans="5:37">
      <c r="E893" s="28" t="s">
        <v>155</v>
      </c>
      <c r="F893" s="8" t="s">
        <v>295</v>
      </c>
      <c r="G893" s="9" t="s">
        <v>296</v>
      </c>
      <c r="H893" s="10">
        <v>166</v>
      </c>
      <c r="I893" s="9" t="s">
        <v>158</v>
      </c>
      <c r="J893" s="10">
        <v>166</v>
      </c>
      <c r="K893" s="10">
        <v>165.1</v>
      </c>
      <c r="L893" s="10">
        <v>112</v>
      </c>
      <c r="M893" s="10">
        <v>135</v>
      </c>
      <c r="N893" s="10">
        <v>131</v>
      </c>
      <c r="O893" s="10">
        <v>96</v>
      </c>
      <c r="P893" s="10">
        <v>117</v>
      </c>
      <c r="Q893" s="10">
        <v>15.5</v>
      </c>
      <c r="R893" s="10">
        <v>1691</v>
      </c>
      <c r="S893" s="10">
        <v>1.04</v>
      </c>
      <c r="T893" s="10">
        <v>1757</v>
      </c>
      <c r="U893" s="10">
        <v>200</v>
      </c>
      <c r="V893" s="10">
        <v>94</v>
      </c>
      <c r="W893" s="10">
        <v>53</v>
      </c>
      <c r="X893" s="10">
        <v>308</v>
      </c>
      <c r="Y893" s="10">
        <v>17</v>
      </c>
      <c r="Z893" s="10">
        <v>228</v>
      </c>
      <c r="AA893" s="10">
        <v>0.32800000000000001</v>
      </c>
      <c r="AB893" s="10">
        <v>182</v>
      </c>
      <c r="AC893" s="10">
        <v>116</v>
      </c>
      <c r="AD893" s="10">
        <v>126</v>
      </c>
      <c r="AE893" s="10">
        <v>6</v>
      </c>
      <c r="AF893" s="10">
        <v>8.8000000000000007</v>
      </c>
      <c r="AG893" s="9" t="s">
        <v>188</v>
      </c>
      <c r="AH893" s="10"/>
      <c r="AI893" s="10"/>
      <c r="AJ893" s="10"/>
      <c r="AK893" s="30"/>
    </row>
    <row r="894" spans="5:37">
      <c r="E894" s="28" t="s">
        <v>155</v>
      </c>
      <c r="F894" s="8" t="s">
        <v>295</v>
      </c>
      <c r="G894" s="9" t="s">
        <v>296</v>
      </c>
      <c r="H894" s="10">
        <v>182</v>
      </c>
      <c r="I894" s="9" t="s">
        <v>158</v>
      </c>
      <c r="J894" s="10">
        <v>182</v>
      </c>
      <c r="K894" s="10">
        <v>180.9</v>
      </c>
      <c r="L894" s="10">
        <v>126</v>
      </c>
      <c r="M894" s="10">
        <v>151</v>
      </c>
      <c r="N894" s="10">
        <v>131</v>
      </c>
      <c r="O894" s="10">
        <v>96</v>
      </c>
      <c r="P894" s="10">
        <v>118</v>
      </c>
      <c r="Q894" s="10">
        <v>19.399999999999999</v>
      </c>
      <c r="R894" s="10">
        <v>1844</v>
      </c>
      <c r="S894" s="10">
        <v>1.05</v>
      </c>
      <c r="T894" s="10">
        <v>1930</v>
      </c>
      <c r="U894" s="10">
        <v>224</v>
      </c>
      <c r="V894" s="10">
        <v>100</v>
      </c>
      <c r="W894" s="10">
        <v>59</v>
      </c>
      <c r="X894" s="10">
        <v>320</v>
      </c>
      <c r="Y894" s="10">
        <v>19</v>
      </c>
      <c r="Z894" s="10">
        <v>231</v>
      </c>
      <c r="AA894" s="10">
        <v>0.32900000000000001</v>
      </c>
      <c r="AB894" s="10">
        <v>188</v>
      </c>
      <c r="AC894" s="10">
        <v>115</v>
      </c>
      <c r="AD894" s="10">
        <v>132</v>
      </c>
      <c r="AE894" s="10">
        <v>3</v>
      </c>
      <c r="AF894" s="10">
        <v>8.3000000000000007</v>
      </c>
      <c r="AG894" s="9" t="s">
        <v>188</v>
      </c>
      <c r="AH894" s="10"/>
      <c r="AI894" s="10"/>
      <c r="AJ894" s="10"/>
      <c r="AK894" s="30"/>
    </row>
    <row r="895" spans="5:37">
      <c r="E895" s="28" t="s">
        <v>155</v>
      </c>
      <c r="F895" s="8" t="s">
        <v>295</v>
      </c>
      <c r="G895" s="9" t="s">
        <v>803</v>
      </c>
      <c r="H895" s="10">
        <v>150</v>
      </c>
      <c r="I895" s="9" t="s">
        <v>163</v>
      </c>
      <c r="J895" s="10">
        <v>150</v>
      </c>
      <c r="K895" s="10">
        <v>148.69999999999999</v>
      </c>
      <c r="L895" s="10">
        <v>100</v>
      </c>
      <c r="M895" s="10">
        <v>120</v>
      </c>
      <c r="N895" s="10">
        <v>119</v>
      </c>
      <c r="O895" s="10">
        <v>84</v>
      </c>
      <c r="P895" s="10">
        <v>107</v>
      </c>
      <c r="Q895" s="10">
        <v>11.8</v>
      </c>
      <c r="R895" s="10">
        <v>1326</v>
      </c>
      <c r="S895" s="10">
        <v>1.08</v>
      </c>
      <c r="T895" s="10">
        <v>1426</v>
      </c>
      <c r="U895" s="10">
        <v>134</v>
      </c>
      <c r="V895" s="10">
        <v>57</v>
      </c>
      <c r="W895" s="10">
        <v>54</v>
      </c>
      <c r="X895" s="10">
        <v>308</v>
      </c>
      <c r="Y895" s="10">
        <v>11</v>
      </c>
      <c r="Z895" s="10">
        <v>183</v>
      </c>
      <c r="AA895" s="10">
        <v>0.19900000000000001</v>
      </c>
      <c r="AB895" s="10">
        <v>176</v>
      </c>
      <c r="AC895" s="10">
        <v>111</v>
      </c>
      <c r="AD895" s="10">
        <v>132</v>
      </c>
      <c r="AE895" s="10">
        <v>5</v>
      </c>
      <c r="AF895" s="10">
        <v>8.4</v>
      </c>
      <c r="AG895" s="9" t="s">
        <v>231</v>
      </c>
      <c r="AH895" s="9" t="s">
        <v>188</v>
      </c>
      <c r="AI895" s="9" t="s">
        <v>185</v>
      </c>
      <c r="AJ895" s="10"/>
      <c r="AK895" s="30"/>
    </row>
    <row r="896" spans="5:37">
      <c r="E896" s="28" t="s">
        <v>155</v>
      </c>
      <c r="F896" s="8" t="s">
        <v>295</v>
      </c>
      <c r="G896" s="9" t="s">
        <v>803</v>
      </c>
      <c r="H896" s="10">
        <v>155</v>
      </c>
      <c r="I896" s="9" t="s">
        <v>163</v>
      </c>
      <c r="J896" s="10">
        <v>155</v>
      </c>
      <c r="K896" s="10">
        <v>154.1</v>
      </c>
      <c r="L896" s="10">
        <v>99</v>
      </c>
      <c r="M896" s="10">
        <v>125</v>
      </c>
      <c r="N896" s="10">
        <v>120</v>
      </c>
      <c r="O896" s="10">
        <v>86</v>
      </c>
      <c r="P896" s="10">
        <v>107</v>
      </c>
      <c r="Q896" s="10">
        <v>12.9</v>
      </c>
      <c r="R896" s="10">
        <v>1407</v>
      </c>
      <c r="S896" s="10">
        <v>1.06</v>
      </c>
      <c r="T896" s="10">
        <v>1492</v>
      </c>
      <c r="U896" s="10">
        <v>151</v>
      </c>
      <c r="V896" s="10">
        <v>65</v>
      </c>
      <c r="W896" s="10">
        <v>57</v>
      </c>
      <c r="X896" s="10">
        <v>319</v>
      </c>
      <c r="Y896" s="10">
        <v>16</v>
      </c>
      <c r="Z896" s="10">
        <v>233</v>
      </c>
      <c r="AA896" s="10">
        <v>0.28999999999999998</v>
      </c>
      <c r="AB896" s="10">
        <v>184</v>
      </c>
      <c r="AC896" s="10">
        <v>109</v>
      </c>
      <c r="AD896" s="10">
        <v>135</v>
      </c>
      <c r="AE896" s="10">
        <v>5</v>
      </c>
      <c r="AF896" s="10">
        <v>8.1999999999999993</v>
      </c>
      <c r="AG896" s="9" t="s">
        <v>188</v>
      </c>
      <c r="AH896" s="9" t="s">
        <v>185</v>
      </c>
      <c r="AI896" s="10"/>
      <c r="AJ896" s="10"/>
      <c r="AK896" s="30"/>
    </row>
    <row r="897" spans="5:37">
      <c r="E897" s="28" t="s">
        <v>155</v>
      </c>
      <c r="F897" s="8" t="s">
        <v>295</v>
      </c>
      <c r="G897" s="9" t="s">
        <v>803</v>
      </c>
      <c r="H897" s="10">
        <v>162</v>
      </c>
      <c r="I897" s="9" t="s">
        <v>163</v>
      </c>
      <c r="J897" s="10">
        <v>162</v>
      </c>
      <c r="K897" s="10">
        <v>161.1</v>
      </c>
      <c r="L897" s="10">
        <v>106</v>
      </c>
      <c r="M897" s="10">
        <v>131</v>
      </c>
      <c r="N897" s="10">
        <v>120</v>
      </c>
      <c r="O897" s="10">
        <v>84</v>
      </c>
      <c r="P897" s="10">
        <v>107</v>
      </c>
      <c r="Q897" s="10">
        <v>14.6</v>
      </c>
      <c r="R897" s="10">
        <v>1465</v>
      </c>
      <c r="S897" s="10">
        <v>1.05</v>
      </c>
      <c r="T897" s="10">
        <v>1542</v>
      </c>
      <c r="U897" s="10">
        <v>162</v>
      </c>
      <c r="V897" s="10">
        <v>73</v>
      </c>
      <c r="W897" s="10">
        <v>57</v>
      </c>
      <c r="X897" s="10">
        <v>321</v>
      </c>
      <c r="Y897" s="10">
        <v>18</v>
      </c>
      <c r="Z897" s="10">
        <v>234</v>
      </c>
      <c r="AA897" s="10">
        <v>0.32200000000000001</v>
      </c>
      <c r="AB897" s="10">
        <v>190</v>
      </c>
      <c r="AC897" s="10">
        <v>108</v>
      </c>
      <c r="AD897" s="10">
        <v>131</v>
      </c>
      <c r="AE897" s="10">
        <v>5</v>
      </c>
      <c r="AF897" s="10">
        <v>8.4</v>
      </c>
      <c r="AG897" s="9" t="s">
        <v>231</v>
      </c>
      <c r="AH897" s="9" t="s">
        <v>188</v>
      </c>
      <c r="AI897" s="9" t="s">
        <v>185</v>
      </c>
      <c r="AJ897" s="10"/>
      <c r="AK897" s="30"/>
    </row>
    <row r="898" spans="5:37">
      <c r="E898" s="28" t="s">
        <v>155</v>
      </c>
      <c r="F898" s="8" t="s">
        <v>295</v>
      </c>
      <c r="G898" s="9" t="s">
        <v>608</v>
      </c>
      <c r="H898" s="10">
        <v>155</v>
      </c>
      <c r="I898" s="9" t="s">
        <v>163</v>
      </c>
      <c r="J898" s="10">
        <v>155</v>
      </c>
      <c r="K898" s="10">
        <v>154.19999999999999</v>
      </c>
      <c r="L898" s="10">
        <v>98</v>
      </c>
      <c r="M898" s="10">
        <v>125</v>
      </c>
      <c r="N898" s="10">
        <v>130</v>
      </c>
      <c r="O898" s="10">
        <v>95</v>
      </c>
      <c r="P898" s="10">
        <v>117</v>
      </c>
      <c r="Q898" s="10">
        <v>13.1</v>
      </c>
      <c r="R898" s="10">
        <v>1500</v>
      </c>
      <c r="S898" s="10">
        <v>1.0900000000000001</v>
      </c>
      <c r="T898" s="10">
        <v>1641</v>
      </c>
      <c r="U898" s="10">
        <v>165</v>
      </c>
      <c r="V898" s="10">
        <v>70</v>
      </c>
      <c r="W898" s="10">
        <v>56</v>
      </c>
      <c r="X898" s="10">
        <v>322</v>
      </c>
      <c r="Y898" s="10">
        <v>18</v>
      </c>
      <c r="Z898" s="10">
        <v>239</v>
      </c>
      <c r="AA898" s="10">
        <v>0.314</v>
      </c>
      <c r="AB898" s="10">
        <v>187</v>
      </c>
      <c r="AC898" s="10">
        <v>109</v>
      </c>
      <c r="AD898" s="10">
        <v>135</v>
      </c>
      <c r="AE898" s="10">
        <v>4</v>
      </c>
      <c r="AF898" s="10">
        <v>8.1999999999999993</v>
      </c>
      <c r="AG898" s="9" t="s">
        <v>188</v>
      </c>
      <c r="AH898" s="9" t="s">
        <v>185</v>
      </c>
      <c r="AI898" s="10"/>
      <c r="AJ898" s="10"/>
      <c r="AK898" s="30"/>
    </row>
    <row r="899" spans="5:37">
      <c r="E899" s="28" t="s">
        <v>155</v>
      </c>
      <c r="F899" s="8" t="s">
        <v>295</v>
      </c>
      <c r="G899" s="9" t="s">
        <v>608</v>
      </c>
      <c r="H899" s="10">
        <v>162</v>
      </c>
      <c r="I899" s="9" t="s">
        <v>163</v>
      </c>
      <c r="J899" s="10">
        <v>162</v>
      </c>
      <c r="K899" s="10">
        <v>161.4</v>
      </c>
      <c r="L899" s="10">
        <v>109</v>
      </c>
      <c r="M899" s="10">
        <v>133</v>
      </c>
      <c r="N899" s="10">
        <v>130</v>
      </c>
      <c r="O899" s="10">
        <v>96</v>
      </c>
      <c r="P899" s="10">
        <v>117</v>
      </c>
      <c r="Q899" s="10">
        <v>14.7</v>
      </c>
      <c r="R899" s="10">
        <v>1694</v>
      </c>
      <c r="S899" s="10">
        <v>1.01</v>
      </c>
      <c r="T899" s="10">
        <v>1716</v>
      </c>
      <c r="U899" s="10">
        <v>185</v>
      </c>
      <c r="V899" s="10">
        <v>80</v>
      </c>
      <c r="W899" s="10">
        <v>51</v>
      </c>
      <c r="X899" s="10">
        <v>304</v>
      </c>
      <c r="Y899" s="10">
        <v>15</v>
      </c>
      <c r="Z899" s="10">
        <v>223</v>
      </c>
      <c r="AA899" s="10">
        <v>0.29499999999999998</v>
      </c>
      <c r="AB899" s="10">
        <v>178</v>
      </c>
      <c r="AC899" s="10">
        <v>110</v>
      </c>
      <c r="AD899" s="10">
        <v>126</v>
      </c>
      <c r="AE899" s="10">
        <v>7</v>
      </c>
      <c r="AF899" s="10">
        <v>8.1999999999999993</v>
      </c>
      <c r="AG899" s="9" t="s">
        <v>188</v>
      </c>
      <c r="AH899" s="10"/>
      <c r="AI899" s="10"/>
      <c r="AJ899" s="10"/>
      <c r="AK899" s="30"/>
    </row>
    <row r="900" spans="5:37">
      <c r="E900" s="28" t="s">
        <v>155</v>
      </c>
      <c r="F900" s="8" t="s">
        <v>561</v>
      </c>
      <c r="G900" s="9" t="s">
        <v>631</v>
      </c>
      <c r="H900" s="10">
        <v>178</v>
      </c>
      <c r="I900" s="9" t="s">
        <v>158</v>
      </c>
      <c r="J900" s="10">
        <v>178</v>
      </c>
      <c r="K900" s="10">
        <v>176</v>
      </c>
      <c r="L900" s="10">
        <v>130</v>
      </c>
      <c r="M900" s="10">
        <v>143</v>
      </c>
      <c r="N900" s="10">
        <v>118</v>
      </c>
      <c r="O900" s="10">
        <v>97</v>
      </c>
      <c r="P900" s="10">
        <v>117</v>
      </c>
      <c r="Q900" s="10">
        <v>20.9</v>
      </c>
      <c r="R900" s="10">
        <v>1901</v>
      </c>
      <c r="S900" s="10">
        <v>0.97</v>
      </c>
      <c r="T900" s="10">
        <v>1852</v>
      </c>
      <c r="U900" s="10">
        <v>167</v>
      </c>
      <c r="V900" s="10">
        <v>58</v>
      </c>
      <c r="W900" s="10">
        <v>43</v>
      </c>
      <c r="X900" s="10">
        <v>224</v>
      </c>
      <c r="Y900" s="10">
        <v>45</v>
      </c>
      <c r="Z900" s="10">
        <v>237</v>
      </c>
      <c r="AA900" s="10">
        <v>1.042</v>
      </c>
      <c r="AB900" s="10">
        <v>188</v>
      </c>
      <c r="AC900" s="10">
        <v>140</v>
      </c>
      <c r="AD900" s="10">
        <v>36</v>
      </c>
      <c r="AE900" s="10">
        <v>8</v>
      </c>
      <c r="AF900" s="10">
        <v>4.5</v>
      </c>
      <c r="AG900" s="9" t="s">
        <v>184</v>
      </c>
      <c r="AH900" s="10"/>
      <c r="AI900" s="10"/>
      <c r="AJ900" s="10"/>
      <c r="AK900" s="30"/>
    </row>
    <row r="901" spans="5:37">
      <c r="E901" s="28" t="s">
        <v>155</v>
      </c>
      <c r="F901" s="8" t="s">
        <v>561</v>
      </c>
      <c r="G901" s="9" t="s">
        <v>631</v>
      </c>
      <c r="H901" s="10">
        <v>184</v>
      </c>
      <c r="I901" s="9" t="s">
        <v>158</v>
      </c>
      <c r="J901" s="10">
        <v>184</v>
      </c>
      <c r="K901" s="10">
        <v>181.8</v>
      </c>
      <c r="L901" s="10">
        <v>134</v>
      </c>
      <c r="M901" s="10">
        <v>147</v>
      </c>
      <c r="N901" s="10">
        <v>119</v>
      </c>
      <c r="O901" s="10">
        <v>97</v>
      </c>
      <c r="P901" s="10">
        <v>117</v>
      </c>
      <c r="Q901" s="10">
        <v>22.9</v>
      </c>
      <c r="R901" s="10">
        <v>2079</v>
      </c>
      <c r="S901" s="10">
        <v>0.92</v>
      </c>
      <c r="T901" s="10">
        <v>1918</v>
      </c>
      <c r="U901" s="10">
        <v>232</v>
      </c>
      <c r="V901" s="10">
        <v>80</v>
      </c>
      <c r="W901" s="10">
        <v>46</v>
      </c>
      <c r="X901" s="10">
        <v>240</v>
      </c>
      <c r="Y901" s="10">
        <v>44</v>
      </c>
      <c r="Z901" s="10">
        <v>240</v>
      </c>
      <c r="AA901" s="10">
        <v>0.97599999999999998</v>
      </c>
      <c r="AB901" s="10">
        <v>188</v>
      </c>
      <c r="AC901" s="10">
        <v>165</v>
      </c>
      <c r="AD901" s="10">
        <v>52</v>
      </c>
      <c r="AE901" s="10">
        <v>6</v>
      </c>
      <c r="AF901" s="10">
        <v>3.3</v>
      </c>
      <c r="AG901" s="9" t="s">
        <v>184</v>
      </c>
      <c r="AH901" s="10"/>
      <c r="AI901" s="10"/>
      <c r="AJ901" s="10"/>
      <c r="AK901" s="30"/>
    </row>
    <row r="902" spans="5:37">
      <c r="E902" s="28" t="s">
        <v>155</v>
      </c>
      <c r="F902" s="8" t="s">
        <v>561</v>
      </c>
      <c r="G902" s="9" t="s">
        <v>867</v>
      </c>
      <c r="H902" s="10">
        <v>183</v>
      </c>
      <c r="I902" s="9" t="s">
        <v>158</v>
      </c>
      <c r="J902" s="10">
        <v>183</v>
      </c>
      <c r="K902" s="10">
        <v>180.7</v>
      </c>
      <c r="L902" s="10">
        <v>116</v>
      </c>
      <c r="M902" s="10">
        <v>140</v>
      </c>
      <c r="N902" s="10">
        <v>142</v>
      </c>
      <c r="O902" s="10">
        <v>117</v>
      </c>
      <c r="P902" s="10">
        <v>132</v>
      </c>
      <c r="Q902" s="10">
        <v>20.100000000000001</v>
      </c>
      <c r="R902" s="10">
        <v>2414</v>
      </c>
      <c r="S902" s="10">
        <v>0.93</v>
      </c>
      <c r="T902" s="10">
        <v>2255</v>
      </c>
      <c r="U902" s="10">
        <v>225</v>
      </c>
      <c r="V902" s="10">
        <v>86</v>
      </c>
      <c r="W902" s="10">
        <v>62</v>
      </c>
      <c r="X902" s="10">
        <v>438</v>
      </c>
      <c r="Y902" s="10">
        <v>35</v>
      </c>
      <c r="Z902" s="10">
        <v>213</v>
      </c>
      <c r="AA902" s="10">
        <v>0.56999999999999995</v>
      </c>
      <c r="AB902" s="10">
        <v>205</v>
      </c>
      <c r="AC902" s="10">
        <v>205</v>
      </c>
      <c r="AD902" s="10">
        <v>233</v>
      </c>
      <c r="AE902" s="10">
        <v>5</v>
      </c>
      <c r="AF902" s="10">
        <v>7.8</v>
      </c>
      <c r="AG902" s="9" t="s">
        <v>169</v>
      </c>
      <c r="AH902" s="10"/>
      <c r="AI902" s="10"/>
      <c r="AJ902" s="10"/>
      <c r="AK902" s="30"/>
    </row>
    <row r="903" spans="5:37">
      <c r="E903" s="28" t="s">
        <v>155</v>
      </c>
      <c r="F903" s="8" t="s">
        <v>561</v>
      </c>
      <c r="G903" s="9" t="s">
        <v>761</v>
      </c>
      <c r="H903" s="10">
        <v>183</v>
      </c>
      <c r="I903" s="9" t="s">
        <v>158</v>
      </c>
      <c r="J903" s="10">
        <v>183</v>
      </c>
      <c r="K903" s="10">
        <v>180.8</v>
      </c>
      <c r="L903" s="10">
        <v>110</v>
      </c>
      <c r="M903" s="10">
        <v>145</v>
      </c>
      <c r="N903" s="10">
        <v>134</v>
      </c>
      <c r="O903" s="10">
        <v>106</v>
      </c>
      <c r="P903" s="10">
        <v>124</v>
      </c>
      <c r="Q903" s="10">
        <v>18.8</v>
      </c>
      <c r="R903" s="10">
        <v>2292</v>
      </c>
      <c r="S903" s="10">
        <v>0.91</v>
      </c>
      <c r="T903" s="10">
        <v>2087</v>
      </c>
      <c r="U903" s="10">
        <v>227</v>
      </c>
      <c r="V903" s="10">
        <v>117</v>
      </c>
      <c r="W903" s="10">
        <v>59</v>
      </c>
      <c r="X903" s="10">
        <v>444</v>
      </c>
      <c r="Y903" s="10">
        <v>39</v>
      </c>
      <c r="Z903" s="10">
        <v>265</v>
      </c>
      <c r="AA903" s="10">
        <v>0.65800000000000003</v>
      </c>
      <c r="AB903" s="10">
        <v>182</v>
      </c>
      <c r="AC903" s="10">
        <v>176</v>
      </c>
      <c r="AD903" s="10">
        <v>262</v>
      </c>
      <c r="AE903" s="10">
        <v>3</v>
      </c>
      <c r="AF903" s="10">
        <v>7.6</v>
      </c>
      <c r="AG903" s="9" t="s">
        <v>169</v>
      </c>
      <c r="AH903" s="10"/>
      <c r="AI903" s="10"/>
      <c r="AJ903" s="10"/>
      <c r="AK903" s="30"/>
    </row>
    <row r="904" spans="5:37">
      <c r="E904" s="28" t="s">
        <v>155</v>
      </c>
      <c r="F904" s="8" t="s">
        <v>561</v>
      </c>
      <c r="G904" s="9" t="s">
        <v>750</v>
      </c>
      <c r="H904" s="10">
        <v>181</v>
      </c>
      <c r="I904" s="9" t="s">
        <v>158</v>
      </c>
      <c r="J904" s="10">
        <v>181</v>
      </c>
      <c r="K904" s="10">
        <v>179</v>
      </c>
      <c r="L904" s="10">
        <v>124</v>
      </c>
      <c r="M904" s="10">
        <v>151</v>
      </c>
      <c r="N904" s="10">
        <v>132</v>
      </c>
      <c r="O904" s="10">
        <v>98</v>
      </c>
      <c r="P904" s="10">
        <v>117</v>
      </c>
      <c r="Q904" s="10">
        <v>19.3</v>
      </c>
      <c r="R904" s="10">
        <v>2105</v>
      </c>
      <c r="S904" s="10">
        <v>0.92</v>
      </c>
      <c r="T904" s="10">
        <v>1944</v>
      </c>
      <c r="U904" s="10">
        <v>232</v>
      </c>
      <c r="V904" s="10">
        <v>126</v>
      </c>
      <c r="W904" s="10">
        <v>56</v>
      </c>
      <c r="X904" s="10">
        <v>319</v>
      </c>
      <c r="Y904" s="10">
        <v>29</v>
      </c>
      <c r="Z904" s="10">
        <v>232</v>
      </c>
      <c r="AA904" s="10">
        <v>0.51500000000000001</v>
      </c>
      <c r="AB904" s="10">
        <v>128</v>
      </c>
      <c r="AC904" s="10">
        <v>154</v>
      </c>
      <c r="AD904" s="10">
        <v>192</v>
      </c>
      <c r="AE904" s="10">
        <v>4</v>
      </c>
      <c r="AF904" s="10">
        <v>8</v>
      </c>
      <c r="AG904" s="9" t="s">
        <v>188</v>
      </c>
      <c r="AH904" s="10"/>
      <c r="AI904" s="10"/>
      <c r="AJ904" s="10"/>
      <c r="AK904" s="30"/>
    </row>
    <row r="905" spans="5:37">
      <c r="E905" s="28" t="s">
        <v>155</v>
      </c>
      <c r="F905" s="8" t="s">
        <v>561</v>
      </c>
      <c r="G905" s="9" t="s">
        <v>740</v>
      </c>
      <c r="H905" s="10">
        <v>180</v>
      </c>
      <c r="I905" s="9" t="s">
        <v>158</v>
      </c>
      <c r="J905" s="10">
        <v>180</v>
      </c>
      <c r="K905" s="10">
        <v>177.4</v>
      </c>
      <c r="L905" s="10">
        <v>108</v>
      </c>
      <c r="M905" s="10">
        <v>141</v>
      </c>
      <c r="N905" s="10">
        <v>136</v>
      </c>
      <c r="O905" s="10">
        <v>105</v>
      </c>
      <c r="P905" s="10">
        <v>125</v>
      </c>
      <c r="Q905" s="10">
        <v>17.7</v>
      </c>
      <c r="R905" s="10">
        <v>2242</v>
      </c>
      <c r="S905" s="10">
        <v>0.91</v>
      </c>
      <c r="T905" s="10">
        <v>2040</v>
      </c>
      <c r="U905" s="10">
        <v>225</v>
      </c>
      <c r="V905" s="10">
        <v>127</v>
      </c>
      <c r="W905" s="10">
        <v>57</v>
      </c>
      <c r="X905" s="10">
        <v>408</v>
      </c>
      <c r="Y905" s="10">
        <v>49</v>
      </c>
      <c r="Z905" s="10">
        <v>283</v>
      </c>
      <c r="AA905" s="10">
        <v>0.85399999999999998</v>
      </c>
      <c r="AB905" s="10">
        <v>164</v>
      </c>
      <c r="AC905" s="10">
        <v>205</v>
      </c>
      <c r="AD905" s="10">
        <v>244</v>
      </c>
      <c r="AE905" s="10">
        <v>3</v>
      </c>
      <c r="AF905" s="10">
        <v>5.7</v>
      </c>
      <c r="AG905" s="9" t="s">
        <v>184</v>
      </c>
      <c r="AH905" s="9" t="s">
        <v>169</v>
      </c>
      <c r="AI905" s="10"/>
      <c r="AJ905" s="10"/>
      <c r="AK905" s="30"/>
    </row>
    <row r="906" spans="5:37">
      <c r="E906" s="28" t="s">
        <v>155</v>
      </c>
      <c r="F906" s="8" t="s">
        <v>561</v>
      </c>
      <c r="G906" s="9" t="s">
        <v>568</v>
      </c>
      <c r="H906" s="10">
        <v>182</v>
      </c>
      <c r="I906" s="9" t="s">
        <v>158</v>
      </c>
      <c r="J906" s="10">
        <v>182</v>
      </c>
      <c r="K906" s="10">
        <v>179.9</v>
      </c>
      <c r="L906" s="10">
        <v>113</v>
      </c>
      <c r="M906" s="10">
        <v>147</v>
      </c>
      <c r="N906" s="10">
        <v>136</v>
      </c>
      <c r="O906" s="10">
        <v>109</v>
      </c>
      <c r="P906" s="10">
        <v>128</v>
      </c>
      <c r="Q906" s="10">
        <v>20.399999999999999</v>
      </c>
      <c r="R906" s="10">
        <v>1946</v>
      </c>
      <c r="S906" s="10">
        <v>1.1000000000000001</v>
      </c>
      <c r="T906" s="10">
        <v>2132</v>
      </c>
      <c r="U906" s="10">
        <v>212</v>
      </c>
      <c r="V906" s="10">
        <v>99</v>
      </c>
      <c r="W906" s="10">
        <v>60</v>
      </c>
      <c r="X906" s="10">
        <v>447</v>
      </c>
      <c r="Y906" s="10">
        <v>30</v>
      </c>
      <c r="Z906" s="10">
        <v>218</v>
      </c>
      <c r="AA906" s="10">
        <v>0.501</v>
      </c>
      <c r="AB906" s="10">
        <v>175</v>
      </c>
      <c r="AC906" s="10">
        <v>151</v>
      </c>
      <c r="AD906" s="10">
        <v>271</v>
      </c>
      <c r="AE906" s="10">
        <v>5</v>
      </c>
      <c r="AF906" s="10">
        <v>8</v>
      </c>
      <c r="AG906" s="9" t="s">
        <v>169</v>
      </c>
      <c r="AH906" s="9" t="s">
        <v>185</v>
      </c>
      <c r="AI906" s="10"/>
      <c r="AJ906" s="10"/>
      <c r="AK906" s="30"/>
    </row>
    <row r="907" spans="5:37">
      <c r="E907" s="28" t="s">
        <v>155</v>
      </c>
      <c r="F907" s="8" t="s">
        <v>561</v>
      </c>
      <c r="G907" s="9" t="s">
        <v>568</v>
      </c>
      <c r="H907" s="10">
        <v>188</v>
      </c>
      <c r="I907" s="9" t="s">
        <v>158</v>
      </c>
      <c r="J907" s="10">
        <v>188</v>
      </c>
      <c r="K907" s="10">
        <v>185.4</v>
      </c>
      <c r="L907" s="10">
        <v>118</v>
      </c>
      <c r="M907" s="10">
        <v>151</v>
      </c>
      <c r="N907" s="10">
        <v>136</v>
      </c>
      <c r="O907" s="10">
        <v>109</v>
      </c>
      <c r="P907" s="10">
        <v>127</v>
      </c>
      <c r="Q907" s="10">
        <v>21.7</v>
      </c>
      <c r="R907" s="10">
        <v>1991</v>
      </c>
      <c r="S907" s="10">
        <v>1.1000000000000001</v>
      </c>
      <c r="T907" s="10">
        <v>2196</v>
      </c>
      <c r="U907" s="10">
        <v>227</v>
      </c>
      <c r="V907" s="10">
        <v>102</v>
      </c>
      <c r="W907" s="10">
        <v>57</v>
      </c>
      <c r="X907" s="10">
        <v>467</v>
      </c>
      <c r="Y907" s="10">
        <v>29</v>
      </c>
      <c r="Z907" s="10">
        <v>207</v>
      </c>
      <c r="AA907" s="10">
        <v>0.51200000000000001</v>
      </c>
      <c r="AB907" s="10">
        <v>172</v>
      </c>
      <c r="AC907" s="10">
        <v>169</v>
      </c>
      <c r="AD907" s="10">
        <v>295</v>
      </c>
      <c r="AE907" s="10">
        <v>3</v>
      </c>
      <c r="AF907" s="10">
        <v>8.3000000000000007</v>
      </c>
      <c r="AG907" s="9" t="s">
        <v>169</v>
      </c>
      <c r="AH907" s="9" t="s">
        <v>185</v>
      </c>
      <c r="AI907" s="10"/>
      <c r="AJ907" s="10"/>
      <c r="AK907" s="30"/>
    </row>
    <row r="908" spans="5:37">
      <c r="E908" s="28" t="s">
        <v>155</v>
      </c>
      <c r="F908" s="8" t="s">
        <v>561</v>
      </c>
      <c r="G908" s="9" t="s">
        <v>765</v>
      </c>
      <c r="H908" s="10">
        <v>186</v>
      </c>
      <c r="I908" s="9" t="s">
        <v>158</v>
      </c>
      <c r="J908" s="10">
        <v>186</v>
      </c>
      <c r="K908" s="10">
        <v>183.7</v>
      </c>
      <c r="L908" s="10">
        <v>114</v>
      </c>
      <c r="M908" s="10">
        <v>149</v>
      </c>
      <c r="N908" s="10">
        <v>126</v>
      </c>
      <c r="O908" s="10">
        <v>103</v>
      </c>
      <c r="P908" s="10">
        <v>122</v>
      </c>
      <c r="Q908" s="10">
        <v>23</v>
      </c>
      <c r="R908" s="10">
        <v>2069</v>
      </c>
      <c r="S908" s="10">
        <v>0.99</v>
      </c>
      <c r="T908" s="10">
        <v>2047</v>
      </c>
      <c r="U908" s="10">
        <v>206</v>
      </c>
      <c r="V908" s="10">
        <v>71</v>
      </c>
      <c r="W908" s="10">
        <v>57</v>
      </c>
      <c r="X908" s="10">
        <v>477</v>
      </c>
      <c r="Y908" s="10">
        <v>42</v>
      </c>
      <c r="Z908" s="10">
        <v>223</v>
      </c>
      <c r="AA908" s="10">
        <v>0.73</v>
      </c>
      <c r="AB908" s="10">
        <v>177</v>
      </c>
      <c r="AC908" s="10">
        <v>168</v>
      </c>
      <c r="AD908" s="10">
        <v>300</v>
      </c>
      <c r="AE908" s="10">
        <v>3</v>
      </c>
      <c r="AF908" s="10">
        <v>4.8</v>
      </c>
      <c r="AG908" s="9" t="s">
        <v>188</v>
      </c>
      <c r="AH908" s="9" t="s">
        <v>169</v>
      </c>
      <c r="AI908" s="10"/>
      <c r="AJ908" s="10"/>
      <c r="AK908" s="30"/>
    </row>
    <row r="909" spans="5:37">
      <c r="E909" s="28" t="s">
        <v>155</v>
      </c>
      <c r="F909" s="8" t="s">
        <v>561</v>
      </c>
      <c r="G909" s="9" t="s">
        <v>562</v>
      </c>
      <c r="H909" s="10">
        <v>178</v>
      </c>
      <c r="I909" s="9" t="s">
        <v>158</v>
      </c>
      <c r="J909" s="10">
        <v>178</v>
      </c>
      <c r="K909" s="10">
        <v>175.6</v>
      </c>
      <c r="L909" s="10">
        <v>122</v>
      </c>
      <c r="M909" s="10">
        <v>147</v>
      </c>
      <c r="N909" s="10">
        <v>113</v>
      </c>
      <c r="O909" s="10">
        <v>89</v>
      </c>
      <c r="P909" s="10">
        <v>110</v>
      </c>
      <c r="Q909" s="10">
        <v>21.4</v>
      </c>
      <c r="R909" s="10">
        <v>1856</v>
      </c>
      <c r="S909" s="10">
        <v>0.92</v>
      </c>
      <c r="T909" s="10">
        <v>1716</v>
      </c>
      <c r="U909" s="10">
        <v>194</v>
      </c>
      <c r="V909" s="10">
        <v>79</v>
      </c>
      <c r="W909" s="10">
        <v>50</v>
      </c>
      <c r="X909" s="10">
        <v>266</v>
      </c>
      <c r="Y909" s="10">
        <v>49</v>
      </c>
      <c r="Z909" s="10">
        <v>271</v>
      </c>
      <c r="AA909" s="10">
        <v>0.97699999999999998</v>
      </c>
      <c r="AB909" s="10">
        <v>136</v>
      </c>
      <c r="AC909" s="10">
        <v>148</v>
      </c>
      <c r="AD909" s="10">
        <v>130</v>
      </c>
      <c r="AE909" s="10">
        <v>4</v>
      </c>
      <c r="AF909" s="10">
        <v>0.3</v>
      </c>
      <c r="AG909" s="9" t="s">
        <v>184</v>
      </c>
      <c r="AH909" s="10"/>
      <c r="AI909" s="10"/>
      <c r="AJ909" s="10"/>
      <c r="AK909" s="30"/>
    </row>
    <row r="910" spans="5:37">
      <c r="E910" s="28" t="s">
        <v>155</v>
      </c>
      <c r="F910" s="8" t="s">
        <v>1160</v>
      </c>
      <c r="G910" s="9" t="s">
        <v>906</v>
      </c>
      <c r="H910" s="10">
        <v>177</v>
      </c>
      <c r="I910" s="9" t="s">
        <v>158</v>
      </c>
      <c r="J910" s="10">
        <v>177</v>
      </c>
      <c r="K910" s="10">
        <v>177.5</v>
      </c>
      <c r="L910" s="10">
        <v>154</v>
      </c>
      <c r="M910" s="10">
        <v>165</v>
      </c>
      <c r="N910" s="10">
        <v>123</v>
      </c>
      <c r="O910" s="10">
        <v>78</v>
      </c>
      <c r="P910" s="10">
        <v>109</v>
      </c>
      <c r="Q910" s="10">
        <v>17.7</v>
      </c>
      <c r="R910" s="10">
        <v>2146</v>
      </c>
      <c r="S910" s="10">
        <v>0.76</v>
      </c>
      <c r="T910" s="10">
        <v>1624</v>
      </c>
      <c r="U910" s="10">
        <v>249</v>
      </c>
      <c r="V910" s="10">
        <v>174</v>
      </c>
      <c r="W910" s="10">
        <v>35</v>
      </c>
      <c r="X910" s="10">
        <v>166</v>
      </c>
      <c r="Y910" s="10">
        <v>7</v>
      </c>
      <c r="Z910" s="10">
        <v>73</v>
      </c>
      <c r="AA910" s="10">
        <v>0.20399999999999999</v>
      </c>
      <c r="AB910" s="10">
        <v>81</v>
      </c>
      <c r="AC910" s="10">
        <v>43</v>
      </c>
      <c r="AD910" s="10">
        <v>85</v>
      </c>
      <c r="AE910" s="10">
        <v>9</v>
      </c>
      <c r="AF910" s="10">
        <v>10.1</v>
      </c>
      <c r="AG910" s="9" t="s">
        <v>349</v>
      </c>
      <c r="AH910" s="10"/>
      <c r="AI910" s="10"/>
      <c r="AJ910" s="10"/>
      <c r="AK910" s="30"/>
    </row>
    <row r="911" spans="5:37">
      <c r="E911" s="28" t="s">
        <v>155</v>
      </c>
      <c r="F911" s="8" t="s">
        <v>1160</v>
      </c>
      <c r="G911" s="9" t="s">
        <v>583</v>
      </c>
      <c r="H911" s="10">
        <v>156</v>
      </c>
      <c r="I911" s="9" t="s">
        <v>158</v>
      </c>
      <c r="J911" s="10">
        <v>156</v>
      </c>
      <c r="K911" s="10">
        <v>157</v>
      </c>
      <c r="L911" s="10">
        <v>131</v>
      </c>
      <c r="M911" s="10">
        <v>144</v>
      </c>
      <c r="N911" s="10">
        <v>124</v>
      </c>
      <c r="O911" s="10">
        <v>77</v>
      </c>
      <c r="P911" s="10">
        <v>111</v>
      </c>
      <c r="Q911" s="10">
        <v>12.6</v>
      </c>
      <c r="R911" s="10">
        <v>1719</v>
      </c>
      <c r="S911" s="10">
        <v>0.84</v>
      </c>
      <c r="T911" s="10">
        <v>1451</v>
      </c>
      <c r="U911" s="10">
        <v>151</v>
      </c>
      <c r="V911" s="10">
        <v>73</v>
      </c>
      <c r="W911" s="10">
        <v>29</v>
      </c>
      <c r="X911" s="10">
        <v>166</v>
      </c>
      <c r="Y911" s="10">
        <v>9</v>
      </c>
      <c r="Z911" s="10">
        <v>93</v>
      </c>
      <c r="AA911" s="10">
        <v>0.30499999999999999</v>
      </c>
      <c r="AB911" s="10">
        <v>82</v>
      </c>
      <c r="AC911" s="10">
        <v>44</v>
      </c>
      <c r="AD911" s="10">
        <v>84</v>
      </c>
      <c r="AE911" s="10">
        <v>7</v>
      </c>
      <c r="AF911" s="10">
        <v>10</v>
      </c>
      <c r="AG911" s="9" t="s">
        <v>349</v>
      </c>
      <c r="AH911" s="10"/>
      <c r="AI911" s="10"/>
      <c r="AJ911" s="10"/>
      <c r="AK911" s="30"/>
    </row>
    <row r="912" spans="5:37">
      <c r="E912" s="28" t="s">
        <v>155</v>
      </c>
      <c r="F912" s="8" t="s">
        <v>1160</v>
      </c>
      <c r="G912" s="9" t="s">
        <v>583</v>
      </c>
      <c r="H912" s="10">
        <v>163</v>
      </c>
      <c r="I912" s="9" t="s">
        <v>158</v>
      </c>
      <c r="J912" s="10">
        <v>163</v>
      </c>
      <c r="K912" s="10">
        <v>163.6</v>
      </c>
      <c r="L912" s="10">
        <v>144</v>
      </c>
      <c r="M912" s="10">
        <v>151</v>
      </c>
      <c r="N912" s="10">
        <v>124</v>
      </c>
      <c r="O912" s="10">
        <v>77</v>
      </c>
      <c r="P912" s="10">
        <v>110</v>
      </c>
      <c r="Q912" s="10">
        <v>14.1</v>
      </c>
      <c r="R912" s="10">
        <v>1784</v>
      </c>
      <c r="S912" s="10">
        <v>0.85</v>
      </c>
      <c r="T912" s="10">
        <v>1508</v>
      </c>
      <c r="U912" s="10">
        <v>183</v>
      </c>
      <c r="V912" s="10">
        <v>90</v>
      </c>
      <c r="W912" s="10">
        <v>33</v>
      </c>
      <c r="X912" s="10">
        <v>129</v>
      </c>
      <c r="Y912" s="10">
        <v>7</v>
      </c>
      <c r="Z912" s="10">
        <v>63</v>
      </c>
      <c r="AA912" s="10">
        <v>0.2</v>
      </c>
      <c r="AB912" s="10">
        <v>80</v>
      </c>
      <c r="AC912" s="10">
        <v>41</v>
      </c>
      <c r="AD912" s="10">
        <v>48</v>
      </c>
      <c r="AE912" s="10">
        <v>10</v>
      </c>
      <c r="AF912" s="10">
        <v>10.4</v>
      </c>
      <c r="AG912" s="9" t="s">
        <v>349</v>
      </c>
      <c r="AH912" s="10"/>
      <c r="AI912" s="10"/>
      <c r="AJ912" s="10"/>
      <c r="AK912" s="30"/>
    </row>
    <row r="913" spans="5:37">
      <c r="E913" s="28" t="s">
        <v>155</v>
      </c>
      <c r="F913" s="8" t="s">
        <v>1160</v>
      </c>
      <c r="G913" s="9" t="s">
        <v>583</v>
      </c>
      <c r="H913" s="10">
        <v>170</v>
      </c>
      <c r="I913" s="9" t="s">
        <v>158</v>
      </c>
      <c r="J913" s="10">
        <v>170</v>
      </c>
      <c r="K913" s="10">
        <v>170.7</v>
      </c>
      <c r="L913" s="10">
        <v>150</v>
      </c>
      <c r="M913" s="10">
        <v>159</v>
      </c>
      <c r="N913" s="10">
        <v>124</v>
      </c>
      <c r="O913" s="10">
        <v>77</v>
      </c>
      <c r="P913" s="10">
        <v>110</v>
      </c>
      <c r="Q913" s="10">
        <v>15.4</v>
      </c>
      <c r="R913" s="10">
        <v>1835</v>
      </c>
      <c r="S913" s="10">
        <v>0.86</v>
      </c>
      <c r="T913" s="10">
        <v>1572</v>
      </c>
      <c r="U913" s="10">
        <v>205</v>
      </c>
      <c r="V913" s="10">
        <v>93</v>
      </c>
      <c r="W913" s="10">
        <v>33</v>
      </c>
      <c r="X913" s="10">
        <v>144</v>
      </c>
      <c r="Y913" s="10">
        <v>7</v>
      </c>
      <c r="Z913" s="10">
        <v>65</v>
      </c>
      <c r="AA913" s="10">
        <v>0.217</v>
      </c>
      <c r="AB913" s="10">
        <v>76</v>
      </c>
      <c r="AC913" s="10">
        <v>44</v>
      </c>
      <c r="AD913" s="10">
        <v>68</v>
      </c>
      <c r="AE913" s="10">
        <v>11</v>
      </c>
      <c r="AF913" s="10">
        <v>10.7</v>
      </c>
      <c r="AG913" s="9" t="s">
        <v>349</v>
      </c>
      <c r="AH913" s="10"/>
      <c r="AI913" s="10"/>
      <c r="AJ913" s="10"/>
      <c r="AK913" s="30"/>
    </row>
    <row r="914" spans="5:37">
      <c r="E914" s="28" t="s">
        <v>155</v>
      </c>
      <c r="F914" s="8" t="s">
        <v>1160</v>
      </c>
      <c r="G914" s="9" t="s">
        <v>583</v>
      </c>
      <c r="H914" s="10">
        <v>177</v>
      </c>
      <c r="I914" s="9" t="s">
        <v>158</v>
      </c>
      <c r="J914" s="10">
        <v>177</v>
      </c>
      <c r="K914" s="10">
        <v>177.8</v>
      </c>
      <c r="L914" s="10">
        <v>159</v>
      </c>
      <c r="M914" s="10">
        <v>166</v>
      </c>
      <c r="N914" s="10">
        <v>124</v>
      </c>
      <c r="O914" s="10">
        <v>77</v>
      </c>
      <c r="P914" s="10">
        <v>110</v>
      </c>
      <c r="Q914" s="10">
        <v>16.899999999999999</v>
      </c>
      <c r="R914" s="10">
        <v>2051</v>
      </c>
      <c r="S914" s="10">
        <v>0.79</v>
      </c>
      <c r="T914" s="10">
        <v>1627</v>
      </c>
      <c r="U914" s="10">
        <v>230</v>
      </c>
      <c r="V914" s="10">
        <v>102</v>
      </c>
      <c r="W914" s="10">
        <v>33</v>
      </c>
      <c r="X914" s="10">
        <v>135</v>
      </c>
      <c r="Y914" s="10">
        <v>6</v>
      </c>
      <c r="Z914" s="10">
        <v>57</v>
      </c>
      <c r="AA914" s="10">
        <v>0.191</v>
      </c>
      <c r="AB914" s="10">
        <v>81</v>
      </c>
      <c r="AC914" s="10">
        <v>42</v>
      </c>
      <c r="AD914" s="10">
        <v>54</v>
      </c>
      <c r="AE914" s="10">
        <v>12</v>
      </c>
      <c r="AF914" s="10">
        <v>10.4</v>
      </c>
      <c r="AG914" s="9" t="s">
        <v>349</v>
      </c>
      <c r="AH914" s="10"/>
      <c r="AI914" s="10"/>
      <c r="AJ914" s="10"/>
      <c r="AK914" s="30"/>
    </row>
    <row r="915" spans="5:37">
      <c r="E915" s="28" t="s">
        <v>155</v>
      </c>
      <c r="F915" s="8" t="s">
        <v>1160</v>
      </c>
      <c r="G915" s="9" t="s">
        <v>901</v>
      </c>
      <c r="H915" s="10">
        <v>170</v>
      </c>
      <c r="I915" s="9" t="s">
        <v>158</v>
      </c>
      <c r="J915" s="10">
        <v>170</v>
      </c>
      <c r="K915" s="10">
        <v>170.5</v>
      </c>
      <c r="L915" s="10">
        <v>149</v>
      </c>
      <c r="M915" s="10">
        <v>159</v>
      </c>
      <c r="N915" s="10">
        <v>125</v>
      </c>
      <c r="O915" s="10">
        <v>81</v>
      </c>
      <c r="P915" s="10">
        <v>111</v>
      </c>
      <c r="Q915" s="10">
        <v>17</v>
      </c>
      <c r="R915" s="10">
        <v>2122</v>
      </c>
      <c r="S915" s="10">
        <v>0.76</v>
      </c>
      <c r="T915" s="10">
        <v>1613</v>
      </c>
      <c r="U915" s="10">
        <v>233</v>
      </c>
      <c r="V915" s="10">
        <v>163</v>
      </c>
      <c r="W915" s="10">
        <v>32</v>
      </c>
      <c r="X915" s="10">
        <v>144</v>
      </c>
      <c r="Y915" s="10">
        <v>7</v>
      </c>
      <c r="Z915" s="10">
        <v>68</v>
      </c>
      <c r="AA915" s="10">
        <v>0.217</v>
      </c>
      <c r="AB915" s="10">
        <v>74</v>
      </c>
      <c r="AC915" s="10">
        <v>40</v>
      </c>
      <c r="AD915" s="10">
        <v>70</v>
      </c>
      <c r="AE915" s="10">
        <v>9</v>
      </c>
      <c r="AF915" s="10">
        <v>10.7</v>
      </c>
      <c r="AG915" s="9" t="s">
        <v>349</v>
      </c>
      <c r="AH915" s="9" t="s">
        <v>188</v>
      </c>
      <c r="AI915" s="10"/>
      <c r="AJ915" s="10"/>
      <c r="AK915" s="30"/>
    </row>
    <row r="916" spans="5:37">
      <c r="E916" s="28" t="s">
        <v>155</v>
      </c>
      <c r="F916" s="8" t="s">
        <v>1160</v>
      </c>
      <c r="G916" s="9" t="s">
        <v>901</v>
      </c>
      <c r="H916" s="10">
        <v>177</v>
      </c>
      <c r="I916" s="9" t="s">
        <v>158</v>
      </c>
      <c r="J916" s="10">
        <v>177</v>
      </c>
      <c r="K916" s="10">
        <v>177.6</v>
      </c>
      <c r="L916" s="10">
        <v>147</v>
      </c>
      <c r="M916" s="10">
        <v>165</v>
      </c>
      <c r="N916" s="10">
        <v>124</v>
      </c>
      <c r="O916" s="10">
        <v>81</v>
      </c>
      <c r="P916" s="10">
        <v>111</v>
      </c>
      <c r="Q916" s="10">
        <v>18.399999999999999</v>
      </c>
      <c r="R916" s="10">
        <v>2209</v>
      </c>
      <c r="S916" s="10">
        <v>0.76</v>
      </c>
      <c r="T916" s="10">
        <v>1678</v>
      </c>
      <c r="U916" s="10">
        <v>258</v>
      </c>
      <c r="V916" s="10">
        <v>188</v>
      </c>
      <c r="W916" s="10">
        <v>34</v>
      </c>
      <c r="X916" s="10">
        <v>176</v>
      </c>
      <c r="Y916" s="10">
        <v>9</v>
      </c>
      <c r="Z916" s="10">
        <v>128</v>
      </c>
      <c r="AA916" s="10">
        <v>0.253</v>
      </c>
      <c r="AB916" s="10">
        <v>81</v>
      </c>
      <c r="AC916" s="10">
        <v>44</v>
      </c>
      <c r="AD916" s="10">
        <v>95</v>
      </c>
      <c r="AE916" s="10">
        <v>8</v>
      </c>
      <c r="AF916" s="10">
        <v>11.5</v>
      </c>
      <c r="AG916" s="9" t="s">
        <v>188</v>
      </c>
      <c r="AH916" s="10"/>
      <c r="AI916" s="10"/>
      <c r="AJ916" s="10"/>
      <c r="AK916" s="30"/>
    </row>
    <row r="917" spans="5:37">
      <c r="E917" s="28" t="s">
        <v>155</v>
      </c>
      <c r="F917" s="8" t="s">
        <v>1160</v>
      </c>
      <c r="G917" s="9" t="s">
        <v>901</v>
      </c>
      <c r="H917" s="10">
        <v>184</v>
      </c>
      <c r="I917" s="9" t="s">
        <v>158</v>
      </c>
      <c r="J917" s="10">
        <v>184</v>
      </c>
      <c r="K917" s="10">
        <v>184.5</v>
      </c>
      <c r="L917" s="10">
        <v>152</v>
      </c>
      <c r="M917" s="10">
        <v>173</v>
      </c>
      <c r="N917" s="10">
        <v>125</v>
      </c>
      <c r="O917" s="10">
        <v>81</v>
      </c>
      <c r="P917" s="10">
        <v>111</v>
      </c>
      <c r="Q917" s="10">
        <v>20.3</v>
      </c>
      <c r="R917" s="10">
        <v>2322</v>
      </c>
      <c r="S917" s="10">
        <v>0.75</v>
      </c>
      <c r="T917" s="10">
        <v>1743</v>
      </c>
      <c r="U917" s="10">
        <v>301</v>
      </c>
      <c r="V917" s="10">
        <v>203</v>
      </c>
      <c r="W917" s="10">
        <v>35</v>
      </c>
      <c r="X917" s="10">
        <v>160</v>
      </c>
      <c r="Y917" s="10">
        <v>8</v>
      </c>
      <c r="Z917" s="10">
        <v>162</v>
      </c>
      <c r="AA917" s="10">
        <v>0.23300000000000001</v>
      </c>
      <c r="AB917" s="10">
        <v>74</v>
      </c>
      <c r="AC917" s="10">
        <v>40</v>
      </c>
      <c r="AD917" s="10">
        <v>86</v>
      </c>
      <c r="AE917" s="10">
        <v>10</v>
      </c>
      <c r="AF917" s="10">
        <v>11.4</v>
      </c>
      <c r="AG917" s="9" t="s">
        <v>188</v>
      </c>
      <c r="AH917" s="10"/>
      <c r="AI917" s="10"/>
      <c r="AJ917" s="10"/>
      <c r="AK917" s="30"/>
    </row>
    <row r="918" spans="5:37">
      <c r="E918" s="28" t="s">
        <v>155</v>
      </c>
      <c r="F918" s="8" t="s">
        <v>1160</v>
      </c>
      <c r="G918" s="9" t="s">
        <v>907</v>
      </c>
      <c r="H918" s="10">
        <v>175</v>
      </c>
      <c r="I918" s="9" t="s">
        <v>158</v>
      </c>
      <c r="J918" s="10">
        <v>175</v>
      </c>
      <c r="K918" s="10">
        <v>175.6</v>
      </c>
      <c r="L918" s="10">
        <v>160</v>
      </c>
      <c r="M918" s="10">
        <v>165</v>
      </c>
      <c r="N918" s="10">
        <v>118</v>
      </c>
      <c r="O918" s="10">
        <v>73</v>
      </c>
      <c r="P918" s="10">
        <v>103</v>
      </c>
      <c r="Q918" s="10">
        <v>18</v>
      </c>
      <c r="R918" s="10">
        <v>2280</v>
      </c>
      <c r="S918" s="10">
        <v>0.67</v>
      </c>
      <c r="T918" s="10">
        <v>1528</v>
      </c>
      <c r="U918" s="10">
        <v>230</v>
      </c>
      <c r="V918" s="10">
        <v>153</v>
      </c>
      <c r="W918" s="10">
        <v>24</v>
      </c>
      <c r="X918" s="10">
        <v>110</v>
      </c>
      <c r="Y918" s="10">
        <v>3</v>
      </c>
      <c r="Z918" s="10">
        <v>43</v>
      </c>
      <c r="AA918" s="10">
        <v>0.125</v>
      </c>
      <c r="AB918" s="10">
        <v>73</v>
      </c>
      <c r="AC918" s="10">
        <v>30</v>
      </c>
      <c r="AD918" s="10">
        <v>37</v>
      </c>
      <c r="AE918" s="10">
        <v>12</v>
      </c>
      <c r="AF918" s="10">
        <v>12.7</v>
      </c>
      <c r="AG918" s="9" t="s">
        <v>349</v>
      </c>
      <c r="AH918" s="10"/>
      <c r="AI918" s="10"/>
      <c r="AJ918" s="10"/>
      <c r="AK918" s="30"/>
    </row>
    <row r="919" spans="5:37">
      <c r="E919" s="28" t="s">
        <v>155</v>
      </c>
      <c r="F919" s="8" t="s">
        <v>1160</v>
      </c>
      <c r="G919" s="9" t="s">
        <v>848</v>
      </c>
      <c r="H919" s="10">
        <v>160</v>
      </c>
      <c r="I919" s="9" t="s">
        <v>163</v>
      </c>
      <c r="J919" s="10">
        <v>160</v>
      </c>
      <c r="K919" s="10">
        <v>160.69999999999999</v>
      </c>
      <c r="L919" s="10">
        <v>143</v>
      </c>
      <c r="M919" s="10">
        <v>150</v>
      </c>
      <c r="N919" s="10">
        <v>115</v>
      </c>
      <c r="O919" s="10">
        <v>71</v>
      </c>
      <c r="P919" s="10">
        <v>103</v>
      </c>
      <c r="Q919" s="10">
        <v>14.7</v>
      </c>
      <c r="R919" s="10">
        <v>1869</v>
      </c>
      <c r="S919" s="10">
        <v>0.73</v>
      </c>
      <c r="T919" s="10">
        <v>1368</v>
      </c>
      <c r="U919" s="10">
        <v>188</v>
      </c>
      <c r="V919" s="10">
        <v>119</v>
      </c>
      <c r="W919" s="10">
        <v>31</v>
      </c>
      <c r="X919" s="10">
        <v>138</v>
      </c>
      <c r="Y919" s="10">
        <v>3</v>
      </c>
      <c r="Z919" s="10">
        <v>42</v>
      </c>
      <c r="AA919" s="10">
        <v>9.0999999999999998E-2</v>
      </c>
      <c r="AB919" s="10">
        <v>81</v>
      </c>
      <c r="AC919" s="10">
        <v>29</v>
      </c>
      <c r="AD919" s="10">
        <v>56</v>
      </c>
      <c r="AE919" s="10">
        <v>12</v>
      </c>
      <c r="AF919" s="10">
        <v>10.4</v>
      </c>
      <c r="AG919" s="9" t="s">
        <v>349</v>
      </c>
      <c r="AH919" s="10"/>
      <c r="AI919" s="10"/>
      <c r="AJ919" s="10"/>
      <c r="AK919" s="30"/>
    </row>
    <row r="920" spans="5:37">
      <c r="E920" s="28" t="s">
        <v>155</v>
      </c>
      <c r="F920" s="8" t="s">
        <v>1160</v>
      </c>
      <c r="G920" s="9" t="s">
        <v>569</v>
      </c>
      <c r="H920" s="10">
        <v>159</v>
      </c>
      <c r="I920" s="9" t="s">
        <v>163</v>
      </c>
      <c r="J920" s="10">
        <v>159</v>
      </c>
      <c r="K920" s="10">
        <v>159.69999999999999</v>
      </c>
      <c r="L920" s="10">
        <v>111</v>
      </c>
      <c r="M920" s="10">
        <v>129</v>
      </c>
      <c r="N920" s="10">
        <v>117</v>
      </c>
      <c r="O920" s="10">
        <v>88</v>
      </c>
      <c r="P920" s="10">
        <v>111</v>
      </c>
      <c r="Q920" s="10">
        <v>14.4</v>
      </c>
      <c r="R920" s="10">
        <v>1705</v>
      </c>
      <c r="S920" s="10">
        <v>0.92</v>
      </c>
      <c r="T920" s="10">
        <v>1573</v>
      </c>
      <c r="U920" s="10">
        <v>173</v>
      </c>
      <c r="V920" s="10">
        <v>92</v>
      </c>
      <c r="W920" s="10">
        <v>50</v>
      </c>
      <c r="X920" s="10">
        <v>233</v>
      </c>
      <c r="Y920" s="10">
        <v>47</v>
      </c>
      <c r="Z920" s="10">
        <v>257</v>
      </c>
      <c r="AA920" s="10">
        <v>0.93600000000000005</v>
      </c>
      <c r="AB920" s="10">
        <v>156</v>
      </c>
      <c r="AC920" s="10">
        <v>154</v>
      </c>
      <c r="AD920" s="10">
        <v>77</v>
      </c>
      <c r="AE920" s="10">
        <v>5</v>
      </c>
      <c r="AF920" s="10">
        <v>3.5</v>
      </c>
      <c r="AG920" s="9" t="s">
        <v>184</v>
      </c>
      <c r="AH920" s="10"/>
      <c r="AI920" s="10"/>
      <c r="AJ920" s="10"/>
      <c r="AK920" s="30"/>
    </row>
    <row r="921" spans="5:37">
      <c r="E921" s="28" t="s">
        <v>155</v>
      </c>
      <c r="F921" s="8" t="s">
        <v>1160</v>
      </c>
      <c r="G921" s="9" t="s">
        <v>569</v>
      </c>
      <c r="H921" s="10">
        <v>169</v>
      </c>
      <c r="I921" s="9" t="s">
        <v>163</v>
      </c>
      <c r="J921" s="10">
        <v>169</v>
      </c>
      <c r="K921" s="10">
        <v>169.8</v>
      </c>
      <c r="L921" s="10">
        <v>128</v>
      </c>
      <c r="M921" s="10">
        <v>139</v>
      </c>
      <c r="N921" s="10">
        <v>116</v>
      </c>
      <c r="O921" s="10">
        <v>87</v>
      </c>
      <c r="P921" s="10">
        <v>110</v>
      </c>
      <c r="Q921" s="10">
        <v>17</v>
      </c>
      <c r="R921" s="10">
        <v>1786</v>
      </c>
      <c r="S921" s="10">
        <v>0.93</v>
      </c>
      <c r="T921" s="10">
        <v>1659</v>
      </c>
      <c r="U921" s="10">
        <v>173</v>
      </c>
      <c r="V921" s="10">
        <v>78</v>
      </c>
      <c r="W921" s="10">
        <v>49</v>
      </c>
      <c r="X921" s="10">
        <v>209</v>
      </c>
      <c r="Y921" s="10">
        <v>48</v>
      </c>
      <c r="Z921" s="10">
        <v>210</v>
      </c>
      <c r="AA921" s="10">
        <v>0.97199999999999998</v>
      </c>
      <c r="AB921" s="10">
        <v>160</v>
      </c>
      <c r="AC921" s="10">
        <v>149</v>
      </c>
      <c r="AD921" s="10">
        <v>49</v>
      </c>
      <c r="AE921" s="10">
        <v>6</v>
      </c>
      <c r="AF921" s="10">
        <v>3.8</v>
      </c>
      <c r="AG921" s="9" t="s">
        <v>184</v>
      </c>
      <c r="AH921" s="10"/>
      <c r="AI921" s="10"/>
      <c r="AJ921" s="10"/>
      <c r="AK921" s="30"/>
    </row>
    <row r="922" spans="5:37">
      <c r="E922" s="28" t="s">
        <v>155</v>
      </c>
      <c r="F922" s="8" t="s">
        <v>1160</v>
      </c>
      <c r="G922" s="9" t="s">
        <v>723</v>
      </c>
      <c r="H922" s="10">
        <v>159</v>
      </c>
      <c r="I922" s="9" t="s">
        <v>163</v>
      </c>
      <c r="J922" s="10">
        <v>159</v>
      </c>
      <c r="K922" s="10">
        <v>159.80000000000001</v>
      </c>
      <c r="L922" s="10">
        <v>101</v>
      </c>
      <c r="M922" s="10">
        <v>121</v>
      </c>
      <c r="N922" s="10">
        <v>139</v>
      </c>
      <c r="O922" s="10">
        <v>105</v>
      </c>
      <c r="P922" s="10">
        <v>123</v>
      </c>
      <c r="Q922" s="10">
        <v>13.5</v>
      </c>
      <c r="R922" s="10">
        <v>1535</v>
      </c>
      <c r="S922" s="10">
        <v>1.2</v>
      </c>
      <c r="T922" s="10">
        <v>1847</v>
      </c>
      <c r="U922" s="10">
        <v>142</v>
      </c>
      <c r="V922" s="10">
        <v>67</v>
      </c>
      <c r="W922" s="10">
        <v>47</v>
      </c>
      <c r="X922" s="10">
        <v>329</v>
      </c>
      <c r="Y922" s="10">
        <v>25</v>
      </c>
      <c r="Z922" s="10">
        <v>263</v>
      </c>
      <c r="AA922" s="10">
        <v>0.53700000000000003</v>
      </c>
      <c r="AB922" s="10">
        <v>190</v>
      </c>
      <c r="AC922" s="10">
        <v>196</v>
      </c>
      <c r="AD922" s="10">
        <v>139</v>
      </c>
      <c r="AE922" s="10">
        <v>7</v>
      </c>
      <c r="AF922" s="10">
        <v>9.1999999999999993</v>
      </c>
      <c r="AG922" s="9" t="s">
        <v>169</v>
      </c>
      <c r="AH922" s="9" t="s">
        <v>185</v>
      </c>
      <c r="AI922" s="10"/>
      <c r="AJ922" s="10"/>
      <c r="AK922" s="30"/>
    </row>
    <row r="923" spans="5:37">
      <c r="E923" s="28" t="s">
        <v>155</v>
      </c>
      <c r="F923" s="8" t="s">
        <v>1160</v>
      </c>
      <c r="G923" s="9" t="s">
        <v>723</v>
      </c>
      <c r="H923" s="10">
        <v>167</v>
      </c>
      <c r="I923" s="9" t="s">
        <v>163</v>
      </c>
      <c r="J923" s="10">
        <v>167</v>
      </c>
      <c r="K923" s="10">
        <v>167.8</v>
      </c>
      <c r="L923" s="10">
        <v>104</v>
      </c>
      <c r="M923" s="10">
        <v>129</v>
      </c>
      <c r="N923" s="10">
        <v>138</v>
      </c>
      <c r="O923" s="10">
        <v>105</v>
      </c>
      <c r="P923" s="10">
        <v>123</v>
      </c>
      <c r="Q923" s="10">
        <v>15.2</v>
      </c>
      <c r="R923" s="10">
        <v>1686</v>
      </c>
      <c r="S923" s="10">
        <v>1.1499999999999999</v>
      </c>
      <c r="T923" s="10">
        <v>1940</v>
      </c>
      <c r="U923" s="10">
        <v>160</v>
      </c>
      <c r="V923" s="10">
        <v>75</v>
      </c>
      <c r="W923" s="10">
        <v>46</v>
      </c>
      <c r="X923" s="10">
        <v>379</v>
      </c>
      <c r="Y923" s="10">
        <v>22</v>
      </c>
      <c r="Z923" s="10">
        <v>255</v>
      </c>
      <c r="AA923" s="10">
        <v>0.48099999999999998</v>
      </c>
      <c r="AB923" s="10">
        <v>190</v>
      </c>
      <c r="AC923" s="10">
        <v>195</v>
      </c>
      <c r="AD923" s="10">
        <v>189</v>
      </c>
      <c r="AE923" s="10">
        <v>6</v>
      </c>
      <c r="AF923" s="10">
        <v>9.9</v>
      </c>
      <c r="AG923" s="9" t="s">
        <v>169</v>
      </c>
      <c r="AH923" s="9" t="s">
        <v>185</v>
      </c>
      <c r="AI923" s="10"/>
      <c r="AJ923" s="10"/>
      <c r="AK923" s="30"/>
    </row>
    <row r="924" spans="5:37">
      <c r="E924" s="28" t="s">
        <v>155</v>
      </c>
      <c r="F924" s="8" t="s">
        <v>1160</v>
      </c>
      <c r="G924" s="9" t="s">
        <v>405</v>
      </c>
      <c r="H924" s="10">
        <v>172</v>
      </c>
      <c r="I924" s="9" t="s">
        <v>158</v>
      </c>
      <c r="J924" s="10">
        <v>172</v>
      </c>
      <c r="K924" s="10">
        <v>172.2</v>
      </c>
      <c r="L924" s="10">
        <v>100</v>
      </c>
      <c r="M924" s="10">
        <v>137</v>
      </c>
      <c r="N924" s="10">
        <v>136</v>
      </c>
      <c r="O924" s="10">
        <v>107</v>
      </c>
      <c r="P924" s="10">
        <v>124</v>
      </c>
      <c r="Q924" s="10">
        <v>19.3</v>
      </c>
      <c r="R924" s="10">
        <v>1923</v>
      </c>
      <c r="S924" s="10">
        <v>1.04</v>
      </c>
      <c r="T924" s="10">
        <v>1999</v>
      </c>
      <c r="U924" s="10">
        <v>182</v>
      </c>
      <c r="V924" s="10">
        <v>120</v>
      </c>
      <c r="W924" s="10">
        <v>48</v>
      </c>
      <c r="X924" s="10">
        <v>402</v>
      </c>
      <c r="Y924" s="10">
        <v>25</v>
      </c>
      <c r="Z924" s="10">
        <v>315</v>
      </c>
      <c r="AA924" s="10">
        <v>0.52100000000000002</v>
      </c>
      <c r="AB924" s="10">
        <v>182</v>
      </c>
      <c r="AC924" s="10">
        <v>169</v>
      </c>
      <c r="AD924" s="10">
        <v>220</v>
      </c>
      <c r="AE924" s="10">
        <v>4</v>
      </c>
      <c r="AF924" s="10">
        <v>9.3000000000000007</v>
      </c>
      <c r="AG924" s="9" t="s">
        <v>169</v>
      </c>
      <c r="AH924" s="10"/>
      <c r="AI924" s="10"/>
      <c r="AJ924" s="10"/>
      <c r="AK924" s="30"/>
    </row>
    <row r="925" spans="5:37">
      <c r="E925" s="28" t="s">
        <v>155</v>
      </c>
      <c r="F925" s="8" t="s">
        <v>1160</v>
      </c>
      <c r="G925" s="9" t="s">
        <v>405</v>
      </c>
      <c r="H925" s="10">
        <v>179</v>
      </c>
      <c r="I925" s="9" t="s">
        <v>158</v>
      </c>
      <c r="J925" s="10">
        <v>179</v>
      </c>
      <c r="K925" s="10">
        <v>179.1</v>
      </c>
      <c r="L925" s="10">
        <v>111</v>
      </c>
      <c r="M925" s="10">
        <v>143</v>
      </c>
      <c r="N925" s="10">
        <v>136</v>
      </c>
      <c r="O925" s="10">
        <v>107</v>
      </c>
      <c r="P925" s="10">
        <v>124</v>
      </c>
      <c r="Q925" s="10">
        <v>21</v>
      </c>
      <c r="R925" s="10">
        <v>1958</v>
      </c>
      <c r="S925" s="10">
        <v>1.06</v>
      </c>
      <c r="T925" s="10">
        <v>2083</v>
      </c>
      <c r="U925" s="10">
        <v>210</v>
      </c>
      <c r="V925" s="10">
        <v>142</v>
      </c>
      <c r="W925" s="10">
        <v>47</v>
      </c>
      <c r="X925" s="10">
        <v>398</v>
      </c>
      <c r="Y925" s="10">
        <v>24</v>
      </c>
      <c r="Z925" s="10">
        <v>279</v>
      </c>
      <c r="AA925" s="10">
        <v>0.52300000000000002</v>
      </c>
      <c r="AB925" s="10">
        <v>183</v>
      </c>
      <c r="AC925" s="10">
        <v>175</v>
      </c>
      <c r="AD925" s="10">
        <v>216</v>
      </c>
      <c r="AE925" s="10">
        <v>5</v>
      </c>
      <c r="AF925" s="10">
        <v>10</v>
      </c>
      <c r="AG925" s="9" t="s">
        <v>169</v>
      </c>
      <c r="AH925" s="9" t="s">
        <v>185</v>
      </c>
      <c r="AI925" s="10"/>
      <c r="AJ925" s="10"/>
      <c r="AK925" s="30"/>
    </row>
    <row r="926" spans="5:37">
      <c r="E926" s="28" t="s">
        <v>155</v>
      </c>
      <c r="F926" s="8" t="s">
        <v>1160</v>
      </c>
      <c r="G926" s="9" t="s">
        <v>405</v>
      </c>
      <c r="H926" s="10">
        <v>186</v>
      </c>
      <c r="I926" s="9" t="s">
        <v>158</v>
      </c>
      <c r="J926" s="10">
        <v>186</v>
      </c>
      <c r="K926" s="10">
        <v>185.9</v>
      </c>
      <c r="L926" s="10">
        <v>117</v>
      </c>
      <c r="M926" s="10">
        <v>150</v>
      </c>
      <c r="N926" s="10">
        <v>136</v>
      </c>
      <c r="O926" s="10">
        <v>107</v>
      </c>
      <c r="P926" s="10">
        <v>124</v>
      </c>
      <c r="Q926" s="10">
        <v>23.1</v>
      </c>
      <c r="R926" s="10">
        <v>2141</v>
      </c>
      <c r="S926" s="10">
        <v>1.01</v>
      </c>
      <c r="T926" s="10">
        <v>2160</v>
      </c>
      <c r="U926" s="10">
        <v>236</v>
      </c>
      <c r="V926" s="10">
        <v>172</v>
      </c>
      <c r="W926" s="10">
        <v>49</v>
      </c>
      <c r="X926" s="10">
        <v>408</v>
      </c>
      <c r="Y926" s="10">
        <v>24</v>
      </c>
      <c r="Z926" s="10">
        <v>279</v>
      </c>
      <c r="AA926" s="10">
        <v>0.48799999999999999</v>
      </c>
      <c r="AB926" s="10">
        <v>182</v>
      </c>
      <c r="AC926" s="10">
        <v>180</v>
      </c>
      <c r="AD926" s="10">
        <v>225</v>
      </c>
      <c r="AE926" s="10">
        <v>5</v>
      </c>
      <c r="AF926" s="10">
        <v>10.5</v>
      </c>
      <c r="AG926" s="9" t="s">
        <v>169</v>
      </c>
      <c r="AH926" s="10"/>
      <c r="AI926" s="10"/>
      <c r="AJ926" s="10"/>
      <c r="AK926" s="30"/>
    </row>
    <row r="927" spans="5:37">
      <c r="E927" s="28" t="s">
        <v>155</v>
      </c>
      <c r="F927" s="8" t="s">
        <v>1160</v>
      </c>
      <c r="G927" s="9" t="s">
        <v>405</v>
      </c>
      <c r="H927" s="10">
        <v>193</v>
      </c>
      <c r="I927" s="9" t="s">
        <v>158</v>
      </c>
      <c r="J927" s="10">
        <v>193</v>
      </c>
      <c r="K927" s="10">
        <v>193</v>
      </c>
      <c r="L927" s="10">
        <v>123</v>
      </c>
      <c r="M927" s="10">
        <v>156</v>
      </c>
      <c r="N927" s="10">
        <v>136</v>
      </c>
      <c r="O927" s="10">
        <v>107</v>
      </c>
      <c r="P927" s="10">
        <v>125</v>
      </c>
      <c r="Q927" s="10">
        <v>24.9</v>
      </c>
      <c r="R927" s="10">
        <v>2265</v>
      </c>
      <c r="S927" s="10">
        <v>0.99</v>
      </c>
      <c r="T927" s="10">
        <v>2238</v>
      </c>
      <c r="U927" s="10">
        <v>280</v>
      </c>
      <c r="V927" s="10">
        <v>196</v>
      </c>
      <c r="W927" s="10">
        <v>48</v>
      </c>
      <c r="X927" s="10">
        <v>399</v>
      </c>
      <c r="Y927" s="10">
        <v>24</v>
      </c>
      <c r="Z927" s="10">
        <v>302</v>
      </c>
      <c r="AA927" s="10">
        <v>0.49099999999999999</v>
      </c>
      <c r="AB927" s="10">
        <v>181</v>
      </c>
      <c r="AC927" s="10">
        <v>184</v>
      </c>
      <c r="AD927" s="10">
        <v>217</v>
      </c>
      <c r="AE927" s="10">
        <v>6</v>
      </c>
      <c r="AF927" s="10">
        <v>11</v>
      </c>
      <c r="AG927" s="9" t="s">
        <v>169</v>
      </c>
      <c r="AH927" s="10"/>
      <c r="AI927" s="10"/>
      <c r="AJ927" s="10"/>
      <c r="AK927" s="30"/>
    </row>
    <row r="928" spans="5:37">
      <c r="E928" s="28" t="s">
        <v>155</v>
      </c>
      <c r="F928" s="8" t="s">
        <v>1160</v>
      </c>
      <c r="G928" s="9" t="s">
        <v>402</v>
      </c>
      <c r="H928" s="10">
        <v>165</v>
      </c>
      <c r="I928" s="9" t="s">
        <v>163</v>
      </c>
      <c r="J928" s="10">
        <v>165</v>
      </c>
      <c r="K928" s="10">
        <v>165.3</v>
      </c>
      <c r="L928" s="10">
        <v>97</v>
      </c>
      <c r="M928" s="10">
        <v>125</v>
      </c>
      <c r="N928" s="10">
        <v>138</v>
      </c>
      <c r="O928" s="10">
        <v>114</v>
      </c>
      <c r="P928" s="10">
        <v>128</v>
      </c>
      <c r="Q928" s="10">
        <v>19</v>
      </c>
      <c r="R928" s="10">
        <v>1640</v>
      </c>
      <c r="S928" s="10">
        <v>1.22</v>
      </c>
      <c r="T928" s="10">
        <v>1993</v>
      </c>
      <c r="U928" s="10">
        <v>142</v>
      </c>
      <c r="V928" s="10">
        <v>77</v>
      </c>
      <c r="W928" s="10">
        <v>52</v>
      </c>
      <c r="X928" s="10">
        <v>431</v>
      </c>
      <c r="Y928" s="10">
        <v>23</v>
      </c>
      <c r="Z928" s="10">
        <v>253</v>
      </c>
      <c r="AA928" s="10">
        <v>0.435</v>
      </c>
      <c r="AB928" s="10">
        <v>203</v>
      </c>
      <c r="AC928" s="10">
        <v>196</v>
      </c>
      <c r="AD928" s="10">
        <v>228</v>
      </c>
      <c r="AE928" s="10">
        <v>5</v>
      </c>
      <c r="AF928" s="10">
        <v>10.3</v>
      </c>
      <c r="AG928" s="9" t="s">
        <v>169</v>
      </c>
      <c r="AH928" s="9" t="s">
        <v>185</v>
      </c>
      <c r="AI928" s="10"/>
      <c r="AJ928" s="10"/>
      <c r="AK928" s="30"/>
    </row>
    <row r="929" spans="5:37">
      <c r="E929" s="28" t="s">
        <v>155</v>
      </c>
      <c r="F929" s="8" t="s">
        <v>1160</v>
      </c>
      <c r="G929" s="9" t="s">
        <v>402</v>
      </c>
      <c r="H929" s="10">
        <v>172</v>
      </c>
      <c r="I929" s="9" t="s">
        <v>163</v>
      </c>
      <c r="J929" s="10">
        <v>172</v>
      </c>
      <c r="K929" s="10">
        <v>172.2</v>
      </c>
      <c r="L929" s="10">
        <v>101</v>
      </c>
      <c r="M929" s="10">
        <v>131</v>
      </c>
      <c r="N929" s="10">
        <v>139</v>
      </c>
      <c r="O929" s="10">
        <v>114</v>
      </c>
      <c r="P929" s="10">
        <v>128</v>
      </c>
      <c r="Q929" s="10">
        <v>20.9</v>
      </c>
      <c r="R929" s="10">
        <v>1735</v>
      </c>
      <c r="S929" s="10">
        <v>1.2</v>
      </c>
      <c r="T929" s="10">
        <v>2078</v>
      </c>
      <c r="U929" s="10">
        <v>166</v>
      </c>
      <c r="V929" s="10">
        <v>94</v>
      </c>
      <c r="W929" s="10">
        <v>55</v>
      </c>
      <c r="X929" s="10">
        <v>411</v>
      </c>
      <c r="Y929" s="10">
        <v>21</v>
      </c>
      <c r="Z929" s="10">
        <v>302</v>
      </c>
      <c r="AA929" s="10">
        <v>0.39</v>
      </c>
      <c r="AB929" s="10">
        <v>213</v>
      </c>
      <c r="AC929" s="10">
        <v>198</v>
      </c>
      <c r="AD929" s="10">
        <v>199</v>
      </c>
      <c r="AE929" s="10">
        <v>5</v>
      </c>
      <c r="AF929" s="10">
        <v>10.5</v>
      </c>
      <c r="AG929" s="9" t="s">
        <v>169</v>
      </c>
      <c r="AH929" s="9" t="s">
        <v>178</v>
      </c>
      <c r="AI929" s="9" t="s">
        <v>185</v>
      </c>
      <c r="AJ929" s="10"/>
      <c r="AK929" s="30"/>
    </row>
    <row r="930" spans="5:37">
      <c r="E930" s="28" t="s">
        <v>155</v>
      </c>
      <c r="F930" s="8" t="s">
        <v>1160</v>
      </c>
      <c r="G930" s="9" t="s">
        <v>367</v>
      </c>
      <c r="H930" s="10">
        <v>179</v>
      </c>
      <c r="I930" s="9" t="s">
        <v>158</v>
      </c>
      <c r="J930" s="10">
        <v>179</v>
      </c>
      <c r="K930" s="10">
        <v>179</v>
      </c>
      <c r="L930" s="10">
        <v>101</v>
      </c>
      <c r="M930" s="10">
        <v>141</v>
      </c>
      <c r="N930" s="10">
        <v>142</v>
      </c>
      <c r="O930" s="10">
        <v>115</v>
      </c>
      <c r="P930" s="10">
        <v>132</v>
      </c>
      <c r="Q930" s="10">
        <v>21.5</v>
      </c>
      <c r="R930" s="10">
        <v>1821</v>
      </c>
      <c r="S930" s="10">
        <v>1.21</v>
      </c>
      <c r="T930" s="10">
        <v>2209</v>
      </c>
      <c r="U930" s="10">
        <v>180</v>
      </c>
      <c r="V930" s="10">
        <v>110</v>
      </c>
      <c r="W930" s="10">
        <v>59</v>
      </c>
      <c r="X930" s="10">
        <v>461</v>
      </c>
      <c r="Y930" s="10">
        <v>25</v>
      </c>
      <c r="Z930" s="10">
        <v>317</v>
      </c>
      <c r="AA930" s="10">
        <v>0.42699999999999999</v>
      </c>
      <c r="AB930" s="10">
        <v>204</v>
      </c>
      <c r="AC930" s="10">
        <v>175</v>
      </c>
      <c r="AD930" s="10">
        <v>257</v>
      </c>
      <c r="AE930" s="10">
        <v>4</v>
      </c>
      <c r="AF930" s="10">
        <v>10.4</v>
      </c>
      <c r="AG930" s="9" t="s">
        <v>169</v>
      </c>
      <c r="AH930" s="9" t="s">
        <v>185</v>
      </c>
      <c r="AI930" s="10"/>
      <c r="AJ930" s="10"/>
      <c r="AK930" s="30"/>
    </row>
    <row r="931" spans="5:37">
      <c r="E931" s="28" t="s">
        <v>155</v>
      </c>
      <c r="F931" s="8" t="s">
        <v>1160</v>
      </c>
      <c r="G931" s="9" t="s">
        <v>367</v>
      </c>
      <c r="H931" s="10">
        <v>186</v>
      </c>
      <c r="I931" s="9" t="s">
        <v>158</v>
      </c>
      <c r="J931" s="10">
        <v>186</v>
      </c>
      <c r="K931" s="10">
        <v>186</v>
      </c>
      <c r="L931" s="10">
        <v>113</v>
      </c>
      <c r="M931" s="10">
        <v>146</v>
      </c>
      <c r="N931" s="10">
        <v>143</v>
      </c>
      <c r="O931" s="10">
        <v>115</v>
      </c>
      <c r="P931" s="10">
        <v>132</v>
      </c>
      <c r="Q931" s="10">
        <v>23.4</v>
      </c>
      <c r="R931" s="10">
        <v>1995</v>
      </c>
      <c r="S931" s="10">
        <v>1.1499999999999999</v>
      </c>
      <c r="T931" s="10">
        <v>2298</v>
      </c>
      <c r="U931" s="10">
        <v>211</v>
      </c>
      <c r="V931" s="10">
        <v>132</v>
      </c>
      <c r="W931" s="10">
        <v>58</v>
      </c>
      <c r="X931" s="10">
        <v>476</v>
      </c>
      <c r="Y931" s="10">
        <v>25</v>
      </c>
      <c r="Z931" s="10">
        <v>254</v>
      </c>
      <c r="AA931" s="10">
        <v>0.43099999999999999</v>
      </c>
      <c r="AB931" s="10">
        <v>213</v>
      </c>
      <c r="AC931" s="10">
        <v>185</v>
      </c>
      <c r="AD931" s="10">
        <v>264</v>
      </c>
      <c r="AE931" s="10">
        <v>4</v>
      </c>
      <c r="AF931" s="10">
        <v>10.1</v>
      </c>
      <c r="AG931" s="9" t="s">
        <v>169</v>
      </c>
      <c r="AH931" s="9" t="s">
        <v>185</v>
      </c>
      <c r="AI931" s="10"/>
      <c r="AJ931" s="10"/>
      <c r="AK931" s="30"/>
    </row>
    <row r="932" spans="5:37">
      <c r="E932" s="28" t="s">
        <v>155</v>
      </c>
      <c r="F932" s="8" t="s">
        <v>1160</v>
      </c>
      <c r="G932" s="9" t="s">
        <v>539</v>
      </c>
      <c r="H932" s="10">
        <v>156</v>
      </c>
      <c r="I932" s="9" t="s">
        <v>158</v>
      </c>
      <c r="J932" s="10">
        <v>156</v>
      </c>
      <c r="K932" s="10">
        <v>156.69999999999999</v>
      </c>
      <c r="L932" s="10">
        <v>115</v>
      </c>
      <c r="M932" s="10">
        <v>128</v>
      </c>
      <c r="N932" s="10">
        <v>129</v>
      </c>
      <c r="O932" s="10">
        <v>84</v>
      </c>
      <c r="P932" s="10">
        <v>112</v>
      </c>
      <c r="Q932" s="10">
        <v>10.8</v>
      </c>
      <c r="R932" s="10">
        <v>1534</v>
      </c>
      <c r="S932" s="10">
        <v>1.02</v>
      </c>
      <c r="T932" s="10">
        <v>1558</v>
      </c>
      <c r="U932" s="10">
        <v>125</v>
      </c>
      <c r="V932" s="10">
        <v>74</v>
      </c>
      <c r="W932" s="10">
        <v>42</v>
      </c>
      <c r="X932" s="10">
        <v>252</v>
      </c>
      <c r="Y932" s="10">
        <v>12</v>
      </c>
      <c r="Z932" s="10">
        <v>165</v>
      </c>
      <c r="AA932" s="10">
        <v>0.29199999999999998</v>
      </c>
      <c r="AB932" s="10">
        <v>176</v>
      </c>
      <c r="AC932" s="10">
        <v>112</v>
      </c>
      <c r="AD932" s="10">
        <v>76</v>
      </c>
      <c r="AE932" s="10">
        <v>10</v>
      </c>
      <c r="AF932" s="10">
        <v>10.3</v>
      </c>
      <c r="AG932" s="9" t="s">
        <v>231</v>
      </c>
      <c r="AH932" s="9" t="s">
        <v>188</v>
      </c>
      <c r="AI932" s="10"/>
      <c r="AJ932" s="10"/>
      <c r="AK932" s="30"/>
    </row>
    <row r="933" spans="5:37">
      <c r="E933" s="28" t="s">
        <v>155</v>
      </c>
      <c r="F933" s="8" t="s">
        <v>1160</v>
      </c>
      <c r="G933" s="9" t="s">
        <v>539</v>
      </c>
      <c r="H933" s="10">
        <v>163</v>
      </c>
      <c r="I933" s="9" t="s">
        <v>158</v>
      </c>
      <c r="J933" s="10">
        <v>163</v>
      </c>
      <c r="K933" s="10">
        <v>163.69999999999999</v>
      </c>
      <c r="L933" s="10">
        <v>120</v>
      </c>
      <c r="M933" s="10">
        <v>136</v>
      </c>
      <c r="N933" s="10">
        <v>129</v>
      </c>
      <c r="O933" s="10">
        <v>84</v>
      </c>
      <c r="P933" s="10">
        <v>112</v>
      </c>
      <c r="Q933" s="10">
        <v>12</v>
      </c>
      <c r="R933" s="10">
        <v>1580</v>
      </c>
      <c r="S933" s="10">
        <v>1.03</v>
      </c>
      <c r="T933" s="10">
        <v>1627</v>
      </c>
      <c r="U933" s="10">
        <v>151</v>
      </c>
      <c r="V933" s="10">
        <v>84</v>
      </c>
      <c r="W933" s="10">
        <v>46</v>
      </c>
      <c r="X933" s="10">
        <v>270</v>
      </c>
      <c r="Y933" s="10">
        <v>12</v>
      </c>
      <c r="Z933" s="10">
        <v>171</v>
      </c>
      <c r="AA933" s="10">
        <v>0.26800000000000002</v>
      </c>
      <c r="AB933" s="10">
        <v>170</v>
      </c>
      <c r="AC933" s="10">
        <v>110</v>
      </c>
      <c r="AD933" s="10">
        <v>100</v>
      </c>
      <c r="AE933" s="10">
        <v>9</v>
      </c>
      <c r="AF933" s="10">
        <v>10.5</v>
      </c>
      <c r="AG933" s="9" t="s">
        <v>231</v>
      </c>
      <c r="AH933" s="9" t="s">
        <v>188</v>
      </c>
      <c r="AI933" s="10"/>
      <c r="AJ933" s="10"/>
      <c r="AK933" s="30"/>
    </row>
    <row r="934" spans="5:37">
      <c r="E934" s="28" t="s">
        <v>155</v>
      </c>
      <c r="F934" s="8" t="s">
        <v>1160</v>
      </c>
      <c r="G934" s="9" t="s">
        <v>539</v>
      </c>
      <c r="H934" s="10">
        <v>170</v>
      </c>
      <c r="I934" s="9" t="s">
        <v>158</v>
      </c>
      <c r="J934" s="10">
        <v>170</v>
      </c>
      <c r="K934" s="10">
        <v>170.7</v>
      </c>
      <c r="L934" s="10">
        <v>124</v>
      </c>
      <c r="M934" s="10">
        <v>141</v>
      </c>
      <c r="N934" s="10">
        <v>129</v>
      </c>
      <c r="O934" s="10">
        <v>84</v>
      </c>
      <c r="P934" s="10">
        <v>112</v>
      </c>
      <c r="Q934" s="10">
        <v>13.1</v>
      </c>
      <c r="R934" s="10">
        <v>1702</v>
      </c>
      <c r="S934" s="10">
        <v>1</v>
      </c>
      <c r="T934" s="10">
        <v>1694</v>
      </c>
      <c r="U934" s="10">
        <v>181</v>
      </c>
      <c r="V934" s="10">
        <v>97</v>
      </c>
      <c r="W934" s="10">
        <v>45</v>
      </c>
      <c r="X934" s="10">
        <v>288</v>
      </c>
      <c r="Y934" s="10">
        <v>15</v>
      </c>
      <c r="Z934" s="10">
        <v>177</v>
      </c>
      <c r="AA934" s="10">
        <v>0.33700000000000002</v>
      </c>
      <c r="AB934" s="10">
        <v>182</v>
      </c>
      <c r="AC934" s="10">
        <v>112</v>
      </c>
      <c r="AD934" s="10">
        <v>107</v>
      </c>
      <c r="AE934" s="10">
        <v>7</v>
      </c>
      <c r="AF934" s="10">
        <v>10.8</v>
      </c>
      <c r="AG934" s="9" t="s">
        <v>231</v>
      </c>
      <c r="AH934" s="9" t="s">
        <v>188</v>
      </c>
      <c r="AI934" s="10"/>
      <c r="AJ934" s="10"/>
      <c r="AK934" s="30"/>
    </row>
    <row r="935" spans="5:37">
      <c r="E935" s="28" t="s">
        <v>155</v>
      </c>
      <c r="F935" s="8" t="s">
        <v>1160</v>
      </c>
      <c r="G935" s="9" t="s">
        <v>539</v>
      </c>
      <c r="H935" s="10">
        <v>177</v>
      </c>
      <c r="I935" s="9" t="s">
        <v>158</v>
      </c>
      <c r="J935" s="10">
        <v>177</v>
      </c>
      <c r="K935" s="10">
        <v>177.4</v>
      </c>
      <c r="L935" s="10">
        <v>135</v>
      </c>
      <c r="M935" s="10">
        <v>148</v>
      </c>
      <c r="N935" s="10">
        <v>129</v>
      </c>
      <c r="O935" s="10">
        <v>84</v>
      </c>
      <c r="P935" s="10">
        <v>112</v>
      </c>
      <c r="Q935" s="10">
        <v>14.4</v>
      </c>
      <c r="R935" s="10">
        <v>1863</v>
      </c>
      <c r="S935" s="10">
        <v>0.94</v>
      </c>
      <c r="T935" s="10">
        <v>1759</v>
      </c>
      <c r="U935" s="10">
        <v>205</v>
      </c>
      <c r="V935" s="10">
        <v>108</v>
      </c>
      <c r="W935" s="10">
        <v>45</v>
      </c>
      <c r="X935" s="10">
        <v>265</v>
      </c>
      <c r="Y935" s="10">
        <v>14</v>
      </c>
      <c r="Z935" s="10">
        <v>156</v>
      </c>
      <c r="AA935" s="10">
        <v>0.307</v>
      </c>
      <c r="AB935" s="10">
        <v>176</v>
      </c>
      <c r="AC935" s="10">
        <v>116</v>
      </c>
      <c r="AD935" s="10">
        <v>89</v>
      </c>
      <c r="AE935" s="10">
        <v>10</v>
      </c>
      <c r="AF935" s="10">
        <v>11.2</v>
      </c>
      <c r="AG935" s="9" t="s">
        <v>231</v>
      </c>
      <c r="AH935" s="9" t="s">
        <v>188</v>
      </c>
      <c r="AI935" s="10"/>
      <c r="AJ935" s="10"/>
      <c r="AK935" s="30"/>
    </row>
    <row r="936" spans="5:37">
      <c r="E936" s="28" t="s">
        <v>155</v>
      </c>
      <c r="F936" s="8" t="s">
        <v>1160</v>
      </c>
      <c r="G936" s="9" t="s">
        <v>581</v>
      </c>
      <c r="H936" s="10">
        <v>149</v>
      </c>
      <c r="I936" s="9" t="s">
        <v>163</v>
      </c>
      <c r="J936" s="10">
        <v>149</v>
      </c>
      <c r="K936" s="10">
        <v>149.9</v>
      </c>
      <c r="L936" s="10">
        <v>116</v>
      </c>
      <c r="M936" s="10">
        <v>122</v>
      </c>
      <c r="N936" s="10">
        <v>129</v>
      </c>
      <c r="O936" s="10">
        <v>84</v>
      </c>
      <c r="P936" s="10">
        <v>112</v>
      </c>
      <c r="Q936" s="10">
        <v>9.6</v>
      </c>
      <c r="R936" s="10">
        <v>1426</v>
      </c>
      <c r="S936" s="10">
        <v>1.04</v>
      </c>
      <c r="T936" s="10">
        <v>1489</v>
      </c>
      <c r="U936" s="10">
        <v>109</v>
      </c>
      <c r="V936" s="10">
        <v>66</v>
      </c>
      <c r="W936" s="10">
        <v>40</v>
      </c>
      <c r="X936" s="10">
        <v>238</v>
      </c>
      <c r="Y936" s="10">
        <v>10</v>
      </c>
      <c r="Z936" s="10">
        <v>100</v>
      </c>
      <c r="AA936" s="10">
        <v>0.248</v>
      </c>
      <c r="AB936" s="10">
        <v>169</v>
      </c>
      <c r="AC936" s="10">
        <v>106</v>
      </c>
      <c r="AD936" s="10">
        <v>69</v>
      </c>
      <c r="AE936" s="10">
        <v>10</v>
      </c>
      <c r="AF936" s="10">
        <v>10.199999999999999</v>
      </c>
      <c r="AG936" s="9" t="s">
        <v>231</v>
      </c>
      <c r="AH936" s="9" t="s">
        <v>188</v>
      </c>
      <c r="AI936" s="10"/>
      <c r="AJ936" s="10"/>
      <c r="AK936" s="30"/>
    </row>
    <row r="937" spans="5:37">
      <c r="E937" s="28" t="s">
        <v>155</v>
      </c>
      <c r="F937" s="8" t="s">
        <v>1160</v>
      </c>
      <c r="G937" s="9" t="s">
        <v>581</v>
      </c>
      <c r="H937" s="10">
        <v>159</v>
      </c>
      <c r="I937" s="9" t="s">
        <v>163</v>
      </c>
      <c r="J937" s="10">
        <v>159</v>
      </c>
      <c r="K937" s="10">
        <v>156.9</v>
      </c>
      <c r="L937" s="10">
        <v>122</v>
      </c>
      <c r="M937" s="10">
        <v>128</v>
      </c>
      <c r="N937" s="10">
        <v>129</v>
      </c>
      <c r="O937" s="10">
        <v>84</v>
      </c>
      <c r="P937" s="10">
        <v>112</v>
      </c>
      <c r="Q937" s="10">
        <v>10.7</v>
      </c>
      <c r="R937" s="10">
        <v>1508</v>
      </c>
      <c r="S937" s="10">
        <v>1.03</v>
      </c>
      <c r="T937" s="10">
        <v>1555</v>
      </c>
      <c r="U937" s="10">
        <v>125</v>
      </c>
      <c r="V937" s="10">
        <v>72</v>
      </c>
      <c r="W937" s="10">
        <v>40</v>
      </c>
      <c r="X937" s="10">
        <v>243</v>
      </c>
      <c r="Y937" s="10">
        <v>10</v>
      </c>
      <c r="Z937" s="10">
        <v>102</v>
      </c>
      <c r="AA937" s="10">
        <v>0.26</v>
      </c>
      <c r="AB937" s="10">
        <v>176</v>
      </c>
      <c r="AC937" s="10">
        <v>111</v>
      </c>
      <c r="AD937" s="10">
        <v>67</v>
      </c>
      <c r="AE937" s="10">
        <v>8</v>
      </c>
      <c r="AF937" s="10">
        <v>10.5</v>
      </c>
      <c r="AG937" s="9" t="s">
        <v>231</v>
      </c>
      <c r="AH937" s="9" t="s">
        <v>188</v>
      </c>
      <c r="AI937" s="10"/>
      <c r="AJ937" s="10"/>
      <c r="AK937" s="30"/>
    </row>
    <row r="938" spans="5:37">
      <c r="E938" s="28" t="s">
        <v>155</v>
      </c>
      <c r="F938" s="8" t="s">
        <v>1160</v>
      </c>
      <c r="G938" s="9" t="s">
        <v>581</v>
      </c>
      <c r="H938" s="10">
        <v>163</v>
      </c>
      <c r="I938" s="9" t="s">
        <v>163</v>
      </c>
      <c r="J938" s="10">
        <v>163</v>
      </c>
      <c r="K938" s="10">
        <v>163.6</v>
      </c>
      <c r="L938" s="10">
        <v>116</v>
      </c>
      <c r="M938" s="10">
        <v>134</v>
      </c>
      <c r="N938" s="10">
        <v>129</v>
      </c>
      <c r="O938" s="10">
        <v>84</v>
      </c>
      <c r="P938" s="10">
        <v>112</v>
      </c>
      <c r="Q938" s="10">
        <v>11.8</v>
      </c>
      <c r="R938" s="10">
        <v>1627</v>
      </c>
      <c r="S938" s="10">
        <v>1</v>
      </c>
      <c r="T938" s="10">
        <v>1623</v>
      </c>
      <c r="U938" s="10">
        <v>165</v>
      </c>
      <c r="V938" s="10">
        <v>89</v>
      </c>
      <c r="W938" s="10">
        <v>49</v>
      </c>
      <c r="X938" s="10">
        <v>274</v>
      </c>
      <c r="Y938" s="10">
        <v>13</v>
      </c>
      <c r="Z938" s="10">
        <v>198</v>
      </c>
      <c r="AA938" s="10">
        <v>0.26700000000000002</v>
      </c>
      <c r="AB938" s="10">
        <v>182</v>
      </c>
      <c r="AC938" s="10">
        <v>113</v>
      </c>
      <c r="AD938" s="10">
        <v>92</v>
      </c>
      <c r="AE938" s="10">
        <v>7</v>
      </c>
      <c r="AF938" s="10">
        <v>10.9</v>
      </c>
      <c r="AG938" s="9" t="s">
        <v>231</v>
      </c>
      <c r="AH938" s="9" t="s">
        <v>188</v>
      </c>
      <c r="AI938" s="10"/>
      <c r="AJ938" s="10"/>
      <c r="AK938" s="30"/>
    </row>
    <row r="939" spans="5:37">
      <c r="E939" s="28" t="s">
        <v>155</v>
      </c>
      <c r="F939" s="8" t="s">
        <v>1160</v>
      </c>
      <c r="G939" s="9" t="s">
        <v>485</v>
      </c>
      <c r="H939" s="10">
        <v>149</v>
      </c>
      <c r="I939" s="9" t="s">
        <v>163</v>
      </c>
      <c r="J939" s="10">
        <v>149</v>
      </c>
      <c r="K939" s="10">
        <v>149.1</v>
      </c>
      <c r="L939" s="10">
        <v>114</v>
      </c>
      <c r="M939" s="10">
        <v>125</v>
      </c>
      <c r="N939" s="10">
        <v>125</v>
      </c>
      <c r="O939" s="10">
        <v>88</v>
      </c>
      <c r="P939" s="10">
        <v>111</v>
      </c>
      <c r="Q939" s="10">
        <v>12.1</v>
      </c>
      <c r="R939" s="10">
        <v>1401</v>
      </c>
      <c r="S939" s="10">
        <v>1.07</v>
      </c>
      <c r="T939" s="10">
        <v>1493</v>
      </c>
      <c r="U939" s="10">
        <v>138</v>
      </c>
      <c r="V939" s="10">
        <v>89</v>
      </c>
      <c r="W939" s="10">
        <v>43</v>
      </c>
      <c r="X939" s="10">
        <v>187</v>
      </c>
      <c r="Y939" s="10">
        <v>19</v>
      </c>
      <c r="Z939" s="10">
        <v>161</v>
      </c>
      <c r="AA939" s="10">
        <v>0.43099999999999999</v>
      </c>
      <c r="AB939" s="10">
        <v>144</v>
      </c>
      <c r="AC939" s="10">
        <v>93</v>
      </c>
      <c r="AD939" s="10">
        <v>43</v>
      </c>
      <c r="AE939" s="10">
        <v>7</v>
      </c>
      <c r="AF939" s="10">
        <v>10.1</v>
      </c>
      <c r="AG939" s="9" t="s">
        <v>188</v>
      </c>
      <c r="AH939" s="9" t="s">
        <v>185</v>
      </c>
      <c r="AI939" s="10"/>
      <c r="AJ939" s="10"/>
      <c r="AK939" s="30"/>
    </row>
    <row r="940" spans="5:37">
      <c r="E940" s="28" t="s">
        <v>155</v>
      </c>
      <c r="F940" s="8" t="s">
        <v>1160</v>
      </c>
      <c r="G940" s="9" t="s">
        <v>485</v>
      </c>
      <c r="H940" s="10">
        <v>156</v>
      </c>
      <c r="I940" s="9" t="s">
        <v>163</v>
      </c>
      <c r="J940" s="10">
        <v>156</v>
      </c>
      <c r="K940" s="10">
        <v>155.9</v>
      </c>
      <c r="L940" s="10">
        <v>120</v>
      </c>
      <c r="M940" s="10">
        <v>132</v>
      </c>
      <c r="N940" s="10">
        <v>125</v>
      </c>
      <c r="O940" s="10">
        <v>87</v>
      </c>
      <c r="P940" s="10">
        <v>111</v>
      </c>
      <c r="Q940" s="10">
        <v>13.5</v>
      </c>
      <c r="R940" s="10">
        <v>1491</v>
      </c>
      <c r="S940" s="10">
        <v>1.04</v>
      </c>
      <c r="T940" s="10">
        <v>1548</v>
      </c>
      <c r="U940" s="10">
        <v>132</v>
      </c>
      <c r="V940" s="10">
        <v>84</v>
      </c>
      <c r="W940" s="10">
        <v>46</v>
      </c>
      <c r="X940" s="10">
        <v>207</v>
      </c>
      <c r="Y940" s="10">
        <v>18</v>
      </c>
      <c r="Z940" s="10">
        <v>156</v>
      </c>
      <c r="AA940" s="10">
        <v>0.40100000000000002</v>
      </c>
      <c r="AB940" s="10">
        <v>146</v>
      </c>
      <c r="AC940" s="10">
        <v>98</v>
      </c>
      <c r="AD940" s="10">
        <v>60</v>
      </c>
      <c r="AE940" s="10">
        <v>7</v>
      </c>
      <c r="AF940" s="10">
        <v>11</v>
      </c>
      <c r="AG940" s="9" t="s">
        <v>188</v>
      </c>
      <c r="AH940" s="10"/>
      <c r="AI940" s="10"/>
      <c r="AJ940" s="10"/>
      <c r="AK940" s="30"/>
    </row>
    <row r="941" spans="5:37">
      <c r="E941" s="28" t="s">
        <v>155</v>
      </c>
      <c r="F941" s="8" t="s">
        <v>1160</v>
      </c>
      <c r="G941" s="9" t="s">
        <v>485</v>
      </c>
      <c r="H941" s="10">
        <v>163</v>
      </c>
      <c r="I941" s="9" t="s">
        <v>163</v>
      </c>
      <c r="J941" s="10">
        <v>163</v>
      </c>
      <c r="K941" s="10">
        <v>162.69999999999999</v>
      </c>
      <c r="L941" s="10">
        <v>124</v>
      </c>
      <c r="M941" s="10">
        <v>139</v>
      </c>
      <c r="N941" s="10">
        <v>124</v>
      </c>
      <c r="O941" s="10">
        <v>87</v>
      </c>
      <c r="P941" s="10">
        <v>111</v>
      </c>
      <c r="Q941" s="10">
        <v>15.1</v>
      </c>
      <c r="R941" s="10">
        <v>1585</v>
      </c>
      <c r="S941" s="10">
        <v>1.02</v>
      </c>
      <c r="T941" s="10">
        <v>1620</v>
      </c>
      <c r="U941" s="10">
        <v>154</v>
      </c>
      <c r="V941" s="10">
        <v>82</v>
      </c>
      <c r="W941" s="10">
        <v>48</v>
      </c>
      <c r="X941" s="10">
        <v>218</v>
      </c>
      <c r="Y941" s="10">
        <v>20</v>
      </c>
      <c r="Z941" s="10">
        <v>166</v>
      </c>
      <c r="AA941" s="10">
        <v>0.42499999999999999</v>
      </c>
      <c r="AB941" s="10">
        <v>134</v>
      </c>
      <c r="AC941" s="10">
        <v>101</v>
      </c>
      <c r="AD941" s="10">
        <v>83</v>
      </c>
      <c r="AE941" s="10">
        <v>9</v>
      </c>
      <c r="AF941" s="10">
        <v>11</v>
      </c>
      <c r="AG941" s="9" t="s">
        <v>188</v>
      </c>
      <c r="AH941" s="10"/>
      <c r="AI941" s="10"/>
      <c r="AJ941" s="10"/>
      <c r="AK941" s="30"/>
    </row>
    <row r="942" spans="5:37">
      <c r="E942" s="28" t="s">
        <v>155</v>
      </c>
      <c r="F942" s="8" t="s">
        <v>1160</v>
      </c>
      <c r="G942" s="9" t="s">
        <v>485</v>
      </c>
      <c r="H942" s="10">
        <v>170</v>
      </c>
      <c r="I942" s="9" t="s">
        <v>163</v>
      </c>
      <c r="J942" s="10">
        <v>170</v>
      </c>
      <c r="K942" s="10">
        <v>169.4</v>
      </c>
      <c r="L942" s="10">
        <v>125</v>
      </c>
      <c r="M942" s="10">
        <v>146</v>
      </c>
      <c r="N942" s="10">
        <v>125</v>
      </c>
      <c r="O942" s="10">
        <v>87</v>
      </c>
      <c r="P942" s="10">
        <v>111</v>
      </c>
      <c r="Q942" s="10">
        <v>16.5</v>
      </c>
      <c r="R942" s="10">
        <v>1668</v>
      </c>
      <c r="S942" s="10">
        <v>1.01</v>
      </c>
      <c r="T942" s="10">
        <v>1685</v>
      </c>
      <c r="U942" s="10">
        <v>176</v>
      </c>
      <c r="V942" s="10">
        <v>90</v>
      </c>
      <c r="W942" s="10">
        <v>52</v>
      </c>
      <c r="X942" s="10">
        <v>250</v>
      </c>
      <c r="Y942" s="10">
        <v>26</v>
      </c>
      <c r="Z942" s="10">
        <v>198</v>
      </c>
      <c r="AA942" s="10">
        <v>0.495</v>
      </c>
      <c r="AB942" s="10">
        <v>137</v>
      </c>
      <c r="AC942" s="10">
        <v>99</v>
      </c>
      <c r="AD942" s="10">
        <v>112</v>
      </c>
      <c r="AE942" s="10">
        <v>8</v>
      </c>
      <c r="AF942" s="10">
        <v>11.2</v>
      </c>
      <c r="AG942" s="9" t="s">
        <v>188</v>
      </c>
      <c r="AH942" s="10"/>
      <c r="AI942" s="10"/>
      <c r="AJ942" s="10"/>
      <c r="AK942" s="30"/>
    </row>
    <row r="943" spans="5:37">
      <c r="E943" s="28" t="s">
        <v>155</v>
      </c>
      <c r="F943" s="8" t="s">
        <v>1160</v>
      </c>
      <c r="G943" s="9" t="s">
        <v>808</v>
      </c>
      <c r="H943" s="10">
        <v>149</v>
      </c>
      <c r="I943" s="9" t="s">
        <v>163</v>
      </c>
      <c r="J943" s="10">
        <v>149</v>
      </c>
      <c r="K943" s="10">
        <v>150</v>
      </c>
      <c r="L943" s="10">
        <v>115</v>
      </c>
      <c r="M943" s="10">
        <v>123</v>
      </c>
      <c r="N943" s="10">
        <v>126</v>
      </c>
      <c r="O943" s="10">
        <v>89</v>
      </c>
      <c r="P943" s="10">
        <v>112</v>
      </c>
      <c r="Q943" s="10">
        <v>11.7</v>
      </c>
      <c r="R943" s="10">
        <v>1333</v>
      </c>
      <c r="S943" s="10">
        <v>1.1399999999999999</v>
      </c>
      <c r="T943" s="10">
        <v>1522</v>
      </c>
      <c r="U943" s="10">
        <v>107</v>
      </c>
      <c r="V943" s="10">
        <v>58</v>
      </c>
      <c r="W943" s="10">
        <v>38</v>
      </c>
      <c r="X943" s="10">
        <v>216</v>
      </c>
      <c r="Y943" s="10">
        <v>10</v>
      </c>
      <c r="Z943" s="10">
        <v>135</v>
      </c>
      <c r="AA943" s="10">
        <v>0.25</v>
      </c>
      <c r="AB943" s="10">
        <v>156</v>
      </c>
      <c r="AC943" s="10">
        <v>109</v>
      </c>
      <c r="AD943" s="10">
        <v>59</v>
      </c>
      <c r="AE943" s="10">
        <v>9</v>
      </c>
      <c r="AF943" s="10">
        <v>9.6999999999999993</v>
      </c>
      <c r="AG943" s="9" t="s">
        <v>188</v>
      </c>
      <c r="AH943" s="9" t="s">
        <v>185</v>
      </c>
      <c r="AI943" s="10"/>
      <c r="AJ943" s="10"/>
      <c r="AK943" s="30"/>
    </row>
    <row r="944" spans="5:37">
      <c r="E944" s="28" t="s">
        <v>155</v>
      </c>
      <c r="F944" s="8" t="s">
        <v>1160</v>
      </c>
      <c r="G944" s="9" t="s">
        <v>808</v>
      </c>
      <c r="H944" s="10">
        <v>156</v>
      </c>
      <c r="I944" s="9" t="s">
        <v>163</v>
      </c>
      <c r="J944" s="10">
        <v>156</v>
      </c>
      <c r="K944" s="10">
        <v>156.5</v>
      </c>
      <c r="L944" s="10">
        <v>120</v>
      </c>
      <c r="M944" s="10">
        <v>130</v>
      </c>
      <c r="N944" s="10">
        <v>126</v>
      </c>
      <c r="O944" s="10">
        <v>89</v>
      </c>
      <c r="P944" s="10">
        <v>112</v>
      </c>
      <c r="Q944" s="10">
        <v>13.2</v>
      </c>
      <c r="R944" s="10">
        <v>1409</v>
      </c>
      <c r="S944" s="10">
        <v>1.1299999999999999</v>
      </c>
      <c r="T944" s="10">
        <v>1593</v>
      </c>
      <c r="U944" s="10">
        <v>118</v>
      </c>
      <c r="V944" s="10">
        <v>60</v>
      </c>
      <c r="W944" s="10">
        <v>44</v>
      </c>
      <c r="X944" s="10">
        <v>221</v>
      </c>
      <c r="Y944" s="10">
        <v>14</v>
      </c>
      <c r="Z944" s="10">
        <v>144</v>
      </c>
      <c r="AA944" s="10">
        <v>0.315</v>
      </c>
      <c r="AB944" s="10">
        <v>145</v>
      </c>
      <c r="AC944" s="10">
        <v>120</v>
      </c>
      <c r="AD944" s="10">
        <v>76</v>
      </c>
      <c r="AE944" s="10">
        <v>8</v>
      </c>
      <c r="AF944" s="10">
        <v>10.1</v>
      </c>
      <c r="AG944" s="9" t="s">
        <v>188</v>
      </c>
      <c r="AH944" s="9" t="s">
        <v>185</v>
      </c>
      <c r="AI944" s="10"/>
      <c r="AJ944" s="10"/>
      <c r="AK944" s="30"/>
    </row>
    <row r="945" spans="5:37">
      <c r="E945" s="28" t="s">
        <v>155</v>
      </c>
      <c r="F945" s="8" t="s">
        <v>1160</v>
      </c>
      <c r="G945" s="9" t="s">
        <v>808</v>
      </c>
      <c r="H945" s="10">
        <v>163</v>
      </c>
      <c r="I945" s="9" t="s">
        <v>163</v>
      </c>
      <c r="J945" s="10">
        <v>163</v>
      </c>
      <c r="K945" s="10">
        <v>163.4</v>
      </c>
      <c r="L945" s="10">
        <v>124</v>
      </c>
      <c r="M945" s="10">
        <v>138</v>
      </c>
      <c r="N945" s="10">
        <v>126</v>
      </c>
      <c r="O945" s="10">
        <v>89</v>
      </c>
      <c r="P945" s="10">
        <v>112</v>
      </c>
      <c r="Q945" s="10">
        <v>14.7</v>
      </c>
      <c r="R945" s="10">
        <v>1490</v>
      </c>
      <c r="S945" s="10">
        <v>1.1200000000000001</v>
      </c>
      <c r="T945" s="10">
        <v>1662</v>
      </c>
      <c r="U945" s="10">
        <v>135</v>
      </c>
      <c r="V945" s="10">
        <v>66</v>
      </c>
      <c r="W945" s="10">
        <v>45</v>
      </c>
      <c r="X945" s="10">
        <v>229</v>
      </c>
      <c r="Y945" s="10">
        <v>15</v>
      </c>
      <c r="Z945" s="10">
        <v>169</v>
      </c>
      <c r="AA945" s="10">
        <v>0.33200000000000002</v>
      </c>
      <c r="AB945" s="10">
        <v>142</v>
      </c>
      <c r="AC945" s="10">
        <v>114</v>
      </c>
      <c r="AD945" s="10">
        <v>86</v>
      </c>
      <c r="AE945" s="10">
        <v>6</v>
      </c>
      <c r="AF945" s="10">
        <v>10</v>
      </c>
      <c r="AG945" s="9" t="s">
        <v>188</v>
      </c>
      <c r="AH945" s="9" t="s">
        <v>185</v>
      </c>
      <c r="AI945" s="10"/>
      <c r="AJ945" s="10"/>
      <c r="AK945" s="30"/>
    </row>
    <row r="946" spans="5:37">
      <c r="E946" s="28" t="s">
        <v>155</v>
      </c>
      <c r="F946" s="8" t="s">
        <v>1160</v>
      </c>
      <c r="G946" s="9" t="s">
        <v>474</v>
      </c>
      <c r="H946" s="10">
        <v>163</v>
      </c>
      <c r="I946" s="9" t="s">
        <v>158</v>
      </c>
      <c r="J946" s="10">
        <v>163</v>
      </c>
      <c r="K946" s="10">
        <v>163</v>
      </c>
      <c r="L946" s="10">
        <v>122</v>
      </c>
      <c r="M946" s="10">
        <v>139</v>
      </c>
      <c r="N946" s="10">
        <v>126</v>
      </c>
      <c r="O946" s="10">
        <v>89</v>
      </c>
      <c r="P946" s="10">
        <v>112</v>
      </c>
      <c r="Q946" s="10">
        <v>15</v>
      </c>
      <c r="R946" s="10">
        <v>1675</v>
      </c>
      <c r="S946" s="10">
        <v>0.98</v>
      </c>
      <c r="T946" s="10">
        <v>1650</v>
      </c>
      <c r="U946" s="10">
        <v>155</v>
      </c>
      <c r="V946" s="10">
        <v>105</v>
      </c>
      <c r="W946" s="10">
        <v>43</v>
      </c>
      <c r="X946" s="10">
        <v>230</v>
      </c>
      <c r="Y946" s="10">
        <v>20</v>
      </c>
      <c r="Z946" s="10">
        <v>178</v>
      </c>
      <c r="AA946" s="10">
        <v>0.47899999999999998</v>
      </c>
      <c r="AB946" s="10">
        <v>140</v>
      </c>
      <c r="AC946" s="10">
        <v>99</v>
      </c>
      <c r="AD946" s="10">
        <v>91</v>
      </c>
      <c r="AE946" s="10">
        <v>7</v>
      </c>
      <c r="AF946" s="10">
        <v>10.6</v>
      </c>
      <c r="AG946" s="9" t="s">
        <v>188</v>
      </c>
      <c r="AH946" s="10"/>
      <c r="AI946" s="10"/>
      <c r="AJ946" s="10"/>
      <c r="AK946" s="30"/>
    </row>
    <row r="947" spans="5:37">
      <c r="E947" s="28" t="s">
        <v>155</v>
      </c>
      <c r="F947" s="8" t="s">
        <v>1160</v>
      </c>
      <c r="G947" s="9" t="s">
        <v>474</v>
      </c>
      <c r="H947" s="10">
        <v>170</v>
      </c>
      <c r="I947" s="9" t="s">
        <v>158</v>
      </c>
      <c r="J947" s="10">
        <v>170</v>
      </c>
      <c r="K947" s="10">
        <v>169.9</v>
      </c>
      <c r="L947" s="10">
        <v>119</v>
      </c>
      <c r="M947" s="10">
        <v>146</v>
      </c>
      <c r="N947" s="10">
        <v>127</v>
      </c>
      <c r="O947" s="10">
        <v>89</v>
      </c>
      <c r="P947" s="10">
        <v>113</v>
      </c>
      <c r="Q947" s="10">
        <v>16.7</v>
      </c>
      <c r="R947" s="10">
        <v>1831</v>
      </c>
      <c r="S947" s="10">
        <v>0.94</v>
      </c>
      <c r="T947" s="10">
        <v>1723</v>
      </c>
      <c r="U947" s="10">
        <v>184</v>
      </c>
      <c r="V947" s="10">
        <v>120</v>
      </c>
      <c r="W947" s="10">
        <v>43</v>
      </c>
      <c r="X947" s="10">
        <v>329</v>
      </c>
      <c r="Y947" s="10">
        <v>20</v>
      </c>
      <c r="Z947" s="10">
        <v>180</v>
      </c>
      <c r="AA947" s="10">
        <v>0.46899999999999997</v>
      </c>
      <c r="AB947" s="10">
        <v>139</v>
      </c>
      <c r="AC947" s="10">
        <v>98</v>
      </c>
      <c r="AD947" s="10">
        <v>190</v>
      </c>
      <c r="AE947" s="10">
        <v>4</v>
      </c>
      <c r="AF947" s="10">
        <v>10.9</v>
      </c>
      <c r="AG947" s="9" t="s">
        <v>188</v>
      </c>
      <c r="AH947" s="10"/>
      <c r="AI947" s="10"/>
      <c r="AJ947" s="10"/>
      <c r="AK947" s="30"/>
    </row>
    <row r="948" spans="5:37">
      <c r="E948" s="28" t="s">
        <v>155</v>
      </c>
      <c r="F948" s="8" t="s">
        <v>1160</v>
      </c>
      <c r="G948" s="9" t="s">
        <v>474</v>
      </c>
      <c r="H948" s="10">
        <v>177</v>
      </c>
      <c r="I948" s="9" t="s">
        <v>158</v>
      </c>
      <c r="J948" s="10">
        <v>177</v>
      </c>
      <c r="K948" s="10">
        <v>176.9</v>
      </c>
      <c r="L948" s="10">
        <v>136</v>
      </c>
      <c r="M948" s="10">
        <v>152</v>
      </c>
      <c r="N948" s="10">
        <v>127</v>
      </c>
      <c r="O948" s="10">
        <v>89</v>
      </c>
      <c r="P948" s="10">
        <v>113</v>
      </c>
      <c r="Q948" s="10">
        <v>18.2</v>
      </c>
      <c r="R948" s="10">
        <v>1906</v>
      </c>
      <c r="S948" s="10">
        <v>0.94</v>
      </c>
      <c r="T948" s="10">
        <v>1794</v>
      </c>
      <c r="U948" s="10">
        <v>190</v>
      </c>
      <c r="V948" s="10">
        <v>128</v>
      </c>
      <c r="W948" s="10">
        <v>41</v>
      </c>
      <c r="X948" s="10">
        <v>220</v>
      </c>
      <c r="Y948" s="10">
        <v>17</v>
      </c>
      <c r="Z948" s="10">
        <v>187</v>
      </c>
      <c r="AA948" s="10">
        <v>0.42599999999999999</v>
      </c>
      <c r="AB948" s="10">
        <v>142</v>
      </c>
      <c r="AC948" s="10">
        <v>103</v>
      </c>
      <c r="AD948" s="10">
        <v>78</v>
      </c>
      <c r="AE948" s="10">
        <v>8</v>
      </c>
      <c r="AF948" s="10">
        <v>11.1</v>
      </c>
      <c r="AG948" s="9" t="s">
        <v>188</v>
      </c>
      <c r="AH948" s="10"/>
      <c r="AI948" s="10"/>
      <c r="AJ948" s="10"/>
      <c r="AK948" s="30"/>
    </row>
    <row r="949" spans="5:37">
      <c r="E949" s="28" t="s">
        <v>155</v>
      </c>
      <c r="F949" s="8" t="s">
        <v>1160</v>
      </c>
      <c r="G949" s="9" t="s">
        <v>474</v>
      </c>
      <c r="H949" s="10">
        <v>184</v>
      </c>
      <c r="I949" s="9" t="s">
        <v>158</v>
      </c>
      <c r="J949" s="10">
        <v>184</v>
      </c>
      <c r="K949" s="10">
        <v>183.5</v>
      </c>
      <c r="L949" s="10">
        <v>143</v>
      </c>
      <c r="M949" s="10">
        <v>159</v>
      </c>
      <c r="N949" s="10">
        <v>126</v>
      </c>
      <c r="O949" s="10">
        <v>89</v>
      </c>
      <c r="P949" s="10">
        <v>113</v>
      </c>
      <c r="Q949" s="10">
        <v>19.7</v>
      </c>
      <c r="R949" s="10">
        <v>2028</v>
      </c>
      <c r="S949" s="10">
        <v>0.91</v>
      </c>
      <c r="T949" s="10">
        <v>1854</v>
      </c>
      <c r="U949" s="10">
        <v>222</v>
      </c>
      <c r="V949" s="10">
        <v>155</v>
      </c>
      <c r="W949" s="10">
        <v>47</v>
      </c>
      <c r="X949" s="10">
        <v>235</v>
      </c>
      <c r="Y949" s="10">
        <v>19</v>
      </c>
      <c r="Z949" s="10">
        <v>167</v>
      </c>
      <c r="AA949" s="10">
        <v>0.41499999999999998</v>
      </c>
      <c r="AB949" s="10">
        <v>141</v>
      </c>
      <c r="AC949" s="10">
        <v>105</v>
      </c>
      <c r="AD949" s="10">
        <v>94</v>
      </c>
      <c r="AE949" s="10">
        <v>7</v>
      </c>
      <c r="AF949" s="10">
        <v>11.6</v>
      </c>
      <c r="AG949" s="9" t="s">
        <v>188</v>
      </c>
      <c r="AH949" s="10"/>
      <c r="AI949" s="10"/>
      <c r="AJ949" s="10"/>
      <c r="AK949" s="30"/>
    </row>
    <row r="950" spans="5:37">
      <c r="E950" s="28" t="s">
        <v>155</v>
      </c>
      <c r="F950" s="8" t="s">
        <v>1160</v>
      </c>
      <c r="G950" s="9" t="s">
        <v>327</v>
      </c>
      <c r="H950" s="10">
        <v>156</v>
      </c>
      <c r="I950" s="9" t="s">
        <v>158</v>
      </c>
      <c r="J950" s="10">
        <v>156</v>
      </c>
      <c r="K950" s="10">
        <v>156.69999999999999</v>
      </c>
      <c r="L950" s="10">
        <v>118</v>
      </c>
      <c r="M950" s="10">
        <v>130</v>
      </c>
      <c r="N950" s="10">
        <v>126</v>
      </c>
      <c r="O950" s="10">
        <v>89</v>
      </c>
      <c r="P950" s="10">
        <v>112</v>
      </c>
      <c r="Q950" s="10">
        <v>13.5</v>
      </c>
      <c r="R950" s="10">
        <v>1373</v>
      </c>
      <c r="S950" s="10">
        <v>1.1599999999999999</v>
      </c>
      <c r="T950" s="10">
        <v>1588</v>
      </c>
      <c r="U950" s="10">
        <v>117</v>
      </c>
      <c r="V950" s="10">
        <v>60</v>
      </c>
      <c r="W950" s="10">
        <v>49</v>
      </c>
      <c r="X950" s="10">
        <v>225</v>
      </c>
      <c r="Y950" s="10">
        <v>16</v>
      </c>
      <c r="Z950" s="10">
        <v>161</v>
      </c>
      <c r="AA950" s="10">
        <v>0.32400000000000001</v>
      </c>
      <c r="AB950" s="10">
        <v>155</v>
      </c>
      <c r="AC950" s="10">
        <v>116</v>
      </c>
      <c r="AD950" s="10">
        <v>71</v>
      </c>
      <c r="AE950" s="10">
        <v>9</v>
      </c>
      <c r="AF950" s="10">
        <v>9.6999999999999993</v>
      </c>
      <c r="AG950" s="9" t="s">
        <v>188</v>
      </c>
      <c r="AH950" s="9" t="s">
        <v>185</v>
      </c>
      <c r="AI950" s="10"/>
      <c r="AJ950" s="10"/>
      <c r="AK950" s="30"/>
    </row>
    <row r="951" spans="5:37">
      <c r="E951" s="28" t="s">
        <v>155</v>
      </c>
      <c r="F951" s="8" t="s">
        <v>1160</v>
      </c>
      <c r="G951" s="9" t="s">
        <v>327</v>
      </c>
      <c r="H951" s="10">
        <v>163</v>
      </c>
      <c r="I951" s="9" t="s">
        <v>158</v>
      </c>
      <c r="J951" s="10">
        <v>163</v>
      </c>
      <c r="K951" s="10">
        <v>163.6</v>
      </c>
      <c r="L951" s="10">
        <v>129</v>
      </c>
      <c r="M951" s="10">
        <v>137</v>
      </c>
      <c r="N951" s="10">
        <v>126</v>
      </c>
      <c r="O951" s="10">
        <v>89</v>
      </c>
      <c r="P951" s="10">
        <v>112</v>
      </c>
      <c r="Q951" s="10">
        <v>14.6</v>
      </c>
      <c r="R951" s="10">
        <v>1462</v>
      </c>
      <c r="S951" s="10">
        <v>1.1299999999999999</v>
      </c>
      <c r="T951" s="10">
        <v>1659</v>
      </c>
      <c r="U951" s="10">
        <v>131</v>
      </c>
      <c r="V951" s="10">
        <v>68</v>
      </c>
      <c r="W951" s="10">
        <v>44</v>
      </c>
      <c r="X951" s="10">
        <v>208</v>
      </c>
      <c r="Y951" s="10">
        <v>14</v>
      </c>
      <c r="Z951" s="10">
        <v>141</v>
      </c>
      <c r="AA951" s="10">
        <v>0.315</v>
      </c>
      <c r="AB951" s="10">
        <v>156</v>
      </c>
      <c r="AC951" s="10">
        <v>111</v>
      </c>
      <c r="AD951" s="10">
        <v>52</v>
      </c>
      <c r="AE951" s="10">
        <v>8</v>
      </c>
      <c r="AF951" s="10">
        <v>10.3</v>
      </c>
      <c r="AG951" s="9" t="s">
        <v>188</v>
      </c>
      <c r="AH951" s="9" t="s">
        <v>185</v>
      </c>
      <c r="AI951" s="10"/>
      <c r="AJ951" s="10"/>
      <c r="AK951" s="30"/>
    </row>
    <row r="952" spans="5:37">
      <c r="E952" s="28" t="s">
        <v>155</v>
      </c>
      <c r="F952" s="8" t="s">
        <v>1160</v>
      </c>
      <c r="G952" s="9" t="s">
        <v>327</v>
      </c>
      <c r="H952" s="10">
        <v>170</v>
      </c>
      <c r="I952" s="9" t="s">
        <v>158</v>
      </c>
      <c r="J952" s="10">
        <v>170</v>
      </c>
      <c r="K952" s="10">
        <v>170.2</v>
      </c>
      <c r="L952" s="10">
        <v>130</v>
      </c>
      <c r="M952" s="10">
        <v>142</v>
      </c>
      <c r="N952" s="10">
        <v>126</v>
      </c>
      <c r="O952" s="10">
        <v>89</v>
      </c>
      <c r="P952" s="10">
        <v>112</v>
      </c>
      <c r="Q952" s="10">
        <v>16</v>
      </c>
      <c r="R952" s="10">
        <v>1562</v>
      </c>
      <c r="S952" s="10">
        <v>1.1000000000000001</v>
      </c>
      <c r="T952" s="10">
        <v>1724</v>
      </c>
      <c r="U952" s="10">
        <v>156</v>
      </c>
      <c r="V952" s="10">
        <v>80</v>
      </c>
      <c r="W952" s="10">
        <v>49</v>
      </c>
      <c r="X952" s="10">
        <v>236</v>
      </c>
      <c r="Y952" s="10">
        <v>16</v>
      </c>
      <c r="Z952" s="10">
        <v>171</v>
      </c>
      <c r="AA952" s="10">
        <v>0.32500000000000001</v>
      </c>
      <c r="AB952" s="10">
        <v>155</v>
      </c>
      <c r="AC952" s="10">
        <v>126</v>
      </c>
      <c r="AD952" s="10">
        <v>81</v>
      </c>
      <c r="AE952" s="10">
        <v>7</v>
      </c>
      <c r="AF952" s="10">
        <v>10.6</v>
      </c>
      <c r="AG952" s="9" t="s">
        <v>188</v>
      </c>
      <c r="AH952" s="9" t="s">
        <v>185</v>
      </c>
      <c r="AI952" s="10"/>
      <c r="AJ952" s="10"/>
      <c r="AK952" s="30"/>
    </row>
    <row r="953" spans="5:37">
      <c r="E953" s="28" t="s">
        <v>155</v>
      </c>
      <c r="F953" s="8" t="s">
        <v>1160</v>
      </c>
      <c r="G953" s="9" t="s">
        <v>327</v>
      </c>
      <c r="H953" s="10">
        <v>177</v>
      </c>
      <c r="I953" s="9" t="s">
        <v>158</v>
      </c>
      <c r="J953" s="10">
        <v>177</v>
      </c>
      <c r="K953" s="10">
        <v>177.4</v>
      </c>
      <c r="L953" s="10">
        <v>140</v>
      </c>
      <c r="M953" s="10">
        <v>149</v>
      </c>
      <c r="N953" s="10">
        <v>126</v>
      </c>
      <c r="O953" s="10">
        <v>89</v>
      </c>
      <c r="P953" s="10">
        <v>112</v>
      </c>
      <c r="Q953" s="10">
        <v>17.600000000000001</v>
      </c>
      <c r="R953" s="10">
        <v>1716</v>
      </c>
      <c r="S953" s="10">
        <v>1.05</v>
      </c>
      <c r="T953" s="10">
        <v>1795</v>
      </c>
      <c r="U953" s="10">
        <v>185</v>
      </c>
      <c r="V953" s="10">
        <v>93</v>
      </c>
      <c r="W953" s="10">
        <v>46</v>
      </c>
      <c r="X953" s="10">
        <v>216</v>
      </c>
      <c r="Y953" s="10">
        <v>15</v>
      </c>
      <c r="Z953" s="10">
        <v>159</v>
      </c>
      <c r="AA953" s="10">
        <v>0.318</v>
      </c>
      <c r="AB953" s="10">
        <v>166</v>
      </c>
      <c r="AC953" s="10">
        <v>119</v>
      </c>
      <c r="AD953" s="10">
        <v>50</v>
      </c>
      <c r="AE953" s="10">
        <v>8</v>
      </c>
      <c r="AF953" s="10">
        <v>11</v>
      </c>
      <c r="AG953" s="9" t="s">
        <v>188</v>
      </c>
      <c r="AH953" s="10"/>
      <c r="AI953" s="10"/>
      <c r="AJ953" s="10"/>
      <c r="AK953" s="30"/>
    </row>
    <row r="954" spans="5:37">
      <c r="E954" s="28" t="s">
        <v>155</v>
      </c>
      <c r="F954" s="8" t="s">
        <v>1160</v>
      </c>
      <c r="G954" s="9" t="s">
        <v>488</v>
      </c>
      <c r="H954" s="10">
        <v>154</v>
      </c>
      <c r="I954" s="9" t="s">
        <v>163</v>
      </c>
      <c r="J954" s="10">
        <v>154</v>
      </c>
      <c r="K954" s="10">
        <v>154.1</v>
      </c>
      <c r="L954" s="10">
        <v>108</v>
      </c>
      <c r="M954" s="10">
        <v>126</v>
      </c>
      <c r="N954" s="10">
        <v>133</v>
      </c>
      <c r="O954" s="10">
        <v>98</v>
      </c>
      <c r="P954" s="10">
        <v>119</v>
      </c>
      <c r="Q954" s="10">
        <v>13.1</v>
      </c>
      <c r="R954" s="10">
        <v>1594</v>
      </c>
      <c r="S954" s="10">
        <v>1.06</v>
      </c>
      <c r="T954" s="10">
        <v>1683</v>
      </c>
      <c r="U954" s="10">
        <v>117</v>
      </c>
      <c r="V954" s="10">
        <v>84</v>
      </c>
      <c r="W954" s="10">
        <v>44</v>
      </c>
      <c r="X954" s="10">
        <v>296</v>
      </c>
      <c r="Y954" s="10">
        <v>14</v>
      </c>
      <c r="Z954" s="10">
        <v>168</v>
      </c>
      <c r="AA954" s="10">
        <v>0.32400000000000001</v>
      </c>
      <c r="AB954" s="10">
        <v>157</v>
      </c>
      <c r="AC954" s="10">
        <v>122</v>
      </c>
      <c r="AD954" s="10">
        <v>138</v>
      </c>
      <c r="AE954" s="10">
        <v>7</v>
      </c>
      <c r="AF954" s="10">
        <v>9.8000000000000007</v>
      </c>
      <c r="AG954" s="9" t="s">
        <v>188</v>
      </c>
      <c r="AH954" s="9" t="s">
        <v>185</v>
      </c>
      <c r="AI954" s="10"/>
      <c r="AJ954" s="10"/>
      <c r="AK954" s="30"/>
    </row>
    <row r="955" spans="5:37">
      <c r="E955" s="28" t="s">
        <v>155</v>
      </c>
      <c r="F955" s="8" t="s">
        <v>1160</v>
      </c>
      <c r="G955" s="9" t="s">
        <v>488</v>
      </c>
      <c r="H955" s="10">
        <v>161</v>
      </c>
      <c r="I955" s="9" t="s">
        <v>163</v>
      </c>
      <c r="J955" s="10">
        <v>161</v>
      </c>
      <c r="K955" s="10">
        <v>161.1</v>
      </c>
      <c r="L955" s="10">
        <v>114</v>
      </c>
      <c r="M955" s="10">
        <v>133</v>
      </c>
      <c r="N955" s="10">
        <v>133</v>
      </c>
      <c r="O955" s="10">
        <v>97</v>
      </c>
      <c r="P955" s="10">
        <v>119</v>
      </c>
      <c r="Q955" s="10">
        <v>14.6</v>
      </c>
      <c r="R955" s="10">
        <v>1700</v>
      </c>
      <c r="S955" s="10">
        <v>1.03</v>
      </c>
      <c r="T955" s="10">
        <v>1752</v>
      </c>
      <c r="U955" s="10">
        <v>144</v>
      </c>
      <c r="V955" s="10">
        <v>91</v>
      </c>
      <c r="W955" s="10">
        <v>48</v>
      </c>
      <c r="X955" s="10">
        <v>287</v>
      </c>
      <c r="Y955" s="10">
        <v>15</v>
      </c>
      <c r="Z955" s="10">
        <v>180</v>
      </c>
      <c r="AA955" s="10">
        <v>0.309</v>
      </c>
      <c r="AB955" s="10">
        <v>157</v>
      </c>
      <c r="AC955" s="10">
        <v>120</v>
      </c>
      <c r="AD955" s="10">
        <v>130</v>
      </c>
      <c r="AE955" s="10">
        <v>7</v>
      </c>
      <c r="AF955" s="10">
        <v>10.7</v>
      </c>
      <c r="AG955" s="9" t="s">
        <v>188</v>
      </c>
      <c r="AH955" s="10"/>
      <c r="AI955" s="10"/>
      <c r="AJ955" s="10"/>
      <c r="AK955" s="30"/>
    </row>
    <row r="956" spans="5:37">
      <c r="E956" s="28" t="s">
        <v>155</v>
      </c>
      <c r="F956" s="8" t="s">
        <v>1160</v>
      </c>
      <c r="G956" s="9" t="s">
        <v>488</v>
      </c>
      <c r="H956" s="10">
        <v>168</v>
      </c>
      <c r="I956" s="9" t="s">
        <v>163</v>
      </c>
      <c r="J956" s="10">
        <v>168</v>
      </c>
      <c r="K956" s="10">
        <v>167.8</v>
      </c>
      <c r="L956" s="10">
        <v>119</v>
      </c>
      <c r="M956" s="10">
        <v>139</v>
      </c>
      <c r="N956" s="10">
        <v>132</v>
      </c>
      <c r="O956" s="10">
        <v>97</v>
      </c>
      <c r="P956" s="10">
        <v>118</v>
      </c>
      <c r="Q956" s="10">
        <v>16.3</v>
      </c>
      <c r="R956" s="10">
        <v>1803</v>
      </c>
      <c r="S956" s="10">
        <v>1.01</v>
      </c>
      <c r="T956" s="10">
        <v>1823</v>
      </c>
      <c r="U956" s="10">
        <v>169</v>
      </c>
      <c r="V956" s="10">
        <v>106</v>
      </c>
      <c r="W956" s="10">
        <v>51</v>
      </c>
      <c r="X956" s="10">
        <v>294</v>
      </c>
      <c r="Y956" s="10">
        <v>19</v>
      </c>
      <c r="Z956" s="10">
        <v>197</v>
      </c>
      <c r="AA956" s="10">
        <v>0.374</v>
      </c>
      <c r="AB956" s="10">
        <v>157</v>
      </c>
      <c r="AC956" s="10">
        <v>128</v>
      </c>
      <c r="AD956" s="10">
        <v>137</v>
      </c>
      <c r="AE956" s="10">
        <v>7</v>
      </c>
      <c r="AF956" s="10">
        <v>10.3</v>
      </c>
      <c r="AG956" s="9" t="s">
        <v>188</v>
      </c>
      <c r="AH956" s="10"/>
      <c r="AI956" s="10"/>
      <c r="AJ956" s="10"/>
      <c r="AK956" s="30"/>
    </row>
    <row r="957" spans="5:37">
      <c r="E957" s="28" t="s">
        <v>155</v>
      </c>
      <c r="F957" s="8" t="s">
        <v>1160</v>
      </c>
      <c r="G957" s="9" t="s">
        <v>522</v>
      </c>
      <c r="H957" s="10">
        <v>170</v>
      </c>
      <c r="I957" s="9" t="s">
        <v>158</v>
      </c>
      <c r="J957" s="10">
        <v>170</v>
      </c>
      <c r="K957" s="10">
        <v>169.9</v>
      </c>
      <c r="L957" s="10">
        <v>117</v>
      </c>
      <c r="M957" s="10">
        <v>143</v>
      </c>
      <c r="N957" s="10">
        <v>137</v>
      </c>
      <c r="O957" s="10">
        <v>98</v>
      </c>
      <c r="P957" s="10">
        <v>122</v>
      </c>
      <c r="Q957" s="10">
        <v>16</v>
      </c>
      <c r="R957" s="10">
        <v>1901</v>
      </c>
      <c r="S957" s="10">
        <v>0.99</v>
      </c>
      <c r="T957" s="10">
        <v>1875</v>
      </c>
      <c r="U957" s="10">
        <v>164</v>
      </c>
      <c r="V957" s="10">
        <v>107</v>
      </c>
      <c r="W957" s="10">
        <v>50</v>
      </c>
      <c r="X957" s="10">
        <v>315</v>
      </c>
      <c r="Y957" s="10">
        <v>16</v>
      </c>
      <c r="Z957" s="10">
        <v>215</v>
      </c>
      <c r="AA957" s="10">
        <v>0.316</v>
      </c>
      <c r="AB957" s="10">
        <v>154</v>
      </c>
      <c r="AC957" s="10">
        <v>117</v>
      </c>
      <c r="AD957" s="10">
        <v>161</v>
      </c>
      <c r="AE957" s="10">
        <v>6</v>
      </c>
      <c r="AF957" s="10">
        <v>10.8</v>
      </c>
      <c r="AG957" s="9" t="s">
        <v>188</v>
      </c>
      <c r="AH957" s="10"/>
      <c r="AI957" s="10"/>
      <c r="AJ957" s="10"/>
      <c r="AK957" s="30"/>
    </row>
    <row r="958" spans="5:37">
      <c r="E958" s="28" t="s">
        <v>155</v>
      </c>
      <c r="F958" s="8" t="s">
        <v>1160</v>
      </c>
      <c r="G958" s="9" t="s">
        <v>522</v>
      </c>
      <c r="H958" s="10">
        <v>177</v>
      </c>
      <c r="I958" s="9" t="s">
        <v>158</v>
      </c>
      <c r="J958" s="10">
        <v>177</v>
      </c>
      <c r="K958" s="10">
        <v>176.9</v>
      </c>
      <c r="L958" s="10">
        <v>125</v>
      </c>
      <c r="M958" s="10">
        <v>150</v>
      </c>
      <c r="N958" s="10">
        <v>137</v>
      </c>
      <c r="O958" s="10">
        <v>99</v>
      </c>
      <c r="P958" s="10">
        <v>122</v>
      </c>
      <c r="Q958" s="10">
        <v>17.5</v>
      </c>
      <c r="R958" s="10">
        <v>2031</v>
      </c>
      <c r="S958" s="10">
        <v>0.96</v>
      </c>
      <c r="T958" s="10">
        <v>1957</v>
      </c>
      <c r="U958" s="10">
        <v>202</v>
      </c>
      <c r="V958" s="10">
        <v>122</v>
      </c>
      <c r="W958" s="10">
        <v>49</v>
      </c>
      <c r="X958" s="10">
        <v>319</v>
      </c>
      <c r="Y958" s="10">
        <v>15</v>
      </c>
      <c r="Z958" s="10">
        <v>202</v>
      </c>
      <c r="AA958" s="10">
        <v>0.29399999999999998</v>
      </c>
      <c r="AB958" s="10">
        <v>152</v>
      </c>
      <c r="AC958" s="10">
        <v>122</v>
      </c>
      <c r="AD958" s="10">
        <v>167</v>
      </c>
      <c r="AE958" s="10">
        <v>7</v>
      </c>
      <c r="AF958" s="10">
        <v>11</v>
      </c>
      <c r="AG958" s="9" t="s">
        <v>188</v>
      </c>
      <c r="AH958" s="10"/>
      <c r="AI958" s="10"/>
      <c r="AJ958" s="10"/>
      <c r="AK958" s="30"/>
    </row>
    <row r="959" spans="5:37">
      <c r="E959" s="28" t="s">
        <v>155</v>
      </c>
      <c r="F959" s="8" t="s">
        <v>1160</v>
      </c>
      <c r="G959" s="9" t="s">
        <v>522</v>
      </c>
      <c r="H959" s="10">
        <v>184</v>
      </c>
      <c r="I959" s="9" t="s">
        <v>158</v>
      </c>
      <c r="J959" s="10">
        <v>184</v>
      </c>
      <c r="K959" s="10">
        <v>183.8</v>
      </c>
      <c r="L959" s="10">
        <v>134</v>
      </c>
      <c r="M959" s="10">
        <v>157</v>
      </c>
      <c r="N959" s="10">
        <v>137</v>
      </c>
      <c r="O959" s="10">
        <v>98</v>
      </c>
      <c r="P959" s="10">
        <v>122</v>
      </c>
      <c r="Q959" s="10">
        <v>19.2</v>
      </c>
      <c r="R959" s="10">
        <v>2191</v>
      </c>
      <c r="S959" s="10">
        <v>0.93</v>
      </c>
      <c r="T959" s="10">
        <v>2027</v>
      </c>
      <c r="U959" s="10">
        <v>228</v>
      </c>
      <c r="V959" s="10">
        <v>136</v>
      </c>
      <c r="W959" s="10">
        <v>50</v>
      </c>
      <c r="X959" s="10">
        <v>312</v>
      </c>
      <c r="Y959" s="10">
        <v>17</v>
      </c>
      <c r="Z959" s="10">
        <v>190</v>
      </c>
      <c r="AA959" s="10">
        <v>0.32900000000000001</v>
      </c>
      <c r="AB959" s="10">
        <v>149</v>
      </c>
      <c r="AC959" s="10">
        <v>120</v>
      </c>
      <c r="AD959" s="10">
        <v>163</v>
      </c>
      <c r="AE959" s="10">
        <v>7</v>
      </c>
      <c r="AF959" s="10">
        <v>11.3</v>
      </c>
      <c r="AG959" s="9" t="s">
        <v>188</v>
      </c>
      <c r="AH959" s="10"/>
      <c r="AI959" s="10"/>
      <c r="AJ959" s="10"/>
      <c r="AK959" s="30"/>
    </row>
    <row r="960" spans="5:37">
      <c r="E960" s="28" t="s">
        <v>155</v>
      </c>
      <c r="F960" s="8" t="s">
        <v>1160</v>
      </c>
      <c r="G960" s="9" t="s">
        <v>522</v>
      </c>
      <c r="H960" s="10">
        <v>191</v>
      </c>
      <c r="I960" s="9" t="s">
        <v>158</v>
      </c>
      <c r="J960" s="10">
        <v>191</v>
      </c>
      <c r="K960" s="10">
        <v>190.8</v>
      </c>
      <c r="L960" s="10">
        <v>143</v>
      </c>
      <c r="M960" s="10">
        <v>163</v>
      </c>
      <c r="N960" s="10">
        <v>137</v>
      </c>
      <c r="O960" s="10">
        <v>98</v>
      </c>
      <c r="P960" s="10">
        <v>122</v>
      </c>
      <c r="Q960" s="10">
        <v>20.8</v>
      </c>
      <c r="R960" s="10">
        <v>2358</v>
      </c>
      <c r="S960" s="10">
        <v>0.89</v>
      </c>
      <c r="T960" s="10">
        <v>2098</v>
      </c>
      <c r="U960" s="10">
        <v>314</v>
      </c>
      <c r="V960" s="10">
        <v>180</v>
      </c>
      <c r="W960" s="10">
        <v>53</v>
      </c>
      <c r="X960" s="10">
        <v>301</v>
      </c>
      <c r="Y960" s="10">
        <v>17</v>
      </c>
      <c r="Z960" s="10">
        <v>182</v>
      </c>
      <c r="AA960" s="10">
        <v>0.32400000000000001</v>
      </c>
      <c r="AB960" s="10">
        <v>151</v>
      </c>
      <c r="AC960" s="10">
        <v>123</v>
      </c>
      <c r="AD960" s="10">
        <v>149</v>
      </c>
      <c r="AE960" s="10">
        <v>8</v>
      </c>
      <c r="AF960" s="10">
        <v>12</v>
      </c>
      <c r="AG960" s="9" t="s">
        <v>188</v>
      </c>
      <c r="AH960" s="10"/>
      <c r="AI960" s="10"/>
      <c r="AJ960" s="10"/>
      <c r="AK960" s="30"/>
    </row>
    <row r="961" spans="5:37">
      <c r="E961" s="28" t="s">
        <v>155</v>
      </c>
      <c r="F961" s="8" t="s">
        <v>1160</v>
      </c>
      <c r="G961" s="9" t="s">
        <v>606</v>
      </c>
      <c r="H961" s="10">
        <v>145</v>
      </c>
      <c r="I961" s="9" t="s">
        <v>385</v>
      </c>
      <c r="J961" s="10">
        <v>145</v>
      </c>
      <c r="K961" s="10">
        <v>145.1</v>
      </c>
      <c r="L961" s="10">
        <v>95</v>
      </c>
      <c r="M961" s="10">
        <v>110</v>
      </c>
      <c r="N961" s="10">
        <v>126</v>
      </c>
      <c r="O961" s="10">
        <v>98</v>
      </c>
      <c r="P961" s="10">
        <v>116</v>
      </c>
      <c r="Q961" s="10">
        <v>12.2</v>
      </c>
      <c r="R961" s="10">
        <v>1310</v>
      </c>
      <c r="S961" s="10">
        <v>1.19</v>
      </c>
      <c r="T961" s="10">
        <v>1554</v>
      </c>
      <c r="U961" s="10">
        <v>112</v>
      </c>
      <c r="V961" s="10">
        <v>70</v>
      </c>
      <c r="W961" s="10">
        <v>43</v>
      </c>
      <c r="X961" s="10">
        <v>310</v>
      </c>
      <c r="Y961" s="10">
        <v>16</v>
      </c>
      <c r="Z961" s="10">
        <v>192</v>
      </c>
      <c r="AA961" s="10">
        <v>0.38400000000000001</v>
      </c>
      <c r="AB961" s="10">
        <v>192</v>
      </c>
      <c r="AC961" s="10">
        <v>156</v>
      </c>
      <c r="AD961" s="10">
        <v>119</v>
      </c>
      <c r="AE961" s="10">
        <v>4</v>
      </c>
      <c r="AF961" s="10">
        <v>8.1</v>
      </c>
      <c r="AG961" s="9" t="s">
        <v>188</v>
      </c>
      <c r="AH961" s="9" t="s">
        <v>185</v>
      </c>
      <c r="AI961" s="10"/>
      <c r="AJ961" s="10"/>
      <c r="AK961" s="30"/>
    </row>
    <row r="962" spans="5:37">
      <c r="E962" s="28" t="s">
        <v>155</v>
      </c>
      <c r="F962" s="8" t="s">
        <v>1160</v>
      </c>
      <c r="G962" s="9" t="s">
        <v>606</v>
      </c>
      <c r="H962" s="10">
        <v>165</v>
      </c>
      <c r="I962" s="9" t="s">
        <v>385</v>
      </c>
      <c r="J962" s="10">
        <v>165</v>
      </c>
      <c r="K962" s="10">
        <v>165.4</v>
      </c>
      <c r="L962" s="10">
        <v>109</v>
      </c>
      <c r="M962" s="10">
        <v>129</v>
      </c>
      <c r="N962" s="10">
        <v>126</v>
      </c>
      <c r="O962" s="10">
        <v>97</v>
      </c>
      <c r="P962" s="10">
        <v>115</v>
      </c>
      <c r="Q962" s="10">
        <v>16.7</v>
      </c>
      <c r="R962" s="10">
        <v>1603</v>
      </c>
      <c r="S962" s="10">
        <v>1.1000000000000001</v>
      </c>
      <c r="T962" s="10">
        <v>1765</v>
      </c>
      <c r="U962" s="10">
        <v>167</v>
      </c>
      <c r="V962" s="10">
        <v>86</v>
      </c>
      <c r="W962" s="10">
        <v>45</v>
      </c>
      <c r="X962" s="10">
        <v>351</v>
      </c>
      <c r="Y962" s="10">
        <v>19</v>
      </c>
      <c r="Z962" s="10">
        <v>214</v>
      </c>
      <c r="AA962" s="10">
        <v>0.434</v>
      </c>
      <c r="AB962" s="10">
        <v>197</v>
      </c>
      <c r="AC962" s="10">
        <v>169</v>
      </c>
      <c r="AD962" s="10">
        <v>154</v>
      </c>
      <c r="AE962" s="10">
        <v>5</v>
      </c>
      <c r="AF962" s="10">
        <v>9.6</v>
      </c>
      <c r="AG962" s="9" t="s">
        <v>188</v>
      </c>
      <c r="AH962" s="9" t="s">
        <v>185</v>
      </c>
      <c r="AI962" s="10"/>
      <c r="AJ962" s="10"/>
      <c r="AK962" s="30"/>
    </row>
    <row r="963" spans="5:37">
      <c r="E963" s="28" t="s">
        <v>155</v>
      </c>
      <c r="F963" s="8" t="s">
        <v>1160</v>
      </c>
      <c r="G963" s="9" t="s">
        <v>489</v>
      </c>
      <c r="H963" s="10">
        <v>163</v>
      </c>
      <c r="I963" s="9" t="s">
        <v>158</v>
      </c>
      <c r="J963" s="10">
        <v>163</v>
      </c>
      <c r="K963" s="10">
        <v>160.6</v>
      </c>
      <c r="L963" s="10">
        <v>98</v>
      </c>
      <c r="M963" s="10">
        <v>123</v>
      </c>
      <c r="N963" s="10">
        <v>123</v>
      </c>
      <c r="O963" s="10">
        <v>95</v>
      </c>
      <c r="P963" s="10">
        <v>117</v>
      </c>
      <c r="Q963" s="10">
        <v>13.7</v>
      </c>
      <c r="R963" s="10">
        <v>1883</v>
      </c>
      <c r="S963" s="10">
        <v>0.9</v>
      </c>
      <c r="T963" s="10">
        <v>1685</v>
      </c>
      <c r="U963" s="10">
        <v>207</v>
      </c>
      <c r="V963" s="10">
        <v>110</v>
      </c>
      <c r="W963" s="10">
        <v>40</v>
      </c>
      <c r="X963" s="10">
        <v>306</v>
      </c>
      <c r="Y963" s="10">
        <v>40</v>
      </c>
      <c r="Z963" s="10">
        <v>317</v>
      </c>
      <c r="AA963" s="10">
        <v>1.004</v>
      </c>
      <c r="AB963" s="10">
        <v>182</v>
      </c>
      <c r="AC963" s="10">
        <v>192</v>
      </c>
      <c r="AD963" s="10">
        <v>125</v>
      </c>
      <c r="AE963" s="10">
        <v>6</v>
      </c>
      <c r="AF963" s="10">
        <v>5</v>
      </c>
      <c r="AG963" s="9" t="s">
        <v>184</v>
      </c>
      <c r="AH963" s="10"/>
      <c r="AI963" s="10"/>
      <c r="AJ963" s="10"/>
      <c r="AK963" s="30"/>
    </row>
    <row r="964" spans="5:37">
      <c r="E964" s="28" t="s">
        <v>155</v>
      </c>
      <c r="F964" s="8" t="s">
        <v>1160</v>
      </c>
      <c r="G964" s="9" t="s">
        <v>489</v>
      </c>
      <c r="H964" s="10">
        <v>170</v>
      </c>
      <c r="I964" s="9" t="s">
        <v>158</v>
      </c>
      <c r="J964" s="10">
        <v>170</v>
      </c>
      <c r="K964" s="10">
        <v>168.2</v>
      </c>
      <c r="L964" s="10">
        <v>97</v>
      </c>
      <c r="M964" s="10">
        <v>131</v>
      </c>
      <c r="N964" s="10">
        <v>123</v>
      </c>
      <c r="O964" s="10">
        <v>95</v>
      </c>
      <c r="P964" s="10">
        <v>117</v>
      </c>
      <c r="Q964" s="10">
        <v>15.4</v>
      </c>
      <c r="R964" s="10">
        <v>1935</v>
      </c>
      <c r="S964" s="10">
        <v>0.91</v>
      </c>
      <c r="T964" s="10">
        <v>1769</v>
      </c>
      <c r="U964" s="10">
        <v>202</v>
      </c>
      <c r="V964" s="10">
        <v>104</v>
      </c>
      <c r="W964" s="10">
        <v>43</v>
      </c>
      <c r="X964" s="10">
        <v>368</v>
      </c>
      <c r="Y964" s="10">
        <v>42</v>
      </c>
      <c r="Z964" s="10">
        <v>340</v>
      </c>
      <c r="AA964" s="10">
        <v>0.98399999999999999</v>
      </c>
      <c r="AB964" s="10">
        <v>188</v>
      </c>
      <c r="AC964" s="10">
        <v>185</v>
      </c>
      <c r="AD964" s="10">
        <v>180</v>
      </c>
      <c r="AE964" s="10">
        <v>5</v>
      </c>
      <c r="AF964" s="10">
        <v>5.3</v>
      </c>
      <c r="AG964" s="9" t="s">
        <v>184</v>
      </c>
      <c r="AH964" s="10"/>
      <c r="AI964" s="10"/>
      <c r="AJ964" s="10"/>
      <c r="AK964" s="30"/>
    </row>
    <row r="965" spans="5:37">
      <c r="E965" s="28" t="s">
        <v>155</v>
      </c>
      <c r="F965" s="8" t="s">
        <v>1160</v>
      </c>
      <c r="G965" s="9" t="s">
        <v>489</v>
      </c>
      <c r="H965" s="10">
        <v>177</v>
      </c>
      <c r="I965" s="9" t="s">
        <v>158</v>
      </c>
      <c r="J965" s="10">
        <v>177</v>
      </c>
      <c r="K965" s="10">
        <v>175.6</v>
      </c>
      <c r="L965" s="10">
        <v>106</v>
      </c>
      <c r="M965" s="10">
        <v>138</v>
      </c>
      <c r="N965" s="10">
        <v>123</v>
      </c>
      <c r="O965" s="10">
        <v>95</v>
      </c>
      <c r="P965" s="10">
        <v>117</v>
      </c>
      <c r="Q965" s="10">
        <v>17.3</v>
      </c>
      <c r="R965" s="10">
        <v>2037</v>
      </c>
      <c r="S965" s="10">
        <v>0.91</v>
      </c>
      <c r="T965" s="10">
        <v>1847</v>
      </c>
      <c r="U965" s="10">
        <v>233</v>
      </c>
      <c r="V965" s="10">
        <v>108</v>
      </c>
      <c r="W965" s="10">
        <v>41</v>
      </c>
      <c r="X965" s="10">
        <v>328</v>
      </c>
      <c r="Y965" s="10">
        <v>38</v>
      </c>
      <c r="Z965" s="10">
        <v>370</v>
      </c>
      <c r="AA965" s="10">
        <v>0.92900000000000005</v>
      </c>
      <c r="AB965" s="10">
        <v>190</v>
      </c>
      <c r="AC965" s="10">
        <v>184</v>
      </c>
      <c r="AD965" s="10">
        <v>137</v>
      </c>
      <c r="AE965" s="10">
        <v>6</v>
      </c>
      <c r="AF965" s="10">
        <v>5.5</v>
      </c>
      <c r="AG965" s="9" t="s">
        <v>184</v>
      </c>
      <c r="AH965" s="10"/>
      <c r="AI965" s="10"/>
      <c r="AJ965" s="10"/>
      <c r="AK965" s="30"/>
    </row>
    <row r="966" spans="5:37">
      <c r="E966" s="28" t="s">
        <v>155</v>
      </c>
      <c r="F966" s="8" t="s">
        <v>1160</v>
      </c>
      <c r="G966" s="9" t="s">
        <v>489</v>
      </c>
      <c r="H966" s="10">
        <v>184</v>
      </c>
      <c r="I966" s="9" t="s">
        <v>158</v>
      </c>
      <c r="J966" s="10">
        <v>184</v>
      </c>
      <c r="K966" s="10">
        <v>182.9</v>
      </c>
      <c r="L966" s="10">
        <v>110</v>
      </c>
      <c r="M966" s="10">
        <v>145</v>
      </c>
      <c r="N966" s="10">
        <v>124</v>
      </c>
      <c r="O966" s="10">
        <v>95</v>
      </c>
      <c r="P966" s="10">
        <v>117</v>
      </c>
      <c r="Q966" s="10">
        <v>18.899999999999999</v>
      </c>
      <c r="R966" s="10">
        <v>2094</v>
      </c>
      <c r="S966" s="10">
        <v>0.92</v>
      </c>
      <c r="T966" s="10">
        <v>1922</v>
      </c>
      <c r="U966" s="10">
        <v>212</v>
      </c>
      <c r="V966" s="10">
        <v>95</v>
      </c>
      <c r="W966" s="10">
        <v>42</v>
      </c>
      <c r="X966" s="10">
        <v>358</v>
      </c>
      <c r="Y966" s="10">
        <v>39</v>
      </c>
      <c r="Z966" s="10">
        <v>374</v>
      </c>
      <c r="AA966" s="10">
        <v>0.92500000000000004</v>
      </c>
      <c r="AB966" s="10">
        <v>186</v>
      </c>
      <c r="AC966" s="10">
        <v>190</v>
      </c>
      <c r="AD966" s="10">
        <v>172</v>
      </c>
      <c r="AE966" s="10">
        <v>6</v>
      </c>
      <c r="AF966" s="10">
        <v>5.9</v>
      </c>
      <c r="AG966" s="9" t="s">
        <v>184</v>
      </c>
      <c r="AH966" s="10"/>
      <c r="AI966" s="10"/>
      <c r="AJ966" s="10"/>
      <c r="AK966" s="30"/>
    </row>
    <row r="967" spans="5:37">
      <c r="E967" s="28" t="s">
        <v>155</v>
      </c>
      <c r="F967" s="8" t="s">
        <v>1160</v>
      </c>
      <c r="G967" s="9" t="s">
        <v>603</v>
      </c>
      <c r="H967" s="10">
        <v>169</v>
      </c>
      <c r="I967" s="9" t="s">
        <v>158</v>
      </c>
      <c r="J967" s="10">
        <v>169</v>
      </c>
      <c r="K967" s="10">
        <v>169.1</v>
      </c>
      <c r="L967" s="10">
        <v>123</v>
      </c>
      <c r="M967" s="10">
        <v>135</v>
      </c>
      <c r="N967" s="10">
        <v>111</v>
      </c>
      <c r="O967" s="10">
        <v>85</v>
      </c>
      <c r="P967" s="10">
        <v>106</v>
      </c>
      <c r="Q967" s="10">
        <v>18.399999999999999</v>
      </c>
      <c r="R967" s="10">
        <v>1677</v>
      </c>
      <c r="S967" s="10">
        <v>0.95</v>
      </c>
      <c r="T967" s="10">
        <v>1600</v>
      </c>
      <c r="U967" s="10">
        <v>157</v>
      </c>
      <c r="V967" s="10">
        <v>87</v>
      </c>
      <c r="W967" s="10">
        <v>48</v>
      </c>
      <c r="X967" s="10">
        <v>220</v>
      </c>
      <c r="Y967" s="10">
        <v>44</v>
      </c>
      <c r="Z967" s="10">
        <v>237</v>
      </c>
      <c r="AA967" s="10">
        <v>0.92800000000000005</v>
      </c>
      <c r="AB967" s="10">
        <v>161</v>
      </c>
      <c r="AC967" s="10">
        <v>183</v>
      </c>
      <c r="AD967" s="10">
        <v>59</v>
      </c>
      <c r="AE967" s="10">
        <v>5</v>
      </c>
      <c r="AF967" s="10">
        <v>4.7</v>
      </c>
      <c r="AG967" s="9" t="s">
        <v>184</v>
      </c>
      <c r="AH967" s="10"/>
      <c r="AI967" s="10"/>
      <c r="AJ967" s="10"/>
      <c r="AK967" s="30"/>
    </row>
    <row r="968" spans="5:37">
      <c r="E968" s="28" t="s">
        <v>155</v>
      </c>
      <c r="F968" s="8" t="s">
        <v>1160</v>
      </c>
      <c r="G968" s="9" t="s">
        <v>511</v>
      </c>
      <c r="H968" s="10">
        <v>163</v>
      </c>
      <c r="I968" s="9" t="s">
        <v>158</v>
      </c>
      <c r="J968" s="10">
        <v>163</v>
      </c>
      <c r="K968" s="10">
        <v>163.6</v>
      </c>
      <c r="L968" s="10">
        <v>95</v>
      </c>
      <c r="M968" s="10">
        <v>134</v>
      </c>
      <c r="N968" s="10">
        <v>133</v>
      </c>
      <c r="O968" s="10">
        <v>101</v>
      </c>
      <c r="P968" s="10">
        <v>125</v>
      </c>
      <c r="Q968" s="10">
        <v>14.9</v>
      </c>
      <c r="R968" s="10">
        <v>1597</v>
      </c>
      <c r="S968" s="10">
        <v>1.1399999999999999</v>
      </c>
      <c r="T968" s="10">
        <v>1828</v>
      </c>
      <c r="U968" s="10">
        <v>143</v>
      </c>
      <c r="V968" s="10">
        <v>72</v>
      </c>
      <c r="W968" s="10">
        <v>53</v>
      </c>
      <c r="X968" s="10">
        <v>343</v>
      </c>
      <c r="Y968" s="10">
        <v>50</v>
      </c>
      <c r="Z968" s="10">
        <v>348</v>
      </c>
      <c r="AA968" s="10">
        <v>0.94099999999999995</v>
      </c>
      <c r="AB968" s="10">
        <v>147</v>
      </c>
      <c r="AC968" s="10">
        <v>145</v>
      </c>
      <c r="AD968" s="10">
        <v>196</v>
      </c>
      <c r="AE968" s="10">
        <v>4</v>
      </c>
      <c r="AF968" s="10">
        <v>3.7</v>
      </c>
      <c r="AG968" s="9" t="s">
        <v>184</v>
      </c>
      <c r="AH968" s="9" t="s">
        <v>169</v>
      </c>
      <c r="AI968" s="9" t="s">
        <v>185</v>
      </c>
      <c r="AJ968" s="10"/>
      <c r="AK968" s="30"/>
    </row>
    <row r="969" spans="5:37">
      <c r="E969" s="28" t="s">
        <v>155</v>
      </c>
      <c r="F969" s="8" t="s">
        <v>1160</v>
      </c>
      <c r="G969" s="9" t="s">
        <v>511</v>
      </c>
      <c r="H969" s="10">
        <v>170</v>
      </c>
      <c r="I969" s="9" t="s">
        <v>158</v>
      </c>
      <c r="J969" s="10">
        <v>170</v>
      </c>
      <c r="K969" s="10">
        <v>170.2</v>
      </c>
      <c r="L969" s="10">
        <v>100</v>
      </c>
      <c r="M969" s="10">
        <v>140</v>
      </c>
      <c r="N969" s="10">
        <v>133</v>
      </c>
      <c r="O969" s="10">
        <v>101</v>
      </c>
      <c r="P969" s="10">
        <v>126</v>
      </c>
      <c r="Q969" s="10">
        <v>16.3</v>
      </c>
      <c r="R969" s="10">
        <v>1728</v>
      </c>
      <c r="S969" s="10">
        <v>1.1100000000000001</v>
      </c>
      <c r="T969" s="10">
        <v>1911</v>
      </c>
      <c r="U969" s="10">
        <v>175</v>
      </c>
      <c r="V969" s="10">
        <v>71</v>
      </c>
      <c r="W969" s="10">
        <v>52</v>
      </c>
      <c r="X969" s="10">
        <v>338</v>
      </c>
      <c r="Y969" s="10">
        <v>50</v>
      </c>
      <c r="Z969" s="10">
        <v>367</v>
      </c>
      <c r="AA969" s="10">
        <v>0.95899999999999996</v>
      </c>
      <c r="AB969" s="10">
        <v>147</v>
      </c>
      <c r="AC969" s="10">
        <v>150</v>
      </c>
      <c r="AD969" s="10">
        <v>191</v>
      </c>
      <c r="AE969" s="10">
        <v>5</v>
      </c>
      <c r="AF969" s="10">
        <v>4.2</v>
      </c>
      <c r="AG969" s="9" t="s">
        <v>184</v>
      </c>
      <c r="AH969" s="9" t="s">
        <v>169</v>
      </c>
      <c r="AI969" s="9" t="s">
        <v>185</v>
      </c>
      <c r="AJ969" s="10"/>
      <c r="AK969" s="30"/>
    </row>
    <row r="970" spans="5:37">
      <c r="E970" s="28" t="s">
        <v>155</v>
      </c>
      <c r="F970" s="8" t="s">
        <v>1160</v>
      </c>
      <c r="G970" s="9" t="s">
        <v>511</v>
      </c>
      <c r="H970" s="10">
        <v>177</v>
      </c>
      <c r="I970" s="9" t="s">
        <v>158</v>
      </c>
      <c r="J970" s="10">
        <v>177</v>
      </c>
      <c r="K970" s="10">
        <v>177</v>
      </c>
      <c r="L970" s="10">
        <v>114</v>
      </c>
      <c r="M970" s="10">
        <v>148</v>
      </c>
      <c r="N970" s="10">
        <v>133</v>
      </c>
      <c r="O970" s="10">
        <v>101</v>
      </c>
      <c r="P970" s="10">
        <v>126</v>
      </c>
      <c r="Q970" s="10">
        <v>18.100000000000001</v>
      </c>
      <c r="R970" s="10">
        <v>1773</v>
      </c>
      <c r="S970" s="10">
        <v>1.1200000000000001</v>
      </c>
      <c r="T970" s="10">
        <v>1989</v>
      </c>
      <c r="U970" s="10">
        <v>168</v>
      </c>
      <c r="V970" s="10">
        <v>69</v>
      </c>
      <c r="W970" s="10">
        <v>51</v>
      </c>
      <c r="X970" s="10">
        <v>316</v>
      </c>
      <c r="Y970" s="10">
        <v>47</v>
      </c>
      <c r="Z970" s="10">
        <v>315</v>
      </c>
      <c r="AA970" s="10">
        <v>0.92400000000000004</v>
      </c>
      <c r="AB970" s="10">
        <v>147</v>
      </c>
      <c r="AC970" s="10">
        <v>139</v>
      </c>
      <c r="AD970" s="10">
        <v>169</v>
      </c>
      <c r="AE970" s="10">
        <v>6</v>
      </c>
      <c r="AF970" s="10">
        <v>4.4000000000000004</v>
      </c>
      <c r="AG970" s="9" t="s">
        <v>184</v>
      </c>
      <c r="AH970" s="9" t="s">
        <v>169</v>
      </c>
      <c r="AI970" s="9" t="s">
        <v>185</v>
      </c>
      <c r="AJ970" s="10"/>
      <c r="AK970" s="30"/>
    </row>
    <row r="971" spans="5:37">
      <c r="E971" s="28" t="s">
        <v>155</v>
      </c>
      <c r="F971" s="8" t="s">
        <v>1160</v>
      </c>
      <c r="G971" s="9" t="s">
        <v>511</v>
      </c>
      <c r="H971" s="10">
        <v>184</v>
      </c>
      <c r="I971" s="9" t="s">
        <v>158</v>
      </c>
      <c r="J971" s="10">
        <v>184</v>
      </c>
      <c r="K971" s="10">
        <v>184.2</v>
      </c>
      <c r="L971" s="10">
        <v>121</v>
      </c>
      <c r="M971" s="10">
        <v>155</v>
      </c>
      <c r="N971" s="10">
        <v>134</v>
      </c>
      <c r="O971" s="10">
        <v>101</v>
      </c>
      <c r="P971" s="10">
        <v>126</v>
      </c>
      <c r="Q971" s="10">
        <v>19.8</v>
      </c>
      <c r="R971" s="10">
        <v>1875</v>
      </c>
      <c r="S971" s="10">
        <v>1.1000000000000001</v>
      </c>
      <c r="T971" s="10">
        <v>2065</v>
      </c>
      <c r="U971" s="10">
        <v>210</v>
      </c>
      <c r="V971" s="10">
        <v>85</v>
      </c>
      <c r="W971" s="10">
        <v>46</v>
      </c>
      <c r="X971" s="10">
        <v>333</v>
      </c>
      <c r="Y971" s="10">
        <v>43</v>
      </c>
      <c r="Z971" s="10">
        <v>302</v>
      </c>
      <c r="AA971" s="10">
        <v>0.92700000000000005</v>
      </c>
      <c r="AB971" s="10">
        <v>147</v>
      </c>
      <c r="AC971" s="10">
        <v>147</v>
      </c>
      <c r="AD971" s="10">
        <v>186</v>
      </c>
      <c r="AE971" s="10">
        <v>7</v>
      </c>
      <c r="AF971" s="10">
        <v>4.8</v>
      </c>
      <c r="AG971" s="9" t="s">
        <v>184</v>
      </c>
      <c r="AH971" s="9" t="s">
        <v>169</v>
      </c>
      <c r="AI971" s="9" t="s">
        <v>185</v>
      </c>
      <c r="AJ971" s="10"/>
      <c r="AK971" s="30"/>
    </row>
    <row r="972" spans="5:37">
      <c r="E972" s="28" t="s">
        <v>155</v>
      </c>
      <c r="F972" s="8" t="s">
        <v>1160</v>
      </c>
      <c r="G972" s="9" t="s">
        <v>298</v>
      </c>
      <c r="H972" s="10">
        <v>177</v>
      </c>
      <c r="I972" s="9" t="s">
        <v>158</v>
      </c>
      <c r="J972" s="10">
        <v>177</v>
      </c>
      <c r="K972" s="10">
        <v>177.5</v>
      </c>
      <c r="L972" s="10">
        <v>106</v>
      </c>
      <c r="M972" s="10">
        <v>133</v>
      </c>
      <c r="N972" s="10">
        <v>136</v>
      </c>
      <c r="O972" s="10">
        <v>111</v>
      </c>
      <c r="P972" s="10">
        <v>126</v>
      </c>
      <c r="Q972" s="10">
        <v>20.9</v>
      </c>
      <c r="R972" s="10">
        <v>1827</v>
      </c>
      <c r="S972" s="10">
        <v>1.1499999999999999</v>
      </c>
      <c r="T972" s="10">
        <v>2109</v>
      </c>
      <c r="U972" s="10">
        <v>189</v>
      </c>
      <c r="V972" s="10">
        <v>81</v>
      </c>
      <c r="W972" s="10">
        <v>50</v>
      </c>
      <c r="X972" s="10">
        <v>380</v>
      </c>
      <c r="Y972" s="10">
        <v>36</v>
      </c>
      <c r="Z972" s="10">
        <v>340</v>
      </c>
      <c r="AA972" s="10">
        <v>0.70699999999999996</v>
      </c>
      <c r="AB972" s="10">
        <v>218</v>
      </c>
      <c r="AC972" s="10">
        <v>226</v>
      </c>
      <c r="AD972" s="10">
        <v>162</v>
      </c>
      <c r="AE972" s="10">
        <v>5</v>
      </c>
      <c r="AF972" s="10">
        <v>5.7</v>
      </c>
      <c r="AG972" s="9" t="s">
        <v>169</v>
      </c>
      <c r="AH972" s="9" t="s">
        <v>185</v>
      </c>
      <c r="AI972" s="10"/>
      <c r="AJ972" s="10"/>
      <c r="AK972" s="30"/>
    </row>
    <row r="973" spans="5:37">
      <c r="E973" s="28" t="s">
        <v>155</v>
      </c>
      <c r="F973" s="8" t="s">
        <v>1160</v>
      </c>
      <c r="G973" s="9" t="s">
        <v>298</v>
      </c>
      <c r="H973" s="10">
        <v>184</v>
      </c>
      <c r="I973" s="9" t="s">
        <v>158</v>
      </c>
      <c r="J973" s="10">
        <v>184</v>
      </c>
      <c r="K973" s="10">
        <v>184.2</v>
      </c>
      <c r="L973" s="10">
        <v>110</v>
      </c>
      <c r="M973" s="10">
        <v>141</v>
      </c>
      <c r="N973" s="10">
        <v>136</v>
      </c>
      <c r="O973" s="10">
        <v>112</v>
      </c>
      <c r="P973" s="10">
        <v>126</v>
      </c>
      <c r="Q973" s="10">
        <v>22.8</v>
      </c>
      <c r="R973" s="10">
        <v>2012</v>
      </c>
      <c r="S973" s="10">
        <v>1.0900000000000001</v>
      </c>
      <c r="T973" s="10">
        <v>2190</v>
      </c>
      <c r="U973" s="10">
        <v>202</v>
      </c>
      <c r="V973" s="10">
        <v>108</v>
      </c>
      <c r="W973" s="10">
        <v>53</v>
      </c>
      <c r="X973" s="10">
        <v>394</v>
      </c>
      <c r="Y973" s="10">
        <v>40</v>
      </c>
      <c r="Z973" s="10">
        <v>350</v>
      </c>
      <c r="AA973" s="10">
        <v>0.75</v>
      </c>
      <c r="AB973" s="10">
        <v>213</v>
      </c>
      <c r="AC973" s="10">
        <v>223</v>
      </c>
      <c r="AD973" s="10">
        <v>181</v>
      </c>
      <c r="AE973" s="10">
        <v>5</v>
      </c>
      <c r="AF973" s="10">
        <v>6.6</v>
      </c>
      <c r="AG973" s="9" t="s">
        <v>169</v>
      </c>
      <c r="AH973" s="9" t="s">
        <v>185</v>
      </c>
      <c r="AI973" s="10"/>
      <c r="AJ973" s="10"/>
      <c r="AK973" s="30"/>
    </row>
    <row r="974" spans="5:37">
      <c r="E974" s="28" t="s">
        <v>155</v>
      </c>
      <c r="F974" s="8" t="s">
        <v>1160</v>
      </c>
      <c r="G974" s="9" t="s">
        <v>298</v>
      </c>
      <c r="H974" s="10">
        <v>191</v>
      </c>
      <c r="I974" s="9" t="s">
        <v>158</v>
      </c>
      <c r="J974" s="10">
        <v>191</v>
      </c>
      <c r="K974" s="10">
        <v>191.7</v>
      </c>
      <c r="L974" s="10">
        <v>120</v>
      </c>
      <c r="M974" s="10">
        <v>145</v>
      </c>
      <c r="N974" s="10">
        <v>135</v>
      </c>
      <c r="O974" s="10">
        <v>111</v>
      </c>
      <c r="P974" s="10">
        <v>127</v>
      </c>
      <c r="Q974" s="10">
        <v>25.1</v>
      </c>
      <c r="R974" s="10">
        <v>2141</v>
      </c>
      <c r="S974" s="10">
        <v>1.06</v>
      </c>
      <c r="T974" s="10">
        <v>2276</v>
      </c>
      <c r="U974" s="10">
        <v>230</v>
      </c>
      <c r="V974" s="10">
        <v>121</v>
      </c>
      <c r="W974" s="10">
        <v>55</v>
      </c>
      <c r="X974" s="10">
        <v>378</v>
      </c>
      <c r="Y974" s="10">
        <v>50</v>
      </c>
      <c r="Z974" s="10">
        <v>335</v>
      </c>
      <c r="AA974" s="10">
        <v>0.90400000000000003</v>
      </c>
      <c r="AB974" s="10">
        <v>218</v>
      </c>
      <c r="AC974" s="10">
        <v>244</v>
      </c>
      <c r="AD974" s="10">
        <v>159</v>
      </c>
      <c r="AE974" s="10">
        <v>7</v>
      </c>
      <c r="AF974" s="10">
        <v>5.9</v>
      </c>
      <c r="AG974" s="9" t="s">
        <v>184</v>
      </c>
      <c r="AH974" s="9" t="s">
        <v>169</v>
      </c>
      <c r="AI974" s="9" t="s">
        <v>185</v>
      </c>
      <c r="AJ974" s="10"/>
      <c r="AK974" s="30"/>
    </row>
    <row r="975" spans="5:37">
      <c r="E975" s="28" t="s">
        <v>155</v>
      </c>
      <c r="F975" s="8" t="s">
        <v>1160</v>
      </c>
      <c r="G975" s="9" t="s">
        <v>708</v>
      </c>
      <c r="H975" s="10">
        <v>177</v>
      </c>
      <c r="I975" s="9" t="s">
        <v>158</v>
      </c>
      <c r="J975" s="10">
        <v>177</v>
      </c>
      <c r="K975" s="10">
        <v>177.3</v>
      </c>
      <c r="L975" s="10">
        <v>93</v>
      </c>
      <c r="M975" s="10">
        <v>132</v>
      </c>
      <c r="N975" s="10">
        <v>144</v>
      </c>
      <c r="O975" s="10">
        <v>122</v>
      </c>
      <c r="P975" s="10">
        <v>135</v>
      </c>
      <c r="Q975" s="10">
        <v>22.1</v>
      </c>
      <c r="R975" s="10">
        <v>2031</v>
      </c>
      <c r="S975" s="10">
        <v>1.1200000000000001</v>
      </c>
      <c r="T975" s="10">
        <v>2267</v>
      </c>
      <c r="U975" s="10">
        <v>168</v>
      </c>
      <c r="V975" s="10">
        <v>96</v>
      </c>
      <c r="W975" s="10">
        <v>65</v>
      </c>
      <c r="X975" s="10">
        <v>438</v>
      </c>
      <c r="Y975" s="10">
        <v>52</v>
      </c>
      <c r="Z975" s="10">
        <v>404</v>
      </c>
      <c r="AA975" s="10">
        <v>0.79300000000000004</v>
      </c>
      <c r="AB975" s="10">
        <v>221</v>
      </c>
      <c r="AC975" s="10">
        <v>236</v>
      </c>
      <c r="AD975" s="10">
        <v>217</v>
      </c>
      <c r="AE975" s="10">
        <v>4</v>
      </c>
      <c r="AF975" s="10">
        <v>4.2</v>
      </c>
      <c r="AG975" s="9" t="s">
        <v>169</v>
      </c>
      <c r="AH975" s="9" t="s">
        <v>185</v>
      </c>
      <c r="AI975" s="10"/>
      <c r="AJ975" s="10"/>
      <c r="AK975" s="30"/>
    </row>
    <row r="976" spans="5:37">
      <c r="E976" s="28" t="s">
        <v>155</v>
      </c>
      <c r="F976" s="8" t="s">
        <v>1160</v>
      </c>
      <c r="G976" s="9" t="s">
        <v>708</v>
      </c>
      <c r="H976" s="10">
        <v>184</v>
      </c>
      <c r="I976" s="9" t="s">
        <v>158</v>
      </c>
      <c r="J976" s="10">
        <v>184</v>
      </c>
      <c r="K976" s="10">
        <v>183.1</v>
      </c>
      <c r="L976" s="10">
        <v>96</v>
      </c>
      <c r="M976" s="10">
        <v>139</v>
      </c>
      <c r="N976" s="10">
        <v>144</v>
      </c>
      <c r="O976" s="10">
        <v>122</v>
      </c>
      <c r="P976" s="10">
        <v>135</v>
      </c>
      <c r="Q976" s="10">
        <v>24.6</v>
      </c>
      <c r="R976" s="10">
        <v>2076</v>
      </c>
      <c r="S976" s="10">
        <v>1.1299999999999999</v>
      </c>
      <c r="T976" s="10">
        <v>2349</v>
      </c>
      <c r="U976" s="10">
        <v>211</v>
      </c>
      <c r="V976" s="10">
        <v>107</v>
      </c>
      <c r="W976" s="10">
        <v>67</v>
      </c>
      <c r="X976" s="10">
        <v>459</v>
      </c>
      <c r="Y976" s="10">
        <v>48</v>
      </c>
      <c r="Z976" s="10">
        <v>414</v>
      </c>
      <c r="AA976" s="10">
        <v>0.71399999999999997</v>
      </c>
      <c r="AB976" s="10">
        <v>221</v>
      </c>
      <c r="AC976" s="10">
        <v>221</v>
      </c>
      <c r="AD976" s="10">
        <v>238</v>
      </c>
      <c r="AE976" s="10">
        <v>3</v>
      </c>
      <c r="AF976" s="10">
        <v>5.0999999999999996</v>
      </c>
      <c r="AG976" s="9" t="s">
        <v>169</v>
      </c>
      <c r="AH976" s="9" t="s">
        <v>185</v>
      </c>
      <c r="AI976" s="10"/>
      <c r="AJ976" s="10"/>
      <c r="AK976" s="30"/>
    </row>
    <row r="977" spans="5:37">
      <c r="E977" s="28" t="s">
        <v>155</v>
      </c>
      <c r="F977" s="8" t="s">
        <v>1160</v>
      </c>
      <c r="G977" s="9" t="s">
        <v>708</v>
      </c>
      <c r="H977" s="10">
        <v>191</v>
      </c>
      <c r="I977" s="9" t="s">
        <v>158</v>
      </c>
      <c r="J977" s="10">
        <v>191</v>
      </c>
      <c r="K977" s="10">
        <v>191.1</v>
      </c>
      <c r="L977" s="10">
        <v>106</v>
      </c>
      <c r="M977" s="10">
        <v>145</v>
      </c>
      <c r="N977" s="10">
        <v>144</v>
      </c>
      <c r="O977" s="10">
        <v>122</v>
      </c>
      <c r="P977" s="10">
        <v>135</v>
      </c>
      <c r="Q977" s="10">
        <v>26.6</v>
      </c>
      <c r="R977" s="10">
        <v>2123</v>
      </c>
      <c r="S977" s="10">
        <v>1.1499999999999999</v>
      </c>
      <c r="T977" s="10">
        <v>2445</v>
      </c>
      <c r="U977" s="10">
        <v>217</v>
      </c>
      <c r="V977" s="10">
        <v>115</v>
      </c>
      <c r="W977" s="10">
        <v>67</v>
      </c>
      <c r="X977" s="10">
        <v>443</v>
      </c>
      <c r="Y977" s="10">
        <v>56</v>
      </c>
      <c r="Z977" s="10">
        <v>411</v>
      </c>
      <c r="AA977" s="10">
        <v>0.84099999999999997</v>
      </c>
      <c r="AB977" s="10">
        <v>226</v>
      </c>
      <c r="AC977" s="10">
        <v>234</v>
      </c>
      <c r="AD977" s="10">
        <v>217</v>
      </c>
      <c r="AE977" s="10">
        <v>4</v>
      </c>
      <c r="AF977" s="10">
        <v>5.5</v>
      </c>
      <c r="AG977" s="9" t="s">
        <v>184</v>
      </c>
      <c r="AH977" s="9" t="s">
        <v>169</v>
      </c>
      <c r="AI977" s="9" t="s">
        <v>185</v>
      </c>
      <c r="AJ977" s="10"/>
      <c r="AK977" s="30"/>
    </row>
    <row r="978" spans="5:37">
      <c r="E978" s="28" t="s">
        <v>155</v>
      </c>
      <c r="F978" s="8" t="s">
        <v>1160</v>
      </c>
      <c r="G978" s="9" t="s">
        <v>579</v>
      </c>
      <c r="H978" s="10">
        <v>149</v>
      </c>
      <c r="I978" s="9" t="s">
        <v>158</v>
      </c>
      <c r="J978" s="10">
        <v>149</v>
      </c>
      <c r="K978" s="10">
        <v>148.9</v>
      </c>
      <c r="L978" s="10">
        <v>93</v>
      </c>
      <c r="M978" s="10">
        <v>124</v>
      </c>
      <c r="N978" s="10">
        <v>124</v>
      </c>
      <c r="O978" s="10">
        <v>91</v>
      </c>
      <c r="P978" s="10">
        <v>113</v>
      </c>
      <c r="Q978" s="10">
        <v>12.6</v>
      </c>
      <c r="R978" s="10">
        <v>1499</v>
      </c>
      <c r="S978" s="10">
        <v>1.01</v>
      </c>
      <c r="T978" s="10">
        <v>1518</v>
      </c>
      <c r="U978" s="10">
        <v>171</v>
      </c>
      <c r="V978" s="10">
        <v>84</v>
      </c>
      <c r="W978" s="10">
        <v>47</v>
      </c>
      <c r="X978" s="10">
        <v>288</v>
      </c>
      <c r="Y978" s="10">
        <v>43</v>
      </c>
      <c r="Z978" s="10">
        <v>272</v>
      </c>
      <c r="AA978" s="10">
        <v>0.91500000000000004</v>
      </c>
      <c r="AB978" s="10">
        <v>115</v>
      </c>
      <c r="AC978" s="10">
        <v>138</v>
      </c>
      <c r="AD978" s="10">
        <v>173</v>
      </c>
      <c r="AE978" s="10">
        <v>3</v>
      </c>
      <c r="AF978" s="10">
        <v>4.0999999999999996</v>
      </c>
      <c r="AG978" s="9" t="s">
        <v>184</v>
      </c>
      <c r="AH978" s="10"/>
      <c r="AI978" s="10"/>
      <c r="AJ978" s="10"/>
      <c r="AK978" s="30"/>
    </row>
    <row r="979" spans="5:37">
      <c r="E979" s="28" t="s">
        <v>155</v>
      </c>
      <c r="F979" s="8" t="s">
        <v>1160</v>
      </c>
      <c r="G979" s="9" t="s">
        <v>579</v>
      </c>
      <c r="H979" s="10">
        <v>159</v>
      </c>
      <c r="I979" s="9" t="s">
        <v>158</v>
      </c>
      <c r="J979" s="10">
        <v>159</v>
      </c>
      <c r="K979" s="10">
        <v>158.80000000000001</v>
      </c>
      <c r="L979" s="10">
        <v>104</v>
      </c>
      <c r="M979" s="10">
        <v>133</v>
      </c>
      <c r="N979" s="10">
        <v>123</v>
      </c>
      <c r="O979" s="10">
        <v>91</v>
      </c>
      <c r="P979" s="10">
        <v>113</v>
      </c>
      <c r="Q979" s="10">
        <v>14.8</v>
      </c>
      <c r="R979" s="10">
        <v>1522</v>
      </c>
      <c r="S979" s="10">
        <v>1.06</v>
      </c>
      <c r="T979" s="10">
        <v>1615</v>
      </c>
      <c r="U979" s="10">
        <v>150</v>
      </c>
      <c r="V979" s="10">
        <v>68</v>
      </c>
      <c r="W979" s="10">
        <v>49</v>
      </c>
      <c r="X979" s="10">
        <v>278</v>
      </c>
      <c r="Y979" s="10">
        <v>42</v>
      </c>
      <c r="Z979" s="10">
        <v>274</v>
      </c>
      <c r="AA979" s="10">
        <v>0.86499999999999999</v>
      </c>
      <c r="AB979" s="10">
        <v>113</v>
      </c>
      <c r="AC979" s="10">
        <v>143</v>
      </c>
      <c r="AD979" s="10">
        <v>165</v>
      </c>
      <c r="AE979" s="10">
        <v>5</v>
      </c>
      <c r="AF979" s="10">
        <v>4.3</v>
      </c>
      <c r="AG979" s="9" t="s">
        <v>184</v>
      </c>
      <c r="AH979" s="9" t="s">
        <v>185</v>
      </c>
      <c r="AI979" s="10"/>
      <c r="AJ979" s="10"/>
      <c r="AK979" s="30"/>
    </row>
    <row r="980" spans="5:37">
      <c r="E980" s="28" t="s">
        <v>155</v>
      </c>
      <c r="F980" s="8" t="s">
        <v>1160</v>
      </c>
      <c r="G980" s="9" t="s">
        <v>579</v>
      </c>
      <c r="H980" s="10">
        <v>169</v>
      </c>
      <c r="I980" s="9" t="s">
        <v>158</v>
      </c>
      <c r="J980" s="10">
        <v>169</v>
      </c>
      <c r="K980" s="10">
        <v>169</v>
      </c>
      <c r="L980" s="10">
        <v>113</v>
      </c>
      <c r="M980" s="10">
        <v>142</v>
      </c>
      <c r="N980" s="10">
        <v>124</v>
      </c>
      <c r="O980" s="10">
        <v>91</v>
      </c>
      <c r="P980" s="10">
        <v>113</v>
      </c>
      <c r="Q980" s="10">
        <v>17.2</v>
      </c>
      <c r="R980" s="10">
        <v>1669</v>
      </c>
      <c r="S980" s="10">
        <v>1.03</v>
      </c>
      <c r="T980" s="10">
        <v>1717</v>
      </c>
      <c r="U980" s="10">
        <v>148</v>
      </c>
      <c r="V980" s="10">
        <v>76</v>
      </c>
      <c r="W980" s="10">
        <v>51</v>
      </c>
      <c r="X980" s="10">
        <v>287</v>
      </c>
      <c r="Y980" s="10">
        <v>45</v>
      </c>
      <c r="Z980" s="10">
        <v>274</v>
      </c>
      <c r="AA980" s="10">
        <v>0.88600000000000001</v>
      </c>
      <c r="AB980" s="10">
        <v>121</v>
      </c>
      <c r="AC980" s="10">
        <v>150</v>
      </c>
      <c r="AD980" s="10">
        <v>167</v>
      </c>
      <c r="AE980" s="10">
        <v>6</v>
      </c>
      <c r="AF980" s="10">
        <v>4.8</v>
      </c>
      <c r="AG980" s="9" t="s">
        <v>184</v>
      </c>
      <c r="AH980" s="10"/>
      <c r="AI980" s="10"/>
      <c r="AJ980" s="10"/>
      <c r="AK980" s="30"/>
    </row>
    <row r="981" spans="5:37">
      <c r="E981" s="28" t="s">
        <v>155</v>
      </c>
      <c r="F981" s="8" t="s">
        <v>1160</v>
      </c>
      <c r="G981" s="9" t="s">
        <v>579</v>
      </c>
      <c r="H981" s="10">
        <v>179</v>
      </c>
      <c r="I981" s="9" t="s">
        <v>158</v>
      </c>
      <c r="J981" s="10">
        <v>179</v>
      </c>
      <c r="K981" s="10">
        <v>178.8</v>
      </c>
      <c r="L981" s="10">
        <v>121</v>
      </c>
      <c r="M981" s="10">
        <v>153</v>
      </c>
      <c r="N981" s="10">
        <v>123</v>
      </c>
      <c r="O981" s="10">
        <v>90</v>
      </c>
      <c r="P981" s="10">
        <v>113</v>
      </c>
      <c r="Q981" s="10">
        <v>19.8</v>
      </c>
      <c r="R981" s="10">
        <v>1790</v>
      </c>
      <c r="S981" s="10">
        <v>1.01</v>
      </c>
      <c r="T981" s="10">
        <v>1806</v>
      </c>
      <c r="U981" s="10">
        <v>185</v>
      </c>
      <c r="V981" s="10">
        <v>84</v>
      </c>
      <c r="W981" s="10">
        <v>47</v>
      </c>
      <c r="X981" s="10">
        <v>303</v>
      </c>
      <c r="Y981" s="10">
        <v>44</v>
      </c>
      <c r="Z981" s="10">
        <v>280</v>
      </c>
      <c r="AA981" s="10">
        <v>0.92100000000000004</v>
      </c>
      <c r="AB981" s="10">
        <v>115</v>
      </c>
      <c r="AC981" s="10">
        <v>146</v>
      </c>
      <c r="AD981" s="10">
        <v>187</v>
      </c>
      <c r="AE981" s="10">
        <v>8</v>
      </c>
      <c r="AF981" s="10">
        <v>5.5</v>
      </c>
      <c r="AG981" s="9" t="s">
        <v>184</v>
      </c>
      <c r="AH981" s="10"/>
      <c r="AI981" s="10"/>
      <c r="AJ981" s="10"/>
      <c r="AK981" s="30"/>
    </row>
    <row r="982" spans="5:37">
      <c r="E982" s="28" t="s">
        <v>155</v>
      </c>
      <c r="F982" s="8" t="s">
        <v>1160</v>
      </c>
      <c r="G982" s="9" t="s">
        <v>670</v>
      </c>
      <c r="H982" s="10">
        <v>149</v>
      </c>
      <c r="I982" s="9" t="s">
        <v>163</v>
      </c>
      <c r="J982" s="10">
        <v>149</v>
      </c>
      <c r="K982" s="10">
        <v>148.9</v>
      </c>
      <c r="L982" s="10">
        <v>98</v>
      </c>
      <c r="M982" s="10">
        <v>123</v>
      </c>
      <c r="N982" s="10">
        <v>124</v>
      </c>
      <c r="O982" s="10">
        <v>91</v>
      </c>
      <c r="P982" s="10">
        <v>113</v>
      </c>
      <c r="Q982" s="10">
        <v>12.6</v>
      </c>
      <c r="R982" s="10">
        <v>1525</v>
      </c>
      <c r="S982" s="10">
        <v>0.99</v>
      </c>
      <c r="T982" s="10">
        <v>1516</v>
      </c>
      <c r="U982" s="10">
        <v>164</v>
      </c>
      <c r="V982" s="10">
        <v>86</v>
      </c>
      <c r="W982" s="10">
        <v>47</v>
      </c>
      <c r="X982" s="10">
        <v>250</v>
      </c>
      <c r="Y982" s="10">
        <v>41</v>
      </c>
      <c r="Z982" s="10">
        <v>257</v>
      </c>
      <c r="AA982" s="10">
        <v>0.88100000000000001</v>
      </c>
      <c r="AB982" s="10">
        <v>120</v>
      </c>
      <c r="AC982" s="10">
        <v>142</v>
      </c>
      <c r="AD982" s="10">
        <v>129</v>
      </c>
      <c r="AE982" s="10">
        <v>3</v>
      </c>
      <c r="AF982" s="10">
        <v>4</v>
      </c>
      <c r="AG982" s="9" t="s">
        <v>184</v>
      </c>
      <c r="AH982" s="10"/>
      <c r="AI982" s="10"/>
      <c r="AJ982" s="10"/>
      <c r="AK982" s="30"/>
    </row>
    <row r="983" spans="5:37">
      <c r="E983" s="28" t="s">
        <v>155</v>
      </c>
      <c r="F983" s="8" t="s">
        <v>1160</v>
      </c>
      <c r="G983" s="9" t="s">
        <v>670</v>
      </c>
      <c r="H983" s="10">
        <v>159</v>
      </c>
      <c r="I983" s="9" t="s">
        <v>163</v>
      </c>
      <c r="J983" s="10">
        <v>159</v>
      </c>
      <c r="K983" s="10">
        <v>158.9</v>
      </c>
      <c r="L983" s="10">
        <v>106</v>
      </c>
      <c r="M983" s="10">
        <v>134</v>
      </c>
      <c r="N983" s="10">
        <v>124</v>
      </c>
      <c r="O983" s="10">
        <v>91</v>
      </c>
      <c r="P983" s="10">
        <v>113</v>
      </c>
      <c r="Q983" s="10">
        <v>14.9</v>
      </c>
      <c r="R983" s="10">
        <v>1562</v>
      </c>
      <c r="S983" s="10">
        <v>1.04</v>
      </c>
      <c r="T983" s="10">
        <v>1617</v>
      </c>
      <c r="U983" s="10">
        <v>163</v>
      </c>
      <c r="V983" s="10">
        <v>75</v>
      </c>
      <c r="W983" s="10">
        <v>48</v>
      </c>
      <c r="X983" s="10">
        <v>270</v>
      </c>
      <c r="Y983" s="10">
        <v>43</v>
      </c>
      <c r="Z983" s="10">
        <v>262</v>
      </c>
      <c r="AA983" s="10">
        <v>0.89400000000000002</v>
      </c>
      <c r="AB983" s="10">
        <v>116</v>
      </c>
      <c r="AC983" s="10">
        <v>131</v>
      </c>
      <c r="AD983" s="10">
        <v>154</v>
      </c>
      <c r="AE983" s="10">
        <v>6</v>
      </c>
      <c r="AF983" s="10">
        <v>4.8</v>
      </c>
      <c r="AG983" s="9" t="s">
        <v>184</v>
      </c>
      <c r="AH983" s="10"/>
      <c r="AI983" s="10"/>
      <c r="AJ983" s="10"/>
      <c r="AK983" s="30"/>
    </row>
    <row r="984" spans="5:37">
      <c r="E984" s="28" t="s">
        <v>155</v>
      </c>
      <c r="F984" s="8" t="s">
        <v>1160</v>
      </c>
      <c r="G984" s="9" t="s">
        <v>670</v>
      </c>
      <c r="H984" s="10">
        <v>169</v>
      </c>
      <c r="I984" s="9" t="s">
        <v>163</v>
      </c>
      <c r="J984" s="10">
        <v>169</v>
      </c>
      <c r="K984" s="10">
        <v>168.9</v>
      </c>
      <c r="L984" s="10">
        <v>117</v>
      </c>
      <c r="M984" s="10">
        <v>143</v>
      </c>
      <c r="N984" s="10">
        <v>123</v>
      </c>
      <c r="O984" s="10">
        <v>91</v>
      </c>
      <c r="P984" s="10">
        <v>113</v>
      </c>
      <c r="Q984" s="10">
        <v>17.399999999999999</v>
      </c>
      <c r="R984" s="10">
        <v>1680</v>
      </c>
      <c r="S984" s="10">
        <v>1.02</v>
      </c>
      <c r="T984" s="10">
        <v>1716</v>
      </c>
      <c r="U984" s="10">
        <v>155</v>
      </c>
      <c r="V984" s="10">
        <v>79</v>
      </c>
      <c r="W984" s="10">
        <v>49</v>
      </c>
      <c r="X984" s="10">
        <v>265</v>
      </c>
      <c r="Y984" s="10">
        <v>40</v>
      </c>
      <c r="Z984" s="10">
        <v>252</v>
      </c>
      <c r="AA984" s="10">
        <v>0.83099999999999996</v>
      </c>
      <c r="AB984" s="10">
        <v>118</v>
      </c>
      <c r="AC984" s="10">
        <v>142</v>
      </c>
      <c r="AD984" s="10">
        <v>147</v>
      </c>
      <c r="AE984" s="10">
        <v>7</v>
      </c>
      <c r="AF984" s="10">
        <v>4.8</v>
      </c>
      <c r="AG984" s="9" t="s">
        <v>188</v>
      </c>
      <c r="AH984" s="9" t="s">
        <v>184</v>
      </c>
      <c r="AI984" s="10"/>
      <c r="AJ984" s="10"/>
      <c r="AK984" s="30"/>
    </row>
    <row r="985" spans="5:37">
      <c r="E985" s="28" t="s">
        <v>155</v>
      </c>
      <c r="F985" s="8" t="s">
        <v>1160</v>
      </c>
      <c r="G985" s="9" t="s">
        <v>496</v>
      </c>
      <c r="H985" s="10">
        <v>159</v>
      </c>
      <c r="I985" s="9" t="s">
        <v>158</v>
      </c>
      <c r="J985" s="10">
        <v>159</v>
      </c>
      <c r="K985" s="10">
        <v>159.9</v>
      </c>
      <c r="L985" s="10">
        <v>123</v>
      </c>
      <c r="M985" s="10">
        <v>128</v>
      </c>
      <c r="N985" s="10">
        <v>116</v>
      </c>
      <c r="O985" s="10">
        <v>87</v>
      </c>
      <c r="P985" s="10">
        <v>110</v>
      </c>
      <c r="Q985" s="10">
        <v>14.4</v>
      </c>
      <c r="R985" s="10">
        <v>1658</v>
      </c>
      <c r="S985" s="10">
        <v>0.94</v>
      </c>
      <c r="T985" s="10">
        <v>1557</v>
      </c>
      <c r="U985" s="10">
        <v>154</v>
      </c>
      <c r="V985" s="10">
        <v>78</v>
      </c>
      <c r="W985" s="10">
        <v>46</v>
      </c>
      <c r="X985" s="10">
        <v>181</v>
      </c>
      <c r="Y985" s="10">
        <v>44</v>
      </c>
      <c r="Z985" s="10">
        <v>189</v>
      </c>
      <c r="AA985" s="10">
        <v>0.95099999999999996</v>
      </c>
      <c r="AB985" s="10">
        <v>162</v>
      </c>
      <c r="AC985" s="10">
        <v>159</v>
      </c>
      <c r="AD985" s="10">
        <v>19</v>
      </c>
      <c r="AE985" s="10">
        <v>7</v>
      </c>
      <c r="AF985" s="10">
        <v>3.7</v>
      </c>
      <c r="AG985" s="9" t="s">
        <v>184</v>
      </c>
      <c r="AH985" s="10"/>
      <c r="AI985" s="10"/>
      <c r="AJ985" s="10"/>
      <c r="AK985" s="30"/>
    </row>
    <row r="986" spans="5:37">
      <c r="E986" s="28" t="s">
        <v>155</v>
      </c>
      <c r="F986" s="8" t="s">
        <v>1160</v>
      </c>
      <c r="G986" s="9" t="s">
        <v>496</v>
      </c>
      <c r="H986" s="10">
        <v>169</v>
      </c>
      <c r="I986" s="9" t="s">
        <v>158</v>
      </c>
      <c r="J986" s="10">
        <v>169</v>
      </c>
      <c r="K986" s="10">
        <v>169.7</v>
      </c>
      <c r="L986" s="10">
        <v>131</v>
      </c>
      <c r="M986" s="10">
        <v>137</v>
      </c>
      <c r="N986" s="10">
        <v>116</v>
      </c>
      <c r="O986" s="10">
        <v>87</v>
      </c>
      <c r="P986" s="10">
        <v>110</v>
      </c>
      <c r="Q986" s="10">
        <v>16.899999999999999</v>
      </c>
      <c r="R986" s="10">
        <v>1772</v>
      </c>
      <c r="S986" s="10">
        <v>0.94</v>
      </c>
      <c r="T986" s="10">
        <v>1663</v>
      </c>
      <c r="U986" s="10">
        <v>166</v>
      </c>
      <c r="V986" s="10">
        <v>85</v>
      </c>
      <c r="W986" s="10">
        <v>49</v>
      </c>
      <c r="X986" s="10">
        <v>190</v>
      </c>
      <c r="Y986" s="10">
        <v>48</v>
      </c>
      <c r="Z986" s="10">
        <v>200</v>
      </c>
      <c r="AA986" s="10">
        <v>0.96299999999999997</v>
      </c>
      <c r="AB986" s="10">
        <v>163</v>
      </c>
      <c r="AC986" s="10">
        <v>167</v>
      </c>
      <c r="AD986" s="10">
        <v>26</v>
      </c>
      <c r="AE986" s="10">
        <v>7</v>
      </c>
      <c r="AF986" s="10">
        <v>4</v>
      </c>
      <c r="AG986" s="9" t="s">
        <v>184</v>
      </c>
      <c r="AH986" s="10"/>
      <c r="AI986" s="10"/>
      <c r="AJ986" s="10"/>
      <c r="AK986" s="30"/>
    </row>
    <row r="987" spans="5:37">
      <c r="E987" s="28" t="s">
        <v>155</v>
      </c>
      <c r="F987" s="8" t="s">
        <v>1160</v>
      </c>
      <c r="G987" s="9" t="s">
        <v>496</v>
      </c>
      <c r="H987" s="10">
        <v>179</v>
      </c>
      <c r="I987" s="9" t="s">
        <v>158</v>
      </c>
      <c r="J987" s="10">
        <v>179</v>
      </c>
      <c r="K987" s="10">
        <v>180.1</v>
      </c>
      <c r="L987" s="10">
        <v>143</v>
      </c>
      <c r="M987" s="10">
        <v>148</v>
      </c>
      <c r="N987" s="10">
        <v>116</v>
      </c>
      <c r="O987" s="10">
        <v>87</v>
      </c>
      <c r="P987" s="10">
        <v>110</v>
      </c>
      <c r="Q987" s="10">
        <v>19.399999999999999</v>
      </c>
      <c r="R987" s="10">
        <v>1948</v>
      </c>
      <c r="S987" s="10">
        <v>0.9</v>
      </c>
      <c r="T987" s="10">
        <v>1759</v>
      </c>
      <c r="U987" s="10">
        <v>190</v>
      </c>
      <c r="V987" s="10">
        <v>90</v>
      </c>
      <c r="W987" s="10">
        <v>46</v>
      </c>
      <c r="X987" s="10">
        <v>176</v>
      </c>
      <c r="Y987" s="10">
        <v>43</v>
      </c>
      <c r="Z987" s="10">
        <v>198</v>
      </c>
      <c r="AA987" s="10">
        <v>0.94499999999999995</v>
      </c>
      <c r="AB987" s="10">
        <v>157</v>
      </c>
      <c r="AC987" s="10">
        <v>160</v>
      </c>
      <c r="AD987" s="10">
        <v>19</v>
      </c>
      <c r="AE987" s="10">
        <v>10</v>
      </c>
      <c r="AF987" s="10">
        <v>4.5999999999999996</v>
      </c>
      <c r="AG987" s="9" t="s">
        <v>184</v>
      </c>
      <c r="AH987" s="10"/>
      <c r="AI987" s="10"/>
      <c r="AJ987" s="10"/>
      <c r="AK987" s="30"/>
    </row>
    <row r="988" spans="5:37">
      <c r="E988" s="28" t="s">
        <v>155</v>
      </c>
      <c r="F988" s="8" t="s">
        <v>1160</v>
      </c>
      <c r="G988" s="9" t="s">
        <v>846</v>
      </c>
      <c r="H988" s="10">
        <v>153</v>
      </c>
      <c r="I988" s="9" t="s">
        <v>163</v>
      </c>
      <c r="J988" s="10">
        <v>153</v>
      </c>
      <c r="K988" s="10">
        <v>151.69999999999999</v>
      </c>
      <c r="L988" s="10">
        <v>114</v>
      </c>
      <c r="M988" s="10">
        <v>127</v>
      </c>
      <c r="N988" s="10">
        <v>120</v>
      </c>
      <c r="O988" s="10">
        <v>87</v>
      </c>
      <c r="P988" s="10">
        <v>108</v>
      </c>
      <c r="Q988" s="10">
        <v>15</v>
      </c>
      <c r="R988" s="10">
        <v>1048</v>
      </c>
      <c r="S988" s="10">
        <v>1.41</v>
      </c>
      <c r="T988" s="10">
        <v>1477</v>
      </c>
      <c r="U988" s="10">
        <v>128</v>
      </c>
      <c r="V988" s="10">
        <v>53</v>
      </c>
      <c r="W988" s="10">
        <v>43</v>
      </c>
      <c r="X988" s="10">
        <v>257</v>
      </c>
      <c r="Y988" s="10">
        <v>6</v>
      </c>
      <c r="Z988" s="10">
        <v>120</v>
      </c>
      <c r="AA988" s="10">
        <v>0.14099999999999999</v>
      </c>
      <c r="AB988" s="10">
        <v>145</v>
      </c>
      <c r="AC988" s="10">
        <v>97</v>
      </c>
      <c r="AD988" s="10">
        <v>111</v>
      </c>
      <c r="AE988" s="10">
        <v>9</v>
      </c>
      <c r="AF988" s="10">
        <v>11</v>
      </c>
      <c r="AG988" s="9" t="s">
        <v>185</v>
      </c>
      <c r="AH988" s="9" t="s">
        <v>198</v>
      </c>
      <c r="AI988" s="10"/>
      <c r="AJ988" s="10"/>
      <c r="AK988" s="30"/>
    </row>
    <row r="989" spans="5:37">
      <c r="E989" s="28" t="s">
        <v>155</v>
      </c>
      <c r="F989" s="8" t="s">
        <v>1160</v>
      </c>
      <c r="G989" s="9" t="s">
        <v>846</v>
      </c>
      <c r="H989" s="10">
        <v>160</v>
      </c>
      <c r="I989" s="9" t="s">
        <v>163</v>
      </c>
      <c r="J989" s="10">
        <v>160</v>
      </c>
      <c r="K989" s="10">
        <v>159.69999999999999</v>
      </c>
      <c r="L989" s="10">
        <v>120</v>
      </c>
      <c r="M989" s="10">
        <v>134</v>
      </c>
      <c r="N989" s="10">
        <v>120</v>
      </c>
      <c r="O989" s="10">
        <v>87</v>
      </c>
      <c r="P989" s="10">
        <v>108</v>
      </c>
      <c r="Q989" s="10">
        <v>16.3</v>
      </c>
      <c r="R989" s="10">
        <v>1117</v>
      </c>
      <c r="S989" s="10">
        <v>1.39</v>
      </c>
      <c r="T989" s="10">
        <v>1552</v>
      </c>
      <c r="U989" s="10">
        <v>136</v>
      </c>
      <c r="V989" s="10">
        <v>59</v>
      </c>
      <c r="W989" s="10">
        <v>44</v>
      </c>
      <c r="X989" s="10">
        <v>297</v>
      </c>
      <c r="Y989" s="10">
        <v>5</v>
      </c>
      <c r="Z989" s="10">
        <v>99</v>
      </c>
      <c r="AA989" s="10">
        <v>0.114</v>
      </c>
      <c r="AB989" s="10">
        <v>158</v>
      </c>
      <c r="AC989" s="10">
        <v>97</v>
      </c>
      <c r="AD989" s="10">
        <v>139</v>
      </c>
      <c r="AE989" s="10">
        <v>8</v>
      </c>
      <c r="AF989" s="10">
        <v>12</v>
      </c>
      <c r="AG989" s="9" t="s">
        <v>185</v>
      </c>
      <c r="AH989" s="9" t="s">
        <v>198</v>
      </c>
      <c r="AI989" s="10"/>
      <c r="AJ989" s="10"/>
      <c r="AK989" s="30"/>
    </row>
    <row r="990" spans="5:37">
      <c r="E990" s="28" t="s">
        <v>155</v>
      </c>
      <c r="F990" s="8" t="s">
        <v>1160</v>
      </c>
      <c r="G990" s="9" t="s">
        <v>846</v>
      </c>
      <c r="H990" s="10">
        <v>167</v>
      </c>
      <c r="I990" s="9" t="s">
        <v>163</v>
      </c>
      <c r="J990" s="10">
        <v>167</v>
      </c>
      <c r="K990" s="10">
        <v>166.6</v>
      </c>
      <c r="L990" s="10">
        <v>130</v>
      </c>
      <c r="M990" s="10">
        <v>141</v>
      </c>
      <c r="N990" s="10">
        <v>120</v>
      </c>
      <c r="O990" s="10">
        <v>87</v>
      </c>
      <c r="P990" s="10">
        <v>108</v>
      </c>
      <c r="Q990" s="10">
        <v>18</v>
      </c>
      <c r="R990" s="10">
        <v>1185</v>
      </c>
      <c r="S990" s="10">
        <v>1.37</v>
      </c>
      <c r="T990" s="10">
        <v>1625</v>
      </c>
      <c r="U990" s="10">
        <v>158</v>
      </c>
      <c r="V990" s="10">
        <v>69</v>
      </c>
      <c r="W990" s="10">
        <v>46</v>
      </c>
      <c r="X990" s="10">
        <v>255</v>
      </c>
      <c r="Y990" s="10">
        <v>7</v>
      </c>
      <c r="Z990" s="10">
        <v>114</v>
      </c>
      <c r="AA990" s="10">
        <v>0.159</v>
      </c>
      <c r="AB990" s="10">
        <v>154</v>
      </c>
      <c r="AC990" s="10">
        <v>101</v>
      </c>
      <c r="AD990" s="10">
        <v>101</v>
      </c>
      <c r="AE990" s="10">
        <v>9</v>
      </c>
      <c r="AF990" s="10">
        <v>11.8</v>
      </c>
      <c r="AG990" s="9" t="s">
        <v>185</v>
      </c>
      <c r="AH990" s="9" t="s">
        <v>198</v>
      </c>
      <c r="AI990" s="10"/>
      <c r="AJ990" s="10"/>
      <c r="AK990" s="30"/>
    </row>
    <row r="991" spans="5:37">
      <c r="E991" s="28" t="s">
        <v>155</v>
      </c>
      <c r="F991" s="8" t="s">
        <v>1160</v>
      </c>
      <c r="G991" s="9" t="s">
        <v>755</v>
      </c>
      <c r="H991" s="10">
        <v>156</v>
      </c>
      <c r="I991" s="9" t="s">
        <v>163</v>
      </c>
      <c r="J991" s="10">
        <v>156</v>
      </c>
      <c r="K991" s="10">
        <v>155.69999999999999</v>
      </c>
      <c r="L991" s="10">
        <v>116</v>
      </c>
      <c r="M991" s="10">
        <v>129</v>
      </c>
      <c r="N991" s="10">
        <v>127</v>
      </c>
      <c r="O991" s="10">
        <v>95</v>
      </c>
      <c r="P991" s="10">
        <v>114</v>
      </c>
      <c r="Q991" s="10">
        <v>16.3</v>
      </c>
      <c r="R991" s="10">
        <v>1129</v>
      </c>
      <c r="S991" s="10">
        <v>1.44</v>
      </c>
      <c r="T991" s="10">
        <v>1626</v>
      </c>
      <c r="U991" s="10">
        <v>127</v>
      </c>
      <c r="V991" s="10">
        <v>57</v>
      </c>
      <c r="W991" s="10">
        <v>51</v>
      </c>
      <c r="X991" s="10">
        <v>273</v>
      </c>
      <c r="Y991" s="10">
        <v>7</v>
      </c>
      <c r="Z991" s="10">
        <v>129</v>
      </c>
      <c r="AA991" s="10">
        <v>0.13500000000000001</v>
      </c>
      <c r="AB991" s="10">
        <v>159</v>
      </c>
      <c r="AC991" s="10">
        <v>109</v>
      </c>
      <c r="AD991" s="10">
        <v>114</v>
      </c>
      <c r="AE991" s="10">
        <v>7</v>
      </c>
      <c r="AF991" s="10">
        <v>12</v>
      </c>
      <c r="AG991" s="9" t="s">
        <v>185</v>
      </c>
      <c r="AH991" s="9" t="s">
        <v>198</v>
      </c>
      <c r="AI991" s="10"/>
      <c r="AJ991" s="10"/>
      <c r="AK991" s="30"/>
    </row>
    <row r="992" spans="5:37">
      <c r="E992" s="28" t="s">
        <v>155</v>
      </c>
      <c r="F992" s="8" t="s">
        <v>1160</v>
      </c>
      <c r="G992" s="9" t="s">
        <v>755</v>
      </c>
      <c r="H992" s="10">
        <v>163</v>
      </c>
      <c r="I992" s="9" t="s">
        <v>163</v>
      </c>
      <c r="J992" s="10">
        <v>163</v>
      </c>
      <c r="K992" s="10">
        <v>162.69999999999999</v>
      </c>
      <c r="L992" s="10">
        <v>116</v>
      </c>
      <c r="M992" s="10">
        <v>136</v>
      </c>
      <c r="N992" s="10">
        <v>126</v>
      </c>
      <c r="O992" s="10">
        <v>95</v>
      </c>
      <c r="P992" s="10">
        <v>114</v>
      </c>
      <c r="Q992" s="10">
        <v>18</v>
      </c>
      <c r="R992" s="10">
        <v>1206</v>
      </c>
      <c r="S992" s="10">
        <v>1.41</v>
      </c>
      <c r="T992" s="10">
        <v>1700</v>
      </c>
      <c r="U992" s="10">
        <v>151</v>
      </c>
      <c r="V992" s="10">
        <v>65</v>
      </c>
      <c r="W992" s="10">
        <v>51</v>
      </c>
      <c r="X992" s="10">
        <v>304</v>
      </c>
      <c r="Y992" s="10">
        <v>11</v>
      </c>
      <c r="Z992" s="10">
        <v>165</v>
      </c>
      <c r="AA992" s="10">
        <v>0.22600000000000001</v>
      </c>
      <c r="AB992" s="10">
        <v>160</v>
      </c>
      <c r="AC992" s="10">
        <v>108</v>
      </c>
      <c r="AD992" s="10">
        <v>144</v>
      </c>
      <c r="AE992" s="10">
        <v>5</v>
      </c>
      <c r="AF992" s="10">
        <v>11.8</v>
      </c>
      <c r="AG992" s="9" t="s">
        <v>185</v>
      </c>
      <c r="AH992" s="9" t="s">
        <v>198</v>
      </c>
      <c r="AI992" s="10"/>
      <c r="AJ992" s="10"/>
      <c r="AK992" s="30"/>
    </row>
    <row r="993" spans="5:37">
      <c r="E993" s="28" t="s">
        <v>155</v>
      </c>
      <c r="F993" s="8" t="s">
        <v>1160</v>
      </c>
      <c r="G993" s="9" t="s">
        <v>755</v>
      </c>
      <c r="H993" s="10">
        <v>170</v>
      </c>
      <c r="I993" s="9" t="s">
        <v>163</v>
      </c>
      <c r="J993" s="10">
        <v>170</v>
      </c>
      <c r="K993" s="10">
        <v>169.7</v>
      </c>
      <c r="L993" s="10">
        <v>124</v>
      </c>
      <c r="M993" s="10">
        <v>143</v>
      </c>
      <c r="N993" s="10">
        <v>127</v>
      </c>
      <c r="O993" s="10">
        <v>95</v>
      </c>
      <c r="P993" s="10">
        <v>114</v>
      </c>
      <c r="Q993" s="10">
        <v>19.8</v>
      </c>
      <c r="R993" s="10">
        <v>1305</v>
      </c>
      <c r="S993" s="10">
        <v>1.36</v>
      </c>
      <c r="T993" s="10">
        <v>1773</v>
      </c>
      <c r="U993" s="10">
        <v>173</v>
      </c>
      <c r="V993" s="10">
        <v>80</v>
      </c>
      <c r="W993" s="10">
        <v>49</v>
      </c>
      <c r="X993" s="10">
        <v>295</v>
      </c>
      <c r="Y993" s="10">
        <v>8</v>
      </c>
      <c r="Z993" s="10">
        <v>164</v>
      </c>
      <c r="AA993" s="10">
        <v>0.16200000000000001</v>
      </c>
      <c r="AB993" s="10">
        <v>161</v>
      </c>
      <c r="AC993" s="10">
        <v>109</v>
      </c>
      <c r="AD993" s="10">
        <v>134</v>
      </c>
      <c r="AE993" s="10">
        <v>5</v>
      </c>
      <c r="AF993" s="10">
        <v>11.7</v>
      </c>
      <c r="AG993" s="9" t="s">
        <v>185</v>
      </c>
      <c r="AH993" s="9" t="s">
        <v>198</v>
      </c>
      <c r="AI993" s="10"/>
      <c r="AJ993" s="10"/>
      <c r="AK993" s="30"/>
    </row>
    <row r="994" spans="5:37">
      <c r="E994" s="28" t="s">
        <v>155</v>
      </c>
      <c r="F994" s="8" t="s">
        <v>1160</v>
      </c>
      <c r="G994" s="9" t="s">
        <v>263</v>
      </c>
      <c r="H994" s="10">
        <v>172</v>
      </c>
      <c r="I994" s="9" t="s">
        <v>158</v>
      </c>
      <c r="J994" s="10">
        <v>172</v>
      </c>
      <c r="K994" s="10">
        <v>171.9</v>
      </c>
      <c r="L994" s="10">
        <v>114</v>
      </c>
      <c r="M994" s="10">
        <v>141</v>
      </c>
      <c r="N994" s="10">
        <v>135</v>
      </c>
      <c r="O994" s="10">
        <v>105</v>
      </c>
      <c r="P994" s="10">
        <v>123</v>
      </c>
      <c r="Q994" s="10">
        <v>19.899999999999999</v>
      </c>
      <c r="R994" s="10">
        <v>1456</v>
      </c>
      <c r="S994" s="10">
        <v>1.34</v>
      </c>
      <c r="T994" s="10">
        <v>1957</v>
      </c>
      <c r="U994" s="10">
        <v>169</v>
      </c>
      <c r="V994" s="10">
        <v>88</v>
      </c>
      <c r="W994" s="10">
        <v>45</v>
      </c>
      <c r="X994" s="10">
        <v>351</v>
      </c>
      <c r="Y994" s="10">
        <v>11</v>
      </c>
      <c r="Z994" s="10">
        <v>233</v>
      </c>
      <c r="AA994" s="10">
        <v>0.247</v>
      </c>
      <c r="AB994" s="10">
        <v>175</v>
      </c>
      <c r="AC994" s="10">
        <v>130</v>
      </c>
      <c r="AD994" s="10">
        <v>176</v>
      </c>
      <c r="AE994" s="10">
        <v>6</v>
      </c>
      <c r="AF994" s="10">
        <v>13.5</v>
      </c>
      <c r="AG994" s="9" t="s">
        <v>178</v>
      </c>
      <c r="AH994" s="9" t="s">
        <v>185</v>
      </c>
      <c r="AI994" s="9" t="s">
        <v>198</v>
      </c>
      <c r="AJ994" s="10"/>
      <c r="AK994" s="30"/>
    </row>
    <row r="995" spans="5:37">
      <c r="E995" s="28" t="s">
        <v>155</v>
      </c>
      <c r="F995" s="8" t="s">
        <v>1160</v>
      </c>
      <c r="G995" s="9" t="s">
        <v>263</v>
      </c>
      <c r="H995" s="10">
        <v>179</v>
      </c>
      <c r="I995" s="9" t="s">
        <v>158</v>
      </c>
      <c r="J995" s="10">
        <v>179</v>
      </c>
      <c r="K995" s="10">
        <v>178.9</v>
      </c>
      <c r="L995" s="10">
        <v>108</v>
      </c>
      <c r="M995" s="10">
        <v>148</v>
      </c>
      <c r="N995" s="10">
        <v>135</v>
      </c>
      <c r="O995" s="10">
        <v>105</v>
      </c>
      <c r="P995" s="10">
        <v>123</v>
      </c>
      <c r="Q995" s="10">
        <v>21.6</v>
      </c>
      <c r="R995" s="10">
        <v>1522</v>
      </c>
      <c r="S995" s="10">
        <v>1.34</v>
      </c>
      <c r="T995" s="10">
        <v>2039</v>
      </c>
      <c r="U995" s="10">
        <v>195</v>
      </c>
      <c r="V995" s="10">
        <v>96</v>
      </c>
      <c r="W995" s="10">
        <v>47</v>
      </c>
      <c r="X995" s="10">
        <v>458</v>
      </c>
      <c r="Y995" s="10">
        <v>16</v>
      </c>
      <c r="Z995" s="10">
        <v>255</v>
      </c>
      <c r="AA995" s="10">
        <v>0.34</v>
      </c>
      <c r="AB995" s="10">
        <v>181</v>
      </c>
      <c r="AC995" s="10">
        <v>133</v>
      </c>
      <c r="AD995" s="10">
        <v>276</v>
      </c>
      <c r="AE995" s="10">
        <v>3</v>
      </c>
      <c r="AF995" s="10">
        <v>13.2</v>
      </c>
      <c r="AG995" s="9" t="s">
        <v>178</v>
      </c>
      <c r="AH995" s="9" t="s">
        <v>185</v>
      </c>
      <c r="AI995" s="9" t="s">
        <v>198</v>
      </c>
      <c r="AJ995" s="10"/>
      <c r="AK995" s="30"/>
    </row>
    <row r="996" spans="5:37">
      <c r="E996" s="28" t="s">
        <v>155</v>
      </c>
      <c r="F996" s="8" t="s">
        <v>1160</v>
      </c>
      <c r="G996" s="9" t="s">
        <v>263</v>
      </c>
      <c r="H996" s="10">
        <v>186</v>
      </c>
      <c r="I996" s="9" t="s">
        <v>158</v>
      </c>
      <c r="J996" s="10">
        <v>186</v>
      </c>
      <c r="K996" s="10">
        <v>185.7</v>
      </c>
      <c r="L996" s="10">
        <v>129</v>
      </c>
      <c r="M996" s="10">
        <v>152</v>
      </c>
      <c r="N996" s="10">
        <v>136</v>
      </c>
      <c r="O996" s="10">
        <v>105</v>
      </c>
      <c r="P996" s="10">
        <v>123</v>
      </c>
      <c r="Q996" s="10">
        <v>23.7</v>
      </c>
      <c r="R996" s="10">
        <v>1680</v>
      </c>
      <c r="S996" s="10">
        <v>1.26</v>
      </c>
      <c r="T996" s="10">
        <v>2121</v>
      </c>
      <c r="U996" s="10">
        <v>224</v>
      </c>
      <c r="V996" s="10">
        <v>115</v>
      </c>
      <c r="W996" s="10">
        <v>42</v>
      </c>
      <c r="X996" s="10">
        <v>358</v>
      </c>
      <c r="Y996" s="10">
        <v>13</v>
      </c>
      <c r="Z996" s="10">
        <v>210</v>
      </c>
      <c r="AA996" s="10">
        <v>0.318</v>
      </c>
      <c r="AB996" s="10">
        <v>195</v>
      </c>
      <c r="AC996" s="10">
        <v>138</v>
      </c>
      <c r="AD996" s="10">
        <v>163</v>
      </c>
      <c r="AE996" s="10">
        <v>6</v>
      </c>
      <c r="AF996" s="10">
        <v>12.9</v>
      </c>
      <c r="AG996" s="9" t="s">
        <v>178</v>
      </c>
      <c r="AH996" s="9" t="s">
        <v>185</v>
      </c>
      <c r="AI996" s="9" t="s">
        <v>198</v>
      </c>
      <c r="AJ996" s="10"/>
      <c r="AK996" s="30"/>
    </row>
    <row r="997" spans="5:37">
      <c r="E997" s="28" t="s">
        <v>155</v>
      </c>
      <c r="F997" s="8" t="s">
        <v>1160</v>
      </c>
      <c r="G997" s="9" t="s">
        <v>769</v>
      </c>
      <c r="H997" s="10">
        <v>160</v>
      </c>
      <c r="I997" s="9" t="s">
        <v>158</v>
      </c>
      <c r="J997" s="10">
        <v>160</v>
      </c>
      <c r="K997" s="10">
        <v>159.4</v>
      </c>
      <c r="L997" s="10">
        <v>115</v>
      </c>
      <c r="M997" s="10">
        <v>134</v>
      </c>
      <c r="N997" s="10">
        <v>120</v>
      </c>
      <c r="O997" s="10">
        <v>87</v>
      </c>
      <c r="P997" s="10">
        <v>108</v>
      </c>
      <c r="Q997" s="10">
        <v>16.5</v>
      </c>
      <c r="R997" s="10">
        <v>1100</v>
      </c>
      <c r="S997" s="10">
        <v>1.41</v>
      </c>
      <c r="T997" s="10">
        <v>1554</v>
      </c>
      <c r="U997" s="10">
        <v>149</v>
      </c>
      <c r="V997" s="10">
        <v>62</v>
      </c>
      <c r="W997" s="10">
        <v>46</v>
      </c>
      <c r="X997" s="10">
        <v>295</v>
      </c>
      <c r="Y997" s="10">
        <v>7</v>
      </c>
      <c r="Z997" s="10">
        <v>147</v>
      </c>
      <c r="AA997" s="10">
        <v>0.161</v>
      </c>
      <c r="AB997" s="10">
        <v>153</v>
      </c>
      <c r="AC997" s="10">
        <v>98</v>
      </c>
      <c r="AD997" s="10">
        <v>142</v>
      </c>
      <c r="AE997" s="10">
        <v>8</v>
      </c>
      <c r="AF997" s="10">
        <v>10.6</v>
      </c>
      <c r="AG997" s="9" t="s">
        <v>185</v>
      </c>
      <c r="AH997" s="9" t="s">
        <v>198</v>
      </c>
      <c r="AI997" s="10"/>
      <c r="AJ997" s="10"/>
      <c r="AK997" s="30"/>
    </row>
    <row r="998" spans="5:37">
      <c r="E998" s="28" t="s">
        <v>155</v>
      </c>
      <c r="F998" s="8" t="s">
        <v>1160</v>
      </c>
      <c r="G998" s="9" t="s">
        <v>769</v>
      </c>
      <c r="H998" s="10">
        <v>167</v>
      </c>
      <c r="I998" s="9" t="s">
        <v>158</v>
      </c>
      <c r="J998" s="10">
        <v>167</v>
      </c>
      <c r="K998" s="10">
        <v>167</v>
      </c>
      <c r="L998" s="10">
        <v>126</v>
      </c>
      <c r="M998" s="10">
        <v>141</v>
      </c>
      <c r="N998" s="10">
        <v>120</v>
      </c>
      <c r="O998" s="10">
        <v>87</v>
      </c>
      <c r="P998" s="10">
        <v>108</v>
      </c>
      <c r="Q998" s="10">
        <v>18.2</v>
      </c>
      <c r="R998" s="10">
        <v>1154</v>
      </c>
      <c r="S998" s="10">
        <v>1.41</v>
      </c>
      <c r="T998" s="10">
        <v>1623</v>
      </c>
      <c r="U998" s="10">
        <v>154</v>
      </c>
      <c r="V998" s="10">
        <v>64</v>
      </c>
      <c r="W998" s="10">
        <v>46</v>
      </c>
      <c r="X998" s="10">
        <v>290</v>
      </c>
      <c r="Y998" s="10">
        <v>7</v>
      </c>
      <c r="Z998" s="10">
        <v>119</v>
      </c>
      <c r="AA998" s="10">
        <v>0.158</v>
      </c>
      <c r="AB998" s="10">
        <v>159</v>
      </c>
      <c r="AC998" s="10">
        <v>100</v>
      </c>
      <c r="AD998" s="10">
        <v>131</v>
      </c>
      <c r="AE998" s="10">
        <v>8</v>
      </c>
      <c r="AF998" s="10">
        <v>11.3</v>
      </c>
      <c r="AG998" s="9" t="s">
        <v>185</v>
      </c>
      <c r="AH998" s="9" t="s">
        <v>198</v>
      </c>
      <c r="AI998" s="10"/>
      <c r="AJ998" s="10"/>
      <c r="AK998" s="30"/>
    </row>
    <row r="999" spans="5:37">
      <c r="E999" s="28" t="s">
        <v>155</v>
      </c>
      <c r="F999" s="8" t="s">
        <v>1160</v>
      </c>
      <c r="G999" s="9" t="s">
        <v>769</v>
      </c>
      <c r="H999" s="10">
        <v>174</v>
      </c>
      <c r="I999" s="9" t="s">
        <v>158</v>
      </c>
      <c r="J999" s="10">
        <v>174</v>
      </c>
      <c r="K999" s="10">
        <v>173.8</v>
      </c>
      <c r="L999" s="10">
        <v>133</v>
      </c>
      <c r="M999" s="10">
        <v>148</v>
      </c>
      <c r="N999" s="10">
        <v>120</v>
      </c>
      <c r="O999" s="10">
        <v>87</v>
      </c>
      <c r="P999" s="10">
        <v>108</v>
      </c>
      <c r="Q999" s="10">
        <v>19.7</v>
      </c>
      <c r="R999" s="10">
        <v>1235</v>
      </c>
      <c r="S999" s="10">
        <v>1.37</v>
      </c>
      <c r="T999" s="10">
        <v>1691</v>
      </c>
      <c r="U999" s="10">
        <v>179</v>
      </c>
      <c r="V999" s="10">
        <v>75</v>
      </c>
      <c r="W999" s="10">
        <v>45</v>
      </c>
      <c r="X999" s="10">
        <v>273</v>
      </c>
      <c r="Y999" s="10">
        <v>7</v>
      </c>
      <c r="Z999" s="10">
        <v>133</v>
      </c>
      <c r="AA999" s="10">
        <v>0.156</v>
      </c>
      <c r="AB999" s="10">
        <v>154</v>
      </c>
      <c r="AC999" s="10">
        <v>102</v>
      </c>
      <c r="AD999" s="10">
        <v>118</v>
      </c>
      <c r="AE999" s="10">
        <v>7</v>
      </c>
      <c r="AF999" s="10">
        <v>11.4</v>
      </c>
      <c r="AG999" s="9" t="s">
        <v>185</v>
      </c>
      <c r="AH999" s="9" t="s">
        <v>198</v>
      </c>
      <c r="AI999" s="10"/>
      <c r="AJ999" s="10"/>
      <c r="AK999" s="30"/>
    </row>
    <row r="1000" spans="5:37">
      <c r="E1000" s="28" t="s">
        <v>155</v>
      </c>
      <c r="F1000" s="8" t="s">
        <v>1160</v>
      </c>
      <c r="G1000" s="9" t="s">
        <v>269</v>
      </c>
      <c r="H1000" s="10">
        <v>170</v>
      </c>
      <c r="I1000" s="9" t="s">
        <v>158</v>
      </c>
      <c r="J1000" s="10">
        <v>170</v>
      </c>
      <c r="K1000" s="10">
        <v>169.8</v>
      </c>
      <c r="L1000" s="10">
        <v>124</v>
      </c>
      <c r="M1000" s="10">
        <v>143</v>
      </c>
      <c r="N1000" s="10">
        <v>127</v>
      </c>
      <c r="O1000" s="10">
        <v>95</v>
      </c>
      <c r="P1000" s="10">
        <v>114</v>
      </c>
      <c r="Q1000" s="10">
        <v>19.7</v>
      </c>
      <c r="R1000" s="10">
        <v>1266</v>
      </c>
      <c r="S1000" s="10">
        <v>1.4</v>
      </c>
      <c r="T1000" s="10">
        <v>1773</v>
      </c>
      <c r="U1000" s="10">
        <v>170</v>
      </c>
      <c r="V1000" s="10">
        <v>78</v>
      </c>
      <c r="W1000" s="10">
        <v>49</v>
      </c>
      <c r="X1000" s="10">
        <v>310</v>
      </c>
      <c r="Y1000" s="10">
        <v>6</v>
      </c>
      <c r="Z1000" s="10">
        <v>152</v>
      </c>
      <c r="AA1000" s="10">
        <v>0.11899999999999999</v>
      </c>
      <c r="AB1000" s="10">
        <v>157</v>
      </c>
      <c r="AC1000" s="10">
        <v>107</v>
      </c>
      <c r="AD1000" s="10">
        <v>154</v>
      </c>
      <c r="AE1000" s="10">
        <v>4</v>
      </c>
      <c r="AF1000" s="10">
        <v>12.4</v>
      </c>
      <c r="AG1000" s="9" t="s">
        <v>185</v>
      </c>
      <c r="AH1000" s="9" t="s">
        <v>198</v>
      </c>
      <c r="AI1000" s="10"/>
      <c r="AJ1000" s="10"/>
      <c r="AK1000" s="30"/>
    </row>
    <row r="1001" spans="5:37">
      <c r="E1001" s="28" t="s">
        <v>155</v>
      </c>
      <c r="F1001" s="8" t="s">
        <v>1160</v>
      </c>
      <c r="G1001" s="9" t="s">
        <v>269</v>
      </c>
      <c r="H1001" s="10">
        <v>177</v>
      </c>
      <c r="I1001" s="9" t="s">
        <v>158</v>
      </c>
      <c r="J1001" s="10">
        <v>177</v>
      </c>
      <c r="K1001" s="10">
        <v>176.8</v>
      </c>
      <c r="L1001" s="10">
        <v>129</v>
      </c>
      <c r="M1001" s="10">
        <v>149</v>
      </c>
      <c r="N1001" s="10">
        <v>127</v>
      </c>
      <c r="O1001" s="10">
        <v>95</v>
      </c>
      <c r="P1001" s="10">
        <v>113</v>
      </c>
      <c r="Q1001" s="10">
        <v>21.6</v>
      </c>
      <c r="R1001" s="10">
        <v>1389</v>
      </c>
      <c r="S1001" s="10">
        <v>1.33</v>
      </c>
      <c r="T1001" s="10">
        <v>1844</v>
      </c>
      <c r="U1001" s="10">
        <v>213</v>
      </c>
      <c r="V1001" s="10">
        <v>96</v>
      </c>
      <c r="W1001" s="10">
        <v>51</v>
      </c>
      <c r="X1001" s="10">
        <v>300</v>
      </c>
      <c r="Y1001" s="10">
        <v>9</v>
      </c>
      <c r="Z1001" s="10">
        <v>180</v>
      </c>
      <c r="AA1001" s="10">
        <v>0.17199999999999999</v>
      </c>
      <c r="AB1001" s="10">
        <v>164</v>
      </c>
      <c r="AC1001" s="10">
        <v>114</v>
      </c>
      <c r="AD1001" s="10">
        <v>136</v>
      </c>
      <c r="AE1001" s="10">
        <v>5</v>
      </c>
      <c r="AF1001" s="10">
        <v>11.4</v>
      </c>
      <c r="AG1001" s="9" t="s">
        <v>185</v>
      </c>
      <c r="AH1001" s="9" t="s">
        <v>198</v>
      </c>
      <c r="AI1001" s="10"/>
      <c r="AJ1001" s="10"/>
      <c r="AK1001" s="30"/>
    </row>
    <row r="1002" spans="5:37">
      <c r="E1002" s="28" t="s">
        <v>155</v>
      </c>
      <c r="F1002" s="8" t="s">
        <v>1160</v>
      </c>
      <c r="G1002" s="9" t="s">
        <v>269</v>
      </c>
      <c r="H1002" s="10">
        <v>184</v>
      </c>
      <c r="I1002" s="9" t="s">
        <v>158</v>
      </c>
      <c r="J1002" s="10">
        <v>184</v>
      </c>
      <c r="K1002" s="10">
        <v>183.5</v>
      </c>
      <c r="L1002" s="10">
        <v>136</v>
      </c>
      <c r="M1002" s="10">
        <v>157</v>
      </c>
      <c r="N1002" s="10">
        <v>127</v>
      </c>
      <c r="O1002" s="10">
        <v>95</v>
      </c>
      <c r="P1002" s="10">
        <v>114</v>
      </c>
      <c r="Q1002" s="10">
        <v>23.7</v>
      </c>
      <c r="R1002" s="10">
        <v>1482</v>
      </c>
      <c r="S1002" s="10">
        <v>1.29</v>
      </c>
      <c r="T1002" s="10">
        <v>1919</v>
      </c>
      <c r="U1002" s="10">
        <v>228</v>
      </c>
      <c r="V1002" s="10">
        <v>100</v>
      </c>
      <c r="W1002" s="10">
        <v>51</v>
      </c>
      <c r="X1002" s="10">
        <v>309</v>
      </c>
      <c r="Y1002" s="10">
        <v>8</v>
      </c>
      <c r="Z1002" s="10">
        <v>167</v>
      </c>
      <c r="AA1002" s="10">
        <v>0.159</v>
      </c>
      <c r="AB1002" s="10">
        <v>156</v>
      </c>
      <c r="AC1002" s="10">
        <v>112</v>
      </c>
      <c r="AD1002" s="10">
        <v>153</v>
      </c>
      <c r="AE1002" s="10">
        <v>7</v>
      </c>
      <c r="AF1002" s="10">
        <v>12.6</v>
      </c>
      <c r="AG1002" s="9" t="s">
        <v>185</v>
      </c>
      <c r="AH1002" s="9" t="s">
        <v>198</v>
      </c>
      <c r="AI1002" s="10"/>
      <c r="AJ1002" s="10"/>
      <c r="AK1002" s="30"/>
    </row>
    <row r="1003" spans="5:37">
      <c r="E1003" s="28" t="s">
        <v>155</v>
      </c>
      <c r="F1003" s="8" t="s">
        <v>215</v>
      </c>
      <c r="G1003" s="9" t="s">
        <v>216</v>
      </c>
      <c r="H1003" s="10">
        <v>172</v>
      </c>
      <c r="I1003" s="9" t="s">
        <v>158</v>
      </c>
      <c r="J1003" s="10">
        <v>172</v>
      </c>
      <c r="K1003" s="10">
        <v>171.4</v>
      </c>
      <c r="L1003" s="10">
        <v>139</v>
      </c>
      <c r="M1003" s="10">
        <v>150</v>
      </c>
      <c r="N1003" s="10">
        <v>137</v>
      </c>
      <c r="O1003" s="10">
        <v>99</v>
      </c>
      <c r="P1003" s="10">
        <v>121</v>
      </c>
      <c r="Q1003" s="10">
        <v>17.600000000000001</v>
      </c>
      <c r="R1003" s="10">
        <v>1830</v>
      </c>
      <c r="S1003" s="10">
        <v>1.04</v>
      </c>
      <c r="T1003" s="10">
        <v>1898</v>
      </c>
      <c r="U1003" s="10">
        <v>211</v>
      </c>
      <c r="V1003" s="10">
        <v>102</v>
      </c>
      <c r="W1003" s="10">
        <v>38</v>
      </c>
      <c r="X1003" s="10">
        <v>223</v>
      </c>
      <c r="Y1003" s="10">
        <v>10</v>
      </c>
      <c r="Z1003" s="10">
        <v>103</v>
      </c>
      <c r="AA1003" s="10">
        <v>0.25600000000000001</v>
      </c>
      <c r="AB1003" s="10">
        <v>125</v>
      </c>
      <c r="AC1003" s="10">
        <v>85</v>
      </c>
      <c r="AD1003" s="10">
        <v>98</v>
      </c>
      <c r="AE1003" s="10">
        <v>10</v>
      </c>
      <c r="AF1003" s="10">
        <v>11</v>
      </c>
      <c r="AG1003" s="9" t="s">
        <v>188</v>
      </c>
      <c r="AH1003" s="10"/>
      <c r="AI1003" s="10"/>
      <c r="AJ1003" s="10"/>
      <c r="AK1003" s="30"/>
    </row>
    <row r="1004" spans="5:37">
      <c r="E1004" s="28" t="s">
        <v>155</v>
      </c>
      <c r="F1004" s="8" t="s">
        <v>215</v>
      </c>
      <c r="G1004" s="9" t="s">
        <v>216</v>
      </c>
      <c r="H1004" s="10">
        <v>179</v>
      </c>
      <c r="I1004" s="9" t="s">
        <v>158</v>
      </c>
      <c r="J1004" s="10">
        <v>179</v>
      </c>
      <c r="K1004" s="10">
        <v>178.9</v>
      </c>
      <c r="L1004" s="10">
        <v>145</v>
      </c>
      <c r="M1004" s="10">
        <v>158</v>
      </c>
      <c r="N1004" s="10">
        <v>138</v>
      </c>
      <c r="O1004" s="10">
        <v>99</v>
      </c>
      <c r="P1004" s="10">
        <v>121</v>
      </c>
      <c r="Q1004" s="10">
        <v>19.100000000000001</v>
      </c>
      <c r="R1004" s="10">
        <v>1983</v>
      </c>
      <c r="S1004" s="10">
        <v>1</v>
      </c>
      <c r="T1004" s="10">
        <v>1978</v>
      </c>
      <c r="U1004" s="10">
        <v>239</v>
      </c>
      <c r="V1004" s="10">
        <v>124</v>
      </c>
      <c r="W1004" s="10">
        <v>36</v>
      </c>
      <c r="X1004" s="10">
        <v>204</v>
      </c>
      <c r="Y1004" s="10">
        <v>10</v>
      </c>
      <c r="Z1004" s="10">
        <v>133</v>
      </c>
      <c r="AA1004" s="10">
        <v>0.28699999999999998</v>
      </c>
      <c r="AB1004" s="10">
        <v>116</v>
      </c>
      <c r="AC1004" s="10">
        <v>88</v>
      </c>
      <c r="AD1004" s="10">
        <v>88</v>
      </c>
      <c r="AE1004" s="10">
        <v>10</v>
      </c>
      <c r="AF1004" s="10">
        <v>10.4</v>
      </c>
      <c r="AG1004" s="9" t="s">
        <v>188</v>
      </c>
      <c r="AH1004" s="10"/>
      <c r="AI1004" s="10"/>
      <c r="AJ1004" s="10"/>
      <c r="AK1004" s="30"/>
    </row>
    <row r="1005" spans="5:37">
      <c r="E1005" s="28" t="s">
        <v>155</v>
      </c>
      <c r="F1005" s="8" t="s">
        <v>215</v>
      </c>
      <c r="G1005" s="9" t="s">
        <v>216</v>
      </c>
      <c r="H1005" s="10">
        <v>186</v>
      </c>
      <c r="I1005" s="9" t="s">
        <v>158</v>
      </c>
      <c r="J1005" s="10">
        <v>186</v>
      </c>
      <c r="K1005" s="10">
        <v>185.9</v>
      </c>
      <c r="L1005" s="10">
        <v>150</v>
      </c>
      <c r="M1005" s="10">
        <v>165</v>
      </c>
      <c r="N1005" s="10">
        <v>137</v>
      </c>
      <c r="O1005" s="10">
        <v>99</v>
      </c>
      <c r="P1005" s="10">
        <v>121</v>
      </c>
      <c r="Q1005" s="10">
        <v>21.5</v>
      </c>
      <c r="R1005" s="10">
        <v>1980</v>
      </c>
      <c r="S1005" s="10">
        <v>1.04</v>
      </c>
      <c r="T1005" s="10">
        <v>2055</v>
      </c>
      <c r="U1005" s="10">
        <v>240</v>
      </c>
      <c r="V1005" s="10">
        <v>121</v>
      </c>
      <c r="W1005" s="10">
        <v>38</v>
      </c>
      <c r="X1005" s="10">
        <v>218</v>
      </c>
      <c r="Y1005" s="10">
        <v>11</v>
      </c>
      <c r="Z1005" s="10">
        <v>141</v>
      </c>
      <c r="AA1005" s="10">
        <v>0.3</v>
      </c>
      <c r="AB1005" s="10">
        <v>119</v>
      </c>
      <c r="AC1005" s="10">
        <v>92</v>
      </c>
      <c r="AD1005" s="10">
        <v>99</v>
      </c>
      <c r="AE1005" s="10">
        <v>10</v>
      </c>
      <c r="AF1005" s="10">
        <v>10.6</v>
      </c>
      <c r="AG1005" s="9" t="s">
        <v>188</v>
      </c>
      <c r="AH1005" s="10"/>
      <c r="AI1005" s="10"/>
      <c r="AJ1005" s="10"/>
      <c r="AK1005" s="30"/>
    </row>
    <row r="1006" spans="5:37">
      <c r="E1006" s="28" t="s">
        <v>155</v>
      </c>
      <c r="F1006" s="8" t="s">
        <v>215</v>
      </c>
      <c r="G1006" s="9" t="s">
        <v>306</v>
      </c>
      <c r="H1006" s="10">
        <v>165</v>
      </c>
      <c r="I1006" s="9" t="s">
        <v>158</v>
      </c>
      <c r="J1006" s="10">
        <v>165</v>
      </c>
      <c r="K1006" s="10">
        <v>165.1</v>
      </c>
      <c r="L1006" s="10">
        <v>133</v>
      </c>
      <c r="M1006" s="10">
        <v>146</v>
      </c>
      <c r="N1006" s="10">
        <v>130</v>
      </c>
      <c r="O1006" s="10">
        <v>89</v>
      </c>
      <c r="P1006" s="10">
        <v>112</v>
      </c>
      <c r="Q1006" s="10">
        <v>15.6</v>
      </c>
      <c r="R1006" s="10">
        <v>1638</v>
      </c>
      <c r="S1006" s="10">
        <v>1.02</v>
      </c>
      <c r="T1006" s="10">
        <v>1679</v>
      </c>
      <c r="U1006" s="10">
        <v>195</v>
      </c>
      <c r="V1006" s="10">
        <v>100</v>
      </c>
      <c r="W1006" s="10">
        <v>38</v>
      </c>
      <c r="X1006" s="10">
        <v>203</v>
      </c>
      <c r="Y1006" s="10">
        <v>10</v>
      </c>
      <c r="Z1006" s="10">
        <v>120</v>
      </c>
      <c r="AA1006" s="10">
        <v>0.25700000000000001</v>
      </c>
      <c r="AB1006" s="10">
        <v>103</v>
      </c>
      <c r="AC1006" s="10">
        <v>88</v>
      </c>
      <c r="AD1006" s="10">
        <v>100</v>
      </c>
      <c r="AE1006" s="10">
        <v>8</v>
      </c>
      <c r="AF1006" s="10">
        <v>10.5</v>
      </c>
      <c r="AG1006" s="9" t="s">
        <v>188</v>
      </c>
      <c r="AH1006" s="10"/>
      <c r="AI1006" s="10"/>
      <c r="AJ1006" s="10"/>
      <c r="AK1006" s="30"/>
    </row>
    <row r="1007" spans="5:37">
      <c r="E1007" s="28" t="s">
        <v>155</v>
      </c>
      <c r="F1007" s="8" t="s">
        <v>215</v>
      </c>
      <c r="G1007" s="9" t="s">
        <v>306</v>
      </c>
      <c r="H1007" s="10">
        <v>172</v>
      </c>
      <c r="I1007" s="9" t="s">
        <v>158</v>
      </c>
      <c r="J1007" s="10">
        <v>172</v>
      </c>
      <c r="K1007" s="10">
        <v>171.9</v>
      </c>
      <c r="L1007" s="10">
        <v>140</v>
      </c>
      <c r="M1007" s="10">
        <v>152</v>
      </c>
      <c r="N1007" s="10">
        <v>130</v>
      </c>
      <c r="O1007" s="10">
        <v>89</v>
      </c>
      <c r="P1007" s="10">
        <v>113</v>
      </c>
      <c r="Q1007" s="10">
        <v>17.3</v>
      </c>
      <c r="R1007" s="10">
        <v>1655</v>
      </c>
      <c r="S1007" s="10">
        <v>1.06</v>
      </c>
      <c r="T1007" s="10">
        <v>1748</v>
      </c>
      <c r="U1007" s="10">
        <v>199</v>
      </c>
      <c r="V1007" s="10">
        <v>101</v>
      </c>
      <c r="W1007" s="10">
        <v>36</v>
      </c>
      <c r="X1007" s="10">
        <v>192</v>
      </c>
      <c r="Y1007" s="10">
        <v>9</v>
      </c>
      <c r="Z1007" s="10">
        <v>128</v>
      </c>
      <c r="AA1007" s="10">
        <v>0.253</v>
      </c>
      <c r="AB1007" s="10">
        <v>114</v>
      </c>
      <c r="AC1007" s="10">
        <v>84</v>
      </c>
      <c r="AD1007" s="10">
        <v>79</v>
      </c>
      <c r="AE1007" s="10">
        <v>11</v>
      </c>
      <c r="AF1007" s="10">
        <v>10.4</v>
      </c>
      <c r="AG1007" s="9" t="s">
        <v>188</v>
      </c>
      <c r="AH1007" s="9" t="s">
        <v>185</v>
      </c>
      <c r="AI1007" s="10"/>
      <c r="AJ1007" s="10"/>
      <c r="AK1007" s="30"/>
    </row>
    <row r="1008" spans="5:37">
      <c r="E1008" s="28" t="s">
        <v>155</v>
      </c>
      <c r="F1008" s="8" t="s">
        <v>215</v>
      </c>
      <c r="G1008" s="9" t="s">
        <v>306</v>
      </c>
      <c r="H1008" s="10">
        <v>179</v>
      </c>
      <c r="I1008" s="9" t="s">
        <v>158</v>
      </c>
      <c r="J1008" s="10">
        <v>179</v>
      </c>
      <c r="K1008" s="10">
        <v>178.6</v>
      </c>
      <c r="L1008" s="10">
        <v>145</v>
      </c>
      <c r="M1008" s="10">
        <v>158</v>
      </c>
      <c r="N1008" s="10">
        <v>130</v>
      </c>
      <c r="O1008" s="10">
        <v>89</v>
      </c>
      <c r="P1008" s="10">
        <v>113</v>
      </c>
      <c r="Q1008" s="10">
        <v>18.3</v>
      </c>
      <c r="R1008" s="10">
        <v>1787</v>
      </c>
      <c r="S1008" s="10">
        <v>1.02</v>
      </c>
      <c r="T1008" s="10">
        <v>1815</v>
      </c>
      <c r="U1008" s="10">
        <v>208</v>
      </c>
      <c r="V1008" s="10">
        <v>103</v>
      </c>
      <c r="W1008" s="10">
        <v>39</v>
      </c>
      <c r="X1008" s="10">
        <v>205</v>
      </c>
      <c r="Y1008" s="10">
        <v>10</v>
      </c>
      <c r="Z1008" s="10">
        <v>130</v>
      </c>
      <c r="AA1008" s="10">
        <v>0.25700000000000001</v>
      </c>
      <c r="AB1008" s="10">
        <v>119</v>
      </c>
      <c r="AC1008" s="10">
        <v>86</v>
      </c>
      <c r="AD1008" s="10">
        <v>86</v>
      </c>
      <c r="AE1008" s="10">
        <v>9</v>
      </c>
      <c r="AF1008" s="10">
        <v>10.5</v>
      </c>
      <c r="AG1008" s="9" t="s">
        <v>188</v>
      </c>
      <c r="AH1008" s="10"/>
      <c r="AI1008" s="10"/>
      <c r="AJ1008" s="10"/>
      <c r="AK1008" s="30"/>
    </row>
    <row r="1009" spans="5:37">
      <c r="E1009" s="28" t="s">
        <v>155</v>
      </c>
      <c r="F1009" s="8" t="s">
        <v>215</v>
      </c>
      <c r="G1009" s="9" t="s">
        <v>306</v>
      </c>
      <c r="H1009" s="10">
        <v>186</v>
      </c>
      <c r="I1009" s="9" t="s">
        <v>158</v>
      </c>
      <c r="J1009" s="10">
        <v>186</v>
      </c>
      <c r="K1009" s="10">
        <v>185.8</v>
      </c>
      <c r="L1009" s="10">
        <v>157</v>
      </c>
      <c r="M1009" s="10">
        <v>166</v>
      </c>
      <c r="N1009" s="10">
        <v>130</v>
      </c>
      <c r="O1009" s="10">
        <v>89</v>
      </c>
      <c r="P1009" s="10">
        <v>113</v>
      </c>
      <c r="Q1009" s="10">
        <v>20.399999999999999</v>
      </c>
      <c r="R1009" s="10">
        <v>1895</v>
      </c>
      <c r="S1009" s="10">
        <v>0.99</v>
      </c>
      <c r="T1009" s="10">
        <v>1881</v>
      </c>
      <c r="U1009" s="10">
        <v>227</v>
      </c>
      <c r="V1009" s="10">
        <v>111</v>
      </c>
      <c r="W1009" s="10">
        <v>37</v>
      </c>
      <c r="X1009" s="10">
        <v>179</v>
      </c>
      <c r="Y1009" s="10">
        <v>8</v>
      </c>
      <c r="Z1009" s="10">
        <v>108</v>
      </c>
      <c r="AA1009" s="10">
        <v>0.22800000000000001</v>
      </c>
      <c r="AB1009" s="10">
        <v>106</v>
      </c>
      <c r="AC1009" s="10">
        <v>92</v>
      </c>
      <c r="AD1009" s="10">
        <v>73</v>
      </c>
      <c r="AE1009" s="10">
        <v>13</v>
      </c>
      <c r="AF1009" s="10">
        <v>11.4</v>
      </c>
      <c r="AG1009" s="9" t="s">
        <v>188</v>
      </c>
      <c r="AH1009" s="10"/>
      <c r="AI1009" s="10"/>
      <c r="AJ1009" s="10"/>
      <c r="AK1009" s="30"/>
    </row>
    <row r="1010" spans="5:37">
      <c r="E1010" s="28" t="s">
        <v>155</v>
      </c>
      <c r="F1010" s="8" t="s">
        <v>215</v>
      </c>
      <c r="G1010" s="9" t="s">
        <v>302</v>
      </c>
      <c r="H1010" s="10">
        <v>151</v>
      </c>
      <c r="I1010" s="9" t="s">
        <v>163</v>
      </c>
      <c r="J1010" s="10">
        <v>151</v>
      </c>
      <c r="K1010" s="10">
        <v>150.4</v>
      </c>
      <c r="L1010" s="10">
        <v>117</v>
      </c>
      <c r="M1010" s="10">
        <v>131</v>
      </c>
      <c r="N1010" s="10">
        <v>131</v>
      </c>
      <c r="O1010" s="10">
        <v>89</v>
      </c>
      <c r="P1010" s="10">
        <v>114</v>
      </c>
      <c r="Q1010" s="10">
        <v>12.4</v>
      </c>
      <c r="R1010" s="10">
        <v>1457</v>
      </c>
      <c r="S1010" s="10">
        <v>1.06</v>
      </c>
      <c r="T1010" s="10">
        <v>1541</v>
      </c>
      <c r="U1010" s="10">
        <v>196</v>
      </c>
      <c r="V1010" s="10">
        <v>94</v>
      </c>
      <c r="W1010" s="10">
        <v>37</v>
      </c>
      <c r="X1010" s="10">
        <v>205</v>
      </c>
      <c r="Y1010" s="10">
        <v>10</v>
      </c>
      <c r="Z1010" s="10">
        <v>130</v>
      </c>
      <c r="AA1010" s="10">
        <v>0.27400000000000002</v>
      </c>
      <c r="AB1010" s="10">
        <v>112</v>
      </c>
      <c r="AC1010" s="10">
        <v>85</v>
      </c>
      <c r="AD1010" s="10">
        <v>93</v>
      </c>
      <c r="AE1010" s="10">
        <v>7</v>
      </c>
      <c r="AF1010" s="10">
        <v>9.6999999999999993</v>
      </c>
      <c r="AG1010" s="9" t="s">
        <v>188</v>
      </c>
      <c r="AH1010" s="9" t="s">
        <v>185</v>
      </c>
      <c r="AI1010" s="10"/>
      <c r="AJ1010" s="10"/>
      <c r="AK1010" s="30"/>
    </row>
    <row r="1011" spans="5:37">
      <c r="E1011" s="28" t="s">
        <v>155</v>
      </c>
      <c r="F1011" s="8" t="s">
        <v>215</v>
      </c>
      <c r="G1011" s="9" t="s">
        <v>302</v>
      </c>
      <c r="H1011" s="10">
        <v>158</v>
      </c>
      <c r="I1011" s="9" t="s">
        <v>163</v>
      </c>
      <c r="J1011" s="10">
        <v>158</v>
      </c>
      <c r="K1011" s="10">
        <v>157.5</v>
      </c>
      <c r="L1011" s="10">
        <v>125</v>
      </c>
      <c r="M1011" s="10">
        <v>137</v>
      </c>
      <c r="N1011" s="10">
        <v>131</v>
      </c>
      <c r="O1011" s="10">
        <v>90</v>
      </c>
      <c r="P1011" s="10">
        <v>113</v>
      </c>
      <c r="Q1011" s="10">
        <v>14</v>
      </c>
      <c r="R1011" s="10">
        <v>1547</v>
      </c>
      <c r="S1011" s="10">
        <v>1.04</v>
      </c>
      <c r="T1011" s="10">
        <v>1614</v>
      </c>
      <c r="U1011" s="10">
        <v>178</v>
      </c>
      <c r="V1011" s="10">
        <v>97</v>
      </c>
      <c r="W1011" s="10">
        <v>36</v>
      </c>
      <c r="X1011" s="10">
        <v>202</v>
      </c>
      <c r="Y1011" s="10">
        <v>11</v>
      </c>
      <c r="Z1011" s="10">
        <v>120</v>
      </c>
      <c r="AA1011" s="10">
        <v>0.29599999999999999</v>
      </c>
      <c r="AB1011" s="10">
        <v>111</v>
      </c>
      <c r="AC1011" s="10">
        <v>91</v>
      </c>
      <c r="AD1011" s="10">
        <v>91</v>
      </c>
      <c r="AE1011" s="10">
        <v>7</v>
      </c>
      <c r="AF1011" s="10">
        <v>11</v>
      </c>
      <c r="AG1011" s="9" t="s">
        <v>188</v>
      </c>
      <c r="AH1011" s="10"/>
      <c r="AI1011" s="10"/>
      <c r="AJ1011" s="10"/>
      <c r="AK1011" s="30"/>
    </row>
    <row r="1012" spans="5:37">
      <c r="E1012" s="28" t="s">
        <v>155</v>
      </c>
      <c r="F1012" s="8" t="s">
        <v>215</v>
      </c>
      <c r="G1012" s="9" t="s">
        <v>302</v>
      </c>
      <c r="H1012" s="10">
        <v>165</v>
      </c>
      <c r="I1012" s="9" t="s">
        <v>163</v>
      </c>
      <c r="J1012" s="10">
        <v>165</v>
      </c>
      <c r="K1012" s="10">
        <v>164.2</v>
      </c>
      <c r="L1012" s="10">
        <v>131</v>
      </c>
      <c r="M1012" s="10">
        <v>145</v>
      </c>
      <c r="N1012" s="10">
        <v>131</v>
      </c>
      <c r="O1012" s="10">
        <v>90</v>
      </c>
      <c r="P1012" s="10">
        <v>113</v>
      </c>
      <c r="Q1012" s="10">
        <v>15.4</v>
      </c>
      <c r="R1012" s="10">
        <v>1591</v>
      </c>
      <c r="S1012" s="10">
        <v>1.06</v>
      </c>
      <c r="T1012" s="10">
        <v>1679</v>
      </c>
      <c r="U1012" s="10">
        <v>208</v>
      </c>
      <c r="V1012" s="10">
        <v>99</v>
      </c>
      <c r="W1012" s="10">
        <v>37</v>
      </c>
      <c r="X1012" s="10">
        <v>206</v>
      </c>
      <c r="Y1012" s="10">
        <v>10</v>
      </c>
      <c r="Z1012" s="10">
        <v>130</v>
      </c>
      <c r="AA1012" s="10">
        <v>0.26200000000000001</v>
      </c>
      <c r="AB1012" s="10">
        <v>108</v>
      </c>
      <c r="AC1012" s="10">
        <v>79</v>
      </c>
      <c r="AD1012" s="10">
        <v>98</v>
      </c>
      <c r="AE1012" s="10">
        <v>8</v>
      </c>
      <c r="AF1012" s="10">
        <v>7.1</v>
      </c>
      <c r="AG1012" s="9" t="s">
        <v>188</v>
      </c>
      <c r="AH1012" s="9" t="s">
        <v>185</v>
      </c>
      <c r="AI1012" s="10"/>
      <c r="AJ1012" s="10"/>
      <c r="AK1012" s="30"/>
    </row>
    <row r="1013" spans="5:37">
      <c r="E1013" s="28" t="s">
        <v>155</v>
      </c>
      <c r="F1013" s="8" t="s">
        <v>215</v>
      </c>
      <c r="G1013" s="9" t="s">
        <v>376</v>
      </c>
      <c r="H1013" s="10">
        <v>151</v>
      </c>
      <c r="I1013" s="9" t="s">
        <v>163</v>
      </c>
      <c r="J1013" s="10">
        <v>151</v>
      </c>
      <c r="K1013" s="10">
        <v>150.1</v>
      </c>
      <c r="L1013" s="10">
        <v>90</v>
      </c>
      <c r="M1013" s="10">
        <v>123</v>
      </c>
      <c r="N1013" s="10">
        <v>134</v>
      </c>
      <c r="O1013" s="10">
        <v>101</v>
      </c>
      <c r="P1013" s="10">
        <v>121</v>
      </c>
      <c r="Q1013" s="10">
        <v>12.5</v>
      </c>
      <c r="R1013" s="10">
        <v>1483</v>
      </c>
      <c r="S1013" s="10">
        <v>1.1299999999999999</v>
      </c>
      <c r="T1013" s="10">
        <v>1669</v>
      </c>
      <c r="U1013" s="10">
        <v>170</v>
      </c>
      <c r="V1013" s="10">
        <v>84</v>
      </c>
      <c r="W1013" s="10">
        <v>44</v>
      </c>
      <c r="X1013" s="10">
        <v>339</v>
      </c>
      <c r="Y1013" s="10">
        <v>34</v>
      </c>
      <c r="Z1013" s="10">
        <v>258</v>
      </c>
      <c r="AA1013" s="10">
        <v>0.75900000000000001</v>
      </c>
      <c r="AB1013" s="10">
        <v>139</v>
      </c>
      <c r="AC1013" s="10">
        <v>136</v>
      </c>
      <c r="AD1013" s="10">
        <v>201</v>
      </c>
      <c r="AE1013" s="10">
        <v>4</v>
      </c>
      <c r="AF1013" s="10">
        <v>6.5</v>
      </c>
      <c r="AG1013" s="9" t="s">
        <v>188</v>
      </c>
      <c r="AH1013" s="9" t="s">
        <v>169</v>
      </c>
      <c r="AI1013" s="9" t="s">
        <v>185</v>
      </c>
      <c r="AJ1013" s="10"/>
      <c r="AK1013" s="30"/>
    </row>
    <row r="1014" spans="5:37">
      <c r="E1014" s="28" t="s">
        <v>155</v>
      </c>
      <c r="F1014" s="8" t="s">
        <v>215</v>
      </c>
      <c r="G1014" s="9" t="s">
        <v>376</v>
      </c>
      <c r="H1014" s="10">
        <v>165</v>
      </c>
      <c r="I1014" s="9" t="s">
        <v>163</v>
      </c>
      <c r="J1014" s="10">
        <v>165</v>
      </c>
      <c r="K1014" s="10">
        <v>164.4</v>
      </c>
      <c r="L1014" s="10">
        <v>104</v>
      </c>
      <c r="M1014" s="10">
        <v>135</v>
      </c>
      <c r="N1014" s="10">
        <v>134</v>
      </c>
      <c r="O1014" s="10">
        <v>100</v>
      </c>
      <c r="P1014" s="10">
        <v>121</v>
      </c>
      <c r="Q1014" s="10">
        <v>15</v>
      </c>
      <c r="R1014" s="10">
        <v>1740</v>
      </c>
      <c r="S1014" s="10">
        <v>1.05</v>
      </c>
      <c r="T1014" s="10">
        <v>1822</v>
      </c>
      <c r="U1014" s="10">
        <v>166</v>
      </c>
      <c r="V1014" s="10">
        <v>86</v>
      </c>
      <c r="W1014" s="10">
        <v>53</v>
      </c>
      <c r="X1014" s="10">
        <v>367</v>
      </c>
      <c r="Y1014" s="10">
        <v>27</v>
      </c>
      <c r="Z1014" s="10">
        <v>240</v>
      </c>
      <c r="AA1014" s="10">
        <v>0.51900000000000002</v>
      </c>
      <c r="AB1014" s="10">
        <v>140</v>
      </c>
      <c r="AC1014" s="10">
        <v>155</v>
      </c>
      <c r="AD1014" s="10">
        <v>228</v>
      </c>
      <c r="AE1014" s="10">
        <v>4</v>
      </c>
      <c r="AF1014" s="10">
        <v>7.5</v>
      </c>
      <c r="AG1014" s="9" t="s">
        <v>188</v>
      </c>
      <c r="AH1014" s="9" t="s">
        <v>169</v>
      </c>
      <c r="AI1014" s="10"/>
      <c r="AJ1014" s="10"/>
      <c r="AK1014" s="30"/>
    </row>
    <row r="1015" spans="5:37">
      <c r="E1015" s="28" t="s">
        <v>155</v>
      </c>
      <c r="F1015" s="8" t="s">
        <v>215</v>
      </c>
      <c r="G1015" s="9" t="s">
        <v>376</v>
      </c>
      <c r="H1015" s="10">
        <v>171</v>
      </c>
      <c r="I1015" s="9" t="s">
        <v>163</v>
      </c>
      <c r="J1015" s="10">
        <v>171</v>
      </c>
      <c r="K1015" s="10">
        <v>170</v>
      </c>
      <c r="L1015" s="10">
        <v>111</v>
      </c>
      <c r="M1015" s="10">
        <v>141</v>
      </c>
      <c r="N1015" s="10">
        <v>135</v>
      </c>
      <c r="O1015" s="10">
        <v>101</v>
      </c>
      <c r="P1015" s="10">
        <v>122</v>
      </c>
      <c r="Q1015" s="10">
        <v>16.600000000000001</v>
      </c>
      <c r="R1015" s="10">
        <v>1723</v>
      </c>
      <c r="S1015" s="10">
        <v>1.1000000000000001</v>
      </c>
      <c r="T1015" s="10">
        <v>1895</v>
      </c>
      <c r="U1015" s="10">
        <v>171</v>
      </c>
      <c r="V1015" s="10">
        <v>81</v>
      </c>
      <c r="W1015" s="10">
        <v>51</v>
      </c>
      <c r="X1015" s="10">
        <v>339</v>
      </c>
      <c r="Y1015" s="10">
        <v>28</v>
      </c>
      <c r="Z1015" s="10">
        <v>248</v>
      </c>
      <c r="AA1015" s="10">
        <v>0.55000000000000004</v>
      </c>
      <c r="AB1015" s="10">
        <v>142</v>
      </c>
      <c r="AC1015" s="10">
        <v>148</v>
      </c>
      <c r="AD1015" s="10">
        <v>197</v>
      </c>
      <c r="AE1015" s="10">
        <v>6</v>
      </c>
      <c r="AF1015" s="10">
        <v>8.3000000000000007</v>
      </c>
      <c r="AG1015" s="9" t="s">
        <v>188</v>
      </c>
      <c r="AH1015" s="9" t="s">
        <v>169</v>
      </c>
      <c r="AI1015" s="9" t="s">
        <v>185</v>
      </c>
      <c r="AJ1015" s="10"/>
      <c r="AK1015" s="30"/>
    </row>
    <row r="1016" spans="5:37">
      <c r="E1016" s="28" t="s">
        <v>155</v>
      </c>
      <c r="F1016" s="8" t="s">
        <v>215</v>
      </c>
      <c r="G1016" s="9" t="s">
        <v>727</v>
      </c>
      <c r="H1016" s="10">
        <v>151</v>
      </c>
      <c r="I1016" s="9" t="s">
        <v>163</v>
      </c>
      <c r="J1016" s="10">
        <v>151</v>
      </c>
      <c r="K1016" s="10">
        <v>150.19999999999999</v>
      </c>
      <c r="L1016" s="10">
        <v>91</v>
      </c>
      <c r="M1016" s="10">
        <v>121</v>
      </c>
      <c r="N1016" s="10">
        <v>125</v>
      </c>
      <c r="O1016" s="10">
        <v>90</v>
      </c>
      <c r="P1016" s="10">
        <v>111</v>
      </c>
      <c r="Q1016" s="10">
        <v>11.8</v>
      </c>
      <c r="R1016" s="10">
        <v>1420</v>
      </c>
      <c r="S1016" s="10">
        <v>1.07</v>
      </c>
      <c r="T1016" s="10">
        <v>1516</v>
      </c>
      <c r="U1016" s="10">
        <v>144</v>
      </c>
      <c r="V1016" s="10">
        <v>72</v>
      </c>
      <c r="W1016" s="10">
        <v>44</v>
      </c>
      <c r="X1016" s="10">
        <v>351</v>
      </c>
      <c r="Y1016" s="10">
        <v>21</v>
      </c>
      <c r="Z1016" s="10">
        <v>243</v>
      </c>
      <c r="AA1016" s="10">
        <v>0.48599999999999999</v>
      </c>
      <c r="AB1016" s="10">
        <v>135</v>
      </c>
      <c r="AC1016" s="10">
        <v>157</v>
      </c>
      <c r="AD1016" s="10">
        <v>216</v>
      </c>
      <c r="AE1016" s="10">
        <v>4</v>
      </c>
      <c r="AF1016" s="10">
        <v>7.8</v>
      </c>
      <c r="AG1016" s="9" t="s">
        <v>188</v>
      </c>
      <c r="AH1016" s="9" t="s">
        <v>185</v>
      </c>
      <c r="AI1016" s="10"/>
      <c r="AJ1016" s="10"/>
      <c r="AK1016" s="30"/>
    </row>
    <row r="1017" spans="5:37">
      <c r="E1017" s="28" t="s">
        <v>155</v>
      </c>
      <c r="F1017" s="8" t="s">
        <v>215</v>
      </c>
      <c r="G1017" s="9" t="s">
        <v>727</v>
      </c>
      <c r="H1017" s="10">
        <v>158</v>
      </c>
      <c r="I1017" s="9" t="s">
        <v>163</v>
      </c>
      <c r="J1017" s="10">
        <v>158</v>
      </c>
      <c r="K1017" s="10">
        <v>157.1</v>
      </c>
      <c r="L1017" s="10">
        <v>97</v>
      </c>
      <c r="M1017" s="10">
        <v>127</v>
      </c>
      <c r="N1017" s="10">
        <v>125</v>
      </c>
      <c r="O1017" s="10">
        <v>89</v>
      </c>
      <c r="P1017" s="10">
        <v>111</v>
      </c>
      <c r="Q1017" s="10">
        <v>13</v>
      </c>
      <c r="R1017" s="10">
        <v>1431</v>
      </c>
      <c r="S1017" s="10">
        <v>1.1000000000000001</v>
      </c>
      <c r="T1017" s="10">
        <v>1572</v>
      </c>
      <c r="U1017" s="10">
        <v>162</v>
      </c>
      <c r="V1017" s="10">
        <v>75</v>
      </c>
      <c r="W1017" s="10">
        <v>44</v>
      </c>
      <c r="X1017" s="10">
        <v>352</v>
      </c>
      <c r="Y1017" s="10">
        <v>23</v>
      </c>
      <c r="Z1017" s="10">
        <v>246</v>
      </c>
      <c r="AA1017" s="10">
        <v>0.51800000000000002</v>
      </c>
      <c r="AB1017" s="10">
        <v>136</v>
      </c>
      <c r="AC1017" s="10">
        <v>160</v>
      </c>
      <c r="AD1017" s="10">
        <v>216</v>
      </c>
      <c r="AE1017" s="10">
        <v>4</v>
      </c>
      <c r="AF1017" s="10">
        <v>8.3000000000000007</v>
      </c>
      <c r="AG1017" s="9" t="s">
        <v>188</v>
      </c>
      <c r="AH1017" s="9" t="s">
        <v>185</v>
      </c>
      <c r="AI1017" s="10"/>
      <c r="AJ1017" s="10"/>
      <c r="AK1017" s="30"/>
    </row>
    <row r="1018" spans="5:37">
      <c r="E1018" s="28" t="s">
        <v>155</v>
      </c>
      <c r="F1018" s="8" t="s">
        <v>215</v>
      </c>
      <c r="G1018" s="9" t="s">
        <v>727</v>
      </c>
      <c r="H1018" s="10">
        <v>165</v>
      </c>
      <c r="I1018" s="9" t="s">
        <v>163</v>
      </c>
      <c r="J1018" s="10">
        <v>165</v>
      </c>
      <c r="K1018" s="10">
        <v>164.5</v>
      </c>
      <c r="L1018" s="10">
        <v>105</v>
      </c>
      <c r="M1018" s="10">
        <v>136</v>
      </c>
      <c r="N1018" s="10">
        <v>125</v>
      </c>
      <c r="O1018" s="10">
        <v>90</v>
      </c>
      <c r="P1018" s="10">
        <v>111</v>
      </c>
      <c r="Q1018" s="10">
        <v>14.8</v>
      </c>
      <c r="R1018" s="10">
        <v>1554</v>
      </c>
      <c r="S1018" s="10">
        <v>1.06</v>
      </c>
      <c r="T1018" s="10">
        <v>1649</v>
      </c>
      <c r="U1018" s="10">
        <v>173</v>
      </c>
      <c r="V1018" s="10">
        <v>78</v>
      </c>
      <c r="W1018" s="10">
        <v>43</v>
      </c>
      <c r="X1018" s="10">
        <v>345</v>
      </c>
      <c r="Y1018" s="10">
        <v>21</v>
      </c>
      <c r="Z1018" s="10">
        <v>246</v>
      </c>
      <c r="AA1018" s="10">
        <v>0.48399999999999999</v>
      </c>
      <c r="AB1018" s="10">
        <v>133</v>
      </c>
      <c r="AC1018" s="10">
        <v>152</v>
      </c>
      <c r="AD1018" s="10">
        <v>213</v>
      </c>
      <c r="AE1018" s="10">
        <v>5</v>
      </c>
      <c r="AF1018" s="10">
        <v>7.7</v>
      </c>
      <c r="AG1018" s="9" t="s">
        <v>188</v>
      </c>
      <c r="AH1018" s="9" t="s">
        <v>185</v>
      </c>
      <c r="AI1018" s="10"/>
      <c r="AJ1018" s="10"/>
      <c r="AK1018" s="30"/>
    </row>
    <row r="1019" spans="5:37">
      <c r="E1019" s="28" t="s">
        <v>155</v>
      </c>
      <c r="F1019" s="8" t="s">
        <v>215</v>
      </c>
      <c r="G1019" s="9" t="s">
        <v>592</v>
      </c>
      <c r="H1019" s="10">
        <v>171</v>
      </c>
      <c r="I1019" s="9" t="s">
        <v>158</v>
      </c>
      <c r="J1019" s="10">
        <v>171</v>
      </c>
      <c r="K1019" s="10">
        <v>169.9</v>
      </c>
      <c r="L1019" s="10">
        <v>110</v>
      </c>
      <c r="M1019" s="10">
        <v>141</v>
      </c>
      <c r="N1019" s="10">
        <v>134</v>
      </c>
      <c r="O1019" s="10">
        <v>101</v>
      </c>
      <c r="P1019" s="10">
        <v>121</v>
      </c>
      <c r="Q1019" s="10">
        <v>16.399999999999999</v>
      </c>
      <c r="R1019" s="10">
        <v>1707</v>
      </c>
      <c r="S1019" s="10">
        <v>1.1100000000000001</v>
      </c>
      <c r="T1019" s="10">
        <v>1889</v>
      </c>
      <c r="U1019" s="10">
        <v>172</v>
      </c>
      <c r="V1019" s="10">
        <v>84</v>
      </c>
      <c r="W1019" s="10">
        <v>52</v>
      </c>
      <c r="X1019" s="10">
        <v>340</v>
      </c>
      <c r="Y1019" s="10">
        <v>30</v>
      </c>
      <c r="Z1019" s="10">
        <v>257</v>
      </c>
      <c r="AA1019" s="10">
        <v>0.56799999999999995</v>
      </c>
      <c r="AB1019" s="10">
        <v>136</v>
      </c>
      <c r="AC1019" s="10">
        <v>158</v>
      </c>
      <c r="AD1019" s="10">
        <v>204</v>
      </c>
      <c r="AE1019" s="10">
        <v>5</v>
      </c>
      <c r="AF1019" s="10">
        <v>8.3000000000000007</v>
      </c>
      <c r="AG1019" s="9" t="s">
        <v>188</v>
      </c>
      <c r="AH1019" s="9" t="s">
        <v>169</v>
      </c>
      <c r="AI1019" s="9" t="s">
        <v>185</v>
      </c>
      <c r="AJ1019" s="10"/>
      <c r="AK1019" s="30"/>
    </row>
    <row r="1020" spans="5:37">
      <c r="E1020" s="28" t="s">
        <v>155</v>
      </c>
      <c r="F1020" s="8" t="s">
        <v>215</v>
      </c>
      <c r="G1020" s="9" t="s">
        <v>592</v>
      </c>
      <c r="H1020" s="10">
        <v>176</v>
      </c>
      <c r="I1020" s="9" t="s">
        <v>158</v>
      </c>
      <c r="J1020" s="10">
        <v>176</v>
      </c>
      <c r="K1020" s="10">
        <v>174.8</v>
      </c>
      <c r="L1020" s="10">
        <v>108</v>
      </c>
      <c r="M1020" s="10">
        <v>145</v>
      </c>
      <c r="N1020" s="10">
        <v>134</v>
      </c>
      <c r="O1020" s="10">
        <v>101</v>
      </c>
      <c r="P1020" s="10">
        <v>122</v>
      </c>
      <c r="Q1020" s="10">
        <v>17.399999999999999</v>
      </c>
      <c r="R1020" s="10">
        <v>1821</v>
      </c>
      <c r="S1020" s="10">
        <v>1.07</v>
      </c>
      <c r="T1020" s="10">
        <v>1944</v>
      </c>
      <c r="U1020" s="10">
        <v>183</v>
      </c>
      <c r="V1020" s="10">
        <v>92</v>
      </c>
      <c r="W1020" s="10">
        <v>52</v>
      </c>
      <c r="X1020" s="10">
        <v>385</v>
      </c>
      <c r="Y1020" s="10">
        <v>32</v>
      </c>
      <c r="Z1020" s="10">
        <v>288</v>
      </c>
      <c r="AA1020" s="10">
        <v>0.621</v>
      </c>
      <c r="AB1020" s="10">
        <v>142</v>
      </c>
      <c r="AC1020" s="10">
        <v>156</v>
      </c>
      <c r="AD1020" s="10">
        <v>243</v>
      </c>
      <c r="AE1020" s="10">
        <v>4</v>
      </c>
      <c r="AF1020" s="10">
        <v>7.8</v>
      </c>
      <c r="AG1020" s="9" t="s">
        <v>188</v>
      </c>
      <c r="AH1020" s="9" t="s">
        <v>169</v>
      </c>
      <c r="AI1020" s="9" t="s">
        <v>185</v>
      </c>
      <c r="AJ1020" s="10"/>
      <c r="AK1020" s="30"/>
    </row>
    <row r="1021" spans="5:37">
      <c r="E1021" s="28" t="s">
        <v>155</v>
      </c>
      <c r="F1021" s="8" t="s">
        <v>215</v>
      </c>
      <c r="G1021" s="9" t="s">
        <v>590</v>
      </c>
      <c r="H1021" s="10">
        <v>176</v>
      </c>
      <c r="I1021" s="9" t="s">
        <v>158</v>
      </c>
      <c r="J1021" s="10">
        <v>176</v>
      </c>
      <c r="K1021" s="10">
        <v>175.2</v>
      </c>
      <c r="L1021" s="10">
        <v>98</v>
      </c>
      <c r="M1021" s="10">
        <v>145</v>
      </c>
      <c r="N1021" s="10">
        <v>137</v>
      </c>
      <c r="O1021" s="10">
        <v>106</v>
      </c>
      <c r="P1021" s="10">
        <v>127</v>
      </c>
      <c r="Q1021" s="10">
        <v>18.3</v>
      </c>
      <c r="R1021" s="10">
        <v>1983</v>
      </c>
      <c r="S1021" s="10">
        <v>1.02</v>
      </c>
      <c r="T1021" s="10">
        <v>2014</v>
      </c>
      <c r="U1021" s="10">
        <v>211</v>
      </c>
      <c r="V1021" s="10">
        <v>102</v>
      </c>
      <c r="W1021" s="10">
        <v>54</v>
      </c>
      <c r="X1021" s="10">
        <v>459</v>
      </c>
      <c r="Y1021" s="10">
        <v>39</v>
      </c>
      <c r="Z1021" s="10">
        <v>311</v>
      </c>
      <c r="AA1021" s="10">
        <v>0.72</v>
      </c>
      <c r="AB1021" s="10">
        <v>139</v>
      </c>
      <c r="AC1021" s="10">
        <v>165</v>
      </c>
      <c r="AD1021" s="10">
        <v>320</v>
      </c>
      <c r="AE1021" s="10">
        <v>4</v>
      </c>
      <c r="AF1021" s="10">
        <v>8.1</v>
      </c>
      <c r="AG1021" s="9" t="s">
        <v>169</v>
      </c>
      <c r="AH1021" s="10"/>
      <c r="AI1021" s="10"/>
      <c r="AJ1021" s="10"/>
      <c r="AK1021" s="30"/>
    </row>
    <row r="1022" spans="5:37">
      <c r="E1022" s="28" t="s">
        <v>155</v>
      </c>
      <c r="F1022" s="8" t="s">
        <v>215</v>
      </c>
      <c r="G1022" s="9" t="s">
        <v>590</v>
      </c>
      <c r="H1022" s="10">
        <v>182</v>
      </c>
      <c r="I1022" s="9" t="s">
        <v>158</v>
      </c>
      <c r="J1022" s="10">
        <v>182</v>
      </c>
      <c r="K1022" s="10">
        <v>180.9</v>
      </c>
      <c r="L1022" s="10">
        <v>103</v>
      </c>
      <c r="M1022" s="10">
        <v>152</v>
      </c>
      <c r="N1022" s="10">
        <v>137</v>
      </c>
      <c r="O1022" s="10">
        <v>106</v>
      </c>
      <c r="P1022" s="10">
        <v>127</v>
      </c>
      <c r="Q1022" s="10">
        <v>20.399999999999999</v>
      </c>
      <c r="R1022" s="10">
        <v>2023</v>
      </c>
      <c r="S1022" s="10">
        <v>1.03</v>
      </c>
      <c r="T1022" s="10">
        <v>2084</v>
      </c>
      <c r="U1022" s="10">
        <v>226</v>
      </c>
      <c r="V1022" s="10">
        <v>107</v>
      </c>
      <c r="W1022" s="10">
        <v>57</v>
      </c>
      <c r="X1022" s="10">
        <v>462</v>
      </c>
      <c r="Y1022" s="10">
        <v>42</v>
      </c>
      <c r="Z1022" s="10">
        <v>321</v>
      </c>
      <c r="AA1022" s="10">
        <v>0.747</v>
      </c>
      <c r="AB1022" s="10">
        <v>141</v>
      </c>
      <c r="AC1022" s="10">
        <v>153</v>
      </c>
      <c r="AD1022" s="10">
        <v>321</v>
      </c>
      <c r="AE1022" s="10">
        <v>4</v>
      </c>
      <c r="AF1022" s="10">
        <v>7.9</v>
      </c>
      <c r="AG1022" s="9" t="s">
        <v>169</v>
      </c>
      <c r="AH1022" s="10"/>
      <c r="AI1022" s="10"/>
      <c r="AJ1022" s="10"/>
      <c r="AK1022" s="30"/>
    </row>
    <row r="1023" spans="5:37">
      <c r="E1023" s="28" t="s">
        <v>155</v>
      </c>
      <c r="F1023" s="8" t="s">
        <v>215</v>
      </c>
      <c r="G1023" s="9" t="s">
        <v>590</v>
      </c>
      <c r="H1023" s="10">
        <v>187</v>
      </c>
      <c r="I1023" s="9" t="s">
        <v>158</v>
      </c>
      <c r="J1023" s="10">
        <v>187</v>
      </c>
      <c r="K1023" s="10">
        <v>186.2</v>
      </c>
      <c r="L1023" s="10">
        <v>108</v>
      </c>
      <c r="M1023" s="10">
        <v>156</v>
      </c>
      <c r="N1023" s="10">
        <v>137</v>
      </c>
      <c r="O1023" s="10">
        <v>106</v>
      </c>
      <c r="P1023" s="10">
        <v>127</v>
      </c>
      <c r="Q1023" s="10">
        <v>21.8</v>
      </c>
      <c r="R1023" s="10">
        <v>2108</v>
      </c>
      <c r="S1023" s="10">
        <v>1.02</v>
      </c>
      <c r="T1023" s="10">
        <v>2140</v>
      </c>
      <c r="U1023" s="10">
        <v>217</v>
      </c>
      <c r="V1023" s="10">
        <v>109</v>
      </c>
      <c r="W1023" s="10">
        <v>56</v>
      </c>
      <c r="X1023" s="10">
        <v>471</v>
      </c>
      <c r="Y1023" s="10">
        <v>40</v>
      </c>
      <c r="Z1023" s="10">
        <v>311</v>
      </c>
      <c r="AA1023" s="10">
        <v>0.72099999999999997</v>
      </c>
      <c r="AB1023" s="10">
        <v>142</v>
      </c>
      <c r="AC1023" s="10">
        <v>161</v>
      </c>
      <c r="AD1023" s="10">
        <v>328</v>
      </c>
      <c r="AE1023" s="10">
        <v>4</v>
      </c>
      <c r="AF1023" s="10">
        <v>8.1999999999999993</v>
      </c>
      <c r="AG1023" s="9" t="s">
        <v>169</v>
      </c>
      <c r="AH1023" s="10"/>
      <c r="AI1023" s="10"/>
      <c r="AJ1023" s="10"/>
      <c r="AK1023" s="30"/>
    </row>
    <row r="1024" spans="5:37">
      <c r="E1024" s="28" t="s">
        <v>155</v>
      </c>
      <c r="F1024" s="8" t="s">
        <v>215</v>
      </c>
      <c r="G1024" s="9" t="s">
        <v>281</v>
      </c>
      <c r="H1024" s="10">
        <v>171</v>
      </c>
      <c r="I1024" s="9" t="s">
        <v>158</v>
      </c>
      <c r="J1024" s="10">
        <v>171</v>
      </c>
      <c r="K1024" s="10">
        <v>170</v>
      </c>
      <c r="L1024" s="10">
        <v>109</v>
      </c>
      <c r="M1024" s="10">
        <v>140</v>
      </c>
      <c r="N1024" s="10">
        <v>130</v>
      </c>
      <c r="O1024" s="10">
        <v>96</v>
      </c>
      <c r="P1024" s="10">
        <v>118</v>
      </c>
      <c r="Q1024" s="10">
        <v>16.5</v>
      </c>
      <c r="R1024" s="10">
        <v>1732</v>
      </c>
      <c r="S1024" s="10">
        <v>1.05</v>
      </c>
      <c r="T1024" s="10">
        <v>1813</v>
      </c>
      <c r="U1024" s="10">
        <v>188</v>
      </c>
      <c r="V1024" s="10">
        <v>89</v>
      </c>
      <c r="W1024" s="10">
        <v>50</v>
      </c>
      <c r="X1024" s="10">
        <v>344</v>
      </c>
      <c r="Y1024" s="10">
        <v>30</v>
      </c>
      <c r="Z1024" s="10">
        <v>261</v>
      </c>
      <c r="AA1024" s="10">
        <v>0.61099999999999999</v>
      </c>
      <c r="AB1024" s="10">
        <v>136</v>
      </c>
      <c r="AC1024" s="10">
        <v>165</v>
      </c>
      <c r="AD1024" s="10">
        <v>209</v>
      </c>
      <c r="AE1024" s="10">
        <v>5</v>
      </c>
      <c r="AF1024" s="10">
        <v>8.1</v>
      </c>
      <c r="AG1024" s="9" t="s">
        <v>188</v>
      </c>
      <c r="AH1024" s="10"/>
      <c r="AI1024" s="10"/>
      <c r="AJ1024" s="10"/>
      <c r="AK1024" s="30"/>
    </row>
    <row r="1025" spans="5:37">
      <c r="E1025" s="28" t="s">
        <v>155</v>
      </c>
      <c r="F1025" s="8" t="s">
        <v>215</v>
      </c>
      <c r="G1025" s="9" t="s">
        <v>281</v>
      </c>
      <c r="H1025" s="10">
        <v>176</v>
      </c>
      <c r="I1025" s="9" t="s">
        <v>158</v>
      </c>
      <c r="J1025" s="10">
        <v>176</v>
      </c>
      <c r="K1025" s="10">
        <v>174.9</v>
      </c>
      <c r="L1025" s="10">
        <v>117</v>
      </c>
      <c r="M1025" s="10">
        <v>145</v>
      </c>
      <c r="N1025" s="10">
        <v>129</v>
      </c>
      <c r="O1025" s="10">
        <v>96</v>
      </c>
      <c r="P1025" s="10">
        <v>117</v>
      </c>
      <c r="Q1025" s="10">
        <v>17.3</v>
      </c>
      <c r="R1025" s="10">
        <v>1772</v>
      </c>
      <c r="S1025" s="10">
        <v>1.05</v>
      </c>
      <c r="T1025" s="10">
        <v>1865</v>
      </c>
      <c r="U1025" s="10">
        <v>213</v>
      </c>
      <c r="V1025" s="10">
        <v>98</v>
      </c>
      <c r="W1025" s="10">
        <v>47</v>
      </c>
      <c r="X1025" s="10">
        <v>307</v>
      </c>
      <c r="Y1025" s="10">
        <v>30</v>
      </c>
      <c r="Z1025" s="10">
        <v>272</v>
      </c>
      <c r="AA1025" s="10">
        <v>0.64500000000000002</v>
      </c>
      <c r="AB1025" s="10">
        <v>136</v>
      </c>
      <c r="AC1025" s="10">
        <v>168</v>
      </c>
      <c r="AD1025" s="10">
        <v>171</v>
      </c>
      <c r="AE1025" s="10">
        <v>4</v>
      </c>
      <c r="AF1025" s="10">
        <v>7.9</v>
      </c>
      <c r="AG1025" s="9" t="s">
        <v>188</v>
      </c>
      <c r="AH1025" s="9" t="s">
        <v>185</v>
      </c>
      <c r="AI1025" s="10"/>
      <c r="AJ1025" s="10"/>
      <c r="AK1025" s="30"/>
    </row>
    <row r="1026" spans="5:37">
      <c r="E1026" s="28" t="s">
        <v>155</v>
      </c>
      <c r="F1026" s="8" t="s">
        <v>215</v>
      </c>
      <c r="G1026" s="9" t="s">
        <v>281</v>
      </c>
      <c r="H1026" s="10">
        <v>182</v>
      </c>
      <c r="I1026" s="9" t="s">
        <v>158</v>
      </c>
      <c r="J1026" s="10">
        <v>182</v>
      </c>
      <c r="K1026" s="10">
        <v>180.8</v>
      </c>
      <c r="L1026" s="10">
        <v>123</v>
      </c>
      <c r="M1026" s="10">
        <v>151</v>
      </c>
      <c r="N1026" s="10">
        <v>129</v>
      </c>
      <c r="O1026" s="10">
        <v>96</v>
      </c>
      <c r="P1026" s="10">
        <v>117</v>
      </c>
      <c r="Q1026" s="10">
        <v>18.7</v>
      </c>
      <c r="R1026" s="10">
        <v>1860</v>
      </c>
      <c r="S1026" s="10">
        <v>1.03</v>
      </c>
      <c r="T1026" s="10">
        <v>1919</v>
      </c>
      <c r="U1026" s="10">
        <v>205</v>
      </c>
      <c r="V1026" s="10">
        <v>97</v>
      </c>
      <c r="W1026" s="10">
        <v>47</v>
      </c>
      <c r="X1026" s="10">
        <v>332</v>
      </c>
      <c r="Y1026" s="10">
        <v>30</v>
      </c>
      <c r="Z1026" s="10">
        <v>243</v>
      </c>
      <c r="AA1026" s="10">
        <v>0.64600000000000002</v>
      </c>
      <c r="AB1026" s="10">
        <v>136</v>
      </c>
      <c r="AC1026" s="10">
        <v>164</v>
      </c>
      <c r="AD1026" s="10">
        <v>195</v>
      </c>
      <c r="AE1026" s="10">
        <v>6</v>
      </c>
      <c r="AF1026" s="10">
        <v>8.6</v>
      </c>
      <c r="AG1026" s="9" t="s">
        <v>188</v>
      </c>
      <c r="AH1026" s="10"/>
      <c r="AI1026" s="10"/>
      <c r="AJ1026" s="10"/>
      <c r="AK1026" s="30"/>
    </row>
    <row r="1027" spans="5:37">
      <c r="E1027" s="28" t="s">
        <v>155</v>
      </c>
      <c r="F1027" s="8" t="s">
        <v>215</v>
      </c>
      <c r="G1027" s="9" t="s">
        <v>281</v>
      </c>
      <c r="H1027" s="10">
        <v>187</v>
      </c>
      <c r="I1027" s="9" t="s">
        <v>158</v>
      </c>
      <c r="J1027" s="10">
        <v>187</v>
      </c>
      <c r="K1027" s="10">
        <v>185.8</v>
      </c>
      <c r="L1027" s="10">
        <v>126</v>
      </c>
      <c r="M1027" s="10">
        <v>156</v>
      </c>
      <c r="N1027" s="10">
        <v>129</v>
      </c>
      <c r="O1027" s="10">
        <v>96</v>
      </c>
      <c r="P1027" s="10">
        <v>117</v>
      </c>
      <c r="Q1027" s="10">
        <v>19.899999999999999</v>
      </c>
      <c r="R1027" s="10">
        <v>1972</v>
      </c>
      <c r="S1027" s="10">
        <v>1</v>
      </c>
      <c r="T1027" s="10">
        <v>1972</v>
      </c>
      <c r="U1027" s="10">
        <v>247</v>
      </c>
      <c r="V1027" s="10">
        <v>108</v>
      </c>
      <c r="W1027" s="10">
        <v>44</v>
      </c>
      <c r="X1027" s="10">
        <v>327</v>
      </c>
      <c r="Y1027" s="10">
        <v>31</v>
      </c>
      <c r="Z1027" s="10">
        <v>272</v>
      </c>
      <c r="AA1027" s="10">
        <v>0.71</v>
      </c>
      <c r="AB1027" s="10">
        <v>136</v>
      </c>
      <c r="AC1027" s="10">
        <v>167</v>
      </c>
      <c r="AD1027" s="10">
        <v>191</v>
      </c>
      <c r="AE1027" s="10">
        <v>7</v>
      </c>
      <c r="AF1027" s="10">
        <v>8.3000000000000007</v>
      </c>
      <c r="AG1027" s="9" t="s">
        <v>188</v>
      </c>
      <c r="AH1027" s="10"/>
      <c r="AI1027" s="10"/>
      <c r="AJ1027" s="10"/>
      <c r="AK1027" s="30"/>
    </row>
    <row r="1028" spans="5:37">
      <c r="E1028" s="28" t="s">
        <v>155</v>
      </c>
      <c r="F1028" s="8" t="s">
        <v>208</v>
      </c>
      <c r="G1028" s="9" t="s">
        <v>633</v>
      </c>
      <c r="H1028" s="10">
        <v>169</v>
      </c>
      <c r="I1028" s="9" t="s">
        <v>158</v>
      </c>
      <c r="J1028" s="10">
        <v>169</v>
      </c>
      <c r="K1028" s="10">
        <v>168.2</v>
      </c>
      <c r="L1028" s="10">
        <v>133</v>
      </c>
      <c r="M1028" s="10">
        <v>153</v>
      </c>
      <c r="N1028" s="10">
        <v>153</v>
      </c>
      <c r="O1028" s="10">
        <v>94</v>
      </c>
      <c r="P1028" s="10">
        <v>123</v>
      </c>
      <c r="Q1028" s="10">
        <v>12.6</v>
      </c>
      <c r="R1028" s="10">
        <v>1833</v>
      </c>
      <c r="S1028" s="10">
        <v>1.03</v>
      </c>
      <c r="T1028" s="10">
        <v>1892</v>
      </c>
      <c r="U1028" s="10">
        <v>155</v>
      </c>
      <c r="V1028" s="10">
        <v>104</v>
      </c>
      <c r="W1028" s="10">
        <v>43</v>
      </c>
      <c r="X1028" s="10">
        <v>207</v>
      </c>
      <c r="Y1028" s="10">
        <v>26</v>
      </c>
      <c r="Z1028" s="10">
        <v>150</v>
      </c>
      <c r="AA1028" s="10">
        <v>0.61399999999999999</v>
      </c>
      <c r="AB1028" s="10">
        <v>130</v>
      </c>
      <c r="AC1028" s="10">
        <v>23</v>
      </c>
      <c r="AD1028" s="10">
        <v>76</v>
      </c>
      <c r="AE1028" s="10">
        <v>9</v>
      </c>
      <c r="AF1028" s="10">
        <v>5.6</v>
      </c>
      <c r="AG1028" s="9" t="s">
        <v>188</v>
      </c>
      <c r="AH1028" s="10"/>
      <c r="AI1028" s="10"/>
      <c r="AJ1028" s="10"/>
      <c r="AK1028" s="30"/>
    </row>
    <row r="1029" spans="5:37">
      <c r="E1029" s="28" t="s">
        <v>155</v>
      </c>
      <c r="F1029" s="8" t="s">
        <v>208</v>
      </c>
      <c r="G1029" s="9" t="s">
        <v>633</v>
      </c>
      <c r="H1029" s="10">
        <v>176</v>
      </c>
      <c r="I1029" s="9" t="s">
        <v>158</v>
      </c>
      <c r="J1029" s="10">
        <v>176</v>
      </c>
      <c r="K1029" s="10">
        <v>175</v>
      </c>
      <c r="L1029" s="10">
        <v>141</v>
      </c>
      <c r="M1029" s="10">
        <v>160</v>
      </c>
      <c r="N1029" s="10">
        <v>154</v>
      </c>
      <c r="O1029" s="10">
        <v>94</v>
      </c>
      <c r="P1029" s="10">
        <v>124</v>
      </c>
      <c r="Q1029" s="10">
        <v>13.6</v>
      </c>
      <c r="R1029" s="10">
        <v>1970</v>
      </c>
      <c r="S1029" s="10">
        <v>1</v>
      </c>
      <c r="T1029" s="10">
        <v>1975</v>
      </c>
      <c r="U1029" s="10">
        <v>166</v>
      </c>
      <c r="V1029" s="10">
        <v>114</v>
      </c>
      <c r="W1029" s="10">
        <v>34</v>
      </c>
      <c r="X1029" s="10">
        <v>182</v>
      </c>
      <c r="Y1029" s="10">
        <v>25</v>
      </c>
      <c r="Z1029" s="10">
        <v>155</v>
      </c>
      <c r="AA1029" s="10">
        <v>0.73699999999999999</v>
      </c>
      <c r="AB1029" s="10">
        <v>130</v>
      </c>
      <c r="AC1029" s="10">
        <v>22</v>
      </c>
      <c r="AD1029" s="10">
        <v>52</v>
      </c>
      <c r="AE1029" s="10">
        <v>10</v>
      </c>
      <c r="AF1029" s="10">
        <v>6.7</v>
      </c>
      <c r="AG1029" s="9" t="s">
        <v>188</v>
      </c>
      <c r="AH1029" s="10"/>
      <c r="AI1029" s="10"/>
      <c r="AJ1029" s="10"/>
      <c r="AK1029" s="30"/>
    </row>
    <row r="1030" spans="5:37">
      <c r="E1030" s="28" t="s">
        <v>155</v>
      </c>
      <c r="F1030" s="8" t="s">
        <v>208</v>
      </c>
      <c r="G1030" s="9" t="s">
        <v>633</v>
      </c>
      <c r="H1030" s="10">
        <v>181</v>
      </c>
      <c r="I1030" s="9" t="s">
        <v>158</v>
      </c>
      <c r="J1030" s="10">
        <v>181</v>
      </c>
      <c r="K1030" s="10">
        <v>179.7</v>
      </c>
      <c r="L1030" s="10">
        <v>140</v>
      </c>
      <c r="M1030" s="10">
        <v>164</v>
      </c>
      <c r="N1030" s="10">
        <v>154</v>
      </c>
      <c r="O1030" s="10">
        <v>95</v>
      </c>
      <c r="P1030" s="10">
        <v>124</v>
      </c>
      <c r="Q1030" s="10">
        <v>14.6</v>
      </c>
      <c r="R1030" s="10">
        <v>2051</v>
      </c>
      <c r="S1030" s="10">
        <v>0.99</v>
      </c>
      <c r="T1030" s="10">
        <v>2027</v>
      </c>
      <c r="U1030" s="10">
        <v>193</v>
      </c>
      <c r="V1030" s="10">
        <v>137</v>
      </c>
      <c r="W1030" s="10">
        <v>35</v>
      </c>
      <c r="X1030" s="10">
        <v>257</v>
      </c>
      <c r="Y1030" s="10">
        <v>22</v>
      </c>
      <c r="Z1030" s="10">
        <v>140</v>
      </c>
      <c r="AA1030" s="10">
        <v>0.628</v>
      </c>
      <c r="AB1030" s="10">
        <v>127</v>
      </c>
      <c r="AC1030" s="10">
        <v>26</v>
      </c>
      <c r="AD1030" s="10">
        <v>130</v>
      </c>
      <c r="AE1030" s="10">
        <v>8</v>
      </c>
      <c r="AF1030" s="10">
        <v>6.8</v>
      </c>
      <c r="AG1030" s="9" t="s">
        <v>188</v>
      </c>
      <c r="AH1030" s="10"/>
      <c r="AI1030" s="10"/>
      <c r="AJ1030" s="10"/>
      <c r="AK1030" s="30"/>
    </row>
    <row r="1031" spans="5:37">
      <c r="E1031" s="28" t="s">
        <v>155</v>
      </c>
      <c r="F1031" s="8" t="s">
        <v>208</v>
      </c>
      <c r="G1031" s="9" t="s">
        <v>265</v>
      </c>
      <c r="H1031" s="10">
        <v>153</v>
      </c>
      <c r="I1031" s="9" t="s">
        <v>163</v>
      </c>
      <c r="J1031" s="10">
        <v>153</v>
      </c>
      <c r="K1031" s="10">
        <v>152.19999999999999</v>
      </c>
      <c r="L1031" s="10">
        <v>121</v>
      </c>
      <c r="M1031" s="10">
        <v>137</v>
      </c>
      <c r="N1031" s="10">
        <v>139</v>
      </c>
      <c r="O1031" s="10">
        <v>90</v>
      </c>
      <c r="P1031" s="10">
        <v>113</v>
      </c>
      <c r="Q1031" s="10">
        <v>13.2</v>
      </c>
      <c r="R1031" s="10">
        <v>1555</v>
      </c>
      <c r="S1031" s="10">
        <v>1.02</v>
      </c>
      <c r="T1031" s="10">
        <v>1593</v>
      </c>
      <c r="U1031" s="10">
        <v>136</v>
      </c>
      <c r="V1031" s="10">
        <v>92</v>
      </c>
      <c r="W1031" s="10">
        <v>30</v>
      </c>
      <c r="X1031" s="10">
        <v>192</v>
      </c>
      <c r="Y1031" s="10">
        <v>22</v>
      </c>
      <c r="Z1031" s="10">
        <v>120</v>
      </c>
      <c r="AA1031" s="10">
        <v>0.746</v>
      </c>
      <c r="AB1031" s="10">
        <v>131</v>
      </c>
      <c r="AC1031" s="10">
        <v>22</v>
      </c>
      <c r="AD1031" s="10">
        <v>61</v>
      </c>
      <c r="AE1031" s="10">
        <v>8</v>
      </c>
      <c r="AF1031" s="10">
        <v>6</v>
      </c>
      <c r="AG1031" s="9" t="s">
        <v>188</v>
      </c>
      <c r="AH1031" s="10"/>
      <c r="AI1031" s="10"/>
      <c r="AJ1031" s="10"/>
      <c r="AK1031" s="30"/>
    </row>
    <row r="1032" spans="5:37">
      <c r="E1032" s="28" t="s">
        <v>155</v>
      </c>
      <c r="F1032" s="8" t="s">
        <v>208</v>
      </c>
      <c r="G1032" s="9" t="s">
        <v>265</v>
      </c>
      <c r="H1032" s="10">
        <v>160</v>
      </c>
      <c r="I1032" s="9" t="s">
        <v>163</v>
      </c>
      <c r="J1032" s="10">
        <v>160</v>
      </c>
      <c r="K1032" s="10">
        <v>159.5</v>
      </c>
      <c r="L1032" s="10">
        <v>126</v>
      </c>
      <c r="M1032" s="10">
        <v>144</v>
      </c>
      <c r="N1032" s="10">
        <v>139</v>
      </c>
      <c r="O1032" s="10">
        <v>90</v>
      </c>
      <c r="P1032" s="10">
        <v>113</v>
      </c>
      <c r="Q1032" s="10">
        <v>14.7</v>
      </c>
      <c r="R1032" s="10">
        <v>1624</v>
      </c>
      <c r="S1032" s="10">
        <v>1.02</v>
      </c>
      <c r="T1032" s="10">
        <v>1664</v>
      </c>
      <c r="U1032" s="10">
        <v>139</v>
      </c>
      <c r="V1032" s="10">
        <v>87</v>
      </c>
      <c r="W1032" s="10">
        <v>32</v>
      </c>
      <c r="X1032" s="10">
        <v>208</v>
      </c>
      <c r="Y1032" s="10">
        <v>15</v>
      </c>
      <c r="Z1032" s="10">
        <v>132</v>
      </c>
      <c r="AA1032" s="10">
        <v>0.46500000000000002</v>
      </c>
      <c r="AB1032" s="10">
        <v>129</v>
      </c>
      <c r="AC1032" s="10">
        <v>22</v>
      </c>
      <c r="AD1032" s="10">
        <v>79</v>
      </c>
      <c r="AE1032" s="10">
        <v>8</v>
      </c>
      <c r="AF1032" s="10">
        <v>6.4</v>
      </c>
      <c r="AG1032" s="9" t="s">
        <v>188</v>
      </c>
      <c r="AH1032" s="10"/>
      <c r="AI1032" s="10"/>
      <c r="AJ1032" s="10"/>
      <c r="AK1032" s="30"/>
    </row>
    <row r="1033" spans="5:37">
      <c r="E1033" s="28" t="s">
        <v>155</v>
      </c>
      <c r="F1033" s="8" t="s">
        <v>208</v>
      </c>
      <c r="G1033" s="9" t="s">
        <v>265</v>
      </c>
      <c r="H1033" s="10">
        <v>167</v>
      </c>
      <c r="I1033" s="9" t="s">
        <v>163</v>
      </c>
      <c r="J1033" s="10">
        <v>167</v>
      </c>
      <c r="K1033" s="10">
        <v>166.7</v>
      </c>
      <c r="L1033" s="10">
        <v>134</v>
      </c>
      <c r="M1033" s="10">
        <v>152</v>
      </c>
      <c r="N1033" s="10">
        <v>139</v>
      </c>
      <c r="O1033" s="10">
        <v>90</v>
      </c>
      <c r="P1033" s="10">
        <v>113</v>
      </c>
      <c r="Q1033" s="10">
        <v>16.3</v>
      </c>
      <c r="R1033" s="10">
        <v>1752</v>
      </c>
      <c r="S1033" s="10">
        <v>0.99</v>
      </c>
      <c r="T1033" s="10">
        <v>1743</v>
      </c>
      <c r="U1033" s="10">
        <v>174</v>
      </c>
      <c r="V1033" s="10">
        <v>116</v>
      </c>
      <c r="W1033" s="10">
        <v>39</v>
      </c>
      <c r="X1033" s="10">
        <v>211</v>
      </c>
      <c r="Y1033" s="10">
        <v>16</v>
      </c>
      <c r="Z1033" s="10">
        <v>121</v>
      </c>
      <c r="AA1033" s="10">
        <v>0.40100000000000002</v>
      </c>
      <c r="AB1033" s="10">
        <v>128</v>
      </c>
      <c r="AC1033" s="10">
        <v>23</v>
      </c>
      <c r="AD1033" s="10">
        <v>82</v>
      </c>
      <c r="AE1033" s="10">
        <v>10</v>
      </c>
      <c r="AF1033" s="10">
        <v>6.9</v>
      </c>
      <c r="AG1033" s="9" t="s">
        <v>188</v>
      </c>
      <c r="AH1033" s="10"/>
      <c r="AI1033" s="10"/>
      <c r="AJ1033" s="10"/>
      <c r="AK1033" s="30"/>
    </row>
    <row r="1034" spans="5:37">
      <c r="E1034" s="28" t="s">
        <v>155</v>
      </c>
      <c r="F1034" s="8" t="s">
        <v>208</v>
      </c>
      <c r="G1034" s="9" t="s">
        <v>628</v>
      </c>
      <c r="H1034" s="10">
        <v>171</v>
      </c>
      <c r="I1034" s="9" t="s">
        <v>158</v>
      </c>
      <c r="J1034" s="10">
        <v>171</v>
      </c>
      <c r="K1034" s="10">
        <v>171.7</v>
      </c>
      <c r="L1034" s="10">
        <v>119</v>
      </c>
      <c r="M1034" s="10">
        <v>147</v>
      </c>
      <c r="N1034" s="10">
        <v>132</v>
      </c>
      <c r="O1034" s="10">
        <v>99</v>
      </c>
      <c r="P1034" s="10">
        <v>122</v>
      </c>
      <c r="Q1034" s="10">
        <v>18.7</v>
      </c>
      <c r="R1034" s="10">
        <v>1651</v>
      </c>
      <c r="S1034" s="10">
        <v>1.1399999999999999</v>
      </c>
      <c r="T1034" s="10">
        <v>1881</v>
      </c>
      <c r="U1034" s="10">
        <v>130</v>
      </c>
      <c r="V1034" s="10">
        <v>58</v>
      </c>
      <c r="W1034" s="10">
        <v>41</v>
      </c>
      <c r="X1034" s="10">
        <v>249</v>
      </c>
      <c r="Y1034" s="10">
        <v>38</v>
      </c>
      <c r="Z1034" s="10">
        <v>276</v>
      </c>
      <c r="AA1034" s="10">
        <v>0.93700000000000006</v>
      </c>
      <c r="AB1034" s="10">
        <v>106</v>
      </c>
      <c r="AC1034" s="10">
        <v>137</v>
      </c>
      <c r="AD1034" s="10">
        <v>143</v>
      </c>
      <c r="AE1034" s="10">
        <v>6</v>
      </c>
      <c r="AF1034" s="10">
        <v>4.5</v>
      </c>
      <c r="AG1034" s="9" t="s">
        <v>184</v>
      </c>
      <c r="AH1034" s="9" t="s">
        <v>185</v>
      </c>
      <c r="AI1034" s="10"/>
      <c r="AJ1034" s="10"/>
      <c r="AK1034" s="30"/>
    </row>
    <row r="1035" spans="5:37">
      <c r="E1035" s="28" t="s">
        <v>155</v>
      </c>
      <c r="F1035" s="8" t="s">
        <v>208</v>
      </c>
      <c r="G1035" s="9" t="s">
        <v>628</v>
      </c>
      <c r="H1035" s="10">
        <v>178</v>
      </c>
      <c r="I1035" s="9" t="s">
        <v>158</v>
      </c>
      <c r="J1035" s="10">
        <v>178</v>
      </c>
      <c r="K1035" s="10">
        <v>178</v>
      </c>
      <c r="L1035" s="10">
        <v>138</v>
      </c>
      <c r="M1035" s="10">
        <v>155</v>
      </c>
      <c r="N1035" s="10">
        <v>132</v>
      </c>
      <c r="O1035" s="10">
        <v>99</v>
      </c>
      <c r="P1035" s="10">
        <v>121</v>
      </c>
      <c r="Q1035" s="10">
        <v>20.6</v>
      </c>
      <c r="R1035" s="10">
        <v>1783</v>
      </c>
      <c r="S1035" s="10">
        <v>1.0900000000000001</v>
      </c>
      <c r="T1035" s="10">
        <v>1948</v>
      </c>
      <c r="U1035" s="10">
        <v>162</v>
      </c>
      <c r="V1035" s="10">
        <v>75</v>
      </c>
      <c r="W1035" s="10">
        <v>44</v>
      </c>
      <c r="X1035" s="10">
        <v>208</v>
      </c>
      <c r="Y1035" s="10">
        <v>42</v>
      </c>
      <c r="Z1035" s="10">
        <v>195</v>
      </c>
      <c r="AA1035" s="10">
        <v>0.96499999999999997</v>
      </c>
      <c r="AB1035" s="10">
        <v>104</v>
      </c>
      <c r="AC1035" s="10">
        <v>131</v>
      </c>
      <c r="AD1035" s="10">
        <v>104</v>
      </c>
      <c r="AE1035" s="10">
        <v>9</v>
      </c>
      <c r="AF1035" s="10">
        <v>4.3</v>
      </c>
      <c r="AG1035" s="9" t="s">
        <v>184</v>
      </c>
      <c r="AH1035" s="9" t="s">
        <v>185</v>
      </c>
      <c r="AI1035" s="10"/>
      <c r="AJ1035" s="10"/>
      <c r="AK1035" s="30"/>
    </row>
    <row r="1036" spans="5:37">
      <c r="E1036" s="28" t="s">
        <v>155</v>
      </c>
      <c r="F1036" s="8" t="s">
        <v>208</v>
      </c>
      <c r="G1036" s="9" t="s">
        <v>628</v>
      </c>
      <c r="H1036" s="10">
        <v>185</v>
      </c>
      <c r="I1036" s="9" t="s">
        <v>158</v>
      </c>
      <c r="J1036" s="10">
        <v>185</v>
      </c>
      <c r="K1036" s="10">
        <v>185.5</v>
      </c>
      <c r="L1036" s="10">
        <v>140</v>
      </c>
      <c r="M1036" s="10">
        <v>161</v>
      </c>
      <c r="N1036" s="10">
        <v>132</v>
      </c>
      <c r="O1036" s="10">
        <v>99</v>
      </c>
      <c r="P1036" s="10">
        <v>121</v>
      </c>
      <c r="Q1036" s="10">
        <v>23.6</v>
      </c>
      <c r="R1036" s="10">
        <v>1873</v>
      </c>
      <c r="S1036" s="10">
        <v>1.08</v>
      </c>
      <c r="T1036" s="10">
        <v>2021</v>
      </c>
      <c r="U1036" s="10">
        <v>154</v>
      </c>
      <c r="V1036" s="10">
        <v>73</v>
      </c>
      <c r="W1036" s="10">
        <v>42</v>
      </c>
      <c r="X1036" s="10">
        <v>218</v>
      </c>
      <c r="Y1036" s="10">
        <v>34</v>
      </c>
      <c r="Z1036" s="10">
        <v>234</v>
      </c>
      <c r="AA1036" s="10">
        <v>0.8</v>
      </c>
      <c r="AB1036" s="10">
        <v>113</v>
      </c>
      <c r="AC1036" s="10">
        <v>135</v>
      </c>
      <c r="AD1036" s="10">
        <v>106</v>
      </c>
      <c r="AE1036" s="10">
        <v>8</v>
      </c>
      <c r="AF1036" s="10">
        <v>3.9</v>
      </c>
      <c r="AG1036" s="9" t="s">
        <v>188</v>
      </c>
      <c r="AH1036" s="9" t="s">
        <v>184</v>
      </c>
      <c r="AI1036" s="9" t="s">
        <v>185</v>
      </c>
      <c r="AJ1036" s="10"/>
      <c r="AK1036" s="30"/>
    </row>
    <row r="1037" spans="5:37">
      <c r="E1037" s="28" t="s">
        <v>155</v>
      </c>
      <c r="F1037" s="8" t="s">
        <v>208</v>
      </c>
      <c r="G1037" s="9" t="s">
        <v>637</v>
      </c>
      <c r="H1037" s="10">
        <v>164</v>
      </c>
      <c r="I1037" s="9" t="s">
        <v>158</v>
      </c>
      <c r="J1037" s="10">
        <v>164</v>
      </c>
      <c r="K1037" s="10">
        <v>164.8</v>
      </c>
      <c r="L1037" s="10">
        <v>132</v>
      </c>
      <c r="M1037" s="10">
        <v>131</v>
      </c>
      <c r="N1037" s="10">
        <v>128</v>
      </c>
      <c r="O1037" s="10">
        <v>94</v>
      </c>
      <c r="P1037" s="10">
        <v>119</v>
      </c>
      <c r="Q1037" s="10">
        <v>13.8</v>
      </c>
      <c r="R1037" s="10">
        <v>1581</v>
      </c>
      <c r="S1037" s="10">
        <v>1.1000000000000001</v>
      </c>
      <c r="T1037" s="10">
        <v>1736</v>
      </c>
      <c r="U1037" s="10">
        <v>108</v>
      </c>
      <c r="V1037" s="10">
        <v>66</v>
      </c>
      <c r="W1037" s="10">
        <v>36</v>
      </c>
      <c r="X1037" s="10">
        <v>161</v>
      </c>
      <c r="Y1037" s="10">
        <v>34</v>
      </c>
      <c r="Z1037" s="10">
        <v>165</v>
      </c>
      <c r="AA1037" s="10">
        <v>0.96299999999999997</v>
      </c>
      <c r="AB1037" s="10">
        <v>165</v>
      </c>
      <c r="AC1037" s="10">
        <v>178</v>
      </c>
      <c r="AD1037" s="10">
        <v>-4</v>
      </c>
      <c r="AE1037" s="10">
        <v>9</v>
      </c>
      <c r="AF1037" s="10">
        <v>3.6</v>
      </c>
      <c r="AG1037" s="9" t="s">
        <v>184</v>
      </c>
      <c r="AH1037" s="9" t="s">
        <v>185</v>
      </c>
      <c r="AI1037" s="10"/>
      <c r="AJ1037" s="10"/>
      <c r="AK1037" s="30"/>
    </row>
    <row r="1038" spans="5:37">
      <c r="E1038" s="28" t="s">
        <v>155</v>
      </c>
      <c r="F1038" s="8" t="s">
        <v>208</v>
      </c>
      <c r="G1038" s="9" t="s">
        <v>637</v>
      </c>
      <c r="H1038" s="10">
        <v>171</v>
      </c>
      <c r="I1038" s="9" t="s">
        <v>158</v>
      </c>
      <c r="J1038" s="10">
        <v>171</v>
      </c>
      <c r="K1038" s="10">
        <v>171.6</v>
      </c>
      <c r="L1038" s="10">
        <v>136</v>
      </c>
      <c r="M1038" s="10">
        <v>138</v>
      </c>
      <c r="N1038" s="10">
        <v>128</v>
      </c>
      <c r="O1038" s="10">
        <v>94</v>
      </c>
      <c r="P1038" s="10">
        <v>119</v>
      </c>
      <c r="Q1038" s="10">
        <v>15.3</v>
      </c>
      <c r="R1038" s="10">
        <v>1704</v>
      </c>
      <c r="S1038" s="10">
        <v>1.06</v>
      </c>
      <c r="T1038" s="10">
        <v>1808</v>
      </c>
      <c r="U1038" s="10">
        <v>136</v>
      </c>
      <c r="V1038" s="10">
        <v>74</v>
      </c>
      <c r="W1038" s="10">
        <v>41</v>
      </c>
      <c r="X1038" s="10">
        <v>174</v>
      </c>
      <c r="Y1038" s="10">
        <v>40</v>
      </c>
      <c r="Z1038" s="10">
        <v>178</v>
      </c>
      <c r="AA1038" s="10">
        <v>0.95799999999999996</v>
      </c>
      <c r="AB1038" s="10">
        <v>167</v>
      </c>
      <c r="AC1038" s="10">
        <v>167</v>
      </c>
      <c r="AD1038" s="10">
        <v>6</v>
      </c>
      <c r="AE1038" s="10">
        <v>10</v>
      </c>
      <c r="AF1038" s="10">
        <v>3.5</v>
      </c>
      <c r="AG1038" s="9" t="s">
        <v>184</v>
      </c>
      <c r="AH1038" s="9" t="s">
        <v>185</v>
      </c>
      <c r="AI1038" s="10"/>
      <c r="AJ1038" s="10"/>
      <c r="AK1038" s="30"/>
    </row>
    <row r="1039" spans="5:37">
      <c r="E1039" s="28" t="s">
        <v>155</v>
      </c>
      <c r="F1039" s="8" t="s">
        <v>208</v>
      </c>
      <c r="G1039" s="9" t="s">
        <v>637</v>
      </c>
      <c r="H1039" s="10">
        <v>178</v>
      </c>
      <c r="I1039" s="9" t="s">
        <v>158</v>
      </c>
      <c r="J1039" s="10">
        <v>178</v>
      </c>
      <c r="K1039" s="10">
        <v>178.7</v>
      </c>
      <c r="L1039" s="10">
        <v>143</v>
      </c>
      <c r="M1039" s="10">
        <v>145</v>
      </c>
      <c r="N1039" s="10">
        <v>128</v>
      </c>
      <c r="O1039" s="10">
        <v>94</v>
      </c>
      <c r="P1039" s="10">
        <v>119</v>
      </c>
      <c r="Q1039" s="10">
        <v>16.899999999999999</v>
      </c>
      <c r="R1039" s="10">
        <v>1852</v>
      </c>
      <c r="S1039" s="10">
        <v>1.02</v>
      </c>
      <c r="T1039" s="10">
        <v>1884</v>
      </c>
      <c r="U1039" s="10">
        <v>156</v>
      </c>
      <c r="V1039" s="10">
        <v>85</v>
      </c>
      <c r="W1039" s="10">
        <v>38</v>
      </c>
      <c r="X1039" s="10">
        <v>179</v>
      </c>
      <c r="Y1039" s="10">
        <v>37</v>
      </c>
      <c r="Z1039" s="10">
        <v>179</v>
      </c>
      <c r="AA1039" s="10">
        <v>0.98099999999999998</v>
      </c>
      <c r="AB1039" s="10">
        <v>167</v>
      </c>
      <c r="AC1039" s="10">
        <v>170</v>
      </c>
      <c r="AD1039" s="10">
        <v>12</v>
      </c>
      <c r="AE1039" s="10">
        <v>10</v>
      </c>
      <c r="AF1039" s="10">
        <v>4.8</v>
      </c>
      <c r="AG1039" s="9" t="s">
        <v>184</v>
      </c>
      <c r="AH1039" s="10"/>
      <c r="AI1039" s="10"/>
      <c r="AJ1039" s="10"/>
      <c r="AK1039" s="30"/>
    </row>
    <row r="1040" spans="5:37">
      <c r="E1040" s="28" t="s">
        <v>155</v>
      </c>
      <c r="F1040" s="8" t="s">
        <v>208</v>
      </c>
      <c r="G1040" s="9" t="s">
        <v>637</v>
      </c>
      <c r="H1040" s="10">
        <v>185</v>
      </c>
      <c r="I1040" s="9" t="s">
        <v>158</v>
      </c>
      <c r="J1040" s="10">
        <v>185</v>
      </c>
      <c r="K1040" s="10">
        <v>185.3</v>
      </c>
      <c r="L1040" s="10">
        <v>148</v>
      </c>
      <c r="M1040" s="10">
        <v>151</v>
      </c>
      <c r="N1040" s="10">
        <v>128</v>
      </c>
      <c r="O1040" s="10">
        <v>94</v>
      </c>
      <c r="P1040" s="10">
        <v>119</v>
      </c>
      <c r="Q1040" s="10">
        <v>18.600000000000001</v>
      </c>
      <c r="R1040" s="10">
        <v>1982</v>
      </c>
      <c r="S1040" s="10">
        <v>0.99</v>
      </c>
      <c r="T1040" s="10">
        <v>1954</v>
      </c>
      <c r="U1040" s="10">
        <v>179</v>
      </c>
      <c r="V1040" s="10">
        <v>107</v>
      </c>
      <c r="W1040" s="10">
        <v>37</v>
      </c>
      <c r="X1040" s="10">
        <v>178</v>
      </c>
      <c r="Y1040" s="10">
        <v>38</v>
      </c>
      <c r="Z1040" s="10">
        <v>198</v>
      </c>
      <c r="AA1040" s="10">
        <v>1.026</v>
      </c>
      <c r="AB1040" s="10">
        <v>164</v>
      </c>
      <c r="AC1040" s="10">
        <v>176</v>
      </c>
      <c r="AD1040" s="10">
        <v>14</v>
      </c>
      <c r="AE1040" s="10">
        <v>10</v>
      </c>
      <c r="AF1040" s="10">
        <v>5.2</v>
      </c>
      <c r="AG1040" s="9" t="s">
        <v>184</v>
      </c>
      <c r="AH1040" s="10"/>
      <c r="AI1040" s="10"/>
      <c r="AJ1040" s="10"/>
      <c r="AK1040" s="30"/>
    </row>
    <row r="1041" spans="5:37">
      <c r="E1041" s="28" t="s">
        <v>155</v>
      </c>
      <c r="F1041" s="8" t="s">
        <v>208</v>
      </c>
      <c r="G1041" s="9" t="s">
        <v>482</v>
      </c>
      <c r="H1041" s="10">
        <v>155</v>
      </c>
      <c r="I1041" s="9" t="s">
        <v>158</v>
      </c>
      <c r="J1041" s="10">
        <v>155</v>
      </c>
      <c r="K1041" s="10">
        <v>153.80000000000001</v>
      </c>
      <c r="L1041" s="10">
        <v>92</v>
      </c>
      <c r="M1041" s="10">
        <v>129</v>
      </c>
      <c r="N1041" s="10">
        <v>120</v>
      </c>
      <c r="O1041" s="10">
        <v>91</v>
      </c>
      <c r="P1041" s="10">
        <v>117</v>
      </c>
      <c r="Q1041" s="10">
        <v>14.5</v>
      </c>
      <c r="R1041" s="10">
        <v>1516</v>
      </c>
      <c r="S1041" s="10">
        <v>1.03</v>
      </c>
      <c r="T1041" s="10">
        <v>1555</v>
      </c>
      <c r="U1041" s="10">
        <v>143</v>
      </c>
      <c r="V1041" s="10">
        <v>59</v>
      </c>
      <c r="W1041" s="10">
        <v>48</v>
      </c>
      <c r="X1041" s="10">
        <v>281</v>
      </c>
      <c r="Y1041" s="10">
        <v>47</v>
      </c>
      <c r="Z1041" s="10">
        <v>342</v>
      </c>
      <c r="AA1041" s="10">
        <v>0.97199999999999998</v>
      </c>
      <c r="AB1041" s="10">
        <v>128</v>
      </c>
      <c r="AC1041" s="10">
        <v>117</v>
      </c>
      <c r="AD1041" s="10">
        <v>153</v>
      </c>
      <c r="AE1041" s="10">
        <v>3</v>
      </c>
      <c r="AF1041" s="10">
        <v>3.6</v>
      </c>
      <c r="AG1041" s="9" t="s">
        <v>184</v>
      </c>
      <c r="AH1041" s="10"/>
      <c r="AI1041" s="10"/>
      <c r="AJ1041" s="10"/>
      <c r="AK1041" s="30"/>
    </row>
    <row r="1042" spans="5:37">
      <c r="E1042" s="28" t="s">
        <v>155</v>
      </c>
      <c r="F1042" s="8" t="s">
        <v>208</v>
      </c>
      <c r="G1042" s="9" t="s">
        <v>482</v>
      </c>
      <c r="H1042" s="10">
        <v>166</v>
      </c>
      <c r="I1042" s="9" t="s">
        <v>158</v>
      </c>
      <c r="J1042" s="10">
        <v>166</v>
      </c>
      <c r="K1042" s="10">
        <v>165.4</v>
      </c>
      <c r="L1042" s="10">
        <v>129</v>
      </c>
      <c r="M1042" s="10">
        <v>140</v>
      </c>
      <c r="N1042" s="10">
        <v>120</v>
      </c>
      <c r="O1042" s="10">
        <v>91</v>
      </c>
      <c r="P1042" s="10">
        <v>117</v>
      </c>
      <c r="Q1042" s="10">
        <v>17.3</v>
      </c>
      <c r="R1042" s="10">
        <v>1523</v>
      </c>
      <c r="S1042" s="10">
        <v>1.0900000000000001</v>
      </c>
      <c r="T1042" s="10">
        <v>1667</v>
      </c>
      <c r="U1042" s="10">
        <v>134</v>
      </c>
      <c r="V1042" s="10">
        <v>51</v>
      </c>
      <c r="W1042" s="10">
        <v>41</v>
      </c>
      <c r="X1042" s="10">
        <v>185</v>
      </c>
      <c r="Y1042" s="10">
        <v>42</v>
      </c>
      <c r="Z1042" s="10">
        <v>180</v>
      </c>
      <c r="AA1042" s="10">
        <v>1.0109999999999999</v>
      </c>
      <c r="AB1042" s="10">
        <v>129</v>
      </c>
      <c r="AC1042" s="10">
        <v>124</v>
      </c>
      <c r="AD1042" s="10">
        <v>56</v>
      </c>
      <c r="AE1042" s="10">
        <v>4</v>
      </c>
      <c r="AF1042" s="10">
        <v>3.3</v>
      </c>
      <c r="AG1042" s="9" t="s">
        <v>184</v>
      </c>
      <c r="AH1042" s="9" t="s">
        <v>185</v>
      </c>
      <c r="AI1042" s="10"/>
      <c r="AJ1042" s="10"/>
      <c r="AK1042" s="30"/>
    </row>
    <row r="1043" spans="5:37">
      <c r="E1043" s="28" t="s">
        <v>155</v>
      </c>
      <c r="F1043" s="8" t="s">
        <v>208</v>
      </c>
      <c r="G1043" s="9" t="s">
        <v>482</v>
      </c>
      <c r="H1043" s="10">
        <v>172</v>
      </c>
      <c r="I1043" s="9" t="s">
        <v>158</v>
      </c>
      <c r="J1043" s="10">
        <v>172</v>
      </c>
      <c r="K1043" s="10">
        <v>171.4</v>
      </c>
      <c r="L1043" s="10">
        <v>133</v>
      </c>
      <c r="M1043" s="10">
        <v>147</v>
      </c>
      <c r="N1043" s="10">
        <v>120</v>
      </c>
      <c r="O1043" s="10">
        <v>91</v>
      </c>
      <c r="P1043" s="10">
        <v>117</v>
      </c>
      <c r="Q1043" s="10">
        <v>18.899999999999999</v>
      </c>
      <c r="R1043" s="10">
        <v>1661</v>
      </c>
      <c r="S1043" s="10">
        <v>1.04</v>
      </c>
      <c r="T1043" s="10">
        <v>1728</v>
      </c>
      <c r="U1043" s="10">
        <v>141</v>
      </c>
      <c r="V1043" s="10">
        <v>63</v>
      </c>
      <c r="W1043" s="10">
        <v>46</v>
      </c>
      <c r="X1043" s="10">
        <v>199</v>
      </c>
      <c r="Y1043" s="10">
        <v>40</v>
      </c>
      <c r="Z1043" s="10">
        <v>190</v>
      </c>
      <c r="AA1043" s="10">
        <v>0.88500000000000001</v>
      </c>
      <c r="AB1043" s="10">
        <v>123</v>
      </c>
      <c r="AC1043" s="10">
        <v>126</v>
      </c>
      <c r="AD1043" s="10">
        <v>76</v>
      </c>
      <c r="AE1043" s="10">
        <v>7</v>
      </c>
      <c r="AF1043" s="10">
        <v>3.4</v>
      </c>
      <c r="AG1043" s="9" t="s">
        <v>184</v>
      </c>
      <c r="AH1043" s="10"/>
      <c r="AI1043" s="10"/>
      <c r="AJ1043" s="10"/>
      <c r="AK1043" s="30"/>
    </row>
    <row r="1044" spans="5:37">
      <c r="E1044" s="28" t="s">
        <v>155</v>
      </c>
      <c r="F1044" s="8" t="s">
        <v>208</v>
      </c>
      <c r="G1044" s="9" t="s">
        <v>482</v>
      </c>
      <c r="H1044" s="10">
        <v>177</v>
      </c>
      <c r="I1044" s="9" t="s">
        <v>158</v>
      </c>
      <c r="J1044" s="10">
        <v>177</v>
      </c>
      <c r="K1044" s="10">
        <v>176.2</v>
      </c>
      <c r="L1044" s="10">
        <v>136</v>
      </c>
      <c r="M1044" s="10">
        <v>152</v>
      </c>
      <c r="N1044" s="10">
        <v>120</v>
      </c>
      <c r="O1044" s="10">
        <v>91</v>
      </c>
      <c r="P1044" s="10">
        <v>117</v>
      </c>
      <c r="Q1044" s="10">
        <v>20.399999999999999</v>
      </c>
      <c r="R1044" s="10">
        <v>1704</v>
      </c>
      <c r="S1044" s="10">
        <v>1.05</v>
      </c>
      <c r="T1044" s="10">
        <v>1784</v>
      </c>
      <c r="U1044" s="10">
        <v>164</v>
      </c>
      <c r="V1044" s="10">
        <v>71</v>
      </c>
      <c r="W1044" s="10">
        <v>44</v>
      </c>
      <c r="X1044" s="10">
        <v>195</v>
      </c>
      <c r="Y1044" s="10">
        <v>44</v>
      </c>
      <c r="Z1044" s="10">
        <v>210</v>
      </c>
      <c r="AA1044" s="10">
        <v>0.98599999999999999</v>
      </c>
      <c r="AB1044" s="10">
        <v>120</v>
      </c>
      <c r="AC1044" s="10">
        <v>122</v>
      </c>
      <c r="AD1044" s="10">
        <v>75</v>
      </c>
      <c r="AE1044" s="10">
        <v>5</v>
      </c>
      <c r="AF1044" s="10">
        <v>3.3</v>
      </c>
      <c r="AG1044" s="9" t="s">
        <v>184</v>
      </c>
      <c r="AH1044" s="10"/>
      <c r="AI1044" s="10"/>
      <c r="AJ1044" s="10"/>
      <c r="AK1044" s="30"/>
    </row>
    <row r="1045" spans="5:37">
      <c r="E1045" s="28" t="s">
        <v>155</v>
      </c>
      <c r="F1045" s="8" t="s">
        <v>208</v>
      </c>
      <c r="G1045" s="9" t="s">
        <v>843</v>
      </c>
      <c r="H1045" s="10">
        <v>144</v>
      </c>
      <c r="I1045" s="9" t="s">
        <v>163</v>
      </c>
      <c r="J1045" s="10">
        <v>144</v>
      </c>
      <c r="K1045" s="10">
        <v>143.19999999999999</v>
      </c>
      <c r="L1045" s="10">
        <v>100</v>
      </c>
      <c r="M1045" s="10">
        <v>119</v>
      </c>
      <c r="N1045" s="10">
        <v>120</v>
      </c>
      <c r="O1045" s="10">
        <v>91</v>
      </c>
      <c r="P1045" s="10">
        <v>117</v>
      </c>
      <c r="Q1045" s="10">
        <v>12</v>
      </c>
      <c r="R1045" s="10">
        <v>1344</v>
      </c>
      <c r="S1045" s="10">
        <v>1.08</v>
      </c>
      <c r="T1045" s="10">
        <v>1448</v>
      </c>
      <c r="U1045" s="10">
        <v>139</v>
      </c>
      <c r="V1045" s="10">
        <v>56</v>
      </c>
      <c r="W1045" s="10">
        <v>46</v>
      </c>
      <c r="X1045" s="10">
        <v>220</v>
      </c>
      <c r="Y1045" s="10">
        <v>41</v>
      </c>
      <c r="Z1045" s="10">
        <v>212</v>
      </c>
      <c r="AA1045" s="10">
        <v>0.90500000000000003</v>
      </c>
      <c r="AB1045" s="10">
        <v>124</v>
      </c>
      <c r="AC1045" s="10">
        <v>114</v>
      </c>
      <c r="AD1045" s="10">
        <v>96</v>
      </c>
      <c r="AE1045" s="10">
        <v>5</v>
      </c>
      <c r="AF1045" s="10">
        <v>3.5</v>
      </c>
      <c r="AG1045" s="9" t="s">
        <v>184</v>
      </c>
      <c r="AH1045" s="9" t="s">
        <v>185</v>
      </c>
      <c r="AI1045" s="10"/>
      <c r="AJ1045" s="10"/>
      <c r="AK1045" s="30"/>
    </row>
    <row r="1046" spans="5:37">
      <c r="E1046" s="28" t="s">
        <v>155</v>
      </c>
      <c r="F1046" s="8" t="s">
        <v>208</v>
      </c>
      <c r="G1046" s="9" t="s">
        <v>843</v>
      </c>
      <c r="H1046" s="10">
        <v>155</v>
      </c>
      <c r="I1046" s="9" t="s">
        <v>163</v>
      </c>
      <c r="J1046" s="10">
        <v>155</v>
      </c>
      <c r="K1046" s="10">
        <v>154.4</v>
      </c>
      <c r="L1046" s="10">
        <v>118</v>
      </c>
      <c r="M1046" s="10">
        <v>130</v>
      </c>
      <c r="N1046" s="10">
        <v>120</v>
      </c>
      <c r="O1046" s="10">
        <v>91</v>
      </c>
      <c r="P1046" s="10">
        <v>117</v>
      </c>
      <c r="Q1046" s="10">
        <v>14.6</v>
      </c>
      <c r="R1046" s="10">
        <v>1416</v>
      </c>
      <c r="S1046" s="10">
        <v>1.1000000000000001</v>
      </c>
      <c r="T1046" s="10">
        <v>1559</v>
      </c>
      <c r="U1046" s="10">
        <v>126</v>
      </c>
      <c r="V1046" s="10">
        <v>51</v>
      </c>
      <c r="W1046" s="10">
        <v>40</v>
      </c>
      <c r="X1046" s="10">
        <v>183</v>
      </c>
      <c r="Y1046" s="10">
        <v>40</v>
      </c>
      <c r="Z1046" s="10">
        <v>184</v>
      </c>
      <c r="AA1046" s="10">
        <v>0.99199999999999999</v>
      </c>
      <c r="AB1046" s="10">
        <v>119</v>
      </c>
      <c r="AC1046" s="10">
        <v>123</v>
      </c>
      <c r="AD1046" s="10">
        <v>64</v>
      </c>
      <c r="AE1046" s="10">
        <v>6</v>
      </c>
      <c r="AF1046" s="10">
        <v>3.2</v>
      </c>
      <c r="AG1046" s="9" t="s">
        <v>184</v>
      </c>
      <c r="AH1046" s="9" t="s">
        <v>185</v>
      </c>
      <c r="AI1046" s="10"/>
      <c r="AJ1046" s="10"/>
      <c r="AK1046" s="30"/>
    </row>
    <row r="1047" spans="5:37">
      <c r="E1047" s="28" t="s">
        <v>155</v>
      </c>
      <c r="F1047" s="8" t="s">
        <v>208</v>
      </c>
      <c r="G1047" s="9" t="s">
        <v>843</v>
      </c>
      <c r="H1047" s="10">
        <v>166</v>
      </c>
      <c r="I1047" s="9" t="s">
        <v>163</v>
      </c>
      <c r="J1047" s="10">
        <v>166</v>
      </c>
      <c r="K1047" s="10">
        <v>165.3</v>
      </c>
      <c r="L1047" s="10">
        <v>129</v>
      </c>
      <c r="M1047" s="10">
        <v>141</v>
      </c>
      <c r="N1047" s="10">
        <v>120</v>
      </c>
      <c r="O1047" s="10">
        <v>91</v>
      </c>
      <c r="P1047" s="10">
        <v>117</v>
      </c>
      <c r="Q1047" s="10">
        <v>17.3</v>
      </c>
      <c r="R1047" s="10">
        <v>1542</v>
      </c>
      <c r="S1047" s="10">
        <v>1.08</v>
      </c>
      <c r="T1047" s="10">
        <v>1668</v>
      </c>
      <c r="U1047" s="10">
        <v>116</v>
      </c>
      <c r="V1047" s="10">
        <v>53</v>
      </c>
      <c r="W1047" s="10">
        <v>42</v>
      </c>
      <c r="X1047" s="10">
        <v>178</v>
      </c>
      <c r="Y1047" s="10">
        <v>41</v>
      </c>
      <c r="Z1047" s="10">
        <v>183</v>
      </c>
      <c r="AA1047" s="10">
        <v>0.98599999999999999</v>
      </c>
      <c r="AB1047" s="10">
        <v>125</v>
      </c>
      <c r="AC1047" s="10">
        <v>115</v>
      </c>
      <c r="AD1047" s="10">
        <v>53</v>
      </c>
      <c r="AE1047" s="10">
        <v>9</v>
      </c>
      <c r="AF1047" s="10">
        <v>3.5</v>
      </c>
      <c r="AG1047" s="9" t="s">
        <v>184</v>
      </c>
      <c r="AH1047" s="9" t="s">
        <v>185</v>
      </c>
      <c r="AI1047" s="10"/>
      <c r="AJ1047" s="10"/>
      <c r="AK1047" s="30"/>
    </row>
    <row r="1048" spans="5:37">
      <c r="E1048" s="28" t="s">
        <v>155</v>
      </c>
      <c r="F1048" s="8" t="s">
        <v>208</v>
      </c>
      <c r="G1048" s="9" t="s">
        <v>657</v>
      </c>
      <c r="H1048" s="10">
        <v>178</v>
      </c>
      <c r="I1048" s="9" t="s">
        <v>158</v>
      </c>
      <c r="J1048" s="10">
        <v>178</v>
      </c>
      <c r="K1048" s="10">
        <v>176.2</v>
      </c>
      <c r="L1048" s="10">
        <v>94</v>
      </c>
      <c r="M1048" s="10">
        <v>142</v>
      </c>
      <c r="N1048" s="10">
        <v>151</v>
      </c>
      <c r="O1048" s="10">
        <v>116</v>
      </c>
      <c r="P1048" s="10">
        <v>139</v>
      </c>
      <c r="Q1048" s="10">
        <v>17.399999999999999</v>
      </c>
      <c r="R1048" s="10">
        <v>1842</v>
      </c>
      <c r="S1048" s="10">
        <v>1.18</v>
      </c>
      <c r="T1048" s="10">
        <v>2179</v>
      </c>
      <c r="U1048" s="10">
        <v>145</v>
      </c>
      <c r="V1048" s="10">
        <v>83</v>
      </c>
      <c r="W1048" s="10">
        <v>70</v>
      </c>
      <c r="X1048" s="10">
        <v>413</v>
      </c>
      <c r="Y1048" s="10">
        <v>64</v>
      </c>
      <c r="Z1048" s="10">
        <v>407</v>
      </c>
      <c r="AA1048" s="10">
        <v>0.92100000000000004</v>
      </c>
      <c r="AB1048" s="10">
        <v>164</v>
      </c>
      <c r="AC1048" s="10">
        <v>176</v>
      </c>
      <c r="AD1048" s="10">
        <v>249</v>
      </c>
      <c r="AE1048" s="10">
        <v>4</v>
      </c>
      <c r="AF1048" s="10">
        <v>4.4000000000000004</v>
      </c>
      <c r="AG1048" s="9" t="s">
        <v>184</v>
      </c>
      <c r="AH1048" s="9" t="s">
        <v>169</v>
      </c>
      <c r="AI1048" s="9" t="s">
        <v>185</v>
      </c>
      <c r="AJ1048" s="10"/>
      <c r="AK1048" s="30"/>
    </row>
    <row r="1049" spans="5:37">
      <c r="E1049" s="28" t="s">
        <v>155</v>
      </c>
      <c r="F1049" s="8" t="s">
        <v>208</v>
      </c>
      <c r="G1049" s="9" t="s">
        <v>657</v>
      </c>
      <c r="H1049" s="10">
        <v>186</v>
      </c>
      <c r="I1049" s="9" t="s">
        <v>158</v>
      </c>
      <c r="J1049" s="10">
        <v>186</v>
      </c>
      <c r="K1049" s="10">
        <v>184.1</v>
      </c>
      <c r="L1049" s="10">
        <v>104</v>
      </c>
      <c r="M1049" s="10">
        <v>152</v>
      </c>
      <c r="N1049" s="10">
        <v>151</v>
      </c>
      <c r="O1049" s="10">
        <v>116</v>
      </c>
      <c r="P1049" s="10">
        <v>140</v>
      </c>
      <c r="Q1049" s="10">
        <v>19.399999999999999</v>
      </c>
      <c r="R1049" s="10">
        <v>2017</v>
      </c>
      <c r="S1049" s="10">
        <v>1.1399999999999999</v>
      </c>
      <c r="T1049" s="10">
        <v>2292</v>
      </c>
      <c r="U1049" s="10">
        <v>182</v>
      </c>
      <c r="V1049" s="10">
        <v>82</v>
      </c>
      <c r="W1049" s="10">
        <v>57</v>
      </c>
      <c r="X1049" s="10">
        <v>400</v>
      </c>
      <c r="Y1049" s="10">
        <v>55</v>
      </c>
      <c r="Z1049" s="10">
        <v>400</v>
      </c>
      <c r="AA1049" s="10">
        <v>0.96699999999999997</v>
      </c>
      <c r="AB1049" s="10">
        <v>170</v>
      </c>
      <c r="AC1049" s="10">
        <v>152</v>
      </c>
      <c r="AD1049" s="10">
        <v>229</v>
      </c>
      <c r="AE1049" s="10">
        <v>5</v>
      </c>
      <c r="AF1049" s="10">
        <v>4.5999999999999996</v>
      </c>
      <c r="AG1049" s="9" t="s">
        <v>184</v>
      </c>
      <c r="AH1049" s="9" t="s">
        <v>169</v>
      </c>
      <c r="AI1049" s="9" t="s">
        <v>185</v>
      </c>
      <c r="AJ1049" s="10"/>
      <c r="AK1049" s="30"/>
    </row>
    <row r="1050" spans="5:37">
      <c r="E1050" s="28" t="s">
        <v>155</v>
      </c>
      <c r="F1050" s="8" t="s">
        <v>208</v>
      </c>
      <c r="G1050" s="9" t="s">
        <v>614</v>
      </c>
      <c r="H1050" s="10">
        <v>158</v>
      </c>
      <c r="I1050" s="9" t="s">
        <v>163</v>
      </c>
      <c r="J1050" s="10">
        <v>158</v>
      </c>
      <c r="K1050" s="10">
        <v>158.19999999999999</v>
      </c>
      <c r="L1050" s="10">
        <v>112</v>
      </c>
      <c r="M1050" s="10">
        <v>122</v>
      </c>
      <c r="N1050" s="10">
        <v>136</v>
      </c>
      <c r="O1050" s="10">
        <v>103</v>
      </c>
      <c r="P1050" s="10">
        <v>121</v>
      </c>
      <c r="Q1050" s="10">
        <v>13.5</v>
      </c>
      <c r="R1050" s="10">
        <v>1478</v>
      </c>
      <c r="S1050" s="10">
        <v>1.21</v>
      </c>
      <c r="T1050" s="10">
        <v>1792</v>
      </c>
      <c r="U1050" s="10">
        <v>122</v>
      </c>
      <c r="V1050" s="10">
        <v>69</v>
      </c>
      <c r="W1050" s="10">
        <v>46</v>
      </c>
      <c r="X1050" s="10">
        <v>295</v>
      </c>
      <c r="Y1050" s="10">
        <v>14</v>
      </c>
      <c r="Z1050" s="10">
        <v>164</v>
      </c>
      <c r="AA1050" s="10">
        <v>0.30499999999999999</v>
      </c>
      <c r="AB1050" s="10">
        <v>185</v>
      </c>
      <c r="AC1050" s="10">
        <v>181</v>
      </c>
      <c r="AD1050" s="10">
        <v>109</v>
      </c>
      <c r="AE1050" s="10">
        <v>6</v>
      </c>
      <c r="AF1050" s="10">
        <v>9.6</v>
      </c>
      <c r="AG1050" s="9" t="s">
        <v>188</v>
      </c>
      <c r="AH1050" s="9" t="s">
        <v>178</v>
      </c>
      <c r="AI1050" s="9" t="s">
        <v>185</v>
      </c>
      <c r="AJ1050" s="10"/>
      <c r="AK1050" s="30"/>
    </row>
    <row r="1051" spans="5:37">
      <c r="E1051" s="28" t="s">
        <v>155</v>
      </c>
      <c r="F1051" s="8" t="s">
        <v>208</v>
      </c>
      <c r="G1051" s="9" t="s">
        <v>614</v>
      </c>
      <c r="H1051" s="10">
        <v>165</v>
      </c>
      <c r="I1051" s="9" t="s">
        <v>163</v>
      </c>
      <c r="J1051" s="10">
        <v>165</v>
      </c>
      <c r="K1051" s="10">
        <v>160</v>
      </c>
      <c r="L1051" s="10">
        <v>98</v>
      </c>
      <c r="M1051" s="10">
        <v>126</v>
      </c>
      <c r="N1051" s="10">
        <v>143</v>
      </c>
      <c r="O1051" s="10">
        <v>109</v>
      </c>
      <c r="P1051" s="10">
        <v>129</v>
      </c>
      <c r="Q1051" s="10">
        <v>14</v>
      </c>
      <c r="R1051" s="10">
        <v>1557</v>
      </c>
      <c r="S1051" s="10">
        <v>1.22</v>
      </c>
      <c r="T1051" s="10">
        <v>1902</v>
      </c>
      <c r="U1051" s="10">
        <v>131</v>
      </c>
      <c r="V1051" s="10">
        <v>52</v>
      </c>
      <c r="W1051" s="10">
        <v>47</v>
      </c>
      <c r="X1051" s="10">
        <v>332</v>
      </c>
      <c r="Y1051" s="10">
        <v>27</v>
      </c>
      <c r="Z1051" s="10">
        <v>290</v>
      </c>
      <c r="AA1051" s="10">
        <v>0.57899999999999996</v>
      </c>
      <c r="AB1051" s="10">
        <v>169</v>
      </c>
      <c r="AC1051" s="10">
        <v>168</v>
      </c>
      <c r="AD1051" s="10">
        <v>163</v>
      </c>
      <c r="AE1051" s="10">
        <v>5</v>
      </c>
      <c r="AF1051" s="10">
        <v>6.3</v>
      </c>
      <c r="AG1051" s="9" t="s">
        <v>169</v>
      </c>
      <c r="AH1051" s="9" t="s">
        <v>185</v>
      </c>
      <c r="AI1051" s="10"/>
      <c r="AJ1051" s="10"/>
      <c r="AK1051" s="30"/>
    </row>
    <row r="1052" spans="5:37">
      <c r="E1052" s="28" t="s">
        <v>155</v>
      </c>
      <c r="F1052" s="8" t="s">
        <v>208</v>
      </c>
      <c r="G1052" s="9" t="s">
        <v>614</v>
      </c>
      <c r="H1052" s="10">
        <v>172</v>
      </c>
      <c r="I1052" s="9" t="s">
        <v>163</v>
      </c>
      <c r="J1052" s="10">
        <v>172</v>
      </c>
      <c r="K1052" s="10">
        <v>171.7</v>
      </c>
      <c r="L1052" s="10">
        <v>117</v>
      </c>
      <c r="M1052" s="10">
        <v>134</v>
      </c>
      <c r="N1052" s="10">
        <v>136</v>
      </c>
      <c r="O1052" s="10">
        <v>103</v>
      </c>
      <c r="P1052" s="10">
        <v>121</v>
      </c>
      <c r="Q1052" s="10">
        <v>16.399999999999999</v>
      </c>
      <c r="R1052" s="10">
        <v>1624</v>
      </c>
      <c r="S1052" s="10">
        <v>1.2</v>
      </c>
      <c r="T1052" s="10">
        <v>1947</v>
      </c>
      <c r="U1052" s="10">
        <v>150</v>
      </c>
      <c r="V1052" s="10">
        <v>78</v>
      </c>
      <c r="W1052" s="10">
        <v>53</v>
      </c>
      <c r="X1052" s="10">
        <v>342</v>
      </c>
      <c r="Y1052" s="10">
        <v>21</v>
      </c>
      <c r="Z1052" s="10">
        <v>208</v>
      </c>
      <c r="AA1052" s="10">
        <v>0.38500000000000001</v>
      </c>
      <c r="AB1052" s="10">
        <v>184</v>
      </c>
      <c r="AC1052" s="10">
        <v>195</v>
      </c>
      <c r="AD1052" s="10">
        <v>158</v>
      </c>
      <c r="AE1052" s="10">
        <v>5</v>
      </c>
      <c r="AF1052" s="10">
        <v>9.9</v>
      </c>
      <c r="AG1052" s="9" t="s">
        <v>188</v>
      </c>
      <c r="AH1052" s="9" t="s">
        <v>169</v>
      </c>
      <c r="AI1052" s="9" t="s">
        <v>178</v>
      </c>
      <c r="AJ1052" s="9" t="s">
        <v>185</v>
      </c>
      <c r="AK1052" s="30"/>
    </row>
    <row r="1053" spans="5:37">
      <c r="E1053" s="28" t="s">
        <v>155</v>
      </c>
      <c r="F1053" s="8" t="s">
        <v>208</v>
      </c>
      <c r="G1053" s="9" t="s">
        <v>577</v>
      </c>
      <c r="H1053" s="10">
        <v>165</v>
      </c>
      <c r="I1053" s="9" t="s">
        <v>163</v>
      </c>
      <c r="J1053" s="10">
        <v>165</v>
      </c>
      <c r="K1053" s="10">
        <v>160</v>
      </c>
      <c r="L1053" s="10">
        <v>98</v>
      </c>
      <c r="M1053" s="10">
        <v>126</v>
      </c>
      <c r="N1053" s="10">
        <v>143</v>
      </c>
      <c r="O1053" s="10">
        <v>109</v>
      </c>
      <c r="P1053" s="10">
        <v>129</v>
      </c>
      <c r="Q1053" s="10">
        <v>14</v>
      </c>
      <c r="R1053" s="10">
        <v>1284</v>
      </c>
      <c r="S1053" s="10">
        <v>1.48</v>
      </c>
      <c r="T1053" s="10">
        <v>1902</v>
      </c>
      <c r="U1053" s="10">
        <v>131</v>
      </c>
      <c r="V1053" s="10">
        <v>52</v>
      </c>
      <c r="W1053" s="10">
        <v>47</v>
      </c>
      <c r="X1053" s="10">
        <v>332</v>
      </c>
      <c r="Y1053" s="10">
        <v>27</v>
      </c>
      <c r="Z1053" s="10">
        <v>290</v>
      </c>
      <c r="AA1053" s="10">
        <v>0.57899999999999996</v>
      </c>
      <c r="AB1053" s="10">
        <v>169</v>
      </c>
      <c r="AC1053" s="10">
        <v>168</v>
      </c>
      <c r="AD1053" s="10">
        <v>163</v>
      </c>
      <c r="AE1053" s="10">
        <v>5</v>
      </c>
      <c r="AF1053" s="10">
        <v>6.3</v>
      </c>
      <c r="AG1053" s="9" t="s">
        <v>169</v>
      </c>
      <c r="AH1053" s="9" t="s">
        <v>185</v>
      </c>
      <c r="AI1053" s="9" t="s">
        <v>198</v>
      </c>
      <c r="AJ1053" s="10"/>
      <c r="AK1053" s="30"/>
    </row>
    <row r="1054" spans="5:37">
      <c r="E1054" s="28" t="s">
        <v>155</v>
      </c>
      <c r="F1054" s="8" t="s">
        <v>208</v>
      </c>
      <c r="G1054" s="9" t="s">
        <v>577</v>
      </c>
      <c r="H1054" s="10">
        <v>170</v>
      </c>
      <c r="I1054" s="9" t="s">
        <v>163</v>
      </c>
      <c r="J1054" s="10">
        <v>170</v>
      </c>
      <c r="K1054" s="10">
        <v>169.7</v>
      </c>
      <c r="L1054" s="10">
        <v>108</v>
      </c>
      <c r="M1054" s="10">
        <v>137</v>
      </c>
      <c r="N1054" s="10">
        <v>143</v>
      </c>
      <c r="O1054" s="10">
        <v>109</v>
      </c>
      <c r="P1054" s="10">
        <v>129</v>
      </c>
      <c r="Q1054" s="10">
        <v>16.2</v>
      </c>
      <c r="R1054" s="10">
        <v>1410</v>
      </c>
      <c r="S1054" s="10">
        <v>1.43</v>
      </c>
      <c r="T1054" s="10">
        <v>2019</v>
      </c>
      <c r="U1054" s="10">
        <v>147</v>
      </c>
      <c r="V1054" s="10">
        <v>67</v>
      </c>
      <c r="W1054" s="10">
        <v>52</v>
      </c>
      <c r="X1054" s="10">
        <v>342</v>
      </c>
      <c r="Y1054" s="10">
        <v>33</v>
      </c>
      <c r="Z1054" s="10">
        <v>273</v>
      </c>
      <c r="AA1054" s="10">
        <v>0.63</v>
      </c>
      <c r="AB1054" s="10">
        <v>160</v>
      </c>
      <c r="AC1054" s="10">
        <v>167</v>
      </c>
      <c r="AD1054" s="10">
        <v>181</v>
      </c>
      <c r="AE1054" s="10">
        <v>6</v>
      </c>
      <c r="AF1054" s="10">
        <v>6.4</v>
      </c>
      <c r="AG1054" s="9" t="s">
        <v>169</v>
      </c>
      <c r="AH1054" s="9" t="s">
        <v>185</v>
      </c>
      <c r="AI1054" s="9" t="s">
        <v>198</v>
      </c>
      <c r="AJ1054" s="10"/>
      <c r="AK1054" s="30"/>
    </row>
    <row r="1055" spans="5:37">
      <c r="E1055" s="28" t="s">
        <v>155</v>
      </c>
      <c r="F1055" s="8" t="s">
        <v>208</v>
      </c>
      <c r="G1055" s="9" t="s">
        <v>577</v>
      </c>
      <c r="H1055" s="10">
        <v>178</v>
      </c>
      <c r="I1055" s="9" t="s">
        <v>163</v>
      </c>
      <c r="J1055" s="10">
        <v>178</v>
      </c>
      <c r="K1055" s="10">
        <v>178.5</v>
      </c>
      <c r="L1055" s="10">
        <v>115</v>
      </c>
      <c r="M1055" s="10">
        <v>145</v>
      </c>
      <c r="N1055" s="10">
        <v>142</v>
      </c>
      <c r="O1055" s="10">
        <v>109</v>
      </c>
      <c r="P1055" s="10">
        <v>128</v>
      </c>
      <c r="Q1055" s="10">
        <v>18.3</v>
      </c>
      <c r="R1055" s="10">
        <v>1529</v>
      </c>
      <c r="S1055" s="10">
        <v>1.38</v>
      </c>
      <c r="T1055" s="10">
        <v>2115</v>
      </c>
      <c r="U1055" s="10">
        <v>167</v>
      </c>
      <c r="V1055" s="10">
        <v>81</v>
      </c>
      <c r="W1055" s="10">
        <v>54</v>
      </c>
      <c r="X1055" s="10">
        <v>353</v>
      </c>
      <c r="Y1055" s="10">
        <v>32</v>
      </c>
      <c r="Z1055" s="10">
        <v>285</v>
      </c>
      <c r="AA1055" s="10">
        <v>0.6</v>
      </c>
      <c r="AB1055" s="10">
        <v>162</v>
      </c>
      <c r="AC1055" s="10">
        <v>177</v>
      </c>
      <c r="AD1055" s="10">
        <v>191</v>
      </c>
      <c r="AE1055" s="10">
        <v>5</v>
      </c>
      <c r="AF1055" s="10">
        <v>5.5</v>
      </c>
      <c r="AG1055" s="9" t="s">
        <v>169</v>
      </c>
      <c r="AH1055" s="9" t="s">
        <v>185</v>
      </c>
      <c r="AI1055" s="9" t="s">
        <v>198</v>
      </c>
      <c r="AJ1055" s="10"/>
      <c r="AK1055" s="30"/>
    </row>
    <row r="1056" spans="5:37">
      <c r="E1056" s="28" t="s">
        <v>155</v>
      </c>
      <c r="F1056" s="8" t="s">
        <v>208</v>
      </c>
      <c r="G1056" s="9" t="s">
        <v>824</v>
      </c>
      <c r="H1056" s="10">
        <v>151</v>
      </c>
      <c r="I1056" s="9" t="s">
        <v>163</v>
      </c>
      <c r="J1056" s="10">
        <v>151</v>
      </c>
      <c r="K1056" s="10">
        <v>150.5</v>
      </c>
      <c r="L1056" s="10">
        <v>119</v>
      </c>
      <c r="M1056" s="10">
        <v>127</v>
      </c>
      <c r="N1056" s="10">
        <v>121</v>
      </c>
      <c r="O1056" s="10">
        <v>83</v>
      </c>
      <c r="P1056" s="10">
        <v>109</v>
      </c>
      <c r="Q1056" s="10">
        <v>12.1</v>
      </c>
      <c r="R1056" s="10">
        <v>1252</v>
      </c>
      <c r="S1056" s="10">
        <v>1.1499999999999999</v>
      </c>
      <c r="T1056" s="10">
        <v>1443</v>
      </c>
      <c r="U1056" s="10">
        <v>110</v>
      </c>
      <c r="V1056" s="10">
        <v>59</v>
      </c>
      <c r="W1056" s="10">
        <v>43</v>
      </c>
      <c r="X1056" s="10">
        <v>170</v>
      </c>
      <c r="Y1056" s="10">
        <v>19</v>
      </c>
      <c r="Z1056" s="10">
        <v>149</v>
      </c>
      <c r="AA1056" s="10">
        <v>0.433</v>
      </c>
      <c r="AB1056" s="10">
        <v>133</v>
      </c>
      <c r="AC1056" s="10">
        <v>104</v>
      </c>
      <c r="AD1056" s="10">
        <v>37</v>
      </c>
      <c r="AE1056" s="10">
        <v>8</v>
      </c>
      <c r="AF1056" s="10">
        <v>8.5</v>
      </c>
      <c r="AG1056" s="9" t="s">
        <v>231</v>
      </c>
      <c r="AH1056" s="9" t="s">
        <v>188</v>
      </c>
      <c r="AI1056" s="9" t="s">
        <v>185</v>
      </c>
      <c r="AJ1056" s="10"/>
      <c r="AK1056" s="30"/>
    </row>
    <row r="1057" spans="5:37">
      <c r="E1057" s="28" t="s">
        <v>155</v>
      </c>
      <c r="F1057" s="8" t="s">
        <v>208</v>
      </c>
      <c r="G1057" s="9" t="s">
        <v>824</v>
      </c>
      <c r="H1057" s="10">
        <v>158</v>
      </c>
      <c r="I1057" s="9" t="s">
        <v>163</v>
      </c>
      <c r="J1057" s="10">
        <v>158</v>
      </c>
      <c r="K1057" s="10">
        <v>157.6</v>
      </c>
      <c r="L1057" s="10">
        <v>128</v>
      </c>
      <c r="M1057" s="10">
        <v>135</v>
      </c>
      <c r="N1057" s="10">
        <v>121</v>
      </c>
      <c r="O1057" s="10">
        <v>83</v>
      </c>
      <c r="P1057" s="10">
        <v>109</v>
      </c>
      <c r="Q1057" s="10">
        <v>13.4</v>
      </c>
      <c r="R1057" s="10">
        <v>1343</v>
      </c>
      <c r="S1057" s="10">
        <v>1.1200000000000001</v>
      </c>
      <c r="T1057" s="10">
        <v>1509</v>
      </c>
      <c r="U1057" s="10">
        <v>116</v>
      </c>
      <c r="V1057" s="10">
        <v>69</v>
      </c>
      <c r="W1057" s="10">
        <v>44</v>
      </c>
      <c r="X1057" s="10">
        <v>187</v>
      </c>
      <c r="Y1057" s="10">
        <v>16</v>
      </c>
      <c r="Z1057" s="10">
        <v>112</v>
      </c>
      <c r="AA1057" s="10">
        <v>0.35799999999999998</v>
      </c>
      <c r="AB1057" s="10">
        <v>132</v>
      </c>
      <c r="AC1057" s="10">
        <v>96</v>
      </c>
      <c r="AD1057" s="10">
        <v>55</v>
      </c>
      <c r="AE1057" s="10">
        <v>6</v>
      </c>
      <c r="AF1057" s="10">
        <v>9.3000000000000007</v>
      </c>
      <c r="AG1057" s="9" t="s">
        <v>231</v>
      </c>
      <c r="AH1057" s="9" t="s">
        <v>188</v>
      </c>
      <c r="AI1057" s="9" t="s">
        <v>185</v>
      </c>
      <c r="AJ1057" s="10"/>
      <c r="AK1057" s="30"/>
    </row>
    <row r="1058" spans="5:37">
      <c r="E1058" s="28" t="s">
        <v>155</v>
      </c>
      <c r="F1058" s="8" t="s">
        <v>208</v>
      </c>
      <c r="G1058" s="9" t="s">
        <v>824</v>
      </c>
      <c r="H1058" s="10">
        <v>165</v>
      </c>
      <c r="I1058" s="9" t="s">
        <v>163</v>
      </c>
      <c r="J1058" s="10">
        <v>165</v>
      </c>
      <c r="K1058" s="10">
        <v>164.6</v>
      </c>
      <c r="L1058" s="10">
        <v>130</v>
      </c>
      <c r="M1058" s="10">
        <v>139</v>
      </c>
      <c r="N1058" s="10">
        <v>121</v>
      </c>
      <c r="O1058" s="10">
        <v>83</v>
      </c>
      <c r="P1058" s="10">
        <v>109</v>
      </c>
      <c r="Q1058" s="10">
        <v>14.8</v>
      </c>
      <c r="R1058" s="10">
        <v>1404</v>
      </c>
      <c r="S1058" s="10">
        <v>1.1200000000000001</v>
      </c>
      <c r="T1058" s="10">
        <v>1574</v>
      </c>
      <c r="U1058" s="10">
        <v>143</v>
      </c>
      <c r="V1058" s="10">
        <v>65</v>
      </c>
      <c r="W1058" s="10">
        <v>45</v>
      </c>
      <c r="X1058" s="10">
        <v>210</v>
      </c>
      <c r="Y1058" s="10">
        <v>19</v>
      </c>
      <c r="Z1058" s="10">
        <v>140</v>
      </c>
      <c r="AA1058" s="10">
        <v>0.42299999999999999</v>
      </c>
      <c r="AB1058" s="10">
        <v>146</v>
      </c>
      <c r="AC1058" s="10">
        <v>108</v>
      </c>
      <c r="AD1058" s="10">
        <v>64</v>
      </c>
      <c r="AE1058" s="10">
        <v>7</v>
      </c>
      <c r="AF1058" s="10">
        <v>9.1</v>
      </c>
      <c r="AG1058" s="9" t="s">
        <v>231</v>
      </c>
      <c r="AH1058" s="9" t="s">
        <v>188</v>
      </c>
      <c r="AI1058" s="9" t="s">
        <v>185</v>
      </c>
      <c r="AJ1058" s="10"/>
      <c r="AK1058" s="30"/>
    </row>
    <row r="1059" spans="5:37">
      <c r="E1059" s="28" t="s">
        <v>155</v>
      </c>
      <c r="F1059" s="8" t="s">
        <v>208</v>
      </c>
      <c r="G1059" s="9" t="s">
        <v>698</v>
      </c>
      <c r="H1059" s="10">
        <v>151</v>
      </c>
      <c r="I1059" s="9" t="s">
        <v>163</v>
      </c>
      <c r="J1059" s="10">
        <v>151</v>
      </c>
      <c r="K1059" s="10">
        <v>151.1</v>
      </c>
      <c r="L1059" s="10">
        <v>111</v>
      </c>
      <c r="M1059" s="10">
        <v>125</v>
      </c>
      <c r="N1059" s="10">
        <v>130</v>
      </c>
      <c r="O1059" s="10">
        <v>93</v>
      </c>
      <c r="P1059" s="10">
        <v>116</v>
      </c>
      <c r="Q1059" s="10">
        <v>12.4</v>
      </c>
      <c r="R1059" s="10">
        <v>1354</v>
      </c>
      <c r="S1059" s="10">
        <v>1.17</v>
      </c>
      <c r="T1059" s="10">
        <v>1586</v>
      </c>
      <c r="U1059" s="10">
        <v>117</v>
      </c>
      <c r="V1059" s="10">
        <v>60</v>
      </c>
      <c r="W1059" s="10">
        <v>44</v>
      </c>
      <c r="X1059" s="10">
        <v>265</v>
      </c>
      <c r="Y1059" s="10">
        <v>17</v>
      </c>
      <c r="Z1059" s="10">
        <v>135</v>
      </c>
      <c r="AA1059" s="10">
        <v>0.38800000000000001</v>
      </c>
      <c r="AB1059" s="10">
        <v>141</v>
      </c>
      <c r="AC1059" s="10">
        <v>117</v>
      </c>
      <c r="AD1059" s="10">
        <v>124</v>
      </c>
      <c r="AE1059" s="10">
        <v>7</v>
      </c>
      <c r="AF1059" s="10">
        <v>8.3000000000000007</v>
      </c>
      <c r="AG1059" s="9" t="s">
        <v>188</v>
      </c>
      <c r="AH1059" s="9" t="s">
        <v>185</v>
      </c>
      <c r="AI1059" s="10"/>
      <c r="AJ1059" s="10"/>
      <c r="AK1059" s="30"/>
    </row>
    <row r="1060" spans="5:37">
      <c r="E1060" s="28" t="s">
        <v>155</v>
      </c>
      <c r="F1060" s="8" t="s">
        <v>208</v>
      </c>
      <c r="G1060" s="9" t="s">
        <v>698</v>
      </c>
      <c r="H1060" s="10">
        <v>158</v>
      </c>
      <c r="I1060" s="9" t="s">
        <v>163</v>
      </c>
      <c r="J1060" s="10">
        <v>158</v>
      </c>
      <c r="K1060" s="10">
        <v>158.19999999999999</v>
      </c>
      <c r="L1060" s="10">
        <v>118</v>
      </c>
      <c r="M1060" s="10">
        <v>133</v>
      </c>
      <c r="N1060" s="10">
        <v>130</v>
      </c>
      <c r="O1060" s="10">
        <v>93</v>
      </c>
      <c r="P1060" s="10">
        <v>116</v>
      </c>
      <c r="Q1060" s="10">
        <v>13.4</v>
      </c>
      <c r="R1060" s="10">
        <v>1310</v>
      </c>
      <c r="S1060" s="10">
        <v>1.27</v>
      </c>
      <c r="T1060" s="10">
        <v>1663</v>
      </c>
      <c r="U1060" s="10">
        <v>122</v>
      </c>
      <c r="V1060" s="10">
        <v>57</v>
      </c>
      <c r="W1060" s="10">
        <v>38</v>
      </c>
      <c r="X1060" s="10">
        <v>278</v>
      </c>
      <c r="Y1060" s="10">
        <v>13</v>
      </c>
      <c r="Z1060" s="10">
        <v>119</v>
      </c>
      <c r="AA1060" s="10">
        <v>0.34599999999999997</v>
      </c>
      <c r="AB1060" s="10">
        <v>135</v>
      </c>
      <c r="AC1060" s="10">
        <v>117</v>
      </c>
      <c r="AD1060" s="10">
        <v>143</v>
      </c>
      <c r="AE1060" s="10">
        <v>6</v>
      </c>
      <c r="AF1060" s="10">
        <v>9</v>
      </c>
      <c r="AG1060" s="9" t="s">
        <v>188</v>
      </c>
      <c r="AH1060" s="9" t="s">
        <v>185</v>
      </c>
      <c r="AI1060" s="9" t="s">
        <v>198</v>
      </c>
      <c r="AJ1060" s="10"/>
      <c r="AK1060" s="30"/>
    </row>
    <row r="1061" spans="5:37">
      <c r="E1061" s="28" t="s">
        <v>155</v>
      </c>
      <c r="F1061" s="8" t="s">
        <v>208</v>
      </c>
      <c r="G1061" s="9" t="s">
        <v>698</v>
      </c>
      <c r="H1061" s="10">
        <v>165</v>
      </c>
      <c r="I1061" s="9" t="s">
        <v>163</v>
      </c>
      <c r="J1061" s="10">
        <v>165</v>
      </c>
      <c r="K1061" s="10">
        <v>165</v>
      </c>
      <c r="L1061" s="10">
        <v>122</v>
      </c>
      <c r="M1061" s="10">
        <v>138</v>
      </c>
      <c r="N1061" s="10">
        <v>130</v>
      </c>
      <c r="O1061" s="10">
        <v>93</v>
      </c>
      <c r="P1061" s="10">
        <v>116</v>
      </c>
      <c r="Q1061" s="10">
        <v>14.8</v>
      </c>
      <c r="R1061" s="10">
        <v>1441</v>
      </c>
      <c r="S1061" s="10">
        <v>1.2</v>
      </c>
      <c r="T1061" s="10">
        <v>1736</v>
      </c>
      <c r="U1061" s="10">
        <v>129</v>
      </c>
      <c r="V1061" s="10">
        <v>65</v>
      </c>
      <c r="W1061" s="10">
        <v>47</v>
      </c>
      <c r="X1061" s="10">
        <v>306</v>
      </c>
      <c r="Y1061" s="10">
        <v>15</v>
      </c>
      <c r="Z1061" s="10">
        <v>128</v>
      </c>
      <c r="AA1061" s="10">
        <v>0.318</v>
      </c>
      <c r="AB1061" s="10">
        <v>146</v>
      </c>
      <c r="AC1061" s="10">
        <v>125</v>
      </c>
      <c r="AD1061" s="10">
        <v>160</v>
      </c>
      <c r="AE1061" s="10">
        <v>6</v>
      </c>
      <c r="AF1061" s="10">
        <v>9.1</v>
      </c>
      <c r="AG1061" s="9" t="s">
        <v>188</v>
      </c>
      <c r="AH1061" s="9" t="s">
        <v>185</v>
      </c>
      <c r="AI1061" s="10"/>
      <c r="AJ1061" s="10"/>
      <c r="AK1061" s="30"/>
    </row>
    <row r="1062" spans="5:37">
      <c r="E1062" s="28" t="s">
        <v>155</v>
      </c>
      <c r="F1062" s="8" t="s">
        <v>208</v>
      </c>
      <c r="G1062" s="9" t="s">
        <v>698</v>
      </c>
      <c r="H1062" s="10">
        <v>172</v>
      </c>
      <c r="I1062" s="9" t="s">
        <v>163</v>
      </c>
      <c r="J1062" s="10">
        <v>172</v>
      </c>
      <c r="K1062" s="10">
        <v>172</v>
      </c>
      <c r="L1062" s="10">
        <v>132</v>
      </c>
      <c r="M1062" s="10">
        <v>144</v>
      </c>
      <c r="N1062" s="10">
        <v>131</v>
      </c>
      <c r="O1062" s="10">
        <v>93</v>
      </c>
      <c r="P1062" s="10">
        <v>116</v>
      </c>
      <c r="Q1062" s="10">
        <v>16.3</v>
      </c>
      <c r="R1062" s="10">
        <v>1539</v>
      </c>
      <c r="S1062" s="10">
        <v>1.18</v>
      </c>
      <c r="T1062" s="10">
        <v>1809</v>
      </c>
      <c r="U1062" s="10">
        <v>148</v>
      </c>
      <c r="V1062" s="10">
        <v>77</v>
      </c>
      <c r="W1062" s="10">
        <v>47</v>
      </c>
      <c r="X1062" s="10">
        <v>273</v>
      </c>
      <c r="Y1062" s="10">
        <v>14</v>
      </c>
      <c r="Z1062" s="10">
        <v>129</v>
      </c>
      <c r="AA1062" s="10">
        <v>0.29799999999999999</v>
      </c>
      <c r="AB1062" s="10">
        <v>144</v>
      </c>
      <c r="AC1062" s="10">
        <v>133</v>
      </c>
      <c r="AD1062" s="10">
        <v>129</v>
      </c>
      <c r="AE1062" s="10">
        <v>8</v>
      </c>
      <c r="AF1062" s="10">
        <v>9.6</v>
      </c>
      <c r="AG1062" s="9" t="s">
        <v>188</v>
      </c>
      <c r="AH1062" s="9" t="s">
        <v>185</v>
      </c>
      <c r="AI1062" s="10"/>
      <c r="AJ1062" s="10"/>
      <c r="AK1062" s="30"/>
    </row>
    <row r="1063" spans="5:37">
      <c r="E1063" s="28" t="s">
        <v>155</v>
      </c>
      <c r="F1063" s="8" t="s">
        <v>208</v>
      </c>
      <c r="G1063" s="9" t="s">
        <v>523</v>
      </c>
      <c r="H1063" s="10">
        <v>180</v>
      </c>
      <c r="I1063" s="9" t="s">
        <v>158</v>
      </c>
      <c r="J1063" s="10">
        <v>180</v>
      </c>
      <c r="K1063" s="10">
        <v>178.7</v>
      </c>
      <c r="L1063" s="10">
        <v>128</v>
      </c>
      <c r="M1063" s="10">
        <v>145</v>
      </c>
      <c r="N1063" s="10">
        <v>158</v>
      </c>
      <c r="O1063" s="10">
        <v>124</v>
      </c>
      <c r="P1063" s="10">
        <v>144</v>
      </c>
      <c r="Q1063" s="10">
        <v>18.399999999999999</v>
      </c>
      <c r="R1063" s="10">
        <v>1828</v>
      </c>
      <c r="S1063" s="10">
        <v>1.3</v>
      </c>
      <c r="T1063" s="10">
        <v>2380</v>
      </c>
      <c r="U1063" s="10">
        <v>156</v>
      </c>
      <c r="V1063" s="10">
        <v>87</v>
      </c>
      <c r="W1063" s="10">
        <v>61</v>
      </c>
      <c r="X1063" s="10">
        <v>374</v>
      </c>
      <c r="Y1063" s="10">
        <v>16</v>
      </c>
      <c r="Z1063" s="10">
        <v>131</v>
      </c>
      <c r="AA1063" s="10">
        <v>0.26300000000000001</v>
      </c>
      <c r="AB1063" s="10">
        <v>217</v>
      </c>
      <c r="AC1063" s="10">
        <v>119</v>
      </c>
      <c r="AD1063" s="10">
        <v>157</v>
      </c>
      <c r="AE1063" s="10">
        <v>9</v>
      </c>
      <c r="AF1063" s="10">
        <v>10</v>
      </c>
      <c r="AG1063" s="9" t="s">
        <v>178</v>
      </c>
      <c r="AH1063" s="9" t="s">
        <v>185</v>
      </c>
      <c r="AI1063" s="9" t="s">
        <v>198</v>
      </c>
      <c r="AJ1063" s="10"/>
      <c r="AK1063" s="30"/>
    </row>
    <row r="1064" spans="5:37">
      <c r="E1064" s="28" t="s">
        <v>155</v>
      </c>
      <c r="F1064" s="8" t="s">
        <v>208</v>
      </c>
      <c r="G1064" s="9" t="s">
        <v>452</v>
      </c>
      <c r="H1064" s="10">
        <v>166</v>
      </c>
      <c r="I1064" s="9" t="s">
        <v>158</v>
      </c>
      <c r="J1064" s="10">
        <v>166</v>
      </c>
      <c r="K1064" s="10">
        <v>166.2</v>
      </c>
      <c r="L1064" s="10">
        <v>114</v>
      </c>
      <c r="M1064" s="10">
        <v>136</v>
      </c>
      <c r="N1064" s="10">
        <v>149</v>
      </c>
      <c r="O1064" s="10">
        <v>104</v>
      </c>
      <c r="P1064" s="10">
        <v>128</v>
      </c>
      <c r="Q1064" s="10">
        <v>12.8</v>
      </c>
      <c r="R1064" s="10">
        <v>1650</v>
      </c>
      <c r="S1064" s="10">
        <v>1.17</v>
      </c>
      <c r="T1064" s="10">
        <v>1928</v>
      </c>
      <c r="U1064" s="10">
        <v>147</v>
      </c>
      <c r="V1064" s="10">
        <v>74</v>
      </c>
      <c r="W1064" s="10">
        <v>48</v>
      </c>
      <c r="X1064" s="10">
        <v>383</v>
      </c>
      <c r="Y1064" s="10">
        <v>0</v>
      </c>
      <c r="Z1064" s="10">
        <v>139</v>
      </c>
      <c r="AA1064" s="10">
        <v>8.9999999999999993E-3</v>
      </c>
      <c r="AB1064" s="10">
        <v>159</v>
      </c>
      <c r="AC1064" s="10">
        <v>146</v>
      </c>
      <c r="AD1064" s="10">
        <v>223</v>
      </c>
      <c r="AE1064" s="10">
        <v>6</v>
      </c>
      <c r="AF1064" s="10">
        <v>10.4</v>
      </c>
      <c r="AG1064" s="9" t="s">
        <v>188</v>
      </c>
      <c r="AH1064" s="9" t="s">
        <v>178</v>
      </c>
      <c r="AI1064" s="9" t="s">
        <v>185</v>
      </c>
      <c r="AJ1064" s="10"/>
      <c r="AK1064" s="30"/>
    </row>
    <row r="1065" spans="5:37">
      <c r="E1065" s="28" t="s">
        <v>155</v>
      </c>
      <c r="F1065" s="8" t="s">
        <v>208</v>
      </c>
      <c r="G1065" s="9" t="s">
        <v>452</v>
      </c>
      <c r="H1065" s="10">
        <v>174</v>
      </c>
      <c r="I1065" s="9" t="s">
        <v>158</v>
      </c>
      <c r="J1065" s="10">
        <v>174</v>
      </c>
      <c r="K1065" s="10">
        <v>174</v>
      </c>
      <c r="L1065" s="10">
        <v>137</v>
      </c>
      <c r="M1065" s="10">
        <v>142</v>
      </c>
      <c r="N1065" s="10">
        <v>149</v>
      </c>
      <c r="O1065" s="10">
        <v>104</v>
      </c>
      <c r="P1065" s="10">
        <v>128</v>
      </c>
      <c r="Q1065" s="10">
        <v>14.4</v>
      </c>
      <c r="R1065" s="10">
        <v>1720</v>
      </c>
      <c r="S1065" s="10">
        <v>1.17</v>
      </c>
      <c r="T1065" s="10">
        <v>2017</v>
      </c>
      <c r="U1065" s="10">
        <v>145</v>
      </c>
      <c r="V1065" s="10">
        <v>84</v>
      </c>
      <c r="W1065" s="10">
        <v>48</v>
      </c>
      <c r="X1065" s="10">
        <v>368</v>
      </c>
      <c r="Y1065" s="10">
        <v>0</v>
      </c>
      <c r="Z1065" s="10">
        <v>0</v>
      </c>
      <c r="AA1065" s="10">
        <v>1E-3</v>
      </c>
      <c r="AB1065" s="10">
        <v>169</v>
      </c>
      <c r="AC1065" s="10">
        <v>148</v>
      </c>
      <c r="AD1065" s="10">
        <v>200</v>
      </c>
      <c r="AE1065" s="10">
        <v>6</v>
      </c>
      <c r="AF1065" s="10">
        <v>10.7</v>
      </c>
      <c r="AG1065" s="9" t="s">
        <v>188</v>
      </c>
      <c r="AH1065" s="9" t="s">
        <v>178</v>
      </c>
      <c r="AI1065" s="9" t="s">
        <v>185</v>
      </c>
      <c r="AJ1065" s="10"/>
      <c r="AK1065" s="30"/>
    </row>
    <row r="1066" spans="5:37">
      <c r="E1066" s="28" t="s">
        <v>155</v>
      </c>
      <c r="F1066" s="8" t="s">
        <v>208</v>
      </c>
      <c r="G1066" s="9" t="s">
        <v>452</v>
      </c>
      <c r="H1066" s="10">
        <v>181</v>
      </c>
      <c r="I1066" s="9" t="s">
        <v>158</v>
      </c>
      <c r="J1066" s="10">
        <v>181</v>
      </c>
      <c r="K1066" s="10">
        <v>180.9</v>
      </c>
      <c r="L1066" s="10">
        <v>130</v>
      </c>
      <c r="M1066" s="10">
        <v>160</v>
      </c>
      <c r="N1066" s="10">
        <v>149</v>
      </c>
      <c r="O1066" s="10">
        <v>104</v>
      </c>
      <c r="P1066" s="10">
        <v>136</v>
      </c>
      <c r="Q1066" s="10">
        <v>16.2</v>
      </c>
      <c r="R1066" s="10">
        <v>1801</v>
      </c>
      <c r="S1066" s="10">
        <v>1.19</v>
      </c>
      <c r="T1066" s="10">
        <v>2142</v>
      </c>
      <c r="U1066" s="10">
        <v>168</v>
      </c>
      <c r="V1066" s="10">
        <v>92</v>
      </c>
      <c r="W1066" s="10">
        <v>45</v>
      </c>
      <c r="X1066" s="10">
        <v>382</v>
      </c>
      <c r="Y1066" s="10">
        <v>14</v>
      </c>
      <c r="Z1066" s="10">
        <v>130</v>
      </c>
      <c r="AA1066" s="10">
        <v>0.30099999999999999</v>
      </c>
      <c r="AB1066" s="10">
        <v>164</v>
      </c>
      <c r="AC1066" s="10">
        <v>40</v>
      </c>
      <c r="AD1066" s="10">
        <v>218</v>
      </c>
      <c r="AE1066" s="10">
        <v>6</v>
      </c>
      <c r="AF1066" s="10">
        <v>11.2</v>
      </c>
      <c r="AG1066" s="9" t="s">
        <v>188</v>
      </c>
      <c r="AH1066" s="9" t="s">
        <v>178</v>
      </c>
      <c r="AI1066" s="9" t="s">
        <v>185</v>
      </c>
      <c r="AJ1066" s="10"/>
      <c r="AK1066" s="30"/>
    </row>
    <row r="1067" spans="5:37">
      <c r="E1067" s="28" t="s">
        <v>155</v>
      </c>
      <c r="F1067" s="8" t="s">
        <v>208</v>
      </c>
      <c r="G1067" s="9" t="s">
        <v>352</v>
      </c>
      <c r="H1067" s="10">
        <v>172</v>
      </c>
      <c r="I1067" s="9" t="s">
        <v>158</v>
      </c>
      <c r="J1067" s="10">
        <v>172</v>
      </c>
      <c r="K1067" s="10">
        <v>171.8</v>
      </c>
      <c r="L1067" s="10">
        <v>113</v>
      </c>
      <c r="M1067" s="10">
        <v>133</v>
      </c>
      <c r="N1067" s="10">
        <v>136</v>
      </c>
      <c r="O1067" s="10">
        <v>103</v>
      </c>
      <c r="P1067" s="10">
        <v>120</v>
      </c>
      <c r="Q1067" s="10">
        <v>16.5</v>
      </c>
      <c r="R1067" s="10">
        <v>1625</v>
      </c>
      <c r="S1067" s="10">
        <v>1.2</v>
      </c>
      <c r="T1067" s="10">
        <v>1949</v>
      </c>
      <c r="U1067" s="10">
        <v>158</v>
      </c>
      <c r="V1067" s="10">
        <v>92</v>
      </c>
      <c r="W1067" s="10">
        <v>50</v>
      </c>
      <c r="X1067" s="10">
        <v>365</v>
      </c>
      <c r="Y1067" s="10">
        <v>20</v>
      </c>
      <c r="Z1067" s="10">
        <v>220</v>
      </c>
      <c r="AA1067" s="10">
        <v>0.40200000000000002</v>
      </c>
      <c r="AB1067" s="10">
        <v>189</v>
      </c>
      <c r="AC1067" s="10">
        <v>198</v>
      </c>
      <c r="AD1067" s="10">
        <v>176</v>
      </c>
      <c r="AE1067" s="10">
        <v>6</v>
      </c>
      <c r="AF1067" s="10">
        <v>10.199999999999999</v>
      </c>
      <c r="AG1067" s="9" t="s">
        <v>188</v>
      </c>
      <c r="AH1067" s="9" t="s">
        <v>169</v>
      </c>
      <c r="AI1067" s="9" t="s">
        <v>185</v>
      </c>
      <c r="AJ1067" s="10"/>
      <c r="AK1067" s="30"/>
    </row>
    <row r="1068" spans="5:37">
      <c r="E1068" s="28" t="s">
        <v>155</v>
      </c>
      <c r="F1068" s="8" t="s">
        <v>208</v>
      </c>
      <c r="G1068" s="9" t="s">
        <v>352</v>
      </c>
      <c r="H1068" s="10">
        <v>179</v>
      </c>
      <c r="I1068" s="9" t="s">
        <v>158</v>
      </c>
      <c r="J1068" s="10">
        <v>179</v>
      </c>
      <c r="K1068" s="10">
        <v>179</v>
      </c>
      <c r="L1068" s="10">
        <v>126</v>
      </c>
      <c r="M1068" s="10">
        <v>140</v>
      </c>
      <c r="N1068" s="10">
        <v>136</v>
      </c>
      <c r="O1068" s="10">
        <v>103</v>
      </c>
      <c r="P1068" s="10">
        <v>121</v>
      </c>
      <c r="Q1068" s="10">
        <v>18.100000000000001</v>
      </c>
      <c r="R1068" s="10">
        <v>1769</v>
      </c>
      <c r="S1068" s="10">
        <v>1.1499999999999999</v>
      </c>
      <c r="T1068" s="10">
        <v>2031</v>
      </c>
      <c r="U1068" s="10">
        <v>183</v>
      </c>
      <c r="V1068" s="10">
        <v>98</v>
      </c>
      <c r="W1068" s="10">
        <v>47</v>
      </c>
      <c r="X1068" s="10">
        <v>326</v>
      </c>
      <c r="Y1068" s="10">
        <v>19</v>
      </c>
      <c r="Z1068" s="10">
        <v>202</v>
      </c>
      <c r="AA1068" s="10">
        <v>0.41</v>
      </c>
      <c r="AB1068" s="10">
        <v>193</v>
      </c>
      <c r="AC1068" s="10">
        <v>198</v>
      </c>
      <c r="AD1068" s="10">
        <v>133</v>
      </c>
      <c r="AE1068" s="10">
        <v>6</v>
      </c>
      <c r="AF1068" s="10">
        <v>10.6</v>
      </c>
      <c r="AG1068" s="9" t="s">
        <v>188</v>
      </c>
      <c r="AH1068" s="9" t="s">
        <v>169</v>
      </c>
      <c r="AI1068" s="9" t="s">
        <v>185</v>
      </c>
      <c r="AJ1068" s="10"/>
      <c r="AK1068" s="30"/>
    </row>
    <row r="1069" spans="5:37">
      <c r="E1069" s="28" t="s">
        <v>155</v>
      </c>
      <c r="F1069" s="8" t="s">
        <v>208</v>
      </c>
      <c r="G1069" s="9" t="s">
        <v>435</v>
      </c>
      <c r="H1069" s="10">
        <v>165</v>
      </c>
      <c r="I1069" s="9" t="s">
        <v>158</v>
      </c>
      <c r="J1069" s="10">
        <v>165</v>
      </c>
      <c r="K1069" s="10">
        <v>165</v>
      </c>
      <c r="L1069" s="10">
        <v>119</v>
      </c>
      <c r="M1069" s="10">
        <v>140</v>
      </c>
      <c r="N1069" s="10">
        <v>125</v>
      </c>
      <c r="O1069" s="10">
        <v>87</v>
      </c>
      <c r="P1069" s="10">
        <v>112</v>
      </c>
      <c r="Q1069" s="10">
        <v>15</v>
      </c>
      <c r="R1069" s="10">
        <v>1453</v>
      </c>
      <c r="S1069" s="10">
        <v>1.1299999999999999</v>
      </c>
      <c r="T1069" s="10">
        <v>1638</v>
      </c>
      <c r="U1069" s="10">
        <v>150</v>
      </c>
      <c r="V1069" s="10">
        <v>78</v>
      </c>
      <c r="W1069" s="10">
        <v>48</v>
      </c>
      <c r="X1069" s="10">
        <v>295</v>
      </c>
      <c r="Y1069" s="10">
        <v>16</v>
      </c>
      <c r="Z1069" s="10">
        <v>161</v>
      </c>
      <c r="AA1069" s="10">
        <v>0.32900000000000001</v>
      </c>
      <c r="AB1069" s="10">
        <v>148</v>
      </c>
      <c r="AC1069" s="10">
        <v>100</v>
      </c>
      <c r="AD1069" s="10">
        <v>148</v>
      </c>
      <c r="AE1069" s="10">
        <v>5</v>
      </c>
      <c r="AF1069" s="10">
        <v>8.5</v>
      </c>
      <c r="AG1069" s="9" t="s">
        <v>188</v>
      </c>
      <c r="AH1069" s="9" t="s">
        <v>185</v>
      </c>
      <c r="AI1069" s="10"/>
      <c r="AJ1069" s="10"/>
      <c r="AK1069" s="30"/>
    </row>
    <row r="1070" spans="5:37">
      <c r="E1070" s="28" t="s">
        <v>155</v>
      </c>
      <c r="F1070" s="8" t="s">
        <v>208</v>
      </c>
      <c r="G1070" s="9" t="s">
        <v>435</v>
      </c>
      <c r="H1070" s="10">
        <v>172</v>
      </c>
      <c r="I1070" s="9" t="s">
        <v>158</v>
      </c>
      <c r="J1070" s="10">
        <v>172</v>
      </c>
      <c r="K1070" s="10">
        <v>171.9</v>
      </c>
      <c r="L1070" s="10">
        <v>127</v>
      </c>
      <c r="M1070" s="10">
        <v>146</v>
      </c>
      <c r="N1070" s="10">
        <v>126</v>
      </c>
      <c r="O1070" s="10">
        <v>87</v>
      </c>
      <c r="P1070" s="10">
        <v>112</v>
      </c>
      <c r="Q1070" s="10">
        <v>16.2</v>
      </c>
      <c r="R1070" s="10">
        <v>1588</v>
      </c>
      <c r="S1070" s="10">
        <v>1.08</v>
      </c>
      <c r="T1070" s="10">
        <v>1709</v>
      </c>
      <c r="U1070" s="10">
        <v>183</v>
      </c>
      <c r="V1070" s="10">
        <v>96</v>
      </c>
      <c r="W1070" s="10">
        <v>44</v>
      </c>
      <c r="X1070" s="10">
        <v>284</v>
      </c>
      <c r="Y1070" s="10">
        <v>16</v>
      </c>
      <c r="Z1070" s="10">
        <v>160</v>
      </c>
      <c r="AA1070" s="10">
        <v>0.35899999999999999</v>
      </c>
      <c r="AB1070" s="10">
        <v>147</v>
      </c>
      <c r="AC1070" s="10">
        <v>108</v>
      </c>
      <c r="AD1070" s="10">
        <v>138</v>
      </c>
      <c r="AE1070" s="10">
        <v>6</v>
      </c>
      <c r="AF1070" s="10">
        <v>9.6999999999999993</v>
      </c>
      <c r="AG1070" s="9" t="s">
        <v>188</v>
      </c>
      <c r="AH1070" s="9" t="s">
        <v>185</v>
      </c>
      <c r="AI1070" s="10"/>
      <c r="AJ1070" s="10"/>
      <c r="AK1070" s="30"/>
    </row>
    <row r="1071" spans="5:37">
      <c r="E1071" s="28" t="s">
        <v>155</v>
      </c>
      <c r="F1071" s="8" t="s">
        <v>208</v>
      </c>
      <c r="G1071" s="9" t="s">
        <v>435</v>
      </c>
      <c r="H1071" s="10">
        <v>179</v>
      </c>
      <c r="I1071" s="9" t="s">
        <v>158</v>
      </c>
      <c r="J1071" s="10">
        <v>179</v>
      </c>
      <c r="K1071" s="10">
        <v>179</v>
      </c>
      <c r="L1071" s="10">
        <v>135</v>
      </c>
      <c r="M1071" s="10">
        <v>154</v>
      </c>
      <c r="N1071" s="10">
        <v>126</v>
      </c>
      <c r="O1071" s="10">
        <v>87</v>
      </c>
      <c r="P1071" s="10">
        <v>113</v>
      </c>
      <c r="Q1071" s="10">
        <v>18.100000000000001</v>
      </c>
      <c r="R1071" s="10">
        <v>1635</v>
      </c>
      <c r="S1071" s="10">
        <v>1.0900000000000001</v>
      </c>
      <c r="T1071" s="10">
        <v>1784</v>
      </c>
      <c r="U1071" s="10">
        <v>191</v>
      </c>
      <c r="V1071" s="10">
        <v>101</v>
      </c>
      <c r="W1071" s="10">
        <v>44</v>
      </c>
      <c r="X1071" s="10">
        <v>282</v>
      </c>
      <c r="Y1071" s="10">
        <v>17</v>
      </c>
      <c r="Z1071" s="10">
        <v>155</v>
      </c>
      <c r="AA1071" s="10">
        <v>0.376</v>
      </c>
      <c r="AB1071" s="10">
        <v>146</v>
      </c>
      <c r="AC1071" s="10">
        <v>102</v>
      </c>
      <c r="AD1071" s="10">
        <v>136</v>
      </c>
      <c r="AE1071" s="10">
        <v>7</v>
      </c>
      <c r="AF1071" s="10">
        <v>10.3</v>
      </c>
      <c r="AG1071" s="9" t="s">
        <v>188</v>
      </c>
      <c r="AH1071" s="9" t="s">
        <v>185</v>
      </c>
      <c r="AI1071" s="10"/>
      <c r="AJ1071" s="10"/>
      <c r="AK1071" s="30"/>
    </row>
    <row r="1072" spans="5:37">
      <c r="E1072" s="28" t="s">
        <v>155</v>
      </c>
      <c r="F1072" s="8" t="s">
        <v>208</v>
      </c>
      <c r="G1072" s="9" t="s">
        <v>416</v>
      </c>
      <c r="H1072" s="10">
        <v>172</v>
      </c>
      <c r="I1072" s="9" t="s">
        <v>158</v>
      </c>
      <c r="J1072" s="10">
        <v>172</v>
      </c>
      <c r="K1072" s="10">
        <v>172.2</v>
      </c>
      <c r="L1072" s="10">
        <v>129</v>
      </c>
      <c r="M1072" s="10">
        <v>144</v>
      </c>
      <c r="N1072" s="10">
        <v>131</v>
      </c>
      <c r="O1072" s="10">
        <v>93</v>
      </c>
      <c r="P1072" s="10">
        <v>116</v>
      </c>
      <c r="Q1072" s="10">
        <v>16.399999999999999</v>
      </c>
      <c r="R1072" s="10">
        <v>1500</v>
      </c>
      <c r="S1072" s="10">
        <v>1.21</v>
      </c>
      <c r="T1072" s="10">
        <v>1811</v>
      </c>
      <c r="U1072" s="10">
        <v>146</v>
      </c>
      <c r="V1072" s="10">
        <v>77</v>
      </c>
      <c r="W1072" s="10">
        <v>48</v>
      </c>
      <c r="X1072" s="10">
        <v>277</v>
      </c>
      <c r="Y1072" s="10">
        <v>19</v>
      </c>
      <c r="Z1072" s="10">
        <v>155</v>
      </c>
      <c r="AA1072" s="10">
        <v>0.39400000000000002</v>
      </c>
      <c r="AB1072" s="10">
        <v>153</v>
      </c>
      <c r="AC1072" s="10">
        <v>126</v>
      </c>
      <c r="AD1072" s="10">
        <v>124</v>
      </c>
      <c r="AE1072" s="10">
        <v>7</v>
      </c>
      <c r="AF1072" s="10">
        <v>9.1999999999999993</v>
      </c>
      <c r="AG1072" s="9" t="s">
        <v>188</v>
      </c>
      <c r="AH1072" s="9" t="s">
        <v>185</v>
      </c>
      <c r="AI1072" s="10"/>
      <c r="AJ1072" s="10"/>
      <c r="AK1072" s="30"/>
    </row>
    <row r="1073" spans="5:37">
      <c r="E1073" s="28" t="s">
        <v>155</v>
      </c>
      <c r="F1073" s="8" t="s">
        <v>208</v>
      </c>
      <c r="G1073" s="9" t="s">
        <v>416</v>
      </c>
      <c r="H1073" s="10">
        <v>179</v>
      </c>
      <c r="I1073" s="9" t="s">
        <v>158</v>
      </c>
      <c r="J1073" s="10">
        <v>179</v>
      </c>
      <c r="K1073" s="10">
        <v>178.8</v>
      </c>
      <c r="L1073" s="10">
        <v>138</v>
      </c>
      <c r="M1073" s="10">
        <v>151</v>
      </c>
      <c r="N1073" s="10">
        <v>131</v>
      </c>
      <c r="O1073" s="10">
        <v>93</v>
      </c>
      <c r="P1073" s="10">
        <v>116</v>
      </c>
      <c r="Q1073" s="10">
        <v>18</v>
      </c>
      <c r="R1073" s="10">
        <v>1763</v>
      </c>
      <c r="S1073" s="10">
        <v>1.07</v>
      </c>
      <c r="T1073" s="10">
        <v>1883</v>
      </c>
      <c r="U1073" s="10">
        <v>196</v>
      </c>
      <c r="V1073" s="10">
        <v>93</v>
      </c>
      <c r="W1073" s="10">
        <v>42</v>
      </c>
      <c r="X1073" s="10">
        <v>280</v>
      </c>
      <c r="Y1073" s="10">
        <v>15</v>
      </c>
      <c r="Z1073" s="10">
        <v>129</v>
      </c>
      <c r="AA1073" s="10">
        <v>0.35699999999999998</v>
      </c>
      <c r="AB1073" s="10">
        <v>147</v>
      </c>
      <c r="AC1073" s="10">
        <v>127</v>
      </c>
      <c r="AD1073" s="10">
        <v>133</v>
      </c>
      <c r="AE1073" s="10">
        <v>9</v>
      </c>
      <c r="AF1073" s="10">
        <v>9.6</v>
      </c>
      <c r="AG1073" s="9" t="s">
        <v>188</v>
      </c>
      <c r="AH1073" s="9" t="s">
        <v>185</v>
      </c>
      <c r="AI1073" s="10"/>
      <c r="AJ1073" s="10"/>
      <c r="AK1073" s="30"/>
    </row>
    <row r="1074" spans="5:37">
      <c r="E1074" s="28" t="s">
        <v>155</v>
      </c>
      <c r="F1074" s="8" t="s">
        <v>208</v>
      </c>
      <c r="G1074" s="9" t="s">
        <v>416</v>
      </c>
      <c r="H1074" s="10">
        <v>186</v>
      </c>
      <c r="I1074" s="9" t="s">
        <v>158</v>
      </c>
      <c r="J1074" s="10">
        <v>186</v>
      </c>
      <c r="K1074" s="10">
        <v>185.7</v>
      </c>
      <c r="L1074" s="10">
        <v>147</v>
      </c>
      <c r="M1074" s="10">
        <v>161</v>
      </c>
      <c r="N1074" s="10">
        <v>131</v>
      </c>
      <c r="O1074" s="10">
        <v>93</v>
      </c>
      <c r="P1074" s="10">
        <v>116</v>
      </c>
      <c r="Q1074" s="10">
        <v>19.600000000000001</v>
      </c>
      <c r="R1074" s="10">
        <v>1736</v>
      </c>
      <c r="S1074" s="10">
        <v>1.1200000000000001</v>
      </c>
      <c r="T1074" s="10">
        <v>1952</v>
      </c>
      <c r="U1074" s="10">
        <v>191</v>
      </c>
      <c r="V1074" s="10">
        <v>102</v>
      </c>
      <c r="W1074" s="10">
        <v>45</v>
      </c>
      <c r="X1074" s="10">
        <v>252</v>
      </c>
      <c r="Y1074" s="10">
        <v>17</v>
      </c>
      <c r="Z1074" s="10">
        <v>133</v>
      </c>
      <c r="AA1074" s="10">
        <v>0.372</v>
      </c>
      <c r="AB1074" s="10">
        <v>135</v>
      </c>
      <c r="AC1074" s="10">
        <v>113</v>
      </c>
      <c r="AD1074" s="10">
        <v>117</v>
      </c>
      <c r="AE1074" s="10">
        <v>10</v>
      </c>
      <c r="AF1074" s="10">
        <v>9.9</v>
      </c>
      <c r="AG1074" s="9" t="s">
        <v>188</v>
      </c>
      <c r="AH1074" s="9" t="s">
        <v>185</v>
      </c>
      <c r="AI1074" s="10"/>
      <c r="AJ1074" s="10"/>
      <c r="AK1074" s="30"/>
    </row>
    <row r="1075" spans="5:37">
      <c r="E1075" s="28" t="s">
        <v>155</v>
      </c>
      <c r="F1075" s="8" t="s">
        <v>208</v>
      </c>
      <c r="G1075" s="9" t="s">
        <v>422</v>
      </c>
      <c r="H1075" s="10">
        <v>176</v>
      </c>
      <c r="I1075" s="9" t="s">
        <v>158</v>
      </c>
      <c r="J1075" s="10">
        <v>176</v>
      </c>
      <c r="K1075" s="10">
        <v>175</v>
      </c>
      <c r="L1075" s="10">
        <v>101</v>
      </c>
      <c r="M1075" s="10">
        <v>143</v>
      </c>
      <c r="N1075" s="10">
        <v>142</v>
      </c>
      <c r="O1075" s="10">
        <v>106</v>
      </c>
      <c r="P1075" s="10">
        <v>138</v>
      </c>
      <c r="Q1075" s="10">
        <v>14.9</v>
      </c>
      <c r="R1075" s="10">
        <v>1738</v>
      </c>
      <c r="S1075" s="10">
        <v>1.1599999999999999</v>
      </c>
      <c r="T1075" s="10">
        <v>2020</v>
      </c>
      <c r="U1075" s="10">
        <v>135</v>
      </c>
      <c r="V1075" s="10">
        <v>69</v>
      </c>
      <c r="W1075" s="10">
        <v>47</v>
      </c>
      <c r="X1075" s="10">
        <v>397</v>
      </c>
      <c r="Y1075" s="10">
        <v>47</v>
      </c>
      <c r="Z1075" s="10">
        <v>347</v>
      </c>
      <c r="AA1075" s="10">
        <v>1.004</v>
      </c>
      <c r="AB1075" s="10">
        <v>159</v>
      </c>
      <c r="AC1075" s="10">
        <v>161</v>
      </c>
      <c r="AD1075" s="10">
        <v>238</v>
      </c>
      <c r="AE1075" s="10">
        <v>3</v>
      </c>
      <c r="AF1075" s="10">
        <v>2.2999999999999998</v>
      </c>
      <c r="AG1075" s="9" t="s">
        <v>184</v>
      </c>
      <c r="AH1075" s="9" t="s">
        <v>169</v>
      </c>
      <c r="AI1075" s="9" t="s">
        <v>185</v>
      </c>
      <c r="AJ1075" s="10"/>
      <c r="AK1075" s="30"/>
    </row>
    <row r="1076" spans="5:37">
      <c r="E1076" s="28" t="s">
        <v>155</v>
      </c>
      <c r="F1076" s="8" t="s">
        <v>208</v>
      </c>
      <c r="G1076" s="9" t="s">
        <v>422</v>
      </c>
      <c r="H1076" s="10">
        <v>184</v>
      </c>
      <c r="I1076" s="9" t="s">
        <v>158</v>
      </c>
      <c r="J1076" s="10">
        <v>184</v>
      </c>
      <c r="K1076" s="10">
        <v>183.2</v>
      </c>
      <c r="L1076" s="10">
        <v>134</v>
      </c>
      <c r="M1076" s="10">
        <v>150</v>
      </c>
      <c r="N1076" s="10">
        <v>142</v>
      </c>
      <c r="O1076" s="10">
        <v>106</v>
      </c>
      <c r="P1076" s="10">
        <v>138</v>
      </c>
      <c r="Q1076" s="10">
        <v>16.600000000000001</v>
      </c>
      <c r="R1076" s="10">
        <v>1801</v>
      </c>
      <c r="S1076" s="10">
        <v>1.17</v>
      </c>
      <c r="T1076" s="10">
        <v>2110</v>
      </c>
      <c r="U1076" s="10">
        <v>155</v>
      </c>
      <c r="V1076" s="10">
        <v>85</v>
      </c>
      <c r="W1076" s="10">
        <v>40</v>
      </c>
      <c r="X1076" s="10">
        <v>303</v>
      </c>
      <c r="Y1076" s="10">
        <v>41</v>
      </c>
      <c r="Z1076" s="10">
        <v>191</v>
      </c>
      <c r="AA1076" s="10">
        <v>1.0249999999999999</v>
      </c>
      <c r="AB1076" s="10">
        <v>160</v>
      </c>
      <c r="AC1076" s="10">
        <v>176</v>
      </c>
      <c r="AD1076" s="10">
        <v>143</v>
      </c>
      <c r="AE1076" s="10">
        <v>7</v>
      </c>
      <c r="AF1076" s="10">
        <v>2.4</v>
      </c>
      <c r="AG1076" s="9" t="s">
        <v>184</v>
      </c>
      <c r="AH1076" s="9" t="s">
        <v>169</v>
      </c>
      <c r="AI1076" s="9" t="s">
        <v>185</v>
      </c>
      <c r="AJ1076" s="10"/>
      <c r="AK1076" s="30"/>
    </row>
    <row r="1077" spans="5:37">
      <c r="E1077" s="28" t="s">
        <v>155</v>
      </c>
      <c r="F1077" s="8" t="s">
        <v>208</v>
      </c>
      <c r="G1077" s="9" t="s">
        <v>422</v>
      </c>
      <c r="H1077" s="10">
        <v>190</v>
      </c>
      <c r="I1077" s="9" t="s">
        <v>158</v>
      </c>
      <c r="J1077" s="10">
        <v>190</v>
      </c>
      <c r="K1077" s="10">
        <v>188.8</v>
      </c>
      <c r="L1077" s="10">
        <v>135</v>
      </c>
      <c r="M1077" s="10">
        <v>157</v>
      </c>
      <c r="N1077" s="10">
        <v>142</v>
      </c>
      <c r="O1077" s="10">
        <v>106</v>
      </c>
      <c r="P1077" s="10">
        <v>138</v>
      </c>
      <c r="Q1077" s="10">
        <v>17.8</v>
      </c>
      <c r="R1077" s="10">
        <v>1910</v>
      </c>
      <c r="S1077" s="10">
        <v>1.1499999999999999</v>
      </c>
      <c r="T1077" s="10">
        <v>2188</v>
      </c>
      <c r="U1077" s="10">
        <v>177</v>
      </c>
      <c r="V1077" s="10">
        <v>95</v>
      </c>
      <c r="W1077" s="10">
        <v>44</v>
      </c>
      <c r="X1077" s="10">
        <v>346</v>
      </c>
      <c r="Y1077" s="10">
        <v>44</v>
      </c>
      <c r="Z1077" s="10">
        <v>190</v>
      </c>
      <c r="AA1077" s="10">
        <v>1.004</v>
      </c>
      <c r="AB1077" s="10">
        <v>157</v>
      </c>
      <c r="AC1077" s="10">
        <v>163</v>
      </c>
      <c r="AD1077" s="10">
        <v>189</v>
      </c>
      <c r="AE1077" s="10">
        <v>6</v>
      </c>
      <c r="AF1077" s="10">
        <v>4.0999999999999996</v>
      </c>
      <c r="AG1077" s="9" t="s">
        <v>184</v>
      </c>
      <c r="AH1077" s="9" t="s">
        <v>169</v>
      </c>
      <c r="AI1077" s="9" t="s">
        <v>185</v>
      </c>
      <c r="AJ1077" s="10"/>
      <c r="AK1077" s="30"/>
    </row>
    <row r="1078" spans="5:37">
      <c r="E1078" s="28" t="s">
        <v>155</v>
      </c>
      <c r="F1078" s="8" t="s">
        <v>208</v>
      </c>
      <c r="G1078" s="9" t="s">
        <v>384</v>
      </c>
      <c r="H1078" s="10">
        <v>155</v>
      </c>
      <c r="I1078" s="9" t="s">
        <v>385</v>
      </c>
      <c r="J1078" s="10">
        <v>155</v>
      </c>
      <c r="K1078" s="10">
        <v>152.30000000000001</v>
      </c>
      <c r="L1078" s="10">
        <v>76</v>
      </c>
      <c r="M1078" s="10">
        <v>119</v>
      </c>
      <c r="N1078" s="10">
        <v>132</v>
      </c>
      <c r="O1078" s="10">
        <v>106</v>
      </c>
      <c r="P1078" s="10">
        <v>129</v>
      </c>
      <c r="Q1078" s="10">
        <v>13.2</v>
      </c>
      <c r="R1078" s="10">
        <v>1682</v>
      </c>
      <c r="S1078" s="10">
        <v>1.05</v>
      </c>
      <c r="T1078" s="10">
        <v>1761</v>
      </c>
      <c r="U1078" s="10">
        <v>177</v>
      </c>
      <c r="V1078" s="10">
        <v>87</v>
      </c>
      <c r="W1078" s="10">
        <v>52</v>
      </c>
      <c r="X1078" s="10">
        <v>366</v>
      </c>
      <c r="Y1078" s="10">
        <v>50</v>
      </c>
      <c r="Z1078" s="10">
        <v>400</v>
      </c>
      <c r="AA1078" s="10">
        <v>0.95699999999999996</v>
      </c>
      <c r="AB1078" s="10">
        <v>179</v>
      </c>
      <c r="AC1078" s="10">
        <v>158</v>
      </c>
      <c r="AD1078" s="10">
        <v>186</v>
      </c>
      <c r="AE1078" s="10">
        <v>1</v>
      </c>
      <c r="AF1078" s="10">
        <v>3.5</v>
      </c>
      <c r="AG1078" s="9" t="s">
        <v>184</v>
      </c>
      <c r="AH1078" s="9" t="s">
        <v>169</v>
      </c>
      <c r="AI1078" s="10"/>
      <c r="AJ1078" s="10"/>
      <c r="AK1078" s="30"/>
    </row>
    <row r="1079" spans="5:37">
      <c r="E1079" s="28" t="s">
        <v>155</v>
      </c>
      <c r="F1079" s="8" t="s">
        <v>208</v>
      </c>
      <c r="G1079" s="9" t="s">
        <v>530</v>
      </c>
      <c r="H1079" s="10">
        <v>157</v>
      </c>
      <c r="I1079" s="9" t="s">
        <v>158</v>
      </c>
      <c r="J1079" s="10">
        <v>157</v>
      </c>
      <c r="K1079" s="10">
        <v>157.4</v>
      </c>
      <c r="L1079" s="10">
        <v>112</v>
      </c>
      <c r="M1079" s="10">
        <v>131</v>
      </c>
      <c r="N1079" s="10">
        <v>117</v>
      </c>
      <c r="O1079" s="10">
        <v>89</v>
      </c>
      <c r="P1079" s="10">
        <v>116</v>
      </c>
      <c r="Q1079" s="10">
        <v>14.6</v>
      </c>
      <c r="R1079" s="10">
        <v>1435</v>
      </c>
      <c r="S1079" s="10">
        <v>1.0900000000000001</v>
      </c>
      <c r="T1079" s="10">
        <v>1562</v>
      </c>
      <c r="U1079" s="10">
        <v>124</v>
      </c>
      <c r="V1079" s="10">
        <v>66</v>
      </c>
      <c r="W1079" s="10">
        <v>36</v>
      </c>
      <c r="X1079" s="10">
        <v>201</v>
      </c>
      <c r="Y1079" s="10">
        <v>39</v>
      </c>
      <c r="Z1079" s="10">
        <v>254</v>
      </c>
      <c r="AA1079" s="10">
        <v>1.095</v>
      </c>
      <c r="AB1079" s="10">
        <v>123</v>
      </c>
      <c r="AC1079" s="10">
        <v>141</v>
      </c>
      <c r="AD1079" s="10">
        <v>78</v>
      </c>
      <c r="AE1079" s="10">
        <v>5</v>
      </c>
      <c r="AF1079" s="10">
        <v>1.9</v>
      </c>
      <c r="AG1079" s="9" t="s">
        <v>184</v>
      </c>
      <c r="AH1079" s="9" t="s">
        <v>185</v>
      </c>
      <c r="AI1079" s="10"/>
      <c r="AJ1079" s="10"/>
      <c r="AK1079" s="30"/>
    </row>
    <row r="1080" spans="5:37">
      <c r="E1080" s="28" t="s">
        <v>155</v>
      </c>
      <c r="F1080" s="8" t="s">
        <v>208</v>
      </c>
      <c r="G1080" s="9" t="s">
        <v>530</v>
      </c>
      <c r="H1080" s="10">
        <v>164</v>
      </c>
      <c r="I1080" s="9" t="s">
        <v>158</v>
      </c>
      <c r="J1080" s="10">
        <v>164</v>
      </c>
      <c r="K1080" s="10">
        <v>164.1</v>
      </c>
      <c r="L1080" s="10">
        <v>118</v>
      </c>
      <c r="M1080" s="10">
        <v>138</v>
      </c>
      <c r="N1080" s="10">
        <v>117</v>
      </c>
      <c r="O1080" s="10">
        <v>89</v>
      </c>
      <c r="P1080" s="10">
        <v>116</v>
      </c>
      <c r="Q1080" s="10">
        <v>16.3</v>
      </c>
      <c r="R1080" s="10">
        <v>1518</v>
      </c>
      <c r="S1080" s="10">
        <v>1.07</v>
      </c>
      <c r="T1080" s="10">
        <v>1627</v>
      </c>
      <c r="U1080" s="10">
        <v>163</v>
      </c>
      <c r="V1080" s="10">
        <v>72</v>
      </c>
      <c r="W1080" s="10">
        <v>38</v>
      </c>
      <c r="X1080" s="10">
        <v>229</v>
      </c>
      <c r="Y1080" s="10">
        <v>37</v>
      </c>
      <c r="Z1080" s="10">
        <v>234</v>
      </c>
      <c r="AA1080" s="10">
        <v>0.98599999999999999</v>
      </c>
      <c r="AB1080" s="10">
        <v>123</v>
      </c>
      <c r="AC1080" s="10">
        <v>134</v>
      </c>
      <c r="AD1080" s="10">
        <v>106</v>
      </c>
      <c r="AE1080" s="10">
        <v>5</v>
      </c>
      <c r="AF1080" s="10">
        <v>2.4</v>
      </c>
      <c r="AG1080" s="9" t="s">
        <v>184</v>
      </c>
      <c r="AH1080" s="9" t="s">
        <v>185</v>
      </c>
      <c r="AI1080" s="10"/>
      <c r="AJ1080" s="10"/>
      <c r="AK1080" s="30"/>
    </row>
    <row r="1081" spans="5:37">
      <c r="E1081" s="28" t="s">
        <v>155</v>
      </c>
      <c r="F1081" s="8" t="s">
        <v>208</v>
      </c>
      <c r="G1081" s="9" t="s">
        <v>530</v>
      </c>
      <c r="H1081" s="10">
        <v>171</v>
      </c>
      <c r="I1081" s="9" t="s">
        <v>158</v>
      </c>
      <c r="J1081" s="10">
        <v>171</v>
      </c>
      <c r="K1081" s="10">
        <v>171.1</v>
      </c>
      <c r="L1081" s="10">
        <v>126</v>
      </c>
      <c r="M1081" s="10">
        <v>144</v>
      </c>
      <c r="N1081" s="10">
        <v>116</v>
      </c>
      <c r="O1081" s="10">
        <v>89</v>
      </c>
      <c r="P1081" s="10">
        <v>116</v>
      </c>
      <c r="Q1081" s="10">
        <v>18.399999999999999</v>
      </c>
      <c r="R1081" s="10">
        <v>1633</v>
      </c>
      <c r="S1081" s="10">
        <v>1.04</v>
      </c>
      <c r="T1081" s="10">
        <v>1696</v>
      </c>
      <c r="U1081" s="10">
        <v>153</v>
      </c>
      <c r="V1081" s="10">
        <v>81</v>
      </c>
      <c r="W1081" s="10">
        <v>46</v>
      </c>
      <c r="X1081" s="10">
        <v>225</v>
      </c>
      <c r="Y1081" s="10">
        <v>41</v>
      </c>
      <c r="Z1081" s="10">
        <v>222</v>
      </c>
      <c r="AA1081" s="10">
        <v>0.89500000000000002</v>
      </c>
      <c r="AB1081" s="10">
        <v>130</v>
      </c>
      <c r="AC1081" s="10">
        <v>145</v>
      </c>
      <c r="AD1081" s="10">
        <v>95</v>
      </c>
      <c r="AE1081" s="10">
        <v>7</v>
      </c>
      <c r="AF1081" s="10">
        <v>1.8</v>
      </c>
      <c r="AG1081" s="9" t="s">
        <v>184</v>
      </c>
      <c r="AH1081" s="10"/>
      <c r="AI1081" s="10"/>
      <c r="AJ1081" s="10"/>
      <c r="AK1081" s="30"/>
    </row>
    <row r="1082" spans="5:37">
      <c r="E1082" s="28" t="s">
        <v>155</v>
      </c>
      <c r="F1082" s="8" t="s">
        <v>208</v>
      </c>
      <c r="G1082" s="9" t="s">
        <v>530</v>
      </c>
      <c r="H1082" s="10">
        <v>178</v>
      </c>
      <c r="I1082" s="9" t="s">
        <v>158</v>
      </c>
      <c r="J1082" s="10">
        <v>178</v>
      </c>
      <c r="K1082" s="10">
        <v>177.7</v>
      </c>
      <c r="L1082" s="10">
        <v>131</v>
      </c>
      <c r="M1082" s="10">
        <v>151</v>
      </c>
      <c r="N1082" s="10">
        <v>117</v>
      </c>
      <c r="O1082" s="10">
        <v>89</v>
      </c>
      <c r="P1082" s="10">
        <v>116</v>
      </c>
      <c r="Q1082" s="10">
        <v>19.899999999999999</v>
      </c>
      <c r="R1082" s="10">
        <v>1752</v>
      </c>
      <c r="S1082" s="10">
        <v>1.01</v>
      </c>
      <c r="T1082" s="10">
        <v>1763</v>
      </c>
      <c r="U1082" s="10">
        <v>200</v>
      </c>
      <c r="V1082" s="10">
        <v>91</v>
      </c>
      <c r="W1082" s="10">
        <v>42</v>
      </c>
      <c r="X1082" s="10">
        <v>235</v>
      </c>
      <c r="Y1082" s="10">
        <v>44</v>
      </c>
      <c r="Z1082" s="10">
        <v>228</v>
      </c>
      <c r="AA1082" s="10">
        <v>1.0309999999999999</v>
      </c>
      <c r="AB1082" s="10">
        <v>125</v>
      </c>
      <c r="AC1082" s="10">
        <v>139</v>
      </c>
      <c r="AD1082" s="10">
        <v>110</v>
      </c>
      <c r="AE1082" s="10">
        <v>8</v>
      </c>
      <c r="AF1082" s="10">
        <v>2.4</v>
      </c>
      <c r="AG1082" s="9" t="s">
        <v>184</v>
      </c>
      <c r="AH1082" s="10"/>
      <c r="AI1082" s="10"/>
      <c r="AJ1082" s="10"/>
      <c r="AK1082" s="30"/>
    </row>
    <row r="1083" spans="5:37">
      <c r="E1083" s="28" t="s">
        <v>155</v>
      </c>
      <c r="F1083" s="8" t="s">
        <v>208</v>
      </c>
      <c r="G1083" s="9" t="s">
        <v>338</v>
      </c>
      <c r="H1083" s="10">
        <v>175</v>
      </c>
      <c r="I1083" s="9" t="s">
        <v>158</v>
      </c>
      <c r="J1083" s="10">
        <v>175</v>
      </c>
      <c r="K1083" s="10">
        <v>174.6</v>
      </c>
      <c r="L1083" s="10">
        <v>91</v>
      </c>
      <c r="M1083" s="10">
        <v>141</v>
      </c>
      <c r="N1083" s="10">
        <v>141</v>
      </c>
      <c r="O1083" s="10">
        <v>107</v>
      </c>
      <c r="P1083" s="10">
        <v>127</v>
      </c>
      <c r="Q1083" s="10">
        <v>17.3</v>
      </c>
      <c r="R1083" s="10">
        <v>1517</v>
      </c>
      <c r="S1083" s="10">
        <v>1.35</v>
      </c>
      <c r="T1083" s="10">
        <v>2043</v>
      </c>
      <c r="U1083" s="10">
        <v>188</v>
      </c>
      <c r="V1083" s="10">
        <v>81</v>
      </c>
      <c r="W1083" s="10">
        <v>52</v>
      </c>
      <c r="X1083" s="10">
        <v>460</v>
      </c>
      <c r="Y1083" s="10">
        <v>34</v>
      </c>
      <c r="Z1083" s="10">
        <v>378</v>
      </c>
      <c r="AA1083" s="10">
        <v>0.65400000000000003</v>
      </c>
      <c r="AB1083" s="10">
        <v>173</v>
      </c>
      <c r="AC1083" s="10">
        <v>168</v>
      </c>
      <c r="AD1083" s="10">
        <v>287</v>
      </c>
      <c r="AE1083" s="10">
        <v>2</v>
      </c>
      <c r="AF1083" s="10">
        <v>6.4</v>
      </c>
      <c r="AG1083" s="9" t="s">
        <v>169</v>
      </c>
      <c r="AH1083" s="9" t="s">
        <v>185</v>
      </c>
      <c r="AI1083" s="9" t="s">
        <v>198</v>
      </c>
      <c r="AJ1083" s="10"/>
      <c r="AK1083" s="30"/>
    </row>
    <row r="1084" spans="5:37">
      <c r="E1084" s="28" t="s">
        <v>155</v>
      </c>
      <c r="F1084" s="8" t="s">
        <v>208</v>
      </c>
      <c r="G1084" s="9" t="s">
        <v>338</v>
      </c>
      <c r="H1084" s="10">
        <v>183</v>
      </c>
      <c r="I1084" s="9" t="s">
        <v>158</v>
      </c>
      <c r="J1084" s="10">
        <v>183</v>
      </c>
      <c r="K1084" s="10">
        <v>181.7</v>
      </c>
      <c r="L1084" s="10">
        <v>97</v>
      </c>
      <c r="M1084" s="10">
        <v>148</v>
      </c>
      <c r="N1084" s="10">
        <v>141</v>
      </c>
      <c r="O1084" s="10">
        <v>107</v>
      </c>
      <c r="P1084" s="10">
        <v>127</v>
      </c>
      <c r="Q1084" s="10">
        <v>19</v>
      </c>
      <c r="R1084" s="10">
        <v>1627</v>
      </c>
      <c r="S1084" s="10">
        <v>1.31</v>
      </c>
      <c r="T1084" s="10">
        <v>2125</v>
      </c>
      <c r="U1084" s="10">
        <v>186</v>
      </c>
      <c r="V1084" s="10">
        <v>92</v>
      </c>
      <c r="W1084" s="10">
        <v>55</v>
      </c>
      <c r="X1084" s="10">
        <v>465</v>
      </c>
      <c r="Y1084" s="10">
        <v>35</v>
      </c>
      <c r="Z1084" s="10">
        <v>380</v>
      </c>
      <c r="AA1084" s="10">
        <v>0.64300000000000002</v>
      </c>
      <c r="AB1084" s="10">
        <v>164</v>
      </c>
      <c r="AC1084" s="10">
        <v>173</v>
      </c>
      <c r="AD1084" s="10">
        <v>302</v>
      </c>
      <c r="AE1084" s="10">
        <v>3</v>
      </c>
      <c r="AF1084" s="10">
        <v>6.8</v>
      </c>
      <c r="AG1084" s="9" t="s">
        <v>169</v>
      </c>
      <c r="AH1084" s="9" t="s">
        <v>185</v>
      </c>
      <c r="AI1084" s="9" t="s">
        <v>198</v>
      </c>
      <c r="AJ1084" s="10"/>
      <c r="AK1084" s="30"/>
    </row>
    <row r="1085" spans="5:37">
      <c r="E1085" s="28" t="s">
        <v>155</v>
      </c>
      <c r="F1085" s="8" t="s">
        <v>208</v>
      </c>
      <c r="G1085" s="9" t="s">
        <v>414</v>
      </c>
      <c r="H1085" s="10">
        <v>175</v>
      </c>
      <c r="I1085" s="9" t="s">
        <v>158</v>
      </c>
      <c r="J1085" s="10">
        <v>175</v>
      </c>
      <c r="K1085" s="10">
        <v>175.3</v>
      </c>
      <c r="L1085" s="10">
        <v>85</v>
      </c>
      <c r="M1085" s="10">
        <v>140</v>
      </c>
      <c r="N1085" s="10">
        <v>151</v>
      </c>
      <c r="O1085" s="10">
        <v>117</v>
      </c>
      <c r="P1085" s="10">
        <v>137</v>
      </c>
      <c r="Q1085" s="10">
        <v>17.2</v>
      </c>
      <c r="R1085" s="10">
        <v>1758</v>
      </c>
      <c r="S1085" s="10">
        <v>1.26</v>
      </c>
      <c r="T1085" s="10">
        <v>2223</v>
      </c>
      <c r="U1085" s="10">
        <v>175</v>
      </c>
      <c r="V1085" s="10">
        <v>92</v>
      </c>
      <c r="W1085" s="10">
        <v>52</v>
      </c>
      <c r="X1085" s="10">
        <v>495</v>
      </c>
      <c r="Y1085" s="10">
        <v>34</v>
      </c>
      <c r="Z1085" s="10">
        <v>411</v>
      </c>
      <c r="AA1085" s="10">
        <v>0.63900000000000001</v>
      </c>
      <c r="AB1085" s="10">
        <v>180</v>
      </c>
      <c r="AC1085" s="10">
        <v>177</v>
      </c>
      <c r="AD1085" s="10">
        <v>315</v>
      </c>
      <c r="AE1085" s="10">
        <v>3</v>
      </c>
      <c r="AF1085" s="10">
        <v>6.7</v>
      </c>
      <c r="AG1085" s="9" t="s">
        <v>169</v>
      </c>
      <c r="AH1085" s="9" t="s">
        <v>185</v>
      </c>
      <c r="AI1085" s="9" t="s">
        <v>198</v>
      </c>
      <c r="AJ1085" s="10"/>
      <c r="AK1085" s="30"/>
    </row>
    <row r="1086" spans="5:37">
      <c r="E1086" s="28" t="s">
        <v>155</v>
      </c>
      <c r="F1086" s="8" t="s">
        <v>208</v>
      </c>
      <c r="G1086" s="9" t="s">
        <v>414</v>
      </c>
      <c r="H1086" s="10">
        <v>183</v>
      </c>
      <c r="I1086" s="9" t="s">
        <v>158</v>
      </c>
      <c r="J1086" s="10">
        <v>183</v>
      </c>
      <c r="K1086" s="10">
        <v>182.6</v>
      </c>
      <c r="L1086" s="10">
        <v>102</v>
      </c>
      <c r="M1086" s="10">
        <v>147</v>
      </c>
      <c r="N1086" s="10">
        <v>151</v>
      </c>
      <c r="O1086" s="10">
        <v>117</v>
      </c>
      <c r="P1086" s="10">
        <v>137</v>
      </c>
      <c r="Q1086" s="10">
        <v>19.100000000000001</v>
      </c>
      <c r="R1086" s="10">
        <v>1854</v>
      </c>
      <c r="S1086" s="10">
        <v>1.25</v>
      </c>
      <c r="T1086" s="10">
        <v>2318</v>
      </c>
      <c r="U1086" s="10">
        <v>210</v>
      </c>
      <c r="V1086" s="10">
        <v>102</v>
      </c>
      <c r="W1086" s="10">
        <v>56</v>
      </c>
      <c r="X1086" s="10">
        <v>430</v>
      </c>
      <c r="Y1086" s="10">
        <v>37</v>
      </c>
      <c r="Z1086" s="10">
        <v>376</v>
      </c>
      <c r="AA1086" s="10">
        <v>0.65700000000000003</v>
      </c>
      <c r="AB1086" s="10">
        <v>177</v>
      </c>
      <c r="AC1086" s="10">
        <v>179</v>
      </c>
      <c r="AD1086" s="10">
        <v>252</v>
      </c>
      <c r="AE1086" s="10">
        <v>3</v>
      </c>
      <c r="AF1086" s="10">
        <v>6.1</v>
      </c>
      <c r="AG1086" s="9" t="s">
        <v>169</v>
      </c>
      <c r="AH1086" s="9" t="s">
        <v>185</v>
      </c>
      <c r="AI1086" s="9" t="s">
        <v>198</v>
      </c>
      <c r="AJ1086" s="10"/>
      <c r="AK1086" s="30"/>
    </row>
    <row r="1087" spans="5:37">
      <c r="E1087" s="28" t="s">
        <v>155</v>
      </c>
      <c r="F1087" s="8" t="s">
        <v>208</v>
      </c>
      <c r="G1087" s="9" t="s">
        <v>414</v>
      </c>
      <c r="H1087" s="10">
        <v>189</v>
      </c>
      <c r="I1087" s="9" t="s">
        <v>158</v>
      </c>
      <c r="J1087" s="10">
        <v>189</v>
      </c>
      <c r="K1087" s="10">
        <v>188.4</v>
      </c>
      <c r="L1087" s="10">
        <v>114</v>
      </c>
      <c r="M1087" s="10">
        <v>153</v>
      </c>
      <c r="N1087" s="10">
        <v>151</v>
      </c>
      <c r="O1087" s="10">
        <v>117</v>
      </c>
      <c r="P1087" s="10">
        <v>137</v>
      </c>
      <c r="Q1087" s="10">
        <v>20.5</v>
      </c>
      <c r="R1087" s="10">
        <v>1974</v>
      </c>
      <c r="S1087" s="10">
        <v>1.21</v>
      </c>
      <c r="T1087" s="10">
        <v>2392</v>
      </c>
      <c r="U1087" s="10">
        <v>247</v>
      </c>
      <c r="V1087" s="10">
        <v>112</v>
      </c>
      <c r="W1087" s="10">
        <v>52</v>
      </c>
      <c r="X1087" s="10">
        <v>384</v>
      </c>
      <c r="Y1087" s="10">
        <v>33</v>
      </c>
      <c r="Z1087" s="10">
        <v>362</v>
      </c>
      <c r="AA1087" s="10">
        <v>0.63900000000000001</v>
      </c>
      <c r="AB1087" s="10">
        <v>172</v>
      </c>
      <c r="AC1087" s="10">
        <v>181</v>
      </c>
      <c r="AD1087" s="10">
        <v>212</v>
      </c>
      <c r="AE1087" s="10">
        <v>3</v>
      </c>
      <c r="AF1087" s="10">
        <v>7.4</v>
      </c>
      <c r="AG1087" s="9" t="s">
        <v>169</v>
      </c>
      <c r="AH1087" s="9" t="s">
        <v>185</v>
      </c>
      <c r="AI1087" s="10"/>
      <c r="AJ1087" s="10"/>
      <c r="AK1087" s="30"/>
    </row>
    <row r="1088" spans="5:37">
      <c r="E1088" s="28" t="s">
        <v>155</v>
      </c>
      <c r="F1088" s="8" t="s">
        <v>208</v>
      </c>
      <c r="G1088" s="9" t="s">
        <v>209</v>
      </c>
      <c r="H1088" s="10">
        <v>172</v>
      </c>
      <c r="I1088" s="9" t="s">
        <v>158</v>
      </c>
      <c r="J1088" s="10">
        <v>172</v>
      </c>
      <c r="K1088" s="10">
        <v>171.9</v>
      </c>
      <c r="L1088" s="10">
        <v>111</v>
      </c>
      <c r="M1088" s="10">
        <v>138</v>
      </c>
      <c r="N1088" s="10">
        <v>130</v>
      </c>
      <c r="O1088" s="10">
        <v>97</v>
      </c>
      <c r="P1088" s="10">
        <v>117</v>
      </c>
      <c r="Q1088" s="10">
        <v>16.5</v>
      </c>
      <c r="R1088" s="10">
        <v>1347</v>
      </c>
      <c r="S1088" s="10">
        <v>1.37</v>
      </c>
      <c r="T1088" s="10">
        <v>1840</v>
      </c>
      <c r="U1088" s="10">
        <v>156</v>
      </c>
      <c r="V1088" s="10">
        <v>64</v>
      </c>
      <c r="W1088" s="10">
        <v>51</v>
      </c>
      <c r="X1088" s="10">
        <v>333</v>
      </c>
      <c r="Y1088" s="10">
        <v>33</v>
      </c>
      <c r="Z1088" s="10">
        <v>280</v>
      </c>
      <c r="AA1088" s="10">
        <v>0.65</v>
      </c>
      <c r="AB1088" s="10">
        <v>167</v>
      </c>
      <c r="AC1088" s="10">
        <v>173</v>
      </c>
      <c r="AD1088" s="10">
        <v>166</v>
      </c>
      <c r="AE1088" s="10">
        <v>4</v>
      </c>
      <c r="AF1088" s="10">
        <v>6.3</v>
      </c>
      <c r="AG1088" s="9" t="s">
        <v>185</v>
      </c>
      <c r="AH1088" s="9" t="s">
        <v>198</v>
      </c>
      <c r="AI1088" s="10"/>
      <c r="AJ1088" s="10"/>
      <c r="AK1088" s="30"/>
    </row>
    <row r="1089" spans="5:37">
      <c r="E1089" s="28" t="s">
        <v>155</v>
      </c>
      <c r="F1089" s="8" t="s">
        <v>208</v>
      </c>
      <c r="G1089" s="9" t="s">
        <v>209</v>
      </c>
      <c r="H1089" s="10">
        <v>179</v>
      </c>
      <c r="I1089" s="9" t="s">
        <v>158</v>
      </c>
      <c r="J1089" s="10">
        <v>179</v>
      </c>
      <c r="K1089" s="10">
        <v>178.3</v>
      </c>
      <c r="L1089" s="10">
        <v>117</v>
      </c>
      <c r="M1089" s="10">
        <v>145</v>
      </c>
      <c r="N1089" s="10">
        <v>130</v>
      </c>
      <c r="O1089" s="10">
        <v>97</v>
      </c>
      <c r="P1089" s="10">
        <v>117</v>
      </c>
      <c r="Q1089" s="10">
        <v>18.100000000000001</v>
      </c>
      <c r="R1089" s="10">
        <v>1452</v>
      </c>
      <c r="S1089" s="10">
        <v>1.32</v>
      </c>
      <c r="T1089" s="10">
        <v>1910</v>
      </c>
      <c r="U1089" s="10">
        <v>192</v>
      </c>
      <c r="V1089" s="10">
        <v>80</v>
      </c>
      <c r="W1089" s="10">
        <v>52</v>
      </c>
      <c r="X1089" s="10">
        <v>341</v>
      </c>
      <c r="Y1089" s="10">
        <v>32</v>
      </c>
      <c r="Z1089" s="10">
        <v>271</v>
      </c>
      <c r="AA1089" s="10">
        <v>0.61899999999999999</v>
      </c>
      <c r="AB1089" s="10">
        <v>165</v>
      </c>
      <c r="AC1089" s="10">
        <v>171</v>
      </c>
      <c r="AD1089" s="10">
        <v>176</v>
      </c>
      <c r="AE1089" s="10">
        <v>5</v>
      </c>
      <c r="AF1089" s="10">
        <v>6.3</v>
      </c>
      <c r="AG1089" s="9" t="s">
        <v>185</v>
      </c>
      <c r="AH1089" s="9" t="s">
        <v>198</v>
      </c>
      <c r="AI1089" s="10"/>
      <c r="AJ1089" s="10"/>
      <c r="AK1089" s="30"/>
    </row>
    <row r="1090" spans="5:37">
      <c r="E1090" s="28" t="s">
        <v>155</v>
      </c>
      <c r="F1090" s="8" t="s">
        <v>208</v>
      </c>
      <c r="G1090" s="9" t="s">
        <v>209</v>
      </c>
      <c r="H1090" s="10">
        <v>186</v>
      </c>
      <c r="I1090" s="9" t="s">
        <v>158</v>
      </c>
      <c r="J1090" s="10">
        <v>186</v>
      </c>
      <c r="K1090" s="10">
        <v>185.2</v>
      </c>
      <c r="L1090" s="10">
        <v>112</v>
      </c>
      <c r="M1090" s="10">
        <v>151</v>
      </c>
      <c r="N1090" s="10">
        <v>130</v>
      </c>
      <c r="O1090" s="10">
        <v>97</v>
      </c>
      <c r="P1090" s="10">
        <v>117</v>
      </c>
      <c r="Q1090" s="10">
        <v>19.8</v>
      </c>
      <c r="R1090" s="10">
        <v>1531</v>
      </c>
      <c r="S1090" s="10">
        <v>1.29</v>
      </c>
      <c r="T1090" s="10">
        <v>1982</v>
      </c>
      <c r="U1090" s="10">
        <v>202</v>
      </c>
      <c r="V1090" s="10">
        <v>88</v>
      </c>
      <c r="W1090" s="10">
        <v>52</v>
      </c>
      <c r="X1090" s="10">
        <v>383</v>
      </c>
      <c r="Y1090" s="10">
        <v>35</v>
      </c>
      <c r="Z1090" s="10">
        <v>349</v>
      </c>
      <c r="AA1090" s="10">
        <v>0.66500000000000004</v>
      </c>
      <c r="AB1090" s="10">
        <v>168</v>
      </c>
      <c r="AC1090" s="10">
        <v>176</v>
      </c>
      <c r="AD1090" s="10">
        <v>215</v>
      </c>
      <c r="AE1090" s="10">
        <v>5</v>
      </c>
      <c r="AF1090" s="10">
        <v>6.6</v>
      </c>
      <c r="AG1090" s="9" t="s">
        <v>185</v>
      </c>
      <c r="AH1090" s="9" t="s">
        <v>198</v>
      </c>
      <c r="AI1090" s="10"/>
      <c r="AJ1090" s="10"/>
      <c r="AK1090" s="30"/>
    </row>
    <row r="1091" spans="5:37">
      <c r="E1091" s="28" t="s">
        <v>155</v>
      </c>
      <c r="F1091" s="8" t="s">
        <v>332</v>
      </c>
      <c r="G1091" s="9" t="s">
        <v>828</v>
      </c>
      <c r="H1091" s="10">
        <v>156</v>
      </c>
      <c r="I1091" s="9" t="s">
        <v>163</v>
      </c>
      <c r="J1091" s="10">
        <v>156</v>
      </c>
      <c r="K1091" s="10">
        <v>155.6</v>
      </c>
      <c r="L1091" s="10">
        <v>133</v>
      </c>
      <c r="M1091" s="10">
        <v>140</v>
      </c>
      <c r="N1091" s="10">
        <v>119</v>
      </c>
      <c r="O1091" s="10">
        <v>71</v>
      </c>
      <c r="P1091" s="10">
        <v>98</v>
      </c>
      <c r="Q1091" s="10">
        <v>12.7</v>
      </c>
      <c r="R1091" s="10">
        <v>1661</v>
      </c>
      <c r="S1091" s="10">
        <v>0.8</v>
      </c>
      <c r="T1091" s="10">
        <v>1327</v>
      </c>
      <c r="U1091" s="10">
        <v>156</v>
      </c>
      <c r="V1091" s="10">
        <v>53</v>
      </c>
      <c r="W1091" s="10">
        <v>36</v>
      </c>
      <c r="X1091" s="10">
        <v>144</v>
      </c>
      <c r="Y1091" s="10">
        <v>9</v>
      </c>
      <c r="Z1091" s="10">
        <v>86</v>
      </c>
      <c r="AA1091" s="10">
        <v>0.246</v>
      </c>
      <c r="AB1091" s="10">
        <v>65</v>
      </c>
      <c r="AC1091" s="10">
        <v>86</v>
      </c>
      <c r="AD1091" s="10">
        <v>79</v>
      </c>
      <c r="AE1091" s="10">
        <v>9</v>
      </c>
      <c r="AF1091" s="10">
        <v>9.3000000000000007</v>
      </c>
      <c r="AG1091" s="9" t="s">
        <v>349</v>
      </c>
      <c r="AH1091" s="10"/>
      <c r="AI1091" s="10"/>
      <c r="AJ1091" s="10"/>
      <c r="AK1091" s="30"/>
    </row>
    <row r="1092" spans="5:37">
      <c r="E1092" s="28" t="s">
        <v>155</v>
      </c>
      <c r="F1092" s="8" t="s">
        <v>332</v>
      </c>
      <c r="G1092" s="9" t="s">
        <v>828</v>
      </c>
      <c r="H1092" s="10">
        <v>162</v>
      </c>
      <c r="I1092" s="9" t="s">
        <v>163</v>
      </c>
      <c r="J1092" s="10">
        <v>162</v>
      </c>
      <c r="K1092" s="10">
        <v>161.30000000000001</v>
      </c>
      <c r="L1092" s="10">
        <v>137</v>
      </c>
      <c r="M1092" s="10">
        <v>146</v>
      </c>
      <c r="N1092" s="10">
        <v>120</v>
      </c>
      <c r="O1092" s="10">
        <v>71</v>
      </c>
      <c r="P1092" s="10">
        <v>99</v>
      </c>
      <c r="Q1092" s="10">
        <v>13.5</v>
      </c>
      <c r="R1092" s="10">
        <v>1813</v>
      </c>
      <c r="S1092" s="10">
        <v>0.76</v>
      </c>
      <c r="T1092" s="10">
        <v>1384</v>
      </c>
      <c r="U1092" s="10">
        <v>190</v>
      </c>
      <c r="V1092" s="10">
        <v>63</v>
      </c>
      <c r="W1092" s="10">
        <v>39</v>
      </c>
      <c r="X1092" s="10">
        <v>164</v>
      </c>
      <c r="Y1092" s="10">
        <v>8</v>
      </c>
      <c r="Z1092" s="10">
        <v>84</v>
      </c>
      <c r="AA1092" s="10">
        <v>0.214</v>
      </c>
      <c r="AB1092" s="10">
        <v>64</v>
      </c>
      <c r="AC1092" s="10">
        <v>86</v>
      </c>
      <c r="AD1092" s="10">
        <v>99</v>
      </c>
      <c r="AE1092" s="10">
        <v>8</v>
      </c>
      <c r="AF1092" s="10">
        <v>9.1</v>
      </c>
      <c r="AG1092" s="9" t="s">
        <v>349</v>
      </c>
      <c r="AH1092" s="10"/>
      <c r="AI1092" s="10"/>
      <c r="AJ1092" s="10"/>
      <c r="AK1092" s="30"/>
    </row>
    <row r="1093" spans="5:37">
      <c r="E1093" s="28" t="s">
        <v>155</v>
      </c>
      <c r="F1093" s="8" t="s">
        <v>332</v>
      </c>
      <c r="G1093" s="9" t="s">
        <v>738</v>
      </c>
      <c r="H1093" s="10">
        <v>144</v>
      </c>
      <c r="I1093" s="9" t="s">
        <v>163</v>
      </c>
      <c r="J1093" s="10">
        <v>144</v>
      </c>
      <c r="K1093" s="10">
        <v>143.19999999999999</v>
      </c>
      <c r="L1093" s="10">
        <v>119</v>
      </c>
      <c r="M1093" s="10">
        <v>129</v>
      </c>
      <c r="N1093" s="10">
        <v>119</v>
      </c>
      <c r="O1093" s="10">
        <v>72</v>
      </c>
      <c r="P1093" s="10">
        <v>96</v>
      </c>
      <c r="Q1093" s="10">
        <v>11.7</v>
      </c>
      <c r="R1093" s="10">
        <v>1520</v>
      </c>
      <c r="S1093" s="10">
        <v>0.8</v>
      </c>
      <c r="T1093" s="10">
        <v>1224</v>
      </c>
      <c r="U1093" s="10">
        <v>131</v>
      </c>
      <c r="V1093" s="10">
        <v>54</v>
      </c>
      <c r="W1093" s="10">
        <v>38</v>
      </c>
      <c r="X1093" s="10">
        <v>147</v>
      </c>
      <c r="Y1093" s="10">
        <v>9</v>
      </c>
      <c r="Z1093" s="10">
        <v>91</v>
      </c>
      <c r="AA1093" s="10">
        <v>0.248</v>
      </c>
      <c r="AB1093" s="10">
        <v>66</v>
      </c>
      <c r="AC1093" s="10">
        <v>79</v>
      </c>
      <c r="AD1093" s="10">
        <v>81</v>
      </c>
      <c r="AE1093" s="10">
        <v>7</v>
      </c>
      <c r="AF1093" s="10">
        <v>9.3000000000000007</v>
      </c>
      <c r="AG1093" s="9" t="s">
        <v>231</v>
      </c>
      <c r="AH1093" s="10"/>
      <c r="AI1093" s="10"/>
      <c r="AJ1093" s="10"/>
      <c r="AK1093" s="30"/>
    </row>
    <row r="1094" spans="5:37">
      <c r="E1094" s="28" t="s">
        <v>155</v>
      </c>
      <c r="F1094" s="8" t="s">
        <v>332</v>
      </c>
      <c r="G1094" s="9" t="s">
        <v>738</v>
      </c>
      <c r="H1094" s="10">
        <v>150</v>
      </c>
      <c r="I1094" s="9" t="s">
        <v>163</v>
      </c>
      <c r="J1094" s="10">
        <v>150</v>
      </c>
      <c r="K1094" s="10">
        <v>149.19999999999999</v>
      </c>
      <c r="L1094" s="10">
        <v>127</v>
      </c>
      <c r="M1094" s="10">
        <v>135</v>
      </c>
      <c r="N1094" s="10">
        <v>121</v>
      </c>
      <c r="O1094" s="10">
        <v>72</v>
      </c>
      <c r="P1094" s="10">
        <v>98</v>
      </c>
      <c r="Q1094" s="10">
        <v>12.1</v>
      </c>
      <c r="R1094" s="10">
        <v>1601</v>
      </c>
      <c r="S1094" s="10">
        <v>0.8</v>
      </c>
      <c r="T1094" s="10">
        <v>1287</v>
      </c>
      <c r="U1094" s="10">
        <v>141</v>
      </c>
      <c r="V1094" s="10">
        <v>57</v>
      </c>
      <c r="W1094" s="10">
        <v>36</v>
      </c>
      <c r="X1094" s="10">
        <v>137</v>
      </c>
      <c r="Y1094" s="10">
        <v>9</v>
      </c>
      <c r="Z1094" s="10">
        <v>87</v>
      </c>
      <c r="AA1094" s="10">
        <v>0.255</v>
      </c>
      <c r="AB1094" s="10">
        <v>65</v>
      </c>
      <c r="AC1094" s="10">
        <v>82</v>
      </c>
      <c r="AD1094" s="10">
        <v>72</v>
      </c>
      <c r="AE1094" s="10">
        <v>7</v>
      </c>
      <c r="AF1094" s="10">
        <v>9.1999999999999993</v>
      </c>
      <c r="AG1094" s="9" t="s">
        <v>349</v>
      </c>
      <c r="AH1094" s="10"/>
      <c r="AI1094" s="10"/>
      <c r="AJ1094" s="10"/>
      <c r="AK1094" s="30"/>
    </row>
    <row r="1095" spans="5:37">
      <c r="E1095" s="28" t="s">
        <v>155</v>
      </c>
      <c r="F1095" s="8" t="s">
        <v>332</v>
      </c>
      <c r="G1095" s="9" t="s">
        <v>738</v>
      </c>
      <c r="H1095" s="10">
        <v>156</v>
      </c>
      <c r="I1095" s="9" t="s">
        <v>163</v>
      </c>
      <c r="J1095" s="10">
        <v>156</v>
      </c>
      <c r="K1095" s="10">
        <v>155.19999999999999</v>
      </c>
      <c r="L1095" s="10">
        <v>130</v>
      </c>
      <c r="M1095" s="10">
        <v>141</v>
      </c>
      <c r="N1095" s="10">
        <v>122</v>
      </c>
      <c r="O1095" s="10">
        <v>73</v>
      </c>
      <c r="P1095" s="10">
        <v>99</v>
      </c>
      <c r="Q1095" s="10">
        <v>12.6</v>
      </c>
      <c r="R1095" s="10">
        <v>1691</v>
      </c>
      <c r="S1095" s="10">
        <v>0.8</v>
      </c>
      <c r="T1095" s="10">
        <v>1346</v>
      </c>
      <c r="U1095" s="10">
        <v>164</v>
      </c>
      <c r="V1095" s="10">
        <v>65</v>
      </c>
      <c r="W1095" s="10">
        <v>38</v>
      </c>
      <c r="X1095" s="10">
        <v>159</v>
      </c>
      <c r="Y1095" s="10">
        <v>10</v>
      </c>
      <c r="Z1095" s="10">
        <v>94</v>
      </c>
      <c r="AA1095" s="10">
        <v>0.26300000000000001</v>
      </c>
      <c r="AB1095" s="10">
        <v>64</v>
      </c>
      <c r="AC1095" s="10">
        <v>82</v>
      </c>
      <c r="AD1095" s="10">
        <v>95</v>
      </c>
      <c r="AE1095" s="10">
        <v>5</v>
      </c>
      <c r="AF1095" s="10">
        <v>9.1</v>
      </c>
      <c r="AG1095" s="9" t="s">
        <v>160</v>
      </c>
      <c r="AH1095" s="10"/>
      <c r="AI1095" s="10"/>
      <c r="AJ1095" s="10"/>
      <c r="AK1095" s="30"/>
    </row>
    <row r="1096" spans="5:37">
      <c r="E1096" s="28" t="s">
        <v>155</v>
      </c>
      <c r="F1096" s="8" t="s">
        <v>332</v>
      </c>
      <c r="G1096" s="9" t="s">
        <v>738</v>
      </c>
      <c r="H1096" s="10">
        <v>162</v>
      </c>
      <c r="I1096" s="9" t="s">
        <v>163</v>
      </c>
      <c r="J1096" s="10">
        <v>162</v>
      </c>
      <c r="K1096" s="10">
        <v>161.30000000000001</v>
      </c>
      <c r="L1096" s="10">
        <v>138</v>
      </c>
      <c r="M1096" s="10">
        <v>147</v>
      </c>
      <c r="N1096" s="10">
        <v>123</v>
      </c>
      <c r="O1096" s="10">
        <v>72</v>
      </c>
      <c r="P1096" s="10">
        <v>100</v>
      </c>
      <c r="Q1096" s="10">
        <v>13.4</v>
      </c>
      <c r="R1096" s="10">
        <v>1750</v>
      </c>
      <c r="S1096" s="10">
        <v>0.8</v>
      </c>
      <c r="T1096" s="10">
        <v>1404</v>
      </c>
      <c r="U1096" s="10">
        <v>191</v>
      </c>
      <c r="V1096" s="10">
        <v>77</v>
      </c>
      <c r="W1096" s="10">
        <v>37</v>
      </c>
      <c r="X1096" s="10">
        <v>144</v>
      </c>
      <c r="Y1096" s="10">
        <v>9</v>
      </c>
      <c r="Z1096" s="10">
        <v>88</v>
      </c>
      <c r="AA1096" s="10">
        <v>0.251</v>
      </c>
      <c r="AB1096" s="10">
        <v>66</v>
      </c>
      <c r="AC1096" s="10">
        <v>79</v>
      </c>
      <c r="AD1096" s="10">
        <v>78</v>
      </c>
      <c r="AE1096" s="10">
        <v>7</v>
      </c>
      <c r="AF1096" s="10">
        <v>9</v>
      </c>
      <c r="AG1096" s="9" t="s">
        <v>349</v>
      </c>
      <c r="AH1096" s="10"/>
      <c r="AI1096" s="10"/>
      <c r="AJ1096" s="10"/>
      <c r="AK1096" s="30"/>
    </row>
    <row r="1097" spans="5:37">
      <c r="E1097" s="28" t="s">
        <v>155</v>
      </c>
      <c r="F1097" s="8" t="s">
        <v>332</v>
      </c>
      <c r="G1097" s="9" t="s">
        <v>741</v>
      </c>
      <c r="H1097" s="10">
        <v>165</v>
      </c>
      <c r="I1097" s="9" t="s">
        <v>158</v>
      </c>
      <c r="J1097" s="10">
        <v>165</v>
      </c>
      <c r="K1097" s="10">
        <v>165.6</v>
      </c>
      <c r="L1097" s="10">
        <v>145</v>
      </c>
      <c r="M1097" s="10">
        <v>152</v>
      </c>
      <c r="N1097" s="10">
        <v>120</v>
      </c>
      <c r="O1097" s="10">
        <v>68</v>
      </c>
      <c r="P1097" s="10">
        <v>103</v>
      </c>
      <c r="Q1097" s="10">
        <v>13</v>
      </c>
      <c r="R1097" s="10">
        <v>2021</v>
      </c>
      <c r="S1097" s="10">
        <v>0.69</v>
      </c>
      <c r="T1097" s="10">
        <v>1400</v>
      </c>
      <c r="U1097" s="10">
        <v>207</v>
      </c>
      <c r="V1097" s="10">
        <v>101</v>
      </c>
      <c r="W1097" s="10">
        <v>43</v>
      </c>
      <c r="X1097" s="10">
        <v>144</v>
      </c>
      <c r="Y1097" s="10">
        <v>14</v>
      </c>
      <c r="Z1097" s="10">
        <v>67</v>
      </c>
      <c r="AA1097" s="10">
        <v>0.33500000000000002</v>
      </c>
      <c r="AB1097" s="10">
        <v>63</v>
      </c>
      <c r="AC1097" s="10">
        <v>70</v>
      </c>
      <c r="AD1097" s="10">
        <v>81</v>
      </c>
      <c r="AE1097" s="10">
        <v>11</v>
      </c>
      <c r="AF1097" s="10">
        <v>11.4</v>
      </c>
      <c r="AG1097" s="9" t="s">
        <v>349</v>
      </c>
      <c r="AH1097" s="10"/>
      <c r="AI1097" s="10"/>
      <c r="AJ1097" s="10"/>
      <c r="AK1097" s="30"/>
    </row>
    <row r="1098" spans="5:37">
      <c r="E1098" s="28" t="s">
        <v>155</v>
      </c>
      <c r="F1098" s="8" t="s">
        <v>332</v>
      </c>
      <c r="G1098" s="9" t="s">
        <v>741</v>
      </c>
      <c r="H1098" s="10">
        <v>170</v>
      </c>
      <c r="I1098" s="9" t="s">
        <v>158</v>
      </c>
      <c r="J1098" s="10">
        <v>170</v>
      </c>
      <c r="K1098" s="10">
        <v>168.9</v>
      </c>
      <c r="L1098" s="10">
        <v>149</v>
      </c>
      <c r="M1098" s="10">
        <v>157</v>
      </c>
      <c r="N1098" s="10">
        <v>120</v>
      </c>
      <c r="O1098" s="10">
        <v>69</v>
      </c>
      <c r="P1098" s="10">
        <v>103</v>
      </c>
      <c r="Q1098" s="10">
        <v>14</v>
      </c>
      <c r="R1098" s="10">
        <v>2053</v>
      </c>
      <c r="S1098" s="10">
        <v>0.7</v>
      </c>
      <c r="T1098" s="10">
        <v>1428</v>
      </c>
      <c r="U1098" s="10">
        <v>242</v>
      </c>
      <c r="V1098" s="10">
        <v>109</v>
      </c>
      <c r="W1098" s="10">
        <v>45</v>
      </c>
      <c r="X1098" s="10">
        <v>150</v>
      </c>
      <c r="Y1098" s="10">
        <v>6</v>
      </c>
      <c r="Z1098" s="10">
        <v>49</v>
      </c>
      <c r="AA1098" s="10">
        <v>0.127</v>
      </c>
      <c r="AB1098" s="10">
        <v>62</v>
      </c>
      <c r="AC1098" s="10">
        <v>55</v>
      </c>
      <c r="AD1098" s="10">
        <v>89</v>
      </c>
      <c r="AE1098" s="10">
        <v>7</v>
      </c>
      <c r="AF1098" s="10">
        <v>12.1</v>
      </c>
      <c r="AG1098" s="9" t="s">
        <v>349</v>
      </c>
      <c r="AH1098" s="10"/>
      <c r="AI1098" s="10"/>
      <c r="AJ1098" s="10"/>
      <c r="AK1098" s="30"/>
    </row>
    <row r="1099" spans="5:37">
      <c r="E1099" s="28" t="s">
        <v>155</v>
      </c>
      <c r="F1099" s="8" t="s">
        <v>332</v>
      </c>
      <c r="G1099" s="9" t="s">
        <v>730</v>
      </c>
      <c r="H1099" s="10">
        <v>172</v>
      </c>
      <c r="I1099" s="9" t="s">
        <v>158</v>
      </c>
      <c r="J1099" s="10">
        <v>172</v>
      </c>
      <c r="K1099" s="10">
        <v>171.3</v>
      </c>
      <c r="L1099" s="10">
        <v>125</v>
      </c>
      <c r="M1099" s="10">
        <v>142</v>
      </c>
      <c r="N1099" s="10">
        <v>132</v>
      </c>
      <c r="O1099" s="10">
        <v>99</v>
      </c>
      <c r="P1099" s="10">
        <v>119</v>
      </c>
      <c r="Q1099" s="10">
        <v>16.8</v>
      </c>
      <c r="R1099" s="10">
        <v>2123</v>
      </c>
      <c r="S1099" s="10">
        <v>0.89</v>
      </c>
      <c r="T1099" s="10">
        <v>1882</v>
      </c>
      <c r="U1099" s="10">
        <v>212</v>
      </c>
      <c r="V1099" s="10">
        <v>137</v>
      </c>
      <c r="W1099" s="10">
        <v>50</v>
      </c>
      <c r="X1099" s="10">
        <v>273</v>
      </c>
      <c r="Y1099" s="10">
        <v>12</v>
      </c>
      <c r="Z1099" s="10">
        <v>193</v>
      </c>
      <c r="AA1099" s="10">
        <v>0.23799999999999999</v>
      </c>
      <c r="AB1099" s="10">
        <v>134</v>
      </c>
      <c r="AC1099" s="10">
        <v>158</v>
      </c>
      <c r="AD1099" s="10">
        <v>138</v>
      </c>
      <c r="AE1099" s="10">
        <v>7</v>
      </c>
      <c r="AF1099" s="10">
        <v>8.9</v>
      </c>
      <c r="AG1099" s="9" t="s">
        <v>188</v>
      </c>
      <c r="AH1099" s="10"/>
      <c r="AI1099" s="10"/>
      <c r="AJ1099" s="10"/>
      <c r="AK1099" s="30"/>
    </row>
    <row r="1100" spans="5:37">
      <c r="E1100" s="28" t="s">
        <v>155</v>
      </c>
      <c r="F1100" s="8" t="s">
        <v>332</v>
      </c>
      <c r="G1100" s="9" t="s">
        <v>730</v>
      </c>
      <c r="H1100" s="10">
        <v>179</v>
      </c>
      <c r="I1100" s="9" t="s">
        <v>158</v>
      </c>
      <c r="J1100" s="10">
        <v>179</v>
      </c>
      <c r="K1100" s="10">
        <v>178.5</v>
      </c>
      <c r="L1100" s="10">
        <v>131</v>
      </c>
      <c r="M1100" s="10">
        <v>148</v>
      </c>
      <c r="N1100" s="10">
        <v>134</v>
      </c>
      <c r="O1100" s="10">
        <v>100</v>
      </c>
      <c r="P1100" s="10">
        <v>120</v>
      </c>
      <c r="Q1100" s="10">
        <v>17.3</v>
      </c>
      <c r="R1100" s="10">
        <v>2178</v>
      </c>
      <c r="S1100" s="10">
        <v>0.91</v>
      </c>
      <c r="T1100" s="10">
        <v>1975</v>
      </c>
      <c r="U1100" s="10">
        <v>226</v>
      </c>
      <c r="V1100" s="10">
        <v>145</v>
      </c>
      <c r="W1100" s="10">
        <v>54</v>
      </c>
      <c r="X1100" s="10">
        <v>275</v>
      </c>
      <c r="Y1100" s="10">
        <v>16</v>
      </c>
      <c r="Z1100" s="10">
        <v>198</v>
      </c>
      <c r="AA1100" s="10">
        <v>0.29699999999999999</v>
      </c>
      <c r="AB1100" s="10">
        <v>146</v>
      </c>
      <c r="AC1100" s="10">
        <v>162</v>
      </c>
      <c r="AD1100" s="10">
        <v>129</v>
      </c>
      <c r="AE1100" s="10">
        <v>9</v>
      </c>
      <c r="AF1100" s="10">
        <v>8.4</v>
      </c>
      <c r="AG1100" s="9" t="s">
        <v>188</v>
      </c>
      <c r="AH1100" s="10"/>
      <c r="AI1100" s="10"/>
      <c r="AJ1100" s="10"/>
      <c r="AK1100" s="30"/>
    </row>
    <row r="1101" spans="5:37">
      <c r="E1101" s="28" t="s">
        <v>155</v>
      </c>
      <c r="F1101" s="8" t="s">
        <v>332</v>
      </c>
      <c r="G1101" s="9" t="s">
        <v>730</v>
      </c>
      <c r="H1101" s="10">
        <v>186</v>
      </c>
      <c r="I1101" s="9" t="s">
        <v>158</v>
      </c>
      <c r="J1101" s="10">
        <v>186</v>
      </c>
      <c r="K1101" s="10">
        <v>185.3</v>
      </c>
      <c r="L1101" s="10">
        <v>136</v>
      </c>
      <c r="M1101" s="10">
        <v>154</v>
      </c>
      <c r="N1101" s="10">
        <v>134</v>
      </c>
      <c r="O1101" s="10">
        <v>99</v>
      </c>
      <c r="P1101" s="10">
        <v>120</v>
      </c>
      <c r="Q1101" s="10">
        <v>18.3</v>
      </c>
      <c r="R1101" s="10">
        <v>2347</v>
      </c>
      <c r="S1101" s="10">
        <v>0.87</v>
      </c>
      <c r="T1101" s="10">
        <v>2048</v>
      </c>
      <c r="U1101" s="10">
        <v>263</v>
      </c>
      <c r="V1101" s="10">
        <v>167</v>
      </c>
      <c r="W1101" s="10">
        <v>49</v>
      </c>
      <c r="X1101" s="10">
        <v>284</v>
      </c>
      <c r="Y1101" s="10">
        <v>14</v>
      </c>
      <c r="Z1101" s="10">
        <v>209</v>
      </c>
      <c r="AA1101" s="10">
        <v>0.29099999999999998</v>
      </c>
      <c r="AB1101" s="10">
        <v>143</v>
      </c>
      <c r="AC1101" s="10">
        <v>169</v>
      </c>
      <c r="AD1101" s="10">
        <v>141</v>
      </c>
      <c r="AE1101" s="10">
        <v>7</v>
      </c>
      <c r="AF1101" s="10">
        <v>8.8000000000000007</v>
      </c>
      <c r="AG1101" s="9" t="s">
        <v>188</v>
      </c>
      <c r="AH1101" s="10"/>
      <c r="AI1101" s="10"/>
      <c r="AJ1101" s="10"/>
      <c r="AK1101" s="30"/>
    </row>
    <row r="1102" spans="5:37">
      <c r="E1102" s="28" t="s">
        <v>155</v>
      </c>
      <c r="F1102" s="8" t="s">
        <v>332</v>
      </c>
      <c r="G1102" s="9" t="s">
        <v>694</v>
      </c>
      <c r="H1102" s="10">
        <v>165</v>
      </c>
      <c r="I1102" s="9" t="s">
        <v>158</v>
      </c>
      <c r="J1102" s="10">
        <v>165</v>
      </c>
      <c r="K1102" s="10">
        <v>164.2</v>
      </c>
      <c r="L1102" s="10">
        <v>114</v>
      </c>
      <c r="M1102" s="10">
        <v>135</v>
      </c>
      <c r="N1102" s="10">
        <v>133</v>
      </c>
      <c r="O1102" s="10">
        <v>103</v>
      </c>
      <c r="P1102" s="10">
        <v>123</v>
      </c>
      <c r="Q1102" s="10">
        <v>16.2</v>
      </c>
      <c r="R1102" s="10">
        <v>1945</v>
      </c>
      <c r="S1102" s="10">
        <v>0.95</v>
      </c>
      <c r="T1102" s="10">
        <v>1851</v>
      </c>
      <c r="U1102" s="10">
        <v>182</v>
      </c>
      <c r="V1102" s="10">
        <v>130</v>
      </c>
      <c r="W1102" s="10">
        <v>47</v>
      </c>
      <c r="X1102" s="10">
        <v>280</v>
      </c>
      <c r="Y1102" s="10">
        <v>28</v>
      </c>
      <c r="Z1102" s="10">
        <v>220</v>
      </c>
      <c r="AA1102" s="10">
        <v>0.59599999999999997</v>
      </c>
      <c r="AB1102" s="10">
        <v>146</v>
      </c>
      <c r="AC1102" s="10">
        <v>145</v>
      </c>
      <c r="AD1102" s="10">
        <v>134</v>
      </c>
      <c r="AE1102" s="10">
        <v>9</v>
      </c>
      <c r="AF1102" s="10">
        <v>8.4</v>
      </c>
      <c r="AG1102" s="9" t="s">
        <v>188</v>
      </c>
      <c r="AH1102" s="9" t="s">
        <v>169</v>
      </c>
      <c r="AI1102" s="10"/>
      <c r="AJ1102" s="10"/>
      <c r="AK1102" s="30"/>
    </row>
    <row r="1103" spans="5:37">
      <c r="E1103" s="28" t="s">
        <v>155</v>
      </c>
      <c r="F1103" s="8" t="s">
        <v>332</v>
      </c>
      <c r="G1103" s="9" t="s">
        <v>694</v>
      </c>
      <c r="H1103" s="10">
        <v>172</v>
      </c>
      <c r="I1103" s="9" t="s">
        <v>158</v>
      </c>
      <c r="J1103" s="10">
        <v>172</v>
      </c>
      <c r="K1103" s="10">
        <v>171.4</v>
      </c>
      <c r="L1103" s="10">
        <v>119</v>
      </c>
      <c r="M1103" s="10">
        <v>140</v>
      </c>
      <c r="N1103" s="10">
        <v>135</v>
      </c>
      <c r="O1103" s="10">
        <v>104</v>
      </c>
      <c r="P1103" s="10">
        <v>125</v>
      </c>
      <c r="Q1103" s="10">
        <v>16.399999999999999</v>
      </c>
      <c r="R1103" s="10">
        <v>2045</v>
      </c>
      <c r="S1103" s="10">
        <v>0.96</v>
      </c>
      <c r="T1103" s="10">
        <v>1954</v>
      </c>
      <c r="U1103" s="10">
        <v>203</v>
      </c>
      <c r="V1103" s="10">
        <v>141</v>
      </c>
      <c r="W1103" s="10">
        <v>52</v>
      </c>
      <c r="X1103" s="10">
        <v>293</v>
      </c>
      <c r="Y1103" s="10">
        <v>32</v>
      </c>
      <c r="Z1103" s="10">
        <v>234</v>
      </c>
      <c r="AA1103" s="10">
        <v>0.621</v>
      </c>
      <c r="AB1103" s="10">
        <v>151</v>
      </c>
      <c r="AC1103" s="10">
        <v>164</v>
      </c>
      <c r="AD1103" s="10">
        <v>142</v>
      </c>
      <c r="AE1103" s="10">
        <v>7</v>
      </c>
      <c r="AF1103" s="10">
        <v>8.8000000000000007</v>
      </c>
      <c r="AG1103" s="9" t="s">
        <v>188</v>
      </c>
      <c r="AH1103" s="9" t="s">
        <v>169</v>
      </c>
      <c r="AI1103" s="10"/>
      <c r="AJ1103" s="10"/>
      <c r="AK1103" s="30"/>
    </row>
    <row r="1104" spans="5:37">
      <c r="E1104" s="28" t="s">
        <v>155</v>
      </c>
      <c r="F1104" s="8" t="s">
        <v>332</v>
      </c>
      <c r="G1104" s="9" t="s">
        <v>694</v>
      </c>
      <c r="H1104" s="10">
        <v>179</v>
      </c>
      <c r="I1104" s="9" t="s">
        <v>158</v>
      </c>
      <c r="J1104" s="10">
        <v>179</v>
      </c>
      <c r="K1104" s="10">
        <v>178</v>
      </c>
      <c r="L1104" s="10">
        <v>123</v>
      </c>
      <c r="M1104" s="10">
        <v>148</v>
      </c>
      <c r="N1104" s="10">
        <v>135</v>
      </c>
      <c r="O1104" s="10">
        <v>103</v>
      </c>
      <c r="P1104" s="10">
        <v>126</v>
      </c>
      <c r="Q1104" s="10">
        <v>17.3</v>
      </c>
      <c r="R1104" s="10">
        <v>2115</v>
      </c>
      <c r="S1104" s="10">
        <v>0.96</v>
      </c>
      <c r="T1104" s="10">
        <v>2030</v>
      </c>
      <c r="U1104" s="10">
        <v>209</v>
      </c>
      <c r="V1104" s="10">
        <v>131</v>
      </c>
      <c r="W1104" s="10">
        <v>53</v>
      </c>
      <c r="X1104" s="10">
        <v>304</v>
      </c>
      <c r="Y1104" s="10">
        <v>36</v>
      </c>
      <c r="Z1104" s="10">
        <v>248</v>
      </c>
      <c r="AA1104" s="10">
        <v>0.66900000000000004</v>
      </c>
      <c r="AB1104" s="10">
        <v>150</v>
      </c>
      <c r="AC1104" s="10">
        <v>148</v>
      </c>
      <c r="AD1104" s="10">
        <v>155</v>
      </c>
      <c r="AE1104" s="10">
        <v>7</v>
      </c>
      <c r="AF1104" s="10">
        <v>9</v>
      </c>
      <c r="AG1104" s="9" t="s">
        <v>188</v>
      </c>
      <c r="AH1104" s="9" t="s">
        <v>169</v>
      </c>
      <c r="AI1104" s="10"/>
      <c r="AJ1104" s="10"/>
      <c r="AK1104" s="30"/>
    </row>
    <row r="1105" spans="5:37">
      <c r="E1105" s="28" t="s">
        <v>155</v>
      </c>
      <c r="F1105" s="8" t="s">
        <v>332</v>
      </c>
      <c r="G1105" s="9" t="s">
        <v>694</v>
      </c>
      <c r="H1105" s="10">
        <v>186</v>
      </c>
      <c r="I1105" s="9" t="s">
        <v>158</v>
      </c>
      <c r="J1105" s="10">
        <v>186</v>
      </c>
      <c r="K1105" s="10">
        <v>184.9</v>
      </c>
      <c r="L1105" s="10">
        <v>127</v>
      </c>
      <c r="M1105" s="10">
        <v>154</v>
      </c>
      <c r="N1105" s="10">
        <v>136</v>
      </c>
      <c r="O1105" s="10">
        <v>103</v>
      </c>
      <c r="P1105" s="10">
        <v>126</v>
      </c>
      <c r="Q1105" s="10">
        <v>18.399999999999999</v>
      </c>
      <c r="R1105" s="10">
        <v>2246</v>
      </c>
      <c r="S1105" s="10">
        <v>0.94</v>
      </c>
      <c r="T1105" s="10">
        <v>2117</v>
      </c>
      <c r="U1105" s="10">
        <v>231</v>
      </c>
      <c r="V1105" s="10">
        <v>156</v>
      </c>
      <c r="W1105" s="10">
        <v>56</v>
      </c>
      <c r="X1105" s="10">
        <v>314</v>
      </c>
      <c r="Y1105" s="10">
        <v>39</v>
      </c>
      <c r="Z1105" s="10">
        <v>262</v>
      </c>
      <c r="AA1105" s="10">
        <v>0.69099999999999995</v>
      </c>
      <c r="AB1105" s="10">
        <v>162</v>
      </c>
      <c r="AC1105" s="10">
        <v>151</v>
      </c>
      <c r="AD1105" s="10">
        <v>151</v>
      </c>
      <c r="AE1105" s="10">
        <v>7</v>
      </c>
      <c r="AF1105" s="10">
        <v>9.1999999999999993</v>
      </c>
      <c r="AG1105" s="9" t="s">
        <v>188</v>
      </c>
      <c r="AH1105" s="9" t="s">
        <v>169</v>
      </c>
      <c r="AI1105" s="10"/>
      <c r="AJ1105" s="10"/>
      <c r="AK1105" s="30"/>
    </row>
    <row r="1106" spans="5:37">
      <c r="E1106" s="28" t="s">
        <v>155</v>
      </c>
      <c r="F1106" s="8" t="s">
        <v>332</v>
      </c>
      <c r="G1106" s="9" t="s">
        <v>694</v>
      </c>
      <c r="H1106" s="10">
        <v>191</v>
      </c>
      <c r="I1106" s="9" t="s">
        <v>158</v>
      </c>
      <c r="J1106" s="10">
        <v>191</v>
      </c>
      <c r="K1106" s="10">
        <v>189.9</v>
      </c>
      <c r="L1106" s="10">
        <v>132</v>
      </c>
      <c r="M1106" s="10">
        <v>158</v>
      </c>
      <c r="N1106" s="10">
        <v>135</v>
      </c>
      <c r="O1106" s="10">
        <v>103</v>
      </c>
      <c r="P1106" s="10">
        <v>126</v>
      </c>
      <c r="Q1106" s="10">
        <v>19.8</v>
      </c>
      <c r="R1106" s="10">
        <v>2364</v>
      </c>
      <c r="S1106" s="10">
        <v>0.92</v>
      </c>
      <c r="T1106" s="10">
        <v>2165</v>
      </c>
      <c r="U1106" s="10">
        <v>274</v>
      </c>
      <c r="V1106" s="10">
        <v>182</v>
      </c>
      <c r="W1106" s="10">
        <v>62</v>
      </c>
      <c r="X1106" s="10">
        <v>328</v>
      </c>
      <c r="Y1106" s="10">
        <v>35</v>
      </c>
      <c r="Z1106" s="10">
        <v>247</v>
      </c>
      <c r="AA1106" s="10">
        <v>0.56599999999999995</v>
      </c>
      <c r="AB1106" s="10">
        <v>167</v>
      </c>
      <c r="AC1106" s="10">
        <v>155</v>
      </c>
      <c r="AD1106" s="10">
        <v>160</v>
      </c>
      <c r="AE1106" s="10">
        <v>10</v>
      </c>
      <c r="AF1106" s="10">
        <v>9.1</v>
      </c>
      <c r="AG1106" s="9" t="s">
        <v>188</v>
      </c>
      <c r="AH1106" s="9" t="s">
        <v>169</v>
      </c>
      <c r="AI1106" s="10"/>
      <c r="AJ1106" s="10"/>
      <c r="AK1106" s="30"/>
    </row>
    <row r="1107" spans="5:37">
      <c r="E1107" s="28" t="s">
        <v>155</v>
      </c>
      <c r="F1107" s="8" t="s">
        <v>332</v>
      </c>
      <c r="G1107" s="9" t="s">
        <v>809</v>
      </c>
      <c r="H1107" s="10">
        <v>169</v>
      </c>
      <c r="I1107" s="9" t="s">
        <v>158</v>
      </c>
      <c r="J1107" s="10">
        <v>169</v>
      </c>
      <c r="K1107" s="10">
        <v>168.4</v>
      </c>
      <c r="L1107" s="10">
        <v>113</v>
      </c>
      <c r="M1107" s="10">
        <v>137</v>
      </c>
      <c r="N1107" s="10">
        <v>139</v>
      </c>
      <c r="O1107" s="10">
        <v>109</v>
      </c>
      <c r="P1107" s="10">
        <v>129</v>
      </c>
      <c r="Q1107" s="10">
        <v>16.100000000000001</v>
      </c>
      <c r="R1107" s="10">
        <v>2165</v>
      </c>
      <c r="S1107" s="10">
        <v>0.92</v>
      </c>
      <c r="T1107" s="10">
        <v>1995</v>
      </c>
      <c r="U1107" s="10">
        <v>223</v>
      </c>
      <c r="V1107" s="10">
        <v>152</v>
      </c>
      <c r="W1107" s="10">
        <v>55</v>
      </c>
      <c r="X1107" s="10">
        <v>302</v>
      </c>
      <c r="Y1107" s="10">
        <v>35</v>
      </c>
      <c r="Z1107" s="10">
        <v>250</v>
      </c>
      <c r="AA1107" s="10">
        <v>0.64100000000000001</v>
      </c>
      <c r="AB1107" s="10">
        <v>156</v>
      </c>
      <c r="AC1107" s="10">
        <v>157</v>
      </c>
      <c r="AD1107" s="10">
        <v>146</v>
      </c>
      <c r="AE1107" s="10">
        <v>8</v>
      </c>
      <c r="AF1107" s="10">
        <v>8.9</v>
      </c>
      <c r="AG1107" s="9" t="s">
        <v>169</v>
      </c>
      <c r="AH1107" s="10"/>
      <c r="AI1107" s="10"/>
      <c r="AJ1107" s="10"/>
      <c r="AK1107" s="30"/>
    </row>
    <row r="1108" spans="5:37">
      <c r="E1108" s="28" t="s">
        <v>155</v>
      </c>
      <c r="F1108" s="8" t="s">
        <v>332</v>
      </c>
      <c r="G1108" s="9" t="s">
        <v>809</v>
      </c>
      <c r="H1108" s="10">
        <v>177</v>
      </c>
      <c r="I1108" s="9" t="s">
        <v>158</v>
      </c>
      <c r="J1108" s="10">
        <v>177</v>
      </c>
      <c r="K1108" s="10">
        <v>176.4</v>
      </c>
      <c r="L1108" s="10">
        <v>119</v>
      </c>
      <c r="M1108" s="10">
        <v>145</v>
      </c>
      <c r="N1108" s="10">
        <v>140</v>
      </c>
      <c r="O1108" s="10">
        <v>109</v>
      </c>
      <c r="P1108" s="10">
        <v>130</v>
      </c>
      <c r="Q1108" s="10">
        <v>16.899999999999999</v>
      </c>
      <c r="R1108" s="10">
        <v>2155</v>
      </c>
      <c r="S1108" s="10">
        <v>0.97</v>
      </c>
      <c r="T1108" s="10">
        <v>2101</v>
      </c>
      <c r="U1108" s="10">
        <v>190</v>
      </c>
      <c r="V1108" s="10">
        <v>139</v>
      </c>
      <c r="W1108" s="10">
        <v>56</v>
      </c>
      <c r="X1108" s="10">
        <v>314</v>
      </c>
      <c r="Y1108" s="10">
        <v>37</v>
      </c>
      <c r="Z1108" s="10">
        <v>257</v>
      </c>
      <c r="AA1108" s="10">
        <v>0.65600000000000003</v>
      </c>
      <c r="AB1108" s="10">
        <v>159</v>
      </c>
      <c r="AC1108" s="10">
        <v>152</v>
      </c>
      <c r="AD1108" s="10">
        <v>155</v>
      </c>
      <c r="AE1108" s="10">
        <v>7</v>
      </c>
      <c r="AF1108" s="10">
        <v>8.4</v>
      </c>
      <c r="AG1108" s="9" t="s">
        <v>169</v>
      </c>
      <c r="AH1108" s="10"/>
      <c r="AI1108" s="10"/>
      <c r="AJ1108" s="10"/>
      <c r="AK1108" s="30"/>
    </row>
    <row r="1109" spans="5:37">
      <c r="E1109" s="28" t="s">
        <v>155</v>
      </c>
      <c r="F1109" s="8" t="s">
        <v>332</v>
      </c>
      <c r="G1109" s="9" t="s">
        <v>809</v>
      </c>
      <c r="H1109" s="10">
        <v>185</v>
      </c>
      <c r="I1109" s="9" t="s">
        <v>158</v>
      </c>
      <c r="J1109" s="10">
        <v>185</v>
      </c>
      <c r="K1109" s="10">
        <v>184.1</v>
      </c>
      <c r="L1109" s="10">
        <v>125</v>
      </c>
      <c r="M1109" s="10">
        <v>151</v>
      </c>
      <c r="N1109" s="10">
        <v>140</v>
      </c>
      <c r="O1109" s="10">
        <v>109</v>
      </c>
      <c r="P1109" s="10">
        <v>131</v>
      </c>
      <c r="Q1109" s="10">
        <v>18.8</v>
      </c>
      <c r="R1109" s="10">
        <v>2292</v>
      </c>
      <c r="S1109" s="10">
        <v>0.96</v>
      </c>
      <c r="T1109" s="10">
        <v>2194</v>
      </c>
      <c r="U1109" s="10">
        <v>209</v>
      </c>
      <c r="V1109" s="10">
        <v>149</v>
      </c>
      <c r="W1109" s="10">
        <v>58</v>
      </c>
      <c r="X1109" s="10">
        <v>326</v>
      </c>
      <c r="Y1109" s="10">
        <v>39</v>
      </c>
      <c r="Z1109" s="10">
        <v>261</v>
      </c>
      <c r="AA1109" s="10">
        <v>0.66</v>
      </c>
      <c r="AB1109" s="10">
        <v>170</v>
      </c>
      <c r="AC1109" s="10">
        <v>161</v>
      </c>
      <c r="AD1109" s="10">
        <v>157</v>
      </c>
      <c r="AE1109" s="10">
        <v>10</v>
      </c>
      <c r="AF1109" s="10">
        <v>8.8000000000000007</v>
      </c>
      <c r="AG1109" s="9" t="s">
        <v>169</v>
      </c>
      <c r="AH1109" s="10"/>
      <c r="AI1109" s="10"/>
      <c r="AJ1109" s="10"/>
      <c r="AK1109" s="30"/>
    </row>
    <row r="1110" spans="5:37">
      <c r="E1110" s="28" t="s">
        <v>155</v>
      </c>
      <c r="F1110" s="8" t="s">
        <v>332</v>
      </c>
      <c r="G1110" s="9" t="s">
        <v>903</v>
      </c>
      <c r="H1110" s="10">
        <v>191</v>
      </c>
      <c r="I1110" s="9" t="s">
        <v>158</v>
      </c>
      <c r="J1110" s="10">
        <v>191</v>
      </c>
      <c r="K1110" s="10">
        <v>189.6</v>
      </c>
      <c r="L1110" s="10">
        <v>128</v>
      </c>
      <c r="M1110" s="10">
        <v>154</v>
      </c>
      <c r="N1110" s="10">
        <v>144</v>
      </c>
      <c r="O1110" s="10">
        <v>114</v>
      </c>
      <c r="P1110" s="10">
        <v>134</v>
      </c>
      <c r="Q1110" s="10">
        <v>21.5</v>
      </c>
      <c r="R1110" s="10">
        <v>2292</v>
      </c>
      <c r="S1110" s="10">
        <v>1.02</v>
      </c>
      <c r="T1110" s="10">
        <v>2347</v>
      </c>
      <c r="U1110" s="10">
        <v>283</v>
      </c>
      <c r="V1110" s="10">
        <v>142</v>
      </c>
      <c r="W1110" s="10">
        <v>67</v>
      </c>
      <c r="X1110" s="10">
        <v>338</v>
      </c>
      <c r="Y1110" s="10">
        <v>42</v>
      </c>
      <c r="Z1110" s="10">
        <v>275</v>
      </c>
      <c r="AA1110" s="10">
        <v>0.63200000000000001</v>
      </c>
      <c r="AB1110" s="10">
        <v>182</v>
      </c>
      <c r="AC1110" s="10">
        <v>175</v>
      </c>
      <c r="AD1110" s="10">
        <v>156</v>
      </c>
      <c r="AE1110" s="10">
        <v>7</v>
      </c>
      <c r="AF1110" s="10">
        <v>9.4</v>
      </c>
      <c r="AG1110" s="9" t="s">
        <v>169</v>
      </c>
      <c r="AH1110" s="10"/>
      <c r="AI1110" s="10"/>
      <c r="AJ1110" s="10"/>
      <c r="AK1110" s="30"/>
    </row>
    <row r="1111" spans="5:37">
      <c r="E1111" s="28" t="s">
        <v>155</v>
      </c>
      <c r="F1111" s="8" t="s">
        <v>332</v>
      </c>
      <c r="G1111" s="9" t="s">
        <v>455</v>
      </c>
      <c r="H1111" s="10">
        <v>165</v>
      </c>
      <c r="I1111" s="9" t="s">
        <v>158</v>
      </c>
      <c r="J1111" s="10">
        <v>165</v>
      </c>
      <c r="K1111" s="10">
        <v>164.5</v>
      </c>
      <c r="L1111" s="10">
        <v>122</v>
      </c>
      <c r="M1111" s="10">
        <v>137</v>
      </c>
      <c r="N1111" s="10">
        <v>121</v>
      </c>
      <c r="O1111" s="10">
        <v>87</v>
      </c>
      <c r="P1111" s="10">
        <v>107</v>
      </c>
      <c r="Q1111" s="10">
        <v>15.3</v>
      </c>
      <c r="R1111" s="10">
        <v>1820</v>
      </c>
      <c r="S1111" s="10">
        <v>0.89</v>
      </c>
      <c r="T1111" s="10">
        <v>1620</v>
      </c>
      <c r="U1111" s="10">
        <v>178</v>
      </c>
      <c r="V1111" s="10">
        <v>121</v>
      </c>
      <c r="W1111" s="10">
        <v>52</v>
      </c>
      <c r="X1111" s="10">
        <v>258</v>
      </c>
      <c r="Y1111" s="10">
        <v>11</v>
      </c>
      <c r="Z1111" s="10">
        <v>166</v>
      </c>
      <c r="AA1111" s="10">
        <v>0.215</v>
      </c>
      <c r="AB1111" s="10">
        <v>128</v>
      </c>
      <c r="AC1111" s="10">
        <v>148</v>
      </c>
      <c r="AD1111" s="10">
        <v>130</v>
      </c>
      <c r="AE1111" s="10">
        <v>8</v>
      </c>
      <c r="AF1111" s="10">
        <v>8.6999999999999993</v>
      </c>
      <c r="AG1111" s="9" t="s">
        <v>188</v>
      </c>
      <c r="AH1111" s="10"/>
      <c r="AI1111" s="10"/>
      <c r="AJ1111" s="10"/>
      <c r="AK1111" s="30"/>
    </row>
    <row r="1112" spans="5:37">
      <c r="E1112" s="28" t="s">
        <v>155</v>
      </c>
      <c r="F1112" s="8" t="s">
        <v>332</v>
      </c>
      <c r="G1112" s="9" t="s">
        <v>455</v>
      </c>
      <c r="H1112" s="10">
        <v>172</v>
      </c>
      <c r="I1112" s="9" t="s">
        <v>158</v>
      </c>
      <c r="J1112" s="10">
        <v>172</v>
      </c>
      <c r="K1112" s="10">
        <v>171.3</v>
      </c>
      <c r="L1112" s="10">
        <v>128</v>
      </c>
      <c r="M1112" s="10">
        <v>144</v>
      </c>
      <c r="N1112" s="10">
        <v>123</v>
      </c>
      <c r="O1112" s="10">
        <v>87</v>
      </c>
      <c r="P1112" s="10">
        <v>109</v>
      </c>
      <c r="Q1112" s="10">
        <v>15.6</v>
      </c>
      <c r="R1112" s="10">
        <v>1963</v>
      </c>
      <c r="S1112" s="10">
        <v>0.87</v>
      </c>
      <c r="T1112" s="10">
        <v>1704</v>
      </c>
      <c r="U1112" s="10">
        <v>200</v>
      </c>
      <c r="V1112" s="10">
        <v>125</v>
      </c>
      <c r="W1112" s="10">
        <v>54</v>
      </c>
      <c r="X1112" s="10">
        <v>264</v>
      </c>
      <c r="Y1112" s="10">
        <v>9</v>
      </c>
      <c r="Z1112" s="10">
        <v>168</v>
      </c>
      <c r="AA1112" s="10">
        <v>0.17599999999999999</v>
      </c>
      <c r="AB1112" s="10">
        <v>124</v>
      </c>
      <c r="AC1112" s="10">
        <v>152</v>
      </c>
      <c r="AD1112" s="10">
        <v>140</v>
      </c>
      <c r="AE1112" s="10">
        <v>9</v>
      </c>
      <c r="AF1112" s="10">
        <v>7.9</v>
      </c>
      <c r="AG1112" s="9" t="s">
        <v>188</v>
      </c>
      <c r="AH1112" s="10"/>
      <c r="AI1112" s="10"/>
      <c r="AJ1112" s="10"/>
      <c r="AK1112" s="30"/>
    </row>
    <row r="1113" spans="5:37">
      <c r="E1113" s="28" t="s">
        <v>155</v>
      </c>
      <c r="F1113" s="8" t="s">
        <v>332</v>
      </c>
      <c r="G1113" s="9" t="s">
        <v>455</v>
      </c>
      <c r="H1113" s="10">
        <v>179</v>
      </c>
      <c r="I1113" s="9" t="s">
        <v>158</v>
      </c>
      <c r="J1113" s="10">
        <v>179</v>
      </c>
      <c r="K1113" s="10">
        <v>178.5</v>
      </c>
      <c r="L1113" s="10">
        <v>133</v>
      </c>
      <c r="M1113" s="10">
        <v>150</v>
      </c>
      <c r="N1113" s="10">
        <v>123</v>
      </c>
      <c r="O1113" s="10">
        <v>87</v>
      </c>
      <c r="P1113" s="10">
        <v>109</v>
      </c>
      <c r="Q1113" s="10">
        <v>16.7</v>
      </c>
      <c r="R1113" s="10">
        <v>2013</v>
      </c>
      <c r="S1113" s="10">
        <v>0.88</v>
      </c>
      <c r="T1113" s="10">
        <v>1773</v>
      </c>
      <c r="U1113" s="10">
        <v>201</v>
      </c>
      <c r="V1113" s="10">
        <v>130</v>
      </c>
      <c r="W1113" s="10">
        <v>52</v>
      </c>
      <c r="X1113" s="10">
        <v>271</v>
      </c>
      <c r="Y1113" s="10">
        <v>12</v>
      </c>
      <c r="Z1113" s="10">
        <v>185</v>
      </c>
      <c r="AA1113" s="10">
        <v>0.23499999999999999</v>
      </c>
      <c r="AB1113" s="10">
        <v>132</v>
      </c>
      <c r="AC1113" s="10">
        <v>152</v>
      </c>
      <c r="AD1113" s="10">
        <v>139</v>
      </c>
      <c r="AE1113" s="10">
        <v>8</v>
      </c>
      <c r="AF1113" s="10">
        <v>8.3000000000000007</v>
      </c>
      <c r="AG1113" s="9" t="s">
        <v>188</v>
      </c>
      <c r="AH1113" s="10"/>
      <c r="AI1113" s="10"/>
      <c r="AJ1113" s="10"/>
      <c r="AK1113" s="30"/>
    </row>
    <row r="1114" spans="5:37">
      <c r="E1114" s="28" t="s">
        <v>155</v>
      </c>
      <c r="F1114" s="8" t="s">
        <v>332</v>
      </c>
      <c r="G1114" s="9" t="s">
        <v>455</v>
      </c>
      <c r="H1114" s="10">
        <v>186</v>
      </c>
      <c r="I1114" s="9" t="s">
        <v>158</v>
      </c>
      <c r="J1114" s="10">
        <v>186</v>
      </c>
      <c r="K1114" s="10">
        <v>185.2</v>
      </c>
      <c r="L1114" s="10">
        <v>139</v>
      </c>
      <c r="M1114" s="10">
        <v>157</v>
      </c>
      <c r="N1114" s="10">
        <v>124</v>
      </c>
      <c r="O1114" s="10">
        <v>87</v>
      </c>
      <c r="P1114" s="10">
        <v>110</v>
      </c>
      <c r="Q1114" s="10">
        <v>17.899999999999999</v>
      </c>
      <c r="R1114" s="10">
        <v>2137</v>
      </c>
      <c r="S1114" s="10">
        <v>0.87</v>
      </c>
      <c r="T1114" s="10">
        <v>1851</v>
      </c>
      <c r="U1114" s="10">
        <v>286</v>
      </c>
      <c r="V1114" s="10">
        <v>162</v>
      </c>
      <c r="W1114" s="10">
        <v>54</v>
      </c>
      <c r="X1114" s="10">
        <v>274</v>
      </c>
      <c r="Y1114" s="10">
        <v>11</v>
      </c>
      <c r="Z1114" s="10">
        <v>191</v>
      </c>
      <c r="AA1114" s="10">
        <v>0.20799999999999999</v>
      </c>
      <c r="AB1114" s="10">
        <v>124</v>
      </c>
      <c r="AC1114" s="10">
        <v>155</v>
      </c>
      <c r="AD1114" s="10">
        <v>150</v>
      </c>
      <c r="AE1114" s="10">
        <v>8</v>
      </c>
      <c r="AF1114" s="10">
        <v>8.5</v>
      </c>
      <c r="AG1114" s="9" t="s">
        <v>188</v>
      </c>
      <c r="AH1114" s="10"/>
      <c r="AI1114" s="10"/>
      <c r="AJ1114" s="10"/>
      <c r="AK1114" s="30"/>
    </row>
    <row r="1115" spans="5:37">
      <c r="E1115" s="28" t="s">
        <v>155</v>
      </c>
      <c r="F1115" s="8" t="s">
        <v>332</v>
      </c>
      <c r="G1115" s="9" t="s">
        <v>788</v>
      </c>
      <c r="H1115" s="10">
        <v>165</v>
      </c>
      <c r="I1115" s="9" t="s">
        <v>158</v>
      </c>
      <c r="J1115" s="10">
        <v>165</v>
      </c>
      <c r="K1115" s="10">
        <v>164.6</v>
      </c>
      <c r="L1115" s="10">
        <v>118</v>
      </c>
      <c r="M1115" s="10">
        <v>135</v>
      </c>
      <c r="N1115" s="10">
        <v>126</v>
      </c>
      <c r="O1115" s="10">
        <v>92</v>
      </c>
      <c r="P1115" s="10">
        <v>112</v>
      </c>
      <c r="Q1115" s="10">
        <v>15.3</v>
      </c>
      <c r="R1115" s="10">
        <v>1927</v>
      </c>
      <c r="S1115" s="10">
        <v>0.88</v>
      </c>
      <c r="T1115" s="10">
        <v>1701</v>
      </c>
      <c r="U1115" s="10">
        <v>196</v>
      </c>
      <c r="V1115" s="10">
        <v>138</v>
      </c>
      <c r="W1115" s="10">
        <v>53</v>
      </c>
      <c r="X1115" s="10">
        <v>280</v>
      </c>
      <c r="Y1115" s="10">
        <v>12</v>
      </c>
      <c r="Z1115" s="10">
        <v>190</v>
      </c>
      <c r="AA1115" s="10">
        <v>0.22600000000000001</v>
      </c>
      <c r="AB1115" s="10">
        <v>142</v>
      </c>
      <c r="AC1115" s="10">
        <v>154</v>
      </c>
      <c r="AD1115" s="10">
        <v>138</v>
      </c>
      <c r="AE1115" s="10">
        <v>6</v>
      </c>
      <c r="AF1115" s="10">
        <v>8.4</v>
      </c>
      <c r="AG1115" s="9" t="s">
        <v>188</v>
      </c>
      <c r="AH1115" s="10"/>
      <c r="AI1115" s="10"/>
      <c r="AJ1115" s="10"/>
      <c r="AK1115" s="30"/>
    </row>
    <row r="1116" spans="5:37">
      <c r="E1116" s="28" t="s">
        <v>155</v>
      </c>
      <c r="F1116" s="8" t="s">
        <v>332</v>
      </c>
      <c r="G1116" s="9" t="s">
        <v>788</v>
      </c>
      <c r="H1116" s="10">
        <v>172</v>
      </c>
      <c r="I1116" s="9" t="s">
        <v>158</v>
      </c>
      <c r="J1116" s="10">
        <v>172</v>
      </c>
      <c r="K1116" s="10">
        <v>171.3</v>
      </c>
      <c r="L1116" s="10">
        <v>124</v>
      </c>
      <c r="M1116" s="10">
        <v>143</v>
      </c>
      <c r="N1116" s="10">
        <v>127</v>
      </c>
      <c r="O1116" s="10">
        <v>92</v>
      </c>
      <c r="P1116" s="10">
        <v>113</v>
      </c>
      <c r="Q1116" s="10">
        <v>15.9</v>
      </c>
      <c r="R1116" s="10">
        <v>2044</v>
      </c>
      <c r="S1116" s="10">
        <v>0.87</v>
      </c>
      <c r="T1116" s="10">
        <v>1774</v>
      </c>
      <c r="U1116" s="10">
        <v>226</v>
      </c>
      <c r="V1116" s="10">
        <v>144</v>
      </c>
      <c r="W1116" s="10">
        <v>54</v>
      </c>
      <c r="X1116" s="10">
        <v>276</v>
      </c>
      <c r="Y1116" s="10">
        <v>15</v>
      </c>
      <c r="Z1116" s="10">
        <v>196</v>
      </c>
      <c r="AA1116" s="10">
        <v>0.27900000000000003</v>
      </c>
      <c r="AB1116" s="10">
        <v>132</v>
      </c>
      <c r="AC1116" s="10">
        <v>150</v>
      </c>
      <c r="AD1116" s="10">
        <v>144</v>
      </c>
      <c r="AE1116" s="10">
        <v>6</v>
      </c>
      <c r="AF1116" s="10">
        <v>9.1</v>
      </c>
      <c r="AG1116" s="9" t="s">
        <v>188</v>
      </c>
      <c r="AH1116" s="10"/>
      <c r="AI1116" s="10"/>
      <c r="AJ1116" s="10"/>
      <c r="AK1116" s="30"/>
    </row>
    <row r="1117" spans="5:37">
      <c r="E1117" s="28" t="s">
        <v>155</v>
      </c>
      <c r="F1117" s="8" t="s">
        <v>332</v>
      </c>
      <c r="G1117" s="9" t="s">
        <v>788</v>
      </c>
      <c r="H1117" s="10">
        <v>179</v>
      </c>
      <c r="I1117" s="9" t="s">
        <v>158</v>
      </c>
      <c r="J1117" s="10">
        <v>179</v>
      </c>
      <c r="K1117" s="10">
        <v>178.3</v>
      </c>
      <c r="L1117" s="10">
        <v>131</v>
      </c>
      <c r="M1117" s="10">
        <v>147</v>
      </c>
      <c r="N1117" s="10">
        <v>128</v>
      </c>
      <c r="O1117" s="10">
        <v>93</v>
      </c>
      <c r="P1117" s="10">
        <v>114</v>
      </c>
      <c r="Q1117" s="10">
        <v>17</v>
      </c>
      <c r="R1117" s="10">
        <v>2178</v>
      </c>
      <c r="S1117" s="10">
        <v>0.86</v>
      </c>
      <c r="T1117" s="10">
        <v>1867</v>
      </c>
      <c r="U1117" s="10">
        <v>234</v>
      </c>
      <c r="V1117" s="10">
        <v>145</v>
      </c>
      <c r="W1117" s="10">
        <v>55</v>
      </c>
      <c r="X1117" s="10">
        <v>286</v>
      </c>
      <c r="Y1117" s="10">
        <v>13</v>
      </c>
      <c r="Z1117" s="10">
        <v>186</v>
      </c>
      <c r="AA1117" s="10">
        <v>0.23499999999999999</v>
      </c>
      <c r="AB1117" s="10">
        <v>152</v>
      </c>
      <c r="AC1117" s="10">
        <v>159</v>
      </c>
      <c r="AD1117" s="10">
        <v>134</v>
      </c>
      <c r="AE1117" s="10">
        <v>7</v>
      </c>
      <c r="AF1117" s="10">
        <v>8.5</v>
      </c>
      <c r="AG1117" s="9" t="s">
        <v>188</v>
      </c>
      <c r="AH1117" s="10"/>
      <c r="AI1117" s="10"/>
      <c r="AJ1117" s="10"/>
      <c r="AK1117" s="30"/>
    </row>
    <row r="1118" spans="5:37">
      <c r="E1118" s="28" t="s">
        <v>155</v>
      </c>
      <c r="F1118" s="8" t="s">
        <v>332</v>
      </c>
      <c r="G1118" s="9" t="s">
        <v>788</v>
      </c>
      <c r="H1118" s="10">
        <v>186</v>
      </c>
      <c r="I1118" s="9" t="s">
        <v>158</v>
      </c>
      <c r="J1118" s="10">
        <v>186</v>
      </c>
      <c r="K1118" s="10">
        <v>185.1</v>
      </c>
      <c r="L1118" s="10">
        <v>137</v>
      </c>
      <c r="M1118" s="10">
        <v>155</v>
      </c>
      <c r="N1118" s="10">
        <v>129</v>
      </c>
      <c r="O1118" s="10">
        <v>93</v>
      </c>
      <c r="P1118" s="10">
        <v>115</v>
      </c>
      <c r="Q1118" s="10">
        <v>18.100000000000001</v>
      </c>
      <c r="R1118" s="10">
        <v>2299</v>
      </c>
      <c r="S1118" s="10">
        <v>0.85</v>
      </c>
      <c r="T1118" s="10">
        <v>1945</v>
      </c>
      <c r="U1118" s="10">
        <v>276</v>
      </c>
      <c r="V1118" s="10">
        <v>172</v>
      </c>
      <c r="W1118" s="10">
        <v>53</v>
      </c>
      <c r="X1118" s="10">
        <v>277</v>
      </c>
      <c r="Y1118" s="10">
        <v>15</v>
      </c>
      <c r="Z1118" s="10">
        <v>207</v>
      </c>
      <c r="AA1118" s="10">
        <v>0.28299999999999997</v>
      </c>
      <c r="AB1118" s="10">
        <v>140</v>
      </c>
      <c r="AC1118" s="10">
        <v>162</v>
      </c>
      <c r="AD1118" s="10">
        <v>137</v>
      </c>
      <c r="AE1118" s="10">
        <v>7</v>
      </c>
      <c r="AF1118" s="10">
        <v>8.5</v>
      </c>
      <c r="AG1118" s="9" t="s">
        <v>188</v>
      </c>
      <c r="AH1118" s="10"/>
      <c r="AI1118" s="10"/>
      <c r="AJ1118" s="10"/>
      <c r="AK1118" s="30"/>
    </row>
    <row r="1119" spans="5:37">
      <c r="E1119" s="28" t="s">
        <v>155</v>
      </c>
      <c r="F1119" s="8" t="s">
        <v>332</v>
      </c>
      <c r="G1119" s="9" t="s">
        <v>410</v>
      </c>
      <c r="H1119" s="10">
        <v>158</v>
      </c>
      <c r="I1119" s="9" t="s">
        <v>163</v>
      </c>
      <c r="J1119" s="10">
        <v>158</v>
      </c>
      <c r="K1119" s="10">
        <v>157.30000000000001</v>
      </c>
      <c r="L1119" s="10">
        <v>109</v>
      </c>
      <c r="M1119" s="10">
        <v>130</v>
      </c>
      <c r="N1119" s="10">
        <v>132</v>
      </c>
      <c r="O1119" s="10">
        <v>103</v>
      </c>
      <c r="P1119" s="10">
        <v>123</v>
      </c>
      <c r="Q1119" s="10">
        <v>15.3</v>
      </c>
      <c r="R1119" s="10">
        <v>1713</v>
      </c>
      <c r="S1119" s="10">
        <v>1.03</v>
      </c>
      <c r="T1119" s="10">
        <v>1771</v>
      </c>
      <c r="U1119" s="10">
        <v>174</v>
      </c>
      <c r="V1119" s="10">
        <v>88</v>
      </c>
      <c r="W1119" s="10">
        <v>44</v>
      </c>
      <c r="X1119" s="10">
        <v>263</v>
      </c>
      <c r="Y1119" s="10">
        <v>32</v>
      </c>
      <c r="Z1119" s="10">
        <v>219</v>
      </c>
      <c r="AA1119" s="10">
        <v>0.71899999999999997</v>
      </c>
      <c r="AB1119" s="10">
        <v>133</v>
      </c>
      <c r="AC1119" s="10">
        <v>144</v>
      </c>
      <c r="AD1119" s="10">
        <v>131</v>
      </c>
      <c r="AE1119" s="10">
        <v>8</v>
      </c>
      <c r="AF1119" s="10">
        <v>8.5</v>
      </c>
      <c r="AG1119" s="9" t="s">
        <v>188</v>
      </c>
      <c r="AH1119" s="9" t="s">
        <v>169</v>
      </c>
      <c r="AI1119" s="10"/>
      <c r="AJ1119" s="10"/>
      <c r="AK1119" s="30"/>
    </row>
    <row r="1120" spans="5:37">
      <c r="E1120" s="28" t="s">
        <v>155</v>
      </c>
      <c r="F1120" s="8" t="s">
        <v>332</v>
      </c>
      <c r="G1120" s="9" t="s">
        <v>410</v>
      </c>
      <c r="H1120" s="10">
        <v>165</v>
      </c>
      <c r="I1120" s="9" t="s">
        <v>163</v>
      </c>
      <c r="J1120" s="10">
        <v>165</v>
      </c>
      <c r="K1120" s="10">
        <v>164.1</v>
      </c>
      <c r="L1120" s="10">
        <v>110</v>
      </c>
      <c r="M1120" s="10">
        <v>135</v>
      </c>
      <c r="N1120" s="10">
        <v>134</v>
      </c>
      <c r="O1120" s="10">
        <v>103</v>
      </c>
      <c r="P1120" s="10">
        <v>124</v>
      </c>
      <c r="Q1120" s="10">
        <v>15.6</v>
      </c>
      <c r="R1120" s="10">
        <v>1715</v>
      </c>
      <c r="S1120" s="10">
        <v>1.08</v>
      </c>
      <c r="T1120" s="10">
        <v>1857</v>
      </c>
      <c r="U1120" s="10">
        <v>174</v>
      </c>
      <c r="V1120" s="10">
        <v>94</v>
      </c>
      <c r="W1120" s="10">
        <v>57</v>
      </c>
      <c r="X1120" s="10">
        <v>297</v>
      </c>
      <c r="Y1120" s="10">
        <v>39</v>
      </c>
      <c r="Z1120" s="10">
        <v>241</v>
      </c>
      <c r="AA1120" s="10">
        <v>0.68700000000000006</v>
      </c>
      <c r="AB1120" s="10">
        <v>134</v>
      </c>
      <c r="AC1120" s="10">
        <v>160</v>
      </c>
      <c r="AD1120" s="10">
        <v>163</v>
      </c>
      <c r="AE1120" s="10">
        <v>5</v>
      </c>
      <c r="AF1120" s="10">
        <v>8.4</v>
      </c>
      <c r="AG1120" s="9" t="s">
        <v>188</v>
      </c>
      <c r="AH1120" s="9" t="s">
        <v>169</v>
      </c>
      <c r="AI1120" s="9" t="s">
        <v>185</v>
      </c>
      <c r="AJ1120" s="10"/>
      <c r="AK1120" s="30"/>
    </row>
    <row r="1121" spans="5:37">
      <c r="E1121" s="28" t="s">
        <v>155</v>
      </c>
      <c r="F1121" s="8" t="s">
        <v>332</v>
      </c>
      <c r="G1121" s="9" t="s">
        <v>410</v>
      </c>
      <c r="H1121" s="10">
        <v>172</v>
      </c>
      <c r="I1121" s="9" t="s">
        <v>163</v>
      </c>
      <c r="J1121" s="10">
        <v>172</v>
      </c>
      <c r="K1121" s="10">
        <v>170.6</v>
      </c>
      <c r="L1121" s="10">
        <v>116</v>
      </c>
      <c r="M1121" s="10">
        <v>142</v>
      </c>
      <c r="N1121" s="10">
        <v>135</v>
      </c>
      <c r="O1121" s="10">
        <v>103</v>
      </c>
      <c r="P1121" s="10">
        <v>125</v>
      </c>
      <c r="Q1121" s="10">
        <v>16.3</v>
      </c>
      <c r="R1121" s="10">
        <v>1787</v>
      </c>
      <c r="S1121" s="10">
        <v>1.0900000000000001</v>
      </c>
      <c r="T1121" s="10">
        <v>1945</v>
      </c>
      <c r="U1121" s="10">
        <v>182</v>
      </c>
      <c r="V1121" s="10">
        <v>99</v>
      </c>
      <c r="W1121" s="10">
        <v>62</v>
      </c>
      <c r="X1121" s="10">
        <v>298</v>
      </c>
      <c r="Y1121" s="10">
        <v>44</v>
      </c>
      <c r="Z1121" s="10">
        <v>248</v>
      </c>
      <c r="AA1121" s="10">
        <v>0.71299999999999997</v>
      </c>
      <c r="AB1121" s="10">
        <v>140</v>
      </c>
      <c r="AC1121" s="10">
        <v>151</v>
      </c>
      <c r="AD1121" s="10">
        <v>159</v>
      </c>
      <c r="AE1121" s="10">
        <v>7</v>
      </c>
      <c r="AF1121" s="10">
        <v>8.8000000000000007</v>
      </c>
      <c r="AG1121" s="9" t="s">
        <v>188</v>
      </c>
      <c r="AH1121" s="9" t="s">
        <v>169</v>
      </c>
      <c r="AI1121" s="9" t="s">
        <v>185</v>
      </c>
      <c r="AJ1121" s="10"/>
      <c r="AK1121" s="30"/>
    </row>
    <row r="1122" spans="5:37">
      <c r="E1122" s="28" t="s">
        <v>155</v>
      </c>
      <c r="F1122" s="8" t="s">
        <v>332</v>
      </c>
      <c r="G1122" s="9" t="s">
        <v>410</v>
      </c>
      <c r="H1122" s="10">
        <v>179</v>
      </c>
      <c r="I1122" s="9" t="s">
        <v>163</v>
      </c>
      <c r="J1122" s="10">
        <v>179</v>
      </c>
      <c r="K1122" s="10">
        <v>177.6</v>
      </c>
      <c r="L1122" s="10">
        <v>122</v>
      </c>
      <c r="M1122" s="10">
        <v>147</v>
      </c>
      <c r="N1122" s="10">
        <v>135</v>
      </c>
      <c r="O1122" s="10">
        <v>103</v>
      </c>
      <c r="P1122" s="10">
        <v>126</v>
      </c>
      <c r="Q1122" s="10">
        <v>17.5</v>
      </c>
      <c r="R1122" s="10">
        <v>1898</v>
      </c>
      <c r="S1122" s="10">
        <v>1.07</v>
      </c>
      <c r="T1122" s="10">
        <v>2026</v>
      </c>
      <c r="U1122" s="10">
        <v>220</v>
      </c>
      <c r="V1122" s="10">
        <v>108</v>
      </c>
      <c r="W1122" s="10">
        <v>64</v>
      </c>
      <c r="X1122" s="10">
        <v>307</v>
      </c>
      <c r="Y1122" s="10">
        <v>42</v>
      </c>
      <c r="Z1122" s="10">
        <v>248</v>
      </c>
      <c r="AA1122" s="10">
        <v>0.64500000000000002</v>
      </c>
      <c r="AB1122" s="10">
        <v>155</v>
      </c>
      <c r="AC1122" s="10">
        <v>154</v>
      </c>
      <c r="AD1122" s="10">
        <v>152</v>
      </c>
      <c r="AE1122" s="10">
        <v>6</v>
      </c>
      <c r="AF1122" s="10">
        <v>8.6999999999999993</v>
      </c>
      <c r="AG1122" s="9" t="s">
        <v>188</v>
      </c>
      <c r="AH1122" s="9" t="s">
        <v>169</v>
      </c>
      <c r="AI1122" s="9" t="s">
        <v>185</v>
      </c>
      <c r="AJ1122" s="10"/>
      <c r="AK1122" s="30"/>
    </row>
    <row r="1123" spans="5:37">
      <c r="E1123" s="28" t="s">
        <v>155</v>
      </c>
      <c r="F1123" s="8" t="s">
        <v>332</v>
      </c>
      <c r="G1123" s="9" t="s">
        <v>333</v>
      </c>
      <c r="H1123" s="10">
        <v>169</v>
      </c>
      <c r="I1123" s="9" t="s">
        <v>163</v>
      </c>
      <c r="J1123" s="10">
        <v>169</v>
      </c>
      <c r="K1123" s="10">
        <v>167.7</v>
      </c>
      <c r="L1123" s="10">
        <v>110</v>
      </c>
      <c r="M1123" s="10">
        <v>136</v>
      </c>
      <c r="N1123" s="10">
        <v>140</v>
      </c>
      <c r="O1123" s="10">
        <v>109</v>
      </c>
      <c r="P1123" s="10">
        <v>130</v>
      </c>
      <c r="Q1123" s="10">
        <v>15.7</v>
      </c>
      <c r="R1123" s="10">
        <v>1839</v>
      </c>
      <c r="S1123" s="10">
        <v>1.0900000000000001</v>
      </c>
      <c r="T1123" s="10">
        <v>1999</v>
      </c>
      <c r="U1123" s="10">
        <v>197</v>
      </c>
      <c r="V1123" s="10">
        <v>103</v>
      </c>
      <c r="W1123" s="10">
        <v>64</v>
      </c>
      <c r="X1123" s="10">
        <v>312</v>
      </c>
      <c r="Y1123" s="10">
        <v>45</v>
      </c>
      <c r="Z1123" s="10">
        <v>262</v>
      </c>
      <c r="AA1123" s="10">
        <v>0.71</v>
      </c>
      <c r="AB1123" s="10">
        <v>156</v>
      </c>
      <c r="AC1123" s="10">
        <v>162</v>
      </c>
      <c r="AD1123" s="10">
        <v>156</v>
      </c>
      <c r="AE1123" s="10">
        <v>5</v>
      </c>
      <c r="AF1123" s="10">
        <v>9.3000000000000007</v>
      </c>
      <c r="AG1123" s="9" t="s">
        <v>169</v>
      </c>
      <c r="AH1123" s="9" t="s">
        <v>185</v>
      </c>
      <c r="AI1123" s="10"/>
      <c r="AJ1123" s="10"/>
      <c r="AK1123" s="30"/>
    </row>
    <row r="1124" spans="5:37">
      <c r="E1124" s="28" t="s">
        <v>155</v>
      </c>
      <c r="F1124" s="8" t="s">
        <v>332</v>
      </c>
      <c r="G1124" s="9" t="s">
        <v>333</v>
      </c>
      <c r="H1124" s="10">
        <v>177</v>
      </c>
      <c r="I1124" s="9" t="s">
        <v>163</v>
      </c>
      <c r="J1124" s="10">
        <v>177</v>
      </c>
      <c r="K1124" s="10">
        <v>175.5</v>
      </c>
      <c r="L1124" s="10">
        <v>116</v>
      </c>
      <c r="M1124" s="10">
        <v>145</v>
      </c>
      <c r="N1124" s="10">
        <v>140</v>
      </c>
      <c r="O1124" s="10">
        <v>108</v>
      </c>
      <c r="P1124" s="10">
        <v>131</v>
      </c>
      <c r="Q1124" s="10">
        <v>16.7</v>
      </c>
      <c r="R1124" s="10">
        <v>1908</v>
      </c>
      <c r="S1124" s="10">
        <v>1.0900000000000001</v>
      </c>
      <c r="T1124" s="10">
        <v>2087</v>
      </c>
      <c r="U1124" s="10">
        <v>199</v>
      </c>
      <c r="V1124" s="10">
        <v>103</v>
      </c>
      <c r="W1124" s="10">
        <v>71</v>
      </c>
      <c r="X1124" s="10">
        <v>323</v>
      </c>
      <c r="Y1124" s="10">
        <v>50</v>
      </c>
      <c r="Z1124" s="10">
        <v>268</v>
      </c>
      <c r="AA1124" s="10">
        <v>0.70799999999999996</v>
      </c>
      <c r="AB1124" s="10">
        <v>156</v>
      </c>
      <c r="AC1124" s="10">
        <v>153</v>
      </c>
      <c r="AD1124" s="10">
        <v>167</v>
      </c>
      <c r="AE1124" s="10">
        <v>6</v>
      </c>
      <c r="AF1124" s="10">
        <v>8.4</v>
      </c>
      <c r="AG1124" s="9" t="s">
        <v>169</v>
      </c>
      <c r="AH1124" s="9" t="s">
        <v>185</v>
      </c>
      <c r="AI1124" s="10"/>
      <c r="AJ1124" s="10"/>
      <c r="AK1124" s="30"/>
    </row>
    <row r="1125" spans="5:37">
      <c r="E1125" s="28" t="s">
        <v>155</v>
      </c>
      <c r="F1125" s="8" t="s">
        <v>332</v>
      </c>
      <c r="G1125" s="9" t="s">
        <v>726</v>
      </c>
      <c r="H1125" s="10">
        <v>151</v>
      </c>
      <c r="I1125" s="9" t="s">
        <v>163</v>
      </c>
      <c r="J1125" s="10">
        <v>151</v>
      </c>
      <c r="K1125" s="10">
        <v>149.69999999999999</v>
      </c>
      <c r="L1125" s="10">
        <v>109</v>
      </c>
      <c r="M1125" s="10">
        <v>128</v>
      </c>
      <c r="N1125" s="10">
        <v>119</v>
      </c>
      <c r="O1125" s="10">
        <v>83</v>
      </c>
      <c r="P1125" s="10">
        <v>104</v>
      </c>
      <c r="Q1125" s="10">
        <v>12.8</v>
      </c>
      <c r="R1125" s="10">
        <v>1399</v>
      </c>
      <c r="S1125" s="10">
        <v>1.02</v>
      </c>
      <c r="T1125" s="10">
        <v>1427</v>
      </c>
      <c r="U1125" s="10">
        <v>163</v>
      </c>
      <c r="V1125" s="10">
        <v>75</v>
      </c>
      <c r="W1125" s="10">
        <v>60</v>
      </c>
      <c r="X1125" s="10">
        <v>257</v>
      </c>
      <c r="Y1125" s="10">
        <v>17</v>
      </c>
      <c r="Z1125" s="10">
        <v>150</v>
      </c>
      <c r="AA1125" s="10">
        <v>0.28999999999999998</v>
      </c>
      <c r="AB1125" s="10">
        <v>129</v>
      </c>
      <c r="AC1125" s="10">
        <v>91</v>
      </c>
      <c r="AD1125" s="10">
        <v>128</v>
      </c>
      <c r="AE1125" s="10">
        <v>3</v>
      </c>
      <c r="AF1125" s="10">
        <v>10</v>
      </c>
      <c r="AG1125" s="9" t="s">
        <v>231</v>
      </c>
      <c r="AH1125" s="9" t="s">
        <v>188</v>
      </c>
      <c r="AI1125" s="10"/>
      <c r="AJ1125" s="10"/>
      <c r="AK1125" s="30"/>
    </row>
    <row r="1126" spans="5:37">
      <c r="E1126" s="28" t="s">
        <v>155</v>
      </c>
      <c r="F1126" s="8" t="s">
        <v>332</v>
      </c>
      <c r="G1126" s="9" t="s">
        <v>726</v>
      </c>
      <c r="H1126" s="10">
        <v>158</v>
      </c>
      <c r="I1126" s="9" t="s">
        <v>163</v>
      </c>
      <c r="J1126" s="10">
        <v>158</v>
      </c>
      <c r="K1126" s="10">
        <v>157.19999999999999</v>
      </c>
      <c r="L1126" s="10">
        <v>118</v>
      </c>
      <c r="M1126" s="10">
        <v>133</v>
      </c>
      <c r="N1126" s="10">
        <v>120</v>
      </c>
      <c r="O1126" s="10">
        <v>83</v>
      </c>
      <c r="P1126" s="10">
        <v>105</v>
      </c>
      <c r="Q1126" s="10">
        <v>14</v>
      </c>
      <c r="R1126" s="10">
        <v>1529</v>
      </c>
      <c r="S1126" s="10">
        <v>0.98</v>
      </c>
      <c r="T1126" s="10">
        <v>1505</v>
      </c>
      <c r="U1126" s="10">
        <v>174</v>
      </c>
      <c r="V1126" s="10">
        <v>79</v>
      </c>
      <c r="W1126" s="10">
        <v>59</v>
      </c>
      <c r="X1126" s="10">
        <v>254</v>
      </c>
      <c r="Y1126" s="10">
        <v>15</v>
      </c>
      <c r="Z1126" s="10">
        <v>141</v>
      </c>
      <c r="AA1126" s="10">
        <v>0.26300000000000001</v>
      </c>
      <c r="AB1126" s="10">
        <v>141</v>
      </c>
      <c r="AC1126" s="10">
        <v>98</v>
      </c>
      <c r="AD1126" s="10">
        <v>113</v>
      </c>
      <c r="AE1126" s="10">
        <v>5</v>
      </c>
      <c r="AF1126" s="10">
        <v>10.1</v>
      </c>
      <c r="AG1126" s="9" t="s">
        <v>231</v>
      </c>
      <c r="AH1126" s="9" t="s">
        <v>188</v>
      </c>
      <c r="AI1126" s="10"/>
      <c r="AJ1126" s="10"/>
      <c r="AK1126" s="30"/>
    </row>
    <row r="1127" spans="5:37">
      <c r="E1127" s="28" t="s">
        <v>155</v>
      </c>
      <c r="F1127" s="8" t="s">
        <v>332</v>
      </c>
      <c r="G1127" s="9" t="s">
        <v>726</v>
      </c>
      <c r="H1127" s="10">
        <v>165</v>
      </c>
      <c r="I1127" s="9" t="s">
        <v>163</v>
      </c>
      <c r="J1127" s="10">
        <v>165</v>
      </c>
      <c r="K1127" s="10">
        <v>164.1</v>
      </c>
      <c r="L1127" s="10">
        <v>123</v>
      </c>
      <c r="M1127" s="10">
        <v>139</v>
      </c>
      <c r="N1127" s="10">
        <v>121</v>
      </c>
      <c r="O1127" s="10">
        <v>83</v>
      </c>
      <c r="P1127" s="10">
        <v>105</v>
      </c>
      <c r="Q1127" s="10">
        <v>15.3</v>
      </c>
      <c r="R1127" s="10">
        <v>1560</v>
      </c>
      <c r="S1127" s="10">
        <v>1.01</v>
      </c>
      <c r="T1127" s="10">
        <v>1572</v>
      </c>
      <c r="U1127" s="10">
        <v>164</v>
      </c>
      <c r="V1127" s="10">
        <v>75</v>
      </c>
      <c r="W1127" s="10">
        <v>58</v>
      </c>
      <c r="X1127" s="10">
        <v>259</v>
      </c>
      <c r="Y1127" s="10">
        <v>17</v>
      </c>
      <c r="Z1127" s="10">
        <v>150</v>
      </c>
      <c r="AA1127" s="10">
        <v>0.28599999999999998</v>
      </c>
      <c r="AB1127" s="10">
        <v>142</v>
      </c>
      <c r="AC1127" s="10">
        <v>104</v>
      </c>
      <c r="AD1127" s="10">
        <v>117</v>
      </c>
      <c r="AE1127" s="10">
        <v>3</v>
      </c>
      <c r="AF1127" s="10">
        <v>10.4</v>
      </c>
      <c r="AG1127" s="9" t="s">
        <v>231</v>
      </c>
      <c r="AH1127" s="9" t="s">
        <v>188</v>
      </c>
      <c r="AI1127" s="10"/>
      <c r="AJ1127" s="10"/>
      <c r="AK1127" s="30"/>
    </row>
    <row r="1128" spans="5:37">
      <c r="E1128" s="28" t="s">
        <v>155</v>
      </c>
      <c r="F1128" s="8" t="s">
        <v>332</v>
      </c>
      <c r="G1128" s="9" t="s">
        <v>563</v>
      </c>
      <c r="H1128" s="10">
        <v>151</v>
      </c>
      <c r="I1128" s="9" t="s">
        <v>163</v>
      </c>
      <c r="J1128" s="10">
        <v>151</v>
      </c>
      <c r="K1128" s="10">
        <v>150.6</v>
      </c>
      <c r="L1128" s="10">
        <v>108</v>
      </c>
      <c r="M1128" s="10">
        <v>126</v>
      </c>
      <c r="N1128" s="10">
        <v>119</v>
      </c>
      <c r="O1128" s="10">
        <v>87</v>
      </c>
      <c r="P1128" s="10">
        <v>105</v>
      </c>
      <c r="Q1128" s="10">
        <v>13.5</v>
      </c>
      <c r="R1128" s="10">
        <v>1585</v>
      </c>
      <c r="S1128" s="10">
        <v>0.93</v>
      </c>
      <c r="T1128" s="10">
        <v>1469</v>
      </c>
      <c r="U1128" s="10">
        <v>158</v>
      </c>
      <c r="V1128" s="10">
        <v>85</v>
      </c>
      <c r="W1128" s="10">
        <v>51</v>
      </c>
      <c r="X1128" s="10">
        <v>245</v>
      </c>
      <c r="Y1128" s="10">
        <v>13</v>
      </c>
      <c r="Z1128" s="10">
        <v>178</v>
      </c>
      <c r="AA1128" s="10">
        <v>0.26</v>
      </c>
      <c r="AB1128" s="10">
        <v>122</v>
      </c>
      <c r="AC1128" s="10">
        <v>125</v>
      </c>
      <c r="AD1128" s="10">
        <v>123</v>
      </c>
      <c r="AE1128" s="10">
        <v>6</v>
      </c>
      <c r="AF1128" s="10">
        <v>7.9</v>
      </c>
      <c r="AG1128" s="9" t="s">
        <v>188</v>
      </c>
      <c r="AH1128" s="10"/>
      <c r="AI1128" s="10"/>
      <c r="AJ1128" s="10"/>
      <c r="AK1128" s="30"/>
    </row>
    <row r="1129" spans="5:37">
      <c r="E1129" s="28" t="s">
        <v>155</v>
      </c>
      <c r="F1129" s="8" t="s">
        <v>332</v>
      </c>
      <c r="G1129" s="9" t="s">
        <v>563</v>
      </c>
      <c r="H1129" s="10">
        <v>158</v>
      </c>
      <c r="I1129" s="9" t="s">
        <v>163</v>
      </c>
      <c r="J1129" s="10">
        <v>158</v>
      </c>
      <c r="K1129" s="10">
        <v>157.4</v>
      </c>
      <c r="L1129" s="10">
        <v>114</v>
      </c>
      <c r="M1129" s="10">
        <v>129</v>
      </c>
      <c r="N1129" s="10">
        <v>119</v>
      </c>
      <c r="O1129" s="10">
        <v>87</v>
      </c>
      <c r="P1129" s="10">
        <v>106</v>
      </c>
      <c r="Q1129" s="10">
        <v>14.5</v>
      </c>
      <c r="R1129" s="10">
        <v>1654</v>
      </c>
      <c r="S1129" s="10">
        <v>0.93</v>
      </c>
      <c r="T1129" s="10">
        <v>1540</v>
      </c>
      <c r="U1129" s="10">
        <v>173</v>
      </c>
      <c r="V1129" s="10">
        <v>86</v>
      </c>
      <c r="W1129" s="10">
        <v>60</v>
      </c>
      <c r="X1129" s="10">
        <v>260</v>
      </c>
      <c r="Y1129" s="10">
        <v>11</v>
      </c>
      <c r="Z1129" s="10">
        <v>174</v>
      </c>
      <c r="AA1129" s="10">
        <v>0.183</v>
      </c>
      <c r="AB1129" s="10">
        <v>128</v>
      </c>
      <c r="AC1129" s="10">
        <v>154</v>
      </c>
      <c r="AD1129" s="10">
        <v>132</v>
      </c>
      <c r="AE1129" s="10">
        <v>7</v>
      </c>
      <c r="AF1129" s="10">
        <v>8.3000000000000007</v>
      </c>
      <c r="AG1129" s="9" t="s">
        <v>188</v>
      </c>
      <c r="AH1129" s="10"/>
      <c r="AI1129" s="10"/>
      <c r="AJ1129" s="10"/>
      <c r="AK1129" s="30"/>
    </row>
    <row r="1130" spans="5:37">
      <c r="E1130" s="28" t="s">
        <v>155</v>
      </c>
      <c r="F1130" s="8" t="s">
        <v>332</v>
      </c>
      <c r="G1130" s="9" t="s">
        <v>563</v>
      </c>
      <c r="H1130" s="10">
        <v>165</v>
      </c>
      <c r="I1130" s="9" t="s">
        <v>163</v>
      </c>
      <c r="J1130" s="10">
        <v>165</v>
      </c>
      <c r="K1130" s="10">
        <v>164.5</v>
      </c>
      <c r="L1130" s="10">
        <v>122</v>
      </c>
      <c r="M1130" s="10">
        <v>138</v>
      </c>
      <c r="N1130" s="10">
        <v>120</v>
      </c>
      <c r="O1130" s="10">
        <v>87</v>
      </c>
      <c r="P1130" s="10">
        <v>106</v>
      </c>
      <c r="Q1130" s="10">
        <v>15.7</v>
      </c>
      <c r="R1130" s="10">
        <v>1783</v>
      </c>
      <c r="S1130" s="10">
        <v>0.9</v>
      </c>
      <c r="T1130" s="10">
        <v>1614</v>
      </c>
      <c r="U1130" s="10">
        <v>177</v>
      </c>
      <c r="V1130" s="10">
        <v>89</v>
      </c>
      <c r="W1130" s="10">
        <v>52</v>
      </c>
      <c r="X1130" s="10">
        <v>253</v>
      </c>
      <c r="Y1130" s="10">
        <v>12</v>
      </c>
      <c r="Z1130" s="10">
        <v>168</v>
      </c>
      <c r="AA1130" s="10">
        <v>0.22900000000000001</v>
      </c>
      <c r="AB1130" s="10">
        <v>128</v>
      </c>
      <c r="AC1130" s="10">
        <v>141</v>
      </c>
      <c r="AD1130" s="10">
        <v>125</v>
      </c>
      <c r="AE1130" s="10">
        <v>9</v>
      </c>
      <c r="AF1130" s="10">
        <v>8.3000000000000007</v>
      </c>
      <c r="AG1130" s="9" t="s">
        <v>188</v>
      </c>
      <c r="AH1130" s="10"/>
      <c r="AI1130" s="10"/>
      <c r="AJ1130" s="10"/>
      <c r="AK1130" s="30"/>
    </row>
    <row r="1131" spans="5:37">
      <c r="E1131" s="28" t="s">
        <v>155</v>
      </c>
      <c r="F1131" s="8" t="s">
        <v>332</v>
      </c>
      <c r="G1131" s="9" t="s">
        <v>563</v>
      </c>
      <c r="H1131" s="10">
        <v>172</v>
      </c>
      <c r="I1131" s="9" t="s">
        <v>163</v>
      </c>
      <c r="J1131" s="10">
        <v>172</v>
      </c>
      <c r="K1131" s="10">
        <v>172</v>
      </c>
      <c r="L1131" s="10">
        <v>126</v>
      </c>
      <c r="M1131" s="10">
        <v>143</v>
      </c>
      <c r="N1131" s="10">
        <v>122</v>
      </c>
      <c r="O1131" s="10">
        <v>87</v>
      </c>
      <c r="P1131" s="10">
        <v>108</v>
      </c>
      <c r="Q1131" s="10">
        <v>16.100000000000001</v>
      </c>
      <c r="R1131" s="10">
        <v>1894</v>
      </c>
      <c r="S1131" s="10">
        <v>0.9</v>
      </c>
      <c r="T1131" s="10">
        <v>1697</v>
      </c>
      <c r="U1131" s="10">
        <v>205</v>
      </c>
      <c r="V1131" s="10">
        <v>101</v>
      </c>
      <c r="W1131" s="10">
        <v>59</v>
      </c>
      <c r="X1131" s="10">
        <v>266</v>
      </c>
      <c r="Y1131" s="10">
        <v>16</v>
      </c>
      <c r="Z1131" s="10">
        <v>198</v>
      </c>
      <c r="AA1131" s="10">
        <v>0.26700000000000002</v>
      </c>
      <c r="AB1131" s="10">
        <v>134</v>
      </c>
      <c r="AC1131" s="10">
        <v>152</v>
      </c>
      <c r="AD1131" s="10">
        <v>132</v>
      </c>
      <c r="AE1131" s="10">
        <v>7</v>
      </c>
      <c r="AF1131" s="10">
        <v>8.5</v>
      </c>
      <c r="AG1131" s="9" t="s">
        <v>188</v>
      </c>
      <c r="AH1131" s="10"/>
      <c r="AI1131" s="10"/>
      <c r="AJ1131" s="10"/>
      <c r="AK1131" s="30"/>
    </row>
    <row r="1132" spans="5:37">
      <c r="E1132" s="28" t="s">
        <v>155</v>
      </c>
      <c r="F1132" s="8" t="s">
        <v>332</v>
      </c>
      <c r="G1132" s="9" t="s">
        <v>528</v>
      </c>
      <c r="H1132" s="10">
        <v>151</v>
      </c>
      <c r="I1132" s="9" t="s">
        <v>163</v>
      </c>
      <c r="J1132" s="10">
        <v>151</v>
      </c>
      <c r="K1132" s="10">
        <v>150.30000000000001</v>
      </c>
      <c r="L1132" s="10">
        <v>106</v>
      </c>
      <c r="M1132" s="10">
        <v>123</v>
      </c>
      <c r="N1132" s="10">
        <v>125</v>
      </c>
      <c r="O1132" s="10">
        <v>92</v>
      </c>
      <c r="P1132" s="10">
        <v>110</v>
      </c>
      <c r="Q1132" s="10">
        <v>13.1</v>
      </c>
      <c r="R1132" s="10">
        <v>1607</v>
      </c>
      <c r="S1132" s="10">
        <v>0.96</v>
      </c>
      <c r="T1132" s="10">
        <v>1547</v>
      </c>
      <c r="U1132" s="10">
        <v>148</v>
      </c>
      <c r="V1132" s="10">
        <v>84</v>
      </c>
      <c r="W1132" s="10">
        <v>53</v>
      </c>
      <c r="X1132" s="10">
        <v>253</v>
      </c>
      <c r="Y1132" s="10">
        <v>15</v>
      </c>
      <c r="Z1132" s="10">
        <v>190</v>
      </c>
      <c r="AA1132" s="10">
        <v>0.28399999999999997</v>
      </c>
      <c r="AB1132" s="10">
        <v>127</v>
      </c>
      <c r="AC1132" s="10">
        <v>145</v>
      </c>
      <c r="AD1132" s="10">
        <v>127</v>
      </c>
      <c r="AE1132" s="10">
        <v>6</v>
      </c>
      <c r="AF1132" s="10">
        <v>8.6</v>
      </c>
      <c r="AG1132" s="9" t="s">
        <v>188</v>
      </c>
      <c r="AH1132" s="10"/>
      <c r="AI1132" s="10"/>
      <c r="AJ1132" s="10"/>
      <c r="AK1132" s="30"/>
    </row>
    <row r="1133" spans="5:37">
      <c r="E1133" s="28" t="s">
        <v>155</v>
      </c>
      <c r="F1133" s="8" t="s">
        <v>332</v>
      </c>
      <c r="G1133" s="9" t="s">
        <v>528</v>
      </c>
      <c r="H1133" s="10">
        <v>158</v>
      </c>
      <c r="I1133" s="9" t="s">
        <v>163</v>
      </c>
      <c r="J1133" s="10">
        <v>158</v>
      </c>
      <c r="K1133" s="10">
        <v>157.19999999999999</v>
      </c>
      <c r="L1133" s="10">
        <v>111</v>
      </c>
      <c r="M1133" s="10">
        <v>128</v>
      </c>
      <c r="N1133" s="10">
        <v>126</v>
      </c>
      <c r="O1133" s="10">
        <v>93</v>
      </c>
      <c r="P1133" s="10">
        <v>112</v>
      </c>
      <c r="Q1133" s="10">
        <v>14.3</v>
      </c>
      <c r="R1133" s="10">
        <v>1755</v>
      </c>
      <c r="S1133" s="10">
        <v>0.93</v>
      </c>
      <c r="T1133" s="10">
        <v>1634</v>
      </c>
      <c r="U1133" s="10">
        <v>173</v>
      </c>
      <c r="V1133" s="10">
        <v>97</v>
      </c>
      <c r="W1133" s="10">
        <v>60</v>
      </c>
      <c r="X1133" s="10">
        <v>270</v>
      </c>
      <c r="Y1133" s="10">
        <v>18</v>
      </c>
      <c r="Z1133" s="10">
        <v>193</v>
      </c>
      <c r="AA1133" s="10">
        <v>0.30299999999999999</v>
      </c>
      <c r="AB1133" s="10">
        <v>150</v>
      </c>
      <c r="AC1133" s="10">
        <v>143</v>
      </c>
      <c r="AD1133" s="10">
        <v>120</v>
      </c>
      <c r="AE1133" s="10">
        <v>6</v>
      </c>
      <c r="AF1133" s="10">
        <v>8.6999999999999993</v>
      </c>
      <c r="AG1133" s="9" t="s">
        <v>188</v>
      </c>
      <c r="AH1133" s="10"/>
      <c r="AI1133" s="10"/>
      <c r="AJ1133" s="10"/>
      <c r="AK1133" s="30"/>
    </row>
    <row r="1134" spans="5:37">
      <c r="E1134" s="28" t="s">
        <v>155</v>
      </c>
      <c r="F1134" s="8" t="s">
        <v>332</v>
      </c>
      <c r="G1134" s="9" t="s">
        <v>528</v>
      </c>
      <c r="H1134" s="10">
        <v>165</v>
      </c>
      <c r="I1134" s="9" t="s">
        <v>163</v>
      </c>
      <c r="J1134" s="10">
        <v>165</v>
      </c>
      <c r="K1134" s="10">
        <v>164.2</v>
      </c>
      <c r="L1134" s="10">
        <v>117</v>
      </c>
      <c r="M1134" s="10">
        <v>137</v>
      </c>
      <c r="N1134" s="10">
        <v>126</v>
      </c>
      <c r="O1134" s="10">
        <v>93</v>
      </c>
      <c r="P1134" s="10">
        <v>112</v>
      </c>
      <c r="Q1134" s="10">
        <v>15.4</v>
      </c>
      <c r="R1134" s="10">
        <v>1825</v>
      </c>
      <c r="S1134" s="10">
        <v>0.93</v>
      </c>
      <c r="T1134" s="10">
        <v>1699</v>
      </c>
      <c r="U1134" s="10">
        <v>205</v>
      </c>
      <c r="V1134" s="10">
        <v>91</v>
      </c>
      <c r="W1134" s="10">
        <v>60</v>
      </c>
      <c r="X1134" s="10">
        <v>283</v>
      </c>
      <c r="Y1134" s="10">
        <v>14</v>
      </c>
      <c r="Z1134" s="10">
        <v>186</v>
      </c>
      <c r="AA1134" s="10">
        <v>0.23</v>
      </c>
      <c r="AB1134" s="10">
        <v>130</v>
      </c>
      <c r="AC1134" s="10">
        <v>137</v>
      </c>
      <c r="AD1134" s="10">
        <v>153</v>
      </c>
      <c r="AE1134" s="10">
        <v>6</v>
      </c>
      <c r="AF1134" s="10">
        <v>8.5</v>
      </c>
      <c r="AG1134" s="9" t="s">
        <v>188</v>
      </c>
      <c r="AH1134" s="10"/>
      <c r="AI1134" s="10"/>
      <c r="AJ1134" s="10"/>
      <c r="AK1134" s="30"/>
    </row>
    <row r="1135" spans="5:37">
      <c r="E1135" s="28" t="s">
        <v>155</v>
      </c>
      <c r="F1135" s="8" t="s">
        <v>332</v>
      </c>
      <c r="G1135" s="9" t="s">
        <v>528</v>
      </c>
      <c r="H1135" s="10">
        <v>172</v>
      </c>
      <c r="I1135" s="9" t="s">
        <v>163</v>
      </c>
      <c r="J1135" s="10">
        <v>172</v>
      </c>
      <c r="K1135" s="10">
        <v>171.2</v>
      </c>
      <c r="L1135" s="10">
        <v>123</v>
      </c>
      <c r="M1135" s="10">
        <v>142</v>
      </c>
      <c r="N1135" s="10">
        <v>127</v>
      </c>
      <c r="O1135" s="10">
        <v>92</v>
      </c>
      <c r="P1135" s="10">
        <v>113</v>
      </c>
      <c r="Q1135" s="10">
        <v>15.9</v>
      </c>
      <c r="R1135" s="10">
        <v>2016</v>
      </c>
      <c r="S1135" s="10">
        <v>0.88</v>
      </c>
      <c r="T1135" s="10">
        <v>1775</v>
      </c>
      <c r="U1135" s="10">
        <v>250</v>
      </c>
      <c r="V1135" s="10">
        <v>118</v>
      </c>
      <c r="W1135" s="10">
        <v>61</v>
      </c>
      <c r="X1135" s="10">
        <v>287</v>
      </c>
      <c r="Y1135" s="10">
        <v>16</v>
      </c>
      <c r="Z1135" s="10">
        <v>197</v>
      </c>
      <c r="AA1135" s="10">
        <v>0.25600000000000001</v>
      </c>
      <c r="AB1135" s="10">
        <v>137</v>
      </c>
      <c r="AC1135" s="10">
        <v>155</v>
      </c>
      <c r="AD1135" s="10">
        <v>150</v>
      </c>
      <c r="AE1135" s="10">
        <v>5</v>
      </c>
      <c r="AF1135" s="10">
        <v>8.5</v>
      </c>
      <c r="AG1135" s="9" t="s">
        <v>188</v>
      </c>
      <c r="AH1135" s="10"/>
      <c r="AI1135" s="10"/>
      <c r="AJ1135" s="10"/>
      <c r="AK1135" s="30"/>
    </row>
    <row r="1136" spans="5:37">
      <c r="E1136" s="28" t="s">
        <v>155</v>
      </c>
      <c r="F1136" s="8" t="s">
        <v>332</v>
      </c>
      <c r="G1136" s="9" t="s">
        <v>369</v>
      </c>
      <c r="H1136" s="10">
        <v>165</v>
      </c>
      <c r="I1136" s="9" t="s">
        <v>163</v>
      </c>
      <c r="J1136" s="10">
        <v>165</v>
      </c>
      <c r="K1136" s="10">
        <v>164.4</v>
      </c>
      <c r="L1136" s="10">
        <v>119</v>
      </c>
      <c r="M1136" s="10">
        <v>135</v>
      </c>
      <c r="N1136" s="10">
        <v>131</v>
      </c>
      <c r="O1136" s="10">
        <v>99</v>
      </c>
      <c r="P1136" s="10">
        <v>117</v>
      </c>
      <c r="Q1136" s="10">
        <v>16.2</v>
      </c>
      <c r="R1136" s="10">
        <v>1783</v>
      </c>
      <c r="S1136" s="10">
        <v>1.01</v>
      </c>
      <c r="T1136" s="10">
        <v>1798</v>
      </c>
      <c r="U1136" s="10">
        <v>172</v>
      </c>
      <c r="V1136" s="10">
        <v>91</v>
      </c>
      <c r="W1136" s="10">
        <v>51</v>
      </c>
      <c r="X1136" s="10">
        <v>252</v>
      </c>
      <c r="Y1136" s="10">
        <v>18</v>
      </c>
      <c r="Z1136" s="10">
        <v>200</v>
      </c>
      <c r="AA1136" s="10">
        <v>0.35599999999999998</v>
      </c>
      <c r="AB1136" s="10">
        <v>154</v>
      </c>
      <c r="AC1136" s="10">
        <v>143</v>
      </c>
      <c r="AD1136" s="10">
        <v>98</v>
      </c>
      <c r="AE1136" s="10">
        <v>7</v>
      </c>
      <c r="AF1136" s="10">
        <v>8.5</v>
      </c>
      <c r="AG1136" s="9" t="s">
        <v>188</v>
      </c>
      <c r="AH1136" s="10"/>
      <c r="AI1136" s="10"/>
      <c r="AJ1136" s="10"/>
      <c r="AK1136" s="30"/>
    </row>
    <row r="1137" spans="5:37">
      <c r="E1137" s="28" t="s">
        <v>155</v>
      </c>
      <c r="F1137" s="8" t="s">
        <v>332</v>
      </c>
      <c r="G1137" s="9" t="s">
        <v>369</v>
      </c>
      <c r="H1137" s="10">
        <v>172</v>
      </c>
      <c r="I1137" s="9" t="s">
        <v>163</v>
      </c>
      <c r="J1137" s="10">
        <v>172</v>
      </c>
      <c r="K1137" s="10">
        <v>171.1</v>
      </c>
      <c r="L1137" s="10">
        <v>120</v>
      </c>
      <c r="M1137" s="10">
        <v>142</v>
      </c>
      <c r="N1137" s="10">
        <v>132</v>
      </c>
      <c r="O1137" s="10">
        <v>99</v>
      </c>
      <c r="P1137" s="10">
        <v>119</v>
      </c>
      <c r="Q1137" s="10">
        <v>16.899999999999999</v>
      </c>
      <c r="R1137" s="10">
        <v>1927</v>
      </c>
      <c r="S1137" s="10">
        <v>0.97</v>
      </c>
      <c r="T1137" s="10">
        <v>1877</v>
      </c>
      <c r="U1137" s="10">
        <v>192</v>
      </c>
      <c r="V1137" s="10">
        <v>99</v>
      </c>
      <c r="W1137" s="10">
        <v>62</v>
      </c>
      <c r="X1137" s="10">
        <v>296</v>
      </c>
      <c r="Y1137" s="10">
        <v>21</v>
      </c>
      <c r="Z1137" s="10">
        <v>213</v>
      </c>
      <c r="AA1137" s="10">
        <v>0.34399999999999997</v>
      </c>
      <c r="AB1137" s="10">
        <v>142</v>
      </c>
      <c r="AC1137" s="10">
        <v>150</v>
      </c>
      <c r="AD1137" s="10">
        <v>154</v>
      </c>
      <c r="AE1137" s="10">
        <v>5</v>
      </c>
      <c r="AF1137" s="10">
        <v>8.1999999999999993</v>
      </c>
      <c r="AG1137" s="9" t="s">
        <v>188</v>
      </c>
      <c r="AH1137" s="10"/>
      <c r="AI1137" s="10"/>
      <c r="AJ1137" s="10"/>
      <c r="AK1137" s="30"/>
    </row>
    <row r="1138" spans="5:37">
      <c r="E1138" s="28" t="s">
        <v>155</v>
      </c>
      <c r="F1138" s="8" t="s">
        <v>332</v>
      </c>
      <c r="G1138" s="9" t="s">
        <v>454</v>
      </c>
      <c r="H1138" s="10">
        <v>149</v>
      </c>
      <c r="I1138" s="9" t="s">
        <v>158</v>
      </c>
      <c r="J1138" s="10">
        <v>149</v>
      </c>
      <c r="K1138" s="10">
        <v>147.30000000000001</v>
      </c>
      <c r="L1138" s="10">
        <v>117</v>
      </c>
      <c r="M1138" s="10">
        <v>131</v>
      </c>
      <c r="N1138" s="10">
        <v>115</v>
      </c>
      <c r="O1138" s="10">
        <v>81</v>
      </c>
      <c r="P1138" s="10">
        <v>106</v>
      </c>
      <c r="Q1138" s="10">
        <v>14.4</v>
      </c>
      <c r="R1138" s="10">
        <v>1359</v>
      </c>
      <c r="S1138" s="10">
        <v>0.99</v>
      </c>
      <c r="T1138" s="10">
        <v>1352</v>
      </c>
      <c r="U1138" s="10">
        <v>114</v>
      </c>
      <c r="V1138" s="10">
        <v>59</v>
      </c>
      <c r="W1138" s="10">
        <v>47</v>
      </c>
      <c r="X1138" s="10">
        <v>156</v>
      </c>
      <c r="Y1138" s="10">
        <v>41</v>
      </c>
      <c r="Z1138" s="10">
        <v>148</v>
      </c>
      <c r="AA1138" s="10">
        <v>0.86299999999999999</v>
      </c>
      <c r="AB1138" s="10">
        <v>91</v>
      </c>
      <c r="AC1138" s="10">
        <v>76</v>
      </c>
      <c r="AD1138" s="10">
        <v>65</v>
      </c>
      <c r="AE1138" s="10">
        <v>10</v>
      </c>
      <c r="AF1138" s="10">
        <v>8.1999999999999993</v>
      </c>
      <c r="AG1138" s="9" t="s">
        <v>184</v>
      </c>
      <c r="AH1138" s="10"/>
      <c r="AI1138" s="10"/>
      <c r="AJ1138" s="10"/>
      <c r="AK1138" s="30"/>
    </row>
    <row r="1139" spans="5:37">
      <c r="E1139" s="28" t="s">
        <v>155</v>
      </c>
      <c r="F1139" s="8" t="s">
        <v>332</v>
      </c>
      <c r="G1139" s="9" t="s">
        <v>454</v>
      </c>
      <c r="H1139" s="10">
        <v>156</v>
      </c>
      <c r="I1139" s="9" t="s">
        <v>158</v>
      </c>
      <c r="J1139" s="10">
        <v>156</v>
      </c>
      <c r="K1139" s="10">
        <v>154.4</v>
      </c>
      <c r="L1139" s="10">
        <v>124</v>
      </c>
      <c r="M1139" s="10">
        <v>138</v>
      </c>
      <c r="N1139" s="10">
        <v>115</v>
      </c>
      <c r="O1139" s="10">
        <v>81</v>
      </c>
      <c r="P1139" s="10">
        <v>106</v>
      </c>
      <c r="Q1139" s="10">
        <v>15.9</v>
      </c>
      <c r="R1139" s="10">
        <v>1426</v>
      </c>
      <c r="S1139" s="10">
        <v>0.99</v>
      </c>
      <c r="T1139" s="10">
        <v>1417</v>
      </c>
      <c r="U1139" s="10">
        <v>135</v>
      </c>
      <c r="V1139" s="10">
        <v>69</v>
      </c>
      <c r="W1139" s="10">
        <v>48</v>
      </c>
      <c r="X1139" s="10">
        <v>154</v>
      </c>
      <c r="Y1139" s="10">
        <v>41</v>
      </c>
      <c r="Z1139" s="10">
        <v>148</v>
      </c>
      <c r="AA1139" s="10">
        <v>0.85499999999999998</v>
      </c>
      <c r="AB1139" s="10">
        <v>92</v>
      </c>
      <c r="AC1139" s="10">
        <v>72</v>
      </c>
      <c r="AD1139" s="10">
        <v>62</v>
      </c>
      <c r="AE1139" s="10">
        <v>10</v>
      </c>
      <c r="AF1139" s="10">
        <v>8.6999999999999993</v>
      </c>
      <c r="AG1139" s="9" t="s">
        <v>188</v>
      </c>
      <c r="AH1139" s="9" t="s">
        <v>184</v>
      </c>
      <c r="AI1139" s="10"/>
      <c r="AJ1139" s="10"/>
      <c r="AK1139" s="30"/>
    </row>
    <row r="1140" spans="5:37">
      <c r="E1140" s="28" t="s">
        <v>155</v>
      </c>
      <c r="F1140" s="8" t="s">
        <v>332</v>
      </c>
      <c r="G1140" s="9" t="s">
        <v>454</v>
      </c>
      <c r="H1140" s="10">
        <v>163</v>
      </c>
      <c r="I1140" s="9" t="s">
        <v>158</v>
      </c>
      <c r="J1140" s="10">
        <v>163</v>
      </c>
      <c r="K1140" s="10">
        <v>161.4</v>
      </c>
      <c r="L1140" s="10">
        <v>132</v>
      </c>
      <c r="M1140" s="10">
        <v>145</v>
      </c>
      <c r="N1140" s="10">
        <v>120</v>
      </c>
      <c r="O1140" s="10">
        <v>83</v>
      </c>
      <c r="P1140" s="10">
        <v>109</v>
      </c>
      <c r="Q1140" s="10">
        <v>16</v>
      </c>
      <c r="R1140" s="10">
        <v>1565</v>
      </c>
      <c r="S1140" s="10">
        <v>0.98</v>
      </c>
      <c r="T1140" s="10">
        <v>1527</v>
      </c>
      <c r="U1140" s="10">
        <v>160</v>
      </c>
      <c r="V1140" s="10">
        <v>86</v>
      </c>
      <c r="W1140" s="10">
        <v>45</v>
      </c>
      <c r="X1140" s="10">
        <v>152</v>
      </c>
      <c r="Y1140" s="10">
        <v>39</v>
      </c>
      <c r="Z1140" s="10">
        <v>140</v>
      </c>
      <c r="AA1140" s="10">
        <v>0.86599999999999999</v>
      </c>
      <c r="AB1140" s="10">
        <v>90</v>
      </c>
      <c r="AC1140" s="10">
        <v>76</v>
      </c>
      <c r="AD1140" s="10">
        <v>62</v>
      </c>
      <c r="AE1140" s="10">
        <v>9</v>
      </c>
      <c r="AF1140" s="10">
        <v>9.3000000000000007</v>
      </c>
      <c r="AG1140" s="9" t="s">
        <v>184</v>
      </c>
      <c r="AH1140" s="10"/>
      <c r="AI1140" s="10"/>
      <c r="AJ1140" s="10"/>
      <c r="AK1140" s="30"/>
    </row>
    <row r="1141" spans="5:37">
      <c r="E1141" s="28" t="s">
        <v>155</v>
      </c>
      <c r="F1141" s="8" t="s">
        <v>332</v>
      </c>
      <c r="G1141" s="9" t="s">
        <v>454</v>
      </c>
      <c r="H1141" s="10">
        <v>170</v>
      </c>
      <c r="I1141" s="9" t="s">
        <v>158</v>
      </c>
      <c r="J1141" s="10">
        <v>170</v>
      </c>
      <c r="K1141" s="10">
        <v>168.6</v>
      </c>
      <c r="L1141" s="10">
        <v>138</v>
      </c>
      <c r="M1141" s="10">
        <v>151</v>
      </c>
      <c r="N1141" s="10">
        <v>120</v>
      </c>
      <c r="O1141" s="10">
        <v>83</v>
      </c>
      <c r="P1141" s="10">
        <v>109</v>
      </c>
      <c r="Q1141" s="10">
        <v>18</v>
      </c>
      <c r="R1141" s="10">
        <v>1690</v>
      </c>
      <c r="S1141" s="10">
        <v>0.94</v>
      </c>
      <c r="T1141" s="10">
        <v>1593</v>
      </c>
      <c r="U1141" s="10">
        <v>200</v>
      </c>
      <c r="V1141" s="10">
        <v>103</v>
      </c>
      <c r="W1141" s="10">
        <v>48</v>
      </c>
      <c r="X1141" s="10">
        <v>159</v>
      </c>
      <c r="Y1141" s="10">
        <v>41</v>
      </c>
      <c r="Z1141" s="10">
        <v>143</v>
      </c>
      <c r="AA1141" s="10">
        <v>0.85299999999999998</v>
      </c>
      <c r="AB1141" s="10">
        <v>94</v>
      </c>
      <c r="AC1141" s="10">
        <v>78</v>
      </c>
      <c r="AD1141" s="10">
        <v>65</v>
      </c>
      <c r="AE1141" s="10">
        <v>11</v>
      </c>
      <c r="AF1141" s="10">
        <v>9.6999999999999993</v>
      </c>
      <c r="AG1141" s="9" t="s">
        <v>188</v>
      </c>
      <c r="AH1141" s="9" t="s">
        <v>184</v>
      </c>
      <c r="AI1141" s="10"/>
      <c r="AJ1141" s="10"/>
      <c r="AK1141" s="30"/>
    </row>
    <row r="1142" spans="5:37">
      <c r="E1142" s="28" t="s">
        <v>155</v>
      </c>
      <c r="F1142" s="8" t="s">
        <v>332</v>
      </c>
      <c r="G1142" s="9" t="s">
        <v>567</v>
      </c>
      <c r="H1142" s="10">
        <v>169</v>
      </c>
      <c r="I1142" s="9" t="s">
        <v>158</v>
      </c>
      <c r="J1142" s="10">
        <v>169</v>
      </c>
      <c r="K1142" s="10">
        <v>167.6</v>
      </c>
      <c r="L1142" s="10">
        <v>133</v>
      </c>
      <c r="M1142" s="10">
        <v>145</v>
      </c>
      <c r="N1142" s="10">
        <v>123</v>
      </c>
      <c r="O1142" s="10">
        <v>86</v>
      </c>
      <c r="P1142" s="10">
        <v>113</v>
      </c>
      <c r="Q1142" s="10">
        <v>15.3</v>
      </c>
      <c r="R1142" s="10">
        <v>1841</v>
      </c>
      <c r="S1142" s="10">
        <v>0.9</v>
      </c>
      <c r="T1142" s="10">
        <v>1654</v>
      </c>
      <c r="U1142" s="10">
        <v>156</v>
      </c>
      <c r="V1142" s="10">
        <v>77</v>
      </c>
      <c r="W1142" s="10">
        <v>46</v>
      </c>
      <c r="X1142" s="10">
        <v>174</v>
      </c>
      <c r="Y1142" s="10">
        <v>44</v>
      </c>
      <c r="Z1142" s="10">
        <v>176</v>
      </c>
      <c r="AA1142" s="10">
        <v>0.95699999999999996</v>
      </c>
      <c r="AB1142" s="10">
        <v>106</v>
      </c>
      <c r="AC1142" s="10">
        <v>122</v>
      </c>
      <c r="AD1142" s="10">
        <v>67</v>
      </c>
      <c r="AE1142" s="10">
        <v>12</v>
      </c>
      <c r="AF1142" s="10">
        <v>5.2</v>
      </c>
      <c r="AG1142" s="9" t="s">
        <v>184</v>
      </c>
      <c r="AH1142" s="10"/>
      <c r="AI1142" s="10"/>
      <c r="AJ1142" s="10"/>
      <c r="AK1142" s="30"/>
    </row>
    <row r="1143" spans="5:37">
      <c r="E1143" s="28" t="s">
        <v>155</v>
      </c>
      <c r="F1143" s="8" t="s">
        <v>332</v>
      </c>
      <c r="G1143" s="9" t="s">
        <v>567</v>
      </c>
      <c r="H1143" s="10">
        <v>177</v>
      </c>
      <c r="I1143" s="9" t="s">
        <v>158</v>
      </c>
      <c r="J1143" s="10">
        <v>177</v>
      </c>
      <c r="K1143" s="10">
        <v>175</v>
      </c>
      <c r="L1143" s="10">
        <v>138</v>
      </c>
      <c r="M1143" s="10">
        <v>153</v>
      </c>
      <c r="N1143" s="10">
        <v>124</v>
      </c>
      <c r="O1143" s="10">
        <v>86</v>
      </c>
      <c r="P1143" s="10">
        <v>114</v>
      </c>
      <c r="Q1143" s="10">
        <v>16.5</v>
      </c>
      <c r="R1143" s="10">
        <v>1946</v>
      </c>
      <c r="S1143" s="10">
        <v>0.89</v>
      </c>
      <c r="T1143" s="10">
        <v>1727</v>
      </c>
      <c r="U1143" s="10">
        <v>218</v>
      </c>
      <c r="V1143" s="10">
        <v>96</v>
      </c>
      <c r="W1143" s="10">
        <v>47</v>
      </c>
      <c r="X1143" s="10">
        <v>180</v>
      </c>
      <c r="Y1143" s="10">
        <v>48</v>
      </c>
      <c r="Z1143" s="10">
        <v>185</v>
      </c>
      <c r="AA1143" s="10">
        <v>1.0109999999999999</v>
      </c>
      <c r="AB1143" s="10">
        <v>103</v>
      </c>
      <c r="AC1143" s="10">
        <v>115</v>
      </c>
      <c r="AD1143" s="10">
        <v>78</v>
      </c>
      <c r="AE1143" s="10">
        <v>8</v>
      </c>
      <c r="AF1143" s="10">
        <v>6.6</v>
      </c>
      <c r="AG1143" s="9" t="s">
        <v>184</v>
      </c>
      <c r="AH1143" s="10"/>
      <c r="AI1143" s="10"/>
      <c r="AJ1143" s="10"/>
      <c r="AK1143" s="30"/>
    </row>
    <row r="1144" spans="5:37">
      <c r="E1144" s="28" t="s">
        <v>155</v>
      </c>
      <c r="F1144" s="8" t="s">
        <v>332</v>
      </c>
      <c r="G1144" s="9" t="s">
        <v>567</v>
      </c>
      <c r="H1144" s="10">
        <v>185</v>
      </c>
      <c r="I1144" s="9" t="s">
        <v>158</v>
      </c>
      <c r="J1144" s="10">
        <v>185</v>
      </c>
      <c r="K1144" s="10">
        <v>185</v>
      </c>
      <c r="L1144" s="10">
        <v>147</v>
      </c>
      <c r="M1144" s="10">
        <v>160</v>
      </c>
      <c r="N1144" s="10">
        <v>124</v>
      </c>
      <c r="O1144" s="10">
        <v>86</v>
      </c>
      <c r="P1144" s="10">
        <v>114</v>
      </c>
      <c r="Q1144" s="10">
        <v>18.5</v>
      </c>
      <c r="R1144" s="10">
        <v>2107</v>
      </c>
      <c r="S1144" s="10">
        <v>0.86</v>
      </c>
      <c r="T1144" s="10">
        <v>1819</v>
      </c>
      <c r="U1144" s="10">
        <v>239</v>
      </c>
      <c r="V1144" s="10">
        <v>106</v>
      </c>
      <c r="W1144" s="10">
        <v>50</v>
      </c>
      <c r="X1144" s="10">
        <v>180</v>
      </c>
      <c r="Y1144" s="10">
        <v>59</v>
      </c>
      <c r="Z1144" s="10">
        <v>203</v>
      </c>
      <c r="AA1144" s="10">
        <v>1.19</v>
      </c>
      <c r="AB1144" s="10">
        <v>98</v>
      </c>
      <c r="AC1144" s="10">
        <v>152</v>
      </c>
      <c r="AD1144" s="10">
        <v>83</v>
      </c>
      <c r="AE1144" s="10">
        <v>11</v>
      </c>
      <c r="AF1144" s="10">
        <v>5.9</v>
      </c>
      <c r="AG1144" s="9" t="s">
        <v>184</v>
      </c>
      <c r="AH1144" s="10"/>
      <c r="AI1144" s="10"/>
      <c r="AJ1144" s="10"/>
      <c r="AK1144" s="30"/>
    </row>
    <row r="1145" spans="5:37">
      <c r="E1145" s="28" t="s">
        <v>155</v>
      </c>
      <c r="F1145" s="8" t="s">
        <v>332</v>
      </c>
      <c r="G1145" s="9" t="s">
        <v>465</v>
      </c>
      <c r="H1145" s="10">
        <v>169</v>
      </c>
      <c r="I1145" s="9" t="s">
        <v>158</v>
      </c>
      <c r="J1145" s="10">
        <v>169</v>
      </c>
      <c r="K1145" s="10">
        <v>167.4</v>
      </c>
      <c r="L1145" s="10">
        <v>132</v>
      </c>
      <c r="M1145" s="10">
        <v>143</v>
      </c>
      <c r="N1145" s="10">
        <v>134</v>
      </c>
      <c r="O1145" s="10">
        <v>96</v>
      </c>
      <c r="P1145" s="10">
        <v>124</v>
      </c>
      <c r="Q1145" s="10">
        <v>14.8</v>
      </c>
      <c r="R1145" s="10">
        <v>1913</v>
      </c>
      <c r="S1145" s="10">
        <v>0.95</v>
      </c>
      <c r="T1145" s="10">
        <v>1821</v>
      </c>
      <c r="U1145" s="10">
        <v>168</v>
      </c>
      <c r="V1145" s="10">
        <v>81</v>
      </c>
      <c r="W1145" s="10">
        <v>45</v>
      </c>
      <c r="X1145" s="10">
        <v>175</v>
      </c>
      <c r="Y1145" s="10">
        <v>47</v>
      </c>
      <c r="Z1145" s="10">
        <v>177</v>
      </c>
      <c r="AA1145" s="10">
        <v>1.0469999999999999</v>
      </c>
      <c r="AB1145" s="10">
        <v>105</v>
      </c>
      <c r="AC1145" s="10">
        <v>135</v>
      </c>
      <c r="AD1145" s="10">
        <v>70</v>
      </c>
      <c r="AE1145" s="10">
        <v>11</v>
      </c>
      <c r="AF1145" s="10">
        <v>6</v>
      </c>
      <c r="AG1145" s="9" t="s">
        <v>184</v>
      </c>
      <c r="AH1145" s="10"/>
      <c r="AI1145" s="10"/>
      <c r="AJ1145" s="10"/>
      <c r="AK1145" s="30"/>
    </row>
    <row r="1146" spans="5:37">
      <c r="E1146" s="28" t="s">
        <v>155</v>
      </c>
      <c r="F1146" s="8" t="s">
        <v>332</v>
      </c>
      <c r="G1146" s="9" t="s">
        <v>465</v>
      </c>
      <c r="H1146" s="10">
        <v>177</v>
      </c>
      <c r="I1146" s="9" t="s">
        <v>158</v>
      </c>
      <c r="J1146" s="10">
        <v>177</v>
      </c>
      <c r="K1146" s="10">
        <v>175.3</v>
      </c>
      <c r="L1146" s="10">
        <v>140</v>
      </c>
      <c r="M1146" s="10">
        <v>152</v>
      </c>
      <c r="N1146" s="10">
        <v>133</v>
      </c>
      <c r="O1146" s="10">
        <v>96</v>
      </c>
      <c r="P1146" s="10">
        <v>123</v>
      </c>
      <c r="Q1146" s="10">
        <v>16.899999999999999</v>
      </c>
      <c r="R1146" s="10">
        <v>1992</v>
      </c>
      <c r="S1146" s="10">
        <v>0.95</v>
      </c>
      <c r="T1146" s="10">
        <v>1896</v>
      </c>
      <c r="U1146" s="10">
        <v>184</v>
      </c>
      <c r="V1146" s="10">
        <v>91</v>
      </c>
      <c r="W1146" s="10">
        <v>48</v>
      </c>
      <c r="X1146" s="10">
        <v>177</v>
      </c>
      <c r="Y1146" s="10">
        <v>44</v>
      </c>
      <c r="Z1146" s="10">
        <v>175</v>
      </c>
      <c r="AA1146" s="10">
        <v>0.92200000000000004</v>
      </c>
      <c r="AB1146" s="10">
        <v>103</v>
      </c>
      <c r="AC1146" s="10">
        <v>128</v>
      </c>
      <c r="AD1146" s="10">
        <v>74</v>
      </c>
      <c r="AE1146" s="10">
        <v>11</v>
      </c>
      <c r="AF1146" s="10">
        <v>6</v>
      </c>
      <c r="AG1146" s="9" t="s">
        <v>184</v>
      </c>
      <c r="AH1146" s="10"/>
      <c r="AI1146" s="10"/>
      <c r="AJ1146" s="10"/>
      <c r="AK1146" s="30"/>
    </row>
    <row r="1147" spans="5:37">
      <c r="E1147" s="28" t="s">
        <v>155</v>
      </c>
      <c r="F1147" s="8" t="s">
        <v>332</v>
      </c>
      <c r="G1147" s="9" t="s">
        <v>465</v>
      </c>
      <c r="H1147" s="10">
        <v>185</v>
      </c>
      <c r="I1147" s="9" t="s">
        <v>158</v>
      </c>
      <c r="J1147" s="10">
        <v>185</v>
      </c>
      <c r="K1147" s="10">
        <v>183.1</v>
      </c>
      <c r="L1147" s="10">
        <v>148</v>
      </c>
      <c r="M1147" s="10">
        <v>160</v>
      </c>
      <c r="N1147" s="10">
        <v>133</v>
      </c>
      <c r="O1147" s="10">
        <v>96</v>
      </c>
      <c r="P1147" s="10">
        <v>123</v>
      </c>
      <c r="Q1147" s="10">
        <v>19</v>
      </c>
      <c r="R1147" s="10">
        <v>2129</v>
      </c>
      <c r="S1147" s="10">
        <v>0.93</v>
      </c>
      <c r="T1147" s="10">
        <v>1975</v>
      </c>
      <c r="U1147" s="10">
        <v>202</v>
      </c>
      <c r="V1147" s="10">
        <v>101</v>
      </c>
      <c r="W1147" s="10">
        <v>52</v>
      </c>
      <c r="X1147" s="10">
        <v>178</v>
      </c>
      <c r="Y1147" s="10">
        <v>48</v>
      </c>
      <c r="Z1147" s="10">
        <v>175</v>
      </c>
      <c r="AA1147" s="10">
        <v>0.92</v>
      </c>
      <c r="AB1147" s="10">
        <v>105</v>
      </c>
      <c r="AC1147" s="10">
        <v>126</v>
      </c>
      <c r="AD1147" s="10">
        <v>74</v>
      </c>
      <c r="AE1147" s="10">
        <v>11</v>
      </c>
      <c r="AF1147" s="10">
        <v>6.3</v>
      </c>
      <c r="AG1147" s="9" t="s">
        <v>184</v>
      </c>
      <c r="AH1147" s="10"/>
      <c r="AI1147" s="10"/>
      <c r="AJ1147" s="10"/>
      <c r="AK1147" s="30"/>
    </row>
    <row r="1148" spans="5:37">
      <c r="E1148" s="28" t="s">
        <v>155</v>
      </c>
      <c r="F1148" s="8" t="s">
        <v>332</v>
      </c>
      <c r="G1148" s="9" t="s">
        <v>790</v>
      </c>
      <c r="H1148" s="10">
        <v>160</v>
      </c>
      <c r="I1148" s="9" t="s">
        <v>158</v>
      </c>
      <c r="J1148" s="10">
        <v>160</v>
      </c>
      <c r="K1148" s="10">
        <v>159.19999999999999</v>
      </c>
      <c r="L1148" s="10">
        <v>141</v>
      </c>
      <c r="M1148" s="10">
        <v>148</v>
      </c>
      <c r="N1148" s="10">
        <v>117</v>
      </c>
      <c r="O1148" s="10">
        <v>69</v>
      </c>
      <c r="P1148" s="10">
        <v>98</v>
      </c>
      <c r="Q1148" s="10">
        <v>14.2</v>
      </c>
      <c r="R1148" s="10">
        <v>1892</v>
      </c>
      <c r="S1148" s="10">
        <v>0.7</v>
      </c>
      <c r="T1148" s="10">
        <v>1328</v>
      </c>
      <c r="U1148" s="10">
        <v>168</v>
      </c>
      <c r="V1148" s="10">
        <v>103</v>
      </c>
      <c r="W1148" s="10">
        <v>36</v>
      </c>
      <c r="X1148" s="10">
        <v>131</v>
      </c>
      <c r="Y1148" s="10">
        <v>6</v>
      </c>
      <c r="Z1148" s="10">
        <v>52</v>
      </c>
      <c r="AA1148" s="10">
        <v>0.17399999999999999</v>
      </c>
      <c r="AB1148" s="10">
        <v>63</v>
      </c>
      <c r="AC1148" s="10">
        <v>45</v>
      </c>
      <c r="AD1148" s="10">
        <v>68</v>
      </c>
      <c r="AE1148" s="10">
        <v>8</v>
      </c>
      <c r="AF1148" s="10">
        <v>12.6</v>
      </c>
      <c r="AG1148" s="9" t="s">
        <v>349</v>
      </c>
      <c r="AH1148" s="10"/>
      <c r="AI1148" s="10"/>
      <c r="AJ1148" s="10"/>
      <c r="AK1148" s="30"/>
    </row>
    <row r="1149" spans="5:37">
      <c r="E1149" s="28" t="s">
        <v>155</v>
      </c>
      <c r="F1149" s="8" t="s">
        <v>332</v>
      </c>
      <c r="G1149" s="9" t="s">
        <v>790</v>
      </c>
      <c r="H1149" s="10">
        <v>165</v>
      </c>
      <c r="I1149" s="9" t="s">
        <v>158</v>
      </c>
      <c r="J1149" s="10">
        <v>165</v>
      </c>
      <c r="K1149" s="10">
        <v>164.6</v>
      </c>
      <c r="L1149" s="10">
        <v>146</v>
      </c>
      <c r="M1149" s="10">
        <v>153</v>
      </c>
      <c r="N1149" s="10">
        <v>118</v>
      </c>
      <c r="O1149" s="10">
        <v>69</v>
      </c>
      <c r="P1149" s="10">
        <v>97</v>
      </c>
      <c r="Q1149" s="10">
        <v>15</v>
      </c>
      <c r="R1149" s="10">
        <v>1999</v>
      </c>
      <c r="S1149" s="10">
        <v>0.69</v>
      </c>
      <c r="T1149" s="10">
        <v>1377</v>
      </c>
      <c r="U1149" s="10">
        <v>167</v>
      </c>
      <c r="V1149" s="10">
        <v>109</v>
      </c>
      <c r="W1149" s="10">
        <v>35</v>
      </c>
      <c r="X1149" s="10">
        <v>129</v>
      </c>
      <c r="Y1149" s="10">
        <v>7</v>
      </c>
      <c r="Z1149" s="10">
        <v>52</v>
      </c>
      <c r="AA1149" s="10">
        <v>0.189</v>
      </c>
      <c r="AB1149" s="10">
        <v>61</v>
      </c>
      <c r="AC1149" s="10">
        <v>57</v>
      </c>
      <c r="AD1149" s="10">
        <v>68</v>
      </c>
      <c r="AE1149" s="10">
        <v>9</v>
      </c>
      <c r="AF1149" s="10">
        <v>13</v>
      </c>
      <c r="AG1149" s="9" t="s">
        <v>349</v>
      </c>
      <c r="AH1149" s="10"/>
      <c r="AI1149" s="10"/>
      <c r="AJ1149" s="10"/>
      <c r="AK1149" s="30"/>
    </row>
    <row r="1150" spans="5:37">
      <c r="E1150" s="28" t="s">
        <v>155</v>
      </c>
      <c r="F1150" s="8" t="s">
        <v>332</v>
      </c>
      <c r="G1150" s="9" t="s">
        <v>790</v>
      </c>
      <c r="H1150" s="10">
        <v>170</v>
      </c>
      <c r="I1150" s="9" t="s">
        <v>158</v>
      </c>
      <c r="J1150" s="10">
        <v>170</v>
      </c>
      <c r="K1150" s="10">
        <v>169.2</v>
      </c>
      <c r="L1150" s="10">
        <v>151</v>
      </c>
      <c r="M1150" s="10">
        <v>157</v>
      </c>
      <c r="N1150" s="10">
        <v>120</v>
      </c>
      <c r="O1150" s="10">
        <v>69</v>
      </c>
      <c r="P1150" s="10">
        <v>100</v>
      </c>
      <c r="Q1150" s="10">
        <v>15.2</v>
      </c>
      <c r="R1150" s="10">
        <v>2064</v>
      </c>
      <c r="S1150" s="10">
        <v>0.69</v>
      </c>
      <c r="T1150" s="10">
        <v>1427</v>
      </c>
      <c r="U1150" s="10">
        <v>198</v>
      </c>
      <c r="V1150" s="10">
        <v>125</v>
      </c>
      <c r="W1150" s="10">
        <v>36</v>
      </c>
      <c r="X1150" s="10">
        <v>133</v>
      </c>
      <c r="Y1150" s="10">
        <v>6</v>
      </c>
      <c r="Z1150" s="10">
        <v>49</v>
      </c>
      <c r="AA1150" s="10">
        <v>0.16400000000000001</v>
      </c>
      <c r="AB1150" s="10">
        <v>67</v>
      </c>
      <c r="AC1150" s="10">
        <v>52</v>
      </c>
      <c r="AD1150" s="10">
        <v>66</v>
      </c>
      <c r="AE1150" s="10">
        <v>9</v>
      </c>
      <c r="AF1150" s="10">
        <v>13.2</v>
      </c>
      <c r="AG1150" s="9" t="s">
        <v>349</v>
      </c>
      <c r="AH1150" s="10"/>
      <c r="AI1150" s="10"/>
      <c r="AJ1150" s="10"/>
      <c r="AK1150" s="30"/>
    </row>
    <row r="1151" spans="5:37">
      <c r="E1151" s="28" t="s">
        <v>155</v>
      </c>
      <c r="F1151" s="8" t="s">
        <v>332</v>
      </c>
      <c r="G1151" s="9" t="s">
        <v>797</v>
      </c>
      <c r="H1151" s="10">
        <v>165</v>
      </c>
      <c r="I1151" s="9" t="s">
        <v>158</v>
      </c>
      <c r="J1151" s="10">
        <v>165</v>
      </c>
      <c r="K1151" s="10">
        <v>164.2</v>
      </c>
      <c r="L1151" s="10">
        <v>146</v>
      </c>
      <c r="M1151" s="10">
        <v>154</v>
      </c>
      <c r="N1151" s="10">
        <v>119</v>
      </c>
      <c r="O1151" s="10">
        <v>70</v>
      </c>
      <c r="P1151" s="10">
        <v>98</v>
      </c>
      <c r="Q1151" s="10">
        <v>15</v>
      </c>
      <c r="R1151" s="10">
        <v>1954</v>
      </c>
      <c r="S1151" s="10">
        <v>0.71</v>
      </c>
      <c r="T1151" s="10">
        <v>1380</v>
      </c>
      <c r="U1151" s="10">
        <v>185</v>
      </c>
      <c r="V1151" s="10">
        <v>98</v>
      </c>
      <c r="W1151" s="10">
        <v>36</v>
      </c>
      <c r="X1151" s="10">
        <v>131</v>
      </c>
      <c r="Y1151" s="10">
        <v>5</v>
      </c>
      <c r="Z1151" s="10">
        <v>49</v>
      </c>
      <c r="AA1151" s="10">
        <v>0.14499999999999999</v>
      </c>
      <c r="AB1151" s="10">
        <v>62</v>
      </c>
      <c r="AC1151" s="10">
        <v>44</v>
      </c>
      <c r="AD1151" s="10">
        <v>69</v>
      </c>
      <c r="AE1151" s="10">
        <v>9</v>
      </c>
      <c r="AF1151" s="10">
        <v>13.1</v>
      </c>
      <c r="AG1151" s="9" t="s">
        <v>349</v>
      </c>
      <c r="AH1151" s="10"/>
      <c r="AI1151" s="10"/>
      <c r="AJ1151" s="10"/>
      <c r="AK1151" s="30"/>
    </row>
    <row r="1152" spans="5:37">
      <c r="E1152" s="28" t="s">
        <v>155</v>
      </c>
      <c r="F1152" s="8" t="s">
        <v>332</v>
      </c>
      <c r="G1152" s="9" t="s">
        <v>797</v>
      </c>
      <c r="H1152" s="10">
        <v>170</v>
      </c>
      <c r="I1152" s="9" t="s">
        <v>158</v>
      </c>
      <c r="J1152" s="10">
        <v>170</v>
      </c>
      <c r="K1152" s="10">
        <v>168.9</v>
      </c>
      <c r="L1152" s="10">
        <v>150</v>
      </c>
      <c r="M1152" s="10">
        <v>158</v>
      </c>
      <c r="N1152" s="10">
        <v>121</v>
      </c>
      <c r="O1152" s="10">
        <v>69</v>
      </c>
      <c r="P1152" s="10">
        <v>100</v>
      </c>
      <c r="Q1152" s="10">
        <v>15.3</v>
      </c>
      <c r="R1152" s="10">
        <v>2112</v>
      </c>
      <c r="S1152" s="10">
        <v>0.68</v>
      </c>
      <c r="T1152" s="10">
        <v>1428</v>
      </c>
      <c r="U1152" s="10">
        <v>227</v>
      </c>
      <c r="V1152" s="10">
        <v>111</v>
      </c>
      <c r="W1152" s="10">
        <v>40</v>
      </c>
      <c r="X1152" s="10">
        <v>139</v>
      </c>
      <c r="Y1152" s="10">
        <v>6</v>
      </c>
      <c r="Z1152" s="10">
        <v>54</v>
      </c>
      <c r="AA1152" s="10">
        <v>0.153</v>
      </c>
      <c r="AB1152" s="10">
        <v>66</v>
      </c>
      <c r="AC1152" s="10">
        <v>48</v>
      </c>
      <c r="AD1152" s="10">
        <v>73</v>
      </c>
      <c r="AE1152" s="10">
        <v>5</v>
      </c>
      <c r="AF1152" s="10">
        <v>12.9</v>
      </c>
      <c r="AG1152" s="9" t="s">
        <v>349</v>
      </c>
      <c r="AH1152" s="10"/>
      <c r="AI1152" s="10"/>
      <c r="AJ1152" s="10"/>
      <c r="AK1152" s="30"/>
    </row>
    <row r="1153" spans="5:37">
      <c r="E1153" s="28" t="s">
        <v>155</v>
      </c>
      <c r="F1153" s="8" t="s">
        <v>332</v>
      </c>
      <c r="G1153" s="9" t="s">
        <v>742</v>
      </c>
      <c r="H1153" s="10">
        <v>150</v>
      </c>
      <c r="I1153" s="9" t="s">
        <v>163</v>
      </c>
      <c r="J1153" s="10">
        <v>150</v>
      </c>
      <c r="K1153" s="10">
        <v>148.9</v>
      </c>
      <c r="L1153" s="10">
        <v>125</v>
      </c>
      <c r="M1153" s="10">
        <v>136</v>
      </c>
      <c r="N1153" s="10">
        <v>123</v>
      </c>
      <c r="O1153" s="10">
        <v>74</v>
      </c>
      <c r="P1153" s="10">
        <v>103</v>
      </c>
      <c r="Q1153" s="10">
        <v>11.9</v>
      </c>
      <c r="R1153" s="10">
        <v>1528</v>
      </c>
      <c r="S1153" s="10">
        <v>0.87</v>
      </c>
      <c r="T1153" s="10">
        <v>1323</v>
      </c>
      <c r="U1153" s="10">
        <v>153</v>
      </c>
      <c r="V1153" s="10">
        <v>60</v>
      </c>
      <c r="W1153" s="10">
        <v>39</v>
      </c>
      <c r="X1153" s="10">
        <v>170</v>
      </c>
      <c r="Y1153" s="10">
        <v>12</v>
      </c>
      <c r="Z1153" s="10">
        <v>69</v>
      </c>
      <c r="AA1153" s="10">
        <v>0.31</v>
      </c>
      <c r="AB1153" s="10">
        <v>62</v>
      </c>
      <c r="AC1153" s="10">
        <v>67</v>
      </c>
      <c r="AD1153" s="10">
        <v>108</v>
      </c>
      <c r="AE1153" s="10">
        <v>6</v>
      </c>
      <c r="AF1153" s="10">
        <v>9.3000000000000007</v>
      </c>
      <c r="AG1153" s="9" t="s">
        <v>349</v>
      </c>
      <c r="AH1153" s="10"/>
      <c r="AI1153" s="10"/>
      <c r="AJ1153" s="10"/>
      <c r="AK1153" s="30"/>
    </row>
    <row r="1154" spans="5:37">
      <c r="E1154" s="28" t="s">
        <v>155</v>
      </c>
      <c r="F1154" s="8" t="s">
        <v>332</v>
      </c>
      <c r="G1154" s="9" t="s">
        <v>742</v>
      </c>
      <c r="H1154" s="10">
        <v>156</v>
      </c>
      <c r="I1154" s="9" t="s">
        <v>163</v>
      </c>
      <c r="J1154" s="10">
        <v>156</v>
      </c>
      <c r="K1154" s="10">
        <v>155</v>
      </c>
      <c r="L1154" s="10">
        <v>132</v>
      </c>
      <c r="M1154" s="10">
        <v>141</v>
      </c>
      <c r="N1154" s="10">
        <v>124</v>
      </c>
      <c r="O1154" s="10">
        <v>74</v>
      </c>
      <c r="P1154" s="10">
        <v>103</v>
      </c>
      <c r="Q1154" s="10">
        <v>12.6</v>
      </c>
      <c r="R1154" s="10">
        <v>1654</v>
      </c>
      <c r="S1154" s="10">
        <v>0.83</v>
      </c>
      <c r="T1154" s="10">
        <v>1379</v>
      </c>
      <c r="U1154" s="10">
        <v>165</v>
      </c>
      <c r="V1154" s="10">
        <v>65</v>
      </c>
      <c r="W1154" s="10">
        <v>39</v>
      </c>
      <c r="X1154" s="10">
        <v>164</v>
      </c>
      <c r="Y1154" s="10">
        <v>12</v>
      </c>
      <c r="Z1154" s="10">
        <v>68</v>
      </c>
      <c r="AA1154" s="10">
        <v>0.30099999999999999</v>
      </c>
      <c r="AB1154" s="10">
        <v>65</v>
      </c>
      <c r="AC1154" s="10">
        <v>70</v>
      </c>
      <c r="AD1154" s="10">
        <v>98</v>
      </c>
      <c r="AE1154" s="10">
        <v>7</v>
      </c>
      <c r="AF1154" s="10">
        <v>9.6999999999999993</v>
      </c>
      <c r="AG1154" s="9" t="s">
        <v>349</v>
      </c>
      <c r="AH1154" s="10"/>
      <c r="AI1154" s="10"/>
      <c r="AJ1154" s="10"/>
      <c r="AK1154" s="30"/>
    </row>
    <row r="1155" spans="5:37">
      <c r="E1155" s="28" t="s">
        <v>155</v>
      </c>
      <c r="F1155" s="8" t="s">
        <v>332</v>
      </c>
      <c r="G1155" s="9" t="s">
        <v>742</v>
      </c>
      <c r="H1155" s="10">
        <v>162</v>
      </c>
      <c r="I1155" s="9" t="s">
        <v>163</v>
      </c>
      <c r="J1155" s="10">
        <v>162</v>
      </c>
      <c r="K1155" s="10">
        <v>160.9</v>
      </c>
      <c r="L1155" s="10">
        <v>135</v>
      </c>
      <c r="M1155" s="10">
        <v>148</v>
      </c>
      <c r="N1155" s="10">
        <v>124</v>
      </c>
      <c r="O1155" s="10">
        <v>74</v>
      </c>
      <c r="P1155" s="10">
        <v>104</v>
      </c>
      <c r="Q1155" s="10">
        <v>13.8</v>
      </c>
      <c r="R1155" s="10">
        <v>1727</v>
      </c>
      <c r="S1155" s="10">
        <v>0.83</v>
      </c>
      <c r="T1155" s="10">
        <v>1433</v>
      </c>
      <c r="U1155" s="10">
        <v>196</v>
      </c>
      <c r="V1155" s="10">
        <v>71</v>
      </c>
      <c r="W1155" s="10">
        <v>43</v>
      </c>
      <c r="X1155" s="10">
        <v>190</v>
      </c>
      <c r="Y1155" s="10">
        <v>12</v>
      </c>
      <c r="Z1155" s="10">
        <v>72</v>
      </c>
      <c r="AA1155" s="10">
        <v>0.27800000000000002</v>
      </c>
      <c r="AB1155" s="10">
        <v>63</v>
      </c>
      <c r="AC1155" s="10">
        <v>68</v>
      </c>
      <c r="AD1155" s="10">
        <v>128</v>
      </c>
      <c r="AE1155" s="10">
        <v>6</v>
      </c>
      <c r="AF1155" s="10">
        <v>9.3000000000000007</v>
      </c>
      <c r="AG1155" s="9" t="s">
        <v>349</v>
      </c>
      <c r="AH1155" s="10"/>
      <c r="AI1155" s="10"/>
      <c r="AJ1155" s="10"/>
      <c r="AK1155" s="30"/>
    </row>
    <row r="1156" spans="5:37">
      <c r="E1156" s="28" t="s">
        <v>155</v>
      </c>
      <c r="F1156" s="8" t="s">
        <v>227</v>
      </c>
      <c r="G1156" s="9" t="s">
        <v>724</v>
      </c>
      <c r="H1156" s="10">
        <v>180</v>
      </c>
      <c r="I1156" s="9" t="s">
        <v>158</v>
      </c>
      <c r="J1156" s="10">
        <v>180</v>
      </c>
      <c r="K1156" s="10">
        <v>178.1</v>
      </c>
      <c r="L1156" s="10">
        <v>119</v>
      </c>
      <c r="M1156" s="10">
        <v>149</v>
      </c>
      <c r="N1156" s="10">
        <v>137</v>
      </c>
      <c r="O1156" s="10">
        <v>108</v>
      </c>
      <c r="P1156" s="10">
        <v>128</v>
      </c>
      <c r="Q1156" s="10">
        <v>19.399999999999999</v>
      </c>
      <c r="R1156" s="10">
        <v>1606</v>
      </c>
      <c r="S1156" s="10">
        <v>1.31</v>
      </c>
      <c r="T1156" s="10">
        <v>2103</v>
      </c>
      <c r="U1156" s="10">
        <v>226</v>
      </c>
      <c r="V1156" s="10">
        <v>55</v>
      </c>
      <c r="W1156" s="10">
        <v>70</v>
      </c>
      <c r="X1156" s="10">
        <v>324</v>
      </c>
      <c r="Y1156" s="10">
        <v>33</v>
      </c>
      <c r="Z1156" s="10">
        <v>268</v>
      </c>
      <c r="AA1156" s="10">
        <v>0.47499999999999998</v>
      </c>
      <c r="AB1156" s="10">
        <v>161</v>
      </c>
      <c r="AC1156" s="10">
        <v>129</v>
      </c>
      <c r="AD1156" s="10">
        <v>163</v>
      </c>
      <c r="AE1156" s="10">
        <v>6</v>
      </c>
      <c r="AF1156" s="10">
        <v>11.5</v>
      </c>
      <c r="AG1156" s="9" t="s">
        <v>169</v>
      </c>
      <c r="AH1156" s="9" t="s">
        <v>185</v>
      </c>
      <c r="AI1156" s="9" t="s">
        <v>198</v>
      </c>
      <c r="AJ1156" s="10"/>
      <c r="AK1156" s="30"/>
    </row>
    <row r="1157" spans="5:37">
      <c r="E1157" s="28" t="s">
        <v>155</v>
      </c>
      <c r="F1157" s="8" t="s">
        <v>227</v>
      </c>
      <c r="G1157" s="9" t="s">
        <v>724</v>
      </c>
      <c r="H1157" s="10">
        <v>188</v>
      </c>
      <c r="I1157" s="9" t="s">
        <v>158</v>
      </c>
      <c r="J1157" s="10">
        <v>188</v>
      </c>
      <c r="K1157" s="10">
        <v>186.2</v>
      </c>
      <c r="L1157" s="10">
        <v>125</v>
      </c>
      <c r="M1157" s="10">
        <v>154</v>
      </c>
      <c r="N1157" s="10">
        <v>138</v>
      </c>
      <c r="O1157" s="10">
        <v>108</v>
      </c>
      <c r="P1157" s="10">
        <v>128</v>
      </c>
      <c r="Q1157" s="10">
        <v>20.8</v>
      </c>
      <c r="R1157" s="10">
        <v>1682</v>
      </c>
      <c r="S1157" s="10">
        <v>1.31</v>
      </c>
      <c r="T1157" s="10">
        <v>2205</v>
      </c>
      <c r="U1157" s="10">
        <v>218</v>
      </c>
      <c r="V1157" s="10">
        <v>57</v>
      </c>
      <c r="W1157" s="10">
        <v>71</v>
      </c>
      <c r="X1157" s="10">
        <v>381</v>
      </c>
      <c r="Y1157" s="10">
        <v>30</v>
      </c>
      <c r="Z1157" s="10">
        <v>228</v>
      </c>
      <c r="AA1157" s="10">
        <v>0.41799999999999998</v>
      </c>
      <c r="AB1157" s="10">
        <v>175</v>
      </c>
      <c r="AC1157" s="10">
        <v>142</v>
      </c>
      <c r="AD1157" s="10">
        <v>206</v>
      </c>
      <c r="AE1157" s="10">
        <v>5</v>
      </c>
      <c r="AF1157" s="10">
        <v>11.8</v>
      </c>
      <c r="AG1157" s="9" t="s">
        <v>169</v>
      </c>
      <c r="AH1157" s="9" t="s">
        <v>185</v>
      </c>
      <c r="AI1157" s="9" t="s">
        <v>198</v>
      </c>
      <c r="AJ1157" s="10"/>
      <c r="AK1157" s="30"/>
    </row>
    <row r="1158" spans="5:37">
      <c r="E1158" s="28" t="s">
        <v>155</v>
      </c>
      <c r="F1158" s="8" t="s">
        <v>227</v>
      </c>
      <c r="G1158" s="9" t="s">
        <v>681</v>
      </c>
      <c r="H1158" s="10">
        <v>164</v>
      </c>
      <c r="I1158" s="9" t="s">
        <v>158</v>
      </c>
      <c r="J1158" s="10">
        <v>164</v>
      </c>
      <c r="K1158" s="10">
        <v>162.30000000000001</v>
      </c>
      <c r="L1158" s="10">
        <v>99</v>
      </c>
      <c r="M1158" s="10">
        <v>135</v>
      </c>
      <c r="N1158" s="10">
        <v>129</v>
      </c>
      <c r="O1158" s="10">
        <v>98</v>
      </c>
      <c r="P1158" s="10">
        <v>120</v>
      </c>
      <c r="Q1158" s="10">
        <v>16</v>
      </c>
      <c r="R1158" s="10">
        <v>1345</v>
      </c>
      <c r="S1158" s="10">
        <v>1.31</v>
      </c>
      <c r="T1158" s="10">
        <v>1767</v>
      </c>
      <c r="U1158" s="10">
        <v>177</v>
      </c>
      <c r="V1158" s="10">
        <v>44</v>
      </c>
      <c r="W1158" s="10">
        <v>72</v>
      </c>
      <c r="X1158" s="10">
        <v>387</v>
      </c>
      <c r="Y1158" s="10">
        <v>30</v>
      </c>
      <c r="Z1158" s="10">
        <v>249</v>
      </c>
      <c r="AA1158" s="10">
        <v>0.41099999999999998</v>
      </c>
      <c r="AB1158" s="10">
        <v>147</v>
      </c>
      <c r="AC1158" s="10">
        <v>122</v>
      </c>
      <c r="AD1158" s="10">
        <v>240</v>
      </c>
      <c r="AE1158" s="10">
        <v>5</v>
      </c>
      <c r="AF1158" s="10">
        <v>10.5</v>
      </c>
      <c r="AG1158" s="9" t="s">
        <v>185</v>
      </c>
      <c r="AH1158" s="9" t="s">
        <v>198</v>
      </c>
      <c r="AI1158" s="10"/>
      <c r="AJ1158" s="10"/>
      <c r="AK1158" s="30"/>
    </row>
    <row r="1159" spans="5:37">
      <c r="E1159" s="28" t="s">
        <v>155</v>
      </c>
      <c r="F1159" s="8" t="s">
        <v>227</v>
      </c>
      <c r="G1159" s="9" t="s">
        <v>681</v>
      </c>
      <c r="H1159" s="10">
        <v>172</v>
      </c>
      <c r="I1159" s="9" t="s">
        <v>158</v>
      </c>
      <c r="J1159" s="10">
        <v>172</v>
      </c>
      <c r="K1159" s="10">
        <v>170.3</v>
      </c>
      <c r="L1159" s="10">
        <v>105</v>
      </c>
      <c r="M1159" s="10">
        <v>142</v>
      </c>
      <c r="N1159" s="10">
        <v>129</v>
      </c>
      <c r="O1159" s="10">
        <v>98</v>
      </c>
      <c r="P1159" s="10">
        <v>120</v>
      </c>
      <c r="Q1159" s="10">
        <v>17.5</v>
      </c>
      <c r="R1159" s="10">
        <v>1483</v>
      </c>
      <c r="S1159" s="10">
        <v>1.26</v>
      </c>
      <c r="T1159" s="10">
        <v>1862</v>
      </c>
      <c r="U1159" s="10">
        <v>196</v>
      </c>
      <c r="V1159" s="10">
        <v>48</v>
      </c>
      <c r="W1159" s="10">
        <v>73</v>
      </c>
      <c r="X1159" s="10">
        <v>405</v>
      </c>
      <c r="Y1159" s="10">
        <v>29</v>
      </c>
      <c r="Z1159" s="10">
        <v>248</v>
      </c>
      <c r="AA1159" s="10">
        <v>0.39900000000000002</v>
      </c>
      <c r="AB1159" s="10">
        <v>155</v>
      </c>
      <c r="AC1159" s="10">
        <v>131</v>
      </c>
      <c r="AD1159" s="10">
        <v>249</v>
      </c>
      <c r="AE1159" s="10">
        <v>5</v>
      </c>
      <c r="AF1159" s="10">
        <v>10.8</v>
      </c>
      <c r="AG1159" s="9" t="s">
        <v>188</v>
      </c>
      <c r="AH1159" s="9" t="s">
        <v>185</v>
      </c>
      <c r="AI1159" s="9" t="s">
        <v>198</v>
      </c>
      <c r="AJ1159" s="10"/>
      <c r="AK1159" s="30"/>
    </row>
    <row r="1160" spans="5:37">
      <c r="E1160" s="28" t="s">
        <v>155</v>
      </c>
      <c r="F1160" s="8" t="s">
        <v>227</v>
      </c>
      <c r="G1160" s="9" t="s">
        <v>681</v>
      </c>
      <c r="H1160" s="10">
        <v>180</v>
      </c>
      <c r="I1160" s="9" t="s">
        <v>158</v>
      </c>
      <c r="J1160" s="10">
        <v>180</v>
      </c>
      <c r="K1160" s="10">
        <v>178.2</v>
      </c>
      <c r="L1160" s="10">
        <v>119</v>
      </c>
      <c r="M1160" s="10">
        <v>149</v>
      </c>
      <c r="N1160" s="10">
        <v>130</v>
      </c>
      <c r="O1160" s="10">
        <v>99</v>
      </c>
      <c r="P1160" s="10">
        <v>120</v>
      </c>
      <c r="Q1160" s="10">
        <v>19.2</v>
      </c>
      <c r="R1160" s="10">
        <v>1481</v>
      </c>
      <c r="S1160" s="10">
        <v>1.32</v>
      </c>
      <c r="T1160" s="10">
        <v>1952</v>
      </c>
      <c r="U1160" s="10">
        <v>221</v>
      </c>
      <c r="V1160" s="10">
        <v>54</v>
      </c>
      <c r="W1160" s="10">
        <v>75</v>
      </c>
      <c r="X1160" s="10">
        <v>330</v>
      </c>
      <c r="Y1160" s="10">
        <v>31</v>
      </c>
      <c r="Z1160" s="10">
        <v>262</v>
      </c>
      <c r="AA1160" s="10">
        <v>0.41699999999999998</v>
      </c>
      <c r="AB1160" s="10">
        <v>157</v>
      </c>
      <c r="AC1160" s="10">
        <v>131</v>
      </c>
      <c r="AD1160" s="10">
        <v>173</v>
      </c>
      <c r="AE1160" s="10">
        <v>5</v>
      </c>
      <c r="AF1160" s="10">
        <v>11.5</v>
      </c>
      <c r="AG1160" s="9" t="s">
        <v>185</v>
      </c>
      <c r="AH1160" s="9" t="s">
        <v>198</v>
      </c>
      <c r="AI1160" s="10"/>
      <c r="AJ1160" s="10"/>
      <c r="AK1160" s="30"/>
    </row>
    <row r="1161" spans="5:37">
      <c r="E1161" s="28" t="s">
        <v>155</v>
      </c>
      <c r="F1161" s="8" t="s">
        <v>227</v>
      </c>
      <c r="G1161" s="9" t="s">
        <v>681</v>
      </c>
      <c r="H1161" s="10">
        <v>188</v>
      </c>
      <c r="I1161" s="9" t="s">
        <v>158</v>
      </c>
      <c r="J1161" s="10">
        <v>188</v>
      </c>
      <c r="K1161" s="10">
        <v>186.1</v>
      </c>
      <c r="L1161" s="10">
        <v>127</v>
      </c>
      <c r="M1161" s="10">
        <v>154</v>
      </c>
      <c r="N1161" s="10">
        <v>130</v>
      </c>
      <c r="O1161" s="10">
        <v>98</v>
      </c>
      <c r="P1161" s="10">
        <v>120</v>
      </c>
      <c r="Q1161" s="10">
        <v>20.8</v>
      </c>
      <c r="R1161" s="10">
        <v>1601</v>
      </c>
      <c r="S1161" s="10">
        <v>1.27</v>
      </c>
      <c r="T1161" s="10">
        <v>2033</v>
      </c>
      <c r="U1161" s="10">
        <v>217</v>
      </c>
      <c r="V1161" s="10">
        <v>51</v>
      </c>
      <c r="W1161" s="10">
        <v>69</v>
      </c>
      <c r="X1161" s="10">
        <v>370</v>
      </c>
      <c r="Y1161" s="10">
        <v>29</v>
      </c>
      <c r="Z1161" s="10">
        <v>217</v>
      </c>
      <c r="AA1161" s="10">
        <v>0.41299999999999998</v>
      </c>
      <c r="AB1161" s="10">
        <v>185</v>
      </c>
      <c r="AC1161" s="10">
        <v>137</v>
      </c>
      <c r="AD1161" s="10">
        <v>185</v>
      </c>
      <c r="AE1161" s="10">
        <v>7</v>
      </c>
      <c r="AF1161" s="10">
        <v>11.8</v>
      </c>
      <c r="AG1161" s="9" t="s">
        <v>188</v>
      </c>
      <c r="AH1161" s="9" t="s">
        <v>185</v>
      </c>
      <c r="AI1161" s="9" t="s">
        <v>198</v>
      </c>
      <c r="AJ1161" s="10"/>
      <c r="AK1161" s="30"/>
    </row>
    <row r="1162" spans="5:37">
      <c r="E1162" s="28" t="s">
        <v>155</v>
      </c>
      <c r="F1162" s="8" t="s">
        <v>227</v>
      </c>
      <c r="G1162" s="9" t="s">
        <v>827</v>
      </c>
      <c r="H1162" s="10">
        <v>171</v>
      </c>
      <c r="I1162" s="9" t="s">
        <v>158</v>
      </c>
      <c r="J1162" s="10">
        <v>171</v>
      </c>
      <c r="K1162" s="10">
        <v>169.6</v>
      </c>
      <c r="L1162" s="10">
        <v>142</v>
      </c>
      <c r="M1162" s="10">
        <v>160</v>
      </c>
      <c r="N1162" s="10">
        <v>131</v>
      </c>
      <c r="O1162" s="10">
        <v>75</v>
      </c>
      <c r="P1162" s="10">
        <v>115</v>
      </c>
      <c r="Q1162" s="10">
        <v>13.4</v>
      </c>
      <c r="R1162" s="10">
        <v>1759</v>
      </c>
      <c r="S1162" s="10">
        <v>0.89</v>
      </c>
      <c r="T1162" s="10">
        <v>1567</v>
      </c>
      <c r="U1162" s="10">
        <v>212</v>
      </c>
      <c r="V1162" s="10">
        <v>128</v>
      </c>
      <c r="W1162" s="10">
        <v>49</v>
      </c>
      <c r="X1162" s="10">
        <v>207</v>
      </c>
      <c r="Y1162" s="10">
        <v>7</v>
      </c>
      <c r="Z1162" s="10">
        <v>72</v>
      </c>
      <c r="AA1162" s="10">
        <v>0.13800000000000001</v>
      </c>
      <c r="AB1162" s="10">
        <v>51</v>
      </c>
      <c r="AC1162" s="10">
        <v>42</v>
      </c>
      <c r="AD1162" s="10">
        <v>156</v>
      </c>
      <c r="AE1162" s="10">
        <v>8</v>
      </c>
      <c r="AF1162" s="10">
        <v>12.2</v>
      </c>
      <c r="AG1162" s="9" t="s">
        <v>349</v>
      </c>
      <c r="AH1162" s="10"/>
      <c r="AI1162" s="10"/>
      <c r="AJ1162" s="10"/>
      <c r="AK1162" s="30"/>
    </row>
    <row r="1163" spans="5:37">
      <c r="E1163" s="28" t="s">
        <v>155</v>
      </c>
      <c r="F1163" s="8" t="s">
        <v>227</v>
      </c>
      <c r="G1163" s="9" t="s">
        <v>827</v>
      </c>
      <c r="H1163" s="10">
        <v>178</v>
      </c>
      <c r="I1163" s="9" t="s">
        <v>158</v>
      </c>
      <c r="J1163" s="10">
        <v>178</v>
      </c>
      <c r="K1163" s="10">
        <v>176.6</v>
      </c>
      <c r="L1163" s="10">
        <v>148</v>
      </c>
      <c r="M1163" s="10">
        <v>167</v>
      </c>
      <c r="N1163" s="10">
        <v>131</v>
      </c>
      <c r="O1163" s="10">
        <v>75</v>
      </c>
      <c r="P1163" s="10">
        <v>115</v>
      </c>
      <c r="Q1163" s="10">
        <v>14.6</v>
      </c>
      <c r="R1163" s="10">
        <v>1796</v>
      </c>
      <c r="S1163" s="10">
        <v>0.91</v>
      </c>
      <c r="T1163" s="10">
        <v>1632</v>
      </c>
      <c r="U1163" s="10">
        <v>220</v>
      </c>
      <c r="V1163" s="10">
        <v>146</v>
      </c>
      <c r="W1163" s="10">
        <v>48</v>
      </c>
      <c r="X1163" s="10">
        <v>207</v>
      </c>
      <c r="Y1163" s="10">
        <v>9</v>
      </c>
      <c r="Z1163" s="10">
        <v>83</v>
      </c>
      <c r="AA1163" s="10">
        <v>0.182</v>
      </c>
      <c r="AB1163" s="10">
        <v>52</v>
      </c>
      <c r="AC1163" s="10">
        <v>47</v>
      </c>
      <c r="AD1163" s="10">
        <v>155</v>
      </c>
      <c r="AE1163" s="10">
        <v>7</v>
      </c>
      <c r="AF1163" s="10">
        <v>12.8</v>
      </c>
      <c r="AG1163" s="9" t="s">
        <v>349</v>
      </c>
      <c r="AH1163" s="10"/>
      <c r="AI1163" s="10"/>
      <c r="AJ1163" s="10"/>
      <c r="AK1163" s="30"/>
    </row>
    <row r="1164" spans="5:37">
      <c r="E1164" s="28" t="s">
        <v>155</v>
      </c>
      <c r="F1164" s="8" t="s">
        <v>227</v>
      </c>
      <c r="G1164" s="9" t="s">
        <v>228</v>
      </c>
      <c r="H1164" s="10">
        <v>172</v>
      </c>
      <c r="I1164" s="9" t="s">
        <v>158</v>
      </c>
      <c r="J1164" s="10">
        <v>172</v>
      </c>
      <c r="K1164" s="10">
        <v>170.4</v>
      </c>
      <c r="L1164" s="10">
        <v>107</v>
      </c>
      <c r="M1164" s="10">
        <v>142</v>
      </c>
      <c r="N1164" s="10">
        <v>129</v>
      </c>
      <c r="O1164" s="10">
        <v>98</v>
      </c>
      <c r="P1164" s="10">
        <v>120</v>
      </c>
      <c r="Q1164" s="10">
        <v>17.3</v>
      </c>
      <c r="R1164" s="10">
        <v>1585</v>
      </c>
      <c r="S1164" s="10">
        <v>1.18</v>
      </c>
      <c r="T1164" s="10">
        <v>1866</v>
      </c>
      <c r="U1164" s="10">
        <v>176</v>
      </c>
      <c r="V1164" s="10">
        <v>81</v>
      </c>
      <c r="W1164" s="10">
        <v>66</v>
      </c>
      <c r="X1164" s="10">
        <v>384</v>
      </c>
      <c r="Y1164" s="10">
        <v>27</v>
      </c>
      <c r="Z1164" s="10">
        <v>245</v>
      </c>
      <c r="AA1164" s="10">
        <v>0.40899999999999997</v>
      </c>
      <c r="AB1164" s="10">
        <v>164</v>
      </c>
      <c r="AC1164" s="10">
        <v>124</v>
      </c>
      <c r="AD1164" s="10">
        <v>220</v>
      </c>
      <c r="AE1164" s="10">
        <v>5</v>
      </c>
      <c r="AF1164" s="10">
        <v>10.8</v>
      </c>
      <c r="AG1164" s="9" t="s">
        <v>188</v>
      </c>
      <c r="AH1164" s="9" t="s">
        <v>185</v>
      </c>
      <c r="AI1164" s="10"/>
      <c r="AJ1164" s="10"/>
      <c r="AK1164" s="30"/>
    </row>
    <row r="1165" spans="5:37">
      <c r="E1165" s="28" t="s">
        <v>155</v>
      </c>
      <c r="F1165" s="8" t="s">
        <v>227</v>
      </c>
      <c r="G1165" s="9" t="s">
        <v>228</v>
      </c>
      <c r="H1165" s="10">
        <v>180</v>
      </c>
      <c r="I1165" s="9" t="s">
        <v>158</v>
      </c>
      <c r="J1165" s="10">
        <v>180</v>
      </c>
      <c r="K1165" s="10">
        <v>178.1</v>
      </c>
      <c r="L1165" s="10">
        <v>121</v>
      </c>
      <c r="M1165" s="10">
        <v>149</v>
      </c>
      <c r="N1165" s="10">
        <v>129</v>
      </c>
      <c r="O1165" s="10">
        <v>99</v>
      </c>
      <c r="P1165" s="10">
        <v>120</v>
      </c>
      <c r="Q1165" s="10">
        <v>19.3</v>
      </c>
      <c r="R1165" s="10">
        <v>1678</v>
      </c>
      <c r="S1165" s="10">
        <v>1.1599999999999999</v>
      </c>
      <c r="T1165" s="10">
        <v>1949</v>
      </c>
      <c r="U1165" s="10">
        <v>212</v>
      </c>
      <c r="V1165" s="10">
        <v>101</v>
      </c>
      <c r="W1165" s="10">
        <v>72</v>
      </c>
      <c r="X1165" s="10">
        <v>328</v>
      </c>
      <c r="Y1165" s="10">
        <v>27</v>
      </c>
      <c r="Z1165" s="10">
        <v>247</v>
      </c>
      <c r="AA1165" s="10">
        <v>0.376</v>
      </c>
      <c r="AB1165" s="10">
        <v>169</v>
      </c>
      <c r="AC1165" s="10">
        <v>123</v>
      </c>
      <c r="AD1165" s="10">
        <v>159</v>
      </c>
      <c r="AE1165" s="10">
        <v>5</v>
      </c>
      <c r="AF1165" s="10">
        <v>11.5</v>
      </c>
      <c r="AG1165" s="9" t="s">
        <v>188</v>
      </c>
      <c r="AH1165" s="9" t="s">
        <v>185</v>
      </c>
      <c r="AI1165" s="10"/>
      <c r="AJ1165" s="10"/>
      <c r="AK1165" s="30"/>
    </row>
    <row r="1166" spans="5:37">
      <c r="E1166" s="28" t="s">
        <v>155</v>
      </c>
      <c r="F1166" s="8" t="s">
        <v>227</v>
      </c>
      <c r="G1166" s="9" t="s">
        <v>228</v>
      </c>
      <c r="H1166" s="10">
        <v>188</v>
      </c>
      <c r="I1166" s="9" t="s">
        <v>158</v>
      </c>
      <c r="J1166" s="10">
        <v>188</v>
      </c>
      <c r="K1166" s="10">
        <v>186.4</v>
      </c>
      <c r="L1166" s="10">
        <v>129</v>
      </c>
      <c r="M1166" s="10">
        <v>154</v>
      </c>
      <c r="N1166" s="10">
        <v>130</v>
      </c>
      <c r="O1166" s="10">
        <v>98</v>
      </c>
      <c r="P1166" s="10">
        <v>120</v>
      </c>
      <c r="Q1166" s="10">
        <v>20.9</v>
      </c>
      <c r="R1166" s="10">
        <v>1803</v>
      </c>
      <c r="S1166" s="10">
        <v>1.1299999999999999</v>
      </c>
      <c r="T1166" s="10">
        <v>2039</v>
      </c>
      <c r="U1166" s="10">
        <v>220</v>
      </c>
      <c r="V1166" s="10">
        <v>102</v>
      </c>
      <c r="W1166" s="10">
        <v>66</v>
      </c>
      <c r="X1166" s="10">
        <v>365</v>
      </c>
      <c r="Y1166" s="10">
        <v>26</v>
      </c>
      <c r="Z1166" s="10">
        <v>211</v>
      </c>
      <c r="AA1166" s="10">
        <v>0.40400000000000003</v>
      </c>
      <c r="AB1166" s="10">
        <v>181</v>
      </c>
      <c r="AC1166" s="10">
        <v>139</v>
      </c>
      <c r="AD1166" s="10">
        <v>184</v>
      </c>
      <c r="AE1166" s="10">
        <v>6</v>
      </c>
      <c r="AF1166" s="10">
        <v>11.8</v>
      </c>
      <c r="AG1166" s="9" t="s">
        <v>188</v>
      </c>
      <c r="AH1166" s="9" t="s">
        <v>185</v>
      </c>
      <c r="AI1166" s="10"/>
      <c r="AJ1166" s="10"/>
      <c r="AK1166" s="30"/>
    </row>
    <row r="1167" spans="5:37">
      <c r="E1167" s="28" t="s">
        <v>155</v>
      </c>
      <c r="F1167" s="8" t="s">
        <v>227</v>
      </c>
      <c r="G1167" s="9" t="s">
        <v>728</v>
      </c>
      <c r="H1167" s="10">
        <v>164</v>
      </c>
      <c r="I1167" s="9" t="s">
        <v>163</v>
      </c>
      <c r="J1167" s="10">
        <v>164</v>
      </c>
      <c r="K1167" s="10">
        <v>162.30000000000001</v>
      </c>
      <c r="L1167" s="10">
        <v>104</v>
      </c>
      <c r="M1167" s="10">
        <v>136</v>
      </c>
      <c r="N1167" s="10">
        <v>129</v>
      </c>
      <c r="O1167" s="10">
        <v>99</v>
      </c>
      <c r="P1167" s="10">
        <v>120</v>
      </c>
      <c r="Q1167" s="10">
        <v>16</v>
      </c>
      <c r="R1167" s="10">
        <v>1505</v>
      </c>
      <c r="S1167" s="10">
        <v>1.18</v>
      </c>
      <c r="T1167" s="10">
        <v>1776</v>
      </c>
      <c r="U1167" s="10">
        <v>152</v>
      </c>
      <c r="V1167" s="10">
        <v>75</v>
      </c>
      <c r="W1167" s="10">
        <v>64</v>
      </c>
      <c r="X1167" s="10">
        <v>363</v>
      </c>
      <c r="Y1167" s="10">
        <v>26</v>
      </c>
      <c r="Z1167" s="10">
        <v>219</v>
      </c>
      <c r="AA1167" s="10">
        <v>0.41099999999999998</v>
      </c>
      <c r="AB1167" s="10">
        <v>151</v>
      </c>
      <c r="AC1167" s="10">
        <v>114</v>
      </c>
      <c r="AD1167" s="10">
        <v>212</v>
      </c>
      <c r="AE1167" s="10">
        <v>6</v>
      </c>
      <c r="AF1167" s="10">
        <v>10.6</v>
      </c>
      <c r="AG1167" s="9" t="s">
        <v>188</v>
      </c>
      <c r="AH1167" s="9" t="s">
        <v>185</v>
      </c>
      <c r="AI1167" s="10"/>
      <c r="AJ1167" s="10"/>
      <c r="AK1167" s="30"/>
    </row>
    <row r="1168" spans="5:37">
      <c r="E1168" s="28" t="s">
        <v>155</v>
      </c>
      <c r="F1168" s="8" t="s">
        <v>227</v>
      </c>
      <c r="G1168" s="9" t="s">
        <v>908</v>
      </c>
      <c r="H1168" s="10">
        <v>171</v>
      </c>
      <c r="I1168" s="9" t="s">
        <v>158</v>
      </c>
      <c r="J1168" s="10">
        <v>171</v>
      </c>
      <c r="K1168" s="10">
        <v>170.2</v>
      </c>
      <c r="L1168" s="10">
        <v>141</v>
      </c>
      <c r="M1168" s="10">
        <v>158</v>
      </c>
      <c r="N1168" s="10">
        <v>136</v>
      </c>
      <c r="O1168" s="10">
        <v>89</v>
      </c>
      <c r="P1168" s="10">
        <v>125</v>
      </c>
      <c r="Q1168" s="10">
        <v>14.6</v>
      </c>
      <c r="R1168" s="10">
        <v>2001</v>
      </c>
      <c r="S1168" s="10">
        <v>0.89</v>
      </c>
      <c r="T1168" s="10">
        <v>1773</v>
      </c>
      <c r="U1168" s="10">
        <v>251</v>
      </c>
      <c r="V1168" s="10">
        <v>178</v>
      </c>
      <c r="W1168" s="10">
        <v>51</v>
      </c>
      <c r="X1168" s="10">
        <v>213</v>
      </c>
      <c r="Y1168" s="10">
        <v>9</v>
      </c>
      <c r="Z1168" s="10">
        <v>75</v>
      </c>
      <c r="AA1168" s="10">
        <v>0.16600000000000001</v>
      </c>
      <c r="AB1168" s="10">
        <v>65</v>
      </c>
      <c r="AC1168" s="10">
        <v>61</v>
      </c>
      <c r="AD1168" s="10">
        <v>148</v>
      </c>
      <c r="AE1168" s="10">
        <v>7</v>
      </c>
      <c r="AF1168" s="10">
        <v>10.5</v>
      </c>
      <c r="AG1168" s="9" t="s">
        <v>188</v>
      </c>
      <c r="AH1168" s="10"/>
      <c r="AI1168" s="10"/>
      <c r="AJ1168" s="10"/>
      <c r="AK1168" s="30"/>
    </row>
    <row r="1169" spans="5:37">
      <c r="E1169" s="28" t="s">
        <v>155</v>
      </c>
      <c r="F1169" s="8" t="s">
        <v>227</v>
      </c>
      <c r="G1169" s="9" t="s">
        <v>908</v>
      </c>
      <c r="H1169" s="10">
        <v>178</v>
      </c>
      <c r="I1169" s="9" t="s">
        <v>158</v>
      </c>
      <c r="J1169" s="10">
        <v>178</v>
      </c>
      <c r="K1169" s="10">
        <v>177.3</v>
      </c>
      <c r="L1169" s="10">
        <v>147</v>
      </c>
      <c r="M1169" s="10">
        <v>165</v>
      </c>
      <c r="N1169" s="10">
        <v>136</v>
      </c>
      <c r="O1169" s="10">
        <v>89</v>
      </c>
      <c r="P1169" s="10">
        <v>124</v>
      </c>
      <c r="Q1169" s="10">
        <v>16</v>
      </c>
      <c r="R1169" s="10">
        <v>2110</v>
      </c>
      <c r="S1169" s="10">
        <v>0.87</v>
      </c>
      <c r="T1169" s="10">
        <v>1838</v>
      </c>
      <c r="U1169" s="10">
        <v>273</v>
      </c>
      <c r="V1169" s="10">
        <v>201</v>
      </c>
      <c r="W1169" s="10">
        <v>51</v>
      </c>
      <c r="X1169" s="10">
        <v>221</v>
      </c>
      <c r="Y1169" s="10">
        <v>9</v>
      </c>
      <c r="Z1169" s="10">
        <v>82</v>
      </c>
      <c r="AA1169" s="10">
        <v>0.183</v>
      </c>
      <c r="AB1169" s="10">
        <v>62</v>
      </c>
      <c r="AC1169" s="10">
        <v>58</v>
      </c>
      <c r="AD1169" s="10">
        <v>159</v>
      </c>
      <c r="AE1169" s="10">
        <v>8</v>
      </c>
      <c r="AF1169" s="10">
        <v>13.2</v>
      </c>
      <c r="AG1169" s="9" t="s">
        <v>188</v>
      </c>
      <c r="AH1169" s="10"/>
      <c r="AI1169" s="10"/>
      <c r="AJ1169" s="10"/>
      <c r="AK1169" s="30"/>
    </row>
    <row r="1170" spans="5:37">
      <c r="E1170" s="28" t="s">
        <v>155</v>
      </c>
      <c r="F1170" s="8" t="s">
        <v>172</v>
      </c>
      <c r="G1170" s="9" t="s">
        <v>531</v>
      </c>
      <c r="H1170" s="10">
        <v>169</v>
      </c>
      <c r="I1170" s="9" t="s">
        <v>158</v>
      </c>
      <c r="J1170" s="10">
        <v>169</v>
      </c>
      <c r="K1170" s="10">
        <v>169.2</v>
      </c>
      <c r="L1170" s="10">
        <v>123</v>
      </c>
      <c r="M1170" s="10">
        <v>137</v>
      </c>
      <c r="N1170" s="10">
        <v>126</v>
      </c>
      <c r="O1170" s="10">
        <v>96</v>
      </c>
      <c r="P1170" s="10">
        <v>115</v>
      </c>
      <c r="Q1170" s="10">
        <v>17.5</v>
      </c>
      <c r="R1170" s="10">
        <v>1285</v>
      </c>
      <c r="S1170" s="10">
        <v>1.4</v>
      </c>
      <c r="T1170" s="10">
        <v>1798</v>
      </c>
      <c r="U1170" s="10">
        <v>196</v>
      </c>
      <c r="V1170" s="10">
        <v>83</v>
      </c>
      <c r="W1170" s="10">
        <v>58</v>
      </c>
      <c r="X1170" s="10">
        <v>322</v>
      </c>
      <c r="Y1170" s="10">
        <v>12</v>
      </c>
      <c r="Z1170" s="10">
        <v>142</v>
      </c>
      <c r="AA1170" s="10">
        <v>0.21299999999999999</v>
      </c>
      <c r="AB1170" s="10">
        <v>195</v>
      </c>
      <c r="AC1170" s="10">
        <v>123</v>
      </c>
      <c r="AD1170" s="10">
        <v>126</v>
      </c>
      <c r="AE1170" s="10">
        <v>6</v>
      </c>
      <c r="AF1170" s="10">
        <v>12.1</v>
      </c>
      <c r="AG1170" s="9" t="s">
        <v>185</v>
      </c>
      <c r="AH1170" s="9" t="s">
        <v>198</v>
      </c>
      <c r="AI1170" s="10"/>
      <c r="AJ1170" s="10"/>
      <c r="AK1170" s="30"/>
    </row>
    <row r="1171" spans="5:37">
      <c r="E1171" s="28" t="s">
        <v>155</v>
      </c>
      <c r="F1171" s="8" t="s">
        <v>172</v>
      </c>
      <c r="G1171" s="9" t="s">
        <v>531</v>
      </c>
      <c r="H1171" s="10">
        <v>177</v>
      </c>
      <c r="I1171" s="9" t="s">
        <v>158</v>
      </c>
      <c r="J1171" s="10">
        <v>177</v>
      </c>
      <c r="K1171" s="10">
        <v>177.3</v>
      </c>
      <c r="L1171" s="10">
        <v>130</v>
      </c>
      <c r="M1171" s="10">
        <v>145</v>
      </c>
      <c r="N1171" s="10">
        <v>126</v>
      </c>
      <c r="O1171" s="10">
        <v>97</v>
      </c>
      <c r="P1171" s="10">
        <v>115</v>
      </c>
      <c r="Q1171" s="10">
        <v>19.8</v>
      </c>
      <c r="R1171" s="10">
        <v>1319</v>
      </c>
      <c r="S1171" s="10">
        <v>1.43</v>
      </c>
      <c r="T1171" s="10">
        <v>1886</v>
      </c>
      <c r="U1171" s="10">
        <v>233</v>
      </c>
      <c r="V1171" s="10">
        <v>85</v>
      </c>
      <c r="W1171" s="10">
        <v>56</v>
      </c>
      <c r="X1171" s="10">
        <v>319</v>
      </c>
      <c r="Y1171" s="10">
        <v>13</v>
      </c>
      <c r="Z1171" s="10">
        <v>151</v>
      </c>
      <c r="AA1171" s="10">
        <v>0.23</v>
      </c>
      <c r="AB1171" s="10">
        <v>204</v>
      </c>
      <c r="AC1171" s="10">
        <v>122</v>
      </c>
      <c r="AD1171" s="10">
        <v>115</v>
      </c>
      <c r="AE1171" s="10">
        <v>6</v>
      </c>
      <c r="AF1171" s="10">
        <v>12.2</v>
      </c>
      <c r="AG1171" s="9" t="s">
        <v>185</v>
      </c>
      <c r="AH1171" s="9" t="s">
        <v>198</v>
      </c>
      <c r="AI1171" s="10"/>
      <c r="AJ1171" s="10"/>
      <c r="AK1171" s="30"/>
    </row>
    <row r="1172" spans="5:37">
      <c r="E1172" s="28" t="s">
        <v>155</v>
      </c>
      <c r="F1172" s="8" t="s">
        <v>172</v>
      </c>
      <c r="G1172" s="9" t="s">
        <v>543</v>
      </c>
      <c r="H1172" s="10">
        <v>160</v>
      </c>
      <c r="I1172" s="9" t="s">
        <v>163</v>
      </c>
      <c r="J1172" s="10">
        <v>160</v>
      </c>
      <c r="K1172" s="10">
        <v>159.30000000000001</v>
      </c>
      <c r="L1172" s="10">
        <v>113</v>
      </c>
      <c r="M1172" s="10">
        <v>136</v>
      </c>
      <c r="N1172" s="10">
        <v>130</v>
      </c>
      <c r="O1172" s="10">
        <v>97</v>
      </c>
      <c r="P1172" s="10">
        <v>120</v>
      </c>
      <c r="Q1172" s="10">
        <v>14.1</v>
      </c>
      <c r="R1172" s="10">
        <v>1775</v>
      </c>
      <c r="S1172" s="10">
        <v>0.97</v>
      </c>
      <c r="T1172" s="10">
        <v>1726</v>
      </c>
      <c r="U1172" s="10">
        <v>200</v>
      </c>
      <c r="V1172" s="10">
        <v>108</v>
      </c>
      <c r="W1172" s="10">
        <v>49</v>
      </c>
      <c r="X1172" s="10">
        <v>239</v>
      </c>
      <c r="Y1172" s="10">
        <v>35</v>
      </c>
      <c r="Z1172" s="10">
        <v>225</v>
      </c>
      <c r="AA1172" s="10">
        <v>0.70599999999999996</v>
      </c>
      <c r="AB1172" s="10">
        <v>131</v>
      </c>
      <c r="AC1172" s="10">
        <v>105</v>
      </c>
      <c r="AD1172" s="10">
        <v>108</v>
      </c>
      <c r="AE1172" s="10">
        <v>8</v>
      </c>
      <c r="AF1172" s="10">
        <v>4.2</v>
      </c>
      <c r="AG1172" s="9" t="s">
        <v>188</v>
      </c>
      <c r="AH1172" s="10"/>
      <c r="AI1172" s="10"/>
      <c r="AJ1172" s="10"/>
      <c r="AK1172" s="30"/>
    </row>
    <row r="1173" spans="5:37">
      <c r="E1173" s="28" t="s">
        <v>155</v>
      </c>
      <c r="F1173" s="8" t="s">
        <v>172</v>
      </c>
      <c r="G1173" s="9" t="s">
        <v>543</v>
      </c>
      <c r="H1173" s="10">
        <v>170</v>
      </c>
      <c r="I1173" s="9" t="s">
        <v>163</v>
      </c>
      <c r="J1173" s="10">
        <v>170</v>
      </c>
      <c r="K1173" s="10">
        <v>169</v>
      </c>
      <c r="L1173" s="10">
        <v>120</v>
      </c>
      <c r="M1173" s="10">
        <v>146</v>
      </c>
      <c r="N1173" s="10">
        <v>130</v>
      </c>
      <c r="O1173" s="10">
        <v>97</v>
      </c>
      <c r="P1173" s="10">
        <v>120</v>
      </c>
      <c r="Q1173" s="10">
        <v>16.7</v>
      </c>
      <c r="R1173" s="10">
        <v>1920</v>
      </c>
      <c r="S1173" s="10">
        <v>0.95</v>
      </c>
      <c r="T1173" s="10">
        <v>1827</v>
      </c>
      <c r="U1173" s="10">
        <v>205</v>
      </c>
      <c r="V1173" s="10">
        <v>115</v>
      </c>
      <c r="W1173" s="10">
        <v>56</v>
      </c>
      <c r="X1173" s="10">
        <v>264</v>
      </c>
      <c r="Y1173" s="10">
        <v>36</v>
      </c>
      <c r="Z1173" s="10">
        <v>230</v>
      </c>
      <c r="AA1173" s="10">
        <v>0.63700000000000001</v>
      </c>
      <c r="AB1173" s="10">
        <v>134</v>
      </c>
      <c r="AC1173" s="10">
        <v>100</v>
      </c>
      <c r="AD1173" s="10">
        <v>130</v>
      </c>
      <c r="AE1173" s="10">
        <v>6</v>
      </c>
      <c r="AF1173" s="10">
        <v>4.9000000000000004</v>
      </c>
      <c r="AG1173" s="9" t="s">
        <v>188</v>
      </c>
      <c r="AH1173" s="10"/>
      <c r="AI1173" s="10"/>
      <c r="AJ1173" s="10"/>
      <c r="AK1173" s="30"/>
    </row>
    <row r="1174" spans="5:37">
      <c r="E1174" s="28" t="s">
        <v>155</v>
      </c>
      <c r="F1174" s="8" t="s">
        <v>172</v>
      </c>
      <c r="G1174" s="9" t="s">
        <v>805</v>
      </c>
      <c r="H1174" s="10">
        <v>140</v>
      </c>
      <c r="I1174" s="9" t="s">
        <v>163</v>
      </c>
      <c r="J1174" s="10">
        <v>140</v>
      </c>
      <c r="K1174" s="10">
        <v>138.6</v>
      </c>
      <c r="L1174" s="10">
        <v>89</v>
      </c>
      <c r="M1174" s="10">
        <v>114</v>
      </c>
      <c r="N1174" s="10">
        <v>118</v>
      </c>
      <c r="O1174" s="10">
        <v>89</v>
      </c>
      <c r="P1174" s="10">
        <v>107</v>
      </c>
      <c r="Q1174" s="10">
        <v>13.8</v>
      </c>
      <c r="R1174" s="10">
        <v>1559</v>
      </c>
      <c r="S1174" s="10">
        <v>0.87</v>
      </c>
      <c r="T1174" s="10">
        <v>1361</v>
      </c>
      <c r="U1174" s="10">
        <v>155</v>
      </c>
      <c r="V1174" s="10">
        <v>57</v>
      </c>
      <c r="W1174" s="10">
        <v>52</v>
      </c>
      <c r="X1174" s="10">
        <v>263</v>
      </c>
      <c r="Y1174" s="10">
        <v>33</v>
      </c>
      <c r="Z1174" s="10">
        <v>232</v>
      </c>
      <c r="AA1174" s="10">
        <v>0.623</v>
      </c>
      <c r="AB1174" s="10">
        <v>118</v>
      </c>
      <c r="AC1174" s="10">
        <v>124</v>
      </c>
      <c r="AD1174" s="10">
        <v>145</v>
      </c>
      <c r="AE1174" s="10">
        <v>5</v>
      </c>
      <c r="AF1174" s="10">
        <v>5</v>
      </c>
      <c r="AG1174" s="9" t="s">
        <v>188</v>
      </c>
      <c r="AH1174" s="10"/>
      <c r="AI1174" s="10"/>
      <c r="AJ1174" s="10"/>
      <c r="AK1174" s="30"/>
    </row>
    <row r="1175" spans="5:37">
      <c r="E1175" s="28" t="s">
        <v>155</v>
      </c>
      <c r="F1175" s="8" t="s">
        <v>172</v>
      </c>
      <c r="G1175" s="9" t="s">
        <v>805</v>
      </c>
      <c r="H1175" s="10">
        <v>150</v>
      </c>
      <c r="I1175" s="9" t="s">
        <v>163</v>
      </c>
      <c r="J1175" s="10">
        <v>150</v>
      </c>
      <c r="K1175" s="10">
        <v>148.5</v>
      </c>
      <c r="L1175" s="10">
        <v>100</v>
      </c>
      <c r="M1175" s="10">
        <v>125</v>
      </c>
      <c r="N1175" s="10">
        <v>117</v>
      </c>
      <c r="O1175" s="10">
        <v>89</v>
      </c>
      <c r="P1175" s="10">
        <v>107</v>
      </c>
      <c r="Q1175" s="10">
        <v>16.8</v>
      </c>
      <c r="R1175" s="10">
        <v>1628</v>
      </c>
      <c r="S1175" s="10">
        <v>0.89</v>
      </c>
      <c r="T1175" s="10">
        <v>1448</v>
      </c>
      <c r="U1175" s="10">
        <v>148</v>
      </c>
      <c r="V1175" s="10">
        <v>57</v>
      </c>
      <c r="W1175" s="10">
        <v>50</v>
      </c>
      <c r="X1175" s="10">
        <v>259</v>
      </c>
      <c r="Y1175" s="10">
        <v>32</v>
      </c>
      <c r="Z1175" s="10">
        <v>222</v>
      </c>
      <c r="AA1175" s="10">
        <v>0.63800000000000001</v>
      </c>
      <c r="AB1175" s="10">
        <v>110</v>
      </c>
      <c r="AC1175" s="10">
        <v>128</v>
      </c>
      <c r="AD1175" s="10">
        <v>149</v>
      </c>
      <c r="AE1175" s="10">
        <v>5</v>
      </c>
      <c r="AF1175" s="10">
        <v>5</v>
      </c>
      <c r="AG1175" s="9" t="s">
        <v>188</v>
      </c>
      <c r="AH1175" s="10"/>
      <c r="AI1175" s="10"/>
      <c r="AJ1175" s="10"/>
      <c r="AK1175" s="30"/>
    </row>
    <row r="1176" spans="5:37">
      <c r="E1176" s="28" t="s">
        <v>155</v>
      </c>
      <c r="F1176" s="8" t="s">
        <v>172</v>
      </c>
      <c r="G1176" s="9" t="s">
        <v>805</v>
      </c>
      <c r="H1176" s="10">
        <v>160</v>
      </c>
      <c r="I1176" s="9" t="s">
        <v>163</v>
      </c>
      <c r="J1176" s="10">
        <v>160</v>
      </c>
      <c r="K1176" s="10">
        <v>158.5</v>
      </c>
      <c r="L1176" s="10">
        <v>111</v>
      </c>
      <c r="M1176" s="10">
        <v>133</v>
      </c>
      <c r="N1176" s="10">
        <v>117</v>
      </c>
      <c r="O1176" s="10">
        <v>89</v>
      </c>
      <c r="P1176" s="10">
        <v>107</v>
      </c>
      <c r="Q1176" s="10">
        <v>20.8</v>
      </c>
      <c r="R1176" s="10">
        <v>1764</v>
      </c>
      <c r="S1176" s="10">
        <v>0.87</v>
      </c>
      <c r="T1176" s="10">
        <v>1541</v>
      </c>
      <c r="U1176" s="10">
        <v>153</v>
      </c>
      <c r="V1176" s="10">
        <v>59</v>
      </c>
      <c r="W1176" s="10">
        <v>51</v>
      </c>
      <c r="X1176" s="10">
        <v>261</v>
      </c>
      <c r="Y1176" s="10">
        <v>29</v>
      </c>
      <c r="Z1176" s="10">
        <v>214</v>
      </c>
      <c r="AA1176" s="10">
        <v>0.56699999999999995</v>
      </c>
      <c r="AB1176" s="10">
        <v>126</v>
      </c>
      <c r="AC1176" s="10">
        <v>133</v>
      </c>
      <c r="AD1176" s="10">
        <v>135</v>
      </c>
      <c r="AE1176" s="10">
        <v>7</v>
      </c>
      <c r="AF1176" s="10">
        <v>5.3</v>
      </c>
      <c r="AG1176" s="9" t="s">
        <v>188</v>
      </c>
      <c r="AH1176" s="10"/>
      <c r="AI1176" s="10"/>
      <c r="AJ1176" s="10"/>
      <c r="AK1176" s="30"/>
    </row>
    <row r="1177" spans="5:37">
      <c r="E1177" s="28" t="s">
        <v>155</v>
      </c>
      <c r="F1177" s="8" t="s">
        <v>172</v>
      </c>
      <c r="G1177" s="9" t="s">
        <v>599</v>
      </c>
      <c r="H1177" s="10">
        <v>156</v>
      </c>
      <c r="I1177" s="9" t="s">
        <v>158</v>
      </c>
      <c r="J1177" s="10">
        <v>156</v>
      </c>
      <c r="K1177" s="10">
        <v>155</v>
      </c>
      <c r="L1177" s="10">
        <v>107</v>
      </c>
      <c r="M1177" s="10">
        <v>129</v>
      </c>
      <c r="N1177" s="10">
        <v>125</v>
      </c>
      <c r="O1177" s="10">
        <v>89</v>
      </c>
      <c r="P1177" s="10">
        <v>116</v>
      </c>
      <c r="Q1177" s="10">
        <v>11.7</v>
      </c>
      <c r="R1177" s="10">
        <v>1471</v>
      </c>
      <c r="S1177" s="10">
        <v>1.08</v>
      </c>
      <c r="T1177" s="10">
        <v>1590</v>
      </c>
      <c r="U1177" s="10">
        <v>153</v>
      </c>
      <c r="V1177" s="10">
        <v>75</v>
      </c>
      <c r="W1177" s="10">
        <v>52</v>
      </c>
      <c r="X1177" s="10">
        <v>307</v>
      </c>
      <c r="Y1177" s="10">
        <v>13</v>
      </c>
      <c r="Z1177" s="10">
        <v>173</v>
      </c>
      <c r="AA1177" s="10">
        <v>0.24299999999999999</v>
      </c>
      <c r="AB1177" s="10">
        <v>158</v>
      </c>
      <c r="AC1177" s="10">
        <v>100</v>
      </c>
      <c r="AD1177" s="10">
        <v>149</v>
      </c>
      <c r="AE1177" s="10">
        <v>6</v>
      </c>
      <c r="AF1177" s="10">
        <v>5.5</v>
      </c>
      <c r="AG1177" s="9" t="s">
        <v>188</v>
      </c>
      <c r="AH1177" s="9" t="s">
        <v>185</v>
      </c>
      <c r="AI1177" s="10"/>
      <c r="AJ1177" s="10"/>
      <c r="AK1177" s="30"/>
    </row>
    <row r="1178" spans="5:37">
      <c r="E1178" s="28" t="s">
        <v>155</v>
      </c>
      <c r="F1178" s="8" t="s">
        <v>172</v>
      </c>
      <c r="G1178" s="9" t="s">
        <v>599</v>
      </c>
      <c r="H1178" s="10">
        <v>164</v>
      </c>
      <c r="I1178" s="9" t="s">
        <v>158</v>
      </c>
      <c r="J1178" s="10">
        <v>164</v>
      </c>
      <c r="K1178" s="10">
        <v>162.6</v>
      </c>
      <c r="L1178" s="10">
        <v>115</v>
      </c>
      <c r="M1178" s="10">
        <v>137</v>
      </c>
      <c r="N1178" s="10">
        <v>126</v>
      </c>
      <c r="O1178" s="10">
        <v>91</v>
      </c>
      <c r="P1178" s="10">
        <v>116</v>
      </c>
      <c r="Q1178" s="10">
        <v>13.8</v>
      </c>
      <c r="R1178" s="10">
        <v>1555</v>
      </c>
      <c r="S1178" s="10">
        <v>1.08</v>
      </c>
      <c r="T1178" s="10">
        <v>1680</v>
      </c>
      <c r="U1178" s="10">
        <v>183</v>
      </c>
      <c r="V1178" s="10">
        <v>80</v>
      </c>
      <c r="W1178" s="10">
        <v>52</v>
      </c>
      <c r="X1178" s="10">
        <v>307</v>
      </c>
      <c r="Y1178" s="10">
        <v>12</v>
      </c>
      <c r="Z1178" s="10">
        <v>170</v>
      </c>
      <c r="AA1178" s="10">
        <v>0.22500000000000001</v>
      </c>
      <c r="AB1178" s="10">
        <v>143</v>
      </c>
      <c r="AC1178" s="10">
        <v>109</v>
      </c>
      <c r="AD1178" s="10">
        <v>164</v>
      </c>
      <c r="AE1178" s="10">
        <v>6</v>
      </c>
      <c r="AF1178" s="10">
        <v>6.2</v>
      </c>
      <c r="AG1178" s="9" t="s">
        <v>188</v>
      </c>
      <c r="AH1178" s="9" t="s">
        <v>185</v>
      </c>
      <c r="AI1178" s="10"/>
      <c r="AJ1178" s="10"/>
      <c r="AK1178" s="30"/>
    </row>
    <row r="1179" spans="5:37">
      <c r="E1179" s="28" t="s">
        <v>155</v>
      </c>
      <c r="F1179" s="8" t="s">
        <v>172</v>
      </c>
      <c r="G1179" s="9" t="s">
        <v>599</v>
      </c>
      <c r="H1179" s="10">
        <v>172</v>
      </c>
      <c r="I1179" s="9" t="s">
        <v>158</v>
      </c>
      <c r="J1179" s="10">
        <v>172</v>
      </c>
      <c r="K1179" s="10">
        <v>170.8</v>
      </c>
      <c r="L1179" s="10">
        <v>124</v>
      </c>
      <c r="M1179" s="10">
        <v>146</v>
      </c>
      <c r="N1179" s="10">
        <v>126</v>
      </c>
      <c r="O1179" s="10">
        <v>92</v>
      </c>
      <c r="P1179" s="10">
        <v>116</v>
      </c>
      <c r="Q1179" s="10">
        <v>16</v>
      </c>
      <c r="R1179" s="10">
        <v>1632</v>
      </c>
      <c r="S1179" s="10">
        <v>1.08</v>
      </c>
      <c r="T1179" s="10">
        <v>1769</v>
      </c>
      <c r="U1179" s="10">
        <v>204</v>
      </c>
      <c r="V1179" s="10">
        <v>90</v>
      </c>
      <c r="W1179" s="10">
        <v>47</v>
      </c>
      <c r="X1179" s="10">
        <v>291</v>
      </c>
      <c r="Y1179" s="10">
        <v>12</v>
      </c>
      <c r="Z1179" s="10">
        <v>174</v>
      </c>
      <c r="AA1179" s="10">
        <v>0.26</v>
      </c>
      <c r="AB1179" s="10">
        <v>153</v>
      </c>
      <c r="AC1179" s="10">
        <v>98</v>
      </c>
      <c r="AD1179" s="10">
        <v>138</v>
      </c>
      <c r="AE1179" s="10">
        <v>6</v>
      </c>
      <c r="AF1179" s="10">
        <v>6.5</v>
      </c>
      <c r="AG1179" s="9" t="s">
        <v>188</v>
      </c>
      <c r="AH1179" s="9" t="s">
        <v>185</v>
      </c>
      <c r="AI1179" s="10"/>
      <c r="AJ1179" s="10"/>
      <c r="AK1179" s="30"/>
    </row>
    <row r="1180" spans="5:37">
      <c r="E1180" s="28" t="s">
        <v>155</v>
      </c>
      <c r="F1180" s="8" t="s">
        <v>172</v>
      </c>
      <c r="G1180" s="9" t="s">
        <v>599</v>
      </c>
      <c r="H1180" s="10">
        <v>178</v>
      </c>
      <c r="I1180" s="9" t="s">
        <v>158</v>
      </c>
      <c r="J1180" s="10">
        <v>178</v>
      </c>
      <c r="K1180" s="10">
        <v>178.4</v>
      </c>
      <c r="L1180" s="10">
        <v>131</v>
      </c>
      <c r="M1180" s="10">
        <v>154</v>
      </c>
      <c r="N1180" s="10">
        <v>126</v>
      </c>
      <c r="O1180" s="10">
        <v>93</v>
      </c>
      <c r="P1180" s="10">
        <v>116</v>
      </c>
      <c r="Q1180" s="10">
        <v>18.600000000000001</v>
      </c>
      <c r="R1180" s="10">
        <v>1801</v>
      </c>
      <c r="S1180" s="10">
        <v>1.03</v>
      </c>
      <c r="T1180" s="10">
        <v>1857</v>
      </c>
      <c r="U1180" s="10">
        <v>251</v>
      </c>
      <c r="V1180" s="10">
        <v>125</v>
      </c>
      <c r="W1180" s="10">
        <v>49</v>
      </c>
      <c r="X1180" s="10">
        <v>307</v>
      </c>
      <c r="Y1180" s="10">
        <v>11</v>
      </c>
      <c r="Z1180" s="10">
        <v>171</v>
      </c>
      <c r="AA1180" s="10">
        <v>0.22</v>
      </c>
      <c r="AB1180" s="10">
        <v>142</v>
      </c>
      <c r="AC1180" s="10">
        <v>104</v>
      </c>
      <c r="AD1180" s="10">
        <v>165</v>
      </c>
      <c r="AE1180" s="10">
        <v>8</v>
      </c>
      <c r="AF1180" s="10">
        <v>7.6</v>
      </c>
      <c r="AG1180" s="9" t="s">
        <v>188</v>
      </c>
      <c r="AH1180" s="10"/>
      <c r="AI1180" s="10"/>
      <c r="AJ1180" s="10"/>
      <c r="AK1180" s="30"/>
    </row>
    <row r="1181" spans="5:37">
      <c r="E1181" s="28" t="s">
        <v>155</v>
      </c>
      <c r="F1181" s="8" t="s">
        <v>172</v>
      </c>
      <c r="G1181" s="9" t="s">
        <v>599</v>
      </c>
      <c r="H1181" s="10">
        <v>186</v>
      </c>
      <c r="I1181" s="9" t="s">
        <v>158</v>
      </c>
      <c r="J1181" s="10">
        <v>186</v>
      </c>
      <c r="K1181" s="10">
        <v>186.5</v>
      </c>
      <c r="L1181" s="10">
        <v>140</v>
      </c>
      <c r="M1181" s="10">
        <v>161</v>
      </c>
      <c r="N1181" s="10">
        <v>126</v>
      </c>
      <c r="O1181" s="10">
        <v>93</v>
      </c>
      <c r="P1181" s="10">
        <v>116</v>
      </c>
      <c r="Q1181" s="10">
        <v>21.4</v>
      </c>
      <c r="R1181" s="10">
        <v>1870</v>
      </c>
      <c r="S1181" s="10">
        <v>1.04</v>
      </c>
      <c r="T1181" s="10">
        <v>1948</v>
      </c>
      <c r="U1181" s="10">
        <v>295</v>
      </c>
      <c r="V1181" s="10">
        <v>138</v>
      </c>
      <c r="W1181" s="10">
        <v>46</v>
      </c>
      <c r="X1181" s="10">
        <v>286</v>
      </c>
      <c r="Y1181" s="10">
        <v>14</v>
      </c>
      <c r="Z1181" s="10">
        <v>178</v>
      </c>
      <c r="AA1181" s="10">
        <v>0.31</v>
      </c>
      <c r="AB1181" s="10">
        <v>148</v>
      </c>
      <c r="AC1181" s="10">
        <v>103</v>
      </c>
      <c r="AD1181" s="10">
        <v>138</v>
      </c>
      <c r="AE1181" s="10">
        <v>7</v>
      </c>
      <c r="AF1181" s="10">
        <v>8.3000000000000007</v>
      </c>
      <c r="AG1181" s="9" t="s">
        <v>188</v>
      </c>
      <c r="AH1181" s="10"/>
      <c r="AI1181" s="10"/>
      <c r="AJ1181" s="10"/>
      <c r="AK1181" s="30"/>
    </row>
    <row r="1182" spans="5:37">
      <c r="E1182" s="28" t="s">
        <v>155</v>
      </c>
      <c r="F1182" s="8" t="s">
        <v>172</v>
      </c>
      <c r="G1182" s="9" t="s">
        <v>768</v>
      </c>
      <c r="H1182" s="10">
        <v>176</v>
      </c>
      <c r="I1182" s="9" t="s">
        <v>158</v>
      </c>
      <c r="J1182" s="10">
        <v>176</v>
      </c>
      <c r="K1182" s="10">
        <v>174.7</v>
      </c>
      <c r="L1182" s="10">
        <v>102</v>
      </c>
      <c r="M1182" s="10">
        <v>147</v>
      </c>
      <c r="N1182" s="10">
        <v>144</v>
      </c>
      <c r="O1182" s="10">
        <v>117</v>
      </c>
      <c r="P1182" s="10">
        <v>139</v>
      </c>
      <c r="Q1182" s="10">
        <v>19.2</v>
      </c>
      <c r="R1182" s="10">
        <v>2255</v>
      </c>
      <c r="S1182" s="10">
        <v>0.98</v>
      </c>
      <c r="T1182" s="10">
        <v>2199</v>
      </c>
      <c r="U1182" s="10">
        <v>217</v>
      </c>
      <c r="V1182" s="10">
        <v>105</v>
      </c>
      <c r="W1182" s="10">
        <v>69</v>
      </c>
      <c r="X1182" s="10">
        <v>368</v>
      </c>
      <c r="Y1182" s="10">
        <v>53</v>
      </c>
      <c r="Z1182" s="10">
        <v>355</v>
      </c>
      <c r="AA1182" s="10">
        <v>0.76600000000000001</v>
      </c>
      <c r="AB1182" s="10">
        <v>149</v>
      </c>
      <c r="AC1182" s="10">
        <v>130</v>
      </c>
      <c r="AD1182" s="10">
        <v>219</v>
      </c>
      <c r="AE1182" s="10">
        <v>5</v>
      </c>
      <c r="AF1182" s="10">
        <v>2.2999999999999998</v>
      </c>
      <c r="AG1182" s="9" t="s">
        <v>169</v>
      </c>
      <c r="AH1182" s="10"/>
      <c r="AI1182" s="10"/>
      <c r="AJ1182" s="10"/>
      <c r="AK1182" s="30"/>
    </row>
    <row r="1183" spans="5:37">
      <c r="E1183" s="28" t="s">
        <v>155</v>
      </c>
      <c r="F1183" s="8" t="s">
        <v>172</v>
      </c>
      <c r="G1183" s="9" t="s">
        <v>768</v>
      </c>
      <c r="H1183" s="10">
        <v>186</v>
      </c>
      <c r="I1183" s="9" t="s">
        <v>158</v>
      </c>
      <c r="J1183" s="10">
        <v>186</v>
      </c>
      <c r="K1183" s="10">
        <v>184.6</v>
      </c>
      <c r="L1183" s="10">
        <v>112</v>
      </c>
      <c r="M1183" s="10">
        <v>157</v>
      </c>
      <c r="N1183" s="10">
        <v>144</v>
      </c>
      <c r="O1183" s="10">
        <v>116</v>
      </c>
      <c r="P1183" s="10">
        <v>139</v>
      </c>
      <c r="Q1183" s="10">
        <v>21.2</v>
      </c>
      <c r="R1183" s="10">
        <v>2470</v>
      </c>
      <c r="S1183" s="10">
        <v>0.94</v>
      </c>
      <c r="T1183" s="10">
        <v>2327</v>
      </c>
      <c r="U1183" s="10">
        <v>255</v>
      </c>
      <c r="V1183" s="10">
        <v>127</v>
      </c>
      <c r="W1183" s="10">
        <v>63</v>
      </c>
      <c r="X1183" s="10">
        <v>367</v>
      </c>
      <c r="Y1183" s="10">
        <v>52</v>
      </c>
      <c r="Z1183" s="10">
        <v>356</v>
      </c>
      <c r="AA1183" s="10">
        <v>0.82399999999999995</v>
      </c>
      <c r="AB1183" s="10">
        <v>147</v>
      </c>
      <c r="AC1183" s="10">
        <v>127</v>
      </c>
      <c r="AD1183" s="10">
        <v>220</v>
      </c>
      <c r="AE1183" s="10">
        <v>5</v>
      </c>
      <c r="AF1183" s="10">
        <v>2.4</v>
      </c>
      <c r="AG1183" s="9" t="s">
        <v>184</v>
      </c>
      <c r="AH1183" s="9" t="s">
        <v>169</v>
      </c>
      <c r="AI1183" s="10"/>
      <c r="AJ1183" s="10"/>
      <c r="AK1183" s="30"/>
    </row>
    <row r="1184" spans="5:37">
      <c r="E1184" s="28" t="s">
        <v>155</v>
      </c>
      <c r="F1184" s="8" t="s">
        <v>172</v>
      </c>
      <c r="G1184" s="9" t="s">
        <v>331</v>
      </c>
      <c r="H1184" s="10">
        <v>162</v>
      </c>
      <c r="I1184" s="9" t="s">
        <v>158</v>
      </c>
      <c r="J1184" s="10">
        <v>162</v>
      </c>
      <c r="K1184" s="10">
        <v>159.5</v>
      </c>
      <c r="L1184" s="10">
        <v>112</v>
      </c>
      <c r="M1184" s="10">
        <v>136</v>
      </c>
      <c r="N1184" s="10">
        <v>129</v>
      </c>
      <c r="O1184" s="10">
        <v>97</v>
      </c>
      <c r="P1184" s="10">
        <v>120</v>
      </c>
      <c r="Q1184" s="10">
        <v>14.4</v>
      </c>
      <c r="R1184" s="10">
        <v>1731</v>
      </c>
      <c r="S1184" s="10">
        <v>1</v>
      </c>
      <c r="T1184" s="10">
        <v>1723</v>
      </c>
      <c r="U1184" s="10">
        <v>192</v>
      </c>
      <c r="V1184" s="10">
        <v>101</v>
      </c>
      <c r="W1184" s="10">
        <v>53</v>
      </c>
      <c r="X1184" s="10">
        <v>255</v>
      </c>
      <c r="Y1184" s="10">
        <v>35</v>
      </c>
      <c r="Z1184" s="10">
        <v>221</v>
      </c>
      <c r="AA1184" s="10">
        <v>0.66300000000000003</v>
      </c>
      <c r="AB1184" s="10">
        <v>137</v>
      </c>
      <c r="AC1184" s="10">
        <v>94</v>
      </c>
      <c r="AD1184" s="10">
        <v>118</v>
      </c>
      <c r="AE1184" s="10">
        <v>7</v>
      </c>
      <c r="AF1184" s="10">
        <v>4.0999999999999996</v>
      </c>
      <c r="AG1184" s="9" t="s">
        <v>188</v>
      </c>
      <c r="AH1184" s="10"/>
      <c r="AI1184" s="10"/>
      <c r="AJ1184" s="10"/>
      <c r="AK1184" s="30"/>
    </row>
    <row r="1185" spans="5:37">
      <c r="E1185" s="28" t="s">
        <v>155</v>
      </c>
      <c r="F1185" s="8" t="s">
        <v>172</v>
      </c>
      <c r="G1185" s="9" t="s">
        <v>331</v>
      </c>
      <c r="H1185" s="10">
        <v>172</v>
      </c>
      <c r="I1185" s="9" t="s">
        <v>158</v>
      </c>
      <c r="J1185" s="10">
        <v>172</v>
      </c>
      <c r="K1185" s="10">
        <v>169.3</v>
      </c>
      <c r="L1185" s="10">
        <v>121</v>
      </c>
      <c r="M1185" s="10">
        <v>146</v>
      </c>
      <c r="N1185" s="10">
        <v>129</v>
      </c>
      <c r="O1185" s="10">
        <v>97</v>
      </c>
      <c r="P1185" s="10">
        <v>120</v>
      </c>
      <c r="Q1185" s="10">
        <v>17</v>
      </c>
      <c r="R1185" s="10">
        <v>1850</v>
      </c>
      <c r="S1185" s="10">
        <v>0.99</v>
      </c>
      <c r="T1185" s="10">
        <v>1826</v>
      </c>
      <c r="U1185" s="10">
        <v>196</v>
      </c>
      <c r="V1185" s="10">
        <v>107</v>
      </c>
      <c r="W1185" s="10">
        <v>57</v>
      </c>
      <c r="X1185" s="10">
        <v>260</v>
      </c>
      <c r="Y1185" s="10">
        <v>37</v>
      </c>
      <c r="Z1185" s="10">
        <v>226</v>
      </c>
      <c r="AA1185" s="10">
        <v>0.65</v>
      </c>
      <c r="AB1185" s="10">
        <v>136</v>
      </c>
      <c r="AC1185" s="10">
        <v>97</v>
      </c>
      <c r="AD1185" s="10">
        <v>125</v>
      </c>
      <c r="AE1185" s="10">
        <v>8</v>
      </c>
      <c r="AF1185" s="10">
        <v>4.3</v>
      </c>
      <c r="AG1185" s="9" t="s">
        <v>188</v>
      </c>
      <c r="AH1185" s="10"/>
      <c r="AI1185" s="10"/>
      <c r="AJ1185" s="10"/>
      <c r="AK1185" s="30"/>
    </row>
    <row r="1186" spans="5:37">
      <c r="E1186" s="28" t="s">
        <v>155</v>
      </c>
      <c r="F1186" s="8" t="s">
        <v>172</v>
      </c>
      <c r="G1186" s="9" t="s">
        <v>331</v>
      </c>
      <c r="H1186" s="10">
        <v>182</v>
      </c>
      <c r="I1186" s="9" t="s">
        <v>158</v>
      </c>
      <c r="J1186" s="10">
        <v>182</v>
      </c>
      <c r="K1186" s="10">
        <v>179.6</v>
      </c>
      <c r="L1186" s="10">
        <v>132</v>
      </c>
      <c r="M1186" s="10">
        <v>156</v>
      </c>
      <c r="N1186" s="10">
        <v>129</v>
      </c>
      <c r="O1186" s="10">
        <v>97</v>
      </c>
      <c r="P1186" s="10">
        <v>120</v>
      </c>
      <c r="Q1186" s="10">
        <v>19.7</v>
      </c>
      <c r="R1186" s="10">
        <v>2021</v>
      </c>
      <c r="S1186" s="10">
        <v>0.96</v>
      </c>
      <c r="T1186" s="10">
        <v>1938</v>
      </c>
      <c r="U1186" s="10">
        <v>238</v>
      </c>
      <c r="V1186" s="10">
        <v>123</v>
      </c>
      <c r="W1186" s="10">
        <v>52</v>
      </c>
      <c r="X1186" s="10">
        <v>255</v>
      </c>
      <c r="Y1186" s="10">
        <v>35</v>
      </c>
      <c r="Z1186" s="10">
        <v>222</v>
      </c>
      <c r="AA1186" s="10">
        <v>0.66700000000000004</v>
      </c>
      <c r="AB1186" s="10">
        <v>137</v>
      </c>
      <c r="AC1186" s="10">
        <v>99</v>
      </c>
      <c r="AD1186" s="10">
        <v>118</v>
      </c>
      <c r="AE1186" s="10">
        <v>9</v>
      </c>
      <c r="AF1186" s="10">
        <v>4.4000000000000004</v>
      </c>
      <c r="AG1186" s="9" t="s">
        <v>188</v>
      </c>
      <c r="AH1186" s="10"/>
      <c r="AI1186" s="10"/>
      <c r="AJ1186" s="10"/>
      <c r="AK1186" s="30"/>
    </row>
    <row r="1187" spans="5:37">
      <c r="E1187" s="28" t="s">
        <v>155</v>
      </c>
      <c r="F1187" s="8" t="s">
        <v>172</v>
      </c>
      <c r="G1187" s="9" t="s">
        <v>401</v>
      </c>
      <c r="H1187" s="10">
        <v>163</v>
      </c>
      <c r="I1187" s="9" t="s">
        <v>163</v>
      </c>
      <c r="J1187" s="10">
        <v>163</v>
      </c>
      <c r="K1187" s="10">
        <v>162.69999999999999</v>
      </c>
      <c r="L1187" s="10">
        <v>107</v>
      </c>
      <c r="M1187" s="10">
        <v>136</v>
      </c>
      <c r="N1187" s="10">
        <v>136</v>
      </c>
      <c r="O1187" s="10">
        <v>100</v>
      </c>
      <c r="P1187" s="10">
        <v>127</v>
      </c>
      <c r="Q1187" s="10">
        <v>13</v>
      </c>
      <c r="R1187" s="10">
        <v>1742</v>
      </c>
      <c r="S1187" s="10">
        <v>1.06</v>
      </c>
      <c r="T1187" s="10">
        <v>1841</v>
      </c>
      <c r="U1187" s="10">
        <v>190</v>
      </c>
      <c r="V1187" s="10">
        <v>98</v>
      </c>
      <c r="W1187" s="10">
        <v>50</v>
      </c>
      <c r="X1187" s="10">
        <v>304</v>
      </c>
      <c r="Y1187" s="10">
        <v>16</v>
      </c>
      <c r="Z1187" s="10">
        <v>251</v>
      </c>
      <c r="AA1187" s="10">
        <v>0.32200000000000001</v>
      </c>
      <c r="AB1187" s="10">
        <v>157</v>
      </c>
      <c r="AC1187" s="10">
        <v>108</v>
      </c>
      <c r="AD1187" s="10">
        <v>147</v>
      </c>
      <c r="AE1187" s="10">
        <v>3</v>
      </c>
      <c r="AF1187" s="10">
        <v>6.3</v>
      </c>
      <c r="AG1187" s="9" t="s">
        <v>188</v>
      </c>
      <c r="AH1187" s="9" t="s">
        <v>178</v>
      </c>
      <c r="AI1187" s="9" t="s">
        <v>185</v>
      </c>
      <c r="AJ1187" s="10"/>
      <c r="AK1187" s="30"/>
    </row>
    <row r="1188" spans="5:37">
      <c r="E1188" s="28" t="s">
        <v>155</v>
      </c>
      <c r="F1188" s="8" t="s">
        <v>172</v>
      </c>
      <c r="G1188" s="9" t="s">
        <v>401</v>
      </c>
      <c r="H1188" s="10">
        <v>171</v>
      </c>
      <c r="I1188" s="9" t="s">
        <v>163</v>
      </c>
      <c r="J1188" s="10">
        <v>171</v>
      </c>
      <c r="K1188" s="10">
        <v>170.6</v>
      </c>
      <c r="L1188" s="10">
        <v>117</v>
      </c>
      <c r="M1188" s="10">
        <v>146</v>
      </c>
      <c r="N1188" s="10">
        <v>137</v>
      </c>
      <c r="O1188" s="10">
        <v>101</v>
      </c>
      <c r="P1188" s="10">
        <v>127</v>
      </c>
      <c r="Q1188" s="10">
        <v>15.3</v>
      </c>
      <c r="R1188" s="10">
        <v>1829</v>
      </c>
      <c r="S1188" s="10">
        <v>1.06</v>
      </c>
      <c r="T1188" s="10">
        <v>1938</v>
      </c>
      <c r="U1188" s="10">
        <v>232</v>
      </c>
      <c r="V1188" s="10">
        <v>94</v>
      </c>
      <c r="W1188" s="10">
        <v>47</v>
      </c>
      <c r="X1188" s="10">
        <v>300</v>
      </c>
      <c r="Y1188" s="10">
        <v>14</v>
      </c>
      <c r="Z1188" s="10">
        <v>233</v>
      </c>
      <c r="AA1188" s="10">
        <v>0.307</v>
      </c>
      <c r="AB1188" s="10">
        <v>151</v>
      </c>
      <c r="AC1188" s="10">
        <v>99</v>
      </c>
      <c r="AD1188" s="10">
        <v>149</v>
      </c>
      <c r="AE1188" s="10">
        <v>4</v>
      </c>
      <c r="AF1188" s="10">
        <v>6.9</v>
      </c>
      <c r="AG1188" s="9" t="s">
        <v>188</v>
      </c>
      <c r="AH1188" s="9" t="s">
        <v>178</v>
      </c>
      <c r="AI1188" s="9" t="s">
        <v>185</v>
      </c>
      <c r="AJ1188" s="10"/>
      <c r="AK1188" s="30"/>
    </row>
    <row r="1189" spans="5:37">
      <c r="E1189" s="28" t="s">
        <v>155</v>
      </c>
      <c r="F1189" s="8" t="s">
        <v>172</v>
      </c>
      <c r="G1189" s="9" t="s">
        <v>442</v>
      </c>
      <c r="H1189" s="10">
        <v>154</v>
      </c>
      <c r="I1189" s="9" t="s">
        <v>163</v>
      </c>
      <c r="J1189" s="10">
        <v>154</v>
      </c>
      <c r="K1189" s="10">
        <v>154.4</v>
      </c>
      <c r="L1189" s="10">
        <v>100</v>
      </c>
      <c r="M1189" s="10">
        <v>129</v>
      </c>
      <c r="N1189" s="10">
        <v>136</v>
      </c>
      <c r="O1189" s="10">
        <v>99</v>
      </c>
      <c r="P1189" s="10">
        <v>127</v>
      </c>
      <c r="Q1189" s="10">
        <v>11.1</v>
      </c>
      <c r="R1189" s="10">
        <v>1623</v>
      </c>
      <c r="S1189" s="10">
        <v>1.07</v>
      </c>
      <c r="T1189" s="10">
        <v>1736</v>
      </c>
      <c r="U1189" s="10">
        <v>205</v>
      </c>
      <c r="V1189" s="10">
        <v>81</v>
      </c>
      <c r="W1189" s="10">
        <v>49</v>
      </c>
      <c r="X1189" s="10">
        <v>304</v>
      </c>
      <c r="Y1189" s="10">
        <v>14</v>
      </c>
      <c r="Z1189" s="10">
        <v>237</v>
      </c>
      <c r="AA1189" s="10">
        <v>0.27500000000000002</v>
      </c>
      <c r="AB1189" s="10">
        <v>147</v>
      </c>
      <c r="AC1189" s="10">
        <v>106</v>
      </c>
      <c r="AD1189" s="10">
        <v>157</v>
      </c>
      <c r="AE1189" s="10">
        <v>3</v>
      </c>
      <c r="AF1189" s="10">
        <v>6</v>
      </c>
      <c r="AG1189" s="9" t="s">
        <v>188</v>
      </c>
      <c r="AH1189" s="9" t="s">
        <v>185</v>
      </c>
      <c r="AI1189" s="10"/>
      <c r="AJ1189" s="10"/>
      <c r="AK1189" s="30"/>
    </row>
    <row r="1190" spans="5:37">
      <c r="E1190" s="28" t="s">
        <v>155</v>
      </c>
      <c r="F1190" s="8" t="s">
        <v>172</v>
      </c>
      <c r="G1190" s="9" t="s">
        <v>442</v>
      </c>
      <c r="H1190" s="10">
        <v>162</v>
      </c>
      <c r="I1190" s="9" t="s">
        <v>163</v>
      </c>
      <c r="J1190" s="10">
        <v>162</v>
      </c>
      <c r="K1190" s="10">
        <v>162.69999999999999</v>
      </c>
      <c r="L1190" s="10">
        <v>111</v>
      </c>
      <c r="M1190" s="10">
        <v>136</v>
      </c>
      <c r="N1190" s="10">
        <v>136</v>
      </c>
      <c r="O1190" s="10">
        <v>100</v>
      </c>
      <c r="P1190" s="10">
        <v>127</v>
      </c>
      <c r="Q1190" s="10">
        <v>13</v>
      </c>
      <c r="R1190" s="10">
        <v>1690</v>
      </c>
      <c r="S1190" s="10">
        <v>1.0900000000000001</v>
      </c>
      <c r="T1190" s="10">
        <v>1839</v>
      </c>
      <c r="U1190" s="10">
        <v>200</v>
      </c>
      <c r="V1190" s="10">
        <v>97</v>
      </c>
      <c r="W1190" s="10">
        <v>48</v>
      </c>
      <c r="X1190" s="10">
        <v>297</v>
      </c>
      <c r="Y1190" s="10">
        <v>14</v>
      </c>
      <c r="Z1190" s="10">
        <v>223</v>
      </c>
      <c r="AA1190" s="10">
        <v>0.28999999999999998</v>
      </c>
      <c r="AB1190" s="10">
        <v>161</v>
      </c>
      <c r="AC1190" s="10">
        <v>107</v>
      </c>
      <c r="AD1190" s="10">
        <v>136</v>
      </c>
      <c r="AE1190" s="10">
        <v>5</v>
      </c>
      <c r="AF1190" s="10">
        <v>6.3</v>
      </c>
      <c r="AG1190" s="9" t="s">
        <v>188</v>
      </c>
      <c r="AH1190" s="9" t="s">
        <v>178</v>
      </c>
      <c r="AI1190" s="9" t="s">
        <v>185</v>
      </c>
      <c r="AJ1190" s="10"/>
      <c r="AK1190" s="30"/>
    </row>
    <row r="1191" spans="5:37">
      <c r="E1191" s="28" t="s">
        <v>155</v>
      </c>
      <c r="F1191" s="8" t="s">
        <v>172</v>
      </c>
      <c r="G1191" s="9" t="s">
        <v>388</v>
      </c>
      <c r="H1191" s="10">
        <v>164</v>
      </c>
      <c r="I1191" s="9" t="s">
        <v>158</v>
      </c>
      <c r="J1191" s="10">
        <v>164</v>
      </c>
      <c r="K1191" s="10">
        <v>162.6</v>
      </c>
      <c r="L1191" s="10">
        <v>113</v>
      </c>
      <c r="M1191" s="10">
        <v>137</v>
      </c>
      <c r="N1191" s="10">
        <v>137</v>
      </c>
      <c r="O1191" s="10">
        <v>100</v>
      </c>
      <c r="P1191" s="10">
        <v>127</v>
      </c>
      <c r="Q1191" s="10">
        <v>12.9</v>
      </c>
      <c r="R1191" s="10">
        <v>1700</v>
      </c>
      <c r="S1191" s="10">
        <v>1.08</v>
      </c>
      <c r="T1191" s="10">
        <v>1839</v>
      </c>
      <c r="U1191" s="10">
        <v>201</v>
      </c>
      <c r="V1191" s="10">
        <v>91</v>
      </c>
      <c r="W1191" s="10">
        <v>48</v>
      </c>
      <c r="X1191" s="10">
        <v>291</v>
      </c>
      <c r="Y1191" s="10">
        <v>13</v>
      </c>
      <c r="Z1191" s="10">
        <v>207</v>
      </c>
      <c r="AA1191" s="10">
        <v>0.28199999999999997</v>
      </c>
      <c r="AB1191" s="10">
        <v>143</v>
      </c>
      <c r="AC1191" s="10">
        <v>113</v>
      </c>
      <c r="AD1191" s="10">
        <v>148</v>
      </c>
      <c r="AE1191" s="10">
        <v>6</v>
      </c>
      <c r="AF1191" s="10">
        <v>5.9</v>
      </c>
      <c r="AG1191" s="9" t="s">
        <v>188</v>
      </c>
      <c r="AH1191" s="9" t="s">
        <v>178</v>
      </c>
      <c r="AI1191" s="9" t="s">
        <v>185</v>
      </c>
      <c r="AJ1191" s="10"/>
      <c r="AK1191" s="30"/>
    </row>
    <row r="1192" spans="5:37">
      <c r="E1192" s="28" t="s">
        <v>155</v>
      </c>
      <c r="F1192" s="8" t="s">
        <v>172</v>
      </c>
      <c r="G1192" s="9" t="s">
        <v>388</v>
      </c>
      <c r="H1192" s="10">
        <v>172</v>
      </c>
      <c r="I1192" s="9" t="s">
        <v>158</v>
      </c>
      <c r="J1192" s="10">
        <v>172</v>
      </c>
      <c r="K1192" s="10">
        <v>170.6</v>
      </c>
      <c r="L1192" s="10">
        <v>121</v>
      </c>
      <c r="M1192" s="10">
        <v>145</v>
      </c>
      <c r="N1192" s="10">
        <v>136</v>
      </c>
      <c r="O1192" s="10">
        <v>101</v>
      </c>
      <c r="P1192" s="10">
        <v>127</v>
      </c>
      <c r="Q1192" s="10">
        <v>15.4</v>
      </c>
      <c r="R1192" s="10">
        <v>1793</v>
      </c>
      <c r="S1192" s="10">
        <v>1.08</v>
      </c>
      <c r="T1192" s="10">
        <v>1935</v>
      </c>
      <c r="U1192" s="10">
        <v>212</v>
      </c>
      <c r="V1192" s="10">
        <v>94</v>
      </c>
      <c r="W1192" s="10">
        <v>48</v>
      </c>
      <c r="X1192" s="10">
        <v>298</v>
      </c>
      <c r="Y1192" s="10">
        <v>12</v>
      </c>
      <c r="Z1192" s="10">
        <v>197</v>
      </c>
      <c r="AA1192" s="10">
        <v>0.251</v>
      </c>
      <c r="AB1192" s="10">
        <v>146</v>
      </c>
      <c r="AC1192" s="10">
        <v>109</v>
      </c>
      <c r="AD1192" s="10">
        <v>153</v>
      </c>
      <c r="AE1192" s="10">
        <v>6</v>
      </c>
      <c r="AF1192" s="10">
        <v>6.5</v>
      </c>
      <c r="AG1192" s="9" t="s">
        <v>188</v>
      </c>
      <c r="AH1192" s="9" t="s">
        <v>178</v>
      </c>
      <c r="AI1192" s="9" t="s">
        <v>185</v>
      </c>
      <c r="AJ1192" s="10"/>
      <c r="AK1192" s="30"/>
    </row>
    <row r="1193" spans="5:37">
      <c r="E1193" s="28" t="s">
        <v>155</v>
      </c>
      <c r="F1193" s="8" t="s">
        <v>172</v>
      </c>
      <c r="G1193" s="9" t="s">
        <v>388</v>
      </c>
      <c r="H1193" s="10">
        <v>178</v>
      </c>
      <c r="I1193" s="9" t="s">
        <v>158</v>
      </c>
      <c r="J1193" s="10">
        <v>178</v>
      </c>
      <c r="K1193" s="10">
        <v>178.3</v>
      </c>
      <c r="L1193" s="10">
        <v>128</v>
      </c>
      <c r="M1193" s="10">
        <v>152</v>
      </c>
      <c r="N1193" s="10">
        <v>137</v>
      </c>
      <c r="O1193" s="10">
        <v>103</v>
      </c>
      <c r="P1193" s="10">
        <v>127</v>
      </c>
      <c r="Q1193" s="10">
        <v>18</v>
      </c>
      <c r="R1193" s="10">
        <v>1950</v>
      </c>
      <c r="S1193" s="10">
        <v>1.05</v>
      </c>
      <c r="T1193" s="10">
        <v>2041</v>
      </c>
      <c r="U1193" s="10">
        <v>246</v>
      </c>
      <c r="V1193" s="10">
        <v>109</v>
      </c>
      <c r="W1193" s="10">
        <v>51</v>
      </c>
      <c r="X1193" s="10">
        <v>304</v>
      </c>
      <c r="Y1193" s="10">
        <v>12</v>
      </c>
      <c r="Z1193" s="10">
        <v>203</v>
      </c>
      <c r="AA1193" s="10">
        <v>0.23599999999999999</v>
      </c>
      <c r="AB1193" s="10">
        <v>153</v>
      </c>
      <c r="AC1193" s="10">
        <v>112</v>
      </c>
      <c r="AD1193" s="10">
        <v>152</v>
      </c>
      <c r="AE1193" s="10">
        <v>6</v>
      </c>
      <c r="AF1193" s="10">
        <v>7.2</v>
      </c>
      <c r="AG1193" s="9" t="s">
        <v>188</v>
      </c>
      <c r="AH1193" s="9" t="s">
        <v>178</v>
      </c>
      <c r="AI1193" s="10"/>
      <c r="AJ1193" s="10"/>
      <c r="AK1193" s="30"/>
    </row>
    <row r="1194" spans="5:37">
      <c r="E1194" s="28" t="s">
        <v>155</v>
      </c>
      <c r="F1194" s="8" t="s">
        <v>172</v>
      </c>
      <c r="G1194" s="9" t="s">
        <v>388</v>
      </c>
      <c r="H1194" s="10">
        <v>186</v>
      </c>
      <c r="I1194" s="9" t="s">
        <v>158</v>
      </c>
      <c r="J1194" s="10">
        <v>186</v>
      </c>
      <c r="K1194" s="10">
        <v>186.4</v>
      </c>
      <c r="L1194" s="10">
        <v>138</v>
      </c>
      <c r="M1194" s="10">
        <v>159</v>
      </c>
      <c r="N1194" s="10">
        <v>137</v>
      </c>
      <c r="O1194" s="10">
        <v>104</v>
      </c>
      <c r="P1194" s="10">
        <v>127</v>
      </c>
      <c r="Q1194" s="10">
        <v>20.9</v>
      </c>
      <c r="R1194" s="10">
        <v>2060</v>
      </c>
      <c r="S1194" s="10">
        <v>1.04</v>
      </c>
      <c r="T1194" s="10">
        <v>2141</v>
      </c>
      <c r="U1194" s="10">
        <v>287</v>
      </c>
      <c r="V1194" s="10">
        <v>138</v>
      </c>
      <c r="W1194" s="10">
        <v>50</v>
      </c>
      <c r="X1194" s="10">
        <v>301</v>
      </c>
      <c r="Y1194" s="10">
        <v>12</v>
      </c>
      <c r="Z1194" s="10">
        <v>182</v>
      </c>
      <c r="AA1194" s="10">
        <v>0.22800000000000001</v>
      </c>
      <c r="AB1194" s="10">
        <v>163</v>
      </c>
      <c r="AC1194" s="10">
        <v>107</v>
      </c>
      <c r="AD1194" s="10">
        <v>138</v>
      </c>
      <c r="AE1194" s="10">
        <v>6</v>
      </c>
      <c r="AF1194" s="10">
        <v>7.5</v>
      </c>
      <c r="AG1194" s="9" t="s">
        <v>188</v>
      </c>
      <c r="AH1194" s="9" t="s">
        <v>178</v>
      </c>
      <c r="AI1194" s="10"/>
      <c r="AJ1194" s="10"/>
      <c r="AK1194" s="30"/>
    </row>
    <row r="1195" spans="5:37">
      <c r="E1195" s="28" t="s">
        <v>155</v>
      </c>
      <c r="F1195" s="8" t="s">
        <v>172</v>
      </c>
      <c r="G1195" s="9" t="s">
        <v>652</v>
      </c>
      <c r="H1195" s="10">
        <v>180</v>
      </c>
      <c r="I1195" s="9" t="s">
        <v>158</v>
      </c>
      <c r="J1195" s="10">
        <v>180</v>
      </c>
      <c r="K1195" s="10">
        <v>178.2</v>
      </c>
      <c r="L1195" s="10">
        <v>136</v>
      </c>
      <c r="M1195" s="10">
        <v>153</v>
      </c>
      <c r="N1195" s="10">
        <v>137</v>
      </c>
      <c r="O1195" s="10">
        <v>103</v>
      </c>
      <c r="P1195" s="10">
        <v>127</v>
      </c>
      <c r="Q1195" s="10">
        <v>18.100000000000001</v>
      </c>
      <c r="R1195" s="10">
        <v>2054</v>
      </c>
      <c r="S1195" s="10">
        <v>0.99</v>
      </c>
      <c r="T1195" s="10">
        <v>2039</v>
      </c>
      <c r="U1195" s="10">
        <v>227</v>
      </c>
      <c r="V1195" s="10">
        <v>101</v>
      </c>
      <c r="W1195" s="10">
        <v>49</v>
      </c>
      <c r="X1195" s="10">
        <v>298</v>
      </c>
      <c r="Y1195" s="10">
        <v>10</v>
      </c>
      <c r="Z1195" s="10">
        <v>129</v>
      </c>
      <c r="AA1195" s="10">
        <v>0.20699999999999999</v>
      </c>
      <c r="AB1195" s="10">
        <v>144</v>
      </c>
      <c r="AC1195" s="10">
        <v>110</v>
      </c>
      <c r="AD1195" s="10">
        <v>154</v>
      </c>
      <c r="AE1195" s="10">
        <v>7</v>
      </c>
      <c r="AF1195" s="10">
        <v>7.1</v>
      </c>
      <c r="AG1195" s="9" t="s">
        <v>188</v>
      </c>
      <c r="AH1195" s="9" t="s">
        <v>178</v>
      </c>
      <c r="AI1195" s="10"/>
      <c r="AJ1195" s="10"/>
      <c r="AK1195" s="30"/>
    </row>
    <row r="1196" spans="5:37">
      <c r="E1196" s="28" t="s">
        <v>155</v>
      </c>
      <c r="F1196" s="8" t="s">
        <v>172</v>
      </c>
      <c r="G1196" s="9" t="s">
        <v>652</v>
      </c>
      <c r="H1196" s="10">
        <v>187</v>
      </c>
      <c r="I1196" s="9" t="s">
        <v>158</v>
      </c>
      <c r="J1196" s="10">
        <v>187</v>
      </c>
      <c r="K1196" s="10">
        <v>186.4</v>
      </c>
      <c r="L1196" s="10">
        <v>136</v>
      </c>
      <c r="M1196" s="10">
        <v>160</v>
      </c>
      <c r="N1196" s="10">
        <v>137</v>
      </c>
      <c r="O1196" s="10">
        <v>104</v>
      </c>
      <c r="P1196" s="10">
        <v>127</v>
      </c>
      <c r="Q1196" s="10">
        <v>20.9</v>
      </c>
      <c r="R1196" s="10">
        <v>2157</v>
      </c>
      <c r="S1196" s="10">
        <v>0.99</v>
      </c>
      <c r="T1196" s="10">
        <v>2140</v>
      </c>
      <c r="U1196" s="10">
        <v>258</v>
      </c>
      <c r="V1196" s="10">
        <v>112</v>
      </c>
      <c r="W1196" s="10">
        <v>48</v>
      </c>
      <c r="X1196" s="10">
        <v>295</v>
      </c>
      <c r="Y1196" s="10">
        <v>13</v>
      </c>
      <c r="Z1196" s="10">
        <v>206</v>
      </c>
      <c r="AA1196" s="10">
        <v>0.26800000000000002</v>
      </c>
      <c r="AB1196" s="10">
        <v>156</v>
      </c>
      <c r="AC1196" s="10">
        <v>107</v>
      </c>
      <c r="AD1196" s="10">
        <v>139</v>
      </c>
      <c r="AE1196" s="10">
        <v>6</v>
      </c>
      <c r="AF1196" s="10">
        <v>7.5</v>
      </c>
      <c r="AG1196" s="9" t="s">
        <v>188</v>
      </c>
      <c r="AH1196" s="9" t="s">
        <v>178</v>
      </c>
      <c r="AI1196" s="10"/>
      <c r="AJ1196" s="10"/>
      <c r="AK1196" s="30"/>
    </row>
    <row r="1197" spans="5:37">
      <c r="E1197" s="28" t="s">
        <v>155</v>
      </c>
      <c r="F1197" s="8" t="s">
        <v>172</v>
      </c>
      <c r="G1197" s="9" t="s">
        <v>652</v>
      </c>
      <c r="H1197" s="10">
        <v>194</v>
      </c>
      <c r="I1197" s="9" t="s">
        <v>158</v>
      </c>
      <c r="J1197" s="10">
        <v>194</v>
      </c>
      <c r="K1197" s="10">
        <v>193.9</v>
      </c>
      <c r="L1197" s="10">
        <v>145</v>
      </c>
      <c r="M1197" s="10">
        <v>167</v>
      </c>
      <c r="N1197" s="10">
        <v>136</v>
      </c>
      <c r="O1197" s="10">
        <v>105</v>
      </c>
      <c r="P1197" s="10">
        <v>127</v>
      </c>
      <c r="Q1197" s="10">
        <v>23.9</v>
      </c>
      <c r="R1197" s="10">
        <v>2286</v>
      </c>
      <c r="S1197" s="10">
        <v>0.98</v>
      </c>
      <c r="T1197" s="10">
        <v>2231</v>
      </c>
      <c r="U1197" s="10">
        <v>293</v>
      </c>
      <c r="V1197" s="10">
        <v>126</v>
      </c>
      <c r="W1197" s="10">
        <v>51</v>
      </c>
      <c r="X1197" s="10">
        <v>304</v>
      </c>
      <c r="Y1197" s="10">
        <v>12</v>
      </c>
      <c r="Z1197" s="10">
        <v>185</v>
      </c>
      <c r="AA1197" s="10">
        <v>0.22600000000000001</v>
      </c>
      <c r="AB1197" s="10">
        <v>161</v>
      </c>
      <c r="AC1197" s="10">
        <v>104</v>
      </c>
      <c r="AD1197" s="10">
        <v>142</v>
      </c>
      <c r="AE1197" s="10">
        <v>7</v>
      </c>
      <c r="AF1197" s="10">
        <v>7.9</v>
      </c>
      <c r="AG1197" s="9" t="s">
        <v>188</v>
      </c>
      <c r="AH1197" s="9" t="s">
        <v>178</v>
      </c>
      <c r="AI1197" s="10"/>
      <c r="AJ1197" s="10"/>
      <c r="AK1197" s="30"/>
    </row>
    <row r="1198" spans="5:37">
      <c r="E1198" s="28" t="s">
        <v>155</v>
      </c>
      <c r="F1198" s="8" t="s">
        <v>172</v>
      </c>
      <c r="G1198" s="9" t="s">
        <v>720</v>
      </c>
      <c r="H1198" s="10">
        <v>140</v>
      </c>
      <c r="I1198" s="9" t="s">
        <v>158</v>
      </c>
      <c r="J1198" s="10">
        <v>140</v>
      </c>
      <c r="K1198" s="10">
        <v>138.6</v>
      </c>
      <c r="L1198" s="10">
        <v>91</v>
      </c>
      <c r="M1198" s="10">
        <v>116</v>
      </c>
      <c r="N1198" s="10">
        <v>117</v>
      </c>
      <c r="O1198" s="10">
        <v>89</v>
      </c>
      <c r="P1198" s="10">
        <v>107</v>
      </c>
      <c r="Q1198" s="10">
        <v>13.4</v>
      </c>
      <c r="R1198" s="10">
        <v>1345</v>
      </c>
      <c r="S1198" s="10">
        <v>1.01</v>
      </c>
      <c r="T1198" s="10">
        <v>1352</v>
      </c>
      <c r="U1198" s="10">
        <v>146</v>
      </c>
      <c r="V1198" s="10">
        <v>55</v>
      </c>
      <c r="W1198" s="10">
        <v>49</v>
      </c>
      <c r="X1198" s="10">
        <v>258</v>
      </c>
      <c r="Y1198" s="10">
        <v>32</v>
      </c>
      <c r="Z1198" s="10">
        <v>220</v>
      </c>
      <c r="AA1198" s="10">
        <v>0.64700000000000002</v>
      </c>
      <c r="AB1198" s="10">
        <v>119</v>
      </c>
      <c r="AC1198" s="10">
        <v>111</v>
      </c>
      <c r="AD1198" s="10">
        <v>139</v>
      </c>
      <c r="AE1198" s="10">
        <v>6</v>
      </c>
      <c r="AF1198" s="10">
        <v>4.5999999999999996</v>
      </c>
      <c r="AG1198" s="9" t="s">
        <v>188</v>
      </c>
      <c r="AH1198" s="10"/>
      <c r="AI1198" s="10"/>
      <c r="AJ1198" s="10"/>
      <c r="AK1198" s="30"/>
    </row>
    <row r="1199" spans="5:37">
      <c r="E1199" s="28" t="s">
        <v>155</v>
      </c>
      <c r="F1199" s="8" t="s">
        <v>172</v>
      </c>
      <c r="G1199" s="9" t="s">
        <v>720</v>
      </c>
      <c r="H1199" s="10">
        <v>150</v>
      </c>
      <c r="I1199" s="9" t="s">
        <v>158</v>
      </c>
      <c r="J1199" s="10">
        <v>150</v>
      </c>
      <c r="K1199" s="10">
        <v>148.80000000000001</v>
      </c>
      <c r="L1199" s="10">
        <v>102</v>
      </c>
      <c r="M1199" s="10">
        <v>122</v>
      </c>
      <c r="N1199" s="10">
        <v>117</v>
      </c>
      <c r="O1199" s="10">
        <v>89</v>
      </c>
      <c r="P1199" s="10">
        <v>107</v>
      </c>
      <c r="Q1199" s="10">
        <v>17.2</v>
      </c>
      <c r="R1199" s="10">
        <v>1452</v>
      </c>
      <c r="S1199" s="10">
        <v>1</v>
      </c>
      <c r="T1199" s="10">
        <v>1449</v>
      </c>
      <c r="U1199" s="10">
        <v>141</v>
      </c>
      <c r="V1199" s="10">
        <v>54</v>
      </c>
      <c r="W1199" s="10">
        <v>48</v>
      </c>
      <c r="X1199" s="10">
        <v>251</v>
      </c>
      <c r="Y1199" s="10">
        <v>30</v>
      </c>
      <c r="Z1199" s="10">
        <v>216</v>
      </c>
      <c r="AA1199" s="10">
        <v>0.626</v>
      </c>
      <c r="AB1199" s="10">
        <v>128</v>
      </c>
      <c r="AC1199" s="10">
        <v>137</v>
      </c>
      <c r="AD1199" s="10">
        <v>123</v>
      </c>
      <c r="AE1199" s="10">
        <v>7</v>
      </c>
      <c r="AF1199" s="10">
        <v>5.4</v>
      </c>
      <c r="AG1199" s="9" t="s">
        <v>188</v>
      </c>
      <c r="AH1199" s="10"/>
      <c r="AI1199" s="10"/>
      <c r="AJ1199" s="10"/>
      <c r="AK1199" s="30"/>
    </row>
    <row r="1200" spans="5:37">
      <c r="E1200" s="28" t="s">
        <v>155</v>
      </c>
      <c r="F1200" s="8" t="s">
        <v>172</v>
      </c>
      <c r="G1200" s="9" t="s">
        <v>720</v>
      </c>
      <c r="H1200" s="10">
        <v>160</v>
      </c>
      <c r="I1200" s="9" t="s">
        <v>158</v>
      </c>
      <c r="J1200" s="10">
        <v>160</v>
      </c>
      <c r="K1200" s="10">
        <v>158.69999999999999</v>
      </c>
      <c r="L1200" s="10">
        <v>113</v>
      </c>
      <c r="M1200" s="10">
        <v>133</v>
      </c>
      <c r="N1200" s="10">
        <v>117</v>
      </c>
      <c r="O1200" s="10">
        <v>89</v>
      </c>
      <c r="P1200" s="10">
        <v>107</v>
      </c>
      <c r="Q1200" s="10">
        <v>20.8</v>
      </c>
      <c r="R1200" s="10">
        <v>1572</v>
      </c>
      <c r="S1200" s="10">
        <v>0.98</v>
      </c>
      <c r="T1200" s="10">
        <v>1540</v>
      </c>
      <c r="U1200" s="10">
        <v>155</v>
      </c>
      <c r="V1200" s="10">
        <v>64</v>
      </c>
      <c r="W1200" s="10">
        <v>46</v>
      </c>
      <c r="X1200" s="10">
        <v>252</v>
      </c>
      <c r="Y1200" s="10">
        <v>28</v>
      </c>
      <c r="Z1200" s="10">
        <v>208</v>
      </c>
      <c r="AA1200" s="10">
        <v>0.61099999999999999</v>
      </c>
      <c r="AB1200" s="10">
        <v>131</v>
      </c>
      <c r="AC1200" s="10">
        <v>127</v>
      </c>
      <c r="AD1200" s="10">
        <v>121</v>
      </c>
      <c r="AE1200" s="10">
        <v>8</v>
      </c>
      <c r="AF1200" s="10">
        <v>5</v>
      </c>
      <c r="AG1200" s="9" t="s">
        <v>188</v>
      </c>
      <c r="AH1200" s="10"/>
      <c r="AI1200" s="10"/>
      <c r="AJ1200" s="10"/>
      <c r="AK1200" s="30"/>
    </row>
    <row r="1201" spans="5:37">
      <c r="E1201" s="28" t="s">
        <v>155</v>
      </c>
      <c r="F1201" s="8" t="s">
        <v>172</v>
      </c>
      <c r="G1201" s="9" t="s">
        <v>305</v>
      </c>
      <c r="H1201" s="10">
        <v>162</v>
      </c>
      <c r="I1201" s="9" t="s">
        <v>163</v>
      </c>
      <c r="J1201" s="10">
        <v>162</v>
      </c>
      <c r="K1201" s="10">
        <v>162.6</v>
      </c>
      <c r="L1201" s="10">
        <v>116</v>
      </c>
      <c r="M1201" s="10">
        <v>138</v>
      </c>
      <c r="N1201" s="10">
        <v>126</v>
      </c>
      <c r="O1201" s="10">
        <v>91</v>
      </c>
      <c r="P1201" s="10">
        <v>117</v>
      </c>
      <c r="Q1201" s="10">
        <v>13.6</v>
      </c>
      <c r="R1201" s="10">
        <v>1546</v>
      </c>
      <c r="S1201" s="10">
        <v>1.0900000000000001</v>
      </c>
      <c r="T1201" s="10">
        <v>1690</v>
      </c>
      <c r="U1201" s="10">
        <v>170</v>
      </c>
      <c r="V1201" s="10">
        <v>85</v>
      </c>
      <c r="W1201" s="10">
        <v>51</v>
      </c>
      <c r="X1201" s="10">
        <v>301</v>
      </c>
      <c r="Y1201" s="10">
        <v>11</v>
      </c>
      <c r="Z1201" s="10">
        <v>167</v>
      </c>
      <c r="AA1201" s="10">
        <v>0.22600000000000001</v>
      </c>
      <c r="AB1201" s="10">
        <v>138</v>
      </c>
      <c r="AC1201" s="10">
        <v>107</v>
      </c>
      <c r="AD1201" s="10">
        <v>163</v>
      </c>
      <c r="AE1201" s="10">
        <v>7</v>
      </c>
      <c r="AF1201" s="10">
        <v>8.4</v>
      </c>
      <c r="AG1201" s="9" t="s">
        <v>188</v>
      </c>
      <c r="AH1201" s="9" t="s">
        <v>185</v>
      </c>
      <c r="AI1201" s="10"/>
      <c r="AJ1201" s="10"/>
      <c r="AK1201" s="30"/>
    </row>
    <row r="1202" spans="5:37">
      <c r="E1202" s="28" t="s">
        <v>155</v>
      </c>
      <c r="F1202" s="8" t="s">
        <v>172</v>
      </c>
      <c r="G1202" s="9" t="s">
        <v>305</v>
      </c>
      <c r="H1202" s="10">
        <v>170</v>
      </c>
      <c r="I1202" s="9" t="s">
        <v>163</v>
      </c>
      <c r="J1202" s="10">
        <v>170</v>
      </c>
      <c r="K1202" s="10">
        <v>170.6</v>
      </c>
      <c r="L1202" s="10">
        <v>124</v>
      </c>
      <c r="M1202" s="10">
        <v>146</v>
      </c>
      <c r="N1202" s="10">
        <v>126</v>
      </c>
      <c r="O1202" s="10">
        <v>92</v>
      </c>
      <c r="P1202" s="10">
        <v>116</v>
      </c>
      <c r="Q1202" s="10">
        <v>16</v>
      </c>
      <c r="R1202" s="10">
        <v>1654</v>
      </c>
      <c r="S1202" s="10">
        <v>1.07</v>
      </c>
      <c r="T1202" s="10">
        <v>1771</v>
      </c>
      <c r="U1202" s="10">
        <v>211</v>
      </c>
      <c r="V1202" s="10">
        <v>99</v>
      </c>
      <c r="W1202" s="10">
        <v>46</v>
      </c>
      <c r="X1202" s="10">
        <v>293</v>
      </c>
      <c r="Y1202" s="10">
        <v>12</v>
      </c>
      <c r="Z1202" s="10">
        <v>172</v>
      </c>
      <c r="AA1202" s="10">
        <v>0.252</v>
      </c>
      <c r="AB1202" s="10">
        <v>144</v>
      </c>
      <c r="AC1202" s="10">
        <v>106</v>
      </c>
      <c r="AD1202" s="10">
        <v>150</v>
      </c>
      <c r="AE1202" s="10">
        <v>7</v>
      </c>
      <c r="AF1202" s="10">
        <v>7</v>
      </c>
      <c r="AG1202" s="9" t="s">
        <v>188</v>
      </c>
      <c r="AH1202" s="9" t="s">
        <v>185</v>
      </c>
      <c r="AI1202" s="10"/>
      <c r="AJ1202" s="10"/>
      <c r="AK1202" s="30"/>
    </row>
    <row r="1203" spans="5:37">
      <c r="E1203" s="28" t="s">
        <v>155</v>
      </c>
      <c r="F1203" s="8" t="s">
        <v>172</v>
      </c>
      <c r="G1203" s="9" t="s">
        <v>1161</v>
      </c>
      <c r="H1203" s="10">
        <v>148</v>
      </c>
      <c r="I1203" s="9" t="s">
        <v>158</v>
      </c>
      <c r="J1203" s="10">
        <v>148</v>
      </c>
      <c r="K1203" s="10">
        <v>147.30000000000001</v>
      </c>
      <c r="L1203" s="10">
        <v>119</v>
      </c>
      <c r="M1203" s="10">
        <v>129</v>
      </c>
      <c r="N1203" s="10">
        <v>105</v>
      </c>
      <c r="O1203" s="10">
        <v>75</v>
      </c>
      <c r="P1203" s="10">
        <v>99</v>
      </c>
      <c r="Q1203" s="10">
        <v>14.7</v>
      </c>
      <c r="R1203" s="10">
        <v>1161</v>
      </c>
      <c r="S1203" s="10">
        <v>1.08</v>
      </c>
      <c r="T1203" s="10">
        <v>1252</v>
      </c>
      <c r="U1203" s="10">
        <v>117</v>
      </c>
      <c r="V1203" s="10">
        <v>45</v>
      </c>
      <c r="W1203" s="10">
        <v>40</v>
      </c>
      <c r="X1203" s="10">
        <v>144</v>
      </c>
      <c r="Y1203" s="10">
        <v>36</v>
      </c>
      <c r="Z1203" s="10">
        <v>136</v>
      </c>
      <c r="AA1203" s="10">
        <v>0.89600000000000002</v>
      </c>
      <c r="AB1203" s="10">
        <v>95</v>
      </c>
      <c r="AC1203" s="10">
        <v>90</v>
      </c>
      <c r="AD1203" s="10">
        <v>49</v>
      </c>
      <c r="AE1203" s="10">
        <v>11</v>
      </c>
      <c r="AF1203" s="10">
        <v>5.4</v>
      </c>
      <c r="AG1203" s="9" t="s">
        <v>184</v>
      </c>
      <c r="AH1203" s="9" t="s">
        <v>185</v>
      </c>
      <c r="AI1203" s="10"/>
      <c r="AJ1203" s="10"/>
      <c r="AK1203" s="30"/>
    </row>
    <row r="1204" spans="5:37">
      <c r="E1204" s="28" t="s">
        <v>155</v>
      </c>
      <c r="F1204" s="8" t="s">
        <v>172</v>
      </c>
      <c r="G1204" s="9" t="s">
        <v>711</v>
      </c>
      <c r="H1204" s="10">
        <v>152</v>
      </c>
      <c r="I1204" s="9" t="s">
        <v>158</v>
      </c>
      <c r="J1204" s="10">
        <v>152</v>
      </c>
      <c r="K1204" s="10">
        <v>152.30000000000001</v>
      </c>
      <c r="L1204" s="10">
        <v>131</v>
      </c>
      <c r="M1204" s="10">
        <v>137</v>
      </c>
      <c r="N1204" s="10">
        <v>123</v>
      </c>
      <c r="O1204" s="10">
        <v>76</v>
      </c>
      <c r="P1204" s="10">
        <v>110</v>
      </c>
      <c r="Q1204" s="10">
        <v>11.2</v>
      </c>
      <c r="R1204" s="10">
        <v>1525</v>
      </c>
      <c r="S1204" s="10">
        <v>0.92</v>
      </c>
      <c r="T1204" s="10">
        <v>1397</v>
      </c>
      <c r="U1204" s="10">
        <v>160</v>
      </c>
      <c r="V1204" s="10">
        <v>59</v>
      </c>
      <c r="W1204" s="10">
        <v>36</v>
      </c>
      <c r="X1204" s="10">
        <v>146</v>
      </c>
      <c r="Y1204" s="10">
        <v>5</v>
      </c>
      <c r="Z1204" s="10">
        <v>67</v>
      </c>
      <c r="AA1204" s="10">
        <v>0.14299999999999999</v>
      </c>
      <c r="AB1204" s="10">
        <v>73</v>
      </c>
      <c r="AC1204" s="10">
        <v>83</v>
      </c>
      <c r="AD1204" s="10">
        <v>73</v>
      </c>
      <c r="AE1204" s="10">
        <v>10</v>
      </c>
      <c r="AF1204" s="10">
        <v>7.6</v>
      </c>
      <c r="AG1204" s="9" t="s">
        <v>349</v>
      </c>
      <c r="AH1204" s="9" t="s">
        <v>231</v>
      </c>
      <c r="AI1204" s="10"/>
      <c r="AJ1204" s="10"/>
      <c r="AK1204" s="30"/>
    </row>
    <row r="1205" spans="5:37">
      <c r="E1205" s="28" t="s">
        <v>155</v>
      </c>
      <c r="F1205" s="8" t="s">
        <v>172</v>
      </c>
      <c r="G1205" s="9" t="s">
        <v>711</v>
      </c>
      <c r="H1205" s="10">
        <v>160</v>
      </c>
      <c r="I1205" s="9" t="s">
        <v>158</v>
      </c>
      <c r="J1205" s="10">
        <v>160</v>
      </c>
      <c r="K1205" s="10">
        <v>160.4</v>
      </c>
      <c r="L1205" s="10">
        <v>139</v>
      </c>
      <c r="M1205" s="10">
        <v>145</v>
      </c>
      <c r="N1205" s="10">
        <v>124</v>
      </c>
      <c r="O1205" s="10">
        <v>76</v>
      </c>
      <c r="P1205" s="10">
        <v>110</v>
      </c>
      <c r="Q1205" s="10">
        <v>12.7</v>
      </c>
      <c r="R1205" s="10">
        <v>1597</v>
      </c>
      <c r="S1205" s="10">
        <v>0.92</v>
      </c>
      <c r="T1205" s="10">
        <v>1470</v>
      </c>
      <c r="U1205" s="10">
        <v>158</v>
      </c>
      <c r="V1205" s="10">
        <v>55</v>
      </c>
      <c r="W1205" s="10">
        <v>36</v>
      </c>
      <c r="X1205" s="10">
        <v>148</v>
      </c>
      <c r="Y1205" s="10">
        <v>6</v>
      </c>
      <c r="Z1205" s="10">
        <v>69</v>
      </c>
      <c r="AA1205" s="10">
        <v>0.17599999999999999</v>
      </c>
      <c r="AB1205" s="10">
        <v>74</v>
      </c>
      <c r="AC1205" s="10">
        <v>82</v>
      </c>
      <c r="AD1205" s="10">
        <v>74</v>
      </c>
      <c r="AE1205" s="10">
        <v>11</v>
      </c>
      <c r="AF1205" s="10">
        <v>8.1999999999999993</v>
      </c>
      <c r="AG1205" s="9" t="s">
        <v>349</v>
      </c>
      <c r="AH1205" s="10"/>
      <c r="AI1205" s="10"/>
      <c r="AJ1205" s="10"/>
      <c r="AK1205" s="30"/>
    </row>
    <row r="1206" spans="5:37">
      <c r="E1206" s="28" t="s">
        <v>155</v>
      </c>
      <c r="F1206" s="8" t="s">
        <v>172</v>
      </c>
      <c r="G1206" s="9" t="s">
        <v>711</v>
      </c>
      <c r="H1206" s="10">
        <v>168</v>
      </c>
      <c r="I1206" s="9" t="s">
        <v>158</v>
      </c>
      <c r="J1206" s="10">
        <v>168</v>
      </c>
      <c r="K1206" s="10">
        <v>168.6</v>
      </c>
      <c r="L1206" s="10">
        <v>148</v>
      </c>
      <c r="M1206" s="10">
        <v>154</v>
      </c>
      <c r="N1206" s="10">
        <v>123</v>
      </c>
      <c r="O1206" s="10">
        <v>76</v>
      </c>
      <c r="P1206" s="10">
        <v>109</v>
      </c>
      <c r="Q1206" s="10">
        <v>14.3</v>
      </c>
      <c r="R1206" s="10">
        <v>1613</v>
      </c>
      <c r="S1206" s="10">
        <v>0.95</v>
      </c>
      <c r="T1206" s="10">
        <v>1537</v>
      </c>
      <c r="U1206" s="10">
        <v>153</v>
      </c>
      <c r="V1206" s="10">
        <v>57</v>
      </c>
      <c r="W1206" s="10">
        <v>35</v>
      </c>
      <c r="X1206" s="10">
        <v>143</v>
      </c>
      <c r="Y1206" s="10">
        <v>5</v>
      </c>
      <c r="Z1206" s="10">
        <v>68</v>
      </c>
      <c r="AA1206" s="10">
        <v>0.155</v>
      </c>
      <c r="AB1206" s="10">
        <v>69</v>
      </c>
      <c r="AC1206" s="10">
        <v>82</v>
      </c>
      <c r="AD1206" s="10">
        <v>74</v>
      </c>
      <c r="AE1206" s="10">
        <v>14</v>
      </c>
      <c r="AF1206" s="10">
        <v>8.6999999999999993</v>
      </c>
      <c r="AG1206" s="9" t="s">
        <v>349</v>
      </c>
      <c r="AH1206" s="10"/>
      <c r="AI1206" s="10"/>
      <c r="AJ1206" s="10"/>
      <c r="AK1206" s="30"/>
    </row>
    <row r="1207" spans="5:37">
      <c r="E1207" s="28" t="s">
        <v>155</v>
      </c>
      <c r="F1207" s="8" t="s">
        <v>172</v>
      </c>
      <c r="G1207" s="9" t="s">
        <v>711</v>
      </c>
      <c r="H1207" s="10">
        <v>176</v>
      </c>
      <c r="I1207" s="9" t="s">
        <v>158</v>
      </c>
      <c r="J1207" s="10">
        <v>176</v>
      </c>
      <c r="K1207" s="10">
        <v>176.4</v>
      </c>
      <c r="L1207" s="10">
        <v>155</v>
      </c>
      <c r="M1207" s="10">
        <v>161</v>
      </c>
      <c r="N1207" s="10">
        <v>123</v>
      </c>
      <c r="O1207" s="10">
        <v>76</v>
      </c>
      <c r="P1207" s="10">
        <v>109</v>
      </c>
      <c r="Q1207" s="10">
        <v>16</v>
      </c>
      <c r="R1207" s="10">
        <v>1737</v>
      </c>
      <c r="S1207" s="10">
        <v>0.93</v>
      </c>
      <c r="T1207" s="10">
        <v>1610</v>
      </c>
      <c r="U1207" s="10">
        <v>171</v>
      </c>
      <c r="V1207" s="10">
        <v>65</v>
      </c>
      <c r="W1207" s="10">
        <v>36</v>
      </c>
      <c r="X1207" s="10">
        <v>145</v>
      </c>
      <c r="Y1207" s="10">
        <v>5</v>
      </c>
      <c r="Z1207" s="10">
        <v>66</v>
      </c>
      <c r="AA1207" s="10">
        <v>0.14399999999999999</v>
      </c>
      <c r="AB1207" s="10">
        <v>75</v>
      </c>
      <c r="AC1207" s="10">
        <v>81</v>
      </c>
      <c r="AD1207" s="10">
        <v>70</v>
      </c>
      <c r="AE1207" s="10">
        <v>13</v>
      </c>
      <c r="AF1207" s="10">
        <v>8.6</v>
      </c>
      <c r="AG1207" s="9" t="s">
        <v>349</v>
      </c>
      <c r="AH1207" s="10"/>
      <c r="AI1207" s="10"/>
      <c r="AJ1207" s="10"/>
      <c r="AK1207" s="30"/>
    </row>
    <row r="1208" spans="5:37">
      <c r="E1208" s="28" t="s">
        <v>155</v>
      </c>
      <c r="F1208" s="8" t="s">
        <v>172</v>
      </c>
      <c r="G1208" s="9" t="s">
        <v>764</v>
      </c>
      <c r="H1208" s="10">
        <v>144</v>
      </c>
      <c r="I1208" s="9" t="s">
        <v>163</v>
      </c>
      <c r="J1208" s="10">
        <v>144</v>
      </c>
      <c r="K1208" s="10">
        <v>144.30000000000001</v>
      </c>
      <c r="L1208" s="10">
        <v>118</v>
      </c>
      <c r="M1208" s="10">
        <v>129</v>
      </c>
      <c r="N1208" s="10">
        <v>123</v>
      </c>
      <c r="O1208" s="10">
        <v>76</v>
      </c>
      <c r="P1208" s="10">
        <v>109</v>
      </c>
      <c r="Q1208" s="10">
        <v>9.9</v>
      </c>
      <c r="R1208" s="10">
        <v>1483</v>
      </c>
      <c r="S1208" s="10">
        <v>0.89</v>
      </c>
      <c r="T1208" s="10">
        <v>1325</v>
      </c>
      <c r="U1208" s="10">
        <v>162</v>
      </c>
      <c r="V1208" s="10">
        <v>60</v>
      </c>
      <c r="W1208" s="10">
        <v>38</v>
      </c>
      <c r="X1208" s="10">
        <v>186</v>
      </c>
      <c r="Y1208" s="10">
        <v>6</v>
      </c>
      <c r="Z1208" s="10">
        <v>73</v>
      </c>
      <c r="AA1208" s="10">
        <v>0.157</v>
      </c>
      <c r="AB1208" s="10">
        <v>72</v>
      </c>
      <c r="AC1208" s="10">
        <v>83</v>
      </c>
      <c r="AD1208" s="10">
        <v>114</v>
      </c>
      <c r="AE1208" s="10">
        <v>6</v>
      </c>
      <c r="AF1208" s="10">
        <v>8</v>
      </c>
      <c r="AG1208" s="9" t="s">
        <v>349</v>
      </c>
      <c r="AH1208" s="9" t="s">
        <v>231</v>
      </c>
      <c r="AI1208" s="10"/>
      <c r="AJ1208" s="10"/>
      <c r="AK1208" s="30"/>
    </row>
    <row r="1209" spans="5:37">
      <c r="E1209" s="28" t="s">
        <v>155</v>
      </c>
      <c r="F1209" s="8" t="s">
        <v>172</v>
      </c>
      <c r="G1209" s="9" t="s">
        <v>764</v>
      </c>
      <c r="H1209" s="10">
        <v>152</v>
      </c>
      <c r="I1209" s="9" t="s">
        <v>163</v>
      </c>
      <c r="J1209" s="10">
        <v>152</v>
      </c>
      <c r="K1209" s="10">
        <v>152.4</v>
      </c>
      <c r="L1209" s="10">
        <v>131</v>
      </c>
      <c r="M1209" s="10">
        <v>137</v>
      </c>
      <c r="N1209" s="10">
        <v>123</v>
      </c>
      <c r="O1209" s="10">
        <v>76</v>
      </c>
      <c r="P1209" s="10">
        <v>109</v>
      </c>
      <c r="Q1209" s="10">
        <v>11.4</v>
      </c>
      <c r="R1209" s="10">
        <v>1534</v>
      </c>
      <c r="S1209" s="10">
        <v>0.91</v>
      </c>
      <c r="T1209" s="10">
        <v>1393</v>
      </c>
      <c r="U1209" s="10">
        <v>153</v>
      </c>
      <c r="V1209" s="10">
        <v>59</v>
      </c>
      <c r="W1209" s="10">
        <v>35</v>
      </c>
      <c r="X1209" s="10">
        <v>146</v>
      </c>
      <c r="Y1209" s="10">
        <v>6</v>
      </c>
      <c r="Z1209" s="10">
        <v>71</v>
      </c>
      <c r="AA1209" s="10">
        <v>0.16600000000000001</v>
      </c>
      <c r="AB1209" s="10">
        <v>71</v>
      </c>
      <c r="AC1209" s="10">
        <v>82</v>
      </c>
      <c r="AD1209" s="10">
        <v>75</v>
      </c>
      <c r="AE1209" s="10">
        <v>8</v>
      </c>
      <c r="AF1209" s="10">
        <v>8.4</v>
      </c>
      <c r="AG1209" s="9" t="s">
        <v>349</v>
      </c>
      <c r="AH1209" s="9" t="s">
        <v>231</v>
      </c>
      <c r="AI1209" s="10"/>
      <c r="AJ1209" s="10"/>
      <c r="AK1209" s="30"/>
    </row>
    <row r="1210" spans="5:37">
      <c r="E1210" s="28" t="s">
        <v>155</v>
      </c>
      <c r="F1210" s="8" t="s">
        <v>172</v>
      </c>
      <c r="G1210" s="9" t="s">
        <v>764</v>
      </c>
      <c r="H1210" s="10">
        <v>160</v>
      </c>
      <c r="I1210" s="9" t="s">
        <v>163</v>
      </c>
      <c r="J1210" s="10">
        <v>160</v>
      </c>
      <c r="K1210" s="10">
        <v>160.30000000000001</v>
      </c>
      <c r="L1210" s="10">
        <v>139</v>
      </c>
      <c r="M1210" s="10">
        <v>145</v>
      </c>
      <c r="N1210" s="10">
        <v>124</v>
      </c>
      <c r="O1210" s="10">
        <v>77</v>
      </c>
      <c r="P1210" s="10">
        <v>110</v>
      </c>
      <c r="Q1210" s="10">
        <v>12.7</v>
      </c>
      <c r="R1210" s="10">
        <v>1624</v>
      </c>
      <c r="S1210" s="10">
        <v>0.91</v>
      </c>
      <c r="T1210" s="10">
        <v>1471</v>
      </c>
      <c r="U1210" s="10">
        <v>151</v>
      </c>
      <c r="V1210" s="10">
        <v>56</v>
      </c>
      <c r="W1210" s="10">
        <v>35</v>
      </c>
      <c r="X1210" s="10">
        <v>144</v>
      </c>
      <c r="Y1210" s="10">
        <v>5</v>
      </c>
      <c r="Z1210" s="10">
        <v>68</v>
      </c>
      <c r="AA1210" s="10">
        <v>0.155</v>
      </c>
      <c r="AB1210" s="10">
        <v>77</v>
      </c>
      <c r="AC1210" s="10">
        <v>80</v>
      </c>
      <c r="AD1210" s="10">
        <v>66</v>
      </c>
      <c r="AE1210" s="10">
        <v>12</v>
      </c>
      <c r="AF1210" s="10">
        <v>8.1999999999999993</v>
      </c>
      <c r="AG1210" s="9" t="s">
        <v>349</v>
      </c>
      <c r="AH1210" s="10"/>
      <c r="AI1210" s="10"/>
      <c r="AJ1210" s="10"/>
      <c r="AK1210" s="30"/>
    </row>
    <row r="1211" spans="5:37">
      <c r="E1211" s="28" t="s">
        <v>155</v>
      </c>
      <c r="F1211" s="8" t="s">
        <v>172</v>
      </c>
      <c r="G1211" s="9" t="s">
        <v>533</v>
      </c>
      <c r="H1211" s="10">
        <v>166</v>
      </c>
      <c r="I1211" s="9" t="s">
        <v>158</v>
      </c>
      <c r="J1211" s="10">
        <v>166</v>
      </c>
      <c r="K1211" s="10">
        <v>166.6</v>
      </c>
      <c r="L1211" s="10">
        <v>128</v>
      </c>
      <c r="M1211" s="10">
        <v>152</v>
      </c>
      <c r="N1211" s="10">
        <v>125</v>
      </c>
      <c r="O1211" s="10">
        <v>80</v>
      </c>
      <c r="P1211" s="10">
        <v>113</v>
      </c>
      <c r="Q1211" s="10">
        <v>14.4</v>
      </c>
      <c r="R1211" s="10">
        <v>1734</v>
      </c>
      <c r="S1211" s="10">
        <v>0.91</v>
      </c>
      <c r="T1211" s="10">
        <v>1575</v>
      </c>
      <c r="U1211" s="10">
        <v>215</v>
      </c>
      <c r="V1211" s="10">
        <v>91</v>
      </c>
      <c r="W1211" s="10">
        <v>47</v>
      </c>
      <c r="X1211" s="10">
        <v>261</v>
      </c>
      <c r="Y1211" s="10">
        <v>12</v>
      </c>
      <c r="Z1211" s="10">
        <v>127</v>
      </c>
      <c r="AA1211" s="10">
        <v>0.26100000000000001</v>
      </c>
      <c r="AB1211" s="10">
        <v>80</v>
      </c>
      <c r="AC1211" s="10">
        <v>66</v>
      </c>
      <c r="AD1211" s="10">
        <v>181</v>
      </c>
      <c r="AE1211" s="10">
        <v>10</v>
      </c>
      <c r="AF1211" s="10">
        <v>7</v>
      </c>
      <c r="AG1211" s="9" t="s">
        <v>188</v>
      </c>
      <c r="AH1211" s="10"/>
      <c r="AI1211" s="10"/>
      <c r="AJ1211" s="10"/>
      <c r="AK1211" s="30"/>
    </row>
    <row r="1212" spans="5:37">
      <c r="E1212" s="28" t="s">
        <v>155</v>
      </c>
      <c r="F1212" s="8" t="s">
        <v>172</v>
      </c>
      <c r="G1212" s="9" t="s">
        <v>533</v>
      </c>
      <c r="H1212" s="10">
        <v>174</v>
      </c>
      <c r="I1212" s="9" t="s">
        <v>158</v>
      </c>
      <c r="J1212" s="10">
        <v>174</v>
      </c>
      <c r="K1212" s="10">
        <v>174.4</v>
      </c>
      <c r="L1212" s="10">
        <v>134</v>
      </c>
      <c r="M1212" s="10">
        <v>160</v>
      </c>
      <c r="N1212" s="10">
        <v>125</v>
      </c>
      <c r="O1212" s="10">
        <v>80</v>
      </c>
      <c r="P1212" s="10">
        <v>113</v>
      </c>
      <c r="Q1212" s="10">
        <v>16.100000000000001</v>
      </c>
      <c r="R1212" s="10">
        <v>1830</v>
      </c>
      <c r="S1212" s="10">
        <v>0.9</v>
      </c>
      <c r="T1212" s="10">
        <v>1643</v>
      </c>
      <c r="U1212" s="10">
        <v>254</v>
      </c>
      <c r="V1212" s="10">
        <v>72</v>
      </c>
      <c r="W1212" s="10">
        <v>50</v>
      </c>
      <c r="X1212" s="10">
        <v>266</v>
      </c>
      <c r="Y1212" s="10">
        <v>15</v>
      </c>
      <c r="Z1212" s="10">
        <v>137</v>
      </c>
      <c r="AA1212" s="10">
        <v>0.30599999999999999</v>
      </c>
      <c r="AB1212" s="10">
        <v>84</v>
      </c>
      <c r="AC1212" s="10">
        <v>62</v>
      </c>
      <c r="AD1212" s="10">
        <v>182</v>
      </c>
      <c r="AE1212" s="10">
        <v>7</v>
      </c>
      <c r="AF1212" s="10">
        <v>6.4</v>
      </c>
      <c r="AG1212" s="9" t="s">
        <v>160</v>
      </c>
      <c r="AH1212" s="10"/>
      <c r="AI1212" s="10"/>
      <c r="AJ1212" s="10"/>
      <c r="AK1212" s="30"/>
    </row>
    <row r="1213" spans="5:37">
      <c r="E1213" s="28" t="s">
        <v>155</v>
      </c>
      <c r="F1213" s="8" t="s">
        <v>172</v>
      </c>
      <c r="G1213" s="9" t="s">
        <v>478</v>
      </c>
      <c r="H1213" s="10">
        <v>150</v>
      </c>
      <c r="I1213" s="9" t="s">
        <v>163</v>
      </c>
      <c r="J1213" s="10">
        <v>150</v>
      </c>
      <c r="K1213" s="10">
        <v>150.30000000000001</v>
      </c>
      <c r="L1213" s="10">
        <v>112</v>
      </c>
      <c r="M1213" s="10">
        <v>136</v>
      </c>
      <c r="N1213" s="10">
        <v>125</v>
      </c>
      <c r="O1213" s="10">
        <v>80</v>
      </c>
      <c r="P1213" s="10">
        <v>113</v>
      </c>
      <c r="Q1213" s="10">
        <v>11.2</v>
      </c>
      <c r="R1213" s="10">
        <v>1598</v>
      </c>
      <c r="S1213" s="10">
        <v>0.89</v>
      </c>
      <c r="T1213" s="10">
        <v>1429</v>
      </c>
      <c r="U1213" s="10">
        <v>167</v>
      </c>
      <c r="V1213" s="10">
        <v>72</v>
      </c>
      <c r="W1213" s="10">
        <v>47</v>
      </c>
      <c r="X1213" s="10">
        <v>260</v>
      </c>
      <c r="Y1213" s="10">
        <v>12</v>
      </c>
      <c r="Z1213" s="10">
        <v>126</v>
      </c>
      <c r="AA1213" s="10">
        <v>0.26600000000000001</v>
      </c>
      <c r="AB1213" s="10">
        <v>80</v>
      </c>
      <c r="AC1213" s="10">
        <v>65</v>
      </c>
      <c r="AD1213" s="10">
        <v>181</v>
      </c>
      <c r="AE1213" s="10">
        <v>9</v>
      </c>
      <c r="AF1213" s="10">
        <v>6.6</v>
      </c>
      <c r="AG1213" s="9" t="s">
        <v>188</v>
      </c>
      <c r="AH1213" s="10"/>
      <c r="AI1213" s="10"/>
      <c r="AJ1213" s="10"/>
      <c r="AK1213" s="30"/>
    </row>
    <row r="1214" spans="5:37">
      <c r="E1214" s="28" t="s">
        <v>155</v>
      </c>
      <c r="F1214" s="8" t="s">
        <v>172</v>
      </c>
      <c r="G1214" s="9" t="s">
        <v>478</v>
      </c>
      <c r="H1214" s="10">
        <v>158</v>
      </c>
      <c r="I1214" s="9" t="s">
        <v>163</v>
      </c>
      <c r="J1214" s="10">
        <v>158</v>
      </c>
      <c r="K1214" s="10">
        <v>158.19999999999999</v>
      </c>
      <c r="L1214" s="10">
        <v>120</v>
      </c>
      <c r="M1214" s="10">
        <v>144</v>
      </c>
      <c r="N1214" s="10">
        <v>125</v>
      </c>
      <c r="O1214" s="10">
        <v>80</v>
      </c>
      <c r="P1214" s="10">
        <v>114</v>
      </c>
      <c r="Q1214" s="10">
        <v>12.7</v>
      </c>
      <c r="R1214" s="10">
        <v>1684</v>
      </c>
      <c r="S1214" s="10">
        <v>0.89</v>
      </c>
      <c r="T1214" s="10">
        <v>1503</v>
      </c>
      <c r="U1214" s="10">
        <v>198</v>
      </c>
      <c r="V1214" s="10">
        <v>76</v>
      </c>
      <c r="W1214" s="10">
        <v>48</v>
      </c>
      <c r="X1214" s="10">
        <v>261</v>
      </c>
      <c r="Y1214" s="10">
        <v>13</v>
      </c>
      <c r="Z1214" s="10">
        <v>126</v>
      </c>
      <c r="AA1214" s="10">
        <v>0.26600000000000001</v>
      </c>
      <c r="AB1214" s="10">
        <v>79</v>
      </c>
      <c r="AC1214" s="10">
        <v>63</v>
      </c>
      <c r="AD1214" s="10">
        <v>182</v>
      </c>
      <c r="AE1214" s="10">
        <v>8</v>
      </c>
      <c r="AF1214" s="10">
        <v>7.1</v>
      </c>
      <c r="AG1214" s="9" t="s">
        <v>188</v>
      </c>
      <c r="AH1214" s="10"/>
      <c r="AI1214" s="10"/>
      <c r="AJ1214" s="10"/>
      <c r="AK1214" s="30"/>
    </row>
    <row r="1215" spans="5:37">
      <c r="E1215" s="28" t="s">
        <v>155</v>
      </c>
      <c r="F1215" s="8" t="s">
        <v>172</v>
      </c>
      <c r="G1215" s="9" t="s">
        <v>478</v>
      </c>
      <c r="H1215" s="10">
        <v>166</v>
      </c>
      <c r="I1215" s="9" t="s">
        <v>163</v>
      </c>
      <c r="J1215" s="10">
        <v>166</v>
      </c>
      <c r="K1215" s="10">
        <v>166.6</v>
      </c>
      <c r="L1215" s="10">
        <v>127</v>
      </c>
      <c r="M1215" s="10">
        <v>152</v>
      </c>
      <c r="N1215" s="10">
        <v>125</v>
      </c>
      <c r="O1215" s="10">
        <v>80</v>
      </c>
      <c r="P1215" s="10">
        <v>113</v>
      </c>
      <c r="Q1215" s="10">
        <v>14.3</v>
      </c>
      <c r="R1215" s="10">
        <v>1759</v>
      </c>
      <c r="S1215" s="10">
        <v>0.9</v>
      </c>
      <c r="T1215" s="10">
        <v>1579</v>
      </c>
      <c r="U1215" s="10">
        <v>214</v>
      </c>
      <c r="V1215" s="10">
        <v>78</v>
      </c>
      <c r="W1215" s="10">
        <v>48</v>
      </c>
      <c r="X1215" s="10">
        <v>265</v>
      </c>
      <c r="Y1215" s="10">
        <v>13</v>
      </c>
      <c r="Z1215" s="10">
        <v>129</v>
      </c>
      <c r="AA1215" s="10">
        <v>0.26400000000000001</v>
      </c>
      <c r="AB1215" s="10">
        <v>83</v>
      </c>
      <c r="AC1215" s="10">
        <v>65</v>
      </c>
      <c r="AD1215" s="10">
        <v>182</v>
      </c>
      <c r="AE1215" s="10">
        <v>11</v>
      </c>
      <c r="AF1215" s="10">
        <v>7.5</v>
      </c>
      <c r="AG1215" s="9" t="s">
        <v>188</v>
      </c>
      <c r="AH1215" s="10"/>
      <c r="AI1215" s="10"/>
      <c r="AJ1215" s="10"/>
      <c r="AK1215" s="30"/>
    </row>
    <row r="1216" spans="5:37">
      <c r="E1216" s="28" t="s">
        <v>155</v>
      </c>
      <c r="F1216" s="8" t="s">
        <v>172</v>
      </c>
      <c r="G1216" s="9" t="s">
        <v>469</v>
      </c>
      <c r="H1216" s="10">
        <v>160</v>
      </c>
      <c r="I1216" s="9" t="s">
        <v>158</v>
      </c>
      <c r="J1216" s="10">
        <v>160</v>
      </c>
      <c r="K1216" s="10">
        <v>158.5</v>
      </c>
      <c r="L1216" s="10">
        <v>120</v>
      </c>
      <c r="M1216" s="10">
        <v>143</v>
      </c>
      <c r="N1216" s="10">
        <v>124</v>
      </c>
      <c r="O1216" s="10">
        <v>80</v>
      </c>
      <c r="P1216" s="10">
        <v>113</v>
      </c>
      <c r="Q1216" s="10">
        <v>12.8</v>
      </c>
      <c r="R1216" s="10">
        <v>1651</v>
      </c>
      <c r="S1216" s="10">
        <v>0.9</v>
      </c>
      <c r="T1216" s="10">
        <v>1493</v>
      </c>
      <c r="U1216" s="10">
        <v>179</v>
      </c>
      <c r="V1216" s="10">
        <v>72</v>
      </c>
      <c r="W1216" s="10">
        <v>47</v>
      </c>
      <c r="X1216" s="10">
        <v>258</v>
      </c>
      <c r="Y1216" s="10">
        <v>12</v>
      </c>
      <c r="Z1216" s="10">
        <v>123</v>
      </c>
      <c r="AA1216" s="10">
        <v>0.26</v>
      </c>
      <c r="AB1216" s="10">
        <v>88</v>
      </c>
      <c r="AC1216" s="10">
        <v>63</v>
      </c>
      <c r="AD1216" s="10">
        <v>170</v>
      </c>
      <c r="AE1216" s="10">
        <v>10</v>
      </c>
      <c r="AF1216" s="10">
        <v>7.1</v>
      </c>
      <c r="AG1216" s="9" t="s">
        <v>160</v>
      </c>
      <c r="AH1216" s="10"/>
      <c r="AI1216" s="10"/>
      <c r="AJ1216" s="10"/>
      <c r="AK1216" s="30"/>
    </row>
    <row r="1217" spans="5:37">
      <c r="E1217" s="28" t="s">
        <v>155</v>
      </c>
      <c r="F1217" s="8" t="s">
        <v>172</v>
      </c>
      <c r="G1217" s="9" t="s">
        <v>469</v>
      </c>
      <c r="H1217" s="10">
        <v>168</v>
      </c>
      <c r="I1217" s="9" t="s">
        <v>158</v>
      </c>
      <c r="J1217" s="10">
        <v>168</v>
      </c>
      <c r="K1217" s="10">
        <v>166.7</v>
      </c>
      <c r="L1217" s="10">
        <v>128</v>
      </c>
      <c r="M1217" s="10">
        <v>152</v>
      </c>
      <c r="N1217" s="10">
        <v>125</v>
      </c>
      <c r="O1217" s="10">
        <v>80</v>
      </c>
      <c r="P1217" s="10">
        <v>113</v>
      </c>
      <c r="Q1217" s="10">
        <v>14.4</v>
      </c>
      <c r="R1217" s="10">
        <v>1742</v>
      </c>
      <c r="S1217" s="10">
        <v>0.9</v>
      </c>
      <c r="T1217" s="10">
        <v>1572</v>
      </c>
      <c r="U1217" s="10">
        <v>202</v>
      </c>
      <c r="V1217" s="10">
        <v>82</v>
      </c>
      <c r="W1217" s="10">
        <v>47</v>
      </c>
      <c r="X1217" s="10">
        <v>257</v>
      </c>
      <c r="Y1217" s="10">
        <v>13</v>
      </c>
      <c r="Z1217" s="10">
        <v>132</v>
      </c>
      <c r="AA1217" s="10">
        <v>0.26900000000000002</v>
      </c>
      <c r="AB1217" s="10">
        <v>83</v>
      </c>
      <c r="AC1217" s="10">
        <v>60</v>
      </c>
      <c r="AD1217" s="10">
        <v>175</v>
      </c>
      <c r="AE1217" s="10">
        <v>10</v>
      </c>
      <c r="AF1217" s="10">
        <v>7.5</v>
      </c>
      <c r="AG1217" s="9" t="s">
        <v>160</v>
      </c>
      <c r="AH1217" s="10"/>
      <c r="AI1217" s="10"/>
      <c r="AJ1217" s="10"/>
      <c r="AK1217" s="30"/>
    </row>
    <row r="1218" spans="5:37">
      <c r="E1218" s="28" t="s">
        <v>155</v>
      </c>
      <c r="F1218" s="8" t="s">
        <v>172</v>
      </c>
      <c r="G1218" s="9" t="s">
        <v>469</v>
      </c>
      <c r="H1218" s="10">
        <v>176</v>
      </c>
      <c r="I1218" s="9" t="s">
        <v>158</v>
      </c>
      <c r="J1218" s="10">
        <v>176</v>
      </c>
      <c r="K1218" s="10">
        <v>174.4</v>
      </c>
      <c r="L1218" s="10">
        <v>134</v>
      </c>
      <c r="M1218" s="10">
        <v>160</v>
      </c>
      <c r="N1218" s="10">
        <v>125</v>
      </c>
      <c r="O1218" s="10">
        <v>80</v>
      </c>
      <c r="P1218" s="10">
        <v>113</v>
      </c>
      <c r="Q1218" s="10">
        <v>16</v>
      </c>
      <c r="R1218" s="10">
        <v>1805</v>
      </c>
      <c r="S1218" s="10">
        <v>0.91</v>
      </c>
      <c r="T1218" s="10">
        <v>1639</v>
      </c>
      <c r="U1218" s="10">
        <v>241</v>
      </c>
      <c r="V1218" s="10">
        <v>89</v>
      </c>
      <c r="W1218" s="10">
        <v>48</v>
      </c>
      <c r="X1218" s="10">
        <v>266</v>
      </c>
      <c r="Y1218" s="10">
        <v>14</v>
      </c>
      <c r="Z1218" s="10">
        <v>134</v>
      </c>
      <c r="AA1218" s="10">
        <v>0.28499999999999998</v>
      </c>
      <c r="AB1218" s="10">
        <v>77</v>
      </c>
      <c r="AC1218" s="10">
        <v>65</v>
      </c>
      <c r="AD1218" s="10">
        <v>189</v>
      </c>
      <c r="AE1218" s="10">
        <v>7</v>
      </c>
      <c r="AF1218" s="10">
        <v>6.1</v>
      </c>
      <c r="AG1218" s="9" t="s">
        <v>160</v>
      </c>
      <c r="AH1218" s="10"/>
      <c r="AI1218" s="10"/>
      <c r="AJ1218" s="10"/>
      <c r="AK1218" s="30"/>
    </row>
    <row r="1219" spans="5:37">
      <c r="E1219" s="28" t="s">
        <v>155</v>
      </c>
      <c r="F1219" s="8" t="s">
        <v>172</v>
      </c>
      <c r="G1219" s="9" t="s">
        <v>701</v>
      </c>
      <c r="H1219" s="10">
        <v>151</v>
      </c>
      <c r="I1219" s="9" t="s">
        <v>163</v>
      </c>
      <c r="J1219" s="10">
        <v>151</v>
      </c>
      <c r="K1219" s="10">
        <v>150.4</v>
      </c>
      <c r="L1219" s="10">
        <v>111</v>
      </c>
      <c r="M1219" s="10">
        <v>136</v>
      </c>
      <c r="N1219" s="10">
        <v>125</v>
      </c>
      <c r="O1219" s="10">
        <v>80</v>
      </c>
      <c r="P1219" s="10">
        <v>113</v>
      </c>
      <c r="Q1219" s="10">
        <v>11.4</v>
      </c>
      <c r="R1219" s="10">
        <v>1601</v>
      </c>
      <c r="S1219" s="10">
        <v>0.89</v>
      </c>
      <c r="T1219" s="10">
        <v>1425</v>
      </c>
      <c r="U1219" s="10">
        <v>174</v>
      </c>
      <c r="V1219" s="10">
        <v>61</v>
      </c>
      <c r="W1219" s="10">
        <v>49</v>
      </c>
      <c r="X1219" s="10">
        <v>263</v>
      </c>
      <c r="Y1219" s="10">
        <v>13</v>
      </c>
      <c r="Z1219" s="10">
        <v>127</v>
      </c>
      <c r="AA1219" s="10">
        <v>0.25900000000000001</v>
      </c>
      <c r="AB1219" s="10">
        <v>76</v>
      </c>
      <c r="AC1219" s="10">
        <v>68</v>
      </c>
      <c r="AD1219" s="10">
        <v>187</v>
      </c>
      <c r="AE1219" s="10">
        <v>8</v>
      </c>
      <c r="AF1219" s="10">
        <v>6.8</v>
      </c>
      <c r="AG1219" s="9" t="s">
        <v>160</v>
      </c>
      <c r="AH1219" s="10"/>
      <c r="AI1219" s="10"/>
      <c r="AJ1219" s="10"/>
      <c r="AK1219" s="30"/>
    </row>
    <row r="1220" spans="5:37">
      <c r="E1220" s="28" t="s">
        <v>155</v>
      </c>
      <c r="F1220" s="8" t="s">
        <v>172</v>
      </c>
      <c r="G1220" s="9" t="s">
        <v>701</v>
      </c>
      <c r="H1220" s="10">
        <v>159</v>
      </c>
      <c r="I1220" s="9" t="s">
        <v>163</v>
      </c>
      <c r="J1220" s="10">
        <v>159</v>
      </c>
      <c r="K1220" s="10">
        <v>158.4</v>
      </c>
      <c r="L1220" s="10">
        <v>119</v>
      </c>
      <c r="M1220" s="10">
        <v>144</v>
      </c>
      <c r="N1220" s="10">
        <v>125</v>
      </c>
      <c r="O1220" s="10">
        <v>80</v>
      </c>
      <c r="P1220" s="10">
        <v>113</v>
      </c>
      <c r="Q1220" s="10">
        <v>12.8</v>
      </c>
      <c r="R1220" s="10">
        <v>1645</v>
      </c>
      <c r="S1220" s="10">
        <v>0.91</v>
      </c>
      <c r="T1220" s="10">
        <v>1501</v>
      </c>
      <c r="U1220" s="10">
        <v>182</v>
      </c>
      <c r="V1220" s="10">
        <v>79</v>
      </c>
      <c r="W1220" s="10">
        <v>47</v>
      </c>
      <c r="X1220" s="10">
        <v>262</v>
      </c>
      <c r="Y1220" s="10">
        <v>14</v>
      </c>
      <c r="Z1220" s="10">
        <v>128</v>
      </c>
      <c r="AA1220" s="10">
        <v>0.29099999999999998</v>
      </c>
      <c r="AB1220" s="10">
        <v>84</v>
      </c>
      <c r="AC1220" s="10">
        <v>65</v>
      </c>
      <c r="AD1220" s="10">
        <v>178</v>
      </c>
      <c r="AE1220" s="10">
        <v>8</v>
      </c>
      <c r="AF1220" s="10">
        <v>7</v>
      </c>
      <c r="AG1220" s="9" t="s">
        <v>188</v>
      </c>
      <c r="AH1220" s="10"/>
      <c r="AI1220" s="10"/>
      <c r="AJ1220" s="10"/>
      <c r="AK1220" s="30"/>
    </row>
    <row r="1221" spans="5:37">
      <c r="E1221" s="28" t="s">
        <v>155</v>
      </c>
      <c r="F1221" s="8" t="s">
        <v>172</v>
      </c>
      <c r="G1221" s="9" t="s">
        <v>713</v>
      </c>
      <c r="H1221" s="10">
        <v>160</v>
      </c>
      <c r="I1221" s="9" t="s">
        <v>158</v>
      </c>
      <c r="J1221" s="10">
        <v>160</v>
      </c>
      <c r="K1221" s="10">
        <v>158.4</v>
      </c>
      <c r="L1221" s="10">
        <v>119</v>
      </c>
      <c r="M1221" s="10">
        <v>144</v>
      </c>
      <c r="N1221" s="10">
        <v>125</v>
      </c>
      <c r="O1221" s="10">
        <v>79</v>
      </c>
      <c r="P1221" s="10">
        <v>113</v>
      </c>
      <c r="Q1221" s="10">
        <v>12.7</v>
      </c>
      <c r="R1221" s="10">
        <v>1703</v>
      </c>
      <c r="S1221" s="10">
        <v>0.88</v>
      </c>
      <c r="T1221" s="10">
        <v>1490</v>
      </c>
      <c r="U1221" s="10">
        <v>167</v>
      </c>
      <c r="V1221" s="10">
        <v>88</v>
      </c>
      <c r="W1221" s="10">
        <v>49</v>
      </c>
      <c r="X1221" s="10">
        <v>261</v>
      </c>
      <c r="Y1221" s="10">
        <v>14</v>
      </c>
      <c r="Z1221" s="10">
        <v>136</v>
      </c>
      <c r="AA1221" s="10">
        <v>0.29099999999999998</v>
      </c>
      <c r="AB1221" s="10">
        <v>80</v>
      </c>
      <c r="AC1221" s="10">
        <v>63</v>
      </c>
      <c r="AD1221" s="10">
        <v>182</v>
      </c>
      <c r="AE1221" s="10">
        <v>7</v>
      </c>
      <c r="AF1221" s="10">
        <v>7</v>
      </c>
      <c r="AG1221" s="9" t="s">
        <v>160</v>
      </c>
      <c r="AH1221" s="10"/>
      <c r="AI1221" s="10"/>
      <c r="AJ1221" s="10"/>
      <c r="AK1221" s="30"/>
    </row>
    <row r="1222" spans="5:37">
      <c r="E1222" s="28" t="s">
        <v>155</v>
      </c>
      <c r="F1222" s="8" t="s">
        <v>172</v>
      </c>
      <c r="G1222" s="9" t="s">
        <v>547</v>
      </c>
      <c r="H1222" s="10">
        <v>151</v>
      </c>
      <c r="I1222" s="9" t="s">
        <v>163</v>
      </c>
      <c r="J1222" s="10">
        <v>151</v>
      </c>
      <c r="K1222" s="10">
        <v>150.4</v>
      </c>
      <c r="L1222" s="10">
        <v>111</v>
      </c>
      <c r="M1222" s="10">
        <v>136</v>
      </c>
      <c r="N1222" s="10">
        <v>125</v>
      </c>
      <c r="O1222" s="10">
        <v>80</v>
      </c>
      <c r="P1222" s="10">
        <v>113</v>
      </c>
      <c r="Q1222" s="10">
        <v>11.3</v>
      </c>
      <c r="R1222" s="10">
        <v>1660</v>
      </c>
      <c r="S1222" s="10">
        <v>0.86</v>
      </c>
      <c r="T1222" s="10">
        <v>1425</v>
      </c>
      <c r="U1222" s="10">
        <v>162</v>
      </c>
      <c r="V1222" s="10">
        <v>88</v>
      </c>
      <c r="W1222" s="10">
        <v>47</v>
      </c>
      <c r="X1222" s="10">
        <v>261</v>
      </c>
      <c r="Y1222" s="10">
        <v>14</v>
      </c>
      <c r="Z1222" s="10">
        <v>134</v>
      </c>
      <c r="AA1222" s="10">
        <v>0.29099999999999998</v>
      </c>
      <c r="AB1222" s="10">
        <v>78</v>
      </c>
      <c r="AC1222" s="10">
        <v>63</v>
      </c>
      <c r="AD1222" s="10">
        <v>183</v>
      </c>
      <c r="AE1222" s="10">
        <v>8</v>
      </c>
      <c r="AF1222" s="10">
        <v>6.6</v>
      </c>
      <c r="AG1222" s="9" t="s">
        <v>160</v>
      </c>
      <c r="AH1222" s="10"/>
      <c r="AI1222" s="10"/>
      <c r="AJ1222" s="10"/>
      <c r="AK1222" s="30"/>
    </row>
    <row r="1223" spans="5:37">
      <c r="E1223" s="28" t="s">
        <v>155</v>
      </c>
      <c r="F1223" s="8" t="s">
        <v>172</v>
      </c>
      <c r="G1223" s="9" t="s">
        <v>547</v>
      </c>
      <c r="H1223" s="10">
        <v>159</v>
      </c>
      <c r="I1223" s="9" t="s">
        <v>163</v>
      </c>
      <c r="J1223" s="10">
        <v>159</v>
      </c>
      <c r="K1223" s="10">
        <v>158.19999999999999</v>
      </c>
      <c r="L1223" s="10">
        <v>119</v>
      </c>
      <c r="M1223" s="10">
        <v>144</v>
      </c>
      <c r="N1223" s="10">
        <v>125</v>
      </c>
      <c r="O1223" s="10">
        <v>80</v>
      </c>
      <c r="P1223" s="10">
        <v>114</v>
      </c>
      <c r="Q1223" s="10">
        <v>12.7</v>
      </c>
      <c r="R1223" s="10">
        <v>1746</v>
      </c>
      <c r="S1223" s="10">
        <v>0.86</v>
      </c>
      <c r="T1223" s="10">
        <v>1498</v>
      </c>
      <c r="U1223" s="10">
        <v>180</v>
      </c>
      <c r="V1223" s="10">
        <v>94</v>
      </c>
      <c r="W1223" s="10">
        <v>49</v>
      </c>
      <c r="X1223" s="10">
        <v>261</v>
      </c>
      <c r="Y1223" s="10">
        <v>15</v>
      </c>
      <c r="Z1223" s="10">
        <v>135</v>
      </c>
      <c r="AA1223" s="10">
        <v>0.30399999999999999</v>
      </c>
      <c r="AB1223" s="10">
        <v>80</v>
      </c>
      <c r="AC1223" s="10">
        <v>62</v>
      </c>
      <c r="AD1223" s="10">
        <v>181</v>
      </c>
      <c r="AE1223" s="10">
        <v>8</v>
      </c>
      <c r="AF1223" s="10">
        <v>6.9</v>
      </c>
      <c r="AG1223" s="9" t="s">
        <v>160</v>
      </c>
      <c r="AH1223" s="10"/>
      <c r="AI1223" s="10"/>
      <c r="AJ1223" s="10"/>
      <c r="AK1223" s="30"/>
    </row>
    <row r="1224" spans="5:37">
      <c r="E1224" s="28" t="s">
        <v>155</v>
      </c>
      <c r="F1224" s="8" t="s">
        <v>172</v>
      </c>
      <c r="G1224" s="9" t="s">
        <v>345</v>
      </c>
      <c r="H1224" s="10">
        <v>158</v>
      </c>
      <c r="I1224" s="9" t="s">
        <v>158</v>
      </c>
      <c r="J1224" s="10">
        <v>158</v>
      </c>
      <c r="K1224" s="10">
        <v>157.5</v>
      </c>
      <c r="L1224" s="10">
        <v>118</v>
      </c>
      <c r="M1224" s="10">
        <v>143</v>
      </c>
      <c r="N1224" s="10">
        <v>131</v>
      </c>
      <c r="O1224" s="10">
        <v>83</v>
      </c>
      <c r="P1224" s="10">
        <v>118</v>
      </c>
      <c r="Q1224" s="10">
        <v>12</v>
      </c>
      <c r="R1224" s="10">
        <v>1662</v>
      </c>
      <c r="S1224" s="10">
        <v>0.94</v>
      </c>
      <c r="T1224" s="10">
        <v>1556</v>
      </c>
      <c r="U1224" s="10">
        <v>179</v>
      </c>
      <c r="V1224" s="10">
        <v>71</v>
      </c>
      <c r="W1224" s="10">
        <v>48</v>
      </c>
      <c r="X1224" s="10">
        <v>264</v>
      </c>
      <c r="Y1224" s="10">
        <v>13</v>
      </c>
      <c r="Z1224" s="10">
        <v>132</v>
      </c>
      <c r="AA1224" s="10">
        <v>0.28299999999999997</v>
      </c>
      <c r="AB1224" s="10">
        <v>79</v>
      </c>
      <c r="AC1224" s="10">
        <v>67</v>
      </c>
      <c r="AD1224" s="10">
        <v>185</v>
      </c>
      <c r="AE1224" s="10">
        <v>7</v>
      </c>
      <c r="AF1224" s="10">
        <v>6.8</v>
      </c>
      <c r="AG1224" s="9" t="s">
        <v>188</v>
      </c>
      <c r="AH1224" s="10"/>
      <c r="AI1224" s="10"/>
      <c r="AJ1224" s="10"/>
      <c r="AK1224" s="30"/>
    </row>
    <row r="1225" spans="5:37">
      <c r="E1225" s="28" t="s">
        <v>155</v>
      </c>
      <c r="F1225" s="8" t="s">
        <v>172</v>
      </c>
      <c r="G1225" s="9" t="s">
        <v>345</v>
      </c>
      <c r="H1225" s="10">
        <v>167</v>
      </c>
      <c r="I1225" s="9" t="s">
        <v>158</v>
      </c>
      <c r="J1225" s="10">
        <v>167</v>
      </c>
      <c r="K1225" s="10">
        <v>166.4</v>
      </c>
      <c r="L1225" s="10">
        <v>127</v>
      </c>
      <c r="M1225" s="10">
        <v>152</v>
      </c>
      <c r="N1225" s="10">
        <v>131</v>
      </c>
      <c r="O1225" s="10">
        <v>83</v>
      </c>
      <c r="P1225" s="10">
        <v>119</v>
      </c>
      <c r="Q1225" s="10">
        <v>13.4</v>
      </c>
      <c r="R1225" s="10">
        <v>1799</v>
      </c>
      <c r="S1225" s="10">
        <v>0.91</v>
      </c>
      <c r="T1225" s="10">
        <v>1643</v>
      </c>
      <c r="U1225" s="10">
        <v>198</v>
      </c>
      <c r="V1225" s="10">
        <v>80</v>
      </c>
      <c r="W1225" s="10">
        <v>46</v>
      </c>
      <c r="X1225" s="10">
        <v>261</v>
      </c>
      <c r="Y1225" s="10">
        <v>13</v>
      </c>
      <c r="Z1225" s="10">
        <v>129</v>
      </c>
      <c r="AA1225" s="10">
        <v>0.27800000000000002</v>
      </c>
      <c r="AB1225" s="10">
        <v>74</v>
      </c>
      <c r="AC1225" s="10">
        <v>67</v>
      </c>
      <c r="AD1225" s="10">
        <v>186</v>
      </c>
      <c r="AE1225" s="10">
        <v>8</v>
      </c>
      <c r="AF1225" s="10">
        <v>6.7</v>
      </c>
      <c r="AG1225" s="9" t="s">
        <v>188</v>
      </c>
      <c r="AH1225" s="10"/>
      <c r="AI1225" s="10"/>
      <c r="AJ1225" s="10"/>
      <c r="AK1225" s="30"/>
    </row>
    <row r="1226" spans="5:37">
      <c r="E1226" s="28" t="s">
        <v>155</v>
      </c>
      <c r="F1226" s="8" t="s">
        <v>172</v>
      </c>
      <c r="G1226" s="9" t="s">
        <v>345</v>
      </c>
      <c r="H1226" s="10">
        <v>176</v>
      </c>
      <c r="I1226" s="9" t="s">
        <v>158</v>
      </c>
      <c r="J1226" s="10">
        <v>176</v>
      </c>
      <c r="K1226" s="10">
        <v>175.5</v>
      </c>
      <c r="L1226" s="10">
        <v>137</v>
      </c>
      <c r="M1226" s="10">
        <v>161</v>
      </c>
      <c r="N1226" s="10">
        <v>131</v>
      </c>
      <c r="O1226" s="10">
        <v>84</v>
      </c>
      <c r="P1226" s="10">
        <v>119</v>
      </c>
      <c r="Q1226" s="10">
        <v>15.4</v>
      </c>
      <c r="R1226" s="10">
        <v>1911</v>
      </c>
      <c r="S1226" s="10">
        <v>0.91</v>
      </c>
      <c r="T1226" s="10">
        <v>1733</v>
      </c>
      <c r="U1226" s="10">
        <v>230</v>
      </c>
      <c r="V1226" s="10">
        <v>92</v>
      </c>
      <c r="W1226" s="10">
        <v>47</v>
      </c>
      <c r="X1226" s="10">
        <v>258</v>
      </c>
      <c r="Y1226" s="10">
        <v>13</v>
      </c>
      <c r="Z1226" s="10">
        <v>126</v>
      </c>
      <c r="AA1226" s="10">
        <v>0.26900000000000002</v>
      </c>
      <c r="AB1226" s="10">
        <v>73</v>
      </c>
      <c r="AC1226" s="10">
        <v>67</v>
      </c>
      <c r="AD1226" s="10">
        <v>184</v>
      </c>
      <c r="AE1226" s="10">
        <v>10</v>
      </c>
      <c r="AF1226" s="10">
        <v>6.9</v>
      </c>
      <c r="AG1226" s="9" t="s">
        <v>188</v>
      </c>
      <c r="AH1226" s="10"/>
      <c r="AI1226" s="10"/>
      <c r="AJ1226" s="10"/>
      <c r="AK1226" s="30"/>
    </row>
    <row r="1227" spans="5:37">
      <c r="E1227" s="28" t="s">
        <v>155</v>
      </c>
      <c r="F1227" s="8" t="s">
        <v>172</v>
      </c>
      <c r="G1227" s="9" t="s">
        <v>661</v>
      </c>
      <c r="H1227" s="10">
        <v>148</v>
      </c>
      <c r="I1227" s="9" t="s">
        <v>163</v>
      </c>
      <c r="J1227" s="10">
        <v>148</v>
      </c>
      <c r="K1227" s="10">
        <v>148.4</v>
      </c>
      <c r="L1227" s="10">
        <v>109</v>
      </c>
      <c r="M1227" s="10">
        <v>134</v>
      </c>
      <c r="N1227" s="10">
        <v>131</v>
      </c>
      <c r="O1227" s="10">
        <v>84</v>
      </c>
      <c r="P1227" s="10">
        <v>119</v>
      </c>
      <c r="Q1227" s="10">
        <v>10.4</v>
      </c>
      <c r="R1227" s="10">
        <v>1654</v>
      </c>
      <c r="S1227" s="10">
        <v>0.89</v>
      </c>
      <c r="T1227" s="10">
        <v>1474</v>
      </c>
      <c r="U1227" s="10">
        <v>178</v>
      </c>
      <c r="V1227" s="10">
        <v>74</v>
      </c>
      <c r="W1227" s="10">
        <v>51</v>
      </c>
      <c r="X1227" s="10">
        <v>263</v>
      </c>
      <c r="Y1227" s="10">
        <v>13</v>
      </c>
      <c r="Z1227" s="10">
        <v>129</v>
      </c>
      <c r="AA1227" s="10">
        <v>0.26400000000000001</v>
      </c>
      <c r="AB1227" s="10">
        <v>78</v>
      </c>
      <c r="AC1227" s="10">
        <v>66</v>
      </c>
      <c r="AD1227" s="10">
        <v>185</v>
      </c>
      <c r="AE1227" s="10">
        <v>8</v>
      </c>
      <c r="AF1227" s="10">
        <v>6.4</v>
      </c>
      <c r="AG1227" s="9" t="s">
        <v>188</v>
      </c>
      <c r="AH1227" s="10"/>
      <c r="AI1227" s="10"/>
      <c r="AJ1227" s="10"/>
      <c r="AK1227" s="30"/>
    </row>
    <row r="1228" spans="5:37">
      <c r="E1228" s="28" t="s">
        <v>155</v>
      </c>
      <c r="F1228" s="8" t="s">
        <v>172</v>
      </c>
      <c r="G1228" s="9" t="s">
        <v>661</v>
      </c>
      <c r="H1228" s="10">
        <v>166</v>
      </c>
      <c r="I1228" s="9" t="s">
        <v>163</v>
      </c>
      <c r="J1228" s="10">
        <v>166</v>
      </c>
      <c r="K1228" s="10">
        <v>166.5</v>
      </c>
      <c r="L1228" s="10">
        <v>128</v>
      </c>
      <c r="M1228" s="10">
        <v>153</v>
      </c>
      <c r="N1228" s="10">
        <v>131</v>
      </c>
      <c r="O1228" s="10">
        <v>84</v>
      </c>
      <c r="P1228" s="10">
        <v>120</v>
      </c>
      <c r="Q1228" s="10">
        <v>13.6</v>
      </c>
      <c r="R1228" s="10">
        <v>1821</v>
      </c>
      <c r="S1228" s="10">
        <v>0.91</v>
      </c>
      <c r="T1228" s="10">
        <v>1657</v>
      </c>
      <c r="U1228" s="10">
        <v>202</v>
      </c>
      <c r="V1228" s="10">
        <v>87</v>
      </c>
      <c r="W1228" s="10">
        <v>46</v>
      </c>
      <c r="X1228" s="10">
        <v>259</v>
      </c>
      <c r="Y1228" s="10">
        <v>13</v>
      </c>
      <c r="Z1228" s="10">
        <v>129</v>
      </c>
      <c r="AA1228" s="10">
        <v>0.27300000000000002</v>
      </c>
      <c r="AB1228" s="10">
        <v>73</v>
      </c>
      <c r="AC1228" s="10">
        <v>64</v>
      </c>
      <c r="AD1228" s="10">
        <v>186</v>
      </c>
      <c r="AE1228" s="10">
        <v>9</v>
      </c>
      <c r="AF1228" s="10">
        <v>6.8</v>
      </c>
      <c r="AG1228" s="9" t="s">
        <v>188</v>
      </c>
      <c r="AH1228" s="10"/>
      <c r="AI1228" s="10"/>
      <c r="AJ1228" s="10"/>
      <c r="AK1228" s="30"/>
    </row>
    <row r="1229" spans="5:37">
      <c r="E1229" s="28" t="s">
        <v>155</v>
      </c>
      <c r="F1229" s="8" t="s">
        <v>172</v>
      </c>
      <c r="G1229" s="9" t="s">
        <v>173</v>
      </c>
      <c r="H1229" s="10">
        <v>167</v>
      </c>
      <c r="I1229" s="9" t="s">
        <v>158</v>
      </c>
      <c r="J1229" s="10">
        <v>167</v>
      </c>
      <c r="K1229" s="10">
        <v>166.4</v>
      </c>
      <c r="L1229" s="10">
        <v>128</v>
      </c>
      <c r="M1229" s="10">
        <v>152</v>
      </c>
      <c r="N1229" s="10">
        <v>131</v>
      </c>
      <c r="O1229" s="10">
        <v>83</v>
      </c>
      <c r="P1229" s="10">
        <v>119</v>
      </c>
      <c r="Q1229" s="10">
        <v>13.6</v>
      </c>
      <c r="R1229" s="9" t="s">
        <v>1155</v>
      </c>
      <c r="S1229" s="9" t="s">
        <v>1155</v>
      </c>
      <c r="T1229" s="10">
        <v>1643</v>
      </c>
      <c r="U1229" s="10">
        <v>184</v>
      </c>
      <c r="V1229" s="10">
        <v>113</v>
      </c>
      <c r="W1229" s="10">
        <v>47</v>
      </c>
      <c r="X1229" s="10">
        <v>250</v>
      </c>
      <c r="Y1229" s="10">
        <v>14</v>
      </c>
      <c r="Z1229" s="10">
        <v>133</v>
      </c>
      <c r="AA1229" s="10">
        <v>0.30399999999999999</v>
      </c>
      <c r="AB1229" s="10">
        <v>82</v>
      </c>
      <c r="AC1229" s="10">
        <v>64</v>
      </c>
      <c r="AD1229" s="10">
        <v>168</v>
      </c>
      <c r="AE1229" s="10">
        <v>11</v>
      </c>
      <c r="AF1229" s="10">
        <v>6.9</v>
      </c>
      <c r="AG1229" s="9" t="s">
        <v>160</v>
      </c>
      <c r="AH1229" s="10"/>
      <c r="AI1229" s="10"/>
      <c r="AJ1229" s="10"/>
      <c r="AK1229" s="30"/>
    </row>
    <row r="1230" spans="5:37">
      <c r="E1230" s="28" t="s">
        <v>155</v>
      </c>
      <c r="F1230" s="8" t="s">
        <v>172</v>
      </c>
      <c r="G1230" s="9" t="s">
        <v>173</v>
      </c>
      <c r="H1230" s="10">
        <v>176</v>
      </c>
      <c r="I1230" s="9" t="s">
        <v>158</v>
      </c>
      <c r="J1230" s="10">
        <v>176</v>
      </c>
      <c r="K1230" s="10">
        <v>175.5</v>
      </c>
      <c r="L1230" s="10">
        <v>136</v>
      </c>
      <c r="M1230" s="10">
        <v>161</v>
      </c>
      <c r="N1230" s="10">
        <v>131</v>
      </c>
      <c r="O1230" s="10">
        <v>84</v>
      </c>
      <c r="P1230" s="10">
        <v>119</v>
      </c>
      <c r="Q1230" s="10">
        <v>15.4</v>
      </c>
      <c r="R1230" s="10">
        <v>2061</v>
      </c>
      <c r="S1230" s="10">
        <v>0.84</v>
      </c>
      <c r="T1230" s="10">
        <v>1732</v>
      </c>
      <c r="U1230" s="10">
        <v>234</v>
      </c>
      <c r="V1230" s="10">
        <v>137</v>
      </c>
      <c r="W1230" s="10">
        <v>49</v>
      </c>
      <c r="X1230" s="10">
        <v>259</v>
      </c>
      <c r="Y1230" s="10">
        <v>14</v>
      </c>
      <c r="Z1230" s="10">
        <v>136</v>
      </c>
      <c r="AA1230" s="10">
        <v>0.28999999999999998</v>
      </c>
      <c r="AB1230" s="10">
        <v>76</v>
      </c>
      <c r="AC1230" s="10">
        <v>64</v>
      </c>
      <c r="AD1230" s="10">
        <v>183</v>
      </c>
      <c r="AE1230" s="10">
        <v>10</v>
      </c>
      <c r="AF1230" s="10">
        <v>6.9</v>
      </c>
      <c r="AG1230" s="9" t="s">
        <v>188</v>
      </c>
      <c r="AH1230" s="10"/>
      <c r="AI1230" s="10"/>
      <c r="AJ1230" s="10"/>
      <c r="AK1230" s="30"/>
    </row>
    <row r="1231" spans="5:37">
      <c r="E1231" s="28" t="s">
        <v>155</v>
      </c>
      <c r="F1231" s="8" t="s">
        <v>172</v>
      </c>
      <c r="G1231" s="9" t="s">
        <v>871</v>
      </c>
      <c r="H1231" s="10">
        <v>167</v>
      </c>
      <c r="I1231" s="9" t="s">
        <v>158</v>
      </c>
      <c r="J1231" s="10">
        <v>167</v>
      </c>
      <c r="K1231" s="10">
        <v>166.3</v>
      </c>
      <c r="L1231" s="10">
        <v>145</v>
      </c>
      <c r="M1231" s="10">
        <v>155</v>
      </c>
      <c r="N1231" s="10">
        <v>118</v>
      </c>
      <c r="O1231" s="10">
        <v>70</v>
      </c>
      <c r="P1231" s="10">
        <v>100</v>
      </c>
      <c r="Q1231" s="10">
        <v>15.3</v>
      </c>
      <c r="R1231" s="10">
        <v>1969</v>
      </c>
      <c r="S1231" s="10">
        <v>0.71</v>
      </c>
      <c r="T1231" s="10">
        <v>1398</v>
      </c>
      <c r="U1231" s="10">
        <v>240</v>
      </c>
      <c r="V1231" s="10">
        <v>135</v>
      </c>
      <c r="W1231" s="10">
        <v>42</v>
      </c>
      <c r="X1231" s="10">
        <v>161</v>
      </c>
      <c r="Y1231" s="10">
        <v>5</v>
      </c>
      <c r="Z1231" s="10">
        <v>54</v>
      </c>
      <c r="AA1231" s="10">
        <v>0.11799999999999999</v>
      </c>
      <c r="AB1231" s="10">
        <v>69</v>
      </c>
      <c r="AC1231" s="10">
        <v>41</v>
      </c>
      <c r="AD1231" s="10">
        <v>93</v>
      </c>
      <c r="AE1231" s="10">
        <v>10</v>
      </c>
      <c r="AF1231" s="10">
        <v>11.1</v>
      </c>
      <c r="AG1231" s="9" t="s">
        <v>349</v>
      </c>
      <c r="AH1231" s="10"/>
      <c r="AI1231" s="10"/>
      <c r="AJ1231" s="10"/>
      <c r="AK1231" s="30"/>
    </row>
    <row r="1232" spans="5:37">
      <c r="E1232" s="28" t="s">
        <v>155</v>
      </c>
      <c r="F1232" s="8" t="s">
        <v>172</v>
      </c>
      <c r="G1232" s="9" t="s">
        <v>871</v>
      </c>
      <c r="H1232" s="10">
        <v>172</v>
      </c>
      <c r="I1232" s="9" t="s">
        <v>158</v>
      </c>
      <c r="J1232" s="10">
        <v>172</v>
      </c>
      <c r="K1232" s="10">
        <v>171.4</v>
      </c>
      <c r="L1232" s="10">
        <v>151</v>
      </c>
      <c r="M1232" s="10">
        <v>160</v>
      </c>
      <c r="N1232" s="10">
        <v>118</v>
      </c>
      <c r="O1232" s="10">
        <v>69</v>
      </c>
      <c r="P1232" s="10">
        <v>100</v>
      </c>
      <c r="Q1232" s="10">
        <v>16.399999999999999</v>
      </c>
      <c r="R1232" s="10">
        <v>2051</v>
      </c>
      <c r="S1232" s="10">
        <v>0.7</v>
      </c>
      <c r="T1232" s="10">
        <v>1435</v>
      </c>
      <c r="U1232" s="10">
        <v>263</v>
      </c>
      <c r="V1232" s="10">
        <v>145</v>
      </c>
      <c r="W1232" s="10">
        <v>39</v>
      </c>
      <c r="X1232" s="10">
        <v>147</v>
      </c>
      <c r="Y1232" s="10">
        <v>4</v>
      </c>
      <c r="Z1232" s="10">
        <v>52</v>
      </c>
      <c r="AA1232" s="10">
        <v>0.115</v>
      </c>
      <c r="AB1232" s="10">
        <v>71</v>
      </c>
      <c r="AC1232" s="10">
        <v>44</v>
      </c>
      <c r="AD1232" s="10">
        <v>76</v>
      </c>
      <c r="AE1232" s="10">
        <v>11</v>
      </c>
      <c r="AF1232" s="10">
        <v>11.4</v>
      </c>
      <c r="AG1232" s="9" t="s">
        <v>349</v>
      </c>
      <c r="AH1232" s="10"/>
      <c r="AI1232" s="10"/>
      <c r="AJ1232" s="10"/>
      <c r="AK1232" s="30"/>
    </row>
    <row r="1233" spans="5:37">
      <c r="E1233" s="28" t="s">
        <v>155</v>
      </c>
      <c r="F1233" s="8" t="s">
        <v>172</v>
      </c>
      <c r="G1233" s="9" t="s">
        <v>621</v>
      </c>
      <c r="H1233" s="10">
        <v>167</v>
      </c>
      <c r="I1233" s="9" t="s">
        <v>158</v>
      </c>
      <c r="J1233" s="10">
        <v>167</v>
      </c>
      <c r="K1233" s="10">
        <v>167.5</v>
      </c>
      <c r="L1233" s="10">
        <v>147</v>
      </c>
      <c r="M1233" s="10">
        <v>154</v>
      </c>
      <c r="N1233" s="10">
        <v>122</v>
      </c>
      <c r="O1233" s="10">
        <v>73</v>
      </c>
      <c r="P1233" s="10">
        <v>108</v>
      </c>
      <c r="Q1233" s="10">
        <v>13.9</v>
      </c>
      <c r="R1233" s="10">
        <v>1803</v>
      </c>
      <c r="S1233" s="10">
        <v>0.83</v>
      </c>
      <c r="T1233" s="10">
        <v>1491</v>
      </c>
      <c r="U1233" s="10">
        <v>209</v>
      </c>
      <c r="V1233" s="10">
        <v>85</v>
      </c>
      <c r="W1233" s="10">
        <v>39</v>
      </c>
      <c r="X1233" s="10">
        <v>141</v>
      </c>
      <c r="Y1233" s="10">
        <v>4</v>
      </c>
      <c r="Z1233" s="10">
        <v>66</v>
      </c>
      <c r="AA1233" s="10">
        <v>0.111</v>
      </c>
      <c r="AB1233" s="10">
        <v>79</v>
      </c>
      <c r="AC1233" s="10">
        <v>59</v>
      </c>
      <c r="AD1233" s="10">
        <v>63</v>
      </c>
      <c r="AE1233" s="10">
        <v>11</v>
      </c>
      <c r="AF1233" s="10">
        <v>10.5</v>
      </c>
      <c r="AG1233" s="9" t="s">
        <v>349</v>
      </c>
      <c r="AH1233" s="10"/>
      <c r="AI1233" s="10"/>
      <c r="AJ1233" s="10"/>
      <c r="AK1233" s="30"/>
    </row>
    <row r="1234" spans="5:37">
      <c r="E1234" s="28" t="s">
        <v>155</v>
      </c>
      <c r="F1234" s="8" t="s">
        <v>172</v>
      </c>
      <c r="G1234" s="9" t="s">
        <v>621</v>
      </c>
      <c r="H1234" s="10">
        <v>175</v>
      </c>
      <c r="I1234" s="9" t="s">
        <v>158</v>
      </c>
      <c r="J1234" s="10">
        <v>175</v>
      </c>
      <c r="K1234" s="10">
        <v>174.4</v>
      </c>
      <c r="L1234" s="10">
        <v>148</v>
      </c>
      <c r="M1234" s="10">
        <v>161</v>
      </c>
      <c r="N1234" s="10">
        <v>122</v>
      </c>
      <c r="O1234" s="10">
        <v>73</v>
      </c>
      <c r="P1234" s="10">
        <v>108</v>
      </c>
      <c r="Q1234" s="10">
        <v>15.2</v>
      </c>
      <c r="R1234" s="10">
        <v>1895</v>
      </c>
      <c r="S1234" s="10">
        <v>0.82</v>
      </c>
      <c r="T1234" s="10">
        <v>1550</v>
      </c>
      <c r="U1234" s="10">
        <v>233</v>
      </c>
      <c r="V1234" s="10">
        <v>87</v>
      </c>
      <c r="W1234" s="10">
        <v>40</v>
      </c>
      <c r="X1234" s="10">
        <v>196</v>
      </c>
      <c r="Y1234" s="10">
        <v>4</v>
      </c>
      <c r="Z1234" s="10">
        <v>66</v>
      </c>
      <c r="AA1234" s="10">
        <v>0.109</v>
      </c>
      <c r="AB1234" s="10">
        <v>73</v>
      </c>
      <c r="AC1234" s="10">
        <v>60</v>
      </c>
      <c r="AD1234" s="10">
        <v>122</v>
      </c>
      <c r="AE1234" s="10">
        <v>10</v>
      </c>
      <c r="AF1234" s="10">
        <v>10.199999999999999</v>
      </c>
      <c r="AG1234" s="9" t="s">
        <v>349</v>
      </c>
      <c r="AH1234" s="10"/>
      <c r="AI1234" s="10"/>
      <c r="AJ1234" s="10"/>
      <c r="AK1234" s="30"/>
    </row>
    <row r="1235" spans="5:37">
      <c r="E1235" s="28" t="s">
        <v>155</v>
      </c>
      <c r="F1235" s="8" t="s">
        <v>172</v>
      </c>
      <c r="G1235" s="9" t="s">
        <v>676</v>
      </c>
      <c r="H1235" s="10">
        <v>159</v>
      </c>
      <c r="I1235" s="9" t="s">
        <v>158</v>
      </c>
      <c r="J1235" s="10">
        <v>159</v>
      </c>
      <c r="K1235" s="10">
        <v>158.6</v>
      </c>
      <c r="L1235" s="10">
        <v>135</v>
      </c>
      <c r="M1235" s="10">
        <v>145</v>
      </c>
      <c r="N1235" s="10">
        <v>122</v>
      </c>
      <c r="O1235" s="10">
        <v>73</v>
      </c>
      <c r="P1235" s="10">
        <v>109</v>
      </c>
      <c r="Q1235" s="10">
        <v>12.2</v>
      </c>
      <c r="R1235" s="10">
        <v>1687</v>
      </c>
      <c r="S1235" s="10">
        <v>0.84</v>
      </c>
      <c r="T1235" s="10">
        <v>1412</v>
      </c>
      <c r="U1235" s="10">
        <v>184</v>
      </c>
      <c r="V1235" s="10">
        <v>74</v>
      </c>
      <c r="W1235" s="10">
        <v>41</v>
      </c>
      <c r="X1235" s="10">
        <v>170</v>
      </c>
      <c r="Y1235" s="10">
        <v>4</v>
      </c>
      <c r="Z1235" s="10">
        <v>65</v>
      </c>
      <c r="AA1235" s="10">
        <v>0.104</v>
      </c>
      <c r="AB1235" s="10">
        <v>79</v>
      </c>
      <c r="AC1235" s="10">
        <v>61</v>
      </c>
      <c r="AD1235" s="10">
        <v>91</v>
      </c>
      <c r="AE1235" s="10">
        <v>11</v>
      </c>
      <c r="AF1235" s="10">
        <v>10.199999999999999</v>
      </c>
      <c r="AG1235" s="9" t="s">
        <v>349</v>
      </c>
      <c r="AH1235" s="10"/>
      <c r="AI1235" s="10"/>
      <c r="AJ1235" s="10"/>
      <c r="AK1235" s="30"/>
    </row>
    <row r="1236" spans="5:37">
      <c r="E1236" s="28" t="s">
        <v>155</v>
      </c>
      <c r="F1236" s="8" t="s">
        <v>172</v>
      </c>
      <c r="G1236" s="9" t="s">
        <v>676</v>
      </c>
      <c r="H1236" s="10">
        <v>167</v>
      </c>
      <c r="I1236" s="9" t="s">
        <v>158</v>
      </c>
      <c r="J1236" s="10">
        <v>167</v>
      </c>
      <c r="K1236" s="10">
        <v>167.5</v>
      </c>
      <c r="L1236" s="10">
        <v>147</v>
      </c>
      <c r="M1236" s="10">
        <v>154</v>
      </c>
      <c r="N1236" s="10">
        <v>122</v>
      </c>
      <c r="O1236" s="10">
        <v>73</v>
      </c>
      <c r="P1236" s="10">
        <v>108</v>
      </c>
      <c r="Q1236" s="10">
        <v>14</v>
      </c>
      <c r="R1236" s="10">
        <v>1813</v>
      </c>
      <c r="S1236" s="10">
        <v>0.82</v>
      </c>
      <c r="T1236" s="10">
        <v>1492</v>
      </c>
      <c r="U1236" s="10">
        <v>198</v>
      </c>
      <c r="V1236" s="10">
        <v>74</v>
      </c>
      <c r="W1236" s="10">
        <v>38</v>
      </c>
      <c r="X1236" s="10">
        <v>136</v>
      </c>
      <c r="Y1236" s="10">
        <v>5</v>
      </c>
      <c r="Z1236" s="10">
        <v>68</v>
      </c>
      <c r="AA1236" s="10">
        <v>0.13100000000000001</v>
      </c>
      <c r="AB1236" s="10">
        <v>79</v>
      </c>
      <c r="AC1236" s="10">
        <v>59</v>
      </c>
      <c r="AD1236" s="10">
        <v>57</v>
      </c>
      <c r="AE1236" s="10">
        <v>10</v>
      </c>
      <c r="AF1236" s="10">
        <v>10.199999999999999</v>
      </c>
      <c r="AG1236" s="9" t="s">
        <v>349</v>
      </c>
      <c r="AH1236" s="10"/>
      <c r="AI1236" s="10"/>
      <c r="AJ1236" s="10"/>
      <c r="AK1236" s="30"/>
    </row>
    <row r="1237" spans="5:37">
      <c r="E1237" s="28" t="s">
        <v>155</v>
      </c>
      <c r="F1237" s="8" t="s">
        <v>172</v>
      </c>
      <c r="G1237" s="9" t="s">
        <v>676</v>
      </c>
      <c r="H1237" s="10">
        <v>175</v>
      </c>
      <c r="I1237" s="9" t="s">
        <v>158</v>
      </c>
      <c r="J1237" s="10">
        <v>175</v>
      </c>
      <c r="K1237" s="10">
        <v>174.6</v>
      </c>
      <c r="L1237" s="10">
        <v>154</v>
      </c>
      <c r="M1237" s="10">
        <v>161</v>
      </c>
      <c r="N1237" s="10">
        <v>122</v>
      </c>
      <c r="O1237" s="10">
        <v>73</v>
      </c>
      <c r="P1237" s="10">
        <v>108</v>
      </c>
      <c r="Q1237" s="10">
        <v>15.3</v>
      </c>
      <c r="R1237" s="10">
        <v>1880</v>
      </c>
      <c r="S1237" s="10">
        <v>0.82</v>
      </c>
      <c r="T1237" s="10">
        <v>1542</v>
      </c>
      <c r="U1237" s="10">
        <v>222</v>
      </c>
      <c r="V1237" s="10">
        <v>93</v>
      </c>
      <c r="W1237" s="10">
        <v>37</v>
      </c>
      <c r="X1237" s="10">
        <v>137</v>
      </c>
      <c r="Y1237" s="10">
        <v>5</v>
      </c>
      <c r="Z1237" s="10">
        <v>67</v>
      </c>
      <c r="AA1237" s="10">
        <v>0.13</v>
      </c>
      <c r="AB1237" s="10">
        <v>75</v>
      </c>
      <c r="AC1237" s="10">
        <v>62</v>
      </c>
      <c r="AD1237" s="10">
        <v>62</v>
      </c>
      <c r="AE1237" s="10">
        <v>11</v>
      </c>
      <c r="AF1237" s="10">
        <v>10.3</v>
      </c>
      <c r="AG1237" s="9" t="s">
        <v>349</v>
      </c>
      <c r="AH1237" s="10"/>
      <c r="AI1237" s="10"/>
      <c r="AJ1237" s="10"/>
      <c r="AK1237" s="30"/>
    </row>
    <row r="1238" spans="5:37">
      <c r="E1238" s="28" t="s">
        <v>155</v>
      </c>
      <c r="F1238" s="8" t="s">
        <v>172</v>
      </c>
      <c r="G1238" s="9" t="s">
        <v>653</v>
      </c>
      <c r="H1238" s="10">
        <v>160</v>
      </c>
      <c r="I1238" s="9" t="s">
        <v>158</v>
      </c>
      <c r="J1238" s="10">
        <v>160</v>
      </c>
      <c r="K1238" s="10">
        <v>159.69999999999999</v>
      </c>
      <c r="L1238" s="10">
        <v>140</v>
      </c>
      <c r="M1238" s="10">
        <v>144</v>
      </c>
      <c r="N1238" s="10">
        <v>128</v>
      </c>
      <c r="O1238" s="10">
        <v>76</v>
      </c>
      <c r="P1238" s="10">
        <v>108</v>
      </c>
      <c r="Q1238" s="10">
        <v>12.1</v>
      </c>
      <c r="R1238" s="10">
        <v>1969</v>
      </c>
      <c r="S1238" s="10">
        <v>0.75</v>
      </c>
      <c r="T1238" s="10">
        <v>1471</v>
      </c>
      <c r="U1238" s="10">
        <v>187</v>
      </c>
      <c r="V1238" s="10">
        <v>91</v>
      </c>
      <c r="W1238" s="10">
        <v>39</v>
      </c>
      <c r="X1238" s="10">
        <v>137</v>
      </c>
      <c r="Y1238" s="10">
        <v>5</v>
      </c>
      <c r="Z1238" s="10">
        <v>65</v>
      </c>
      <c r="AA1238" s="10">
        <v>0.11899999999999999</v>
      </c>
      <c r="AB1238" s="10">
        <v>91</v>
      </c>
      <c r="AC1238" s="10">
        <v>63</v>
      </c>
      <c r="AD1238" s="10">
        <v>46</v>
      </c>
      <c r="AE1238" s="10">
        <v>12</v>
      </c>
      <c r="AF1238" s="10">
        <v>10</v>
      </c>
      <c r="AG1238" s="9" t="s">
        <v>349</v>
      </c>
      <c r="AH1238" s="10"/>
      <c r="AI1238" s="10"/>
      <c r="AJ1238" s="10"/>
      <c r="AK1238" s="30"/>
    </row>
    <row r="1239" spans="5:37">
      <c r="E1239" s="28" t="s">
        <v>155</v>
      </c>
      <c r="F1239" s="8" t="s">
        <v>172</v>
      </c>
      <c r="G1239" s="9" t="s">
        <v>653</v>
      </c>
      <c r="H1239" s="10">
        <v>167</v>
      </c>
      <c r="I1239" s="9" t="s">
        <v>158</v>
      </c>
      <c r="J1239" s="10">
        <v>167</v>
      </c>
      <c r="K1239" s="10">
        <v>166.3</v>
      </c>
      <c r="L1239" s="10">
        <v>145</v>
      </c>
      <c r="M1239" s="10">
        <v>151</v>
      </c>
      <c r="N1239" s="10">
        <v>128</v>
      </c>
      <c r="O1239" s="10">
        <v>76</v>
      </c>
      <c r="P1239" s="10">
        <v>108</v>
      </c>
      <c r="Q1239" s="10">
        <v>13.4</v>
      </c>
      <c r="R1239" s="10">
        <v>2051</v>
      </c>
      <c r="S1239" s="10">
        <v>0.74</v>
      </c>
      <c r="T1239" s="10">
        <v>1528</v>
      </c>
      <c r="U1239" s="10">
        <v>212</v>
      </c>
      <c r="V1239" s="10">
        <v>92</v>
      </c>
      <c r="W1239" s="10">
        <v>40</v>
      </c>
      <c r="X1239" s="10">
        <v>145</v>
      </c>
      <c r="Y1239" s="10">
        <v>4</v>
      </c>
      <c r="Z1239" s="10">
        <v>63</v>
      </c>
      <c r="AA1239" s="10">
        <v>0.10299999999999999</v>
      </c>
      <c r="AB1239" s="10">
        <v>90</v>
      </c>
      <c r="AC1239" s="10">
        <v>61</v>
      </c>
      <c r="AD1239" s="10">
        <v>55</v>
      </c>
      <c r="AE1239" s="10">
        <v>13</v>
      </c>
      <c r="AF1239" s="10">
        <v>10.1</v>
      </c>
      <c r="AG1239" s="9" t="s">
        <v>349</v>
      </c>
      <c r="AH1239" s="10"/>
      <c r="AI1239" s="10"/>
      <c r="AJ1239" s="10"/>
      <c r="AK1239" s="30"/>
    </row>
    <row r="1240" spans="5:37">
      <c r="E1240" s="28" t="s">
        <v>155</v>
      </c>
      <c r="F1240" s="8" t="s">
        <v>172</v>
      </c>
      <c r="G1240" s="9" t="s">
        <v>653</v>
      </c>
      <c r="H1240" s="10">
        <v>174</v>
      </c>
      <c r="I1240" s="9" t="s">
        <v>158</v>
      </c>
      <c r="J1240" s="10">
        <v>174</v>
      </c>
      <c r="K1240" s="10">
        <v>173.6</v>
      </c>
      <c r="L1240" s="10">
        <v>153</v>
      </c>
      <c r="M1240" s="10">
        <v>159</v>
      </c>
      <c r="N1240" s="10">
        <v>128</v>
      </c>
      <c r="O1240" s="10">
        <v>76</v>
      </c>
      <c r="P1240" s="10">
        <v>108</v>
      </c>
      <c r="Q1240" s="10">
        <v>14.6</v>
      </c>
      <c r="R1240" s="10">
        <v>2198</v>
      </c>
      <c r="S1240" s="10">
        <v>0.73</v>
      </c>
      <c r="T1240" s="10">
        <v>1595</v>
      </c>
      <c r="U1240" s="10">
        <v>239</v>
      </c>
      <c r="V1240" s="10">
        <v>103</v>
      </c>
      <c r="W1240" s="10">
        <v>38</v>
      </c>
      <c r="X1240" s="10">
        <v>141</v>
      </c>
      <c r="Y1240" s="10">
        <v>4</v>
      </c>
      <c r="Z1240" s="10">
        <v>64</v>
      </c>
      <c r="AA1240" s="10">
        <v>0.115</v>
      </c>
      <c r="AB1240" s="10">
        <v>85</v>
      </c>
      <c r="AC1240" s="10">
        <v>64</v>
      </c>
      <c r="AD1240" s="10">
        <v>56</v>
      </c>
      <c r="AE1240" s="10">
        <v>14</v>
      </c>
      <c r="AF1240" s="10">
        <v>10.1</v>
      </c>
      <c r="AG1240" s="9" t="s">
        <v>349</v>
      </c>
      <c r="AH1240" s="10"/>
      <c r="AI1240" s="10"/>
      <c r="AJ1240" s="10"/>
      <c r="AK1240" s="30"/>
    </row>
    <row r="1241" spans="5:37">
      <c r="E1241" s="28" t="s">
        <v>155</v>
      </c>
      <c r="F1241" s="8" t="s">
        <v>172</v>
      </c>
      <c r="G1241" s="9" t="s">
        <v>746</v>
      </c>
      <c r="H1241" s="10">
        <v>162</v>
      </c>
      <c r="I1241" s="9" t="s">
        <v>158</v>
      </c>
      <c r="J1241" s="10">
        <v>162</v>
      </c>
      <c r="K1241" s="10">
        <v>160.6</v>
      </c>
      <c r="L1241" s="10">
        <v>140</v>
      </c>
      <c r="M1241" s="10">
        <v>146</v>
      </c>
      <c r="N1241" s="10">
        <v>121</v>
      </c>
      <c r="O1241" s="10">
        <v>67</v>
      </c>
      <c r="P1241" s="10">
        <v>102</v>
      </c>
      <c r="Q1241" s="10">
        <v>11.6</v>
      </c>
      <c r="R1241" s="10">
        <v>1904</v>
      </c>
      <c r="S1241" s="10">
        <v>0.71</v>
      </c>
      <c r="T1241" s="10">
        <v>1351</v>
      </c>
      <c r="U1241" s="10">
        <v>199</v>
      </c>
      <c r="V1241" s="10">
        <v>87</v>
      </c>
      <c r="W1241" s="10">
        <v>40</v>
      </c>
      <c r="X1241" s="10">
        <v>141</v>
      </c>
      <c r="Y1241" s="10">
        <v>4</v>
      </c>
      <c r="Z1241" s="10">
        <v>65</v>
      </c>
      <c r="AA1241" s="10">
        <v>0.104</v>
      </c>
      <c r="AB1241" s="10">
        <v>79</v>
      </c>
      <c r="AC1241" s="10">
        <v>63</v>
      </c>
      <c r="AD1241" s="10">
        <v>62</v>
      </c>
      <c r="AE1241" s="10">
        <v>12</v>
      </c>
      <c r="AF1241" s="10">
        <v>8.9</v>
      </c>
      <c r="AG1241" s="9" t="s">
        <v>349</v>
      </c>
      <c r="AH1241" s="10"/>
      <c r="AI1241" s="10"/>
      <c r="AJ1241" s="10"/>
      <c r="AK1241" s="30"/>
    </row>
    <row r="1242" spans="5:37">
      <c r="E1242" s="28" t="s">
        <v>155</v>
      </c>
      <c r="F1242" s="8" t="s">
        <v>172</v>
      </c>
      <c r="G1242" s="9" t="s">
        <v>746</v>
      </c>
      <c r="H1242" s="10">
        <v>167</v>
      </c>
      <c r="I1242" s="9" t="s">
        <v>158</v>
      </c>
      <c r="J1242" s="10">
        <v>167</v>
      </c>
      <c r="K1242" s="10">
        <v>165.5</v>
      </c>
      <c r="L1242" s="10">
        <v>143</v>
      </c>
      <c r="M1242" s="10">
        <v>151</v>
      </c>
      <c r="N1242" s="10">
        <v>122</v>
      </c>
      <c r="O1242" s="10">
        <v>67</v>
      </c>
      <c r="P1242" s="10">
        <v>103</v>
      </c>
      <c r="Q1242" s="10">
        <v>12.4</v>
      </c>
      <c r="R1242" s="10">
        <v>1963</v>
      </c>
      <c r="S1242" s="10">
        <v>0.71</v>
      </c>
      <c r="T1242" s="10">
        <v>1399</v>
      </c>
      <c r="U1242" s="10">
        <v>209</v>
      </c>
      <c r="V1242" s="10">
        <v>86</v>
      </c>
      <c r="W1242" s="10">
        <v>40</v>
      </c>
      <c r="X1242" s="10">
        <v>157</v>
      </c>
      <c r="Y1242" s="10">
        <v>5</v>
      </c>
      <c r="Z1242" s="10">
        <v>70</v>
      </c>
      <c r="AA1242" s="10">
        <v>0.129</v>
      </c>
      <c r="AB1242" s="10">
        <v>76</v>
      </c>
      <c r="AC1242" s="10">
        <v>66</v>
      </c>
      <c r="AD1242" s="10">
        <v>81</v>
      </c>
      <c r="AE1242" s="10">
        <v>12</v>
      </c>
      <c r="AF1242" s="10">
        <v>10.5</v>
      </c>
      <c r="AG1242" s="9" t="s">
        <v>349</v>
      </c>
      <c r="AH1242" s="10"/>
      <c r="AI1242" s="10"/>
      <c r="AJ1242" s="10"/>
      <c r="AK1242" s="30"/>
    </row>
    <row r="1243" spans="5:37">
      <c r="E1243" s="28" t="s">
        <v>155</v>
      </c>
      <c r="F1243" s="8" t="s">
        <v>172</v>
      </c>
      <c r="G1243" s="9" t="s">
        <v>746</v>
      </c>
      <c r="H1243" s="10">
        <v>172</v>
      </c>
      <c r="I1243" s="9" t="s">
        <v>158</v>
      </c>
      <c r="J1243" s="10">
        <v>172</v>
      </c>
      <c r="K1243" s="10">
        <v>170.5</v>
      </c>
      <c r="L1243" s="10">
        <v>150</v>
      </c>
      <c r="M1243" s="10">
        <v>157</v>
      </c>
      <c r="N1243" s="10">
        <v>121</v>
      </c>
      <c r="O1243" s="10">
        <v>66</v>
      </c>
      <c r="P1243" s="10">
        <v>102</v>
      </c>
      <c r="Q1243" s="10">
        <v>13.3</v>
      </c>
      <c r="R1243" s="10">
        <v>2064</v>
      </c>
      <c r="S1243" s="10">
        <v>0.69</v>
      </c>
      <c r="T1243" s="10">
        <v>1425</v>
      </c>
      <c r="U1243" s="10">
        <v>229</v>
      </c>
      <c r="V1243" s="10">
        <v>103</v>
      </c>
      <c r="W1243" s="10">
        <v>40</v>
      </c>
      <c r="X1243" s="10">
        <v>141</v>
      </c>
      <c r="Y1243" s="10">
        <v>4</v>
      </c>
      <c r="Z1243" s="10">
        <v>64</v>
      </c>
      <c r="AA1243" s="10">
        <v>0.11</v>
      </c>
      <c r="AB1243" s="10">
        <v>76</v>
      </c>
      <c r="AC1243" s="10">
        <v>63</v>
      </c>
      <c r="AD1243" s="10">
        <v>65</v>
      </c>
      <c r="AE1243" s="10">
        <v>13</v>
      </c>
      <c r="AF1243" s="10">
        <v>11.1</v>
      </c>
      <c r="AG1243" s="9" t="s">
        <v>349</v>
      </c>
      <c r="AH1243" s="10"/>
      <c r="AI1243" s="10"/>
      <c r="AJ1243" s="10"/>
      <c r="AK1243" s="30"/>
    </row>
    <row r="1244" spans="5:37">
      <c r="E1244" s="28" t="s">
        <v>155</v>
      </c>
      <c r="F1244" s="8" t="s">
        <v>172</v>
      </c>
      <c r="G1244" s="9" t="s">
        <v>751</v>
      </c>
      <c r="H1244" s="10">
        <v>157</v>
      </c>
      <c r="I1244" s="9" t="s">
        <v>158</v>
      </c>
      <c r="J1244" s="10">
        <v>157</v>
      </c>
      <c r="K1244" s="10">
        <v>155.4</v>
      </c>
      <c r="L1244" s="10">
        <v>135</v>
      </c>
      <c r="M1244" s="10">
        <v>142</v>
      </c>
      <c r="N1244" s="10">
        <v>121</v>
      </c>
      <c r="O1244" s="10">
        <v>67</v>
      </c>
      <c r="P1244" s="10">
        <v>102</v>
      </c>
      <c r="Q1244" s="10">
        <v>10.8</v>
      </c>
      <c r="R1244" s="10">
        <v>2008</v>
      </c>
      <c r="S1244" s="10">
        <v>0.65</v>
      </c>
      <c r="T1244" s="10">
        <v>1308</v>
      </c>
      <c r="U1244" s="10">
        <v>187</v>
      </c>
      <c r="V1244" s="10">
        <v>93</v>
      </c>
      <c r="W1244" s="10">
        <v>39</v>
      </c>
      <c r="X1244" s="10">
        <v>137</v>
      </c>
      <c r="Y1244" s="10">
        <v>4</v>
      </c>
      <c r="Z1244" s="10">
        <v>66</v>
      </c>
      <c r="AA1244" s="10">
        <v>0.114</v>
      </c>
      <c r="AB1244" s="10">
        <v>74</v>
      </c>
      <c r="AC1244" s="10">
        <v>62</v>
      </c>
      <c r="AD1244" s="10">
        <v>64</v>
      </c>
      <c r="AE1244" s="10">
        <v>11</v>
      </c>
      <c r="AF1244" s="10">
        <v>8.1</v>
      </c>
      <c r="AG1244" s="9" t="s">
        <v>349</v>
      </c>
      <c r="AH1244" s="10"/>
      <c r="AI1244" s="10"/>
      <c r="AJ1244" s="10"/>
      <c r="AK1244" s="30"/>
    </row>
    <row r="1245" spans="5:37">
      <c r="E1245" s="28" t="s">
        <v>155</v>
      </c>
      <c r="F1245" s="8" t="s">
        <v>172</v>
      </c>
      <c r="G1245" s="9" t="s">
        <v>751</v>
      </c>
      <c r="H1245" s="10">
        <v>162</v>
      </c>
      <c r="I1245" s="9" t="s">
        <v>158</v>
      </c>
      <c r="J1245" s="10">
        <v>162</v>
      </c>
      <c r="K1245" s="10">
        <v>160.6</v>
      </c>
      <c r="L1245" s="10">
        <v>140</v>
      </c>
      <c r="M1245" s="10">
        <v>146</v>
      </c>
      <c r="N1245" s="10">
        <v>121</v>
      </c>
      <c r="O1245" s="10">
        <v>67</v>
      </c>
      <c r="P1245" s="10">
        <v>102</v>
      </c>
      <c r="Q1245" s="10">
        <v>11.6</v>
      </c>
      <c r="R1245" s="10">
        <v>2056</v>
      </c>
      <c r="S1245" s="10">
        <v>0.66</v>
      </c>
      <c r="T1245" s="10">
        <v>1348</v>
      </c>
      <c r="U1245" s="10">
        <v>197</v>
      </c>
      <c r="V1245" s="10">
        <v>90</v>
      </c>
      <c r="W1245" s="10">
        <v>39</v>
      </c>
      <c r="X1245" s="10">
        <v>137</v>
      </c>
      <c r="Y1245" s="10">
        <v>4</v>
      </c>
      <c r="Z1245" s="10">
        <v>65</v>
      </c>
      <c r="AA1245" s="10">
        <v>0.111</v>
      </c>
      <c r="AB1245" s="10">
        <v>78</v>
      </c>
      <c r="AC1245" s="10">
        <v>63</v>
      </c>
      <c r="AD1245" s="10">
        <v>59</v>
      </c>
      <c r="AE1245" s="10">
        <v>13</v>
      </c>
      <c r="AF1245" s="10">
        <v>8.9</v>
      </c>
      <c r="AG1245" s="9" t="s">
        <v>349</v>
      </c>
      <c r="AH1245" s="10"/>
      <c r="AI1245" s="10"/>
      <c r="AJ1245" s="10"/>
      <c r="AK1245" s="30"/>
    </row>
    <row r="1246" spans="5:37">
      <c r="E1246" s="28" t="s">
        <v>155</v>
      </c>
      <c r="F1246" s="8" t="s">
        <v>172</v>
      </c>
      <c r="G1246" s="9" t="s">
        <v>875</v>
      </c>
      <c r="H1246" s="10">
        <v>169</v>
      </c>
      <c r="I1246" s="9" t="s">
        <v>158</v>
      </c>
      <c r="J1246" s="10">
        <v>169</v>
      </c>
      <c r="K1246" s="10">
        <v>168.5</v>
      </c>
      <c r="L1246" s="10">
        <v>151</v>
      </c>
      <c r="M1246" s="10">
        <v>162</v>
      </c>
      <c r="N1246" s="10">
        <v>114</v>
      </c>
      <c r="O1246" s="10">
        <v>69</v>
      </c>
      <c r="P1246" s="10">
        <v>97</v>
      </c>
      <c r="Q1246" s="10">
        <v>17.7</v>
      </c>
      <c r="R1246" s="10">
        <v>2109</v>
      </c>
      <c r="S1246" s="10">
        <v>0.65</v>
      </c>
      <c r="T1246" s="10">
        <v>1378</v>
      </c>
      <c r="U1246" s="10">
        <v>236</v>
      </c>
      <c r="V1246" s="10">
        <v>138</v>
      </c>
      <c r="W1246" s="10">
        <v>32</v>
      </c>
      <c r="X1246" s="10">
        <v>119</v>
      </c>
      <c r="Y1246" s="10">
        <v>5</v>
      </c>
      <c r="Z1246" s="10">
        <v>60</v>
      </c>
      <c r="AA1246" s="10">
        <v>0.16700000000000001</v>
      </c>
      <c r="AB1246" s="10">
        <v>29</v>
      </c>
      <c r="AC1246" s="10">
        <v>40</v>
      </c>
      <c r="AD1246" s="10">
        <v>90</v>
      </c>
      <c r="AE1246" s="10">
        <v>10</v>
      </c>
      <c r="AF1246" s="10">
        <v>8.1999999999999993</v>
      </c>
      <c r="AG1246" s="9" t="s">
        <v>349</v>
      </c>
      <c r="AH1246" s="10"/>
      <c r="AI1246" s="10"/>
      <c r="AJ1246" s="10"/>
      <c r="AK1246" s="30"/>
    </row>
    <row r="1247" spans="5:37">
      <c r="E1247" s="28" t="s">
        <v>155</v>
      </c>
      <c r="F1247" s="8" t="s">
        <v>172</v>
      </c>
      <c r="G1247" s="9" t="s">
        <v>905</v>
      </c>
      <c r="H1247" s="10">
        <v>173</v>
      </c>
      <c r="I1247" s="9" t="s">
        <v>158</v>
      </c>
      <c r="J1247" s="10">
        <v>173</v>
      </c>
      <c r="K1247" s="10">
        <v>172.3</v>
      </c>
      <c r="L1247" s="10">
        <v>156</v>
      </c>
      <c r="M1247" s="10">
        <v>164</v>
      </c>
      <c r="N1247" s="10">
        <v>113</v>
      </c>
      <c r="O1247" s="10">
        <v>69</v>
      </c>
      <c r="P1247" s="10">
        <v>97</v>
      </c>
      <c r="Q1247" s="10">
        <v>18.3</v>
      </c>
      <c r="R1247" s="10">
        <v>2175</v>
      </c>
      <c r="S1247" s="10">
        <v>0.65</v>
      </c>
      <c r="T1247" s="10">
        <v>1413</v>
      </c>
      <c r="U1247" s="10">
        <v>249</v>
      </c>
      <c r="V1247" s="10">
        <v>143</v>
      </c>
      <c r="W1247" s="10">
        <v>30</v>
      </c>
      <c r="X1247" s="10">
        <v>111</v>
      </c>
      <c r="Y1247" s="10">
        <v>4</v>
      </c>
      <c r="Z1247" s="10">
        <v>54</v>
      </c>
      <c r="AA1247" s="10">
        <v>0.14799999999999999</v>
      </c>
      <c r="AB1247" s="10">
        <v>41</v>
      </c>
      <c r="AC1247" s="10">
        <v>45</v>
      </c>
      <c r="AD1247" s="10">
        <v>70</v>
      </c>
      <c r="AE1247" s="10">
        <v>14</v>
      </c>
      <c r="AF1247" s="10">
        <v>8.3000000000000007</v>
      </c>
      <c r="AG1247" s="9" t="s">
        <v>349</v>
      </c>
      <c r="AH1247" s="10"/>
      <c r="AI1247" s="10"/>
      <c r="AJ1247" s="10"/>
      <c r="AK1247" s="30"/>
    </row>
    <row r="1248" spans="5:37">
      <c r="E1248" s="28" t="s">
        <v>155</v>
      </c>
      <c r="F1248" s="8" t="s">
        <v>172</v>
      </c>
      <c r="G1248" s="9" t="s">
        <v>909</v>
      </c>
      <c r="H1248" s="10">
        <v>179</v>
      </c>
      <c r="I1248" s="9" t="s">
        <v>158</v>
      </c>
      <c r="J1248" s="10">
        <v>179</v>
      </c>
      <c r="K1248" s="10">
        <v>177.8</v>
      </c>
      <c r="L1248" s="10">
        <v>160</v>
      </c>
      <c r="M1248" s="10">
        <v>171</v>
      </c>
      <c r="N1248" s="10">
        <v>114</v>
      </c>
      <c r="O1248" s="10">
        <v>69</v>
      </c>
      <c r="P1248" s="10">
        <v>96</v>
      </c>
      <c r="Q1248" s="10">
        <v>20.2</v>
      </c>
      <c r="R1248" s="10">
        <v>2241</v>
      </c>
      <c r="S1248" s="10">
        <v>0.65</v>
      </c>
      <c r="T1248" s="10">
        <v>1447</v>
      </c>
      <c r="U1248" s="10">
        <v>271</v>
      </c>
      <c r="V1248" s="10">
        <v>164</v>
      </c>
      <c r="W1248" s="10">
        <v>31</v>
      </c>
      <c r="X1248" s="10">
        <v>121</v>
      </c>
      <c r="Y1248" s="10">
        <v>5</v>
      </c>
      <c r="Z1248" s="10">
        <v>58</v>
      </c>
      <c r="AA1248" s="10">
        <v>0.156</v>
      </c>
      <c r="AB1248" s="10">
        <v>30</v>
      </c>
      <c r="AC1248" s="10">
        <v>35</v>
      </c>
      <c r="AD1248" s="10">
        <v>91</v>
      </c>
      <c r="AE1248" s="10">
        <v>10</v>
      </c>
      <c r="AF1248" s="10">
        <v>8.8000000000000007</v>
      </c>
      <c r="AG1248" s="9" t="s">
        <v>349</v>
      </c>
      <c r="AH1248" s="10"/>
      <c r="AI1248" s="10"/>
      <c r="AJ1248" s="10"/>
      <c r="AK1248" s="30"/>
    </row>
    <row r="1249" spans="5:37">
      <c r="E1249" s="28" t="s">
        <v>155</v>
      </c>
      <c r="F1249" s="8" t="s">
        <v>172</v>
      </c>
      <c r="G1249" s="9" t="s">
        <v>911</v>
      </c>
      <c r="H1249" s="10">
        <v>183</v>
      </c>
      <c r="I1249" s="9" t="s">
        <v>158</v>
      </c>
      <c r="J1249" s="10">
        <v>183</v>
      </c>
      <c r="K1249" s="10">
        <v>183.1</v>
      </c>
      <c r="L1249" s="10">
        <v>166</v>
      </c>
      <c r="M1249" s="10">
        <v>175</v>
      </c>
      <c r="N1249" s="10">
        <v>114</v>
      </c>
      <c r="O1249" s="10">
        <v>70</v>
      </c>
      <c r="P1249" s="10">
        <v>95</v>
      </c>
      <c r="Q1249" s="10">
        <v>22.8</v>
      </c>
      <c r="R1249" s="10">
        <v>2376</v>
      </c>
      <c r="S1249" s="10">
        <v>0.63</v>
      </c>
      <c r="T1249" s="10">
        <v>1500</v>
      </c>
      <c r="U1249" s="10">
        <v>306</v>
      </c>
      <c r="V1249" s="10">
        <v>173</v>
      </c>
      <c r="W1249" s="10">
        <v>31</v>
      </c>
      <c r="X1249" s="10">
        <v>113</v>
      </c>
      <c r="Y1249" s="10">
        <v>5</v>
      </c>
      <c r="Z1249" s="10">
        <v>53</v>
      </c>
      <c r="AA1249" s="10">
        <v>0.153</v>
      </c>
      <c r="AB1249" s="10">
        <v>32</v>
      </c>
      <c r="AC1249" s="10">
        <v>48</v>
      </c>
      <c r="AD1249" s="10">
        <v>82</v>
      </c>
      <c r="AE1249" s="10">
        <v>12</v>
      </c>
      <c r="AF1249" s="10">
        <v>8.9</v>
      </c>
      <c r="AG1249" s="9" t="s">
        <v>349</v>
      </c>
      <c r="AH1249" s="10"/>
      <c r="AI1249" s="10"/>
      <c r="AJ1249" s="10"/>
      <c r="AK1249" s="30"/>
    </row>
    <row r="1250" spans="5:37">
      <c r="E1250" s="28" t="s">
        <v>155</v>
      </c>
      <c r="F1250" s="8" t="s">
        <v>172</v>
      </c>
      <c r="G1250" s="9" t="s">
        <v>460</v>
      </c>
      <c r="H1250" s="10">
        <v>153</v>
      </c>
      <c r="I1250" s="9" t="s">
        <v>163</v>
      </c>
      <c r="J1250" s="10">
        <v>153</v>
      </c>
      <c r="K1250" s="10">
        <v>152.5</v>
      </c>
      <c r="L1250" s="10">
        <v>130</v>
      </c>
      <c r="M1250" s="10">
        <v>139</v>
      </c>
      <c r="N1250" s="10">
        <v>122</v>
      </c>
      <c r="O1250" s="10">
        <v>73</v>
      </c>
      <c r="P1250" s="10">
        <v>108</v>
      </c>
      <c r="Q1250" s="10">
        <v>11.2</v>
      </c>
      <c r="R1250" s="10">
        <v>1630</v>
      </c>
      <c r="S1250" s="10">
        <v>0.83</v>
      </c>
      <c r="T1250" s="10">
        <v>1359</v>
      </c>
      <c r="U1250" s="10">
        <v>180</v>
      </c>
      <c r="V1250" s="10">
        <v>77</v>
      </c>
      <c r="W1250" s="10">
        <v>39</v>
      </c>
      <c r="X1250" s="10">
        <v>149</v>
      </c>
      <c r="Y1250" s="10">
        <v>6</v>
      </c>
      <c r="Z1250" s="10">
        <v>73</v>
      </c>
      <c r="AA1250" s="10">
        <v>0.15</v>
      </c>
      <c r="AB1250" s="10">
        <v>75</v>
      </c>
      <c r="AC1250" s="10">
        <v>63</v>
      </c>
      <c r="AD1250" s="10">
        <v>74</v>
      </c>
      <c r="AE1250" s="10">
        <v>7</v>
      </c>
      <c r="AF1250" s="10">
        <v>9.6</v>
      </c>
      <c r="AG1250" s="9" t="s">
        <v>349</v>
      </c>
      <c r="AH1250" s="10"/>
      <c r="AI1250" s="10"/>
      <c r="AJ1250" s="10"/>
      <c r="AK1250" s="30"/>
    </row>
    <row r="1251" spans="5:37">
      <c r="E1251" s="28" t="s">
        <v>155</v>
      </c>
      <c r="F1251" s="8" t="s">
        <v>172</v>
      </c>
      <c r="G1251" s="9" t="s">
        <v>460</v>
      </c>
      <c r="H1251" s="10">
        <v>160</v>
      </c>
      <c r="I1251" s="9" t="s">
        <v>163</v>
      </c>
      <c r="J1251" s="10">
        <v>160</v>
      </c>
      <c r="K1251" s="10">
        <v>158.69999999999999</v>
      </c>
      <c r="L1251" s="10">
        <v>135</v>
      </c>
      <c r="M1251" s="10">
        <v>145</v>
      </c>
      <c r="N1251" s="10">
        <v>122</v>
      </c>
      <c r="O1251" s="10">
        <v>73</v>
      </c>
      <c r="P1251" s="10">
        <v>108</v>
      </c>
      <c r="Q1251" s="10">
        <v>12.3</v>
      </c>
      <c r="R1251" s="10">
        <v>1660</v>
      </c>
      <c r="S1251" s="10">
        <v>0.85</v>
      </c>
      <c r="T1251" s="10">
        <v>1414</v>
      </c>
      <c r="U1251" s="10">
        <v>171</v>
      </c>
      <c r="V1251" s="10">
        <v>72</v>
      </c>
      <c r="W1251" s="10">
        <v>39</v>
      </c>
      <c r="X1251" s="10">
        <v>169</v>
      </c>
      <c r="Y1251" s="10">
        <v>5</v>
      </c>
      <c r="Z1251" s="10">
        <v>67</v>
      </c>
      <c r="AA1251" s="10">
        <v>0.11899999999999999</v>
      </c>
      <c r="AB1251" s="10">
        <v>80</v>
      </c>
      <c r="AC1251" s="10">
        <v>61</v>
      </c>
      <c r="AD1251" s="10">
        <v>90</v>
      </c>
      <c r="AE1251" s="10">
        <v>9</v>
      </c>
      <c r="AF1251" s="10">
        <v>9.4</v>
      </c>
      <c r="AG1251" s="9" t="s">
        <v>349</v>
      </c>
      <c r="AH1251" s="10"/>
      <c r="AI1251" s="10"/>
      <c r="AJ1251" s="10"/>
      <c r="AK1251" s="30"/>
    </row>
    <row r="1252" spans="5:37">
      <c r="E1252" s="28" t="s">
        <v>155</v>
      </c>
      <c r="F1252" s="8" t="s">
        <v>172</v>
      </c>
      <c r="G1252" s="9" t="s">
        <v>757</v>
      </c>
      <c r="H1252" s="10">
        <v>160</v>
      </c>
      <c r="I1252" s="9" t="s">
        <v>163</v>
      </c>
      <c r="J1252" s="10">
        <v>160</v>
      </c>
      <c r="K1252" s="10">
        <v>158.80000000000001</v>
      </c>
      <c r="L1252" s="10">
        <v>138</v>
      </c>
      <c r="M1252" s="10">
        <v>145</v>
      </c>
      <c r="N1252" s="10">
        <v>122</v>
      </c>
      <c r="O1252" s="10">
        <v>73</v>
      </c>
      <c r="P1252" s="10">
        <v>108</v>
      </c>
      <c r="Q1252" s="10">
        <v>12.4</v>
      </c>
      <c r="R1252" s="10">
        <v>1739</v>
      </c>
      <c r="S1252" s="10">
        <v>0.81</v>
      </c>
      <c r="T1252" s="10">
        <v>1410</v>
      </c>
      <c r="U1252" s="10">
        <v>184</v>
      </c>
      <c r="V1252" s="10">
        <v>77</v>
      </c>
      <c r="W1252" s="10">
        <v>37</v>
      </c>
      <c r="X1252" s="10">
        <v>141</v>
      </c>
      <c r="Y1252" s="10">
        <v>5</v>
      </c>
      <c r="Z1252" s="10">
        <v>65</v>
      </c>
      <c r="AA1252" s="10">
        <v>0.125</v>
      </c>
      <c r="AB1252" s="10">
        <v>81</v>
      </c>
      <c r="AC1252" s="10">
        <v>59</v>
      </c>
      <c r="AD1252" s="10">
        <v>60</v>
      </c>
      <c r="AE1252" s="10">
        <v>9</v>
      </c>
      <c r="AF1252" s="10">
        <v>9.8000000000000007</v>
      </c>
      <c r="AG1252" s="9" t="s">
        <v>349</v>
      </c>
      <c r="AH1252" s="10"/>
      <c r="AI1252" s="10"/>
      <c r="AJ1252" s="10"/>
      <c r="AK1252" s="30"/>
    </row>
    <row r="1253" spans="5:37">
      <c r="E1253" s="28" t="s">
        <v>155</v>
      </c>
      <c r="F1253" s="8" t="s">
        <v>172</v>
      </c>
      <c r="G1253" s="9" t="s">
        <v>770</v>
      </c>
      <c r="H1253" s="10">
        <v>144</v>
      </c>
      <c r="I1253" s="9" t="s">
        <v>163</v>
      </c>
      <c r="J1253" s="10">
        <v>144</v>
      </c>
      <c r="K1253" s="10">
        <v>144.30000000000001</v>
      </c>
      <c r="L1253" s="10">
        <v>124</v>
      </c>
      <c r="M1253" s="10">
        <v>129</v>
      </c>
      <c r="N1253" s="10">
        <v>121</v>
      </c>
      <c r="O1253" s="10">
        <v>74</v>
      </c>
      <c r="P1253" s="10">
        <v>107</v>
      </c>
      <c r="Q1253" s="10">
        <v>10.199999999999999</v>
      </c>
      <c r="R1253" s="10">
        <v>1399</v>
      </c>
      <c r="S1253" s="10">
        <v>0.92</v>
      </c>
      <c r="T1253" s="10">
        <v>1285</v>
      </c>
      <c r="U1253" s="10">
        <v>138</v>
      </c>
      <c r="V1253" s="10">
        <v>46</v>
      </c>
      <c r="W1253" s="10">
        <v>33</v>
      </c>
      <c r="X1253" s="10">
        <v>139</v>
      </c>
      <c r="Y1253" s="10">
        <v>5</v>
      </c>
      <c r="Z1253" s="10">
        <v>68</v>
      </c>
      <c r="AA1253" s="10">
        <v>0.155</v>
      </c>
      <c r="AB1253" s="10">
        <v>78</v>
      </c>
      <c r="AC1253" s="10">
        <v>79</v>
      </c>
      <c r="AD1253" s="10">
        <v>61</v>
      </c>
      <c r="AE1253" s="10">
        <v>8</v>
      </c>
      <c r="AF1253" s="10">
        <v>8</v>
      </c>
      <c r="AG1253" s="9" t="s">
        <v>349</v>
      </c>
      <c r="AH1253" s="9" t="s">
        <v>231</v>
      </c>
      <c r="AI1253" s="10"/>
      <c r="AJ1253" s="10"/>
      <c r="AK1253" s="30"/>
    </row>
    <row r="1254" spans="5:37">
      <c r="E1254" s="28" t="s">
        <v>155</v>
      </c>
      <c r="F1254" s="8" t="s">
        <v>172</v>
      </c>
      <c r="G1254" s="9" t="s">
        <v>770</v>
      </c>
      <c r="H1254" s="10">
        <v>152</v>
      </c>
      <c r="I1254" s="9" t="s">
        <v>163</v>
      </c>
      <c r="J1254" s="10">
        <v>152</v>
      </c>
      <c r="K1254" s="10">
        <v>152.4</v>
      </c>
      <c r="L1254" s="10">
        <v>131</v>
      </c>
      <c r="M1254" s="10">
        <v>136</v>
      </c>
      <c r="N1254" s="10">
        <v>121</v>
      </c>
      <c r="O1254" s="10">
        <v>74</v>
      </c>
      <c r="P1254" s="10">
        <v>107</v>
      </c>
      <c r="Q1254" s="10">
        <v>11.7</v>
      </c>
      <c r="R1254" s="10">
        <v>1433</v>
      </c>
      <c r="S1254" s="10">
        <v>0.95</v>
      </c>
      <c r="T1254" s="10">
        <v>1357</v>
      </c>
      <c r="U1254" s="10">
        <v>134</v>
      </c>
      <c r="V1254" s="10">
        <v>45</v>
      </c>
      <c r="W1254" s="10">
        <v>35</v>
      </c>
      <c r="X1254" s="10">
        <v>143</v>
      </c>
      <c r="Y1254" s="10">
        <v>6</v>
      </c>
      <c r="Z1254" s="10">
        <v>69</v>
      </c>
      <c r="AA1254" s="10">
        <v>0.157</v>
      </c>
      <c r="AB1254" s="10">
        <v>81</v>
      </c>
      <c r="AC1254" s="10">
        <v>79</v>
      </c>
      <c r="AD1254" s="10">
        <v>62</v>
      </c>
      <c r="AE1254" s="10">
        <v>9</v>
      </c>
      <c r="AF1254" s="10">
        <v>8.1</v>
      </c>
      <c r="AG1254" s="9" t="s">
        <v>349</v>
      </c>
      <c r="AH1254" s="9" t="s">
        <v>231</v>
      </c>
      <c r="AI1254" s="10"/>
      <c r="AJ1254" s="10"/>
      <c r="AK1254" s="30"/>
    </row>
    <row r="1255" spans="5:37">
      <c r="E1255" s="28" t="s">
        <v>155</v>
      </c>
      <c r="F1255" s="8" t="s">
        <v>172</v>
      </c>
      <c r="G1255" s="9" t="s">
        <v>770</v>
      </c>
      <c r="H1255" s="10">
        <v>160</v>
      </c>
      <c r="I1255" s="9" t="s">
        <v>163</v>
      </c>
      <c r="J1255" s="10">
        <v>160</v>
      </c>
      <c r="K1255" s="10">
        <v>160.5</v>
      </c>
      <c r="L1255" s="10">
        <v>139</v>
      </c>
      <c r="M1255" s="10">
        <v>145</v>
      </c>
      <c r="N1255" s="10">
        <v>121</v>
      </c>
      <c r="O1255" s="10">
        <v>74</v>
      </c>
      <c r="P1255" s="10">
        <v>107</v>
      </c>
      <c r="Q1255" s="10">
        <v>13</v>
      </c>
      <c r="R1255" s="10">
        <v>1546</v>
      </c>
      <c r="S1255" s="10">
        <v>0.92</v>
      </c>
      <c r="T1255" s="10">
        <v>1427</v>
      </c>
      <c r="U1255" s="10">
        <v>151</v>
      </c>
      <c r="V1255" s="10">
        <v>51</v>
      </c>
      <c r="W1255" s="10">
        <v>38</v>
      </c>
      <c r="X1255" s="10">
        <v>148</v>
      </c>
      <c r="Y1255" s="10">
        <v>5</v>
      </c>
      <c r="Z1255" s="10">
        <v>71</v>
      </c>
      <c r="AA1255" s="10">
        <v>0.13900000000000001</v>
      </c>
      <c r="AB1255" s="10">
        <v>81</v>
      </c>
      <c r="AC1255" s="10">
        <v>79</v>
      </c>
      <c r="AD1255" s="10">
        <v>67</v>
      </c>
      <c r="AE1255" s="10">
        <v>9</v>
      </c>
      <c r="AF1255" s="10">
        <v>8.5</v>
      </c>
      <c r="AG1255" s="9" t="s">
        <v>349</v>
      </c>
      <c r="AH1255" s="10"/>
      <c r="AI1255" s="10"/>
      <c r="AJ1255" s="10"/>
      <c r="AK1255" s="30"/>
    </row>
    <row r="1256" spans="5:37">
      <c r="E1256" s="28" t="s">
        <v>155</v>
      </c>
      <c r="F1256" s="8" t="s">
        <v>172</v>
      </c>
      <c r="G1256" s="9" t="s">
        <v>813</v>
      </c>
      <c r="H1256" s="10">
        <v>149</v>
      </c>
      <c r="I1256" s="9" t="s">
        <v>163</v>
      </c>
      <c r="J1256" s="10">
        <v>149</v>
      </c>
      <c r="K1256" s="10">
        <v>148.9</v>
      </c>
      <c r="L1256" s="10">
        <v>128</v>
      </c>
      <c r="M1256" s="10">
        <v>135</v>
      </c>
      <c r="N1256" s="10">
        <v>122</v>
      </c>
      <c r="O1256" s="10">
        <v>73</v>
      </c>
      <c r="P1256" s="10">
        <v>109</v>
      </c>
      <c r="Q1256" s="10">
        <v>10.5</v>
      </c>
      <c r="R1256" s="10">
        <v>1459</v>
      </c>
      <c r="S1256" s="10">
        <v>0.91</v>
      </c>
      <c r="T1256" s="10">
        <v>1325</v>
      </c>
      <c r="U1256" s="10">
        <v>133</v>
      </c>
      <c r="V1256" s="10">
        <v>48</v>
      </c>
      <c r="W1256" s="10">
        <v>38</v>
      </c>
      <c r="X1256" s="10">
        <v>150</v>
      </c>
      <c r="Y1256" s="10">
        <v>6</v>
      </c>
      <c r="Z1256" s="10">
        <v>59</v>
      </c>
      <c r="AA1256" s="10">
        <v>0.16200000000000001</v>
      </c>
      <c r="AB1256" s="10">
        <v>73</v>
      </c>
      <c r="AC1256" s="10">
        <v>62</v>
      </c>
      <c r="AD1256" s="10">
        <v>77</v>
      </c>
      <c r="AE1256" s="10">
        <v>9</v>
      </c>
      <c r="AF1256" s="10">
        <v>10</v>
      </c>
      <c r="AG1256" s="9" t="s">
        <v>349</v>
      </c>
      <c r="AH1256" s="10"/>
      <c r="AI1256" s="10"/>
      <c r="AJ1256" s="10"/>
      <c r="AK1256" s="30"/>
    </row>
    <row r="1257" spans="5:37">
      <c r="E1257" s="28" t="s">
        <v>155</v>
      </c>
      <c r="F1257" s="8" t="s">
        <v>172</v>
      </c>
      <c r="G1257" s="9" t="s">
        <v>813</v>
      </c>
      <c r="H1257" s="10">
        <v>156</v>
      </c>
      <c r="I1257" s="9" t="s">
        <v>163</v>
      </c>
      <c r="J1257" s="10">
        <v>156</v>
      </c>
      <c r="K1257" s="10">
        <v>155.69999999999999</v>
      </c>
      <c r="L1257" s="10">
        <v>136</v>
      </c>
      <c r="M1257" s="10">
        <v>142</v>
      </c>
      <c r="N1257" s="10">
        <v>122</v>
      </c>
      <c r="O1257" s="10">
        <v>73</v>
      </c>
      <c r="P1257" s="10">
        <v>109</v>
      </c>
      <c r="Q1257" s="10">
        <v>11.7</v>
      </c>
      <c r="R1257" s="10">
        <v>1516</v>
      </c>
      <c r="S1257" s="10">
        <v>0.91</v>
      </c>
      <c r="T1257" s="10">
        <v>1383</v>
      </c>
      <c r="U1257" s="10">
        <v>135</v>
      </c>
      <c r="V1257" s="10">
        <v>55</v>
      </c>
      <c r="W1257" s="10">
        <v>37</v>
      </c>
      <c r="X1257" s="10">
        <v>145</v>
      </c>
      <c r="Y1257" s="10">
        <v>4</v>
      </c>
      <c r="Z1257" s="10">
        <v>53</v>
      </c>
      <c r="AA1257" s="10">
        <v>0.121</v>
      </c>
      <c r="AB1257" s="10">
        <v>72</v>
      </c>
      <c r="AC1257" s="10">
        <v>61</v>
      </c>
      <c r="AD1257" s="10">
        <v>74</v>
      </c>
      <c r="AE1257" s="10">
        <v>11</v>
      </c>
      <c r="AF1257" s="10">
        <v>9.5</v>
      </c>
      <c r="AG1257" s="9" t="s">
        <v>349</v>
      </c>
      <c r="AH1257" s="10"/>
      <c r="AI1257" s="10"/>
      <c r="AJ1257" s="10"/>
      <c r="AK1257" s="30"/>
    </row>
    <row r="1258" spans="5:37">
      <c r="E1258" s="28" t="s">
        <v>155</v>
      </c>
      <c r="F1258" s="8" t="s">
        <v>172</v>
      </c>
      <c r="G1258" s="9" t="s">
        <v>813</v>
      </c>
      <c r="H1258" s="10">
        <v>163</v>
      </c>
      <c r="I1258" s="9" t="s">
        <v>163</v>
      </c>
      <c r="J1258" s="10">
        <v>163</v>
      </c>
      <c r="K1258" s="10">
        <v>162.5</v>
      </c>
      <c r="L1258" s="10">
        <v>142</v>
      </c>
      <c r="M1258" s="10">
        <v>150</v>
      </c>
      <c r="N1258" s="10">
        <v>123</v>
      </c>
      <c r="O1258" s="10">
        <v>73</v>
      </c>
      <c r="P1258" s="10">
        <v>109</v>
      </c>
      <c r="Q1258" s="10">
        <v>13</v>
      </c>
      <c r="R1258" s="10">
        <v>1615</v>
      </c>
      <c r="S1258" s="10">
        <v>0.89</v>
      </c>
      <c r="T1258" s="10">
        <v>1444</v>
      </c>
      <c r="U1258" s="10">
        <v>149</v>
      </c>
      <c r="V1258" s="10">
        <v>60</v>
      </c>
      <c r="W1258" s="10">
        <v>38</v>
      </c>
      <c r="X1258" s="10">
        <v>154</v>
      </c>
      <c r="Y1258" s="10">
        <v>4</v>
      </c>
      <c r="Z1258" s="10">
        <v>54</v>
      </c>
      <c r="AA1258" s="10">
        <v>0.11799999999999999</v>
      </c>
      <c r="AB1258" s="10">
        <v>69</v>
      </c>
      <c r="AC1258" s="10">
        <v>61</v>
      </c>
      <c r="AD1258" s="10">
        <v>85</v>
      </c>
      <c r="AE1258" s="10">
        <v>12</v>
      </c>
      <c r="AF1258" s="10">
        <v>9.5</v>
      </c>
      <c r="AG1258" s="9" t="s">
        <v>349</v>
      </c>
      <c r="AH1258" s="10"/>
      <c r="AI1258" s="10"/>
      <c r="AJ1258" s="10"/>
      <c r="AK1258" s="30"/>
    </row>
    <row r="1259" spans="5:37">
      <c r="E1259" s="28" t="s">
        <v>155</v>
      </c>
      <c r="F1259" s="8" t="s">
        <v>172</v>
      </c>
      <c r="G1259" s="9" t="s">
        <v>674</v>
      </c>
      <c r="H1259" s="10">
        <v>154</v>
      </c>
      <c r="I1259" s="9" t="s">
        <v>158</v>
      </c>
      <c r="J1259" s="10">
        <v>154</v>
      </c>
      <c r="K1259" s="10">
        <v>152.30000000000001</v>
      </c>
      <c r="L1259" s="10">
        <v>132</v>
      </c>
      <c r="M1259" s="10">
        <v>137</v>
      </c>
      <c r="N1259" s="10">
        <v>121</v>
      </c>
      <c r="O1259" s="10">
        <v>74</v>
      </c>
      <c r="P1259" s="10">
        <v>107</v>
      </c>
      <c r="Q1259" s="10">
        <v>11.7</v>
      </c>
      <c r="R1259" s="10">
        <v>1410</v>
      </c>
      <c r="S1259" s="10">
        <v>0.96</v>
      </c>
      <c r="T1259" s="10">
        <v>1356</v>
      </c>
      <c r="U1259" s="10">
        <v>140</v>
      </c>
      <c r="V1259" s="10">
        <v>51</v>
      </c>
      <c r="W1259" s="10">
        <v>33</v>
      </c>
      <c r="X1259" s="10">
        <v>136</v>
      </c>
      <c r="Y1259" s="10">
        <v>5</v>
      </c>
      <c r="Z1259" s="10">
        <v>64</v>
      </c>
      <c r="AA1259" s="10">
        <v>0.14299999999999999</v>
      </c>
      <c r="AB1259" s="10">
        <v>78</v>
      </c>
      <c r="AC1259" s="10">
        <v>80</v>
      </c>
      <c r="AD1259" s="10">
        <v>58</v>
      </c>
      <c r="AE1259" s="10">
        <v>12</v>
      </c>
      <c r="AF1259" s="10">
        <v>8</v>
      </c>
      <c r="AG1259" s="9" t="s">
        <v>349</v>
      </c>
      <c r="AH1259" s="9" t="s">
        <v>231</v>
      </c>
      <c r="AI1259" s="10"/>
      <c r="AJ1259" s="10"/>
      <c r="AK1259" s="30"/>
    </row>
    <row r="1260" spans="5:37">
      <c r="E1260" s="28" t="s">
        <v>155</v>
      </c>
      <c r="F1260" s="8" t="s">
        <v>172</v>
      </c>
      <c r="G1260" s="9" t="s">
        <v>674</v>
      </c>
      <c r="H1260" s="10">
        <v>162</v>
      </c>
      <c r="I1260" s="9" t="s">
        <v>158</v>
      </c>
      <c r="J1260" s="10">
        <v>162</v>
      </c>
      <c r="K1260" s="10">
        <v>160.30000000000001</v>
      </c>
      <c r="L1260" s="10">
        <v>139</v>
      </c>
      <c r="M1260" s="10">
        <v>144</v>
      </c>
      <c r="N1260" s="10">
        <v>121</v>
      </c>
      <c r="O1260" s="10">
        <v>74</v>
      </c>
      <c r="P1260" s="10">
        <v>107</v>
      </c>
      <c r="Q1260" s="10">
        <v>13.1</v>
      </c>
      <c r="R1260" s="10">
        <v>1527</v>
      </c>
      <c r="S1260" s="10">
        <v>0.93</v>
      </c>
      <c r="T1260" s="10">
        <v>1426</v>
      </c>
      <c r="U1260" s="10">
        <v>158</v>
      </c>
      <c r="V1260" s="10">
        <v>55</v>
      </c>
      <c r="W1260" s="10">
        <v>36</v>
      </c>
      <c r="X1260" s="10">
        <v>142</v>
      </c>
      <c r="Y1260" s="10">
        <v>5</v>
      </c>
      <c r="Z1260" s="10">
        <v>68</v>
      </c>
      <c r="AA1260" s="10">
        <v>0.14399999999999999</v>
      </c>
      <c r="AB1260" s="10">
        <v>81</v>
      </c>
      <c r="AC1260" s="10">
        <v>78</v>
      </c>
      <c r="AD1260" s="10">
        <v>61</v>
      </c>
      <c r="AE1260" s="10">
        <v>11</v>
      </c>
      <c r="AF1260" s="10">
        <v>8.1999999999999993</v>
      </c>
      <c r="AG1260" s="9" t="s">
        <v>349</v>
      </c>
      <c r="AH1260" s="10"/>
      <c r="AI1260" s="10"/>
      <c r="AJ1260" s="10"/>
      <c r="AK1260" s="30"/>
    </row>
    <row r="1261" spans="5:37">
      <c r="E1261" s="28" t="s">
        <v>155</v>
      </c>
      <c r="F1261" s="8" t="s">
        <v>172</v>
      </c>
      <c r="G1261" s="9" t="s">
        <v>674</v>
      </c>
      <c r="H1261" s="10">
        <v>170</v>
      </c>
      <c r="I1261" s="9" t="s">
        <v>158</v>
      </c>
      <c r="J1261" s="10">
        <v>170</v>
      </c>
      <c r="K1261" s="10">
        <v>168.4</v>
      </c>
      <c r="L1261" s="10">
        <v>148</v>
      </c>
      <c r="M1261" s="10">
        <v>153</v>
      </c>
      <c r="N1261" s="10">
        <v>121</v>
      </c>
      <c r="O1261" s="10">
        <v>74</v>
      </c>
      <c r="P1261" s="10">
        <v>107</v>
      </c>
      <c r="Q1261" s="10">
        <v>14.6</v>
      </c>
      <c r="R1261" s="10">
        <v>1594</v>
      </c>
      <c r="S1261" s="10">
        <v>0.94</v>
      </c>
      <c r="T1261" s="10">
        <v>1497</v>
      </c>
      <c r="U1261" s="10">
        <v>179</v>
      </c>
      <c r="V1261" s="10">
        <v>61</v>
      </c>
      <c r="W1261" s="10">
        <v>35</v>
      </c>
      <c r="X1261" s="10">
        <v>141</v>
      </c>
      <c r="Y1261" s="10">
        <v>5</v>
      </c>
      <c r="Z1261" s="10">
        <v>64</v>
      </c>
      <c r="AA1261" s="10">
        <v>0.14099999999999999</v>
      </c>
      <c r="AB1261" s="10">
        <v>78</v>
      </c>
      <c r="AC1261" s="10">
        <v>80</v>
      </c>
      <c r="AD1261" s="10">
        <v>63</v>
      </c>
      <c r="AE1261" s="10">
        <v>12</v>
      </c>
      <c r="AF1261" s="10">
        <v>8.5</v>
      </c>
      <c r="AG1261" s="9" t="s">
        <v>349</v>
      </c>
      <c r="AH1261" s="10"/>
      <c r="AI1261" s="10"/>
      <c r="AJ1261" s="10"/>
      <c r="AK1261" s="30"/>
    </row>
    <row r="1262" spans="5:37">
      <c r="E1262" s="28" t="s">
        <v>155</v>
      </c>
      <c r="F1262" s="8" t="s">
        <v>172</v>
      </c>
      <c r="G1262" s="9" t="s">
        <v>674</v>
      </c>
      <c r="H1262" s="10">
        <v>176</v>
      </c>
      <c r="I1262" s="9" t="s">
        <v>158</v>
      </c>
      <c r="J1262" s="10">
        <v>176</v>
      </c>
      <c r="K1262" s="10">
        <v>176.3</v>
      </c>
      <c r="L1262" s="10">
        <v>156</v>
      </c>
      <c r="M1262" s="10">
        <v>160</v>
      </c>
      <c r="N1262" s="10">
        <v>121</v>
      </c>
      <c r="O1262" s="10">
        <v>74</v>
      </c>
      <c r="P1262" s="10">
        <v>107</v>
      </c>
      <c r="Q1262" s="10">
        <v>16.5</v>
      </c>
      <c r="R1262" s="10">
        <v>1646</v>
      </c>
      <c r="S1262" s="10">
        <v>0.95</v>
      </c>
      <c r="T1262" s="10">
        <v>1563</v>
      </c>
      <c r="U1262" s="10">
        <v>191</v>
      </c>
      <c r="V1262" s="10">
        <v>67</v>
      </c>
      <c r="W1262" s="10">
        <v>35</v>
      </c>
      <c r="X1262" s="10">
        <v>141</v>
      </c>
      <c r="Y1262" s="10">
        <v>5</v>
      </c>
      <c r="Z1262" s="10">
        <v>66</v>
      </c>
      <c r="AA1262" s="10">
        <v>0.14199999999999999</v>
      </c>
      <c r="AB1262" s="10">
        <v>81</v>
      </c>
      <c r="AC1262" s="10">
        <v>83</v>
      </c>
      <c r="AD1262" s="10">
        <v>60</v>
      </c>
      <c r="AE1262" s="10">
        <v>13</v>
      </c>
      <c r="AF1262" s="10">
        <v>8.6999999999999993</v>
      </c>
      <c r="AG1262" s="9" t="s">
        <v>349</v>
      </c>
      <c r="AH1262" s="10"/>
      <c r="AI1262" s="10"/>
      <c r="AJ1262" s="10"/>
      <c r="AK1262" s="30"/>
    </row>
    <row r="1263" spans="5:37">
      <c r="E1263" s="28" t="s">
        <v>155</v>
      </c>
      <c r="F1263" s="8" t="s">
        <v>172</v>
      </c>
      <c r="G1263" s="9" t="s">
        <v>600</v>
      </c>
      <c r="H1263" s="10">
        <v>163</v>
      </c>
      <c r="I1263" s="9" t="s">
        <v>158</v>
      </c>
      <c r="J1263" s="10">
        <v>163</v>
      </c>
      <c r="K1263" s="10">
        <v>162.5</v>
      </c>
      <c r="L1263" s="10">
        <v>142</v>
      </c>
      <c r="M1263" s="10">
        <v>149</v>
      </c>
      <c r="N1263" s="10">
        <v>122</v>
      </c>
      <c r="O1263" s="10">
        <v>73</v>
      </c>
      <c r="P1263" s="10">
        <v>108</v>
      </c>
      <c r="Q1263" s="10">
        <v>13.1</v>
      </c>
      <c r="R1263" s="10">
        <v>1596</v>
      </c>
      <c r="S1263" s="10">
        <v>0.9</v>
      </c>
      <c r="T1263" s="10">
        <v>1441</v>
      </c>
      <c r="U1263" s="10">
        <v>172</v>
      </c>
      <c r="V1263" s="10">
        <v>63</v>
      </c>
      <c r="W1263" s="10">
        <v>37</v>
      </c>
      <c r="X1263" s="10">
        <v>152</v>
      </c>
      <c r="Y1263" s="10">
        <v>5</v>
      </c>
      <c r="Z1263" s="10">
        <v>57</v>
      </c>
      <c r="AA1263" s="10">
        <v>0.14399999999999999</v>
      </c>
      <c r="AB1263" s="10">
        <v>69</v>
      </c>
      <c r="AC1263" s="10">
        <v>61</v>
      </c>
      <c r="AD1263" s="10">
        <v>83</v>
      </c>
      <c r="AE1263" s="10">
        <v>9</v>
      </c>
      <c r="AF1263" s="10">
        <v>10.199999999999999</v>
      </c>
      <c r="AG1263" s="9" t="s">
        <v>349</v>
      </c>
      <c r="AH1263" s="10"/>
      <c r="AI1263" s="10"/>
      <c r="AJ1263" s="10"/>
      <c r="AK1263" s="30"/>
    </row>
    <row r="1264" spans="5:37">
      <c r="E1264" s="28" t="s">
        <v>155</v>
      </c>
      <c r="F1264" s="8" t="s">
        <v>172</v>
      </c>
      <c r="G1264" s="9" t="s">
        <v>600</v>
      </c>
      <c r="H1264" s="10">
        <v>170</v>
      </c>
      <c r="I1264" s="9" t="s">
        <v>158</v>
      </c>
      <c r="J1264" s="10">
        <v>170</v>
      </c>
      <c r="K1264" s="10">
        <v>169.6</v>
      </c>
      <c r="L1264" s="10">
        <v>150</v>
      </c>
      <c r="M1264" s="10">
        <v>157</v>
      </c>
      <c r="N1264" s="10">
        <v>122</v>
      </c>
      <c r="O1264" s="10">
        <v>73</v>
      </c>
      <c r="P1264" s="10">
        <v>108</v>
      </c>
      <c r="Q1264" s="10">
        <v>14.5</v>
      </c>
      <c r="R1264" s="10">
        <v>1710</v>
      </c>
      <c r="S1264" s="10">
        <v>0.88</v>
      </c>
      <c r="T1264" s="10">
        <v>1499</v>
      </c>
      <c r="U1264" s="10">
        <v>185</v>
      </c>
      <c r="V1264" s="10">
        <v>73</v>
      </c>
      <c r="W1264" s="10">
        <v>35</v>
      </c>
      <c r="X1264" s="10">
        <v>144</v>
      </c>
      <c r="Y1264" s="10">
        <v>4</v>
      </c>
      <c r="Z1264" s="10">
        <v>50</v>
      </c>
      <c r="AA1264" s="10">
        <v>0.123</v>
      </c>
      <c r="AB1264" s="10">
        <v>71</v>
      </c>
      <c r="AC1264" s="10">
        <v>60</v>
      </c>
      <c r="AD1264" s="10">
        <v>74</v>
      </c>
      <c r="AE1264" s="10">
        <v>13</v>
      </c>
      <c r="AF1264" s="10">
        <v>9.9</v>
      </c>
      <c r="AG1264" s="9" t="s">
        <v>349</v>
      </c>
      <c r="AH1264" s="10"/>
      <c r="AI1264" s="10"/>
      <c r="AJ1264" s="10"/>
      <c r="AK1264" s="30"/>
    </row>
    <row r="1265" spans="5:37">
      <c r="E1265" s="28" t="s">
        <v>155</v>
      </c>
      <c r="F1265" s="8" t="s">
        <v>172</v>
      </c>
      <c r="G1265" s="9" t="s">
        <v>600</v>
      </c>
      <c r="H1265" s="10">
        <v>177</v>
      </c>
      <c r="I1265" s="9" t="s">
        <v>158</v>
      </c>
      <c r="J1265" s="10">
        <v>177</v>
      </c>
      <c r="K1265" s="10">
        <v>176.5</v>
      </c>
      <c r="L1265" s="10">
        <v>157</v>
      </c>
      <c r="M1265" s="10">
        <v>163</v>
      </c>
      <c r="N1265" s="10">
        <v>122</v>
      </c>
      <c r="O1265" s="10">
        <v>73</v>
      </c>
      <c r="P1265" s="10">
        <v>108</v>
      </c>
      <c r="Q1265" s="10">
        <v>15.8</v>
      </c>
      <c r="R1265" s="10">
        <v>1737</v>
      </c>
      <c r="S1265" s="10">
        <v>0.9</v>
      </c>
      <c r="T1265" s="10">
        <v>1558</v>
      </c>
      <c r="U1265" s="10">
        <v>207</v>
      </c>
      <c r="V1265" s="10">
        <v>73</v>
      </c>
      <c r="W1265" s="10">
        <v>36</v>
      </c>
      <c r="X1265" s="10">
        <v>148</v>
      </c>
      <c r="Y1265" s="10">
        <v>5</v>
      </c>
      <c r="Z1265" s="10">
        <v>52</v>
      </c>
      <c r="AA1265" s="10">
        <v>0.14000000000000001</v>
      </c>
      <c r="AB1265" s="10">
        <v>72</v>
      </c>
      <c r="AC1265" s="10">
        <v>61</v>
      </c>
      <c r="AD1265" s="10">
        <v>76</v>
      </c>
      <c r="AE1265" s="10">
        <v>13</v>
      </c>
      <c r="AF1265" s="10">
        <v>9.8000000000000007</v>
      </c>
      <c r="AG1265" s="9" t="s">
        <v>349</v>
      </c>
      <c r="AH1265" s="10"/>
      <c r="AI1265" s="10"/>
      <c r="AJ1265" s="10"/>
      <c r="AK1265" s="30"/>
    </row>
    <row r="1266" spans="5:37">
      <c r="E1266" s="28" t="s">
        <v>155</v>
      </c>
      <c r="F1266" s="8" t="s">
        <v>174</v>
      </c>
      <c r="G1266" s="9" t="s">
        <v>509</v>
      </c>
      <c r="H1266" s="10">
        <v>169</v>
      </c>
      <c r="I1266" s="9" t="s">
        <v>158</v>
      </c>
      <c r="J1266" s="10">
        <v>169</v>
      </c>
      <c r="K1266" s="10">
        <v>167.7</v>
      </c>
      <c r="L1266" s="10">
        <v>134</v>
      </c>
      <c r="M1266" s="10">
        <v>146</v>
      </c>
      <c r="N1266" s="10">
        <v>123</v>
      </c>
      <c r="O1266" s="10">
        <v>88</v>
      </c>
      <c r="P1266" s="10">
        <v>109</v>
      </c>
      <c r="Q1266" s="10">
        <v>18.399999999999999</v>
      </c>
      <c r="R1266" s="10">
        <v>1319</v>
      </c>
      <c r="S1266" s="10">
        <v>1.27</v>
      </c>
      <c r="T1266" s="10">
        <v>1673</v>
      </c>
      <c r="U1266" s="10">
        <v>169</v>
      </c>
      <c r="V1266" s="10">
        <v>66</v>
      </c>
      <c r="W1266" s="10">
        <v>50</v>
      </c>
      <c r="X1266" s="10">
        <v>204</v>
      </c>
      <c r="Y1266" s="10">
        <v>14</v>
      </c>
      <c r="Z1266" s="10">
        <v>138</v>
      </c>
      <c r="AA1266" s="10">
        <v>0.28299999999999997</v>
      </c>
      <c r="AB1266" s="10">
        <v>137</v>
      </c>
      <c r="AC1266" s="10">
        <v>76</v>
      </c>
      <c r="AD1266" s="10">
        <v>66</v>
      </c>
      <c r="AE1266" s="10">
        <v>8</v>
      </c>
      <c r="AF1266" s="10">
        <v>11.6</v>
      </c>
      <c r="AG1266" s="9" t="s">
        <v>188</v>
      </c>
      <c r="AH1266" s="9" t="s">
        <v>185</v>
      </c>
      <c r="AI1266" s="9" t="s">
        <v>198</v>
      </c>
      <c r="AJ1266" s="10"/>
      <c r="AK1266" s="30"/>
    </row>
    <row r="1267" spans="5:37">
      <c r="E1267" s="28" t="s">
        <v>155</v>
      </c>
      <c r="F1267" s="8" t="s">
        <v>174</v>
      </c>
      <c r="G1267" s="9" t="s">
        <v>509</v>
      </c>
      <c r="H1267" s="10">
        <v>177</v>
      </c>
      <c r="I1267" s="9" t="s">
        <v>158</v>
      </c>
      <c r="J1267" s="10">
        <v>177</v>
      </c>
      <c r="K1267" s="10">
        <v>175.7</v>
      </c>
      <c r="L1267" s="10">
        <v>139</v>
      </c>
      <c r="M1267" s="10">
        <v>153</v>
      </c>
      <c r="N1267" s="10">
        <v>125</v>
      </c>
      <c r="O1267" s="10">
        <v>88</v>
      </c>
      <c r="P1267" s="10">
        <v>111</v>
      </c>
      <c r="Q1267" s="10">
        <v>18.5</v>
      </c>
      <c r="R1267" s="10">
        <v>1397</v>
      </c>
      <c r="S1267" s="10">
        <v>1.27</v>
      </c>
      <c r="T1267" s="10">
        <v>1768</v>
      </c>
      <c r="U1267" s="10">
        <v>173</v>
      </c>
      <c r="V1267" s="10">
        <v>76</v>
      </c>
      <c r="W1267" s="10">
        <v>50</v>
      </c>
      <c r="X1267" s="10">
        <v>205</v>
      </c>
      <c r="Y1267" s="10">
        <v>12</v>
      </c>
      <c r="Z1267" s="10">
        <v>162</v>
      </c>
      <c r="AA1267" s="10">
        <v>0.251</v>
      </c>
      <c r="AB1267" s="10">
        <v>149</v>
      </c>
      <c r="AC1267" s="10">
        <v>78</v>
      </c>
      <c r="AD1267" s="10">
        <v>56</v>
      </c>
      <c r="AE1267" s="10">
        <v>8</v>
      </c>
      <c r="AF1267" s="10">
        <v>11.6</v>
      </c>
      <c r="AG1267" s="9" t="s">
        <v>188</v>
      </c>
      <c r="AH1267" s="9" t="s">
        <v>185</v>
      </c>
      <c r="AI1267" s="9" t="s">
        <v>198</v>
      </c>
      <c r="AJ1267" s="10"/>
      <c r="AK1267" s="30"/>
    </row>
    <row r="1268" spans="5:37">
      <c r="E1268" s="28" t="s">
        <v>155</v>
      </c>
      <c r="F1268" s="8" t="s">
        <v>174</v>
      </c>
      <c r="G1268" s="9" t="s">
        <v>888</v>
      </c>
      <c r="H1268" s="10">
        <v>153</v>
      </c>
      <c r="I1268" s="9" t="s">
        <v>163</v>
      </c>
      <c r="J1268" s="10">
        <v>153</v>
      </c>
      <c r="K1268" s="10">
        <v>151.69999999999999</v>
      </c>
      <c r="L1268" s="10">
        <v>124</v>
      </c>
      <c r="M1268" s="10">
        <v>132</v>
      </c>
      <c r="N1268" s="10">
        <v>121</v>
      </c>
      <c r="O1268" s="10">
        <v>88</v>
      </c>
      <c r="P1268" s="10">
        <v>106</v>
      </c>
      <c r="Q1268" s="10">
        <v>16.7</v>
      </c>
      <c r="R1268" s="10">
        <v>1155</v>
      </c>
      <c r="S1268" s="10">
        <v>1.29</v>
      </c>
      <c r="T1268" s="10">
        <v>1492</v>
      </c>
      <c r="U1268" s="10">
        <v>109</v>
      </c>
      <c r="V1268" s="10">
        <v>50</v>
      </c>
      <c r="W1268" s="10">
        <v>47</v>
      </c>
      <c r="X1268" s="10">
        <v>197</v>
      </c>
      <c r="Y1268" s="10">
        <v>12</v>
      </c>
      <c r="Z1268" s="10">
        <v>83</v>
      </c>
      <c r="AA1268" s="10">
        <v>0.253</v>
      </c>
      <c r="AB1268" s="10">
        <v>121</v>
      </c>
      <c r="AC1268" s="10">
        <v>74</v>
      </c>
      <c r="AD1268" s="10">
        <v>76</v>
      </c>
      <c r="AE1268" s="10">
        <v>8</v>
      </c>
      <c r="AF1268" s="10">
        <v>10.199999999999999</v>
      </c>
      <c r="AG1268" s="9" t="s">
        <v>185</v>
      </c>
      <c r="AH1268" s="9" t="s">
        <v>198</v>
      </c>
      <c r="AI1268" s="10"/>
      <c r="AJ1268" s="10"/>
      <c r="AK1268" s="30"/>
    </row>
    <row r="1269" spans="5:37">
      <c r="E1269" s="28" t="s">
        <v>155</v>
      </c>
      <c r="F1269" s="8" t="s">
        <v>174</v>
      </c>
      <c r="G1269" s="9" t="s">
        <v>252</v>
      </c>
      <c r="H1269" s="10">
        <v>169</v>
      </c>
      <c r="I1269" s="9" t="s">
        <v>158</v>
      </c>
      <c r="J1269" s="10">
        <v>169</v>
      </c>
      <c r="K1269" s="10">
        <v>168.7</v>
      </c>
      <c r="L1269" s="10">
        <v>125</v>
      </c>
      <c r="M1269" s="10">
        <v>140</v>
      </c>
      <c r="N1269" s="10">
        <v>128</v>
      </c>
      <c r="O1269" s="10">
        <v>94</v>
      </c>
      <c r="P1269" s="10">
        <v>115</v>
      </c>
      <c r="Q1269" s="10">
        <v>16.600000000000001</v>
      </c>
      <c r="R1269" s="10">
        <v>1450</v>
      </c>
      <c r="S1269" s="10">
        <v>1.23</v>
      </c>
      <c r="T1269" s="10">
        <v>1780</v>
      </c>
      <c r="U1269" s="10">
        <v>169</v>
      </c>
      <c r="V1269" s="10">
        <v>67</v>
      </c>
      <c r="W1269" s="10">
        <v>55</v>
      </c>
      <c r="X1269" s="10">
        <v>321</v>
      </c>
      <c r="Y1269" s="10">
        <v>7</v>
      </c>
      <c r="Z1269" s="10">
        <v>115</v>
      </c>
      <c r="AA1269" s="10">
        <v>0.11899999999999999</v>
      </c>
      <c r="AB1269" s="10">
        <v>181</v>
      </c>
      <c r="AC1269" s="10">
        <v>111</v>
      </c>
      <c r="AD1269" s="10">
        <v>140</v>
      </c>
      <c r="AE1269" s="10">
        <v>4</v>
      </c>
      <c r="AF1269" s="10">
        <v>10.6</v>
      </c>
      <c r="AG1269" s="9" t="s">
        <v>188</v>
      </c>
      <c r="AH1269" s="9" t="s">
        <v>185</v>
      </c>
      <c r="AI1269" s="10"/>
      <c r="AJ1269" s="10"/>
      <c r="AK1269" s="30"/>
    </row>
    <row r="1270" spans="5:37">
      <c r="E1270" s="28" t="s">
        <v>155</v>
      </c>
      <c r="F1270" s="8" t="s">
        <v>174</v>
      </c>
      <c r="G1270" s="9" t="s">
        <v>252</v>
      </c>
      <c r="H1270" s="10">
        <v>177</v>
      </c>
      <c r="I1270" s="9" t="s">
        <v>158</v>
      </c>
      <c r="J1270" s="10">
        <v>177</v>
      </c>
      <c r="K1270" s="10">
        <v>176.3</v>
      </c>
      <c r="L1270" s="10">
        <v>143</v>
      </c>
      <c r="M1270" s="10">
        <v>146</v>
      </c>
      <c r="N1270" s="10">
        <v>130</v>
      </c>
      <c r="O1270" s="10">
        <v>95</v>
      </c>
      <c r="P1270" s="10">
        <v>116</v>
      </c>
      <c r="Q1270" s="10">
        <v>17.600000000000001</v>
      </c>
      <c r="R1270" s="10">
        <v>1550</v>
      </c>
      <c r="S1270" s="10">
        <v>1.21</v>
      </c>
      <c r="T1270" s="10">
        <v>1874</v>
      </c>
      <c r="U1270" s="10">
        <v>186</v>
      </c>
      <c r="V1270" s="10">
        <v>77</v>
      </c>
      <c r="W1270" s="10">
        <v>52</v>
      </c>
      <c r="X1270" s="10">
        <v>258</v>
      </c>
      <c r="Y1270" s="10">
        <v>6</v>
      </c>
      <c r="Z1270" s="10">
        <v>75</v>
      </c>
      <c r="AA1270" s="10">
        <v>0.107</v>
      </c>
      <c r="AB1270" s="10">
        <v>200</v>
      </c>
      <c r="AC1270" s="10">
        <v>107</v>
      </c>
      <c r="AD1270" s="10">
        <v>58</v>
      </c>
      <c r="AE1270" s="10">
        <v>8</v>
      </c>
      <c r="AF1270" s="10">
        <v>10.9</v>
      </c>
      <c r="AG1270" s="9" t="s">
        <v>188</v>
      </c>
      <c r="AH1270" s="9" t="s">
        <v>185</v>
      </c>
      <c r="AI1270" s="10"/>
      <c r="AJ1270" s="10"/>
      <c r="AK1270" s="30"/>
    </row>
    <row r="1271" spans="5:37">
      <c r="E1271" s="28" t="s">
        <v>155</v>
      </c>
      <c r="F1271" s="8" t="s">
        <v>174</v>
      </c>
      <c r="G1271" s="9" t="s">
        <v>252</v>
      </c>
      <c r="H1271" s="10">
        <v>184</v>
      </c>
      <c r="I1271" s="9" t="s">
        <v>158</v>
      </c>
      <c r="J1271" s="10">
        <v>184</v>
      </c>
      <c r="K1271" s="10">
        <v>183.6</v>
      </c>
      <c r="L1271" s="10">
        <v>145</v>
      </c>
      <c r="M1271" s="10">
        <v>153</v>
      </c>
      <c r="N1271" s="10">
        <v>131</v>
      </c>
      <c r="O1271" s="10">
        <v>95</v>
      </c>
      <c r="P1271" s="10">
        <v>117</v>
      </c>
      <c r="Q1271" s="10">
        <v>18.899999999999999</v>
      </c>
      <c r="R1271" s="10">
        <v>1701</v>
      </c>
      <c r="S1271" s="10">
        <v>1.1499999999999999</v>
      </c>
      <c r="T1271" s="10">
        <v>1959</v>
      </c>
      <c r="U1271" s="10">
        <v>219</v>
      </c>
      <c r="V1271" s="10">
        <v>88</v>
      </c>
      <c r="W1271" s="10">
        <v>50</v>
      </c>
      <c r="X1271" s="10">
        <v>289</v>
      </c>
      <c r="Y1271" s="10">
        <v>7</v>
      </c>
      <c r="Z1271" s="10">
        <v>99</v>
      </c>
      <c r="AA1271" s="10">
        <v>0.14199999999999999</v>
      </c>
      <c r="AB1271" s="10">
        <v>199</v>
      </c>
      <c r="AC1271" s="10">
        <v>110</v>
      </c>
      <c r="AD1271" s="10">
        <v>90</v>
      </c>
      <c r="AE1271" s="10">
        <v>10</v>
      </c>
      <c r="AF1271" s="10">
        <v>10.9</v>
      </c>
      <c r="AG1271" s="9" t="s">
        <v>188</v>
      </c>
      <c r="AH1271" s="9" t="s">
        <v>185</v>
      </c>
      <c r="AI1271" s="10"/>
      <c r="AJ1271" s="10"/>
      <c r="AK1271" s="30"/>
    </row>
    <row r="1272" spans="5:37">
      <c r="E1272" s="28" t="s">
        <v>155</v>
      </c>
      <c r="F1272" s="8" t="s">
        <v>174</v>
      </c>
      <c r="G1272" s="9" t="s">
        <v>438</v>
      </c>
      <c r="H1272" s="10">
        <v>167</v>
      </c>
      <c r="I1272" s="9" t="s">
        <v>158</v>
      </c>
      <c r="J1272" s="10">
        <v>167</v>
      </c>
      <c r="K1272" s="10">
        <v>166.8</v>
      </c>
      <c r="L1272" s="10">
        <v>105</v>
      </c>
      <c r="M1272" s="10">
        <v>135</v>
      </c>
      <c r="N1272" s="10">
        <v>136</v>
      </c>
      <c r="O1272" s="10">
        <v>104</v>
      </c>
      <c r="P1272" s="10">
        <v>122</v>
      </c>
      <c r="Q1272" s="10">
        <v>18.100000000000001</v>
      </c>
      <c r="R1272" s="10">
        <v>1881</v>
      </c>
      <c r="S1272" s="10">
        <v>1.02</v>
      </c>
      <c r="T1272" s="10">
        <v>1912</v>
      </c>
      <c r="U1272" s="10">
        <v>174</v>
      </c>
      <c r="V1272" s="10">
        <v>83</v>
      </c>
      <c r="W1272" s="10">
        <v>59</v>
      </c>
      <c r="X1272" s="10">
        <v>353</v>
      </c>
      <c r="Y1272" s="10">
        <v>22</v>
      </c>
      <c r="Z1272" s="10">
        <v>262</v>
      </c>
      <c r="AA1272" s="10">
        <v>0.36799999999999999</v>
      </c>
      <c r="AB1272" s="10">
        <v>189</v>
      </c>
      <c r="AC1272" s="10">
        <v>124</v>
      </c>
      <c r="AD1272" s="10">
        <v>164</v>
      </c>
      <c r="AE1272" s="10">
        <v>6</v>
      </c>
      <c r="AF1272" s="10">
        <v>9.3000000000000007</v>
      </c>
      <c r="AG1272" s="9" t="s">
        <v>188</v>
      </c>
      <c r="AH1272" s="9" t="s">
        <v>169</v>
      </c>
      <c r="AI1272" s="9" t="s">
        <v>178</v>
      </c>
      <c r="AJ1272" s="10"/>
      <c r="AK1272" s="30"/>
    </row>
    <row r="1273" spans="5:37">
      <c r="E1273" s="28" t="s">
        <v>155</v>
      </c>
      <c r="F1273" s="8" t="s">
        <v>174</v>
      </c>
      <c r="G1273" s="9" t="s">
        <v>438</v>
      </c>
      <c r="H1273" s="10">
        <v>174</v>
      </c>
      <c r="I1273" s="9" t="s">
        <v>158</v>
      </c>
      <c r="J1273" s="10">
        <v>174</v>
      </c>
      <c r="K1273" s="10">
        <v>173.9</v>
      </c>
      <c r="L1273" s="10">
        <v>109</v>
      </c>
      <c r="M1273" s="10">
        <v>144</v>
      </c>
      <c r="N1273" s="10">
        <v>137</v>
      </c>
      <c r="O1273" s="10">
        <v>105</v>
      </c>
      <c r="P1273" s="10">
        <v>123</v>
      </c>
      <c r="Q1273" s="10">
        <v>19.100000000000001</v>
      </c>
      <c r="R1273" s="10">
        <v>2014</v>
      </c>
      <c r="S1273" s="10">
        <v>0.99</v>
      </c>
      <c r="T1273" s="10">
        <v>2000</v>
      </c>
      <c r="U1273" s="10">
        <v>211</v>
      </c>
      <c r="V1273" s="10">
        <v>97</v>
      </c>
      <c r="W1273" s="10">
        <v>59</v>
      </c>
      <c r="X1273" s="10">
        <v>365</v>
      </c>
      <c r="Y1273" s="10">
        <v>22</v>
      </c>
      <c r="Z1273" s="10">
        <v>282</v>
      </c>
      <c r="AA1273" s="10">
        <v>0.378</v>
      </c>
      <c r="AB1273" s="10">
        <v>181</v>
      </c>
      <c r="AC1273" s="10">
        <v>119</v>
      </c>
      <c r="AD1273" s="10">
        <v>183</v>
      </c>
      <c r="AE1273" s="10">
        <v>6</v>
      </c>
      <c r="AF1273" s="10">
        <v>9.4</v>
      </c>
      <c r="AG1273" s="9" t="s">
        <v>188</v>
      </c>
      <c r="AH1273" s="9" t="s">
        <v>169</v>
      </c>
      <c r="AI1273" s="9" t="s">
        <v>178</v>
      </c>
      <c r="AJ1273" s="10"/>
      <c r="AK1273" s="30"/>
    </row>
    <row r="1274" spans="5:37">
      <c r="E1274" s="28" t="s">
        <v>155</v>
      </c>
      <c r="F1274" s="8" t="s">
        <v>174</v>
      </c>
      <c r="G1274" s="9" t="s">
        <v>438</v>
      </c>
      <c r="H1274" s="10">
        <v>181</v>
      </c>
      <c r="I1274" s="9" t="s">
        <v>158</v>
      </c>
      <c r="J1274" s="10">
        <v>181</v>
      </c>
      <c r="K1274" s="10">
        <v>180.9</v>
      </c>
      <c r="L1274" s="10">
        <v>114</v>
      </c>
      <c r="M1274" s="10">
        <v>151</v>
      </c>
      <c r="N1274" s="10">
        <v>138</v>
      </c>
      <c r="O1274" s="10">
        <v>105</v>
      </c>
      <c r="P1274" s="10">
        <v>124</v>
      </c>
      <c r="Q1274" s="10">
        <v>19.899999999999999</v>
      </c>
      <c r="R1274" s="10">
        <v>2130</v>
      </c>
      <c r="S1274" s="10">
        <v>0.98</v>
      </c>
      <c r="T1274" s="10">
        <v>2088</v>
      </c>
      <c r="U1274" s="10">
        <v>231</v>
      </c>
      <c r="V1274" s="10">
        <v>105</v>
      </c>
      <c r="W1274" s="10">
        <v>56</v>
      </c>
      <c r="X1274" s="10">
        <v>381</v>
      </c>
      <c r="Y1274" s="10">
        <v>20</v>
      </c>
      <c r="Z1274" s="10">
        <v>291</v>
      </c>
      <c r="AA1274" s="10">
        <v>0.34799999999999998</v>
      </c>
      <c r="AB1274" s="10">
        <v>179</v>
      </c>
      <c r="AC1274" s="10">
        <v>115</v>
      </c>
      <c r="AD1274" s="10">
        <v>201</v>
      </c>
      <c r="AE1274" s="10">
        <v>8</v>
      </c>
      <c r="AF1274" s="10">
        <v>8</v>
      </c>
      <c r="AG1274" s="9" t="s">
        <v>188</v>
      </c>
      <c r="AH1274" s="9" t="s">
        <v>178</v>
      </c>
      <c r="AI1274" s="10"/>
      <c r="AJ1274" s="10"/>
      <c r="AK1274" s="30"/>
    </row>
    <row r="1275" spans="5:37">
      <c r="E1275" s="28" t="s">
        <v>155</v>
      </c>
      <c r="F1275" s="8" t="s">
        <v>174</v>
      </c>
      <c r="G1275" s="9" t="s">
        <v>438</v>
      </c>
      <c r="H1275" s="10">
        <v>188</v>
      </c>
      <c r="I1275" s="9" t="s">
        <v>158</v>
      </c>
      <c r="J1275" s="10">
        <v>188</v>
      </c>
      <c r="K1275" s="10">
        <v>187.7</v>
      </c>
      <c r="L1275" s="10">
        <v>113</v>
      </c>
      <c r="M1275" s="10">
        <v>157</v>
      </c>
      <c r="N1275" s="10">
        <v>139</v>
      </c>
      <c r="O1275" s="10">
        <v>104</v>
      </c>
      <c r="P1275" s="10">
        <v>125</v>
      </c>
      <c r="Q1275" s="10">
        <v>21.5</v>
      </c>
      <c r="R1275" s="10">
        <v>2224</v>
      </c>
      <c r="S1275" s="10">
        <v>0.97</v>
      </c>
      <c r="T1275" s="10">
        <v>2167</v>
      </c>
      <c r="U1275" s="10">
        <v>279</v>
      </c>
      <c r="V1275" s="10">
        <v>125</v>
      </c>
      <c r="W1275" s="10">
        <v>61</v>
      </c>
      <c r="X1275" s="10">
        <v>432</v>
      </c>
      <c r="Y1275" s="10">
        <v>23</v>
      </c>
      <c r="Z1275" s="10">
        <v>315</v>
      </c>
      <c r="AA1275" s="10">
        <v>0.377</v>
      </c>
      <c r="AB1275" s="10">
        <v>183</v>
      </c>
      <c r="AC1275" s="10">
        <v>125</v>
      </c>
      <c r="AD1275" s="10">
        <v>249</v>
      </c>
      <c r="AE1275" s="10">
        <v>6</v>
      </c>
      <c r="AF1275" s="10">
        <v>7.6</v>
      </c>
      <c r="AG1275" s="9" t="s">
        <v>188</v>
      </c>
      <c r="AH1275" s="9" t="s">
        <v>169</v>
      </c>
      <c r="AI1275" s="9" t="s">
        <v>178</v>
      </c>
      <c r="AJ1275" s="10"/>
      <c r="AK1275" s="30"/>
    </row>
    <row r="1276" spans="5:37">
      <c r="E1276" s="28" t="s">
        <v>155</v>
      </c>
      <c r="F1276" s="8" t="s">
        <v>174</v>
      </c>
      <c r="G1276" s="9" t="s">
        <v>863</v>
      </c>
      <c r="H1276" s="10">
        <v>185</v>
      </c>
      <c r="I1276" s="9" t="s">
        <v>158</v>
      </c>
      <c r="J1276" s="10">
        <v>185</v>
      </c>
      <c r="K1276" s="10">
        <v>184.3</v>
      </c>
      <c r="L1276" s="10">
        <v>146</v>
      </c>
      <c r="M1276" s="10">
        <v>152</v>
      </c>
      <c r="N1276" s="10">
        <v>130</v>
      </c>
      <c r="O1276" s="10">
        <v>84</v>
      </c>
      <c r="P1276" s="10">
        <v>114</v>
      </c>
      <c r="Q1276" s="10">
        <v>14</v>
      </c>
      <c r="R1276" s="10">
        <v>2285</v>
      </c>
      <c r="S1276" s="10">
        <v>0.81</v>
      </c>
      <c r="T1276" s="10">
        <v>1843</v>
      </c>
      <c r="U1276" s="10">
        <v>279</v>
      </c>
      <c r="V1276" s="10">
        <v>127</v>
      </c>
      <c r="W1276" s="10">
        <v>35</v>
      </c>
      <c r="X1276" s="10">
        <v>257</v>
      </c>
      <c r="Y1276" s="10">
        <v>6</v>
      </c>
      <c r="Z1276" s="10">
        <v>128</v>
      </c>
      <c r="AA1276" s="10">
        <v>0.161</v>
      </c>
      <c r="AB1276" s="10">
        <v>196</v>
      </c>
      <c r="AC1276" s="10">
        <v>127</v>
      </c>
      <c r="AD1276" s="10">
        <v>61</v>
      </c>
      <c r="AE1276" s="10">
        <v>12</v>
      </c>
      <c r="AF1276" s="10">
        <v>7.7</v>
      </c>
      <c r="AG1276" s="9" t="s">
        <v>231</v>
      </c>
      <c r="AH1276" s="9" t="s">
        <v>188</v>
      </c>
      <c r="AI1276" s="10"/>
      <c r="AJ1276" s="10"/>
      <c r="AK1276" s="30"/>
    </row>
    <row r="1277" spans="5:37">
      <c r="E1277" s="28" t="s">
        <v>155</v>
      </c>
      <c r="F1277" s="8" t="s">
        <v>174</v>
      </c>
      <c r="G1277" s="9" t="s">
        <v>283</v>
      </c>
      <c r="H1277" s="10">
        <v>153</v>
      </c>
      <c r="I1277" s="9" t="s">
        <v>158</v>
      </c>
      <c r="J1277" s="10">
        <v>153</v>
      </c>
      <c r="K1277" s="10">
        <v>151.9</v>
      </c>
      <c r="L1277" s="10">
        <v>112</v>
      </c>
      <c r="M1277" s="10">
        <v>127</v>
      </c>
      <c r="N1277" s="10">
        <v>128</v>
      </c>
      <c r="O1277" s="10">
        <v>91</v>
      </c>
      <c r="P1277" s="10">
        <v>111</v>
      </c>
      <c r="Q1277" s="10">
        <v>12.7</v>
      </c>
      <c r="R1277" s="10">
        <v>1579</v>
      </c>
      <c r="S1277" s="10">
        <v>0.99</v>
      </c>
      <c r="T1277" s="10">
        <v>1571</v>
      </c>
      <c r="U1277" s="10">
        <v>172</v>
      </c>
      <c r="V1277" s="10">
        <v>84</v>
      </c>
      <c r="W1277" s="10">
        <v>54</v>
      </c>
      <c r="X1277" s="10">
        <v>254</v>
      </c>
      <c r="Y1277" s="10">
        <v>16</v>
      </c>
      <c r="Z1277" s="10">
        <v>147</v>
      </c>
      <c r="AA1277" s="10">
        <v>0.30099999999999999</v>
      </c>
      <c r="AB1277" s="10">
        <v>131</v>
      </c>
      <c r="AC1277" s="10">
        <v>118</v>
      </c>
      <c r="AD1277" s="10">
        <v>123</v>
      </c>
      <c r="AE1277" s="10">
        <v>6</v>
      </c>
      <c r="AF1277" s="10">
        <v>8.5</v>
      </c>
      <c r="AG1277" s="9" t="s">
        <v>188</v>
      </c>
      <c r="AH1277" s="10"/>
      <c r="AI1277" s="10"/>
      <c r="AJ1277" s="10"/>
      <c r="AK1277" s="30"/>
    </row>
    <row r="1278" spans="5:37">
      <c r="E1278" s="28" t="s">
        <v>155</v>
      </c>
      <c r="F1278" s="8" t="s">
        <v>174</v>
      </c>
      <c r="G1278" s="9" t="s">
        <v>283</v>
      </c>
      <c r="H1278" s="10">
        <v>169</v>
      </c>
      <c r="I1278" s="9" t="s">
        <v>158</v>
      </c>
      <c r="J1278" s="10">
        <v>169</v>
      </c>
      <c r="K1278" s="10">
        <v>168.2</v>
      </c>
      <c r="L1278" s="10">
        <v>130</v>
      </c>
      <c r="M1278" s="10">
        <v>140</v>
      </c>
      <c r="N1278" s="10">
        <v>129</v>
      </c>
      <c r="O1278" s="10">
        <v>91</v>
      </c>
      <c r="P1278" s="10">
        <v>112</v>
      </c>
      <c r="Q1278" s="10">
        <v>15.4</v>
      </c>
      <c r="R1278" s="10">
        <v>1763</v>
      </c>
      <c r="S1278" s="10">
        <v>0.99</v>
      </c>
      <c r="T1278" s="10">
        <v>1750</v>
      </c>
      <c r="U1278" s="10">
        <v>190</v>
      </c>
      <c r="V1278" s="10">
        <v>91</v>
      </c>
      <c r="W1278" s="10">
        <v>48</v>
      </c>
      <c r="X1278" s="10">
        <v>257</v>
      </c>
      <c r="Y1278" s="10">
        <v>11</v>
      </c>
      <c r="Z1278" s="10">
        <v>129</v>
      </c>
      <c r="AA1278" s="10">
        <v>0.22600000000000001</v>
      </c>
      <c r="AB1278" s="10">
        <v>157</v>
      </c>
      <c r="AC1278" s="10">
        <v>127</v>
      </c>
      <c r="AD1278" s="10">
        <v>99</v>
      </c>
      <c r="AE1278" s="10">
        <v>10</v>
      </c>
      <c r="AF1278" s="10">
        <v>9.8000000000000007</v>
      </c>
      <c r="AG1278" s="9" t="s">
        <v>188</v>
      </c>
      <c r="AH1278" s="10"/>
      <c r="AI1278" s="10"/>
      <c r="AJ1278" s="10"/>
      <c r="AK1278" s="30"/>
    </row>
    <row r="1279" spans="5:37">
      <c r="E1279" s="28" t="s">
        <v>155</v>
      </c>
      <c r="F1279" s="8" t="s">
        <v>174</v>
      </c>
      <c r="G1279" s="9" t="s">
        <v>283</v>
      </c>
      <c r="H1279" s="10">
        <v>177</v>
      </c>
      <c r="I1279" s="9" t="s">
        <v>158</v>
      </c>
      <c r="J1279" s="10">
        <v>177</v>
      </c>
      <c r="K1279" s="10">
        <v>176.4</v>
      </c>
      <c r="L1279" s="10">
        <v>136</v>
      </c>
      <c r="M1279" s="10">
        <v>148</v>
      </c>
      <c r="N1279" s="10">
        <v>131</v>
      </c>
      <c r="O1279" s="10">
        <v>91</v>
      </c>
      <c r="P1279" s="10">
        <v>114</v>
      </c>
      <c r="Q1279" s="10">
        <v>16.5</v>
      </c>
      <c r="R1279" s="10">
        <v>1860</v>
      </c>
      <c r="S1279" s="10">
        <v>0.99</v>
      </c>
      <c r="T1279" s="10">
        <v>1843</v>
      </c>
      <c r="U1279" s="10">
        <v>219</v>
      </c>
      <c r="V1279" s="10">
        <v>94</v>
      </c>
      <c r="W1279" s="10">
        <v>49</v>
      </c>
      <c r="X1279" s="10">
        <v>273</v>
      </c>
      <c r="Y1279" s="10">
        <v>11</v>
      </c>
      <c r="Z1279" s="10">
        <v>130</v>
      </c>
      <c r="AA1279" s="10">
        <v>0.217</v>
      </c>
      <c r="AB1279" s="10">
        <v>152</v>
      </c>
      <c r="AC1279" s="10">
        <v>128</v>
      </c>
      <c r="AD1279" s="10">
        <v>121</v>
      </c>
      <c r="AE1279" s="10">
        <v>11</v>
      </c>
      <c r="AF1279" s="10">
        <v>10</v>
      </c>
      <c r="AG1279" s="9" t="s">
        <v>188</v>
      </c>
      <c r="AH1279" s="10"/>
      <c r="AI1279" s="10"/>
      <c r="AJ1279" s="10"/>
      <c r="AK1279" s="30"/>
    </row>
    <row r="1280" spans="5:37">
      <c r="E1280" s="28" t="s">
        <v>155</v>
      </c>
      <c r="F1280" s="8" t="s">
        <v>174</v>
      </c>
      <c r="G1280" s="9" t="s">
        <v>283</v>
      </c>
      <c r="H1280" s="10">
        <v>185</v>
      </c>
      <c r="I1280" s="9" t="s">
        <v>158</v>
      </c>
      <c r="J1280" s="10">
        <v>185</v>
      </c>
      <c r="K1280" s="10">
        <v>184.3</v>
      </c>
      <c r="L1280" s="10">
        <v>141</v>
      </c>
      <c r="M1280" s="10">
        <v>156</v>
      </c>
      <c r="N1280" s="10">
        <v>132</v>
      </c>
      <c r="O1280" s="10">
        <v>91</v>
      </c>
      <c r="P1280" s="10">
        <v>115</v>
      </c>
      <c r="Q1280" s="10">
        <v>17.8</v>
      </c>
      <c r="R1280" s="10">
        <v>2002</v>
      </c>
      <c r="S1280" s="10">
        <v>0.97</v>
      </c>
      <c r="T1280" s="10">
        <v>1932</v>
      </c>
      <c r="U1280" s="10">
        <v>246</v>
      </c>
      <c r="V1280" s="10">
        <v>108</v>
      </c>
      <c r="W1280" s="10">
        <v>49</v>
      </c>
      <c r="X1280" s="10">
        <v>288</v>
      </c>
      <c r="Y1280" s="10">
        <v>11</v>
      </c>
      <c r="Z1280" s="10">
        <v>141</v>
      </c>
      <c r="AA1280" s="10">
        <v>0.23100000000000001</v>
      </c>
      <c r="AB1280" s="10">
        <v>149</v>
      </c>
      <c r="AC1280" s="10">
        <v>130</v>
      </c>
      <c r="AD1280" s="10">
        <v>139</v>
      </c>
      <c r="AE1280" s="10">
        <v>10</v>
      </c>
      <c r="AF1280" s="10">
        <v>10.3</v>
      </c>
      <c r="AG1280" s="9" t="s">
        <v>188</v>
      </c>
      <c r="AH1280" s="10"/>
      <c r="AI1280" s="10"/>
      <c r="AJ1280" s="10"/>
      <c r="AK1280" s="30"/>
    </row>
    <row r="1281" spans="5:37">
      <c r="E1281" s="28" t="s">
        <v>155</v>
      </c>
      <c r="F1281" s="8" t="s">
        <v>174</v>
      </c>
      <c r="G1281" s="9" t="s">
        <v>573</v>
      </c>
      <c r="H1281" s="10">
        <v>169</v>
      </c>
      <c r="I1281" s="9" t="s">
        <v>158</v>
      </c>
      <c r="J1281" s="10">
        <v>169</v>
      </c>
      <c r="K1281" s="10">
        <v>168.8</v>
      </c>
      <c r="L1281" s="10">
        <v>94</v>
      </c>
      <c r="M1281" s="10">
        <v>127</v>
      </c>
      <c r="N1281" s="10">
        <v>130</v>
      </c>
      <c r="O1281" s="10">
        <v>97</v>
      </c>
      <c r="P1281" s="10">
        <v>118</v>
      </c>
      <c r="Q1281" s="10">
        <v>12.5</v>
      </c>
      <c r="R1281" s="10">
        <v>1813</v>
      </c>
      <c r="S1281" s="10">
        <v>1.01</v>
      </c>
      <c r="T1281" s="10">
        <v>1839</v>
      </c>
      <c r="U1281" s="10">
        <v>159</v>
      </c>
      <c r="V1281" s="10">
        <v>73</v>
      </c>
      <c r="W1281" s="10">
        <v>58</v>
      </c>
      <c r="X1281" s="10">
        <v>389</v>
      </c>
      <c r="Y1281" s="10">
        <v>32</v>
      </c>
      <c r="Z1281" s="10">
        <v>363</v>
      </c>
      <c r="AA1281" s="10">
        <v>0.54100000000000004</v>
      </c>
      <c r="AB1281" s="10">
        <v>241</v>
      </c>
      <c r="AC1281" s="10">
        <v>180</v>
      </c>
      <c r="AD1281" s="10">
        <v>148</v>
      </c>
      <c r="AE1281" s="10">
        <v>5</v>
      </c>
      <c r="AF1281" s="10">
        <v>7.6</v>
      </c>
      <c r="AG1281" s="9" t="s">
        <v>188</v>
      </c>
      <c r="AH1281" s="10"/>
      <c r="AI1281" s="10"/>
      <c r="AJ1281" s="10"/>
      <c r="AK1281" s="30"/>
    </row>
    <row r="1282" spans="5:37">
      <c r="E1282" s="28" t="s">
        <v>155</v>
      </c>
      <c r="F1282" s="8" t="s">
        <v>174</v>
      </c>
      <c r="G1282" s="9" t="s">
        <v>573</v>
      </c>
      <c r="H1282" s="10">
        <v>176</v>
      </c>
      <c r="I1282" s="9" t="s">
        <v>158</v>
      </c>
      <c r="J1282" s="10">
        <v>176</v>
      </c>
      <c r="K1282" s="10">
        <v>177.6</v>
      </c>
      <c r="L1282" s="10">
        <v>102</v>
      </c>
      <c r="M1282" s="10">
        <v>134</v>
      </c>
      <c r="N1282" s="10">
        <v>131</v>
      </c>
      <c r="O1282" s="10">
        <v>97</v>
      </c>
      <c r="P1282" s="10">
        <v>119</v>
      </c>
      <c r="Q1282" s="10">
        <v>13.4</v>
      </c>
      <c r="R1282" s="10">
        <v>1987</v>
      </c>
      <c r="S1282" s="10">
        <v>0.98</v>
      </c>
      <c r="T1282" s="10">
        <v>1941</v>
      </c>
      <c r="U1282" s="10">
        <v>190</v>
      </c>
      <c r="V1282" s="10">
        <v>88</v>
      </c>
      <c r="W1282" s="10">
        <v>57</v>
      </c>
      <c r="X1282" s="10">
        <v>394</v>
      </c>
      <c r="Y1282" s="10">
        <v>29</v>
      </c>
      <c r="Z1282" s="10">
        <v>364</v>
      </c>
      <c r="AA1282" s="10">
        <v>0.50700000000000001</v>
      </c>
      <c r="AB1282" s="10">
        <v>248</v>
      </c>
      <c r="AC1282" s="10">
        <v>186</v>
      </c>
      <c r="AD1282" s="10">
        <v>146</v>
      </c>
      <c r="AE1282" s="10">
        <v>6</v>
      </c>
      <c r="AF1282" s="10">
        <v>8.6</v>
      </c>
      <c r="AG1282" s="9" t="s">
        <v>188</v>
      </c>
      <c r="AH1282" s="10"/>
      <c r="AI1282" s="10"/>
      <c r="AJ1282" s="10"/>
      <c r="AK1282" s="30"/>
    </row>
    <row r="1283" spans="5:37">
      <c r="E1283" s="28" t="s">
        <v>155</v>
      </c>
      <c r="F1283" s="8" t="s">
        <v>174</v>
      </c>
      <c r="G1283" s="9" t="s">
        <v>573</v>
      </c>
      <c r="H1283" s="10">
        <v>183</v>
      </c>
      <c r="I1283" s="9" t="s">
        <v>158</v>
      </c>
      <c r="J1283" s="10">
        <v>183</v>
      </c>
      <c r="K1283" s="10">
        <v>182.6</v>
      </c>
      <c r="L1283" s="10">
        <v>101</v>
      </c>
      <c r="M1283" s="10">
        <v>137</v>
      </c>
      <c r="N1283" s="10">
        <v>132</v>
      </c>
      <c r="O1283" s="10">
        <v>98</v>
      </c>
      <c r="P1283" s="10">
        <v>120</v>
      </c>
      <c r="Q1283" s="10">
        <v>14.2</v>
      </c>
      <c r="R1283" s="10">
        <v>2030</v>
      </c>
      <c r="S1283" s="10">
        <v>0.99</v>
      </c>
      <c r="T1283" s="10">
        <v>2008</v>
      </c>
      <c r="U1283" s="10">
        <v>210</v>
      </c>
      <c r="V1283" s="10">
        <v>105</v>
      </c>
      <c r="W1283" s="10">
        <v>52</v>
      </c>
      <c r="X1283" s="10">
        <v>414</v>
      </c>
      <c r="Y1283" s="10">
        <v>33</v>
      </c>
      <c r="Z1283" s="10">
        <v>406</v>
      </c>
      <c r="AA1283" s="10">
        <v>0.629</v>
      </c>
      <c r="AB1283" s="10">
        <v>276</v>
      </c>
      <c r="AC1283" s="10">
        <v>182</v>
      </c>
      <c r="AD1283" s="10">
        <v>138</v>
      </c>
      <c r="AE1283" s="10">
        <v>6</v>
      </c>
      <c r="AF1283" s="10">
        <v>8.6999999999999993</v>
      </c>
      <c r="AG1283" s="9" t="s">
        <v>188</v>
      </c>
      <c r="AH1283" s="10"/>
      <c r="AI1283" s="10"/>
      <c r="AJ1283" s="10"/>
      <c r="AK1283" s="30"/>
    </row>
    <row r="1284" spans="5:37">
      <c r="E1284" s="28" t="s">
        <v>155</v>
      </c>
      <c r="F1284" s="8" t="s">
        <v>174</v>
      </c>
      <c r="G1284" s="9" t="s">
        <v>544</v>
      </c>
      <c r="H1284" s="10">
        <v>167</v>
      </c>
      <c r="I1284" s="9" t="s">
        <v>158</v>
      </c>
      <c r="J1284" s="10">
        <v>167</v>
      </c>
      <c r="K1284" s="10">
        <v>166</v>
      </c>
      <c r="L1284" s="10">
        <v>130</v>
      </c>
      <c r="M1284" s="10">
        <v>130</v>
      </c>
      <c r="N1284" s="10">
        <v>133</v>
      </c>
      <c r="O1284" s="10">
        <v>98</v>
      </c>
      <c r="P1284" s="10">
        <v>116</v>
      </c>
      <c r="Q1284" s="10">
        <v>14</v>
      </c>
      <c r="R1284" s="10">
        <v>1882</v>
      </c>
      <c r="S1284" s="10">
        <v>0.97</v>
      </c>
      <c r="T1284" s="10">
        <v>1828</v>
      </c>
      <c r="U1284" s="10">
        <v>191</v>
      </c>
      <c r="V1284" s="10">
        <v>88</v>
      </c>
      <c r="W1284" s="10">
        <v>51</v>
      </c>
      <c r="X1284" s="10">
        <v>194</v>
      </c>
      <c r="Y1284" s="10">
        <v>19</v>
      </c>
      <c r="Z1284" s="10">
        <v>169</v>
      </c>
      <c r="AA1284" s="10">
        <v>0.375</v>
      </c>
      <c r="AB1284" s="10">
        <v>212</v>
      </c>
      <c r="AC1284" s="10">
        <v>153</v>
      </c>
      <c r="AD1284" s="10">
        <v>-18</v>
      </c>
      <c r="AE1284" s="10">
        <v>14</v>
      </c>
      <c r="AF1284" s="10">
        <v>8.6</v>
      </c>
      <c r="AG1284" s="9" t="s">
        <v>188</v>
      </c>
      <c r="AH1284" s="10"/>
      <c r="AI1284" s="10"/>
      <c r="AJ1284" s="10"/>
      <c r="AK1284" s="30"/>
    </row>
    <row r="1285" spans="5:37">
      <c r="E1285" s="28" t="s">
        <v>155</v>
      </c>
      <c r="F1285" s="8" t="s">
        <v>174</v>
      </c>
      <c r="G1285" s="9" t="s">
        <v>544</v>
      </c>
      <c r="H1285" s="10">
        <v>181</v>
      </c>
      <c r="I1285" s="9" t="s">
        <v>158</v>
      </c>
      <c r="J1285" s="10">
        <v>181</v>
      </c>
      <c r="K1285" s="10">
        <v>180.4</v>
      </c>
      <c r="L1285" s="10">
        <v>125</v>
      </c>
      <c r="M1285" s="10">
        <v>144</v>
      </c>
      <c r="N1285" s="10">
        <v>136</v>
      </c>
      <c r="O1285" s="10">
        <v>98</v>
      </c>
      <c r="P1285" s="10">
        <v>119</v>
      </c>
      <c r="Q1285" s="10">
        <v>15.3</v>
      </c>
      <c r="R1285" s="10">
        <v>2085</v>
      </c>
      <c r="S1285" s="10">
        <v>0.96</v>
      </c>
      <c r="T1285" s="10">
        <v>2011</v>
      </c>
      <c r="U1285" s="10">
        <v>253</v>
      </c>
      <c r="V1285" s="10">
        <v>114</v>
      </c>
      <c r="W1285" s="10">
        <v>55</v>
      </c>
      <c r="X1285" s="10">
        <v>295</v>
      </c>
      <c r="Y1285" s="10">
        <v>23</v>
      </c>
      <c r="Z1285" s="10">
        <v>263</v>
      </c>
      <c r="AA1285" s="10">
        <v>0.41899999999999998</v>
      </c>
      <c r="AB1285" s="10">
        <v>208</v>
      </c>
      <c r="AC1285" s="10">
        <v>156</v>
      </c>
      <c r="AD1285" s="10">
        <v>87</v>
      </c>
      <c r="AE1285" s="10">
        <v>9</v>
      </c>
      <c r="AF1285" s="10">
        <v>9.8000000000000007</v>
      </c>
      <c r="AG1285" s="9" t="s">
        <v>188</v>
      </c>
      <c r="AH1285" s="10"/>
      <c r="AI1285" s="10"/>
      <c r="AJ1285" s="10"/>
      <c r="AK1285" s="30"/>
    </row>
    <row r="1286" spans="5:37">
      <c r="E1286" s="28" t="s">
        <v>155</v>
      </c>
      <c r="F1286" s="8" t="s">
        <v>174</v>
      </c>
      <c r="G1286" s="9" t="s">
        <v>544</v>
      </c>
      <c r="H1286" s="10">
        <v>188</v>
      </c>
      <c r="I1286" s="9" t="s">
        <v>158</v>
      </c>
      <c r="J1286" s="10">
        <v>188</v>
      </c>
      <c r="K1286" s="10">
        <v>187.2</v>
      </c>
      <c r="L1286" s="10">
        <v>126</v>
      </c>
      <c r="M1286" s="10">
        <v>148</v>
      </c>
      <c r="N1286" s="10">
        <v>139</v>
      </c>
      <c r="O1286" s="10">
        <v>98</v>
      </c>
      <c r="P1286" s="10">
        <v>121</v>
      </c>
      <c r="Q1286" s="10">
        <v>15.4</v>
      </c>
      <c r="R1286" s="10">
        <v>2297</v>
      </c>
      <c r="S1286" s="10">
        <v>0.92</v>
      </c>
      <c r="T1286" s="10">
        <v>2102</v>
      </c>
      <c r="U1286" s="10">
        <v>277</v>
      </c>
      <c r="V1286" s="10">
        <v>124</v>
      </c>
      <c r="W1286" s="10">
        <v>60</v>
      </c>
      <c r="X1286" s="10">
        <v>342</v>
      </c>
      <c r="Y1286" s="10">
        <v>22</v>
      </c>
      <c r="Z1286" s="10">
        <v>271</v>
      </c>
      <c r="AA1286" s="10">
        <v>0.36899999999999999</v>
      </c>
      <c r="AB1286" s="10">
        <v>236</v>
      </c>
      <c r="AC1286" s="10">
        <v>155</v>
      </c>
      <c r="AD1286" s="10">
        <v>106</v>
      </c>
      <c r="AE1286" s="10">
        <v>7</v>
      </c>
      <c r="AF1286" s="10">
        <v>10.3</v>
      </c>
      <c r="AG1286" s="9" t="s">
        <v>188</v>
      </c>
      <c r="AH1286" s="10"/>
      <c r="AI1286" s="10"/>
      <c r="AJ1286" s="10"/>
      <c r="AK1286" s="30"/>
    </row>
    <row r="1287" spans="5:37">
      <c r="E1287" s="28" t="s">
        <v>155</v>
      </c>
      <c r="F1287" s="8" t="s">
        <v>174</v>
      </c>
      <c r="G1287" s="9" t="s">
        <v>791</v>
      </c>
      <c r="H1287" s="10">
        <v>186</v>
      </c>
      <c r="I1287" s="9" t="s">
        <v>158</v>
      </c>
      <c r="J1287" s="10">
        <v>186</v>
      </c>
      <c r="K1287" s="10">
        <v>185.2</v>
      </c>
      <c r="L1287" s="10">
        <v>86</v>
      </c>
      <c r="M1287" s="10">
        <v>139</v>
      </c>
      <c r="N1287" s="10">
        <v>137</v>
      </c>
      <c r="O1287" s="10">
        <v>111</v>
      </c>
      <c r="P1287" s="10">
        <v>126</v>
      </c>
      <c r="Q1287" s="10">
        <v>17.899999999999999</v>
      </c>
      <c r="R1287" s="10">
        <v>2172</v>
      </c>
      <c r="S1287" s="10">
        <v>1.03</v>
      </c>
      <c r="T1287" s="10">
        <v>2237</v>
      </c>
      <c r="U1287" s="10">
        <v>227</v>
      </c>
      <c r="V1287" s="10">
        <v>111</v>
      </c>
      <c r="W1287" s="10">
        <v>62</v>
      </c>
      <c r="X1287" s="10">
        <v>489</v>
      </c>
      <c r="Y1287" s="10">
        <v>33</v>
      </c>
      <c r="Z1287" s="10">
        <v>500</v>
      </c>
      <c r="AA1287" s="10">
        <v>0.54400000000000004</v>
      </c>
      <c r="AB1287" s="10">
        <v>209</v>
      </c>
      <c r="AC1287" s="10">
        <v>256</v>
      </c>
      <c r="AD1287" s="10">
        <v>280</v>
      </c>
      <c r="AE1287" s="10">
        <v>3</v>
      </c>
      <c r="AF1287" s="10">
        <v>8.5</v>
      </c>
      <c r="AG1287" s="9" t="s">
        <v>169</v>
      </c>
      <c r="AH1287" s="10"/>
      <c r="AI1287" s="10"/>
      <c r="AJ1287" s="10"/>
      <c r="AK1287" s="30"/>
    </row>
    <row r="1288" spans="5:37">
      <c r="E1288" s="28" t="s">
        <v>155</v>
      </c>
      <c r="F1288" s="8" t="s">
        <v>174</v>
      </c>
      <c r="G1288" s="9" t="s">
        <v>791</v>
      </c>
      <c r="H1288" s="10">
        <v>194</v>
      </c>
      <c r="I1288" s="9" t="s">
        <v>158</v>
      </c>
      <c r="J1288" s="10">
        <v>194</v>
      </c>
      <c r="K1288" s="10">
        <v>193.2</v>
      </c>
      <c r="L1288" s="10">
        <v>91</v>
      </c>
      <c r="M1288" s="10">
        <v>148</v>
      </c>
      <c r="N1288" s="10">
        <v>138</v>
      </c>
      <c r="O1288" s="10">
        <v>111</v>
      </c>
      <c r="P1288" s="10">
        <v>127</v>
      </c>
      <c r="Q1288" s="10">
        <v>19.3</v>
      </c>
      <c r="R1288" s="10">
        <v>2330</v>
      </c>
      <c r="S1288" s="10">
        <v>1</v>
      </c>
      <c r="T1288" s="10">
        <v>2337</v>
      </c>
      <c r="U1288" s="10">
        <v>265</v>
      </c>
      <c r="V1288" s="10">
        <v>134</v>
      </c>
      <c r="W1288" s="10">
        <v>63</v>
      </c>
      <c r="X1288" s="10">
        <v>519</v>
      </c>
      <c r="Y1288" s="10">
        <v>34</v>
      </c>
      <c r="Z1288" s="10">
        <v>505</v>
      </c>
      <c r="AA1288" s="10">
        <v>0.54</v>
      </c>
      <c r="AB1288" s="10">
        <v>244</v>
      </c>
      <c r="AC1288" s="10">
        <v>207</v>
      </c>
      <c r="AD1288" s="10">
        <v>275</v>
      </c>
      <c r="AE1288" s="10">
        <v>3</v>
      </c>
      <c r="AF1288" s="10">
        <v>7.1</v>
      </c>
      <c r="AG1288" s="9" t="s">
        <v>169</v>
      </c>
      <c r="AH1288" s="10"/>
      <c r="AI1288" s="10"/>
      <c r="AJ1288" s="10"/>
      <c r="AK1288" s="30"/>
    </row>
    <row r="1289" spans="5:37">
      <c r="E1289" s="28" t="s">
        <v>155</v>
      </c>
      <c r="F1289" s="8" t="s">
        <v>174</v>
      </c>
      <c r="G1289" s="9" t="s">
        <v>175</v>
      </c>
      <c r="H1289" s="10">
        <v>167</v>
      </c>
      <c r="I1289" s="9" t="s">
        <v>163</v>
      </c>
      <c r="J1289" s="10">
        <v>167</v>
      </c>
      <c r="K1289" s="10">
        <v>165.8</v>
      </c>
      <c r="L1289" s="10">
        <v>124</v>
      </c>
      <c r="M1289" s="10">
        <v>129</v>
      </c>
      <c r="N1289" s="10">
        <v>134</v>
      </c>
      <c r="O1289" s="10">
        <v>98</v>
      </c>
      <c r="P1289" s="10">
        <v>116</v>
      </c>
      <c r="Q1289" s="10">
        <v>13.6</v>
      </c>
      <c r="R1289" s="9" t="s">
        <v>1155</v>
      </c>
      <c r="S1289" s="9" t="s">
        <v>1155</v>
      </c>
      <c r="T1289" s="10">
        <v>1829</v>
      </c>
      <c r="U1289" s="10">
        <v>191</v>
      </c>
      <c r="V1289" s="10">
        <v>91</v>
      </c>
      <c r="W1289" s="10">
        <v>52</v>
      </c>
      <c r="X1289" s="10">
        <v>220</v>
      </c>
      <c r="Y1289" s="10">
        <v>22</v>
      </c>
      <c r="Z1289" s="10">
        <v>203</v>
      </c>
      <c r="AA1289" s="10">
        <v>0.41799999999999998</v>
      </c>
      <c r="AB1289" s="10">
        <v>218</v>
      </c>
      <c r="AC1289" s="10">
        <v>145</v>
      </c>
      <c r="AD1289" s="10">
        <v>2</v>
      </c>
      <c r="AE1289" s="10">
        <v>10</v>
      </c>
      <c r="AF1289" s="10">
        <v>9.3000000000000007</v>
      </c>
      <c r="AG1289" s="9" t="s">
        <v>160</v>
      </c>
      <c r="AH1289" s="10"/>
      <c r="AI1289" s="10"/>
      <c r="AJ1289" s="10"/>
      <c r="AK1289" s="30"/>
    </row>
    <row r="1290" spans="5:37">
      <c r="E1290" s="28" t="s">
        <v>155</v>
      </c>
      <c r="F1290" s="8" t="s">
        <v>174</v>
      </c>
      <c r="G1290" s="9" t="s">
        <v>175</v>
      </c>
      <c r="H1290" s="10">
        <v>174</v>
      </c>
      <c r="I1290" s="9" t="s">
        <v>163</v>
      </c>
      <c r="J1290" s="10">
        <v>174</v>
      </c>
      <c r="K1290" s="10">
        <v>172.6</v>
      </c>
      <c r="L1290" s="10">
        <v>127</v>
      </c>
      <c r="M1290" s="10">
        <v>134</v>
      </c>
      <c r="N1290" s="10">
        <v>135</v>
      </c>
      <c r="O1290" s="10">
        <v>99</v>
      </c>
      <c r="P1290" s="10">
        <v>117</v>
      </c>
      <c r="Q1290" s="10">
        <v>14.2</v>
      </c>
      <c r="R1290" s="10">
        <v>1830</v>
      </c>
      <c r="S1290" s="10">
        <v>1.05</v>
      </c>
      <c r="T1290" s="10">
        <v>1919</v>
      </c>
      <c r="U1290" s="10">
        <v>223</v>
      </c>
      <c r="V1290" s="10">
        <v>109</v>
      </c>
      <c r="W1290" s="10">
        <v>53</v>
      </c>
      <c r="X1290" s="10">
        <v>258</v>
      </c>
      <c r="Y1290" s="10">
        <v>19</v>
      </c>
      <c r="Z1290" s="10">
        <v>201</v>
      </c>
      <c r="AA1290" s="10">
        <v>0.35599999999999998</v>
      </c>
      <c r="AB1290" s="10">
        <v>227</v>
      </c>
      <c r="AC1290" s="10">
        <v>155</v>
      </c>
      <c r="AD1290" s="10">
        <v>32</v>
      </c>
      <c r="AE1290" s="10">
        <v>10</v>
      </c>
      <c r="AF1290" s="10">
        <v>10.6</v>
      </c>
      <c r="AG1290" s="9" t="s">
        <v>188</v>
      </c>
      <c r="AH1290" s="10"/>
      <c r="AI1290" s="10"/>
      <c r="AJ1290" s="10"/>
      <c r="AK1290" s="30"/>
    </row>
    <row r="1291" spans="5:37">
      <c r="E1291" s="28" t="s">
        <v>155</v>
      </c>
      <c r="F1291" s="8" t="s">
        <v>174</v>
      </c>
      <c r="G1291" s="9" t="s">
        <v>622</v>
      </c>
      <c r="H1291" s="10">
        <v>153</v>
      </c>
      <c r="I1291" s="9" t="s">
        <v>163</v>
      </c>
      <c r="J1291" s="10">
        <v>153</v>
      </c>
      <c r="K1291" s="10">
        <v>152.19999999999999</v>
      </c>
      <c r="L1291" s="10">
        <v>115</v>
      </c>
      <c r="M1291" s="10">
        <v>128</v>
      </c>
      <c r="N1291" s="10">
        <v>127</v>
      </c>
      <c r="O1291" s="10">
        <v>92</v>
      </c>
      <c r="P1291" s="10">
        <v>110</v>
      </c>
      <c r="Q1291" s="10">
        <v>13.2</v>
      </c>
      <c r="R1291" s="10">
        <v>1584</v>
      </c>
      <c r="S1291" s="10">
        <v>1</v>
      </c>
      <c r="T1291" s="10">
        <v>1576</v>
      </c>
      <c r="U1291" s="10">
        <v>160</v>
      </c>
      <c r="V1291" s="10">
        <v>78</v>
      </c>
      <c r="W1291" s="10">
        <v>55</v>
      </c>
      <c r="X1291" s="10">
        <v>262</v>
      </c>
      <c r="Y1291" s="10">
        <v>13</v>
      </c>
      <c r="Z1291" s="10">
        <v>107</v>
      </c>
      <c r="AA1291" s="10">
        <v>0.24</v>
      </c>
      <c r="AB1291" s="10">
        <v>136</v>
      </c>
      <c r="AC1291" s="10">
        <v>106</v>
      </c>
      <c r="AD1291" s="10">
        <v>125</v>
      </c>
      <c r="AE1291" s="10">
        <v>10</v>
      </c>
      <c r="AF1291" s="10">
        <v>7.7</v>
      </c>
      <c r="AG1291" s="9" t="s">
        <v>188</v>
      </c>
      <c r="AH1291" s="10"/>
      <c r="AI1291" s="10"/>
      <c r="AJ1291" s="10"/>
      <c r="AK1291" s="30"/>
    </row>
    <row r="1292" spans="5:37">
      <c r="E1292" s="28" t="s">
        <v>155</v>
      </c>
      <c r="F1292" s="8" t="s">
        <v>174</v>
      </c>
      <c r="G1292" s="9" t="s">
        <v>622</v>
      </c>
      <c r="H1292" s="10">
        <v>161</v>
      </c>
      <c r="I1292" s="9" t="s">
        <v>163</v>
      </c>
      <c r="J1292" s="10">
        <v>161</v>
      </c>
      <c r="K1292" s="10">
        <v>160.1</v>
      </c>
      <c r="L1292" s="10">
        <v>120</v>
      </c>
      <c r="M1292" s="10">
        <v>134</v>
      </c>
      <c r="N1292" s="10">
        <v>128</v>
      </c>
      <c r="O1292" s="10">
        <v>92</v>
      </c>
      <c r="P1292" s="10">
        <v>111</v>
      </c>
      <c r="Q1292" s="10">
        <v>14.4</v>
      </c>
      <c r="R1292" s="10">
        <v>1647</v>
      </c>
      <c r="S1292" s="10">
        <v>1.01</v>
      </c>
      <c r="T1292" s="10">
        <v>1660</v>
      </c>
      <c r="U1292" s="10">
        <v>170</v>
      </c>
      <c r="V1292" s="10">
        <v>77</v>
      </c>
      <c r="W1292" s="10">
        <v>56</v>
      </c>
      <c r="X1292" s="10">
        <v>278</v>
      </c>
      <c r="Y1292" s="10">
        <v>13</v>
      </c>
      <c r="Z1292" s="10">
        <v>128</v>
      </c>
      <c r="AA1292" s="10">
        <v>0.23100000000000001</v>
      </c>
      <c r="AB1292" s="10">
        <v>149</v>
      </c>
      <c r="AC1292" s="10">
        <v>115</v>
      </c>
      <c r="AD1292" s="10">
        <v>129</v>
      </c>
      <c r="AE1292" s="10">
        <v>9</v>
      </c>
      <c r="AF1292" s="10">
        <v>8.9</v>
      </c>
      <c r="AG1292" s="9" t="s">
        <v>188</v>
      </c>
      <c r="AH1292" s="10"/>
      <c r="AI1292" s="10"/>
      <c r="AJ1292" s="10"/>
      <c r="AK1292" s="30"/>
    </row>
    <row r="1293" spans="5:37">
      <c r="E1293" s="28" t="s">
        <v>155</v>
      </c>
      <c r="F1293" s="8" t="s">
        <v>174</v>
      </c>
      <c r="G1293" s="9" t="s">
        <v>622</v>
      </c>
      <c r="H1293" s="10">
        <v>169</v>
      </c>
      <c r="I1293" s="9" t="s">
        <v>163</v>
      </c>
      <c r="J1293" s="10">
        <v>169</v>
      </c>
      <c r="K1293" s="10">
        <v>168.6</v>
      </c>
      <c r="L1293" s="10">
        <v>125</v>
      </c>
      <c r="M1293" s="10">
        <v>140</v>
      </c>
      <c r="N1293" s="10">
        <v>129</v>
      </c>
      <c r="O1293" s="10">
        <v>92</v>
      </c>
      <c r="P1293" s="10">
        <v>112</v>
      </c>
      <c r="Q1293" s="10">
        <v>15.5</v>
      </c>
      <c r="R1293" s="10">
        <v>1722</v>
      </c>
      <c r="S1293" s="10">
        <v>1.02</v>
      </c>
      <c r="T1293" s="10">
        <v>1752</v>
      </c>
      <c r="U1293" s="10">
        <v>183</v>
      </c>
      <c r="V1293" s="10">
        <v>82</v>
      </c>
      <c r="W1293" s="10">
        <v>56</v>
      </c>
      <c r="X1293" s="10">
        <v>288</v>
      </c>
      <c r="Y1293" s="10">
        <v>13</v>
      </c>
      <c r="Z1293" s="10">
        <v>147</v>
      </c>
      <c r="AA1293" s="10">
        <v>0.23799999999999999</v>
      </c>
      <c r="AB1293" s="10">
        <v>156</v>
      </c>
      <c r="AC1293" s="10">
        <v>128</v>
      </c>
      <c r="AD1293" s="10">
        <v>132</v>
      </c>
      <c r="AE1293" s="10">
        <v>8</v>
      </c>
      <c r="AF1293" s="10">
        <v>9.1</v>
      </c>
      <c r="AG1293" s="9" t="s">
        <v>188</v>
      </c>
      <c r="AH1293" s="10"/>
      <c r="AI1293" s="10"/>
      <c r="AJ1293" s="10"/>
      <c r="AK1293" s="30"/>
    </row>
    <row r="1294" spans="5:37">
      <c r="E1294" s="28" t="s">
        <v>155</v>
      </c>
      <c r="F1294" s="8" t="s">
        <v>174</v>
      </c>
      <c r="G1294" s="9" t="s">
        <v>526</v>
      </c>
      <c r="H1294" s="10">
        <v>159</v>
      </c>
      <c r="I1294" s="9" t="s">
        <v>163</v>
      </c>
      <c r="J1294" s="10">
        <v>159</v>
      </c>
      <c r="K1294" s="10">
        <v>158.19999999999999</v>
      </c>
      <c r="L1294" s="10">
        <v>99</v>
      </c>
      <c r="M1294" s="10">
        <v>129</v>
      </c>
      <c r="N1294" s="10">
        <v>136</v>
      </c>
      <c r="O1294" s="10">
        <v>104</v>
      </c>
      <c r="P1294" s="10">
        <v>122</v>
      </c>
      <c r="Q1294" s="10">
        <v>16.399999999999999</v>
      </c>
      <c r="R1294" s="10">
        <v>1771</v>
      </c>
      <c r="S1294" s="10">
        <v>1.02</v>
      </c>
      <c r="T1294" s="10">
        <v>1814</v>
      </c>
      <c r="U1294" s="10">
        <v>176</v>
      </c>
      <c r="V1294" s="10">
        <v>68</v>
      </c>
      <c r="W1294" s="10">
        <v>58</v>
      </c>
      <c r="X1294" s="10">
        <v>340</v>
      </c>
      <c r="Y1294" s="10">
        <v>26</v>
      </c>
      <c r="Z1294" s="10">
        <v>254</v>
      </c>
      <c r="AA1294" s="10">
        <v>0.44500000000000001</v>
      </c>
      <c r="AB1294" s="10">
        <v>176</v>
      </c>
      <c r="AC1294" s="10">
        <v>113</v>
      </c>
      <c r="AD1294" s="10">
        <v>164</v>
      </c>
      <c r="AE1294" s="10">
        <v>5</v>
      </c>
      <c r="AF1294" s="10">
        <v>9.6</v>
      </c>
      <c r="AG1294" s="9" t="s">
        <v>188</v>
      </c>
      <c r="AH1294" s="9" t="s">
        <v>169</v>
      </c>
      <c r="AI1294" s="10"/>
      <c r="AJ1294" s="10"/>
      <c r="AK1294" s="30"/>
    </row>
    <row r="1295" spans="5:37">
      <c r="E1295" s="28" t="s">
        <v>155</v>
      </c>
      <c r="F1295" s="8" t="s">
        <v>174</v>
      </c>
      <c r="G1295" s="9" t="s">
        <v>526</v>
      </c>
      <c r="H1295" s="10">
        <v>167</v>
      </c>
      <c r="I1295" s="9" t="s">
        <v>163</v>
      </c>
      <c r="J1295" s="10">
        <v>167</v>
      </c>
      <c r="K1295" s="10">
        <v>166.4</v>
      </c>
      <c r="L1295" s="10">
        <v>105</v>
      </c>
      <c r="M1295" s="10">
        <v>136</v>
      </c>
      <c r="N1295" s="10">
        <v>136</v>
      </c>
      <c r="O1295" s="10">
        <v>104</v>
      </c>
      <c r="P1295" s="10">
        <v>123</v>
      </c>
      <c r="Q1295" s="10">
        <v>17.600000000000001</v>
      </c>
      <c r="R1295" s="10">
        <v>1843</v>
      </c>
      <c r="S1295" s="10">
        <v>1.04</v>
      </c>
      <c r="T1295" s="10">
        <v>1912</v>
      </c>
      <c r="U1295" s="10">
        <v>207</v>
      </c>
      <c r="V1295" s="10">
        <v>85</v>
      </c>
      <c r="W1295" s="10">
        <v>56</v>
      </c>
      <c r="X1295" s="10">
        <v>343</v>
      </c>
      <c r="Y1295" s="10">
        <v>24</v>
      </c>
      <c r="Z1295" s="10">
        <v>266</v>
      </c>
      <c r="AA1295" s="10">
        <v>0.436</v>
      </c>
      <c r="AB1295" s="10">
        <v>186</v>
      </c>
      <c r="AC1295" s="10">
        <v>115</v>
      </c>
      <c r="AD1295" s="10">
        <v>158</v>
      </c>
      <c r="AE1295" s="10">
        <v>6</v>
      </c>
      <c r="AF1295" s="10">
        <v>9.9</v>
      </c>
      <c r="AG1295" s="9" t="s">
        <v>188</v>
      </c>
      <c r="AH1295" s="9" t="s">
        <v>169</v>
      </c>
      <c r="AI1295" s="10"/>
      <c r="AJ1295" s="10"/>
      <c r="AK1295" s="30"/>
    </row>
    <row r="1296" spans="5:37">
      <c r="E1296" s="28" t="s">
        <v>155</v>
      </c>
      <c r="F1296" s="8" t="s">
        <v>174</v>
      </c>
      <c r="G1296" s="9" t="s">
        <v>736</v>
      </c>
      <c r="H1296" s="10">
        <v>156</v>
      </c>
      <c r="I1296" s="9" t="s">
        <v>158</v>
      </c>
      <c r="J1296" s="10">
        <v>156</v>
      </c>
      <c r="K1296" s="10">
        <v>155.30000000000001</v>
      </c>
      <c r="L1296" s="10">
        <v>132</v>
      </c>
      <c r="M1296" s="10">
        <v>143</v>
      </c>
      <c r="N1296" s="10">
        <v>126</v>
      </c>
      <c r="O1296" s="10">
        <v>80</v>
      </c>
      <c r="P1296" s="10">
        <v>109</v>
      </c>
      <c r="Q1296" s="10">
        <v>12.9</v>
      </c>
      <c r="R1296" s="10">
        <v>1853</v>
      </c>
      <c r="S1296" s="10">
        <v>0.79</v>
      </c>
      <c r="T1296" s="10">
        <v>1472</v>
      </c>
      <c r="U1296" s="10">
        <v>180</v>
      </c>
      <c r="V1296" s="10">
        <v>84</v>
      </c>
      <c r="W1296" s="10">
        <v>40</v>
      </c>
      <c r="X1296" s="10">
        <v>151</v>
      </c>
      <c r="Y1296" s="10">
        <v>4</v>
      </c>
      <c r="Z1296" s="10">
        <v>79</v>
      </c>
      <c r="AA1296" s="10">
        <v>8.7999999999999995E-2</v>
      </c>
      <c r="AB1296" s="10">
        <v>86</v>
      </c>
      <c r="AC1296" s="10">
        <v>33</v>
      </c>
      <c r="AD1296" s="10">
        <v>66</v>
      </c>
      <c r="AE1296" s="10">
        <v>8</v>
      </c>
      <c r="AF1296" s="10">
        <v>10.5</v>
      </c>
      <c r="AG1296" s="9" t="s">
        <v>349</v>
      </c>
      <c r="AH1296" s="10"/>
      <c r="AI1296" s="10"/>
      <c r="AJ1296" s="10"/>
      <c r="AK1296" s="30"/>
    </row>
    <row r="1297" spans="5:37">
      <c r="E1297" s="28" t="s">
        <v>155</v>
      </c>
      <c r="F1297" s="8" t="s">
        <v>174</v>
      </c>
      <c r="G1297" s="9" t="s">
        <v>736</v>
      </c>
      <c r="H1297" s="10">
        <v>170</v>
      </c>
      <c r="I1297" s="9" t="s">
        <v>158</v>
      </c>
      <c r="J1297" s="10">
        <v>170</v>
      </c>
      <c r="K1297" s="10">
        <v>169.4</v>
      </c>
      <c r="L1297" s="10">
        <v>142</v>
      </c>
      <c r="M1297" s="10">
        <v>156</v>
      </c>
      <c r="N1297" s="10">
        <v>127</v>
      </c>
      <c r="O1297" s="10">
        <v>80</v>
      </c>
      <c r="P1297" s="10">
        <v>109</v>
      </c>
      <c r="Q1297" s="10">
        <v>15.2</v>
      </c>
      <c r="R1297" s="10">
        <v>2185</v>
      </c>
      <c r="S1297" s="10">
        <v>0.74</v>
      </c>
      <c r="T1297" s="10">
        <v>1608</v>
      </c>
      <c r="U1297" s="10">
        <v>254</v>
      </c>
      <c r="V1297" s="10">
        <v>116</v>
      </c>
      <c r="W1297" s="10">
        <v>44</v>
      </c>
      <c r="X1297" s="10">
        <v>188</v>
      </c>
      <c r="Y1297" s="10">
        <v>4</v>
      </c>
      <c r="Z1297" s="10">
        <v>87</v>
      </c>
      <c r="AA1297" s="10">
        <v>8.5000000000000006E-2</v>
      </c>
      <c r="AB1297" s="10">
        <v>88</v>
      </c>
      <c r="AC1297" s="10">
        <v>45</v>
      </c>
      <c r="AD1297" s="10">
        <v>100</v>
      </c>
      <c r="AE1297" s="10">
        <v>7</v>
      </c>
      <c r="AF1297" s="10">
        <v>11.6</v>
      </c>
      <c r="AG1297" s="9" t="s">
        <v>349</v>
      </c>
      <c r="AH1297" s="9" t="s">
        <v>188</v>
      </c>
      <c r="AI1297" s="10"/>
      <c r="AJ1297" s="10"/>
      <c r="AK1297" s="30"/>
    </row>
    <row r="1298" spans="5:37">
      <c r="E1298" s="28" t="s">
        <v>155</v>
      </c>
      <c r="F1298" s="8" t="s">
        <v>174</v>
      </c>
      <c r="G1298" s="9" t="s">
        <v>860</v>
      </c>
      <c r="H1298" s="10">
        <v>163</v>
      </c>
      <c r="I1298" s="9" t="s">
        <v>158</v>
      </c>
      <c r="J1298" s="10">
        <v>163</v>
      </c>
      <c r="K1298" s="10">
        <v>162</v>
      </c>
      <c r="L1298" s="10">
        <v>140</v>
      </c>
      <c r="M1298" s="10">
        <v>149</v>
      </c>
      <c r="N1298" s="10">
        <v>127</v>
      </c>
      <c r="O1298" s="10">
        <v>80</v>
      </c>
      <c r="P1298" s="10">
        <v>111</v>
      </c>
      <c r="Q1298" s="10">
        <v>14</v>
      </c>
      <c r="R1298" s="10">
        <v>2091</v>
      </c>
      <c r="S1298" s="10">
        <v>0.74</v>
      </c>
      <c r="T1298" s="10">
        <v>1549</v>
      </c>
      <c r="U1298" s="10">
        <v>186</v>
      </c>
      <c r="V1298" s="10">
        <v>125</v>
      </c>
      <c r="W1298" s="10">
        <v>43</v>
      </c>
      <c r="X1298" s="10">
        <v>169</v>
      </c>
      <c r="Y1298" s="10">
        <v>4</v>
      </c>
      <c r="Z1298" s="10">
        <v>53</v>
      </c>
      <c r="AA1298" s="10">
        <v>0.10299999999999999</v>
      </c>
      <c r="AB1298" s="10">
        <v>87</v>
      </c>
      <c r="AC1298" s="10">
        <v>40</v>
      </c>
      <c r="AD1298" s="10">
        <v>82</v>
      </c>
      <c r="AE1298" s="10">
        <v>11</v>
      </c>
      <c r="AF1298" s="10">
        <v>11.7</v>
      </c>
      <c r="AG1298" s="9" t="s">
        <v>349</v>
      </c>
      <c r="AH1298" s="9" t="s">
        <v>188</v>
      </c>
      <c r="AI1298" s="10"/>
      <c r="AJ1298" s="10"/>
      <c r="AK1298" s="30"/>
    </row>
    <row r="1299" spans="5:37">
      <c r="E1299" s="28" t="s">
        <v>155</v>
      </c>
      <c r="F1299" s="8" t="s">
        <v>174</v>
      </c>
      <c r="G1299" s="9" t="s">
        <v>892</v>
      </c>
      <c r="H1299" s="10">
        <v>165</v>
      </c>
      <c r="I1299" s="9" t="s">
        <v>158</v>
      </c>
      <c r="J1299" s="10">
        <v>165</v>
      </c>
      <c r="K1299" s="10">
        <v>164.4</v>
      </c>
      <c r="L1299" s="10">
        <v>145</v>
      </c>
      <c r="M1299" s="10">
        <v>153</v>
      </c>
      <c r="N1299" s="10">
        <v>121</v>
      </c>
      <c r="O1299" s="10">
        <v>72</v>
      </c>
      <c r="P1299" s="10">
        <v>107</v>
      </c>
      <c r="Q1299" s="10">
        <v>14.2</v>
      </c>
      <c r="R1299" s="10">
        <v>1991</v>
      </c>
      <c r="S1299" s="10">
        <v>0.73</v>
      </c>
      <c r="T1299" s="10">
        <v>1450</v>
      </c>
      <c r="U1299" s="10">
        <v>222</v>
      </c>
      <c r="V1299" s="10">
        <v>146</v>
      </c>
      <c r="W1299" s="10">
        <v>36</v>
      </c>
      <c r="X1299" s="10">
        <v>138</v>
      </c>
      <c r="Y1299" s="10">
        <v>4</v>
      </c>
      <c r="Z1299" s="10">
        <v>51</v>
      </c>
      <c r="AA1299" s="10">
        <v>0.11</v>
      </c>
      <c r="AB1299" s="10">
        <v>79</v>
      </c>
      <c r="AC1299" s="10">
        <v>31</v>
      </c>
      <c r="AD1299" s="10">
        <v>60</v>
      </c>
      <c r="AE1299" s="10">
        <v>13</v>
      </c>
      <c r="AF1299" s="10">
        <v>11.3</v>
      </c>
      <c r="AG1299" s="9" t="s">
        <v>349</v>
      </c>
      <c r="AH1299" s="10"/>
      <c r="AI1299" s="10"/>
      <c r="AJ1299" s="10"/>
      <c r="AK1299" s="30"/>
    </row>
    <row r="1300" spans="5:37">
      <c r="E1300" s="28" t="s">
        <v>155</v>
      </c>
      <c r="F1300" s="8" t="s">
        <v>174</v>
      </c>
      <c r="G1300" s="9" t="s">
        <v>892</v>
      </c>
      <c r="H1300" s="10">
        <v>170</v>
      </c>
      <c r="I1300" s="9" t="s">
        <v>158</v>
      </c>
      <c r="J1300" s="10">
        <v>170</v>
      </c>
      <c r="K1300" s="10">
        <v>169.4</v>
      </c>
      <c r="L1300" s="10">
        <v>151</v>
      </c>
      <c r="M1300" s="10">
        <v>159</v>
      </c>
      <c r="N1300" s="10">
        <v>121</v>
      </c>
      <c r="O1300" s="10">
        <v>72</v>
      </c>
      <c r="P1300" s="10">
        <v>106</v>
      </c>
      <c r="Q1300" s="10">
        <v>15</v>
      </c>
      <c r="R1300" s="10">
        <v>2055</v>
      </c>
      <c r="S1300" s="10">
        <v>0.73</v>
      </c>
      <c r="T1300" s="10">
        <v>1494</v>
      </c>
      <c r="U1300" s="10">
        <v>233</v>
      </c>
      <c r="V1300" s="10">
        <v>150</v>
      </c>
      <c r="W1300" s="10">
        <v>32</v>
      </c>
      <c r="X1300" s="10">
        <v>132</v>
      </c>
      <c r="Y1300" s="10">
        <v>4</v>
      </c>
      <c r="Z1300" s="10">
        <v>53</v>
      </c>
      <c r="AA1300" s="10">
        <v>0.13400000000000001</v>
      </c>
      <c r="AB1300" s="10">
        <v>73</v>
      </c>
      <c r="AC1300" s="10">
        <v>32</v>
      </c>
      <c r="AD1300" s="10">
        <v>59</v>
      </c>
      <c r="AE1300" s="10">
        <v>13</v>
      </c>
      <c r="AF1300" s="10">
        <v>11.6</v>
      </c>
      <c r="AG1300" s="9" t="s">
        <v>349</v>
      </c>
      <c r="AH1300" s="10"/>
      <c r="AI1300" s="10"/>
      <c r="AJ1300" s="10"/>
      <c r="AK1300" s="30"/>
    </row>
    <row r="1301" spans="5:37">
      <c r="E1301" s="28" t="s">
        <v>155</v>
      </c>
      <c r="F1301" s="8" t="s">
        <v>174</v>
      </c>
      <c r="G1301" s="9" t="s">
        <v>892</v>
      </c>
      <c r="H1301" s="10">
        <v>175</v>
      </c>
      <c r="I1301" s="9" t="s">
        <v>158</v>
      </c>
      <c r="J1301" s="10">
        <v>175</v>
      </c>
      <c r="K1301" s="10">
        <v>174.2</v>
      </c>
      <c r="L1301" s="10">
        <v>155</v>
      </c>
      <c r="M1301" s="10">
        <v>163</v>
      </c>
      <c r="N1301" s="10">
        <v>121</v>
      </c>
      <c r="O1301" s="10">
        <v>72</v>
      </c>
      <c r="P1301" s="10">
        <v>107</v>
      </c>
      <c r="Q1301" s="10">
        <v>15.8</v>
      </c>
      <c r="R1301" s="10">
        <v>2067</v>
      </c>
      <c r="S1301" s="10">
        <v>0.74</v>
      </c>
      <c r="T1301" s="10">
        <v>1533</v>
      </c>
      <c r="U1301" s="10">
        <v>236</v>
      </c>
      <c r="V1301" s="10">
        <v>149</v>
      </c>
      <c r="W1301" s="10">
        <v>37</v>
      </c>
      <c r="X1301" s="10">
        <v>137</v>
      </c>
      <c r="Y1301" s="10">
        <v>5</v>
      </c>
      <c r="Z1301" s="10">
        <v>51</v>
      </c>
      <c r="AA1301" s="10">
        <v>0.127</v>
      </c>
      <c r="AB1301" s="10">
        <v>80</v>
      </c>
      <c r="AC1301" s="10">
        <v>34</v>
      </c>
      <c r="AD1301" s="10">
        <v>58</v>
      </c>
      <c r="AE1301" s="10">
        <v>13</v>
      </c>
      <c r="AF1301" s="10">
        <v>12</v>
      </c>
      <c r="AG1301" s="9" t="s">
        <v>349</v>
      </c>
      <c r="AH1301" s="10"/>
      <c r="AI1301" s="10"/>
      <c r="AJ1301" s="10"/>
      <c r="AK1301" s="30"/>
    </row>
    <row r="1302" spans="5:37">
      <c r="E1302" s="28" t="s">
        <v>155</v>
      </c>
      <c r="F1302" s="8" t="s">
        <v>174</v>
      </c>
      <c r="G1302" s="9" t="s">
        <v>672</v>
      </c>
      <c r="H1302" s="10">
        <v>160</v>
      </c>
      <c r="I1302" s="9" t="s">
        <v>158</v>
      </c>
      <c r="J1302" s="10">
        <v>160</v>
      </c>
      <c r="K1302" s="10">
        <v>159.5</v>
      </c>
      <c r="L1302" s="10">
        <v>139</v>
      </c>
      <c r="M1302" s="10">
        <v>148</v>
      </c>
      <c r="N1302" s="10">
        <v>119</v>
      </c>
      <c r="O1302" s="10">
        <v>73</v>
      </c>
      <c r="P1302" s="10">
        <v>102</v>
      </c>
      <c r="Q1302" s="10">
        <v>13.8</v>
      </c>
      <c r="R1302" s="10">
        <v>1901</v>
      </c>
      <c r="S1302" s="10">
        <v>0.74</v>
      </c>
      <c r="T1302" s="10">
        <v>1404</v>
      </c>
      <c r="U1302" s="10">
        <v>207</v>
      </c>
      <c r="V1302" s="10">
        <v>91</v>
      </c>
      <c r="W1302" s="10">
        <v>31</v>
      </c>
      <c r="X1302" s="10">
        <v>130</v>
      </c>
      <c r="Y1302" s="10">
        <v>5</v>
      </c>
      <c r="Z1302" s="10">
        <v>77</v>
      </c>
      <c r="AA1302" s="10">
        <v>0.14599999999999999</v>
      </c>
      <c r="AB1302" s="10">
        <v>84</v>
      </c>
      <c r="AC1302" s="10">
        <v>32</v>
      </c>
      <c r="AD1302" s="10">
        <v>45</v>
      </c>
      <c r="AE1302" s="10">
        <v>9</v>
      </c>
      <c r="AF1302" s="10">
        <v>11.1</v>
      </c>
      <c r="AG1302" s="9" t="s">
        <v>349</v>
      </c>
      <c r="AH1302" s="10"/>
      <c r="AI1302" s="10"/>
      <c r="AJ1302" s="10"/>
      <c r="AK1302" s="30"/>
    </row>
    <row r="1303" spans="5:37">
      <c r="E1303" s="28" t="s">
        <v>155</v>
      </c>
      <c r="F1303" s="8" t="s">
        <v>174</v>
      </c>
      <c r="G1303" s="9" t="s">
        <v>672</v>
      </c>
      <c r="H1303" s="10">
        <v>165</v>
      </c>
      <c r="I1303" s="9" t="s">
        <v>158</v>
      </c>
      <c r="J1303" s="10">
        <v>165</v>
      </c>
      <c r="K1303" s="10">
        <v>164.4</v>
      </c>
      <c r="L1303" s="10">
        <v>145</v>
      </c>
      <c r="M1303" s="10">
        <v>152</v>
      </c>
      <c r="N1303" s="10">
        <v>120</v>
      </c>
      <c r="O1303" s="10">
        <v>73</v>
      </c>
      <c r="P1303" s="10">
        <v>103</v>
      </c>
      <c r="Q1303" s="10">
        <v>14.5</v>
      </c>
      <c r="R1303" s="10">
        <v>1962</v>
      </c>
      <c r="S1303" s="10">
        <v>0.74</v>
      </c>
      <c r="T1303" s="10">
        <v>1451</v>
      </c>
      <c r="U1303" s="10">
        <v>195</v>
      </c>
      <c r="V1303" s="10">
        <v>91</v>
      </c>
      <c r="W1303" s="10">
        <v>32</v>
      </c>
      <c r="X1303" s="10">
        <v>130</v>
      </c>
      <c r="Y1303" s="10">
        <v>4</v>
      </c>
      <c r="Z1303" s="10">
        <v>68</v>
      </c>
      <c r="AA1303" s="10">
        <v>0.13800000000000001</v>
      </c>
      <c r="AB1303" s="10">
        <v>86</v>
      </c>
      <c r="AC1303" s="10">
        <v>35</v>
      </c>
      <c r="AD1303" s="10">
        <v>43</v>
      </c>
      <c r="AE1303" s="10">
        <v>12</v>
      </c>
      <c r="AF1303" s="10">
        <v>11.1</v>
      </c>
      <c r="AG1303" s="9" t="s">
        <v>349</v>
      </c>
      <c r="AH1303" s="10"/>
      <c r="AI1303" s="10"/>
      <c r="AJ1303" s="10"/>
      <c r="AK1303" s="30"/>
    </row>
    <row r="1304" spans="5:37">
      <c r="E1304" s="28" t="s">
        <v>155</v>
      </c>
      <c r="F1304" s="8" t="s">
        <v>174</v>
      </c>
      <c r="G1304" s="9" t="s">
        <v>672</v>
      </c>
      <c r="H1304" s="10">
        <v>170</v>
      </c>
      <c r="I1304" s="9" t="s">
        <v>158</v>
      </c>
      <c r="J1304" s="10">
        <v>170</v>
      </c>
      <c r="K1304" s="10">
        <v>169.4</v>
      </c>
      <c r="L1304" s="10">
        <v>149</v>
      </c>
      <c r="M1304" s="10">
        <v>158</v>
      </c>
      <c r="N1304" s="10">
        <v>121</v>
      </c>
      <c r="O1304" s="10">
        <v>72</v>
      </c>
      <c r="P1304" s="10">
        <v>104</v>
      </c>
      <c r="Q1304" s="10">
        <v>14.6</v>
      </c>
      <c r="R1304" s="10">
        <v>2037</v>
      </c>
      <c r="S1304" s="10">
        <v>0.73</v>
      </c>
      <c r="T1304" s="10">
        <v>1494</v>
      </c>
      <c r="U1304" s="10">
        <v>234</v>
      </c>
      <c r="V1304" s="10">
        <v>102</v>
      </c>
      <c r="W1304" s="10">
        <v>30</v>
      </c>
      <c r="X1304" s="10">
        <v>130</v>
      </c>
      <c r="Y1304" s="10">
        <v>4</v>
      </c>
      <c r="Z1304" s="10">
        <v>71</v>
      </c>
      <c r="AA1304" s="10">
        <v>0.14599999999999999</v>
      </c>
      <c r="AB1304" s="10">
        <v>81</v>
      </c>
      <c r="AC1304" s="10">
        <v>38</v>
      </c>
      <c r="AD1304" s="10">
        <v>49</v>
      </c>
      <c r="AE1304" s="10">
        <v>11</v>
      </c>
      <c r="AF1304" s="10">
        <v>11.4</v>
      </c>
      <c r="AG1304" s="9" t="s">
        <v>349</v>
      </c>
      <c r="AH1304" s="10"/>
      <c r="AI1304" s="10"/>
      <c r="AJ1304" s="10"/>
      <c r="AK1304" s="30"/>
    </row>
    <row r="1305" spans="5:37">
      <c r="E1305" s="28" t="s">
        <v>155</v>
      </c>
      <c r="F1305" s="8" t="s">
        <v>174</v>
      </c>
      <c r="G1305" s="9" t="s">
        <v>177</v>
      </c>
      <c r="H1305" s="10">
        <v>176</v>
      </c>
      <c r="I1305" s="9" t="s">
        <v>158</v>
      </c>
      <c r="J1305" s="10">
        <v>176</v>
      </c>
      <c r="K1305" s="10">
        <v>175.6</v>
      </c>
      <c r="L1305" s="10">
        <v>117</v>
      </c>
      <c r="M1305" s="10">
        <v>151</v>
      </c>
      <c r="N1305" s="10">
        <v>131</v>
      </c>
      <c r="O1305" s="10">
        <v>102</v>
      </c>
      <c r="P1305" s="10">
        <v>119</v>
      </c>
      <c r="Q1305" s="10">
        <v>23.5</v>
      </c>
      <c r="R1305" s="9" t="s">
        <v>1155</v>
      </c>
      <c r="S1305" s="9" t="s">
        <v>1155</v>
      </c>
      <c r="T1305" s="10">
        <v>1939</v>
      </c>
      <c r="U1305" s="10">
        <v>197</v>
      </c>
      <c r="V1305" s="10">
        <v>123</v>
      </c>
      <c r="W1305" s="10">
        <v>49</v>
      </c>
      <c r="X1305" s="10">
        <v>345</v>
      </c>
      <c r="Y1305" s="10">
        <v>8</v>
      </c>
      <c r="Z1305" s="10">
        <v>244</v>
      </c>
      <c r="AA1305" s="10">
        <v>0.16300000000000001</v>
      </c>
      <c r="AB1305" s="10">
        <v>134</v>
      </c>
      <c r="AC1305" s="10">
        <v>108</v>
      </c>
      <c r="AD1305" s="10">
        <v>212</v>
      </c>
      <c r="AE1305" s="10">
        <v>8</v>
      </c>
      <c r="AF1305" s="10">
        <v>10.5</v>
      </c>
      <c r="AG1305" s="9" t="s">
        <v>178</v>
      </c>
      <c r="AH1305" s="10"/>
      <c r="AI1305" s="10"/>
      <c r="AJ1305" s="10"/>
      <c r="AK1305" s="30"/>
    </row>
    <row r="1306" spans="5:37">
      <c r="E1306" s="28" t="s">
        <v>155</v>
      </c>
      <c r="F1306" s="8" t="s">
        <v>174</v>
      </c>
      <c r="G1306" s="9" t="s">
        <v>177</v>
      </c>
      <c r="H1306" s="10">
        <v>183</v>
      </c>
      <c r="I1306" s="9" t="s">
        <v>158</v>
      </c>
      <c r="J1306" s="10">
        <v>183</v>
      </c>
      <c r="K1306" s="10">
        <v>182.5</v>
      </c>
      <c r="L1306" s="10">
        <v>119</v>
      </c>
      <c r="M1306" s="10">
        <v>158</v>
      </c>
      <c r="N1306" s="10">
        <v>133</v>
      </c>
      <c r="O1306" s="10">
        <v>101</v>
      </c>
      <c r="P1306" s="10">
        <v>120</v>
      </c>
      <c r="Q1306" s="10">
        <v>23.9</v>
      </c>
      <c r="R1306" s="9" t="s">
        <v>1155</v>
      </c>
      <c r="S1306" s="9" t="s">
        <v>1155</v>
      </c>
      <c r="T1306" s="10">
        <v>2026</v>
      </c>
      <c r="U1306" s="10">
        <v>218</v>
      </c>
      <c r="V1306" s="10">
        <v>139</v>
      </c>
      <c r="W1306" s="10">
        <v>48</v>
      </c>
      <c r="X1306" s="10">
        <v>369</v>
      </c>
      <c r="Y1306" s="10">
        <v>4</v>
      </c>
      <c r="Z1306" s="10">
        <v>263</v>
      </c>
      <c r="AA1306" s="10">
        <v>8.1000000000000003E-2</v>
      </c>
      <c r="AB1306" s="10">
        <v>142</v>
      </c>
      <c r="AC1306" s="10">
        <v>106</v>
      </c>
      <c r="AD1306" s="10">
        <v>227</v>
      </c>
      <c r="AE1306" s="10">
        <v>7</v>
      </c>
      <c r="AF1306" s="10">
        <v>10.6</v>
      </c>
      <c r="AG1306" s="9" t="s">
        <v>178</v>
      </c>
      <c r="AH1306" s="10"/>
      <c r="AI1306" s="10"/>
      <c r="AJ1306" s="10"/>
      <c r="AK1306" s="30"/>
    </row>
    <row r="1307" spans="5:37">
      <c r="E1307" s="28" t="s">
        <v>155</v>
      </c>
      <c r="F1307" s="8" t="s">
        <v>174</v>
      </c>
      <c r="G1307" s="9" t="s">
        <v>177</v>
      </c>
      <c r="H1307" s="10">
        <v>190</v>
      </c>
      <c r="I1307" s="9" t="s">
        <v>158</v>
      </c>
      <c r="J1307" s="10">
        <v>190</v>
      </c>
      <c r="K1307" s="10">
        <v>189.9</v>
      </c>
      <c r="L1307" s="10">
        <v>141</v>
      </c>
      <c r="M1307" s="10">
        <v>165</v>
      </c>
      <c r="N1307" s="10">
        <v>133</v>
      </c>
      <c r="O1307" s="10">
        <v>102</v>
      </c>
      <c r="P1307" s="10">
        <v>120</v>
      </c>
      <c r="Q1307" s="10">
        <v>25.8</v>
      </c>
      <c r="R1307" s="9" t="s">
        <v>1155</v>
      </c>
      <c r="S1307" s="9" t="s">
        <v>1155</v>
      </c>
      <c r="T1307" s="10">
        <v>2108</v>
      </c>
      <c r="U1307" s="10">
        <v>254</v>
      </c>
      <c r="V1307" s="10">
        <v>158</v>
      </c>
      <c r="W1307" s="10">
        <v>46</v>
      </c>
      <c r="X1307" s="10">
        <v>379</v>
      </c>
      <c r="Y1307" s="10">
        <v>4</v>
      </c>
      <c r="Z1307" s="10">
        <v>107</v>
      </c>
      <c r="AA1307" s="10">
        <v>8.5000000000000006E-2</v>
      </c>
      <c r="AB1307" s="10">
        <v>142</v>
      </c>
      <c r="AC1307" s="10">
        <v>111</v>
      </c>
      <c r="AD1307" s="10">
        <v>237</v>
      </c>
      <c r="AE1307" s="10">
        <v>9</v>
      </c>
      <c r="AF1307" s="10">
        <v>9.8000000000000007</v>
      </c>
      <c r="AG1307" s="9" t="s">
        <v>178</v>
      </c>
      <c r="AH1307" s="10"/>
      <c r="AI1307" s="10"/>
      <c r="AJ1307" s="10"/>
      <c r="AK1307" s="30"/>
    </row>
    <row r="1308" spans="5:37">
      <c r="E1308" s="28" t="s">
        <v>155</v>
      </c>
      <c r="F1308" s="8" t="s">
        <v>174</v>
      </c>
      <c r="G1308" s="9" t="s">
        <v>343</v>
      </c>
      <c r="H1308" s="10">
        <v>161</v>
      </c>
      <c r="I1308" s="9" t="s">
        <v>158</v>
      </c>
      <c r="J1308" s="10">
        <v>161</v>
      </c>
      <c r="K1308" s="10">
        <v>160</v>
      </c>
      <c r="L1308" s="10">
        <v>121</v>
      </c>
      <c r="M1308" s="10">
        <v>132</v>
      </c>
      <c r="N1308" s="10">
        <v>120</v>
      </c>
      <c r="O1308" s="10">
        <v>83</v>
      </c>
      <c r="P1308" s="10">
        <v>104</v>
      </c>
      <c r="Q1308" s="10">
        <v>13.7</v>
      </c>
      <c r="R1308" s="10">
        <v>1417</v>
      </c>
      <c r="S1308" s="10">
        <v>1.0900000000000001</v>
      </c>
      <c r="T1308" s="10">
        <v>1542</v>
      </c>
      <c r="U1308" s="10">
        <v>157</v>
      </c>
      <c r="V1308" s="10">
        <v>71</v>
      </c>
      <c r="W1308" s="10">
        <v>51</v>
      </c>
      <c r="X1308" s="10">
        <v>216</v>
      </c>
      <c r="Y1308" s="10">
        <v>9</v>
      </c>
      <c r="Z1308" s="10">
        <v>170</v>
      </c>
      <c r="AA1308" s="10">
        <v>0.17599999999999999</v>
      </c>
      <c r="AB1308" s="10">
        <v>162</v>
      </c>
      <c r="AC1308" s="10">
        <v>118</v>
      </c>
      <c r="AD1308" s="10">
        <v>54</v>
      </c>
      <c r="AE1308" s="10">
        <v>6</v>
      </c>
      <c r="AF1308" s="10">
        <v>8.9</v>
      </c>
      <c r="AG1308" s="9" t="s">
        <v>231</v>
      </c>
      <c r="AH1308" s="9" t="s">
        <v>188</v>
      </c>
      <c r="AI1308" s="9" t="s">
        <v>185</v>
      </c>
      <c r="AJ1308" s="10"/>
      <c r="AK1308" s="30"/>
    </row>
    <row r="1309" spans="5:37">
      <c r="E1309" s="28" t="s">
        <v>155</v>
      </c>
      <c r="F1309" s="8" t="s">
        <v>174</v>
      </c>
      <c r="G1309" s="9" t="s">
        <v>343</v>
      </c>
      <c r="H1309" s="10">
        <v>169</v>
      </c>
      <c r="I1309" s="9" t="s">
        <v>158</v>
      </c>
      <c r="J1309" s="10">
        <v>169</v>
      </c>
      <c r="K1309" s="10">
        <v>168</v>
      </c>
      <c r="L1309" s="10">
        <v>122</v>
      </c>
      <c r="M1309" s="10">
        <v>140</v>
      </c>
      <c r="N1309" s="10">
        <v>121</v>
      </c>
      <c r="O1309" s="10">
        <v>83</v>
      </c>
      <c r="P1309" s="10">
        <v>104</v>
      </c>
      <c r="Q1309" s="10">
        <v>15</v>
      </c>
      <c r="R1309" s="10">
        <v>1513</v>
      </c>
      <c r="S1309" s="10">
        <v>1.07</v>
      </c>
      <c r="T1309" s="10">
        <v>1623</v>
      </c>
      <c r="U1309" s="10">
        <v>179</v>
      </c>
      <c r="V1309" s="10">
        <v>77</v>
      </c>
      <c r="W1309" s="10">
        <v>52</v>
      </c>
      <c r="X1309" s="10">
        <v>251</v>
      </c>
      <c r="Y1309" s="10">
        <v>13</v>
      </c>
      <c r="Z1309" s="10">
        <v>206</v>
      </c>
      <c r="AA1309" s="10">
        <v>0.245</v>
      </c>
      <c r="AB1309" s="10">
        <v>163</v>
      </c>
      <c r="AC1309" s="10">
        <v>117</v>
      </c>
      <c r="AD1309" s="10">
        <v>88</v>
      </c>
      <c r="AE1309" s="10">
        <v>6</v>
      </c>
      <c r="AF1309" s="10">
        <v>10.1</v>
      </c>
      <c r="AG1309" s="9" t="s">
        <v>231</v>
      </c>
      <c r="AH1309" s="9" t="s">
        <v>188</v>
      </c>
      <c r="AI1309" s="9" t="s">
        <v>185</v>
      </c>
      <c r="AJ1309" s="10"/>
      <c r="AK1309" s="30"/>
    </row>
    <row r="1310" spans="5:37">
      <c r="E1310" s="28" t="s">
        <v>155</v>
      </c>
      <c r="F1310" s="8" t="s">
        <v>174</v>
      </c>
      <c r="G1310" s="9" t="s">
        <v>343</v>
      </c>
      <c r="H1310" s="10">
        <v>177</v>
      </c>
      <c r="I1310" s="9" t="s">
        <v>158</v>
      </c>
      <c r="J1310" s="10">
        <v>177</v>
      </c>
      <c r="K1310" s="10">
        <v>175.9</v>
      </c>
      <c r="L1310" s="10">
        <v>131</v>
      </c>
      <c r="M1310" s="10">
        <v>148</v>
      </c>
      <c r="N1310" s="10">
        <v>122</v>
      </c>
      <c r="O1310" s="10">
        <v>84</v>
      </c>
      <c r="P1310" s="10">
        <v>105</v>
      </c>
      <c r="Q1310" s="10">
        <v>16.2</v>
      </c>
      <c r="R1310" s="10">
        <v>1616</v>
      </c>
      <c r="S1310" s="10">
        <v>1.06</v>
      </c>
      <c r="T1310" s="10">
        <v>1708</v>
      </c>
      <c r="U1310" s="10">
        <v>205</v>
      </c>
      <c r="V1310" s="10">
        <v>88</v>
      </c>
      <c r="W1310" s="10">
        <v>49</v>
      </c>
      <c r="X1310" s="10">
        <v>256</v>
      </c>
      <c r="Y1310" s="10">
        <v>12</v>
      </c>
      <c r="Z1310" s="10">
        <v>198</v>
      </c>
      <c r="AA1310" s="10">
        <v>0.23799999999999999</v>
      </c>
      <c r="AB1310" s="10">
        <v>162</v>
      </c>
      <c r="AC1310" s="10">
        <v>115</v>
      </c>
      <c r="AD1310" s="10">
        <v>93</v>
      </c>
      <c r="AE1310" s="10">
        <v>7</v>
      </c>
      <c r="AF1310" s="10">
        <v>9.9</v>
      </c>
      <c r="AG1310" s="9" t="s">
        <v>231</v>
      </c>
      <c r="AH1310" s="9" t="s">
        <v>188</v>
      </c>
      <c r="AI1310" s="9" t="s">
        <v>185</v>
      </c>
      <c r="AJ1310" s="10"/>
      <c r="AK1310" s="30"/>
    </row>
    <row r="1311" spans="5:37">
      <c r="E1311" s="28" t="s">
        <v>155</v>
      </c>
      <c r="F1311" s="8" t="s">
        <v>174</v>
      </c>
      <c r="G1311" s="9" t="s">
        <v>343</v>
      </c>
      <c r="H1311" s="10">
        <v>185</v>
      </c>
      <c r="I1311" s="9" t="s">
        <v>158</v>
      </c>
      <c r="J1311" s="10">
        <v>185</v>
      </c>
      <c r="K1311" s="10">
        <v>184.7</v>
      </c>
      <c r="L1311" s="10">
        <v>134</v>
      </c>
      <c r="M1311" s="10">
        <v>156</v>
      </c>
      <c r="N1311" s="10">
        <v>122</v>
      </c>
      <c r="O1311" s="10">
        <v>83</v>
      </c>
      <c r="P1311" s="10">
        <v>105</v>
      </c>
      <c r="Q1311" s="10">
        <v>18.100000000000001</v>
      </c>
      <c r="R1311" s="10">
        <v>1657</v>
      </c>
      <c r="S1311" s="10">
        <v>1.07</v>
      </c>
      <c r="T1311" s="10">
        <v>1779</v>
      </c>
      <c r="U1311" s="10">
        <v>242</v>
      </c>
      <c r="V1311" s="10">
        <v>95</v>
      </c>
      <c r="W1311" s="10">
        <v>48</v>
      </c>
      <c r="X1311" s="10">
        <v>288</v>
      </c>
      <c r="Y1311" s="10">
        <v>12</v>
      </c>
      <c r="Z1311" s="10">
        <v>218</v>
      </c>
      <c r="AA1311" s="10">
        <v>0.25700000000000001</v>
      </c>
      <c r="AB1311" s="10">
        <v>160</v>
      </c>
      <c r="AC1311" s="10">
        <v>128</v>
      </c>
      <c r="AD1311" s="10">
        <v>128</v>
      </c>
      <c r="AE1311" s="10">
        <v>5</v>
      </c>
      <c r="AF1311" s="10">
        <v>9.3000000000000007</v>
      </c>
      <c r="AG1311" s="9" t="s">
        <v>231</v>
      </c>
      <c r="AH1311" s="9" t="s">
        <v>188</v>
      </c>
      <c r="AI1311" s="9" t="s">
        <v>185</v>
      </c>
      <c r="AJ1311" s="10"/>
      <c r="AK1311" s="30"/>
    </row>
    <row r="1312" spans="5:37">
      <c r="E1312" s="28" t="s">
        <v>155</v>
      </c>
      <c r="F1312" s="8" t="s">
        <v>174</v>
      </c>
      <c r="G1312" s="9" t="s">
        <v>545</v>
      </c>
      <c r="H1312" s="10">
        <v>154</v>
      </c>
      <c r="I1312" s="9" t="s">
        <v>163</v>
      </c>
      <c r="J1312" s="10">
        <v>154</v>
      </c>
      <c r="K1312" s="10">
        <v>153.19999999999999</v>
      </c>
      <c r="L1312" s="10">
        <v>116</v>
      </c>
      <c r="M1312" s="10">
        <v>130</v>
      </c>
      <c r="N1312" s="10">
        <v>117</v>
      </c>
      <c r="O1312" s="10">
        <v>88</v>
      </c>
      <c r="P1312" s="10">
        <v>100</v>
      </c>
      <c r="Q1312" s="10">
        <v>16.5</v>
      </c>
      <c r="R1312" s="10">
        <v>1463</v>
      </c>
      <c r="S1312" s="10">
        <v>1.02</v>
      </c>
      <c r="T1312" s="10">
        <v>1488</v>
      </c>
      <c r="U1312" s="10">
        <v>134</v>
      </c>
      <c r="V1312" s="10">
        <v>73</v>
      </c>
      <c r="W1312" s="10">
        <v>55</v>
      </c>
      <c r="X1312" s="10">
        <v>216</v>
      </c>
      <c r="Y1312" s="10">
        <v>11</v>
      </c>
      <c r="Z1312" s="10">
        <v>154</v>
      </c>
      <c r="AA1312" s="10">
        <v>0.20399999999999999</v>
      </c>
      <c r="AB1312" s="10">
        <v>150</v>
      </c>
      <c r="AC1312" s="10">
        <v>83</v>
      </c>
      <c r="AD1312" s="10">
        <v>66</v>
      </c>
      <c r="AE1312" s="10">
        <v>6</v>
      </c>
      <c r="AF1312" s="10">
        <v>7.9</v>
      </c>
      <c r="AG1312" s="9" t="s">
        <v>188</v>
      </c>
      <c r="AH1312" s="10"/>
      <c r="AI1312" s="10"/>
      <c r="AJ1312" s="10"/>
      <c r="AK1312" s="30"/>
    </row>
    <row r="1313" spans="5:37">
      <c r="E1313" s="28" t="s">
        <v>155</v>
      </c>
      <c r="F1313" s="8" t="s">
        <v>174</v>
      </c>
      <c r="G1313" s="9" t="s">
        <v>545</v>
      </c>
      <c r="H1313" s="10">
        <v>161</v>
      </c>
      <c r="I1313" s="9" t="s">
        <v>163</v>
      </c>
      <c r="J1313" s="10">
        <v>161</v>
      </c>
      <c r="K1313" s="10">
        <v>160.1</v>
      </c>
      <c r="L1313" s="10">
        <v>123</v>
      </c>
      <c r="M1313" s="10">
        <v>136</v>
      </c>
      <c r="N1313" s="10">
        <v>119</v>
      </c>
      <c r="O1313" s="10">
        <v>88</v>
      </c>
      <c r="P1313" s="10">
        <v>101</v>
      </c>
      <c r="Q1313" s="10">
        <v>17.2</v>
      </c>
      <c r="R1313" s="10">
        <v>1530</v>
      </c>
      <c r="S1313" s="10">
        <v>1.02</v>
      </c>
      <c r="T1313" s="10">
        <v>1563</v>
      </c>
      <c r="U1313" s="10">
        <v>140</v>
      </c>
      <c r="V1313" s="10">
        <v>86</v>
      </c>
      <c r="W1313" s="10">
        <v>55</v>
      </c>
      <c r="X1313" s="10">
        <v>223</v>
      </c>
      <c r="Y1313" s="10">
        <v>8</v>
      </c>
      <c r="Z1313" s="10">
        <v>151</v>
      </c>
      <c r="AA1313" s="10">
        <v>0.14699999999999999</v>
      </c>
      <c r="AB1313" s="10">
        <v>153</v>
      </c>
      <c r="AC1313" s="10">
        <v>87</v>
      </c>
      <c r="AD1313" s="10">
        <v>70</v>
      </c>
      <c r="AE1313" s="10">
        <v>9</v>
      </c>
      <c r="AF1313" s="10">
        <v>9.3000000000000007</v>
      </c>
      <c r="AG1313" s="9" t="s">
        <v>188</v>
      </c>
      <c r="AH1313" s="10"/>
      <c r="AI1313" s="10"/>
      <c r="AJ1313" s="10"/>
      <c r="AK1313" s="30"/>
    </row>
    <row r="1314" spans="5:37">
      <c r="E1314" s="28" t="s">
        <v>155</v>
      </c>
      <c r="F1314" s="8" t="s">
        <v>174</v>
      </c>
      <c r="G1314" s="9" t="s">
        <v>545</v>
      </c>
      <c r="H1314" s="10">
        <v>168</v>
      </c>
      <c r="I1314" s="9" t="s">
        <v>163</v>
      </c>
      <c r="J1314" s="10">
        <v>168</v>
      </c>
      <c r="K1314" s="10">
        <v>166.9</v>
      </c>
      <c r="L1314" s="10">
        <v>126</v>
      </c>
      <c r="M1314" s="10">
        <v>140</v>
      </c>
      <c r="N1314" s="10">
        <v>122</v>
      </c>
      <c r="O1314" s="10">
        <v>87</v>
      </c>
      <c r="P1314" s="10">
        <v>103</v>
      </c>
      <c r="Q1314" s="10">
        <v>16.899999999999999</v>
      </c>
      <c r="R1314" s="10">
        <v>1650</v>
      </c>
      <c r="S1314" s="10">
        <v>1</v>
      </c>
      <c r="T1314" s="10">
        <v>1649</v>
      </c>
      <c r="U1314" s="10">
        <v>155</v>
      </c>
      <c r="V1314" s="10">
        <v>96</v>
      </c>
      <c r="W1314" s="10">
        <v>52</v>
      </c>
      <c r="X1314" s="10">
        <v>234</v>
      </c>
      <c r="Y1314" s="10">
        <v>9</v>
      </c>
      <c r="Z1314" s="10">
        <v>175</v>
      </c>
      <c r="AA1314" s="10">
        <v>0.17</v>
      </c>
      <c r="AB1314" s="10">
        <v>157</v>
      </c>
      <c r="AC1314" s="10">
        <v>112</v>
      </c>
      <c r="AD1314" s="10">
        <v>76</v>
      </c>
      <c r="AE1314" s="10">
        <v>7</v>
      </c>
      <c r="AF1314" s="10">
        <v>9.1999999999999993</v>
      </c>
      <c r="AG1314" s="9" t="s">
        <v>188</v>
      </c>
      <c r="AH1314" s="10"/>
      <c r="AI1314" s="10"/>
      <c r="AJ1314" s="10"/>
      <c r="AK1314" s="30"/>
    </row>
    <row r="1315" spans="5:37">
      <c r="E1315" s="28" t="s">
        <v>155</v>
      </c>
      <c r="F1315" s="8" t="s">
        <v>174</v>
      </c>
      <c r="G1315" s="9" t="s">
        <v>472</v>
      </c>
      <c r="H1315" s="10">
        <v>168</v>
      </c>
      <c r="I1315" s="9" t="s">
        <v>158</v>
      </c>
      <c r="J1315" s="10">
        <v>168</v>
      </c>
      <c r="K1315" s="10">
        <v>167</v>
      </c>
      <c r="L1315" s="10">
        <v>129</v>
      </c>
      <c r="M1315" s="10">
        <v>138</v>
      </c>
      <c r="N1315" s="10">
        <v>122</v>
      </c>
      <c r="O1315" s="10">
        <v>88</v>
      </c>
      <c r="P1315" s="10">
        <v>104</v>
      </c>
      <c r="Q1315" s="10">
        <v>16.899999999999999</v>
      </c>
      <c r="R1315" s="10">
        <v>1643</v>
      </c>
      <c r="S1315" s="10">
        <v>1</v>
      </c>
      <c r="T1315" s="10">
        <v>1650</v>
      </c>
      <c r="U1315" s="10">
        <v>164</v>
      </c>
      <c r="V1315" s="10">
        <v>91</v>
      </c>
      <c r="W1315" s="10">
        <v>47</v>
      </c>
      <c r="X1315" s="10">
        <v>220</v>
      </c>
      <c r="Y1315" s="10">
        <v>8</v>
      </c>
      <c r="Z1315" s="10">
        <v>158</v>
      </c>
      <c r="AA1315" s="10">
        <v>0.161</v>
      </c>
      <c r="AB1315" s="10">
        <v>168</v>
      </c>
      <c r="AC1315" s="10">
        <v>124</v>
      </c>
      <c r="AD1315" s="10">
        <v>53</v>
      </c>
      <c r="AE1315" s="10">
        <v>9</v>
      </c>
      <c r="AF1315" s="10">
        <v>9.6999999999999993</v>
      </c>
      <c r="AG1315" s="9" t="s">
        <v>188</v>
      </c>
      <c r="AH1315" s="10"/>
      <c r="AI1315" s="10"/>
      <c r="AJ1315" s="10"/>
      <c r="AK1315" s="30"/>
    </row>
    <row r="1316" spans="5:37">
      <c r="E1316" s="28" t="s">
        <v>155</v>
      </c>
      <c r="F1316" s="8" t="s">
        <v>174</v>
      </c>
      <c r="G1316" s="9" t="s">
        <v>480</v>
      </c>
      <c r="H1316" s="10">
        <v>168</v>
      </c>
      <c r="I1316" s="9" t="s">
        <v>163</v>
      </c>
      <c r="J1316" s="10">
        <v>168</v>
      </c>
      <c r="K1316" s="10">
        <v>167.1</v>
      </c>
      <c r="L1316" s="10">
        <v>133</v>
      </c>
      <c r="M1316" s="10">
        <v>138</v>
      </c>
      <c r="N1316" s="10">
        <v>126</v>
      </c>
      <c r="O1316" s="10">
        <v>94</v>
      </c>
      <c r="P1316" s="10">
        <v>108</v>
      </c>
      <c r="Q1316" s="10">
        <v>18.5</v>
      </c>
      <c r="R1316" s="10">
        <v>1700</v>
      </c>
      <c r="S1316" s="10">
        <v>1.02</v>
      </c>
      <c r="T1316" s="10">
        <v>1733</v>
      </c>
      <c r="U1316" s="10">
        <v>171</v>
      </c>
      <c r="V1316" s="10">
        <v>106</v>
      </c>
      <c r="W1316" s="10">
        <v>49</v>
      </c>
      <c r="X1316" s="10">
        <v>212</v>
      </c>
      <c r="Y1316" s="10">
        <v>6</v>
      </c>
      <c r="Z1316" s="10">
        <v>134</v>
      </c>
      <c r="AA1316" s="10">
        <v>0.114</v>
      </c>
      <c r="AB1316" s="10">
        <v>160</v>
      </c>
      <c r="AC1316" s="10">
        <v>130</v>
      </c>
      <c r="AD1316" s="10">
        <v>51</v>
      </c>
      <c r="AE1316" s="10">
        <v>10</v>
      </c>
      <c r="AF1316" s="10">
        <v>9.6</v>
      </c>
      <c r="AG1316" s="9" t="s">
        <v>188</v>
      </c>
      <c r="AH1316" s="10"/>
      <c r="AI1316" s="10"/>
      <c r="AJ1316" s="10"/>
      <c r="AK1316" s="30"/>
    </row>
    <row r="1317" spans="5:37">
      <c r="E1317" s="28" t="s">
        <v>155</v>
      </c>
      <c r="F1317" s="8" t="s">
        <v>174</v>
      </c>
      <c r="G1317" s="9" t="s">
        <v>516</v>
      </c>
      <c r="H1317" s="10">
        <v>168</v>
      </c>
      <c r="I1317" s="9" t="s">
        <v>158</v>
      </c>
      <c r="J1317" s="10">
        <v>168</v>
      </c>
      <c r="K1317" s="10">
        <v>167.4</v>
      </c>
      <c r="L1317" s="10">
        <v>128</v>
      </c>
      <c r="M1317" s="10">
        <v>137</v>
      </c>
      <c r="N1317" s="10">
        <v>126</v>
      </c>
      <c r="O1317" s="10">
        <v>93</v>
      </c>
      <c r="P1317" s="10">
        <v>107</v>
      </c>
      <c r="Q1317" s="10">
        <v>18.5</v>
      </c>
      <c r="R1317" s="10">
        <v>1767</v>
      </c>
      <c r="S1317" s="10">
        <v>0.98</v>
      </c>
      <c r="T1317" s="10">
        <v>1734</v>
      </c>
      <c r="U1317" s="10">
        <v>180</v>
      </c>
      <c r="V1317" s="10">
        <v>111</v>
      </c>
      <c r="W1317" s="10">
        <v>48</v>
      </c>
      <c r="X1317" s="10">
        <v>225</v>
      </c>
      <c r="Y1317" s="10">
        <v>9</v>
      </c>
      <c r="Z1317" s="10">
        <v>167</v>
      </c>
      <c r="AA1317" s="10">
        <v>0.189</v>
      </c>
      <c r="AB1317" s="10">
        <v>166</v>
      </c>
      <c r="AC1317" s="10">
        <v>138</v>
      </c>
      <c r="AD1317" s="10">
        <v>58</v>
      </c>
      <c r="AE1317" s="10">
        <v>9</v>
      </c>
      <c r="AF1317" s="10">
        <v>9.4</v>
      </c>
      <c r="AG1317" s="9" t="s">
        <v>188</v>
      </c>
      <c r="AH1317" s="10"/>
      <c r="AI1317" s="10"/>
      <c r="AJ1317" s="10"/>
      <c r="AK1317" s="30"/>
    </row>
    <row r="1318" spans="5:37">
      <c r="E1318" s="28" t="s">
        <v>155</v>
      </c>
      <c r="F1318" s="8" t="s">
        <v>174</v>
      </c>
      <c r="G1318" s="9" t="s">
        <v>516</v>
      </c>
      <c r="H1318" s="10">
        <v>176</v>
      </c>
      <c r="I1318" s="9" t="s">
        <v>158</v>
      </c>
      <c r="J1318" s="10">
        <v>176</v>
      </c>
      <c r="K1318" s="10">
        <v>174.3</v>
      </c>
      <c r="L1318" s="10">
        <v>134</v>
      </c>
      <c r="M1318" s="10">
        <v>145</v>
      </c>
      <c r="N1318" s="10">
        <v>130</v>
      </c>
      <c r="O1318" s="10">
        <v>95</v>
      </c>
      <c r="P1318" s="10">
        <v>112</v>
      </c>
      <c r="Q1318" s="10">
        <v>18.8</v>
      </c>
      <c r="R1318" s="10">
        <v>1862</v>
      </c>
      <c r="S1318" s="10">
        <v>1</v>
      </c>
      <c r="T1318" s="10">
        <v>1853</v>
      </c>
      <c r="U1318" s="10">
        <v>179</v>
      </c>
      <c r="V1318" s="10">
        <v>110</v>
      </c>
      <c r="W1318" s="10">
        <v>48</v>
      </c>
      <c r="X1318" s="10">
        <v>227</v>
      </c>
      <c r="Y1318" s="10">
        <v>8</v>
      </c>
      <c r="Z1318" s="10">
        <v>172</v>
      </c>
      <c r="AA1318" s="10">
        <v>0.16500000000000001</v>
      </c>
      <c r="AB1318" s="10">
        <v>165</v>
      </c>
      <c r="AC1318" s="10">
        <v>132</v>
      </c>
      <c r="AD1318" s="10">
        <v>63</v>
      </c>
      <c r="AE1318" s="10">
        <v>9</v>
      </c>
      <c r="AF1318" s="10">
        <v>10</v>
      </c>
      <c r="AG1318" s="9" t="s">
        <v>188</v>
      </c>
      <c r="AH1318" s="10"/>
      <c r="AI1318" s="10"/>
      <c r="AJ1318" s="10"/>
      <c r="AK1318" s="30"/>
    </row>
    <row r="1319" spans="5:37">
      <c r="E1319" s="28" t="s">
        <v>155</v>
      </c>
      <c r="F1319" s="8" t="s">
        <v>174</v>
      </c>
      <c r="G1319" s="9" t="s">
        <v>516</v>
      </c>
      <c r="H1319" s="10">
        <v>182</v>
      </c>
      <c r="I1319" s="9" t="s">
        <v>158</v>
      </c>
      <c r="J1319" s="10">
        <v>182</v>
      </c>
      <c r="K1319" s="10">
        <v>181</v>
      </c>
      <c r="L1319" s="10">
        <v>137</v>
      </c>
      <c r="M1319" s="10">
        <v>152</v>
      </c>
      <c r="N1319" s="10">
        <v>132</v>
      </c>
      <c r="O1319" s="10">
        <v>95</v>
      </c>
      <c r="P1319" s="10">
        <v>113</v>
      </c>
      <c r="Q1319" s="10">
        <v>19.2</v>
      </c>
      <c r="R1319" s="10">
        <v>2111</v>
      </c>
      <c r="S1319" s="10">
        <v>0.92</v>
      </c>
      <c r="T1319" s="10">
        <v>1936</v>
      </c>
      <c r="U1319" s="10">
        <v>238</v>
      </c>
      <c r="V1319" s="10">
        <v>133</v>
      </c>
      <c r="W1319" s="10">
        <v>49</v>
      </c>
      <c r="X1319" s="10">
        <v>245</v>
      </c>
      <c r="Y1319" s="10">
        <v>9</v>
      </c>
      <c r="Z1319" s="10">
        <v>193</v>
      </c>
      <c r="AA1319" s="10">
        <v>0.191</v>
      </c>
      <c r="AB1319" s="10">
        <v>159</v>
      </c>
      <c r="AC1319" s="10">
        <v>134</v>
      </c>
      <c r="AD1319" s="10">
        <v>86</v>
      </c>
      <c r="AE1319" s="10">
        <v>9</v>
      </c>
      <c r="AF1319" s="10">
        <v>9.6</v>
      </c>
      <c r="AG1319" s="9" t="s">
        <v>188</v>
      </c>
      <c r="AH1319" s="10"/>
      <c r="AI1319" s="10"/>
      <c r="AJ1319" s="10"/>
      <c r="AK1319" s="30"/>
    </row>
    <row r="1320" spans="5:37">
      <c r="E1320" s="28" t="s">
        <v>155</v>
      </c>
      <c r="F1320" s="8" t="s">
        <v>174</v>
      </c>
      <c r="G1320" s="9" t="s">
        <v>516</v>
      </c>
      <c r="H1320" s="10">
        <v>188</v>
      </c>
      <c r="I1320" s="9" t="s">
        <v>158</v>
      </c>
      <c r="J1320" s="10">
        <v>188</v>
      </c>
      <c r="K1320" s="10">
        <v>187.1</v>
      </c>
      <c r="L1320" s="10">
        <v>146</v>
      </c>
      <c r="M1320" s="10">
        <v>157</v>
      </c>
      <c r="N1320" s="10">
        <v>134</v>
      </c>
      <c r="O1320" s="10">
        <v>95</v>
      </c>
      <c r="P1320" s="10">
        <v>116</v>
      </c>
      <c r="Q1320" s="10">
        <v>19.100000000000001</v>
      </c>
      <c r="R1320" s="10">
        <v>2106</v>
      </c>
      <c r="S1320" s="10">
        <v>0.96</v>
      </c>
      <c r="T1320" s="10">
        <v>2016</v>
      </c>
      <c r="U1320" s="10">
        <v>236</v>
      </c>
      <c r="V1320" s="10">
        <v>159</v>
      </c>
      <c r="W1320" s="10">
        <v>48</v>
      </c>
      <c r="X1320" s="10">
        <v>254</v>
      </c>
      <c r="Y1320" s="10">
        <v>6</v>
      </c>
      <c r="Z1320" s="10">
        <v>154</v>
      </c>
      <c r="AA1320" s="10">
        <v>0.127</v>
      </c>
      <c r="AB1320" s="10">
        <v>158</v>
      </c>
      <c r="AC1320" s="10">
        <v>142</v>
      </c>
      <c r="AD1320" s="10">
        <v>95</v>
      </c>
      <c r="AE1320" s="10">
        <v>12</v>
      </c>
      <c r="AF1320" s="10">
        <v>10.5</v>
      </c>
      <c r="AG1320" s="9" t="s">
        <v>188</v>
      </c>
      <c r="AH1320" s="10"/>
      <c r="AI1320" s="10"/>
      <c r="AJ1320" s="10"/>
      <c r="AK1320" s="30"/>
    </row>
    <row r="1321" spans="5:37">
      <c r="E1321" s="28" t="s">
        <v>155</v>
      </c>
      <c r="F1321" s="8" t="s">
        <v>180</v>
      </c>
      <c r="G1321" s="9" t="s">
        <v>232</v>
      </c>
      <c r="H1321" s="10">
        <v>175</v>
      </c>
      <c r="I1321" s="9" t="s">
        <v>158</v>
      </c>
      <c r="J1321" s="10">
        <v>175</v>
      </c>
      <c r="K1321" s="10">
        <v>173.4</v>
      </c>
      <c r="L1321" s="10">
        <v>124</v>
      </c>
      <c r="M1321" s="10">
        <v>156</v>
      </c>
      <c r="N1321" s="10">
        <v>135</v>
      </c>
      <c r="O1321" s="10">
        <v>100</v>
      </c>
      <c r="P1321" s="10">
        <v>123</v>
      </c>
      <c r="Q1321" s="10">
        <v>22.6</v>
      </c>
      <c r="R1321" s="10">
        <v>1547</v>
      </c>
      <c r="S1321" s="10">
        <v>1.21</v>
      </c>
      <c r="T1321" s="10">
        <v>1877</v>
      </c>
      <c r="U1321" s="10">
        <v>224</v>
      </c>
      <c r="V1321" s="10">
        <v>98</v>
      </c>
      <c r="W1321" s="10">
        <v>60</v>
      </c>
      <c r="X1321" s="10">
        <v>306</v>
      </c>
      <c r="Y1321" s="10">
        <v>39</v>
      </c>
      <c r="Z1321" s="10">
        <v>188</v>
      </c>
      <c r="AA1321" s="10">
        <v>0.64</v>
      </c>
      <c r="AB1321" s="10">
        <v>99</v>
      </c>
      <c r="AC1321" s="10">
        <v>74</v>
      </c>
      <c r="AD1321" s="10">
        <v>207</v>
      </c>
      <c r="AE1321" s="10">
        <v>4</v>
      </c>
      <c r="AF1321" s="10">
        <v>11.1</v>
      </c>
      <c r="AG1321" s="9" t="s">
        <v>188</v>
      </c>
      <c r="AH1321" s="9" t="s">
        <v>169</v>
      </c>
      <c r="AI1321" s="9" t="s">
        <v>185</v>
      </c>
      <c r="AJ1321" s="10"/>
      <c r="AK1321" s="30"/>
    </row>
    <row r="1322" spans="5:37">
      <c r="E1322" s="28" t="s">
        <v>155</v>
      </c>
      <c r="F1322" s="8" t="s">
        <v>180</v>
      </c>
      <c r="G1322" s="9" t="s">
        <v>232</v>
      </c>
      <c r="H1322" s="10">
        <v>183</v>
      </c>
      <c r="I1322" s="9" t="s">
        <v>158</v>
      </c>
      <c r="J1322" s="10">
        <v>183</v>
      </c>
      <c r="K1322" s="10">
        <v>181.3</v>
      </c>
      <c r="L1322" s="10">
        <v>132</v>
      </c>
      <c r="M1322" s="10">
        <v>163</v>
      </c>
      <c r="N1322" s="10">
        <v>137</v>
      </c>
      <c r="O1322" s="10">
        <v>102</v>
      </c>
      <c r="P1322" s="10">
        <v>126</v>
      </c>
      <c r="Q1322" s="10">
        <v>24</v>
      </c>
      <c r="R1322" s="10">
        <v>1718</v>
      </c>
      <c r="S1322" s="10">
        <v>1.1599999999999999</v>
      </c>
      <c r="T1322" s="10">
        <v>1999</v>
      </c>
      <c r="U1322" s="10">
        <v>295</v>
      </c>
      <c r="V1322" s="10">
        <v>126</v>
      </c>
      <c r="W1322" s="10">
        <v>60</v>
      </c>
      <c r="X1322" s="10">
        <v>301</v>
      </c>
      <c r="Y1322" s="10">
        <v>40</v>
      </c>
      <c r="Z1322" s="10">
        <v>192</v>
      </c>
      <c r="AA1322" s="10">
        <v>0.66200000000000003</v>
      </c>
      <c r="AB1322" s="10">
        <v>110</v>
      </c>
      <c r="AC1322" s="10">
        <v>76</v>
      </c>
      <c r="AD1322" s="10">
        <v>191</v>
      </c>
      <c r="AE1322" s="10">
        <v>4</v>
      </c>
      <c r="AF1322" s="10">
        <v>11.9</v>
      </c>
      <c r="AG1322" s="9" t="s">
        <v>188</v>
      </c>
      <c r="AH1322" s="9" t="s">
        <v>169</v>
      </c>
      <c r="AI1322" s="9" t="s">
        <v>185</v>
      </c>
      <c r="AJ1322" s="10"/>
      <c r="AK1322" s="30"/>
    </row>
    <row r="1323" spans="5:37">
      <c r="E1323" s="28" t="s">
        <v>155</v>
      </c>
      <c r="F1323" s="8" t="s">
        <v>180</v>
      </c>
      <c r="G1323" s="9" t="s">
        <v>315</v>
      </c>
      <c r="H1323" s="10">
        <v>168</v>
      </c>
      <c r="I1323" s="9" t="s">
        <v>158</v>
      </c>
      <c r="J1323" s="10">
        <v>168</v>
      </c>
      <c r="K1323" s="10">
        <v>166.4</v>
      </c>
      <c r="L1323" s="10">
        <v>125</v>
      </c>
      <c r="M1323" s="10">
        <v>149</v>
      </c>
      <c r="N1323" s="10">
        <v>129</v>
      </c>
      <c r="O1323" s="10">
        <v>93</v>
      </c>
      <c r="P1323" s="10">
        <v>117</v>
      </c>
      <c r="Q1323" s="10">
        <v>19.7</v>
      </c>
      <c r="R1323" s="10">
        <v>1380</v>
      </c>
      <c r="S1323" s="10">
        <v>1.23</v>
      </c>
      <c r="T1323" s="10">
        <v>1698</v>
      </c>
      <c r="U1323" s="10">
        <v>166</v>
      </c>
      <c r="V1323" s="10">
        <v>74</v>
      </c>
      <c r="W1323" s="10">
        <v>57</v>
      </c>
      <c r="X1323" s="10">
        <v>267</v>
      </c>
      <c r="Y1323" s="10">
        <v>31</v>
      </c>
      <c r="Z1323" s="10">
        <v>150</v>
      </c>
      <c r="AA1323" s="10">
        <v>0.54600000000000004</v>
      </c>
      <c r="AB1323" s="10">
        <v>102</v>
      </c>
      <c r="AC1323" s="10">
        <v>73</v>
      </c>
      <c r="AD1323" s="10">
        <v>165</v>
      </c>
      <c r="AE1323" s="10">
        <v>6</v>
      </c>
      <c r="AF1323" s="10">
        <v>9.1</v>
      </c>
      <c r="AG1323" s="9" t="s">
        <v>188</v>
      </c>
      <c r="AH1323" s="9" t="s">
        <v>185</v>
      </c>
      <c r="AI1323" s="10"/>
      <c r="AJ1323" s="10"/>
      <c r="AK1323" s="30"/>
    </row>
    <row r="1324" spans="5:37">
      <c r="E1324" s="28" t="s">
        <v>155</v>
      </c>
      <c r="F1324" s="8" t="s">
        <v>180</v>
      </c>
      <c r="G1324" s="9" t="s">
        <v>315</v>
      </c>
      <c r="H1324" s="10">
        <v>184</v>
      </c>
      <c r="I1324" s="9" t="s">
        <v>158</v>
      </c>
      <c r="J1324" s="10">
        <v>184</v>
      </c>
      <c r="K1324" s="10">
        <v>182.4</v>
      </c>
      <c r="L1324" s="10">
        <v>141</v>
      </c>
      <c r="M1324" s="10">
        <v>166</v>
      </c>
      <c r="N1324" s="10">
        <v>133</v>
      </c>
      <c r="O1324" s="10">
        <v>95</v>
      </c>
      <c r="P1324" s="10">
        <v>121</v>
      </c>
      <c r="Q1324" s="10">
        <v>22.9</v>
      </c>
      <c r="R1324" s="10">
        <v>1583</v>
      </c>
      <c r="S1324" s="10">
        <v>1.2</v>
      </c>
      <c r="T1324" s="10">
        <v>1901</v>
      </c>
      <c r="U1324" s="10">
        <v>259</v>
      </c>
      <c r="V1324" s="10">
        <v>105</v>
      </c>
      <c r="W1324" s="10">
        <v>56</v>
      </c>
      <c r="X1324" s="10">
        <v>247</v>
      </c>
      <c r="Y1324" s="10">
        <v>33</v>
      </c>
      <c r="Z1324" s="10">
        <v>171</v>
      </c>
      <c r="AA1324" s="10">
        <v>0.58899999999999997</v>
      </c>
      <c r="AB1324" s="10">
        <v>95</v>
      </c>
      <c r="AC1324" s="10">
        <v>74</v>
      </c>
      <c r="AD1324" s="10">
        <v>152</v>
      </c>
      <c r="AE1324" s="10">
        <v>7</v>
      </c>
      <c r="AF1324" s="10">
        <v>9.1</v>
      </c>
      <c r="AG1324" s="9" t="s">
        <v>188</v>
      </c>
      <c r="AH1324" s="9" t="s">
        <v>185</v>
      </c>
      <c r="AI1324" s="10"/>
      <c r="AJ1324" s="10"/>
      <c r="AK1324" s="30"/>
    </row>
    <row r="1325" spans="5:37">
      <c r="E1325" s="28" t="s">
        <v>155</v>
      </c>
      <c r="F1325" s="8" t="s">
        <v>180</v>
      </c>
      <c r="G1325" s="9" t="s">
        <v>181</v>
      </c>
      <c r="H1325" s="10">
        <v>160</v>
      </c>
      <c r="I1325" s="9" t="s">
        <v>163</v>
      </c>
      <c r="J1325" s="10">
        <v>160</v>
      </c>
      <c r="K1325" s="10">
        <v>158.30000000000001</v>
      </c>
      <c r="L1325" s="10">
        <v>114</v>
      </c>
      <c r="M1325" s="10">
        <v>141</v>
      </c>
      <c r="N1325" s="10">
        <v>126</v>
      </c>
      <c r="O1325" s="10">
        <v>92</v>
      </c>
      <c r="P1325" s="10">
        <v>115</v>
      </c>
      <c r="Q1325" s="10">
        <v>18</v>
      </c>
      <c r="R1325" s="9" t="s">
        <v>1155</v>
      </c>
      <c r="S1325" s="9" t="s">
        <v>1155</v>
      </c>
      <c r="T1325" s="10">
        <v>1594</v>
      </c>
      <c r="U1325" s="10">
        <v>148</v>
      </c>
      <c r="V1325" s="10">
        <v>62</v>
      </c>
      <c r="W1325" s="10">
        <v>56</v>
      </c>
      <c r="X1325" s="10">
        <v>269</v>
      </c>
      <c r="Y1325" s="10">
        <v>33</v>
      </c>
      <c r="Z1325" s="10">
        <v>175</v>
      </c>
      <c r="AA1325" s="10">
        <v>0.59399999999999997</v>
      </c>
      <c r="AB1325" s="10">
        <v>96</v>
      </c>
      <c r="AC1325" s="10">
        <v>74</v>
      </c>
      <c r="AD1325" s="10">
        <v>173</v>
      </c>
      <c r="AE1325" s="10">
        <v>4</v>
      </c>
      <c r="AF1325" s="10">
        <v>6.9</v>
      </c>
      <c r="AG1325" s="9" t="s">
        <v>160</v>
      </c>
      <c r="AH1325" s="10"/>
      <c r="AI1325" s="10"/>
      <c r="AJ1325" s="10"/>
      <c r="AK1325" s="30"/>
    </row>
    <row r="1326" spans="5:37">
      <c r="E1326" s="28" t="s">
        <v>155</v>
      </c>
      <c r="F1326" s="8" t="s">
        <v>180</v>
      </c>
      <c r="G1326" s="9" t="s">
        <v>181</v>
      </c>
      <c r="H1326" s="10">
        <v>168</v>
      </c>
      <c r="I1326" s="9" t="s">
        <v>163</v>
      </c>
      <c r="J1326" s="10">
        <v>168</v>
      </c>
      <c r="K1326" s="10">
        <v>166.5</v>
      </c>
      <c r="L1326" s="10">
        <v>120</v>
      </c>
      <c r="M1326" s="10">
        <v>149</v>
      </c>
      <c r="N1326" s="10">
        <v>128</v>
      </c>
      <c r="O1326" s="10">
        <v>93</v>
      </c>
      <c r="P1326" s="10">
        <v>117</v>
      </c>
      <c r="Q1326" s="10">
        <v>19.600000000000001</v>
      </c>
      <c r="R1326" s="9" t="s">
        <v>1155</v>
      </c>
      <c r="S1326" s="9" t="s">
        <v>1155</v>
      </c>
      <c r="T1326" s="10">
        <v>1695</v>
      </c>
      <c r="U1326" s="10">
        <v>145</v>
      </c>
      <c r="V1326" s="10">
        <v>64</v>
      </c>
      <c r="W1326" s="10">
        <v>59</v>
      </c>
      <c r="X1326" s="10">
        <v>295</v>
      </c>
      <c r="Y1326" s="10">
        <v>34</v>
      </c>
      <c r="Z1326" s="10">
        <v>165</v>
      </c>
      <c r="AA1326" s="10">
        <v>0.57799999999999996</v>
      </c>
      <c r="AB1326" s="10">
        <v>105</v>
      </c>
      <c r="AC1326" s="10">
        <v>75</v>
      </c>
      <c r="AD1326" s="10">
        <v>190</v>
      </c>
      <c r="AE1326" s="10">
        <v>5</v>
      </c>
      <c r="AF1326" s="10">
        <v>7</v>
      </c>
      <c r="AG1326" s="9" t="s">
        <v>160</v>
      </c>
      <c r="AH1326" s="10"/>
      <c r="AI1326" s="10"/>
      <c r="AJ1326" s="10"/>
      <c r="AK1326" s="30"/>
    </row>
    <row r="1327" spans="5:37">
      <c r="E1327" s="28" t="s">
        <v>155</v>
      </c>
      <c r="F1327" s="8" t="s">
        <v>180</v>
      </c>
      <c r="G1327" s="9" t="s">
        <v>196</v>
      </c>
      <c r="H1327" s="10">
        <v>170</v>
      </c>
      <c r="I1327" s="9" t="s">
        <v>158</v>
      </c>
      <c r="J1327" s="10">
        <v>170</v>
      </c>
      <c r="K1327" s="10">
        <v>168.5</v>
      </c>
      <c r="L1327" s="10">
        <v>128</v>
      </c>
      <c r="M1327" s="10">
        <v>149</v>
      </c>
      <c r="N1327" s="10">
        <v>134</v>
      </c>
      <c r="O1327" s="10">
        <v>90</v>
      </c>
      <c r="P1327" s="10">
        <v>121</v>
      </c>
      <c r="Q1327" s="10">
        <v>15.1</v>
      </c>
      <c r="R1327" s="10">
        <v>1472</v>
      </c>
      <c r="S1327" s="10">
        <v>1.19</v>
      </c>
      <c r="T1327" s="10">
        <v>1746</v>
      </c>
      <c r="U1327" s="10">
        <v>229</v>
      </c>
      <c r="V1327" s="10">
        <v>90</v>
      </c>
      <c r="W1327" s="10">
        <v>57</v>
      </c>
      <c r="X1327" s="10">
        <v>272</v>
      </c>
      <c r="Y1327" s="10">
        <v>21</v>
      </c>
      <c r="Z1327" s="10">
        <v>134</v>
      </c>
      <c r="AA1327" s="10">
        <v>0.36199999999999999</v>
      </c>
      <c r="AB1327" s="10">
        <v>122</v>
      </c>
      <c r="AC1327" s="10">
        <v>73</v>
      </c>
      <c r="AD1327" s="10">
        <v>150</v>
      </c>
      <c r="AE1327" s="10">
        <v>4</v>
      </c>
      <c r="AF1327" s="10">
        <v>12.2</v>
      </c>
      <c r="AG1327" s="9" t="s">
        <v>188</v>
      </c>
      <c r="AH1327" s="9" t="s">
        <v>185</v>
      </c>
      <c r="AI1327" s="10"/>
      <c r="AJ1327" s="10"/>
      <c r="AK1327" s="30"/>
    </row>
    <row r="1328" spans="5:37">
      <c r="E1328" s="28" t="s">
        <v>155</v>
      </c>
      <c r="F1328" s="8" t="s">
        <v>180</v>
      </c>
      <c r="G1328" s="9" t="s">
        <v>196</v>
      </c>
      <c r="H1328" s="10">
        <v>180</v>
      </c>
      <c r="I1328" s="9" t="s">
        <v>158</v>
      </c>
      <c r="J1328" s="10">
        <v>180</v>
      </c>
      <c r="K1328" s="10">
        <v>178.5</v>
      </c>
      <c r="L1328" s="10">
        <v>139</v>
      </c>
      <c r="M1328" s="10">
        <v>157</v>
      </c>
      <c r="N1328" s="10">
        <v>137</v>
      </c>
      <c r="O1328" s="10">
        <v>94</v>
      </c>
      <c r="P1328" s="10">
        <v>124</v>
      </c>
      <c r="Q1328" s="10">
        <v>17</v>
      </c>
      <c r="R1328" s="10">
        <v>1609</v>
      </c>
      <c r="S1328" s="10">
        <v>1.19</v>
      </c>
      <c r="T1328" s="10">
        <v>1921</v>
      </c>
      <c r="U1328" s="10">
        <v>242</v>
      </c>
      <c r="V1328" s="10">
        <v>103</v>
      </c>
      <c r="W1328" s="10">
        <v>56</v>
      </c>
      <c r="X1328" s="10">
        <v>265</v>
      </c>
      <c r="Y1328" s="10">
        <v>19</v>
      </c>
      <c r="Z1328" s="10">
        <v>130</v>
      </c>
      <c r="AA1328" s="10">
        <v>0.33800000000000002</v>
      </c>
      <c r="AB1328" s="10">
        <v>123</v>
      </c>
      <c r="AC1328" s="10">
        <v>88</v>
      </c>
      <c r="AD1328" s="10">
        <v>142</v>
      </c>
      <c r="AE1328" s="10">
        <v>6</v>
      </c>
      <c r="AF1328" s="10">
        <v>12.4</v>
      </c>
      <c r="AG1328" s="9" t="s">
        <v>188</v>
      </c>
      <c r="AH1328" s="9" t="s">
        <v>185</v>
      </c>
      <c r="AI1328" s="10"/>
      <c r="AJ1328" s="10"/>
      <c r="AK1328" s="30"/>
    </row>
    <row r="1329" spans="5:37">
      <c r="E1329" s="28" t="s">
        <v>155</v>
      </c>
      <c r="F1329" s="8" t="s">
        <v>180</v>
      </c>
      <c r="G1329" s="9" t="s">
        <v>451</v>
      </c>
      <c r="H1329" s="10">
        <v>162</v>
      </c>
      <c r="I1329" s="9" t="s">
        <v>158</v>
      </c>
      <c r="J1329" s="10">
        <v>162</v>
      </c>
      <c r="K1329" s="10">
        <v>159.9</v>
      </c>
      <c r="L1329" s="10">
        <v>123</v>
      </c>
      <c r="M1329" s="10">
        <v>141</v>
      </c>
      <c r="N1329" s="10">
        <v>121</v>
      </c>
      <c r="O1329" s="10">
        <v>83</v>
      </c>
      <c r="P1329" s="10">
        <v>105</v>
      </c>
      <c r="Q1329" s="10">
        <v>16</v>
      </c>
      <c r="R1329" s="10">
        <v>1234</v>
      </c>
      <c r="S1329" s="10">
        <v>1.23</v>
      </c>
      <c r="T1329" s="10">
        <v>1519</v>
      </c>
      <c r="U1329" s="10">
        <v>190</v>
      </c>
      <c r="V1329" s="10">
        <v>65</v>
      </c>
      <c r="W1329" s="10">
        <v>57</v>
      </c>
      <c r="X1329" s="10">
        <v>266</v>
      </c>
      <c r="Y1329" s="10">
        <v>15</v>
      </c>
      <c r="Z1329" s="10">
        <v>106</v>
      </c>
      <c r="AA1329" s="10">
        <v>0.27200000000000002</v>
      </c>
      <c r="AB1329" s="10">
        <v>106</v>
      </c>
      <c r="AC1329" s="10">
        <v>88</v>
      </c>
      <c r="AD1329" s="10">
        <v>160</v>
      </c>
      <c r="AE1329" s="10">
        <v>7</v>
      </c>
      <c r="AF1329" s="10">
        <v>11</v>
      </c>
      <c r="AG1329" s="9" t="s">
        <v>188</v>
      </c>
      <c r="AH1329" s="9" t="s">
        <v>185</v>
      </c>
      <c r="AI1329" s="10"/>
      <c r="AJ1329" s="10"/>
      <c r="AK1329" s="30"/>
    </row>
    <row r="1330" spans="5:37">
      <c r="E1330" s="28" t="s">
        <v>155</v>
      </c>
      <c r="F1330" s="8" t="s">
        <v>180</v>
      </c>
      <c r="G1330" s="9" t="s">
        <v>451</v>
      </c>
      <c r="H1330" s="10">
        <v>170</v>
      </c>
      <c r="I1330" s="9" t="s">
        <v>158</v>
      </c>
      <c r="J1330" s="10">
        <v>170</v>
      </c>
      <c r="K1330" s="10">
        <v>167.7</v>
      </c>
      <c r="L1330" s="10">
        <v>131</v>
      </c>
      <c r="M1330" s="10">
        <v>148</v>
      </c>
      <c r="N1330" s="10">
        <v>123</v>
      </c>
      <c r="O1330" s="10">
        <v>85</v>
      </c>
      <c r="P1330" s="10">
        <v>108</v>
      </c>
      <c r="Q1330" s="10">
        <v>17.7</v>
      </c>
      <c r="R1330" s="10">
        <v>1317</v>
      </c>
      <c r="S1330" s="10">
        <v>1.23</v>
      </c>
      <c r="T1330" s="10">
        <v>1624</v>
      </c>
      <c r="U1330" s="10">
        <v>252</v>
      </c>
      <c r="V1330" s="10">
        <v>90</v>
      </c>
      <c r="W1330" s="10">
        <v>56</v>
      </c>
      <c r="X1330" s="10">
        <v>270</v>
      </c>
      <c r="Y1330" s="10">
        <v>14</v>
      </c>
      <c r="Z1330" s="10">
        <v>100</v>
      </c>
      <c r="AA1330" s="10">
        <v>0.25</v>
      </c>
      <c r="AB1330" s="10">
        <v>116</v>
      </c>
      <c r="AC1330" s="10">
        <v>79</v>
      </c>
      <c r="AD1330" s="10">
        <v>154</v>
      </c>
      <c r="AE1330" s="10">
        <v>8</v>
      </c>
      <c r="AF1330" s="10">
        <v>11.2</v>
      </c>
      <c r="AG1330" s="9" t="s">
        <v>188</v>
      </c>
      <c r="AH1330" s="9" t="s">
        <v>185</v>
      </c>
      <c r="AI1330" s="10"/>
      <c r="AJ1330" s="10"/>
      <c r="AK1330" s="30"/>
    </row>
    <row r="1331" spans="5:37">
      <c r="E1331" s="28" t="s">
        <v>155</v>
      </c>
      <c r="F1331" s="8" t="s">
        <v>180</v>
      </c>
      <c r="G1331" s="9" t="s">
        <v>451</v>
      </c>
      <c r="H1331" s="10">
        <v>178</v>
      </c>
      <c r="I1331" s="9" t="s">
        <v>158</v>
      </c>
      <c r="J1331" s="10">
        <v>178</v>
      </c>
      <c r="K1331" s="10">
        <v>176.9</v>
      </c>
      <c r="L1331" s="10">
        <v>136</v>
      </c>
      <c r="M1331" s="10">
        <v>157</v>
      </c>
      <c r="N1331" s="10">
        <v>125</v>
      </c>
      <c r="O1331" s="10">
        <v>88</v>
      </c>
      <c r="P1331" s="10">
        <v>110</v>
      </c>
      <c r="Q1331" s="10">
        <v>19.2</v>
      </c>
      <c r="R1331" s="10">
        <v>1470</v>
      </c>
      <c r="S1331" s="10">
        <v>1.19</v>
      </c>
      <c r="T1331" s="10">
        <v>1753</v>
      </c>
      <c r="U1331" s="10">
        <v>301</v>
      </c>
      <c r="V1331" s="10">
        <v>112</v>
      </c>
      <c r="W1331" s="10">
        <v>55</v>
      </c>
      <c r="X1331" s="10">
        <v>272</v>
      </c>
      <c r="Y1331" s="10">
        <v>18</v>
      </c>
      <c r="Z1331" s="10">
        <v>139</v>
      </c>
      <c r="AA1331" s="10">
        <v>0.32200000000000001</v>
      </c>
      <c r="AB1331" s="10">
        <v>112</v>
      </c>
      <c r="AC1331" s="10">
        <v>87</v>
      </c>
      <c r="AD1331" s="10">
        <v>159</v>
      </c>
      <c r="AE1331" s="10">
        <v>5</v>
      </c>
      <c r="AF1331" s="10">
        <v>10.8</v>
      </c>
      <c r="AG1331" s="9" t="s">
        <v>188</v>
      </c>
      <c r="AH1331" s="9" t="s">
        <v>185</v>
      </c>
      <c r="AI1331" s="10"/>
      <c r="AJ1331" s="10"/>
      <c r="AK1331" s="30"/>
    </row>
    <row r="1332" spans="5:37">
      <c r="E1332" s="28" t="s">
        <v>155</v>
      </c>
      <c r="F1332" s="8" t="s">
        <v>180</v>
      </c>
      <c r="G1332" s="9" t="s">
        <v>887</v>
      </c>
      <c r="H1332" s="10">
        <v>152</v>
      </c>
      <c r="I1332" s="9" t="s">
        <v>163</v>
      </c>
      <c r="J1332" s="10">
        <v>152</v>
      </c>
      <c r="K1332" s="10">
        <v>150.80000000000001</v>
      </c>
      <c r="L1332" s="10">
        <v>111</v>
      </c>
      <c r="M1332" s="10">
        <v>133</v>
      </c>
      <c r="N1332" s="10">
        <v>120</v>
      </c>
      <c r="O1332" s="10">
        <v>82</v>
      </c>
      <c r="P1332" s="10">
        <v>105</v>
      </c>
      <c r="Q1332" s="10">
        <v>14.6</v>
      </c>
      <c r="R1332" s="10">
        <v>1093</v>
      </c>
      <c r="S1332" s="10">
        <v>1.29</v>
      </c>
      <c r="T1332" s="10">
        <v>1414</v>
      </c>
      <c r="U1332" s="10">
        <v>145</v>
      </c>
      <c r="V1332" s="10">
        <v>54</v>
      </c>
      <c r="W1332" s="10">
        <v>58</v>
      </c>
      <c r="X1332" s="10">
        <v>286</v>
      </c>
      <c r="Y1332" s="10">
        <v>15</v>
      </c>
      <c r="Z1332" s="10">
        <v>107</v>
      </c>
      <c r="AA1332" s="10">
        <v>0.25700000000000001</v>
      </c>
      <c r="AB1332" s="10">
        <v>104</v>
      </c>
      <c r="AC1332" s="10">
        <v>76</v>
      </c>
      <c r="AD1332" s="10">
        <v>183</v>
      </c>
      <c r="AE1332" s="10">
        <v>5</v>
      </c>
      <c r="AF1332" s="10">
        <v>11</v>
      </c>
      <c r="AG1332" s="9" t="s">
        <v>185</v>
      </c>
      <c r="AH1332" s="9" t="s">
        <v>198</v>
      </c>
      <c r="AI1332" s="10"/>
      <c r="AJ1332" s="10"/>
      <c r="AK1332" s="30"/>
    </row>
    <row r="1333" spans="5:37">
      <c r="E1333" s="28" t="s">
        <v>155</v>
      </c>
      <c r="F1333" s="8" t="s">
        <v>180</v>
      </c>
      <c r="G1333" s="9" t="s">
        <v>598</v>
      </c>
      <c r="H1333" s="10">
        <v>160</v>
      </c>
      <c r="I1333" s="9" t="s">
        <v>163</v>
      </c>
      <c r="J1333" s="10">
        <v>160</v>
      </c>
      <c r="K1333" s="10">
        <v>160.80000000000001</v>
      </c>
      <c r="L1333" s="10">
        <v>120</v>
      </c>
      <c r="M1333" s="10">
        <v>142</v>
      </c>
      <c r="N1333" s="10">
        <v>128</v>
      </c>
      <c r="O1333" s="10">
        <v>92</v>
      </c>
      <c r="P1333" s="10">
        <v>112</v>
      </c>
      <c r="Q1333" s="10">
        <v>17.7</v>
      </c>
      <c r="R1333" s="10">
        <v>1301</v>
      </c>
      <c r="S1333" s="10">
        <v>1.27</v>
      </c>
      <c r="T1333" s="10">
        <v>1656</v>
      </c>
      <c r="U1333" s="10">
        <v>231</v>
      </c>
      <c r="V1333" s="10">
        <v>91</v>
      </c>
      <c r="W1333" s="10">
        <v>59</v>
      </c>
      <c r="X1333" s="10">
        <v>288</v>
      </c>
      <c r="Y1333" s="10">
        <v>18</v>
      </c>
      <c r="Z1333" s="10">
        <v>121</v>
      </c>
      <c r="AA1333" s="10">
        <v>0.312</v>
      </c>
      <c r="AB1333" s="10">
        <v>109</v>
      </c>
      <c r="AC1333" s="10">
        <v>81</v>
      </c>
      <c r="AD1333" s="10">
        <v>179</v>
      </c>
      <c r="AE1333" s="10">
        <v>4</v>
      </c>
      <c r="AF1333" s="10">
        <v>12.7</v>
      </c>
      <c r="AG1333" s="9" t="s">
        <v>188</v>
      </c>
      <c r="AH1333" s="9" t="s">
        <v>185</v>
      </c>
      <c r="AI1333" s="9" t="s">
        <v>198</v>
      </c>
      <c r="AJ1333" s="10"/>
      <c r="AK1333" s="30"/>
    </row>
    <row r="1334" spans="5:37">
      <c r="E1334" s="28" t="s">
        <v>155</v>
      </c>
      <c r="F1334" s="8" t="s">
        <v>213</v>
      </c>
      <c r="G1334" s="9" t="s">
        <v>214</v>
      </c>
      <c r="H1334" s="10">
        <v>165</v>
      </c>
      <c r="I1334" s="9" t="s">
        <v>158</v>
      </c>
      <c r="J1334" s="10">
        <v>165</v>
      </c>
      <c r="K1334" s="10">
        <v>164.2</v>
      </c>
      <c r="L1334" s="10">
        <v>137</v>
      </c>
      <c r="M1334" s="10">
        <v>144</v>
      </c>
      <c r="N1334" s="10">
        <v>123</v>
      </c>
      <c r="O1334" s="10">
        <v>87</v>
      </c>
      <c r="P1334" s="10">
        <v>111</v>
      </c>
      <c r="Q1334" s="10">
        <v>17.100000000000001</v>
      </c>
      <c r="R1334" s="10">
        <v>1478</v>
      </c>
      <c r="S1334" s="10">
        <v>1.0900000000000001</v>
      </c>
      <c r="T1334" s="10">
        <v>1613</v>
      </c>
      <c r="U1334" s="10">
        <v>146</v>
      </c>
      <c r="V1334" s="10">
        <v>80</v>
      </c>
      <c r="W1334" s="10">
        <v>40</v>
      </c>
      <c r="X1334" s="10">
        <v>195</v>
      </c>
      <c r="Y1334" s="10">
        <v>9</v>
      </c>
      <c r="Z1334" s="10">
        <v>73</v>
      </c>
      <c r="AA1334" s="10">
        <v>0.223</v>
      </c>
      <c r="AB1334" s="10">
        <v>140</v>
      </c>
      <c r="AC1334" s="10">
        <v>59</v>
      </c>
      <c r="AD1334" s="10">
        <v>56</v>
      </c>
      <c r="AE1334" s="10">
        <v>8</v>
      </c>
      <c r="AF1334" s="10">
        <v>13.4</v>
      </c>
      <c r="AG1334" s="9" t="s">
        <v>188</v>
      </c>
      <c r="AH1334" s="9" t="s">
        <v>185</v>
      </c>
      <c r="AI1334" s="10"/>
      <c r="AJ1334" s="10"/>
      <c r="AK1334" s="30"/>
    </row>
    <row r="1335" spans="5:37">
      <c r="E1335" s="28" t="s">
        <v>155</v>
      </c>
      <c r="F1335" s="8" t="s">
        <v>213</v>
      </c>
      <c r="G1335" s="9" t="s">
        <v>214</v>
      </c>
      <c r="H1335" s="10">
        <v>174</v>
      </c>
      <c r="I1335" s="9" t="s">
        <v>158</v>
      </c>
      <c r="J1335" s="10">
        <v>174</v>
      </c>
      <c r="K1335" s="10">
        <v>173.1</v>
      </c>
      <c r="L1335" s="10">
        <v>145</v>
      </c>
      <c r="M1335" s="10">
        <v>153</v>
      </c>
      <c r="N1335" s="10">
        <v>123</v>
      </c>
      <c r="O1335" s="10">
        <v>87</v>
      </c>
      <c r="P1335" s="10">
        <v>110</v>
      </c>
      <c r="Q1335" s="10">
        <v>19.100000000000001</v>
      </c>
      <c r="R1335" s="10">
        <v>1613</v>
      </c>
      <c r="S1335" s="10">
        <v>1.05</v>
      </c>
      <c r="T1335" s="10">
        <v>1697</v>
      </c>
      <c r="U1335" s="10">
        <v>206</v>
      </c>
      <c r="V1335" s="10">
        <v>106</v>
      </c>
      <c r="W1335" s="10">
        <v>44</v>
      </c>
      <c r="X1335" s="10">
        <v>204</v>
      </c>
      <c r="Y1335" s="10">
        <v>8</v>
      </c>
      <c r="Z1335" s="10">
        <v>74</v>
      </c>
      <c r="AA1335" s="10">
        <v>0.186</v>
      </c>
      <c r="AB1335" s="10">
        <v>141</v>
      </c>
      <c r="AC1335" s="10">
        <v>59</v>
      </c>
      <c r="AD1335" s="10">
        <v>63</v>
      </c>
      <c r="AE1335" s="10">
        <v>7</v>
      </c>
      <c r="AF1335" s="10">
        <v>13.5</v>
      </c>
      <c r="AG1335" s="9" t="s">
        <v>188</v>
      </c>
      <c r="AH1335" s="9" t="s">
        <v>185</v>
      </c>
      <c r="AI1335" s="10"/>
      <c r="AJ1335" s="10"/>
      <c r="AK1335" s="30"/>
    </row>
    <row r="1336" spans="5:37">
      <c r="E1336" s="28" t="s">
        <v>155</v>
      </c>
      <c r="F1336" s="8" t="s">
        <v>213</v>
      </c>
      <c r="G1336" s="9" t="s">
        <v>424</v>
      </c>
      <c r="H1336" s="10">
        <v>167</v>
      </c>
      <c r="I1336" s="9" t="s">
        <v>158</v>
      </c>
      <c r="J1336" s="10">
        <v>167</v>
      </c>
      <c r="K1336" s="10">
        <v>166.2</v>
      </c>
      <c r="L1336" s="10">
        <v>139</v>
      </c>
      <c r="M1336" s="10">
        <v>144</v>
      </c>
      <c r="N1336" s="10">
        <v>127</v>
      </c>
      <c r="O1336" s="10">
        <v>91</v>
      </c>
      <c r="P1336" s="10">
        <v>117</v>
      </c>
      <c r="Q1336" s="10">
        <v>16.100000000000001</v>
      </c>
      <c r="R1336" s="10">
        <v>1544</v>
      </c>
      <c r="S1336" s="10">
        <v>1.1100000000000001</v>
      </c>
      <c r="T1336" s="10">
        <v>1714</v>
      </c>
      <c r="U1336" s="10">
        <v>164</v>
      </c>
      <c r="V1336" s="10">
        <v>88</v>
      </c>
      <c r="W1336" s="10">
        <v>44</v>
      </c>
      <c r="X1336" s="10">
        <v>201</v>
      </c>
      <c r="Y1336" s="10">
        <v>9</v>
      </c>
      <c r="Z1336" s="10">
        <v>75</v>
      </c>
      <c r="AA1336" s="10">
        <v>0.19800000000000001</v>
      </c>
      <c r="AB1336" s="10">
        <v>168</v>
      </c>
      <c r="AC1336" s="10">
        <v>54</v>
      </c>
      <c r="AD1336" s="10">
        <v>33</v>
      </c>
      <c r="AE1336" s="10">
        <v>6</v>
      </c>
      <c r="AF1336" s="10">
        <v>13.3</v>
      </c>
      <c r="AG1336" s="9" t="s">
        <v>188</v>
      </c>
      <c r="AH1336" s="9" t="s">
        <v>185</v>
      </c>
      <c r="AI1336" s="10"/>
      <c r="AJ1336" s="10"/>
      <c r="AK1336" s="30"/>
    </row>
    <row r="1337" spans="5:37">
      <c r="E1337" s="28" t="s">
        <v>155</v>
      </c>
      <c r="F1337" s="8" t="s">
        <v>213</v>
      </c>
      <c r="G1337" s="9" t="s">
        <v>856</v>
      </c>
      <c r="H1337" s="10">
        <v>175</v>
      </c>
      <c r="I1337" s="9" t="s">
        <v>158</v>
      </c>
      <c r="J1337" s="10">
        <v>175</v>
      </c>
      <c r="K1337" s="10">
        <v>174.2</v>
      </c>
      <c r="L1337" s="10">
        <v>149</v>
      </c>
      <c r="M1337" s="10">
        <v>159</v>
      </c>
      <c r="N1337" s="10">
        <v>130</v>
      </c>
      <c r="O1337" s="10">
        <v>82</v>
      </c>
      <c r="P1337" s="10">
        <v>112</v>
      </c>
      <c r="Q1337" s="10">
        <v>16.2</v>
      </c>
      <c r="R1337" s="10">
        <v>1927</v>
      </c>
      <c r="S1337" s="10">
        <v>0.87</v>
      </c>
      <c r="T1337" s="10">
        <v>1679</v>
      </c>
      <c r="U1337" s="10">
        <v>220</v>
      </c>
      <c r="V1337" s="10">
        <v>128</v>
      </c>
      <c r="W1337" s="10">
        <v>42</v>
      </c>
      <c r="X1337" s="10">
        <v>185</v>
      </c>
      <c r="Y1337" s="10">
        <v>5</v>
      </c>
      <c r="Z1337" s="10">
        <v>64</v>
      </c>
      <c r="AA1337" s="10">
        <v>0.114</v>
      </c>
      <c r="AB1337" s="10">
        <v>97</v>
      </c>
      <c r="AC1337" s="10">
        <v>54</v>
      </c>
      <c r="AD1337" s="10">
        <v>88</v>
      </c>
      <c r="AE1337" s="10">
        <v>9</v>
      </c>
      <c r="AF1337" s="10">
        <v>14.4</v>
      </c>
      <c r="AG1337" s="9" t="s">
        <v>349</v>
      </c>
      <c r="AH1337" s="9" t="s">
        <v>188</v>
      </c>
      <c r="AI1337" s="10"/>
      <c r="AJ1337" s="10"/>
      <c r="AK1337" s="30"/>
    </row>
    <row r="1338" spans="5:37">
      <c r="E1338" s="28" t="s">
        <v>155</v>
      </c>
      <c r="F1338" s="8" t="s">
        <v>213</v>
      </c>
      <c r="G1338" s="9" t="s">
        <v>375</v>
      </c>
      <c r="H1338" s="10">
        <v>156</v>
      </c>
      <c r="I1338" s="9" t="s">
        <v>158</v>
      </c>
      <c r="J1338" s="10">
        <v>156</v>
      </c>
      <c r="K1338" s="10">
        <v>154.80000000000001</v>
      </c>
      <c r="L1338" s="10">
        <v>134</v>
      </c>
      <c r="M1338" s="10">
        <v>142</v>
      </c>
      <c r="N1338" s="10">
        <v>122</v>
      </c>
      <c r="O1338" s="10">
        <v>71</v>
      </c>
      <c r="P1338" s="10">
        <v>103</v>
      </c>
      <c r="Q1338" s="10">
        <v>12.1</v>
      </c>
      <c r="R1338" s="10">
        <v>1577</v>
      </c>
      <c r="S1338" s="10">
        <v>0.85</v>
      </c>
      <c r="T1338" s="10">
        <v>1343</v>
      </c>
      <c r="U1338" s="10">
        <v>160</v>
      </c>
      <c r="V1338" s="10">
        <v>92</v>
      </c>
      <c r="W1338" s="10">
        <v>42</v>
      </c>
      <c r="X1338" s="10">
        <v>151</v>
      </c>
      <c r="Y1338" s="10">
        <v>6</v>
      </c>
      <c r="Z1338" s="10">
        <v>57</v>
      </c>
      <c r="AA1338" s="10">
        <v>0.13500000000000001</v>
      </c>
      <c r="AB1338" s="10">
        <v>75</v>
      </c>
      <c r="AC1338" s="10">
        <v>55</v>
      </c>
      <c r="AD1338" s="10">
        <v>77</v>
      </c>
      <c r="AE1338" s="10">
        <v>7</v>
      </c>
      <c r="AF1338" s="10">
        <v>12.1</v>
      </c>
      <c r="AG1338" s="9" t="s">
        <v>349</v>
      </c>
      <c r="AH1338" s="10"/>
      <c r="AI1338" s="10"/>
      <c r="AJ1338" s="10"/>
      <c r="AK1338" s="30"/>
    </row>
    <row r="1339" spans="5:37">
      <c r="E1339" s="28" t="s">
        <v>155</v>
      </c>
      <c r="F1339" s="8" t="s">
        <v>213</v>
      </c>
      <c r="G1339" s="9" t="s">
        <v>375</v>
      </c>
      <c r="H1339" s="10">
        <v>170</v>
      </c>
      <c r="I1339" s="9" t="s">
        <v>158</v>
      </c>
      <c r="J1339" s="10">
        <v>170</v>
      </c>
      <c r="K1339" s="10">
        <v>168.7</v>
      </c>
      <c r="L1339" s="10">
        <v>148</v>
      </c>
      <c r="M1339" s="10">
        <v>156</v>
      </c>
      <c r="N1339" s="10">
        <v>122</v>
      </c>
      <c r="O1339" s="10">
        <v>71</v>
      </c>
      <c r="P1339" s="10">
        <v>103</v>
      </c>
      <c r="Q1339" s="10">
        <v>14.7</v>
      </c>
      <c r="R1339" s="10">
        <v>1818</v>
      </c>
      <c r="S1339" s="10">
        <v>0.8</v>
      </c>
      <c r="T1339" s="10">
        <v>1463</v>
      </c>
      <c r="U1339" s="10">
        <v>206</v>
      </c>
      <c r="V1339" s="10">
        <v>114</v>
      </c>
      <c r="W1339" s="10">
        <v>39</v>
      </c>
      <c r="X1339" s="10">
        <v>146</v>
      </c>
      <c r="Y1339" s="10">
        <v>6</v>
      </c>
      <c r="Z1339" s="10">
        <v>61</v>
      </c>
      <c r="AA1339" s="10">
        <v>0.14199999999999999</v>
      </c>
      <c r="AB1339" s="10">
        <v>72</v>
      </c>
      <c r="AC1339" s="10">
        <v>57</v>
      </c>
      <c r="AD1339" s="10">
        <v>74</v>
      </c>
      <c r="AE1339" s="10">
        <v>8</v>
      </c>
      <c r="AF1339" s="10">
        <v>12.2</v>
      </c>
      <c r="AG1339" s="9" t="s">
        <v>349</v>
      </c>
      <c r="AH1339" s="10"/>
      <c r="AI1339" s="10"/>
      <c r="AJ1339" s="10"/>
      <c r="AK1339" s="30"/>
    </row>
    <row r="1340" spans="5:37">
      <c r="E1340" s="28" t="s">
        <v>155</v>
      </c>
      <c r="F1340" s="8" t="s">
        <v>213</v>
      </c>
      <c r="G1340" s="9" t="s">
        <v>495</v>
      </c>
      <c r="H1340" s="10">
        <v>163</v>
      </c>
      <c r="I1340" s="9" t="s">
        <v>158</v>
      </c>
      <c r="J1340" s="10">
        <v>163</v>
      </c>
      <c r="K1340" s="10">
        <v>162</v>
      </c>
      <c r="L1340" s="10">
        <v>141</v>
      </c>
      <c r="M1340" s="10">
        <v>148</v>
      </c>
      <c r="N1340" s="10">
        <v>122</v>
      </c>
      <c r="O1340" s="10">
        <v>72</v>
      </c>
      <c r="P1340" s="10">
        <v>103</v>
      </c>
      <c r="Q1340" s="10">
        <v>13.5</v>
      </c>
      <c r="R1340" s="10">
        <v>1671</v>
      </c>
      <c r="S1340" s="10">
        <v>0.84</v>
      </c>
      <c r="T1340" s="10">
        <v>1405</v>
      </c>
      <c r="U1340" s="10">
        <v>170</v>
      </c>
      <c r="V1340" s="10">
        <v>106</v>
      </c>
      <c r="W1340" s="10">
        <v>40</v>
      </c>
      <c r="X1340" s="10">
        <v>144</v>
      </c>
      <c r="Y1340" s="10">
        <v>7</v>
      </c>
      <c r="Z1340" s="10">
        <v>66</v>
      </c>
      <c r="AA1340" s="10">
        <v>0.17899999999999999</v>
      </c>
      <c r="AB1340" s="10">
        <v>78</v>
      </c>
      <c r="AC1340" s="10">
        <v>57</v>
      </c>
      <c r="AD1340" s="10">
        <v>66</v>
      </c>
      <c r="AE1340" s="10">
        <v>8</v>
      </c>
      <c r="AF1340" s="10">
        <v>12.1</v>
      </c>
      <c r="AG1340" s="9" t="s">
        <v>349</v>
      </c>
      <c r="AH1340" s="10"/>
      <c r="AI1340" s="10"/>
      <c r="AJ1340" s="10"/>
      <c r="AK1340" s="30"/>
    </row>
    <row r="1341" spans="5:37">
      <c r="E1341" s="28" t="s">
        <v>155</v>
      </c>
      <c r="F1341" s="8" t="s">
        <v>213</v>
      </c>
      <c r="G1341" s="9" t="s">
        <v>495</v>
      </c>
      <c r="H1341" s="10">
        <v>170</v>
      </c>
      <c r="I1341" s="9" t="s">
        <v>158</v>
      </c>
      <c r="J1341" s="10">
        <v>170</v>
      </c>
      <c r="K1341" s="10">
        <v>169.2</v>
      </c>
      <c r="L1341" s="10">
        <v>149</v>
      </c>
      <c r="M1341" s="10">
        <v>156</v>
      </c>
      <c r="N1341" s="10">
        <v>122</v>
      </c>
      <c r="O1341" s="10">
        <v>72</v>
      </c>
      <c r="P1341" s="10">
        <v>103</v>
      </c>
      <c r="Q1341" s="10">
        <v>14.8</v>
      </c>
      <c r="R1341" s="10">
        <v>1751</v>
      </c>
      <c r="S1341" s="10">
        <v>0.84</v>
      </c>
      <c r="T1341" s="10">
        <v>1467</v>
      </c>
      <c r="U1341" s="10">
        <v>200</v>
      </c>
      <c r="V1341" s="10">
        <v>110</v>
      </c>
      <c r="W1341" s="10">
        <v>39</v>
      </c>
      <c r="X1341" s="10">
        <v>140</v>
      </c>
      <c r="Y1341" s="10">
        <v>6</v>
      </c>
      <c r="Z1341" s="10">
        <v>61</v>
      </c>
      <c r="AA1341" s="10">
        <v>0.157</v>
      </c>
      <c r="AB1341" s="10">
        <v>73</v>
      </c>
      <c r="AC1341" s="10">
        <v>59</v>
      </c>
      <c r="AD1341" s="10">
        <v>68</v>
      </c>
      <c r="AE1341" s="10">
        <v>10</v>
      </c>
      <c r="AF1341" s="10">
        <v>13.9</v>
      </c>
      <c r="AG1341" s="9" t="s">
        <v>349</v>
      </c>
      <c r="AH1341" s="10"/>
      <c r="AI1341" s="10"/>
      <c r="AJ1341" s="10"/>
      <c r="AK1341" s="30"/>
    </row>
    <row r="1342" spans="5:37">
      <c r="E1342" s="28" t="s">
        <v>155</v>
      </c>
      <c r="F1342" s="8" t="s">
        <v>213</v>
      </c>
      <c r="G1342" s="9" t="s">
        <v>760</v>
      </c>
      <c r="H1342" s="10">
        <v>160</v>
      </c>
      <c r="I1342" s="9" t="s">
        <v>158</v>
      </c>
      <c r="J1342" s="10">
        <v>160</v>
      </c>
      <c r="K1342" s="10">
        <v>159.1</v>
      </c>
      <c r="L1342" s="10">
        <v>137</v>
      </c>
      <c r="M1342" s="10">
        <v>147</v>
      </c>
      <c r="N1342" s="10">
        <v>119</v>
      </c>
      <c r="O1342" s="10">
        <v>66</v>
      </c>
      <c r="P1342" s="10">
        <v>97</v>
      </c>
      <c r="Q1342" s="10">
        <v>12.9</v>
      </c>
      <c r="R1342" s="10">
        <v>1666</v>
      </c>
      <c r="S1342" s="10">
        <v>0.78</v>
      </c>
      <c r="T1342" s="10">
        <v>1292</v>
      </c>
      <c r="U1342" s="10">
        <v>196</v>
      </c>
      <c r="V1342" s="10">
        <v>119</v>
      </c>
      <c r="W1342" s="10">
        <v>40</v>
      </c>
      <c r="X1342" s="10">
        <v>156</v>
      </c>
      <c r="Y1342" s="10">
        <v>7</v>
      </c>
      <c r="Z1342" s="10">
        <v>63</v>
      </c>
      <c r="AA1342" s="10">
        <v>0.16200000000000001</v>
      </c>
      <c r="AB1342" s="10">
        <v>67</v>
      </c>
      <c r="AC1342" s="10">
        <v>50</v>
      </c>
      <c r="AD1342" s="10">
        <v>89</v>
      </c>
      <c r="AE1342" s="10">
        <v>8</v>
      </c>
      <c r="AF1342" s="10">
        <v>12.6</v>
      </c>
      <c r="AG1342" s="9" t="s">
        <v>349</v>
      </c>
      <c r="AH1342" s="10"/>
      <c r="AI1342" s="10"/>
      <c r="AJ1342" s="10"/>
      <c r="AK1342" s="30"/>
    </row>
    <row r="1343" spans="5:37">
      <c r="E1343" s="28" t="s">
        <v>155</v>
      </c>
      <c r="F1343" s="8" t="s">
        <v>213</v>
      </c>
      <c r="G1343" s="9" t="s">
        <v>644</v>
      </c>
      <c r="H1343" s="10">
        <v>152</v>
      </c>
      <c r="I1343" s="9" t="s">
        <v>163</v>
      </c>
      <c r="J1343" s="10">
        <v>152</v>
      </c>
      <c r="K1343" s="10">
        <v>151.30000000000001</v>
      </c>
      <c r="L1343" s="10">
        <v>124</v>
      </c>
      <c r="M1343" s="10">
        <v>132</v>
      </c>
      <c r="N1343" s="10">
        <v>127</v>
      </c>
      <c r="O1343" s="10">
        <v>88</v>
      </c>
      <c r="P1343" s="10">
        <v>113</v>
      </c>
      <c r="Q1343" s="10">
        <v>13.1</v>
      </c>
      <c r="R1343" s="10">
        <v>1419</v>
      </c>
      <c r="S1343" s="10">
        <v>1.06</v>
      </c>
      <c r="T1343" s="10">
        <v>1510</v>
      </c>
      <c r="U1343" s="10">
        <v>158</v>
      </c>
      <c r="V1343" s="10">
        <v>89</v>
      </c>
      <c r="W1343" s="10">
        <v>43</v>
      </c>
      <c r="X1343" s="10">
        <v>199</v>
      </c>
      <c r="Y1343" s="10">
        <v>9</v>
      </c>
      <c r="Z1343" s="10">
        <v>78</v>
      </c>
      <c r="AA1343" s="10">
        <v>0.20599999999999999</v>
      </c>
      <c r="AB1343" s="10">
        <v>135</v>
      </c>
      <c r="AC1343" s="10">
        <v>56</v>
      </c>
      <c r="AD1343" s="10">
        <v>64</v>
      </c>
      <c r="AE1343" s="10">
        <v>5</v>
      </c>
      <c r="AF1343" s="10">
        <v>12.6</v>
      </c>
      <c r="AG1343" s="9" t="s">
        <v>188</v>
      </c>
      <c r="AH1343" s="9" t="s">
        <v>185</v>
      </c>
      <c r="AI1343" s="10"/>
      <c r="AJ1343" s="10"/>
      <c r="AK1343" s="30"/>
    </row>
    <row r="1344" spans="5:37">
      <c r="E1344" s="28" t="s">
        <v>155</v>
      </c>
      <c r="F1344" s="8" t="s">
        <v>213</v>
      </c>
      <c r="G1344" s="9" t="s">
        <v>644</v>
      </c>
      <c r="H1344" s="10">
        <v>160</v>
      </c>
      <c r="I1344" s="9" t="s">
        <v>163</v>
      </c>
      <c r="J1344" s="10">
        <v>160</v>
      </c>
      <c r="K1344" s="10">
        <v>159.4</v>
      </c>
      <c r="L1344" s="10">
        <v>132</v>
      </c>
      <c r="M1344" s="10">
        <v>140</v>
      </c>
      <c r="N1344" s="10">
        <v>127</v>
      </c>
      <c r="O1344" s="10">
        <v>88</v>
      </c>
      <c r="P1344" s="10">
        <v>113</v>
      </c>
      <c r="Q1344" s="10">
        <v>14.9</v>
      </c>
      <c r="R1344" s="10">
        <v>1532</v>
      </c>
      <c r="S1344" s="10">
        <v>1.04</v>
      </c>
      <c r="T1344" s="10">
        <v>1591</v>
      </c>
      <c r="U1344" s="10">
        <v>159</v>
      </c>
      <c r="V1344" s="10">
        <v>81</v>
      </c>
      <c r="W1344" s="10">
        <v>43</v>
      </c>
      <c r="X1344" s="10">
        <v>197</v>
      </c>
      <c r="Y1344" s="10">
        <v>9</v>
      </c>
      <c r="Z1344" s="10">
        <v>80</v>
      </c>
      <c r="AA1344" s="10">
        <v>0.20200000000000001</v>
      </c>
      <c r="AB1344" s="10">
        <v>134</v>
      </c>
      <c r="AC1344" s="10">
        <v>56</v>
      </c>
      <c r="AD1344" s="10">
        <v>62</v>
      </c>
      <c r="AE1344" s="10">
        <v>5</v>
      </c>
      <c r="AF1344" s="10">
        <v>13.2</v>
      </c>
      <c r="AG1344" s="9" t="s">
        <v>188</v>
      </c>
      <c r="AH1344" s="10"/>
      <c r="AI1344" s="10"/>
      <c r="AJ1344" s="10"/>
      <c r="AK1344" s="30"/>
    </row>
    <row r="1345" spans="5:37">
      <c r="E1345" s="28" t="s">
        <v>155</v>
      </c>
      <c r="F1345" s="8" t="s">
        <v>213</v>
      </c>
      <c r="G1345" s="9" t="s">
        <v>357</v>
      </c>
      <c r="H1345" s="10">
        <v>156</v>
      </c>
      <c r="I1345" s="9" t="s">
        <v>163</v>
      </c>
      <c r="J1345" s="10">
        <v>156</v>
      </c>
      <c r="K1345" s="10">
        <v>155.30000000000001</v>
      </c>
      <c r="L1345" s="10">
        <v>126</v>
      </c>
      <c r="M1345" s="10">
        <v>134</v>
      </c>
      <c r="N1345" s="10">
        <v>133</v>
      </c>
      <c r="O1345" s="10">
        <v>96</v>
      </c>
      <c r="P1345" s="10">
        <v>120</v>
      </c>
      <c r="Q1345" s="10">
        <v>13.6</v>
      </c>
      <c r="R1345" s="10">
        <v>1585</v>
      </c>
      <c r="S1345" s="10">
        <v>1.06</v>
      </c>
      <c r="T1345" s="10">
        <v>1673</v>
      </c>
      <c r="U1345" s="10">
        <v>168</v>
      </c>
      <c r="V1345" s="10">
        <v>95</v>
      </c>
      <c r="W1345" s="10">
        <v>45</v>
      </c>
      <c r="X1345" s="10">
        <v>211</v>
      </c>
      <c r="Y1345" s="10">
        <v>9</v>
      </c>
      <c r="Z1345" s="10">
        <v>79</v>
      </c>
      <c r="AA1345" s="10">
        <v>0.19700000000000001</v>
      </c>
      <c r="AB1345" s="10">
        <v>155</v>
      </c>
      <c r="AC1345" s="10">
        <v>55</v>
      </c>
      <c r="AD1345" s="10">
        <v>55</v>
      </c>
      <c r="AE1345" s="10">
        <v>4</v>
      </c>
      <c r="AF1345" s="10">
        <v>12.7</v>
      </c>
      <c r="AG1345" s="9" t="s">
        <v>188</v>
      </c>
      <c r="AH1345" s="9" t="s">
        <v>185</v>
      </c>
      <c r="AI1345" s="10"/>
      <c r="AJ1345" s="10"/>
      <c r="AK1345" s="30"/>
    </row>
    <row r="1346" spans="5:37">
      <c r="E1346" s="28" t="s">
        <v>155</v>
      </c>
      <c r="F1346" s="8" t="s">
        <v>213</v>
      </c>
      <c r="G1346" s="9" t="s">
        <v>357</v>
      </c>
      <c r="H1346" s="10">
        <v>164</v>
      </c>
      <c r="I1346" s="9" t="s">
        <v>163</v>
      </c>
      <c r="J1346" s="10">
        <v>164</v>
      </c>
      <c r="K1346" s="10">
        <v>163.4</v>
      </c>
      <c r="L1346" s="10">
        <v>135</v>
      </c>
      <c r="M1346" s="10">
        <v>141</v>
      </c>
      <c r="N1346" s="10">
        <v>133</v>
      </c>
      <c r="O1346" s="10">
        <v>96</v>
      </c>
      <c r="P1346" s="10">
        <v>121</v>
      </c>
      <c r="Q1346" s="10">
        <v>15.3</v>
      </c>
      <c r="R1346" s="10">
        <v>1665</v>
      </c>
      <c r="S1346" s="10">
        <v>1.06</v>
      </c>
      <c r="T1346" s="10">
        <v>1760</v>
      </c>
      <c r="U1346" s="10">
        <v>169</v>
      </c>
      <c r="V1346" s="10">
        <v>102</v>
      </c>
      <c r="W1346" s="10">
        <v>45</v>
      </c>
      <c r="X1346" s="10">
        <v>204</v>
      </c>
      <c r="Y1346" s="10">
        <v>8</v>
      </c>
      <c r="Z1346" s="10">
        <v>78</v>
      </c>
      <c r="AA1346" s="10">
        <v>0.189</v>
      </c>
      <c r="AB1346" s="10">
        <v>160</v>
      </c>
      <c r="AC1346" s="10">
        <v>59</v>
      </c>
      <c r="AD1346" s="10">
        <v>44</v>
      </c>
      <c r="AE1346" s="10">
        <v>6</v>
      </c>
      <c r="AF1346" s="10">
        <v>13</v>
      </c>
      <c r="AG1346" s="9" t="s">
        <v>188</v>
      </c>
      <c r="AH1346" s="9" t="s">
        <v>185</v>
      </c>
      <c r="AI1346" s="10"/>
      <c r="AJ1346" s="10"/>
      <c r="AK1346" s="30"/>
    </row>
    <row r="1347" spans="5:37">
      <c r="E1347" s="28" t="s">
        <v>155</v>
      </c>
      <c r="F1347" s="8" t="s">
        <v>213</v>
      </c>
      <c r="G1347" s="9" t="s">
        <v>467</v>
      </c>
      <c r="H1347" s="10">
        <v>173</v>
      </c>
      <c r="I1347" s="9" t="s">
        <v>158</v>
      </c>
      <c r="J1347" s="10">
        <v>173</v>
      </c>
      <c r="K1347" s="10">
        <v>171.2</v>
      </c>
      <c r="L1347" s="10">
        <v>135</v>
      </c>
      <c r="M1347" s="10">
        <v>143</v>
      </c>
      <c r="N1347" s="10">
        <v>135</v>
      </c>
      <c r="O1347" s="10">
        <v>102</v>
      </c>
      <c r="P1347" s="10">
        <v>124</v>
      </c>
      <c r="Q1347" s="10">
        <v>16.899999999999999</v>
      </c>
      <c r="R1347" s="10">
        <v>1817</v>
      </c>
      <c r="S1347" s="10">
        <v>1.06</v>
      </c>
      <c r="T1347" s="10">
        <v>1933</v>
      </c>
      <c r="U1347" s="10">
        <v>190</v>
      </c>
      <c r="V1347" s="10">
        <v>104</v>
      </c>
      <c r="W1347" s="10">
        <v>58</v>
      </c>
      <c r="X1347" s="10">
        <v>252</v>
      </c>
      <c r="Y1347" s="10">
        <v>10</v>
      </c>
      <c r="Z1347" s="10">
        <v>107</v>
      </c>
      <c r="AA1347" s="10">
        <v>0.17799999999999999</v>
      </c>
      <c r="AB1347" s="10">
        <v>193</v>
      </c>
      <c r="AC1347" s="10">
        <v>87</v>
      </c>
      <c r="AD1347" s="10">
        <v>59</v>
      </c>
      <c r="AE1347" s="10">
        <v>4</v>
      </c>
      <c r="AF1347" s="10">
        <v>12.6</v>
      </c>
      <c r="AG1347" s="9" t="s">
        <v>188</v>
      </c>
      <c r="AH1347" s="9" t="s">
        <v>178</v>
      </c>
      <c r="AI1347" s="9" t="s">
        <v>185</v>
      </c>
      <c r="AJ1347" s="10"/>
      <c r="AK1347" s="30"/>
    </row>
    <row r="1348" spans="5:37">
      <c r="E1348" s="28" t="s">
        <v>155</v>
      </c>
      <c r="F1348" s="8" t="s">
        <v>213</v>
      </c>
      <c r="G1348" s="9" t="s">
        <v>594</v>
      </c>
      <c r="H1348" s="10">
        <v>175</v>
      </c>
      <c r="I1348" s="9" t="s">
        <v>158</v>
      </c>
      <c r="J1348" s="10">
        <v>175</v>
      </c>
      <c r="K1348" s="10">
        <v>174.2</v>
      </c>
      <c r="L1348" s="10">
        <v>148</v>
      </c>
      <c r="M1348" s="10">
        <v>155</v>
      </c>
      <c r="N1348" s="10">
        <v>128</v>
      </c>
      <c r="O1348" s="10">
        <v>88</v>
      </c>
      <c r="P1348" s="10">
        <v>113</v>
      </c>
      <c r="Q1348" s="10">
        <v>18.100000000000001</v>
      </c>
      <c r="R1348" s="10">
        <v>1741</v>
      </c>
      <c r="S1348" s="10">
        <v>1</v>
      </c>
      <c r="T1348" s="10">
        <v>1743</v>
      </c>
      <c r="U1348" s="10">
        <v>188</v>
      </c>
      <c r="V1348" s="10">
        <v>104</v>
      </c>
      <c r="W1348" s="10">
        <v>42</v>
      </c>
      <c r="X1348" s="10">
        <v>183</v>
      </c>
      <c r="Y1348" s="10">
        <v>9</v>
      </c>
      <c r="Z1348" s="10">
        <v>76</v>
      </c>
      <c r="AA1348" s="10">
        <v>0.21299999999999999</v>
      </c>
      <c r="AB1348" s="10">
        <v>132</v>
      </c>
      <c r="AC1348" s="10">
        <v>56</v>
      </c>
      <c r="AD1348" s="10">
        <v>51</v>
      </c>
      <c r="AE1348" s="10">
        <v>9</v>
      </c>
      <c r="AF1348" s="10">
        <v>13.1</v>
      </c>
      <c r="AG1348" s="9" t="s">
        <v>188</v>
      </c>
      <c r="AH1348" s="10"/>
      <c r="AI1348" s="10"/>
      <c r="AJ1348" s="10"/>
      <c r="AK1348" s="30"/>
    </row>
    <row r="1349" spans="5:37">
      <c r="E1349" s="28" t="s">
        <v>155</v>
      </c>
      <c r="F1349" s="8" t="s">
        <v>213</v>
      </c>
      <c r="G1349" s="9" t="s">
        <v>504</v>
      </c>
      <c r="H1349" s="10">
        <v>166</v>
      </c>
      <c r="I1349" s="9" t="s">
        <v>158</v>
      </c>
      <c r="J1349" s="10">
        <v>166</v>
      </c>
      <c r="K1349" s="10">
        <v>165.3</v>
      </c>
      <c r="L1349" s="10">
        <v>134</v>
      </c>
      <c r="M1349" s="10">
        <v>144</v>
      </c>
      <c r="N1349" s="10">
        <v>131</v>
      </c>
      <c r="O1349" s="10">
        <v>94</v>
      </c>
      <c r="P1349" s="10">
        <v>122</v>
      </c>
      <c r="Q1349" s="10">
        <v>14.8</v>
      </c>
      <c r="R1349" s="10">
        <v>1691</v>
      </c>
      <c r="S1349" s="10">
        <v>1.04</v>
      </c>
      <c r="T1349" s="10">
        <v>1762</v>
      </c>
      <c r="U1349" s="10">
        <v>171</v>
      </c>
      <c r="V1349" s="10">
        <v>104</v>
      </c>
      <c r="W1349" s="10">
        <v>48</v>
      </c>
      <c r="X1349" s="10">
        <v>229</v>
      </c>
      <c r="Y1349" s="10">
        <v>10</v>
      </c>
      <c r="Z1349" s="10">
        <v>87</v>
      </c>
      <c r="AA1349" s="10">
        <v>0.20300000000000001</v>
      </c>
      <c r="AB1349" s="10">
        <v>157</v>
      </c>
      <c r="AC1349" s="10">
        <v>61</v>
      </c>
      <c r="AD1349" s="10">
        <v>72</v>
      </c>
      <c r="AE1349" s="10">
        <v>4</v>
      </c>
      <c r="AF1349" s="10">
        <v>13.3</v>
      </c>
      <c r="AG1349" s="9" t="s">
        <v>188</v>
      </c>
      <c r="AH1349" s="10"/>
      <c r="AI1349" s="10"/>
      <c r="AJ1349" s="10"/>
      <c r="AK1349" s="30"/>
    </row>
    <row r="1350" spans="5:37">
      <c r="E1350" s="28" t="s">
        <v>155</v>
      </c>
      <c r="F1350" s="8" t="s">
        <v>213</v>
      </c>
      <c r="G1350" s="9" t="s">
        <v>504</v>
      </c>
      <c r="H1350" s="10">
        <v>175</v>
      </c>
      <c r="I1350" s="9" t="s">
        <v>158</v>
      </c>
      <c r="J1350" s="10">
        <v>175</v>
      </c>
      <c r="K1350" s="10">
        <v>174</v>
      </c>
      <c r="L1350" s="10">
        <v>145</v>
      </c>
      <c r="M1350" s="10">
        <v>151</v>
      </c>
      <c r="N1350" s="10">
        <v>131</v>
      </c>
      <c r="O1350" s="10">
        <v>95</v>
      </c>
      <c r="P1350" s="10">
        <v>122</v>
      </c>
      <c r="Q1350" s="10">
        <v>16.8</v>
      </c>
      <c r="R1350" s="10">
        <v>1793</v>
      </c>
      <c r="S1350" s="10">
        <v>1.04</v>
      </c>
      <c r="T1350" s="10">
        <v>1857</v>
      </c>
      <c r="U1350" s="10">
        <v>188</v>
      </c>
      <c r="V1350" s="10">
        <v>110</v>
      </c>
      <c r="W1350" s="10">
        <v>44</v>
      </c>
      <c r="X1350" s="10">
        <v>204</v>
      </c>
      <c r="Y1350" s="10">
        <v>9</v>
      </c>
      <c r="Z1350" s="10">
        <v>87</v>
      </c>
      <c r="AA1350" s="10">
        <v>0.20899999999999999</v>
      </c>
      <c r="AB1350" s="10">
        <v>168</v>
      </c>
      <c r="AC1350" s="10">
        <v>60</v>
      </c>
      <c r="AD1350" s="10">
        <v>36</v>
      </c>
      <c r="AE1350" s="10">
        <v>5</v>
      </c>
      <c r="AF1350" s="10">
        <v>13.4</v>
      </c>
      <c r="AG1350" s="9" t="s">
        <v>188</v>
      </c>
      <c r="AH1350" s="10"/>
      <c r="AI1350" s="10"/>
      <c r="AJ1350" s="10"/>
      <c r="AK1350" s="30"/>
    </row>
    <row r="1351" spans="5:37">
      <c r="E1351" s="28" t="s">
        <v>155</v>
      </c>
      <c r="F1351" s="8" t="s">
        <v>229</v>
      </c>
      <c r="G1351" s="9" t="s">
        <v>285</v>
      </c>
      <c r="H1351" s="10">
        <v>148</v>
      </c>
      <c r="I1351" s="9" t="s">
        <v>158</v>
      </c>
      <c r="J1351" s="10">
        <v>148</v>
      </c>
      <c r="K1351" s="10">
        <v>146.9</v>
      </c>
      <c r="L1351" s="10">
        <v>117</v>
      </c>
      <c r="M1351" s="10">
        <v>125</v>
      </c>
      <c r="N1351" s="10">
        <v>111</v>
      </c>
      <c r="O1351" s="10">
        <v>80</v>
      </c>
      <c r="P1351" s="10">
        <v>104</v>
      </c>
      <c r="Q1351" s="10">
        <v>13.8</v>
      </c>
      <c r="R1351" s="10">
        <v>1433</v>
      </c>
      <c r="S1351" s="10">
        <v>0.93</v>
      </c>
      <c r="T1351" s="10">
        <v>1329</v>
      </c>
      <c r="U1351" s="10">
        <v>154</v>
      </c>
      <c r="V1351" s="10">
        <v>77</v>
      </c>
      <c r="W1351" s="10">
        <v>46</v>
      </c>
      <c r="X1351" s="10">
        <v>160</v>
      </c>
      <c r="Y1351" s="10">
        <v>38</v>
      </c>
      <c r="Z1351" s="10">
        <v>140</v>
      </c>
      <c r="AA1351" s="10">
        <v>0.81799999999999995</v>
      </c>
      <c r="AB1351" s="10">
        <v>86</v>
      </c>
      <c r="AC1351" s="10">
        <v>130</v>
      </c>
      <c r="AD1351" s="10">
        <v>74</v>
      </c>
      <c r="AE1351" s="10">
        <v>5</v>
      </c>
      <c r="AF1351" s="10">
        <v>1.9</v>
      </c>
      <c r="AG1351" s="9" t="s">
        <v>188</v>
      </c>
      <c r="AH1351" s="9" t="s">
        <v>184</v>
      </c>
      <c r="AI1351" s="10"/>
      <c r="AJ1351" s="10"/>
      <c r="AK1351" s="30"/>
    </row>
    <row r="1352" spans="5:37">
      <c r="E1352" s="28" t="s">
        <v>155</v>
      </c>
      <c r="F1352" s="8" t="s">
        <v>229</v>
      </c>
      <c r="G1352" s="9" t="s">
        <v>285</v>
      </c>
      <c r="H1352" s="10">
        <v>158</v>
      </c>
      <c r="I1352" s="9" t="s">
        <v>158</v>
      </c>
      <c r="J1352" s="10">
        <v>158</v>
      </c>
      <c r="K1352" s="10">
        <v>157.1</v>
      </c>
      <c r="L1352" s="10">
        <v>128</v>
      </c>
      <c r="M1352" s="10">
        <v>134</v>
      </c>
      <c r="N1352" s="10">
        <v>111</v>
      </c>
      <c r="O1352" s="10">
        <v>80</v>
      </c>
      <c r="P1352" s="10">
        <v>104</v>
      </c>
      <c r="Q1352" s="10">
        <v>16.3</v>
      </c>
      <c r="R1352" s="10">
        <v>1564</v>
      </c>
      <c r="S1352" s="10">
        <v>0.91</v>
      </c>
      <c r="T1352" s="10">
        <v>1423</v>
      </c>
      <c r="U1352" s="10">
        <v>173</v>
      </c>
      <c r="V1352" s="10">
        <v>87</v>
      </c>
      <c r="W1352" s="10">
        <v>43</v>
      </c>
      <c r="X1352" s="10">
        <v>152</v>
      </c>
      <c r="Y1352" s="10">
        <v>36</v>
      </c>
      <c r="Z1352" s="10">
        <v>138</v>
      </c>
      <c r="AA1352" s="10">
        <v>0.83799999999999997</v>
      </c>
      <c r="AB1352" s="10">
        <v>91</v>
      </c>
      <c r="AC1352" s="10">
        <v>137</v>
      </c>
      <c r="AD1352" s="10">
        <v>61</v>
      </c>
      <c r="AE1352" s="10">
        <v>8</v>
      </c>
      <c r="AF1352" s="10">
        <v>2.5</v>
      </c>
      <c r="AG1352" s="9" t="s">
        <v>188</v>
      </c>
      <c r="AH1352" s="9" t="s">
        <v>184</v>
      </c>
      <c r="AI1352" s="10"/>
      <c r="AJ1352" s="10"/>
      <c r="AK1352" s="30"/>
    </row>
    <row r="1353" spans="5:37">
      <c r="E1353" s="28" t="s">
        <v>155</v>
      </c>
      <c r="F1353" s="8" t="s">
        <v>229</v>
      </c>
      <c r="G1353" s="9" t="s">
        <v>285</v>
      </c>
      <c r="H1353" s="10">
        <v>168</v>
      </c>
      <c r="I1353" s="9" t="s">
        <v>158</v>
      </c>
      <c r="J1353" s="10">
        <v>168</v>
      </c>
      <c r="K1353" s="10">
        <v>166.9</v>
      </c>
      <c r="L1353" s="10">
        <v>138</v>
      </c>
      <c r="M1353" s="10">
        <v>145</v>
      </c>
      <c r="N1353" s="10">
        <v>110</v>
      </c>
      <c r="O1353" s="10">
        <v>80</v>
      </c>
      <c r="P1353" s="10">
        <v>104</v>
      </c>
      <c r="Q1353" s="10">
        <v>19.100000000000001</v>
      </c>
      <c r="R1353" s="10">
        <v>1640</v>
      </c>
      <c r="S1353" s="10">
        <v>0.92</v>
      </c>
      <c r="T1353" s="10">
        <v>1505</v>
      </c>
      <c r="U1353" s="10">
        <v>193</v>
      </c>
      <c r="V1353" s="10">
        <v>107</v>
      </c>
      <c r="W1353" s="10">
        <v>45</v>
      </c>
      <c r="X1353" s="10">
        <v>153</v>
      </c>
      <c r="Y1353" s="10">
        <v>34</v>
      </c>
      <c r="Z1353" s="10">
        <v>135</v>
      </c>
      <c r="AA1353" s="10">
        <v>0.76300000000000001</v>
      </c>
      <c r="AB1353" s="10">
        <v>93</v>
      </c>
      <c r="AC1353" s="10">
        <v>129</v>
      </c>
      <c r="AD1353" s="10">
        <v>60</v>
      </c>
      <c r="AE1353" s="10">
        <v>9</v>
      </c>
      <c r="AF1353" s="10">
        <v>2.2000000000000002</v>
      </c>
      <c r="AG1353" s="9" t="s">
        <v>188</v>
      </c>
      <c r="AH1353" s="10"/>
      <c r="AI1353" s="10"/>
      <c r="AJ1353" s="10"/>
      <c r="AK1353" s="30"/>
    </row>
    <row r="1354" spans="5:37">
      <c r="E1354" s="28" t="s">
        <v>155</v>
      </c>
      <c r="F1354" s="8" t="s">
        <v>229</v>
      </c>
      <c r="G1354" s="9" t="s">
        <v>470</v>
      </c>
      <c r="H1354" s="10">
        <v>148</v>
      </c>
      <c r="I1354" s="9" t="s">
        <v>158</v>
      </c>
      <c r="J1354" s="10">
        <v>148</v>
      </c>
      <c r="K1354" s="10">
        <v>148.19999999999999</v>
      </c>
      <c r="L1354" s="10">
        <v>111</v>
      </c>
      <c r="M1354" s="10">
        <v>133</v>
      </c>
      <c r="N1354" s="10">
        <v>119</v>
      </c>
      <c r="O1354" s="10">
        <v>85</v>
      </c>
      <c r="P1354" s="10">
        <v>109</v>
      </c>
      <c r="Q1354" s="10">
        <v>14.9</v>
      </c>
      <c r="R1354" s="10">
        <v>1462</v>
      </c>
      <c r="S1354" s="10">
        <v>0.97</v>
      </c>
      <c r="T1354" s="10">
        <v>1418</v>
      </c>
      <c r="U1354" s="10">
        <v>145</v>
      </c>
      <c r="V1354" s="10">
        <v>72</v>
      </c>
      <c r="W1354" s="10">
        <v>41</v>
      </c>
      <c r="X1354" s="10">
        <v>188</v>
      </c>
      <c r="Y1354" s="10">
        <v>40</v>
      </c>
      <c r="Z1354" s="10">
        <v>184</v>
      </c>
      <c r="AA1354" s="10">
        <v>0.98699999999999999</v>
      </c>
      <c r="AB1354" s="10">
        <v>82</v>
      </c>
      <c r="AC1354" s="10">
        <v>70</v>
      </c>
      <c r="AD1354" s="10">
        <v>106</v>
      </c>
      <c r="AE1354" s="10">
        <v>3</v>
      </c>
      <c r="AF1354" s="10">
        <v>1.6</v>
      </c>
      <c r="AG1354" s="9" t="s">
        <v>184</v>
      </c>
      <c r="AH1354" s="10"/>
      <c r="AI1354" s="10"/>
      <c r="AJ1354" s="10"/>
      <c r="AK1354" s="30"/>
    </row>
    <row r="1355" spans="5:37">
      <c r="E1355" s="28" t="s">
        <v>155</v>
      </c>
      <c r="F1355" s="8" t="s">
        <v>229</v>
      </c>
      <c r="G1355" s="9" t="s">
        <v>470</v>
      </c>
      <c r="H1355" s="10">
        <v>156</v>
      </c>
      <c r="I1355" s="9" t="s">
        <v>158</v>
      </c>
      <c r="J1355" s="10">
        <v>156</v>
      </c>
      <c r="K1355" s="10">
        <v>155.5</v>
      </c>
      <c r="L1355" s="10">
        <v>113</v>
      </c>
      <c r="M1355" s="10">
        <v>141</v>
      </c>
      <c r="N1355" s="10">
        <v>119</v>
      </c>
      <c r="O1355" s="10">
        <v>85</v>
      </c>
      <c r="P1355" s="10">
        <v>109</v>
      </c>
      <c r="Q1355" s="10">
        <v>16.600000000000001</v>
      </c>
      <c r="R1355" s="10">
        <v>1556</v>
      </c>
      <c r="S1355" s="10">
        <v>0.96</v>
      </c>
      <c r="T1355" s="10">
        <v>1487</v>
      </c>
      <c r="U1355" s="10">
        <v>155</v>
      </c>
      <c r="V1355" s="10">
        <v>73</v>
      </c>
      <c r="W1355" s="10">
        <v>41</v>
      </c>
      <c r="X1355" s="10">
        <v>234</v>
      </c>
      <c r="Y1355" s="10">
        <v>39</v>
      </c>
      <c r="Z1355" s="10">
        <v>189</v>
      </c>
      <c r="AA1355" s="10">
        <v>0.96299999999999997</v>
      </c>
      <c r="AB1355" s="10">
        <v>79</v>
      </c>
      <c r="AC1355" s="10">
        <v>71</v>
      </c>
      <c r="AD1355" s="10">
        <v>155</v>
      </c>
      <c r="AE1355" s="10">
        <v>3</v>
      </c>
      <c r="AF1355" s="10">
        <v>1.3</v>
      </c>
      <c r="AG1355" s="9" t="s">
        <v>184</v>
      </c>
      <c r="AH1355" s="10"/>
      <c r="AI1355" s="10"/>
      <c r="AJ1355" s="10"/>
      <c r="AK1355" s="30"/>
    </row>
    <row r="1356" spans="5:37">
      <c r="E1356" s="28" t="s">
        <v>155</v>
      </c>
      <c r="F1356" s="8" t="s">
        <v>229</v>
      </c>
      <c r="G1356" s="9" t="s">
        <v>470</v>
      </c>
      <c r="H1356" s="10">
        <v>164</v>
      </c>
      <c r="I1356" s="9" t="s">
        <v>158</v>
      </c>
      <c r="J1356" s="10">
        <v>164</v>
      </c>
      <c r="K1356" s="10">
        <v>163</v>
      </c>
      <c r="L1356" s="10">
        <v>118</v>
      </c>
      <c r="M1356" s="10">
        <v>148</v>
      </c>
      <c r="N1356" s="10">
        <v>119</v>
      </c>
      <c r="O1356" s="10">
        <v>85</v>
      </c>
      <c r="P1356" s="10">
        <v>109</v>
      </c>
      <c r="Q1356" s="10">
        <v>18</v>
      </c>
      <c r="R1356" s="10">
        <v>1603</v>
      </c>
      <c r="S1356" s="10">
        <v>0.97</v>
      </c>
      <c r="T1356" s="10">
        <v>1560</v>
      </c>
      <c r="U1356" s="10">
        <v>159</v>
      </c>
      <c r="V1356" s="10">
        <v>79</v>
      </c>
      <c r="W1356" s="10">
        <v>42</v>
      </c>
      <c r="X1356" s="10">
        <v>239</v>
      </c>
      <c r="Y1356" s="10">
        <v>40</v>
      </c>
      <c r="Z1356" s="10">
        <v>216</v>
      </c>
      <c r="AA1356" s="10">
        <v>0.96</v>
      </c>
      <c r="AB1356" s="10">
        <v>82</v>
      </c>
      <c r="AC1356" s="10">
        <v>68</v>
      </c>
      <c r="AD1356" s="10">
        <v>157</v>
      </c>
      <c r="AE1356" s="10">
        <v>3</v>
      </c>
      <c r="AF1356" s="10">
        <v>1.6</v>
      </c>
      <c r="AG1356" s="9" t="s">
        <v>184</v>
      </c>
      <c r="AH1356" s="10"/>
      <c r="AI1356" s="10"/>
      <c r="AJ1356" s="10"/>
      <c r="AK1356" s="30"/>
    </row>
    <row r="1357" spans="5:37">
      <c r="E1357" s="28" t="s">
        <v>155</v>
      </c>
      <c r="F1357" s="8" t="s">
        <v>229</v>
      </c>
      <c r="G1357" s="9" t="s">
        <v>470</v>
      </c>
      <c r="H1357" s="10">
        <v>172</v>
      </c>
      <c r="I1357" s="9" t="s">
        <v>158</v>
      </c>
      <c r="J1357" s="10">
        <v>172</v>
      </c>
      <c r="K1357" s="10">
        <v>173</v>
      </c>
      <c r="L1357" s="10">
        <v>129</v>
      </c>
      <c r="M1357" s="10">
        <v>159</v>
      </c>
      <c r="N1357" s="10">
        <v>119</v>
      </c>
      <c r="O1357" s="10">
        <v>85</v>
      </c>
      <c r="P1357" s="10">
        <v>109</v>
      </c>
      <c r="Q1357" s="10">
        <v>21.2</v>
      </c>
      <c r="R1357" s="10">
        <v>1754</v>
      </c>
      <c r="S1357" s="10">
        <v>0.94</v>
      </c>
      <c r="T1357" s="10">
        <v>1655</v>
      </c>
      <c r="U1357" s="10">
        <v>188</v>
      </c>
      <c r="V1357" s="10">
        <v>92</v>
      </c>
      <c r="W1357" s="10">
        <v>42</v>
      </c>
      <c r="X1357" s="10">
        <v>226</v>
      </c>
      <c r="Y1357" s="10">
        <v>36</v>
      </c>
      <c r="Z1357" s="10">
        <v>210</v>
      </c>
      <c r="AA1357" s="10">
        <v>0.86099999999999999</v>
      </c>
      <c r="AB1357" s="10">
        <v>81</v>
      </c>
      <c r="AC1357" s="10">
        <v>62</v>
      </c>
      <c r="AD1357" s="10">
        <v>145</v>
      </c>
      <c r="AE1357" s="10">
        <v>6</v>
      </c>
      <c r="AF1357" s="10">
        <v>2</v>
      </c>
      <c r="AG1357" s="9" t="s">
        <v>184</v>
      </c>
      <c r="AH1357" s="10"/>
      <c r="AI1357" s="10"/>
      <c r="AJ1357" s="10"/>
      <c r="AK1357" s="30"/>
    </row>
    <row r="1358" spans="5:37">
      <c r="E1358" s="28" t="s">
        <v>155</v>
      </c>
      <c r="F1358" s="8" t="s">
        <v>229</v>
      </c>
      <c r="G1358" s="9" t="s">
        <v>470</v>
      </c>
      <c r="H1358" s="10">
        <v>180</v>
      </c>
      <c r="I1358" s="9" t="s">
        <v>158</v>
      </c>
      <c r="J1358" s="10">
        <v>180</v>
      </c>
      <c r="K1358" s="10">
        <v>180.3</v>
      </c>
      <c r="L1358" s="10">
        <v>122</v>
      </c>
      <c r="M1358" s="10">
        <v>166</v>
      </c>
      <c r="N1358" s="10">
        <v>119</v>
      </c>
      <c r="O1358" s="10">
        <v>85</v>
      </c>
      <c r="P1358" s="10">
        <v>109</v>
      </c>
      <c r="Q1358" s="10">
        <v>23.5</v>
      </c>
      <c r="R1358" s="10">
        <v>1832</v>
      </c>
      <c r="S1358" s="10">
        <v>0.94</v>
      </c>
      <c r="T1358" s="10">
        <v>1724</v>
      </c>
      <c r="U1358" s="10">
        <v>205</v>
      </c>
      <c r="V1358" s="10">
        <v>99</v>
      </c>
      <c r="W1358" s="10">
        <v>43</v>
      </c>
      <c r="X1358" s="10">
        <v>285</v>
      </c>
      <c r="Y1358" s="10">
        <v>39</v>
      </c>
      <c r="Z1358" s="10">
        <v>295</v>
      </c>
      <c r="AA1358" s="10">
        <v>0.90200000000000002</v>
      </c>
      <c r="AB1358" s="10">
        <v>79</v>
      </c>
      <c r="AC1358" s="10">
        <v>68</v>
      </c>
      <c r="AD1358" s="10">
        <v>206</v>
      </c>
      <c r="AE1358" s="10">
        <v>4</v>
      </c>
      <c r="AF1358" s="10">
        <v>1.6</v>
      </c>
      <c r="AG1358" s="9" t="s">
        <v>184</v>
      </c>
      <c r="AH1358" s="10"/>
      <c r="AI1358" s="10"/>
      <c r="AJ1358" s="10"/>
      <c r="AK1358" s="30"/>
    </row>
    <row r="1359" spans="5:37">
      <c r="E1359" s="28" t="s">
        <v>155</v>
      </c>
      <c r="F1359" s="8" t="s">
        <v>229</v>
      </c>
      <c r="G1359" s="9" t="s">
        <v>445</v>
      </c>
      <c r="H1359" s="10">
        <v>148</v>
      </c>
      <c r="I1359" s="9" t="s">
        <v>163</v>
      </c>
      <c r="J1359" s="10">
        <v>148</v>
      </c>
      <c r="K1359" s="10">
        <v>147.80000000000001</v>
      </c>
      <c r="L1359" s="10">
        <v>110</v>
      </c>
      <c r="M1359" s="10">
        <v>133</v>
      </c>
      <c r="N1359" s="10">
        <v>119</v>
      </c>
      <c r="O1359" s="10">
        <v>85</v>
      </c>
      <c r="P1359" s="10">
        <v>109</v>
      </c>
      <c r="Q1359" s="10">
        <v>14.7</v>
      </c>
      <c r="R1359" s="10">
        <v>1429</v>
      </c>
      <c r="S1359" s="10">
        <v>0.99</v>
      </c>
      <c r="T1359" s="10">
        <v>1414</v>
      </c>
      <c r="U1359" s="10">
        <v>144</v>
      </c>
      <c r="V1359" s="10">
        <v>68</v>
      </c>
      <c r="W1359" s="10">
        <v>39</v>
      </c>
      <c r="X1359" s="10">
        <v>205</v>
      </c>
      <c r="Y1359" s="10">
        <v>39</v>
      </c>
      <c r="Z1359" s="10">
        <v>177</v>
      </c>
      <c r="AA1359" s="10">
        <v>1.0029999999999999</v>
      </c>
      <c r="AB1359" s="10">
        <v>78</v>
      </c>
      <c r="AC1359" s="10">
        <v>71</v>
      </c>
      <c r="AD1359" s="10">
        <v>127</v>
      </c>
      <c r="AE1359" s="10">
        <v>3</v>
      </c>
      <c r="AF1359" s="10">
        <v>1.9</v>
      </c>
      <c r="AG1359" s="9" t="s">
        <v>184</v>
      </c>
      <c r="AH1359" s="10"/>
      <c r="AI1359" s="10"/>
      <c r="AJ1359" s="10"/>
      <c r="AK1359" s="30"/>
    </row>
    <row r="1360" spans="5:37">
      <c r="E1360" s="28" t="s">
        <v>155</v>
      </c>
      <c r="F1360" s="8" t="s">
        <v>229</v>
      </c>
      <c r="G1360" s="9" t="s">
        <v>445</v>
      </c>
      <c r="H1360" s="10">
        <v>156</v>
      </c>
      <c r="I1360" s="9" t="s">
        <v>163</v>
      </c>
      <c r="J1360" s="10">
        <v>156</v>
      </c>
      <c r="K1360" s="10">
        <v>155.1</v>
      </c>
      <c r="L1360" s="10">
        <v>116</v>
      </c>
      <c r="M1360" s="10">
        <v>141</v>
      </c>
      <c r="N1360" s="10">
        <v>120</v>
      </c>
      <c r="O1360" s="10">
        <v>86</v>
      </c>
      <c r="P1360" s="10">
        <v>109</v>
      </c>
      <c r="Q1360" s="10">
        <v>16.5</v>
      </c>
      <c r="R1360" s="10">
        <v>1578</v>
      </c>
      <c r="S1360" s="10">
        <v>0.95</v>
      </c>
      <c r="T1360" s="10">
        <v>1493</v>
      </c>
      <c r="U1360" s="10">
        <v>164</v>
      </c>
      <c r="V1360" s="10">
        <v>77</v>
      </c>
      <c r="W1360" s="10">
        <v>39</v>
      </c>
      <c r="X1360" s="10">
        <v>210</v>
      </c>
      <c r="Y1360" s="10">
        <v>38</v>
      </c>
      <c r="Z1360" s="10">
        <v>177</v>
      </c>
      <c r="AA1360" s="10">
        <v>0.98299999999999998</v>
      </c>
      <c r="AB1360" s="10">
        <v>72</v>
      </c>
      <c r="AC1360" s="10">
        <v>72</v>
      </c>
      <c r="AD1360" s="10">
        <v>138</v>
      </c>
      <c r="AE1360" s="10">
        <v>3</v>
      </c>
      <c r="AF1360" s="10">
        <v>2.1</v>
      </c>
      <c r="AG1360" s="9" t="s">
        <v>184</v>
      </c>
      <c r="AH1360" s="10"/>
      <c r="AI1360" s="10"/>
      <c r="AJ1360" s="10"/>
      <c r="AK1360" s="30"/>
    </row>
    <row r="1361" spans="5:37">
      <c r="E1361" s="28" t="s">
        <v>155</v>
      </c>
      <c r="F1361" s="8" t="s">
        <v>229</v>
      </c>
      <c r="G1361" s="9" t="s">
        <v>445</v>
      </c>
      <c r="H1361" s="10">
        <v>164</v>
      </c>
      <c r="I1361" s="9" t="s">
        <v>163</v>
      </c>
      <c r="J1361" s="10">
        <v>164</v>
      </c>
      <c r="K1361" s="10">
        <v>162.5</v>
      </c>
      <c r="L1361" s="10">
        <v>110</v>
      </c>
      <c r="M1361" s="10">
        <v>147</v>
      </c>
      <c r="N1361" s="10">
        <v>120</v>
      </c>
      <c r="O1361" s="10">
        <v>86</v>
      </c>
      <c r="P1361" s="10">
        <v>110</v>
      </c>
      <c r="Q1361" s="10">
        <v>18.2</v>
      </c>
      <c r="R1361" s="10">
        <v>1600</v>
      </c>
      <c r="S1361" s="10">
        <v>0.98</v>
      </c>
      <c r="T1361" s="10">
        <v>1562</v>
      </c>
      <c r="U1361" s="10">
        <v>171</v>
      </c>
      <c r="V1361" s="10">
        <v>78</v>
      </c>
      <c r="W1361" s="10">
        <v>41</v>
      </c>
      <c r="X1361" s="10">
        <v>269</v>
      </c>
      <c r="Y1361" s="10">
        <v>40</v>
      </c>
      <c r="Z1361" s="10">
        <v>254</v>
      </c>
      <c r="AA1361" s="10">
        <v>0.97299999999999998</v>
      </c>
      <c r="AB1361" s="10">
        <v>78</v>
      </c>
      <c r="AC1361" s="10">
        <v>76</v>
      </c>
      <c r="AD1361" s="10">
        <v>191</v>
      </c>
      <c r="AE1361" s="10">
        <v>2</v>
      </c>
      <c r="AF1361" s="10">
        <v>2.2000000000000002</v>
      </c>
      <c r="AG1361" s="9" t="s">
        <v>184</v>
      </c>
      <c r="AH1361" s="10"/>
      <c r="AI1361" s="10"/>
      <c r="AJ1361" s="10"/>
      <c r="AK1361" s="30"/>
    </row>
    <row r="1362" spans="5:37">
      <c r="E1362" s="28" t="s">
        <v>155</v>
      </c>
      <c r="F1362" s="8" t="s">
        <v>229</v>
      </c>
      <c r="G1362" s="9" t="s">
        <v>445</v>
      </c>
      <c r="H1362" s="10">
        <v>172</v>
      </c>
      <c r="I1362" s="9" t="s">
        <v>163</v>
      </c>
      <c r="J1362" s="10">
        <v>172</v>
      </c>
      <c r="K1362" s="10">
        <v>172.6</v>
      </c>
      <c r="L1362" s="10">
        <v>123</v>
      </c>
      <c r="M1362" s="10">
        <v>158</v>
      </c>
      <c r="N1362" s="10">
        <v>119</v>
      </c>
      <c r="O1362" s="10">
        <v>85</v>
      </c>
      <c r="P1362" s="10">
        <v>109</v>
      </c>
      <c r="Q1362" s="10">
        <v>21.1</v>
      </c>
      <c r="R1362" s="10">
        <v>1733</v>
      </c>
      <c r="S1362" s="10">
        <v>0.95</v>
      </c>
      <c r="T1362" s="10">
        <v>1652</v>
      </c>
      <c r="U1362" s="10">
        <v>193</v>
      </c>
      <c r="V1362" s="10">
        <v>89</v>
      </c>
      <c r="W1362" s="10">
        <v>42</v>
      </c>
      <c r="X1362" s="10">
        <v>271</v>
      </c>
      <c r="Y1362" s="10">
        <v>37</v>
      </c>
      <c r="Z1362" s="10">
        <v>228</v>
      </c>
      <c r="AA1362" s="10">
        <v>0.88100000000000001</v>
      </c>
      <c r="AB1362" s="10">
        <v>75</v>
      </c>
      <c r="AC1362" s="10">
        <v>74</v>
      </c>
      <c r="AD1362" s="10">
        <v>196</v>
      </c>
      <c r="AE1362" s="10">
        <v>4</v>
      </c>
      <c r="AF1362" s="10">
        <v>1.7</v>
      </c>
      <c r="AG1362" s="9" t="s">
        <v>184</v>
      </c>
      <c r="AH1362" s="10"/>
      <c r="AI1362" s="10"/>
      <c r="AJ1362" s="10"/>
      <c r="AK1362" s="30"/>
    </row>
    <row r="1363" spans="5:37">
      <c r="E1363" s="28" t="s">
        <v>155</v>
      </c>
      <c r="F1363" s="8" t="s">
        <v>229</v>
      </c>
      <c r="G1363" s="9" t="s">
        <v>335</v>
      </c>
      <c r="H1363" s="10">
        <v>165</v>
      </c>
      <c r="I1363" s="9" t="s">
        <v>158</v>
      </c>
      <c r="J1363" s="10">
        <v>165</v>
      </c>
      <c r="K1363" s="10">
        <v>164.5</v>
      </c>
      <c r="L1363" s="10">
        <v>94</v>
      </c>
      <c r="M1363" s="10">
        <v>141</v>
      </c>
      <c r="N1363" s="10">
        <v>144</v>
      </c>
      <c r="O1363" s="10">
        <v>105</v>
      </c>
      <c r="P1363" s="10">
        <v>127</v>
      </c>
      <c r="Q1363" s="10">
        <v>15.2</v>
      </c>
      <c r="R1363" s="10">
        <v>1606</v>
      </c>
      <c r="S1363" s="10">
        <v>1.2</v>
      </c>
      <c r="T1363" s="10">
        <v>1927</v>
      </c>
      <c r="U1363" s="10">
        <v>176</v>
      </c>
      <c r="V1363" s="10">
        <v>90</v>
      </c>
      <c r="W1363" s="10">
        <v>54</v>
      </c>
      <c r="X1363" s="10">
        <v>444</v>
      </c>
      <c r="Y1363" s="10">
        <v>23</v>
      </c>
      <c r="Z1363" s="10">
        <v>263</v>
      </c>
      <c r="AA1363" s="10">
        <v>0.434</v>
      </c>
      <c r="AB1363" s="10">
        <v>139</v>
      </c>
      <c r="AC1363" s="10">
        <v>99</v>
      </c>
      <c r="AD1363" s="10">
        <v>304</v>
      </c>
      <c r="AE1363" s="10">
        <v>2</v>
      </c>
      <c r="AF1363" s="10">
        <v>11.5</v>
      </c>
      <c r="AG1363" s="9" t="s">
        <v>169</v>
      </c>
      <c r="AH1363" s="9" t="s">
        <v>185</v>
      </c>
      <c r="AI1363" s="10"/>
      <c r="AJ1363" s="10"/>
      <c r="AK1363" s="30"/>
    </row>
    <row r="1364" spans="5:37">
      <c r="E1364" s="28" t="s">
        <v>155</v>
      </c>
      <c r="F1364" s="8" t="s">
        <v>229</v>
      </c>
      <c r="G1364" s="9" t="s">
        <v>335</v>
      </c>
      <c r="H1364" s="10">
        <v>172</v>
      </c>
      <c r="I1364" s="9" t="s">
        <v>158</v>
      </c>
      <c r="J1364" s="10">
        <v>172</v>
      </c>
      <c r="K1364" s="10">
        <v>171.7</v>
      </c>
      <c r="L1364" s="10">
        <v>96</v>
      </c>
      <c r="M1364" s="10">
        <v>148</v>
      </c>
      <c r="N1364" s="10">
        <v>144</v>
      </c>
      <c r="O1364" s="10">
        <v>105</v>
      </c>
      <c r="P1364" s="10">
        <v>127</v>
      </c>
      <c r="Q1364" s="10">
        <v>16.899999999999999</v>
      </c>
      <c r="R1364" s="10">
        <v>1642</v>
      </c>
      <c r="S1364" s="10">
        <v>1.23</v>
      </c>
      <c r="T1364" s="10">
        <v>2013</v>
      </c>
      <c r="U1364" s="10">
        <v>192</v>
      </c>
      <c r="V1364" s="10">
        <v>95</v>
      </c>
      <c r="W1364" s="10">
        <v>54</v>
      </c>
      <c r="X1364" s="10">
        <v>475</v>
      </c>
      <c r="Y1364" s="10">
        <v>24</v>
      </c>
      <c r="Z1364" s="10">
        <v>277</v>
      </c>
      <c r="AA1364" s="10">
        <v>0.44</v>
      </c>
      <c r="AB1364" s="10">
        <v>138</v>
      </c>
      <c r="AC1364" s="10">
        <v>96</v>
      </c>
      <c r="AD1364" s="10">
        <v>337</v>
      </c>
      <c r="AE1364" s="10">
        <v>1</v>
      </c>
      <c r="AF1364" s="10">
        <v>11.6</v>
      </c>
      <c r="AG1364" s="9" t="s">
        <v>169</v>
      </c>
      <c r="AH1364" s="9" t="s">
        <v>185</v>
      </c>
      <c r="AI1364" s="10"/>
      <c r="AJ1364" s="10"/>
      <c r="AK1364" s="30"/>
    </row>
    <row r="1365" spans="5:37">
      <c r="E1365" s="28" t="s">
        <v>155</v>
      </c>
      <c r="F1365" s="8" t="s">
        <v>229</v>
      </c>
      <c r="G1365" s="9" t="s">
        <v>335</v>
      </c>
      <c r="H1365" s="10">
        <v>179</v>
      </c>
      <c r="I1365" s="9" t="s">
        <v>158</v>
      </c>
      <c r="J1365" s="10">
        <v>179</v>
      </c>
      <c r="K1365" s="10">
        <v>179.4</v>
      </c>
      <c r="L1365" s="10">
        <v>111</v>
      </c>
      <c r="M1365" s="10">
        <v>155</v>
      </c>
      <c r="N1365" s="10">
        <v>145</v>
      </c>
      <c r="O1365" s="10">
        <v>105</v>
      </c>
      <c r="P1365" s="10">
        <v>127</v>
      </c>
      <c r="Q1365" s="10">
        <v>18.7</v>
      </c>
      <c r="R1365" s="10">
        <v>1763</v>
      </c>
      <c r="S1365" s="10">
        <v>1.19</v>
      </c>
      <c r="T1365" s="10">
        <v>2103</v>
      </c>
      <c r="U1365" s="10">
        <v>187</v>
      </c>
      <c r="V1365" s="10">
        <v>95</v>
      </c>
      <c r="W1365" s="10">
        <v>52</v>
      </c>
      <c r="X1365" s="10">
        <v>434</v>
      </c>
      <c r="Y1365" s="10">
        <v>22</v>
      </c>
      <c r="Z1365" s="10">
        <v>248</v>
      </c>
      <c r="AA1365" s="10">
        <v>0.42</v>
      </c>
      <c r="AB1365" s="10">
        <v>145</v>
      </c>
      <c r="AC1365" s="10">
        <v>97</v>
      </c>
      <c r="AD1365" s="10">
        <v>290</v>
      </c>
      <c r="AE1365" s="10">
        <v>2</v>
      </c>
      <c r="AF1365" s="10">
        <v>13</v>
      </c>
      <c r="AG1365" s="9" t="s">
        <v>169</v>
      </c>
      <c r="AH1365" s="9" t="s">
        <v>185</v>
      </c>
      <c r="AI1365" s="10"/>
      <c r="AJ1365" s="10"/>
      <c r="AK1365" s="30"/>
    </row>
    <row r="1366" spans="5:37">
      <c r="E1366" s="28" t="s">
        <v>155</v>
      </c>
      <c r="F1366" s="8" t="s">
        <v>229</v>
      </c>
      <c r="G1366" s="9" t="s">
        <v>335</v>
      </c>
      <c r="H1366" s="10">
        <v>186</v>
      </c>
      <c r="I1366" s="9" t="s">
        <v>158</v>
      </c>
      <c r="J1366" s="10">
        <v>186</v>
      </c>
      <c r="K1366" s="10">
        <v>186.9</v>
      </c>
      <c r="L1366" s="10">
        <v>114</v>
      </c>
      <c r="M1366" s="10">
        <v>162</v>
      </c>
      <c r="N1366" s="10">
        <v>145</v>
      </c>
      <c r="O1366" s="10">
        <v>105</v>
      </c>
      <c r="P1366" s="10">
        <v>127</v>
      </c>
      <c r="Q1366" s="10">
        <v>20.6</v>
      </c>
      <c r="R1366" s="10">
        <v>1845</v>
      </c>
      <c r="S1366" s="10">
        <v>1.19</v>
      </c>
      <c r="T1366" s="10">
        <v>2189</v>
      </c>
      <c r="U1366" s="10">
        <v>200</v>
      </c>
      <c r="V1366" s="10">
        <v>102</v>
      </c>
      <c r="W1366" s="10">
        <v>55</v>
      </c>
      <c r="X1366" s="10">
        <v>475</v>
      </c>
      <c r="Y1366" s="10">
        <v>23</v>
      </c>
      <c r="Z1366" s="10">
        <v>257</v>
      </c>
      <c r="AA1366" s="10">
        <v>0.41699999999999998</v>
      </c>
      <c r="AB1366" s="10">
        <v>145</v>
      </c>
      <c r="AC1366" s="10">
        <v>103</v>
      </c>
      <c r="AD1366" s="10">
        <v>330</v>
      </c>
      <c r="AE1366" s="10">
        <v>2</v>
      </c>
      <c r="AF1366" s="10">
        <v>11.3</v>
      </c>
      <c r="AG1366" s="9" t="s">
        <v>169</v>
      </c>
      <c r="AH1366" s="9" t="s">
        <v>185</v>
      </c>
      <c r="AI1366" s="10"/>
      <c r="AJ1366" s="10"/>
      <c r="AK1366" s="30"/>
    </row>
    <row r="1367" spans="5:37">
      <c r="E1367" s="28" t="s">
        <v>155</v>
      </c>
      <c r="F1367" s="8" t="s">
        <v>229</v>
      </c>
      <c r="G1367" s="9" t="s">
        <v>382</v>
      </c>
      <c r="H1367" s="10">
        <v>158</v>
      </c>
      <c r="I1367" s="9" t="s">
        <v>163</v>
      </c>
      <c r="J1367" s="10">
        <v>158</v>
      </c>
      <c r="K1367" s="10">
        <v>159.19999999999999</v>
      </c>
      <c r="L1367" s="10">
        <v>85</v>
      </c>
      <c r="M1367" s="10">
        <v>135</v>
      </c>
      <c r="N1367" s="10">
        <v>145</v>
      </c>
      <c r="O1367" s="10">
        <v>105</v>
      </c>
      <c r="P1367" s="10">
        <v>127</v>
      </c>
      <c r="Q1367" s="10">
        <v>13.8</v>
      </c>
      <c r="R1367" s="10">
        <v>1526</v>
      </c>
      <c r="S1367" s="10">
        <v>1.23</v>
      </c>
      <c r="T1367" s="10">
        <v>1873</v>
      </c>
      <c r="U1367" s="10">
        <v>189</v>
      </c>
      <c r="V1367" s="10">
        <v>101</v>
      </c>
      <c r="W1367" s="10">
        <v>50</v>
      </c>
      <c r="X1367" s="10">
        <v>441</v>
      </c>
      <c r="Y1367" s="10">
        <v>23</v>
      </c>
      <c r="Z1367" s="10">
        <v>297</v>
      </c>
      <c r="AA1367" s="10">
        <v>0.46600000000000003</v>
      </c>
      <c r="AB1367" s="10">
        <v>139</v>
      </c>
      <c r="AC1367" s="10">
        <v>101</v>
      </c>
      <c r="AD1367" s="10">
        <v>302</v>
      </c>
      <c r="AE1367" s="10">
        <v>1</v>
      </c>
      <c r="AF1367" s="10">
        <v>11.6</v>
      </c>
      <c r="AG1367" s="9" t="s">
        <v>169</v>
      </c>
      <c r="AH1367" s="9" t="s">
        <v>185</v>
      </c>
      <c r="AI1367" s="10"/>
      <c r="AJ1367" s="10"/>
      <c r="AK1367" s="30"/>
    </row>
    <row r="1368" spans="5:37">
      <c r="E1368" s="28" t="s">
        <v>155</v>
      </c>
      <c r="F1368" s="8" t="s">
        <v>229</v>
      </c>
      <c r="G1368" s="9" t="s">
        <v>382</v>
      </c>
      <c r="H1368" s="10">
        <v>165</v>
      </c>
      <c r="I1368" s="9" t="s">
        <v>163</v>
      </c>
      <c r="J1368" s="10">
        <v>165</v>
      </c>
      <c r="K1368" s="10">
        <v>164.2</v>
      </c>
      <c r="L1368" s="10">
        <v>90</v>
      </c>
      <c r="M1368" s="10">
        <v>140</v>
      </c>
      <c r="N1368" s="10">
        <v>145</v>
      </c>
      <c r="O1368" s="10">
        <v>105</v>
      </c>
      <c r="P1368" s="10">
        <v>127</v>
      </c>
      <c r="Q1368" s="10">
        <v>15</v>
      </c>
      <c r="R1368" s="10">
        <v>1626</v>
      </c>
      <c r="S1368" s="10">
        <v>1.19</v>
      </c>
      <c r="T1368" s="10">
        <v>1933</v>
      </c>
      <c r="U1368" s="10">
        <v>176</v>
      </c>
      <c r="V1368" s="10">
        <v>100</v>
      </c>
      <c r="W1368" s="10">
        <v>53</v>
      </c>
      <c r="X1368" s="10">
        <v>458</v>
      </c>
      <c r="Y1368" s="10">
        <v>23</v>
      </c>
      <c r="Z1368" s="10">
        <v>289</v>
      </c>
      <c r="AA1368" s="10">
        <v>0.438</v>
      </c>
      <c r="AB1368" s="10">
        <v>137</v>
      </c>
      <c r="AC1368" s="10">
        <v>107</v>
      </c>
      <c r="AD1368" s="10">
        <v>321</v>
      </c>
      <c r="AE1368" s="10">
        <v>1</v>
      </c>
      <c r="AF1368" s="10">
        <v>12.4</v>
      </c>
      <c r="AG1368" s="9" t="s">
        <v>169</v>
      </c>
      <c r="AH1368" s="9" t="s">
        <v>185</v>
      </c>
      <c r="AI1368" s="10"/>
      <c r="AJ1368" s="10"/>
      <c r="AK1368" s="30"/>
    </row>
    <row r="1369" spans="5:37">
      <c r="E1369" s="28" t="s">
        <v>155</v>
      </c>
      <c r="F1369" s="8" t="s">
        <v>229</v>
      </c>
      <c r="G1369" s="9" t="s">
        <v>382</v>
      </c>
      <c r="H1369" s="10">
        <v>172</v>
      </c>
      <c r="I1369" s="9" t="s">
        <v>163</v>
      </c>
      <c r="J1369" s="10">
        <v>172</v>
      </c>
      <c r="K1369" s="10">
        <v>171.5</v>
      </c>
      <c r="L1369" s="10">
        <v>95</v>
      </c>
      <c r="M1369" s="10">
        <v>147</v>
      </c>
      <c r="N1369" s="10">
        <v>145</v>
      </c>
      <c r="O1369" s="10">
        <v>106</v>
      </c>
      <c r="P1369" s="10">
        <v>127</v>
      </c>
      <c r="Q1369" s="10">
        <v>16.600000000000001</v>
      </c>
      <c r="R1369" s="10">
        <v>1688</v>
      </c>
      <c r="S1369" s="10">
        <v>1.2</v>
      </c>
      <c r="T1369" s="10">
        <v>2017</v>
      </c>
      <c r="U1369" s="10">
        <v>196</v>
      </c>
      <c r="V1369" s="10">
        <v>98</v>
      </c>
      <c r="W1369" s="10">
        <v>54</v>
      </c>
      <c r="X1369" s="10">
        <v>465</v>
      </c>
      <c r="Y1369" s="10">
        <v>25</v>
      </c>
      <c r="Z1369" s="10">
        <v>296</v>
      </c>
      <c r="AA1369" s="10">
        <v>0.46100000000000002</v>
      </c>
      <c r="AB1369" s="10">
        <v>136</v>
      </c>
      <c r="AC1369" s="10">
        <v>105</v>
      </c>
      <c r="AD1369" s="10">
        <v>329</v>
      </c>
      <c r="AE1369" s="10">
        <v>1</v>
      </c>
      <c r="AF1369" s="10">
        <v>12</v>
      </c>
      <c r="AG1369" s="9" t="s">
        <v>169</v>
      </c>
      <c r="AH1369" s="9" t="s">
        <v>185</v>
      </c>
      <c r="AI1369" s="10"/>
      <c r="AJ1369" s="10"/>
      <c r="AK1369" s="30"/>
    </row>
    <row r="1370" spans="5:37">
      <c r="E1370" s="28" t="s">
        <v>155</v>
      </c>
      <c r="F1370" s="8" t="s">
        <v>229</v>
      </c>
      <c r="G1370" s="9" t="s">
        <v>624</v>
      </c>
      <c r="H1370" s="10">
        <v>159</v>
      </c>
      <c r="I1370" s="9" t="s">
        <v>158</v>
      </c>
      <c r="J1370" s="10">
        <v>159</v>
      </c>
      <c r="K1370" s="10">
        <v>159.69999999999999</v>
      </c>
      <c r="L1370" s="10">
        <v>115</v>
      </c>
      <c r="M1370" s="10">
        <v>135</v>
      </c>
      <c r="N1370" s="10">
        <v>128</v>
      </c>
      <c r="O1370" s="10">
        <v>85</v>
      </c>
      <c r="P1370" s="10">
        <v>110</v>
      </c>
      <c r="Q1370" s="10">
        <v>12.8</v>
      </c>
      <c r="R1370" s="10">
        <v>1264</v>
      </c>
      <c r="S1370" s="10">
        <v>1.26</v>
      </c>
      <c r="T1370" s="10">
        <v>1587</v>
      </c>
      <c r="U1370" s="10">
        <v>156</v>
      </c>
      <c r="V1370" s="10">
        <v>74</v>
      </c>
      <c r="W1370" s="10">
        <v>47</v>
      </c>
      <c r="X1370" s="10">
        <v>277</v>
      </c>
      <c r="Y1370" s="10">
        <v>17</v>
      </c>
      <c r="Z1370" s="10">
        <v>170</v>
      </c>
      <c r="AA1370" s="10">
        <v>0.36799999999999999</v>
      </c>
      <c r="AB1370" s="10">
        <v>145</v>
      </c>
      <c r="AC1370" s="10">
        <v>98</v>
      </c>
      <c r="AD1370" s="10">
        <v>133</v>
      </c>
      <c r="AE1370" s="10">
        <v>3</v>
      </c>
      <c r="AF1370" s="10">
        <v>11.6</v>
      </c>
      <c r="AG1370" s="9" t="s">
        <v>188</v>
      </c>
      <c r="AH1370" s="9" t="s">
        <v>185</v>
      </c>
      <c r="AI1370" s="9" t="s">
        <v>198</v>
      </c>
      <c r="AJ1370" s="10"/>
      <c r="AK1370" s="30"/>
    </row>
    <row r="1371" spans="5:37">
      <c r="E1371" s="28" t="s">
        <v>155</v>
      </c>
      <c r="F1371" s="8" t="s">
        <v>229</v>
      </c>
      <c r="G1371" s="9" t="s">
        <v>624</v>
      </c>
      <c r="H1371" s="10">
        <v>166</v>
      </c>
      <c r="I1371" s="9" t="s">
        <v>158</v>
      </c>
      <c r="J1371" s="10">
        <v>166</v>
      </c>
      <c r="K1371" s="10">
        <v>167.2</v>
      </c>
      <c r="L1371" s="10">
        <v>121</v>
      </c>
      <c r="M1371" s="10">
        <v>143</v>
      </c>
      <c r="N1371" s="10">
        <v>128</v>
      </c>
      <c r="O1371" s="10">
        <v>86</v>
      </c>
      <c r="P1371" s="10">
        <v>110</v>
      </c>
      <c r="Q1371" s="10">
        <v>14.2</v>
      </c>
      <c r="R1371" s="10">
        <v>1380</v>
      </c>
      <c r="S1371" s="10">
        <v>1.2</v>
      </c>
      <c r="T1371" s="10">
        <v>1662</v>
      </c>
      <c r="U1371" s="10">
        <v>163</v>
      </c>
      <c r="V1371" s="10">
        <v>74</v>
      </c>
      <c r="W1371" s="10">
        <v>45</v>
      </c>
      <c r="X1371" s="10">
        <v>286</v>
      </c>
      <c r="Y1371" s="10">
        <v>18</v>
      </c>
      <c r="Z1371" s="10">
        <v>177</v>
      </c>
      <c r="AA1371" s="10">
        <v>0.39</v>
      </c>
      <c r="AB1371" s="10">
        <v>146</v>
      </c>
      <c r="AC1371" s="10">
        <v>100</v>
      </c>
      <c r="AD1371" s="10">
        <v>140</v>
      </c>
      <c r="AE1371" s="10">
        <v>3</v>
      </c>
      <c r="AF1371" s="10">
        <v>11.9</v>
      </c>
      <c r="AG1371" s="9" t="s">
        <v>188</v>
      </c>
      <c r="AH1371" s="9" t="s">
        <v>185</v>
      </c>
      <c r="AI1371" s="10"/>
      <c r="AJ1371" s="10"/>
      <c r="AK1371" s="30"/>
    </row>
    <row r="1372" spans="5:37">
      <c r="E1372" s="28" t="s">
        <v>155</v>
      </c>
      <c r="F1372" s="8" t="s">
        <v>229</v>
      </c>
      <c r="G1372" s="9" t="s">
        <v>624</v>
      </c>
      <c r="H1372" s="10">
        <v>173</v>
      </c>
      <c r="I1372" s="9" t="s">
        <v>158</v>
      </c>
      <c r="J1372" s="10">
        <v>173</v>
      </c>
      <c r="K1372" s="10">
        <v>174.7</v>
      </c>
      <c r="L1372" s="10">
        <v>129</v>
      </c>
      <c r="M1372" s="10">
        <v>150</v>
      </c>
      <c r="N1372" s="10">
        <v>128</v>
      </c>
      <c r="O1372" s="10">
        <v>85</v>
      </c>
      <c r="P1372" s="10">
        <v>110</v>
      </c>
      <c r="Q1372" s="10">
        <v>15.9</v>
      </c>
      <c r="R1372" s="10">
        <v>1451</v>
      </c>
      <c r="S1372" s="10">
        <v>1.19</v>
      </c>
      <c r="T1372" s="10">
        <v>1732</v>
      </c>
      <c r="U1372" s="10">
        <v>186</v>
      </c>
      <c r="V1372" s="10">
        <v>81</v>
      </c>
      <c r="W1372" s="10">
        <v>46</v>
      </c>
      <c r="X1372" s="10">
        <v>268</v>
      </c>
      <c r="Y1372" s="10">
        <v>17</v>
      </c>
      <c r="Z1372" s="10">
        <v>191</v>
      </c>
      <c r="AA1372" s="10">
        <v>0.38</v>
      </c>
      <c r="AB1372" s="10">
        <v>144</v>
      </c>
      <c r="AC1372" s="10">
        <v>102</v>
      </c>
      <c r="AD1372" s="10">
        <v>124</v>
      </c>
      <c r="AE1372" s="10">
        <v>3</v>
      </c>
      <c r="AF1372" s="10">
        <v>11.9</v>
      </c>
      <c r="AG1372" s="9" t="s">
        <v>188</v>
      </c>
      <c r="AH1372" s="9" t="s">
        <v>185</v>
      </c>
      <c r="AI1372" s="10"/>
      <c r="AJ1372" s="10"/>
      <c r="AK1372" s="30"/>
    </row>
    <row r="1373" spans="5:37">
      <c r="E1373" s="28" t="s">
        <v>155</v>
      </c>
      <c r="F1373" s="8" t="s">
        <v>229</v>
      </c>
      <c r="G1373" s="9" t="s">
        <v>624</v>
      </c>
      <c r="H1373" s="10">
        <v>180</v>
      </c>
      <c r="I1373" s="9" t="s">
        <v>158</v>
      </c>
      <c r="J1373" s="10">
        <v>180</v>
      </c>
      <c r="K1373" s="10">
        <v>179.6</v>
      </c>
      <c r="L1373" s="10">
        <v>129</v>
      </c>
      <c r="M1373" s="10">
        <v>155</v>
      </c>
      <c r="N1373" s="10">
        <v>128</v>
      </c>
      <c r="O1373" s="10">
        <v>85</v>
      </c>
      <c r="P1373" s="10">
        <v>110</v>
      </c>
      <c r="Q1373" s="10">
        <v>16.899999999999999</v>
      </c>
      <c r="R1373" s="10">
        <v>1483</v>
      </c>
      <c r="S1373" s="10">
        <v>1.2</v>
      </c>
      <c r="T1373" s="10">
        <v>1780</v>
      </c>
      <c r="U1373" s="10">
        <v>189</v>
      </c>
      <c r="V1373" s="10">
        <v>84</v>
      </c>
      <c r="W1373" s="10">
        <v>46</v>
      </c>
      <c r="X1373" s="10">
        <v>302</v>
      </c>
      <c r="Y1373" s="10">
        <v>18</v>
      </c>
      <c r="Z1373" s="10">
        <v>206</v>
      </c>
      <c r="AA1373" s="10">
        <v>0.39900000000000002</v>
      </c>
      <c r="AB1373" s="10">
        <v>149</v>
      </c>
      <c r="AC1373" s="10">
        <v>99</v>
      </c>
      <c r="AD1373" s="10">
        <v>154</v>
      </c>
      <c r="AE1373" s="10">
        <v>2</v>
      </c>
      <c r="AF1373" s="10">
        <v>11</v>
      </c>
      <c r="AG1373" s="9" t="s">
        <v>188</v>
      </c>
      <c r="AH1373" s="9" t="s">
        <v>185</v>
      </c>
      <c r="AI1373" s="10"/>
      <c r="AJ1373" s="10"/>
      <c r="AK1373" s="30"/>
    </row>
    <row r="1374" spans="5:37">
      <c r="E1374" s="28" t="s">
        <v>155</v>
      </c>
      <c r="F1374" s="8" t="s">
        <v>229</v>
      </c>
      <c r="G1374" s="9" t="s">
        <v>806</v>
      </c>
      <c r="H1374" s="10">
        <v>146</v>
      </c>
      <c r="I1374" s="9" t="s">
        <v>163</v>
      </c>
      <c r="J1374" s="10">
        <v>146</v>
      </c>
      <c r="K1374" s="10">
        <v>147.30000000000001</v>
      </c>
      <c r="L1374" s="10">
        <v>92</v>
      </c>
      <c r="M1374" s="10">
        <v>122</v>
      </c>
      <c r="N1374" s="10">
        <v>128</v>
      </c>
      <c r="O1374" s="10">
        <v>85</v>
      </c>
      <c r="P1374" s="10">
        <v>109</v>
      </c>
      <c r="Q1374" s="10">
        <v>10.1</v>
      </c>
      <c r="R1374" s="10">
        <v>1211</v>
      </c>
      <c r="S1374" s="10">
        <v>1.21</v>
      </c>
      <c r="T1374" s="10">
        <v>1467</v>
      </c>
      <c r="U1374" s="10">
        <v>156</v>
      </c>
      <c r="V1374" s="10">
        <v>75</v>
      </c>
      <c r="W1374" s="10">
        <v>48</v>
      </c>
      <c r="X1374" s="10">
        <v>337</v>
      </c>
      <c r="Y1374" s="10">
        <v>18</v>
      </c>
      <c r="Z1374" s="10">
        <v>218</v>
      </c>
      <c r="AA1374" s="10">
        <v>0.373</v>
      </c>
      <c r="AB1374" s="10">
        <v>149</v>
      </c>
      <c r="AC1374" s="10">
        <v>105</v>
      </c>
      <c r="AD1374" s="10">
        <v>188</v>
      </c>
      <c r="AE1374" s="10">
        <v>1</v>
      </c>
      <c r="AF1374" s="10">
        <v>11.5</v>
      </c>
      <c r="AG1374" s="9" t="s">
        <v>188</v>
      </c>
      <c r="AH1374" s="9" t="s">
        <v>185</v>
      </c>
      <c r="AI1374" s="10"/>
      <c r="AJ1374" s="10"/>
      <c r="AK1374" s="30"/>
    </row>
    <row r="1375" spans="5:37">
      <c r="E1375" s="28" t="s">
        <v>155</v>
      </c>
      <c r="F1375" s="8" t="s">
        <v>229</v>
      </c>
      <c r="G1375" s="9" t="s">
        <v>806</v>
      </c>
      <c r="H1375" s="10">
        <v>152</v>
      </c>
      <c r="I1375" s="9" t="s">
        <v>163</v>
      </c>
      <c r="J1375" s="10">
        <v>152</v>
      </c>
      <c r="K1375" s="10">
        <v>152</v>
      </c>
      <c r="L1375" s="10">
        <v>91</v>
      </c>
      <c r="M1375" s="10">
        <v>127</v>
      </c>
      <c r="N1375" s="10">
        <v>129</v>
      </c>
      <c r="O1375" s="10">
        <v>86</v>
      </c>
      <c r="P1375" s="10">
        <v>110</v>
      </c>
      <c r="Q1375" s="10">
        <v>11.1</v>
      </c>
      <c r="R1375" s="10">
        <v>1234</v>
      </c>
      <c r="S1375" s="10">
        <v>1.23</v>
      </c>
      <c r="T1375" s="10">
        <v>1520</v>
      </c>
      <c r="U1375" s="10">
        <v>156</v>
      </c>
      <c r="V1375" s="10">
        <v>75</v>
      </c>
      <c r="W1375" s="10">
        <v>47</v>
      </c>
      <c r="X1375" s="10">
        <v>370</v>
      </c>
      <c r="Y1375" s="10">
        <v>19</v>
      </c>
      <c r="Z1375" s="10">
        <v>241</v>
      </c>
      <c r="AA1375" s="10">
        <v>0.39700000000000002</v>
      </c>
      <c r="AB1375" s="10">
        <v>141</v>
      </c>
      <c r="AC1375" s="10">
        <v>104</v>
      </c>
      <c r="AD1375" s="10">
        <v>228</v>
      </c>
      <c r="AE1375" s="10">
        <v>1</v>
      </c>
      <c r="AF1375" s="10">
        <v>11.9</v>
      </c>
      <c r="AG1375" s="9" t="s">
        <v>188</v>
      </c>
      <c r="AH1375" s="9" t="s">
        <v>185</v>
      </c>
      <c r="AI1375" s="10"/>
      <c r="AJ1375" s="10"/>
      <c r="AK1375" s="30"/>
    </row>
    <row r="1376" spans="5:37">
      <c r="E1376" s="28" t="s">
        <v>155</v>
      </c>
      <c r="F1376" s="8" t="s">
        <v>229</v>
      </c>
      <c r="G1376" s="9" t="s">
        <v>806</v>
      </c>
      <c r="H1376" s="10">
        <v>159</v>
      </c>
      <c r="I1376" s="9" t="s">
        <v>163</v>
      </c>
      <c r="J1376" s="10">
        <v>159</v>
      </c>
      <c r="K1376" s="10">
        <v>160.19999999999999</v>
      </c>
      <c r="L1376" s="10">
        <v>100</v>
      </c>
      <c r="M1376" s="10">
        <v>136</v>
      </c>
      <c r="N1376" s="10">
        <v>128</v>
      </c>
      <c r="O1376" s="10">
        <v>85</v>
      </c>
      <c r="P1376" s="10">
        <v>110</v>
      </c>
      <c r="Q1376" s="10">
        <v>12.7</v>
      </c>
      <c r="R1376" s="10">
        <v>1259</v>
      </c>
      <c r="S1376" s="10">
        <v>1.26</v>
      </c>
      <c r="T1376" s="10">
        <v>1589</v>
      </c>
      <c r="U1376" s="10">
        <v>157</v>
      </c>
      <c r="V1376" s="10">
        <v>74</v>
      </c>
      <c r="W1376" s="10">
        <v>49</v>
      </c>
      <c r="X1376" s="10">
        <v>374</v>
      </c>
      <c r="Y1376" s="10">
        <v>20</v>
      </c>
      <c r="Z1376" s="10">
        <v>227</v>
      </c>
      <c r="AA1376" s="10">
        <v>0.40300000000000002</v>
      </c>
      <c r="AB1376" s="10">
        <v>143</v>
      </c>
      <c r="AC1376" s="10">
        <v>101</v>
      </c>
      <c r="AD1376" s="10">
        <v>231</v>
      </c>
      <c r="AE1376" s="10">
        <v>1</v>
      </c>
      <c r="AF1376" s="10">
        <v>11.5</v>
      </c>
      <c r="AG1376" s="9" t="s">
        <v>188</v>
      </c>
      <c r="AH1376" s="9" t="s">
        <v>185</v>
      </c>
      <c r="AI1376" s="9" t="s">
        <v>198</v>
      </c>
      <c r="AJ1376" s="10"/>
      <c r="AK1376" s="30"/>
    </row>
    <row r="1377" spans="5:37">
      <c r="E1377" s="28" t="s">
        <v>155</v>
      </c>
      <c r="F1377" s="8" t="s">
        <v>229</v>
      </c>
      <c r="G1377" s="9" t="s">
        <v>806</v>
      </c>
      <c r="H1377" s="10">
        <v>166</v>
      </c>
      <c r="I1377" s="9" t="s">
        <v>163</v>
      </c>
      <c r="J1377" s="10">
        <v>166</v>
      </c>
      <c r="K1377" s="10">
        <v>167.3</v>
      </c>
      <c r="L1377" s="10">
        <v>97</v>
      </c>
      <c r="M1377" s="10">
        <v>143</v>
      </c>
      <c r="N1377" s="10">
        <v>128</v>
      </c>
      <c r="O1377" s="10">
        <v>85</v>
      </c>
      <c r="P1377" s="10">
        <v>110</v>
      </c>
      <c r="Q1377" s="10">
        <v>14.2</v>
      </c>
      <c r="R1377" s="10">
        <v>1411</v>
      </c>
      <c r="S1377" s="10">
        <v>1.18</v>
      </c>
      <c r="T1377" s="10">
        <v>1660</v>
      </c>
      <c r="U1377" s="10">
        <v>170</v>
      </c>
      <c r="V1377" s="10">
        <v>79</v>
      </c>
      <c r="W1377" s="10">
        <v>48</v>
      </c>
      <c r="X1377" s="10">
        <v>408</v>
      </c>
      <c r="Y1377" s="10">
        <v>18</v>
      </c>
      <c r="Z1377" s="10">
        <v>295</v>
      </c>
      <c r="AA1377" s="10">
        <v>0.375</v>
      </c>
      <c r="AB1377" s="10">
        <v>144</v>
      </c>
      <c r="AC1377" s="10">
        <v>100</v>
      </c>
      <c r="AD1377" s="10">
        <v>265</v>
      </c>
      <c r="AE1377" s="10">
        <v>1</v>
      </c>
      <c r="AF1377" s="10">
        <v>11.7</v>
      </c>
      <c r="AG1377" s="9" t="s">
        <v>188</v>
      </c>
      <c r="AH1377" s="9" t="s">
        <v>185</v>
      </c>
      <c r="AI1377" s="10"/>
      <c r="AJ1377" s="10"/>
      <c r="AK1377" s="30"/>
    </row>
    <row r="1378" spans="5:37">
      <c r="E1378" s="28" t="s">
        <v>155</v>
      </c>
      <c r="F1378" s="8" t="s">
        <v>229</v>
      </c>
      <c r="G1378" s="9" t="s">
        <v>300</v>
      </c>
      <c r="H1378" s="10">
        <v>158</v>
      </c>
      <c r="I1378" s="9" t="s">
        <v>158</v>
      </c>
      <c r="J1378" s="10">
        <v>158</v>
      </c>
      <c r="K1378" s="10">
        <v>159.4</v>
      </c>
      <c r="L1378" s="10">
        <v>80</v>
      </c>
      <c r="M1378" s="10">
        <v>135</v>
      </c>
      <c r="N1378" s="10">
        <v>133</v>
      </c>
      <c r="O1378" s="10">
        <v>93</v>
      </c>
      <c r="P1378" s="10">
        <v>115</v>
      </c>
      <c r="Q1378" s="10">
        <v>13.6</v>
      </c>
      <c r="R1378" s="10">
        <v>1430</v>
      </c>
      <c r="S1378" s="10">
        <v>1.18</v>
      </c>
      <c r="T1378" s="10">
        <v>1692</v>
      </c>
      <c r="U1378" s="10">
        <v>169</v>
      </c>
      <c r="V1378" s="10">
        <v>90</v>
      </c>
      <c r="W1378" s="10">
        <v>48</v>
      </c>
      <c r="X1378" s="10">
        <v>456</v>
      </c>
      <c r="Y1378" s="10">
        <v>21</v>
      </c>
      <c r="Z1378" s="10">
        <v>337</v>
      </c>
      <c r="AA1378" s="10">
        <v>0.435</v>
      </c>
      <c r="AB1378" s="10">
        <v>141</v>
      </c>
      <c r="AC1378" s="10">
        <v>104</v>
      </c>
      <c r="AD1378" s="10">
        <v>315</v>
      </c>
      <c r="AE1378" s="10">
        <v>1</v>
      </c>
      <c r="AF1378" s="10">
        <v>12.3</v>
      </c>
      <c r="AG1378" s="9" t="s">
        <v>188</v>
      </c>
      <c r="AH1378" s="9" t="s">
        <v>185</v>
      </c>
      <c r="AI1378" s="10"/>
      <c r="AJ1378" s="10"/>
      <c r="AK1378" s="30"/>
    </row>
    <row r="1379" spans="5:37">
      <c r="E1379" s="28" t="s">
        <v>155</v>
      </c>
      <c r="F1379" s="8" t="s">
        <v>229</v>
      </c>
      <c r="G1379" s="9" t="s">
        <v>300</v>
      </c>
      <c r="H1379" s="10">
        <v>165</v>
      </c>
      <c r="I1379" s="9" t="s">
        <v>158</v>
      </c>
      <c r="J1379" s="10">
        <v>165</v>
      </c>
      <c r="K1379" s="10">
        <v>164.4</v>
      </c>
      <c r="L1379" s="10">
        <v>83</v>
      </c>
      <c r="M1379" s="10">
        <v>140</v>
      </c>
      <c r="N1379" s="10">
        <v>133</v>
      </c>
      <c r="O1379" s="10">
        <v>93</v>
      </c>
      <c r="P1379" s="10">
        <v>116</v>
      </c>
      <c r="Q1379" s="10">
        <v>14.8</v>
      </c>
      <c r="R1379" s="10">
        <v>1448</v>
      </c>
      <c r="S1379" s="10">
        <v>1.2</v>
      </c>
      <c r="T1379" s="10">
        <v>1744</v>
      </c>
      <c r="U1379" s="10">
        <v>182</v>
      </c>
      <c r="V1379" s="10">
        <v>90</v>
      </c>
      <c r="W1379" s="10">
        <v>48</v>
      </c>
      <c r="X1379" s="10">
        <v>465</v>
      </c>
      <c r="Y1379" s="10">
        <v>21</v>
      </c>
      <c r="Z1379" s="10">
        <v>345</v>
      </c>
      <c r="AA1379" s="10">
        <v>0.442</v>
      </c>
      <c r="AB1379" s="10">
        <v>139</v>
      </c>
      <c r="AC1379" s="10">
        <v>103</v>
      </c>
      <c r="AD1379" s="10">
        <v>326</v>
      </c>
      <c r="AE1379" s="10">
        <v>1</v>
      </c>
      <c r="AF1379" s="10">
        <v>12</v>
      </c>
      <c r="AG1379" s="9" t="s">
        <v>188</v>
      </c>
      <c r="AH1379" s="9" t="s">
        <v>185</v>
      </c>
      <c r="AI1379" s="10"/>
      <c r="AJ1379" s="10"/>
      <c r="AK1379" s="30"/>
    </row>
    <row r="1380" spans="5:37">
      <c r="E1380" s="28" t="s">
        <v>155</v>
      </c>
      <c r="F1380" s="8" t="s">
        <v>229</v>
      </c>
      <c r="G1380" s="9" t="s">
        <v>300</v>
      </c>
      <c r="H1380" s="10">
        <v>172</v>
      </c>
      <c r="I1380" s="9" t="s">
        <v>158</v>
      </c>
      <c r="J1380" s="10">
        <v>172</v>
      </c>
      <c r="K1380" s="10">
        <v>171.7</v>
      </c>
      <c r="L1380" s="10">
        <v>74</v>
      </c>
      <c r="M1380" s="10">
        <v>147</v>
      </c>
      <c r="N1380" s="10">
        <v>133</v>
      </c>
      <c r="O1380" s="10">
        <v>93</v>
      </c>
      <c r="P1380" s="10">
        <v>115</v>
      </c>
      <c r="Q1380" s="10">
        <v>16.399999999999999</v>
      </c>
      <c r="R1380" s="10">
        <v>1513</v>
      </c>
      <c r="S1380" s="10">
        <v>1.2</v>
      </c>
      <c r="T1380" s="10">
        <v>1820</v>
      </c>
      <c r="U1380" s="10">
        <v>157</v>
      </c>
      <c r="V1380" s="10">
        <v>90</v>
      </c>
      <c r="W1380" s="10">
        <v>48</v>
      </c>
      <c r="X1380" s="10">
        <v>536</v>
      </c>
      <c r="Y1380" s="10">
        <v>22</v>
      </c>
      <c r="Z1380" s="10">
        <v>436</v>
      </c>
      <c r="AA1380" s="10">
        <v>0.45</v>
      </c>
      <c r="AB1380" s="10">
        <v>138</v>
      </c>
      <c r="AC1380" s="10">
        <v>105</v>
      </c>
      <c r="AD1380" s="10">
        <v>397</v>
      </c>
      <c r="AE1380" s="10">
        <v>1</v>
      </c>
      <c r="AF1380" s="10">
        <v>12.2</v>
      </c>
      <c r="AG1380" s="9" t="s">
        <v>188</v>
      </c>
      <c r="AH1380" s="9" t="s">
        <v>185</v>
      </c>
      <c r="AI1380" s="10"/>
      <c r="AJ1380" s="10"/>
      <c r="AK1380" s="30"/>
    </row>
    <row r="1381" spans="5:37">
      <c r="E1381" s="28" t="s">
        <v>155</v>
      </c>
      <c r="F1381" s="8" t="s">
        <v>229</v>
      </c>
      <c r="G1381" s="9" t="s">
        <v>300</v>
      </c>
      <c r="H1381" s="10">
        <v>179</v>
      </c>
      <c r="I1381" s="9" t="s">
        <v>158</v>
      </c>
      <c r="J1381" s="10">
        <v>179</v>
      </c>
      <c r="K1381" s="10">
        <v>177.1</v>
      </c>
      <c r="L1381" s="10">
        <v>89</v>
      </c>
      <c r="M1381" s="10">
        <v>155</v>
      </c>
      <c r="N1381" s="10">
        <v>133</v>
      </c>
      <c r="O1381" s="10">
        <v>93</v>
      </c>
      <c r="P1381" s="10">
        <v>115</v>
      </c>
      <c r="Q1381" s="10">
        <v>18.2</v>
      </c>
      <c r="R1381" s="10">
        <v>1546</v>
      </c>
      <c r="S1381" s="10">
        <v>1.21</v>
      </c>
      <c r="T1381" s="10">
        <v>1878</v>
      </c>
      <c r="U1381" s="10">
        <v>168</v>
      </c>
      <c r="V1381" s="10">
        <v>92</v>
      </c>
      <c r="W1381" s="10">
        <v>39</v>
      </c>
      <c r="X1381" s="10">
        <v>506</v>
      </c>
      <c r="Y1381" s="10">
        <v>23</v>
      </c>
      <c r="Z1381" s="10">
        <v>374</v>
      </c>
      <c r="AA1381" s="10">
        <v>0.58099999999999996</v>
      </c>
      <c r="AB1381" s="10">
        <v>118</v>
      </c>
      <c r="AC1381" s="10">
        <v>102</v>
      </c>
      <c r="AD1381" s="10">
        <v>388</v>
      </c>
      <c r="AE1381" s="10">
        <v>1</v>
      </c>
      <c r="AF1381" s="10">
        <v>12.5</v>
      </c>
      <c r="AG1381" s="9" t="s">
        <v>188</v>
      </c>
      <c r="AH1381" s="9" t="s">
        <v>185</v>
      </c>
      <c r="AI1381" s="10"/>
      <c r="AJ1381" s="10"/>
      <c r="AK1381" s="30"/>
    </row>
    <row r="1382" spans="5:37">
      <c r="E1382" s="28" t="s">
        <v>155</v>
      </c>
      <c r="F1382" s="8" t="s">
        <v>229</v>
      </c>
      <c r="G1382" s="9" t="s">
        <v>300</v>
      </c>
      <c r="H1382" s="10">
        <v>186</v>
      </c>
      <c r="I1382" s="9" t="s">
        <v>158</v>
      </c>
      <c r="J1382" s="10">
        <v>186</v>
      </c>
      <c r="K1382" s="10">
        <v>186.6</v>
      </c>
      <c r="L1382" s="10">
        <v>104</v>
      </c>
      <c r="M1382" s="10">
        <v>163</v>
      </c>
      <c r="N1382" s="10">
        <v>133</v>
      </c>
      <c r="O1382" s="10">
        <v>93</v>
      </c>
      <c r="P1382" s="10">
        <v>116</v>
      </c>
      <c r="Q1382" s="10">
        <v>20</v>
      </c>
      <c r="R1382" s="10">
        <v>1699</v>
      </c>
      <c r="S1382" s="10">
        <v>1.1599999999999999</v>
      </c>
      <c r="T1382" s="10">
        <v>1976</v>
      </c>
      <c r="U1382" s="10">
        <v>232</v>
      </c>
      <c r="V1382" s="10">
        <v>111</v>
      </c>
      <c r="W1382" s="10">
        <v>47</v>
      </c>
      <c r="X1382" s="10">
        <v>477</v>
      </c>
      <c r="Y1382" s="10">
        <v>22</v>
      </c>
      <c r="Z1382" s="10">
        <v>345</v>
      </c>
      <c r="AA1382" s="10">
        <v>0.46</v>
      </c>
      <c r="AB1382" s="10">
        <v>138</v>
      </c>
      <c r="AC1382" s="10">
        <v>102</v>
      </c>
      <c r="AD1382" s="10">
        <v>338</v>
      </c>
      <c r="AE1382" s="10">
        <v>2</v>
      </c>
      <c r="AF1382" s="10">
        <v>11.6</v>
      </c>
      <c r="AG1382" s="9" t="s">
        <v>188</v>
      </c>
      <c r="AH1382" s="9" t="s">
        <v>185</v>
      </c>
      <c r="AI1382" s="10"/>
      <c r="AJ1382" s="10"/>
      <c r="AK1382" s="30"/>
    </row>
    <row r="1383" spans="5:37">
      <c r="E1383" s="28" t="s">
        <v>155</v>
      </c>
      <c r="F1383" s="8" t="s">
        <v>229</v>
      </c>
      <c r="G1383" s="9" t="s">
        <v>778</v>
      </c>
      <c r="H1383" s="10">
        <v>151</v>
      </c>
      <c r="I1383" s="9" t="s">
        <v>163</v>
      </c>
      <c r="J1383" s="10">
        <v>151</v>
      </c>
      <c r="K1383" s="10">
        <v>152.69999999999999</v>
      </c>
      <c r="L1383" s="10">
        <v>76</v>
      </c>
      <c r="M1383" s="10">
        <v>128</v>
      </c>
      <c r="N1383" s="10">
        <v>133</v>
      </c>
      <c r="O1383" s="10">
        <v>93</v>
      </c>
      <c r="P1383" s="10">
        <v>115</v>
      </c>
      <c r="Q1383" s="10">
        <v>12.4</v>
      </c>
      <c r="R1383" s="10">
        <v>1354</v>
      </c>
      <c r="S1383" s="10">
        <v>1.2</v>
      </c>
      <c r="T1383" s="10">
        <v>1618</v>
      </c>
      <c r="U1383" s="10">
        <v>162</v>
      </c>
      <c r="V1383" s="10">
        <v>79</v>
      </c>
      <c r="W1383" s="10">
        <v>50</v>
      </c>
      <c r="X1383" s="10">
        <v>443</v>
      </c>
      <c r="Y1383" s="10">
        <v>22</v>
      </c>
      <c r="Z1383" s="10">
        <v>323</v>
      </c>
      <c r="AA1383" s="10">
        <v>0.442</v>
      </c>
      <c r="AB1383" s="10">
        <v>144</v>
      </c>
      <c r="AC1383" s="10">
        <v>106</v>
      </c>
      <c r="AD1383" s="10">
        <v>299</v>
      </c>
      <c r="AE1383" s="10">
        <v>2</v>
      </c>
      <c r="AF1383" s="10">
        <v>11.4</v>
      </c>
      <c r="AG1383" s="9" t="s">
        <v>188</v>
      </c>
      <c r="AH1383" s="9" t="s">
        <v>185</v>
      </c>
      <c r="AI1383" s="10"/>
      <c r="AJ1383" s="10"/>
      <c r="AK1383" s="30"/>
    </row>
    <row r="1384" spans="5:37">
      <c r="E1384" s="28" t="s">
        <v>155</v>
      </c>
      <c r="F1384" s="8" t="s">
        <v>229</v>
      </c>
      <c r="G1384" s="9" t="s">
        <v>778</v>
      </c>
      <c r="H1384" s="10">
        <v>158</v>
      </c>
      <c r="I1384" s="9" t="s">
        <v>163</v>
      </c>
      <c r="J1384" s="10">
        <v>158</v>
      </c>
      <c r="K1384" s="10">
        <v>159.69999999999999</v>
      </c>
      <c r="L1384" s="10">
        <v>81</v>
      </c>
      <c r="M1384" s="10">
        <v>136</v>
      </c>
      <c r="N1384" s="10">
        <v>133</v>
      </c>
      <c r="O1384" s="10">
        <v>93</v>
      </c>
      <c r="P1384" s="10">
        <v>115</v>
      </c>
      <c r="Q1384" s="10">
        <v>14</v>
      </c>
      <c r="R1384" s="10">
        <v>1399</v>
      </c>
      <c r="S1384" s="10">
        <v>1.21</v>
      </c>
      <c r="T1384" s="10">
        <v>1689</v>
      </c>
      <c r="U1384" s="10">
        <v>166</v>
      </c>
      <c r="V1384" s="10">
        <v>80</v>
      </c>
      <c r="W1384" s="10">
        <v>51</v>
      </c>
      <c r="X1384" s="10">
        <v>455</v>
      </c>
      <c r="Y1384" s="10">
        <v>22</v>
      </c>
      <c r="Z1384" s="10">
        <v>331</v>
      </c>
      <c r="AA1384" s="10">
        <v>0.43099999999999999</v>
      </c>
      <c r="AB1384" s="10">
        <v>137</v>
      </c>
      <c r="AC1384" s="10">
        <v>103</v>
      </c>
      <c r="AD1384" s="10">
        <v>318</v>
      </c>
      <c r="AE1384" s="10">
        <v>2</v>
      </c>
      <c r="AF1384" s="10">
        <v>11.5</v>
      </c>
      <c r="AG1384" s="9" t="s">
        <v>188</v>
      </c>
      <c r="AH1384" s="9" t="s">
        <v>185</v>
      </c>
      <c r="AI1384" s="10"/>
      <c r="AJ1384" s="10"/>
      <c r="AK1384" s="30"/>
    </row>
    <row r="1385" spans="5:37">
      <c r="E1385" s="28" t="s">
        <v>155</v>
      </c>
      <c r="F1385" s="8" t="s">
        <v>229</v>
      </c>
      <c r="G1385" s="9" t="s">
        <v>778</v>
      </c>
      <c r="H1385" s="10">
        <v>165</v>
      </c>
      <c r="I1385" s="9" t="s">
        <v>163</v>
      </c>
      <c r="J1385" s="10">
        <v>165</v>
      </c>
      <c r="K1385" s="10">
        <v>164.5</v>
      </c>
      <c r="L1385" s="10">
        <v>75</v>
      </c>
      <c r="M1385" s="10">
        <v>140</v>
      </c>
      <c r="N1385" s="10">
        <v>133</v>
      </c>
      <c r="O1385" s="10">
        <v>93</v>
      </c>
      <c r="P1385" s="10">
        <v>115</v>
      </c>
      <c r="Q1385" s="10">
        <v>15.1</v>
      </c>
      <c r="R1385" s="10">
        <v>1458</v>
      </c>
      <c r="S1385" s="10">
        <v>1.19</v>
      </c>
      <c r="T1385" s="10">
        <v>1740</v>
      </c>
      <c r="U1385" s="10">
        <v>177</v>
      </c>
      <c r="V1385" s="10">
        <v>86</v>
      </c>
      <c r="W1385" s="10">
        <v>53</v>
      </c>
      <c r="X1385" s="10">
        <v>532</v>
      </c>
      <c r="Y1385" s="10">
        <v>23</v>
      </c>
      <c r="Z1385" s="10">
        <v>360</v>
      </c>
      <c r="AA1385" s="10">
        <v>0.42899999999999999</v>
      </c>
      <c r="AB1385" s="10">
        <v>140</v>
      </c>
      <c r="AC1385" s="10">
        <v>101</v>
      </c>
      <c r="AD1385" s="10">
        <v>391</v>
      </c>
      <c r="AE1385" s="10">
        <v>1</v>
      </c>
      <c r="AF1385" s="10">
        <v>11.9</v>
      </c>
      <c r="AG1385" s="9" t="s">
        <v>188</v>
      </c>
      <c r="AH1385" s="9" t="s">
        <v>185</v>
      </c>
      <c r="AI1385" s="10"/>
      <c r="AJ1385" s="10"/>
      <c r="AK1385" s="30"/>
    </row>
    <row r="1386" spans="5:37">
      <c r="E1386" s="28" t="s">
        <v>155</v>
      </c>
      <c r="F1386" s="8" t="s">
        <v>229</v>
      </c>
      <c r="G1386" s="9" t="s">
        <v>778</v>
      </c>
      <c r="H1386" s="10">
        <v>172</v>
      </c>
      <c r="I1386" s="9" t="s">
        <v>163</v>
      </c>
      <c r="J1386" s="10">
        <v>172</v>
      </c>
      <c r="K1386" s="10">
        <v>171.9</v>
      </c>
      <c r="L1386" s="10">
        <v>70</v>
      </c>
      <c r="M1386" s="10">
        <v>148</v>
      </c>
      <c r="N1386" s="10">
        <v>133</v>
      </c>
      <c r="O1386" s="10">
        <v>93</v>
      </c>
      <c r="P1386" s="10">
        <v>115</v>
      </c>
      <c r="Q1386" s="10">
        <v>16.8</v>
      </c>
      <c r="R1386" s="10">
        <v>1508</v>
      </c>
      <c r="S1386" s="10">
        <v>1.21</v>
      </c>
      <c r="T1386" s="10">
        <v>1817</v>
      </c>
      <c r="U1386" s="10">
        <v>164</v>
      </c>
      <c r="V1386" s="10">
        <v>81</v>
      </c>
      <c r="W1386" s="10">
        <v>53</v>
      </c>
      <c r="X1386" s="10">
        <v>589</v>
      </c>
      <c r="Y1386" s="10">
        <v>23</v>
      </c>
      <c r="Z1386" s="10">
        <v>432</v>
      </c>
      <c r="AA1386" s="10">
        <v>0.437</v>
      </c>
      <c r="AB1386" s="10">
        <v>136</v>
      </c>
      <c r="AC1386" s="10">
        <v>104</v>
      </c>
      <c r="AD1386" s="10">
        <v>453</v>
      </c>
      <c r="AE1386" s="10">
        <v>1</v>
      </c>
      <c r="AF1386" s="10">
        <v>11</v>
      </c>
      <c r="AG1386" s="9" t="s">
        <v>188</v>
      </c>
      <c r="AH1386" s="9" t="s">
        <v>185</v>
      </c>
      <c r="AI1386" s="10"/>
      <c r="AJ1386" s="10"/>
      <c r="AK1386" s="30"/>
    </row>
    <row r="1387" spans="5:37">
      <c r="E1387" s="28" t="s">
        <v>155</v>
      </c>
      <c r="F1387" s="8" t="s">
        <v>229</v>
      </c>
      <c r="G1387" s="9" t="s">
        <v>812</v>
      </c>
      <c r="H1387" s="10">
        <v>186</v>
      </c>
      <c r="I1387" s="9" t="s">
        <v>158</v>
      </c>
      <c r="J1387" s="10">
        <v>186</v>
      </c>
      <c r="K1387" s="10">
        <v>187.2</v>
      </c>
      <c r="L1387" s="10">
        <v>0</v>
      </c>
      <c r="M1387" s="10">
        <v>146</v>
      </c>
      <c r="N1387" s="10">
        <v>133</v>
      </c>
      <c r="O1387" s="10">
        <v>108</v>
      </c>
      <c r="P1387" s="10">
        <v>118</v>
      </c>
      <c r="Q1387" s="10">
        <v>27.1</v>
      </c>
      <c r="R1387" s="10">
        <v>1741</v>
      </c>
      <c r="S1387" s="10">
        <v>1.25</v>
      </c>
      <c r="T1387" s="10">
        <v>2170</v>
      </c>
      <c r="U1387" s="10">
        <v>207</v>
      </c>
      <c r="V1387" s="10">
        <v>138</v>
      </c>
      <c r="W1387" s="10">
        <v>52</v>
      </c>
      <c r="X1387" s="10">
        <v>1038</v>
      </c>
      <c r="Y1387" s="10">
        <v>28</v>
      </c>
      <c r="Z1387" s="10">
        <v>834</v>
      </c>
      <c r="AA1387" s="10">
        <v>0.52800000000000002</v>
      </c>
      <c r="AB1387" s="10">
        <v>205</v>
      </c>
      <c r="AC1387" s="10">
        <v>210</v>
      </c>
      <c r="AD1387" s="10">
        <v>833</v>
      </c>
      <c r="AE1387" s="10">
        <v>-6</v>
      </c>
      <c r="AF1387" s="10">
        <v>10.199999999999999</v>
      </c>
      <c r="AG1387" s="9" t="s">
        <v>169</v>
      </c>
      <c r="AH1387" s="9" t="s">
        <v>185</v>
      </c>
      <c r="AI1387" s="10"/>
      <c r="AJ1387" s="10"/>
      <c r="AK1387" s="30"/>
    </row>
    <row r="1388" spans="5:37">
      <c r="E1388" s="28" t="s">
        <v>155</v>
      </c>
      <c r="F1388" s="8" t="s">
        <v>229</v>
      </c>
      <c r="G1388" s="9" t="s">
        <v>348</v>
      </c>
      <c r="H1388" s="10">
        <v>170</v>
      </c>
      <c r="I1388" s="9" t="s">
        <v>158</v>
      </c>
      <c r="J1388" s="10">
        <v>170</v>
      </c>
      <c r="K1388" s="10">
        <v>169.3</v>
      </c>
      <c r="L1388" s="10">
        <v>144</v>
      </c>
      <c r="M1388" s="10">
        <v>157</v>
      </c>
      <c r="N1388" s="10">
        <v>128</v>
      </c>
      <c r="O1388" s="10">
        <v>78</v>
      </c>
      <c r="P1388" s="10">
        <v>108</v>
      </c>
      <c r="Q1388" s="10">
        <v>15.5</v>
      </c>
      <c r="R1388" s="10">
        <v>1717</v>
      </c>
      <c r="S1388" s="10">
        <v>0.91</v>
      </c>
      <c r="T1388" s="10">
        <v>1568</v>
      </c>
      <c r="U1388" s="10">
        <v>189</v>
      </c>
      <c r="V1388" s="10">
        <v>73</v>
      </c>
      <c r="W1388" s="10">
        <v>35</v>
      </c>
      <c r="X1388" s="10">
        <v>174</v>
      </c>
      <c r="Y1388" s="10">
        <v>5</v>
      </c>
      <c r="Z1388" s="10">
        <v>83</v>
      </c>
      <c r="AA1388" s="10">
        <v>0.13600000000000001</v>
      </c>
      <c r="AB1388" s="10">
        <v>69</v>
      </c>
      <c r="AC1388" s="10">
        <v>51</v>
      </c>
      <c r="AD1388" s="10">
        <v>105</v>
      </c>
      <c r="AE1388" s="10">
        <v>10</v>
      </c>
      <c r="AF1388" s="10">
        <v>11.4</v>
      </c>
      <c r="AG1388" s="9" t="s">
        <v>349</v>
      </c>
      <c r="AH1388" s="10"/>
      <c r="AI1388" s="10"/>
      <c r="AJ1388" s="10"/>
      <c r="AK1388" s="30"/>
    </row>
    <row r="1389" spans="5:37">
      <c r="E1389" s="28" t="s">
        <v>155</v>
      </c>
      <c r="F1389" s="8" t="s">
        <v>229</v>
      </c>
      <c r="G1389" s="9" t="s">
        <v>348</v>
      </c>
      <c r="H1389" s="10">
        <v>177</v>
      </c>
      <c r="I1389" s="9" t="s">
        <v>158</v>
      </c>
      <c r="J1389" s="10">
        <v>177</v>
      </c>
      <c r="K1389" s="10">
        <v>177</v>
      </c>
      <c r="L1389" s="10">
        <v>158</v>
      </c>
      <c r="M1389" s="10">
        <v>165</v>
      </c>
      <c r="N1389" s="10">
        <v>128</v>
      </c>
      <c r="O1389" s="10">
        <v>78</v>
      </c>
      <c r="P1389" s="10">
        <v>108</v>
      </c>
      <c r="Q1389" s="10">
        <v>17.100000000000001</v>
      </c>
      <c r="R1389" s="10">
        <v>1831</v>
      </c>
      <c r="S1389" s="10">
        <v>0.89</v>
      </c>
      <c r="T1389" s="10">
        <v>1637</v>
      </c>
      <c r="U1389" s="10">
        <v>215</v>
      </c>
      <c r="V1389" s="10">
        <v>79</v>
      </c>
      <c r="W1389" s="10">
        <v>34</v>
      </c>
      <c r="X1389" s="10">
        <v>126</v>
      </c>
      <c r="Y1389" s="10">
        <v>5</v>
      </c>
      <c r="Z1389" s="10">
        <v>65</v>
      </c>
      <c r="AA1389" s="10">
        <v>0.159</v>
      </c>
      <c r="AB1389" s="10">
        <v>69</v>
      </c>
      <c r="AC1389" s="10">
        <v>50</v>
      </c>
      <c r="AD1389" s="10">
        <v>57</v>
      </c>
      <c r="AE1389" s="10">
        <v>7</v>
      </c>
      <c r="AF1389" s="10">
        <v>11.6</v>
      </c>
      <c r="AG1389" s="9" t="s">
        <v>349</v>
      </c>
      <c r="AH1389" s="10"/>
      <c r="AI1389" s="10"/>
      <c r="AJ1389" s="10"/>
      <c r="AK1389" s="30"/>
    </row>
    <row r="1390" spans="5:37">
      <c r="E1390" s="28" t="s">
        <v>155</v>
      </c>
      <c r="F1390" s="8" t="s">
        <v>229</v>
      </c>
      <c r="G1390" s="9" t="s">
        <v>675</v>
      </c>
      <c r="H1390" s="10">
        <v>167</v>
      </c>
      <c r="I1390" s="9" t="s">
        <v>158</v>
      </c>
      <c r="J1390" s="10">
        <v>167</v>
      </c>
      <c r="K1390" s="10">
        <v>166.9</v>
      </c>
      <c r="L1390" s="10">
        <v>147</v>
      </c>
      <c r="M1390" s="10">
        <v>153</v>
      </c>
      <c r="N1390" s="10">
        <v>127</v>
      </c>
      <c r="O1390" s="10">
        <v>79</v>
      </c>
      <c r="P1390" s="10">
        <v>110</v>
      </c>
      <c r="Q1390" s="10">
        <v>14.4</v>
      </c>
      <c r="R1390" s="10">
        <v>1855</v>
      </c>
      <c r="S1390" s="10">
        <v>0.85</v>
      </c>
      <c r="T1390" s="10">
        <v>1579</v>
      </c>
      <c r="U1390" s="10">
        <v>214</v>
      </c>
      <c r="V1390" s="10">
        <v>66</v>
      </c>
      <c r="W1390" s="10">
        <v>40</v>
      </c>
      <c r="X1390" s="10">
        <v>134</v>
      </c>
      <c r="Y1390" s="10">
        <v>7</v>
      </c>
      <c r="Z1390" s="10">
        <v>61</v>
      </c>
      <c r="AA1390" s="10">
        <v>0.17499999999999999</v>
      </c>
      <c r="AB1390" s="10">
        <v>73</v>
      </c>
      <c r="AC1390" s="10">
        <v>63</v>
      </c>
      <c r="AD1390" s="10">
        <v>61</v>
      </c>
      <c r="AE1390" s="10">
        <v>4</v>
      </c>
      <c r="AF1390" s="10">
        <v>10</v>
      </c>
      <c r="AG1390" s="9" t="s">
        <v>349</v>
      </c>
      <c r="AH1390" s="10"/>
      <c r="AI1390" s="10"/>
      <c r="AJ1390" s="10"/>
      <c r="AK1390" s="30"/>
    </row>
    <row r="1391" spans="5:37">
      <c r="E1391" s="28" t="s">
        <v>155</v>
      </c>
      <c r="F1391" s="8" t="s">
        <v>229</v>
      </c>
      <c r="G1391" s="9" t="s">
        <v>675</v>
      </c>
      <c r="H1391" s="10">
        <v>172</v>
      </c>
      <c r="I1391" s="9" t="s">
        <v>158</v>
      </c>
      <c r="J1391" s="10">
        <v>172</v>
      </c>
      <c r="K1391" s="10">
        <v>171.9</v>
      </c>
      <c r="L1391" s="10">
        <v>152</v>
      </c>
      <c r="M1391" s="10">
        <v>159</v>
      </c>
      <c r="N1391" s="10">
        <v>127</v>
      </c>
      <c r="O1391" s="10">
        <v>79</v>
      </c>
      <c r="P1391" s="10">
        <v>110</v>
      </c>
      <c r="Q1391" s="10">
        <v>15.5</v>
      </c>
      <c r="R1391" s="10">
        <v>1962</v>
      </c>
      <c r="S1391" s="10">
        <v>0.83</v>
      </c>
      <c r="T1391" s="10">
        <v>1626</v>
      </c>
      <c r="U1391" s="10">
        <v>219</v>
      </c>
      <c r="V1391" s="10">
        <v>68</v>
      </c>
      <c r="W1391" s="10">
        <v>40</v>
      </c>
      <c r="X1391" s="10">
        <v>139</v>
      </c>
      <c r="Y1391" s="10">
        <v>7</v>
      </c>
      <c r="Z1391" s="10">
        <v>65</v>
      </c>
      <c r="AA1391" s="10">
        <v>0.17399999999999999</v>
      </c>
      <c r="AB1391" s="10">
        <v>71</v>
      </c>
      <c r="AC1391" s="10">
        <v>62</v>
      </c>
      <c r="AD1391" s="10">
        <v>67</v>
      </c>
      <c r="AE1391" s="10">
        <v>5</v>
      </c>
      <c r="AF1391" s="10">
        <v>10.1</v>
      </c>
      <c r="AG1391" s="9" t="s">
        <v>349</v>
      </c>
      <c r="AH1391" s="10"/>
      <c r="AI1391" s="10"/>
      <c r="AJ1391" s="10"/>
      <c r="AK1391" s="30"/>
    </row>
    <row r="1392" spans="5:37">
      <c r="E1392" s="28" t="s">
        <v>155</v>
      </c>
      <c r="F1392" s="8" t="s">
        <v>229</v>
      </c>
      <c r="G1392" s="9" t="s">
        <v>675</v>
      </c>
      <c r="H1392" s="10">
        <v>177</v>
      </c>
      <c r="I1392" s="9" t="s">
        <v>158</v>
      </c>
      <c r="J1392" s="10">
        <v>177</v>
      </c>
      <c r="K1392" s="10">
        <v>176.9</v>
      </c>
      <c r="L1392" s="10">
        <v>156</v>
      </c>
      <c r="M1392" s="10">
        <v>163</v>
      </c>
      <c r="N1392" s="10">
        <v>127</v>
      </c>
      <c r="O1392" s="10">
        <v>79</v>
      </c>
      <c r="P1392" s="10">
        <v>110</v>
      </c>
      <c r="Q1392" s="10">
        <v>16.3</v>
      </c>
      <c r="R1392" s="10">
        <v>2026</v>
      </c>
      <c r="S1392" s="10">
        <v>0.82</v>
      </c>
      <c r="T1392" s="10">
        <v>1671</v>
      </c>
      <c r="U1392" s="10">
        <v>252</v>
      </c>
      <c r="V1392" s="10">
        <v>76</v>
      </c>
      <c r="W1392" s="10">
        <v>40</v>
      </c>
      <c r="X1392" s="10">
        <v>139</v>
      </c>
      <c r="Y1392" s="10">
        <v>7</v>
      </c>
      <c r="Z1392" s="10">
        <v>69</v>
      </c>
      <c r="AA1392" s="10">
        <v>0.189</v>
      </c>
      <c r="AB1392" s="10">
        <v>70</v>
      </c>
      <c r="AC1392" s="10">
        <v>64</v>
      </c>
      <c r="AD1392" s="10">
        <v>69</v>
      </c>
      <c r="AE1392" s="10">
        <v>5</v>
      </c>
      <c r="AF1392" s="10">
        <v>10.5</v>
      </c>
      <c r="AG1392" s="9" t="s">
        <v>349</v>
      </c>
      <c r="AH1392" s="10"/>
      <c r="AI1392" s="10"/>
      <c r="AJ1392" s="10"/>
      <c r="AK1392" s="30"/>
    </row>
    <row r="1393" spans="5:37">
      <c r="E1393" s="28" t="s">
        <v>155</v>
      </c>
      <c r="F1393" s="8" t="s">
        <v>229</v>
      </c>
      <c r="G1393" s="9" t="s">
        <v>753</v>
      </c>
      <c r="H1393" s="10">
        <v>172</v>
      </c>
      <c r="I1393" s="9" t="s">
        <v>158</v>
      </c>
      <c r="J1393" s="10">
        <v>172</v>
      </c>
      <c r="K1393" s="10">
        <v>171.7</v>
      </c>
      <c r="L1393" s="10">
        <v>137</v>
      </c>
      <c r="M1393" s="10">
        <v>158</v>
      </c>
      <c r="N1393" s="10">
        <v>131</v>
      </c>
      <c r="O1393" s="10">
        <v>83</v>
      </c>
      <c r="P1393" s="10">
        <v>114</v>
      </c>
      <c r="Q1393" s="10">
        <v>15.5</v>
      </c>
      <c r="R1393" s="10">
        <v>1982</v>
      </c>
      <c r="S1393" s="10">
        <v>0.85</v>
      </c>
      <c r="T1393" s="10">
        <v>1691</v>
      </c>
      <c r="U1393" s="10">
        <v>214</v>
      </c>
      <c r="V1393" s="10">
        <v>67</v>
      </c>
      <c r="W1393" s="10">
        <v>42</v>
      </c>
      <c r="X1393" s="10">
        <v>218</v>
      </c>
      <c r="Y1393" s="10">
        <v>8</v>
      </c>
      <c r="Z1393" s="10">
        <v>128</v>
      </c>
      <c r="AA1393" s="10">
        <v>0.20100000000000001</v>
      </c>
      <c r="AB1393" s="10">
        <v>73</v>
      </c>
      <c r="AC1393" s="10">
        <v>62</v>
      </c>
      <c r="AD1393" s="10">
        <v>145</v>
      </c>
      <c r="AE1393" s="10">
        <v>4</v>
      </c>
      <c r="AF1393" s="10">
        <v>11</v>
      </c>
      <c r="AG1393" s="9" t="s">
        <v>188</v>
      </c>
      <c r="AH1393" s="10"/>
      <c r="AI1393" s="10"/>
      <c r="AJ1393" s="10"/>
      <c r="AK1393" s="30"/>
    </row>
    <row r="1394" spans="5:37">
      <c r="E1394" s="28" t="s">
        <v>155</v>
      </c>
      <c r="F1394" s="8" t="s">
        <v>229</v>
      </c>
      <c r="G1394" s="9" t="s">
        <v>477</v>
      </c>
      <c r="H1394" s="10">
        <v>161</v>
      </c>
      <c r="I1394" s="9" t="s">
        <v>158</v>
      </c>
      <c r="J1394" s="10">
        <v>161</v>
      </c>
      <c r="K1394" s="10">
        <v>160.5</v>
      </c>
      <c r="L1394" s="10">
        <v>141</v>
      </c>
      <c r="M1394" s="10">
        <v>148</v>
      </c>
      <c r="N1394" s="10">
        <v>123</v>
      </c>
      <c r="O1394" s="10">
        <v>75</v>
      </c>
      <c r="P1394" s="10">
        <v>104</v>
      </c>
      <c r="Q1394" s="10">
        <v>14.1</v>
      </c>
      <c r="R1394" s="10">
        <v>1745</v>
      </c>
      <c r="S1394" s="10">
        <v>0.82</v>
      </c>
      <c r="T1394" s="10">
        <v>1428</v>
      </c>
      <c r="U1394" s="10">
        <v>159</v>
      </c>
      <c r="V1394" s="10">
        <v>76</v>
      </c>
      <c r="W1394" s="10">
        <v>35</v>
      </c>
      <c r="X1394" s="10">
        <v>144</v>
      </c>
      <c r="Y1394" s="10">
        <v>5</v>
      </c>
      <c r="Z1394" s="10">
        <v>54</v>
      </c>
      <c r="AA1394" s="10">
        <v>0.129</v>
      </c>
      <c r="AB1394" s="10">
        <v>74</v>
      </c>
      <c r="AC1394" s="10">
        <v>51</v>
      </c>
      <c r="AD1394" s="10">
        <v>71</v>
      </c>
      <c r="AE1394" s="10">
        <v>8</v>
      </c>
      <c r="AF1394" s="10">
        <v>12.7</v>
      </c>
      <c r="AG1394" s="9" t="s">
        <v>349</v>
      </c>
      <c r="AH1394" s="10"/>
      <c r="AI1394" s="10"/>
      <c r="AJ1394" s="10"/>
      <c r="AK1394" s="30"/>
    </row>
    <row r="1395" spans="5:37">
      <c r="E1395" s="28" t="s">
        <v>155</v>
      </c>
      <c r="F1395" s="8" t="s">
        <v>229</v>
      </c>
      <c r="G1395" s="9" t="s">
        <v>477</v>
      </c>
      <c r="H1395" s="10">
        <v>168</v>
      </c>
      <c r="I1395" s="9" t="s">
        <v>158</v>
      </c>
      <c r="J1395" s="10">
        <v>168</v>
      </c>
      <c r="K1395" s="10">
        <v>168.1</v>
      </c>
      <c r="L1395" s="10">
        <v>148</v>
      </c>
      <c r="M1395" s="10">
        <v>156</v>
      </c>
      <c r="N1395" s="10">
        <v>123</v>
      </c>
      <c r="O1395" s="10">
        <v>75</v>
      </c>
      <c r="P1395" s="10">
        <v>104</v>
      </c>
      <c r="Q1395" s="10">
        <v>15.5</v>
      </c>
      <c r="R1395" s="10">
        <v>1802</v>
      </c>
      <c r="S1395" s="10">
        <v>0.83</v>
      </c>
      <c r="T1395" s="10">
        <v>1497</v>
      </c>
      <c r="U1395" s="10">
        <v>176</v>
      </c>
      <c r="V1395" s="10">
        <v>76</v>
      </c>
      <c r="W1395" s="10">
        <v>36</v>
      </c>
      <c r="X1395" s="10">
        <v>147</v>
      </c>
      <c r="Y1395" s="10">
        <v>5</v>
      </c>
      <c r="Z1395" s="10">
        <v>54</v>
      </c>
      <c r="AA1395" s="10">
        <v>0.127</v>
      </c>
      <c r="AB1395" s="10">
        <v>75</v>
      </c>
      <c r="AC1395" s="10">
        <v>51</v>
      </c>
      <c r="AD1395" s="10">
        <v>72</v>
      </c>
      <c r="AE1395" s="10">
        <v>8</v>
      </c>
      <c r="AF1395" s="10">
        <v>13.1</v>
      </c>
      <c r="AG1395" s="9" t="s">
        <v>349</v>
      </c>
      <c r="AH1395" s="10"/>
      <c r="AI1395" s="10"/>
      <c r="AJ1395" s="10"/>
      <c r="AK1395" s="30"/>
    </row>
    <row r="1396" spans="5:37">
      <c r="E1396" s="28" t="s">
        <v>155</v>
      </c>
      <c r="F1396" s="8" t="s">
        <v>229</v>
      </c>
      <c r="G1396" s="9" t="s">
        <v>477</v>
      </c>
      <c r="H1396" s="10">
        <v>175</v>
      </c>
      <c r="I1396" s="9" t="s">
        <v>158</v>
      </c>
      <c r="J1396" s="10">
        <v>175</v>
      </c>
      <c r="K1396" s="10">
        <v>175.5</v>
      </c>
      <c r="L1396" s="10">
        <v>156</v>
      </c>
      <c r="M1396" s="10">
        <v>163</v>
      </c>
      <c r="N1396" s="10">
        <v>123</v>
      </c>
      <c r="O1396" s="10">
        <v>75</v>
      </c>
      <c r="P1396" s="10">
        <v>104</v>
      </c>
      <c r="Q1396" s="10">
        <v>17</v>
      </c>
      <c r="R1396" s="10">
        <v>1931</v>
      </c>
      <c r="S1396" s="10">
        <v>0.81</v>
      </c>
      <c r="T1396" s="10">
        <v>1565</v>
      </c>
      <c r="U1396" s="10">
        <v>204</v>
      </c>
      <c r="V1396" s="10">
        <v>87</v>
      </c>
      <c r="W1396" s="10">
        <v>35</v>
      </c>
      <c r="X1396" s="10">
        <v>141</v>
      </c>
      <c r="Y1396" s="10">
        <v>5</v>
      </c>
      <c r="Z1396" s="10">
        <v>52</v>
      </c>
      <c r="AA1396" s="10">
        <v>0.127</v>
      </c>
      <c r="AB1396" s="10">
        <v>73</v>
      </c>
      <c r="AC1396" s="10">
        <v>49</v>
      </c>
      <c r="AD1396" s="10">
        <v>67</v>
      </c>
      <c r="AE1396" s="10">
        <v>9</v>
      </c>
      <c r="AF1396" s="10">
        <v>12.7</v>
      </c>
      <c r="AG1396" s="9" t="s">
        <v>349</v>
      </c>
      <c r="AH1396" s="10"/>
      <c r="AI1396" s="10"/>
      <c r="AJ1396" s="10"/>
      <c r="AK1396" s="30"/>
    </row>
    <row r="1397" spans="5:37">
      <c r="E1397" s="28" t="s">
        <v>155</v>
      </c>
      <c r="F1397" s="8" t="s">
        <v>229</v>
      </c>
      <c r="G1397" s="9" t="s">
        <v>716</v>
      </c>
      <c r="H1397" s="10">
        <v>147</v>
      </c>
      <c r="I1397" s="9" t="s">
        <v>163</v>
      </c>
      <c r="J1397" s="10">
        <v>147</v>
      </c>
      <c r="K1397" s="10">
        <v>148</v>
      </c>
      <c r="L1397" s="10">
        <v>130</v>
      </c>
      <c r="M1397" s="10">
        <v>136</v>
      </c>
      <c r="N1397" s="10">
        <v>125</v>
      </c>
      <c r="O1397" s="10">
        <v>74</v>
      </c>
      <c r="P1397" s="10">
        <v>104</v>
      </c>
      <c r="Q1397" s="10">
        <v>11.3</v>
      </c>
      <c r="R1397" s="10">
        <v>1633</v>
      </c>
      <c r="S1397" s="10">
        <v>0.81</v>
      </c>
      <c r="T1397" s="10">
        <v>1324</v>
      </c>
      <c r="U1397" s="10">
        <v>158</v>
      </c>
      <c r="V1397" s="10">
        <v>61</v>
      </c>
      <c r="W1397" s="10">
        <v>33</v>
      </c>
      <c r="X1397" s="10">
        <v>124</v>
      </c>
      <c r="Y1397" s="10">
        <v>5</v>
      </c>
      <c r="Z1397" s="10">
        <v>53</v>
      </c>
      <c r="AA1397" s="10">
        <v>0.16300000000000001</v>
      </c>
      <c r="AB1397" s="10">
        <v>65</v>
      </c>
      <c r="AC1397" s="10">
        <v>57</v>
      </c>
      <c r="AD1397" s="10">
        <v>59</v>
      </c>
      <c r="AE1397" s="10">
        <v>6</v>
      </c>
      <c r="AF1397" s="10">
        <v>11.4</v>
      </c>
      <c r="AG1397" s="9" t="s">
        <v>349</v>
      </c>
      <c r="AH1397" s="10"/>
      <c r="AI1397" s="10"/>
      <c r="AJ1397" s="10"/>
      <c r="AK1397" s="30"/>
    </row>
    <row r="1398" spans="5:37">
      <c r="E1398" s="28" t="s">
        <v>155</v>
      </c>
      <c r="F1398" s="8" t="s">
        <v>229</v>
      </c>
      <c r="G1398" s="9" t="s">
        <v>716</v>
      </c>
      <c r="H1398" s="10">
        <v>154</v>
      </c>
      <c r="I1398" s="9" t="s">
        <v>163</v>
      </c>
      <c r="J1398" s="10">
        <v>154</v>
      </c>
      <c r="K1398" s="10">
        <v>153</v>
      </c>
      <c r="L1398" s="10">
        <v>135</v>
      </c>
      <c r="M1398" s="10">
        <v>140</v>
      </c>
      <c r="N1398" s="10">
        <v>125</v>
      </c>
      <c r="O1398" s="10">
        <v>74</v>
      </c>
      <c r="P1398" s="10">
        <v>104</v>
      </c>
      <c r="Q1398" s="10">
        <v>12.2</v>
      </c>
      <c r="R1398" s="10">
        <v>1683</v>
      </c>
      <c r="S1398" s="10">
        <v>0.81</v>
      </c>
      <c r="T1398" s="10">
        <v>1365</v>
      </c>
      <c r="U1398" s="10">
        <v>166</v>
      </c>
      <c r="V1398" s="10">
        <v>63</v>
      </c>
      <c r="W1398" s="10">
        <v>33</v>
      </c>
      <c r="X1398" s="10">
        <v>122</v>
      </c>
      <c r="Y1398" s="10">
        <v>5</v>
      </c>
      <c r="Z1398" s="10">
        <v>54</v>
      </c>
      <c r="AA1398" s="10">
        <v>0.13600000000000001</v>
      </c>
      <c r="AB1398" s="10">
        <v>69</v>
      </c>
      <c r="AC1398" s="10">
        <v>59</v>
      </c>
      <c r="AD1398" s="10">
        <v>53</v>
      </c>
      <c r="AE1398" s="10">
        <v>7</v>
      </c>
      <c r="AF1398" s="10">
        <v>11.4</v>
      </c>
      <c r="AG1398" s="9" t="s">
        <v>349</v>
      </c>
      <c r="AH1398" s="10"/>
      <c r="AI1398" s="10"/>
      <c r="AJ1398" s="10"/>
      <c r="AK1398" s="30"/>
    </row>
    <row r="1399" spans="5:37">
      <c r="E1399" s="28" t="s">
        <v>155</v>
      </c>
      <c r="F1399" s="8" t="s">
        <v>229</v>
      </c>
      <c r="G1399" s="9" t="s">
        <v>716</v>
      </c>
      <c r="H1399" s="10">
        <v>161</v>
      </c>
      <c r="I1399" s="9" t="s">
        <v>163</v>
      </c>
      <c r="J1399" s="10">
        <v>161</v>
      </c>
      <c r="K1399" s="10">
        <v>160.5</v>
      </c>
      <c r="L1399" s="10">
        <v>141</v>
      </c>
      <c r="M1399" s="10">
        <v>148</v>
      </c>
      <c r="N1399" s="10">
        <v>125</v>
      </c>
      <c r="O1399" s="10">
        <v>74</v>
      </c>
      <c r="P1399" s="10">
        <v>105</v>
      </c>
      <c r="Q1399" s="10">
        <v>13.6</v>
      </c>
      <c r="R1399" s="10">
        <v>1793</v>
      </c>
      <c r="S1399" s="10">
        <v>0.8</v>
      </c>
      <c r="T1399" s="10">
        <v>1433</v>
      </c>
      <c r="U1399" s="10">
        <v>162</v>
      </c>
      <c r="V1399" s="10">
        <v>69</v>
      </c>
      <c r="W1399" s="10">
        <v>35</v>
      </c>
      <c r="X1399" s="10">
        <v>133</v>
      </c>
      <c r="Y1399" s="10">
        <v>5</v>
      </c>
      <c r="Z1399" s="10">
        <v>61</v>
      </c>
      <c r="AA1399" s="10">
        <v>0.14699999999999999</v>
      </c>
      <c r="AB1399" s="10">
        <v>71</v>
      </c>
      <c r="AC1399" s="10">
        <v>58</v>
      </c>
      <c r="AD1399" s="10">
        <v>62</v>
      </c>
      <c r="AE1399" s="10">
        <v>4</v>
      </c>
      <c r="AF1399" s="10">
        <v>11.7</v>
      </c>
      <c r="AG1399" s="9" t="s">
        <v>349</v>
      </c>
      <c r="AH1399" s="10"/>
      <c r="AI1399" s="10"/>
      <c r="AJ1399" s="10"/>
      <c r="AK1399" s="30"/>
    </row>
    <row r="1400" spans="5:37">
      <c r="E1400" s="28" t="s">
        <v>155</v>
      </c>
      <c r="F1400" s="8" t="s">
        <v>229</v>
      </c>
      <c r="G1400" s="9" t="s">
        <v>725</v>
      </c>
      <c r="H1400" s="10">
        <v>149</v>
      </c>
      <c r="I1400" s="9" t="s">
        <v>163</v>
      </c>
      <c r="J1400" s="10">
        <v>149</v>
      </c>
      <c r="K1400" s="10">
        <v>149.4</v>
      </c>
      <c r="L1400" s="10">
        <v>106</v>
      </c>
      <c r="M1400" s="10">
        <v>138</v>
      </c>
      <c r="N1400" s="10">
        <v>128</v>
      </c>
      <c r="O1400" s="10">
        <v>79</v>
      </c>
      <c r="P1400" s="10">
        <v>109</v>
      </c>
      <c r="Q1400" s="10">
        <v>11.9</v>
      </c>
      <c r="R1400" s="10">
        <v>1397</v>
      </c>
      <c r="S1400" s="10">
        <v>1</v>
      </c>
      <c r="T1400" s="10">
        <v>1393</v>
      </c>
      <c r="U1400" s="10">
        <v>140</v>
      </c>
      <c r="V1400" s="10">
        <v>51</v>
      </c>
      <c r="W1400" s="10">
        <v>37</v>
      </c>
      <c r="X1400" s="10">
        <v>229</v>
      </c>
      <c r="Y1400" s="10">
        <v>7</v>
      </c>
      <c r="Z1400" s="10">
        <v>204</v>
      </c>
      <c r="AA1400" s="10">
        <v>0.18099999999999999</v>
      </c>
      <c r="AB1400" s="10">
        <v>67</v>
      </c>
      <c r="AC1400" s="10">
        <v>47</v>
      </c>
      <c r="AD1400" s="10">
        <v>161</v>
      </c>
      <c r="AE1400" s="10">
        <v>3</v>
      </c>
      <c r="AF1400" s="10">
        <v>11.4</v>
      </c>
      <c r="AG1400" s="9" t="s">
        <v>160</v>
      </c>
      <c r="AH1400" s="10"/>
      <c r="AI1400" s="10"/>
      <c r="AJ1400" s="10"/>
      <c r="AK1400" s="30"/>
    </row>
    <row r="1401" spans="5:37">
      <c r="E1401" s="28" t="s">
        <v>155</v>
      </c>
      <c r="F1401" s="8" t="s">
        <v>229</v>
      </c>
      <c r="G1401" s="9" t="s">
        <v>725</v>
      </c>
      <c r="H1401" s="10">
        <v>156</v>
      </c>
      <c r="I1401" s="9" t="s">
        <v>163</v>
      </c>
      <c r="J1401" s="10">
        <v>156</v>
      </c>
      <c r="K1401" s="10">
        <v>154.69999999999999</v>
      </c>
      <c r="L1401" s="10">
        <v>136</v>
      </c>
      <c r="M1401" s="10">
        <v>143</v>
      </c>
      <c r="N1401" s="10">
        <v>128</v>
      </c>
      <c r="O1401" s="10">
        <v>79</v>
      </c>
      <c r="P1401" s="10">
        <v>109</v>
      </c>
      <c r="Q1401" s="10">
        <v>12.8</v>
      </c>
      <c r="R1401" s="10">
        <v>1452</v>
      </c>
      <c r="S1401" s="10">
        <v>0.99</v>
      </c>
      <c r="T1401" s="10">
        <v>1442</v>
      </c>
      <c r="U1401" s="10">
        <v>150</v>
      </c>
      <c r="V1401" s="10">
        <v>62</v>
      </c>
      <c r="W1401" s="10">
        <v>36</v>
      </c>
      <c r="X1401" s="10">
        <v>133</v>
      </c>
      <c r="Y1401" s="10">
        <v>5</v>
      </c>
      <c r="Z1401" s="10">
        <v>56</v>
      </c>
      <c r="AA1401" s="10">
        <v>0.14599999999999999</v>
      </c>
      <c r="AB1401" s="10">
        <v>68</v>
      </c>
      <c r="AC1401" s="10">
        <v>49</v>
      </c>
      <c r="AD1401" s="10">
        <v>65</v>
      </c>
      <c r="AE1401" s="10">
        <v>6</v>
      </c>
      <c r="AF1401" s="10">
        <v>10.8</v>
      </c>
      <c r="AG1401" s="9" t="s">
        <v>349</v>
      </c>
      <c r="AH1401" s="10"/>
      <c r="AI1401" s="10"/>
      <c r="AJ1401" s="10"/>
      <c r="AK1401" s="30"/>
    </row>
    <row r="1402" spans="5:37">
      <c r="E1402" s="28" t="s">
        <v>155</v>
      </c>
      <c r="F1402" s="8" t="s">
        <v>229</v>
      </c>
      <c r="G1402" s="9" t="s">
        <v>725</v>
      </c>
      <c r="H1402" s="10">
        <v>163</v>
      </c>
      <c r="I1402" s="9" t="s">
        <v>163</v>
      </c>
      <c r="J1402" s="10">
        <v>163</v>
      </c>
      <c r="K1402" s="10">
        <v>162.1</v>
      </c>
      <c r="L1402" s="10">
        <v>131</v>
      </c>
      <c r="M1402" s="10">
        <v>150</v>
      </c>
      <c r="N1402" s="10">
        <v>128</v>
      </c>
      <c r="O1402" s="10">
        <v>79</v>
      </c>
      <c r="P1402" s="10">
        <v>109</v>
      </c>
      <c r="Q1402" s="10">
        <v>14.1</v>
      </c>
      <c r="R1402" s="10">
        <v>1630</v>
      </c>
      <c r="S1402" s="10">
        <v>0.93</v>
      </c>
      <c r="T1402" s="10">
        <v>1512</v>
      </c>
      <c r="U1402" s="10">
        <v>172</v>
      </c>
      <c r="V1402" s="10">
        <v>70</v>
      </c>
      <c r="W1402" s="10">
        <v>37</v>
      </c>
      <c r="X1402" s="10">
        <v>188</v>
      </c>
      <c r="Y1402" s="10">
        <v>6</v>
      </c>
      <c r="Z1402" s="10">
        <v>118</v>
      </c>
      <c r="AA1402" s="10">
        <v>0.17299999999999999</v>
      </c>
      <c r="AB1402" s="10">
        <v>72</v>
      </c>
      <c r="AC1402" s="10">
        <v>49</v>
      </c>
      <c r="AD1402" s="10">
        <v>116</v>
      </c>
      <c r="AE1402" s="10">
        <v>5</v>
      </c>
      <c r="AF1402" s="10">
        <v>10.9</v>
      </c>
      <c r="AG1402" s="9" t="s">
        <v>160</v>
      </c>
      <c r="AH1402" s="10"/>
      <c r="AI1402" s="10"/>
      <c r="AJ1402" s="10"/>
      <c r="AK1402" s="30"/>
    </row>
    <row r="1403" spans="5:37">
      <c r="E1403" s="28" t="s">
        <v>155</v>
      </c>
      <c r="F1403" s="8" t="s">
        <v>229</v>
      </c>
      <c r="G1403" s="9" t="s">
        <v>651</v>
      </c>
      <c r="H1403" s="10">
        <v>150</v>
      </c>
      <c r="I1403" s="9" t="s">
        <v>163</v>
      </c>
      <c r="J1403" s="10">
        <v>150</v>
      </c>
      <c r="K1403" s="10">
        <v>149.30000000000001</v>
      </c>
      <c r="L1403" s="10">
        <v>128</v>
      </c>
      <c r="M1403" s="10">
        <v>135</v>
      </c>
      <c r="N1403" s="10">
        <v>122</v>
      </c>
      <c r="O1403" s="10">
        <v>70</v>
      </c>
      <c r="P1403" s="10">
        <v>103</v>
      </c>
      <c r="Q1403" s="10">
        <v>10.4</v>
      </c>
      <c r="R1403" s="10">
        <v>1572</v>
      </c>
      <c r="S1403" s="10">
        <v>0.82</v>
      </c>
      <c r="T1403" s="10">
        <v>1282</v>
      </c>
      <c r="U1403" s="10">
        <v>199</v>
      </c>
      <c r="V1403" s="10">
        <v>69</v>
      </c>
      <c r="W1403" s="10">
        <v>41</v>
      </c>
      <c r="X1403" s="10">
        <v>163</v>
      </c>
      <c r="Y1403" s="10">
        <v>6</v>
      </c>
      <c r="Z1403" s="10">
        <v>55</v>
      </c>
      <c r="AA1403" s="10">
        <v>0.14599999999999999</v>
      </c>
      <c r="AB1403" s="10">
        <v>70</v>
      </c>
      <c r="AC1403" s="10">
        <v>75</v>
      </c>
      <c r="AD1403" s="10">
        <v>93</v>
      </c>
      <c r="AE1403" s="10">
        <v>4</v>
      </c>
      <c r="AF1403" s="10">
        <v>12.4</v>
      </c>
      <c r="AG1403" s="9" t="s">
        <v>349</v>
      </c>
      <c r="AH1403" s="10"/>
      <c r="AI1403" s="10"/>
      <c r="AJ1403" s="10"/>
      <c r="AK1403" s="30"/>
    </row>
    <row r="1404" spans="5:37">
      <c r="E1404" s="28" t="s">
        <v>155</v>
      </c>
      <c r="F1404" s="8" t="s">
        <v>229</v>
      </c>
      <c r="G1404" s="9" t="s">
        <v>651</v>
      </c>
      <c r="H1404" s="10">
        <v>155</v>
      </c>
      <c r="I1404" s="9" t="s">
        <v>163</v>
      </c>
      <c r="J1404" s="10">
        <v>155</v>
      </c>
      <c r="K1404" s="10">
        <v>154.5</v>
      </c>
      <c r="L1404" s="10">
        <v>132</v>
      </c>
      <c r="M1404" s="10">
        <v>140</v>
      </c>
      <c r="N1404" s="10">
        <v>123</v>
      </c>
      <c r="O1404" s="10">
        <v>70</v>
      </c>
      <c r="P1404" s="10">
        <v>103</v>
      </c>
      <c r="Q1404" s="10">
        <v>11.4</v>
      </c>
      <c r="R1404" s="10">
        <v>1587</v>
      </c>
      <c r="S1404" s="10">
        <v>0.84</v>
      </c>
      <c r="T1404" s="10">
        <v>1328</v>
      </c>
      <c r="U1404" s="10">
        <v>193</v>
      </c>
      <c r="V1404" s="10">
        <v>71</v>
      </c>
      <c r="W1404" s="10">
        <v>47</v>
      </c>
      <c r="X1404" s="10">
        <v>168</v>
      </c>
      <c r="Y1404" s="10">
        <v>6</v>
      </c>
      <c r="Z1404" s="10">
        <v>57</v>
      </c>
      <c r="AA1404" s="10">
        <v>0.129</v>
      </c>
      <c r="AB1404" s="10">
        <v>70</v>
      </c>
      <c r="AC1404" s="10">
        <v>77</v>
      </c>
      <c r="AD1404" s="10">
        <v>98</v>
      </c>
      <c r="AE1404" s="10">
        <v>4</v>
      </c>
      <c r="AF1404" s="10">
        <v>13.1</v>
      </c>
      <c r="AG1404" s="9" t="s">
        <v>349</v>
      </c>
      <c r="AH1404" s="10"/>
      <c r="AI1404" s="10"/>
      <c r="AJ1404" s="10"/>
      <c r="AK1404" s="30"/>
    </row>
    <row r="1405" spans="5:37">
      <c r="E1405" s="28" t="s">
        <v>155</v>
      </c>
      <c r="F1405" s="8" t="s">
        <v>229</v>
      </c>
      <c r="G1405" s="9" t="s">
        <v>651</v>
      </c>
      <c r="H1405" s="10">
        <v>160</v>
      </c>
      <c r="I1405" s="9" t="s">
        <v>163</v>
      </c>
      <c r="J1405" s="10">
        <v>160</v>
      </c>
      <c r="K1405" s="10">
        <v>159.6</v>
      </c>
      <c r="L1405" s="10">
        <v>137</v>
      </c>
      <c r="M1405" s="10">
        <v>144</v>
      </c>
      <c r="N1405" s="10">
        <v>122</v>
      </c>
      <c r="O1405" s="10">
        <v>70</v>
      </c>
      <c r="P1405" s="10">
        <v>102</v>
      </c>
      <c r="Q1405" s="10">
        <v>12.2</v>
      </c>
      <c r="R1405" s="10">
        <v>1647</v>
      </c>
      <c r="S1405" s="10">
        <v>0.83</v>
      </c>
      <c r="T1405" s="10">
        <v>1370</v>
      </c>
      <c r="U1405" s="10">
        <v>203</v>
      </c>
      <c r="V1405" s="10">
        <v>71</v>
      </c>
      <c r="W1405" s="10">
        <v>42</v>
      </c>
      <c r="X1405" s="10">
        <v>166</v>
      </c>
      <c r="Y1405" s="10">
        <v>7</v>
      </c>
      <c r="Z1405" s="10">
        <v>56</v>
      </c>
      <c r="AA1405" s="10">
        <v>0.157</v>
      </c>
      <c r="AB1405" s="10">
        <v>72</v>
      </c>
      <c r="AC1405" s="10">
        <v>79</v>
      </c>
      <c r="AD1405" s="10">
        <v>94</v>
      </c>
      <c r="AE1405" s="10">
        <v>4</v>
      </c>
      <c r="AF1405" s="10">
        <v>11.5</v>
      </c>
      <c r="AG1405" s="9" t="s">
        <v>349</v>
      </c>
      <c r="AH1405" s="10"/>
      <c r="AI1405" s="10"/>
      <c r="AJ1405" s="10"/>
      <c r="AK1405" s="30"/>
    </row>
    <row r="1406" spans="5:37">
      <c r="E1406" s="28" t="s">
        <v>155</v>
      </c>
      <c r="F1406" s="8" t="s">
        <v>229</v>
      </c>
      <c r="G1406" s="9" t="s">
        <v>230</v>
      </c>
      <c r="H1406" s="10">
        <v>161</v>
      </c>
      <c r="I1406" s="9" t="s">
        <v>158</v>
      </c>
      <c r="J1406" s="10">
        <v>161</v>
      </c>
      <c r="K1406" s="10">
        <v>161.19999999999999</v>
      </c>
      <c r="L1406" s="10">
        <v>115</v>
      </c>
      <c r="M1406" s="10">
        <v>137</v>
      </c>
      <c r="N1406" s="10">
        <v>124</v>
      </c>
      <c r="O1406" s="10">
        <v>83</v>
      </c>
      <c r="P1406" s="10">
        <v>106</v>
      </c>
      <c r="Q1406" s="10">
        <v>14.2</v>
      </c>
      <c r="R1406" s="10">
        <v>1402</v>
      </c>
      <c r="S1406" s="10">
        <v>1.1100000000000001</v>
      </c>
      <c r="T1406" s="10">
        <v>1549</v>
      </c>
      <c r="U1406" s="10">
        <v>176</v>
      </c>
      <c r="V1406" s="10">
        <v>70</v>
      </c>
      <c r="W1406" s="10">
        <v>38</v>
      </c>
      <c r="X1406" s="10">
        <v>279</v>
      </c>
      <c r="Y1406" s="10">
        <v>13</v>
      </c>
      <c r="Z1406" s="10">
        <v>185</v>
      </c>
      <c r="AA1406" s="10">
        <v>0.34899999999999998</v>
      </c>
      <c r="AB1406" s="10">
        <v>132</v>
      </c>
      <c r="AC1406" s="10">
        <v>108</v>
      </c>
      <c r="AD1406" s="10">
        <v>147</v>
      </c>
      <c r="AE1406" s="10">
        <v>3</v>
      </c>
      <c r="AF1406" s="10">
        <v>11.8</v>
      </c>
      <c r="AG1406" s="9" t="s">
        <v>231</v>
      </c>
      <c r="AH1406" s="9" t="s">
        <v>188</v>
      </c>
      <c r="AI1406" s="9" t="s">
        <v>185</v>
      </c>
      <c r="AJ1406" s="10"/>
      <c r="AK1406" s="30"/>
    </row>
    <row r="1407" spans="5:37">
      <c r="E1407" s="28" t="s">
        <v>155</v>
      </c>
      <c r="F1407" s="8" t="s">
        <v>229</v>
      </c>
      <c r="G1407" s="9" t="s">
        <v>230</v>
      </c>
      <c r="H1407" s="10">
        <v>168</v>
      </c>
      <c r="I1407" s="9" t="s">
        <v>158</v>
      </c>
      <c r="J1407" s="10">
        <v>168</v>
      </c>
      <c r="K1407" s="10">
        <v>168.7</v>
      </c>
      <c r="L1407" s="10">
        <v>132</v>
      </c>
      <c r="M1407" s="10">
        <v>145</v>
      </c>
      <c r="N1407" s="10">
        <v>124</v>
      </c>
      <c r="O1407" s="10">
        <v>83</v>
      </c>
      <c r="P1407" s="10">
        <v>106</v>
      </c>
      <c r="Q1407" s="10">
        <v>15.8</v>
      </c>
      <c r="R1407" s="10">
        <v>1495</v>
      </c>
      <c r="S1407" s="10">
        <v>1.0900000000000001</v>
      </c>
      <c r="T1407" s="10">
        <v>1623</v>
      </c>
      <c r="U1407" s="10">
        <v>185</v>
      </c>
      <c r="V1407" s="10">
        <v>70</v>
      </c>
      <c r="W1407" s="10">
        <v>36</v>
      </c>
      <c r="X1407" s="10">
        <v>229</v>
      </c>
      <c r="Y1407" s="10">
        <v>13</v>
      </c>
      <c r="Z1407" s="10">
        <v>141</v>
      </c>
      <c r="AA1407" s="10">
        <v>0.34799999999999998</v>
      </c>
      <c r="AB1407" s="10">
        <v>134</v>
      </c>
      <c r="AC1407" s="10">
        <v>107</v>
      </c>
      <c r="AD1407" s="10">
        <v>95</v>
      </c>
      <c r="AE1407" s="10">
        <v>3</v>
      </c>
      <c r="AF1407" s="10">
        <v>11.6</v>
      </c>
      <c r="AG1407" s="9" t="s">
        <v>231</v>
      </c>
      <c r="AH1407" s="9" t="s">
        <v>188</v>
      </c>
      <c r="AI1407" s="9" t="s">
        <v>185</v>
      </c>
      <c r="AJ1407" s="10"/>
      <c r="AK1407" s="30"/>
    </row>
    <row r="1408" spans="5:37">
      <c r="E1408" s="28" t="s">
        <v>155</v>
      </c>
      <c r="F1408" s="8" t="s">
        <v>229</v>
      </c>
      <c r="G1408" s="9" t="s">
        <v>230</v>
      </c>
      <c r="H1408" s="10">
        <v>175</v>
      </c>
      <c r="I1408" s="9" t="s">
        <v>158</v>
      </c>
      <c r="J1408" s="10">
        <v>175</v>
      </c>
      <c r="K1408" s="10">
        <v>176.1</v>
      </c>
      <c r="L1408" s="10">
        <v>131</v>
      </c>
      <c r="M1408" s="10">
        <v>152</v>
      </c>
      <c r="N1408" s="10">
        <v>124</v>
      </c>
      <c r="O1408" s="10">
        <v>83</v>
      </c>
      <c r="P1408" s="10">
        <v>106</v>
      </c>
      <c r="Q1408" s="10">
        <v>17.5</v>
      </c>
      <c r="R1408" s="10">
        <v>1609</v>
      </c>
      <c r="S1408" s="10">
        <v>1.05</v>
      </c>
      <c r="T1408" s="10">
        <v>1691</v>
      </c>
      <c r="U1408" s="10">
        <v>194</v>
      </c>
      <c r="V1408" s="10">
        <v>75</v>
      </c>
      <c r="W1408" s="10">
        <v>38</v>
      </c>
      <c r="X1408" s="10">
        <v>290</v>
      </c>
      <c r="Y1408" s="10">
        <v>12</v>
      </c>
      <c r="Z1408" s="10">
        <v>161</v>
      </c>
      <c r="AA1408" s="10">
        <v>0.31900000000000001</v>
      </c>
      <c r="AB1408" s="10">
        <v>135</v>
      </c>
      <c r="AC1408" s="10">
        <v>106</v>
      </c>
      <c r="AD1408" s="10">
        <v>155</v>
      </c>
      <c r="AE1408" s="10">
        <v>2</v>
      </c>
      <c r="AF1408" s="10">
        <v>11.7</v>
      </c>
      <c r="AG1408" s="9" t="s">
        <v>231</v>
      </c>
      <c r="AH1408" s="9" t="s">
        <v>188</v>
      </c>
      <c r="AI1408" s="9" t="s">
        <v>185</v>
      </c>
      <c r="AJ1408" s="10"/>
      <c r="AK1408" s="30"/>
    </row>
    <row r="1409" spans="5:37">
      <c r="E1409" s="28" t="s">
        <v>155</v>
      </c>
      <c r="F1409" s="8" t="s">
        <v>229</v>
      </c>
      <c r="G1409" s="9" t="s">
        <v>230</v>
      </c>
      <c r="H1409" s="10">
        <v>182</v>
      </c>
      <c r="I1409" s="9" t="s">
        <v>158</v>
      </c>
      <c r="J1409" s="10">
        <v>182</v>
      </c>
      <c r="K1409" s="10">
        <v>183.5</v>
      </c>
      <c r="L1409" s="10">
        <v>157</v>
      </c>
      <c r="M1409" s="10">
        <v>160</v>
      </c>
      <c r="N1409" s="10">
        <v>124</v>
      </c>
      <c r="O1409" s="10">
        <v>83</v>
      </c>
      <c r="P1409" s="10">
        <v>106</v>
      </c>
      <c r="Q1409" s="10">
        <v>19.399999999999999</v>
      </c>
      <c r="R1409" s="10">
        <v>1668</v>
      </c>
      <c r="S1409" s="10">
        <v>1.06</v>
      </c>
      <c r="T1409" s="10">
        <v>1763</v>
      </c>
      <c r="U1409" s="10">
        <v>196</v>
      </c>
      <c r="V1409" s="10">
        <v>76</v>
      </c>
      <c r="W1409" s="10">
        <v>34</v>
      </c>
      <c r="X1409" s="10">
        <v>166</v>
      </c>
      <c r="Y1409" s="10">
        <v>12</v>
      </c>
      <c r="Z1409" s="10">
        <v>96</v>
      </c>
      <c r="AA1409" s="10">
        <v>0.35</v>
      </c>
      <c r="AB1409" s="10">
        <v>132</v>
      </c>
      <c r="AC1409" s="10">
        <v>104</v>
      </c>
      <c r="AD1409" s="10">
        <v>34</v>
      </c>
      <c r="AE1409" s="10">
        <v>4</v>
      </c>
      <c r="AF1409" s="10">
        <v>11.8</v>
      </c>
      <c r="AG1409" s="9" t="s">
        <v>231</v>
      </c>
      <c r="AH1409" s="9" t="s">
        <v>188</v>
      </c>
      <c r="AI1409" s="9" t="s">
        <v>185</v>
      </c>
      <c r="AJ1409" s="10"/>
      <c r="AK1409" s="30"/>
    </row>
    <row r="1410" spans="5:37">
      <c r="E1410" s="28" t="s">
        <v>155</v>
      </c>
      <c r="F1410" s="8" t="s">
        <v>229</v>
      </c>
      <c r="G1410" s="9" t="s">
        <v>861</v>
      </c>
      <c r="H1410" s="10">
        <v>170</v>
      </c>
      <c r="I1410" s="9" t="s">
        <v>158</v>
      </c>
      <c r="J1410" s="10">
        <v>170</v>
      </c>
      <c r="K1410" s="10">
        <v>170.7</v>
      </c>
      <c r="L1410" s="10">
        <v>114</v>
      </c>
      <c r="M1410" s="10">
        <v>147</v>
      </c>
      <c r="N1410" s="10">
        <v>145</v>
      </c>
      <c r="O1410" s="10">
        <v>107</v>
      </c>
      <c r="P1410" s="10">
        <v>128</v>
      </c>
      <c r="Q1410" s="10">
        <v>17.5</v>
      </c>
      <c r="R1410" s="10">
        <v>2106</v>
      </c>
      <c r="S1410" s="10">
        <v>0.96</v>
      </c>
      <c r="T1410" s="10">
        <v>2025</v>
      </c>
      <c r="U1410" s="10">
        <v>232</v>
      </c>
      <c r="V1410" s="10">
        <v>158</v>
      </c>
      <c r="W1410" s="10">
        <v>52</v>
      </c>
      <c r="X1410" s="10">
        <v>337</v>
      </c>
      <c r="Y1410" s="10">
        <v>17</v>
      </c>
      <c r="Z1410" s="10">
        <v>228</v>
      </c>
      <c r="AA1410" s="10">
        <v>0.32700000000000001</v>
      </c>
      <c r="AB1410" s="10">
        <v>136</v>
      </c>
      <c r="AC1410" s="10">
        <v>100</v>
      </c>
      <c r="AD1410" s="10">
        <v>201</v>
      </c>
      <c r="AE1410" s="10">
        <v>3</v>
      </c>
      <c r="AF1410" s="10">
        <v>11.7</v>
      </c>
      <c r="AG1410" s="9" t="s">
        <v>178</v>
      </c>
      <c r="AH1410" s="10"/>
      <c r="AI1410" s="10"/>
      <c r="AJ1410" s="10"/>
      <c r="AK1410" s="30"/>
    </row>
    <row r="1411" spans="5:37">
      <c r="E1411" s="28" t="s">
        <v>155</v>
      </c>
      <c r="F1411" s="8" t="s">
        <v>229</v>
      </c>
      <c r="G1411" s="9" t="s">
        <v>861</v>
      </c>
      <c r="H1411" s="10">
        <v>177</v>
      </c>
      <c r="I1411" s="9" t="s">
        <v>158</v>
      </c>
      <c r="J1411" s="10">
        <v>177</v>
      </c>
      <c r="K1411" s="10">
        <v>178.1</v>
      </c>
      <c r="L1411" s="10">
        <v>135</v>
      </c>
      <c r="M1411" s="10">
        <v>155</v>
      </c>
      <c r="N1411" s="10">
        <v>145</v>
      </c>
      <c r="O1411" s="10">
        <v>107</v>
      </c>
      <c r="P1411" s="10">
        <v>128</v>
      </c>
      <c r="Q1411" s="10">
        <v>19.399999999999999</v>
      </c>
      <c r="R1411" s="10">
        <v>2237</v>
      </c>
      <c r="S1411" s="10">
        <v>0.95</v>
      </c>
      <c r="T1411" s="10">
        <v>2115</v>
      </c>
      <c r="U1411" s="10">
        <v>229</v>
      </c>
      <c r="V1411" s="10">
        <v>162</v>
      </c>
      <c r="W1411" s="10">
        <v>49</v>
      </c>
      <c r="X1411" s="10">
        <v>249</v>
      </c>
      <c r="Y1411" s="10">
        <v>17</v>
      </c>
      <c r="Z1411" s="10">
        <v>184</v>
      </c>
      <c r="AA1411" s="10">
        <v>0.35</v>
      </c>
      <c r="AB1411" s="10">
        <v>131</v>
      </c>
      <c r="AC1411" s="10">
        <v>104</v>
      </c>
      <c r="AD1411" s="10">
        <v>118</v>
      </c>
      <c r="AE1411" s="10">
        <v>4</v>
      </c>
      <c r="AF1411" s="10">
        <v>11.5</v>
      </c>
      <c r="AG1411" s="9" t="s">
        <v>169</v>
      </c>
      <c r="AH1411" s="9" t="s">
        <v>178</v>
      </c>
      <c r="AI1411" s="10"/>
      <c r="AJ1411" s="10"/>
      <c r="AK1411" s="30"/>
    </row>
    <row r="1412" spans="5:37">
      <c r="E1412" s="28" t="s">
        <v>155</v>
      </c>
      <c r="F1412" s="8" t="s">
        <v>229</v>
      </c>
      <c r="G1412" s="9" t="s">
        <v>861</v>
      </c>
      <c r="H1412" s="10">
        <v>184</v>
      </c>
      <c r="I1412" s="9" t="s">
        <v>158</v>
      </c>
      <c r="J1412" s="10">
        <v>184</v>
      </c>
      <c r="K1412" s="10">
        <v>183.1</v>
      </c>
      <c r="L1412" s="10">
        <v>129</v>
      </c>
      <c r="M1412" s="10">
        <v>160</v>
      </c>
      <c r="N1412" s="10">
        <v>145</v>
      </c>
      <c r="O1412" s="10">
        <v>107</v>
      </c>
      <c r="P1412" s="10">
        <v>128</v>
      </c>
      <c r="Q1412" s="10">
        <v>20.5</v>
      </c>
      <c r="R1412" s="10">
        <v>2321</v>
      </c>
      <c r="S1412" s="10">
        <v>0.94</v>
      </c>
      <c r="T1412" s="10">
        <v>2175</v>
      </c>
      <c r="U1412" s="10">
        <v>234</v>
      </c>
      <c r="V1412" s="10">
        <v>157</v>
      </c>
      <c r="W1412" s="10">
        <v>50</v>
      </c>
      <c r="X1412" s="10">
        <v>304</v>
      </c>
      <c r="Y1412" s="10">
        <v>19</v>
      </c>
      <c r="Z1412" s="10">
        <v>241</v>
      </c>
      <c r="AA1412" s="10">
        <v>0.38800000000000001</v>
      </c>
      <c r="AB1412" s="10">
        <v>128</v>
      </c>
      <c r="AC1412" s="10">
        <v>104</v>
      </c>
      <c r="AD1412" s="10">
        <v>176</v>
      </c>
      <c r="AE1412" s="10">
        <v>4</v>
      </c>
      <c r="AF1412" s="10">
        <v>11.8</v>
      </c>
      <c r="AG1412" s="9" t="s">
        <v>169</v>
      </c>
      <c r="AH1412" s="9" t="s">
        <v>178</v>
      </c>
      <c r="AI1412" s="10"/>
      <c r="AJ1412" s="10"/>
      <c r="AK1412" s="30"/>
    </row>
    <row r="1413" spans="5:37">
      <c r="E1413" s="28" t="s">
        <v>155</v>
      </c>
      <c r="F1413" s="8" t="s">
        <v>229</v>
      </c>
      <c r="G1413" s="9" t="s">
        <v>861</v>
      </c>
      <c r="H1413" s="10">
        <v>191</v>
      </c>
      <c r="I1413" s="9" t="s">
        <v>158</v>
      </c>
      <c r="J1413" s="10">
        <v>191</v>
      </c>
      <c r="K1413" s="10">
        <v>191.2</v>
      </c>
      <c r="L1413" s="10">
        <v>112</v>
      </c>
      <c r="M1413" s="10">
        <v>167</v>
      </c>
      <c r="N1413" s="10">
        <v>145</v>
      </c>
      <c r="O1413" s="10">
        <v>108</v>
      </c>
      <c r="P1413" s="10">
        <v>129</v>
      </c>
      <c r="Q1413" s="10">
        <v>22.7</v>
      </c>
      <c r="R1413" s="10">
        <v>2405</v>
      </c>
      <c r="S1413" s="10">
        <v>0.94</v>
      </c>
      <c r="T1413" s="10">
        <v>2270</v>
      </c>
      <c r="U1413" s="10">
        <v>265</v>
      </c>
      <c r="V1413" s="10">
        <v>173</v>
      </c>
      <c r="W1413" s="10">
        <v>53</v>
      </c>
      <c r="X1413" s="10">
        <v>457</v>
      </c>
      <c r="Y1413" s="10">
        <v>24</v>
      </c>
      <c r="Z1413" s="10">
        <v>332</v>
      </c>
      <c r="AA1413" s="10">
        <v>0.46</v>
      </c>
      <c r="AB1413" s="10">
        <v>130</v>
      </c>
      <c r="AC1413" s="10">
        <v>110</v>
      </c>
      <c r="AD1413" s="10">
        <v>327</v>
      </c>
      <c r="AE1413" s="10">
        <v>1</v>
      </c>
      <c r="AF1413" s="10">
        <v>11.9</v>
      </c>
      <c r="AG1413" s="9" t="s">
        <v>169</v>
      </c>
      <c r="AH1413" s="10"/>
      <c r="AI1413" s="10"/>
      <c r="AJ1413" s="10"/>
      <c r="AK1413" s="30"/>
    </row>
    <row r="1414" spans="5:37">
      <c r="E1414" s="28" t="s">
        <v>155</v>
      </c>
      <c r="F1414" s="8" t="s">
        <v>229</v>
      </c>
      <c r="G1414" s="9" t="s">
        <v>1162</v>
      </c>
      <c r="H1414" s="10">
        <v>191</v>
      </c>
      <c r="I1414" s="9" t="s">
        <v>158</v>
      </c>
      <c r="J1414" s="10">
        <v>191</v>
      </c>
      <c r="K1414" s="10">
        <v>188.9</v>
      </c>
      <c r="L1414" s="10">
        <v>0</v>
      </c>
      <c r="M1414" s="10">
        <v>165</v>
      </c>
      <c r="N1414" s="10">
        <v>142</v>
      </c>
      <c r="O1414" s="10">
        <v>111</v>
      </c>
      <c r="P1414" s="10">
        <v>131</v>
      </c>
      <c r="Q1414" s="10">
        <v>26.4</v>
      </c>
      <c r="R1414" s="10">
        <v>2013</v>
      </c>
      <c r="S1414" s="10">
        <v>1.1299999999999999</v>
      </c>
      <c r="T1414" s="10">
        <v>2278</v>
      </c>
      <c r="U1414" s="10">
        <v>302</v>
      </c>
      <c r="V1414" s="10">
        <v>195</v>
      </c>
      <c r="W1414" s="10">
        <v>49</v>
      </c>
      <c r="X1414" s="10">
        <v>1077</v>
      </c>
      <c r="Y1414" s="10">
        <v>17</v>
      </c>
      <c r="Z1414" s="10">
        <v>812</v>
      </c>
      <c r="AA1414" s="10">
        <v>0.34100000000000003</v>
      </c>
      <c r="AB1414" s="10">
        <v>142</v>
      </c>
      <c r="AC1414" s="10">
        <v>99</v>
      </c>
      <c r="AD1414" s="10">
        <v>935</v>
      </c>
      <c r="AE1414" s="10">
        <v>-5</v>
      </c>
      <c r="AF1414" s="10">
        <v>13.3</v>
      </c>
      <c r="AG1414" s="9" t="s">
        <v>178</v>
      </c>
      <c r="AH1414" s="9" t="s">
        <v>185</v>
      </c>
      <c r="AI1414" s="10"/>
      <c r="AJ1414" s="10"/>
      <c r="AK1414" s="30"/>
    </row>
    <row r="1415" spans="5:37">
      <c r="E1415" s="28" t="s">
        <v>155</v>
      </c>
      <c r="F1415" s="8" t="s">
        <v>229</v>
      </c>
      <c r="G1415" s="9" t="s">
        <v>437</v>
      </c>
      <c r="H1415" s="10">
        <v>163</v>
      </c>
      <c r="I1415" s="9" t="s">
        <v>158</v>
      </c>
      <c r="J1415" s="10">
        <v>163</v>
      </c>
      <c r="K1415" s="10">
        <v>163.4</v>
      </c>
      <c r="L1415" s="10">
        <v>106</v>
      </c>
      <c r="M1415" s="10">
        <v>140</v>
      </c>
      <c r="N1415" s="10">
        <v>128</v>
      </c>
      <c r="O1415" s="10">
        <v>87</v>
      </c>
      <c r="P1415" s="10">
        <v>110</v>
      </c>
      <c r="Q1415" s="10">
        <v>14.6</v>
      </c>
      <c r="R1415" s="10">
        <v>1722</v>
      </c>
      <c r="S1415" s="10">
        <v>0.95</v>
      </c>
      <c r="T1415" s="10">
        <v>1637</v>
      </c>
      <c r="U1415" s="10">
        <v>202</v>
      </c>
      <c r="V1415" s="10">
        <v>128</v>
      </c>
      <c r="W1415" s="10">
        <v>40</v>
      </c>
      <c r="X1415" s="10">
        <v>345</v>
      </c>
      <c r="Y1415" s="10">
        <v>17</v>
      </c>
      <c r="Z1415" s="10">
        <v>228</v>
      </c>
      <c r="AA1415" s="10">
        <v>0.41599999999999998</v>
      </c>
      <c r="AB1415" s="10">
        <v>130</v>
      </c>
      <c r="AC1415" s="10">
        <v>106</v>
      </c>
      <c r="AD1415" s="10">
        <v>215</v>
      </c>
      <c r="AE1415" s="10">
        <v>3</v>
      </c>
      <c r="AF1415" s="10">
        <v>11.8</v>
      </c>
      <c r="AG1415" s="9" t="s">
        <v>188</v>
      </c>
      <c r="AH1415" s="10"/>
      <c r="AI1415" s="10"/>
      <c r="AJ1415" s="10"/>
      <c r="AK1415" s="30"/>
    </row>
    <row r="1416" spans="5:37">
      <c r="E1416" s="28" t="s">
        <v>155</v>
      </c>
      <c r="F1416" s="8" t="s">
        <v>229</v>
      </c>
      <c r="G1416" s="9" t="s">
        <v>437</v>
      </c>
      <c r="H1416" s="10">
        <v>170</v>
      </c>
      <c r="I1416" s="9" t="s">
        <v>158</v>
      </c>
      <c r="J1416" s="10">
        <v>170</v>
      </c>
      <c r="K1416" s="10">
        <v>171.1</v>
      </c>
      <c r="L1416" s="10">
        <v>125</v>
      </c>
      <c r="M1416" s="10">
        <v>147</v>
      </c>
      <c r="N1416" s="10">
        <v>128</v>
      </c>
      <c r="O1416" s="10">
        <v>87</v>
      </c>
      <c r="P1416" s="10">
        <v>110</v>
      </c>
      <c r="Q1416" s="10">
        <v>16.2</v>
      </c>
      <c r="R1416" s="10">
        <v>1816</v>
      </c>
      <c r="S1416" s="10">
        <v>0.94</v>
      </c>
      <c r="T1416" s="10">
        <v>1714</v>
      </c>
      <c r="U1416" s="10">
        <v>197</v>
      </c>
      <c r="V1416" s="10">
        <v>129</v>
      </c>
      <c r="W1416" s="10">
        <v>45</v>
      </c>
      <c r="X1416" s="10">
        <v>300</v>
      </c>
      <c r="Y1416" s="10">
        <v>14</v>
      </c>
      <c r="Z1416" s="10">
        <v>159</v>
      </c>
      <c r="AA1416" s="10">
        <v>0.32200000000000001</v>
      </c>
      <c r="AB1416" s="10">
        <v>133</v>
      </c>
      <c r="AC1416" s="10">
        <v>105</v>
      </c>
      <c r="AD1416" s="10">
        <v>166</v>
      </c>
      <c r="AE1416" s="10">
        <v>3</v>
      </c>
      <c r="AF1416" s="10">
        <v>11.9</v>
      </c>
      <c r="AG1416" s="9" t="s">
        <v>188</v>
      </c>
      <c r="AH1416" s="10"/>
      <c r="AI1416" s="10"/>
      <c r="AJ1416" s="10"/>
      <c r="AK1416" s="30"/>
    </row>
    <row r="1417" spans="5:37">
      <c r="E1417" s="28" t="s">
        <v>155</v>
      </c>
      <c r="F1417" s="8" t="s">
        <v>229</v>
      </c>
      <c r="G1417" s="9" t="s">
        <v>437</v>
      </c>
      <c r="H1417" s="10">
        <v>177</v>
      </c>
      <c r="I1417" s="9" t="s">
        <v>158</v>
      </c>
      <c r="J1417" s="10">
        <v>177</v>
      </c>
      <c r="K1417" s="10">
        <v>178.3</v>
      </c>
      <c r="L1417" s="10">
        <v>101</v>
      </c>
      <c r="M1417" s="10">
        <v>154</v>
      </c>
      <c r="N1417" s="10">
        <v>128</v>
      </c>
      <c r="O1417" s="10">
        <v>88</v>
      </c>
      <c r="P1417" s="10">
        <v>111</v>
      </c>
      <c r="Q1417" s="10">
        <v>17.8</v>
      </c>
      <c r="R1417" s="10">
        <v>1957</v>
      </c>
      <c r="S1417" s="10">
        <v>0.91</v>
      </c>
      <c r="T1417" s="10">
        <v>1790</v>
      </c>
      <c r="U1417" s="10">
        <v>227</v>
      </c>
      <c r="V1417" s="10">
        <v>145</v>
      </c>
      <c r="W1417" s="10">
        <v>44</v>
      </c>
      <c r="X1417" s="10">
        <v>418</v>
      </c>
      <c r="Y1417" s="10">
        <v>16</v>
      </c>
      <c r="Z1417" s="10">
        <v>355</v>
      </c>
      <c r="AA1417" s="10">
        <v>0.36299999999999999</v>
      </c>
      <c r="AB1417" s="10">
        <v>133</v>
      </c>
      <c r="AC1417" s="10">
        <v>106</v>
      </c>
      <c r="AD1417" s="10">
        <v>285</v>
      </c>
      <c r="AE1417" s="10">
        <v>2</v>
      </c>
      <c r="AF1417" s="10">
        <v>11.9</v>
      </c>
      <c r="AG1417" s="9" t="s">
        <v>188</v>
      </c>
      <c r="AH1417" s="10"/>
      <c r="AI1417" s="10"/>
      <c r="AJ1417" s="10"/>
      <c r="AK1417" s="30"/>
    </row>
    <row r="1418" spans="5:37">
      <c r="E1418" s="28" t="s">
        <v>155</v>
      </c>
      <c r="F1418" s="8" t="s">
        <v>229</v>
      </c>
      <c r="G1418" s="9" t="s">
        <v>437</v>
      </c>
      <c r="H1418" s="10">
        <v>184</v>
      </c>
      <c r="I1418" s="9" t="s">
        <v>158</v>
      </c>
      <c r="J1418" s="10">
        <v>184</v>
      </c>
      <c r="K1418" s="10">
        <v>183.4</v>
      </c>
      <c r="L1418" s="10">
        <v>118</v>
      </c>
      <c r="M1418" s="10">
        <v>160</v>
      </c>
      <c r="N1418" s="10">
        <v>128</v>
      </c>
      <c r="O1418" s="10">
        <v>87</v>
      </c>
      <c r="P1418" s="10">
        <v>110</v>
      </c>
      <c r="Q1418" s="10">
        <v>19.100000000000001</v>
      </c>
      <c r="R1418" s="10">
        <v>1939</v>
      </c>
      <c r="S1418" s="10">
        <v>0.95</v>
      </c>
      <c r="T1418" s="10">
        <v>1837</v>
      </c>
      <c r="U1418" s="10">
        <v>209</v>
      </c>
      <c r="V1418" s="10">
        <v>128</v>
      </c>
      <c r="W1418" s="10">
        <v>44</v>
      </c>
      <c r="X1418" s="10">
        <v>333</v>
      </c>
      <c r="Y1418" s="10">
        <v>18</v>
      </c>
      <c r="Z1418" s="10">
        <v>318</v>
      </c>
      <c r="AA1418" s="10">
        <v>0.40600000000000003</v>
      </c>
      <c r="AB1418" s="10">
        <v>127</v>
      </c>
      <c r="AC1418" s="10">
        <v>103</v>
      </c>
      <c r="AD1418" s="10">
        <v>206</v>
      </c>
      <c r="AE1418" s="10">
        <v>3</v>
      </c>
      <c r="AF1418" s="10">
        <v>11.7</v>
      </c>
      <c r="AG1418" s="9" t="s">
        <v>188</v>
      </c>
      <c r="AH1418" s="10"/>
      <c r="AI1418" s="10"/>
      <c r="AJ1418" s="10"/>
      <c r="AK1418" s="30"/>
    </row>
    <row r="1419" spans="5:37">
      <c r="E1419" s="28" t="s">
        <v>155</v>
      </c>
      <c r="F1419" s="8" t="s">
        <v>229</v>
      </c>
      <c r="G1419" s="9" t="s">
        <v>311</v>
      </c>
      <c r="H1419" s="10">
        <v>149</v>
      </c>
      <c r="I1419" s="9" t="s">
        <v>163</v>
      </c>
      <c r="J1419" s="10">
        <v>149</v>
      </c>
      <c r="K1419" s="10">
        <v>149.1</v>
      </c>
      <c r="L1419" s="10">
        <v>100</v>
      </c>
      <c r="M1419" s="10">
        <v>125</v>
      </c>
      <c r="N1419" s="10">
        <v>128</v>
      </c>
      <c r="O1419" s="10">
        <v>88</v>
      </c>
      <c r="P1419" s="10">
        <v>110</v>
      </c>
      <c r="Q1419" s="10">
        <v>11.7</v>
      </c>
      <c r="R1419" s="10">
        <v>1544</v>
      </c>
      <c r="S1419" s="10">
        <v>0.97</v>
      </c>
      <c r="T1419" s="10">
        <v>1497</v>
      </c>
      <c r="U1419" s="10">
        <v>177</v>
      </c>
      <c r="V1419" s="10">
        <v>115</v>
      </c>
      <c r="W1419" s="10">
        <v>43</v>
      </c>
      <c r="X1419" s="10">
        <v>300</v>
      </c>
      <c r="Y1419" s="10">
        <v>16</v>
      </c>
      <c r="Z1419" s="10">
        <v>196</v>
      </c>
      <c r="AA1419" s="10">
        <v>0.37</v>
      </c>
      <c r="AB1419" s="10">
        <v>135</v>
      </c>
      <c r="AC1419" s="10">
        <v>103</v>
      </c>
      <c r="AD1419" s="10">
        <v>164</v>
      </c>
      <c r="AE1419" s="10">
        <v>3</v>
      </c>
      <c r="AF1419" s="10">
        <v>11</v>
      </c>
      <c r="AG1419" s="9" t="s">
        <v>188</v>
      </c>
      <c r="AH1419" s="10"/>
      <c r="AI1419" s="10"/>
      <c r="AJ1419" s="10"/>
      <c r="AK1419" s="30"/>
    </row>
    <row r="1420" spans="5:37">
      <c r="E1420" s="28" t="s">
        <v>155</v>
      </c>
      <c r="F1420" s="8" t="s">
        <v>229</v>
      </c>
      <c r="G1420" s="9" t="s">
        <v>311</v>
      </c>
      <c r="H1420" s="10">
        <v>156</v>
      </c>
      <c r="I1420" s="9" t="s">
        <v>163</v>
      </c>
      <c r="J1420" s="10">
        <v>156</v>
      </c>
      <c r="K1420" s="10">
        <v>156.1</v>
      </c>
      <c r="L1420" s="10">
        <v>108</v>
      </c>
      <c r="M1420" s="10">
        <v>132</v>
      </c>
      <c r="N1420" s="10">
        <v>128</v>
      </c>
      <c r="O1420" s="10">
        <v>87</v>
      </c>
      <c r="P1420" s="10">
        <v>110</v>
      </c>
      <c r="Q1420" s="10">
        <v>12.9</v>
      </c>
      <c r="R1420" s="10">
        <v>1675</v>
      </c>
      <c r="S1420" s="10">
        <v>0.94</v>
      </c>
      <c r="T1420" s="10">
        <v>1567</v>
      </c>
      <c r="U1420" s="10">
        <v>194</v>
      </c>
      <c r="V1420" s="10">
        <v>132</v>
      </c>
      <c r="W1420" s="10">
        <v>43</v>
      </c>
      <c r="X1420" s="10">
        <v>283</v>
      </c>
      <c r="Y1420" s="10">
        <v>16</v>
      </c>
      <c r="Z1420" s="10">
        <v>202</v>
      </c>
      <c r="AA1420" s="10">
        <v>0.374</v>
      </c>
      <c r="AB1420" s="10">
        <v>132</v>
      </c>
      <c r="AC1420" s="10">
        <v>104</v>
      </c>
      <c r="AD1420" s="10">
        <v>151</v>
      </c>
      <c r="AE1420" s="10">
        <v>3</v>
      </c>
      <c r="AF1420" s="10">
        <v>11.6</v>
      </c>
      <c r="AG1420" s="9" t="s">
        <v>188</v>
      </c>
      <c r="AH1420" s="10"/>
      <c r="AI1420" s="10"/>
      <c r="AJ1420" s="10"/>
      <c r="AK1420" s="30"/>
    </row>
    <row r="1421" spans="5:37">
      <c r="E1421" s="28" t="s">
        <v>155</v>
      </c>
      <c r="F1421" s="8" t="s">
        <v>229</v>
      </c>
      <c r="G1421" s="9" t="s">
        <v>311</v>
      </c>
      <c r="H1421" s="10">
        <v>163</v>
      </c>
      <c r="I1421" s="9" t="s">
        <v>163</v>
      </c>
      <c r="J1421" s="10">
        <v>163</v>
      </c>
      <c r="K1421" s="10">
        <v>164</v>
      </c>
      <c r="L1421" s="10">
        <v>104</v>
      </c>
      <c r="M1421" s="10">
        <v>140</v>
      </c>
      <c r="N1421" s="10">
        <v>128</v>
      </c>
      <c r="O1421" s="10">
        <v>87</v>
      </c>
      <c r="P1421" s="10">
        <v>110</v>
      </c>
      <c r="Q1421" s="10">
        <v>14.7</v>
      </c>
      <c r="R1421" s="10">
        <v>1707</v>
      </c>
      <c r="S1421" s="10">
        <v>0.96</v>
      </c>
      <c r="T1421" s="10">
        <v>1644</v>
      </c>
      <c r="U1421" s="10">
        <v>195</v>
      </c>
      <c r="V1421" s="10">
        <v>125</v>
      </c>
      <c r="W1421" s="10">
        <v>44</v>
      </c>
      <c r="X1421" s="10">
        <v>361</v>
      </c>
      <c r="Y1421" s="10">
        <v>18</v>
      </c>
      <c r="Z1421" s="10">
        <v>238</v>
      </c>
      <c r="AA1421" s="10">
        <v>0.40100000000000002</v>
      </c>
      <c r="AB1421" s="10">
        <v>133</v>
      </c>
      <c r="AC1421" s="10">
        <v>105</v>
      </c>
      <c r="AD1421" s="10">
        <v>228</v>
      </c>
      <c r="AE1421" s="10">
        <v>3</v>
      </c>
      <c r="AF1421" s="10">
        <v>11</v>
      </c>
      <c r="AG1421" s="9" t="s">
        <v>188</v>
      </c>
      <c r="AH1421" s="10"/>
      <c r="AI1421" s="10"/>
      <c r="AJ1421" s="10"/>
      <c r="AK1421" s="30"/>
    </row>
    <row r="1422" spans="5:37">
      <c r="E1422" s="28" t="s">
        <v>155</v>
      </c>
      <c r="F1422" s="8" t="s">
        <v>229</v>
      </c>
      <c r="G1422" s="9" t="s">
        <v>311</v>
      </c>
      <c r="H1422" s="10">
        <v>170</v>
      </c>
      <c r="I1422" s="9" t="s">
        <v>163</v>
      </c>
      <c r="J1422" s="10">
        <v>170</v>
      </c>
      <c r="K1422" s="10">
        <v>171.2</v>
      </c>
      <c r="L1422" s="10">
        <v>123</v>
      </c>
      <c r="M1422" s="10">
        <v>148</v>
      </c>
      <c r="N1422" s="10">
        <v>128</v>
      </c>
      <c r="O1422" s="10">
        <v>87</v>
      </c>
      <c r="P1422" s="10">
        <v>110</v>
      </c>
      <c r="Q1422" s="10">
        <v>16.399999999999999</v>
      </c>
      <c r="R1422" s="10">
        <v>1843</v>
      </c>
      <c r="S1422" s="10">
        <v>0.93</v>
      </c>
      <c r="T1422" s="10">
        <v>1713</v>
      </c>
      <c r="U1422" s="10">
        <v>189</v>
      </c>
      <c r="V1422" s="10">
        <v>126</v>
      </c>
      <c r="W1422" s="10">
        <v>45</v>
      </c>
      <c r="X1422" s="10">
        <v>296</v>
      </c>
      <c r="Y1422" s="10">
        <v>15</v>
      </c>
      <c r="Z1422" s="10">
        <v>187</v>
      </c>
      <c r="AA1422" s="10">
        <v>0.32100000000000001</v>
      </c>
      <c r="AB1422" s="10">
        <v>134</v>
      </c>
      <c r="AC1422" s="10">
        <v>102</v>
      </c>
      <c r="AD1422" s="10">
        <v>163</v>
      </c>
      <c r="AE1422" s="10">
        <v>3</v>
      </c>
      <c r="AF1422" s="10">
        <v>11.3</v>
      </c>
      <c r="AG1422" s="9" t="s">
        <v>188</v>
      </c>
      <c r="AH1422" s="10"/>
      <c r="AI1422" s="10"/>
      <c r="AJ1422" s="10"/>
      <c r="AK1422" s="30"/>
    </row>
    <row r="1423" spans="5:37">
      <c r="E1423" s="28" t="s">
        <v>155</v>
      </c>
      <c r="F1423" s="8" t="s">
        <v>229</v>
      </c>
      <c r="G1423" s="9" t="s">
        <v>565</v>
      </c>
      <c r="H1423" s="10">
        <v>163</v>
      </c>
      <c r="I1423" s="9" t="s">
        <v>158</v>
      </c>
      <c r="J1423" s="10">
        <v>163</v>
      </c>
      <c r="K1423" s="10">
        <v>163.4</v>
      </c>
      <c r="L1423" s="10">
        <v>124</v>
      </c>
      <c r="M1423" s="10">
        <v>140</v>
      </c>
      <c r="N1423" s="10">
        <v>134</v>
      </c>
      <c r="O1423" s="10">
        <v>95</v>
      </c>
      <c r="P1423" s="10">
        <v>118</v>
      </c>
      <c r="Q1423" s="10">
        <v>15.2</v>
      </c>
      <c r="R1423" s="10">
        <v>1813</v>
      </c>
      <c r="S1423" s="10">
        <v>0.97</v>
      </c>
      <c r="T1423" s="10">
        <v>1756</v>
      </c>
      <c r="U1423" s="10">
        <v>181</v>
      </c>
      <c r="V1423" s="10">
        <v>119</v>
      </c>
      <c r="W1423" s="10">
        <v>46</v>
      </c>
      <c r="X1423" s="10">
        <v>234</v>
      </c>
      <c r="Y1423" s="10">
        <v>15</v>
      </c>
      <c r="Z1423" s="10">
        <v>163</v>
      </c>
      <c r="AA1423" s="10">
        <v>0.32600000000000001</v>
      </c>
      <c r="AB1423" s="10">
        <v>133</v>
      </c>
      <c r="AC1423" s="10">
        <v>100</v>
      </c>
      <c r="AD1423" s="10">
        <v>101</v>
      </c>
      <c r="AE1423" s="10">
        <v>4</v>
      </c>
      <c r="AF1423" s="10">
        <v>11.1</v>
      </c>
      <c r="AG1423" s="9" t="s">
        <v>188</v>
      </c>
      <c r="AH1423" s="10"/>
      <c r="AI1423" s="10"/>
      <c r="AJ1423" s="10"/>
      <c r="AK1423" s="30"/>
    </row>
    <row r="1424" spans="5:37">
      <c r="E1424" s="28" t="s">
        <v>155</v>
      </c>
      <c r="F1424" s="8" t="s">
        <v>229</v>
      </c>
      <c r="G1424" s="9" t="s">
        <v>565</v>
      </c>
      <c r="H1424" s="10">
        <v>170</v>
      </c>
      <c r="I1424" s="9" t="s">
        <v>158</v>
      </c>
      <c r="J1424" s="10">
        <v>170</v>
      </c>
      <c r="K1424" s="10">
        <v>170.8</v>
      </c>
      <c r="L1424" s="10">
        <v>125</v>
      </c>
      <c r="M1424" s="10">
        <v>148</v>
      </c>
      <c r="N1424" s="10">
        <v>134</v>
      </c>
      <c r="O1424" s="10">
        <v>95</v>
      </c>
      <c r="P1424" s="10">
        <v>118</v>
      </c>
      <c r="Q1424" s="10">
        <v>17</v>
      </c>
      <c r="R1424" s="10">
        <v>1885</v>
      </c>
      <c r="S1424" s="10">
        <v>0.97</v>
      </c>
      <c r="T1424" s="10">
        <v>1836</v>
      </c>
      <c r="U1424" s="10">
        <v>203</v>
      </c>
      <c r="V1424" s="10">
        <v>131</v>
      </c>
      <c r="W1424" s="10">
        <v>44</v>
      </c>
      <c r="X1424" s="10">
        <v>278</v>
      </c>
      <c r="Y1424" s="10">
        <v>16</v>
      </c>
      <c r="Z1424" s="10">
        <v>178</v>
      </c>
      <c r="AA1424" s="10">
        <v>0.375</v>
      </c>
      <c r="AB1424" s="10">
        <v>131</v>
      </c>
      <c r="AC1424" s="10">
        <v>99</v>
      </c>
      <c r="AD1424" s="10">
        <v>147</v>
      </c>
      <c r="AE1424" s="10">
        <v>3</v>
      </c>
      <c r="AF1424" s="10">
        <v>11.1</v>
      </c>
      <c r="AG1424" s="9" t="s">
        <v>188</v>
      </c>
      <c r="AH1424" s="10"/>
      <c r="AI1424" s="10"/>
      <c r="AJ1424" s="10"/>
      <c r="AK1424" s="30"/>
    </row>
    <row r="1425" spans="5:37">
      <c r="E1425" s="28" t="s">
        <v>155</v>
      </c>
      <c r="F1425" s="8" t="s">
        <v>229</v>
      </c>
      <c r="G1425" s="9" t="s">
        <v>565</v>
      </c>
      <c r="H1425" s="10">
        <v>177</v>
      </c>
      <c r="I1425" s="9" t="s">
        <v>158</v>
      </c>
      <c r="J1425" s="10">
        <v>177</v>
      </c>
      <c r="K1425" s="10">
        <v>178.6</v>
      </c>
      <c r="L1425" s="10">
        <v>141</v>
      </c>
      <c r="M1425" s="10">
        <v>155</v>
      </c>
      <c r="N1425" s="10">
        <v>134</v>
      </c>
      <c r="O1425" s="10">
        <v>95</v>
      </c>
      <c r="P1425" s="10">
        <v>118</v>
      </c>
      <c r="Q1425" s="10">
        <v>18.7</v>
      </c>
      <c r="R1425" s="10">
        <v>2102</v>
      </c>
      <c r="S1425" s="10">
        <v>0.91</v>
      </c>
      <c r="T1425" s="10">
        <v>1916</v>
      </c>
      <c r="U1425" s="10">
        <v>217</v>
      </c>
      <c r="V1425" s="10">
        <v>138</v>
      </c>
      <c r="W1425" s="10">
        <v>42</v>
      </c>
      <c r="X1425" s="10">
        <v>227</v>
      </c>
      <c r="Y1425" s="10">
        <v>14</v>
      </c>
      <c r="Z1425" s="10">
        <v>146</v>
      </c>
      <c r="AA1425" s="10">
        <v>0.33600000000000002</v>
      </c>
      <c r="AB1425" s="10">
        <v>135</v>
      </c>
      <c r="AC1425" s="10">
        <v>103</v>
      </c>
      <c r="AD1425" s="10">
        <v>92</v>
      </c>
      <c r="AE1425" s="10">
        <v>6</v>
      </c>
      <c r="AF1425" s="10">
        <v>11.2</v>
      </c>
      <c r="AG1425" s="9" t="s">
        <v>188</v>
      </c>
      <c r="AH1425" s="10"/>
      <c r="AI1425" s="10"/>
      <c r="AJ1425" s="10"/>
      <c r="AK1425" s="30"/>
    </row>
    <row r="1426" spans="5:37">
      <c r="E1426" s="28" t="s">
        <v>155</v>
      </c>
      <c r="F1426" s="8" t="s">
        <v>229</v>
      </c>
      <c r="G1426" s="9" t="s">
        <v>565</v>
      </c>
      <c r="H1426" s="10">
        <v>184</v>
      </c>
      <c r="I1426" s="9" t="s">
        <v>158</v>
      </c>
      <c r="J1426" s="10">
        <v>184</v>
      </c>
      <c r="K1426" s="10">
        <v>183.8</v>
      </c>
      <c r="L1426" s="10">
        <v>141</v>
      </c>
      <c r="M1426" s="10">
        <v>160</v>
      </c>
      <c r="N1426" s="10">
        <v>134</v>
      </c>
      <c r="O1426" s="10">
        <v>95</v>
      </c>
      <c r="P1426" s="10">
        <v>118</v>
      </c>
      <c r="Q1426" s="10">
        <v>20.100000000000001</v>
      </c>
      <c r="R1426" s="10">
        <v>2140</v>
      </c>
      <c r="S1426" s="10">
        <v>0.92</v>
      </c>
      <c r="T1426" s="10">
        <v>1974</v>
      </c>
      <c r="U1426" s="10">
        <v>230</v>
      </c>
      <c r="V1426" s="10">
        <v>147</v>
      </c>
      <c r="W1426" s="10">
        <v>45</v>
      </c>
      <c r="X1426" s="10">
        <v>254</v>
      </c>
      <c r="Y1426" s="10">
        <v>16</v>
      </c>
      <c r="Z1426" s="10">
        <v>174</v>
      </c>
      <c r="AA1426" s="10">
        <v>0.35899999999999999</v>
      </c>
      <c r="AB1426" s="10">
        <v>135</v>
      </c>
      <c r="AC1426" s="10">
        <v>107</v>
      </c>
      <c r="AD1426" s="10">
        <v>119</v>
      </c>
      <c r="AE1426" s="10">
        <v>5</v>
      </c>
      <c r="AF1426" s="10">
        <v>11.6</v>
      </c>
      <c r="AG1426" s="9" t="s">
        <v>188</v>
      </c>
      <c r="AH1426" s="10"/>
      <c r="AI1426" s="10"/>
      <c r="AJ1426" s="10"/>
      <c r="AK1426" s="30"/>
    </row>
    <row r="1427" spans="5:37">
      <c r="E1427" s="28" t="s">
        <v>155</v>
      </c>
      <c r="F1427" s="8" t="s">
        <v>229</v>
      </c>
      <c r="G1427" s="9" t="s">
        <v>565</v>
      </c>
      <c r="H1427" s="10">
        <v>191</v>
      </c>
      <c r="I1427" s="9" t="s">
        <v>158</v>
      </c>
      <c r="J1427" s="10">
        <v>191</v>
      </c>
      <c r="K1427" s="10">
        <v>190.4</v>
      </c>
      <c r="L1427" s="10">
        <v>140</v>
      </c>
      <c r="M1427" s="10">
        <v>168</v>
      </c>
      <c r="N1427" s="10">
        <v>134</v>
      </c>
      <c r="O1427" s="10">
        <v>95</v>
      </c>
      <c r="P1427" s="10">
        <v>118</v>
      </c>
      <c r="Q1427" s="10">
        <v>22</v>
      </c>
      <c r="R1427" s="10">
        <v>2238</v>
      </c>
      <c r="S1427" s="10">
        <v>0.91</v>
      </c>
      <c r="T1427" s="10">
        <v>2046</v>
      </c>
      <c r="U1427" s="10">
        <v>230</v>
      </c>
      <c r="V1427" s="10">
        <v>148</v>
      </c>
      <c r="W1427" s="10">
        <v>45</v>
      </c>
      <c r="X1427" s="10">
        <v>283</v>
      </c>
      <c r="Y1427" s="10">
        <v>17</v>
      </c>
      <c r="Z1427" s="10">
        <v>225</v>
      </c>
      <c r="AA1427" s="10">
        <v>0.38</v>
      </c>
      <c r="AB1427" s="10">
        <v>126</v>
      </c>
      <c r="AC1427" s="10">
        <v>102</v>
      </c>
      <c r="AD1427" s="10">
        <v>157</v>
      </c>
      <c r="AE1427" s="10">
        <v>5</v>
      </c>
      <c r="AF1427" s="10">
        <v>11.1</v>
      </c>
      <c r="AG1427" s="9" t="s">
        <v>188</v>
      </c>
      <c r="AH1427" s="10"/>
      <c r="AI1427" s="10"/>
      <c r="AJ1427" s="10"/>
      <c r="AK1427" s="30"/>
    </row>
    <row r="1428" spans="5:37">
      <c r="E1428" s="28" t="s">
        <v>155</v>
      </c>
      <c r="F1428" s="8" t="s">
        <v>229</v>
      </c>
      <c r="G1428" s="9" t="s">
        <v>814</v>
      </c>
      <c r="H1428" s="10">
        <v>170</v>
      </c>
      <c r="I1428" s="9" t="s">
        <v>158</v>
      </c>
      <c r="J1428" s="10">
        <v>170</v>
      </c>
      <c r="K1428" s="10">
        <v>171</v>
      </c>
      <c r="L1428" s="10">
        <v>121</v>
      </c>
      <c r="M1428" s="10">
        <v>148</v>
      </c>
      <c r="N1428" s="10">
        <v>139</v>
      </c>
      <c r="O1428" s="10">
        <v>101</v>
      </c>
      <c r="P1428" s="10">
        <v>122</v>
      </c>
      <c r="Q1428" s="10">
        <v>18.100000000000001</v>
      </c>
      <c r="R1428" s="10">
        <v>2065</v>
      </c>
      <c r="S1428" s="10">
        <v>0.93</v>
      </c>
      <c r="T1428" s="10">
        <v>1928</v>
      </c>
      <c r="U1428" s="10">
        <v>235</v>
      </c>
      <c r="V1428" s="10">
        <v>161</v>
      </c>
      <c r="W1428" s="10">
        <v>46</v>
      </c>
      <c r="X1428" s="10">
        <v>283</v>
      </c>
      <c r="Y1428" s="10">
        <v>19</v>
      </c>
      <c r="Z1428" s="10">
        <v>220</v>
      </c>
      <c r="AA1428" s="10">
        <v>0.42099999999999999</v>
      </c>
      <c r="AB1428" s="10">
        <v>130</v>
      </c>
      <c r="AC1428" s="10">
        <v>100</v>
      </c>
      <c r="AD1428" s="10">
        <v>152</v>
      </c>
      <c r="AE1428" s="10">
        <v>5</v>
      </c>
      <c r="AF1428" s="10">
        <v>11.3</v>
      </c>
      <c r="AG1428" s="9" t="s">
        <v>188</v>
      </c>
      <c r="AH1428" s="9" t="s">
        <v>169</v>
      </c>
      <c r="AI1428" s="10"/>
      <c r="AJ1428" s="10"/>
      <c r="AK1428" s="30"/>
    </row>
    <row r="1429" spans="5:37">
      <c r="E1429" s="28" t="s">
        <v>155</v>
      </c>
      <c r="F1429" s="8" t="s">
        <v>229</v>
      </c>
      <c r="G1429" s="9" t="s">
        <v>814</v>
      </c>
      <c r="H1429" s="10">
        <v>177</v>
      </c>
      <c r="I1429" s="9" t="s">
        <v>158</v>
      </c>
      <c r="J1429" s="10">
        <v>177</v>
      </c>
      <c r="K1429" s="10">
        <v>178.2</v>
      </c>
      <c r="L1429" s="10">
        <v>130</v>
      </c>
      <c r="M1429" s="10">
        <v>155</v>
      </c>
      <c r="N1429" s="10">
        <v>139</v>
      </c>
      <c r="O1429" s="10">
        <v>101</v>
      </c>
      <c r="P1429" s="10">
        <v>122</v>
      </c>
      <c r="Q1429" s="10">
        <v>20.100000000000001</v>
      </c>
      <c r="R1429" s="10">
        <v>2138</v>
      </c>
      <c r="S1429" s="10">
        <v>0.94</v>
      </c>
      <c r="T1429" s="10">
        <v>2008</v>
      </c>
      <c r="U1429" s="10">
        <v>209</v>
      </c>
      <c r="V1429" s="10">
        <v>150</v>
      </c>
      <c r="W1429" s="10">
        <v>53</v>
      </c>
      <c r="X1429" s="10">
        <v>281</v>
      </c>
      <c r="Y1429" s="10">
        <v>17</v>
      </c>
      <c r="Z1429" s="10">
        <v>201</v>
      </c>
      <c r="AA1429" s="10">
        <v>0.33</v>
      </c>
      <c r="AB1429" s="10">
        <v>132</v>
      </c>
      <c r="AC1429" s="10">
        <v>102</v>
      </c>
      <c r="AD1429" s="10">
        <v>149</v>
      </c>
      <c r="AE1429" s="10">
        <v>5</v>
      </c>
      <c r="AF1429" s="10">
        <v>11.1</v>
      </c>
      <c r="AG1429" s="9" t="s">
        <v>188</v>
      </c>
      <c r="AH1429" s="9" t="s">
        <v>178</v>
      </c>
      <c r="AI1429" s="10"/>
      <c r="AJ1429" s="10"/>
      <c r="AK1429" s="30"/>
    </row>
    <row r="1430" spans="5:37">
      <c r="E1430" s="28" t="s">
        <v>155</v>
      </c>
      <c r="F1430" s="8" t="s">
        <v>229</v>
      </c>
      <c r="G1430" s="9" t="s">
        <v>814</v>
      </c>
      <c r="H1430" s="10">
        <v>184</v>
      </c>
      <c r="I1430" s="9" t="s">
        <v>158</v>
      </c>
      <c r="J1430" s="10">
        <v>184</v>
      </c>
      <c r="K1430" s="10">
        <v>183.6</v>
      </c>
      <c r="L1430" s="10">
        <v>119</v>
      </c>
      <c r="M1430" s="10">
        <v>161</v>
      </c>
      <c r="N1430" s="10">
        <v>139</v>
      </c>
      <c r="O1430" s="10">
        <v>101</v>
      </c>
      <c r="P1430" s="10">
        <v>123</v>
      </c>
      <c r="Q1430" s="10">
        <v>21.3</v>
      </c>
      <c r="R1430" s="10">
        <v>2217</v>
      </c>
      <c r="S1430" s="10">
        <v>0.93</v>
      </c>
      <c r="T1430" s="10">
        <v>2069</v>
      </c>
      <c r="U1430" s="10">
        <v>229</v>
      </c>
      <c r="V1430" s="10">
        <v>160</v>
      </c>
      <c r="W1430" s="10">
        <v>48</v>
      </c>
      <c r="X1430" s="10">
        <v>375</v>
      </c>
      <c r="Y1430" s="10">
        <v>19</v>
      </c>
      <c r="Z1430" s="10">
        <v>267</v>
      </c>
      <c r="AA1430" s="10">
        <v>0.38300000000000001</v>
      </c>
      <c r="AB1430" s="10">
        <v>131</v>
      </c>
      <c r="AC1430" s="10">
        <v>100</v>
      </c>
      <c r="AD1430" s="10">
        <v>244</v>
      </c>
      <c r="AE1430" s="10">
        <v>3</v>
      </c>
      <c r="AF1430" s="10">
        <v>11.6</v>
      </c>
      <c r="AG1430" s="9" t="s">
        <v>188</v>
      </c>
      <c r="AH1430" s="9" t="s">
        <v>169</v>
      </c>
      <c r="AI1430" s="9" t="s">
        <v>178</v>
      </c>
      <c r="AJ1430" s="10"/>
      <c r="AK1430" s="30"/>
    </row>
    <row r="1431" spans="5:37">
      <c r="E1431" s="28" t="s">
        <v>155</v>
      </c>
      <c r="F1431" s="8" t="s">
        <v>229</v>
      </c>
      <c r="G1431" s="9" t="s">
        <v>814</v>
      </c>
      <c r="H1431" s="10">
        <v>191</v>
      </c>
      <c r="I1431" s="9" t="s">
        <v>158</v>
      </c>
      <c r="J1431" s="10">
        <v>191</v>
      </c>
      <c r="K1431" s="10">
        <v>191.5</v>
      </c>
      <c r="L1431" s="10">
        <v>150</v>
      </c>
      <c r="M1431" s="10">
        <v>169</v>
      </c>
      <c r="N1431" s="10">
        <v>139</v>
      </c>
      <c r="O1431" s="10">
        <v>101</v>
      </c>
      <c r="P1431" s="10">
        <v>122</v>
      </c>
      <c r="Q1431" s="10">
        <v>23.4</v>
      </c>
      <c r="R1431" s="10">
        <v>2410</v>
      </c>
      <c r="S1431" s="10">
        <v>0.89</v>
      </c>
      <c r="T1431" s="10">
        <v>2155</v>
      </c>
      <c r="U1431" s="10">
        <v>263</v>
      </c>
      <c r="V1431" s="10">
        <v>184</v>
      </c>
      <c r="W1431" s="10">
        <v>44</v>
      </c>
      <c r="X1431" s="10">
        <v>251</v>
      </c>
      <c r="Y1431" s="10">
        <v>15</v>
      </c>
      <c r="Z1431" s="10">
        <v>163</v>
      </c>
      <c r="AA1431" s="10">
        <v>0.34300000000000003</v>
      </c>
      <c r="AB1431" s="10">
        <v>130</v>
      </c>
      <c r="AC1431" s="10">
        <v>98</v>
      </c>
      <c r="AD1431" s="10">
        <v>122</v>
      </c>
      <c r="AE1431" s="10">
        <v>5</v>
      </c>
      <c r="AF1431" s="10">
        <v>11.8</v>
      </c>
      <c r="AG1431" s="9" t="s">
        <v>188</v>
      </c>
      <c r="AH1431" s="9" t="s">
        <v>178</v>
      </c>
      <c r="AI1431" s="10"/>
      <c r="AJ1431" s="10"/>
      <c r="AK1431" s="30"/>
    </row>
    <row r="1432" spans="5:37">
      <c r="E1432" s="28" t="s">
        <v>155</v>
      </c>
      <c r="F1432" s="8" t="s">
        <v>229</v>
      </c>
      <c r="G1432" s="9" t="s">
        <v>820</v>
      </c>
      <c r="H1432" s="10">
        <v>170</v>
      </c>
      <c r="I1432" s="9" t="s">
        <v>158</v>
      </c>
      <c r="J1432" s="10">
        <v>170</v>
      </c>
      <c r="K1432" s="10">
        <v>171.3</v>
      </c>
      <c r="L1432" s="10">
        <v>129</v>
      </c>
      <c r="M1432" s="10">
        <v>148</v>
      </c>
      <c r="N1432" s="10">
        <v>133</v>
      </c>
      <c r="O1432" s="10">
        <v>95</v>
      </c>
      <c r="P1432" s="10">
        <v>116</v>
      </c>
      <c r="Q1432" s="10">
        <v>18</v>
      </c>
      <c r="R1432" s="10">
        <v>1971</v>
      </c>
      <c r="S1432" s="10">
        <v>0.93</v>
      </c>
      <c r="T1432" s="10">
        <v>1826</v>
      </c>
      <c r="U1432" s="10">
        <v>223</v>
      </c>
      <c r="V1432" s="10">
        <v>150</v>
      </c>
      <c r="W1432" s="10">
        <v>45</v>
      </c>
      <c r="X1432" s="10">
        <v>245</v>
      </c>
      <c r="Y1432" s="10">
        <v>16</v>
      </c>
      <c r="Z1432" s="10">
        <v>176</v>
      </c>
      <c r="AA1432" s="10">
        <v>0.35099999999999998</v>
      </c>
      <c r="AB1432" s="10">
        <v>127</v>
      </c>
      <c r="AC1432" s="10">
        <v>103</v>
      </c>
      <c r="AD1432" s="10">
        <v>117</v>
      </c>
      <c r="AE1432" s="10">
        <v>4</v>
      </c>
      <c r="AF1432" s="10">
        <v>11.7</v>
      </c>
      <c r="AG1432" s="9" t="s">
        <v>188</v>
      </c>
      <c r="AH1432" s="10"/>
      <c r="AI1432" s="10"/>
      <c r="AJ1432" s="10"/>
      <c r="AK1432" s="30"/>
    </row>
    <row r="1433" spans="5:37">
      <c r="E1433" s="28" t="s">
        <v>155</v>
      </c>
      <c r="F1433" s="8" t="s">
        <v>229</v>
      </c>
      <c r="G1433" s="9" t="s">
        <v>820</v>
      </c>
      <c r="H1433" s="10">
        <v>177</v>
      </c>
      <c r="I1433" s="9" t="s">
        <v>158</v>
      </c>
      <c r="J1433" s="10">
        <v>177</v>
      </c>
      <c r="K1433" s="10">
        <v>177.9</v>
      </c>
      <c r="L1433" s="10">
        <v>138</v>
      </c>
      <c r="M1433" s="10">
        <v>155</v>
      </c>
      <c r="N1433" s="10">
        <v>133</v>
      </c>
      <c r="O1433" s="10">
        <v>95</v>
      </c>
      <c r="P1433" s="10">
        <v>116</v>
      </c>
      <c r="Q1433" s="10">
        <v>20.2</v>
      </c>
      <c r="R1433" s="10">
        <v>2082</v>
      </c>
      <c r="S1433" s="10">
        <v>0.91</v>
      </c>
      <c r="T1433" s="10">
        <v>1895</v>
      </c>
      <c r="U1433" s="10">
        <v>224</v>
      </c>
      <c r="V1433" s="10">
        <v>145</v>
      </c>
      <c r="W1433" s="10">
        <v>44</v>
      </c>
      <c r="X1433" s="10">
        <v>256</v>
      </c>
      <c r="Y1433" s="10">
        <v>13</v>
      </c>
      <c r="Z1433" s="10">
        <v>144</v>
      </c>
      <c r="AA1433" s="10">
        <v>0.29499999999999998</v>
      </c>
      <c r="AB1433" s="10">
        <v>133</v>
      </c>
      <c r="AC1433" s="10">
        <v>95</v>
      </c>
      <c r="AD1433" s="10">
        <v>123</v>
      </c>
      <c r="AE1433" s="10">
        <v>5</v>
      </c>
      <c r="AF1433" s="10">
        <v>11.6</v>
      </c>
      <c r="AG1433" s="9" t="s">
        <v>188</v>
      </c>
      <c r="AH1433" s="10"/>
      <c r="AI1433" s="10"/>
      <c r="AJ1433" s="10"/>
      <c r="AK1433" s="30"/>
    </row>
    <row r="1434" spans="5:37">
      <c r="E1434" s="28" t="s">
        <v>155</v>
      </c>
      <c r="F1434" s="8" t="s">
        <v>229</v>
      </c>
      <c r="G1434" s="9" t="s">
        <v>820</v>
      </c>
      <c r="H1434" s="10">
        <v>184</v>
      </c>
      <c r="I1434" s="9" t="s">
        <v>158</v>
      </c>
      <c r="J1434" s="10">
        <v>184</v>
      </c>
      <c r="K1434" s="10">
        <v>183.9</v>
      </c>
      <c r="L1434" s="10">
        <v>144</v>
      </c>
      <c r="M1434" s="10">
        <v>160</v>
      </c>
      <c r="N1434" s="10">
        <v>133</v>
      </c>
      <c r="O1434" s="10">
        <v>95</v>
      </c>
      <c r="P1434" s="10">
        <v>116</v>
      </c>
      <c r="Q1434" s="10">
        <v>21.4</v>
      </c>
      <c r="R1434" s="10">
        <v>2122</v>
      </c>
      <c r="S1434" s="10">
        <v>0.92</v>
      </c>
      <c r="T1434" s="10">
        <v>1958</v>
      </c>
      <c r="U1434" s="10">
        <v>239</v>
      </c>
      <c r="V1434" s="10">
        <v>147</v>
      </c>
      <c r="W1434" s="10">
        <v>44</v>
      </c>
      <c r="X1434" s="10">
        <v>230</v>
      </c>
      <c r="Y1434" s="10">
        <v>15</v>
      </c>
      <c r="Z1434" s="10">
        <v>166</v>
      </c>
      <c r="AA1434" s="10">
        <v>0.34699999999999998</v>
      </c>
      <c r="AB1434" s="10">
        <v>138</v>
      </c>
      <c r="AC1434" s="10">
        <v>106</v>
      </c>
      <c r="AD1434" s="10">
        <v>92</v>
      </c>
      <c r="AE1434" s="10">
        <v>6</v>
      </c>
      <c r="AF1434" s="10">
        <v>11.2</v>
      </c>
      <c r="AG1434" s="9" t="s">
        <v>188</v>
      </c>
      <c r="AH1434" s="10"/>
      <c r="AI1434" s="10"/>
      <c r="AJ1434" s="10"/>
      <c r="AK1434" s="30"/>
    </row>
    <row r="1435" spans="5:37">
      <c r="E1435" s="28" t="s">
        <v>155</v>
      </c>
      <c r="F1435" s="8" t="s">
        <v>229</v>
      </c>
      <c r="G1435" s="9" t="s">
        <v>820</v>
      </c>
      <c r="H1435" s="10">
        <v>191</v>
      </c>
      <c r="I1435" s="9" t="s">
        <v>158</v>
      </c>
      <c r="J1435" s="10">
        <v>191</v>
      </c>
      <c r="K1435" s="10">
        <v>190.2</v>
      </c>
      <c r="L1435" s="10">
        <v>136</v>
      </c>
      <c r="M1435" s="10">
        <v>168</v>
      </c>
      <c r="N1435" s="10">
        <v>133</v>
      </c>
      <c r="O1435" s="10">
        <v>95</v>
      </c>
      <c r="P1435" s="10">
        <v>116</v>
      </c>
      <c r="Q1435" s="10">
        <v>23.7</v>
      </c>
      <c r="R1435" s="10">
        <v>2258</v>
      </c>
      <c r="S1435" s="10">
        <v>0.9</v>
      </c>
      <c r="T1435" s="10">
        <v>2026</v>
      </c>
      <c r="U1435" s="10">
        <v>247</v>
      </c>
      <c r="V1435" s="10">
        <v>155</v>
      </c>
      <c r="W1435" s="10">
        <v>40</v>
      </c>
      <c r="X1435" s="10">
        <v>330</v>
      </c>
      <c r="Y1435" s="10">
        <v>18</v>
      </c>
      <c r="Z1435" s="10">
        <v>215</v>
      </c>
      <c r="AA1435" s="10">
        <v>0.45</v>
      </c>
      <c r="AB1435" s="10">
        <v>123</v>
      </c>
      <c r="AC1435" s="10">
        <v>100</v>
      </c>
      <c r="AD1435" s="10">
        <v>207</v>
      </c>
      <c r="AE1435" s="10">
        <v>5</v>
      </c>
      <c r="AF1435" s="10">
        <v>11.2</v>
      </c>
      <c r="AG1435" s="9" t="s">
        <v>188</v>
      </c>
      <c r="AH1435" s="10"/>
      <c r="AI1435" s="10"/>
      <c r="AJ1435" s="10"/>
      <c r="AK1435" s="30"/>
    </row>
    <row r="1436" spans="5:37">
      <c r="E1436" s="28" t="s">
        <v>155</v>
      </c>
      <c r="F1436" s="8" t="s">
        <v>229</v>
      </c>
      <c r="G1436" s="9" t="s">
        <v>534</v>
      </c>
      <c r="H1436" s="10">
        <v>170</v>
      </c>
      <c r="I1436" s="9" t="s">
        <v>158</v>
      </c>
      <c r="J1436" s="10">
        <v>170</v>
      </c>
      <c r="K1436" s="10">
        <v>169.7</v>
      </c>
      <c r="L1436" s="10">
        <v>113</v>
      </c>
      <c r="M1436" s="10">
        <v>142</v>
      </c>
      <c r="N1436" s="10">
        <v>134</v>
      </c>
      <c r="O1436" s="10">
        <v>98</v>
      </c>
      <c r="P1436" s="10">
        <v>116</v>
      </c>
      <c r="Q1436" s="10">
        <v>18.399999999999999</v>
      </c>
      <c r="R1436" s="10">
        <v>1583</v>
      </c>
      <c r="S1436" s="10">
        <v>1.17</v>
      </c>
      <c r="T1436" s="10">
        <v>1849</v>
      </c>
      <c r="U1436" s="10">
        <v>174</v>
      </c>
      <c r="V1436" s="10">
        <v>147</v>
      </c>
      <c r="W1436" s="10">
        <v>47</v>
      </c>
      <c r="X1436" s="10">
        <v>321</v>
      </c>
      <c r="Y1436" s="10">
        <v>17</v>
      </c>
      <c r="Z1436" s="10">
        <v>242</v>
      </c>
      <c r="AA1436" s="10">
        <v>0.36299999999999999</v>
      </c>
      <c r="AB1436" s="10">
        <v>155</v>
      </c>
      <c r="AC1436" s="10">
        <v>121</v>
      </c>
      <c r="AD1436" s="10">
        <v>166</v>
      </c>
      <c r="AE1436" s="10">
        <v>2</v>
      </c>
      <c r="AF1436" s="10">
        <v>10.6</v>
      </c>
      <c r="AG1436" s="9" t="s">
        <v>188</v>
      </c>
      <c r="AH1436" s="9" t="s">
        <v>185</v>
      </c>
      <c r="AI1436" s="10"/>
      <c r="AJ1436" s="10"/>
      <c r="AK1436" s="30"/>
    </row>
    <row r="1437" spans="5:37">
      <c r="E1437" s="28" t="s">
        <v>155</v>
      </c>
      <c r="F1437" s="8" t="s">
        <v>229</v>
      </c>
      <c r="G1437" s="9" t="s">
        <v>534</v>
      </c>
      <c r="H1437" s="10">
        <v>178</v>
      </c>
      <c r="I1437" s="9" t="s">
        <v>158</v>
      </c>
      <c r="J1437" s="10">
        <v>178</v>
      </c>
      <c r="K1437" s="10">
        <v>179.8</v>
      </c>
      <c r="L1437" s="10">
        <v>130</v>
      </c>
      <c r="M1437" s="10">
        <v>151</v>
      </c>
      <c r="N1437" s="10">
        <v>134</v>
      </c>
      <c r="O1437" s="10">
        <v>98</v>
      </c>
      <c r="P1437" s="10">
        <v>116</v>
      </c>
      <c r="Q1437" s="10">
        <v>21.2</v>
      </c>
      <c r="R1437" s="10">
        <v>1653</v>
      </c>
      <c r="S1437" s="10">
        <v>1.18</v>
      </c>
      <c r="T1437" s="10">
        <v>1955</v>
      </c>
      <c r="U1437" s="10">
        <v>190</v>
      </c>
      <c r="V1437" s="10">
        <v>150</v>
      </c>
      <c r="W1437" s="10">
        <v>49</v>
      </c>
      <c r="X1437" s="10">
        <v>294</v>
      </c>
      <c r="Y1437" s="10">
        <v>17</v>
      </c>
      <c r="Z1437" s="10">
        <v>208</v>
      </c>
      <c r="AA1437" s="10">
        <v>0.35399999999999998</v>
      </c>
      <c r="AB1437" s="10">
        <v>155</v>
      </c>
      <c r="AC1437" s="10">
        <v>129</v>
      </c>
      <c r="AD1437" s="10">
        <v>139</v>
      </c>
      <c r="AE1437" s="10">
        <v>2</v>
      </c>
      <c r="AF1437" s="10">
        <v>10.5</v>
      </c>
      <c r="AG1437" s="9" t="s">
        <v>188</v>
      </c>
      <c r="AH1437" s="9" t="s">
        <v>185</v>
      </c>
      <c r="AI1437" s="10"/>
      <c r="AJ1437" s="10"/>
      <c r="AK1437" s="30"/>
    </row>
    <row r="1438" spans="5:37">
      <c r="E1438" s="28" t="s">
        <v>155</v>
      </c>
      <c r="F1438" s="8" t="s">
        <v>229</v>
      </c>
      <c r="G1438" s="9" t="s">
        <v>534</v>
      </c>
      <c r="H1438" s="10">
        <v>186</v>
      </c>
      <c r="I1438" s="9" t="s">
        <v>158</v>
      </c>
      <c r="J1438" s="10">
        <v>186</v>
      </c>
      <c r="K1438" s="10">
        <v>187.1</v>
      </c>
      <c r="L1438" s="10">
        <v>131</v>
      </c>
      <c r="M1438" s="10">
        <v>159</v>
      </c>
      <c r="N1438" s="10">
        <v>134</v>
      </c>
      <c r="O1438" s="10">
        <v>98</v>
      </c>
      <c r="P1438" s="10">
        <v>116</v>
      </c>
      <c r="Q1438" s="10">
        <v>23.4</v>
      </c>
      <c r="R1438" s="10">
        <v>1775</v>
      </c>
      <c r="S1438" s="10">
        <v>1.1499999999999999</v>
      </c>
      <c r="T1438" s="10">
        <v>2038</v>
      </c>
      <c r="U1438" s="10">
        <v>190</v>
      </c>
      <c r="V1438" s="10">
        <v>147</v>
      </c>
      <c r="W1438" s="10">
        <v>49</v>
      </c>
      <c r="X1438" s="10">
        <v>327</v>
      </c>
      <c r="Y1438" s="10">
        <v>18</v>
      </c>
      <c r="Z1438" s="10">
        <v>235</v>
      </c>
      <c r="AA1438" s="10">
        <v>0.36699999999999999</v>
      </c>
      <c r="AB1438" s="10">
        <v>151</v>
      </c>
      <c r="AC1438" s="10">
        <v>126</v>
      </c>
      <c r="AD1438" s="10">
        <v>177</v>
      </c>
      <c r="AE1438" s="10">
        <v>3</v>
      </c>
      <c r="AF1438" s="10">
        <v>10.7</v>
      </c>
      <c r="AG1438" s="9" t="s">
        <v>188</v>
      </c>
      <c r="AH1438" s="9" t="s">
        <v>185</v>
      </c>
      <c r="AI1438" s="10"/>
      <c r="AJ1438" s="10"/>
      <c r="AK1438" s="30"/>
    </row>
    <row r="1439" spans="5:37">
      <c r="E1439" s="28" t="s">
        <v>155</v>
      </c>
      <c r="F1439" s="8" t="s">
        <v>229</v>
      </c>
      <c r="G1439" s="9" t="s">
        <v>823</v>
      </c>
      <c r="H1439" s="10">
        <v>170</v>
      </c>
      <c r="I1439" s="9" t="s">
        <v>158</v>
      </c>
      <c r="J1439" s="10">
        <v>170</v>
      </c>
      <c r="K1439" s="10">
        <v>169.3</v>
      </c>
      <c r="L1439" s="10">
        <v>149</v>
      </c>
      <c r="M1439" s="10">
        <v>154</v>
      </c>
      <c r="N1439" s="10">
        <v>122</v>
      </c>
      <c r="O1439" s="10">
        <v>69</v>
      </c>
      <c r="P1439" s="10">
        <v>102</v>
      </c>
      <c r="Q1439" s="10">
        <v>13.9</v>
      </c>
      <c r="R1439" s="10">
        <v>1987</v>
      </c>
      <c r="S1439" s="10">
        <v>0.73</v>
      </c>
      <c r="T1439" s="10">
        <v>1441</v>
      </c>
      <c r="U1439" s="10">
        <v>244</v>
      </c>
      <c r="V1439" s="10">
        <v>102</v>
      </c>
      <c r="W1439" s="10">
        <v>41</v>
      </c>
      <c r="X1439" s="10">
        <v>149</v>
      </c>
      <c r="Y1439" s="10">
        <v>6</v>
      </c>
      <c r="Z1439" s="10">
        <v>53</v>
      </c>
      <c r="AA1439" s="10">
        <v>0.14099999999999999</v>
      </c>
      <c r="AB1439" s="10">
        <v>71</v>
      </c>
      <c r="AC1439" s="10">
        <v>79</v>
      </c>
      <c r="AD1439" s="10">
        <v>78</v>
      </c>
      <c r="AE1439" s="10">
        <v>6</v>
      </c>
      <c r="AF1439" s="10">
        <v>11.5</v>
      </c>
      <c r="AG1439" s="9" t="s">
        <v>349</v>
      </c>
      <c r="AH1439" s="10"/>
      <c r="AI1439" s="10"/>
      <c r="AJ1439" s="10"/>
      <c r="AK1439" s="30"/>
    </row>
    <row r="1440" spans="5:37">
      <c r="E1440" s="28" t="s">
        <v>155</v>
      </c>
      <c r="F1440" s="8" t="s">
        <v>229</v>
      </c>
      <c r="G1440" s="9" t="s">
        <v>782</v>
      </c>
      <c r="H1440" s="10">
        <v>155</v>
      </c>
      <c r="I1440" s="9" t="s">
        <v>158</v>
      </c>
      <c r="J1440" s="10">
        <v>155</v>
      </c>
      <c r="K1440" s="10">
        <v>154.6</v>
      </c>
      <c r="L1440" s="10">
        <v>130</v>
      </c>
      <c r="M1440" s="10">
        <v>144</v>
      </c>
      <c r="N1440" s="10">
        <v>126</v>
      </c>
      <c r="O1440" s="10">
        <v>67</v>
      </c>
      <c r="P1440" s="10">
        <v>102</v>
      </c>
      <c r="Q1440" s="10">
        <v>11</v>
      </c>
      <c r="R1440" s="10">
        <v>1934</v>
      </c>
      <c r="S1440" s="10">
        <v>0.68</v>
      </c>
      <c r="T1440" s="10">
        <v>1306</v>
      </c>
      <c r="U1440" s="10">
        <v>190</v>
      </c>
      <c r="V1440" s="10">
        <v>124</v>
      </c>
      <c r="W1440" s="10">
        <v>43</v>
      </c>
      <c r="X1440" s="10">
        <v>186</v>
      </c>
      <c r="Y1440" s="10">
        <v>6</v>
      </c>
      <c r="Z1440" s="10">
        <v>58</v>
      </c>
      <c r="AA1440" s="10">
        <v>0.13300000000000001</v>
      </c>
      <c r="AB1440" s="10">
        <v>63</v>
      </c>
      <c r="AC1440" s="10">
        <v>48</v>
      </c>
      <c r="AD1440" s="10">
        <v>123</v>
      </c>
      <c r="AE1440" s="10">
        <v>4</v>
      </c>
      <c r="AF1440" s="10">
        <v>13.2</v>
      </c>
      <c r="AG1440" s="9" t="s">
        <v>349</v>
      </c>
      <c r="AH1440" s="10"/>
      <c r="AI1440" s="10"/>
      <c r="AJ1440" s="10"/>
      <c r="AK1440" s="30"/>
    </row>
    <row r="1441" spans="5:37">
      <c r="E1441" s="28" t="s">
        <v>155</v>
      </c>
      <c r="F1441" s="8" t="s">
        <v>229</v>
      </c>
      <c r="G1441" s="9" t="s">
        <v>782</v>
      </c>
      <c r="H1441" s="10">
        <v>160</v>
      </c>
      <c r="I1441" s="9" t="s">
        <v>158</v>
      </c>
      <c r="J1441" s="10">
        <v>160</v>
      </c>
      <c r="K1441" s="10">
        <v>159.69999999999999</v>
      </c>
      <c r="L1441" s="10">
        <v>138</v>
      </c>
      <c r="M1441" s="10">
        <v>148</v>
      </c>
      <c r="N1441" s="10">
        <v>125</v>
      </c>
      <c r="O1441" s="10">
        <v>67</v>
      </c>
      <c r="P1441" s="10">
        <v>102</v>
      </c>
      <c r="Q1441" s="10">
        <v>11.7</v>
      </c>
      <c r="R1441" s="10">
        <v>1979</v>
      </c>
      <c r="S1441" s="10">
        <v>0.68</v>
      </c>
      <c r="T1441" s="10">
        <v>1351</v>
      </c>
      <c r="U1441" s="10">
        <v>184</v>
      </c>
      <c r="V1441" s="10">
        <v>124</v>
      </c>
      <c r="W1441" s="10">
        <v>41</v>
      </c>
      <c r="X1441" s="10">
        <v>157</v>
      </c>
      <c r="Y1441" s="10">
        <v>7</v>
      </c>
      <c r="Z1441" s="10">
        <v>59</v>
      </c>
      <c r="AA1441" s="10">
        <v>0.17599999999999999</v>
      </c>
      <c r="AB1441" s="10">
        <v>60</v>
      </c>
      <c r="AC1441" s="10">
        <v>53</v>
      </c>
      <c r="AD1441" s="10">
        <v>97</v>
      </c>
      <c r="AE1441" s="10">
        <v>5</v>
      </c>
      <c r="AF1441" s="10">
        <v>11.9</v>
      </c>
      <c r="AG1441" s="9" t="s">
        <v>349</v>
      </c>
      <c r="AH1441" s="10"/>
      <c r="AI1441" s="10"/>
      <c r="AJ1441" s="10"/>
      <c r="AK1441" s="30"/>
    </row>
    <row r="1442" spans="5:37">
      <c r="E1442" s="28" t="s">
        <v>155</v>
      </c>
      <c r="F1442" s="8" t="s">
        <v>229</v>
      </c>
      <c r="G1442" s="9" t="s">
        <v>782</v>
      </c>
      <c r="H1442" s="10">
        <v>170</v>
      </c>
      <c r="I1442" s="9" t="s">
        <v>158</v>
      </c>
      <c r="J1442" s="10">
        <v>170</v>
      </c>
      <c r="K1442" s="10">
        <v>169.2</v>
      </c>
      <c r="L1442" s="10">
        <v>146</v>
      </c>
      <c r="M1442" s="10">
        <v>158</v>
      </c>
      <c r="N1442" s="10">
        <v>126</v>
      </c>
      <c r="O1442" s="10">
        <v>67</v>
      </c>
      <c r="P1442" s="10">
        <v>102</v>
      </c>
      <c r="Q1442" s="10">
        <v>13.4</v>
      </c>
      <c r="R1442" s="10">
        <v>2068</v>
      </c>
      <c r="S1442" s="10">
        <v>0.69</v>
      </c>
      <c r="T1442" s="10">
        <v>1425</v>
      </c>
      <c r="U1442" s="10">
        <v>229</v>
      </c>
      <c r="V1442" s="10">
        <v>150</v>
      </c>
      <c r="W1442" s="10">
        <v>43</v>
      </c>
      <c r="X1442" s="10">
        <v>174</v>
      </c>
      <c r="Y1442" s="10">
        <v>6</v>
      </c>
      <c r="Z1442" s="10">
        <v>61</v>
      </c>
      <c r="AA1442" s="10">
        <v>0.151</v>
      </c>
      <c r="AB1442" s="10">
        <v>57</v>
      </c>
      <c r="AC1442" s="10">
        <v>50</v>
      </c>
      <c r="AD1442" s="10">
        <v>117</v>
      </c>
      <c r="AE1442" s="10">
        <v>5</v>
      </c>
      <c r="AF1442" s="10">
        <v>11.5</v>
      </c>
      <c r="AG1442" s="9" t="s">
        <v>349</v>
      </c>
      <c r="AH1442" s="10"/>
      <c r="AI1442" s="10"/>
      <c r="AJ1442" s="10"/>
      <c r="AK1442" s="30"/>
    </row>
    <row r="1443" spans="5:37">
      <c r="E1443" s="28" t="s">
        <v>155</v>
      </c>
      <c r="F1443" s="8" t="s">
        <v>229</v>
      </c>
      <c r="G1443" s="9" t="s">
        <v>747</v>
      </c>
      <c r="H1443" s="10">
        <v>180</v>
      </c>
      <c r="I1443" s="9" t="s">
        <v>158</v>
      </c>
      <c r="J1443" s="10">
        <v>180</v>
      </c>
      <c r="K1443" s="10">
        <v>179.9</v>
      </c>
      <c r="L1443" s="10">
        <v>96</v>
      </c>
      <c r="M1443" s="10">
        <v>142</v>
      </c>
      <c r="N1443" s="10">
        <v>131</v>
      </c>
      <c r="O1443" s="10">
        <v>103</v>
      </c>
      <c r="P1443" s="10">
        <v>121</v>
      </c>
      <c r="Q1443" s="10">
        <v>20.399999999999999</v>
      </c>
      <c r="R1443" s="10">
        <v>1958</v>
      </c>
      <c r="S1443" s="10">
        <v>1.03</v>
      </c>
      <c r="T1443" s="10">
        <v>2014</v>
      </c>
      <c r="U1443" s="10">
        <v>168</v>
      </c>
      <c r="V1443" s="10">
        <v>82</v>
      </c>
      <c r="W1443" s="10">
        <v>56</v>
      </c>
      <c r="X1443" s="10">
        <v>462</v>
      </c>
      <c r="Y1443" s="10">
        <v>39</v>
      </c>
      <c r="Z1443" s="10">
        <v>374</v>
      </c>
      <c r="AA1443" s="10">
        <v>0.70399999999999996</v>
      </c>
      <c r="AB1443" s="10">
        <v>172</v>
      </c>
      <c r="AC1443" s="10">
        <v>209</v>
      </c>
      <c r="AD1443" s="10">
        <v>290</v>
      </c>
      <c r="AE1443" s="10">
        <v>5</v>
      </c>
      <c r="AF1443" s="10">
        <v>1.6</v>
      </c>
      <c r="AG1443" s="9" t="s">
        <v>188</v>
      </c>
      <c r="AH1443" s="9" t="s">
        <v>169</v>
      </c>
      <c r="AI1443" s="10"/>
      <c r="AJ1443" s="10"/>
      <c r="AK1443" s="30"/>
    </row>
    <row r="1444" spans="5:37">
      <c r="E1444" s="28" t="s">
        <v>155</v>
      </c>
      <c r="F1444" s="8" t="s">
        <v>229</v>
      </c>
      <c r="G1444" s="9" t="s">
        <v>747</v>
      </c>
      <c r="H1444" s="10">
        <v>188</v>
      </c>
      <c r="I1444" s="9" t="s">
        <v>158</v>
      </c>
      <c r="J1444" s="10">
        <v>188</v>
      </c>
      <c r="K1444" s="10">
        <v>186.7</v>
      </c>
      <c r="L1444" s="10">
        <v>106</v>
      </c>
      <c r="M1444" s="10">
        <v>148</v>
      </c>
      <c r="N1444" s="10">
        <v>131</v>
      </c>
      <c r="O1444" s="10">
        <v>103</v>
      </c>
      <c r="P1444" s="10">
        <v>120</v>
      </c>
      <c r="Q1444" s="10">
        <v>22.6</v>
      </c>
      <c r="R1444" s="10">
        <v>2095</v>
      </c>
      <c r="S1444" s="10">
        <v>1</v>
      </c>
      <c r="T1444" s="10">
        <v>2094</v>
      </c>
      <c r="U1444" s="10">
        <v>182</v>
      </c>
      <c r="V1444" s="10">
        <v>88</v>
      </c>
      <c r="W1444" s="10">
        <v>57</v>
      </c>
      <c r="X1444" s="10">
        <v>399</v>
      </c>
      <c r="Y1444" s="10">
        <v>41</v>
      </c>
      <c r="Z1444" s="10">
        <v>406</v>
      </c>
      <c r="AA1444" s="10">
        <v>0.72099999999999997</v>
      </c>
      <c r="AB1444" s="10">
        <v>194</v>
      </c>
      <c r="AC1444" s="10">
        <v>193</v>
      </c>
      <c r="AD1444" s="10">
        <v>205</v>
      </c>
      <c r="AE1444" s="10">
        <v>5</v>
      </c>
      <c r="AF1444" s="10">
        <v>2.5</v>
      </c>
      <c r="AG1444" s="9" t="s">
        <v>188</v>
      </c>
      <c r="AH1444" s="9" t="s">
        <v>169</v>
      </c>
      <c r="AI1444" s="10"/>
      <c r="AJ1444" s="10"/>
      <c r="AK1444" s="30"/>
    </row>
    <row r="1445" spans="5:37">
      <c r="E1445" s="28" t="s">
        <v>155</v>
      </c>
      <c r="F1445" s="8" t="s">
        <v>229</v>
      </c>
      <c r="G1445" s="9" t="s">
        <v>780</v>
      </c>
      <c r="H1445" s="10">
        <v>177</v>
      </c>
      <c r="I1445" s="9" t="s">
        <v>158</v>
      </c>
      <c r="J1445" s="10">
        <v>177</v>
      </c>
      <c r="K1445" s="10">
        <v>177.4</v>
      </c>
      <c r="L1445" s="10">
        <v>82</v>
      </c>
      <c r="M1445" s="10">
        <v>118</v>
      </c>
      <c r="N1445" s="10">
        <v>141</v>
      </c>
      <c r="O1445" s="10">
        <v>120</v>
      </c>
      <c r="P1445" s="10">
        <v>133</v>
      </c>
      <c r="Q1445" s="10">
        <v>17.7</v>
      </c>
      <c r="R1445" s="10">
        <v>2158</v>
      </c>
      <c r="S1445" s="10">
        <v>1.04</v>
      </c>
      <c r="T1445" s="10">
        <v>2242</v>
      </c>
      <c r="U1445" s="10">
        <v>193</v>
      </c>
      <c r="V1445" s="10">
        <v>94</v>
      </c>
      <c r="W1445" s="10">
        <v>77</v>
      </c>
      <c r="X1445" s="10">
        <v>487</v>
      </c>
      <c r="Y1445" s="10">
        <v>45</v>
      </c>
      <c r="Z1445" s="10">
        <v>465</v>
      </c>
      <c r="AA1445" s="10">
        <v>0.58499999999999996</v>
      </c>
      <c r="AB1445" s="10">
        <v>298</v>
      </c>
      <c r="AC1445" s="10">
        <v>298</v>
      </c>
      <c r="AD1445" s="10">
        <v>189</v>
      </c>
      <c r="AE1445" s="10">
        <v>5</v>
      </c>
      <c r="AF1445" s="10">
        <v>3.4</v>
      </c>
      <c r="AG1445" s="9" t="s">
        <v>169</v>
      </c>
      <c r="AH1445" s="10"/>
      <c r="AI1445" s="10"/>
      <c r="AJ1445" s="10"/>
      <c r="AK1445" s="30"/>
    </row>
    <row r="1446" spans="5:37">
      <c r="E1446" s="28" t="s">
        <v>155</v>
      </c>
      <c r="F1446" s="8" t="s">
        <v>229</v>
      </c>
      <c r="G1446" s="9" t="s">
        <v>575</v>
      </c>
      <c r="H1446" s="10">
        <v>169</v>
      </c>
      <c r="I1446" s="9" t="s">
        <v>158</v>
      </c>
      <c r="J1446" s="10">
        <v>169</v>
      </c>
      <c r="K1446" s="10">
        <v>166.1</v>
      </c>
      <c r="L1446" s="10">
        <v>133</v>
      </c>
      <c r="M1446" s="10">
        <v>145</v>
      </c>
      <c r="N1446" s="10">
        <v>115</v>
      </c>
      <c r="O1446" s="10">
        <v>86</v>
      </c>
      <c r="P1446" s="10">
        <v>115</v>
      </c>
      <c r="Q1446" s="10">
        <v>18</v>
      </c>
      <c r="R1446" s="10">
        <v>1834</v>
      </c>
      <c r="S1446" s="10">
        <v>0.87</v>
      </c>
      <c r="T1446" s="10">
        <v>1604</v>
      </c>
      <c r="U1446" s="10">
        <v>221</v>
      </c>
      <c r="V1446" s="10">
        <v>103</v>
      </c>
      <c r="W1446" s="10">
        <v>45</v>
      </c>
      <c r="X1446" s="10">
        <v>169</v>
      </c>
      <c r="Y1446" s="10">
        <v>42</v>
      </c>
      <c r="Z1446" s="10">
        <v>166</v>
      </c>
      <c r="AA1446" s="10">
        <v>0.92900000000000005</v>
      </c>
      <c r="AB1446" s="10">
        <v>103</v>
      </c>
      <c r="AC1446" s="10">
        <v>110</v>
      </c>
      <c r="AD1446" s="10">
        <v>67</v>
      </c>
      <c r="AE1446" s="10">
        <v>7</v>
      </c>
      <c r="AF1446" s="10">
        <v>0.4</v>
      </c>
      <c r="AG1446" s="9" t="s">
        <v>184</v>
      </c>
      <c r="AH1446" s="10"/>
      <c r="AI1446" s="10"/>
      <c r="AJ1446" s="10"/>
      <c r="AK1446" s="30"/>
    </row>
    <row r="1447" spans="5:37">
      <c r="E1447" s="28" t="s">
        <v>155</v>
      </c>
      <c r="F1447" s="8" t="s">
        <v>229</v>
      </c>
      <c r="G1447" s="9" t="s">
        <v>575</v>
      </c>
      <c r="H1447" s="10">
        <v>177</v>
      </c>
      <c r="I1447" s="9" t="s">
        <v>158</v>
      </c>
      <c r="J1447" s="10">
        <v>177</v>
      </c>
      <c r="K1447" s="10">
        <v>173.4</v>
      </c>
      <c r="L1447" s="10">
        <v>139</v>
      </c>
      <c r="M1447" s="10">
        <v>152</v>
      </c>
      <c r="N1447" s="10">
        <v>115</v>
      </c>
      <c r="O1447" s="10">
        <v>86</v>
      </c>
      <c r="P1447" s="10">
        <v>114</v>
      </c>
      <c r="Q1447" s="10">
        <v>20</v>
      </c>
      <c r="R1447" s="10">
        <v>1911</v>
      </c>
      <c r="S1447" s="10">
        <v>0.87</v>
      </c>
      <c r="T1447" s="10">
        <v>1670</v>
      </c>
      <c r="U1447" s="10">
        <v>234</v>
      </c>
      <c r="V1447" s="10">
        <v>113</v>
      </c>
      <c r="W1447" s="10">
        <v>45</v>
      </c>
      <c r="X1447" s="10">
        <v>175</v>
      </c>
      <c r="Y1447" s="10">
        <v>42</v>
      </c>
      <c r="Z1447" s="10">
        <v>167</v>
      </c>
      <c r="AA1447" s="10">
        <v>0.94099999999999995</v>
      </c>
      <c r="AB1447" s="10">
        <v>103</v>
      </c>
      <c r="AC1447" s="10">
        <v>108</v>
      </c>
      <c r="AD1447" s="10">
        <v>72</v>
      </c>
      <c r="AE1447" s="10">
        <v>6</v>
      </c>
      <c r="AF1447" s="10">
        <v>0.5</v>
      </c>
      <c r="AG1447" s="9" t="s">
        <v>184</v>
      </c>
      <c r="AH1447" s="10"/>
      <c r="AI1447" s="10"/>
      <c r="AJ1447" s="10"/>
      <c r="AK1447" s="30"/>
    </row>
    <row r="1448" spans="5:37">
      <c r="E1448" s="28" t="s">
        <v>155</v>
      </c>
      <c r="F1448" s="8" t="s">
        <v>229</v>
      </c>
      <c r="G1448" s="9" t="s">
        <v>596</v>
      </c>
      <c r="H1448" s="10">
        <v>157</v>
      </c>
      <c r="I1448" s="9" t="s">
        <v>158</v>
      </c>
      <c r="J1448" s="10">
        <v>157</v>
      </c>
      <c r="K1448" s="10">
        <v>156.1</v>
      </c>
      <c r="L1448" s="10">
        <v>120</v>
      </c>
      <c r="M1448" s="10">
        <v>141</v>
      </c>
      <c r="N1448" s="10">
        <v>128</v>
      </c>
      <c r="O1448" s="10">
        <v>94</v>
      </c>
      <c r="P1448" s="10">
        <v>118</v>
      </c>
      <c r="Q1448" s="10">
        <v>16.899999999999999</v>
      </c>
      <c r="R1448" s="10">
        <v>1681</v>
      </c>
      <c r="S1448" s="10">
        <v>0.97</v>
      </c>
      <c r="T1448" s="10">
        <v>1624</v>
      </c>
      <c r="U1448" s="10">
        <v>156</v>
      </c>
      <c r="V1448" s="10">
        <v>82</v>
      </c>
      <c r="W1448" s="10">
        <v>39</v>
      </c>
      <c r="X1448" s="10">
        <v>218</v>
      </c>
      <c r="Y1448" s="10">
        <v>36</v>
      </c>
      <c r="Z1448" s="10">
        <v>147</v>
      </c>
      <c r="AA1448" s="10">
        <v>0.94599999999999995</v>
      </c>
      <c r="AB1448" s="10">
        <v>81</v>
      </c>
      <c r="AC1448" s="10">
        <v>69</v>
      </c>
      <c r="AD1448" s="10">
        <v>137</v>
      </c>
      <c r="AE1448" s="10">
        <v>6</v>
      </c>
      <c r="AF1448" s="10">
        <v>0.1</v>
      </c>
      <c r="AG1448" s="9" t="s">
        <v>184</v>
      </c>
      <c r="AH1448" s="10"/>
      <c r="AI1448" s="10"/>
      <c r="AJ1448" s="10"/>
      <c r="AK1448" s="30"/>
    </row>
    <row r="1449" spans="5:37">
      <c r="E1449" s="28" t="s">
        <v>155</v>
      </c>
      <c r="F1449" s="8" t="s">
        <v>229</v>
      </c>
      <c r="G1449" s="9" t="s">
        <v>596</v>
      </c>
      <c r="H1449" s="10">
        <v>165</v>
      </c>
      <c r="I1449" s="9" t="s">
        <v>158</v>
      </c>
      <c r="J1449" s="10">
        <v>165</v>
      </c>
      <c r="K1449" s="10">
        <v>163.6</v>
      </c>
      <c r="L1449" s="10">
        <v>132</v>
      </c>
      <c r="M1449" s="10">
        <v>149</v>
      </c>
      <c r="N1449" s="10">
        <v>128</v>
      </c>
      <c r="O1449" s="10">
        <v>94</v>
      </c>
      <c r="P1449" s="10">
        <v>118</v>
      </c>
      <c r="Q1449" s="10">
        <v>19</v>
      </c>
      <c r="R1449" s="10">
        <v>1806</v>
      </c>
      <c r="S1449" s="10">
        <v>0.94</v>
      </c>
      <c r="T1449" s="10">
        <v>1702</v>
      </c>
      <c r="U1449" s="10">
        <v>170</v>
      </c>
      <c r="V1449" s="10">
        <v>85</v>
      </c>
      <c r="W1449" s="10">
        <v>40</v>
      </c>
      <c r="X1449" s="10">
        <v>163</v>
      </c>
      <c r="Y1449" s="10">
        <v>36</v>
      </c>
      <c r="Z1449" s="10">
        <v>149</v>
      </c>
      <c r="AA1449" s="10">
        <v>0.89400000000000002</v>
      </c>
      <c r="AB1449" s="10">
        <v>80</v>
      </c>
      <c r="AC1449" s="10">
        <v>70</v>
      </c>
      <c r="AD1449" s="10">
        <v>83</v>
      </c>
      <c r="AE1449" s="10">
        <v>5</v>
      </c>
      <c r="AF1449" s="10">
        <v>0.6</v>
      </c>
      <c r="AG1449" s="9" t="s">
        <v>184</v>
      </c>
      <c r="AH1449" s="10"/>
      <c r="AI1449" s="10"/>
      <c r="AJ1449" s="10"/>
      <c r="AK1449" s="30"/>
    </row>
    <row r="1450" spans="5:37">
      <c r="E1450" s="28" t="s">
        <v>155</v>
      </c>
      <c r="F1450" s="8" t="s">
        <v>229</v>
      </c>
      <c r="G1450" s="9" t="s">
        <v>596</v>
      </c>
      <c r="H1450" s="10">
        <v>173</v>
      </c>
      <c r="I1450" s="9" t="s">
        <v>158</v>
      </c>
      <c r="J1450" s="10">
        <v>173</v>
      </c>
      <c r="K1450" s="10">
        <v>173.4</v>
      </c>
      <c r="L1450" s="10">
        <v>130</v>
      </c>
      <c r="M1450" s="10">
        <v>159</v>
      </c>
      <c r="N1450" s="10">
        <v>128</v>
      </c>
      <c r="O1450" s="10">
        <v>94</v>
      </c>
      <c r="P1450" s="10">
        <v>118</v>
      </c>
      <c r="Q1450" s="10">
        <v>21.6</v>
      </c>
      <c r="R1450" s="10">
        <v>1979</v>
      </c>
      <c r="S1450" s="10">
        <v>0.91</v>
      </c>
      <c r="T1450" s="10">
        <v>1806</v>
      </c>
      <c r="U1450" s="10">
        <v>192</v>
      </c>
      <c r="V1450" s="10">
        <v>104</v>
      </c>
      <c r="W1450" s="10">
        <v>41</v>
      </c>
      <c r="X1450" s="10">
        <v>222</v>
      </c>
      <c r="Y1450" s="10">
        <v>37</v>
      </c>
      <c r="Z1450" s="10">
        <v>209</v>
      </c>
      <c r="AA1450" s="10">
        <v>0.91200000000000003</v>
      </c>
      <c r="AB1450" s="10">
        <v>81</v>
      </c>
      <c r="AC1450" s="10">
        <v>62</v>
      </c>
      <c r="AD1450" s="10">
        <v>141</v>
      </c>
      <c r="AE1450" s="10">
        <v>5</v>
      </c>
      <c r="AF1450" s="10">
        <v>0.1</v>
      </c>
      <c r="AG1450" s="9" t="s">
        <v>184</v>
      </c>
      <c r="AH1450" s="10"/>
      <c r="AI1450" s="10"/>
      <c r="AJ1450" s="10"/>
      <c r="AK1450" s="30"/>
    </row>
    <row r="1451" spans="5:37">
      <c r="E1451" s="28" t="s">
        <v>155</v>
      </c>
      <c r="F1451" s="8" t="s">
        <v>229</v>
      </c>
      <c r="G1451" s="9" t="s">
        <v>596</v>
      </c>
      <c r="H1451" s="10">
        <v>181</v>
      </c>
      <c r="I1451" s="9" t="s">
        <v>158</v>
      </c>
      <c r="J1451" s="10">
        <v>181</v>
      </c>
      <c r="K1451" s="10">
        <v>181.3</v>
      </c>
      <c r="L1451" s="10">
        <v>145</v>
      </c>
      <c r="M1451" s="10">
        <v>166</v>
      </c>
      <c r="N1451" s="10">
        <v>128</v>
      </c>
      <c r="O1451" s="10">
        <v>94</v>
      </c>
      <c r="P1451" s="10">
        <v>118</v>
      </c>
      <c r="Q1451" s="10">
        <v>23.8</v>
      </c>
      <c r="R1451" s="10">
        <v>2034</v>
      </c>
      <c r="S1451" s="10">
        <v>0.93</v>
      </c>
      <c r="T1451" s="10">
        <v>1886</v>
      </c>
      <c r="U1451" s="10">
        <v>209</v>
      </c>
      <c r="V1451" s="10">
        <v>106</v>
      </c>
      <c r="W1451" s="10">
        <v>38</v>
      </c>
      <c r="X1451" s="10">
        <v>204</v>
      </c>
      <c r="Y1451" s="10">
        <v>37</v>
      </c>
      <c r="Z1451" s="10">
        <v>156</v>
      </c>
      <c r="AA1451" s="10">
        <v>0.96</v>
      </c>
      <c r="AB1451" s="10">
        <v>83</v>
      </c>
      <c r="AC1451" s="10">
        <v>72</v>
      </c>
      <c r="AD1451" s="10">
        <v>120</v>
      </c>
      <c r="AE1451" s="10">
        <v>6</v>
      </c>
      <c r="AF1451" s="10">
        <v>0.2</v>
      </c>
      <c r="AG1451" s="9" t="s">
        <v>184</v>
      </c>
      <c r="AH1451" s="10"/>
      <c r="AI1451" s="10"/>
      <c r="AJ1451" s="10"/>
      <c r="AK1451" s="30"/>
    </row>
    <row r="1452" spans="5:37">
      <c r="E1452" s="28" t="s">
        <v>155</v>
      </c>
      <c r="F1452" s="8" t="s">
        <v>229</v>
      </c>
      <c r="G1452" s="9" t="s">
        <v>656</v>
      </c>
      <c r="H1452" s="10">
        <v>170</v>
      </c>
      <c r="I1452" s="9" t="s">
        <v>158</v>
      </c>
      <c r="J1452" s="10">
        <v>170</v>
      </c>
      <c r="K1452" s="10">
        <v>169.3</v>
      </c>
      <c r="L1452" s="10">
        <v>140</v>
      </c>
      <c r="M1452" s="10">
        <v>147</v>
      </c>
      <c r="N1452" s="10">
        <v>130</v>
      </c>
      <c r="O1452" s="10">
        <v>87</v>
      </c>
      <c r="P1452" s="10">
        <v>111</v>
      </c>
      <c r="Q1452" s="10">
        <v>15.7</v>
      </c>
      <c r="R1452" s="10">
        <v>1167</v>
      </c>
      <c r="S1452" s="10">
        <v>1.46</v>
      </c>
      <c r="T1452" s="10">
        <v>1700</v>
      </c>
      <c r="U1452" s="10">
        <v>150</v>
      </c>
      <c r="V1452" s="10">
        <v>57</v>
      </c>
      <c r="W1452" s="10">
        <v>43</v>
      </c>
      <c r="X1452" s="10">
        <v>230</v>
      </c>
      <c r="Y1452" s="10">
        <v>4</v>
      </c>
      <c r="Z1452" s="10">
        <v>66</v>
      </c>
      <c r="AA1452" s="10">
        <v>0.104</v>
      </c>
      <c r="AB1452" s="10">
        <v>124</v>
      </c>
      <c r="AC1452" s="10">
        <v>95</v>
      </c>
      <c r="AD1452" s="10">
        <v>106</v>
      </c>
      <c r="AE1452" s="10">
        <v>6</v>
      </c>
      <c r="AF1452" s="10">
        <v>11.6</v>
      </c>
      <c r="AG1452" s="9" t="s">
        <v>185</v>
      </c>
      <c r="AH1452" s="9" t="s">
        <v>198</v>
      </c>
      <c r="AI1452" s="10"/>
      <c r="AJ1452" s="10"/>
      <c r="AK1452" s="30"/>
    </row>
    <row r="1453" spans="5:37">
      <c r="E1453" s="28" t="s">
        <v>155</v>
      </c>
      <c r="F1453" s="8" t="s">
        <v>229</v>
      </c>
      <c r="G1453" s="9" t="s">
        <v>656</v>
      </c>
      <c r="H1453" s="10">
        <v>177</v>
      </c>
      <c r="I1453" s="9" t="s">
        <v>158</v>
      </c>
      <c r="J1453" s="10">
        <v>177</v>
      </c>
      <c r="K1453" s="10">
        <v>176.7</v>
      </c>
      <c r="L1453" s="10">
        <v>147</v>
      </c>
      <c r="M1453" s="10">
        <v>156</v>
      </c>
      <c r="N1453" s="10">
        <v>130</v>
      </c>
      <c r="O1453" s="10">
        <v>87</v>
      </c>
      <c r="P1453" s="10">
        <v>111</v>
      </c>
      <c r="Q1453" s="10">
        <v>17.5</v>
      </c>
      <c r="R1453" s="10">
        <v>1279</v>
      </c>
      <c r="S1453" s="10">
        <v>1.39</v>
      </c>
      <c r="T1453" s="10">
        <v>1773</v>
      </c>
      <c r="U1453" s="10">
        <v>171</v>
      </c>
      <c r="V1453" s="10">
        <v>76</v>
      </c>
      <c r="W1453" s="10">
        <v>42</v>
      </c>
      <c r="X1453" s="10">
        <v>236</v>
      </c>
      <c r="Y1453" s="10">
        <v>4</v>
      </c>
      <c r="Z1453" s="10">
        <v>62</v>
      </c>
      <c r="AA1453" s="10">
        <v>9.6000000000000002E-2</v>
      </c>
      <c r="AB1453" s="10">
        <v>120</v>
      </c>
      <c r="AC1453" s="10">
        <v>89</v>
      </c>
      <c r="AD1453" s="10">
        <v>116</v>
      </c>
      <c r="AE1453" s="10">
        <v>6</v>
      </c>
      <c r="AF1453" s="10">
        <v>12.2</v>
      </c>
      <c r="AG1453" s="9" t="s">
        <v>185</v>
      </c>
      <c r="AH1453" s="9" t="s">
        <v>198</v>
      </c>
      <c r="AI1453" s="10"/>
      <c r="AJ1453" s="10"/>
      <c r="AK1453" s="30"/>
    </row>
    <row r="1454" spans="5:37">
      <c r="E1454" s="28" t="s">
        <v>155</v>
      </c>
      <c r="F1454" s="8" t="s">
        <v>229</v>
      </c>
      <c r="G1454" s="9" t="s">
        <v>656</v>
      </c>
      <c r="H1454" s="10">
        <v>184</v>
      </c>
      <c r="I1454" s="9" t="s">
        <v>158</v>
      </c>
      <c r="J1454" s="10">
        <v>184</v>
      </c>
      <c r="K1454" s="10">
        <v>184</v>
      </c>
      <c r="L1454" s="10">
        <v>149</v>
      </c>
      <c r="M1454" s="10">
        <v>163</v>
      </c>
      <c r="N1454" s="10">
        <v>130</v>
      </c>
      <c r="O1454" s="10">
        <v>87</v>
      </c>
      <c r="P1454" s="10">
        <v>111</v>
      </c>
      <c r="Q1454" s="10">
        <v>19.2</v>
      </c>
      <c r="R1454" s="10">
        <v>1357</v>
      </c>
      <c r="S1454" s="10">
        <v>1.36</v>
      </c>
      <c r="T1454" s="10">
        <v>1847</v>
      </c>
      <c r="U1454" s="10">
        <v>195</v>
      </c>
      <c r="V1454" s="10">
        <v>76</v>
      </c>
      <c r="W1454" s="10">
        <v>47</v>
      </c>
      <c r="X1454" s="10">
        <v>285</v>
      </c>
      <c r="Y1454" s="10">
        <v>4</v>
      </c>
      <c r="Z1454" s="10">
        <v>64</v>
      </c>
      <c r="AA1454" s="10">
        <v>8.6999999999999994E-2</v>
      </c>
      <c r="AB1454" s="10">
        <v>122</v>
      </c>
      <c r="AC1454" s="10">
        <v>90</v>
      </c>
      <c r="AD1454" s="10">
        <v>164</v>
      </c>
      <c r="AE1454" s="10">
        <v>6</v>
      </c>
      <c r="AF1454" s="10">
        <v>12.5</v>
      </c>
      <c r="AG1454" s="9" t="s">
        <v>185</v>
      </c>
      <c r="AH1454" s="9" t="s">
        <v>198</v>
      </c>
      <c r="AI1454" s="10"/>
      <c r="AJ1454" s="10"/>
      <c r="AK1454" s="30"/>
    </row>
    <row r="1455" spans="5:37">
      <c r="E1455" s="28" t="s">
        <v>155</v>
      </c>
      <c r="F1455" s="8" t="s">
        <v>229</v>
      </c>
      <c r="G1455" s="9" t="s">
        <v>855</v>
      </c>
      <c r="H1455" s="10">
        <v>156</v>
      </c>
      <c r="I1455" s="9" t="s">
        <v>163</v>
      </c>
      <c r="J1455" s="10">
        <v>156</v>
      </c>
      <c r="K1455" s="10">
        <v>154.6</v>
      </c>
      <c r="L1455" s="10">
        <v>127</v>
      </c>
      <c r="M1455" s="10">
        <v>132</v>
      </c>
      <c r="N1455" s="10">
        <v>130</v>
      </c>
      <c r="O1455" s="10">
        <v>87</v>
      </c>
      <c r="P1455" s="10">
        <v>111</v>
      </c>
      <c r="Q1455" s="10">
        <v>12.7</v>
      </c>
      <c r="R1455" s="10">
        <v>1111</v>
      </c>
      <c r="S1455" s="10">
        <v>1.4</v>
      </c>
      <c r="T1455" s="10">
        <v>1555</v>
      </c>
      <c r="U1455" s="10">
        <v>135</v>
      </c>
      <c r="V1455" s="10">
        <v>59</v>
      </c>
      <c r="W1455" s="10">
        <v>42</v>
      </c>
      <c r="X1455" s="10">
        <v>212</v>
      </c>
      <c r="Y1455" s="10">
        <v>4</v>
      </c>
      <c r="Z1455" s="10">
        <v>65</v>
      </c>
      <c r="AA1455" s="10">
        <v>0.104</v>
      </c>
      <c r="AB1455" s="10">
        <v>131</v>
      </c>
      <c r="AC1455" s="10">
        <v>93</v>
      </c>
      <c r="AD1455" s="10">
        <v>81</v>
      </c>
      <c r="AE1455" s="10">
        <v>5</v>
      </c>
      <c r="AF1455" s="10">
        <v>11.4</v>
      </c>
      <c r="AG1455" s="9" t="s">
        <v>185</v>
      </c>
      <c r="AH1455" s="9" t="s">
        <v>198</v>
      </c>
      <c r="AI1455" s="10"/>
      <c r="AJ1455" s="10"/>
      <c r="AK1455" s="30"/>
    </row>
    <row r="1456" spans="5:37">
      <c r="E1456" s="28" t="s">
        <v>155</v>
      </c>
      <c r="F1456" s="8" t="s">
        <v>229</v>
      </c>
      <c r="G1456" s="9" t="s">
        <v>855</v>
      </c>
      <c r="H1456" s="10">
        <v>163</v>
      </c>
      <c r="I1456" s="9" t="s">
        <v>163</v>
      </c>
      <c r="J1456" s="10">
        <v>163</v>
      </c>
      <c r="K1456" s="10">
        <v>162.1</v>
      </c>
      <c r="L1456" s="10">
        <v>133</v>
      </c>
      <c r="M1456" s="10">
        <v>140</v>
      </c>
      <c r="N1456" s="10">
        <v>130</v>
      </c>
      <c r="O1456" s="10">
        <v>87</v>
      </c>
      <c r="P1456" s="10">
        <v>111</v>
      </c>
      <c r="Q1456" s="10">
        <v>14.2</v>
      </c>
      <c r="R1456" s="10">
        <v>1165</v>
      </c>
      <c r="S1456" s="10">
        <v>1.4</v>
      </c>
      <c r="T1456" s="10">
        <v>1630</v>
      </c>
      <c r="U1456" s="10">
        <v>149</v>
      </c>
      <c r="V1456" s="10">
        <v>62</v>
      </c>
      <c r="W1456" s="10">
        <v>43</v>
      </c>
      <c r="X1456" s="10">
        <v>221</v>
      </c>
      <c r="Y1456" s="10">
        <v>5</v>
      </c>
      <c r="Z1456" s="10">
        <v>72</v>
      </c>
      <c r="AA1456" s="10">
        <v>0.113</v>
      </c>
      <c r="AB1456" s="10">
        <v>130</v>
      </c>
      <c r="AC1456" s="10">
        <v>95</v>
      </c>
      <c r="AD1456" s="10">
        <v>91</v>
      </c>
      <c r="AE1456" s="10">
        <v>4</v>
      </c>
      <c r="AF1456" s="10">
        <v>10.8</v>
      </c>
      <c r="AG1456" s="9" t="s">
        <v>185</v>
      </c>
      <c r="AH1456" s="9" t="s">
        <v>198</v>
      </c>
      <c r="AI1456" s="10"/>
      <c r="AJ1456" s="10"/>
      <c r="AK1456" s="30"/>
    </row>
    <row r="1457" spans="5:37">
      <c r="E1457" s="28" t="s">
        <v>155</v>
      </c>
      <c r="F1457" s="8" t="s">
        <v>229</v>
      </c>
      <c r="G1457" s="9" t="s">
        <v>461</v>
      </c>
      <c r="H1457" s="10">
        <v>156</v>
      </c>
      <c r="I1457" s="9" t="s">
        <v>158</v>
      </c>
      <c r="J1457" s="10">
        <v>156</v>
      </c>
      <c r="K1457" s="10">
        <v>154.5</v>
      </c>
      <c r="L1457" s="10">
        <v>122</v>
      </c>
      <c r="M1457" s="10">
        <v>133</v>
      </c>
      <c r="N1457" s="10">
        <v>137</v>
      </c>
      <c r="O1457" s="10">
        <v>95</v>
      </c>
      <c r="P1457" s="10">
        <v>118</v>
      </c>
      <c r="Q1457" s="10">
        <v>12.6</v>
      </c>
      <c r="R1457" s="10">
        <v>1110</v>
      </c>
      <c r="S1457" s="10">
        <v>1.5</v>
      </c>
      <c r="T1457" s="10">
        <v>1669</v>
      </c>
      <c r="U1457" s="10">
        <v>134</v>
      </c>
      <c r="V1457" s="10">
        <v>66</v>
      </c>
      <c r="W1457" s="10">
        <v>37</v>
      </c>
      <c r="X1457" s="10">
        <v>261</v>
      </c>
      <c r="Y1457" s="10">
        <v>5</v>
      </c>
      <c r="Z1457" s="10">
        <v>68</v>
      </c>
      <c r="AA1457" s="10">
        <v>0.123</v>
      </c>
      <c r="AB1457" s="10">
        <v>125</v>
      </c>
      <c r="AC1457" s="10">
        <v>95</v>
      </c>
      <c r="AD1457" s="10">
        <v>136</v>
      </c>
      <c r="AE1457" s="10">
        <v>4</v>
      </c>
      <c r="AF1457" s="10">
        <v>10.6</v>
      </c>
      <c r="AG1457" s="9" t="s">
        <v>185</v>
      </c>
      <c r="AH1457" s="9" t="s">
        <v>198</v>
      </c>
      <c r="AI1457" s="10"/>
      <c r="AJ1457" s="10"/>
      <c r="AK1457" s="30"/>
    </row>
    <row r="1458" spans="5:37">
      <c r="E1458" s="28" t="s">
        <v>155</v>
      </c>
      <c r="F1458" s="8" t="s">
        <v>229</v>
      </c>
      <c r="G1458" s="9" t="s">
        <v>461</v>
      </c>
      <c r="H1458" s="10">
        <v>163</v>
      </c>
      <c r="I1458" s="9" t="s">
        <v>158</v>
      </c>
      <c r="J1458" s="10">
        <v>163</v>
      </c>
      <c r="K1458" s="10">
        <v>162</v>
      </c>
      <c r="L1458" s="10">
        <v>126</v>
      </c>
      <c r="M1458" s="10">
        <v>140</v>
      </c>
      <c r="N1458" s="10">
        <v>137</v>
      </c>
      <c r="O1458" s="10">
        <v>95</v>
      </c>
      <c r="P1458" s="10">
        <v>118</v>
      </c>
      <c r="Q1458" s="10">
        <v>14.4</v>
      </c>
      <c r="R1458" s="10">
        <v>1158</v>
      </c>
      <c r="S1458" s="10">
        <v>1.51</v>
      </c>
      <c r="T1458" s="10">
        <v>1751</v>
      </c>
      <c r="U1458" s="10">
        <v>143</v>
      </c>
      <c r="V1458" s="10">
        <v>67</v>
      </c>
      <c r="W1458" s="10">
        <v>38</v>
      </c>
      <c r="X1458" s="10">
        <v>292</v>
      </c>
      <c r="Y1458" s="10">
        <v>5</v>
      </c>
      <c r="Z1458" s="10">
        <v>67</v>
      </c>
      <c r="AA1458" s="10">
        <v>0.129</v>
      </c>
      <c r="AB1458" s="10">
        <v>129</v>
      </c>
      <c r="AC1458" s="10">
        <v>93</v>
      </c>
      <c r="AD1458" s="10">
        <v>162</v>
      </c>
      <c r="AE1458" s="10">
        <v>3</v>
      </c>
      <c r="AF1458" s="10">
        <v>11.6</v>
      </c>
      <c r="AG1458" s="9" t="s">
        <v>185</v>
      </c>
      <c r="AH1458" s="9" t="s">
        <v>198</v>
      </c>
      <c r="AI1458" s="10"/>
      <c r="AJ1458" s="10"/>
      <c r="AK1458" s="30"/>
    </row>
    <row r="1459" spans="5:37">
      <c r="E1459" s="28" t="s">
        <v>155</v>
      </c>
      <c r="F1459" s="8" t="s">
        <v>229</v>
      </c>
      <c r="G1459" s="9" t="s">
        <v>461</v>
      </c>
      <c r="H1459" s="10">
        <v>170</v>
      </c>
      <c r="I1459" s="9" t="s">
        <v>158</v>
      </c>
      <c r="J1459" s="10">
        <v>170</v>
      </c>
      <c r="K1459" s="10">
        <v>169.5</v>
      </c>
      <c r="L1459" s="10">
        <v>130</v>
      </c>
      <c r="M1459" s="10">
        <v>148</v>
      </c>
      <c r="N1459" s="10">
        <v>137</v>
      </c>
      <c r="O1459" s="10">
        <v>95</v>
      </c>
      <c r="P1459" s="10">
        <v>118</v>
      </c>
      <c r="Q1459" s="10">
        <v>15.9</v>
      </c>
      <c r="R1459" s="10">
        <v>1260</v>
      </c>
      <c r="S1459" s="10">
        <v>1.45</v>
      </c>
      <c r="T1459" s="10">
        <v>1830</v>
      </c>
      <c r="U1459" s="10">
        <v>155</v>
      </c>
      <c r="V1459" s="10">
        <v>70</v>
      </c>
      <c r="W1459" s="10">
        <v>39</v>
      </c>
      <c r="X1459" s="10">
        <v>326</v>
      </c>
      <c r="Y1459" s="10">
        <v>5</v>
      </c>
      <c r="Z1459" s="10">
        <v>72</v>
      </c>
      <c r="AA1459" s="10">
        <v>0.13500000000000001</v>
      </c>
      <c r="AB1459" s="10">
        <v>123</v>
      </c>
      <c r="AC1459" s="10">
        <v>89</v>
      </c>
      <c r="AD1459" s="10">
        <v>204</v>
      </c>
      <c r="AE1459" s="10">
        <v>3</v>
      </c>
      <c r="AF1459" s="10">
        <v>11.3</v>
      </c>
      <c r="AG1459" s="9" t="s">
        <v>185</v>
      </c>
      <c r="AH1459" s="9" t="s">
        <v>198</v>
      </c>
      <c r="AI1459" s="10"/>
      <c r="AJ1459" s="10"/>
      <c r="AK1459" s="30"/>
    </row>
    <row r="1460" spans="5:37">
      <c r="E1460" s="28" t="s">
        <v>155</v>
      </c>
      <c r="F1460" s="8" t="s">
        <v>229</v>
      </c>
      <c r="G1460" s="9" t="s">
        <v>461</v>
      </c>
      <c r="H1460" s="10">
        <v>177</v>
      </c>
      <c r="I1460" s="9" t="s">
        <v>158</v>
      </c>
      <c r="J1460" s="10">
        <v>177</v>
      </c>
      <c r="K1460" s="10">
        <v>176.9</v>
      </c>
      <c r="L1460" s="10">
        <v>145</v>
      </c>
      <c r="M1460" s="10">
        <v>154</v>
      </c>
      <c r="N1460" s="10">
        <v>138</v>
      </c>
      <c r="O1460" s="10">
        <v>96</v>
      </c>
      <c r="P1460" s="10">
        <v>119</v>
      </c>
      <c r="Q1460" s="10">
        <v>17.7</v>
      </c>
      <c r="R1460" s="10">
        <v>1347</v>
      </c>
      <c r="S1460" s="10">
        <v>1.43</v>
      </c>
      <c r="T1460" s="10">
        <v>1921</v>
      </c>
      <c r="U1460" s="10">
        <v>174</v>
      </c>
      <c r="V1460" s="10">
        <v>73</v>
      </c>
      <c r="W1460" s="10">
        <v>36</v>
      </c>
      <c r="X1460" s="10">
        <v>260</v>
      </c>
      <c r="Y1460" s="10">
        <v>5</v>
      </c>
      <c r="Z1460" s="10">
        <v>63</v>
      </c>
      <c r="AA1460" s="10">
        <v>0.13</v>
      </c>
      <c r="AB1460" s="10">
        <v>130</v>
      </c>
      <c r="AC1460" s="10">
        <v>96</v>
      </c>
      <c r="AD1460" s="10">
        <v>130</v>
      </c>
      <c r="AE1460" s="10">
        <v>6</v>
      </c>
      <c r="AF1460" s="10">
        <v>11.8</v>
      </c>
      <c r="AG1460" s="9" t="s">
        <v>185</v>
      </c>
      <c r="AH1460" s="9" t="s">
        <v>198</v>
      </c>
      <c r="AI1460" s="10"/>
      <c r="AJ1460" s="10"/>
      <c r="AK1460" s="30"/>
    </row>
    <row r="1461" spans="5:37">
      <c r="E1461" s="28" t="s">
        <v>155</v>
      </c>
      <c r="F1461" s="8" t="s">
        <v>229</v>
      </c>
      <c r="G1461" s="9" t="s">
        <v>461</v>
      </c>
      <c r="H1461" s="10">
        <v>184</v>
      </c>
      <c r="I1461" s="9" t="s">
        <v>158</v>
      </c>
      <c r="J1461" s="10">
        <v>184</v>
      </c>
      <c r="K1461" s="10">
        <v>184</v>
      </c>
      <c r="L1461" s="10">
        <v>142</v>
      </c>
      <c r="M1461" s="10">
        <v>162</v>
      </c>
      <c r="N1461" s="10">
        <v>138</v>
      </c>
      <c r="O1461" s="10">
        <v>96</v>
      </c>
      <c r="P1461" s="10">
        <v>119</v>
      </c>
      <c r="Q1461" s="10">
        <v>19.5</v>
      </c>
      <c r="R1461" s="10">
        <v>1366</v>
      </c>
      <c r="S1461" s="10">
        <v>1.46</v>
      </c>
      <c r="T1461" s="10">
        <v>1997</v>
      </c>
      <c r="U1461" s="10">
        <v>192</v>
      </c>
      <c r="V1461" s="10">
        <v>82</v>
      </c>
      <c r="W1461" s="10">
        <v>40</v>
      </c>
      <c r="X1461" s="10">
        <v>346</v>
      </c>
      <c r="Y1461" s="10">
        <v>5</v>
      </c>
      <c r="Z1461" s="10">
        <v>69</v>
      </c>
      <c r="AA1461" s="10">
        <v>0.11899999999999999</v>
      </c>
      <c r="AB1461" s="10">
        <v>127</v>
      </c>
      <c r="AC1461" s="10">
        <v>88</v>
      </c>
      <c r="AD1461" s="10">
        <v>219</v>
      </c>
      <c r="AE1461" s="10">
        <v>2</v>
      </c>
      <c r="AF1461" s="10">
        <v>12.1</v>
      </c>
      <c r="AG1461" s="9" t="s">
        <v>185</v>
      </c>
      <c r="AH1461" s="9" t="s">
        <v>198</v>
      </c>
      <c r="AI1461" s="10"/>
      <c r="AJ1461" s="10"/>
      <c r="AK1461" s="30"/>
    </row>
    <row r="1462" spans="5:37">
      <c r="E1462" s="28" t="s">
        <v>155</v>
      </c>
      <c r="F1462" s="8" t="s">
        <v>229</v>
      </c>
      <c r="G1462" s="9" t="s">
        <v>854</v>
      </c>
      <c r="H1462" s="10">
        <v>156</v>
      </c>
      <c r="I1462" s="9" t="s">
        <v>163</v>
      </c>
      <c r="J1462" s="10">
        <v>156</v>
      </c>
      <c r="K1462" s="10">
        <v>154.69999999999999</v>
      </c>
      <c r="L1462" s="10">
        <v>119</v>
      </c>
      <c r="M1462" s="10">
        <v>133</v>
      </c>
      <c r="N1462" s="10">
        <v>137</v>
      </c>
      <c r="O1462" s="10">
        <v>95</v>
      </c>
      <c r="P1462" s="10">
        <v>118</v>
      </c>
      <c r="Q1462" s="10">
        <v>13</v>
      </c>
      <c r="R1462" s="10">
        <v>1129</v>
      </c>
      <c r="S1462" s="10">
        <v>1.48</v>
      </c>
      <c r="T1462" s="10">
        <v>1672</v>
      </c>
      <c r="U1462" s="10">
        <v>140</v>
      </c>
      <c r="V1462" s="10">
        <v>64</v>
      </c>
      <c r="W1462" s="10">
        <v>40</v>
      </c>
      <c r="X1462" s="10">
        <v>292</v>
      </c>
      <c r="Y1462" s="10">
        <v>4</v>
      </c>
      <c r="Z1462" s="10">
        <v>68</v>
      </c>
      <c r="AA1462" s="10">
        <v>0.104</v>
      </c>
      <c r="AB1462" s="10">
        <v>129</v>
      </c>
      <c r="AC1462" s="10">
        <v>88</v>
      </c>
      <c r="AD1462" s="10">
        <v>163</v>
      </c>
      <c r="AE1462" s="10">
        <v>4</v>
      </c>
      <c r="AF1462" s="10">
        <v>10.3</v>
      </c>
      <c r="AG1462" s="9" t="s">
        <v>185</v>
      </c>
      <c r="AH1462" s="9" t="s">
        <v>198</v>
      </c>
      <c r="AI1462" s="10"/>
      <c r="AJ1462" s="10"/>
      <c r="AK1462" s="30"/>
    </row>
    <row r="1463" spans="5:37">
      <c r="E1463" s="28" t="s">
        <v>155</v>
      </c>
      <c r="F1463" s="8" t="s">
        <v>229</v>
      </c>
      <c r="G1463" s="9" t="s">
        <v>854</v>
      </c>
      <c r="H1463" s="10">
        <v>163</v>
      </c>
      <c r="I1463" s="9" t="s">
        <v>163</v>
      </c>
      <c r="J1463" s="10">
        <v>163</v>
      </c>
      <c r="K1463" s="10">
        <v>162.19999999999999</v>
      </c>
      <c r="L1463" s="10">
        <v>129</v>
      </c>
      <c r="M1463" s="10">
        <v>140</v>
      </c>
      <c r="N1463" s="10">
        <v>137</v>
      </c>
      <c r="O1463" s="10">
        <v>95</v>
      </c>
      <c r="P1463" s="10">
        <v>118</v>
      </c>
      <c r="Q1463" s="10">
        <v>14.7</v>
      </c>
      <c r="R1463" s="10">
        <v>1205</v>
      </c>
      <c r="S1463" s="10">
        <v>1.45</v>
      </c>
      <c r="T1463" s="10">
        <v>1750</v>
      </c>
      <c r="U1463" s="10">
        <v>142</v>
      </c>
      <c r="V1463" s="10">
        <v>67</v>
      </c>
      <c r="W1463" s="10">
        <v>37</v>
      </c>
      <c r="X1463" s="10">
        <v>271</v>
      </c>
      <c r="Y1463" s="10">
        <v>4</v>
      </c>
      <c r="Z1463" s="10">
        <v>64</v>
      </c>
      <c r="AA1463" s="10">
        <v>0.11700000000000001</v>
      </c>
      <c r="AB1463" s="10">
        <v>128</v>
      </c>
      <c r="AC1463" s="10">
        <v>92</v>
      </c>
      <c r="AD1463" s="10">
        <v>144</v>
      </c>
      <c r="AE1463" s="10">
        <v>5</v>
      </c>
      <c r="AF1463" s="10">
        <v>10.6</v>
      </c>
      <c r="AG1463" s="9" t="s">
        <v>185</v>
      </c>
      <c r="AH1463" s="9" t="s">
        <v>198</v>
      </c>
      <c r="AI1463" s="10"/>
      <c r="AJ1463" s="10"/>
      <c r="AK1463" s="30"/>
    </row>
    <row r="1464" spans="5:37">
      <c r="E1464" s="28" t="s">
        <v>155</v>
      </c>
      <c r="F1464" s="8" t="s">
        <v>229</v>
      </c>
      <c r="G1464" s="9" t="s">
        <v>854</v>
      </c>
      <c r="H1464" s="10">
        <v>170</v>
      </c>
      <c r="I1464" s="9" t="s">
        <v>163</v>
      </c>
      <c r="J1464" s="10">
        <v>170</v>
      </c>
      <c r="K1464" s="10">
        <v>169.7</v>
      </c>
      <c r="L1464" s="10">
        <v>133</v>
      </c>
      <c r="M1464" s="10">
        <v>149</v>
      </c>
      <c r="N1464" s="10">
        <v>137</v>
      </c>
      <c r="O1464" s="10">
        <v>95</v>
      </c>
      <c r="P1464" s="10">
        <v>118</v>
      </c>
      <c r="Q1464" s="10">
        <v>16.2</v>
      </c>
      <c r="R1464" s="10">
        <v>1250</v>
      </c>
      <c r="S1464" s="10">
        <v>1.46</v>
      </c>
      <c r="T1464" s="10">
        <v>1828</v>
      </c>
      <c r="U1464" s="10">
        <v>147</v>
      </c>
      <c r="V1464" s="10">
        <v>66</v>
      </c>
      <c r="W1464" s="10">
        <v>39</v>
      </c>
      <c r="X1464" s="10">
        <v>301</v>
      </c>
      <c r="Y1464" s="10">
        <v>4</v>
      </c>
      <c r="Z1464" s="10">
        <v>65</v>
      </c>
      <c r="AA1464" s="10">
        <v>0.109</v>
      </c>
      <c r="AB1464" s="10">
        <v>123</v>
      </c>
      <c r="AC1464" s="10">
        <v>89</v>
      </c>
      <c r="AD1464" s="10">
        <v>179</v>
      </c>
      <c r="AE1464" s="10">
        <v>4</v>
      </c>
      <c r="AF1464" s="10">
        <v>11.1</v>
      </c>
      <c r="AG1464" s="9" t="s">
        <v>185</v>
      </c>
      <c r="AH1464" s="9" t="s">
        <v>198</v>
      </c>
      <c r="AI1464" s="10"/>
      <c r="AJ1464" s="10"/>
      <c r="AK1464" s="30"/>
    </row>
    <row r="1465" spans="5:37">
      <c r="E1465" s="28" t="s">
        <v>155</v>
      </c>
      <c r="F1465" s="8" t="s">
        <v>229</v>
      </c>
      <c r="G1465" s="9" t="s">
        <v>426</v>
      </c>
      <c r="H1465" s="10">
        <v>156</v>
      </c>
      <c r="I1465" s="9" t="s">
        <v>163</v>
      </c>
      <c r="J1465" s="10">
        <v>156</v>
      </c>
      <c r="K1465" s="10">
        <v>155.9</v>
      </c>
      <c r="L1465" s="10">
        <v>107</v>
      </c>
      <c r="M1465" s="10">
        <v>133</v>
      </c>
      <c r="N1465" s="10">
        <v>139</v>
      </c>
      <c r="O1465" s="10">
        <v>101</v>
      </c>
      <c r="P1465" s="10">
        <v>123</v>
      </c>
      <c r="Q1465" s="10">
        <v>14.1</v>
      </c>
      <c r="R1465" s="10">
        <v>1846</v>
      </c>
      <c r="S1465" s="10">
        <v>0.96</v>
      </c>
      <c r="T1465" s="10">
        <v>1763</v>
      </c>
      <c r="U1465" s="10">
        <v>205</v>
      </c>
      <c r="V1465" s="10">
        <v>132</v>
      </c>
      <c r="W1465" s="10">
        <v>49</v>
      </c>
      <c r="X1465" s="10">
        <v>310</v>
      </c>
      <c r="Y1465" s="10">
        <v>17</v>
      </c>
      <c r="Z1465" s="10">
        <v>174</v>
      </c>
      <c r="AA1465" s="10">
        <v>0.34</v>
      </c>
      <c r="AB1465" s="10">
        <v>131</v>
      </c>
      <c r="AC1465" s="10">
        <v>101</v>
      </c>
      <c r="AD1465" s="10">
        <v>178</v>
      </c>
      <c r="AE1465" s="10">
        <v>3</v>
      </c>
      <c r="AF1465" s="10">
        <v>11.4</v>
      </c>
      <c r="AG1465" s="9" t="s">
        <v>188</v>
      </c>
      <c r="AH1465" s="9" t="s">
        <v>178</v>
      </c>
      <c r="AI1465" s="10"/>
      <c r="AJ1465" s="10"/>
      <c r="AK1465" s="30"/>
    </row>
    <row r="1466" spans="5:37">
      <c r="E1466" s="28" t="s">
        <v>155</v>
      </c>
      <c r="F1466" s="8" t="s">
        <v>229</v>
      </c>
      <c r="G1466" s="9" t="s">
        <v>426</v>
      </c>
      <c r="H1466" s="10">
        <v>163</v>
      </c>
      <c r="I1466" s="9" t="s">
        <v>163</v>
      </c>
      <c r="J1466" s="10">
        <v>163</v>
      </c>
      <c r="K1466" s="10">
        <v>163.5</v>
      </c>
      <c r="L1466" s="10">
        <v>104</v>
      </c>
      <c r="M1466" s="10">
        <v>140</v>
      </c>
      <c r="N1466" s="10">
        <v>139</v>
      </c>
      <c r="O1466" s="10">
        <v>101</v>
      </c>
      <c r="P1466" s="10">
        <v>123</v>
      </c>
      <c r="Q1466" s="10">
        <v>15.8</v>
      </c>
      <c r="R1466" s="10">
        <v>1941</v>
      </c>
      <c r="S1466" s="10">
        <v>0.95</v>
      </c>
      <c r="T1466" s="10">
        <v>1848</v>
      </c>
      <c r="U1466" s="10">
        <v>216</v>
      </c>
      <c r="V1466" s="10">
        <v>144</v>
      </c>
      <c r="W1466" s="10">
        <v>50</v>
      </c>
      <c r="X1466" s="10">
        <v>342</v>
      </c>
      <c r="Y1466" s="10">
        <v>21</v>
      </c>
      <c r="Z1466" s="10">
        <v>253</v>
      </c>
      <c r="AA1466" s="10">
        <v>0.41199999999999998</v>
      </c>
      <c r="AB1466" s="10">
        <v>131</v>
      </c>
      <c r="AC1466" s="10">
        <v>101</v>
      </c>
      <c r="AD1466" s="10">
        <v>211</v>
      </c>
      <c r="AE1466" s="10">
        <v>3</v>
      </c>
      <c r="AF1466" s="10">
        <v>11.4</v>
      </c>
      <c r="AG1466" s="9" t="s">
        <v>188</v>
      </c>
      <c r="AH1466" s="9" t="s">
        <v>169</v>
      </c>
      <c r="AI1466" s="10"/>
      <c r="AJ1466" s="10"/>
      <c r="AK1466" s="30"/>
    </row>
    <row r="1467" spans="5:37">
      <c r="E1467" s="28" t="s">
        <v>155</v>
      </c>
      <c r="F1467" s="8" t="s">
        <v>229</v>
      </c>
      <c r="G1467" s="9" t="s">
        <v>426</v>
      </c>
      <c r="H1467" s="10">
        <v>170</v>
      </c>
      <c r="I1467" s="9" t="s">
        <v>163</v>
      </c>
      <c r="J1467" s="10">
        <v>170</v>
      </c>
      <c r="K1467" s="10">
        <v>171.1</v>
      </c>
      <c r="L1467" s="10">
        <v>111</v>
      </c>
      <c r="M1467" s="10">
        <v>147</v>
      </c>
      <c r="N1467" s="10">
        <v>139</v>
      </c>
      <c r="O1467" s="10">
        <v>101</v>
      </c>
      <c r="P1467" s="10">
        <v>123</v>
      </c>
      <c r="Q1467" s="10">
        <v>17.600000000000001</v>
      </c>
      <c r="R1467" s="10">
        <v>2084</v>
      </c>
      <c r="S1467" s="10">
        <v>0.93</v>
      </c>
      <c r="T1467" s="10">
        <v>1934</v>
      </c>
      <c r="U1467" s="10">
        <v>245</v>
      </c>
      <c r="V1467" s="10">
        <v>165</v>
      </c>
      <c r="W1467" s="10">
        <v>46</v>
      </c>
      <c r="X1467" s="10">
        <v>351</v>
      </c>
      <c r="Y1467" s="10">
        <v>18</v>
      </c>
      <c r="Z1467" s="10">
        <v>249</v>
      </c>
      <c r="AA1467" s="10">
        <v>0.38800000000000001</v>
      </c>
      <c r="AB1467" s="10">
        <v>133</v>
      </c>
      <c r="AC1467" s="10">
        <v>103</v>
      </c>
      <c r="AD1467" s="10">
        <v>217</v>
      </c>
      <c r="AE1467" s="10">
        <v>4</v>
      </c>
      <c r="AF1467" s="10">
        <v>11.8</v>
      </c>
      <c r="AG1467" s="9" t="s">
        <v>188</v>
      </c>
      <c r="AH1467" s="9" t="s">
        <v>169</v>
      </c>
      <c r="AI1467" s="9" t="s">
        <v>178</v>
      </c>
      <c r="AJ1467" s="10"/>
      <c r="AK1467" s="30"/>
    </row>
    <row r="1468" spans="5:37">
      <c r="E1468" s="28" t="s">
        <v>155</v>
      </c>
      <c r="F1468" s="8" t="s">
        <v>229</v>
      </c>
      <c r="G1468" s="9" t="s">
        <v>766</v>
      </c>
      <c r="H1468" s="10">
        <v>163</v>
      </c>
      <c r="I1468" s="9" t="s">
        <v>163</v>
      </c>
      <c r="J1468" s="10">
        <v>163</v>
      </c>
      <c r="K1468" s="10">
        <v>164.1</v>
      </c>
      <c r="L1468" s="10">
        <v>129</v>
      </c>
      <c r="M1468" s="10">
        <v>140</v>
      </c>
      <c r="N1468" s="10">
        <v>129</v>
      </c>
      <c r="O1468" s="10">
        <v>91</v>
      </c>
      <c r="P1468" s="10">
        <v>112</v>
      </c>
      <c r="Q1468" s="10">
        <v>16.100000000000001</v>
      </c>
      <c r="R1468" s="10">
        <v>1738</v>
      </c>
      <c r="S1468" s="10">
        <v>0.97</v>
      </c>
      <c r="T1468" s="10">
        <v>1690</v>
      </c>
      <c r="U1468" s="10">
        <v>193</v>
      </c>
      <c r="V1468" s="10">
        <v>135</v>
      </c>
      <c r="W1468" s="10">
        <v>42</v>
      </c>
      <c r="X1468" s="10">
        <v>235</v>
      </c>
      <c r="Y1468" s="10">
        <v>14</v>
      </c>
      <c r="Z1468" s="10">
        <v>115</v>
      </c>
      <c r="AA1468" s="10">
        <v>0.33600000000000002</v>
      </c>
      <c r="AB1468" s="10">
        <v>136</v>
      </c>
      <c r="AC1468" s="10">
        <v>106</v>
      </c>
      <c r="AD1468" s="10">
        <v>99</v>
      </c>
      <c r="AE1468" s="10">
        <v>4</v>
      </c>
      <c r="AF1468" s="10">
        <v>10.6</v>
      </c>
      <c r="AG1468" s="9" t="s">
        <v>188</v>
      </c>
      <c r="AH1468" s="10"/>
      <c r="AI1468" s="10"/>
      <c r="AJ1468" s="10"/>
      <c r="AK1468" s="30"/>
    </row>
    <row r="1469" spans="5:37">
      <c r="E1469" s="28" t="s">
        <v>155</v>
      </c>
      <c r="F1469" s="8" t="s">
        <v>229</v>
      </c>
      <c r="G1469" s="9" t="s">
        <v>319</v>
      </c>
      <c r="H1469" s="10">
        <v>149</v>
      </c>
      <c r="I1469" s="9" t="s">
        <v>163</v>
      </c>
      <c r="J1469" s="10">
        <v>149</v>
      </c>
      <c r="K1469" s="10">
        <v>148.4</v>
      </c>
      <c r="L1469" s="10">
        <v>107</v>
      </c>
      <c r="M1469" s="10">
        <v>125</v>
      </c>
      <c r="N1469" s="10">
        <v>134</v>
      </c>
      <c r="O1469" s="10">
        <v>95</v>
      </c>
      <c r="P1469" s="10">
        <v>118</v>
      </c>
      <c r="Q1469" s="10">
        <v>12.1</v>
      </c>
      <c r="R1469" s="10">
        <v>1621</v>
      </c>
      <c r="S1469" s="10">
        <v>0.98</v>
      </c>
      <c r="T1469" s="10">
        <v>1596</v>
      </c>
      <c r="U1469" s="10">
        <v>181</v>
      </c>
      <c r="V1469" s="10">
        <v>121</v>
      </c>
      <c r="W1469" s="10">
        <v>45</v>
      </c>
      <c r="X1469" s="10">
        <v>254</v>
      </c>
      <c r="Y1469" s="10">
        <v>15</v>
      </c>
      <c r="Z1469" s="10">
        <v>163</v>
      </c>
      <c r="AA1469" s="10">
        <v>0.32800000000000001</v>
      </c>
      <c r="AB1469" s="10">
        <v>133</v>
      </c>
      <c r="AC1469" s="10">
        <v>99</v>
      </c>
      <c r="AD1469" s="10">
        <v>121</v>
      </c>
      <c r="AE1469" s="10">
        <v>3</v>
      </c>
      <c r="AF1469" s="10">
        <v>11.2</v>
      </c>
      <c r="AG1469" s="9" t="s">
        <v>188</v>
      </c>
      <c r="AH1469" s="10"/>
      <c r="AI1469" s="10"/>
      <c r="AJ1469" s="10"/>
      <c r="AK1469" s="30"/>
    </row>
    <row r="1470" spans="5:37">
      <c r="E1470" s="28" t="s">
        <v>155</v>
      </c>
      <c r="F1470" s="8" t="s">
        <v>229</v>
      </c>
      <c r="G1470" s="9" t="s">
        <v>319</v>
      </c>
      <c r="H1470" s="10">
        <v>156</v>
      </c>
      <c r="I1470" s="9" t="s">
        <v>163</v>
      </c>
      <c r="J1470" s="10">
        <v>156</v>
      </c>
      <c r="K1470" s="10">
        <v>155.80000000000001</v>
      </c>
      <c r="L1470" s="10">
        <v>112</v>
      </c>
      <c r="M1470" s="10">
        <v>133</v>
      </c>
      <c r="N1470" s="10">
        <v>135</v>
      </c>
      <c r="O1470" s="10">
        <v>95</v>
      </c>
      <c r="P1470" s="10">
        <v>118</v>
      </c>
      <c r="Q1470" s="10">
        <v>13.2</v>
      </c>
      <c r="R1470" s="10">
        <v>1700</v>
      </c>
      <c r="S1470" s="10">
        <v>0.99</v>
      </c>
      <c r="T1470" s="10">
        <v>1679</v>
      </c>
      <c r="U1470" s="10">
        <v>173</v>
      </c>
      <c r="V1470" s="10">
        <v>120</v>
      </c>
      <c r="W1470" s="10">
        <v>44</v>
      </c>
      <c r="X1470" s="10">
        <v>257</v>
      </c>
      <c r="Y1470" s="10">
        <v>16</v>
      </c>
      <c r="Z1470" s="10">
        <v>177</v>
      </c>
      <c r="AA1470" s="10">
        <v>0.35699999999999998</v>
      </c>
      <c r="AB1470" s="10">
        <v>125</v>
      </c>
      <c r="AC1470" s="10">
        <v>101</v>
      </c>
      <c r="AD1470" s="10">
        <v>132</v>
      </c>
      <c r="AE1470" s="10">
        <v>3</v>
      </c>
      <c r="AF1470" s="10">
        <v>11.8</v>
      </c>
      <c r="AG1470" s="9" t="s">
        <v>188</v>
      </c>
      <c r="AH1470" s="10"/>
      <c r="AI1470" s="10"/>
      <c r="AJ1470" s="10"/>
      <c r="AK1470" s="30"/>
    </row>
    <row r="1471" spans="5:37">
      <c r="E1471" s="28" t="s">
        <v>155</v>
      </c>
      <c r="F1471" s="8" t="s">
        <v>229</v>
      </c>
      <c r="G1471" s="9" t="s">
        <v>319</v>
      </c>
      <c r="H1471" s="10">
        <v>163</v>
      </c>
      <c r="I1471" s="9" t="s">
        <v>163</v>
      </c>
      <c r="J1471" s="10">
        <v>163</v>
      </c>
      <c r="K1471" s="10">
        <v>163.19999999999999</v>
      </c>
      <c r="L1471" s="10">
        <v>122</v>
      </c>
      <c r="M1471" s="10">
        <v>140</v>
      </c>
      <c r="N1471" s="10">
        <v>135</v>
      </c>
      <c r="O1471" s="10">
        <v>95</v>
      </c>
      <c r="P1471" s="10">
        <v>118</v>
      </c>
      <c r="Q1471" s="10">
        <v>14.8</v>
      </c>
      <c r="R1471" s="10">
        <v>1809</v>
      </c>
      <c r="S1471" s="10">
        <v>0.97</v>
      </c>
      <c r="T1471" s="10">
        <v>1757</v>
      </c>
      <c r="U1471" s="10">
        <v>180</v>
      </c>
      <c r="V1471" s="10">
        <v>125</v>
      </c>
      <c r="W1471" s="10">
        <v>43</v>
      </c>
      <c r="X1471" s="10">
        <v>245</v>
      </c>
      <c r="Y1471" s="10">
        <v>16</v>
      </c>
      <c r="Z1471" s="10">
        <v>171</v>
      </c>
      <c r="AA1471" s="10">
        <v>0.36199999999999999</v>
      </c>
      <c r="AB1471" s="10">
        <v>130</v>
      </c>
      <c r="AC1471" s="10">
        <v>103</v>
      </c>
      <c r="AD1471" s="10">
        <v>115</v>
      </c>
      <c r="AE1471" s="10">
        <v>4</v>
      </c>
      <c r="AF1471" s="10">
        <v>11.6</v>
      </c>
      <c r="AG1471" s="9" t="s">
        <v>188</v>
      </c>
      <c r="AH1471" s="10"/>
      <c r="AI1471" s="10"/>
      <c r="AJ1471" s="10"/>
      <c r="AK1471" s="30"/>
    </row>
    <row r="1472" spans="5:37">
      <c r="E1472" s="28" t="s">
        <v>155</v>
      </c>
      <c r="F1472" s="8" t="s">
        <v>229</v>
      </c>
      <c r="G1472" s="9" t="s">
        <v>319</v>
      </c>
      <c r="H1472" s="10">
        <v>170</v>
      </c>
      <c r="I1472" s="9" t="s">
        <v>163</v>
      </c>
      <c r="J1472" s="10">
        <v>170</v>
      </c>
      <c r="K1472" s="10">
        <v>170.8</v>
      </c>
      <c r="L1472" s="10">
        <v>123</v>
      </c>
      <c r="M1472" s="10">
        <v>147</v>
      </c>
      <c r="N1472" s="10">
        <v>134</v>
      </c>
      <c r="O1472" s="10">
        <v>95</v>
      </c>
      <c r="P1472" s="10">
        <v>118</v>
      </c>
      <c r="Q1472" s="10">
        <v>16.7</v>
      </c>
      <c r="R1472" s="10">
        <v>1931</v>
      </c>
      <c r="S1472" s="10">
        <v>0.95</v>
      </c>
      <c r="T1472" s="10">
        <v>1838</v>
      </c>
      <c r="U1472" s="10">
        <v>203</v>
      </c>
      <c r="V1472" s="10">
        <v>140</v>
      </c>
      <c r="W1472" s="10">
        <v>44</v>
      </c>
      <c r="X1472" s="10">
        <v>290</v>
      </c>
      <c r="Y1472" s="10">
        <v>17</v>
      </c>
      <c r="Z1472" s="10">
        <v>192</v>
      </c>
      <c r="AA1472" s="10">
        <v>0.38600000000000001</v>
      </c>
      <c r="AB1472" s="10">
        <v>129</v>
      </c>
      <c r="AC1472" s="10">
        <v>106</v>
      </c>
      <c r="AD1472" s="10">
        <v>161</v>
      </c>
      <c r="AE1472" s="10">
        <v>2</v>
      </c>
      <c r="AF1472" s="10">
        <v>11.7</v>
      </c>
      <c r="AG1472" s="9" t="s">
        <v>188</v>
      </c>
      <c r="AH1472" s="10"/>
      <c r="AI1472" s="10"/>
      <c r="AJ1472" s="10"/>
      <c r="AK1472" s="30"/>
    </row>
    <row r="1473" spans="5:37">
      <c r="E1473" s="28" t="s">
        <v>155</v>
      </c>
      <c r="F1473" s="8" t="s">
        <v>229</v>
      </c>
      <c r="G1473" s="9" t="s">
        <v>807</v>
      </c>
      <c r="H1473" s="10">
        <v>147</v>
      </c>
      <c r="I1473" s="9" t="s">
        <v>163</v>
      </c>
      <c r="J1473" s="10">
        <v>147</v>
      </c>
      <c r="K1473" s="10">
        <v>148.80000000000001</v>
      </c>
      <c r="L1473" s="10">
        <v>113</v>
      </c>
      <c r="M1473" s="10">
        <v>124</v>
      </c>
      <c r="N1473" s="10">
        <v>120</v>
      </c>
      <c r="O1473" s="10">
        <v>79</v>
      </c>
      <c r="P1473" s="10">
        <v>102</v>
      </c>
      <c r="Q1473" s="10">
        <v>11.7</v>
      </c>
      <c r="R1473" s="10">
        <v>1221</v>
      </c>
      <c r="S1473" s="10">
        <v>1.1299999999999999</v>
      </c>
      <c r="T1473" s="10">
        <v>1377</v>
      </c>
      <c r="U1473" s="10">
        <v>142</v>
      </c>
      <c r="V1473" s="10">
        <v>62</v>
      </c>
      <c r="W1473" s="10">
        <v>43</v>
      </c>
      <c r="X1473" s="10">
        <v>210</v>
      </c>
      <c r="Y1473" s="10">
        <v>15</v>
      </c>
      <c r="Z1473" s="10">
        <v>148</v>
      </c>
      <c r="AA1473" s="10">
        <v>0.34300000000000003</v>
      </c>
      <c r="AB1473" s="10">
        <v>136</v>
      </c>
      <c r="AC1473" s="10">
        <v>108</v>
      </c>
      <c r="AD1473" s="10">
        <v>74</v>
      </c>
      <c r="AE1473" s="10">
        <v>3</v>
      </c>
      <c r="AF1473" s="10">
        <v>11.2</v>
      </c>
      <c r="AG1473" s="9" t="s">
        <v>231</v>
      </c>
      <c r="AH1473" s="9" t="s">
        <v>185</v>
      </c>
      <c r="AI1473" s="10"/>
      <c r="AJ1473" s="10"/>
      <c r="AK1473" s="30"/>
    </row>
    <row r="1474" spans="5:37">
      <c r="E1474" s="28" t="s">
        <v>155</v>
      </c>
      <c r="F1474" s="8" t="s">
        <v>229</v>
      </c>
      <c r="G1474" s="9" t="s">
        <v>807</v>
      </c>
      <c r="H1474" s="10">
        <v>154</v>
      </c>
      <c r="I1474" s="9" t="s">
        <v>163</v>
      </c>
      <c r="J1474" s="10">
        <v>154</v>
      </c>
      <c r="K1474" s="10">
        <v>156.4</v>
      </c>
      <c r="L1474" s="10">
        <v>129</v>
      </c>
      <c r="M1474" s="10">
        <v>131</v>
      </c>
      <c r="N1474" s="10">
        <v>120</v>
      </c>
      <c r="O1474" s="10">
        <v>79</v>
      </c>
      <c r="P1474" s="10">
        <v>102</v>
      </c>
      <c r="Q1474" s="10">
        <v>13.2</v>
      </c>
      <c r="R1474" s="10">
        <v>1262</v>
      </c>
      <c r="S1474" s="10">
        <v>1.1399999999999999</v>
      </c>
      <c r="T1474" s="10">
        <v>1445</v>
      </c>
      <c r="U1474" s="10">
        <v>149</v>
      </c>
      <c r="V1474" s="10">
        <v>62</v>
      </c>
      <c r="W1474" s="10">
        <v>41</v>
      </c>
      <c r="X1474" s="10">
        <v>176</v>
      </c>
      <c r="Y1474" s="10">
        <v>13</v>
      </c>
      <c r="Z1474" s="10">
        <v>98</v>
      </c>
      <c r="AA1474" s="10">
        <v>0.311</v>
      </c>
      <c r="AB1474" s="10">
        <v>142</v>
      </c>
      <c r="AC1474" s="10">
        <v>108</v>
      </c>
      <c r="AD1474" s="10">
        <v>34</v>
      </c>
      <c r="AE1474" s="10">
        <v>4</v>
      </c>
      <c r="AF1474" s="10">
        <v>11.4</v>
      </c>
      <c r="AG1474" s="9" t="s">
        <v>231</v>
      </c>
      <c r="AH1474" s="9" t="s">
        <v>185</v>
      </c>
      <c r="AI1474" s="10"/>
      <c r="AJ1474" s="10"/>
      <c r="AK1474" s="30"/>
    </row>
    <row r="1475" spans="5:37">
      <c r="E1475" s="28" t="s">
        <v>155</v>
      </c>
      <c r="F1475" s="8" t="s">
        <v>229</v>
      </c>
      <c r="G1475" s="9" t="s">
        <v>807</v>
      </c>
      <c r="H1475" s="10">
        <v>161</v>
      </c>
      <c r="I1475" s="9" t="s">
        <v>163</v>
      </c>
      <c r="J1475" s="10">
        <v>161</v>
      </c>
      <c r="K1475" s="10">
        <v>161.30000000000001</v>
      </c>
      <c r="L1475" s="10">
        <v>124</v>
      </c>
      <c r="M1475" s="10">
        <v>137</v>
      </c>
      <c r="N1475" s="10">
        <v>120</v>
      </c>
      <c r="O1475" s="10">
        <v>79</v>
      </c>
      <c r="P1475" s="10">
        <v>102</v>
      </c>
      <c r="Q1475" s="10">
        <v>14.3</v>
      </c>
      <c r="R1475" s="10">
        <v>1359</v>
      </c>
      <c r="S1475" s="10">
        <v>1.0900000000000001</v>
      </c>
      <c r="T1475" s="10">
        <v>1488</v>
      </c>
      <c r="U1475" s="10">
        <v>156</v>
      </c>
      <c r="V1475" s="10">
        <v>71</v>
      </c>
      <c r="W1475" s="10">
        <v>38</v>
      </c>
      <c r="X1475" s="10">
        <v>208</v>
      </c>
      <c r="Y1475" s="10">
        <v>13</v>
      </c>
      <c r="Z1475" s="10">
        <v>161</v>
      </c>
      <c r="AA1475" s="10">
        <v>0.34799999999999998</v>
      </c>
      <c r="AB1475" s="10">
        <v>136</v>
      </c>
      <c r="AC1475" s="10">
        <v>103</v>
      </c>
      <c r="AD1475" s="10">
        <v>72</v>
      </c>
      <c r="AE1475" s="10">
        <v>3</v>
      </c>
      <c r="AF1475" s="10">
        <v>11.7</v>
      </c>
      <c r="AG1475" s="9" t="s">
        <v>231</v>
      </c>
      <c r="AH1475" s="9" t="s">
        <v>185</v>
      </c>
      <c r="AI1475" s="10"/>
      <c r="AJ1475" s="10"/>
      <c r="AK1475" s="30"/>
    </row>
    <row r="1476" spans="5:37">
      <c r="E1476" s="28" t="s">
        <v>155</v>
      </c>
      <c r="F1476" s="8" t="s">
        <v>229</v>
      </c>
      <c r="G1476" s="9" t="s">
        <v>807</v>
      </c>
      <c r="H1476" s="10">
        <v>168</v>
      </c>
      <c r="I1476" s="9" t="s">
        <v>163</v>
      </c>
      <c r="J1476" s="10">
        <v>168</v>
      </c>
      <c r="K1476" s="10">
        <v>168.7</v>
      </c>
      <c r="L1476" s="10">
        <v>114</v>
      </c>
      <c r="M1476" s="10">
        <v>144</v>
      </c>
      <c r="N1476" s="10">
        <v>120</v>
      </c>
      <c r="O1476" s="10">
        <v>79</v>
      </c>
      <c r="P1476" s="10">
        <v>102</v>
      </c>
      <c r="Q1476" s="10">
        <v>15.9</v>
      </c>
      <c r="R1476" s="10">
        <v>1435</v>
      </c>
      <c r="S1476" s="10">
        <v>1.08</v>
      </c>
      <c r="T1476" s="10">
        <v>1556</v>
      </c>
      <c r="U1476" s="10">
        <v>172</v>
      </c>
      <c r="V1476" s="10">
        <v>65</v>
      </c>
      <c r="W1476" s="10">
        <v>40</v>
      </c>
      <c r="X1476" s="10">
        <v>336</v>
      </c>
      <c r="Y1476" s="10">
        <v>14</v>
      </c>
      <c r="Z1476" s="10">
        <v>209</v>
      </c>
      <c r="AA1476" s="10">
        <v>0.35399999999999998</v>
      </c>
      <c r="AB1476" s="10">
        <v>137</v>
      </c>
      <c r="AC1476" s="10">
        <v>108</v>
      </c>
      <c r="AD1476" s="10">
        <v>200</v>
      </c>
      <c r="AE1476" s="10">
        <v>1</v>
      </c>
      <c r="AF1476" s="10">
        <v>12</v>
      </c>
      <c r="AG1476" s="9" t="s">
        <v>231</v>
      </c>
      <c r="AH1476" s="9" t="s">
        <v>185</v>
      </c>
      <c r="AI1476" s="10"/>
      <c r="AJ1476" s="10"/>
      <c r="AK1476" s="30"/>
    </row>
    <row r="1477" spans="5:37">
      <c r="E1477" s="28" t="s">
        <v>155</v>
      </c>
      <c r="F1477" s="8" t="s">
        <v>229</v>
      </c>
      <c r="G1477" s="9" t="s">
        <v>775</v>
      </c>
      <c r="H1477" s="10">
        <v>147</v>
      </c>
      <c r="I1477" s="9" t="s">
        <v>163</v>
      </c>
      <c r="J1477" s="10">
        <v>147</v>
      </c>
      <c r="K1477" s="10">
        <v>148.80000000000001</v>
      </c>
      <c r="L1477" s="10">
        <v>88</v>
      </c>
      <c r="M1477" s="10">
        <v>125</v>
      </c>
      <c r="N1477" s="10">
        <v>124</v>
      </c>
      <c r="O1477" s="10">
        <v>83</v>
      </c>
      <c r="P1477" s="10">
        <v>106</v>
      </c>
      <c r="Q1477" s="10">
        <v>11.7</v>
      </c>
      <c r="R1477" s="10">
        <v>1295</v>
      </c>
      <c r="S1477" s="10">
        <v>1.1100000000000001</v>
      </c>
      <c r="T1477" s="10">
        <v>1435</v>
      </c>
      <c r="U1477" s="10">
        <v>158</v>
      </c>
      <c r="V1477" s="10">
        <v>60</v>
      </c>
      <c r="W1477" s="10">
        <v>42</v>
      </c>
      <c r="X1477" s="10">
        <v>282</v>
      </c>
      <c r="Y1477" s="10">
        <v>19</v>
      </c>
      <c r="Z1477" s="10">
        <v>326</v>
      </c>
      <c r="AA1477" s="10">
        <v>0.44700000000000001</v>
      </c>
      <c r="AB1477" s="10">
        <v>134</v>
      </c>
      <c r="AC1477" s="10">
        <v>103</v>
      </c>
      <c r="AD1477" s="10">
        <v>148</v>
      </c>
      <c r="AE1477" s="10">
        <v>2</v>
      </c>
      <c r="AF1477" s="10">
        <v>11.2</v>
      </c>
      <c r="AG1477" s="9" t="s">
        <v>231</v>
      </c>
      <c r="AH1477" s="9" t="s">
        <v>188</v>
      </c>
      <c r="AI1477" s="9" t="s">
        <v>185</v>
      </c>
      <c r="AJ1477" s="10"/>
      <c r="AK1477" s="30"/>
    </row>
    <row r="1478" spans="5:37">
      <c r="E1478" s="28" t="s">
        <v>155</v>
      </c>
      <c r="F1478" s="8" t="s">
        <v>229</v>
      </c>
      <c r="G1478" s="9" t="s">
        <v>775</v>
      </c>
      <c r="H1478" s="10">
        <v>154</v>
      </c>
      <c r="I1478" s="9" t="s">
        <v>163</v>
      </c>
      <c r="J1478" s="10">
        <v>154</v>
      </c>
      <c r="K1478" s="10">
        <v>156.19999999999999</v>
      </c>
      <c r="L1478" s="10">
        <v>107</v>
      </c>
      <c r="M1478" s="10">
        <v>132</v>
      </c>
      <c r="N1478" s="10">
        <v>124</v>
      </c>
      <c r="O1478" s="10">
        <v>83</v>
      </c>
      <c r="P1478" s="10">
        <v>106</v>
      </c>
      <c r="Q1478" s="10">
        <v>13.1</v>
      </c>
      <c r="R1478" s="10">
        <v>1349</v>
      </c>
      <c r="S1478" s="10">
        <v>1.1100000000000001</v>
      </c>
      <c r="T1478" s="10">
        <v>1503</v>
      </c>
      <c r="U1478" s="10">
        <v>163</v>
      </c>
      <c r="V1478" s="10">
        <v>60</v>
      </c>
      <c r="W1478" s="10">
        <v>42</v>
      </c>
      <c r="X1478" s="10">
        <v>287</v>
      </c>
      <c r="Y1478" s="10">
        <v>16</v>
      </c>
      <c r="Z1478" s="10">
        <v>201</v>
      </c>
      <c r="AA1478" s="10">
        <v>0.36799999999999999</v>
      </c>
      <c r="AB1478" s="10">
        <v>135</v>
      </c>
      <c r="AC1478" s="10">
        <v>102</v>
      </c>
      <c r="AD1478" s="10">
        <v>152</v>
      </c>
      <c r="AE1478" s="10">
        <v>2</v>
      </c>
      <c r="AF1478" s="10">
        <v>11.6</v>
      </c>
      <c r="AG1478" s="9" t="s">
        <v>231</v>
      </c>
      <c r="AH1478" s="9" t="s">
        <v>188</v>
      </c>
      <c r="AI1478" s="9" t="s">
        <v>185</v>
      </c>
      <c r="AJ1478" s="10"/>
      <c r="AK1478" s="30"/>
    </row>
    <row r="1479" spans="5:37">
      <c r="E1479" s="28" t="s">
        <v>155</v>
      </c>
      <c r="F1479" s="8" t="s">
        <v>229</v>
      </c>
      <c r="G1479" s="9" t="s">
        <v>775</v>
      </c>
      <c r="H1479" s="10">
        <v>161</v>
      </c>
      <c r="I1479" s="9" t="s">
        <v>163</v>
      </c>
      <c r="J1479" s="10">
        <v>161</v>
      </c>
      <c r="K1479" s="10">
        <v>161.30000000000001</v>
      </c>
      <c r="L1479" s="10">
        <v>122</v>
      </c>
      <c r="M1479" s="10">
        <v>138</v>
      </c>
      <c r="N1479" s="10">
        <v>124</v>
      </c>
      <c r="O1479" s="10">
        <v>83</v>
      </c>
      <c r="P1479" s="10">
        <v>106</v>
      </c>
      <c r="Q1479" s="10">
        <v>14.3</v>
      </c>
      <c r="R1479" s="10">
        <v>1411</v>
      </c>
      <c r="S1479" s="10">
        <v>1.1000000000000001</v>
      </c>
      <c r="T1479" s="10">
        <v>1552</v>
      </c>
      <c r="U1479" s="10">
        <v>169</v>
      </c>
      <c r="V1479" s="10">
        <v>67</v>
      </c>
      <c r="W1479" s="10">
        <v>38</v>
      </c>
      <c r="X1479" s="10">
        <v>211</v>
      </c>
      <c r="Y1479" s="10">
        <v>14</v>
      </c>
      <c r="Z1479" s="10">
        <v>183</v>
      </c>
      <c r="AA1479" s="10">
        <v>0.36499999999999999</v>
      </c>
      <c r="AB1479" s="10">
        <v>130</v>
      </c>
      <c r="AC1479" s="10">
        <v>106</v>
      </c>
      <c r="AD1479" s="10">
        <v>81</v>
      </c>
      <c r="AE1479" s="10">
        <v>2</v>
      </c>
      <c r="AF1479" s="10">
        <v>11.8</v>
      </c>
      <c r="AG1479" s="9" t="s">
        <v>231</v>
      </c>
      <c r="AH1479" s="9" t="s">
        <v>188</v>
      </c>
      <c r="AI1479" s="9" t="s">
        <v>185</v>
      </c>
      <c r="AJ1479" s="10"/>
      <c r="AK1479" s="30"/>
    </row>
    <row r="1480" spans="5:37">
      <c r="E1480" s="36" t="s">
        <v>155</v>
      </c>
      <c r="F1480" s="37" t="s">
        <v>229</v>
      </c>
      <c r="G1480" s="38" t="s">
        <v>775</v>
      </c>
      <c r="H1480" s="39">
        <v>168</v>
      </c>
      <c r="I1480" s="38" t="s">
        <v>163</v>
      </c>
      <c r="J1480" s="39">
        <v>168</v>
      </c>
      <c r="K1480" s="39">
        <v>168.5</v>
      </c>
      <c r="L1480" s="39">
        <v>115</v>
      </c>
      <c r="M1480" s="39">
        <v>145</v>
      </c>
      <c r="N1480" s="39">
        <v>124</v>
      </c>
      <c r="O1480" s="39">
        <v>83</v>
      </c>
      <c r="P1480" s="39">
        <v>106</v>
      </c>
      <c r="Q1480" s="39">
        <v>15.8</v>
      </c>
      <c r="R1480" s="39">
        <v>1464</v>
      </c>
      <c r="S1480" s="39">
        <v>1.1100000000000001</v>
      </c>
      <c r="T1480" s="39">
        <v>1623</v>
      </c>
      <c r="U1480" s="39">
        <v>176</v>
      </c>
      <c r="V1480" s="39">
        <v>65</v>
      </c>
      <c r="W1480" s="39">
        <v>38</v>
      </c>
      <c r="X1480" s="39">
        <v>312</v>
      </c>
      <c r="Y1480" s="39">
        <v>15</v>
      </c>
      <c r="Z1480" s="39">
        <v>220</v>
      </c>
      <c r="AA1480" s="39">
        <v>0.38700000000000001</v>
      </c>
      <c r="AB1480" s="39">
        <v>134</v>
      </c>
      <c r="AC1480" s="39">
        <v>103</v>
      </c>
      <c r="AD1480" s="39">
        <v>178</v>
      </c>
      <c r="AE1480" s="39">
        <v>2</v>
      </c>
      <c r="AF1480" s="39">
        <v>11.8</v>
      </c>
      <c r="AG1480" s="38" t="s">
        <v>231</v>
      </c>
      <c r="AH1480" s="38" t="s">
        <v>188</v>
      </c>
      <c r="AI1480" s="38" t="s">
        <v>185</v>
      </c>
      <c r="AJ1480" s="39"/>
      <c r="AK1480" s="40"/>
    </row>
  </sheetData>
  <pageMargins left="0.7" right="0.7" top="0.75" bottom="0.75" header="0.3" footer="0.3"/>
  <pageSetup orientation="portrait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7" tint="0.59999389629810485"/>
  </sheetPr>
  <dimension ref="A1:AT1266"/>
  <sheetViews>
    <sheetView tabSelected="1" topLeftCell="AE1" workbookViewId="0">
      <selection activeCell="AI14" sqref="AI14"/>
    </sheetView>
  </sheetViews>
  <sheetFormatPr defaultColWidth="8.6640625" defaultRowHeight="13.8"/>
  <cols>
    <col min="1" max="5" width="8.6640625" style="202" customWidth="1"/>
    <col min="6" max="6" width="8.77734375" style="123" customWidth="1"/>
    <col min="7" max="34" width="8.6640625" style="202" customWidth="1"/>
    <col min="35" max="35" width="13.6640625" style="202" bestFit="1" customWidth="1"/>
    <col min="36" max="38" width="8.6640625" style="202" customWidth="1"/>
    <col min="39" max="39" width="9.77734375" style="202" bestFit="1" customWidth="1"/>
    <col min="40" max="44" width="8.6640625" style="202" customWidth="1"/>
    <col min="45" max="45" width="8.6640625" style="226" customWidth="1"/>
    <col min="46" max="46" width="41.44140625" style="203" bestFit="1" customWidth="1"/>
    <col min="47" max="47" width="8.6640625" style="202" customWidth="1"/>
    <col min="48" max="16384" width="8.6640625" style="202"/>
  </cols>
  <sheetData>
    <row r="1" spans="1:46" ht="66">
      <c r="A1" t="s">
        <v>70</v>
      </c>
      <c r="B1" t="s">
        <v>71</v>
      </c>
      <c r="C1" t="s">
        <v>72</v>
      </c>
      <c r="D1" t="s">
        <v>74</v>
      </c>
      <c r="E1" t="s">
        <v>73</v>
      </c>
      <c r="F1" t="s">
        <v>1163</v>
      </c>
      <c r="G1" t="s">
        <v>75</v>
      </c>
      <c r="H1" t="s">
        <v>85</v>
      </c>
      <c r="I1" t="s">
        <v>86</v>
      </c>
      <c r="J1" t="s">
        <v>87</v>
      </c>
      <c r="K1" t="s">
        <v>76</v>
      </c>
      <c r="L1" t="s">
        <v>88</v>
      </c>
      <c r="M1" t="s">
        <v>89</v>
      </c>
      <c r="N1" t="s">
        <v>90</v>
      </c>
      <c r="O1" t="s">
        <v>91</v>
      </c>
      <c r="P1" t="s">
        <v>92</v>
      </c>
      <c r="Q1" t="s">
        <v>93</v>
      </c>
      <c r="R1" t="s">
        <v>94</v>
      </c>
      <c r="S1" t="s">
        <v>95</v>
      </c>
      <c r="T1" t="s">
        <v>96</v>
      </c>
      <c r="U1" t="s">
        <v>97</v>
      </c>
      <c r="V1" t="s">
        <v>98</v>
      </c>
      <c r="W1" t="s">
        <v>99</v>
      </c>
      <c r="X1" t="s">
        <v>100</v>
      </c>
      <c r="Y1" t="s">
        <v>101</v>
      </c>
      <c r="Z1" t="s">
        <v>102</v>
      </c>
      <c r="AA1" t="s">
        <v>103</v>
      </c>
      <c r="AB1" t="s">
        <v>104</v>
      </c>
      <c r="AC1" t="s">
        <v>105</v>
      </c>
      <c r="AD1" t="s">
        <v>106</v>
      </c>
      <c r="AE1" t="s">
        <v>107</v>
      </c>
      <c r="AF1" t="s">
        <v>1164</v>
      </c>
      <c r="AG1" t="s">
        <v>1165</v>
      </c>
      <c r="AH1" t="s">
        <v>1166</v>
      </c>
      <c r="AI1" t="s">
        <v>1167</v>
      </c>
      <c r="AJ1" t="s">
        <v>1168</v>
      </c>
      <c r="AK1" t="s">
        <v>1169</v>
      </c>
      <c r="AL1" t="s">
        <v>1170</v>
      </c>
      <c r="AM1" t="s">
        <v>1171</v>
      </c>
      <c r="AN1" t="s">
        <v>1172</v>
      </c>
      <c r="AO1" t="s">
        <v>1173</v>
      </c>
      <c r="AP1" t="s">
        <v>1174</v>
      </c>
      <c r="AQ1" t="s">
        <v>1175</v>
      </c>
      <c r="AR1" t="s">
        <v>1176</v>
      </c>
      <c r="AS1" s="226" t="s">
        <v>1177</v>
      </c>
      <c r="AT1" s="203" t="s">
        <v>117</v>
      </c>
    </row>
    <row r="2" spans="1:46" ht="92.4">
      <c r="A2" t="s">
        <v>155</v>
      </c>
      <c r="B2" t="s">
        <v>156</v>
      </c>
      <c r="C2" t="s">
        <v>157</v>
      </c>
      <c r="D2">
        <v>154</v>
      </c>
      <c r="E2" t="s">
        <v>158</v>
      </c>
      <c r="F2">
        <v>154</v>
      </c>
      <c r="G2">
        <v>153.5</v>
      </c>
      <c r="H2">
        <v>129</v>
      </c>
      <c r="I2">
        <v>137</v>
      </c>
      <c r="J2">
        <v>113</v>
      </c>
      <c r="K2">
        <v>74</v>
      </c>
      <c r="L2">
        <v>98</v>
      </c>
      <c r="M2">
        <v>14.2</v>
      </c>
      <c r="N2" t="s">
        <v>159</v>
      </c>
      <c r="O2" t="s">
        <v>159</v>
      </c>
      <c r="P2">
        <v>1328</v>
      </c>
      <c r="Q2">
        <v>154</v>
      </c>
      <c r="R2">
        <v>67</v>
      </c>
      <c r="S2">
        <v>35</v>
      </c>
      <c r="T2">
        <v>169</v>
      </c>
      <c r="U2">
        <v>6</v>
      </c>
      <c r="V2">
        <v>73</v>
      </c>
      <c r="W2">
        <v>0.16</v>
      </c>
      <c r="X2">
        <v>98</v>
      </c>
      <c r="Y2">
        <v>70</v>
      </c>
      <c r="Z2">
        <v>71</v>
      </c>
      <c r="AA2">
        <v>10</v>
      </c>
      <c r="AB2">
        <v>10.7</v>
      </c>
      <c r="AC2" t="s">
        <v>160</v>
      </c>
      <c r="AG2" t="s">
        <v>1178</v>
      </c>
      <c r="AH2" t="s">
        <v>1179</v>
      </c>
      <c r="AI2" s="245">
        <v>319.99</v>
      </c>
      <c r="AJ2" t="s">
        <v>1180</v>
      </c>
      <c r="AK2" t="s">
        <v>1178</v>
      </c>
      <c r="AL2" t="s">
        <v>1181</v>
      </c>
      <c r="AM2" s="245">
        <v>319.99</v>
      </c>
      <c r="AN2" t="s">
        <v>1182</v>
      </c>
      <c r="AO2" t="s">
        <v>1178</v>
      </c>
      <c r="AP2" t="s">
        <v>1183</v>
      </c>
      <c r="AQ2" s="245">
        <v>335.99</v>
      </c>
      <c r="AR2" t="s">
        <v>1184</v>
      </c>
      <c r="AS2" s="226" t="str">
        <f t="shared" ref="AS2:AS65" si="0">IF(LEFT(C2,1)=" ",RIGHT(C2,LEN(C2)-1),C2)</f>
        <v>Vantage 75 C</v>
      </c>
      <c r="AT2" s="203" t="str">
        <f t="shared" ref="AT2:AT65" si="1">_xlfn.CONCAT(B2,AS2,D2,E2)</f>
        <v xml:space="preserve"> AtomicVantage 75 C154 Unisex</v>
      </c>
    </row>
    <row r="3" spans="1:46" ht="184.8">
      <c r="A3" t="s">
        <v>155</v>
      </c>
      <c r="B3" t="s">
        <v>156</v>
      </c>
      <c r="C3" t="s">
        <v>162</v>
      </c>
      <c r="D3">
        <v>161</v>
      </c>
      <c r="E3" t="s">
        <v>163</v>
      </c>
      <c r="F3">
        <v>161</v>
      </c>
      <c r="G3">
        <v>160.5</v>
      </c>
      <c r="H3">
        <v>135</v>
      </c>
      <c r="I3">
        <v>144</v>
      </c>
      <c r="J3">
        <v>115</v>
      </c>
      <c r="K3">
        <v>74</v>
      </c>
      <c r="L3">
        <v>99</v>
      </c>
      <c r="M3">
        <v>15.2</v>
      </c>
      <c r="N3" t="s">
        <v>159</v>
      </c>
      <c r="O3" t="s">
        <v>159</v>
      </c>
      <c r="P3">
        <v>1397</v>
      </c>
      <c r="Q3">
        <v>161</v>
      </c>
      <c r="R3">
        <v>69</v>
      </c>
      <c r="S3">
        <v>38</v>
      </c>
      <c r="T3">
        <v>177</v>
      </c>
      <c r="U3">
        <v>5</v>
      </c>
      <c r="V3">
        <v>82</v>
      </c>
      <c r="W3">
        <v>0.11899999999999999</v>
      </c>
      <c r="X3">
        <v>97</v>
      </c>
      <c r="Y3">
        <v>71</v>
      </c>
      <c r="Z3">
        <v>80</v>
      </c>
      <c r="AA3">
        <v>10</v>
      </c>
      <c r="AB3">
        <v>10.6</v>
      </c>
      <c r="AC3" t="s">
        <v>160</v>
      </c>
      <c r="AG3" t="s">
        <v>1178</v>
      </c>
      <c r="AH3" t="s">
        <v>1185</v>
      </c>
      <c r="AI3" s="245">
        <v>349.99</v>
      </c>
      <c r="AJ3" t="s">
        <v>1186</v>
      </c>
      <c r="AK3" t="s">
        <v>1187</v>
      </c>
      <c r="AL3" t="s">
        <v>1181</v>
      </c>
      <c r="AM3" s="245">
        <v>399</v>
      </c>
      <c r="AN3" t="s">
        <v>1188</v>
      </c>
      <c r="AO3" t="s">
        <v>1178</v>
      </c>
      <c r="AP3" t="s">
        <v>1179</v>
      </c>
      <c r="AQ3" s="245">
        <v>399.99</v>
      </c>
      <c r="AR3" t="s">
        <v>1189</v>
      </c>
      <c r="AS3" s="226" t="str">
        <f t="shared" si="0"/>
        <v>Vantage 75 C W</v>
      </c>
      <c r="AT3" s="203" t="str">
        <f t="shared" si="1"/>
        <v xml:space="preserve"> AtomicVantage 75 C W161 Women's</v>
      </c>
    </row>
    <row r="4" spans="1:46" ht="79.2">
      <c r="A4" t="s">
        <v>155</v>
      </c>
      <c r="B4" t="s">
        <v>164</v>
      </c>
      <c r="C4" t="s">
        <v>883</v>
      </c>
      <c r="D4">
        <v>164</v>
      </c>
      <c r="E4" t="s">
        <v>158</v>
      </c>
      <c r="F4">
        <v>164</v>
      </c>
      <c r="G4">
        <v>162.9</v>
      </c>
      <c r="H4">
        <v>146</v>
      </c>
      <c r="I4">
        <v>153</v>
      </c>
      <c r="J4">
        <v>120</v>
      </c>
      <c r="K4">
        <v>67</v>
      </c>
      <c r="L4">
        <v>103</v>
      </c>
      <c r="M4">
        <v>12.8</v>
      </c>
      <c r="N4" t="s">
        <v>159</v>
      </c>
      <c r="O4" t="s">
        <v>159</v>
      </c>
      <c r="P4">
        <v>1363</v>
      </c>
      <c r="Q4">
        <v>216</v>
      </c>
      <c r="R4">
        <v>116</v>
      </c>
      <c r="S4">
        <v>37</v>
      </c>
      <c r="T4">
        <v>127</v>
      </c>
      <c r="U4">
        <v>3</v>
      </c>
      <c r="V4">
        <v>42</v>
      </c>
      <c r="W4">
        <v>7.4999999999999997E-2</v>
      </c>
      <c r="X4">
        <v>60</v>
      </c>
      <c r="Y4">
        <v>39</v>
      </c>
      <c r="Z4">
        <v>67</v>
      </c>
      <c r="AA4">
        <v>10</v>
      </c>
      <c r="AB4">
        <v>8.4</v>
      </c>
      <c r="AC4" t="s">
        <v>160</v>
      </c>
      <c r="AG4" t="s">
        <v>1190</v>
      </c>
      <c r="AH4" t="s">
        <v>1191</v>
      </c>
      <c r="AI4" s="245">
        <v>659.95</v>
      </c>
      <c r="AJ4" t="s">
        <v>1192</v>
      </c>
      <c r="AS4" s="226" t="str">
        <f t="shared" si="0"/>
        <v>Ace SLX</v>
      </c>
      <c r="AT4" s="203" t="str">
        <f t="shared" si="1"/>
        <v xml:space="preserve"> ElanAce SLX164 Unisex</v>
      </c>
    </row>
    <row r="5" spans="1:46" ht="105.6">
      <c r="A5" t="s">
        <v>155</v>
      </c>
      <c r="B5" t="s">
        <v>164</v>
      </c>
      <c r="C5" t="s">
        <v>1158</v>
      </c>
      <c r="D5">
        <v>166</v>
      </c>
      <c r="E5" t="s">
        <v>158</v>
      </c>
      <c r="F5">
        <v>166</v>
      </c>
      <c r="G5">
        <v>164.3</v>
      </c>
      <c r="H5">
        <v>145</v>
      </c>
      <c r="I5">
        <v>151</v>
      </c>
      <c r="J5">
        <v>127</v>
      </c>
      <c r="K5">
        <v>77</v>
      </c>
      <c r="L5">
        <v>110</v>
      </c>
      <c r="M5">
        <v>13.6</v>
      </c>
      <c r="N5" t="s">
        <v>159</v>
      </c>
      <c r="O5" t="s">
        <v>159</v>
      </c>
      <c r="P5">
        <v>1528</v>
      </c>
      <c r="Q5">
        <v>204</v>
      </c>
      <c r="R5">
        <v>76</v>
      </c>
      <c r="S5">
        <v>39</v>
      </c>
      <c r="T5">
        <v>133</v>
      </c>
      <c r="U5">
        <v>7</v>
      </c>
      <c r="V5">
        <v>57</v>
      </c>
      <c r="W5">
        <v>0.182</v>
      </c>
      <c r="X5">
        <v>84</v>
      </c>
      <c r="Y5">
        <v>47</v>
      </c>
      <c r="Z5">
        <v>49</v>
      </c>
      <c r="AA5">
        <v>15</v>
      </c>
      <c r="AB5">
        <v>7.5</v>
      </c>
      <c r="AC5" t="s">
        <v>160</v>
      </c>
      <c r="AG5" t="s">
        <v>1193</v>
      </c>
      <c r="AH5" t="s">
        <v>1194</v>
      </c>
      <c r="AI5" s="245">
        <v>1198.6300000000001</v>
      </c>
      <c r="AJ5" t="s">
        <v>1195</v>
      </c>
      <c r="AK5" t="s">
        <v>1196</v>
      </c>
      <c r="AL5" t="s">
        <v>1191</v>
      </c>
      <c r="AM5" s="245">
        <v>1404.95</v>
      </c>
      <c r="AN5" t="s">
        <v>1197</v>
      </c>
      <c r="AO5" t="s">
        <v>1198</v>
      </c>
      <c r="AP5" t="s">
        <v>1185</v>
      </c>
      <c r="AQ5" s="245">
        <v>349.99</v>
      </c>
      <c r="AR5" t="s">
        <v>1199</v>
      </c>
      <c r="AS5" s="226" t="str">
        <f t="shared" si="0"/>
        <v>Voyager</v>
      </c>
      <c r="AT5" s="203" t="str">
        <f t="shared" si="1"/>
        <v xml:space="preserve"> ElanVoyager166 Unisex</v>
      </c>
    </row>
    <row r="6" spans="1:46" ht="52.8">
      <c r="A6" t="s">
        <v>155</v>
      </c>
      <c r="B6" t="s">
        <v>167</v>
      </c>
      <c r="C6" t="s">
        <v>168</v>
      </c>
      <c r="D6">
        <v>191</v>
      </c>
      <c r="E6" t="s">
        <v>158</v>
      </c>
      <c r="F6">
        <v>191</v>
      </c>
      <c r="G6">
        <v>189.6</v>
      </c>
      <c r="H6">
        <v>148</v>
      </c>
      <c r="I6">
        <v>152</v>
      </c>
      <c r="J6">
        <v>136</v>
      </c>
      <c r="K6">
        <v>106</v>
      </c>
      <c r="L6">
        <v>126</v>
      </c>
      <c r="M6">
        <v>19.7</v>
      </c>
      <c r="N6" t="s">
        <v>159</v>
      </c>
      <c r="O6" t="s">
        <v>159</v>
      </c>
      <c r="P6">
        <v>2210</v>
      </c>
      <c r="Q6">
        <v>330</v>
      </c>
      <c r="R6">
        <v>152</v>
      </c>
      <c r="S6">
        <v>49</v>
      </c>
      <c r="T6">
        <v>238</v>
      </c>
      <c r="U6">
        <v>22</v>
      </c>
      <c r="V6">
        <v>180</v>
      </c>
      <c r="W6">
        <v>0.45399999999999902</v>
      </c>
      <c r="X6">
        <v>229</v>
      </c>
      <c r="Y6">
        <v>148</v>
      </c>
      <c r="Z6">
        <v>9</v>
      </c>
      <c r="AA6">
        <v>10</v>
      </c>
      <c r="AB6">
        <v>11.3</v>
      </c>
      <c r="AC6" t="s">
        <v>169</v>
      </c>
      <c r="AG6" t="s">
        <v>1200</v>
      </c>
      <c r="AH6" t="s">
        <v>1194</v>
      </c>
      <c r="AI6" s="245">
        <v>450.88</v>
      </c>
      <c r="AJ6" t="s">
        <v>1201</v>
      </c>
      <c r="AK6" t="s">
        <v>1200</v>
      </c>
      <c r="AL6" t="s">
        <v>1191</v>
      </c>
      <c r="AM6" s="245">
        <v>499.95</v>
      </c>
      <c r="AN6" t="s">
        <v>1202</v>
      </c>
      <c r="AO6" t="s">
        <v>1203</v>
      </c>
      <c r="AP6" t="s">
        <v>1204</v>
      </c>
      <c r="AQ6" s="245">
        <v>521.29</v>
      </c>
      <c r="AR6" t="s">
        <v>1205</v>
      </c>
      <c r="AS6" s="226" t="str">
        <f t="shared" si="0"/>
        <v>Kore 105</v>
      </c>
      <c r="AT6" s="203" t="str">
        <f t="shared" si="1"/>
        <v xml:space="preserve"> HeadKore 105191 Unisex</v>
      </c>
    </row>
    <row r="7" spans="1:46" ht="132">
      <c r="A7" t="s">
        <v>155</v>
      </c>
      <c r="B7" t="s">
        <v>167</v>
      </c>
      <c r="C7" t="s">
        <v>1159</v>
      </c>
      <c r="D7">
        <v>180</v>
      </c>
      <c r="E7" t="s">
        <v>158</v>
      </c>
      <c r="F7">
        <v>180</v>
      </c>
      <c r="G7">
        <v>179</v>
      </c>
      <c r="H7">
        <v>162</v>
      </c>
      <c r="I7">
        <v>170</v>
      </c>
      <c r="J7">
        <v>116</v>
      </c>
      <c r="K7">
        <v>67</v>
      </c>
      <c r="L7">
        <v>98</v>
      </c>
      <c r="M7">
        <v>18</v>
      </c>
      <c r="N7" t="s">
        <v>159</v>
      </c>
      <c r="O7" t="s">
        <v>159</v>
      </c>
      <c r="P7">
        <v>1456</v>
      </c>
      <c r="Q7">
        <v>259</v>
      </c>
      <c r="R7">
        <v>143</v>
      </c>
      <c r="S7">
        <v>31</v>
      </c>
      <c r="T7">
        <v>123</v>
      </c>
      <c r="U7">
        <v>3</v>
      </c>
      <c r="V7">
        <v>43</v>
      </c>
      <c r="W7">
        <v>0.09</v>
      </c>
      <c r="X7">
        <v>59</v>
      </c>
      <c r="Y7">
        <v>33</v>
      </c>
      <c r="Z7">
        <v>63</v>
      </c>
      <c r="AA7">
        <v>13</v>
      </c>
      <c r="AB7">
        <v>13.3</v>
      </c>
      <c r="AC7" t="s">
        <v>160</v>
      </c>
      <c r="AG7" t="s">
        <v>1206</v>
      </c>
      <c r="AH7" t="s">
        <v>1207</v>
      </c>
      <c r="AI7" s="245">
        <v>590</v>
      </c>
      <c r="AJ7" t="s">
        <v>1208</v>
      </c>
      <c r="AK7" t="s">
        <v>1209</v>
      </c>
      <c r="AL7" t="s">
        <v>1204</v>
      </c>
      <c r="AM7" s="245">
        <v>641.59</v>
      </c>
      <c r="AN7" t="s">
        <v>1210</v>
      </c>
      <c r="AO7" t="s">
        <v>1206</v>
      </c>
      <c r="AP7" t="s">
        <v>1211</v>
      </c>
      <c r="AQ7" s="245">
        <v>669.99</v>
      </c>
      <c r="AR7" t="s">
        <v>1212</v>
      </c>
      <c r="AS7" s="226" t="str">
        <f t="shared" si="0"/>
        <v>Worldcup Rebels e-Speed Pro</v>
      </c>
      <c r="AT7" s="203" t="str">
        <f t="shared" si="1"/>
        <v xml:space="preserve"> HeadWorldcup Rebels e-Speed Pro180 Unisex</v>
      </c>
    </row>
    <row r="8" spans="1:46" ht="198">
      <c r="A8" t="s">
        <v>155</v>
      </c>
      <c r="B8" t="s">
        <v>172</v>
      </c>
      <c r="C8" t="s">
        <v>173</v>
      </c>
      <c r="D8">
        <v>167</v>
      </c>
      <c r="E8" t="s">
        <v>158</v>
      </c>
      <c r="F8">
        <v>167</v>
      </c>
      <c r="G8">
        <v>166.4</v>
      </c>
      <c r="H8">
        <v>128</v>
      </c>
      <c r="I8">
        <v>152</v>
      </c>
      <c r="J8">
        <v>131</v>
      </c>
      <c r="K8">
        <v>83</v>
      </c>
      <c r="L8">
        <v>119</v>
      </c>
      <c r="M8">
        <v>13.6</v>
      </c>
      <c r="N8" t="s">
        <v>159</v>
      </c>
      <c r="O8" t="s">
        <v>159</v>
      </c>
      <c r="P8">
        <v>1643</v>
      </c>
      <c r="Q8">
        <v>184</v>
      </c>
      <c r="R8">
        <v>113</v>
      </c>
      <c r="S8">
        <v>47</v>
      </c>
      <c r="T8">
        <v>250</v>
      </c>
      <c r="U8">
        <v>14</v>
      </c>
      <c r="V8">
        <v>133</v>
      </c>
      <c r="W8">
        <v>0.30399999999999999</v>
      </c>
      <c r="X8">
        <v>82</v>
      </c>
      <c r="Y8">
        <v>64</v>
      </c>
      <c r="Z8">
        <v>168</v>
      </c>
      <c r="AA8">
        <v>11</v>
      </c>
      <c r="AB8">
        <v>6.9</v>
      </c>
      <c r="AC8" t="s">
        <v>160</v>
      </c>
      <c r="AG8" t="s">
        <v>1213</v>
      </c>
      <c r="AH8" t="s">
        <v>1191</v>
      </c>
      <c r="AI8" s="245">
        <v>564.95000000000005</v>
      </c>
      <c r="AJ8" t="s">
        <v>1214</v>
      </c>
      <c r="AK8" t="s">
        <v>1215</v>
      </c>
      <c r="AL8" t="s">
        <v>1181</v>
      </c>
      <c r="AM8" s="245">
        <v>599</v>
      </c>
      <c r="AN8" t="s">
        <v>1216</v>
      </c>
      <c r="AO8" t="s">
        <v>1217</v>
      </c>
      <c r="AP8" t="s">
        <v>1218</v>
      </c>
      <c r="AQ8" s="245">
        <v>639.95000000000005</v>
      </c>
      <c r="AR8" t="s">
        <v>1219</v>
      </c>
      <c r="AS8" s="226" t="str">
        <f t="shared" si="0"/>
        <v>Experience 86 Ti</v>
      </c>
      <c r="AT8" s="203" t="str">
        <f t="shared" si="1"/>
        <v xml:space="preserve"> RossignolExperience 86 Ti167 Unisex</v>
      </c>
    </row>
    <row r="9" spans="1:46" ht="132">
      <c r="A9" t="s">
        <v>155</v>
      </c>
      <c r="B9" t="s">
        <v>174</v>
      </c>
      <c r="C9" t="s">
        <v>175</v>
      </c>
      <c r="D9">
        <v>167</v>
      </c>
      <c r="E9" t="s">
        <v>163</v>
      </c>
      <c r="F9">
        <v>167</v>
      </c>
      <c r="G9">
        <v>165.8</v>
      </c>
      <c r="H9">
        <v>124</v>
      </c>
      <c r="I9">
        <v>129</v>
      </c>
      <c r="J9">
        <v>134</v>
      </c>
      <c r="K9">
        <v>98</v>
      </c>
      <c r="L9">
        <v>116</v>
      </c>
      <c r="M9">
        <v>13.6</v>
      </c>
      <c r="N9" t="s">
        <v>159</v>
      </c>
      <c r="O9" t="s">
        <v>159</v>
      </c>
      <c r="P9">
        <v>1829</v>
      </c>
      <c r="Q9">
        <v>191</v>
      </c>
      <c r="R9">
        <v>91</v>
      </c>
      <c r="S9">
        <v>52</v>
      </c>
      <c r="T9">
        <v>220</v>
      </c>
      <c r="U9">
        <v>22</v>
      </c>
      <c r="V9">
        <v>203</v>
      </c>
      <c r="W9">
        <v>0.41799999999999998</v>
      </c>
      <c r="X9">
        <v>218</v>
      </c>
      <c r="Y9">
        <v>145</v>
      </c>
      <c r="Z9">
        <v>2</v>
      </c>
      <c r="AA9">
        <v>10</v>
      </c>
      <c r="AB9">
        <v>9.3000000000000007</v>
      </c>
      <c r="AC9" t="s">
        <v>160</v>
      </c>
      <c r="AG9" t="s">
        <v>1220</v>
      </c>
      <c r="AH9" t="s">
        <v>1221</v>
      </c>
      <c r="AI9" s="245">
        <v>469.99</v>
      </c>
      <c r="AJ9" t="s">
        <v>1222</v>
      </c>
      <c r="AK9" t="s">
        <v>1223</v>
      </c>
      <c r="AL9" t="s">
        <v>1224</v>
      </c>
      <c r="AM9" s="245">
        <v>479.99</v>
      </c>
      <c r="AN9" t="s">
        <v>1225</v>
      </c>
      <c r="AO9" t="s">
        <v>1223</v>
      </c>
      <c r="AP9" t="s">
        <v>1226</v>
      </c>
      <c r="AQ9" s="245">
        <v>479.99</v>
      </c>
      <c r="AR9" t="s">
        <v>1227</v>
      </c>
      <c r="AS9" s="226" t="str">
        <f t="shared" si="0"/>
        <v>QST Lumen 99</v>
      </c>
      <c r="AT9" s="203" t="str">
        <f t="shared" si="1"/>
        <v xml:space="preserve"> SalomonQST Lumen 99167 Women's</v>
      </c>
    </row>
    <row r="10" spans="1:46" ht="92.4">
      <c r="A10" t="s">
        <v>155</v>
      </c>
      <c r="B10" t="s">
        <v>174</v>
      </c>
      <c r="C10" t="s">
        <v>177</v>
      </c>
      <c r="D10">
        <v>176</v>
      </c>
      <c r="E10" t="s">
        <v>158</v>
      </c>
      <c r="F10">
        <v>176</v>
      </c>
      <c r="G10">
        <v>175.6</v>
      </c>
      <c r="H10">
        <v>117</v>
      </c>
      <c r="I10">
        <v>151</v>
      </c>
      <c r="J10">
        <v>131</v>
      </c>
      <c r="K10">
        <v>102</v>
      </c>
      <c r="L10">
        <v>119</v>
      </c>
      <c r="M10">
        <v>23.5</v>
      </c>
      <c r="N10" t="s">
        <v>159</v>
      </c>
      <c r="O10" t="s">
        <v>159</v>
      </c>
      <c r="P10">
        <v>1939</v>
      </c>
      <c r="Q10">
        <v>197</v>
      </c>
      <c r="R10">
        <v>123</v>
      </c>
      <c r="S10">
        <v>49</v>
      </c>
      <c r="T10">
        <v>345</v>
      </c>
      <c r="U10">
        <v>8</v>
      </c>
      <c r="V10">
        <v>244</v>
      </c>
      <c r="W10">
        <v>0.16300000000000001</v>
      </c>
      <c r="X10">
        <v>134</v>
      </c>
      <c r="Y10">
        <v>108</v>
      </c>
      <c r="Z10">
        <v>212</v>
      </c>
      <c r="AA10">
        <v>8</v>
      </c>
      <c r="AB10">
        <v>10.5</v>
      </c>
      <c r="AC10" t="s">
        <v>178</v>
      </c>
      <c r="AG10" t="s">
        <v>1228</v>
      </c>
      <c r="AH10" t="s">
        <v>1229</v>
      </c>
      <c r="AI10" s="245">
        <v>479.99</v>
      </c>
      <c r="AJ10" t="s">
        <v>1230</v>
      </c>
      <c r="AK10" t="s">
        <v>1231</v>
      </c>
      <c r="AL10" t="s">
        <v>1232</v>
      </c>
      <c r="AM10" s="245">
        <v>539.95000000000005</v>
      </c>
      <c r="AN10" t="s">
        <v>1233</v>
      </c>
      <c r="AO10" t="s">
        <v>1228</v>
      </c>
      <c r="AP10" t="s">
        <v>1179</v>
      </c>
      <c r="AQ10" s="245">
        <v>575.95000000000005</v>
      </c>
      <c r="AR10" t="s">
        <v>1234</v>
      </c>
      <c r="AS10" s="226" t="str">
        <f t="shared" si="0"/>
        <v>Stance 102</v>
      </c>
      <c r="AT10" s="203" t="str">
        <f t="shared" si="1"/>
        <v xml:space="preserve"> SalomonStance 102176 Unisex</v>
      </c>
    </row>
    <row r="11" spans="1:46" ht="92.4">
      <c r="A11" t="s">
        <v>155</v>
      </c>
      <c r="B11" t="s">
        <v>174</v>
      </c>
      <c r="C11" t="s">
        <v>177</v>
      </c>
      <c r="D11">
        <v>183</v>
      </c>
      <c r="E11" t="s">
        <v>158</v>
      </c>
      <c r="F11">
        <v>183</v>
      </c>
      <c r="G11">
        <v>182.5</v>
      </c>
      <c r="H11">
        <v>119</v>
      </c>
      <c r="I11">
        <v>158</v>
      </c>
      <c r="J11">
        <v>133</v>
      </c>
      <c r="K11">
        <v>101</v>
      </c>
      <c r="L11">
        <v>120</v>
      </c>
      <c r="M11">
        <v>23.9</v>
      </c>
      <c r="N11" t="s">
        <v>159</v>
      </c>
      <c r="O11" t="s">
        <v>159</v>
      </c>
      <c r="P11">
        <v>2026</v>
      </c>
      <c r="Q11">
        <v>218</v>
      </c>
      <c r="R11">
        <v>139</v>
      </c>
      <c r="S11">
        <v>48</v>
      </c>
      <c r="T11">
        <v>369</v>
      </c>
      <c r="U11">
        <v>4</v>
      </c>
      <c r="V11">
        <v>263</v>
      </c>
      <c r="W11">
        <v>8.1000000000000003E-2</v>
      </c>
      <c r="X11">
        <v>142</v>
      </c>
      <c r="Y11">
        <v>106</v>
      </c>
      <c r="Z11">
        <v>227</v>
      </c>
      <c r="AA11">
        <v>7</v>
      </c>
      <c r="AB11">
        <v>10.6</v>
      </c>
      <c r="AC11" t="s">
        <v>178</v>
      </c>
      <c r="AG11" t="s">
        <v>1235</v>
      </c>
      <c r="AH11" t="s">
        <v>1204</v>
      </c>
      <c r="AI11" s="245">
        <v>521.29</v>
      </c>
      <c r="AJ11" t="s">
        <v>1236</v>
      </c>
      <c r="AK11" t="s">
        <v>1237</v>
      </c>
      <c r="AL11" t="s">
        <v>1232</v>
      </c>
      <c r="AM11" s="245">
        <v>539.95000000000005</v>
      </c>
      <c r="AN11" t="s">
        <v>1238</v>
      </c>
      <c r="AO11" t="s">
        <v>1239</v>
      </c>
      <c r="AP11" t="s">
        <v>1240</v>
      </c>
      <c r="AQ11" s="245">
        <v>569.95000000000005</v>
      </c>
      <c r="AR11" t="s">
        <v>1241</v>
      </c>
      <c r="AS11" s="226" t="str">
        <f t="shared" si="0"/>
        <v>Stance 102</v>
      </c>
      <c r="AT11" s="203" t="str">
        <f t="shared" si="1"/>
        <v xml:space="preserve"> SalomonStance 102183 Unisex</v>
      </c>
    </row>
    <row r="12" spans="1:46" ht="52.8">
      <c r="A12" t="s">
        <v>155</v>
      </c>
      <c r="B12" t="s">
        <v>174</v>
      </c>
      <c r="C12" t="s">
        <v>177</v>
      </c>
      <c r="D12">
        <v>190</v>
      </c>
      <c r="E12" t="s">
        <v>158</v>
      </c>
      <c r="F12">
        <v>190</v>
      </c>
      <c r="G12">
        <v>189.9</v>
      </c>
      <c r="H12">
        <v>141</v>
      </c>
      <c r="I12">
        <v>165</v>
      </c>
      <c r="J12">
        <v>133</v>
      </c>
      <c r="K12">
        <v>102</v>
      </c>
      <c r="L12">
        <v>120</v>
      </c>
      <c r="M12">
        <v>25.8</v>
      </c>
      <c r="N12" t="s">
        <v>159</v>
      </c>
      <c r="O12" t="s">
        <v>159</v>
      </c>
      <c r="P12">
        <v>2108</v>
      </c>
      <c r="Q12">
        <v>254</v>
      </c>
      <c r="R12">
        <v>158</v>
      </c>
      <c r="S12">
        <v>46</v>
      </c>
      <c r="T12">
        <v>379</v>
      </c>
      <c r="U12">
        <v>4</v>
      </c>
      <c r="V12">
        <v>107</v>
      </c>
      <c r="W12">
        <v>8.5000000000000006E-2</v>
      </c>
      <c r="X12">
        <v>142</v>
      </c>
      <c r="Y12">
        <v>111</v>
      </c>
      <c r="Z12">
        <v>237</v>
      </c>
      <c r="AA12">
        <v>9</v>
      </c>
      <c r="AB12">
        <v>9.8000000000000007</v>
      </c>
      <c r="AC12" t="s">
        <v>178</v>
      </c>
      <c r="AG12" t="s">
        <v>1228</v>
      </c>
      <c r="AH12" t="s">
        <v>1242</v>
      </c>
      <c r="AI12" s="245">
        <v>429.99</v>
      </c>
      <c r="AJ12" t="s">
        <v>1243</v>
      </c>
      <c r="AK12" t="s">
        <v>1228</v>
      </c>
      <c r="AL12" t="s">
        <v>1244</v>
      </c>
      <c r="AM12" s="245">
        <v>599.96</v>
      </c>
      <c r="AN12" t="s">
        <v>1245</v>
      </c>
      <c r="AO12" t="s">
        <v>1228</v>
      </c>
      <c r="AP12" t="s">
        <v>1181</v>
      </c>
      <c r="AQ12" s="245">
        <v>599.99</v>
      </c>
      <c r="AR12" t="s">
        <v>1246</v>
      </c>
      <c r="AS12" s="226" t="str">
        <f t="shared" si="0"/>
        <v>Stance 102</v>
      </c>
      <c r="AT12" s="203" t="str">
        <f t="shared" si="1"/>
        <v xml:space="preserve"> SalomonStance 102190 Unisex</v>
      </c>
    </row>
    <row r="13" spans="1:46" ht="79.2">
      <c r="A13" t="s">
        <v>155</v>
      </c>
      <c r="B13" t="s">
        <v>180</v>
      </c>
      <c r="C13" t="s">
        <v>181</v>
      </c>
      <c r="D13">
        <v>160</v>
      </c>
      <c r="E13" t="s">
        <v>163</v>
      </c>
      <c r="F13">
        <v>160</v>
      </c>
      <c r="G13">
        <v>158.30000000000001</v>
      </c>
      <c r="H13">
        <v>114</v>
      </c>
      <c r="I13">
        <v>141</v>
      </c>
      <c r="J13">
        <v>126</v>
      </c>
      <c r="K13">
        <v>92</v>
      </c>
      <c r="L13">
        <v>115</v>
      </c>
      <c r="M13">
        <v>18</v>
      </c>
      <c r="N13" t="s">
        <v>159</v>
      </c>
      <c r="O13" t="s">
        <v>159</v>
      </c>
      <c r="P13">
        <v>1594</v>
      </c>
      <c r="Q13">
        <v>148</v>
      </c>
      <c r="R13">
        <v>62</v>
      </c>
      <c r="S13">
        <v>56</v>
      </c>
      <c r="T13">
        <v>269</v>
      </c>
      <c r="U13">
        <v>33</v>
      </c>
      <c r="V13">
        <v>175</v>
      </c>
      <c r="W13">
        <v>0.59399999999999997</v>
      </c>
      <c r="X13">
        <v>96</v>
      </c>
      <c r="Y13">
        <v>74</v>
      </c>
      <c r="Z13">
        <v>173</v>
      </c>
      <c r="AA13">
        <v>4</v>
      </c>
      <c r="AB13">
        <v>6.9</v>
      </c>
      <c r="AC13" t="s">
        <v>160</v>
      </c>
      <c r="AG13" t="s">
        <v>1247</v>
      </c>
      <c r="AH13" t="s">
        <v>1248</v>
      </c>
      <c r="AI13" s="245">
        <v>419.97</v>
      </c>
      <c r="AJ13" t="s">
        <v>1249</v>
      </c>
      <c r="AK13" t="s">
        <v>1250</v>
      </c>
      <c r="AL13" t="s">
        <v>1251</v>
      </c>
      <c r="AM13" s="245">
        <v>485.38</v>
      </c>
      <c r="AN13" t="s">
        <v>1252</v>
      </c>
      <c r="AO13" t="s">
        <v>1253</v>
      </c>
      <c r="AP13" t="s">
        <v>1224</v>
      </c>
      <c r="AQ13" s="245">
        <v>560</v>
      </c>
      <c r="AR13" t="s">
        <v>1254</v>
      </c>
      <c r="AS13" s="226" t="str">
        <f t="shared" si="0"/>
        <v>Scrapper 95 W</v>
      </c>
      <c r="AT13" s="203" t="str">
        <f t="shared" si="1"/>
        <v xml:space="preserve"> ScottScrapper 95 W160 Women's</v>
      </c>
    </row>
    <row r="14" spans="1:46" ht="118.8">
      <c r="A14" t="s">
        <v>155</v>
      </c>
      <c r="B14" t="s">
        <v>180</v>
      </c>
      <c r="C14" t="s">
        <v>181</v>
      </c>
      <c r="D14">
        <v>168</v>
      </c>
      <c r="E14" t="s">
        <v>163</v>
      </c>
      <c r="F14">
        <v>168</v>
      </c>
      <c r="G14">
        <v>166.5</v>
      </c>
      <c r="H14">
        <v>120</v>
      </c>
      <c r="I14">
        <v>149</v>
      </c>
      <c r="J14">
        <v>128</v>
      </c>
      <c r="K14">
        <v>93</v>
      </c>
      <c r="L14">
        <v>117</v>
      </c>
      <c r="M14">
        <v>19.600000000000001</v>
      </c>
      <c r="N14" t="s">
        <v>159</v>
      </c>
      <c r="O14" t="s">
        <v>159</v>
      </c>
      <c r="P14">
        <v>1695</v>
      </c>
      <c r="Q14">
        <v>145</v>
      </c>
      <c r="R14">
        <v>64</v>
      </c>
      <c r="S14">
        <v>59</v>
      </c>
      <c r="T14">
        <v>295</v>
      </c>
      <c r="U14">
        <v>34</v>
      </c>
      <c r="V14">
        <v>165</v>
      </c>
      <c r="W14">
        <v>0.57799999999999996</v>
      </c>
      <c r="X14">
        <v>105</v>
      </c>
      <c r="Y14">
        <v>75</v>
      </c>
      <c r="Z14">
        <v>190</v>
      </c>
      <c r="AA14">
        <v>5</v>
      </c>
      <c r="AB14">
        <v>7</v>
      </c>
      <c r="AC14" t="s">
        <v>160</v>
      </c>
      <c r="AG14" t="s">
        <v>1255</v>
      </c>
      <c r="AH14" t="s">
        <v>1256</v>
      </c>
      <c r="AI14" s="245">
        <v>317.95</v>
      </c>
      <c r="AJ14" t="s">
        <v>1257</v>
      </c>
      <c r="AK14" t="s">
        <v>1255</v>
      </c>
      <c r="AL14" t="s">
        <v>1258</v>
      </c>
      <c r="AM14" s="245">
        <v>357.82</v>
      </c>
      <c r="AN14" t="s">
        <v>1259</v>
      </c>
      <c r="AO14" t="s">
        <v>1247</v>
      </c>
      <c r="AP14" t="s">
        <v>1248</v>
      </c>
      <c r="AQ14" s="245">
        <v>419.97</v>
      </c>
      <c r="AR14" t="s">
        <v>1260</v>
      </c>
      <c r="AS14" s="226" t="str">
        <f t="shared" si="0"/>
        <v>Scrapper 95 W</v>
      </c>
      <c r="AT14" s="203" t="str">
        <f t="shared" si="1"/>
        <v xml:space="preserve"> ScottScrapper 95 W168 Women's</v>
      </c>
    </row>
    <row r="15" spans="1:46" ht="79.2">
      <c r="A15" t="s">
        <v>155</v>
      </c>
      <c r="B15" t="s">
        <v>182</v>
      </c>
      <c r="C15" t="s">
        <v>183</v>
      </c>
      <c r="D15">
        <v>165</v>
      </c>
      <c r="E15" t="s">
        <v>158</v>
      </c>
      <c r="F15">
        <v>165</v>
      </c>
      <c r="G15">
        <v>163.4</v>
      </c>
      <c r="H15">
        <v>101</v>
      </c>
      <c r="I15">
        <v>122</v>
      </c>
      <c r="J15">
        <v>137</v>
      </c>
      <c r="K15">
        <v>115</v>
      </c>
      <c r="L15">
        <v>133</v>
      </c>
      <c r="M15">
        <v>16.2</v>
      </c>
      <c r="N15">
        <v>1617</v>
      </c>
      <c r="O15">
        <v>1.24</v>
      </c>
      <c r="P15">
        <v>2008</v>
      </c>
      <c r="Q15">
        <v>166</v>
      </c>
      <c r="R15">
        <v>94</v>
      </c>
      <c r="S15">
        <v>57</v>
      </c>
      <c r="T15">
        <v>324</v>
      </c>
      <c r="U15">
        <v>56</v>
      </c>
      <c r="V15">
        <v>304</v>
      </c>
      <c r="W15">
        <v>0.98699999999999999</v>
      </c>
      <c r="X15">
        <v>226</v>
      </c>
      <c r="Y15">
        <v>188</v>
      </c>
      <c r="Z15">
        <v>98</v>
      </c>
      <c r="AA15">
        <v>5</v>
      </c>
      <c r="AB15">
        <v>5.8</v>
      </c>
      <c r="AC15" t="s">
        <v>184</v>
      </c>
      <c r="AD15" t="s">
        <v>169</v>
      </c>
      <c r="AE15" t="s">
        <v>185</v>
      </c>
      <c r="AG15" t="s">
        <v>1261</v>
      </c>
      <c r="AH15" t="s">
        <v>1262</v>
      </c>
      <c r="AI15" s="245">
        <v>553.33000000000004</v>
      </c>
      <c r="AJ15" t="s">
        <v>1263</v>
      </c>
      <c r="AK15" t="s">
        <v>1264</v>
      </c>
      <c r="AL15" t="s">
        <v>1265</v>
      </c>
      <c r="AM15" s="245">
        <v>544.54999999999995</v>
      </c>
      <c r="AN15" t="s">
        <v>1266</v>
      </c>
      <c r="AO15" t="s">
        <v>1264</v>
      </c>
      <c r="AP15" t="s">
        <v>1226</v>
      </c>
      <c r="AQ15" s="245">
        <v>599</v>
      </c>
      <c r="AR15" t="s">
        <v>1267</v>
      </c>
      <c r="AS15" s="226" t="str">
        <f t="shared" si="0"/>
        <v>ARV 116 JJ UL</v>
      </c>
      <c r="AT15" s="203" t="str">
        <f t="shared" si="1"/>
        <v xml:space="preserve"> ArmadaARV 116 JJ UL165 Unisex</v>
      </c>
    </row>
    <row r="16" spans="1:46" ht="66">
      <c r="A16" t="s">
        <v>155</v>
      </c>
      <c r="B16" t="s">
        <v>182</v>
      </c>
      <c r="C16" t="s">
        <v>183</v>
      </c>
      <c r="D16">
        <v>175</v>
      </c>
      <c r="E16" t="s">
        <v>158</v>
      </c>
      <c r="F16">
        <v>175</v>
      </c>
      <c r="G16">
        <v>173.2</v>
      </c>
      <c r="H16">
        <v>103</v>
      </c>
      <c r="I16">
        <v>130</v>
      </c>
      <c r="J16">
        <v>138</v>
      </c>
      <c r="K16">
        <v>115</v>
      </c>
      <c r="L16">
        <v>135</v>
      </c>
      <c r="M16">
        <v>17.5</v>
      </c>
      <c r="N16">
        <v>1700</v>
      </c>
      <c r="O16">
        <v>1.24</v>
      </c>
      <c r="P16">
        <v>2109</v>
      </c>
      <c r="Q16">
        <v>185</v>
      </c>
      <c r="R16">
        <v>96</v>
      </c>
      <c r="S16">
        <v>63</v>
      </c>
      <c r="T16">
        <v>359</v>
      </c>
      <c r="U16">
        <v>63</v>
      </c>
      <c r="V16">
        <v>344</v>
      </c>
      <c r="W16">
        <v>0.98599999999999999</v>
      </c>
      <c r="X16">
        <v>239</v>
      </c>
      <c r="Y16">
        <v>197</v>
      </c>
      <c r="Z16">
        <v>120</v>
      </c>
      <c r="AA16">
        <v>3</v>
      </c>
      <c r="AB16">
        <v>6</v>
      </c>
      <c r="AC16" t="s">
        <v>184</v>
      </c>
      <c r="AD16" t="s">
        <v>169</v>
      </c>
      <c r="AE16" t="s">
        <v>185</v>
      </c>
      <c r="AG16" t="s">
        <v>1268</v>
      </c>
      <c r="AH16" t="s">
        <v>1248</v>
      </c>
      <c r="AI16" s="245">
        <v>599.96</v>
      </c>
      <c r="AJ16" t="s">
        <v>1269</v>
      </c>
      <c r="AK16" t="s">
        <v>1268</v>
      </c>
      <c r="AL16" t="s">
        <v>1191</v>
      </c>
      <c r="AM16" s="245">
        <v>609.95000000000005</v>
      </c>
      <c r="AN16" t="s">
        <v>1270</v>
      </c>
      <c r="AO16" t="s">
        <v>1268</v>
      </c>
      <c r="AP16" t="s">
        <v>1271</v>
      </c>
      <c r="AQ16" s="245">
        <v>649.95000000000005</v>
      </c>
      <c r="AR16" t="s">
        <v>1272</v>
      </c>
      <c r="AS16" s="226" t="str">
        <f t="shared" si="0"/>
        <v>ARV 116 JJ UL</v>
      </c>
      <c r="AT16" s="203" t="str">
        <f t="shared" si="1"/>
        <v xml:space="preserve"> ArmadaARV 116 JJ UL175 Unisex</v>
      </c>
    </row>
    <row r="17" spans="1:46" ht="66">
      <c r="A17" t="s">
        <v>155</v>
      </c>
      <c r="B17" t="s">
        <v>182</v>
      </c>
      <c r="C17" t="s">
        <v>183</v>
      </c>
      <c r="D17">
        <v>185</v>
      </c>
      <c r="E17" t="s">
        <v>158</v>
      </c>
      <c r="F17">
        <v>185</v>
      </c>
      <c r="G17">
        <v>183</v>
      </c>
      <c r="H17">
        <v>113</v>
      </c>
      <c r="I17">
        <v>136</v>
      </c>
      <c r="J17">
        <v>138</v>
      </c>
      <c r="K17">
        <v>115</v>
      </c>
      <c r="L17">
        <v>134</v>
      </c>
      <c r="M17">
        <v>18.5</v>
      </c>
      <c r="N17">
        <v>1783</v>
      </c>
      <c r="O17">
        <v>1.24</v>
      </c>
      <c r="P17">
        <v>2218</v>
      </c>
      <c r="Q17">
        <v>203</v>
      </c>
      <c r="R17">
        <v>103</v>
      </c>
      <c r="S17">
        <v>66</v>
      </c>
      <c r="T17">
        <v>361</v>
      </c>
      <c r="U17">
        <v>63</v>
      </c>
      <c r="V17">
        <v>340</v>
      </c>
      <c r="W17">
        <v>0.95299999999999996</v>
      </c>
      <c r="X17">
        <v>236</v>
      </c>
      <c r="Y17">
        <v>231</v>
      </c>
      <c r="Z17">
        <v>124</v>
      </c>
      <c r="AA17">
        <v>4</v>
      </c>
      <c r="AB17">
        <v>5.4</v>
      </c>
      <c r="AC17" t="s">
        <v>184</v>
      </c>
      <c r="AD17" t="s">
        <v>169</v>
      </c>
      <c r="AE17" t="s">
        <v>185</v>
      </c>
      <c r="AG17" t="s">
        <v>1268</v>
      </c>
      <c r="AH17" t="s">
        <v>1194</v>
      </c>
      <c r="AI17" s="245">
        <v>506.21</v>
      </c>
      <c r="AJ17" t="s">
        <v>1273</v>
      </c>
      <c r="AK17" t="s">
        <v>1268</v>
      </c>
      <c r="AL17" t="s">
        <v>1262</v>
      </c>
      <c r="AM17" s="245">
        <v>553.33000000000004</v>
      </c>
      <c r="AN17" t="s">
        <v>1274</v>
      </c>
      <c r="AO17" t="s">
        <v>1268</v>
      </c>
      <c r="AP17" t="s">
        <v>1248</v>
      </c>
      <c r="AQ17" s="245">
        <v>599.96</v>
      </c>
      <c r="AR17" t="s">
        <v>1275</v>
      </c>
      <c r="AS17" s="226" t="str">
        <f t="shared" si="0"/>
        <v>ARV 116 JJ UL</v>
      </c>
      <c r="AT17" s="203" t="str">
        <f t="shared" si="1"/>
        <v xml:space="preserve"> ArmadaARV 116 JJ UL185 Unisex</v>
      </c>
    </row>
    <row r="18" spans="1:46" ht="52.8">
      <c r="A18" t="s">
        <v>155</v>
      </c>
      <c r="B18" t="s">
        <v>182</v>
      </c>
      <c r="C18" t="s">
        <v>187</v>
      </c>
      <c r="D18">
        <v>172</v>
      </c>
      <c r="E18" t="s">
        <v>158</v>
      </c>
      <c r="F18">
        <v>172</v>
      </c>
      <c r="G18">
        <v>170.4</v>
      </c>
      <c r="H18">
        <v>119</v>
      </c>
      <c r="I18">
        <v>140</v>
      </c>
      <c r="J18">
        <v>132</v>
      </c>
      <c r="K18">
        <v>105</v>
      </c>
      <c r="L18">
        <v>122</v>
      </c>
      <c r="M18">
        <v>20</v>
      </c>
      <c r="N18">
        <v>1948</v>
      </c>
      <c r="O18">
        <v>0.98</v>
      </c>
      <c r="P18">
        <v>1900</v>
      </c>
      <c r="Q18">
        <v>187</v>
      </c>
      <c r="R18">
        <v>103</v>
      </c>
      <c r="S18">
        <v>55</v>
      </c>
      <c r="T18">
        <v>280</v>
      </c>
      <c r="U18">
        <v>43</v>
      </c>
      <c r="V18">
        <v>237</v>
      </c>
      <c r="W18">
        <v>0.78</v>
      </c>
      <c r="X18">
        <v>150</v>
      </c>
      <c r="Y18">
        <v>155</v>
      </c>
      <c r="Z18">
        <v>130</v>
      </c>
      <c r="AA18">
        <v>7</v>
      </c>
      <c r="AB18">
        <v>5.4</v>
      </c>
      <c r="AC18" t="s">
        <v>188</v>
      </c>
      <c r="AD18" t="s">
        <v>169</v>
      </c>
      <c r="AG18" t="s">
        <v>1276</v>
      </c>
      <c r="AH18" t="s">
        <v>1277</v>
      </c>
      <c r="AI18" s="245">
        <v>400</v>
      </c>
      <c r="AJ18" t="s">
        <v>1278</v>
      </c>
      <c r="AK18" t="s">
        <v>1279</v>
      </c>
      <c r="AL18" t="s">
        <v>1280</v>
      </c>
      <c r="AM18" s="245">
        <v>519.92999999999995</v>
      </c>
      <c r="AN18" t="s">
        <v>1281</v>
      </c>
      <c r="AO18" t="s">
        <v>1279</v>
      </c>
      <c r="AP18" t="s">
        <v>1282</v>
      </c>
      <c r="AQ18" s="245">
        <v>519.96</v>
      </c>
      <c r="AR18" t="s">
        <v>1283</v>
      </c>
      <c r="AS18" s="226" t="str">
        <f t="shared" si="0"/>
        <v>ARV 106</v>
      </c>
      <c r="AT18" s="203" t="str">
        <f t="shared" si="1"/>
        <v xml:space="preserve"> ArmadaARV 106172 Unisex</v>
      </c>
    </row>
    <row r="19" spans="1:46" ht="26.4">
      <c r="A19" t="s">
        <v>155</v>
      </c>
      <c r="B19" t="s">
        <v>1152</v>
      </c>
      <c r="C19" t="s">
        <v>191</v>
      </c>
      <c r="D19">
        <v>184</v>
      </c>
      <c r="E19" t="s">
        <v>158</v>
      </c>
      <c r="F19">
        <v>184</v>
      </c>
      <c r="G19">
        <v>182.1</v>
      </c>
      <c r="H19">
        <v>146</v>
      </c>
      <c r="I19">
        <v>149</v>
      </c>
      <c r="J19">
        <v>126</v>
      </c>
      <c r="K19">
        <v>98</v>
      </c>
      <c r="L19">
        <v>122</v>
      </c>
      <c r="M19">
        <v>18.8</v>
      </c>
      <c r="N19">
        <v>1760</v>
      </c>
      <c r="O19">
        <v>1.1200000000000001</v>
      </c>
      <c r="P19">
        <v>1978</v>
      </c>
      <c r="Q19">
        <v>181</v>
      </c>
      <c r="R19">
        <v>87</v>
      </c>
      <c r="S19">
        <v>40</v>
      </c>
      <c r="T19">
        <v>202</v>
      </c>
      <c r="U19">
        <v>30</v>
      </c>
      <c r="V19">
        <v>155</v>
      </c>
      <c r="W19">
        <v>0.746</v>
      </c>
      <c r="X19">
        <v>176</v>
      </c>
      <c r="Y19">
        <v>154</v>
      </c>
      <c r="Z19">
        <v>27</v>
      </c>
      <c r="AA19">
        <v>8</v>
      </c>
      <c r="AB19">
        <v>3.6</v>
      </c>
      <c r="AC19" t="s">
        <v>188</v>
      </c>
      <c r="AD19" t="s">
        <v>185</v>
      </c>
      <c r="AS19" s="226" t="str">
        <f t="shared" si="0"/>
        <v>Switch</v>
      </c>
      <c r="AT19" s="203" t="str">
        <f t="shared" si="1"/>
        <v>4FRNTSwitch184 Unisex</v>
      </c>
    </row>
    <row r="20" spans="1:46" ht="79.2">
      <c r="A20" t="s">
        <v>155</v>
      </c>
      <c r="B20" t="s">
        <v>182</v>
      </c>
      <c r="C20" t="s">
        <v>183</v>
      </c>
      <c r="D20">
        <v>192</v>
      </c>
      <c r="E20" t="s">
        <v>158</v>
      </c>
      <c r="F20">
        <v>192</v>
      </c>
      <c r="G20">
        <v>188.2</v>
      </c>
      <c r="H20">
        <v>121</v>
      </c>
      <c r="I20">
        <v>138</v>
      </c>
      <c r="J20">
        <v>138</v>
      </c>
      <c r="K20">
        <v>115</v>
      </c>
      <c r="L20">
        <v>134</v>
      </c>
      <c r="M20">
        <v>19.3</v>
      </c>
      <c r="N20">
        <v>1874</v>
      </c>
      <c r="O20">
        <v>1.21</v>
      </c>
      <c r="P20">
        <v>2270</v>
      </c>
      <c r="Q20">
        <v>239</v>
      </c>
      <c r="R20">
        <v>118</v>
      </c>
      <c r="S20">
        <v>62</v>
      </c>
      <c r="T20">
        <v>359</v>
      </c>
      <c r="U20">
        <v>52</v>
      </c>
      <c r="V20">
        <v>318</v>
      </c>
      <c r="W20">
        <v>0.83899999999999997</v>
      </c>
      <c r="X20">
        <v>270</v>
      </c>
      <c r="Y20">
        <v>234</v>
      </c>
      <c r="Z20">
        <v>89</v>
      </c>
      <c r="AA20">
        <v>5</v>
      </c>
      <c r="AB20">
        <v>6.7</v>
      </c>
      <c r="AC20" t="s">
        <v>184</v>
      </c>
      <c r="AD20" t="s">
        <v>169</v>
      </c>
      <c r="AE20" t="s">
        <v>185</v>
      </c>
      <c r="AG20" t="s">
        <v>1284</v>
      </c>
      <c r="AH20" t="s">
        <v>1240</v>
      </c>
      <c r="AI20" s="245">
        <v>549.95000000000005</v>
      </c>
      <c r="AJ20" t="s">
        <v>1285</v>
      </c>
      <c r="AK20" t="s">
        <v>1286</v>
      </c>
      <c r="AL20" t="s">
        <v>1224</v>
      </c>
      <c r="AM20" s="245">
        <v>549.97</v>
      </c>
      <c r="AN20" t="s">
        <v>1287</v>
      </c>
      <c r="AO20" t="s">
        <v>1288</v>
      </c>
      <c r="AP20" t="s">
        <v>1289</v>
      </c>
      <c r="AQ20" s="245">
        <v>559.95000000000005</v>
      </c>
      <c r="AR20" t="s">
        <v>1290</v>
      </c>
      <c r="AS20" s="226" t="str">
        <f t="shared" si="0"/>
        <v>ARV 116 JJ UL</v>
      </c>
      <c r="AT20" s="203" t="str">
        <f t="shared" si="1"/>
        <v xml:space="preserve"> ArmadaARV 116 JJ UL192 Unisex</v>
      </c>
    </row>
    <row r="21" spans="1:46" ht="118.8">
      <c r="A21" t="s">
        <v>155</v>
      </c>
      <c r="B21" t="s">
        <v>182</v>
      </c>
      <c r="C21" t="s">
        <v>187</v>
      </c>
      <c r="D21">
        <v>180</v>
      </c>
      <c r="E21" t="s">
        <v>158</v>
      </c>
      <c r="F21">
        <v>180</v>
      </c>
      <c r="G21">
        <v>177.9</v>
      </c>
      <c r="H21">
        <v>125</v>
      </c>
      <c r="I21">
        <v>140</v>
      </c>
      <c r="J21">
        <v>132</v>
      </c>
      <c r="K21">
        <v>105</v>
      </c>
      <c r="L21">
        <v>121</v>
      </c>
      <c r="M21">
        <v>20.7</v>
      </c>
      <c r="N21">
        <v>2142</v>
      </c>
      <c r="O21">
        <v>0.93</v>
      </c>
      <c r="P21">
        <v>1983</v>
      </c>
      <c r="Q21">
        <v>242</v>
      </c>
      <c r="R21">
        <v>119</v>
      </c>
      <c r="S21">
        <v>53</v>
      </c>
      <c r="T21">
        <v>285</v>
      </c>
      <c r="U21">
        <v>46</v>
      </c>
      <c r="V21">
        <v>242</v>
      </c>
      <c r="W21">
        <v>0.85199999999999998</v>
      </c>
      <c r="X21">
        <v>177</v>
      </c>
      <c r="Y21">
        <v>200</v>
      </c>
      <c r="Z21">
        <v>108</v>
      </c>
      <c r="AA21">
        <v>8</v>
      </c>
      <c r="AB21">
        <v>5.4</v>
      </c>
      <c r="AC21" t="s">
        <v>188</v>
      </c>
      <c r="AD21" t="s">
        <v>184</v>
      </c>
      <c r="AE21" t="s">
        <v>169</v>
      </c>
      <c r="AG21" t="s">
        <v>1291</v>
      </c>
      <c r="AH21" t="s">
        <v>1292</v>
      </c>
      <c r="AI21" s="245">
        <v>375</v>
      </c>
      <c r="AJ21" t="s">
        <v>1293</v>
      </c>
      <c r="AK21" t="s">
        <v>1279</v>
      </c>
      <c r="AL21" t="s">
        <v>1294</v>
      </c>
      <c r="AM21" s="245">
        <v>519.92999999999995</v>
      </c>
      <c r="AN21" t="s">
        <v>1295</v>
      </c>
      <c r="AO21" t="s">
        <v>1279</v>
      </c>
      <c r="AP21" t="s">
        <v>1271</v>
      </c>
      <c r="AQ21" s="245">
        <v>519.92999999999995</v>
      </c>
      <c r="AR21" t="s">
        <v>1296</v>
      </c>
      <c r="AS21" s="226" t="str">
        <f t="shared" si="0"/>
        <v>ARV 106</v>
      </c>
      <c r="AT21" s="203" t="str">
        <f t="shared" si="1"/>
        <v xml:space="preserve"> ArmadaARV 106180 Unisex</v>
      </c>
    </row>
    <row r="22" spans="1:46" ht="132">
      <c r="A22" t="s">
        <v>155</v>
      </c>
      <c r="B22" t="s">
        <v>1152</v>
      </c>
      <c r="C22" t="s">
        <v>192</v>
      </c>
      <c r="D22">
        <v>184</v>
      </c>
      <c r="E22" t="s">
        <v>158</v>
      </c>
      <c r="F22">
        <v>184</v>
      </c>
      <c r="G22">
        <v>182.6</v>
      </c>
      <c r="H22">
        <v>0</v>
      </c>
      <c r="I22">
        <v>130</v>
      </c>
      <c r="J22">
        <v>121</v>
      </c>
      <c r="K22">
        <v>103</v>
      </c>
      <c r="L22">
        <v>111</v>
      </c>
      <c r="M22">
        <v>28.4</v>
      </c>
      <c r="N22">
        <v>1810</v>
      </c>
      <c r="O22">
        <v>1.0900000000000001</v>
      </c>
      <c r="P22">
        <v>1969</v>
      </c>
      <c r="Q22">
        <v>221</v>
      </c>
      <c r="R22">
        <v>96</v>
      </c>
      <c r="S22">
        <v>67</v>
      </c>
      <c r="T22">
        <v>972</v>
      </c>
      <c r="U22">
        <v>26</v>
      </c>
      <c r="V22">
        <v>854</v>
      </c>
      <c r="W22">
        <v>0.39399999999999902</v>
      </c>
      <c r="X22">
        <v>216</v>
      </c>
      <c r="Y22">
        <v>309</v>
      </c>
      <c r="Z22">
        <v>756</v>
      </c>
      <c r="AA22">
        <v>-7</v>
      </c>
      <c r="AB22">
        <v>5.9</v>
      </c>
      <c r="AC22" t="s">
        <v>188</v>
      </c>
      <c r="AD22" t="s">
        <v>169</v>
      </c>
      <c r="AE22" t="s">
        <v>178</v>
      </c>
      <c r="AF22" t="s">
        <v>185</v>
      </c>
      <c r="AG22" t="s">
        <v>1297</v>
      </c>
      <c r="AH22" t="s">
        <v>1298</v>
      </c>
      <c r="AI22" s="245">
        <v>649.99</v>
      </c>
      <c r="AJ22" t="s">
        <v>1299</v>
      </c>
      <c r="AS22" s="226" t="str">
        <f t="shared" si="0"/>
        <v>Raven</v>
      </c>
      <c r="AT22" s="203" t="str">
        <f t="shared" si="1"/>
        <v>4FRNTRaven184 Unisex</v>
      </c>
    </row>
    <row r="23" spans="1:46" ht="66">
      <c r="A23" t="s">
        <v>155</v>
      </c>
      <c r="B23" t="s">
        <v>182</v>
      </c>
      <c r="C23" t="s">
        <v>193</v>
      </c>
      <c r="D23">
        <v>157</v>
      </c>
      <c r="E23" t="s">
        <v>158</v>
      </c>
      <c r="F23">
        <v>157</v>
      </c>
      <c r="G23">
        <v>155.4</v>
      </c>
      <c r="H23">
        <v>111</v>
      </c>
      <c r="I23">
        <v>128</v>
      </c>
      <c r="J23">
        <v>116</v>
      </c>
      <c r="K23">
        <v>84</v>
      </c>
      <c r="L23">
        <v>108</v>
      </c>
      <c r="M23">
        <v>13.3</v>
      </c>
      <c r="N23">
        <v>1533</v>
      </c>
      <c r="O23">
        <v>0.96</v>
      </c>
      <c r="P23">
        <v>1479</v>
      </c>
      <c r="Q23">
        <v>130</v>
      </c>
      <c r="R23">
        <v>47</v>
      </c>
      <c r="S23">
        <v>46</v>
      </c>
      <c r="T23">
        <v>248</v>
      </c>
      <c r="U23">
        <v>37</v>
      </c>
      <c r="V23">
        <v>192</v>
      </c>
      <c r="W23">
        <v>0.79799999999999904</v>
      </c>
      <c r="X23">
        <v>144</v>
      </c>
      <c r="Y23">
        <v>126</v>
      </c>
      <c r="Z23">
        <v>104</v>
      </c>
      <c r="AA23">
        <v>8</v>
      </c>
      <c r="AB23">
        <v>6.8</v>
      </c>
      <c r="AC23" t="s">
        <v>188</v>
      </c>
      <c r="AG23" t="s">
        <v>1300</v>
      </c>
      <c r="AH23" t="s">
        <v>1301</v>
      </c>
      <c r="AI23" s="245">
        <v>279.95999999999998</v>
      </c>
      <c r="AJ23" t="s">
        <v>1302</v>
      </c>
      <c r="AK23" t="s">
        <v>1303</v>
      </c>
      <c r="AL23" t="s">
        <v>1277</v>
      </c>
      <c r="AM23" s="245">
        <v>315.99</v>
      </c>
      <c r="AN23" t="s">
        <v>1304</v>
      </c>
      <c r="AO23" t="s">
        <v>1300</v>
      </c>
      <c r="AP23" t="s">
        <v>1305</v>
      </c>
      <c r="AQ23" s="245">
        <v>349</v>
      </c>
      <c r="AR23" t="s">
        <v>1306</v>
      </c>
      <c r="AS23" s="226" t="str">
        <f t="shared" si="0"/>
        <v>ARV 84</v>
      </c>
      <c r="AT23" s="203" t="str">
        <f t="shared" si="1"/>
        <v xml:space="preserve"> ArmadaARV 84157 Unisex</v>
      </c>
    </row>
    <row r="24" spans="1:46" ht="52.8">
      <c r="A24" t="s">
        <v>155</v>
      </c>
      <c r="B24" t="s">
        <v>182</v>
      </c>
      <c r="C24" t="s">
        <v>193</v>
      </c>
      <c r="D24">
        <v>150</v>
      </c>
      <c r="E24" t="s">
        <v>158</v>
      </c>
      <c r="F24">
        <v>150</v>
      </c>
      <c r="G24">
        <v>148</v>
      </c>
      <c r="H24">
        <v>103</v>
      </c>
      <c r="I24">
        <v>122</v>
      </c>
      <c r="J24">
        <v>116</v>
      </c>
      <c r="K24">
        <v>84</v>
      </c>
      <c r="L24">
        <v>107</v>
      </c>
      <c r="M24">
        <v>12</v>
      </c>
      <c r="N24">
        <v>1466</v>
      </c>
      <c r="O24">
        <v>0.96</v>
      </c>
      <c r="P24">
        <v>1412</v>
      </c>
      <c r="Q24">
        <v>124</v>
      </c>
      <c r="R24">
        <v>45</v>
      </c>
      <c r="S24">
        <v>49</v>
      </c>
      <c r="T24">
        <v>256</v>
      </c>
      <c r="U24">
        <v>38</v>
      </c>
      <c r="V24">
        <v>198</v>
      </c>
      <c r="W24">
        <v>0.76900000000000002</v>
      </c>
      <c r="X24">
        <v>138</v>
      </c>
      <c r="Y24">
        <v>121</v>
      </c>
      <c r="Z24">
        <v>118</v>
      </c>
      <c r="AA24">
        <v>7</v>
      </c>
      <c r="AB24">
        <v>5.8</v>
      </c>
      <c r="AC24" t="s">
        <v>188</v>
      </c>
      <c r="AG24" t="s">
        <v>1307</v>
      </c>
      <c r="AH24" t="s">
        <v>1224</v>
      </c>
      <c r="AI24" s="245">
        <v>279.95999999999998</v>
      </c>
      <c r="AJ24" t="s">
        <v>1308</v>
      </c>
      <c r="AK24" t="s">
        <v>1307</v>
      </c>
      <c r="AL24" t="s">
        <v>1309</v>
      </c>
      <c r="AM24" s="245">
        <v>279.95999999999998</v>
      </c>
      <c r="AN24" t="s">
        <v>1310</v>
      </c>
      <c r="AO24" t="s">
        <v>1307</v>
      </c>
      <c r="AP24" t="s">
        <v>1301</v>
      </c>
      <c r="AQ24" s="245">
        <v>279.95999999999998</v>
      </c>
      <c r="AR24" t="s">
        <v>1311</v>
      </c>
      <c r="AS24" s="226" t="str">
        <f t="shared" si="0"/>
        <v>ARV 84</v>
      </c>
      <c r="AT24" s="203" t="str">
        <f t="shared" si="1"/>
        <v xml:space="preserve"> ArmadaARV 84150 Unisex</v>
      </c>
    </row>
    <row r="25" spans="1:46" ht="66">
      <c r="A25" t="s">
        <v>155</v>
      </c>
      <c r="B25" t="s">
        <v>182</v>
      </c>
      <c r="C25" t="s">
        <v>193</v>
      </c>
      <c r="D25">
        <v>143</v>
      </c>
      <c r="E25" t="s">
        <v>158</v>
      </c>
      <c r="F25">
        <v>143</v>
      </c>
      <c r="G25">
        <v>140.9</v>
      </c>
      <c r="H25">
        <v>98</v>
      </c>
      <c r="I25">
        <v>116</v>
      </c>
      <c r="J25">
        <v>116</v>
      </c>
      <c r="K25">
        <v>84</v>
      </c>
      <c r="L25">
        <v>108</v>
      </c>
      <c r="M25">
        <v>10.5</v>
      </c>
      <c r="N25">
        <v>1373</v>
      </c>
      <c r="O25">
        <v>0.99</v>
      </c>
      <c r="P25">
        <v>1353</v>
      </c>
      <c r="Q25">
        <v>112</v>
      </c>
      <c r="R25">
        <v>43</v>
      </c>
      <c r="S25">
        <v>47</v>
      </c>
      <c r="T25">
        <v>245</v>
      </c>
      <c r="U25">
        <v>37</v>
      </c>
      <c r="V25">
        <v>189</v>
      </c>
      <c r="W25">
        <v>0.76900000000000002</v>
      </c>
      <c r="X25">
        <v>130</v>
      </c>
      <c r="Y25">
        <v>114</v>
      </c>
      <c r="Z25">
        <v>115</v>
      </c>
      <c r="AA25">
        <v>5</v>
      </c>
      <c r="AB25">
        <v>9.1</v>
      </c>
      <c r="AC25" t="s">
        <v>188</v>
      </c>
      <c r="AG25" t="s">
        <v>1312</v>
      </c>
      <c r="AH25" t="s">
        <v>1265</v>
      </c>
      <c r="AI25" s="245">
        <v>275.08</v>
      </c>
      <c r="AJ25" t="s">
        <v>1313</v>
      </c>
      <c r="AK25" t="s">
        <v>1314</v>
      </c>
      <c r="AL25" t="s">
        <v>1280</v>
      </c>
      <c r="AM25" s="245">
        <v>279.93</v>
      </c>
      <c r="AN25" t="s">
        <v>1315</v>
      </c>
      <c r="AO25" t="s">
        <v>1314</v>
      </c>
      <c r="AP25" t="s">
        <v>1224</v>
      </c>
      <c r="AQ25" s="245">
        <v>279.95999999999998</v>
      </c>
      <c r="AR25" t="s">
        <v>1316</v>
      </c>
      <c r="AS25" s="226" t="str">
        <f t="shared" si="0"/>
        <v>ARV 84</v>
      </c>
      <c r="AT25" s="203" t="str">
        <f t="shared" si="1"/>
        <v xml:space="preserve"> ArmadaARV 84143 Unisex</v>
      </c>
    </row>
    <row r="26" spans="1:46" ht="105.6">
      <c r="A26" t="s">
        <v>155</v>
      </c>
      <c r="B26" t="s">
        <v>182</v>
      </c>
      <c r="C26" t="s">
        <v>187</v>
      </c>
      <c r="D26">
        <v>188</v>
      </c>
      <c r="E26" t="s">
        <v>158</v>
      </c>
      <c r="F26">
        <v>188</v>
      </c>
      <c r="G26">
        <v>186.1</v>
      </c>
      <c r="H26">
        <v>131</v>
      </c>
      <c r="I26">
        <v>151</v>
      </c>
      <c r="J26">
        <v>136</v>
      </c>
      <c r="K26">
        <v>105</v>
      </c>
      <c r="L26">
        <v>124</v>
      </c>
      <c r="M26">
        <v>21.8</v>
      </c>
      <c r="N26">
        <v>2335</v>
      </c>
      <c r="O26">
        <v>0.9</v>
      </c>
      <c r="P26">
        <v>2091</v>
      </c>
      <c r="Q26">
        <v>263</v>
      </c>
      <c r="R26">
        <v>135</v>
      </c>
      <c r="S26">
        <v>56</v>
      </c>
      <c r="T26">
        <v>298</v>
      </c>
      <c r="U26">
        <v>46</v>
      </c>
      <c r="V26">
        <v>253</v>
      </c>
      <c r="W26">
        <v>0.82299999999999995</v>
      </c>
      <c r="X26">
        <v>174</v>
      </c>
      <c r="Y26">
        <v>174</v>
      </c>
      <c r="Z26">
        <v>125</v>
      </c>
      <c r="AA26">
        <v>9</v>
      </c>
      <c r="AB26">
        <v>5.2</v>
      </c>
      <c r="AC26" t="s">
        <v>188</v>
      </c>
      <c r="AD26" t="s">
        <v>184</v>
      </c>
      <c r="AE26" t="s">
        <v>169</v>
      </c>
      <c r="AG26" t="s">
        <v>1317</v>
      </c>
      <c r="AH26" t="s">
        <v>1242</v>
      </c>
      <c r="AI26" s="245">
        <v>519.96</v>
      </c>
      <c r="AJ26" t="s">
        <v>1318</v>
      </c>
      <c r="AK26" t="s">
        <v>1319</v>
      </c>
      <c r="AL26" t="s">
        <v>1320</v>
      </c>
      <c r="AM26" s="245">
        <v>519.96</v>
      </c>
      <c r="AN26" t="s">
        <v>1321</v>
      </c>
      <c r="AO26" t="s">
        <v>1322</v>
      </c>
      <c r="AP26" t="s">
        <v>1232</v>
      </c>
      <c r="AQ26" s="245">
        <v>549.95000000000005</v>
      </c>
      <c r="AR26" t="s">
        <v>1323</v>
      </c>
      <c r="AS26" s="226" t="str">
        <f t="shared" si="0"/>
        <v>ARV 106</v>
      </c>
      <c r="AT26" s="203" t="str">
        <f t="shared" si="1"/>
        <v xml:space="preserve"> ArmadaARV 106188 Unisex</v>
      </c>
    </row>
    <row r="27" spans="1:46" ht="132">
      <c r="A27" t="s">
        <v>155</v>
      </c>
      <c r="B27" t="s">
        <v>1152</v>
      </c>
      <c r="C27" t="s">
        <v>195</v>
      </c>
      <c r="D27">
        <v>184</v>
      </c>
      <c r="E27" t="s">
        <v>158</v>
      </c>
      <c r="F27">
        <v>184</v>
      </c>
      <c r="G27">
        <v>182.2</v>
      </c>
      <c r="H27">
        <v>0</v>
      </c>
      <c r="I27">
        <v>131</v>
      </c>
      <c r="J27">
        <v>136</v>
      </c>
      <c r="K27">
        <v>122</v>
      </c>
      <c r="L27">
        <v>129</v>
      </c>
      <c r="M27">
        <v>31.2</v>
      </c>
      <c r="N27">
        <v>2031</v>
      </c>
      <c r="O27">
        <v>1.1200000000000001</v>
      </c>
      <c r="P27">
        <v>2279</v>
      </c>
      <c r="Q27">
        <v>287</v>
      </c>
      <c r="R27">
        <v>124</v>
      </c>
      <c r="S27">
        <v>83</v>
      </c>
      <c r="T27">
        <v>968</v>
      </c>
      <c r="U27">
        <v>34</v>
      </c>
      <c r="V27">
        <v>854</v>
      </c>
      <c r="W27">
        <v>0.40500000000000003</v>
      </c>
      <c r="X27">
        <v>238</v>
      </c>
      <c r="Y27">
        <v>276</v>
      </c>
      <c r="Z27">
        <v>730</v>
      </c>
      <c r="AA27">
        <v>-10</v>
      </c>
      <c r="AB27">
        <v>5.7</v>
      </c>
      <c r="AC27" t="s">
        <v>169</v>
      </c>
      <c r="AD27" t="s">
        <v>185</v>
      </c>
      <c r="AG27" t="s">
        <v>1297</v>
      </c>
      <c r="AH27" t="s">
        <v>1298</v>
      </c>
      <c r="AI27" s="245">
        <v>649.99</v>
      </c>
      <c r="AJ27" t="s">
        <v>1324</v>
      </c>
      <c r="AS27" s="226" t="str">
        <f t="shared" si="0"/>
        <v>Renegade</v>
      </c>
      <c r="AT27" s="203" t="str">
        <f t="shared" si="1"/>
        <v>4FRNTRenegade184 Unisex</v>
      </c>
    </row>
    <row r="28" spans="1:46" ht="118.8">
      <c r="A28" t="s">
        <v>155</v>
      </c>
      <c r="B28" t="s">
        <v>180</v>
      </c>
      <c r="C28" t="s">
        <v>196</v>
      </c>
      <c r="D28">
        <v>180</v>
      </c>
      <c r="E28" t="s">
        <v>158</v>
      </c>
      <c r="F28">
        <v>180</v>
      </c>
      <c r="G28">
        <v>178.5</v>
      </c>
      <c r="H28">
        <v>139</v>
      </c>
      <c r="I28">
        <v>157</v>
      </c>
      <c r="J28">
        <v>137</v>
      </c>
      <c r="K28">
        <v>94</v>
      </c>
      <c r="L28">
        <v>124</v>
      </c>
      <c r="M28">
        <v>17</v>
      </c>
      <c r="N28">
        <v>1609</v>
      </c>
      <c r="O28">
        <v>1.19</v>
      </c>
      <c r="P28">
        <v>1921</v>
      </c>
      <c r="Q28">
        <v>242</v>
      </c>
      <c r="R28">
        <v>103</v>
      </c>
      <c r="S28">
        <v>56</v>
      </c>
      <c r="T28">
        <v>265</v>
      </c>
      <c r="U28">
        <v>19</v>
      </c>
      <c r="V28">
        <v>130</v>
      </c>
      <c r="W28">
        <v>0.33799999999999902</v>
      </c>
      <c r="X28">
        <v>123</v>
      </c>
      <c r="Y28">
        <v>88</v>
      </c>
      <c r="Z28">
        <v>142</v>
      </c>
      <c r="AA28">
        <v>6</v>
      </c>
      <c r="AB28">
        <v>12.4</v>
      </c>
      <c r="AC28" t="s">
        <v>188</v>
      </c>
      <c r="AD28" t="s">
        <v>185</v>
      </c>
      <c r="AG28" t="s">
        <v>1325</v>
      </c>
      <c r="AH28" t="s">
        <v>1326</v>
      </c>
      <c r="AI28" s="245">
        <v>531.48</v>
      </c>
      <c r="AJ28" t="s">
        <v>1327</v>
      </c>
      <c r="AK28" t="s">
        <v>1325</v>
      </c>
      <c r="AL28" t="s">
        <v>1256</v>
      </c>
      <c r="AM28" s="245">
        <v>559.45000000000005</v>
      </c>
      <c r="AN28" t="s">
        <v>1328</v>
      </c>
      <c r="AO28" t="s">
        <v>1329</v>
      </c>
      <c r="AP28" t="s">
        <v>1309</v>
      </c>
      <c r="AQ28" s="245">
        <v>639.96</v>
      </c>
      <c r="AR28" t="s">
        <v>1330</v>
      </c>
      <c r="AS28" s="226" t="str">
        <f t="shared" si="0"/>
        <v>Slight 93</v>
      </c>
      <c r="AT28" s="203" t="str">
        <f t="shared" si="1"/>
        <v xml:space="preserve"> ScottSlight 93180 Unisex</v>
      </c>
    </row>
    <row r="29" spans="1:46" ht="52.8">
      <c r="A29" t="s">
        <v>155</v>
      </c>
      <c r="B29" t="s">
        <v>156</v>
      </c>
      <c r="C29" t="s">
        <v>197</v>
      </c>
      <c r="D29">
        <v>182</v>
      </c>
      <c r="E29" t="s">
        <v>158</v>
      </c>
      <c r="F29">
        <v>182</v>
      </c>
      <c r="G29">
        <v>181.2</v>
      </c>
      <c r="H29">
        <v>121</v>
      </c>
      <c r="I29">
        <v>143</v>
      </c>
      <c r="J29">
        <v>136</v>
      </c>
      <c r="K29">
        <v>107</v>
      </c>
      <c r="L29">
        <v>123</v>
      </c>
      <c r="M29">
        <v>19.2</v>
      </c>
      <c r="N29">
        <v>1649</v>
      </c>
      <c r="O29">
        <v>1.27</v>
      </c>
      <c r="P29">
        <v>2094</v>
      </c>
      <c r="Q29">
        <v>190</v>
      </c>
      <c r="R29">
        <v>102</v>
      </c>
      <c r="S29">
        <v>47</v>
      </c>
      <c r="T29">
        <v>373</v>
      </c>
      <c r="U29">
        <v>16</v>
      </c>
      <c r="V29">
        <v>230</v>
      </c>
      <c r="W29">
        <v>0.34699999999999998</v>
      </c>
      <c r="X29">
        <v>214</v>
      </c>
      <c r="Y29">
        <v>170</v>
      </c>
      <c r="Z29">
        <v>160</v>
      </c>
      <c r="AA29">
        <v>7</v>
      </c>
      <c r="AB29">
        <v>9.8000000000000007</v>
      </c>
      <c r="AC29" t="s">
        <v>178</v>
      </c>
      <c r="AD29" t="s">
        <v>185</v>
      </c>
      <c r="AE29" t="s">
        <v>198</v>
      </c>
      <c r="AG29" t="s">
        <v>1331</v>
      </c>
      <c r="AH29" t="s">
        <v>1185</v>
      </c>
      <c r="AI29" s="245">
        <v>489.99</v>
      </c>
      <c r="AJ29" t="s">
        <v>1332</v>
      </c>
      <c r="AK29" t="s">
        <v>1331</v>
      </c>
      <c r="AL29" t="s">
        <v>1280</v>
      </c>
      <c r="AM29" s="245">
        <v>559.92999999999995</v>
      </c>
      <c r="AN29" t="s">
        <v>1333</v>
      </c>
      <c r="AO29" t="s">
        <v>1331</v>
      </c>
      <c r="AP29" t="s">
        <v>1334</v>
      </c>
      <c r="AQ29" s="245">
        <v>559.96</v>
      </c>
      <c r="AR29" t="s">
        <v>1335</v>
      </c>
      <c r="AS29" s="226" t="str">
        <f t="shared" si="0"/>
        <v>Backland 107</v>
      </c>
      <c r="AT29" s="203" t="str">
        <f t="shared" si="1"/>
        <v xml:space="preserve"> AtomicBackland 107182 Unisex</v>
      </c>
    </row>
    <row r="30" spans="1:46" ht="92.4">
      <c r="A30" t="s">
        <v>155</v>
      </c>
      <c r="B30" t="s">
        <v>167</v>
      </c>
      <c r="C30" t="s">
        <v>200</v>
      </c>
      <c r="D30">
        <v>170</v>
      </c>
      <c r="E30" t="s">
        <v>158</v>
      </c>
      <c r="F30">
        <v>170</v>
      </c>
      <c r="G30">
        <v>169.7</v>
      </c>
      <c r="H30">
        <v>134</v>
      </c>
      <c r="I30">
        <v>140</v>
      </c>
      <c r="J30">
        <v>129</v>
      </c>
      <c r="K30">
        <v>90</v>
      </c>
      <c r="L30">
        <v>112</v>
      </c>
      <c r="M30">
        <v>14.6</v>
      </c>
      <c r="N30">
        <v>1582</v>
      </c>
      <c r="O30">
        <v>1.1000000000000001</v>
      </c>
      <c r="P30">
        <v>1742</v>
      </c>
      <c r="Q30">
        <v>228</v>
      </c>
      <c r="R30">
        <v>101</v>
      </c>
      <c r="S30">
        <v>48</v>
      </c>
      <c r="T30">
        <v>217</v>
      </c>
      <c r="U30">
        <v>13</v>
      </c>
      <c r="V30">
        <v>142</v>
      </c>
      <c r="W30">
        <v>0.27699999999999902</v>
      </c>
      <c r="X30">
        <v>145</v>
      </c>
      <c r="Y30">
        <v>153</v>
      </c>
      <c r="Z30">
        <v>71</v>
      </c>
      <c r="AA30">
        <v>6</v>
      </c>
      <c r="AB30">
        <v>10.3</v>
      </c>
      <c r="AC30" t="s">
        <v>188</v>
      </c>
      <c r="AD30" t="s">
        <v>185</v>
      </c>
      <c r="AG30" t="s">
        <v>1336</v>
      </c>
      <c r="AH30" t="s">
        <v>1337</v>
      </c>
      <c r="AI30" s="245">
        <v>349.99</v>
      </c>
      <c r="AJ30" t="s">
        <v>1338</v>
      </c>
      <c r="AK30" t="s">
        <v>1339</v>
      </c>
      <c r="AL30" t="s">
        <v>1185</v>
      </c>
      <c r="AM30" s="245">
        <v>454.99</v>
      </c>
      <c r="AN30" t="s">
        <v>1340</v>
      </c>
      <c r="AO30" t="s">
        <v>1339</v>
      </c>
      <c r="AP30" t="s">
        <v>1181</v>
      </c>
      <c r="AQ30" s="245">
        <v>489</v>
      </c>
      <c r="AR30" t="s">
        <v>1341</v>
      </c>
      <c r="AS30" s="226" t="str">
        <f t="shared" si="0"/>
        <v>Kore 93</v>
      </c>
      <c r="AT30" s="203" t="str">
        <f t="shared" si="1"/>
        <v xml:space="preserve"> HeadKore 93170 Unisex</v>
      </c>
    </row>
    <row r="31" spans="1:46" ht="52.8">
      <c r="A31" t="s">
        <v>155</v>
      </c>
      <c r="B31" t="s">
        <v>202</v>
      </c>
      <c r="C31" t="s">
        <v>203</v>
      </c>
      <c r="D31">
        <v>178</v>
      </c>
      <c r="E31" t="s">
        <v>158</v>
      </c>
      <c r="F31">
        <v>178</v>
      </c>
      <c r="G31">
        <v>177.3</v>
      </c>
      <c r="H31">
        <v>130</v>
      </c>
      <c r="I31">
        <v>147</v>
      </c>
      <c r="J31">
        <v>119</v>
      </c>
      <c r="K31">
        <v>88</v>
      </c>
      <c r="L31">
        <v>109</v>
      </c>
      <c r="M31">
        <v>18.3</v>
      </c>
      <c r="N31">
        <v>1765</v>
      </c>
      <c r="O31">
        <v>1</v>
      </c>
      <c r="P31">
        <v>1756</v>
      </c>
      <c r="Q31">
        <v>245</v>
      </c>
      <c r="R31">
        <v>97</v>
      </c>
      <c r="S31">
        <v>60</v>
      </c>
      <c r="T31">
        <v>325</v>
      </c>
      <c r="U31">
        <v>13</v>
      </c>
      <c r="V31">
        <v>147</v>
      </c>
      <c r="W31">
        <v>0.22</v>
      </c>
      <c r="X31">
        <v>187</v>
      </c>
      <c r="Y31">
        <v>119</v>
      </c>
      <c r="Z31">
        <v>137</v>
      </c>
      <c r="AA31">
        <v>7</v>
      </c>
      <c r="AB31">
        <v>11.9</v>
      </c>
      <c r="AC31" t="s">
        <v>188</v>
      </c>
      <c r="AG31" t="s">
        <v>1342</v>
      </c>
      <c r="AH31" t="s">
        <v>1248</v>
      </c>
      <c r="AI31" s="245">
        <v>419.97</v>
      </c>
      <c r="AJ31" t="s">
        <v>1343</v>
      </c>
      <c r="AK31" t="s">
        <v>1344</v>
      </c>
      <c r="AL31" t="s">
        <v>1204</v>
      </c>
      <c r="AM31" s="245">
        <v>449.11</v>
      </c>
      <c r="AN31" t="s">
        <v>1345</v>
      </c>
      <c r="AO31" t="s">
        <v>1342</v>
      </c>
      <c r="AP31" t="s">
        <v>1282</v>
      </c>
      <c r="AQ31" s="245">
        <v>479.96</v>
      </c>
      <c r="AR31" t="s">
        <v>1346</v>
      </c>
      <c r="AS31" s="226" t="str">
        <f t="shared" si="0"/>
        <v>M-Pro 90</v>
      </c>
      <c r="AT31" s="203" t="str">
        <f t="shared" si="1"/>
        <v xml:space="preserve"> DynastarM-Pro 90178 Unisex</v>
      </c>
    </row>
    <row r="32" spans="1:46" ht="52.8">
      <c r="A32" t="s">
        <v>155</v>
      </c>
      <c r="B32" t="s">
        <v>205</v>
      </c>
      <c r="C32" t="s">
        <v>206</v>
      </c>
      <c r="D32">
        <v>171</v>
      </c>
      <c r="E32" t="s">
        <v>158</v>
      </c>
      <c r="F32">
        <v>171</v>
      </c>
      <c r="G32">
        <v>169.4</v>
      </c>
      <c r="H32">
        <v>126</v>
      </c>
      <c r="I32">
        <v>143</v>
      </c>
      <c r="J32">
        <v>127</v>
      </c>
      <c r="K32">
        <v>95</v>
      </c>
      <c r="L32">
        <v>117</v>
      </c>
      <c r="M32">
        <v>17.600000000000001</v>
      </c>
      <c r="N32">
        <v>1566</v>
      </c>
      <c r="O32">
        <v>1.1499999999999999</v>
      </c>
      <c r="P32">
        <v>1801</v>
      </c>
      <c r="Q32">
        <v>206</v>
      </c>
      <c r="R32">
        <v>96</v>
      </c>
      <c r="S32">
        <v>52</v>
      </c>
      <c r="T32">
        <v>247</v>
      </c>
      <c r="U32">
        <v>20</v>
      </c>
      <c r="V32">
        <v>186</v>
      </c>
      <c r="W32">
        <v>0.38799999999999901</v>
      </c>
      <c r="X32">
        <v>161</v>
      </c>
      <c r="Y32">
        <v>107</v>
      </c>
      <c r="Z32">
        <v>86</v>
      </c>
      <c r="AA32">
        <v>6</v>
      </c>
      <c r="AB32">
        <v>11.4</v>
      </c>
      <c r="AC32" t="s">
        <v>188</v>
      </c>
      <c r="AD32" t="s">
        <v>185</v>
      </c>
      <c r="AG32" t="s">
        <v>1347</v>
      </c>
      <c r="AH32" t="s">
        <v>1185</v>
      </c>
      <c r="AI32" s="245">
        <v>489.99</v>
      </c>
      <c r="AJ32" t="s">
        <v>1348</v>
      </c>
      <c r="AK32" t="s">
        <v>1347</v>
      </c>
      <c r="AL32" t="s">
        <v>1349</v>
      </c>
      <c r="AM32" s="245">
        <v>504.17</v>
      </c>
      <c r="AN32" t="s">
        <v>1350</v>
      </c>
      <c r="AO32" t="s">
        <v>1351</v>
      </c>
      <c r="AP32" t="s">
        <v>1265</v>
      </c>
      <c r="AQ32" s="245">
        <v>544.54999999999995</v>
      </c>
      <c r="AR32" t="s">
        <v>1352</v>
      </c>
      <c r="AS32" s="226" t="str">
        <f t="shared" si="0"/>
        <v>Agent 2.0</v>
      </c>
      <c r="AT32" s="203" t="str">
        <f t="shared" si="1"/>
        <v xml:space="preserve"> FactionAgent 2.0171 Unisex</v>
      </c>
    </row>
    <row r="33" spans="1:46" ht="52.8">
      <c r="A33" t="s">
        <v>155</v>
      </c>
      <c r="B33" t="s">
        <v>208</v>
      </c>
      <c r="C33" t="s">
        <v>209</v>
      </c>
      <c r="D33">
        <v>186</v>
      </c>
      <c r="E33" t="s">
        <v>158</v>
      </c>
      <c r="F33">
        <v>186</v>
      </c>
      <c r="G33">
        <v>185.2</v>
      </c>
      <c r="H33">
        <v>112</v>
      </c>
      <c r="I33">
        <v>151</v>
      </c>
      <c r="J33">
        <v>130</v>
      </c>
      <c r="K33">
        <v>97</v>
      </c>
      <c r="L33">
        <v>117</v>
      </c>
      <c r="M33">
        <v>19.8</v>
      </c>
      <c r="N33">
        <v>1531</v>
      </c>
      <c r="O33">
        <v>1.29</v>
      </c>
      <c r="P33">
        <v>1982</v>
      </c>
      <c r="Q33">
        <v>202</v>
      </c>
      <c r="R33">
        <v>88</v>
      </c>
      <c r="S33">
        <v>52</v>
      </c>
      <c r="T33">
        <v>383</v>
      </c>
      <c r="U33">
        <v>35</v>
      </c>
      <c r="V33">
        <v>349</v>
      </c>
      <c r="W33">
        <v>0.66500000000000004</v>
      </c>
      <c r="X33">
        <v>168</v>
      </c>
      <c r="Y33">
        <v>176</v>
      </c>
      <c r="Z33">
        <v>215</v>
      </c>
      <c r="AA33">
        <v>5</v>
      </c>
      <c r="AB33">
        <v>6.6</v>
      </c>
      <c r="AC33" t="s">
        <v>185</v>
      </c>
      <c r="AD33" t="s">
        <v>198</v>
      </c>
      <c r="AG33" t="s">
        <v>1353</v>
      </c>
      <c r="AH33" t="s">
        <v>1194</v>
      </c>
      <c r="AI33" s="245">
        <v>395.57</v>
      </c>
      <c r="AJ33" t="s">
        <v>1354</v>
      </c>
      <c r="AK33" t="s">
        <v>1353</v>
      </c>
      <c r="AL33" t="s">
        <v>1191</v>
      </c>
      <c r="AM33" s="245">
        <v>424.95</v>
      </c>
      <c r="AN33" t="s">
        <v>1355</v>
      </c>
      <c r="AO33" t="s">
        <v>1353</v>
      </c>
      <c r="AP33" t="s">
        <v>1256</v>
      </c>
      <c r="AQ33" s="245">
        <v>455.95</v>
      </c>
      <c r="AR33" t="s">
        <v>1356</v>
      </c>
      <c r="AS33" s="226" t="str">
        <f t="shared" si="0"/>
        <v>Vision 98</v>
      </c>
      <c r="AT33" s="203" t="str">
        <f t="shared" si="1"/>
        <v xml:space="preserve"> LineVision 98186 Unisex</v>
      </c>
    </row>
    <row r="34" spans="1:46" ht="79.2">
      <c r="A34" t="s">
        <v>155</v>
      </c>
      <c r="B34" t="s">
        <v>202</v>
      </c>
      <c r="C34" t="s">
        <v>211</v>
      </c>
      <c r="D34">
        <v>170</v>
      </c>
      <c r="E34" t="s">
        <v>163</v>
      </c>
      <c r="F34">
        <v>170</v>
      </c>
      <c r="G34">
        <v>169.6</v>
      </c>
      <c r="H34">
        <v>122</v>
      </c>
      <c r="I34">
        <v>139</v>
      </c>
      <c r="J34">
        <v>125</v>
      </c>
      <c r="K34">
        <v>96</v>
      </c>
      <c r="L34">
        <v>114</v>
      </c>
      <c r="M34">
        <v>17.3</v>
      </c>
      <c r="N34">
        <v>1768</v>
      </c>
      <c r="O34">
        <v>1.01</v>
      </c>
      <c r="P34">
        <v>1789</v>
      </c>
      <c r="Q34">
        <v>227</v>
      </c>
      <c r="R34">
        <v>99</v>
      </c>
      <c r="S34">
        <v>60</v>
      </c>
      <c r="T34">
        <v>325</v>
      </c>
      <c r="U34">
        <v>14</v>
      </c>
      <c r="V34">
        <v>148</v>
      </c>
      <c r="W34">
        <v>0.22899999999999901</v>
      </c>
      <c r="X34">
        <v>199</v>
      </c>
      <c r="Y34">
        <v>107</v>
      </c>
      <c r="Z34">
        <v>126</v>
      </c>
      <c r="AA34">
        <v>9</v>
      </c>
      <c r="AB34">
        <v>11.6</v>
      </c>
      <c r="AC34" t="s">
        <v>188</v>
      </c>
      <c r="AG34" t="s">
        <v>1357</v>
      </c>
      <c r="AH34" t="s">
        <v>1194</v>
      </c>
      <c r="AI34" s="245">
        <v>414</v>
      </c>
      <c r="AJ34" t="s">
        <v>1358</v>
      </c>
      <c r="AK34" t="s">
        <v>1357</v>
      </c>
      <c r="AL34" t="s">
        <v>1248</v>
      </c>
      <c r="AM34" s="245">
        <v>489.97</v>
      </c>
      <c r="AN34" t="s">
        <v>1359</v>
      </c>
      <c r="AO34" t="s">
        <v>1357</v>
      </c>
      <c r="AP34" t="s">
        <v>1244</v>
      </c>
      <c r="AQ34" s="245">
        <v>524.96</v>
      </c>
      <c r="AR34" t="s">
        <v>1360</v>
      </c>
      <c r="AS34" s="226" t="str">
        <f t="shared" si="0"/>
        <v>M-Pro 99 W</v>
      </c>
      <c r="AT34" s="203" t="str">
        <f t="shared" si="1"/>
        <v xml:space="preserve"> DynastarM-Pro 99 W170 Women's</v>
      </c>
    </row>
    <row r="35" spans="1:46" ht="66">
      <c r="A35" t="s">
        <v>155</v>
      </c>
      <c r="B35" t="s">
        <v>1361</v>
      </c>
      <c r="C35" t="s">
        <v>214</v>
      </c>
      <c r="D35">
        <v>174</v>
      </c>
      <c r="E35" t="s">
        <v>158</v>
      </c>
      <c r="F35">
        <v>174</v>
      </c>
      <c r="G35">
        <v>173.1</v>
      </c>
      <c r="H35">
        <v>145</v>
      </c>
      <c r="I35">
        <v>153</v>
      </c>
      <c r="J35">
        <v>123</v>
      </c>
      <c r="K35">
        <v>87</v>
      </c>
      <c r="L35">
        <v>110</v>
      </c>
      <c r="M35">
        <v>19.100000000000001</v>
      </c>
      <c r="N35">
        <v>1613</v>
      </c>
      <c r="O35">
        <v>1.05</v>
      </c>
      <c r="P35">
        <v>1697</v>
      </c>
      <c r="Q35">
        <v>206</v>
      </c>
      <c r="R35">
        <v>106</v>
      </c>
      <c r="S35">
        <v>44</v>
      </c>
      <c r="T35">
        <v>204</v>
      </c>
      <c r="U35">
        <v>8</v>
      </c>
      <c r="V35">
        <v>74</v>
      </c>
      <c r="W35">
        <v>0.186</v>
      </c>
      <c r="X35">
        <v>141</v>
      </c>
      <c r="Y35">
        <v>59</v>
      </c>
      <c r="Z35">
        <v>63</v>
      </c>
      <c r="AA35">
        <v>7</v>
      </c>
      <c r="AB35">
        <v>13.5</v>
      </c>
      <c r="AC35" t="s">
        <v>188</v>
      </c>
      <c r="AD35" t="s">
        <v>185</v>
      </c>
      <c r="AG35" t="s">
        <v>1362</v>
      </c>
      <c r="AH35" t="s">
        <v>1271</v>
      </c>
      <c r="AI35" s="245">
        <v>1099</v>
      </c>
      <c r="AJ35" t="s">
        <v>1363</v>
      </c>
      <c r="AK35" t="s">
        <v>1364</v>
      </c>
      <c r="AL35" t="s">
        <v>1365</v>
      </c>
      <c r="AM35" s="245">
        <v>1149</v>
      </c>
      <c r="AN35" t="s">
        <v>1366</v>
      </c>
      <c r="AS35" s="226" t="str">
        <f t="shared" si="0"/>
        <v>Edge 88</v>
      </c>
      <c r="AT35" s="203" t="str">
        <f t="shared" si="1"/>
        <v xml:space="preserve"> Stï¿½ckliEdge 88174 Unisex</v>
      </c>
    </row>
    <row r="36" spans="1:46" ht="105.6">
      <c r="A36" t="s">
        <v>155</v>
      </c>
      <c r="B36" t="s">
        <v>215</v>
      </c>
      <c r="C36" t="s">
        <v>216</v>
      </c>
      <c r="D36">
        <v>172</v>
      </c>
      <c r="E36" t="s">
        <v>158</v>
      </c>
      <c r="F36">
        <v>172</v>
      </c>
      <c r="G36">
        <v>171.4</v>
      </c>
      <c r="H36">
        <v>139</v>
      </c>
      <c r="I36">
        <v>150</v>
      </c>
      <c r="J36">
        <v>137</v>
      </c>
      <c r="K36">
        <v>99</v>
      </c>
      <c r="L36">
        <v>121</v>
      </c>
      <c r="M36">
        <v>17.600000000000001</v>
      </c>
      <c r="N36">
        <v>1830</v>
      </c>
      <c r="O36">
        <v>1.04</v>
      </c>
      <c r="P36">
        <v>1898</v>
      </c>
      <c r="Q36">
        <v>211</v>
      </c>
      <c r="R36">
        <v>102</v>
      </c>
      <c r="S36">
        <v>38</v>
      </c>
      <c r="T36">
        <v>223</v>
      </c>
      <c r="U36">
        <v>10</v>
      </c>
      <c r="V36">
        <v>103</v>
      </c>
      <c r="W36">
        <v>0.25600000000000001</v>
      </c>
      <c r="X36">
        <v>125</v>
      </c>
      <c r="Y36">
        <v>85</v>
      </c>
      <c r="Z36">
        <v>98</v>
      </c>
      <c r="AA36">
        <v>10</v>
      </c>
      <c r="AB36">
        <v>11</v>
      </c>
      <c r="AC36" t="s">
        <v>188</v>
      </c>
      <c r="AG36" t="s">
        <v>1367</v>
      </c>
      <c r="AH36" t="s">
        <v>1280</v>
      </c>
      <c r="AI36" s="245">
        <v>523.92999999999995</v>
      </c>
      <c r="AJ36" t="s">
        <v>1368</v>
      </c>
      <c r="AK36" t="s">
        <v>1369</v>
      </c>
      <c r="AL36" t="s">
        <v>1370</v>
      </c>
      <c r="AM36" s="245">
        <v>525</v>
      </c>
      <c r="AN36" t="s">
        <v>1371</v>
      </c>
      <c r="AO36" t="s">
        <v>1372</v>
      </c>
      <c r="AP36" t="s">
        <v>1277</v>
      </c>
      <c r="AQ36" s="245">
        <v>499.99</v>
      </c>
      <c r="AR36" t="s">
        <v>1373</v>
      </c>
      <c r="AS36" s="226" t="str">
        <f t="shared" si="0"/>
        <v>Evolv 100</v>
      </c>
      <c r="AT36" s="203" t="str">
        <f t="shared" si="1"/>
        <v xml:space="preserve"> LibertyEvolv 100172 Unisex</v>
      </c>
    </row>
    <row r="37" spans="1:46" ht="79.2">
      <c r="A37" t="s">
        <v>217</v>
      </c>
      <c r="B37" t="s">
        <v>218</v>
      </c>
      <c r="C37" t="s">
        <v>219</v>
      </c>
      <c r="D37">
        <v>178</v>
      </c>
      <c r="E37" t="s">
        <v>158</v>
      </c>
      <c r="F37">
        <v>178</v>
      </c>
      <c r="G37">
        <v>176.2</v>
      </c>
      <c r="H37">
        <v>130</v>
      </c>
      <c r="I37">
        <v>146</v>
      </c>
      <c r="J37">
        <v>131</v>
      </c>
      <c r="K37">
        <v>94</v>
      </c>
      <c r="L37">
        <v>111</v>
      </c>
      <c r="M37">
        <v>18.899999999999999</v>
      </c>
      <c r="N37">
        <v>1372</v>
      </c>
      <c r="O37">
        <v>1.35</v>
      </c>
      <c r="P37">
        <v>1846</v>
      </c>
      <c r="Q37">
        <v>227</v>
      </c>
      <c r="R37">
        <v>101</v>
      </c>
      <c r="S37">
        <v>53</v>
      </c>
      <c r="T37">
        <v>269</v>
      </c>
      <c r="U37">
        <v>23</v>
      </c>
      <c r="V37">
        <v>189</v>
      </c>
      <c r="W37">
        <v>0.437</v>
      </c>
      <c r="X37">
        <v>143</v>
      </c>
      <c r="Y37">
        <v>159</v>
      </c>
      <c r="Z37">
        <v>125</v>
      </c>
      <c r="AA37">
        <v>6</v>
      </c>
      <c r="AB37">
        <v>10.8</v>
      </c>
      <c r="AC37" t="s">
        <v>185</v>
      </c>
      <c r="AD37" t="s">
        <v>198</v>
      </c>
      <c r="AG37" t="s">
        <v>1374</v>
      </c>
      <c r="AH37" t="s">
        <v>1244</v>
      </c>
      <c r="AI37" s="245">
        <v>1039.2</v>
      </c>
      <c r="AJ37" t="s">
        <v>1375</v>
      </c>
      <c r="AK37" t="s">
        <v>1374</v>
      </c>
      <c r="AL37" t="s">
        <v>1309</v>
      </c>
      <c r="AM37" s="245">
        <v>1039.2</v>
      </c>
      <c r="AN37" t="s">
        <v>1376</v>
      </c>
      <c r="AO37" t="s">
        <v>1374</v>
      </c>
      <c r="AP37" t="s">
        <v>1334</v>
      </c>
      <c r="AQ37" s="245">
        <v>1098.95</v>
      </c>
      <c r="AR37" t="s">
        <v>1377</v>
      </c>
      <c r="AS37" s="226" t="str">
        <f t="shared" si="0"/>
        <v>Pagoda Tour 94</v>
      </c>
      <c r="AT37" s="203" t="str">
        <f t="shared" si="1"/>
        <v xml:space="preserve"> DPSPagoda Tour 94178 Unisex</v>
      </c>
    </row>
    <row r="38" spans="1:46" ht="79.2">
      <c r="A38" t="s">
        <v>155</v>
      </c>
      <c r="B38" t="s">
        <v>182</v>
      </c>
      <c r="C38" t="s">
        <v>220</v>
      </c>
      <c r="D38">
        <v>172</v>
      </c>
      <c r="E38" t="s">
        <v>163</v>
      </c>
      <c r="F38">
        <v>172</v>
      </c>
      <c r="G38">
        <v>170.1</v>
      </c>
      <c r="H38">
        <v>119</v>
      </c>
      <c r="I38">
        <v>137</v>
      </c>
      <c r="J38">
        <v>133</v>
      </c>
      <c r="K38">
        <v>105</v>
      </c>
      <c r="L38">
        <v>122</v>
      </c>
      <c r="M38">
        <v>19.3</v>
      </c>
      <c r="N38">
        <v>1762</v>
      </c>
      <c r="O38">
        <v>1.0900000000000001</v>
      </c>
      <c r="P38">
        <v>1917</v>
      </c>
      <c r="Q38">
        <v>200</v>
      </c>
      <c r="R38">
        <v>97</v>
      </c>
      <c r="S38">
        <v>54</v>
      </c>
      <c r="T38">
        <v>275</v>
      </c>
      <c r="U38">
        <v>44</v>
      </c>
      <c r="V38">
        <v>241</v>
      </c>
      <c r="W38">
        <v>0.82299999999999995</v>
      </c>
      <c r="X38">
        <v>146</v>
      </c>
      <c r="Y38">
        <v>180</v>
      </c>
      <c r="Z38">
        <v>129</v>
      </c>
      <c r="AA38">
        <v>7</v>
      </c>
      <c r="AB38">
        <v>6.1</v>
      </c>
      <c r="AC38" t="s">
        <v>188</v>
      </c>
      <c r="AD38" t="s">
        <v>184</v>
      </c>
      <c r="AE38" t="s">
        <v>169</v>
      </c>
      <c r="AF38" t="s">
        <v>185</v>
      </c>
      <c r="AG38" t="s">
        <v>1378</v>
      </c>
      <c r="AH38" t="s">
        <v>1271</v>
      </c>
      <c r="AI38" s="245">
        <v>559.92999999999995</v>
      </c>
      <c r="AJ38" t="s">
        <v>1379</v>
      </c>
      <c r="AK38" t="s">
        <v>1378</v>
      </c>
      <c r="AL38" t="s">
        <v>1248</v>
      </c>
      <c r="AM38" s="245">
        <v>559.96</v>
      </c>
      <c r="AN38" t="s">
        <v>1380</v>
      </c>
      <c r="AO38" t="s">
        <v>1378</v>
      </c>
      <c r="AP38" t="s">
        <v>1224</v>
      </c>
      <c r="AQ38" s="245">
        <v>559.96</v>
      </c>
      <c r="AR38" t="s">
        <v>1381</v>
      </c>
      <c r="AS38" s="226" t="str">
        <f t="shared" si="0"/>
        <v>ARW 106 UL</v>
      </c>
      <c r="AT38" s="203" t="str">
        <f t="shared" si="1"/>
        <v xml:space="preserve"> ArmadaARW 106 UL172 Women's</v>
      </c>
    </row>
    <row r="39" spans="1:46" ht="66">
      <c r="A39" t="s">
        <v>155</v>
      </c>
      <c r="B39" t="s">
        <v>218</v>
      </c>
      <c r="C39" t="s">
        <v>222</v>
      </c>
      <c r="D39">
        <v>179</v>
      </c>
      <c r="E39" t="s">
        <v>158</v>
      </c>
      <c r="F39">
        <v>179</v>
      </c>
      <c r="G39">
        <v>177.4</v>
      </c>
      <c r="H39">
        <v>115</v>
      </c>
      <c r="I39">
        <v>132</v>
      </c>
      <c r="J39">
        <v>132</v>
      </c>
      <c r="K39">
        <v>99</v>
      </c>
      <c r="L39">
        <v>117</v>
      </c>
      <c r="M39">
        <v>15</v>
      </c>
      <c r="N39">
        <v>1545</v>
      </c>
      <c r="O39">
        <v>1.27</v>
      </c>
      <c r="P39">
        <v>1968</v>
      </c>
      <c r="Q39">
        <v>235</v>
      </c>
      <c r="R39">
        <v>111</v>
      </c>
      <c r="S39">
        <v>62</v>
      </c>
      <c r="T39">
        <v>354</v>
      </c>
      <c r="U39">
        <v>16</v>
      </c>
      <c r="V39">
        <v>270</v>
      </c>
      <c r="W39">
        <v>0.25600000000000001</v>
      </c>
      <c r="X39">
        <v>231</v>
      </c>
      <c r="Y39">
        <v>222</v>
      </c>
      <c r="Z39">
        <v>123</v>
      </c>
      <c r="AA39">
        <v>6</v>
      </c>
      <c r="AB39">
        <v>12.2</v>
      </c>
      <c r="AC39" t="s">
        <v>188</v>
      </c>
      <c r="AD39" t="s">
        <v>185</v>
      </c>
      <c r="AE39" t="s">
        <v>198</v>
      </c>
      <c r="AG39" t="s">
        <v>1382</v>
      </c>
      <c r="AH39" t="s">
        <v>1334</v>
      </c>
      <c r="AI39" s="245">
        <v>1029</v>
      </c>
      <c r="AJ39" t="s">
        <v>1383</v>
      </c>
      <c r="AK39" t="s">
        <v>1382</v>
      </c>
      <c r="AL39" t="s">
        <v>1280</v>
      </c>
      <c r="AM39" s="245">
        <v>1038.93</v>
      </c>
      <c r="AN39" t="s">
        <v>1384</v>
      </c>
      <c r="AO39" t="s">
        <v>1382</v>
      </c>
      <c r="AP39" t="s">
        <v>1244</v>
      </c>
      <c r="AQ39" s="245">
        <v>1039.2</v>
      </c>
      <c r="AR39" t="s">
        <v>1385</v>
      </c>
      <c r="AS39" s="226" t="str">
        <f t="shared" si="0"/>
        <v>Pagoda Tour 100 RP</v>
      </c>
      <c r="AT39" s="203" t="str">
        <f t="shared" si="1"/>
        <v xml:space="preserve"> DPSPagoda Tour 100 RP179 Unisex</v>
      </c>
    </row>
    <row r="40" spans="1:46" ht="184.8">
      <c r="A40" t="s">
        <v>155</v>
      </c>
      <c r="B40" t="s">
        <v>167</v>
      </c>
      <c r="C40" t="s">
        <v>224</v>
      </c>
      <c r="D40">
        <v>170</v>
      </c>
      <c r="E40" t="s">
        <v>163</v>
      </c>
      <c r="F40">
        <v>170</v>
      </c>
      <c r="G40">
        <v>169.7</v>
      </c>
      <c r="H40">
        <v>134</v>
      </c>
      <c r="I40">
        <v>139</v>
      </c>
      <c r="J40">
        <v>129</v>
      </c>
      <c r="K40">
        <v>90</v>
      </c>
      <c r="L40">
        <v>111</v>
      </c>
      <c r="M40">
        <v>15</v>
      </c>
      <c r="N40">
        <v>1551</v>
      </c>
      <c r="O40">
        <v>1.1200000000000001</v>
      </c>
      <c r="P40">
        <v>1738</v>
      </c>
      <c r="Q40">
        <v>213</v>
      </c>
      <c r="R40">
        <v>104</v>
      </c>
      <c r="S40">
        <v>50</v>
      </c>
      <c r="T40">
        <v>217</v>
      </c>
      <c r="U40">
        <v>12</v>
      </c>
      <c r="V40">
        <v>140</v>
      </c>
      <c r="W40">
        <v>0.23799999999999999</v>
      </c>
      <c r="X40">
        <v>150</v>
      </c>
      <c r="Y40">
        <v>158</v>
      </c>
      <c r="Z40">
        <v>67</v>
      </c>
      <c r="AA40">
        <v>5</v>
      </c>
      <c r="AB40">
        <v>9</v>
      </c>
      <c r="AC40" t="s">
        <v>188</v>
      </c>
      <c r="AD40" t="s">
        <v>185</v>
      </c>
      <c r="AG40" t="s">
        <v>1386</v>
      </c>
      <c r="AH40" t="s">
        <v>1191</v>
      </c>
      <c r="AI40" s="245">
        <v>374.95</v>
      </c>
      <c r="AJ40" t="s">
        <v>1387</v>
      </c>
      <c r="AK40" t="s">
        <v>1388</v>
      </c>
      <c r="AL40" t="s">
        <v>1301</v>
      </c>
      <c r="AM40" s="245">
        <v>389</v>
      </c>
      <c r="AN40" t="s">
        <v>1389</v>
      </c>
      <c r="AO40" t="s">
        <v>1388</v>
      </c>
      <c r="AP40" t="s">
        <v>1194</v>
      </c>
      <c r="AQ40" s="245">
        <v>414</v>
      </c>
      <c r="AR40" t="s">
        <v>1390</v>
      </c>
      <c r="AS40" s="226" t="str">
        <f t="shared" si="0"/>
        <v>Kore 91 W</v>
      </c>
      <c r="AT40" s="203" t="str">
        <f t="shared" si="1"/>
        <v xml:space="preserve"> HeadKore 91 W170 Women's</v>
      </c>
    </row>
    <row r="41" spans="1:46" ht="66">
      <c r="A41" t="s">
        <v>155</v>
      </c>
      <c r="B41" t="s">
        <v>205</v>
      </c>
      <c r="C41" t="s">
        <v>225</v>
      </c>
      <c r="D41">
        <v>184</v>
      </c>
      <c r="E41" t="s">
        <v>158</v>
      </c>
      <c r="F41">
        <v>184</v>
      </c>
      <c r="G41">
        <v>182.6</v>
      </c>
      <c r="H41">
        <v>124</v>
      </c>
      <c r="I41">
        <v>147</v>
      </c>
      <c r="J41">
        <v>132</v>
      </c>
      <c r="K41">
        <v>105</v>
      </c>
      <c r="L41">
        <v>125</v>
      </c>
      <c r="M41">
        <v>21</v>
      </c>
      <c r="N41">
        <v>2000</v>
      </c>
      <c r="O41">
        <v>1.05</v>
      </c>
      <c r="P41">
        <v>2096</v>
      </c>
      <c r="Q41">
        <v>206</v>
      </c>
      <c r="R41">
        <v>97</v>
      </c>
      <c r="S41">
        <v>51</v>
      </c>
      <c r="T41">
        <v>328</v>
      </c>
      <c r="U41">
        <v>43</v>
      </c>
      <c r="V41">
        <v>261</v>
      </c>
      <c r="W41">
        <v>0.84599999999999997</v>
      </c>
      <c r="X41">
        <v>192</v>
      </c>
      <c r="Y41">
        <v>164</v>
      </c>
      <c r="Z41">
        <v>137</v>
      </c>
      <c r="AA41">
        <v>7</v>
      </c>
      <c r="AB41">
        <v>9.3000000000000007</v>
      </c>
      <c r="AC41" t="s">
        <v>184</v>
      </c>
      <c r="AD41" t="s">
        <v>169</v>
      </c>
      <c r="AG41" t="s">
        <v>1391</v>
      </c>
      <c r="AH41" t="s">
        <v>1224</v>
      </c>
      <c r="AI41" s="245">
        <v>559.20000000000005</v>
      </c>
      <c r="AJ41" t="s">
        <v>1392</v>
      </c>
      <c r="AK41" t="s">
        <v>1391</v>
      </c>
      <c r="AL41" t="s">
        <v>1271</v>
      </c>
      <c r="AM41" s="245">
        <v>629.92999999999995</v>
      </c>
      <c r="AN41" t="s">
        <v>1393</v>
      </c>
      <c r="AO41" t="s">
        <v>1391</v>
      </c>
      <c r="AP41" t="s">
        <v>1248</v>
      </c>
      <c r="AQ41" s="245">
        <v>639.20000000000005</v>
      </c>
      <c r="AR41" t="s">
        <v>1394</v>
      </c>
      <c r="AS41" s="226" t="str">
        <f t="shared" si="0"/>
        <v>Prodigy 3.0</v>
      </c>
      <c r="AT41" s="203" t="str">
        <f t="shared" si="1"/>
        <v xml:space="preserve"> FactionProdigy 3.0184 Unisex</v>
      </c>
    </row>
    <row r="42" spans="1:46" ht="26.4">
      <c r="A42" t="s">
        <v>155</v>
      </c>
      <c r="B42" t="s">
        <v>227</v>
      </c>
      <c r="C42" t="s">
        <v>228</v>
      </c>
      <c r="D42">
        <v>180</v>
      </c>
      <c r="E42" t="s">
        <v>158</v>
      </c>
      <c r="F42">
        <v>180</v>
      </c>
      <c r="G42">
        <v>178.1</v>
      </c>
      <c r="H42">
        <v>121</v>
      </c>
      <c r="I42">
        <v>149</v>
      </c>
      <c r="J42">
        <v>129</v>
      </c>
      <c r="K42">
        <v>99</v>
      </c>
      <c r="L42">
        <v>120</v>
      </c>
      <c r="M42">
        <v>19.3</v>
      </c>
      <c r="N42">
        <v>1678</v>
      </c>
      <c r="O42">
        <v>1.1599999999999999</v>
      </c>
      <c r="P42">
        <v>1949</v>
      </c>
      <c r="Q42">
        <v>212</v>
      </c>
      <c r="R42">
        <v>101</v>
      </c>
      <c r="S42">
        <v>72</v>
      </c>
      <c r="T42">
        <v>328</v>
      </c>
      <c r="U42">
        <v>27</v>
      </c>
      <c r="V42">
        <v>247</v>
      </c>
      <c r="W42">
        <v>0.376</v>
      </c>
      <c r="X42">
        <v>169</v>
      </c>
      <c r="Y42">
        <v>123</v>
      </c>
      <c r="Z42">
        <v>159</v>
      </c>
      <c r="AA42">
        <v>5</v>
      </c>
      <c r="AB42">
        <v>11.5</v>
      </c>
      <c r="AC42" t="s">
        <v>188</v>
      </c>
      <c r="AD42" t="s">
        <v>185</v>
      </c>
      <c r="AS42" s="226" t="str">
        <f t="shared" si="0"/>
        <v>Le Grizzly</v>
      </c>
      <c r="AT42" s="203" t="str">
        <f t="shared" si="1"/>
        <v xml:space="preserve"> RaccoonLe Grizzly180 Unisex</v>
      </c>
    </row>
    <row r="43" spans="1:46" ht="52.8">
      <c r="A43" t="s">
        <v>155</v>
      </c>
      <c r="B43" t="s">
        <v>1395</v>
      </c>
      <c r="C43" t="s">
        <v>230</v>
      </c>
      <c r="D43">
        <v>182</v>
      </c>
      <c r="E43" t="s">
        <v>158</v>
      </c>
      <c r="F43">
        <v>182</v>
      </c>
      <c r="G43">
        <v>183.5</v>
      </c>
      <c r="H43">
        <v>157</v>
      </c>
      <c r="I43">
        <v>160</v>
      </c>
      <c r="J43">
        <v>124</v>
      </c>
      <c r="K43">
        <v>83</v>
      </c>
      <c r="L43">
        <v>106</v>
      </c>
      <c r="M43">
        <v>19.399999999999999</v>
      </c>
      <c r="N43">
        <v>1668</v>
      </c>
      <c r="O43">
        <v>1.06</v>
      </c>
      <c r="P43">
        <v>1763</v>
      </c>
      <c r="Q43">
        <v>196</v>
      </c>
      <c r="R43">
        <v>76</v>
      </c>
      <c r="S43">
        <v>34</v>
      </c>
      <c r="T43">
        <v>166</v>
      </c>
      <c r="U43">
        <v>12</v>
      </c>
      <c r="V43">
        <v>96</v>
      </c>
      <c r="W43">
        <v>0.35</v>
      </c>
      <c r="X43">
        <v>132</v>
      </c>
      <c r="Y43">
        <v>104</v>
      </c>
      <c r="Z43">
        <v>34</v>
      </c>
      <c r="AA43">
        <v>4</v>
      </c>
      <c r="AB43">
        <v>11.8</v>
      </c>
      <c r="AC43" t="s">
        <v>231</v>
      </c>
      <c r="AD43" t="s">
        <v>188</v>
      </c>
      <c r="AE43" t="s">
        <v>185</v>
      </c>
      <c r="AG43" t="s">
        <v>1396</v>
      </c>
      <c r="AH43" t="s">
        <v>1397</v>
      </c>
      <c r="AI43" s="245">
        <v>419.99</v>
      </c>
      <c r="AJ43" t="s">
        <v>1398</v>
      </c>
      <c r="AK43" t="s">
        <v>1399</v>
      </c>
      <c r="AL43" t="s">
        <v>1400</v>
      </c>
      <c r="AM43" s="245">
        <v>429.95</v>
      </c>
      <c r="AN43" t="s">
        <v>1401</v>
      </c>
      <c r="AO43" t="s">
        <v>1399</v>
      </c>
      <c r="AP43" t="s">
        <v>1402</v>
      </c>
      <c r="AQ43" s="245">
        <v>599.99</v>
      </c>
      <c r="AR43" t="s">
        <v>1403</v>
      </c>
      <c r="AS43" s="226" t="str">
        <f t="shared" si="0"/>
        <v>Kanjo 84</v>
      </c>
      <c r="AT43" s="203" t="str">
        <f t="shared" si="1"/>
        <v xml:space="preserve"> Vï¿½lklKanjo 84182 Unisex</v>
      </c>
    </row>
    <row r="44" spans="1:46" ht="171.6">
      <c r="A44" t="s">
        <v>155</v>
      </c>
      <c r="B44" t="s">
        <v>180</v>
      </c>
      <c r="C44" t="s">
        <v>232</v>
      </c>
      <c r="D44">
        <v>175</v>
      </c>
      <c r="E44" t="s">
        <v>158</v>
      </c>
      <c r="F44">
        <v>175</v>
      </c>
      <c r="G44">
        <v>173.4</v>
      </c>
      <c r="H44">
        <v>124</v>
      </c>
      <c r="I44">
        <v>156</v>
      </c>
      <c r="J44">
        <v>135</v>
      </c>
      <c r="K44">
        <v>100</v>
      </c>
      <c r="L44">
        <v>123</v>
      </c>
      <c r="M44">
        <v>22.6</v>
      </c>
      <c r="N44">
        <v>1547</v>
      </c>
      <c r="O44">
        <v>1.21</v>
      </c>
      <c r="P44">
        <v>1877</v>
      </c>
      <c r="Q44">
        <v>224</v>
      </c>
      <c r="R44">
        <v>98</v>
      </c>
      <c r="S44">
        <v>60</v>
      </c>
      <c r="T44">
        <v>306</v>
      </c>
      <c r="U44">
        <v>39</v>
      </c>
      <c r="V44">
        <v>188</v>
      </c>
      <c r="W44">
        <v>0.64</v>
      </c>
      <c r="X44">
        <v>99</v>
      </c>
      <c r="Y44">
        <v>74</v>
      </c>
      <c r="Z44">
        <v>207</v>
      </c>
      <c r="AA44">
        <v>4</v>
      </c>
      <c r="AB44">
        <v>11.1</v>
      </c>
      <c r="AC44" t="s">
        <v>188</v>
      </c>
      <c r="AD44" t="s">
        <v>169</v>
      </c>
      <c r="AE44" t="s">
        <v>185</v>
      </c>
      <c r="AG44" t="s">
        <v>1404</v>
      </c>
      <c r="AH44" t="s">
        <v>1405</v>
      </c>
      <c r="AI44" s="245">
        <v>420.95</v>
      </c>
      <c r="AJ44" t="s">
        <v>1406</v>
      </c>
      <c r="AK44" t="s">
        <v>1404</v>
      </c>
      <c r="AL44" t="s">
        <v>1181</v>
      </c>
      <c r="AM44" s="245">
        <v>420.95</v>
      </c>
      <c r="AN44" t="s">
        <v>1407</v>
      </c>
      <c r="AO44" t="s">
        <v>1408</v>
      </c>
      <c r="AP44" t="s">
        <v>1409</v>
      </c>
      <c r="AQ44" s="245">
        <v>427.58</v>
      </c>
      <c r="AR44" t="s">
        <v>1410</v>
      </c>
      <c r="AS44" s="226" t="str">
        <f t="shared" si="0"/>
        <v>Scrapper 105</v>
      </c>
      <c r="AT44" s="203" t="str">
        <f t="shared" si="1"/>
        <v xml:space="preserve"> ScottScrapper 105175 Unisex</v>
      </c>
    </row>
    <row r="45" spans="1:46" ht="158.4">
      <c r="A45" t="s">
        <v>155</v>
      </c>
      <c r="B45" t="s">
        <v>167</v>
      </c>
      <c r="C45" t="s">
        <v>234</v>
      </c>
      <c r="D45">
        <v>156</v>
      </c>
      <c r="E45" t="s">
        <v>163</v>
      </c>
      <c r="F45">
        <v>156</v>
      </c>
      <c r="G45">
        <v>155.80000000000001</v>
      </c>
      <c r="H45">
        <v>119</v>
      </c>
      <c r="I45">
        <v>123</v>
      </c>
      <c r="J45">
        <v>124</v>
      </c>
      <c r="K45">
        <v>92</v>
      </c>
      <c r="L45">
        <v>111</v>
      </c>
      <c r="M45">
        <v>13.1</v>
      </c>
      <c r="N45">
        <v>1497</v>
      </c>
      <c r="O45">
        <v>1.08</v>
      </c>
      <c r="P45">
        <v>1614</v>
      </c>
      <c r="Q45">
        <v>225</v>
      </c>
      <c r="R45">
        <v>106</v>
      </c>
      <c r="S45">
        <v>48</v>
      </c>
      <c r="T45">
        <v>234</v>
      </c>
      <c r="U45">
        <v>13</v>
      </c>
      <c r="V45">
        <v>137</v>
      </c>
      <c r="W45">
        <v>0.27200000000000002</v>
      </c>
      <c r="X45">
        <v>167</v>
      </c>
      <c r="Y45">
        <v>158</v>
      </c>
      <c r="Z45">
        <v>67</v>
      </c>
      <c r="AA45">
        <v>5</v>
      </c>
      <c r="AB45">
        <v>6.9</v>
      </c>
      <c r="AC45" t="s">
        <v>188</v>
      </c>
      <c r="AD45" t="s">
        <v>185</v>
      </c>
      <c r="AG45" t="s">
        <v>1411</v>
      </c>
      <c r="AH45" t="s">
        <v>1191</v>
      </c>
      <c r="AI45" s="245">
        <v>514.95000000000005</v>
      </c>
      <c r="AJ45" t="s">
        <v>1412</v>
      </c>
      <c r="AK45" t="s">
        <v>1413</v>
      </c>
      <c r="AL45" t="s">
        <v>1280</v>
      </c>
      <c r="AM45" s="245">
        <v>518.92999999999995</v>
      </c>
      <c r="AN45" t="s">
        <v>1414</v>
      </c>
      <c r="AO45" t="s">
        <v>1415</v>
      </c>
      <c r="AP45" t="s">
        <v>1416</v>
      </c>
      <c r="AQ45" s="245">
        <v>699</v>
      </c>
      <c r="AR45" t="s">
        <v>1417</v>
      </c>
      <c r="AS45" s="226" t="str">
        <f t="shared" si="0"/>
        <v>Kore 97 W</v>
      </c>
      <c r="AT45" s="203" t="str">
        <f t="shared" si="1"/>
        <v xml:space="preserve"> HeadKore 97 W156 Women's</v>
      </c>
    </row>
    <row r="46" spans="1:46" ht="66">
      <c r="A46" t="s">
        <v>155</v>
      </c>
      <c r="B46" t="s">
        <v>182</v>
      </c>
      <c r="C46" t="s">
        <v>235</v>
      </c>
      <c r="D46">
        <v>170</v>
      </c>
      <c r="E46" t="s">
        <v>163</v>
      </c>
      <c r="F46">
        <v>170</v>
      </c>
      <c r="G46">
        <v>168.2</v>
      </c>
      <c r="H46">
        <v>135</v>
      </c>
      <c r="I46">
        <v>139</v>
      </c>
      <c r="J46">
        <v>114</v>
      </c>
      <c r="K46">
        <v>85</v>
      </c>
      <c r="L46">
        <v>108</v>
      </c>
      <c r="M46">
        <v>17.600000000000001</v>
      </c>
      <c r="N46">
        <v>1704</v>
      </c>
      <c r="O46">
        <v>0.94</v>
      </c>
      <c r="P46">
        <v>1604</v>
      </c>
      <c r="Q46">
        <v>166</v>
      </c>
      <c r="R46">
        <v>95</v>
      </c>
      <c r="S46">
        <v>44</v>
      </c>
      <c r="T46">
        <v>168</v>
      </c>
      <c r="U46">
        <v>38</v>
      </c>
      <c r="V46">
        <v>167</v>
      </c>
      <c r="W46">
        <v>0.87</v>
      </c>
      <c r="X46">
        <v>139</v>
      </c>
      <c r="Y46">
        <v>152</v>
      </c>
      <c r="Z46">
        <v>29</v>
      </c>
      <c r="AA46">
        <v>12</v>
      </c>
      <c r="AB46">
        <v>3.8</v>
      </c>
      <c r="AC46" t="s">
        <v>184</v>
      </c>
      <c r="AG46" t="s">
        <v>1418</v>
      </c>
      <c r="AH46" t="s">
        <v>1191</v>
      </c>
      <c r="AI46" s="245">
        <v>299.95</v>
      </c>
      <c r="AJ46" t="s">
        <v>1419</v>
      </c>
      <c r="AK46" t="s">
        <v>1418</v>
      </c>
      <c r="AL46" t="s">
        <v>1224</v>
      </c>
      <c r="AM46" s="245">
        <v>319.95999999999998</v>
      </c>
      <c r="AN46" t="s">
        <v>1420</v>
      </c>
      <c r="AO46" t="s">
        <v>1418</v>
      </c>
      <c r="AP46" t="s">
        <v>1421</v>
      </c>
      <c r="AQ46" s="245">
        <v>399.95</v>
      </c>
      <c r="AR46" t="s">
        <v>1422</v>
      </c>
      <c r="AS46" s="226" t="str">
        <f t="shared" si="0"/>
        <v>ARW 86</v>
      </c>
      <c r="AT46" s="203" t="str">
        <f t="shared" si="1"/>
        <v xml:space="preserve"> ArmadaARW 86170 Women's</v>
      </c>
    </row>
    <row r="47" spans="1:46" ht="66">
      <c r="A47" t="s">
        <v>155</v>
      </c>
      <c r="B47" t="s">
        <v>237</v>
      </c>
      <c r="C47" t="s">
        <v>238</v>
      </c>
      <c r="D47">
        <v>173.4</v>
      </c>
      <c r="E47" t="s">
        <v>158</v>
      </c>
      <c r="F47">
        <v>173.4</v>
      </c>
      <c r="G47">
        <v>171.8</v>
      </c>
      <c r="H47">
        <v>122</v>
      </c>
      <c r="I47">
        <v>145</v>
      </c>
      <c r="J47">
        <v>138</v>
      </c>
      <c r="K47">
        <v>100</v>
      </c>
      <c r="L47">
        <v>118</v>
      </c>
      <c r="M47">
        <v>18.7</v>
      </c>
      <c r="N47">
        <v>1671</v>
      </c>
      <c r="O47">
        <v>1.1399999999999999</v>
      </c>
      <c r="P47">
        <v>1913</v>
      </c>
      <c r="Q47">
        <v>209</v>
      </c>
      <c r="R47">
        <v>95</v>
      </c>
      <c r="S47">
        <v>44</v>
      </c>
      <c r="T47">
        <v>292</v>
      </c>
      <c r="U47">
        <v>16</v>
      </c>
      <c r="V47">
        <v>202</v>
      </c>
      <c r="W47">
        <v>0.35199999999999998</v>
      </c>
      <c r="X47">
        <v>157</v>
      </c>
      <c r="Y47">
        <v>116</v>
      </c>
      <c r="Z47">
        <v>135</v>
      </c>
      <c r="AA47">
        <v>4</v>
      </c>
      <c r="AB47">
        <v>9.6999999999999993</v>
      </c>
      <c r="AC47" t="s">
        <v>188</v>
      </c>
      <c r="AD47" t="s">
        <v>169</v>
      </c>
      <c r="AE47" t="s">
        <v>178</v>
      </c>
      <c r="AF47" t="s">
        <v>185</v>
      </c>
      <c r="AG47" t="s">
        <v>1423</v>
      </c>
      <c r="AH47" t="s">
        <v>1424</v>
      </c>
      <c r="AI47" s="245">
        <v>576.99</v>
      </c>
      <c r="AJ47" t="s">
        <v>1425</v>
      </c>
      <c r="AK47" t="s">
        <v>1423</v>
      </c>
      <c r="AL47" t="s">
        <v>1191</v>
      </c>
      <c r="AM47" s="245">
        <v>584.95000000000005</v>
      </c>
      <c r="AN47" t="s">
        <v>1426</v>
      </c>
      <c r="AO47" t="s">
        <v>1423</v>
      </c>
      <c r="AP47" t="s">
        <v>1224</v>
      </c>
      <c r="AQ47" s="245">
        <v>663.96</v>
      </c>
      <c r="AR47" t="s">
        <v>1427</v>
      </c>
      <c r="AS47" s="226" t="str">
        <f t="shared" si="0"/>
        <v>Navis Freebird</v>
      </c>
      <c r="AT47" s="203" t="str">
        <f t="shared" si="1"/>
        <v xml:space="preserve"> Black CrowsNavis Freebird173.4 Unisex</v>
      </c>
    </row>
    <row r="48" spans="1:46" ht="79.2">
      <c r="A48" t="s">
        <v>155</v>
      </c>
      <c r="B48" t="s">
        <v>167</v>
      </c>
      <c r="C48" t="s">
        <v>240</v>
      </c>
      <c r="D48">
        <v>163</v>
      </c>
      <c r="E48" t="s">
        <v>158</v>
      </c>
      <c r="F48">
        <v>163</v>
      </c>
      <c r="G48">
        <v>162.6</v>
      </c>
      <c r="H48">
        <v>126</v>
      </c>
      <c r="I48">
        <v>130</v>
      </c>
      <c r="J48">
        <v>127</v>
      </c>
      <c r="K48">
        <v>94</v>
      </c>
      <c r="L48">
        <v>114</v>
      </c>
      <c r="M48">
        <v>14.4</v>
      </c>
      <c r="N48">
        <v>1515</v>
      </c>
      <c r="O48">
        <v>1.1299999999999999</v>
      </c>
      <c r="P48">
        <v>1718</v>
      </c>
      <c r="Q48">
        <v>198</v>
      </c>
      <c r="R48">
        <v>100</v>
      </c>
      <c r="S48">
        <v>49</v>
      </c>
      <c r="T48">
        <v>237</v>
      </c>
      <c r="U48">
        <v>11</v>
      </c>
      <c r="V48">
        <v>134</v>
      </c>
      <c r="W48">
        <v>0.218999999999999</v>
      </c>
      <c r="X48">
        <v>179</v>
      </c>
      <c r="Y48">
        <v>142</v>
      </c>
      <c r="Z48">
        <v>58</v>
      </c>
      <c r="AA48">
        <v>7</v>
      </c>
      <c r="AB48">
        <v>8.9</v>
      </c>
      <c r="AC48" t="s">
        <v>188</v>
      </c>
      <c r="AD48" t="s">
        <v>185</v>
      </c>
      <c r="AG48" t="s">
        <v>1428</v>
      </c>
      <c r="AH48" t="s">
        <v>1194</v>
      </c>
      <c r="AI48" s="245">
        <v>414</v>
      </c>
      <c r="AJ48" t="s">
        <v>1429</v>
      </c>
      <c r="AK48" t="s">
        <v>1428</v>
      </c>
      <c r="AL48" t="s">
        <v>1185</v>
      </c>
      <c r="AM48" s="245">
        <v>489.99</v>
      </c>
      <c r="AN48" t="s">
        <v>1430</v>
      </c>
      <c r="AO48" t="s">
        <v>1431</v>
      </c>
      <c r="AP48" t="s">
        <v>1191</v>
      </c>
      <c r="AQ48" s="245">
        <v>514.95000000000005</v>
      </c>
      <c r="AR48" t="s">
        <v>1432</v>
      </c>
      <c r="AS48" s="226" t="str">
        <f t="shared" si="0"/>
        <v>Kore 99</v>
      </c>
      <c r="AT48" s="203" t="str">
        <f t="shared" si="1"/>
        <v xml:space="preserve"> HeadKore 99163 Unisex</v>
      </c>
    </row>
    <row r="49" spans="1:46" ht="92.4">
      <c r="A49" t="s">
        <v>155</v>
      </c>
      <c r="B49" t="s">
        <v>205</v>
      </c>
      <c r="C49" t="s">
        <v>242</v>
      </c>
      <c r="D49">
        <v>178</v>
      </c>
      <c r="E49" t="s">
        <v>158</v>
      </c>
      <c r="F49">
        <v>178</v>
      </c>
      <c r="G49">
        <v>176.4</v>
      </c>
      <c r="H49">
        <v>111</v>
      </c>
      <c r="I49">
        <v>147</v>
      </c>
      <c r="J49">
        <v>139</v>
      </c>
      <c r="K49">
        <v>111</v>
      </c>
      <c r="L49">
        <v>133</v>
      </c>
      <c r="M49">
        <v>20</v>
      </c>
      <c r="N49">
        <v>1931</v>
      </c>
      <c r="O49">
        <v>1.1000000000000001</v>
      </c>
      <c r="P49">
        <v>2119</v>
      </c>
      <c r="Q49">
        <v>221</v>
      </c>
      <c r="R49">
        <v>106</v>
      </c>
      <c r="S49">
        <v>59</v>
      </c>
      <c r="T49">
        <v>346</v>
      </c>
      <c r="U49">
        <v>52</v>
      </c>
      <c r="V49">
        <v>305</v>
      </c>
      <c r="W49">
        <v>0.88200000000000001</v>
      </c>
      <c r="X49">
        <v>148</v>
      </c>
      <c r="Y49">
        <v>147</v>
      </c>
      <c r="Z49">
        <v>198</v>
      </c>
      <c r="AA49">
        <v>6</v>
      </c>
      <c r="AB49">
        <v>5.6</v>
      </c>
      <c r="AC49" t="s">
        <v>184</v>
      </c>
      <c r="AD49" t="s">
        <v>169</v>
      </c>
      <c r="AE49" t="s">
        <v>185</v>
      </c>
      <c r="AG49" t="s">
        <v>1433</v>
      </c>
      <c r="AH49" t="s">
        <v>1409</v>
      </c>
      <c r="AI49" s="245">
        <v>623.86</v>
      </c>
      <c r="AJ49" t="s">
        <v>1434</v>
      </c>
      <c r="AK49" t="s">
        <v>1435</v>
      </c>
      <c r="AL49" t="s">
        <v>1271</v>
      </c>
      <c r="AM49" s="245">
        <v>599.92999999999995</v>
      </c>
      <c r="AN49" t="s">
        <v>1436</v>
      </c>
      <c r="AO49" t="s">
        <v>1437</v>
      </c>
      <c r="AP49" t="s">
        <v>1280</v>
      </c>
      <c r="AQ49" s="245">
        <v>638.92999999999995</v>
      </c>
      <c r="AR49" t="s">
        <v>1438</v>
      </c>
      <c r="AS49" s="226" t="str">
        <f t="shared" si="0"/>
        <v>CT 3.0</v>
      </c>
      <c r="AT49" s="203" t="str">
        <f t="shared" si="1"/>
        <v xml:space="preserve"> FactionCT 3.0178 Unisex</v>
      </c>
    </row>
    <row r="50" spans="1:46" ht="52.8">
      <c r="A50" t="s">
        <v>155</v>
      </c>
      <c r="B50" t="s">
        <v>167</v>
      </c>
      <c r="C50" t="s">
        <v>168</v>
      </c>
      <c r="D50">
        <v>170</v>
      </c>
      <c r="E50" t="s">
        <v>158</v>
      </c>
      <c r="F50">
        <v>170</v>
      </c>
      <c r="G50">
        <v>170.1</v>
      </c>
      <c r="H50">
        <v>127</v>
      </c>
      <c r="I50">
        <v>131</v>
      </c>
      <c r="J50">
        <v>128</v>
      </c>
      <c r="K50">
        <v>100</v>
      </c>
      <c r="L50">
        <v>118</v>
      </c>
      <c r="M50">
        <v>15.9</v>
      </c>
      <c r="N50">
        <v>1636</v>
      </c>
      <c r="O50">
        <v>1.1499999999999999</v>
      </c>
      <c r="P50">
        <v>1875</v>
      </c>
      <c r="Q50">
        <v>222</v>
      </c>
      <c r="R50">
        <v>108</v>
      </c>
      <c r="S50">
        <v>54</v>
      </c>
      <c r="T50">
        <v>253</v>
      </c>
      <c r="U50">
        <v>19</v>
      </c>
      <c r="V50">
        <v>176</v>
      </c>
      <c r="W50">
        <v>0.35599999999999998</v>
      </c>
      <c r="X50">
        <v>230</v>
      </c>
      <c r="Y50">
        <v>161</v>
      </c>
      <c r="Z50">
        <v>23</v>
      </c>
      <c r="AA50">
        <v>6</v>
      </c>
      <c r="AB50">
        <v>9.8000000000000007</v>
      </c>
      <c r="AC50" t="s">
        <v>188</v>
      </c>
      <c r="AD50" t="s">
        <v>185</v>
      </c>
      <c r="AG50" t="s">
        <v>1439</v>
      </c>
      <c r="AH50" t="s">
        <v>1301</v>
      </c>
      <c r="AI50" s="245">
        <v>449</v>
      </c>
      <c r="AJ50" t="s">
        <v>1440</v>
      </c>
      <c r="AK50" t="s">
        <v>1441</v>
      </c>
      <c r="AL50" t="s">
        <v>1204</v>
      </c>
      <c r="AM50" s="245">
        <v>521.29</v>
      </c>
      <c r="AN50" t="s">
        <v>1442</v>
      </c>
      <c r="AO50" t="s">
        <v>1439</v>
      </c>
      <c r="AP50" t="s">
        <v>1185</v>
      </c>
      <c r="AQ50" s="245">
        <v>524.99</v>
      </c>
      <c r="AR50" t="s">
        <v>1443</v>
      </c>
      <c r="AS50" s="226" t="str">
        <f t="shared" si="0"/>
        <v>Kore 105</v>
      </c>
      <c r="AT50" s="203" t="str">
        <f t="shared" si="1"/>
        <v xml:space="preserve"> HeadKore 105170 Unisex</v>
      </c>
    </row>
    <row r="51" spans="1:46" ht="118.8">
      <c r="A51" t="s">
        <v>155</v>
      </c>
      <c r="B51" t="s">
        <v>182</v>
      </c>
      <c r="C51" t="s">
        <v>244</v>
      </c>
      <c r="D51">
        <v>160</v>
      </c>
      <c r="E51" t="s">
        <v>163</v>
      </c>
      <c r="F51">
        <v>160</v>
      </c>
      <c r="G51">
        <v>159.5</v>
      </c>
      <c r="H51">
        <v>132</v>
      </c>
      <c r="I51">
        <v>142</v>
      </c>
      <c r="J51">
        <v>127</v>
      </c>
      <c r="K51">
        <v>87</v>
      </c>
      <c r="L51">
        <v>109</v>
      </c>
      <c r="M51">
        <v>16.3</v>
      </c>
      <c r="N51">
        <v>1478</v>
      </c>
      <c r="O51">
        <v>1.06</v>
      </c>
      <c r="P51">
        <v>1574</v>
      </c>
      <c r="Q51">
        <v>222</v>
      </c>
      <c r="R51">
        <v>104</v>
      </c>
      <c r="S51">
        <v>39</v>
      </c>
      <c r="T51">
        <v>172</v>
      </c>
      <c r="U51">
        <v>10</v>
      </c>
      <c r="V51">
        <v>100</v>
      </c>
      <c r="W51">
        <v>0.245</v>
      </c>
      <c r="X51">
        <v>112</v>
      </c>
      <c r="Y51">
        <v>62</v>
      </c>
      <c r="Z51">
        <v>60</v>
      </c>
      <c r="AA51">
        <v>5</v>
      </c>
      <c r="AB51">
        <v>11.4</v>
      </c>
      <c r="AC51" t="s">
        <v>188</v>
      </c>
      <c r="AD51" t="s">
        <v>185</v>
      </c>
      <c r="AG51" t="s">
        <v>1444</v>
      </c>
      <c r="AH51" t="s">
        <v>1194</v>
      </c>
      <c r="AI51" s="245">
        <v>367.9</v>
      </c>
      <c r="AJ51" t="s">
        <v>1445</v>
      </c>
      <c r="AK51" t="s">
        <v>1446</v>
      </c>
      <c r="AL51" t="s">
        <v>1191</v>
      </c>
      <c r="AM51" s="245">
        <v>374.95</v>
      </c>
      <c r="AN51" t="s">
        <v>1447</v>
      </c>
      <c r="AO51" t="s">
        <v>1444</v>
      </c>
      <c r="AP51" t="s">
        <v>1301</v>
      </c>
      <c r="AQ51" s="245">
        <v>479.96</v>
      </c>
      <c r="AR51" t="s">
        <v>1448</v>
      </c>
      <c r="AS51" s="226" t="str">
        <f t="shared" si="0"/>
        <v>Reliance 88 Ca</v>
      </c>
      <c r="AT51" s="203" t="str">
        <f t="shared" si="1"/>
        <v xml:space="preserve"> ArmadaReliance 88 Ca160 Women's</v>
      </c>
    </row>
    <row r="52" spans="1:46" ht="52.8">
      <c r="A52" t="s">
        <v>155</v>
      </c>
      <c r="B52" t="s">
        <v>245</v>
      </c>
      <c r="C52" t="s">
        <v>246</v>
      </c>
      <c r="D52">
        <v>169</v>
      </c>
      <c r="E52" t="s">
        <v>163</v>
      </c>
      <c r="F52">
        <v>169</v>
      </c>
      <c r="G52">
        <v>168.1</v>
      </c>
      <c r="H52">
        <v>113</v>
      </c>
      <c r="I52">
        <v>139</v>
      </c>
      <c r="J52">
        <v>125</v>
      </c>
      <c r="K52">
        <v>90</v>
      </c>
      <c r="L52">
        <v>116</v>
      </c>
      <c r="M52">
        <v>13.2</v>
      </c>
      <c r="N52">
        <v>1593</v>
      </c>
      <c r="O52">
        <v>1.1000000000000001</v>
      </c>
      <c r="P52">
        <v>1746</v>
      </c>
      <c r="Q52">
        <v>211</v>
      </c>
      <c r="R52">
        <v>100</v>
      </c>
      <c r="S52">
        <v>52</v>
      </c>
      <c r="T52">
        <v>359</v>
      </c>
      <c r="U52">
        <v>33</v>
      </c>
      <c r="V52">
        <v>190</v>
      </c>
      <c r="W52">
        <v>0.63400000000000001</v>
      </c>
      <c r="X52">
        <v>147</v>
      </c>
      <c r="Y52">
        <v>145</v>
      </c>
      <c r="Z52">
        <v>212</v>
      </c>
      <c r="AA52">
        <v>5</v>
      </c>
      <c r="AB52">
        <v>5.9</v>
      </c>
      <c r="AC52" t="s">
        <v>188</v>
      </c>
      <c r="AD52" t="s">
        <v>185</v>
      </c>
      <c r="AG52" t="s">
        <v>1449</v>
      </c>
      <c r="AH52" t="s">
        <v>1450</v>
      </c>
      <c r="AI52" s="245">
        <v>479.99</v>
      </c>
      <c r="AJ52" t="s">
        <v>1451</v>
      </c>
      <c r="AK52" t="s">
        <v>1449</v>
      </c>
      <c r="AL52" t="s">
        <v>1452</v>
      </c>
      <c r="AM52" s="245">
        <v>699.99</v>
      </c>
      <c r="AN52" t="s">
        <v>1453</v>
      </c>
      <c r="AO52" t="s">
        <v>1454</v>
      </c>
      <c r="AP52" t="s">
        <v>1455</v>
      </c>
      <c r="AQ52" s="245">
        <v>699.99</v>
      </c>
      <c r="AR52" t="s">
        <v>1456</v>
      </c>
      <c r="AS52" s="226" t="str">
        <f t="shared" si="0"/>
        <v>Ranger 94 FR W</v>
      </c>
      <c r="AT52" s="203" t="str">
        <f t="shared" si="1"/>
        <v xml:space="preserve"> FischerRanger 94 FR W169 Women's</v>
      </c>
    </row>
    <row r="53" spans="1:46" ht="79.2">
      <c r="A53" t="s">
        <v>155</v>
      </c>
      <c r="B53" t="s">
        <v>156</v>
      </c>
      <c r="C53" t="s">
        <v>247</v>
      </c>
      <c r="D53">
        <v>172</v>
      </c>
      <c r="E53" t="s">
        <v>163</v>
      </c>
      <c r="F53">
        <v>172</v>
      </c>
      <c r="G53">
        <v>171.4</v>
      </c>
      <c r="H53">
        <v>122</v>
      </c>
      <c r="I53">
        <v>140</v>
      </c>
      <c r="J53">
        <v>127</v>
      </c>
      <c r="K53">
        <v>92</v>
      </c>
      <c r="L53">
        <v>110</v>
      </c>
      <c r="M53">
        <v>17.899999999999999</v>
      </c>
      <c r="N53">
        <v>1642</v>
      </c>
      <c r="O53">
        <v>1.07</v>
      </c>
      <c r="P53">
        <v>1761</v>
      </c>
      <c r="Q53">
        <v>219</v>
      </c>
      <c r="R53">
        <v>107</v>
      </c>
      <c r="S53">
        <v>52</v>
      </c>
      <c r="T53">
        <v>297</v>
      </c>
      <c r="U53">
        <v>14</v>
      </c>
      <c r="V53">
        <v>194</v>
      </c>
      <c r="W53">
        <v>0.26899999999999902</v>
      </c>
      <c r="X53">
        <v>183</v>
      </c>
      <c r="Y53">
        <v>133</v>
      </c>
      <c r="Z53">
        <v>114</v>
      </c>
      <c r="AA53">
        <v>5</v>
      </c>
      <c r="AB53">
        <v>8.8000000000000007</v>
      </c>
      <c r="AC53" t="s">
        <v>188</v>
      </c>
      <c r="AD53" t="s">
        <v>185</v>
      </c>
      <c r="AG53" t="s">
        <v>1457</v>
      </c>
      <c r="AH53" t="s">
        <v>1229</v>
      </c>
      <c r="AI53" s="245">
        <v>389.99</v>
      </c>
      <c r="AJ53" t="s">
        <v>1458</v>
      </c>
      <c r="AK53" t="s">
        <v>1459</v>
      </c>
      <c r="AL53" t="s">
        <v>1204</v>
      </c>
      <c r="AM53" s="245">
        <v>441.09</v>
      </c>
      <c r="AN53" t="s">
        <v>1460</v>
      </c>
      <c r="AO53" t="s">
        <v>1457</v>
      </c>
      <c r="AP53" t="s">
        <v>1244</v>
      </c>
      <c r="AQ53" s="245">
        <v>519.96</v>
      </c>
      <c r="AR53" t="s">
        <v>1461</v>
      </c>
      <c r="AS53" s="226" t="str">
        <f t="shared" si="0"/>
        <v>Maven 93 C</v>
      </c>
      <c r="AT53" s="203" t="str">
        <f t="shared" si="1"/>
        <v xml:space="preserve"> AtomicMaven 93 C172 Women's</v>
      </c>
    </row>
    <row r="54" spans="1:46" ht="66">
      <c r="A54" t="s">
        <v>155</v>
      </c>
      <c r="B54" t="s">
        <v>205</v>
      </c>
      <c r="C54" t="s">
        <v>249</v>
      </c>
      <c r="D54">
        <v>163</v>
      </c>
      <c r="E54" t="s">
        <v>163</v>
      </c>
      <c r="F54">
        <v>163</v>
      </c>
      <c r="G54">
        <v>169.5</v>
      </c>
      <c r="H54">
        <v>126</v>
      </c>
      <c r="I54">
        <v>140</v>
      </c>
      <c r="J54">
        <v>126</v>
      </c>
      <c r="K54">
        <v>95</v>
      </c>
      <c r="L54">
        <v>116</v>
      </c>
      <c r="M54">
        <v>17.600000000000001</v>
      </c>
      <c r="N54">
        <v>1528</v>
      </c>
      <c r="O54">
        <v>1.17</v>
      </c>
      <c r="P54">
        <v>1793</v>
      </c>
      <c r="Q54">
        <v>221</v>
      </c>
      <c r="R54">
        <v>107</v>
      </c>
      <c r="S54">
        <v>52</v>
      </c>
      <c r="T54">
        <v>247</v>
      </c>
      <c r="U54">
        <v>21</v>
      </c>
      <c r="V54">
        <v>186</v>
      </c>
      <c r="W54">
        <v>0.40500000000000003</v>
      </c>
      <c r="X54">
        <v>173</v>
      </c>
      <c r="Y54">
        <v>120</v>
      </c>
      <c r="Z54">
        <v>74</v>
      </c>
      <c r="AA54">
        <v>6</v>
      </c>
      <c r="AB54">
        <v>10.9</v>
      </c>
      <c r="AC54" t="s">
        <v>188</v>
      </c>
      <c r="AD54" t="s">
        <v>185</v>
      </c>
      <c r="AG54" t="s">
        <v>1462</v>
      </c>
      <c r="AH54" t="s">
        <v>1218</v>
      </c>
      <c r="AI54" s="245">
        <v>559.20000000000005</v>
      </c>
      <c r="AJ54" t="s">
        <v>1463</v>
      </c>
      <c r="AK54" t="s">
        <v>1462</v>
      </c>
      <c r="AL54" t="s">
        <v>1464</v>
      </c>
      <c r="AM54" s="245">
        <v>559.9</v>
      </c>
      <c r="AN54" t="s">
        <v>1465</v>
      </c>
      <c r="AO54" t="s">
        <v>1462</v>
      </c>
      <c r="AP54" t="s">
        <v>1248</v>
      </c>
      <c r="AQ54" s="245">
        <v>639.20000000000005</v>
      </c>
      <c r="AR54" t="s">
        <v>1466</v>
      </c>
      <c r="AS54" s="226" t="str">
        <f t="shared" si="0"/>
        <v>Agent 2.0 X</v>
      </c>
      <c r="AT54" s="203" t="str">
        <f t="shared" si="1"/>
        <v xml:space="preserve"> FactionAgent 2.0 X163 Women's</v>
      </c>
    </row>
    <row r="55" spans="1:46" ht="79.2">
      <c r="A55" t="s">
        <v>155</v>
      </c>
      <c r="B55" t="s">
        <v>218</v>
      </c>
      <c r="C55" t="s">
        <v>250</v>
      </c>
      <c r="D55">
        <v>163</v>
      </c>
      <c r="E55" t="s">
        <v>158</v>
      </c>
      <c r="F55">
        <v>163</v>
      </c>
      <c r="G55">
        <v>162</v>
      </c>
      <c r="H55">
        <v>113</v>
      </c>
      <c r="I55">
        <v>126</v>
      </c>
      <c r="J55">
        <v>131</v>
      </c>
      <c r="K55">
        <v>105</v>
      </c>
      <c r="L55">
        <v>117</v>
      </c>
      <c r="M55">
        <v>19.2</v>
      </c>
      <c r="N55">
        <v>1720</v>
      </c>
      <c r="O55">
        <v>1.06</v>
      </c>
      <c r="P55">
        <v>1832</v>
      </c>
      <c r="Q55">
        <v>212</v>
      </c>
      <c r="R55">
        <v>109</v>
      </c>
      <c r="S55">
        <v>43</v>
      </c>
      <c r="T55">
        <v>278</v>
      </c>
      <c r="U55">
        <v>20</v>
      </c>
      <c r="V55">
        <v>214</v>
      </c>
      <c r="W55">
        <v>0.46299999999999902</v>
      </c>
      <c r="X55">
        <v>192</v>
      </c>
      <c r="Y55">
        <v>173</v>
      </c>
      <c r="Z55">
        <v>86</v>
      </c>
      <c r="AA55">
        <v>6</v>
      </c>
      <c r="AB55">
        <v>9.5</v>
      </c>
      <c r="AC55" t="s">
        <v>169</v>
      </c>
      <c r="AD55" t="s">
        <v>185</v>
      </c>
      <c r="AG55" t="s">
        <v>1467</v>
      </c>
      <c r="AH55" t="s">
        <v>1468</v>
      </c>
      <c r="AI55" s="245">
        <v>1029</v>
      </c>
      <c r="AJ55" t="s">
        <v>1469</v>
      </c>
      <c r="AK55" t="s">
        <v>1470</v>
      </c>
      <c r="AL55" t="s">
        <v>1471</v>
      </c>
      <c r="AM55" s="245">
        <v>1039.2</v>
      </c>
      <c r="AN55" t="s">
        <v>1472</v>
      </c>
      <c r="AO55" t="s">
        <v>1473</v>
      </c>
      <c r="AP55" t="s">
        <v>1271</v>
      </c>
      <c r="AQ55" s="245">
        <v>1039.2</v>
      </c>
      <c r="AR55" t="s">
        <v>1474</v>
      </c>
      <c r="AS55" s="226" t="str">
        <f t="shared" si="0"/>
        <v>Pagoda 106 C2</v>
      </c>
      <c r="AT55" s="203" t="str">
        <f t="shared" si="1"/>
        <v xml:space="preserve"> DPSPagoda 106 C2163 Unisex</v>
      </c>
    </row>
    <row r="56" spans="1:46" ht="66">
      <c r="A56" t="s">
        <v>155</v>
      </c>
      <c r="B56" t="s">
        <v>174</v>
      </c>
      <c r="C56" t="s">
        <v>252</v>
      </c>
      <c r="D56">
        <v>184</v>
      </c>
      <c r="E56" t="s">
        <v>158</v>
      </c>
      <c r="F56">
        <v>184</v>
      </c>
      <c r="G56">
        <v>183.6</v>
      </c>
      <c r="H56">
        <v>145</v>
      </c>
      <c r="I56">
        <v>153</v>
      </c>
      <c r="J56">
        <v>131</v>
      </c>
      <c r="K56">
        <v>95</v>
      </c>
      <c r="L56">
        <v>117</v>
      </c>
      <c r="M56">
        <v>18.899999999999999</v>
      </c>
      <c r="N56">
        <v>1701</v>
      </c>
      <c r="O56">
        <v>1.1499999999999999</v>
      </c>
      <c r="P56">
        <v>1959</v>
      </c>
      <c r="Q56">
        <v>219</v>
      </c>
      <c r="R56">
        <v>88</v>
      </c>
      <c r="S56">
        <v>50</v>
      </c>
      <c r="T56">
        <v>289</v>
      </c>
      <c r="U56">
        <v>7</v>
      </c>
      <c r="V56">
        <v>99</v>
      </c>
      <c r="W56">
        <v>0.14199999999999999</v>
      </c>
      <c r="X56">
        <v>199</v>
      </c>
      <c r="Y56">
        <v>110</v>
      </c>
      <c r="Z56">
        <v>90</v>
      </c>
      <c r="AA56">
        <v>10</v>
      </c>
      <c r="AB56">
        <v>10.9</v>
      </c>
      <c r="AC56" t="s">
        <v>188</v>
      </c>
      <c r="AD56" t="s">
        <v>185</v>
      </c>
      <c r="AG56" t="s">
        <v>1475</v>
      </c>
      <c r="AH56" t="s">
        <v>1349</v>
      </c>
      <c r="AI56" s="245">
        <v>366.64</v>
      </c>
      <c r="AJ56" t="s">
        <v>1476</v>
      </c>
      <c r="AK56" t="s">
        <v>1475</v>
      </c>
      <c r="AL56" t="s">
        <v>1271</v>
      </c>
      <c r="AM56" s="245">
        <v>559.99</v>
      </c>
      <c r="AN56" t="s">
        <v>1477</v>
      </c>
      <c r="AO56" t="s">
        <v>1478</v>
      </c>
      <c r="AP56" t="s">
        <v>1282</v>
      </c>
      <c r="AQ56" s="245">
        <v>559.99</v>
      </c>
      <c r="AR56" t="s">
        <v>1479</v>
      </c>
      <c r="AS56" s="226" t="str">
        <f t="shared" si="0"/>
        <v>MTN Explore 95</v>
      </c>
      <c r="AT56" s="203" t="str">
        <f t="shared" si="1"/>
        <v xml:space="preserve"> SalomonMTN Explore 95184 Unisex</v>
      </c>
    </row>
    <row r="57" spans="1:46" ht="92.4">
      <c r="A57" t="s">
        <v>155</v>
      </c>
      <c r="B57" t="s">
        <v>218</v>
      </c>
      <c r="C57" t="s">
        <v>254</v>
      </c>
      <c r="D57">
        <v>157</v>
      </c>
      <c r="E57" t="s">
        <v>158</v>
      </c>
      <c r="F57">
        <v>157</v>
      </c>
      <c r="G57">
        <v>156.80000000000001</v>
      </c>
      <c r="H57">
        <v>118</v>
      </c>
      <c r="I57">
        <v>121</v>
      </c>
      <c r="J57">
        <v>125</v>
      </c>
      <c r="K57">
        <v>100</v>
      </c>
      <c r="L57">
        <v>111</v>
      </c>
      <c r="M57">
        <v>18.8</v>
      </c>
      <c r="N57">
        <v>1559</v>
      </c>
      <c r="O57">
        <v>1.08</v>
      </c>
      <c r="P57">
        <v>1683</v>
      </c>
      <c r="Q57">
        <v>175</v>
      </c>
      <c r="R57">
        <v>104</v>
      </c>
      <c r="S57">
        <v>35</v>
      </c>
      <c r="T57">
        <v>223</v>
      </c>
      <c r="U57">
        <v>18</v>
      </c>
      <c r="V57">
        <v>169</v>
      </c>
      <c r="W57">
        <v>0.50800000000000001</v>
      </c>
      <c r="X57">
        <v>170</v>
      </c>
      <c r="Y57">
        <v>184</v>
      </c>
      <c r="Z57">
        <v>53</v>
      </c>
      <c r="AA57">
        <v>7</v>
      </c>
      <c r="AB57">
        <v>10.199999999999999</v>
      </c>
      <c r="AC57" t="s">
        <v>188</v>
      </c>
      <c r="AD57" t="s">
        <v>185</v>
      </c>
      <c r="AG57" t="s">
        <v>1480</v>
      </c>
      <c r="AH57" t="s">
        <v>1468</v>
      </c>
      <c r="AI57" s="245">
        <v>1029</v>
      </c>
      <c r="AJ57" t="s">
        <v>1481</v>
      </c>
      <c r="AK57" t="s">
        <v>1482</v>
      </c>
      <c r="AL57" t="s">
        <v>1181</v>
      </c>
      <c r="AM57" s="245">
        <v>1039</v>
      </c>
      <c r="AN57" t="s">
        <v>1483</v>
      </c>
      <c r="AO57" t="s">
        <v>1482</v>
      </c>
      <c r="AP57" t="s">
        <v>1271</v>
      </c>
      <c r="AQ57" s="245">
        <v>1039.2</v>
      </c>
      <c r="AR57" t="s">
        <v>1484</v>
      </c>
      <c r="AS57" s="226" t="str">
        <f t="shared" si="0"/>
        <v>Pagoda Piste 100 C2</v>
      </c>
      <c r="AT57" s="203" t="str">
        <f t="shared" si="1"/>
        <v xml:space="preserve"> DPSPagoda Piste 100 C2157 Unisex</v>
      </c>
    </row>
    <row r="58" spans="1:46" ht="79.2">
      <c r="A58" t="s">
        <v>217</v>
      </c>
      <c r="B58" t="s">
        <v>218</v>
      </c>
      <c r="C58" t="s">
        <v>222</v>
      </c>
      <c r="D58">
        <v>171</v>
      </c>
      <c r="E58" t="s">
        <v>158</v>
      </c>
      <c r="F58">
        <v>171</v>
      </c>
      <c r="G58">
        <v>169.4</v>
      </c>
      <c r="H58">
        <v>107</v>
      </c>
      <c r="I58">
        <v>130</v>
      </c>
      <c r="J58">
        <v>129</v>
      </c>
      <c r="K58">
        <v>100</v>
      </c>
      <c r="L58">
        <v>115</v>
      </c>
      <c r="M58">
        <v>15.3</v>
      </c>
      <c r="N58">
        <v>1410</v>
      </c>
      <c r="O58">
        <v>1.32</v>
      </c>
      <c r="P58">
        <v>1864</v>
      </c>
      <c r="Q58">
        <v>217</v>
      </c>
      <c r="R58">
        <v>104</v>
      </c>
      <c r="S58">
        <v>61</v>
      </c>
      <c r="T58">
        <v>353</v>
      </c>
      <c r="U58">
        <v>14</v>
      </c>
      <c r="V58">
        <v>267</v>
      </c>
      <c r="W58">
        <v>0.23300000000000001</v>
      </c>
      <c r="X58">
        <v>214</v>
      </c>
      <c r="Y58">
        <v>182</v>
      </c>
      <c r="Z58">
        <v>139</v>
      </c>
      <c r="AA58">
        <v>4</v>
      </c>
      <c r="AB58">
        <v>11.9</v>
      </c>
      <c r="AC58" t="s">
        <v>185</v>
      </c>
      <c r="AD58" t="s">
        <v>198</v>
      </c>
      <c r="AG58" t="s">
        <v>1485</v>
      </c>
      <c r="AH58" t="s">
        <v>1334</v>
      </c>
      <c r="AI58" s="245">
        <v>1029</v>
      </c>
      <c r="AJ58" t="s">
        <v>1486</v>
      </c>
      <c r="AK58" t="s">
        <v>1485</v>
      </c>
      <c r="AL58" t="s">
        <v>1280</v>
      </c>
      <c r="AM58" s="245">
        <v>1038.93</v>
      </c>
      <c r="AN58" t="s">
        <v>1487</v>
      </c>
      <c r="AO58" t="s">
        <v>1485</v>
      </c>
      <c r="AP58" t="s">
        <v>1244</v>
      </c>
      <c r="AQ58" s="245">
        <v>1039.2</v>
      </c>
      <c r="AR58" t="s">
        <v>1488</v>
      </c>
      <c r="AS58" s="226" t="str">
        <f t="shared" si="0"/>
        <v>Pagoda Tour 100 RP</v>
      </c>
      <c r="AT58" s="203" t="str">
        <f t="shared" si="1"/>
        <v xml:space="preserve"> DPSPagoda Tour 100 RP171 Unisex</v>
      </c>
    </row>
    <row r="59" spans="1:46" ht="145.19999999999999">
      <c r="A59" t="s">
        <v>155</v>
      </c>
      <c r="B59" t="s">
        <v>164</v>
      </c>
      <c r="C59" t="s">
        <v>255</v>
      </c>
      <c r="D59">
        <v>188</v>
      </c>
      <c r="E59" t="s">
        <v>158</v>
      </c>
      <c r="F59">
        <v>188</v>
      </c>
      <c r="G59">
        <v>184.2</v>
      </c>
      <c r="H59">
        <v>135</v>
      </c>
      <c r="I59">
        <v>150</v>
      </c>
      <c r="J59">
        <v>136</v>
      </c>
      <c r="K59">
        <v>94</v>
      </c>
      <c r="L59">
        <v>110</v>
      </c>
      <c r="M59">
        <v>19</v>
      </c>
      <c r="N59">
        <v>1789</v>
      </c>
      <c r="O59">
        <v>1.0900000000000001</v>
      </c>
      <c r="P59">
        <v>1958</v>
      </c>
      <c r="Q59">
        <v>239</v>
      </c>
      <c r="R59">
        <v>92</v>
      </c>
      <c r="S59">
        <v>45</v>
      </c>
      <c r="T59">
        <v>259</v>
      </c>
      <c r="U59">
        <v>12</v>
      </c>
      <c r="V59">
        <v>233</v>
      </c>
      <c r="W59">
        <v>0.27600000000000002</v>
      </c>
      <c r="X59">
        <v>170</v>
      </c>
      <c r="Y59">
        <v>168</v>
      </c>
      <c r="Z59">
        <v>88</v>
      </c>
      <c r="AA59">
        <v>4</v>
      </c>
      <c r="AB59">
        <v>7.7</v>
      </c>
      <c r="AC59" t="s">
        <v>188</v>
      </c>
      <c r="AD59" t="s">
        <v>185</v>
      </c>
      <c r="AG59" t="s">
        <v>1489</v>
      </c>
      <c r="AH59" t="s">
        <v>1229</v>
      </c>
      <c r="AI59" s="245">
        <v>419.99</v>
      </c>
      <c r="AJ59" t="s">
        <v>1490</v>
      </c>
      <c r="AK59" t="s">
        <v>1489</v>
      </c>
      <c r="AL59" t="s">
        <v>1185</v>
      </c>
      <c r="AM59" s="245">
        <v>454.99</v>
      </c>
      <c r="AN59" t="s">
        <v>1491</v>
      </c>
      <c r="AO59" t="s">
        <v>1492</v>
      </c>
      <c r="AP59" t="s">
        <v>1191</v>
      </c>
      <c r="AQ59" s="245">
        <v>469.95</v>
      </c>
      <c r="AR59" t="s">
        <v>1493</v>
      </c>
      <c r="AS59" s="226" t="str">
        <f t="shared" si="0"/>
        <v>Ripstick 96</v>
      </c>
      <c r="AT59" s="203" t="str">
        <f t="shared" si="1"/>
        <v xml:space="preserve"> ElanRipstick 96188 Unisex</v>
      </c>
    </row>
    <row r="60" spans="1:46" ht="92.4">
      <c r="A60" t="s">
        <v>155</v>
      </c>
      <c r="B60" t="s">
        <v>156</v>
      </c>
      <c r="C60" t="s">
        <v>257</v>
      </c>
      <c r="D60">
        <v>172</v>
      </c>
      <c r="E60" t="s">
        <v>158</v>
      </c>
      <c r="F60">
        <v>172</v>
      </c>
      <c r="G60">
        <v>171.4</v>
      </c>
      <c r="H60">
        <v>124</v>
      </c>
      <c r="I60">
        <v>139</v>
      </c>
      <c r="J60">
        <v>128</v>
      </c>
      <c r="K60">
        <v>99</v>
      </c>
      <c r="L60">
        <v>118</v>
      </c>
      <c r="M60">
        <v>17.7</v>
      </c>
      <c r="N60">
        <v>1678</v>
      </c>
      <c r="O60">
        <v>1.0900000000000001</v>
      </c>
      <c r="P60">
        <v>1829</v>
      </c>
      <c r="Q60">
        <v>190</v>
      </c>
      <c r="R60">
        <v>108</v>
      </c>
      <c r="S60">
        <v>46</v>
      </c>
      <c r="T60">
        <v>293</v>
      </c>
      <c r="U60">
        <v>29</v>
      </c>
      <c r="V60">
        <v>182</v>
      </c>
      <c r="W60">
        <v>0.64300000000000002</v>
      </c>
      <c r="X60">
        <v>180</v>
      </c>
      <c r="Y60">
        <v>147</v>
      </c>
      <c r="Z60">
        <v>113</v>
      </c>
      <c r="AA60">
        <v>10</v>
      </c>
      <c r="AB60">
        <v>7.9</v>
      </c>
      <c r="AC60" t="s">
        <v>188</v>
      </c>
      <c r="AD60" t="s">
        <v>185</v>
      </c>
      <c r="AG60" t="s">
        <v>1494</v>
      </c>
      <c r="AH60" t="s">
        <v>1204</v>
      </c>
      <c r="AI60" s="245">
        <v>400.99</v>
      </c>
      <c r="AJ60" t="s">
        <v>1495</v>
      </c>
      <c r="AK60" t="s">
        <v>1496</v>
      </c>
      <c r="AL60" t="s">
        <v>1497</v>
      </c>
      <c r="AM60" s="245">
        <v>479.99</v>
      </c>
      <c r="AN60" t="s">
        <v>1498</v>
      </c>
      <c r="AO60" t="s">
        <v>1496</v>
      </c>
      <c r="AP60" t="s">
        <v>1282</v>
      </c>
      <c r="AQ60" s="245">
        <v>479.99</v>
      </c>
      <c r="AR60" t="s">
        <v>1499</v>
      </c>
      <c r="AS60" s="226" t="str">
        <f t="shared" si="0"/>
        <v>Bent Chetler 100</v>
      </c>
      <c r="AT60" s="203" t="str">
        <f t="shared" si="1"/>
        <v xml:space="preserve"> AtomicBent Chetler 100172 Unisex</v>
      </c>
    </row>
    <row r="61" spans="1:46" ht="92.4">
      <c r="A61" t="s">
        <v>155</v>
      </c>
      <c r="B61" t="s">
        <v>205</v>
      </c>
      <c r="C61" t="s">
        <v>259</v>
      </c>
      <c r="D61">
        <v>166</v>
      </c>
      <c r="E61" t="s">
        <v>158</v>
      </c>
      <c r="F61">
        <v>166</v>
      </c>
      <c r="G61">
        <v>163.9</v>
      </c>
      <c r="H61">
        <v>108</v>
      </c>
      <c r="I61">
        <v>138</v>
      </c>
      <c r="J61">
        <v>131</v>
      </c>
      <c r="K61">
        <v>102</v>
      </c>
      <c r="L61">
        <v>127</v>
      </c>
      <c r="M61">
        <v>16.2</v>
      </c>
      <c r="N61">
        <v>1726</v>
      </c>
      <c r="O61">
        <v>1.06</v>
      </c>
      <c r="P61">
        <v>1831</v>
      </c>
      <c r="Q61">
        <v>204</v>
      </c>
      <c r="R61">
        <v>92</v>
      </c>
      <c r="S61">
        <v>51</v>
      </c>
      <c r="T61">
        <v>285</v>
      </c>
      <c r="U61">
        <v>51</v>
      </c>
      <c r="V61">
        <v>278</v>
      </c>
      <c r="W61">
        <v>0.99299999999999999</v>
      </c>
      <c r="X61">
        <v>133</v>
      </c>
      <c r="Y61">
        <v>130</v>
      </c>
      <c r="Z61">
        <v>151</v>
      </c>
      <c r="AA61">
        <v>6</v>
      </c>
      <c r="AB61">
        <v>3.8</v>
      </c>
      <c r="AC61" t="s">
        <v>184</v>
      </c>
      <c r="AD61" t="s">
        <v>169</v>
      </c>
      <c r="AE61" t="s">
        <v>185</v>
      </c>
      <c r="AG61" t="s">
        <v>1500</v>
      </c>
      <c r="AH61" t="s">
        <v>1194</v>
      </c>
      <c r="AI61" s="245">
        <v>387.23</v>
      </c>
      <c r="AJ61" t="s">
        <v>1501</v>
      </c>
      <c r="AK61" t="s">
        <v>1500</v>
      </c>
      <c r="AL61" t="s">
        <v>1229</v>
      </c>
      <c r="AM61" s="245">
        <v>524.99</v>
      </c>
      <c r="AN61" t="s">
        <v>1502</v>
      </c>
      <c r="AO61" t="s">
        <v>1500</v>
      </c>
      <c r="AP61" t="s">
        <v>1271</v>
      </c>
      <c r="AQ61" s="245">
        <v>559.95000000000005</v>
      </c>
      <c r="AR61" t="s">
        <v>1503</v>
      </c>
      <c r="AS61" s="226" t="str">
        <f t="shared" si="0"/>
        <v>CT 2.0</v>
      </c>
      <c r="AT61" s="203" t="str">
        <f t="shared" si="1"/>
        <v xml:space="preserve"> FactionCT 2.0166 Unisex</v>
      </c>
    </row>
    <row r="62" spans="1:46" ht="66">
      <c r="A62" t="s">
        <v>155</v>
      </c>
      <c r="B62" t="s">
        <v>245</v>
      </c>
      <c r="C62" t="s">
        <v>260</v>
      </c>
      <c r="D62">
        <v>177</v>
      </c>
      <c r="E62" t="s">
        <v>158</v>
      </c>
      <c r="F62">
        <v>177</v>
      </c>
      <c r="G62">
        <v>176.8</v>
      </c>
      <c r="H62">
        <v>121</v>
      </c>
      <c r="I62">
        <v>146</v>
      </c>
      <c r="J62">
        <v>135</v>
      </c>
      <c r="K62">
        <v>101</v>
      </c>
      <c r="L62">
        <v>125</v>
      </c>
      <c r="M62">
        <v>15.4</v>
      </c>
      <c r="N62">
        <v>1850</v>
      </c>
      <c r="O62">
        <v>1.08</v>
      </c>
      <c r="P62">
        <v>2004</v>
      </c>
      <c r="Q62">
        <v>214</v>
      </c>
      <c r="R62">
        <v>104</v>
      </c>
      <c r="S62">
        <v>49</v>
      </c>
      <c r="T62">
        <v>368</v>
      </c>
      <c r="U62">
        <v>29</v>
      </c>
      <c r="V62">
        <v>195</v>
      </c>
      <c r="W62">
        <v>0.59799999999999998</v>
      </c>
      <c r="X62">
        <v>158</v>
      </c>
      <c r="Y62">
        <v>154</v>
      </c>
      <c r="Z62">
        <v>210</v>
      </c>
      <c r="AA62">
        <v>6</v>
      </c>
      <c r="AB62">
        <v>9.1999999999999993</v>
      </c>
      <c r="AC62" t="s">
        <v>188</v>
      </c>
      <c r="AD62" t="s">
        <v>169</v>
      </c>
      <c r="AE62" t="s">
        <v>185</v>
      </c>
      <c r="AG62" t="s">
        <v>1504</v>
      </c>
      <c r="AH62" t="s">
        <v>1204</v>
      </c>
      <c r="AI62" s="245">
        <v>521.29</v>
      </c>
      <c r="AJ62" t="s">
        <v>1505</v>
      </c>
      <c r="AK62" t="s">
        <v>1506</v>
      </c>
      <c r="AL62" t="s">
        <v>1450</v>
      </c>
      <c r="AM62" s="245">
        <v>699.99</v>
      </c>
      <c r="AN62" t="s">
        <v>1507</v>
      </c>
      <c r="AS62" s="226" t="str">
        <f t="shared" si="0"/>
        <v>Ranger 102 FR</v>
      </c>
      <c r="AT62" s="203" t="str">
        <f t="shared" si="1"/>
        <v xml:space="preserve"> FischerRanger 102 FR177 Unisex</v>
      </c>
    </row>
    <row r="63" spans="1:46" ht="52.8">
      <c r="A63" t="s">
        <v>155</v>
      </c>
      <c r="B63" t="s">
        <v>1160</v>
      </c>
      <c r="C63" t="s">
        <v>263</v>
      </c>
      <c r="D63">
        <v>179</v>
      </c>
      <c r="E63" t="s">
        <v>158</v>
      </c>
      <c r="F63">
        <v>179</v>
      </c>
      <c r="G63">
        <v>178.9</v>
      </c>
      <c r="H63">
        <v>108</v>
      </c>
      <c r="I63">
        <v>148</v>
      </c>
      <c r="J63">
        <v>135</v>
      </c>
      <c r="K63">
        <v>105</v>
      </c>
      <c r="L63">
        <v>123</v>
      </c>
      <c r="M63">
        <v>21.6</v>
      </c>
      <c r="N63">
        <v>1522</v>
      </c>
      <c r="O63">
        <v>1.34</v>
      </c>
      <c r="P63">
        <v>2039</v>
      </c>
      <c r="Q63">
        <v>195</v>
      </c>
      <c r="R63">
        <v>96</v>
      </c>
      <c r="S63">
        <v>47</v>
      </c>
      <c r="T63">
        <v>458</v>
      </c>
      <c r="U63">
        <v>16</v>
      </c>
      <c r="V63">
        <v>255</v>
      </c>
      <c r="W63">
        <v>0.34</v>
      </c>
      <c r="X63">
        <v>181</v>
      </c>
      <c r="Y63">
        <v>133</v>
      </c>
      <c r="Z63">
        <v>276</v>
      </c>
      <c r="AA63">
        <v>3</v>
      </c>
      <c r="AB63">
        <v>13.2</v>
      </c>
      <c r="AC63" t="s">
        <v>178</v>
      </c>
      <c r="AD63" t="s">
        <v>185</v>
      </c>
      <c r="AE63" t="s">
        <v>198</v>
      </c>
      <c r="AG63" t="s">
        <v>1508</v>
      </c>
      <c r="AH63" t="s">
        <v>1509</v>
      </c>
      <c r="AI63" s="245">
        <v>480.99</v>
      </c>
      <c r="AJ63" t="s">
        <v>1510</v>
      </c>
      <c r="AK63" t="s">
        <v>1508</v>
      </c>
      <c r="AL63" t="s">
        <v>1511</v>
      </c>
      <c r="AM63" s="245">
        <v>559.99</v>
      </c>
      <c r="AN63" t="s">
        <v>1512</v>
      </c>
      <c r="AO63" t="s">
        <v>1508</v>
      </c>
      <c r="AP63" t="s">
        <v>1334</v>
      </c>
      <c r="AQ63" s="245">
        <v>639.92999999999995</v>
      </c>
      <c r="AR63" t="s">
        <v>1513</v>
      </c>
      <c r="AS63" s="226" t="str">
        <f t="shared" si="0"/>
        <v>Wayback 106</v>
      </c>
      <c r="AT63" s="203" t="str">
        <f t="shared" si="1"/>
        <v>K2Wayback 106179 Unisex</v>
      </c>
    </row>
    <row r="64" spans="1:46" ht="79.2">
      <c r="A64" t="s">
        <v>155</v>
      </c>
      <c r="B64" t="s">
        <v>208</v>
      </c>
      <c r="C64" t="s">
        <v>265</v>
      </c>
      <c r="D64">
        <v>153</v>
      </c>
      <c r="E64" t="s">
        <v>163</v>
      </c>
      <c r="F64">
        <v>153</v>
      </c>
      <c r="G64">
        <v>152.19999999999999</v>
      </c>
      <c r="H64">
        <v>121</v>
      </c>
      <c r="I64">
        <v>137</v>
      </c>
      <c r="J64">
        <v>139</v>
      </c>
      <c r="K64">
        <v>90</v>
      </c>
      <c r="L64">
        <v>113</v>
      </c>
      <c r="M64">
        <v>13.2</v>
      </c>
      <c r="N64">
        <v>1555</v>
      </c>
      <c r="O64">
        <v>1.02</v>
      </c>
      <c r="P64">
        <v>1593</v>
      </c>
      <c r="Q64">
        <v>136</v>
      </c>
      <c r="R64">
        <v>92</v>
      </c>
      <c r="S64">
        <v>30</v>
      </c>
      <c r="T64">
        <v>192</v>
      </c>
      <c r="U64">
        <v>22</v>
      </c>
      <c r="V64">
        <v>120</v>
      </c>
      <c r="W64">
        <v>0.746</v>
      </c>
      <c r="X64">
        <v>131</v>
      </c>
      <c r="Y64">
        <v>22</v>
      </c>
      <c r="Z64">
        <v>61</v>
      </c>
      <c r="AA64">
        <v>8</v>
      </c>
      <c r="AB64">
        <v>6</v>
      </c>
      <c r="AC64" t="s">
        <v>188</v>
      </c>
      <c r="AG64" t="s">
        <v>1514</v>
      </c>
      <c r="AH64" t="s">
        <v>1282</v>
      </c>
      <c r="AI64" s="245">
        <v>449.97</v>
      </c>
      <c r="AJ64" t="s">
        <v>1515</v>
      </c>
      <c r="AK64" t="s">
        <v>1514</v>
      </c>
      <c r="AL64" t="s">
        <v>1229</v>
      </c>
      <c r="AM64" s="245">
        <v>449.99</v>
      </c>
      <c r="AN64" t="s">
        <v>1516</v>
      </c>
      <c r="AO64" t="s">
        <v>1514</v>
      </c>
      <c r="AP64" t="s">
        <v>1181</v>
      </c>
      <c r="AQ64" s="245">
        <v>544.95000000000005</v>
      </c>
      <c r="AR64" t="s">
        <v>1517</v>
      </c>
      <c r="AS64" s="226" t="str">
        <f t="shared" si="0"/>
        <v>Blade W</v>
      </c>
      <c r="AT64" s="203" t="str">
        <f t="shared" si="1"/>
        <v xml:space="preserve"> LineBlade W153 Women's</v>
      </c>
    </row>
    <row r="65" spans="1:46" ht="79.2">
      <c r="A65" t="s">
        <v>155</v>
      </c>
      <c r="B65" t="s">
        <v>156</v>
      </c>
      <c r="C65" t="s">
        <v>267</v>
      </c>
      <c r="D65">
        <v>176</v>
      </c>
      <c r="E65" t="s">
        <v>158</v>
      </c>
      <c r="F65">
        <v>176</v>
      </c>
      <c r="G65">
        <v>175.3</v>
      </c>
      <c r="H65">
        <v>131</v>
      </c>
      <c r="I65">
        <v>147</v>
      </c>
      <c r="J65">
        <v>124</v>
      </c>
      <c r="K65">
        <v>87</v>
      </c>
      <c r="L65">
        <v>107</v>
      </c>
      <c r="M65">
        <v>18.3</v>
      </c>
      <c r="N65">
        <v>1547</v>
      </c>
      <c r="O65">
        <v>1.1100000000000001</v>
      </c>
      <c r="P65">
        <v>1719</v>
      </c>
      <c r="Q65">
        <v>217</v>
      </c>
      <c r="R65">
        <v>99</v>
      </c>
      <c r="S65">
        <v>45</v>
      </c>
      <c r="T65">
        <v>268</v>
      </c>
      <c r="U65">
        <v>11</v>
      </c>
      <c r="V65">
        <v>173</v>
      </c>
      <c r="W65">
        <v>0.24</v>
      </c>
      <c r="X65">
        <v>170</v>
      </c>
      <c r="Y65">
        <v>109</v>
      </c>
      <c r="Z65">
        <v>98</v>
      </c>
      <c r="AA65">
        <v>6</v>
      </c>
      <c r="AB65">
        <v>8.8000000000000007</v>
      </c>
      <c r="AC65" t="s">
        <v>188</v>
      </c>
      <c r="AD65" t="s">
        <v>185</v>
      </c>
      <c r="AG65" t="s">
        <v>1518</v>
      </c>
      <c r="AH65" t="s">
        <v>1224</v>
      </c>
      <c r="AI65" s="245">
        <v>399.99</v>
      </c>
      <c r="AJ65" t="s">
        <v>1519</v>
      </c>
      <c r="AK65" t="s">
        <v>1518</v>
      </c>
      <c r="AL65" t="s">
        <v>1421</v>
      </c>
      <c r="AM65" s="245">
        <v>399.99</v>
      </c>
      <c r="AN65" t="s">
        <v>1520</v>
      </c>
      <c r="AO65" t="s">
        <v>1521</v>
      </c>
      <c r="AP65" t="s">
        <v>1497</v>
      </c>
      <c r="AQ65" s="245">
        <v>399.99</v>
      </c>
      <c r="AR65" t="s">
        <v>1522</v>
      </c>
      <c r="AS65" s="226" t="str">
        <f t="shared" si="0"/>
        <v>Maverick 86 C</v>
      </c>
      <c r="AT65" s="203" t="str">
        <f t="shared" si="1"/>
        <v xml:space="preserve"> AtomicMaverick 86 C176 Unisex</v>
      </c>
    </row>
    <row r="66" spans="1:46" ht="52.8">
      <c r="A66" t="s">
        <v>155</v>
      </c>
      <c r="B66" t="s">
        <v>1160</v>
      </c>
      <c r="C66" t="s">
        <v>269</v>
      </c>
      <c r="D66">
        <v>184</v>
      </c>
      <c r="E66" t="s">
        <v>158</v>
      </c>
      <c r="F66">
        <v>184</v>
      </c>
      <c r="G66">
        <v>183.5</v>
      </c>
      <c r="H66">
        <v>136</v>
      </c>
      <c r="I66">
        <v>157</v>
      </c>
      <c r="J66">
        <v>127</v>
      </c>
      <c r="K66">
        <v>95</v>
      </c>
      <c r="L66">
        <v>114</v>
      </c>
      <c r="M66">
        <v>23.7</v>
      </c>
      <c r="N66">
        <v>1482</v>
      </c>
      <c r="O66">
        <v>1.29</v>
      </c>
      <c r="P66">
        <v>1919</v>
      </c>
      <c r="Q66">
        <v>228</v>
      </c>
      <c r="R66">
        <v>100</v>
      </c>
      <c r="S66">
        <v>51</v>
      </c>
      <c r="T66">
        <v>309</v>
      </c>
      <c r="U66">
        <v>8</v>
      </c>
      <c r="V66">
        <v>167</v>
      </c>
      <c r="W66">
        <v>0.159</v>
      </c>
      <c r="X66">
        <v>156</v>
      </c>
      <c r="Y66">
        <v>112</v>
      </c>
      <c r="Z66">
        <v>153</v>
      </c>
      <c r="AA66">
        <v>7</v>
      </c>
      <c r="AB66">
        <v>12.6</v>
      </c>
      <c r="AC66" t="s">
        <v>185</v>
      </c>
      <c r="AD66" t="s">
        <v>198</v>
      </c>
      <c r="AG66" t="s">
        <v>1523</v>
      </c>
      <c r="AH66" t="s">
        <v>1194</v>
      </c>
      <c r="AI66" s="245">
        <v>340.24</v>
      </c>
      <c r="AJ66" t="s">
        <v>1524</v>
      </c>
      <c r="AK66" t="s">
        <v>1525</v>
      </c>
      <c r="AL66" t="s">
        <v>1409</v>
      </c>
      <c r="AM66" s="245">
        <v>386.69</v>
      </c>
      <c r="AN66" t="s">
        <v>1526</v>
      </c>
      <c r="AO66" t="s">
        <v>1523</v>
      </c>
      <c r="AP66" t="s">
        <v>1509</v>
      </c>
      <c r="AQ66" s="245">
        <v>424.99</v>
      </c>
      <c r="AR66" t="s">
        <v>1527</v>
      </c>
      <c r="AS66" s="226" t="str">
        <f t="shared" ref="AS66:AS129" si="2">IF(LEFT(C66,1)=" ",RIGHT(C66,LEN(C66)-1),C66)</f>
        <v>Wayback 96</v>
      </c>
      <c r="AT66" s="203" t="str">
        <f t="shared" ref="AT66:AT129" si="3">_xlfn.CONCAT(B66,AS66,D66,E66)</f>
        <v>K2Wayback 96184 Unisex</v>
      </c>
    </row>
    <row r="67" spans="1:46" ht="105.6">
      <c r="A67" t="s">
        <v>155</v>
      </c>
      <c r="B67" t="s">
        <v>167</v>
      </c>
      <c r="C67" t="s">
        <v>224</v>
      </c>
      <c r="D67">
        <v>163</v>
      </c>
      <c r="E67" t="s">
        <v>163</v>
      </c>
      <c r="F67">
        <v>163</v>
      </c>
      <c r="G67">
        <v>162.69999999999999</v>
      </c>
      <c r="H67">
        <v>127</v>
      </c>
      <c r="I67">
        <v>132</v>
      </c>
      <c r="J67">
        <v>126</v>
      </c>
      <c r="K67">
        <v>88</v>
      </c>
      <c r="L67">
        <v>108</v>
      </c>
      <c r="M67">
        <v>13.6</v>
      </c>
      <c r="N67">
        <v>1534</v>
      </c>
      <c r="O67">
        <v>1.07</v>
      </c>
      <c r="P67">
        <v>1635</v>
      </c>
      <c r="Q67">
        <v>211</v>
      </c>
      <c r="R67">
        <v>100</v>
      </c>
      <c r="S67">
        <v>47</v>
      </c>
      <c r="T67">
        <v>218</v>
      </c>
      <c r="U67">
        <v>11</v>
      </c>
      <c r="V67">
        <v>138</v>
      </c>
      <c r="W67">
        <v>0.24199999999999999</v>
      </c>
      <c r="X67">
        <v>147</v>
      </c>
      <c r="Y67">
        <v>156</v>
      </c>
      <c r="Z67">
        <v>71</v>
      </c>
      <c r="AA67">
        <v>5</v>
      </c>
      <c r="AB67">
        <v>8.1</v>
      </c>
      <c r="AC67" t="s">
        <v>188</v>
      </c>
      <c r="AD67" t="s">
        <v>185</v>
      </c>
      <c r="AG67" t="s">
        <v>1528</v>
      </c>
      <c r="AH67" t="s">
        <v>1204</v>
      </c>
      <c r="AI67" s="245">
        <v>481.19</v>
      </c>
      <c r="AJ67" t="s">
        <v>1529</v>
      </c>
      <c r="AK67" t="s">
        <v>1530</v>
      </c>
      <c r="AL67" t="s">
        <v>1320</v>
      </c>
      <c r="AM67" s="245">
        <v>489</v>
      </c>
      <c r="AN67" t="s">
        <v>1531</v>
      </c>
      <c r="AO67" t="s">
        <v>1532</v>
      </c>
      <c r="AP67" t="s">
        <v>1400</v>
      </c>
      <c r="AQ67" s="245">
        <v>489</v>
      </c>
      <c r="AR67" t="s">
        <v>1533</v>
      </c>
      <c r="AS67" s="226" t="str">
        <f t="shared" si="2"/>
        <v>Kore 91 W</v>
      </c>
      <c r="AT67" s="203" t="str">
        <f t="shared" si="3"/>
        <v xml:space="preserve"> HeadKore 91 W163 Women's</v>
      </c>
    </row>
    <row r="68" spans="1:46" ht="52.8">
      <c r="A68" t="s">
        <v>155</v>
      </c>
      <c r="B68" t="s">
        <v>182</v>
      </c>
      <c r="C68" t="s">
        <v>271</v>
      </c>
      <c r="D68">
        <v>164</v>
      </c>
      <c r="E68" t="s">
        <v>158</v>
      </c>
      <c r="F68">
        <v>164</v>
      </c>
      <c r="G68">
        <v>163.80000000000001</v>
      </c>
      <c r="H68">
        <v>126</v>
      </c>
      <c r="I68">
        <v>143</v>
      </c>
      <c r="J68">
        <v>129</v>
      </c>
      <c r="K68">
        <v>91</v>
      </c>
      <c r="L68">
        <v>114</v>
      </c>
      <c r="M68">
        <v>16.399999999999999</v>
      </c>
      <c r="N68">
        <v>1621</v>
      </c>
      <c r="O68">
        <v>1.04</v>
      </c>
      <c r="P68">
        <v>1688</v>
      </c>
      <c r="Q68">
        <v>188</v>
      </c>
      <c r="R68">
        <v>101</v>
      </c>
      <c r="S68">
        <v>42</v>
      </c>
      <c r="T68">
        <v>231</v>
      </c>
      <c r="U68">
        <v>18</v>
      </c>
      <c r="V68">
        <v>145</v>
      </c>
      <c r="W68">
        <v>0.43</v>
      </c>
      <c r="X68">
        <v>131</v>
      </c>
      <c r="Y68">
        <v>74</v>
      </c>
      <c r="Z68">
        <v>100</v>
      </c>
      <c r="AA68">
        <v>7</v>
      </c>
      <c r="AB68">
        <v>10.3</v>
      </c>
      <c r="AC68" t="s">
        <v>188</v>
      </c>
      <c r="AG68" t="s">
        <v>1534</v>
      </c>
      <c r="AH68" t="s">
        <v>1194</v>
      </c>
      <c r="AI68" s="245">
        <v>414</v>
      </c>
      <c r="AJ68" t="s">
        <v>1535</v>
      </c>
      <c r="AK68" t="s">
        <v>1534</v>
      </c>
      <c r="AL68" t="s">
        <v>1181</v>
      </c>
      <c r="AM68" s="245">
        <v>519.96</v>
      </c>
      <c r="AN68" t="s">
        <v>1536</v>
      </c>
      <c r="AO68" t="s">
        <v>1534</v>
      </c>
      <c r="AP68" t="s">
        <v>1224</v>
      </c>
      <c r="AQ68" s="245">
        <v>519.96</v>
      </c>
      <c r="AR68" t="s">
        <v>1537</v>
      </c>
      <c r="AS68" s="226" t="str">
        <f t="shared" si="2"/>
        <v>Declivity 92 Ti</v>
      </c>
      <c r="AT68" s="203" t="str">
        <f t="shared" si="3"/>
        <v xml:space="preserve"> ArmadaDeclivity 92 Ti164 Unisex</v>
      </c>
    </row>
    <row r="69" spans="1:46" ht="105.6">
      <c r="A69" t="s">
        <v>155</v>
      </c>
      <c r="B69" t="s">
        <v>218</v>
      </c>
      <c r="C69" t="s">
        <v>273</v>
      </c>
      <c r="D69">
        <v>178</v>
      </c>
      <c r="E69" t="s">
        <v>158</v>
      </c>
      <c r="F69">
        <v>178</v>
      </c>
      <c r="G69">
        <v>176.7</v>
      </c>
      <c r="H69">
        <v>105</v>
      </c>
      <c r="I69">
        <v>124</v>
      </c>
      <c r="J69">
        <v>138</v>
      </c>
      <c r="K69">
        <v>112</v>
      </c>
      <c r="L69">
        <v>126</v>
      </c>
      <c r="M69">
        <v>15.7</v>
      </c>
      <c r="N69">
        <v>1887</v>
      </c>
      <c r="O69">
        <v>1.1299999999999999</v>
      </c>
      <c r="P69">
        <v>2127</v>
      </c>
      <c r="Q69">
        <v>187</v>
      </c>
      <c r="R69">
        <v>110</v>
      </c>
      <c r="S69">
        <v>63</v>
      </c>
      <c r="T69">
        <v>411</v>
      </c>
      <c r="U69">
        <v>34</v>
      </c>
      <c r="V69">
        <v>303</v>
      </c>
      <c r="W69">
        <v>0.54200000000000004</v>
      </c>
      <c r="X69">
        <v>322</v>
      </c>
      <c r="Y69">
        <v>201</v>
      </c>
      <c r="Z69">
        <v>89</v>
      </c>
      <c r="AA69">
        <v>6</v>
      </c>
      <c r="AB69">
        <v>14.8</v>
      </c>
      <c r="AC69" t="s">
        <v>169</v>
      </c>
      <c r="AD69" t="s">
        <v>185</v>
      </c>
      <c r="AG69" t="s">
        <v>1538</v>
      </c>
      <c r="AH69" t="s">
        <v>1349</v>
      </c>
      <c r="AI69" s="245">
        <v>1008.42</v>
      </c>
      <c r="AJ69" t="s">
        <v>1539</v>
      </c>
      <c r="AK69" t="s">
        <v>1540</v>
      </c>
      <c r="AL69" t="s">
        <v>1468</v>
      </c>
      <c r="AM69" s="245">
        <v>1029</v>
      </c>
      <c r="AN69" t="s">
        <v>1541</v>
      </c>
      <c r="AO69" t="s">
        <v>1542</v>
      </c>
      <c r="AP69" t="s">
        <v>1471</v>
      </c>
      <c r="AQ69" s="245">
        <v>1039</v>
      </c>
      <c r="AR69" t="s">
        <v>1543</v>
      </c>
      <c r="AS69" s="226" t="str">
        <f t="shared" si="2"/>
        <v>Pagoda 112 RP</v>
      </c>
      <c r="AT69" s="203" t="str">
        <f t="shared" si="3"/>
        <v xml:space="preserve"> DPSPagoda 112 RP178 Unisex</v>
      </c>
    </row>
    <row r="70" spans="1:46" ht="105.6">
      <c r="A70" t="s">
        <v>155</v>
      </c>
      <c r="B70" t="s">
        <v>245</v>
      </c>
      <c r="C70" t="s">
        <v>275</v>
      </c>
      <c r="D70">
        <v>178</v>
      </c>
      <c r="E70" t="s">
        <v>158</v>
      </c>
      <c r="F70">
        <v>178</v>
      </c>
      <c r="G70">
        <v>176.9</v>
      </c>
      <c r="H70">
        <v>118</v>
      </c>
      <c r="I70">
        <v>148</v>
      </c>
      <c r="J70">
        <v>137</v>
      </c>
      <c r="K70">
        <v>104</v>
      </c>
      <c r="L70">
        <v>120</v>
      </c>
      <c r="M70">
        <v>21.7</v>
      </c>
      <c r="N70">
        <v>1560</v>
      </c>
      <c r="O70">
        <v>1.29</v>
      </c>
      <c r="P70">
        <v>2007</v>
      </c>
      <c r="Q70">
        <v>243</v>
      </c>
      <c r="R70">
        <v>107</v>
      </c>
      <c r="S70">
        <v>63</v>
      </c>
      <c r="T70">
        <v>411</v>
      </c>
      <c r="U70">
        <v>13</v>
      </c>
      <c r="V70">
        <v>175</v>
      </c>
      <c r="W70">
        <v>0.20499999999999999</v>
      </c>
      <c r="X70">
        <v>164</v>
      </c>
      <c r="Y70">
        <v>126</v>
      </c>
      <c r="Z70">
        <v>247</v>
      </c>
      <c r="AA70">
        <v>4</v>
      </c>
      <c r="AB70">
        <v>11.4</v>
      </c>
      <c r="AC70" t="s">
        <v>188</v>
      </c>
      <c r="AD70" t="s">
        <v>178</v>
      </c>
      <c r="AE70" t="s">
        <v>185</v>
      </c>
      <c r="AF70" t="s">
        <v>198</v>
      </c>
      <c r="AG70" t="s">
        <v>1544</v>
      </c>
      <c r="AH70" t="s">
        <v>1194</v>
      </c>
      <c r="AI70" s="245">
        <v>451.78</v>
      </c>
      <c r="AJ70" t="s">
        <v>1545</v>
      </c>
      <c r="AK70" t="s">
        <v>1546</v>
      </c>
      <c r="AL70" t="s">
        <v>1547</v>
      </c>
      <c r="AM70" s="245">
        <v>474.99</v>
      </c>
      <c r="AN70" t="s">
        <v>1548</v>
      </c>
      <c r="AO70" t="s">
        <v>1544</v>
      </c>
      <c r="AP70" t="s">
        <v>1549</v>
      </c>
      <c r="AQ70" s="245">
        <v>480</v>
      </c>
      <c r="AR70" t="s">
        <v>1550</v>
      </c>
      <c r="AS70" s="226" t="str">
        <f t="shared" si="2"/>
        <v>Hannibal 106</v>
      </c>
      <c r="AT70" s="203" t="str">
        <f t="shared" si="3"/>
        <v xml:space="preserve"> FischerHannibal 106178 Unisex</v>
      </c>
    </row>
    <row r="71" spans="1:46" ht="52.8">
      <c r="A71" t="s">
        <v>155</v>
      </c>
      <c r="B71" t="s">
        <v>205</v>
      </c>
      <c r="C71" t="s">
        <v>277</v>
      </c>
      <c r="D71">
        <v>172</v>
      </c>
      <c r="E71" t="s">
        <v>158</v>
      </c>
      <c r="F71">
        <v>172</v>
      </c>
      <c r="G71">
        <v>170.6</v>
      </c>
      <c r="H71">
        <v>122</v>
      </c>
      <c r="I71">
        <v>139</v>
      </c>
      <c r="J71">
        <v>134</v>
      </c>
      <c r="K71">
        <v>106</v>
      </c>
      <c r="L71">
        <v>124</v>
      </c>
      <c r="M71">
        <v>18.8</v>
      </c>
      <c r="N71">
        <v>1724</v>
      </c>
      <c r="O71">
        <v>1.1399999999999999</v>
      </c>
      <c r="P71">
        <v>1964</v>
      </c>
      <c r="Q71">
        <v>202</v>
      </c>
      <c r="R71">
        <v>107</v>
      </c>
      <c r="S71">
        <v>55</v>
      </c>
      <c r="T71">
        <v>291</v>
      </c>
      <c r="U71">
        <v>21</v>
      </c>
      <c r="V71">
        <v>198</v>
      </c>
      <c r="W71">
        <v>0.377999999999999</v>
      </c>
      <c r="X71">
        <v>200</v>
      </c>
      <c r="Y71">
        <v>121</v>
      </c>
      <c r="Z71">
        <v>91</v>
      </c>
      <c r="AA71">
        <v>6</v>
      </c>
      <c r="AB71">
        <v>11.1</v>
      </c>
      <c r="AC71" t="s">
        <v>169</v>
      </c>
      <c r="AD71" t="s">
        <v>178</v>
      </c>
      <c r="AE71" t="s">
        <v>185</v>
      </c>
      <c r="AG71" t="s">
        <v>1551</v>
      </c>
      <c r="AH71" t="s">
        <v>1262</v>
      </c>
      <c r="AI71" s="245">
        <v>507.14</v>
      </c>
      <c r="AJ71" t="s">
        <v>1552</v>
      </c>
      <c r="AK71" t="s">
        <v>1551</v>
      </c>
      <c r="AL71" t="s">
        <v>1194</v>
      </c>
      <c r="AM71" s="245">
        <v>515.42999999999995</v>
      </c>
      <c r="AN71" t="s">
        <v>1553</v>
      </c>
      <c r="AO71" t="s">
        <v>1551</v>
      </c>
      <c r="AP71" t="s">
        <v>1185</v>
      </c>
      <c r="AQ71" s="245">
        <v>524.99</v>
      </c>
      <c r="AR71" t="s">
        <v>1554</v>
      </c>
      <c r="AS71" s="226" t="str">
        <f t="shared" si="2"/>
        <v>Agent 3.0</v>
      </c>
      <c r="AT71" s="203" t="str">
        <f t="shared" si="3"/>
        <v xml:space="preserve"> FactionAgent 3.0172 Unisex</v>
      </c>
    </row>
    <row r="72" spans="1:46" ht="105.6">
      <c r="A72" t="s">
        <v>155</v>
      </c>
      <c r="B72" t="s">
        <v>205</v>
      </c>
      <c r="C72" t="s">
        <v>279</v>
      </c>
      <c r="D72">
        <v>179</v>
      </c>
      <c r="E72" t="s">
        <v>158</v>
      </c>
      <c r="F72">
        <v>179</v>
      </c>
      <c r="G72">
        <v>177.6</v>
      </c>
      <c r="H72">
        <v>134</v>
      </c>
      <c r="I72">
        <v>150</v>
      </c>
      <c r="J72">
        <v>126</v>
      </c>
      <c r="K72">
        <v>95</v>
      </c>
      <c r="L72">
        <v>116</v>
      </c>
      <c r="M72">
        <v>19.600000000000001</v>
      </c>
      <c r="N72">
        <v>1784</v>
      </c>
      <c r="O72">
        <v>1.05</v>
      </c>
      <c r="P72">
        <v>1869</v>
      </c>
      <c r="Q72">
        <v>220</v>
      </c>
      <c r="R72">
        <v>98</v>
      </c>
      <c r="S72">
        <v>52</v>
      </c>
      <c r="T72">
        <v>269</v>
      </c>
      <c r="U72">
        <v>19</v>
      </c>
      <c r="V72">
        <v>171</v>
      </c>
      <c r="W72">
        <v>0.36499999999999999</v>
      </c>
      <c r="X72">
        <v>168</v>
      </c>
      <c r="Y72">
        <v>107</v>
      </c>
      <c r="Z72">
        <v>101</v>
      </c>
      <c r="AA72">
        <v>8</v>
      </c>
      <c r="AB72">
        <v>11.3</v>
      </c>
      <c r="AC72" t="s">
        <v>188</v>
      </c>
      <c r="AG72" t="s">
        <v>1555</v>
      </c>
      <c r="AH72" t="s">
        <v>1556</v>
      </c>
      <c r="AI72" s="245">
        <v>407.99</v>
      </c>
      <c r="AJ72" t="s">
        <v>1557</v>
      </c>
      <c r="AK72" t="s">
        <v>1558</v>
      </c>
      <c r="AL72" t="s">
        <v>1248</v>
      </c>
      <c r="AM72" s="245">
        <v>623.20000000000005</v>
      </c>
      <c r="AN72" t="s">
        <v>1559</v>
      </c>
      <c r="AO72" t="s">
        <v>1560</v>
      </c>
      <c r="AP72" t="s">
        <v>1277</v>
      </c>
      <c r="AQ72" s="245">
        <v>439</v>
      </c>
      <c r="AR72" t="s">
        <v>1561</v>
      </c>
      <c r="AS72" s="226" t="str">
        <f t="shared" si="2"/>
        <v>Dictator FG 2.0</v>
      </c>
      <c r="AT72" s="203" t="str">
        <f t="shared" si="3"/>
        <v xml:space="preserve"> FactionDictator FG 2.0179 Unisex</v>
      </c>
    </row>
    <row r="73" spans="1:46" ht="66">
      <c r="A73" t="s">
        <v>155</v>
      </c>
      <c r="B73" t="s">
        <v>215</v>
      </c>
      <c r="C73" t="s">
        <v>281</v>
      </c>
      <c r="D73">
        <v>176</v>
      </c>
      <c r="E73" t="s">
        <v>158</v>
      </c>
      <c r="F73">
        <v>176</v>
      </c>
      <c r="G73">
        <v>174.9</v>
      </c>
      <c r="H73">
        <v>117</v>
      </c>
      <c r="I73">
        <v>145</v>
      </c>
      <c r="J73">
        <v>129</v>
      </c>
      <c r="K73">
        <v>96</v>
      </c>
      <c r="L73">
        <v>117</v>
      </c>
      <c r="M73">
        <v>17.3</v>
      </c>
      <c r="N73">
        <v>1772</v>
      </c>
      <c r="O73">
        <v>1.05</v>
      </c>
      <c r="P73">
        <v>1865</v>
      </c>
      <c r="Q73">
        <v>213</v>
      </c>
      <c r="R73">
        <v>98</v>
      </c>
      <c r="S73">
        <v>47</v>
      </c>
      <c r="T73">
        <v>307</v>
      </c>
      <c r="U73">
        <v>30</v>
      </c>
      <c r="V73">
        <v>272</v>
      </c>
      <c r="W73">
        <v>0.64500000000000002</v>
      </c>
      <c r="X73">
        <v>136</v>
      </c>
      <c r="Y73">
        <v>168</v>
      </c>
      <c r="Z73">
        <v>171</v>
      </c>
      <c r="AA73">
        <v>4</v>
      </c>
      <c r="AB73">
        <v>7.9</v>
      </c>
      <c r="AC73" t="s">
        <v>188</v>
      </c>
      <c r="AD73" t="s">
        <v>185</v>
      </c>
      <c r="AG73" t="s">
        <v>1562</v>
      </c>
      <c r="AH73" t="s">
        <v>1271</v>
      </c>
      <c r="AI73" s="245">
        <v>599.99</v>
      </c>
      <c r="AJ73" t="s">
        <v>1563</v>
      </c>
      <c r="AK73" t="s">
        <v>1564</v>
      </c>
      <c r="AL73" t="s">
        <v>1240</v>
      </c>
      <c r="AM73" s="245">
        <v>629</v>
      </c>
      <c r="AN73" t="s">
        <v>1565</v>
      </c>
      <c r="AO73" t="s">
        <v>1562</v>
      </c>
      <c r="AP73" t="s">
        <v>1566</v>
      </c>
      <c r="AQ73" s="245">
        <v>629.99</v>
      </c>
      <c r="AR73" t="s">
        <v>1567</v>
      </c>
      <c r="AS73" s="226" t="str">
        <f t="shared" si="2"/>
        <v>Origin 96</v>
      </c>
      <c r="AT73" s="203" t="str">
        <f t="shared" si="3"/>
        <v xml:space="preserve"> LibertyOrigin 96176 Unisex</v>
      </c>
    </row>
    <row r="74" spans="1:46" ht="66">
      <c r="A74" t="s">
        <v>155</v>
      </c>
      <c r="B74" t="s">
        <v>218</v>
      </c>
      <c r="C74" t="s">
        <v>250</v>
      </c>
      <c r="D74">
        <v>155</v>
      </c>
      <c r="E74" t="s">
        <v>158</v>
      </c>
      <c r="F74">
        <v>155</v>
      </c>
      <c r="G74">
        <v>154</v>
      </c>
      <c r="H74">
        <v>107</v>
      </c>
      <c r="I74">
        <v>119</v>
      </c>
      <c r="J74">
        <v>129</v>
      </c>
      <c r="K74">
        <v>106</v>
      </c>
      <c r="L74">
        <v>116</v>
      </c>
      <c r="M74">
        <v>19.3</v>
      </c>
      <c r="N74">
        <v>1590</v>
      </c>
      <c r="O74">
        <v>1.0900000000000001</v>
      </c>
      <c r="P74">
        <v>1730</v>
      </c>
      <c r="Q74">
        <v>187</v>
      </c>
      <c r="R74">
        <v>95</v>
      </c>
      <c r="S74">
        <v>39</v>
      </c>
      <c r="T74">
        <v>261</v>
      </c>
      <c r="U74">
        <v>19</v>
      </c>
      <c r="V74">
        <v>204</v>
      </c>
      <c r="W74">
        <v>0.49</v>
      </c>
      <c r="X74">
        <v>188</v>
      </c>
      <c r="Y74">
        <v>165</v>
      </c>
      <c r="Z74">
        <v>73</v>
      </c>
      <c r="AA74">
        <v>5</v>
      </c>
      <c r="AB74">
        <v>11.5</v>
      </c>
      <c r="AC74" t="s">
        <v>169</v>
      </c>
      <c r="AD74" t="s">
        <v>185</v>
      </c>
      <c r="AG74" t="s">
        <v>1568</v>
      </c>
      <c r="AH74" t="s">
        <v>1468</v>
      </c>
      <c r="AI74" s="245">
        <v>1029</v>
      </c>
      <c r="AJ74" t="s">
        <v>1569</v>
      </c>
      <c r="AK74" t="s">
        <v>1570</v>
      </c>
      <c r="AL74" t="s">
        <v>1280</v>
      </c>
      <c r="AM74" s="245">
        <v>1038.93</v>
      </c>
      <c r="AN74" t="s">
        <v>1571</v>
      </c>
      <c r="AO74" t="s">
        <v>1570</v>
      </c>
      <c r="AP74" t="s">
        <v>1244</v>
      </c>
      <c r="AQ74" s="245">
        <v>1039.2</v>
      </c>
      <c r="AR74" t="s">
        <v>1572</v>
      </c>
      <c r="AS74" s="226" t="str">
        <f t="shared" si="2"/>
        <v>Pagoda 106 C2</v>
      </c>
      <c r="AT74" s="203" t="str">
        <f t="shared" si="3"/>
        <v xml:space="preserve"> DPSPagoda 106 C2155 Unisex</v>
      </c>
    </row>
    <row r="75" spans="1:46" ht="66">
      <c r="A75" t="s">
        <v>155</v>
      </c>
      <c r="B75" t="s">
        <v>174</v>
      </c>
      <c r="C75" t="s">
        <v>283</v>
      </c>
      <c r="D75">
        <v>169</v>
      </c>
      <c r="E75" t="s">
        <v>158</v>
      </c>
      <c r="F75">
        <v>169</v>
      </c>
      <c r="G75">
        <v>168.2</v>
      </c>
      <c r="H75">
        <v>130</v>
      </c>
      <c r="I75">
        <v>140</v>
      </c>
      <c r="J75">
        <v>129</v>
      </c>
      <c r="K75">
        <v>91</v>
      </c>
      <c r="L75">
        <v>112</v>
      </c>
      <c r="M75">
        <v>15.4</v>
      </c>
      <c r="N75">
        <v>1763</v>
      </c>
      <c r="O75">
        <v>0.99</v>
      </c>
      <c r="P75">
        <v>1750</v>
      </c>
      <c r="Q75">
        <v>190</v>
      </c>
      <c r="R75">
        <v>91</v>
      </c>
      <c r="S75">
        <v>48</v>
      </c>
      <c r="T75">
        <v>257</v>
      </c>
      <c r="U75">
        <v>11</v>
      </c>
      <c r="V75">
        <v>129</v>
      </c>
      <c r="W75">
        <v>0.22600000000000001</v>
      </c>
      <c r="X75">
        <v>157</v>
      </c>
      <c r="Y75">
        <v>127</v>
      </c>
      <c r="Z75">
        <v>99</v>
      </c>
      <c r="AA75">
        <v>10</v>
      </c>
      <c r="AB75">
        <v>9.8000000000000007</v>
      </c>
      <c r="AC75" t="s">
        <v>188</v>
      </c>
      <c r="AG75" t="s">
        <v>1573</v>
      </c>
      <c r="AH75" t="s">
        <v>1232</v>
      </c>
      <c r="AI75" s="245">
        <v>399.95</v>
      </c>
      <c r="AJ75" t="s">
        <v>1574</v>
      </c>
      <c r="AK75" t="s">
        <v>1575</v>
      </c>
      <c r="AL75" t="s">
        <v>1320</v>
      </c>
      <c r="AM75" s="245">
        <v>399.99</v>
      </c>
      <c r="AN75" t="s">
        <v>1576</v>
      </c>
      <c r="AO75" t="s">
        <v>1573</v>
      </c>
      <c r="AP75" t="s">
        <v>1282</v>
      </c>
      <c r="AQ75" s="245">
        <v>399.99</v>
      </c>
      <c r="AR75" t="s">
        <v>1577</v>
      </c>
      <c r="AS75" s="226" t="str">
        <f t="shared" si="2"/>
        <v>QST 92</v>
      </c>
      <c r="AT75" s="203" t="str">
        <f t="shared" si="3"/>
        <v xml:space="preserve"> SalomonQST 92169 Unisex</v>
      </c>
    </row>
    <row r="76" spans="1:46" ht="26.4">
      <c r="A76" t="s">
        <v>155</v>
      </c>
      <c r="B76" t="s">
        <v>227</v>
      </c>
      <c r="C76" t="s">
        <v>228</v>
      </c>
      <c r="D76">
        <v>188</v>
      </c>
      <c r="E76" t="s">
        <v>158</v>
      </c>
      <c r="F76">
        <v>188</v>
      </c>
      <c r="G76">
        <v>186.4</v>
      </c>
      <c r="H76">
        <v>129</v>
      </c>
      <c r="I76">
        <v>154</v>
      </c>
      <c r="J76">
        <v>130</v>
      </c>
      <c r="K76">
        <v>98</v>
      </c>
      <c r="L76">
        <v>120</v>
      </c>
      <c r="M76">
        <v>20.9</v>
      </c>
      <c r="N76">
        <v>1803</v>
      </c>
      <c r="O76">
        <v>1.1299999999999999</v>
      </c>
      <c r="P76">
        <v>2039</v>
      </c>
      <c r="Q76">
        <v>220</v>
      </c>
      <c r="R76">
        <v>102</v>
      </c>
      <c r="S76">
        <v>66</v>
      </c>
      <c r="T76">
        <v>365</v>
      </c>
      <c r="U76">
        <v>26</v>
      </c>
      <c r="V76">
        <v>211</v>
      </c>
      <c r="W76">
        <v>0.40399999999999903</v>
      </c>
      <c r="X76">
        <v>181</v>
      </c>
      <c r="Y76">
        <v>139</v>
      </c>
      <c r="Z76">
        <v>184</v>
      </c>
      <c r="AA76">
        <v>6</v>
      </c>
      <c r="AB76">
        <v>11.8</v>
      </c>
      <c r="AC76" t="s">
        <v>188</v>
      </c>
      <c r="AD76" t="s">
        <v>185</v>
      </c>
      <c r="AS76" s="226" t="str">
        <f t="shared" si="2"/>
        <v>Le Grizzly</v>
      </c>
      <c r="AT76" s="203" t="str">
        <f t="shared" si="3"/>
        <v xml:space="preserve"> RaccoonLe Grizzly188 Unisex</v>
      </c>
    </row>
    <row r="77" spans="1:46" ht="79.2">
      <c r="A77" t="s">
        <v>155</v>
      </c>
      <c r="B77" t="s">
        <v>167</v>
      </c>
      <c r="C77" t="s">
        <v>240</v>
      </c>
      <c r="D77">
        <v>170</v>
      </c>
      <c r="E77" t="s">
        <v>158</v>
      </c>
      <c r="F77">
        <v>170</v>
      </c>
      <c r="G77">
        <v>169.4</v>
      </c>
      <c r="H77">
        <v>133</v>
      </c>
      <c r="I77">
        <v>137</v>
      </c>
      <c r="J77">
        <v>130</v>
      </c>
      <c r="K77">
        <v>96</v>
      </c>
      <c r="L77">
        <v>117</v>
      </c>
      <c r="M77">
        <v>15.3</v>
      </c>
      <c r="N77">
        <v>1623</v>
      </c>
      <c r="O77">
        <v>1.1200000000000001</v>
      </c>
      <c r="P77">
        <v>1824</v>
      </c>
      <c r="Q77">
        <v>238</v>
      </c>
      <c r="R77">
        <v>111</v>
      </c>
      <c r="S77">
        <v>48</v>
      </c>
      <c r="T77">
        <v>227</v>
      </c>
      <c r="U77">
        <v>12</v>
      </c>
      <c r="V77">
        <v>137</v>
      </c>
      <c r="W77">
        <v>0.25900000000000001</v>
      </c>
      <c r="X77">
        <v>184</v>
      </c>
      <c r="Y77">
        <v>141</v>
      </c>
      <c r="Z77">
        <v>43</v>
      </c>
      <c r="AA77">
        <v>6</v>
      </c>
      <c r="AB77">
        <v>10.199999999999999</v>
      </c>
      <c r="AC77" t="s">
        <v>188</v>
      </c>
      <c r="AD77" t="s">
        <v>185</v>
      </c>
      <c r="AG77" t="s">
        <v>1578</v>
      </c>
      <c r="AH77" t="s">
        <v>1337</v>
      </c>
      <c r="AI77" s="245">
        <v>349.99</v>
      </c>
      <c r="AJ77" t="s">
        <v>1579</v>
      </c>
      <c r="AK77" t="s">
        <v>1428</v>
      </c>
      <c r="AL77" t="s">
        <v>1185</v>
      </c>
      <c r="AM77" s="245">
        <v>489.99</v>
      </c>
      <c r="AN77" t="s">
        <v>1580</v>
      </c>
      <c r="AO77" t="s">
        <v>1581</v>
      </c>
      <c r="AP77" t="s">
        <v>1191</v>
      </c>
      <c r="AQ77" s="245">
        <v>514.95000000000005</v>
      </c>
      <c r="AR77" t="s">
        <v>1582</v>
      </c>
      <c r="AS77" s="226" t="str">
        <f t="shared" si="2"/>
        <v>Kore 99</v>
      </c>
      <c r="AT77" s="203" t="str">
        <f t="shared" si="3"/>
        <v xml:space="preserve"> HeadKore 99170 Unisex</v>
      </c>
    </row>
    <row r="78" spans="1:46" ht="52.8">
      <c r="A78" t="s">
        <v>155</v>
      </c>
      <c r="B78" t="s">
        <v>1395</v>
      </c>
      <c r="C78" t="s">
        <v>285</v>
      </c>
      <c r="D78">
        <v>168</v>
      </c>
      <c r="E78" t="s">
        <v>158</v>
      </c>
      <c r="F78">
        <v>168</v>
      </c>
      <c r="G78">
        <v>166.9</v>
      </c>
      <c r="H78">
        <v>138</v>
      </c>
      <c r="I78">
        <v>145</v>
      </c>
      <c r="J78">
        <v>110</v>
      </c>
      <c r="K78">
        <v>80</v>
      </c>
      <c r="L78">
        <v>104</v>
      </c>
      <c r="M78">
        <v>19.100000000000001</v>
      </c>
      <c r="N78">
        <v>1640</v>
      </c>
      <c r="O78">
        <v>0.92</v>
      </c>
      <c r="P78">
        <v>1505</v>
      </c>
      <c r="Q78">
        <v>193</v>
      </c>
      <c r="R78">
        <v>107</v>
      </c>
      <c r="S78">
        <v>45</v>
      </c>
      <c r="T78">
        <v>153</v>
      </c>
      <c r="U78">
        <v>34</v>
      </c>
      <c r="V78">
        <v>135</v>
      </c>
      <c r="W78">
        <v>0.76300000000000001</v>
      </c>
      <c r="X78">
        <v>93</v>
      </c>
      <c r="Y78">
        <v>129</v>
      </c>
      <c r="Z78">
        <v>60</v>
      </c>
      <c r="AA78">
        <v>9</v>
      </c>
      <c r="AB78">
        <v>2.2000000000000002</v>
      </c>
      <c r="AC78" t="s">
        <v>188</v>
      </c>
      <c r="AG78" t="s">
        <v>1583</v>
      </c>
      <c r="AH78" t="s">
        <v>1262</v>
      </c>
      <c r="AI78" s="245">
        <v>249.37</v>
      </c>
      <c r="AJ78" t="s">
        <v>1584</v>
      </c>
      <c r="AK78" t="s">
        <v>1585</v>
      </c>
      <c r="AL78" t="s">
        <v>1194</v>
      </c>
      <c r="AM78" s="245">
        <v>253.56</v>
      </c>
      <c r="AN78" t="s">
        <v>1586</v>
      </c>
      <c r="AO78" t="s">
        <v>1587</v>
      </c>
      <c r="AP78" t="s">
        <v>1588</v>
      </c>
      <c r="AQ78" s="245">
        <v>315</v>
      </c>
      <c r="AR78" t="s">
        <v>1589</v>
      </c>
      <c r="AS78" s="226" t="str">
        <f t="shared" si="2"/>
        <v>Bash 81</v>
      </c>
      <c r="AT78" s="203" t="str">
        <f t="shared" si="3"/>
        <v xml:space="preserve"> Vï¿½lklBash 81168 Unisex</v>
      </c>
    </row>
    <row r="79" spans="1:46" ht="118.8">
      <c r="A79" t="s">
        <v>155</v>
      </c>
      <c r="B79" t="s">
        <v>182</v>
      </c>
      <c r="C79" t="s">
        <v>287</v>
      </c>
      <c r="D79">
        <v>164</v>
      </c>
      <c r="E79" t="s">
        <v>163</v>
      </c>
      <c r="F79">
        <v>164</v>
      </c>
      <c r="G79">
        <v>163.5</v>
      </c>
      <c r="H79">
        <v>117</v>
      </c>
      <c r="I79">
        <v>136</v>
      </c>
      <c r="J79">
        <v>132</v>
      </c>
      <c r="K79">
        <v>101</v>
      </c>
      <c r="L79">
        <v>122</v>
      </c>
      <c r="M79">
        <v>16.899999999999999</v>
      </c>
      <c r="N79">
        <v>1707</v>
      </c>
      <c r="O79">
        <v>1.07</v>
      </c>
      <c r="P79">
        <v>1819</v>
      </c>
      <c r="Q79">
        <v>190</v>
      </c>
      <c r="R79">
        <v>112</v>
      </c>
      <c r="S79">
        <v>53</v>
      </c>
      <c r="T79">
        <v>304</v>
      </c>
      <c r="U79">
        <v>18</v>
      </c>
      <c r="V79">
        <v>157</v>
      </c>
      <c r="W79">
        <v>0.33</v>
      </c>
      <c r="X79">
        <v>162</v>
      </c>
      <c r="Y79">
        <v>116</v>
      </c>
      <c r="Z79">
        <v>142</v>
      </c>
      <c r="AA79">
        <v>4</v>
      </c>
      <c r="AB79">
        <v>7.5</v>
      </c>
      <c r="AC79" t="s">
        <v>188</v>
      </c>
      <c r="AD79" t="s">
        <v>178</v>
      </c>
      <c r="AE79" t="s">
        <v>185</v>
      </c>
      <c r="AG79" t="s">
        <v>1590</v>
      </c>
      <c r="AH79" t="s">
        <v>1232</v>
      </c>
      <c r="AI79" s="245">
        <v>639.95000000000005</v>
      </c>
      <c r="AJ79" t="s">
        <v>1591</v>
      </c>
      <c r="AK79" t="s">
        <v>1590</v>
      </c>
      <c r="AL79" t="s">
        <v>1592</v>
      </c>
      <c r="AM79" s="245">
        <v>656.91</v>
      </c>
      <c r="AN79" t="s">
        <v>1593</v>
      </c>
      <c r="AO79" t="s">
        <v>1594</v>
      </c>
      <c r="AP79" t="s">
        <v>1509</v>
      </c>
      <c r="AQ79" s="245">
        <v>677.99</v>
      </c>
      <c r="AR79" t="s">
        <v>1595</v>
      </c>
      <c r="AS79" s="226" t="str">
        <f t="shared" si="2"/>
        <v>Reliance 102 Ti</v>
      </c>
      <c r="AT79" s="203" t="str">
        <f t="shared" si="3"/>
        <v xml:space="preserve"> ArmadaReliance 102 Ti164 Women's</v>
      </c>
    </row>
    <row r="80" spans="1:46" ht="66">
      <c r="A80" t="s">
        <v>155</v>
      </c>
      <c r="B80" t="s">
        <v>182</v>
      </c>
      <c r="C80" t="s">
        <v>289</v>
      </c>
      <c r="D80">
        <v>172</v>
      </c>
      <c r="E80" t="s">
        <v>163</v>
      </c>
      <c r="F80">
        <v>172</v>
      </c>
      <c r="G80">
        <v>171.6</v>
      </c>
      <c r="H80">
        <v>130</v>
      </c>
      <c r="I80">
        <v>144</v>
      </c>
      <c r="J80">
        <v>128</v>
      </c>
      <c r="K80">
        <v>97</v>
      </c>
      <c r="L80">
        <v>120</v>
      </c>
      <c r="M80">
        <v>17.399999999999999</v>
      </c>
      <c r="N80">
        <v>1520</v>
      </c>
      <c r="O80">
        <v>1.21</v>
      </c>
      <c r="P80">
        <v>1843</v>
      </c>
      <c r="Q80">
        <v>175</v>
      </c>
      <c r="R80">
        <v>98</v>
      </c>
      <c r="S80">
        <v>43</v>
      </c>
      <c r="T80">
        <v>256</v>
      </c>
      <c r="U80">
        <v>18</v>
      </c>
      <c r="V80">
        <v>158</v>
      </c>
      <c r="W80">
        <v>0.40699999999999997</v>
      </c>
      <c r="X80">
        <v>171</v>
      </c>
      <c r="Y80">
        <v>104</v>
      </c>
      <c r="Z80">
        <v>85</v>
      </c>
      <c r="AA80">
        <v>5</v>
      </c>
      <c r="AB80">
        <v>9.5</v>
      </c>
      <c r="AC80" t="s">
        <v>188</v>
      </c>
      <c r="AD80" t="s">
        <v>185</v>
      </c>
      <c r="AG80" t="s">
        <v>1596</v>
      </c>
      <c r="AH80" t="s">
        <v>1194</v>
      </c>
      <c r="AI80" s="245">
        <v>414</v>
      </c>
      <c r="AJ80" t="s">
        <v>1597</v>
      </c>
      <c r="AK80" t="s">
        <v>1596</v>
      </c>
      <c r="AL80" t="s">
        <v>1280</v>
      </c>
      <c r="AM80" s="245">
        <v>559.92999999999995</v>
      </c>
      <c r="AN80" t="s">
        <v>1598</v>
      </c>
      <c r="AO80" t="s">
        <v>1596</v>
      </c>
      <c r="AP80" t="s">
        <v>1224</v>
      </c>
      <c r="AQ80" s="245">
        <v>559.96</v>
      </c>
      <c r="AR80" t="s">
        <v>1599</v>
      </c>
      <c r="AS80" s="226" t="str">
        <f t="shared" si="2"/>
        <v>Trace 98</v>
      </c>
      <c r="AT80" s="203" t="str">
        <f t="shared" si="3"/>
        <v xml:space="preserve"> ArmadaTrace 98172 Women's</v>
      </c>
    </row>
    <row r="81" spans="1:46" ht="118.8">
      <c r="A81" t="s">
        <v>155</v>
      </c>
      <c r="B81" t="s">
        <v>245</v>
      </c>
      <c r="C81" t="s">
        <v>291</v>
      </c>
      <c r="D81">
        <v>163</v>
      </c>
      <c r="E81" t="s">
        <v>163</v>
      </c>
      <c r="F81">
        <v>163</v>
      </c>
      <c r="G81">
        <v>162.1</v>
      </c>
      <c r="H81">
        <v>113</v>
      </c>
      <c r="I81">
        <v>138</v>
      </c>
      <c r="J81">
        <v>123</v>
      </c>
      <c r="K81">
        <v>88</v>
      </c>
      <c r="L81">
        <v>113</v>
      </c>
      <c r="M81">
        <v>13.5</v>
      </c>
      <c r="N81">
        <v>1649</v>
      </c>
      <c r="O81">
        <v>1</v>
      </c>
      <c r="P81">
        <v>1642</v>
      </c>
      <c r="Q81">
        <v>176</v>
      </c>
      <c r="R81">
        <v>114</v>
      </c>
      <c r="S81">
        <v>49</v>
      </c>
      <c r="T81">
        <v>296</v>
      </c>
      <c r="U81">
        <v>15</v>
      </c>
      <c r="V81">
        <v>197</v>
      </c>
      <c r="W81">
        <v>0.3</v>
      </c>
      <c r="X81">
        <v>121</v>
      </c>
      <c r="Y81">
        <v>121</v>
      </c>
      <c r="Z81">
        <v>174</v>
      </c>
      <c r="AA81">
        <v>4</v>
      </c>
      <c r="AB81">
        <v>9.4</v>
      </c>
      <c r="AC81" t="s">
        <v>188</v>
      </c>
      <c r="AG81" t="s">
        <v>1600</v>
      </c>
      <c r="AH81" t="s">
        <v>1601</v>
      </c>
      <c r="AI81" s="245">
        <v>649.95000000000005</v>
      </c>
      <c r="AJ81" t="s">
        <v>1602</v>
      </c>
      <c r="AK81" t="s">
        <v>1603</v>
      </c>
      <c r="AL81" t="s">
        <v>1194</v>
      </c>
      <c r="AM81" s="245">
        <v>331.01</v>
      </c>
      <c r="AN81" t="s">
        <v>1604</v>
      </c>
      <c r="AO81" t="s">
        <v>1605</v>
      </c>
      <c r="AP81" t="s">
        <v>1204</v>
      </c>
      <c r="AQ81" s="245">
        <v>521.29</v>
      </c>
      <c r="AR81" t="s">
        <v>1606</v>
      </c>
      <c r="AS81" s="226" t="str">
        <f t="shared" si="2"/>
        <v>Ranger 92 Ti W</v>
      </c>
      <c r="AT81" s="203" t="str">
        <f t="shared" si="3"/>
        <v xml:space="preserve"> FischerRanger 92 Ti W163 Women's</v>
      </c>
    </row>
    <row r="82" spans="1:46" ht="132">
      <c r="A82" t="s">
        <v>155</v>
      </c>
      <c r="B82" t="s">
        <v>164</v>
      </c>
      <c r="C82" t="s">
        <v>292</v>
      </c>
      <c r="D82">
        <v>164</v>
      </c>
      <c r="E82" t="s">
        <v>163</v>
      </c>
      <c r="F82">
        <v>164</v>
      </c>
      <c r="G82">
        <v>165.1</v>
      </c>
      <c r="H82">
        <v>135</v>
      </c>
      <c r="I82">
        <v>145</v>
      </c>
      <c r="J82">
        <v>129</v>
      </c>
      <c r="K82">
        <v>82</v>
      </c>
      <c r="L82">
        <v>112</v>
      </c>
      <c r="M82">
        <v>13.1</v>
      </c>
      <c r="N82">
        <v>1818</v>
      </c>
      <c r="O82">
        <v>0.88</v>
      </c>
      <c r="P82">
        <v>1600</v>
      </c>
      <c r="Q82">
        <v>222</v>
      </c>
      <c r="R82">
        <v>89</v>
      </c>
      <c r="S82">
        <v>41</v>
      </c>
      <c r="T82">
        <v>185</v>
      </c>
      <c r="U82">
        <v>9</v>
      </c>
      <c r="V82">
        <v>117</v>
      </c>
      <c r="W82">
        <v>0.22</v>
      </c>
      <c r="X82">
        <v>109</v>
      </c>
      <c r="Y82">
        <v>91</v>
      </c>
      <c r="Z82">
        <v>76</v>
      </c>
      <c r="AA82">
        <v>8</v>
      </c>
      <c r="AB82">
        <v>8.6</v>
      </c>
      <c r="AC82" t="s">
        <v>231</v>
      </c>
      <c r="AD82" t="s">
        <v>188</v>
      </c>
      <c r="AG82" t="s">
        <v>1607</v>
      </c>
      <c r="AH82" t="s">
        <v>1232</v>
      </c>
      <c r="AI82" s="245">
        <v>399.95</v>
      </c>
      <c r="AJ82" t="s">
        <v>1608</v>
      </c>
      <c r="AK82" t="s">
        <v>1609</v>
      </c>
      <c r="AL82" t="s">
        <v>1610</v>
      </c>
      <c r="AM82" s="245">
        <v>599.99</v>
      </c>
      <c r="AN82" t="s">
        <v>1611</v>
      </c>
      <c r="AO82" t="s">
        <v>1612</v>
      </c>
      <c r="AP82" t="s">
        <v>1613</v>
      </c>
      <c r="AQ82" s="245">
        <v>449.99</v>
      </c>
      <c r="AR82" t="s">
        <v>1614</v>
      </c>
      <c r="AS82" s="226" t="str">
        <f t="shared" si="2"/>
        <v>Wildcat 82 C</v>
      </c>
      <c r="AT82" s="203" t="str">
        <f t="shared" si="3"/>
        <v xml:space="preserve"> ElanWildcat 82 C164 Women's</v>
      </c>
    </row>
    <row r="83" spans="1:46" ht="52.8">
      <c r="A83" t="s">
        <v>155</v>
      </c>
      <c r="B83" t="s">
        <v>245</v>
      </c>
      <c r="C83" t="s">
        <v>293</v>
      </c>
      <c r="D83">
        <v>169</v>
      </c>
      <c r="E83" t="s">
        <v>158</v>
      </c>
      <c r="F83">
        <v>169</v>
      </c>
      <c r="G83">
        <v>168.3</v>
      </c>
      <c r="H83">
        <v>119</v>
      </c>
      <c r="I83">
        <v>137</v>
      </c>
      <c r="J83">
        <v>125</v>
      </c>
      <c r="K83">
        <v>90</v>
      </c>
      <c r="L83">
        <v>115</v>
      </c>
      <c r="M83">
        <v>13.2</v>
      </c>
      <c r="N83">
        <v>1713</v>
      </c>
      <c r="O83">
        <v>1.01</v>
      </c>
      <c r="P83">
        <v>1736</v>
      </c>
      <c r="Q83">
        <v>207</v>
      </c>
      <c r="R83">
        <v>104</v>
      </c>
      <c r="S83">
        <v>50</v>
      </c>
      <c r="T83">
        <v>299</v>
      </c>
      <c r="U83">
        <v>31</v>
      </c>
      <c r="V83">
        <v>190</v>
      </c>
      <c r="W83">
        <v>0.621</v>
      </c>
      <c r="X83">
        <v>167</v>
      </c>
      <c r="Y83">
        <v>145</v>
      </c>
      <c r="Z83">
        <v>132</v>
      </c>
      <c r="AA83">
        <v>6</v>
      </c>
      <c r="AB83">
        <v>8</v>
      </c>
      <c r="AC83" t="s">
        <v>188</v>
      </c>
      <c r="AG83" t="s">
        <v>1449</v>
      </c>
      <c r="AH83" t="s">
        <v>1450</v>
      </c>
      <c r="AI83" s="245">
        <v>479.99</v>
      </c>
      <c r="AJ83" t="s">
        <v>1615</v>
      </c>
      <c r="AK83" t="s">
        <v>1449</v>
      </c>
      <c r="AL83" t="s">
        <v>1452</v>
      </c>
      <c r="AM83" s="245">
        <v>699.99</v>
      </c>
      <c r="AN83" t="s">
        <v>1616</v>
      </c>
      <c r="AO83" t="s">
        <v>1454</v>
      </c>
      <c r="AP83" t="s">
        <v>1455</v>
      </c>
      <c r="AQ83" s="245">
        <v>699.99</v>
      </c>
      <c r="AR83" t="s">
        <v>1617</v>
      </c>
      <c r="AS83" s="226" t="str">
        <f t="shared" si="2"/>
        <v>Ranger 94 FR</v>
      </c>
      <c r="AT83" s="203" t="str">
        <f t="shared" si="3"/>
        <v xml:space="preserve"> FischerRanger 94 FR169 Unisex</v>
      </c>
    </row>
    <row r="84" spans="1:46" ht="105.6">
      <c r="A84" t="s">
        <v>155</v>
      </c>
      <c r="B84" t="s">
        <v>218</v>
      </c>
      <c r="C84" t="s">
        <v>294</v>
      </c>
      <c r="D84">
        <v>184</v>
      </c>
      <c r="E84" t="s">
        <v>158</v>
      </c>
      <c r="F84">
        <v>184</v>
      </c>
      <c r="G84">
        <v>182.2</v>
      </c>
      <c r="H84">
        <v>107</v>
      </c>
      <c r="I84">
        <v>125</v>
      </c>
      <c r="J84">
        <v>140</v>
      </c>
      <c r="K84">
        <v>112</v>
      </c>
      <c r="L84">
        <v>127</v>
      </c>
      <c r="M84">
        <v>15.2</v>
      </c>
      <c r="N84">
        <v>1661</v>
      </c>
      <c r="O84">
        <v>1.33</v>
      </c>
      <c r="P84">
        <v>2209</v>
      </c>
      <c r="Q84">
        <v>229</v>
      </c>
      <c r="R84">
        <v>112</v>
      </c>
      <c r="S84">
        <v>73</v>
      </c>
      <c r="T84">
        <v>422</v>
      </c>
      <c r="U84">
        <v>34</v>
      </c>
      <c r="V84">
        <v>330</v>
      </c>
      <c r="W84">
        <v>0.46399999999999902</v>
      </c>
      <c r="X84">
        <v>304</v>
      </c>
      <c r="Y84">
        <v>270</v>
      </c>
      <c r="Z84">
        <v>118</v>
      </c>
      <c r="AA84">
        <v>4</v>
      </c>
      <c r="AB84">
        <v>13.2</v>
      </c>
      <c r="AC84" t="s">
        <v>169</v>
      </c>
      <c r="AD84" t="s">
        <v>185</v>
      </c>
      <c r="AE84" t="s">
        <v>198</v>
      </c>
      <c r="AG84" t="s">
        <v>1618</v>
      </c>
      <c r="AH84" t="s">
        <v>1468</v>
      </c>
      <c r="AI84" s="245">
        <v>1029</v>
      </c>
      <c r="AJ84" t="s">
        <v>1619</v>
      </c>
      <c r="AK84" t="s">
        <v>1620</v>
      </c>
      <c r="AL84" t="s">
        <v>1334</v>
      </c>
      <c r="AM84" s="245">
        <v>1029</v>
      </c>
      <c r="AN84" t="s">
        <v>1621</v>
      </c>
      <c r="AO84" t="s">
        <v>1620</v>
      </c>
      <c r="AP84" t="s">
        <v>1280</v>
      </c>
      <c r="AQ84" s="245">
        <v>1038.93</v>
      </c>
      <c r="AR84" t="s">
        <v>1622</v>
      </c>
      <c r="AS84" s="226" t="str">
        <f t="shared" si="2"/>
        <v>Pagoda Tour 112 RP</v>
      </c>
      <c r="AT84" s="203" t="str">
        <f t="shared" si="3"/>
        <v xml:space="preserve"> DPSPagoda Tour 112 RP184 Unisex</v>
      </c>
    </row>
    <row r="85" spans="1:46" ht="79.2">
      <c r="A85" t="s">
        <v>155</v>
      </c>
      <c r="B85" t="s">
        <v>295</v>
      </c>
      <c r="C85" t="s">
        <v>296</v>
      </c>
      <c r="D85">
        <v>182</v>
      </c>
      <c r="E85" t="s">
        <v>158</v>
      </c>
      <c r="F85">
        <v>182</v>
      </c>
      <c r="G85">
        <v>180.9</v>
      </c>
      <c r="H85">
        <v>126</v>
      </c>
      <c r="I85">
        <v>151</v>
      </c>
      <c r="J85">
        <v>131</v>
      </c>
      <c r="K85">
        <v>96</v>
      </c>
      <c r="L85">
        <v>118</v>
      </c>
      <c r="M85">
        <v>19.399999999999999</v>
      </c>
      <c r="N85">
        <v>1844</v>
      </c>
      <c r="O85">
        <v>1.05</v>
      </c>
      <c r="P85">
        <v>1930</v>
      </c>
      <c r="Q85">
        <v>224</v>
      </c>
      <c r="R85">
        <v>100</v>
      </c>
      <c r="S85">
        <v>59</v>
      </c>
      <c r="T85">
        <v>320</v>
      </c>
      <c r="U85">
        <v>19</v>
      </c>
      <c r="V85">
        <v>231</v>
      </c>
      <c r="W85">
        <v>0.32899999999999902</v>
      </c>
      <c r="X85">
        <v>188</v>
      </c>
      <c r="Y85">
        <v>115</v>
      </c>
      <c r="Z85">
        <v>132</v>
      </c>
      <c r="AA85">
        <v>3</v>
      </c>
      <c r="AB85">
        <v>8.3000000000000007</v>
      </c>
      <c r="AC85" t="s">
        <v>188</v>
      </c>
      <c r="AG85" t="s">
        <v>1623</v>
      </c>
      <c r="AH85" t="s">
        <v>1280</v>
      </c>
      <c r="AI85" s="245">
        <v>508.93</v>
      </c>
      <c r="AJ85" t="s">
        <v>1624</v>
      </c>
      <c r="AK85" t="s">
        <v>1623</v>
      </c>
      <c r="AL85" t="s">
        <v>1226</v>
      </c>
      <c r="AM85" s="245">
        <v>509</v>
      </c>
      <c r="AN85" t="s">
        <v>1625</v>
      </c>
      <c r="AO85" t="s">
        <v>1626</v>
      </c>
      <c r="AP85" t="s">
        <v>1627</v>
      </c>
      <c r="AQ85" s="245">
        <v>509</v>
      </c>
      <c r="AR85" t="s">
        <v>1628</v>
      </c>
      <c r="AS85" s="226" t="str">
        <f t="shared" si="2"/>
        <v>Pioneer 96</v>
      </c>
      <c r="AT85" s="203" t="str">
        <f t="shared" si="3"/>
        <v xml:space="preserve"> IcelanticPioneer 96182 Unisex</v>
      </c>
    </row>
    <row r="86" spans="1:46" ht="79.2">
      <c r="A86" t="s">
        <v>155</v>
      </c>
      <c r="B86" t="s">
        <v>1160</v>
      </c>
      <c r="C86" t="s">
        <v>298</v>
      </c>
      <c r="D86">
        <v>184</v>
      </c>
      <c r="E86" t="s">
        <v>158</v>
      </c>
      <c r="F86">
        <v>184</v>
      </c>
      <c r="G86">
        <v>184.2</v>
      </c>
      <c r="H86">
        <v>110</v>
      </c>
      <c r="I86">
        <v>141</v>
      </c>
      <c r="J86">
        <v>136</v>
      </c>
      <c r="K86">
        <v>112</v>
      </c>
      <c r="L86">
        <v>126</v>
      </c>
      <c r="M86">
        <v>22.8</v>
      </c>
      <c r="N86">
        <v>2012</v>
      </c>
      <c r="O86">
        <v>1.0900000000000001</v>
      </c>
      <c r="P86">
        <v>2190</v>
      </c>
      <c r="Q86">
        <v>202</v>
      </c>
      <c r="R86">
        <v>108</v>
      </c>
      <c r="S86">
        <v>53</v>
      </c>
      <c r="T86">
        <v>394</v>
      </c>
      <c r="U86">
        <v>40</v>
      </c>
      <c r="V86">
        <v>350</v>
      </c>
      <c r="W86">
        <v>0.75</v>
      </c>
      <c r="X86">
        <v>213</v>
      </c>
      <c r="Y86">
        <v>223</v>
      </c>
      <c r="Z86">
        <v>181</v>
      </c>
      <c r="AA86">
        <v>5</v>
      </c>
      <c r="AB86">
        <v>6.6</v>
      </c>
      <c r="AC86" t="s">
        <v>169</v>
      </c>
      <c r="AD86" t="s">
        <v>185</v>
      </c>
      <c r="AG86" t="s">
        <v>1629</v>
      </c>
      <c r="AH86" t="s">
        <v>1262</v>
      </c>
      <c r="AI86" s="245">
        <v>405.53</v>
      </c>
      <c r="AJ86" t="s">
        <v>1630</v>
      </c>
      <c r="AK86" t="s">
        <v>1631</v>
      </c>
      <c r="AL86" t="s">
        <v>1509</v>
      </c>
      <c r="AM86" s="245">
        <v>465.99</v>
      </c>
      <c r="AN86" t="s">
        <v>1632</v>
      </c>
      <c r="AO86" t="s">
        <v>1629</v>
      </c>
      <c r="AP86" t="s">
        <v>1265</v>
      </c>
      <c r="AQ86" s="245">
        <v>481.19</v>
      </c>
      <c r="AR86" t="s">
        <v>1633</v>
      </c>
      <c r="AS86" s="226" t="str">
        <f t="shared" si="2"/>
        <v>Reckoner 112</v>
      </c>
      <c r="AT86" s="203" t="str">
        <f t="shared" si="3"/>
        <v>K2Reckoner 112184 Unisex</v>
      </c>
    </row>
    <row r="87" spans="1:46" ht="39.6">
      <c r="A87" t="s">
        <v>155</v>
      </c>
      <c r="B87" t="s">
        <v>1395</v>
      </c>
      <c r="C87" t="s">
        <v>300</v>
      </c>
      <c r="D87">
        <v>186</v>
      </c>
      <c r="E87" t="s">
        <v>158</v>
      </c>
      <c r="F87">
        <v>186</v>
      </c>
      <c r="G87">
        <v>186.6</v>
      </c>
      <c r="H87">
        <v>104</v>
      </c>
      <c r="I87">
        <v>163</v>
      </c>
      <c r="J87">
        <v>133</v>
      </c>
      <c r="K87">
        <v>93</v>
      </c>
      <c r="L87">
        <v>116</v>
      </c>
      <c r="M87">
        <v>20</v>
      </c>
      <c r="N87">
        <v>1699</v>
      </c>
      <c r="O87">
        <v>1.1599999999999999</v>
      </c>
      <c r="P87">
        <v>1976</v>
      </c>
      <c r="Q87">
        <v>232</v>
      </c>
      <c r="R87">
        <v>111</v>
      </c>
      <c r="S87">
        <v>47</v>
      </c>
      <c r="T87">
        <v>477</v>
      </c>
      <c r="U87">
        <v>22</v>
      </c>
      <c r="V87">
        <v>345</v>
      </c>
      <c r="W87">
        <v>0.46</v>
      </c>
      <c r="X87">
        <v>138</v>
      </c>
      <c r="Y87">
        <v>102</v>
      </c>
      <c r="Z87">
        <v>338</v>
      </c>
      <c r="AA87">
        <v>2</v>
      </c>
      <c r="AB87">
        <v>11.6</v>
      </c>
      <c r="AC87" t="s">
        <v>188</v>
      </c>
      <c r="AD87" t="s">
        <v>185</v>
      </c>
      <c r="AG87" t="s">
        <v>1634</v>
      </c>
      <c r="AH87" t="s">
        <v>1194</v>
      </c>
      <c r="AI87" s="245">
        <v>367.9</v>
      </c>
      <c r="AJ87" t="s">
        <v>1635</v>
      </c>
      <c r="AK87" t="s">
        <v>1634</v>
      </c>
      <c r="AL87" t="s">
        <v>1191</v>
      </c>
      <c r="AM87" s="245">
        <v>374.95</v>
      </c>
      <c r="AN87" t="s">
        <v>1636</v>
      </c>
      <c r="AO87" t="s">
        <v>1634</v>
      </c>
      <c r="AP87" t="s">
        <v>1271</v>
      </c>
      <c r="AQ87" s="245">
        <v>429.93</v>
      </c>
      <c r="AR87" t="s">
        <v>1637</v>
      </c>
      <c r="AS87" s="226" t="str">
        <f t="shared" si="2"/>
        <v>Blaze 94</v>
      </c>
      <c r="AT87" s="203" t="str">
        <f t="shared" si="3"/>
        <v xml:space="preserve"> Vï¿½lklBlaze 94186 Unisex</v>
      </c>
    </row>
    <row r="88" spans="1:46" ht="92.4">
      <c r="A88" t="s">
        <v>155</v>
      </c>
      <c r="B88" t="s">
        <v>215</v>
      </c>
      <c r="C88" t="s">
        <v>302</v>
      </c>
      <c r="D88">
        <v>165</v>
      </c>
      <c r="E88" t="s">
        <v>163</v>
      </c>
      <c r="F88">
        <v>165</v>
      </c>
      <c r="G88">
        <v>164.2</v>
      </c>
      <c r="H88">
        <v>131</v>
      </c>
      <c r="I88">
        <v>145</v>
      </c>
      <c r="J88">
        <v>131</v>
      </c>
      <c r="K88">
        <v>90</v>
      </c>
      <c r="L88">
        <v>113</v>
      </c>
      <c r="M88">
        <v>15.4</v>
      </c>
      <c r="N88">
        <v>1591</v>
      </c>
      <c r="O88">
        <v>1.06</v>
      </c>
      <c r="P88">
        <v>1679</v>
      </c>
      <c r="Q88">
        <v>208</v>
      </c>
      <c r="R88">
        <v>99</v>
      </c>
      <c r="S88">
        <v>37</v>
      </c>
      <c r="T88">
        <v>206</v>
      </c>
      <c r="U88">
        <v>10</v>
      </c>
      <c r="V88">
        <v>130</v>
      </c>
      <c r="W88">
        <v>0.26200000000000001</v>
      </c>
      <c r="X88">
        <v>108</v>
      </c>
      <c r="Y88">
        <v>79</v>
      </c>
      <c r="Z88">
        <v>98</v>
      </c>
      <c r="AA88">
        <v>8</v>
      </c>
      <c r="AB88">
        <v>7.1</v>
      </c>
      <c r="AC88" t="s">
        <v>188</v>
      </c>
      <c r="AD88" t="s">
        <v>185</v>
      </c>
      <c r="AG88" t="s">
        <v>1638</v>
      </c>
      <c r="AH88" t="s">
        <v>1566</v>
      </c>
      <c r="AI88" s="245">
        <v>450</v>
      </c>
      <c r="AJ88" t="s">
        <v>1639</v>
      </c>
      <c r="AK88" t="s">
        <v>1638</v>
      </c>
      <c r="AL88" t="s">
        <v>1181</v>
      </c>
      <c r="AM88" s="245">
        <v>469.95</v>
      </c>
      <c r="AN88" t="s">
        <v>1640</v>
      </c>
      <c r="AO88" t="s">
        <v>1641</v>
      </c>
      <c r="AP88" t="s">
        <v>1588</v>
      </c>
      <c r="AQ88" s="245">
        <v>425</v>
      </c>
      <c r="AR88" t="s">
        <v>1642</v>
      </c>
      <c r="AS88" s="226" t="str">
        <f t="shared" si="2"/>
        <v>Evolv 90W</v>
      </c>
      <c r="AT88" s="203" t="str">
        <f t="shared" si="3"/>
        <v xml:space="preserve"> LibertyEvolv 90W165 Women's</v>
      </c>
    </row>
    <row r="89" spans="1:46" ht="105.6">
      <c r="A89" t="s">
        <v>155</v>
      </c>
      <c r="B89" t="s">
        <v>182</v>
      </c>
      <c r="C89" t="s">
        <v>303</v>
      </c>
      <c r="D89">
        <v>180</v>
      </c>
      <c r="E89" t="s">
        <v>158</v>
      </c>
      <c r="F89">
        <v>180</v>
      </c>
      <c r="G89">
        <v>179.4</v>
      </c>
      <c r="H89">
        <v>125</v>
      </c>
      <c r="I89">
        <v>139</v>
      </c>
      <c r="J89">
        <v>133</v>
      </c>
      <c r="K89">
        <v>107</v>
      </c>
      <c r="L89">
        <v>125</v>
      </c>
      <c r="M89">
        <v>19.2</v>
      </c>
      <c r="N89">
        <v>1712</v>
      </c>
      <c r="O89">
        <v>1.22</v>
      </c>
      <c r="P89">
        <v>2087</v>
      </c>
      <c r="Q89">
        <v>204</v>
      </c>
      <c r="R89">
        <v>111</v>
      </c>
      <c r="S89">
        <v>44</v>
      </c>
      <c r="T89">
        <v>388</v>
      </c>
      <c r="U89">
        <v>27</v>
      </c>
      <c r="V89">
        <v>159</v>
      </c>
      <c r="W89">
        <v>0.60899999999999999</v>
      </c>
      <c r="X89">
        <v>236</v>
      </c>
      <c r="Y89">
        <v>164</v>
      </c>
      <c r="Z89">
        <v>152</v>
      </c>
      <c r="AA89">
        <v>5</v>
      </c>
      <c r="AB89">
        <v>9.5</v>
      </c>
      <c r="AC89" t="s">
        <v>169</v>
      </c>
      <c r="AD89" t="s">
        <v>185</v>
      </c>
      <c r="AG89" t="s">
        <v>1643</v>
      </c>
      <c r="AH89" t="s">
        <v>1191</v>
      </c>
      <c r="AI89" s="245">
        <v>514.95000000000005</v>
      </c>
      <c r="AJ89" t="s">
        <v>1644</v>
      </c>
      <c r="AK89" t="s">
        <v>1645</v>
      </c>
      <c r="AL89" t="s">
        <v>1265</v>
      </c>
      <c r="AM89" s="245">
        <v>544.54999999999995</v>
      </c>
      <c r="AN89" t="s">
        <v>1646</v>
      </c>
      <c r="AO89" t="s">
        <v>1647</v>
      </c>
      <c r="AP89" t="s">
        <v>1271</v>
      </c>
      <c r="AQ89" s="245">
        <v>599.95000000000005</v>
      </c>
      <c r="AR89" t="s">
        <v>1648</v>
      </c>
      <c r="AS89" s="226" t="str">
        <f t="shared" si="2"/>
        <v>Tracer 108</v>
      </c>
      <c r="AT89" s="203" t="str">
        <f t="shared" si="3"/>
        <v xml:space="preserve"> ArmadaTracer 108180 Unisex</v>
      </c>
    </row>
    <row r="90" spans="1:46" ht="118.8">
      <c r="A90" t="s">
        <v>155</v>
      </c>
      <c r="B90" t="s">
        <v>172</v>
      </c>
      <c r="C90" t="s">
        <v>305</v>
      </c>
      <c r="D90">
        <v>170</v>
      </c>
      <c r="E90" t="s">
        <v>163</v>
      </c>
      <c r="F90">
        <v>170</v>
      </c>
      <c r="G90">
        <v>170.6</v>
      </c>
      <c r="H90">
        <v>124</v>
      </c>
      <c r="I90">
        <v>146</v>
      </c>
      <c r="J90">
        <v>126</v>
      </c>
      <c r="K90">
        <v>92</v>
      </c>
      <c r="L90">
        <v>116</v>
      </c>
      <c r="M90">
        <v>16</v>
      </c>
      <c r="N90">
        <v>1654</v>
      </c>
      <c r="O90">
        <v>1.07</v>
      </c>
      <c r="P90">
        <v>1771</v>
      </c>
      <c r="Q90">
        <v>211</v>
      </c>
      <c r="R90">
        <v>99</v>
      </c>
      <c r="S90">
        <v>46</v>
      </c>
      <c r="T90">
        <v>293</v>
      </c>
      <c r="U90">
        <v>12</v>
      </c>
      <c r="V90">
        <v>172</v>
      </c>
      <c r="W90">
        <v>0.252</v>
      </c>
      <c r="X90">
        <v>144</v>
      </c>
      <c r="Y90">
        <v>106</v>
      </c>
      <c r="Z90">
        <v>150</v>
      </c>
      <c r="AA90">
        <v>7</v>
      </c>
      <c r="AB90">
        <v>7</v>
      </c>
      <c r="AC90" t="s">
        <v>188</v>
      </c>
      <c r="AD90" t="s">
        <v>185</v>
      </c>
      <c r="AG90" t="s">
        <v>1649</v>
      </c>
      <c r="AH90" t="s">
        <v>1282</v>
      </c>
      <c r="AI90" s="245">
        <v>479.96</v>
      </c>
      <c r="AJ90" t="s">
        <v>1650</v>
      </c>
      <c r="AK90" t="s">
        <v>1651</v>
      </c>
      <c r="AL90" t="s">
        <v>1320</v>
      </c>
      <c r="AM90" s="245">
        <v>479.96</v>
      </c>
      <c r="AN90" t="s">
        <v>1652</v>
      </c>
      <c r="AO90" t="s">
        <v>1653</v>
      </c>
      <c r="AP90" t="s">
        <v>1421</v>
      </c>
      <c r="AQ90" s="245">
        <v>479.99</v>
      </c>
      <c r="AR90" t="s">
        <v>1654</v>
      </c>
      <c r="AS90" s="226" t="str">
        <f t="shared" si="2"/>
        <v>Blackops Stargazer W</v>
      </c>
      <c r="AT90" s="203" t="str">
        <f t="shared" si="3"/>
        <v xml:space="preserve"> RossignolBlackops Stargazer W170 Women's</v>
      </c>
    </row>
    <row r="91" spans="1:46" ht="158.4">
      <c r="A91" t="s">
        <v>155</v>
      </c>
      <c r="B91" t="s">
        <v>215</v>
      </c>
      <c r="C91" t="s">
        <v>306</v>
      </c>
      <c r="D91">
        <v>165</v>
      </c>
      <c r="E91" t="s">
        <v>158</v>
      </c>
      <c r="F91">
        <v>165</v>
      </c>
      <c r="G91">
        <v>165.1</v>
      </c>
      <c r="H91">
        <v>133</v>
      </c>
      <c r="I91">
        <v>146</v>
      </c>
      <c r="J91">
        <v>130</v>
      </c>
      <c r="K91">
        <v>89</v>
      </c>
      <c r="L91">
        <v>112</v>
      </c>
      <c r="M91">
        <v>15.6</v>
      </c>
      <c r="N91">
        <v>1638</v>
      </c>
      <c r="O91">
        <v>1.02</v>
      </c>
      <c r="P91">
        <v>1679</v>
      </c>
      <c r="Q91">
        <v>195</v>
      </c>
      <c r="R91">
        <v>100</v>
      </c>
      <c r="S91">
        <v>38</v>
      </c>
      <c r="T91">
        <v>203</v>
      </c>
      <c r="U91">
        <v>10</v>
      </c>
      <c r="V91">
        <v>120</v>
      </c>
      <c r="W91">
        <v>0.25700000000000001</v>
      </c>
      <c r="X91">
        <v>103</v>
      </c>
      <c r="Y91">
        <v>88</v>
      </c>
      <c r="Z91">
        <v>100</v>
      </c>
      <c r="AA91">
        <v>8</v>
      </c>
      <c r="AB91">
        <v>10.5</v>
      </c>
      <c r="AC91" t="s">
        <v>188</v>
      </c>
      <c r="AG91" t="s">
        <v>1641</v>
      </c>
      <c r="AH91" t="s">
        <v>1588</v>
      </c>
      <c r="AI91" s="245">
        <v>425</v>
      </c>
      <c r="AJ91" t="s">
        <v>1655</v>
      </c>
      <c r="AK91" t="s">
        <v>1656</v>
      </c>
      <c r="AL91" t="s">
        <v>1657</v>
      </c>
      <c r="AM91" s="245">
        <v>479.94</v>
      </c>
      <c r="AN91" t="s">
        <v>1658</v>
      </c>
      <c r="AO91" t="s">
        <v>1659</v>
      </c>
      <c r="AP91" t="s">
        <v>1181</v>
      </c>
      <c r="AQ91" s="245">
        <v>584.95000000000005</v>
      </c>
      <c r="AR91" t="s">
        <v>1660</v>
      </c>
      <c r="AS91" s="226" t="str">
        <f t="shared" si="2"/>
        <v>Evolv 90</v>
      </c>
      <c r="AT91" s="203" t="str">
        <f t="shared" si="3"/>
        <v xml:space="preserve"> LibertyEvolv 90165 Unisex</v>
      </c>
    </row>
    <row r="92" spans="1:46" ht="145.19999999999999">
      <c r="A92" t="s">
        <v>155</v>
      </c>
      <c r="B92" t="s">
        <v>245</v>
      </c>
      <c r="C92" t="s">
        <v>307</v>
      </c>
      <c r="D92">
        <v>158</v>
      </c>
      <c r="E92" t="s">
        <v>163</v>
      </c>
      <c r="F92">
        <v>158</v>
      </c>
      <c r="G92">
        <v>157.1</v>
      </c>
      <c r="H92">
        <v>102</v>
      </c>
      <c r="I92">
        <v>133</v>
      </c>
      <c r="J92">
        <v>124</v>
      </c>
      <c r="K92">
        <v>93</v>
      </c>
      <c r="L92">
        <v>115</v>
      </c>
      <c r="M92">
        <v>14.2</v>
      </c>
      <c r="N92">
        <v>1650</v>
      </c>
      <c r="O92">
        <v>0.99</v>
      </c>
      <c r="P92">
        <v>1633</v>
      </c>
      <c r="Q92">
        <v>190</v>
      </c>
      <c r="R92">
        <v>117</v>
      </c>
      <c r="S92">
        <v>50</v>
      </c>
      <c r="T92">
        <v>332</v>
      </c>
      <c r="U92">
        <v>19</v>
      </c>
      <c r="V92">
        <v>216</v>
      </c>
      <c r="W92">
        <v>0.374</v>
      </c>
      <c r="X92">
        <v>132</v>
      </c>
      <c r="Y92">
        <v>114</v>
      </c>
      <c r="Z92">
        <v>200</v>
      </c>
      <c r="AA92">
        <v>3</v>
      </c>
      <c r="AB92">
        <v>9</v>
      </c>
      <c r="AC92" t="s">
        <v>188</v>
      </c>
      <c r="AG92" t="s">
        <v>1661</v>
      </c>
      <c r="AH92" t="s">
        <v>1282</v>
      </c>
      <c r="AI92" s="245">
        <v>389.99</v>
      </c>
      <c r="AJ92" t="s">
        <v>1662</v>
      </c>
      <c r="AK92" t="s">
        <v>1663</v>
      </c>
      <c r="AL92" t="s">
        <v>1405</v>
      </c>
      <c r="AM92" s="245">
        <v>644.95000000000005</v>
      </c>
      <c r="AN92" t="s">
        <v>1664</v>
      </c>
      <c r="AO92" t="s">
        <v>1663</v>
      </c>
      <c r="AP92" t="s">
        <v>1181</v>
      </c>
      <c r="AQ92" s="245">
        <v>644.95000000000005</v>
      </c>
      <c r="AR92" t="s">
        <v>1665</v>
      </c>
      <c r="AS92" s="226" t="str">
        <f t="shared" si="2"/>
        <v>Ranger 99 Ti W</v>
      </c>
      <c r="AT92" s="203" t="str">
        <f t="shared" si="3"/>
        <v xml:space="preserve"> FischerRanger 99 Ti W158 Women's</v>
      </c>
    </row>
    <row r="93" spans="1:46" ht="66">
      <c r="A93" t="s">
        <v>155</v>
      </c>
      <c r="B93" t="s">
        <v>205</v>
      </c>
      <c r="C93" t="s">
        <v>308</v>
      </c>
      <c r="D93">
        <v>177</v>
      </c>
      <c r="E93" t="s">
        <v>158</v>
      </c>
      <c r="F93">
        <v>177</v>
      </c>
      <c r="G93">
        <v>175.3</v>
      </c>
      <c r="H93">
        <v>126</v>
      </c>
      <c r="I93">
        <v>145</v>
      </c>
      <c r="J93">
        <v>127</v>
      </c>
      <c r="K93">
        <v>97</v>
      </c>
      <c r="L93">
        <v>119</v>
      </c>
      <c r="M93">
        <v>18.7</v>
      </c>
      <c r="N93">
        <v>1891</v>
      </c>
      <c r="O93">
        <v>1</v>
      </c>
      <c r="P93">
        <v>1887</v>
      </c>
      <c r="Q93">
        <v>219</v>
      </c>
      <c r="R93">
        <v>99</v>
      </c>
      <c r="S93">
        <v>51</v>
      </c>
      <c r="T93">
        <v>272</v>
      </c>
      <c r="U93">
        <v>43</v>
      </c>
      <c r="V93">
        <v>225</v>
      </c>
      <c r="W93">
        <v>0.82899999999999996</v>
      </c>
      <c r="X93">
        <v>167</v>
      </c>
      <c r="Y93">
        <v>138</v>
      </c>
      <c r="Z93">
        <v>105</v>
      </c>
      <c r="AA93">
        <v>8</v>
      </c>
      <c r="AB93">
        <v>7.6</v>
      </c>
      <c r="AC93" t="s">
        <v>188</v>
      </c>
      <c r="AD93" t="s">
        <v>184</v>
      </c>
      <c r="AG93" t="s">
        <v>1666</v>
      </c>
      <c r="AH93" t="s">
        <v>1667</v>
      </c>
      <c r="AI93" s="245">
        <v>499</v>
      </c>
      <c r="AJ93" t="s">
        <v>1668</v>
      </c>
      <c r="AK93" t="s">
        <v>1669</v>
      </c>
      <c r="AL93" t="s">
        <v>1556</v>
      </c>
      <c r="AM93" s="245">
        <v>699</v>
      </c>
      <c r="AN93" t="s">
        <v>1670</v>
      </c>
      <c r="AO93" t="s">
        <v>1671</v>
      </c>
      <c r="AP93" t="s">
        <v>1282</v>
      </c>
      <c r="AQ93" s="245">
        <v>599.95000000000005</v>
      </c>
      <c r="AR93" t="s">
        <v>1672</v>
      </c>
      <c r="AS93" s="226" t="str">
        <f t="shared" si="2"/>
        <v>Prodigy 2.0</v>
      </c>
      <c r="AT93" s="203" t="str">
        <f t="shared" si="3"/>
        <v xml:space="preserve"> FactionProdigy 2.0177 Unisex</v>
      </c>
    </row>
    <row r="94" spans="1:46" ht="118.8">
      <c r="A94" t="s">
        <v>155</v>
      </c>
      <c r="B94" t="s">
        <v>182</v>
      </c>
      <c r="C94" t="s">
        <v>310</v>
      </c>
      <c r="D94">
        <v>160</v>
      </c>
      <c r="E94" t="s">
        <v>158</v>
      </c>
      <c r="F94">
        <v>160</v>
      </c>
      <c r="G94">
        <v>159.6</v>
      </c>
      <c r="H94">
        <v>133</v>
      </c>
      <c r="I94">
        <v>142</v>
      </c>
      <c r="J94">
        <v>127</v>
      </c>
      <c r="K94">
        <v>87</v>
      </c>
      <c r="L94">
        <v>109</v>
      </c>
      <c r="M94">
        <v>16.100000000000001</v>
      </c>
      <c r="N94">
        <v>1440</v>
      </c>
      <c r="O94">
        <v>1.0900000000000001</v>
      </c>
      <c r="P94">
        <v>1574</v>
      </c>
      <c r="Q94">
        <v>223</v>
      </c>
      <c r="R94">
        <v>102</v>
      </c>
      <c r="S94">
        <v>37</v>
      </c>
      <c r="T94">
        <v>169</v>
      </c>
      <c r="U94">
        <v>9</v>
      </c>
      <c r="V94">
        <v>94</v>
      </c>
      <c r="W94">
        <v>0.23899999999999999</v>
      </c>
      <c r="X94">
        <v>114</v>
      </c>
      <c r="Y94">
        <v>65</v>
      </c>
      <c r="Z94">
        <v>55</v>
      </c>
      <c r="AA94">
        <v>6</v>
      </c>
      <c r="AB94">
        <v>11</v>
      </c>
      <c r="AC94" t="s">
        <v>188</v>
      </c>
      <c r="AD94" t="s">
        <v>185</v>
      </c>
      <c r="AG94" t="s">
        <v>1673</v>
      </c>
      <c r="AH94" t="s">
        <v>1179</v>
      </c>
      <c r="AI94" s="245">
        <v>599.95000000000005</v>
      </c>
      <c r="AJ94" t="s">
        <v>1674</v>
      </c>
      <c r="AK94" t="s">
        <v>1444</v>
      </c>
      <c r="AL94" t="s">
        <v>1194</v>
      </c>
      <c r="AM94" s="245">
        <v>367.9</v>
      </c>
      <c r="AN94" t="s">
        <v>1675</v>
      </c>
      <c r="AO94" t="s">
        <v>1446</v>
      </c>
      <c r="AP94" t="s">
        <v>1191</v>
      </c>
      <c r="AQ94" s="245">
        <v>374.95</v>
      </c>
      <c r="AR94" t="s">
        <v>1676</v>
      </c>
      <c r="AS94" s="226" t="str">
        <f t="shared" si="2"/>
        <v>Declivity 88 Ca</v>
      </c>
      <c r="AT94" s="203" t="str">
        <f t="shared" si="3"/>
        <v xml:space="preserve"> ArmadaDeclivity 88 Ca160 Unisex</v>
      </c>
    </row>
    <row r="95" spans="1:46" ht="52.8">
      <c r="A95" t="s">
        <v>155</v>
      </c>
      <c r="B95" t="s">
        <v>1395</v>
      </c>
      <c r="C95" t="s">
        <v>311</v>
      </c>
      <c r="D95">
        <v>149</v>
      </c>
      <c r="E95" t="s">
        <v>163</v>
      </c>
      <c r="F95">
        <v>149</v>
      </c>
      <c r="G95">
        <v>149.1</v>
      </c>
      <c r="H95">
        <v>100</v>
      </c>
      <c r="I95">
        <v>125</v>
      </c>
      <c r="J95">
        <v>128</v>
      </c>
      <c r="K95">
        <v>88</v>
      </c>
      <c r="L95">
        <v>110</v>
      </c>
      <c r="M95">
        <v>11.7</v>
      </c>
      <c r="N95">
        <v>1544</v>
      </c>
      <c r="O95">
        <v>0.97</v>
      </c>
      <c r="P95">
        <v>1497</v>
      </c>
      <c r="Q95">
        <v>177</v>
      </c>
      <c r="R95">
        <v>115</v>
      </c>
      <c r="S95">
        <v>43</v>
      </c>
      <c r="T95">
        <v>300</v>
      </c>
      <c r="U95">
        <v>16</v>
      </c>
      <c r="V95">
        <v>196</v>
      </c>
      <c r="W95">
        <v>0.37</v>
      </c>
      <c r="X95">
        <v>135</v>
      </c>
      <c r="Y95">
        <v>103</v>
      </c>
      <c r="Z95">
        <v>164</v>
      </c>
      <c r="AA95">
        <v>3</v>
      </c>
      <c r="AB95">
        <v>11</v>
      </c>
      <c r="AC95" t="s">
        <v>188</v>
      </c>
      <c r="AG95" t="s">
        <v>1677</v>
      </c>
      <c r="AH95" t="s">
        <v>1678</v>
      </c>
      <c r="AI95" s="245">
        <v>389.99</v>
      </c>
      <c r="AJ95" t="s">
        <v>1679</v>
      </c>
      <c r="AK95" t="s">
        <v>1677</v>
      </c>
      <c r="AL95" t="s">
        <v>1185</v>
      </c>
      <c r="AM95" s="245">
        <v>454.99</v>
      </c>
      <c r="AN95" t="s">
        <v>1680</v>
      </c>
      <c r="AO95" t="s">
        <v>1681</v>
      </c>
      <c r="AP95" t="s">
        <v>1204</v>
      </c>
      <c r="AQ95" s="245">
        <v>481.19</v>
      </c>
      <c r="AR95" t="s">
        <v>1682</v>
      </c>
      <c r="AS95" s="226" t="str">
        <f t="shared" si="2"/>
        <v>Kenja 88</v>
      </c>
      <c r="AT95" s="203" t="str">
        <f t="shared" si="3"/>
        <v xml:space="preserve"> Vï¿½lklKenja 88149 Women's</v>
      </c>
    </row>
    <row r="96" spans="1:46" ht="145.19999999999999">
      <c r="A96" t="s">
        <v>155</v>
      </c>
      <c r="B96" t="s">
        <v>174</v>
      </c>
      <c r="C96" t="s">
        <v>175</v>
      </c>
      <c r="D96">
        <v>174</v>
      </c>
      <c r="E96" t="s">
        <v>163</v>
      </c>
      <c r="F96">
        <v>174</v>
      </c>
      <c r="G96">
        <v>172.6</v>
      </c>
      <c r="H96">
        <v>127</v>
      </c>
      <c r="I96">
        <v>134</v>
      </c>
      <c r="J96">
        <v>135</v>
      </c>
      <c r="K96">
        <v>99</v>
      </c>
      <c r="L96">
        <v>117</v>
      </c>
      <c r="M96">
        <v>14.2</v>
      </c>
      <c r="N96">
        <v>1830</v>
      </c>
      <c r="O96">
        <v>1.05</v>
      </c>
      <c r="P96">
        <v>1919</v>
      </c>
      <c r="Q96">
        <v>223</v>
      </c>
      <c r="R96">
        <v>109</v>
      </c>
      <c r="S96">
        <v>53</v>
      </c>
      <c r="T96">
        <v>258</v>
      </c>
      <c r="U96">
        <v>19</v>
      </c>
      <c r="V96">
        <v>201</v>
      </c>
      <c r="W96">
        <v>0.35599999999999998</v>
      </c>
      <c r="X96">
        <v>227</v>
      </c>
      <c r="Y96">
        <v>155</v>
      </c>
      <c r="Z96">
        <v>32</v>
      </c>
      <c r="AA96">
        <v>10</v>
      </c>
      <c r="AB96">
        <v>10.6</v>
      </c>
      <c r="AC96" t="s">
        <v>188</v>
      </c>
      <c r="AG96" t="s">
        <v>1683</v>
      </c>
      <c r="AH96" t="s">
        <v>1277</v>
      </c>
      <c r="AI96" s="245">
        <v>280</v>
      </c>
      <c r="AJ96" t="s">
        <v>1684</v>
      </c>
      <c r="AK96" t="s">
        <v>1223</v>
      </c>
      <c r="AL96" t="s">
        <v>1244</v>
      </c>
      <c r="AM96" s="245">
        <v>479.96</v>
      </c>
      <c r="AN96" t="s">
        <v>1685</v>
      </c>
      <c r="AO96" t="s">
        <v>1223</v>
      </c>
      <c r="AP96" t="s">
        <v>1224</v>
      </c>
      <c r="AQ96" s="245">
        <v>479.99</v>
      </c>
      <c r="AR96" t="s">
        <v>1686</v>
      </c>
      <c r="AS96" s="226" t="str">
        <f t="shared" si="2"/>
        <v>QST Lumen 99</v>
      </c>
      <c r="AT96" s="203" t="str">
        <f t="shared" si="3"/>
        <v xml:space="preserve"> SalomonQST Lumen 99174 Women's</v>
      </c>
    </row>
    <row r="97" spans="1:46" ht="66">
      <c r="A97" t="s">
        <v>155</v>
      </c>
      <c r="B97" t="s">
        <v>164</v>
      </c>
      <c r="C97" t="s">
        <v>313</v>
      </c>
      <c r="D97">
        <v>172</v>
      </c>
      <c r="E97" t="s">
        <v>158</v>
      </c>
      <c r="F97">
        <v>172</v>
      </c>
      <c r="G97">
        <v>170.4</v>
      </c>
      <c r="H97">
        <v>128</v>
      </c>
      <c r="I97">
        <v>136</v>
      </c>
      <c r="J97">
        <v>143</v>
      </c>
      <c r="K97">
        <v>104</v>
      </c>
      <c r="L97">
        <v>120</v>
      </c>
      <c r="M97">
        <v>16.399999999999999</v>
      </c>
      <c r="N97">
        <v>1544</v>
      </c>
      <c r="O97">
        <v>1.28</v>
      </c>
      <c r="P97">
        <v>1975</v>
      </c>
      <c r="Q97">
        <v>199</v>
      </c>
      <c r="R97">
        <v>85</v>
      </c>
      <c r="S97">
        <v>48</v>
      </c>
      <c r="T97">
        <v>246</v>
      </c>
      <c r="U97">
        <v>17</v>
      </c>
      <c r="V97">
        <v>181</v>
      </c>
      <c r="W97">
        <v>0.35099999999999998</v>
      </c>
      <c r="X97">
        <v>175</v>
      </c>
      <c r="Y97">
        <v>167</v>
      </c>
      <c r="Z97">
        <v>71</v>
      </c>
      <c r="AA97">
        <v>5</v>
      </c>
      <c r="AB97">
        <v>9.8000000000000007</v>
      </c>
      <c r="AC97" t="s">
        <v>188</v>
      </c>
      <c r="AD97" t="s">
        <v>169</v>
      </c>
      <c r="AE97" t="s">
        <v>178</v>
      </c>
      <c r="AF97" t="s">
        <v>185</v>
      </c>
      <c r="AG97" t="s">
        <v>1687</v>
      </c>
      <c r="AH97" t="s">
        <v>1688</v>
      </c>
      <c r="AI97" s="245">
        <v>375.21</v>
      </c>
      <c r="AJ97" t="s">
        <v>1689</v>
      </c>
      <c r="AK97" t="s">
        <v>1687</v>
      </c>
      <c r="AL97" t="s">
        <v>1194</v>
      </c>
      <c r="AM97" s="245">
        <v>450.88</v>
      </c>
      <c r="AN97" t="s">
        <v>1690</v>
      </c>
      <c r="AO97" t="s">
        <v>1691</v>
      </c>
      <c r="AP97" t="s">
        <v>1692</v>
      </c>
      <c r="AQ97" s="245">
        <v>524.99</v>
      </c>
      <c r="AR97" t="s">
        <v>1693</v>
      </c>
      <c r="AS97" s="226" t="str">
        <f t="shared" si="2"/>
        <v>Ripstick 106</v>
      </c>
      <c r="AT97" s="203" t="str">
        <f t="shared" si="3"/>
        <v xml:space="preserve"> ElanRipstick 106172 Unisex</v>
      </c>
    </row>
    <row r="98" spans="1:46" ht="79.2">
      <c r="A98" t="s">
        <v>155</v>
      </c>
      <c r="B98" t="s">
        <v>180</v>
      </c>
      <c r="C98" t="s">
        <v>315</v>
      </c>
      <c r="D98">
        <v>184</v>
      </c>
      <c r="E98" t="s">
        <v>158</v>
      </c>
      <c r="F98">
        <v>184</v>
      </c>
      <c r="G98">
        <v>182.4</v>
      </c>
      <c r="H98">
        <v>141</v>
      </c>
      <c r="I98">
        <v>166</v>
      </c>
      <c r="J98">
        <v>133</v>
      </c>
      <c r="K98">
        <v>95</v>
      </c>
      <c r="L98">
        <v>121</v>
      </c>
      <c r="M98">
        <v>22.9</v>
      </c>
      <c r="N98">
        <v>1583</v>
      </c>
      <c r="O98">
        <v>1.2</v>
      </c>
      <c r="P98">
        <v>1901</v>
      </c>
      <c r="Q98">
        <v>259</v>
      </c>
      <c r="R98">
        <v>105</v>
      </c>
      <c r="S98">
        <v>56</v>
      </c>
      <c r="T98">
        <v>247</v>
      </c>
      <c r="U98">
        <v>33</v>
      </c>
      <c r="V98">
        <v>171</v>
      </c>
      <c r="W98">
        <v>0.58899999999999997</v>
      </c>
      <c r="X98">
        <v>95</v>
      </c>
      <c r="Y98">
        <v>74</v>
      </c>
      <c r="Z98">
        <v>152</v>
      </c>
      <c r="AA98">
        <v>7</v>
      </c>
      <c r="AB98">
        <v>9.1</v>
      </c>
      <c r="AC98" t="s">
        <v>188</v>
      </c>
      <c r="AD98" t="s">
        <v>185</v>
      </c>
      <c r="AG98" t="s">
        <v>1694</v>
      </c>
      <c r="AH98" t="s">
        <v>1204</v>
      </c>
      <c r="AI98" s="245">
        <v>497.23</v>
      </c>
      <c r="AJ98" t="s">
        <v>1695</v>
      </c>
      <c r="AK98" t="s">
        <v>1696</v>
      </c>
      <c r="AL98" t="s">
        <v>1244</v>
      </c>
      <c r="AM98" s="245">
        <v>559.96</v>
      </c>
      <c r="AN98" t="s">
        <v>1697</v>
      </c>
      <c r="AO98" t="s">
        <v>1696</v>
      </c>
      <c r="AP98" t="s">
        <v>1309</v>
      </c>
      <c r="AQ98" s="245">
        <v>559.96</v>
      </c>
      <c r="AR98" t="s">
        <v>1698</v>
      </c>
      <c r="AS98" s="226" t="str">
        <f t="shared" si="2"/>
        <v>Scrapper 95</v>
      </c>
      <c r="AT98" s="203" t="str">
        <f t="shared" si="3"/>
        <v xml:space="preserve"> ScottScrapper 95184 Unisex</v>
      </c>
    </row>
    <row r="99" spans="1:46" ht="92.4">
      <c r="A99" t="s">
        <v>155</v>
      </c>
      <c r="B99" t="s">
        <v>317</v>
      </c>
      <c r="C99" t="s">
        <v>318</v>
      </c>
      <c r="D99">
        <v>164</v>
      </c>
      <c r="E99" t="s">
        <v>163</v>
      </c>
      <c r="F99">
        <v>164</v>
      </c>
      <c r="G99">
        <v>162.80000000000001</v>
      </c>
      <c r="H99">
        <v>92</v>
      </c>
      <c r="I99">
        <v>131</v>
      </c>
      <c r="J99">
        <v>138</v>
      </c>
      <c r="K99">
        <v>112</v>
      </c>
      <c r="L99">
        <v>128</v>
      </c>
      <c r="M99">
        <v>17.399999999999999</v>
      </c>
      <c r="N99">
        <v>1810</v>
      </c>
      <c r="O99">
        <v>1.08</v>
      </c>
      <c r="P99">
        <v>1955</v>
      </c>
      <c r="Q99">
        <v>161</v>
      </c>
      <c r="R99">
        <v>97</v>
      </c>
      <c r="S99">
        <v>67</v>
      </c>
      <c r="T99">
        <v>403</v>
      </c>
      <c r="U99">
        <v>27</v>
      </c>
      <c r="V99">
        <v>309</v>
      </c>
      <c r="W99">
        <v>0.40299999999999903</v>
      </c>
      <c r="X99">
        <v>167</v>
      </c>
      <c r="Y99">
        <v>150</v>
      </c>
      <c r="Z99">
        <v>235</v>
      </c>
      <c r="AA99">
        <v>3</v>
      </c>
      <c r="AB99">
        <v>7.6</v>
      </c>
      <c r="AC99" t="s">
        <v>169</v>
      </c>
      <c r="AD99" t="s">
        <v>185</v>
      </c>
      <c r="AG99" t="s">
        <v>1699</v>
      </c>
      <c r="AH99" t="s">
        <v>1400</v>
      </c>
      <c r="AI99" s="245">
        <v>559.95000000000005</v>
      </c>
      <c r="AJ99" t="s">
        <v>1700</v>
      </c>
      <c r="AK99" t="s">
        <v>1699</v>
      </c>
      <c r="AL99" t="s">
        <v>1271</v>
      </c>
      <c r="AM99" s="245">
        <v>579.95000000000005</v>
      </c>
      <c r="AN99" t="s">
        <v>1701</v>
      </c>
      <c r="AO99" t="s">
        <v>1699</v>
      </c>
      <c r="AP99" t="s">
        <v>1421</v>
      </c>
      <c r="AQ99" s="245">
        <v>699.95</v>
      </c>
      <c r="AR99" t="s">
        <v>1702</v>
      </c>
      <c r="AS99" s="226" t="str">
        <f t="shared" si="2"/>
        <v>Sheeva 11</v>
      </c>
      <c r="AT99" s="203" t="str">
        <f t="shared" si="3"/>
        <v xml:space="preserve"> BlizzardSheeva 11164 Women's</v>
      </c>
    </row>
    <row r="100" spans="1:46" ht="105.6">
      <c r="A100" t="s">
        <v>155</v>
      </c>
      <c r="B100" t="s">
        <v>1395</v>
      </c>
      <c r="C100" t="s">
        <v>319</v>
      </c>
      <c r="D100">
        <v>149</v>
      </c>
      <c r="E100" t="s">
        <v>163</v>
      </c>
      <c r="F100">
        <v>149</v>
      </c>
      <c r="G100">
        <v>148.4</v>
      </c>
      <c r="H100">
        <v>107</v>
      </c>
      <c r="I100">
        <v>125</v>
      </c>
      <c r="J100">
        <v>134</v>
      </c>
      <c r="K100">
        <v>95</v>
      </c>
      <c r="L100">
        <v>118</v>
      </c>
      <c r="M100">
        <v>12.1</v>
      </c>
      <c r="N100">
        <v>1621</v>
      </c>
      <c r="O100">
        <v>0.98</v>
      </c>
      <c r="P100">
        <v>1596</v>
      </c>
      <c r="Q100">
        <v>181</v>
      </c>
      <c r="R100">
        <v>121</v>
      </c>
      <c r="S100">
        <v>45</v>
      </c>
      <c r="T100">
        <v>254</v>
      </c>
      <c r="U100">
        <v>15</v>
      </c>
      <c r="V100">
        <v>163</v>
      </c>
      <c r="W100">
        <v>0.32799999999999901</v>
      </c>
      <c r="X100">
        <v>133</v>
      </c>
      <c r="Y100">
        <v>99</v>
      </c>
      <c r="Z100">
        <v>121</v>
      </c>
      <c r="AA100">
        <v>3</v>
      </c>
      <c r="AB100">
        <v>11.2</v>
      </c>
      <c r="AC100" t="s">
        <v>188</v>
      </c>
      <c r="AG100" t="s">
        <v>1703</v>
      </c>
      <c r="AH100" t="s">
        <v>1185</v>
      </c>
      <c r="AI100" s="245">
        <v>489.99</v>
      </c>
      <c r="AJ100" t="s">
        <v>1704</v>
      </c>
      <c r="AK100" t="s">
        <v>1705</v>
      </c>
      <c r="AL100" t="s">
        <v>1706</v>
      </c>
      <c r="AM100" s="245">
        <v>559.95000000000005</v>
      </c>
      <c r="AN100" t="s">
        <v>1707</v>
      </c>
      <c r="AO100" t="s">
        <v>1703</v>
      </c>
      <c r="AP100" t="s">
        <v>1181</v>
      </c>
      <c r="AQ100" s="245">
        <v>559.99</v>
      </c>
      <c r="AR100" t="s">
        <v>1708</v>
      </c>
      <c r="AS100" s="226" t="str">
        <f t="shared" si="2"/>
        <v>Secret 96</v>
      </c>
      <c r="AT100" s="203" t="str">
        <f t="shared" si="3"/>
        <v xml:space="preserve"> Vï¿½lklSecret 96149 Women's</v>
      </c>
    </row>
    <row r="101" spans="1:46" ht="26.4">
      <c r="A101" t="s">
        <v>155</v>
      </c>
      <c r="B101" t="s">
        <v>321</v>
      </c>
      <c r="C101" t="s">
        <v>322</v>
      </c>
      <c r="D101">
        <v>182</v>
      </c>
      <c r="E101" t="s">
        <v>158</v>
      </c>
      <c r="F101">
        <v>182</v>
      </c>
      <c r="G101">
        <v>179.8</v>
      </c>
      <c r="H101">
        <v>134</v>
      </c>
      <c r="I101">
        <v>152</v>
      </c>
      <c r="J101">
        <v>130</v>
      </c>
      <c r="K101">
        <v>97</v>
      </c>
      <c r="L101">
        <v>120</v>
      </c>
      <c r="M101">
        <v>17</v>
      </c>
      <c r="N101">
        <v>1714</v>
      </c>
      <c r="O101">
        <v>1.1499999999999999</v>
      </c>
      <c r="P101">
        <v>1972</v>
      </c>
      <c r="Q101">
        <v>195</v>
      </c>
      <c r="R101">
        <v>90</v>
      </c>
      <c r="S101">
        <v>56</v>
      </c>
      <c r="T101">
        <v>266</v>
      </c>
      <c r="U101">
        <v>28</v>
      </c>
      <c r="V101">
        <v>187</v>
      </c>
      <c r="W101">
        <v>0.501</v>
      </c>
      <c r="X101">
        <v>160</v>
      </c>
      <c r="Y101">
        <v>117</v>
      </c>
      <c r="Z101">
        <v>106</v>
      </c>
      <c r="AA101">
        <v>11</v>
      </c>
      <c r="AB101">
        <v>8</v>
      </c>
      <c r="AC101" t="s">
        <v>188</v>
      </c>
      <c r="AD101" t="s">
        <v>185</v>
      </c>
      <c r="AS101" s="226" t="str">
        <f t="shared" si="2"/>
        <v>Explo 96</v>
      </c>
      <c r="AT101" s="203" t="str">
        <f t="shared" si="3"/>
        <v xml:space="preserve"> FerreolExplo 96182 Unisex</v>
      </c>
    </row>
    <row r="102" spans="1:46" ht="66">
      <c r="A102" t="s">
        <v>155</v>
      </c>
      <c r="B102" t="s">
        <v>237</v>
      </c>
      <c r="C102" t="s">
        <v>323</v>
      </c>
      <c r="D102">
        <v>172.1</v>
      </c>
      <c r="E102" t="s">
        <v>158</v>
      </c>
      <c r="F102">
        <v>172.1</v>
      </c>
      <c r="G102">
        <v>171.1</v>
      </c>
      <c r="H102">
        <v>136</v>
      </c>
      <c r="I102">
        <v>151</v>
      </c>
      <c r="J102">
        <v>123</v>
      </c>
      <c r="K102">
        <v>81</v>
      </c>
      <c r="L102">
        <v>109</v>
      </c>
      <c r="M102">
        <v>15.9</v>
      </c>
      <c r="N102">
        <v>1580</v>
      </c>
      <c r="O102">
        <v>1.02</v>
      </c>
      <c r="P102">
        <v>1614</v>
      </c>
      <c r="Q102">
        <v>183</v>
      </c>
      <c r="R102">
        <v>97</v>
      </c>
      <c r="S102">
        <v>36</v>
      </c>
      <c r="T102">
        <v>199</v>
      </c>
      <c r="U102">
        <v>17</v>
      </c>
      <c r="V102">
        <v>157</v>
      </c>
      <c r="W102">
        <v>0.47599999999999998</v>
      </c>
      <c r="X102">
        <v>113</v>
      </c>
      <c r="Y102">
        <v>84</v>
      </c>
      <c r="Z102">
        <v>86</v>
      </c>
      <c r="AA102">
        <v>7</v>
      </c>
      <c r="AB102">
        <v>10.4</v>
      </c>
      <c r="AC102" t="s">
        <v>188</v>
      </c>
      <c r="AG102" t="s">
        <v>1709</v>
      </c>
      <c r="AH102" t="s">
        <v>1181</v>
      </c>
      <c r="AI102" s="245">
        <v>623.96</v>
      </c>
      <c r="AJ102" t="s">
        <v>1710</v>
      </c>
      <c r="AK102" t="s">
        <v>1709</v>
      </c>
      <c r="AL102" t="s">
        <v>1271</v>
      </c>
      <c r="AM102" s="245">
        <v>623.96</v>
      </c>
      <c r="AN102" t="s">
        <v>1711</v>
      </c>
      <c r="AO102" t="s">
        <v>1709</v>
      </c>
      <c r="AP102" t="s">
        <v>1224</v>
      </c>
      <c r="AQ102" s="245">
        <v>623.96</v>
      </c>
      <c r="AR102" t="s">
        <v>1712</v>
      </c>
      <c r="AS102" s="226" t="str">
        <f t="shared" si="2"/>
        <v>Divus</v>
      </c>
      <c r="AT102" s="203" t="str">
        <f t="shared" si="3"/>
        <v xml:space="preserve"> Black CrowsDivus172.1 Unisex</v>
      </c>
    </row>
    <row r="103" spans="1:46" ht="52.8">
      <c r="A103" t="s">
        <v>155</v>
      </c>
      <c r="B103" t="s">
        <v>205</v>
      </c>
      <c r="C103" t="s">
        <v>325</v>
      </c>
      <c r="D103">
        <v>172</v>
      </c>
      <c r="E103" t="s">
        <v>163</v>
      </c>
      <c r="F103">
        <v>172</v>
      </c>
      <c r="G103">
        <v>170.6</v>
      </c>
      <c r="H103">
        <v>123</v>
      </c>
      <c r="I103">
        <v>139</v>
      </c>
      <c r="J103">
        <v>134</v>
      </c>
      <c r="K103">
        <v>106</v>
      </c>
      <c r="L103">
        <v>124</v>
      </c>
      <c r="M103">
        <v>19</v>
      </c>
      <c r="N103">
        <v>1685</v>
      </c>
      <c r="O103">
        <v>1.1599999999999999</v>
      </c>
      <c r="P103">
        <v>1962</v>
      </c>
      <c r="Q103">
        <v>218</v>
      </c>
      <c r="R103">
        <v>103</v>
      </c>
      <c r="S103">
        <v>55</v>
      </c>
      <c r="T103">
        <v>296</v>
      </c>
      <c r="U103">
        <v>23</v>
      </c>
      <c r="V103">
        <v>184</v>
      </c>
      <c r="W103">
        <v>0.41899999999999998</v>
      </c>
      <c r="X103">
        <v>194</v>
      </c>
      <c r="Y103">
        <v>121</v>
      </c>
      <c r="Z103">
        <v>102</v>
      </c>
      <c r="AA103">
        <v>6</v>
      </c>
      <c r="AB103">
        <v>11.1</v>
      </c>
      <c r="AC103" t="s">
        <v>169</v>
      </c>
      <c r="AD103" t="s">
        <v>185</v>
      </c>
      <c r="AG103" t="s">
        <v>1713</v>
      </c>
      <c r="AH103" t="s">
        <v>1194</v>
      </c>
      <c r="AI103" s="245">
        <v>460.11</v>
      </c>
      <c r="AJ103" t="s">
        <v>1714</v>
      </c>
      <c r="AK103" t="s">
        <v>1713</v>
      </c>
      <c r="AL103" t="s">
        <v>1218</v>
      </c>
      <c r="AM103" s="245">
        <v>575.20000000000005</v>
      </c>
      <c r="AN103" t="s">
        <v>1715</v>
      </c>
      <c r="AO103" t="s">
        <v>1713</v>
      </c>
      <c r="AP103" t="s">
        <v>1464</v>
      </c>
      <c r="AQ103" s="245">
        <v>575.9</v>
      </c>
      <c r="AR103" t="s">
        <v>1716</v>
      </c>
      <c r="AS103" s="226" t="str">
        <f t="shared" si="2"/>
        <v>Agent 3.0 X</v>
      </c>
      <c r="AT103" s="203" t="str">
        <f t="shared" si="3"/>
        <v xml:space="preserve"> FactionAgent 3.0 X172 Women's</v>
      </c>
    </row>
    <row r="104" spans="1:46" ht="132">
      <c r="A104" t="s">
        <v>155</v>
      </c>
      <c r="B104" t="s">
        <v>245</v>
      </c>
      <c r="C104" t="s">
        <v>326</v>
      </c>
      <c r="D104">
        <v>172</v>
      </c>
      <c r="E104" t="s">
        <v>158</v>
      </c>
      <c r="F104">
        <v>172</v>
      </c>
      <c r="G104">
        <v>170.6</v>
      </c>
      <c r="H104">
        <v>138</v>
      </c>
      <c r="I104">
        <v>145</v>
      </c>
      <c r="J104">
        <v>129</v>
      </c>
      <c r="K104">
        <v>92</v>
      </c>
      <c r="L104">
        <v>117</v>
      </c>
      <c r="M104">
        <v>15.3</v>
      </c>
      <c r="N104">
        <v>1677</v>
      </c>
      <c r="O104">
        <v>1.06</v>
      </c>
      <c r="P104">
        <v>1782</v>
      </c>
      <c r="Q104">
        <v>214</v>
      </c>
      <c r="R104">
        <v>103</v>
      </c>
      <c r="S104">
        <v>56</v>
      </c>
      <c r="T104">
        <v>203</v>
      </c>
      <c r="U104">
        <v>22</v>
      </c>
      <c r="V104">
        <v>123</v>
      </c>
      <c r="W104">
        <v>0.39200000000000002</v>
      </c>
      <c r="X104">
        <v>153</v>
      </c>
      <c r="Y104">
        <v>98</v>
      </c>
      <c r="Z104">
        <v>50</v>
      </c>
      <c r="AA104">
        <v>8</v>
      </c>
      <c r="AB104">
        <v>10.9</v>
      </c>
      <c r="AC104" t="s">
        <v>188</v>
      </c>
      <c r="AD104" t="s">
        <v>185</v>
      </c>
      <c r="AG104" t="s">
        <v>1717</v>
      </c>
      <c r="AH104" t="s">
        <v>1191</v>
      </c>
      <c r="AI104" s="245">
        <v>244.95</v>
      </c>
      <c r="AJ104" t="s">
        <v>1718</v>
      </c>
      <c r="AK104" t="s">
        <v>1719</v>
      </c>
      <c r="AL104" t="s">
        <v>1337</v>
      </c>
      <c r="AM104" s="245">
        <v>329</v>
      </c>
      <c r="AN104" t="s">
        <v>1720</v>
      </c>
      <c r="AO104" t="s">
        <v>1721</v>
      </c>
      <c r="AP104" t="s">
        <v>1282</v>
      </c>
      <c r="AQ104" s="245">
        <v>299</v>
      </c>
      <c r="AR104" t="s">
        <v>1722</v>
      </c>
      <c r="AS104" s="226" t="str">
        <f t="shared" si="2"/>
        <v>Ranger 90 FR</v>
      </c>
      <c r="AT104" s="203" t="str">
        <f t="shared" si="3"/>
        <v xml:space="preserve"> FischerRanger 90 FR172 Unisex</v>
      </c>
    </row>
    <row r="105" spans="1:46" ht="66">
      <c r="A105" t="s">
        <v>155</v>
      </c>
      <c r="B105" t="s">
        <v>1160</v>
      </c>
      <c r="C105" t="s">
        <v>327</v>
      </c>
      <c r="D105">
        <v>177</v>
      </c>
      <c r="E105" t="s">
        <v>158</v>
      </c>
      <c r="F105">
        <v>177</v>
      </c>
      <c r="G105">
        <v>177.4</v>
      </c>
      <c r="H105">
        <v>140</v>
      </c>
      <c r="I105">
        <v>149</v>
      </c>
      <c r="J105">
        <v>126</v>
      </c>
      <c r="K105">
        <v>89</v>
      </c>
      <c r="L105">
        <v>112</v>
      </c>
      <c r="M105">
        <v>17.600000000000001</v>
      </c>
      <c r="N105">
        <v>1716</v>
      </c>
      <c r="O105">
        <v>1.05</v>
      </c>
      <c r="P105">
        <v>1795</v>
      </c>
      <c r="Q105">
        <v>185</v>
      </c>
      <c r="R105">
        <v>93</v>
      </c>
      <c r="S105">
        <v>46</v>
      </c>
      <c r="T105">
        <v>216</v>
      </c>
      <c r="U105">
        <v>15</v>
      </c>
      <c r="V105">
        <v>159</v>
      </c>
      <c r="W105">
        <v>0.318</v>
      </c>
      <c r="X105">
        <v>166</v>
      </c>
      <c r="Y105">
        <v>119</v>
      </c>
      <c r="Z105">
        <v>50</v>
      </c>
      <c r="AA105">
        <v>8</v>
      </c>
      <c r="AB105">
        <v>11</v>
      </c>
      <c r="AC105" t="s">
        <v>188</v>
      </c>
      <c r="AG105" t="s">
        <v>1723</v>
      </c>
      <c r="AH105" t="s">
        <v>1240</v>
      </c>
      <c r="AI105" s="245">
        <v>499</v>
      </c>
      <c r="AJ105" t="s">
        <v>1724</v>
      </c>
      <c r="AK105" t="s">
        <v>1725</v>
      </c>
      <c r="AL105" t="s">
        <v>1282</v>
      </c>
      <c r="AM105" s="245">
        <v>499.95</v>
      </c>
      <c r="AN105" t="s">
        <v>1726</v>
      </c>
      <c r="AO105" t="s">
        <v>1727</v>
      </c>
      <c r="AP105" t="s">
        <v>1224</v>
      </c>
      <c r="AQ105" s="245">
        <v>499.95</v>
      </c>
      <c r="AR105" t="s">
        <v>1728</v>
      </c>
      <c r="AS105" s="226" t="str">
        <f t="shared" si="2"/>
        <v>Mindbender 90C</v>
      </c>
      <c r="AT105" s="203" t="str">
        <f t="shared" si="3"/>
        <v>K2Mindbender 90C177 Unisex</v>
      </c>
    </row>
    <row r="106" spans="1:46" ht="79.2">
      <c r="A106" t="s">
        <v>155</v>
      </c>
      <c r="B106" t="s">
        <v>329</v>
      </c>
      <c r="C106" t="s">
        <v>330</v>
      </c>
      <c r="D106">
        <v>173</v>
      </c>
      <c r="E106" t="s">
        <v>158</v>
      </c>
      <c r="F106">
        <v>173</v>
      </c>
      <c r="G106">
        <v>171.8</v>
      </c>
      <c r="H106">
        <v>109</v>
      </c>
      <c r="I106">
        <v>137</v>
      </c>
      <c r="J106">
        <v>133</v>
      </c>
      <c r="K106">
        <v>105</v>
      </c>
      <c r="L106">
        <v>123</v>
      </c>
      <c r="M106">
        <v>18.7</v>
      </c>
      <c r="N106">
        <v>1538</v>
      </c>
      <c r="O106">
        <v>1.28</v>
      </c>
      <c r="P106">
        <v>1962</v>
      </c>
      <c r="Q106">
        <v>211</v>
      </c>
      <c r="R106">
        <v>101</v>
      </c>
      <c r="S106">
        <v>70</v>
      </c>
      <c r="T106">
        <v>443</v>
      </c>
      <c r="U106">
        <v>15</v>
      </c>
      <c r="V106">
        <v>189</v>
      </c>
      <c r="W106">
        <v>0.214</v>
      </c>
      <c r="X106">
        <v>198</v>
      </c>
      <c r="Y106">
        <v>150</v>
      </c>
      <c r="Z106">
        <v>244</v>
      </c>
      <c r="AA106">
        <v>4</v>
      </c>
      <c r="AB106">
        <v>8</v>
      </c>
      <c r="AC106" t="s">
        <v>188</v>
      </c>
      <c r="AD106" t="s">
        <v>178</v>
      </c>
      <c r="AE106" t="s">
        <v>185</v>
      </c>
      <c r="AF106" t="s">
        <v>198</v>
      </c>
      <c r="AG106" t="s">
        <v>1729</v>
      </c>
      <c r="AH106" t="s">
        <v>1730</v>
      </c>
      <c r="AI106" s="245">
        <v>511.71</v>
      </c>
      <c r="AJ106" t="s">
        <v>1731</v>
      </c>
      <c r="AK106" t="s">
        <v>1732</v>
      </c>
      <c r="AL106" t="s">
        <v>1251</v>
      </c>
      <c r="AM106" s="245">
        <v>617.66999999999996</v>
      </c>
      <c r="AN106" t="s">
        <v>1733</v>
      </c>
      <c r="AO106" t="s">
        <v>1734</v>
      </c>
      <c r="AP106" t="s">
        <v>1549</v>
      </c>
      <c r="AQ106" s="245">
        <v>420</v>
      </c>
      <c r="AR106" t="s">
        <v>1735</v>
      </c>
      <c r="AS106" s="226" t="str">
        <f t="shared" si="2"/>
        <v>Beast 108</v>
      </c>
      <c r="AT106" s="203" t="str">
        <f t="shared" si="3"/>
        <v xml:space="preserve"> DynafitBeast 108173 Unisex</v>
      </c>
    </row>
    <row r="107" spans="1:46" ht="92.4">
      <c r="A107" t="s">
        <v>155</v>
      </c>
      <c r="B107" t="s">
        <v>172</v>
      </c>
      <c r="C107" t="s">
        <v>331</v>
      </c>
      <c r="D107">
        <v>172</v>
      </c>
      <c r="E107" t="s">
        <v>158</v>
      </c>
      <c r="F107">
        <v>172</v>
      </c>
      <c r="G107">
        <v>169.3</v>
      </c>
      <c r="H107">
        <v>121</v>
      </c>
      <c r="I107">
        <v>146</v>
      </c>
      <c r="J107">
        <v>129</v>
      </c>
      <c r="K107">
        <v>97</v>
      </c>
      <c r="L107">
        <v>120</v>
      </c>
      <c r="M107">
        <v>17</v>
      </c>
      <c r="N107">
        <v>1850</v>
      </c>
      <c r="O107">
        <v>0.99</v>
      </c>
      <c r="P107">
        <v>1826</v>
      </c>
      <c r="Q107">
        <v>196</v>
      </c>
      <c r="R107">
        <v>107</v>
      </c>
      <c r="S107">
        <v>57</v>
      </c>
      <c r="T107">
        <v>260</v>
      </c>
      <c r="U107">
        <v>37</v>
      </c>
      <c r="V107">
        <v>226</v>
      </c>
      <c r="W107">
        <v>0.65</v>
      </c>
      <c r="X107">
        <v>136</v>
      </c>
      <c r="Y107">
        <v>97</v>
      </c>
      <c r="Z107">
        <v>125</v>
      </c>
      <c r="AA107">
        <v>8</v>
      </c>
      <c r="AB107">
        <v>4.3</v>
      </c>
      <c r="AC107" t="s">
        <v>188</v>
      </c>
      <c r="AG107" t="s">
        <v>1736</v>
      </c>
      <c r="AH107" t="s">
        <v>1204</v>
      </c>
      <c r="AI107" s="245">
        <v>481.19</v>
      </c>
      <c r="AJ107" t="s">
        <v>1737</v>
      </c>
      <c r="AK107" t="s">
        <v>1738</v>
      </c>
      <c r="AL107" t="s">
        <v>1185</v>
      </c>
      <c r="AM107" s="245">
        <v>489.99</v>
      </c>
      <c r="AN107" t="s">
        <v>1739</v>
      </c>
      <c r="AO107" t="s">
        <v>1740</v>
      </c>
      <c r="AP107" t="s">
        <v>1277</v>
      </c>
      <c r="AQ107" s="245">
        <v>505</v>
      </c>
      <c r="AR107" t="s">
        <v>1741</v>
      </c>
      <c r="AS107" s="226" t="str">
        <f t="shared" si="2"/>
        <v>Blackops Holyshred</v>
      </c>
      <c r="AT107" s="203" t="str">
        <f t="shared" si="3"/>
        <v xml:space="preserve"> RossignolBlackops Holyshred172 Unisex</v>
      </c>
    </row>
    <row r="108" spans="1:46" ht="118.8">
      <c r="A108" t="s">
        <v>155</v>
      </c>
      <c r="B108" t="s">
        <v>182</v>
      </c>
      <c r="C108" t="s">
        <v>244</v>
      </c>
      <c r="D108">
        <v>168</v>
      </c>
      <c r="E108" t="s">
        <v>163</v>
      </c>
      <c r="F108">
        <v>168</v>
      </c>
      <c r="G108">
        <v>167.4</v>
      </c>
      <c r="H108">
        <v>138</v>
      </c>
      <c r="I108">
        <v>149</v>
      </c>
      <c r="J108">
        <v>128</v>
      </c>
      <c r="K108">
        <v>87</v>
      </c>
      <c r="L108">
        <v>109</v>
      </c>
      <c r="M108">
        <v>16.899999999999999</v>
      </c>
      <c r="N108">
        <v>1550</v>
      </c>
      <c r="O108">
        <v>1.07</v>
      </c>
      <c r="P108">
        <v>1664</v>
      </c>
      <c r="Q108">
        <v>243</v>
      </c>
      <c r="R108">
        <v>106</v>
      </c>
      <c r="S108">
        <v>41</v>
      </c>
      <c r="T108">
        <v>186</v>
      </c>
      <c r="U108">
        <v>11</v>
      </c>
      <c r="V108">
        <v>112</v>
      </c>
      <c r="W108">
        <v>0.25800000000000001</v>
      </c>
      <c r="X108">
        <v>114</v>
      </c>
      <c r="Y108">
        <v>74</v>
      </c>
      <c r="Z108">
        <v>72</v>
      </c>
      <c r="AA108">
        <v>5</v>
      </c>
      <c r="AB108">
        <v>11.8</v>
      </c>
      <c r="AC108" t="s">
        <v>188</v>
      </c>
      <c r="AD108" t="s">
        <v>185</v>
      </c>
      <c r="AG108" t="s">
        <v>1742</v>
      </c>
      <c r="AH108" t="s">
        <v>1194</v>
      </c>
      <c r="AI108" s="245">
        <v>367.9</v>
      </c>
      <c r="AJ108" t="s">
        <v>1743</v>
      </c>
      <c r="AK108" t="s">
        <v>1744</v>
      </c>
      <c r="AL108" t="s">
        <v>1191</v>
      </c>
      <c r="AM108" s="245">
        <v>374.95</v>
      </c>
      <c r="AN108" t="s">
        <v>1745</v>
      </c>
      <c r="AO108" t="s">
        <v>1742</v>
      </c>
      <c r="AP108" t="s">
        <v>1248</v>
      </c>
      <c r="AQ108" s="245">
        <v>479.96</v>
      </c>
      <c r="AR108" t="s">
        <v>1746</v>
      </c>
      <c r="AS108" s="226" t="str">
        <f t="shared" si="2"/>
        <v>Reliance 88 Ca</v>
      </c>
      <c r="AT108" s="203" t="str">
        <f t="shared" si="3"/>
        <v xml:space="preserve"> ArmadaReliance 88 Ca168 Women's</v>
      </c>
    </row>
    <row r="109" spans="1:46" ht="118.8">
      <c r="A109" t="s">
        <v>155</v>
      </c>
      <c r="B109" t="s">
        <v>332</v>
      </c>
      <c r="C109" t="s">
        <v>333</v>
      </c>
      <c r="D109">
        <v>177</v>
      </c>
      <c r="E109" t="s">
        <v>163</v>
      </c>
      <c r="F109">
        <v>177</v>
      </c>
      <c r="G109">
        <v>175.5</v>
      </c>
      <c r="H109">
        <v>116</v>
      </c>
      <c r="I109">
        <v>145</v>
      </c>
      <c r="J109">
        <v>140</v>
      </c>
      <c r="K109">
        <v>108</v>
      </c>
      <c r="L109">
        <v>131</v>
      </c>
      <c r="M109">
        <v>16.7</v>
      </c>
      <c r="N109">
        <v>1908</v>
      </c>
      <c r="O109">
        <v>1.0900000000000001</v>
      </c>
      <c r="P109">
        <v>2087</v>
      </c>
      <c r="Q109">
        <v>199</v>
      </c>
      <c r="R109">
        <v>103</v>
      </c>
      <c r="S109">
        <v>71</v>
      </c>
      <c r="T109">
        <v>323</v>
      </c>
      <c r="U109">
        <v>50</v>
      </c>
      <c r="V109">
        <v>268</v>
      </c>
      <c r="W109">
        <v>0.70799999999999996</v>
      </c>
      <c r="X109">
        <v>156</v>
      </c>
      <c r="Y109">
        <v>153</v>
      </c>
      <c r="Z109">
        <v>167</v>
      </c>
      <c r="AA109">
        <v>6</v>
      </c>
      <c r="AB109">
        <v>8.4</v>
      </c>
      <c r="AC109" t="s">
        <v>169</v>
      </c>
      <c r="AD109" t="s">
        <v>185</v>
      </c>
      <c r="AG109" t="s">
        <v>1747</v>
      </c>
      <c r="AH109" t="s">
        <v>1248</v>
      </c>
      <c r="AI109" s="245">
        <v>447.99</v>
      </c>
      <c r="AJ109" t="s">
        <v>1748</v>
      </c>
      <c r="AK109" t="s">
        <v>1749</v>
      </c>
      <c r="AL109" t="s">
        <v>1194</v>
      </c>
      <c r="AM109" s="245">
        <v>460.11</v>
      </c>
      <c r="AN109" t="s">
        <v>1750</v>
      </c>
      <c r="AO109" t="s">
        <v>1747</v>
      </c>
      <c r="AP109" t="s">
        <v>1226</v>
      </c>
      <c r="AQ109" s="245">
        <v>559.99</v>
      </c>
      <c r="AR109" t="s">
        <v>1751</v>
      </c>
      <c r="AS109" s="226" t="str">
        <f t="shared" si="2"/>
        <v>Santa Ana 110 Free</v>
      </c>
      <c r="AT109" s="203" t="str">
        <f t="shared" si="3"/>
        <v xml:space="preserve"> NordicaSanta Ana 110 Free177 Women's</v>
      </c>
    </row>
    <row r="110" spans="1:46" ht="92.4">
      <c r="A110" t="s">
        <v>155</v>
      </c>
      <c r="B110" t="s">
        <v>1395</v>
      </c>
      <c r="C110" t="s">
        <v>335</v>
      </c>
      <c r="D110">
        <v>186</v>
      </c>
      <c r="E110" t="s">
        <v>158</v>
      </c>
      <c r="F110">
        <v>186</v>
      </c>
      <c r="G110">
        <v>186.9</v>
      </c>
      <c r="H110">
        <v>114</v>
      </c>
      <c r="I110">
        <v>162</v>
      </c>
      <c r="J110">
        <v>145</v>
      </c>
      <c r="K110">
        <v>105</v>
      </c>
      <c r="L110">
        <v>127</v>
      </c>
      <c r="M110">
        <v>20.6</v>
      </c>
      <c r="N110">
        <v>1845</v>
      </c>
      <c r="O110">
        <v>1.19</v>
      </c>
      <c r="P110">
        <v>2189</v>
      </c>
      <c r="Q110">
        <v>200</v>
      </c>
      <c r="R110">
        <v>102</v>
      </c>
      <c r="S110">
        <v>55</v>
      </c>
      <c r="T110">
        <v>475</v>
      </c>
      <c r="U110">
        <v>23</v>
      </c>
      <c r="V110">
        <v>257</v>
      </c>
      <c r="W110">
        <v>0.41699999999999998</v>
      </c>
      <c r="X110">
        <v>145</v>
      </c>
      <c r="Y110">
        <v>103</v>
      </c>
      <c r="Z110">
        <v>330</v>
      </c>
      <c r="AA110">
        <v>2</v>
      </c>
      <c r="AB110">
        <v>11.3</v>
      </c>
      <c r="AC110" t="s">
        <v>169</v>
      </c>
      <c r="AD110" t="s">
        <v>185</v>
      </c>
      <c r="AG110" t="s">
        <v>1752</v>
      </c>
      <c r="AH110" t="s">
        <v>1271</v>
      </c>
      <c r="AI110" s="245">
        <v>439.93</v>
      </c>
      <c r="AJ110" t="s">
        <v>1753</v>
      </c>
      <c r="AK110" t="s">
        <v>1754</v>
      </c>
      <c r="AL110" t="s">
        <v>1464</v>
      </c>
      <c r="AM110" s="245">
        <v>479.9</v>
      </c>
      <c r="AN110" t="s">
        <v>1755</v>
      </c>
      <c r="AO110" t="s">
        <v>1756</v>
      </c>
      <c r="AP110" t="s">
        <v>1232</v>
      </c>
      <c r="AQ110" s="245">
        <v>479.95</v>
      </c>
      <c r="AR110" t="s">
        <v>1757</v>
      </c>
      <c r="AS110" s="226" t="str">
        <f t="shared" si="2"/>
        <v>Blaze 106</v>
      </c>
      <c r="AT110" s="203" t="str">
        <f t="shared" si="3"/>
        <v xml:space="preserve"> Vï¿½lklBlaze 106186 Unisex</v>
      </c>
    </row>
    <row r="111" spans="1:46" ht="92.4">
      <c r="A111" t="s">
        <v>155</v>
      </c>
      <c r="B111" t="s">
        <v>245</v>
      </c>
      <c r="C111" t="s">
        <v>337</v>
      </c>
      <c r="D111">
        <v>177</v>
      </c>
      <c r="E111" t="s">
        <v>163</v>
      </c>
      <c r="F111">
        <v>177</v>
      </c>
      <c r="G111">
        <v>176.5</v>
      </c>
      <c r="H111">
        <v>119</v>
      </c>
      <c r="I111">
        <v>147</v>
      </c>
      <c r="J111">
        <v>135</v>
      </c>
      <c r="K111">
        <v>101</v>
      </c>
      <c r="L111">
        <v>125</v>
      </c>
      <c r="M111">
        <v>15.2</v>
      </c>
      <c r="N111">
        <v>1771</v>
      </c>
      <c r="O111">
        <v>1.1299999999999999</v>
      </c>
      <c r="P111">
        <v>2009</v>
      </c>
      <c r="Q111">
        <v>229</v>
      </c>
      <c r="R111">
        <v>105</v>
      </c>
      <c r="S111">
        <v>49</v>
      </c>
      <c r="T111">
        <v>380</v>
      </c>
      <c r="U111">
        <v>28</v>
      </c>
      <c r="V111">
        <v>192</v>
      </c>
      <c r="W111">
        <v>0.57499999999999996</v>
      </c>
      <c r="X111">
        <v>148</v>
      </c>
      <c r="Y111">
        <v>152</v>
      </c>
      <c r="Z111">
        <v>232</v>
      </c>
      <c r="AA111">
        <v>6</v>
      </c>
      <c r="AB111">
        <v>10.7</v>
      </c>
      <c r="AC111" t="s">
        <v>188</v>
      </c>
      <c r="AD111" t="s">
        <v>169</v>
      </c>
      <c r="AE111" t="s">
        <v>185</v>
      </c>
      <c r="AG111" t="s">
        <v>1506</v>
      </c>
      <c r="AH111" t="s">
        <v>1450</v>
      </c>
      <c r="AI111" s="245">
        <v>699.99</v>
      </c>
      <c r="AJ111" t="s">
        <v>1758</v>
      </c>
      <c r="AK111" t="s">
        <v>1759</v>
      </c>
      <c r="AL111" t="s">
        <v>1271</v>
      </c>
      <c r="AM111" s="245">
        <v>419.99</v>
      </c>
      <c r="AN111" t="s">
        <v>1760</v>
      </c>
      <c r="AO111" t="s">
        <v>1761</v>
      </c>
      <c r="AP111" t="s">
        <v>1455</v>
      </c>
      <c r="AQ111" s="245">
        <v>699.99</v>
      </c>
      <c r="AR111" t="s">
        <v>1762</v>
      </c>
      <c r="AS111" s="226" t="str">
        <f t="shared" si="2"/>
        <v>Ranger 102 FR W</v>
      </c>
      <c r="AT111" s="203" t="str">
        <f t="shared" si="3"/>
        <v xml:space="preserve"> FischerRanger 102 FR W177 Women's</v>
      </c>
    </row>
    <row r="112" spans="1:46" ht="52.8">
      <c r="A112" t="s">
        <v>155</v>
      </c>
      <c r="B112" t="s">
        <v>208</v>
      </c>
      <c r="C112" t="s">
        <v>338</v>
      </c>
      <c r="D112">
        <v>183</v>
      </c>
      <c r="E112" t="s">
        <v>158</v>
      </c>
      <c r="F112">
        <v>183</v>
      </c>
      <c r="G112">
        <v>181.7</v>
      </c>
      <c r="H112">
        <v>97</v>
      </c>
      <c r="I112">
        <v>148</v>
      </c>
      <c r="J112">
        <v>141</v>
      </c>
      <c r="K112">
        <v>107</v>
      </c>
      <c r="L112">
        <v>127</v>
      </c>
      <c r="M112">
        <v>19</v>
      </c>
      <c r="N112">
        <v>1627</v>
      </c>
      <c r="O112">
        <v>1.31</v>
      </c>
      <c r="P112">
        <v>2125</v>
      </c>
      <c r="Q112">
        <v>186</v>
      </c>
      <c r="R112">
        <v>92</v>
      </c>
      <c r="S112">
        <v>55</v>
      </c>
      <c r="T112">
        <v>465</v>
      </c>
      <c r="U112">
        <v>35</v>
      </c>
      <c r="V112">
        <v>380</v>
      </c>
      <c r="W112">
        <v>0.64300000000000002</v>
      </c>
      <c r="X112">
        <v>164</v>
      </c>
      <c r="Y112">
        <v>173</v>
      </c>
      <c r="Z112">
        <v>302</v>
      </c>
      <c r="AA112">
        <v>3</v>
      </c>
      <c r="AB112">
        <v>6.8</v>
      </c>
      <c r="AC112" t="s">
        <v>169</v>
      </c>
      <c r="AD112" t="s">
        <v>185</v>
      </c>
      <c r="AE112" t="s">
        <v>198</v>
      </c>
      <c r="AG112" t="s">
        <v>1763</v>
      </c>
      <c r="AH112" t="s">
        <v>1349</v>
      </c>
      <c r="AI112" s="245">
        <v>421.65</v>
      </c>
      <c r="AJ112" t="s">
        <v>1764</v>
      </c>
      <c r="AK112" t="s">
        <v>1763</v>
      </c>
      <c r="AL112" t="s">
        <v>1191</v>
      </c>
      <c r="AM112" s="245">
        <v>514.95000000000005</v>
      </c>
      <c r="AN112" t="s">
        <v>1765</v>
      </c>
      <c r="AO112" t="s">
        <v>1763</v>
      </c>
      <c r="AP112" t="s">
        <v>1179</v>
      </c>
      <c r="AQ112" s="245">
        <v>599.95000000000005</v>
      </c>
      <c r="AR112" t="s">
        <v>1766</v>
      </c>
      <c r="AS112" s="226" t="str">
        <f t="shared" si="2"/>
        <v>Vision 108</v>
      </c>
      <c r="AT112" s="203" t="str">
        <f t="shared" si="3"/>
        <v xml:space="preserve"> LineVision 108183 Unisex</v>
      </c>
    </row>
    <row r="113" spans="1:46" ht="158.4">
      <c r="A113" t="s">
        <v>155</v>
      </c>
      <c r="B113" t="s">
        <v>167</v>
      </c>
      <c r="C113" t="s">
        <v>234</v>
      </c>
      <c r="D113">
        <v>170</v>
      </c>
      <c r="E113" t="s">
        <v>163</v>
      </c>
      <c r="F113">
        <v>170</v>
      </c>
      <c r="G113">
        <v>169.9</v>
      </c>
      <c r="H113">
        <v>133</v>
      </c>
      <c r="I113">
        <v>135</v>
      </c>
      <c r="J113">
        <v>130</v>
      </c>
      <c r="K113">
        <v>96</v>
      </c>
      <c r="L113">
        <v>116</v>
      </c>
      <c r="M113">
        <v>15.9</v>
      </c>
      <c r="N113">
        <v>1626</v>
      </c>
      <c r="O113">
        <v>1.1200000000000001</v>
      </c>
      <c r="P113">
        <v>1826</v>
      </c>
      <c r="Q113">
        <v>238</v>
      </c>
      <c r="R113">
        <v>118</v>
      </c>
      <c r="S113">
        <v>47</v>
      </c>
      <c r="T113">
        <v>230</v>
      </c>
      <c r="U113">
        <v>12</v>
      </c>
      <c r="V113">
        <v>138</v>
      </c>
      <c r="W113">
        <v>0.25700000000000001</v>
      </c>
      <c r="X113">
        <v>186</v>
      </c>
      <c r="Y113">
        <v>161</v>
      </c>
      <c r="Z113">
        <v>44</v>
      </c>
      <c r="AA113">
        <v>7</v>
      </c>
      <c r="AB113">
        <v>8.8000000000000007</v>
      </c>
      <c r="AC113" t="s">
        <v>188</v>
      </c>
      <c r="AD113" t="s">
        <v>185</v>
      </c>
      <c r="AG113" t="s">
        <v>1767</v>
      </c>
      <c r="AH113" t="s">
        <v>1191</v>
      </c>
      <c r="AI113" s="245">
        <v>514.95000000000005</v>
      </c>
      <c r="AJ113" t="s">
        <v>1768</v>
      </c>
      <c r="AK113" t="s">
        <v>1769</v>
      </c>
      <c r="AL113" t="s">
        <v>1280</v>
      </c>
      <c r="AM113" s="245">
        <v>518.92999999999995</v>
      </c>
      <c r="AN113" t="s">
        <v>1770</v>
      </c>
      <c r="AO113" t="s">
        <v>1771</v>
      </c>
      <c r="AP113" t="s">
        <v>1772</v>
      </c>
      <c r="AQ113" s="245">
        <v>600</v>
      </c>
      <c r="AR113" t="s">
        <v>1773</v>
      </c>
      <c r="AS113" s="226" t="str">
        <f t="shared" si="2"/>
        <v>Kore 97 W</v>
      </c>
      <c r="AT113" s="203" t="str">
        <f t="shared" si="3"/>
        <v xml:space="preserve"> HeadKore 97 W170 Women's</v>
      </c>
    </row>
    <row r="114" spans="1:46" ht="66">
      <c r="A114" t="s">
        <v>155</v>
      </c>
      <c r="B114" t="s">
        <v>202</v>
      </c>
      <c r="C114" t="s">
        <v>340</v>
      </c>
      <c r="D114">
        <v>179</v>
      </c>
      <c r="E114" t="s">
        <v>158</v>
      </c>
      <c r="F114">
        <v>179</v>
      </c>
      <c r="G114">
        <v>177.9</v>
      </c>
      <c r="H114">
        <v>110</v>
      </c>
      <c r="I114">
        <v>143</v>
      </c>
      <c r="J114">
        <v>127</v>
      </c>
      <c r="K114">
        <v>97</v>
      </c>
      <c r="L114">
        <v>119</v>
      </c>
      <c r="M114">
        <v>16.7</v>
      </c>
      <c r="N114">
        <v>1935</v>
      </c>
      <c r="O114">
        <v>0.99</v>
      </c>
      <c r="P114">
        <v>1914</v>
      </c>
      <c r="Q114">
        <v>228</v>
      </c>
      <c r="R114">
        <v>106</v>
      </c>
      <c r="S114">
        <v>54</v>
      </c>
      <c r="T114">
        <v>335</v>
      </c>
      <c r="U114">
        <v>46</v>
      </c>
      <c r="V114">
        <v>343</v>
      </c>
      <c r="W114">
        <v>0.85199999999999998</v>
      </c>
      <c r="X114">
        <v>198</v>
      </c>
      <c r="Y114">
        <v>155</v>
      </c>
      <c r="Z114">
        <v>137</v>
      </c>
      <c r="AA114">
        <v>7</v>
      </c>
      <c r="AB114">
        <v>8</v>
      </c>
      <c r="AC114" t="s">
        <v>188</v>
      </c>
      <c r="AD114" t="s">
        <v>184</v>
      </c>
      <c r="AG114" t="s">
        <v>1774</v>
      </c>
      <c r="AH114" t="s">
        <v>1194</v>
      </c>
      <c r="AI114" s="245">
        <v>367.9</v>
      </c>
      <c r="AJ114" t="s">
        <v>1775</v>
      </c>
      <c r="AK114" t="s">
        <v>1774</v>
      </c>
      <c r="AL114" t="s">
        <v>1248</v>
      </c>
      <c r="AM114" s="245">
        <v>419.97</v>
      </c>
      <c r="AN114" t="s">
        <v>1776</v>
      </c>
      <c r="AO114" t="s">
        <v>1774</v>
      </c>
      <c r="AP114" t="s">
        <v>1232</v>
      </c>
      <c r="AQ114" s="245">
        <v>479.95</v>
      </c>
      <c r="AR114" t="s">
        <v>1777</v>
      </c>
      <c r="AS114" s="226" t="str">
        <f t="shared" si="2"/>
        <v>M-Free 99</v>
      </c>
      <c r="AT114" s="203" t="str">
        <f t="shared" si="3"/>
        <v xml:space="preserve"> DynastarM-Free 99179 Unisex</v>
      </c>
    </row>
    <row r="115" spans="1:46" ht="79.2">
      <c r="A115" t="s">
        <v>155</v>
      </c>
      <c r="B115" t="s">
        <v>172</v>
      </c>
      <c r="C115" t="s">
        <v>599</v>
      </c>
      <c r="D115">
        <v>172</v>
      </c>
      <c r="E115" t="s">
        <v>158</v>
      </c>
      <c r="F115">
        <v>172</v>
      </c>
      <c r="G115">
        <v>170.8</v>
      </c>
      <c r="H115">
        <v>124</v>
      </c>
      <c r="I115">
        <v>146</v>
      </c>
      <c r="J115">
        <v>126</v>
      </c>
      <c r="K115">
        <v>92</v>
      </c>
      <c r="L115">
        <v>116</v>
      </c>
      <c r="M115">
        <v>16</v>
      </c>
      <c r="N115">
        <v>1632</v>
      </c>
      <c r="O115">
        <v>1.08</v>
      </c>
      <c r="P115">
        <v>1769</v>
      </c>
      <c r="Q115">
        <v>204</v>
      </c>
      <c r="R115">
        <v>90</v>
      </c>
      <c r="S115">
        <v>47</v>
      </c>
      <c r="T115">
        <v>291</v>
      </c>
      <c r="U115">
        <v>12</v>
      </c>
      <c r="V115">
        <v>174</v>
      </c>
      <c r="W115">
        <v>0.26</v>
      </c>
      <c r="X115">
        <v>153</v>
      </c>
      <c r="Y115">
        <v>98</v>
      </c>
      <c r="Z115">
        <v>138</v>
      </c>
      <c r="AA115">
        <v>6</v>
      </c>
      <c r="AB115">
        <v>6.5</v>
      </c>
      <c r="AC115" t="s">
        <v>188</v>
      </c>
      <c r="AD115" t="s">
        <v>185</v>
      </c>
      <c r="AG115" t="s">
        <v>1778</v>
      </c>
      <c r="AH115" t="s">
        <v>1204</v>
      </c>
      <c r="AI115" s="245">
        <v>400.99</v>
      </c>
      <c r="AJ115" t="s">
        <v>1779</v>
      </c>
      <c r="AK115" t="s">
        <v>1780</v>
      </c>
      <c r="AL115" t="s">
        <v>1464</v>
      </c>
      <c r="AM115" s="245">
        <v>473.9</v>
      </c>
      <c r="AN115" t="s">
        <v>1781</v>
      </c>
      <c r="AO115" t="s">
        <v>1782</v>
      </c>
      <c r="AP115" t="s">
        <v>1294</v>
      </c>
      <c r="AQ115" s="245">
        <v>479.93</v>
      </c>
      <c r="AR115" t="s">
        <v>1783</v>
      </c>
      <c r="AS115" s="226" t="str">
        <f t="shared" si="2"/>
        <v>Blackops Escaper</v>
      </c>
      <c r="AT115" s="203" t="str">
        <f t="shared" si="3"/>
        <v xml:space="preserve"> RossignolBlackops Escaper172 Unisex</v>
      </c>
    </row>
    <row r="116" spans="1:46" ht="132">
      <c r="A116" t="s">
        <v>155</v>
      </c>
      <c r="B116" t="s">
        <v>174</v>
      </c>
      <c r="C116" t="s">
        <v>343</v>
      </c>
      <c r="D116">
        <v>185</v>
      </c>
      <c r="E116" t="s">
        <v>158</v>
      </c>
      <c r="F116">
        <v>185</v>
      </c>
      <c r="G116">
        <v>184.7</v>
      </c>
      <c r="H116">
        <v>134</v>
      </c>
      <c r="I116">
        <v>156</v>
      </c>
      <c r="J116">
        <v>122</v>
      </c>
      <c r="K116">
        <v>83</v>
      </c>
      <c r="L116">
        <v>105</v>
      </c>
      <c r="M116">
        <v>18.100000000000001</v>
      </c>
      <c r="N116">
        <v>1657</v>
      </c>
      <c r="O116">
        <v>1.07</v>
      </c>
      <c r="P116">
        <v>1779</v>
      </c>
      <c r="Q116">
        <v>242</v>
      </c>
      <c r="R116">
        <v>95</v>
      </c>
      <c r="S116">
        <v>48</v>
      </c>
      <c r="T116">
        <v>288</v>
      </c>
      <c r="U116">
        <v>12</v>
      </c>
      <c r="V116">
        <v>218</v>
      </c>
      <c r="W116">
        <v>0.25700000000000001</v>
      </c>
      <c r="X116">
        <v>160</v>
      </c>
      <c r="Y116">
        <v>128</v>
      </c>
      <c r="Z116">
        <v>128</v>
      </c>
      <c r="AA116">
        <v>5</v>
      </c>
      <c r="AB116">
        <v>9.3000000000000007</v>
      </c>
      <c r="AC116" t="s">
        <v>231</v>
      </c>
      <c r="AD116" t="s">
        <v>188</v>
      </c>
      <c r="AE116" t="s">
        <v>185</v>
      </c>
      <c r="AG116" t="s">
        <v>1784</v>
      </c>
      <c r="AH116" t="s">
        <v>1226</v>
      </c>
      <c r="AI116" s="245">
        <v>499.99</v>
      </c>
      <c r="AJ116" t="s">
        <v>1785</v>
      </c>
      <c r="AK116" t="s">
        <v>1786</v>
      </c>
      <c r="AL116" t="s">
        <v>1224</v>
      </c>
      <c r="AM116" s="245">
        <v>599.99</v>
      </c>
      <c r="AN116" t="s">
        <v>1787</v>
      </c>
      <c r="AO116" t="s">
        <v>1788</v>
      </c>
      <c r="AP116" t="s">
        <v>1592</v>
      </c>
      <c r="AQ116" s="245">
        <v>375.83</v>
      </c>
      <c r="AR116" t="s">
        <v>1789</v>
      </c>
      <c r="AS116" s="226" t="str">
        <f t="shared" si="2"/>
        <v>Stance 84</v>
      </c>
      <c r="AT116" s="203" t="str">
        <f t="shared" si="3"/>
        <v xml:space="preserve"> SalomonStance 84185 Unisex</v>
      </c>
    </row>
    <row r="117" spans="1:46" ht="409.6">
      <c r="A117" t="s">
        <v>155</v>
      </c>
      <c r="B117" t="s">
        <v>172</v>
      </c>
      <c r="C117" t="s">
        <v>345</v>
      </c>
      <c r="D117">
        <v>176</v>
      </c>
      <c r="E117" t="s">
        <v>158</v>
      </c>
      <c r="F117">
        <v>176</v>
      </c>
      <c r="G117">
        <v>175.5</v>
      </c>
      <c r="H117">
        <v>137</v>
      </c>
      <c r="I117">
        <v>161</v>
      </c>
      <c r="J117">
        <v>131</v>
      </c>
      <c r="K117">
        <v>84</v>
      </c>
      <c r="L117">
        <v>119</v>
      </c>
      <c r="M117">
        <v>15.4</v>
      </c>
      <c r="N117">
        <v>1911</v>
      </c>
      <c r="O117">
        <v>0.91</v>
      </c>
      <c r="P117">
        <v>1733</v>
      </c>
      <c r="Q117">
        <v>230</v>
      </c>
      <c r="R117">
        <v>92</v>
      </c>
      <c r="S117">
        <v>47</v>
      </c>
      <c r="T117">
        <v>258</v>
      </c>
      <c r="U117">
        <v>13</v>
      </c>
      <c r="V117">
        <v>126</v>
      </c>
      <c r="W117">
        <v>0.26899999999999902</v>
      </c>
      <c r="X117">
        <v>73</v>
      </c>
      <c r="Y117">
        <v>67</v>
      </c>
      <c r="Z117">
        <v>184</v>
      </c>
      <c r="AA117">
        <v>10</v>
      </c>
      <c r="AB117">
        <v>6.9</v>
      </c>
      <c r="AC117" t="s">
        <v>188</v>
      </c>
      <c r="AG117" t="s">
        <v>1790</v>
      </c>
      <c r="AH117" t="s">
        <v>1301</v>
      </c>
      <c r="AI117" s="245">
        <v>479.96</v>
      </c>
      <c r="AJ117" t="s">
        <v>1791</v>
      </c>
      <c r="AK117" t="s">
        <v>1792</v>
      </c>
      <c r="AL117" t="s">
        <v>1657</v>
      </c>
      <c r="AM117" s="245">
        <v>599.95000000000005</v>
      </c>
      <c r="AN117" t="s">
        <v>1793</v>
      </c>
      <c r="AO117" t="s">
        <v>1794</v>
      </c>
      <c r="AP117" t="s">
        <v>1179</v>
      </c>
      <c r="AQ117" s="245">
        <v>639.95000000000005</v>
      </c>
      <c r="AR117" t="s">
        <v>1795</v>
      </c>
      <c r="AS117" s="226" t="str">
        <f t="shared" si="2"/>
        <v>Experience 86 Basalt</v>
      </c>
      <c r="AT117" s="203" t="str">
        <f t="shared" si="3"/>
        <v xml:space="preserve"> RossignolExperience 86 Basalt176 Unisex</v>
      </c>
    </row>
    <row r="118" spans="1:46" ht="105.6">
      <c r="A118" t="s">
        <v>155</v>
      </c>
      <c r="B118" t="s">
        <v>215</v>
      </c>
      <c r="C118" t="s">
        <v>306</v>
      </c>
      <c r="D118">
        <v>172</v>
      </c>
      <c r="E118" t="s">
        <v>158</v>
      </c>
      <c r="F118">
        <v>172</v>
      </c>
      <c r="G118">
        <v>171.9</v>
      </c>
      <c r="H118">
        <v>140</v>
      </c>
      <c r="I118">
        <v>152</v>
      </c>
      <c r="J118">
        <v>130</v>
      </c>
      <c r="K118">
        <v>89</v>
      </c>
      <c r="L118">
        <v>113</v>
      </c>
      <c r="M118">
        <v>17.3</v>
      </c>
      <c r="N118">
        <v>1655</v>
      </c>
      <c r="O118">
        <v>1.06</v>
      </c>
      <c r="P118">
        <v>1748</v>
      </c>
      <c r="Q118">
        <v>199</v>
      </c>
      <c r="R118">
        <v>101</v>
      </c>
      <c r="S118">
        <v>36</v>
      </c>
      <c r="T118">
        <v>192</v>
      </c>
      <c r="U118">
        <v>9</v>
      </c>
      <c r="V118">
        <v>128</v>
      </c>
      <c r="W118">
        <v>0.253</v>
      </c>
      <c r="X118">
        <v>114</v>
      </c>
      <c r="Y118">
        <v>84</v>
      </c>
      <c r="Z118">
        <v>79</v>
      </c>
      <c r="AA118">
        <v>11</v>
      </c>
      <c r="AB118">
        <v>10.4</v>
      </c>
      <c r="AC118" t="s">
        <v>188</v>
      </c>
      <c r="AD118" t="s">
        <v>185</v>
      </c>
      <c r="AG118" t="s">
        <v>1796</v>
      </c>
      <c r="AH118" t="s">
        <v>1280</v>
      </c>
      <c r="AI118" s="245">
        <v>485.93</v>
      </c>
      <c r="AJ118" t="s">
        <v>1797</v>
      </c>
      <c r="AK118" t="s">
        <v>1798</v>
      </c>
      <c r="AL118" t="s">
        <v>1370</v>
      </c>
      <c r="AM118" s="245">
        <v>729.99</v>
      </c>
      <c r="AN118" t="s">
        <v>1799</v>
      </c>
      <c r="AO118" t="s">
        <v>1372</v>
      </c>
      <c r="AP118" t="s">
        <v>1277</v>
      </c>
      <c r="AQ118" s="245">
        <v>499.99</v>
      </c>
      <c r="AR118" t="s">
        <v>1800</v>
      </c>
      <c r="AS118" s="226" t="str">
        <f t="shared" si="2"/>
        <v>Evolv 90</v>
      </c>
      <c r="AT118" s="203" t="str">
        <f t="shared" si="3"/>
        <v xml:space="preserve"> LibertyEvolv 90172 Unisex</v>
      </c>
    </row>
    <row r="119" spans="1:46" ht="92.4">
      <c r="A119" t="s">
        <v>155</v>
      </c>
      <c r="B119" t="s">
        <v>205</v>
      </c>
      <c r="C119" t="s">
        <v>347</v>
      </c>
      <c r="D119">
        <v>178</v>
      </c>
      <c r="E119" t="s">
        <v>158</v>
      </c>
      <c r="F119">
        <v>178</v>
      </c>
      <c r="G119">
        <v>176.5</v>
      </c>
      <c r="H119">
        <v>139</v>
      </c>
      <c r="I119">
        <v>151</v>
      </c>
      <c r="J119">
        <v>119</v>
      </c>
      <c r="K119">
        <v>85</v>
      </c>
      <c r="L119">
        <v>109</v>
      </c>
      <c r="M119">
        <v>18.8</v>
      </c>
      <c r="N119">
        <v>1648</v>
      </c>
      <c r="O119">
        <v>1.03</v>
      </c>
      <c r="P119">
        <v>1703</v>
      </c>
      <c r="Q119">
        <v>216</v>
      </c>
      <c r="R119">
        <v>96</v>
      </c>
      <c r="S119">
        <v>48</v>
      </c>
      <c r="T119">
        <v>226</v>
      </c>
      <c r="U119">
        <v>17</v>
      </c>
      <c r="V119">
        <v>146</v>
      </c>
      <c r="W119">
        <v>0.34499999999999997</v>
      </c>
      <c r="X119">
        <v>157</v>
      </c>
      <c r="Y119">
        <v>97</v>
      </c>
      <c r="Z119">
        <v>69</v>
      </c>
      <c r="AA119">
        <v>9</v>
      </c>
      <c r="AB119">
        <v>10.3</v>
      </c>
      <c r="AC119" t="s">
        <v>231</v>
      </c>
      <c r="AD119" t="s">
        <v>188</v>
      </c>
      <c r="AG119" t="s">
        <v>1801</v>
      </c>
      <c r="AH119" t="s">
        <v>1248</v>
      </c>
      <c r="AI119" s="245">
        <v>479.2</v>
      </c>
      <c r="AJ119" t="s">
        <v>1802</v>
      </c>
      <c r="AK119" t="s">
        <v>1803</v>
      </c>
      <c r="AL119" t="s">
        <v>1804</v>
      </c>
      <c r="AM119" s="245">
        <v>222</v>
      </c>
      <c r="AN119" t="s">
        <v>1805</v>
      </c>
      <c r="AO119" t="s">
        <v>1806</v>
      </c>
      <c r="AP119" t="s">
        <v>1807</v>
      </c>
      <c r="AQ119" s="245">
        <v>429.99</v>
      </c>
      <c r="AR119" t="s">
        <v>1808</v>
      </c>
      <c r="AS119" s="226" t="str">
        <f t="shared" si="2"/>
        <v>Dictator FG 1.0</v>
      </c>
      <c r="AT119" s="203" t="str">
        <f t="shared" si="3"/>
        <v xml:space="preserve"> FactionDictator FG 1.0178 Unisex</v>
      </c>
    </row>
    <row r="120" spans="1:46" ht="105.6">
      <c r="A120" t="s">
        <v>155</v>
      </c>
      <c r="B120" t="s">
        <v>1395</v>
      </c>
      <c r="C120" t="s">
        <v>348</v>
      </c>
      <c r="D120">
        <v>177</v>
      </c>
      <c r="E120" t="s">
        <v>158</v>
      </c>
      <c r="F120">
        <v>177</v>
      </c>
      <c r="G120">
        <v>177</v>
      </c>
      <c r="H120">
        <v>158</v>
      </c>
      <c r="I120">
        <v>165</v>
      </c>
      <c r="J120">
        <v>128</v>
      </c>
      <c r="K120">
        <v>78</v>
      </c>
      <c r="L120">
        <v>108</v>
      </c>
      <c r="M120">
        <v>17.100000000000001</v>
      </c>
      <c r="N120">
        <v>1831</v>
      </c>
      <c r="O120">
        <v>0.89</v>
      </c>
      <c r="P120">
        <v>1637</v>
      </c>
      <c r="Q120">
        <v>215</v>
      </c>
      <c r="R120">
        <v>79</v>
      </c>
      <c r="S120">
        <v>34</v>
      </c>
      <c r="T120">
        <v>126</v>
      </c>
      <c r="U120">
        <v>5</v>
      </c>
      <c r="V120">
        <v>65</v>
      </c>
      <c r="W120">
        <v>0.159</v>
      </c>
      <c r="X120">
        <v>69</v>
      </c>
      <c r="Y120">
        <v>50</v>
      </c>
      <c r="Z120">
        <v>57</v>
      </c>
      <c r="AA120">
        <v>7</v>
      </c>
      <c r="AB120">
        <v>11.6</v>
      </c>
      <c r="AC120" t="s">
        <v>349</v>
      </c>
      <c r="AG120" t="s">
        <v>1809</v>
      </c>
      <c r="AH120" t="s">
        <v>1179</v>
      </c>
      <c r="AI120" s="245">
        <v>799.99</v>
      </c>
      <c r="AJ120" t="s">
        <v>1810</v>
      </c>
      <c r="AK120" t="s">
        <v>1809</v>
      </c>
      <c r="AL120" t="s">
        <v>1402</v>
      </c>
      <c r="AM120" s="245">
        <v>799.99</v>
      </c>
      <c r="AN120" t="s">
        <v>1811</v>
      </c>
      <c r="AO120" t="s">
        <v>1812</v>
      </c>
      <c r="AP120" t="s">
        <v>1320</v>
      </c>
      <c r="AQ120" s="245">
        <v>719.99</v>
      </c>
      <c r="AR120" t="s">
        <v>1813</v>
      </c>
      <c r="AS120" s="226" t="str">
        <f t="shared" si="2"/>
        <v>Deacon 79</v>
      </c>
      <c r="AT120" s="203" t="str">
        <f t="shared" si="3"/>
        <v xml:space="preserve"> Vï¿½lklDeacon 79177 Unisex</v>
      </c>
    </row>
    <row r="121" spans="1:46" ht="92.4">
      <c r="A121" t="s">
        <v>155</v>
      </c>
      <c r="B121" t="s">
        <v>218</v>
      </c>
      <c r="C121" t="s">
        <v>350</v>
      </c>
      <c r="D121">
        <v>171</v>
      </c>
      <c r="E121" t="s">
        <v>158</v>
      </c>
      <c r="F121">
        <v>171</v>
      </c>
      <c r="G121">
        <v>169.1</v>
      </c>
      <c r="H121">
        <v>112</v>
      </c>
      <c r="I121">
        <v>124</v>
      </c>
      <c r="J121">
        <v>129</v>
      </c>
      <c r="K121">
        <v>100</v>
      </c>
      <c r="L121">
        <v>115</v>
      </c>
      <c r="M121">
        <v>15</v>
      </c>
      <c r="N121">
        <v>1718</v>
      </c>
      <c r="O121">
        <v>1.08</v>
      </c>
      <c r="P121">
        <v>1858</v>
      </c>
      <c r="Q121">
        <v>192</v>
      </c>
      <c r="R121">
        <v>99</v>
      </c>
      <c r="S121">
        <v>56</v>
      </c>
      <c r="T121">
        <v>335</v>
      </c>
      <c r="U121">
        <v>26</v>
      </c>
      <c r="V121">
        <v>233</v>
      </c>
      <c r="W121">
        <v>0.45600000000000002</v>
      </c>
      <c r="X121">
        <v>237</v>
      </c>
      <c r="Y121">
        <v>211</v>
      </c>
      <c r="Z121">
        <v>98</v>
      </c>
      <c r="AA121">
        <v>8</v>
      </c>
      <c r="AB121">
        <v>12.4</v>
      </c>
      <c r="AC121" t="s">
        <v>188</v>
      </c>
      <c r="AD121" t="s">
        <v>185</v>
      </c>
      <c r="AG121" t="s">
        <v>1814</v>
      </c>
      <c r="AH121" t="s">
        <v>1248</v>
      </c>
      <c r="AI121" s="245">
        <v>1039.2</v>
      </c>
      <c r="AJ121" t="s">
        <v>1815</v>
      </c>
      <c r="AK121" t="s">
        <v>1816</v>
      </c>
      <c r="AL121" t="s">
        <v>1271</v>
      </c>
      <c r="AM121" s="245">
        <v>1039.93</v>
      </c>
      <c r="AN121" t="s">
        <v>1817</v>
      </c>
      <c r="AO121" t="s">
        <v>1816</v>
      </c>
      <c r="AP121" t="s">
        <v>1244</v>
      </c>
      <c r="AQ121" s="245">
        <v>1299</v>
      </c>
      <c r="AR121" t="s">
        <v>1818</v>
      </c>
      <c r="AS121" s="226" t="str">
        <f t="shared" si="2"/>
        <v>Pagoda 100 RP</v>
      </c>
      <c r="AT121" s="203" t="str">
        <f t="shared" si="3"/>
        <v xml:space="preserve"> DPSPagoda 100 RP171 Unisex</v>
      </c>
    </row>
    <row r="122" spans="1:46" ht="66">
      <c r="A122" t="s">
        <v>155</v>
      </c>
      <c r="B122" t="s">
        <v>215</v>
      </c>
      <c r="C122" t="s">
        <v>302</v>
      </c>
      <c r="D122">
        <v>158</v>
      </c>
      <c r="E122" t="s">
        <v>163</v>
      </c>
      <c r="F122">
        <v>158</v>
      </c>
      <c r="G122">
        <v>157.5</v>
      </c>
      <c r="H122">
        <v>125</v>
      </c>
      <c r="I122">
        <v>137</v>
      </c>
      <c r="J122">
        <v>131</v>
      </c>
      <c r="K122">
        <v>90</v>
      </c>
      <c r="L122">
        <v>113</v>
      </c>
      <c r="M122">
        <v>14</v>
      </c>
      <c r="N122">
        <v>1547</v>
      </c>
      <c r="O122">
        <v>1.04</v>
      </c>
      <c r="P122">
        <v>1614</v>
      </c>
      <c r="Q122">
        <v>178</v>
      </c>
      <c r="R122">
        <v>97</v>
      </c>
      <c r="S122">
        <v>36</v>
      </c>
      <c r="T122">
        <v>202</v>
      </c>
      <c r="U122">
        <v>11</v>
      </c>
      <c r="V122">
        <v>120</v>
      </c>
      <c r="W122">
        <v>0.29599999999999999</v>
      </c>
      <c r="X122">
        <v>111</v>
      </c>
      <c r="Y122">
        <v>91</v>
      </c>
      <c r="Z122">
        <v>91</v>
      </c>
      <c r="AA122">
        <v>7</v>
      </c>
      <c r="AB122">
        <v>11</v>
      </c>
      <c r="AC122" t="s">
        <v>188</v>
      </c>
      <c r="AG122" t="s">
        <v>1819</v>
      </c>
      <c r="AH122" t="s">
        <v>1370</v>
      </c>
      <c r="AI122" s="245">
        <v>649.99</v>
      </c>
      <c r="AJ122" t="s">
        <v>1820</v>
      </c>
      <c r="AK122" t="s">
        <v>1821</v>
      </c>
      <c r="AL122" t="s">
        <v>1240</v>
      </c>
      <c r="AM122" s="245">
        <v>399.95</v>
      </c>
      <c r="AN122" t="s">
        <v>1822</v>
      </c>
      <c r="AO122" t="s">
        <v>1823</v>
      </c>
      <c r="AP122" t="s">
        <v>1450</v>
      </c>
      <c r="AQ122" s="245">
        <v>499.95</v>
      </c>
      <c r="AR122" t="s">
        <v>1824</v>
      </c>
      <c r="AS122" s="226" t="str">
        <f t="shared" si="2"/>
        <v>Evolv 90W</v>
      </c>
      <c r="AT122" s="203" t="str">
        <f t="shared" si="3"/>
        <v xml:space="preserve"> LibertyEvolv 90W158 Women's</v>
      </c>
    </row>
    <row r="123" spans="1:46" ht="52.8">
      <c r="A123" t="s">
        <v>155</v>
      </c>
      <c r="B123" t="s">
        <v>208</v>
      </c>
      <c r="C123" t="s">
        <v>352</v>
      </c>
      <c r="D123">
        <v>179</v>
      </c>
      <c r="E123" t="s">
        <v>158</v>
      </c>
      <c r="F123">
        <v>179</v>
      </c>
      <c r="G123">
        <v>179</v>
      </c>
      <c r="H123">
        <v>126</v>
      </c>
      <c r="I123">
        <v>140</v>
      </c>
      <c r="J123">
        <v>136</v>
      </c>
      <c r="K123">
        <v>103</v>
      </c>
      <c r="L123">
        <v>121</v>
      </c>
      <c r="M123">
        <v>18.100000000000001</v>
      </c>
      <c r="N123">
        <v>1769</v>
      </c>
      <c r="O123">
        <v>1.1499999999999999</v>
      </c>
      <c r="P123">
        <v>2031</v>
      </c>
      <c r="Q123">
        <v>183</v>
      </c>
      <c r="R123">
        <v>98</v>
      </c>
      <c r="S123">
        <v>47</v>
      </c>
      <c r="T123">
        <v>326</v>
      </c>
      <c r="U123">
        <v>19</v>
      </c>
      <c r="V123">
        <v>202</v>
      </c>
      <c r="W123">
        <v>0.41</v>
      </c>
      <c r="X123">
        <v>193</v>
      </c>
      <c r="Y123">
        <v>198</v>
      </c>
      <c r="Z123">
        <v>133</v>
      </c>
      <c r="AA123">
        <v>6</v>
      </c>
      <c r="AB123">
        <v>10.6</v>
      </c>
      <c r="AC123" t="s">
        <v>188</v>
      </c>
      <c r="AD123" t="s">
        <v>169</v>
      </c>
      <c r="AE123" t="s">
        <v>185</v>
      </c>
      <c r="AG123" t="s">
        <v>1825</v>
      </c>
      <c r="AH123" t="s">
        <v>1256</v>
      </c>
      <c r="AI123" s="245">
        <v>418.95</v>
      </c>
      <c r="AJ123" t="s">
        <v>1826</v>
      </c>
      <c r="AK123" t="s">
        <v>1825</v>
      </c>
      <c r="AL123" t="s">
        <v>1191</v>
      </c>
      <c r="AM123" s="245">
        <v>424.95</v>
      </c>
      <c r="AN123" t="s">
        <v>1827</v>
      </c>
      <c r="AO123" t="s">
        <v>1825</v>
      </c>
      <c r="AP123" t="s">
        <v>1248</v>
      </c>
      <c r="AQ123" s="245">
        <v>479.96</v>
      </c>
      <c r="AR123" t="s">
        <v>1828</v>
      </c>
      <c r="AS123" s="226" t="str">
        <f t="shared" si="2"/>
        <v>Sick Day 104</v>
      </c>
      <c r="AT123" s="203" t="str">
        <f t="shared" si="3"/>
        <v xml:space="preserve"> LineSick Day 104179 Unisex</v>
      </c>
    </row>
    <row r="124" spans="1:46" ht="79.2">
      <c r="A124" t="s">
        <v>155</v>
      </c>
      <c r="B124" t="s">
        <v>354</v>
      </c>
      <c r="C124" t="s">
        <v>355</v>
      </c>
      <c r="D124">
        <v>182</v>
      </c>
      <c r="E124" t="s">
        <v>158</v>
      </c>
      <c r="F124">
        <v>182</v>
      </c>
      <c r="G124">
        <v>182.6</v>
      </c>
      <c r="H124">
        <v>130</v>
      </c>
      <c r="I124">
        <v>148</v>
      </c>
      <c r="J124">
        <v>131</v>
      </c>
      <c r="K124">
        <v>97</v>
      </c>
      <c r="L124">
        <v>118</v>
      </c>
      <c r="M124">
        <v>17.899999999999999</v>
      </c>
      <c r="N124">
        <v>1920</v>
      </c>
      <c r="O124">
        <v>1.03</v>
      </c>
      <c r="P124">
        <v>1975</v>
      </c>
      <c r="Q124">
        <v>224</v>
      </c>
      <c r="R124">
        <v>96</v>
      </c>
      <c r="S124">
        <v>46</v>
      </c>
      <c r="T124">
        <v>300</v>
      </c>
      <c r="U124">
        <v>25</v>
      </c>
      <c r="V124">
        <v>223</v>
      </c>
      <c r="W124">
        <v>0.55200000000000005</v>
      </c>
      <c r="X124">
        <v>215</v>
      </c>
      <c r="Y124">
        <v>135</v>
      </c>
      <c r="Z124">
        <v>85</v>
      </c>
      <c r="AA124">
        <v>6</v>
      </c>
      <c r="AB124">
        <v>8.9</v>
      </c>
      <c r="AC124" t="s">
        <v>188</v>
      </c>
      <c r="AG124" t="s">
        <v>1829</v>
      </c>
      <c r="AH124" t="s">
        <v>1471</v>
      </c>
      <c r="AI124" s="245">
        <v>490</v>
      </c>
      <c r="AJ124" t="s">
        <v>1830</v>
      </c>
      <c r="AK124" t="s">
        <v>1831</v>
      </c>
      <c r="AL124" t="s">
        <v>1265</v>
      </c>
      <c r="AM124" s="245">
        <v>513.27</v>
      </c>
      <c r="AN124" t="s">
        <v>1832</v>
      </c>
      <c r="AO124" t="s">
        <v>1831</v>
      </c>
      <c r="AP124" t="s">
        <v>1833</v>
      </c>
      <c r="AQ124" s="245">
        <v>524.99</v>
      </c>
      <c r="AR124" t="s">
        <v>1834</v>
      </c>
      <c r="AS124" s="226" t="str">
        <f t="shared" si="2"/>
        <v>Impulse 98</v>
      </c>
      <c r="AT124" s="203" t="str">
        <f t="shared" si="3"/>
        <v xml:space="preserve"> Black DiamondImpulse 98182 Unisex</v>
      </c>
    </row>
    <row r="125" spans="1:46" ht="66">
      <c r="A125" t="s">
        <v>155</v>
      </c>
      <c r="B125" t="s">
        <v>1160</v>
      </c>
      <c r="C125" t="s">
        <v>263</v>
      </c>
      <c r="D125">
        <v>186</v>
      </c>
      <c r="E125" t="s">
        <v>158</v>
      </c>
      <c r="F125">
        <v>186</v>
      </c>
      <c r="G125">
        <v>185.7</v>
      </c>
      <c r="H125">
        <v>129</v>
      </c>
      <c r="I125">
        <v>152</v>
      </c>
      <c r="J125">
        <v>136</v>
      </c>
      <c r="K125">
        <v>105</v>
      </c>
      <c r="L125">
        <v>123</v>
      </c>
      <c r="M125">
        <v>23.7</v>
      </c>
      <c r="N125">
        <v>1680</v>
      </c>
      <c r="O125">
        <v>1.26</v>
      </c>
      <c r="P125">
        <v>2121</v>
      </c>
      <c r="Q125">
        <v>224</v>
      </c>
      <c r="R125">
        <v>115</v>
      </c>
      <c r="S125">
        <v>42</v>
      </c>
      <c r="T125">
        <v>358</v>
      </c>
      <c r="U125">
        <v>13</v>
      </c>
      <c r="V125">
        <v>210</v>
      </c>
      <c r="W125">
        <v>0.318</v>
      </c>
      <c r="X125">
        <v>195</v>
      </c>
      <c r="Y125">
        <v>138</v>
      </c>
      <c r="Z125">
        <v>163</v>
      </c>
      <c r="AA125">
        <v>6</v>
      </c>
      <c r="AB125">
        <v>12.9</v>
      </c>
      <c r="AC125" t="s">
        <v>178</v>
      </c>
      <c r="AD125" t="s">
        <v>185</v>
      </c>
      <c r="AE125" t="s">
        <v>198</v>
      </c>
      <c r="AG125" t="s">
        <v>1835</v>
      </c>
      <c r="AH125" t="s">
        <v>1194</v>
      </c>
      <c r="AI125" s="245">
        <v>367.9</v>
      </c>
      <c r="AJ125" t="s">
        <v>1836</v>
      </c>
      <c r="AK125" t="s">
        <v>1835</v>
      </c>
      <c r="AL125" t="s">
        <v>1326</v>
      </c>
      <c r="AM125" s="245">
        <v>470.29</v>
      </c>
      <c r="AN125" t="s">
        <v>1837</v>
      </c>
      <c r="AO125" t="s">
        <v>1838</v>
      </c>
      <c r="AP125" t="s">
        <v>1509</v>
      </c>
      <c r="AQ125" s="245">
        <v>470.99</v>
      </c>
      <c r="AR125" t="s">
        <v>1839</v>
      </c>
      <c r="AS125" s="226" t="str">
        <f t="shared" si="2"/>
        <v>Wayback 106</v>
      </c>
      <c r="AT125" s="203" t="str">
        <f t="shared" si="3"/>
        <v>K2Wayback 106186 Unisex</v>
      </c>
    </row>
    <row r="126" spans="1:46" ht="118.8">
      <c r="A126" t="s">
        <v>155</v>
      </c>
      <c r="B126" t="s">
        <v>1361</v>
      </c>
      <c r="C126" t="s">
        <v>357</v>
      </c>
      <c r="D126">
        <v>156</v>
      </c>
      <c r="E126" t="s">
        <v>163</v>
      </c>
      <c r="F126">
        <v>156</v>
      </c>
      <c r="G126">
        <v>155.30000000000001</v>
      </c>
      <c r="H126">
        <v>126</v>
      </c>
      <c r="I126">
        <v>134</v>
      </c>
      <c r="J126">
        <v>133</v>
      </c>
      <c r="K126">
        <v>96</v>
      </c>
      <c r="L126">
        <v>120</v>
      </c>
      <c r="M126">
        <v>13.6</v>
      </c>
      <c r="N126">
        <v>1585</v>
      </c>
      <c r="O126">
        <v>1.06</v>
      </c>
      <c r="P126">
        <v>1673</v>
      </c>
      <c r="Q126">
        <v>168</v>
      </c>
      <c r="R126">
        <v>95</v>
      </c>
      <c r="S126">
        <v>45</v>
      </c>
      <c r="T126">
        <v>211</v>
      </c>
      <c r="U126">
        <v>9</v>
      </c>
      <c r="V126">
        <v>79</v>
      </c>
      <c r="W126">
        <v>0.19699999999999901</v>
      </c>
      <c r="X126">
        <v>155</v>
      </c>
      <c r="Y126">
        <v>55</v>
      </c>
      <c r="Z126">
        <v>55</v>
      </c>
      <c r="AA126">
        <v>4</v>
      </c>
      <c r="AB126">
        <v>12.7</v>
      </c>
      <c r="AC126" t="s">
        <v>188</v>
      </c>
      <c r="AD126" t="s">
        <v>185</v>
      </c>
      <c r="AG126" t="s">
        <v>1840</v>
      </c>
      <c r="AH126" t="s">
        <v>1627</v>
      </c>
      <c r="AI126" s="245">
        <v>1049</v>
      </c>
      <c r="AJ126" t="s">
        <v>1841</v>
      </c>
      <c r="AK126" t="s">
        <v>1842</v>
      </c>
      <c r="AL126" t="s">
        <v>1843</v>
      </c>
      <c r="AM126" s="245">
        <v>1049</v>
      </c>
      <c r="AN126" t="s">
        <v>1844</v>
      </c>
      <c r="AO126" t="s">
        <v>1845</v>
      </c>
      <c r="AP126" t="s">
        <v>1365</v>
      </c>
      <c r="AQ126" s="245">
        <v>1149</v>
      </c>
      <c r="AR126" t="s">
        <v>1846</v>
      </c>
      <c r="AS126" s="226" t="str">
        <f t="shared" si="2"/>
        <v>Nela 96</v>
      </c>
      <c r="AT126" s="203" t="str">
        <f t="shared" si="3"/>
        <v xml:space="preserve"> Stï¿½ckliNela 96156 Women's</v>
      </c>
    </row>
    <row r="127" spans="1:46" ht="79.2">
      <c r="A127" t="s">
        <v>155</v>
      </c>
      <c r="B127" t="s">
        <v>295</v>
      </c>
      <c r="C127" t="s">
        <v>359</v>
      </c>
      <c r="D127">
        <v>171</v>
      </c>
      <c r="E127" t="s">
        <v>158</v>
      </c>
      <c r="F127">
        <v>171</v>
      </c>
      <c r="G127">
        <v>168.6</v>
      </c>
      <c r="H127">
        <v>118</v>
      </c>
      <c r="I127">
        <v>134</v>
      </c>
      <c r="J127">
        <v>132</v>
      </c>
      <c r="K127">
        <v>101</v>
      </c>
      <c r="L127">
        <v>116</v>
      </c>
      <c r="M127">
        <v>18.8</v>
      </c>
      <c r="N127">
        <v>1582</v>
      </c>
      <c r="O127">
        <v>1.17</v>
      </c>
      <c r="P127">
        <v>1854</v>
      </c>
      <c r="Q127">
        <v>211</v>
      </c>
      <c r="R127">
        <v>88</v>
      </c>
      <c r="S127">
        <v>64</v>
      </c>
      <c r="T127">
        <v>329</v>
      </c>
      <c r="U127">
        <v>25</v>
      </c>
      <c r="V127">
        <v>177</v>
      </c>
      <c r="W127">
        <v>0.39500000000000002</v>
      </c>
      <c r="X127">
        <v>238</v>
      </c>
      <c r="Y127">
        <v>105</v>
      </c>
      <c r="Z127">
        <v>91</v>
      </c>
      <c r="AA127">
        <v>5</v>
      </c>
      <c r="AB127">
        <v>9.5</v>
      </c>
      <c r="AC127" t="s">
        <v>188</v>
      </c>
      <c r="AD127" t="s">
        <v>169</v>
      </c>
      <c r="AE127" t="s">
        <v>178</v>
      </c>
      <c r="AF127" t="s">
        <v>185</v>
      </c>
      <c r="AG127" t="s">
        <v>1847</v>
      </c>
      <c r="AH127" t="s">
        <v>1848</v>
      </c>
      <c r="AI127" s="245">
        <v>531.20000000000005</v>
      </c>
      <c r="AJ127" t="s">
        <v>1849</v>
      </c>
      <c r="AK127" t="s">
        <v>1850</v>
      </c>
      <c r="AL127" t="s">
        <v>1248</v>
      </c>
      <c r="AM127" s="245">
        <v>584.25</v>
      </c>
      <c r="AN127" t="s">
        <v>1851</v>
      </c>
      <c r="AO127" t="s">
        <v>1850</v>
      </c>
      <c r="AP127" t="s">
        <v>1280</v>
      </c>
      <c r="AQ127" s="245">
        <v>598.92999999999995</v>
      </c>
      <c r="AR127" t="s">
        <v>1852</v>
      </c>
      <c r="AS127" s="226" t="str">
        <f t="shared" si="2"/>
        <v>Natural 101</v>
      </c>
      <c r="AT127" s="203" t="str">
        <f t="shared" si="3"/>
        <v xml:space="preserve"> IcelanticNatural 101171 Unisex</v>
      </c>
    </row>
    <row r="128" spans="1:46" ht="79.2">
      <c r="A128" t="s">
        <v>155</v>
      </c>
      <c r="B128" t="s">
        <v>237</v>
      </c>
      <c r="C128" t="s">
        <v>361</v>
      </c>
      <c r="D128">
        <v>183.3</v>
      </c>
      <c r="E128" t="s">
        <v>158</v>
      </c>
      <c r="F128">
        <v>183.3</v>
      </c>
      <c r="G128">
        <v>182.3</v>
      </c>
      <c r="H128">
        <v>141</v>
      </c>
      <c r="I128">
        <v>150</v>
      </c>
      <c r="J128">
        <v>136</v>
      </c>
      <c r="K128">
        <v>95</v>
      </c>
      <c r="L128">
        <v>116</v>
      </c>
      <c r="M128">
        <v>17.3</v>
      </c>
      <c r="N128">
        <v>1615</v>
      </c>
      <c r="O128">
        <v>1.22</v>
      </c>
      <c r="P128">
        <v>1966</v>
      </c>
      <c r="Q128">
        <v>229</v>
      </c>
      <c r="R128">
        <v>113</v>
      </c>
      <c r="S128">
        <v>43</v>
      </c>
      <c r="T128">
        <v>248</v>
      </c>
      <c r="U128">
        <v>13</v>
      </c>
      <c r="V128">
        <v>167</v>
      </c>
      <c r="W128">
        <v>0.312</v>
      </c>
      <c r="X128">
        <v>179</v>
      </c>
      <c r="Y128">
        <v>142</v>
      </c>
      <c r="Z128">
        <v>69</v>
      </c>
      <c r="AA128">
        <v>8</v>
      </c>
      <c r="AB128">
        <v>9</v>
      </c>
      <c r="AC128" t="s">
        <v>188</v>
      </c>
      <c r="AD128" t="s">
        <v>185</v>
      </c>
      <c r="AG128" t="s">
        <v>1853</v>
      </c>
      <c r="AH128" t="s">
        <v>1424</v>
      </c>
      <c r="AI128" s="245">
        <v>514.99</v>
      </c>
      <c r="AJ128" t="s">
        <v>1854</v>
      </c>
      <c r="AK128" t="s">
        <v>1853</v>
      </c>
      <c r="AL128" t="s">
        <v>1244</v>
      </c>
      <c r="AM128" s="245">
        <v>591.96</v>
      </c>
      <c r="AN128" t="s">
        <v>1855</v>
      </c>
      <c r="AO128" t="s">
        <v>1853</v>
      </c>
      <c r="AP128" t="s">
        <v>1224</v>
      </c>
      <c r="AQ128" s="245">
        <v>591.96</v>
      </c>
      <c r="AR128" t="s">
        <v>1856</v>
      </c>
      <c r="AS128" s="226" t="str">
        <f t="shared" si="2"/>
        <v>Camox Freebird</v>
      </c>
      <c r="AT128" s="203" t="str">
        <f t="shared" si="3"/>
        <v xml:space="preserve"> Black CrowsCamox Freebird183.3 Unisex</v>
      </c>
    </row>
    <row r="129" spans="1:46" ht="66">
      <c r="A129" t="s">
        <v>155</v>
      </c>
      <c r="B129" t="s">
        <v>237</v>
      </c>
      <c r="C129" t="s">
        <v>363</v>
      </c>
      <c r="D129">
        <v>180.1</v>
      </c>
      <c r="E129" t="s">
        <v>158</v>
      </c>
      <c r="F129">
        <v>180.1</v>
      </c>
      <c r="G129">
        <v>179.2</v>
      </c>
      <c r="H129">
        <v>123</v>
      </c>
      <c r="I129">
        <v>157</v>
      </c>
      <c r="J129">
        <v>131</v>
      </c>
      <c r="K129">
        <v>92</v>
      </c>
      <c r="L129">
        <v>114</v>
      </c>
      <c r="M129">
        <v>19.399999999999999</v>
      </c>
      <c r="N129">
        <v>1828</v>
      </c>
      <c r="O129">
        <v>1.01</v>
      </c>
      <c r="P129">
        <v>1855</v>
      </c>
      <c r="Q129">
        <v>221</v>
      </c>
      <c r="R129">
        <v>97</v>
      </c>
      <c r="S129">
        <v>54</v>
      </c>
      <c r="T129">
        <v>333</v>
      </c>
      <c r="U129">
        <v>11</v>
      </c>
      <c r="V129">
        <v>230</v>
      </c>
      <c r="W129">
        <v>0.19800000000000001</v>
      </c>
      <c r="X129">
        <v>111</v>
      </c>
      <c r="Y129">
        <v>109</v>
      </c>
      <c r="Z129">
        <v>222</v>
      </c>
      <c r="AA129">
        <v>4</v>
      </c>
      <c r="AB129">
        <v>8.1999999999999993</v>
      </c>
      <c r="AC129" t="s">
        <v>188</v>
      </c>
      <c r="AG129" t="s">
        <v>1857</v>
      </c>
      <c r="AH129" t="s">
        <v>1858</v>
      </c>
      <c r="AI129" s="245">
        <v>671</v>
      </c>
      <c r="AJ129" t="s">
        <v>1859</v>
      </c>
      <c r="AK129" t="s">
        <v>1857</v>
      </c>
      <c r="AL129" t="s">
        <v>1271</v>
      </c>
      <c r="AM129" s="245">
        <v>671.93</v>
      </c>
      <c r="AN129" t="s">
        <v>1860</v>
      </c>
      <c r="AO129" t="s">
        <v>1857</v>
      </c>
      <c r="AP129" t="s">
        <v>1224</v>
      </c>
      <c r="AQ129" s="245">
        <v>671.96</v>
      </c>
      <c r="AR129" t="s">
        <v>1861</v>
      </c>
      <c r="AS129" s="226" t="str">
        <f t="shared" si="2"/>
        <v>Serpo</v>
      </c>
      <c r="AT129" s="203" t="str">
        <f t="shared" si="3"/>
        <v xml:space="preserve"> Black CrowsSerpo180.1 Unisex</v>
      </c>
    </row>
    <row r="130" spans="1:46" ht="26.4">
      <c r="A130" t="s">
        <v>155</v>
      </c>
      <c r="B130" t="s">
        <v>321</v>
      </c>
      <c r="C130" t="s">
        <v>365</v>
      </c>
      <c r="D130">
        <v>172</v>
      </c>
      <c r="E130" t="s">
        <v>158</v>
      </c>
      <c r="F130">
        <v>172</v>
      </c>
      <c r="G130">
        <v>172.7</v>
      </c>
      <c r="H130">
        <v>118</v>
      </c>
      <c r="I130">
        <v>136</v>
      </c>
      <c r="J130">
        <v>133</v>
      </c>
      <c r="K130">
        <v>103</v>
      </c>
      <c r="L130">
        <v>125</v>
      </c>
      <c r="M130">
        <v>14.8</v>
      </c>
      <c r="N130">
        <v>1660</v>
      </c>
      <c r="O130">
        <v>1.19</v>
      </c>
      <c r="P130">
        <v>1973</v>
      </c>
      <c r="Q130">
        <v>201</v>
      </c>
      <c r="R130">
        <v>84</v>
      </c>
      <c r="S130">
        <v>46</v>
      </c>
      <c r="T130">
        <v>328</v>
      </c>
      <c r="U130">
        <v>27</v>
      </c>
      <c r="V130">
        <v>220</v>
      </c>
      <c r="W130">
        <v>0.57199999999999995</v>
      </c>
      <c r="X130">
        <v>250</v>
      </c>
      <c r="Y130">
        <v>116</v>
      </c>
      <c r="Z130">
        <v>78</v>
      </c>
      <c r="AA130">
        <v>10</v>
      </c>
      <c r="AB130">
        <v>9.5</v>
      </c>
      <c r="AC130" t="s">
        <v>188</v>
      </c>
      <c r="AD130" t="s">
        <v>169</v>
      </c>
      <c r="AE130" t="s">
        <v>185</v>
      </c>
      <c r="AS130" s="226" t="str">
        <f t="shared" ref="AS130:AS193" si="4">IF(LEFT(C130,1)=" ",RIGHT(C130,LEN(C130)-1),C130)</f>
        <v>Pionnier 104</v>
      </c>
      <c r="AT130" s="203" t="str">
        <f t="shared" ref="AT130:AT193" si="5">_xlfn.CONCAT(B130,AS130,D130,E130)</f>
        <v xml:space="preserve"> FerreolPionnier 104172 Unisex</v>
      </c>
    </row>
    <row r="131" spans="1:46" ht="79.2">
      <c r="A131" t="s">
        <v>155</v>
      </c>
      <c r="B131" t="s">
        <v>164</v>
      </c>
      <c r="C131" t="s">
        <v>366</v>
      </c>
      <c r="D131">
        <v>170</v>
      </c>
      <c r="E131" t="s">
        <v>163</v>
      </c>
      <c r="F131">
        <v>170</v>
      </c>
      <c r="G131">
        <v>170.3</v>
      </c>
      <c r="H131">
        <v>127</v>
      </c>
      <c r="I131">
        <v>136</v>
      </c>
      <c r="J131">
        <v>143</v>
      </c>
      <c r="K131">
        <v>105</v>
      </c>
      <c r="L131">
        <v>120</v>
      </c>
      <c r="M131">
        <v>16.399999999999999</v>
      </c>
      <c r="N131">
        <v>1797</v>
      </c>
      <c r="O131">
        <v>1.1000000000000001</v>
      </c>
      <c r="P131">
        <v>1982</v>
      </c>
      <c r="Q131">
        <v>205</v>
      </c>
      <c r="R131">
        <v>86</v>
      </c>
      <c r="S131">
        <v>47</v>
      </c>
      <c r="T131">
        <v>266</v>
      </c>
      <c r="U131">
        <v>17</v>
      </c>
      <c r="V131">
        <v>167</v>
      </c>
      <c r="W131">
        <v>0.35499999999999998</v>
      </c>
      <c r="X131">
        <v>174</v>
      </c>
      <c r="Y131">
        <v>167</v>
      </c>
      <c r="Z131">
        <v>92</v>
      </c>
      <c r="AA131">
        <v>5</v>
      </c>
      <c r="AB131">
        <v>8.6999999999999993</v>
      </c>
      <c r="AC131" t="s">
        <v>188</v>
      </c>
      <c r="AD131" t="s">
        <v>169</v>
      </c>
      <c r="AE131" t="s">
        <v>178</v>
      </c>
      <c r="AF131" t="s">
        <v>185</v>
      </c>
      <c r="AG131" t="s">
        <v>1862</v>
      </c>
      <c r="AH131" t="s">
        <v>1265</v>
      </c>
      <c r="AI131" s="245">
        <v>601.49</v>
      </c>
      <c r="AJ131" t="s">
        <v>1863</v>
      </c>
      <c r="AK131" t="s">
        <v>1864</v>
      </c>
      <c r="AL131" t="s">
        <v>1194</v>
      </c>
      <c r="AM131" s="245">
        <v>414</v>
      </c>
      <c r="AN131" t="s">
        <v>1865</v>
      </c>
      <c r="AO131" t="s">
        <v>1864</v>
      </c>
      <c r="AP131" t="s">
        <v>1191</v>
      </c>
      <c r="AQ131" s="245">
        <v>449.95</v>
      </c>
      <c r="AR131" t="s">
        <v>1866</v>
      </c>
      <c r="AS131" s="226" t="str">
        <f t="shared" si="4"/>
        <v>Ripstick 102 W</v>
      </c>
      <c r="AT131" s="203" t="str">
        <f t="shared" si="5"/>
        <v xml:space="preserve"> ElanRipstick 102 W170 Women's</v>
      </c>
    </row>
    <row r="132" spans="1:46" ht="118.8">
      <c r="A132" t="s">
        <v>155</v>
      </c>
      <c r="B132" t="s">
        <v>1160</v>
      </c>
      <c r="C132" t="s">
        <v>367</v>
      </c>
      <c r="D132">
        <v>179</v>
      </c>
      <c r="E132" t="s">
        <v>158</v>
      </c>
      <c r="F132">
        <v>179</v>
      </c>
      <c r="G132">
        <v>179</v>
      </c>
      <c r="H132">
        <v>101</v>
      </c>
      <c r="I132">
        <v>141</v>
      </c>
      <c r="J132">
        <v>142</v>
      </c>
      <c r="K132">
        <v>115</v>
      </c>
      <c r="L132">
        <v>132</v>
      </c>
      <c r="M132">
        <v>21.5</v>
      </c>
      <c r="N132">
        <v>1821</v>
      </c>
      <c r="O132">
        <v>1.21</v>
      </c>
      <c r="P132">
        <v>2209</v>
      </c>
      <c r="Q132">
        <v>180</v>
      </c>
      <c r="R132">
        <v>110</v>
      </c>
      <c r="S132">
        <v>59</v>
      </c>
      <c r="T132">
        <v>461</v>
      </c>
      <c r="U132">
        <v>25</v>
      </c>
      <c r="V132">
        <v>317</v>
      </c>
      <c r="W132">
        <v>0.42699999999999999</v>
      </c>
      <c r="X132">
        <v>204</v>
      </c>
      <c r="Y132">
        <v>175</v>
      </c>
      <c r="Z132">
        <v>257</v>
      </c>
      <c r="AA132">
        <v>4</v>
      </c>
      <c r="AB132">
        <v>10.4</v>
      </c>
      <c r="AC132" t="s">
        <v>169</v>
      </c>
      <c r="AD132" t="s">
        <v>185</v>
      </c>
      <c r="AG132" t="s">
        <v>1867</v>
      </c>
      <c r="AH132" t="s">
        <v>1271</v>
      </c>
      <c r="AI132" s="245">
        <v>479.95</v>
      </c>
      <c r="AJ132" t="s">
        <v>1868</v>
      </c>
      <c r="AK132" t="s">
        <v>1869</v>
      </c>
      <c r="AL132" t="s">
        <v>1191</v>
      </c>
      <c r="AM132" s="245">
        <v>489.95</v>
      </c>
      <c r="AN132" t="s">
        <v>1870</v>
      </c>
      <c r="AO132" t="s">
        <v>1871</v>
      </c>
      <c r="AP132" t="s">
        <v>1301</v>
      </c>
      <c r="AQ132" s="245">
        <v>519.95000000000005</v>
      </c>
      <c r="AR132" t="s">
        <v>1872</v>
      </c>
      <c r="AS132" s="226" t="str">
        <f t="shared" si="4"/>
        <v>Mindbender 116 C</v>
      </c>
      <c r="AT132" s="203" t="str">
        <f t="shared" si="5"/>
        <v>K2Mindbender 116 C179 Unisex</v>
      </c>
    </row>
    <row r="133" spans="1:46" ht="184.8">
      <c r="A133" t="s">
        <v>155</v>
      </c>
      <c r="B133" t="s">
        <v>218</v>
      </c>
      <c r="C133" t="s">
        <v>254</v>
      </c>
      <c r="D133">
        <v>165</v>
      </c>
      <c r="E133" t="s">
        <v>158</v>
      </c>
      <c r="F133">
        <v>165</v>
      </c>
      <c r="G133">
        <v>164.5</v>
      </c>
      <c r="H133">
        <v>123</v>
      </c>
      <c r="I133">
        <v>128</v>
      </c>
      <c r="J133">
        <v>127</v>
      </c>
      <c r="K133">
        <v>100</v>
      </c>
      <c r="L133">
        <v>112</v>
      </c>
      <c r="M133">
        <v>18.899999999999999</v>
      </c>
      <c r="N133">
        <v>1732</v>
      </c>
      <c r="O133">
        <v>1.03</v>
      </c>
      <c r="P133">
        <v>1777</v>
      </c>
      <c r="Q133">
        <v>183</v>
      </c>
      <c r="R133">
        <v>117</v>
      </c>
      <c r="S133">
        <v>39</v>
      </c>
      <c r="T133">
        <v>238</v>
      </c>
      <c r="U133">
        <v>19</v>
      </c>
      <c r="V133">
        <v>180</v>
      </c>
      <c r="W133">
        <v>0.48</v>
      </c>
      <c r="X133">
        <v>186</v>
      </c>
      <c r="Y133">
        <v>183</v>
      </c>
      <c r="Z133">
        <v>52</v>
      </c>
      <c r="AA133">
        <v>6</v>
      </c>
      <c r="AB133">
        <v>10.4</v>
      </c>
      <c r="AC133" t="s">
        <v>188</v>
      </c>
      <c r="AG133" t="s">
        <v>1873</v>
      </c>
      <c r="AH133" t="s">
        <v>1271</v>
      </c>
      <c r="AI133" s="245">
        <v>1039.2</v>
      </c>
      <c r="AJ133" t="s">
        <v>1874</v>
      </c>
      <c r="AK133" t="s">
        <v>1875</v>
      </c>
      <c r="AL133" t="s">
        <v>1181</v>
      </c>
      <c r="AM133" s="245">
        <v>1214</v>
      </c>
      <c r="AN133" t="s">
        <v>1876</v>
      </c>
      <c r="AO133" t="s">
        <v>1877</v>
      </c>
      <c r="AP133" t="s">
        <v>1556</v>
      </c>
      <c r="AQ133" s="245">
        <v>1299</v>
      </c>
      <c r="AR133" t="s">
        <v>1878</v>
      </c>
      <c r="AS133" s="226" t="str">
        <f t="shared" si="4"/>
        <v>Pagoda Piste 100 C2</v>
      </c>
      <c r="AT133" s="203" t="str">
        <f t="shared" si="5"/>
        <v xml:space="preserve"> DPSPagoda Piste 100 C2165 Unisex</v>
      </c>
    </row>
    <row r="134" spans="1:46" ht="66">
      <c r="A134" t="s">
        <v>155</v>
      </c>
      <c r="B134" t="s">
        <v>182</v>
      </c>
      <c r="C134" t="s">
        <v>310</v>
      </c>
      <c r="D134">
        <v>176</v>
      </c>
      <c r="E134" t="s">
        <v>158</v>
      </c>
      <c r="F134">
        <v>176</v>
      </c>
      <c r="G134">
        <v>175.4</v>
      </c>
      <c r="H134">
        <v>145</v>
      </c>
      <c r="I134">
        <v>154</v>
      </c>
      <c r="J134">
        <v>131</v>
      </c>
      <c r="K134">
        <v>87</v>
      </c>
      <c r="L134">
        <v>111</v>
      </c>
      <c r="M134">
        <v>17.2</v>
      </c>
      <c r="N134">
        <v>1632</v>
      </c>
      <c r="O134">
        <v>1.08</v>
      </c>
      <c r="P134">
        <v>1766</v>
      </c>
      <c r="Q134">
        <v>276</v>
      </c>
      <c r="R134">
        <v>116</v>
      </c>
      <c r="S134">
        <v>40</v>
      </c>
      <c r="T134">
        <v>189</v>
      </c>
      <c r="U134">
        <v>11</v>
      </c>
      <c r="V134">
        <v>117</v>
      </c>
      <c r="W134">
        <v>0.27200000000000002</v>
      </c>
      <c r="X134">
        <v>138</v>
      </c>
      <c r="Y134">
        <v>80</v>
      </c>
      <c r="Z134">
        <v>51</v>
      </c>
      <c r="AA134">
        <v>6</v>
      </c>
      <c r="AB134">
        <v>11.8</v>
      </c>
      <c r="AC134" t="s">
        <v>188</v>
      </c>
      <c r="AD134" t="s">
        <v>185</v>
      </c>
      <c r="AG134" t="s">
        <v>1879</v>
      </c>
      <c r="AH134" t="s">
        <v>1294</v>
      </c>
      <c r="AI134" s="245">
        <v>479.93</v>
      </c>
      <c r="AJ134" t="s">
        <v>1880</v>
      </c>
      <c r="AK134" t="s">
        <v>1879</v>
      </c>
      <c r="AL134" t="s">
        <v>1232</v>
      </c>
      <c r="AM134" s="245">
        <v>479.95</v>
      </c>
      <c r="AN134" t="s">
        <v>1881</v>
      </c>
      <c r="AO134" t="s">
        <v>1879</v>
      </c>
      <c r="AP134" t="s">
        <v>1242</v>
      </c>
      <c r="AQ134" s="245">
        <v>560</v>
      </c>
      <c r="AR134" t="s">
        <v>1882</v>
      </c>
      <c r="AS134" s="226" t="str">
        <f t="shared" si="4"/>
        <v>Declivity 88 Ca</v>
      </c>
      <c r="AT134" s="203" t="str">
        <f t="shared" si="5"/>
        <v xml:space="preserve"> ArmadaDeclivity 88 Ca176 Unisex</v>
      </c>
    </row>
    <row r="135" spans="1:46" ht="118.8">
      <c r="A135" t="s">
        <v>155</v>
      </c>
      <c r="B135" t="s">
        <v>332</v>
      </c>
      <c r="C135" t="s">
        <v>369</v>
      </c>
      <c r="D135">
        <v>165</v>
      </c>
      <c r="E135" t="s">
        <v>163</v>
      </c>
      <c r="F135">
        <v>165</v>
      </c>
      <c r="G135">
        <v>164.4</v>
      </c>
      <c r="H135">
        <v>119</v>
      </c>
      <c r="I135">
        <v>135</v>
      </c>
      <c r="J135">
        <v>131</v>
      </c>
      <c r="K135">
        <v>99</v>
      </c>
      <c r="L135">
        <v>117</v>
      </c>
      <c r="M135">
        <v>16.2</v>
      </c>
      <c r="N135">
        <v>1783</v>
      </c>
      <c r="O135">
        <v>1.01</v>
      </c>
      <c r="P135">
        <v>1798</v>
      </c>
      <c r="Q135">
        <v>172</v>
      </c>
      <c r="R135">
        <v>91</v>
      </c>
      <c r="S135">
        <v>51</v>
      </c>
      <c r="T135">
        <v>252</v>
      </c>
      <c r="U135">
        <v>18</v>
      </c>
      <c r="V135">
        <v>200</v>
      </c>
      <c r="W135">
        <v>0.35599999999999998</v>
      </c>
      <c r="X135">
        <v>154</v>
      </c>
      <c r="Y135">
        <v>143</v>
      </c>
      <c r="Z135">
        <v>98</v>
      </c>
      <c r="AA135">
        <v>7</v>
      </c>
      <c r="AB135">
        <v>8.5</v>
      </c>
      <c r="AC135" t="s">
        <v>188</v>
      </c>
      <c r="AG135" t="s">
        <v>1883</v>
      </c>
      <c r="AH135" t="s">
        <v>1194</v>
      </c>
      <c r="AI135" s="245">
        <v>386.34</v>
      </c>
      <c r="AJ135" t="s">
        <v>1884</v>
      </c>
      <c r="AK135" t="s">
        <v>1885</v>
      </c>
      <c r="AL135" t="s">
        <v>1400</v>
      </c>
      <c r="AM135" s="245">
        <v>559.99</v>
      </c>
      <c r="AN135" t="s">
        <v>1886</v>
      </c>
      <c r="AO135" t="s">
        <v>1887</v>
      </c>
      <c r="AP135" t="s">
        <v>1627</v>
      </c>
      <c r="AQ135" s="245">
        <v>629</v>
      </c>
      <c r="AR135" t="s">
        <v>1888</v>
      </c>
      <c r="AS135" s="226" t="str">
        <f t="shared" si="4"/>
        <v>Santa Ana 98</v>
      </c>
      <c r="AT135" s="203" t="str">
        <f t="shared" si="5"/>
        <v xml:space="preserve"> NordicaSanta Ana 98165 Women's</v>
      </c>
    </row>
    <row r="136" spans="1:46" ht="39.6">
      <c r="A136" t="s">
        <v>155</v>
      </c>
      <c r="B136" t="s">
        <v>237</v>
      </c>
      <c r="C136" t="s">
        <v>371</v>
      </c>
      <c r="D136">
        <v>169.2</v>
      </c>
      <c r="E136" t="s">
        <v>158</v>
      </c>
      <c r="F136">
        <v>169.2</v>
      </c>
      <c r="G136">
        <v>168.8</v>
      </c>
      <c r="H136">
        <v>104</v>
      </c>
      <c r="I136">
        <v>151</v>
      </c>
      <c r="J136">
        <v>122</v>
      </c>
      <c r="K136">
        <v>87</v>
      </c>
      <c r="L136">
        <v>106</v>
      </c>
      <c r="M136">
        <v>21.1</v>
      </c>
      <c r="N136">
        <v>1615</v>
      </c>
      <c r="O136">
        <v>1.02</v>
      </c>
      <c r="P136">
        <v>1640</v>
      </c>
      <c r="Q136">
        <v>190</v>
      </c>
      <c r="R136">
        <v>109</v>
      </c>
      <c r="S136">
        <v>43</v>
      </c>
      <c r="T136">
        <v>396</v>
      </c>
      <c r="U136">
        <v>19</v>
      </c>
      <c r="V136">
        <v>251</v>
      </c>
      <c r="W136">
        <v>0.45</v>
      </c>
      <c r="X136">
        <v>97</v>
      </c>
      <c r="Y136">
        <v>78</v>
      </c>
      <c r="Z136">
        <v>299</v>
      </c>
      <c r="AA136">
        <v>4</v>
      </c>
      <c r="AB136">
        <v>9.9</v>
      </c>
      <c r="AC136" t="s">
        <v>188</v>
      </c>
      <c r="AG136" t="s">
        <v>1889</v>
      </c>
      <c r="AH136" t="s">
        <v>1224</v>
      </c>
      <c r="AI136" s="245">
        <v>671.96</v>
      </c>
      <c r="AJ136" t="s">
        <v>1890</v>
      </c>
      <c r="AK136" t="s">
        <v>1889</v>
      </c>
      <c r="AL136" t="s">
        <v>1181</v>
      </c>
      <c r="AM136" s="245">
        <v>671.96</v>
      </c>
      <c r="AN136" t="s">
        <v>1891</v>
      </c>
      <c r="AO136" t="s">
        <v>1889</v>
      </c>
      <c r="AP136" t="s">
        <v>1271</v>
      </c>
      <c r="AQ136" s="245">
        <v>671.96</v>
      </c>
      <c r="AR136" t="s">
        <v>1892</v>
      </c>
      <c r="AS136" s="226" t="str">
        <f t="shared" si="4"/>
        <v>Orb</v>
      </c>
      <c r="AT136" s="203" t="str">
        <f t="shared" si="5"/>
        <v xml:space="preserve"> Black CrowsOrb169.2 Unisex</v>
      </c>
    </row>
    <row r="137" spans="1:46" ht="132">
      <c r="A137" t="s">
        <v>155</v>
      </c>
      <c r="B137" t="s">
        <v>182</v>
      </c>
      <c r="C137" t="s">
        <v>373</v>
      </c>
      <c r="D137">
        <v>180</v>
      </c>
      <c r="E137" t="s">
        <v>158</v>
      </c>
      <c r="F137">
        <v>180</v>
      </c>
      <c r="G137">
        <v>179.4</v>
      </c>
      <c r="H137">
        <v>136</v>
      </c>
      <c r="I137">
        <v>151</v>
      </c>
      <c r="J137">
        <v>131</v>
      </c>
      <c r="K137">
        <v>97</v>
      </c>
      <c r="L137">
        <v>122</v>
      </c>
      <c r="M137">
        <v>17.899999999999999</v>
      </c>
      <c r="N137">
        <v>1601</v>
      </c>
      <c r="O137">
        <v>1.21</v>
      </c>
      <c r="P137">
        <v>1945</v>
      </c>
      <c r="Q137">
        <v>200</v>
      </c>
      <c r="R137">
        <v>108</v>
      </c>
      <c r="S137">
        <v>46</v>
      </c>
      <c r="T137">
        <v>260</v>
      </c>
      <c r="U137">
        <v>19</v>
      </c>
      <c r="V137">
        <v>169</v>
      </c>
      <c r="W137">
        <v>0.42299999999999999</v>
      </c>
      <c r="X137">
        <v>174</v>
      </c>
      <c r="Y137">
        <v>109</v>
      </c>
      <c r="Z137">
        <v>86</v>
      </c>
      <c r="AA137">
        <v>5</v>
      </c>
      <c r="AB137">
        <v>10.3</v>
      </c>
      <c r="AC137" t="s">
        <v>188</v>
      </c>
      <c r="AD137" t="s">
        <v>185</v>
      </c>
      <c r="AG137" t="s">
        <v>1893</v>
      </c>
      <c r="AH137" t="s">
        <v>1191</v>
      </c>
      <c r="AI137" s="245">
        <v>374.95</v>
      </c>
      <c r="AJ137" t="s">
        <v>1894</v>
      </c>
      <c r="AK137" t="s">
        <v>1895</v>
      </c>
      <c r="AL137" t="s">
        <v>1337</v>
      </c>
      <c r="AM137" s="245">
        <v>435</v>
      </c>
      <c r="AN137" t="s">
        <v>1896</v>
      </c>
      <c r="AO137" t="s">
        <v>1897</v>
      </c>
      <c r="AP137" t="s">
        <v>1224</v>
      </c>
      <c r="AQ137" s="245">
        <v>559.96</v>
      </c>
      <c r="AR137" t="s">
        <v>1898</v>
      </c>
      <c r="AS137" s="226" t="str">
        <f t="shared" si="4"/>
        <v>Tracer 98</v>
      </c>
      <c r="AT137" s="203" t="str">
        <f t="shared" si="5"/>
        <v xml:space="preserve"> ArmadaTracer 98180 Unisex</v>
      </c>
    </row>
    <row r="138" spans="1:46" ht="184.8">
      <c r="A138" t="s">
        <v>155</v>
      </c>
      <c r="B138" t="s">
        <v>332</v>
      </c>
      <c r="C138" t="s">
        <v>333</v>
      </c>
      <c r="D138">
        <v>169</v>
      </c>
      <c r="E138" t="s">
        <v>163</v>
      </c>
      <c r="F138">
        <v>169</v>
      </c>
      <c r="G138">
        <v>167.7</v>
      </c>
      <c r="H138">
        <v>110</v>
      </c>
      <c r="I138">
        <v>136</v>
      </c>
      <c r="J138">
        <v>140</v>
      </c>
      <c r="K138">
        <v>109</v>
      </c>
      <c r="L138">
        <v>130</v>
      </c>
      <c r="M138">
        <v>15.7</v>
      </c>
      <c r="N138">
        <v>1839</v>
      </c>
      <c r="O138">
        <v>1.0900000000000001</v>
      </c>
      <c r="P138">
        <v>1999</v>
      </c>
      <c r="Q138">
        <v>197</v>
      </c>
      <c r="R138">
        <v>103</v>
      </c>
      <c r="S138">
        <v>64</v>
      </c>
      <c r="T138">
        <v>312</v>
      </c>
      <c r="U138">
        <v>45</v>
      </c>
      <c r="V138">
        <v>262</v>
      </c>
      <c r="W138">
        <v>0.71</v>
      </c>
      <c r="X138">
        <v>156</v>
      </c>
      <c r="Y138">
        <v>162</v>
      </c>
      <c r="Z138">
        <v>156</v>
      </c>
      <c r="AA138">
        <v>5</v>
      </c>
      <c r="AB138">
        <v>9.3000000000000007</v>
      </c>
      <c r="AC138" t="s">
        <v>169</v>
      </c>
      <c r="AD138" t="s">
        <v>185</v>
      </c>
      <c r="AG138" t="s">
        <v>1899</v>
      </c>
      <c r="AH138" t="s">
        <v>1181</v>
      </c>
      <c r="AI138" s="245">
        <v>814.99</v>
      </c>
      <c r="AJ138" t="s">
        <v>1900</v>
      </c>
      <c r="AK138" t="s">
        <v>1899</v>
      </c>
      <c r="AL138" t="s">
        <v>1405</v>
      </c>
      <c r="AM138" s="245">
        <v>814.99</v>
      </c>
      <c r="AN138" t="s">
        <v>1901</v>
      </c>
      <c r="AO138" t="s">
        <v>1902</v>
      </c>
      <c r="AP138" t="s">
        <v>1277</v>
      </c>
      <c r="AQ138" s="245">
        <v>499</v>
      </c>
      <c r="AR138" t="s">
        <v>1903</v>
      </c>
      <c r="AS138" s="226" t="str">
        <f t="shared" si="4"/>
        <v>Santa Ana 110 Free</v>
      </c>
      <c r="AT138" s="203" t="str">
        <f t="shared" si="5"/>
        <v xml:space="preserve"> NordicaSanta Ana 110 Free169 Women's</v>
      </c>
    </row>
    <row r="139" spans="1:46" ht="92.4">
      <c r="A139" t="s">
        <v>155</v>
      </c>
      <c r="B139" t="s">
        <v>1361</v>
      </c>
      <c r="C139" t="s">
        <v>375</v>
      </c>
      <c r="D139">
        <v>156</v>
      </c>
      <c r="E139" t="s">
        <v>158</v>
      </c>
      <c r="F139">
        <v>156</v>
      </c>
      <c r="G139">
        <v>154.80000000000001</v>
      </c>
      <c r="H139">
        <v>134</v>
      </c>
      <c r="I139">
        <v>142</v>
      </c>
      <c r="J139">
        <v>122</v>
      </c>
      <c r="K139">
        <v>71</v>
      </c>
      <c r="L139">
        <v>103</v>
      </c>
      <c r="M139">
        <v>12.1</v>
      </c>
      <c r="N139">
        <v>1577</v>
      </c>
      <c r="O139">
        <v>0.85</v>
      </c>
      <c r="P139">
        <v>1343</v>
      </c>
      <c r="Q139">
        <v>160</v>
      </c>
      <c r="R139">
        <v>92</v>
      </c>
      <c r="S139">
        <v>42</v>
      </c>
      <c r="T139">
        <v>151</v>
      </c>
      <c r="U139">
        <v>6</v>
      </c>
      <c r="V139">
        <v>57</v>
      </c>
      <c r="W139">
        <v>0.13500000000000001</v>
      </c>
      <c r="X139">
        <v>75</v>
      </c>
      <c r="Y139">
        <v>55</v>
      </c>
      <c r="Z139">
        <v>77</v>
      </c>
      <c r="AA139">
        <v>7</v>
      </c>
      <c r="AB139">
        <v>12.1</v>
      </c>
      <c r="AC139" t="s">
        <v>349</v>
      </c>
      <c r="AG139" t="s">
        <v>1904</v>
      </c>
      <c r="AH139" t="s">
        <v>1365</v>
      </c>
      <c r="AI139" s="245">
        <v>1419</v>
      </c>
      <c r="AJ139" t="s">
        <v>1905</v>
      </c>
      <c r="AK139" t="s">
        <v>1840</v>
      </c>
      <c r="AL139" t="s">
        <v>1627</v>
      </c>
      <c r="AM139" s="245">
        <v>1049</v>
      </c>
      <c r="AN139" t="s">
        <v>1906</v>
      </c>
      <c r="AS139" s="226" t="str">
        <f t="shared" si="4"/>
        <v>Laser SC</v>
      </c>
      <c r="AT139" s="203" t="str">
        <f t="shared" si="5"/>
        <v xml:space="preserve"> Stï¿½ckliLaser SC156 Unisex</v>
      </c>
    </row>
    <row r="140" spans="1:46" ht="79.2">
      <c r="A140" t="s">
        <v>155</v>
      </c>
      <c r="B140" t="s">
        <v>215</v>
      </c>
      <c r="C140" t="s">
        <v>376</v>
      </c>
      <c r="D140">
        <v>151</v>
      </c>
      <c r="E140" t="s">
        <v>163</v>
      </c>
      <c r="F140">
        <v>151</v>
      </c>
      <c r="G140">
        <v>150.1</v>
      </c>
      <c r="H140">
        <v>90</v>
      </c>
      <c r="I140">
        <v>123</v>
      </c>
      <c r="J140">
        <v>134</v>
      </c>
      <c r="K140">
        <v>101</v>
      </c>
      <c r="L140">
        <v>121</v>
      </c>
      <c r="M140">
        <v>12.5</v>
      </c>
      <c r="N140">
        <v>1483</v>
      </c>
      <c r="O140">
        <v>1.1299999999999999</v>
      </c>
      <c r="P140">
        <v>1669</v>
      </c>
      <c r="Q140">
        <v>170</v>
      </c>
      <c r="R140">
        <v>84</v>
      </c>
      <c r="S140">
        <v>44</v>
      </c>
      <c r="T140">
        <v>339</v>
      </c>
      <c r="U140">
        <v>34</v>
      </c>
      <c r="V140">
        <v>258</v>
      </c>
      <c r="W140">
        <v>0.75900000000000001</v>
      </c>
      <c r="X140">
        <v>139</v>
      </c>
      <c r="Y140">
        <v>136</v>
      </c>
      <c r="Z140">
        <v>201</v>
      </c>
      <c r="AA140">
        <v>4</v>
      </c>
      <c r="AB140">
        <v>6.5</v>
      </c>
      <c r="AC140" t="s">
        <v>188</v>
      </c>
      <c r="AD140" t="s">
        <v>169</v>
      </c>
      <c r="AE140" t="s">
        <v>185</v>
      </c>
      <c r="AG140" t="s">
        <v>1907</v>
      </c>
      <c r="AH140" t="s">
        <v>1409</v>
      </c>
      <c r="AI140" s="245">
        <v>475.13</v>
      </c>
      <c r="AJ140" t="s">
        <v>1908</v>
      </c>
      <c r="AK140" t="s">
        <v>1909</v>
      </c>
      <c r="AL140" t="s">
        <v>1277</v>
      </c>
      <c r="AM140" s="245">
        <v>499</v>
      </c>
      <c r="AN140" t="s">
        <v>1910</v>
      </c>
      <c r="AO140" t="s">
        <v>1911</v>
      </c>
      <c r="AP140" t="s">
        <v>1271</v>
      </c>
      <c r="AQ140" s="245">
        <v>559</v>
      </c>
      <c r="AR140" t="s">
        <v>1912</v>
      </c>
      <c r="AS140" s="226" t="str">
        <f t="shared" si="4"/>
        <v>Genesis 101</v>
      </c>
      <c r="AT140" s="203" t="str">
        <f t="shared" si="5"/>
        <v xml:space="preserve"> LibertyGenesis 101151 Women's</v>
      </c>
    </row>
    <row r="141" spans="1:46" ht="79.2">
      <c r="A141" t="s">
        <v>155</v>
      </c>
      <c r="B141" t="s">
        <v>237</v>
      </c>
      <c r="C141" t="s">
        <v>361</v>
      </c>
      <c r="D141">
        <v>178.2</v>
      </c>
      <c r="E141" t="s">
        <v>158</v>
      </c>
      <c r="F141">
        <v>178.2</v>
      </c>
      <c r="G141">
        <v>177.2</v>
      </c>
      <c r="H141">
        <v>137</v>
      </c>
      <c r="I141">
        <v>147</v>
      </c>
      <c r="J141">
        <v>134</v>
      </c>
      <c r="K141">
        <v>95</v>
      </c>
      <c r="L141">
        <v>114</v>
      </c>
      <c r="M141">
        <v>17.100000000000001</v>
      </c>
      <c r="N141">
        <v>1505</v>
      </c>
      <c r="O141">
        <v>1.26</v>
      </c>
      <c r="P141">
        <v>1902</v>
      </c>
      <c r="Q141">
        <v>208</v>
      </c>
      <c r="R141">
        <v>111</v>
      </c>
      <c r="S141">
        <v>44</v>
      </c>
      <c r="T141">
        <v>254</v>
      </c>
      <c r="U141">
        <v>12</v>
      </c>
      <c r="V141">
        <v>144</v>
      </c>
      <c r="W141">
        <v>0.27300000000000002</v>
      </c>
      <c r="X141">
        <v>169</v>
      </c>
      <c r="Y141">
        <v>133</v>
      </c>
      <c r="Z141">
        <v>85</v>
      </c>
      <c r="AA141">
        <v>8</v>
      </c>
      <c r="AB141">
        <v>9.1999999999999993</v>
      </c>
      <c r="AC141" t="s">
        <v>188</v>
      </c>
      <c r="AD141" t="s">
        <v>185</v>
      </c>
      <c r="AE141" t="s">
        <v>198</v>
      </c>
      <c r="AG141" t="s">
        <v>1913</v>
      </c>
      <c r="AH141" t="s">
        <v>1424</v>
      </c>
      <c r="AI141" s="245">
        <v>514.99</v>
      </c>
      <c r="AJ141" t="s">
        <v>1914</v>
      </c>
      <c r="AK141" t="s">
        <v>1913</v>
      </c>
      <c r="AL141" t="s">
        <v>1181</v>
      </c>
      <c r="AM141" s="245">
        <v>591.96</v>
      </c>
      <c r="AN141" t="s">
        <v>1915</v>
      </c>
      <c r="AO141" t="s">
        <v>1913</v>
      </c>
      <c r="AP141" t="s">
        <v>1224</v>
      </c>
      <c r="AQ141" s="245">
        <v>591.96</v>
      </c>
      <c r="AR141" t="s">
        <v>1916</v>
      </c>
      <c r="AS141" s="226" t="str">
        <f t="shared" si="4"/>
        <v>Camox Freebird</v>
      </c>
      <c r="AT141" s="203" t="str">
        <f t="shared" si="5"/>
        <v xml:space="preserve"> Black CrowsCamox Freebird178.2 Unisex</v>
      </c>
    </row>
    <row r="142" spans="1:46" ht="52.8">
      <c r="A142" t="s">
        <v>155</v>
      </c>
      <c r="B142" t="s">
        <v>245</v>
      </c>
      <c r="C142" t="s">
        <v>275</v>
      </c>
      <c r="D142">
        <v>171</v>
      </c>
      <c r="E142" t="s">
        <v>158</v>
      </c>
      <c r="F142">
        <v>171</v>
      </c>
      <c r="G142">
        <v>169.8</v>
      </c>
      <c r="H142">
        <v>111</v>
      </c>
      <c r="I142">
        <v>142</v>
      </c>
      <c r="J142">
        <v>135</v>
      </c>
      <c r="K142">
        <v>103</v>
      </c>
      <c r="L142">
        <v>118</v>
      </c>
      <c r="M142">
        <v>20.399999999999999</v>
      </c>
      <c r="N142">
        <v>1463</v>
      </c>
      <c r="O142">
        <v>1.3</v>
      </c>
      <c r="P142">
        <v>1895</v>
      </c>
      <c r="Q142">
        <v>216</v>
      </c>
      <c r="R142">
        <v>93</v>
      </c>
      <c r="S142">
        <v>65</v>
      </c>
      <c r="T142">
        <v>419</v>
      </c>
      <c r="U142">
        <v>14</v>
      </c>
      <c r="V142">
        <v>165</v>
      </c>
      <c r="W142">
        <v>0.216</v>
      </c>
      <c r="X142">
        <v>163</v>
      </c>
      <c r="Y142">
        <v>119</v>
      </c>
      <c r="Z142">
        <v>256</v>
      </c>
      <c r="AA142">
        <v>1</v>
      </c>
      <c r="AB142">
        <v>12.9</v>
      </c>
      <c r="AC142" t="s">
        <v>178</v>
      </c>
      <c r="AD142" t="s">
        <v>185</v>
      </c>
      <c r="AE142" t="s">
        <v>198</v>
      </c>
      <c r="AG142" t="s">
        <v>1544</v>
      </c>
      <c r="AH142" t="s">
        <v>1349</v>
      </c>
      <c r="AI142" s="245">
        <v>394.15</v>
      </c>
      <c r="AJ142" t="s">
        <v>1917</v>
      </c>
      <c r="AK142" t="s">
        <v>1544</v>
      </c>
      <c r="AL142" t="s">
        <v>1194</v>
      </c>
      <c r="AM142" s="245">
        <v>451.78</v>
      </c>
      <c r="AN142" t="s">
        <v>1918</v>
      </c>
      <c r="AO142" t="s">
        <v>1544</v>
      </c>
      <c r="AP142" t="s">
        <v>1185</v>
      </c>
      <c r="AQ142" s="245">
        <v>524.99</v>
      </c>
      <c r="AR142" t="s">
        <v>1919</v>
      </c>
      <c r="AS142" s="226" t="str">
        <f t="shared" si="4"/>
        <v>Hannibal 106</v>
      </c>
      <c r="AT142" s="203" t="str">
        <f t="shared" si="5"/>
        <v xml:space="preserve"> FischerHannibal 106171 Unisex</v>
      </c>
    </row>
    <row r="143" spans="1:46" ht="171.6">
      <c r="A143" t="s">
        <v>155</v>
      </c>
      <c r="B143" t="s">
        <v>237</v>
      </c>
      <c r="C143" t="s">
        <v>238</v>
      </c>
      <c r="D143">
        <v>179.1</v>
      </c>
      <c r="E143" t="s">
        <v>158</v>
      </c>
      <c r="F143">
        <v>179.1</v>
      </c>
      <c r="G143">
        <v>178.4</v>
      </c>
      <c r="H143">
        <v>125</v>
      </c>
      <c r="I143">
        <v>149</v>
      </c>
      <c r="J143">
        <v>138</v>
      </c>
      <c r="K143">
        <v>100</v>
      </c>
      <c r="L143">
        <v>119</v>
      </c>
      <c r="M143">
        <v>19</v>
      </c>
      <c r="N143">
        <v>1748</v>
      </c>
      <c r="O143">
        <v>1.1399999999999999</v>
      </c>
      <c r="P143">
        <v>1996</v>
      </c>
      <c r="Q143">
        <v>231</v>
      </c>
      <c r="R143">
        <v>108</v>
      </c>
      <c r="S143">
        <v>45</v>
      </c>
      <c r="T143">
        <v>338</v>
      </c>
      <c r="U143">
        <v>15</v>
      </c>
      <c r="V143">
        <v>196</v>
      </c>
      <c r="W143">
        <v>0.33299999999999902</v>
      </c>
      <c r="X143">
        <v>166</v>
      </c>
      <c r="Y143">
        <v>130</v>
      </c>
      <c r="Z143">
        <v>171</v>
      </c>
      <c r="AA143">
        <v>5</v>
      </c>
      <c r="AB143">
        <v>9.4</v>
      </c>
      <c r="AC143" t="s">
        <v>188</v>
      </c>
      <c r="AD143" t="s">
        <v>178</v>
      </c>
      <c r="AE143" t="s">
        <v>185</v>
      </c>
      <c r="AG143" t="s">
        <v>1920</v>
      </c>
      <c r="AH143" t="s">
        <v>1181</v>
      </c>
      <c r="AI143" s="245">
        <v>1058.96</v>
      </c>
      <c r="AJ143" t="s">
        <v>1921</v>
      </c>
      <c r="AK143" t="s">
        <v>1423</v>
      </c>
      <c r="AL143" t="s">
        <v>1191</v>
      </c>
      <c r="AM143" s="245">
        <v>584.95000000000005</v>
      </c>
      <c r="AN143" t="s">
        <v>1922</v>
      </c>
      <c r="AO143" t="s">
        <v>1423</v>
      </c>
      <c r="AP143" t="s">
        <v>1450</v>
      </c>
      <c r="AQ143" s="245">
        <v>659.99</v>
      </c>
      <c r="AR143" t="s">
        <v>1923</v>
      </c>
      <c r="AS143" s="226" t="str">
        <f t="shared" si="4"/>
        <v>Navis Freebird</v>
      </c>
      <c r="AT143" s="203" t="str">
        <f t="shared" si="5"/>
        <v xml:space="preserve"> Black CrowsNavis Freebird179.1 Unisex</v>
      </c>
    </row>
    <row r="144" spans="1:46" ht="79.2">
      <c r="A144" t="s">
        <v>155</v>
      </c>
      <c r="B144" t="s">
        <v>202</v>
      </c>
      <c r="C144" t="s">
        <v>211</v>
      </c>
      <c r="D144">
        <v>162</v>
      </c>
      <c r="E144" t="s">
        <v>163</v>
      </c>
      <c r="F144">
        <v>162</v>
      </c>
      <c r="G144">
        <v>161.4</v>
      </c>
      <c r="H144">
        <v>113</v>
      </c>
      <c r="I144">
        <v>132</v>
      </c>
      <c r="J144">
        <v>124</v>
      </c>
      <c r="K144">
        <v>95</v>
      </c>
      <c r="L144">
        <v>114</v>
      </c>
      <c r="M144">
        <v>15.4</v>
      </c>
      <c r="N144">
        <v>1710</v>
      </c>
      <c r="O144">
        <v>0.99</v>
      </c>
      <c r="P144">
        <v>1698</v>
      </c>
      <c r="Q144">
        <v>249</v>
      </c>
      <c r="R144">
        <v>95</v>
      </c>
      <c r="S144">
        <v>59</v>
      </c>
      <c r="T144">
        <v>332</v>
      </c>
      <c r="U144">
        <v>15</v>
      </c>
      <c r="V144">
        <v>157</v>
      </c>
      <c r="W144">
        <v>0.254</v>
      </c>
      <c r="X144">
        <v>192</v>
      </c>
      <c r="Y144">
        <v>105</v>
      </c>
      <c r="Z144">
        <v>140</v>
      </c>
      <c r="AA144">
        <v>5</v>
      </c>
      <c r="AB144">
        <v>12</v>
      </c>
      <c r="AC144" t="s">
        <v>188</v>
      </c>
      <c r="AG144" t="s">
        <v>1924</v>
      </c>
      <c r="AH144" t="s">
        <v>1194</v>
      </c>
      <c r="AI144" s="245">
        <v>414</v>
      </c>
      <c r="AJ144" t="s">
        <v>1925</v>
      </c>
      <c r="AK144" t="s">
        <v>1924</v>
      </c>
      <c r="AL144" t="s">
        <v>1248</v>
      </c>
      <c r="AM144" s="245">
        <v>489.97</v>
      </c>
      <c r="AN144" t="s">
        <v>1926</v>
      </c>
      <c r="AO144" t="s">
        <v>1924</v>
      </c>
      <c r="AP144" t="s">
        <v>1224</v>
      </c>
      <c r="AQ144" s="245">
        <v>559.96</v>
      </c>
      <c r="AR144" t="s">
        <v>1927</v>
      </c>
      <c r="AS144" s="226" t="str">
        <f t="shared" si="4"/>
        <v>M-Pro 99 W</v>
      </c>
      <c r="AT144" s="203" t="str">
        <f t="shared" si="5"/>
        <v xml:space="preserve"> DynastarM-Pro 99 W162 Women's</v>
      </c>
    </row>
    <row r="145" spans="1:46" ht="66">
      <c r="A145" t="s">
        <v>155</v>
      </c>
      <c r="B145" t="s">
        <v>205</v>
      </c>
      <c r="C145" t="s">
        <v>378</v>
      </c>
      <c r="D145">
        <v>163</v>
      </c>
      <c r="E145" t="s">
        <v>158</v>
      </c>
      <c r="F145">
        <v>163</v>
      </c>
      <c r="G145">
        <v>163</v>
      </c>
      <c r="H145">
        <v>119</v>
      </c>
      <c r="I145">
        <v>135</v>
      </c>
      <c r="J145">
        <v>127</v>
      </c>
      <c r="K145">
        <v>96</v>
      </c>
      <c r="L145">
        <v>117</v>
      </c>
      <c r="M145">
        <v>15.6</v>
      </c>
      <c r="N145">
        <v>1699</v>
      </c>
      <c r="O145">
        <v>1.02</v>
      </c>
      <c r="P145">
        <v>1730</v>
      </c>
      <c r="Q145">
        <v>183</v>
      </c>
      <c r="R145">
        <v>117</v>
      </c>
      <c r="S145">
        <v>56</v>
      </c>
      <c r="T145">
        <v>253</v>
      </c>
      <c r="U145">
        <v>25</v>
      </c>
      <c r="V145">
        <v>184</v>
      </c>
      <c r="W145">
        <v>0.45600000000000002</v>
      </c>
      <c r="X145">
        <v>162</v>
      </c>
      <c r="Y145">
        <v>120</v>
      </c>
      <c r="Z145">
        <v>91</v>
      </c>
      <c r="AA145">
        <v>5</v>
      </c>
      <c r="AB145">
        <v>9.9</v>
      </c>
      <c r="AC145" t="s">
        <v>188</v>
      </c>
      <c r="AG145" t="s">
        <v>1928</v>
      </c>
      <c r="AH145" t="s">
        <v>1248</v>
      </c>
      <c r="AI145" s="245">
        <v>623.20000000000005</v>
      </c>
      <c r="AJ145" t="s">
        <v>1929</v>
      </c>
      <c r="AK145" t="s">
        <v>1462</v>
      </c>
      <c r="AL145" t="s">
        <v>1218</v>
      </c>
      <c r="AM145" s="245">
        <v>559.20000000000005</v>
      </c>
      <c r="AN145" t="s">
        <v>1930</v>
      </c>
      <c r="AO145" t="s">
        <v>1462</v>
      </c>
      <c r="AP145" t="s">
        <v>1464</v>
      </c>
      <c r="AQ145" s="245">
        <v>559.9</v>
      </c>
      <c r="AR145" t="s">
        <v>1931</v>
      </c>
      <c r="AS145" s="226" t="str">
        <f t="shared" si="4"/>
        <v>Dictator 2.0</v>
      </c>
      <c r="AT145" s="203" t="str">
        <f t="shared" si="5"/>
        <v xml:space="preserve"> FactionDictator 2.0163 Unisex</v>
      </c>
    </row>
    <row r="146" spans="1:46" ht="79.2">
      <c r="A146" t="s">
        <v>155</v>
      </c>
      <c r="B146" t="s">
        <v>182</v>
      </c>
      <c r="C146" t="s">
        <v>220</v>
      </c>
      <c r="D146">
        <v>180</v>
      </c>
      <c r="E146" t="s">
        <v>163</v>
      </c>
      <c r="F146">
        <v>180</v>
      </c>
      <c r="G146">
        <v>177.6</v>
      </c>
      <c r="H146">
        <v>124</v>
      </c>
      <c r="I146">
        <v>142</v>
      </c>
      <c r="J146">
        <v>134</v>
      </c>
      <c r="K146">
        <v>105</v>
      </c>
      <c r="L146">
        <v>124</v>
      </c>
      <c r="M146">
        <v>20.2</v>
      </c>
      <c r="N146">
        <v>1853</v>
      </c>
      <c r="O146">
        <v>1.0900000000000001</v>
      </c>
      <c r="P146">
        <v>2011</v>
      </c>
      <c r="Q146">
        <v>229</v>
      </c>
      <c r="R146">
        <v>103</v>
      </c>
      <c r="S146">
        <v>57</v>
      </c>
      <c r="T146">
        <v>291</v>
      </c>
      <c r="U146">
        <v>47</v>
      </c>
      <c r="V146">
        <v>249</v>
      </c>
      <c r="W146">
        <v>0.83199999999999996</v>
      </c>
      <c r="X146">
        <v>172</v>
      </c>
      <c r="Y146">
        <v>184</v>
      </c>
      <c r="Z146">
        <v>119</v>
      </c>
      <c r="AA146">
        <v>7</v>
      </c>
      <c r="AB146">
        <v>2.6</v>
      </c>
      <c r="AC146" t="s">
        <v>188</v>
      </c>
      <c r="AD146" t="s">
        <v>184</v>
      </c>
      <c r="AE146" t="s">
        <v>169</v>
      </c>
      <c r="AF146" t="s">
        <v>185</v>
      </c>
      <c r="AG146" t="s">
        <v>1378</v>
      </c>
      <c r="AH146" t="s">
        <v>1280</v>
      </c>
      <c r="AI146" s="245">
        <v>559.92999999999995</v>
      </c>
      <c r="AJ146" t="s">
        <v>1932</v>
      </c>
      <c r="AK146" t="s">
        <v>1378</v>
      </c>
      <c r="AL146" t="s">
        <v>1248</v>
      </c>
      <c r="AM146" s="245">
        <v>559.96</v>
      </c>
      <c r="AN146" t="s">
        <v>1933</v>
      </c>
      <c r="AO146" t="s">
        <v>1378</v>
      </c>
      <c r="AP146" t="s">
        <v>1224</v>
      </c>
      <c r="AQ146" s="245">
        <v>559.96</v>
      </c>
      <c r="AR146" t="s">
        <v>1934</v>
      </c>
      <c r="AS146" s="226" t="str">
        <f t="shared" si="4"/>
        <v>ARW 106 UL</v>
      </c>
      <c r="AT146" s="203" t="str">
        <f t="shared" si="5"/>
        <v xml:space="preserve"> ArmadaARW 106 UL180 Women's</v>
      </c>
    </row>
    <row r="147" spans="1:46" ht="79.2">
      <c r="A147" t="s">
        <v>155</v>
      </c>
      <c r="B147" t="s">
        <v>218</v>
      </c>
      <c r="C147" t="s">
        <v>294</v>
      </c>
      <c r="D147">
        <v>178</v>
      </c>
      <c r="E147" t="s">
        <v>158</v>
      </c>
      <c r="F147">
        <v>178</v>
      </c>
      <c r="G147">
        <v>176.4</v>
      </c>
      <c r="H147">
        <v>94</v>
      </c>
      <c r="I147">
        <v>123</v>
      </c>
      <c r="J147">
        <v>139</v>
      </c>
      <c r="K147">
        <v>112</v>
      </c>
      <c r="L147">
        <v>126</v>
      </c>
      <c r="M147">
        <v>15.3</v>
      </c>
      <c r="N147">
        <v>1572</v>
      </c>
      <c r="O147">
        <v>1.35</v>
      </c>
      <c r="P147">
        <v>2127</v>
      </c>
      <c r="Q147">
        <v>211</v>
      </c>
      <c r="R147">
        <v>110</v>
      </c>
      <c r="S147">
        <v>62</v>
      </c>
      <c r="T147">
        <v>439</v>
      </c>
      <c r="U147">
        <v>39</v>
      </c>
      <c r="V147">
        <v>389</v>
      </c>
      <c r="W147">
        <v>0.63100000000000001</v>
      </c>
      <c r="X147">
        <v>290</v>
      </c>
      <c r="Y147">
        <v>248</v>
      </c>
      <c r="Z147">
        <v>149</v>
      </c>
      <c r="AA147">
        <v>3</v>
      </c>
      <c r="AB147">
        <v>14.6</v>
      </c>
      <c r="AC147" t="s">
        <v>169</v>
      </c>
      <c r="AD147" t="s">
        <v>185</v>
      </c>
      <c r="AE147" t="s">
        <v>198</v>
      </c>
      <c r="AG147" t="s">
        <v>1935</v>
      </c>
      <c r="AH147" t="s">
        <v>1334</v>
      </c>
      <c r="AI147" s="245">
        <v>1029</v>
      </c>
      <c r="AJ147" t="s">
        <v>1936</v>
      </c>
      <c r="AK147" t="s">
        <v>1935</v>
      </c>
      <c r="AL147" t="s">
        <v>1280</v>
      </c>
      <c r="AM147" s="245">
        <v>1038.93</v>
      </c>
      <c r="AN147" t="s">
        <v>1937</v>
      </c>
      <c r="AO147" t="s">
        <v>1542</v>
      </c>
      <c r="AP147" t="s">
        <v>1471</v>
      </c>
      <c r="AQ147" s="245">
        <v>1039</v>
      </c>
      <c r="AR147" t="s">
        <v>1938</v>
      </c>
      <c r="AS147" s="226" t="str">
        <f t="shared" si="4"/>
        <v>Pagoda Tour 112 RP</v>
      </c>
      <c r="AT147" s="203" t="str">
        <f t="shared" si="5"/>
        <v xml:space="preserve"> DPSPagoda Tour 112 RP178 Unisex</v>
      </c>
    </row>
    <row r="148" spans="1:46" ht="79.2">
      <c r="A148" t="s">
        <v>155</v>
      </c>
      <c r="B148" t="s">
        <v>202</v>
      </c>
      <c r="C148" t="s">
        <v>380</v>
      </c>
      <c r="D148">
        <v>170</v>
      </c>
      <c r="E148" t="s">
        <v>158</v>
      </c>
      <c r="F148">
        <v>170</v>
      </c>
      <c r="G148">
        <v>169</v>
      </c>
      <c r="H148">
        <v>121</v>
      </c>
      <c r="I148">
        <v>137</v>
      </c>
      <c r="J148">
        <v>125</v>
      </c>
      <c r="K148">
        <v>96</v>
      </c>
      <c r="L148">
        <v>115</v>
      </c>
      <c r="M148">
        <v>17.600000000000001</v>
      </c>
      <c r="N148">
        <v>1830</v>
      </c>
      <c r="O148">
        <v>0.98</v>
      </c>
      <c r="P148">
        <v>1791</v>
      </c>
      <c r="Q148">
        <v>253</v>
      </c>
      <c r="R148">
        <v>93</v>
      </c>
      <c r="S148">
        <v>60</v>
      </c>
      <c r="T148">
        <v>330</v>
      </c>
      <c r="U148">
        <v>12</v>
      </c>
      <c r="V148">
        <v>146</v>
      </c>
      <c r="W148">
        <v>0.19699999999999901</v>
      </c>
      <c r="X148">
        <v>202</v>
      </c>
      <c r="Y148">
        <v>116</v>
      </c>
      <c r="Z148">
        <v>127</v>
      </c>
      <c r="AA148">
        <v>6</v>
      </c>
      <c r="AB148">
        <v>12.1</v>
      </c>
      <c r="AC148" t="s">
        <v>188</v>
      </c>
      <c r="AG148" t="s">
        <v>1357</v>
      </c>
      <c r="AH148" t="s">
        <v>1194</v>
      </c>
      <c r="AI148" s="245">
        <v>414</v>
      </c>
      <c r="AJ148" t="s">
        <v>1939</v>
      </c>
      <c r="AK148" t="s">
        <v>1940</v>
      </c>
      <c r="AL148" t="s">
        <v>1204</v>
      </c>
      <c r="AM148" s="245">
        <v>481.19</v>
      </c>
      <c r="AN148" t="s">
        <v>1941</v>
      </c>
      <c r="AO148" t="s">
        <v>1357</v>
      </c>
      <c r="AP148" t="s">
        <v>1248</v>
      </c>
      <c r="AQ148" s="245">
        <v>489.97</v>
      </c>
      <c r="AR148" t="s">
        <v>1942</v>
      </c>
      <c r="AS148" s="226" t="str">
        <f t="shared" si="4"/>
        <v>M-Pro 99</v>
      </c>
      <c r="AT148" s="203" t="str">
        <f t="shared" si="5"/>
        <v xml:space="preserve"> DynastarM-Pro 99170 Unisex</v>
      </c>
    </row>
    <row r="149" spans="1:46" ht="356.4">
      <c r="A149" t="s">
        <v>155</v>
      </c>
      <c r="B149" t="s">
        <v>1395</v>
      </c>
      <c r="C149" t="s">
        <v>382</v>
      </c>
      <c r="D149">
        <v>165</v>
      </c>
      <c r="E149" t="s">
        <v>163</v>
      </c>
      <c r="F149">
        <v>165</v>
      </c>
      <c r="G149">
        <v>164.2</v>
      </c>
      <c r="H149">
        <v>90</v>
      </c>
      <c r="I149">
        <v>140</v>
      </c>
      <c r="J149">
        <v>145</v>
      </c>
      <c r="K149">
        <v>105</v>
      </c>
      <c r="L149">
        <v>127</v>
      </c>
      <c r="M149">
        <v>15</v>
      </c>
      <c r="N149">
        <v>1626</v>
      </c>
      <c r="O149">
        <v>1.19</v>
      </c>
      <c r="P149">
        <v>1933</v>
      </c>
      <c r="Q149">
        <v>176</v>
      </c>
      <c r="R149">
        <v>100</v>
      </c>
      <c r="S149">
        <v>53</v>
      </c>
      <c r="T149">
        <v>458</v>
      </c>
      <c r="U149">
        <v>23</v>
      </c>
      <c r="V149">
        <v>289</v>
      </c>
      <c r="W149">
        <v>0.437999999999999</v>
      </c>
      <c r="X149">
        <v>137</v>
      </c>
      <c r="Y149">
        <v>107</v>
      </c>
      <c r="Z149">
        <v>321</v>
      </c>
      <c r="AA149">
        <v>1</v>
      </c>
      <c r="AB149">
        <v>12.4</v>
      </c>
      <c r="AC149" t="s">
        <v>169</v>
      </c>
      <c r="AD149" t="s">
        <v>185</v>
      </c>
      <c r="AG149" t="s">
        <v>1943</v>
      </c>
      <c r="AH149" t="s">
        <v>1191</v>
      </c>
      <c r="AI149" s="245">
        <v>469.95</v>
      </c>
      <c r="AJ149" t="s">
        <v>1944</v>
      </c>
      <c r="AK149" t="s">
        <v>1945</v>
      </c>
      <c r="AL149" t="s">
        <v>1497</v>
      </c>
      <c r="AM149" s="245">
        <v>479.96</v>
      </c>
      <c r="AN149" t="s">
        <v>1946</v>
      </c>
      <c r="AO149" t="s">
        <v>1947</v>
      </c>
      <c r="AP149" t="s">
        <v>1400</v>
      </c>
      <c r="AQ149" s="245">
        <v>479.99</v>
      </c>
      <c r="AR149" t="s">
        <v>1948</v>
      </c>
      <c r="AS149" s="226" t="str">
        <f t="shared" si="4"/>
        <v>Blaze 106 W</v>
      </c>
      <c r="AT149" s="203" t="str">
        <f t="shared" si="5"/>
        <v xml:space="preserve"> Vï¿½lklBlaze 106 W165 Women's</v>
      </c>
    </row>
    <row r="150" spans="1:46" ht="79.2">
      <c r="A150" t="s">
        <v>155</v>
      </c>
      <c r="B150" t="s">
        <v>208</v>
      </c>
      <c r="C150" t="s">
        <v>384</v>
      </c>
      <c r="D150">
        <v>155</v>
      </c>
      <c r="E150" t="s">
        <v>385</v>
      </c>
      <c r="F150">
        <v>155</v>
      </c>
      <c r="G150">
        <v>152.30000000000001</v>
      </c>
      <c r="H150">
        <v>76</v>
      </c>
      <c r="I150">
        <v>119</v>
      </c>
      <c r="J150">
        <v>132</v>
      </c>
      <c r="K150">
        <v>106</v>
      </c>
      <c r="L150">
        <v>129</v>
      </c>
      <c r="M150">
        <v>13.2</v>
      </c>
      <c r="N150">
        <v>1682</v>
      </c>
      <c r="O150">
        <v>1.05</v>
      </c>
      <c r="P150">
        <v>1761</v>
      </c>
      <c r="Q150">
        <v>177</v>
      </c>
      <c r="R150">
        <v>87</v>
      </c>
      <c r="S150">
        <v>52</v>
      </c>
      <c r="T150">
        <v>366</v>
      </c>
      <c r="U150">
        <v>50</v>
      </c>
      <c r="V150">
        <v>400</v>
      </c>
      <c r="W150">
        <v>0.95699999999999996</v>
      </c>
      <c r="X150">
        <v>179</v>
      </c>
      <c r="Y150">
        <v>158</v>
      </c>
      <c r="Z150">
        <v>186</v>
      </c>
      <c r="AA150">
        <v>1</v>
      </c>
      <c r="AB150">
        <v>3.5</v>
      </c>
      <c r="AC150" t="s">
        <v>184</v>
      </c>
      <c r="AD150" t="s">
        <v>169</v>
      </c>
      <c r="AG150" t="s">
        <v>1949</v>
      </c>
      <c r="AH150" t="s">
        <v>1950</v>
      </c>
      <c r="AI150" s="245">
        <v>369.95</v>
      </c>
      <c r="AJ150" t="s">
        <v>1951</v>
      </c>
      <c r="AK150" t="s">
        <v>1952</v>
      </c>
      <c r="AL150" t="s">
        <v>1320</v>
      </c>
      <c r="AM150" s="245">
        <v>369.95</v>
      </c>
      <c r="AN150" t="s">
        <v>1953</v>
      </c>
      <c r="AS150" s="226" t="str">
        <f t="shared" si="4"/>
        <v>Sir Francis Bacon Shorty</v>
      </c>
      <c r="AT150" s="203" t="str">
        <f t="shared" si="5"/>
        <v xml:space="preserve"> LineSir Francis Bacon Shorty155 Junior</v>
      </c>
    </row>
    <row r="151" spans="1:46" ht="92.4">
      <c r="A151" t="s">
        <v>155</v>
      </c>
      <c r="B151" t="s">
        <v>218</v>
      </c>
      <c r="C151" t="s">
        <v>387</v>
      </c>
      <c r="D151">
        <v>171</v>
      </c>
      <c r="E151" t="s">
        <v>158</v>
      </c>
      <c r="F151">
        <v>171</v>
      </c>
      <c r="G151">
        <v>169.2</v>
      </c>
      <c r="H151">
        <v>124</v>
      </c>
      <c r="I151">
        <v>130</v>
      </c>
      <c r="J151">
        <v>122</v>
      </c>
      <c r="K151">
        <v>90</v>
      </c>
      <c r="L151">
        <v>107</v>
      </c>
      <c r="M151">
        <v>15</v>
      </c>
      <c r="N151">
        <v>1643</v>
      </c>
      <c r="O151">
        <v>1.04</v>
      </c>
      <c r="P151">
        <v>1714</v>
      </c>
      <c r="Q151">
        <v>217</v>
      </c>
      <c r="R151">
        <v>112</v>
      </c>
      <c r="S151">
        <v>49</v>
      </c>
      <c r="T151">
        <v>310</v>
      </c>
      <c r="U151">
        <v>7</v>
      </c>
      <c r="V151">
        <v>140</v>
      </c>
      <c r="W151">
        <v>0.14799999999999999</v>
      </c>
      <c r="X151">
        <v>199</v>
      </c>
      <c r="Y151">
        <v>197</v>
      </c>
      <c r="Z151">
        <v>111</v>
      </c>
      <c r="AA151">
        <v>9</v>
      </c>
      <c r="AB151">
        <v>11.8</v>
      </c>
      <c r="AC151" t="s">
        <v>188</v>
      </c>
      <c r="AG151" t="s">
        <v>1954</v>
      </c>
      <c r="AH151" t="s">
        <v>1271</v>
      </c>
      <c r="AI151" s="245">
        <v>1039.2</v>
      </c>
      <c r="AJ151" t="s">
        <v>1955</v>
      </c>
      <c r="AK151" t="s">
        <v>1954</v>
      </c>
      <c r="AL151" t="s">
        <v>1556</v>
      </c>
      <c r="AM151" s="245">
        <v>1299</v>
      </c>
      <c r="AN151" t="s">
        <v>1956</v>
      </c>
      <c r="AO151" t="s">
        <v>1957</v>
      </c>
      <c r="AP151" t="s">
        <v>1958</v>
      </c>
      <c r="AQ151" s="245">
        <v>1448.99</v>
      </c>
      <c r="AR151" t="s">
        <v>1959</v>
      </c>
      <c r="AS151" s="226" t="str">
        <f t="shared" si="4"/>
        <v>Pagoda Piste 90 RP</v>
      </c>
      <c r="AT151" s="203" t="str">
        <f t="shared" si="5"/>
        <v xml:space="preserve"> DPSPagoda Piste 90 RP171 Unisex</v>
      </c>
    </row>
    <row r="152" spans="1:46" ht="66">
      <c r="A152" t="s">
        <v>155</v>
      </c>
      <c r="B152" t="s">
        <v>237</v>
      </c>
      <c r="C152" t="s">
        <v>361</v>
      </c>
      <c r="D152">
        <v>172.2</v>
      </c>
      <c r="E152" t="s">
        <v>158</v>
      </c>
      <c r="F152">
        <v>172.2</v>
      </c>
      <c r="G152">
        <v>171.3</v>
      </c>
      <c r="H152">
        <v>132</v>
      </c>
      <c r="I152">
        <v>144</v>
      </c>
      <c r="J152">
        <v>132</v>
      </c>
      <c r="K152">
        <v>95</v>
      </c>
      <c r="L152">
        <v>114</v>
      </c>
      <c r="M152">
        <v>17.100000000000001</v>
      </c>
      <c r="N152">
        <v>1468</v>
      </c>
      <c r="O152">
        <v>1.24</v>
      </c>
      <c r="P152">
        <v>1822</v>
      </c>
      <c r="Q152">
        <v>192</v>
      </c>
      <c r="R152">
        <v>99</v>
      </c>
      <c r="S152">
        <v>43</v>
      </c>
      <c r="T152">
        <v>252</v>
      </c>
      <c r="U152">
        <v>11</v>
      </c>
      <c r="V152">
        <v>137</v>
      </c>
      <c r="W152">
        <v>0.25900000000000001</v>
      </c>
      <c r="X152">
        <v>164</v>
      </c>
      <c r="Y152">
        <v>110</v>
      </c>
      <c r="Z152">
        <v>88</v>
      </c>
      <c r="AA152">
        <v>9</v>
      </c>
      <c r="AB152">
        <v>9.4</v>
      </c>
      <c r="AC152" t="s">
        <v>188</v>
      </c>
      <c r="AD152" t="s">
        <v>185</v>
      </c>
      <c r="AG152" t="s">
        <v>1960</v>
      </c>
      <c r="AH152" t="s">
        <v>1424</v>
      </c>
      <c r="AI152" s="245">
        <v>514.99</v>
      </c>
      <c r="AJ152" t="s">
        <v>1961</v>
      </c>
      <c r="AK152" t="s">
        <v>1960</v>
      </c>
      <c r="AL152" t="s">
        <v>1224</v>
      </c>
      <c r="AM152" s="245">
        <v>591.96</v>
      </c>
      <c r="AN152" t="s">
        <v>1962</v>
      </c>
      <c r="AO152" t="s">
        <v>1960</v>
      </c>
      <c r="AP152" t="s">
        <v>1181</v>
      </c>
      <c r="AQ152" s="245">
        <v>591.96</v>
      </c>
      <c r="AR152" t="s">
        <v>1963</v>
      </c>
      <c r="AS152" s="226" t="str">
        <f t="shared" si="4"/>
        <v>Camox Freebird</v>
      </c>
      <c r="AT152" s="203" t="str">
        <f t="shared" si="5"/>
        <v xml:space="preserve"> Black CrowsCamox Freebird172.2 Unisex</v>
      </c>
    </row>
    <row r="153" spans="1:46" ht="79.2">
      <c r="A153" t="s">
        <v>155</v>
      </c>
      <c r="B153" t="s">
        <v>218</v>
      </c>
      <c r="C153" t="s">
        <v>222</v>
      </c>
      <c r="D153">
        <v>171</v>
      </c>
      <c r="E153" t="s">
        <v>158</v>
      </c>
      <c r="F153">
        <v>171</v>
      </c>
      <c r="G153">
        <v>169.5</v>
      </c>
      <c r="H153">
        <v>115</v>
      </c>
      <c r="I153">
        <v>125</v>
      </c>
      <c r="J153">
        <v>129</v>
      </c>
      <c r="K153">
        <v>100</v>
      </c>
      <c r="L153">
        <v>115</v>
      </c>
      <c r="M153">
        <v>15</v>
      </c>
      <c r="N153">
        <v>1431</v>
      </c>
      <c r="O153">
        <v>1.3</v>
      </c>
      <c r="P153">
        <v>1861</v>
      </c>
      <c r="Q153">
        <v>203</v>
      </c>
      <c r="R153">
        <v>94</v>
      </c>
      <c r="S153">
        <v>57</v>
      </c>
      <c r="T153">
        <v>332</v>
      </c>
      <c r="U153">
        <v>12</v>
      </c>
      <c r="V153">
        <v>210</v>
      </c>
      <c r="W153">
        <v>0.20899999999999999</v>
      </c>
      <c r="X153">
        <v>230</v>
      </c>
      <c r="Y153">
        <v>213</v>
      </c>
      <c r="Z153">
        <v>102</v>
      </c>
      <c r="AA153">
        <v>6</v>
      </c>
      <c r="AB153">
        <v>11.9</v>
      </c>
      <c r="AC153" t="s">
        <v>185</v>
      </c>
      <c r="AD153" t="s">
        <v>198</v>
      </c>
      <c r="AG153" t="s">
        <v>1485</v>
      </c>
      <c r="AH153" t="s">
        <v>1334</v>
      </c>
      <c r="AI153" s="245">
        <v>1029</v>
      </c>
      <c r="AJ153" t="s">
        <v>1964</v>
      </c>
      <c r="AK153" t="s">
        <v>1485</v>
      </c>
      <c r="AL153" t="s">
        <v>1280</v>
      </c>
      <c r="AM153" s="245">
        <v>1038.93</v>
      </c>
      <c r="AN153" t="s">
        <v>1965</v>
      </c>
      <c r="AO153" t="s">
        <v>1485</v>
      </c>
      <c r="AP153" t="s">
        <v>1244</v>
      </c>
      <c r="AQ153" s="245">
        <v>1039.2</v>
      </c>
      <c r="AR153" t="s">
        <v>1966</v>
      </c>
      <c r="AS153" s="226" t="str">
        <f t="shared" si="4"/>
        <v>Pagoda Tour 100 RP</v>
      </c>
      <c r="AT153" s="203" t="str">
        <f t="shared" si="5"/>
        <v xml:space="preserve"> DPSPagoda Tour 100 RP171 Unisex</v>
      </c>
    </row>
    <row r="154" spans="1:46" ht="132">
      <c r="A154" t="s">
        <v>155</v>
      </c>
      <c r="B154" t="s">
        <v>172</v>
      </c>
      <c r="C154" t="s">
        <v>388</v>
      </c>
      <c r="D154">
        <v>172</v>
      </c>
      <c r="E154" t="s">
        <v>158</v>
      </c>
      <c r="F154">
        <v>172</v>
      </c>
      <c r="G154">
        <v>170.6</v>
      </c>
      <c r="H154">
        <v>121</v>
      </c>
      <c r="I154">
        <v>145</v>
      </c>
      <c r="J154">
        <v>136</v>
      </c>
      <c r="K154">
        <v>101</v>
      </c>
      <c r="L154">
        <v>127</v>
      </c>
      <c r="M154">
        <v>15.4</v>
      </c>
      <c r="N154">
        <v>1793</v>
      </c>
      <c r="O154">
        <v>1.08</v>
      </c>
      <c r="P154">
        <v>1935</v>
      </c>
      <c r="Q154">
        <v>212</v>
      </c>
      <c r="R154">
        <v>94</v>
      </c>
      <c r="S154">
        <v>48</v>
      </c>
      <c r="T154">
        <v>298</v>
      </c>
      <c r="U154">
        <v>12</v>
      </c>
      <c r="V154">
        <v>197</v>
      </c>
      <c r="W154">
        <v>0.251</v>
      </c>
      <c r="X154">
        <v>146</v>
      </c>
      <c r="Y154">
        <v>109</v>
      </c>
      <c r="Z154">
        <v>153</v>
      </c>
      <c r="AA154">
        <v>6</v>
      </c>
      <c r="AB154">
        <v>6.5</v>
      </c>
      <c r="AC154" t="s">
        <v>188</v>
      </c>
      <c r="AD154" t="s">
        <v>178</v>
      </c>
      <c r="AE154" t="s">
        <v>185</v>
      </c>
      <c r="AG154" t="s">
        <v>1967</v>
      </c>
      <c r="AH154" t="s">
        <v>1282</v>
      </c>
      <c r="AI154" s="245">
        <v>559.96</v>
      </c>
      <c r="AJ154" t="s">
        <v>1968</v>
      </c>
      <c r="AK154" t="s">
        <v>1969</v>
      </c>
      <c r="AL154" t="s">
        <v>1421</v>
      </c>
      <c r="AM154" s="245">
        <v>559.99</v>
      </c>
      <c r="AN154" t="s">
        <v>1970</v>
      </c>
      <c r="AO154" t="s">
        <v>1971</v>
      </c>
      <c r="AP154" t="s">
        <v>1204</v>
      </c>
      <c r="AQ154" s="245">
        <v>641.59</v>
      </c>
      <c r="AR154" t="s">
        <v>1972</v>
      </c>
      <c r="AS154" s="226" t="str">
        <f t="shared" si="4"/>
        <v>Blackops Sender</v>
      </c>
      <c r="AT154" s="203" t="str">
        <f t="shared" si="5"/>
        <v xml:space="preserve"> RossignolBlackops Sender172 Unisex</v>
      </c>
    </row>
    <row r="155" spans="1:46" ht="52.8">
      <c r="A155" t="s">
        <v>155</v>
      </c>
      <c r="B155" t="s">
        <v>156</v>
      </c>
      <c r="C155" t="s">
        <v>389</v>
      </c>
      <c r="D155">
        <v>177</v>
      </c>
      <c r="E155" t="s">
        <v>158</v>
      </c>
      <c r="F155">
        <v>177</v>
      </c>
      <c r="G155">
        <v>176</v>
      </c>
      <c r="H155">
        <v>136</v>
      </c>
      <c r="I155">
        <v>146</v>
      </c>
      <c r="J155">
        <v>126</v>
      </c>
      <c r="K155">
        <v>93</v>
      </c>
      <c r="L155">
        <v>115</v>
      </c>
      <c r="M155">
        <v>18.2</v>
      </c>
      <c r="N155">
        <v>1416</v>
      </c>
      <c r="O155">
        <v>1.29</v>
      </c>
      <c r="P155">
        <v>1830</v>
      </c>
      <c r="Q155">
        <v>214</v>
      </c>
      <c r="R155">
        <v>92</v>
      </c>
      <c r="S155">
        <v>50</v>
      </c>
      <c r="T155">
        <v>243</v>
      </c>
      <c r="U155">
        <v>10</v>
      </c>
      <c r="V155">
        <v>160</v>
      </c>
      <c r="W155">
        <v>0.20899999999999999</v>
      </c>
      <c r="X155">
        <v>174</v>
      </c>
      <c r="Y155">
        <v>123</v>
      </c>
      <c r="Z155">
        <v>69</v>
      </c>
      <c r="AA155">
        <v>6</v>
      </c>
      <c r="AB155">
        <v>11.1</v>
      </c>
      <c r="AC155" t="s">
        <v>185</v>
      </c>
      <c r="AD155" t="s">
        <v>198</v>
      </c>
      <c r="AG155" t="s">
        <v>1973</v>
      </c>
      <c r="AH155" t="s">
        <v>1974</v>
      </c>
      <c r="AI155" s="245">
        <v>534.13</v>
      </c>
      <c r="AJ155" t="s">
        <v>1975</v>
      </c>
      <c r="AK155" t="s">
        <v>1973</v>
      </c>
      <c r="AL155" t="s">
        <v>1976</v>
      </c>
      <c r="AM155" s="245">
        <v>698</v>
      </c>
      <c r="AN155" t="s">
        <v>1977</v>
      </c>
      <c r="AO155" t="s">
        <v>1973</v>
      </c>
      <c r="AP155" t="s">
        <v>1978</v>
      </c>
      <c r="AQ155" s="245">
        <v>699.99</v>
      </c>
      <c r="AR155" t="s">
        <v>1979</v>
      </c>
      <c r="AS155" s="226" t="str">
        <f t="shared" si="4"/>
        <v>Backland 95</v>
      </c>
      <c r="AT155" s="203" t="str">
        <f t="shared" si="5"/>
        <v xml:space="preserve"> AtomicBackland 95177 Unisex</v>
      </c>
    </row>
    <row r="156" spans="1:46" ht="105.6">
      <c r="A156" t="s">
        <v>155</v>
      </c>
      <c r="B156" t="s">
        <v>218</v>
      </c>
      <c r="C156" t="s">
        <v>222</v>
      </c>
      <c r="D156">
        <v>184</v>
      </c>
      <c r="E156" t="s">
        <v>158</v>
      </c>
      <c r="F156">
        <v>184</v>
      </c>
      <c r="G156">
        <v>182.4</v>
      </c>
      <c r="H156">
        <v>120</v>
      </c>
      <c r="I156">
        <v>134</v>
      </c>
      <c r="J156">
        <v>133</v>
      </c>
      <c r="K156">
        <v>99</v>
      </c>
      <c r="L156">
        <v>118</v>
      </c>
      <c r="M156">
        <v>15</v>
      </c>
      <c r="N156">
        <v>1575</v>
      </c>
      <c r="O156">
        <v>1.29</v>
      </c>
      <c r="P156">
        <v>2033</v>
      </c>
      <c r="Q156">
        <v>254</v>
      </c>
      <c r="R156">
        <v>123</v>
      </c>
      <c r="S156">
        <v>68</v>
      </c>
      <c r="T156">
        <v>372</v>
      </c>
      <c r="U156">
        <v>16</v>
      </c>
      <c r="V156">
        <v>256</v>
      </c>
      <c r="W156">
        <v>0.23199999999999901</v>
      </c>
      <c r="X156">
        <v>250</v>
      </c>
      <c r="Y156">
        <v>231</v>
      </c>
      <c r="Z156">
        <v>122</v>
      </c>
      <c r="AA156">
        <v>6</v>
      </c>
      <c r="AB156">
        <v>12.8</v>
      </c>
      <c r="AC156" t="s">
        <v>185</v>
      </c>
      <c r="AD156" t="s">
        <v>198</v>
      </c>
      <c r="AG156" t="s">
        <v>1980</v>
      </c>
      <c r="AH156" t="s">
        <v>1271</v>
      </c>
      <c r="AI156" s="245">
        <v>979.93</v>
      </c>
      <c r="AJ156" t="s">
        <v>1981</v>
      </c>
      <c r="AK156" t="s">
        <v>1618</v>
      </c>
      <c r="AL156" t="s">
        <v>1468</v>
      </c>
      <c r="AM156" s="245">
        <v>1029</v>
      </c>
      <c r="AN156" t="s">
        <v>1982</v>
      </c>
      <c r="AO156" t="s">
        <v>1983</v>
      </c>
      <c r="AP156" t="s">
        <v>1556</v>
      </c>
      <c r="AQ156" s="245">
        <v>1299</v>
      </c>
      <c r="AR156" t="s">
        <v>1984</v>
      </c>
      <c r="AS156" s="226" t="str">
        <f t="shared" si="4"/>
        <v>Pagoda Tour 100 RP</v>
      </c>
      <c r="AT156" s="203" t="str">
        <f t="shared" si="5"/>
        <v xml:space="preserve"> DPSPagoda Tour 100 RP184 Unisex</v>
      </c>
    </row>
    <row r="157" spans="1:46" ht="52.8">
      <c r="A157" t="s">
        <v>155</v>
      </c>
      <c r="B157" t="s">
        <v>205</v>
      </c>
      <c r="C157" t="s">
        <v>206</v>
      </c>
      <c r="D157">
        <v>179</v>
      </c>
      <c r="E157" t="s">
        <v>158</v>
      </c>
      <c r="F157">
        <v>179</v>
      </c>
      <c r="G157">
        <v>177.3</v>
      </c>
      <c r="H157">
        <v>134</v>
      </c>
      <c r="I157">
        <v>149</v>
      </c>
      <c r="J157">
        <v>127</v>
      </c>
      <c r="K157">
        <v>95</v>
      </c>
      <c r="L157">
        <v>117</v>
      </c>
      <c r="M157">
        <v>19.7</v>
      </c>
      <c r="N157">
        <v>1630</v>
      </c>
      <c r="O157">
        <v>1.1599999999999999</v>
      </c>
      <c r="P157">
        <v>1883</v>
      </c>
      <c r="Q157">
        <v>218</v>
      </c>
      <c r="R157">
        <v>115</v>
      </c>
      <c r="S157">
        <v>52</v>
      </c>
      <c r="T157">
        <v>259</v>
      </c>
      <c r="U157">
        <v>21</v>
      </c>
      <c r="V157">
        <v>177</v>
      </c>
      <c r="W157">
        <v>0.39600000000000002</v>
      </c>
      <c r="X157">
        <v>174</v>
      </c>
      <c r="Y157">
        <v>104</v>
      </c>
      <c r="Z157">
        <v>85</v>
      </c>
      <c r="AA157">
        <v>8</v>
      </c>
      <c r="AB157">
        <v>11.3</v>
      </c>
      <c r="AC157" t="s">
        <v>188</v>
      </c>
      <c r="AD157" t="s">
        <v>185</v>
      </c>
      <c r="AG157" t="s">
        <v>1347</v>
      </c>
      <c r="AH157" t="s">
        <v>1185</v>
      </c>
      <c r="AI157" s="245">
        <v>489.99</v>
      </c>
      <c r="AJ157" t="s">
        <v>1985</v>
      </c>
      <c r="AK157" t="s">
        <v>1351</v>
      </c>
      <c r="AL157" t="s">
        <v>1265</v>
      </c>
      <c r="AM157" s="245">
        <v>544.54999999999995</v>
      </c>
      <c r="AN157" t="s">
        <v>1986</v>
      </c>
      <c r="AO157" t="s">
        <v>1347</v>
      </c>
      <c r="AP157" t="s">
        <v>1271</v>
      </c>
      <c r="AQ157" s="245">
        <v>559</v>
      </c>
      <c r="AR157" t="s">
        <v>1987</v>
      </c>
      <c r="AS157" s="226" t="str">
        <f t="shared" si="4"/>
        <v>Agent 2.0</v>
      </c>
      <c r="AT157" s="203" t="str">
        <f t="shared" si="5"/>
        <v xml:space="preserve"> FactionAgent 2.0179 Unisex</v>
      </c>
    </row>
    <row r="158" spans="1:46" ht="66">
      <c r="A158" t="s">
        <v>155</v>
      </c>
      <c r="B158" t="s">
        <v>237</v>
      </c>
      <c r="C158" t="s">
        <v>391</v>
      </c>
      <c r="D158">
        <v>179.3</v>
      </c>
      <c r="E158" t="s">
        <v>158</v>
      </c>
      <c r="F158">
        <v>179.3</v>
      </c>
      <c r="G158">
        <v>178.4</v>
      </c>
      <c r="H158">
        <v>139</v>
      </c>
      <c r="I158">
        <v>150</v>
      </c>
      <c r="J158">
        <v>127</v>
      </c>
      <c r="K158">
        <v>88</v>
      </c>
      <c r="L158">
        <v>111</v>
      </c>
      <c r="M158">
        <v>17.600000000000001</v>
      </c>
      <c r="N158">
        <v>1450</v>
      </c>
      <c r="O158">
        <v>1.24</v>
      </c>
      <c r="P158">
        <v>1793</v>
      </c>
      <c r="Q158">
        <v>189</v>
      </c>
      <c r="R158">
        <v>89</v>
      </c>
      <c r="S158">
        <v>39</v>
      </c>
      <c r="T158">
        <v>254</v>
      </c>
      <c r="U158">
        <v>11</v>
      </c>
      <c r="V158">
        <v>143</v>
      </c>
      <c r="W158">
        <v>0.27</v>
      </c>
      <c r="X158">
        <v>139</v>
      </c>
      <c r="Y158">
        <v>142</v>
      </c>
      <c r="Z158">
        <v>115</v>
      </c>
      <c r="AA158">
        <v>7</v>
      </c>
      <c r="AB158">
        <v>10.4</v>
      </c>
      <c r="AC158" t="s">
        <v>188</v>
      </c>
      <c r="AD158" t="s">
        <v>185</v>
      </c>
      <c r="AG158" t="s">
        <v>1988</v>
      </c>
      <c r="AH158" t="s">
        <v>1191</v>
      </c>
      <c r="AI158" s="245">
        <v>514.95000000000005</v>
      </c>
      <c r="AJ158" t="s">
        <v>1989</v>
      </c>
      <c r="AK158" t="s">
        <v>1988</v>
      </c>
      <c r="AL158" t="s">
        <v>1244</v>
      </c>
      <c r="AM158" s="245">
        <v>583.91999999999996</v>
      </c>
      <c r="AN158" t="s">
        <v>1990</v>
      </c>
      <c r="AO158" t="s">
        <v>1988</v>
      </c>
      <c r="AP158" t="s">
        <v>1271</v>
      </c>
      <c r="AQ158" s="245">
        <v>583.96</v>
      </c>
      <c r="AR158" t="s">
        <v>1991</v>
      </c>
      <c r="AS158" s="226" t="str">
        <f t="shared" si="4"/>
        <v>Orb Freebird</v>
      </c>
      <c r="AT158" s="203" t="str">
        <f t="shared" si="5"/>
        <v xml:space="preserve"> Black CrowsOrb Freebird179.3 Unisex</v>
      </c>
    </row>
    <row r="159" spans="1:46" ht="66">
      <c r="A159" t="s">
        <v>155</v>
      </c>
      <c r="B159" t="s">
        <v>167</v>
      </c>
      <c r="C159" t="s">
        <v>393</v>
      </c>
      <c r="D159">
        <v>177</v>
      </c>
      <c r="E159" t="s">
        <v>158</v>
      </c>
      <c r="F159">
        <v>177</v>
      </c>
      <c r="G159">
        <v>175.2</v>
      </c>
      <c r="H159">
        <v>137</v>
      </c>
      <c r="I159">
        <v>156</v>
      </c>
      <c r="J159">
        <v>126</v>
      </c>
      <c r="K159">
        <v>92</v>
      </c>
      <c r="L159">
        <v>116</v>
      </c>
      <c r="M159">
        <v>20.9</v>
      </c>
      <c r="N159">
        <v>1773</v>
      </c>
      <c r="O159">
        <v>1.01</v>
      </c>
      <c r="P159">
        <v>1793</v>
      </c>
      <c r="Q159">
        <v>181</v>
      </c>
      <c r="R159">
        <v>75</v>
      </c>
      <c r="S159">
        <v>53</v>
      </c>
      <c r="T159">
        <v>237</v>
      </c>
      <c r="U159">
        <v>37</v>
      </c>
      <c r="V159">
        <v>141</v>
      </c>
      <c r="W159">
        <v>0.69099999999999995</v>
      </c>
      <c r="X159">
        <v>98</v>
      </c>
      <c r="Y159">
        <v>92</v>
      </c>
      <c r="Z159">
        <v>139</v>
      </c>
      <c r="AA159">
        <v>10</v>
      </c>
      <c r="AB159">
        <v>5.5</v>
      </c>
      <c r="AC159" t="s">
        <v>188</v>
      </c>
      <c r="AG159" t="s">
        <v>1992</v>
      </c>
      <c r="AH159" t="s">
        <v>1993</v>
      </c>
      <c r="AI159" s="245">
        <v>399</v>
      </c>
      <c r="AJ159" t="s">
        <v>1994</v>
      </c>
      <c r="AK159" t="s">
        <v>1995</v>
      </c>
      <c r="AL159" t="s">
        <v>1204</v>
      </c>
      <c r="AM159" s="245">
        <v>441.09</v>
      </c>
      <c r="AN159" t="s">
        <v>1996</v>
      </c>
      <c r="AO159" t="s">
        <v>1992</v>
      </c>
      <c r="AP159" t="s">
        <v>1224</v>
      </c>
      <c r="AQ159" s="245">
        <v>499</v>
      </c>
      <c r="AR159" t="s">
        <v>1997</v>
      </c>
      <c r="AS159" s="226" t="str">
        <f t="shared" si="4"/>
        <v>Oblivion 94</v>
      </c>
      <c r="AT159" s="203" t="str">
        <f t="shared" si="5"/>
        <v xml:space="preserve"> HeadOblivion 94177 Unisex</v>
      </c>
    </row>
    <row r="160" spans="1:46" ht="66">
      <c r="A160" t="s">
        <v>155</v>
      </c>
      <c r="B160" t="s">
        <v>182</v>
      </c>
      <c r="C160" t="s">
        <v>395</v>
      </c>
      <c r="D160">
        <v>172</v>
      </c>
      <c r="E160" t="s">
        <v>163</v>
      </c>
      <c r="F160">
        <v>172</v>
      </c>
      <c r="G160">
        <v>171.3</v>
      </c>
      <c r="H160">
        <v>119</v>
      </c>
      <c r="I160">
        <v>136</v>
      </c>
      <c r="J160">
        <v>133</v>
      </c>
      <c r="K160">
        <v>107</v>
      </c>
      <c r="L160">
        <v>125</v>
      </c>
      <c r="M160">
        <v>18.100000000000001</v>
      </c>
      <c r="N160">
        <v>1596</v>
      </c>
      <c r="O160">
        <v>1.25</v>
      </c>
      <c r="P160">
        <v>1989</v>
      </c>
      <c r="Q160">
        <v>163</v>
      </c>
      <c r="R160">
        <v>93</v>
      </c>
      <c r="S160">
        <v>45</v>
      </c>
      <c r="T160">
        <v>355</v>
      </c>
      <c r="U160">
        <v>28</v>
      </c>
      <c r="V160">
        <v>167</v>
      </c>
      <c r="W160">
        <v>0.622</v>
      </c>
      <c r="X160">
        <v>208</v>
      </c>
      <c r="Y160">
        <v>143</v>
      </c>
      <c r="Z160">
        <v>147</v>
      </c>
      <c r="AA160">
        <v>5</v>
      </c>
      <c r="AB160">
        <v>9.8000000000000007</v>
      </c>
      <c r="AC160" t="s">
        <v>169</v>
      </c>
      <c r="AD160" t="s">
        <v>185</v>
      </c>
      <c r="AG160" t="s">
        <v>1998</v>
      </c>
      <c r="AH160" t="s">
        <v>1194</v>
      </c>
      <c r="AI160" s="245">
        <v>423.23</v>
      </c>
      <c r="AJ160" t="s">
        <v>1999</v>
      </c>
      <c r="AK160" t="s">
        <v>1998</v>
      </c>
      <c r="AL160" t="s">
        <v>1265</v>
      </c>
      <c r="AM160" s="245">
        <v>544.54999999999995</v>
      </c>
      <c r="AN160" t="s">
        <v>2000</v>
      </c>
      <c r="AO160" t="s">
        <v>1998</v>
      </c>
      <c r="AP160" t="s">
        <v>1280</v>
      </c>
      <c r="AQ160" s="245">
        <v>599.92999999999995</v>
      </c>
      <c r="AR160" t="s">
        <v>2001</v>
      </c>
      <c r="AS160" s="226" t="str">
        <f t="shared" si="4"/>
        <v>Trace 108</v>
      </c>
      <c r="AT160" s="203" t="str">
        <f t="shared" si="5"/>
        <v xml:space="preserve"> ArmadaTrace 108172 Women's</v>
      </c>
    </row>
    <row r="161" spans="1:46" ht="79.2">
      <c r="A161" t="s">
        <v>217</v>
      </c>
      <c r="B161" t="s">
        <v>218</v>
      </c>
      <c r="C161" t="s">
        <v>397</v>
      </c>
      <c r="D161">
        <v>163</v>
      </c>
      <c r="E161" t="s">
        <v>163</v>
      </c>
      <c r="F161">
        <v>163</v>
      </c>
      <c r="G161">
        <v>161.69999999999999</v>
      </c>
      <c r="H161">
        <v>111</v>
      </c>
      <c r="I161">
        <v>124</v>
      </c>
      <c r="J161">
        <v>132</v>
      </c>
      <c r="K161">
        <v>106</v>
      </c>
      <c r="L161">
        <v>118</v>
      </c>
      <c r="M161">
        <v>18.899999999999999</v>
      </c>
      <c r="N161">
        <v>1364</v>
      </c>
      <c r="O161">
        <v>1.35</v>
      </c>
      <c r="P161">
        <v>1840</v>
      </c>
      <c r="Q161">
        <v>210</v>
      </c>
      <c r="R161">
        <v>97</v>
      </c>
      <c r="S161">
        <v>43</v>
      </c>
      <c r="T161">
        <v>273</v>
      </c>
      <c r="U161">
        <v>22</v>
      </c>
      <c r="V161">
        <v>231</v>
      </c>
      <c r="W161">
        <v>0.52300000000000002</v>
      </c>
      <c r="X161">
        <v>194</v>
      </c>
      <c r="Y161">
        <v>181</v>
      </c>
      <c r="Z161">
        <v>79</v>
      </c>
      <c r="AA161">
        <v>5</v>
      </c>
      <c r="AB161">
        <v>10.7</v>
      </c>
      <c r="AC161" t="s">
        <v>169</v>
      </c>
      <c r="AD161" t="s">
        <v>185</v>
      </c>
      <c r="AE161" t="s">
        <v>198</v>
      </c>
      <c r="AG161" t="s">
        <v>2002</v>
      </c>
      <c r="AH161" t="s">
        <v>1280</v>
      </c>
      <c r="AI161" s="245">
        <v>1038.93</v>
      </c>
      <c r="AJ161" t="s">
        <v>2003</v>
      </c>
      <c r="AK161" t="s">
        <v>2002</v>
      </c>
      <c r="AL161" t="s">
        <v>2004</v>
      </c>
      <c r="AM161" s="245">
        <v>1039.2</v>
      </c>
      <c r="AN161" t="s">
        <v>2005</v>
      </c>
      <c r="AO161" t="s">
        <v>2002</v>
      </c>
      <c r="AP161" t="s">
        <v>1334</v>
      </c>
      <c r="AQ161" s="245">
        <v>1098.95</v>
      </c>
      <c r="AR161" t="s">
        <v>2006</v>
      </c>
      <c r="AS161" s="226" t="str">
        <f t="shared" si="4"/>
        <v>Pagoda Tour 106 W</v>
      </c>
      <c r="AT161" s="203" t="str">
        <f t="shared" si="5"/>
        <v xml:space="preserve"> DPSPagoda Tour 106 W163 Women's</v>
      </c>
    </row>
    <row r="162" spans="1:46" ht="66">
      <c r="A162" t="s">
        <v>155</v>
      </c>
      <c r="B162" t="s">
        <v>215</v>
      </c>
      <c r="C162" t="s">
        <v>302</v>
      </c>
      <c r="D162">
        <v>151</v>
      </c>
      <c r="E162" t="s">
        <v>163</v>
      </c>
      <c r="F162">
        <v>151</v>
      </c>
      <c r="G162">
        <v>150.4</v>
      </c>
      <c r="H162">
        <v>117</v>
      </c>
      <c r="I162">
        <v>131</v>
      </c>
      <c r="J162">
        <v>131</v>
      </c>
      <c r="K162">
        <v>89</v>
      </c>
      <c r="L162">
        <v>114</v>
      </c>
      <c r="M162">
        <v>12.4</v>
      </c>
      <c r="N162">
        <v>1457</v>
      </c>
      <c r="O162">
        <v>1.06</v>
      </c>
      <c r="P162">
        <v>1541</v>
      </c>
      <c r="Q162">
        <v>196</v>
      </c>
      <c r="R162">
        <v>94</v>
      </c>
      <c r="S162">
        <v>37</v>
      </c>
      <c r="T162">
        <v>205</v>
      </c>
      <c r="U162">
        <v>10</v>
      </c>
      <c r="V162">
        <v>130</v>
      </c>
      <c r="W162">
        <v>0.27399999999999902</v>
      </c>
      <c r="X162">
        <v>112</v>
      </c>
      <c r="Y162">
        <v>85</v>
      </c>
      <c r="Z162">
        <v>93</v>
      </c>
      <c r="AA162">
        <v>7</v>
      </c>
      <c r="AB162">
        <v>9.6999999999999993</v>
      </c>
      <c r="AC162" t="s">
        <v>188</v>
      </c>
      <c r="AD162" t="s">
        <v>185</v>
      </c>
      <c r="AG162" t="s">
        <v>2007</v>
      </c>
      <c r="AH162" t="s">
        <v>1667</v>
      </c>
      <c r="AI162" s="245">
        <v>389</v>
      </c>
      <c r="AJ162" t="s">
        <v>2008</v>
      </c>
      <c r="AK162" t="s">
        <v>2007</v>
      </c>
      <c r="AL162" t="s">
        <v>1405</v>
      </c>
      <c r="AM162" s="245">
        <v>469.95</v>
      </c>
      <c r="AN162" t="s">
        <v>2009</v>
      </c>
      <c r="AO162" t="s">
        <v>2007</v>
      </c>
      <c r="AP162" t="s">
        <v>1181</v>
      </c>
      <c r="AQ162" s="245">
        <v>469.95</v>
      </c>
      <c r="AR162" t="s">
        <v>2010</v>
      </c>
      <c r="AS162" s="226" t="str">
        <f t="shared" si="4"/>
        <v>Evolv 90W</v>
      </c>
      <c r="AT162" s="203" t="str">
        <f t="shared" si="5"/>
        <v xml:space="preserve"> LibertyEvolv 90W151 Women's</v>
      </c>
    </row>
    <row r="163" spans="1:46" ht="39.6">
      <c r="A163" t="s">
        <v>155</v>
      </c>
      <c r="B163" t="s">
        <v>1160</v>
      </c>
      <c r="C163" t="s">
        <v>269</v>
      </c>
      <c r="D163">
        <v>177</v>
      </c>
      <c r="E163" t="s">
        <v>158</v>
      </c>
      <c r="F163">
        <v>177</v>
      </c>
      <c r="G163">
        <v>176.8</v>
      </c>
      <c r="H163">
        <v>129</v>
      </c>
      <c r="I163">
        <v>149</v>
      </c>
      <c r="J163">
        <v>127</v>
      </c>
      <c r="K163">
        <v>95</v>
      </c>
      <c r="L163">
        <v>113</v>
      </c>
      <c r="M163">
        <v>21.6</v>
      </c>
      <c r="N163">
        <v>1389</v>
      </c>
      <c r="O163">
        <v>1.33</v>
      </c>
      <c r="P163">
        <v>1844</v>
      </c>
      <c r="Q163">
        <v>213</v>
      </c>
      <c r="R163">
        <v>96</v>
      </c>
      <c r="S163">
        <v>51</v>
      </c>
      <c r="T163">
        <v>300</v>
      </c>
      <c r="U163">
        <v>9</v>
      </c>
      <c r="V163">
        <v>180</v>
      </c>
      <c r="W163">
        <v>0.17199999999999999</v>
      </c>
      <c r="X163">
        <v>164</v>
      </c>
      <c r="Y163">
        <v>114</v>
      </c>
      <c r="Z163">
        <v>136</v>
      </c>
      <c r="AA163">
        <v>5</v>
      </c>
      <c r="AB163">
        <v>11.4</v>
      </c>
      <c r="AC163" t="s">
        <v>185</v>
      </c>
      <c r="AD163" t="s">
        <v>198</v>
      </c>
      <c r="AG163" t="s">
        <v>1523</v>
      </c>
      <c r="AH163" t="s">
        <v>1194</v>
      </c>
      <c r="AI163" s="245">
        <v>340.24</v>
      </c>
      <c r="AJ163" t="s">
        <v>2011</v>
      </c>
      <c r="AK163" t="s">
        <v>2012</v>
      </c>
      <c r="AL163" t="s">
        <v>1191</v>
      </c>
      <c r="AM163" s="245">
        <v>414.95</v>
      </c>
      <c r="AN163" t="s">
        <v>2013</v>
      </c>
      <c r="AO163" t="s">
        <v>1523</v>
      </c>
      <c r="AP163" t="s">
        <v>1326</v>
      </c>
      <c r="AQ163" s="245">
        <v>415.28</v>
      </c>
      <c r="AR163" t="s">
        <v>2014</v>
      </c>
      <c r="AS163" s="226" t="str">
        <f t="shared" si="4"/>
        <v>Wayback 96</v>
      </c>
      <c r="AT163" s="203" t="str">
        <f t="shared" si="5"/>
        <v>K2Wayback 96177 Unisex</v>
      </c>
    </row>
    <row r="164" spans="1:46" ht="79.2">
      <c r="A164" t="s">
        <v>155</v>
      </c>
      <c r="B164" t="s">
        <v>218</v>
      </c>
      <c r="C164" t="s">
        <v>387</v>
      </c>
      <c r="D164">
        <v>179</v>
      </c>
      <c r="E164" t="s">
        <v>158</v>
      </c>
      <c r="F164">
        <v>179</v>
      </c>
      <c r="G164">
        <v>178.4</v>
      </c>
      <c r="H164">
        <v>125</v>
      </c>
      <c r="I164">
        <v>137</v>
      </c>
      <c r="J164">
        <v>125</v>
      </c>
      <c r="K164">
        <v>90</v>
      </c>
      <c r="L164">
        <v>109</v>
      </c>
      <c r="M164">
        <v>14.9</v>
      </c>
      <c r="N164">
        <v>1826</v>
      </c>
      <c r="O164">
        <v>1</v>
      </c>
      <c r="P164">
        <v>1819</v>
      </c>
      <c r="Q164">
        <v>234</v>
      </c>
      <c r="R164">
        <v>110</v>
      </c>
      <c r="S164">
        <v>56</v>
      </c>
      <c r="T164">
        <v>336</v>
      </c>
      <c r="U164">
        <v>11</v>
      </c>
      <c r="V164">
        <v>194</v>
      </c>
      <c r="W164">
        <v>0.19899999999999901</v>
      </c>
      <c r="X164">
        <v>203</v>
      </c>
      <c r="Y164">
        <v>212</v>
      </c>
      <c r="Z164">
        <v>133</v>
      </c>
      <c r="AA164">
        <v>10</v>
      </c>
      <c r="AB164">
        <v>11.7</v>
      </c>
      <c r="AC164" t="s">
        <v>188</v>
      </c>
      <c r="AG164" t="s">
        <v>2015</v>
      </c>
      <c r="AH164" t="s">
        <v>1271</v>
      </c>
      <c r="AI164" s="245">
        <v>1039.2</v>
      </c>
      <c r="AJ164" t="s">
        <v>2016</v>
      </c>
      <c r="AK164" t="s">
        <v>2015</v>
      </c>
      <c r="AL164" t="s">
        <v>1556</v>
      </c>
      <c r="AM164" s="245">
        <v>1299</v>
      </c>
      <c r="AN164" t="s">
        <v>2017</v>
      </c>
      <c r="AO164" t="s">
        <v>2018</v>
      </c>
      <c r="AP164" t="s">
        <v>1958</v>
      </c>
      <c r="AQ164" s="245">
        <v>1299</v>
      </c>
      <c r="AR164" t="s">
        <v>2019</v>
      </c>
      <c r="AS164" s="226" t="str">
        <f t="shared" si="4"/>
        <v>Pagoda Piste 90 RP</v>
      </c>
      <c r="AT164" s="203" t="str">
        <f t="shared" si="5"/>
        <v xml:space="preserve"> DPSPagoda Piste 90 RP179 Unisex</v>
      </c>
    </row>
    <row r="165" spans="1:46" ht="79.2">
      <c r="A165" t="s">
        <v>155</v>
      </c>
      <c r="B165" t="s">
        <v>205</v>
      </c>
      <c r="C165" t="s">
        <v>325</v>
      </c>
      <c r="D165">
        <v>164</v>
      </c>
      <c r="E165" t="s">
        <v>163</v>
      </c>
      <c r="F165">
        <v>164</v>
      </c>
      <c r="G165">
        <v>162.6</v>
      </c>
      <c r="H165">
        <v>117</v>
      </c>
      <c r="I165">
        <v>134</v>
      </c>
      <c r="J165">
        <v>133</v>
      </c>
      <c r="K165">
        <v>106</v>
      </c>
      <c r="L165">
        <v>124</v>
      </c>
      <c r="M165">
        <v>16.8</v>
      </c>
      <c r="N165">
        <v>1604</v>
      </c>
      <c r="O165">
        <v>1.17</v>
      </c>
      <c r="P165">
        <v>1872</v>
      </c>
      <c r="Q165">
        <v>182</v>
      </c>
      <c r="R165">
        <v>88</v>
      </c>
      <c r="S165">
        <v>53</v>
      </c>
      <c r="T165">
        <v>275</v>
      </c>
      <c r="U165">
        <v>20</v>
      </c>
      <c r="V165">
        <v>179</v>
      </c>
      <c r="W165">
        <v>0.377999999999999</v>
      </c>
      <c r="X165">
        <v>179</v>
      </c>
      <c r="Y165">
        <v>111</v>
      </c>
      <c r="Z165">
        <v>96</v>
      </c>
      <c r="AA165">
        <v>5</v>
      </c>
      <c r="AB165">
        <v>10.6</v>
      </c>
      <c r="AC165" t="s">
        <v>169</v>
      </c>
      <c r="AD165" t="s">
        <v>178</v>
      </c>
      <c r="AE165" t="s">
        <v>185</v>
      </c>
      <c r="AG165" t="s">
        <v>2020</v>
      </c>
      <c r="AH165" t="s">
        <v>1271</v>
      </c>
      <c r="AI165" s="245">
        <v>599</v>
      </c>
      <c r="AJ165" t="s">
        <v>2021</v>
      </c>
      <c r="AK165" t="s">
        <v>2022</v>
      </c>
      <c r="AL165" t="s">
        <v>1248</v>
      </c>
      <c r="AM165" s="245">
        <v>655.20000000000005</v>
      </c>
      <c r="AN165" t="s">
        <v>2023</v>
      </c>
      <c r="AO165" t="s">
        <v>2024</v>
      </c>
      <c r="AP165" t="s">
        <v>1244</v>
      </c>
      <c r="AQ165" s="245">
        <v>314.27</v>
      </c>
      <c r="AR165" t="s">
        <v>2025</v>
      </c>
      <c r="AS165" s="226" t="str">
        <f t="shared" si="4"/>
        <v>Agent 3.0 X</v>
      </c>
      <c r="AT165" s="203" t="str">
        <f t="shared" si="5"/>
        <v xml:space="preserve"> FactionAgent 3.0 X164 Women's</v>
      </c>
    </row>
    <row r="166" spans="1:46" ht="79.2">
      <c r="A166" t="s">
        <v>155</v>
      </c>
      <c r="B166" t="s">
        <v>218</v>
      </c>
      <c r="C166" t="s">
        <v>398</v>
      </c>
      <c r="D166">
        <v>176</v>
      </c>
      <c r="E166" t="s">
        <v>158</v>
      </c>
      <c r="F166">
        <v>176</v>
      </c>
      <c r="G166">
        <v>175.1</v>
      </c>
      <c r="H166">
        <v>117</v>
      </c>
      <c r="I166">
        <v>140</v>
      </c>
      <c r="J166">
        <v>131</v>
      </c>
      <c r="K166">
        <v>103</v>
      </c>
      <c r="L166">
        <v>120</v>
      </c>
      <c r="M166">
        <v>18.3</v>
      </c>
      <c r="N166">
        <v>1804</v>
      </c>
      <c r="O166">
        <v>1.0900000000000001</v>
      </c>
      <c r="P166">
        <v>1972</v>
      </c>
      <c r="Q166">
        <v>210</v>
      </c>
      <c r="R166">
        <v>95</v>
      </c>
      <c r="S166">
        <v>48</v>
      </c>
      <c r="T166">
        <v>298</v>
      </c>
      <c r="U166">
        <v>37</v>
      </c>
      <c r="V166">
        <v>280</v>
      </c>
      <c r="W166">
        <v>0.77700000000000002</v>
      </c>
      <c r="X166">
        <v>184</v>
      </c>
      <c r="Y166">
        <v>167</v>
      </c>
      <c r="Z166">
        <v>114</v>
      </c>
      <c r="AA166">
        <v>7</v>
      </c>
      <c r="AB166">
        <v>6.3</v>
      </c>
      <c r="AC166" t="s">
        <v>188</v>
      </c>
      <c r="AD166" t="s">
        <v>169</v>
      </c>
      <c r="AE166" t="s">
        <v>185</v>
      </c>
      <c r="AG166" t="s">
        <v>2026</v>
      </c>
      <c r="AH166" t="s">
        <v>1185</v>
      </c>
      <c r="AI166" s="245">
        <v>489.99</v>
      </c>
      <c r="AJ166" t="s">
        <v>2027</v>
      </c>
      <c r="AK166" t="s">
        <v>2026</v>
      </c>
      <c r="AL166" t="s">
        <v>1349</v>
      </c>
      <c r="AM166" s="245">
        <v>550</v>
      </c>
      <c r="AN166" t="s">
        <v>2028</v>
      </c>
      <c r="AO166" t="s">
        <v>2026</v>
      </c>
      <c r="AP166" t="s">
        <v>1858</v>
      </c>
      <c r="AQ166" s="245">
        <v>559</v>
      </c>
      <c r="AR166" t="s">
        <v>2029</v>
      </c>
      <c r="AS166" s="226" t="str">
        <f t="shared" si="4"/>
        <v>Foundation 103 Koala</v>
      </c>
      <c r="AT166" s="203" t="str">
        <f t="shared" si="5"/>
        <v xml:space="preserve"> DPSFoundation 103 Koala176 Unisex</v>
      </c>
    </row>
    <row r="167" spans="1:46" ht="66">
      <c r="A167" t="s">
        <v>155</v>
      </c>
      <c r="B167" t="s">
        <v>156</v>
      </c>
      <c r="C167" t="s">
        <v>399</v>
      </c>
      <c r="D167">
        <v>188</v>
      </c>
      <c r="E167" t="s">
        <v>158</v>
      </c>
      <c r="F167">
        <v>188</v>
      </c>
      <c r="G167">
        <v>186.7</v>
      </c>
      <c r="H167">
        <v>140</v>
      </c>
      <c r="I167">
        <v>150</v>
      </c>
      <c r="J167">
        <v>129</v>
      </c>
      <c r="K167">
        <v>100</v>
      </c>
      <c r="L167">
        <v>120</v>
      </c>
      <c r="M167">
        <v>21.5</v>
      </c>
      <c r="N167">
        <v>1435</v>
      </c>
      <c r="O167">
        <v>1.4</v>
      </c>
      <c r="P167">
        <v>2009</v>
      </c>
      <c r="Q167">
        <v>217</v>
      </c>
      <c r="R167">
        <v>112</v>
      </c>
      <c r="S167">
        <v>54</v>
      </c>
      <c r="T167">
        <v>286</v>
      </c>
      <c r="U167">
        <v>14</v>
      </c>
      <c r="V167">
        <v>180</v>
      </c>
      <c r="W167">
        <v>0.251</v>
      </c>
      <c r="X167">
        <v>195</v>
      </c>
      <c r="Y167">
        <v>169</v>
      </c>
      <c r="Z167">
        <v>90</v>
      </c>
      <c r="AA167">
        <v>7</v>
      </c>
      <c r="AB167">
        <v>9</v>
      </c>
      <c r="AC167" t="s">
        <v>185</v>
      </c>
      <c r="AD167" t="s">
        <v>198</v>
      </c>
      <c r="AG167" t="s">
        <v>2030</v>
      </c>
      <c r="AH167" t="s">
        <v>2031</v>
      </c>
      <c r="AI167" s="245">
        <v>450</v>
      </c>
      <c r="AJ167" t="s">
        <v>2032</v>
      </c>
      <c r="AK167" t="s">
        <v>2033</v>
      </c>
      <c r="AL167" t="s">
        <v>1549</v>
      </c>
      <c r="AM167" s="245">
        <v>468</v>
      </c>
      <c r="AN167" t="s">
        <v>2034</v>
      </c>
      <c r="AO167" t="s">
        <v>2035</v>
      </c>
      <c r="AP167" t="s">
        <v>1240</v>
      </c>
      <c r="AQ167" s="245">
        <v>499.95</v>
      </c>
      <c r="AR167" t="s">
        <v>2036</v>
      </c>
      <c r="AS167" s="226" t="str">
        <f t="shared" si="4"/>
        <v>Backland 100</v>
      </c>
      <c r="AT167" s="203" t="str">
        <f t="shared" si="5"/>
        <v xml:space="preserve"> AtomicBackland 100188 Unisex</v>
      </c>
    </row>
    <row r="168" spans="1:46" ht="118.8">
      <c r="A168" t="s">
        <v>155</v>
      </c>
      <c r="B168" t="s">
        <v>1395</v>
      </c>
      <c r="C168" t="s">
        <v>382</v>
      </c>
      <c r="D168">
        <v>172</v>
      </c>
      <c r="E168" t="s">
        <v>163</v>
      </c>
      <c r="F168">
        <v>172</v>
      </c>
      <c r="G168">
        <v>171.5</v>
      </c>
      <c r="H168">
        <v>95</v>
      </c>
      <c r="I168">
        <v>147</v>
      </c>
      <c r="J168">
        <v>145</v>
      </c>
      <c r="K168">
        <v>106</v>
      </c>
      <c r="L168">
        <v>127</v>
      </c>
      <c r="M168">
        <v>16.600000000000001</v>
      </c>
      <c r="N168">
        <v>1688</v>
      </c>
      <c r="O168">
        <v>1.2</v>
      </c>
      <c r="P168">
        <v>2017</v>
      </c>
      <c r="Q168">
        <v>196</v>
      </c>
      <c r="R168">
        <v>98</v>
      </c>
      <c r="S168">
        <v>54</v>
      </c>
      <c r="T168">
        <v>465</v>
      </c>
      <c r="U168">
        <v>25</v>
      </c>
      <c r="V168">
        <v>296</v>
      </c>
      <c r="W168">
        <v>0.46100000000000002</v>
      </c>
      <c r="X168">
        <v>136</v>
      </c>
      <c r="Y168">
        <v>105</v>
      </c>
      <c r="Z168">
        <v>329</v>
      </c>
      <c r="AA168">
        <v>1</v>
      </c>
      <c r="AB168">
        <v>12</v>
      </c>
      <c r="AC168" t="s">
        <v>169</v>
      </c>
      <c r="AD168" t="s">
        <v>185</v>
      </c>
      <c r="AG168" t="s">
        <v>2037</v>
      </c>
      <c r="AH168" t="s">
        <v>1497</v>
      </c>
      <c r="AI168" s="245">
        <v>479.96</v>
      </c>
      <c r="AJ168" t="s">
        <v>2038</v>
      </c>
      <c r="AK168" t="s">
        <v>2039</v>
      </c>
      <c r="AL168" t="s">
        <v>1400</v>
      </c>
      <c r="AM168" s="245">
        <v>479.99</v>
      </c>
      <c r="AN168" t="s">
        <v>2040</v>
      </c>
      <c r="AO168" t="s">
        <v>2041</v>
      </c>
      <c r="AP168" t="s">
        <v>1320</v>
      </c>
      <c r="AQ168" s="245">
        <v>479.99</v>
      </c>
      <c r="AR168" t="s">
        <v>2042</v>
      </c>
      <c r="AS168" s="226" t="str">
        <f t="shared" si="4"/>
        <v>Blaze 106 W</v>
      </c>
      <c r="AT168" s="203" t="str">
        <f t="shared" si="5"/>
        <v xml:space="preserve"> Vï¿½lklBlaze 106 W172 Women's</v>
      </c>
    </row>
    <row r="169" spans="1:46" ht="52.8">
      <c r="A169" t="s">
        <v>155</v>
      </c>
      <c r="B169" t="s">
        <v>1395</v>
      </c>
      <c r="C169" t="s">
        <v>335</v>
      </c>
      <c r="D169">
        <v>172</v>
      </c>
      <c r="E169" t="s">
        <v>158</v>
      </c>
      <c r="F169">
        <v>172</v>
      </c>
      <c r="G169">
        <v>171.7</v>
      </c>
      <c r="H169">
        <v>96</v>
      </c>
      <c r="I169">
        <v>148</v>
      </c>
      <c r="J169">
        <v>144</v>
      </c>
      <c r="K169">
        <v>105</v>
      </c>
      <c r="L169">
        <v>127</v>
      </c>
      <c r="M169">
        <v>16.899999999999999</v>
      </c>
      <c r="N169">
        <v>1642</v>
      </c>
      <c r="O169">
        <v>1.23</v>
      </c>
      <c r="P169">
        <v>2013</v>
      </c>
      <c r="Q169">
        <v>192</v>
      </c>
      <c r="R169">
        <v>95</v>
      </c>
      <c r="S169">
        <v>54</v>
      </c>
      <c r="T169">
        <v>475</v>
      </c>
      <c r="U169">
        <v>24</v>
      </c>
      <c r="V169">
        <v>277</v>
      </c>
      <c r="W169">
        <v>0.44</v>
      </c>
      <c r="X169">
        <v>138</v>
      </c>
      <c r="Y169">
        <v>96</v>
      </c>
      <c r="Z169">
        <v>337</v>
      </c>
      <c r="AA169">
        <v>1</v>
      </c>
      <c r="AB169">
        <v>11.6</v>
      </c>
      <c r="AC169" t="s">
        <v>169</v>
      </c>
      <c r="AD169" t="s">
        <v>185</v>
      </c>
      <c r="AG169" t="s">
        <v>1754</v>
      </c>
      <c r="AH169" t="s">
        <v>1185</v>
      </c>
      <c r="AI169" s="245">
        <v>419.99</v>
      </c>
      <c r="AJ169" t="s">
        <v>2043</v>
      </c>
      <c r="AK169" t="s">
        <v>1752</v>
      </c>
      <c r="AL169" t="s">
        <v>1271</v>
      </c>
      <c r="AM169" s="245">
        <v>439.93</v>
      </c>
      <c r="AN169" t="s">
        <v>2044</v>
      </c>
      <c r="AO169" t="s">
        <v>1754</v>
      </c>
      <c r="AP169" t="s">
        <v>1280</v>
      </c>
      <c r="AQ169" s="245">
        <v>479.93</v>
      </c>
      <c r="AR169" t="s">
        <v>2045</v>
      </c>
      <c r="AS169" s="226" t="str">
        <f t="shared" si="4"/>
        <v>Blaze 106</v>
      </c>
      <c r="AT169" s="203" t="str">
        <f t="shared" si="5"/>
        <v xml:space="preserve"> Vï¿½lklBlaze 106172 Unisex</v>
      </c>
    </row>
    <row r="170" spans="1:46" ht="118.8">
      <c r="A170" t="s">
        <v>155</v>
      </c>
      <c r="B170" t="s">
        <v>172</v>
      </c>
      <c r="C170" t="s">
        <v>401</v>
      </c>
      <c r="D170">
        <v>171</v>
      </c>
      <c r="E170" t="s">
        <v>163</v>
      </c>
      <c r="F170">
        <v>171</v>
      </c>
      <c r="G170">
        <v>170.6</v>
      </c>
      <c r="H170">
        <v>117</v>
      </c>
      <c r="I170">
        <v>146</v>
      </c>
      <c r="J170">
        <v>137</v>
      </c>
      <c r="K170">
        <v>101</v>
      </c>
      <c r="L170">
        <v>127</v>
      </c>
      <c r="M170">
        <v>15.3</v>
      </c>
      <c r="N170">
        <v>1829</v>
      </c>
      <c r="O170">
        <v>1.06</v>
      </c>
      <c r="P170">
        <v>1938</v>
      </c>
      <c r="Q170">
        <v>232</v>
      </c>
      <c r="R170">
        <v>94</v>
      </c>
      <c r="S170">
        <v>47</v>
      </c>
      <c r="T170">
        <v>300</v>
      </c>
      <c r="U170">
        <v>14</v>
      </c>
      <c r="V170">
        <v>233</v>
      </c>
      <c r="W170">
        <v>0.307</v>
      </c>
      <c r="X170">
        <v>151</v>
      </c>
      <c r="Y170">
        <v>99</v>
      </c>
      <c r="Z170">
        <v>149</v>
      </c>
      <c r="AA170">
        <v>4</v>
      </c>
      <c r="AB170">
        <v>6.9</v>
      </c>
      <c r="AC170" t="s">
        <v>188</v>
      </c>
      <c r="AD170" t="s">
        <v>178</v>
      </c>
      <c r="AE170" t="s">
        <v>185</v>
      </c>
      <c r="AG170" t="s">
        <v>2046</v>
      </c>
      <c r="AH170" t="s">
        <v>1320</v>
      </c>
      <c r="AI170" s="245">
        <v>639.96</v>
      </c>
      <c r="AJ170" t="s">
        <v>2047</v>
      </c>
      <c r="AK170" t="s">
        <v>2048</v>
      </c>
      <c r="AL170" t="s">
        <v>2049</v>
      </c>
      <c r="AM170" s="245">
        <v>799.95</v>
      </c>
      <c r="AN170" t="s">
        <v>2050</v>
      </c>
      <c r="AO170" t="s">
        <v>2051</v>
      </c>
      <c r="AP170" t="s">
        <v>1194</v>
      </c>
      <c r="AQ170" s="245">
        <v>451.78</v>
      </c>
      <c r="AR170" t="s">
        <v>2052</v>
      </c>
      <c r="AS170" s="226" t="str">
        <f t="shared" si="4"/>
        <v>Blackops Rallybird Ti W</v>
      </c>
      <c r="AT170" s="203" t="str">
        <f t="shared" si="5"/>
        <v xml:space="preserve"> RossignolBlackops Rallybird Ti W171 Women's</v>
      </c>
    </row>
    <row r="171" spans="1:46" ht="66">
      <c r="A171" t="s">
        <v>155</v>
      </c>
      <c r="B171" t="s">
        <v>237</v>
      </c>
      <c r="C171" t="s">
        <v>363</v>
      </c>
      <c r="D171">
        <v>186.3</v>
      </c>
      <c r="E171" t="s">
        <v>158</v>
      </c>
      <c r="F171">
        <v>186.3</v>
      </c>
      <c r="G171">
        <v>185.8</v>
      </c>
      <c r="H171">
        <v>119</v>
      </c>
      <c r="I171">
        <v>162</v>
      </c>
      <c r="J171">
        <v>131</v>
      </c>
      <c r="K171">
        <v>91</v>
      </c>
      <c r="L171">
        <v>114</v>
      </c>
      <c r="M171">
        <v>19.8</v>
      </c>
      <c r="N171">
        <v>1964</v>
      </c>
      <c r="O171">
        <v>0.98</v>
      </c>
      <c r="P171">
        <v>1927</v>
      </c>
      <c r="Q171">
        <v>220</v>
      </c>
      <c r="R171">
        <v>113</v>
      </c>
      <c r="S171">
        <v>51</v>
      </c>
      <c r="T171">
        <v>362</v>
      </c>
      <c r="U171">
        <v>15</v>
      </c>
      <c r="V171">
        <v>310</v>
      </c>
      <c r="W171">
        <v>0.29599999999999999</v>
      </c>
      <c r="X171">
        <v>121</v>
      </c>
      <c r="Y171">
        <v>115</v>
      </c>
      <c r="Z171">
        <v>241</v>
      </c>
      <c r="AA171">
        <v>2</v>
      </c>
      <c r="AB171">
        <v>8.1</v>
      </c>
      <c r="AC171" t="s">
        <v>188</v>
      </c>
      <c r="AG171" t="s">
        <v>1857</v>
      </c>
      <c r="AH171" t="s">
        <v>1229</v>
      </c>
      <c r="AI171" s="245">
        <v>593.99</v>
      </c>
      <c r="AJ171" t="s">
        <v>2053</v>
      </c>
      <c r="AK171" t="s">
        <v>1857</v>
      </c>
      <c r="AL171" t="s">
        <v>1464</v>
      </c>
      <c r="AM171" s="245">
        <v>671.9</v>
      </c>
      <c r="AN171" t="s">
        <v>2054</v>
      </c>
      <c r="AO171" t="s">
        <v>1857</v>
      </c>
      <c r="AP171" t="s">
        <v>1271</v>
      </c>
      <c r="AQ171" s="245">
        <v>671.93</v>
      </c>
      <c r="AR171" t="s">
        <v>2055</v>
      </c>
      <c r="AS171" s="226" t="str">
        <f t="shared" si="4"/>
        <v>Serpo</v>
      </c>
      <c r="AT171" s="203" t="str">
        <f t="shared" si="5"/>
        <v xml:space="preserve"> Black CrowsSerpo186.3 Unisex</v>
      </c>
    </row>
    <row r="172" spans="1:46" ht="158.4">
      <c r="A172" t="s">
        <v>155</v>
      </c>
      <c r="B172" t="s">
        <v>321</v>
      </c>
      <c r="C172" t="s">
        <v>322</v>
      </c>
      <c r="D172">
        <v>162</v>
      </c>
      <c r="E172" t="s">
        <v>158</v>
      </c>
      <c r="F172">
        <v>162</v>
      </c>
      <c r="G172">
        <v>160.5</v>
      </c>
      <c r="H172">
        <v>115</v>
      </c>
      <c r="I172">
        <v>135</v>
      </c>
      <c r="J172">
        <v>129</v>
      </c>
      <c r="K172">
        <v>96</v>
      </c>
      <c r="L172">
        <v>118</v>
      </c>
      <c r="M172">
        <v>14.3</v>
      </c>
      <c r="N172">
        <v>1565</v>
      </c>
      <c r="O172">
        <v>1.1100000000000001</v>
      </c>
      <c r="P172">
        <v>1734</v>
      </c>
      <c r="Q172">
        <v>197</v>
      </c>
      <c r="R172">
        <v>89</v>
      </c>
      <c r="S172">
        <v>59</v>
      </c>
      <c r="T172">
        <v>270</v>
      </c>
      <c r="U172">
        <v>27</v>
      </c>
      <c r="V172">
        <v>185</v>
      </c>
      <c r="W172">
        <v>0.46399999999999902</v>
      </c>
      <c r="X172">
        <v>132</v>
      </c>
      <c r="Y172">
        <v>119</v>
      </c>
      <c r="Z172">
        <v>138</v>
      </c>
      <c r="AA172">
        <v>11</v>
      </c>
      <c r="AB172">
        <v>7.8</v>
      </c>
      <c r="AC172" t="s">
        <v>188</v>
      </c>
      <c r="AD172" t="s">
        <v>185</v>
      </c>
      <c r="AG172" t="s">
        <v>2056</v>
      </c>
      <c r="AH172" t="s">
        <v>1405</v>
      </c>
      <c r="AI172" s="245">
        <v>1049.95</v>
      </c>
      <c r="AJ172" t="s">
        <v>2057</v>
      </c>
      <c r="AK172" t="s">
        <v>2058</v>
      </c>
      <c r="AL172" t="s">
        <v>1181</v>
      </c>
      <c r="AM172" s="245">
        <v>509.99</v>
      </c>
      <c r="AN172" t="s">
        <v>2059</v>
      </c>
      <c r="AS172" s="226" t="str">
        <f t="shared" si="4"/>
        <v>Explo 96</v>
      </c>
      <c r="AT172" s="203" t="str">
        <f t="shared" si="5"/>
        <v xml:space="preserve"> FerreolExplo 96162 Unisex</v>
      </c>
    </row>
    <row r="173" spans="1:46" ht="171.6">
      <c r="A173" t="s">
        <v>155</v>
      </c>
      <c r="B173" t="s">
        <v>1160</v>
      </c>
      <c r="C173" t="s">
        <v>402</v>
      </c>
      <c r="D173">
        <v>172</v>
      </c>
      <c r="E173" t="s">
        <v>163</v>
      </c>
      <c r="F173">
        <v>172</v>
      </c>
      <c r="G173">
        <v>172.2</v>
      </c>
      <c r="H173">
        <v>101</v>
      </c>
      <c r="I173">
        <v>131</v>
      </c>
      <c r="J173">
        <v>139</v>
      </c>
      <c r="K173">
        <v>114</v>
      </c>
      <c r="L173">
        <v>128</v>
      </c>
      <c r="M173">
        <v>20.9</v>
      </c>
      <c r="N173">
        <v>1735</v>
      </c>
      <c r="O173">
        <v>1.2</v>
      </c>
      <c r="P173">
        <v>2078</v>
      </c>
      <c r="Q173">
        <v>166</v>
      </c>
      <c r="R173">
        <v>94</v>
      </c>
      <c r="S173">
        <v>55</v>
      </c>
      <c r="T173">
        <v>411</v>
      </c>
      <c r="U173">
        <v>21</v>
      </c>
      <c r="V173">
        <v>302</v>
      </c>
      <c r="W173">
        <v>0.39</v>
      </c>
      <c r="X173">
        <v>213</v>
      </c>
      <c r="Y173">
        <v>198</v>
      </c>
      <c r="Z173">
        <v>199</v>
      </c>
      <c r="AA173">
        <v>5</v>
      </c>
      <c r="AB173">
        <v>10.5</v>
      </c>
      <c r="AC173" t="s">
        <v>169</v>
      </c>
      <c r="AD173" t="s">
        <v>178</v>
      </c>
      <c r="AE173" t="s">
        <v>185</v>
      </c>
      <c r="AG173" t="s">
        <v>2060</v>
      </c>
      <c r="AH173" t="s">
        <v>1181</v>
      </c>
      <c r="AI173" s="245">
        <v>869.95</v>
      </c>
      <c r="AJ173" t="s">
        <v>2061</v>
      </c>
      <c r="AK173" t="s">
        <v>2060</v>
      </c>
      <c r="AL173" t="s">
        <v>1405</v>
      </c>
      <c r="AM173" s="245">
        <v>869.95</v>
      </c>
      <c r="AN173" t="s">
        <v>2062</v>
      </c>
      <c r="AO173" t="s">
        <v>2063</v>
      </c>
      <c r="AP173" t="s">
        <v>1191</v>
      </c>
      <c r="AQ173" s="245">
        <v>489.95</v>
      </c>
      <c r="AR173" t="s">
        <v>2064</v>
      </c>
      <c r="AS173" s="226" t="str">
        <f t="shared" si="4"/>
        <v>Mindbender 115 C Alliance</v>
      </c>
      <c r="AT173" s="203" t="str">
        <f t="shared" si="5"/>
        <v>K2Mindbender 115 C Alliance172 Women's</v>
      </c>
    </row>
    <row r="174" spans="1:46" ht="105.6">
      <c r="A174" t="s">
        <v>217</v>
      </c>
      <c r="B174" t="s">
        <v>218</v>
      </c>
      <c r="C174" t="s">
        <v>404</v>
      </c>
      <c r="D174">
        <v>168</v>
      </c>
      <c r="E174" t="s">
        <v>163</v>
      </c>
      <c r="F174">
        <v>168</v>
      </c>
      <c r="G174">
        <v>166.3</v>
      </c>
      <c r="H174">
        <v>95</v>
      </c>
      <c r="I174">
        <v>111</v>
      </c>
      <c r="J174">
        <v>136</v>
      </c>
      <c r="K174">
        <v>112</v>
      </c>
      <c r="L174">
        <v>124</v>
      </c>
      <c r="M174">
        <v>15.2</v>
      </c>
      <c r="N174">
        <v>1419</v>
      </c>
      <c r="O174">
        <v>1.4</v>
      </c>
      <c r="P174">
        <v>1992</v>
      </c>
      <c r="Q174">
        <v>212</v>
      </c>
      <c r="R174">
        <v>112</v>
      </c>
      <c r="S174">
        <v>64</v>
      </c>
      <c r="T174">
        <v>403</v>
      </c>
      <c r="U174">
        <v>36</v>
      </c>
      <c r="V174">
        <v>309</v>
      </c>
      <c r="W174">
        <v>0.55600000000000005</v>
      </c>
      <c r="X174">
        <v>298</v>
      </c>
      <c r="Y174">
        <v>253</v>
      </c>
      <c r="Z174">
        <v>104</v>
      </c>
      <c r="AA174">
        <v>4</v>
      </c>
      <c r="AB174">
        <v>13.3</v>
      </c>
      <c r="AC174" t="s">
        <v>169</v>
      </c>
      <c r="AD174" t="s">
        <v>185</v>
      </c>
      <c r="AE174" t="s">
        <v>198</v>
      </c>
      <c r="AG174" t="s">
        <v>2065</v>
      </c>
      <c r="AH174" t="s">
        <v>1468</v>
      </c>
      <c r="AI174" s="245">
        <v>1029</v>
      </c>
      <c r="AJ174" t="s">
        <v>2066</v>
      </c>
      <c r="AK174" t="s">
        <v>2067</v>
      </c>
      <c r="AL174" t="s">
        <v>1334</v>
      </c>
      <c r="AM174" s="245">
        <v>1029</v>
      </c>
      <c r="AN174" t="s">
        <v>2068</v>
      </c>
      <c r="AO174" t="s">
        <v>2067</v>
      </c>
      <c r="AP174" t="s">
        <v>1280</v>
      </c>
      <c r="AQ174" s="245">
        <v>1038.93</v>
      </c>
      <c r="AR174" t="s">
        <v>2069</v>
      </c>
      <c r="AS174" s="226" t="str">
        <f t="shared" si="4"/>
        <v>Pagoda Tour 112 W</v>
      </c>
      <c r="AT174" s="203" t="str">
        <f t="shared" si="5"/>
        <v xml:space="preserve"> DPSPagoda Tour 112 W168 Women's</v>
      </c>
    </row>
    <row r="175" spans="1:46" ht="79.2">
      <c r="A175" t="s">
        <v>155</v>
      </c>
      <c r="B175" t="s">
        <v>1160</v>
      </c>
      <c r="C175" t="s">
        <v>405</v>
      </c>
      <c r="D175">
        <v>172</v>
      </c>
      <c r="E175" t="s">
        <v>158</v>
      </c>
      <c r="F175">
        <v>172</v>
      </c>
      <c r="G175">
        <v>172.2</v>
      </c>
      <c r="H175">
        <v>100</v>
      </c>
      <c r="I175">
        <v>137</v>
      </c>
      <c r="J175">
        <v>136</v>
      </c>
      <c r="K175">
        <v>107</v>
      </c>
      <c r="L175">
        <v>124</v>
      </c>
      <c r="M175">
        <v>19.3</v>
      </c>
      <c r="N175">
        <v>1923</v>
      </c>
      <c r="O175">
        <v>1.04</v>
      </c>
      <c r="P175">
        <v>1999</v>
      </c>
      <c r="Q175">
        <v>182</v>
      </c>
      <c r="R175">
        <v>120</v>
      </c>
      <c r="S175">
        <v>48</v>
      </c>
      <c r="T175">
        <v>402</v>
      </c>
      <c r="U175">
        <v>25</v>
      </c>
      <c r="V175">
        <v>315</v>
      </c>
      <c r="W175">
        <v>0.52100000000000002</v>
      </c>
      <c r="X175">
        <v>182</v>
      </c>
      <c r="Y175">
        <v>169</v>
      </c>
      <c r="Z175">
        <v>220</v>
      </c>
      <c r="AA175">
        <v>4</v>
      </c>
      <c r="AB175">
        <v>9.3000000000000007</v>
      </c>
      <c r="AC175" t="s">
        <v>169</v>
      </c>
      <c r="AG175" t="s">
        <v>2070</v>
      </c>
      <c r="AH175" t="s">
        <v>1282</v>
      </c>
      <c r="AI175" s="245">
        <v>749.95</v>
      </c>
      <c r="AJ175" t="s">
        <v>2071</v>
      </c>
      <c r="AK175" t="s">
        <v>2063</v>
      </c>
      <c r="AL175" t="s">
        <v>1191</v>
      </c>
      <c r="AM175" s="245">
        <v>489.95</v>
      </c>
      <c r="AN175" t="s">
        <v>2072</v>
      </c>
      <c r="AO175" t="s">
        <v>2063</v>
      </c>
      <c r="AP175" t="s">
        <v>1218</v>
      </c>
      <c r="AQ175" s="245">
        <v>599.95000000000005</v>
      </c>
      <c r="AR175" t="s">
        <v>2073</v>
      </c>
      <c r="AS175" s="226" t="str">
        <f t="shared" si="4"/>
        <v>Mindbender 108 Ti</v>
      </c>
      <c r="AT175" s="203" t="str">
        <f t="shared" si="5"/>
        <v>K2Mindbender 108 Ti172 Unisex</v>
      </c>
    </row>
    <row r="176" spans="1:46" ht="92.4">
      <c r="A176" t="s">
        <v>155</v>
      </c>
      <c r="B176" t="s">
        <v>205</v>
      </c>
      <c r="C176" t="s">
        <v>407</v>
      </c>
      <c r="D176">
        <v>170</v>
      </c>
      <c r="E176" t="s">
        <v>163</v>
      </c>
      <c r="F176">
        <v>170</v>
      </c>
      <c r="G176">
        <v>168.4</v>
      </c>
      <c r="H176">
        <v>130</v>
      </c>
      <c r="I176">
        <v>143</v>
      </c>
      <c r="J176">
        <v>119</v>
      </c>
      <c r="K176">
        <v>85</v>
      </c>
      <c r="L176">
        <v>109</v>
      </c>
      <c r="M176">
        <v>16.8</v>
      </c>
      <c r="N176">
        <v>1447</v>
      </c>
      <c r="O176">
        <v>1.1299999999999999</v>
      </c>
      <c r="P176">
        <v>1629</v>
      </c>
      <c r="Q176">
        <v>208</v>
      </c>
      <c r="R176">
        <v>96</v>
      </c>
      <c r="S176">
        <v>50</v>
      </c>
      <c r="T176">
        <v>228</v>
      </c>
      <c r="U176">
        <v>21</v>
      </c>
      <c r="V176">
        <v>157</v>
      </c>
      <c r="W176">
        <v>0.41199999999999998</v>
      </c>
      <c r="X176">
        <v>148</v>
      </c>
      <c r="Y176">
        <v>103</v>
      </c>
      <c r="Z176">
        <v>80</v>
      </c>
      <c r="AA176">
        <v>8</v>
      </c>
      <c r="AB176">
        <v>9.9</v>
      </c>
      <c r="AC176" t="s">
        <v>188</v>
      </c>
      <c r="AD176" t="s">
        <v>185</v>
      </c>
      <c r="AG176" t="s">
        <v>2074</v>
      </c>
      <c r="AH176" t="s">
        <v>1277</v>
      </c>
      <c r="AI176" s="245">
        <v>391</v>
      </c>
      <c r="AJ176" t="s">
        <v>2075</v>
      </c>
      <c r="AK176" t="s">
        <v>2076</v>
      </c>
      <c r="AL176" t="s">
        <v>1349</v>
      </c>
      <c r="AM176" s="245">
        <v>439.98</v>
      </c>
      <c r="AN176" t="s">
        <v>2077</v>
      </c>
      <c r="AO176" t="s">
        <v>2078</v>
      </c>
      <c r="AP176" t="s">
        <v>1248</v>
      </c>
      <c r="AQ176" s="245">
        <v>575.20000000000005</v>
      </c>
      <c r="AR176" t="s">
        <v>2079</v>
      </c>
      <c r="AS176" s="226" t="str">
        <f t="shared" si="4"/>
        <v>Agent 1.0 X</v>
      </c>
      <c r="AT176" s="203" t="str">
        <f t="shared" si="5"/>
        <v xml:space="preserve"> FactionAgent 1.0 X170 Women's</v>
      </c>
    </row>
    <row r="177" spans="1:46" ht="66">
      <c r="A177" t="s">
        <v>155</v>
      </c>
      <c r="B177" t="s">
        <v>182</v>
      </c>
      <c r="C177" t="s">
        <v>303</v>
      </c>
      <c r="D177">
        <v>172</v>
      </c>
      <c r="E177" t="s">
        <v>158</v>
      </c>
      <c r="F177">
        <v>172</v>
      </c>
      <c r="G177">
        <v>171.3</v>
      </c>
      <c r="H177">
        <v>118</v>
      </c>
      <c r="I177">
        <v>135</v>
      </c>
      <c r="J177">
        <v>133</v>
      </c>
      <c r="K177">
        <v>107</v>
      </c>
      <c r="L177">
        <v>125</v>
      </c>
      <c r="M177">
        <v>17.7</v>
      </c>
      <c r="N177">
        <v>1625</v>
      </c>
      <c r="O177">
        <v>1.23</v>
      </c>
      <c r="P177">
        <v>1991</v>
      </c>
      <c r="Q177">
        <v>166</v>
      </c>
      <c r="R177">
        <v>92</v>
      </c>
      <c r="S177">
        <v>47</v>
      </c>
      <c r="T177">
        <v>371</v>
      </c>
      <c r="U177">
        <v>28</v>
      </c>
      <c r="V177">
        <v>162</v>
      </c>
      <c r="W177">
        <v>0.59099999999999997</v>
      </c>
      <c r="X177">
        <v>212</v>
      </c>
      <c r="Y177">
        <v>150</v>
      </c>
      <c r="Z177">
        <v>159</v>
      </c>
      <c r="AA177">
        <v>5</v>
      </c>
      <c r="AB177">
        <v>10.199999999999999</v>
      </c>
      <c r="AC177" t="s">
        <v>169</v>
      </c>
      <c r="AD177" t="s">
        <v>185</v>
      </c>
      <c r="AG177" t="s">
        <v>2080</v>
      </c>
      <c r="AH177" t="s">
        <v>1271</v>
      </c>
      <c r="AI177" s="245">
        <v>489.99</v>
      </c>
      <c r="AJ177" t="s">
        <v>2081</v>
      </c>
      <c r="AK177" t="s">
        <v>2082</v>
      </c>
      <c r="AL177" t="s">
        <v>2083</v>
      </c>
      <c r="AM177" s="245">
        <v>499</v>
      </c>
      <c r="AN177" t="s">
        <v>2084</v>
      </c>
      <c r="AO177" t="s">
        <v>1645</v>
      </c>
      <c r="AP177" t="s">
        <v>1265</v>
      </c>
      <c r="AQ177" s="245">
        <v>544.54999999999995</v>
      </c>
      <c r="AR177" t="s">
        <v>2085</v>
      </c>
      <c r="AS177" s="226" t="str">
        <f t="shared" si="4"/>
        <v>Tracer 108</v>
      </c>
      <c r="AT177" s="203" t="str">
        <f t="shared" si="5"/>
        <v xml:space="preserve"> ArmadaTracer 108172 Unisex</v>
      </c>
    </row>
    <row r="178" spans="1:46" ht="79.2">
      <c r="A178" t="s">
        <v>155</v>
      </c>
      <c r="B178" t="s">
        <v>164</v>
      </c>
      <c r="C178" t="s">
        <v>408</v>
      </c>
      <c r="D178">
        <v>188</v>
      </c>
      <c r="E178" t="s">
        <v>158</v>
      </c>
      <c r="F178">
        <v>188</v>
      </c>
      <c r="G178">
        <v>184</v>
      </c>
      <c r="H178">
        <v>132</v>
      </c>
      <c r="I178">
        <v>151</v>
      </c>
      <c r="J178">
        <v>136</v>
      </c>
      <c r="K178">
        <v>94</v>
      </c>
      <c r="L178">
        <v>110</v>
      </c>
      <c r="M178">
        <v>18.899999999999999</v>
      </c>
      <c r="N178">
        <v>1775</v>
      </c>
      <c r="O178">
        <v>1.1000000000000001</v>
      </c>
      <c r="P178">
        <v>1957</v>
      </c>
      <c r="Q178">
        <v>261</v>
      </c>
      <c r="R178">
        <v>107</v>
      </c>
      <c r="S178">
        <v>49</v>
      </c>
      <c r="T178">
        <v>264</v>
      </c>
      <c r="U178">
        <v>18</v>
      </c>
      <c r="V178">
        <v>260</v>
      </c>
      <c r="W178">
        <v>0.371</v>
      </c>
      <c r="X178">
        <v>172</v>
      </c>
      <c r="Y178">
        <v>159</v>
      </c>
      <c r="Z178">
        <v>93</v>
      </c>
      <c r="AA178">
        <v>5</v>
      </c>
      <c r="AB178">
        <v>8.1</v>
      </c>
      <c r="AC178" t="s">
        <v>188</v>
      </c>
      <c r="AD178" t="s">
        <v>185</v>
      </c>
      <c r="AG178" t="s">
        <v>2086</v>
      </c>
      <c r="AH178" t="s">
        <v>1191</v>
      </c>
      <c r="AI178" s="245">
        <v>564.95000000000005</v>
      </c>
      <c r="AJ178" t="s">
        <v>2087</v>
      </c>
      <c r="AK178" t="s">
        <v>2088</v>
      </c>
      <c r="AL178" t="s">
        <v>1365</v>
      </c>
      <c r="AM178" s="245">
        <v>799.99</v>
      </c>
      <c r="AN178" t="s">
        <v>2089</v>
      </c>
      <c r="AO178" t="s">
        <v>1489</v>
      </c>
      <c r="AP178" t="s">
        <v>1229</v>
      </c>
      <c r="AQ178" s="245">
        <v>419.99</v>
      </c>
      <c r="AR178" t="s">
        <v>2090</v>
      </c>
      <c r="AS178" s="226" t="str">
        <f t="shared" si="4"/>
        <v>Ripstick 96 Black Edition</v>
      </c>
      <c r="AT178" s="203" t="str">
        <f t="shared" si="5"/>
        <v xml:space="preserve"> ElanRipstick 96 Black Edition188 Unisex</v>
      </c>
    </row>
    <row r="179" spans="1:46" ht="26.4">
      <c r="A179" t="s">
        <v>155</v>
      </c>
      <c r="B179" t="s">
        <v>182</v>
      </c>
      <c r="C179" t="s">
        <v>310</v>
      </c>
      <c r="D179">
        <v>168</v>
      </c>
      <c r="E179" t="s">
        <v>158</v>
      </c>
      <c r="F179">
        <v>168</v>
      </c>
      <c r="G179">
        <v>167.5</v>
      </c>
      <c r="H179">
        <v>139</v>
      </c>
      <c r="I179">
        <v>148</v>
      </c>
      <c r="J179">
        <v>129</v>
      </c>
      <c r="K179">
        <v>87</v>
      </c>
      <c r="L179">
        <v>110</v>
      </c>
      <c r="M179">
        <v>17</v>
      </c>
      <c r="N179">
        <v>1562</v>
      </c>
      <c r="O179">
        <v>1.07</v>
      </c>
      <c r="P179">
        <v>1666</v>
      </c>
      <c r="Q179">
        <v>236</v>
      </c>
      <c r="R179">
        <v>109</v>
      </c>
      <c r="S179">
        <v>39</v>
      </c>
      <c r="T179">
        <v>182</v>
      </c>
      <c r="U179">
        <v>9</v>
      </c>
      <c r="V179">
        <v>105</v>
      </c>
      <c r="W179">
        <v>0.23899999999999999</v>
      </c>
      <c r="X179">
        <v>118</v>
      </c>
      <c r="Y179">
        <v>74</v>
      </c>
      <c r="Z179">
        <v>65</v>
      </c>
      <c r="AA179">
        <v>5</v>
      </c>
      <c r="AB179">
        <v>11.3</v>
      </c>
      <c r="AC179" t="s">
        <v>188</v>
      </c>
      <c r="AD179" t="s">
        <v>185</v>
      </c>
      <c r="AS179" s="226" t="str">
        <f t="shared" si="4"/>
        <v>Declivity 88 Ca</v>
      </c>
      <c r="AT179" s="203" t="str">
        <f t="shared" si="5"/>
        <v xml:space="preserve"> ArmadaDeclivity 88 Ca168 Unisex</v>
      </c>
    </row>
    <row r="180" spans="1:46" ht="66">
      <c r="A180" t="s">
        <v>155</v>
      </c>
      <c r="B180" t="s">
        <v>205</v>
      </c>
      <c r="C180" t="s">
        <v>277</v>
      </c>
      <c r="D180">
        <v>180</v>
      </c>
      <c r="E180" t="s">
        <v>158</v>
      </c>
      <c r="F180">
        <v>180</v>
      </c>
      <c r="G180">
        <v>178.8</v>
      </c>
      <c r="H180">
        <v>132</v>
      </c>
      <c r="I180">
        <v>147</v>
      </c>
      <c r="J180">
        <v>134</v>
      </c>
      <c r="K180">
        <v>106</v>
      </c>
      <c r="L180">
        <v>124</v>
      </c>
      <c r="M180">
        <v>21</v>
      </c>
      <c r="N180">
        <v>1752</v>
      </c>
      <c r="O180">
        <v>1.18</v>
      </c>
      <c r="P180">
        <v>2059</v>
      </c>
      <c r="Q180">
        <v>223</v>
      </c>
      <c r="R180">
        <v>106</v>
      </c>
      <c r="S180">
        <v>51</v>
      </c>
      <c r="T180">
        <v>275</v>
      </c>
      <c r="U180">
        <v>20</v>
      </c>
      <c r="V180">
        <v>194</v>
      </c>
      <c r="W180">
        <v>0.39100000000000001</v>
      </c>
      <c r="X180">
        <v>198</v>
      </c>
      <c r="Y180">
        <v>116</v>
      </c>
      <c r="Z180">
        <v>77</v>
      </c>
      <c r="AA180">
        <v>5</v>
      </c>
      <c r="AB180">
        <v>11.5</v>
      </c>
      <c r="AC180" t="s">
        <v>169</v>
      </c>
      <c r="AD180" t="s">
        <v>178</v>
      </c>
      <c r="AE180" t="s">
        <v>185</v>
      </c>
      <c r="AG180" t="s">
        <v>2091</v>
      </c>
      <c r="AH180" t="s">
        <v>1194</v>
      </c>
      <c r="AI180" s="245">
        <v>515.42999999999995</v>
      </c>
      <c r="AJ180" t="s">
        <v>2092</v>
      </c>
      <c r="AK180" t="s">
        <v>1713</v>
      </c>
      <c r="AL180" t="s">
        <v>1248</v>
      </c>
      <c r="AM180" s="245">
        <v>655.20000000000005</v>
      </c>
      <c r="AN180" t="s">
        <v>2093</v>
      </c>
      <c r="AS180" s="226" t="str">
        <f t="shared" si="4"/>
        <v>Agent 3.0</v>
      </c>
      <c r="AT180" s="203" t="str">
        <f t="shared" si="5"/>
        <v xml:space="preserve"> FactionAgent 3.0180 Unisex</v>
      </c>
    </row>
    <row r="181" spans="1:46" ht="132">
      <c r="A181" t="s">
        <v>155</v>
      </c>
      <c r="B181" t="s">
        <v>332</v>
      </c>
      <c r="C181" t="s">
        <v>410</v>
      </c>
      <c r="D181">
        <v>158</v>
      </c>
      <c r="E181" t="s">
        <v>163</v>
      </c>
      <c r="F181">
        <v>158</v>
      </c>
      <c r="G181">
        <v>157.30000000000001</v>
      </c>
      <c r="H181">
        <v>109</v>
      </c>
      <c r="I181">
        <v>130</v>
      </c>
      <c r="J181">
        <v>132</v>
      </c>
      <c r="K181">
        <v>103</v>
      </c>
      <c r="L181">
        <v>123</v>
      </c>
      <c r="M181">
        <v>15.3</v>
      </c>
      <c r="N181">
        <v>1713</v>
      </c>
      <c r="O181">
        <v>1.03</v>
      </c>
      <c r="P181">
        <v>1771</v>
      </c>
      <c r="Q181">
        <v>174</v>
      </c>
      <c r="R181">
        <v>88</v>
      </c>
      <c r="S181">
        <v>44</v>
      </c>
      <c r="T181">
        <v>263</v>
      </c>
      <c r="U181">
        <v>32</v>
      </c>
      <c r="V181">
        <v>219</v>
      </c>
      <c r="W181">
        <v>0.71899999999999997</v>
      </c>
      <c r="X181">
        <v>133</v>
      </c>
      <c r="Y181">
        <v>144</v>
      </c>
      <c r="Z181">
        <v>131</v>
      </c>
      <c r="AA181">
        <v>8</v>
      </c>
      <c r="AB181">
        <v>8.5</v>
      </c>
      <c r="AC181" t="s">
        <v>188</v>
      </c>
      <c r="AD181" t="s">
        <v>169</v>
      </c>
      <c r="AG181" t="s">
        <v>2094</v>
      </c>
      <c r="AH181" t="s">
        <v>1194</v>
      </c>
      <c r="AI181" s="245">
        <v>387.23</v>
      </c>
      <c r="AJ181" t="s">
        <v>2095</v>
      </c>
      <c r="AK181" t="s">
        <v>2096</v>
      </c>
      <c r="AL181" t="s">
        <v>1804</v>
      </c>
      <c r="AM181" s="245">
        <v>499</v>
      </c>
      <c r="AN181" t="s">
        <v>2097</v>
      </c>
      <c r="AO181" t="s">
        <v>2094</v>
      </c>
      <c r="AP181" t="s">
        <v>1271</v>
      </c>
      <c r="AQ181" s="245">
        <v>559.92999999999995</v>
      </c>
      <c r="AR181" t="s">
        <v>2098</v>
      </c>
      <c r="AS181" s="226" t="str">
        <f t="shared" si="4"/>
        <v>Santa Ana 104 Free</v>
      </c>
      <c r="AT181" s="203" t="str">
        <f t="shared" si="5"/>
        <v xml:space="preserve"> NordicaSanta Ana 104 Free158 Women's</v>
      </c>
    </row>
    <row r="182" spans="1:46" ht="92.4">
      <c r="A182" t="s">
        <v>155</v>
      </c>
      <c r="B182" t="s">
        <v>172</v>
      </c>
      <c r="C182" t="s">
        <v>401</v>
      </c>
      <c r="D182">
        <v>163</v>
      </c>
      <c r="E182" t="s">
        <v>163</v>
      </c>
      <c r="F182">
        <v>163</v>
      </c>
      <c r="G182">
        <v>162.69999999999999</v>
      </c>
      <c r="H182">
        <v>107</v>
      </c>
      <c r="I182">
        <v>136</v>
      </c>
      <c r="J182">
        <v>136</v>
      </c>
      <c r="K182">
        <v>100</v>
      </c>
      <c r="L182">
        <v>127</v>
      </c>
      <c r="M182">
        <v>13</v>
      </c>
      <c r="N182">
        <v>1742</v>
      </c>
      <c r="O182">
        <v>1.06</v>
      </c>
      <c r="P182">
        <v>1841</v>
      </c>
      <c r="Q182">
        <v>190</v>
      </c>
      <c r="R182">
        <v>98</v>
      </c>
      <c r="S182">
        <v>50</v>
      </c>
      <c r="T182">
        <v>304</v>
      </c>
      <c r="U182">
        <v>16</v>
      </c>
      <c r="V182">
        <v>251</v>
      </c>
      <c r="W182">
        <v>0.32200000000000001</v>
      </c>
      <c r="X182">
        <v>157</v>
      </c>
      <c r="Y182">
        <v>108</v>
      </c>
      <c r="Z182">
        <v>147</v>
      </c>
      <c r="AA182">
        <v>3</v>
      </c>
      <c r="AB182">
        <v>6.3</v>
      </c>
      <c r="AC182" t="s">
        <v>188</v>
      </c>
      <c r="AD182" t="s">
        <v>178</v>
      </c>
      <c r="AE182" t="s">
        <v>185</v>
      </c>
      <c r="AG182" t="s">
        <v>2046</v>
      </c>
      <c r="AH182" t="s">
        <v>1320</v>
      </c>
      <c r="AI182" s="245">
        <v>639.96</v>
      </c>
      <c r="AJ182" t="s">
        <v>2099</v>
      </c>
      <c r="AK182" t="s">
        <v>2051</v>
      </c>
      <c r="AL182" t="s">
        <v>1194</v>
      </c>
      <c r="AM182" s="245">
        <v>451.78</v>
      </c>
      <c r="AN182" t="s">
        <v>2100</v>
      </c>
      <c r="AO182" t="s">
        <v>2051</v>
      </c>
      <c r="AP182" t="s">
        <v>1244</v>
      </c>
      <c r="AQ182" s="245">
        <v>599.96</v>
      </c>
      <c r="AR182" t="s">
        <v>2101</v>
      </c>
      <c r="AS182" s="226" t="str">
        <f t="shared" si="4"/>
        <v>Blackops Rallybird Ti W</v>
      </c>
      <c r="AT182" s="203" t="str">
        <f t="shared" si="5"/>
        <v xml:space="preserve"> RossignolBlackops Rallybird Ti W163 Women's</v>
      </c>
    </row>
    <row r="183" spans="1:46" ht="105.6">
      <c r="A183" t="s">
        <v>155</v>
      </c>
      <c r="B183" t="s">
        <v>1395</v>
      </c>
      <c r="C183" t="s">
        <v>311</v>
      </c>
      <c r="D183">
        <v>163</v>
      </c>
      <c r="E183" t="s">
        <v>163</v>
      </c>
      <c r="F183">
        <v>163</v>
      </c>
      <c r="G183">
        <v>164</v>
      </c>
      <c r="H183">
        <v>104</v>
      </c>
      <c r="I183">
        <v>140</v>
      </c>
      <c r="J183">
        <v>128</v>
      </c>
      <c r="K183">
        <v>87</v>
      </c>
      <c r="L183">
        <v>110</v>
      </c>
      <c r="M183">
        <v>14.7</v>
      </c>
      <c r="N183">
        <v>1707</v>
      </c>
      <c r="O183">
        <v>0.96</v>
      </c>
      <c r="P183">
        <v>1644</v>
      </c>
      <c r="Q183">
        <v>195</v>
      </c>
      <c r="R183">
        <v>125</v>
      </c>
      <c r="S183">
        <v>44</v>
      </c>
      <c r="T183">
        <v>361</v>
      </c>
      <c r="U183">
        <v>18</v>
      </c>
      <c r="V183">
        <v>238</v>
      </c>
      <c r="W183">
        <v>0.40100000000000002</v>
      </c>
      <c r="X183">
        <v>133</v>
      </c>
      <c r="Y183">
        <v>105</v>
      </c>
      <c r="Z183">
        <v>228</v>
      </c>
      <c r="AA183">
        <v>3</v>
      </c>
      <c r="AB183">
        <v>11</v>
      </c>
      <c r="AC183" t="s">
        <v>188</v>
      </c>
      <c r="AG183" t="s">
        <v>2102</v>
      </c>
      <c r="AH183" t="s">
        <v>1226</v>
      </c>
      <c r="AI183" s="245">
        <v>699.99</v>
      </c>
      <c r="AJ183" t="s">
        <v>2103</v>
      </c>
      <c r="AK183" t="s">
        <v>2104</v>
      </c>
      <c r="AL183" t="s">
        <v>1204</v>
      </c>
      <c r="AM183" s="245">
        <v>481.19</v>
      </c>
      <c r="AN183" t="s">
        <v>2105</v>
      </c>
      <c r="AO183" t="s">
        <v>2106</v>
      </c>
      <c r="AP183" t="s">
        <v>1232</v>
      </c>
      <c r="AQ183" s="245">
        <v>499.95</v>
      </c>
      <c r="AR183" t="s">
        <v>2107</v>
      </c>
      <c r="AS183" s="226" t="str">
        <f t="shared" si="4"/>
        <v>Kenja 88</v>
      </c>
      <c r="AT183" s="203" t="str">
        <f t="shared" si="5"/>
        <v xml:space="preserve"> Vï¿½lklKenja 88163 Women's</v>
      </c>
    </row>
    <row r="184" spans="1:46" ht="52.8">
      <c r="A184" t="s">
        <v>155</v>
      </c>
      <c r="B184" t="s">
        <v>156</v>
      </c>
      <c r="C184" t="s">
        <v>411</v>
      </c>
      <c r="D184">
        <v>169</v>
      </c>
      <c r="E184" t="s">
        <v>158</v>
      </c>
      <c r="F184">
        <v>169</v>
      </c>
      <c r="G184">
        <v>168</v>
      </c>
      <c r="H184">
        <v>120</v>
      </c>
      <c r="I184">
        <v>144</v>
      </c>
      <c r="J184">
        <v>122</v>
      </c>
      <c r="K184">
        <v>86</v>
      </c>
      <c r="L184">
        <v>106</v>
      </c>
      <c r="M184">
        <v>17.100000000000001</v>
      </c>
      <c r="N184">
        <v>1591</v>
      </c>
      <c r="O184">
        <v>1.03</v>
      </c>
      <c r="P184">
        <v>1637</v>
      </c>
      <c r="Q184">
        <v>189</v>
      </c>
      <c r="R184">
        <v>122</v>
      </c>
      <c r="S184">
        <v>53</v>
      </c>
      <c r="T184">
        <v>288</v>
      </c>
      <c r="U184">
        <v>13</v>
      </c>
      <c r="V184">
        <v>192</v>
      </c>
      <c r="W184">
        <v>0.251</v>
      </c>
      <c r="X184">
        <v>148</v>
      </c>
      <c r="Y184">
        <v>94</v>
      </c>
      <c r="Z184">
        <v>139</v>
      </c>
      <c r="AA184">
        <v>6</v>
      </c>
      <c r="AB184">
        <v>8.8000000000000007</v>
      </c>
      <c r="AC184" t="s">
        <v>188</v>
      </c>
      <c r="AG184" t="s">
        <v>2108</v>
      </c>
      <c r="AH184" t="s">
        <v>1280</v>
      </c>
      <c r="AI184" s="245">
        <v>519.92999999999995</v>
      </c>
      <c r="AJ184" t="s">
        <v>2109</v>
      </c>
      <c r="AK184" t="s">
        <v>2108</v>
      </c>
      <c r="AL184" t="s">
        <v>1181</v>
      </c>
      <c r="AM184" s="245">
        <v>519.99</v>
      </c>
      <c r="AN184" t="s">
        <v>2110</v>
      </c>
      <c r="AO184" t="s">
        <v>2108</v>
      </c>
      <c r="AP184" t="s">
        <v>2111</v>
      </c>
      <c r="AQ184" s="245">
        <v>519.99</v>
      </c>
      <c r="AR184" t="s">
        <v>2112</v>
      </c>
      <c r="AS184" s="226" t="str">
        <f t="shared" si="4"/>
        <v>Maverick 88 Ti</v>
      </c>
      <c r="AT184" s="203" t="str">
        <f t="shared" si="5"/>
        <v xml:space="preserve"> AtomicMaverick 88 Ti169 Unisex</v>
      </c>
    </row>
    <row r="185" spans="1:46" ht="79.2">
      <c r="A185" t="s">
        <v>155</v>
      </c>
      <c r="B185" t="s">
        <v>182</v>
      </c>
      <c r="C185" t="s">
        <v>413</v>
      </c>
      <c r="D185">
        <v>182</v>
      </c>
      <c r="E185" t="s">
        <v>158</v>
      </c>
      <c r="F185">
        <v>182</v>
      </c>
      <c r="G185">
        <v>181.2</v>
      </c>
      <c r="H185">
        <v>146</v>
      </c>
      <c r="I185">
        <v>151</v>
      </c>
      <c r="J185">
        <v>116</v>
      </c>
      <c r="K185">
        <v>87</v>
      </c>
      <c r="L185">
        <v>108</v>
      </c>
      <c r="M185">
        <v>21.7</v>
      </c>
      <c r="N185">
        <v>1329</v>
      </c>
      <c r="O185">
        <v>1.31</v>
      </c>
      <c r="P185">
        <v>1745</v>
      </c>
      <c r="Q185">
        <v>226</v>
      </c>
      <c r="R185">
        <v>96</v>
      </c>
      <c r="S185">
        <v>41</v>
      </c>
      <c r="T185">
        <v>215</v>
      </c>
      <c r="U185">
        <v>11</v>
      </c>
      <c r="V185">
        <v>134</v>
      </c>
      <c r="W185">
        <v>0.26700000000000002</v>
      </c>
      <c r="X185">
        <v>186</v>
      </c>
      <c r="Y185">
        <v>115</v>
      </c>
      <c r="Z185">
        <v>29</v>
      </c>
      <c r="AA185">
        <v>5</v>
      </c>
      <c r="AB185">
        <v>8.3000000000000007</v>
      </c>
      <c r="AC185" t="s">
        <v>185</v>
      </c>
      <c r="AD185" t="s">
        <v>198</v>
      </c>
      <c r="AG185" t="s">
        <v>2113</v>
      </c>
      <c r="AH185" t="s">
        <v>1194</v>
      </c>
      <c r="AI185" s="245">
        <v>367.9</v>
      </c>
      <c r="AJ185" t="s">
        <v>2114</v>
      </c>
      <c r="AK185" t="s">
        <v>2115</v>
      </c>
      <c r="AL185" t="s">
        <v>2116</v>
      </c>
      <c r="AM185" s="245">
        <v>379.99</v>
      </c>
      <c r="AN185" t="s">
        <v>2117</v>
      </c>
      <c r="AO185" t="s">
        <v>2118</v>
      </c>
      <c r="AP185" t="s">
        <v>1191</v>
      </c>
      <c r="AQ185" s="245">
        <v>424.95</v>
      </c>
      <c r="AR185" t="s">
        <v>2119</v>
      </c>
      <c r="AS185" s="226" t="str">
        <f t="shared" si="4"/>
        <v>Tracer 88</v>
      </c>
      <c r="AT185" s="203" t="str">
        <f t="shared" si="5"/>
        <v xml:space="preserve"> ArmadaTracer 88182 Unisex</v>
      </c>
    </row>
    <row r="186" spans="1:46" ht="66">
      <c r="A186" t="s">
        <v>155</v>
      </c>
      <c r="B186" t="s">
        <v>208</v>
      </c>
      <c r="C186" t="s">
        <v>414</v>
      </c>
      <c r="D186">
        <v>183</v>
      </c>
      <c r="E186" t="s">
        <v>158</v>
      </c>
      <c r="F186">
        <v>183</v>
      </c>
      <c r="G186">
        <v>182.6</v>
      </c>
      <c r="H186">
        <v>102</v>
      </c>
      <c r="I186">
        <v>147</v>
      </c>
      <c r="J186">
        <v>151</v>
      </c>
      <c r="K186">
        <v>117</v>
      </c>
      <c r="L186">
        <v>137</v>
      </c>
      <c r="M186">
        <v>19.100000000000001</v>
      </c>
      <c r="N186">
        <v>1854</v>
      </c>
      <c r="O186">
        <v>1.25</v>
      </c>
      <c r="P186">
        <v>2318</v>
      </c>
      <c r="Q186">
        <v>210</v>
      </c>
      <c r="R186">
        <v>102</v>
      </c>
      <c r="S186">
        <v>56</v>
      </c>
      <c r="T186">
        <v>430</v>
      </c>
      <c r="U186">
        <v>37</v>
      </c>
      <c r="V186">
        <v>376</v>
      </c>
      <c r="W186">
        <v>0.65700000000000003</v>
      </c>
      <c r="X186">
        <v>177</v>
      </c>
      <c r="Y186">
        <v>179</v>
      </c>
      <c r="Z186">
        <v>252</v>
      </c>
      <c r="AA186">
        <v>3</v>
      </c>
      <c r="AB186">
        <v>6.1</v>
      </c>
      <c r="AC186" t="s">
        <v>169</v>
      </c>
      <c r="AD186" t="s">
        <v>185</v>
      </c>
      <c r="AE186" t="s">
        <v>198</v>
      </c>
      <c r="AG186" t="s">
        <v>2120</v>
      </c>
      <c r="AH186" t="s">
        <v>1194</v>
      </c>
      <c r="AI186" s="245">
        <v>487.77</v>
      </c>
      <c r="AJ186" t="s">
        <v>2121</v>
      </c>
      <c r="AK186" t="s">
        <v>2120</v>
      </c>
      <c r="AL186" t="s">
        <v>1265</v>
      </c>
      <c r="AM186" s="245">
        <v>545.35</v>
      </c>
      <c r="AN186" t="s">
        <v>2122</v>
      </c>
      <c r="AO186" t="s">
        <v>2120</v>
      </c>
      <c r="AP186" t="s">
        <v>1244</v>
      </c>
      <c r="AQ186" s="245">
        <v>639.96</v>
      </c>
      <c r="AR186" t="s">
        <v>2123</v>
      </c>
      <c r="AS186" s="226" t="str">
        <f t="shared" si="4"/>
        <v>Vision 118</v>
      </c>
      <c r="AT186" s="203" t="str">
        <f t="shared" si="5"/>
        <v xml:space="preserve"> LineVision 118183 Unisex</v>
      </c>
    </row>
    <row r="187" spans="1:46" ht="52.8">
      <c r="A187" t="s">
        <v>155</v>
      </c>
      <c r="B187" t="s">
        <v>174</v>
      </c>
      <c r="C187" t="s">
        <v>283</v>
      </c>
      <c r="D187">
        <v>177</v>
      </c>
      <c r="E187" t="s">
        <v>158</v>
      </c>
      <c r="F187">
        <v>177</v>
      </c>
      <c r="G187">
        <v>176.4</v>
      </c>
      <c r="H187">
        <v>136</v>
      </c>
      <c r="I187">
        <v>148</v>
      </c>
      <c r="J187">
        <v>131</v>
      </c>
      <c r="K187">
        <v>91</v>
      </c>
      <c r="L187">
        <v>114</v>
      </c>
      <c r="M187">
        <v>16.5</v>
      </c>
      <c r="N187">
        <v>1860</v>
      </c>
      <c r="O187">
        <v>0.99</v>
      </c>
      <c r="P187">
        <v>1843</v>
      </c>
      <c r="Q187">
        <v>219</v>
      </c>
      <c r="R187">
        <v>94</v>
      </c>
      <c r="S187">
        <v>49</v>
      </c>
      <c r="T187">
        <v>273</v>
      </c>
      <c r="U187">
        <v>11</v>
      </c>
      <c r="V187">
        <v>130</v>
      </c>
      <c r="W187">
        <v>0.217</v>
      </c>
      <c r="X187">
        <v>152</v>
      </c>
      <c r="Y187">
        <v>128</v>
      </c>
      <c r="Z187">
        <v>121</v>
      </c>
      <c r="AA187">
        <v>11</v>
      </c>
      <c r="AB187">
        <v>10</v>
      </c>
      <c r="AC187" t="s">
        <v>188</v>
      </c>
      <c r="AG187" t="s">
        <v>2124</v>
      </c>
      <c r="AH187" t="s">
        <v>1179</v>
      </c>
      <c r="AI187" s="245">
        <v>383.95</v>
      </c>
      <c r="AJ187" t="s">
        <v>2125</v>
      </c>
      <c r="AK187" t="s">
        <v>2124</v>
      </c>
      <c r="AL187" t="s">
        <v>1282</v>
      </c>
      <c r="AM187" s="245">
        <v>399.99</v>
      </c>
      <c r="AN187" t="s">
        <v>2126</v>
      </c>
      <c r="AO187" t="s">
        <v>2124</v>
      </c>
      <c r="AP187" t="s">
        <v>1226</v>
      </c>
      <c r="AQ187" s="245">
        <v>399.99</v>
      </c>
      <c r="AR187" t="s">
        <v>2127</v>
      </c>
      <c r="AS187" s="226" t="str">
        <f t="shared" si="4"/>
        <v>QST 92</v>
      </c>
      <c r="AT187" s="203" t="str">
        <f t="shared" si="5"/>
        <v xml:space="preserve"> SalomonQST 92177 Unisex</v>
      </c>
    </row>
    <row r="188" spans="1:46" ht="52.8">
      <c r="A188" t="s">
        <v>155</v>
      </c>
      <c r="B188" t="s">
        <v>208</v>
      </c>
      <c r="C188" t="s">
        <v>416</v>
      </c>
      <c r="D188">
        <v>179</v>
      </c>
      <c r="E188" t="s">
        <v>158</v>
      </c>
      <c r="F188">
        <v>179</v>
      </c>
      <c r="G188">
        <v>178.8</v>
      </c>
      <c r="H188">
        <v>138</v>
      </c>
      <c r="I188">
        <v>151</v>
      </c>
      <c r="J188">
        <v>131</v>
      </c>
      <c r="K188">
        <v>93</v>
      </c>
      <c r="L188">
        <v>116</v>
      </c>
      <c r="M188">
        <v>18</v>
      </c>
      <c r="N188">
        <v>1763</v>
      </c>
      <c r="O188">
        <v>1.07</v>
      </c>
      <c r="P188">
        <v>1883</v>
      </c>
      <c r="Q188">
        <v>196</v>
      </c>
      <c r="R188">
        <v>93</v>
      </c>
      <c r="S188">
        <v>42</v>
      </c>
      <c r="T188">
        <v>280</v>
      </c>
      <c r="U188">
        <v>15</v>
      </c>
      <c r="V188">
        <v>129</v>
      </c>
      <c r="W188">
        <v>0.35699999999999998</v>
      </c>
      <c r="X188">
        <v>147</v>
      </c>
      <c r="Y188">
        <v>127</v>
      </c>
      <c r="Z188">
        <v>133</v>
      </c>
      <c r="AA188">
        <v>9</v>
      </c>
      <c r="AB188">
        <v>9.6</v>
      </c>
      <c r="AC188" t="s">
        <v>188</v>
      </c>
      <c r="AD188" t="s">
        <v>185</v>
      </c>
      <c r="AG188" t="s">
        <v>2128</v>
      </c>
      <c r="AH188" t="s">
        <v>1349</v>
      </c>
      <c r="AI188" s="245">
        <v>348.3</v>
      </c>
      <c r="AJ188" t="s">
        <v>2129</v>
      </c>
      <c r="AK188" t="s">
        <v>2128</v>
      </c>
      <c r="AL188" t="s">
        <v>2130</v>
      </c>
      <c r="AM188" s="245">
        <v>399.96</v>
      </c>
      <c r="AN188" t="s">
        <v>2131</v>
      </c>
      <c r="AO188" t="s">
        <v>2132</v>
      </c>
      <c r="AP188" t="s">
        <v>1191</v>
      </c>
      <c r="AQ188" s="245">
        <v>469.95</v>
      </c>
      <c r="AR188" t="s">
        <v>2133</v>
      </c>
      <c r="AS188" s="226" t="str">
        <f t="shared" si="4"/>
        <v>Sick Day 94</v>
      </c>
      <c r="AT188" s="203" t="str">
        <f t="shared" si="5"/>
        <v xml:space="preserve"> LineSick Day 94179 Unisex</v>
      </c>
    </row>
    <row r="189" spans="1:46" ht="79.2">
      <c r="A189" t="s">
        <v>155</v>
      </c>
      <c r="B189" t="s">
        <v>245</v>
      </c>
      <c r="C189" t="s">
        <v>418</v>
      </c>
      <c r="D189">
        <v>171</v>
      </c>
      <c r="E189" t="s">
        <v>158</v>
      </c>
      <c r="F189">
        <v>171</v>
      </c>
      <c r="G189">
        <v>170.8</v>
      </c>
      <c r="H189">
        <v>117</v>
      </c>
      <c r="I189">
        <v>144</v>
      </c>
      <c r="J189">
        <v>124</v>
      </c>
      <c r="K189">
        <v>89</v>
      </c>
      <c r="L189">
        <v>115</v>
      </c>
      <c r="M189">
        <v>14.3</v>
      </c>
      <c r="N189">
        <v>1645</v>
      </c>
      <c r="O189">
        <v>1.06</v>
      </c>
      <c r="P189">
        <v>1751</v>
      </c>
      <c r="Q189">
        <v>187</v>
      </c>
      <c r="R189">
        <v>116</v>
      </c>
      <c r="S189">
        <v>49</v>
      </c>
      <c r="T189">
        <v>317</v>
      </c>
      <c r="U189">
        <v>16</v>
      </c>
      <c r="V189">
        <v>216</v>
      </c>
      <c r="W189">
        <v>0.31900000000000001</v>
      </c>
      <c r="X189">
        <v>132</v>
      </c>
      <c r="Y189">
        <v>138</v>
      </c>
      <c r="Z189">
        <v>186</v>
      </c>
      <c r="AA189">
        <v>4</v>
      </c>
      <c r="AB189">
        <v>9.8000000000000007</v>
      </c>
      <c r="AC189" t="s">
        <v>188</v>
      </c>
      <c r="AD189" t="s">
        <v>185</v>
      </c>
      <c r="AG189" t="s">
        <v>2134</v>
      </c>
      <c r="AH189" t="s">
        <v>1349</v>
      </c>
      <c r="AI189" s="245">
        <v>348.3</v>
      </c>
      <c r="AJ189" t="s">
        <v>2135</v>
      </c>
      <c r="AK189" t="s">
        <v>2134</v>
      </c>
      <c r="AL189" t="s">
        <v>1194</v>
      </c>
      <c r="AM189" s="245">
        <v>387.23</v>
      </c>
      <c r="AN189" t="s">
        <v>2136</v>
      </c>
      <c r="AO189" t="s">
        <v>2134</v>
      </c>
      <c r="AP189" t="s">
        <v>1191</v>
      </c>
      <c r="AQ189" s="245">
        <v>469.95</v>
      </c>
      <c r="AR189" t="s">
        <v>2137</v>
      </c>
      <c r="AS189" s="226" t="str">
        <f t="shared" si="4"/>
        <v>Ranger 92 Ti</v>
      </c>
      <c r="AT189" s="203" t="str">
        <f t="shared" si="5"/>
        <v xml:space="preserve"> FischerRanger 92 Ti171 Unisex</v>
      </c>
    </row>
    <row r="190" spans="1:46" ht="26.4">
      <c r="A190" t="s">
        <v>155</v>
      </c>
      <c r="B190" t="s">
        <v>321</v>
      </c>
      <c r="C190" t="s">
        <v>365</v>
      </c>
      <c r="D190">
        <v>180</v>
      </c>
      <c r="E190" t="s">
        <v>158</v>
      </c>
      <c r="F190">
        <v>180</v>
      </c>
      <c r="G190">
        <v>179.2</v>
      </c>
      <c r="H190">
        <v>125</v>
      </c>
      <c r="I190">
        <v>143</v>
      </c>
      <c r="J190">
        <v>133</v>
      </c>
      <c r="K190">
        <v>103</v>
      </c>
      <c r="L190">
        <v>125</v>
      </c>
      <c r="M190">
        <v>16.399999999999999</v>
      </c>
      <c r="N190">
        <v>1720</v>
      </c>
      <c r="O190">
        <v>1.19</v>
      </c>
      <c r="P190">
        <v>2048</v>
      </c>
      <c r="Q190">
        <v>224</v>
      </c>
      <c r="R190">
        <v>88</v>
      </c>
      <c r="S190">
        <v>44</v>
      </c>
      <c r="T190">
        <v>326</v>
      </c>
      <c r="U190">
        <v>26</v>
      </c>
      <c r="V190">
        <v>219</v>
      </c>
      <c r="W190">
        <v>0.59899999999999998</v>
      </c>
      <c r="X190">
        <v>244</v>
      </c>
      <c r="Y190">
        <v>116</v>
      </c>
      <c r="Z190">
        <v>82</v>
      </c>
      <c r="AA190">
        <v>10</v>
      </c>
      <c r="AB190">
        <v>9</v>
      </c>
      <c r="AC190" t="s">
        <v>188</v>
      </c>
      <c r="AD190" t="s">
        <v>169</v>
      </c>
      <c r="AE190" t="s">
        <v>185</v>
      </c>
      <c r="AS190" s="226" t="str">
        <f t="shared" si="4"/>
        <v>Pionnier 104</v>
      </c>
      <c r="AT190" s="203" t="str">
        <f t="shared" si="5"/>
        <v xml:space="preserve"> FerreolPionnier 104180 Unisex</v>
      </c>
    </row>
    <row r="191" spans="1:46" ht="39.6">
      <c r="A191" t="s">
        <v>155</v>
      </c>
      <c r="B191" t="s">
        <v>164</v>
      </c>
      <c r="C191" t="s">
        <v>419</v>
      </c>
      <c r="D191">
        <v>149</v>
      </c>
      <c r="E191" t="s">
        <v>163</v>
      </c>
      <c r="F191">
        <v>149</v>
      </c>
      <c r="G191">
        <v>147.69999999999999</v>
      </c>
      <c r="H191">
        <v>131</v>
      </c>
      <c r="I191">
        <v>138</v>
      </c>
      <c r="J191">
        <v>109</v>
      </c>
      <c r="K191">
        <v>67</v>
      </c>
      <c r="L191">
        <v>95</v>
      </c>
      <c r="M191">
        <v>12.7</v>
      </c>
      <c r="N191">
        <v>1569</v>
      </c>
      <c r="O191">
        <v>0.76</v>
      </c>
      <c r="P191">
        <v>1185</v>
      </c>
      <c r="Q191">
        <v>222</v>
      </c>
      <c r="R191">
        <v>98</v>
      </c>
      <c r="S191">
        <v>34</v>
      </c>
      <c r="T191">
        <v>125</v>
      </c>
      <c r="U191">
        <v>3</v>
      </c>
      <c r="V191">
        <v>44</v>
      </c>
      <c r="W191">
        <v>7.9000000000000001E-2</v>
      </c>
      <c r="X191">
        <v>57</v>
      </c>
      <c r="Y191">
        <v>40</v>
      </c>
      <c r="Z191">
        <v>68</v>
      </c>
      <c r="AA191">
        <v>6</v>
      </c>
      <c r="AB191">
        <v>11</v>
      </c>
      <c r="AC191" t="s">
        <v>349</v>
      </c>
      <c r="AS191" s="226" t="str">
        <f t="shared" si="4"/>
        <v>Ace Speed Magic</v>
      </c>
      <c r="AT191" s="203" t="str">
        <f t="shared" si="5"/>
        <v xml:space="preserve"> ElanAce Speed Magic149 Women's</v>
      </c>
    </row>
    <row r="192" spans="1:46" ht="92.4">
      <c r="A192" t="s">
        <v>155</v>
      </c>
      <c r="B192" t="s">
        <v>174</v>
      </c>
      <c r="C192" t="s">
        <v>343</v>
      </c>
      <c r="D192">
        <v>177</v>
      </c>
      <c r="E192" t="s">
        <v>158</v>
      </c>
      <c r="F192">
        <v>177</v>
      </c>
      <c r="G192">
        <v>175.9</v>
      </c>
      <c r="H192">
        <v>131</v>
      </c>
      <c r="I192">
        <v>148</v>
      </c>
      <c r="J192">
        <v>122</v>
      </c>
      <c r="K192">
        <v>84</v>
      </c>
      <c r="L192">
        <v>105</v>
      </c>
      <c r="M192">
        <v>16.2</v>
      </c>
      <c r="N192">
        <v>1616</v>
      </c>
      <c r="O192">
        <v>1.06</v>
      </c>
      <c r="P192">
        <v>1708</v>
      </c>
      <c r="Q192">
        <v>205</v>
      </c>
      <c r="R192">
        <v>88</v>
      </c>
      <c r="S192">
        <v>49</v>
      </c>
      <c r="T192">
        <v>256</v>
      </c>
      <c r="U192">
        <v>12</v>
      </c>
      <c r="V192">
        <v>198</v>
      </c>
      <c r="W192">
        <v>0.23799999999999999</v>
      </c>
      <c r="X192">
        <v>162</v>
      </c>
      <c r="Y192">
        <v>115</v>
      </c>
      <c r="Z192">
        <v>93</v>
      </c>
      <c r="AA192">
        <v>7</v>
      </c>
      <c r="AB192">
        <v>9.9</v>
      </c>
      <c r="AC192" t="s">
        <v>231</v>
      </c>
      <c r="AD192" t="s">
        <v>188</v>
      </c>
      <c r="AE192" t="s">
        <v>185</v>
      </c>
      <c r="AG192" t="s">
        <v>2138</v>
      </c>
      <c r="AH192" t="s">
        <v>1224</v>
      </c>
      <c r="AI192" s="245">
        <v>599.99</v>
      </c>
      <c r="AJ192" t="s">
        <v>2139</v>
      </c>
      <c r="AK192" t="s">
        <v>2140</v>
      </c>
      <c r="AL192" t="s">
        <v>1282</v>
      </c>
      <c r="AM192" s="245">
        <v>399.99</v>
      </c>
      <c r="AN192" t="s">
        <v>2141</v>
      </c>
      <c r="AO192" t="s">
        <v>2142</v>
      </c>
      <c r="AP192" t="s">
        <v>1497</v>
      </c>
      <c r="AQ192" s="245">
        <v>399.99</v>
      </c>
      <c r="AR192" t="s">
        <v>2143</v>
      </c>
      <c r="AS192" s="226" t="str">
        <f t="shared" si="4"/>
        <v>Stance 84</v>
      </c>
      <c r="AT192" s="203" t="str">
        <f t="shared" si="5"/>
        <v xml:space="preserve"> SalomonStance 84177 Unisex</v>
      </c>
    </row>
    <row r="193" spans="1:46" ht="26.4">
      <c r="A193" t="s">
        <v>155</v>
      </c>
      <c r="B193" t="s">
        <v>321</v>
      </c>
      <c r="C193" t="s">
        <v>322</v>
      </c>
      <c r="D193">
        <v>172</v>
      </c>
      <c r="E193" t="s">
        <v>158</v>
      </c>
      <c r="F193">
        <v>172</v>
      </c>
      <c r="G193">
        <v>170.1</v>
      </c>
      <c r="H193">
        <v>123</v>
      </c>
      <c r="I193">
        <v>145</v>
      </c>
      <c r="J193">
        <v>129</v>
      </c>
      <c r="K193">
        <v>96</v>
      </c>
      <c r="L193">
        <v>119</v>
      </c>
      <c r="M193">
        <v>15.4</v>
      </c>
      <c r="N193">
        <v>1584</v>
      </c>
      <c r="O193">
        <v>1.1599999999999999</v>
      </c>
      <c r="P193">
        <v>1844</v>
      </c>
      <c r="Q193">
        <v>184</v>
      </c>
      <c r="R193">
        <v>87</v>
      </c>
      <c r="S193">
        <v>60</v>
      </c>
      <c r="T193">
        <v>275</v>
      </c>
      <c r="U193">
        <v>29</v>
      </c>
      <c r="V193">
        <v>195</v>
      </c>
      <c r="W193">
        <v>0.48499999999999999</v>
      </c>
      <c r="X193">
        <v>136</v>
      </c>
      <c r="Y193">
        <v>120</v>
      </c>
      <c r="Z193">
        <v>139</v>
      </c>
      <c r="AA193">
        <v>9</v>
      </c>
      <c r="AB193">
        <v>8</v>
      </c>
      <c r="AC193" t="s">
        <v>188</v>
      </c>
      <c r="AD193" t="s">
        <v>185</v>
      </c>
      <c r="AS193" s="226" t="str">
        <f t="shared" si="4"/>
        <v>Explo 96</v>
      </c>
      <c r="AT193" s="203" t="str">
        <f t="shared" si="5"/>
        <v xml:space="preserve"> FerreolExplo 96172 Unisex</v>
      </c>
    </row>
    <row r="194" spans="1:46" ht="52.8">
      <c r="A194" t="s">
        <v>155</v>
      </c>
      <c r="B194" t="s">
        <v>202</v>
      </c>
      <c r="C194" t="s">
        <v>420</v>
      </c>
      <c r="D194">
        <v>177</v>
      </c>
      <c r="E194" t="s">
        <v>158</v>
      </c>
      <c r="F194">
        <v>177</v>
      </c>
      <c r="G194">
        <v>177</v>
      </c>
      <c r="H194">
        <v>146</v>
      </c>
      <c r="I194">
        <v>143</v>
      </c>
      <c r="J194">
        <v>120</v>
      </c>
      <c r="K194">
        <v>82</v>
      </c>
      <c r="L194">
        <v>105</v>
      </c>
      <c r="M194">
        <v>16.399999999999999</v>
      </c>
      <c r="N194">
        <v>1760</v>
      </c>
      <c r="O194">
        <v>0.95</v>
      </c>
      <c r="P194">
        <v>1670</v>
      </c>
      <c r="Q194">
        <v>223</v>
      </c>
      <c r="R194">
        <v>99</v>
      </c>
      <c r="S194">
        <v>40</v>
      </c>
      <c r="T194">
        <v>252</v>
      </c>
      <c r="U194">
        <v>5</v>
      </c>
      <c r="V194">
        <v>63</v>
      </c>
      <c r="W194">
        <v>0.13699999999999901</v>
      </c>
      <c r="X194">
        <v>167</v>
      </c>
      <c r="Y194">
        <v>175</v>
      </c>
      <c r="Z194">
        <v>85</v>
      </c>
      <c r="AA194">
        <v>9</v>
      </c>
      <c r="AB194">
        <v>6.6</v>
      </c>
      <c r="AC194" t="s">
        <v>349</v>
      </c>
      <c r="AD194" t="s">
        <v>231</v>
      </c>
      <c r="AE194" t="s">
        <v>188</v>
      </c>
      <c r="AG194" t="s">
        <v>2144</v>
      </c>
      <c r="AH194" t="s">
        <v>1224</v>
      </c>
      <c r="AI194" s="245">
        <v>299.97000000000003</v>
      </c>
      <c r="AJ194" t="s">
        <v>2145</v>
      </c>
      <c r="AK194" t="s">
        <v>2144</v>
      </c>
      <c r="AL194" t="s">
        <v>1405</v>
      </c>
      <c r="AM194" s="245">
        <v>399.96</v>
      </c>
      <c r="AN194" t="s">
        <v>2146</v>
      </c>
      <c r="AO194" t="s">
        <v>2144</v>
      </c>
      <c r="AP194" t="s">
        <v>1181</v>
      </c>
      <c r="AQ194" s="245">
        <v>399.99</v>
      </c>
      <c r="AR194" t="s">
        <v>2147</v>
      </c>
      <c r="AS194" s="226" t="str">
        <f t="shared" ref="AS194:AS257" si="6">IF(LEFT(C194,1)=" ",RIGHT(C194,LEN(C194)-1),C194)</f>
        <v>M-Pro 84</v>
      </c>
      <c r="AT194" s="203" t="str">
        <f t="shared" ref="AT194:AT257" si="7">_xlfn.CONCAT(B194,AS194,D194,E194)</f>
        <v xml:space="preserve"> DynastarM-Pro 84177 Unisex</v>
      </c>
    </row>
    <row r="195" spans="1:46" ht="303.60000000000002">
      <c r="A195" t="s">
        <v>155</v>
      </c>
      <c r="B195" t="s">
        <v>167</v>
      </c>
      <c r="C195" t="s">
        <v>200</v>
      </c>
      <c r="D195">
        <v>163</v>
      </c>
      <c r="E195" t="s">
        <v>158</v>
      </c>
      <c r="F195">
        <v>163</v>
      </c>
      <c r="G195">
        <v>162.69999999999999</v>
      </c>
      <c r="H195">
        <v>128</v>
      </c>
      <c r="I195">
        <v>132</v>
      </c>
      <c r="J195">
        <v>127</v>
      </c>
      <c r="K195">
        <v>88</v>
      </c>
      <c r="L195">
        <v>109</v>
      </c>
      <c r="M195">
        <v>13.2</v>
      </c>
      <c r="N195">
        <v>1474</v>
      </c>
      <c r="O195">
        <v>1.1100000000000001</v>
      </c>
      <c r="P195">
        <v>1639</v>
      </c>
      <c r="Q195">
        <v>206</v>
      </c>
      <c r="R195">
        <v>93</v>
      </c>
      <c r="S195">
        <v>49</v>
      </c>
      <c r="T195">
        <v>218</v>
      </c>
      <c r="U195">
        <v>11</v>
      </c>
      <c r="V195">
        <v>130</v>
      </c>
      <c r="W195">
        <v>0.218</v>
      </c>
      <c r="X195">
        <v>152</v>
      </c>
      <c r="Y195">
        <v>159</v>
      </c>
      <c r="Z195">
        <v>65</v>
      </c>
      <c r="AA195">
        <v>7</v>
      </c>
      <c r="AB195">
        <v>9.1999999999999993</v>
      </c>
      <c r="AC195" t="s">
        <v>188</v>
      </c>
      <c r="AD195" t="s">
        <v>185</v>
      </c>
      <c r="AG195" t="s">
        <v>1339</v>
      </c>
      <c r="AH195" t="s">
        <v>1185</v>
      </c>
      <c r="AI195" s="245">
        <v>454.99</v>
      </c>
      <c r="AJ195" t="s">
        <v>2148</v>
      </c>
      <c r="AK195" t="s">
        <v>2149</v>
      </c>
      <c r="AL195" t="s">
        <v>2150</v>
      </c>
      <c r="AM195" s="245">
        <v>459.99</v>
      </c>
      <c r="AN195" t="s">
        <v>2151</v>
      </c>
      <c r="AO195" t="s">
        <v>1339</v>
      </c>
      <c r="AP195" t="s">
        <v>1181</v>
      </c>
      <c r="AQ195" s="245">
        <v>489</v>
      </c>
      <c r="AR195" t="s">
        <v>2152</v>
      </c>
      <c r="AS195" s="226" t="str">
        <f t="shared" si="6"/>
        <v>Kore 93</v>
      </c>
      <c r="AT195" s="203" t="str">
        <f t="shared" si="7"/>
        <v xml:space="preserve"> HeadKore 93163 Unisex</v>
      </c>
    </row>
    <row r="196" spans="1:46" ht="132">
      <c r="A196" t="s">
        <v>155</v>
      </c>
      <c r="B196" t="s">
        <v>208</v>
      </c>
      <c r="C196" t="s">
        <v>422</v>
      </c>
      <c r="D196">
        <v>190</v>
      </c>
      <c r="E196" t="s">
        <v>158</v>
      </c>
      <c r="F196">
        <v>190</v>
      </c>
      <c r="G196">
        <v>188.8</v>
      </c>
      <c r="H196">
        <v>135</v>
      </c>
      <c r="I196">
        <v>157</v>
      </c>
      <c r="J196">
        <v>142</v>
      </c>
      <c r="K196">
        <v>106</v>
      </c>
      <c r="L196">
        <v>138</v>
      </c>
      <c r="M196">
        <v>17.8</v>
      </c>
      <c r="N196">
        <v>1910</v>
      </c>
      <c r="O196">
        <v>1.1499999999999999</v>
      </c>
      <c r="P196">
        <v>2188</v>
      </c>
      <c r="Q196">
        <v>177</v>
      </c>
      <c r="R196">
        <v>95</v>
      </c>
      <c r="S196">
        <v>44</v>
      </c>
      <c r="T196">
        <v>346</v>
      </c>
      <c r="U196">
        <v>44</v>
      </c>
      <c r="V196">
        <v>190</v>
      </c>
      <c r="W196">
        <v>1.004</v>
      </c>
      <c r="X196">
        <v>157</v>
      </c>
      <c r="Y196">
        <v>163</v>
      </c>
      <c r="Z196">
        <v>189</v>
      </c>
      <c r="AA196">
        <v>6</v>
      </c>
      <c r="AB196">
        <v>4.0999999999999996</v>
      </c>
      <c r="AC196" t="s">
        <v>184</v>
      </c>
      <c r="AD196" t="s">
        <v>169</v>
      </c>
      <c r="AE196" t="s">
        <v>185</v>
      </c>
      <c r="AG196" t="s">
        <v>2153</v>
      </c>
      <c r="AH196" t="s">
        <v>1271</v>
      </c>
      <c r="AI196" s="245">
        <v>549.99</v>
      </c>
      <c r="AJ196" t="s">
        <v>2154</v>
      </c>
      <c r="AK196" t="s">
        <v>2155</v>
      </c>
      <c r="AL196" t="s">
        <v>1950</v>
      </c>
      <c r="AM196" s="245">
        <v>699.95</v>
      </c>
      <c r="AN196" t="s">
        <v>2156</v>
      </c>
      <c r="AO196" t="s">
        <v>2157</v>
      </c>
      <c r="AP196" t="s">
        <v>1181</v>
      </c>
      <c r="AQ196" s="245">
        <v>869.95</v>
      </c>
      <c r="AR196" t="s">
        <v>2158</v>
      </c>
      <c r="AS196" s="226" t="str">
        <f t="shared" si="6"/>
        <v>Sir Francis Bacon</v>
      </c>
      <c r="AT196" s="203" t="str">
        <f t="shared" si="7"/>
        <v xml:space="preserve"> LineSir Francis Bacon190 Unisex</v>
      </c>
    </row>
    <row r="197" spans="1:46" ht="66">
      <c r="A197" t="s">
        <v>155</v>
      </c>
      <c r="B197" t="s">
        <v>1361</v>
      </c>
      <c r="C197" t="s">
        <v>424</v>
      </c>
      <c r="D197">
        <v>167</v>
      </c>
      <c r="E197" t="s">
        <v>158</v>
      </c>
      <c r="F197">
        <v>167</v>
      </c>
      <c r="G197">
        <v>166.2</v>
      </c>
      <c r="H197">
        <v>139</v>
      </c>
      <c r="I197">
        <v>144</v>
      </c>
      <c r="J197">
        <v>127</v>
      </c>
      <c r="K197">
        <v>91</v>
      </c>
      <c r="L197">
        <v>117</v>
      </c>
      <c r="M197">
        <v>16.100000000000001</v>
      </c>
      <c r="N197">
        <v>1544</v>
      </c>
      <c r="O197">
        <v>1.1100000000000001</v>
      </c>
      <c r="P197">
        <v>1714</v>
      </c>
      <c r="Q197">
        <v>164</v>
      </c>
      <c r="R197">
        <v>88</v>
      </c>
      <c r="S197">
        <v>44</v>
      </c>
      <c r="T197">
        <v>201</v>
      </c>
      <c r="U197">
        <v>9</v>
      </c>
      <c r="V197">
        <v>75</v>
      </c>
      <c r="W197">
        <v>0.19800000000000001</v>
      </c>
      <c r="X197">
        <v>168</v>
      </c>
      <c r="Y197">
        <v>54</v>
      </c>
      <c r="Z197">
        <v>33</v>
      </c>
      <c r="AA197">
        <v>6</v>
      </c>
      <c r="AB197">
        <v>13.3</v>
      </c>
      <c r="AC197" t="s">
        <v>188</v>
      </c>
      <c r="AD197" t="s">
        <v>185</v>
      </c>
      <c r="AG197" t="s">
        <v>2159</v>
      </c>
      <c r="AH197" t="s">
        <v>1181</v>
      </c>
      <c r="AI197" s="245">
        <v>1199</v>
      </c>
      <c r="AJ197" t="s">
        <v>2160</v>
      </c>
      <c r="AK197" t="s">
        <v>2159</v>
      </c>
      <c r="AL197" t="s">
        <v>1349</v>
      </c>
      <c r="AM197" s="245">
        <v>897.58</v>
      </c>
      <c r="AN197" t="s">
        <v>2161</v>
      </c>
      <c r="AS197" s="226" t="str">
        <f t="shared" si="6"/>
        <v>Edge FT</v>
      </c>
      <c r="AT197" s="203" t="str">
        <f t="shared" si="7"/>
        <v xml:space="preserve"> Stï¿½ckliEdge FT167 Unisex</v>
      </c>
    </row>
    <row r="198" spans="1:46" ht="409.2">
      <c r="A198" t="s">
        <v>155</v>
      </c>
      <c r="B198" t="s">
        <v>329</v>
      </c>
      <c r="C198" t="s">
        <v>425</v>
      </c>
      <c r="D198">
        <v>177</v>
      </c>
      <c r="E198" t="s">
        <v>158</v>
      </c>
      <c r="F198">
        <v>177</v>
      </c>
      <c r="G198">
        <v>175.8</v>
      </c>
      <c r="H198">
        <v>115</v>
      </c>
      <c r="I198">
        <v>142</v>
      </c>
      <c r="J198">
        <v>125</v>
      </c>
      <c r="K198">
        <v>96</v>
      </c>
      <c r="L198">
        <v>115</v>
      </c>
      <c r="M198">
        <v>18.399999999999999</v>
      </c>
      <c r="N198">
        <v>1525</v>
      </c>
      <c r="O198">
        <v>1.22</v>
      </c>
      <c r="P198">
        <v>1867</v>
      </c>
      <c r="Q198">
        <v>187</v>
      </c>
      <c r="R198">
        <v>92</v>
      </c>
      <c r="S198">
        <v>59</v>
      </c>
      <c r="T198">
        <v>442</v>
      </c>
      <c r="U198">
        <v>13</v>
      </c>
      <c r="V198">
        <v>167</v>
      </c>
      <c r="W198">
        <v>0.22399999999999901</v>
      </c>
      <c r="X198">
        <v>183</v>
      </c>
      <c r="Y198">
        <v>151</v>
      </c>
      <c r="Z198">
        <v>259</v>
      </c>
      <c r="AA198">
        <v>3</v>
      </c>
      <c r="AB198">
        <v>8.5</v>
      </c>
      <c r="AC198" t="s">
        <v>188</v>
      </c>
      <c r="AD198" t="s">
        <v>185</v>
      </c>
      <c r="AG198" t="s">
        <v>2162</v>
      </c>
      <c r="AH198" t="s">
        <v>2163</v>
      </c>
      <c r="AI198" s="245">
        <v>475.72</v>
      </c>
      <c r="AJ198" t="s">
        <v>2164</v>
      </c>
      <c r="AK198" t="s">
        <v>2165</v>
      </c>
      <c r="AL198" t="s">
        <v>1271</v>
      </c>
      <c r="AM198" s="245">
        <v>939.99</v>
      </c>
      <c r="AN198" t="s">
        <v>2166</v>
      </c>
      <c r="AO198" t="s">
        <v>2167</v>
      </c>
      <c r="AP198" t="s">
        <v>1549</v>
      </c>
      <c r="AQ198" s="245">
        <v>390</v>
      </c>
      <c r="AR198" t="s">
        <v>2168</v>
      </c>
      <c r="AS198" s="226" t="str">
        <f t="shared" si="6"/>
        <v>Beast 98</v>
      </c>
      <c r="AT198" s="203" t="str">
        <f t="shared" si="7"/>
        <v xml:space="preserve"> DynafitBeast 98177 Unisex</v>
      </c>
    </row>
    <row r="199" spans="1:46" ht="105.6">
      <c r="A199" t="s">
        <v>155</v>
      </c>
      <c r="B199" t="s">
        <v>182</v>
      </c>
      <c r="C199" t="s">
        <v>220</v>
      </c>
      <c r="D199">
        <v>164</v>
      </c>
      <c r="E199" t="s">
        <v>163</v>
      </c>
      <c r="F199">
        <v>164</v>
      </c>
      <c r="G199">
        <v>161.80000000000001</v>
      </c>
      <c r="H199">
        <v>111</v>
      </c>
      <c r="I199">
        <v>129</v>
      </c>
      <c r="J199">
        <v>131</v>
      </c>
      <c r="K199">
        <v>105</v>
      </c>
      <c r="L199">
        <v>120</v>
      </c>
      <c r="M199">
        <v>18.399999999999999</v>
      </c>
      <c r="N199">
        <v>1668</v>
      </c>
      <c r="O199">
        <v>1.0900000000000001</v>
      </c>
      <c r="P199">
        <v>1816</v>
      </c>
      <c r="Q199">
        <v>174</v>
      </c>
      <c r="R199">
        <v>85</v>
      </c>
      <c r="S199">
        <v>52</v>
      </c>
      <c r="T199">
        <v>274</v>
      </c>
      <c r="U199">
        <v>44</v>
      </c>
      <c r="V199">
        <v>233</v>
      </c>
      <c r="W199">
        <v>0.84499999999999997</v>
      </c>
      <c r="X199">
        <v>144</v>
      </c>
      <c r="Y199">
        <v>188</v>
      </c>
      <c r="Z199">
        <v>129</v>
      </c>
      <c r="AA199">
        <v>5</v>
      </c>
      <c r="AB199">
        <v>2.6</v>
      </c>
      <c r="AC199" t="s">
        <v>188</v>
      </c>
      <c r="AD199" t="s">
        <v>184</v>
      </c>
      <c r="AE199" t="s">
        <v>169</v>
      </c>
      <c r="AF199" t="s">
        <v>185</v>
      </c>
      <c r="AG199" t="s">
        <v>2169</v>
      </c>
      <c r="AH199" t="s">
        <v>1271</v>
      </c>
      <c r="AI199" s="245">
        <v>549.92999999999995</v>
      </c>
      <c r="AJ199" t="s">
        <v>2170</v>
      </c>
      <c r="AK199" t="s">
        <v>2171</v>
      </c>
      <c r="AL199" t="s">
        <v>1627</v>
      </c>
      <c r="AM199" s="245">
        <v>629</v>
      </c>
      <c r="AN199" t="s">
        <v>2172</v>
      </c>
      <c r="AO199" t="s">
        <v>2173</v>
      </c>
      <c r="AP199" t="s">
        <v>1248</v>
      </c>
      <c r="AQ199" s="245">
        <v>279.95999999999998</v>
      </c>
      <c r="AR199" t="s">
        <v>2174</v>
      </c>
      <c r="AS199" s="226" t="str">
        <f t="shared" si="6"/>
        <v>ARW 106 UL</v>
      </c>
      <c r="AT199" s="203" t="str">
        <f t="shared" si="7"/>
        <v xml:space="preserve"> ArmadaARW 106 UL164 Women's</v>
      </c>
    </row>
    <row r="200" spans="1:46" ht="79.2">
      <c r="A200" t="s">
        <v>155</v>
      </c>
      <c r="B200" t="s">
        <v>1395</v>
      </c>
      <c r="C200" t="s">
        <v>426</v>
      </c>
      <c r="D200">
        <v>156</v>
      </c>
      <c r="E200" t="s">
        <v>163</v>
      </c>
      <c r="F200">
        <v>156</v>
      </c>
      <c r="G200">
        <v>155.9</v>
      </c>
      <c r="H200">
        <v>107</v>
      </c>
      <c r="I200">
        <v>133</v>
      </c>
      <c r="J200">
        <v>139</v>
      </c>
      <c r="K200">
        <v>101</v>
      </c>
      <c r="L200">
        <v>123</v>
      </c>
      <c r="M200">
        <v>14.1</v>
      </c>
      <c r="N200">
        <v>1846</v>
      </c>
      <c r="O200">
        <v>0.96</v>
      </c>
      <c r="P200">
        <v>1763</v>
      </c>
      <c r="Q200">
        <v>205</v>
      </c>
      <c r="R200">
        <v>132</v>
      </c>
      <c r="S200">
        <v>49</v>
      </c>
      <c r="T200">
        <v>310</v>
      </c>
      <c r="U200">
        <v>17</v>
      </c>
      <c r="V200">
        <v>174</v>
      </c>
      <c r="W200">
        <v>0.34</v>
      </c>
      <c r="X200">
        <v>131</v>
      </c>
      <c r="Y200">
        <v>101</v>
      </c>
      <c r="Z200">
        <v>178</v>
      </c>
      <c r="AA200">
        <v>3</v>
      </c>
      <c r="AB200">
        <v>11.4</v>
      </c>
      <c r="AC200" t="s">
        <v>188</v>
      </c>
      <c r="AD200" t="s">
        <v>178</v>
      </c>
      <c r="AG200" t="s">
        <v>2175</v>
      </c>
      <c r="AH200" t="s">
        <v>1224</v>
      </c>
      <c r="AI200" s="245">
        <v>399.97</v>
      </c>
      <c r="AJ200" t="s">
        <v>2176</v>
      </c>
      <c r="AK200" t="s">
        <v>2177</v>
      </c>
      <c r="AL200" t="s">
        <v>1204</v>
      </c>
      <c r="AM200" s="245">
        <v>441.09</v>
      </c>
      <c r="AN200" t="s">
        <v>2178</v>
      </c>
      <c r="AO200" t="s">
        <v>2175</v>
      </c>
      <c r="AP200" t="s">
        <v>1194</v>
      </c>
      <c r="AQ200" s="245">
        <v>441.67</v>
      </c>
      <c r="AR200" t="s">
        <v>2179</v>
      </c>
      <c r="AS200" s="226" t="str">
        <f t="shared" si="6"/>
        <v>Secret 102</v>
      </c>
      <c r="AT200" s="203" t="str">
        <f t="shared" si="7"/>
        <v xml:space="preserve"> Vï¿½lklSecret 102156 Women's</v>
      </c>
    </row>
    <row r="201" spans="1:46" ht="66">
      <c r="A201" t="s">
        <v>155</v>
      </c>
      <c r="B201" t="s">
        <v>182</v>
      </c>
      <c r="C201" t="s">
        <v>428</v>
      </c>
      <c r="D201">
        <v>170</v>
      </c>
      <c r="E201" t="s">
        <v>163</v>
      </c>
      <c r="F201">
        <v>170</v>
      </c>
      <c r="G201">
        <v>168.4</v>
      </c>
      <c r="H201">
        <v>123</v>
      </c>
      <c r="I201">
        <v>139</v>
      </c>
      <c r="J201">
        <v>123</v>
      </c>
      <c r="K201">
        <v>95</v>
      </c>
      <c r="L201">
        <v>115</v>
      </c>
      <c r="M201">
        <v>18.2</v>
      </c>
      <c r="N201">
        <v>1769</v>
      </c>
      <c r="O201">
        <v>0.99</v>
      </c>
      <c r="P201">
        <v>1756</v>
      </c>
      <c r="Q201">
        <v>183</v>
      </c>
      <c r="R201">
        <v>96</v>
      </c>
      <c r="S201">
        <v>47</v>
      </c>
      <c r="T201">
        <v>236</v>
      </c>
      <c r="U201">
        <v>40</v>
      </c>
      <c r="V201">
        <v>221</v>
      </c>
      <c r="W201">
        <v>0.86</v>
      </c>
      <c r="X201">
        <v>141</v>
      </c>
      <c r="Y201">
        <v>152</v>
      </c>
      <c r="Z201">
        <v>94</v>
      </c>
      <c r="AA201">
        <v>10</v>
      </c>
      <c r="AB201">
        <v>5</v>
      </c>
      <c r="AC201" t="s">
        <v>188</v>
      </c>
      <c r="AD201" t="s">
        <v>184</v>
      </c>
      <c r="AG201" t="s">
        <v>1418</v>
      </c>
      <c r="AH201" t="s">
        <v>1191</v>
      </c>
      <c r="AI201" s="245">
        <v>299.95</v>
      </c>
      <c r="AJ201" t="s">
        <v>2180</v>
      </c>
      <c r="AK201" t="s">
        <v>1418</v>
      </c>
      <c r="AL201" t="s">
        <v>1224</v>
      </c>
      <c r="AM201" s="245">
        <v>319.95999999999998</v>
      </c>
      <c r="AN201" t="s">
        <v>2181</v>
      </c>
      <c r="AO201" t="s">
        <v>1418</v>
      </c>
      <c r="AP201" t="s">
        <v>1421</v>
      </c>
      <c r="AQ201" s="245">
        <v>399.95</v>
      </c>
      <c r="AR201" t="s">
        <v>2182</v>
      </c>
      <c r="AS201" s="226" t="str">
        <f t="shared" si="6"/>
        <v>ARW 96</v>
      </c>
      <c r="AT201" s="203" t="str">
        <f t="shared" si="7"/>
        <v xml:space="preserve"> ArmadaARW 96170 Women's</v>
      </c>
    </row>
    <row r="202" spans="1:46" ht="52.8">
      <c r="A202" t="s">
        <v>155</v>
      </c>
      <c r="B202" t="s">
        <v>156</v>
      </c>
      <c r="C202" t="s">
        <v>257</v>
      </c>
      <c r="D202">
        <v>180</v>
      </c>
      <c r="E202" t="s">
        <v>158</v>
      </c>
      <c r="F202">
        <v>180</v>
      </c>
      <c r="G202">
        <v>179.3</v>
      </c>
      <c r="H202">
        <v>135</v>
      </c>
      <c r="I202">
        <v>146</v>
      </c>
      <c r="J202">
        <v>129</v>
      </c>
      <c r="K202">
        <v>99</v>
      </c>
      <c r="L202">
        <v>119</v>
      </c>
      <c r="M202">
        <v>19.600000000000001</v>
      </c>
      <c r="N202">
        <v>1763</v>
      </c>
      <c r="O202">
        <v>1.0900000000000001</v>
      </c>
      <c r="P202">
        <v>1921</v>
      </c>
      <c r="Q202">
        <v>208</v>
      </c>
      <c r="R202">
        <v>113</v>
      </c>
      <c r="S202">
        <v>45</v>
      </c>
      <c r="T202">
        <v>277</v>
      </c>
      <c r="U202">
        <v>26</v>
      </c>
      <c r="V202">
        <v>168</v>
      </c>
      <c r="W202">
        <v>0.58299999999999996</v>
      </c>
      <c r="X202">
        <v>184</v>
      </c>
      <c r="Y202">
        <v>147</v>
      </c>
      <c r="Z202">
        <v>94</v>
      </c>
      <c r="AA202">
        <v>12</v>
      </c>
      <c r="AB202">
        <v>8.1999999999999993</v>
      </c>
      <c r="AC202" t="s">
        <v>188</v>
      </c>
      <c r="AD202" t="s">
        <v>185</v>
      </c>
      <c r="AG202" t="s">
        <v>1496</v>
      </c>
      <c r="AH202" t="s">
        <v>1405</v>
      </c>
      <c r="AI202" s="245">
        <v>479.99</v>
      </c>
      <c r="AJ202" t="s">
        <v>2183</v>
      </c>
      <c r="AK202" t="s">
        <v>1496</v>
      </c>
      <c r="AL202" t="s">
        <v>1282</v>
      </c>
      <c r="AM202" s="245">
        <v>479.99</v>
      </c>
      <c r="AN202" t="s">
        <v>2184</v>
      </c>
      <c r="AO202" t="s">
        <v>1496</v>
      </c>
      <c r="AP202" t="s">
        <v>1181</v>
      </c>
      <c r="AQ202" s="245">
        <v>479.99</v>
      </c>
      <c r="AR202" t="s">
        <v>2185</v>
      </c>
      <c r="AS202" s="226" t="str">
        <f t="shared" si="6"/>
        <v>Bent Chetler 100</v>
      </c>
      <c r="AT202" s="203" t="str">
        <f t="shared" si="7"/>
        <v xml:space="preserve"> AtomicBent Chetler 100180 Unisex</v>
      </c>
    </row>
    <row r="203" spans="1:46" ht="92.4">
      <c r="A203" t="s">
        <v>155</v>
      </c>
      <c r="B203" t="s">
        <v>167</v>
      </c>
      <c r="C203" t="s">
        <v>430</v>
      </c>
      <c r="D203">
        <v>163</v>
      </c>
      <c r="E203" t="s">
        <v>158</v>
      </c>
      <c r="F203">
        <v>163</v>
      </c>
      <c r="G203">
        <v>162.4</v>
      </c>
      <c r="H203">
        <v>128</v>
      </c>
      <c r="I203">
        <v>133</v>
      </c>
      <c r="J203">
        <v>127</v>
      </c>
      <c r="K203">
        <v>89</v>
      </c>
      <c r="L203">
        <v>109</v>
      </c>
      <c r="M203">
        <v>13.2</v>
      </c>
      <c r="N203">
        <v>1683</v>
      </c>
      <c r="O203">
        <v>0.98</v>
      </c>
      <c r="P203">
        <v>1645</v>
      </c>
      <c r="Q203">
        <v>188</v>
      </c>
      <c r="R203">
        <v>80</v>
      </c>
      <c r="S203">
        <v>46</v>
      </c>
      <c r="T203">
        <v>212</v>
      </c>
      <c r="U203">
        <v>11</v>
      </c>
      <c r="V203">
        <v>129</v>
      </c>
      <c r="W203">
        <v>0.23799999999999999</v>
      </c>
      <c r="X203">
        <v>142</v>
      </c>
      <c r="Y203">
        <v>156</v>
      </c>
      <c r="Z203">
        <v>70</v>
      </c>
      <c r="AA203">
        <v>7</v>
      </c>
      <c r="AB203">
        <v>11.5</v>
      </c>
      <c r="AC203" t="s">
        <v>188</v>
      </c>
      <c r="AG203" t="s">
        <v>2186</v>
      </c>
      <c r="AH203" t="s">
        <v>1224</v>
      </c>
      <c r="AI203" s="245">
        <v>409</v>
      </c>
      <c r="AJ203" t="s">
        <v>2187</v>
      </c>
      <c r="AK203" t="s">
        <v>2186</v>
      </c>
      <c r="AL203" t="s">
        <v>1402</v>
      </c>
      <c r="AM203" s="245">
        <v>549</v>
      </c>
      <c r="AN203" t="s">
        <v>2188</v>
      </c>
      <c r="AO203" t="s">
        <v>2186</v>
      </c>
      <c r="AP203" t="s">
        <v>1566</v>
      </c>
      <c r="AQ203" s="245">
        <v>549.99</v>
      </c>
      <c r="AR203" t="s">
        <v>2189</v>
      </c>
      <c r="AS203" s="226" t="str">
        <f t="shared" si="6"/>
        <v>Kore 90 X</v>
      </c>
      <c r="AT203" s="203" t="str">
        <f t="shared" si="7"/>
        <v xml:space="preserve"> HeadKore 90 X163 Unisex</v>
      </c>
    </row>
    <row r="204" spans="1:46" ht="105.6">
      <c r="A204" t="s">
        <v>155</v>
      </c>
      <c r="B204" t="s">
        <v>218</v>
      </c>
      <c r="C204" t="s">
        <v>254</v>
      </c>
      <c r="D204">
        <v>171</v>
      </c>
      <c r="E204" t="s">
        <v>158</v>
      </c>
      <c r="F204">
        <v>171</v>
      </c>
      <c r="G204">
        <v>170.9</v>
      </c>
      <c r="H204">
        <v>127</v>
      </c>
      <c r="I204">
        <v>135</v>
      </c>
      <c r="J204">
        <v>128</v>
      </c>
      <c r="K204">
        <v>99</v>
      </c>
      <c r="L204">
        <v>115</v>
      </c>
      <c r="M204">
        <v>19.399999999999999</v>
      </c>
      <c r="N204">
        <v>1793</v>
      </c>
      <c r="O204">
        <v>1.03</v>
      </c>
      <c r="P204">
        <v>1849</v>
      </c>
      <c r="Q204">
        <v>192</v>
      </c>
      <c r="R204">
        <v>106</v>
      </c>
      <c r="S204">
        <v>43</v>
      </c>
      <c r="T204">
        <v>252</v>
      </c>
      <c r="U204">
        <v>21</v>
      </c>
      <c r="V204">
        <v>184</v>
      </c>
      <c r="W204">
        <v>0.48799999999999999</v>
      </c>
      <c r="X204">
        <v>185</v>
      </c>
      <c r="Y204">
        <v>176</v>
      </c>
      <c r="Z204">
        <v>67</v>
      </c>
      <c r="AA204">
        <v>8</v>
      </c>
      <c r="AB204">
        <v>10.4</v>
      </c>
      <c r="AC204" t="s">
        <v>188</v>
      </c>
      <c r="AG204" t="s">
        <v>2190</v>
      </c>
      <c r="AH204" t="s">
        <v>1468</v>
      </c>
      <c r="AI204" s="245">
        <v>1029</v>
      </c>
      <c r="AJ204" t="s">
        <v>2191</v>
      </c>
      <c r="AK204" t="s">
        <v>2192</v>
      </c>
      <c r="AL204" t="s">
        <v>1181</v>
      </c>
      <c r="AM204" s="245">
        <v>1039</v>
      </c>
      <c r="AN204" t="s">
        <v>2193</v>
      </c>
      <c r="AO204" t="s">
        <v>2192</v>
      </c>
      <c r="AP204" t="s">
        <v>1244</v>
      </c>
      <c r="AQ204" s="245">
        <v>1039.2</v>
      </c>
      <c r="AR204" t="s">
        <v>2194</v>
      </c>
      <c r="AS204" s="226" t="str">
        <f t="shared" si="6"/>
        <v>Pagoda Piste 100 C2</v>
      </c>
      <c r="AT204" s="203" t="str">
        <f t="shared" si="7"/>
        <v xml:space="preserve"> DPSPagoda Piste 100 C2171 Unisex</v>
      </c>
    </row>
    <row r="205" spans="1:46" ht="52.8">
      <c r="A205" t="s">
        <v>155</v>
      </c>
      <c r="B205" t="s">
        <v>317</v>
      </c>
      <c r="C205" t="s">
        <v>432</v>
      </c>
      <c r="D205">
        <v>188</v>
      </c>
      <c r="E205" t="s">
        <v>158</v>
      </c>
      <c r="F205">
        <v>188</v>
      </c>
      <c r="G205">
        <v>185.8</v>
      </c>
      <c r="H205">
        <v>126</v>
      </c>
      <c r="I205">
        <v>155</v>
      </c>
      <c r="J205">
        <v>133</v>
      </c>
      <c r="K205">
        <v>104</v>
      </c>
      <c r="L205">
        <v>119</v>
      </c>
      <c r="M205">
        <v>25.3</v>
      </c>
      <c r="N205">
        <v>1645</v>
      </c>
      <c r="O205">
        <v>1.27</v>
      </c>
      <c r="P205">
        <v>2096</v>
      </c>
      <c r="Q205">
        <v>265</v>
      </c>
      <c r="R205">
        <v>95</v>
      </c>
      <c r="S205">
        <v>52</v>
      </c>
      <c r="T205">
        <v>333</v>
      </c>
      <c r="U205">
        <v>22</v>
      </c>
      <c r="V205">
        <v>265</v>
      </c>
      <c r="W205">
        <v>0.42499999999999999</v>
      </c>
      <c r="X205">
        <v>160</v>
      </c>
      <c r="Y205">
        <v>145</v>
      </c>
      <c r="Z205">
        <v>173</v>
      </c>
      <c r="AA205">
        <v>4</v>
      </c>
      <c r="AB205">
        <v>9.6</v>
      </c>
      <c r="AC205" t="s">
        <v>188</v>
      </c>
      <c r="AD205" t="s">
        <v>169</v>
      </c>
      <c r="AE205" t="s">
        <v>185</v>
      </c>
      <c r="AF205" t="s">
        <v>198</v>
      </c>
      <c r="AG205" t="s">
        <v>2195</v>
      </c>
      <c r="AH205" t="s">
        <v>1409</v>
      </c>
      <c r="AI205" s="245">
        <v>555.33000000000004</v>
      </c>
      <c r="AJ205" t="s">
        <v>2196</v>
      </c>
      <c r="AK205" t="s">
        <v>2197</v>
      </c>
      <c r="AL205" t="s">
        <v>1181</v>
      </c>
      <c r="AM205" s="245">
        <v>639.95000000000005</v>
      </c>
      <c r="AN205" t="s">
        <v>2198</v>
      </c>
      <c r="AO205" t="s">
        <v>2197</v>
      </c>
      <c r="AP205" t="s">
        <v>1400</v>
      </c>
      <c r="AQ205" s="245">
        <v>639.95000000000005</v>
      </c>
      <c r="AR205" t="s">
        <v>2199</v>
      </c>
      <c r="AS205" s="226" t="str">
        <f t="shared" si="6"/>
        <v>Zero G 105</v>
      </c>
      <c r="AT205" s="203" t="str">
        <f t="shared" si="7"/>
        <v xml:space="preserve"> BlizzardZero G 105188 Unisex</v>
      </c>
    </row>
    <row r="206" spans="1:46" ht="105.6">
      <c r="A206" t="s">
        <v>155</v>
      </c>
      <c r="B206" t="s">
        <v>167</v>
      </c>
      <c r="C206" t="s">
        <v>200</v>
      </c>
      <c r="D206">
        <v>177</v>
      </c>
      <c r="E206" t="s">
        <v>158</v>
      </c>
      <c r="F206">
        <v>177</v>
      </c>
      <c r="G206">
        <v>176.3</v>
      </c>
      <c r="H206">
        <v>138</v>
      </c>
      <c r="I206">
        <v>146</v>
      </c>
      <c r="J206">
        <v>132</v>
      </c>
      <c r="K206">
        <v>92</v>
      </c>
      <c r="L206">
        <v>114</v>
      </c>
      <c r="M206">
        <v>16.399999999999999</v>
      </c>
      <c r="N206">
        <v>1660</v>
      </c>
      <c r="O206">
        <v>1.1100000000000001</v>
      </c>
      <c r="P206">
        <v>1844</v>
      </c>
      <c r="Q206">
        <v>257</v>
      </c>
      <c r="R206">
        <v>119</v>
      </c>
      <c r="S206">
        <v>50</v>
      </c>
      <c r="T206">
        <v>221</v>
      </c>
      <c r="U206">
        <v>15</v>
      </c>
      <c r="V206">
        <v>160</v>
      </c>
      <c r="W206">
        <v>0.29899999999999999</v>
      </c>
      <c r="X206">
        <v>147</v>
      </c>
      <c r="Y206">
        <v>151</v>
      </c>
      <c r="Z206">
        <v>74</v>
      </c>
      <c r="AA206">
        <v>8</v>
      </c>
      <c r="AB206">
        <v>10.199999999999999</v>
      </c>
      <c r="AC206" t="s">
        <v>188</v>
      </c>
      <c r="AD206" t="s">
        <v>185</v>
      </c>
      <c r="AG206" t="s">
        <v>1339</v>
      </c>
      <c r="AH206" t="s">
        <v>1185</v>
      </c>
      <c r="AI206" s="245">
        <v>454.99</v>
      </c>
      <c r="AJ206" t="s">
        <v>2200</v>
      </c>
      <c r="AK206" t="s">
        <v>2201</v>
      </c>
      <c r="AL206" t="s">
        <v>2150</v>
      </c>
      <c r="AM206" s="245">
        <v>459.99</v>
      </c>
      <c r="AN206" t="s">
        <v>2202</v>
      </c>
      <c r="AO206" t="s">
        <v>2203</v>
      </c>
      <c r="AP206" t="s">
        <v>2204</v>
      </c>
      <c r="AQ206" s="245">
        <v>464.99</v>
      </c>
      <c r="AR206" t="s">
        <v>2205</v>
      </c>
      <c r="AS206" s="226" t="str">
        <f t="shared" si="6"/>
        <v>Kore 93</v>
      </c>
      <c r="AT206" s="203" t="str">
        <f t="shared" si="7"/>
        <v xml:space="preserve"> HeadKore 93177 Unisex</v>
      </c>
    </row>
    <row r="207" spans="1:46" ht="52.8">
      <c r="A207" t="s">
        <v>155</v>
      </c>
      <c r="B207" t="s">
        <v>205</v>
      </c>
      <c r="C207" t="s">
        <v>259</v>
      </c>
      <c r="D207">
        <v>183</v>
      </c>
      <c r="E207" t="s">
        <v>158</v>
      </c>
      <c r="F207">
        <v>183</v>
      </c>
      <c r="G207">
        <v>181.1</v>
      </c>
      <c r="H207">
        <v>120</v>
      </c>
      <c r="I207">
        <v>154</v>
      </c>
      <c r="J207">
        <v>131</v>
      </c>
      <c r="K207">
        <v>101</v>
      </c>
      <c r="L207">
        <v>127</v>
      </c>
      <c r="M207">
        <v>20.7</v>
      </c>
      <c r="N207">
        <v>1912</v>
      </c>
      <c r="O207">
        <v>1.06</v>
      </c>
      <c r="P207">
        <v>2023</v>
      </c>
      <c r="Q207">
        <v>245</v>
      </c>
      <c r="R207">
        <v>102</v>
      </c>
      <c r="S207">
        <v>54</v>
      </c>
      <c r="T207">
        <v>320</v>
      </c>
      <c r="U207">
        <v>49</v>
      </c>
      <c r="V207">
        <v>291</v>
      </c>
      <c r="W207">
        <v>0.90900000000000003</v>
      </c>
      <c r="X207">
        <v>143</v>
      </c>
      <c r="Y207">
        <v>130</v>
      </c>
      <c r="Z207">
        <v>177</v>
      </c>
      <c r="AA207">
        <v>6</v>
      </c>
      <c r="AB207">
        <v>4.0999999999999996</v>
      </c>
      <c r="AC207" t="s">
        <v>184</v>
      </c>
      <c r="AD207" t="s">
        <v>169</v>
      </c>
      <c r="AE207" t="s">
        <v>185</v>
      </c>
      <c r="AG207" t="s">
        <v>2206</v>
      </c>
      <c r="AH207" t="s">
        <v>1271</v>
      </c>
      <c r="AI207" s="245">
        <v>669</v>
      </c>
      <c r="AJ207" t="s">
        <v>2207</v>
      </c>
      <c r="AK207" t="s">
        <v>2206</v>
      </c>
      <c r="AL207" t="s">
        <v>1179</v>
      </c>
      <c r="AM207" s="245">
        <v>699</v>
      </c>
      <c r="AN207" t="s">
        <v>2208</v>
      </c>
      <c r="AO207" t="s">
        <v>2209</v>
      </c>
      <c r="AP207" t="s">
        <v>1556</v>
      </c>
      <c r="AQ207" s="245">
        <v>699</v>
      </c>
      <c r="AR207" t="s">
        <v>2210</v>
      </c>
      <c r="AS207" s="226" t="str">
        <f t="shared" si="6"/>
        <v>CT 2.0</v>
      </c>
      <c r="AT207" s="203" t="str">
        <f t="shared" si="7"/>
        <v xml:space="preserve"> FactionCT 2.0183 Unisex</v>
      </c>
    </row>
    <row r="208" spans="1:46" ht="118.8">
      <c r="A208" t="s">
        <v>155</v>
      </c>
      <c r="B208" t="s">
        <v>354</v>
      </c>
      <c r="C208" t="s">
        <v>355</v>
      </c>
      <c r="D208">
        <v>175</v>
      </c>
      <c r="E208" t="s">
        <v>158</v>
      </c>
      <c r="F208">
        <v>175</v>
      </c>
      <c r="G208">
        <v>175.7</v>
      </c>
      <c r="H208">
        <v>128</v>
      </c>
      <c r="I208">
        <v>141</v>
      </c>
      <c r="J208">
        <v>130</v>
      </c>
      <c r="K208">
        <v>97</v>
      </c>
      <c r="L208">
        <v>118</v>
      </c>
      <c r="M208">
        <v>16.8</v>
      </c>
      <c r="N208">
        <v>1856</v>
      </c>
      <c r="O208">
        <v>1.02</v>
      </c>
      <c r="P208">
        <v>1896</v>
      </c>
      <c r="Q208">
        <v>212</v>
      </c>
      <c r="R208">
        <v>85</v>
      </c>
      <c r="S208">
        <v>40</v>
      </c>
      <c r="T208">
        <v>273</v>
      </c>
      <c r="U208">
        <v>22</v>
      </c>
      <c r="V208">
        <v>202</v>
      </c>
      <c r="W208">
        <v>0.56100000000000005</v>
      </c>
      <c r="X208">
        <v>217</v>
      </c>
      <c r="Y208">
        <v>131</v>
      </c>
      <c r="Z208">
        <v>57</v>
      </c>
      <c r="AA208">
        <v>10</v>
      </c>
      <c r="AB208">
        <v>8.5</v>
      </c>
      <c r="AC208" t="s">
        <v>188</v>
      </c>
      <c r="AG208" t="s">
        <v>1831</v>
      </c>
      <c r="AH208" t="s">
        <v>2211</v>
      </c>
      <c r="AI208" s="245">
        <v>559.96</v>
      </c>
      <c r="AJ208" t="s">
        <v>2212</v>
      </c>
      <c r="AK208" t="s">
        <v>2213</v>
      </c>
      <c r="AL208" t="s">
        <v>2214</v>
      </c>
      <c r="AM208" s="245">
        <v>275</v>
      </c>
      <c r="AN208" t="s">
        <v>2215</v>
      </c>
      <c r="AO208" t="s">
        <v>2216</v>
      </c>
      <c r="AP208" t="s">
        <v>1349</v>
      </c>
      <c r="AQ208" s="245">
        <v>384.97</v>
      </c>
      <c r="AR208" t="s">
        <v>2217</v>
      </c>
      <c r="AS208" s="226" t="str">
        <f t="shared" si="6"/>
        <v>Impulse 98</v>
      </c>
      <c r="AT208" s="203" t="str">
        <f t="shared" si="7"/>
        <v xml:space="preserve"> Black DiamondImpulse 98175 Unisex</v>
      </c>
    </row>
    <row r="209" spans="1:46" ht="145.19999999999999">
      <c r="A209" t="s">
        <v>155</v>
      </c>
      <c r="B209" t="s">
        <v>332</v>
      </c>
      <c r="C209" t="s">
        <v>410</v>
      </c>
      <c r="D209">
        <v>172</v>
      </c>
      <c r="E209" t="s">
        <v>163</v>
      </c>
      <c r="F209">
        <v>172</v>
      </c>
      <c r="G209">
        <v>170.6</v>
      </c>
      <c r="H209">
        <v>116</v>
      </c>
      <c r="I209">
        <v>142</v>
      </c>
      <c r="J209">
        <v>135</v>
      </c>
      <c r="K209">
        <v>103</v>
      </c>
      <c r="L209">
        <v>125</v>
      </c>
      <c r="M209">
        <v>16.3</v>
      </c>
      <c r="N209">
        <v>1787</v>
      </c>
      <c r="O209">
        <v>1.0900000000000001</v>
      </c>
      <c r="P209">
        <v>1945</v>
      </c>
      <c r="Q209">
        <v>182</v>
      </c>
      <c r="R209">
        <v>99</v>
      </c>
      <c r="S209">
        <v>62</v>
      </c>
      <c r="T209">
        <v>298</v>
      </c>
      <c r="U209">
        <v>44</v>
      </c>
      <c r="V209">
        <v>248</v>
      </c>
      <c r="W209">
        <v>0.71299999999999997</v>
      </c>
      <c r="X209">
        <v>140</v>
      </c>
      <c r="Y209">
        <v>151</v>
      </c>
      <c r="Z209">
        <v>159</v>
      </c>
      <c r="AA209">
        <v>7</v>
      </c>
      <c r="AB209">
        <v>8.8000000000000007</v>
      </c>
      <c r="AC209" t="s">
        <v>188</v>
      </c>
      <c r="AD209" t="s">
        <v>169</v>
      </c>
      <c r="AE209" t="s">
        <v>185</v>
      </c>
      <c r="AG209" t="s">
        <v>2218</v>
      </c>
      <c r="AH209" t="s">
        <v>1194</v>
      </c>
      <c r="AI209" s="245">
        <v>414</v>
      </c>
      <c r="AJ209" t="s">
        <v>2219</v>
      </c>
      <c r="AK209" t="s">
        <v>2220</v>
      </c>
      <c r="AL209" t="s">
        <v>1320</v>
      </c>
      <c r="AM209" s="245">
        <v>599.99</v>
      </c>
      <c r="AN209" t="s">
        <v>2221</v>
      </c>
      <c r="AO209" t="s">
        <v>2222</v>
      </c>
      <c r="AP209" t="s">
        <v>1181</v>
      </c>
      <c r="AQ209" s="245">
        <v>774.99</v>
      </c>
      <c r="AR209" t="s">
        <v>2223</v>
      </c>
      <c r="AS209" s="226" t="str">
        <f t="shared" si="6"/>
        <v>Santa Ana 104 Free</v>
      </c>
      <c r="AT209" s="203" t="str">
        <f t="shared" si="7"/>
        <v xml:space="preserve"> NordicaSanta Ana 104 Free172 Women's</v>
      </c>
    </row>
    <row r="210" spans="1:46" ht="224.4">
      <c r="A210" t="s">
        <v>155</v>
      </c>
      <c r="B210" t="s">
        <v>208</v>
      </c>
      <c r="C210" t="s">
        <v>435</v>
      </c>
      <c r="D210">
        <v>172</v>
      </c>
      <c r="E210" t="s">
        <v>158</v>
      </c>
      <c r="F210">
        <v>172</v>
      </c>
      <c r="G210">
        <v>171.9</v>
      </c>
      <c r="H210">
        <v>127</v>
      </c>
      <c r="I210">
        <v>146</v>
      </c>
      <c r="J210">
        <v>126</v>
      </c>
      <c r="K210">
        <v>87</v>
      </c>
      <c r="L210">
        <v>112</v>
      </c>
      <c r="M210">
        <v>16.2</v>
      </c>
      <c r="N210">
        <v>1588</v>
      </c>
      <c r="O210">
        <v>1.08</v>
      </c>
      <c r="P210">
        <v>1709</v>
      </c>
      <c r="Q210">
        <v>183</v>
      </c>
      <c r="R210">
        <v>96</v>
      </c>
      <c r="S210">
        <v>44</v>
      </c>
      <c r="T210">
        <v>284</v>
      </c>
      <c r="U210">
        <v>16</v>
      </c>
      <c r="V210">
        <v>160</v>
      </c>
      <c r="W210">
        <v>0.35899999999999999</v>
      </c>
      <c r="X210">
        <v>147</v>
      </c>
      <c r="Y210">
        <v>108</v>
      </c>
      <c r="Z210">
        <v>138</v>
      </c>
      <c r="AA210">
        <v>6</v>
      </c>
      <c r="AB210">
        <v>9.6999999999999993</v>
      </c>
      <c r="AC210" t="s">
        <v>188</v>
      </c>
      <c r="AD210" t="s">
        <v>185</v>
      </c>
      <c r="AG210" t="s">
        <v>2224</v>
      </c>
      <c r="AH210" t="s">
        <v>1240</v>
      </c>
      <c r="AI210" s="245">
        <v>399.95</v>
      </c>
      <c r="AJ210" t="s">
        <v>2225</v>
      </c>
      <c r="AK210" t="s">
        <v>2226</v>
      </c>
      <c r="AL210" t="s">
        <v>1950</v>
      </c>
      <c r="AM210" s="245">
        <v>399.95</v>
      </c>
      <c r="AN210" t="s">
        <v>2227</v>
      </c>
      <c r="AO210" t="s">
        <v>2228</v>
      </c>
      <c r="AP210" t="s">
        <v>2229</v>
      </c>
      <c r="AQ210" s="245">
        <v>200</v>
      </c>
      <c r="AR210" t="s">
        <v>2230</v>
      </c>
      <c r="AS210" s="226" t="str">
        <f t="shared" si="6"/>
        <v>Sick Day 88</v>
      </c>
      <c r="AT210" s="203" t="str">
        <f t="shared" si="7"/>
        <v xml:space="preserve"> LineSick Day 88172 Unisex</v>
      </c>
    </row>
    <row r="211" spans="1:46" ht="52.8">
      <c r="A211" t="s">
        <v>155</v>
      </c>
      <c r="B211" t="s">
        <v>205</v>
      </c>
      <c r="C211" t="s">
        <v>259</v>
      </c>
      <c r="D211">
        <v>178</v>
      </c>
      <c r="E211" t="s">
        <v>158</v>
      </c>
      <c r="F211">
        <v>178</v>
      </c>
      <c r="G211">
        <v>176.1</v>
      </c>
      <c r="H211">
        <v>119</v>
      </c>
      <c r="I211">
        <v>147</v>
      </c>
      <c r="J211">
        <v>131</v>
      </c>
      <c r="K211">
        <v>102</v>
      </c>
      <c r="L211">
        <v>127</v>
      </c>
      <c r="M211">
        <v>19.399999999999999</v>
      </c>
      <c r="N211">
        <v>1905</v>
      </c>
      <c r="O211">
        <v>1.03</v>
      </c>
      <c r="P211">
        <v>1969</v>
      </c>
      <c r="Q211">
        <v>227</v>
      </c>
      <c r="R211">
        <v>97</v>
      </c>
      <c r="S211">
        <v>55</v>
      </c>
      <c r="T211">
        <v>302</v>
      </c>
      <c r="U211">
        <v>49</v>
      </c>
      <c r="V211">
        <v>270</v>
      </c>
      <c r="W211">
        <v>0.89099999999999902</v>
      </c>
      <c r="X211">
        <v>149</v>
      </c>
      <c r="Y211">
        <v>141</v>
      </c>
      <c r="Z211">
        <v>153</v>
      </c>
      <c r="AA211">
        <v>7</v>
      </c>
      <c r="AB211">
        <v>4.5999999999999996</v>
      </c>
      <c r="AC211" t="s">
        <v>184</v>
      </c>
      <c r="AD211" t="s">
        <v>169</v>
      </c>
      <c r="AG211" t="s">
        <v>2206</v>
      </c>
      <c r="AH211" t="s">
        <v>1262</v>
      </c>
      <c r="AI211" s="245">
        <v>554.20000000000005</v>
      </c>
      <c r="AJ211" t="s">
        <v>2231</v>
      </c>
      <c r="AK211" t="s">
        <v>2232</v>
      </c>
      <c r="AL211" t="s">
        <v>1248</v>
      </c>
      <c r="AM211" s="245">
        <v>639.20000000000005</v>
      </c>
      <c r="AN211" t="s">
        <v>2233</v>
      </c>
      <c r="AO211" t="s">
        <v>2206</v>
      </c>
      <c r="AP211" t="s">
        <v>1179</v>
      </c>
      <c r="AQ211" s="245">
        <v>699</v>
      </c>
      <c r="AR211" t="s">
        <v>2234</v>
      </c>
      <c r="AS211" s="226" t="str">
        <f t="shared" si="6"/>
        <v>CT 2.0</v>
      </c>
      <c r="AT211" s="203" t="str">
        <f t="shared" si="7"/>
        <v xml:space="preserve"> FactionCT 2.0178 Unisex</v>
      </c>
    </row>
    <row r="212" spans="1:46" ht="409.6">
      <c r="A212" t="s">
        <v>155</v>
      </c>
      <c r="B212" t="s">
        <v>205</v>
      </c>
      <c r="C212" t="s">
        <v>436</v>
      </c>
      <c r="D212">
        <v>162</v>
      </c>
      <c r="E212" t="s">
        <v>163</v>
      </c>
      <c r="F212">
        <v>162</v>
      </c>
      <c r="G212">
        <v>160.30000000000001</v>
      </c>
      <c r="H212">
        <v>122</v>
      </c>
      <c r="I212">
        <v>136</v>
      </c>
      <c r="J212">
        <v>120</v>
      </c>
      <c r="K212">
        <v>86</v>
      </c>
      <c r="L212">
        <v>110</v>
      </c>
      <c r="M212">
        <v>15</v>
      </c>
      <c r="N212">
        <v>1574</v>
      </c>
      <c r="O212">
        <v>0.99</v>
      </c>
      <c r="P212">
        <v>1561</v>
      </c>
      <c r="Q212">
        <v>190</v>
      </c>
      <c r="R212">
        <v>116</v>
      </c>
      <c r="S212">
        <v>50</v>
      </c>
      <c r="T212">
        <v>230</v>
      </c>
      <c r="U212">
        <v>20</v>
      </c>
      <c r="V212">
        <v>150</v>
      </c>
      <c r="W212">
        <v>0.40399999999999903</v>
      </c>
      <c r="X212">
        <v>154</v>
      </c>
      <c r="Y212">
        <v>88</v>
      </c>
      <c r="Z212">
        <v>76</v>
      </c>
      <c r="AA212">
        <v>6</v>
      </c>
      <c r="AB212">
        <v>9.4</v>
      </c>
      <c r="AC212" t="s">
        <v>188</v>
      </c>
      <c r="AG212" t="s">
        <v>2235</v>
      </c>
      <c r="AH212" t="s">
        <v>1349</v>
      </c>
      <c r="AI212" s="245">
        <v>439.98</v>
      </c>
      <c r="AJ212" t="s">
        <v>2236</v>
      </c>
      <c r="AK212" t="s">
        <v>2237</v>
      </c>
      <c r="AL212" t="s">
        <v>1667</v>
      </c>
      <c r="AM212" s="245">
        <v>499</v>
      </c>
      <c r="AN212" t="s">
        <v>2238</v>
      </c>
      <c r="AO212" t="s">
        <v>2239</v>
      </c>
      <c r="AP212" t="s">
        <v>1248</v>
      </c>
      <c r="AQ212" s="245">
        <v>575.20000000000005</v>
      </c>
      <c r="AR212" t="s">
        <v>2240</v>
      </c>
      <c r="AS212" s="226" t="str">
        <f t="shared" si="6"/>
        <v>Dictator 1.0 X</v>
      </c>
      <c r="AT212" s="203" t="str">
        <f t="shared" si="7"/>
        <v xml:space="preserve"> FactionDictator 1.0 X162 Women's</v>
      </c>
    </row>
    <row r="213" spans="1:46" ht="105.6">
      <c r="A213" t="s">
        <v>155</v>
      </c>
      <c r="B213" t="s">
        <v>1395</v>
      </c>
      <c r="C213" t="s">
        <v>437</v>
      </c>
      <c r="D213">
        <v>163</v>
      </c>
      <c r="E213" t="s">
        <v>158</v>
      </c>
      <c r="F213">
        <v>163</v>
      </c>
      <c r="G213">
        <v>163.4</v>
      </c>
      <c r="H213">
        <v>106</v>
      </c>
      <c r="I213">
        <v>140</v>
      </c>
      <c r="J213">
        <v>128</v>
      </c>
      <c r="K213">
        <v>87</v>
      </c>
      <c r="L213">
        <v>110</v>
      </c>
      <c r="M213">
        <v>14.6</v>
      </c>
      <c r="N213">
        <v>1722</v>
      </c>
      <c r="O213">
        <v>0.95</v>
      </c>
      <c r="P213">
        <v>1637</v>
      </c>
      <c r="Q213">
        <v>202</v>
      </c>
      <c r="R213">
        <v>128</v>
      </c>
      <c r="S213">
        <v>40</v>
      </c>
      <c r="T213">
        <v>345</v>
      </c>
      <c r="U213">
        <v>17</v>
      </c>
      <c r="V213">
        <v>228</v>
      </c>
      <c r="W213">
        <v>0.41599999999999998</v>
      </c>
      <c r="X213">
        <v>130</v>
      </c>
      <c r="Y213">
        <v>106</v>
      </c>
      <c r="Z213">
        <v>215</v>
      </c>
      <c r="AA213">
        <v>3</v>
      </c>
      <c r="AB213">
        <v>11.8</v>
      </c>
      <c r="AC213" t="s">
        <v>188</v>
      </c>
      <c r="AG213" t="s">
        <v>2241</v>
      </c>
      <c r="AH213" t="s">
        <v>1349</v>
      </c>
      <c r="AI213" s="245">
        <v>622.53</v>
      </c>
      <c r="AJ213" t="s">
        <v>2242</v>
      </c>
      <c r="AK213" t="s">
        <v>2243</v>
      </c>
      <c r="AL213" t="s">
        <v>1232</v>
      </c>
      <c r="AM213" s="245">
        <v>649.95000000000005</v>
      </c>
      <c r="AN213" t="s">
        <v>2244</v>
      </c>
      <c r="AO213" t="s">
        <v>2245</v>
      </c>
      <c r="AP213" t="s">
        <v>1416</v>
      </c>
      <c r="AQ213" s="245">
        <v>649.99</v>
      </c>
      <c r="AR213" t="s">
        <v>2246</v>
      </c>
      <c r="AS213" s="226" t="str">
        <f t="shared" si="6"/>
        <v>Kendo 88</v>
      </c>
      <c r="AT213" s="203" t="str">
        <f t="shared" si="7"/>
        <v xml:space="preserve"> Vï¿½lklKendo 88163 Unisex</v>
      </c>
    </row>
    <row r="214" spans="1:46" ht="92.4">
      <c r="A214" t="s">
        <v>155</v>
      </c>
      <c r="B214" t="s">
        <v>156</v>
      </c>
      <c r="C214" t="s">
        <v>257</v>
      </c>
      <c r="D214">
        <v>164</v>
      </c>
      <c r="E214" t="s">
        <v>158</v>
      </c>
      <c r="F214">
        <v>164</v>
      </c>
      <c r="G214">
        <v>163.4</v>
      </c>
      <c r="H214">
        <v>115</v>
      </c>
      <c r="I214">
        <v>129</v>
      </c>
      <c r="J214">
        <v>127</v>
      </c>
      <c r="K214">
        <v>99</v>
      </c>
      <c r="L214">
        <v>117</v>
      </c>
      <c r="M214">
        <v>16.3</v>
      </c>
      <c r="N214">
        <v>1568</v>
      </c>
      <c r="O214">
        <v>1.1100000000000001</v>
      </c>
      <c r="P214">
        <v>1733</v>
      </c>
      <c r="Q214">
        <v>165</v>
      </c>
      <c r="R214">
        <v>99</v>
      </c>
      <c r="S214">
        <v>48</v>
      </c>
      <c r="T214">
        <v>297</v>
      </c>
      <c r="U214">
        <v>30</v>
      </c>
      <c r="V214">
        <v>187</v>
      </c>
      <c r="W214">
        <v>0.61899999999999999</v>
      </c>
      <c r="X214">
        <v>187</v>
      </c>
      <c r="Y214">
        <v>160</v>
      </c>
      <c r="Z214">
        <v>110</v>
      </c>
      <c r="AA214">
        <v>8</v>
      </c>
      <c r="AB214">
        <v>7.9</v>
      </c>
      <c r="AC214" t="s">
        <v>188</v>
      </c>
      <c r="AD214" t="s">
        <v>185</v>
      </c>
      <c r="AG214" t="s">
        <v>2247</v>
      </c>
      <c r="AH214" t="s">
        <v>1204</v>
      </c>
      <c r="AI214" s="245">
        <v>400.99</v>
      </c>
      <c r="AJ214" t="s">
        <v>2248</v>
      </c>
      <c r="AK214" t="s">
        <v>2249</v>
      </c>
      <c r="AL214" t="s">
        <v>1181</v>
      </c>
      <c r="AM214" s="245">
        <v>479.99</v>
      </c>
      <c r="AN214" t="s">
        <v>2250</v>
      </c>
      <c r="AO214" t="s">
        <v>2249</v>
      </c>
      <c r="AP214" t="s">
        <v>1282</v>
      </c>
      <c r="AQ214" s="245">
        <v>479.99</v>
      </c>
      <c r="AR214" t="s">
        <v>2251</v>
      </c>
      <c r="AS214" s="226" t="str">
        <f t="shared" si="6"/>
        <v>Bent Chetler 100</v>
      </c>
      <c r="AT214" s="203" t="str">
        <f t="shared" si="7"/>
        <v xml:space="preserve"> AtomicBent Chetler 100164 Unisex</v>
      </c>
    </row>
    <row r="215" spans="1:46" ht="118.8">
      <c r="A215" t="s">
        <v>155</v>
      </c>
      <c r="B215" t="s">
        <v>245</v>
      </c>
      <c r="C215" t="s">
        <v>291</v>
      </c>
      <c r="D215">
        <v>155</v>
      </c>
      <c r="E215" t="s">
        <v>163</v>
      </c>
      <c r="F215">
        <v>155</v>
      </c>
      <c r="G215">
        <v>154.1</v>
      </c>
      <c r="H215">
        <v>109</v>
      </c>
      <c r="I215">
        <v>131</v>
      </c>
      <c r="J215">
        <v>120</v>
      </c>
      <c r="K215">
        <v>87</v>
      </c>
      <c r="L215">
        <v>109</v>
      </c>
      <c r="M215">
        <v>13.1</v>
      </c>
      <c r="N215">
        <v>1530</v>
      </c>
      <c r="O215">
        <v>1</v>
      </c>
      <c r="P215">
        <v>1525</v>
      </c>
      <c r="Q215">
        <v>179</v>
      </c>
      <c r="R215">
        <v>111</v>
      </c>
      <c r="S215">
        <v>48</v>
      </c>
      <c r="T215">
        <v>288</v>
      </c>
      <c r="U215">
        <v>15</v>
      </c>
      <c r="V215">
        <v>160</v>
      </c>
      <c r="W215">
        <v>0.308</v>
      </c>
      <c r="X215">
        <v>114</v>
      </c>
      <c r="Y215">
        <v>119</v>
      </c>
      <c r="Z215">
        <v>173</v>
      </c>
      <c r="AA215">
        <v>2</v>
      </c>
      <c r="AB215">
        <v>10.1</v>
      </c>
      <c r="AC215" t="s">
        <v>188</v>
      </c>
      <c r="AG215" t="s">
        <v>2252</v>
      </c>
      <c r="AH215" t="s">
        <v>1601</v>
      </c>
      <c r="AI215" s="245">
        <v>649.95000000000005</v>
      </c>
      <c r="AJ215" t="s">
        <v>2253</v>
      </c>
      <c r="AK215" t="s">
        <v>2254</v>
      </c>
      <c r="AL215" t="s">
        <v>2255</v>
      </c>
      <c r="AM215" s="245">
        <v>429.99</v>
      </c>
      <c r="AN215" t="s">
        <v>2256</v>
      </c>
      <c r="AO215" t="s">
        <v>2254</v>
      </c>
      <c r="AP215" t="s">
        <v>2257</v>
      </c>
      <c r="AQ215" s="245">
        <v>479.99</v>
      </c>
      <c r="AR215" t="s">
        <v>2258</v>
      </c>
      <c r="AS215" s="226" t="str">
        <f t="shared" si="6"/>
        <v>Ranger 92 Ti W</v>
      </c>
      <c r="AT215" s="203" t="str">
        <f t="shared" si="7"/>
        <v xml:space="preserve"> FischerRanger 92 Ti W155 Women's</v>
      </c>
    </row>
    <row r="216" spans="1:46" ht="118.8">
      <c r="A216" t="s">
        <v>155</v>
      </c>
      <c r="B216" t="s">
        <v>174</v>
      </c>
      <c r="C216" t="s">
        <v>438</v>
      </c>
      <c r="D216">
        <v>167</v>
      </c>
      <c r="E216" t="s">
        <v>158</v>
      </c>
      <c r="F216">
        <v>167</v>
      </c>
      <c r="G216">
        <v>166.8</v>
      </c>
      <c r="H216">
        <v>105</v>
      </c>
      <c r="I216">
        <v>135</v>
      </c>
      <c r="J216">
        <v>136</v>
      </c>
      <c r="K216">
        <v>104</v>
      </c>
      <c r="L216">
        <v>122</v>
      </c>
      <c r="M216">
        <v>18.100000000000001</v>
      </c>
      <c r="N216">
        <v>1881</v>
      </c>
      <c r="O216">
        <v>1.02</v>
      </c>
      <c r="P216">
        <v>1912</v>
      </c>
      <c r="Q216">
        <v>174</v>
      </c>
      <c r="R216">
        <v>83</v>
      </c>
      <c r="S216">
        <v>59</v>
      </c>
      <c r="T216">
        <v>353</v>
      </c>
      <c r="U216">
        <v>22</v>
      </c>
      <c r="V216">
        <v>262</v>
      </c>
      <c r="W216">
        <v>0.36799999999999999</v>
      </c>
      <c r="X216">
        <v>189</v>
      </c>
      <c r="Y216">
        <v>124</v>
      </c>
      <c r="Z216">
        <v>164</v>
      </c>
      <c r="AA216">
        <v>6</v>
      </c>
      <c r="AB216">
        <v>9.3000000000000007</v>
      </c>
      <c r="AC216" t="s">
        <v>188</v>
      </c>
      <c r="AD216" t="s">
        <v>169</v>
      </c>
      <c r="AE216" t="s">
        <v>178</v>
      </c>
      <c r="AG216" t="s">
        <v>2259</v>
      </c>
      <c r="AH216" t="s">
        <v>1688</v>
      </c>
      <c r="AI216" s="245">
        <v>398.15</v>
      </c>
      <c r="AJ216" t="s">
        <v>2260</v>
      </c>
      <c r="AK216" t="s">
        <v>2261</v>
      </c>
      <c r="AL216" t="s">
        <v>1242</v>
      </c>
      <c r="AM216" s="245">
        <v>399.99</v>
      </c>
      <c r="AN216" t="s">
        <v>2262</v>
      </c>
      <c r="AO216" t="s">
        <v>2263</v>
      </c>
      <c r="AP216" t="s">
        <v>1337</v>
      </c>
      <c r="AQ216" s="245">
        <v>459.99</v>
      </c>
      <c r="AR216" t="s">
        <v>2264</v>
      </c>
      <c r="AS216" s="226" t="str">
        <f t="shared" si="6"/>
        <v>QST 106</v>
      </c>
      <c r="AT216" s="203" t="str">
        <f t="shared" si="7"/>
        <v xml:space="preserve"> SalomonQST 106167 Unisex</v>
      </c>
    </row>
    <row r="217" spans="1:46" ht="66">
      <c r="A217" t="s">
        <v>155</v>
      </c>
      <c r="B217" t="s">
        <v>245</v>
      </c>
      <c r="C217" t="s">
        <v>337</v>
      </c>
      <c r="D217">
        <v>184</v>
      </c>
      <c r="E217" t="s">
        <v>163</v>
      </c>
      <c r="F217">
        <v>184</v>
      </c>
      <c r="G217">
        <v>184.2</v>
      </c>
      <c r="H217">
        <v>125</v>
      </c>
      <c r="I217">
        <v>152</v>
      </c>
      <c r="J217">
        <v>137</v>
      </c>
      <c r="K217">
        <v>102</v>
      </c>
      <c r="L217">
        <v>127</v>
      </c>
      <c r="M217">
        <v>16.100000000000001</v>
      </c>
      <c r="N217">
        <v>1930</v>
      </c>
      <c r="O217">
        <v>1.1000000000000001</v>
      </c>
      <c r="P217">
        <v>2127</v>
      </c>
      <c r="Q217">
        <v>230</v>
      </c>
      <c r="R217">
        <v>108</v>
      </c>
      <c r="S217">
        <v>51</v>
      </c>
      <c r="T217">
        <v>396</v>
      </c>
      <c r="U217">
        <v>28</v>
      </c>
      <c r="V217">
        <v>199</v>
      </c>
      <c r="W217">
        <v>0.55200000000000005</v>
      </c>
      <c r="X217">
        <v>156</v>
      </c>
      <c r="Y217">
        <v>168</v>
      </c>
      <c r="Z217">
        <v>240</v>
      </c>
      <c r="AA217">
        <v>5</v>
      </c>
      <c r="AB217">
        <v>10</v>
      </c>
      <c r="AC217" t="s">
        <v>188</v>
      </c>
      <c r="AD217" t="s">
        <v>169</v>
      </c>
      <c r="AE217" t="s">
        <v>185</v>
      </c>
      <c r="AG217" t="s">
        <v>2265</v>
      </c>
      <c r="AH217" t="s">
        <v>1204</v>
      </c>
      <c r="AI217" s="245">
        <v>521.29</v>
      </c>
      <c r="AJ217" t="s">
        <v>2266</v>
      </c>
      <c r="AK217" t="s">
        <v>1506</v>
      </c>
      <c r="AL217" t="s">
        <v>1271</v>
      </c>
      <c r="AM217" s="245">
        <v>659.93</v>
      </c>
      <c r="AN217" t="s">
        <v>2267</v>
      </c>
      <c r="AO217" t="s">
        <v>1506</v>
      </c>
      <c r="AP217" t="s">
        <v>1450</v>
      </c>
      <c r="AQ217" s="245">
        <v>699.99</v>
      </c>
      <c r="AR217" t="s">
        <v>2268</v>
      </c>
      <c r="AS217" s="226" t="str">
        <f t="shared" si="6"/>
        <v>Ranger 102 FR W</v>
      </c>
      <c r="AT217" s="203" t="str">
        <f t="shared" si="7"/>
        <v xml:space="preserve"> FischerRanger 102 FR W184 Women's</v>
      </c>
    </row>
    <row r="218" spans="1:46" ht="52.8">
      <c r="A218" t="s">
        <v>155</v>
      </c>
      <c r="B218" t="s">
        <v>182</v>
      </c>
      <c r="C218" t="s">
        <v>440</v>
      </c>
      <c r="D218">
        <v>164</v>
      </c>
      <c r="E218" t="s">
        <v>163</v>
      </c>
      <c r="F218">
        <v>164</v>
      </c>
      <c r="G218">
        <v>163.6</v>
      </c>
      <c r="H218">
        <v>126</v>
      </c>
      <c r="I218">
        <v>143</v>
      </c>
      <c r="J218">
        <v>129</v>
      </c>
      <c r="K218">
        <v>91</v>
      </c>
      <c r="L218">
        <v>114</v>
      </c>
      <c r="M218">
        <v>16.399999999999999</v>
      </c>
      <c r="N218">
        <v>1610</v>
      </c>
      <c r="O218">
        <v>1.05</v>
      </c>
      <c r="P218">
        <v>1687</v>
      </c>
      <c r="Q218">
        <v>203</v>
      </c>
      <c r="R218">
        <v>125</v>
      </c>
      <c r="S218">
        <v>40</v>
      </c>
      <c r="T218">
        <v>229</v>
      </c>
      <c r="U218">
        <v>17</v>
      </c>
      <c r="V218">
        <v>146</v>
      </c>
      <c r="W218">
        <v>0.41699999999999998</v>
      </c>
      <c r="X218">
        <v>130</v>
      </c>
      <c r="Y218">
        <v>78</v>
      </c>
      <c r="Z218">
        <v>99</v>
      </c>
      <c r="AA218">
        <v>8</v>
      </c>
      <c r="AB218">
        <v>9.9</v>
      </c>
      <c r="AC218" t="s">
        <v>188</v>
      </c>
      <c r="AG218" t="s">
        <v>2269</v>
      </c>
      <c r="AH218" t="s">
        <v>1191</v>
      </c>
      <c r="AI218" s="245">
        <v>424.95</v>
      </c>
      <c r="AJ218" t="s">
        <v>2270</v>
      </c>
      <c r="AK218" t="s">
        <v>2269</v>
      </c>
      <c r="AL218" t="s">
        <v>1256</v>
      </c>
      <c r="AM218" s="245">
        <v>427.45</v>
      </c>
      <c r="AN218" t="s">
        <v>2271</v>
      </c>
      <c r="AO218" t="s">
        <v>2269</v>
      </c>
      <c r="AP218" t="s">
        <v>1271</v>
      </c>
      <c r="AQ218" s="245">
        <v>519.95000000000005</v>
      </c>
      <c r="AR218" t="s">
        <v>2272</v>
      </c>
      <c r="AS218" s="226" t="str">
        <f t="shared" si="6"/>
        <v>Reliance 92 Ti</v>
      </c>
      <c r="AT218" s="203" t="str">
        <f t="shared" si="7"/>
        <v xml:space="preserve"> ArmadaReliance 92 Ti164 Women's</v>
      </c>
    </row>
    <row r="219" spans="1:46" ht="92.4">
      <c r="A219" t="s">
        <v>155</v>
      </c>
      <c r="B219" t="s">
        <v>172</v>
      </c>
      <c r="C219" t="s">
        <v>442</v>
      </c>
      <c r="D219">
        <v>162</v>
      </c>
      <c r="E219" t="s">
        <v>163</v>
      </c>
      <c r="F219">
        <v>162</v>
      </c>
      <c r="G219">
        <v>162.69999999999999</v>
      </c>
      <c r="H219">
        <v>111</v>
      </c>
      <c r="I219">
        <v>136</v>
      </c>
      <c r="J219">
        <v>136</v>
      </c>
      <c r="K219">
        <v>100</v>
      </c>
      <c r="L219">
        <v>127</v>
      </c>
      <c r="M219">
        <v>13</v>
      </c>
      <c r="N219">
        <v>1690</v>
      </c>
      <c r="O219">
        <v>1.0900000000000001</v>
      </c>
      <c r="P219">
        <v>1839</v>
      </c>
      <c r="Q219">
        <v>200</v>
      </c>
      <c r="R219">
        <v>97</v>
      </c>
      <c r="S219">
        <v>48</v>
      </c>
      <c r="T219">
        <v>297</v>
      </c>
      <c r="U219">
        <v>14</v>
      </c>
      <c r="V219">
        <v>223</v>
      </c>
      <c r="W219">
        <v>0.28999999999999998</v>
      </c>
      <c r="X219">
        <v>161</v>
      </c>
      <c r="Y219">
        <v>107</v>
      </c>
      <c r="Z219">
        <v>136</v>
      </c>
      <c r="AA219">
        <v>5</v>
      </c>
      <c r="AB219">
        <v>6.3</v>
      </c>
      <c r="AC219" t="s">
        <v>188</v>
      </c>
      <c r="AD219" t="s">
        <v>178</v>
      </c>
      <c r="AE219" t="s">
        <v>185</v>
      </c>
      <c r="AG219" t="s">
        <v>2273</v>
      </c>
      <c r="AH219" t="s">
        <v>1194</v>
      </c>
      <c r="AI219" s="245">
        <v>414</v>
      </c>
      <c r="AJ219" t="s">
        <v>2274</v>
      </c>
      <c r="AK219" t="s">
        <v>2275</v>
      </c>
      <c r="AL219" t="s">
        <v>1204</v>
      </c>
      <c r="AM219" s="245">
        <v>521.29</v>
      </c>
      <c r="AN219" t="s">
        <v>2276</v>
      </c>
      <c r="AO219" t="s">
        <v>2273</v>
      </c>
      <c r="AP219" t="s">
        <v>1282</v>
      </c>
      <c r="AQ219" s="245">
        <v>559.96</v>
      </c>
      <c r="AR219" t="s">
        <v>2277</v>
      </c>
      <c r="AS219" s="226" t="str">
        <f t="shared" si="6"/>
        <v>Blackops Rallybird W</v>
      </c>
      <c r="AT219" s="203" t="str">
        <f t="shared" si="7"/>
        <v xml:space="preserve"> RossignolBlackops Rallybird W162 Women's</v>
      </c>
    </row>
    <row r="220" spans="1:46" ht="79.2">
      <c r="A220" t="s">
        <v>155</v>
      </c>
      <c r="B220" t="s">
        <v>218</v>
      </c>
      <c r="C220" t="s">
        <v>250</v>
      </c>
      <c r="D220">
        <v>171</v>
      </c>
      <c r="E220" t="s">
        <v>158</v>
      </c>
      <c r="F220">
        <v>171</v>
      </c>
      <c r="G220">
        <v>169.4</v>
      </c>
      <c r="H220">
        <v>123</v>
      </c>
      <c r="I220">
        <v>131</v>
      </c>
      <c r="J220">
        <v>134</v>
      </c>
      <c r="K220">
        <v>106</v>
      </c>
      <c r="L220">
        <v>119</v>
      </c>
      <c r="M220">
        <v>19</v>
      </c>
      <c r="N220">
        <v>1843</v>
      </c>
      <c r="O220">
        <v>1.05</v>
      </c>
      <c r="P220">
        <v>1938</v>
      </c>
      <c r="Q220">
        <v>209</v>
      </c>
      <c r="R220">
        <v>116</v>
      </c>
      <c r="S220">
        <v>34</v>
      </c>
      <c r="T220">
        <v>261</v>
      </c>
      <c r="U220">
        <v>21</v>
      </c>
      <c r="V220">
        <v>203</v>
      </c>
      <c r="W220">
        <v>0.60699999999999998</v>
      </c>
      <c r="X220">
        <v>199</v>
      </c>
      <c r="Y220">
        <v>188</v>
      </c>
      <c r="Z220">
        <v>62</v>
      </c>
      <c r="AA220">
        <v>9</v>
      </c>
      <c r="AB220">
        <v>10.6</v>
      </c>
      <c r="AC220" t="s">
        <v>169</v>
      </c>
      <c r="AD220" t="s">
        <v>185</v>
      </c>
      <c r="AG220" t="s">
        <v>2278</v>
      </c>
      <c r="AH220" t="s">
        <v>1468</v>
      </c>
      <c r="AI220" s="245">
        <v>1029</v>
      </c>
      <c r="AJ220" t="s">
        <v>2279</v>
      </c>
      <c r="AK220" t="s">
        <v>2280</v>
      </c>
      <c r="AL220" t="s">
        <v>1471</v>
      </c>
      <c r="AM220" s="245">
        <v>1039.2</v>
      </c>
      <c r="AN220" t="s">
        <v>2281</v>
      </c>
      <c r="AO220" t="s">
        <v>2282</v>
      </c>
      <c r="AP220" t="s">
        <v>1309</v>
      </c>
      <c r="AQ220" s="245">
        <v>1039.2</v>
      </c>
      <c r="AR220" t="s">
        <v>2283</v>
      </c>
      <c r="AS220" s="226" t="str">
        <f t="shared" si="6"/>
        <v>Pagoda 106 C2</v>
      </c>
      <c r="AT220" s="203" t="str">
        <f t="shared" si="7"/>
        <v xml:space="preserve"> DPSPagoda 106 C2171 Unisex</v>
      </c>
    </row>
    <row r="221" spans="1:46" ht="92.4">
      <c r="A221" t="s">
        <v>155</v>
      </c>
      <c r="B221" t="s">
        <v>215</v>
      </c>
      <c r="C221" t="s">
        <v>281</v>
      </c>
      <c r="D221">
        <v>182</v>
      </c>
      <c r="E221" t="s">
        <v>158</v>
      </c>
      <c r="F221">
        <v>182</v>
      </c>
      <c r="G221">
        <v>180.8</v>
      </c>
      <c r="H221">
        <v>123</v>
      </c>
      <c r="I221">
        <v>151</v>
      </c>
      <c r="J221">
        <v>129</v>
      </c>
      <c r="K221">
        <v>96</v>
      </c>
      <c r="L221">
        <v>117</v>
      </c>
      <c r="M221">
        <v>18.7</v>
      </c>
      <c r="N221">
        <v>1860</v>
      </c>
      <c r="O221">
        <v>1.03</v>
      </c>
      <c r="P221">
        <v>1919</v>
      </c>
      <c r="Q221">
        <v>205</v>
      </c>
      <c r="R221">
        <v>97</v>
      </c>
      <c r="S221">
        <v>47</v>
      </c>
      <c r="T221">
        <v>332</v>
      </c>
      <c r="U221">
        <v>30</v>
      </c>
      <c r="V221">
        <v>243</v>
      </c>
      <c r="W221">
        <v>0.64599999999999902</v>
      </c>
      <c r="X221">
        <v>136</v>
      </c>
      <c r="Y221">
        <v>164</v>
      </c>
      <c r="Z221">
        <v>195</v>
      </c>
      <c r="AA221">
        <v>6</v>
      </c>
      <c r="AB221">
        <v>8.6</v>
      </c>
      <c r="AC221" t="s">
        <v>188</v>
      </c>
      <c r="AG221" t="s">
        <v>2284</v>
      </c>
      <c r="AH221" t="s">
        <v>1807</v>
      </c>
      <c r="AI221" s="245">
        <v>549.91</v>
      </c>
      <c r="AJ221" t="s">
        <v>2285</v>
      </c>
      <c r="AK221" t="s">
        <v>2286</v>
      </c>
      <c r="AL221" t="s">
        <v>1566</v>
      </c>
      <c r="AM221" s="245">
        <v>599.95000000000005</v>
      </c>
      <c r="AN221" t="s">
        <v>2287</v>
      </c>
      <c r="AO221" t="s">
        <v>2288</v>
      </c>
      <c r="AP221" t="s">
        <v>1240</v>
      </c>
      <c r="AQ221" s="245">
        <v>629</v>
      </c>
      <c r="AR221" t="s">
        <v>2289</v>
      </c>
      <c r="AS221" s="226" t="str">
        <f t="shared" si="6"/>
        <v>Origin 96</v>
      </c>
      <c r="AT221" s="203" t="str">
        <f t="shared" si="7"/>
        <v xml:space="preserve"> LibertyOrigin 96182 Unisex</v>
      </c>
    </row>
    <row r="222" spans="1:46" ht="118.8">
      <c r="A222" t="s">
        <v>155</v>
      </c>
      <c r="B222" t="s">
        <v>174</v>
      </c>
      <c r="C222" t="s">
        <v>283</v>
      </c>
      <c r="D222">
        <v>153</v>
      </c>
      <c r="E222" t="s">
        <v>158</v>
      </c>
      <c r="F222">
        <v>153</v>
      </c>
      <c r="G222">
        <v>151.9</v>
      </c>
      <c r="H222">
        <v>112</v>
      </c>
      <c r="I222">
        <v>127</v>
      </c>
      <c r="J222">
        <v>128</v>
      </c>
      <c r="K222">
        <v>91</v>
      </c>
      <c r="L222">
        <v>111</v>
      </c>
      <c r="M222">
        <v>12.7</v>
      </c>
      <c r="N222">
        <v>1579</v>
      </c>
      <c r="O222">
        <v>0.99</v>
      </c>
      <c r="P222">
        <v>1571</v>
      </c>
      <c r="Q222">
        <v>172</v>
      </c>
      <c r="R222">
        <v>84</v>
      </c>
      <c r="S222">
        <v>54</v>
      </c>
      <c r="T222">
        <v>254</v>
      </c>
      <c r="U222">
        <v>16</v>
      </c>
      <c r="V222">
        <v>147</v>
      </c>
      <c r="W222">
        <v>0.30099999999999999</v>
      </c>
      <c r="X222">
        <v>131</v>
      </c>
      <c r="Y222">
        <v>118</v>
      </c>
      <c r="Z222">
        <v>123</v>
      </c>
      <c r="AA222">
        <v>6</v>
      </c>
      <c r="AB222">
        <v>8.5</v>
      </c>
      <c r="AC222" t="s">
        <v>188</v>
      </c>
      <c r="AG222" t="s">
        <v>2290</v>
      </c>
      <c r="AH222" t="s">
        <v>2291</v>
      </c>
      <c r="AI222" s="245">
        <v>299.95</v>
      </c>
      <c r="AJ222" t="s">
        <v>2292</v>
      </c>
      <c r="AK222" t="s">
        <v>2293</v>
      </c>
      <c r="AL222" t="s">
        <v>2294</v>
      </c>
      <c r="AM222" s="245">
        <v>325</v>
      </c>
      <c r="AN222" t="s">
        <v>2295</v>
      </c>
      <c r="AO222" t="s">
        <v>2296</v>
      </c>
      <c r="AP222" t="s">
        <v>2297</v>
      </c>
      <c r="AQ222" s="245">
        <v>368</v>
      </c>
      <c r="AR222" t="s">
        <v>2298</v>
      </c>
      <c r="AS222" s="226" t="str">
        <f t="shared" si="6"/>
        <v>QST 92</v>
      </c>
      <c r="AT222" s="203" t="str">
        <f t="shared" si="7"/>
        <v xml:space="preserve"> SalomonQST 92153 Unisex</v>
      </c>
    </row>
    <row r="223" spans="1:46" ht="171.6">
      <c r="A223" t="s">
        <v>155</v>
      </c>
      <c r="B223" t="s">
        <v>237</v>
      </c>
      <c r="C223" t="s">
        <v>443</v>
      </c>
      <c r="D223">
        <v>176</v>
      </c>
      <c r="E223" t="s">
        <v>158</v>
      </c>
      <c r="F223">
        <v>176</v>
      </c>
      <c r="G223">
        <v>175.6</v>
      </c>
      <c r="H223">
        <v>140</v>
      </c>
      <c r="I223">
        <v>143</v>
      </c>
      <c r="J223">
        <v>141</v>
      </c>
      <c r="K223">
        <v>106</v>
      </c>
      <c r="L223">
        <v>118</v>
      </c>
      <c r="M223">
        <v>20.8</v>
      </c>
      <c r="N223">
        <v>1817</v>
      </c>
      <c r="O223">
        <v>1.1200000000000001</v>
      </c>
      <c r="P223">
        <v>2035</v>
      </c>
      <c r="Q223">
        <v>189</v>
      </c>
      <c r="R223">
        <v>103</v>
      </c>
      <c r="S223">
        <v>45</v>
      </c>
      <c r="T223">
        <v>274</v>
      </c>
      <c r="U223">
        <v>4</v>
      </c>
      <c r="V223">
        <v>83</v>
      </c>
      <c r="W223">
        <v>0.08</v>
      </c>
      <c r="X223">
        <v>193</v>
      </c>
      <c r="Y223">
        <v>138</v>
      </c>
      <c r="Z223">
        <v>81</v>
      </c>
      <c r="AA223">
        <v>9</v>
      </c>
      <c r="AB223">
        <v>10.3</v>
      </c>
      <c r="AC223" t="s">
        <v>178</v>
      </c>
      <c r="AD223" t="s">
        <v>185</v>
      </c>
      <c r="AG223" t="s">
        <v>2299</v>
      </c>
      <c r="AH223" t="s">
        <v>1181</v>
      </c>
      <c r="AI223" s="245">
        <v>1114.96</v>
      </c>
      <c r="AJ223" t="s">
        <v>2300</v>
      </c>
      <c r="AK223" t="s">
        <v>2301</v>
      </c>
      <c r="AL223" t="s">
        <v>1320</v>
      </c>
      <c r="AM223" s="245">
        <v>719.96</v>
      </c>
      <c r="AN223" t="s">
        <v>2302</v>
      </c>
      <c r="AO223" t="s">
        <v>2303</v>
      </c>
      <c r="AP223" t="s">
        <v>1271</v>
      </c>
      <c r="AQ223" s="245">
        <v>720.93</v>
      </c>
      <c r="AR223" t="s">
        <v>2304</v>
      </c>
      <c r="AS223" s="226" t="str">
        <f t="shared" si="6"/>
        <v>Corvus Freebird</v>
      </c>
      <c r="AT223" s="203" t="str">
        <f t="shared" si="7"/>
        <v xml:space="preserve"> Black CrowsCorvus Freebird176 Unisex</v>
      </c>
    </row>
    <row r="224" spans="1:46" ht="52.8">
      <c r="A224" t="s">
        <v>155</v>
      </c>
      <c r="B224" t="s">
        <v>245</v>
      </c>
      <c r="C224" t="s">
        <v>337</v>
      </c>
      <c r="D224">
        <v>170</v>
      </c>
      <c r="E224" t="s">
        <v>163</v>
      </c>
      <c r="F224">
        <v>170</v>
      </c>
      <c r="G224">
        <v>168.3</v>
      </c>
      <c r="H224">
        <v>113</v>
      </c>
      <c r="I224">
        <v>139</v>
      </c>
      <c r="J224">
        <v>135</v>
      </c>
      <c r="K224">
        <v>100</v>
      </c>
      <c r="L224">
        <v>124</v>
      </c>
      <c r="M224">
        <v>13.7</v>
      </c>
      <c r="N224">
        <v>1700</v>
      </c>
      <c r="O224">
        <v>1.1200000000000001</v>
      </c>
      <c r="P224">
        <v>1900</v>
      </c>
      <c r="Q224">
        <v>191</v>
      </c>
      <c r="R224">
        <v>86</v>
      </c>
      <c r="S224">
        <v>50</v>
      </c>
      <c r="T224">
        <v>361</v>
      </c>
      <c r="U224">
        <v>30</v>
      </c>
      <c r="V224">
        <v>189</v>
      </c>
      <c r="W224">
        <v>0.59399999999999997</v>
      </c>
      <c r="X224">
        <v>153</v>
      </c>
      <c r="Y224">
        <v>139</v>
      </c>
      <c r="Z224">
        <v>208</v>
      </c>
      <c r="AA224">
        <v>6</v>
      </c>
      <c r="AB224">
        <v>10.5</v>
      </c>
      <c r="AC224" t="s">
        <v>188</v>
      </c>
      <c r="AD224" t="s">
        <v>185</v>
      </c>
      <c r="AG224" t="s">
        <v>2305</v>
      </c>
      <c r="AH224" t="s">
        <v>1185</v>
      </c>
      <c r="AI224" s="245">
        <v>489.99</v>
      </c>
      <c r="AJ224" t="s">
        <v>2306</v>
      </c>
      <c r="AK224" t="s">
        <v>2305</v>
      </c>
      <c r="AL224" t="s">
        <v>2307</v>
      </c>
      <c r="AM224" s="245">
        <v>699.99</v>
      </c>
      <c r="AN224" t="s">
        <v>2308</v>
      </c>
      <c r="AO224" t="s">
        <v>2305</v>
      </c>
      <c r="AP224" t="s">
        <v>1226</v>
      </c>
      <c r="AQ224" s="245">
        <v>799.99</v>
      </c>
      <c r="AR224" t="s">
        <v>2309</v>
      </c>
      <c r="AS224" s="226" t="str">
        <f t="shared" si="6"/>
        <v>Ranger 102 FR W</v>
      </c>
      <c r="AT224" s="203" t="str">
        <f t="shared" si="7"/>
        <v xml:space="preserve"> FischerRanger 102 FR W170 Women's</v>
      </c>
    </row>
    <row r="225" spans="1:46" ht="66">
      <c r="A225" t="s">
        <v>155</v>
      </c>
      <c r="B225" t="s">
        <v>202</v>
      </c>
      <c r="C225" t="s">
        <v>203</v>
      </c>
      <c r="D225">
        <v>170</v>
      </c>
      <c r="E225" t="s">
        <v>158</v>
      </c>
      <c r="F225">
        <v>170</v>
      </c>
      <c r="G225">
        <v>170</v>
      </c>
      <c r="H225">
        <v>121</v>
      </c>
      <c r="I225">
        <v>140</v>
      </c>
      <c r="J225">
        <v>118</v>
      </c>
      <c r="K225">
        <v>87</v>
      </c>
      <c r="L225">
        <v>108</v>
      </c>
      <c r="M225">
        <v>16.5</v>
      </c>
      <c r="N225">
        <v>1683</v>
      </c>
      <c r="O225">
        <v>0.99</v>
      </c>
      <c r="P225">
        <v>1668</v>
      </c>
      <c r="Q225">
        <v>223</v>
      </c>
      <c r="R225">
        <v>89</v>
      </c>
      <c r="S225">
        <v>62</v>
      </c>
      <c r="T225">
        <v>334</v>
      </c>
      <c r="U225">
        <v>15</v>
      </c>
      <c r="V225">
        <v>153</v>
      </c>
      <c r="W225">
        <v>0.23399999999999899</v>
      </c>
      <c r="X225">
        <v>187</v>
      </c>
      <c r="Y225">
        <v>117</v>
      </c>
      <c r="Z225">
        <v>147</v>
      </c>
      <c r="AA225">
        <v>6</v>
      </c>
      <c r="AB225">
        <v>11.4</v>
      </c>
      <c r="AC225" t="s">
        <v>188</v>
      </c>
      <c r="AG225" t="s">
        <v>2310</v>
      </c>
      <c r="AH225" t="s">
        <v>1248</v>
      </c>
      <c r="AI225" s="245">
        <v>419.97</v>
      </c>
      <c r="AJ225" t="s">
        <v>2311</v>
      </c>
      <c r="AK225" t="s">
        <v>2312</v>
      </c>
      <c r="AL225" t="s">
        <v>1204</v>
      </c>
      <c r="AM225" s="245">
        <v>449.11</v>
      </c>
      <c r="AN225" t="s">
        <v>2313</v>
      </c>
      <c r="AO225" t="s">
        <v>2314</v>
      </c>
      <c r="AP225" t="s">
        <v>1320</v>
      </c>
      <c r="AQ225" s="245">
        <v>479.96</v>
      </c>
      <c r="AR225" t="s">
        <v>2315</v>
      </c>
      <c r="AS225" s="226" t="str">
        <f t="shared" si="6"/>
        <v>M-Pro 90</v>
      </c>
      <c r="AT225" s="203" t="str">
        <f t="shared" si="7"/>
        <v xml:space="preserve"> DynastarM-Pro 90170 Unisex</v>
      </c>
    </row>
    <row r="226" spans="1:46" ht="79.2">
      <c r="A226" t="s">
        <v>155</v>
      </c>
      <c r="B226" t="s">
        <v>1395</v>
      </c>
      <c r="C226" t="s">
        <v>445</v>
      </c>
      <c r="D226">
        <v>172</v>
      </c>
      <c r="E226" t="s">
        <v>163</v>
      </c>
      <c r="F226">
        <v>172</v>
      </c>
      <c r="G226">
        <v>172.6</v>
      </c>
      <c r="H226">
        <v>123</v>
      </c>
      <c r="I226">
        <v>158</v>
      </c>
      <c r="J226">
        <v>119</v>
      </c>
      <c r="K226">
        <v>85</v>
      </c>
      <c r="L226">
        <v>109</v>
      </c>
      <c r="M226">
        <v>21.1</v>
      </c>
      <c r="N226">
        <v>1733</v>
      </c>
      <c r="O226">
        <v>0.95</v>
      </c>
      <c r="P226">
        <v>1652</v>
      </c>
      <c r="Q226">
        <v>193</v>
      </c>
      <c r="R226">
        <v>89</v>
      </c>
      <c r="S226">
        <v>42</v>
      </c>
      <c r="T226">
        <v>271</v>
      </c>
      <c r="U226">
        <v>37</v>
      </c>
      <c r="V226">
        <v>228</v>
      </c>
      <c r="W226">
        <v>0.88099999999999901</v>
      </c>
      <c r="X226">
        <v>75</v>
      </c>
      <c r="Y226">
        <v>74</v>
      </c>
      <c r="Z226">
        <v>196</v>
      </c>
      <c r="AA226">
        <v>4</v>
      </c>
      <c r="AB226">
        <v>1.7</v>
      </c>
      <c r="AC226" t="s">
        <v>184</v>
      </c>
      <c r="AG226" t="s">
        <v>2316</v>
      </c>
      <c r="AH226" t="s">
        <v>1204</v>
      </c>
      <c r="AI226" s="245">
        <v>320.79000000000002</v>
      </c>
      <c r="AJ226" t="s">
        <v>2317</v>
      </c>
      <c r="AK226" t="s">
        <v>2318</v>
      </c>
      <c r="AL226" t="s">
        <v>2319</v>
      </c>
      <c r="AM226" s="245">
        <v>318</v>
      </c>
      <c r="AN226" t="s">
        <v>2320</v>
      </c>
      <c r="AO226" t="s">
        <v>2321</v>
      </c>
      <c r="AP226" t="s">
        <v>1309</v>
      </c>
      <c r="AQ226" s="245">
        <v>319.95999999999998</v>
      </c>
      <c r="AR226" t="s">
        <v>2322</v>
      </c>
      <c r="AS226" s="226" t="str">
        <f t="shared" si="6"/>
        <v>Bash 86 W</v>
      </c>
      <c r="AT226" s="203" t="str">
        <f t="shared" si="7"/>
        <v xml:space="preserve"> Vï¿½lklBash 86 W172 Women's</v>
      </c>
    </row>
    <row r="227" spans="1:46" ht="118.8">
      <c r="A227" t="s">
        <v>155</v>
      </c>
      <c r="B227" t="s">
        <v>180</v>
      </c>
      <c r="C227" t="s">
        <v>196</v>
      </c>
      <c r="D227">
        <v>170</v>
      </c>
      <c r="E227" t="s">
        <v>158</v>
      </c>
      <c r="F227">
        <v>170</v>
      </c>
      <c r="G227">
        <v>168.5</v>
      </c>
      <c r="H227">
        <v>128</v>
      </c>
      <c r="I227">
        <v>149</v>
      </c>
      <c r="J227">
        <v>134</v>
      </c>
      <c r="K227">
        <v>90</v>
      </c>
      <c r="L227">
        <v>121</v>
      </c>
      <c r="M227">
        <v>15.1</v>
      </c>
      <c r="N227">
        <v>1472</v>
      </c>
      <c r="O227">
        <v>1.19</v>
      </c>
      <c r="P227">
        <v>1746</v>
      </c>
      <c r="Q227">
        <v>229</v>
      </c>
      <c r="R227">
        <v>90</v>
      </c>
      <c r="S227">
        <v>57</v>
      </c>
      <c r="T227">
        <v>272</v>
      </c>
      <c r="U227">
        <v>21</v>
      </c>
      <c r="V227">
        <v>134</v>
      </c>
      <c r="W227">
        <v>0.36199999999999999</v>
      </c>
      <c r="X227">
        <v>122</v>
      </c>
      <c r="Y227">
        <v>73</v>
      </c>
      <c r="Z227">
        <v>150</v>
      </c>
      <c r="AA227">
        <v>4</v>
      </c>
      <c r="AB227">
        <v>12.2</v>
      </c>
      <c r="AC227" t="s">
        <v>188</v>
      </c>
      <c r="AD227" t="s">
        <v>185</v>
      </c>
      <c r="AG227" t="s">
        <v>1325</v>
      </c>
      <c r="AH227" t="s">
        <v>1326</v>
      </c>
      <c r="AI227" s="245">
        <v>557.96</v>
      </c>
      <c r="AJ227" t="s">
        <v>2323</v>
      </c>
      <c r="AK227" t="s">
        <v>2324</v>
      </c>
      <c r="AL227" t="s">
        <v>2325</v>
      </c>
      <c r="AM227" s="245">
        <v>599.99</v>
      </c>
      <c r="AN227" t="s">
        <v>2326</v>
      </c>
      <c r="AO227" t="s">
        <v>2324</v>
      </c>
      <c r="AP227" t="s">
        <v>1833</v>
      </c>
      <c r="AQ227" s="245">
        <v>599.99</v>
      </c>
      <c r="AR227" t="s">
        <v>2327</v>
      </c>
      <c r="AS227" s="226" t="str">
        <f t="shared" si="6"/>
        <v>Slight 93</v>
      </c>
      <c r="AT227" s="203" t="str">
        <f t="shared" si="7"/>
        <v xml:space="preserve"> ScottSlight 93170 Unisex</v>
      </c>
    </row>
    <row r="228" spans="1:46" ht="171.6">
      <c r="A228" t="s">
        <v>155</v>
      </c>
      <c r="B228" t="s">
        <v>317</v>
      </c>
      <c r="C228" t="s">
        <v>447</v>
      </c>
      <c r="D228">
        <v>172</v>
      </c>
      <c r="E228" t="s">
        <v>163</v>
      </c>
      <c r="F228">
        <v>172</v>
      </c>
      <c r="G228">
        <v>170.1</v>
      </c>
      <c r="H228">
        <v>100</v>
      </c>
      <c r="I228">
        <v>141</v>
      </c>
      <c r="J228">
        <v>132</v>
      </c>
      <c r="K228">
        <v>101</v>
      </c>
      <c r="L228">
        <v>122</v>
      </c>
      <c r="M228">
        <v>17.100000000000001</v>
      </c>
      <c r="N228">
        <v>1919</v>
      </c>
      <c r="O228">
        <v>0.99</v>
      </c>
      <c r="P228">
        <v>1903</v>
      </c>
      <c r="Q228">
        <v>190</v>
      </c>
      <c r="R228">
        <v>106</v>
      </c>
      <c r="S228">
        <v>72</v>
      </c>
      <c r="T228">
        <v>387</v>
      </c>
      <c r="U228">
        <v>37</v>
      </c>
      <c r="V228">
        <v>313</v>
      </c>
      <c r="W228">
        <v>0.51700000000000002</v>
      </c>
      <c r="X228">
        <v>147</v>
      </c>
      <c r="Y228">
        <v>145</v>
      </c>
      <c r="Z228">
        <v>240</v>
      </c>
      <c r="AA228">
        <v>3</v>
      </c>
      <c r="AB228">
        <v>7.5</v>
      </c>
      <c r="AC228" t="s">
        <v>188</v>
      </c>
      <c r="AD228" t="s">
        <v>169</v>
      </c>
      <c r="AG228" t="s">
        <v>2328</v>
      </c>
      <c r="AH228" t="s">
        <v>1181</v>
      </c>
      <c r="AI228" s="245">
        <v>849.95</v>
      </c>
      <c r="AJ228" t="s">
        <v>2329</v>
      </c>
      <c r="AK228" t="s">
        <v>2330</v>
      </c>
      <c r="AL228" t="s">
        <v>1194</v>
      </c>
      <c r="AM228" s="245">
        <v>387.23</v>
      </c>
      <c r="AN228" t="s">
        <v>2331</v>
      </c>
      <c r="AO228" t="s">
        <v>2332</v>
      </c>
      <c r="AP228" t="s">
        <v>1337</v>
      </c>
      <c r="AQ228" s="245">
        <v>399.99</v>
      </c>
      <c r="AR228" t="s">
        <v>2333</v>
      </c>
      <c r="AS228" s="226" t="str">
        <f t="shared" si="6"/>
        <v>Sheeva 10</v>
      </c>
      <c r="AT228" s="203" t="str">
        <f t="shared" si="7"/>
        <v xml:space="preserve"> BlizzardSheeva 10172 Women's</v>
      </c>
    </row>
    <row r="229" spans="1:46" ht="171.6">
      <c r="A229" t="s">
        <v>155</v>
      </c>
      <c r="B229" t="s">
        <v>237</v>
      </c>
      <c r="C229" t="s">
        <v>238</v>
      </c>
      <c r="D229">
        <v>167.1</v>
      </c>
      <c r="E229" t="s">
        <v>158</v>
      </c>
      <c r="F229">
        <v>167.1</v>
      </c>
      <c r="G229">
        <v>166.5</v>
      </c>
      <c r="H229">
        <v>114</v>
      </c>
      <c r="I229">
        <v>140</v>
      </c>
      <c r="J229">
        <v>137</v>
      </c>
      <c r="K229">
        <v>100</v>
      </c>
      <c r="L229">
        <v>117</v>
      </c>
      <c r="M229">
        <v>18.2</v>
      </c>
      <c r="N229">
        <v>1576</v>
      </c>
      <c r="O229">
        <v>1.17</v>
      </c>
      <c r="P229">
        <v>1847</v>
      </c>
      <c r="Q229">
        <v>185</v>
      </c>
      <c r="R229">
        <v>82</v>
      </c>
      <c r="S229">
        <v>46</v>
      </c>
      <c r="T229">
        <v>309</v>
      </c>
      <c r="U229">
        <v>17</v>
      </c>
      <c r="V229">
        <v>215</v>
      </c>
      <c r="W229">
        <v>0.36099999999999999</v>
      </c>
      <c r="X229">
        <v>138</v>
      </c>
      <c r="Y229">
        <v>122</v>
      </c>
      <c r="Z229">
        <v>171</v>
      </c>
      <c r="AA229">
        <v>4</v>
      </c>
      <c r="AB229">
        <v>9.3000000000000007</v>
      </c>
      <c r="AC229" t="s">
        <v>188</v>
      </c>
      <c r="AD229" t="s">
        <v>169</v>
      </c>
      <c r="AE229" t="s">
        <v>178</v>
      </c>
      <c r="AF229" t="s">
        <v>185</v>
      </c>
      <c r="AG229" t="s">
        <v>2334</v>
      </c>
      <c r="AH229" t="s">
        <v>1181</v>
      </c>
      <c r="AI229" s="245">
        <v>1058.96</v>
      </c>
      <c r="AJ229" t="s">
        <v>2335</v>
      </c>
      <c r="AK229" t="s">
        <v>2336</v>
      </c>
      <c r="AL229" t="s">
        <v>1858</v>
      </c>
      <c r="AM229" s="245">
        <v>175</v>
      </c>
      <c r="AN229" t="s">
        <v>2337</v>
      </c>
      <c r="AO229" t="s">
        <v>2336</v>
      </c>
      <c r="AP229" t="s">
        <v>1248</v>
      </c>
      <c r="AQ229" s="245">
        <v>175.96</v>
      </c>
      <c r="AR229" t="s">
        <v>2338</v>
      </c>
      <c r="AS229" s="226" t="str">
        <f t="shared" si="6"/>
        <v>Navis Freebird</v>
      </c>
      <c r="AT229" s="203" t="str">
        <f t="shared" si="7"/>
        <v xml:space="preserve"> Black CrowsNavis Freebird167.1 Unisex</v>
      </c>
    </row>
    <row r="230" spans="1:46" ht="171.6">
      <c r="A230" t="s">
        <v>155</v>
      </c>
      <c r="B230" t="s">
        <v>317</v>
      </c>
      <c r="C230" t="s">
        <v>449</v>
      </c>
      <c r="D230">
        <v>185</v>
      </c>
      <c r="E230" t="s">
        <v>158</v>
      </c>
      <c r="F230">
        <v>185</v>
      </c>
      <c r="G230">
        <v>182.7</v>
      </c>
      <c r="H230">
        <v>141</v>
      </c>
      <c r="I230">
        <v>156</v>
      </c>
      <c r="J230">
        <v>127</v>
      </c>
      <c r="K230">
        <v>93</v>
      </c>
      <c r="L230">
        <v>110</v>
      </c>
      <c r="M230">
        <v>24</v>
      </c>
      <c r="N230">
        <v>1374</v>
      </c>
      <c r="O230">
        <v>1.36</v>
      </c>
      <c r="P230">
        <v>1865</v>
      </c>
      <c r="Q230">
        <v>275</v>
      </c>
      <c r="R230">
        <v>104</v>
      </c>
      <c r="S230">
        <v>56</v>
      </c>
      <c r="T230">
        <v>276</v>
      </c>
      <c r="U230">
        <v>9</v>
      </c>
      <c r="V230">
        <v>143</v>
      </c>
      <c r="W230">
        <v>0.16699999999999901</v>
      </c>
      <c r="X230">
        <v>134</v>
      </c>
      <c r="Y230">
        <v>137</v>
      </c>
      <c r="Z230">
        <v>142</v>
      </c>
      <c r="AA230">
        <v>4</v>
      </c>
      <c r="AB230">
        <v>10.8</v>
      </c>
      <c r="AC230" t="s">
        <v>185</v>
      </c>
      <c r="AD230" t="s">
        <v>198</v>
      </c>
      <c r="AG230" t="s">
        <v>2339</v>
      </c>
      <c r="AH230" t="s">
        <v>1181</v>
      </c>
      <c r="AI230" s="245">
        <v>1050</v>
      </c>
      <c r="AJ230" t="s">
        <v>2340</v>
      </c>
      <c r="AK230" t="s">
        <v>2341</v>
      </c>
      <c r="AL230" t="s">
        <v>1471</v>
      </c>
      <c r="AM230" s="245">
        <v>490</v>
      </c>
      <c r="AN230" t="s">
        <v>2342</v>
      </c>
      <c r="AO230" t="s">
        <v>2343</v>
      </c>
      <c r="AP230" t="s">
        <v>1282</v>
      </c>
      <c r="AQ230" s="245">
        <v>559.95000000000005</v>
      </c>
      <c r="AR230" t="s">
        <v>2344</v>
      </c>
      <c r="AS230" s="226" t="str">
        <f t="shared" si="6"/>
        <v>Zero G 95</v>
      </c>
      <c r="AT230" s="203" t="str">
        <f t="shared" si="7"/>
        <v xml:space="preserve"> BlizzardZero G 95185 Unisex</v>
      </c>
    </row>
    <row r="231" spans="1:46" ht="79.2">
      <c r="A231" t="s">
        <v>155</v>
      </c>
      <c r="B231" t="s">
        <v>180</v>
      </c>
      <c r="C231" t="s">
        <v>451</v>
      </c>
      <c r="D231">
        <v>178</v>
      </c>
      <c r="E231" t="s">
        <v>158</v>
      </c>
      <c r="F231">
        <v>178</v>
      </c>
      <c r="G231">
        <v>176.9</v>
      </c>
      <c r="H231">
        <v>136</v>
      </c>
      <c r="I231">
        <v>157</v>
      </c>
      <c r="J231">
        <v>125</v>
      </c>
      <c r="K231">
        <v>88</v>
      </c>
      <c r="L231">
        <v>110</v>
      </c>
      <c r="M231">
        <v>19.2</v>
      </c>
      <c r="N231">
        <v>1470</v>
      </c>
      <c r="O231">
        <v>1.19</v>
      </c>
      <c r="P231">
        <v>1753</v>
      </c>
      <c r="Q231">
        <v>301</v>
      </c>
      <c r="R231">
        <v>112</v>
      </c>
      <c r="S231">
        <v>55</v>
      </c>
      <c r="T231">
        <v>272</v>
      </c>
      <c r="U231">
        <v>18</v>
      </c>
      <c r="V231">
        <v>139</v>
      </c>
      <c r="W231">
        <v>0.32200000000000001</v>
      </c>
      <c r="X231">
        <v>112</v>
      </c>
      <c r="Y231">
        <v>87</v>
      </c>
      <c r="Z231">
        <v>159</v>
      </c>
      <c r="AA231">
        <v>5</v>
      </c>
      <c r="AB231">
        <v>10.8</v>
      </c>
      <c r="AC231" t="s">
        <v>188</v>
      </c>
      <c r="AD231" t="s">
        <v>185</v>
      </c>
      <c r="AG231" t="s">
        <v>2345</v>
      </c>
      <c r="AH231" t="s">
        <v>1204</v>
      </c>
      <c r="AI231" s="245">
        <v>320.79000000000002</v>
      </c>
      <c r="AJ231" t="s">
        <v>2346</v>
      </c>
      <c r="AK231" t="s">
        <v>2347</v>
      </c>
      <c r="AL231" t="s">
        <v>1349</v>
      </c>
      <c r="AM231" s="245">
        <v>352.89</v>
      </c>
      <c r="AN231" t="s">
        <v>2348</v>
      </c>
      <c r="AO231" t="s">
        <v>2349</v>
      </c>
      <c r="AP231" t="s">
        <v>1248</v>
      </c>
      <c r="AQ231" s="245">
        <v>359.96</v>
      </c>
      <c r="AR231" t="s">
        <v>2350</v>
      </c>
      <c r="AS231" s="226" t="str">
        <f t="shared" si="6"/>
        <v>Superguide 88</v>
      </c>
      <c r="AT231" s="203" t="str">
        <f t="shared" si="7"/>
        <v xml:space="preserve"> ScottSuperguide 88178 Unisex</v>
      </c>
    </row>
    <row r="232" spans="1:46" ht="52.8">
      <c r="A232" t="s">
        <v>155</v>
      </c>
      <c r="B232" t="s">
        <v>208</v>
      </c>
      <c r="C232" t="s">
        <v>452</v>
      </c>
      <c r="D232">
        <v>181</v>
      </c>
      <c r="E232" t="s">
        <v>158</v>
      </c>
      <c r="F232">
        <v>181</v>
      </c>
      <c r="G232">
        <v>180.9</v>
      </c>
      <c r="H232">
        <v>130</v>
      </c>
      <c r="I232">
        <v>160</v>
      </c>
      <c r="J232">
        <v>149</v>
      </c>
      <c r="K232">
        <v>104</v>
      </c>
      <c r="L232">
        <v>136</v>
      </c>
      <c r="M232">
        <v>16.2</v>
      </c>
      <c r="N232">
        <v>1801</v>
      </c>
      <c r="O232">
        <v>1.19</v>
      </c>
      <c r="P232">
        <v>2142</v>
      </c>
      <c r="Q232">
        <v>168</v>
      </c>
      <c r="R232">
        <v>92</v>
      </c>
      <c r="S232">
        <v>45</v>
      </c>
      <c r="T232">
        <v>382</v>
      </c>
      <c r="U232">
        <v>14</v>
      </c>
      <c r="V232">
        <v>130</v>
      </c>
      <c r="W232">
        <v>0.30099999999999999</v>
      </c>
      <c r="X232">
        <v>164</v>
      </c>
      <c r="Y232">
        <v>40</v>
      </c>
      <c r="Z232">
        <v>218</v>
      </c>
      <c r="AA232">
        <v>6</v>
      </c>
      <c r="AB232">
        <v>11.2</v>
      </c>
      <c r="AC232" t="s">
        <v>188</v>
      </c>
      <c r="AD232" t="s">
        <v>178</v>
      </c>
      <c r="AE232" t="s">
        <v>185</v>
      </c>
      <c r="AG232" t="s">
        <v>2351</v>
      </c>
      <c r="AH232" t="s">
        <v>1240</v>
      </c>
      <c r="AI232" s="245">
        <v>649.95000000000005</v>
      </c>
      <c r="AJ232" t="s">
        <v>2352</v>
      </c>
      <c r="AK232" t="s">
        <v>2353</v>
      </c>
      <c r="AL232" t="s">
        <v>1294</v>
      </c>
      <c r="AM232" s="245">
        <v>749.95</v>
      </c>
      <c r="AN232" t="s">
        <v>2354</v>
      </c>
      <c r="AO232" t="s">
        <v>2353</v>
      </c>
      <c r="AP232" t="s">
        <v>1271</v>
      </c>
      <c r="AQ232" s="245">
        <v>749.95</v>
      </c>
      <c r="AR232" t="s">
        <v>2355</v>
      </c>
      <c r="AS232" s="226" t="str">
        <f t="shared" si="6"/>
        <v>Sakana</v>
      </c>
      <c r="AT232" s="203" t="str">
        <f t="shared" si="7"/>
        <v xml:space="preserve"> LineSakana181 Unisex</v>
      </c>
    </row>
    <row r="233" spans="1:46" ht="66">
      <c r="A233" t="s">
        <v>155</v>
      </c>
      <c r="B233" t="s">
        <v>332</v>
      </c>
      <c r="C233" t="s">
        <v>454</v>
      </c>
      <c r="D233">
        <v>163</v>
      </c>
      <c r="E233" t="s">
        <v>158</v>
      </c>
      <c r="F233">
        <v>163</v>
      </c>
      <c r="G233">
        <v>161.4</v>
      </c>
      <c r="H233">
        <v>132</v>
      </c>
      <c r="I233">
        <v>145</v>
      </c>
      <c r="J233">
        <v>120</v>
      </c>
      <c r="K233">
        <v>83</v>
      </c>
      <c r="L233">
        <v>109</v>
      </c>
      <c r="M233">
        <v>16</v>
      </c>
      <c r="N233">
        <v>1565</v>
      </c>
      <c r="O233">
        <v>0.98</v>
      </c>
      <c r="P233">
        <v>1527</v>
      </c>
      <c r="Q233">
        <v>160</v>
      </c>
      <c r="R233">
        <v>86</v>
      </c>
      <c r="S233">
        <v>45</v>
      </c>
      <c r="T233">
        <v>152</v>
      </c>
      <c r="U233">
        <v>39</v>
      </c>
      <c r="V233">
        <v>140</v>
      </c>
      <c r="W233">
        <v>0.86599999999999999</v>
      </c>
      <c r="X233">
        <v>90</v>
      </c>
      <c r="Y233">
        <v>76</v>
      </c>
      <c r="Z233">
        <v>62</v>
      </c>
      <c r="AA233">
        <v>9</v>
      </c>
      <c r="AB233">
        <v>9.3000000000000007</v>
      </c>
      <c r="AC233" t="s">
        <v>184</v>
      </c>
      <c r="AG233" t="s">
        <v>2356</v>
      </c>
      <c r="AH233" t="s">
        <v>1207</v>
      </c>
      <c r="AI233" s="245">
        <v>284.95</v>
      </c>
      <c r="AJ233" t="s">
        <v>2357</v>
      </c>
      <c r="AK233" t="s">
        <v>2356</v>
      </c>
      <c r="AL233" t="s">
        <v>1402</v>
      </c>
      <c r="AM233" s="245">
        <v>349.99</v>
      </c>
      <c r="AN233" t="s">
        <v>2358</v>
      </c>
      <c r="AO233" t="s">
        <v>2359</v>
      </c>
      <c r="AP233" t="s">
        <v>1397</v>
      </c>
      <c r="AQ233" s="245">
        <v>349.99</v>
      </c>
      <c r="AR233" t="s">
        <v>2360</v>
      </c>
      <c r="AS233" s="226" t="str">
        <f t="shared" si="6"/>
        <v>Soul Rider 84</v>
      </c>
      <c r="AT233" s="203" t="str">
        <f t="shared" si="7"/>
        <v xml:space="preserve"> NordicaSoul Rider 84163 Unisex</v>
      </c>
    </row>
    <row r="234" spans="1:46" ht="52.8">
      <c r="A234" t="s">
        <v>155</v>
      </c>
      <c r="B234" t="s">
        <v>205</v>
      </c>
      <c r="C234" t="s">
        <v>279</v>
      </c>
      <c r="D234">
        <v>171</v>
      </c>
      <c r="E234" t="s">
        <v>158</v>
      </c>
      <c r="F234">
        <v>171</v>
      </c>
      <c r="G234">
        <v>169.4</v>
      </c>
      <c r="H234">
        <v>127</v>
      </c>
      <c r="I234">
        <v>142</v>
      </c>
      <c r="J234">
        <v>126</v>
      </c>
      <c r="K234">
        <v>94</v>
      </c>
      <c r="L234">
        <v>116</v>
      </c>
      <c r="M234">
        <v>17.399999999999999</v>
      </c>
      <c r="N234">
        <v>1721</v>
      </c>
      <c r="O234">
        <v>1.04</v>
      </c>
      <c r="P234">
        <v>1784</v>
      </c>
      <c r="Q234">
        <v>205</v>
      </c>
      <c r="R234">
        <v>87</v>
      </c>
      <c r="S234">
        <v>49</v>
      </c>
      <c r="T234">
        <v>248</v>
      </c>
      <c r="U234">
        <v>21</v>
      </c>
      <c r="V234">
        <v>174</v>
      </c>
      <c r="W234">
        <v>0.42399999999999999</v>
      </c>
      <c r="X234">
        <v>172</v>
      </c>
      <c r="Y234">
        <v>107</v>
      </c>
      <c r="Z234">
        <v>76</v>
      </c>
      <c r="AA234">
        <v>9</v>
      </c>
      <c r="AB234">
        <v>10.9</v>
      </c>
      <c r="AC234" t="s">
        <v>188</v>
      </c>
      <c r="AG234" t="s">
        <v>1558</v>
      </c>
      <c r="AH234" t="s">
        <v>1265</v>
      </c>
      <c r="AI234" s="245">
        <v>544.54999999999995</v>
      </c>
      <c r="AJ234" t="s">
        <v>2361</v>
      </c>
      <c r="AK234" t="s">
        <v>1555</v>
      </c>
      <c r="AL234" t="s">
        <v>1450</v>
      </c>
      <c r="AM234" s="245">
        <v>699.99</v>
      </c>
      <c r="AN234" t="s">
        <v>2362</v>
      </c>
      <c r="AO234" t="s">
        <v>1347</v>
      </c>
      <c r="AP234" t="s">
        <v>1185</v>
      </c>
      <c r="AQ234" s="245">
        <v>489.99</v>
      </c>
      <c r="AR234" t="s">
        <v>2363</v>
      </c>
      <c r="AS234" s="226" t="str">
        <f t="shared" si="6"/>
        <v>Dictator FG 2.0</v>
      </c>
      <c r="AT234" s="203" t="str">
        <f t="shared" si="7"/>
        <v xml:space="preserve"> FactionDictator FG 2.0171 Unisex</v>
      </c>
    </row>
    <row r="235" spans="1:46" ht="105.6">
      <c r="A235" t="s">
        <v>155</v>
      </c>
      <c r="B235" t="s">
        <v>208</v>
      </c>
      <c r="C235" t="s">
        <v>265</v>
      </c>
      <c r="D235">
        <v>167</v>
      </c>
      <c r="E235" t="s">
        <v>163</v>
      </c>
      <c r="F235">
        <v>167</v>
      </c>
      <c r="G235">
        <v>166.7</v>
      </c>
      <c r="H235">
        <v>134</v>
      </c>
      <c r="I235">
        <v>152</v>
      </c>
      <c r="J235">
        <v>139</v>
      </c>
      <c r="K235">
        <v>90</v>
      </c>
      <c r="L235">
        <v>113</v>
      </c>
      <c r="M235">
        <v>16.3</v>
      </c>
      <c r="N235">
        <v>1752</v>
      </c>
      <c r="O235">
        <v>0.99</v>
      </c>
      <c r="P235">
        <v>1743</v>
      </c>
      <c r="Q235">
        <v>174</v>
      </c>
      <c r="R235">
        <v>116</v>
      </c>
      <c r="S235">
        <v>39</v>
      </c>
      <c r="T235">
        <v>211</v>
      </c>
      <c r="U235">
        <v>16</v>
      </c>
      <c r="V235">
        <v>121</v>
      </c>
      <c r="W235">
        <v>0.40100000000000002</v>
      </c>
      <c r="X235">
        <v>128</v>
      </c>
      <c r="Y235">
        <v>23</v>
      </c>
      <c r="Z235">
        <v>82</v>
      </c>
      <c r="AA235">
        <v>10</v>
      </c>
      <c r="AB235">
        <v>6.9</v>
      </c>
      <c r="AC235" t="s">
        <v>188</v>
      </c>
      <c r="AG235" t="s">
        <v>2364</v>
      </c>
      <c r="AH235" t="s">
        <v>1194</v>
      </c>
      <c r="AI235" s="245">
        <v>460.11</v>
      </c>
      <c r="AJ235" t="s">
        <v>2365</v>
      </c>
      <c r="AK235" t="s">
        <v>2366</v>
      </c>
      <c r="AL235" t="s">
        <v>1240</v>
      </c>
      <c r="AM235" s="245">
        <v>479.95</v>
      </c>
      <c r="AN235" t="s">
        <v>2367</v>
      </c>
      <c r="AO235" t="s">
        <v>2368</v>
      </c>
      <c r="AP235" t="s">
        <v>1804</v>
      </c>
      <c r="AQ235" s="245">
        <v>511</v>
      </c>
      <c r="AR235" t="s">
        <v>2369</v>
      </c>
      <c r="AS235" s="226" t="str">
        <f t="shared" si="6"/>
        <v>Blade W</v>
      </c>
      <c r="AT235" s="203" t="str">
        <f t="shared" si="7"/>
        <v xml:space="preserve"> LineBlade W167 Women's</v>
      </c>
    </row>
    <row r="236" spans="1:46" ht="66">
      <c r="A236" t="s">
        <v>155</v>
      </c>
      <c r="B236" t="s">
        <v>182</v>
      </c>
      <c r="C236" t="s">
        <v>373</v>
      </c>
      <c r="D236">
        <v>172</v>
      </c>
      <c r="E236" t="s">
        <v>158</v>
      </c>
      <c r="F236">
        <v>172</v>
      </c>
      <c r="G236">
        <v>171.5</v>
      </c>
      <c r="H236">
        <v>132</v>
      </c>
      <c r="I236">
        <v>143</v>
      </c>
      <c r="J236">
        <v>129</v>
      </c>
      <c r="K236">
        <v>97</v>
      </c>
      <c r="L236">
        <v>120</v>
      </c>
      <c r="M236">
        <v>17.3</v>
      </c>
      <c r="N236">
        <v>1497</v>
      </c>
      <c r="O236">
        <v>1.23</v>
      </c>
      <c r="P236">
        <v>1844</v>
      </c>
      <c r="Q236">
        <v>163</v>
      </c>
      <c r="R236">
        <v>102</v>
      </c>
      <c r="S236">
        <v>41</v>
      </c>
      <c r="T236">
        <v>250</v>
      </c>
      <c r="U236">
        <v>15</v>
      </c>
      <c r="V236">
        <v>145</v>
      </c>
      <c r="W236">
        <v>0.36899999999999999</v>
      </c>
      <c r="X236">
        <v>171</v>
      </c>
      <c r="Y236">
        <v>112</v>
      </c>
      <c r="Z236">
        <v>79</v>
      </c>
      <c r="AA236">
        <v>6</v>
      </c>
      <c r="AB236">
        <v>10</v>
      </c>
      <c r="AC236" t="s">
        <v>188</v>
      </c>
      <c r="AD236" t="s">
        <v>185</v>
      </c>
      <c r="AG236" t="s">
        <v>2370</v>
      </c>
      <c r="AH236" t="s">
        <v>1265</v>
      </c>
      <c r="AI236" s="245">
        <v>512.47</v>
      </c>
      <c r="AJ236" t="s">
        <v>2371</v>
      </c>
      <c r="AK236" t="s">
        <v>2372</v>
      </c>
      <c r="AL236" t="s">
        <v>1592</v>
      </c>
      <c r="AM236" s="245">
        <v>530.41999999999996</v>
      </c>
      <c r="AN236" t="s">
        <v>2373</v>
      </c>
      <c r="AO236" t="s">
        <v>2372</v>
      </c>
      <c r="AP236" t="s">
        <v>2374</v>
      </c>
      <c r="AQ236" s="245">
        <v>559.95000000000005</v>
      </c>
      <c r="AR236" t="s">
        <v>2375</v>
      </c>
      <c r="AS236" s="226" t="str">
        <f t="shared" si="6"/>
        <v>Tracer 98</v>
      </c>
      <c r="AT236" s="203" t="str">
        <f t="shared" si="7"/>
        <v xml:space="preserve"> ArmadaTracer 98172 Unisex</v>
      </c>
    </row>
    <row r="237" spans="1:46" ht="66">
      <c r="A237" t="s">
        <v>155</v>
      </c>
      <c r="B237" t="s">
        <v>332</v>
      </c>
      <c r="C237" t="s">
        <v>455</v>
      </c>
      <c r="D237">
        <v>165</v>
      </c>
      <c r="E237" t="s">
        <v>158</v>
      </c>
      <c r="F237">
        <v>165</v>
      </c>
      <c r="G237">
        <v>164.5</v>
      </c>
      <c r="H237">
        <v>122</v>
      </c>
      <c r="I237">
        <v>137</v>
      </c>
      <c r="J237">
        <v>121</v>
      </c>
      <c r="K237">
        <v>87</v>
      </c>
      <c r="L237">
        <v>107</v>
      </c>
      <c r="M237">
        <v>15.3</v>
      </c>
      <c r="N237">
        <v>1820</v>
      </c>
      <c r="O237">
        <v>0.89</v>
      </c>
      <c r="P237">
        <v>1620</v>
      </c>
      <c r="Q237">
        <v>178</v>
      </c>
      <c r="R237">
        <v>121</v>
      </c>
      <c r="S237">
        <v>52</v>
      </c>
      <c r="T237">
        <v>258</v>
      </c>
      <c r="U237">
        <v>11</v>
      </c>
      <c r="V237">
        <v>166</v>
      </c>
      <c r="W237">
        <v>0.215</v>
      </c>
      <c r="X237">
        <v>128</v>
      </c>
      <c r="Y237">
        <v>148</v>
      </c>
      <c r="Z237">
        <v>130</v>
      </c>
      <c r="AA237">
        <v>8</v>
      </c>
      <c r="AB237">
        <v>8.6999999999999993</v>
      </c>
      <c r="AC237" t="s">
        <v>188</v>
      </c>
      <c r="AG237" t="s">
        <v>2376</v>
      </c>
      <c r="AH237" t="s">
        <v>1421</v>
      </c>
      <c r="AI237" s="245">
        <v>487.49</v>
      </c>
      <c r="AJ237" t="s">
        <v>2377</v>
      </c>
      <c r="AK237" t="s">
        <v>2376</v>
      </c>
      <c r="AL237" t="s">
        <v>2378</v>
      </c>
      <c r="AM237" s="245">
        <v>519.99</v>
      </c>
      <c r="AN237" t="s">
        <v>2379</v>
      </c>
      <c r="AO237" t="s">
        <v>2376</v>
      </c>
      <c r="AP237" t="s">
        <v>1400</v>
      </c>
      <c r="AQ237" s="245">
        <v>519.99</v>
      </c>
      <c r="AR237" t="s">
        <v>2380</v>
      </c>
      <c r="AS237" s="226" t="str">
        <f t="shared" si="6"/>
        <v>Enforcer 88</v>
      </c>
      <c r="AT237" s="203" t="str">
        <f t="shared" si="7"/>
        <v xml:space="preserve"> NordicaEnforcer 88165 Unisex</v>
      </c>
    </row>
    <row r="238" spans="1:46" ht="52.8">
      <c r="A238" t="s">
        <v>155</v>
      </c>
      <c r="B238" t="s">
        <v>208</v>
      </c>
      <c r="C238" t="s">
        <v>435</v>
      </c>
      <c r="D238">
        <v>179</v>
      </c>
      <c r="E238" t="s">
        <v>158</v>
      </c>
      <c r="F238">
        <v>179</v>
      </c>
      <c r="G238">
        <v>179</v>
      </c>
      <c r="H238">
        <v>135</v>
      </c>
      <c r="I238">
        <v>154</v>
      </c>
      <c r="J238">
        <v>126</v>
      </c>
      <c r="K238">
        <v>87</v>
      </c>
      <c r="L238">
        <v>113</v>
      </c>
      <c r="M238">
        <v>18.100000000000001</v>
      </c>
      <c r="N238">
        <v>1635</v>
      </c>
      <c r="O238">
        <v>1.0900000000000001</v>
      </c>
      <c r="P238">
        <v>1784</v>
      </c>
      <c r="Q238">
        <v>191</v>
      </c>
      <c r="R238">
        <v>101</v>
      </c>
      <c r="S238">
        <v>44</v>
      </c>
      <c r="T238">
        <v>282</v>
      </c>
      <c r="U238">
        <v>17</v>
      </c>
      <c r="V238">
        <v>155</v>
      </c>
      <c r="W238">
        <v>0.376</v>
      </c>
      <c r="X238">
        <v>146</v>
      </c>
      <c r="Y238">
        <v>102</v>
      </c>
      <c r="Z238">
        <v>136</v>
      </c>
      <c r="AA238">
        <v>7</v>
      </c>
      <c r="AB238">
        <v>10.3</v>
      </c>
      <c r="AC238" t="s">
        <v>188</v>
      </c>
      <c r="AD238" t="s">
        <v>185</v>
      </c>
      <c r="AG238" t="s">
        <v>2381</v>
      </c>
      <c r="AH238" t="s">
        <v>1271</v>
      </c>
      <c r="AI238" s="245">
        <v>399.95</v>
      </c>
      <c r="AJ238" t="s">
        <v>2382</v>
      </c>
      <c r="AK238" t="s">
        <v>2381</v>
      </c>
      <c r="AL238" t="s">
        <v>1301</v>
      </c>
      <c r="AM238" s="245">
        <v>399.95</v>
      </c>
      <c r="AN238" t="s">
        <v>2383</v>
      </c>
      <c r="AO238" t="s">
        <v>2384</v>
      </c>
      <c r="AP238" t="s">
        <v>1240</v>
      </c>
      <c r="AQ238" s="245">
        <v>399.95</v>
      </c>
      <c r="AR238" t="s">
        <v>2385</v>
      </c>
      <c r="AS238" s="226" t="str">
        <f t="shared" si="6"/>
        <v>Sick Day 88</v>
      </c>
      <c r="AT238" s="203" t="str">
        <f t="shared" si="7"/>
        <v xml:space="preserve"> LineSick Day 88179 Unisex</v>
      </c>
    </row>
    <row r="239" spans="1:46" ht="145.19999999999999">
      <c r="A239" t="s">
        <v>155</v>
      </c>
      <c r="B239" t="s">
        <v>317</v>
      </c>
      <c r="C239" t="s">
        <v>456</v>
      </c>
      <c r="D239">
        <v>165</v>
      </c>
      <c r="E239" t="s">
        <v>163</v>
      </c>
      <c r="F239">
        <v>165</v>
      </c>
      <c r="G239">
        <v>163.80000000000001</v>
      </c>
      <c r="H239">
        <v>130</v>
      </c>
      <c r="I239">
        <v>140</v>
      </c>
      <c r="J239">
        <v>136</v>
      </c>
      <c r="K239">
        <v>96</v>
      </c>
      <c r="L239">
        <v>118</v>
      </c>
      <c r="M239">
        <v>15.3</v>
      </c>
      <c r="N239">
        <v>1911</v>
      </c>
      <c r="O239">
        <v>0.92</v>
      </c>
      <c r="P239">
        <v>1766</v>
      </c>
      <c r="Q239">
        <v>191</v>
      </c>
      <c r="R239">
        <v>95</v>
      </c>
      <c r="S239">
        <v>59</v>
      </c>
      <c r="T239">
        <v>228</v>
      </c>
      <c r="U239">
        <v>9</v>
      </c>
      <c r="V239">
        <v>112</v>
      </c>
      <c r="W239">
        <v>0.16</v>
      </c>
      <c r="X239">
        <v>126</v>
      </c>
      <c r="Y239">
        <v>108</v>
      </c>
      <c r="Z239">
        <v>102</v>
      </c>
      <c r="AA239">
        <v>6</v>
      </c>
      <c r="AB239">
        <v>11.4</v>
      </c>
      <c r="AC239" t="s">
        <v>188</v>
      </c>
      <c r="AG239" t="s">
        <v>2386</v>
      </c>
      <c r="AH239" t="s">
        <v>1194</v>
      </c>
      <c r="AI239" s="245">
        <v>387.23</v>
      </c>
      <c r="AJ239" t="s">
        <v>2387</v>
      </c>
      <c r="AK239" t="s">
        <v>2388</v>
      </c>
      <c r="AL239" t="s">
        <v>1240</v>
      </c>
      <c r="AM239" s="245">
        <v>599.95000000000005</v>
      </c>
      <c r="AN239" t="s">
        <v>2389</v>
      </c>
      <c r="AO239" t="s">
        <v>2390</v>
      </c>
      <c r="AP239" t="s">
        <v>1511</v>
      </c>
      <c r="AQ239" s="245">
        <v>599.99</v>
      </c>
      <c r="AR239" t="s">
        <v>2391</v>
      </c>
      <c r="AS239" s="226" t="str">
        <f t="shared" si="6"/>
        <v>Black Pearl 97</v>
      </c>
      <c r="AT239" s="203" t="str">
        <f t="shared" si="7"/>
        <v xml:space="preserve"> BlizzardBlack Pearl 97165 Women's</v>
      </c>
    </row>
    <row r="240" spans="1:46" ht="79.2">
      <c r="A240" t="s">
        <v>155</v>
      </c>
      <c r="B240" t="s">
        <v>295</v>
      </c>
      <c r="C240" t="s">
        <v>458</v>
      </c>
      <c r="D240">
        <v>176</v>
      </c>
      <c r="E240" t="s">
        <v>158</v>
      </c>
      <c r="F240">
        <v>176</v>
      </c>
      <c r="G240">
        <v>173.3</v>
      </c>
      <c r="H240">
        <v>108</v>
      </c>
      <c r="I240">
        <v>147</v>
      </c>
      <c r="J240">
        <v>145</v>
      </c>
      <c r="K240">
        <v>110</v>
      </c>
      <c r="L240">
        <v>135</v>
      </c>
      <c r="M240">
        <v>17.7</v>
      </c>
      <c r="N240">
        <v>1781</v>
      </c>
      <c r="O240">
        <v>1.18</v>
      </c>
      <c r="P240">
        <v>2096</v>
      </c>
      <c r="Q240">
        <v>247</v>
      </c>
      <c r="R240">
        <v>108</v>
      </c>
      <c r="S240">
        <v>57</v>
      </c>
      <c r="T240">
        <v>354</v>
      </c>
      <c r="U240">
        <v>53</v>
      </c>
      <c r="V240">
        <v>304</v>
      </c>
      <c r="W240">
        <v>0.92400000000000004</v>
      </c>
      <c r="X240">
        <v>128</v>
      </c>
      <c r="Y240">
        <v>137</v>
      </c>
      <c r="Z240">
        <v>226</v>
      </c>
      <c r="AA240">
        <v>3</v>
      </c>
      <c r="AB240">
        <v>8.5</v>
      </c>
      <c r="AC240" t="s">
        <v>184</v>
      </c>
      <c r="AD240" t="s">
        <v>169</v>
      </c>
      <c r="AE240" t="s">
        <v>185</v>
      </c>
      <c r="AG240" t="s">
        <v>2392</v>
      </c>
      <c r="AH240" t="s">
        <v>1280</v>
      </c>
      <c r="AI240" s="245">
        <v>598.92999999999995</v>
      </c>
      <c r="AJ240" t="s">
        <v>2393</v>
      </c>
      <c r="AK240" t="s">
        <v>2392</v>
      </c>
      <c r="AL240" t="s">
        <v>2325</v>
      </c>
      <c r="AM240" s="245">
        <v>598.99</v>
      </c>
      <c r="AN240" t="s">
        <v>2394</v>
      </c>
      <c r="AO240" t="s">
        <v>2392</v>
      </c>
      <c r="AP240" t="s">
        <v>1833</v>
      </c>
      <c r="AQ240" s="245">
        <v>598.99</v>
      </c>
      <c r="AR240" t="s">
        <v>2395</v>
      </c>
      <c r="AS240" s="226" t="str">
        <f t="shared" si="6"/>
        <v>Nomad Lite 105</v>
      </c>
      <c r="AT240" s="203" t="str">
        <f t="shared" si="7"/>
        <v xml:space="preserve"> IcelanticNomad Lite 105176 Unisex</v>
      </c>
    </row>
    <row r="241" spans="1:46" ht="79.2">
      <c r="A241" t="s">
        <v>155</v>
      </c>
      <c r="B241" t="s">
        <v>156</v>
      </c>
      <c r="C241" t="s">
        <v>197</v>
      </c>
      <c r="D241">
        <v>175</v>
      </c>
      <c r="E241" t="s">
        <v>158</v>
      </c>
      <c r="F241">
        <v>175</v>
      </c>
      <c r="G241">
        <v>174.5</v>
      </c>
      <c r="H241">
        <v>114</v>
      </c>
      <c r="I241">
        <v>134</v>
      </c>
      <c r="J241">
        <v>135</v>
      </c>
      <c r="K241">
        <v>107</v>
      </c>
      <c r="L241">
        <v>122</v>
      </c>
      <c r="M241">
        <v>18.100000000000001</v>
      </c>
      <c r="N241">
        <v>1508</v>
      </c>
      <c r="O241">
        <v>1.33</v>
      </c>
      <c r="P241">
        <v>2013</v>
      </c>
      <c r="Q241">
        <v>178</v>
      </c>
      <c r="R241">
        <v>89</v>
      </c>
      <c r="S241">
        <v>51</v>
      </c>
      <c r="T241">
        <v>367</v>
      </c>
      <c r="U241">
        <v>16</v>
      </c>
      <c r="V241">
        <v>234</v>
      </c>
      <c r="W241">
        <v>0.32</v>
      </c>
      <c r="X241">
        <v>225</v>
      </c>
      <c r="Y241">
        <v>185</v>
      </c>
      <c r="Z241">
        <v>143</v>
      </c>
      <c r="AA241">
        <v>4</v>
      </c>
      <c r="AB241">
        <v>9.6999999999999993</v>
      </c>
      <c r="AC241" t="s">
        <v>178</v>
      </c>
      <c r="AD241" t="s">
        <v>185</v>
      </c>
      <c r="AE241" t="s">
        <v>198</v>
      </c>
      <c r="AG241" t="s">
        <v>2396</v>
      </c>
      <c r="AH241" t="s">
        <v>1271</v>
      </c>
      <c r="AI241" s="245">
        <v>429.93</v>
      </c>
      <c r="AJ241" t="s">
        <v>2397</v>
      </c>
      <c r="AK241" t="s">
        <v>2396</v>
      </c>
      <c r="AL241" t="s">
        <v>1248</v>
      </c>
      <c r="AM241" s="245">
        <v>489.99</v>
      </c>
      <c r="AN241" t="s">
        <v>2398</v>
      </c>
      <c r="AO241" t="s">
        <v>2399</v>
      </c>
      <c r="AP241" t="s">
        <v>1204</v>
      </c>
      <c r="AQ241" s="245">
        <v>521.29</v>
      </c>
      <c r="AR241" t="s">
        <v>2400</v>
      </c>
      <c r="AS241" s="226" t="str">
        <f t="shared" si="6"/>
        <v>Backland 107</v>
      </c>
      <c r="AT241" s="203" t="str">
        <f t="shared" si="7"/>
        <v xml:space="preserve"> AtomicBackland 107175 Unisex</v>
      </c>
    </row>
    <row r="242" spans="1:46" ht="184.8">
      <c r="A242" t="s">
        <v>155</v>
      </c>
      <c r="B242" t="s">
        <v>172</v>
      </c>
      <c r="C242" t="s">
        <v>460</v>
      </c>
      <c r="D242">
        <v>153</v>
      </c>
      <c r="E242" t="s">
        <v>163</v>
      </c>
      <c r="F242">
        <v>153</v>
      </c>
      <c r="G242">
        <v>152.5</v>
      </c>
      <c r="H242">
        <v>130</v>
      </c>
      <c r="I242">
        <v>139</v>
      </c>
      <c r="J242">
        <v>122</v>
      </c>
      <c r="K242">
        <v>73</v>
      </c>
      <c r="L242">
        <v>108</v>
      </c>
      <c r="M242">
        <v>11.2</v>
      </c>
      <c r="N242">
        <v>1630</v>
      </c>
      <c r="O242">
        <v>0.83</v>
      </c>
      <c r="P242">
        <v>1359</v>
      </c>
      <c r="Q242">
        <v>180</v>
      </c>
      <c r="R242">
        <v>77</v>
      </c>
      <c r="S242">
        <v>39</v>
      </c>
      <c r="T242">
        <v>149</v>
      </c>
      <c r="U242">
        <v>6</v>
      </c>
      <c r="V242">
        <v>73</v>
      </c>
      <c r="W242">
        <v>0.15</v>
      </c>
      <c r="X242">
        <v>75</v>
      </c>
      <c r="Y242">
        <v>63</v>
      </c>
      <c r="Z242">
        <v>74</v>
      </c>
      <c r="AA242">
        <v>7</v>
      </c>
      <c r="AB242">
        <v>9.6</v>
      </c>
      <c r="AC242" t="s">
        <v>349</v>
      </c>
      <c r="AG242" t="s">
        <v>2401</v>
      </c>
      <c r="AH242" t="s">
        <v>1229</v>
      </c>
      <c r="AI242" s="245">
        <v>449.99</v>
      </c>
      <c r="AJ242" t="s">
        <v>2402</v>
      </c>
      <c r="AK242" t="s">
        <v>2401</v>
      </c>
      <c r="AL242" t="s">
        <v>1179</v>
      </c>
      <c r="AM242" s="245">
        <v>639.95000000000005</v>
      </c>
      <c r="AN242" t="s">
        <v>2403</v>
      </c>
      <c r="AO242" t="s">
        <v>2404</v>
      </c>
      <c r="AP242" t="s">
        <v>1181</v>
      </c>
      <c r="AQ242" s="245">
        <v>1169.95</v>
      </c>
      <c r="AR242" t="s">
        <v>2405</v>
      </c>
      <c r="AS242" s="226" t="str">
        <f t="shared" si="6"/>
        <v>Nova 10 Ti</v>
      </c>
      <c r="AT242" s="203" t="str">
        <f t="shared" si="7"/>
        <v xml:space="preserve"> RossignolNova 10 Ti153 Women's</v>
      </c>
    </row>
    <row r="243" spans="1:46" ht="66">
      <c r="A243" t="s">
        <v>155</v>
      </c>
      <c r="B243" t="s">
        <v>1395</v>
      </c>
      <c r="C243" t="s">
        <v>461</v>
      </c>
      <c r="D243">
        <v>184</v>
      </c>
      <c r="E243" t="s">
        <v>158</v>
      </c>
      <c r="F243">
        <v>184</v>
      </c>
      <c r="G243">
        <v>184</v>
      </c>
      <c r="H243">
        <v>142</v>
      </c>
      <c r="I243">
        <v>162</v>
      </c>
      <c r="J243">
        <v>138</v>
      </c>
      <c r="K243">
        <v>96</v>
      </c>
      <c r="L243">
        <v>119</v>
      </c>
      <c r="M243">
        <v>19.5</v>
      </c>
      <c r="N243">
        <v>1366</v>
      </c>
      <c r="O243">
        <v>1.46</v>
      </c>
      <c r="P243">
        <v>1997</v>
      </c>
      <c r="Q243">
        <v>192</v>
      </c>
      <c r="R243">
        <v>82</v>
      </c>
      <c r="S243">
        <v>40</v>
      </c>
      <c r="T243">
        <v>346</v>
      </c>
      <c r="U243">
        <v>5</v>
      </c>
      <c r="V243">
        <v>69</v>
      </c>
      <c r="W243">
        <v>0.11899999999999999</v>
      </c>
      <c r="X243">
        <v>127</v>
      </c>
      <c r="Y243">
        <v>88</v>
      </c>
      <c r="Z243">
        <v>219</v>
      </c>
      <c r="AA243">
        <v>2</v>
      </c>
      <c r="AB243">
        <v>12.1</v>
      </c>
      <c r="AC243" t="s">
        <v>185</v>
      </c>
      <c r="AD243" t="s">
        <v>198</v>
      </c>
      <c r="AG243" t="s">
        <v>2406</v>
      </c>
      <c r="AH243" t="s">
        <v>1265</v>
      </c>
      <c r="AI243" s="245">
        <v>513.27</v>
      </c>
      <c r="AJ243" t="s">
        <v>2407</v>
      </c>
      <c r="AK243" t="s">
        <v>2408</v>
      </c>
      <c r="AL243" t="s">
        <v>1309</v>
      </c>
      <c r="AM243" s="245">
        <v>559.96</v>
      </c>
      <c r="AN243" t="s">
        <v>2409</v>
      </c>
      <c r="AO243" t="s">
        <v>2408</v>
      </c>
      <c r="AP243" t="s">
        <v>1244</v>
      </c>
      <c r="AQ243" s="245">
        <v>559.96</v>
      </c>
      <c r="AR243" t="s">
        <v>2410</v>
      </c>
      <c r="AS243" s="226" t="str">
        <f t="shared" si="6"/>
        <v>Rise Beyond 96</v>
      </c>
      <c r="AT243" s="203" t="str">
        <f t="shared" si="7"/>
        <v xml:space="preserve"> Vï¿½lklRise Beyond 96184 Unisex</v>
      </c>
    </row>
    <row r="244" spans="1:46" ht="92.4">
      <c r="A244" t="s">
        <v>155</v>
      </c>
      <c r="B244" t="s">
        <v>237</v>
      </c>
      <c r="C244" t="s">
        <v>238</v>
      </c>
      <c r="D244">
        <v>185.8</v>
      </c>
      <c r="E244" t="s">
        <v>158</v>
      </c>
      <c r="F244">
        <v>185.8</v>
      </c>
      <c r="G244">
        <v>184.5</v>
      </c>
      <c r="H244">
        <v>143</v>
      </c>
      <c r="I244">
        <v>152</v>
      </c>
      <c r="J244">
        <v>139</v>
      </c>
      <c r="K244">
        <v>100</v>
      </c>
      <c r="L244">
        <v>120</v>
      </c>
      <c r="M244">
        <v>19.100000000000001</v>
      </c>
      <c r="N244">
        <v>1800</v>
      </c>
      <c r="O244">
        <v>1.1499999999999999</v>
      </c>
      <c r="P244">
        <v>2071</v>
      </c>
      <c r="Q244">
        <v>239</v>
      </c>
      <c r="R244">
        <v>116</v>
      </c>
      <c r="S244">
        <v>41</v>
      </c>
      <c r="T244">
        <v>213</v>
      </c>
      <c r="U244">
        <v>15</v>
      </c>
      <c r="V244">
        <v>202</v>
      </c>
      <c r="W244">
        <v>0.371</v>
      </c>
      <c r="X244">
        <v>182</v>
      </c>
      <c r="Y244">
        <v>142</v>
      </c>
      <c r="Z244">
        <v>31</v>
      </c>
      <c r="AA244">
        <v>7</v>
      </c>
      <c r="AB244">
        <v>9.5</v>
      </c>
      <c r="AC244" t="s">
        <v>188</v>
      </c>
      <c r="AD244" t="s">
        <v>169</v>
      </c>
      <c r="AE244" t="s">
        <v>178</v>
      </c>
      <c r="AF244" t="s">
        <v>185</v>
      </c>
      <c r="AG244" t="s">
        <v>2411</v>
      </c>
      <c r="AH244" t="s">
        <v>1450</v>
      </c>
      <c r="AI244" s="245">
        <v>659.99</v>
      </c>
      <c r="AJ244" t="s">
        <v>2412</v>
      </c>
      <c r="AK244" t="s">
        <v>2411</v>
      </c>
      <c r="AL244" t="s">
        <v>1271</v>
      </c>
      <c r="AM244" s="245">
        <v>663.93</v>
      </c>
      <c r="AN244" t="s">
        <v>2413</v>
      </c>
      <c r="AO244" t="s">
        <v>2414</v>
      </c>
      <c r="AP244" t="s">
        <v>1320</v>
      </c>
      <c r="AQ244" s="245">
        <v>663.96</v>
      </c>
      <c r="AR244" t="s">
        <v>2415</v>
      </c>
      <c r="AS244" s="226" t="str">
        <f t="shared" si="6"/>
        <v>Navis Freebird</v>
      </c>
      <c r="AT244" s="203" t="str">
        <f t="shared" si="7"/>
        <v xml:space="preserve"> Black CrowsNavis Freebird185.8 Unisex</v>
      </c>
    </row>
    <row r="245" spans="1:46" ht="79.2">
      <c r="A245" t="s">
        <v>155</v>
      </c>
      <c r="B245" t="s">
        <v>245</v>
      </c>
      <c r="C245" t="s">
        <v>462</v>
      </c>
      <c r="D245">
        <v>172</v>
      </c>
      <c r="E245" t="s">
        <v>158</v>
      </c>
      <c r="F245">
        <v>172</v>
      </c>
      <c r="G245">
        <v>171.2</v>
      </c>
      <c r="H245">
        <v>117</v>
      </c>
      <c r="I245">
        <v>140</v>
      </c>
      <c r="J245">
        <v>138</v>
      </c>
      <c r="K245">
        <v>109</v>
      </c>
      <c r="L245">
        <v>128</v>
      </c>
      <c r="M245">
        <v>17.3</v>
      </c>
      <c r="N245">
        <v>1827</v>
      </c>
      <c r="O245">
        <v>1.1100000000000001</v>
      </c>
      <c r="P245">
        <v>2027</v>
      </c>
      <c r="Q245">
        <v>186</v>
      </c>
      <c r="R245">
        <v>91</v>
      </c>
      <c r="S245">
        <v>51</v>
      </c>
      <c r="T245">
        <v>340</v>
      </c>
      <c r="U245">
        <v>30</v>
      </c>
      <c r="V245">
        <v>205</v>
      </c>
      <c r="W245">
        <v>0.58699999999999997</v>
      </c>
      <c r="X245">
        <v>159</v>
      </c>
      <c r="Y245">
        <v>152</v>
      </c>
      <c r="Z245">
        <v>180</v>
      </c>
      <c r="AA245">
        <v>7</v>
      </c>
      <c r="AB245">
        <v>9.6</v>
      </c>
      <c r="AC245" t="s">
        <v>169</v>
      </c>
      <c r="AD245" t="s">
        <v>185</v>
      </c>
      <c r="AG245" t="s">
        <v>1717</v>
      </c>
      <c r="AH245" t="s">
        <v>1191</v>
      </c>
      <c r="AI245" s="245">
        <v>244.95</v>
      </c>
      <c r="AJ245" t="s">
        <v>2416</v>
      </c>
      <c r="AK245" t="s">
        <v>1721</v>
      </c>
      <c r="AL245" t="s">
        <v>1282</v>
      </c>
      <c r="AM245" s="245">
        <v>299</v>
      </c>
      <c r="AN245" t="s">
        <v>2417</v>
      </c>
      <c r="AO245" t="s">
        <v>1721</v>
      </c>
      <c r="AP245" t="s">
        <v>2418</v>
      </c>
      <c r="AQ245" s="245">
        <v>324.97000000000003</v>
      </c>
      <c r="AR245" t="s">
        <v>2419</v>
      </c>
      <c r="AS245" s="226" t="str">
        <f t="shared" si="6"/>
        <v>Ranger 115 FR Big Stix</v>
      </c>
      <c r="AT245" s="203" t="str">
        <f t="shared" si="7"/>
        <v xml:space="preserve"> FischerRanger 115 FR Big Stix172 Unisex</v>
      </c>
    </row>
    <row r="246" spans="1:46" ht="66">
      <c r="A246" t="s">
        <v>155</v>
      </c>
      <c r="B246" t="s">
        <v>205</v>
      </c>
      <c r="C246" t="s">
        <v>259</v>
      </c>
      <c r="D246">
        <v>173</v>
      </c>
      <c r="E246" t="s">
        <v>158</v>
      </c>
      <c r="F246">
        <v>173</v>
      </c>
      <c r="G246">
        <v>171.1</v>
      </c>
      <c r="H246">
        <v>112</v>
      </c>
      <c r="I246">
        <v>145</v>
      </c>
      <c r="J246">
        <v>131</v>
      </c>
      <c r="K246">
        <v>102</v>
      </c>
      <c r="L246">
        <v>127</v>
      </c>
      <c r="M246">
        <v>18.100000000000001</v>
      </c>
      <c r="N246">
        <v>1782</v>
      </c>
      <c r="O246">
        <v>1.07</v>
      </c>
      <c r="P246">
        <v>1913</v>
      </c>
      <c r="Q246">
        <v>213</v>
      </c>
      <c r="R246">
        <v>96</v>
      </c>
      <c r="S246">
        <v>57</v>
      </c>
      <c r="T246">
        <v>316</v>
      </c>
      <c r="U246">
        <v>51</v>
      </c>
      <c r="V246">
        <v>278</v>
      </c>
      <c r="W246">
        <v>0.88700000000000001</v>
      </c>
      <c r="X246">
        <v>136</v>
      </c>
      <c r="Y246">
        <v>123</v>
      </c>
      <c r="Z246">
        <v>179</v>
      </c>
      <c r="AA246">
        <v>5</v>
      </c>
      <c r="AB246">
        <v>4</v>
      </c>
      <c r="AC246" t="s">
        <v>184</v>
      </c>
      <c r="AD246" t="s">
        <v>169</v>
      </c>
      <c r="AE246" t="s">
        <v>185</v>
      </c>
      <c r="AG246" t="s">
        <v>2420</v>
      </c>
      <c r="AH246" t="s">
        <v>1280</v>
      </c>
      <c r="AI246" s="245">
        <v>488.93</v>
      </c>
      <c r="AJ246" t="s">
        <v>2421</v>
      </c>
      <c r="AK246" t="s">
        <v>2206</v>
      </c>
      <c r="AL246" t="s">
        <v>1244</v>
      </c>
      <c r="AM246" s="245">
        <v>489.27</v>
      </c>
      <c r="AN246" t="s">
        <v>2422</v>
      </c>
      <c r="AO246" t="s">
        <v>2423</v>
      </c>
      <c r="AP246" t="s">
        <v>1271</v>
      </c>
      <c r="AQ246" s="245">
        <v>619.92999999999995</v>
      </c>
      <c r="AR246" t="s">
        <v>2424</v>
      </c>
      <c r="AS246" s="226" t="str">
        <f t="shared" si="6"/>
        <v>CT 2.0</v>
      </c>
      <c r="AT246" s="203" t="str">
        <f t="shared" si="7"/>
        <v xml:space="preserve"> FactionCT 2.0173 Unisex</v>
      </c>
    </row>
    <row r="247" spans="1:46" ht="66">
      <c r="A247" t="s">
        <v>155</v>
      </c>
      <c r="B247" t="s">
        <v>237</v>
      </c>
      <c r="C247" t="s">
        <v>363</v>
      </c>
      <c r="D247">
        <v>174.1</v>
      </c>
      <c r="E247" t="s">
        <v>158</v>
      </c>
      <c r="F247">
        <v>174.1</v>
      </c>
      <c r="G247">
        <v>173.5</v>
      </c>
      <c r="H247">
        <v>117</v>
      </c>
      <c r="I247">
        <v>153</v>
      </c>
      <c r="J247">
        <v>129</v>
      </c>
      <c r="K247">
        <v>92</v>
      </c>
      <c r="L247">
        <v>112</v>
      </c>
      <c r="M247">
        <v>19.8</v>
      </c>
      <c r="N247">
        <v>1752</v>
      </c>
      <c r="O247">
        <v>1.02</v>
      </c>
      <c r="P247">
        <v>1784</v>
      </c>
      <c r="Q247">
        <v>185</v>
      </c>
      <c r="R247">
        <v>80</v>
      </c>
      <c r="S247">
        <v>42</v>
      </c>
      <c r="T247">
        <v>292</v>
      </c>
      <c r="U247">
        <v>14</v>
      </c>
      <c r="V247">
        <v>276</v>
      </c>
      <c r="W247">
        <v>0.32400000000000001</v>
      </c>
      <c r="X247">
        <v>107</v>
      </c>
      <c r="Y247">
        <v>95</v>
      </c>
      <c r="Z247">
        <v>185</v>
      </c>
      <c r="AA247">
        <v>3</v>
      </c>
      <c r="AB247">
        <v>8.5</v>
      </c>
      <c r="AC247" t="s">
        <v>188</v>
      </c>
      <c r="AG247" t="s">
        <v>1857</v>
      </c>
      <c r="AH247" t="s">
        <v>2425</v>
      </c>
      <c r="AI247" s="245">
        <v>669.95</v>
      </c>
      <c r="AJ247" t="s">
        <v>2426</v>
      </c>
      <c r="AK247" t="s">
        <v>1857</v>
      </c>
      <c r="AL247" t="s">
        <v>1858</v>
      </c>
      <c r="AM247" s="245">
        <v>671</v>
      </c>
      <c r="AN247" t="s">
        <v>2427</v>
      </c>
      <c r="AO247" t="s">
        <v>1857</v>
      </c>
      <c r="AP247" t="s">
        <v>1464</v>
      </c>
      <c r="AQ247" s="245">
        <v>671.9</v>
      </c>
      <c r="AR247" t="s">
        <v>2428</v>
      </c>
      <c r="AS247" s="226" t="str">
        <f t="shared" si="6"/>
        <v>Serpo</v>
      </c>
      <c r="AT247" s="203" t="str">
        <f t="shared" si="7"/>
        <v xml:space="preserve"> Black CrowsSerpo174.1 Unisex</v>
      </c>
    </row>
    <row r="248" spans="1:46" ht="52.8">
      <c r="A248" t="s">
        <v>155</v>
      </c>
      <c r="B248" t="s">
        <v>1395</v>
      </c>
      <c r="C248" t="s">
        <v>335</v>
      </c>
      <c r="D248">
        <v>179</v>
      </c>
      <c r="E248" t="s">
        <v>158</v>
      </c>
      <c r="F248">
        <v>179</v>
      </c>
      <c r="G248">
        <v>179.4</v>
      </c>
      <c r="H248">
        <v>111</v>
      </c>
      <c r="I248">
        <v>155</v>
      </c>
      <c r="J248">
        <v>145</v>
      </c>
      <c r="K248">
        <v>105</v>
      </c>
      <c r="L248">
        <v>127</v>
      </c>
      <c r="M248">
        <v>18.7</v>
      </c>
      <c r="N248">
        <v>1763</v>
      </c>
      <c r="O248">
        <v>1.19</v>
      </c>
      <c r="P248">
        <v>2103</v>
      </c>
      <c r="Q248">
        <v>187</v>
      </c>
      <c r="R248">
        <v>95</v>
      </c>
      <c r="S248">
        <v>52</v>
      </c>
      <c r="T248">
        <v>434</v>
      </c>
      <c r="U248">
        <v>22</v>
      </c>
      <c r="V248">
        <v>248</v>
      </c>
      <c r="W248">
        <v>0.42</v>
      </c>
      <c r="X248">
        <v>145</v>
      </c>
      <c r="Y248">
        <v>97</v>
      </c>
      <c r="Z248">
        <v>290</v>
      </c>
      <c r="AA248">
        <v>2</v>
      </c>
      <c r="AB248">
        <v>13</v>
      </c>
      <c r="AC248" t="s">
        <v>169</v>
      </c>
      <c r="AD248" t="s">
        <v>185</v>
      </c>
      <c r="AG248" t="s">
        <v>1752</v>
      </c>
      <c r="AH248" t="s">
        <v>1271</v>
      </c>
      <c r="AI248" s="245">
        <v>459.93</v>
      </c>
      <c r="AJ248" t="s">
        <v>2429</v>
      </c>
      <c r="AK248" t="s">
        <v>1754</v>
      </c>
      <c r="AL248" t="s">
        <v>1191</v>
      </c>
      <c r="AM248" s="245">
        <v>469.95</v>
      </c>
      <c r="AN248" t="s">
        <v>2430</v>
      </c>
      <c r="AO248" t="s">
        <v>1754</v>
      </c>
      <c r="AP248" t="s">
        <v>1179</v>
      </c>
      <c r="AQ248" s="245">
        <v>479.95</v>
      </c>
      <c r="AR248" t="s">
        <v>2431</v>
      </c>
      <c r="AS248" s="226" t="str">
        <f t="shared" si="6"/>
        <v>Blaze 106</v>
      </c>
      <c r="AT248" s="203" t="str">
        <f t="shared" si="7"/>
        <v xml:space="preserve"> Vï¿½lklBlaze 106179 Unisex</v>
      </c>
    </row>
    <row r="249" spans="1:46" ht="92.4">
      <c r="A249" t="s">
        <v>155</v>
      </c>
      <c r="B249" t="s">
        <v>208</v>
      </c>
      <c r="C249" t="s">
        <v>352</v>
      </c>
      <c r="D249">
        <v>172</v>
      </c>
      <c r="E249" t="s">
        <v>158</v>
      </c>
      <c r="F249">
        <v>172</v>
      </c>
      <c r="G249">
        <v>171.8</v>
      </c>
      <c r="H249">
        <v>113</v>
      </c>
      <c r="I249">
        <v>133</v>
      </c>
      <c r="J249">
        <v>136</v>
      </c>
      <c r="K249">
        <v>103</v>
      </c>
      <c r="L249">
        <v>120</v>
      </c>
      <c r="M249">
        <v>16.5</v>
      </c>
      <c r="N249">
        <v>1625</v>
      </c>
      <c r="O249">
        <v>1.2</v>
      </c>
      <c r="P249">
        <v>1949</v>
      </c>
      <c r="Q249">
        <v>158</v>
      </c>
      <c r="R249">
        <v>92</v>
      </c>
      <c r="S249">
        <v>50</v>
      </c>
      <c r="T249">
        <v>365</v>
      </c>
      <c r="U249">
        <v>20</v>
      </c>
      <c r="V249">
        <v>220</v>
      </c>
      <c r="W249">
        <v>0.40200000000000002</v>
      </c>
      <c r="X249">
        <v>189</v>
      </c>
      <c r="Y249">
        <v>198</v>
      </c>
      <c r="Z249">
        <v>176</v>
      </c>
      <c r="AA249">
        <v>6</v>
      </c>
      <c r="AB249">
        <v>10.199999999999999</v>
      </c>
      <c r="AC249" t="s">
        <v>188</v>
      </c>
      <c r="AD249" t="s">
        <v>169</v>
      </c>
      <c r="AE249" t="s">
        <v>185</v>
      </c>
      <c r="AG249" t="s">
        <v>2432</v>
      </c>
      <c r="AH249" t="s">
        <v>1858</v>
      </c>
      <c r="AI249" s="245">
        <v>479</v>
      </c>
      <c r="AJ249" t="s">
        <v>2433</v>
      </c>
      <c r="AK249" t="s">
        <v>2434</v>
      </c>
      <c r="AL249" t="s">
        <v>1240</v>
      </c>
      <c r="AM249" s="245">
        <v>529.95000000000005</v>
      </c>
      <c r="AN249" t="s">
        <v>2435</v>
      </c>
      <c r="AO249" t="s">
        <v>2436</v>
      </c>
      <c r="AP249" t="s">
        <v>1277</v>
      </c>
      <c r="AQ249" s="245">
        <v>539.95000000000005</v>
      </c>
      <c r="AR249" t="s">
        <v>2437</v>
      </c>
      <c r="AS249" s="226" t="str">
        <f t="shared" si="6"/>
        <v>Sick Day 104</v>
      </c>
      <c r="AT249" s="203" t="str">
        <f t="shared" si="7"/>
        <v xml:space="preserve"> LineSick Day 104172 Unisex</v>
      </c>
    </row>
    <row r="250" spans="1:46" ht="118.8">
      <c r="A250" t="s">
        <v>155</v>
      </c>
      <c r="B250" t="s">
        <v>317</v>
      </c>
      <c r="C250" t="s">
        <v>463</v>
      </c>
      <c r="D250">
        <v>180</v>
      </c>
      <c r="E250" t="s">
        <v>158</v>
      </c>
      <c r="F250">
        <v>180</v>
      </c>
      <c r="G250">
        <v>178.6</v>
      </c>
      <c r="H250">
        <v>121</v>
      </c>
      <c r="I250">
        <v>150</v>
      </c>
      <c r="J250">
        <v>127</v>
      </c>
      <c r="K250">
        <v>93</v>
      </c>
      <c r="L250">
        <v>117</v>
      </c>
      <c r="M250">
        <v>17.3</v>
      </c>
      <c r="N250">
        <v>2073</v>
      </c>
      <c r="O250">
        <v>0.91</v>
      </c>
      <c r="P250">
        <v>1880</v>
      </c>
      <c r="Q250">
        <v>230</v>
      </c>
      <c r="R250">
        <v>114</v>
      </c>
      <c r="S250">
        <v>63</v>
      </c>
      <c r="T250">
        <v>335</v>
      </c>
      <c r="U250">
        <v>27</v>
      </c>
      <c r="V250">
        <v>242</v>
      </c>
      <c r="W250">
        <v>0.42699999999999999</v>
      </c>
      <c r="X250">
        <v>148</v>
      </c>
      <c r="Y250">
        <v>140</v>
      </c>
      <c r="Z250">
        <v>187</v>
      </c>
      <c r="AA250">
        <v>3</v>
      </c>
      <c r="AB250">
        <v>7.9</v>
      </c>
      <c r="AC250" t="s">
        <v>188</v>
      </c>
      <c r="AG250" t="s">
        <v>2438</v>
      </c>
      <c r="AH250" t="s">
        <v>1400</v>
      </c>
      <c r="AI250" s="245">
        <v>479.95</v>
      </c>
      <c r="AJ250" t="s">
        <v>2439</v>
      </c>
      <c r="AK250" t="s">
        <v>2440</v>
      </c>
      <c r="AL250" t="s">
        <v>1706</v>
      </c>
      <c r="AM250" s="245">
        <v>479.95</v>
      </c>
      <c r="AN250" t="s">
        <v>2441</v>
      </c>
      <c r="AO250" t="s">
        <v>2442</v>
      </c>
      <c r="AP250" t="s">
        <v>1232</v>
      </c>
      <c r="AQ250" s="245">
        <v>479.95</v>
      </c>
      <c r="AR250" t="s">
        <v>2443</v>
      </c>
      <c r="AS250" s="226" t="str">
        <f t="shared" si="6"/>
        <v>Rustler 9</v>
      </c>
      <c r="AT250" s="203" t="str">
        <f t="shared" si="7"/>
        <v xml:space="preserve"> BlizzardRustler 9180 Unisex</v>
      </c>
    </row>
    <row r="251" spans="1:46" ht="79.2">
      <c r="A251" t="s">
        <v>155</v>
      </c>
      <c r="B251" t="s">
        <v>332</v>
      </c>
      <c r="C251" t="s">
        <v>465</v>
      </c>
      <c r="D251">
        <v>177</v>
      </c>
      <c r="E251" t="s">
        <v>158</v>
      </c>
      <c r="F251">
        <v>177</v>
      </c>
      <c r="G251">
        <v>175.3</v>
      </c>
      <c r="H251">
        <v>140</v>
      </c>
      <c r="I251">
        <v>152</v>
      </c>
      <c r="J251">
        <v>133</v>
      </c>
      <c r="K251">
        <v>96</v>
      </c>
      <c r="L251">
        <v>123</v>
      </c>
      <c r="M251">
        <v>16.899999999999999</v>
      </c>
      <c r="N251">
        <v>1992</v>
      </c>
      <c r="O251">
        <v>0.95</v>
      </c>
      <c r="P251">
        <v>1896</v>
      </c>
      <c r="Q251">
        <v>184</v>
      </c>
      <c r="R251">
        <v>91</v>
      </c>
      <c r="S251">
        <v>48</v>
      </c>
      <c r="T251">
        <v>177</v>
      </c>
      <c r="U251">
        <v>44</v>
      </c>
      <c r="V251">
        <v>175</v>
      </c>
      <c r="W251">
        <v>0.92200000000000004</v>
      </c>
      <c r="X251">
        <v>103</v>
      </c>
      <c r="Y251">
        <v>128</v>
      </c>
      <c r="Z251">
        <v>74</v>
      </c>
      <c r="AA251">
        <v>11</v>
      </c>
      <c r="AB251">
        <v>6</v>
      </c>
      <c r="AC251" t="s">
        <v>184</v>
      </c>
      <c r="AG251" t="s">
        <v>2444</v>
      </c>
      <c r="AH251" t="s">
        <v>1232</v>
      </c>
      <c r="AI251" s="245">
        <v>479.95</v>
      </c>
      <c r="AJ251" t="s">
        <v>2445</v>
      </c>
      <c r="AK251" t="s">
        <v>2444</v>
      </c>
      <c r="AL251" t="s">
        <v>2446</v>
      </c>
      <c r="AM251" s="245">
        <v>479.99</v>
      </c>
      <c r="AN251" t="s">
        <v>2447</v>
      </c>
      <c r="AO251" t="s">
        <v>2444</v>
      </c>
      <c r="AP251" t="s">
        <v>1400</v>
      </c>
      <c r="AQ251" s="245">
        <v>479.99</v>
      </c>
      <c r="AR251" t="s">
        <v>2448</v>
      </c>
      <c r="AS251" s="226" t="str">
        <f t="shared" si="6"/>
        <v>Soul Rider 97</v>
      </c>
      <c r="AT251" s="203" t="str">
        <f t="shared" si="7"/>
        <v xml:space="preserve"> NordicaSoul Rider 97177 Unisex</v>
      </c>
    </row>
    <row r="252" spans="1:46" ht="92.4">
      <c r="A252" t="s">
        <v>155</v>
      </c>
      <c r="B252" t="s">
        <v>245</v>
      </c>
      <c r="C252" t="s">
        <v>293</v>
      </c>
      <c r="D252">
        <v>177</v>
      </c>
      <c r="E252" t="s">
        <v>158</v>
      </c>
      <c r="F252">
        <v>177</v>
      </c>
      <c r="G252">
        <v>176</v>
      </c>
      <c r="H252">
        <v>113</v>
      </c>
      <c r="I252">
        <v>148</v>
      </c>
      <c r="J252">
        <v>125</v>
      </c>
      <c r="K252">
        <v>91</v>
      </c>
      <c r="L252">
        <v>116</v>
      </c>
      <c r="M252">
        <v>15</v>
      </c>
      <c r="N252">
        <v>1867</v>
      </c>
      <c r="O252">
        <v>0.98</v>
      </c>
      <c r="P252">
        <v>1837</v>
      </c>
      <c r="Q252">
        <v>221</v>
      </c>
      <c r="R252">
        <v>114</v>
      </c>
      <c r="S252">
        <v>56</v>
      </c>
      <c r="T252">
        <v>387</v>
      </c>
      <c r="U252">
        <v>34</v>
      </c>
      <c r="V252">
        <v>241</v>
      </c>
      <c r="W252">
        <v>0.60699999999999998</v>
      </c>
      <c r="X252">
        <v>146</v>
      </c>
      <c r="Y252">
        <v>139</v>
      </c>
      <c r="Z252">
        <v>241</v>
      </c>
      <c r="AA252">
        <v>5</v>
      </c>
      <c r="AB252">
        <v>8.9</v>
      </c>
      <c r="AC252" t="s">
        <v>188</v>
      </c>
      <c r="AG252" t="s">
        <v>1759</v>
      </c>
      <c r="AH252" t="s">
        <v>1271</v>
      </c>
      <c r="AI252" s="245">
        <v>419.99</v>
      </c>
      <c r="AJ252" t="s">
        <v>2449</v>
      </c>
      <c r="AK252" t="s">
        <v>1504</v>
      </c>
      <c r="AL252" t="s">
        <v>1204</v>
      </c>
      <c r="AM252" s="245">
        <v>521.29</v>
      </c>
      <c r="AN252" t="s">
        <v>2450</v>
      </c>
      <c r="AO252" t="s">
        <v>1761</v>
      </c>
      <c r="AP252" t="s">
        <v>1455</v>
      </c>
      <c r="AQ252" s="245">
        <v>699.99</v>
      </c>
      <c r="AR252" t="s">
        <v>2451</v>
      </c>
      <c r="AS252" s="226" t="str">
        <f t="shared" si="6"/>
        <v>Ranger 94 FR</v>
      </c>
      <c r="AT252" s="203" t="str">
        <f t="shared" si="7"/>
        <v xml:space="preserve"> FischerRanger 94 FR177 Unisex</v>
      </c>
    </row>
    <row r="253" spans="1:46" ht="132">
      <c r="A253" t="s">
        <v>155</v>
      </c>
      <c r="B253" t="s">
        <v>1395</v>
      </c>
      <c r="C253" t="s">
        <v>319</v>
      </c>
      <c r="D253">
        <v>156</v>
      </c>
      <c r="E253" t="s">
        <v>163</v>
      </c>
      <c r="F253">
        <v>156</v>
      </c>
      <c r="G253">
        <v>155.80000000000001</v>
      </c>
      <c r="H253">
        <v>112</v>
      </c>
      <c r="I253">
        <v>133</v>
      </c>
      <c r="J253">
        <v>135</v>
      </c>
      <c r="K253">
        <v>95</v>
      </c>
      <c r="L253">
        <v>118</v>
      </c>
      <c r="M253">
        <v>13.2</v>
      </c>
      <c r="N253">
        <v>1700</v>
      </c>
      <c r="O253">
        <v>0.99</v>
      </c>
      <c r="P253">
        <v>1679</v>
      </c>
      <c r="Q253">
        <v>173</v>
      </c>
      <c r="R253">
        <v>120</v>
      </c>
      <c r="S253">
        <v>44</v>
      </c>
      <c r="T253">
        <v>257</v>
      </c>
      <c r="U253">
        <v>16</v>
      </c>
      <c r="V253">
        <v>177</v>
      </c>
      <c r="W253">
        <v>0.35699999999999998</v>
      </c>
      <c r="X253">
        <v>125</v>
      </c>
      <c r="Y253">
        <v>101</v>
      </c>
      <c r="Z253">
        <v>132</v>
      </c>
      <c r="AA253">
        <v>3</v>
      </c>
      <c r="AB253">
        <v>11.8</v>
      </c>
      <c r="AC253" t="s">
        <v>188</v>
      </c>
      <c r="AG253" t="s">
        <v>2452</v>
      </c>
      <c r="AH253" t="s">
        <v>1277</v>
      </c>
      <c r="AI253" s="245">
        <v>399</v>
      </c>
      <c r="AJ253" t="s">
        <v>2453</v>
      </c>
      <c r="AK253" t="s">
        <v>2454</v>
      </c>
      <c r="AL253" t="s">
        <v>1232</v>
      </c>
      <c r="AM253" s="245">
        <v>559.95000000000005</v>
      </c>
      <c r="AN253" t="s">
        <v>2455</v>
      </c>
      <c r="AO253" t="s">
        <v>2456</v>
      </c>
      <c r="AP253" t="s">
        <v>1706</v>
      </c>
      <c r="AQ253" s="245">
        <v>559.95000000000005</v>
      </c>
      <c r="AR253" t="s">
        <v>2457</v>
      </c>
      <c r="AS253" s="226" t="str">
        <f t="shared" si="6"/>
        <v>Secret 96</v>
      </c>
      <c r="AT253" s="203" t="str">
        <f t="shared" si="7"/>
        <v xml:space="preserve"> Vï¿½lklSecret 96156 Women's</v>
      </c>
    </row>
    <row r="254" spans="1:46" ht="52.8">
      <c r="A254" t="s">
        <v>155</v>
      </c>
      <c r="B254" t="s">
        <v>208</v>
      </c>
      <c r="C254" t="s">
        <v>452</v>
      </c>
      <c r="D254">
        <v>174</v>
      </c>
      <c r="E254" t="s">
        <v>158</v>
      </c>
      <c r="F254">
        <v>174</v>
      </c>
      <c r="G254">
        <v>174</v>
      </c>
      <c r="H254">
        <v>137</v>
      </c>
      <c r="I254">
        <v>142</v>
      </c>
      <c r="J254">
        <v>149</v>
      </c>
      <c r="K254">
        <v>104</v>
      </c>
      <c r="L254">
        <v>128</v>
      </c>
      <c r="M254">
        <v>14.4</v>
      </c>
      <c r="N254">
        <v>1720</v>
      </c>
      <c r="O254">
        <v>1.17</v>
      </c>
      <c r="P254">
        <v>2017</v>
      </c>
      <c r="Q254">
        <v>145</v>
      </c>
      <c r="R254">
        <v>84</v>
      </c>
      <c r="S254">
        <v>48</v>
      </c>
      <c r="T254">
        <v>368</v>
      </c>
      <c r="U254">
        <v>0</v>
      </c>
      <c r="V254">
        <v>0</v>
      </c>
      <c r="W254">
        <v>1E-3</v>
      </c>
      <c r="X254">
        <v>169</v>
      </c>
      <c r="Y254">
        <v>148</v>
      </c>
      <c r="Z254">
        <v>200</v>
      </c>
      <c r="AA254">
        <v>6</v>
      </c>
      <c r="AB254">
        <v>10.7</v>
      </c>
      <c r="AC254" t="s">
        <v>188</v>
      </c>
      <c r="AD254" t="s">
        <v>178</v>
      </c>
      <c r="AE254" t="s">
        <v>185</v>
      </c>
      <c r="AG254" t="s">
        <v>2458</v>
      </c>
      <c r="AH254" t="s">
        <v>1848</v>
      </c>
      <c r="AI254" s="245">
        <v>412.86</v>
      </c>
      <c r="AJ254" t="s">
        <v>2459</v>
      </c>
      <c r="AK254" t="s">
        <v>2460</v>
      </c>
      <c r="AL254" t="s">
        <v>1265</v>
      </c>
      <c r="AM254" s="245">
        <v>513.27</v>
      </c>
      <c r="AN254" t="s">
        <v>2461</v>
      </c>
      <c r="AO254" t="s">
        <v>2458</v>
      </c>
      <c r="AP254" t="s">
        <v>1950</v>
      </c>
      <c r="AQ254" s="245">
        <v>749.95</v>
      </c>
      <c r="AR254" t="s">
        <v>2462</v>
      </c>
      <c r="AS254" s="226" t="str">
        <f t="shared" si="6"/>
        <v>Sakana</v>
      </c>
      <c r="AT254" s="203" t="str">
        <f t="shared" si="7"/>
        <v xml:space="preserve"> LineSakana174 Unisex</v>
      </c>
    </row>
    <row r="255" spans="1:46" ht="158.4">
      <c r="A255" t="s">
        <v>155</v>
      </c>
      <c r="B255" t="s">
        <v>167</v>
      </c>
      <c r="C255" t="s">
        <v>466</v>
      </c>
      <c r="D255">
        <v>163</v>
      </c>
      <c r="E255" t="s">
        <v>163</v>
      </c>
      <c r="F255">
        <v>163</v>
      </c>
      <c r="G255">
        <v>162.6</v>
      </c>
      <c r="H255">
        <v>128</v>
      </c>
      <c r="I255">
        <v>135</v>
      </c>
      <c r="J255">
        <v>123</v>
      </c>
      <c r="K255">
        <v>82</v>
      </c>
      <c r="L255">
        <v>104</v>
      </c>
      <c r="M255">
        <v>13.7</v>
      </c>
      <c r="N255">
        <v>1444</v>
      </c>
      <c r="O255">
        <v>1.08</v>
      </c>
      <c r="P255">
        <v>1555</v>
      </c>
      <c r="Q255">
        <v>209</v>
      </c>
      <c r="R255">
        <v>96</v>
      </c>
      <c r="S255">
        <v>45</v>
      </c>
      <c r="T255">
        <v>210</v>
      </c>
      <c r="U255">
        <v>11</v>
      </c>
      <c r="V255">
        <v>135</v>
      </c>
      <c r="W255">
        <v>0.23799999999999999</v>
      </c>
      <c r="X255">
        <v>140</v>
      </c>
      <c r="Y255">
        <v>132</v>
      </c>
      <c r="Z255">
        <v>70</v>
      </c>
      <c r="AA255">
        <v>6</v>
      </c>
      <c r="AB255">
        <v>8.6999999999999993</v>
      </c>
      <c r="AC255" t="s">
        <v>231</v>
      </c>
      <c r="AD255" t="s">
        <v>188</v>
      </c>
      <c r="AE255" t="s">
        <v>185</v>
      </c>
      <c r="AG255" t="s">
        <v>2463</v>
      </c>
      <c r="AH255" t="s">
        <v>1320</v>
      </c>
      <c r="AI255" s="245">
        <v>489</v>
      </c>
      <c r="AJ255" t="s">
        <v>2464</v>
      </c>
      <c r="AK255" t="s">
        <v>2465</v>
      </c>
      <c r="AL255" t="s">
        <v>2031</v>
      </c>
      <c r="AM255" s="245">
        <v>549</v>
      </c>
      <c r="AN255" t="s">
        <v>2466</v>
      </c>
      <c r="AO255" t="s">
        <v>2467</v>
      </c>
      <c r="AP255" t="s">
        <v>1191</v>
      </c>
      <c r="AQ255" s="245">
        <v>609.95000000000005</v>
      </c>
      <c r="AR255" t="s">
        <v>2468</v>
      </c>
      <c r="AS255" s="226" t="str">
        <f t="shared" si="6"/>
        <v>Kore 85 W</v>
      </c>
      <c r="AT255" s="203" t="str">
        <f t="shared" si="7"/>
        <v xml:space="preserve"> HeadKore 85 W163 Women's</v>
      </c>
    </row>
    <row r="256" spans="1:46" ht="26.4">
      <c r="A256" t="s">
        <v>155</v>
      </c>
      <c r="B256" t="s">
        <v>321</v>
      </c>
      <c r="C256" t="s">
        <v>365</v>
      </c>
      <c r="D256">
        <v>164</v>
      </c>
      <c r="E256" t="s">
        <v>158</v>
      </c>
      <c r="F256">
        <v>164</v>
      </c>
      <c r="G256">
        <v>164.8</v>
      </c>
      <c r="H256">
        <v>110</v>
      </c>
      <c r="I256">
        <v>131</v>
      </c>
      <c r="J256">
        <v>132</v>
      </c>
      <c r="K256">
        <v>103</v>
      </c>
      <c r="L256">
        <v>124</v>
      </c>
      <c r="M256">
        <v>14.2</v>
      </c>
      <c r="N256">
        <v>1634</v>
      </c>
      <c r="O256">
        <v>1.1499999999999999</v>
      </c>
      <c r="P256">
        <v>1876</v>
      </c>
      <c r="Q256">
        <v>194</v>
      </c>
      <c r="R256">
        <v>73</v>
      </c>
      <c r="S256">
        <v>46</v>
      </c>
      <c r="T256">
        <v>324</v>
      </c>
      <c r="U256">
        <v>27</v>
      </c>
      <c r="V256">
        <v>222</v>
      </c>
      <c r="W256">
        <v>0.58499999999999996</v>
      </c>
      <c r="X256">
        <v>227</v>
      </c>
      <c r="Y256">
        <v>107</v>
      </c>
      <c r="Z256">
        <v>97</v>
      </c>
      <c r="AA256">
        <v>10</v>
      </c>
      <c r="AB256">
        <v>7.9</v>
      </c>
      <c r="AC256" t="s">
        <v>188</v>
      </c>
      <c r="AD256" t="s">
        <v>169</v>
      </c>
      <c r="AE256" t="s">
        <v>185</v>
      </c>
      <c r="AS256" s="226" t="str">
        <f t="shared" si="6"/>
        <v>Pionnier 104</v>
      </c>
      <c r="AT256" s="203" t="str">
        <f t="shared" si="7"/>
        <v xml:space="preserve"> FerreolPionnier 104164 Unisex</v>
      </c>
    </row>
    <row r="257" spans="1:46" ht="52.8">
      <c r="A257" t="s">
        <v>155</v>
      </c>
      <c r="B257" t="s">
        <v>208</v>
      </c>
      <c r="C257" t="s">
        <v>416</v>
      </c>
      <c r="D257">
        <v>172</v>
      </c>
      <c r="E257" t="s">
        <v>158</v>
      </c>
      <c r="F257">
        <v>172</v>
      </c>
      <c r="G257">
        <v>172.2</v>
      </c>
      <c r="H257">
        <v>129</v>
      </c>
      <c r="I257">
        <v>144</v>
      </c>
      <c r="J257">
        <v>131</v>
      </c>
      <c r="K257">
        <v>93</v>
      </c>
      <c r="L257">
        <v>116</v>
      </c>
      <c r="M257">
        <v>16.399999999999999</v>
      </c>
      <c r="N257">
        <v>1500</v>
      </c>
      <c r="O257">
        <v>1.21</v>
      </c>
      <c r="P257">
        <v>1811</v>
      </c>
      <c r="Q257">
        <v>146</v>
      </c>
      <c r="R257">
        <v>77</v>
      </c>
      <c r="S257">
        <v>48</v>
      </c>
      <c r="T257">
        <v>277</v>
      </c>
      <c r="U257">
        <v>19</v>
      </c>
      <c r="V257">
        <v>155</v>
      </c>
      <c r="W257">
        <v>0.39399999999999902</v>
      </c>
      <c r="X257">
        <v>153</v>
      </c>
      <c r="Y257">
        <v>126</v>
      </c>
      <c r="Z257">
        <v>124</v>
      </c>
      <c r="AA257">
        <v>7</v>
      </c>
      <c r="AB257">
        <v>9.1999999999999993</v>
      </c>
      <c r="AC257" t="s">
        <v>188</v>
      </c>
      <c r="AD257" t="s">
        <v>185</v>
      </c>
      <c r="AG257" t="s">
        <v>2128</v>
      </c>
      <c r="AH257" t="s">
        <v>1349</v>
      </c>
      <c r="AI257" s="245">
        <v>348.3</v>
      </c>
      <c r="AJ257" t="s">
        <v>2469</v>
      </c>
      <c r="AK257" t="s">
        <v>2128</v>
      </c>
      <c r="AL257" t="s">
        <v>1226</v>
      </c>
      <c r="AM257" s="245">
        <v>499.95</v>
      </c>
      <c r="AN257" t="s">
        <v>2470</v>
      </c>
      <c r="AO257" t="s">
        <v>2128</v>
      </c>
      <c r="AP257" t="s">
        <v>1294</v>
      </c>
      <c r="AQ257" s="245">
        <v>499.95</v>
      </c>
      <c r="AR257" t="s">
        <v>2471</v>
      </c>
      <c r="AS257" s="226" t="str">
        <f t="shared" si="6"/>
        <v>Sick Day 94</v>
      </c>
      <c r="AT257" s="203" t="str">
        <f t="shared" si="7"/>
        <v xml:space="preserve"> LineSick Day 94172 Unisex</v>
      </c>
    </row>
    <row r="258" spans="1:46" ht="92.4">
      <c r="A258" t="s">
        <v>155</v>
      </c>
      <c r="B258" t="s">
        <v>172</v>
      </c>
      <c r="C258" t="s">
        <v>442</v>
      </c>
      <c r="D258">
        <v>154</v>
      </c>
      <c r="E258" t="s">
        <v>163</v>
      </c>
      <c r="F258">
        <v>154</v>
      </c>
      <c r="G258">
        <v>154.4</v>
      </c>
      <c r="H258">
        <v>100</v>
      </c>
      <c r="I258">
        <v>129</v>
      </c>
      <c r="J258">
        <v>136</v>
      </c>
      <c r="K258">
        <v>99</v>
      </c>
      <c r="L258">
        <v>127</v>
      </c>
      <c r="M258">
        <v>11.1</v>
      </c>
      <c r="N258">
        <v>1623</v>
      </c>
      <c r="O258">
        <v>1.07</v>
      </c>
      <c r="P258">
        <v>1736</v>
      </c>
      <c r="Q258">
        <v>205</v>
      </c>
      <c r="R258">
        <v>81</v>
      </c>
      <c r="S258">
        <v>49</v>
      </c>
      <c r="T258">
        <v>304</v>
      </c>
      <c r="U258">
        <v>14</v>
      </c>
      <c r="V258">
        <v>237</v>
      </c>
      <c r="W258">
        <v>0.27500000000000002</v>
      </c>
      <c r="X258">
        <v>147</v>
      </c>
      <c r="Y258">
        <v>106</v>
      </c>
      <c r="Z258">
        <v>157</v>
      </c>
      <c r="AA258">
        <v>3</v>
      </c>
      <c r="AB258">
        <v>6</v>
      </c>
      <c r="AC258" t="s">
        <v>188</v>
      </c>
      <c r="AD258" t="s">
        <v>185</v>
      </c>
      <c r="AG258" t="s">
        <v>2472</v>
      </c>
      <c r="AH258" t="s">
        <v>1204</v>
      </c>
      <c r="AI258" s="245">
        <v>521.29</v>
      </c>
      <c r="AJ258" t="s">
        <v>2473</v>
      </c>
      <c r="AK258" t="s">
        <v>2273</v>
      </c>
      <c r="AL258" t="s">
        <v>1280</v>
      </c>
      <c r="AM258" s="245">
        <v>559.92999999999995</v>
      </c>
      <c r="AN258" t="s">
        <v>2474</v>
      </c>
      <c r="AO258" t="s">
        <v>2273</v>
      </c>
      <c r="AP258" t="s">
        <v>1282</v>
      </c>
      <c r="AQ258" s="245">
        <v>559.96</v>
      </c>
      <c r="AR258" t="s">
        <v>2475</v>
      </c>
      <c r="AS258" s="226" t="str">
        <f t="shared" ref="AS258:AS321" si="8">IF(LEFT(C258,1)=" ",RIGHT(C258,LEN(C258)-1),C258)</f>
        <v>Blackops Rallybird W</v>
      </c>
      <c r="AT258" s="203" t="str">
        <f t="shared" ref="AT258:AT321" si="9">_xlfn.CONCAT(B258,AS258,D258,E258)</f>
        <v xml:space="preserve"> RossignolBlackops Rallybird W154 Women's</v>
      </c>
    </row>
    <row r="259" spans="1:46" ht="79.2">
      <c r="A259" t="s">
        <v>155</v>
      </c>
      <c r="B259" t="s">
        <v>1361</v>
      </c>
      <c r="C259" t="s">
        <v>467</v>
      </c>
      <c r="D259">
        <v>173</v>
      </c>
      <c r="E259" t="s">
        <v>158</v>
      </c>
      <c r="F259">
        <v>173</v>
      </c>
      <c r="G259">
        <v>171.2</v>
      </c>
      <c r="H259">
        <v>135</v>
      </c>
      <c r="I259">
        <v>143</v>
      </c>
      <c r="J259">
        <v>135</v>
      </c>
      <c r="K259">
        <v>102</v>
      </c>
      <c r="L259">
        <v>124</v>
      </c>
      <c r="M259">
        <v>16.899999999999999</v>
      </c>
      <c r="N259">
        <v>1817</v>
      </c>
      <c r="O259">
        <v>1.06</v>
      </c>
      <c r="P259">
        <v>1933</v>
      </c>
      <c r="Q259">
        <v>190</v>
      </c>
      <c r="R259">
        <v>104</v>
      </c>
      <c r="S259">
        <v>58</v>
      </c>
      <c r="T259">
        <v>252</v>
      </c>
      <c r="U259">
        <v>10</v>
      </c>
      <c r="V259">
        <v>107</v>
      </c>
      <c r="W259">
        <v>0.17799999999999999</v>
      </c>
      <c r="X259">
        <v>193</v>
      </c>
      <c r="Y259">
        <v>87</v>
      </c>
      <c r="Z259">
        <v>59</v>
      </c>
      <c r="AA259">
        <v>4</v>
      </c>
      <c r="AB259">
        <v>12.6</v>
      </c>
      <c r="AC259" t="s">
        <v>188</v>
      </c>
      <c r="AD259" t="s">
        <v>178</v>
      </c>
      <c r="AE259" t="s">
        <v>185</v>
      </c>
      <c r="AG259" t="s">
        <v>2476</v>
      </c>
      <c r="AH259" t="s">
        <v>1271</v>
      </c>
      <c r="AI259" s="245">
        <v>1149.99</v>
      </c>
      <c r="AJ259" t="s">
        <v>2477</v>
      </c>
      <c r="AK259" t="s">
        <v>2476</v>
      </c>
      <c r="AL259" t="s">
        <v>1181</v>
      </c>
      <c r="AM259" s="245">
        <v>1249</v>
      </c>
      <c r="AN259" t="s">
        <v>2478</v>
      </c>
      <c r="AO259" t="s">
        <v>2479</v>
      </c>
      <c r="AP259" t="s">
        <v>1627</v>
      </c>
      <c r="AQ259" s="245">
        <v>1249</v>
      </c>
      <c r="AR259" t="s">
        <v>2480</v>
      </c>
      <c r="AS259" s="226" t="str">
        <f t="shared" si="8"/>
        <v>Stormrider 102</v>
      </c>
      <c r="AT259" s="203" t="str">
        <f t="shared" si="9"/>
        <v xml:space="preserve"> Stï¿½ckliStormrider 102173 Unisex</v>
      </c>
    </row>
    <row r="260" spans="1:46" ht="66">
      <c r="A260" t="s">
        <v>155</v>
      </c>
      <c r="B260" t="s">
        <v>202</v>
      </c>
      <c r="C260" t="s">
        <v>420</v>
      </c>
      <c r="D260">
        <v>170</v>
      </c>
      <c r="E260" t="s">
        <v>158</v>
      </c>
      <c r="F260">
        <v>170</v>
      </c>
      <c r="G260">
        <v>171.1</v>
      </c>
      <c r="H260">
        <v>139</v>
      </c>
      <c r="I260">
        <v>140</v>
      </c>
      <c r="J260">
        <v>121</v>
      </c>
      <c r="K260">
        <v>82</v>
      </c>
      <c r="L260">
        <v>103</v>
      </c>
      <c r="M260">
        <v>15.6</v>
      </c>
      <c r="N260">
        <v>1610</v>
      </c>
      <c r="O260">
        <v>1</v>
      </c>
      <c r="P260">
        <v>1615</v>
      </c>
      <c r="Q260">
        <v>186</v>
      </c>
      <c r="R260">
        <v>84</v>
      </c>
      <c r="S260">
        <v>41</v>
      </c>
      <c r="T260">
        <v>260</v>
      </c>
      <c r="U260">
        <v>5</v>
      </c>
      <c r="V260">
        <v>59</v>
      </c>
      <c r="W260">
        <v>0.115</v>
      </c>
      <c r="X260">
        <v>164</v>
      </c>
      <c r="Y260">
        <v>148</v>
      </c>
      <c r="Z260">
        <v>96</v>
      </c>
      <c r="AA260">
        <v>11</v>
      </c>
      <c r="AB260">
        <v>6.2</v>
      </c>
      <c r="AC260" t="s">
        <v>231</v>
      </c>
      <c r="AD260" t="s">
        <v>188</v>
      </c>
      <c r="AG260" t="s">
        <v>2481</v>
      </c>
      <c r="AH260" t="s">
        <v>1248</v>
      </c>
      <c r="AI260" s="245">
        <v>349.97</v>
      </c>
      <c r="AJ260" t="s">
        <v>2482</v>
      </c>
      <c r="AK260" t="s">
        <v>2481</v>
      </c>
      <c r="AL260" t="s">
        <v>1232</v>
      </c>
      <c r="AM260" s="245">
        <v>399.95</v>
      </c>
      <c r="AN260" t="s">
        <v>2483</v>
      </c>
      <c r="AO260" t="s">
        <v>2481</v>
      </c>
      <c r="AP260" t="s">
        <v>1271</v>
      </c>
      <c r="AQ260" s="245">
        <v>399.95</v>
      </c>
      <c r="AR260" t="s">
        <v>2484</v>
      </c>
      <c r="AS260" s="226" t="str">
        <f t="shared" si="8"/>
        <v>M-Pro 84</v>
      </c>
      <c r="AT260" s="203" t="str">
        <f t="shared" si="9"/>
        <v xml:space="preserve"> DynastarM-Pro 84170 Unisex</v>
      </c>
    </row>
    <row r="261" spans="1:46" ht="105.6">
      <c r="A261" t="s">
        <v>155</v>
      </c>
      <c r="B261" t="s">
        <v>172</v>
      </c>
      <c r="C261" t="s">
        <v>469</v>
      </c>
      <c r="D261">
        <v>176</v>
      </c>
      <c r="E261" t="s">
        <v>158</v>
      </c>
      <c r="F261">
        <v>176</v>
      </c>
      <c r="G261">
        <v>174.4</v>
      </c>
      <c r="H261">
        <v>134</v>
      </c>
      <c r="I261">
        <v>160</v>
      </c>
      <c r="J261">
        <v>125</v>
      </c>
      <c r="K261">
        <v>80</v>
      </c>
      <c r="L261">
        <v>113</v>
      </c>
      <c r="M261">
        <v>16</v>
      </c>
      <c r="N261">
        <v>1805</v>
      </c>
      <c r="O261">
        <v>0.91</v>
      </c>
      <c r="P261">
        <v>1639</v>
      </c>
      <c r="Q261">
        <v>241</v>
      </c>
      <c r="R261">
        <v>89</v>
      </c>
      <c r="S261">
        <v>48</v>
      </c>
      <c r="T261">
        <v>266</v>
      </c>
      <c r="U261">
        <v>14</v>
      </c>
      <c r="V261">
        <v>134</v>
      </c>
      <c r="W261">
        <v>0.28499999999999998</v>
      </c>
      <c r="X261">
        <v>77</v>
      </c>
      <c r="Y261">
        <v>65</v>
      </c>
      <c r="Z261">
        <v>189</v>
      </c>
      <c r="AA261">
        <v>7</v>
      </c>
      <c r="AB261">
        <v>6.1</v>
      </c>
      <c r="AC261" t="s">
        <v>160</v>
      </c>
      <c r="AG261" t="s">
        <v>2485</v>
      </c>
      <c r="AH261" t="s">
        <v>1191</v>
      </c>
      <c r="AI261" s="245">
        <v>469.95</v>
      </c>
      <c r="AJ261" t="s">
        <v>2486</v>
      </c>
      <c r="AK261" t="s">
        <v>1790</v>
      </c>
      <c r="AL261" t="s">
        <v>1301</v>
      </c>
      <c r="AM261" s="245">
        <v>479.96</v>
      </c>
      <c r="AN261" t="s">
        <v>2487</v>
      </c>
      <c r="AO261" t="s">
        <v>2488</v>
      </c>
      <c r="AP261" t="s">
        <v>1218</v>
      </c>
      <c r="AQ261" s="245">
        <v>559.95000000000005</v>
      </c>
      <c r="AR261" t="s">
        <v>2489</v>
      </c>
      <c r="AS261" s="226" t="str">
        <f t="shared" si="8"/>
        <v>Experience 82 Basalt</v>
      </c>
      <c r="AT261" s="203" t="str">
        <f t="shared" si="9"/>
        <v xml:space="preserve"> RossignolExperience 82 Basalt176 Unisex</v>
      </c>
    </row>
    <row r="262" spans="1:46" ht="132">
      <c r="A262" t="s">
        <v>155</v>
      </c>
      <c r="B262" t="s">
        <v>1395</v>
      </c>
      <c r="C262" t="s">
        <v>470</v>
      </c>
      <c r="D262">
        <v>172</v>
      </c>
      <c r="E262" t="s">
        <v>158</v>
      </c>
      <c r="F262">
        <v>172</v>
      </c>
      <c r="G262">
        <v>173</v>
      </c>
      <c r="H262">
        <v>129</v>
      </c>
      <c r="I262">
        <v>159</v>
      </c>
      <c r="J262">
        <v>119</v>
      </c>
      <c r="K262">
        <v>85</v>
      </c>
      <c r="L262">
        <v>109</v>
      </c>
      <c r="M262">
        <v>21.2</v>
      </c>
      <c r="N262">
        <v>1754</v>
      </c>
      <c r="O262">
        <v>0.94</v>
      </c>
      <c r="P262">
        <v>1655</v>
      </c>
      <c r="Q262">
        <v>188</v>
      </c>
      <c r="R262">
        <v>92</v>
      </c>
      <c r="S262">
        <v>42</v>
      </c>
      <c r="T262">
        <v>226</v>
      </c>
      <c r="U262">
        <v>36</v>
      </c>
      <c r="V262">
        <v>210</v>
      </c>
      <c r="W262">
        <v>0.86099999999999999</v>
      </c>
      <c r="X262">
        <v>81</v>
      </c>
      <c r="Y262">
        <v>62</v>
      </c>
      <c r="Z262">
        <v>145</v>
      </c>
      <c r="AA262">
        <v>6</v>
      </c>
      <c r="AB262">
        <v>2</v>
      </c>
      <c r="AC262" t="s">
        <v>184</v>
      </c>
      <c r="AG262" t="s">
        <v>2318</v>
      </c>
      <c r="AH262" t="s">
        <v>2319</v>
      </c>
      <c r="AI262" s="245">
        <v>318</v>
      </c>
      <c r="AJ262" t="s">
        <v>2490</v>
      </c>
      <c r="AK262" t="s">
        <v>2491</v>
      </c>
      <c r="AL262" t="s">
        <v>1204</v>
      </c>
      <c r="AM262" s="245">
        <v>320.79000000000002</v>
      </c>
      <c r="AN262" t="s">
        <v>2492</v>
      </c>
      <c r="AO262" t="s">
        <v>2493</v>
      </c>
      <c r="AP262" t="s">
        <v>1405</v>
      </c>
      <c r="AQ262" s="245">
        <v>469.99</v>
      </c>
      <c r="AR262" t="s">
        <v>2494</v>
      </c>
      <c r="AS262" s="226" t="str">
        <f t="shared" si="8"/>
        <v>Bash 86</v>
      </c>
      <c r="AT262" s="203" t="str">
        <f t="shared" si="9"/>
        <v xml:space="preserve"> Vï¿½lklBash 86172 Unisex</v>
      </c>
    </row>
    <row r="263" spans="1:46" ht="79.2">
      <c r="A263" t="s">
        <v>155</v>
      </c>
      <c r="B263" t="s">
        <v>202</v>
      </c>
      <c r="C263" t="s">
        <v>211</v>
      </c>
      <c r="D263">
        <v>154</v>
      </c>
      <c r="E263" t="s">
        <v>163</v>
      </c>
      <c r="F263">
        <v>154</v>
      </c>
      <c r="G263">
        <v>153.69999999999999</v>
      </c>
      <c r="H263">
        <v>105</v>
      </c>
      <c r="I263">
        <v>124</v>
      </c>
      <c r="J263">
        <v>124</v>
      </c>
      <c r="K263">
        <v>95</v>
      </c>
      <c r="L263">
        <v>114</v>
      </c>
      <c r="M263">
        <v>13.8</v>
      </c>
      <c r="N263">
        <v>1561</v>
      </c>
      <c r="O263">
        <v>1.03</v>
      </c>
      <c r="P263">
        <v>1614</v>
      </c>
      <c r="Q263">
        <v>205</v>
      </c>
      <c r="R263">
        <v>91</v>
      </c>
      <c r="S263">
        <v>64</v>
      </c>
      <c r="T263">
        <v>334</v>
      </c>
      <c r="U263">
        <v>14</v>
      </c>
      <c r="V263">
        <v>150</v>
      </c>
      <c r="W263">
        <v>0.22500000000000001</v>
      </c>
      <c r="X263">
        <v>194</v>
      </c>
      <c r="Y263">
        <v>99</v>
      </c>
      <c r="Z263">
        <v>140</v>
      </c>
      <c r="AA263">
        <v>4</v>
      </c>
      <c r="AB263">
        <v>11.2</v>
      </c>
      <c r="AC263" t="s">
        <v>188</v>
      </c>
      <c r="AG263" t="s">
        <v>2495</v>
      </c>
      <c r="AH263" t="s">
        <v>1194</v>
      </c>
      <c r="AI263" s="245">
        <v>414</v>
      </c>
      <c r="AJ263" t="s">
        <v>2496</v>
      </c>
      <c r="AK263" t="s">
        <v>2495</v>
      </c>
      <c r="AL263" t="s">
        <v>1248</v>
      </c>
      <c r="AM263" s="245">
        <v>489.97</v>
      </c>
      <c r="AN263" t="s">
        <v>2497</v>
      </c>
      <c r="AO263" t="s">
        <v>2495</v>
      </c>
      <c r="AP263" t="s">
        <v>1282</v>
      </c>
      <c r="AQ263" s="245">
        <v>559.96</v>
      </c>
      <c r="AR263" t="s">
        <v>2498</v>
      </c>
      <c r="AS263" s="226" t="str">
        <f t="shared" si="8"/>
        <v>M-Pro 99 W</v>
      </c>
      <c r="AT263" s="203" t="str">
        <f t="shared" si="9"/>
        <v xml:space="preserve"> DynastarM-Pro 99 W154 Women's</v>
      </c>
    </row>
    <row r="264" spans="1:46" ht="92.4">
      <c r="A264" t="s">
        <v>155</v>
      </c>
      <c r="B264" t="s">
        <v>174</v>
      </c>
      <c r="C264" t="s">
        <v>472</v>
      </c>
      <c r="D264">
        <v>168</v>
      </c>
      <c r="E264" t="s">
        <v>158</v>
      </c>
      <c r="F264">
        <v>168</v>
      </c>
      <c r="G264">
        <v>167</v>
      </c>
      <c r="H264">
        <v>129</v>
      </c>
      <c r="I264">
        <v>138</v>
      </c>
      <c r="J264">
        <v>122</v>
      </c>
      <c r="K264">
        <v>88</v>
      </c>
      <c r="L264">
        <v>104</v>
      </c>
      <c r="M264">
        <v>16.899999999999999</v>
      </c>
      <c r="N264">
        <v>1643</v>
      </c>
      <c r="O264">
        <v>1</v>
      </c>
      <c r="P264">
        <v>1650</v>
      </c>
      <c r="Q264">
        <v>164</v>
      </c>
      <c r="R264">
        <v>91</v>
      </c>
      <c r="S264">
        <v>47</v>
      </c>
      <c r="T264">
        <v>220</v>
      </c>
      <c r="U264">
        <v>8</v>
      </c>
      <c r="V264">
        <v>158</v>
      </c>
      <c r="W264">
        <v>0.161</v>
      </c>
      <c r="X264">
        <v>168</v>
      </c>
      <c r="Y264">
        <v>124</v>
      </c>
      <c r="Z264">
        <v>53</v>
      </c>
      <c r="AA264">
        <v>9</v>
      </c>
      <c r="AB264">
        <v>9.6999999999999993</v>
      </c>
      <c r="AC264" t="s">
        <v>188</v>
      </c>
      <c r="AG264" t="s">
        <v>2499</v>
      </c>
      <c r="AH264" t="s">
        <v>1229</v>
      </c>
      <c r="AI264" s="245">
        <v>419.99</v>
      </c>
      <c r="AJ264" t="s">
        <v>2500</v>
      </c>
      <c r="AK264" t="s">
        <v>2499</v>
      </c>
      <c r="AL264" t="s">
        <v>1179</v>
      </c>
      <c r="AM264" s="245">
        <v>441.95</v>
      </c>
      <c r="AN264" t="s">
        <v>2501</v>
      </c>
      <c r="AO264" t="s">
        <v>2502</v>
      </c>
      <c r="AP264" t="s">
        <v>1204</v>
      </c>
      <c r="AQ264" s="245">
        <v>449.11</v>
      </c>
      <c r="AR264" t="s">
        <v>2503</v>
      </c>
      <c r="AS264" s="226" t="str">
        <f t="shared" si="8"/>
        <v>Stance 90</v>
      </c>
      <c r="AT264" s="203" t="str">
        <f t="shared" si="9"/>
        <v xml:space="preserve"> SalomonStance 90168 Unisex</v>
      </c>
    </row>
    <row r="265" spans="1:46" ht="92.4">
      <c r="A265" t="s">
        <v>155</v>
      </c>
      <c r="B265" t="s">
        <v>1395</v>
      </c>
      <c r="C265" t="s">
        <v>382</v>
      </c>
      <c r="D265">
        <v>158</v>
      </c>
      <c r="E265" t="s">
        <v>163</v>
      </c>
      <c r="F265">
        <v>158</v>
      </c>
      <c r="G265">
        <v>159.19999999999999</v>
      </c>
      <c r="H265">
        <v>85</v>
      </c>
      <c r="I265">
        <v>135</v>
      </c>
      <c r="J265">
        <v>145</v>
      </c>
      <c r="K265">
        <v>105</v>
      </c>
      <c r="L265">
        <v>127</v>
      </c>
      <c r="M265">
        <v>13.8</v>
      </c>
      <c r="N265">
        <v>1526</v>
      </c>
      <c r="O265">
        <v>1.23</v>
      </c>
      <c r="P265">
        <v>1873</v>
      </c>
      <c r="Q265">
        <v>189</v>
      </c>
      <c r="R265">
        <v>101</v>
      </c>
      <c r="S265">
        <v>50</v>
      </c>
      <c r="T265">
        <v>441</v>
      </c>
      <c r="U265">
        <v>23</v>
      </c>
      <c r="V265">
        <v>297</v>
      </c>
      <c r="W265">
        <v>0.46600000000000003</v>
      </c>
      <c r="X265">
        <v>139</v>
      </c>
      <c r="Y265">
        <v>101</v>
      </c>
      <c r="Z265">
        <v>302</v>
      </c>
      <c r="AA265">
        <v>1</v>
      </c>
      <c r="AB265">
        <v>11.6</v>
      </c>
      <c r="AC265" t="s">
        <v>169</v>
      </c>
      <c r="AD265" t="s">
        <v>185</v>
      </c>
      <c r="AG265" t="s">
        <v>2504</v>
      </c>
      <c r="AH265" t="s">
        <v>1497</v>
      </c>
      <c r="AI265" s="245">
        <v>479.96</v>
      </c>
      <c r="AJ265" t="s">
        <v>2505</v>
      </c>
      <c r="AK265" t="s">
        <v>2041</v>
      </c>
      <c r="AL265" t="s">
        <v>1320</v>
      </c>
      <c r="AM265" s="245">
        <v>479.99</v>
      </c>
      <c r="AN265" t="s">
        <v>2506</v>
      </c>
      <c r="AO265" t="s">
        <v>2507</v>
      </c>
      <c r="AP265" t="s">
        <v>1416</v>
      </c>
      <c r="AQ265" s="245">
        <v>599.99</v>
      </c>
      <c r="AR265" t="s">
        <v>2508</v>
      </c>
      <c r="AS265" s="226" t="str">
        <f t="shared" si="8"/>
        <v>Blaze 106 W</v>
      </c>
      <c r="AT265" s="203" t="str">
        <f t="shared" si="9"/>
        <v xml:space="preserve"> Vï¿½lklBlaze 106 W158 Women's</v>
      </c>
    </row>
    <row r="266" spans="1:46" ht="79.2">
      <c r="A266" t="s">
        <v>155</v>
      </c>
      <c r="B266" t="s">
        <v>1160</v>
      </c>
      <c r="C266" t="s">
        <v>474</v>
      </c>
      <c r="D266">
        <v>163</v>
      </c>
      <c r="E266" t="s">
        <v>158</v>
      </c>
      <c r="F266">
        <v>163</v>
      </c>
      <c r="G266">
        <v>163</v>
      </c>
      <c r="H266">
        <v>122</v>
      </c>
      <c r="I266">
        <v>139</v>
      </c>
      <c r="J266">
        <v>126</v>
      </c>
      <c r="K266">
        <v>89</v>
      </c>
      <c r="L266">
        <v>112</v>
      </c>
      <c r="M266">
        <v>15</v>
      </c>
      <c r="N266">
        <v>1675</v>
      </c>
      <c r="O266">
        <v>0.98</v>
      </c>
      <c r="P266">
        <v>1650</v>
      </c>
      <c r="Q266">
        <v>155</v>
      </c>
      <c r="R266">
        <v>105</v>
      </c>
      <c r="S266">
        <v>43</v>
      </c>
      <c r="T266">
        <v>230</v>
      </c>
      <c r="U266">
        <v>20</v>
      </c>
      <c r="V266">
        <v>178</v>
      </c>
      <c r="W266">
        <v>0.47899999999999998</v>
      </c>
      <c r="X266">
        <v>140</v>
      </c>
      <c r="Y266">
        <v>99</v>
      </c>
      <c r="Z266">
        <v>91</v>
      </c>
      <c r="AA266">
        <v>7</v>
      </c>
      <c r="AB266">
        <v>10.6</v>
      </c>
      <c r="AC266" t="s">
        <v>188</v>
      </c>
      <c r="AG266" t="s">
        <v>2509</v>
      </c>
      <c r="AH266" t="s">
        <v>1240</v>
      </c>
      <c r="AI266" s="245">
        <v>429.95</v>
      </c>
      <c r="AJ266" t="s">
        <v>2510</v>
      </c>
      <c r="AK266" t="s">
        <v>2511</v>
      </c>
      <c r="AL266" t="s">
        <v>1326</v>
      </c>
      <c r="AM266" s="245">
        <v>998.95</v>
      </c>
      <c r="AN266" t="s">
        <v>2512</v>
      </c>
      <c r="AO266" t="s">
        <v>2513</v>
      </c>
      <c r="AP266" t="s">
        <v>1265</v>
      </c>
      <c r="AQ266" s="245">
        <v>352.87</v>
      </c>
      <c r="AR266" t="s">
        <v>2514</v>
      </c>
      <c r="AS266" s="226" t="str">
        <f t="shared" si="8"/>
        <v>Mindbender 90 Ti</v>
      </c>
      <c r="AT266" s="203" t="str">
        <f t="shared" si="9"/>
        <v>K2Mindbender 90 Ti163 Unisex</v>
      </c>
    </row>
    <row r="267" spans="1:46" ht="92.4">
      <c r="A267" t="s">
        <v>155</v>
      </c>
      <c r="B267" t="s">
        <v>245</v>
      </c>
      <c r="C267" t="s">
        <v>260</v>
      </c>
      <c r="D267">
        <v>170</v>
      </c>
      <c r="E267" t="s">
        <v>158</v>
      </c>
      <c r="F267">
        <v>170</v>
      </c>
      <c r="G267">
        <v>168.7</v>
      </c>
      <c r="H267">
        <v>116</v>
      </c>
      <c r="I267">
        <v>139</v>
      </c>
      <c r="J267">
        <v>134</v>
      </c>
      <c r="K267">
        <v>100</v>
      </c>
      <c r="L267">
        <v>124</v>
      </c>
      <c r="M267">
        <v>13.9</v>
      </c>
      <c r="N267">
        <v>1664</v>
      </c>
      <c r="O267">
        <v>1.1399999999999999</v>
      </c>
      <c r="P267">
        <v>1900</v>
      </c>
      <c r="Q267">
        <v>172</v>
      </c>
      <c r="R267">
        <v>89</v>
      </c>
      <c r="S267">
        <v>48</v>
      </c>
      <c r="T267">
        <v>342</v>
      </c>
      <c r="U267">
        <v>29</v>
      </c>
      <c r="V267">
        <v>182</v>
      </c>
      <c r="W267">
        <v>0.60099999999999998</v>
      </c>
      <c r="X267">
        <v>153</v>
      </c>
      <c r="Y267">
        <v>145</v>
      </c>
      <c r="Z267">
        <v>189</v>
      </c>
      <c r="AA267">
        <v>7</v>
      </c>
      <c r="AB267">
        <v>9.5</v>
      </c>
      <c r="AC267" t="s">
        <v>188</v>
      </c>
      <c r="AD267" t="s">
        <v>185</v>
      </c>
      <c r="AG267" t="s">
        <v>1506</v>
      </c>
      <c r="AH267" t="s">
        <v>1450</v>
      </c>
      <c r="AI267" s="245">
        <v>699.99</v>
      </c>
      <c r="AJ267" t="s">
        <v>2515</v>
      </c>
      <c r="AK267" t="s">
        <v>1506</v>
      </c>
      <c r="AL267" t="s">
        <v>2516</v>
      </c>
      <c r="AM267" s="245">
        <v>699.99</v>
      </c>
      <c r="AN267" t="s">
        <v>2517</v>
      </c>
      <c r="AO267" t="s">
        <v>2518</v>
      </c>
      <c r="AP267" t="s">
        <v>1271</v>
      </c>
      <c r="AQ267" s="245">
        <v>699</v>
      </c>
      <c r="AR267" t="s">
        <v>2519</v>
      </c>
      <c r="AS267" s="226" t="str">
        <f t="shared" si="8"/>
        <v>Ranger 102 FR</v>
      </c>
      <c r="AT267" s="203" t="str">
        <f t="shared" si="9"/>
        <v xml:space="preserve"> FischerRanger 102 FR170 Unisex</v>
      </c>
    </row>
    <row r="268" spans="1:46" ht="79.2">
      <c r="A268" t="s">
        <v>155</v>
      </c>
      <c r="B268" t="s">
        <v>295</v>
      </c>
      <c r="C268" t="s">
        <v>475</v>
      </c>
      <c r="D268">
        <v>176</v>
      </c>
      <c r="E268" t="s">
        <v>158</v>
      </c>
      <c r="F268">
        <v>176</v>
      </c>
      <c r="G268">
        <v>173.5</v>
      </c>
      <c r="H268">
        <v>107</v>
      </c>
      <c r="I268">
        <v>147</v>
      </c>
      <c r="J268">
        <v>145</v>
      </c>
      <c r="K268">
        <v>111</v>
      </c>
      <c r="L268">
        <v>135</v>
      </c>
      <c r="M268">
        <v>18</v>
      </c>
      <c r="N268">
        <v>1848</v>
      </c>
      <c r="O268">
        <v>1.1399999999999999</v>
      </c>
      <c r="P268">
        <v>2103</v>
      </c>
      <c r="Q268">
        <v>216</v>
      </c>
      <c r="R268">
        <v>102</v>
      </c>
      <c r="S268">
        <v>58</v>
      </c>
      <c r="T268">
        <v>351</v>
      </c>
      <c r="U268">
        <v>57</v>
      </c>
      <c r="V268">
        <v>312</v>
      </c>
      <c r="W268">
        <v>0.97499999999999998</v>
      </c>
      <c r="X268">
        <v>129</v>
      </c>
      <c r="Y268">
        <v>132</v>
      </c>
      <c r="Z268">
        <v>222</v>
      </c>
      <c r="AA268">
        <v>3</v>
      </c>
      <c r="AB268">
        <v>8.3000000000000007</v>
      </c>
      <c r="AC268" t="s">
        <v>184</v>
      </c>
      <c r="AD268" t="s">
        <v>169</v>
      </c>
      <c r="AE268" t="s">
        <v>185</v>
      </c>
      <c r="AG268" t="s">
        <v>2520</v>
      </c>
      <c r="AH268" t="s">
        <v>1627</v>
      </c>
      <c r="AI268" s="245">
        <v>585</v>
      </c>
      <c r="AJ268" t="s">
        <v>2521</v>
      </c>
      <c r="AK268" t="s">
        <v>2392</v>
      </c>
      <c r="AL268" t="s">
        <v>1280</v>
      </c>
      <c r="AM268" s="245">
        <v>598.92999999999995</v>
      </c>
      <c r="AN268" t="s">
        <v>2522</v>
      </c>
      <c r="AO268" t="s">
        <v>2392</v>
      </c>
      <c r="AP268" t="s">
        <v>2325</v>
      </c>
      <c r="AQ268" s="245">
        <v>598.99</v>
      </c>
      <c r="AR268" t="s">
        <v>2523</v>
      </c>
      <c r="AS268" s="226" t="str">
        <f t="shared" si="8"/>
        <v>Nomad 105</v>
      </c>
      <c r="AT268" s="203" t="str">
        <f t="shared" si="9"/>
        <v xml:space="preserve"> IcelanticNomad 105176 Unisex</v>
      </c>
    </row>
    <row r="269" spans="1:46" ht="145.19999999999999">
      <c r="A269" t="s">
        <v>155</v>
      </c>
      <c r="B269" t="s">
        <v>1395</v>
      </c>
      <c r="C269" t="s">
        <v>477</v>
      </c>
      <c r="D269">
        <v>168</v>
      </c>
      <c r="E269" t="s">
        <v>158</v>
      </c>
      <c r="F269">
        <v>168</v>
      </c>
      <c r="G269">
        <v>168.1</v>
      </c>
      <c r="H269">
        <v>148</v>
      </c>
      <c r="I269">
        <v>156</v>
      </c>
      <c r="J269">
        <v>123</v>
      </c>
      <c r="K269">
        <v>75</v>
      </c>
      <c r="L269">
        <v>104</v>
      </c>
      <c r="M269">
        <v>15.5</v>
      </c>
      <c r="N269">
        <v>1802</v>
      </c>
      <c r="O269">
        <v>0.83</v>
      </c>
      <c r="P269">
        <v>1497</v>
      </c>
      <c r="Q269">
        <v>176</v>
      </c>
      <c r="R269">
        <v>76</v>
      </c>
      <c r="S269">
        <v>36</v>
      </c>
      <c r="T269">
        <v>147</v>
      </c>
      <c r="U269">
        <v>5</v>
      </c>
      <c r="V269">
        <v>54</v>
      </c>
      <c r="W269">
        <v>0.127</v>
      </c>
      <c r="X269">
        <v>75</v>
      </c>
      <c r="Y269">
        <v>51</v>
      </c>
      <c r="Z269">
        <v>72</v>
      </c>
      <c r="AA269">
        <v>8</v>
      </c>
      <c r="AB269">
        <v>13.1</v>
      </c>
      <c r="AC269" t="s">
        <v>349</v>
      </c>
      <c r="AG269" t="s">
        <v>2524</v>
      </c>
      <c r="AH269" t="s">
        <v>2525</v>
      </c>
      <c r="AI269" s="245">
        <v>590</v>
      </c>
      <c r="AJ269" t="s">
        <v>2526</v>
      </c>
      <c r="AK269" t="s">
        <v>2527</v>
      </c>
      <c r="AL269" t="s">
        <v>1592</v>
      </c>
      <c r="AM269" s="245">
        <v>785.95</v>
      </c>
      <c r="AN269" t="s">
        <v>2528</v>
      </c>
      <c r="AO269" t="s">
        <v>2529</v>
      </c>
      <c r="AP269" t="s">
        <v>1194</v>
      </c>
      <c r="AQ269" s="245">
        <v>829.81</v>
      </c>
      <c r="AR269" t="s">
        <v>2530</v>
      </c>
      <c r="AS269" s="226" t="str">
        <f t="shared" si="8"/>
        <v>Deacon XTD</v>
      </c>
      <c r="AT269" s="203" t="str">
        <f t="shared" si="9"/>
        <v xml:space="preserve"> Vï¿½lklDeacon XTD168 Unisex</v>
      </c>
    </row>
    <row r="270" spans="1:46" ht="92.4">
      <c r="A270" t="s">
        <v>155</v>
      </c>
      <c r="B270" t="s">
        <v>332</v>
      </c>
      <c r="C270" t="s">
        <v>410</v>
      </c>
      <c r="D270">
        <v>165</v>
      </c>
      <c r="E270" t="s">
        <v>163</v>
      </c>
      <c r="F270">
        <v>165</v>
      </c>
      <c r="G270">
        <v>164.1</v>
      </c>
      <c r="H270">
        <v>110</v>
      </c>
      <c r="I270">
        <v>135</v>
      </c>
      <c r="J270">
        <v>134</v>
      </c>
      <c r="K270">
        <v>103</v>
      </c>
      <c r="L270">
        <v>124</v>
      </c>
      <c r="M270">
        <v>15.6</v>
      </c>
      <c r="N270">
        <v>1715</v>
      </c>
      <c r="O270">
        <v>1.08</v>
      </c>
      <c r="P270">
        <v>1857</v>
      </c>
      <c r="Q270">
        <v>174</v>
      </c>
      <c r="R270">
        <v>94</v>
      </c>
      <c r="S270">
        <v>57</v>
      </c>
      <c r="T270">
        <v>297</v>
      </c>
      <c r="U270">
        <v>39</v>
      </c>
      <c r="V270">
        <v>241</v>
      </c>
      <c r="W270">
        <v>0.68700000000000006</v>
      </c>
      <c r="X270">
        <v>134</v>
      </c>
      <c r="Y270">
        <v>160</v>
      </c>
      <c r="Z270">
        <v>163</v>
      </c>
      <c r="AA270">
        <v>5</v>
      </c>
      <c r="AB270">
        <v>8.4</v>
      </c>
      <c r="AC270" t="s">
        <v>188</v>
      </c>
      <c r="AD270" t="s">
        <v>169</v>
      </c>
      <c r="AE270" t="s">
        <v>185</v>
      </c>
      <c r="AG270" t="s">
        <v>2218</v>
      </c>
      <c r="AH270" t="s">
        <v>1194</v>
      </c>
      <c r="AI270" s="245">
        <v>414</v>
      </c>
      <c r="AJ270" t="s">
        <v>2531</v>
      </c>
      <c r="AK270" t="s">
        <v>2532</v>
      </c>
      <c r="AL270" t="s">
        <v>1282</v>
      </c>
      <c r="AM270" s="245">
        <v>599.99</v>
      </c>
      <c r="AN270" t="s">
        <v>2533</v>
      </c>
      <c r="AO270" t="s">
        <v>2220</v>
      </c>
      <c r="AP270" t="s">
        <v>1320</v>
      </c>
      <c r="AQ270" s="245">
        <v>599.99</v>
      </c>
      <c r="AR270" t="s">
        <v>2534</v>
      </c>
      <c r="AS270" s="226" t="str">
        <f t="shared" si="8"/>
        <v>Santa Ana 104 Free</v>
      </c>
      <c r="AT270" s="203" t="str">
        <f t="shared" si="9"/>
        <v xml:space="preserve"> NordicaSanta Ana 104 Free165 Women's</v>
      </c>
    </row>
    <row r="271" spans="1:46" ht="132">
      <c r="A271" t="s">
        <v>155</v>
      </c>
      <c r="B271" t="s">
        <v>172</v>
      </c>
      <c r="C271" t="s">
        <v>478</v>
      </c>
      <c r="D271">
        <v>150</v>
      </c>
      <c r="E271" t="s">
        <v>163</v>
      </c>
      <c r="F271">
        <v>150</v>
      </c>
      <c r="G271">
        <v>150.30000000000001</v>
      </c>
      <c r="H271">
        <v>112</v>
      </c>
      <c r="I271">
        <v>136</v>
      </c>
      <c r="J271">
        <v>125</v>
      </c>
      <c r="K271">
        <v>80</v>
      </c>
      <c r="L271">
        <v>113</v>
      </c>
      <c r="M271">
        <v>11.2</v>
      </c>
      <c r="N271">
        <v>1598</v>
      </c>
      <c r="O271">
        <v>0.89</v>
      </c>
      <c r="P271">
        <v>1429</v>
      </c>
      <c r="Q271">
        <v>167</v>
      </c>
      <c r="R271">
        <v>72</v>
      </c>
      <c r="S271">
        <v>47</v>
      </c>
      <c r="T271">
        <v>260</v>
      </c>
      <c r="U271">
        <v>12</v>
      </c>
      <c r="V271">
        <v>126</v>
      </c>
      <c r="W271">
        <v>0.26600000000000001</v>
      </c>
      <c r="X271">
        <v>80</v>
      </c>
      <c r="Y271">
        <v>65</v>
      </c>
      <c r="Z271">
        <v>181</v>
      </c>
      <c r="AA271">
        <v>9</v>
      </c>
      <c r="AB271">
        <v>6.6</v>
      </c>
      <c r="AC271" t="s">
        <v>188</v>
      </c>
      <c r="AG271" t="s">
        <v>2535</v>
      </c>
      <c r="AH271" t="s">
        <v>1191</v>
      </c>
      <c r="AI271" s="245">
        <v>374.95</v>
      </c>
      <c r="AJ271" t="s">
        <v>2536</v>
      </c>
      <c r="AK271" t="s">
        <v>2537</v>
      </c>
      <c r="AL271" t="s">
        <v>1179</v>
      </c>
      <c r="AM271" s="245">
        <v>479.95</v>
      </c>
      <c r="AN271" t="s">
        <v>2538</v>
      </c>
      <c r="AO271" t="s">
        <v>2537</v>
      </c>
      <c r="AP271" t="s">
        <v>1229</v>
      </c>
      <c r="AQ271" s="245">
        <v>489.99</v>
      </c>
      <c r="AR271" t="s">
        <v>2539</v>
      </c>
      <c r="AS271" s="226" t="str">
        <f t="shared" si="8"/>
        <v>Experience 80 Carbon W</v>
      </c>
      <c r="AT271" s="203" t="str">
        <f t="shared" si="9"/>
        <v xml:space="preserve"> RossignolExperience 80 Carbon W150 Women's</v>
      </c>
    </row>
    <row r="272" spans="1:46" ht="92.4">
      <c r="A272" t="s">
        <v>155</v>
      </c>
      <c r="B272" t="s">
        <v>164</v>
      </c>
      <c r="C272" t="s">
        <v>479</v>
      </c>
      <c r="D272">
        <v>172</v>
      </c>
      <c r="E272" t="s">
        <v>158</v>
      </c>
      <c r="F272">
        <v>172</v>
      </c>
      <c r="G272">
        <v>171.3</v>
      </c>
      <c r="H272">
        <v>142</v>
      </c>
      <c r="I272">
        <v>151</v>
      </c>
      <c r="J272">
        <v>128</v>
      </c>
      <c r="K272">
        <v>81</v>
      </c>
      <c r="L272">
        <v>111</v>
      </c>
      <c r="M272">
        <v>14.3</v>
      </c>
      <c r="N272">
        <v>1910</v>
      </c>
      <c r="O272">
        <v>0.86</v>
      </c>
      <c r="P272">
        <v>1651</v>
      </c>
      <c r="Q272">
        <v>231</v>
      </c>
      <c r="R272">
        <v>99</v>
      </c>
      <c r="S272">
        <v>37</v>
      </c>
      <c r="T272">
        <v>170</v>
      </c>
      <c r="U272">
        <v>12</v>
      </c>
      <c r="V272">
        <v>122</v>
      </c>
      <c r="W272">
        <v>0.313</v>
      </c>
      <c r="X272">
        <v>105</v>
      </c>
      <c r="Y272">
        <v>95</v>
      </c>
      <c r="Z272">
        <v>66</v>
      </c>
      <c r="AA272">
        <v>11</v>
      </c>
      <c r="AB272">
        <v>10</v>
      </c>
      <c r="AC272" t="s">
        <v>231</v>
      </c>
      <c r="AD272" t="s">
        <v>188</v>
      </c>
      <c r="AG272" t="s">
        <v>2540</v>
      </c>
      <c r="AH272" t="s">
        <v>1566</v>
      </c>
      <c r="AI272" s="245">
        <v>399.99</v>
      </c>
      <c r="AJ272" t="s">
        <v>2541</v>
      </c>
      <c r="AK272" t="s">
        <v>2542</v>
      </c>
      <c r="AL272" t="s">
        <v>1365</v>
      </c>
      <c r="AM272" s="245">
        <v>399.99</v>
      </c>
      <c r="AN272" t="s">
        <v>2543</v>
      </c>
      <c r="AO272" t="s">
        <v>2540</v>
      </c>
      <c r="AP272" t="s">
        <v>1211</v>
      </c>
      <c r="AQ272" s="245">
        <v>399.99</v>
      </c>
      <c r="AR272" t="s">
        <v>2544</v>
      </c>
      <c r="AS272" s="226" t="str">
        <f t="shared" si="8"/>
        <v>Wingman 82 Ti</v>
      </c>
      <c r="AT272" s="203" t="str">
        <f t="shared" si="9"/>
        <v xml:space="preserve"> ElanWingman 82 Ti172 Unisex</v>
      </c>
    </row>
    <row r="273" spans="1:46" ht="79.2">
      <c r="A273" t="s">
        <v>155</v>
      </c>
      <c r="B273" t="s">
        <v>174</v>
      </c>
      <c r="C273" t="s">
        <v>480</v>
      </c>
      <c r="D273">
        <v>168</v>
      </c>
      <c r="E273" t="s">
        <v>163</v>
      </c>
      <c r="F273">
        <v>168</v>
      </c>
      <c r="G273">
        <v>167.1</v>
      </c>
      <c r="H273">
        <v>133</v>
      </c>
      <c r="I273">
        <v>138</v>
      </c>
      <c r="J273">
        <v>126</v>
      </c>
      <c r="K273">
        <v>94</v>
      </c>
      <c r="L273">
        <v>108</v>
      </c>
      <c r="M273">
        <v>18.5</v>
      </c>
      <c r="N273">
        <v>1700</v>
      </c>
      <c r="O273">
        <v>1.02</v>
      </c>
      <c r="P273">
        <v>1733</v>
      </c>
      <c r="Q273">
        <v>171</v>
      </c>
      <c r="R273">
        <v>106</v>
      </c>
      <c r="S273">
        <v>49</v>
      </c>
      <c r="T273">
        <v>212</v>
      </c>
      <c r="U273">
        <v>6</v>
      </c>
      <c r="V273">
        <v>134</v>
      </c>
      <c r="W273">
        <v>0.114</v>
      </c>
      <c r="X273">
        <v>160</v>
      </c>
      <c r="Y273">
        <v>130</v>
      </c>
      <c r="Z273">
        <v>51</v>
      </c>
      <c r="AA273">
        <v>10</v>
      </c>
      <c r="AB273">
        <v>9.6</v>
      </c>
      <c r="AC273" t="s">
        <v>188</v>
      </c>
      <c r="AG273" t="s">
        <v>2545</v>
      </c>
      <c r="AH273" t="s">
        <v>1204</v>
      </c>
      <c r="AI273" s="245">
        <v>601.49</v>
      </c>
      <c r="AJ273" t="s">
        <v>2546</v>
      </c>
      <c r="AK273" t="s">
        <v>2547</v>
      </c>
      <c r="AL273" t="s">
        <v>1282</v>
      </c>
      <c r="AM273" s="245">
        <v>649.99</v>
      </c>
      <c r="AN273" t="s">
        <v>2548</v>
      </c>
      <c r="AO273" t="s">
        <v>2549</v>
      </c>
      <c r="AP273" t="s">
        <v>2130</v>
      </c>
      <c r="AQ273" s="245">
        <v>519.99</v>
      </c>
      <c r="AR273" t="s">
        <v>2550</v>
      </c>
      <c r="AS273" s="226" t="str">
        <f t="shared" si="8"/>
        <v>Stance 94 W</v>
      </c>
      <c r="AT273" s="203" t="str">
        <f t="shared" si="9"/>
        <v xml:space="preserve"> SalomonStance 94 W168 Women's</v>
      </c>
    </row>
    <row r="274" spans="1:46" ht="79.2">
      <c r="A274" t="s">
        <v>155</v>
      </c>
      <c r="B274" t="s">
        <v>317</v>
      </c>
      <c r="C274" t="s">
        <v>463</v>
      </c>
      <c r="D274">
        <v>172</v>
      </c>
      <c r="E274" t="s">
        <v>158</v>
      </c>
      <c r="F274">
        <v>172</v>
      </c>
      <c r="G274">
        <v>170.8</v>
      </c>
      <c r="H274">
        <v>118</v>
      </c>
      <c r="I274">
        <v>142</v>
      </c>
      <c r="J274">
        <v>124</v>
      </c>
      <c r="K274">
        <v>91</v>
      </c>
      <c r="L274">
        <v>113</v>
      </c>
      <c r="M274">
        <v>15.9</v>
      </c>
      <c r="N274">
        <v>1914</v>
      </c>
      <c r="O274">
        <v>0.92</v>
      </c>
      <c r="P274">
        <v>1751</v>
      </c>
      <c r="Q274">
        <v>200</v>
      </c>
      <c r="R274">
        <v>109</v>
      </c>
      <c r="S274">
        <v>62</v>
      </c>
      <c r="T274">
        <v>320</v>
      </c>
      <c r="U274">
        <v>27</v>
      </c>
      <c r="V274">
        <v>208</v>
      </c>
      <c r="W274">
        <v>0.436</v>
      </c>
      <c r="X274">
        <v>153</v>
      </c>
      <c r="Y274">
        <v>133</v>
      </c>
      <c r="Z274">
        <v>167</v>
      </c>
      <c r="AA274">
        <v>5</v>
      </c>
      <c r="AB274">
        <v>7.2</v>
      </c>
      <c r="AC274" t="s">
        <v>188</v>
      </c>
      <c r="AG274" t="s">
        <v>2442</v>
      </c>
      <c r="AH274" t="s">
        <v>1305</v>
      </c>
      <c r="AI274" s="245">
        <v>529</v>
      </c>
      <c r="AJ274" t="s">
        <v>2551</v>
      </c>
      <c r="AK274" t="s">
        <v>2442</v>
      </c>
      <c r="AL274" t="s">
        <v>1271</v>
      </c>
      <c r="AM274" s="245">
        <v>529.92999999999995</v>
      </c>
      <c r="AN274" t="s">
        <v>2552</v>
      </c>
      <c r="AO274" t="s">
        <v>2553</v>
      </c>
      <c r="AP274" t="s">
        <v>1706</v>
      </c>
      <c r="AQ274" s="245">
        <v>599</v>
      </c>
      <c r="AR274" t="s">
        <v>2554</v>
      </c>
      <c r="AS274" s="226" t="str">
        <f t="shared" si="8"/>
        <v>Rustler 9</v>
      </c>
      <c r="AT274" s="203" t="str">
        <f t="shared" si="9"/>
        <v xml:space="preserve"> BlizzardRustler 9172 Unisex</v>
      </c>
    </row>
    <row r="275" spans="1:46" ht="66">
      <c r="A275" t="s">
        <v>155</v>
      </c>
      <c r="B275" t="s">
        <v>208</v>
      </c>
      <c r="C275" t="s">
        <v>482</v>
      </c>
      <c r="D275">
        <v>177</v>
      </c>
      <c r="E275" t="s">
        <v>158</v>
      </c>
      <c r="F275">
        <v>177</v>
      </c>
      <c r="G275">
        <v>176.2</v>
      </c>
      <c r="H275">
        <v>136</v>
      </c>
      <c r="I275">
        <v>152</v>
      </c>
      <c r="J275">
        <v>120</v>
      </c>
      <c r="K275">
        <v>91</v>
      </c>
      <c r="L275">
        <v>117</v>
      </c>
      <c r="M275">
        <v>20.399999999999999</v>
      </c>
      <c r="N275">
        <v>1704</v>
      </c>
      <c r="O275">
        <v>1.05</v>
      </c>
      <c r="P275">
        <v>1784</v>
      </c>
      <c r="Q275">
        <v>164</v>
      </c>
      <c r="R275">
        <v>71</v>
      </c>
      <c r="S275">
        <v>44</v>
      </c>
      <c r="T275">
        <v>195</v>
      </c>
      <c r="U275">
        <v>44</v>
      </c>
      <c r="V275">
        <v>210</v>
      </c>
      <c r="W275">
        <v>0.98599999999999999</v>
      </c>
      <c r="X275">
        <v>120</v>
      </c>
      <c r="Y275">
        <v>122</v>
      </c>
      <c r="Z275">
        <v>75</v>
      </c>
      <c r="AA275">
        <v>5</v>
      </c>
      <c r="AB275">
        <v>3.3</v>
      </c>
      <c r="AC275" t="s">
        <v>184</v>
      </c>
      <c r="AG275" t="s">
        <v>2555</v>
      </c>
      <c r="AH275" t="s">
        <v>1240</v>
      </c>
      <c r="AI275" s="245">
        <v>329.95</v>
      </c>
      <c r="AJ275" t="s">
        <v>2556</v>
      </c>
      <c r="AK275" t="s">
        <v>2557</v>
      </c>
      <c r="AL275" t="s">
        <v>1301</v>
      </c>
      <c r="AM275" s="245">
        <v>349.95</v>
      </c>
      <c r="AN275" t="s">
        <v>2558</v>
      </c>
      <c r="AS275" s="226" t="str">
        <f t="shared" si="8"/>
        <v>Honey Badger</v>
      </c>
      <c r="AT275" s="203" t="str">
        <f t="shared" si="9"/>
        <v xml:space="preserve"> LineHoney Badger177 Unisex</v>
      </c>
    </row>
    <row r="276" spans="1:46" ht="79.2">
      <c r="A276" t="s">
        <v>155</v>
      </c>
      <c r="B276" t="s">
        <v>164</v>
      </c>
      <c r="C276" t="s">
        <v>484</v>
      </c>
      <c r="D276">
        <v>164</v>
      </c>
      <c r="E276" t="s">
        <v>163</v>
      </c>
      <c r="F276">
        <v>164</v>
      </c>
      <c r="G276">
        <v>165.2</v>
      </c>
      <c r="H276">
        <v>136</v>
      </c>
      <c r="I276">
        <v>145</v>
      </c>
      <c r="J276">
        <v>128</v>
      </c>
      <c r="K276">
        <v>82</v>
      </c>
      <c r="L276">
        <v>112</v>
      </c>
      <c r="M276">
        <v>13.1</v>
      </c>
      <c r="N276">
        <v>1790</v>
      </c>
      <c r="O276">
        <v>0.89</v>
      </c>
      <c r="P276">
        <v>1600</v>
      </c>
      <c r="Q276">
        <v>206</v>
      </c>
      <c r="R276">
        <v>91</v>
      </c>
      <c r="S276">
        <v>41</v>
      </c>
      <c r="T276">
        <v>179</v>
      </c>
      <c r="U276">
        <v>9</v>
      </c>
      <c r="V276">
        <v>118</v>
      </c>
      <c r="W276">
        <v>0.214</v>
      </c>
      <c r="X276">
        <v>106</v>
      </c>
      <c r="Y276">
        <v>92</v>
      </c>
      <c r="Z276">
        <v>72</v>
      </c>
      <c r="AA276">
        <v>8</v>
      </c>
      <c r="AB276">
        <v>8.4</v>
      </c>
      <c r="AC276" t="s">
        <v>231</v>
      </c>
      <c r="AD276" t="s">
        <v>188</v>
      </c>
      <c r="AG276" t="s">
        <v>2559</v>
      </c>
      <c r="AH276" t="s">
        <v>1194</v>
      </c>
      <c r="AI276" s="245">
        <v>414</v>
      </c>
      <c r="AJ276" t="s">
        <v>2560</v>
      </c>
      <c r="AK276" t="s">
        <v>2561</v>
      </c>
      <c r="AL276" t="s">
        <v>2562</v>
      </c>
      <c r="AM276" s="245">
        <v>499.99</v>
      </c>
      <c r="AN276" t="s">
        <v>2563</v>
      </c>
      <c r="AO276" t="s">
        <v>2564</v>
      </c>
      <c r="AP276" t="s">
        <v>2565</v>
      </c>
      <c r="AQ276" s="245">
        <v>505.04</v>
      </c>
      <c r="AR276" t="s">
        <v>2566</v>
      </c>
      <c r="AS276" s="226" t="str">
        <f t="shared" si="8"/>
        <v>Wildcat 82 CX</v>
      </c>
      <c r="AT276" s="203" t="str">
        <f t="shared" si="9"/>
        <v xml:space="preserve"> ElanWildcat 82 CX164 Women's</v>
      </c>
    </row>
    <row r="277" spans="1:46" ht="105.6">
      <c r="A277" t="s">
        <v>155</v>
      </c>
      <c r="B277" t="s">
        <v>1160</v>
      </c>
      <c r="C277" t="s">
        <v>485</v>
      </c>
      <c r="D277">
        <v>170</v>
      </c>
      <c r="E277" t="s">
        <v>163</v>
      </c>
      <c r="F277">
        <v>170</v>
      </c>
      <c r="G277">
        <v>169.4</v>
      </c>
      <c r="H277">
        <v>125</v>
      </c>
      <c r="I277">
        <v>146</v>
      </c>
      <c r="J277">
        <v>125</v>
      </c>
      <c r="K277">
        <v>87</v>
      </c>
      <c r="L277">
        <v>111</v>
      </c>
      <c r="M277">
        <v>16.5</v>
      </c>
      <c r="N277">
        <v>1668</v>
      </c>
      <c r="O277">
        <v>1.01</v>
      </c>
      <c r="P277">
        <v>1685</v>
      </c>
      <c r="Q277">
        <v>176</v>
      </c>
      <c r="R277">
        <v>90</v>
      </c>
      <c r="S277">
        <v>52</v>
      </c>
      <c r="T277">
        <v>250</v>
      </c>
      <c r="U277">
        <v>26</v>
      </c>
      <c r="V277">
        <v>198</v>
      </c>
      <c r="W277">
        <v>0.495</v>
      </c>
      <c r="X277">
        <v>137</v>
      </c>
      <c r="Y277">
        <v>99</v>
      </c>
      <c r="Z277">
        <v>112</v>
      </c>
      <c r="AA277">
        <v>8</v>
      </c>
      <c r="AB277">
        <v>11.2</v>
      </c>
      <c r="AC277" t="s">
        <v>188</v>
      </c>
      <c r="AG277" t="s">
        <v>2567</v>
      </c>
      <c r="AH277" t="s">
        <v>1191</v>
      </c>
      <c r="AI277" s="245">
        <v>469.95</v>
      </c>
      <c r="AJ277" t="s">
        <v>2568</v>
      </c>
      <c r="AK277" t="s">
        <v>2569</v>
      </c>
      <c r="AL277" t="s">
        <v>2570</v>
      </c>
      <c r="AM277" s="245">
        <v>800</v>
      </c>
      <c r="AN277" t="s">
        <v>2571</v>
      </c>
      <c r="AO277" t="s">
        <v>2572</v>
      </c>
      <c r="AP277" t="s">
        <v>1194</v>
      </c>
      <c r="AQ277" s="245">
        <v>599.29</v>
      </c>
      <c r="AR277" t="s">
        <v>2573</v>
      </c>
      <c r="AS277" s="226" t="str">
        <f t="shared" si="8"/>
        <v>Mindbender 88 Ti Alliance</v>
      </c>
      <c r="AT277" s="203" t="str">
        <f t="shared" si="9"/>
        <v>K2Mindbender 88 Ti Alliance170 Women's</v>
      </c>
    </row>
    <row r="278" spans="1:46" ht="66">
      <c r="A278" t="s">
        <v>155</v>
      </c>
      <c r="B278" t="s">
        <v>295</v>
      </c>
      <c r="C278" t="s">
        <v>296</v>
      </c>
      <c r="D278">
        <v>166</v>
      </c>
      <c r="E278" t="s">
        <v>158</v>
      </c>
      <c r="F278">
        <v>166</v>
      </c>
      <c r="G278">
        <v>165.1</v>
      </c>
      <c r="H278">
        <v>112</v>
      </c>
      <c r="I278">
        <v>135</v>
      </c>
      <c r="J278">
        <v>131</v>
      </c>
      <c r="K278">
        <v>96</v>
      </c>
      <c r="L278">
        <v>117</v>
      </c>
      <c r="M278">
        <v>15.5</v>
      </c>
      <c r="N278">
        <v>1691</v>
      </c>
      <c r="O278">
        <v>1.04</v>
      </c>
      <c r="P278">
        <v>1757</v>
      </c>
      <c r="Q278">
        <v>200</v>
      </c>
      <c r="R278">
        <v>94</v>
      </c>
      <c r="S278">
        <v>53</v>
      </c>
      <c r="T278">
        <v>308</v>
      </c>
      <c r="U278">
        <v>17</v>
      </c>
      <c r="V278">
        <v>228</v>
      </c>
      <c r="W278">
        <v>0.32799999999999901</v>
      </c>
      <c r="X278">
        <v>182</v>
      </c>
      <c r="Y278">
        <v>116</v>
      </c>
      <c r="Z278">
        <v>126</v>
      </c>
      <c r="AA278">
        <v>6</v>
      </c>
      <c r="AB278">
        <v>8.8000000000000007</v>
      </c>
      <c r="AC278" t="s">
        <v>188</v>
      </c>
      <c r="AG278" t="s">
        <v>2574</v>
      </c>
      <c r="AH278" t="s">
        <v>1226</v>
      </c>
      <c r="AI278" s="245">
        <v>509</v>
      </c>
      <c r="AJ278" t="s">
        <v>2575</v>
      </c>
      <c r="AK278" t="s">
        <v>2574</v>
      </c>
      <c r="AL278" t="s">
        <v>1858</v>
      </c>
      <c r="AM278" s="245">
        <v>509</v>
      </c>
      <c r="AN278" t="s">
        <v>2576</v>
      </c>
      <c r="AO278" t="s">
        <v>2577</v>
      </c>
      <c r="AP278" t="s">
        <v>1627</v>
      </c>
      <c r="AQ278" s="245">
        <v>509</v>
      </c>
      <c r="AR278" t="s">
        <v>2578</v>
      </c>
      <c r="AS278" s="226" t="str">
        <f t="shared" si="8"/>
        <v>Pioneer 96</v>
      </c>
      <c r="AT278" s="203" t="str">
        <f t="shared" si="9"/>
        <v xml:space="preserve"> IcelanticPioneer 96166 Unisex</v>
      </c>
    </row>
    <row r="279" spans="1:46" ht="145.19999999999999">
      <c r="A279" t="s">
        <v>155</v>
      </c>
      <c r="B279" t="s">
        <v>245</v>
      </c>
      <c r="C279" t="s">
        <v>307</v>
      </c>
      <c r="D279">
        <v>166</v>
      </c>
      <c r="E279" t="s">
        <v>163</v>
      </c>
      <c r="F279">
        <v>166</v>
      </c>
      <c r="G279">
        <v>165.2</v>
      </c>
      <c r="H279">
        <v>114</v>
      </c>
      <c r="I279">
        <v>140</v>
      </c>
      <c r="J279">
        <v>126</v>
      </c>
      <c r="K279">
        <v>94</v>
      </c>
      <c r="L279">
        <v>117</v>
      </c>
      <c r="M279">
        <v>15.3</v>
      </c>
      <c r="N279">
        <v>1723</v>
      </c>
      <c r="O279">
        <v>1.01</v>
      </c>
      <c r="P279">
        <v>1740</v>
      </c>
      <c r="Q279">
        <v>189</v>
      </c>
      <c r="R279">
        <v>118</v>
      </c>
      <c r="S279">
        <v>45</v>
      </c>
      <c r="T279">
        <v>286</v>
      </c>
      <c r="U279">
        <v>19</v>
      </c>
      <c r="V279">
        <v>229</v>
      </c>
      <c r="W279">
        <v>0.40899999999999997</v>
      </c>
      <c r="X279">
        <v>134</v>
      </c>
      <c r="Y279">
        <v>120</v>
      </c>
      <c r="Z279">
        <v>152</v>
      </c>
      <c r="AA279">
        <v>4</v>
      </c>
      <c r="AB279">
        <v>9.5</v>
      </c>
      <c r="AC279" t="s">
        <v>188</v>
      </c>
      <c r="AG279" t="s">
        <v>1661</v>
      </c>
      <c r="AH279" t="s">
        <v>1282</v>
      </c>
      <c r="AI279" s="245">
        <v>389.99</v>
      </c>
      <c r="AJ279" t="s">
        <v>2579</v>
      </c>
      <c r="AK279" t="s">
        <v>2580</v>
      </c>
      <c r="AL279" t="s">
        <v>1337</v>
      </c>
      <c r="AM279" s="245">
        <v>499</v>
      </c>
      <c r="AN279" t="s">
        <v>2581</v>
      </c>
      <c r="AO279" t="s">
        <v>2582</v>
      </c>
      <c r="AP279" t="s">
        <v>2583</v>
      </c>
      <c r="AQ279" s="245">
        <v>318</v>
      </c>
      <c r="AR279" t="s">
        <v>2584</v>
      </c>
      <c r="AS279" s="226" t="str">
        <f t="shared" si="8"/>
        <v>Ranger 99 Ti W</v>
      </c>
      <c r="AT279" s="203" t="str">
        <f t="shared" si="9"/>
        <v xml:space="preserve"> FischerRanger 99 Ti W166 Women's</v>
      </c>
    </row>
    <row r="280" spans="1:46" ht="92.4">
      <c r="A280" t="s">
        <v>155</v>
      </c>
      <c r="B280" t="s">
        <v>237</v>
      </c>
      <c r="C280" t="s">
        <v>486</v>
      </c>
      <c r="D280">
        <v>186.2</v>
      </c>
      <c r="E280" t="s">
        <v>158</v>
      </c>
      <c r="F280">
        <v>186.2</v>
      </c>
      <c r="G280">
        <v>184.6</v>
      </c>
      <c r="H280">
        <v>136</v>
      </c>
      <c r="I280">
        <v>145</v>
      </c>
      <c r="J280">
        <v>138</v>
      </c>
      <c r="K280">
        <v>109</v>
      </c>
      <c r="L280">
        <v>127</v>
      </c>
      <c r="M280">
        <v>21.2</v>
      </c>
      <c r="N280">
        <v>1964</v>
      </c>
      <c r="O280">
        <v>1.1100000000000001</v>
      </c>
      <c r="P280">
        <v>2179</v>
      </c>
      <c r="Q280">
        <v>210</v>
      </c>
      <c r="R280">
        <v>94</v>
      </c>
      <c r="S280">
        <v>42</v>
      </c>
      <c r="T280">
        <v>195</v>
      </c>
      <c r="U280">
        <v>39</v>
      </c>
      <c r="V280">
        <v>293</v>
      </c>
      <c r="W280">
        <v>0.92799999999999905</v>
      </c>
      <c r="X280">
        <v>220</v>
      </c>
      <c r="Y280">
        <v>174</v>
      </c>
      <c r="Z280">
        <v>-25</v>
      </c>
      <c r="AA280">
        <v>3</v>
      </c>
      <c r="AB280">
        <v>8.1999999999999993</v>
      </c>
      <c r="AC280" t="s">
        <v>184</v>
      </c>
      <c r="AD280" t="s">
        <v>169</v>
      </c>
      <c r="AE280" t="s">
        <v>185</v>
      </c>
      <c r="AG280" t="s">
        <v>2585</v>
      </c>
      <c r="AH280" t="s">
        <v>2586</v>
      </c>
      <c r="AI280" s="245">
        <v>1019.99</v>
      </c>
      <c r="AJ280" t="s">
        <v>2587</v>
      </c>
      <c r="AK280" t="s">
        <v>2588</v>
      </c>
      <c r="AL280" t="s">
        <v>2589</v>
      </c>
      <c r="AM280" s="245">
        <v>709.95</v>
      </c>
      <c r="AN280" t="s">
        <v>2590</v>
      </c>
      <c r="AO280" t="s">
        <v>2591</v>
      </c>
      <c r="AP280" t="s">
        <v>1468</v>
      </c>
      <c r="AQ280" s="245">
        <v>799.95</v>
      </c>
      <c r="AR280" t="s">
        <v>2592</v>
      </c>
      <c r="AS280" s="226" t="str">
        <f t="shared" si="8"/>
        <v>Ferox Freebird</v>
      </c>
      <c r="AT280" s="203" t="str">
        <f t="shared" si="9"/>
        <v xml:space="preserve"> Black CrowsFerox Freebird186.2 Unisex</v>
      </c>
    </row>
    <row r="281" spans="1:46" ht="105.6">
      <c r="A281" t="s">
        <v>155</v>
      </c>
      <c r="B281" t="s">
        <v>1160</v>
      </c>
      <c r="C281" t="s">
        <v>488</v>
      </c>
      <c r="D281">
        <v>168</v>
      </c>
      <c r="E281" t="s">
        <v>163</v>
      </c>
      <c r="F281">
        <v>168</v>
      </c>
      <c r="G281">
        <v>167.8</v>
      </c>
      <c r="H281">
        <v>119</v>
      </c>
      <c r="I281">
        <v>139</v>
      </c>
      <c r="J281">
        <v>132</v>
      </c>
      <c r="K281">
        <v>97</v>
      </c>
      <c r="L281">
        <v>118</v>
      </c>
      <c r="M281">
        <v>16.3</v>
      </c>
      <c r="N281">
        <v>1803</v>
      </c>
      <c r="O281">
        <v>1.01</v>
      </c>
      <c r="P281">
        <v>1823</v>
      </c>
      <c r="Q281">
        <v>169</v>
      </c>
      <c r="R281">
        <v>106</v>
      </c>
      <c r="S281">
        <v>51</v>
      </c>
      <c r="T281">
        <v>294</v>
      </c>
      <c r="U281">
        <v>19</v>
      </c>
      <c r="V281">
        <v>197</v>
      </c>
      <c r="W281">
        <v>0.374</v>
      </c>
      <c r="X281">
        <v>157</v>
      </c>
      <c r="Y281">
        <v>128</v>
      </c>
      <c r="Z281">
        <v>137</v>
      </c>
      <c r="AA281">
        <v>7</v>
      </c>
      <c r="AB281">
        <v>10.3</v>
      </c>
      <c r="AC281" t="s">
        <v>188</v>
      </c>
      <c r="AG281" t="s">
        <v>2593</v>
      </c>
      <c r="AH281" t="s">
        <v>2594</v>
      </c>
      <c r="AI281" s="245">
        <v>1199</v>
      </c>
      <c r="AJ281" t="s">
        <v>2595</v>
      </c>
      <c r="AK281" t="s">
        <v>2596</v>
      </c>
      <c r="AL281" t="s">
        <v>1194</v>
      </c>
      <c r="AM281" s="245">
        <v>450.88</v>
      </c>
      <c r="AN281" t="s">
        <v>2597</v>
      </c>
      <c r="AO281" t="s">
        <v>2596</v>
      </c>
      <c r="AP281" t="s">
        <v>1191</v>
      </c>
      <c r="AQ281" s="245">
        <v>514.95000000000005</v>
      </c>
      <c r="AR281" t="s">
        <v>2598</v>
      </c>
      <c r="AS281" s="226" t="str">
        <f t="shared" si="8"/>
        <v>Mindbender 98 Ti Alliance</v>
      </c>
      <c r="AT281" s="203" t="str">
        <f t="shared" si="9"/>
        <v>K2Mindbender 98 Ti Alliance168 Women's</v>
      </c>
    </row>
    <row r="282" spans="1:46" ht="66">
      <c r="A282" t="s">
        <v>155</v>
      </c>
      <c r="B282" t="s">
        <v>1160</v>
      </c>
      <c r="C282" t="s">
        <v>489</v>
      </c>
      <c r="D282">
        <v>170</v>
      </c>
      <c r="E282" t="s">
        <v>158</v>
      </c>
      <c r="F282">
        <v>170</v>
      </c>
      <c r="G282">
        <v>168.2</v>
      </c>
      <c r="H282">
        <v>97</v>
      </c>
      <c r="I282">
        <v>131</v>
      </c>
      <c r="J282">
        <v>123</v>
      </c>
      <c r="K282">
        <v>95</v>
      </c>
      <c r="L282">
        <v>117</v>
      </c>
      <c r="M282">
        <v>15.4</v>
      </c>
      <c r="N282">
        <v>1935</v>
      </c>
      <c r="O282">
        <v>0.91</v>
      </c>
      <c r="P282">
        <v>1769</v>
      </c>
      <c r="Q282">
        <v>202</v>
      </c>
      <c r="R282">
        <v>104</v>
      </c>
      <c r="S282">
        <v>43</v>
      </c>
      <c r="T282">
        <v>368</v>
      </c>
      <c r="U282">
        <v>42</v>
      </c>
      <c r="V282">
        <v>340</v>
      </c>
      <c r="W282">
        <v>0.98399999999999999</v>
      </c>
      <c r="X282">
        <v>188</v>
      </c>
      <c r="Y282">
        <v>185</v>
      </c>
      <c r="Z282">
        <v>180</v>
      </c>
      <c r="AA282">
        <v>5</v>
      </c>
      <c r="AB282">
        <v>5.3</v>
      </c>
      <c r="AC282" t="s">
        <v>184</v>
      </c>
      <c r="AG282" t="s">
        <v>2599</v>
      </c>
      <c r="AH282" t="s">
        <v>1262</v>
      </c>
      <c r="AI282" s="245">
        <v>387.05</v>
      </c>
      <c r="AJ282" t="s">
        <v>2600</v>
      </c>
      <c r="AK282" t="s">
        <v>2601</v>
      </c>
      <c r="AL282" t="s">
        <v>1240</v>
      </c>
      <c r="AM282" s="245">
        <v>499</v>
      </c>
      <c r="AN282" t="s">
        <v>2602</v>
      </c>
      <c r="AO282" t="s">
        <v>2599</v>
      </c>
      <c r="AP282" t="s">
        <v>1224</v>
      </c>
      <c r="AQ282" s="245">
        <v>499.95</v>
      </c>
      <c r="AR282" t="s">
        <v>2603</v>
      </c>
      <c r="AS282" s="226" t="str">
        <f t="shared" si="8"/>
        <v>Poacher</v>
      </c>
      <c r="AT282" s="203" t="str">
        <f t="shared" si="9"/>
        <v>K2Poacher170 Unisex</v>
      </c>
    </row>
    <row r="283" spans="1:46" ht="79.2">
      <c r="A283" t="s">
        <v>155</v>
      </c>
      <c r="B283" t="s">
        <v>172</v>
      </c>
      <c r="C283" t="s">
        <v>388</v>
      </c>
      <c r="D283">
        <v>164</v>
      </c>
      <c r="E283" t="s">
        <v>158</v>
      </c>
      <c r="F283">
        <v>164</v>
      </c>
      <c r="G283">
        <v>162.6</v>
      </c>
      <c r="H283">
        <v>113</v>
      </c>
      <c r="I283">
        <v>137</v>
      </c>
      <c r="J283">
        <v>137</v>
      </c>
      <c r="K283">
        <v>100</v>
      </c>
      <c r="L283">
        <v>127</v>
      </c>
      <c r="M283">
        <v>12.9</v>
      </c>
      <c r="N283">
        <v>1700</v>
      </c>
      <c r="O283">
        <v>1.08</v>
      </c>
      <c r="P283">
        <v>1839</v>
      </c>
      <c r="Q283">
        <v>201</v>
      </c>
      <c r="R283">
        <v>91</v>
      </c>
      <c r="S283">
        <v>48</v>
      </c>
      <c r="T283">
        <v>291</v>
      </c>
      <c r="U283">
        <v>13</v>
      </c>
      <c r="V283">
        <v>207</v>
      </c>
      <c r="W283">
        <v>0.28199999999999997</v>
      </c>
      <c r="X283">
        <v>143</v>
      </c>
      <c r="Y283">
        <v>113</v>
      </c>
      <c r="Z283">
        <v>148</v>
      </c>
      <c r="AA283">
        <v>6</v>
      </c>
      <c r="AB283">
        <v>5.9</v>
      </c>
      <c r="AC283" t="s">
        <v>188</v>
      </c>
      <c r="AD283" t="s">
        <v>178</v>
      </c>
      <c r="AE283" t="s">
        <v>185</v>
      </c>
      <c r="AG283" t="s">
        <v>2604</v>
      </c>
      <c r="AH283" t="s">
        <v>1194</v>
      </c>
      <c r="AI283" s="245">
        <v>367.9</v>
      </c>
      <c r="AJ283" t="s">
        <v>2605</v>
      </c>
      <c r="AK283" t="s">
        <v>2606</v>
      </c>
      <c r="AL283" t="s">
        <v>1464</v>
      </c>
      <c r="AM283" s="245">
        <v>552.9</v>
      </c>
      <c r="AN283" t="s">
        <v>2607</v>
      </c>
      <c r="AO283" t="s">
        <v>2604</v>
      </c>
      <c r="AP283" t="s">
        <v>1179</v>
      </c>
      <c r="AQ283" s="245">
        <v>559.95000000000005</v>
      </c>
      <c r="AR283" t="s">
        <v>2608</v>
      </c>
      <c r="AS283" s="226" t="str">
        <f t="shared" si="8"/>
        <v>Blackops Sender</v>
      </c>
      <c r="AT283" s="203" t="str">
        <f t="shared" si="9"/>
        <v xml:space="preserve"> RossignolBlackops Sender164 Unisex</v>
      </c>
    </row>
    <row r="284" spans="1:46" ht="66">
      <c r="A284" t="s">
        <v>155</v>
      </c>
      <c r="B284" t="s">
        <v>182</v>
      </c>
      <c r="C284" t="s">
        <v>491</v>
      </c>
      <c r="D284">
        <v>177</v>
      </c>
      <c r="E284" t="s">
        <v>158</v>
      </c>
      <c r="F284">
        <v>177</v>
      </c>
      <c r="G284">
        <v>174.9</v>
      </c>
      <c r="H284">
        <v>140</v>
      </c>
      <c r="I284">
        <v>152</v>
      </c>
      <c r="J284">
        <v>118</v>
      </c>
      <c r="K284">
        <v>85</v>
      </c>
      <c r="L284">
        <v>112</v>
      </c>
      <c r="M284">
        <v>18</v>
      </c>
      <c r="N284">
        <v>1819</v>
      </c>
      <c r="O284">
        <v>0.93</v>
      </c>
      <c r="P284">
        <v>1694</v>
      </c>
      <c r="Q284">
        <v>204</v>
      </c>
      <c r="R284">
        <v>97</v>
      </c>
      <c r="S284">
        <v>44</v>
      </c>
      <c r="T284">
        <v>181</v>
      </c>
      <c r="U284">
        <v>38</v>
      </c>
      <c r="V284">
        <v>169</v>
      </c>
      <c r="W284">
        <v>0.85299999999999998</v>
      </c>
      <c r="X284">
        <v>108</v>
      </c>
      <c r="Y284">
        <v>120</v>
      </c>
      <c r="Z284">
        <v>73</v>
      </c>
      <c r="AA284">
        <v>11</v>
      </c>
      <c r="AB284">
        <v>4</v>
      </c>
      <c r="AC284" t="s">
        <v>188</v>
      </c>
      <c r="AD284" t="s">
        <v>184</v>
      </c>
      <c r="AG284" t="s">
        <v>2609</v>
      </c>
      <c r="AH284" t="s">
        <v>1592</v>
      </c>
      <c r="AI284" s="245">
        <v>291</v>
      </c>
      <c r="AJ284" t="s">
        <v>2610</v>
      </c>
      <c r="AK284" t="s">
        <v>2609</v>
      </c>
      <c r="AL284" t="s">
        <v>1191</v>
      </c>
      <c r="AM284" s="245">
        <v>339.95</v>
      </c>
      <c r="AN284" t="s">
        <v>2611</v>
      </c>
      <c r="AO284" t="s">
        <v>2612</v>
      </c>
      <c r="AP284" t="s">
        <v>1240</v>
      </c>
      <c r="AQ284" s="245">
        <v>399.95</v>
      </c>
      <c r="AR284" t="s">
        <v>2613</v>
      </c>
      <c r="AS284" s="226" t="str">
        <f t="shared" si="8"/>
        <v>ARV 86</v>
      </c>
      <c r="AT284" s="203" t="str">
        <f t="shared" si="9"/>
        <v xml:space="preserve"> ArmadaARV 86177 Unisex</v>
      </c>
    </row>
    <row r="285" spans="1:46" ht="52.8">
      <c r="A285" t="s">
        <v>155</v>
      </c>
      <c r="B285" t="s">
        <v>202</v>
      </c>
      <c r="C285" t="s">
        <v>493</v>
      </c>
      <c r="D285">
        <v>172</v>
      </c>
      <c r="E285" t="s">
        <v>158</v>
      </c>
      <c r="F285">
        <v>172</v>
      </c>
      <c r="G285">
        <v>170</v>
      </c>
      <c r="H285">
        <v>107</v>
      </c>
      <c r="I285">
        <v>133</v>
      </c>
      <c r="J285">
        <v>137</v>
      </c>
      <c r="K285">
        <v>107</v>
      </c>
      <c r="L285">
        <v>127</v>
      </c>
      <c r="M285">
        <v>15.1</v>
      </c>
      <c r="N285">
        <v>1972</v>
      </c>
      <c r="O285">
        <v>1.01</v>
      </c>
      <c r="P285">
        <v>1986</v>
      </c>
      <c r="Q285">
        <v>197</v>
      </c>
      <c r="R285">
        <v>95</v>
      </c>
      <c r="S285">
        <v>57</v>
      </c>
      <c r="T285">
        <v>334</v>
      </c>
      <c r="U285">
        <v>40</v>
      </c>
      <c r="V285">
        <v>300</v>
      </c>
      <c r="W285">
        <v>0.69899999999999995</v>
      </c>
      <c r="X285">
        <v>198</v>
      </c>
      <c r="Y285">
        <v>172</v>
      </c>
      <c r="Z285">
        <v>135</v>
      </c>
      <c r="AA285">
        <v>7</v>
      </c>
      <c r="AB285">
        <v>7.4</v>
      </c>
      <c r="AC285" t="s">
        <v>169</v>
      </c>
      <c r="AG285" t="s">
        <v>2614</v>
      </c>
      <c r="AH285" t="s">
        <v>1248</v>
      </c>
      <c r="AI285" s="245">
        <v>559.96</v>
      </c>
      <c r="AJ285" t="s">
        <v>2615</v>
      </c>
      <c r="AK285" t="s">
        <v>2614</v>
      </c>
      <c r="AL285" t="s">
        <v>1224</v>
      </c>
      <c r="AM285" s="245">
        <v>559.96</v>
      </c>
      <c r="AN285" t="s">
        <v>2616</v>
      </c>
      <c r="AO285" t="s">
        <v>2614</v>
      </c>
      <c r="AP285" t="s">
        <v>2111</v>
      </c>
      <c r="AQ285" s="245">
        <v>559.99</v>
      </c>
      <c r="AR285" t="s">
        <v>2617</v>
      </c>
      <c r="AS285" s="226" t="str">
        <f t="shared" si="8"/>
        <v>M-Free 108</v>
      </c>
      <c r="AT285" s="203" t="str">
        <f t="shared" si="9"/>
        <v xml:space="preserve"> DynastarM-Free 108172 Unisex</v>
      </c>
    </row>
    <row r="286" spans="1:46" ht="105.6">
      <c r="A286" t="s">
        <v>155</v>
      </c>
      <c r="B286" t="s">
        <v>1361</v>
      </c>
      <c r="C286" t="s">
        <v>495</v>
      </c>
      <c r="D286">
        <v>163</v>
      </c>
      <c r="E286" t="s">
        <v>158</v>
      </c>
      <c r="F286">
        <v>163</v>
      </c>
      <c r="G286">
        <v>162</v>
      </c>
      <c r="H286">
        <v>141</v>
      </c>
      <c r="I286">
        <v>148</v>
      </c>
      <c r="J286">
        <v>122</v>
      </c>
      <c r="K286">
        <v>72</v>
      </c>
      <c r="L286">
        <v>103</v>
      </c>
      <c r="M286">
        <v>13.5</v>
      </c>
      <c r="N286">
        <v>1671</v>
      </c>
      <c r="O286">
        <v>0.84</v>
      </c>
      <c r="P286">
        <v>1405</v>
      </c>
      <c r="Q286">
        <v>170</v>
      </c>
      <c r="R286">
        <v>106</v>
      </c>
      <c r="S286">
        <v>40</v>
      </c>
      <c r="T286">
        <v>144</v>
      </c>
      <c r="U286">
        <v>7</v>
      </c>
      <c r="V286">
        <v>66</v>
      </c>
      <c r="W286">
        <v>0.17899999999999999</v>
      </c>
      <c r="X286">
        <v>78</v>
      </c>
      <c r="Y286">
        <v>57</v>
      </c>
      <c r="Z286">
        <v>66</v>
      </c>
      <c r="AA286">
        <v>8</v>
      </c>
      <c r="AB286">
        <v>12.1</v>
      </c>
      <c r="AC286" t="s">
        <v>349</v>
      </c>
      <c r="AG286" t="s">
        <v>2618</v>
      </c>
      <c r="AH286" t="s">
        <v>1271</v>
      </c>
      <c r="AI286" s="245">
        <v>1749</v>
      </c>
      <c r="AJ286" t="s">
        <v>2619</v>
      </c>
      <c r="AK286" t="s">
        <v>2620</v>
      </c>
      <c r="AL286" t="s">
        <v>1365</v>
      </c>
      <c r="AM286" s="245">
        <v>2019</v>
      </c>
      <c r="AN286" t="s">
        <v>2621</v>
      </c>
      <c r="AO286" t="s">
        <v>2622</v>
      </c>
      <c r="AP286" t="s">
        <v>1277</v>
      </c>
      <c r="AQ286" s="245">
        <v>1299</v>
      </c>
      <c r="AR286" t="s">
        <v>2623</v>
      </c>
      <c r="AS286" s="226" t="str">
        <f t="shared" si="8"/>
        <v>Laser SC Orea</v>
      </c>
      <c r="AT286" s="203" t="str">
        <f t="shared" si="9"/>
        <v xml:space="preserve"> Stï¿½ckliLaser SC Orea163 Unisex</v>
      </c>
    </row>
    <row r="287" spans="1:46" ht="66">
      <c r="A287" t="s">
        <v>155</v>
      </c>
      <c r="B287" t="s">
        <v>317</v>
      </c>
      <c r="C287" t="s">
        <v>449</v>
      </c>
      <c r="D287">
        <v>178</v>
      </c>
      <c r="E287" t="s">
        <v>158</v>
      </c>
      <c r="F287">
        <v>178</v>
      </c>
      <c r="G287">
        <v>176</v>
      </c>
      <c r="H287">
        <v>125</v>
      </c>
      <c r="I287">
        <v>149</v>
      </c>
      <c r="J287">
        <v>126</v>
      </c>
      <c r="K287">
        <v>93</v>
      </c>
      <c r="L287">
        <v>110</v>
      </c>
      <c r="M287">
        <v>22.1</v>
      </c>
      <c r="N287">
        <v>1284</v>
      </c>
      <c r="O287">
        <v>1.4</v>
      </c>
      <c r="P287">
        <v>1794</v>
      </c>
      <c r="Q287">
        <v>242</v>
      </c>
      <c r="R287">
        <v>84</v>
      </c>
      <c r="S287">
        <v>54</v>
      </c>
      <c r="T287">
        <v>304</v>
      </c>
      <c r="U287">
        <v>12</v>
      </c>
      <c r="V287">
        <v>210</v>
      </c>
      <c r="W287">
        <v>0.218999999999999</v>
      </c>
      <c r="X287">
        <v>138</v>
      </c>
      <c r="Y287">
        <v>129</v>
      </c>
      <c r="Z287">
        <v>166</v>
      </c>
      <c r="AA287">
        <v>3</v>
      </c>
      <c r="AB287">
        <v>10.5</v>
      </c>
      <c r="AC287" t="s">
        <v>185</v>
      </c>
      <c r="AD287" t="s">
        <v>198</v>
      </c>
      <c r="AG287" t="s">
        <v>2624</v>
      </c>
      <c r="AH287" t="s">
        <v>2378</v>
      </c>
      <c r="AI287" s="245">
        <v>559.95000000000005</v>
      </c>
      <c r="AJ287" t="s">
        <v>2625</v>
      </c>
      <c r="AK287" t="s">
        <v>2624</v>
      </c>
      <c r="AL287" t="s">
        <v>2255</v>
      </c>
      <c r="AM287" s="245">
        <v>559.95000000000005</v>
      </c>
      <c r="AN287" t="s">
        <v>2626</v>
      </c>
      <c r="AO287" t="s">
        <v>2627</v>
      </c>
      <c r="AP287" t="s">
        <v>1282</v>
      </c>
      <c r="AQ287" s="245">
        <v>559.95000000000005</v>
      </c>
      <c r="AR287" t="s">
        <v>2628</v>
      </c>
      <c r="AS287" s="226" t="str">
        <f t="shared" si="8"/>
        <v>Zero G 95</v>
      </c>
      <c r="AT287" s="203" t="str">
        <f t="shared" si="9"/>
        <v xml:space="preserve"> BlizzardZero G 95178 Unisex</v>
      </c>
    </row>
    <row r="288" spans="1:46" ht="66">
      <c r="A288" t="s">
        <v>155</v>
      </c>
      <c r="B288" t="s">
        <v>1160</v>
      </c>
      <c r="C288" t="s">
        <v>496</v>
      </c>
      <c r="D288">
        <v>169</v>
      </c>
      <c r="E288" t="s">
        <v>158</v>
      </c>
      <c r="F288">
        <v>169</v>
      </c>
      <c r="G288">
        <v>169.7</v>
      </c>
      <c r="H288">
        <v>131</v>
      </c>
      <c r="I288">
        <v>137</v>
      </c>
      <c r="J288">
        <v>116</v>
      </c>
      <c r="K288">
        <v>87</v>
      </c>
      <c r="L288">
        <v>110</v>
      </c>
      <c r="M288">
        <v>16.899999999999999</v>
      </c>
      <c r="N288">
        <v>1772</v>
      </c>
      <c r="O288">
        <v>0.94</v>
      </c>
      <c r="P288">
        <v>1663</v>
      </c>
      <c r="Q288">
        <v>166</v>
      </c>
      <c r="R288">
        <v>85</v>
      </c>
      <c r="S288">
        <v>49</v>
      </c>
      <c r="T288">
        <v>190</v>
      </c>
      <c r="U288">
        <v>48</v>
      </c>
      <c r="V288">
        <v>200</v>
      </c>
      <c r="W288">
        <v>0.96299999999999997</v>
      </c>
      <c r="X288">
        <v>163</v>
      </c>
      <c r="Y288">
        <v>167</v>
      </c>
      <c r="Z288">
        <v>26</v>
      </c>
      <c r="AA288">
        <v>7</v>
      </c>
      <c r="AB288">
        <v>4</v>
      </c>
      <c r="AC288" t="s">
        <v>184</v>
      </c>
      <c r="AG288" t="s">
        <v>2629</v>
      </c>
      <c r="AH288" t="s">
        <v>1402</v>
      </c>
      <c r="AI288" s="245">
        <v>399.95</v>
      </c>
      <c r="AJ288" t="s">
        <v>2630</v>
      </c>
      <c r="AK288" t="s">
        <v>2629</v>
      </c>
      <c r="AL288" t="s">
        <v>1224</v>
      </c>
      <c r="AM288" s="245">
        <v>399.95</v>
      </c>
      <c r="AN288" t="s">
        <v>2631</v>
      </c>
      <c r="AO288" t="s">
        <v>2629</v>
      </c>
      <c r="AP288" t="s">
        <v>2632</v>
      </c>
      <c r="AQ288" s="245">
        <v>399.95</v>
      </c>
      <c r="AR288" t="s">
        <v>2633</v>
      </c>
      <c r="AS288" s="226" t="str">
        <f t="shared" si="8"/>
        <v>Sight</v>
      </c>
      <c r="AT288" s="203" t="str">
        <f t="shared" si="9"/>
        <v>K2Sight169 Unisex</v>
      </c>
    </row>
    <row r="289" spans="1:46" ht="52.8">
      <c r="A289" t="s">
        <v>155</v>
      </c>
      <c r="B289" t="s">
        <v>202</v>
      </c>
      <c r="C289" t="s">
        <v>498</v>
      </c>
      <c r="D289">
        <v>170</v>
      </c>
      <c r="E289" t="s">
        <v>158</v>
      </c>
      <c r="F289">
        <v>170</v>
      </c>
      <c r="G289">
        <v>169.6</v>
      </c>
      <c r="H289">
        <v>123</v>
      </c>
      <c r="I289">
        <v>136</v>
      </c>
      <c r="J289">
        <v>125</v>
      </c>
      <c r="K289">
        <v>96</v>
      </c>
      <c r="L289">
        <v>115</v>
      </c>
      <c r="M289">
        <v>17.600000000000001</v>
      </c>
      <c r="N289">
        <v>1245</v>
      </c>
      <c r="O289">
        <v>1.44</v>
      </c>
      <c r="P289">
        <v>1796</v>
      </c>
      <c r="Q289">
        <v>189</v>
      </c>
      <c r="R289">
        <v>80</v>
      </c>
      <c r="S289">
        <v>55</v>
      </c>
      <c r="T289">
        <v>320</v>
      </c>
      <c r="U289">
        <v>14</v>
      </c>
      <c r="V289">
        <v>149</v>
      </c>
      <c r="W289">
        <v>0.255</v>
      </c>
      <c r="X289">
        <v>201</v>
      </c>
      <c r="Y289">
        <v>132</v>
      </c>
      <c r="Z289">
        <v>120</v>
      </c>
      <c r="AA289">
        <v>6</v>
      </c>
      <c r="AB289">
        <v>11.9</v>
      </c>
      <c r="AC289" t="s">
        <v>185</v>
      </c>
      <c r="AD289" t="s">
        <v>198</v>
      </c>
      <c r="AG289" t="s">
        <v>2634</v>
      </c>
      <c r="AH289" t="s">
        <v>1349</v>
      </c>
      <c r="AI289" s="245">
        <v>546.34</v>
      </c>
      <c r="AJ289" t="s">
        <v>2635</v>
      </c>
      <c r="AK289" t="s">
        <v>2634</v>
      </c>
      <c r="AL289" t="s">
        <v>1271</v>
      </c>
      <c r="AM289" s="245">
        <v>639.95000000000005</v>
      </c>
      <c r="AN289" t="s">
        <v>2636</v>
      </c>
      <c r="AO289" t="s">
        <v>2634</v>
      </c>
      <c r="AP289" t="s">
        <v>1224</v>
      </c>
      <c r="AQ289" s="245">
        <v>639.96</v>
      </c>
      <c r="AR289" t="s">
        <v>2637</v>
      </c>
      <c r="AS289" s="226" t="str">
        <f t="shared" si="8"/>
        <v>M-Tour 99</v>
      </c>
      <c r="AT289" s="203" t="str">
        <f t="shared" si="9"/>
        <v xml:space="preserve"> DynastarM-Tour 99170 Unisex</v>
      </c>
    </row>
    <row r="290" spans="1:46" ht="92.4">
      <c r="A290" t="s">
        <v>155</v>
      </c>
      <c r="B290" t="s">
        <v>354</v>
      </c>
      <c r="C290" t="s">
        <v>500</v>
      </c>
      <c r="D290">
        <v>165</v>
      </c>
      <c r="E290" t="s">
        <v>158</v>
      </c>
      <c r="F290">
        <v>165</v>
      </c>
      <c r="G290">
        <v>165.7</v>
      </c>
      <c r="H290">
        <v>120</v>
      </c>
      <c r="I290">
        <v>131</v>
      </c>
      <c r="J290">
        <v>134</v>
      </c>
      <c r="K290">
        <v>103</v>
      </c>
      <c r="L290">
        <v>122</v>
      </c>
      <c r="M290">
        <v>15.9</v>
      </c>
      <c r="N290">
        <v>1780</v>
      </c>
      <c r="O290">
        <v>1.05</v>
      </c>
      <c r="P290">
        <v>1864</v>
      </c>
      <c r="Q290">
        <v>185</v>
      </c>
      <c r="R290">
        <v>75</v>
      </c>
      <c r="S290">
        <v>39</v>
      </c>
      <c r="T290">
        <v>272</v>
      </c>
      <c r="U290">
        <v>19</v>
      </c>
      <c r="V290">
        <v>185</v>
      </c>
      <c r="W290">
        <v>0.49299999999999999</v>
      </c>
      <c r="X290">
        <v>214</v>
      </c>
      <c r="Y290">
        <v>137</v>
      </c>
      <c r="Z290">
        <v>58</v>
      </c>
      <c r="AA290">
        <v>8</v>
      </c>
      <c r="AB290">
        <v>8.4</v>
      </c>
      <c r="AC290" t="s">
        <v>188</v>
      </c>
      <c r="AD290" t="s">
        <v>169</v>
      </c>
      <c r="AG290" t="s">
        <v>2638</v>
      </c>
      <c r="AH290" t="s">
        <v>1194</v>
      </c>
      <c r="AI290" s="245">
        <v>479.47</v>
      </c>
      <c r="AJ290" t="s">
        <v>2639</v>
      </c>
      <c r="AK290" t="s">
        <v>2638</v>
      </c>
      <c r="AL290" t="s">
        <v>2211</v>
      </c>
      <c r="AM290" s="245">
        <v>583.96</v>
      </c>
      <c r="AN290" t="s">
        <v>2640</v>
      </c>
      <c r="AO290" t="s">
        <v>2638</v>
      </c>
      <c r="AP290" t="s">
        <v>2641</v>
      </c>
      <c r="AQ290" s="245">
        <v>729.95</v>
      </c>
      <c r="AR290" t="s">
        <v>2642</v>
      </c>
      <c r="AS290" s="226" t="str">
        <f t="shared" si="8"/>
        <v>Impulse 104</v>
      </c>
      <c r="AT290" s="203" t="str">
        <f t="shared" si="9"/>
        <v xml:space="preserve"> Black DiamondImpulse 104165 Unisex</v>
      </c>
    </row>
    <row r="291" spans="1:46" ht="52.8">
      <c r="A291" t="s">
        <v>155</v>
      </c>
      <c r="B291" t="s">
        <v>202</v>
      </c>
      <c r="C291" t="s">
        <v>498</v>
      </c>
      <c r="D291">
        <v>186</v>
      </c>
      <c r="E291" t="s">
        <v>158</v>
      </c>
      <c r="F291">
        <v>186</v>
      </c>
      <c r="G291">
        <v>185.2</v>
      </c>
      <c r="H291">
        <v>138</v>
      </c>
      <c r="I291">
        <v>153</v>
      </c>
      <c r="J291">
        <v>126</v>
      </c>
      <c r="K291">
        <v>97</v>
      </c>
      <c r="L291">
        <v>116</v>
      </c>
      <c r="M291">
        <v>22.1</v>
      </c>
      <c r="N291">
        <v>1421</v>
      </c>
      <c r="O291">
        <v>1.39</v>
      </c>
      <c r="P291">
        <v>1975</v>
      </c>
      <c r="Q291">
        <v>278</v>
      </c>
      <c r="R291">
        <v>92</v>
      </c>
      <c r="S291">
        <v>56</v>
      </c>
      <c r="T291">
        <v>324</v>
      </c>
      <c r="U291">
        <v>12</v>
      </c>
      <c r="V291">
        <v>145</v>
      </c>
      <c r="W291">
        <v>0.214</v>
      </c>
      <c r="X291">
        <v>201</v>
      </c>
      <c r="Y291">
        <v>122</v>
      </c>
      <c r="Z291">
        <v>123</v>
      </c>
      <c r="AA291">
        <v>7</v>
      </c>
      <c r="AB291">
        <v>12.4</v>
      </c>
      <c r="AC291" t="s">
        <v>185</v>
      </c>
      <c r="AD291" t="s">
        <v>198</v>
      </c>
      <c r="AG291" t="s">
        <v>2634</v>
      </c>
      <c r="AH291" t="s">
        <v>1271</v>
      </c>
      <c r="AI291" s="245">
        <v>639.95000000000005</v>
      </c>
      <c r="AJ291" t="s">
        <v>2643</v>
      </c>
      <c r="AK291" t="s">
        <v>2634</v>
      </c>
      <c r="AL291" t="s">
        <v>1224</v>
      </c>
      <c r="AM291" s="245">
        <v>639.96</v>
      </c>
      <c r="AN291" t="s">
        <v>2644</v>
      </c>
      <c r="AO291" t="s">
        <v>2634</v>
      </c>
      <c r="AP291" t="s">
        <v>1248</v>
      </c>
      <c r="AQ291" s="245">
        <v>639.96</v>
      </c>
      <c r="AR291" t="s">
        <v>2645</v>
      </c>
      <c r="AS291" s="226" t="str">
        <f t="shared" si="8"/>
        <v>M-Tour 99</v>
      </c>
      <c r="AT291" s="203" t="str">
        <f t="shared" si="9"/>
        <v xml:space="preserve"> DynastarM-Tour 99186 Unisex</v>
      </c>
    </row>
    <row r="292" spans="1:46" ht="52.8">
      <c r="A292" t="s">
        <v>155</v>
      </c>
      <c r="B292" t="s">
        <v>208</v>
      </c>
      <c r="C292" t="s">
        <v>209</v>
      </c>
      <c r="D292">
        <v>179</v>
      </c>
      <c r="E292" t="s">
        <v>158</v>
      </c>
      <c r="F292">
        <v>179</v>
      </c>
      <c r="G292">
        <v>178.3</v>
      </c>
      <c r="H292">
        <v>117</v>
      </c>
      <c r="I292">
        <v>145</v>
      </c>
      <c r="J292">
        <v>130</v>
      </c>
      <c r="K292">
        <v>97</v>
      </c>
      <c r="L292">
        <v>117</v>
      </c>
      <c r="M292">
        <v>18.100000000000001</v>
      </c>
      <c r="N292">
        <v>1452</v>
      </c>
      <c r="O292">
        <v>1.32</v>
      </c>
      <c r="P292">
        <v>1910</v>
      </c>
      <c r="Q292">
        <v>192</v>
      </c>
      <c r="R292">
        <v>80</v>
      </c>
      <c r="S292">
        <v>52</v>
      </c>
      <c r="T292">
        <v>341</v>
      </c>
      <c r="U292">
        <v>32</v>
      </c>
      <c r="V292">
        <v>271</v>
      </c>
      <c r="W292">
        <v>0.61899999999999999</v>
      </c>
      <c r="X292">
        <v>165</v>
      </c>
      <c r="Y292">
        <v>171</v>
      </c>
      <c r="Z292">
        <v>176</v>
      </c>
      <c r="AA292">
        <v>5</v>
      </c>
      <c r="AB292">
        <v>6.3</v>
      </c>
      <c r="AC292" t="s">
        <v>185</v>
      </c>
      <c r="AD292" t="s">
        <v>198</v>
      </c>
      <c r="AG292" t="s">
        <v>2646</v>
      </c>
      <c r="AH292" t="s">
        <v>1271</v>
      </c>
      <c r="AI292" s="245">
        <v>479.99</v>
      </c>
      <c r="AJ292" t="s">
        <v>2647</v>
      </c>
      <c r="AK292" t="s">
        <v>2648</v>
      </c>
      <c r="AL292" t="s">
        <v>1265</v>
      </c>
      <c r="AM292" s="245">
        <v>481.02</v>
      </c>
      <c r="AN292" t="s">
        <v>2649</v>
      </c>
      <c r="AO292" t="s">
        <v>2650</v>
      </c>
      <c r="AP292" t="s">
        <v>1240</v>
      </c>
      <c r="AQ292" s="245">
        <v>629.95000000000005</v>
      </c>
      <c r="AR292" t="s">
        <v>2651</v>
      </c>
      <c r="AS292" s="226" t="str">
        <f t="shared" si="8"/>
        <v>Vision 98</v>
      </c>
      <c r="AT292" s="203" t="str">
        <f t="shared" si="9"/>
        <v xml:space="preserve"> LineVision 98179 Unisex</v>
      </c>
    </row>
    <row r="293" spans="1:46" ht="79.2">
      <c r="A293" t="s">
        <v>155</v>
      </c>
      <c r="B293" t="s">
        <v>317</v>
      </c>
      <c r="C293" t="s">
        <v>502</v>
      </c>
      <c r="D293">
        <v>165</v>
      </c>
      <c r="E293" t="s">
        <v>163</v>
      </c>
      <c r="F293">
        <v>165</v>
      </c>
      <c r="G293">
        <v>163.69999999999999</v>
      </c>
      <c r="H293">
        <v>133</v>
      </c>
      <c r="I293">
        <v>141</v>
      </c>
      <c r="J293">
        <v>128</v>
      </c>
      <c r="K293">
        <v>86</v>
      </c>
      <c r="L293">
        <v>109</v>
      </c>
      <c r="M293">
        <v>14.9</v>
      </c>
      <c r="N293">
        <v>1757</v>
      </c>
      <c r="O293">
        <v>0.92</v>
      </c>
      <c r="P293">
        <v>1613</v>
      </c>
      <c r="Q293">
        <v>177</v>
      </c>
      <c r="R293">
        <v>91</v>
      </c>
      <c r="S293">
        <v>63</v>
      </c>
      <c r="T293">
        <v>209</v>
      </c>
      <c r="U293">
        <v>7</v>
      </c>
      <c r="V293">
        <v>96</v>
      </c>
      <c r="W293">
        <v>0.11799999999999999</v>
      </c>
      <c r="X293">
        <v>123</v>
      </c>
      <c r="Y293">
        <v>106</v>
      </c>
      <c r="Z293">
        <v>86</v>
      </c>
      <c r="AA293">
        <v>8</v>
      </c>
      <c r="AB293">
        <v>11.1</v>
      </c>
      <c r="AC293" t="s">
        <v>188</v>
      </c>
      <c r="AG293" t="s">
        <v>2652</v>
      </c>
      <c r="AH293" t="s">
        <v>1194</v>
      </c>
      <c r="AI293" s="245">
        <v>354.97</v>
      </c>
      <c r="AJ293" t="s">
        <v>2653</v>
      </c>
      <c r="AK293" t="s">
        <v>2652</v>
      </c>
      <c r="AL293" t="s">
        <v>2654</v>
      </c>
      <c r="AM293" s="245">
        <v>511.06</v>
      </c>
      <c r="AN293" t="s">
        <v>2655</v>
      </c>
      <c r="AO293" t="s">
        <v>2656</v>
      </c>
      <c r="AP293" t="s">
        <v>1706</v>
      </c>
      <c r="AQ293" s="245">
        <v>519.95000000000005</v>
      </c>
      <c r="AR293" t="s">
        <v>2657</v>
      </c>
      <c r="AS293" s="226" t="str">
        <f t="shared" si="8"/>
        <v>Black Pearl 88</v>
      </c>
      <c r="AT293" s="203" t="str">
        <f t="shared" si="9"/>
        <v xml:space="preserve"> BlizzardBlack Pearl 88165 Women's</v>
      </c>
    </row>
    <row r="294" spans="1:46" ht="52.8">
      <c r="A294" t="s">
        <v>155</v>
      </c>
      <c r="B294" t="s">
        <v>1361</v>
      </c>
      <c r="C294" t="s">
        <v>504</v>
      </c>
      <c r="D294">
        <v>166</v>
      </c>
      <c r="E294" t="s">
        <v>158</v>
      </c>
      <c r="F294">
        <v>166</v>
      </c>
      <c r="G294">
        <v>165.3</v>
      </c>
      <c r="H294">
        <v>134</v>
      </c>
      <c r="I294">
        <v>144</v>
      </c>
      <c r="J294">
        <v>131</v>
      </c>
      <c r="K294">
        <v>94</v>
      </c>
      <c r="L294">
        <v>122</v>
      </c>
      <c r="M294">
        <v>14.8</v>
      </c>
      <c r="N294">
        <v>1691</v>
      </c>
      <c r="O294">
        <v>1.04</v>
      </c>
      <c r="P294">
        <v>1762</v>
      </c>
      <c r="Q294">
        <v>171</v>
      </c>
      <c r="R294">
        <v>104</v>
      </c>
      <c r="S294">
        <v>48</v>
      </c>
      <c r="T294">
        <v>229</v>
      </c>
      <c r="U294">
        <v>10</v>
      </c>
      <c r="V294">
        <v>87</v>
      </c>
      <c r="W294">
        <v>0.20300000000000001</v>
      </c>
      <c r="X294">
        <v>157</v>
      </c>
      <c r="Y294">
        <v>61</v>
      </c>
      <c r="Z294">
        <v>72</v>
      </c>
      <c r="AA294">
        <v>4</v>
      </c>
      <c r="AB294">
        <v>13.3</v>
      </c>
      <c r="AC294" t="s">
        <v>188</v>
      </c>
      <c r="AG294" t="s">
        <v>2658</v>
      </c>
      <c r="AH294" t="s">
        <v>1271</v>
      </c>
      <c r="AI294" s="245">
        <v>1149</v>
      </c>
      <c r="AJ294" t="s">
        <v>2659</v>
      </c>
      <c r="AK294" t="s">
        <v>2658</v>
      </c>
      <c r="AL294" t="s">
        <v>1181</v>
      </c>
      <c r="AM294" s="245">
        <v>1149</v>
      </c>
      <c r="AN294" t="s">
        <v>2660</v>
      </c>
      <c r="AO294" t="s">
        <v>2658</v>
      </c>
      <c r="AP294" t="s">
        <v>1402</v>
      </c>
      <c r="AQ294" s="245">
        <v>1149</v>
      </c>
      <c r="AR294" t="s">
        <v>2661</v>
      </c>
      <c r="AS294" s="226" t="str">
        <f t="shared" si="8"/>
        <v>Stormrider 95</v>
      </c>
      <c r="AT294" s="203" t="str">
        <f t="shared" si="9"/>
        <v xml:space="preserve"> Stï¿½ckliStormrider 95166 Unisex</v>
      </c>
    </row>
    <row r="295" spans="1:46" ht="79.2">
      <c r="A295" t="s">
        <v>155</v>
      </c>
      <c r="B295" t="s">
        <v>295</v>
      </c>
      <c r="C295" t="s">
        <v>458</v>
      </c>
      <c r="D295">
        <v>171</v>
      </c>
      <c r="E295" t="s">
        <v>158</v>
      </c>
      <c r="F295">
        <v>171</v>
      </c>
      <c r="G295">
        <v>168.7</v>
      </c>
      <c r="H295">
        <v>102</v>
      </c>
      <c r="I295">
        <v>142</v>
      </c>
      <c r="J295">
        <v>145</v>
      </c>
      <c r="K295">
        <v>111</v>
      </c>
      <c r="L295">
        <v>136</v>
      </c>
      <c r="M295">
        <v>16.3</v>
      </c>
      <c r="N295">
        <v>1797</v>
      </c>
      <c r="O295">
        <v>1.1399999999999999</v>
      </c>
      <c r="P295">
        <v>2052</v>
      </c>
      <c r="Q295">
        <v>237</v>
      </c>
      <c r="R295">
        <v>109</v>
      </c>
      <c r="S295">
        <v>60</v>
      </c>
      <c r="T295">
        <v>364</v>
      </c>
      <c r="U295">
        <v>54</v>
      </c>
      <c r="V295">
        <v>304</v>
      </c>
      <c r="W295">
        <v>0.91299999999999903</v>
      </c>
      <c r="X295">
        <v>134</v>
      </c>
      <c r="Y295">
        <v>136</v>
      </c>
      <c r="Z295">
        <v>230</v>
      </c>
      <c r="AA295">
        <v>2</v>
      </c>
      <c r="AB295">
        <v>8.6</v>
      </c>
      <c r="AC295" t="s">
        <v>184</v>
      </c>
      <c r="AD295" t="s">
        <v>169</v>
      </c>
      <c r="AE295" t="s">
        <v>185</v>
      </c>
      <c r="AG295" t="s">
        <v>2662</v>
      </c>
      <c r="AH295" t="s">
        <v>1280</v>
      </c>
      <c r="AI295" s="245">
        <v>598.92999999999995</v>
      </c>
      <c r="AJ295" t="s">
        <v>2663</v>
      </c>
      <c r="AK295" t="s">
        <v>2662</v>
      </c>
      <c r="AL295" t="s">
        <v>1858</v>
      </c>
      <c r="AM295" s="245">
        <v>599</v>
      </c>
      <c r="AN295" t="s">
        <v>2664</v>
      </c>
      <c r="AO295" t="s">
        <v>2662</v>
      </c>
      <c r="AP295" t="s">
        <v>1610</v>
      </c>
      <c r="AQ295" s="245">
        <v>799</v>
      </c>
      <c r="AR295" t="s">
        <v>2665</v>
      </c>
      <c r="AS295" s="226" t="str">
        <f t="shared" si="8"/>
        <v>Nomad Lite 105</v>
      </c>
      <c r="AT295" s="203" t="str">
        <f t="shared" si="9"/>
        <v xml:space="preserve"> IcelanticNomad Lite 105171 Unisex</v>
      </c>
    </row>
    <row r="296" spans="1:46" ht="118.8">
      <c r="A296" t="s">
        <v>155</v>
      </c>
      <c r="B296" t="s">
        <v>182</v>
      </c>
      <c r="C296" t="s">
        <v>505</v>
      </c>
      <c r="D296">
        <v>170</v>
      </c>
      <c r="E296" t="s">
        <v>158</v>
      </c>
      <c r="F296">
        <v>170</v>
      </c>
      <c r="G296">
        <v>168.9</v>
      </c>
      <c r="H296">
        <v>126</v>
      </c>
      <c r="I296">
        <v>141</v>
      </c>
      <c r="J296">
        <v>123</v>
      </c>
      <c r="K296">
        <v>95</v>
      </c>
      <c r="L296">
        <v>115</v>
      </c>
      <c r="M296">
        <v>18.7</v>
      </c>
      <c r="N296">
        <v>1729</v>
      </c>
      <c r="O296">
        <v>1.02</v>
      </c>
      <c r="P296">
        <v>1755</v>
      </c>
      <c r="Q296">
        <v>155</v>
      </c>
      <c r="R296">
        <v>92</v>
      </c>
      <c r="S296">
        <v>44</v>
      </c>
      <c r="T296">
        <v>226</v>
      </c>
      <c r="U296">
        <v>37</v>
      </c>
      <c r="V296">
        <v>205</v>
      </c>
      <c r="W296">
        <v>0.83599999999999997</v>
      </c>
      <c r="X296">
        <v>135</v>
      </c>
      <c r="Y296">
        <v>141</v>
      </c>
      <c r="Z296">
        <v>91</v>
      </c>
      <c r="AA296">
        <v>11</v>
      </c>
      <c r="AB296">
        <v>4.8</v>
      </c>
      <c r="AC296" t="s">
        <v>188</v>
      </c>
      <c r="AD296" t="s">
        <v>184</v>
      </c>
      <c r="AG296" t="s">
        <v>2666</v>
      </c>
      <c r="AH296" t="s">
        <v>1191</v>
      </c>
      <c r="AI296" s="245">
        <v>369.95</v>
      </c>
      <c r="AJ296" t="s">
        <v>2667</v>
      </c>
      <c r="AK296" t="s">
        <v>2668</v>
      </c>
      <c r="AL296" t="s">
        <v>2669</v>
      </c>
      <c r="AM296" s="245">
        <v>399.96</v>
      </c>
      <c r="AN296" t="s">
        <v>2670</v>
      </c>
      <c r="AO296" t="s">
        <v>2668</v>
      </c>
      <c r="AP296" t="s">
        <v>1400</v>
      </c>
      <c r="AQ296" s="245">
        <v>399.96</v>
      </c>
      <c r="AR296" t="s">
        <v>2671</v>
      </c>
      <c r="AS296" s="226" t="str">
        <f t="shared" si="8"/>
        <v>ARV 96</v>
      </c>
      <c r="AT296" s="203" t="str">
        <f t="shared" si="9"/>
        <v xml:space="preserve"> ArmadaARV 96170 Unisex</v>
      </c>
    </row>
    <row r="297" spans="1:46" ht="52.8">
      <c r="A297" t="s">
        <v>155</v>
      </c>
      <c r="B297" t="s">
        <v>156</v>
      </c>
      <c r="C297" t="s">
        <v>247</v>
      </c>
      <c r="D297">
        <v>164</v>
      </c>
      <c r="E297" t="s">
        <v>163</v>
      </c>
      <c r="F297">
        <v>164</v>
      </c>
      <c r="G297">
        <v>163.4</v>
      </c>
      <c r="H297">
        <v>113</v>
      </c>
      <c r="I297">
        <v>134</v>
      </c>
      <c r="J297">
        <v>125</v>
      </c>
      <c r="K297">
        <v>92</v>
      </c>
      <c r="L297">
        <v>109</v>
      </c>
      <c r="M297">
        <v>16.600000000000001</v>
      </c>
      <c r="N297">
        <v>1489</v>
      </c>
      <c r="O297">
        <v>1.1200000000000001</v>
      </c>
      <c r="P297">
        <v>1669</v>
      </c>
      <c r="Q297">
        <v>218</v>
      </c>
      <c r="R297">
        <v>87</v>
      </c>
      <c r="S297">
        <v>53</v>
      </c>
      <c r="T297">
        <v>303</v>
      </c>
      <c r="U297">
        <v>13</v>
      </c>
      <c r="V297">
        <v>197</v>
      </c>
      <c r="W297">
        <v>0.255</v>
      </c>
      <c r="X297">
        <v>163</v>
      </c>
      <c r="Y297">
        <v>135</v>
      </c>
      <c r="Z297">
        <v>140</v>
      </c>
      <c r="AA297">
        <v>4</v>
      </c>
      <c r="AB297">
        <v>9.5</v>
      </c>
      <c r="AC297" t="s">
        <v>188</v>
      </c>
      <c r="AD297" t="s">
        <v>185</v>
      </c>
      <c r="AG297" t="s">
        <v>2672</v>
      </c>
      <c r="AH297" t="s">
        <v>1185</v>
      </c>
      <c r="AI297" s="245">
        <v>454.99</v>
      </c>
      <c r="AJ297" t="s">
        <v>2673</v>
      </c>
      <c r="AK297" t="s">
        <v>2672</v>
      </c>
      <c r="AL297" t="s">
        <v>1181</v>
      </c>
      <c r="AM297" s="245">
        <v>519.99</v>
      </c>
      <c r="AN297" t="s">
        <v>2674</v>
      </c>
      <c r="AO297" t="s">
        <v>2672</v>
      </c>
      <c r="AP297" t="s">
        <v>1282</v>
      </c>
      <c r="AQ297" s="245">
        <v>519.99</v>
      </c>
      <c r="AR297" t="s">
        <v>2675</v>
      </c>
      <c r="AS297" s="226" t="str">
        <f t="shared" si="8"/>
        <v>Maven 93 C</v>
      </c>
      <c r="AT297" s="203" t="str">
        <f t="shared" si="9"/>
        <v xml:space="preserve"> AtomicMaven 93 C164 Women's</v>
      </c>
    </row>
    <row r="298" spans="1:46" ht="52.8">
      <c r="A298" t="s">
        <v>155</v>
      </c>
      <c r="B298" t="s">
        <v>237</v>
      </c>
      <c r="C298" t="s">
        <v>507</v>
      </c>
      <c r="D298">
        <v>180.4</v>
      </c>
      <c r="E298" t="s">
        <v>158</v>
      </c>
      <c r="F298">
        <v>180.4</v>
      </c>
      <c r="G298">
        <v>179.2</v>
      </c>
      <c r="H298">
        <v>143</v>
      </c>
      <c r="I298">
        <v>157</v>
      </c>
      <c r="J298">
        <v>129</v>
      </c>
      <c r="K298">
        <v>96</v>
      </c>
      <c r="L298">
        <v>118</v>
      </c>
      <c r="M298">
        <v>20.2</v>
      </c>
      <c r="N298">
        <v>1790</v>
      </c>
      <c r="O298">
        <v>1.07</v>
      </c>
      <c r="P298">
        <v>1910</v>
      </c>
      <c r="Q298">
        <v>177</v>
      </c>
      <c r="R298">
        <v>83</v>
      </c>
      <c r="S298">
        <v>44</v>
      </c>
      <c r="T298">
        <v>214</v>
      </c>
      <c r="U298">
        <v>29</v>
      </c>
      <c r="V298">
        <v>145</v>
      </c>
      <c r="W298">
        <v>0.66700000000000004</v>
      </c>
      <c r="X298">
        <v>137</v>
      </c>
      <c r="Y298">
        <v>86</v>
      </c>
      <c r="Z298">
        <v>77</v>
      </c>
      <c r="AA298">
        <v>15</v>
      </c>
      <c r="AB298">
        <v>6.7</v>
      </c>
      <c r="AC298" t="s">
        <v>188</v>
      </c>
      <c r="AD298" t="s">
        <v>185</v>
      </c>
      <c r="AG298" t="s">
        <v>2676</v>
      </c>
      <c r="AH298" t="s">
        <v>1858</v>
      </c>
      <c r="AI298" s="245">
        <v>575</v>
      </c>
      <c r="AJ298" t="s">
        <v>2677</v>
      </c>
      <c r="AK298" t="s">
        <v>2676</v>
      </c>
      <c r="AL298" t="s">
        <v>1248</v>
      </c>
      <c r="AM298" s="245">
        <v>575.96</v>
      </c>
      <c r="AN298" t="s">
        <v>2678</v>
      </c>
      <c r="AO298" t="s">
        <v>2676</v>
      </c>
      <c r="AP298" t="s">
        <v>1224</v>
      </c>
      <c r="AQ298" s="245">
        <v>575.96</v>
      </c>
      <c r="AR298" t="s">
        <v>2679</v>
      </c>
      <c r="AS298" s="226" t="str">
        <f t="shared" si="8"/>
        <v>Camox</v>
      </c>
      <c r="AT298" s="203" t="str">
        <f t="shared" si="9"/>
        <v xml:space="preserve"> Black CrowsCamox180.4 Unisex</v>
      </c>
    </row>
    <row r="299" spans="1:46" ht="92.4">
      <c r="A299" t="s">
        <v>155</v>
      </c>
      <c r="B299" t="s">
        <v>174</v>
      </c>
      <c r="C299" t="s">
        <v>509</v>
      </c>
      <c r="D299">
        <v>177</v>
      </c>
      <c r="E299" t="s">
        <v>158</v>
      </c>
      <c r="F299">
        <v>177</v>
      </c>
      <c r="G299">
        <v>175.7</v>
      </c>
      <c r="H299">
        <v>139</v>
      </c>
      <c r="I299">
        <v>153</v>
      </c>
      <c r="J299">
        <v>125</v>
      </c>
      <c r="K299">
        <v>88</v>
      </c>
      <c r="L299">
        <v>111</v>
      </c>
      <c r="M299">
        <v>18.5</v>
      </c>
      <c r="N299">
        <v>1397</v>
      </c>
      <c r="O299">
        <v>1.27</v>
      </c>
      <c r="P299">
        <v>1768</v>
      </c>
      <c r="Q299">
        <v>173</v>
      </c>
      <c r="R299">
        <v>76</v>
      </c>
      <c r="S299">
        <v>50</v>
      </c>
      <c r="T299">
        <v>205</v>
      </c>
      <c r="U299">
        <v>12</v>
      </c>
      <c r="V299">
        <v>162</v>
      </c>
      <c r="W299">
        <v>0.251</v>
      </c>
      <c r="X299">
        <v>149</v>
      </c>
      <c r="Y299">
        <v>78</v>
      </c>
      <c r="Z299">
        <v>56</v>
      </c>
      <c r="AA299">
        <v>8</v>
      </c>
      <c r="AB299">
        <v>11.6</v>
      </c>
      <c r="AC299" t="s">
        <v>188</v>
      </c>
      <c r="AD299" t="s">
        <v>185</v>
      </c>
      <c r="AE299" t="s">
        <v>198</v>
      </c>
      <c r="AG299" t="s">
        <v>2680</v>
      </c>
      <c r="AH299" t="s">
        <v>1271</v>
      </c>
      <c r="AI299" s="245">
        <v>519.99</v>
      </c>
      <c r="AJ299" t="s">
        <v>2681</v>
      </c>
      <c r="AK299" t="s">
        <v>2680</v>
      </c>
      <c r="AL299" t="s">
        <v>1224</v>
      </c>
      <c r="AM299" s="245">
        <v>519.99</v>
      </c>
      <c r="AN299" t="s">
        <v>2682</v>
      </c>
      <c r="AO299" t="s">
        <v>2683</v>
      </c>
      <c r="AP299" t="s">
        <v>1471</v>
      </c>
      <c r="AQ299" s="245">
        <v>560</v>
      </c>
      <c r="AR299" t="s">
        <v>2684</v>
      </c>
      <c r="AS299" s="226" t="str">
        <f t="shared" si="8"/>
        <v>MTN Explore 88</v>
      </c>
      <c r="AT299" s="203" t="str">
        <f t="shared" si="9"/>
        <v xml:space="preserve"> SalomonMTN Explore 88177 Unisex</v>
      </c>
    </row>
    <row r="300" spans="1:46" ht="158.4">
      <c r="A300" t="s">
        <v>155</v>
      </c>
      <c r="B300" t="s">
        <v>1160</v>
      </c>
      <c r="C300" t="s">
        <v>511</v>
      </c>
      <c r="D300">
        <v>184</v>
      </c>
      <c r="E300" t="s">
        <v>158</v>
      </c>
      <c r="F300">
        <v>184</v>
      </c>
      <c r="G300">
        <v>184.2</v>
      </c>
      <c r="H300">
        <v>121</v>
      </c>
      <c r="I300">
        <v>155</v>
      </c>
      <c r="J300">
        <v>134</v>
      </c>
      <c r="K300">
        <v>101</v>
      </c>
      <c r="L300">
        <v>126</v>
      </c>
      <c r="M300">
        <v>19.8</v>
      </c>
      <c r="N300">
        <v>1875</v>
      </c>
      <c r="O300">
        <v>1.1000000000000001</v>
      </c>
      <c r="P300">
        <v>2065</v>
      </c>
      <c r="Q300">
        <v>210</v>
      </c>
      <c r="R300">
        <v>85</v>
      </c>
      <c r="S300">
        <v>46</v>
      </c>
      <c r="T300">
        <v>333</v>
      </c>
      <c r="U300">
        <v>43</v>
      </c>
      <c r="V300">
        <v>302</v>
      </c>
      <c r="W300">
        <v>0.92700000000000005</v>
      </c>
      <c r="X300">
        <v>147</v>
      </c>
      <c r="Y300">
        <v>147</v>
      </c>
      <c r="Z300">
        <v>186</v>
      </c>
      <c r="AA300">
        <v>7</v>
      </c>
      <c r="AB300">
        <v>4.8</v>
      </c>
      <c r="AC300" t="s">
        <v>184</v>
      </c>
      <c r="AD300" t="s">
        <v>169</v>
      </c>
      <c r="AE300" t="s">
        <v>185</v>
      </c>
      <c r="AG300" t="s">
        <v>2685</v>
      </c>
      <c r="AH300" t="s">
        <v>1265</v>
      </c>
      <c r="AI300" s="245">
        <v>448.96</v>
      </c>
      <c r="AJ300" t="s">
        <v>2686</v>
      </c>
      <c r="AK300" t="s">
        <v>2687</v>
      </c>
      <c r="AL300" t="s">
        <v>1511</v>
      </c>
      <c r="AM300" s="245">
        <v>479.99</v>
      </c>
      <c r="AN300" t="s">
        <v>2688</v>
      </c>
      <c r="AO300" t="s">
        <v>2689</v>
      </c>
      <c r="AP300" t="s">
        <v>1181</v>
      </c>
      <c r="AQ300" s="245">
        <v>599</v>
      </c>
      <c r="AR300" t="s">
        <v>2690</v>
      </c>
      <c r="AS300" s="226" t="str">
        <f t="shared" si="8"/>
        <v>Reckoner 102</v>
      </c>
      <c r="AT300" s="203" t="str">
        <f t="shared" si="9"/>
        <v>K2Reckoner 102184 Unisex</v>
      </c>
    </row>
    <row r="301" spans="1:46" ht="92.4">
      <c r="A301" t="s">
        <v>155</v>
      </c>
      <c r="B301" t="s">
        <v>245</v>
      </c>
      <c r="C301" t="s">
        <v>513</v>
      </c>
      <c r="D301">
        <v>174</v>
      </c>
      <c r="E301" t="s">
        <v>158</v>
      </c>
      <c r="F301">
        <v>174</v>
      </c>
      <c r="G301">
        <v>174.2</v>
      </c>
      <c r="H301">
        <v>123</v>
      </c>
      <c r="I301">
        <v>147</v>
      </c>
      <c r="J301">
        <v>127</v>
      </c>
      <c r="K301">
        <v>95</v>
      </c>
      <c r="L301">
        <v>118</v>
      </c>
      <c r="M301">
        <v>16.5</v>
      </c>
      <c r="N301">
        <v>1786</v>
      </c>
      <c r="O301">
        <v>1.04</v>
      </c>
      <c r="P301">
        <v>1857</v>
      </c>
      <c r="Q301">
        <v>210</v>
      </c>
      <c r="R301">
        <v>118</v>
      </c>
      <c r="S301">
        <v>49</v>
      </c>
      <c r="T301">
        <v>296</v>
      </c>
      <c r="U301">
        <v>18</v>
      </c>
      <c r="V301">
        <v>217</v>
      </c>
      <c r="W301">
        <v>0.373</v>
      </c>
      <c r="X301">
        <v>144</v>
      </c>
      <c r="Y301">
        <v>126</v>
      </c>
      <c r="Z301">
        <v>152</v>
      </c>
      <c r="AA301">
        <v>6</v>
      </c>
      <c r="AB301">
        <v>9.3000000000000007</v>
      </c>
      <c r="AC301" t="s">
        <v>188</v>
      </c>
      <c r="AG301" t="s">
        <v>2691</v>
      </c>
      <c r="AH301" t="s">
        <v>1194</v>
      </c>
      <c r="AI301" s="245">
        <v>387.23</v>
      </c>
      <c r="AJ301" t="s">
        <v>2692</v>
      </c>
      <c r="AK301" t="s">
        <v>2693</v>
      </c>
      <c r="AL301" t="s">
        <v>1282</v>
      </c>
      <c r="AM301" s="245">
        <v>389.99</v>
      </c>
      <c r="AN301" t="s">
        <v>2694</v>
      </c>
      <c r="AO301" t="s">
        <v>2695</v>
      </c>
      <c r="AP301" t="s">
        <v>1191</v>
      </c>
      <c r="AQ301" s="245">
        <v>469.95</v>
      </c>
      <c r="AR301" t="s">
        <v>2696</v>
      </c>
      <c r="AS301" s="226" t="str">
        <f t="shared" si="8"/>
        <v>Ranger 99 Ti</v>
      </c>
      <c r="AT301" s="203" t="str">
        <f t="shared" si="9"/>
        <v xml:space="preserve"> FischerRanger 99 Ti174 Unisex</v>
      </c>
    </row>
    <row r="302" spans="1:46" ht="79.2">
      <c r="A302" t="s">
        <v>155</v>
      </c>
      <c r="B302" t="s">
        <v>218</v>
      </c>
      <c r="C302" t="s">
        <v>398</v>
      </c>
      <c r="D302">
        <v>168</v>
      </c>
      <c r="E302" t="s">
        <v>158</v>
      </c>
      <c r="F302">
        <v>168</v>
      </c>
      <c r="G302">
        <v>167.4</v>
      </c>
      <c r="H302">
        <v>108</v>
      </c>
      <c r="I302">
        <v>133</v>
      </c>
      <c r="J302">
        <v>128</v>
      </c>
      <c r="K302">
        <v>103</v>
      </c>
      <c r="L302">
        <v>117</v>
      </c>
      <c r="M302">
        <v>18.2</v>
      </c>
      <c r="N302">
        <v>1615</v>
      </c>
      <c r="O302">
        <v>1.1499999999999999</v>
      </c>
      <c r="P302">
        <v>1863</v>
      </c>
      <c r="Q302">
        <v>173</v>
      </c>
      <c r="R302">
        <v>79</v>
      </c>
      <c r="S302">
        <v>50</v>
      </c>
      <c r="T302">
        <v>313</v>
      </c>
      <c r="U302">
        <v>33</v>
      </c>
      <c r="V302">
        <v>278</v>
      </c>
      <c r="W302">
        <v>0.66099999999999903</v>
      </c>
      <c r="X302">
        <v>198</v>
      </c>
      <c r="Y302">
        <v>147</v>
      </c>
      <c r="Z302">
        <v>115</v>
      </c>
      <c r="AA302">
        <v>5</v>
      </c>
      <c r="AB302">
        <v>6.5</v>
      </c>
      <c r="AC302" t="s">
        <v>188</v>
      </c>
      <c r="AD302" t="s">
        <v>169</v>
      </c>
      <c r="AE302" t="s">
        <v>185</v>
      </c>
      <c r="AG302" t="s">
        <v>2026</v>
      </c>
      <c r="AH302" t="s">
        <v>1405</v>
      </c>
      <c r="AI302" s="245">
        <v>559</v>
      </c>
      <c r="AJ302" t="s">
        <v>2697</v>
      </c>
      <c r="AK302" t="s">
        <v>2026</v>
      </c>
      <c r="AL302" t="s">
        <v>1858</v>
      </c>
      <c r="AM302" s="245">
        <v>559</v>
      </c>
      <c r="AN302" t="s">
        <v>2698</v>
      </c>
      <c r="AO302" t="s">
        <v>2026</v>
      </c>
      <c r="AP302" t="s">
        <v>1181</v>
      </c>
      <c r="AQ302" s="245">
        <v>559</v>
      </c>
      <c r="AR302" t="s">
        <v>2699</v>
      </c>
      <c r="AS302" s="226" t="str">
        <f t="shared" si="8"/>
        <v>Foundation 103 Koala</v>
      </c>
      <c r="AT302" s="203" t="str">
        <f t="shared" si="9"/>
        <v xml:space="preserve"> DPSFoundation 103 Koala168 Unisex</v>
      </c>
    </row>
    <row r="303" spans="1:46" ht="66">
      <c r="A303" t="s">
        <v>155</v>
      </c>
      <c r="B303" t="s">
        <v>1160</v>
      </c>
      <c r="C303" t="s">
        <v>489</v>
      </c>
      <c r="D303">
        <v>177</v>
      </c>
      <c r="E303" t="s">
        <v>158</v>
      </c>
      <c r="F303">
        <v>177</v>
      </c>
      <c r="G303">
        <v>175.6</v>
      </c>
      <c r="H303">
        <v>106</v>
      </c>
      <c r="I303">
        <v>138</v>
      </c>
      <c r="J303">
        <v>123</v>
      </c>
      <c r="K303">
        <v>95</v>
      </c>
      <c r="L303">
        <v>117</v>
      </c>
      <c r="M303">
        <v>17.3</v>
      </c>
      <c r="N303">
        <v>2037</v>
      </c>
      <c r="O303">
        <v>0.91</v>
      </c>
      <c r="P303">
        <v>1847</v>
      </c>
      <c r="Q303">
        <v>233</v>
      </c>
      <c r="R303">
        <v>108</v>
      </c>
      <c r="S303">
        <v>41</v>
      </c>
      <c r="T303">
        <v>328</v>
      </c>
      <c r="U303">
        <v>38</v>
      </c>
      <c r="V303">
        <v>370</v>
      </c>
      <c r="W303">
        <v>0.92900000000000005</v>
      </c>
      <c r="X303">
        <v>190</v>
      </c>
      <c r="Y303">
        <v>184</v>
      </c>
      <c r="Z303">
        <v>137</v>
      </c>
      <c r="AA303">
        <v>6</v>
      </c>
      <c r="AB303">
        <v>5.5</v>
      </c>
      <c r="AC303" t="s">
        <v>184</v>
      </c>
      <c r="AG303" t="s">
        <v>2700</v>
      </c>
      <c r="AH303" t="s">
        <v>1240</v>
      </c>
      <c r="AI303" s="245">
        <v>499</v>
      </c>
      <c r="AJ303" t="s">
        <v>2701</v>
      </c>
      <c r="AK303" t="s">
        <v>2702</v>
      </c>
      <c r="AL303" t="s">
        <v>1224</v>
      </c>
      <c r="AM303" s="245">
        <v>499.95</v>
      </c>
      <c r="AN303" t="s">
        <v>2703</v>
      </c>
      <c r="AO303" t="s">
        <v>2704</v>
      </c>
      <c r="AP303" t="s">
        <v>2594</v>
      </c>
      <c r="AQ303" s="245">
        <v>499.95</v>
      </c>
      <c r="AR303" t="s">
        <v>2705</v>
      </c>
      <c r="AS303" s="226" t="str">
        <f t="shared" si="8"/>
        <v>Poacher</v>
      </c>
      <c r="AT303" s="203" t="str">
        <f t="shared" si="9"/>
        <v>K2Poacher177 Unisex</v>
      </c>
    </row>
    <row r="304" spans="1:46" ht="66">
      <c r="A304" t="s">
        <v>155</v>
      </c>
      <c r="B304" t="s">
        <v>205</v>
      </c>
      <c r="C304" t="s">
        <v>515</v>
      </c>
      <c r="D304">
        <v>163</v>
      </c>
      <c r="E304" t="s">
        <v>163</v>
      </c>
      <c r="F304">
        <v>163</v>
      </c>
      <c r="G304">
        <v>161.6</v>
      </c>
      <c r="H304">
        <v>119</v>
      </c>
      <c r="I304">
        <v>134</v>
      </c>
      <c r="J304">
        <v>127</v>
      </c>
      <c r="K304">
        <v>96</v>
      </c>
      <c r="L304">
        <v>117</v>
      </c>
      <c r="M304">
        <v>15.4</v>
      </c>
      <c r="N304">
        <v>1753</v>
      </c>
      <c r="O304">
        <v>0.98</v>
      </c>
      <c r="P304">
        <v>1719</v>
      </c>
      <c r="Q304">
        <v>197</v>
      </c>
      <c r="R304">
        <v>122</v>
      </c>
      <c r="S304">
        <v>54</v>
      </c>
      <c r="T304">
        <v>252</v>
      </c>
      <c r="U304">
        <v>20</v>
      </c>
      <c r="V304">
        <v>170</v>
      </c>
      <c r="W304">
        <v>0.377</v>
      </c>
      <c r="X304">
        <v>168</v>
      </c>
      <c r="Y304">
        <v>108</v>
      </c>
      <c r="Z304">
        <v>84</v>
      </c>
      <c r="AA304">
        <v>5</v>
      </c>
      <c r="AB304">
        <v>10.4</v>
      </c>
      <c r="AC304" t="s">
        <v>188</v>
      </c>
      <c r="AG304" t="s">
        <v>2706</v>
      </c>
      <c r="AH304" t="s">
        <v>1667</v>
      </c>
      <c r="AI304" s="245">
        <v>529</v>
      </c>
      <c r="AJ304" t="s">
        <v>2707</v>
      </c>
      <c r="AK304" t="s">
        <v>1462</v>
      </c>
      <c r="AL304" t="s">
        <v>1218</v>
      </c>
      <c r="AM304" s="245">
        <v>559.20000000000005</v>
      </c>
      <c r="AN304" t="s">
        <v>2708</v>
      </c>
      <c r="AO304" t="s">
        <v>1462</v>
      </c>
      <c r="AP304" t="s">
        <v>1464</v>
      </c>
      <c r="AQ304" s="245">
        <v>559.9</v>
      </c>
      <c r="AR304" t="s">
        <v>2709</v>
      </c>
      <c r="AS304" s="226" t="str">
        <f t="shared" si="8"/>
        <v>Dictator 2.0 X</v>
      </c>
      <c r="AT304" s="203" t="str">
        <f t="shared" si="9"/>
        <v xml:space="preserve"> FactionDictator 2.0 X163 Women's</v>
      </c>
    </row>
    <row r="305" spans="1:46" ht="132">
      <c r="A305" t="s">
        <v>155</v>
      </c>
      <c r="B305" t="s">
        <v>317</v>
      </c>
      <c r="C305" t="s">
        <v>432</v>
      </c>
      <c r="D305">
        <v>180</v>
      </c>
      <c r="E305" t="s">
        <v>158</v>
      </c>
      <c r="F305">
        <v>180</v>
      </c>
      <c r="G305">
        <v>177.9</v>
      </c>
      <c r="H305">
        <v>120</v>
      </c>
      <c r="I305">
        <v>148</v>
      </c>
      <c r="J305">
        <v>132</v>
      </c>
      <c r="K305">
        <v>104</v>
      </c>
      <c r="L305">
        <v>118</v>
      </c>
      <c r="M305">
        <v>23.8</v>
      </c>
      <c r="N305">
        <v>1487</v>
      </c>
      <c r="O305">
        <v>1.34</v>
      </c>
      <c r="P305">
        <v>1999</v>
      </c>
      <c r="Q305">
        <v>208</v>
      </c>
      <c r="R305">
        <v>78</v>
      </c>
      <c r="S305">
        <v>58</v>
      </c>
      <c r="T305">
        <v>336</v>
      </c>
      <c r="U305">
        <v>24</v>
      </c>
      <c r="V305">
        <v>243</v>
      </c>
      <c r="W305">
        <v>0.41399999999999998</v>
      </c>
      <c r="X305">
        <v>152</v>
      </c>
      <c r="Y305">
        <v>145</v>
      </c>
      <c r="Z305">
        <v>184</v>
      </c>
      <c r="AA305">
        <v>3</v>
      </c>
      <c r="AB305">
        <v>9.1999999999999993</v>
      </c>
      <c r="AC305" t="s">
        <v>169</v>
      </c>
      <c r="AD305" t="s">
        <v>185</v>
      </c>
      <c r="AE305" t="s">
        <v>198</v>
      </c>
      <c r="AG305" t="s">
        <v>2710</v>
      </c>
      <c r="AH305" t="s">
        <v>1271</v>
      </c>
      <c r="AI305" s="245">
        <v>1109.99</v>
      </c>
      <c r="AJ305" t="s">
        <v>2711</v>
      </c>
      <c r="AK305" t="s">
        <v>2712</v>
      </c>
      <c r="AL305" t="s">
        <v>1181</v>
      </c>
      <c r="AM305" s="245">
        <v>1125</v>
      </c>
      <c r="AN305" t="s">
        <v>2713</v>
      </c>
      <c r="AO305" t="s">
        <v>2714</v>
      </c>
      <c r="AP305" t="s">
        <v>2255</v>
      </c>
      <c r="AQ305" s="245">
        <v>639.95000000000005</v>
      </c>
      <c r="AR305" t="s">
        <v>2715</v>
      </c>
      <c r="AS305" s="226" t="str">
        <f t="shared" si="8"/>
        <v>Zero G 105</v>
      </c>
      <c r="AT305" s="203" t="str">
        <f t="shared" si="9"/>
        <v xml:space="preserve"> BlizzardZero G 105180 Unisex</v>
      </c>
    </row>
    <row r="306" spans="1:46" ht="118.8">
      <c r="A306" t="s">
        <v>155</v>
      </c>
      <c r="B306" t="s">
        <v>174</v>
      </c>
      <c r="C306" t="s">
        <v>516</v>
      </c>
      <c r="D306">
        <v>168</v>
      </c>
      <c r="E306" t="s">
        <v>158</v>
      </c>
      <c r="F306">
        <v>168</v>
      </c>
      <c r="G306">
        <v>167.4</v>
      </c>
      <c r="H306">
        <v>128</v>
      </c>
      <c r="I306">
        <v>137</v>
      </c>
      <c r="J306">
        <v>126</v>
      </c>
      <c r="K306">
        <v>93</v>
      </c>
      <c r="L306">
        <v>107</v>
      </c>
      <c r="M306">
        <v>18.5</v>
      </c>
      <c r="N306">
        <v>1767</v>
      </c>
      <c r="O306">
        <v>0.98</v>
      </c>
      <c r="P306">
        <v>1734</v>
      </c>
      <c r="Q306">
        <v>180</v>
      </c>
      <c r="R306">
        <v>111</v>
      </c>
      <c r="S306">
        <v>48</v>
      </c>
      <c r="T306">
        <v>225</v>
      </c>
      <c r="U306">
        <v>9</v>
      </c>
      <c r="V306">
        <v>167</v>
      </c>
      <c r="W306">
        <v>0.188999999999999</v>
      </c>
      <c r="X306">
        <v>166</v>
      </c>
      <c r="Y306">
        <v>138</v>
      </c>
      <c r="Z306">
        <v>58</v>
      </c>
      <c r="AA306">
        <v>9</v>
      </c>
      <c r="AB306">
        <v>9.4</v>
      </c>
      <c r="AC306" t="s">
        <v>188</v>
      </c>
      <c r="AG306" t="s">
        <v>2716</v>
      </c>
      <c r="AH306" t="s">
        <v>2717</v>
      </c>
      <c r="AI306" s="245">
        <v>279.99</v>
      </c>
      <c r="AJ306" t="s">
        <v>2718</v>
      </c>
      <c r="AK306" t="s">
        <v>2719</v>
      </c>
      <c r="AL306" t="s">
        <v>1337</v>
      </c>
      <c r="AM306" s="245">
        <v>415</v>
      </c>
      <c r="AN306" t="s">
        <v>2720</v>
      </c>
      <c r="AO306" t="s">
        <v>2721</v>
      </c>
      <c r="AP306" t="s">
        <v>1204</v>
      </c>
      <c r="AQ306" s="245">
        <v>481.02</v>
      </c>
      <c r="AR306" t="s">
        <v>2722</v>
      </c>
      <c r="AS306" s="226" t="str">
        <f t="shared" si="8"/>
        <v>Stance 96</v>
      </c>
      <c r="AT306" s="203" t="str">
        <f t="shared" si="9"/>
        <v xml:space="preserve"> SalomonStance 96168 Unisex</v>
      </c>
    </row>
    <row r="307" spans="1:46" ht="92.4">
      <c r="A307" t="s">
        <v>155</v>
      </c>
      <c r="B307" t="s">
        <v>218</v>
      </c>
      <c r="C307" t="s">
        <v>387</v>
      </c>
      <c r="D307">
        <v>184</v>
      </c>
      <c r="E307" t="s">
        <v>158</v>
      </c>
      <c r="F307">
        <v>184</v>
      </c>
      <c r="G307">
        <v>183.3</v>
      </c>
      <c r="H307">
        <v>131</v>
      </c>
      <c r="I307">
        <v>140</v>
      </c>
      <c r="J307">
        <v>127</v>
      </c>
      <c r="K307">
        <v>90</v>
      </c>
      <c r="L307">
        <v>110</v>
      </c>
      <c r="M307">
        <v>14.9</v>
      </c>
      <c r="N307">
        <v>1885</v>
      </c>
      <c r="O307">
        <v>1</v>
      </c>
      <c r="P307">
        <v>1885</v>
      </c>
      <c r="Q307">
        <v>245</v>
      </c>
      <c r="R307">
        <v>117</v>
      </c>
      <c r="S307">
        <v>58</v>
      </c>
      <c r="T307">
        <v>339</v>
      </c>
      <c r="U307">
        <v>11</v>
      </c>
      <c r="V307">
        <v>184</v>
      </c>
      <c r="W307">
        <v>0.184</v>
      </c>
      <c r="X307">
        <v>203</v>
      </c>
      <c r="Y307">
        <v>227</v>
      </c>
      <c r="Z307">
        <v>136</v>
      </c>
      <c r="AA307">
        <v>9</v>
      </c>
      <c r="AB307">
        <v>12</v>
      </c>
      <c r="AC307" t="s">
        <v>188</v>
      </c>
      <c r="AG307" t="s">
        <v>2723</v>
      </c>
      <c r="AH307" t="s">
        <v>1271</v>
      </c>
      <c r="AI307" s="245">
        <v>1039.2</v>
      </c>
      <c r="AJ307" t="s">
        <v>2724</v>
      </c>
      <c r="AK307" t="s">
        <v>2723</v>
      </c>
      <c r="AL307" t="s">
        <v>1556</v>
      </c>
      <c r="AM307" s="245">
        <v>1299</v>
      </c>
      <c r="AN307" t="s">
        <v>2725</v>
      </c>
      <c r="AO307" t="s">
        <v>2726</v>
      </c>
      <c r="AP307" t="s">
        <v>1958</v>
      </c>
      <c r="AQ307" s="245">
        <v>1299</v>
      </c>
      <c r="AR307" t="s">
        <v>2727</v>
      </c>
      <c r="AS307" s="226" t="str">
        <f t="shared" si="8"/>
        <v>Pagoda Piste 90 RP</v>
      </c>
      <c r="AT307" s="203" t="str">
        <f t="shared" si="9"/>
        <v xml:space="preserve"> DPSPagoda Piste 90 RP184 Unisex</v>
      </c>
    </row>
    <row r="308" spans="1:46" ht="66">
      <c r="A308" t="s">
        <v>155</v>
      </c>
      <c r="B308" t="s">
        <v>167</v>
      </c>
      <c r="C308" t="s">
        <v>430</v>
      </c>
      <c r="D308">
        <v>177</v>
      </c>
      <c r="E308" t="s">
        <v>158</v>
      </c>
      <c r="F308">
        <v>177</v>
      </c>
      <c r="G308">
        <v>176.3</v>
      </c>
      <c r="H308">
        <v>140</v>
      </c>
      <c r="I308">
        <v>147</v>
      </c>
      <c r="J308">
        <v>132</v>
      </c>
      <c r="K308">
        <v>92</v>
      </c>
      <c r="L308">
        <v>114</v>
      </c>
      <c r="M308">
        <v>16.399999999999999</v>
      </c>
      <c r="N308">
        <v>1930</v>
      </c>
      <c r="O308">
        <v>0.96</v>
      </c>
      <c r="P308">
        <v>1845</v>
      </c>
      <c r="Q308">
        <v>216</v>
      </c>
      <c r="R308">
        <v>101</v>
      </c>
      <c r="S308">
        <v>51</v>
      </c>
      <c r="T308">
        <v>217</v>
      </c>
      <c r="U308">
        <v>12</v>
      </c>
      <c r="V308">
        <v>142</v>
      </c>
      <c r="W308">
        <v>0.24099999999999999</v>
      </c>
      <c r="X308">
        <v>147</v>
      </c>
      <c r="Y308">
        <v>146</v>
      </c>
      <c r="Z308">
        <v>69</v>
      </c>
      <c r="AA308">
        <v>11</v>
      </c>
      <c r="AB308">
        <v>10.5</v>
      </c>
      <c r="AC308" t="s">
        <v>188</v>
      </c>
      <c r="AG308" t="s">
        <v>2728</v>
      </c>
      <c r="AH308" t="s">
        <v>1191</v>
      </c>
      <c r="AI308" s="245">
        <v>329.95</v>
      </c>
      <c r="AJ308" t="s">
        <v>2729</v>
      </c>
      <c r="AK308" t="s">
        <v>2728</v>
      </c>
      <c r="AL308" t="s">
        <v>1224</v>
      </c>
      <c r="AM308" s="245">
        <v>409</v>
      </c>
      <c r="AN308" t="s">
        <v>2730</v>
      </c>
      <c r="AO308" t="s">
        <v>2728</v>
      </c>
      <c r="AP308" t="s">
        <v>1277</v>
      </c>
      <c r="AQ308" s="245">
        <v>525</v>
      </c>
      <c r="AR308" t="s">
        <v>2731</v>
      </c>
      <c r="AS308" s="226" t="str">
        <f t="shared" si="8"/>
        <v>Kore 90 X</v>
      </c>
      <c r="AT308" s="203" t="str">
        <f t="shared" si="9"/>
        <v xml:space="preserve"> HeadKore 90 X177 Unisex</v>
      </c>
    </row>
    <row r="309" spans="1:46" ht="92.4">
      <c r="A309" t="s">
        <v>155</v>
      </c>
      <c r="B309" t="s">
        <v>164</v>
      </c>
      <c r="C309" t="s">
        <v>518</v>
      </c>
      <c r="D309">
        <v>170</v>
      </c>
      <c r="E309" t="s">
        <v>163</v>
      </c>
      <c r="F309">
        <v>170</v>
      </c>
      <c r="G309">
        <v>170.4</v>
      </c>
      <c r="H309">
        <v>128</v>
      </c>
      <c r="I309">
        <v>137</v>
      </c>
      <c r="J309">
        <v>136</v>
      </c>
      <c r="K309">
        <v>95</v>
      </c>
      <c r="L309">
        <v>111</v>
      </c>
      <c r="M309">
        <v>15.7</v>
      </c>
      <c r="N309">
        <v>1612</v>
      </c>
      <c r="O309">
        <v>1.1299999999999999</v>
      </c>
      <c r="P309">
        <v>1827</v>
      </c>
      <c r="Q309">
        <v>187</v>
      </c>
      <c r="R309">
        <v>74</v>
      </c>
      <c r="S309">
        <v>47</v>
      </c>
      <c r="T309">
        <v>242</v>
      </c>
      <c r="U309">
        <v>16</v>
      </c>
      <c r="V309">
        <v>181</v>
      </c>
      <c r="W309">
        <v>0.34699999999999998</v>
      </c>
      <c r="X309">
        <v>176</v>
      </c>
      <c r="Y309">
        <v>163</v>
      </c>
      <c r="Z309">
        <v>66</v>
      </c>
      <c r="AA309">
        <v>4</v>
      </c>
      <c r="AB309">
        <v>6.8</v>
      </c>
      <c r="AC309" t="s">
        <v>188</v>
      </c>
      <c r="AD309" t="s">
        <v>185</v>
      </c>
      <c r="AG309" t="s">
        <v>2732</v>
      </c>
      <c r="AH309" t="s">
        <v>1191</v>
      </c>
      <c r="AI309" s="245">
        <v>424.95</v>
      </c>
      <c r="AJ309" t="s">
        <v>2733</v>
      </c>
      <c r="AK309" t="s">
        <v>2732</v>
      </c>
      <c r="AL309" t="s">
        <v>1592</v>
      </c>
      <c r="AM309" s="245">
        <v>555.44000000000005</v>
      </c>
      <c r="AN309" t="s">
        <v>2734</v>
      </c>
      <c r="AO309" t="s">
        <v>2735</v>
      </c>
      <c r="AP309" t="s">
        <v>1657</v>
      </c>
      <c r="AQ309" s="245">
        <v>599.99</v>
      </c>
      <c r="AR309" t="s">
        <v>2736</v>
      </c>
      <c r="AS309" s="226" t="str">
        <f t="shared" si="8"/>
        <v>Ripstick 94 W</v>
      </c>
      <c r="AT309" s="203" t="str">
        <f t="shared" si="9"/>
        <v xml:space="preserve"> ElanRipstick 94 W170 Women's</v>
      </c>
    </row>
    <row r="310" spans="1:46" ht="79.2">
      <c r="A310" t="s">
        <v>155</v>
      </c>
      <c r="B310" t="s">
        <v>329</v>
      </c>
      <c r="C310" t="s">
        <v>520</v>
      </c>
      <c r="D310">
        <v>178</v>
      </c>
      <c r="E310" t="s">
        <v>158</v>
      </c>
      <c r="F310">
        <v>178</v>
      </c>
      <c r="G310">
        <v>175.9</v>
      </c>
      <c r="H310">
        <v>123</v>
      </c>
      <c r="I310">
        <v>153</v>
      </c>
      <c r="J310">
        <v>123</v>
      </c>
      <c r="K310">
        <v>88</v>
      </c>
      <c r="L310">
        <v>111</v>
      </c>
      <c r="M310">
        <v>19.8</v>
      </c>
      <c r="N310">
        <v>1263</v>
      </c>
      <c r="O310">
        <v>1.37</v>
      </c>
      <c r="P310">
        <v>1727</v>
      </c>
      <c r="Q310">
        <v>312</v>
      </c>
      <c r="R310">
        <v>103</v>
      </c>
      <c r="S310">
        <v>54</v>
      </c>
      <c r="T310">
        <v>364</v>
      </c>
      <c r="U310">
        <v>10</v>
      </c>
      <c r="V310">
        <v>167</v>
      </c>
      <c r="W310">
        <v>0.18</v>
      </c>
      <c r="X310">
        <v>138</v>
      </c>
      <c r="Y310">
        <v>96</v>
      </c>
      <c r="Z310">
        <v>226</v>
      </c>
      <c r="AA310">
        <v>2</v>
      </c>
      <c r="AB310">
        <v>12.4</v>
      </c>
      <c r="AC310" t="s">
        <v>185</v>
      </c>
      <c r="AD310" t="s">
        <v>198</v>
      </c>
      <c r="AG310" t="s">
        <v>2737</v>
      </c>
      <c r="AH310" t="s">
        <v>1471</v>
      </c>
      <c r="AI310" s="245">
        <v>559.96</v>
      </c>
      <c r="AJ310" t="s">
        <v>2738</v>
      </c>
      <c r="AK310" t="s">
        <v>2739</v>
      </c>
      <c r="AL310" t="s">
        <v>1468</v>
      </c>
      <c r="AM310" s="245">
        <v>1049.95</v>
      </c>
      <c r="AN310" t="s">
        <v>2740</v>
      </c>
      <c r="AO310" t="s">
        <v>2741</v>
      </c>
      <c r="AP310" t="s">
        <v>1424</v>
      </c>
      <c r="AQ310" s="245">
        <v>559.96</v>
      </c>
      <c r="AR310" t="s">
        <v>2742</v>
      </c>
      <c r="AS310" s="226" t="str">
        <f t="shared" si="8"/>
        <v>Blacklight 88</v>
      </c>
      <c r="AT310" s="203" t="str">
        <f t="shared" si="9"/>
        <v xml:space="preserve"> DynafitBlacklight 88178 Unisex</v>
      </c>
    </row>
    <row r="311" spans="1:46" ht="105.6">
      <c r="A311" t="s">
        <v>155</v>
      </c>
      <c r="B311" t="s">
        <v>1395</v>
      </c>
      <c r="C311" t="s">
        <v>311</v>
      </c>
      <c r="D311">
        <v>156</v>
      </c>
      <c r="E311" t="s">
        <v>163</v>
      </c>
      <c r="F311">
        <v>156</v>
      </c>
      <c r="G311">
        <v>156.1</v>
      </c>
      <c r="H311">
        <v>108</v>
      </c>
      <c r="I311">
        <v>132</v>
      </c>
      <c r="J311">
        <v>128</v>
      </c>
      <c r="K311">
        <v>87</v>
      </c>
      <c r="L311">
        <v>110</v>
      </c>
      <c r="M311">
        <v>12.9</v>
      </c>
      <c r="N311">
        <v>1675</v>
      </c>
      <c r="O311">
        <v>0.94</v>
      </c>
      <c r="P311">
        <v>1567</v>
      </c>
      <c r="Q311">
        <v>194</v>
      </c>
      <c r="R311">
        <v>132</v>
      </c>
      <c r="S311">
        <v>43</v>
      </c>
      <c r="T311">
        <v>283</v>
      </c>
      <c r="U311">
        <v>16</v>
      </c>
      <c r="V311">
        <v>202</v>
      </c>
      <c r="W311">
        <v>0.374</v>
      </c>
      <c r="X311">
        <v>132</v>
      </c>
      <c r="Y311">
        <v>104</v>
      </c>
      <c r="Z311">
        <v>151</v>
      </c>
      <c r="AA311">
        <v>3</v>
      </c>
      <c r="AB311">
        <v>11.6</v>
      </c>
      <c r="AC311" t="s">
        <v>188</v>
      </c>
      <c r="AG311" t="s">
        <v>2743</v>
      </c>
      <c r="AH311" t="s">
        <v>1592</v>
      </c>
      <c r="AI311" s="245">
        <v>414.09</v>
      </c>
      <c r="AJ311" t="s">
        <v>2744</v>
      </c>
      <c r="AK311" t="s">
        <v>2745</v>
      </c>
      <c r="AL311" t="s">
        <v>1191</v>
      </c>
      <c r="AM311" s="245">
        <v>489.95</v>
      </c>
      <c r="AN311" t="s">
        <v>2746</v>
      </c>
      <c r="AO311" t="s">
        <v>2747</v>
      </c>
      <c r="AP311" t="s">
        <v>1232</v>
      </c>
      <c r="AQ311" s="245">
        <v>499.95</v>
      </c>
      <c r="AR311" t="s">
        <v>2748</v>
      </c>
      <c r="AS311" s="226" t="str">
        <f t="shared" si="8"/>
        <v>Kenja 88</v>
      </c>
      <c r="AT311" s="203" t="str">
        <f t="shared" si="9"/>
        <v xml:space="preserve"> Vï¿½lklKenja 88156 Women's</v>
      </c>
    </row>
    <row r="312" spans="1:46" ht="26.4">
      <c r="A312" t="s">
        <v>155</v>
      </c>
      <c r="B312" t="s">
        <v>1160</v>
      </c>
      <c r="C312" t="s">
        <v>522</v>
      </c>
      <c r="D312">
        <v>170</v>
      </c>
      <c r="E312" t="s">
        <v>158</v>
      </c>
      <c r="F312">
        <v>170</v>
      </c>
      <c r="G312">
        <v>169.9</v>
      </c>
      <c r="H312">
        <v>117</v>
      </c>
      <c r="I312">
        <v>143</v>
      </c>
      <c r="J312">
        <v>137</v>
      </c>
      <c r="K312">
        <v>98</v>
      </c>
      <c r="L312">
        <v>122</v>
      </c>
      <c r="M312">
        <v>16</v>
      </c>
      <c r="N312">
        <v>1901</v>
      </c>
      <c r="O312">
        <v>0.99</v>
      </c>
      <c r="P312">
        <v>1875</v>
      </c>
      <c r="Q312">
        <v>164</v>
      </c>
      <c r="R312">
        <v>107</v>
      </c>
      <c r="S312">
        <v>50</v>
      </c>
      <c r="T312">
        <v>315</v>
      </c>
      <c r="U312">
        <v>16</v>
      </c>
      <c r="V312">
        <v>215</v>
      </c>
      <c r="W312">
        <v>0.316</v>
      </c>
      <c r="X312">
        <v>154</v>
      </c>
      <c r="Y312">
        <v>117</v>
      </c>
      <c r="Z312">
        <v>161</v>
      </c>
      <c r="AA312">
        <v>6</v>
      </c>
      <c r="AB312">
        <v>10.8</v>
      </c>
      <c r="AC312" t="s">
        <v>188</v>
      </c>
      <c r="AS312" s="226" t="str">
        <f t="shared" si="8"/>
        <v>Mindbender 99 Ti</v>
      </c>
      <c r="AT312" s="203" t="str">
        <f t="shared" si="9"/>
        <v>K2Mindbender 99 Ti170 Unisex</v>
      </c>
    </row>
    <row r="313" spans="1:46" ht="171.6">
      <c r="A313" t="s">
        <v>155</v>
      </c>
      <c r="B313" t="s">
        <v>332</v>
      </c>
      <c r="C313" t="s">
        <v>410</v>
      </c>
      <c r="D313">
        <v>179</v>
      </c>
      <c r="E313" t="s">
        <v>163</v>
      </c>
      <c r="F313">
        <v>179</v>
      </c>
      <c r="G313">
        <v>177.6</v>
      </c>
      <c r="H313">
        <v>122</v>
      </c>
      <c r="I313">
        <v>147</v>
      </c>
      <c r="J313">
        <v>135</v>
      </c>
      <c r="K313">
        <v>103</v>
      </c>
      <c r="L313">
        <v>126</v>
      </c>
      <c r="M313">
        <v>17.5</v>
      </c>
      <c r="N313">
        <v>1898</v>
      </c>
      <c r="O313">
        <v>1.07</v>
      </c>
      <c r="P313">
        <v>2026</v>
      </c>
      <c r="Q313">
        <v>220</v>
      </c>
      <c r="R313">
        <v>108</v>
      </c>
      <c r="S313">
        <v>64</v>
      </c>
      <c r="T313">
        <v>307</v>
      </c>
      <c r="U313">
        <v>42</v>
      </c>
      <c r="V313">
        <v>248</v>
      </c>
      <c r="W313">
        <v>0.64500000000000002</v>
      </c>
      <c r="X313">
        <v>155</v>
      </c>
      <c r="Y313">
        <v>154</v>
      </c>
      <c r="Z313">
        <v>152</v>
      </c>
      <c r="AA313">
        <v>6</v>
      </c>
      <c r="AB313">
        <v>8.6999999999999993</v>
      </c>
      <c r="AC313" t="s">
        <v>188</v>
      </c>
      <c r="AD313" t="s">
        <v>169</v>
      </c>
      <c r="AE313" t="s">
        <v>185</v>
      </c>
      <c r="AG313" t="s">
        <v>2749</v>
      </c>
      <c r="AH313" t="s">
        <v>1337</v>
      </c>
      <c r="AI313" s="245">
        <v>499</v>
      </c>
      <c r="AJ313" t="s">
        <v>2750</v>
      </c>
      <c r="AK313" t="s">
        <v>2751</v>
      </c>
      <c r="AL313" t="s">
        <v>1421</v>
      </c>
      <c r="AM313" s="245">
        <v>562.49</v>
      </c>
      <c r="AN313" t="s">
        <v>2752</v>
      </c>
      <c r="AO313" t="s">
        <v>2753</v>
      </c>
      <c r="AP313" t="s">
        <v>1511</v>
      </c>
      <c r="AQ313" s="245">
        <v>574.99</v>
      </c>
      <c r="AR313" t="s">
        <v>2754</v>
      </c>
      <c r="AS313" s="226" t="str">
        <f t="shared" si="8"/>
        <v>Santa Ana 104 Free</v>
      </c>
      <c r="AT313" s="203" t="str">
        <f t="shared" si="9"/>
        <v xml:space="preserve"> NordicaSanta Ana 104 Free179 Women's</v>
      </c>
    </row>
    <row r="314" spans="1:46" ht="118.8">
      <c r="A314" t="s">
        <v>155</v>
      </c>
      <c r="B314" t="s">
        <v>208</v>
      </c>
      <c r="C314" t="s">
        <v>523</v>
      </c>
      <c r="D314">
        <v>180</v>
      </c>
      <c r="E314" t="s">
        <v>158</v>
      </c>
      <c r="F314">
        <v>180</v>
      </c>
      <c r="G314">
        <v>178.7</v>
      </c>
      <c r="H314">
        <v>128</v>
      </c>
      <c r="I314">
        <v>145</v>
      </c>
      <c r="J314">
        <v>158</v>
      </c>
      <c r="K314">
        <v>124</v>
      </c>
      <c r="L314">
        <v>144</v>
      </c>
      <c r="M314">
        <v>18.399999999999999</v>
      </c>
      <c r="N314">
        <v>1828</v>
      </c>
      <c r="O314">
        <v>1.3</v>
      </c>
      <c r="P314">
        <v>2380</v>
      </c>
      <c r="Q314">
        <v>156</v>
      </c>
      <c r="R314">
        <v>87</v>
      </c>
      <c r="S314">
        <v>61</v>
      </c>
      <c r="T314">
        <v>374</v>
      </c>
      <c r="U314">
        <v>16</v>
      </c>
      <c r="V314">
        <v>131</v>
      </c>
      <c r="W314">
        <v>0.26300000000000001</v>
      </c>
      <c r="X314">
        <v>217</v>
      </c>
      <c r="Y314">
        <v>119</v>
      </c>
      <c r="Z314">
        <v>157</v>
      </c>
      <c r="AA314">
        <v>9</v>
      </c>
      <c r="AB314">
        <v>10</v>
      </c>
      <c r="AC314" t="s">
        <v>178</v>
      </c>
      <c r="AD314" t="s">
        <v>185</v>
      </c>
      <c r="AE314" t="s">
        <v>198</v>
      </c>
      <c r="AG314" t="s">
        <v>2755</v>
      </c>
      <c r="AH314" t="s">
        <v>1405</v>
      </c>
      <c r="AI314" s="245">
        <v>1019.95</v>
      </c>
      <c r="AJ314" t="s">
        <v>2756</v>
      </c>
      <c r="AK314" t="s">
        <v>2755</v>
      </c>
      <c r="AL314" t="s">
        <v>1181</v>
      </c>
      <c r="AM314" s="245">
        <v>1019.95</v>
      </c>
      <c r="AN314" t="s">
        <v>2757</v>
      </c>
      <c r="AO314" t="s">
        <v>2758</v>
      </c>
      <c r="AP314" t="s">
        <v>1194</v>
      </c>
      <c r="AQ314" s="245">
        <v>552.30999999999995</v>
      </c>
      <c r="AR314" t="s">
        <v>2759</v>
      </c>
      <c r="AS314" s="226" t="str">
        <f t="shared" si="8"/>
        <v>Pescado</v>
      </c>
      <c r="AT314" s="203" t="str">
        <f t="shared" si="9"/>
        <v xml:space="preserve"> LinePescado180 Unisex</v>
      </c>
    </row>
    <row r="315" spans="1:46" ht="66">
      <c r="A315" t="s">
        <v>155</v>
      </c>
      <c r="B315" t="s">
        <v>182</v>
      </c>
      <c r="C315" t="s">
        <v>440</v>
      </c>
      <c r="D315">
        <v>156</v>
      </c>
      <c r="E315" t="s">
        <v>163</v>
      </c>
      <c r="F315">
        <v>156</v>
      </c>
      <c r="G315">
        <v>155.6</v>
      </c>
      <c r="H315">
        <v>119</v>
      </c>
      <c r="I315">
        <v>136</v>
      </c>
      <c r="J315">
        <v>128</v>
      </c>
      <c r="K315">
        <v>91</v>
      </c>
      <c r="L315">
        <v>114</v>
      </c>
      <c r="M315">
        <v>15.5</v>
      </c>
      <c r="N315">
        <v>1492</v>
      </c>
      <c r="O315">
        <v>1.07</v>
      </c>
      <c r="P315">
        <v>1595</v>
      </c>
      <c r="Q315">
        <v>169</v>
      </c>
      <c r="R315">
        <v>94</v>
      </c>
      <c r="S315">
        <v>43</v>
      </c>
      <c r="T315">
        <v>226</v>
      </c>
      <c r="U315">
        <v>17</v>
      </c>
      <c r="V315">
        <v>145</v>
      </c>
      <c r="W315">
        <v>0.38600000000000001</v>
      </c>
      <c r="X315">
        <v>128</v>
      </c>
      <c r="Y315">
        <v>70</v>
      </c>
      <c r="Z315">
        <v>98</v>
      </c>
      <c r="AA315">
        <v>6</v>
      </c>
      <c r="AB315">
        <v>9.8000000000000007</v>
      </c>
      <c r="AC315" t="s">
        <v>188</v>
      </c>
      <c r="AD315" t="s">
        <v>185</v>
      </c>
      <c r="AG315" t="s">
        <v>2760</v>
      </c>
      <c r="AH315" t="s">
        <v>1194</v>
      </c>
      <c r="AI315" s="245">
        <v>441.67</v>
      </c>
      <c r="AJ315" t="s">
        <v>2761</v>
      </c>
      <c r="AK315" t="s">
        <v>2760</v>
      </c>
      <c r="AL315" t="s">
        <v>1226</v>
      </c>
      <c r="AM315" s="245">
        <v>519</v>
      </c>
      <c r="AN315" t="s">
        <v>2762</v>
      </c>
      <c r="AO315" t="s">
        <v>2760</v>
      </c>
      <c r="AP315" t="s">
        <v>1248</v>
      </c>
      <c r="AQ315" s="245">
        <v>519.96</v>
      </c>
      <c r="AR315" t="s">
        <v>2763</v>
      </c>
      <c r="AS315" s="226" t="str">
        <f t="shared" si="8"/>
        <v>Reliance 92 Ti</v>
      </c>
      <c r="AT315" s="203" t="str">
        <f t="shared" si="9"/>
        <v xml:space="preserve"> ArmadaReliance 92 Ti156 Women's</v>
      </c>
    </row>
    <row r="316" spans="1:46" ht="132">
      <c r="A316" t="s">
        <v>155</v>
      </c>
      <c r="B316" t="s">
        <v>167</v>
      </c>
      <c r="C316" t="s">
        <v>525</v>
      </c>
      <c r="D316">
        <v>170</v>
      </c>
      <c r="E316" t="s">
        <v>158</v>
      </c>
      <c r="F316">
        <v>170</v>
      </c>
      <c r="G316">
        <v>169.4</v>
      </c>
      <c r="H316">
        <v>150</v>
      </c>
      <c r="I316">
        <v>156</v>
      </c>
      <c r="J316">
        <v>133</v>
      </c>
      <c r="K316">
        <v>82</v>
      </c>
      <c r="L316">
        <v>114</v>
      </c>
      <c r="M316">
        <v>14.5</v>
      </c>
      <c r="N316">
        <v>2000</v>
      </c>
      <c r="O316">
        <v>0.82</v>
      </c>
      <c r="P316">
        <v>1647</v>
      </c>
      <c r="Q316">
        <v>180</v>
      </c>
      <c r="R316">
        <v>91</v>
      </c>
      <c r="S316">
        <v>33</v>
      </c>
      <c r="T316">
        <v>138</v>
      </c>
      <c r="U316">
        <v>7</v>
      </c>
      <c r="V316">
        <v>58</v>
      </c>
      <c r="W316">
        <v>0.21</v>
      </c>
      <c r="X316">
        <v>83</v>
      </c>
      <c r="Y316">
        <v>55</v>
      </c>
      <c r="Z316">
        <v>55</v>
      </c>
      <c r="AA316">
        <v>14</v>
      </c>
      <c r="AB316">
        <v>13.4</v>
      </c>
      <c r="AC316" t="s">
        <v>349</v>
      </c>
      <c r="AD316" t="s">
        <v>188</v>
      </c>
      <c r="AG316" t="s">
        <v>2764</v>
      </c>
      <c r="AH316" t="s">
        <v>2765</v>
      </c>
      <c r="AI316" s="245">
        <v>419.99</v>
      </c>
      <c r="AJ316" t="s">
        <v>2766</v>
      </c>
      <c r="AK316" t="s">
        <v>2767</v>
      </c>
      <c r="AL316" t="s">
        <v>2255</v>
      </c>
      <c r="AM316" s="245">
        <v>489</v>
      </c>
      <c r="AN316" t="s">
        <v>2768</v>
      </c>
      <c r="AO316" t="s">
        <v>2767</v>
      </c>
      <c r="AP316" t="s">
        <v>1277</v>
      </c>
      <c r="AQ316" s="245">
        <v>499</v>
      </c>
      <c r="AR316" t="s">
        <v>2769</v>
      </c>
      <c r="AS316" s="226" t="str">
        <f t="shared" si="8"/>
        <v>V-Shape V4 XL</v>
      </c>
      <c r="AT316" s="203" t="str">
        <f t="shared" si="9"/>
        <v xml:space="preserve"> HeadV-Shape V4 XL170 Unisex</v>
      </c>
    </row>
    <row r="317" spans="1:46" ht="66">
      <c r="A317" t="s">
        <v>155</v>
      </c>
      <c r="B317" t="s">
        <v>208</v>
      </c>
      <c r="C317" t="s">
        <v>414</v>
      </c>
      <c r="D317">
        <v>175</v>
      </c>
      <c r="E317" t="s">
        <v>158</v>
      </c>
      <c r="F317">
        <v>175</v>
      </c>
      <c r="G317">
        <v>175.3</v>
      </c>
      <c r="H317">
        <v>85</v>
      </c>
      <c r="I317">
        <v>140</v>
      </c>
      <c r="J317">
        <v>151</v>
      </c>
      <c r="K317">
        <v>117</v>
      </c>
      <c r="L317">
        <v>137</v>
      </c>
      <c r="M317">
        <v>17.2</v>
      </c>
      <c r="N317">
        <v>1758</v>
      </c>
      <c r="O317">
        <v>1.26</v>
      </c>
      <c r="P317">
        <v>2223</v>
      </c>
      <c r="Q317">
        <v>175</v>
      </c>
      <c r="R317">
        <v>92</v>
      </c>
      <c r="S317">
        <v>52</v>
      </c>
      <c r="T317">
        <v>495</v>
      </c>
      <c r="U317">
        <v>34</v>
      </c>
      <c r="V317">
        <v>411</v>
      </c>
      <c r="W317">
        <v>0.63900000000000001</v>
      </c>
      <c r="X317">
        <v>180</v>
      </c>
      <c r="Y317">
        <v>177</v>
      </c>
      <c r="Z317">
        <v>315</v>
      </c>
      <c r="AA317">
        <v>3</v>
      </c>
      <c r="AB317">
        <v>6.7</v>
      </c>
      <c r="AC317" t="s">
        <v>169</v>
      </c>
      <c r="AD317" t="s">
        <v>185</v>
      </c>
      <c r="AE317" t="s">
        <v>198</v>
      </c>
      <c r="AG317" t="s">
        <v>2770</v>
      </c>
      <c r="AH317" t="s">
        <v>1194</v>
      </c>
      <c r="AI317" s="245">
        <v>487.77</v>
      </c>
      <c r="AJ317" t="s">
        <v>2771</v>
      </c>
      <c r="AK317" t="s">
        <v>2770</v>
      </c>
      <c r="AL317" t="s">
        <v>1265</v>
      </c>
      <c r="AM317" s="245">
        <v>545.16</v>
      </c>
      <c r="AN317" t="s">
        <v>2772</v>
      </c>
      <c r="AO317" t="s">
        <v>2770</v>
      </c>
      <c r="AP317" t="s">
        <v>1244</v>
      </c>
      <c r="AQ317" s="245">
        <v>639.96</v>
      </c>
      <c r="AR317" t="s">
        <v>2773</v>
      </c>
      <c r="AS317" s="226" t="str">
        <f t="shared" si="8"/>
        <v>Vision 118</v>
      </c>
      <c r="AT317" s="203" t="str">
        <f t="shared" si="9"/>
        <v xml:space="preserve"> LineVision 118175 Unisex</v>
      </c>
    </row>
    <row r="318" spans="1:46" ht="105.6">
      <c r="A318" t="s">
        <v>155</v>
      </c>
      <c r="B318" t="s">
        <v>174</v>
      </c>
      <c r="C318" t="s">
        <v>526</v>
      </c>
      <c r="D318">
        <v>159</v>
      </c>
      <c r="E318" t="s">
        <v>163</v>
      </c>
      <c r="F318">
        <v>159</v>
      </c>
      <c r="G318">
        <v>158.19999999999999</v>
      </c>
      <c r="H318">
        <v>99</v>
      </c>
      <c r="I318">
        <v>129</v>
      </c>
      <c r="J318">
        <v>136</v>
      </c>
      <c r="K318">
        <v>104</v>
      </c>
      <c r="L318">
        <v>122</v>
      </c>
      <c r="M318">
        <v>16.399999999999999</v>
      </c>
      <c r="N318">
        <v>1771</v>
      </c>
      <c r="O318">
        <v>1.02</v>
      </c>
      <c r="P318">
        <v>1814</v>
      </c>
      <c r="Q318">
        <v>176</v>
      </c>
      <c r="R318">
        <v>68</v>
      </c>
      <c r="S318">
        <v>58</v>
      </c>
      <c r="T318">
        <v>340</v>
      </c>
      <c r="U318">
        <v>26</v>
      </c>
      <c r="V318">
        <v>254</v>
      </c>
      <c r="W318">
        <v>0.44500000000000001</v>
      </c>
      <c r="X318">
        <v>176</v>
      </c>
      <c r="Y318">
        <v>113</v>
      </c>
      <c r="Z318">
        <v>164</v>
      </c>
      <c r="AA318">
        <v>5</v>
      </c>
      <c r="AB318">
        <v>9.6</v>
      </c>
      <c r="AC318" t="s">
        <v>188</v>
      </c>
      <c r="AD318" t="s">
        <v>169</v>
      </c>
      <c r="AG318" t="s">
        <v>2774</v>
      </c>
      <c r="AH318" t="s">
        <v>1204</v>
      </c>
      <c r="AI318" s="245">
        <v>481.02</v>
      </c>
      <c r="AJ318" t="s">
        <v>2775</v>
      </c>
      <c r="AK318" t="s">
        <v>2261</v>
      </c>
      <c r="AL318" t="s">
        <v>1232</v>
      </c>
      <c r="AM318" s="245">
        <v>549.95000000000005</v>
      </c>
      <c r="AN318" t="s">
        <v>2776</v>
      </c>
      <c r="AO318" t="s">
        <v>2777</v>
      </c>
      <c r="AP318" t="s">
        <v>1271</v>
      </c>
      <c r="AQ318" s="245">
        <v>559.92999999999995</v>
      </c>
      <c r="AR318" t="s">
        <v>2778</v>
      </c>
      <c r="AS318" s="226" t="str">
        <f t="shared" si="8"/>
        <v>QST Stella 106</v>
      </c>
      <c r="AT318" s="203" t="str">
        <f t="shared" si="9"/>
        <v xml:space="preserve"> SalomonQST Stella 106159 Women's</v>
      </c>
    </row>
    <row r="319" spans="1:46" ht="52.8">
      <c r="A319" t="s">
        <v>155</v>
      </c>
      <c r="B319" t="s">
        <v>156</v>
      </c>
      <c r="C319" t="s">
        <v>399</v>
      </c>
      <c r="D319">
        <v>180</v>
      </c>
      <c r="E319" t="s">
        <v>158</v>
      </c>
      <c r="F319">
        <v>180</v>
      </c>
      <c r="G319">
        <v>178.3</v>
      </c>
      <c r="H319">
        <v>129</v>
      </c>
      <c r="I319">
        <v>144</v>
      </c>
      <c r="J319">
        <v>129</v>
      </c>
      <c r="K319">
        <v>99</v>
      </c>
      <c r="L319">
        <v>119</v>
      </c>
      <c r="M319">
        <v>19.3</v>
      </c>
      <c r="N319">
        <v>1344</v>
      </c>
      <c r="O319">
        <v>1.44</v>
      </c>
      <c r="P319">
        <v>1931</v>
      </c>
      <c r="Q319">
        <v>190</v>
      </c>
      <c r="R319">
        <v>88</v>
      </c>
      <c r="S319">
        <v>53</v>
      </c>
      <c r="T319">
        <v>284</v>
      </c>
      <c r="U319">
        <v>16</v>
      </c>
      <c r="V319">
        <v>208</v>
      </c>
      <c r="W319">
        <v>0.30599999999999999</v>
      </c>
      <c r="X319">
        <v>177</v>
      </c>
      <c r="Y319">
        <v>167</v>
      </c>
      <c r="Z319">
        <v>107</v>
      </c>
      <c r="AA319">
        <v>4</v>
      </c>
      <c r="AB319">
        <v>8.5</v>
      </c>
      <c r="AC319" t="s">
        <v>185</v>
      </c>
      <c r="AD319" t="s">
        <v>198</v>
      </c>
      <c r="AG319" t="s">
        <v>2779</v>
      </c>
      <c r="AH319" t="s">
        <v>1185</v>
      </c>
      <c r="AI319" s="245">
        <v>489.99</v>
      </c>
      <c r="AJ319" t="s">
        <v>2780</v>
      </c>
      <c r="AK319" t="s">
        <v>2779</v>
      </c>
      <c r="AL319" t="s">
        <v>1224</v>
      </c>
      <c r="AM319" s="245">
        <v>559.98</v>
      </c>
      <c r="AN319" t="s">
        <v>2781</v>
      </c>
      <c r="AO319" t="s">
        <v>2779</v>
      </c>
      <c r="AP319" t="s">
        <v>1282</v>
      </c>
      <c r="AQ319" s="245">
        <v>559.99</v>
      </c>
      <c r="AR319" t="s">
        <v>2782</v>
      </c>
      <c r="AS319" s="226" t="str">
        <f t="shared" si="8"/>
        <v>Backland 100</v>
      </c>
      <c r="AT319" s="203" t="str">
        <f t="shared" si="9"/>
        <v xml:space="preserve"> AtomicBackland 100180 Unisex</v>
      </c>
    </row>
    <row r="320" spans="1:46" ht="52.8">
      <c r="A320" t="s">
        <v>155</v>
      </c>
      <c r="B320" t="s">
        <v>215</v>
      </c>
      <c r="C320" t="s">
        <v>306</v>
      </c>
      <c r="D320">
        <v>179</v>
      </c>
      <c r="E320" t="s">
        <v>158</v>
      </c>
      <c r="F320">
        <v>179</v>
      </c>
      <c r="G320">
        <v>178.6</v>
      </c>
      <c r="H320">
        <v>145</v>
      </c>
      <c r="I320">
        <v>158</v>
      </c>
      <c r="J320">
        <v>130</v>
      </c>
      <c r="K320">
        <v>89</v>
      </c>
      <c r="L320">
        <v>113</v>
      </c>
      <c r="M320">
        <v>18.3</v>
      </c>
      <c r="N320">
        <v>1787</v>
      </c>
      <c r="O320">
        <v>1.02</v>
      </c>
      <c r="P320">
        <v>1815</v>
      </c>
      <c r="Q320">
        <v>208</v>
      </c>
      <c r="R320">
        <v>103</v>
      </c>
      <c r="S320">
        <v>39</v>
      </c>
      <c r="T320">
        <v>205</v>
      </c>
      <c r="U320">
        <v>10</v>
      </c>
      <c r="V320">
        <v>130</v>
      </c>
      <c r="W320">
        <v>0.25700000000000001</v>
      </c>
      <c r="X320">
        <v>119</v>
      </c>
      <c r="Y320">
        <v>86</v>
      </c>
      <c r="Z320">
        <v>86</v>
      </c>
      <c r="AA320">
        <v>9</v>
      </c>
      <c r="AB320">
        <v>10.5</v>
      </c>
      <c r="AC320" t="s">
        <v>188</v>
      </c>
      <c r="AG320" t="s">
        <v>2783</v>
      </c>
      <c r="AH320" t="s">
        <v>1280</v>
      </c>
      <c r="AI320" s="245">
        <v>485.93</v>
      </c>
      <c r="AJ320" t="s">
        <v>2784</v>
      </c>
      <c r="AK320" t="s">
        <v>2783</v>
      </c>
      <c r="AL320" t="s">
        <v>1833</v>
      </c>
      <c r="AM320" s="245">
        <v>519.99</v>
      </c>
      <c r="AN320" t="s">
        <v>2785</v>
      </c>
      <c r="AO320" t="s">
        <v>2786</v>
      </c>
      <c r="AP320" t="s">
        <v>1370</v>
      </c>
      <c r="AQ320" s="245">
        <v>300</v>
      </c>
      <c r="AR320" t="s">
        <v>2787</v>
      </c>
      <c r="AS320" s="226" t="str">
        <f t="shared" si="8"/>
        <v>Evolv 90</v>
      </c>
      <c r="AT320" s="203" t="str">
        <f t="shared" si="9"/>
        <v xml:space="preserve"> LibertyEvolv 90179 Unisex</v>
      </c>
    </row>
    <row r="321" spans="1:46" ht="132">
      <c r="A321" t="s">
        <v>155</v>
      </c>
      <c r="B321" t="s">
        <v>205</v>
      </c>
      <c r="C321" t="s">
        <v>308</v>
      </c>
      <c r="D321">
        <v>171</v>
      </c>
      <c r="E321" t="s">
        <v>158</v>
      </c>
      <c r="F321">
        <v>171</v>
      </c>
      <c r="G321">
        <v>169.3</v>
      </c>
      <c r="H321">
        <v>114</v>
      </c>
      <c r="I321">
        <v>139</v>
      </c>
      <c r="J321">
        <v>126</v>
      </c>
      <c r="K321">
        <v>97</v>
      </c>
      <c r="L321">
        <v>119</v>
      </c>
      <c r="M321">
        <v>17.3</v>
      </c>
      <c r="N321">
        <v>1904</v>
      </c>
      <c r="O321">
        <v>0.96</v>
      </c>
      <c r="P321">
        <v>1824</v>
      </c>
      <c r="Q321">
        <v>200</v>
      </c>
      <c r="R321">
        <v>90</v>
      </c>
      <c r="S321">
        <v>52</v>
      </c>
      <c r="T321">
        <v>304</v>
      </c>
      <c r="U321">
        <v>43</v>
      </c>
      <c r="V321">
        <v>250</v>
      </c>
      <c r="W321">
        <v>0.83099999999999996</v>
      </c>
      <c r="X321">
        <v>162</v>
      </c>
      <c r="Y321">
        <v>144</v>
      </c>
      <c r="Z321">
        <v>142</v>
      </c>
      <c r="AA321">
        <v>5</v>
      </c>
      <c r="AB321">
        <v>8.1</v>
      </c>
      <c r="AC321" t="s">
        <v>188</v>
      </c>
      <c r="AD321" t="s">
        <v>184</v>
      </c>
      <c r="AG321" t="s">
        <v>2788</v>
      </c>
      <c r="AH321" t="s">
        <v>2789</v>
      </c>
      <c r="AI321" s="245">
        <v>499</v>
      </c>
      <c r="AJ321" t="s">
        <v>2790</v>
      </c>
      <c r="AK321" t="s">
        <v>1555</v>
      </c>
      <c r="AL321" t="s">
        <v>1556</v>
      </c>
      <c r="AM321" s="245">
        <v>407.99</v>
      </c>
      <c r="AN321" t="s">
        <v>2791</v>
      </c>
      <c r="AO321" t="s">
        <v>1347</v>
      </c>
      <c r="AP321" t="s">
        <v>1185</v>
      </c>
      <c r="AQ321" s="245">
        <v>489.99</v>
      </c>
      <c r="AR321" t="s">
        <v>2792</v>
      </c>
      <c r="AS321" s="226" t="str">
        <f t="shared" si="8"/>
        <v>Prodigy 2.0</v>
      </c>
      <c r="AT321" s="203" t="str">
        <f t="shared" si="9"/>
        <v xml:space="preserve"> FactionProdigy 2.0171 Unisex</v>
      </c>
    </row>
    <row r="322" spans="1:46" ht="92.4">
      <c r="A322" t="s">
        <v>155</v>
      </c>
      <c r="B322" t="s">
        <v>332</v>
      </c>
      <c r="C322" t="s">
        <v>528</v>
      </c>
      <c r="D322">
        <v>165</v>
      </c>
      <c r="E322" t="s">
        <v>163</v>
      </c>
      <c r="F322">
        <v>165</v>
      </c>
      <c r="G322">
        <v>164.2</v>
      </c>
      <c r="H322">
        <v>117</v>
      </c>
      <c r="I322">
        <v>137</v>
      </c>
      <c r="J322">
        <v>126</v>
      </c>
      <c r="K322">
        <v>93</v>
      </c>
      <c r="L322">
        <v>112</v>
      </c>
      <c r="M322">
        <v>15.4</v>
      </c>
      <c r="N322">
        <v>1825</v>
      </c>
      <c r="O322">
        <v>0.93</v>
      </c>
      <c r="P322">
        <v>1699</v>
      </c>
      <c r="Q322">
        <v>205</v>
      </c>
      <c r="R322">
        <v>91</v>
      </c>
      <c r="S322">
        <v>60</v>
      </c>
      <c r="T322">
        <v>283</v>
      </c>
      <c r="U322">
        <v>14</v>
      </c>
      <c r="V322">
        <v>186</v>
      </c>
      <c r="W322">
        <v>0.23</v>
      </c>
      <c r="X322">
        <v>130</v>
      </c>
      <c r="Y322">
        <v>137</v>
      </c>
      <c r="Z322">
        <v>153</v>
      </c>
      <c r="AA322">
        <v>6</v>
      </c>
      <c r="AB322">
        <v>8.5</v>
      </c>
      <c r="AC322" t="s">
        <v>188</v>
      </c>
      <c r="AG322" t="s">
        <v>2793</v>
      </c>
      <c r="AH322" t="s">
        <v>1194</v>
      </c>
      <c r="AI322" s="245">
        <v>386.34</v>
      </c>
      <c r="AJ322" t="s">
        <v>2794</v>
      </c>
      <c r="AK322" t="s">
        <v>2795</v>
      </c>
      <c r="AL322" t="s">
        <v>1320</v>
      </c>
      <c r="AM322" s="245">
        <v>519.99</v>
      </c>
      <c r="AN322" t="s">
        <v>2796</v>
      </c>
      <c r="AO322" t="s">
        <v>2797</v>
      </c>
      <c r="AP322" t="s">
        <v>1497</v>
      </c>
      <c r="AQ322" s="245">
        <v>559.99</v>
      </c>
      <c r="AR322" t="s">
        <v>2798</v>
      </c>
      <c r="AS322" s="226" t="str">
        <f t="shared" ref="AS322:AS385" si="10">IF(LEFT(C322,1)=" ",RIGHT(C322,LEN(C322)-1),C322)</f>
        <v>Santa Ana 93</v>
      </c>
      <c r="AT322" s="203" t="str">
        <f t="shared" ref="AT322:AT385" si="11">_xlfn.CONCAT(B322,AS322,D322,E322)</f>
        <v xml:space="preserve"> NordicaSanta Ana 93165 Women's</v>
      </c>
    </row>
    <row r="323" spans="1:46" ht="66">
      <c r="A323" t="s">
        <v>155</v>
      </c>
      <c r="B323" t="s">
        <v>208</v>
      </c>
      <c r="C323" t="s">
        <v>530</v>
      </c>
      <c r="D323">
        <v>178</v>
      </c>
      <c r="E323" t="s">
        <v>158</v>
      </c>
      <c r="F323">
        <v>178</v>
      </c>
      <c r="G323">
        <v>177.7</v>
      </c>
      <c r="H323">
        <v>131</v>
      </c>
      <c r="I323">
        <v>151</v>
      </c>
      <c r="J323">
        <v>117</v>
      </c>
      <c r="K323">
        <v>89</v>
      </c>
      <c r="L323">
        <v>116</v>
      </c>
      <c r="M323">
        <v>19.899999999999999</v>
      </c>
      <c r="N323">
        <v>1752</v>
      </c>
      <c r="O323">
        <v>1.01</v>
      </c>
      <c r="P323">
        <v>1763</v>
      </c>
      <c r="Q323">
        <v>200</v>
      </c>
      <c r="R323">
        <v>91</v>
      </c>
      <c r="S323">
        <v>42</v>
      </c>
      <c r="T323">
        <v>235</v>
      </c>
      <c r="U323">
        <v>44</v>
      </c>
      <c r="V323">
        <v>228</v>
      </c>
      <c r="W323">
        <v>1.0309999999999999</v>
      </c>
      <c r="X323">
        <v>125</v>
      </c>
      <c r="Y323">
        <v>139</v>
      </c>
      <c r="Z323">
        <v>110</v>
      </c>
      <c r="AA323">
        <v>8</v>
      </c>
      <c r="AB323">
        <v>2.4</v>
      </c>
      <c r="AC323" t="s">
        <v>184</v>
      </c>
      <c r="AG323" t="s">
        <v>2799</v>
      </c>
      <c r="AH323" t="s">
        <v>1211</v>
      </c>
      <c r="AI323" s="245">
        <v>449.95</v>
      </c>
      <c r="AJ323" t="s">
        <v>2800</v>
      </c>
      <c r="AK323" t="s">
        <v>2801</v>
      </c>
      <c r="AL323" t="s">
        <v>1950</v>
      </c>
      <c r="AM323" s="245">
        <v>449.95</v>
      </c>
      <c r="AN323" t="s">
        <v>2802</v>
      </c>
      <c r="AO323" t="s">
        <v>2803</v>
      </c>
      <c r="AP323" t="s">
        <v>1179</v>
      </c>
      <c r="AQ323" s="245">
        <v>479.95</v>
      </c>
      <c r="AR323" t="s">
        <v>2804</v>
      </c>
      <c r="AS323" s="226" t="str">
        <f t="shared" si="10"/>
        <v>Tom Wallisch Pro</v>
      </c>
      <c r="AT323" s="203" t="str">
        <f t="shared" si="11"/>
        <v xml:space="preserve"> LineTom Wallisch Pro178 Unisex</v>
      </c>
    </row>
    <row r="324" spans="1:46" ht="26.4">
      <c r="A324" t="s">
        <v>155</v>
      </c>
      <c r="B324" t="s">
        <v>321</v>
      </c>
      <c r="C324" t="s">
        <v>365</v>
      </c>
      <c r="D324">
        <v>188</v>
      </c>
      <c r="E324" t="s">
        <v>158</v>
      </c>
      <c r="F324">
        <v>188</v>
      </c>
      <c r="G324">
        <v>188.6</v>
      </c>
      <c r="H324">
        <v>134</v>
      </c>
      <c r="I324">
        <v>149</v>
      </c>
      <c r="J324">
        <v>136</v>
      </c>
      <c r="K324">
        <v>104</v>
      </c>
      <c r="L324">
        <v>126</v>
      </c>
      <c r="M324">
        <v>17.399999999999999</v>
      </c>
      <c r="N324">
        <v>1891</v>
      </c>
      <c r="O324">
        <v>1.1499999999999999</v>
      </c>
      <c r="P324">
        <v>2168</v>
      </c>
      <c r="Q324">
        <v>237</v>
      </c>
      <c r="R324">
        <v>89</v>
      </c>
      <c r="S324">
        <v>45</v>
      </c>
      <c r="T324">
        <v>322</v>
      </c>
      <c r="U324">
        <v>26</v>
      </c>
      <c r="V324">
        <v>221</v>
      </c>
      <c r="W324">
        <v>0.56799999999999995</v>
      </c>
      <c r="X324">
        <v>271</v>
      </c>
      <c r="Y324">
        <v>124</v>
      </c>
      <c r="Z324">
        <v>51</v>
      </c>
      <c r="AA324">
        <v>11</v>
      </c>
      <c r="AB324">
        <v>10.6</v>
      </c>
      <c r="AC324" t="s">
        <v>188</v>
      </c>
      <c r="AD324" t="s">
        <v>169</v>
      </c>
      <c r="AE324" t="s">
        <v>185</v>
      </c>
      <c r="AS324" s="226" t="str">
        <f t="shared" si="10"/>
        <v>Pionnier 104</v>
      </c>
      <c r="AT324" s="203" t="str">
        <f t="shared" si="11"/>
        <v xml:space="preserve"> FerreolPionnier 104188 Unisex</v>
      </c>
    </row>
    <row r="325" spans="1:46" ht="79.2">
      <c r="A325" t="s">
        <v>155</v>
      </c>
      <c r="B325" t="s">
        <v>167</v>
      </c>
      <c r="C325" t="s">
        <v>393</v>
      </c>
      <c r="D325">
        <v>184</v>
      </c>
      <c r="E325" t="s">
        <v>158</v>
      </c>
      <c r="F325">
        <v>184</v>
      </c>
      <c r="G325">
        <v>181.9</v>
      </c>
      <c r="H325">
        <v>142</v>
      </c>
      <c r="I325">
        <v>164</v>
      </c>
      <c r="J325">
        <v>127</v>
      </c>
      <c r="K325">
        <v>93</v>
      </c>
      <c r="L325">
        <v>117</v>
      </c>
      <c r="M325">
        <v>22.6</v>
      </c>
      <c r="N325">
        <v>1830</v>
      </c>
      <c r="O325">
        <v>1.03</v>
      </c>
      <c r="P325">
        <v>1878</v>
      </c>
      <c r="Q325">
        <v>189</v>
      </c>
      <c r="R325">
        <v>83</v>
      </c>
      <c r="S325">
        <v>54</v>
      </c>
      <c r="T325">
        <v>254</v>
      </c>
      <c r="U325">
        <v>38</v>
      </c>
      <c r="V325">
        <v>145</v>
      </c>
      <c r="W325">
        <v>0.70399999999999996</v>
      </c>
      <c r="X325">
        <v>95</v>
      </c>
      <c r="Y325">
        <v>87</v>
      </c>
      <c r="Z325">
        <v>159</v>
      </c>
      <c r="AA325">
        <v>9</v>
      </c>
      <c r="AB325">
        <v>5.6</v>
      </c>
      <c r="AC325" t="s">
        <v>188</v>
      </c>
      <c r="AG325" t="s">
        <v>2805</v>
      </c>
      <c r="AH325" t="s">
        <v>1204</v>
      </c>
      <c r="AI325" s="245">
        <v>440.94</v>
      </c>
      <c r="AJ325" t="s">
        <v>2806</v>
      </c>
      <c r="AK325" t="s">
        <v>2807</v>
      </c>
      <c r="AL325" t="s">
        <v>1657</v>
      </c>
      <c r="AM325" s="245">
        <v>499</v>
      </c>
      <c r="AN325" t="s">
        <v>2808</v>
      </c>
      <c r="AO325" t="s">
        <v>2809</v>
      </c>
      <c r="AP325" t="s">
        <v>1416</v>
      </c>
      <c r="AQ325" s="245">
        <v>499</v>
      </c>
      <c r="AR325" t="s">
        <v>2810</v>
      </c>
      <c r="AS325" s="226" t="str">
        <f t="shared" si="10"/>
        <v>Oblivion 94</v>
      </c>
      <c r="AT325" s="203" t="str">
        <f t="shared" si="11"/>
        <v xml:space="preserve"> HeadOblivion 94184 Unisex</v>
      </c>
    </row>
    <row r="326" spans="1:46" ht="79.2">
      <c r="A326" t="s">
        <v>155</v>
      </c>
      <c r="B326" t="s">
        <v>172</v>
      </c>
      <c r="C326" t="s">
        <v>531</v>
      </c>
      <c r="D326">
        <v>177</v>
      </c>
      <c r="E326" t="s">
        <v>158</v>
      </c>
      <c r="F326">
        <v>177</v>
      </c>
      <c r="G326">
        <v>177.3</v>
      </c>
      <c r="H326">
        <v>130</v>
      </c>
      <c r="I326">
        <v>145</v>
      </c>
      <c r="J326">
        <v>126</v>
      </c>
      <c r="K326">
        <v>97</v>
      </c>
      <c r="L326">
        <v>115</v>
      </c>
      <c r="M326">
        <v>19.8</v>
      </c>
      <c r="N326">
        <v>1319</v>
      </c>
      <c r="O326">
        <v>1.43</v>
      </c>
      <c r="P326">
        <v>1886</v>
      </c>
      <c r="Q326">
        <v>233</v>
      </c>
      <c r="R326">
        <v>85</v>
      </c>
      <c r="S326">
        <v>56</v>
      </c>
      <c r="T326">
        <v>319</v>
      </c>
      <c r="U326">
        <v>13</v>
      </c>
      <c r="V326">
        <v>151</v>
      </c>
      <c r="W326">
        <v>0.23</v>
      </c>
      <c r="X326">
        <v>204</v>
      </c>
      <c r="Y326">
        <v>122</v>
      </c>
      <c r="Z326">
        <v>115</v>
      </c>
      <c r="AA326">
        <v>6</v>
      </c>
      <c r="AB326">
        <v>12.2</v>
      </c>
      <c r="AC326" t="s">
        <v>185</v>
      </c>
      <c r="AD326" t="s">
        <v>198</v>
      </c>
      <c r="AG326" t="s">
        <v>2811</v>
      </c>
      <c r="AH326" t="s">
        <v>1271</v>
      </c>
      <c r="AI326" s="245">
        <v>559.95000000000005</v>
      </c>
      <c r="AJ326" t="s">
        <v>2812</v>
      </c>
      <c r="AK326" t="s">
        <v>2811</v>
      </c>
      <c r="AL326" t="s">
        <v>1224</v>
      </c>
      <c r="AM326" s="245">
        <v>559.96</v>
      </c>
      <c r="AN326" t="s">
        <v>2813</v>
      </c>
      <c r="AO326" t="s">
        <v>2811</v>
      </c>
      <c r="AP326" t="s">
        <v>1282</v>
      </c>
      <c r="AQ326" s="245">
        <v>559.96</v>
      </c>
      <c r="AR326" t="s">
        <v>2814</v>
      </c>
      <c r="AS326" s="226" t="str">
        <f t="shared" si="10"/>
        <v>Blackops Alpineer 96</v>
      </c>
      <c r="AT326" s="203" t="str">
        <f t="shared" si="11"/>
        <v xml:space="preserve"> RossignolBlackops Alpineer 96177 Unisex</v>
      </c>
    </row>
    <row r="327" spans="1:46" ht="66">
      <c r="A327" t="s">
        <v>155</v>
      </c>
      <c r="B327" t="s">
        <v>332</v>
      </c>
      <c r="C327" t="s">
        <v>454</v>
      </c>
      <c r="D327">
        <v>170</v>
      </c>
      <c r="E327" t="s">
        <v>158</v>
      </c>
      <c r="F327">
        <v>170</v>
      </c>
      <c r="G327">
        <v>168.6</v>
      </c>
      <c r="H327">
        <v>138</v>
      </c>
      <c r="I327">
        <v>151</v>
      </c>
      <c r="J327">
        <v>120</v>
      </c>
      <c r="K327">
        <v>83</v>
      </c>
      <c r="L327">
        <v>109</v>
      </c>
      <c r="M327">
        <v>18</v>
      </c>
      <c r="N327">
        <v>1690</v>
      </c>
      <c r="O327">
        <v>0.94</v>
      </c>
      <c r="P327">
        <v>1593</v>
      </c>
      <c r="Q327">
        <v>200</v>
      </c>
      <c r="R327">
        <v>103</v>
      </c>
      <c r="S327">
        <v>48</v>
      </c>
      <c r="T327">
        <v>159</v>
      </c>
      <c r="U327">
        <v>41</v>
      </c>
      <c r="V327">
        <v>143</v>
      </c>
      <c r="W327">
        <v>0.85299999999999998</v>
      </c>
      <c r="X327">
        <v>94</v>
      </c>
      <c r="Y327">
        <v>78</v>
      </c>
      <c r="Z327">
        <v>65</v>
      </c>
      <c r="AA327">
        <v>11</v>
      </c>
      <c r="AB327">
        <v>9.6999999999999993</v>
      </c>
      <c r="AC327" t="s">
        <v>188</v>
      </c>
      <c r="AD327" t="s">
        <v>184</v>
      </c>
      <c r="AG327" t="s">
        <v>2356</v>
      </c>
      <c r="AH327" t="s">
        <v>1402</v>
      </c>
      <c r="AI327" s="245">
        <v>349.99</v>
      </c>
      <c r="AJ327" t="s">
        <v>2815</v>
      </c>
      <c r="AK327" t="s">
        <v>2356</v>
      </c>
      <c r="AL327" t="s">
        <v>2516</v>
      </c>
      <c r="AM327" s="245">
        <v>349.99</v>
      </c>
      <c r="AN327" t="s">
        <v>2816</v>
      </c>
      <c r="AO327" t="s">
        <v>2359</v>
      </c>
      <c r="AP327" t="s">
        <v>1397</v>
      </c>
      <c r="AQ327" s="245">
        <v>349.99</v>
      </c>
      <c r="AR327" t="s">
        <v>2817</v>
      </c>
      <c r="AS327" s="226" t="str">
        <f t="shared" si="10"/>
        <v>Soul Rider 84</v>
      </c>
      <c r="AT327" s="203" t="str">
        <f t="shared" si="11"/>
        <v xml:space="preserve"> NordicaSoul Rider 84170 Unisex</v>
      </c>
    </row>
    <row r="328" spans="1:46" ht="66">
      <c r="A328" t="s">
        <v>155</v>
      </c>
      <c r="B328" t="s">
        <v>182</v>
      </c>
      <c r="C328" t="s">
        <v>491</v>
      </c>
      <c r="D328">
        <v>170</v>
      </c>
      <c r="E328" t="s">
        <v>158</v>
      </c>
      <c r="F328">
        <v>170</v>
      </c>
      <c r="G328">
        <v>167.9</v>
      </c>
      <c r="H328">
        <v>134</v>
      </c>
      <c r="I328">
        <v>142</v>
      </c>
      <c r="J328">
        <v>114</v>
      </c>
      <c r="K328">
        <v>85</v>
      </c>
      <c r="L328">
        <v>108</v>
      </c>
      <c r="M328">
        <v>17.7</v>
      </c>
      <c r="N328">
        <v>1710</v>
      </c>
      <c r="O328">
        <v>0.94</v>
      </c>
      <c r="P328">
        <v>1606</v>
      </c>
      <c r="Q328">
        <v>175</v>
      </c>
      <c r="R328">
        <v>103</v>
      </c>
      <c r="S328">
        <v>43</v>
      </c>
      <c r="T328">
        <v>179</v>
      </c>
      <c r="U328">
        <v>37</v>
      </c>
      <c r="V328">
        <v>162</v>
      </c>
      <c r="W328">
        <v>0.86899999999999999</v>
      </c>
      <c r="X328">
        <v>125</v>
      </c>
      <c r="Y328">
        <v>130</v>
      </c>
      <c r="Z328">
        <v>54</v>
      </c>
      <c r="AA328">
        <v>11</v>
      </c>
      <c r="AB328">
        <v>3.6</v>
      </c>
      <c r="AC328" t="s">
        <v>184</v>
      </c>
      <c r="AG328" t="s">
        <v>2609</v>
      </c>
      <c r="AH328" t="s">
        <v>2818</v>
      </c>
      <c r="AI328" s="245">
        <v>399</v>
      </c>
      <c r="AJ328" t="s">
        <v>2819</v>
      </c>
      <c r="AK328" t="s">
        <v>1418</v>
      </c>
      <c r="AL328" t="s">
        <v>1191</v>
      </c>
      <c r="AM328" s="245">
        <v>299.95</v>
      </c>
      <c r="AN328" t="s">
        <v>2820</v>
      </c>
      <c r="AO328" t="s">
        <v>1418</v>
      </c>
      <c r="AP328" t="s">
        <v>1224</v>
      </c>
      <c r="AQ328" s="245">
        <v>319.95999999999998</v>
      </c>
      <c r="AR328" t="s">
        <v>2821</v>
      </c>
      <c r="AS328" s="226" t="str">
        <f t="shared" si="10"/>
        <v>ARV 86</v>
      </c>
      <c r="AT328" s="203" t="str">
        <f t="shared" si="11"/>
        <v xml:space="preserve"> ArmadaARV 86170 Unisex</v>
      </c>
    </row>
    <row r="329" spans="1:46" ht="158.4">
      <c r="A329" t="s">
        <v>155</v>
      </c>
      <c r="B329" t="s">
        <v>156</v>
      </c>
      <c r="C329" t="s">
        <v>532</v>
      </c>
      <c r="D329">
        <v>163</v>
      </c>
      <c r="E329" t="s">
        <v>158</v>
      </c>
      <c r="F329">
        <v>163</v>
      </c>
      <c r="G329">
        <v>160.4</v>
      </c>
      <c r="H329">
        <v>139</v>
      </c>
      <c r="I329">
        <v>146</v>
      </c>
      <c r="J329">
        <v>111</v>
      </c>
      <c r="K329">
        <v>69</v>
      </c>
      <c r="L329">
        <v>99</v>
      </c>
      <c r="M329">
        <v>14.5</v>
      </c>
      <c r="N329">
        <v>1682</v>
      </c>
      <c r="O329">
        <v>0.79</v>
      </c>
      <c r="P329">
        <v>1331</v>
      </c>
      <c r="Q329">
        <v>198</v>
      </c>
      <c r="R329">
        <v>98</v>
      </c>
      <c r="S329">
        <v>40</v>
      </c>
      <c r="T329">
        <v>147</v>
      </c>
      <c r="U329">
        <v>5</v>
      </c>
      <c r="V329">
        <v>64</v>
      </c>
      <c r="W329">
        <v>0.13800000000000001</v>
      </c>
      <c r="X329">
        <v>83</v>
      </c>
      <c r="Y329">
        <v>57</v>
      </c>
      <c r="Z329">
        <v>65</v>
      </c>
      <c r="AA329">
        <v>6</v>
      </c>
      <c r="AB329">
        <v>12.5</v>
      </c>
      <c r="AC329" t="s">
        <v>349</v>
      </c>
      <c r="AG329" t="s">
        <v>2822</v>
      </c>
      <c r="AH329" t="s">
        <v>1229</v>
      </c>
      <c r="AI329" s="245">
        <v>400</v>
      </c>
      <c r="AJ329" t="s">
        <v>2823</v>
      </c>
      <c r="AK329" t="s">
        <v>2824</v>
      </c>
      <c r="AL329" t="s">
        <v>2825</v>
      </c>
      <c r="AM329" s="245">
        <v>499.95</v>
      </c>
      <c r="AN329" t="s">
        <v>2826</v>
      </c>
      <c r="AO329" t="s">
        <v>2827</v>
      </c>
      <c r="AP329" t="s">
        <v>2828</v>
      </c>
      <c r="AQ329" s="245">
        <v>91.99</v>
      </c>
      <c r="AR329" t="s">
        <v>2829</v>
      </c>
      <c r="AS329" s="226" t="str">
        <f t="shared" si="10"/>
        <v>Redster S7</v>
      </c>
      <c r="AT329" s="203" t="str">
        <f t="shared" si="11"/>
        <v xml:space="preserve"> AtomicRedster S7163 Unisex</v>
      </c>
    </row>
    <row r="330" spans="1:46" ht="52.8">
      <c r="A330" t="s">
        <v>155</v>
      </c>
      <c r="B330" t="s">
        <v>208</v>
      </c>
      <c r="C330" t="s">
        <v>416</v>
      </c>
      <c r="D330">
        <v>186</v>
      </c>
      <c r="E330" t="s">
        <v>158</v>
      </c>
      <c r="F330">
        <v>186</v>
      </c>
      <c r="G330">
        <v>185.7</v>
      </c>
      <c r="H330">
        <v>147</v>
      </c>
      <c r="I330">
        <v>161</v>
      </c>
      <c r="J330">
        <v>131</v>
      </c>
      <c r="K330">
        <v>93</v>
      </c>
      <c r="L330">
        <v>116</v>
      </c>
      <c r="M330">
        <v>19.600000000000001</v>
      </c>
      <c r="N330">
        <v>1736</v>
      </c>
      <c r="O330">
        <v>1.1200000000000001</v>
      </c>
      <c r="P330">
        <v>1952</v>
      </c>
      <c r="Q330">
        <v>191</v>
      </c>
      <c r="R330">
        <v>102</v>
      </c>
      <c r="S330">
        <v>45</v>
      </c>
      <c r="T330">
        <v>252</v>
      </c>
      <c r="U330">
        <v>17</v>
      </c>
      <c r="V330">
        <v>133</v>
      </c>
      <c r="W330">
        <v>0.372</v>
      </c>
      <c r="X330">
        <v>135</v>
      </c>
      <c r="Y330">
        <v>113</v>
      </c>
      <c r="Z330">
        <v>117</v>
      </c>
      <c r="AA330">
        <v>10</v>
      </c>
      <c r="AB330">
        <v>9.9</v>
      </c>
      <c r="AC330" t="s">
        <v>188</v>
      </c>
      <c r="AD330" t="s">
        <v>185</v>
      </c>
      <c r="AG330" t="s">
        <v>2128</v>
      </c>
      <c r="AH330" t="s">
        <v>1349</v>
      </c>
      <c r="AI330" s="245">
        <v>348.3</v>
      </c>
      <c r="AJ330" t="s">
        <v>2830</v>
      </c>
      <c r="AK330" t="s">
        <v>2128</v>
      </c>
      <c r="AL330" t="s">
        <v>1256</v>
      </c>
      <c r="AM330" s="245">
        <v>352.45</v>
      </c>
      <c r="AN330" t="s">
        <v>2831</v>
      </c>
      <c r="AO330" t="s">
        <v>2832</v>
      </c>
      <c r="AP330" t="s">
        <v>1265</v>
      </c>
      <c r="AQ330" s="245">
        <v>352.75</v>
      </c>
      <c r="AR330" t="s">
        <v>2833</v>
      </c>
      <c r="AS330" s="226" t="str">
        <f t="shared" si="10"/>
        <v>Sick Day 94</v>
      </c>
      <c r="AT330" s="203" t="str">
        <f t="shared" si="11"/>
        <v xml:space="preserve"> LineSick Day 94186 Unisex</v>
      </c>
    </row>
    <row r="331" spans="1:46" ht="105.6">
      <c r="A331" t="s">
        <v>155</v>
      </c>
      <c r="B331" t="s">
        <v>1361</v>
      </c>
      <c r="C331" t="s">
        <v>495</v>
      </c>
      <c r="D331">
        <v>170</v>
      </c>
      <c r="E331" t="s">
        <v>158</v>
      </c>
      <c r="F331">
        <v>170</v>
      </c>
      <c r="G331">
        <v>169.2</v>
      </c>
      <c r="H331">
        <v>149</v>
      </c>
      <c r="I331">
        <v>156</v>
      </c>
      <c r="J331">
        <v>122</v>
      </c>
      <c r="K331">
        <v>72</v>
      </c>
      <c r="L331">
        <v>103</v>
      </c>
      <c r="M331">
        <v>14.8</v>
      </c>
      <c r="N331">
        <v>1751</v>
      </c>
      <c r="O331">
        <v>0.84</v>
      </c>
      <c r="P331">
        <v>1467</v>
      </c>
      <c r="Q331">
        <v>200</v>
      </c>
      <c r="R331">
        <v>110</v>
      </c>
      <c r="S331">
        <v>39</v>
      </c>
      <c r="T331">
        <v>140</v>
      </c>
      <c r="U331">
        <v>6</v>
      </c>
      <c r="V331">
        <v>61</v>
      </c>
      <c r="W331">
        <v>0.157</v>
      </c>
      <c r="X331">
        <v>73</v>
      </c>
      <c r="Y331">
        <v>59</v>
      </c>
      <c r="Z331">
        <v>68</v>
      </c>
      <c r="AA331">
        <v>10</v>
      </c>
      <c r="AB331">
        <v>13.9</v>
      </c>
      <c r="AC331" t="s">
        <v>349</v>
      </c>
      <c r="AG331" t="s">
        <v>2834</v>
      </c>
      <c r="AH331" t="s">
        <v>1365</v>
      </c>
      <c r="AI331" s="245">
        <v>2019</v>
      </c>
      <c r="AJ331" t="s">
        <v>2835</v>
      </c>
      <c r="AK331" t="s">
        <v>2836</v>
      </c>
      <c r="AL331" t="s">
        <v>2837</v>
      </c>
      <c r="AM331" s="245">
        <v>1489.95</v>
      </c>
      <c r="AN331" t="s">
        <v>2838</v>
      </c>
      <c r="AO331" t="s">
        <v>2839</v>
      </c>
      <c r="AP331" t="s">
        <v>1271</v>
      </c>
      <c r="AQ331" s="245">
        <v>1549</v>
      </c>
      <c r="AR331" t="s">
        <v>2840</v>
      </c>
      <c r="AS331" s="226" t="str">
        <f t="shared" si="10"/>
        <v>Laser SC Orea</v>
      </c>
      <c r="AT331" s="203" t="str">
        <f t="shared" si="11"/>
        <v xml:space="preserve"> Stï¿½ckliLaser SC Orea170 Unisex</v>
      </c>
    </row>
    <row r="332" spans="1:46" ht="66">
      <c r="A332" t="s">
        <v>155</v>
      </c>
      <c r="B332" t="s">
        <v>172</v>
      </c>
      <c r="C332" t="s">
        <v>388</v>
      </c>
      <c r="D332">
        <v>178</v>
      </c>
      <c r="E332" t="s">
        <v>158</v>
      </c>
      <c r="F332">
        <v>178</v>
      </c>
      <c r="G332">
        <v>178.3</v>
      </c>
      <c r="H332">
        <v>128</v>
      </c>
      <c r="I332">
        <v>152</v>
      </c>
      <c r="J332">
        <v>137</v>
      </c>
      <c r="K332">
        <v>103</v>
      </c>
      <c r="L332">
        <v>127</v>
      </c>
      <c r="M332">
        <v>18</v>
      </c>
      <c r="N332">
        <v>1950</v>
      </c>
      <c r="O332">
        <v>1.05</v>
      </c>
      <c r="P332">
        <v>2041</v>
      </c>
      <c r="Q332">
        <v>246</v>
      </c>
      <c r="R332">
        <v>109</v>
      </c>
      <c r="S332">
        <v>51</v>
      </c>
      <c r="T332">
        <v>304</v>
      </c>
      <c r="U332">
        <v>12</v>
      </c>
      <c r="V332">
        <v>203</v>
      </c>
      <c r="W332">
        <v>0.23599999999999999</v>
      </c>
      <c r="X332">
        <v>153</v>
      </c>
      <c r="Y332">
        <v>112</v>
      </c>
      <c r="Z332">
        <v>152</v>
      </c>
      <c r="AA332">
        <v>6</v>
      </c>
      <c r="AB332">
        <v>7.2</v>
      </c>
      <c r="AC332" t="s">
        <v>188</v>
      </c>
      <c r="AD332" t="s">
        <v>178</v>
      </c>
      <c r="AG332" t="s">
        <v>2841</v>
      </c>
      <c r="AH332" t="s">
        <v>1185</v>
      </c>
      <c r="AI332" s="245">
        <v>489.99</v>
      </c>
      <c r="AJ332" t="s">
        <v>2842</v>
      </c>
      <c r="AK332" t="s">
        <v>2841</v>
      </c>
      <c r="AL332" t="s">
        <v>1282</v>
      </c>
      <c r="AM332" s="245">
        <v>559.96</v>
      </c>
      <c r="AN332" t="s">
        <v>2843</v>
      </c>
      <c r="AO332" t="s">
        <v>2841</v>
      </c>
      <c r="AP332" t="s">
        <v>1224</v>
      </c>
      <c r="AQ332" s="245">
        <v>559.96</v>
      </c>
      <c r="AR332" t="s">
        <v>2844</v>
      </c>
      <c r="AS332" s="226" t="str">
        <f t="shared" si="10"/>
        <v>Blackops Sender</v>
      </c>
      <c r="AT332" s="203" t="str">
        <f t="shared" si="11"/>
        <v xml:space="preserve"> RossignolBlackops Sender178 Unisex</v>
      </c>
    </row>
    <row r="333" spans="1:46" ht="132">
      <c r="A333" t="s">
        <v>155</v>
      </c>
      <c r="B333" t="s">
        <v>172</v>
      </c>
      <c r="C333" t="s">
        <v>533</v>
      </c>
      <c r="D333">
        <v>166</v>
      </c>
      <c r="E333" t="s">
        <v>158</v>
      </c>
      <c r="F333">
        <v>166</v>
      </c>
      <c r="G333">
        <v>166.6</v>
      </c>
      <c r="H333">
        <v>128</v>
      </c>
      <c r="I333">
        <v>152</v>
      </c>
      <c r="J333">
        <v>125</v>
      </c>
      <c r="K333">
        <v>80</v>
      </c>
      <c r="L333">
        <v>113</v>
      </c>
      <c r="M333">
        <v>14.4</v>
      </c>
      <c r="N333">
        <v>1734</v>
      </c>
      <c r="O333">
        <v>0.91</v>
      </c>
      <c r="P333">
        <v>1575</v>
      </c>
      <c r="Q333">
        <v>215</v>
      </c>
      <c r="R333">
        <v>91</v>
      </c>
      <c r="S333">
        <v>47</v>
      </c>
      <c r="T333">
        <v>261</v>
      </c>
      <c r="U333">
        <v>12</v>
      </c>
      <c r="V333">
        <v>127</v>
      </c>
      <c r="W333">
        <v>0.26100000000000001</v>
      </c>
      <c r="X333">
        <v>80</v>
      </c>
      <c r="Y333">
        <v>66</v>
      </c>
      <c r="Z333">
        <v>181</v>
      </c>
      <c r="AA333">
        <v>10</v>
      </c>
      <c r="AB333">
        <v>7</v>
      </c>
      <c r="AC333" t="s">
        <v>188</v>
      </c>
      <c r="AG333" t="s">
        <v>2845</v>
      </c>
      <c r="AH333" t="s">
        <v>1179</v>
      </c>
      <c r="AI333" s="245">
        <v>479.95</v>
      </c>
      <c r="AJ333" t="s">
        <v>2846</v>
      </c>
      <c r="AK333" t="s">
        <v>2847</v>
      </c>
      <c r="AL333" t="s">
        <v>2049</v>
      </c>
      <c r="AM333" s="245">
        <v>599.95000000000005</v>
      </c>
      <c r="AN333" t="s">
        <v>2848</v>
      </c>
      <c r="AO333" t="s">
        <v>2537</v>
      </c>
      <c r="AP333" t="s">
        <v>1248</v>
      </c>
      <c r="AQ333" s="245">
        <v>599.95000000000005</v>
      </c>
      <c r="AR333" t="s">
        <v>2849</v>
      </c>
      <c r="AS333" s="226" t="str">
        <f t="shared" si="10"/>
        <v>Experience 80 Carbon</v>
      </c>
      <c r="AT333" s="203" t="str">
        <f t="shared" si="11"/>
        <v xml:space="preserve"> RossignolExperience 80 Carbon166 Unisex</v>
      </c>
    </row>
    <row r="334" spans="1:46" ht="158.4">
      <c r="A334" t="s">
        <v>155</v>
      </c>
      <c r="B334" t="s">
        <v>1395</v>
      </c>
      <c r="C334" t="s">
        <v>534</v>
      </c>
      <c r="D334">
        <v>170</v>
      </c>
      <c r="E334" t="s">
        <v>158</v>
      </c>
      <c r="F334">
        <v>170</v>
      </c>
      <c r="G334">
        <v>169.7</v>
      </c>
      <c r="H334">
        <v>113</v>
      </c>
      <c r="I334">
        <v>142</v>
      </c>
      <c r="J334">
        <v>134</v>
      </c>
      <c r="K334">
        <v>98</v>
      </c>
      <c r="L334">
        <v>116</v>
      </c>
      <c r="M334">
        <v>18.399999999999999</v>
      </c>
      <c r="N334">
        <v>1583</v>
      </c>
      <c r="O334">
        <v>1.17</v>
      </c>
      <c r="P334">
        <v>1849</v>
      </c>
      <c r="Q334">
        <v>174</v>
      </c>
      <c r="R334">
        <v>147</v>
      </c>
      <c r="S334">
        <v>47</v>
      </c>
      <c r="T334">
        <v>321</v>
      </c>
      <c r="U334">
        <v>17</v>
      </c>
      <c r="V334">
        <v>242</v>
      </c>
      <c r="W334">
        <v>0.36299999999999999</v>
      </c>
      <c r="X334">
        <v>155</v>
      </c>
      <c r="Y334">
        <v>121</v>
      </c>
      <c r="Z334">
        <v>166</v>
      </c>
      <c r="AA334">
        <v>2</v>
      </c>
      <c r="AB334">
        <v>10.6</v>
      </c>
      <c r="AC334" t="s">
        <v>188</v>
      </c>
      <c r="AD334" t="s">
        <v>185</v>
      </c>
      <c r="AG334" t="s">
        <v>2850</v>
      </c>
      <c r="AH334" t="s">
        <v>1657</v>
      </c>
      <c r="AI334" s="245">
        <v>1149.99</v>
      </c>
      <c r="AJ334" t="s">
        <v>2851</v>
      </c>
      <c r="AK334" t="s">
        <v>2852</v>
      </c>
      <c r="AL334" t="s">
        <v>1181</v>
      </c>
      <c r="AM334" s="245">
        <v>1314.95</v>
      </c>
      <c r="AN334" t="s">
        <v>2853</v>
      </c>
      <c r="AO334" t="s">
        <v>2854</v>
      </c>
      <c r="AP334" t="s">
        <v>1271</v>
      </c>
      <c r="AQ334" s="245">
        <v>449.99</v>
      </c>
      <c r="AR334" t="s">
        <v>2855</v>
      </c>
      <c r="AS334" s="226" t="str">
        <f t="shared" si="10"/>
        <v>Mantra V.Werks</v>
      </c>
      <c r="AT334" s="203" t="str">
        <f t="shared" si="11"/>
        <v xml:space="preserve"> Vï¿½lklMantra V.Werks170 Unisex</v>
      </c>
    </row>
    <row r="335" spans="1:46" ht="66">
      <c r="A335" t="s">
        <v>155</v>
      </c>
      <c r="B335" t="s">
        <v>1160</v>
      </c>
      <c r="C335" t="s">
        <v>489</v>
      </c>
      <c r="D335">
        <v>163</v>
      </c>
      <c r="E335" t="s">
        <v>158</v>
      </c>
      <c r="F335">
        <v>163</v>
      </c>
      <c r="G335">
        <v>160.6</v>
      </c>
      <c r="H335">
        <v>98</v>
      </c>
      <c r="I335">
        <v>123</v>
      </c>
      <c r="J335">
        <v>123</v>
      </c>
      <c r="K335">
        <v>95</v>
      </c>
      <c r="L335">
        <v>117</v>
      </c>
      <c r="M335">
        <v>13.7</v>
      </c>
      <c r="N335">
        <v>1883</v>
      </c>
      <c r="O335">
        <v>0.9</v>
      </c>
      <c r="P335">
        <v>1685</v>
      </c>
      <c r="Q335">
        <v>207</v>
      </c>
      <c r="R335">
        <v>110</v>
      </c>
      <c r="S335">
        <v>40</v>
      </c>
      <c r="T335">
        <v>306</v>
      </c>
      <c r="U335">
        <v>40</v>
      </c>
      <c r="V335">
        <v>317</v>
      </c>
      <c r="W335">
        <v>1.004</v>
      </c>
      <c r="X335">
        <v>182</v>
      </c>
      <c r="Y335">
        <v>192</v>
      </c>
      <c r="Z335">
        <v>125</v>
      </c>
      <c r="AA335">
        <v>6</v>
      </c>
      <c r="AB335">
        <v>5</v>
      </c>
      <c r="AC335" t="s">
        <v>184</v>
      </c>
      <c r="AG335" t="s">
        <v>2856</v>
      </c>
      <c r="AH335" t="s">
        <v>1224</v>
      </c>
      <c r="AI335" s="245">
        <v>499.95</v>
      </c>
      <c r="AJ335" t="s">
        <v>2857</v>
      </c>
      <c r="AK335" t="s">
        <v>2856</v>
      </c>
      <c r="AL335" t="s">
        <v>1226</v>
      </c>
      <c r="AM335" s="245">
        <v>499.95</v>
      </c>
      <c r="AN335" t="s">
        <v>2858</v>
      </c>
      <c r="AO335" t="s">
        <v>2856</v>
      </c>
      <c r="AP335" t="s">
        <v>1211</v>
      </c>
      <c r="AQ335" s="245">
        <v>499.95</v>
      </c>
      <c r="AR335" t="s">
        <v>2859</v>
      </c>
      <c r="AS335" s="226" t="str">
        <f t="shared" si="10"/>
        <v>Poacher</v>
      </c>
      <c r="AT335" s="203" t="str">
        <f t="shared" si="11"/>
        <v>K2Poacher163 Unisex</v>
      </c>
    </row>
    <row r="336" spans="1:46" ht="92.4">
      <c r="A336" t="s">
        <v>155</v>
      </c>
      <c r="B336" t="s">
        <v>205</v>
      </c>
      <c r="C336" t="s">
        <v>535</v>
      </c>
      <c r="D336">
        <v>178</v>
      </c>
      <c r="E336" t="s">
        <v>158</v>
      </c>
      <c r="F336">
        <v>178</v>
      </c>
      <c r="G336">
        <v>176.4</v>
      </c>
      <c r="H336">
        <v>135</v>
      </c>
      <c r="I336">
        <v>149</v>
      </c>
      <c r="J336">
        <v>120</v>
      </c>
      <c r="K336">
        <v>88</v>
      </c>
      <c r="L336">
        <v>112</v>
      </c>
      <c r="M336">
        <v>17.899999999999999</v>
      </c>
      <c r="N336">
        <v>1894</v>
      </c>
      <c r="O336">
        <v>0.92</v>
      </c>
      <c r="P336">
        <v>1751</v>
      </c>
      <c r="Q336">
        <v>201</v>
      </c>
      <c r="R336">
        <v>88</v>
      </c>
      <c r="S336">
        <v>43</v>
      </c>
      <c r="T336">
        <v>223</v>
      </c>
      <c r="U336">
        <v>36</v>
      </c>
      <c r="V336">
        <v>187</v>
      </c>
      <c r="W336">
        <v>0.83599999999999997</v>
      </c>
      <c r="X336">
        <v>145</v>
      </c>
      <c r="Y336">
        <v>124</v>
      </c>
      <c r="Z336">
        <v>78</v>
      </c>
      <c r="AA336">
        <v>14</v>
      </c>
      <c r="AB336">
        <v>7.7</v>
      </c>
      <c r="AC336" t="s">
        <v>188</v>
      </c>
      <c r="AD336" t="s">
        <v>184</v>
      </c>
      <c r="AG336" t="s">
        <v>2860</v>
      </c>
      <c r="AH336" t="s">
        <v>1556</v>
      </c>
      <c r="AI336" s="245">
        <v>449</v>
      </c>
      <c r="AJ336" t="s">
        <v>2861</v>
      </c>
      <c r="AK336" t="s">
        <v>1806</v>
      </c>
      <c r="AL336" t="s">
        <v>1807</v>
      </c>
      <c r="AM336" s="245">
        <v>429.99</v>
      </c>
      <c r="AN336" t="s">
        <v>2862</v>
      </c>
      <c r="AO336" t="s">
        <v>2863</v>
      </c>
      <c r="AP336" t="s">
        <v>1271</v>
      </c>
      <c r="AQ336" s="245">
        <v>439</v>
      </c>
      <c r="AR336" t="s">
        <v>2864</v>
      </c>
      <c r="AS336" s="226" t="str">
        <f t="shared" si="10"/>
        <v>Prodigy 1.0</v>
      </c>
      <c r="AT336" s="203" t="str">
        <f t="shared" si="11"/>
        <v xml:space="preserve"> FactionProdigy 1.0178 Unisex</v>
      </c>
    </row>
    <row r="337" spans="1:46" ht="105.6">
      <c r="A337" t="s">
        <v>155</v>
      </c>
      <c r="B337" t="s">
        <v>156</v>
      </c>
      <c r="C337" t="s">
        <v>536</v>
      </c>
      <c r="D337">
        <v>179</v>
      </c>
      <c r="E337" t="s">
        <v>158</v>
      </c>
      <c r="F337">
        <v>179</v>
      </c>
      <c r="G337">
        <v>177.9</v>
      </c>
      <c r="H337">
        <v>139</v>
      </c>
      <c r="I337">
        <v>149</v>
      </c>
      <c r="J337">
        <v>118</v>
      </c>
      <c r="K337">
        <v>86</v>
      </c>
      <c r="L337">
        <v>106</v>
      </c>
      <c r="M337">
        <v>19.2</v>
      </c>
      <c r="N337">
        <v>1301</v>
      </c>
      <c r="O337">
        <v>1.31</v>
      </c>
      <c r="P337">
        <v>1700</v>
      </c>
      <c r="Q337">
        <v>215</v>
      </c>
      <c r="R337">
        <v>84</v>
      </c>
      <c r="S337">
        <v>50</v>
      </c>
      <c r="T337">
        <v>242</v>
      </c>
      <c r="U337">
        <v>13</v>
      </c>
      <c r="V337">
        <v>145</v>
      </c>
      <c r="W337">
        <v>0.255</v>
      </c>
      <c r="X337">
        <v>175</v>
      </c>
      <c r="Y337">
        <v>113</v>
      </c>
      <c r="Z337">
        <v>67</v>
      </c>
      <c r="AA337">
        <v>6</v>
      </c>
      <c r="AB337">
        <v>12.1</v>
      </c>
      <c r="AC337" t="s">
        <v>185</v>
      </c>
      <c r="AD337" t="s">
        <v>198</v>
      </c>
      <c r="AG337" t="s">
        <v>2865</v>
      </c>
      <c r="AH337" t="s">
        <v>1468</v>
      </c>
      <c r="AI337" s="245">
        <v>499</v>
      </c>
      <c r="AJ337" t="s">
        <v>2866</v>
      </c>
      <c r="AK337" t="s">
        <v>2867</v>
      </c>
      <c r="AL337" t="s">
        <v>1833</v>
      </c>
      <c r="AM337" s="245">
        <v>559.99</v>
      </c>
      <c r="AN337" t="s">
        <v>2868</v>
      </c>
      <c r="AO337" t="s">
        <v>2867</v>
      </c>
      <c r="AP337" t="s">
        <v>2325</v>
      </c>
      <c r="AQ337" s="245">
        <v>559.99</v>
      </c>
      <c r="AR337" t="s">
        <v>2869</v>
      </c>
      <c r="AS337" s="226" t="str">
        <f t="shared" si="10"/>
        <v>Backland 86 SL</v>
      </c>
      <c r="AT337" s="203" t="str">
        <f t="shared" si="11"/>
        <v xml:space="preserve"> AtomicBackland 86 SL179 Unisex</v>
      </c>
    </row>
    <row r="338" spans="1:46" ht="66">
      <c r="A338" t="s">
        <v>155</v>
      </c>
      <c r="B338" t="s">
        <v>182</v>
      </c>
      <c r="C338" t="s">
        <v>537</v>
      </c>
      <c r="D338">
        <v>180</v>
      </c>
      <c r="E338" t="s">
        <v>158</v>
      </c>
      <c r="F338">
        <v>180</v>
      </c>
      <c r="G338">
        <v>178</v>
      </c>
      <c r="H338">
        <v>134</v>
      </c>
      <c r="I338">
        <v>159</v>
      </c>
      <c r="J338">
        <v>132</v>
      </c>
      <c r="K338">
        <v>97</v>
      </c>
      <c r="L338">
        <v>122</v>
      </c>
      <c r="M338">
        <v>20.399999999999999</v>
      </c>
      <c r="N338">
        <v>2021</v>
      </c>
      <c r="O338">
        <v>0.95</v>
      </c>
      <c r="P338">
        <v>1913</v>
      </c>
      <c r="Q338">
        <v>198</v>
      </c>
      <c r="R338">
        <v>87</v>
      </c>
      <c r="S338">
        <v>50</v>
      </c>
      <c r="T338">
        <v>266</v>
      </c>
      <c r="U338">
        <v>48</v>
      </c>
      <c r="V338">
        <v>172</v>
      </c>
      <c r="W338">
        <v>0.95699999999999996</v>
      </c>
      <c r="X338">
        <v>87</v>
      </c>
      <c r="Y338">
        <v>98</v>
      </c>
      <c r="Z338">
        <v>179</v>
      </c>
      <c r="AA338">
        <v>8</v>
      </c>
      <c r="AB338">
        <v>3.2</v>
      </c>
      <c r="AC338" t="s">
        <v>184</v>
      </c>
      <c r="AG338" t="s">
        <v>2870</v>
      </c>
      <c r="AH338" t="s">
        <v>1232</v>
      </c>
      <c r="AI338" s="245">
        <v>479.95</v>
      </c>
      <c r="AJ338" t="s">
        <v>2871</v>
      </c>
      <c r="AK338" t="s">
        <v>2870</v>
      </c>
      <c r="AL338" t="s">
        <v>1211</v>
      </c>
      <c r="AM338" s="245">
        <v>479.96</v>
      </c>
      <c r="AN338" t="s">
        <v>2872</v>
      </c>
      <c r="AO338" t="s">
        <v>2870</v>
      </c>
      <c r="AP338" t="s">
        <v>1271</v>
      </c>
      <c r="AQ338" s="245">
        <v>499.95</v>
      </c>
      <c r="AR338" t="s">
        <v>2873</v>
      </c>
      <c r="AS338" s="226" t="str">
        <f t="shared" si="10"/>
        <v>Edollo</v>
      </c>
      <c r="AT338" s="203" t="str">
        <f t="shared" si="11"/>
        <v xml:space="preserve"> ArmadaEdollo180 Unisex</v>
      </c>
    </row>
    <row r="339" spans="1:46" ht="66">
      <c r="A339" t="s">
        <v>155</v>
      </c>
      <c r="B339" t="s">
        <v>1160</v>
      </c>
      <c r="C339" t="s">
        <v>539</v>
      </c>
      <c r="D339">
        <v>170</v>
      </c>
      <c r="E339" t="s">
        <v>158</v>
      </c>
      <c r="F339">
        <v>170</v>
      </c>
      <c r="G339">
        <v>170.7</v>
      </c>
      <c r="H339">
        <v>124</v>
      </c>
      <c r="I339">
        <v>141</v>
      </c>
      <c r="J339">
        <v>129</v>
      </c>
      <c r="K339">
        <v>84</v>
      </c>
      <c r="L339">
        <v>112</v>
      </c>
      <c r="M339">
        <v>13.1</v>
      </c>
      <c r="N339">
        <v>1702</v>
      </c>
      <c r="O339">
        <v>1</v>
      </c>
      <c r="P339">
        <v>1694</v>
      </c>
      <c r="Q339">
        <v>181</v>
      </c>
      <c r="R339">
        <v>97</v>
      </c>
      <c r="S339">
        <v>45</v>
      </c>
      <c r="T339">
        <v>288</v>
      </c>
      <c r="U339">
        <v>15</v>
      </c>
      <c r="V339">
        <v>177</v>
      </c>
      <c r="W339">
        <v>0.33700000000000002</v>
      </c>
      <c r="X339">
        <v>182</v>
      </c>
      <c r="Y339">
        <v>112</v>
      </c>
      <c r="Z339">
        <v>107</v>
      </c>
      <c r="AA339">
        <v>7</v>
      </c>
      <c r="AB339">
        <v>10.8</v>
      </c>
      <c r="AC339" t="s">
        <v>231</v>
      </c>
      <c r="AD339" t="s">
        <v>188</v>
      </c>
      <c r="AG339" t="s">
        <v>2874</v>
      </c>
      <c r="AH339" t="s">
        <v>2875</v>
      </c>
      <c r="AI339" s="245">
        <v>320.68</v>
      </c>
      <c r="AJ339" t="s">
        <v>2876</v>
      </c>
      <c r="AK339" t="s">
        <v>2877</v>
      </c>
      <c r="AL339" t="s">
        <v>1226</v>
      </c>
      <c r="AM339" s="245">
        <v>399.95</v>
      </c>
      <c r="AN339" t="s">
        <v>2878</v>
      </c>
      <c r="AO339" t="s">
        <v>2877</v>
      </c>
      <c r="AP339" t="s">
        <v>1181</v>
      </c>
      <c r="AQ339" s="245">
        <v>399.95</v>
      </c>
      <c r="AR339" t="s">
        <v>2879</v>
      </c>
      <c r="AS339" s="226" t="str">
        <f t="shared" si="10"/>
        <v>Mindbender 85</v>
      </c>
      <c r="AT339" s="203" t="str">
        <f t="shared" si="11"/>
        <v>K2Mindbender 85170 Unisex</v>
      </c>
    </row>
    <row r="340" spans="1:46" ht="66">
      <c r="A340" t="s">
        <v>155</v>
      </c>
      <c r="B340" t="s">
        <v>237</v>
      </c>
      <c r="C340" t="s">
        <v>541</v>
      </c>
      <c r="D340">
        <v>184.2</v>
      </c>
      <c r="E340" t="s">
        <v>158</v>
      </c>
      <c r="F340">
        <v>184.2</v>
      </c>
      <c r="G340">
        <v>182.7</v>
      </c>
      <c r="H340">
        <v>121</v>
      </c>
      <c r="I340">
        <v>148</v>
      </c>
      <c r="J340">
        <v>138</v>
      </c>
      <c r="K340">
        <v>107</v>
      </c>
      <c r="L340">
        <v>125</v>
      </c>
      <c r="M340">
        <v>20.399999999999999</v>
      </c>
      <c r="N340">
        <v>2066</v>
      </c>
      <c r="O340">
        <v>1.04</v>
      </c>
      <c r="P340">
        <v>2146</v>
      </c>
      <c r="Q340">
        <v>247</v>
      </c>
      <c r="R340">
        <v>99</v>
      </c>
      <c r="S340">
        <v>57</v>
      </c>
      <c r="T340">
        <v>356</v>
      </c>
      <c r="U340">
        <v>32</v>
      </c>
      <c r="V340">
        <v>260</v>
      </c>
      <c r="W340">
        <v>0.56000000000000005</v>
      </c>
      <c r="X340">
        <v>227</v>
      </c>
      <c r="Y340">
        <v>121</v>
      </c>
      <c r="Z340">
        <v>128</v>
      </c>
      <c r="AA340">
        <v>3</v>
      </c>
      <c r="AB340">
        <v>7.9</v>
      </c>
      <c r="AC340" t="s">
        <v>169</v>
      </c>
      <c r="AG340" t="s">
        <v>2880</v>
      </c>
      <c r="AH340" t="s">
        <v>1271</v>
      </c>
      <c r="AI340" s="245">
        <v>619.91</v>
      </c>
      <c r="AJ340" t="s">
        <v>2881</v>
      </c>
      <c r="AK340" t="s">
        <v>2882</v>
      </c>
      <c r="AL340" t="s">
        <v>1226</v>
      </c>
      <c r="AM340" s="245">
        <v>671</v>
      </c>
      <c r="AN340" t="s">
        <v>2883</v>
      </c>
      <c r="AO340" t="s">
        <v>2882</v>
      </c>
      <c r="AP340" t="s">
        <v>1248</v>
      </c>
      <c r="AQ340" s="245">
        <v>671.96</v>
      </c>
      <c r="AR340" t="s">
        <v>2884</v>
      </c>
      <c r="AS340" s="226" t="str">
        <f t="shared" si="10"/>
        <v>Atris</v>
      </c>
      <c r="AT340" s="203" t="str">
        <f t="shared" si="11"/>
        <v xml:space="preserve"> Black CrowsAtris184.2 Unisex</v>
      </c>
    </row>
    <row r="341" spans="1:46" ht="145.19999999999999">
      <c r="A341" t="s">
        <v>155</v>
      </c>
      <c r="B341" t="s">
        <v>172</v>
      </c>
      <c r="C341" t="s">
        <v>460</v>
      </c>
      <c r="D341">
        <v>160</v>
      </c>
      <c r="E341" t="s">
        <v>163</v>
      </c>
      <c r="F341">
        <v>160</v>
      </c>
      <c r="G341">
        <v>158.69999999999999</v>
      </c>
      <c r="H341">
        <v>135</v>
      </c>
      <c r="I341">
        <v>145</v>
      </c>
      <c r="J341">
        <v>122</v>
      </c>
      <c r="K341">
        <v>73</v>
      </c>
      <c r="L341">
        <v>108</v>
      </c>
      <c r="M341">
        <v>12.3</v>
      </c>
      <c r="N341">
        <v>1660</v>
      </c>
      <c r="O341">
        <v>0.85</v>
      </c>
      <c r="P341">
        <v>1414</v>
      </c>
      <c r="Q341">
        <v>171</v>
      </c>
      <c r="R341">
        <v>72</v>
      </c>
      <c r="S341">
        <v>39</v>
      </c>
      <c r="T341">
        <v>169</v>
      </c>
      <c r="U341">
        <v>5</v>
      </c>
      <c r="V341">
        <v>67</v>
      </c>
      <c r="W341">
        <v>0.11899999999999999</v>
      </c>
      <c r="X341">
        <v>80</v>
      </c>
      <c r="Y341">
        <v>61</v>
      </c>
      <c r="Z341">
        <v>90</v>
      </c>
      <c r="AA341">
        <v>9</v>
      </c>
      <c r="AB341">
        <v>9.4</v>
      </c>
      <c r="AC341" t="s">
        <v>349</v>
      </c>
      <c r="AG341" t="s">
        <v>2885</v>
      </c>
      <c r="AH341" t="s">
        <v>1592</v>
      </c>
      <c r="AI341" s="245">
        <v>520.66999999999996</v>
      </c>
      <c r="AJ341" t="s">
        <v>2886</v>
      </c>
      <c r="AK341" t="s">
        <v>2887</v>
      </c>
      <c r="AL341" t="s">
        <v>1179</v>
      </c>
      <c r="AM341" s="245">
        <v>319.95</v>
      </c>
      <c r="AN341" t="s">
        <v>2888</v>
      </c>
      <c r="AO341" t="s">
        <v>2889</v>
      </c>
      <c r="AP341" t="s">
        <v>1294</v>
      </c>
      <c r="AQ341" s="245">
        <v>359.93</v>
      </c>
      <c r="AR341" t="s">
        <v>2890</v>
      </c>
      <c r="AS341" s="226" t="str">
        <f t="shared" si="10"/>
        <v>Nova 10 Ti</v>
      </c>
      <c r="AT341" s="203" t="str">
        <f t="shared" si="11"/>
        <v xml:space="preserve"> RossignolNova 10 Ti160 Women's</v>
      </c>
    </row>
    <row r="342" spans="1:46" ht="105.6">
      <c r="A342" t="s">
        <v>155</v>
      </c>
      <c r="B342" t="s">
        <v>164</v>
      </c>
      <c r="C342" t="s">
        <v>313</v>
      </c>
      <c r="D342">
        <v>180</v>
      </c>
      <c r="E342" t="s">
        <v>158</v>
      </c>
      <c r="F342">
        <v>180</v>
      </c>
      <c r="G342">
        <v>177.3</v>
      </c>
      <c r="H342">
        <v>125</v>
      </c>
      <c r="I342">
        <v>142</v>
      </c>
      <c r="J342">
        <v>143</v>
      </c>
      <c r="K342">
        <v>104</v>
      </c>
      <c r="L342">
        <v>119</v>
      </c>
      <c r="M342">
        <v>18.3</v>
      </c>
      <c r="N342">
        <v>1799</v>
      </c>
      <c r="O342">
        <v>1.1399999999999999</v>
      </c>
      <c r="P342">
        <v>2050</v>
      </c>
      <c r="Q342">
        <v>242</v>
      </c>
      <c r="R342">
        <v>109</v>
      </c>
      <c r="S342">
        <v>52</v>
      </c>
      <c r="T342">
        <v>310</v>
      </c>
      <c r="U342">
        <v>17</v>
      </c>
      <c r="V342">
        <v>213</v>
      </c>
      <c r="W342">
        <v>0.32400000000000001</v>
      </c>
      <c r="X342">
        <v>176</v>
      </c>
      <c r="Y342">
        <v>180</v>
      </c>
      <c r="Z342">
        <v>134</v>
      </c>
      <c r="AA342">
        <v>4</v>
      </c>
      <c r="AB342">
        <v>10</v>
      </c>
      <c r="AC342" t="s">
        <v>188</v>
      </c>
      <c r="AD342" t="s">
        <v>178</v>
      </c>
      <c r="AE342" t="s">
        <v>185</v>
      </c>
      <c r="AG342" t="s">
        <v>2891</v>
      </c>
      <c r="AH342" t="s">
        <v>1185</v>
      </c>
      <c r="AI342" s="245">
        <v>489.99</v>
      </c>
      <c r="AJ342" t="s">
        <v>2892</v>
      </c>
      <c r="AK342" t="s">
        <v>2893</v>
      </c>
      <c r="AL342" t="s">
        <v>1232</v>
      </c>
      <c r="AM342" s="245">
        <v>499.95</v>
      </c>
      <c r="AN342" t="s">
        <v>2894</v>
      </c>
      <c r="AO342" t="s">
        <v>2895</v>
      </c>
      <c r="AP342" t="s">
        <v>1692</v>
      </c>
      <c r="AQ342" s="245">
        <v>524.99</v>
      </c>
      <c r="AR342" t="s">
        <v>2896</v>
      </c>
      <c r="AS342" s="226" t="str">
        <f t="shared" si="10"/>
        <v>Ripstick 106</v>
      </c>
      <c r="AT342" s="203" t="str">
        <f t="shared" si="11"/>
        <v xml:space="preserve"> ElanRipstick 106180 Unisex</v>
      </c>
    </row>
    <row r="343" spans="1:46" ht="52.8">
      <c r="A343" t="s">
        <v>155</v>
      </c>
      <c r="B343" t="s">
        <v>354</v>
      </c>
      <c r="C343" t="s">
        <v>500</v>
      </c>
      <c r="D343">
        <v>172</v>
      </c>
      <c r="E343" t="s">
        <v>158</v>
      </c>
      <c r="F343">
        <v>172</v>
      </c>
      <c r="G343">
        <v>172.7</v>
      </c>
      <c r="H343">
        <v>124</v>
      </c>
      <c r="I343">
        <v>135</v>
      </c>
      <c r="J343">
        <v>134</v>
      </c>
      <c r="K343">
        <v>103</v>
      </c>
      <c r="L343">
        <v>122</v>
      </c>
      <c r="M343">
        <v>17</v>
      </c>
      <c r="N343">
        <v>1822</v>
      </c>
      <c r="O343">
        <v>1.07</v>
      </c>
      <c r="P343">
        <v>1948</v>
      </c>
      <c r="Q343">
        <v>186</v>
      </c>
      <c r="R343">
        <v>82</v>
      </c>
      <c r="S343">
        <v>40</v>
      </c>
      <c r="T343">
        <v>282</v>
      </c>
      <c r="U343">
        <v>22</v>
      </c>
      <c r="V343">
        <v>205</v>
      </c>
      <c r="W343">
        <v>0.55399999999999905</v>
      </c>
      <c r="X343">
        <v>232</v>
      </c>
      <c r="Y343">
        <v>147</v>
      </c>
      <c r="Z343">
        <v>50</v>
      </c>
      <c r="AA343">
        <v>7</v>
      </c>
      <c r="AB343">
        <v>8.9</v>
      </c>
      <c r="AC343" t="s">
        <v>188</v>
      </c>
      <c r="AD343" t="s">
        <v>169</v>
      </c>
      <c r="AE343" t="s">
        <v>185</v>
      </c>
      <c r="AG343" t="s">
        <v>2897</v>
      </c>
      <c r="AH343" t="s">
        <v>1349</v>
      </c>
      <c r="AI343" s="245">
        <v>439.98</v>
      </c>
      <c r="AJ343" t="s">
        <v>2898</v>
      </c>
      <c r="AK343" t="s">
        <v>2897</v>
      </c>
      <c r="AL343" t="s">
        <v>1194</v>
      </c>
      <c r="AM343" s="245">
        <v>479.47</v>
      </c>
      <c r="AN343" t="s">
        <v>2899</v>
      </c>
      <c r="AO343" t="s">
        <v>2897</v>
      </c>
      <c r="AP343" t="s">
        <v>1326</v>
      </c>
      <c r="AQ343" s="245">
        <v>574.24</v>
      </c>
      <c r="AR343" t="s">
        <v>2900</v>
      </c>
      <c r="AS343" s="226" t="str">
        <f t="shared" si="10"/>
        <v>Impulse 104</v>
      </c>
      <c r="AT343" s="203" t="str">
        <f t="shared" si="11"/>
        <v xml:space="preserve"> Black DiamondImpulse 104172 Unisex</v>
      </c>
    </row>
    <row r="344" spans="1:46" ht="52.8">
      <c r="A344" t="s">
        <v>155</v>
      </c>
      <c r="B344" t="s">
        <v>202</v>
      </c>
      <c r="C344" t="s">
        <v>340</v>
      </c>
      <c r="D344">
        <v>185</v>
      </c>
      <c r="E344" t="s">
        <v>158</v>
      </c>
      <c r="F344">
        <v>185</v>
      </c>
      <c r="G344">
        <v>184.2</v>
      </c>
      <c r="H344">
        <v>112</v>
      </c>
      <c r="I344">
        <v>149</v>
      </c>
      <c r="J344">
        <v>127</v>
      </c>
      <c r="K344">
        <v>96</v>
      </c>
      <c r="L344">
        <v>119</v>
      </c>
      <c r="M344">
        <v>17.899999999999999</v>
      </c>
      <c r="N344">
        <v>1999</v>
      </c>
      <c r="O344">
        <v>0.98</v>
      </c>
      <c r="P344">
        <v>1968</v>
      </c>
      <c r="Q344">
        <v>242</v>
      </c>
      <c r="R344">
        <v>114</v>
      </c>
      <c r="S344">
        <v>59</v>
      </c>
      <c r="T344">
        <v>341</v>
      </c>
      <c r="U344">
        <v>60</v>
      </c>
      <c r="V344">
        <v>382</v>
      </c>
      <c r="W344">
        <v>1.028</v>
      </c>
      <c r="X344">
        <v>184</v>
      </c>
      <c r="Y344">
        <v>170</v>
      </c>
      <c r="Z344">
        <v>157</v>
      </c>
      <c r="AA344">
        <v>7</v>
      </c>
      <c r="AB344">
        <v>6.5</v>
      </c>
      <c r="AC344" t="s">
        <v>184</v>
      </c>
      <c r="AG344" t="s">
        <v>1774</v>
      </c>
      <c r="AH344" t="s">
        <v>1194</v>
      </c>
      <c r="AI344" s="245">
        <v>367.9</v>
      </c>
      <c r="AJ344" t="s">
        <v>2901</v>
      </c>
      <c r="AK344" t="s">
        <v>1774</v>
      </c>
      <c r="AL344" t="s">
        <v>1248</v>
      </c>
      <c r="AM344" s="245">
        <v>419.97</v>
      </c>
      <c r="AN344" t="s">
        <v>2902</v>
      </c>
      <c r="AO344" t="s">
        <v>1774</v>
      </c>
      <c r="AP344" t="s">
        <v>1282</v>
      </c>
      <c r="AQ344" s="245">
        <v>479.96</v>
      </c>
      <c r="AR344" t="s">
        <v>2903</v>
      </c>
      <c r="AS344" s="226" t="str">
        <f t="shared" si="10"/>
        <v>M-Free 99</v>
      </c>
      <c r="AT344" s="203" t="str">
        <f t="shared" si="11"/>
        <v xml:space="preserve"> DynastarM-Free 99185 Unisex</v>
      </c>
    </row>
    <row r="345" spans="1:46" ht="92.4">
      <c r="A345" t="s">
        <v>155</v>
      </c>
      <c r="B345" t="s">
        <v>172</v>
      </c>
      <c r="C345" t="s">
        <v>543</v>
      </c>
      <c r="D345">
        <v>170</v>
      </c>
      <c r="E345" t="s">
        <v>163</v>
      </c>
      <c r="F345">
        <v>170</v>
      </c>
      <c r="G345">
        <v>169</v>
      </c>
      <c r="H345">
        <v>120</v>
      </c>
      <c r="I345">
        <v>146</v>
      </c>
      <c r="J345">
        <v>130</v>
      </c>
      <c r="K345">
        <v>97</v>
      </c>
      <c r="L345">
        <v>120</v>
      </c>
      <c r="M345">
        <v>16.7</v>
      </c>
      <c r="N345">
        <v>1920</v>
      </c>
      <c r="O345">
        <v>0.95</v>
      </c>
      <c r="P345">
        <v>1827</v>
      </c>
      <c r="Q345">
        <v>205</v>
      </c>
      <c r="R345">
        <v>115</v>
      </c>
      <c r="S345">
        <v>56</v>
      </c>
      <c r="T345">
        <v>264</v>
      </c>
      <c r="U345">
        <v>36</v>
      </c>
      <c r="V345">
        <v>230</v>
      </c>
      <c r="W345">
        <v>0.63700000000000001</v>
      </c>
      <c r="X345">
        <v>134</v>
      </c>
      <c r="Y345">
        <v>100</v>
      </c>
      <c r="Z345">
        <v>130</v>
      </c>
      <c r="AA345">
        <v>6</v>
      </c>
      <c r="AB345">
        <v>4.9000000000000004</v>
      </c>
      <c r="AC345" t="s">
        <v>188</v>
      </c>
      <c r="AG345" t="s">
        <v>1500</v>
      </c>
      <c r="AH345" t="s">
        <v>1194</v>
      </c>
      <c r="AI345" s="245">
        <v>387.23</v>
      </c>
      <c r="AJ345" t="s">
        <v>2904</v>
      </c>
      <c r="AK345" t="s">
        <v>1500</v>
      </c>
      <c r="AL345" t="s">
        <v>2589</v>
      </c>
      <c r="AM345" s="245">
        <v>549.95000000000005</v>
      </c>
      <c r="AN345" t="s">
        <v>2905</v>
      </c>
      <c r="AO345" t="s">
        <v>1500</v>
      </c>
      <c r="AP345" t="s">
        <v>1271</v>
      </c>
      <c r="AQ345" s="245">
        <v>559.95000000000005</v>
      </c>
      <c r="AR345" t="s">
        <v>2906</v>
      </c>
      <c r="AS345" s="226" t="str">
        <f t="shared" si="10"/>
        <v>Blackops Blazer W</v>
      </c>
      <c r="AT345" s="203" t="str">
        <f t="shared" si="11"/>
        <v xml:space="preserve"> RossignolBlackops Blazer W170 Women's</v>
      </c>
    </row>
    <row r="346" spans="1:46" ht="26.4">
      <c r="A346" t="s">
        <v>155</v>
      </c>
      <c r="B346" t="s">
        <v>227</v>
      </c>
      <c r="C346" t="s">
        <v>228</v>
      </c>
      <c r="D346">
        <v>172</v>
      </c>
      <c r="E346" t="s">
        <v>158</v>
      </c>
      <c r="F346">
        <v>172</v>
      </c>
      <c r="G346">
        <v>170.4</v>
      </c>
      <c r="H346">
        <v>107</v>
      </c>
      <c r="I346">
        <v>142</v>
      </c>
      <c r="J346">
        <v>129</v>
      </c>
      <c r="K346">
        <v>98</v>
      </c>
      <c r="L346">
        <v>120</v>
      </c>
      <c r="M346">
        <v>17.3</v>
      </c>
      <c r="N346">
        <v>1585</v>
      </c>
      <c r="O346">
        <v>1.18</v>
      </c>
      <c r="P346">
        <v>1866</v>
      </c>
      <c r="Q346">
        <v>176</v>
      </c>
      <c r="R346">
        <v>81</v>
      </c>
      <c r="S346">
        <v>66</v>
      </c>
      <c r="T346">
        <v>384</v>
      </c>
      <c r="U346">
        <v>27</v>
      </c>
      <c r="V346">
        <v>245</v>
      </c>
      <c r="W346">
        <v>0.40899999999999997</v>
      </c>
      <c r="X346">
        <v>164</v>
      </c>
      <c r="Y346">
        <v>124</v>
      </c>
      <c r="Z346">
        <v>220</v>
      </c>
      <c r="AA346">
        <v>5</v>
      </c>
      <c r="AB346">
        <v>10.8</v>
      </c>
      <c r="AC346" t="s">
        <v>188</v>
      </c>
      <c r="AD346" t="s">
        <v>185</v>
      </c>
      <c r="AS346" s="226" t="str">
        <f t="shared" si="10"/>
        <v>Le Grizzly</v>
      </c>
      <c r="AT346" s="203" t="str">
        <f t="shared" si="11"/>
        <v xml:space="preserve"> RaccoonLe Grizzly172 Unisex</v>
      </c>
    </row>
    <row r="347" spans="1:46" ht="118.8">
      <c r="A347" t="s">
        <v>155</v>
      </c>
      <c r="B347" t="s">
        <v>174</v>
      </c>
      <c r="C347" t="s">
        <v>544</v>
      </c>
      <c r="D347">
        <v>167</v>
      </c>
      <c r="E347" t="s">
        <v>158</v>
      </c>
      <c r="F347">
        <v>167</v>
      </c>
      <c r="G347">
        <v>166</v>
      </c>
      <c r="H347">
        <v>130</v>
      </c>
      <c r="I347">
        <v>130</v>
      </c>
      <c r="J347">
        <v>133</v>
      </c>
      <c r="K347">
        <v>98</v>
      </c>
      <c r="L347">
        <v>116</v>
      </c>
      <c r="M347">
        <v>14</v>
      </c>
      <c r="N347">
        <v>1882</v>
      </c>
      <c r="O347">
        <v>0.97</v>
      </c>
      <c r="P347">
        <v>1828</v>
      </c>
      <c r="Q347">
        <v>191</v>
      </c>
      <c r="R347">
        <v>88</v>
      </c>
      <c r="S347">
        <v>51</v>
      </c>
      <c r="T347">
        <v>194</v>
      </c>
      <c r="U347">
        <v>19</v>
      </c>
      <c r="V347">
        <v>169</v>
      </c>
      <c r="W347">
        <v>0.375</v>
      </c>
      <c r="X347">
        <v>212</v>
      </c>
      <c r="Y347">
        <v>153</v>
      </c>
      <c r="Z347">
        <v>-18</v>
      </c>
      <c r="AA347">
        <v>14</v>
      </c>
      <c r="AB347">
        <v>8.6</v>
      </c>
      <c r="AC347" t="s">
        <v>188</v>
      </c>
      <c r="AG347" t="s">
        <v>2907</v>
      </c>
      <c r="AH347" t="s">
        <v>2297</v>
      </c>
      <c r="AI347" s="245">
        <v>279</v>
      </c>
      <c r="AJ347" t="s">
        <v>2908</v>
      </c>
      <c r="AK347" t="s">
        <v>2909</v>
      </c>
      <c r="AL347" t="s">
        <v>1337</v>
      </c>
      <c r="AM347" s="245">
        <v>323</v>
      </c>
      <c r="AN347" t="s">
        <v>2910</v>
      </c>
      <c r="AO347" t="s">
        <v>2911</v>
      </c>
      <c r="AP347" t="s">
        <v>1592</v>
      </c>
      <c r="AQ347" s="245">
        <v>358.94</v>
      </c>
      <c r="AR347" t="s">
        <v>2912</v>
      </c>
      <c r="AS347" s="226" t="str">
        <f t="shared" si="10"/>
        <v>QST 99</v>
      </c>
      <c r="AT347" s="203" t="str">
        <f t="shared" si="11"/>
        <v xml:space="preserve"> SalomonQST 99167 Unisex</v>
      </c>
    </row>
    <row r="348" spans="1:46" ht="52.8">
      <c r="A348" t="s">
        <v>155</v>
      </c>
      <c r="B348" t="s">
        <v>174</v>
      </c>
      <c r="C348" t="s">
        <v>252</v>
      </c>
      <c r="D348">
        <v>169</v>
      </c>
      <c r="E348" t="s">
        <v>158</v>
      </c>
      <c r="F348">
        <v>169</v>
      </c>
      <c r="G348">
        <v>168.7</v>
      </c>
      <c r="H348">
        <v>125</v>
      </c>
      <c r="I348">
        <v>140</v>
      </c>
      <c r="J348">
        <v>128</v>
      </c>
      <c r="K348">
        <v>94</v>
      </c>
      <c r="L348">
        <v>115</v>
      </c>
      <c r="M348">
        <v>16.600000000000001</v>
      </c>
      <c r="N348">
        <v>1450</v>
      </c>
      <c r="O348">
        <v>1.23</v>
      </c>
      <c r="P348">
        <v>1780</v>
      </c>
      <c r="Q348">
        <v>169</v>
      </c>
      <c r="R348">
        <v>67</v>
      </c>
      <c r="S348">
        <v>55</v>
      </c>
      <c r="T348">
        <v>321</v>
      </c>
      <c r="U348">
        <v>7</v>
      </c>
      <c r="V348">
        <v>115</v>
      </c>
      <c r="W348">
        <v>0.11899999999999999</v>
      </c>
      <c r="X348">
        <v>181</v>
      </c>
      <c r="Y348">
        <v>111</v>
      </c>
      <c r="Z348">
        <v>140</v>
      </c>
      <c r="AA348">
        <v>4</v>
      </c>
      <c r="AB348">
        <v>10.6</v>
      </c>
      <c r="AC348" t="s">
        <v>188</v>
      </c>
      <c r="AD348" t="s">
        <v>185</v>
      </c>
      <c r="AG348" t="s">
        <v>1478</v>
      </c>
      <c r="AH348" t="s">
        <v>1282</v>
      </c>
      <c r="AI348" s="245">
        <v>559.99</v>
      </c>
      <c r="AJ348" t="s">
        <v>2913</v>
      </c>
      <c r="AK348" t="s">
        <v>1478</v>
      </c>
      <c r="AL348" t="s">
        <v>1248</v>
      </c>
      <c r="AM348" s="245">
        <v>559.99</v>
      </c>
      <c r="AN348" t="s">
        <v>2914</v>
      </c>
      <c r="AO348" t="s">
        <v>1478</v>
      </c>
      <c r="AP348" t="s">
        <v>2446</v>
      </c>
      <c r="AQ348" s="245">
        <v>559.99</v>
      </c>
      <c r="AR348" t="s">
        <v>2915</v>
      </c>
      <c r="AS348" s="226" t="str">
        <f t="shared" si="10"/>
        <v>MTN Explore 95</v>
      </c>
      <c r="AT348" s="203" t="str">
        <f t="shared" si="11"/>
        <v xml:space="preserve"> SalomonMTN Explore 95169 Unisex</v>
      </c>
    </row>
    <row r="349" spans="1:46" ht="105.6">
      <c r="A349" t="s">
        <v>155</v>
      </c>
      <c r="B349" t="s">
        <v>332</v>
      </c>
      <c r="C349" t="s">
        <v>528</v>
      </c>
      <c r="D349">
        <v>158</v>
      </c>
      <c r="E349" t="s">
        <v>163</v>
      </c>
      <c r="F349">
        <v>158</v>
      </c>
      <c r="G349">
        <v>157.19999999999999</v>
      </c>
      <c r="H349">
        <v>111</v>
      </c>
      <c r="I349">
        <v>128</v>
      </c>
      <c r="J349">
        <v>126</v>
      </c>
      <c r="K349">
        <v>93</v>
      </c>
      <c r="L349">
        <v>112</v>
      </c>
      <c r="M349">
        <v>14.3</v>
      </c>
      <c r="N349">
        <v>1755</v>
      </c>
      <c r="O349">
        <v>0.93</v>
      </c>
      <c r="P349">
        <v>1634</v>
      </c>
      <c r="Q349">
        <v>173</v>
      </c>
      <c r="R349">
        <v>97</v>
      </c>
      <c r="S349">
        <v>60</v>
      </c>
      <c r="T349">
        <v>270</v>
      </c>
      <c r="U349">
        <v>18</v>
      </c>
      <c r="V349">
        <v>193</v>
      </c>
      <c r="W349">
        <v>0.30299999999999999</v>
      </c>
      <c r="X349">
        <v>150</v>
      </c>
      <c r="Y349">
        <v>143</v>
      </c>
      <c r="Z349">
        <v>120</v>
      </c>
      <c r="AA349">
        <v>6</v>
      </c>
      <c r="AB349">
        <v>8.6999999999999993</v>
      </c>
      <c r="AC349" t="s">
        <v>188</v>
      </c>
      <c r="AG349" t="s">
        <v>2916</v>
      </c>
      <c r="AH349" t="s">
        <v>1289</v>
      </c>
      <c r="AI349" s="245">
        <v>209.95</v>
      </c>
      <c r="AJ349" t="s">
        <v>2917</v>
      </c>
      <c r="AK349" t="s">
        <v>2918</v>
      </c>
      <c r="AL349" t="s">
        <v>1497</v>
      </c>
      <c r="AM349" s="245">
        <v>559.99</v>
      </c>
      <c r="AN349" t="s">
        <v>2919</v>
      </c>
      <c r="AO349" t="s">
        <v>2920</v>
      </c>
      <c r="AP349" t="s">
        <v>1450</v>
      </c>
      <c r="AQ349" s="245">
        <v>559.99</v>
      </c>
      <c r="AR349" t="s">
        <v>2921</v>
      </c>
      <c r="AS349" s="226" t="str">
        <f t="shared" si="10"/>
        <v>Santa Ana 93</v>
      </c>
      <c r="AT349" s="203" t="str">
        <f t="shared" si="11"/>
        <v xml:space="preserve"> NordicaSanta Ana 93158 Women's</v>
      </c>
    </row>
    <row r="350" spans="1:46" ht="66">
      <c r="A350" t="s">
        <v>155</v>
      </c>
      <c r="B350" t="s">
        <v>174</v>
      </c>
      <c r="C350" t="s">
        <v>252</v>
      </c>
      <c r="D350">
        <v>177</v>
      </c>
      <c r="E350" t="s">
        <v>158</v>
      </c>
      <c r="F350">
        <v>177</v>
      </c>
      <c r="G350">
        <v>176.3</v>
      </c>
      <c r="H350">
        <v>143</v>
      </c>
      <c r="I350">
        <v>146</v>
      </c>
      <c r="J350">
        <v>130</v>
      </c>
      <c r="K350">
        <v>95</v>
      </c>
      <c r="L350">
        <v>116</v>
      </c>
      <c r="M350">
        <v>17.600000000000001</v>
      </c>
      <c r="N350">
        <v>1550</v>
      </c>
      <c r="O350">
        <v>1.21</v>
      </c>
      <c r="P350">
        <v>1874</v>
      </c>
      <c r="Q350">
        <v>186</v>
      </c>
      <c r="R350">
        <v>77</v>
      </c>
      <c r="S350">
        <v>52</v>
      </c>
      <c r="T350">
        <v>258</v>
      </c>
      <c r="U350">
        <v>6</v>
      </c>
      <c r="V350">
        <v>75</v>
      </c>
      <c r="W350">
        <v>0.107</v>
      </c>
      <c r="X350">
        <v>200</v>
      </c>
      <c r="Y350">
        <v>107</v>
      </c>
      <c r="Z350">
        <v>58</v>
      </c>
      <c r="AA350">
        <v>8</v>
      </c>
      <c r="AB350">
        <v>10.9</v>
      </c>
      <c r="AC350" t="s">
        <v>188</v>
      </c>
      <c r="AD350" t="s">
        <v>185</v>
      </c>
      <c r="AG350" t="s">
        <v>1475</v>
      </c>
      <c r="AH350" t="s">
        <v>1179</v>
      </c>
      <c r="AI350" s="245">
        <v>559.95000000000005</v>
      </c>
      <c r="AJ350" t="s">
        <v>2922</v>
      </c>
      <c r="AK350" t="s">
        <v>1475</v>
      </c>
      <c r="AL350" t="s">
        <v>1282</v>
      </c>
      <c r="AM350" s="245">
        <v>559.99</v>
      </c>
      <c r="AN350" t="s">
        <v>2923</v>
      </c>
      <c r="AO350" t="s">
        <v>1475</v>
      </c>
      <c r="AP350" t="s">
        <v>1226</v>
      </c>
      <c r="AQ350" s="245">
        <v>559.99</v>
      </c>
      <c r="AR350" t="s">
        <v>2924</v>
      </c>
      <c r="AS350" s="226" t="str">
        <f t="shared" si="10"/>
        <v>MTN Explore 95</v>
      </c>
      <c r="AT350" s="203" t="str">
        <f t="shared" si="11"/>
        <v xml:space="preserve"> SalomonMTN Explore 95177 Unisex</v>
      </c>
    </row>
    <row r="351" spans="1:46" ht="66">
      <c r="A351" t="s">
        <v>155</v>
      </c>
      <c r="B351" t="s">
        <v>174</v>
      </c>
      <c r="C351" t="s">
        <v>545</v>
      </c>
      <c r="D351">
        <v>168</v>
      </c>
      <c r="E351" t="s">
        <v>163</v>
      </c>
      <c r="F351">
        <v>168</v>
      </c>
      <c r="G351">
        <v>166.9</v>
      </c>
      <c r="H351">
        <v>126</v>
      </c>
      <c r="I351">
        <v>140</v>
      </c>
      <c r="J351">
        <v>122</v>
      </c>
      <c r="K351">
        <v>87</v>
      </c>
      <c r="L351">
        <v>103</v>
      </c>
      <c r="M351">
        <v>16.899999999999999</v>
      </c>
      <c r="N351">
        <v>1650</v>
      </c>
      <c r="O351">
        <v>1</v>
      </c>
      <c r="P351">
        <v>1649</v>
      </c>
      <c r="Q351">
        <v>155</v>
      </c>
      <c r="R351">
        <v>96</v>
      </c>
      <c r="S351">
        <v>52</v>
      </c>
      <c r="T351">
        <v>234</v>
      </c>
      <c r="U351">
        <v>9</v>
      </c>
      <c r="V351">
        <v>175</v>
      </c>
      <c r="W351">
        <v>0.17</v>
      </c>
      <c r="X351">
        <v>157</v>
      </c>
      <c r="Y351">
        <v>112</v>
      </c>
      <c r="Z351">
        <v>76</v>
      </c>
      <c r="AA351">
        <v>7</v>
      </c>
      <c r="AB351">
        <v>9.1999999999999993</v>
      </c>
      <c r="AC351" t="s">
        <v>188</v>
      </c>
      <c r="AG351" t="s">
        <v>2925</v>
      </c>
      <c r="AH351" t="s">
        <v>1204</v>
      </c>
      <c r="AI351" s="245">
        <v>561.20000000000005</v>
      </c>
      <c r="AJ351" t="s">
        <v>2926</v>
      </c>
      <c r="AK351" t="s">
        <v>2927</v>
      </c>
      <c r="AL351" t="s">
        <v>1320</v>
      </c>
      <c r="AM351" s="245">
        <v>599.99</v>
      </c>
      <c r="AN351" t="s">
        <v>2928</v>
      </c>
      <c r="AO351" t="s">
        <v>2929</v>
      </c>
      <c r="AP351" t="s">
        <v>1242</v>
      </c>
      <c r="AQ351" s="245">
        <v>419.99</v>
      </c>
      <c r="AR351" t="s">
        <v>2930</v>
      </c>
      <c r="AS351" s="226" t="str">
        <f t="shared" si="10"/>
        <v>Stance 88 W</v>
      </c>
      <c r="AT351" s="203" t="str">
        <f t="shared" si="11"/>
        <v xml:space="preserve"> SalomonStance 88 W168 Women's</v>
      </c>
    </row>
    <row r="352" spans="1:46" ht="145.19999999999999">
      <c r="A352" t="s">
        <v>155</v>
      </c>
      <c r="B352" t="s">
        <v>172</v>
      </c>
      <c r="C352" t="s">
        <v>547</v>
      </c>
      <c r="D352">
        <v>159</v>
      </c>
      <c r="E352" t="s">
        <v>163</v>
      </c>
      <c r="F352">
        <v>159</v>
      </c>
      <c r="G352">
        <v>158.19999999999999</v>
      </c>
      <c r="H352">
        <v>119</v>
      </c>
      <c r="I352">
        <v>144</v>
      </c>
      <c r="J352">
        <v>125</v>
      </c>
      <c r="K352">
        <v>80</v>
      </c>
      <c r="L352">
        <v>114</v>
      </c>
      <c r="M352">
        <v>12.7</v>
      </c>
      <c r="N352">
        <v>1746</v>
      </c>
      <c r="O352">
        <v>0.86</v>
      </c>
      <c r="P352">
        <v>1498</v>
      </c>
      <c r="Q352">
        <v>180</v>
      </c>
      <c r="R352">
        <v>94</v>
      </c>
      <c r="S352">
        <v>49</v>
      </c>
      <c r="T352">
        <v>261</v>
      </c>
      <c r="U352">
        <v>15</v>
      </c>
      <c r="V352">
        <v>135</v>
      </c>
      <c r="W352">
        <v>0.30399999999999999</v>
      </c>
      <c r="X352">
        <v>80</v>
      </c>
      <c r="Y352">
        <v>62</v>
      </c>
      <c r="Z352">
        <v>181</v>
      </c>
      <c r="AA352">
        <v>8</v>
      </c>
      <c r="AB352">
        <v>6.9</v>
      </c>
      <c r="AC352" t="s">
        <v>160</v>
      </c>
      <c r="AG352" t="s">
        <v>2931</v>
      </c>
      <c r="AH352" t="s">
        <v>1421</v>
      </c>
      <c r="AI352" s="245">
        <v>559.96</v>
      </c>
      <c r="AJ352" t="s">
        <v>2932</v>
      </c>
      <c r="AK352" t="s">
        <v>2933</v>
      </c>
      <c r="AL352" t="s">
        <v>1271</v>
      </c>
      <c r="AM352" s="245">
        <v>649.99</v>
      </c>
      <c r="AN352" t="s">
        <v>2934</v>
      </c>
      <c r="AO352" t="s">
        <v>2935</v>
      </c>
      <c r="AP352" t="s">
        <v>2425</v>
      </c>
      <c r="AQ352" s="245">
        <v>899.95</v>
      </c>
      <c r="AR352" t="s">
        <v>2936</v>
      </c>
      <c r="AS352" s="226" t="str">
        <f t="shared" si="10"/>
        <v>Experience 82 Ti W</v>
      </c>
      <c r="AT352" s="203" t="str">
        <f t="shared" si="11"/>
        <v xml:space="preserve"> RossignolExperience 82 Ti W159 Women's</v>
      </c>
    </row>
    <row r="353" spans="1:46" ht="92.4">
      <c r="A353" t="s">
        <v>155</v>
      </c>
      <c r="B353" t="s">
        <v>329</v>
      </c>
      <c r="C353" t="s">
        <v>548</v>
      </c>
      <c r="D353">
        <v>172</v>
      </c>
      <c r="E353" t="s">
        <v>158</v>
      </c>
      <c r="F353">
        <v>172</v>
      </c>
      <c r="G353">
        <v>170.2</v>
      </c>
      <c r="H353">
        <v>127</v>
      </c>
      <c r="I353">
        <v>146</v>
      </c>
      <c r="J353">
        <v>126</v>
      </c>
      <c r="K353">
        <v>94</v>
      </c>
      <c r="L353">
        <v>113</v>
      </c>
      <c r="M353">
        <v>20</v>
      </c>
      <c r="N353">
        <v>1202</v>
      </c>
      <c r="O353">
        <v>1.45</v>
      </c>
      <c r="P353">
        <v>1748</v>
      </c>
      <c r="Q353">
        <v>235</v>
      </c>
      <c r="R353">
        <v>95</v>
      </c>
      <c r="S353">
        <v>48</v>
      </c>
      <c r="T353">
        <v>268</v>
      </c>
      <c r="U353">
        <v>11</v>
      </c>
      <c r="V353">
        <v>159</v>
      </c>
      <c r="W353">
        <v>0.23399999999999899</v>
      </c>
      <c r="X353">
        <v>137</v>
      </c>
      <c r="Y353">
        <v>100</v>
      </c>
      <c r="Z353">
        <v>131</v>
      </c>
      <c r="AA353">
        <v>4</v>
      </c>
      <c r="AB353">
        <v>12.6</v>
      </c>
      <c r="AC353" t="s">
        <v>185</v>
      </c>
      <c r="AD353" t="s">
        <v>198</v>
      </c>
      <c r="AG353" t="s">
        <v>2937</v>
      </c>
      <c r="AH353" t="s">
        <v>1244</v>
      </c>
      <c r="AI353" s="245">
        <v>1199.95</v>
      </c>
      <c r="AJ353" t="s">
        <v>2938</v>
      </c>
      <c r="AK353" t="s">
        <v>2937</v>
      </c>
      <c r="AL353" t="s">
        <v>1280</v>
      </c>
      <c r="AM353" s="245">
        <v>1199.95</v>
      </c>
      <c r="AN353" t="s">
        <v>2939</v>
      </c>
      <c r="AO353" t="s">
        <v>2940</v>
      </c>
      <c r="AP353" t="s">
        <v>1468</v>
      </c>
      <c r="AQ353" s="245">
        <v>649.95000000000005</v>
      </c>
      <c r="AR353" t="s">
        <v>2941</v>
      </c>
      <c r="AS353" s="226" t="str">
        <f t="shared" si="10"/>
        <v>Blacklight 95</v>
      </c>
      <c r="AT353" s="203" t="str">
        <f t="shared" si="11"/>
        <v xml:space="preserve"> DynafitBlacklight 95172 Unisex</v>
      </c>
    </row>
    <row r="354" spans="1:46" ht="92.4">
      <c r="A354" t="s">
        <v>217</v>
      </c>
      <c r="B354" t="s">
        <v>218</v>
      </c>
      <c r="C354" t="s">
        <v>550</v>
      </c>
      <c r="D354">
        <v>178</v>
      </c>
      <c r="E354" t="s">
        <v>158</v>
      </c>
      <c r="F354">
        <v>178</v>
      </c>
      <c r="G354">
        <v>177.6</v>
      </c>
      <c r="H354">
        <v>118</v>
      </c>
      <c r="I354">
        <v>135</v>
      </c>
      <c r="J354">
        <v>125</v>
      </c>
      <c r="K354">
        <v>90</v>
      </c>
      <c r="L354">
        <v>109</v>
      </c>
      <c r="M354">
        <v>15</v>
      </c>
      <c r="N354">
        <v>1319</v>
      </c>
      <c r="O354">
        <v>1.38</v>
      </c>
      <c r="P354">
        <v>1819</v>
      </c>
      <c r="Q354">
        <v>201</v>
      </c>
      <c r="R354">
        <v>92</v>
      </c>
      <c r="S354">
        <v>60</v>
      </c>
      <c r="T354">
        <v>342</v>
      </c>
      <c r="U354">
        <v>13</v>
      </c>
      <c r="V354">
        <v>254</v>
      </c>
      <c r="W354">
        <v>0.215</v>
      </c>
      <c r="X354">
        <v>197</v>
      </c>
      <c r="Y354">
        <v>230</v>
      </c>
      <c r="Z354">
        <v>144</v>
      </c>
      <c r="AA354">
        <v>8</v>
      </c>
      <c r="AB354">
        <v>13</v>
      </c>
      <c r="AC354" t="s">
        <v>185</v>
      </c>
      <c r="AD354" t="s">
        <v>198</v>
      </c>
      <c r="AG354" t="s">
        <v>2942</v>
      </c>
      <c r="AH354" t="s">
        <v>1468</v>
      </c>
      <c r="AI354" s="245">
        <v>1029</v>
      </c>
      <c r="AJ354" t="s">
        <v>2943</v>
      </c>
      <c r="AK354" t="s">
        <v>1542</v>
      </c>
      <c r="AL354" t="s">
        <v>1471</v>
      </c>
      <c r="AM354" s="245">
        <v>1039</v>
      </c>
      <c r="AN354" t="s">
        <v>2944</v>
      </c>
      <c r="AO354" t="s">
        <v>2945</v>
      </c>
      <c r="AP354" t="s">
        <v>1226</v>
      </c>
      <c r="AQ354" s="245">
        <v>1039.2</v>
      </c>
      <c r="AR354" t="s">
        <v>2946</v>
      </c>
      <c r="AS354" s="226" t="str">
        <f t="shared" si="10"/>
        <v>Pagoda Tour 90</v>
      </c>
      <c r="AT354" s="203" t="str">
        <f t="shared" si="11"/>
        <v xml:space="preserve"> DPSPagoda Tour 90178 Unisex</v>
      </c>
    </row>
    <row r="355" spans="1:46" ht="52.8">
      <c r="A355" t="s">
        <v>155</v>
      </c>
      <c r="B355" t="s">
        <v>237</v>
      </c>
      <c r="C355" t="s">
        <v>507</v>
      </c>
      <c r="D355">
        <v>186.5</v>
      </c>
      <c r="E355" t="s">
        <v>158</v>
      </c>
      <c r="F355">
        <v>186.5</v>
      </c>
      <c r="G355">
        <v>185.4</v>
      </c>
      <c r="H355">
        <v>148</v>
      </c>
      <c r="I355">
        <v>159</v>
      </c>
      <c r="J355">
        <v>131</v>
      </c>
      <c r="K355">
        <v>96</v>
      </c>
      <c r="L355">
        <v>119</v>
      </c>
      <c r="M355">
        <v>20.3</v>
      </c>
      <c r="N355">
        <v>1958</v>
      </c>
      <c r="O355">
        <v>1.02</v>
      </c>
      <c r="P355">
        <v>1990</v>
      </c>
      <c r="Q355">
        <v>198</v>
      </c>
      <c r="R355">
        <v>96</v>
      </c>
      <c r="S355">
        <v>43</v>
      </c>
      <c r="T355">
        <v>219</v>
      </c>
      <c r="U355">
        <v>30</v>
      </c>
      <c r="V355">
        <v>155</v>
      </c>
      <c r="W355">
        <v>0.70899999999999996</v>
      </c>
      <c r="X355">
        <v>139</v>
      </c>
      <c r="Y355">
        <v>127</v>
      </c>
      <c r="Z355">
        <v>80</v>
      </c>
      <c r="AA355">
        <v>17</v>
      </c>
      <c r="AB355">
        <v>6</v>
      </c>
      <c r="AC355" t="s">
        <v>188</v>
      </c>
      <c r="AG355" t="s">
        <v>2947</v>
      </c>
      <c r="AH355" t="s">
        <v>2425</v>
      </c>
      <c r="AI355" s="245">
        <v>569.95000000000005</v>
      </c>
      <c r="AJ355" t="s">
        <v>2948</v>
      </c>
      <c r="AK355" t="s">
        <v>2947</v>
      </c>
      <c r="AL355" t="s">
        <v>1226</v>
      </c>
      <c r="AM355" s="245">
        <v>575</v>
      </c>
      <c r="AN355" t="s">
        <v>2949</v>
      </c>
      <c r="AO355" t="s">
        <v>2947</v>
      </c>
      <c r="AP355" t="s">
        <v>1224</v>
      </c>
      <c r="AQ355" s="245">
        <v>575.96</v>
      </c>
      <c r="AR355" t="s">
        <v>2950</v>
      </c>
      <c r="AS355" s="226" t="str">
        <f t="shared" si="10"/>
        <v>Camox</v>
      </c>
      <c r="AT355" s="203" t="str">
        <f t="shared" si="11"/>
        <v xml:space="preserve"> Black CrowsCamox186.5 Unisex</v>
      </c>
    </row>
    <row r="356" spans="1:46" ht="52.8">
      <c r="A356" t="s">
        <v>155</v>
      </c>
      <c r="B356" t="s">
        <v>317</v>
      </c>
      <c r="C356" t="s">
        <v>551</v>
      </c>
      <c r="D356">
        <v>180</v>
      </c>
      <c r="E356" t="s">
        <v>158</v>
      </c>
      <c r="F356">
        <v>180</v>
      </c>
      <c r="G356">
        <v>178.3</v>
      </c>
      <c r="H356">
        <v>109</v>
      </c>
      <c r="I356">
        <v>150</v>
      </c>
      <c r="J356">
        <v>132</v>
      </c>
      <c r="K356">
        <v>101</v>
      </c>
      <c r="L356">
        <v>122</v>
      </c>
      <c r="M356">
        <v>18.600000000000001</v>
      </c>
      <c r="N356">
        <v>2008</v>
      </c>
      <c r="O356">
        <v>0.99</v>
      </c>
      <c r="P356">
        <v>1996</v>
      </c>
      <c r="Q356">
        <v>209</v>
      </c>
      <c r="R356">
        <v>99</v>
      </c>
      <c r="S356">
        <v>63</v>
      </c>
      <c r="T356">
        <v>386</v>
      </c>
      <c r="U356">
        <v>36</v>
      </c>
      <c r="V356">
        <v>312</v>
      </c>
      <c r="W356">
        <v>0.56599999999999995</v>
      </c>
      <c r="X356">
        <v>145</v>
      </c>
      <c r="Y356">
        <v>142</v>
      </c>
      <c r="Z356">
        <v>241</v>
      </c>
      <c r="AA356">
        <v>4</v>
      </c>
      <c r="AB356">
        <v>7.6</v>
      </c>
      <c r="AC356" t="s">
        <v>188</v>
      </c>
      <c r="AD356" t="s">
        <v>169</v>
      </c>
      <c r="AG356" t="s">
        <v>2951</v>
      </c>
      <c r="AH356" t="s">
        <v>1337</v>
      </c>
      <c r="AI356" s="245">
        <v>230</v>
      </c>
      <c r="AJ356" t="s">
        <v>2952</v>
      </c>
      <c r="AK356" t="s">
        <v>2953</v>
      </c>
      <c r="AL356" t="s">
        <v>1976</v>
      </c>
      <c r="AM356" s="245">
        <v>559.95000000000005</v>
      </c>
      <c r="AN356" t="s">
        <v>2954</v>
      </c>
      <c r="AO356" t="s">
        <v>2953</v>
      </c>
      <c r="AP356" t="s">
        <v>1400</v>
      </c>
      <c r="AQ356" s="245">
        <v>559.95000000000005</v>
      </c>
      <c r="AR356" t="s">
        <v>2955</v>
      </c>
      <c r="AS356" s="226" t="str">
        <f t="shared" si="10"/>
        <v>Rustler 10</v>
      </c>
      <c r="AT356" s="203" t="str">
        <f t="shared" si="11"/>
        <v xml:space="preserve"> BlizzardRustler 10180 Unisex</v>
      </c>
    </row>
    <row r="357" spans="1:46" ht="92.4">
      <c r="A357" t="s">
        <v>155</v>
      </c>
      <c r="B357" t="s">
        <v>205</v>
      </c>
      <c r="C357" t="s">
        <v>553</v>
      </c>
      <c r="D357">
        <v>179</v>
      </c>
      <c r="E357" t="s">
        <v>158</v>
      </c>
      <c r="F357">
        <v>179</v>
      </c>
      <c r="G357">
        <v>177.4</v>
      </c>
      <c r="H357">
        <v>111</v>
      </c>
      <c r="I357">
        <v>143</v>
      </c>
      <c r="J357">
        <v>140</v>
      </c>
      <c r="K357">
        <v>115</v>
      </c>
      <c r="L357">
        <v>131</v>
      </c>
      <c r="M357">
        <v>21.9</v>
      </c>
      <c r="N357">
        <v>1717</v>
      </c>
      <c r="O357">
        <v>1.28</v>
      </c>
      <c r="P357">
        <v>2191</v>
      </c>
      <c r="Q357">
        <v>207</v>
      </c>
      <c r="R357">
        <v>89</v>
      </c>
      <c r="S357">
        <v>64</v>
      </c>
      <c r="T357">
        <v>368</v>
      </c>
      <c r="U357">
        <v>20</v>
      </c>
      <c r="V357">
        <v>292</v>
      </c>
      <c r="W357">
        <v>0.315</v>
      </c>
      <c r="X357">
        <v>212</v>
      </c>
      <c r="Y357">
        <v>135</v>
      </c>
      <c r="Z357">
        <v>156</v>
      </c>
      <c r="AA357">
        <v>3</v>
      </c>
      <c r="AB357">
        <v>12.2</v>
      </c>
      <c r="AC357" t="s">
        <v>178</v>
      </c>
      <c r="AD357" t="s">
        <v>185</v>
      </c>
      <c r="AE357" t="s">
        <v>198</v>
      </c>
      <c r="AG357" t="s">
        <v>2956</v>
      </c>
      <c r="AH357" t="s">
        <v>1271</v>
      </c>
      <c r="AI357" s="245">
        <v>679</v>
      </c>
      <c r="AJ357" t="s">
        <v>2957</v>
      </c>
      <c r="AK357" t="s">
        <v>2958</v>
      </c>
      <c r="AL357" t="s">
        <v>1804</v>
      </c>
      <c r="AM357" s="245">
        <v>360</v>
      </c>
      <c r="AN357" t="s">
        <v>2959</v>
      </c>
      <c r="AO357" t="s">
        <v>1351</v>
      </c>
      <c r="AP357" t="s">
        <v>1265</v>
      </c>
      <c r="AQ357" s="245">
        <v>544.36</v>
      </c>
      <c r="AR357" t="s">
        <v>2960</v>
      </c>
      <c r="AS357" s="226" t="str">
        <f t="shared" si="10"/>
        <v>Agent 4.0</v>
      </c>
      <c r="AT357" s="203" t="str">
        <f t="shared" si="11"/>
        <v xml:space="preserve"> FactionAgent 4.0179 Unisex</v>
      </c>
    </row>
    <row r="358" spans="1:46" ht="79.2">
      <c r="A358" t="s">
        <v>155</v>
      </c>
      <c r="B358" t="s">
        <v>317</v>
      </c>
      <c r="C358" t="s">
        <v>502</v>
      </c>
      <c r="D358">
        <v>171</v>
      </c>
      <c r="E358" t="s">
        <v>163</v>
      </c>
      <c r="F358">
        <v>171</v>
      </c>
      <c r="G358">
        <v>172.4</v>
      </c>
      <c r="H358">
        <v>137</v>
      </c>
      <c r="I358">
        <v>147</v>
      </c>
      <c r="J358">
        <v>127</v>
      </c>
      <c r="K358">
        <v>86</v>
      </c>
      <c r="L358">
        <v>109</v>
      </c>
      <c r="M358">
        <v>16</v>
      </c>
      <c r="N358">
        <v>1893</v>
      </c>
      <c r="O358">
        <v>0.89</v>
      </c>
      <c r="P358">
        <v>1689</v>
      </c>
      <c r="Q358">
        <v>224</v>
      </c>
      <c r="R358">
        <v>103</v>
      </c>
      <c r="S358">
        <v>58</v>
      </c>
      <c r="T358">
        <v>217</v>
      </c>
      <c r="U358">
        <v>12</v>
      </c>
      <c r="V358">
        <v>140</v>
      </c>
      <c r="W358">
        <v>0.215</v>
      </c>
      <c r="X358">
        <v>118</v>
      </c>
      <c r="Y358">
        <v>134</v>
      </c>
      <c r="Z358">
        <v>99</v>
      </c>
      <c r="AA358">
        <v>6</v>
      </c>
      <c r="AB358">
        <v>9.6999999999999993</v>
      </c>
      <c r="AC358" t="s">
        <v>188</v>
      </c>
      <c r="AG358" t="s">
        <v>2652</v>
      </c>
      <c r="AH358" t="s">
        <v>1194</v>
      </c>
      <c r="AI358" s="245">
        <v>354.97</v>
      </c>
      <c r="AJ358" t="s">
        <v>2961</v>
      </c>
      <c r="AK358" t="s">
        <v>2962</v>
      </c>
      <c r="AL358" t="s">
        <v>1706</v>
      </c>
      <c r="AM358" s="245">
        <v>519.95000000000005</v>
      </c>
      <c r="AN358" t="s">
        <v>2963</v>
      </c>
      <c r="AO358" t="s">
        <v>2964</v>
      </c>
      <c r="AP358" t="s">
        <v>1240</v>
      </c>
      <c r="AQ358" s="245">
        <v>649</v>
      </c>
      <c r="AR358" t="s">
        <v>2965</v>
      </c>
      <c r="AS358" s="226" t="str">
        <f t="shared" si="10"/>
        <v>Black Pearl 88</v>
      </c>
      <c r="AT358" s="203" t="str">
        <f t="shared" si="11"/>
        <v xml:space="preserve"> BlizzardBlack Pearl 88171 Women's</v>
      </c>
    </row>
    <row r="359" spans="1:46" ht="105.6">
      <c r="A359" t="s">
        <v>155</v>
      </c>
      <c r="B359" t="s">
        <v>295</v>
      </c>
      <c r="C359" t="s">
        <v>475</v>
      </c>
      <c r="D359">
        <v>171</v>
      </c>
      <c r="E359" t="s">
        <v>158</v>
      </c>
      <c r="F359">
        <v>171</v>
      </c>
      <c r="G359">
        <v>169</v>
      </c>
      <c r="H359">
        <v>103</v>
      </c>
      <c r="I359">
        <v>142</v>
      </c>
      <c r="J359">
        <v>146</v>
      </c>
      <c r="K359">
        <v>111</v>
      </c>
      <c r="L359">
        <v>136</v>
      </c>
      <c r="M359">
        <v>16.2</v>
      </c>
      <c r="N359">
        <v>1949</v>
      </c>
      <c r="O359">
        <v>1.06</v>
      </c>
      <c r="P359">
        <v>2060</v>
      </c>
      <c r="Q359">
        <v>213</v>
      </c>
      <c r="R359">
        <v>101</v>
      </c>
      <c r="S359">
        <v>57</v>
      </c>
      <c r="T359">
        <v>353</v>
      </c>
      <c r="U359">
        <v>55</v>
      </c>
      <c r="V359">
        <v>305</v>
      </c>
      <c r="W359">
        <v>0.96399999999999997</v>
      </c>
      <c r="X359">
        <v>134</v>
      </c>
      <c r="Y359">
        <v>141</v>
      </c>
      <c r="Z359">
        <v>220</v>
      </c>
      <c r="AA359">
        <v>3</v>
      </c>
      <c r="AB359">
        <v>8.1999999999999993</v>
      </c>
      <c r="AC359" t="s">
        <v>184</v>
      </c>
      <c r="AD359" t="s">
        <v>169</v>
      </c>
      <c r="AE359" t="s">
        <v>185</v>
      </c>
      <c r="AG359" t="s">
        <v>2966</v>
      </c>
      <c r="AH359" t="s">
        <v>2967</v>
      </c>
      <c r="AI359" s="245">
        <v>450</v>
      </c>
      <c r="AJ359" t="s">
        <v>2968</v>
      </c>
      <c r="AK359" t="s">
        <v>2969</v>
      </c>
      <c r="AL359" t="s">
        <v>1627</v>
      </c>
      <c r="AM359" s="245">
        <v>585</v>
      </c>
      <c r="AN359" t="s">
        <v>2970</v>
      </c>
      <c r="AO359" t="s">
        <v>2662</v>
      </c>
      <c r="AP359" t="s">
        <v>1280</v>
      </c>
      <c r="AQ359" s="245">
        <v>598.92999999999995</v>
      </c>
      <c r="AR359" t="s">
        <v>2971</v>
      </c>
      <c r="AS359" s="226" t="str">
        <f t="shared" si="10"/>
        <v>Nomad 105</v>
      </c>
      <c r="AT359" s="203" t="str">
        <f t="shared" si="11"/>
        <v xml:space="preserve"> IcelanticNomad 105171 Unisex</v>
      </c>
    </row>
    <row r="360" spans="1:46" ht="79.2">
      <c r="A360" t="s">
        <v>155</v>
      </c>
      <c r="B360" t="s">
        <v>237</v>
      </c>
      <c r="C360" t="s">
        <v>555</v>
      </c>
      <c r="D360">
        <v>177.4</v>
      </c>
      <c r="E360" t="s">
        <v>158</v>
      </c>
      <c r="F360">
        <v>177.4</v>
      </c>
      <c r="G360">
        <v>176.1</v>
      </c>
      <c r="H360">
        <v>104</v>
      </c>
      <c r="I360">
        <v>157</v>
      </c>
      <c r="J360">
        <v>137</v>
      </c>
      <c r="K360">
        <v>98</v>
      </c>
      <c r="L360">
        <v>122</v>
      </c>
      <c r="M360">
        <v>19.399999999999999</v>
      </c>
      <c r="N360">
        <v>1952</v>
      </c>
      <c r="O360">
        <v>0.99</v>
      </c>
      <c r="P360">
        <v>1934</v>
      </c>
      <c r="Q360">
        <v>262</v>
      </c>
      <c r="R360">
        <v>114</v>
      </c>
      <c r="S360">
        <v>53</v>
      </c>
      <c r="T360">
        <v>426</v>
      </c>
      <c r="U360">
        <v>30</v>
      </c>
      <c r="V360">
        <v>295</v>
      </c>
      <c r="W360">
        <v>0.57299999999999995</v>
      </c>
      <c r="X360">
        <v>112</v>
      </c>
      <c r="Y360">
        <v>84</v>
      </c>
      <c r="Z360">
        <v>314</v>
      </c>
      <c r="AA360">
        <v>2</v>
      </c>
      <c r="AB360">
        <v>8.5</v>
      </c>
      <c r="AC360" t="s">
        <v>188</v>
      </c>
      <c r="AG360" t="s">
        <v>2972</v>
      </c>
      <c r="AH360" t="s">
        <v>1191</v>
      </c>
      <c r="AI360" s="245">
        <v>609.95000000000005</v>
      </c>
      <c r="AJ360" t="s">
        <v>2973</v>
      </c>
      <c r="AK360" t="s">
        <v>2974</v>
      </c>
      <c r="AL360" t="s">
        <v>2967</v>
      </c>
      <c r="AM360" s="245">
        <v>680</v>
      </c>
      <c r="AN360" t="s">
        <v>2975</v>
      </c>
      <c r="AO360" t="s">
        <v>2972</v>
      </c>
      <c r="AP360" t="s">
        <v>1224</v>
      </c>
      <c r="AQ360" s="245">
        <v>767.92</v>
      </c>
      <c r="AR360" t="s">
        <v>2976</v>
      </c>
      <c r="AS360" s="226" t="str">
        <f t="shared" si="10"/>
        <v>Justis</v>
      </c>
      <c r="AT360" s="203" t="str">
        <f t="shared" si="11"/>
        <v xml:space="preserve"> Black CrowsJustis177.4 Unisex</v>
      </c>
    </row>
    <row r="361" spans="1:46" ht="52.8">
      <c r="A361" t="s">
        <v>155</v>
      </c>
      <c r="B361" t="s">
        <v>1395</v>
      </c>
      <c r="C361" t="s">
        <v>300</v>
      </c>
      <c r="D361">
        <v>172</v>
      </c>
      <c r="E361" t="s">
        <v>158</v>
      </c>
      <c r="F361">
        <v>172</v>
      </c>
      <c r="G361">
        <v>171.7</v>
      </c>
      <c r="H361">
        <v>74</v>
      </c>
      <c r="I361">
        <v>147</v>
      </c>
      <c r="J361">
        <v>133</v>
      </c>
      <c r="K361">
        <v>93</v>
      </c>
      <c r="L361">
        <v>115</v>
      </c>
      <c r="M361">
        <v>16.399999999999999</v>
      </c>
      <c r="N361">
        <v>1513</v>
      </c>
      <c r="O361">
        <v>1.2</v>
      </c>
      <c r="P361">
        <v>1820</v>
      </c>
      <c r="Q361">
        <v>157</v>
      </c>
      <c r="R361">
        <v>90</v>
      </c>
      <c r="S361">
        <v>48</v>
      </c>
      <c r="T361">
        <v>536</v>
      </c>
      <c r="U361">
        <v>22</v>
      </c>
      <c r="V361">
        <v>436</v>
      </c>
      <c r="W361">
        <v>0.45</v>
      </c>
      <c r="X361">
        <v>138</v>
      </c>
      <c r="Y361">
        <v>105</v>
      </c>
      <c r="Z361">
        <v>397</v>
      </c>
      <c r="AA361">
        <v>1</v>
      </c>
      <c r="AB361">
        <v>12.2</v>
      </c>
      <c r="AC361" t="s">
        <v>188</v>
      </c>
      <c r="AD361" t="s">
        <v>185</v>
      </c>
      <c r="AG361" t="s">
        <v>2977</v>
      </c>
      <c r="AH361" t="s">
        <v>1349</v>
      </c>
      <c r="AI361" s="245">
        <v>421.65</v>
      </c>
      <c r="AJ361" t="s">
        <v>2978</v>
      </c>
      <c r="AK361" t="s">
        <v>2977</v>
      </c>
      <c r="AL361" t="s">
        <v>1256</v>
      </c>
      <c r="AM361" s="245">
        <v>428.45</v>
      </c>
      <c r="AN361" t="s">
        <v>2979</v>
      </c>
      <c r="AO361" t="s">
        <v>2977</v>
      </c>
      <c r="AP361" t="s">
        <v>1179</v>
      </c>
      <c r="AQ361" s="245">
        <v>439.95</v>
      </c>
      <c r="AR361" t="s">
        <v>2980</v>
      </c>
      <c r="AS361" s="226" t="str">
        <f t="shared" si="10"/>
        <v>Blaze 94</v>
      </c>
      <c r="AT361" s="203" t="str">
        <f t="shared" si="11"/>
        <v xml:space="preserve"> Vï¿½lklBlaze 94172 Unisex</v>
      </c>
    </row>
    <row r="362" spans="1:46" ht="52.8">
      <c r="A362" t="s">
        <v>155</v>
      </c>
      <c r="B362" t="s">
        <v>182</v>
      </c>
      <c r="C362" t="s">
        <v>557</v>
      </c>
      <c r="D362">
        <v>172</v>
      </c>
      <c r="E362" t="s">
        <v>158</v>
      </c>
      <c r="F362">
        <v>172</v>
      </c>
      <c r="G362">
        <v>171.7</v>
      </c>
      <c r="H362">
        <v>126</v>
      </c>
      <c r="I362">
        <v>142</v>
      </c>
      <c r="J362">
        <v>133</v>
      </c>
      <c r="K362">
        <v>101</v>
      </c>
      <c r="L362">
        <v>123</v>
      </c>
      <c r="M362">
        <v>17.8</v>
      </c>
      <c r="N362">
        <v>1896</v>
      </c>
      <c r="O362">
        <v>1.01</v>
      </c>
      <c r="P362">
        <v>1914</v>
      </c>
      <c r="Q362">
        <v>209</v>
      </c>
      <c r="R362">
        <v>123</v>
      </c>
      <c r="S362">
        <v>54</v>
      </c>
      <c r="T362">
        <v>291</v>
      </c>
      <c r="U362">
        <v>18</v>
      </c>
      <c r="V362">
        <v>164</v>
      </c>
      <c r="W362">
        <v>0.33200000000000002</v>
      </c>
      <c r="X362">
        <v>173</v>
      </c>
      <c r="Y362">
        <v>120</v>
      </c>
      <c r="Z362">
        <v>118</v>
      </c>
      <c r="AA362">
        <v>7</v>
      </c>
      <c r="AB362">
        <v>7.7</v>
      </c>
      <c r="AC362" t="s">
        <v>188</v>
      </c>
      <c r="AD362" t="s">
        <v>178</v>
      </c>
      <c r="AG362" t="s">
        <v>2981</v>
      </c>
      <c r="AH362" t="s">
        <v>1194</v>
      </c>
      <c r="AI362" s="245">
        <v>450.88</v>
      </c>
      <c r="AJ362" t="s">
        <v>2982</v>
      </c>
      <c r="AK362" t="s">
        <v>2981</v>
      </c>
      <c r="AL362" t="s">
        <v>1191</v>
      </c>
      <c r="AM362" s="245">
        <v>514.95000000000005</v>
      </c>
      <c r="AN362" t="s">
        <v>2983</v>
      </c>
      <c r="AO362" t="s">
        <v>2981</v>
      </c>
      <c r="AP362" t="s">
        <v>1224</v>
      </c>
      <c r="AQ362" s="245">
        <v>599.96</v>
      </c>
      <c r="AR362" t="s">
        <v>2984</v>
      </c>
      <c r="AS362" s="226" t="str">
        <f t="shared" si="10"/>
        <v>Declivity 102 Ti</v>
      </c>
      <c r="AT362" s="203" t="str">
        <f t="shared" si="11"/>
        <v xml:space="preserve"> ArmadaDeclivity 102 Ti172 Unisex</v>
      </c>
    </row>
    <row r="363" spans="1:46" ht="171.6">
      <c r="A363" t="s">
        <v>155</v>
      </c>
      <c r="B363" t="s">
        <v>237</v>
      </c>
      <c r="C363" t="s">
        <v>486</v>
      </c>
      <c r="D363">
        <v>170.1</v>
      </c>
      <c r="E363" t="s">
        <v>158</v>
      </c>
      <c r="F363">
        <v>170.1</v>
      </c>
      <c r="G363">
        <v>168.7</v>
      </c>
      <c r="H363">
        <v>122</v>
      </c>
      <c r="I363">
        <v>136</v>
      </c>
      <c r="J363">
        <v>135</v>
      </c>
      <c r="K363">
        <v>108</v>
      </c>
      <c r="L363">
        <v>124</v>
      </c>
      <c r="M363">
        <v>20.9</v>
      </c>
      <c r="N363">
        <v>1727</v>
      </c>
      <c r="O363">
        <v>1.1399999999999999</v>
      </c>
      <c r="P363">
        <v>1960</v>
      </c>
      <c r="Q363">
        <v>180</v>
      </c>
      <c r="R363">
        <v>73</v>
      </c>
      <c r="S363">
        <v>39</v>
      </c>
      <c r="T363">
        <v>200</v>
      </c>
      <c r="U363">
        <v>36</v>
      </c>
      <c r="V363">
        <v>271</v>
      </c>
      <c r="W363">
        <v>0.90799999999999903</v>
      </c>
      <c r="X363">
        <v>190</v>
      </c>
      <c r="Y363">
        <v>141</v>
      </c>
      <c r="Z363">
        <v>10</v>
      </c>
      <c r="AA363">
        <v>3</v>
      </c>
      <c r="AB363">
        <v>8.5</v>
      </c>
      <c r="AC363" t="s">
        <v>184</v>
      </c>
      <c r="AD363" t="s">
        <v>169</v>
      </c>
      <c r="AE363" t="s">
        <v>185</v>
      </c>
      <c r="AG363" t="s">
        <v>2985</v>
      </c>
      <c r="AH363" t="s">
        <v>1181</v>
      </c>
      <c r="AI363" s="245">
        <v>1210.92</v>
      </c>
      <c r="AJ363" t="s">
        <v>2986</v>
      </c>
      <c r="AK363" t="s">
        <v>2987</v>
      </c>
      <c r="AL363" t="s">
        <v>1468</v>
      </c>
      <c r="AM363" s="245">
        <v>799.95</v>
      </c>
      <c r="AN363" t="s">
        <v>2988</v>
      </c>
      <c r="AO363" t="s">
        <v>2989</v>
      </c>
      <c r="AP363" t="s">
        <v>1271</v>
      </c>
      <c r="AQ363" s="245">
        <v>815.96</v>
      </c>
      <c r="AR363" t="s">
        <v>2990</v>
      </c>
      <c r="AS363" s="226" t="str">
        <f t="shared" si="10"/>
        <v>Ferox Freebird</v>
      </c>
      <c r="AT363" s="203" t="str">
        <f t="shared" si="11"/>
        <v xml:space="preserve"> Black CrowsFerox Freebird170.1 Unisex</v>
      </c>
    </row>
    <row r="364" spans="1:46" ht="66">
      <c r="A364" t="s">
        <v>155</v>
      </c>
      <c r="B364" t="s">
        <v>317</v>
      </c>
      <c r="C364" t="s">
        <v>559</v>
      </c>
      <c r="D364">
        <v>172</v>
      </c>
      <c r="E364" t="s">
        <v>158</v>
      </c>
      <c r="F364">
        <v>172</v>
      </c>
      <c r="G364">
        <v>170.8</v>
      </c>
      <c r="H364">
        <v>103</v>
      </c>
      <c r="I364">
        <v>140</v>
      </c>
      <c r="J364">
        <v>138</v>
      </c>
      <c r="K364">
        <v>111</v>
      </c>
      <c r="L364">
        <v>127</v>
      </c>
      <c r="M364">
        <v>19.5</v>
      </c>
      <c r="N364">
        <v>1985</v>
      </c>
      <c r="O364">
        <v>1.03</v>
      </c>
      <c r="P364">
        <v>2043</v>
      </c>
      <c r="Q364">
        <v>194</v>
      </c>
      <c r="R364">
        <v>100</v>
      </c>
      <c r="S364">
        <v>63</v>
      </c>
      <c r="T364">
        <v>391</v>
      </c>
      <c r="U364">
        <v>24</v>
      </c>
      <c r="V364">
        <v>284</v>
      </c>
      <c r="W364">
        <v>0.38200000000000001</v>
      </c>
      <c r="X364">
        <v>161</v>
      </c>
      <c r="Y364">
        <v>144</v>
      </c>
      <c r="Z364">
        <v>230</v>
      </c>
      <c r="AA364">
        <v>4</v>
      </c>
      <c r="AB364">
        <v>7.2</v>
      </c>
      <c r="AC364" t="s">
        <v>169</v>
      </c>
      <c r="AD364" t="s">
        <v>178</v>
      </c>
      <c r="AG364" t="s">
        <v>2991</v>
      </c>
      <c r="AH364" t="s">
        <v>1248</v>
      </c>
      <c r="AI364" s="245">
        <v>599.96</v>
      </c>
      <c r="AJ364" t="s">
        <v>2992</v>
      </c>
      <c r="AK364" t="s">
        <v>2991</v>
      </c>
      <c r="AL364" t="s">
        <v>1271</v>
      </c>
      <c r="AM364" s="245">
        <v>649.92999999999995</v>
      </c>
      <c r="AN364" t="s">
        <v>2993</v>
      </c>
      <c r="AO364" t="s">
        <v>2994</v>
      </c>
      <c r="AP364" t="s">
        <v>1627</v>
      </c>
      <c r="AQ364" s="245">
        <v>674</v>
      </c>
      <c r="AR364" t="s">
        <v>2995</v>
      </c>
      <c r="AS364" s="226" t="str">
        <f t="shared" si="10"/>
        <v>Rustler 11</v>
      </c>
      <c r="AT364" s="203" t="str">
        <f t="shared" si="11"/>
        <v xml:space="preserve"> BlizzardRustler 11172 Unisex</v>
      </c>
    </row>
    <row r="365" spans="1:46" ht="105.6">
      <c r="A365" t="s">
        <v>155</v>
      </c>
      <c r="B365" t="s">
        <v>561</v>
      </c>
      <c r="C365" t="s">
        <v>562</v>
      </c>
      <c r="D365">
        <v>178</v>
      </c>
      <c r="E365" t="s">
        <v>158</v>
      </c>
      <c r="F365">
        <v>178</v>
      </c>
      <c r="G365">
        <v>175.6</v>
      </c>
      <c r="H365">
        <v>122</v>
      </c>
      <c r="I365">
        <v>147</v>
      </c>
      <c r="J365">
        <v>113</v>
      </c>
      <c r="K365">
        <v>89</v>
      </c>
      <c r="L365">
        <v>110</v>
      </c>
      <c r="M365">
        <v>21.4</v>
      </c>
      <c r="N365">
        <v>1856</v>
      </c>
      <c r="O365">
        <v>0.92</v>
      </c>
      <c r="P365">
        <v>1716</v>
      </c>
      <c r="Q365">
        <v>194</v>
      </c>
      <c r="R365">
        <v>79</v>
      </c>
      <c r="S365">
        <v>50</v>
      </c>
      <c r="T365">
        <v>266</v>
      </c>
      <c r="U365">
        <v>49</v>
      </c>
      <c r="V365">
        <v>271</v>
      </c>
      <c r="W365">
        <v>0.97699999999999998</v>
      </c>
      <c r="X365">
        <v>136</v>
      </c>
      <c r="Y365">
        <v>148</v>
      </c>
      <c r="Z365">
        <v>130</v>
      </c>
      <c r="AA365">
        <v>4</v>
      </c>
      <c r="AB365">
        <v>0.3</v>
      </c>
      <c r="AC365" t="s">
        <v>184</v>
      </c>
      <c r="AG365" t="s">
        <v>2996</v>
      </c>
      <c r="AH365" t="s">
        <v>2997</v>
      </c>
      <c r="AI365" s="245">
        <v>199</v>
      </c>
      <c r="AJ365" t="s">
        <v>2998</v>
      </c>
      <c r="AK365" t="s">
        <v>2999</v>
      </c>
      <c r="AL365" t="s">
        <v>3000</v>
      </c>
      <c r="AM365" s="245">
        <v>2118.6999999999998</v>
      </c>
      <c r="AN365" t="s">
        <v>3001</v>
      </c>
      <c r="AO365" t="s">
        <v>3002</v>
      </c>
      <c r="AP365" t="s">
        <v>1349</v>
      </c>
      <c r="AQ365" s="245">
        <v>352.89</v>
      </c>
      <c r="AR365" t="s">
        <v>3003</v>
      </c>
      <c r="AS365" s="226" t="str">
        <f t="shared" si="10"/>
        <v>The Whipit</v>
      </c>
      <c r="AT365" s="203" t="str">
        <f t="shared" si="11"/>
        <v xml:space="preserve"> J SkisThe Whipit178 Unisex</v>
      </c>
    </row>
    <row r="366" spans="1:46" ht="105.6">
      <c r="A366" t="s">
        <v>155</v>
      </c>
      <c r="B366" t="s">
        <v>245</v>
      </c>
      <c r="C366" t="s">
        <v>462</v>
      </c>
      <c r="D366">
        <v>178</v>
      </c>
      <c r="E366" t="s">
        <v>158</v>
      </c>
      <c r="F366">
        <v>178</v>
      </c>
      <c r="G366">
        <v>179</v>
      </c>
      <c r="H366">
        <v>130</v>
      </c>
      <c r="I366">
        <v>148</v>
      </c>
      <c r="J366">
        <v>140</v>
      </c>
      <c r="K366">
        <v>111</v>
      </c>
      <c r="L366">
        <v>130</v>
      </c>
      <c r="M366">
        <v>19</v>
      </c>
      <c r="N366">
        <v>1998</v>
      </c>
      <c r="O366">
        <v>1.08</v>
      </c>
      <c r="P366">
        <v>2157</v>
      </c>
      <c r="Q366">
        <v>203</v>
      </c>
      <c r="R366">
        <v>91</v>
      </c>
      <c r="S366">
        <v>46</v>
      </c>
      <c r="T366">
        <v>316</v>
      </c>
      <c r="U366">
        <v>31</v>
      </c>
      <c r="V366">
        <v>179</v>
      </c>
      <c r="W366">
        <v>0.67400000000000004</v>
      </c>
      <c r="X366">
        <v>149</v>
      </c>
      <c r="Y366">
        <v>160</v>
      </c>
      <c r="Z366">
        <v>167</v>
      </c>
      <c r="AA366">
        <v>9</v>
      </c>
      <c r="AB366">
        <v>9.5</v>
      </c>
      <c r="AC366" t="s">
        <v>169</v>
      </c>
      <c r="AD366" t="s">
        <v>185</v>
      </c>
      <c r="AG366" t="s">
        <v>3004</v>
      </c>
      <c r="AH366" t="s">
        <v>1421</v>
      </c>
      <c r="AI366" s="245">
        <v>799.99</v>
      </c>
      <c r="AJ366" t="s">
        <v>3005</v>
      </c>
      <c r="AK366" t="s">
        <v>3006</v>
      </c>
      <c r="AL366" t="s">
        <v>1191</v>
      </c>
      <c r="AM366" s="245">
        <v>414.95</v>
      </c>
      <c r="AN366" t="s">
        <v>3007</v>
      </c>
      <c r="AO366" t="s">
        <v>3008</v>
      </c>
      <c r="AP366" t="s">
        <v>1232</v>
      </c>
      <c r="AQ366" s="245">
        <v>499.95</v>
      </c>
      <c r="AR366" t="s">
        <v>3009</v>
      </c>
      <c r="AS366" s="226" t="str">
        <f t="shared" si="10"/>
        <v>Ranger 115 FR Big Stix</v>
      </c>
      <c r="AT366" s="203" t="str">
        <f t="shared" si="11"/>
        <v xml:space="preserve"> FischerRanger 115 FR Big Stix178 Unisex</v>
      </c>
    </row>
    <row r="367" spans="1:46" ht="105.6">
      <c r="A367" t="s">
        <v>155</v>
      </c>
      <c r="B367" t="s">
        <v>332</v>
      </c>
      <c r="C367" t="s">
        <v>563</v>
      </c>
      <c r="D367">
        <v>172</v>
      </c>
      <c r="E367" t="s">
        <v>163</v>
      </c>
      <c r="F367">
        <v>172</v>
      </c>
      <c r="G367">
        <v>172</v>
      </c>
      <c r="H367">
        <v>126</v>
      </c>
      <c r="I367">
        <v>143</v>
      </c>
      <c r="J367">
        <v>122</v>
      </c>
      <c r="K367">
        <v>87</v>
      </c>
      <c r="L367">
        <v>108</v>
      </c>
      <c r="M367">
        <v>16.100000000000001</v>
      </c>
      <c r="N367">
        <v>1894</v>
      </c>
      <c r="O367">
        <v>0.9</v>
      </c>
      <c r="P367">
        <v>1697</v>
      </c>
      <c r="Q367">
        <v>205</v>
      </c>
      <c r="R367">
        <v>101</v>
      </c>
      <c r="S367">
        <v>59</v>
      </c>
      <c r="T367">
        <v>266</v>
      </c>
      <c r="U367">
        <v>16</v>
      </c>
      <c r="V367">
        <v>198</v>
      </c>
      <c r="W367">
        <v>0.26700000000000002</v>
      </c>
      <c r="X367">
        <v>134</v>
      </c>
      <c r="Y367">
        <v>152</v>
      </c>
      <c r="Z367">
        <v>132</v>
      </c>
      <c r="AA367">
        <v>7</v>
      </c>
      <c r="AB367">
        <v>8.5</v>
      </c>
      <c r="AC367" t="s">
        <v>188</v>
      </c>
      <c r="AG367" t="s">
        <v>3010</v>
      </c>
      <c r="AH367" t="s">
        <v>1289</v>
      </c>
      <c r="AI367" s="245">
        <v>209.95</v>
      </c>
      <c r="AJ367" t="s">
        <v>3011</v>
      </c>
      <c r="AK367" t="s">
        <v>3012</v>
      </c>
      <c r="AL367" t="s">
        <v>1240</v>
      </c>
      <c r="AM367" s="245">
        <v>529.95000000000005</v>
      </c>
      <c r="AN367" t="s">
        <v>3013</v>
      </c>
      <c r="AO367" t="s">
        <v>3014</v>
      </c>
      <c r="AP367" t="s">
        <v>3015</v>
      </c>
      <c r="AQ367" s="245">
        <v>599.99</v>
      </c>
      <c r="AR367" t="s">
        <v>3016</v>
      </c>
      <c r="AS367" s="226" t="str">
        <f t="shared" si="10"/>
        <v>Santa Ana 88</v>
      </c>
      <c r="AT367" s="203" t="str">
        <f t="shared" si="11"/>
        <v xml:space="preserve"> NordicaSanta Ana 88172 Women's</v>
      </c>
    </row>
    <row r="368" spans="1:46" ht="92.4">
      <c r="A368" t="s">
        <v>155</v>
      </c>
      <c r="B368" t="s">
        <v>174</v>
      </c>
      <c r="C368" t="s">
        <v>438</v>
      </c>
      <c r="D368">
        <v>174</v>
      </c>
      <c r="E368" t="s">
        <v>158</v>
      </c>
      <c r="F368">
        <v>174</v>
      </c>
      <c r="G368">
        <v>173.9</v>
      </c>
      <c r="H368">
        <v>109</v>
      </c>
      <c r="I368">
        <v>144</v>
      </c>
      <c r="J368">
        <v>137</v>
      </c>
      <c r="K368">
        <v>105</v>
      </c>
      <c r="L368">
        <v>123</v>
      </c>
      <c r="M368">
        <v>19.100000000000001</v>
      </c>
      <c r="N368">
        <v>2014</v>
      </c>
      <c r="O368">
        <v>0.99</v>
      </c>
      <c r="P368">
        <v>2000</v>
      </c>
      <c r="Q368">
        <v>211</v>
      </c>
      <c r="R368">
        <v>97</v>
      </c>
      <c r="S368">
        <v>59</v>
      </c>
      <c r="T368">
        <v>365</v>
      </c>
      <c r="U368">
        <v>22</v>
      </c>
      <c r="V368">
        <v>282</v>
      </c>
      <c r="W368">
        <v>0.377999999999999</v>
      </c>
      <c r="X368">
        <v>181</v>
      </c>
      <c r="Y368">
        <v>119</v>
      </c>
      <c r="Z368">
        <v>183</v>
      </c>
      <c r="AA368">
        <v>6</v>
      </c>
      <c r="AB368">
        <v>9.4</v>
      </c>
      <c r="AC368" t="s">
        <v>188</v>
      </c>
      <c r="AD368" t="s">
        <v>169</v>
      </c>
      <c r="AE368" t="s">
        <v>178</v>
      </c>
      <c r="AG368" t="s">
        <v>3017</v>
      </c>
      <c r="AH368" t="s">
        <v>1204</v>
      </c>
      <c r="AI368" s="245">
        <v>481.02</v>
      </c>
      <c r="AJ368" t="s">
        <v>3018</v>
      </c>
      <c r="AK368" t="s">
        <v>3019</v>
      </c>
      <c r="AL368" t="s">
        <v>1179</v>
      </c>
      <c r="AM368" s="245">
        <v>537.95000000000005</v>
      </c>
      <c r="AN368" t="s">
        <v>3020</v>
      </c>
      <c r="AO368" t="s">
        <v>3021</v>
      </c>
      <c r="AP368" t="s">
        <v>1232</v>
      </c>
      <c r="AQ368" s="245">
        <v>549.95000000000005</v>
      </c>
      <c r="AR368" t="s">
        <v>3022</v>
      </c>
      <c r="AS368" s="226" t="str">
        <f t="shared" si="10"/>
        <v>QST 106</v>
      </c>
      <c r="AT368" s="203" t="str">
        <f t="shared" si="11"/>
        <v xml:space="preserve"> SalomonQST 106174 Unisex</v>
      </c>
    </row>
    <row r="369" spans="1:46" ht="52.8">
      <c r="A369" t="s">
        <v>155</v>
      </c>
      <c r="B369" t="s">
        <v>180</v>
      </c>
      <c r="C369" t="s">
        <v>451</v>
      </c>
      <c r="D369">
        <v>170</v>
      </c>
      <c r="E369" t="s">
        <v>158</v>
      </c>
      <c r="F369">
        <v>170</v>
      </c>
      <c r="G369">
        <v>167.7</v>
      </c>
      <c r="H369">
        <v>131</v>
      </c>
      <c r="I369">
        <v>148</v>
      </c>
      <c r="J369">
        <v>123</v>
      </c>
      <c r="K369">
        <v>85</v>
      </c>
      <c r="L369">
        <v>108</v>
      </c>
      <c r="M369">
        <v>17.7</v>
      </c>
      <c r="N369">
        <v>1317</v>
      </c>
      <c r="O369">
        <v>1.23</v>
      </c>
      <c r="P369">
        <v>1624</v>
      </c>
      <c r="Q369">
        <v>252</v>
      </c>
      <c r="R369">
        <v>90</v>
      </c>
      <c r="S369">
        <v>56</v>
      </c>
      <c r="T369">
        <v>270</v>
      </c>
      <c r="U369">
        <v>14</v>
      </c>
      <c r="V369">
        <v>100</v>
      </c>
      <c r="W369">
        <v>0.25</v>
      </c>
      <c r="X369">
        <v>116</v>
      </c>
      <c r="Y369">
        <v>79</v>
      </c>
      <c r="Z369">
        <v>154</v>
      </c>
      <c r="AA369">
        <v>8</v>
      </c>
      <c r="AB369">
        <v>11.2</v>
      </c>
      <c r="AC369" t="s">
        <v>188</v>
      </c>
      <c r="AD369" t="s">
        <v>185</v>
      </c>
      <c r="AG369" t="s">
        <v>3023</v>
      </c>
      <c r="AH369" t="s">
        <v>1349</v>
      </c>
      <c r="AI369" s="245">
        <v>352.89</v>
      </c>
      <c r="AJ369" t="s">
        <v>3024</v>
      </c>
      <c r="AK369" t="s">
        <v>3023</v>
      </c>
      <c r="AL369" t="s">
        <v>1194</v>
      </c>
      <c r="AM369" s="245">
        <v>354.99</v>
      </c>
      <c r="AN369" t="s">
        <v>3025</v>
      </c>
      <c r="AO369" t="s">
        <v>3023</v>
      </c>
      <c r="AP369" t="s">
        <v>3026</v>
      </c>
      <c r="AQ369" s="245">
        <v>456.18</v>
      </c>
      <c r="AR369" t="s">
        <v>3027</v>
      </c>
      <c r="AS369" s="226" t="str">
        <f t="shared" si="10"/>
        <v>Superguide 88</v>
      </c>
      <c r="AT369" s="203" t="str">
        <f t="shared" si="11"/>
        <v xml:space="preserve"> ScottSuperguide 88170 Unisex</v>
      </c>
    </row>
    <row r="370" spans="1:46" ht="118.8">
      <c r="A370" t="s">
        <v>155</v>
      </c>
      <c r="B370" t="s">
        <v>182</v>
      </c>
      <c r="C370" t="s">
        <v>303</v>
      </c>
      <c r="D370">
        <v>188</v>
      </c>
      <c r="E370" t="s">
        <v>158</v>
      </c>
      <c r="F370">
        <v>188</v>
      </c>
      <c r="G370">
        <v>187.3</v>
      </c>
      <c r="H370">
        <v>128</v>
      </c>
      <c r="I370">
        <v>149</v>
      </c>
      <c r="J370">
        <v>134</v>
      </c>
      <c r="K370">
        <v>107</v>
      </c>
      <c r="L370">
        <v>125</v>
      </c>
      <c r="M370">
        <v>20.7</v>
      </c>
      <c r="N370">
        <v>1799</v>
      </c>
      <c r="O370">
        <v>1.21</v>
      </c>
      <c r="P370">
        <v>2185</v>
      </c>
      <c r="Q370">
        <v>210</v>
      </c>
      <c r="R370">
        <v>122</v>
      </c>
      <c r="S370">
        <v>49</v>
      </c>
      <c r="T370">
        <v>426</v>
      </c>
      <c r="U370">
        <v>28</v>
      </c>
      <c r="V370">
        <v>169</v>
      </c>
      <c r="W370">
        <v>0.57999999999999996</v>
      </c>
      <c r="X370">
        <v>211</v>
      </c>
      <c r="Y370">
        <v>170</v>
      </c>
      <c r="Z370">
        <v>215</v>
      </c>
      <c r="AA370">
        <v>4</v>
      </c>
      <c r="AB370">
        <v>10.8</v>
      </c>
      <c r="AC370" t="s">
        <v>169</v>
      </c>
      <c r="AD370" t="s">
        <v>185</v>
      </c>
      <c r="AG370" t="s">
        <v>3028</v>
      </c>
      <c r="AH370" t="s">
        <v>1194</v>
      </c>
      <c r="AI370" s="245">
        <v>423.23</v>
      </c>
      <c r="AJ370" t="s">
        <v>3029</v>
      </c>
      <c r="AK370" t="s">
        <v>3030</v>
      </c>
      <c r="AL370" t="s">
        <v>1191</v>
      </c>
      <c r="AM370" s="245">
        <v>424.95</v>
      </c>
      <c r="AN370" t="s">
        <v>3031</v>
      </c>
      <c r="AO370" t="s">
        <v>3032</v>
      </c>
      <c r="AP370" t="s">
        <v>2214</v>
      </c>
      <c r="AQ370" s="245">
        <v>489.95</v>
      </c>
      <c r="AR370" t="s">
        <v>3033</v>
      </c>
      <c r="AS370" s="226" t="str">
        <f t="shared" si="10"/>
        <v>Tracer 108</v>
      </c>
      <c r="AT370" s="203" t="str">
        <f t="shared" si="11"/>
        <v xml:space="preserve"> ArmadaTracer 108188 Unisex</v>
      </c>
    </row>
    <row r="371" spans="1:46" ht="92.4">
      <c r="A371" t="s">
        <v>155</v>
      </c>
      <c r="B371" t="s">
        <v>329</v>
      </c>
      <c r="C371" t="s">
        <v>548</v>
      </c>
      <c r="D371">
        <v>184</v>
      </c>
      <c r="E371" t="s">
        <v>158</v>
      </c>
      <c r="F371">
        <v>184</v>
      </c>
      <c r="G371">
        <v>182</v>
      </c>
      <c r="H371">
        <v>145</v>
      </c>
      <c r="I371">
        <v>158</v>
      </c>
      <c r="J371">
        <v>128</v>
      </c>
      <c r="K371">
        <v>96</v>
      </c>
      <c r="L371">
        <v>116</v>
      </c>
      <c r="M371">
        <v>23.7</v>
      </c>
      <c r="N371">
        <v>1367</v>
      </c>
      <c r="O371">
        <v>1.39</v>
      </c>
      <c r="P371">
        <v>1903</v>
      </c>
      <c r="Q371">
        <v>292</v>
      </c>
      <c r="R371">
        <v>103</v>
      </c>
      <c r="S371">
        <v>51</v>
      </c>
      <c r="T371">
        <v>277</v>
      </c>
      <c r="U371">
        <v>8</v>
      </c>
      <c r="V371">
        <v>97</v>
      </c>
      <c r="W371">
        <v>0.157</v>
      </c>
      <c r="X371">
        <v>146</v>
      </c>
      <c r="Y371">
        <v>99</v>
      </c>
      <c r="Z371">
        <v>131</v>
      </c>
      <c r="AA371">
        <v>6</v>
      </c>
      <c r="AB371">
        <v>12.4</v>
      </c>
      <c r="AC371" t="s">
        <v>185</v>
      </c>
      <c r="AD371" t="s">
        <v>198</v>
      </c>
      <c r="AG371" t="s">
        <v>3034</v>
      </c>
      <c r="AH371" t="s">
        <v>1224</v>
      </c>
      <c r="AI371" s="245">
        <v>1199.95</v>
      </c>
      <c r="AJ371" t="s">
        <v>3035</v>
      </c>
      <c r="AK371" t="s">
        <v>3034</v>
      </c>
      <c r="AL371" t="s">
        <v>1244</v>
      </c>
      <c r="AM371" s="245">
        <v>1199.95</v>
      </c>
      <c r="AN371" t="s">
        <v>3036</v>
      </c>
      <c r="AO371" t="s">
        <v>3034</v>
      </c>
      <c r="AP371" t="s">
        <v>1280</v>
      </c>
      <c r="AQ371" s="245">
        <v>1199.95</v>
      </c>
      <c r="AR371" t="s">
        <v>3037</v>
      </c>
      <c r="AS371" s="226" t="str">
        <f t="shared" si="10"/>
        <v>Blacklight 95</v>
      </c>
      <c r="AT371" s="203" t="str">
        <f t="shared" si="11"/>
        <v xml:space="preserve"> DynafitBlacklight 95184 Unisex</v>
      </c>
    </row>
    <row r="372" spans="1:46" ht="79.2">
      <c r="A372" t="s">
        <v>155</v>
      </c>
      <c r="B372" t="s">
        <v>332</v>
      </c>
      <c r="C372" t="s">
        <v>369</v>
      </c>
      <c r="D372">
        <v>172</v>
      </c>
      <c r="E372" t="s">
        <v>163</v>
      </c>
      <c r="F372">
        <v>172</v>
      </c>
      <c r="G372">
        <v>171.1</v>
      </c>
      <c r="H372">
        <v>120</v>
      </c>
      <c r="I372">
        <v>142</v>
      </c>
      <c r="J372">
        <v>132</v>
      </c>
      <c r="K372">
        <v>99</v>
      </c>
      <c r="L372">
        <v>119</v>
      </c>
      <c r="M372">
        <v>16.899999999999999</v>
      </c>
      <c r="N372">
        <v>1927</v>
      </c>
      <c r="O372">
        <v>0.97</v>
      </c>
      <c r="P372">
        <v>1877</v>
      </c>
      <c r="Q372">
        <v>192</v>
      </c>
      <c r="R372">
        <v>99</v>
      </c>
      <c r="S372">
        <v>62</v>
      </c>
      <c r="T372">
        <v>296</v>
      </c>
      <c r="U372">
        <v>21</v>
      </c>
      <c r="V372">
        <v>213</v>
      </c>
      <c r="W372">
        <v>0.34399999999999997</v>
      </c>
      <c r="X372">
        <v>142</v>
      </c>
      <c r="Y372">
        <v>150</v>
      </c>
      <c r="Z372">
        <v>154</v>
      </c>
      <c r="AA372">
        <v>5</v>
      </c>
      <c r="AB372">
        <v>8.1999999999999993</v>
      </c>
      <c r="AC372" t="s">
        <v>188</v>
      </c>
      <c r="AG372" t="s">
        <v>3038</v>
      </c>
      <c r="AH372" t="s">
        <v>1204</v>
      </c>
      <c r="AI372" s="245">
        <v>521.11</v>
      </c>
      <c r="AJ372" t="s">
        <v>3039</v>
      </c>
      <c r="AK372" t="s">
        <v>3040</v>
      </c>
      <c r="AL372" t="s">
        <v>1421</v>
      </c>
      <c r="AM372" s="245">
        <v>524.99</v>
      </c>
      <c r="AN372" t="s">
        <v>3041</v>
      </c>
      <c r="AO372" t="s">
        <v>3040</v>
      </c>
      <c r="AP372" t="s">
        <v>1400</v>
      </c>
      <c r="AQ372" s="245">
        <v>559.99</v>
      </c>
      <c r="AR372" t="s">
        <v>3042</v>
      </c>
      <c r="AS372" s="226" t="str">
        <f t="shared" si="10"/>
        <v>Santa Ana 98</v>
      </c>
      <c r="AT372" s="203" t="str">
        <f t="shared" si="11"/>
        <v xml:space="preserve"> NordicaSanta Ana 98172 Women's</v>
      </c>
    </row>
    <row r="373" spans="1:46" ht="105.6">
      <c r="A373" t="s">
        <v>155</v>
      </c>
      <c r="B373" t="s">
        <v>1395</v>
      </c>
      <c r="C373" t="s">
        <v>565</v>
      </c>
      <c r="D373">
        <v>163</v>
      </c>
      <c r="E373" t="s">
        <v>158</v>
      </c>
      <c r="F373">
        <v>163</v>
      </c>
      <c r="G373">
        <v>163.4</v>
      </c>
      <c r="H373">
        <v>124</v>
      </c>
      <c r="I373">
        <v>140</v>
      </c>
      <c r="J373">
        <v>134</v>
      </c>
      <c r="K373">
        <v>95</v>
      </c>
      <c r="L373">
        <v>118</v>
      </c>
      <c r="M373">
        <v>15.2</v>
      </c>
      <c r="N373">
        <v>1813</v>
      </c>
      <c r="O373">
        <v>0.97</v>
      </c>
      <c r="P373">
        <v>1756</v>
      </c>
      <c r="Q373">
        <v>181</v>
      </c>
      <c r="R373">
        <v>119</v>
      </c>
      <c r="S373">
        <v>46</v>
      </c>
      <c r="T373">
        <v>234</v>
      </c>
      <c r="U373">
        <v>15</v>
      </c>
      <c r="V373">
        <v>163</v>
      </c>
      <c r="W373">
        <v>0.32600000000000001</v>
      </c>
      <c r="X373">
        <v>133</v>
      </c>
      <c r="Y373">
        <v>100</v>
      </c>
      <c r="Z373">
        <v>101</v>
      </c>
      <c r="AA373">
        <v>4</v>
      </c>
      <c r="AB373">
        <v>11.1</v>
      </c>
      <c r="AC373" t="s">
        <v>188</v>
      </c>
      <c r="AG373" t="s">
        <v>3043</v>
      </c>
      <c r="AH373" t="s">
        <v>1232</v>
      </c>
      <c r="AI373" s="245">
        <v>559.95000000000005</v>
      </c>
      <c r="AJ373" t="s">
        <v>3044</v>
      </c>
      <c r="AK373" t="s">
        <v>3045</v>
      </c>
      <c r="AL373" t="s">
        <v>1224</v>
      </c>
      <c r="AM373" s="245">
        <v>559.99</v>
      </c>
      <c r="AN373" t="s">
        <v>3046</v>
      </c>
      <c r="AO373" t="s">
        <v>3045</v>
      </c>
      <c r="AP373" t="s">
        <v>1181</v>
      </c>
      <c r="AQ373" s="245">
        <v>559.99</v>
      </c>
      <c r="AR373" t="s">
        <v>3047</v>
      </c>
      <c r="AS373" s="226" t="str">
        <f t="shared" si="10"/>
        <v>M6 Mantra</v>
      </c>
      <c r="AT373" s="203" t="str">
        <f t="shared" si="11"/>
        <v xml:space="preserve"> Vï¿½lklM6 Mantra163 Unisex</v>
      </c>
    </row>
    <row r="374" spans="1:46" ht="66">
      <c r="A374" t="s">
        <v>155</v>
      </c>
      <c r="B374" t="s">
        <v>182</v>
      </c>
      <c r="C374" t="s">
        <v>537</v>
      </c>
      <c r="D374">
        <v>172</v>
      </c>
      <c r="E374" t="s">
        <v>158</v>
      </c>
      <c r="F374">
        <v>172</v>
      </c>
      <c r="G374">
        <v>170</v>
      </c>
      <c r="H374">
        <v>126</v>
      </c>
      <c r="I374">
        <v>150</v>
      </c>
      <c r="J374">
        <v>130</v>
      </c>
      <c r="K374">
        <v>97</v>
      </c>
      <c r="L374">
        <v>120</v>
      </c>
      <c r="M374">
        <v>19.600000000000001</v>
      </c>
      <c r="N374">
        <v>1915</v>
      </c>
      <c r="O374">
        <v>0.95</v>
      </c>
      <c r="P374">
        <v>1816</v>
      </c>
      <c r="Q374">
        <v>170</v>
      </c>
      <c r="R374">
        <v>87</v>
      </c>
      <c r="S374">
        <v>55</v>
      </c>
      <c r="T374">
        <v>273</v>
      </c>
      <c r="U374">
        <v>46</v>
      </c>
      <c r="V374">
        <v>168</v>
      </c>
      <c r="W374">
        <v>0.84099999999999997</v>
      </c>
      <c r="X374">
        <v>96</v>
      </c>
      <c r="Y374">
        <v>101</v>
      </c>
      <c r="Z374">
        <v>176</v>
      </c>
      <c r="AA374">
        <v>7</v>
      </c>
      <c r="AB374">
        <v>3.5</v>
      </c>
      <c r="AC374" t="s">
        <v>188</v>
      </c>
      <c r="AD374" t="s">
        <v>184</v>
      </c>
      <c r="AG374" t="s">
        <v>2870</v>
      </c>
      <c r="AH374" t="s">
        <v>1232</v>
      </c>
      <c r="AI374" s="245">
        <v>479.95</v>
      </c>
      <c r="AJ374" t="s">
        <v>3048</v>
      </c>
      <c r="AK374" t="s">
        <v>2870</v>
      </c>
      <c r="AL374" t="s">
        <v>1271</v>
      </c>
      <c r="AM374" s="245">
        <v>499.95</v>
      </c>
      <c r="AN374" t="s">
        <v>3049</v>
      </c>
      <c r="AO374" t="s">
        <v>2870</v>
      </c>
      <c r="AP374" t="s">
        <v>1556</v>
      </c>
      <c r="AQ374" s="245">
        <v>519</v>
      </c>
      <c r="AR374" t="s">
        <v>3050</v>
      </c>
      <c r="AS374" s="226" t="str">
        <f t="shared" si="10"/>
        <v>Edollo</v>
      </c>
      <c r="AT374" s="203" t="str">
        <f t="shared" si="11"/>
        <v xml:space="preserve"> ArmadaEdollo172 Unisex</v>
      </c>
    </row>
    <row r="375" spans="1:46" ht="66">
      <c r="A375" t="s">
        <v>155</v>
      </c>
      <c r="B375" t="s">
        <v>354</v>
      </c>
      <c r="C375" t="s">
        <v>355</v>
      </c>
      <c r="D375">
        <v>161</v>
      </c>
      <c r="E375" t="s">
        <v>158</v>
      </c>
      <c r="F375">
        <v>161</v>
      </c>
      <c r="G375">
        <v>161.6</v>
      </c>
      <c r="H375">
        <v>118</v>
      </c>
      <c r="I375">
        <v>132</v>
      </c>
      <c r="J375">
        <v>129</v>
      </c>
      <c r="K375">
        <v>97</v>
      </c>
      <c r="L375">
        <v>117</v>
      </c>
      <c r="M375">
        <v>14.9</v>
      </c>
      <c r="N375">
        <v>1702</v>
      </c>
      <c r="O375">
        <v>1.02</v>
      </c>
      <c r="P375">
        <v>1732</v>
      </c>
      <c r="Q375">
        <v>179</v>
      </c>
      <c r="R375">
        <v>76</v>
      </c>
      <c r="S375">
        <v>35</v>
      </c>
      <c r="T375">
        <v>253</v>
      </c>
      <c r="U375">
        <v>19</v>
      </c>
      <c r="V375">
        <v>186</v>
      </c>
      <c r="W375">
        <v>0.55600000000000005</v>
      </c>
      <c r="X375">
        <v>183</v>
      </c>
      <c r="Y375">
        <v>118</v>
      </c>
      <c r="Z375">
        <v>71</v>
      </c>
      <c r="AA375">
        <v>9</v>
      </c>
      <c r="AB375">
        <v>8.1999999999999993</v>
      </c>
      <c r="AC375" t="s">
        <v>188</v>
      </c>
      <c r="AG375" t="s">
        <v>1831</v>
      </c>
      <c r="AH375" t="s">
        <v>2211</v>
      </c>
      <c r="AI375" s="245">
        <v>559.96</v>
      </c>
      <c r="AJ375" t="s">
        <v>3051</v>
      </c>
      <c r="AK375" t="s">
        <v>3052</v>
      </c>
      <c r="AL375" t="s">
        <v>1244</v>
      </c>
      <c r="AM375" s="245">
        <v>399.98</v>
      </c>
      <c r="AN375" t="s">
        <v>3053</v>
      </c>
      <c r="AO375" t="s">
        <v>3052</v>
      </c>
      <c r="AP375" t="s">
        <v>1309</v>
      </c>
      <c r="AQ375" s="245">
        <v>479.97</v>
      </c>
      <c r="AR375" t="s">
        <v>3054</v>
      </c>
      <c r="AS375" s="226" t="str">
        <f t="shared" si="10"/>
        <v>Impulse 98</v>
      </c>
      <c r="AT375" s="203" t="str">
        <f t="shared" si="11"/>
        <v xml:space="preserve"> Black DiamondImpulse 98161 Unisex</v>
      </c>
    </row>
    <row r="376" spans="1:46" ht="52.8">
      <c r="A376" t="s">
        <v>155</v>
      </c>
      <c r="B376" t="s">
        <v>332</v>
      </c>
      <c r="C376" t="s">
        <v>567</v>
      </c>
      <c r="D376">
        <v>177</v>
      </c>
      <c r="E376" t="s">
        <v>158</v>
      </c>
      <c r="F376">
        <v>177</v>
      </c>
      <c r="G376">
        <v>175</v>
      </c>
      <c r="H376">
        <v>138</v>
      </c>
      <c r="I376">
        <v>153</v>
      </c>
      <c r="J376">
        <v>124</v>
      </c>
      <c r="K376">
        <v>86</v>
      </c>
      <c r="L376">
        <v>114</v>
      </c>
      <c r="M376">
        <v>16.5</v>
      </c>
      <c r="N376">
        <v>1946</v>
      </c>
      <c r="O376">
        <v>0.89</v>
      </c>
      <c r="P376">
        <v>1727</v>
      </c>
      <c r="Q376">
        <v>218</v>
      </c>
      <c r="R376">
        <v>96</v>
      </c>
      <c r="S376">
        <v>47</v>
      </c>
      <c r="T376">
        <v>180</v>
      </c>
      <c r="U376">
        <v>48</v>
      </c>
      <c r="V376">
        <v>185</v>
      </c>
      <c r="W376">
        <v>1.0109999999999999</v>
      </c>
      <c r="X376">
        <v>103</v>
      </c>
      <c r="Y376">
        <v>115</v>
      </c>
      <c r="Z376">
        <v>78</v>
      </c>
      <c r="AA376">
        <v>8</v>
      </c>
      <c r="AB376">
        <v>6.6</v>
      </c>
      <c r="AC376" t="s">
        <v>184</v>
      </c>
      <c r="AG376" t="s">
        <v>3055</v>
      </c>
      <c r="AH376" t="s">
        <v>1549</v>
      </c>
      <c r="AI376" s="245">
        <v>420</v>
      </c>
      <c r="AJ376" t="s">
        <v>3056</v>
      </c>
      <c r="AK376" t="s">
        <v>3055</v>
      </c>
      <c r="AL376" t="s">
        <v>1349</v>
      </c>
      <c r="AM376" s="245">
        <v>439.98</v>
      </c>
      <c r="AN376" t="s">
        <v>3057</v>
      </c>
      <c r="AO376" t="s">
        <v>3055</v>
      </c>
      <c r="AP376" t="s">
        <v>1185</v>
      </c>
      <c r="AQ376" s="245">
        <v>454.99</v>
      </c>
      <c r="AR376" t="s">
        <v>3058</v>
      </c>
      <c r="AS376" s="226" t="str">
        <f t="shared" si="10"/>
        <v>Soul Rider 87</v>
      </c>
      <c r="AT376" s="203" t="str">
        <f t="shared" si="11"/>
        <v xml:space="preserve"> NordicaSoul Rider 87177 Unisex</v>
      </c>
    </row>
    <row r="377" spans="1:46" ht="66">
      <c r="A377" t="s">
        <v>155</v>
      </c>
      <c r="B377" t="s">
        <v>182</v>
      </c>
      <c r="C377" t="s">
        <v>395</v>
      </c>
      <c r="D377">
        <v>164</v>
      </c>
      <c r="E377" t="s">
        <v>163</v>
      </c>
      <c r="F377">
        <v>164</v>
      </c>
      <c r="G377">
        <v>163.5</v>
      </c>
      <c r="H377">
        <v>114</v>
      </c>
      <c r="I377">
        <v>132</v>
      </c>
      <c r="J377">
        <v>131</v>
      </c>
      <c r="K377">
        <v>107</v>
      </c>
      <c r="L377">
        <v>124</v>
      </c>
      <c r="M377">
        <v>17.399999999999999</v>
      </c>
      <c r="N377">
        <v>1466</v>
      </c>
      <c r="O377">
        <v>1.29</v>
      </c>
      <c r="P377">
        <v>1884</v>
      </c>
      <c r="Q377">
        <v>145</v>
      </c>
      <c r="R377">
        <v>82</v>
      </c>
      <c r="S377">
        <v>43</v>
      </c>
      <c r="T377">
        <v>336</v>
      </c>
      <c r="U377">
        <v>27</v>
      </c>
      <c r="V377">
        <v>162</v>
      </c>
      <c r="W377">
        <v>0.63200000000000001</v>
      </c>
      <c r="X377">
        <v>180</v>
      </c>
      <c r="Y377">
        <v>132</v>
      </c>
      <c r="Z377">
        <v>157</v>
      </c>
      <c r="AA377">
        <v>6</v>
      </c>
      <c r="AB377">
        <v>10</v>
      </c>
      <c r="AC377" t="s">
        <v>169</v>
      </c>
      <c r="AD377" t="s">
        <v>185</v>
      </c>
      <c r="AE377" t="s">
        <v>198</v>
      </c>
      <c r="AG377" t="s">
        <v>1998</v>
      </c>
      <c r="AH377" t="s">
        <v>1271</v>
      </c>
      <c r="AI377" s="245">
        <v>599.95000000000005</v>
      </c>
      <c r="AJ377" t="s">
        <v>3059</v>
      </c>
      <c r="AK377" t="s">
        <v>1998</v>
      </c>
      <c r="AL377" t="s">
        <v>1226</v>
      </c>
      <c r="AM377" s="245">
        <v>599.96</v>
      </c>
      <c r="AN377" t="s">
        <v>3060</v>
      </c>
      <c r="AO377" t="s">
        <v>1998</v>
      </c>
      <c r="AP377" t="s">
        <v>1224</v>
      </c>
      <c r="AQ377" s="245">
        <v>599.96</v>
      </c>
      <c r="AR377" t="s">
        <v>3061</v>
      </c>
      <c r="AS377" s="226" t="str">
        <f t="shared" si="10"/>
        <v>Trace 108</v>
      </c>
      <c r="AT377" s="203" t="str">
        <f t="shared" si="11"/>
        <v xml:space="preserve"> ArmadaTrace 108164 Women's</v>
      </c>
    </row>
    <row r="378" spans="1:46" ht="118.8">
      <c r="A378" t="s">
        <v>155</v>
      </c>
      <c r="B378" t="s">
        <v>561</v>
      </c>
      <c r="C378" t="s">
        <v>568</v>
      </c>
      <c r="D378">
        <v>188</v>
      </c>
      <c r="E378" t="s">
        <v>158</v>
      </c>
      <c r="F378">
        <v>188</v>
      </c>
      <c r="G378">
        <v>185.4</v>
      </c>
      <c r="H378">
        <v>118</v>
      </c>
      <c r="I378">
        <v>151</v>
      </c>
      <c r="J378">
        <v>136</v>
      </c>
      <c r="K378">
        <v>109</v>
      </c>
      <c r="L378">
        <v>127</v>
      </c>
      <c r="M378">
        <v>21.7</v>
      </c>
      <c r="N378">
        <v>1991</v>
      </c>
      <c r="O378">
        <v>1.1000000000000001</v>
      </c>
      <c r="P378">
        <v>2196</v>
      </c>
      <c r="Q378">
        <v>227</v>
      </c>
      <c r="R378">
        <v>102</v>
      </c>
      <c r="S378">
        <v>57</v>
      </c>
      <c r="T378">
        <v>467</v>
      </c>
      <c r="U378">
        <v>29</v>
      </c>
      <c r="V378">
        <v>207</v>
      </c>
      <c r="W378">
        <v>0.51200000000000001</v>
      </c>
      <c r="X378">
        <v>172</v>
      </c>
      <c r="Y378">
        <v>169</v>
      </c>
      <c r="Z378">
        <v>295</v>
      </c>
      <c r="AA378">
        <v>3</v>
      </c>
      <c r="AB378">
        <v>8.3000000000000007</v>
      </c>
      <c r="AC378" t="s">
        <v>169</v>
      </c>
      <c r="AD378" t="s">
        <v>185</v>
      </c>
      <c r="AG378" t="s">
        <v>3062</v>
      </c>
      <c r="AH378" t="s">
        <v>3063</v>
      </c>
      <c r="AI378" s="245">
        <v>150</v>
      </c>
      <c r="AJ378" t="s">
        <v>3064</v>
      </c>
      <c r="AK378" t="s">
        <v>3065</v>
      </c>
      <c r="AL378" t="s">
        <v>1194</v>
      </c>
      <c r="AM378" s="245">
        <v>460.11</v>
      </c>
      <c r="AN378" t="s">
        <v>3066</v>
      </c>
      <c r="AO378" t="s">
        <v>3067</v>
      </c>
      <c r="AP378" t="s">
        <v>1282</v>
      </c>
      <c r="AQ378" s="245">
        <v>479.96</v>
      </c>
      <c r="AR378" t="s">
        <v>3068</v>
      </c>
      <c r="AS378" s="226" t="str">
        <f t="shared" si="10"/>
        <v>The Slacker</v>
      </c>
      <c r="AT378" s="203" t="str">
        <f t="shared" si="11"/>
        <v xml:space="preserve"> J SkisThe Slacker188 Unisex</v>
      </c>
    </row>
    <row r="379" spans="1:46" ht="79.2">
      <c r="A379" t="s">
        <v>155</v>
      </c>
      <c r="B379" t="s">
        <v>1160</v>
      </c>
      <c r="C379" t="s">
        <v>569</v>
      </c>
      <c r="D379">
        <v>159</v>
      </c>
      <c r="E379" t="s">
        <v>163</v>
      </c>
      <c r="F379">
        <v>159</v>
      </c>
      <c r="G379">
        <v>159.69999999999999</v>
      </c>
      <c r="H379">
        <v>111</v>
      </c>
      <c r="I379">
        <v>129</v>
      </c>
      <c r="J379">
        <v>117</v>
      </c>
      <c r="K379">
        <v>88</v>
      </c>
      <c r="L379">
        <v>111</v>
      </c>
      <c r="M379">
        <v>14.4</v>
      </c>
      <c r="N379">
        <v>1705</v>
      </c>
      <c r="O379">
        <v>0.92</v>
      </c>
      <c r="P379">
        <v>1573</v>
      </c>
      <c r="Q379">
        <v>173</v>
      </c>
      <c r="R379">
        <v>92</v>
      </c>
      <c r="S379">
        <v>50</v>
      </c>
      <c r="T379">
        <v>233</v>
      </c>
      <c r="U379">
        <v>47</v>
      </c>
      <c r="V379">
        <v>257</v>
      </c>
      <c r="W379">
        <v>0.93599999999999905</v>
      </c>
      <c r="X379">
        <v>156</v>
      </c>
      <c r="Y379">
        <v>154</v>
      </c>
      <c r="Z379">
        <v>77</v>
      </c>
      <c r="AA379">
        <v>5</v>
      </c>
      <c r="AB379">
        <v>3.5</v>
      </c>
      <c r="AC379" t="s">
        <v>184</v>
      </c>
      <c r="AG379" t="s">
        <v>3069</v>
      </c>
      <c r="AH379" t="s">
        <v>1509</v>
      </c>
      <c r="AI379" s="245">
        <v>290.49</v>
      </c>
      <c r="AJ379" t="s">
        <v>3070</v>
      </c>
      <c r="AK379" t="s">
        <v>3069</v>
      </c>
      <c r="AL379" t="s">
        <v>1191</v>
      </c>
      <c r="AM379" s="245">
        <v>309.95</v>
      </c>
      <c r="AN379" t="s">
        <v>3071</v>
      </c>
      <c r="AO379" t="s">
        <v>3069</v>
      </c>
      <c r="AP379" t="s">
        <v>1566</v>
      </c>
      <c r="AQ379" s="245">
        <v>399.95</v>
      </c>
      <c r="AR379" t="s">
        <v>3072</v>
      </c>
      <c r="AS379" s="226" t="str">
        <f t="shared" si="10"/>
        <v>Midnight</v>
      </c>
      <c r="AT379" s="203" t="str">
        <f t="shared" si="11"/>
        <v>K2Midnight159 Women's</v>
      </c>
    </row>
    <row r="380" spans="1:46" ht="92.4">
      <c r="A380" t="s">
        <v>155</v>
      </c>
      <c r="B380" t="s">
        <v>172</v>
      </c>
      <c r="C380" t="s">
        <v>331</v>
      </c>
      <c r="D380">
        <v>162</v>
      </c>
      <c r="E380" t="s">
        <v>158</v>
      </c>
      <c r="F380">
        <v>162</v>
      </c>
      <c r="G380">
        <v>159.5</v>
      </c>
      <c r="H380">
        <v>112</v>
      </c>
      <c r="I380">
        <v>136</v>
      </c>
      <c r="J380">
        <v>129</v>
      </c>
      <c r="K380">
        <v>97</v>
      </c>
      <c r="L380">
        <v>120</v>
      </c>
      <c r="M380">
        <v>14.4</v>
      </c>
      <c r="N380">
        <v>1731</v>
      </c>
      <c r="O380">
        <v>1</v>
      </c>
      <c r="P380">
        <v>1723</v>
      </c>
      <c r="Q380">
        <v>192</v>
      </c>
      <c r="R380">
        <v>101</v>
      </c>
      <c r="S380">
        <v>53</v>
      </c>
      <c r="T380">
        <v>255</v>
      </c>
      <c r="U380">
        <v>35</v>
      </c>
      <c r="V380">
        <v>221</v>
      </c>
      <c r="W380">
        <v>0.66299999999999903</v>
      </c>
      <c r="X380">
        <v>137</v>
      </c>
      <c r="Y380">
        <v>94</v>
      </c>
      <c r="Z380">
        <v>118</v>
      </c>
      <c r="AA380">
        <v>7</v>
      </c>
      <c r="AB380">
        <v>4.0999999999999996</v>
      </c>
      <c r="AC380" t="s">
        <v>188</v>
      </c>
      <c r="AG380" t="s">
        <v>2751</v>
      </c>
      <c r="AH380" t="s">
        <v>1976</v>
      </c>
      <c r="AI380" s="245">
        <v>599</v>
      </c>
      <c r="AJ380" t="s">
        <v>3073</v>
      </c>
      <c r="AK380" t="s">
        <v>2751</v>
      </c>
      <c r="AL380" t="s">
        <v>1271</v>
      </c>
      <c r="AM380" s="245">
        <v>599.92999999999995</v>
      </c>
      <c r="AN380" t="s">
        <v>3074</v>
      </c>
      <c r="AO380" t="s">
        <v>2751</v>
      </c>
      <c r="AP380" t="s">
        <v>1400</v>
      </c>
      <c r="AQ380" s="245">
        <v>599.99</v>
      </c>
      <c r="AR380" t="s">
        <v>3075</v>
      </c>
      <c r="AS380" s="226" t="str">
        <f t="shared" si="10"/>
        <v>Blackops Holyshred</v>
      </c>
      <c r="AT380" s="203" t="str">
        <f t="shared" si="11"/>
        <v xml:space="preserve"> RossignolBlackops Holyshred162 Unisex</v>
      </c>
    </row>
    <row r="381" spans="1:46" ht="66">
      <c r="A381" t="s">
        <v>155</v>
      </c>
      <c r="B381" t="s">
        <v>1160</v>
      </c>
      <c r="C381" t="s">
        <v>474</v>
      </c>
      <c r="D381">
        <v>170</v>
      </c>
      <c r="E381" t="s">
        <v>158</v>
      </c>
      <c r="F381">
        <v>170</v>
      </c>
      <c r="G381">
        <v>169.9</v>
      </c>
      <c r="H381">
        <v>119</v>
      </c>
      <c r="I381">
        <v>146</v>
      </c>
      <c r="J381">
        <v>127</v>
      </c>
      <c r="K381">
        <v>89</v>
      </c>
      <c r="L381">
        <v>113</v>
      </c>
      <c r="M381">
        <v>16.7</v>
      </c>
      <c r="N381">
        <v>1831</v>
      </c>
      <c r="O381">
        <v>0.94</v>
      </c>
      <c r="P381">
        <v>1723</v>
      </c>
      <c r="Q381">
        <v>184</v>
      </c>
      <c r="R381">
        <v>120</v>
      </c>
      <c r="S381">
        <v>43</v>
      </c>
      <c r="T381">
        <v>329</v>
      </c>
      <c r="U381">
        <v>20</v>
      </c>
      <c r="V381">
        <v>180</v>
      </c>
      <c r="W381">
        <v>0.46899999999999997</v>
      </c>
      <c r="X381">
        <v>139</v>
      </c>
      <c r="Y381">
        <v>98</v>
      </c>
      <c r="Z381">
        <v>190</v>
      </c>
      <c r="AA381">
        <v>4</v>
      </c>
      <c r="AB381">
        <v>10.9</v>
      </c>
      <c r="AC381" t="s">
        <v>188</v>
      </c>
      <c r="AG381" t="s">
        <v>3076</v>
      </c>
      <c r="AH381" t="s">
        <v>1191</v>
      </c>
      <c r="AI381" s="245">
        <v>329.95</v>
      </c>
      <c r="AJ381" t="s">
        <v>3077</v>
      </c>
      <c r="AK381" t="s">
        <v>2572</v>
      </c>
      <c r="AL381" t="s">
        <v>1194</v>
      </c>
      <c r="AM381" s="245">
        <v>599.29</v>
      </c>
      <c r="AN381" t="s">
        <v>3078</v>
      </c>
      <c r="AO381" t="s">
        <v>2874</v>
      </c>
      <c r="AP381" t="s">
        <v>2875</v>
      </c>
      <c r="AQ381" s="245">
        <v>320.68</v>
      </c>
      <c r="AR381" t="s">
        <v>3079</v>
      </c>
      <c r="AS381" s="226" t="str">
        <f t="shared" si="10"/>
        <v>Mindbender 90 Ti</v>
      </c>
      <c r="AT381" s="203" t="str">
        <f t="shared" si="11"/>
        <v>K2Mindbender 90 Ti170 Unisex</v>
      </c>
    </row>
    <row r="382" spans="1:46" ht="105.6">
      <c r="A382" t="s">
        <v>155</v>
      </c>
      <c r="B382" t="s">
        <v>332</v>
      </c>
      <c r="C382" t="s">
        <v>563</v>
      </c>
      <c r="D382">
        <v>158</v>
      </c>
      <c r="E382" t="s">
        <v>163</v>
      </c>
      <c r="F382">
        <v>158</v>
      </c>
      <c r="G382">
        <v>157.4</v>
      </c>
      <c r="H382">
        <v>114</v>
      </c>
      <c r="I382">
        <v>129</v>
      </c>
      <c r="J382">
        <v>119</v>
      </c>
      <c r="K382">
        <v>87</v>
      </c>
      <c r="L382">
        <v>106</v>
      </c>
      <c r="M382">
        <v>14.5</v>
      </c>
      <c r="N382">
        <v>1654</v>
      </c>
      <c r="O382">
        <v>0.93</v>
      </c>
      <c r="P382">
        <v>1540</v>
      </c>
      <c r="Q382">
        <v>173</v>
      </c>
      <c r="R382">
        <v>86</v>
      </c>
      <c r="S382">
        <v>60</v>
      </c>
      <c r="T382">
        <v>260</v>
      </c>
      <c r="U382">
        <v>11</v>
      </c>
      <c r="V382">
        <v>174</v>
      </c>
      <c r="W382">
        <v>0.183</v>
      </c>
      <c r="X382">
        <v>128</v>
      </c>
      <c r="Y382">
        <v>154</v>
      </c>
      <c r="Z382">
        <v>132</v>
      </c>
      <c r="AA382">
        <v>7</v>
      </c>
      <c r="AB382">
        <v>8.3000000000000007</v>
      </c>
      <c r="AC382" t="s">
        <v>188</v>
      </c>
      <c r="AG382" t="s">
        <v>2916</v>
      </c>
      <c r="AH382" t="s">
        <v>1289</v>
      </c>
      <c r="AI382" s="245">
        <v>209.95</v>
      </c>
      <c r="AJ382" t="s">
        <v>3080</v>
      </c>
      <c r="AK382" t="s">
        <v>3081</v>
      </c>
      <c r="AL382" t="s">
        <v>1400</v>
      </c>
      <c r="AM382" s="245">
        <v>479.99</v>
      </c>
      <c r="AN382" t="s">
        <v>3082</v>
      </c>
      <c r="AO382" t="s">
        <v>3083</v>
      </c>
      <c r="AP382" t="s">
        <v>1242</v>
      </c>
      <c r="AQ382" s="245">
        <v>559.99</v>
      </c>
      <c r="AR382" t="s">
        <v>3084</v>
      </c>
      <c r="AS382" s="226" t="str">
        <f t="shared" si="10"/>
        <v>Santa Ana 88</v>
      </c>
      <c r="AT382" s="203" t="str">
        <f t="shared" si="11"/>
        <v xml:space="preserve"> NordicaSanta Ana 88158 Women's</v>
      </c>
    </row>
    <row r="383" spans="1:46" ht="79.2">
      <c r="A383" t="s">
        <v>155</v>
      </c>
      <c r="B383" t="s">
        <v>329</v>
      </c>
      <c r="C383" t="s">
        <v>570</v>
      </c>
      <c r="D383">
        <v>178</v>
      </c>
      <c r="E383" t="s">
        <v>158</v>
      </c>
      <c r="F383">
        <v>178</v>
      </c>
      <c r="G383">
        <v>175.8</v>
      </c>
      <c r="H383">
        <v>138</v>
      </c>
      <c r="I383">
        <v>153</v>
      </c>
      <c r="J383">
        <v>116</v>
      </c>
      <c r="K383">
        <v>80</v>
      </c>
      <c r="L383">
        <v>100</v>
      </c>
      <c r="M383">
        <v>20.6</v>
      </c>
      <c r="N383">
        <v>1175</v>
      </c>
      <c r="O383">
        <v>1.35</v>
      </c>
      <c r="P383">
        <v>1590</v>
      </c>
      <c r="Q383">
        <v>285</v>
      </c>
      <c r="R383">
        <v>102</v>
      </c>
      <c r="S383">
        <v>56</v>
      </c>
      <c r="T383">
        <v>280</v>
      </c>
      <c r="U383">
        <v>9</v>
      </c>
      <c r="V383">
        <v>95</v>
      </c>
      <c r="W383">
        <v>0.16300000000000001</v>
      </c>
      <c r="X383">
        <v>136</v>
      </c>
      <c r="Y383">
        <v>90</v>
      </c>
      <c r="Z383">
        <v>144</v>
      </c>
      <c r="AA383">
        <v>5</v>
      </c>
      <c r="AB383">
        <v>12.3</v>
      </c>
      <c r="AC383" t="s">
        <v>185</v>
      </c>
      <c r="AD383" t="s">
        <v>198</v>
      </c>
      <c r="AG383" t="s">
        <v>3085</v>
      </c>
      <c r="AH383" t="s">
        <v>1194</v>
      </c>
      <c r="AI383" s="245">
        <v>552.30999999999995</v>
      </c>
      <c r="AJ383" t="s">
        <v>3086</v>
      </c>
      <c r="AK383" t="s">
        <v>2737</v>
      </c>
      <c r="AL383" t="s">
        <v>1471</v>
      </c>
      <c r="AM383" s="245">
        <v>559.96</v>
      </c>
      <c r="AN383" t="s">
        <v>3087</v>
      </c>
      <c r="AO383" t="s">
        <v>3085</v>
      </c>
      <c r="AP383" t="s">
        <v>1334</v>
      </c>
      <c r="AQ383" s="245">
        <v>599.95000000000005</v>
      </c>
      <c r="AR383" t="s">
        <v>3088</v>
      </c>
      <c r="AS383" s="226" t="str">
        <f t="shared" si="10"/>
        <v>Blacklight 80</v>
      </c>
      <c r="AT383" s="203" t="str">
        <f t="shared" si="11"/>
        <v xml:space="preserve"> DynafitBlacklight 80178 Unisex</v>
      </c>
    </row>
    <row r="384" spans="1:46" ht="52.8">
      <c r="A384" t="s">
        <v>155</v>
      </c>
      <c r="B384" t="s">
        <v>317</v>
      </c>
      <c r="C384" t="s">
        <v>571</v>
      </c>
      <c r="D384">
        <v>172</v>
      </c>
      <c r="E384" t="s">
        <v>163</v>
      </c>
      <c r="F384">
        <v>172</v>
      </c>
      <c r="G384">
        <v>170.8</v>
      </c>
      <c r="H384">
        <v>115</v>
      </c>
      <c r="I384">
        <v>142</v>
      </c>
      <c r="J384">
        <v>124</v>
      </c>
      <c r="K384">
        <v>91</v>
      </c>
      <c r="L384">
        <v>114</v>
      </c>
      <c r="M384">
        <v>16.399999999999999</v>
      </c>
      <c r="N384">
        <v>1938</v>
      </c>
      <c r="O384">
        <v>0.91</v>
      </c>
      <c r="P384">
        <v>1757</v>
      </c>
      <c r="Q384">
        <v>190</v>
      </c>
      <c r="R384">
        <v>95</v>
      </c>
      <c r="S384">
        <v>65</v>
      </c>
      <c r="T384">
        <v>325</v>
      </c>
      <c r="U384">
        <v>31</v>
      </c>
      <c r="V384">
        <v>237</v>
      </c>
      <c r="W384">
        <v>0.48499999999999999</v>
      </c>
      <c r="X384">
        <v>146</v>
      </c>
      <c r="Y384">
        <v>138</v>
      </c>
      <c r="Z384">
        <v>179</v>
      </c>
      <c r="AA384">
        <v>4</v>
      </c>
      <c r="AB384">
        <v>8</v>
      </c>
      <c r="AC384" t="s">
        <v>188</v>
      </c>
      <c r="AG384" t="s">
        <v>3089</v>
      </c>
      <c r="AH384" t="s">
        <v>1271</v>
      </c>
      <c r="AI384" s="245">
        <v>479.93</v>
      </c>
      <c r="AJ384" t="s">
        <v>3090</v>
      </c>
      <c r="AK384" t="s">
        <v>3089</v>
      </c>
      <c r="AL384" t="s">
        <v>3091</v>
      </c>
      <c r="AM384" s="245">
        <v>479.95</v>
      </c>
      <c r="AN384" t="s">
        <v>3092</v>
      </c>
      <c r="AO384" t="s">
        <v>3089</v>
      </c>
      <c r="AP384" t="s">
        <v>1226</v>
      </c>
      <c r="AQ384" s="245">
        <v>479.95</v>
      </c>
      <c r="AR384" t="s">
        <v>3093</v>
      </c>
      <c r="AS384" s="226" t="str">
        <f t="shared" si="10"/>
        <v>Sheeva 9</v>
      </c>
      <c r="AT384" s="203" t="str">
        <f t="shared" si="11"/>
        <v xml:space="preserve"> BlizzardSheeva 9172 Women's</v>
      </c>
    </row>
    <row r="385" spans="1:46" ht="105.6">
      <c r="A385" t="s">
        <v>155</v>
      </c>
      <c r="B385" t="s">
        <v>1395</v>
      </c>
      <c r="C385" t="s">
        <v>565</v>
      </c>
      <c r="D385">
        <v>170</v>
      </c>
      <c r="E385" t="s">
        <v>158</v>
      </c>
      <c r="F385">
        <v>170</v>
      </c>
      <c r="G385">
        <v>170.8</v>
      </c>
      <c r="H385">
        <v>125</v>
      </c>
      <c r="I385">
        <v>148</v>
      </c>
      <c r="J385">
        <v>134</v>
      </c>
      <c r="K385">
        <v>95</v>
      </c>
      <c r="L385">
        <v>118</v>
      </c>
      <c r="M385">
        <v>17</v>
      </c>
      <c r="N385">
        <v>1885</v>
      </c>
      <c r="O385">
        <v>0.97</v>
      </c>
      <c r="P385">
        <v>1836</v>
      </c>
      <c r="Q385">
        <v>203</v>
      </c>
      <c r="R385">
        <v>131</v>
      </c>
      <c r="S385">
        <v>44</v>
      </c>
      <c r="T385">
        <v>278</v>
      </c>
      <c r="U385">
        <v>16</v>
      </c>
      <c r="V385">
        <v>178</v>
      </c>
      <c r="W385">
        <v>0.375</v>
      </c>
      <c r="X385">
        <v>131</v>
      </c>
      <c r="Y385">
        <v>99</v>
      </c>
      <c r="Z385">
        <v>147</v>
      </c>
      <c r="AA385">
        <v>3</v>
      </c>
      <c r="AB385">
        <v>11.1</v>
      </c>
      <c r="AC385" t="s">
        <v>188</v>
      </c>
      <c r="AG385" t="s">
        <v>3094</v>
      </c>
      <c r="AH385" t="s">
        <v>1232</v>
      </c>
      <c r="AI385" s="245">
        <v>559.95000000000005</v>
      </c>
      <c r="AJ385" t="s">
        <v>3095</v>
      </c>
      <c r="AK385" t="s">
        <v>3096</v>
      </c>
      <c r="AL385" t="s">
        <v>1320</v>
      </c>
      <c r="AM385" s="245">
        <v>559.99</v>
      </c>
      <c r="AN385" t="s">
        <v>3097</v>
      </c>
      <c r="AO385" t="s">
        <v>3098</v>
      </c>
      <c r="AP385" t="s">
        <v>1224</v>
      </c>
      <c r="AQ385" s="245">
        <v>559.99</v>
      </c>
      <c r="AR385" t="s">
        <v>3099</v>
      </c>
      <c r="AS385" s="226" t="str">
        <f t="shared" si="10"/>
        <v>M6 Mantra</v>
      </c>
      <c r="AT385" s="203" t="str">
        <f t="shared" si="11"/>
        <v xml:space="preserve"> Vï¿½lklM6 Mantra170 Unisex</v>
      </c>
    </row>
    <row r="386" spans="1:46" ht="92.4">
      <c r="A386" t="s">
        <v>155</v>
      </c>
      <c r="B386" t="s">
        <v>174</v>
      </c>
      <c r="C386" t="s">
        <v>573</v>
      </c>
      <c r="D386">
        <v>183</v>
      </c>
      <c r="E386" t="s">
        <v>158</v>
      </c>
      <c r="F386">
        <v>183</v>
      </c>
      <c r="G386">
        <v>182.6</v>
      </c>
      <c r="H386">
        <v>101</v>
      </c>
      <c r="I386">
        <v>137</v>
      </c>
      <c r="J386">
        <v>132</v>
      </c>
      <c r="K386">
        <v>98</v>
      </c>
      <c r="L386">
        <v>120</v>
      </c>
      <c r="M386">
        <v>14.2</v>
      </c>
      <c r="N386">
        <v>2030</v>
      </c>
      <c r="O386">
        <v>0.99</v>
      </c>
      <c r="P386">
        <v>2008</v>
      </c>
      <c r="Q386">
        <v>210</v>
      </c>
      <c r="R386">
        <v>105</v>
      </c>
      <c r="S386">
        <v>52</v>
      </c>
      <c r="T386">
        <v>414</v>
      </c>
      <c r="U386">
        <v>33</v>
      </c>
      <c r="V386">
        <v>406</v>
      </c>
      <c r="W386">
        <v>0.629</v>
      </c>
      <c r="X386">
        <v>276</v>
      </c>
      <c r="Y386">
        <v>182</v>
      </c>
      <c r="Z386">
        <v>138</v>
      </c>
      <c r="AA386">
        <v>6</v>
      </c>
      <c r="AB386">
        <v>8.6999999999999993</v>
      </c>
      <c r="AC386" t="s">
        <v>188</v>
      </c>
      <c r="AG386" t="s">
        <v>3100</v>
      </c>
      <c r="AH386" t="s">
        <v>1627</v>
      </c>
      <c r="AI386" s="245">
        <v>539</v>
      </c>
      <c r="AJ386" t="s">
        <v>3101</v>
      </c>
      <c r="AK386" t="s">
        <v>3102</v>
      </c>
      <c r="AL386" t="s">
        <v>1204</v>
      </c>
      <c r="AM386" s="245">
        <v>561.20000000000005</v>
      </c>
      <c r="AN386" t="s">
        <v>3103</v>
      </c>
      <c r="AO386" t="s">
        <v>3104</v>
      </c>
      <c r="AP386" t="s">
        <v>1179</v>
      </c>
      <c r="AQ386" s="245">
        <v>575.95000000000005</v>
      </c>
      <c r="AR386" t="s">
        <v>3105</v>
      </c>
      <c r="AS386" s="226" t="str">
        <f t="shared" ref="AS386:AS449" si="12">IF(LEFT(C386,1)=" ",RIGHT(C386,LEN(C386)-1),C386)</f>
        <v>QST 98</v>
      </c>
      <c r="AT386" s="203" t="str">
        <f t="shared" ref="AT386:AT449" si="13">_xlfn.CONCAT(B386,AS386,D386,E386)</f>
        <v xml:space="preserve"> SalomonQST 98183 Unisex</v>
      </c>
    </row>
    <row r="387" spans="1:46" ht="105.6">
      <c r="A387" t="s">
        <v>155</v>
      </c>
      <c r="B387" t="s">
        <v>174</v>
      </c>
      <c r="C387" t="s">
        <v>526</v>
      </c>
      <c r="D387">
        <v>167</v>
      </c>
      <c r="E387" t="s">
        <v>163</v>
      </c>
      <c r="F387">
        <v>167</v>
      </c>
      <c r="G387">
        <v>166.4</v>
      </c>
      <c r="H387">
        <v>105</v>
      </c>
      <c r="I387">
        <v>136</v>
      </c>
      <c r="J387">
        <v>136</v>
      </c>
      <c r="K387">
        <v>104</v>
      </c>
      <c r="L387">
        <v>123</v>
      </c>
      <c r="M387">
        <v>17.600000000000001</v>
      </c>
      <c r="N387">
        <v>1843</v>
      </c>
      <c r="O387">
        <v>1.04</v>
      </c>
      <c r="P387">
        <v>1912</v>
      </c>
      <c r="Q387">
        <v>207</v>
      </c>
      <c r="R387">
        <v>85</v>
      </c>
      <c r="S387">
        <v>56</v>
      </c>
      <c r="T387">
        <v>343</v>
      </c>
      <c r="U387">
        <v>24</v>
      </c>
      <c r="V387">
        <v>266</v>
      </c>
      <c r="W387">
        <v>0.436</v>
      </c>
      <c r="X387">
        <v>186</v>
      </c>
      <c r="Y387">
        <v>115</v>
      </c>
      <c r="Z387">
        <v>158</v>
      </c>
      <c r="AA387">
        <v>6</v>
      </c>
      <c r="AB387">
        <v>9.9</v>
      </c>
      <c r="AC387" t="s">
        <v>188</v>
      </c>
      <c r="AD387" t="s">
        <v>169</v>
      </c>
      <c r="AG387" t="s">
        <v>2261</v>
      </c>
      <c r="AH387" t="s">
        <v>1242</v>
      </c>
      <c r="AI387" s="245">
        <v>399.99</v>
      </c>
      <c r="AJ387" t="s">
        <v>3106</v>
      </c>
      <c r="AK387" t="s">
        <v>3107</v>
      </c>
      <c r="AL387" t="s">
        <v>1204</v>
      </c>
      <c r="AM387" s="245">
        <v>481.02</v>
      </c>
      <c r="AN387" t="s">
        <v>3108</v>
      </c>
      <c r="AO387" t="s">
        <v>3109</v>
      </c>
      <c r="AP387" t="s">
        <v>1271</v>
      </c>
      <c r="AQ387" s="245">
        <v>559.92999999999995</v>
      </c>
      <c r="AR387" t="s">
        <v>3110</v>
      </c>
      <c r="AS387" s="226" t="str">
        <f t="shared" si="12"/>
        <v>QST Stella 106</v>
      </c>
      <c r="AT387" s="203" t="str">
        <f t="shared" si="13"/>
        <v xml:space="preserve"> SalomonQST Stella 106167 Women's</v>
      </c>
    </row>
    <row r="388" spans="1:46" ht="105.6">
      <c r="A388" t="s">
        <v>155</v>
      </c>
      <c r="B388" t="s">
        <v>561</v>
      </c>
      <c r="C388" t="s">
        <v>568</v>
      </c>
      <c r="D388">
        <v>182</v>
      </c>
      <c r="E388" t="s">
        <v>158</v>
      </c>
      <c r="F388">
        <v>182</v>
      </c>
      <c r="G388">
        <v>179.9</v>
      </c>
      <c r="H388">
        <v>113</v>
      </c>
      <c r="I388">
        <v>147</v>
      </c>
      <c r="J388">
        <v>136</v>
      </c>
      <c r="K388">
        <v>109</v>
      </c>
      <c r="L388">
        <v>128</v>
      </c>
      <c r="M388">
        <v>20.399999999999999</v>
      </c>
      <c r="N388">
        <v>1946</v>
      </c>
      <c r="O388">
        <v>1.1000000000000001</v>
      </c>
      <c r="P388">
        <v>2132</v>
      </c>
      <c r="Q388">
        <v>212</v>
      </c>
      <c r="R388">
        <v>99</v>
      </c>
      <c r="S388">
        <v>60</v>
      </c>
      <c r="T388">
        <v>447</v>
      </c>
      <c r="U388">
        <v>30</v>
      </c>
      <c r="V388">
        <v>218</v>
      </c>
      <c r="W388">
        <v>0.501</v>
      </c>
      <c r="X388">
        <v>175</v>
      </c>
      <c r="Y388">
        <v>151</v>
      </c>
      <c r="Z388">
        <v>271</v>
      </c>
      <c r="AA388">
        <v>5</v>
      </c>
      <c r="AB388">
        <v>8</v>
      </c>
      <c r="AC388" t="s">
        <v>169</v>
      </c>
      <c r="AD388" t="s">
        <v>185</v>
      </c>
      <c r="AG388" t="s">
        <v>3111</v>
      </c>
      <c r="AH388" t="s">
        <v>1185</v>
      </c>
      <c r="AI388" s="245">
        <v>489.99</v>
      </c>
      <c r="AJ388" t="s">
        <v>3112</v>
      </c>
      <c r="AK388" t="s">
        <v>3113</v>
      </c>
      <c r="AL388" t="s">
        <v>2997</v>
      </c>
      <c r="AM388" s="245">
        <v>499</v>
      </c>
      <c r="AN388" t="s">
        <v>3114</v>
      </c>
      <c r="AO388" t="s">
        <v>3115</v>
      </c>
      <c r="AP388" t="s">
        <v>1224</v>
      </c>
      <c r="AQ388" s="245">
        <v>524.99</v>
      </c>
      <c r="AR388" t="s">
        <v>3116</v>
      </c>
      <c r="AS388" s="226" t="str">
        <f t="shared" si="12"/>
        <v>The Slacker</v>
      </c>
      <c r="AT388" s="203" t="str">
        <f t="shared" si="13"/>
        <v xml:space="preserve"> J SkisThe Slacker182 Unisex</v>
      </c>
    </row>
    <row r="389" spans="1:46" ht="52.8">
      <c r="A389" t="s">
        <v>155</v>
      </c>
      <c r="B389" t="s">
        <v>1395</v>
      </c>
      <c r="C389" t="s">
        <v>470</v>
      </c>
      <c r="D389">
        <v>180</v>
      </c>
      <c r="E389" t="s">
        <v>158</v>
      </c>
      <c r="F389">
        <v>180</v>
      </c>
      <c r="G389">
        <v>180.3</v>
      </c>
      <c r="H389">
        <v>122</v>
      </c>
      <c r="I389">
        <v>166</v>
      </c>
      <c r="J389">
        <v>119</v>
      </c>
      <c r="K389">
        <v>85</v>
      </c>
      <c r="L389">
        <v>109</v>
      </c>
      <c r="M389">
        <v>23.5</v>
      </c>
      <c r="N389">
        <v>1832</v>
      </c>
      <c r="O389">
        <v>0.94</v>
      </c>
      <c r="P389">
        <v>1724</v>
      </c>
      <c r="Q389">
        <v>205</v>
      </c>
      <c r="R389">
        <v>99</v>
      </c>
      <c r="S389">
        <v>43</v>
      </c>
      <c r="T389">
        <v>285</v>
      </c>
      <c r="U389">
        <v>39</v>
      </c>
      <c r="V389">
        <v>295</v>
      </c>
      <c r="W389">
        <v>0.90200000000000002</v>
      </c>
      <c r="X389">
        <v>79</v>
      </c>
      <c r="Y389">
        <v>68</v>
      </c>
      <c r="Z389">
        <v>206</v>
      </c>
      <c r="AA389">
        <v>4</v>
      </c>
      <c r="AB389">
        <v>1.6</v>
      </c>
      <c r="AC389" t="s">
        <v>184</v>
      </c>
      <c r="AG389" t="s">
        <v>3117</v>
      </c>
      <c r="AH389" t="s">
        <v>1402</v>
      </c>
      <c r="AI389" s="245">
        <v>399.99</v>
      </c>
      <c r="AJ389" t="s">
        <v>3118</v>
      </c>
      <c r="AK389" t="s">
        <v>3119</v>
      </c>
      <c r="AL389" t="s">
        <v>2130</v>
      </c>
      <c r="AM389" s="245">
        <v>399.99</v>
      </c>
      <c r="AN389" t="s">
        <v>3120</v>
      </c>
      <c r="AO389" t="s">
        <v>3119</v>
      </c>
      <c r="AP389" t="s">
        <v>1421</v>
      </c>
      <c r="AQ389" s="245">
        <v>399.99</v>
      </c>
      <c r="AR389" t="s">
        <v>3121</v>
      </c>
      <c r="AS389" s="226" t="str">
        <f t="shared" si="12"/>
        <v>Bash 86</v>
      </c>
      <c r="AT389" s="203" t="str">
        <f t="shared" si="13"/>
        <v xml:space="preserve"> Vï¿½lklBash 86180 Unisex</v>
      </c>
    </row>
    <row r="390" spans="1:46" ht="52.8">
      <c r="A390" t="s">
        <v>155</v>
      </c>
      <c r="B390" t="s">
        <v>202</v>
      </c>
      <c r="C390" t="s">
        <v>203</v>
      </c>
      <c r="D390">
        <v>186</v>
      </c>
      <c r="E390" t="s">
        <v>158</v>
      </c>
      <c r="F390">
        <v>186</v>
      </c>
      <c r="G390">
        <v>185.6</v>
      </c>
      <c r="H390">
        <v>137</v>
      </c>
      <c r="I390">
        <v>154</v>
      </c>
      <c r="J390">
        <v>119</v>
      </c>
      <c r="K390">
        <v>88</v>
      </c>
      <c r="L390">
        <v>108</v>
      </c>
      <c r="M390">
        <v>20.5</v>
      </c>
      <c r="N390">
        <v>1922</v>
      </c>
      <c r="O390">
        <v>0.95</v>
      </c>
      <c r="P390">
        <v>1834</v>
      </c>
      <c r="Q390">
        <v>286</v>
      </c>
      <c r="R390">
        <v>116</v>
      </c>
      <c r="S390">
        <v>66</v>
      </c>
      <c r="T390">
        <v>334</v>
      </c>
      <c r="U390">
        <v>14</v>
      </c>
      <c r="V390">
        <v>152</v>
      </c>
      <c r="W390">
        <v>0.218999999999999</v>
      </c>
      <c r="X390">
        <v>203</v>
      </c>
      <c r="Y390">
        <v>116</v>
      </c>
      <c r="Z390">
        <v>131</v>
      </c>
      <c r="AA390">
        <v>7</v>
      </c>
      <c r="AB390">
        <v>11.7</v>
      </c>
      <c r="AC390" t="s">
        <v>188</v>
      </c>
      <c r="AG390" t="s">
        <v>3122</v>
      </c>
      <c r="AH390" t="s">
        <v>1194</v>
      </c>
      <c r="AI390" s="245">
        <v>331.01</v>
      </c>
      <c r="AJ390" t="s">
        <v>3123</v>
      </c>
      <c r="AK390" t="s">
        <v>3124</v>
      </c>
      <c r="AL390" t="s">
        <v>1204</v>
      </c>
      <c r="AM390" s="245">
        <v>448.96</v>
      </c>
      <c r="AN390" t="s">
        <v>3125</v>
      </c>
      <c r="AO390" t="s">
        <v>2314</v>
      </c>
      <c r="AP390" t="s">
        <v>1320</v>
      </c>
      <c r="AQ390" s="245">
        <v>479.96</v>
      </c>
      <c r="AR390" t="s">
        <v>3126</v>
      </c>
      <c r="AS390" s="226" t="str">
        <f t="shared" si="12"/>
        <v>M-Pro 90</v>
      </c>
      <c r="AT390" s="203" t="str">
        <f t="shared" si="13"/>
        <v xml:space="preserve"> DynastarM-Pro 90186 Unisex</v>
      </c>
    </row>
    <row r="391" spans="1:46" ht="39.6">
      <c r="A391" t="s">
        <v>155</v>
      </c>
      <c r="B391" t="s">
        <v>1395</v>
      </c>
      <c r="C391" t="s">
        <v>575</v>
      </c>
      <c r="D391">
        <v>169</v>
      </c>
      <c r="E391" t="s">
        <v>158</v>
      </c>
      <c r="F391">
        <v>169</v>
      </c>
      <c r="G391">
        <v>166.1</v>
      </c>
      <c r="H391">
        <v>133</v>
      </c>
      <c r="I391">
        <v>145</v>
      </c>
      <c r="J391">
        <v>115</v>
      </c>
      <c r="K391">
        <v>86</v>
      </c>
      <c r="L391">
        <v>115</v>
      </c>
      <c r="M391">
        <v>18</v>
      </c>
      <c r="N391">
        <v>1834</v>
      </c>
      <c r="O391">
        <v>0.87</v>
      </c>
      <c r="P391">
        <v>1604</v>
      </c>
      <c r="Q391">
        <v>221</v>
      </c>
      <c r="R391">
        <v>103</v>
      </c>
      <c r="S391">
        <v>45</v>
      </c>
      <c r="T391">
        <v>169</v>
      </c>
      <c r="U391">
        <v>42</v>
      </c>
      <c r="V391">
        <v>166</v>
      </c>
      <c r="W391">
        <v>0.92900000000000005</v>
      </c>
      <c r="X391">
        <v>103</v>
      </c>
      <c r="Y391">
        <v>110</v>
      </c>
      <c r="Z391">
        <v>67</v>
      </c>
      <c r="AA391">
        <v>7</v>
      </c>
      <c r="AB391">
        <v>0.4</v>
      </c>
      <c r="AC391" t="s">
        <v>184</v>
      </c>
      <c r="AG391" t="s">
        <v>3127</v>
      </c>
      <c r="AH391" t="s">
        <v>1271</v>
      </c>
      <c r="AI391" s="245">
        <v>469.95</v>
      </c>
      <c r="AJ391" t="s">
        <v>3128</v>
      </c>
      <c r="AK391" t="s">
        <v>3129</v>
      </c>
      <c r="AL391" t="s">
        <v>3130</v>
      </c>
      <c r="AM391" s="245">
        <v>549.95000000000005</v>
      </c>
      <c r="AN391" t="s">
        <v>3131</v>
      </c>
      <c r="AS391" s="226" t="str">
        <f t="shared" si="12"/>
        <v>Revolt 87</v>
      </c>
      <c r="AT391" s="203" t="str">
        <f t="shared" si="13"/>
        <v xml:space="preserve"> Vï¿½lklRevolt 87169 Unisex</v>
      </c>
    </row>
    <row r="392" spans="1:46" ht="79.2">
      <c r="A392" t="s">
        <v>155</v>
      </c>
      <c r="B392" t="s">
        <v>208</v>
      </c>
      <c r="C392" t="s">
        <v>577</v>
      </c>
      <c r="D392">
        <v>178</v>
      </c>
      <c r="E392" t="s">
        <v>163</v>
      </c>
      <c r="F392">
        <v>178</v>
      </c>
      <c r="G392">
        <v>178.5</v>
      </c>
      <c r="H392">
        <v>115</v>
      </c>
      <c r="I392">
        <v>145</v>
      </c>
      <c r="J392">
        <v>142</v>
      </c>
      <c r="K392">
        <v>109</v>
      </c>
      <c r="L392">
        <v>128</v>
      </c>
      <c r="M392">
        <v>18.3</v>
      </c>
      <c r="N392">
        <v>1529</v>
      </c>
      <c r="O392">
        <v>1.38</v>
      </c>
      <c r="P392">
        <v>2115</v>
      </c>
      <c r="Q392">
        <v>167</v>
      </c>
      <c r="R392">
        <v>81</v>
      </c>
      <c r="S392">
        <v>54</v>
      </c>
      <c r="T392">
        <v>353</v>
      </c>
      <c r="U392">
        <v>32</v>
      </c>
      <c r="V392">
        <v>285</v>
      </c>
      <c r="W392">
        <v>0.6</v>
      </c>
      <c r="X392">
        <v>162</v>
      </c>
      <c r="Y392">
        <v>177</v>
      </c>
      <c r="Z392">
        <v>191</v>
      </c>
      <c r="AA392">
        <v>5</v>
      </c>
      <c r="AB392">
        <v>5.5</v>
      </c>
      <c r="AC392" t="s">
        <v>169</v>
      </c>
      <c r="AD392" t="s">
        <v>185</v>
      </c>
      <c r="AE392" t="s">
        <v>198</v>
      </c>
      <c r="AG392" t="s">
        <v>3132</v>
      </c>
      <c r="AH392" t="s">
        <v>1244</v>
      </c>
      <c r="AI392" s="245">
        <v>559.96</v>
      </c>
      <c r="AJ392" t="s">
        <v>3133</v>
      </c>
      <c r="AK392" t="s">
        <v>3132</v>
      </c>
      <c r="AL392" t="s">
        <v>1309</v>
      </c>
      <c r="AM392" s="245">
        <v>559.96</v>
      </c>
      <c r="AN392" t="s">
        <v>3134</v>
      </c>
      <c r="AO392" t="s">
        <v>3132</v>
      </c>
      <c r="AP392" t="s">
        <v>1950</v>
      </c>
      <c r="AQ392" s="245">
        <v>699.95</v>
      </c>
      <c r="AR392" t="s">
        <v>3135</v>
      </c>
      <c r="AS392" s="226" t="str">
        <f t="shared" si="12"/>
        <v>Pandora 110</v>
      </c>
      <c r="AT392" s="203" t="str">
        <f t="shared" si="13"/>
        <v xml:space="preserve"> LinePandora 110178 Women's</v>
      </c>
    </row>
    <row r="393" spans="1:46" ht="92.4">
      <c r="A393" t="s">
        <v>155</v>
      </c>
      <c r="B393" t="s">
        <v>237</v>
      </c>
      <c r="C393" t="s">
        <v>541</v>
      </c>
      <c r="D393">
        <v>178.3</v>
      </c>
      <c r="E393" t="s">
        <v>158</v>
      </c>
      <c r="F393">
        <v>178.3</v>
      </c>
      <c r="G393">
        <v>176.9</v>
      </c>
      <c r="H393">
        <v>122</v>
      </c>
      <c r="I393">
        <v>145</v>
      </c>
      <c r="J393">
        <v>138</v>
      </c>
      <c r="K393">
        <v>108</v>
      </c>
      <c r="L393">
        <v>125</v>
      </c>
      <c r="M393">
        <v>20.399999999999999</v>
      </c>
      <c r="N393">
        <v>1900</v>
      </c>
      <c r="O393">
        <v>1.0900000000000001</v>
      </c>
      <c r="P393">
        <v>2078</v>
      </c>
      <c r="Q393">
        <v>197</v>
      </c>
      <c r="R393">
        <v>85</v>
      </c>
      <c r="S393">
        <v>53</v>
      </c>
      <c r="T393">
        <v>339</v>
      </c>
      <c r="U393">
        <v>30</v>
      </c>
      <c r="V393">
        <v>214</v>
      </c>
      <c r="W393">
        <v>0.57799999999999996</v>
      </c>
      <c r="X393">
        <v>198</v>
      </c>
      <c r="Y393">
        <v>118</v>
      </c>
      <c r="Z393">
        <v>140</v>
      </c>
      <c r="AA393">
        <v>5</v>
      </c>
      <c r="AB393">
        <v>8.1</v>
      </c>
      <c r="AC393" t="s">
        <v>169</v>
      </c>
      <c r="AD393" t="s">
        <v>185</v>
      </c>
      <c r="AG393" t="s">
        <v>3136</v>
      </c>
      <c r="AH393" t="s">
        <v>1244</v>
      </c>
      <c r="AI393" s="245">
        <v>671.92</v>
      </c>
      <c r="AJ393" t="s">
        <v>3137</v>
      </c>
      <c r="AK393" t="s">
        <v>3136</v>
      </c>
      <c r="AL393" t="s">
        <v>1271</v>
      </c>
      <c r="AM393" s="245">
        <v>671.93</v>
      </c>
      <c r="AN393" t="s">
        <v>3138</v>
      </c>
      <c r="AO393" t="s">
        <v>2882</v>
      </c>
      <c r="AP393" t="s">
        <v>1248</v>
      </c>
      <c r="AQ393" s="245">
        <v>671.96</v>
      </c>
      <c r="AR393" t="s">
        <v>3139</v>
      </c>
      <c r="AS393" s="226" t="str">
        <f t="shared" si="12"/>
        <v>Atris</v>
      </c>
      <c r="AT393" s="203" t="str">
        <f t="shared" si="13"/>
        <v xml:space="preserve"> Black CrowsAtris178.3 Unisex</v>
      </c>
    </row>
    <row r="394" spans="1:46" ht="158.4">
      <c r="A394" t="s">
        <v>155</v>
      </c>
      <c r="B394" t="s">
        <v>237</v>
      </c>
      <c r="C394" t="s">
        <v>323</v>
      </c>
      <c r="D394">
        <v>167.2</v>
      </c>
      <c r="E394" t="s">
        <v>158</v>
      </c>
      <c r="F394">
        <v>167.2</v>
      </c>
      <c r="G394">
        <v>166.5</v>
      </c>
      <c r="H394">
        <v>115</v>
      </c>
      <c r="I394">
        <v>147</v>
      </c>
      <c r="J394">
        <v>121</v>
      </c>
      <c r="K394">
        <v>81</v>
      </c>
      <c r="L394">
        <v>105</v>
      </c>
      <c r="M394">
        <v>16.100000000000001</v>
      </c>
      <c r="N394">
        <v>1519</v>
      </c>
      <c r="O394">
        <v>1.02</v>
      </c>
      <c r="P394">
        <v>1554</v>
      </c>
      <c r="Q394">
        <v>165</v>
      </c>
      <c r="R394">
        <v>98</v>
      </c>
      <c r="S394">
        <v>35</v>
      </c>
      <c r="T394">
        <v>319</v>
      </c>
      <c r="U394">
        <v>19</v>
      </c>
      <c r="V394">
        <v>192</v>
      </c>
      <c r="W394">
        <v>0.53700000000000003</v>
      </c>
      <c r="X394">
        <v>110</v>
      </c>
      <c r="Y394">
        <v>88</v>
      </c>
      <c r="Z394">
        <v>209</v>
      </c>
      <c r="AA394">
        <v>4</v>
      </c>
      <c r="AB394">
        <v>10.5</v>
      </c>
      <c r="AC394" t="s">
        <v>188</v>
      </c>
      <c r="AG394" t="s">
        <v>3140</v>
      </c>
      <c r="AH394" t="s">
        <v>1271</v>
      </c>
      <c r="AI394" s="245">
        <v>671.96</v>
      </c>
      <c r="AJ394" t="s">
        <v>3141</v>
      </c>
      <c r="AK394" t="s">
        <v>3142</v>
      </c>
      <c r="AL394" t="s">
        <v>1181</v>
      </c>
      <c r="AM394" s="245">
        <v>798.96</v>
      </c>
      <c r="AN394" t="s">
        <v>3143</v>
      </c>
      <c r="AO394" t="s">
        <v>2336</v>
      </c>
      <c r="AP394" t="s">
        <v>1858</v>
      </c>
      <c r="AQ394" s="245">
        <v>175</v>
      </c>
      <c r="AR394" t="s">
        <v>3144</v>
      </c>
      <c r="AS394" s="226" t="str">
        <f t="shared" si="12"/>
        <v>Divus</v>
      </c>
      <c r="AT394" s="203" t="str">
        <f t="shared" si="13"/>
        <v xml:space="preserve"> Black CrowsDivus167.2 Unisex</v>
      </c>
    </row>
    <row r="395" spans="1:46" ht="66">
      <c r="A395" t="s">
        <v>155</v>
      </c>
      <c r="B395" t="s">
        <v>156</v>
      </c>
      <c r="C395" t="s">
        <v>389</v>
      </c>
      <c r="D395">
        <v>169</v>
      </c>
      <c r="E395" t="s">
        <v>158</v>
      </c>
      <c r="F395">
        <v>169</v>
      </c>
      <c r="G395">
        <v>167.5</v>
      </c>
      <c r="H395">
        <v>127</v>
      </c>
      <c r="I395">
        <v>138</v>
      </c>
      <c r="J395">
        <v>125</v>
      </c>
      <c r="K395">
        <v>93</v>
      </c>
      <c r="L395">
        <v>113</v>
      </c>
      <c r="M395">
        <v>17.3</v>
      </c>
      <c r="N395">
        <v>1331</v>
      </c>
      <c r="O395">
        <v>1.3</v>
      </c>
      <c r="P395">
        <v>1725</v>
      </c>
      <c r="Q395">
        <v>187</v>
      </c>
      <c r="R395">
        <v>85</v>
      </c>
      <c r="S395">
        <v>49</v>
      </c>
      <c r="T395">
        <v>243</v>
      </c>
      <c r="U395">
        <v>10</v>
      </c>
      <c r="V395">
        <v>159</v>
      </c>
      <c r="W395">
        <v>0.19600000000000001</v>
      </c>
      <c r="X395">
        <v>175</v>
      </c>
      <c r="Y395">
        <v>117</v>
      </c>
      <c r="Z395">
        <v>68</v>
      </c>
      <c r="AA395">
        <v>4</v>
      </c>
      <c r="AB395">
        <v>11.6</v>
      </c>
      <c r="AC395" t="s">
        <v>185</v>
      </c>
      <c r="AD395" t="s">
        <v>198</v>
      </c>
      <c r="AG395" t="s">
        <v>3145</v>
      </c>
      <c r="AH395" t="s">
        <v>1349</v>
      </c>
      <c r="AI395" s="245">
        <v>504.17</v>
      </c>
      <c r="AJ395" t="s">
        <v>3146</v>
      </c>
      <c r="AK395" t="s">
        <v>3145</v>
      </c>
      <c r="AL395" t="s">
        <v>1976</v>
      </c>
      <c r="AM395" s="245">
        <v>698</v>
      </c>
      <c r="AN395" t="s">
        <v>3147</v>
      </c>
      <c r="AO395" t="s">
        <v>3148</v>
      </c>
      <c r="AP395" t="s">
        <v>1468</v>
      </c>
      <c r="AQ395" s="245">
        <v>699.99</v>
      </c>
      <c r="AR395" t="s">
        <v>3149</v>
      </c>
      <c r="AS395" s="226" t="str">
        <f t="shared" si="12"/>
        <v>Backland 95</v>
      </c>
      <c r="AT395" s="203" t="str">
        <f t="shared" si="13"/>
        <v xml:space="preserve"> AtomicBackland 95169 Unisex</v>
      </c>
    </row>
    <row r="396" spans="1:46" ht="52.8">
      <c r="A396" t="s">
        <v>155</v>
      </c>
      <c r="B396" t="s">
        <v>1160</v>
      </c>
      <c r="C396" t="s">
        <v>579</v>
      </c>
      <c r="D396">
        <v>179</v>
      </c>
      <c r="E396" t="s">
        <v>158</v>
      </c>
      <c r="F396">
        <v>179</v>
      </c>
      <c r="G396">
        <v>178.8</v>
      </c>
      <c r="H396">
        <v>121</v>
      </c>
      <c r="I396">
        <v>153</v>
      </c>
      <c r="J396">
        <v>123</v>
      </c>
      <c r="K396">
        <v>90</v>
      </c>
      <c r="L396">
        <v>113</v>
      </c>
      <c r="M396">
        <v>19.8</v>
      </c>
      <c r="N396">
        <v>1790</v>
      </c>
      <c r="O396">
        <v>1.01</v>
      </c>
      <c r="P396">
        <v>1806</v>
      </c>
      <c r="Q396">
        <v>185</v>
      </c>
      <c r="R396">
        <v>84</v>
      </c>
      <c r="S396">
        <v>47</v>
      </c>
      <c r="T396">
        <v>303</v>
      </c>
      <c r="U396">
        <v>44</v>
      </c>
      <c r="V396">
        <v>280</v>
      </c>
      <c r="W396">
        <v>0.92099999999999904</v>
      </c>
      <c r="X396">
        <v>115</v>
      </c>
      <c r="Y396">
        <v>146</v>
      </c>
      <c r="Z396">
        <v>187</v>
      </c>
      <c r="AA396">
        <v>8</v>
      </c>
      <c r="AB396">
        <v>5.5</v>
      </c>
      <c r="AC396" t="s">
        <v>184</v>
      </c>
      <c r="AG396" t="s">
        <v>3150</v>
      </c>
      <c r="AH396" t="s">
        <v>1450</v>
      </c>
      <c r="AI396" s="245">
        <v>299.95</v>
      </c>
      <c r="AJ396" t="s">
        <v>3151</v>
      </c>
      <c r="AK396" t="s">
        <v>3150</v>
      </c>
      <c r="AL396" t="s">
        <v>1657</v>
      </c>
      <c r="AM396" s="245">
        <v>299.95</v>
      </c>
      <c r="AN396" t="s">
        <v>3152</v>
      </c>
      <c r="AO396" t="s">
        <v>3150</v>
      </c>
      <c r="AP396" t="s">
        <v>1224</v>
      </c>
      <c r="AQ396" s="245">
        <v>299.95</v>
      </c>
      <c r="AR396" t="s">
        <v>3153</v>
      </c>
      <c r="AS396" s="226" t="str">
        <f t="shared" si="12"/>
        <v>Reckoner 92</v>
      </c>
      <c r="AT396" s="203" t="str">
        <f t="shared" si="13"/>
        <v>K2Reckoner 92179 Unisex</v>
      </c>
    </row>
    <row r="397" spans="1:46" ht="92.4">
      <c r="A397" t="s">
        <v>155</v>
      </c>
      <c r="B397" t="s">
        <v>317</v>
      </c>
      <c r="C397" t="s">
        <v>456</v>
      </c>
      <c r="D397">
        <v>171</v>
      </c>
      <c r="E397" t="s">
        <v>163</v>
      </c>
      <c r="F397">
        <v>171</v>
      </c>
      <c r="G397">
        <v>169.8</v>
      </c>
      <c r="H397">
        <v>134</v>
      </c>
      <c r="I397">
        <v>146</v>
      </c>
      <c r="J397">
        <v>136</v>
      </c>
      <c r="K397">
        <v>96</v>
      </c>
      <c r="L397">
        <v>118</v>
      </c>
      <c r="M397">
        <v>16.8</v>
      </c>
      <c r="N397">
        <v>1926</v>
      </c>
      <c r="O397">
        <v>0.95</v>
      </c>
      <c r="P397">
        <v>1836</v>
      </c>
      <c r="Q397">
        <v>190</v>
      </c>
      <c r="R397">
        <v>105</v>
      </c>
      <c r="S397">
        <v>57</v>
      </c>
      <c r="T397">
        <v>244</v>
      </c>
      <c r="U397">
        <v>8</v>
      </c>
      <c r="V397">
        <v>116</v>
      </c>
      <c r="W397">
        <v>0.14000000000000001</v>
      </c>
      <c r="X397">
        <v>128</v>
      </c>
      <c r="Y397">
        <v>112</v>
      </c>
      <c r="Z397">
        <v>116</v>
      </c>
      <c r="AA397">
        <v>4</v>
      </c>
      <c r="AB397">
        <v>11.4</v>
      </c>
      <c r="AC397" t="s">
        <v>188</v>
      </c>
      <c r="AG397" t="s">
        <v>2386</v>
      </c>
      <c r="AH397" t="s">
        <v>1194</v>
      </c>
      <c r="AI397" s="245">
        <v>387.23</v>
      </c>
      <c r="AJ397" t="s">
        <v>3154</v>
      </c>
      <c r="AK397" t="s">
        <v>3155</v>
      </c>
      <c r="AL397" t="s">
        <v>1320</v>
      </c>
      <c r="AM397" s="245">
        <v>559.95000000000005</v>
      </c>
      <c r="AN397" t="s">
        <v>3156</v>
      </c>
      <c r="AO397" t="s">
        <v>3157</v>
      </c>
      <c r="AP397" t="s">
        <v>1416</v>
      </c>
      <c r="AQ397" s="245">
        <v>699</v>
      </c>
      <c r="AR397" t="s">
        <v>3158</v>
      </c>
      <c r="AS397" s="226" t="str">
        <f t="shared" si="12"/>
        <v>Black Pearl 97</v>
      </c>
      <c r="AT397" s="203" t="str">
        <f t="shared" si="13"/>
        <v xml:space="preserve"> BlizzardBlack Pearl 97171 Women's</v>
      </c>
    </row>
    <row r="398" spans="1:46" ht="118.8">
      <c r="A398" t="s">
        <v>155</v>
      </c>
      <c r="B398" t="s">
        <v>317</v>
      </c>
      <c r="C398" t="s">
        <v>551</v>
      </c>
      <c r="D398">
        <v>172</v>
      </c>
      <c r="E398" t="s">
        <v>158</v>
      </c>
      <c r="F398">
        <v>172</v>
      </c>
      <c r="G398">
        <v>170.5</v>
      </c>
      <c r="H398">
        <v>103</v>
      </c>
      <c r="I398">
        <v>141</v>
      </c>
      <c r="J398">
        <v>132</v>
      </c>
      <c r="K398">
        <v>101</v>
      </c>
      <c r="L398">
        <v>121</v>
      </c>
      <c r="M398">
        <v>17.100000000000001</v>
      </c>
      <c r="N398">
        <v>1908</v>
      </c>
      <c r="O398">
        <v>1</v>
      </c>
      <c r="P398">
        <v>1903</v>
      </c>
      <c r="Q398">
        <v>181</v>
      </c>
      <c r="R398">
        <v>99</v>
      </c>
      <c r="S398">
        <v>65</v>
      </c>
      <c r="T398">
        <v>375</v>
      </c>
      <c r="U398">
        <v>36</v>
      </c>
      <c r="V398">
        <v>300</v>
      </c>
      <c r="W398">
        <v>0.55200000000000005</v>
      </c>
      <c r="X398">
        <v>155</v>
      </c>
      <c r="Y398">
        <v>139</v>
      </c>
      <c r="Z398">
        <v>220</v>
      </c>
      <c r="AA398">
        <v>4</v>
      </c>
      <c r="AB398">
        <v>7.6</v>
      </c>
      <c r="AC398" t="s">
        <v>188</v>
      </c>
      <c r="AD398" t="s">
        <v>169</v>
      </c>
      <c r="AG398" t="s">
        <v>2332</v>
      </c>
      <c r="AH398" t="s">
        <v>1337</v>
      </c>
      <c r="AI398" s="245">
        <v>399.99</v>
      </c>
      <c r="AJ398" t="s">
        <v>3159</v>
      </c>
      <c r="AK398" t="s">
        <v>3160</v>
      </c>
      <c r="AL398" t="s">
        <v>2525</v>
      </c>
      <c r="AM398" s="245">
        <v>462</v>
      </c>
      <c r="AN398" t="s">
        <v>3161</v>
      </c>
      <c r="AO398" t="s">
        <v>3162</v>
      </c>
      <c r="AP398" t="s">
        <v>1450</v>
      </c>
      <c r="AQ398" s="245">
        <v>559.95000000000005</v>
      </c>
      <c r="AR398" t="s">
        <v>3163</v>
      </c>
      <c r="AS398" s="226" t="str">
        <f t="shared" si="12"/>
        <v>Rustler 10</v>
      </c>
      <c r="AT398" s="203" t="str">
        <f t="shared" si="13"/>
        <v xml:space="preserve"> BlizzardRustler 10172 Unisex</v>
      </c>
    </row>
    <row r="399" spans="1:46" ht="52.8">
      <c r="A399" t="s">
        <v>155</v>
      </c>
      <c r="B399" t="s">
        <v>1160</v>
      </c>
      <c r="C399" t="s">
        <v>263</v>
      </c>
      <c r="D399">
        <v>172</v>
      </c>
      <c r="E399" t="s">
        <v>158</v>
      </c>
      <c r="F399">
        <v>172</v>
      </c>
      <c r="G399">
        <v>171.9</v>
      </c>
      <c r="H399">
        <v>114</v>
      </c>
      <c r="I399">
        <v>141</v>
      </c>
      <c r="J399">
        <v>135</v>
      </c>
      <c r="K399">
        <v>105</v>
      </c>
      <c r="L399">
        <v>123</v>
      </c>
      <c r="M399">
        <v>19.899999999999999</v>
      </c>
      <c r="N399">
        <v>1456</v>
      </c>
      <c r="O399">
        <v>1.34</v>
      </c>
      <c r="P399">
        <v>1957</v>
      </c>
      <c r="Q399">
        <v>169</v>
      </c>
      <c r="R399">
        <v>88</v>
      </c>
      <c r="S399">
        <v>45</v>
      </c>
      <c r="T399">
        <v>351</v>
      </c>
      <c r="U399">
        <v>11</v>
      </c>
      <c r="V399">
        <v>233</v>
      </c>
      <c r="W399">
        <v>0.247</v>
      </c>
      <c r="X399">
        <v>175</v>
      </c>
      <c r="Y399">
        <v>130</v>
      </c>
      <c r="Z399">
        <v>176</v>
      </c>
      <c r="AA399">
        <v>6</v>
      </c>
      <c r="AB399">
        <v>13.5</v>
      </c>
      <c r="AC399" t="s">
        <v>178</v>
      </c>
      <c r="AD399" t="s">
        <v>185</v>
      </c>
      <c r="AE399" t="s">
        <v>198</v>
      </c>
      <c r="AG399" t="s">
        <v>1835</v>
      </c>
      <c r="AH399" t="s">
        <v>1194</v>
      </c>
      <c r="AI399" s="245">
        <v>367.9</v>
      </c>
      <c r="AJ399" t="s">
        <v>3164</v>
      </c>
      <c r="AK399" t="s">
        <v>1835</v>
      </c>
      <c r="AL399" t="s">
        <v>1349</v>
      </c>
      <c r="AM399" s="245">
        <v>403.31</v>
      </c>
      <c r="AN399" t="s">
        <v>3165</v>
      </c>
      <c r="AO399" t="s">
        <v>1835</v>
      </c>
      <c r="AP399" t="s">
        <v>1191</v>
      </c>
      <c r="AQ399" s="245">
        <v>469.95</v>
      </c>
      <c r="AR399" t="s">
        <v>3166</v>
      </c>
      <c r="AS399" s="226" t="str">
        <f t="shared" si="12"/>
        <v>Wayback 106</v>
      </c>
      <c r="AT399" s="203" t="str">
        <f t="shared" si="13"/>
        <v>K2Wayback 106172 Unisex</v>
      </c>
    </row>
    <row r="400" spans="1:46" ht="171.6">
      <c r="A400" t="s">
        <v>155</v>
      </c>
      <c r="B400" t="s">
        <v>1160</v>
      </c>
      <c r="C400" t="s">
        <v>581</v>
      </c>
      <c r="D400">
        <v>163</v>
      </c>
      <c r="E400" t="s">
        <v>163</v>
      </c>
      <c r="F400">
        <v>163</v>
      </c>
      <c r="G400">
        <v>163.6</v>
      </c>
      <c r="H400">
        <v>116</v>
      </c>
      <c r="I400">
        <v>134</v>
      </c>
      <c r="J400">
        <v>129</v>
      </c>
      <c r="K400">
        <v>84</v>
      </c>
      <c r="L400">
        <v>112</v>
      </c>
      <c r="M400">
        <v>11.8</v>
      </c>
      <c r="N400">
        <v>1627</v>
      </c>
      <c r="O400">
        <v>1</v>
      </c>
      <c r="P400">
        <v>1623</v>
      </c>
      <c r="Q400">
        <v>165</v>
      </c>
      <c r="R400">
        <v>89</v>
      </c>
      <c r="S400">
        <v>49</v>
      </c>
      <c r="T400">
        <v>274</v>
      </c>
      <c r="U400">
        <v>13</v>
      </c>
      <c r="V400">
        <v>198</v>
      </c>
      <c r="W400">
        <v>0.26700000000000002</v>
      </c>
      <c r="X400">
        <v>182</v>
      </c>
      <c r="Y400">
        <v>113</v>
      </c>
      <c r="Z400">
        <v>92</v>
      </c>
      <c r="AA400">
        <v>7</v>
      </c>
      <c r="AB400">
        <v>10.9</v>
      </c>
      <c r="AC400" t="s">
        <v>231</v>
      </c>
      <c r="AD400" t="s">
        <v>188</v>
      </c>
      <c r="AG400" t="s">
        <v>2877</v>
      </c>
      <c r="AH400" t="s">
        <v>1409</v>
      </c>
      <c r="AI400" s="245">
        <v>257.77</v>
      </c>
      <c r="AJ400" t="s">
        <v>3167</v>
      </c>
      <c r="AK400" t="s">
        <v>3168</v>
      </c>
      <c r="AL400" t="s">
        <v>1181</v>
      </c>
      <c r="AM400" s="245">
        <v>539.95000000000005</v>
      </c>
      <c r="AN400" t="s">
        <v>3169</v>
      </c>
      <c r="AO400" t="s">
        <v>3170</v>
      </c>
      <c r="AP400" t="s">
        <v>1265</v>
      </c>
      <c r="AQ400" s="245">
        <v>320.68</v>
      </c>
      <c r="AR400" t="s">
        <v>3171</v>
      </c>
      <c r="AS400" s="226" t="str">
        <f t="shared" si="12"/>
        <v>Mindbender 85 Alliance</v>
      </c>
      <c r="AT400" s="203" t="str">
        <f t="shared" si="13"/>
        <v>K2Mindbender 85 Alliance163 Women's</v>
      </c>
    </row>
    <row r="401" spans="1:46" ht="145.19999999999999">
      <c r="A401" t="s">
        <v>155</v>
      </c>
      <c r="B401" t="s">
        <v>1160</v>
      </c>
      <c r="C401" t="s">
        <v>583</v>
      </c>
      <c r="D401">
        <v>163</v>
      </c>
      <c r="E401" t="s">
        <v>158</v>
      </c>
      <c r="F401">
        <v>163</v>
      </c>
      <c r="G401">
        <v>163.6</v>
      </c>
      <c r="H401">
        <v>144</v>
      </c>
      <c r="I401">
        <v>151</v>
      </c>
      <c r="J401">
        <v>124</v>
      </c>
      <c r="K401">
        <v>77</v>
      </c>
      <c r="L401">
        <v>110</v>
      </c>
      <c r="M401">
        <v>14.1</v>
      </c>
      <c r="N401">
        <v>1784</v>
      </c>
      <c r="O401">
        <v>0.85</v>
      </c>
      <c r="P401">
        <v>1508</v>
      </c>
      <c r="Q401">
        <v>183</v>
      </c>
      <c r="R401">
        <v>90</v>
      </c>
      <c r="S401">
        <v>33</v>
      </c>
      <c r="T401">
        <v>129</v>
      </c>
      <c r="U401">
        <v>7</v>
      </c>
      <c r="V401">
        <v>63</v>
      </c>
      <c r="W401">
        <v>0.2</v>
      </c>
      <c r="X401">
        <v>80</v>
      </c>
      <c r="Y401">
        <v>41</v>
      </c>
      <c r="Z401">
        <v>48</v>
      </c>
      <c r="AA401">
        <v>10</v>
      </c>
      <c r="AB401">
        <v>10.4</v>
      </c>
      <c r="AC401" t="s">
        <v>349</v>
      </c>
      <c r="AG401" t="s">
        <v>3172</v>
      </c>
      <c r="AH401" t="s">
        <v>1271</v>
      </c>
      <c r="AI401" s="245">
        <v>429.99</v>
      </c>
      <c r="AJ401" t="s">
        <v>3173</v>
      </c>
      <c r="AK401" t="s">
        <v>3174</v>
      </c>
      <c r="AL401" t="s">
        <v>1592</v>
      </c>
      <c r="AM401" s="245">
        <v>612.37</v>
      </c>
      <c r="AN401" t="s">
        <v>3175</v>
      </c>
      <c r="AO401" t="s">
        <v>3176</v>
      </c>
      <c r="AP401" t="s">
        <v>1218</v>
      </c>
      <c r="AQ401" s="245">
        <v>299.95</v>
      </c>
      <c r="AR401" t="s">
        <v>3177</v>
      </c>
      <c r="AS401" s="226" t="str">
        <f t="shared" si="12"/>
        <v>Disruption 78C</v>
      </c>
      <c r="AT401" s="203" t="str">
        <f t="shared" si="13"/>
        <v>K2Disruption 78C163 Unisex</v>
      </c>
    </row>
    <row r="402" spans="1:46" ht="52.8">
      <c r="A402" t="s">
        <v>155</v>
      </c>
      <c r="B402" t="s">
        <v>354</v>
      </c>
      <c r="C402" t="s">
        <v>500</v>
      </c>
      <c r="D402">
        <v>186</v>
      </c>
      <c r="E402" t="s">
        <v>158</v>
      </c>
      <c r="F402">
        <v>186</v>
      </c>
      <c r="G402">
        <v>186.6</v>
      </c>
      <c r="H402">
        <v>136</v>
      </c>
      <c r="I402">
        <v>147</v>
      </c>
      <c r="J402">
        <v>136</v>
      </c>
      <c r="K402">
        <v>103</v>
      </c>
      <c r="L402">
        <v>123</v>
      </c>
      <c r="M402">
        <v>19</v>
      </c>
      <c r="N402">
        <v>2084</v>
      </c>
      <c r="O402">
        <v>1.02</v>
      </c>
      <c r="P402">
        <v>2118</v>
      </c>
      <c r="Q402">
        <v>225</v>
      </c>
      <c r="R402">
        <v>95</v>
      </c>
      <c r="S402">
        <v>46</v>
      </c>
      <c r="T402">
        <v>300</v>
      </c>
      <c r="U402">
        <v>22</v>
      </c>
      <c r="V402">
        <v>207</v>
      </c>
      <c r="W402">
        <v>0.49099999999999999</v>
      </c>
      <c r="X402">
        <v>240</v>
      </c>
      <c r="Y402">
        <v>160</v>
      </c>
      <c r="Z402">
        <v>60</v>
      </c>
      <c r="AA402">
        <v>9</v>
      </c>
      <c r="AB402">
        <v>9.1999999999999993</v>
      </c>
      <c r="AC402" t="s">
        <v>188</v>
      </c>
      <c r="AD402" t="s">
        <v>169</v>
      </c>
      <c r="AG402" t="s">
        <v>2897</v>
      </c>
      <c r="AH402" t="s">
        <v>2211</v>
      </c>
      <c r="AI402" s="245">
        <v>583.96</v>
      </c>
      <c r="AJ402" t="s">
        <v>3178</v>
      </c>
      <c r="AK402" t="s">
        <v>3179</v>
      </c>
      <c r="AL402" t="s">
        <v>1349</v>
      </c>
      <c r="AM402" s="245">
        <v>449.16</v>
      </c>
      <c r="AN402" t="s">
        <v>3180</v>
      </c>
      <c r="AO402" t="s">
        <v>3179</v>
      </c>
      <c r="AP402" t="s">
        <v>1224</v>
      </c>
      <c r="AQ402" s="245">
        <v>639.96</v>
      </c>
      <c r="AR402" t="s">
        <v>3181</v>
      </c>
      <c r="AS402" s="226" t="str">
        <f t="shared" si="12"/>
        <v>Impulse 104</v>
      </c>
      <c r="AT402" s="203" t="str">
        <f t="shared" si="13"/>
        <v xml:space="preserve"> Black DiamondImpulse 104186 Unisex</v>
      </c>
    </row>
    <row r="403" spans="1:46" ht="66">
      <c r="A403" t="s">
        <v>155</v>
      </c>
      <c r="B403" t="s">
        <v>202</v>
      </c>
      <c r="C403" t="s">
        <v>585</v>
      </c>
      <c r="D403">
        <v>154</v>
      </c>
      <c r="E403" t="s">
        <v>163</v>
      </c>
      <c r="F403">
        <v>154</v>
      </c>
      <c r="G403">
        <v>153.5</v>
      </c>
      <c r="H403">
        <v>104</v>
      </c>
      <c r="I403">
        <v>123</v>
      </c>
      <c r="J403">
        <v>117</v>
      </c>
      <c r="K403">
        <v>86</v>
      </c>
      <c r="L403">
        <v>107</v>
      </c>
      <c r="M403">
        <v>12.5</v>
      </c>
      <c r="N403">
        <v>1460</v>
      </c>
      <c r="O403">
        <v>1.03</v>
      </c>
      <c r="P403">
        <v>1499</v>
      </c>
      <c r="Q403">
        <v>229</v>
      </c>
      <c r="R403">
        <v>85</v>
      </c>
      <c r="S403">
        <v>64</v>
      </c>
      <c r="T403">
        <v>334</v>
      </c>
      <c r="U403">
        <v>15</v>
      </c>
      <c r="V403">
        <v>160</v>
      </c>
      <c r="W403">
        <v>0.23300000000000001</v>
      </c>
      <c r="X403">
        <v>210</v>
      </c>
      <c r="Y403">
        <v>99</v>
      </c>
      <c r="Z403">
        <v>125</v>
      </c>
      <c r="AA403">
        <v>4</v>
      </c>
      <c r="AB403">
        <v>11.6</v>
      </c>
      <c r="AC403" t="s">
        <v>188</v>
      </c>
      <c r="AG403" t="s">
        <v>2310</v>
      </c>
      <c r="AH403" t="s">
        <v>1194</v>
      </c>
      <c r="AI403" s="245">
        <v>331.01</v>
      </c>
      <c r="AJ403" t="s">
        <v>3182</v>
      </c>
      <c r="AK403" t="s">
        <v>2310</v>
      </c>
      <c r="AL403" t="s">
        <v>1248</v>
      </c>
      <c r="AM403" s="245">
        <v>419.97</v>
      </c>
      <c r="AN403" t="s">
        <v>3183</v>
      </c>
      <c r="AO403" t="s">
        <v>3184</v>
      </c>
      <c r="AP403" t="s">
        <v>1204</v>
      </c>
      <c r="AQ403" s="245">
        <v>448.96</v>
      </c>
      <c r="AR403" t="s">
        <v>3185</v>
      </c>
      <c r="AS403" s="226" t="str">
        <f t="shared" si="12"/>
        <v>M-Pro 90 W</v>
      </c>
      <c r="AT403" s="203" t="str">
        <f t="shared" si="13"/>
        <v xml:space="preserve"> DynastarM-Pro 90 W154 Women's</v>
      </c>
    </row>
    <row r="404" spans="1:46" ht="92.4">
      <c r="A404" t="s">
        <v>155</v>
      </c>
      <c r="B404" t="s">
        <v>205</v>
      </c>
      <c r="C404" t="s">
        <v>225</v>
      </c>
      <c r="D404">
        <v>178</v>
      </c>
      <c r="E404" t="s">
        <v>158</v>
      </c>
      <c r="F404">
        <v>178</v>
      </c>
      <c r="G404">
        <v>176.5</v>
      </c>
      <c r="H404">
        <v>122</v>
      </c>
      <c r="I404">
        <v>142</v>
      </c>
      <c r="J404">
        <v>132</v>
      </c>
      <c r="K404">
        <v>105</v>
      </c>
      <c r="L404">
        <v>125</v>
      </c>
      <c r="M404">
        <v>19.399999999999999</v>
      </c>
      <c r="N404">
        <v>2049</v>
      </c>
      <c r="O404">
        <v>0.99</v>
      </c>
      <c r="P404">
        <v>2028</v>
      </c>
      <c r="Q404">
        <v>211</v>
      </c>
      <c r="R404">
        <v>99</v>
      </c>
      <c r="S404">
        <v>52</v>
      </c>
      <c r="T404">
        <v>290</v>
      </c>
      <c r="U404">
        <v>43</v>
      </c>
      <c r="V404">
        <v>252</v>
      </c>
      <c r="W404">
        <v>0.83299999999999996</v>
      </c>
      <c r="X404">
        <v>180</v>
      </c>
      <c r="Y404">
        <v>165</v>
      </c>
      <c r="Z404">
        <v>111</v>
      </c>
      <c r="AA404">
        <v>9</v>
      </c>
      <c r="AB404">
        <v>9</v>
      </c>
      <c r="AC404" t="s">
        <v>184</v>
      </c>
      <c r="AD404" t="s">
        <v>169</v>
      </c>
      <c r="AG404" t="s">
        <v>1435</v>
      </c>
      <c r="AH404" t="s">
        <v>1271</v>
      </c>
      <c r="AI404" s="245">
        <v>599.92999999999995</v>
      </c>
      <c r="AJ404" t="s">
        <v>3186</v>
      </c>
      <c r="AK404" t="s">
        <v>1433</v>
      </c>
      <c r="AL404" t="s">
        <v>1409</v>
      </c>
      <c r="AM404" s="245">
        <v>623.86</v>
      </c>
      <c r="AN404" t="s">
        <v>3187</v>
      </c>
      <c r="AO404" t="s">
        <v>1437</v>
      </c>
      <c r="AP404" t="s">
        <v>1280</v>
      </c>
      <c r="AQ404" s="245">
        <v>638.92999999999995</v>
      </c>
      <c r="AR404" t="s">
        <v>3188</v>
      </c>
      <c r="AS404" s="226" t="str">
        <f t="shared" si="12"/>
        <v>Prodigy 3.0</v>
      </c>
      <c r="AT404" s="203" t="str">
        <f t="shared" si="13"/>
        <v xml:space="preserve"> FactionProdigy 3.0178 Unisex</v>
      </c>
    </row>
    <row r="405" spans="1:46" ht="118.8">
      <c r="A405" t="s">
        <v>155</v>
      </c>
      <c r="B405" t="s">
        <v>1160</v>
      </c>
      <c r="C405" t="s">
        <v>539</v>
      </c>
      <c r="D405">
        <v>163</v>
      </c>
      <c r="E405" t="s">
        <v>158</v>
      </c>
      <c r="F405">
        <v>163</v>
      </c>
      <c r="G405">
        <v>163.69999999999999</v>
      </c>
      <c r="H405">
        <v>120</v>
      </c>
      <c r="I405">
        <v>136</v>
      </c>
      <c r="J405">
        <v>129</v>
      </c>
      <c r="K405">
        <v>84</v>
      </c>
      <c r="L405">
        <v>112</v>
      </c>
      <c r="M405">
        <v>12</v>
      </c>
      <c r="N405">
        <v>1580</v>
      </c>
      <c r="O405">
        <v>1.03</v>
      </c>
      <c r="P405">
        <v>1627</v>
      </c>
      <c r="Q405">
        <v>151</v>
      </c>
      <c r="R405">
        <v>84</v>
      </c>
      <c r="S405">
        <v>46</v>
      </c>
      <c r="T405">
        <v>270</v>
      </c>
      <c r="U405">
        <v>12</v>
      </c>
      <c r="V405">
        <v>171</v>
      </c>
      <c r="W405">
        <v>0.26800000000000002</v>
      </c>
      <c r="X405">
        <v>170</v>
      </c>
      <c r="Y405">
        <v>110</v>
      </c>
      <c r="Z405">
        <v>100</v>
      </c>
      <c r="AA405">
        <v>9</v>
      </c>
      <c r="AB405">
        <v>10.5</v>
      </c>
      <c r="AC405" t="s">
        <v>231</v>
      </c>
      <c r="AD405" t="s">
        <v>188</v>
      </c>
      <c r="AG405" t="s">
        <v>2877</v>
      </c>
      <c r="AH405" t="s">
        <v>1409</v>
      </c>
      <c r="AI405" s="245">
        <v>257.77</v>
      </c>
      <c r="AJ405" t="s">
        <v>3189</v>
      </c>
      <c r="AK405" t="s">
        <v>3170</v>
      </c>
      <c r="AL405" t="s">
        <v>1265</v>
      </c>
      <c r="AM405" s="245">
        <v>320.68</v>
      </c>
      <c r="AN405" t="s">
        <v>3190</v>
      </c>
      <c r="AO405" t="s">
        <v>3191</v>
      </c>
      <c r="AP405" t="s">
        <v>1271</v>
      </c>
      <c r="AQ405" s="245">
        <v>419.99</v>
      </c>
      <c r="AR405" t="s">
        <v>3192</v>
      </c>
      <c r="AS405" s="226" t="str">
        <f t="shared" si="12"/>
        <v>Mindbender 85</v>
      </c>
      <c r="AT405" s="203" t="str">
        <f t="shared" si="13"/>
        <v>K2Mindbender 85163 Unisex</v>
      </c>
    </row>
    <row r="406" spans="1:46" ht="66">
      <c r="A406" t="s">
        <v>155</v>
      </c>
      <c r="B406" t="s">
        <v>182</v>
      </c>
      <c r="C406" t="s">
        <v>428</v>
      </c>
      <c r="D406">
        <v>163</v>
      </c>
      <c r="E406" t="s">
        <v>163</v>
      </c>
      <c r="F406">
        <v>163</v>
      </c>
      <c r="G406">
        <v>161.19999999999999</v>
      </c>
      <c r="H406">
        <v>116</v>
      </c>
      <c r="I406">
        <v>135</v>
      </c>
      <c r="J406">
        <v>123</v>
      </c>
      <c r="K406">
        <v>95</v>
      </c>
      <c r="L406">
        <v>115</v>
      </c>
      <c r="M406">
        <v>17.399999999999999</v>
      </c>
      <c r="N406">
        <v>1678</v>
      </c>
      <c r="O406">
        <v>1</v>
      </c>
      <c r="P406">
        <v>1683</v>
      </c>
      <c r="Q406">
        <v>155</v>
      </c>
      <c r="R406">
        <v>88</v>
      </c>
      <c r="S406">
        <v>45</v>
      </c>
      <c r="T406">
        <v>236</v>
      </c>
      <c r="U406">
        <v>38</v>
      </c>
      <c r="V406">
        <v>214</v>
      </c>
      <c r="W406">
        <v>0.85299999999999998</v>
      </c>
      <c r="X406">
        <v>118</v>
      </c>
      <c r="Y406">
        <v>147</v>
      </c>
      <c r="Z406">
        <v>118</v>
      </c>
      <c r="AA406">
        <v>10</v>
      </c>
      <c r="AB406">
        <v>5.3</v>
      </c>
      <c r="AC406" t="s">
        <v>188</v>
      </c>
      <c r="AD406" t="s">
        <v>184</v>
      </c>
      <c r="AG406" t="s">
        <v>3193</v>
      </c>
      <c r="AH406" t="s">
        <v>1271</v>
      </c>
      <c r="AI406" s="245">
        <v>369.99</v>
      </c>
      <c r="AJ406" t="s">
        <v>3194</v>
      </c>
      <c r="AK406" t="s">
        <v>3195</v>
      </c>
      <c r="AL406" t="s">
        <v>3196</v>
      </c>
      <c r="AM406" s="245">
        <v>399.99</v>
      </c>
      <c r="AN406" t="s">
        <v>3197</v>
      </c>
      <c r="AO406" t="s">
        <v>2668</v>
      </c>
      <c r="AP406" t="s">
        <v>1262</v>
      </c>
      <c r="AQ406" s="245">
        <v>461.83</v>
      </c>
      <c r="AR406" t="s">
        <v>3198</v>
      </c>
      <c r="AS406" s="226" t="str">
        <f t="shared" si="12"/>
        <v>ARW 96</v>
      </c>
      <c r="AT406" s="203" t="str">
        <f t="shared" si="13"/>
        <v xml:space="preserve"> ArmadaARW 96163 Women's</v>
      </c>
    </row>
    <row r="407" spans="1:46" ht="409.6">
      <c r="A407" t="s">
        <v>155</v>
      </c>
      <c r="B407" t="s">
        <v>329</v>
      </c>
      <c r="C407" t="s">
        <v>548</v>
      </c>
      <c r="D407">
        <v>178</v>
      </c>
      <c r="E407" t="s">
        <v>158</v>
      </c>
      <c r="F407">
        <v>178</v>
      </c>
      <c r="G407">
        <v>175.9</v>
      </c>
      <c r="H407">
        <v>125</v>
      </c>
      <c r="I407">
        <v>152</v>
      </c>
      <c r="J407">
        <v>127</v>
      </c>
      <c r="K407">
        <v>95</v>
      </c>
      <c r="L407">
        <v>115</v>
      </c>
      <c r="M407">
        <v>22.1</v>
      </c>
      <c r="N407">
        <v>1278</v>
      </c>
      <c r="O407">
        <v>1.43</v>
      </c>
      <c r="P407">
        <v>1825</v>
      </c>
      <c r="Q407">
        <v>276</v>
      </c>
      <c r="R407">
        <v>94</v>
      </c>
      <c r="S407">
        <v>50</v>
      </c>
      <c r="T407">
        <v>326</v>
      </c>
      <c r="U407">
        <v>12</v>
      </c>
      <c r="V407">
        <v>179</v>
      </c>
      <c r="W407">
        <v>0.23499999999999999</v>
      </c>
      <c r="X407">
        <v>143</v>
      </c>
      <c r="Y407">
        <v>95</v>
      </c>
      <c r="Z407">
        <v>183</v>
      </c>
      <c r="AA407">
        <v>4</v>
      </c>
      <c r="AB407">
        <v>12.3</v>
      </c>
      <c r="AC407" t="s">
        <v>185</v>
      </c>
      <c r="AD407" t="s">
        <v>198</v>
      </c>
      <c r="AG407" t="s">
        <v>2739</v>
      </c>
      <c r="AH407" t="s">
        <v>1468</v>
      </c>
      <c r="AI407" s="245">
        <v>1049.95</v>
      </c>
      <c r="AJ407" t="s">
        <v>3199</v>
      </c>
      <c r="AK407" t="s">
        <v>3200</v>
      </c>
      <c r="AL407" t="s">
        <v>2111</v>
      </c>
      <c r="AM407" s="245">
        <v>1199.95</v>
      </c>
      <c r="AN407" t="s">
        <v>3201</v>
      </c>
      <c r="AO407" t="s">
        <v>3200</v>
      </c>
      <c r="AP407" t="s">
        <v>1280</v>
      </c>
      <c r="AQ407" s="245">
        <v>1199.95</v>
      </c>
      <c r="AR407" t="s">
        <v>3202</v>
      </c>
      <c r="AS407" s="226" t="str">
        <f t="shared" si="12"/>
        <v>Blacklight 95</v>
      </c>
      <c r="AT407" s="203" t="str">
        <f t="shared" si="13"/>
        <v xml:space="preserve"> DynafitBlacklight 95178 Unisex</v>
      </c>
    </row>
    <row r="408" spans="1:46" ht="132">
      <c r="A408" t="s">
        <v>155</v>
      </c>
      <c r="B408" t="s">
        <v>156</v>
      </c>
      <c r="C408" t="s">
        <v>587</v>
      </c>
      <c r="D408">
        <v>164</v>
      </c>
      <c r="E408" t="s">
        <v>163</v>
      </c>
      <c r="F408">
        <v>164</v>
      </c>
      <c r="G408">
        <v>163.5</v>
      </c>
      <c r="H408">
        <v>146</v>
      </c>
      <c r="I408">
        <v>148</v>
      </c>
      <c r="J408">
        <v>114</v>
      </c>
      <c r="K408">
        <v>72</v>
      </c>
      <c r="L408">
        <v>101</v>
      </c>
      <c r="M408">
        <v>15.4</v>
      </c>
      <c r="N408">
        <v>1747</v>
      </c>
      <c r="O408">
        <v>0.8</v>
      </c>
      <c r="P408">
        <v>1399</v>
      </c>
      <c r="Q408">
        <v>163</v>
      </c>
      <c r="R408">
        <v>79</v>
      </c>
      <c r="S408">
        <v>30</v>
      </c>
      <c r="T408">
        <v>132</v>
      </c>
      <c r="U408">
        <v>3</v>
      </c>
      <c r="V408">
        <v>47</v>
      </c>
      <c r="W408">
        <v>0.111</v>
      </c>
      <c r="X408">
        <v>93</v>
      </c>
      <c r="Y408">
        <v>57</v>
      </c>
      <c r="Z408">
        <v>39</v>
      </c>
      <c r="AA408">
        <v>15</v>
      </c>
      <c r="AB408">
        <v>12.5</v>
      </c>
      <c r="AC408" t="s">
        <v>349</v>
      </c>
      <c r="AG408" t="s">
        <v>3203</v>
      </c>
      <c r="AH408" t="s">
        <v>1282</v>
      </c>
      <c r="AI408" s="245">
        <v>599.99</v>
      </c>
      <c r="AJ408" t="s">
        <v>3204</v>
      </c>
      <c r="AK408" t="s">
        <v>2672</v>
      </c>
      <c r="AL408" t="s">
        <v>1185</v>
      </c>
      <c r="AM408" s="245">
        <v>454.99</v>
      </c>
      <c r="AN408" t="s">
        <v>3205</v>
      </c>
      <c r="AO408" t="s">
        <v>2672</v>
      </c>
      <c r="AP408" t="s">
        <v>1181</v>
      </c>
      <c r="AQ408" s="245">
        <v>519.99</v>
      </c>
      <c r="AR408" t="s">
        <v>3206</v>
      </c>
      <c r="AS408" s="226" t="str">
        <f t="shared" si="12"/>
        <v>Cloud C9</v>
      </c>
      <c r="AT408" s="203" t="str">
        <f t="shared" si="13"/>
        <v xml:space="preserve"> AtomicCloud C9164 Women's</v>
      </c>
    </row>
    <row r="409" spans="1:46" ht="79.2">
      <c r="A409" t="s">
        <v>155</v>
      </c>
      <c r="B409" t="s">
        <v>245</v>
      </c>
      <c r="C409" t="s">
        <v>291</v>
      </c>
      <c r="D409">
        <v>171</v>
      </c>
      <c r="E409" t="s">
        <v>163</v>
      </c>
      <c r="F409">
        <v>171</v>
      </c>
      <c r="G409">
        <v>170.6</v>
      </c>
      <c r="H409">
        <v>119</v>
      </c>
      <c r="I409">
        <v>145</v>
      </c>
      <c r="J409">
        <v>124</v>
      </c>
      <c r="K409">
        <v>89</v>
      </c>
      <c r="L409">
        <v>115</v>
      </c>
      <c r="M409">
        <v>14.5</v>
      </c>
      <c r="N409">
        <v>1752</v>
      </c>
      <c r="O409">
        <v>1</v>
      </c>
      <c r="P409">
        <v>1748</v>
      </c>
      <c r="Q409">
        <v>185</v>
      </c>
      <c r="R409">
        <v>117</v>
      </c>
      <c r="S409">
        <v>47</v>
      </c>
      <c r="T409">
        <v>310</v>
      </c>
      <c r="U409">
        <v>16</v>
      </c>
      <c r="V409">
        <v>207</v>
      </c>
      <c r="W409">
        <v>0.33899999999999902</v>
      </c>
      <c r="X409">
        <v>130</v>
      </c>
      <c r="Y409">
        <v>129</v>
      </c>
      <c r="Z409">
        <v>180</v>
      </c>
      <c r="AA409">
        <v>5</v>
      </c>
      <c r="AB409">
        <v>9.8000000000000007</v>
      </c>
      <c r="AC409" t="s">
        <v>188</v>
      </c>
      <c r="AG409" t="s">
        <v>3207</v>
      </c>
      <c r="AH409" t="s">
        <v>1601</v>
      </c>
      <c r="AI409" s="245">
        <v>649.95000000000005</v>
      </c>
      <c r="AJ409" t="s">
        <v>3208</v>
      </c>
      <c r="AK409" t="s">
        <v>3209</v>
      </c>
      <c r="AL409" t="s">
        <v>1280</v>
      </c>
      <c r="AM409" s="245">
        <v>649.95000000000005</v>
      </c>
      <c r="AN409" t="s">
        <v>3210</v>
      </c>
      <c r="AO409" t="s">
        <v>3211</v>
      </c>
      <c r="AP409" t="s">
        <v>3212</v>
      </c>
      <c r="AQ409" s="245">
        <v>649.99</v>
      </c>
      <c r="AR409" t="s">
        <v>3213</v>
      </c>
      <c r="AS409" s="226" t="str">
        <f t="shared" si="12"/>
        <v>Ranger 92 Ti W</v>
      </c>
      <c r="AT409" s="203" t="str">
        <f t="shared" si="13"/>
        <v xml:space="preserve"> FischerRanger 92 Ti W171 Women's</v>
      </c>
    </row>
    <row r="410" spans="1:46" ht="92.4">
      <c r="A410" t="s">
        <v>155</v>
      </c>
      <c r="B410" t="s">
        <v>1395</v>
      </c>
      <c r="C410" t="s">
        <v>335</v>
      </c>
      <c r="D410">
        <v>165</v>
      </c>
      <c r="E410" t="s">
        <v>158</v>
      </c>
      <c r="F410">
        <v>165</v>
      </c>
      <c r="G410">
        <v>164.5</v>
      </c>
      <c r="H410">
        <v>94</v>
      </c>
      <c r="I410">
        <v>141</v>
      </c>
      <c r="J410">
        <v>144</v>
      </c>
      <c r="K410">
        <v>105</v>
      </c>
      <c r="L410">
        <v>127</v>
      </c>
      <c r="M410">
        <v>15.2</v>
      </c>
      <c r="N410">
        <v>1606</v>
      </c>
      <c r="O410">
        <v>1.2</v>
      </c>
      <c r="P410">
        <v>1927</v>
      </c>
      <c r="Q410">
        <v>176</v>
      </c>
      <c r="R410">
        <v>90</v>
      </c>
      <c r="S410">
        <v>54</v>
      </c>
      <c r="T410">
        <v>444</v>
      </c>
      <c r="U410">
        <v>23</v>
      </c>
      <c r="V410">
        <v>263</v>
      </c>
      <c r="W410">
        <v>0.434</v>
      </c>
      <c r="X410">
        <v>139</v>
      </c>
      <c r="Y410">
        <v>99</v>
      </c>
      <c r="Z410">
        <v>304</v>
      </c>
      <c r="AA410">
        <v>2</v>
      </c>
      <c r="AB410">
        <v>11.5</v>
      </c>
      <c r="AC410" t="s">
        <v>169</v>
      </c>
      <c r="AD410" t="s">
        <v>185</v>
      </c>
      <c r="AG410" t="s">
        <v>1754</v>
      </c>
      <c r="AH410" t="s">
        <v>1185</v>
      </c>
      <c r="AI410" s="245">
        <v>419.99</v>
      </c>
      <c r="AJ410" t="s">
        <v>3214</v>
      </c>
      <c r="AK410" t="s">
        <v>1754</v>
      </c>
      <c r="AL410" t="s">
        <v>1194</v>
      </c>
      <c r="AM410" s="245">
        <v>460.11</v>
      </c>
      <c r="AN410" t="s">
        <v>3215</v>
      </c>
      <c r="AO410" t="s">
        <v>1945</v>
      </c>
      <c r="AP410" t="s">
        <v>1497</v>
      </c>
      <c r="AQ410" s="245">
        <v>479.96</v>
      </c>
      <c r="AR410" t="s">
        <v>3216</v>
      </c>
      <c r="AS410" s="226" t="str">
        <f t="shared" si="12"/>
        <v>Blaze 106</v>
      </c>
      <c r="AT410" s="203" t="str">
        <f t="shared" si="13"/>
        <v xml:space="preserve"> Vï¿½lklBlaze 106165 Unisex</v>
      </c>
    </row>
    <row r="411" spans="1:46" ht="39.6">
      <c r="A411" t="s">
        <v>155</v>
      </c>
      <c r="B411" t="s">
        <v>1160</v>
      </c>
      <c r="C411" t="s">
        <v>496</v>
      </c>
      <c r="D411">
        <v>179</v>
      </c>
      <c r="E411" t="s">
        <v>158</v>
      </c>
      <c r="F411">
        <v>179</v>
      </c>
      <c r="G411">
        <v>180.1</v>
      </c>
      <c r="H411">
        <v>143</v>
      </c>
      <c r="I411">
        <v>148</v>
      </c>
      <c r="J411">
        <v>116</v>
      </c>
      <c r="K411">
        <v>87</v>
      </c>
      <c r="L411">
        <v>110</v>
      </c>
      <c r="M411">
        <v>19.399999999999999</v>
      </c>
      <c r="N411">
        <v>1948</v>
      </c>
      <c r="O411">
        <v>0.9</v>
      </c>
      <c r="P411">
        <v>1759</v>
      </c>
      <c r="Q411">
        <v>190</v>
      </c>
      <c r="R411">
        <v>90</v>
      </c>
      <c r="S411">
        <v>46</v>
      </c>
      <c r="T411">
        <v>176</v>
      </c>
      <c r="U411">
        <v>43</v>
      </c>
      <c r="V411">
        <v>198</v>
      </c>
      <c r="W411">
        <v>0.94499999999999995</v>
      </c>
      <c r="X411">
        <v>157</v>
      </c>
      <c r="Y411">
        <v>160</v>
      </c>
      <c r="Z411">
        <v>19</v>
      </c>
      <c r="AA411">
        <v>10</v>
      </c>
      <c r="AB411">
        <v>4.5999999999999996</v>
      </c>
      <c r="AC411" t="s">
        <v>184</v>
      </c>
      <c r="AG411" t="s">
        <v>2629</v>
      </c>
      <c r="AH411" t="s">
        <v>1265</v>
      </c>
      <c r="AI411" s="245">
        <v>320.68</v>
      </c>
      <c r="AJ411" t="s">
        <v>3217</v>
      </c>
      <c r="AK411" t="s">
        <v>2629</v>
      </c>
      <c r="AL411" t="s">
        <v>3218</v>
      </c>
      <c r="AM411" s="245">
        <v>399.95</v>
      </c>
      <c r="AN411" t="s">
        <v>3219</v>
      </c>
      <c r="AO411" t="s">
        <v>2629</v>
      </c>
      <c r="AP411" t="s">
        <v>1224</v>
      </c>
      <c r="AQ411" s="245">
        <v>399.95</v>
      </c>
      <c r="AR411" t="s">
        <v>3220</v>
      </c>
      <c r="AS411" s="226" t="str">
        <f t="shared" si="12"/>
        <v>Sight</v>
      </c>
      <c r="AT411" s="203" t="str">
        <f t="shared" si="13"/>
        <v>K2Sight179 Unisex</v>
      </c>
    </row>
    <row r="412" spans="1:46" ht="132">
      <c r="A412" t="s">
        <v>155</v>
      </c>
      <c r="B412" t="s">
        <v>156</v>
      </c>
      <c r="C412" t="s">
        <v>589</v>
      </c>
      <c r="D412">
        <v>168</v>
      </c>
      <c r="E412" t="s">
        <v>158</v>
      </c>
      <c r="F412">
        <v>168</v>
      </c>
      <c r="G412">
        <v>167.4</v>
      </c>
      <c r="H412">
        <v>148</v>
      </c>
      <c r="I412">
        <v>153</v>
      </c>
      <c r="J412">
        <v>125</v>
      </c>
      <c r="K412">
        <v>75</v>
      </c>
      <c r="L412">
        <v>109</v>
      </c>
      <c r="M412">
        <v>13.7</v>
      </c>
      <c r="N412">
        <v>1748</v>
      </c>
      <c r="O412">
        <v>0.87</v>
      </c>
      <c r="P412">
        <v>1512</v>
      </c>
      <c r="Q412">
        <v>192</v>
      </c>
      <c r="R412">
        <v>83</v>
      </c>
      <c r="S412">
        <v>38</v>
      </c>
      <c r="T412">
        <v>146</v>
      </c>
      <c r="U412">
        <v>5</v>
      </c>
      <c r="V412">
        <v>51</v>
      </c>
      <c r="W412">
        <v>0.11799999999999999</v>
      </c>
      <c r="X412">
        <v>90</v>
      </c>
      <c r="Y412">
        <v>53</v>
      </c>
      <c r="Z412">
        <v>56</v>
      </c>
      <c r="AA412">
        <v>7</v>
      </c>
      <c r="AB412">
        <v>12.9</v>
      </c>
      <c r="AC412" t="s">
        <v>349</v>
      </c>
      <c r="AG412" t="s">
        <v>3221</v>
      </c>
      <c r="AH412" t="s">
        <v>1211</v>
      </c>
      <c r="AI412" s="245">
        <v>799.99</v>
      </c>
      <c r="AJ412" t="s">
        <v>3222</v>
      </c>
      <c r="AK412" t="s">
        <v>3223</v>
      </c>
      <c r="AL412" t="s">
        <v>3224</v>
      </c>
      <c r="AM412" s="245">
        <v>999.99</v>
      </c>
      <c r="AN412" t="s">
        <v>3225</v>
      </c>
      <c r="AO412" t="s">
        <v>3226</v>
      </c>
      <c r="AP412" t="s">
        <v>1271</v>
      </c>
      <c r="AQ412" s="245">
        <v>399.99</v>
      </c>
      <c r="AR412" t="s">
        <v>3227</v>
      </c>
      <c r="AS412" s="226" t="str">
        <f t="shared" si="12"/>
        <v>Redster X7 WB</v>
      </c>
      <c r="AT412" s="203" t="str">
        <f t="shared" si="13"/>
        <v xml:space="preserve"> AtomicRedster X7 WB168 Unisex</v>
      </c>
    </row>
    <row r="413" spans="1:46" ht="52.8">
      <c r="A413" t="s">
        <v>155</v>
      </c>
      <c r="B413" t="s">
        <v>215</v>
      </c>
      <c r="C413" t="s">
        <v>590</v>
      </c>
      <c r="D413">
        <v>176</v>
      </c>
      <c r="E413" t="s">
        <v>158</v>
      </c>
      <c r="F413">
        <v>176</v>
      </c>
      <c r="G413">
        <v>175.2</v>
      </c>
      <c r="H413">
        <v>98</v>
      </c>
      <c r="I413">
        <v>145</v>
      </c>
      <c r="J413">
        <v>137</v>
      </c>
      <c r="K413">
        <v>106</v>
      </c>
      <c r="L413">
        <v>127</v>
      </c>
      <c r="M413">
        <v>18.3</v>
      </c>
      <c r="N413">
        <v>1983</v>
      </c>
      <c r="O413">
        <v>1.02</v>
      </c>
      <c r="P413">
        <v>2014</v>
      </c>
      <c r="Q413">
        <v>211</v>
      </c>
      <c r="R413">
        <v>102</v>
      </c>
      <c r="S413">
        <v>54</v>
      </c>
      <c r="T413">
        <v>459</v>
      </c>
      <c r="U413">
        <v>39</v>
      </c>
      <c r="V413">
        <v>311</v>
      </c>
      <c r="W413">
        <v>0.72</v>
      </c>
      <c r="X413">
        <v>139</v>
      </c>
      <c r="Y413">
        <v>165</v>
      </c>
      <c r="Z413">
        <v>320</v>
      </c>
      <c r="AA413">
        <v>4</v>
      </c>
      <c r="AB413">
        <v>8.1</v>
      </c>
      <c r="AC413" t="s">
        <v>169</v>
      </c>
      <c r="AG413" t="s">
        <v>3115</v>
      </c>
      <c r="AH413" t="s">
        <v>1280</v>
      </c>
      <c r="AI413" s="245">
        <v>523.92999999999995</v>
      </c>
      <c r="AJ413" t="s">
        <v>3228</v>
      </c>
      <c r="AK413" t="s">
        <v>3115</v>
      </c>
      <c r="AL413" t="s">
        <v>1181</v>
      </c>
      <c r="AM413" s="245">
        <v>524.99</v>
      </c>
      <c r="AN413" t="s">
        <v>3229</v>
      </c>
      <c r="AO413" t="s">
        <v>3115</v>
      </c>
      <c r="AP413" t="s">
        <v>1833</v>
      </c>
      <c r="AQ413" s="245">
        <v>559.99</v>
      </c>
      <c r="AR413" t="s">
        <v>3230</v>
      </c>
      <c r="AS413" s="226" t="str">
        <f t="shared" si="12"/>
        <v>Origin 106</v>
      </c>
      <c r="AT413" s="203" t="str">
        <f t="shared" si="13"/>
        <v xml:space="preserve"> LibertyOrigin 106176 Unisex</v>
      </c>
    </row>
    <row r="414" spans="1:46" ht="66">
      <c r="A414" t="s">
        <v>155</v>
      </c>
      <c r="B414" t="s">
        <v>237</v>
      </c>
      <c r="C414" t="s">
        <v>507</v>
      </c>
      <c r="D414">
        <v>174.2</v>
      </c>
      <c r="E414" t="s">
        <v>158</v>
      </c>
      <c r="F414">
        <v>174.2</v>
      </c>
      <c r="G414">
        <v>173.3</v>
      </c>
      <c r="H414">
        <v>135</v>
      </c>
      <c r="I414">
        <v>150</v>
      </c>
      <c r="J414">
        <v>128</v>
      </c>
      <c r="K414">
        <v>96</v>
      </c>
      <c r="L414">
        <v>116</v>
      </c>
      <c r="M414">
        <v>20.6</v>
      </c>
      <c r="N414">
        <v>1773</v>
      </c>
      <c r="O414">
        <v>1.03</v>
      </c>
      <c r="P414">
        <v>1830</v>
      </c>
      <c r="Q414">
        <v>168</v>
      </c>
      <c r="R414">
        <v>86</v>
      </c>
      <c r="S414">
        <v>44</v>
      </c>
      <c r="T414">
        <v>227</v>
      </c>
      <c r="U414">
        <v>30</v>
      </c>
      <c r="V414">
        <v>153</v>
      </c>
      <c r="W414">
        <v>0.67099999999999904</v>
      </c>
      <c r="X414">
        <v>118</v>
      </c>
      <c r="Y414">
        <v>111</v>
      </c>
      <c r="Z414">
        <v>109</v>
      </c>
      <c r="AA414">
        <v>12</v>
      </c>
      <c r="AB414">
        <v>6.4</v>
      </c>
      <c r="AC414" t="s">
        <v>188</v>
      </c>
      <c r="AG414" t="s">
        <v>3231</v>
      </c>
      <c r="AH414" t="s">
        <v>1858</v>
      </c>
      <c r="AI414" s="245">
        <v>575</v>
      </c>
      <c r="AJ414" t="s">
        <v>3232</v>
      </c>
      <c r="AK414" t="s">
        <v>3233</v>
      </c>
      <c r="AL414" t="s">
        <v>1320</v>
      </c>
      <c r="AM414" s="245">
        <v>575.96</v>
      </c>
      <c r="AN414" t="s">
        <v>3234</v>
      </c>
      <c r="AO414" t="s">
        <v>3231</v>
      </c>
      <c r="AP414" t="s">
        <v>1224</v>
      </c>
      <c r="AQ414" s="245">
        <v>575.96</v>
      </c>
      <c r="AR414" t="s">
        <v>3235</v>
      </c>
      <c r="AS414" s="226" t="str">
        <f t="shared" si="12"/>
        <v>Camox</v>
      </c>
      <c r="AT414" s="203" t="str">
        <f t="shared" si="13"/>
        <v xml:space="preserve"> Black CrowsCamox174.2 Unisex</v>
      </c>
    </row>
    <row r="415" spans="1:46" ht="66">
      <c r="A415" t="s">
        <v>155</v>
      </c>
      <c r="B415" t="s">
        <v>215</v>
      </c>
      <c r="C415" t="s">
        <v>592</v>
      </c>
      <c r="D415">
        <v>171</v>
      </c>
      <c r="E415" t="s">
        <v>158</v>
      </c>
      <c r="F415">
        <v>171</v>
      </c>
      <c r="G415">
        <v>169.9</v>
      </c>
      <c r="H415">
        <v>110</v>
      </c>
      <c r="I415">
        <v>141</v>
      </c>
      <c r="J415">
        <v>134</v>
      </c>
      <c r="K415">
        <v>101</v>
      </c>
      <c r="L415">
        <v>121</v>
      </c>
      <c r="M415">
        <v>16.399999999999999</v>
      </c>
      <c r="N415">
        <v>1707</v>
      </c>
      <c r="O415">
        <v>1.1100000000000001</v>
      </c>
      <c r="P415">
        <v>1889</v>
      </c>
      <c r="Q415">
        <v>172</v>
      </c>
      <c r="R415">
        <v>84</v>
      </c>
      <c r="S415">
        <v>52</v>
      </c>
      <c r="T415">
        <v>340</v>
      </c>
      <c r="U415">
        <v>30</v>
      </c>
      <c r="V415">
        <v>257</v>
      </c>
      <c r="W415">
        <v>0.56799999999999995</v>
      </c>
      <c r="X415">
        <v>136</v>
      </c>
      <c r="Y415">
        <v>158</v>
      </c>
      <c r="Z415">
        <v>204</v>
      </c>
      <c r="AA415">
        <v>5</v>
      </c>
      <c r="AB415">
        <v>8.3000000000000007</v>
      </c>
      <c r="AC415" t="s">
        <v>188</v>
      </c>
      <c r="AD415" t="s">
        <v>169</v>
      </c>
      <c r="AE415" t="s">
        <v>185</v>
      </c>
      <c r="AG415" t="s">
        <v>3236</v>
      </c>
      <c r="AH415" t="s">
        <v>1450</v>
      </c>
      <c r="AI415" s="245">
        <v>529.99</v>
      </c>
      <c r="AJ415" t="s">
        <v>3237</v>
      </c>
      <c r="AK415" t="s">
        <v>3238</v>
      </c>
      <c r="AL415" t="s">
        <v>1807</v>
      </c>
      <c r="AM415" s="245">
        <v>549.91</v>
      </c>
      <c r="AN415" t="s">
        <v>3239</v>
      </c>
      <c r="AO415" t="s">
        <v>3240</v>
      </c>
      <c r="AP415" t="s">
        <v>1271</v>
      </c>
      <c r="AQ415" s="245">
        <v>549.99</v>
      </c>
      <c r="AR415" t="s">
        <v>3241</v>
      </c>
      <c r="AS415" s="226" t="str">
        <f t="shared" si="12"/>
        <v>Origin 101</v>
      </c>
      <c r="AT415" s="203" t="str">
        <f t="shared" si="13"/>
        <v xml:space="preserve"> LibertyOrigin 101171 Unisex</v>
      </c>
    </row>
    <row r="416" spans="1:46" ht="171.6">
      <c r="A416" t="s">
        <v>155</v>
      </c>
      <c r="B416" t="s">
        <v>237</v>
      </c>
      <c r="C416" t="s">
        <v>486</v>
      </c>
      <c r="D416">
        <v>181.4</v>
      </c>
      <c r="E416" t="s">
        <v>158</v>
      </c>
      <c r="F416">
        <v>181.4</v>
      </c>
      <c r="G416">
        <v>179.6</v>
      </c>
      <c r="H416">
        <v>106</v>
      </c>
      <c r="I416">
        <v>142</v>
      </c>
      <c r="J416">
        <v>137</v>
      </c>
      <c r="K416">
        <v>108</v>
      </c>
      <c r="L416">
        <v>126</v>
      </c>
      <c r="M416">
        <v>21.2</v>
      </c>
      <c r="N416">
        <v>1915</v>
      </c>
      <c r="O416">
        <v>1.1000000000000001</v>
      </c>
      <c r="P416">
        <v>2104</v>
      </c>
      <c r="Q416">
        <v>210</v>
      </c>
      <c r="R416">
        <v>89</v>
      </c>
      <c r="S416">
        <v>44</v>
      </c>
      <c r="T416">
        <v>514</v>
      </c>
      <c r="U416">
        <v>33</v>
      </c>
      <c r="V416">
        <v>220</v>
      </c>
      <c r="W416">
        <v>0.750999999999999</v>
      </c>
      <c r="X416">
        <v>210</v>
      </c>
      <c r="Y416">
        <v>163</v>
      </c>
      <c r="Z416">
        <v>305</v>
      </c>
      <c r="AA416">
        <v>2</v>
      </c>
      <c r="AB416">
        <v>8.3000000000000007</v>
      </c>
      <c r="AC416" t="s">
        <v>169</v>
      </c>
      <c r="AD416" t="s">
        <v>185</v>
      </c>
      <c r="AG416" t="s">
        <v>3242</v>
      </c>
      <c r="AH416" t="s">
        <v>2586</v>
      </c>
      <c r="AI416" s="245">
        <v>1019.99</v>
      </c>
      <c r="AJ416" t="s">
        <v>3243</v>
      </c>
      <c r="AK416" t="s">
        <v>3244</v>
      </c>
      <c r="AL416" t="s">
        <v>1181</v>
      </c>
      <c r="AM416" s="245">
        <v>1210.92</v>
      </c>
      <c r="AN416" t="s">
        <v>3245</v>
      </c>
      <c r="AO416" t="s">
        <v>3246</v>
      </c>
      <c r="AP416" t="s">
        <v>1468</v>
      </c>
      <c r="AQ416" s="245">
        <v>799.95</v>
      </c>
      <c r="AR416" t="s">
        <v>3247</v>
      </c>
      <c r="AS416" s="226" t="str">
        <f t="shared" si="12"/>
        <v>Ferox Freebird</v>
      </c>
      <c r="AT416" s="203" t="str">
        <f t="shared" si="13"/>
        <v xml:space="preserve"> Black CrowsFerox Freebird181.4 Unisex</v>
      </c>
    </row>
    <row r="417" spans="1:46" ht="66">
      <c r="A417" t="s">
        <v>155</v>
      </c>
      <c r="B417" t="s">
        <v>1395</v>
      </c>
      <c r="C417" t="s">
        <v>285</v>
      </c>
      <c r="D417">
        <v>158</v>
      </c>
      <c r="E417" t="s">
        <v>158</v>
      </c>
      <c r="F417">
        <v>158</v>
      </c>
      <c r="G417">
        <v>157.1</v>
      </c>
      <c r="H417">
        <v>128</v>
      </c>
      <c r="I417">
        <v>134</v>
      </c>
      <c r="J417">
        <v>111</v>
      </c>
      <c r="K417">
        <v>80</v>
      </c>
      <c r="L417">
        <v>104</v>
      </c>
      <c r="M417">
        <v>16.3</v>
      </c>
      <c r="N417">
        <v>1564</v>
      </c>
      <c r="O417">
        <v>0.91</v>
      </c>
      <c r="P417">
        <v>1423</v>
      </c>
      <c r="Q417">
        <v>173</v>
      </c>
      <c r="R417">
        <v>87</v>
      </c>
      <c r="S417">
        <v>43</v>
      </c>
      <c r="T417">
        <v>152</v>
      </c>
      <c r="U417">
        <v>36</v>
      </c>
      <c r="V417">
        <v>138</v>
      </c>
      <c r="W417">
        <v>0.83799999999999997</v>
      </c>
      <c r="X417">
        <v>91</v>
      </c>
      <c r="Y417">
        <v>137</v>
      </c>
      <c r="Z417">
        <v>61</v>
      </c>
      <c r="AA417">
        <v>8</v>
      </c>
      <c r="AB417">
        <v>2.5</v>
      </c>
      <c r="AC417" t="s">
        <v>188</v>
      </c>
      <c r="AD417" t="s">
        <v>184</v>
      </c>
      <c r="AG417" t="s">
        <v>3248</v>
      </c>
      <c r="AH417" t="s">
        <v>2654</v>
      </c>
      <c r="AI417" s="245">
        <v>245.32</v>
      </c>
      <c r="AJ417" t="s">
        <v>3249</v>
      </c>
      <c r="AK417" t="s">
        <v>3248</v>
      </c>
      <c r="AL417" t="s">
        <v>1262</v>
      </c>
      <c r="AM417" s="245">
        <v>249.37</v>
      </c>
      <c r="AN417" t="s">
        <v>3250</v>
      </c>
      <c r="AO417" t="s">
        <v>3248</v>
      </c>
      <c r="AP417" t="s">
        <v>1242</v>
      </c>
      <c r="AQ417" s="245">
        <v>279.99</v>
      </c>
      <c r="AR417" t="s">
        <v>3251</v>
      </c>
      <c r="AS417" s="226" t="str">
        <f t="shared" si="12"/>
        <v>Bash 81</v>
      </c>
      <c r="AT417" s="203" t="str">
        <f t="shared" si="13"/>
        <v xml:space="preserve"> Vï¿½lklBash 81158 Unisex</v>
      </c>
    </row>
    <row r="418" spans="1:46" ht="79.2">
      <c r="A418" t="s">
        <v>155</v>
      </c>
      <c r="B418" t="s">
        <v>215</v>
      </c>
      <c r="C418" t="s">
        <v>281</v>
      </c>
      <c r="D418">
        <v>187</v>
      </c>
      <c r="E418" t="s">
        <v>158</v>
      </c>
      <c r="F418">
        <v>187</v>
      </c>
      <c r="G418">
        <v>185.8</v>
      </c>
      <c r="H418">
        <v>126</v>
      </c>
      <c r="I418">
        <v>156</v>
      </c>
      <c r="J418">
        <v>129</v>
      </c>
      <c r="K418">
        <v>96</v>
      </c>
      <c r="L418">
        <v>117</v>
      </c>
      <c r="M418">
        <v>19.899999999999999</v>
      </c>
      <c r="N418">
        <v>1972</v>
      </c>
      <c r="O418">
        <v>1</v>
      </c>
      <c r="P418">
        <v>1972</v>
      </c>
      <c r="Q418">
        <v>247</v>
      </c>
      <c r="R418">
        <v>108</v>
      </c>
      <c r="S418">
        <v>44</v>
      </c>
      <c r="T418">
        <v>327</v>
      </c>
      <c r="U418">
        <v>31</v>
      </c>
      <c r="V418">
        <v>272</v>
      </c>
      <c r="W418">
        <v>0.71</v>
      </c>
      <c r="X418">
        <v>136</v>
      </c>
      <c r="Y418">
        <v>167</v>
      </c>
      <c r="Z418">
        <v>191</v>
      </c>
      <c r="AA418">
        <v>7</v>
      </c>
      <c r="AB418">
        <v>8.3000000000000007</v>
      </c>
      <c r="AC418" t="s">
        <v>188</v>
      </c>
      <c r="AG418" t="s">
        <v>3252</v>
      </c>
      <c r="AH418" t="s">
        <v>1240</v>
      </c>
      <c r="AI418" s="245">
        <v>499.95</v>
      </c>
      <c r="AJ418" t="s">
        <v>3253</v>
      </c>
      <c r="AK418" t="s">
        <v>3254</v>
      </c>
      <c r="AL418" t="s">
        <v>3255</v>
      </c>
      <c r="AM418" s="245">
        <v>569.95000000000005</v>
      </c>
      <c r="AN418" t="s">
        <v>3256</v>
      </c>
      <c r="AO418" t="s">
        <v>2286</v>
      </c>
      <c r="AP418" t="s">
        <v>1566</v>
      </c>
      <c r="AQ418" s="245">
        <v>599.95000000000005</v>
      </c>
      <c r="AR418" t="s">
        <v>3257</v>
      </c>
      <c r="AS418" s="226" t="str">
        <f t="shared" si="12"/>
        <v>Origin 96</v>
      </c>
      <c r="AT418" s="203" t="str">
        <f t="shared" si="13"/>
        <v xml:space="preserve"> LibertyOrigin 96187 Unisex</v>
      </c>
    </row>
    <row r="419" spans="1:46" ht="66">
      <c r="A419" t="s">
        <v>155</v>
      </c>
      <c r="B419" t="s">
        <v>164</v>
      </c>
      <c r="C419" t="s">
        <v>366</v>
      </c>
      <c r="D419">
        <v>162</v>
      </c>
      <c r="E419" t="s">
        <v>163</v>
      </c>
      <c r="F419">
        <v>162</v>
      </c>
      <c r="G419">
        <v>161.80000000000001</v>
      </c>
      <c r="H419">
        <v>106</v>
      </c>
      <c r="I419">
        <v>129</v>
      </c>
      <c r="J419">
        <v>140</v>
      </c>
      <c r="K419">
        <v>103</v>
      </c>
      <c r="L419">
        <v>118</v>
      </c>
      <c r="M419">
        <v>15.6</v>
      </c>
      <c r="N419">
        <v>1581</v>
      </c>
      <c r="O419">
        <v>1.17</v>
      </c>
      <c r="P419">
        <v>1847</v>
      </c>
      <c r="Q419">
        <v>181</v>
      </c>
      <c r="R419">
        <v>78</v>
      </c>
      <c r="S419">
        <v>54</v>
      </c>
      <c r="T419">
        <v>320</v>
      </c>
      <c r="U419">
        <v>22</v>
      </c>
      <c r="V419">
        <v>241</v>
      </c>
      <c r="W419">
        <v>0.40200000000000002</v>
      </c>
      <c r="X419">
        <v>166</v>
      </c>
      <c r="Y419">
        <v>164</v>
      </c>
      <c r="Z419">
        <v>154</v>
      </c>
      <c r="AA419">
        <v>2</v>
      </c>
      <c r="AB419">
        <v>6.1</v>
      </c>
      <c r="AC419" t="s">
        <v>188</v>
      </c>
      <c r="AD419" t="s">
        <v>169</v>
      </c>
      <c r="AE419" t="s">
        <v>185</v>
      </c>
      <c r="AG419" t="s">
        <v>3258</v>
      </c>
      <c r="AH419" t="s">
        <v>1204</v>
      </c>
      <c r="AI419" s="245">
        <v>481.02</v>
      </c>
      <c r="AJ419" t="s">
        <v>3259</v>
      </c>
      <c r="AK419" t="s">
        <v>3260</v>
      </c>
      <c r="AL419" t="s">
        <v>1248</v>
      </c>
      <c r="AM419" s="245">
        <v>487.49</v>
      </c>
      <c r="AN419" t="s">
        <v>3261</v>
      </c>
      <c r="AO419" t="s">
        <v>3260</v>
      </c>
      <c r="AP419" t="s">
        <v>1232</v>
      </c>
      <c r="AQ419" s="245">
        <v>499.95</v>
      </c>
      <c r="AR419" t="s">
        <v>3262</v>
      </c>
      <c r="AS419" s="226" t="str">
        <f t="shared" si="12"/>
        <v>Ripstick 102 W</v>
      </c>
      <c r="AT419" s="203" t="str">
        <f t="shared" si="13"/>
        <v xml:space="preserve"> ElanRipstick 102 W162 Women's</v>
      </c>
    </row>
    <row r="420" spans="1:46" ht="237.6">
      <c r="A420" t="s">
        <v>155</v>
      </c>
      <c r="B420" t="s">
        <v>208</v>
      </c>
      <c r="C420" t="s">
        <v>422</v>
      </c>
      <c r="D420">
        <v>184</v>
      </c>
      <c r="E420" t="s">
        <v>158</v>
      </c>
      <c r="F420">
        <v>184</v>
      </c>
      <c r="G420">
        <v>183.2</v>
      </c>
      <c r="H420">
        <v>134</v>
      </c>
      <c r="I420">
        <v>150</v>
      </c>
      <c r="J420">
        <v>142</v>
      </c>
      <c r="K420">
        <v>106</v>
      </c>
      <c r="L420">
        <v>138</v>
      </c>
      <c r="M420">
        <v>16.600000000000001</v>
      </c>
      <c r="N420">
        <v>1801</v>
      </c>
      <c r="O420">
        <v>1.17</v>
      </c>
      <c r="P420">
        <v>2110</v>
      </c>
      <c r="Q420">
        <v>155</v>
      </c>
      <c r="R420">
        <v>85</v>
      </c>
      <c r="S420">
        <v>40</v>
      </c>
      <c r="T420">
        <v>303</v>
      </c>
      <c r="U420">
        <v>41</v>
      </c>
      <c r="V420">
        <v>191</v>
      </c>
      <c r="W420">
        <v>1.0249999999999999</v>
      </c>
      <c r="X420">
        <v>160</v>
      </c>
      <c r="Y420">
        <v>176</v>
      </c>
      <c r="Z420">
        <v>143</v>
      </c>
      <c r="AA420">
        <v>7</v>
      </c>
      <c r="AB420">
        <v>2.4</v>
      </c>
      <c r="AC420" t="s">
        <v>184</v>
      </c>
      <c r="AD420" t="s">
        <v>169</v>
      </c>
      <c r="AE420" t="s">
        <v>185</v>
      </c>
      <c r="AG420" t="s">
        <v>3263</v>
      </c>
      <c r="AH420" t="s">
        <v>2229</v>
      </c>
      <c r="AI420" s="245">
        <v>499</v>
      </c>
      <c r="AJ420" t="s">
        <v>3264</v>
      </c>
      <c r="AK420" t="s">
        <v>3265</v>
      </c>
      <c r="AL420" t="s">
        <v>1807</v>
      </c>
      <c r="AM420" s="245">
        <v>549.91</v>
      </c>
      <c r="AN420" t="s">
        <v>3266</v>
      </c>
      <c r="AO420" t="s">
        <v>3267</v>
      </c>
      <c r="AP420" t="s">
        <v>1858</v>
      </c>
      <c r="AQ420" s="245">
        <v>559</v>
      </c>
      <c r="AR420" t="s">
        <v>3268</v>
      </c>
      <c r="AS420" s="226" t="str">
        <f t="shared" si="12"/>
        <v>Sir Francis Bacon</v>
      </c>
      <c r="AT420" s="203" t="str">
        <f t="shared" si="13"/>
        <v xml:space="preserve"> LineSir Francis Bacon184 Unisex</v>
      </c>
    </row>
    <row r="421" spans="1:46" ht="79.2">
      <c r="A421" t="s">
        <v>155</v>
      </c>
      <c r="B421" t="s">
        <v>1160</v>
      </c>
      <c r="C421" t="s">
        <v>367</v>
      </c>
      <c r="D421">
        <v>186</v>
      </c>
      <c r="E421" t="s">
        <v>158</v>
      </c>
      <c r="F421">
        <v>186</v>
      </c>
      <c r="G421">
        <v>186</v>
      </c>
      <c r="H421">
        <v>113</v>
      </c>
      <c r="I421">
        <v>146</v>
      </c>
      <c r="J421">
        <v>143</v>
      </c>
      <c r="K421">
        <v>115</v>
      </c>
      <c r="L421">
        <v>132</v>
      </c>
      <c r="M421">
        <v>23.4</v>
      </c>
      <c r="N421">
        <v>1995</v>
      </c>
      <c r="O421">
        <v>1.1499999999999999</v>
      </c>
      <c r="P421">
        <v>2298</v>
      </c>
      <c r="Q421">
        <v>211</v>
      </c>
      <c r="R421">
        <v>132</v>
      </c>
      <c r="S421">
        <v>58</v>
      </c>
      <c r="T421">
        <v>476</v>
      </c>
      <c r="U421">
        <v>25</v>
      </c>
      <c r="V421">
        <v>254</v>
      </c>
      <c r="W421">
        <v>0.43099999999999999</v>
      </c>
      <c r="X421">
        <v>213</v>
      </c>
      <c r="Y421">
        <v>185</v>
      </c>
      <c r="Z421">
        <v>264</v>
      </c>
      <c r="AA421">
        <v>4</v>
      </c>
      <c r="AB421">
        <v>10.1</v>
      </c>
      <c r="AC421" t="s">
        <v>169</v>
      </c>
      <c r="AD421" t="s">
        <v>185</v>
      </c>
      <c r="AG421" t="s">
        <v>3269</v>
      </c>
      <c r="AH421" t="s">
        <v>2570</v>
      </c>
      <c r="AI421" s="245">
        <v>850</v>
      </c>
      <c r="AJ421" t="s">
        <v>3270</v>
      </c>
      <c r="AK421" t="s">
        <v>3271</v>
      </c>
      <c r="AL421" t="s">
        <v>1194</v>
      </c>
      <c r="AM421" s="245">
        <v>423.23</v>
      </c>
      <c r="AN421" t="s">
        <v>3272</v>
      </c>
      <c r="AO421" t="s">
        <v>3271</v>
      </c>
      <c r="AP421" t="s">
        <v>1191</v>
      </c>
      <c r="AQ421" s="245">
        <v>459.95</v>
      </c>
      <c r="AR421" t="s">
        <v>3273</v>
      </c>
      <c r="AS421" s="226" t="str">
        <f t="shared" si="12"/>
        <v>Mindbender 116 C</v>
      </c>
      <c r="AT421" s="203" t="str">
        <f t="shared" si="13"/>
        <v>K2Mindbender 116 C186 Unisex</v>
      </c>
    </row>
    <row r="422" spans="1:46" ht="92.4">
      <c r="A422" t="s">
        <v>155</v>
      </c>
      <c r="B422" t="s">
        <v>1361</v>
      </c>
      <c r="C422" t="s">
        <v>594</v>
      </c>
      <c r="D422">
        <v>175</v>
      </c>
      <c r="E422" t="s">
        <v>158</v>
      </c>
      <c r="F422">
        <v>175</v>
      </c>
      <c r="G422">
        <v>174.2</v>
      </c>
      <c r="H422">
        <v>148</v>
      </c>
      <c r="I422">
        <v>155</v>
      </c>
      <c r="J422">
        <v>128</v>
      </c>
      <c r="K422">
        <v>88</v>
      </c>
      <c r="L422">
        <v>113</v>
      </c>
      <c r="M422">
        <v>18.100000000000001</v>
      </c>
      <c r="N422">
        <v>1741</v>
      </c>
      <c r="O422">
        <v>1</v>
      </c>
      <c r="P422">
        <v>1743</v>
      </c>
      <c r="Q422">
        <v>188</v>
      </c>
      <c r="R422">
        <v>104</v>
      </c>
      <c r="S422">
        <v>42</v>
      </c>
      <c r="T422">
        <v>183</v>
      </c>
      <c r="U422">
        <v>9</v>
      </c>
      <c r="V422">
        <v>76</v>
      </c>
      <c r="W422">
        <v>0.21299999999999999</v>
      </c>
      <c r="X422">
        <v>132</v>
      </c>
      <c r="Y422">
        <v>56</v>
      </c>
      <c r="Z422">
        <v>51</v>
      </c>
      <c r="AA422">
        <v>9</v>
      </c>
      <c r="AB422">
        <v>13.1</v>
      </c>
      <c r="AC422" t="s">
        <v>188</v>
      </c>
      <c r="AG422" t="s">
        <v>3274</v>
      </c>
      <c r="AH422" t="s">
        <v>1181</v>
      </c>
      <c r="AI422" s="245">
        <v>1049</v>
      </c>
      <c r="AJ422" t="s">
        <v>3275</v>
      </c>
      <c r="AK422" t="s">
        <v>3274</v>
      </c>
      <c r="AL422" t="s">
        <v>1271</v>
      </c>
      <c r="AM422" s="245">
        <v>1049</v>
      </c>
      <c r="AN422" t="s">
        <v>3276</v>
      </c>
      <c r="AO422" t="s">
        <v>3277</v>
      </c>
      <c r="AP422" t="s">
        <v>1627</v>
      </c>
      <c r="AQ422" s="245">
        <v>1049</v>
      </c>
      <c r="AR422" t="s">
        <v>3278</v>
      </c>
      <c r="AS422" s="226" t="str">
        <f t="shared" si="12"/>
        <v>Stormrider 88</v>
      </c>
      <c r="AT422" s="203" t="str">
        <f t="shared" si="13"/>
        <v xml:space="preserve"> Stï¿½ckliStormrider 88175 Unisex</v>
      </c>
    </row>
    <row r="423" spans="1:46" ht="66">
      <c r="A423" t="s">
        <v>155</v>
      </c>
      <c r="B423" t="s">
        <v>182</v>
      </c>
      <c r="C423" t="s">
        <v>428</v>
      </c>
      <c r="D423">
        <v>156</v>
      </c>
      <c r="E423" t="s">
        <v>163</v>
      </c>
      <c r="F423">
        <v>156</v>
      </c>
      <c r="G423">
        <v>154</v>
      </c>
      <c r="H423">
        <v>106</v>
      </c>
      <c r="I423">
        <v>129</v>
      </c>
      <c r="J423">
        <v>120</v>
      </c>
      <c r="K423">
        <v>95</v>
      </c>
      <c r="L423">
        <v>113</v>
      </c>
      <c r="M423">
        <v>16.899999999999999</v>
      </c>
      <c r="N423">
        <v>1615</v>
      </c>
      <c r="O423">
        <v>0.98</v>
      </c>
      <c r="P423">
        <v>1588</v>
      </c>
      <c r="Q423">
        <v>155</v>
      </c>
      <c r="R423">
        <v>88</v>
      </c>
      <c r="S423">
        <v>48</v>
      </c>
      <c r="T423">
        <v>247</v>
      </c>
      <c r="U423">
        <v>42</v>
      </c>
      <c r="V423">
        <v>230</v>
      </c>
      <c r="W423">
        <v>0.873</v>
      </c>
      <c r="X423">
        <v>118</v>
      </c>
      <c r="Y423">
        <v>134</v>
      </c>
      <c r="Z423">
        <v>128</v>
      </c>
      <c r="AA423">
        <v>6</v>
      </c>
      <c r="AB423">
        <v>5.3</v>
      </c>
      <c r="AC423" t="s">
        <v>184</v>
      </c>
      <c r="AG423" t="s">
        <v>3279</v>
      </c>
      <c r="AH423" t="s">
        <v>1224</v>
      </c>
      <c r="AI423" s="245">
        <v>399.96</v>
      </c>
      <c r="AJ423" t="s">
        <v>3280</v>
      </c>
      <c r="AK423" t="s">
        <v>3279</v>
      </c>
      <c r="AL423" t="s">
        <v>1657</v>
      </c>
      <c r="AM423" s="245">
        <v>499.95</v>
      </c>
      <c r="AN423" t="s">
        <v>3281</v>
      </c>
      <c r="AO423" t="s">
        <v>1596</v>
      </c>
      <c r="AP423" t="s">
        <v>1226</v>
      </c>
      <c r="AQ423" s="245">
        <v>559</v>
      </c>
      <c r="AR423" t="s">
        <v>3282</v>
      </c>
      <c r="AS423" s="226" t="str">
        <f t="shared" si="12"/>
        <v>ARW 96</v>
      </c>
      <c r="AT423" s="203" t="str">
        <f t="shared" si="13"/>
        <v xml:space="preserve"> ArmadaARW 96156 Women's</v>
      </c>
    </row>
    <row r="424" spans="1:46" ht="52.8">
      <c r="A424" t="s">
        <v>155</v>
      </c>
      <c r="B424" t="s">
        <v>1395</v>
      </c>
      <c r="C424" t="s">
        <v>596</v>
      </c>
      <c r="D424">
        <v>165</v>
      </c>
      <c r="E424" t="s">
        <v>158</v>
      </c>
      <c r="F424">
        <v>165</v>
      </c>
      <c r="G424">
        <v>163.6</v>
      </c>
      <c r="H424">
        <v>132</v>
      </c>
      <c r="I424">
        <v>149</v>
      </c>
      <c r="J424">
        <v>128</v>
      </c>
      <c r="K424">
        <v>94</v>
      </c>
      <c r="L424">
        <v>118</v>
      </c>
      <c r="M424">
        <v>19</v>
      </c>
      <c r="N424">
        <v>1806</v>
      </c>
      <c r="O424">
        <v>0.94</v>
      </c>
      <c r="P424">
        <v>1702</v>
      </c>
      <c r="Q424">
        <v>170</v>
      </c>
      <c r="R424">
        <v>85</v>
      </c>
      <c r="S424">
        <v>40</v>
      </c>
      <c r="T424">
        <v>163</v>
      </c>
      <c r="U424">
        <v>36</v>
      </c>
      <c r="V424">
        <v>149</v>
      </c>
      <c r="W424">
        <v>0.89400000000000002</v>
      </c>
      <c r="X424">
        <v>80</v>
      </c>
      <c r="Y424">
        <v>70</v>
      </c>
      <c r="Z424">
        <v>83</v>
      </c>
      <c r="AA424">
        <v>5</v>
      </c>
      <c r="AB424">
        <v>0.6</v>
      </c>
      <c r="AC424" t="s">
        <v>184</v>
      </c>
      <c r="AG424" t="s">
        <v>3283</v>
      </c>
      <c r="AH424" t="s">
        <v>2654</v>
      </c>
      <c r="AI424" s="245">
        <v>306.64999999999998</v>
      </c>
      <c r="AJ424" t="s">
        <v>3284</v>
      </c>
      <c r="AK424" t="s">
        <v>3283</v>
      </c>
      <c r="AL424" t="s">
        <v>1226</v>
      </c>
      <c r="AM424" s="245">
        <v>319.99</v>
      </c>
      <c r="AN424" t="s">
        <v>3285</v>
      </c>
      <c r="AO424" t="s">
        <v>3286</v>
      </c>
      <c r="AP424" t="s">
        <v>1204</v>
      </c>
      <c r="AQ424" s="245">
        <v>320.68</v>
      </c>
      <c r="AR424" t="s">
        <v>3287</v>
      </c>
      <c r="AS424" s="226" t="str">
        <f t="shared" si="12"/>
        <v>Revolt 95</v>
      </c>
      <c r="AT424" s="203" t="str">
        <f t="shared" si="13"/>
        <v xml:space="preserve"> Vï¿½lklRevolt 95165 Unisex</v>
      </c>
    </row>
    <row r="425" spans="1:46" ht="79.2">
      <c r="A425" t="s">
        <v>155</v>
      </c>
      <c r="B425" t="s">
        <v>180</v>
      </c>
      <c r="C425" t="s">
        <v>598</v>
      </c>
      <c r="D425">
        <v>160</v>
      </c>
      <c r="E425" t="s">
        <v>163</v>
      </c>
      <c r="F425">
        <v>160</v>
      </c>
      <c r="G425">
        <v>160.80000000000001</v>
      </c>
      <c r="H425">
        <v>120</v>
      </c>
      <c r="I425">
        <v>142</v>
      </c>
      <c r="J425">
        <v>128</v>
      </c>
      <c r="K425">
        <v>92</v>
      </c>
      <c r="L425">
        <v>112</v>
      </c>
      <c r="M425">
        <v>17.7</v>
      </c>
      <c r="N425">
        <v>1301</v>
      </c>
      <c r="O425">
        <v>1.27</v>
      </c>
      <c r="P425">
        <v>1656</v>
      </c>
      <c r="Q425">
        <v>231</v>
      </c>
      <c r="R425">
        <v>91</v>
      </c>
      <c r="S425">
        <v>59</v>
      </c>
      <c r="T425">
        <v>288</v>
      </c>
      <c r="U425">
        <v>18</v>
      </c>
      <c r="V425">
        <v>121</v>
      </c>
      <c r="W425">
        <v>0.312</v>
      </c>
      <c r="X425">
        <v>109</v>
      </c>
      <c r="Y425">
        <v>81</v>
      </c>
      <c r="Z425">
        <v>179</v>
      </c>
      <c r="AA425">
        <v>4</v>
      </c>
      <c r="AB425">
        <v>12.7</v>
      </c>
      <c r="AC425" t="s">
        <v>188</v>
      </c>
      <c r="AD425" t="s">
        <v>185</v>
      </c>
      <c r="AE425" t="s">
        <v>198</v>
      </c>
      <c r="AG425" t="s">
        <v>3288</v>
      </c>
      <c r="AH425" t="s">
        <v>1468</v>
      </c>
      <c r="AI425" s="245">
        <v>699.95</v>
      </c>
      <c r="AJ425" t="s">
        <v>3289</v>
      </c>
      <c r="AK425" t="s">
        <v>3290</v>
      </c>
      <c r="AL425" t="s">
        <v>1334</v>
      </c>
      <c r="AM425" s="245">
        <v>594.94000000000005</v>
      </c>
      <c r="AN425" t="s">
        <v>3291</v>
      </c>
      <c r="AO425" t="s">
        <v>3290</v>
      </c>
      <c r="AP425" t="s">
        <v>1244</v>
      </c>
      <c r="AQ425" s="245">
        <v>639.96</v>
      </c>
      <c r="AR425" t="s">
        <v>3292</v>
      </c>
      <c r="AS425" s="226" t="str">
        <f t="shared" si="12"/>
        <v>Superguide 95 W</v>
      </c>
      <c r="AT425" s="203" t="str">
        <f t="shared" si="13"/>
        <v xml:space="preserve"> ScottSuperguide 95 W160 Women's</v>
      </c>
    </row>
    <row r="426" spans="1:46" ht="79.2">
      <c r="A426" t="s">
        <v>155</v>
      </c>
      <c r="B426" t="s">
        <v>215</v>
      </c>
      <c r="C426" t="s">
        <v>590</v>
      </c>
      <c r="D426">
        <v>182</v>
      </c>
      <c r="E426" t="s">
        <v>158</v>
      </c>
      <c r="F426">
        <v>182</v>
      </c>
      <c r="G426">
        <v>180.9</v>
      </c>
      <c r="H426">
        <v>103</v>
      </c>
      <c r="I426">
        <v>152</v>
      </c>
      <c r="J426">
        <v>137</v>
      </c>
      <c r="K426">
        <v>106</v>
      </c>
      <c r="L426">
        <v>127</v>
      </c>
      <c r="M426">
        <v>20.399999999999999</v>
      </c>
      <c r="N426">
        <v>2023</v>
      </c>
      <c r="O426">
        <v>1.03</v>
      </c>
      <c r="P426">
        <v>2084</v>
      </c>
      <c r="Q426">
        <v>226</v>
      </c>
      <c r="R426">
        <v>107</v>
      </c>
      <c r="S426">
        <v>57</v>
      </c>
      <c r="T426">
        <v>462</v>
      </c>
      <c r="U426">
        <v>42</v>
      </c>
      <c r="V426">
        <v>321</v>
      </c>
      <c r="W426">
        <v>0.747</v>
      </c>
      <c r="X426">
        <v>141</v>
      </c>
      <c r="Y426">
        <v>153</v>
      </c>
      <c r="Z426">
        <v>321</v>
      </c>
      <c r="AA426">
        <v>4</v>
      </c>
      <c r="AB426">
        <v>7.9</v>
      </c>
      <c r="AC426" t="s">
        <v>169</v>
      </c>
      <c r="AG426" t="s">
        <v>3293</v>
      </c>
      <c r="AH426" t="s">
        <v>1248</v>
      </c>
      <c r="AI426" s="245">
        <v>524.99</v>
      </c>
      <c r="AJ426" t="s">
        <v>3294</v>
      </c>
      <c r="AK426" t="s">
        <v>3293</v>
      </c>
      <c r="AL426" t="s">
        <v>1224</v>
      </c>
      <c r="AM426" s="245">
        <v>524.99</v>
      </c>
      <c r="AN426" t="s">
        <v>3295</v>
      </c>
      <c r="AO426" t="s">
        <v>3296</v>
      </c>
      <c r="AP426" t="s">
        <v>1240</v>
      </c>
      <c r="AQ426" s="245">
        <v>529.95000000000005</v>
      </c>
      <c r="AR426" t="s">
        <v>3297</v>
      </c>
      <c r="AS426" s="226" t="str">
        <f t="shared" si="12"/>
        <v>Origin 106</v>
      </c>
      <c r="AT426" s="203" t="str">
        <f t="shared" si="13"/>
        <v xml:space="preserve"> LibertyOrigin 106182 Unisex</v>
      </c>
    </row>
    <row r="427" spans="1:46" ht="79.2">
      <c r="A427" t="s">
        <v>155</v>
      </c>
      <c r="B427" t="s">
        <v>208</v>
      </c>
      <c r="C427" t="s">
        <v>530</v>
      </c>
      <c r="D427">
        <v>171</v>
      </c>
      <c r="E427" t="s">
        <v>158</v>
      </c>
      <c r="F427">
        <v>171</v>
      </c>
      <c r="G427">
        <v>171.1</v>
      </c>
      <c r="H427">
        <v>126</v>
      </c>
      <c r="I427">
        <v>144</v>
      </c>
      <c r="J427">
        <v>116</v>
      </c>
      <c r="K427">
        <v>89</v>
      </c>
      <c r="L427">
        <v>116</v>
      </c>
      <c r="M427">
        <v>18.399999999999999</v>
      </c>
      <c r="N427">
        <v>1633</v>
      </c>
      <c r="O427">
        <v>1.04</v>
      </c>
      <c r="P427">
        <v>1696</v>
      </c>
      <c r="Q427">
        <v>153</v>
      </c>
      <c r="R427">
        <v>81</v>
      </c>
      <c r="S427">
        <v>46</v>
      </c>
      <c r="T427">
        <v>225</v>
      </c>
      <c r="U427">
        <v>41</v>
      </c>
      <c r="V427">
        <v>222</v>
      </c>
      <c r="W427">
        <v>0.89500000000000002</v>
      </c>
      <c r="X427">
        <v>130</v>
      </c>
      <c r="Y427">
        <v>145</v>
      </c>
      <c r="Z427">
        <v>95</v>
      </c>
      <c r="AA427">
        <v>7</v>
      </c>
      <c r="AB427">
        <v>1.8</v>
      </c>
      <c r="AC427" t="s">
        <v>184</v>
      </c>
      <c r="AG427" t="s">
        <v>2799</v>
      </c>
      <c r="AH427" t="s">
        <v>1211</v>
      </c>
      <c r="AI427" s="245">
        <v>449.95</v>
      </c>
      <c r="AJ427" t="s">
        <v>3298</v>
      </c>
      <c r="AK427" t="s">
        <v>2801</v>
      </c>
      <c r="AL427" t="s">
        <v>1950</v>
      </c>
      <c r="AM427" s="245">
        <v>449.95</v>
      </c>
      <c r="AN427" t="s">
        <v>3299</v>
      </c>
      <c r="AO427" t="s">
        <v>3300</v>
      </c>
      <c r="AP427" t="s">
        <v>2214</v>
      </c>
      <c r="AQ427" s="245">
        <v>200</v>
      </c>
      <c r="AR427" t="s">
        <v>3301</v>
      </c>
      <c r="AS427" s="226" t="str">
        <f t="shared" si="12"/>
        <v>Tom Wallisch Pro</v>
      </c>
      <c r="AT427" s="203" t="str">
        <f t="shared" si="13"/>
        <v xml:space="preserve"> LineTom Wallisch Pro171 Unisex</v>
      </c>
    </row>
    <row r="428" spans="1:46" ht="105.6">
      <c r="A428" t="s">
        <v>155</v>
      </c>
      <c r="B428" t="s">
        <v>218</v>
      </c>
      <c r="C428" t="s">
        <v>273</v>
      </c>
      <c r="D428">
        <v>168</v>
      </c>
      <c r="E428" t="s">
        <v>158</v>
      </c>
      <c r="F428">
        <v>168</v>
      </c>
      <c r="G428">
        <v>166.6</v>
      </c>
      <c r="H428">
        <v>98</v>
      </c>
      <c r="I428">
        <v>112</v>
      </c>
      <c r="J428">
        <v>136</v>
      </c>
      <c r="K428">
        <v>112</v>
      </c>
      <c r="L428">
        <v>124</v>
      </c>
      <c r="M428">
        <v>15.2</v>
      </c>
      <c r="N428">
        <v>1732</v>
      </c>
      <c r="O428">
        <v>1.1499999999999999</v>
      </c>
      <c r="P428">
        <v>1985</v>
      </c>
      <c r="Q428">
        <v>154</v>
      </c>
      <c r="R428">
        <v>96</v>
      </c>
      <c r="S428">
        <v>59</v>
      </c>
      <c r="T428">
        <v>395</v>
      </c>
      <c r="U428">
        <v>32</v>
      </c>
      <c r="V428">
        <v>287</v>
      </c>
      <c r="W428">
        <v>0.54299999999999904</v>
      </c>
      <c r="X428">
        <v>306</v>
      </c>
      <c r="Y428">
        <v>243</v>
      </c>
      <c r="Z428">
        <v>89</v>
      </c>
      <c r="AA428">
        <v>6</v>
      </c>
      <c r="AB428">
        <v>14</v>
      </c>
      <c r="AC428" t="s">
        <v>169</v>
      </c>
      <c r="AD428" t="s">
        <v>185</v>
      </c>
      <c r="AG428" t="s">
        <v>2065</v>
      </c>
      <c r="AH428" t="s">
        <v>1468</v>
      </c>
      <c r="AI428" s="245">
        <v>1029</v>
      </c>
      <c r="AJ428" t="s">
        <v>3302</v>
      </c>
      <c r="AK428" t="s">
        <v>3303</v>
      </c>
      <c r="AL428" t="s">
        <v>1471</v>
      </c>
      <c r="AM428" s="245">
        <v>1039</v>
      </c>
      <c r="AN428" t="s">
        <v>3304</v>
      </c>
      <c r="AO428" t="s">
        <v>3305</v>
      </c>
      <c r="AP428" t="s">
        <v>1271</v>
      </c>
      <c r="AQ428" s="245">
        <v>1039.2</v>
      </c>
      <c r="AR428" t="s">
        <v>3306</v>
      </c>
      <c r="AS428" s="226" t="str">
        <f t="shared" si="12"/>
        <v>Pagoda 112 RP</v>
      </c>
      <c r="AT428" s="203" t="str">
        <f t="shared" si="13"/>
        <v xml:space="preserve"> DPSPagoda 112 RP168 Unisex</v>
      </c>
    </row>
    <row r="429" spans="1:46" ht="92.4">
      <c r="A429" t="s">
        <v>155</v>
      </c>
      <c r="B429" t="s">
        <v>1160</v>
      </c>
      <c r="C429" t="s">
        <v>488</v>
      </c>
      <c r="D429">
        <v>161</v>
      </c>
      <c r="E429" t="s">
        <v>163</v>
      </c>
      <c r="F429">
        <v>161</v>
      </c>
      <c r="G429">
        <v>161.1</v>
      </c>
      <c r="H429">
        <v>114</v>
      </c>
      <c r="I429">
        <v>133</v>
      </c>
      <c r="J429">
        <v>133</v>
      </c>
      <c r="K429">
        <v>97</v>
      </c>
      <c r="L429">
        <v>119</v>
      </c>
      <c r="M429">
        <v>14.6</v>
      </c>
      <c r="N429">
        <v>1700</v>
      </c>
      <c r="O429">
        <v>1.03</v>
      </c>
      <c r="P429">
        <v>1752</v>
      </c>
      <c r="Q429">
        <v>144</v>
      </c>
      <c r="R429">
        <v>91</v>
      </c>
      <c r="S429">
        <v>48</v>
      </c>
      <c r="T429">
        <v>287</v>
      </c>
      <c r="U429">
        <v>15</v>
      </c>
      <c r="V429">
        <v>180</v>
      </c>
      <c r="W429">
        <v>0.309</v>
      </c>
      <c r="X429">
        <v>157</v>
      </c>
      <c r="Y429">
        <v>120</v>
      </c>
      <c r="Z429">
        <v>130</v>
      </c>
      <c r="AA429">
        <v>7</v>
      </c>
      <c r="AB429">
        <v>10.7</v>
      </c>
      <c r="AC429" t="s">
        <v>188</v>
      </c>
      <c r="AG429" t="s">
        <v>2596</v>
      </c>
      <c r="AH429" t="s">
        <v>1191</v>
      </c>
      <c r="AI429" s="245">
        <v>514.95000000000005</v>
      </c>
      <c r="AJ429" t="s">
        <v>3307</v>
      </c>
      <c r="AK429" t="s">
        <v>2596</v>
      </c>
      <c r="AL429" t="s">
        <v>1271</v>
      </c>
      <c r="AM429" s="245">
        <v>699.95</v>
      </c>
      <c r="AN429" t="s">
        <v>3308</v>
      </c>
      <c r="AO429" t="s">
        <v>2596</v>
      </c>
      <c r="AP429" t="s">
        <v>2111</v>
      </c>
      <c r="AQ429" s="245">
        <v>699.95</v>
      </c>
      <c r="AR429" t="s">
        <v>3309</v>
      </c>
      <c r="AS429" s="226" t="str">
        <f t="shared" si="12"/>
        <v>Mindbender 98 Ti Alliance</v>
      </c>
      <c r="AT429" s="203" t="str">
        <f t="shared" si="13"/>
        <v>K2Mindbender 98 Ti Alliance161 Women's</v>
      </c>
    </row>
    <row r="430" spans="1:46" ht="79.2">
      <c r="A430" t="s">
        <v>155</v>
      </c>
      <c r="B430" t="s">
        <v>172</v>
      </c>
      <c r="C430" t="s">
        <v>599</v>
      </c>
      <c r="D430">
        <v>178</v>
      </c>
      <c r="E430" t="s">
        <v>158</v>
      </c>
      <c r="F430">
        <v>178</v>
      </c>
      <c r="G430">
        <v>178.4</v>
      </c>
      <c r="H430">
        <v>131</v>
      </c>
      <c r="I430">
        <v>154</v>
      </c>
      <c r="J430">
        <v>126</v>
      </c>
      <c r="K430">
        <v>93</v>
      </c>
      <c r="L430">
        <v>116</v>
      </c>
      <c r="M430">
        <v>18.600000000000001</v>
      </c>
      <c r="N430">
        <v>1801</v>
      </c>
      <c r="O430">
        <v>1.03</v>
      </c>
      <c r="P430">
        <v>1857</v>
      </c>
      <c r="Q430">
        <v>251</v>
      </c>
      <c r="R430">
        <v>125</v>
      </c>
      <c r="S430">
        <v>49</v>
      </c>
      <c r="T430">
        <v>307</v>
      </c>
      <c r="U430">
        <v>11</v>
      </c>
      <c r="V430">
        <v>171</v>
      </c>
      <c r="W430">
        <v>0.22</v>
      </c>
      <c r="X430">
        <v>142</v>
      </c>
      <c r="Y430">
        <v>104</v>
      </c>
      <c r="Z430">
        <v>165</v>
      </c>
      <c r="AA430">
        <v>8</v>
      </c>
      <c r="AB430">
        <v>7.6</v>
      </c>
      <c r="AC430" t="s">
        <v>188</v>
      </c>
      <c r="AG430" t="s">
        <v>3310</v>
      </c>
      <c r="AH430" t="s">
        <v>1204</v>
      </c>
      <c r="AI430" s="245">
        <v>400.85</v>
      </c>
      <c r="AJ430" t="s">
        <v>3311</v>
      </c>
      <c r="AK430" t="s">
        <v>1780</v>
      </c>
      <c r="AL430" t="s">
        <v>1464</v>
      </c>
      <c r="AM430" s="245">
        <v>473.9</v>
      </c>
      <c r="AN430" t="s">
        <v>3312</v>
      </c>
      <c r="AO430" t="s">
        <v>3313</v>
      </c>
      <c r="AP430" t="s">
        <v>1294</v>
      </c>
      <c r="AQ430" s="245">
        <v>479.93</v>
      </c>
      <c r="AR430" t="s">
        <v>3314</v>
      </c>
      <c r="AS430" s="226" t="str">
        <f t="shared" si="12"/>
        <v>Blackops Escaper</v>
      </c>
      <c r="AT430" s="203" t="str">
        <f t="shared" si="13"/>
        <v xml:space="preserve"> RossignolBlackops Escaper178 Unisex</v>
      </c>
    </row>
    <row r="431" spans="1:46" ht="52.8">
      <c r="A431" t="s">
        <v>155</v>
      </c>
      <c r="B431" t="s">
        <v>164</v>
      </c>
      <c r="C431" t="s">
        <v>255</v>
      </c>
      <c r="D431">
        <v>172</v>
      </c>
      <c r="E431" t="s">
        <v>158</v>
      </c>
      <c r="F431">
        <v>172</v>
      </c>
      <c r="G431">
        <v>170.3</v>
      </c>
      <c r="H431">
        <v>127</v>
      </c>
      <c r="I431">
        <v>136</v>
      </c>
      <c r="J431">
        <v>136</v>
      </c>
      <c r="K431">
        <v>94</v>
      </c>
      <c r="L431">
        <v>110</v>
      </c>
      <c r="M431">
        <v>15.6</v>
      </c>
      <c r="N431">
        <v>1577</v>
      </c>
      <c r="O431">
        <v>1.1599999999999999</v>
      </c>
      <c r="P431">
        <v>1823</v>
      </c>
      <c r="Q431">
        <v>190</v>
      </c>
      <c r="R431">
        <v>74</v>
      </c>
      <c r="S431">
        <v>51</v>
      </c>
      <c r="T431">
        <v>274</v>
      </c>
      <c r="U431">
        <v>15</v>
      </c>
      <c r="V431">
        <v>159</v>
      </c>
      <c r="W431">
        <v>0.3</v>
      </c>
      <c r="X431">
        <v>178</v>
      </c>
      <c r="Y431">
        <v>166</v>
      </c>
      <c r="Z431">
        <v>96</v>
      </c>
      <c r="AA431">
        <v>4</v>
      </c>
      <c r="AB431">
        <v>7.7</v>
      </c>
      <c r="AC431" t="s">
        <v>188</v>
      </c>
      <c r="AD431" t="s">
        <v>185</v>
      </c>
      <c r="AG431" t="s">
        <v>1489</v>
      </c>
      <c r="AH431" t="s">
        <v>1229</v>
      </c>
      <c r="AI431" s="245">
        <v>419.99</v>
      </c>
      <c r="AJ431" t="s">
        <v>3315</v>
      </c>
      <c r="AK431" t="s">
        <v>3316</v>
      </c>
      <c r="AL431" t="s">
        <v>1692</v>
      </c>
      <c r="AM431" s="245">
        <v>487.49</v>
      </c>
      <c r="AN431" t="s">
        <v>3317</v>
      </c>
      <c r="AO431" t="s">
        <v>1489</v>
      </c>
      <c r="AP431" t="s">
        <v>1181</v>
      </c>
      <c r="AQ431" s="245">
        <v>487.49</v>
      </c>
      <c r="AR431" t="s">
        <v>3318</v>
      </c>
      <c r="AS431" s="226" t="str">
        <f t="shared" si="12"/>
        <v>Ripstick 96</v>
      </c>
      <c r="AT431" s="203" t="str">
        <f t="shared" si="13"/>
        <v xml:space="preserve"> ElanRipstick 96172 Unisex</v>
      </c>
    </row>
    <row r="432" spans="1:46" ht="118.8">
      <c r="A432" t="s">
        <v>155</v>
      </c>
      <c r="B432" t="s">
        <v>164</v>
      </c>
      <c r="C432" t="s">
        <v>292</v>
      </c>
      <c r="D432">
        <v>152</v>
      </c>
      <c r="E432" t="s">
        <v>163</v>
      </c>
      <c r="F432">
        <v>152</v>
      </c>
      <c r="G432">
        <v>153.1</v>
      </c>
      <c r="H432">
        <v>122</v>
      </c>
      <c r="I432">
        <v>133</v>
      </c>
      <c r="J432">
        <v>129</v>
      </c>
      <c r="K432">
        <v>81</v>
      </c>
      <c r="L432">
        <v>112</v>
      </c>
      <c r="M432">
        <v>10.9</v>
      </c>
      <c r="N432">
        <v>1695</v>
      </c>
      <c r="O432">
        <v>0.87</v>
      </c>
      <c r="P432">
        <v>1483</v>
      </c>
      <c r="Q432">
        <v>210</v>
      </c>
      <c r="R432">
        <v>81</v>
      </c>
      <c r="S432">
        <v>40</v>
      </c>
      <c r="T432">
        <v>190</v>
      </c>
      <c r="U432">
        <v>9</v>
      </c>
      <c r="V432">
        <v>121</v>
      </c>
      <c r="W432">
        <v>0.23499999999999999</v>
      </c>
      <c r="X432">
        <v>110</v>
      </c>
      <c r="Y432">
        <v>92</v>
      </c>
      <c r="Z432">
        <v>80</v>
      </c>
      <c r="AA432">
        <v>6</v>
      </c>
      <c r="AB432">
        <v>8.5</v>
      </c>
      <c r="AC432" t="s">
        <v>231</v>
      </c>
      <c r="AD432" t="s">
        <v>188</v>
      </c>
      <c r="AG432" t="s">
        <v>3319</v>
      </c>
      <c r="AH432" t="s">
        <v>1218</v>
      </c>
      <c r="AI432" s="245">
        <v>319.95</v>
      </c>
      <c r="AJ432" t="s">
        <v>3320</v>
      </c>
      <c r="AK432" t="s">
        <v>3321</v>
      </c>
      <c r="AL432" t="s">
        <v>3322</v>
      </c>
      <c r="AM432" s="245">
        <v>599.99</v>
      </c>
      <c r="AN432" t="s">
        <v>3323</v>
      </c>
      <c r="AO432" t="s">
        <v>3321</v>
      </c>
      <c r="AP432" t="s">
        <v>1566</v>
      </c>
      <c r="AQ432" s="245">
        <v>599.99</v>
      </c>
      <c r="AR432" t="s">
        <v>3324</v>
      </c>
      <c r="AS432" s="226" t="str">
        <f t="shared" si="12"/>
        <v>Wildcat 82 C</v>
      </c>
      <c r="AT432" s="203" t="str">
        <f t="shared" si="13"/>
        <v xml:space="preserve"> ElanWildcat 82 C152 Women's</v>
      </c>
    </row>
    <row r="433" spans="1:46" ht="52.8">
      <c r="A433" t="s">
        <v>155</v>
      </c>
      <c r="B433" t="s">
        <v>202</v>
      </c>
      <c r="C433" t="s">
        <v>380</v>
      </c>
      <c r="D433">
        <v>178</v>
      </c>
      <c r="E433" t="s">
        <v>158</v>
      </c>
      <c r="F433">
        <v>178</v>
      </c>
      <c r="G433">
        <v>177.3</v>
      </c>
      <c r="H433">
        <v>129</v>
      </c>
      <c r="I433">
        <v>146</v>
      </c>
      <c r="J433">
        <v>126</v>
      </c>
      <c r="K433">
        <v>97</v>
      </c>
      <c r="L433">
        <v>116</v>
      </c>
      <c r="M433">
        <v>19.7</v>
      </c>
      <c r="N433">
        <v>1920</v>
      </c>
      <c r="O433">
        <v>0.99</v>
      </c>
      <c r="P433">
        <v>1893</v>
      </c>
      <c r="Q433">
        <v>267</v>
      </c>
      <c r="R433">
        <v>109</v>
      </c>
      <c r="S433">
        <v>62</v>
      </c>
      <c r="T433">
        <v>327</v>
      </c>
      <c r="U433">
        <v>14</v>
      </c>
      <c r="V433">
        <v>151</v>
      </c>
      <c r="W433">
        <v>0.22899999999999901</v>
      </c>
      <c r="X433">
        <v>189</v>
      </c>
      <c r="Y433">
        <v>125</v>
      </c>
      <c r="Z433">
        <v>138</v>
      </c>
      <c r="AA433">
        <v>6</v>
      </c>
      <c r="AB433">
        <v>12.2</v>
      </c>
      <c r="AC433" t="s">
        <v>188</v>
      </c>
      <c r="AG433" t="s">
        <v>3325</v>
      </c>
      <c r="AH433" t="s">
        <v>1204</v>
      </c>
      <c r="AI433" s="245">
        <v>481.02</v>
      </c>
      <c r="AJ433" t="s">
        <v>3326</v>
      </c>
      <c r="AK433" t="s">
        <v>3327</v>
      </c>
      <c r="AL433" t="s">
        <v>1271</v>
      </c>
      <c r="AM433" s="245">
        <v>559.95000000000005</v>
      </c>
      <c r="AN433" t="s">
        <v>3328</v>
      </c>
      <c r="AO433" t="s">
        <v>3327</v>
      </c>
      <c r="AP433" t="s">
        <v>1224</v>
      </c>
      <c r="AQ433" s="245">
        <v>559.96</v>
      </c>
      <c r="AR433" t="s">
        <v>3329</v>
      </c>
      <c r="AS433" s="226" t="str">
        <f t="shared" si="12"/>
        <v>M-Pro 99</v>
      </c>
      <c r="AT433" s="203" t="str">
        <f t="shared" si="13"/>
        <v xml:space="preserve"> DynastarM-Pro 99178 Unisex</v>
      </c>
    </row>
    <row r="434" spans="1:46" ht="52.8">
      <c r="A434" t="s">
        <v>155</v>
      </c>
      <c r="B434" t="s">
        <v>1395</v>
      </c>
      <c r="C434" t="s">
        <v>596</v>
      </c>
      <c r="D434">
        <v>157</v>
      </c>
      <c r="E434" t="s">
        <v>158</v>
      </c>
      <c r="F434">
        <v>157</v>
      </c>
      <c r="G434">
        <v>156.1</v>
      </c>
      <c r="H434">
        <v>120</v>
      </c>
      <c r="I434">
        <v>141</v>
      </c>
      <c r="J434">
        <v>128</v>
      </c>
      <c r="K434">
        <v>94</v>
      </c>
      <c r="L434">
        <v>118</v>
      </c>
      <c r="M434">
        <v>16.899999999999999</v>
      </c>
      <c r="N434">
        <v>1681</v>
      </c>
      <c r="O434">
        <v>0.97</v>
      </c>
      <c r="P434">
        <v>1624</v>
      </c>
      <c r="Q434">
        <v>156</v>
      </c>
      <c r="R434">
        <v>82</v>
      </c>
      <c r="S434">
        <v>39</v>
      </c>
      <c r="T434">
        <v>218</v>
      </c>
      <c r="U434">
        <v>36</v>
      </c>
      <c r="V434">
        <v>147</v>
      </c>
      <c r="W434">
        <v>0.94599999999999995</v>
      </c>
      <c r="X434">
        <v>81</v>
      </c>
      <c r="Y434">
        <v>69</v>
      </c>
      <c r="Z434">
        <v>137</v>
      </c>
      <c r="AA434">
        <v>6</v>
      </c>
      <c r="AB434">
        <v>0.1</v>
      </c>
      <c r="AC434" t="s">
        <v>184</v>
      </c>
      <c r="AG434" t="s">
        <v>3283</v>
      </c>
      <c r="AH434" t="s">
        <v>2374</v>
      </c>
      <c r="AI434" s="245">
        <v>319.99</v>
      </c>
      <c r="AJ434" t="s">
        <v>3330</v>
      </c>
      <c r="AS434" s="226" t="str">
        <f t="shared" si="12"/>
        <v>Revolt 95</v>
      </c>
      <c r="AT434" s="203" t="str">
        <f t="shared" si="13"/>
        <v xml:space="preserve"> Vï¿½lklRevolt 95157 Unisex</v>
      </c>
    </row>
    <row r="435" spans="1:46" ht="79.2">
      <c r="A435" t="s">
        <v>155</v>
      </c>
      <c r="B435" t="s">
        <v>329</v>
      </c>
      <c r="C435" t="s">
        <v>570</v>
      </c>
      <c r="D435">
        <v>172</v>
      </c>
      <c r="E435" t="s">
        <v>158</v>
      </c>
      <c r="F435">
        <v>172</v>
      </c>
      <c r="G435">
        <v>169.8</v>
      </c>
      <c r="H435">
        <v>132</v>
      </c>
      <c r="I435">
        <v>148</v>
      </c>
      <c r="J435">
        <v>115</v>
      </c>
      <c r="K435">
        <v>79</v>
      </c>
      <c r="L435">
        <v>99</v>
      </c>
      <c r="M435">
        <v>19.2</v>
      </c>
      <c r="N435">
        <v>1127</v>
      </c>
      <c r="O435">
        <v>1.35</v>
      </c>
      <c r="P435">
        <v>1520</v>
      </c>
      <c r="Q435">
        <v>261</v>
      </c>
      <c r="R435">
        <v>91</v>
      </c>
      <c r="S435">
        <v>53</v>
      </c>
      <c r="T435">
        <v>278</v>
      </c>
      <c r="U435">
        <v>9</v>
      </c>
      <c r="V435">
        <v>103</v>
      </c>
      <c r="W435">
        <v>0.16600000000000001</v>
      </c>
      <c r="X435">
        <v>134</v>
      </c>
      <c r="Y435">
        <v>86</v>
      </c>
      <c r="Z435">
        <v>144</v>
      </c>
      <c r="AA435">
        <v>5</v>
      </c>
      <c r="AB435">
        <v>12.6</v>
      </c>
      <c r="AC435" t="s">
        <v>185</v>
      </c>
      <c r="AD435" t="s">
        <v>198</v>
      </c>
      <c r="AG435" t="s">
        <v>3331</v>
      </c>
      <c r="AH435" t="s">
        <v>3026</v>
      </c>
      <c r="AI435" s="245">
        <v>547.41</v>
      </c>
      <c r="AJ435" t="s">
        <v>3332</v>
      </c>
      <c r="AK435" t="s">
        <v>3331</v>
      </c>
      <c r="AL435" t="s">
        <v>1349</v>
      </c>
      <c r="AM435" s="245">
        <v>649.95000000000005</v>
      </c>
      <c r="AN435" t="s">
        <v>3333</v>
      </c>
      <c r="AO435" t="s">
        <v>3334</v>
      </c>
      <c r="AP435" t="s">
        <v>1468</v>
      </c>
      <c r="AQ435" s="245">
        <v>1049.95</v>
      </c>
      <c r="AR435" t="s">
        <v>3335</v>
      </c>
      <c r="AS435" s="226" t="str">
        <f t="shared" si="12"/>
        <v>Blacklight 80</v>
      </c>
      <c r="AT435" s="203" t="str">
        <f t="shared" si="13"/>
        <v xml:space="preserve"> DynafitBlacklight 80172 Unisex</v>
      </c>
    </row>
    <row r="436" spans="1:46" ht="409.6">
      <c r="A436" t="s">
        <v>155</v>
      </c>
      <c r="B436" t="s">
        <v>182</v>
      </c>
      <c r="C436" t="s">
        <v>505</v>
      </c>
      <c r="D436">
        <v>177</v>
      </c>
      <c r="E436" t="s">
        <v>158</v>
      </c>
      <c r="F436">
        <v>177</v>
      </c>
      <c r="G436">
        <v>175.2</v>
      </c>
      <c r="H436">
        <v>130</v>
      </c>
      <c r="I436">
        <v>146</v>
      </c>
      <c r="J436">
        <v>125</v>
      </c>
      <c r="K436">
        <v>95</v>
      </c>
      <c r="L436">
        <v>116</v>
      </c>
      <c r="M436">
        <v>18.899999999999999</v>
      </c>
      <c r="N436">
        <v>1938</v>
      </c>
      <c r="O436">
        <v>0.95</v>
      </c>
      <c r="P436">
        <v>1845</v>
      </c>
      <c r="Q436">
        <v>215</v>
      </c>
      <c r="R436">
        <v>115</v>
      </c>
      <c r="S436">
        <v>45</v>
      </c>
      <c r="T436">
        <v>233</v>
      </c>
      <c r="U436">
        <v>38</v>
      </c>
      <c r="V436">
        <v>217</v>
      </c>
      <c r="W436">
        <v>0.85199999999999998</v>
      </c>
      <c r="X436">
        <v>155</v>
      </c>
      <c r="Y436">
        <v>138</v>
      </c>
      <c r="Z436">
        <v>78</v>
      </c>
      <c r="AA436">
        <v>9</v>
      </c>
      <c r="AB436">
        <v>5.2</v>
      </c>
      <c r="AC436" t="s">
        <v>188</v>
      </c>
      <c r="AD436" t="s">
        <v>184</v>
      </c>
      <c r="AG436" t="s">
        <v>2668</v>
      </c>
      <c r="AH436" t="s">
        <v>1191</v>
      </c>
      <c r="AI436" s="245">
        <v>374.95</v>
      </c>
      <c r="AJ436" t="s">
        <v>3336</v>
      </c>
      <c r="AK436" t="s">
        <v>2668</v>
      </c>
      <c r="AL436" t="s">
        <v>1294</v>
      </c>
      <c r="AM436" s="245">
        <v>399.93</v>
      </c>
      <c r="AN436" t="s">
        <v>3337</v>
      </c>
      <c r="AO436" t="s">
        <v>2668</v>
      </c>
      <c r="AP436" t="s">
        <v>1232</v>
      </c>
      <c r="AQ436" s="245">
        <v>399.95</v>
      </c>
      <c r="AR436" t="s">
        <v>3338</v>
      </c>
      <c r="AS436" s="226" t="str">
        <f t="shared" si="12"/>
        <v>ARV 96</v>
      </c>
      <c r="AT436" s="203" t="str">
        <f t="shared" si="13"/>
        <v xml:space="preserve"> ArmadaARV 96177 Unisex</v>
      </c>
    </row>
    <row r="437" spans="1:46" ht="132">
      <c r="A437" t="s">
        <v>155</v>
      </c>
      <c r="B437" t="s">
        <v>205</v>
      </c>
      <c r="C437" t="s">
        <v>535</v>
      </c>
      <c r="D437">
        <v>171</v>
      </c>
      <c r="E437" t="s">
        <v>158</v>
      </c>
      <c r="F437">
        <v>171</v>
      </c>
      <c r="G437">
        <v>169.3</v>
      </c>
      <c r="H437">
        <v>121</v>
      </c>
      <c r="I437">
        <v>142</v>
      </c>
      <c r="J437">
        <v>120</v>
      </c>
      <c r="K437">
        <v>87</v>
      </c>
      <c r="L437">
        <v>112</v>
      </c>
      <c r="M437">
        <v>16.3</v>
      </c>
      <c r="N437">
        <v>1794</v>
      </c>
      <c r="O437">
        <v>0.93</v>
      </c>
      <c r="P437">
        <v>1674</v>
      </c>
      <c r="Q437">
        <v>185</v>
      </c>
      <c r="R437">
        <v>87</v>
      </c>
      <c r="S437">
        <v>53</v>
      </c>
      <c r="T437">
        <v>277</v>
      </c>
      <c r="U437">
        <v>38</v>
      </c>
      <c r="V437">
        <v>203</v>
      </c>
      <c r="W437">
        <v>0.72599999999999998</v>
      </c>
      <c r="X437">
        <v>147</v>
      </c>
      <c r="Y437">
        <v>122</v>
      </c>
      <c r="Z437">
        <v>129</v>
      </c>
      <c r="AA437">
        <v>7</v>
      </c>
      <c r="AB437">
        <v>7.1</v>
      </c>
      <c r="AC437" t="s">
        <v>188</v>
      </c>
      <c r="AG437" t="s">
        <v>3339</v>
      </c>
      <c r="AH437" t="s">
        <v>1262</v>
      </c>
      <c r="AI437" s="245">
        <v>369.45</v>
      </c>
      <c r="AJ437" t="s">
        <v>3340</v>
      </c>
      <c r="AK437" t="s">
        <v>2788</v>
      </c>
      <c r="AL437" t="s">
        <v>2789</v>
      </c>
      <c r="AM437" s="245">
        <v>499</v>
      </c>
      <c r="AN437" t="s">
        <v>3341</v>
      </c>
      <c r="AO437" t="s">
        <v>3342</v>
      </c>
      <c r="AP437" t="s">
        <v>1179</v>
      </c>
      <c r="AQ437" s="245">
        <v>549</v>
      </c>
      <c r="AR437" t="s">
        <v>3343</v>
      </c>
      <c r="AS437" s="226" t="str">
        <f t="shared" si="12"/>
        <v>Prodigy 1.0</v>
      </c>
      <c r="AT437" s="203" t="str">
        <f t="shared" si="13"/>
        <v xml:space="preserve"> FactionProdigy 1.0171 Unisex</v>
      </c>
    </row>
    <row r="438" spans="1:46" ht="66">
      <c r="A438" t="s">
        <v>155</v>
      </c>
      <c r="B438" t="s">
        <v>172</v>
      </c>
      <c r="C438" t="s">
        <v>600</v>
      </c>
      <c r="D438">
        <v>170</v>
      </c>
      <c r="E438" t="s">
        <v>158</v>
      </c>
      <c r="F438">
        <v>170</v>
      </c>
      <c r="G438">
        <v>169.6</v>
      </c>
      <c r="H438">
        <v>150</v>
      </c>
      <c r="I438">
        <v>157</v>
      </c>
      <c r="J438">
        <v>122</v>
      </c>
      <c r="K438">
        <v>73</v>
      </c>
      <c r="L438">
        <v>108</v>
      </c>
      <c r="M438">
        <v>14.5</v>
      </c>
      <c r="N438">
        <v>1710</v>
      </c>
      <c r="O438">
        <v>0.88</v>
      </c>
      <c r="P438">
        <v>1499</v>
      </c>
      <c r="Q438">
        <v>185</v>
      </c>
      <c r="R438">
        <v>73</v>
      </c>
      <c r="S438">
        <v>35</v>
      </c>
      <c r="T438">
        <v>144</v>
      </c>
      <c r="U438">
        <v>4</v>
      </c>
      <c r="V438">
        <v>50</v>
      </c>
      <c r="W438">
        <v>0.123</v>
      </c>
      <c r="X438">
        <v>71</v>
      </c>
      <c r="Y438">
        <v>60</v>
      </c>
      <c r="Z438">
        <v>74</v>
      </c>
      <c r="AA438">
        <v>13</v>
      </c>
      <c r="AB438">
        <v>9.9</v>
      </c>
      <c r="AC438" t="s">
        <v>349</v>
      </c>
      <c r="AG438" t="s">
        <v>3344</v>
      </c>
      <c r="AH438" t="s">
        <v>3345</v>
      </c>
      <c r="AI438" s="245">
        <v>168.09</v>
      </c>
      <c r="AJ438" t="s">
        <v>3346</v>
      </c>
      <c r="AK438" t="s">
        <v>3347</v>
      </c>
      <c r="AL438" t="s">
        <v>1183</v>
      </c>
      <c r="AM438" s="245">
        <v>279.99</v>
      </c>
      <c r="AN438" t="s">
        <v>3348</v>
      </c>
      <c r="AO438" t="s">
        <v>3349</v>
      </c>
      <c r="AP438" t="s">
        <v>1204</v>
      </c>
      <c r="AQ438" s="245">
        <v>320.68</v>
      </c>
      <c r="AR438" t="s">
        <v>3350</v>
      </c>
      <c r="AS438" s="226" t="str">
        <f t="shared" si="12"/>
        <v>React 6 Compact</v>
      </c>
      <c r="AT438" s="203" t="str">
        <f t="shared" si="13"/>
        <v xml:space="preserve"> RossignolReact 6 Compact170 Unisex</v>
      </c>
    </row>
    <row r="439" spans="1:46" ht="132">
      <c r="A439" t="s">
        <v>155</v>
      </c>
      <c r="B439" t="s">
        <v>1395</v>
      </c>
      <c r="C439" t="s">
        <v>477</v>
      </c>
      <c r="D439">
        <v>175</v>
      </c>
      <c r="E439" t="s">
        <v>158</v>
      </c>
      <c r="F439">
        <v>175</v>
      </c>
      <c r="G439">
        <v>175.5</v>
      </c>
      <c r="H439">
        <v>156</v>
      </c>
      <c r="I439">
        <v>163</v>
      </c>
      <c r="J439">
        <v>123</v>
      </c>
      <c r="K439">
        <v>75</v>
      </c>
      <c r="L439">
        <v>104</v>
      </c>
      <c r="M439">
        <v>17</v>
      </c>
      <c r="N439">
        <v>1931</v>
      </c>
      <c r="O439">
        <v>0.81</v>
      </c>
      <c r="P439">
        <v>1565</v>
      </c>
      <c r="Q439">
        <v>204</v>
      </c>
      <c r="R439">
        <v>87</v>
      </c>
      <c r="S439">
        <v>35</v>
      </c>
      <c r="T439">
        <v>141</v>
      </c>
      <c r="U439">
        <v>5</v>
      </c>
      <c r="V439">
        <v>52</v>
      </c>
      <c r="W439">
        <v>0.127</v>
      </c>
      <c r="X439">
        <v>73</v>
      </c>
      <c r="Y439">
        <v>49</v>
      </c>
      <c r="Z439">
        <v>67</v>
      </c>
      <c r="AA439">
        <v>9</v>
      </c>
      <c r="AB439">
        <v>12.7</v>
      </c>
      <c r="AC439" t="s">
        <v>349</v>
      </c>
      <c r="AG439" t="s">
        <v>2524</v>
      </c>
      <c r="AH439" t="s">
        <v>2525</v>
      </c>
      <c r="AI439" s="245">
        <v>590</v>
      </c>
      <c r="AJ439" t="s">
        <v>3351</v>
      </c>
      <c r="AK439" t="s">
        <v>3352</v>
      </c>
      <c r="AL439" t="s">
        <v>1326</v>
      </c>
      <c r="AM439" s="245">
        <v>338.92</v>
      </c>
      <c r="AN439" t="s">
        <v>3353</v>
      </c>
      <c r="AO439" t="s">
        <v>3354</v>
      </c>
      <c r="AP439" t="s">
        <v>3355</v>
      </c>
      <c r="AQ439" s="245">
        <v>169.97</v>
      </c>
      <c r="AR439" t="s">
        <v>3356</v>
      </c>
      <c r="AS439" s="226" t="str">
        <f t="shared" si="12"/>
        <v>Deacon XTD</v>
      </c>
      <c r="AT439" s="203" t="str">
        <f t="shared" si="13"/>
        <v xml:space="preserve"> Vï¿½lklDeacon XTD175 Unisex</v>
      </c>
    </row>
    <row r="440" spans="1:46" ht="105.6">
      <c r="A440" t="s">
        <v>155</v>
      </c>
      <c r="B440" t="s">
        <v>164</v>
      </c>
      <c r="C440" t="s">
        <v>601</v>
      </c>
      <c r="D440">
        <v>158</v>
      </c>
      <c r="E440" t="s">
        <v>163</v>
      </c>
      <c r="F440">
        <v>158</v>
      </c>
      <c r="G440">
        <v>158.4</v>
      </c>
      <c r="H440">
        <v>138</v>
      </c>
      <c r="I440">
        <v>145</v>
      </c>
      <c r="J440">
        <v>127</v>
      </c>
      <c r="K440">
        <v>75</v>
      </c>
      <c r="L440">
        <v>104</v>
      </c>
      <c r="M440">
        <v>13</v>
      </c>
      <c r="N440">
        <v>1515</v>
      </c>
      <c r="O440">
        <v>0.95</v>
      </c>
      <c r="P440">
        <v>1438</v>
      </c>
      <c r="Q440">
        <v>163</v>
      </c>
      <c r="R440">
        <v>69</v>
      </c>
      <c r="S440">
        <v>37</v>
      </c>
      <c r="T440">
        <v>141</v>
      </c>
      <c r="U440">
        <v>7</v>
      </c>
      <c r="V440">
        <v>68</v>
      </c>
      <c r="W440">
        <v>0.187</v>
      </c>
      <c r="X440">
        <v>88</v>
      </c>
      <c r="Y440">
        <v>49</v>
      </c>
      <c r="Z440">
        <v>53</v>
      </c>
      <c r="AA440">
        <v>9</v>
      </c>
      <c r="AB440">
        <v>9.1999999999999993</v>
      </c>
      <c r="AC440" t="s">
        <v>349</v>
      </c>
      <c r="AG440" t="s">
        <v>3357</v>
      </c>
      <c r="AH440" t="s">
        <v>1204</v>
      </c>
      <c r="AI440" s="245">
        <v>400.85</v>
      </c>
      <c r="AJ440" t="s">
        <v>3358</v>
      </c>
      <c r="AK440" t="s">
        <v>3359</v>
      </c>
      <c r="AL440" t="s">
        <v>1610</v>
      </c>
      <c r="AM440" s="245">
        <v>499.99</v>
      </c>
      <c r="AN440" t="s">
        <v>3360</v>
      </c>
      <c r="AO440" t="s">
        <v>3361</v>
      </c>
      <c r="AP440" t="s">
        <v>3196</v>
      </c>
      <c r="AQ440" s="245">
        <v>499.99</v>
      </c>
      <c r="AR440" t="s">
        <v>3362</v>
      </c>
      <c r="AS440" s="226" t="str">
        <f t="shared" si="12"/>
        <v>Wildcat 76</v>
      </c>
      <c r="AT440" s="203" t="str">
        <f t="shared" si="13"/>
        <v xml:space="preserve"> ElanWildcat 76158 Women's</v>
      </c>
    </row>
    <row r="441" spans="1:46" ht="79.2">
      <c r="A441" t="s">
        <v>155</v>
      </c>
      <c r="B441" t="s">
        <v>215</v>
      </c>
      <c r="C441" t="s">
        <v>592</v>
      </c>
      <c r="D441">
        <v>176</v>
      </c>
      <c r="E441" t="s">
        <v>158</v>
      </c>
      <c r="F441">
        <v>176</v>
      </c>
      <c r="G441">
        <v>174.8</v>
      </c>
      <c r="H441">
        <v>108</v>
      </c>
      <c r="I441">
        <v>145</v>
      </c>
      <c r="J441">
        <v>134</v>
      </c>
      <c r="K441">
        <v>101</v>
      </c>
      <c r="L441">
        <v>122</v>
      </c>
      <c r="M441">
        <v>17.399999999999999</v>
      </c>
      <c r="N441">
        <v>1821</v>
      </c>
      <c r="O441">
        <v>1.07</v>
      </c>
      <c r="P441">
        <v>1944</v>
      </c>
      <c r="Q441">
        <v>183</v>
      </c>
      <c r="R441">
        <v>92</v>
      </c>
      <c r="S441">
        <v>52</v>
      </c>
      <c r="T441">
        <v>385</v>
      </c>
      <c r="U441">
        <v>32</v>
      </c>
      <c r="V441">
        <v>288</v>
      </c>
      <c r="W441">
        <v>0.621</v>
      </c>
      <c r="X441">
        <v>142</v>
      </c>
      <c r="Y441">
        <v>156</v>
      </c>
      <c r="Z441">
        <v>243</v>
      </c>
      <c r="AA441">
        <v>4</v>
      </c>
      <c r="AB441">
        <v>7.8</v>
      </c>
      <c r="AC441" t="s">
        <v>188</v>
      </c>
      <c r="AD441" t="s">
        <v>169</v>
      </c>
      <c r="AE441" t="s">
        <v>185</v>
      </c>
      <c r="AG441" t="s">
        <v>3363</v>
      </c>
      <c r="AH441" t="s">
        <v>1450</v>
      </c>
      <c r="AI441" s="245">
        <v>529.99</v>
      </c>
      <c r="AJ441" t="s">
        <v>3364</v>
      </c>
      <c r="AK441" t="s">
        <v>3365</v>
      </c>
      <c r="AL441" t="s">
        <v>1566</v>
      </c>
      <c r="AM441" s="245">
        <v>669.99</v>
      </c>
      <c r="AN441" t="s">
        <v>3366</v>
      </c>
      <c r="AO441" t="s">
        <v>3367</v>
      </c>
      <c r="AP441" t="s">
        <v>3224</v>
      </c>
      <c r="AQ441" s="245">
        <v>669.99</v>
      </c>
      <c r="AR441" t="s">
        <v>3368</v>
      </c>
      <c r="AS441" s="226" t="str">
        <f t="shared" si="12"/>
        <v>Origin 101</v>
      </c>
      <c r="AT441" s="203" t="str">
        <f t="shared" si="13"/>
        <v xml:space="preserve"> LibertyOrigin 101176 Unisex</v>
      </c>
    </row>
    <row r="442" spans="1:46" ht="145.19999999999999">
      <c r="A442" t="s">
        <v>155</v>
      </c>
      <c r="B442" t="s">
        <v>202</v>
      </c>
      <c r="C442" t="s">
        <v>602</v>
      </c>
      <c r="D442">
        <v>170</v>
      </c>
      <c r="E442" t="s">
        <v>158</v>
      </c>
      <c r="F442">
        <v>170</v>
      </c>
      <c r="G442">
        <v>168.5</v>
      </c>
      <c r="H442">
        <v>121</v>
      </c>
      <c r="I442">
        <v>142</v>
      </c>
      <c r="J442">
        <v>118</v>
      </c>
      <c r="K442">
        <v>91</v>
      </c>
      <c r="L442">
        <v>108</v>
      </c>
      <c r="M442">
        <v>22.3</v>
      </c>
      <c r="N442">
        <v>1662</v>
      </c>
      <c r="O442">
        <v>1.01</v>
      </c>
      <c r="P442">
        <v>1679</v>
      </c>
      <c r="Q442">
        <v>187</v>
      </c>
      <c r="R442">
        <v>74</v>
      </c>
      <c r="S442">
        <v>50</v>
      </c>
      <c r="T442">
        <v>249</v>
      </c>
      <c r="U442">
        <v>32</v>
      </c>
      <c r="V442">
        <v>223</v>
      </c>
      <c r="W442">
        <v>0.63800000000000001</v>
      </c>
      <c r="X442">
        <v>132</v>
      </c>
      <c r="Y442">
        <v>134</v>
      </c>
      <c r="Z442">
        <v>118</v>
      </c>
      <c r="AA442">
        <v>8</v>
      </c>
      <c r="AB442">
        <v>7.4</v>
      </c>
      <c r="AC442" t="s">
        <v>188</v>
      </c>
      <c r="AG442" t="s">
        <v>3369</v>
      </c>
      <c r="AH442" t="s">
        <v>1224</v>
      </c>
      <c r="AI442" s="245">
        <v>449.95</v>
      </c>
      <c r="AJ442" t="s">
        <v>3370</v>
      </c>
      <c r="AK442" t="s">
        <v>3371</v>
      </c>
      <c r="AL442" t="s">
        <v>1248</v>
      </c>
      <c r="AM442" s="245">
        <v>419.97</v>
      </c>
      <c r="AN442" t="s">
        <v>3372</v>
      </c>
      <c r="AO442" t="s">
        <v>2310</v>
      </c>
      <c r="AP442" t="s">
        <v>1181</v>
      </c>
      <c r="AQ442" s="245">
        <v>479.96</v>
      </c>
      <c r="AR442" t="s">
        <v>3373</v>
      </c>
      <c r="AS442" s="226" t="str">
        <f t="shared" si="12"/>
        <v>M-Menace 90</v>
      </c>
      <c r="AT442" s="203" t="str">
        <f t="shared" si="13"/>
        <v xml:space="preserve"> DynastarM-Menace 90170 Unisex</v>
      </c>
    </row>
    <row r="443" spans="1:46" ht="92.4">
      <c r="A443" t="s">
        <v>155</v>
      </c>
      <c r="B443" t="s">
        <v>164</v>
      </c>
      <c r="C443" t="s">
        <v>255</v>
      </c>
      <c r="D443">
        <v>180</v>
      </c>
      <c r="E443" t="s">
        <v>158</v>
      </c>
      <c r="F443">
        <v>180</v>
      </c>
      <c r="G443">
        <v>177.1</v>
      </c>
      <c r="H443">
        <v>139</v>
      </c>
      <c r="I443">
        <v>144</v>
      </c>
      <c r="J443">
        <v>136</v>
      </c>
      <c r="K443">
        <v>94</v>
      </c>
      <c r="L443">
        <v>110</v>
      </c>
      <c r="M443">
        <v>17.5</v>
      </c>
      <c r="N443">
        <v>1720</v>
      </c>
      <c r="O443">
        <v>1.1000000000000001</v>
      </c>
      <c r="P443">
        <v>1895</v>
      </c>
      <c r="Q443">
        <v>187</v>
      </c>
      <c r="R443">
        <v>73</v>
      </c>
      <c r="S443">
        <v>44</v>
      </c>
      <c r="T443">
        <v>219</v>
      </c>
      <c r="U443">
        <v>16</v>
      </c>
      <c r="V443">
        <v>166</v>
      </c>
      <c r="W443">
        <v>0.35199999999999998</v>
      </c>
      <c r="X443">
        <v>172</v>
      </c>
      <c r="Y443">
        <v>158</v>
      </c>
      <c r="Z443">
        <v>47</v>
      </c>
      <c r="AA443">
        <v>9</v>
      </c>
      <c r="AB443">
        <v>8.3000000000000007</v>
      </c>
      <c r="AC443" t="s">
        <v>188</v>
      </c>
      <c r="AD443" t="s">
        <v>185</v>
      </c>
      <c r="AG443" t="s">
        <v>3374</v>
      </c>
      <c r="AH443" t="s">
        <v>1592</v>
      </c>
      <c r="AI443" s="245">
        <v>440</v>
      </c>
      <c r="AJ443" t="s">
        <v>3375</v>
      </c>
      <c r="AK443" t="s">
        <v>3376</v>
      </c>
      <c r="AL443" t="s">
        <v>1692</v>
      </c>
      <c r="AM443" s="245">
        <v>487.49</v>
      </c>
      <c r="AN443" t="s">
        <v>3377</v>
      </c>
      <c r="AO443" t="s">
        <v>3378</v>
      </c>
      <c r="AP443" t="s">
        <v>1232</v>
      </c>
      <c r="AQ443" s="245">
        <v>499.95</v>
      </c>
      <c r="AR443" t="s">
        <v>3379</v>
      </c>
      <c r="AS443" s="226" t="str">
        <f t="shared" si="12"/>
        <v>Ripstick 96</v>
      </c>
      <c r="AT443" s="203" t="str">
        <f t="shared" si="13"/>
        <v xml:space="preserve"> ElanRipstick 96180 Unisex</v>
      </c>
    </row>
    <row r="444" spans="1:46" ht="92.4">
      <c r="A444" t="s">
        <v>155</v>
      </c>
      <c r="B444" t="s">
        <v>1160</v>
      </c>
      <c r="C444" t="s">
        <v>603</v>
      </c>
      <c r="D444">
        <v>169</v>
      </c>
      <c r="E444" t="s">
        <v>158</v>
      </c>
      <c r="F444">
        <v>169</v>
      </c>
      <c r="G444">
        <v>169.1</v>
      </c>
      <c r="H444">
        <v>123</v>
      </c>
      <c r="I444">
        <v>135</v>
      </c>
      <c r="J444">
        <v>111</v>
      </c>
      <c r="K444">
        <v>85</v>
      </c>
      <c r="L444">
        <v>106</v>
      </c>
      <c r="M444">
        <v>18.399999999999999</v>
      </c>
      <c r="N444">
        <v>1677</v>
      </c>
      <c r="O444">
        <v>0.95</v>
      </c>
      <c r="P444">
        <v>1600</v>
      </c>
      <c r="Q444">
        <v>157</v>
      </c>
      <c r="R444">
        <v>87</v>
      </c>
      <c r="S444">
        <v>48</v>
      </c>
      <c r="T444">
        <v>220</v>
      </c>
      <c r="U444">
        <v>44</v>
      </c>
      <c r="V444">
        <v>237</v>
      </c>
      <c r="W444">
        <v>0.92799999999999905</v>
      </c>
      <c r="X444">
        <v>161</v>
      </c>
      <c r="Y444">
        <v>183</v>
      </c>
      <c r="Z444">
        <v>59</v>
      </c>
      <c r="AA444">
        <v>5</v>
      </c>
      <c r="AB444">
        <v>4.7</v>
      </c>
      <c r="AC444" t="s">
        <v>184</v>
      </c>
      <c r="AG444" t="s">
        <v>3380</v>
      </c>
      <c r="AH444" t="s">
        <v>1509</v>
      </c>
      <c r="AI444" s="245">
        <v>233.99</v>
      </c>
      <c r="AJ444" t="s">
        <v>3381</v>
      </c>
      <c r="AK444" t="s">
        <v>3382</v>
      </c>
      <c r="AL444" t="s">
        <v>1226</v>
      </c>
      <c r="AM444" s="245">
        <v>299</v>
      </c>
      <c r="AN444" t="s">
        <v>3383</v>
      </c>
      <c r="AO444" t="s">
        <v>3384</v>
      </c>
      <c r="AP444" t="s">
        <v>2594</v>
      </c>
      <c r="AQ444" s="245">
        <v>299.95</v>
      </c>
      <c r="AR444" t="s">
        <v>3385</v>
      </c>
      <c r="AS444" s="226" t="str">
        <f t="shared" si="12"/>
        <v>Press</v>
      </c>
      <c r="AT444" s="203" t="str">
        <f t="shared" si="13"/>
        <v>K2Press169 Unisex</v>
      </c>
    </row>
    <row r="445" spans="1:46" ht="52.8">
      <c r="A445" t="s">
        <v>155</v>
      </c>
      <c r="B445" t="s">
        <v>237</v>
      </c>
      <c r="C445" t="s">
        <v>604</v>
      </c>
      <c r="D445">
        <v>178.3</v>
      </c>
      <c r="E445" t="s">
        <v>158</v>
      </c>
      <c r="F445">
        <v>178.3</v>
      </c>
      <c r="G445">
        <v>176.7</v>
      </c>
      <c r="H445">
        <v>132</v>
      </c>
      <c r="I445">
        <v>143</v>
      </c>
      <c r="J445">
        <v>120</v>
      </c>
      <c r="K445">
        <v>89</v>
      </c>
      <c r="L445">
        <v>111</v>
      </c>
      <c r="M445">
        <v>17.5</v>
      </c>
      <c r="N445">
        <v>1708</v>
      </c>
      <c r="O445">
        <v>1.04</v>
      </c>
      <c r="P445">
        <v>1782</v>
      </c>
      <c r="Q445">
        <v>175</v>
      </c>
      <c r="R445">
        <v>80</v>
      </c>
      <c r="S445">
        <v>39</v>
      </c>
      <c r="T445">
        <v>242</v>
      </c>
      <c r="U445">
        <v>34</v>
      </c>
      <c r="V445">
        <v>201</v>
      </c>
      <c r="W445">
        <v>0.88500000000000001</v>
      </c>
      <c r="X445">
        <v>204</v>
      </c>
      <c r="Y445">
        <v>136</v>
      </c>
      <c r="Z445">
        <v>38</v>
      </c>
      <c r="AA445">
        <v>4</v>
      </c>
      <c r="AB445">
        <v>6.3</v>
      </c>
      <c r="AC445" t="s">
        <v>184</v>
      </c>
      <c r="AG445" t="s">
        <v>3386</v>
      </c>
      <c r="AH445" t="s">
        <v>1592</v>
      </c>
      <c r="AI445" s="245">
        <v>422.9</v>
      </c>
      <c r="AJ445" t="s">
        <v>3387</v>
      </c>
      <c r="AK445" t="s">
        <v>3386</v>
      </c>
      <c r="AL445" t="s">
        <v>1191</v>
      </c>
      <c r="AM445" s="245">
        <v>424.95</v>
      </c>
      <c r="AN445" t="s">
        <v>3388</v>
      </c>
      <c r="AO445" t="s">
        <v>3386</v>
      </c>
      <c r="AP445" t="s">
        <v>1858</v>
      </c>
      <c r="AQ445" s="245">
        <v>455</v>
      </c>
      <c r="AR445" t="s">
        <v>3389</v>
      </c>
      <c r="AS445" s="226" t="str">
        <f t="shared" si="12"/>
        <v>Captis</v>
      </c>
      <c r="AT445" s="203" t="str">
        <f t="shared" si="13"/>
        <v xml:space="preserve"> Black CrowsCaptis178.3 Unisex</v>
      </c>
    </row>
    <row r="446" spans="1:46" ht="79.2">
      <c r="A446" t="s">
        <v>155</v>
      </c>
      <c r="B446" t="s">
        <v>1160</v>
      </c>
      <c r="C446" t="s">
        <v>606</v>
      </c>
      <c r="D446">
        <v>165</v>
      </c>
      <c r="E446" t="s">
        <v>385</v>
      </c>
      <c r="F446">
        <v>165</v>
      </c>
      <c r="G446">
        <v>165.4</v>
      </c>
      <c r="H446">
        <v>109</v>
      </c>
      <c r="I446">
        <v>129</v>
      </c>
      <c r="J446">
        <v>126</v>
      </c>
      <c r="K446">
        <v>97</v>
      </c>
      <c r="L446">
        <v>115</v>
      </c>
      <c r="M446">
        <v>16.7</v>
      </c>
      <c r="N446">
        <v>1603</v>
      </c>
      <c r="O446">
        <v>1.1000000000000001</v>
      </c>
      <c r="P446">
        <v>1765</v>
      </c>
      <c r="Q446">
        <v>167</v>
      </c>
      <c r="R446">
        <v>86</v>
      </c>
      <c r="S446">
        <v>45</v>
      </c>
      <c r="T446">
        <v>351</v>
      </c>
      <c r="U446">
        <v>19</v>
      </c>
      <c r="V446">
        <v>214</v>
      </c>
      <c r="W446">
        <v>0.434</v>
      </c>
      <c r="X446">
        <v>197</v>
      </c>
      <c r="Y446">
        <v>169</v>
      </c>
      <c r="Z446">
        <v>154</v>
      </c>
      <c r="AA446">
        <v>5</v>
      </c>
      <c r="AB446">
        <v>9.6</v>
      </c>
      <c r="AC446" t="s">
        <v>188</v>
      </c>
      <c r="AD446" t="s">
        <v>185</v>
      </c>
      <c r="AG446" t="s">
        <v>3390</v>
      </c>
      <c r="AH446" t="s">
        <v>1240</v>
      </c>
      <c r="AI446" s="245">
        <v>399</v>
      </c>
      <c r="AJ446" t="s">
        <v>3391</v>
      </c>
      <c r="AK446" t="s">
        <v>3392</v>
      </c>
      <c r="AL446" t="s">
        <v>1244</v>
      </c>
      <c r="AM446" s="245">
        <v>399.95</v>
      </c>
      <c r="AN446" t="s">
        <v>3393</v>
      </c>
      <c r="AO446" t="s">
        <v>3392</v>
      </c>
      <c r="AP446" t="s">
        <v>1566</v>
      </c>
      <c r="AQ446" s="245">
        <v>399.95</v>
      </c>
      <c r="AR446" t="s">
        <v>3394</v>
      </c>
      <c r="AS446" s="226" t="str">
        <f t="shared" si="12"/>
        <v>Mindbender Team</v>
      </c>
      <c r="AT446" s="203" t="str">
        <f t="shared" si="13"/>
        <v>K2Mindbender Team165 Junior</v>
      </c>
    </row>
    <row r="447" spans="1:46" ht="79.2">
      <c r="A447" t="s">
        <v>155</v>
      </c>
      <c r="B447" t="s">
        <v>205</v>
      </c>
      <c r="C447" t="s">
        <v>249</v>
      </c>
      <c r="D447">
        <v>155</v>
      </c>
      <c r="E447" t="s">
        <v>163</v>
      </c>
      <c r="F447">
        <v>155</v>
      </c>
      <c r="G447">
        <v>153.30000000000001</v>
      </c>
      <c r="H447">
        <v>115</v>
      </c>
      <c r="I447">
        <v>127</v>
      </c>
      <c r="J447">
        <v>126</v>
      </c>
      <c r="K447">
        <v>95</v>
      </c>
      <c r="L447">
        <v>116</v>
      </c>
      <c r="M447">
        <v>13.9</v>
      </c>
      <c r="N447">
        <v>1418</v>
      </c>
      <c r="O447">
        <v>1.1399999999999999</v>
      </c>
      <c r="P447">
        <v>1623</v>
      </c>
      <c r="Q447">
        <v>162</v>
      </c>
      <c r="R447">
        <v>84</v>
      </c>
      <c r="S447">
        <v>52</v>
      </c>
      <c r="T447">
        <v>229</v>
      </c>
      <c r="U447">
        <v>21</v>
      </c>
      <c r="V447">
        <v>155</v>
      </c>
      <c r="W447">
        <v>0.39200000000000002</v>
      </c>
      <c r="X447">
        <v>172</v>
      </c>
      <c r="Y447">
        <v>92</v>
      </c>
      <c r="Z447">
        <v>57</v>
      </c>
      <c r="AA447">
        <v>7</v>
      </c>
      <c r="AB447">
        <v>10.6</v>
      </c>
      <c r="AC447" t="s">
        <v>188</v>
      </c>
      <c r="AD447" t="s">
        <v>185</v>
      </c>
      <c r="AG447" t="s">
        <v>3395</v>
      </c>
      <c r="AH447" t="s">
        <v>1667</v>
      </c>
      <c r="AI447" s="245">
        <v>299</v>
      </c>
      <c r="AJ447" t="s">
        <v>3396</v>
      </c>
      <c r="AK447" t="s">
        <v>3397</v>
      </c>
      <c r="AL447" t="s">
        <v>1271</v>
      </c>
      <c r="AM447" s="245">
        <v>619</v>
      </c>
      <c r="AN447" t="s">
        <v>3398</v>
      </c>
      <c r="AO447" t="s">
        <v>3399</v>
      </c>
      <c r="AP447" t="s">
        <v>3212</v>
      </c>
      <c r="AQ447" s="245">
        <v>359</v>
      </c>
      <c r="AR447" t="s">
        <v>3400</v>
      </c>
      <c r="AS447" s="226" t="str">
        <f t="shared" si="12"/>
        <v>Agent 2.0 X</v>
      </c>
      <c r="AT447" s="203" t="str">
        <f t="shared" si="13"/>
        <v xml:space="preserve"> FactionAgent 2.0 X155 Women's</v>
      </c>
    </row>
    <row r="448" spans="1:46" ht="118.8">
      <c r="A448" t="s">
        <v>155</v>
      </c>
      <c r="B448" t="s">
        <v>172</v>
      </c>
      <c r="C448" t="s">
        <v>305</v>
      </c>
      <c r="D448">
        <v>162</v>
      </c>
      <c r="E448" t="s">
        <v>163</v>
      </c>
      <c r="F448">
        <v>162</v>
      </c>
      <c r="G448">
        <v>162.6</v>
      </c>
      <c r="H448">
        <v>116</v>
      </c>
      <c r="I448">
        <v>138</v>
      </c>
      <c r="J448">
        <v>126</v>
      </c>
      <c r="K448">
        <v>91</v>
      </c>
      <c r="L448">
        <v>117</v>
      </c>
      <c r="M448">
        <v>13.6</v>
      </c>
      <c r="N448">
        <v>1546</v>
      </c>
      <c r="O448">
        <v>1.0900000000000001</v>
      </c>
      <c r="P448">
        <v>1690</v>
      </c>
      <c r="Q448">
        <v>170</v>
      </c>
      <c r="R448">
        <v>85</v>
      </c>
      <c r="S448">
        <v>51</v>
      </c>
      <c r="T448">
        <v>301</v>
      </c>
      <c r="U448">
        <v>11</v>
      </c>
      <c r="V448">
        <v>167</v>
      </c>
      <c r="W448">
        <v>0.22600000000000001</v>
      </c>
      <c r="X448">
        <v>138</v>
      </c>
      <c r="Y448">
        <v>107</v>
      </c>
      <c r="Z448">
        <v>163</v>
      </c>
      <c r="AA448">
        <v>7</v>
      </c>
      <c r="AB448">
        <v>8.4</v>
      </c>
      <c r="AC448" t="s">
        <v>188</v>
      </c>
      <c r="AD448" t="s">
        <v>185</v>
      </c>
      <c r="AG448" t="s">
        <v>3401</v>
      </c>
      <c r="AH448" t="s">
        <v>1204</v>
      </c>
      <c r="AI448" s="245">
        <v>400.85</v>
      </c>
      <c r="AJ448" t="s">
        <v>3402</v>
      </c>
      <c r="AK448" t="s">
        <v>1649</v>
      </c>
      <c r="AL448" t="s">
        <v>1282</v>
      </c>
      <c r="AM448" s="245">
        <v>479.96</v>
      </c>
      <c r="AN448" t="s">
        <v>3403</v>
      </c>
      <c r="AO448" t="s">
        <v>1651</v>
      </c>
      <c r="AP448" t="s">
        <v>1320</v>
      </c>
      <c r="AQ448" s="245">
        <v>479.96</v>
      </c>
      <c r="AR448" t="s">
        <v>3404</v>
      </c>
      <c r="AS448" s="226" t="str">
        <f t="shared" si="12"/>
        <v>Blackops Stargazer W</v>
      </c>
      <c r="AT448" s="203" t="str">
        <f t="shared" si="13"/>
        <v xml:space="preserve"> RossignolBlackops Stargazer W162 Women's</v>
      </c>
    </row>
    <row r="449" spans="1:46" ht="79.2">
      <c r="A449" t="s">
        <v>155</v>
      </c>
      <c r="B449" t="s">
        <v>1160</v>
      </c>
      <c r="C449" t="s">
        <v>485</v>
      </c>
      <c r="D449">
        <v>163</v>
      </c>
      <c r="E449" t="s">
        <v>163</v>
      </c>
      <c r="F449">
        <v>163</v>
      </c>
      <c r="G449">
        <v>162.69999999999999</v>
      </c>
      <c r="H449">
        <v>124</v>
      </c>
      <c r="I449">
        <v>139</v>
      </c>
      <c r="J449">
        <v>124</v>
      </c>
      <c r="K449">
        <v>87</v>
      </c>
      <c r="L449">
        <v>111</v>
      </c>
      <c r="M449">
        <v>15.1</v>
      </c>
      <c r="N449">
        <v>1585</v>
      </c>
      <c r="O449">
        <v>1.02</v>
      </c>
      <c r="P449">
        <v>1620</v>
      </c>
      <c r="Q449">
        <v>154</v>
      </c>
      <c r="R449">
        <v>82</v>
      </c>
      <c r="S449">
        <v>48</v>
      </c>
      <c r="T449">
        <v>218</v>
      </c>
      <c r="U449">
        <v>20</v>
      </c>
      <c r="V449">
        <v>166</v>
      </c>
      <c r="W449">
        <v>0.42499999999999999</v>
      </c>
      <c r="X449">
        <v>134</v>
      </c>
      <c r="Y449">
        <v>101</v>
      </c>
      <c r="Z449">
        <v>83</v>
      </c>
      <c r="AA449">
        <v>9</v>
      </c>
      <c r="AB449">
        <v>11</v>
      </c>
      <c r="AC449" t="s">
        <v>188</v>
      </c>
      <c r="AG449" t="s">
        <v>3405</v>
      </c>
      <c r="AH449" t="s">
        <v>2875</v>
      </c>
      <c r="AI449" s="245">
        <v>416.89</v>
      </c>
      <c r="AJ449" t="s">
        <v>3406</v>
      </c>
      <c r="AK449" t="s">
        <v>2509</v>
      </c>
      <c r="AL449" t="s">
        <v>1240</v>
      </c>
      <c r="AM449" s="245">
        <v>429.95</v>
      </c>
      <c r="AN449" t="s">
        <v>3407</v>
      </c>
      <c r="AO449" t="s">
        <v>3405</v>
      </c>
      <c r="AP449" t="s">
        <v>2825</v>
      </c>
      <c r="AQ449" s="245">
        <v>519.99</v>
      </c>
      <c r="AR449" t="s">
        <v>3408</v>
      </c>
      <c r="AS449" s="226" t="str">
        <f t="shared" si="12"/>
        <v>Mindbender 88 Ti Alliance</v>
      </c>
      <c r="AT449" s="203" t="str">
        <f t="shared" si="13"/>
        <v>K2Mindbender 88 Ti Alliance163 Women's</v>
      </c>
    </row>
    <row r="450" spans="1:46" ht="92.4">
      <c r="A450" t="s">
        <v>155</v>
      </c>
      <c r="B450" t="s">
        <v>295</v>
      </c>
      <c r="C450" t="s">
        <v>608</v>
      </c>
      <c r="D450">
        <v>162</v>
      </c>
      <c r="E450" t="s">
        <v>163</v>
      </c>
      <c r="F450">
        <v>162</v>
      </c>
      <c r="G450">
        <v>161.4</v>
      </c>
      <c r="H450">
        <v>109</v>
      </c>
      <c r="I450">
        <v>133</v>
      </c>
      <c r="J450">
        <v>130</v>
      </c>
      <c r="K450">
        <v>96</v>
      </c>
      <c r="L450">
        <v>117</v>
      </c>
      <c r="M450">
        <v>14.7</v>
      </c>
      <c r="N450">
        <v>1694</v>
      </c>
      <c r="O450">
        <v>1.01</v>
      </c>
      <c r="P450">
        <v>1716</v>
      </c>
      <c r="Q450">
        <v>185</v>
      </c>
      <c r="R450">
        <v>80</v>
      </c>
      <c r="S450">
        <v>51</v>
      </c>
      <c r="T450">
        <v>304</v>
      </c>
      <c r="U450">
        <v>15</v>
      </c>
      <c r="V450">
        <v>223</v>
      </c>
      <c r="W450">
        <v>0.29499999999999998</v>
      </c>
      <c r="X450">
        <v>178</v>
      </c>
      <c r="Y450">
        <v>110</v>
      </c>
      <c r="Z450">
        <v>126</v>
      </c>
      <c r="AA450">
        <v>7</v>
      </c>
      <c r="AB450">
        <v>8.1999999999999993</v>
      </c>
      <c r="AC450" t="s">
        <v>188</v>
      </c>
      <c r="AG450" t="s">
        <v>3409</v>
      </c>
      <c r="AH450" t="s">
        <v>1858</v>
      </c>
      <c r="AI450" s="245">
        <v>509</v>
      </c>
      <c r="AJ450" t="s">
        <v>3410</v>
      </c>
      <c r="AK450" t="s">
        <v>3411</v>
      </c>
      <c r="AL450" t="s">
        <v>1627</v>
      </c>
      <c r="AM450" s="245">
        <v>509</v>
      </c>
      <c r="AN450" t="s">
        <v>3412</v>
      </c>
      <c r="AO450" t="s">
        <v>3409</v>
      </c>
      <c r="AP450" t="s">
        <v>1226</v>
      </c>
      <c r="AQ450" s="245">
        <v>509</v>
      </c>
      <c r="AR450" t="s">
        <v>3413</v>
      </c>
      <c r="AS450" s="226" t="str">
        <f t="shared" ref="AS450:AS513" si="14">IF(LEFT(C450,1)=" ",RIGHT(C450,LEN(C450)-1),C450)</f>
        <v>Riveter 95</v>
      </c>
      <c r="AT450" s="203" t="str">
        <f t="shared" ref="AT450:AT513" si="15">_xlfn.CONCAT(B450,AS450,D450,E450)</f>
        <v xml:space="preserve"> IcelanticRiveter 95162 Women's</v>
      </c>
    </row>
    <row r="451" spans="1:46" ht="92.4">
      <c r="A451" t="s">
        <v>155</v>
      </c>
      <c r="B451" t="s">
        <v>182</v>
      </c>
      <c r="C451" t="s">
        <v>610</v>
      </c>
      <c r="D451">
        <v>150</v>
      </c>
      <c r="E451" t="s">
        <v>163</v>
      </c>
      <c r="F451">
        <v>150</v>
      </c>
      <c r="G451">
        <v>149.69999999999999</v>
      </c>
      <c r="H451">
        <v>124</v>
      </c>
      <c r="I451">
        <v>135</v>
      </c>
      <c r="J451">
        <v>121</v>
      </c>
      <c r="K451">
        <v>81</v>
      </c>
      <c r="L451">
        <v>107</v>
      </c>
      <c r="M451">
        <v>14</v>
      </c>
      <c r="N451">
        <v>1348</v>
      </c>
      <c r="O451">
        <v>1.04</v>
      </c>
      <c r="P451">
        <v>1398</v>
      </c>
      <c r="Q451">
        <v>161</v>
      </c>
      <c r="R451">
        <v>97</v>
      </c>
      <c r="S451">
        <v>35</v>
      </c>
      <c r="T451">
        <v>164</v>
      </c>
      <c r="U451">
        <v>10</v>
      </c>
      <c r="V451">
        <v>96</v>
      </c>
      <c r="W451">
        <v>0.28599999999999998</v>
      </c>
      <c r="X451">
        <v>91</v>
      </c>
      <c r="Y451">
        <v>53</v>
      </c>
      <c r="Z451">
        <v>73</v>
      </c>
      <c r="AA451">
        <v>7</v>
      </c>
      <c r="AB451">
        <v>8.1999999999999993</v>
      </c>
      <c r="AC451" t="s">
        <v>188</v>
      </c>
      <c r="AG451" t="s">
        <v>3414</v>
      </c>
      <c r="AH451" t="s">
        <v>1271</v>
      </c>
      <c r="AI451" s="245">
        <v>499.95</v>
      </c>
      <c r="AJ451" t="s">
        <v>3415</v>
      </c>
      <c r="AK451" t="s">
        <v>3416</v>
      </c>
      <c r="AL451" t="s">
        <v>1320</v>
      </c>
      <c r="AM451" s="245">
        <v>599.95000000000005</v>
      </c>
      <c r="AN451" t="s">
        <v>3417</v>
      </c>
      <c r="AO451" t="s">
        <v>3414</v>
      </c>
      <c r="AP451" t="s">
        <v>1181</v>
      </c>
      <c r="AQ451" s="245">
        <v>599.95000000000005</v>
      </c>
      <c r="AR451" t="s">
        <v>3418</v>
      </c>
      <c r="AS451" s="226" t="str">
        <f t="shared" si="14"/>
        <v>Reliance 82 Ti</v>
      </c>
      <c r="AT451" s="203" t="str">
        <f t="shared" si="15"/>
        <v xml:space="preserve"> ArmadaReliance 82 Ti150 Women's</v>
      </c>
    </row>
    <row r="452" spans="1:46" ht="52.8">
      <c r="A452" t="s">
        <v>155</v>
      </c>
      <c r="B452" t="s">
        <v>237</v>
      </c>
      <c r="C452" t="s">
        <v>323</v>
      </c>
      <c r="D452">
        <v>177.3</v>
      </c>
      <c r="E452" t="s">
        <v>158</v>
      </c>
      <c r="F452">
        <v>177.3</v>
      </c>
      <c r="G452">
        <v>176.1</v>
      </c>
      <c r="H452">
        <v>137</v>
      </c>
      <c r="I452">
        <v>156</v>
      </c>
      <c r="J452">
        <v>123</v>
      </c>
      <c r="K452">
        <v>81</v>
      </c>
      <c r="L452">
        <v>109</v>
      </c>
      <c r="M452">
        <v>17</v>
      </c>
      <c r="N452">
        <v>1748</v>
      </c>
      <c r="O452">
        <v>0.95</v>
      </c>
      <c r="P452">
        <v>1660</v>
      </c>
      <c r="Q452">
        <v>203</v>
      </c>
      <c r="R452">
        <v>106</v>
      </c>
      <c r="S452">
        <v>42</v>
      </c>
      <c r="T452">
        <v>237</v>
      </c>
      <c r="U452">
        <v>17</v>
      </c>
      <c r="V452">
        <v>152</v>
      </c>
      <c r="W452">
        <v>0.4</v>
      </c>
      <c r="X452">
        <v>112</v>
      </c>
      <c r="Y452">
        <v>87</v>
      </c>
      <c r="Z452">
        <v>125</v>
      </c>
      <c r="AA452">
        <v>7</v>
      </c>
      <c r="AB452">
        <v>10.199999999999999</v>
      </c>
      <c r="AC452" t="s">
        <v>231</v>
      </c>
      <c r="AD452" t="s">
        <v>188</v>
      </c>
      <c r="AG452" t="s">
        <v>3419</v>
      </c>
      <c r="AH452" t="s">
        <v>2589</v>
      </c>
      <c r="AI452" s="245">
        <v>519.95000000000005</v>
      </c>
      <c r="AJ452" t="s">
        <v>3420</v>
      </c>
      <c r="AK452" t="s">
        <v>3419</v>
      </c>
      <c r="AL452" t="s">
        <v>1248</v>
      </c>
      <c r="AM452" s="245">
        <v>623.96</v>
      </c>
      <c r="AN452" t="s">
        <v>3421</v>
      </c>
      <c r="AO452" t="s">
        <v>3419</v>
      </c>
      <c r="AP452" t="s">
        <v>1271</v>
      </c>
      <c r="AQ452" s="245">
        <v>623.96</v>
      </c>
      <c r="AR452" t="s">
        <v>3422</v>
      </c>
      <c r="AS452" s="226" t="str">
        <f t="shared" si="14"/>
        <v>Divus</v>
      </c>
      <c r="AT452" s="203" t="str">
        <f t="shared" si="15"/>
        <v xml:space="preserve"> Black CrowsDivus177.3 Unisex</v>
      </c>
    </row>
    <row r="453" spans="1:46" ht="52.8">
      <c r="A453" t="s">
        <v>155</v>
      </c>
      <c r="B453" t="s">
        <v>156</v>
      </c>
      <c r="C453" t="s">
        <v>611</v>
      </c>
      <c r="D453">
        <v>164</v>
      </c>
      <c r="E453" t="s">
        <v>158</v>
      </c>
      <c r="F453">
        <v>164</v>
      </c>
      <c r="G453">
        <v>163.1</v>
      </c>
      <c r="H453">
        <v>116</v>
      </c>
      <c r="I453">
        <v>132</v>
      </c>
      <c r="J453">
        <v>125</v>
      </c>
      <c r="K453">
        <v>92</v>
      </c>
      <c r="L453">
        <v>109</v>
      </c>
      <c r="M453">
        <v>16.399999999999999</v>
      </c>
      <c r="N453">
        <v>1566</v>
      </c>
      <c r="O453">
        <v>1.06</v>
      </c>
      <c r="P453">
        <v>1663</v>
      </c>
      <c r="Q453">
        <v>169</v>
      </c>
      <c r="R453">
        <v>131</v>
      </c>
      <c r="S453">
        <v>53</v>
      </c>
      <c r="T453">
        <v>288</v>
      </c>
      <c r="U453">
        <v>13</v>
      </c>
      <c r="V453">
        <v>183</v>
      </c>
      <c r="W453">
        <v>0.253</v>
      </c>
      <c r="X453">
        <v>173</v>
      </c>
      <c r="Y453">
        <v>140</v>
      </c>
      <c r="Z453">
        <v>115</v>
      </c>
      <c r="AA453">
        <v>6</v>
      </c>
      <c r="AB453">
        <v>9.3000000000000007</v>
      </c>
      <c r="AC453" t="s">
        <v>188</v>
      </c>
      <c r="AD453" t="s">
        <v>185</v>
      </c>
      <c r="AG453" t="s">
        <v>3423</v>
      </c>
      <c r="AH453" t="s">
        <v>1271</v>
      </c>
      <c r="AI453" s="245">
        <v>559.92999999999995</v>
      </c>
      <c r="AJ453" t="s">
        <v>3424</v>
      </c>
      <c r="AK453" t="s">
        <v>3423</v>
      </c>
      <c r="AL453" t="s">
        <v>1224</v>
      </c>
      <c r="AM453" s="245">
        <v>559.98</v>
      </c>
      <c r="AN453" t="s">
        <v>3425</v>
      </c>
      <c r="AO453" t="s">
        <v>3423</v>
      </c>
      <c r="AP453" t="s">
        <v>1181</v>
      </c>
      <c r="AQ453" s="245">
        <v>559.99</v>
      </c>
      <c r="AR453" t="s">
        <v>3426</v>
      </c>
      <c r="AS453" s="226" t="str">
        <f t="shared" si="14"/>
        <v>Maverick 95 Ti</v>
      </c>
      <c r="AT453" s="203" t="str">
        <f t="shared" si="15"/>
        <v xml:space="preserve"> AtomicMaverick 95 Ti164 Unisex</v>
      </c>
    </row>
    <row r="454" spans="1:46" ht="52.8">
      <c r="A454" t="s">
        <v>155</v>
      </c>
      <c r="B454" t="s">
        <v>205</v>
      </c>
      <c r="C454" t="s">
        <v>249</v>
      </c>
      <c r="D454">
        <v>171</v>
      </c>
      <c r="E454" t="s">
        <v>163</v>
      </c>
      <c r="F454">
        <v>171</v>
      </c>
      <c r="G454">
        <v>153.30000000000001</v>
      </c>
      <c r="H454">
        <v>115</v>
      </c>
      <c r="I454">
        <v>127</v>
      </c>
      <c r="J454">
        <v>126</v>
      </c>
      <c r="K454">
        <v>95</v>
      </c>
      <c r="L454">
        <v>116</v>
      </c>
      <c r="M454">
        <v>13.9</v>
      </c>
      <c r="N454">
        <v>1641</v>
      </c>
      <c r="O454">
        <v>0.99</v>
      </c>
      <c r="P454">
        <v>1623</v>
      </c>
      <c r="Q454">
        <v>162</v>
      </c>
      <c r="R454">
        <v>84</v>
      </c>
      <c r="S454">
        <v>52</v>
      </c>
      <c r="T454">
        <v>229</v>
      </c>
      <c r="U454">
        <v>21</v>
      </c>
      <c r="V454">
        <v>155</v>
      </c>
      <c r="W454">
        <v>0.39200000000000002</v>
      </c>
      <c r="X454">
        <v>172</v>
      </c>
      <c r="Y454">
        <v>92</v>
      </c>
      <c r="Z454">
        <v>57</v>
      </c>
      <c r="AA454">
        <v>7</v>
      </c>
      <c r="AB454">
        <v>10.6</v>
      </c>
      <c r="AC454" t="s">
        <v>188</v>
      </c>
      <c r="AG454" t="s">
        <v>1347</v>
      </c>
      <c r="AH454" t="s">
        <v>1185</v>
      </c>
      <c r="AI454" s="245">
        <v>489.99</v>
      </c>
      <c r="AJ454" t="s">
        <v>3427</v>
      </c>
      <c r="AK454" t="s">
        <v>1347</v>
      </c>
      <c r="AL454" t="s">
        <v>1349</v>
      </c>
      <c r="AM454" s="245">
        <v>504.17</v>
      </c>
      <c r="AN454" t="s">
        <v>3428</v>
      </c>
      <c r="AO454" t="s">
        <v>3429</v>
      </c>
      <c r="AP454" t="s">
        <v>1265</v>
      </c>
      <c r="AQ454" s="245">
        <v>544.36</v>
      </c>
      <c r="AR454" t="s">
        <v>3430</v>
      </c>
      <c r="AS454" s="226" t="str">
        <f t="shared" si="14"/>
        <v>Agent 2.0 X</v>
      </c>
      <c r="AT454" s="203" t="str">
        <f t="shared" si="15"/>
        <v xml:space="preserve"> FactionAgent 2.0 X171 Women's</v>
      </c>
    </row>
    <row r="455" spans="1:46" ht="118.8">
      <c r="A455" t="s">
        <v>155</v>
      </c>
      <c r="B455" t="s">
        <v>317</v>
      </c>
      <c r="C455" t="s">
        <v>613</v>
      </c>
      <c r="D455">
        <v>160</v>
      </c>
      <c r="E455" t="s">
        <v>163</v>
      </c>
      <c r="F455">
        <v>160</v>
      </c>
      <c r="G455">
        <v>158.5</v>
      </c>
      <c r="H455">
        <v>133</v>
      </c>
      <c r="I455">
        <v>146</v>
      </c>
      <c r="J455">
        <v>118</v>
      </c>
      <c r="K455">
        <v>71</v>
      </c>
      <c r="L455">
        <v>101</v>
      </c>
      <c r="M455">
        <v>13.8</v>
      </c>
      <c r="N455">
        <v>1809</v>
      </c>
      <c r="O455">
        <v>0.74</v>
      </c>
      <c r="P455">
        <v>1346</v>
      </c>
      <c r="Q455">
        <v>227</v>
      </c>
      <c r="R455">
        <v>89</v>
      </c>
      <c r="S455">
        <v>34</v>
      </c>
      <c r="T455">
        <v>186</v>
      </c>
      <c r="U455">
        <v>8</v>
      </c>
      <c r="V455">
        <v>74</v>
      </c>
      <c r="W455">
        <v>0.249</v>
      </c>
      <c r="X455">
        <v>76</v>
      </c>
      <c r="Y455">
        <v>54</v>
      </c>
      <c r="Z455">
        <v>111</v>
      </c>
      <c r="AA455">
        <v>7</v>
      </c>
      <c r="AB455">
        <v>10.199999999999999</v>
      </c>
      <c r="AC455" t="s">
        <v>349</v>
      </c>
      <c r="AG455" t="s">
        <v>3431</v>
      </c>
      <c r="AH455" t="s">
        <v>1294</v>
      </c>
      <c r="AI455" s="245">
        <v>319.93</v>
      </c>
      <c r="AJ455" t="s">
        <v>3432</v>
      </c>
      <c r="AK455" t="s">
        <v>3433</v>
      </c>
      <c r="AL455" t="s">
        <v>2654</v>
      </c>
      <c r="AM455" s="245">
        <v>347.55</v>
      </c>
      <c r="AN455" t="s">
        <v>3434</v>
      </c>
      <c r="AO455" t="s">
        <v>3435</v>
      </c>
      <c r="AP455" t="s">
        <v>3015</v>
      </c>
      <c r="AQ455" s="245">
        <v>399.95</v>
      </c>
      <c r="AR455" t="s">
        <v>3436</v>
      </c>
      <c r="AS455" s="226" t="str">
        <f t="shared" si="14"/>
        <v>Phoenix 7.2</v>
      </c>
      <c r="AT455" s="203" t="str">
        <f t="shared" si="15"/>
        <v xml:space="preserve"> BlizzardPhoenix 7.2160 Women's</v>
      </c>
    </row>
    <row r="456" spans="1:46" ht="79.2">
      <c r="A456" t="s">
        <v>155</v>
      </c>
      <c r="B456" t="s">
        <v>215</v>
      </c>
      <c r="C456" t="s">
        <v>281</v>
      </c>
      <c r="D456">
        <v>171</v>
      </c>
      <c r="E456" t="s">
        <v>158</v>
      </c>
      <c r="F456">
        <v>171</v>
      </c>
      <c r="G456">
        <v>170</v>
      </c>
      <c r="H456">
        <v>109</v>
      </c>
      <c r="I456">
        <v>140</v>
      </c>
      <c r="J456">
        <v>130</v>
      </c>
      <c r="K456">
        <v>96</v>
      </c>
      <c r="L456">
        <v>118</v>
      </c>
      <c r="M456">
        <v>16.5</v>
      </c>
      <c r="N456">
        <v>1732</v>
      </c>
      <c r="O456">
        <v>1.05</v>
      </c>
      <c r="P456">
        <v>1813</v>
      </c>
      <c r="Q456">
        <v>188</v>
      </c>
      <c r="R456">
        <v>89</v>
      </c>
      <c r="S456">
        <v>50</v>
      </c>
      <c r="T456">
        <v>344</v>
      </c>
      <c r="U456">
        <v>30</v>
      </c>
      <c r="V456">
        <v>261</v>
      </c>
      <c r="W456">
        <v>0.61099999999999999</v>
      </c>
      <c r="X456">
        <v>136</v>
      </c>
      <c r="Y456">
        <v>165</v>
      </c>
      <c r="Z456">
        <v>209</v>
      </c>
      <c r="AA456">
        <v>5</v>
      </c>
      <c r="AB456">
        <v>8.1</v>
      </c>
      <c r="AC456" t="s">
        <v>188</v>
      </c>
      <c r="AG456" t="s">
        <v>1562</v>
      </c>
      <c r="AH456" t="s">
        <v>1294</v>
      </c>
      <c r="AI456" s="245">
        <v>503.93</v>
      </c>
      <c r="AJ456" t="s">
        <v>3437</v>
      </c>
      <c r="AK456" t="s">
        <v>2286</v>
      </c>
      <c r="AL456" t="s">
        <v>1566</v>
      </c>
      <c r="AM456" s="245">
        <v>599.95000000000005</v>
      </c>
      <c r="AN456" t="s">
        <v>3438</v>
      </c>
      <c r="AO456" t="s">
        <v>1562</v>
      </c>
      <c r="AP456" t="s">
        <v>1271</v>
      </c>
      <c r="AQ456" s="245">
        <v>599.99</v>
      </c>
      <c r="AR456" t="s">
        <v>3439</v>
      </c>
      <c r="AS456" s="226" t="str">
        <f t="shared" si="14"/>
        <v>Origin 96</v>
      </c>
      <c r="AT456" s="203" t="str">
        <f t="shared" si="15"/>
        <v xml:space="preserve"> LibertyOrigin 96171 Unisex</v>
      </c>
    </row>
    <row r="457" spans="1:46" ht="52.8">
      <c r="A457" t="s">
        <v>155</v>
      </c>
      <c r="B457" t="s">
        <v>208</v>
      </c>
      <c r="C457" t="s">
        <v>338</v>
      </c>
      <c r="D457">
        <v>175</v>
      </c>
      <c r="E457" t="s">
        <v>158</v>
      </c>
      <c r="F457">
        <v>175</v>
      </c>
      <c r="G457">
        <v>174.6</v>
      </c>
      <c r="H457">
        <v>91</v>
      </c>
      <c r="I457">
        <v>141</v>
      </c>
      <c r="J457">
        <v>141</v>
      </c>
      <c r="K457">
        <v>107</v>
      </c>
      <c r="L457">
        <v>127</v>
      </c>
      <c r="M457">
        <v>17.3</v>
      </c>
      <c r="N457">
        <v>1517</v>
      </c>
      <c r="O457">
        <v>1.35</v>
      </c>
      <c r="P457">
        <v>2043</v>
      </c>
      <c r="Q457">
        <v>188</v>
      </c>
      <c r="R457">
        <v>81</v>
      </c>
      <c r="S457">
        <v>52</v>
      </c>
      <c r="T457">
        <v>460</v>
      </c>
      <c r="U457">
        <v>34</v>
      </c>
      <c r="V457">
        <v>378</v>
      </c>
      <c r="W457">
        <v>0.65400000000000003</v>
      </c>
      <c r="X457">
        <v>173</v>
      </c>
      <c r="Y457">
        <v>168</v>
      </c>
      <c r="Z457">
        <v>287</v>
      </c>
      <c r="AA457">
        <v>2</v>
      </c>
      <c r="AB457">
        <v>6.4</v>
      </c>
      <c r="AC457" t="s">
        <v>169</v>
      </c>
      <c r="AD457" t="s">
        <v>185</v>
      </c>
      <c r="AE457" t="s">
        <v>198</v>
      </c>
      <c r="AG457" t="s">
        <v>1763</v>
      </c>
      <c r="AH457" t="s">
        <v>1194</v>
      </c>
      <c r="AI457" s="245">
        <v>441.67</v>
      </c>
      <c r="AJ457" t="s">
        <v>3440</v>
      </c>
      <c r="AK457" t="s">
        <v>1763</v>
      </c>
      <c r="AL457" t="s">
        <v>1191</v>
      </c>
      <c r="AM457" s="245">
        <v>514.95000000000005</v>
      </c>
      <c r="AN457" t="s">
        <v>3441</v>
      </c>
      <c r="AO457" t="s">
        <v>1763</v>
      </c>
      <c r="AP457" t="s">
        <v>1280</v>
      </c>
      <c r="AQ457" s="245">
        <v>599.92999999999995</v>
      </c>
      <c r="AR457" t="s">
        <v>3442</v>
      </c>
      <c r="AS457" s="226" t="str">
        <f t="shared" si="14"/>
        <v>Vision 108</v>
      </c>
      <c r="AT457" s="203" t="str">
        <f t="shared" si="15"/>
        <v xml:space="preserve"> LineVision 108175 Unisex</v>
      </c>
    </row>
    <row r="458" spans="1:46" ht="79.2">
      <c r="A458" t="s">
        <v>155</v>
      </c>
      <c r="B458" t="s">
        <v>182</v>
      </c>
      <c r="C458" t="s">
        <v>491</v>
      </c>
      <c r="D458">
        <v>163</v>
      </c>
      <c r="E458" t="s">
        <v>158</v>
      </c>
      <c r="F458">
        <v>163</v>
      </c>
      <c r="G458">
        <v>161.19999999999999</v>
      </c>
      <c r="H458">
        <v>126</v>
      </c>
      <c r="I458">
        <v>137</v>
      </c>
      <c r="J458">
        <v>114</v>
      </c>
      <c r="K458">
        <v>86</v>
      </c>
      <c r="L458">
        <v>108</v>
      </c>
      <c r="M458">
        <v>16.899999999999999</v>
      </c>
      <c r="N458">
        <v>1525</v>
      </c>
      <c r="O458">
        <v>1.01</v>
      </c>
      <c r="P458">
        <v>1537</v>
      </c>
      <c r="Q458">
        <v>151</v>
      </c>
      <c r="R458">
        <v>81</v>
      </c>
      <c r="S458">
        <v>44</v>
      </c>
      <c r="T458">
        <v>182</v>
      </c>
      <c r="U458">
        <v>41</v>
      </c>
      <c r="V458">
        <v>173</v>
      </c>
      <c r="W458">
        <v>0.91900000000000004</v>
      </c>
      <c r="X458">
        <v>104</v>
      </c>
      <c r="Y458">
        <v>138</v>
      </c>
      <c r="Z458">
        <v>78</v>
      </c>
      <c r="AA458">
        <v>11</v>
      </c>
      <c r="AB458">
        <v>3.5</v>
      </c>
      <c r="AC458" t="s">
        <v>184</v>
      </c>
      <c r="AG458" t="s">
        <v>3443</v>
      </c>
      <c r="AH458" t="s">
        <v>3026</v>
      </c>
      <c r="AI458" s="245">
        <v>319.32</v>
      </c>
      <c r="AJ458" t="s">
        <v>3444</v>
      </c>
      <c r="AK458" t="s">
        <v>3445</v>
      </c>
      <c r="AL458" t="s">
        <v>1271</v>
      </c>
      <c r="AM458" s="245">
        <v>379.95</v>
      </c>
      <c r="AN458" t="s">
        <v>3446</v>
      </c>
      <c r="AO458" t="s">
        <v>3445</v>
      </c>
      <c r="AP458" t="s">
        <v>1421</v>
      </c>
      <c r="AQ458" s="245">
        <v>399.95</v>
      </c>
      <c r="AR458" t="s">
        <v>3447</v>
      </c>
      <c r="AS458" s="226" t="str">
        <f t="shared" si="14"/>
        <v>ARV 86</v>
      </c>
      <c r="AT458" s="203" t="str">
        <f t="shared" si="15"/>
        <v xml:space="preserve"> ArmadaARV 86163 Unisex</v>
      </c>
    </row>
    <row r="459" spans="1:46" ht="171.6">
      <c r="A459" t="s">
        <v>155</v>
      </c>
      <c r="B459" t="s">
        <v>237</v>
      </c>
      <c r="C459" t="s">
        <v>486</v>
      </c>
      <c r="D459">
        <v>176.7</v>
      </c>
      <c r="E459" t="s">
        <v>158</v>
      </c>
      <c r="F459">
        <v>176.7</v>
      </c>
      <c r="G459">
        <v>174.7</v>
      </c>
      <c r="H459">
        <v>130</v>
      </c>
      <c r="I459">
        <v>139</v>
      </c>
      <c r="J459">
        <v>138</v>
      </c>
      <c r="K459">
        <v>110</v>
      </c>
      <c r="L459">
        <v>127</v>
      </c>
      <c r="M459">
        <v>21.1</v>
      </c>
      <c r="N459">
        <v>1878</v>
      </c>
      <c r="O459">
        <v>1.1000000000000001</v>
      </c>
      <c r="P459">
        <v>2065</v>
      </c>
      <c r="Q459">
        <v>209</v>
      </c>
      <c r="R459">
        <v>79</v>
      </c>
      <c r="S459">
        <v>44</v>
      </c>
      <c r="T459">
        <v>219</v>
      </c>
      <c r="U459">
        <v>34</v>
      </c>
      <c r="V459">
        <v>230</v>
      </c>
      <c r="W459">
        <v>0.78</v>
      </c>
      <c r="X459">
        <v>196</v>
      </c>
      <c r="Y459">
        <v>159</v>
      </c>
      <c r="Z459">
        <v>23</v>
      </c>
      <c r="AA459">
        <v>3</v>
      </c>
      <c r="AB459">
        <v>8.3000000000000007</v>
      </c>
      <c r="AC459" t="s">
        <v>169</v>
      </c>
      <c r="AD459" t="s">
        <v>185</v>
      </c>
      <c r="AG459" t="s">
        <v>3448</v>
      </c>
      <c r="AH459" t="s">
        <v>1181</v>
      </c>
      <c r="AI459" s="245">
        <v>1210.92</v>
      </c>
      <c r="AJ459" t="s">
        <v>3449</v>
      </c>
      <c r="AK459" t="s">
        <v>2588</v>
      </c>
      <c r="AL459" t="s">
        <v>1191</v>
      </c>
      <c r="AM459" s="245">
        <v>659.95</v>
      </c>
      <c r="AN459" t="s">
        <v>3450</v>
      </c>
      <c r="AO459" t="s">
        <v>2588</v>
      </c>
      <c r="AP459" t="s">
        <v>1244</v>
      </c>
      <c r="AQ459" s="245">
        <v>815.96</v>
      </c>
      <c r="AR459" t="s">
        <v>3451</v>
      </c>
      <c r="AS459" s="226" t="str">
        <f t="shared" si="14"/>
        <v>Ferox Freebird</v>
      </c>
      <c r="AT459" s="203" t="str">
        <f t="shared" si="15"/>
        <v xml:space="preserve"> Black CrowsFerox Freebird176.7 Unisex</v>
      </c>
    </row>
    <row r="460" spans="1:46" ht="92.4">
      <c r="A460" t="s">
        <v>155</v>
      </c>
      <c r="B460" t="s">
        <v>208</v>
      </c>
      <c r="C460" t="s">
        <v>614</v>
      </c>
      <c r="D460">
        <v>172</v>
      </c>
      <c r="E460" t="s">
        <v>163</v>
      </c>
      <c r="F460">
        <v>172</v>
      </c>
      <c r="G460">
        <v>171.7</v>
      </c>
      <c r="H460">
        <v>117</v>
      </c>
      <c r="I460">
        <v>134</v>
      </c>
      <c r="J460">
        <v>136</v>
      </c>
      <c r="K460">
        <v>103</v>
      </c>
      <c r="L460">
        <v>121</v>
      </c>
      <c r="M460">
        <v>16.399999999999999</v>
      </c>
      <c r="N460">
        <v>1624</v>
      </c>
      <c r="O460">
        <v>1.2</v>
      </c>
      <c r="P460">
        <v>1947</v>
      </c>
      <c r="Q460">
        <v>150</v>
      </c>
      <c r="R460">
        <v>78</v>
      </c>
      <c r="S460">
        <v>53</v>
      </c>
      <c r="T460">
        <v>342</v>
      </c>
      <c r="U460">
        <v>21</v>
      </c>
      <c r="V460">
        <v>208</v>
      </c>
      <c r="W460">
        <v>0.38500000000000001</v>
      </c>
      <c r="X460">
        <v>184</v>
      </c>
      <c r="Y460">
        <v>195</v>
      </c>
      <c r="Z460">
        <v>158</v>
      </c>
      <c r="AA460">
        <v>5</v>
      </c>
      <c r="AB460">
        <v>9.9</v>
      </c>
      <c r="AC460" t="s">
        <v>188</v>
      </c>
      <c r="AD460" t="s">
        <v>169</v>
      </c>
      <c r="AE460" t="s">
        <v>178</v>
      </c>
      <c r="AF460" t="s">
        <v>185</v>
      </c>
      <c r="AG460" t="s">
        <v>3452</v>
      </c>
      <c r="AH460" t="s">
        <v>1265</v>
      </c>
      <c r="AI460" s="245">
        <v>416.89</v>
      </c>
      <c r="AJ460" t="s">
        <v>3453</v>
      </c>
      <c r="AK460" t="s">
        <v>3454</v>
      </c>
      <c r="AL460" t="s">
        <v>1349</v>
      </c>
      <c r="AM460" s="245">
        <v>439.98</v>
      </c>
      <c r="AN460" t="s">
        <v>3455</v>
      </c>
      <c r="AO460" t="s">
        <v>3454</v>
      </c>
      <c r="AP460" t="s">
        <v>1248</v>
      </c>
      <c r="AQ460" s="245">
        <v>479.96</v>
      </c>
      <c r="AR460" t="s">
        <v>3456</v>
      </c>
      <c r="AS460" s="226" t="str">
        <f t="shared" si="14"/>
        <v>Pandora 104</v>
      </c>
      <c r="AT460" s="203" t="str">
        <f t="shared" si="15"/>
        <v xml:space="preserve"> LinePandora 104172 Women's</v>
      </c>
    </row>
    <row r="461" spans="1:46" ht="92.4">
      <c r="A461" t="s">
        <v>155</v>
      </c>
      <c r="B461" t="s">
        <v>245</v>
      </c>
      <c r="C461" t="s">
        <v>616</v>
      </c>
      <c r="D461">
        <v>183</v>
      </c>
      <c r="E461" t="s">
        <v>158</v>
      </c>
      <c r="F461">
        <v>183</v>
      </c>
      <c r="G461">
        <v>181.9</v>
      </c>
      <c r="H461">
        <v>139</v>
      </c>
      <c r="I461">
        <v>156</v>
      </c>
      <c r="J461">
        <v>127</v>
      </c>
      <c r="K461">
        <v>96</v>
      </c>
      <c r="L461">
        <v>114</v>
      </c>
      <c r="M461">
        <v>22.3</v>
      </c>
      <c r="N461">
        <v>1367</v>
      </c>
      <c r="O461">
        <v>1.4</v>
      </c>
      <c r="P461">
        <v>1919</v>
      </c>
      <c r="Q461">
        <v>179</v>
      </c>
      <c r="R461">
        <v>78</v>
      </c>
      <c r="S461">
        <v>60</v>
      </c>
      <c r="T461">
        <v>308</v>
      </c>
      <c r="U461">
        <v>3</v>
      </c>
      <c r="V461">
        <v>125</v>
      </c>
      <c r="W461">
        <v>5.7999999999999899E-2</v>
      </c>
      <c r="X461">
        <v>172</v>
      </c>
      <c r="Y461">
        <v>91</v>
      </c>
      <c r="Z461">
        <v>136</v>
      </c>
      <c r="AA461">
        <v>6</v>
      </c>
      <c r="AB461">
        <v>9.6</v>
      </c>
      <c r="AC461" t="s">
        <v>185</v>
      </c>
      <c r="AD461" t="s">
        <v>198</v>
      </c>
      <c r="AG461" t="s">
        <v>3457</v>
      </c>
      <c r="AH461" t="s">
        <v>1601</v>
      </c>
      <c r="AI461" s="245">
        <v>1250</v>
      </c>
      <c r="AJ461" t="s">
        <v>3458</v>
      </c>
      <c r="AK461" t="s">
        <v>3459</v>
      </c>
      <c r="AL461" t="s">
        <v>1450</v>
      </c>
      <c r="AM461" s="245">
        <v>509.99</v>
      </c>
      <c r="AN461" t="s">
        <v>3460</v>
      </c>
      <c r="AO461" t="s">
        <v>3461</v>
      </c>
      <c r="AP461" t="s">
        <v>1271</v>
      </c>
      <c r="AQ461" s="245">
        <v>549.99</v>
      </c>
      <c r="AR461" t="s">
        <v>3462</v>
      </c>
      <c r="AS461" s="226" t="str">
        <f t="shared" si="14"/>
        <v>Hannibal 96</v>
      </c>
      <c r="AT461" s="203" t="str">
        <f t="shared" si="15"/>
        <v xml:space="preserve"> FischerHannibal 96183 Unisex</v>
      </c>
    </row>
    <row r="462" spans="1:46" ht="66">
      <c r="A462" t="s">
        <v>155</v>
      </c>
      <c r="B462" t="s">
        <v>1395</v>
      </c>
      <c r="C462" t="s">
        <v>534</v>
      </c>
      <c r="D462">
        <v>178</v>
      </c>
      <c r="E462" t="s">
        <v>158</v>
      </c>
      <c r="F462">
        <v>178</v>
      </c>
      <c r="G462">
        <v>179.8</v>
      </c>
      <c r="H462">
        <v>130</v>
      </c>
      <c r="I462">
        <v>151</v>
      </c>
      <c r="J462">
        <v>134</v>
      </c>
      <c r="K462">
        <v>98</v>
      </c>
      <c r="L462">
        <v>116</v>
      </c>
      <c r="M462">
        <v>21.2</v>
      </c>
      <c r="N462">
        <v>1653</v>
      </c>
      <c r="O462">
        <v>1.18</v>
      </c>
      <c r="P462">
        <v>1955</v>
      </c>
      <c r="Q462">
        <v>190</v>
      </c>
      <c r="R462">
        <v>150</v>
      </c>
      <c r="S462">
        <v>49</v>
      </c>
      <c r="T462">
        <v>294</v>
      </c>
      <c r="U462">
        <v>17</v>
      </c>
      <c r="V462">
        <v>208</v>
      </c>
      <c r="W462">
        <v>0.35399999999999998</v>
      </c>
      <c r="X462">
        <v>155</v>
      </c>
      <c r="Y462">
        <v>129</v>
      </c>
      <c r="Z462">
        <v>139</v>
      </c>
      <c r="AA462">
        <v>2</v>
      </c>
      <c r="AB462">
        <v>10.5</v>
      </c>
      <c r="AC462" t="s">
        <v>188</v>
      </c>
      <c r="AD462" t="s">
        <v>185</v>
      </c>
      <c r="AG462" t="s">
        <v>3463</v>
      </c>
      <c r="AH462" t="s">
        <v>1556</v>
      </c>
      <c r="AI462" s="245">
        <v>1149.99</v>
      </c>
      <c r="AJ462" t="s">
        <v>3464</v>
      </c>
      <c r="AK462" t="s">
        <v>3465</v>
      </c>
      <c r="AL462" t="s">
        <v>1349</v>
      </c>
      <c r="AM462" s="245">
        <v>715.03</v>
      </c>
      <c r="AN462" t="s">
        <v>3466</v>
      </c>
      <c r="AO462" t="s">
        <v>3465</v>
      </c>
      <c r="AP462" t="s">
        <v>2111</v>
      </c>
      <c r="AQ462" s="245">
        <v>919.99</v>
      </c>
      <c r="AR462" t="s">
        <v>3467</v>
      </c>
      <c r="AS462" s="226" t="str">
        <f t="shared" si="14"/>
        <v>Mantra V.Werks</v>
      </c>
      <c r="AT462" s="203" t="str">
        <f t="shared" si="15"/>
        <v xml:space="preserve"> Vï¿½lklMantra V.Werks178 Unisex</v>
      </c>
    </row>
    <row r="463" spans="1:46" ht="66">
      <c r="A463" t="s">
        <v>155</v>
      </c>
      <c r="B463" t="s">
        <v>317</v>
      </c>
      <c r="C463" t="s">
        <v>618</v>
      </c>
      <c r="D463">
        <v>166</v>
      </c>
      <c r="E463" t="s">
        <v>163</v>
      </c>
      <c r="F463">
        <v>166</v>
      </c>
      <c r="G463">
        <v>163.69999999999999</v>
      </c>
      <c r="H463">
        <v>118</v>
      </c>
      <c r="I463">
        <v>142</v>
      </c>
      <c r="J463">
        <v>121</v>
      </c>
      <c r="K463">
        <v>82</v>
      </c>
      <c r="L463">
        <v>104</v>
      </c>
      <c r="M463">
        <v>15.4</v>
      </c>
      <c r="N463">
        <v>1679</v>
      </c>
      <c r="O463">
        <v>0.92</v>
      </c>
      <c r="P463">
        <v>1539</v>
      </c>
      <c r="Q463">
        <v>181</v>
      </c>
      <c r="R463">
        <v>88</v>
      </c>
      <c r="S463">
        <v>62</v>
      </c>
      <c r="T463">
        <v>310</v>
      </c>
      <c r="U463">
        <v>8</v>
      </c>
      <c r="V463">
        <v>150</v>
      </c>
      <c r="W463">
        <v>0.13600000000000001</v>
      </c>
      <c r="X463">
        <v>122</v>
      </c>
      <c r="Y463">
        <v>94</v>
      </c>
      <c r="Z463">
        <v>189</v>
      </c>
      <c r="AA463">
        <v>3</v>
      </c>
      <c r="AB463">
        <v>10.5</v>
      </c>
      <c r="AC463" t="s">
        <v>231</v>
      </c>
      <c r="AD463" t="s">
        <v>188</v>
      </c>
      <c r="AG463" t="s">
        <v>3468</v>
      </c>
      <c r="AH463" t="s">
        <v>3026</v>
      </c>
      <c r="AI463" s="245">
        <v>399.15</v>
      </c>
      <c r="AJ463" t="s">
        <v>3469</v>
      </c>
      <c r="AK463" t="s">
        <v>3470</v>
      </c>
      <c r="AL463" t="s">
        <v>1271</v>
      </c>
      <c r="AM463" s="245">
        <v>429.93</v>
      </c>
      <c r="AN463" t="s">
        <v>3471</v>
      </c>
      <c r="AO463" t="s">
        <v>3470</v>
      </c>
      <c r="AP463" t="s">
        <v>1181</v>
      </c>
      <c r="AQ463" s="245">
        <v>439.95</v>
      </c>
      <c r="AR463" t="s">
        <v>3472</v>
      </c>
      <c r="AS463" s="226" t="str">
        <f t="shared" si="14"/>
        <v>Black Pearl 82</v>
      </c>
      <c r="AT463" s="203" t="str">
        <f t="shared" si="15"/>
        <v xml:space="preserve"> BlizzardBlack Pearl 82166 Women's</v>
      </c>
    </row>
    <row r="464" spans="1:46" ht="105.6">
      <c r="A464" t="s">
        <v>155</v>
      </c>
      <c r="B464" t="s">
        <v>182</v>
      </c>
      <c r="C464" t="s">
        <v>289</v>
      </c>
      <c r="D464">
        <v>164</v>
      </c>
      <c r="E464" t="s">
        <v>163</v>
      </c>
      <c r="F464">
        <v>164</v>
      </c>
      <c r="G464">
        <v>163.69999999999999</v>
      </c>
      <c r="H464">
        <v>125</v>
      </c>
      <c r="I464">
        <v>136</v>
      </c>
      <c r="J464">
        <v>126</v>
      </c>
      <c r="K464">
        <v>97</v>
      </c>
      <c r="L464">
        <v>119</v>
      </c>
      <c r="M464">
        <v>16.7</v>
      </c>
      <c r="N464">
        <v>1433</v>
      </c>
      <c r="O464">
        <v>1.22</v>
      </c>
      <c r="P464">
        <v>1745</v>
      </c>
      <c r="Q464">
        <v>143</v>
      </c>
      <c r="R464">
        <v>88</v>
      </c>
      <c r="S464">
        <v>37</v>
      </c>
      <c r="T464">
        <v>233</v>
      </c>
      <c r="U464">
        <v>17</v>
      </c>
      <c r="V464">
        <v>155</v>
      </c>
      <c r="W464">
        <v>0.45700000000000002</v>
      </c>
      <c r="X464">
        <v>177</v>
      </c>
      <c r="Y464">
        <v>102</v>
      </c>
      <c r="Z464">
        <v>57</v>
      </c>
      <c r="AA464">
        <v>7</v>
      </c>
      <c r="AB464">
        <v>9.5</v>
      </c>
      <c r="AC464" t="s">
        <v>188</v>
      </c>
      <c r="AD464" t="s">
        <v>185</v>
      </c>
      <c r="AG464" t="s">
        <v>3473</v>
      </c>
      <c r="AH464" t="s">
        <v>1592</v>
      </c>
      <c r="AI464" s="245">
        <v>530.41999999999996</v>
      </c>
      <c r="AJ464" t="s">
        <v>3474</v>
      </c>
      <c r="AK464" t="s">
        <v>1596</v>
      </c>
      <c r="AL464" t="s">
        <v>1280</v>
      </c>
      <c r="AM464" s="245">
        <v>559.92999999999995</v>
      </c>
      <c r="AN464" t="s">
        <v>3475</v>
      </c>
      <c r="AO464" t="s">
        <v>1596</v>
      </c>
      <c r="AP464" t="s">
        <v>1224</v>
      </c>
      <c r="AQ464" s="245">
        <v>559.96</v>
      </c>
      <c r="AR464" t="s">
        <v>3476</v>
      </c>
      <c r="AS464" s="226" t="str">
        <f t="shared" si="14"/>
        <v>Trace 98</v>
      </c>
      <c r="AT464" s="203" t="str">
        <f t="shared" si="15"/>
        <v xml:space="preserve"> ArmadaTrace 98164 Women's</v>
      </c>
    </row>
    <row r="465" spans="1:46" ht="79.2">
      <c r="A465" t="s">
        <v>155</v>
      </c>
      <c r="B465" t="s">
        <v>156</v>
      </c>
      <c r="C465" t="s">
        <v>267</v>
      </c>
      <c r="D465">
        <v>169</v>
      </c>
      <c r="E465" t="s">
        <v>158</v>
      </c>
      <c r="F465">
        <v>169</v>
      </c>
      <c r="G465">
        <v>168.3</v>
      </c>
      <c r="H465">
        <v>117</v>
      </c>
      <c r="I465">
        <v>142</v>
      </c>
      <c r="J465">
        <v>122</v>
      </c>
      <c r="K465">
        <v>86</v>
      </c>
      <c r="L465">
        <v>106</v>
      </c>
      <c r="M465">
        <v>17</v>
      </c>
      <c r="N465">
        <v>1462</v>
      </c>
      <c r="O465">
        <v>1.1200000000000001</v>
      </c>
      <c r="P465">
        <v>1634</v>
      </c>
      <c r="Q465">
        <v>188</v>
      </c>
      <c r="R465">
        <v>87</v>
      </c>
      <c r="S465">
        <v>50</v>
      </c>
      <c r="T465">
        <v>299</v>
      </c>
      <c r="U465">
        <v>15</v>
      </c>
      <c r="V465">
        <v>215</v>
      </c>
      <c r="W465">
        <v>0.29499999999999998</v>
      </c>
      <c r="X465">
        <v>166</v>
      </c>
      <c r="Y465">
        <v>100</v>
      </c>
      <c r="Z465">
        <v>133</v>
      </c>
      <c r="AA465">
        <v>2</v>
      </c>
      <c r="AB465">
        <v>8.9</v>
      </c>
      <c r="AC465" t="s">
        <v>188</v>
      </c>
      <c r="AD465" t="s">
        <v>185</v>
      </c>
      <c r="AG465" t="s">
        <v>3477</v>
      </c>
      <c r="AH465" t="s">
        <v>1232</v>
      </c>
      <c r="AI465" s="245">
        <v>399.95</v>
      </c>
      <c r="AJ465" t="s">
        <v>3478</v>
      </c>
      <c r="AK465" t="s">
        <v>3477</v>
      </c>
      <c r="AL465" t="s">
        <v>1282</v>
      </c>
      <c r="AM465" s="245">
        <v>399.99</v>
      </c>
      <c r="AN465" t="s">
        <v>3479</v>
      </c>
      <c r="AO465" t="s">
        <v>3480</v>
      </c>
      <c r="AP465" t="s">
        <v>1497</v>
      </c>
      <c r="AQ465" s="245">
        <v>399.99</v>
      </c>
      <c r="AR465" t="s">
        <v>3481</v>
      </c>
      <c r="AS465" s="226" t="str">
        <f t="shared" si="14"/>
        <v>Maverick 86 C</v>
      </c>
      <c r="AT465" s="203" t="str">
        <f t="shared" si="15"/>
        <v xml:space="preserve"> AtomicMaverick 86 C169 Unisex</v>
      </c>
    </row>
    <row r="466" spans="1:46" ht="79.2">
      <c r="A466" t="s">
        <v>155</v>
      </c>
      <c r="B466" t="s">
        <v>215</v>
      </c>
      <c r="C466" t="s">
        <v>376</v>
      </c>
      <c r="D466">
        <v>171</v>
      </c>
      <c r="E466" t="s">
        <v>163</v>
      </c>
      <c r="F466">
        <v>171</v>
      </c>
      <c r="G466">
        <v>170</v>
      </c>
      <c r="H466">
        <v>111</v>
      </c>
      <c r="I466">
        <v>141</v>
      </c>
      <c r="J466">
        <v>135</v>
      </c>
      <c r="K466">
        <v>101</v>
      </c>
      <c r="L466">
        <v>122</v>
      </c>
      <c r="M466">
        <v>16.600000000000001</v>
      </c>
      <c r="N466">
        <v>1723</v>
      </c>
      <c r="O466">
        <v>1.1000000000000001</v>
      </c>
      <c r="P466">
        <v>1895</v>
      </c>
      <c r="Q466">
        <v>171</v>
      </c>
      <c r="R466">
        <v>81</v>
      </c>
      <c r="S466">
        <v>51</v>
      </c>
      <c r="T466">
        <v>339</v>
      </c>
      <c r="U466">
        <v>28</v>
      </c>
      <c r="V466">
        <v>248</v>
      </c>
      <c r="W466">
        <v>0.55000000000000004</v>
      </c>
      <c r="X466">
        <v>142</v>
      </c>
      <c r="Y466">
        <v>148</v>
      </c>
      <c r="Z466">
        <v>197</v>
      </c>
      <c r="AA466">
        <v>6</v>
      </c>
      <c r="AB466">
        <v>8.3000000000000007</v>
      </c>
      <c r="AC466" t="s">
        <v>188</v>
      </c>
      <c r="AD466" t="s">
        <v>169</v>
      </c>
      <c r="AE466" t="s">
        <v>185</v>
      </c>
      <c r="AG466" t="s">
        <v>3482</v>
      </c>
      <c r="AH466" t="s">
        <v>1248</v>
      </c>
      <c r="AI466" s="245">
        <v>449.99</v>
      </c>
      <c r="AJ466" t="s">
        <v>3483</v>
      </c>
      <c r="AK466" t="s">
        <v>3482</v>
      </c>
      <c r="AL466" t="s">
        <v>1181</v>
      </c>
      <c r="AM466" s="245">
        <v>449.99</v>
      </c>
      <c r="AN466" t="s">
        <v>3484</v>
      </c>
      <c r="AO466" t="s">
        <v>3482</v>
      </c>
      <c r="AP466" t="s">
        <v>2325</v>
      </c>
      <c r="AQ466" s="245">
        <v>479.99</v>
      </c>
      <c r="AR466" t="s">
        <v>3485</v>
      </c>
      <c r="AS466" s="226" t="str">
        <f t="shared" si="14"/>
        <v>Genesis 101</v>
      </c>
      <c r="AT466" s="203" t="str">
        <f t="shared" si="15"/>
        <v xml:space="preserve"> LibertyGenesis 101171 Women's</v>
      </c>
    </row>
    <row r="467" spans="1:46" ht="66">
      <c r="A467" t="s">
        <v>155</v>
      </c>
      <c r="B467" t="s">
        <v>172</v>
      </c>
      <c r="C467" t="s">
        <v>543</v>
      </c>
      <c r="D467">
        <v>160</v>
      </c>
      <c r="E467" t="s">
        <v>163</v>
      </c>
      <c r="F467">
        <v>160</v>
      </c>
      <c r="G467">
        <v>159.30000000000001</v>
      </c>
      <c r="H467">
        <v>113</v>
      </c>
      <c r="I467">
        <v>136</v>
      </c>
      <c r="J467">
        <v>130</v>
      </c>
      <c r="K467">
        <v>97</v>
      </c>
      <c r="L467">
        <v>120</v>
      </c>
      <c r="M467">
        <v>14.1</v>
      </c>
      <c r="N467">
        <v>1775</v>
      </c>
      <c r="O467">
        <v>0.97</v>
      </c>
      <c r="P467">
        <v>1726</v>
      </c>
      <c r="Q467">
        <v>200</v>
      </c>
      <c r="R467">
        <v>108</v>
      </c>
      <c r="S467">
        <v>49</v>
      </c>
      <c r="T467">
        <v>239</v>
      </c>
      <c r="U467">
        <v>35</v>
      </c>
      <c r="V467">
        <v>225</v>
      </c>
      <c r="W467">
        <v>0.70599999999999996</v>
      </c>
      <c r="X467">
        <v>131</v>
      </c>
      <c r="Y467">
        <v>105</v>
      </c>
      <c r="Z467">
        <v>108</v>
      </c>
      <c r="AA467">
        <v>8</v>
      </c>
      <c r="AB467">
        <v>4.2</v>
      </c>
      <c r="AC467" t="s">
        <v>188</v>
      </c>
      <c r="AG467" t="s">
        <v>1605</v>
      </c>
      <c r="AH467" t="s">
        <v>1204</v>
      </c>
      <c r="AI467" s="245">
        <v>521.11</v>
      </c>
      <c r="AJ467" t="s">
        <v>3486</v>
      </c>
      <c r="AK467" t="s">
        <v>2305</v>
      </c>
      <c r="AL467" t="s">
        <v>1181</v>
      </c>
      <c r="AM467" s="245">
        <v>479.99</v>
      </c>
      <c r="AN467" t="s">
        <v>3487</v>
      </c>
      <c r="AO467" t="s">
        <v>2305</v>
      </c>
      <c r="AP467" t="s">
        <v>1833</v>
      </c>
      <c r="AQ467" s="245">
        <v>524.99</v>
      </c>
      <c r="AR467" t="s">
        <v>3488</v>
      </c>
      <c r="AS467" s="226" t="str">
        <f t="shared" si="14"/>
        <v>Blackops Blazer W</v>
      </c>
      <c r="AT467" s="203" t="str">
        <f t="shared" si="15"/>
        <v xml:space="preserve"> RossignolBlackops Blazer W160 Women's</v>
      </c>
    </row>
    <row r="468" spans="1:46" ht="118.8">
      <c r="A468" t="s">
        <v>155</v>
      </c>
      <c r="B468" t="s">
        <v>172</v>
      </c>
      <c r="C468" t="s">
        <v>621</v>
      </c>
      <c r="D468">
        <v>175</v>
      </c>
      <c r="E468" t="s">
        <v>158</v>
      </c>
      <c r="F468">
        <v>175</v>
      </c>
      <c r="G468">
        <v>174.4</v>
      </c>
      <c r="H468">
        <v>148</v>
      </c>
      <c r="I468">
        <v>161</v>
      </c>
      <c r="J468">
        <v>122</v>
      </c>
      <c r="K468">
        <v>73</v>
      </c>
      <c r="L468">
        <v>108</v>
      </c>
      <c r="M468">
        <v>15.2</v>
      </c>
      <c r="N468">
        <v>1895</v>
      </c>
      <c r="O468">
        <v>0.82</v>
      </c>
      <c r="P468">
        <v>1550</v>
      </c>
      <c r="Q468">
        <v>233</v>
      </c>
      <c r="R468">
        <v>87</v>
      </c>
      <c r="S468">
        <v>40</v>
      </c>
      <c r="T468">
        <v>196</v>
      </c>
      <c r="U468">
        <v>4</v>
      </c>
      <c r="V468">
        <v>66</v>
      </c>
      <c r="W468">
        <v>0.109</v>
      </c>
      <c r="X468">
        <v>73</v>
      </c>
      <c r="Y468">
        <v>60</v>
      </c>
      <c r="Z468">
        <v>122</v>
      </c>
      <c r="AA468">
        <v>10</v>
      </c>
      <c r="AB468">
        <v>10.199999999999999</v>
      </c>
      <c r="AC468" t="s">
        <v>349</v>
      </c>
      <c r="AG468" t="s">
        <v>3489</v>
      </c>
      <c r="AH468" t="s">
        <v>1211</v>
      </c>
      <c r="AI468" s="245">
        <v>639.95000000000005</v>
      </c>
      <c r="AJ468" t="s">
        <v>3490</v>
      </c>
      <c r="AK468" t="s">
        <v>3491</v>
      </c>
      <c r="AL468" t="s">
        <v>3015</v>
      </c>
      <c r="AM468" s="245">
        <v>900</v>
      </c>
      <c r="AN468" t="s">
        <v>3492</v>
      </c>
      <c r="AO468" t="s">
        <v>3493</v>
      </c>
      <c r="AP468" t="s">
        <v>1556</v>
      </c>
      <c r="AQ468" s="245">
        <v>1125</v>
      </c>
      <c r="AR468" t="s">
        <v>3494</v>
      </c>
      <c r="AS468" s="226" t="str">
        <f t="shared" si="14"/>
        <v>Hero Elite Multi Turn Ca</v>
      </c>
      <c r="AT468" s="203" t="str">
        <f t="shared" si="15"/>
        <v xml:space="preserve"> RossignolHero Elite Multi Turn Ca175 Unisex</v>
      </c>
    </row>
    <row r="469" spans="1:46" ht="66">
      <c r="A469" t="s">
        <v>155</v>
      </c>
      <c r="B469" t="s">
        <v>174</v>
      </c>
      <c r="C469" t="s">
        <v>622</v>
      </c>
      <c r="D469">
        <v>169</v>
      </c>
      <c r="E469" t="s">
        <v>163</v>
      </c>
      <c r="F469">
        <v>169</v>
      </c>
      <c r="G469">
        <v>168.6</v>
      </c>
      <c r="H469">
        <v>125</v>
      </c>
      <c r="I469">
        <v>140</v>
      </c>
      <c r="J469">
        <v>129</v>
      </c>
      <c r="K469">
        <v>92</v>
      </c>
      <c r="L469">
        <v>112</v>
      </c>
      <c r="M469">
        <v>15.5</v>
      </c>
      <c r="N469">
        <v>1722</v>
      </c>
      <c r="O469">
        <v>1.02</v>
      </c>
      <c r="P469">
        <v>1752</v>
      </c>
      <c r="Q469">
        <v>183</v>
      </c>
      <c r="R469">
        <v>82</v>
      </c>
      <c r="S469">
        <v>56</v>
      </c>
      <c r="T469">
        <v>288</v>
      </c>
      <c r="U469">
        <v>13</v>
      </c>
      <c r="V469">
        <v>147</v>
      </c>
      <c r="W469">
        <v>0.23799999999999999</v>
      </c>
      <c r="X469">
        <v>156</v>
      </c>
      <c r="Y469">
        <v>128</v>
      </c>
      <c r="Z469">
        <v>132</v>
      </c>
      <c r="AA469">
        <v>8</v>
      </c>
      <c r="AB469">
        <v>9.1</v>
      </c>
      <c r="AC469" t="s">
        <v>188</v>
      </c>
      <c r="AG469" t="s">
        <v>1573</v>
      </c>
      <c r="AH469" t="s">
        <v>1232</v>
      </c>
      <c r="AI469" s="245">
        <v>399.95</v>
      </c>
      <c r="AJ469" t="s">
        <v>3495</v>
      </c>
      <c r="AK469" t="s">
        <v>1575</v>
      </c>
      <c r="AL469" t="s">
        <v>1320</v>
      </c>
      <c r="AM469" s="245">
        <v>399.99</v>
      </c>
      <c r="AN469" t="s">
        <v>3496</v>
      </c>
      <c r="AO469" t="s">
        <v>1573</v>
      </c>
      <c r="AP469" t="s">
        <v>1282</v>
      </c>
      <c r="AQ469" s="245">
        <v>399.99</v>
      </c>
      <c r="AR469" t="s">
        <v>3497</v>
      </c>
      <c r="AS469" s="226" t="str">
        <f t="shared" si="14"/>
        <v>QST Lux 92</v>
      </c>
      <c r="AT469" s="203" t="str">
        <f t="shared" si="15"/>
        <v xml:space="preserve"> SalomonQST Lux 92169 Women's</v>
      </c>
    </row>
    <row r="470" spans="1:46" ht="79.2">
      <c r="A470" t="s">
        <v>155</v>
      </c>
      <c r="B470" t="s">
        <v>1395</v>
      </c>
      <c r="C470" t="s">
        <v>624</v>
      </c>
      <c r="D470">
        <v>180</v>
      </c>
      <c r="E470" t="s">
        <v>158</v>
      </c>
      <c r="F470">
        <v>180</v>
      </c>
      <c r="G470">
        <v>179.6</v>
      </c>
      <c r="H470">
        <v>129</v>
      </c>
      <c r="I470">
        <v>155</v>
      </c>
      <c r="J470">
        <v>128</v>
      </c>
      <c r="K470">
        <v>85</v>
      </c>
      <c r="L470">
        <v>110</v>
      </c>
      <c r="M470">
        <v>16.899999999999999</v>
      </c>
      <c r="N470">
        <v>1483</v>
      </c>
      <c r="O470">
        <v>1.2</v>
      </c>
      <c r="P470">
        <v>1780</v>
      </c>
      <c r="Q470">
        <v>189</v>
      </c>
      <c r="R470">
        <v>84</v>
      </c>
      <c r="S470">
        <v>46</v>
      </c>
      <c r="T470">
        <v>302</v>
      </c>
      <c r="U470">
        <v>18</v>
      </c>
      <c r="V470">
        <v>206</v>
      </c>
      <c r="W470">
        <v>0.39899999999999902</v>
      </c>
      <c r="X470">
        <v>149</v>
      </c>
      <c r="Y470">
        <v>99</v>
      </c>
      <c r="Z470">
        <v>154</v>
      </c>
      <c r="AA470">
        <v>2</v>
      </c>
      <c r="AB470">
        <v>11</v>
      </c>
      <c r="AC470" t="s">
        <v>188</v>
      </c>
      <c r="AD470" t="s">
        <v>185</v>
      </c>
      <c r="AG470" t="s">
        <v>3498</v>
      </c>
      <c r="AH470" t="s">
        <v>1706</v>
      </c>
      <c r="AI470" s="245">
        <v>399</v>
      </c>
      <c r="AJ470" t="s">
        <v>3499</v>
      </c>
      <c r="AK470" t="s">
        <v>3119</v>
      </c>
      <c r="AL470" t="s">
        <v>2130</v>
      </c>
      <c r="AM470" s="245">
        <v>399.99</v>
      </c>
      <c r="AN470" t="s">
        <v>3500</v>
      </c>
      <c r="AO470" t="s">
        <v>3119</v>
      </c>
      <c r="AP470" t="s">
        <v>1421</v>
      </c>
      <c r="AQ470" s="245">
        <v>399.99</v>
      </c>
      <c r="AR470" t="s">
        <v>3501</v>
      </c>
      <c r="AS470" s="226" t="str">
        <f t="shared" si="14"/>
        <v>Blaze 86</v>
      </c>
      <c r="AT470" s="203" t="str">
        <f t="shared" si="15"/>
        <v xml:space="preserve"> Vï¿½lklBlaze 86180 Unisex</v>
      </c>
    </row>
    <row r="471" spans="1:46" ht="92.4">
      <c r="A471" t="s">
        <v>155</v>
      </c>
      <c r="B471" t="s">
        <v>156</v>
      </c>
      <c r="C471" t="s">
        <v>626</v>
      </c>
      <c r="D471">
        <v>169</v>
      </c>
      <c r="E471" t="s">
        <v>158</v>
      </c>
      <c r="F471">
        <v>169</v>
      </c>
      <c r="G471">
        <v>168.5</v>
      </c>
      <c r="H471">
        <v>142</v>
      </c>
      <c r="I471">
        <v>152</v>
      </c>
      <c r="J471">
        <v>115</v>
      </c>
      <c r="K471">
        <v>74</v>
      </c>
      <c r="L471">
        <v>100</v>
      </c>
      <c r="M471">
        <v>16.2</v>
      </c>
      <c r="N471">
        <v>1889</v>
      </c>
      <c r="O471">
        <v>0.77</v>
      </c>
      <c r="P471">
        <v>1464</v>
      </c>
      <c r="Q471">
        <v>188</v>
      </c>
      <c r="R471">
        <v>91</v>
      </c>
      <c r="S471">
        <v>39</v>
      </c>
      <c r="T471">
        <v>185</v>
      </c>
      <c r="U471">
        <v>4</v>
      </c>
      <c r="V471">
        <v>76</v>
      </c>
      <c r="W471">
        <v>0.11599999999999901</v>
      </c>
      <c r="X471">
        <v>97</v>
      </c>
      <c r="Y471">
        <v>73</v>
      </c>
      <c r="Z471">
        <v>87</v>
      </c>
      <c r="AA471">
        <v>10</v>
      </c>
      <c r="AB471">
        <v>10.4</v>
      </c>
      <c r="AC471" t="s">
        <v>349</v>
      </c>
      <c r="AD471" t="s">
        <v>231</v>
      </c>
      <c r="AG471" t="s">
        <v>3502</v>
      </c>
      <c r="AH471" t="s">
        <v>1224</v>
      </c>
      <c r="AI471" s="245">
        <v>319.99</v>
      </c>
      <c r="AJ471" t="s">
        <v>3503</v>
      </c>
      <c r="AK471" t="s">
        <v>3502</v>
      </c>
      <c r="AL471" t="s">
        <v>1226</v>
      </c>
      <c r="AM471" s="245">
        <v>319.99</v>
      </c>
      <c r="AN471" t="s">
        <v>3504</v>
      </c>
      <c r="AO471" t="s">
        <v>3505</v>
      </c>
      <c r="AP471" t="s">
        <v>1497</v>
      </c>
      <c r="AQ471" s="245">
        <v>319.99</v>
      </c>
      <c r="AR471" t="s">
        <v>3506</v>
      </c>
      <c r="AS471" s="226" t="str">
        <f t="shared" si="14"/>
        <v>Vantage 75</v>
      </c>
      <c r="AT471" s="203" t="str">
        <f t="shared" si="15"/>
        <v xml:space="preserve"> AtomicVantage 75169 Unisex</v>
      </c>
    </row>
    <row r="472" spans="1:46" ht="396">
      <c r="A472" t="s">
        <v>155</v>
      </c>
      <c r="B472" t="s">
        <v>208</v>
      </c>
      <c r="C472" t="s">
        <v>265</v>
      </c>
      <c r="D472">
        <v>160</v>
      </c>
      <c r="E472" t="s">
        <v>163</v>
      </c>
      <c r="F472">
        <v>160</v>
      </c>
      <c r="G472">
        <v>159.5</v>
      </c>
      <c r="H472">
        <v>126</v>
      </c>
      <c r="I472">
        <v>144</v>
      </c>
      <c r="J472">
        <v>139</v>
      </c>
      <c r="K472">
        <v>90</v>
      </c>
      <c r="L472">
        <v>113</v>
      </c>
      <c r="M472">
        <v>14.7</v>
      </c>
      <c r="N472">
        <v>1624</v>
      </c>
      <c r="O472">
        <v>1.02</v>
      </c>
      <c r="P472">
        <v>1664</v>
      </c>
      <c r="Q472">
        <v>139</v>
      </c>
      <c r="R472">
        <v>87</v>
      </c>
      <c r="S472">
        <v>32</v>
      </c>
      <c r="T472">
        <v>208</v>
      </c>
      <c r="U472">
        <v>15</v>
      </c>
      <c r="V472">
        <v>132</v>
      </c>
      <c r="W472">
        <v>0.46500000000000002</v>
      </c>
      <c r="X472">
        <v>129</v>
      </c>
      <c r="Y472">
        <v>22</v>
      </c>
      <c r="Z472">
        <v>79</v>
      </c>
      <c r="AA472">
        <v>8</v>
      </c>
      <c r="AB472">
        <v>6.4</v>
      </c>
      <c r="AC472" t="s">
        <v>188</v>
      </c>
      <c r="AG472" t="s">
        <v>3507</v>
      </c>
      <c r="AH472" t="s">
        <v>1240</v>
      </c>
      <c r="AI472" s="245">
        <v>479.95</v>
      </c>
      <c r="AJ472" t="s">
        <v>3508</v>
      </c>
      <c r="AK472" t="s">
        <v>3509</v>
      </c>
      <c r="AL472" t="s">
        <v>1804</v>
      </c>
      <c r="AM472" s="245">
        <v>540</v>
      </c>
      <c r="AN472" t="s">
        <v>3510</v>
      </c>
      <c r="AO472" t="s">
        <v>3511</v>
      </c>
      <c r="AP472" t="s">
        <v>1282</v>
      </c>
      <c r="AQ472" s="245">
        <v>699.95</v>
      </c>
      <c r="AR472" t="s">
        <v>3512</v>
      </c>
      <c r="AS472" s="226" t="str">
        <f t="shared" si="14"/>
        <v>Blade W</v>
      </c>
      <c r="AT472" s="203" t="str">
        <f t="shared" si="15"/>
        <v xml:space="preserve"> LineBlade W160 Women's</v>
      </c>
    </row>
    <row r="473" spans="1:46" ht="52.8">
      <c r="A473" t="s">
        <v>155</v>
      </c>
      <c r="B473" t="s">
        <v>1395</v>
      </c>
      <c r="C473" t="s">
        <v>596</v>
      </c>
      <c r="D473">
        <v>173</v>
      </c>
      <c r="E473" t="s">
        <v>158</v>
      </c>
      <c r="F473">
        <v>173</v>
      </c>
      <c r="G473">
        <v>173.4</v>
      </c>
      <c r="H473">
        <v>130</v>
      </c>
      <c r="I473">
        <v>159</v>
      </c>
      <c r="J473">
        <v>128</v>
      </c>
      <c r="K473">
        <v>94</v>
      </c>
      <c r="L473">
        <v>118</v>
      </c>
      <c r="M473">
        <v>21.6</v>
      </c>
      <c r="N473">
        <v>1979</v>
      </c>
      <c r="O473">
        <v>0.91</v>
      </c>
      <c r="P473">
        <v>1806</v>
      </c>
      <c r="Q473">
        <v>192</v>
      </c>
      <c r="R473">
        <v>104</v>
      </c>
      <c r="S473">
        <v>41</v>
      </c>
      <c r="T473">
        <v>222</v>
      </c>
      <c r="U473">
        <v>37</v>
      </c>
      <c r="V473">
        <v>209</v>
      </c>
      <c r="W473">
        <v>0.91200000000000003</v>
      </c>
      <c r="X473">
        <v>81</v>
      </c>
      <c r="Y473">
        <v>62</v>
      </c>
      <c r="Z473">
        <v>141</v>
      </c>
      <c r="AA473">
        <v>5</v>
      </c>
      <c r="AB473">
        <v>0.1</v>
      </c>
      <c r="AC473" t="s">
        <v>184</v>
      </c>
      <c r="AG473" t="s">
        <v>3283</v>
      </c>
      <c r="AH473" t="s">
        <v>1421</v>
      </c>
      <c r="AI473" s="245">
        <v>319.99</v>
      </c>
      <c r="AJ473" t="s">
        <v>3513</v>
      </c>
      <c r="AK473" t="s">
        <v>3283</v>
      </c>
      <c r="AL473" t="s">
        <v>3514</v>
      </c>
      <c r="AM473" s="245">
        <v>319.99</v>
      </c>
      <c r="AN473" t="s">
        <v>3515</v>
      </c>
      <c r="AO473" t="s">
        <v>3516</v>
      </c>
      <c r="AP473" t="s">
        <v>2837</v>
      </c>
      <c r="AQ473" s="245">
        <v>399.99</v>
      </c>
      <c r="AR473" t="s">
        <v>3517</v>
      </c>
      <c r="AS473" s="226" t="str">
        <f t="shared" si="14"/>
        <v>Revolt 95</v>
      </c>
      <c r="AT473" s="203" t="str">
        <f t="shared" si="15"/>
        <v xml:space="preserve"> Vï¿½lklRevolt 95173 Unisex</v>
      </c>
    </row>
    <row r="474" spans="1:46" ht="79.2">
      <c r="A474" t="s">
        <v>155</v>
      </c>
      <c r="B474" t="s">
        <v>245</v>
      </c>
      <c r="C474" t="s">
        <v>275</v>
      </c>
      <c r="D474">
        <v>185</v>
      </c>
      <c r="E474" t="s">
        <v>158</v>
      </c>
      <c r="F474">
        <v>185</v>
      </c>
      <c r="G474">
        <v>183.6</v>
      </c>
      <c r="H474">
        <v>118</v>
      </c>
      <c r="I474">
        <v>152</v>
      </c>
      <c r="J474">
        <v>139</v>
      </c>
      <c r="K474">
        <v>107</v>
      </c>
      <c r="L474">
        <v>123</v>
      </c>
      <c r="M474">
        <v>22.7</v>
      </c>
      <c r="N474">
        <v>1692</v>
      </c>
      <c r="O474">
        <v>1.26</v>
      </c>
      <c r="P474">
        <v>2133</v>
      </c>
      <c r="Q474">
        <v>264</v>
      </c>
      <c r="R474">
        <v>124</v>
      </c>
      <c r="S474">
        <v>69</v>
      </c>
      <c r="T474">
        <v>464</v>
      </c>
      <c r="U474">
        <v>9</v>
      </c>
      <c r="V474">
        <v>189</v>
      </c>
      <c r="W474">
        <v>0.13100000000000001</v>
      </c>
      <c r="X474">
        <v>185</v>
      </c>
      <c r="Y474">
        <v>135</v>
      </c>
      <c r="Z474">
        <v>280</v>
      </c>
      <c r="AA474">
        <v>4</v>
      </c>
      <c r="AB474">
        <v>11.8</v>
      </c>
      <c r="AC474" t="s">
        <v>178</v>
      </c>
      <c r="AD474" t="s">
        <v>185</v>
      </c>
      <c r="AE474" t="s">
        <v>198</v>
      </c>
      <c r="AG474" t="s">
        <v>3518</v>
      </c>
      <c r="AH474" t="s">
        <v>1194</v>
      </c>
      <c r="AI474" s="245">
        <v>451.78</v>
      </c>
      <c r="AJ474" t="s">
        <v>3519</v>
      </c>
      <c r="AK474" t="s">
        <v>3518</v>
      </c>
      <c r="AL474" t="s">
        <v>1509</v>
      </c>
      <c r="AM474" s="245">
        <v>511.99</v>
      </c>
      <c r="AN474" t="s">
        <v>3520</v>
      </c>
      <c r="AO474" t="s">
        <v>3518</v>
      </c>
      <c r="AP474" t="s">
        <v>1450</v>
      </c>
      <c r="AQ474" s="245">
        <v>539.99</v>
      </c>
      <c r="AR474" t="s">
        <v>3521</v>
      </c>
      <c r="AS474" s="226" t="str">
        <f t="shared" si="14"/>
        <v>Hannibal 106</v>
      </c>
      <c r="AT474" s="203" t="str">
        <f t="shared" si="15"/>
        <v xml:space="preserve"> FischerHannibal 106185 Unisex</v>
      </c>
    </row>
    <row r="475" spans="1:46" ht="66">
      <c r="A475" t="s">
        <v>155</v>
      </c>
      <c r="B475" t="s">
        <v>164</v>
      </c>
      <c r="C475" t="s">
        <v>627</v>
      </c>
      <c r="D475">
        <v>166</v>
      </c>
      <c r="E475" t="s">
        <v>158</v>
      </c>
      <c r="F475">
        <v>166</v>
      </c>
      <c r="G475">
        <v>165.2</v>
      </c>
      <c r="H475">
        <v>134</v>
      </c>
      <c r="I475">
        <v>146</v>
      </c>
      <c r="J475">
        <v>127</v>
      </c>
      <c r="K475">
        <v>85</v>
      </c>
      <c r="L475">
        <v>113</v>
      </c>
      <c r="M475">
        <v>14.7</v>
      </c>
      <c r="N475">
        <v>2004</v>
      </c>
      <c r="O475">
        <v>0.82</v>
      </c>
      <c r="P475">
        <v>1638</v>
      </c>
      <c r="Q475">
        <v>191</v>
      </c>
      <c r="R475">
        <v>93</v>
      </c>
      <c r="S475">
        <v>41</v>
      </c>
      <c r="T475">
        <v>206</v>
      </c>
      <c r="U475">
        <v>7</v>
      </c>
      <c r="V475">
        <v>106</v>
      </c>
      <c r="W475">
        <v>0.16600000000000001</v>
      </c>
      <c r="X475">
        <v>98</v>
      </c>
      <c r="Y475">
        <v>95</v>
      </c>
      <c r="Z475">
        <v>108</v>
      </c>
      <c r="AA475">
        <v>10</v>
      </c>
      <c r="AB475">
        <v>8.9</v>
      </c>
      <c r="AC475" t="s">
        <v>188</v>
      </c>
      <c r="AG475" t="s">
        <v>1198</v>
      </c>
      <c r="AH475" t="s">
        <v>1185</v>
      </c>
      <c r="AI475" s="245">
        <v>349.99</v>
      </c>
      <c r="AJ475" t="s">
        <v>3522</v>
      </c>
      <c r="AK475" t="s">
        <v>1198</v>
      </c>
      <c r="AL475" t="s">
        <v>1248</v>
      </c>
      <c r="AM475" s="245">
        <v>374.99</v>
      </c>
      <c r="AN475" t="s">
        <v>3523</v>
      </c>
      <c r="AO475" t="s">
        <v>3524</v>
      </c>
      <c r="AP475" t="s">
        <v>1211</v>
      </c>
      <c r="AQ475" s="245">
        <v>374.99</v>
      </c>
      <c r="AR475" t="s">
        <v>3525</v>
      </c>
      <c r="AS475" s="226" t="str">
        <f t="shared" si="14"/>
        <v>Wingman 86 Ti</v>
      </c>
      <c r="AT475" s="203" t="str">
        <f t="shared" si="15"/>
        <v xml:space="preserve"> ElanWingman 86 Ti166 Unisex</v>
      </c>
    </row>
    <row r="476" spans="1:46" ht="52.8">
      <c r="A476" t="s">
        <v>155</v>
      </c>
      <c r="B476" t="s">
        <v>208</v>
      </c>
      <c r="C476" t="s">
        <v>628</v>
      </c>
      <c r="D476">
        <v>178</v>
      </c>
      <c r="E476" t="s">
        <v>158</v>
      </c>
      <c r="F476">
        <v>178</v>
      </c>
      <c r="G476">
        <v>178</v>
      </c>
      <c r="H476">
        <v>138</v>
      </c>
      <c r="I476">
        <v>155</v>
      </c>
      <c r="J476">
        <v>132</v>
      </c>
      <c r="K476">
        <v>99</v>
      </c>
      <c r="L476">
        <v>121</v>
      </c>
      <c r="M476">
        <v>20.6</v>
      </c>
      <c r="N476">
        <v>1783</v>
      </c>
      <c r="O476">
        <v>1.0900000000000001</v>
      </c>
      <c r="P476">
        <v>1948</v>
      </c>
      <c r="Q476">
        <v>162</v>
      </c>
      <c r="R476">
        <v>75</v>
      </c>
      <c r="S476">
        <v>44</v>
      </c>
      <c r="T476">
        <v>208</v>
      </c>
      <c r="U476">
        <v>42</v>
      </c>
      <c r="V476">
        <v>195</v>
      </c>
      <c r="W476">
        <v>0.96499999999999997</v>
      </c>
      <c r="X476">
        <v>104</v>
      </c>
      <c r="Y476">
        <v>131</v>
      </c>
      <c r="Z476">
        <v>104</v>
      </c>
      <c r="AA476">
        <v>9</v>
      </c>
      <c r="AB476">
        <v>4.3</v>
      </c>
      <c r="AC476" t="s">
        <v>184</v>
      </c>
      <c r="AD476" t="s">
        <v>185</v>
      </c>
      <c r="AG476" t="s">
        <v>2803</v>
      </c>
      <c r="AH476" t="s">
        <v>1179</v>
      </c>
      <c r="AI476" s="245">
        <v>479.95</v>
      </c>
      <c r="AJ476" t="s">
        <v>3526</v>
      </c>
      <c r="AK476" t="s">
        <v>2803</v>
      </c>
      <c r="AL476" t="s">
        <v>1248</v>
      </c>
      <c r="AM476" s="245">
        <v>479.96</v>
      </c>
      <c r="AN476" t="s">
        <v>3527</v>
      </c>
      <c r="AO476" t="s">
        <v>2803</v>
      </c>
      <c r="AP476" t="s">
        <v>2130</v>
      </c>
      <c r="AQ476" s="245">
        <v>479.96</v>
      </c>
      <c r="AR476" t="s">
        <v>3528</v>
      </c>
      <c r="AS476" s="226" t="str">
        <f t="shared" si="14"/>
        <v>Blend</v>
      </c>
      <c r="AT476" s="203" t="str">
        <f t="shared" si="15"/>
        <v xml:space="preserve"> LineBlend178 Unisex</v>
      </c>
    </row>
    <row r="477" spans="1:46" ht="66">
      <c r="A477" t="s">
        <v>155</v>
      </c>
      <c r="B477" t="s">
        <v>317</v>
      </c>
      <c r="C477" t="s">
        <v>571</v>
      </c>
      <c r="D477">
        <v>164</v>
      </c>
      <c r="E477" t="s">
        <v>163</v>
      </c>
      <c r="F477">
        <v>164</v>
      </c>
      <c r="G477">
        <v>162.80000000000001</v>
      </c>
      <c r="H477">
        <v>110</v>
      </c>
      <c r="I477">
        <v>135</v>
      </c>
      <c r="J477">
        <v>124</v>
      </c>
      <c r="K477">
        <v>91</v>
      </c>
      <c r="L477">
        <v>113</v>
      </c>
      <c r="M477">
        <v>14.4</v>
      </c>
      <c r="N477">
        <v>1799</v>
      </c>
      <c r="O477">
        <v>0.93</v>
      </c>
      <c r="P477">
        <v>1673</v>
      </c>
      <c r="Q477">
        <v>185</v>
      </c>
      <c r="R477">
        <v>88</v>
      </c>
      <c r="S477">
        <v>61</v>
      </c>
      <c r="T477">
        <v>303</v>
      </c>
      <c r="U477">
        <v>28</v>
      </c>
      <c r="V477">
        <v>223</v>
      </c>
      <c r="W477">
        <v>0.45399999999999902</v>
      </c>
      <c r="X477">
        <v>147</v>
      </c>
      <c r="Y477">
        <v>134</v>
      </c>
      <c r="Z477">
        <v>156</v>
      </c>
      <c r="AA477">
        <v>4</v>
      </c>
      <c r="AB477">
        <v>7.2</v>
      </c>
      <c r="AC477" t="s">
        <v>188</v>
      </c>
      <c r="AG477" t="s">
        <v>3089</v>
      </c>
      <c r="AH477" t="s">
        <v>1280</v>
      </c>
      <c r="AI477" s="245">
        <v>479.93</v>
      </c>
      <c r="AJ477" t="s">
        <v>3529</v>
      </c>
      <c r="AK477" t="s">
        <v>3089</v>
      </c>
      <c r="AL477" t="s">
        <v>1181</v>
      </c>
      <c r="AM477" s="245">
        <v>479.95</v>
      </c>
      <c r="AN477" t="s">
        <v>3530</v>
      </c>
      <c r="AO477" t="s">
        <v>3531</v>
      </c>
      <c r="AP477" t="s">
        <v>1706</v>
      </c>
      <c r="AQ477" s="245">
        <v>479.95</v>
      </c>
      <c r="AR477" t="s">
        <v>3532</v>
      </c>
      <c r="AS477" s="226" t="str">
        <f t="shared" si="14"/>
        <v>Sheeva 9</v>
      </c>
      <c r="AT477" s="203" t="str">
        <f t="shared" si="15"/>
        <v xml:space="preserve"> BlizzardSheeva 9164 Women's</v>
      </c>
    </row>
    <row r="478" spans="1:46" ht="171.6">
      <c r="A478" t="s">
        <v>155</v>
      </c>
      <c r="B478" t="s">
        <v>317</v>
      </c>
      <c r="C478" t="s">
        <v>630</v>
      </c>
      <c r="D478">
        <v>165</v>
      </c>
      <c r="E478" t="s">
        <v>158</v>
      </c>
      <c r="F478">
        <v>165</v>
      </c>
      <c r="G478">
        <v>163.5</v>
      </c>
      <c r="H478">
        <v>133</v>
      </c>
      <c r="I478">
        <v>141</v>
      </c>
      <c r="J478">
        <v>128</v>
      </c>
      <c r="K478">
        <v>86</v>
      </c>
      <c r="L478">
        <v>109</v>
      </c>
      <c r="M478">
        <v>14.6</v>
      </c>
      <c r="N478">
        <v>1894</v>
      </c>
      <c r="O478">
        <v>0.85</v>
      </c>
      <c r="P478">
        <v>1618</v>
      </c>
      <c r="Q478">
        <v>178</v>
      </c>
      <c r="R478">
        <v>89</v>
      </c>
      <c r="S478">
        <v>59</v>
      </c>
      <c r="T478">
        <v>202</v>
      </c>
      <c r="U478">
        <v>7</v>
      </c>
      <c r="V478">
        <v>101</v>
      </c>
      <c r="W478">
        <v>0.113</v>
      </c>
      <c r="X478">
        <v>122</v>
      </c>
      <c r="Y478">
        <v>103</v>
      </c>
      <c r="Z478">
        <v>80</v>
      </c>
      <c r="AA478">
        <v>8</v>
      </c>
      <c r="AB478">
        <v>11</v>
      </c>
      <c r="AC478" t="s">
        <v>188</v>
      </c>
      <c r="AG478" t="s">
        <v>3533</v>
      </c>
      <c r="AH478" t="s">
        <v>1181</v>
      </c>
      <c r="AI478" s="245">
        <v>649</v>
      </c>
      <c r="AJ478" t="s">
        <v>3534</v>
      </c>
      <c r="AK478" t="s">
        <v>3535</v>
      </c>
      <c r="AL478" t="s">
        <v>1416</v>
      </c>
      <c r="AM478" s="245">
        <v>699</v>
      </c>
      <c r="AN478" t="s">
        <v>3536</v>
      </c>
      <c r="AO478" t="s">
        <v>3537</v>
      </c>
      <c r="AP478" t="s">
        <v>3538</v>
      </c>
      <c r="AQ478" s="245">
        <v>840</v>
      </c>
      <c r="AR478" t="s">
        <v>3539</v>
      </c>
      <c r="AS478" s="226" t="str">
        <f t="shared" si="14"/>
        <v>Brahma 88</v>
      </c>
      <c r="AT478" s="203" t="str">
        <f t="shared" si="15"/>
        <v xml:space="preserve"> BlizzardBrahma 88165 Unisex</v>
      </c>
    </row>
    <row r="479" spans="1:46" ht="145.19999999999999">
      <c r="A479" t="s">
        <v>155</v>
      </c>
      <c r="B479" t="s">
        <v>561</v>
      </c>
      <c r="C479" t="s">
        <v>631</v>
      </c>
      <c r="D479">
        <v>184</v>
      </c>
      <c r="E479" t="s">
        <v>158</v>
      </c>
      <c r="F479">
        <v>184</v>
      </c>
      <c r="G479">
        <v>181.8</v>
      </c>
      <c r="H479">
        <v>134</v>
      </c>
      <c r="I479">
        <v>147</v>
      </c>
      <c r="J479">
        <v>119</v>
      </c>
      <c r="K479">
        <v>97</v>
      </c>
      <c r="L479">
        <v>117</v>
      </c>
      <c r="M479">
        <v>22.9</v>
      </c>
      <c r="N479">
        <v>2079</v>
      </c>
      <c r="O479">
        <v>0.92</v>
      </c>
      <c r="P479">
        <v>1918</v>
      </c>
      <c r="Q479">
        <v>232</v>
      </c>
      <c r="R479">
        <v>80</v>
      </c>
      <c r="S479">
        <v>46</v>
      </c>
      <c r="T479">
        <v>240</v>
      </c>
      <c r="U479">
        <v>44</v>
      </c>
      <c r="V479">
        <v>240</v>
      </c>
      <c r="W479">
        <v>0.97599999999999998</v>
      </c>
      <c r="X479">
        <v>188</v>
      </c>
      <c r="Y479">
        <v>165</v>
      </c>
      <c r="Z479">
        <v>52</v>
      </c>
      <c r="AA479">
        <v>6</v>
      </c>
      <c r="AB479">
        <v>3.3</v>
      </c>
      <c r="AC479" t="s">
        <v>184</v>
      </c>
      <c r="AG479" t="s">
        <v>3540</v>
      </c>
      <c r="AH479" t="s">
        <v>2997</v>
      </c>
      <c r="AI479" s="245">
        <v>599</v>
      </c>
      <c r="AJ479" t="s">
        <v>3541</v>
      </c>
      <c r="AK479" t="s">
        <v>2609</v>
      </c>
      <c r="AL479" t="s">
        <v>1232</v>
      </c>
      <c r="AM479" s="245">
        <v>319.95</v>
      </c>
      <c r="AN479" t="s">
        <v>3542</v>
      </c>
      <c r="AO479" t="s">
        <v>2609</v>
      </c>
      <c r="AP479" t="s">
        <v>1248</v>
      </c>
      <c r="AQ479" s="245">
        <v>319.95999999999998</v>
      </c>
      <c r="AR479" t="s">
        <v>3543</v>
      </c>
      <c r="AS479" s="226" t="str">
        <f t="shared" si="14"/>
        <v>The Allplay</v>
      </c>
      <c r="AT479" s="203" t="str">
        <f t="shared" si="15"/>
        <v xml:space="preserve"> J SkisThe Allplay184 Unisex</v>
      </c>
    </row>
    <row r="480" spans="1:46" ht="105.6">
      <c r="A480" t="s">
        <v>155</v>
      </c>
      <c r="B480" t="s">
        <v>332</v>
      </c>
      <c r="C480" t="s">
        <v>528</v>
      </c>
      <c r="D480">
        <v>172</v>
      </c>
      <c r="E480" t="s">
        <v>163</v>
      </c>
      <c r="F480">
        <v>172</v>
      </c>
      <c r="G480">
        <v>171.2</v>
      </c>
      <c r="H480">
        <v>123</v>
      </c>
      <c r="I480">
        <v>142</v>
      </c>
      <c r="J480">
        <v>127</v>
      </c>
      <c r="K480">
        <v>92</v>
      </c>
      <c r="L480">
        <v>113</v>
      </c>
      <c r="M480">
        <v>15.9</v>
      </c>
      <c r="N480">
        <v>2016</v>
      </c>
      <c r="O480">
        <v>0.88</v>
      </c>
      <c r="P480">
        <v>1775</v>
      </c>
      <c r="Q480">
        <v>250</v>
      </c>
      <c r="R480">
        <v>118</v>
      </c>
      <c r="S480">
        <v>61</v>
      </c>
      <c r="T480">
        <v>287</v>
      </c>
      <c r="U480">
        <v>16</v>
      </c>
      <c r="V480">
        <v>197</v>
      </c>
      <c r="W480">
        <v>0.25600000000000001</v>
      </c>
      <c r="X480">
        <v>137</v>
      </c>
      <c r="Y480">
        <v>155</v>
      </c>
      <c r="Z480">
        <v>150</v>
      </c>
      <c r="AA480">
        <v>5</v>
      </c>
      <c r="AB480">
        <v>8.5</v>
      </c>
      <c r="AC480" t="s">
        <v>188</v>
      </c>
      <c r="AG480" t="s">
        <v>3010</v>
      </c>
      <c r="AH480" t="s">
        <v>1289</v>
      </c>
      <c r="AI480" s="245">
        <v>209.95</v>
      </c>
      <c r="AJ480" t="s">
        <v>3544</v>
      </c>
      <c r="AK480" t="s">
        <v>3545</v>
      </c>
      <c r="AL480" t="s">
        <v>1349</v>
      </c>
      <c r="AM480" s="245">
        <v>458.32</v>
      </c>
      <c r="AN480" t="s">
        <v>3546</v>
      </c>
      <c r="AO480" t="s">
        <v>3547</v>
      </c>
      <c r="AP480" t="s">
        <v>1181</v>
      </c>
      <c r="AQ480" s="245">
        <v>519.99</v>
      </c>
      <c r="AR480" t="s">
        <v>3548</v>
      </c>
      <c r="AS480" s="226" t="str">
        <f t="shared" si="14"/>
        <v>Santa Ana 93</v>
      </c>
      <c r="AT480" s="203" t="str">
        <f t="shared" si="15"/>
        <v xml:space="preserve"> NordicaSanta Ana 93172 Women's</v>
      </c>
    </row>
    <row r="481" spans="1:46" ht="92.4">
      <c r="A481" t="s">
        <v>155</v>
      </c>
      <c r="B481" t="s">
        <v>317</v>
      </c>
      <c r="C481" t="s">
        <v>618</v>
      </c>
      <c r="D481">
        <v>159</v>
      </c>
      <c r="E481" t="s">
        <v>163</v>
      </c>
      <c r="F481">
        <v>159</v>
      </c>
      <c r="G481">
        <v>157</v>
      </c>
      <c r="H481">
        <v>103</v>
      </c>
      <c r="I481">
        <v>135</v>
      </c>
      <c r="J481">
        <v>120</v>
      </c>
      <c r="K481">
        <v>82</v>
      </c>
      <c r="L481">
        <v>103</v>
      </c>
      <c r="M481">
        <v>14.3</v>
      </c>
      <c r="N481">
        <v>1551</v>
      </c>
      <c r="O481">
        <v>0.95</v>
      </c>
      <c r="P481">
        <v>1472</v>
      </c>
      <c r="Q481">
        <v>189</v>
      </c>
      <c r="R481">
        <v>91</v>
      </c>
      <c r="S481">
        <v>59</v>
      </c>
      <c r="T481">
        <v>301</v>
      </c>
      <c r="U481">
        <v>9</v>
      </c>
      <c r="V481">
        <v>240</v>
      </c>
      <c r="W481">
        <v>0.158</v>
      </c>
      <c r="X481">
        <v>114</v>
      </c>
      <c r="Y481">
        <v>102</v>
      </c>
      <c r="Z481">
        <v>187</v>
      </c>
      <c r="AA481">
        <v>2</v>
      </c>
      <c r="AB481">
        <v>10.5</v>
      </c>
      <c r="AC481" t="s">
        <v>231</v>
      </c>
      <c r="AD481" t="s">
        <v>188</v>
      </c>
      <c r="AG481" t="s">
        <v>3549</v>
      </c>
      <c r="AH481" t="s">
        <v>1271</v>
      </c>
      <c r="AI481" s="245">
        <v>489.93</v>
      </c>
      <c r="AJ481" t="s">
        <v>3550</v>
      </c>
      <c r="AK481" t="s">
        <v>3551</v>
      </c>
      <c r="AL481" t="s">
        <v>1416</v>
      </c>
      <c r="AM481" s="245">
        <v>596</v>
      </c>
      <c r="AN481" t="s">
        <v>3552</v>
      </c>
      <c r="AO481" t="s">
        <v>3553</v>
      </c>
      <c r="AP481" t="s">
        <v>1240</v>
      </c>
      <c r="AQ481" s="245">
        <v>599</v>
      </c>
      <c r="AR481" t="s">
        <v>3554</v>
      </c>
      <c r="AS481" s="226" t="str">
        <f t="shared" si="14"/>
        <v>Black Pearl 82</v>
      </c>
      <c r="AT481" s="203" t="str">
        <f t="shared" si="15"/>
        <v xml:space="preserve"> BlizzardBlack Pearl 82159 Women's</v>
      </c>
    </row>
    <row r="482" spans="1:46" ht="132">
      <c r="A482" t="s">
        <v>155</v>
      </c>
      <c r="B482" t="s">
        <v>1395</v>
      </c>
      <c r="C482" t="s">
        <v>426</v>
      </c>
      <c r="D482">
        <v>163</v>
      </c>
      <c r="E482" t="s">
        <v>163</v>
      </c>
      <c r="F482">
        <v>163</v>
      </c>
      <c r="G482">
        <v>163.5</v>
      </c>
      <c r="H482">
        <v>104</v>
      </c>
      <c r="I482">
        <v>140</v>
      </c>
      <c r="J482">
        <v>139</v>
      </c>
      <c r="K482">
        <v>101</v>
      </c>
      <c r="L482">
        <v>123</v>
      </c>
      <c r="M482">
        <v>15.8</v>
      </c>
      <c r="N482">
        <v>1941</v>
      </c>
      <c r="O482">
        <v>0.95</v>
      </c>
      <c r="P482">
        <v>1848</v>
      </c>
      <c r="Q482">
        <v>216</v>
      </c>
      <c r="R482">
        <v>144</v>
      </c>
      <c r="S482">
        <v>50</v>
      </c>
      <c r="T482">
        <v>342</v>
      </c>
      <c r="U482">
        <v>21</v>
      </c>
      <c r="V482">
        <v>253</v>
      </c>
      <c r="W482">
        <v>0.41199999999999998</v>
      </c>
      <c r="X482">
        <v>131</v>
      </c>
      <c r="Y482">
        <v>101</v>
      </c>
      <c r="Z482">
        <v>211</v>
      </c>
      <c r="AA482">
        <v>3</v>
      </c>
      <c r="AB482">
        <v>11.4</v>
      </c>
      <c r="AC482" t="s">
        <v>188</v>
      </c>
      <c r="AD482" t="s">
        <v>169</v>
      </c>
      <c r="AG482" t="s">
        <v>3555</v>
      </c>
      <c r="AH482" t="s">
        <v>2294</v>
      </c>
      <c r="AI482" s="245">
        <v>360</v>
      </c>
      <c r="AJ482" t="s">
        <v>3556</v>
      </c>
      <c r="AK482" t="s">
        <v>2175</v>
      </c>
      <c r="AL482" t="s">
        <v>1224</v>
      </c>
      <c r="AM482" s="245">
        <v>399.97</v>
      </c>
      <c r="AN482" t="s">
        <v>3557</v>
      </c>
      <c r="AO482" t="s">
        <v>3558</v>
      </c>
      <c r="AP482" t="s">
        <v>1405</v>
      </c>
      <c r="AQ482" s="245">
        <v>564.95000000000005</v>
      </c>
      <c r="AR482" t="s">
        <v>3559</v>
      </c>
      <c r="AS482" s="226" t="str">
        <f t="shared" si="14"/>
        <v>Secret 102</v>
      </c>
      <c r="AT482" s="203" t="str">
        <f t="shared" si="15"/>
        <v xml:space="preserve"> Vï¿½lklSecret 102163 Women's</v>
      </c>
    </row>
    <row r="483" spans="1:46" ht="145.19999999999999">
      <c r="A483" t="s">
        <v>155</v>
      </c>
      <c r="B483" t="s">
        <v>1152</v>
      </c>
      <c r="C483" t="s">
        <v>632</v>
      </c>
      <c r="D483">
        <v>181</v>
      </c>
      <c r="E483" t="s">
        <v>158</v>
      </c>
      <c r="F483">
        <v>181</v>
      </c>
      <c r="G483">
        <v>179.9</v>
      </c>
      <c r="H483">
        <v>126</v>
      </c>
      <c r="I483">
        <v>149</v>
      </c>
      <c r="J483">
        <v>138</v>
      </c>
      <c r="K483">
        <v>106</v>
      </c>
      <c r="L483">
        <v>128</v>
      </c>
      <c r="M483">
        <v>19.899999999999999</v>
      </c>
      <c r="N483">
        <v>2090</v>
      </c>
      <c r="O483">
        <v>1</v>
      </c>
      <c r="P483">
        <v>2091</v>
      </c>
      <c r="Q483">
        <v>221</v>
      </c>
      <c r="R483">
        <v>113</v>
      </c>
      <c r="S483">
        <v>58</v>
      </c>
      <c r="T483">
        <v>316</v>
      </c>
      <c r="U483">
        <v>19</v>
      </c>
      <c r="V483">
        <v>221</v>
      </c>
      <c r="W483">
        <v>0.32200000000000001</v>
      </c>
      <c r="X483">
        <v>169</v>
      </c>
      <c r="Y483">
        <v>141</v>
      </c>
      <c r="Z483">
        <v>147</v>
      </c>
      <c r="AA483">
        <v>5</v>
      </c>
      <c r="AB483">
        <v>8.8000000000000007</v>
      </c>
      <c r="AC483" t="s">
        <v>178</v>
      </c>
      <c r="AG483" t="s">
        <v>3560</v>
      </c>
      <c r="AH483" t="s">
        <v>3561</v>
      </c>
      <c r="AI483" s="245">
        <v>699</v>
      </c>
      <c r="AJ483" t="s">
        <v>3562</v>
      </c>
      <c r="AK483" t="s">
        <v>3563</v>
      </c>
      <c r="AL483" t="s">
        <v>3564</v>
      </c>
      <c r="AM483" s="245">
        <v>749</v>
      </c>
      <c r="AN483" t="s">
        <v>3565</v>
      </c>
      <c r="AS483" s="226" t="str">
        <f t="shared" si="14"/>
        <v>MSP 107</v>
      </c>
      <c r="AT483" s="203" t="str">
        <f t="shared" si="15"/>
        <v>4FRNTMSP 107181 Unisex</v>
      </c>
    </row>
    <row r="484" spans="1:46" ht="92.4">
      <c r="A484" t="s">
        <v>155</v>
      </c>
      <c r="B484" t="s">
        <v>164</v>
      </c>
      <c r="C484" t="s">
        <v>627</v>
      </c>
      <c r="D484">
        <v>172</v>
      </c>
      <c r="E484" t="s">
        <v>158</v>
      </c>
      <c r="F484">
        <v>172</v>
      </c>
      <c r="G484">
        <v>171.3</v>
      </c>
      <c r="H484">
        <v>135</v>
      </c>
      <c r="I484">
        <v>152</v>
      </c>
      <c r="J484">
        <v>128</v>
      </c>
      <c r="K484">
        <v>85</v>
      </c>
      <c r="L484">
        <v>114</v>
      </c>
      <c r="M484">
        <v>15.5</v>
      </c>
      <c r="N484">
        <v>2093</v>
      </c>
      <c r="O484">
        <v>0.81</v>
      </c>
      <c r="P484">
        <v>1700</v>
      </c>
      <c r="Q484">
        <v>205</v>
      </c>
      <c r="R484">
        <v>97</v>
      </c>
      <c r="S484">
        <v>41</v>
      </c>
      <c r="T484">
        <v>224</v>
      </c>
      <c r="U484">
        <v>8</v>
      </c>
      <c r="V484">
        <v>135</v>
      </c>
      <c r="W484">
        <v>0.20399999999999999</v>
      </c>
      <c r="X484">
        <v>97</v>
      </c>
      <c r="Y484">
        <v>96</v>
      </c>
      <c r="Z484">
        <v>126</v>
      </c>
      <c r="AA484">
        <v>6</v>
      </c>
      <c r="AB484">
        <v>9.1999999999999993</v>
      </c>
      <c r="AC484" t="s">
        <v>188</v>
      </c>
      <c r="AG484" t="s">
        <v>1198</v>
      </c>
      <c r="AH484" t="s">
        <v>1211</v>
      </c>
      <c r="AI484" s="245">
        <v>480</v>
      </c>
      <c r="AJ484" t="s">
        <v>3566</v>
      </c>
      <c r="AK484" t="s">
        <v>3567</v>
      </c>
      <c r="AL484" t="s">
        <v>1365</v>
      </c>
      <c r="AM484" s="245">
        <v>499.99</v>
      </c>
      <c r="AN484" t="s">
        <v>3568</v>
      </c>
      <c r="AO484" t="s">
        <v>3569</v>
      </c>
      <c r="AP484" t="s">
        <v>1509</v>
      </c>
      <c r="AQ484" s="245">
        <v>513.49</v>
      </c>
      <c r="AR484" t="s">
        <v>3570</v>
      </c>
      <c r="AS484" s="226" t="str">
        <f t="shared" si="14"/>
        <v>Wingman 86 Ti</v>
      </c>
      <c r="AT484" s="203" t="str">
        <f t="shared" si="15"/>
        <v xml:space="preserve"> ElanWingman 86 Ti172 Unisex</v>
      </c>
    </row>
    <row r="485" spans="1:46" ht="158.4">
      <c r="A485" t="s">
        <v>155</v>
      </c>
      <c r="B485" t="s">
        <v>156</v>
      </c>
      <c r="C485" t="s">
        <v>532</v>
      </c>
      <c r="D485">
        <v>156</v>
      </c>
      <c r="E485" t="s">
        <v>158</v>
      </c>
      <c r="F485">
        <v>156</v>
      </c>
      <c r="G485">
        <v>153.4</v>
      </c>
      <c r="H485">
        <v>133</v>
      </c>
      <c r="I485">
        <v>140</v>
      </c>
      <c r="J485">
        <v>109</v>
      </c>
      <c r="K485">
        <v>70</v>
      </c>
      <c r="L485">
        <v>97</v>
      </c>
      <c r="M485">
        <v>13.8</v>
      </c>
      <c r="N485">
        <v>1573</v>
      </c>
      <c r="O485">
        <v>0.8</v>
      </c>
      <c r="P485">
        <v>1265</v>
      </c>
      <c r="Q485">
        <v>175</v>
      </c>
      <c r="R485">
        <v>83</v>
      </c>
      <c r="S485">
        <v>39</v>
      </c>
      <c r="T485">
        <v>146</v>
      </c>
      <c r="U485">
        <v>5</v>
      </c>
      <c r="V485">
        <v>62</v>
      </c>
      <c r="W485">
        <v>0.13100000000000001</v>
      </c>
      <c r="X485">
        <v>84</v>
      </c>
      <c r="Y485">
        <v>53</v>
      </c>
      <c r="Z485">
        <v>62</v>
      </c>
      <c r="AA485">
        <v>6</v>
      </c>
      <c r="AB485">
        <v>12.4</v>
      </c>
      <c r="AC485" t="s">
        <v>349</v>
      </c>
      <c r="AG485" t="s">
        <v>3571</v>
      </c>
      <c r="AH485" t="s">
        <v>1271</v>
      </c>
      <c r="AI485" s="245">
        <v>359.99</v>
      </c>
      <c r="AJ485" t="s">
        <v>3572</v>
      </c>
      <c r="AK485" t="s">
        <v>3573</v>
      </c>
      <c r="AL485" t="s">
        <v>3574</v>
      </c>
      <c r="AM485" s="245">
        <v>114.99</v>
      </c>
      <c r="AN485" t="s">
        <v>3575</v>
      </c>
      <c r="AS485" s="226" t="str">
        <f t="shared" si="14"/>
        <v>Redster S7</v>
      </c>
      <c r="AT485" s="203" t="str">
        <f t="shared" si="15"/>
        <v xml:space="preserve"> AtomicRedster S7156 Unisex</v>
      </c>
    </row>
    <row r="486" spans="1:46" ht="52.8">
      <c r="A486" t="s">
        <v>155</v>
      </c>
      <c r="B486" t="s">
        <v>202</v>
      </c>
      <c r="C486" t="s">
        <v>498</v>
      </c>
      <c r="D486">
        <v>178</v>
      </c>
      <c r="E486" t="s">
        <v>158</v>
      </c>
      <c r="F486">
        <v>178</v>
      </c>
      <c r="G486">
        <v>177.2</v>
      </c>
      <c r="H486">
        <v>131</v>
      </c>
      <c r="I486">
        <v>145</v>
      </c>
      <c r="J486">
        <v>126</v>
      </c>
      <c r="K486">
        <v>97</v>
      </c>
      <c r="L486">
        <v>116</v>
      </c>
      <c r="M486">
        <v>19.8</v>
      </c>
      <c r="N486">
        <v>1334</v>
      </c>
      <c r="O486">
        <v>1.42</v>
      </c>
      <c r="P486">
        <v>1897</v>
      </c>
      <c r="Q486">
        <v>243</v>
      </c>
      <c r="R486">
        <v>77</v>
      </c>
      <c r="S486">
        <v>59</v>
      </c>
      <c r="T486">
        <v>324</v>
      </c>
      <c r="U486">
        <v>11</v>
      </c>
      <c r="V486">
        <v>140</v>
      </c>
      <c r="W486">
        <v>0.18099999999999999</v>
      </c>
      <c r="X486">
        <v>196</v>
      </c>
      <c r="Y486">
        <v>126</v>
      </c>
      <c r="Z486">
        <v>128</v>
      </c>
      <c r="AA486">
        <v>7</v>
      </c>
      <c r="AB486">
        <v>12.2</v>
      </c>
      <c r="AC486" t="s">
        <v>185</v>
      </c>
      <c r="AD486" t="s">
        <v>198</v>
      </c>
      <c r="AG486" t="s">
        <v>2634</v>
      </c>
      <c r="AH486" t="s">
        <v>1349</v>
      </c>
      <c r="AI486" s="245">
        <v>546.34</v>
      </c>
      <c r="AJ486" t="s">
        <v>3576</v>
      </c>
      <c r="AK486" t="s">
        <v>2634</v>
      </c>
      <c r="AL486" t="s">
        <v>1224</v>
      </c>
      <c r="AM486" s="245">
        <v>639.96</v>
      </c>
      <c r="AN486" t="s">
        <v>3577</v>
      </c>
      <c r="AO486" t="s">
        <v>3578</v>
      </c>
      <c r="AP486" t="s">
        <v>1282</v>
      </c>
      <c r="AQ486" s="245">
        <v>639.96</v>
      </c>
      <c r="AR486" t="s">
        <v>3579</v>
      </c>
      <c r="AS486" s="226" t="str">
        <f t="shared" si="14"/>
        <v>M-Tour 99</v>
      </c>
      <c r="AT486" s="203" t="str">
        <f t="shared" si="15"/>
        <v xml:space="preserve"> DynastarM-Tour 99178 Unisex</v>
      </c>
    </row>
    <row r="487" spans="1:46" ht="105.6">
      <c r="A487" t="s">
        <v>155</v>
      </c>
      <c r="B487" t="s">
        <v>317</v>
      </c>
      <c r="C487" t="s">
        <v>456</v>
      </c>
      <c r="D487">
        <v>159</v>
      </c>
      <c r="E487" t="s">
        <v>163</v>
      </c>
      <c r="F487">
        <v>159</v>
      </c>
      <c r="G487">
        <v>157.69999999999999</v>
      </c>
      <c r="H487">
        <v>124</v>
      </c>
      <c r="I487">
        <v>134</v>
      </c>
      <c r="J487">
        <v>135</v>
      </c>
      <c r="K487">
        <v>96</v>
      </c>
      <c r="L487">
        <v>117</v>
      </c>
      <c r="M487">
        <v>14.4</v>
      </c>
      <c r="N487">
        <v>1753</v>
      </c>
      <c r="O487">
        <v>0.97</v>
      </c>
      <c r="P487">
        <v>1700</v>
      </c>
      <c r="Q487">
        <v>155</v>
      </c>
      <c r="R487">
        <v>83</v>
      </c>
      <c r="S487">
        <v>59</v>
      </c>
      <c r="T487">
        <v>230</v>
      </c>
      <c r="U487">
        <v>7</v>
      </c>
      <c r="V487">
        <v>112</v>
      </c>
      <c r="W487">
        <v>0.126</v>
      </c>
      <c r="X487">
        <v>130</v>
      </c>
      <c r="Y487">
        <v>109</v>
      </c>
      <c r="Z487">
        <v>99</v>
      </c>
      <c r="AA487">
        <v>5</v>
      </c>
      <c r="AB487">
        <v>11.3</v>
      </c>
      <c r="AC487" t="s">
        <v>188</v>
      </c>
      <c r="AG487" t="s">
        <v>2386</v>
      </c>
      <c r="AH487" t="s">
        <v>1194</v>
      </c>
      <c r="AI487" s="245">
        <v>387.23</v>
      </c>
      <c r="AJ487" t="s">
        <v>3580</v>
      </c>
      <c r="AK487" t="s">
        <v>3581</v>
      </c>
      <c r="AL487" t="s">
        <v>1511</v>
      </c>
      <c r="AM487" s="245">
        <v>599.99</v>
      </c>
      <c r="AN487" t="s">
        <v>3582</v>
      </c>
      <c r="AO487" t="s">
        <v>3583</v>
      </c>
      <c r="AP487" t="s">
        <v>1416</v>
      </c>
      <c r="AQ487" s="245">
        <v>699.95</v>
      </c>
      <c r="AR487" t="s">
        <v>3584</v>
      </c>
      <c r="AS487" s="226" t="str">
        <f t="shared" si="14"/>
        <v>Black Pearl 97</v>
      </c>
      <c r="AT487" s="203" t="str">
        <f t="shared" si="15"/>
        <v xml:space="preserve"> BlizzardBlack Pearl 97159 Women's</v>
      </c>
    </row>
    <row r="488" spans="1:46" ht="66">
      <c r="A488" t="s">
        <v>155</v>
      </c>
      <c r="B488" t="s">
        <v>237</v>
      </c>
      <c r="C488" t="s">
        <v>363</v>
      </c>
      <c r="D488">
        <v>168.2</v>
      </c>
      <c r="E488" t="s">
        <v>158</v>
      </c>
      <c r="F488">
        <v>168.2</v>
      </c>
      <c r="G488">
        <v>167.8</v>
      </c>
      <c r="H488">
        <v>112</v>
      </c>
      <c r="I488">
        <v>149</v>
      </c>
      <c r="J488">
        <v>128</v>
      </c>
      <c r="K488">
        <v>92</v>
      </c>
      <c r="L488">
        <v>111</v>
      </c>
      <c r="M488">
        <v>19.7</v>
      </c>
      <c r="N488">
        <v>1721</v>
      </c>
      <c r="O488">
        <v>1</v>
      </c>
      <c r="P488">
        <v>1713</v>
      </c>
      <c r="Q488">
        <v>167</v>
      </c>
      <c r="R488">
        <v>89</v>
      </c>
      <c r="S488">
        <v>46</v>
      </c>
      <c r="T488">
        <v>309</v>
      </c>
      <c r="U488">
        <v>13</v>
      </c>
      <c r="V488">
        <v>246</v>
      </c>
      <c r="W488">
        <v>0.28000000000000003</v>
      </c>
      <c r="X488">
        <v>100</v>
      </c>
      <c r="Y488">
        <v>89</v>
      </c>
      <c r="Z488">
        <v>209</v>
      </c>
      <c r="AA488">
        <v>4</v>
      </c>
      <c r="AB488">
        <v>7.9</v>
      </c>
      <c r="AC488" t="s">
        <v>188</v>
      </c>
      <c r="AG488" t="s">
        <v>1857</v>
      </c>
      <c r="AH488" t="s">
        <v>1688</v>
      </c>
      <c r="AI488" s="245">
        <v>445.09</v>
      </c>
      <c r="AJ488" t="s">
        <v>3585</v>
      </c>
      <c r="AK488" t="s">
        <v>1857</v>
      </c>
      <c r="AL488" t="s">
        <v>1271</v>
      </c>
      <c r="AM488" s="245">
        <v>671.93</v>
      </c>
      <c r="AN488" t="s">
        <v>3586</v>
      </c>
      <c r="AO488" t="s">
        <v>1857</v>
      </c>
      <c r="AP488" t="s">
        <v>1181</v>
      </c>
      <c r="AQ488" s="245">
        <v>671.96</v>
      </c>
      <c r="AR488" t="s">
        <v>3587</v>
      </c>
      <c r="AS488" s="226" t="str">
        <f t="shared" si="14"/>
        <v>Serpo</v>
      </c>
      <c r="AT488" s="203" t="str">
        <f t="shared" si="15"/>
        <v xml:space="preserve"> Black CrowsSerpo168.2 Unisex</v>
      </c>
    </row>
    <row r="489" spans="1:46" ht="105.6">
      <c r="A489" t="s">
        <v>155</v>
      </c>
      <c r="B489" t="s">
        <v>172</v>
      </c>
      <c r="C489" t="s">
        <v>621</v>
      </c>
      <c r="D489">
        <v>167</v>
      </c>
      <c r="E489" t="s">
        <v>158</v>
      </c>
      <c r="F489">
        <v>167</v>
      </c>
      <c r="G489">
        <v>167.5</v>
      </c>
      <c r="H489">
        <v>147</v>
      </c>
      <c r="I489">
        <v>154</v>
      </c>
      <c r="J489">
        <v>122</v>
      </c>
      <c r="K489">
        <v>73</v>
      </c>
      <c r="L489">
        <v>108</v>
      </c>
      <c r="M489">
        <v>13.9</v>
      </c>
      <c r="N489">
        <v>1803</v>
      </c>
      <c r="O489">
        <v>0.83</v>
      </c>
      <c r="P489">
        <v>1491</v>
      </c>
      <c r="Q489">
        <v>209</v>
      </c>
      <c r="R489">
        <v>85</v>
      </c>
      <c r="S489">
        <v>39</v>
      </c>
      <c r="T489">
        <v>141</v>
      </c>
      <c r="U489">
        <v>4</v>
      </c>
      <c r="V489">
        <v>66</v>
      </c>
      <c r="W489">
        <v>0.111</v>
      </c>
      <c r="X489">
        <v>79</v>
      </c>
      <c r="Y489">
        <v>59</v>
      </c>
      <c r="Z489">
        <v>63</v>
      </c>
      <c r="AA489">
        <v>11</v>
      </c>
      <c r="AB489">
        <v>10.5</v>
      </c>
      <c r="AC489" t="s">
        <v>349</v>
      </c>
      <c r="AG489" t="s">
        <v>3588</v>
      </c>
      <c r="AH489" t="s">
        <v>2049</v>
      </c>
      <c r="AI489" s="245">
        <v>1099.95</v>
      </c>
      <c r="AJ489" t="s">
        <v>3589</v>
      </c>
      <c r="AK489" t="s">
        <v>3590</v>
      </c>
      <c r="AL489" t="s">
        <v>1277</v>
      </c>
      <c r="AM489" s="245">
        <v>575</v>
      </c>
      <c r="AN489" t="s">
        <v>3591</v>
      </c>
      <c r="AO489" t="s">
        <v>3489</v>
      </c>
      <c r="AP489" t="s">
        <v>1183</v>
      </c>
      <c r="AQ489" s="245">
        <v>629.99</v>
      </c>
      <c r="AR489" t="s">
        <v>3592</v>
      </c>
      <c r="AS489" s="226" t="str">
        <f t="shared" si="14"/>
        <v>Hero Elite Multi Turn Ca</v>
      </c>
      <c r="AT489" s="203" t="str">
        <f t="shared" si="15"/>
        <v xml:space="preserve"> RossignolHero Elite Multi Turn Ca167 Unisex</v>
      </c>
    </row>
    <row r="490" spans="1:46" ht="52.8">
      <c r="A490" t="s">
        <v>155</v>
      </c>
      <c r="B490" t="s">
        <v>208</v>
      </c>
      <c r="C490" t="s">
        <v>633</v>
      </c>
      <c r="D490">
        <v>169</v>
      </c>
      <c r="E490" t="s">
        <v>158</v>
      </c>
      <c r="F490">
        <v>169</v>
      </c>
      <c r="G490">
        <v>168.2</v>
      </c>
      <c r="H490">
        <v>133</v>
      </c>
      <c r="I490">
        <v>153</v>
      </c>
      <c r="J490">
        <v>153</v>
      </c>
      <c r="K490">
        <v>94</v>
      </c>
      <c r="L490">
        <v>123</v>
      </c>
      <c r="M490">
        <v>12.6</v>
      </c>
      <c r="N490">
        <v>1833</v>
      </c>
      <c r="O490">
        <v>1.03</v>
      </c>
      <c r="P490">
        <v>1892</v>
      </c>
      <c r="Q490">
        <v>155</v>
      </c>
      <c r="R490">
        <v>104</v>
      </c>
      <c r="S490">
        <v>43</v>
      </c>
      <c r="T490">
        <v>207</v>
      </c>
      <c r="U490">
        <v>26</v>
      </c>
      <c r="V490">
        <v>150</v>
      </c>
      <c r="W490">
        <v>0.61399999999999999</v>
      </c>
      <c r="X490">
        <v>130</v>
      </c>
      <c r="Y490">
        <v>23</v>
      </c>
      <c r="Z490">
        <v>76</v>
      </c>
      <c r="AA490">
        <v>9</v>
      </c>
      <c r="AB490">
        <v>5.6</v>
      </c>
      <c r="AC490" t="s">
        <v>188</v>
      </c>
      <c r="AG490" t="s">
        <v>3593</v>
      </c>
      <c r="AH490" t="s">
        <v>2307</v>
      </c>
      <c r="AI490" s="245">
        <v>749.95</v>
      </c>
      <c r="AJ490" t="s">
        <v>3594</v>
      </c>
      <c r="AK490" t="s">
        <v>3593</v>
      </c>
      <c r="AL490" t="s">
        <v>1950</v>
      </c>
      <c r="AM490" s="245">
        <v>749.95</v>
      </c>
      <c r="AN490" t="s">
        <v>3595</v>
      </c>
      <c r="AO490" t="s">
        <v>3593</v>
      </c>
      <c r="AP490" t="s">
        <v>3596</v>
      </c>
      <c r="AQ490" s="245">
        <v>900</v>
      </c>
      <c r="AR490" t="s">
        <v>3597</v>
      </c>
      <c r="AS490" s="226" t="str">
        <f t="shared" si="14"/>
        <v>Blade</v>
      </c>
      <c r="AT490" s="203" t="str">
        <f t="shared" si="15"/>
        <v xml:space="preserve"> LineBlade169 Unisex</v>
      </c>
    </row>
    <row r="491" spans="1:46" ht="105.6">
      <c r="A491" t="s">
        <v>155</v>
      </c>
      <c r="B491" t="s">
        <v>164</v>
      </c>
      <c r="C491" t="s">
        <v>635</v>
      </c>
      <c r="D491">
        <v>180</v>
      </c>
      <c r="E491" t="s">
        <v>158</v>
      </c>
      <c r="F491">
        <v>180</v>
      </c>
      <c r="G491">
        <v>177</v>
      </c>
      <c r="H491">
        <v>139</v>
      </c>
      <c r="I491">
        <v>144</v>
      </c>
      <c r="J491">
        <v>129</v>
      </c>
      <c r="K491">
        <v>87</v>
      </c>
      <c r="L491">
        <v>104</v>
      </c>
      <c r="M491">
        <v>17.100000000000001</v>
      </c>
      <c r="N491">
        <v>1569</v>
      </c>
      <c r="O491">
        <v>1.1299999999999999</v>
      </c>
      <c r="P491">
        <v>1777</v>
      </c>
      <c r="Q491">
        <v>193</v>
      </c>
      <c r="R491">
        <v>71</v>
      </c>
      <c r="S491">
        <v>50</v>
      </c>
      <c r="T491">
        <v>230</v>
      </c>
      <c r="U491">
        <v>14</v>
      </c>
      <c r="V491">
        <v>154</v>
      </c>
      <c r="W491">
        <v>0.28399999999999997</v>
      </c>
      <c r="X491">
        <v>161</v>
      </c>
      <c r="Y491">
        <v>174</v>
      </c>
      <c r="Z491">
        <v>69</v>
      </c>
      <c r="AA491">
        <v>5</v>
      </c>
      <c r="AB491">
        <v>9.1</v>
      </c>
      <c r="AC491" t="s">
        <v>188</v>
      </c>
      <c r="AD491" t="s">
        <v>185</v>
      </c>
      <c r="AG491" t="s">
        <v>3598</v>
      </c>
      <c r="AH491" t="s">
        <v>1592</v>
      </c>
      <c r="AI491" s="245">
        <v>512.16</v>
      </c>
      <c r="AJ491" t="s">
        <v>3599</v>
      </c>
      <c r="AK491" t="s">
        <v>3600</v>
      </c>
      <c r="AL491" t="s">
        <v>3196</v>
      </c>
      <c r="AM491" s="245">
        <v>599.99</v>
      </c>
      <c r="AN491" t="s">
        <v>3601</v>
      </c>
      <c r="AO491" t="s">
        <v>3602</v>
      </c>
      <c r="AP491" t="s">
        <v>1181</v>
      </c>
      <c r="AQ491" s="245">
        <v>624.99</v>
      </c>
      <c r="AR491" t="s">
        <v>3603</v>
      </c>
      <c r="AS491" s="226" t="str">
        <f t="shared" si="14"/>
        <v>Ripstick 88</v>
      </c>
      <c r="AT491" s="203" t="str">
        <f t="shared" si="15"/>
        <v xml:space="preserve"> ElanRipstick 88180 Unisex</v>
      </c>
    </row>
    <row r="492" spans="1:46" ht="92.4">
      <c r="A492" t="s">
        <v>155</v>
      </c>
      <c r="B492" t="s">
        <v>332</v>
      </c>
      <c r="C492" t="s">
        <v>563</v>
      </c>
      <c r="D492">
        <v>151</v>
      </c>
      <c r="E492" t="s">
        <v>163</v>
      </c>
      <c r="F492">
        <v>151</v>
      </c>
      <c r="G492">
        <v>150.6</v>
      </c>
      <c r="H492">
        <v>108</v>
      </c>
      <c r="I492">
        <v>126</v>
      </c>
      <c r="J492">
        <v>119</v>
      </c>
      <c r="K492">
        <v>87</v>
      </c>
      <c r="L492">
        <v>105</v>
      </c>
      <c r="M492">
        <v>13.5</v>
      </c>
      <c r="N492">
        <v>1585</v>
      </c>
      <c r="O492">
        <v>0.93</v>
      </c>
      <c r="P492">
        <v>1469</v>
      </c>
      <c r="Q492">
        <v>158</v>
      </c>
      <c r="R492">
        <v>85</v>
      </c>
      <c r="S492">
        <v>51</v>
      </c>
      <c r="T492">
        <v>245</v>
      </c>
      <c r="U492">
        <v>13</v>
      </c>
      <c r="V492">
        <v>178</v>
      </c>
      <c r="W492">
        <v>0.26</v>
      </c>
      <c r="X492">
        <v>122</v>
      </c>
      <c r="Y492">
        <v>125</v>
      </c>
      <c r="Z492">
        <v>123</v>
      </c>
      <c r="AA492">
        <v>6</v>
      </c>
      <c r="AB492">
        <v>7.9</v>
      </c>
      <c r="AC492" t="s">
        <v>188</v>
      </c>
      <c r="AG492" t="s">
        <v>3604</v>
      </c>
      <c r="AH492" t="s">
        <v>1688</v>
      </c>
      <c r="AI492" s="245">
        <v>363.76</v>
      </c>
      <c r="AJ492" t="s">
        <v>3605</v>
      </c>
      <c r="AK492" t="s">
        <v>3606</v>
      </c>
      <c r="AL492" t="s">
        <v>1365</v>
      </c>
      <c r="AM492" s="245">
        <v>599.99</v>
      </c>
      <c r="AN492" t="s">
        <v>3607</v>
      </c>
      <c r="AO492" t="s">
        <v>3608</v>
      </c>
      <c r="AP492" t="s">
        <v>1271</v>
      </c>
      <c r="AQ492" s="245">
        <v>599.99</v>
      </c>
      <c r="AR492" t="s">
        <v>3609</v>
      </c>
      <c r="AS492" s="226" t="str">
        <f t="shared" si="14"/>
        <v>Santa Ana 88</v>
      </c>
      <c r="AT492" s="203" t="str">
        <f t="shared" si="15"/>
        <v xml:space="preserve"> NordicaSanta Ana 88151 Women's</v>
      </c>
    </row>
    <row r="493" spans="1:46" ht="66">
      <c r="A493" t="s">
        <v>155</v>
      </c>
      <c r="B493" t="s">
        <v>1395</v>
      </c>
      <c r="C493" t="s">
        <v>470</v>
      </c>
      <c r="D493">
        <v>148</v>
      </c>
      <c r="E493" t="s">
        <v>158</v>
      </c>
      <c r="F493">
        <v>148</v>
      </c>
      <c r="G493">
        <v>148.19999999999999</v>
      </c>
      <c r="H493">
        <v>111</v>
      </c>
      <c r="I493">
        <v>133</v>
      </c>
      <c r="J493">
        <v>119</v>
      </c>
      <c r="K493">
        <v>85</v>
      </c>
      <c r="L493">
        <v>109</v>
      </c>
      <c r="M493">
        <v>14.9</v>
      </c>
      <c r="N493">
        <v>1462</v>
      </c>
      <c r="O493">
        <v>0.97</v>
      </c>
      <c r="P493">
        <v>1418</v>
      </c>
      <c r="Q493">
        <v>145</v>
      </c>
      <c r="R493">
        <v>72</v>
      </c>
      <c r="S493">
        <v>41</v>
      </c>
      <c r="T493">
        <v>188</v>
      </c>
      <c r="U493">
        <v>40</v>
      </c>
      <c r="V493">
        <v>184</v>
      </c>
      <c r="W493">
        <v>0.98699999999999999</v>
      </c>
      <c r="X493">
        <v>82</v>
      </c>
      <c r="Y493">
        <v>70</v>
      </c>
      <c r="Z493">
        <v>106</v>
      </c>
      <c r="AA493">
        <v>3</v>
      </c>
      <c r="AB493">
        <v>1.6</v>
      </c>
      <c r="AC493" t="s">
        <v>184</v>
      </c>
      <c r="AG493" t="s">
        <v>3610</v>
      </c>
      <c r="AH493" t="s">
        <v>1265</v>
      </c>
      <c r="AI493" s="245">
        <v>252.53</v>
      </c>
      <c r="AJ493" t="s">
        <v>3611</v>
      </c>
      <c r="AK493" t="s">
        <v>3612</v>
      </c>
      <c r="AL493" t="s">
        <v>2818</v>
      </c>
      <c r="AM493" s="245">
        <v>299</v>
      </c>
      <c r="AN493" t="s">
        <v>3613</v>
      </c>
      <c r="AO493" t="s">
        <v>3612</v>
      </c>
      <c r="AP493" t="s">
        <v>1305</v>
      </c>
      <c r="AQ493" s="245">
        <v>299</v>
      </c>
      <c r="AR493" t="s">
        <v>3614</v>
      </c>
      <c r="AS493" s="226" t="str">
        <f t="shared" si="14"/>
        <v>Bash 86</v>
      </c>
      <c r="AT493" s="203" t="str">
        <f t="shared" si="15"/>
        <v xml:space="preserve"> Vï¿½lklBash 86148 Unisex</v>
      </c>
    </row>
    <row r="494" spans="1:46" ht="79.2">
      <c r="A494" t="s">
        <v>155</v>
      </c>
      <c r="B494" t="s">
        <v>208</v>
      </c>
      <c r="C494" t="s">
        <v>637</v>
      </c>
      <c r="D494">
        <v>178</v>
      </c>
      <c r="E494" t="s">
        <v>158</v>
      </c>
      <c r="F494">
        <v>178</v>
      </c>
      <c r="G494">
        <v>178.7</v>
      </c>
      <c r="H494">
        <v>143</v>
      </c>
      <c r="I494">
        <v>145</v>
      </c>
      <c r="J494">
        <v>128</v>
      </c>
      <c r="K494">
        <v>94</v>
      </c>
      <c r="L494">
        <v>119</v>
      </c>
      <c r="M494">
        <v>16.899999999999999</v>
      </c>
      <c r="N494">
        <v>1852</v>
      </c>
      <c r="O494">
        <v>1.02</v>
      </c>
      <c r="P494">
        <v>1884</v>
      </c>
      <c r="Q494">
        <v>156</v>
      </c>
      <c r="R494">
        <v>85</v>
      </c>
      <c r="S494">
        <v>38</v>
      </c>
      <c r="T494">
        <v>179</v>
      </c>
      <c r="U494">
        <v>37</v>
      </c>
      <c r="V494">
        <v>179</v>
      </c>
      <c r="W494">
        <v>0.98099999999999998</v>
      </c>
      <c r="X494">
        <v>167</v>
      </c>
      <c r="Y494">
        <v>170</v>
      </c>
      <c r="Z494">
        <v>12</v>
      </c>
      <c r="AA494">
        <v>10</v>
      </c>
      <c r="AB494">
        <v>4.8</v>
      </c>
      <c r="AC494" t="s">
        <v>184</v>
      </c>
      <c r="AG494" t="s">
        <v>3615</v>
      </c>
      <c r="AH494" t="s">
        <v>1277</v>
      </c>
      <c r="AI494" s="245">
        <v>449.95</v>
      </c>
      <c r="AJ494" t="s">
        <v>3616</v>
      </c>
      <c r="AK494" t="s">
        <v>3617</v>
      </c>
      <c r="AL494" t="s">
        <v>1271</v>
      </c>
      <c r="AM494" s="245">
        <v>469.99</v>
      </c>
      <c r="AN494" t="s">
        <v>3618</v>
      </c>
      <c r="AO494" t="s">
        <v>3619</v>
      </c>
      <c r="AP494" t="s">
        <v>1240</v>
      </c>
      <c r="AQ494" s="245">
        <v>499</v>
      </c>
      <c r="AR494" t="s">
        <v>3620</v>
      </c>
      <c r="AS494" s="226" t="str">
        <f t="shared" si="14"/>
        <v>Chronic</v>
      </c>
      <c r="AT494" s="203" t="str">
        <f t="shared" si="15"/>
        <v xml:space="preserve"> LineChronic178 Unisex</v>
      </c>
    </row>
    <row r="495" spans="1:46" ht="132">
      <c r="A495" t="s">
        <v>155</v>
      </c>
      <c r="B495" t="s">
        <v>317</v>
      </c>
      <c r="C495" t="s">
        <v>639</v>
      </c>
      <c r="D495">
        <v>160</v>
      </c>
      <c r="E495" t="s">
        <v>158</v>
      </c>
      <c r="F495">
        <v>160</v>
      </c>
      <c r="G495">
        <v>159.6</v>
      </c>
      <c r="H495">
        <v>141</v>
      </c>
      <c r="I495">
        <v>147</v>
      </c>
      <c r="J495">
        <v>125</v>
      </c>
      <c r="K495">
        <v>76</v>
      </c>
      <c r="L495">
        <v>105</v>
      </c>
      <c r="M495">
        <v>13.7</v>
      </c>
      <c r="N495">
        <v>1818</v>
      </c>
      <c r="O495">
        <v>0.8</v>
      </c>
      <c r="P495">
        <v>1448</v>
      </c>
      <c r="Q495">
        <v>192</v>
      </c>
      <c r="R495">
        <v>95</v>
      </c>
      <c r="S495">
        <v>37</v>
      </c>
      <c r="T495">
        <v>137</v>
      </c>
      <c r="U495">
        <v>6</v>
      </c>
      <c r="V495">
        <v>51</v>
      </c>
      <c r="W495">
        <v>0.16800000000000001</v>
      </c>
      <c r="X495">
        <v>76</v>
      </c>
      <c r="Y495">
        <v>52</v>
      </c>
      <c r="Z495">
        <v>61</v>
      </c>
      <c r="AA495">
        <v>7</v>
      </c>
      <c r="AB495">
        <v>12.1</v>
      </c>
      <c r="AC495" t="s">
        <v>349</v>
      </c>
      <c r="AG495" t="s">
        <v>3621</v>
      </c>
      <c r="AH495" t="s">
        <v>1294</v>
      </c>
      <c r="AI495" s="245">
        <v>319.93</v>
      </c>
      <c r="AJ495" t="s">
        <v>3622</v>
      </c>
      <c r="AK495" t="s">
        <v>3623</v>
      </c>
      <c r="AL495" t="s">
        <v>1706</v>
      </c>
      <c r="AM495" s="245">
        <v>399</v>
      </c>
      <c r="AN495" t="s">
        <v>3624</v>
      </c>
      <c r="AO495" t="s">
        <v>3625</v>
      </c>
      <c r="AP495" t="s">
        <v>1976</v>
      </c>
      <c r="AQ495" s="245">
        <v>399.95</v>
      </c>
      <c r="AR495" t="s">
        <v>3626</v>
      </c>
      <c r="AS495" s="226" t="str">
        <f t="shared" si="14"/>
        <v>Thunderbird Sport Ti</v>
      </c>
      <c r="AT495" s="203" t="str">
        <f t="shared" si="15"/>
        <v xml:space="preserve"> BlizzardThunderbird Sport Ti160 Unisex</v>
      </c>
    </row>
    <row r="496" spans="1:46" ht="52.8">
      <c r="A496" t="s">
        <v>155</v>
      </c>
      <c r="B496" t="s">
        <v>354</v>
      </c>
      <c r="C496" t="s">
        <v>500</v>
      </c>
      <c r="D496">
        <v>179</v>
      </c>
      <c r="E496" t="s">
        <v>158</v>
      </c>
      <c r="F496">
        <v>179</v>
      </c>
      <c r="G496">
        <v>179.6</v>
      </c>
      <c r="H496">
        <v>129</v>
      </c>
      <c r="I496">
        <v>141</v>
      </c>
      <c r="J496">
        <v>135</v>
      </c>
      <c r="K496">
        <v>103</v>
      </c>
      <c r="L496">
        <v>122</v>
      </c>
      <c r="M496">
        <v>18.100000000000001</v>
      </c>
      <c r="N496">
        <v>1929</v>
      </c>
      <c r="O496">
        <v>1.05</v>
      </c>
      <c r="P496">
        <v>2028</v>
      </c>
      <c r="Q496">
        <v>201</v>
      </c>
      <c r="R496">
        <v>80</v>
      </c>
      <c r="S496">
        <v>46</v>
      </c>
      <c r="T496">
        <v>293</v>
      </c>
      <c r="U496">
        <v>24</v>
      </c>
      <c r="V496">
        <v>212</v>
      </c>
      <c r="W496">
        <v>0.51900000000000002</v>
      </c>
      <c r="X496">
        <v>233</v>
      </c>
      <c r="Y496">
        <v>151</v>
      </c>
      <c r="Z496">
        <v>60</v>
      </c>
      <c r="AA496">
        <v>8</v>
      </c>
      <c r="AB496">
        <v>9.1999999999999993</v>
      </c>
      <c r="AC496" t="s">
        <v>188</v>
      </c>
      <c r="AD496" t="s">
        <v>169</v>
      </c>
      <c r="AE496" t="s">
        <v>185</v>
      </c>
      <c r="AG496" t="s">
        <v>2897</v>
      </c>
      <c r="AH496" t="s">
        <v>1271</v>
      </c>
      <c r="AI496" s="245">
        <v>583.96</v>
      </c>
      <c r="AJ496" t="s">
        <v>3627</v>
      </c>
      <c r="AK496" t="s">
        <v>2897</v>
      </c>
      <c r="AL496" t="s">
        <v>2211</v>
      </c>
      <c r="AM496" s="245">
        <v>583.96</v>
      </c>
      <c r="AN496" t="s">
        <v>3628</v>
      </c>
      <c r="AO496" t="s">
        <v>2897</v>
      </c>
      <c r="AP496" t="s">
        <v>2589</v>
      </c>
      <c r="AQ496" s="245">
        <v>629.95000000000005</v>
      </c>
      <c r="AR496" t="s">
        <v>3629</v>
      </c>
      <c r="AS496" s="226" t="str">
        <f t="shared" si="14"/>
        <v>Impulse 104</v>
      </c>
      <c r="AT496" s="203" t="str">
        <f t="shared" si="15"/>
        <v xml:space="preserve"> Black DiamondImpulse 104179 Unisex</v>
      </c>
    </row>
    <row r="497" spans="1:46" ht="79.2">
      <c r="A497" t="s">
        <v>155</v>
      </c>
      <c r="B497" t="s">
        <v>182</v>
      </c>
      <c r="C497" t="s">
        <v>235</v>
      </c>
      <c r="D497">
        <v>163</v>
      </c>
      <c r="E497" t="s">
        <v>163</v>
      </c>
      <c r="F497">
        <v>163</v>
      </c>
      <c r="G497">
        <v>160.9</v>
      </c>
      <c r="H497">
        <v>127</v>
      </c>
      <c r="I497">
        <v>137</v>
      </c>
      <c r="J497">
        <v>113</v>
      </c>
      <c r="K497">
        <v>85</v>
      </c>
      <c r="L497">
        <v>107</v>
      </c>
      <c r="M497">
        <v>17.3</v>
      </c>
      <c r="N497">
        <v>1552</v>
      </c>
      <c r="O497">
        <v>0.98</v>
      </c>
      <c r="P497">
        <v>1524</v>
      </c>
      <c r="Q497">
        <v>140</v>
      </c>
      <c r="R497">
        <v>83</v>
      </c>
      <c r="S497">
        <v>43</v>
      </c>
      <c r="T497">
        <v>178</v>
      </c>
      <c r="U497">
        <v>38</v>
      </c>
      <c r="V497">
        <v>160</v>
      </c>
      <c r="W497">
        <v>0.86599999999999999</v>
      </c>
      <c r="X497">
        <v>107</v>
      </c>
      <c r="Y497">
        <v>127</v>
      </c>
      <c r="Z497">
        <v>71</v>
      </c>
      <c r="AA497">
        <v>12</v>
      </c>
      <c r="AB497">
        <v>3.8</v>
      </c>
      <c r="AC497" t="s">
        <v>184</v>
      </c>
      <c r="AG497" t="s">
        <v>3445</v>
      </c>
      <c r="AH497" t="s">
        <v>1271</v>
      </c>
      <c r="AI497" s="245">
        <v>379.95</v>
      </c>
      <c r="AJ497" t="s">
        <v>3630</v>
      </c>
      <c r="AK497" t="s">
        <v>3445</v>
      </c>
      <c r="AL497" t="s">
        <v>1421</v>
      </c>
      <c r="AM497" s="245">
        <v>399.95</v>
      </c>
      <c r="AN497" t="s">
        <v>3631</v>
      </c>
      <c r="AO497" t="s">
        <v>3195</v>
      </c>
      <c r="AP497" t="s">
        <v>3196</v>
      </c>
      <c r="AQ497" s="245">
        <v>399.99</v>
      </c>
      <c r="AR497" t="s">
        <v>3632</v>
      </c>
      <c r="AS497" s="226" t="str">
        <f t="shared" si="14"/>
        <v>ARW 86</v>
      </c>
      <c r="AT497" s="203" t="str">
        <f t="shared" si="15"/>
        <v xml:space="preserve"> ArmadaARW 86163 Women's</v>
      </c>
    </row>
    <row r="498" spans="1:46" ht="132">
      <c r="A498" t="s">
        <v>155</v>
      </c>
      <c r="B498" t="s">
        <v>164</v>
      </c>
      <c r="C498" t="s">
        <v>641</v>
      </c>
      <c r="D498">
        <v>176</v>
      </c>
      <c r="E498" t="s">
        <v>158</v>
      </c>
      <c r="F498">
        <v>176</v>
      </c>
      <c r="G498">
        <v>174.8</v>
      </c>
      <c r="H498">
        <v>154</v>
      </c>
      <c r="I498">
        <v>161</v>
      </c>
      <c r="J498">
        <v>126</v>
      </c>
      <c r="K498">
        <v>75</v>
      </c>
      <c r="L498">
        <v>104</v>
      </c>
      <c r="M498">
        <v>16.2</v>
      </c>
      <c r="N498">
        <v>1827</v>
      </c>
      <c r="O498">
        <v>0.86</v>
      </c>
      <c r="P498">
        <v>1572</v>
      </c>
      <c r="Q498">
        <v>232</v>
      </c>
      <c r="R498">
        <v>93</v>
      </c>
      <c r="S498">
        <v>39</v>
      </c>
      <c r="T498">
        <v>140</v>
      </c>
      <c r="U498">
        <v>7</v>
      </c>
      <c r="V498">
        <v>68</v>
      </c>
      <c r="W498">
        <v>0.17599999999999999</v>
      </c>
      <c r="X498">
        <v>87</v>
      </c>
      <c r="Y498">
        <v>52</v>
      </c>
      <c r="Z498">
        <v>53</v>
      </c>
      <c r="AA498">
        <v>9</v>
      </c>
      <c r="AB498">
        <v>10.5</v>
      </c>
      <c r="AC498" t="s">
        <v>349</v>
      </c>
      <c r="AG498" t="s">
        <v>3633</v>
      </c>
      <c r="AH498" t="s">
        <v>1337</v>
      </c>
      <c r="AI498" s="245">
        <v>279.99</v>
      </c>
      <c r="AJ498" t="s">
        <v>3634</v>
      </c>
      <c r="AK498" t="s">
        <v>3635</v>
      </c>
      <c r="AL498" t="s">
        <v>1191</v>
      </c>
      <c r="AM498" s="245">
        <v>329.95</v>
      </c>
      <c r="AN498" t="s">
        <v>3636</v>
      </c>
      <c r="AO498" t="s">
        <v>3637</v>
      </c>
      <c r="AP498" t="s">
        <v>1194</v>
      </c>
      <c r="AQ498" s="245">
        <v>414</v>
      </c>
      <c r="AR498" t="s">
        <v>3638</v>
      </c>
      <c r="AS498" s="226" t="str">
        <f t="shared" si="14"/>
        <v>Amphibio STI</v>
      </c>
      <c r="AT498" s="203" t="str">
        <f t="shared" si="15"/>
        <v xml:space="preserve"> ElanAmphibio STI176 Unisex</v>
      </c>
    </row>
    <row r="499" spans="1:46" ht="92.4">
      <c r="A499" t="s">
        <v>155</v>
      </c>
      <c r="B499" t="s">
        <v>237</v>
      </c>
      <c r="C499" t="s">
        <v>642</v>
      </c>
      <c r="D499">
        <v>168.1</v>
      </c>
      <c r="E499" t="s">
        <v>163</v>
      </c>
      <c r="F499">
        <v>168.1</v>
      </c>
      <c r="G499">
        <v>166.9</v>
      </c>
      <c r="H499">
        <v>121</v>
      </c>
      <c r="I499">
        <v>144</v>
      </c>
      <c r="J499">
        <v>130</v>
      </c>
      <c r="K499">
        <v>97</v>
      </c>
      <c r="L499">
        <v>119</v>
      </c>
      <c r="M499">
        <v>18.5</v>
      </c>
      <c r="N499">
        <v>1719</v>
      </c>
      <c r="O499">
        <v>1.05</v>
      </c>
      <c r="P499">
        <v>1798</v>
      </c>
      <c r="Q499">
        <v>172</v>
      </c>
      <c r="R499">
        <v>75</v>
      </c>
      <c r="S499">
        <v>49</v>
      </c>
      <c r="T499">
        <v>260</v>
      </c>
      <c r="U499">
        <v>35</v>
      </c>
      <c r="V499">
        <v>198</v>
      </c>
      <c r="W499">
        <v>0.70899999999999996</v>
      </c>
      <c r="X499">
        <v>122</v>
      </c>
      <c r="Y499">
        <v>109</v>
      </c>
      <c r="Z499">
        <v>139</v>
      </c>
      <c r="AA499">
        <v>6</v>
      </c>
      <c r="AB499">
        <v>6.6</v>
      </c>
      <c r="AC499" t="s">
        <v>188</v>
      </c>
      <c r="AG499" t="s">
        <v>3639</v>
      </c>
      <c r="AH499" t="s">
        <v>2425</v>
      </c>
      <c r="AI499" s="245">
        <v>569.95000000000005</v>
      </c>
      <c r="AJ499" t="s">
        <v>3640</v>
      </c>
      <c r="AK499" t="s">
        <v>3639</v>
      </c>
      <c r="AL499" t="s">
        <v>1271</v>
      </c>
      <c r="AM499" s="245">
        <v>575.92999999999995</v>
      </c>
      <c r="AN499" t="s">
        <v>3641</v>
      </c>
      <c r="AO499" t="s">
        <v>3639</v>
      </c>
      <c r="AP499" t="s">
        <v>1224</v>
      </c>
      <c r="AQ499" s="245">
        <v>575.96</v>
      </c>
      <c r="AR499" t="s">
        <v>3642</v>
      </c>
      <c r="AS499" s="226" t="str">
        <f t="shared" si="14"/>
        <v>Camox Birdie</v>
      </c>
      <c r="AT499" s="203" t="str">
        <f t="shared" si="15"/>
        <v xml:space="preserve"> Black CrowsCamox Birdie168.1 Women's</v>
      </c>
    </row>
    <row r="500" spans="1:46" ht="52.8">
      <c r="A500" t="s">
        <v>155</v>
      </c>
      <c r="B500" t="s">
        <v>215</v>
      </c>
      <c r="C500" t="s">
        <v>590</v>
      </c>
      <c r="D500">
        <v>187</v>
      </c>
      <c r="E500" t="s">
        <v>158</v>
      </c>
      <c r="F500">
        <v>187</v>
      </c>
      <c r="G500">
        <v>186.2</v>
      </c>
      <c r="H500">
        <v>108</v>
      </c>
      <c r="I500">
        <v>156</v>
      </c>
      <c r="J500">
        <v>137</v>
      </c>
      <c r="K500">
        <v>106</v>
      </c>
      <c r="L500">
        <v>127</v>
      </c>
      <c r="M500">
        <v>21.8</v>
      </c>
      <c r="N500">
        <v>2108</v>
      </c>
      <c r="O500">
        <v>1.02</v>
      </c>
      <c r="P500">
        <v>2140</v>
      </c>
      <c r="Q500">
        <v>217</v>
      </c>
      <c r="R500">
        <v>109</v>
      </c>
      <c r="S500">
        <v>56</v>
      </c>
      <c r="T500">
        <v>471</v>
      </c>
      <c r="U500">
        <v>40</v>
      </c>
      <c r="V500">
        <v>311</v>
      </c>
      <c r="W500">
        <v>0.72099999999999997</v>
      </c>
      <c r="X500">
        <v>142</v>
      </c>
      <c r="Y500">
        <v>161</v>
      </c>
      <c r="Z500">
        <v>328</v>
      </c>
      <c r="AA500">
        <v>4</v>
      </c>
      <c r="AB500">
        <v>8.1999999999999993</v>
      </c>
      <c r="AC500" t="s">
        <v>169</v>
      </c>
      <c r="AG500" t="s">
        <v>3643</v>
      </c>
      <c r="AH500" t="s">
        <v>1280</v>
      </c>
      <c r="AI500" s="245">
        <v>523.92999999999995</v>
      </c>
      <c r="AJ500" t="s">
        <v>3644</v>
      </c>
      <c r="AK500" t="s">
        <v>3643</v>
      </c>
      <c r="AL500" t="s">
        <v>1224</v>
      </c>
      <c r="AM500" s="245">
        <v>524.99</v>
      </c>
      <c r="AN500" t="s">
        <v>3645</v>
      </c>
      <c r="AO500" t="s">
        <v>3643</v>
      </c>
      <c r="AP500" t="s">
        <v>1566</v>
      </c>
      <c r="AQ500" s="245">
        <v>699.99</v>
      </c>
      <c r="AR500" t="s">
        <v>3646</v>
      </c>
      <c r="AS500" s="226" t="str">
        <f t="shared" si="14"/>
        <v>Origin 106</v>
      </c>
      <c r="AT500" s="203" t="str">
        <f t="shared" si="15"/>
        <v xml:space="preserve"> LibertyOrigin 106187 Unisex</v>
      </c>
    </row>
    <row r="501" spans="1:46" ht="145.19999999999999">
      <c r="A501" t="s">
        <v>155</v>
      </c>
      <c r="B501" t="s">
        <v>164</v>
      </c>
      <c r="C501" t="s">
        <v>419</v>
      </c>
      <c r="D501">
        <v>155</v>
      </c>
      <c r="E501" t="s">
        <v>163</v>
      </c>
      <c r="F501">
        <v>155</v>
      </c>
      <c r="G501">
        <v>153.6</v>
      </c>
      <c r="H501">
        <v>137</v>
      </c>
      <c r="I501">
        <v>143</v>
      </c>
      <c r="J501">
        <v>110</v>
      </c>
      <c r="K501">
        <v>66</v>
      </c>
      <c r="L501">
        <v>96</v>
      </c>
      <c r="M501">
        <v>13.5</v>
      </c>
      <c r="N501">
        <v>1676</v>
      </c>
      <c r="O501">
        <v>0.74</v>
      </c>
      <c r="P501">
        <v>1233</v>
      </c>
      <c r="Q501">
        <v>223</v>
      </c>
      <c r="R501">
        <v>107</v>
      </c>
      <c r="S501">
        <v>36</v>
      </c>
      <c r="T501">
        <v>126</v>
      </c>
      <c r="U501">
        <v>3</v>
      </c>
      <c r="V501">
        <v>40</v>
      </c>
      <c r="W501">
        <v>7.3999999999999996E-2</v>
      </c>
      <c r="X501">
        <v>64</v>
      </c>
      <c r="Y501">
        <v>40</v>
      </c>
      <c r="Z501">
        <v>62</v>
      </c>
      <c r="AA501">
        <v>8</v>
      </c>
      <c r="AB501">
        <v>10.4</v>
      </c>
      <c r="AC501" t="s">
        <v>349</v>
      </c>
      <c r="AG501" t="s">
        <v>3647</v>
      </c>
      <c r="AH501" t="s">
        <v>1191</v>
      </c>
      <c r="AI501" s="245">
        <v>404.95</v>
      </c>
      <c r="AJ501" t="s">
        <v>3648</v>
      </c>
      <c r="AK501" t="s">
        <v>3649</v>
      </c>
      <c r="AL501" t="s">
        <v>1843</v>
      </c>
      <c r="AM501" s="245">
        <v>299.99</v>
      </c>
      <c r="AN501" t="s">
        <v>3650</v>
      </c>
      <c r="AO501" t="s">
        <v>3649</v>
      </c>
      <c r="AP501" t="s">
        <v>1282</v>
      </c>
      <c r="AQ501" s="245">
        <v>369.99</v>
      </c>
      <c r="AR501" t="s">
        <v>3651</v>
      </c>
      <c r="AS501" s="226" t="str">
        <f t="shared" si="14"/>
        <v>Ace Speed Magic</v>
      </c>
      <c r="AT501" s="203" t="str">
        <f t="shared" si="15"/>
        <v xml:space="preserve"> ElanAce Speed Magic155 Women's</v>
      </c>
    </row>
    <row r="502" spans="1:46" ht="92.4">
      <c r="A502" t="s">
        <v>155</v>
      </c>
      <c r="B502" t="s">
        <v>1361</v>
      </c>
      <c r="C502" t="s">
        <v>504</v>
      </c>
      <c r="D502">
        <v>175</v>
      </c>
      <c r="E502" t="s">
        <v>158</v>
      </c>
      <c r="F502">
        <v>175</v>
      </c>
      <c r="G502">
        <v>174</v>
      </c>
      <c r="H502">
        <v>145</v>
      </c>
      <c r="I502">
        <v>151</v>
      </c>
      <c r="J502">
        <v>131</v>
      </c>
      <c r="K502">
        <v>95</v>
      </c>
      <c r="L502">
        <v>122</v>
      </c>
      <c r="M502">
        <v>16.8</v>
      </c>
      <c r="N502">
        <v>1793</v>
      </c>
      <c r="O502">
        <v>1.04</v>
      </c>
      <c r="P502">
        <v>1857</v>
      </c>
      <c r="Q502">
        <v>188</v>
      </c>
      <c r="R502">
        <v>110</v>
      </c>
      <c r="S502">
        <v>44</v>
      </c>
      <c r="T502">
        <v>204</v>
      </c>
      <c r="U502">
        <v>9</v>
      </c>
      <c r="V502">
        <v>87</v>
      </c>
      <c r="W502">
        <v>0.20899999999999999</v>
      </c>
      <c r="X502">
        <v>168</v>
      </c>
      <c r="Y502">
        <v>60</v>
      </c>
      <c r="Z502">
        <v>36</v>
      </c>
      <c r="AA502">
        <v>5</v>
      </c>
      <c r="AB502">
        <v>13.4</v>
      </c>
      <c r="AC502" t="s">
        <v>188</v>
      </c>
      <c r="AG502" t="s">
        <v>3652</v>
      </c>
      <c r="AH502" t="s">
        <v>1843</v>
      </c>
      <c r="AI502" s="245">
        <v>1149</v>
      </c>
      <c r="AJ502" t="s">
        <v>3653</v>
      </c>
      <c r="AK502" t="s">
        <v>3654</v>
      </c>
      <c r="AL502" t="s">
        <v>2837</v>
      </c>
      <c r="AM502" s="245">
        <v>1149</v>
      </c>
      <c r="AN502" t="s">
        <v>3655</v>
      </c>
      <c r="AO502" t="s">
        <v>3656</v>
      </c>
      <c r="AP502" t="s">
        <v>1365</v>
      </c>
      <c r="AQ502" s="245">
        <v>1479</v>
      </c>
      <c r="AR502" t="s">
        <v>3657</v>
      </c>
      <c r="AS502" s="226" t="str">
        <f t="shared" si="14"/>
        <v>Stormrider 95</v>
      </c>
      <c r="AT502" s="203" t="str">
        <f t="shared" si="15"/>
        <v xml:space="preserve"> Stï¿½ckliStormrider 95175 Unisex</v>
      </c>
    </row>
    <row r="503" spans="1:46" ht="66">
      <c r="A503" t="s">
        <v>155</v>
      </c>
      <c r="B503" t="s">
        <v>1160</v>
      </c>
      <c r="C503" t="s">
        <v>489</v>
      </c>
      <c r="D503">
        <v>184</v>
      </c>
      <c r="E503" t="s">
        <v>158</v>
      </c>
      <c r="F503">
        <v>184</v>
      </c>
      <c r="G503">
        <v>182.9</v>
      </c>
      <c r="H503">
        <v>110</v>
      </c>
      <c r="I503">
        <v>145</v>
      </c>
      <c r="J503">
        <v>124</v>
      </c>
      <c r="K503">
        <v>95</v>
      </c>
      <c r="L503">
        <v>117</v>
      </c>
      <c r="M503">
        <v>18.899999999999999</v>
      </c>
      <c r="N503">
        <v>2094</v>
      </c>
      <c r="O503">
        <v>0.92</v>
      </c>
      <c r="P503">
        <v>1922</v>
      </c>
      <c r="Q503">
        <v>212</v>
      </c>
      <c r="R503">
        <v>95</v>
      </c>
      <c r="S503">
        <v>42</v>
      </c>
      <c r="T503">
        <v>358</v>
      </c>
      <c r="U503">
        <v>39</v>
      </c>
      <c r="V503">
        <v>374</v>
      </c>
      <c r="W503">
        <v>0.92500000000000004</v>
      </c>
      <c r="X503">
        <v>186</v>
      </c>
      <c r="Y503">
        <v>190</v>
      </c>
      <c r="Z503">
        <v>172</v>
      </c>
      <c r="AA503">
        <v>6</v>
      </c>
      <c r="AB503">
        <v>5.9</v>
      </c>
      <c r="AC503" t="s">
        <v>184</v>
      </c>
      <c r="AG503" t="s">
        <v>3658</v>
      </c>
      <c r="AH503" t="s">
        <v>1218</v>
      </c>
      <c r="AI503" s="245">
        <v>499.95</v>
      </c>
      <c r="AJ503" t="s">
        <v>3659</v>
      </c>
      <c r="AK503" t="s">
        <v>3660</v>
      </c>
      <c r="AL503" t="s">
        <v>1282</v>
      </c>
      <c r="AM503" s="245">
        <v>499.95</v>
      </c>
      <c r="AN503" t="s">
        <v>3661</v>
      </c>
      <c r="AO503" t="s">
        <v>3660</v>
      </c>
      <c r="AP503" t="s">
        <v>1224</v>
      </c>
      <c r="AQ503" s="245">
        <v>499.95</v>
      </c>
      <c r="AR503" t="s">
        <v>3662</v>
      </c>
      <c r="AS503" s="226" t="str">
        <f t="shared" si="14"/>
        <v>Poacher</v>
      </c>
      <c r="AT503" s="203" t="str">
        <f t="shared" si="15"/>
        <v>K2Poacher184 Unisex</v>
      </c>
    </row>
    <row r="504" spans="1:46" ht="79.2">
      <c r="A504" t="s">
        <v>155</v>
      </c>
      <c r="B504" t="s">
        <v>1361</v>
      </c>
      <c r="C504" t="s">
        <v>644</v>
      </c>
      <c r="D504">
        <v>160</v>
      </c>
      <c r="E504" t="s">
        <v>163</v>
      </c>
      <c r="F504">
        <v>160</v>
      </c>
      <c r="G504">
        <v>159.4</v>
      </c>
      <c r="H504">
        <v>132</v>
      </c>
      <c r="I504">
        <v>140</v>
      </c>
      <c r="J504">
        <v>127</v>
      </c>
      <c r="K504">
        <v>88</v>
      </c>
      <c r="L504">
        <v>113</v>
      </c>
      <c r="M504">
        <v>14.9</v>
      </c>
      <c r="N504">
        <v>1532</v>
      </c>
      <c r="O504">
        <v>1.04</v>
      </c>
      <c r="P504">
        <v>1591</v>
      </c>
      <c r="Q504">
        <v>159</v>
      </c>
      <c r="R504">
        <v>81</v>
      </c>
      <c r="S504">
        <v>43</v>
      </c>
      <c r="T504">
        <v>197</v>
      </c>
      <c r="U504">
        <v>9</v>
      </c>
      <c r="V504">
        <v>80</v>
      </c>
      <c r="W504">
        <v>0.20199999999999901</v>
      </c>
      <c r="X504">
        <v>134</v>
      </c>
      <c r="Y504">
        <v>56</v>
      </c>
      <c r="Z504">
        <v>62</v>
      </c>
      <c r="AA504">
        <v>5</v>
      </c>
      <c r="AB504">
        <v>13.2</v>
      </c>
      <c r="AC504" t="s">
        <v>188</v>
      </c>
      <c r="AG504" t="s">
        <v>3663</v>
      </c>
      <c r="AH504" t="s">
        <v>1365</v>
      </c>
      <c r="AI504" s="245">
        <v>1099</v>
      </c>
      <c r="AJ504" t="s">
        <v>3664</v>
      </c>
      <c r="AK504" t="s">
        <v>3665</v>
      </c>
      <c r="AL504" t="s">
        <v>1843</v>
      </c>
      <c r="AM504" s="245">
        <v>999</v>
      </c>
      <c r="AN504" t="s">
        <v>3666</v>
      </c>
      <c r="AO504" t="s">
        <v>3665</v>
      </c>
      <c r="AP504" t="s">
        <v>3091</v>
      </c>
      <c r="AQ504" s="245">
        <v>999</v>
      </c>
      <c r="AR504" t="s">
        <v>3667</v>
      </c>
      <c r="AS504" s="226" t="str">
        <f t="shared" si="14"/>
        <v>Nela 88</v>
      </c>
      <c r="AT504" s="203" t="str">
        <f t="shared" si="15"/>
        <v xml:space="preserve"> Stï¿½ckliNela 88160 Women's</v>
      </c>
    </row>
    <row r="505" spans="1:46" ht="92.4">
      <c r="A505" t="s">
        <v>155</v>
      </c>
      <c r="B505" t="s">
        <v>215</v>
      </c>
      <c r="C505" t="s">
        <v>376</v>
      </c>
      <c r="D505">
        <v>165</v>
      </c>
      <c r="E505" t="s">
        <v>163</v>
      </c>
      <c r="F505">
        <v>165</v>
      </c>
      <c r="G505">
        <v>164.4</v>
      </c>
      <c r="H505">
        <v>104</v>
      </c>
      <c r="I505">
        <v>135</v>
      </c>
      <c r="J505">
        <v>134</v>
      </c>
      <c r="K505">
        <v>100</v>
      </c>
      <c r="L505">
        <v>121</v>
      </c>
      <c r="M505">
        <v>15</v>
      </c>
      <c r="N505">
        <v>1740</v>
      </c>
      <c r="O505">
        <v>1.05</v>
      </c>
      <c r="P505">
        <v>1822</v>
      </c>
      <c r="Q505">
        <v>166</v>
      </c>
      <c r="R505">
        <v>86</v>
      </c>
      <c r="S505">
        <v>53</v>
      </c>
      <c r="T505">
        <v>367</v>
      </c>
      <c r="U505">
        <v>27</v>
      </c>
      <c r="V505">
        <v>240</v>
      </c>
      <c r="W505">
        <v>0.51900000000000002</v>
      </c>
      <c r="X505">
        <v>140</v>
      </c>
      <c r="Y505">
        <v>155</v>
      </c>
      <c r="Z505">
        <v>228</v>
      </c>
      <c r="AA505">
        <v>4</v>
      </c>
      <c r="AB505">
        <v>7.5</v>
      </c>
      <c r="AC505" t="s">
        <v>188</v>
      </c>
      <c r="AD505" t="s">
        <v>169</v>
      </c>
      <c r="AG505" t="s">
        <v>3668</v>
      </c>
      <c r="AH505" t="s">
        <v>2130</v>
      </c>
      <c r="AI505" s="245">
        <v>479.99</v>
      </c>
      <c r="AJ505" t="s">
        <v>3669</v>
      </c>
      <c r="AK505" t="s">
        <v>3668</v>
      </c>
      <c r="AL505" t="s">
        <v>1450</v>
      </c>
      <c r="AM505" s="245">
        <v>479.99</v>
      </c>
      <c r="AN505" t="s">
        <v>3670</v>
      </c>
      <c r="AO505" t="s">
        <v>3671</v>
      </c>
      <c r="AP505" t="s">
        <v>1240</v>
      </c>
      <c r="AQ505" s="245">
        <v>599</v>
      </c>
      <c r="AR505" t="s">
        <v>3672</v>
      </c>
      <c r="AS505" s="226" t="str">
        <f t="shared" si="14"/>
        <v>Genesis 101</v>
      </c>
      <c r="AT505" s="203" t="str">
        <f t="shared" si="15"/>
        <v xml:space="preserve"> LibertyGenesis 101165 Women's</v>
      </c>
    </row>
    <row r="506" spans="1:46" ht="26.4">
      <c r="A506" t="s">
        <v>155</v>
      </c>
      <c r="B506" t="s">
        <v>156</v>
      </c>
      <c r="C506" t="s">
        <v>646</v>
      </c>
      <c r="D506">
        <v>174</v>
      </c>
      <c r="E506" t="s">
        <v>158</v>
      </c>
      <c r="F506">
        <v>174</v>
      </c>
      <c r="G506">
        <v>173.3</v>
      </c>
      <c r="H506">
        <v>146</v>
      </c>
      <c r="I506">
        <v>156</v>
      </c>
      <c r="J506">
        <v>122</v>
      </c>
      <c r="K506">
        <v>82</v>
      </c>
      <c r="L506">
        <v>108</v>
      </c>
      <c r="M506">
        <v>17.3</v>
      </c>
      <c r="N506">
        <v>1882</v>
      </c>
      <c r="O506">
        <v>0.87</v>
      </c>
      <c r="P506">
        <v>1639</v>
      </c>
      <c r="Q506">
        <v>244</v>
      </c>
      <c r="R506">
        <v>104</v>
      </c>
      <c r="S506">
        <v>41</v>
      </c>
      <c r="T506">
        <v>183</v>
      </c>
      <c r="U506">
        <v>5</v>
      </c>
      <c r="V506">
        <v>86</v>
      </c>
      <c r="W506">
        <v>0.12</v>
      </c>
      <c r="X506">
        <v>101</v>
      </c>
      <c r="Y506">
        <v>72</v>
      </c>
      <c r="Z506">
        <v>82</v>
      </c>
      <c r="AA506">
        <v>7</v>
      </c>
      <c r="AB506">
        <v>11.1</v>
      </c>
      <c r="AC506" t="s">
        <v>349</v>
      </c>
      <c r="AD506" t="s">
        <v>188</v>
      </c>
      <c r="AS506" s="226" t="str">
        <f t="shared" si="14"/>
        <v>Vantage 82 Ti</v>
      </c>
      <c r="AT506" s="203" t="str">
        <f t="shared" si="15"/>
        <v xml:space="preserve"> AtomicVantage 82 Ti174 Unisex</v>
      </c>
    </row>
    <row r="507" spans="1:46" ht="66">
      <c r="A507" t="s">
        <v>155</v>
      </c>
      <c r="B507" t="s">
        <v>156</v>
      </c>
      <c r="C507" t="s">
        <v>647</v>
      </c>
      <c r="D507">
        <v>161</v>
      </c>
      <c r="E507" t="s">
        <v>163</v>
      </c>
      <c r="F507">
        <v>161</v>
      </c>
      <c r="G507">
        <v>160.30000000000001</v>
      </c>
      <c r="H507">
        <v>112</v>
      </c>
      <c r="I507">
        <v>133</v>
      </c>
      <c r="J507">
        <v>122</v>
      </c>
      <c r="K507">
        <v>86</v>
      </c>
      <c r="L507">
        <v>104</v>
      </c>
      <c r="M507">
        <v>15.6</v>
      </c>
      <c r="N507">
        <v>1424</v>
      </c>
      <c r="O507">
        <v>1.0900000000000001</v>
      </c>
      <c r="P507">
        <v>1557</v>
      </c>
      <c r="Q507">
        <v>202</v>
      </c>
      <c r="R507">
        <v>85</v>
      </c>
      <c r="S507">
        <v>45</v>
      </c>
      <c r="T507">
        <v>280</v>
      </c>
      <c r="U507">
        <v>13</v>
      </c>
      <c r="V507">
        <v>208</v>
      </c>
      <c r="W507">
        <v>0.28799999999999998</v>
      </c>
      <c r="X507">
        <v>166</v>
      </c>
      <c r="Y507">
        <v>108</v>
      </c>
      <c r="Z507">
        <v>114</v>
      </c>
      <c r="AA507">
        <v>2</v>
      </c>
      <c r="AB507">
        <v>8.9</v>
      </c>
      <c r="AC507" t="s">
        <v>188</v>
      </c>
      <c r="AD507" t="s">
        <v>185</v>
      </c>
      <c r="AG507" t="s">
        <v>3673</v>
      </c>
      <c r="AH507" t="s">
        <v>1232</v>
      </c>
      <c r="AI507" s="245">
        <v>399.95</v>
      </c>
      <c r="AJ507" t="s">
        <v>3674</v>
      </c>
      <c r="AK507" t="s">
        <v>3673</v>
      </c>
      <c r="AL507" t="s">
        <v>1224</v>
      </c>
      <c r="AM507" s="245">
        <v>399.99</v>
      </c>
      <c r="AN507" t="s">
        <v>3675</v>
      </c>
      <c r="AO507" t="s">
        <v>3673</v>
      </c>
      <c r="AP507" t="s">
        <v>2130</v>
      </c>
      <c r="AQ507" s="245">
        <v>399.99</v>
      </c>
      <c r="AR507" t="s">
        <v>3676</v>
      </c>
      <c r="AS507" s="226" t="str">
        <f t="shared" si="14"/>
        <v>Maven 86 C</v>
      </c>
      <c r="AT507" s="203" t="str">
        <f t="shared" si="15"/>
        <v xml:space="preserve"> AtomicMaven 86 C161 Women's</v>
      </c>
    </row>
    <row r="508" spans="1:46" ht="145.19999999999999">
      <c r="A508" t="s">
        <v>155</v>
      </c>
      <c r="B508" t="s">
        <v>172</v>
      </c>
      <c r="C508" t="s">
        <v>345</v>
      </c>
      <c r="D508">
        <v>167</v>
      </c>
      <c r="E508" t="s">
        <v>158</v>
      </c>
      <c r="F508">
        <v>167</v>
      </c>
      <c r="G508">
        <v>166.4</v>
      </c>
      <c r="H508">
        <v>127</v>
      </c>
      <c r="I508">
        <v>152</v>
      </c>
      <c r="J508">
        <v>131</v>
      </c>
      <c r="K508">
        <v>83</v>
      </c>
      <c r="L508">
        <v>119</v>
      </c>
      <c r="M508">
        <v>13.4</v>
      </c>
      <c r="N508">
        <v>1799</v>
      </c>
      <c r="O508">
        <v>0.91</v>
      </c>
      <c r="P508">
        <v>1643</v>
      </c>
      <c r="Q508">
        <v>198</v>
      </c>
      <c r="R508">
        <v>80</v>
      </c>
      <c r="S508">
        <v>46</v>
      </c>
      <c r="T508">
        <v>261</v>
      </c>
      <c r="U508">
        <v>13</v>
      </c>
      <c r="V508">
        <v>129</v>
      </c>
      <c r="W508">
        <v>0.27800000000000002</v>
      </c>
      <c r="X508">
        <v>74</v>
      </c>
      <c r="Y508">
        <v>67</v>
      </c>
      <c r="Z508">
        <v>186</v>
      </c>
      <c r="AA508">
        <v>8</v>
      </c>
      <c r="AB508">
        <v>6.7</v>
      </c>
      <c r="AC508" t="s">
        <v>188</v>
      </c>
      <c r="AG508" t="s">
        <v>1794</v>
      </c>
      <c r="AH508" t="s">
        <v>1179</v>
      </c>
      <c r="AI508" s="245">
        <v>639.95000000000005</v>
      </c>
      <c r="AJ508" t="s">
        <v>3677</v>
      </c>
      <c r="AK508" t="s">
        <v>3678</v>
      </c>
      <c r="AL508" t="s">
        <v>3026</v>
      </c>
      <c r="AM508" s="245">
        <v>737.81</v>
      </c>
      <c r="AN508" t="s">
        <v>3679</v>
      </c>
      <c r="AO508" t="s">
        <v>3678</v>
      </c>
      <c r="AP508" t="s">
        <v>2049</v>
      </c>
      <c r="AQ508" s="245">
        <v>799.95</v>
      </c>
      <c r="AR508" t="s">
        <v>3680</v>
      </c>
      <c r="AS508" s="226" t="str">
        <f t="shared" si="14"/>
        <v>Experience 86 Basalt</v>
      </c>
      <c r="AT508" s="203" t="str">
        <f t="shared" si="15"/>
        <v xml:space="preserve"> RossignolExperience 86 Basalt167 Unisex</v>
      </c>
    </row>
    <row r="509" spans="1:46" ht="105.6">
      <c r="A509" t="s">
        <v>155</v>
      </c>
      <c r="B509" t="s">
        <v>245</v>
      </c>
      <c r="C509" t="s">
        <v>418</v>
      </c>
      <c r="D509">
        <v>178</v>
      </c>
      <c r="E509" t="s">
        <v>158</v>
      </c>
      <c r="F509">
        <v>178</v>
      </c>
      <c r="G509">
        <v>177.5</v>
      </c>
      <c r="H509">
        <v>125</v>
      </c>
      <c r="I509">
        <v>151</v>
      </c>
      <c r="J509">
        <v>125</v>
      </c>
      <c r="K509">
        <v>90</v>
      </c>
      <c r="L509">
        <v>116</v>
      </c>
      <c r="M509">
        <v>15.5</v>
      </c>
      <c r="N509">
        <v>1775</v>
      </c>
      <c r="O509">
        <v>1.04</v>
      </c>
      <c r="P509">
        <v>1839</v>
      </c>
      <c r="Q509">
        <v>228</v>
      </c>
      <c r="R509">
        <v>127</v>
      </c>
      <c r="S509">
        <v>48</v>
      </c>
      <c r="T509">
        <v>304</v>
      </c>
      <c r="U509">
        <v>15</v>
      </c>
      <c r="V509">
        <v>220</v>
      </c>
      <c r="W509">
        <v>0.317</v>
      </c>
      <c r="X509">
        <v>135</v>
      </c>
      <c r="Y509">
        <v>133</v>
      </c>
      <c r="Z509">
        <v>170</v>
      </c>
      <c r="AA509">
        <v>4</v>
      </c>
      <c r="AB509">
        <v>8.4</v>
      </c>
      <c r="AC509" t="s">
        <v>188</v>
      </c>
      <c r="AG509" t="s">
        <v>3006</v>
      </c>
      <c r="AH509" t="s">
        <v>1191</v>
      </c>
      <c r="AI509" s="245">
        <v>414.95</v>
      </c>
      <c r="AJ509" t="s">
        <v>3681</v>
      </c>
      <c r="AK509" t="s">
        <v>3008</v>
      </c>
      <c r="AL509" t="s">
        <v>1232</v>
      </c>
      <c r="AM509" s="245">
        <v>499.95</v>
      </c>
      <c r="AN509" t="s">
        <v>3682</v>
      </c>
      <c r="AO509" t="s">
        <v>3683</v>
      </c>
      <c r="AP509" t="s">
        <v>1601</v>
      </c>
      <c r="AQ509" s="245">
        <v>649.95000000000005</v>
      </c>
      <c r="AR509" t="s">
        <v>3684</v>
      </c>
      <c r="AS509" s="226" t="str">
        <f t="shared" si="14"/>
        <v>Ranger 92 Ti</v>
      </c>
      <c r="AT509" s="203" t="str">
        <f t="shared" si="15"/>
        <v xml:space="preserve"> FischerRanger 92 Ti178 Unisex</v>
      </c>
    </row>
    <row r="510" spans="1:46" ht="79.2">
      <c r="A510" t="s">
        <v>155</v>
      </c>
      <c r="B510" t="s">
        <v>295</v>
      </c>
      <c r="C510" t="s">
        <v>359</v>
      </c>
      <c r="D510">
        <v>178</v>
      </c>
      <c r="E510" t="s">
        <v>158</v>
      </c>
      <c r="F510">
        <v>178</v>
      </c>
      <c r="G510">
        <v>176.2</v>
      </c>
      <c r="H510">
        <v>128</v>
      </c>
      <c r="I510">
        <v>142</v>
      </c>
      <c r="J510">
        <v>132</v>
      </c>
      <c r="K510">
        <v>100</v>
      </c>
      <c r="L510">
        <v>117</v>
      </c>
      <c r="M510">
        <v>20.6</v>
      </c>
      <c r="N510">
        <v>1873</v>
      </c>
      <c r="O510">
        <v>1.03</v>
      </c>
      <c r="P510">
        <v>1937</v>
      </c>
      <c r="Q510">
        <v>262</v>
      </c>
      <c r="R510">
        <v>113</v>
      </c>
      <c r="S510">
        <v>58</v>
      </c>
      <c r="T510">
        <v>319</v>
      </c>
      <c r="U510">
        <v>24</v>
      </c>
      <c r="V510">
        <v>168</v>
      </c>
      <c r="W510">
        <v>0.41399999999999998</v>
      </c>
      <c r="X510">
        <v>240</v>
      </c>
      <c r="Y510">
        <v>101</v>
      </c>
      <c r="Z510">
        <v>79</v>
      </c>
      <c r="AA510">
        <v>6</v>
      </c>
      <c r="AB510">
        <v>8.8000000000000007</v>
      </c>
      <c r="AC510" t="s">
        <v>188</v>
      </c>
      <c r="AD510" t="s">
        <v>169</v>
      </c>
      <c r="AG510" t="s">
        <v>3685</v>
      </c>
      <c r="AH510" t="s">
        <v>1280</v>
      </c>
      <c r="AI510" s="245">
        <v>598.92999999999995</v>
      </c>
      <c r="AJ510" t="s">
        <v>3686</v>
      </c>
      <c r="AK510" t="s">
        <v>3687</v>
      </c>
      <c r="AL510" t="s">
        <v>1627</v>
      </c>
      <c r="AM510" s="245">
        <v>599</v>
      </c>
      <c r="AN510" t="s">
        <v>3688</v>
      </c>
      <c r="AO510" t="s">
        <v>3685</v>
      </c>
      <c r="AP510" t="s">
        <v>1224</v>
      </c>
      <c r="AQ510" s="245">
        <v>599.25</v>
      </c>
      <c r="AR510" t="s">
        <v>3689</v>
      </c>
      <c r="AS510" s="226" t="str">
        <f t="shared" si="14"/>
        <v>Natural 101</v>
      </c>
      <c r="AT510" s="203" t="str">
        <f t="shared" si="15"/>
        <v xml:space="preserve"> IcelanticNatural 101178 Unisex</v>
      </c>
    </row>
    <row r="511" spans="1:46" ht="52.8">
      <c r="A511" t="s">
        <v>155</v>
      </c>
      <c r="B511" t="s">
        <v>202</v>
      </c>
      <c r="C511" t="s">
        <v>340</v>
      </c>
      <c r="D511">
        <v>171</v>
      </c>
      <c r="E511" t="s">
        <v>158</v>
      </c>
      <c r="F511">
        <v>171</v>
      </c>
      <c r="G511">
        <v>170</v>
      </c>
      <c r="H511">
        <v>102</v>
      </c>
      <c r="I511">
        <v>136</v>
      </c>
      <c r="J511">
        <v>127</v>
      </c>
      <c r="K511">
        <v>96</v>
      </c>
      <c r="L511">
        <v>119</v>
      </c>
      <c r="M511">
        <v>14.8</v>
      </c>
      <c r="N511">
        <v>1768</v>
      </c>
      <c r="O511">
        <v>1.03</v>
      </c>
      <c r="P511">
        <v>1829</v>
      </c>
      <c r="Q511">
        <v>181</v>
      </c>
      <c r="R511">
        <v>91</v>
      </c>
      <c r="S511">
        <v>57</v>
      </c>
      <c r="T511">
        <v>342</v>
      </c>
      <c r="U511">
        <v>44</v>
      </c>
      <c r="V511">
        <v>339</v>
      </c>
      <c r="W511">
        <v>0.76400000000000001</v>
      </c>
      <c r="X511">
        <v>199</v>
      </c>
      <c r="Y511">
        <v>144</v>
      </c>
      <c r="Z511">
        <v>143</v>
      </c>
      <c r="AA511">
        <v>6</v>
      </c>
      <c r="AB511">
        <v>7.3</v>
      </c>
      <c r="AC511" t="s">
        <v>188</v>
      </c>
      <c r="AG511" t="s">
        <v>1774</v>
      </c>
      <c r="AH511" t="s">
        <v>1248</v>
      </c>
      <c r="AI511" s="245">
        <v>419.97</v>
      </c>
      <c r="AJ511" t="s">
        <v>3690</v>
      </c>
      <c r="AK511" t="s">
        <v>1774</v>
      </c>
      <c r="AL511" t="s">
        <v>1657</v>
      </c>
      <c r="AM511" s="245">
        <v>479.96</v>
      </c>
      <c r="AN511" t="s">
        <v>3691</v>
      </c>
      <c r="AO511" t="s">
        <v>1774</v>
      </c>
      <c r="AP511" t="s">
        <v>1282</v>
      </c>
      <c r="AQ511" s="245">
        <v>479.96</v>
      </c>
      <c r="AR511" t="s">
        <v>3692</v>
      </c>
      <c r="AS511" s="226" t="str">
        <f t="shared" si="14"/>
        <v>M-Free 99</v>
      </c>
      <c r="AT511" s="203" t="str">
        <f t="shared" si="15"/>
        <v xml:space="preserve"> DynastarM-Free 99171 Unisex</v>
      </c>
    </row>
    <row r="512" spans="1:46" ht="79.2">
      <c r="A512" t="s">
        <v>155</v>
      </c>
      <c r="B512" t="s">
        <v>172</v>
      </c>
      <c r="C512" t="s">
        <v>331</v>
      </c>
      <c r="D512">
        <v>182</v>
      </c>
      <c r="E512" t="s">
        <v>158</v>
      </c>
      <c r="F512">
        <v>182</v>
      </c>
      <c r="G512">
        <v>179.6</v>
      </c>
      <c r="H512">
        <v>132</v>
      </c>
      <c r="I512">
        <v>156</v>
      </c>
      <c r="J512">
        <v>129</v>
      </c>
      <c r="K512">
        <v>97</v>
      </c>
      <c r="L512">
        <v>120</v>
      </c>
      <c r="M512">
        <v>19.7</v>
      </c>
      <c r="N512">
        <v>2021</v>
      </c>
      <c r="O512">
        <v>0.96</v>
      </c>
      <c r="P512">
        <v>1938</v>
      </c>
      <c r="Q512">
        <v>238</v>
      </c>
      <c r="R512">
        <v>123</v>
      </c>
      <c r="S512">
        <v>52</v>
      </c>
      <c r="T512">
        <v>255</v>
      </c>
      <c r="U512">
        <v>35</v>
      </c>
      <c r="V512">
        <v>222</v>
      </c>
      <c r="W512">
        <v>0.66700000000000004</v>
      </c>
      <c r="X512">
        <v>137</v>
      </c>
      <c r="Y512">
        <v>99</v>
      </c>
      <c r="Z512">
        <v>118</v>
      </c>
      <c r="AA512">
        <v>9</v>
      </c>
      <c r="AB512">
        <v>4.4000000000000004</v>
      </c>
      <c r="AC512" t="s">
        <v>188</v>
      </c>
      <c r="AG512" t="s">
        <v>3693</v>
      </c>
      <c r="AH512" t="s">
        <v>1204</v>
      </c>
      <c r="AI512" s="245">
        <v>481.02</v>
      </c>
      <c r="AJ512" t="s">
        <v>3694</v>
      </c>
      <c r="AK512" t="s">
        <v>3111</v>
      </c>
      <c r="AL512" t="s">
        <v>1185</v>
      </c>
      <c r="AM512" s="245">
        <v>489.99</v>
      </c>
      <c r="AN512" t="s">
        <v>3695</v>
      </c>
      <c r="AO512" t="s">
        <v>3111</v>
      </c>
      <c r="AP512" t="s">
        <v>1271</v>
      </c>
      <c r="AQ512" s="245">
        <v>559.92999999999995</v>
      </c>
      <c r="AR512" t="s">
        <v>3696</v>
      </c>
      <c r="AS512" s="226" t="str">
        <f t="shared" si="14"/>
        <v>Blackops Holyshred</v>
      </c>
      <c r="AT512" s="203" t="str">
        <f t="shared" si="15"/>
        <v xml:space="preserve"> RossignolBlackops Holyshred182 Unisex</v>
      </c>
    </row>
    <row r="513" spans="1:46" ht="52.8">
      <c r="A513" t="s">
        <v>155</v>
      </c>
      <c r="B513" t="s">
        <v>174</v>
      </c>
      <c r="C513" t="s">
        <v>545</v>
      </c>
      <c r="D513">
        <v>154</v>
      </c>
      <c r="E513" t="s">
        <v>163</v>
      </c>
      <c r="F513">
        <v>154</v>
      </c>
      <c r="G513">
        <v>153.19999999999999</v>
      </c>
      <c r="H513">
        <v>116</v>
      </c>
      <c r="I513">
        <v>130</v>
      </c>
      <c r="J513">
        <v>117</v>
      </c>
      <c r="K513">
        <v>88</v>
      </c>
      <c r="L513">
        <v>100</v>
      </c>
      <c r="M513">
        <v>16.5</v>
      </c>
      <c r="N513">
        <v>1463</v>
      </c>
      <c r="O513">
        <v>1.02</v>
      </c>
      <c r="P513">
        <v>1488</v>
      </c>
      <c r="Q513">
        <v>134</v>
      </c>
      <c r="R513">
        <v>73</v>
      </c>
      <c r="S513">
        <v>55</v>
      </c>
      <c r="T513">
        <v>216</v>
      </c>
      <c r="U513">
        <v>11</v>
      </c>
      <c r="V513">
        <v>154</v>
      </c>
      <c r="W513">
        <v>0.20399999999999999</v>
      </c>
      <c r="X513">
        <v>150</v>
      </c>
      <c r="Y513">
        <v>83</v>
      </c>
      <c r="Z513">
        <v>66</v>
      </c>
      <c r="AA513">
        <v>6</v>
      </c>
      <c r="AB513">
        <v>7.9</v>
      </c>
      <c r="AC513" t="s">
        <v>188</v>
      </c>
      <c r="AG513" t="s">
        <v>3697</v>
      </c>
      <c r="AH513" t="s">
        <v>1204</v>
      </c>
      <c r="AI513" s="245">
        <v>561.20000000000005</v>
      </c>
      <c r="AJ513" t="s">
        <v>3698</v>
      </c>
      <c r="AK513" t="s">
        <v>3699</v>
      </c>
      <c r="AL513" t="s">
        <v>1179</v>
      </c>
      <c r="AM513" s="245">
        <v>407.95</v>
      </c>
      <c r="AN513" t="s">
        <v>3700</v>
      </c>
      <c r="AO513" t="s">
        <v>3699</v>
      </c>
      <c r="AP513" t="s">
        <v>1185</v>
      </c>
      <c r="AQ513" s="245">
        <v>419.99</v>
      </c>
      <c r="AR513" t="s">
        <v>3701</v>
      </c>
      <c r="AS513" s="226" t="str">
        <f t="shared" si="14"/>
        <v>Stance 88 W</v>
      </c>
      <c r="AT513" s="203" t="str">
        <f t="shared" si="15"/>
        <v xml:space="preserve"> SalomonStance 88 W154 Women's</v>
      </c>
    </row>
    <row r="514" spans="1:46" ht="52.8">
      <c r="A514" t="s">
        <v>155</v>
      </c>
      <c r="B514" t="s">
        <v>202</v>
      </c>
      <c r="C514" t="s">
        <v>649</v>
      </c>
      <c r="D514">
        <v>163</v>
      </c>
      <c r="E514" t="s">
        <v>163</v>
      </c>
      <c r="F514">
        <v>163</v>
      </c>
      <c r="G514">
        <v>163.9</v>
      </c>
      <c r="H514">
        <v>133</v>
      </c>
      <c r="I514">
        <v>133</v>
      </c>
      <c r="J514">
        <v>121</v>
      </c>
      <c r="K514">
        <v>82</v>
      </c>
      <c r="L514">
        <v>104</v>
      </c>
      <c r="M514">
        <v>13.8</v>
      </c>
      <c r="N514">
        <v>1543</v>
      </c>
      <c r="O514">
        <v>1</v>
      </c>
      <c r="P514">
        <v>1551</v>
      </c>
      <c r="Q514">
        <v>184</v>
      </c>
      <c r="R514">
        <v>74</v>
      </c>
      <c r="S514">
        <v>38</v>
      </c>
      <c r="T514">
        <v>248</v>
      </c>
      <c r="U514">
        <v>5</v>
      </c>
      <c r="V514">
        <v>64</v>
      </c>
      <c r="W514">
        <v>0.14099999999999999</v>
      </c>
      <c r="X514">
        <v>159</v>
      </c>
      <c r="Y514">
        <v>147</v>
      </c>
      <c r="Z514">
        <v>90</v>
      </c>
      <c r="AA514">
        <v>8</v>
      </c>
      <c r="AB514">
        <v>6.6</v>
      </c>
      <c r="AC514" t="s">
        <v>231</v>
      </c>
      <c r="AD514" t="s">
        <v>188</v>
      </c>
      <c r="AG514" t="s">
        <v>3702</v>
      </c>
      <c r="AH514" t="s">
        <v>1204</v>
      </c>
      <c r="AI514" s="245">
        <v>360.77</v>
      </c>
      <c r="AJ514" t="s">
        <v>3703</v>
      </c>
      <c r="AK514" t="s">
        <v>3704</v>
      </c>
      <c r="AL514" t="s">
        <v>1282</v>
      </c>
      <c r="AM514" s="245">
        <v>399.96</v>
      </c>
      <c r="AN514" t="s">
        <v>3705</v>
      </c>
      <c r="AO514" t="s">
        <v>3706</v>
      </c>
      <c r="AP514" t="s">
        <v>1320</v>
      </c>
      <c r="AQ514" s="245">
        <v>399.96</v>
      </c>
      <c r="AR514" t="s">
        <v>3707</v>
      </c>
      <c r="AS514" s="226" t="str">
        <f t="shared" ref="AS514:AS577" si="16">IF(LEFT(C514,1)=" ",RIGHT(C514,LEN(C514)-1),C514)</f>
        <v>M-Pro 84 W</v>
      </c>
      <c r="AT514" s="203" t="str">
        <f t="shared" ref="AT514:AT577" si="17">_xlfn.CONCAT(B514,AS514,D514,E514)</f>
        <v xml:space="preserve"> DynastarM-Pro 84 W163 Women's</v>
      </c>
    </row>
    <row r="515" spans="1:46" ht="118.8">
      <c r="A515" t="s">
        <v>155</v>
      </c>
      <c r="B515" t="s">
        <v>172</v>
      </c>
      <c r="C515" t="s">
        <v>599</v>
      </c>
      <c r="D515">
        <v>164</v>
      </c>
      <c r="E515" t="s">
        <v>158</v>
      </c>
      <c r="F515">
        <v>164</v>
      </c>
      <c r="G515">
        <v>162.6</v>
      </c>
      <c r="H515">
        <v>115</v>
      </c>
      <c r="I515">
        <v>137</v>
      </c>
      <c r="J515">
        <v>126</v>
      </c>
      <c r="K515">
        <v>91</v>
      </c>
      <c r="L515">
        <v>116</v>
      </c>
      <c r="M515">
        <v>13.8</v>
      </c>
      <c r="N515">
        <v>1555</v>
      </c>
      <c r="O515">
        <v>1.08</v>
      </c>
      <c r="P515">
        <v>1680</v>
      </c>
      <c r="Q515">
        <v>183</v>
      </c>
      <c r="R515">
        <v>80</v>
      </c>
      <c r="S515">
        <v>52</v>
      </c>
      <c r="T515">
        <v>307</v>
      </c>
      <c r="U515">
        <v>12</v>
      </c>
      <c r="V515">
        <v>170</v>
      </c>
      <c r="W515">
        <v>0.22500000000000001</v>
      </c>
      <c r="X515">
        <v>143</v>
      </c>
      <c r="Y515">
        <v>109</v>
      </c>
      <c r="Z515">
        <v>164</v>
      </c>
      <c r="AA515">
        <v>6</v>
      </c>
      <c r="AB515">
        <v>6.2</v>
      </c>
      <c r="AC515" t="s">
        <v>188</v>
      </c>
      <c r="AD515" t="s">
        <v>185</v>
      </c>
      <c r="AG515" t="s">
        <v>3708</v>
      </c>
      <c r="AH515" t="s">
        <v>1194</v>
      </c>
      <c r="AI515" s="245">
        <v>342.06</v>
      </c>
      <c r="AJ515" t="s">
        <v>3709</v>
      </c>
      <c r="AK515" t="s">
        <v>3710</v>
      </c>
      <c r="AL515" t="s">
        <v>1232</v>
      </c>
      <c r="AM515" s="245">
        <v>399.95</v>
      </c>
      <c r="AN515" t="s">
        <v>3711</v>
      </c>
      <c r="AO515" t="s">
        <v>3712</v>
      </c>
      <c r="AP515" t="s">
        <v>1204</v>
      </c>
      <c r="AQ515" s="245">
        <v>400.85</v>
      </c>
      <c r="AR515" t="s">
        <v>3713</v>
      </c>
      <c r="AS515" s="226" t="str">
        <f t="shared" si="16"/>
        <v>Blackops Escaper</v>
      </c>
      <c r="AT515" s="203" t="str">
        <f t="shared" si="17"/>
        <v xml:space="preserve"> RossignolBlackops Escaper164 Unisex</v>
      </c>
    </row>
    <row r="516" spans="1:46" ht="145.19999999999999">
      <c r="A516" t="s">
        <v>155</v>
      </c>
      <c r="B516" t="s">
        <v>172</v>
      </c>
      <c r="C516" t="s">
        <v>547</v>
      </c>
      <c r="D516">
        <v>151</v>
      </c>
      <c r="E516" t="s">
        <v>163</v>
      </c>
      <c r="F516">
        <v>151</v>
      </c>
      <c r="G516">
        <v>150.4</v>
      </c>
      <c r="H516">
        <v>111</v>
      </c>
      <c r="I516">
        <v>136</v>
      </c>
      <c r="J516">
        <v>125</v>
      </c>
      <c r="K516">
        <v>80</v>
      </c>
      <c r="L516">
        <v>113</v>
      </c>
      <c r="M516">
        <v>11.3</v>
      </c>
      <c r="N516">
        <v>1660</v>
      </c>
      <c r="O516">
        <v>0.86</v>
      </c>
      <c r="P516">
        <v>1425</v>
      </c>
      <c r="Q516">
        <v>162</v>
      </c>
      <c r="R516">
        <v>88</v>
      </c>
      <c r="S516">
        <v>47</v>
      </c>
      <c r="T516">
        <v>261</v>
      </c>
      <c r="U516">
        <v>14</v>
      </c>
      <c r="V516">
        <v>134</v>
      </c>
      <c r="W516">
        <v>0.29099999999999998</v>
      </c>
      <c r="X516">
        <v>78</v>
      </c>
      <c r="Y516">
        <v>63</v>
      </c>
      <c r="Z516">
        <v>183</v>
      </c>
      <c r="AA516">
        <v>8</v>
      </c>
      <c r="AB516">
        <v>6.6</v>
      </c>
      <c r="AC516" t="s">
        <v>160</v>
      </c>
      <c r="AG516" t="s">
        <v>2931</v>
      </c>
      <c r="AH516" t="s">
        <v>1421</v>
      </c>
      <c r="AI516" s="245">
        <v>559.96</v>
      </c>
      <c r="AJ516" t="s">
        <v>3714</v>
      </c>
      <c r="AK516" t="s">
        <v>3715</v>
      </c>
      <c r="AL516" t="s">
        <v>1218</v>
      </c>
      <c r="AM516" s="245">
        <v>719.95</v>
      </c>
      <c r="AN516" t="s">
        <v>3716</v>
      </c>
      <c r="AO516" t="s">
        <v>2933</v>
      </c>
      <c r="AP516" t="s">
        <v>2669</v>
      </c>
      <c r="AQ516" s="245">
        <v>719.96</v>
      </c>
      <c r="AR516" t="s">
        <v>3717</v>
      </c>
      <c r="AS516" s="226" t="str">
        <f t="shared" si="16"/>
        <v>Experience 82 Ti W</v>
      </c>
      <c r="AT516" s="203" t="str">
        <f t="shared" si="17"/>
        <v xml:space="preserve"> RossignolExperience 82 Ti W151 Women's</v>
      </c>
    </row>
    <row r="517" spans="1:46" ht="118.8">
      <c r="A517" t="s">
        <v>155</v>
      </c>
      <c r="B517" t="s">
        <v>174</v>
      </c>
      <c r="C517" t="s">
        <v>438</v>
      </c>
      <c r="D517">
        <v>181</v>
      </c>
      <c r="E517" t="s">
        <v>158</v>
      </c>
      <c r="F517">
        <v>181</v>
      </c>
      <c r="G517">
        <v>180.9</v>
      </c>
      <c r="H517">
        <v>114</v>
      </c>
      <c r="I517">
        <v>151</v>
      </c>
      <c r="J517">
        <v>138</v>
      </c>
      <c r="K517">
        <v>105</v>
      </c>
      <c r="L517">
        <v>124</v>
      </c>
      <c r="M517">
        <v>19.899999999999999</v>
      </c>
      <c r="N517">
        <v>2130</v>
      </c>
      <c r="O517">
        <v>0.98</v>
      </c>
      <c r="P517">
        <v>2088</v>
      </c>
      <c r="Q517">
        <v>231</v>
      </c>
      <c r="R517">
        <v>105</v>
      </c>
      <c r="S517">
        <v>56</v>
      </c>
      <c r="T517">
        <v>381</v>
      </c>
      <c r="U517">
        <v>20</v>
      </c>
      <c r="V517">
        <v>291</v>
      </c>
      <c r="W517">
        <v>0.34799999999999998</v>
      </c>
      <c r="X517">
        <v>179</v>
      </c>
      <c r="Y517">
        <v>115</v>
      </c>
      <c r="Z517">
        <v>201</v>
      </c>
      <c r="AA517">
        <v>8</v>
      </c>
      <c r="AB517">
        <v>8</v>
      </c>
      <c r="AC517" t="s">
        <v>188</v>
      </c>
      <c r="AD517" t="s">
        <v>178</v>
      </c>
      <c r="AG517" t="s">
        <v>3718</v>
      </c>
      <c r="AH517" t="s">
        <v>1232</v>
      </c>
      <c r="AI517" s="245">
        <v>429.95</v>
      </c>
      <c r="AJ517" t="s">
        <v>3719</v>
      </c>
      <c r="AK517" t="s">
        <v>3720</v>
      </c>
      <c r="AL517" t="s">
        <v>1277</v>
      </c>
      <c r="AM517" s="245">
        <v>495</v>
      </c>
      <c r="AN517" t="s">
        <v>3721</v>
      </c>
      <c r="AO517" t="s">
        <v>3019</v>
      </c>
      <c r="AP517" t="s">
        <v>1179</v>
      </c>
      <c r="AQ517" s="245">
        <v>537.95000000000005</v>
      </c>
      <c r="AR517" t="s">
        <v>3722</v>
      </c>
      <c r="AS517" s="226" t="str">
        <f t="shared" si="16"/>
        <v>QST 106</v>
      </c>
      <c r="AT517" s="203" t="str">
        <f t="shared" si="17"/>
        <v xml:space="preserve"> SalomonQST 106181 Unisex</v>
      </c>
    </row>
    <row r="518" spans="1:46" ht="184.8">
      <c r="A518" t="s">
        <v>155</v>
      </c>
      <c r="B518" t="s">
        <v>1395</v>
      </c>
      <c r="C518" t="s">
        <v>651</v>
      </c>
      <c r="D518">
        <v>150</v>
      </c>
      <c r="E518" t="s">
        <v>163</v>
      </c>
      <c r="F518">
        <v>150</v>
      </c>
      <c r="G518">
        <v>149.30000000000001</v>
      </c>
      <c r="H518">
        <v>128</v>
      </c>
      <c r="I518">
        <v>135</v>
      </c>
      <c r="J518">
        <v>122</v>
      </c>
      <c r="K518">
        <v>70</v>
      </c>
      <c r="L518">
        <v>103</v>
      </c>
      <c r="M518">
        <v>10.4</v>
      </c>
      <c r="N518">
        <v>1572</v>
      </c>
      <c r="O518">
        <v>0.82</v>
      </c>
      <c r="P518">
        <v>1282</v>
      </c>
      <c r="Q518">
        <v>199</v>
      </c>
      <c r="R518">
        <v>69</v>
      </c>
      <c r="S518">
        <v>41</v>
      </c>
      <c r="T518">
        <v>163</v>
      </c>
      <c r="U518">
        <v>6</v>
      </c>
      <c r="V518">
        <v>55</v>
      </c>
      <c r="W518">
        <v>0.14599999999999999</v>
      </c>
      <c r="X518">
        <v>70</v>
      </c>
      <c r="Y518">
        <v>75</v>
      </c>
      <c r="Z518">
        <v>93</v>
      </c>
      <c r="AA518">
        <v>4</v>
      </c>
      <c r="AB518">
        <v>12.4</v>
      </c>
      <c r="AC518" t="s">
        <v>349</v>
      </c>
      <c r="AG518" t="s">
        <v>3723</v>
      </c>
      <c r="AH518" t="s">
        <v>1179</v>
      </c>
      <c r="AI518" s="245">
        <v>759.99</v>
      </c>
      <c r="AJ518" t="s">
        <v>3724</v>
      </c>
      <c r="AK518" t="s">
        <v>3725</v>
      </c>
      <c r="AL518" t="s">
        <v>3574</v>
      </c>
      <c r="AM518" s="245">
        <v>139.99</v>
      </c>
      <c r="AN518" t="s">
        <v>3726</v>
      </c>
      <c r="AO518" t="s">
        <v>3727</v>
      </c>
      <c r="AP518" t="s">
        <v>1204</v>
      </c>
      <c r="AQ518" s="245">
        <v>240.51</v>
      </c>
      <c r="AR518" t="s">
        <v>3728</v>
      </c>
      <c r="AS518" s="226" t="str">
        <f t="shared" si="16"/>
        <v>Flair SC Carbon</v>
      </c>
      <c r="AT518" s="203" t="str">
        <f t="shared" si="17"/>
        <v xml:space="preserve"> Vï¿½lklFlair SC Carbon150 Women's</v>
      </c>
    </row>
    <row r="519" spans="1:46" ht="79.2">
      <c r="A519" t="s">
        <v>155</v>
      </c>
      <c r="B519" t="s">
        <v>172</v>
      </c>
      <c r="C519" t="s">
        <v>652</v>
      </c>
      <c r="D519">
        <v>180</v>
      </c>
      <c r="E519" t="s">
        <v>158</v>
      </c>
      <c r="F519">
        <v>180</v>
      </c>
      <c r="G519">
        <v>178.2</v>
      </c>
      <c r="H519">
        <v>136</v>
      </c>
      <c r="I519">
        <v>153</v>
      </c>
      <c r="J519">
        <v>137</v>
      </c>
      <c r="K519">
        <v>103</v>
      </c>
      <c r="L519">
        <v>127</v>
      </c>
      <c r="M519">
        <v>18.100000000000001</v>
      </c>
      <c r="N519">
        <v>2054</v>
      </c>
      <c r="O519">
        <v>0.99</v>
      </c>
      <c r="P519">
        <v>2039</v>
      </c>
      <c r="Q519">
        <v>227</v>
      </c>
      <c r="R519">
        <v>101</v>
      </c>
      <c r="S519">
        <v>49</v>
      </c>
      <c r="T519">
        <v>298</v>
      </c>
      <c r="U519">
        <v>10</v>
      </c>
      <c r="V519">
        <v>129</v>
      </c>
      <c r="W519">
        <v>0.20699999999999999</v>
      </c>
      <c r="X519">
        <v>144</v>
      </c>
      <c r="Y519">
        <v>110</v>
      </c>
      <c r="Z519">
        <v>154</v>
      </c>
      <c r="AA519">
        <v>7</v>
      </c>
      <c r="AB519">
        <v>7.1</v>
      </c>
      <c r="AC519" t="s">
        <v>188</v>
      </c>
      <c r="AD519" t="s">
        <v>178</v>
      </c>
      <c r="AG519" t="s">
        <v>3729</v>
      </c>
      <c r="AH519" t="s">
        <v>1179</v>
      </c>
      <c r="AI519" s="245">
        <v>436.95</v>
      </c>
      <c r="AJ519" t="s">
        <v>3730</v>
      </c>
      <c r="AK519" t="s">
        <v>3731</v>
      </c>
      <c r="AL519" t="s">
        <v>1204</v>
      </c>
      <c r="AM519" s="245">
        <v>545.16</v>
      </c>
      <c r="AN519" t="s">
        <v>3732</v>
      </c>
      <c r="AO519" t="s">
        <v>3733</v>
      </c>
      <c r="AP519" t="s">
        <v>1464</v>
      </c>
      <c r="AQ519" s="245">
        <v>631.9</v>
      </c>
      <c r="AR519" t="s">
        <v>3734</v>
      </c>
      <c r="AS519" s="226" t="str">
        <f t="shared" si="16"/>
        <v>Blackops Sender Ti</v>
      </c>
      <c r="AT519" s="203" t="str">
        <f t="shared" si="17"/>
        <v xml:space="preserve"> RossignolBlackops Sender Ti180 Unisex</v>
      </c>
    </row>
    <row r="520" spans="1:46" ht="105.6">
      <c r="A520" t="s">
        <v>155</v>
      </c>
      <c r="B520" t="s">
        <v>172</v>
      </c>
      <c r="C520" t="s">
        <v>653</v>
      </c>
      <c r="D520">
        <v>160</v>
      </c>
      <c r="E520" t="s">
        <v>158</v>
      </c>
      <c r="F520">
        <v>160</v>
      </c>
      <c r="G520">
        <v>159.69999999999999</v>
      </c>
      <c r="H520">
        <v>140</v>
      </c>
      <c r="I520">
        <v>144</v>
      </c>
      <c r="J520">
        <v>128</v>
      </c>
      <c r="K520">
        <v>76</v>
      </c>
      <c r="L520">
        <v>108</v>
      </c>
      <c r="M520">
        <v>12.1</v>
      </c>
      <c r="N520">
        <v>1969</v>
      </c>
      <c r="O520">
        <v>0.75</v>
      </c>
      <c r="P520">
        <v>1471</v>
      </c>
      <c r="Q520">
        <v>187</v>
      </c>
      <c r="R520">
        <v>91</v>
      </c>
      <c r="S520">
        <v>39</v>
      </c>
      <c r="T520">
        <v>137</v>
      </c>
      <c r="U520">
        <v>5</v>
      </c>
      <c r="V520">
        <v>65</v>
      </c>
      <c r="W520">
        <v>0.11899999999999999</v>
      </c>
      <c r="X520">
        <v>91</v>
      </c>
      <c r="Y520">
        <v>63</v>
      </c>
      <c r="Z520">
        <v>46</v>
      </c>
      <c r="AA520">
        <v>12</v>
      </c>
      <c r="AB520">
        <v>10</v>
      </c>
      <c r="AC520" t="s">
        <v>349</v>
      </c>
      <c r="AG520" t="s">
        <v>3735</v>
      </c>
      <c r="AH520" t="s">
        <v>1179</v>
      </c>
      <c r="AI520" s="245">
        <v>999.95</v>
      </c>
      <c r="AJ520" t="s">
        <v>3736</v>
      </c>
      <c r="AK520" t="s">
        <v>3737</v>
      </c>
      <c r="AL520" t="s">
        <v>1402</v>
      </c>
      <c r="AM520" s="245">
        <v>275</v>
      </c>
      <c r="AN520" t="s">
        <v>3738</v>
      </c>
      <c r="AO520" t="s">
        <v>3739</v>
      </c>
      <c r="AP520" t="s">
        <v>2049</v>
      </c>
      <c r="AQ520" s="245">
        <v>899.95</v>
      </c>
      <c r="AR520" t="s">
        <v>3740</v>
      </c>
      <c r="AS520" s="226" t="str">
        <f t="shared" si="16"/>
        <v>Hero Elite Plus Ti</v>
      </c>
      <c r="AT520" s="203" t="str">
        <f t="shared" si="17"/>
        <v xml:space="preserve"> RossignolHero Elite Plus Ti160 Unisex</v>
      </c>
    </row>
    <row r="521" spans="1:46" ht="79.2">
      <c r="A521" t="s">
        <v>155</v>
      </c>
      <c r="B521" t="s">
        <v>295</v>
      </c>
      <c r="C521" t="s">
        <v>654</v>
      </c>
      <c r="D521">
        <v>176</v>
      </c>
      <c r="E521" t="s">
        <v>158</v>
      </c>
      <c r="F521">
        <v>176</v>
      </c>
      <c r="G521">
        <v>173.6</v>
      </c>
      <c r="H521">
        <v>107</v>
      </c>
      <c r="I521">
        <v>149</v>
      </c>
      <c r="J521">
        <v>129</v>
      </c>
      <c r="K521">
        <v>93</v>
      </c>
      <c r="L521">
        <v>119</v>
      </c>
      <c r="M521">
        <v>17.5</v>
      </c>
      <c r="N521">
        <v>1715</v>
      </c>
      <c r="O521">
        <v>1.06</v>
      </c>
      <c r="P521">
        <v>1816</v>
      </c>
      <c r="Q521">
        <v>175</v>
      </c>
      <c r="R521">
        <v>73</v>
      </c>
      <c r="S521">
        <v>58</v>
      </c>
      <c r="T521">
        <v>353</v>
      </c>
      <c r="U521">
        <v>56</v>
      </c>
      <c r="V521">
        <v>315</v>
      </c>
      <c r="W521">
        <v>0.96899999999999997</v>
      </c>
      <c r="X521">
        <v>121</v>
      </c>
      <c r="Y521">
        <v>122</v>
      </c>
      <c r="Z521">
        <v>233</v>
      </c>
      <c r="AA521">
        <v>2</v>
      </c>
      <c r="AB521">
        <v>8.1999999999999993</v>
      </c>
      <c r="AC521" t="s">
        <v>184</v>
      </c>
      <c r="AD521" t="s">
        <v>185</v>
      </c>
      <c r="AG521" t="s">
        <v>3741</v>
      </c>
      <c r="AH521" t="s">
        <v>1627</v>
      </c>
      <c r="AI521" s="245">
        <v>525</v>
      </c>
      <c r="AJ521" t="s">
        <v>3742</v>
      </c>
      <c r="AK521" t="s">
        <v>3743</v>
      </c>
      <c r="AL521" t="s">
        <v>1226</v>
      </c>
      <c r="AM521" s="245">
        <v>561</v>
      </c>
      <c r="AN521" t="s">
        <v>3744</v>
      </c>
      <c r="AO521" t="s">
        <v>3743</v>
      </c>
      <c r="AP521" t="s">
        <v>2255</v>
      </c>
      <c r="AQ521" s="245">
        <v>599</v>
      </c>
      <c r="AR521" t="s">
        <v>3745</v>
      </c>
      <c r="AS521" s="226" t="str">
        <f t="shared" si="16"/>
        <v>Nomad 95</v>
      </c>
      <c r="AT521" s="203" t="str">
        <f t="shared" si="17"/>
        <v xml:space="preserve"> IcelanticNomad 95176 Unisex</v>
      </c>
    </row>
    <row r="522" spans="1:46" ht="79.2">
      <c r="A522" t="s">
        <v>155</v>
      </c>
      <c r="B522" t="s">
        <v>1160</v>
      </c>
      <c r="C522" t="s">
        <v>298</v>
      </c>
      <c r="D522">
        <v>177</v>
      </c>
      <c r="E522" t="s">
        <v>158</v>
      </c>
      <c r="F522">
        <v>177</v>
      </c>
      <c r="G522">
        <v>177.5</v>
      </c>
      <c r="H522">
        <v>106</v>
      </c>
      <c r="I522">
        <v>133</v>
      </c>
      <c r="J522">
        <v>136</v>
      </c>
      <c r="K522">
        <v>111</v>
      </c>
      <c r="L522">
        <v>126</v>
      </c>
      <c r="M522">
        <v>20.9</v>
      </c>
      <c r="N522">
        <v>1827</v>
      </c>
      <c r="O522">
        <v>1.1499999999999999</v>
      </c>
      <c r="P522">
        <v>2109</v>
      </c>
      <c r="Q522">
        <v>189</v>
      </c>
      <c r="R522">
        <v>81</v>
      </c>
      <c r="S522">
        <v>50</v>
      </c>
      <c r="T522">
        <v>380</v>
      </c>
      <c r="U522">
        <v>36</v>
      </c>
      <c r="V522">
        <v>340</v>
      </c>
      <c r="W522">
        <v>0.70699999999999996</v>
      </c>
      <c r="X522">
        <v>218</v>
      </c>
      <c r="Y522">
        <v>226</v>
      </c>
      <c r="Z522">
        <v>162</v>
      </c>
      <c r="AA522">
        <v>5</v>
      </c>
      <c r="AB522">
        <v>5.7</v>
      </c>
      <c r="AC522" t="s">
        <v>169</v>
      </c>
      <c r="AD522" t="s">
        <v>185</v>
      </c>
      <c r="AG522" t="s">
        <v>3746</v>
      </c>
      <c r="AH522" t="s">
        <v>1592</v>
      </c>
      <c r="AI522" s="245">
        <v>505.66</v>
      </c>
      <c r="AJ522" t="s">
        <v>3747</v>
      </c>
      <c r="AK522" t="s">
        <v>3748</v>
      </c>
      <c r="AL522" t="s">
        <v>1277</v>
      </c>
      <c r="AM522" s="245">
        <v>529.99</v>
      </c>
      <c r="AN522" t="s">
        <v>3749</v>
      </c>
      <c r="AO522" t="s">
        <v>3746</v>
      </c>
      <c r="AP522" t="s">
        <v>1511</v>
      </c>
      <c r="AQ522" s="245">
        <v>559.99</v>
      </c>
      <c r="AR522" t="s">
        <v>3750</v>
      </c>
      <c r="AS522" s="226" t="str">
        <f t="shared" si="16"/>
        <v>Reckoner 112</v>
      </c>
      <c r="AT522" s="203" t="str">
        <f t="shared" si="17"/>
        <v>K2Reckoner 112177 Unisex</v>
      </c>
    </row>
    <row r="523" spans="1:46" ht="52.8">
      <c r="A523" t="s">
        <v>155</v>
      </c>
      <c r="B523" t="s">
        <v>174</v>
      </c>
      <c r="C523" t="s">
        <v>545</v>
      </c>
      <c r="D523">
        <v>161</v>
      </c>
      <c r="E523" t="s">
        <v>163</v>
      </c>
      <c r="F523">
        <v>161</v>
      </c>
      <c r="G523">
        <v>160.1</v>
      </c>
      <c r="H523">
        <v>123</v>
      </c>
      <c r="I523">
        <v>136</v>
      </c>
      <c r="J523">
        <v>119</v>
      </c>
      <c r="K523">
        <v>88</v>
      </c>
      <c r="L523">
        <v>101</v>
      </c>
      <c r="M523">
        <v>17.2</v>
      </c>
      <c r="N523">
        <v>1530</v>
      </c>
      <c r="O523">
        <v>1.02</v>
      </c>
      <c r="P523">
        <v>1563</v>
      </c>
      <c r="Q523">
        <v>140</v>
      </c>
      <c r="R523">
        <v>86</v>
      </c>
      <c r="S523">
        <v>55</v>
      </c>
      <c r="T523">
        <v>223</v>
      </c>
      <c r="U523">
        <v>8</v>
      </c>
      <c r="V523">
        <v>151</v>
      </c>
      <c r="W523">
        <v>0.14699999999999999</v>
      </c>
      <c r="X523">
        <v>153</v>
      </c>
      <c r="Y523">
        <v>87</v>
      </c>
      <c r="Z523">
        <v>70</v>
      </c>
      <c r="AA523">
        <v>9</v>
      </c>
      <c r="AB523">
        <v>9.3000000000000007</v>
      </c>
      <c r="AC523" t="s">
        <v>188</v>
      </c>
      <c r="AG523" t="s">
        <v>3751</v>
      </c>
      <c r="AH523" t="s">
        <v>1204</v>
      </c>
      <c r="AI523" s="245">
        <v>561.20000000000005</v>
      </c>
      <c r="AJ523" t="s">
        <v>3752</v>
      </c>
      <c r="AK523" t="s">
        <v>2927</v>
      </c>
      <c r="AL523" t="s">
        <v>1320</v>
      </c>
      <c r="AM523" s="245">
        <v>599.99</v>
      </c>
      <c r="AN523" t="s">
        <v>3753</v>
      </c>
      <c r="AO523" t="s">
        <v>3699</v>
      </c>
      <c r="AP523" t="s">
        <v>1179</v>
      </c>
      <c r="AQ523" s="245">
        <v>407.95</v>
      </c>
      <c r="AR523" t="s">
        <v>3754</v>
      </c>
      <c r="AS523" s="226" t="str">
        <f t="shared" si="16"/>
        <v>Stance 88 W</v>
      </c>
      <c r="AT523" s="203" t="str">
        <f t="shared" si="17"/>
        <v xml:space="preserve"> SalomonStance 88 W161 Women's</v>
      </c>
    </row>
    <row r="524" spans="1:46" ht="52.8">
      <c r="A524" t="s">
        <v>155</v>
      </c>
      <c r="B524" t="s">
        <v>1395</v>
      </c>
      <c r="C524" t="s">
        <v>624</v>
      </c>
      <c r="D524">
        <v>173</v>
      </c>
      <c r="E524" t="s">
        <v>158</v>
      </c>
      <c r="F524">
        <v>173</v>
      </c>
      <c r="G524">
        <v>174.7</v>
      </c>
      <c r="H524">
        <v>129</v>
      </c>
      <c r="I524">
        <v>150</v>
      </c>
      <c r="J524">
        <v>128</v>
      </c>
      <c r="K524">
        <v>85</v>
      </c>
      <c r="L524">
        <v>110</v>
      </c>
      <c r="M524">
        <v>15.9</v>
      </c>
      <c r="N524">
        <v>1451</v>
      </c>
      <c r="O524">
        <v>1.19</v>
      </c>
      <c r="P524">
        <v>1732</v>
      </c>
      <c r="Q524">
        <v>186</v>
      </c>
      <c r="R524">
        <v>81</v>
      </c>
      <c r="S524">
        <v>46</v>
      </c>
      <c r="T524">
        <v>268</v>
      </c>
      <c r="U524">
        <v>17</v>
      </c>
      <c r="V524">
        <v>191</v>
      </c>
      <c r="W524">
        <v>0.38</v>
      </c>
      <c r="X524">
        <v>144</v>
      </c>
      <c r="Y524">
        <v>102</v>
      </c>
      <c r="Z524">
        <v>124</v>
      </c>
      <c r="AA524">
        <v>3</v>
      </c>
      <c r="AB524">
        <v>11.9</v>
      </c>
      <c r="AC524" t="s">
        <v>188</v>
      </c>
      <c r="AD524" t="s">
        <v>185</v>
      </c>
      <c r="AG524" t="s">
        <v>3119</v>
      </c>
      <c r="AH524" t="s">
        <v>1421</v>
      </c>
      <c r="AI524" s="245">
        <v>399.99</v>
      </c>
      <c r="AJ524" t="s">
        <v>3755</v>
      </c>
      <c r="AK524" t="s">
        <v>3119</v>
      </c>
      <c r="AL524" t="s">
        <v>1211</v>
      </c>
      <c r="AM524" s="245">
        <v>480</v>
      </c>
      <c r="AN524" t="s">
        <v>3756</v>
      </c>
      <c r="AO524" t="s">
        <v>3757</v>
      </c>
      <c r="AP524" t="s">
        <v>1240</v>
      </c>
      <c r="AQ524" s="245">
        <v>499</v>
      </c>
      <c r="AR524" t="s">
        <v>3758</v>
      </c>
      <c r="AS524" s="226" t="str">
        <f t="shared" si="16"/>
        <v>Blaze 86</v>
      </c>
      <c r="AT524" s="203" t="str">
        <f t="shared" si="17"/>
        <v xml:space="preserve"> Vï¿½lklBlaze 86173 Unisex</v>
      </c>
    </row>
    <row r="525" spans="1:46" ht="105.6">
      <c r="A525" t="s">
        <v>155</v>
      </c>
      <c r="B525" t="s">
        <v>1395</v>
      </c>
      <c r="C525" t="s">
        <v>656</v>
      </c>
      <c r="D525">
        <v>184</v>
      </c>
      <c r="E525" t="s">
        <v>158</v>
      </c>
      <c r="F525">
        <v>184</v>
      </c>
      <c r="G525">
        <v>184</v>
      </c>
      <c r="H525">
        <v>149</v>
      </c>
      <c r="I525">
        <v>163</v>
      </c>
      <c r="J525">
        <v>130</v>
      </c>
      <c r="K525">
        <v>87</v>
      </c>
      <c r="L525">
        <v>111</v>
      </c>
      <c r="M525">
        <v>19.2</v>
      </c>
      <c r="N525">
        <v>1357</v>
      </c>
      <c r="O525">
        <v>1.36</v>
      </c>
      <c r="P525">
        <v>1847</v>
      </c>
      <c r="Q525">
        <v>195</v>
      </c>
      <c r="R525">
        <v>76</v>
      </c>
      <c r="S525">
        <v>47</v>
      </c>
      <c r="T525">
        <v>285</v>
      </c>
      <c r="U525">
        <v>4</v>
      </c>
      <c r="V525">
        <v>64</v>
      </c>
      <c r="W525">
        <v>8.6999999999999994E-2</v>
      </c>
      <c r="X525">
        <v>122</v>
      </c>
      <c r="Y525">
        <v>90</v>
      </c>
      <c r="Z525">
        <v>164</v>
      </c>
      <c r="AA525">
        <v>6</v>
      </c>
      <c r="AB525">
        <v>12.5</v>
      </c>
      <c r="AC525" t="s">
        <v>185</v>
      </c>
      <c r="AD525" t="s">
        <v>198</v>
      </c>
      <c r="AG525" t="s">
        <v>3759</v>
      </c>
      <c r="AH525" t="s">
        <v>1194</v>
      </c>
      <c r="AI525" s="245">
        <v>419.51</v>
      </c>
      <c r="AJ525" t="s">
        <v>3760</v>
      </c>
      <c r="AK525" t="s">
        <v>3761</v>
      </c>
      <c r="AL525" t="s">
        <v>1277</v>
      </c>
      <c r="AM525" s="245">
        <v>419.95</v>
      </c>
      <c r="AN525" t="s">
        <v>3762</v>
      </c>
      <c r="AO525" t="s">
        <v>3763</v>
      </c>
      <c r="AP525" t="s">
        <v>1349</v>
      </c>
      <c r="AQ525" s="245">
        <v>595.02</v>
      </c>
      <c r="AR525" t="s">
        <v>3764</v>
      </c>
      <c r="AS525" s="226" t="str">
        <f t="shared" si="16"/>
        <v>Rise Above 88</v>
      </c>
      <c r="AT525" s="203" t="str">
        <f t="shared" si="17"/>
        <v xml:space="preserve"> Vï¿½lklRise Above 88184 Unisex</v>
      </c>
    </row>
    <row r="526" spans="1:46" ht="52.8">
      <c r="A526" t="s">
        <v>155</v>
      </c>
      <c r="B526" t="s">
        <v>1395</v>
      </c>
      <c r="C526" t="s">
        <v>470</v>
      </c>
      <c r="D526">
        <v>164</v>
      </c>
      <c r="E526" t="s">
        <v>158</v>
      </c>
      <c r="F526">
        <v>164</v>
      </c>
      <c r="G526">
        <v>163</v>
      </c>
      <c r="H526">
        <v>118</v>
      </c>
      <c r="I526">
        <v>148</v>
      </c>
      <c r="J526">
        <v>119</v>
      </c>
      <c r="K526">
        <v>85</v>
      </c>
      <c r="L526">
        <v>109</v>
      </c>
      <c r="M526">
        <v>18</v>
      </c>
      <c r="N526">
        <v>1603</v>
      </c>
      <c r="O526">
        <v>0.97</v>
      </c>
      <c r="P526">
        <v>1560</v>
      </c>
      <c r="Q526">
        <v>159</v>
      </c>
      <c r="R526">
        <v>79</v>
      </c>
      <c r="S526">
        <v>42</v>
      </c>
      <c r="T526">
        <v>239</v>
      </c>
      <c r="U526">
        <v>40</v>
      </c>
      <c r="V526">
        <v>216</v>
      </c>
      <c r="W526">
        <v>0.96</v>
      </c>
      <c r="X526">
        <v>82</v>
      </c>
      <c r="Y526">
        <v>68</v>
      </c>
      <c r="Z526">
        <v>157</v>
      </c>
      <c r="AA526">
        <v>3</v>
      </c>
      <c r="AB526">
        <v>1.6</v>
      </c>
      <c r="AC526" t="s">
        <v>184</v>
      </c>
      <c r="AG526" t="s">
        <v>3765</v>
      </c>
      <c r="AH526" t="s">
        <v>1229</v>
      </c>
      <c r="AI526" s="245">
        <v>319.99</v>
      </c>
      <c r="AJ526" t="s">
        <v>3766</v>
      </c>
      <c r="AK526" t="s">
        <v>3767</v>
      </c>
      <c r="AL526" t="s">
        <v>1204</v>
      </c>
      <c r="AM526" s="245">
        <v>320.68</v>
      </c>
      <c r="AN526" t="s">
        <v>3768</v>
      </c>
      <c r="AO526" t="s">
        <v>3117</v>
      </c>
      <c r="AP526" t="s">
        <v>2818</v>
      </c>
      <c r="AQ526" s="245">
        <v>359</v>
      </c>
      <c r="AR526" t="s">
        <v>3769</v>
      </c>
      <c r="AS526" s="226" t="str">
        <f t="shared" si="16"/>
        <v>Bash 86</v>
      </c>
      <c r="AT526" s="203" t="str">
        <f t="shared" si="17"/>
        <v xml:space="preserve"> Vï¿½lklBash 86164 Unisex</v>
      </c>
    </row>
    <row r="527" spans="1:46" ht="66">
      <c r="A527" t="s">
        <v>155</v>
      </c>
      <c r="B527" t="s">
        <v>208</v>
      </c>
      <c r="C527" t="s">
        <v>657</v>
      </c>
      <c r="D527">
        <v>186</v>
      </c>
      <c r="E527" t="s">
        <v>158</v>
      </c>
      <c r="F527">
        <v>186</v>
      </c>
      <c r="G527">
        <v>184.1</v>
      </c>
      <c r="H527">
        <v>104</v>
      </c>
      <c r="I527">
        <v>152</v>
      </c>
      <c r="J527">
        <v>151</v>
      </c>
      <c r="K527">
        <v>116</v>
      </c>
      <c r="L527">
        <v>140</v>
      </c>
      <c r="M527">
        <v>19.399999999999999</v>
      </c>
      <c r="N527">
        <v>2017</v>
      </c>
      <c r="O527">
        <v>1.1399999999999999</v>
      </c>
      <c r="P527">
        <v>2292</v>
      </c>
      <c r="Q527">
        <v>182</v>
      </c>
      <c r="R527">
        <v>82</v>
      </c>
      <c r="S527">
        <v>57</v>
      </c>
      <c r="T527">
        <v>400</v>
      </c>
      <c r="U527">
        <v>55</v>
      </c>
      <c r="V527">
        <v>400</v>
      </c>
      <c r="W527">
        <v>0.96699999999999997</v>
      </c>
      <c r="X527">
        <v>170</v>
      </c>
      <c r="Y527">
        <v>152</v>
      </c>
      <c r="Z527">
        <v>229</v>
      </c>
      <c r="AA527">
        <v>5</v>
      </c>
      <c r="AB527">
        <v>4.5999999999999996</v>
      </c>
      <c r="AC527" t="s">
        <v>184</v>
      </c>
      <c r="AD527" t="s">
        <v>169</v>
      </c>
      <c r="AE527" t="s">
        <v>185</v>
      </c>
      <c r="AG527" t="s">
        <v>3770</v>
      </c>
      <c r="AH527" t="s">
        <v>1804</v>
      </c>
      <c r="AI527" s="245">
        <v>432</v>
      </c>
      <c r="AJ527" t="s">
        <v>3771</v>
      </c>
      <c r="AK527" t="s">
        <v>3772</v>
      </c>
      <c r="AL527" t="s">
        <v>1240</v>
      </c>
      <c r="AM527" s="245">
        <v>579.95000000000005</v>
      </c>
      <c r="AN527" t="s">
        <v>3773</v>
      </c>
      <c r="AO527" t="s">
        <v>3774</v>
      </c>
      <c r="AP527" t="s">
        <v>1191</v>
      </c>
      <c r="AQ527" s="245">
        <v>659.95</v>
      </c>
      <c r="AR527" t="s">
        <v>3775</v>
      </c>
      <c r="AS527" s="226" t="str">
        <f t="shared" si="16"/>
        <v>Outline</v>
      </c>
      <c r="AT527" s="203" t="str">
        <f t="shared" si="17"/>
        <v xml:space="preserve"> LineOutline186 Unisex</v>
      </c>
    </row>
    <row r="528" spans="1:46" ht="66">
      <c r="A528" t="s">
        <v>155</v>
      </c>
      <c r="B528" t="s">
        <v>182</v>
      </c>
      <c r="C528" t="s">
        <v>303</v>
      </c>
      <c r="D528">
        <v>164</v>
      </c>
      <c r="E528" t="s">
        <v>158</v>
      </c>
      <c r="F528">
        <v>164</v>
      </c>
      <c r="G528">
        <v>163.19999999999999</v>
      </c>
      <c r="H528">
        <v>112</v>
      </c>
      <c r="I528">
        <v>132</v>
      </c>
      <c r="J528">
        <v>130</v>
      </c>
      <c r="K528">
        <v>107</v>
      </c>
      <c r="L528">
        <v>124</v>
      </c>
      <c r="M528">
        <v>17.600000000000001</v>
      </c>
      <c r="N528">
        <v>1465</v>
      </c>
      <c r="O528">
        <v>1.28</v>
      </c>
      <c r="P528">
        <v>1880</v>
      </c>
      <c r="Q528">
        <v>133</v>
      </c>
      <c r="R528">
        <v>90</v>
      </c>
      <c r="S528">
        <v>49</v>
      </c>
      <c r="T528">
        <v>348</v>
      </c>
      <c r="U528">
        <v>29</v>
      </c>
      <c r="V528">
        <v>165</v>
      </c>
      <c r="W528">
        <v>0.58099999999999996</v>
      </c>
      <c r="X528">
        <v>167</v>
      </c>
      <c r="Y528">
        <v>147</v>
      </c>
      <c r="Z528">
        <v>181</v>
      </c>
      <c r="AA528">
        <v>5</v>
      </c>
      <c r="AB528">
        <v>9.6</v>
      </c>
      <c r="AC528" t="s">
        <v>169</v>
      </c>
      <c r="AD528" t="s">
        <v>185</v>
      </c>
      <c r="AE528" t="s">
        <v>198</v>
      </c>
      <c r="AG528" t="s">
        <v>3776</v>
      </c>
      <c r="AH528" t="s">
        <v>1194</v>
      </c>
      <c r="AI528" s="245">
        <v>423.23</v>
      </c>
      <c r="AJ528" t="s">
        <v>3777</v>
      </c>
      <c r="AK528" t="s">
        <v>3776</v>
      </c>
      <c r="AL528" t="s">
        <v>1405</v>
      </c>
      <c r="AM528" s="245">
        <v>599.96</v>
      </c>
      <c r="AN528" t="s">
        <v>3778</v>
      </c>
      <c r="AO528" t="s">
        <v>3776</v>
      </c>
      <c r="AP528" t="s">
        <v>1181</v>
      </c>
      <c r="AQ528" s="245">
        <v>599.96</v>
      </c>
      <c r="AR528" t="s">
        <v>3779</v>
      </c>
      <c r="AS528" s="226" t="str">
        <f t="shared" si="16"/>
        <v>Tracer 108</v>
      </c>
      <c r="AT528" s="203" t="str">
        <f t="shared" si="17"/>
        <v xml:space="preserve"> ArmadaTracer 108164 Unisex</v>
      </c>
    </row>
    <row r="529" spans="1:46" ht="79.2">
      <c r="A529" t="s">
        <v>155</v>
      </c>
      <c r="B529" t="s">
        <v>332</v>
      </c>
      <c r="C529" t="s">
        <v>563</v>
      </c>
      <c r="D529">
        <v>165</v>
      </c>
      <c r="E529" t="s">
        <v>163</v>
      </c>
      <c r="F529">
        <v>165</v>
      </c>
      <c r="G529">
        <v>164.5</v>
      </c>
      <c r="H529">
        <v>122</v>
      </c>
      <c r="I529">
        <v>138</v>
      </c>
      <c r="J529">
        <v>120</v>
      </c>
      <c r="K529">
        <v>87</v>
      </c>
      <c r="L529">
        <v>106</v>
      </c>
      <c r="M529">
        <v>15.7</v>
      </c>
      <c r="N529">
        <v>1783</v>
      </c>
      <c r="O529">
        <v>0.9</v>
      </c>
      <c r="P529">
        <v>1614</v>
      </c>
      <c r="Q529">
        <v>177</v>
      </c>
      <c r="R529">
        <v>89</v>
      </c>
      <c r="S529">
        <v>52</v>
      </c>
      <c r="T529">
        <v>253</v>
      </c>
      <c r="U529">
        <v>12</v>
      </c>
      <c r="V529">
        <v>168</v>
      </c>
      <c r="W529">
        <v>0.22899999999999901</v>
      </c>
      <c r="X529">
        <v>128</v>
      </c>
      <c r="Y529">
        <v>141</v>
      </c>
      <c r="Z529">
        <v>125</v>
      </c>
      <c r="AA529">
        <v>9</v>
      </c>
      <c r="AB529">
        <v>8.3000000000000007</v>
      </c>
      <c r="AC529" t="s">
        <v>188</v>
      </c>
      <c r="AG529" t="s">
        <v>3081</v>
      </c>
      <c r="AH529" t="s">
        <v>1400</v>
      </c>
      <c r="AI529" s="245">
        <v>479.99</v>
      </c>
      <c r="AJ529" t="s">
        <v>3780</v>
      </c>
      <c r="AK529" t="s">
        <v>3081</v>
      </c>
      <c r="AL529" t="s">
        <v>1305</v>
      </c>
      <c r="AM529" s="245">
        <v>519</v>
      </c>
      <c r="AN529" t="s">
        <v>3781</v>
      </c>
      <c r="AO529" t="s">
        <v>3782</v>
      </c>
      <c r="AP529" t="s">
        <v>1240</v>
      </c>
      <c r="AQ529" s="245">
        <v>529.95000000000005</v>
      </c>
      <c r="AR529" t="s">
        <v>3783</v>
      </c>
      <c r="AS529" s="226" t="str">
        <f t="shared" si="16"/>
        <v>Santa Ana 88</v>
      </c>
      <c r="AT529" s="203" t="str">
        <f t="shared" si="17"/>
        <v xml:space="preserve"> NordicaSanta Ana 88165 Women's</v>
      </c>
    </row>
    <row r="530" spans="1:46" ht="52.8">
      <c r="A530" t="s">
        <v>155</v>
      </c>
      <c r="B530" t="s">
        <v>317</v>
      </c>
      <c r="C530" t="s">
        <v>463</v>
      </c>
      <c r="D530">
        <v>164</v>
      </c>
      <c r="E530" t="s">
        <v>158</v>
      </c>
      <c r="F530">
        <v>164</v>
      </c>
      <c r="G530">
        <v>162.80000000000001</v>
      </c>
      <c r="H530">
        <v>109</v>
      </c>
      <c r="I530">
        <v>135</v>
      </c>
      <c r="J530">
        <v>123</v>
      </c>
      <c r="K530">
        <v>91</v>
      </c>
      <c r="L530">
        <v>113</v>
      </c>
      <c r="M530">
        <v>14.6</v>
      </c>
      <c r="N530">
        <v>1794</v>
      </c>
      <c r="O530">
        <v>0.93</v>
      </c>
      <c r="P530">
        <v>1671</v>
      </c>
      <c r="Q530">
        <v>185</v>
      </c>
      <c r="R530">
        <v>89</v>
      </c>
      <c r="S530">
        <v>62</v>
      </c>
      <c r="T530">
        <v>307</v>
      </c>
      <c r="U530">
        <v>31</v>
      </c>
      <c r="V530">
        <v>229</v>
      </c>
      <c r="W530">
        <v>0.498</v>
      </c>
      <c r="X530">
        <v>149</v>
      </c>
      <c r="Y530">
        <v>134</v>
      </c>
      <c r="Z530">
        <v>158</v>
      </c>
      <c r="AA530">
        <v>3</v>
      </c>
      <c r="AB530">
        <v>7.2</v>
      </c>
      <c r="AC530" t="s">
        <v>188</v>
      </c>
      <c r="AG530" t="s">
        <v>2442</v>
      </c>
      <c r="AH530" t="s">
        <v>1194</v>
      </c>
      <c r="AI530" s="245">
        <v>322.69</v>
      </c>
      <c r="AJ530" t="s">
        <v>3784</v>
      </c>
      <c r="AK530" t="s">
        <v>2442</v>
      </c>
      <c r="AL530" t="s">
        <v>1271</v>
      </c>
      <c r="AM530" s="245">
        <v>529.92999999999995</v>
      </c>
      <c r="AN530" t="s">
        <v>3785</v>
      </c>
      <c r="AO530" t="s">
        <v>2442</v>
      </c>
      <c r="AP530" t="s">
        <v>1179</v>
      </c>
      <c r="AQ530" s="245">
        <v>599.95000000000005</v>
      </c>
      <c r="AR530" t="s">
        <v>3786</v>
      </c>
      <c r="AS530" s="226" t="str">
        <f t="shared" si="16"/>
        <v>Rustler 9</v>
      </c>
      <c r="AT530" s="203" t="str">
        <f t="shared" si="17"/>
        <v xml:space="preserve"> BlizzardRustler 9164 Unisex</v>
      </c>
    </row>
    <row r="531" spans="1:46" ht="26.4">
      <c r="A531" t="s">
        <v>155</v>
      </c>
      <c r="B531" t="s">
        <v>156</v>
      </c>
      <c r="C531" t="s">
        <v>658</v>
      </c>
      <c r="D531">
        <v>154</v>
      </c>
      <c r="E531" t="s">
        <v>158</v>
      </c>
      <c r="F531">
        <v>154</v>
      </c>
      <c r="G531">
        <v>153.4</v>
      </c>
      <c r="H531">
        <v>133</v>
      </c>
      <c r="I531">
        <v>139</v>
      </c>
      <c r="J531">
        <v>117</v>
      </c>
      <c r="K531">
        <v>69</v>
      </c>
      <c r="L531">
        <v>100</v>
      </c>
      <c r="M531">
        <v>11.8</v>
      </c>
      <c r="N531">
        <v>1659</v>
      </c>
      <c r="O531">
        <v>0.78</v>
      </c>
      <c r="P531">
        <v>1290</v>
      </c>
      <c r="Q531">
        <v>165</v>
      </c>
      <c r="R531">
        <v>88</v>
      </c>
      <c r="S531">
        <v>36</v>
      </c>
      <c r="T531">
        <v>150</v>
      </c>
      <c r="U531">
        <v>3</v>
      </c>
      <c r="V531">
        <v>52</v>
      </c>
      <c r="W531">
        <v>9.1999999999999998E-2</v>
      </c>
      <c r="X531">
        <v>88</v>
      </c>
      <c r="Y531">
        <v>59</v>
      </c>
      <c r="Z531">
        <v>62</v>
      </c>
      <c r="AA531">
        <v>7</v>
      </c>
      <c r="AB531">
        <v>12.8</v>
      </c>
      <c r="AC531" t="s">
        <v>349</v>
      </c>
      <c r="AS531" s="226" t="str">
        <f t="shared" si="16"/>
        <v>Redster X5</v>
      </c>
      <c r="AT531" s="203" t="str">
        <f t="shared" si="17"/>
        <v xml:space="preserve"> AtomicRedster X5154 Unisex</v>
      </c>
    </row>
    <row r="532" spans="1:46" ht="132">
      <c r="A532" t="s">
        <v>155</v>
      </c>
      <c r="B532" t="s">
        <v>164</v>
      </c>
      <c r="C532" t="s">
        <v>659</v>
      </c>
      <c r="D532">
        <v>168</v>
      </c>
      <c r="E532" t="s">
        <v>158</v>
      </c>
      <c r="F532">
        <v>168</v>
      </c>
      <c r="G532">
        <v>167.3</v>
      </c>
      <c r="H532">
        <v>146</v>
      </c>
      <c r="I532">
        <v>153</v>
      </c>
      <c r="J532">
        <v>124</v>
      </c>
      <c r="K532">
        <v>75</v>
      </c>
      <c r="L532">
        <v>103</v>
      </c>
      <c r="M532">
        <v>14.8</v>
      </c>
      <c r="N532">
        <v>2032</v>
      </c>
      <c r="O532">
        <v>0.74</v>
      </c>
      <c r="P532">
        <v>1498</v>
      </c>
      <c r="Q532">
        <v>208</v>
      </c>
      <c r="R532">
        <v>93</v>
      </c>
      <c r="S532">
        <v>31</v>
      </c>
      <c r="T532">
        <v>144</v>
      </c>
      <c r="U532">
        <v>10</v>
      </c>
      <c r="V532">
        <v>72</v>
      </c>
      <c r="W532">
        <v>0.32200000000000001</v>
      </c>
      <c r="X532">
        <v>85</v>
      </c>
      <c r="Y532">
        <v>60</v>
      </c>
      <c r="Z532">
        <v>59</v>
      </c>
      <c r="AA532">
        <v>11</v>
      </c>
      <c r="AB532">
        <v>9.4</v>
      </c>
      <c r="AC532" t="s">
        <v>349</v>
      </c>
      <c r="AG532" t="s">
        <v>3637</v>
      </c>
      <c r="AH532" t="s">
        <v>1191</v>
      </c>
      <c r="AI532" s="245">
        <v>424.95</v>
      </c>
      <c r="AJ532" t="s">
        <v>3787</v>
      </c>
      <c r="AK532" t="s">
        <v>3788</v>
      </c>
      <c r="AL532" t="s">
        <v>3789</v>
      </c>
      <c r="AM532" s="245">
        <v>329.99</v>
      </c>
      <c r="AN532" t="s">
        <v>3790</v>
      </c>
      <c r="AO532" t="s">
        <v>3791</v>
      </c>
      <c r="AP532" t="s">
        <v>1204</v>
      </c>
      <c r="AQ532" s="245">
        <v>561.20000000000005</v>
      </c>
      <c r="AR532" t="s">
        <v>3792</v>
      </c>
      <c r="AS532" s="226" t="str">
        <f t="shared" si="16"/>
        <v>Amphibio 14 Ti</v>
      </c>
      <c r="AT532" s="203" t="str">
        <f t="shared" si="17"/>
        <v xml:space="preserve"> ElanAmphibio 14 Ti168 Unisex</v>
      </c>
    </row>
    <row r="533" spans="1:46" ht="66">
      <c r="A533" t="s">
        <v>155</v>
      </c>
      <c r="B533" t="s">
        <v>295</v>
      </c>
      <c r="C533" t="s">
        <v>475</v>
      </c>
      <c r="D533">
        <v>181</v>
      </c>
      <c r="E533" t="s">
        <v>158</v>
      </c>
      <c r="F533">
        <v>181</v>
      </c>
      <c r="G533">
        <v>178.5</v>
      </c>
      <c r="H533">
        <v>109</v>
      </c>
      <c r="I533">
        <v>153</v>
      </c>
      <c r="J533">
        <v>145</v>
      </c>
      <c r="K533">
        <v>111</v>
      </c>
      <c r="L533">
        <v>135</v>
      </c>
      <c r="M533">
        <v>19.100000000000001</v>
      </c>
      <c r="N533">
        <v>2022</v>
      </c>
      <c r="O533">
        <v>1.08</v>
      </c>
      <c r="P533">
        <v>2176</v>
      </c>
      <c r="Q533">
        <v>229</v>
      </c>
      <c r="R533">
        <v>113</v>
      </c>
      <c r="S533">
        <v>60</v>
      </c>
      <c r="T533">
        <v>375</v>
      </c>
      <c r="U533">
        <v>56</v>
      </c>
      <c r="V533">
        <v>323</v>
      </c>
      <c r="W533">
        <v>0.94199999999999995</v>
      </c>
      <c r="X533">
        <v>128</v>
      </c>
      <c r="Y533">
        <v>128</v>
      </c>
      <c r="Z533">
        <v>248</v>
      </c>
      <c r="AA533">
        <v>1</v>
      </c>
      <c r="AB533">
        <v>9.6999999999999993</v>
      </c>
      <c r="AC533" t="s">
        <v>184</v>
      </c>
      <c r="AD533" t="s">
        <v>169</v>
      </c>
      <c r="AE533" t="s">
        <v>185</v>
      </c>
      <c r="AG533" t="s">
        <v>3793</v>
      </c>
      <c r="AH533" t="s">
        <v>1277</v>
      </c>
      <c r="AI533" s="245">
        <v>300</v>
      </c>
      <c r="AJ533" t="s">
        <v>3794</v>
      </c>
      <c r="AK533" t="s">
        <v>3795</v>
      </c>
      <c r="AL533" t="s">
        <v>1218</v>
      </c>
      <c r="AM533" s="245">
        <v>561.75</v>
      </c>
      <c r="AN533" t="s">
        <v>3796</v>
      </c>
      <c r="AO533" t="s">
        <v>3797</v>
      </c>
      <c r="AP533" t="s">
        <v>1627</v>
      </c>
      <c r="AQ533" s="245">
        <v>585</v>
      </c>
      <c r="AR533" t="s">
        <v>3798</v>
      </c>
      <c r="AS533" s="226" t="str">
        <f t="shared" si="16"/>
        <v>Nomad 105</v>
      </c>
      <c r="AT533" s="203" t="str">
        <f t="shared" si="17"/>
        <v xml:space="preserve"> IcelanticNomad 105181 Unisex</v>
      </c>
    </row>
    <row r="534" spans="1:46" ht="79.2">
      <c r="A534" t="s">
        <v>155</v>
      </c>
      <c r="B534" t="s">
        <v>295</v>
      </c>
      <c r="C534" t="s">
        <v>654</v>
      </c>
      <c r="D534">
        <v>181</v>
      </c>
      <c r="E534" t="s">
        <v>158</v>
      </c>
      <c r="F534">
        <v>181</v>
      </c>
      <c r="G534">
        <v>178.6</v>
      </c>
      <c r="H534">
        <v>116</v>
      </c>
      <c r="I534">
        <v>155</v>
      </c>
      <c r="J534">
        <v>130</v>
      </c>
      <c r="K534">
        <v>95</v>
      </c>
      <c r="L534">
        <v>120</v>
      </c>
      <c r="M534">
        <v>19</v>
      </c>
      <c r="N534">
        <v>1662</v>
      </c>
      <c r="O534">
        <v>1.1399999999999999</v>
      </c>
      <c r="P534">
        <v>1889</v>
      </c>
      <c r="Q534">
        <v>191</v>
      </c>
      <c r="R534">
        <v>75</v>
      </c>
      <c r="S534">
        <v>55</v>
      </c>
      <c r="T534">
        <v>338</v>
      </c>
      <c r="U534">
        <v>51</v>
      </c>
      <c r="V534">
        <v>290</v>
      </c>
      <c r="W534">
        <v>0.91400000000000003</v>
      </c>
      <c r="X534">
        <v>112</v>
      </c>
      <c r="Y534">
        <v>128</v>
      </c>
      <c r="Z534">
        <v>226</v>
      </c>
      <c r="AA534">
        <v>4</v>
      </c>
      <c r="AB534">
        <v>9</v>
      </c>
      <c r="AC534" t="s">
        <v>184</v>
      </c>
      <c r="AD534" t="s">
        <v>185</v>
      </c>
      <c r="AG534" t="s">
        <v>3799</v>
      </c>
      <c r="AH534" t="s">
        <v>1627</v>
      </c>
      <c r="AI534" s="245">
        <v>525</v>
      </c>
      <c r="AJ534" t="s">
        <v>3800</v>
      </c>
      <c r="AK534" t="s">
        <v>3801</v>
      </c>
      <c r="AL534" t="s">
        <v>1226</v>
      </c>
      <c r="AM534" s="245">
        <v>561</v>
      </c>
      <c r="AN534" t="s">
        <v>3802</v>
      </c>
      <c r="AO534" t="s">
        <v>3801</v>
      </c>
      <c r="AP534" t="s">
        <v>3322</v>
      </c>
      <c r="AQ534" s="245">
        <v>561.75</v>
      </c>
      <c r="AR534" t="s">
        <v>3803</v>
      </c>
      <c r="AS534" s="226" t="str">
        <f t="shared" si="16"/>
        <v>Nomad 95</v>
      </c>
      <c r="AT534" s="203" t="str">
        <f t="shared" si="17"/>
        <v xml:space="preserve"> IcelanticNomad 95181 Unisex</v>
      </c>
    </row>
    <row r="535" spans="1:46" ht="105.6">
      <c r="A535" t="s">
        <v>155</v>
      </c>
      <c r="B535" t="s">
        <v>156</v>
      </c>
      <c r="C535" t="s">
        <v>646</v>
      </c>
      <c r="D535">
        <v>159</v>
      </c>
      <c r="E535" t="s">
        <v>158</v>
      </c>
      <c r="F535">
        <v>159</v>
      </c>
      <c r="G535">
        <v>158.4</v>
      </c>
      <c r="H535">
        <v>130</v>
      </c>
      <c r="I535">
        <v>143</v>
      </c>
      <c r="J535">
        <v>118</v>
      </c>
      <c r="K535">
        <v>79</v>
      </c>
      <c r="L535">
        <v>104</v>
      </c>
      <c r="M535">
        <v>14.8</v>
      </c>
      <c r="N535">
        <v>1506</v>
      </c>
      <c r="O535">
        <v>0.97</v>
      </c>
      <c r="P535">
        <v>1456</v>
      </c>
      <c r="Q535">
        <v>184</v>
      </c>
      <c r="R535">
        <v>75</v>
      </c>
      <c r="S535">
        <v>45</v>
      </c>
      <c r="T535">
        <v>199</v>
      </c>
      <c r="U535">
        <v>6</v>
      </c>
      <c r="V535">
        <v>89</v>
      </c>
      <c r="W535">
        <v>0.13200000000000001</v>
      </c>
      <c r="X535">
        <v>86</v>
      </c>
      <c r="Y535">
        <v>69</v>
      </c>
      <c r="Z535">
        <v>113</v>
      </c>
      <c r="AA535">
        <v>5</v>
      </c>
      <c r="AB535">
        <v>11</v>
      </c>
      <c r="AC535" t="s">
        <v>349</v>
      </c>
      <c r="AG535" t="s">
        <v>3804</v>
      </c>
      <c r="AH535" t="s">
        <v>1179</v>
      </c>
      <c r="AI535" s="245">
        <v>639.99</v>
      </c>
      <c r="AJ535" t="s">
        <v>3805</v>
      </c>
      <c r="AK535" t="s">
        <v>3806</v>
      </c>
      <c r="AL535" t="s">
        <v>1271</v>
      </c>
      <c r="AM535" s="245">
        <v>269.99</v>
      </c>
      <c r="AN535" t="s">
        <v>3807</v>
      </c>
      <c r="AO535" t="s">
        <v>3808</v>
      </c>
      <c r="AP535" t="s">
        <v>1240</v>
      </c>
      <c r="AQ535" s="245">
        <v>399.95</v>
      </c>
      <c r="AR535" t="s">
        <v>3809</v>
      </c>
      <c r="AS535" s="226" t="str">
        <f t="shared" si="16"/>
        <v>Vantage 82 Ti</v>
      </c>
      <c r="AT535" s="203" t="str">
        <f t="shared" si="17"/>
        <v xml:space="preserve"> AtomicVantage 82 Ti159 Unisex</v>
      </c>
    </row>
    <row r="536" spans="1:46" ht="105.6">
      <c r="A536" t="s">
        <v>155</v>
      </c>
      <c r="B536" t="s">
        <v>202</v>
      </c>
      <c r="C536" t="s">
        <v>660</v>
      </c>
      <c r="D536">
        <v>179</v>
      </c>
      <c r="E536" t="s">
        <v>158</v>
      </c>
      <c r="F536">
        <v>179</v>
      </c>
      <c r="G536">
        <v>176.4</v>
      </c>
      <c r="H536">
        <v>138</v>
      </c>
      <c r="I536">
        <v>132</v>
      </c>
      <c r="J536">
        <v>127</v>
      </c>
      <c r="K536">
        <v>86</v>
      </c>
      <c r="L536">
        <v>102</v>
      </c>
      <c r="M536">
        <v>15.4</v>
      </c>
      <c r="N536">
        <v>1272</v>
      </c>
      <c r="O536">
        <v>1.36</v>
      </c>
      <c r="P536">
        <v>1734</v>
      </c>
      <c r="Q536">
        <v>236</v>
      </c>
      <c r="R536">
        <v>74</v>
      </c>
      <c r="S536">
        <v>72</v>
      </c>
      <c r="T536">
        <v>339</v>
      </c>
      <c r="U536">
        <v>5</v>
      </c>
      <c r="V536">
        <v>49</v>
      </c>
      <c r="W536">
        <v>6.8000000000000005E-2</v>
      </c>
      <c r="X536">
        <v>208</v>
      </c>
      <c r="Y536">
        <v>232</v>
      </c>
      <c r="Z536">
        <v>131</v>
      </c>
      <c r="AA536">
        <v>6</v>
      </c>
      <c r="AB536">
        <v>12.9</v>
      </c>
      <c r="AC536" t="s">
        <v>185</v>
      </c>
      <c r="AD536" t="s">
        <v>198</v>
      </c>
      <c r="AG536" t="s">
        <v>1774</v>
      </c>
      <c r="AH536" t="s">
        <v>1194</v>
      </c>
      <c r="AI536" s="245">
        <v>367.9</v>
      </c>
      <c r="AJ536" t="s">
        <v>3810</v>
      </c>
      <c r="AK536" t="s">
        <v>1774</v>
      </c>
      <c r="AL536" t="s">
        <v>1248</v>
      </c>
      <c r="AM536" s="245">
        <v>419.97</v>
      </c>
      <c r="AN536" t="s">
        <v>3811</v>
      </c>
      <c r="AO536" t="s">
        <v>3812</v>
      </c>
      <c r="AP536" t="s">
        <v>1292</v>
      </c>
      <c r="AQ536" s="245">
        <v>459</v>
      </c>
      <c r="AR536" t="s">
        <v>3813</v>
      </c>
      <c r="AS536" s="226" t="str">
        <f t="shared" si="16"/>
        <v>M-Tour 87 Ca</v>
      </c>
      <c r="AT536" s="203" t="str">
        <f t="shared" si="17"/>
        <v xml:space="preserve"> DynastarM-Tour 87 Ca179 Unisex</v>
      </c>
    </row>
    <row r="537" spans="1:46" ht="79.2">
      <c r="A537" t="s">
        <v>155</v>
      </c>
      <c r="B537" t="s">
        <v>332</v>
      </c>
      <c r="C537" t="s">
        <v>528</v>
      </c>
      <c r="D537">
        <v>151</v>
      </c>
      <c r="E537" t="s">
        <v>163</v>
      </c>
      <c r="F537">
        <v>151</v>
      </c>
      <c r="G537">
        <v>150.30000000000001</v>
      </c>
      <c r="H537">
        <v>106</v>
      </c>
      <c r="I537">
        <v>123</v>
      </c>
      <c r="J537">
        <v>125</v>
      </c>
      <c r="K537">
        <v>92</v>
      </c>
      <c r="L537">
        <v>110</v>
      </c>
      <c r="M537">
        <v>13.1</v>
      </c>
      <c r="N537">
        <v>1607</v>
      </c>
      <c r="O537">
        <v>0.96</v>
      </c>
      <c r="P537">
        <v>1547</v>
      </c>
      <c r="Q537">
        <v>148</v>
      </c>
      <c r="R537">
        <v>84</v>
      </c>
      <c r="S537">
        <v>53</v>
      </c>
      <c r="T537">
        <v>253</v>
      </c>
      <c r="U537">
        <v>15</v>
      </c>
      <c r="V537">
        <v>190</v>
      </c>
      <c r="W537">
        <v>0.28399999999999997</v>
      </c>
      <c r="X537">
        <v>127</v>
      </c>
      <c r="Y537">
        <v>145</v>
      </c>
      <c r="Z537">
        <v>127</v>
      </c>
      <c r="AA537">
        <v>6</v>
      </c>
      <c r="AB537">
        <v>8.6</v>
      </c>
      <c r="AC537" t="s">
        <v>188</v>
      </c>
      <c r="AG537" t="s">
        <v>3547</v>
      </c>
      <c r="AH537" t="s">
        <v>3814</v>
      </c>
      <c r="AI537" s="245">
        <v>449.97</v>
      </c>
      <c r="AJ537" t="s">
        <v>3815</v>
      </c>
      <c r="AK537" t="s">
        <v>3547</v>
      </c>
      <c r="AL537" t="s">
        <v>1224</v>
      </c>
      <c r="AM537" s="245">
        <v>519.99</v>
      </c>
      <c r="AN537" t="s">
        <v>3816</v>
      </c>
      <c r="AO537" t="s">
        <v>3547</v>
      </c>
      <c r="AP537" t="s">
        <v>1400</v>
      </c>
      <c r="AQ537" s="245">
        <v>519.99</v>
      </c>
      <c r="AR537" t="s">
        <v>3817</v>
      </c>
      <c r="AS537" s="226" t="str">
        <f t="shared" si="16"/>
        <v>Santa Ana 93</v>
      </c>
      <c r="AT537" s="203" t="str">
        <f t="shared" si="17"/>
        <v xml:space="preserve"> NordicaSanta Ana 93151 Women's</v>
      </c>
    </row>
    <row r="538" spans="1:46" ht="79.2">
      <c r="A538" t="s">
        <v>155</v>
      </c>
      <c r="B538" t="s">
        <v>182</v>
      </c>
      <c r="C538" t="s">
        <v>505</v>
      </c>
      <c r="D538">
        <v>163</v>
      </c>
      <c r="E538" t="s">
        <v>158</v>
      </c>
      <c r="F538">
        <v>163</v>
      </c>
      <c r="G538">
        <v>161.6</v>
      </c>
      <c r="H538">
        <v>117</v>
      </c>
      <c r="I538">
        <v>133</v>
      </c>
      <c r="J538">
        <v>122</v>
      </c>
      <c r="K538">
        <v>95</v>
      </c>
      <c r="L538">
        <v>114</v>
      </c>
      <c r="M538">
        <v>17.7</v>
      </c>
      <c r="N538">
        <v>1627</v>
      </c>
      <c r="O538">
        <v>1.03</v>
      </c>
      <c r="P538">
        <v>1675</v>
      </c>
      <c r="Q538">
        <v>141</v>
      </c>
      <c r="R538">
        <v>86</v>
      </c>
      <c r="S538">
        <v>48</v>
      </c>
      <c r="T538">
        <v>237</v>
      </c>
      <c r="U538">
        <v>39</v>
      </c>
      <c r="V538">
        <v>213</v>
      </c>
      <c r="W538">
        <v>0.81299999999999994</v>
      </c>
      <c r="X538">
        <v>133</v>
      </c>
      <c r="Y538">
        <v>155</v>
      </c>
      <c r="Z538">
        <v>104</v>
      </c>
      <c r="AA538">
        <v>9</v>
      </c>
      <c r="AB538">
        <v>4.7</v>
      </c>
      <c r="AC538" t="s">
        <v>188</v>
      </c>
      <c r="AD538" t="s">
        <v>184</v>
      </c>
      <c r="AG538" t="s">
        <v>3818</v>
      </c>
      <c r="AH538" t="s">
        <v>1271</v>
      </c>
      <c r="AI538" s="245">
        <v>449.95</v>
      </c>
      <c r="AJ538" t="s">
        <v>3819</v>
      </c>
      <c r="AK538" t="s">
        <v>2668</v>
      </c>
      <c r="AL538" t="s">
        <v>1262</v>
      </c>
      <c r="AM538" s="245">
        <v>461.83</v>
      </c>
      <c r="AN538" t="s">
        <v>3820</v>
      </c>
      <c r="AO538" t="s">
        <v>3821</v>
      </c>
      <c r="AP538" t="s">
        <v>3822</v>
      </c>
      <c r="AQ538" s="245">
        <v>499.95</v>
      </c>
      <c r="AR538" t="s">
        <v>3823</v>
      </c>
      <c r="AS538" s="226" t="str">
        <f t="shared" si="16"/>
        <v>ARV 96</v>
      </c>
      <c r="AT538" s="203" t="str">
        <f t="shared" si="17"/>
        <v xml:space="preserve"> ArmadaARV 96163 Unisex</v>
      </c>
    </row>
    <row r="539" spans="1:46" ht="79.2">
      <c r="A539" t="s">
        <v>155</v>
      </c>
      <c r="B539" t="s">
        <v>237</v>
      </c>
      <c r="C539" t="s">
        <v>361</v>
      </c>
      <c r="D539">
        <v>166.2</v>
      </c>
      <c r="E539" t="s">
        <v>158</v>
      </c>
      <c r="F539">
        <v>166.2</v>
      </c>
      <c r="G539">
        <v>165.4</v>
      </c>
      <c r="H539">
        <v>127</v>
      </c>
      <c r="I539">
        <v>139</v>
      </c>
      <c r="J539">
        <v>132</v>
      </c>
      <c r="K539">
        <v>95</v>
      </c>
      <c r="L539">
        <v>114</v>
      </c>
      <c r="M539">
        <v>16.7</v>
      </c>
      <c r="N539">
        <v>1393</v>
      </c>
      <c r="O539">
        <v>1.26</v>
      </c>
      <c r="P539">
        <v>1758</v>
      </c>
      <c r="Q539">
        <v>167</v>
      </c>
      <c r="R539">
        <v>84</v>
      </c>
      <c r="S539">
        <v>44</v>
      </c>
      <c r="T539">
        <v>247</v>
      </c>
      <c r="U539">
        <v>12</v>
      </c>
      <c r="V539">
        <v>139</v>
      </c>
      <c r="W539">
        <v>0.27699999999999902</v>
      </c>
      <c r="X539">
        <v>149</v>
      </c>
      <c r="Y539">
        <v>119</v>
      </c>
      <c r="Z539">
        <v>98</v>
      </c>
      <c r="AA539">
        <v>10</v>
      </c>
      <c r="AB539">
        <v>9.1</v>
      </c>
      <c r="AC539" t="s">
        <v>188</v>
      </c>
      <c r="AD539" t="s">
        <v>185</v>
      </c>
      <c r="AE539" t="s">
        <v>198</v>
      </c>
      <c r="AG539" t="s">
        <v>3824</v>
      </c>
      <c r="AH539" t="s">
        <v>1424</v>
      </c>
      <c r="AI539" s="245">
        <v>514.99</v>
      </c>
      <c r="AJ539" t="s">
        <v>3825</v>
      </c>
      <c r="AK539" t="s">
        <v>3824</v>
      </c>
      <c r="AL539" t="s">
        <v>1271</v>
      </c>
      <c r="AM539" s="245">
        <v>591.92999999999995</v>
      </c>
      <c r="AN539" t="s">
        <v>3826</v>
      </c>
      <c r="AO539" t="s">
        <v>3824</v>
      </c>
      <c r="AP539" t="s">
        <v>1224</v>
      </c>
      <c r="AQ539" s="245">
        <v>591.96</v>
      </c>
      <c r="AR539" t="s">
        <v>3827</v>
      </c>
      <c r="AS539" s="226" t="str">
        <f t="shared" si="16"/>
        <v>Camox Freebird</v>
      </c>
      <c r="AT539" s="203" t="str">
        <f t="shared" si="17"/>
        <v xml:space="preserve"> Black CrowsCamox Freebird166.2 Unisex</v>
      </c>
    </row>
    <row r="540" spans="1:46" ht="145.19999999999999">
      <c r="A540" t="s">
        <v>155</v>
      </c>
      <c r="B540" t="s">
        <v>172</v>
      </c>
      <c r="C540" t="s">
        <v>345</v>
      </c>
      <c r="D540">
        <v>158</v>
      </c>
      <c r="E540" t="s">
        <v>158</v>
      </c>
      <c r="F540">
        <v>158</v>
      </c>
      <c r="G540">
        <v>157.5</v>
      </c>
      <c r="H540">
        <v>118</v>
      </c>
      <c r="I540">
        <v>143</v>
      </c>
      <c r="J540">
        <v>131</v>
      </c>
      <c r="K540">
        <v>83</v>
      </c>
      <c r="L540">
        <v>118</v>
      </c>
      <c r="M540">
        <v>12</v>
      </c>
      <c r="N540">
        <v>1662</v>
      </c>
      <c r="O540">
        <v>0.94</v>
      </c>
      <c r="P540">
        <v>1556</v>
      </c>
      <c r="Q540">
        <v>179</v>
      </c>
      <c r="R540">
        <v>71</v>
      </c>
      <c r="S540">
        <v>48</v>
      </c>
      <c r="T540">
        <v>264</v>
      </c>
      <c r="U540">
        <v>13</v>
      </c>
      <c r="V540">
        <v>132</v>
      </c>
      <c r="W540">
        <v>0.28299999999999997</v>
      </c>
      <c r="X540">
        <v>79</v>
      </c>
      <c r="Y540">
        <v>67</v>
      </c>
      <c r="Z540">
        <v>185</v>
      </c>
      <c r="AA540">
        <v>7</v>
      </c>
      <c r="AB540">
        <v>6.8</v>
      </c>
      <c r="AC540" t="s">
        <v>188</v>
      </c>
      <c r="AG540" t="s">
        <v>3828</v>
      </c>
      <c r="AH540" t="s">
        <v>3829</v>
      </c>
      <c r="AI540" s="245">
        <v>279.99</v>
      </c>
      <c r="AJ540" t="s">
        <v>3830</v>
      </c>
      <c r="AK540" t="s">
        <v>3831</v>
      </c>
      <c r="AL540" t="s">
        <v>3832</v>
      </c>
      <c r="AM540" s="245">
        <v>399</v>
      </c>
      <c r="AN540" t="s">
        <v>3833</v>
      </c>
      <c r="AO540" t="s">
        <v>3828</v>
      </c>
      <c r="AP540" t="s">
        <v>1301</v>
      </c>
      <c r="AQ540" s="245">
        <v>479.96</v>
      </c>
      <c r="AR540" t="s">
        <v>3834</v>
      </c>
      <c r="AS540" s="226" t="str">
        <f t="shared" si="16"/>
        <v>Experience 86 Basalt</v>
      </c>
      <c r="AT540" s="203" t="str">
        <f t="shared" si="17"/>
        <v xml:space="preserve"> RossignolExperience 86 Basalt158 Unisex</v>
      </c>
    </row>
    <row r="541" spans="1:46" ht="118.8">
      <c r="A541" t="s">
        <v>155</v>
      </c>
      <c r="B541" t="s">
        <v>245</v>
      </c>
      <c r="C541" t="s">
        <v>337</v>
      </c>
      <c r="D541">
        <v>163</v>
      </c>
      <c r="E541" t="s">
        <v>163</v>
      </c>
      <c r="F541">
        <v>163</v>
      </c>
      <c r="G541">
        <v>162.4</v>
      </c>
      <c r="H541">
        <v>106</v>
      </c>
      <c r="I541">
        <v>134</v>
      </c>
      <c r="J541">
        <v>134</v>
      </c>
      <c r="K541">
        <v>99</v>
      </c>
      <c r="L541">
        <v>124</v>
      </c>
      <c r="M541">
        <v>12.7</v>
      </c>
      <c r="N541">
        <v>1609</v>
      </c>
      <c r="O541">
        <v>1.1299999999999999</v>
      </c>
      <c r="P541">
        <v>1821</v>
      </c>
      <c r="Q541">
        <v>170</v>
      </c>
      <c r="R541">
        <v>82</v>
      </c>
      <c r="S541">
        <v>51</v>
      </c>
      <c r="T541">
        <v>345</v>
      </c>
      <c r="U541">
        <v>32</v>
      </c>
      <c r="V541">
        <v>218</v>
      </c>
      <c r="W541">
        <v>0.623</v>
      </c>
      <c r="X541">
        <v>143</v>
      </c>
      <c r="Y541">
        <v>145</v>
      </c>
      <c r="Z541">
        <v>202</v>
      </c>
      <c r="AA541">
        <v>5</v>
      </c>
      <c r="AB541">
        <v>9.9</v>
      </c>
      <c r="AC541" t="s">
        <v>188</v>
      </c>
      <c r="AD541" t="s">
        <v>185</v>
      </c>
      <c r="AG541" t="s">
        <v>3835</v>
      </c>
      <c r="AH541" t="s">
        <v>1181</v>
      </c>
      <c r="AI541" s="245">
        <v>479.99</v>
      </c>
      <c r="AJ541" t="s">
        <v>3836</v>
      </c>
      <c r="AK541" t="s">
        <v>3837</v>
      </c>
      <c r="AL541" t="s">
        <v>1405</v>
      </c>
      <c r="AM541" s="245">
        <v>654.99</v>
      </c>
      <c r="AN541" t="s">
        <v>3838</v>
      </c>
      <c r="AO541" t="s">
        <v>3835</v>
      </c>
      <c r="AP541" t="s">
        <v>1277</v>
      </c>
      <c r="AQ541" s="245">
        <v>685</v>
      </c>
      <c r="AR541" t="s">
        <v>3839</v>
      </c>
      <c r="AS541" s="226" t="str">
        <f t="shared" si="16"/>
        <v>Ranger 102 FR W</v>
      </c>
      <c r="AT541" s="203" t="str">
        <f t="shared" si="17"/>
        <v xml:space="preserve"> FischerRanger 102 FR W163 Women's</v>
      </c>
    </row>
    <row r="542" spans="1:46" ht="118.8">
      <c r="A542" t="s">
        <v>155</v>
      </c>
      <c r="B542" t="s">
        <v>156</v>
      </c>
      <c r="C542" t="s">
        <v>267</v>
      </c>
      <c r="D542">
        <v>161</v>
      </c>
      <c r="E542" t="s">
        <v>158</v>
      </c>
      <c r="F542">
        <v>161</v>
      </c>
      <c r="G542">
        <v>160.1</v>
      </c>
      <c r="H542">
        <v>114</v>
      </c>
      <c r="I542">
        <v>135</v>
      </c>
      <c r="J542">
        <v>121</v>
      </c>
      <c r="K542">
        <v>86</v>
      </c>
      <c r="L542">
        <v>104</v>
      </c>
      <c r="M542">
        <v>15.6</v>
      </c>
      <c r="N542">
        <v>1400</v>
      </c>
      <c r="O542">
        <v>1.1100000000000001</v>
      </c>
      <c r="P542">
        <v>1548</v>
      </c>
      <c r="Q542">
        <v>180</v>
      </c>
      <c r="R542">
        <v>86</v>
      </c>
      <c r="S542">
        <v>48</v>
      </c>
      <c r="T542">
        <v>282</v>
      </c>
      <c r="U542">
        <v>11</v>
      </c>
      <c r="V542">
        <v>183</v>
      </c>
      <c r="W542">
        <v>0.22500000000000001</v>
      </c>
      <c r="X542">
        <v>153</v>
      </c>
      <c r="Y542">
        <v>103</v>
      </c>
      <c r="Z542">
        <v>128</v>
      </c>
      <c r="AA542">
        <v>5</v>
      </c>
      <c r="AB542">
        <v>8.8000000000000007</v>
      </c>
      <c r="AC542" t="s">
        <v>188</v>
      </c>
      <c r="AD542" t="s">
        <v>185</v>
      </c>
      <c r="AG542" t="s">
        <v>3840</v>
      </c>
      <c r="AH542" t="s">
        <v>1282</v>
      </c>
      <c r="AI542" s="245">
        <v>399.99</v>
      </c>
      <c r="AJ542" t="s">
        <v>3841</v>
      </c>
      <c r="AK542" t="s">
        <v>3842</v>
      </c>
      <c r="AL542" t="s">
        <v>1224</v>
      </c>
      <c r="AM542" s="245">
        <v>479.99</v>
      </c>
      <c r="AN542" t="s">
        <v>3843</v>
      </c>
      <c r="AO542" t="s">
        <v>3842</v>
      </c>
      <c r="AP542" t="s">
        <v>1183</v>
      </c>
      <c r="AQ542" s="245">
        <v>507.49</v>
      </c>
      <c r="AR542" t="s">
        <v>3844</v>
      </c>
      <c r="AS542" s="226" t="str">
        <f t="shared" si="16"/>
        <v>Maverick 86 C</v>
      </c>
      <c r="AT542" s="203" t="str">
        <f t="shared" si="17"/>
        <v xml:space="preserve"> AtomicMaverick 86 C161 Unisex</v>
      </c>
    </row>
    <row r="543" spans="1:46" ht="118.8">
      <c r="A543" t="s">
        <v>155</v>
      </c>
      <c r="B543" t="s">
        <v>172</v>
      </c>
      <c r="C543" t="s">
        <v>661</v>
      </c>
      <c r="D543">
        <v>166</v>
      </c>
      <c r="E543" t="s">
        <v>163</v>
      </c>
      <c r="F543">
        <v>166</v>
      </c>
      <c r="G543">
        <v>166.5</v>
      </c>
      <c r="H543">
        <v>128</v>
      </c>
      <c r="I543">
        <v>153</v>
      </c>
      <c r="J543">
        <v>131</v>
      </c>
      <c r="K543">
        <v>84</v>
      </c>
      <c r="L543">
        <v>120</v>
      </c>
      <c r="M543">
        <v>13.6</v>
      </c>
      <c r="N543">
        <v>1821</v>
      </c>
      <c r="O543">
        <v>0.91</v>
      </c>
      <c r="P543">
        <v>1657</v>
      </c>
      <c r="Q543">
        <v>202</v>
      </c>
      <c r="R543">
        <v>87</v>
      </c>
      <c r="S543">
        <v>46</v>
      </c>
      <c r="T543">
        <v>259</v>
      </c>
      <c r="U543">
        <v>13</v>
      </c>
      <c r="V543">
        <v>129</v>
      </c>
      <c r="W543">
        <v>0.27300000000000002</v>
      </c>
      <c r="X543">
        <v>73</v>
      </c>
      <c r="Y543">
        <v>64</v>
      </c>
      <c r="Z543">
        <v>186</v>
      </c>
      <c r="AA543">
        <v>9</v>
      </c>
      <c r="AB543">
        <v>6.8</v>
      </c>
      <c r="AC543" t="s">
        <v>188</v>
      </c>
      <c r="AG543" t="s">
        <v>3845</v>
      </c>
      <c r="AH543" t="s">
        <v>3832</v>
      </c>
      <c r="AI543" s="245">
        <v>375</v>
      </c>
      <c r="AJ543" t="s">
        <v>3846</v>
      </c>
      <c r="AK543" t="s">
        <v>3845</v>
      </c>
      <c r="AL543" t="s">
        <v>1301</v>
      </c>
      <c r="AM543" s="245">
        <v>599.95000000000005</v>
      </c>
      <c r="AN543" t="s">
        <v>3847</v>
      </c>
      <c r="AO543" t="s">
        <v>3845</v>
      </c>
      <c r="AP543" t="s">
        <v>2516</v>
      </c>
      <c r="AQ543" s="245">
        <v>599.95000000000005</v>
      </c>
      <c r="AR543" t="s">
        <v>3848</v>
      </c>
      <c r="AS543" s="226" t="str">
        <f t="shared" si="16"/>
        <v>Experience 86 Basalt W</v>
      </c>
      <c r="AT543" s="203" t="str">
        <f t="shared" si="17"/>
        <v xml:space="preserve"> RossignolExperience 86 Basalt W166 Women's</v>
      </c>
    </row>
    <row r="544" spans="1:46" ht="132">
      <c r="A544" t="s">
        <v>155</v>
      </c>
      <c r="B544" t="s">
        <v>332</v>
      </c>
      <c r="C544" t="s">
        <v>465</v>
      </c>
      <c r="D544">
        <v>169</v>
      </c>
      <c r="E544" t="s">
        <v>158</v>
      </c>
      <c r="F544">
        <v>169</v>
      </c>
      <c r="G544">
        <v>167.4</v>
      </c>
      <c r="H544">
        <v>132</v>
      </c>
      <c r="I544">
        <v>143</v>
      </c>
      <c r="J544">
        <v>134</v>
      </c>
      <c r="K544">
        <v>96</v>
      </c>
      <c r="L544">
        <v>124</v>
      </c>
      <c r="M544">
        <v>14.8</v>
      </c>
      <c r="N544">
        <v>1913</v>
      </c>
      <c r="O544">
        <v>0.95</v>
      </c>
      <c r="P544">
        <v>1821</v>
      </c>
      <c r="Q544">
        <v>168</v>
      </c>
      <c r="R544">
        <v>81</v>
      </c>
      <c r="S544">
        <v>45</v>
      </c>
      <c r="T544">
        <v>175</v>
      </c>
      <c r="U544">
        <v>47</v>
      </c>
      <c r="V544">
        <v>177</v>
      </c>
      <c r="W544">
        <v>1.0469999999999999</v>
      </c>
      <c r="X544">
        <v>105</v>
      </c>
      <c r="Y544">
        <v>135</v>
      </c>
      <c r="Z544">
        <v>70</v>
      </c>
      <c r="AA544">
        <v>11</v>
      </c>
      <c r="AB544">
        <v>6</v>
      </c>
      <c r="AC544" t="s">
        <v>184</v>
      </c>
      <c r="AG544" t="s">
        <v>3849</v>
      </c>
      <c r="AH544" t="s">
        <v>2297</v>
      </c>
      <c r="AI544" s="245">
        <v>398</v>
      </c>
      <c r="AJ544" t="s">
        <v>3850</v>
      </c>
      <c r="AK544" t="s">
        <v>3851</v>
      </c>
      <c r="AL544" t="s">
        <v>1232</v>
      </c>
      <c r="AM544" s="245">
        <v>479.95</v>
      </c>
      <c r="AN544" t="s">
        <v>3852</v>
      </c>
      <c r="AO544" t="s">
        <v>3851</v>
      </c>
      <c r="AP544" t="s">
        <v>1400</v>
      </c>
      <c r="AQ544" s="245">
        <v>479.99</v>
      </c>
      <c r="AR544" t="s">
        <v>3853</v>
      </c>
      <c r="AS544" s="226" t="str">
        <f t="shared" si="16"/>
        <v>Soul Rider 97</v>
      </c>
      <c r="AT544" s="203" t="str">
        <f t="shared" si="17"/>
        <v xml:space="preserve"> NordicaSoul Rider 97169 Unisex</v>
      </c>
    </row>
    <row r="545" spans="1:46" ht="52.8">
      <c r="A545" t="s">
        <v>155</v>
      </c>
      <c r="B545" t="s">
        <v>1395</v>
      </c>
      <c r="C545" t="s">
        <v>230</v>
      </c>
      <c r="D545">
        <v>175</v>
      </c>
      <c r="E545" t="s">
        <v>158</v>
      </c>
      <c r="F545">
        <v>175</v>
      </c>
      <c r="G545">
        <v>176.1</v>
      </c>
      <c r="H545">
        <v>131</v>
      </c>
      <c r="I545">
        <v>152</v>
      </c>
      <c r="J545">
        <v>124</v>
      </c>
      <c r="K545">
        <v>83</v>
      </c>
      <c r="L545">
        <v>106</v>
      </c>
      <c r="M545">
        <v>17.5</v>
      </c>
      <c r="N545">
        <v>1609</v>
      </c>
      <c r="O545">
        <v>1.05</v>
      </c>
      <c r="P545">
        <v>1691</v>
      </c>
      <c r="Q545">
        <v>194</v>
      </c>
      <c r="R545">
        <v>75</v>
      </c>
      <c r="S545">
        <v>38</v>
      </c>
      <c r="T545">
        <v>290</v>
      </c>
      <c r="U545">
        <v>12</v>
      </c>
      <c r="V545">
        <v>161</v>
      </c>
      <c r="W545">
        <v>0.31900000000000001</v>
      </c>
      <c r="X545">
        <v>135</v>
      </c>
      <c r="Y545">
        <v>106</v>
      </c>
      <c r="Z545">
        <v>155</v>
      </c>
      <c r="AA545">
        <v>2</v>
      </c>
      <c r="AB545">
        <v>11.7</v>
      </c>
      <c r="AC545" t="s">
        <v>231</v>
      </c>
      <c r="AD545" t="s">
        <v>188</v>
      </c>
      <c r="AE545" t="s">
        <v>185</v>
      </c>
      <c r="AG545" t="s">
        <v>3854</v>
      </c>
      <c r="AH545" t="s">
        <v>1592</v>
      </c>
      <c r="AI545" s="245">
        <v>367.9</v>
      </c>
      <c r="AJ545" t="s">
        <v>3855</v>
      </c>
      <c r="AK545" t="s">
        <v>1396</v>
      </c>
      <c r="AL545" t="s">
        <v>1397</v>
      </c>
      <c r="AM545" s="245">
        <v>419.99</v>
      </c>
      <c r="AN545" t="s">
        <v>3856</v>
      </c>
      <c r="AO545" t="s">
        <v>3854</v>
      </c>
      <c r="AP545" t="s">
        <v>1179</v>
      </c>
      <c r="AQ545" s="245">
        <v>479.95</v>
      </c>
      <c r="AR545" t="s">
        <v>3857</v>
      </c>
      <c r="AS545" s="226" t="str">
        <f t="shared" si="16"/>
        <v>Kanjo 84</v>
      </c>
      <c r="AT545" s="203" t="str">
        <f t="shared" si="17"/>
        <v xml:space="preserve"> Vï¿½lklKanjo 84175 Unisex</v>
      </c>
    </row>
    <row r="546" spans="1:46" ht="92.4">
      <c r="A546" t="s">
        <v>155</v>
      </c>
      <c r="B546" t="s">
        <v>205</v>
      </c>
      <c r="C546" t="s">
        <v>663</v>
      </c>
      <c r="D546">
        <v>170</v>
      </c>
      <c r="E546" t="s">
        <v>158</v>
      </c>
      <c r="F546">
        <v>170</v>
      </c>
      <c r="G546">
        <v>168.5</v>
      </c>
      <c r="H546">
        <v>130</v>
      </c>
      <c r="I546">
        <v>144</v>
      </c>
      <c r="J546">
        <v>119</v>
      </c>
      <c r="K546">
        <v>85</v>
      </c>
      <c r="L546">
        <v>109</v>
      </c>
      <c r="M546">
        <v>16.600000000000001</v>
      </c>
      <c r="N546">
        <v>1686</v>
      </c>
      <c r="O546">
        <v>0.97</v>
      </c>
      <c r="P546">
        <v>1628</v>
      </c>
      <c r="Q546">
        <v>208</v>
      </c>
      <c r="R546">
        <v>127</v>
      </c>
      <c r="S546">
        <v>49</v>
      </c>
      <c r="T546">
        <v>223</v>
      </c>
      <c r="U546">
        <v>20</v>
      </c>
      <c r="V546">
        <v>158</v>
      </c>
      <c r="W546">
        <v>0.41199999999999998</v>
      </c>
      <c r="X546">
        <v>154</v>
      </c>
      <c r="Y546">
        <v>90</v>
      </c>
      <c r="Z546">
        <v>69</v>
      </c>
      <c r="AA546">
        <v>7</v>
      </c>
      <c r="AB546">
        <v>10.1</v>
      </c>
      <c r="AC546" t="s">
        <v>231</v>
      </c>
      <c r="AD546" t="s">
        <v>188</v>
      </c>
      <c r="AG546" t="s">
        <v>3858</v>
      </c>
      <c r="AH546" t="s">
        <v>1248</v>
      </c>
      <c r="AI546" s="245">
        <v>575.20000000000005</v>
      </c>
      <c r="AJ546" t="s">
        <v>3859</v>
      </c>
      <c r="AK546" t="s">
        <v>2074</v>
      </c>
      <c r="AL546" t="s">
        <v>1277</v>
      </c>
      <c r="AM546" s="245">
        <v>391</v>
      </c>
      <c r="AN546" t="s">
        <v>3860</v>
      </c>
      <c r="AO546" t="s">
        <v>2076</v>
      </c>
      <c r="AP546" t="s">
        <v>1349</v>
      </c>
      <c r="AQ546" s="245">
        <v>439.98</v>
      </c>
      <c r="AR546" t="s">
        <v>3861</v>
      </c>
      <c r="AS546" s="226" t="str">
        <f t="shared" si="16"/>
        <v>Dictator 1.0</v>
      </c>
      <c r="AT546" s="203" t="str">
        <f t="shared" si="17"/>
        <v xml:space="preserve"> FactionDictator 1.0170 Unisex</v>
      </c>
    </row>
    <row r="547" spans="1:46" ht="52.8">
      <c r="A547" t="s">
        <v>155</v>
      </c>
      <c r="B547" t="s">
        <v>205</v>
      </c>
      <c r="C547" t="s">
        <v>664</v>
      </c>
      <c r="D547">
        <v>158</v>
      </c>
      <c r="E547" t="s">
        <v>163</v>
      </c>
      <c r="F547">
        <v>158</v>
      </c>
      <c r="G547">
        <v>155.9</v>
      </c>
      <c r="H547">
        <v>111</v>
      </c>
      <c r="I547">
        <v>129</v>
      </c>
      <c r="J547">
        <v>119</v>
      </c>
      <c r="K547">
        <v>87</v>
      </c>
      <c r="L547">
        <v>112</v>
      </c>
      <c r="M547">
        <v>13</v>
      </c>
      <c r="N547">
        <v>1577</v>
      </c>
      <c r="O547">
        <v>0.98</v>
      </c>
      <c r="P547">
        <v>1544</v>
      </c>
      <c r="Q547">
        <v>159</v>
      </c>
      <c r="R547">
        <v>79</v>
      </c>
      <c r="S547">
        <v>53</v>
      </c>
      <c r="T547">
        <v>259</v>
      </c>
      <c r="U547">
        <v>39</v>
      </c>
      <c r="V547">
        <v>195</v>
      </c>
      <c r="W547">
        <v>0.73399999999999999</v>
      </c>
      <c r="X547">
        <v>145</v>
      </c>
      <c r="Y547">
        <v>121</v>
      </c>
      <c r="Z547">
        <v>113</v>
      </c>
      <c r="AA547">
        <v>6</v>
      </c>
      <c r="AB547">
        <v>6.8</v>
      </c>
      <c r="AC547" t="s">
        <v>188</v>
      </c>
      <c r="AG547" t="s">
        <v>3862</v>
      </c>
      <c r="AH547" t="s">
        <v>1277</v>
      </c>
      <c r="AI547" s="245">
        <v>399</v>
      </c>
      <c r="AJ547" t="s">
        <v>3863</v>
      </c>
      <c r="AK547" t="s">
        <v>3864</v>
      </c>
      <c r="AL547" t="s">
        <v>1556</v>
      </c>
      <c r="AM547" s="245">
        <v>449</v>
      </c>
      <c r="AN547" t="s">
        <v>3865</v>
      </c>
      <c r="AS547" s="226" t="str">
        <f t="shared" si="16"/>
        <v>Prodigy 1.0 X</v>
      </c>
      <c r="AT547" s="203" t="str">
        <f t="shared" si="17"/>
        <v xml:space="preserve"> FactionProdigy 1.0 X158 Women's</v>
      </c>
    </row>
    <row r="548" spans="1:46" ht="105.6">
      <c r="A548" t="s">
        <v>155</v>
      </c>
      <c r="B548" t="s">
        <v>317</v>
      </c>
      <c r="C548" t="s">
        <v>618</v>
      </c>
      <c r="D548">
        <v>173</v>
      </c>
      <c r="E548" t="s">
        <v>163</v>
      </c>
      <c r="F548">
        <v>173</v>
      </c>
      <c r="G548">
        <v>171.3</v>
      </c>
      <c r="H548">
        <v>138</v>
      </c>
      <c r="I548">
        <v>148</v>
      </c>
      <c r="J548">
        <v>121</v>
      </c>
      <c r="K548">
        <v>81</v>
      </c>
      <c r="L548">
        <v>104</v>
      </c>
      <c r="M548">
        <v>17</v>
      </c>
      <c r="N548">
        <v>1783</v>
      </c>
      <c r="O548">
        <v>0.9</v>
      </c>
      <c r="P548">
        <v>1600</v>
      </c>
      <c r="Q548">
        <v>215</v>
      </c>
      <c r="R548">
        <v>109</v>
      </c>
      <c r="S548">
        <v>50</v>
      </c>
      <c r="T548">
        <v>231</v>
      </c>
      <c r="U548">
        <v>7</v>
      </c>
      <c r="V548">
        <v>107</v>
      </c>
      <c r="W548">
        <v>0.13500000000000001</v>
      </c>
      <c r="X548">
        <v>120</v>
      </c>
      <c r="Y548">
        <v>109</v>
      </c>
      <c r="Z548">
        <v>111</v>
      </c>
      <c r="AA548">
        <v>6</v>
      </c>
      <c r="AB548">
        <v>11.4</v>
      </c>
      <c r="AC548" t="s">
        <v>231</v>
      </c>
      <c r="AD548" t="s">
        <v>188</v>
      </c>
      <c r="AG548" t="s">
        <v>3866</v>
      </c>
      <c r="AH548" t="s">
        <v>1271</v>
      </c>
      <c r="AI548" s="245">
        <v>479.93</v>
      </c>
      <c r="AJ548" t="s">
        <v>3867</v>
      </c>
      <c r="AK548" t="s">
        <v>3866</v>
      </c>
      <c r="AL548" t="s">
        <v>1405</v>
      </c>
      <c r="AM548" s="245">
        <v>479.95</v>
      </c>
      <c r="AN548" t="s">
        <v>3868</v>
      </c>
      <c r="AO548" t="s">
        <v>3866</v>
      </c>
      <c r="AP548" t="s">
        <v>1226</v>
      </c>
      <c r="AQ548" s="245">
        <v>479.95</v>
      </c>
      <c r="AR548" t="s">
        <v>3869</v>
      </c>
      <c r="AS548" s="226" t="str">
        <f t="shared" si="16"/>
        <v>Black Pearl 82</v>
      </c>
      <c r="AT548" s="203" t="str">
        <f t="shared" si="17"/>
        <v xml:space="preserve"> BlizzardBlack Pearl 82173 Women's</v>
      </c>
    </row>
    <row r="549" spans="1:46" ht="52.8">
      <c r="A549" t="s">
        <v>155</v>
      </c>
      <c r="B549" t="s">
        <v>156</v>
      </c>
      <c r="C549" t="s">
        <v>399</v>
      </c>
      <c r="D549">
        <v>172</v>
      </c>
      <c r="E549" t="s">
        <v>158</v>
      </c>
      <c r="F549">
        <v>172</v>
      </c>
      <c r="G549">
        <v>171.1</v>
      </c>
      <c r="H549">
        <v>123</v>
      </c>
      <c r="I549">
        <v>138</v>
      </c>
      <c r="J549">
        <v>127</v>
      </c>
      <c r="K549">
        <v>98</v>
      </c>
      <c r="L549">
        <v>117</v>
      </c>
      <c r="M549">
        <v>17.5</v>
      </c>
      <c r="N549">
        <v>1227</v>
      </c>
      <c r="O549">
        <v>1.49</v>
      </c>
      <c r="P549">
        <v>1825</v>
      </c>
      <c r="Q549">
        <v>161</v>
      </c>
      <c r="R549">
        <v>88</v>
      </c>
      <c r="S549">
        <v>53</v>
      </c>
      <c r="T549">
        <v>291</v>
      </c>
      <c r="U549">
        <v>14</v>
      </c>
      <c r="V549">
        <v>191</v>
      </c>
      <c r="W549">
        <v>0.27200000000000002</v>
      </c>
      <c r="X549">
        <v>172</v>
      </c>
      <c r="Y549">
        <v>163</v>
      </c>
      <c r="Z549">
        <v>120</v>
      </c>
      <c r="AA549">
        <v>5</v>
      </c>
      <c r="AB549">
        <v>7.9</v>
      </c>
      <c r="AC549" t="s">
        <v>185</v>
      </c>
      <c r="AD549" t="s">
        <v>198</v>
      </c>
      <c r="AG549" t="s">
        <v>3870</v>
      </c>
      <c r="AH549" t="s">
        <v>1349</v>
      </c>
      <c r="AI549" s="245">
        <v>439.98</v>
      </c>
      <c r="AJ549" t="s">
        <v>3871</v>
      </c>
      <c r="AK549" t="s">
        <v>3870</v>
      </c>
      <c r="AL549" t="s">
        <v>1185</v>
      </c>
      <c r="AM549" s="245">
        <v>489.99</v>
      </c>
      <c r="AN549" t="s">
        <v>3872</v>
      </c>
      <c r="AO549" t="s">
        <v>3870</v>
      </c>
      <c r="AP549" t="s">
        <v>1224</v>
      </c>
      <c r="AQ549" s="245">
        <v>559.98</v>
      </c>
      <c r="AR549" t="s">
        <v>3873</v>
      </c>
      <c r="AS549" s="226" t="str">
        <f t="shared" si="16"/>
        <v>Backland 100</v>
      </c>
      <c r="AT549" s="203" t="str">
        <f t="shared" si="17"/>
        <v xml:space="preserve"> AtomicBackland 100172 Unisex</v>
      </c>
    </row>
    <row r="550" spans="1:46" ht="409.6">
      <c r="A550" t="s">
        <v>155</v>
      </c>
      <c r="B550" t="s">
        <v>1160</v>
      </c>
      <c r="C550" t="s">
        <v>583</v>
      </c>
      <c r="D550">
        <v>170</v>
      </c>
      <c r="E550" t="s">
        <v>158</v>
      </c>
      <c r="F550">
        <v>170</v>
      </c>
      <c r="G550">
        <v>170.7</v>
      </c>
      <c r="H550">
        <v>150</v>
      </c>
      <c r="I550">
        <v>159</v>
      </c>
      <c r="J550">
        <v>124</v>
      </c>
      <c r="K550">
        <v>77</v>
      </c>
      <c r="L550">
        <v>110</v>
      </c>
      <c r="M550">
        <v>15.4</v>
      </c>
      <c r="N550">
        <v>1835</v>
      </c>
      <c r="O550">
        <v>0.86</v>
      </c>
      <c r="P550">
        <v>1572</v>
      </c>
      <c r="Q550">
        <v>205</v>
      </c>
      <c r="R550">
        <v>93</v>
      </c>
      <c r="S550">
        <v>33</v>
      </c>
      <c r="T550">
        <v>144</v>
      </c>
      <c r="U550">
        <v>7</v>
      </c>
      <c r="V550">
        <v>65</v>
      </c>
      <c r="W550">
        <v>0.217</v>
      </c>
      <c r="X550">
        <v>76</v>
      </c>
      <c r="Y550">
        <v>44</v>
      </c>
      <c r="Z550">
        <v>68</v>
      </c>
      <c r="AA550">
        <v>11</v>
      </c>
      <c r="AB550">
        <v>10.7</v>
      </c>
      <c r="AC550" t="s">
        <v>349</v>
      </c>
      <c r="AG550" t="s">
        <v>3874</v>
      </c>
      <c r="AH550" t="s">
        <v>2632</v>
      </c>
      <c r="AI550" s="245">
        <v>599.95000000000005</v>
      </c>
      <c r="AJ550" t="s">
        <v>3875</v>
      </c>
      <c r="AK550" t="s">
        <v>3874</v>
      </c>
      <c r="AL550" t="s">
        <v>1226</v>
      </c>
      <c r="AM550" s="245">
        <v>599.95000000000005</v>
      </c>
      <c r="AN550" t="s">
        <v>3876</v>
      </c>
      <c r="AO550" t="s">
        <v>3877</v>
      </c>
      <c r="AP550" t="s">
        <v>1218</v>
      </c>
      <c r="AQ550" s="245">
        <v>299.95</v>
      </c>
      <c r="AR550" t="s">
        <v>3878</v>
      </c>
      <c r="AS550" s="226" t="str">
        <f t="shared" si="16"/>
        <v>Disruption 78C</v>
      </c>
      <c r="AT550" s="203" t="str">
        <f t="shared" si="17"/>
        <v>K2Disruption 78C170 Unisex</v>
      </c>
    </row>
    <row r="551" spans="1:46" ht="92.4">
      <c r="A551" t="s">
        <v>155</v>
      </c>
      <c r="B551" t="s">
        <v>237</v>
      </c>
      <c r="C551" t="s">
        <v>665</v>
      </c>
      <c r="D551">
        <v>169.1</v>
      </c>
      <c r="E551" t="s">
        <v>163</v>
      </c>
      <c r="F551">
        <v>169.1</v>
      </c>
      <c r="G551">
        <v>167.9</v>
      </c>
      <c r="H551">
        <v>120</v>
      </c>
      <c r="I551">
        <v>139</v>
      </c>
      <c r="J551">
        <v>136</v>
      </c>
      <c r="K551">
        <v>107</v>
      </c>
      <c r="L551">
        <v>122</v>
      </c>
      <c r="M551">
        <v>20.3</v>
      </c>
      <c r="N551">
        <v>1780</v>
      </c>
      <c r="O551">
        <v>1.0900000000000001</v>
      </c>
      <c r="P551">
        <v>1946</v>
      </c>
      <c r="Q551">
        <v>167</v>
      </c>
      <c r="R551">
        <v>70</v>
      </c>
      <c r="S551">
        <v>46</v>
      </c>
      <c r="T551">
        <v>268</v>
      </c>
      <c r="U551">
        <v>32</v>
      </c>
      <c r="V551">
        <v>212</v>
      </c>
      <c r="W551">
        <v>0.68700000000000006</v>
      </c>
      <c r="X551">
        <v>173</v>
      </c>
      <c r="Y551">
        <v>117</v>
      </c>
      <c r="Z551">
        <v>95</v>
      </c>
      <c r="AA551">
        <v>5</v>
      </c>
      <c r="AB551">
        <v>8.4</v>
      </c>
      <c r="AC551" t="s">
        <v>169</v>
      </c>
      <c r="AD551" t="s">
        <v>185</v>
      </c>
      <c r="AG551" t="s">
        <v>3136</v>
      </c>
      <c r="AH551" t="s">
        <v>1349</v>
      </c>
      <c r="AI551" s="245">
        <v>632.55999999999995</v>
      </c>
      <c r="AJ551" t="s">
        <v>3879</v>
      </c>
      <c r="AK551" t="s">
        <v>3136</v>
      </c>
      <c r="AL551" t="s">
        <v>1858</v>
      </c>
      <c r="AM551" s="245">
        <v>671</v>
      </c>
      <c r="AN551" t="s">
        <v>3880</v>
      </c>
      <c r="AO551" t="s">
        <v>3136</v>
      </c>
      <c r="AP551" t="s">
        <v>1271</v>
      </c>
      <c r="AQ551" s="245">
        <v>671.93</v>
      </c>
      <c r="AR551" t="s">
        <v>3881</v>
      </c>
      <c r="AS551" s="226" t="str">
        <f t="shared" si="16"/>
        <v>Atris Birdie</v>
      </c>
      <c r="AT551" s="203" t="str">
        <f t="shared" si="17"/>
        <v xml:space="preserve"> Black CrowsAtris Birdie169.1 Women's</v>
      </c>
    </row>
    <row r="552" spans="1:46" ht="92.4">
      <c r="A552" t="s">
        <v>155</v>
      </c>
      <c r="B552" t="s">
        <v>317</v>
      </c>
      <c r="C552" t="s">
        <v>613</v>
      </c>
      <c r="D552">
        <v>153</v>
      </c>
      <c r="E552" t="s">
        <v>163</v>
      </c>
      <c r="F552">
        <v>153</v>
      </c>
      <c r="G552">
        <v>151.4</v>
      </c>
      <c r="H552">
        <v>132</v>
      </c>
      <c r="I552">
        <v>139</v>
      </c>
      <c r="J552">
        <v>119</v>
      </c>
      <c r="K552">
        <v>71</v>
      </c>
      <c r="L552">
        <v>101</v>
      </c>
      <c r="M552">
        <v>12.5</v>
      </c>
      <c r="N552">
        <v>1608</v>
      </c>
      <c r="O552">
        <v>0.8</v>
      </c>
      <c r="P552">
        <v>1292</v>
      </c>
      <c r="Q552">
        <v>202</v>
      </c>
      <c r="R552">
        <v>74</v>
      </c>
      <c r="S552">
        <v>31</v>
      </c>
      <c r="T552">
        <v>133</v>
      </c>
      <c r="U552">
        <v>8</v>
      </c>
      <c r="V552">
        <v>64</v>
      </c>
      <c r="W552">
        <v>0.25900000000000001</v>
      </c>
      <c r="X552">
        <v>73</v>
      </c>
      <c r="Y552">
        <v>51</v>
      </c>
      <c r="Z552">
        <v>59</v>
      </c>
      <c r="AA552">
        <v>7</v>
      </c>
      <c r="AB552">
        <v>10.199999999999999</v>
      </c>
      <c r="AC552" t="s">
        <v>349</v>
      </c>
      <c r="AG552" t="s">
        <v>3882</v>
      </c>
      <c r="AH552" t="s">
        <v>1179</v>
      </c>
      <c r="AI552" s="245">
        <v>399.95</v>
      </c>
      <c r="AJ552" t="s">
        <v>3883</v>
      </c>
      <c r="AK552" t="s">
        <v>3884</v>
      </c>
      <c r="AL552" t="s">
        <v>2654</v>
      </c>
      <c r="AM552" s="245">
        <v>400.85</v>
      </c>
      <c r="AN552" t="s">
        <v>3885</v>
      </c>
      <c r="AO552" t="s">
        <v>3886</v>
      </c>
      <c r="AP552" t="s">
        <v>1294</v>
      </c>
      <c r="AQ552" s="245">
        <v>399.93</v>
      </c>
      <c r="AR552" t="s">
        <v>3887</v>
      </c>
      <c r="AS552" s="226" t="str">
        <f t="shared" si="16"/>
        <v>Phoenix 7.2</v>
      </c>
      <c r="AT552" s="203" t="str">
        <f t="shared" si="17"/>
        <v xml:space="preserve"> BlizzardPhoenix 7.2153 Women's</v>
      </c>
    </row>
    <row r="553" spans="1:46" ht="105.6">
      <c r="A553" t="s">
        <v>155</v>
      </c>
      <c r="B553" t="s">
        <v>1395</v>
      </c>
      <c r="C553" t="s">
        <v>437</v>
      </c>
      <c r="D553">
        <v>177</v>
      </c>
      <c r="E553" t="s">
        <v>158</v>
      </c>
      <c r="F553">
        <v>177</v>
      </c>
      <c r="G553">
        <v>178.3</v>
      </c>
      <c r="H553">
        <v>101</v>
      </c>
      <c r="I553">
        <v>154</v>
      </c>
      <c r="J553">
        <v>128</v>
      </c>
      <c r="K553">
        <v>88</v>
      </c>
      <c r="L553">
        <v>111</v>
      </c>
      <c r="M553">
        <v>17.8</v>
      </c>
      <c r="N553">
        <v>1957</v>
      </c>
      <c r="O553">
        <v>0.91</v>
      </c>
      <c r="P553">
        <v>1790</v>
      </c>
      <c r="Q553">
        <v>227</v>
      </c>
      <c r="R553">
        <v>145</v>
      </c>
      <c r="S553">
        <v>44</v>
      </c>
      <c r="T553">
        <v>418</v>
      </c>
      <c r="U553">
        <v>16</v>
      </c>
      <c r="V553">
        <v>355</v>
      </c>
      <c r="W553">
        <v>0.36299999999999999</v>
      </c>
      <c r="X553">
        <v>133</v>
      </c>
      <c r="Y553">
        <v>106</v>
      </c>
      <c r="Z553">
        <v>285</v>
      </c>
      <c r="AA553">
        <v>2</v>
      </c>
      <c r="AB553">
        <v>11.9</v>
      </c>
      <c r="AC553" t="s">
        <v>188</v>
      </c>
      <c r="AG553" t="s">
        <v>3888</v>
      </c>
      <c r="AH553" t="s">
        <v>1226</v>
      </c>
      <c r="AI553" s="245">
        <v>699.99</v>
      </c>
      <c r="AJ553" t="s">
        <v>3889</v>
      </c>
      <c r="AK553" t="s">
        <v>3890</v>
      </c>
      <c r="AL553" t="s">
        <v>1271</v>
      </c>
      <c r="AM553" s="245">
        <v>519.91</v>
      </c>
      <c r="AN553" t="s">
        <v>3891</v>
      </c>
      <c r="AO553" t="s">
        <v>3892</v>
      </c>
      <c r="AP553" t="s">
        <v>1232</v>
      </c>
      <c r="AQ553" s="245">
        <v>649.95000000000005</v>
      </c>
      <c r="AR553" t="s">
        <v>3893</v>
      </c>
      <c r="AS553" s="226" t="str">
        <f t="shared" si="16"/>
        <v>Kendo 88</v>
      </c>
      <c r="AT553" s="203" t="str">
        <f t="shared" si="17"/>
        <v xml:space="preserve"> Vï¿½lklKendo 88177 Unisex</v>
      </c>
    </row>
    <row r="554" spans="1:46" ht="105.6">
      <c r="A554" t="s">
        <v>155</v>
      </c>
      <c r="B554" t="s">
        <v>1160</v>
      </c>
      <c r="C554" t="s">
        <v>327</v>
      </c>
      <c r="D554">
        <v>170</v>
      </c>
      <c r="E554" t="s">
        <v>158</v>
      </c>
      <c r="F554">
        <v>170</v>
      </c>
      <c r="G554">
        <v>170.2</v>
      </c>
      <c r="H554">
        <v>130</v>
      </c>
      <c r="I554">
        <v>142</v>
      </c>
      <c r="J554">
        <v>126</v>
      </c>
      <c r="K554">
        <v>89</v>
      </c>
      <c r="L554">
        <v>112</v>
      </c>
      <c r="M554">
        <v>16</v>
      </c>
      <c r="N554">
        <v>1562</v>
      </c>
      <c r="O554">
        <v>1.1000000000000001</v>
      </c>
      <c r="P554">
        <v>1724</v>
      </c>
      <c r="Q554">
        <v>156</v>
      </c>
      <c r="R554">
        <v>80</v>
      </c>
      <c r="S554">
        <v>49</v>
      </c>
      <c r="T554">
        <v>236</v>
      </c>
      <c r="U554">
        <v>16</v>
      </c>
      <c r="V554">
        <v>171</v>
      </c>
      <c r="W554">
        <v>0.32500000000000001</v>
      </c>
      <c r="X554">
        <v>155</v>
      </c>
      <c r="Y554">
        <v>126</v>
      </c>
      <c r="Z554">
        <v>81</v>
      </c>
      <c r="AA554">
        <v>7</v>
      </c>
      <c r="AB554">
        <v>10.6</v>
      </c>
      <c r="AC554" t="s">
        <v>188</v>
      </c>
      <c r="AD554" t="s">
        <v>185</v>
      </c>
      <c r="AG554" t="s">
        <v>1727</v>
      </c>
      <c r="AH554" t="s">
        <v>1218</v>
      </c>
      <c r="AI554" s="245">
        <v>399.95</v>
      </c>
      <c r="AJ554" t="s">
        <v>3894</v>
      </c>
      <c r="AK554" t="s">
        <v>3895</v>
      </c>
      <c r="AL554" t="s">
        <v>1240</v>
      </c>
      <c r="AM554" s="245">
        <v>499</v>
      </c>
      <c r="AN554" t="s">
        <v>3896</v>
      </c>
      <c r="AO554" t="s">
        <v>3897</v>
      </c>
      <c r="AP554" t="s">
        <v>1280</v>
      </c>
      <c r="AQ554" s="245">
        <v>499.95</v>
      </c>
      <c r="AR554" t="s">
        <v>3898</v>
      </c>
      <c r="AS554" s="226" t="str">
        <f t="shared" si="16"/>
        <v>Mindbender 90C</v>
      </c>
      <c r="AT554" s="203" t="str">
        <f t="shared" si="17"/>
        <v>K2Mindbender 90C170 Unisex</v>
      </c>
    </row>
    <row r="555" spans="1:46" ht="132">
      <c r="A555" t="s">
        <v>155</v>
      </c>
      <c r="B555" t="s">
        <v>172</v>
      </c>
      <c r="C555" t="s">
        <v>478</v>
      </c>
      <c r="D555">
        <v>158</v>
      </c>
      <c r="E555" t="s">
        <v>163</v>
      </c>
      <c r="F555">
        <v>158</v>
      </c>
      <c r="G555">
        <v>158.19999999999999</v>
      </c>
      <c r="H555">
        <v>120</v>
      </c>
      <c r="I555">
        <v>144</v>
      </c>
      <c r="J555">
        <v>125</v>
      </c>
      <c r="K555">
        <v>80</v>
      </c>
      <c r="L555">
        <v>114</v>
      </c>
      <c r="M555">
        <v>12.7</v>
      </c>
      <c r="N555">
        <v>1684</v>
      </c>
      <c r="O555">
        <v>0.89</v>
      </c>
      <c r="P555">
        <v>1503</v>
      </c>
      <c r="Q555">
        <v>198</v>
      </c>
      <c r="R555">
        <v>76</v>
      </c>
      <c r="S555">
        <v>48</v>
      </c>
      <c r="T555">
        <v>261</v>
      </c>
      <c r="U555">
        <v>13</v>
      </c>
      <c r="V555">
        <v>126</v>
      </c>
      <c r="W555">
        <v>0.26600000000000001</v>
      </c>
      <c r="X555">
        <v>79</v>
      </c>
      <c r="Y555">
        <v>63</v>
      </c>
      <c r="Z555">
        <v>182</v>
      </c>
      <c r="AA555">
        <v>8</v>
      </c>
      <c r="AB555">
        <v>7.1</v>
      </c>
      <c r="AC555" t="s">
        <v>188</v>
      </c>
      <c r="AG555" t="s">
        <v>2537</v>
      </c>
      <c r="AH555" t="s">
        <v>3899</v>
      </c>
      <c r="AI555" s="245">
        <v>449.99</v>
      </c>
      <c r="AJ555" t="s">
        <v>3900</v>
      </c>
      <c r="AK555" t="s">
        <v>2537</v>
      </c>
      <c r="AL555" t="s">
        <v>1179</v>
      </c>
      <c r="AM555" s="245">
        <v>479.95</v>
      </c>
      <c r="AN555" t="s">
        <v>3901</v>
      </c>
      <c r="AO555" t="s">
        <v>2847</v>
      </c>
      <c r="AP555" t="s">
        <v>2049</v>
      </c>
      <c r="AQ555" s="245">
        <v>599.95000000000005</v>
      </c>
      <c r="AR555" t="s">
        <v>3902</v>
      </c>
      <c r="AS555" s="226" t="str">
        <f t="shared" si="16"/>
        <v>Experience 80 Carbon W</v>
      </c>
      <c r="AT555" s="203" t="str">
        <f t="shared" si="17"/>
        <v xml:space="preserve"> RossignolExperience 80 Carbon W158 Women's</v>
      </c>
    </row>
    <row r="556" spans="1:46" ht="79.2">
      <c r="A556" t="s">
        <v>155</v>
      </c>
      <c r="B556" t="s">
        <v>182</v>
      </c>
      <c r="C556" t="s">
        <v>667</v>
      </c>
      <c r="D556">
        <v>166</v>
      </c>
      <c r="E556" t="s">
        <v>158</v>
      </c>
      <c r="F556">
        <v>166</v>
      </c>
      <c r="G556">
        <v>165.6</v>
      </c>
      <c r="H556">
        <v>139</v>
      </c>
      <c r="I556">
        <v>148</v>
      </c>
      <c r="J556">
        <v>125</v>
      </c>
      <c r="K556">
        <v>81</v>
      </c>
      <c r="L556">
        <v>108</v>
      </c>
      <c r="M556">
        <v>15.4</v>
      </c>
      <c r="N556">
        <v>1536</v>
      </c>
      <c r="O556">
        <v>1.02</v>
      </c>
      <c r="P556">
        <v>1569</v>
      </c>
      <c r="Q556">
        <v>211</v>
      </c>
      <c r="R556">
        <v>119</v>
      </c>
      <c r="S556">
        <v>35</v>
      </c>
      <c r="T556">
        <v>172</v>
      </c>
      <c r="U556">
        <v>10</v>
      </c>
      <c r="V556">
        <v>98</v>
      </c>
      <c r="W556">
        <v>0.28199999999999997</v>
      </c>
      <c r="X556">
        <v>114</v>
      </c>
      <c r="Y556">
        <v>58</v>
      </c>
      <c r="Z556">
        <v>58</v>
      </c>
      <c r="AA556">
        <v>10</v>
      </c>
      <c r="AB556">
        <v>10.199999999999999</v>
      </c>
      <c r="AC556" t="s">
        <v>231</v>
      </c>
      <c r="AD556" t="s">
        <v>188</v>
      </c>
      <c r="AG556" t="s">
        <v>3903</v>
      </c>
      <c r="AH556" t="s">
        <v>1179</v>
      </c>
      <c r="AI556" s="245">
        <v>599.95000000000005</v>
      </c>
      <c r="AJ556" t="s">
        <v>3904</v>
      </c>
      <c r="AK556" t="s">
        <v>3905</v>
      </c>
      <c r="AL556" t="s">
        <v>1858</v>
      </c>
      <c r="AM556" s="245">
        <v>479</v>
      </c>
      <c r="AN556" t="s">
        <v>3906</v>
      </c>
      <c r="AO556" t="s">
        <v>3907</v>
      </c>
      <c r="AP556" t="s">
        <v>1194</v>
      </c>
      <c r="AQ556" s="245">
        <v>552.30999999999995</v>
      </c>
      <c r="AR556" t="s">
        <v>3908</v>
      </c>
      <c r="AS556" s="226" t="str">
        <f t="shared" si="16"/>
        <v>Declivity 82 Ti</v>
      </c>
      <c r="AT556" s="203" t="str">
        <f t="shared" si="17"/>
        <v xml:space="preserve"> ArmadaDeclivity 82 Ti166 Unisex</v>
      </c>
    </row>
    <row r="557" spans="1:46" ht="145.19999999999999">
      <c r="A557" t="s">
        <v>155</v>
      </c>
      <c r="B557" t="s">
        <v>172</v>
      </c>
      <c r="C557" t="s">
        <v>469</v>
      </c>
      <c r="D557">
        <v>160</v>
      </c>
      <c r="E557" t="s">
        <v>158</v>
      </c>
      <c r="F557">
        <v>160</v>
      </c>
      <c r="G557">
        <v>158.5</v>
      </c>
      <c r="H557">
        <v>120</v>
      </c>
      <c r="I557">
        <v>143</v>
      </c>
      <c r="J557">
        <v>124</v>
      </c>
      <c r="K557">
        <v>80</v>
      </c>
      <c r="L557">
        <v>113</v>
      </c>
      <c r="M557">
        <v>12.8</v>
      </c>
      <c r="N557">
        <v>1651</v>
      </c>
      <c r="O557">
        <v>0.9</v>
      </c>
      <c r="P557">
        <v>1493</v>
      </c>
      <c r="Q557">
        <v>179</v>
      </c>
      <c r="R557">
        <v>72</v>
      </c>
      <c r="S557">
        <v>47</v>
      </c>
      <c r="T557">
        <v>258</v>
      </c>
      <c r="U557">
        <v>12</v>
      </c>
      <c r="V557">
        <v>123</v>
      </c>
      <c r="W557">
        <v>0.26</v>
      </c>
      <c r="X557">
        <v>88</v>
      </c>
      <c r="Y557">
        <v>63</v>
      </c>
      <c r="Z557">
        <v>170</v>
      </c>
      <c r="AA557">
        <v>10</v>
      </c>
      <c r="AB557">
        <v>7.1</v>
      </c>
      <c r="AC557" t="s">
        <v>160</v>
      </c>
      <c r="AG557" t="s">
        <v>3909</v>
      </c>
      <c r="AH557" t="s">
        <v>1226</v>
      </c>
      <c r="AI557" s="245">
        <v>669.95</v>
      </c>
      <c r="AJ557" t="s">
        <v>3910</v>
      </c>
      <c r="AK557" t="s">
        <v>3911</v>
      </c>
      <c r="AL557" t="s">
        <v>1191</v>
      </c>
      <c r="AM557" s="245">
        <v>469.95</v>
      </c>
      <c r="AN557" t="s">
        <v>3912</v>
      </c>
      <c r="AO557" t="s">
        <v>3913</v>
      </c>
      <c r="AP557" t="s">
        <v>1218</v>
      </c>
      <c r="AQ557" s="245">
        <v>559.95000000000005</v>
      </c>
      <c r="AR557" t="s">
        <v>3914</v>
      </c>
      <c r="AS557" s="226" t="str">
        <f t="shared" si="16"/>
        <v>Experience 82 Basalt</v>
      </c>
      <c r="AT557" s="203" t="str">
        <f t="shared" si="17"/>
        <v xml:space="preserve"> RossignolExperience 82 Basalt160 Unisex</v>
      </c>
    </row>
    <row r="558" spans="1:46" ht="382.8">
      <c r="A558" t="s">
        <v>155</v>
      </c>
      <c r="B558" t="s">
        <v>182</v>
      </c>
      <c r="C558" t="s">
        <v>668</v>
      </c>
      <c r="D558">
        <v>172</v>
      </c>
      <c r="E558" t="s">
        <v>163</v>
      </c>
      <c r="F558">
        <v>172</v>
      </c>
      <c r="G558">
        <v>171.2</v>
      </c>
      <c r="H558">
        <v>139</v>
      </c>
      <c r="I558">
        <v>144</v>
      </c>
      <c r="J558">
        <v>115</v>
      </c>
      <c r="K558">
        <v>87</v>
      </c>
      <c r="L558">
        <v>107</v>
      </c>
      <c r="M558">
        <v>20.399999999999999</v>
      </c>
      <c r="N558">
        <v>1246</v>
      </c>
      <c r="O558">
        <v>1.32</v>
      </c>
      <c r="P558">
        <v>1643</v>
      </c>
      <c r="Q558">
        <v>190</v>
      </c>
      <c r="R558">
        <v>84</v>
      </c>
      <c r="S558">
        <v>42</v>
      </c>
      <c r="T558">
        <v>205</v>
      </c>
      <c r="U558">
        <v>11</v>
      </c>
      <c r="V558">
        <v>121</v>
      </c>
      <c r="W558">
        <v>0.253</v>
      </c>
      <c r="X558">
        <v>166</v>
      </c>
      <c r="Y558">
        <v>106</v>
      </c>
      <c r="Z558">
        <v>39</v>
      </c>
      <c r="AA558">
        <v>4</v>
      </c>
      <c r="AB558">
        <v>7</v>
      </c>
      <c r="AC558" t="s">
        <v>185</v>
      </c>
      <c r="AD558" t="s">
        <v>198</v>
      </c>
      <c r="AG558" t="s">
        <v>3915</v>
      </c>
      <c r="AH558" t="s">
        <v>1194</v>
      </c>
      <c r="AI558" s="245">
        <v>367.9</v>
      </c>
      <c r="AJ558" t="s">
        <v>3916</v>
      </c>
      <c r="AK558" t="s">
        <v>3915</v>
      </c>
      <c r="AL558" t="s">
        <v>1265</v>
      </c>
      <c r="AM558" s="245">
        <v>416.08</v>
      </c>
      <c r="AN558" t="s">
        <v>3917</v>
      </c>
      <c r="AO558" t="s">
        <v>3915</v>
      </c>
      <c r="AP558" t="s">
        <v>1280</v>
      </c>
      <c r="AQ558" s="245">
        <v>479.93</v>
      </c>
      <c r="AR558" t="s">
        <v>3918</v>
      </c>
      <c r="AS558" s="226" t="str">
        <f t="shared" si="16"/>
        <v>Trace 88</v>
      </c>
      <c r="AT558" s="203" t="str">
        <f t="shared" si="17"/>
        <v xml:space="preserve"> ArmadaTrace 88172 Women's</v>
      </c>
    </row>
    <row r="559" spans="1:46" ht="118.8">
      <c r="A559" t="s">
        <v>155</v>
      </c>
      <c r="B559" t="s">
        <v>182</v>
      </c>
      <c r="C559" t="s">
        <v>287</v>
      </c>
      <c r="D559">
        <v>172</v>
      </c>
      <c r="E559" t="s">
        <v>163</v>
      </c>
      <c r="F559">
        <v>172</v>
      </c>
      <c r="G559">
        <v>171.4</v>
      </c>
      <c r="H559">
        <v>127</v>
      </c>
      <c r="I559">
        <v>141</v>
      </c>
      <c r="J559">
        <v>133</v>
      </c>
      <c r="K559">
        <v>101</v>
      </c>
      <c r="L559">
        <v>123</v>
      </c>
      <c r="M559">
        <v>17.399999999999999</v>
      </c>
      <c r="N559">
        <v>1873</v>
      </c>
      <c r="O559">
        <v>1.02</v>
      </c>
      <c r="P559">
        <v>1917</v>
      </c>
      <c r="Q559">
        <v>213</v>
      </c>
      <c r="R559">
        <v>131</v>
      </c>
      <c r="S559">
        <v>52</v>
      </c>
      <c r="T559">
        <v>285</v>
      </c>
      <c r="U559">
        <v>17</v>
      </c>
      <c r="V559">
        <v>161</v>
      </c>
      <c r="W559">
        <v>0.33600000000000002</v>
      </c>
      <c r="X559">
        <v>181</v>
      </c>
      <c r="Y559">
        <v>127</v>
      </c>
      <c r="Z559">
        <v>105</v>
      </c>
      <c r="AA559">
        <v>8</v>
      </c>
      <c r="AB559">
        <v>8.4</v>
      </c>
      <c r="AC559" t="s">
        <v>188</v>
      </c>
      <c r="AD559" t="s">
        <v>178</v>
      </c>
      <c r="AG559" t="s">
        <v>3919</v>
      </c>
      <c r="AH559" t="s">
        <v>1232</v>
      </c>
      <c r="AI559" s="245">
        <v>639.95000000000005</v>
      </c>
      <c r="AJ559" t="s">
        <v>3920</v>
      </c>
      <c r="AK559" t="s">
        <v>3919</v>
      </c>
      <c r="AL559" t="s">
        <v>1244</v>
      </c>
      <c r="AM559" s="245">
        <v>799.95</v>
      </c>
      <c r="AN559" t="s">
        <v>3921</v>
      </c>
      <c r="AO559" t="s">
        <v>2981</v>
      </c>
      <c r="AP559" t="s">
        <v>1194</v>
      </c>
      <c r="AQ559" s="245">
        <v>450.88</v>
      </c>
      <c r="AR559" t="s">
        <v>3922</v>
      </c>
      <c r="AS559" s="226" t="str">
        <f t="shared" si="16"/>
        <v>Reliance 102 Ti</v>
      </c>
      <c r="AT559" s="203" t="str">
        <f t="shared" si="17"/>
        <v xml:space="preserve"> ArmadaReliance 102 Ti172 Women's</v>
      </c>
    </row>
    <row r="560" spans="1:46" ht="132">
      <c r="A560" t="s">
        <v>155</v>
      </c>
      <c r="B560" t="s">
        <v>1160</v>
      </c>
      <c r="C560" t="s">
        <v>488</v>
      </c>
      <c r="D560">
        <v>154</v>
      </c>
      <c r="E560" t="s">
        <v>163</v>
      </c>
      <c r="F560">
        <v>154</v>
      </c>
      <c r="G560">
        <v>154.1</v>
      </c>
      <c r="H560">
        <v>108</v>
      </c>
      <c r="I560">
        <v>126</v>
      </c>
      <c r="J560">
        <v>133</v>
      </c>
      <c r="K560">
        <v>98</v>
      </c>
      <c r="L560">
        <v>119</v>
      </c>
      <c r="M560">
        <v>13.1</v>
      </c>
      <c r="N560">
        <v>1594</v>
      </c>
      <c r="O560">
        <v>1.06</v>
      </c>
      <c r="P560">
        <v>1683</v>
      </c>
      <c r="Q560">
        <v>117</v>
      </c>
      <c r="R560">
        <v>84</v>
      </c>
      <c r="S560">
        <v>44</v>
      </c>
      <c r="T560">
        <v>296</v>
      </c>
      <c r="U560">
        <v>14</v>
      </c>
      <c r="V560">
        <v>168</v>
      </c>
      <c r="W560">
        <v>0.32400000000000001</v>
      </c>
      <c r="X560">
        <v>157</v>
      </c>
      <c r="Y560">
        <v>122</v>
      </c>
      <c r="Z560">
        <v>138</v>
      </c>
      <c r="AA560">
        <v>7</v>
      </c>
      <c r="AB560">
        <v>9.8000000000000007</v>
      </c>
      <c r="AC560" t="s">
        <v>188</v>
      </c>
      <c r="AD560" t="s">
        <v>185</v>
      </c>
      <c r="AG560" t="s">
        <v>3923</v>
      </c>
      <c r="AH560" t="s">
        <v>3924</v>
      </c>
      <c r="AI560" s="245">
        <v>419.99</v>
      </c>
      <c r="AJ560" t="s">
        <v>3925</v>
      </c>
      <c r="AK560" t="s">
        <v>3926</v>
      </c>
      <c r="AL560" t="s">
        <v>1265</v>
      </c>
      <c r="AM560" s="245">
        <v>448.96</v>
      </c>
      <c r="AN560" t="s">
        <v>3927</v>
      </c>
      <c r="AO560" t="s">
        <v>3928</v>
      </c>
      <c r="AP560" t="s">
        <v>1450</v>
      </c>
      <c r="AQ560" s="245">
        <v>699.95</v>
      </c>
      <c r="AR560" t="s">
        <v>3929</v>
      </c>
      <c r="AS560" s="226" t="str">
        <f t="shared" si="16"/>
        <v>Mindbender 98 Ti Alliance</v>
      </c>
      <c r="AT560" s="203" t="str">
        <f t="shared" si="17"/>
        <v>K2Mindbender 98 Ti Alliance154 Women's</v>
      </c>
    </row>
    <row r="561" spans="1:46" ht="105.6">
      <c r="A561" t="s">
        <v>155</v>
      </c>
      <c r="B561" t="s">
        <v>317</v>
      </c>
      <c r="C561" t="s">
        <v>669</v>
      </c>
      <c r="D561">
        <v>156</v>
      </c>
      <c r="E561" t="s">
        <v>163</v>
      </c>
      <c r="F561">
        <v>156</v>
      </c>
      <c r="G561">
        <v>154.19999999999999</v>
      </c>
      <c r="H561">
        <v>130</v>
      </c>
      <c r="I561">
        <v>142</v>
      </c>
      <c r="J561">
        <v>116</v>
      </c>
      <c r="K561">
        <v>71</v>
      </c>
      <c r="L561">
        <v>99</v>
      </c>
      <c r="M561">
        <v>13.8</v>
      </c>
      <c r="N561">
        <v>1682</v>
      </c>
      <c r="O561">
        <v>0.78</v>
      </c>
      <c r="P561">
        <v>1304</v>
      </c>
      <c r="Q561">
        <v>180</v>
      </c>
      <c r="R561">
        <v>78</v>
      </c>
      <c r="S561">
        <v>42</v>
      </c>
      <c r="T561">
        <v>168</v>
      </c>
      <c r="U561">
        <v>8</v>
      </c>
      <c r="V561">
        <v>70</v>
      </c>
      <c r="W561">
        <v>0.19699999999999901</v>
      </c>
      <c r="X561">
        <v>67</v>
      </c>
      <c r="Y561">
        <v>52</v>
      </c>
      <c r="Z561">
        <v>101</v>
      </c>
      <c r="AA561">
        <v>5</v>
      </c>
      <c r="AB561">
        <v>10.1</v>
      </c>
      <c r="AC561" t="s">
        <v>349</v>
      </c>
      <c r="AG561" t="s">
        <v>3930</v>
      </c>
      <c r="AH561" t="s">
        <v>1627</v>
      </c>
      <c r="AI561" s="245">
        <v>269</v>
      </c>
      <c r="AJ561" t="s">
        <v>3931</v>
      </c>
      <c r="AK561" t="s">
        <v>3932</v>
      </c>
      <c r="AL561" t="s">
        <v>1248</v>
      </c>
      <c r="AM561" s="245">
        <v>359.97</v>
      </c>
      <c r="AN561" t="s">
        <v>3933</v>
      </c>
      <c r="AO561" t="s">
        <v>3934</v>
      </c>
      <c r="AP561" t="s">
        <v>1588</v>
      </c>
      <c r="AQ561" s="245">
        <v>450</v>
      </c>
      <c r="AR561" t="s">
        <v>3935</v>
      </c>
      <c r="AS561" s="226" t="str">
        <f t="shared" si="16"/>
        <v>Phoenix S R13 Ti</v>
      </c>
      <c r="AT561" s="203" t="str">
        <f t="shared" si="17"/>
        <v xml:space="preserve"> BlizzardPhoenix S R13 Ti156 Women's</v>
      </c>
    </row>
    <row r="562" spans="1:46" ht="52.8">
      <c r="A562" t="s">
        <v>155</v>
      </c>
      <c r="B562" t="s">
        <v>208</v>
      </c>
      <c r="C562" t="s">
        <v>452</v>
      </c>
      <c r="D562">
        <v>166</v>
      </c>
      <c r="E562" t="s">
        <v>158</v>
      </c>
      <c r="F562">
        <v>166</v>
      </c>
      <c r="G562">
        <v>166.2</v>
      </c>
      <c r="H562">
        <v>114</v>
      </c>
      <c r="I562">
        <v>136</v>
      </c>
      <c r="J562">
        <v>149</v>
      </c>
      <c r="K562">
        <v>104</v>
      </c>
      <c r="L562">
        <v>128</v>
      </c>
      <c r="M562">
        <v>12.8</v>
      </c>
      <c r="N562">
        <v>1650</v>
      </c>
      <c r="O562">
        <v>1.17</v>
      </c>
      <c r="P562">
        <v>1928</v>
      </c>
      <c r="Q562">
        <v>147</v>
      </c>
      <c r="R562">
        <v>74</v>
      </c>
      <c r="S562">
        <v>48</v>
      </c>
      <c r="T562">
        <v>383</v>
      </c>
      <c r="U562">
        <v>0</v>
      </c>
      <c r="V562">
        <v>139</v>
      </c>
      <c r="W562">
        <v>8.9999999999999993E-3</v>
      </c>
      <c r="X562">
        <v>159</v>
      </c>
      <c r="Y562">
        <v>146</v>
      </c>
      <c r="Z562">
        <v>223</v>
      </c>
      <c r="AA562">
        <v>6</v>
      </c>
      <c r="AB562">
        <v>10.4</v>
      </c>
      <c r="AC562" t="s">
        <v>188</v>
      </c>
      <c r="AD562" t="s">
        <v>178</v>
      </c>
      <c r="AE562" t="s">
        <v>185</v>
      </c>
      <c r="AG562" t="s">
        <v>3936</v>
      </c>
      <c r="AH562" t="s">
        <v>1349</v>
      </c>
      <c r="AI562" s="245">
        <v>476.66</v>
      </c>
      <c r="AJ562" t="s">
        <v>3937</v>
      </c>
      <c r="AK562" t="s">
        <v>2460</v>
      </c>
      <c r="AL562" t="s">
        <v>1265</v>
      </c>
      <c r="AM562" s="245">
        <v>513.09</v>
      </c>
      <c r="AN562" t="s">
        <v>3938</v>
      </c>
      <c r="AO562" t="s">
        <v>3936</v>
      </c>
      <c r="AP562" t="s">
        <v>1280</v>
      </c>
      <c r="AQ562" s="245">
        <v>599.92999999999995</v>
      </c>
      <c r="AR562" t="s">
        <v>3939</v>
      </c>
      <c r="AS562" s="226" t="str">
        <f t="shared" si="16"/>
        <v>Sakana</v>
      </c>
      <c r="AT562" s="203" t="str">
        <f t="shared" si="17"/>
        <v xml:space="preserve"> LineSakana166 Unisex</v>
      </c>
    </row>
    <row r="563" spans="1:46" ht="92.4">
      <c r="A563" t="s">
        <v>155</v>
      </c>
      <c r="B563" t="s">
        <v>156</v>
      </c>
      <c r="C563" t="s">
        <v>587</v>
      </c>
      <c r="D563">
        <v>157</v>
      </c>
      <c r="E563" t="s">
        <v>163</v>
      </c>
      <c r="F563">
        <v>157</v>
      </c>
      <c r="G563">
        <v>156.9</v>
      </c>
      <c r="H563">
        <v>138</v>
      </c>
      <c r="I563">
        <v>142</v>
      </c>
      <c r="J563">
        <v>112</v>
      </c>
      <c r="K563">
        <v>72</v>
      </c>
      <c r="L563">
        <v>98</v>
      </c>
      <c r="M563">
        <v>14.8</v>
      </c>
      <c r="N563">
        <v>1646</v>
      </c>
      <c r="O563">
        <v>0.81</v>
      </c>
      <c r="P563">
        <v>1328</v>
      </c>
      <c r="Q563">
        <v>150</v>
      </c>
      <c r="R563">
        <v>75</v>
      </c>
      <c r="S563">
        <v>32</v>
      </c>
      <c r="T563">
        <v>138</v>
      </c>
      <c r="U563">
        <v>4</v>
      </c>
      <c r="V563">
        <v>48</v>
      </c>
      <c r="W563">
        <v>0.127</v>
      </c>
      <c r="X563">
        <v>94</v>
      </c>
      <c r="Y563">
        <v>54</v>
      </c>
      <c r="Z563">
        <v>44</v>
      </c>
      <c r="AA563">
        <v>11</v>
      </c>
      <c r="AB563">
        <v>12.4</v>
      </c>
      <c r="AC563" t="s">
        <v>349</v>
      </c>
      <c r="AG563" t="s">
        <v>3940</v>
      </c>
      <c r="AH563" t="s">
        <v>1277</v>
      </c>
      <c r="AI563" s="245">
        <v>449.99</v>
      </c>
      <c r="AJ563" t="s">
        <v>3941</v>
      </c>
      <c r="AK563" t="s">
        <v>3942</v>
      </c>
      <c r="AL563" t="s">
        <v>3943</v>
      </c>
      <c r="AM563" s="245">
        <v>479.99</v>
      </c>
      <c r="AN563" t="s">
        <v>3944</v>
      </c>
      <c r="AO563" t="s">
        <v>3945</v>
      </c>
      <c r="AP563" t="s">
        <v>1365</v>
      </c>
      <c r="AQ563" s="245">
        <v>599.99</v>
      </c>
      <c r="AR563" t="s">
        <v>3946</v>
      </c>
      <c r="AS563" s="226" t="str">
        <f t="shared" si="16"/>
        <v>Cloud C9</v>
      </c>
      <c r="AT563" s="203" t="str">
        <f t="shared" si="17"/>
        <v xml:space="preserve"> AtomicCloud C9157 Women's</v>
      </c>
    </row>
    <row r="564" spans="1:46" ht="132">
      <c r="A564" t="s">
        <v>155</v>
      </c>
      <c r="B564" t="s">
        <v>164</v>
      </c>
      <c r="C564" t="s">
        <v>292</v>
      </c>
      <c r="D564">
        <v>158</v>
      </c>
      <c r="E564" t="s">
        <v>163</v>
      </c>
      <c r="F564">
        <v>158</v>
      </c>
      <c r="G564">
        <v>161.69999999999999</v>
      </c>
      <c r="H564">
        <v>128</v>
      </c>
      <c r="I564">
        <v>139</v>
      </c>
      <c r="J564">
        <v>128</v>
      </c>
      <c r="K564">
        <v>81</v>
      </c>
      <c r="L564">
        <v>112</v>
      </c>
      <c r="M564">
        <v>12</v>
      </c>
      <c r="N564">
        <v>1726</v>
      </c>
      <c r="O564">
        <v>0.9</v>
      </c>
      <c r="P564">
        <v>1560</v>
      </c>
      <c r="Q564">
        <v>207</v>
      </c>
      <c r="R564">
        <v>81</v>
      </c>
      <c r="S564">
        <v>42</v>
      </c>
      <c r="T564">
        <v>188</v>
      </c>
      <c r="U564">
        <v>12</v>
      </c>
      <c r="V564">
        <v>145</v>
      </c>
      <c r="W564">
        <v>0.28100000000000003</v>
      </c>
      <c r="X564">
        <v>110</v>
      </c>
      <c r="Y564">
        <v>115</v>
      </c>
      <c r="Z564">
        <v>78</v>
      </c>
      <c r="AA564">
        <v>6</v>
      </c>
      <c r="AB564">
        <v>7.4</v>
      </c>
      <c r="AC564" t="s">
        <v>231</v>
      </c>
      <c r="AD564" t="s">
        <v>188</v>
      </c>
      <c r="AG564" t="s">
        <v>3947</v>
      </c>
      <c r="AH564" t="s">
        <v>1277</v>
      </c>
      <c r="AI564" s="245">
        <v>359.99</v>
      </c>
      <c r="AJ564" t="s">
        <v>3948</v>
      </c>
      <c r="AK564" t="s">
        <v>3949</v>
      </c>
      <c r="AL564" t="s">
        <v>1509</v>
      </c>
      <c r="AM564" s="245">
        <v>433.49</v>
      </c>
      <c r="AN564" t="s">
        <v>3950</v>
      </c>
      <c r="AO564" t="s">
        <v>3951</v>
      </c>
      <c r="AP564" t="s">
        <v>1229</v>
      </c>
      <c r="AQ564" s="245">
        <v>629.99</v>
      </c>
      <c r="AR564" t="s">
        <v>3952</v>
      </c>
      <c r="AS564" s="226" t="str">
        <f t="shared" si="16"/>
        <v>Wildcat 82 C</v>
      </c>
      <c r="AT564" s="203" t="str">
        <f t="shared" si="17"/>
        <v xml:space="preserve"> ElanWildcat 82 C158 Women's</v>
      </c>
    </row>
    <row r="565" spans="1:46" ht="79.2">
      <c r="A565" t="s">
        <v>155</v>
      </c>
      <c r="B565" t="s">
        <v>1160</v>
      </c>
      <c r="C565" t="s">
        <v>579</v>
      </c>
      <c r="D565">
        <v>149</v>
      </c>
      <c r="E565" t="s">
        <v>158</v>
      </c>
      <c r="F565">
        <v>149</v>
      </c>
      <c r="G565">
        <v>148.9</v>
      </c>
      <c r="H565">
        <v>93</v>
      </c>
      <c r="I565">
        <v>124</v>
      </c>
      <c r="J565">
        <v>124</v>
      </c>
      <c r="K565">
        <v>91</v>
      </c>
      <c r="L565">
        <v>113</v>
      </c>
      <c r="M565">
        <v>12.6</v>
      </c>
      <c r="N565">
        <v>1499</v>
      </c>
      <c r="O565">
        <v>1.01</v>
      </c>
      <c r="P565">
        <v>1518</v>
      </c>
      <c r="Q565">
        <v>171</v>
      </c>
      <c r="R565">
        <v>84</v>
      </c>
      <c r="S565">
        <v>47</v>
      </c>
      <c r="T565">
        <v>288</v>
      </c>
      <c r="U565">
        <v>43</v>
      </c>
      <c r="V565">
        <v>272</v>
      </c>
      <c r="W565">
        <v>0.91500000000000004</v>
      </c>
      <c r="X565">
        <v>115</v>
      </c>
      <c r="Y565">
        <v>138</v>
      </c>
      <c r="Z565">
        <v>173</v>
      </c>
      <c r="AA565">
        <v>3</v>
      </c>
      <c r="AB565">
        <v>4.0999999999999996</v>
      </c>
      <c r="AC565" t="s">
        <v>184</v>
      </c>
      <c r="AG565" t="s">
        <v>3953</v>
      </c>
      <c r="AH565" t="s">
        <v>2632</v>
      </c>
      <c r="AI565" s="245">
        <v>299.95</v>
      </c>
      <c r="AJ565" t="s">
        <v>3954</v>
      </c>
      <c r="AK565" t="s">
        <v>3150</v>
      </c>
      <c r="AL565" t="s">
        <v>1181</v>
      </c>
      <c r="AM565" s="245">
        <v>299.95</v>
      </c>
      <c r="AN565" t="s">
        <v>3955</v>
      </c>
      <c r="AO565" t="s">
        <v>3956</v>
      </c>
      <c r="AP565" t="s">
        <v>1450</v>
      </c>
      <c r="AQ565" s="245">
        <v>299.95</v>
      </c>
      <c r="AR565" t="s">
        <v>3957</v>
      </c>
      <c r="AS565" s="226" t="str">
        <f t="shared" si="16"/>
        <v>Reckoner 92</v>
      </c>
      <c r="AT565" s="203" t="str">
        <f t="shared" si="17"/>
        <v>K2Reckoner 92149 Unisex</v>
      </c>
    </row>
    <row r="566" spans="1:46" ht="79.2">
      <c r="A566" t="s">
        <v>155</v>
      </c>
      <c r="B566" t="s">
        <v>1160</v>
      </c>
      <c r="C566" t="s">
        <v>670</v>
      </c>
      <c r="D566">
        <v>159</v>
      </c>
      <c r="E566" t="s">
        <v>163</v>
      </c>
      <c r="F566">
        <v>159</v>
      </c>
      <c r="G566">
        <v>158.9</v>
      </c>
      <c r="H566">
        <v>106</v>
      </c>
      <c r="I566">
        <v>134</v>
      </c>
      <c r="J566">
        <v>124</v>
      </c>
      <c r="K566">
        <v>91</v>
      </c>
      <c r="L566">
        <v>113</v>
      </c>
      <c r="M566">
        <v>14.9</v>
      </c>
      <c r="N566">
        <v>1562</v>
      </c>
      <c r="O566">
        <v>1.04</v>
      </c>
      <c r="P566">
        <v>1617</v>
      </c>
      <c r="Q566">
        <v>163</v>
      </c>
      <c r="R566">
        <v>75</v>
      </c>
      <c r="S566">
        <v>48</v>
      </c>
      <c r="T566">
        <v>270</v>
      </c>
      <c r="U566">
        <v>43</v>
      </c>
      <c r="V566">
        <v>262</v>
      </c>
      <c r="W566">
        <v>0.89400000000000002</v>
      </c>
      <c r="X566">
        <v>116</v>
      </c>
      <c r="Y566">
        <v>131</v>
      </c>
      <c r="Z566">
        <v>154</v>
      </c>
      <c r="AA566">
        <v>6</v>
      </c>
      <c r="AB566">
        <v>4.8</v>
      </c>
      <c r="AC566" t="s">
        <v>184</v>
      </c>
      <c r="AG566" t="s">
        <v>3953</v>
      </c>
      <c r="AH566" t="s">
        <v>2632</v>
      </c>
      <c r="AI566" s="245">
        <v>299.95</v>
      </c>
      <c r="AJ566" t="s">
        <v>3958</v>
      </c>
      <c r="AK566" t="s">
        <v>3953</v>
      </c>
      <c r="AL566" t="s">
        <v>3959</v>
      </c>
      <c r="AM566" s="245">
        <v>299.95</v>
      </c>
      <c r="AN566" t="s">
        <v>3960</v>
      </c>
      <c r="AO566" t="s">
        <v>3953</v>
      </c>
      <c r="AP566" t="s">
        <v>2516</v>
      </c>
      <c r="AQ566" s="245">
        <v>349.95</v>
      </c>
      <c r="AR566" t="s">
        <v>3961</v>
      </c>
      <c r="AS566" s="226" t="str">
        <f t="shared" si="16"/>
        <v>Reckoner 92 Alliance</v>
      </c>
      <c r="AT566" s="203" t="str">
        <f t="shared" si="17"/>
        <v>K2Reckoner 92 Alliance159 Women's</v>
      </c>
    </row>
    <row r="567" spans="1:46" ht="118.8">
      <c r="A567" t="s">
        <v>155</v>
      </c>
      <c r="B567" t="s">
        <v>174</v>
      </c>
      <c r="C567" t="s">
        <v>672</v>
      </c>
      <c r="D567">
        <v>160</v>
      </c>
      <c r="E567" t="s">
        <v>158</v>
      </c>
      <c r="F567">
        <v>160</v>
      </c>
      <c r="G567">
        <v>159.5</v>
      </c>
      <c r="H567">
        <v>139</v>
      </c>
      <c r="I567">
        <v>148</v>
      </c>
      <c r="J567">
        <v>119</v>
      </c>
      <c r="K567">
        <v>73</v>
      </c>
      <c r="L567">
        <v>102</v>
      </c>
      <c r="M567">
        <v>13.8</v>
      </c>
      <c r="N567">
        <v>1901</v>
      </c>
      <c r="O567">
        <v>0.74</v>
      </c>
      <c r="P567">
        <v>1404</v>
      </c>
      <c r="Q567">
        <v>207</v>
      </c>
      <c r="R567">
        <v>91</v>
      </c>
      <c r="S567">
        <v>31</v>
      </c>
      <c r="T567">
        <v>130</v>
      </c>
      <c r="U567">
        <v>5</v>
      </c>
      <c r="V567">
        <v>77</v>
      </c>
      <c r="W567">
        <v>0.14599999999999999</v>
      </c>
      <c r="X567">
        <v>84</v>
      </c>
      <c r="Y567">
        <v>32</v>
      </c>
      <c r="Z567">
        <v>45</v>
      </c>
      <c r="AA567">
        <v>9</v>
      </c>
      <c r="AB567">
        <v>11.1</v>
      </c>
      <c r="AC567" t="s">
        <v>349</v>
      </c>
      <c r="AG567" t="s">
        <v>3962</v>
      </c>
      <c r="AH567" t="s">
        <v>1204</v>
      </c>
      <c r="AI567" s="245">
        <v>400.85</v>
      </c>
      <c r="AJ567" t="s">
        <v>3963</v>
      </c>
      <c r="AK567" t="s">
        <v>3964</v>
      </c>
      <c r="AL567" t="s">
        <v>1337</v>
      </c>
      <c r="AM567" s="245">
        <v>499.99</v>
      </c>
      <c r="AN567" t="s">
        <v>3965</v>
      </c>
      <c r="AS567" s="226" t="str">
        <f t="shared" si="16"/>
        <v>S/Max 8</v>
      </c>
      <c r="AT567" s="203" t="str">
        <f t="shared" si="17"/>
        <v xml:space="preserve"> SalomonS/Max 8160 Unisex</v>
      </c>
    </row>
    <row r="568" spans="1:46" ht="118.8">
      <c r="A568" t="s">
        <v>155</v>
      </c>
      <c r="B568" t="s">
        <v>174</v>
      </c>
      <c r="C568" t="s">
        <v>672</v>
      </c>
      <c r="D568">
        <v>165</v>
      </c>
      <c r="E568" t="s">
        <v>158</v>
      </c>
      <c r="F568">
        <v>165</v>
      </c>
      <c r="G568">
        <v>164.4</v>
      </c>
      <c r="H568">
        <v>145</v>
      </c>
      <c r="I568">
        <v>152</v>
      </c>
      <c r="J568">
        <v>120</v>
      </c>
      <c r="K568">
        <v>73</v>
      </c>
      <c r="L568">
        <v>103</v>
      </c>
      <c r="M568">
        <v>14.5</v>
      </c>
      <c r="N568">
        <v>1962</v>
      </c>
      <c r="O568">
        <v>0.74</v>
      </c>
      <c r="P568">
        <v>1451</v>
      </c>
      <c r="Q568">
        <v>195</v>
      </c>
      <c r="R568">
        <v>91</v>
      </c>
      <c r="S568">
        <v>32</v>
      </c>
      <c r="T568">
        <v>130</v>
      </c>
      <c r="U568">
        <v>4</v>
      </c>
      <c r="V568">
        <v>68</v>
      </c>
      <c r="W568">
        <v>0.13800000000000001</v>
      </c>
      <c r="X568">
        <v>86</v>
      </c>
      <c r="Y568">
        <v>35</v>
      </c>
      <c r="Z568">
        <v>43</v>
      </c>
      <c r="AA568">
        <v>12</v>
      </c>
      <c r="AB568">
        <v>11.1</v>
      </c>
      <c r="AC568" t="s">
        <v>349</v>
      </c>
      <c r="AG568" t="s">
        <v>3966</v>
      </c>
      <c r="AH568" t="s">
        <v>3967</v>
      </c>
      <c r="AI568" s="245">
        <v>382.06</v>
      </c>
      <c r="AJ568" t="s">
        <v>3968</v>
      </c>
      <c r="AK568" t="s">
        <v>3969</v>
      </c>
      <c r="AL568" t="s">
        <v>1256</v>
      </c>
      <c r="AM568" s="245">
        <v>453.95</v>
      </c>
      <c r="AN568" t="s">
        <v>3970</v>
      </c>
      <c r="AO568" t="s">
        <v>3971</v>
      </c>
      <c r="AP568" t="s">
        <v>1807</v>
      </c>
      <c r="AQ568" s="245">
        <v>349.99</v>
      </c>
      <c r="AR568" t="s">
        <v>3972</v>
      </c>
      <c r="AS568" s="226" t="str">
        <f t="shared" si="16"/>
        <v>S/Max 8</v>
      </c>
      <c r="AT568" s="203" t="str">
        <f t="shared" si="17"/>
        <v xml:space="preserve"> SalomonS/Max 8165 Unisex</v>
      </c>
    </row>
    <row r="569" spans="1:46" ht="132">
      <c r="A569" t="s">
        <v>155</v>
      </c>
      <c r="B569" t="s">
        <v>205</v>
      </c>
      <c r="C569" t="s">
        <v>673</v>
      </c>
      <c r="D569">
        <v>171</v>
      </c>
      <c r="E569" t="s">
        <v>158</v>
      </c>
      <c r="F569">
        <v>171</v>
      </c>
      <c r="G569">
        <v>169.5</v>
      </c>
      <c r="H569">
        <v>120</v>
      </c>
      <c r="I569">
        <v>143</v>
      </c>
      <c r="J569">
        <v>116</v>
      </c>
      <c r="K569">
        <v>84</v>
      </c>
      <c r="L569">
        <v>108</v>
      </c>
      <c r="M569">
        <v>16.399999999999999</v>
      </c>
      <c r="N569">
        <v>1766</v>
      </c>
      <c r="O569">
        <v>0.91</v>
      </c>
      <c r="P569">
        <v>1614</v>
      </c>
      <c r="Q569">
        <v>176</v>
      </c>
      <c r="R569">
        <v>81</v>
      </c>
      <c r="S569">
        <v>47</v>
      </c>
      <c r="T569">
        <v>281</v>
      </c>
      <c r="U569">
        <v>35</v>
      </c>
      <c r="V569">
        <v>209</v>
      </c>
      <c r="W569">
        <v>0.745</v>
      </c>
      <c r="X569">
        <v>145</v>
      </c>
      <c r="Y569">
        <v>118</v>
      </c>
      <c r="Z569">
        <v>136</v>
      </c>
      <c r="AA569">
        <v>9</v>
      </c>
      <c r="AB569">
        <v>6.9</v>
      </c>
      <c r="AC569" t="s">
        <v>188</v>
      </c>
      <c r="AG569" t="s">
        <v>2788</v>
      </c>
      <c r="AH569" t="s">
        <v>2789</v>
      </c>
      <c r="AI569" s="245">
        <v>499</v>
      </c>
      <c r="AJ569" t="s">
        <v>3973</v>
      </c>
      <c r="AK569" t="s">
        <v>3974</v>
      </c>
      <c r="AL569" t="s">
        <v>1271</v>
      </c>
      <c r="AM569" s="245">
        <v>539</v>
      </c>
      <c r="AN569" t="s">
        <v>3975</v>
      </c>
      <c r="AO569" t="s">
        <v>3974</v>
      </c>
      <c r="AP569" t="s">
        <v>1248</v>
      </c>
      <c r="AQ569" s="245">
        <v>559.20000000000005</v>
      </c>
      <c r="AR569" t="s">
        <v>3976</v>
      </c>
      <c r="AS569" s="226" t="str">
        <f t="shared" si="16"/>
        <v>Prodigy 0.0</v>
      </c>
      <c r="AT569" s="203" t="str">
        <f t="shared" si="17"/>
        <v xml:space="preserve"> FactionProdigy 0.0171 Unisex</v>
      </c>
    </row>
    <row r="570" spans="1:46" ht="66">
      <c r="A570" t="s">
        <v>155</v>
      </c>
      <c r="B570" t="s">
        <v>172</v>
      </c>
      <c r="C570" t="s">
        <v>674</v>
      </c>
      <c r="D570">
        <v>176</v>
      </c>
      <c r="E570" t="s">
        <v>158</v>
      </c>
      <c r="F570">
        <v>176</v>
      </c>
      <c r="G570">
        <v>176.3</v>
      </c>
      <c r="H570">
        <v>156</v>
      </c>
      <c r="I570">
        <v>160</v>
      </c>
      <c r="J570">
        <v>121</v>
      </c>
      <c r="K570">
        <v>74</v>
      </c>
      <c r="L570">
        <v>107</v>
      </c>
      <c r="M570">
        <v>16.5</v>
      </c>
      <c r="N570">
        <v>1646</v>
      </c>
      <c r="O570">
        <v>0.95</v>
      </c>
      <c r="P570">
        <v>1563</v>
      </c>
      <c r="Q570">
        <v>191</v>
      </c>
      <c r="R570">
        <v>67</v>
      </c>
      <c r="S570">
        <v>35</v>
      </c>
      <c r="T570">
        <v>141</v>
      </c>
      <c r="U570">
        <v>5</v>
      </c>
      <c r="V570">
        <v>66</v>
      </c>
      <c r="W570">
        <v>0.14199999999999999</v>
      </c>
      <c r="X570">
        <v>81</v>
      </c>
      <c r="Y570">
        <v>83</v>
      </c>
      <c r="Z570">
        <v>60</v>
      </c>
      <c r="AA570">
        <v>13</v>
      </c>
      <c r="AB570">
        <v>8.6999999999999993</v>
      </c>
      <c r="AC570" t="s">
        <v>349</v>
      </c>
      <c r="AG570" t="s">
        <v>3977</v>
      </c>
      <c r="AH570" t="s">
        <v>1194</v>
      </c>
      <c r="AI570" s="245">
        <v>321.8</v>
      </c>
      <c r="AJ570" t="s">
        <v>3978</v>
      </c>
      <c r="AK570" t="s">
        <v>3977</v>
      </c>
      <c r="AL570" t="s">
        <v>1191</v>
      </c>
      <c r="AM570" s="245">
        <v>329.95</v>
      </c>
      <c r="AN570" t="s">
        <v>3979</v>
      </c>
      <c r="AO570" t="s">
        <v>3980</v>
      </c>
      <c r="AP570" t="s">
        <v>1657</v>
      </c>
      <c r="AQ570" s="245">
        <v>350.93</v>
      </c>
      <c r="AR570" t="s">
        <v>3981</v>
      </c>
      <c r="AS570" s="226" t="str">
        <f t="shared" si="16"/>
        <v>React 2</v>
      </c>
      <c r="AT570" s="203" t="str">
        <f t="shared" si="17"/>
        <v xml:space="preserve"> RossignolReact 2176 Unisex</v>
      </c>
    </row>
    <row r="571" spans="1:46" ht="66">
      <c r="A571" t="s">
        <v>155</v>
      </c>
      <c r="B571" t="s">
        <v>1361</v>
      </c>
      <c r="C571" t="s">
        <v>644</v>
      </c>
      <c r="D571">
        <v>152</v>
      </c>
      <c r="E571" t="s">
        <v>163</v>
      </c>
      <c r="F571">
        <v>152</v>
      </c>
      <c r="G571">
        <v>151.30000000000001</v>
      </c>
      <c r="H571">
        <v>124</v>
      </c>
      <c r="I571">
        <v>132</v>
      </c>
      <c r="J571">
        <v>127</v>
      </c>
      <c r="K571">
        <v>88</v>
      </c>
      <c r="L571">
        <v>113</v>
      </c>
      <c r="M571">
        <v>13.1</v>
      </c>
      <c r="N571">
        <v>1419</v>
      </c>
      <c r="O571">
        <v>1.06</v>
      </c>
      <c r="P571">
        <v>1510</v>
      </c>
      <c r="Q571">
        <v>158</v>
      </c>
      <c r="R571">
        <v>89</v>
      </c>
      <c r="S571">
        <v>43</v>
      </c>
      <c r="T571">
        <v>199</v>
      </c>
      <c r="U571">
        <v>9</v>
      </c>
      <c r="V571">
        <v>78</v>
      </c>
      <c r="W571">
        <v>0.20599999999999999</v>
      </c>
      <c r="X571">
        <v>135</v>
      </c>
      <c r="Y571">
        <v>56</v>
      </c>
      <c r="Z571">
        <v>64</v>
      </c>
      <c r="AA571">
        <v>5</v>
      </c>
      <c r="AB571">
        <v>12.6</v>
      </c>
      <c r="AC571" t="s">
        <v>188</v>
      </c>
      <c r="AD571" t="s">
        <v>185</v>
      </c>
      <c r="AG571" t="s">
        <v>3982</v>
      </c>
      <c r="AH571" t="s">
        <v>1365</v>
      </c>
      <c r="AI571" s="245">
        <v>1099</v>
      </c>
      <c r="AJ571" t="s">
        <v>3983</v>
      </c>
      <c r="AK571" t="s">
        <v>3984</v>
      </c>
      <c r="AL571" t="s">
        <v>1181</v>
      </c>
      <c r="AM571" s="245">
        <v>799</v>
      </c>
      <c r="AN571" t="s">
        <v>3985</v>
      </c>
      <c r="AO571" t="s">
        <v>3984</v>
      </c>
      <c r="AP571" t="s">
        <v>1556</v>
      </c>
      <c r="AQ571" s="245">
        <v>999</v>
      </c>
      <c r="AR571" t="s">
        <v>3986</v>
      </c>
      <c r="AS571" s="226" t="str">
        <f t="shared" si="16"/>
        <v>Nela 88</v>
      </c>
      <c r="AT571" s="203" t="str">
        <f t="shared" si="17"/>
        <v xml:space="preserve"> Stï¿½ckliNela 88152 Women's</v>
      </c>
    </row>
    <row r="572" spans="1:46" ht="132">
      <c r="A572" t="s">
        <v>155</v>
      </c>
      <c r="B572" t="s">
        <v>174</v>
      </c>
      <c r="C572" t="s">
        <v>622</v>
      </c>
      <c r="D572">
        <v>161</v>
      </c>
      <c r="E572" t="s">
        <v>163</v>
      </c>
      <c r="F572">
        <v>161</v>
      </c>
      <c r="G572">
        <v>160.1</v>
      </c>
      <c r="H572">
        <v>120</v>
      </c>
      <c r="I572">
        <v>134</v>
      </c>
      <c r="J572">
        <v>128</v>
      </c>
      <c r="K572">
        <v>92</v>
      </c>
      <c r="L572">
        <v>111</v>
      </c>
      <c r="M572">
        <v>14.4</v>
      </c>
      <c r="N572">
        <v>1647</v>
      </c>
      <c r="O572">
        <v>1.01</v>
      </c>
      <c r="P572">
        <v>1660</v>
      </c>
      <c r="Q572">
        <v>170</v>
      </c>
      <c r="R572">
        <v>77</v>
      </c>
      <c r="S572">
        <v>56</v>
      </c>
      <c r="T572">
        <v>278</v>
      </c>
      <c r="U572">
        <v>13</v>
      </c>
      <c r="V572">
        <v>128</v>
      </c>
      <c r="W572">
        <v>0.23100000000000001</v>
      </c>
      <c r="X572">
        <v>149</v>
      </c>
      <c r="Y572">
        <v>115</v>
      </c>
      <c r="Z572">
        <v>129</v>
      </c>
      <c r="AA572">
        <v>9</v>
      </c>
      <c r="AB572">
        <v>8.9</v>
      </c>
      <c r="AC572" t="s">
        <v>188</v>
      </c>
      <c r="AG572" t="s">
        <v>3987</v>
      </c>
      <c r="AH572" t="s">
        <v>1221</v>
      </c>
      <c r="AI572" s="245">
        <v>359.99</v>
      </c>
      <c r="AJ572" t="s">
        <v>3988</v>
      </c>
      <c r="AK572" t="s">
        <v>3989</v>
      </c>
      <c r="AL572" t="s">
        <v>3990</v>
      </c>
      <c r="AM572" s="245">
        <v>379.99</v>
      </c>
      <c r="AN572" t="s">
        <v>3991</v>
      </c>
      <c r="AO572" t="s">
        <v>3992</v>
      </c>
      <c r="AP572" t="s">
        <v>1224</v>
      </c>
      <c r="AQ572" s="245">
        <v>399.99</v>
      </c>
      <c r="AR572" t="s">
        <v>3993</v>
      </c>
      <c r="AS572" s="226" t="str">
        <f t="shared" si="16"/>
        <v>QST Lux 92</v>
      </c>
      <c r="AT572" s="203" t="str">
        <f t="shared" si="17"/>
        <v xml:space="preserve"> SalomonQST Lux 92161 Women's</v>
      </c>
    </row>
    <row r="573" spans="1:46" ht="79.2">
      <c r="A573" t="s">
        <v>155</v>
      </c>
      <c r="B573" t="s">
        <v>1395</v>
      </c>
      <c r="C573" t="s">
        <v>675</v>
      </c>
      <c r="D573">
        <v>177</v>
      </c>
      <c r="E573" t="s">
        <v>158</v>
      </c>
      <c r="F573">
        <v>177</v>
      </c>
      <c r="G573">
        <v>176.9</v>
      </c>
      <c r="H573">
        <v>156</v>
      </c>
      <c r="I573">
        <v>163</v>
      </c>
      <c r="J573">
        <v>127</v>
      </c>
      <c r="K573">
        <v>79</v>
      </c>
      <c r="L573">
        <v>110</v>
      </c>
      <c r="M573">
        <v>16.3</v>
      </c>
      <c r="N573">
        <v>2026</v>
      </c>
      <c r="O573">
        <v>0.82</v>
      </c>
      <c r="P573">
        <v>1671</v>
      </c>
      <c r="Q573">
        <v>252</v>
      </c>
      <c r="R573">
        <v>76</v>
      </c>
      <c r="S573">
        <v>40</v>
      </c>
      <c r="T573">
        <v>139</v>
      </c>
      <c r="U573">
        <v>7</v>
      </c>
      <c r="V573">
        <v>69</v>
      </c>
      <c r="W573">
        <v>0.188999999999999</v>
      </c>
      <c r="X573">
        <v>70</v>
      </c>
      <c r="Y573">
        <v>64</v>
      </c>
      <c r="Z573">
        <v>69</v>
      </c>
      <c r="AA573">
        <v>5</v>
      </c>
      <c r="AB573">
        <v>10.5</v>
      </c>
      <c r="AC573" t="s">
        <v>349</v>
      </c>
      <c r="AG573" t="s">
        <v>1812</v>
      </c>
      <c r="AH573" t="s">
        <v>1320</v>
      </c>
      <c r="AI573" s="245">
        <v>719.99</v>
      </c>
      <c r="AJ573" t="s">
        <v>3994</v>
      </c>
      <c r="AK573" t="s">
        <v>3995</v>
      </c>
      <c r="AL573" t="s">
        <v>1365</v>
      </c>
      <c r="AM573" s="245">
        <v>899.99</v>
      </c>
      <c r="AN573" t="s">
        <v>3996</v>
      </c>
      <c r="AO573" t="s">
        <v>3997</v>
      </c>
      <c r="AP573" t="s">
        <v>1194</v>
      </c>
      <c r="AQ573" s="245">
        <v>322.69</v>
      </c>
      <c r="AR573" t="s">
        <v>3998</v>
      </c>
      <c r="AS573" s="226" t="str">
        <f t="shared" si="16"/>
        <v>Deacon 80</v>
      </c>
      <c r="AT573" s="203" t="str">
        <f t="shared" si="17"/>
        <v xml:space="preserve"> Vï¿½lklDeacon 80177 Unisex</v>
      </c>
    </row>
    <row r="574" spans="1:46" ht="409.2">
      <c r="A574" t="s">
        <v>155</v>
      </c>
      <c r="B574" t="s">
        <v>317</v>
      </c>
      <c r="C574" t="s">
        <v>639</v>
      </c>
      <c r="D574">
        <v>165</v>
      </c>
      <c r="E574" t="s">
        <v>158</v>
      </c>
      <c r="F574">
        <v>165</v>
      </c>
      <c r="G574">
        <v>164.3</v>
      </c>
      <c r="H574">
        <v>143</v>
      </c>
      <c r="I574">
        <v>152</v>
      </c>
      <c r="J574">
        <v>124</v>
      </c>
      <c r="K574">
        <v>75</v>
      </c>
      <c r="L574">
        <v>104</v>
      </c>
      <c r="M574">
        <v>14.5</v>
      </c>
      <c r="N574">
        <v>1866</v>
      </c>
      <c r="O574">
        <v>0.79</v>
      </c>
      <c r="P574">
        <v>1470</v>
      </c>
      <c r="Q574">
        <v>205</v>
      </c>
      <c r="R574">
        <v>100</v>
      </c>
      <c r="S574">
        <v>42</v>
      </c>
      <c r="T574">
        <v>164</v>
      </c>
      <c r="U574">
        <v>6</v>
      </c>
      <c r="V574">
        <v>51</v>
      </c>
      <c r="W574">
        <v>0.152</v>
      </c>
      <c r="X574">
        <v>69</v>
      </c>
      <c r="Y574">
        <v>58</v>
      </c>
      <c r="Z574">
        <v>95</v>
      </c>
      <c r="AA574">
        <v>6</v>
      </c>
      <c r="AB574">
        <v>11.7</v>
      </c>
      <c r="AC574" t="s">
        <v>349</v>
      </c>
      <c r="AG574" t="s">
        <v>3999</v>
      </c>
      <c r="AH574" t="s">
        <v>2654</v>
      </c>
      <c r="AI574" s="245">
        <v>641.37</v>
      </c>
      <c r="AJ574" t="s">
        <v>4000</v>
      </c>
      <c r="AK574" t="s">
        <v>3999</v>
      </c>
      <c r="AL574" t="s">
        <v>1421</v>
      </c>
      <c r="AM574" s="245">
        <v>699.95</v>
      </c>
      <c r="AN574" t="s">
        <v>4001</v>
      </c>
      <c r="AO574" t="s">
        <v>4002</v>
      </c>
      <c r="AP574" t="s">
        <v>1179</v>
      </c>
      <c r="AQ574" s="245">
        <v>599.95000000000005</v>
      </c>
      <c r="AR574" t="s">
        <v>4003</v>
      </c>
      <c r="AS574" s="226" t="str">
        <f t="shared" si="16"/>
        <v>Thunderbird Sport Ti</v>
      </c>
      <c r="AT574" s="203" t="str">
        <f t="shared" si="17"/>
        <v xml:space="preserve"> BlizzardThunderbird Sport Ti165 Unisex</v>
      </c>
    </row>
    <row r="575" spans="1:46" ht="118.8">
      <c r="A575" t="s">
        <v>155</v>
      </c>
      <c r="B575" t="s">
        <v>172</v>
      </c>
      <c r="C575" t="s">
        <v>676</v>
      </c>
      <c r="D575">
        <v>175</v>
      </c>
      <c r="E575" t="s">
        <v>158</v>
      </c>
      <c r="F575">
        <v>175</v>
      </c>
      <c r="G575">
        <v>174.6</v>
      </c>
      <c r="H575">
        <v>154</v>
      </c>
      <c r="I575">
        <v>161</v>
      </c>
      <c r="J575">
        <v>122</v>
      </c>
      <c r="K575">
        <v>73</v>
      </c>
      <c r="L575">
        <v>108</v>
      </c>
      <c r="M575">
        <v>15.3</v>
      </c>
      <c r="N575">
        <v>1880</v>
      </c>
      <c r="O575">
        <v>0.82</v>
      </c>
      <c r="P575">
        <v>1542</v>
      </c>
      <c r="Q575">
        <v>222</v>
      </c>
      <c r="R575">
        <v>93</v>
      </c>
      <c r="S575">
        <v>37</v>
      </c>
      <c r="T575">
        <v>137</v>
      </c>
      <c r="U575">
        <v>5</v>
      </c>
      <c r="V575">
        <v>67</v>
      </c>
      <c r="W575">
        <v>0.13</v>
      </c>
      <c r="X575">
        <v>75</v>
      </c>
      <c r="Y575">
        <v>62</v>
      </c>
      <c r="Z575">
        <v>62</v>
      </c>
      <c r="AA575">
        <v>11</v>
      </c>
      <c r="AB575">
        <v>10.3</v>
      </c>
      <c r="AC575" t="s">
        <v>349</v>
      </c>
      <c r="AG575" t="s">
        <v>3489</v>
      </c>
      <c r="AH575" t="s">
        <v>1211</v>
      </c>
      <c r="AI575" s="245">
        <v>639.95000000000005</v>
      </c>
      <c r="AJ575" t="s">
        <v>4004</v>
      </c>
      <c r="AK575" t="s">
        <v>3491</v>
      </c>
      <c r="AL575" t="s">
        <v>3015</v>
      </c>
      <c r="AM575" s="245">
        <v>900</v>
      </c>
      <c r="AN575" t="s">
        <v>4005</v>
      </c>
      <c r="AO575" t="s">
        <v>3493</v>
      </c>
      <c r="AP575" t="s">
        <v>1556</v>
      </c>
      <c r="AQ575" s="245">
        <v>1125</v>
      </c>
      <c r="AR575" t="s">
        <v>4006</v>
      </c>
      <c r="AS575" s="226" t="str">
        <f t="shared" si="16"/>
        <v>Hero Elite Multi Turn Ti</v>
      </c>
      <c r="AT575" s="203" t="str">
        <f t="shared" si="17"/>
        <v xml:space="preserve"> RossignolHero Elite Multi Turn Ti175 Unisex</v>
      </c>
    </row>
    <row r="576" spans="1:46" ht="132">
      <c r="A576" t="s">
        <v>155</v>
      </c>
      <c r="B576" t="s">
        <v>167</v>
      </c>
      <c r="C576" t="s">
        <v>677</v>
      </c>
      <c r="D576">
        <v>170</v>
      </c>
      <c r="E576" t="s">
        <v>158</v>
      </c>
      <c r="F576">
        <v>170</v>
      </c>
      <c r="G576">
        <v>169.4</v>
      </c>
      <c r="H576">
        <v>150</v>
      </c>
      <c r="I576">
        <v>157</v>
      </c>
      <c r="J576">
        <v>130</v>
      </c>
      <c r="K576">
        <v>72</v>
      </c>
      <c r="L576">
        <v>111</v>
      </c>
      <c r="M576">
        <v>12.5</v>
      </c>
      <c r="N576">
        <v>1868</v>
      </c>
      <c r="O576">
        <v>0.81</v>
      </c>
      <c r="P576">
        <v>1522</v>
      </c>
      <c r="Q576">
        <v>175</v>
      </c>
      <c r="R576">
        <v>88</v>
      </c>
      <c r="S576">
        <v>32</v>
      </c>
      <c r="T576">
        <v>136</v>
      </c>
      <c r="U576">
        <v>6</v>
      </c>
      <c r="V576">
        <v>58</v>
      </c>
      <c r="W576">
        <v>0.186</v>
      </c>
      <c r="X576">
        <v>76</v>
      </c>
      <c r="Y576">
        <v>49</v>
      </c>
      <c r="Z576">
        <v>60</v>
      </c>
      <c r="AA576">
        <v>13</v>
      </c>
      <c r="AB576">
        <v>13.4</v>
      </c>
      <c r="AC576" t="s">
        <v>349</v>
      </c>
      <c r="AG576" t="s">
        <v>4007</v>
      </c>
      <c r="AH576" t="s">
        <v>1179</v>
      </c>
      <c r="AI576" s="245">
        <v>370</v>
      </c>
      <c r="AJ576" t="s">
        <v>4008</v>
      </c>
      <c r="AK576" t="s">
        <v>4007</v>
      </c>
      <c r="AL576" t="s">
        <v>4009</v>
      </c>
      <c r="AM576" s="245">
        <v>419.98</v>
      </c>
      <c r="AN576" t="s">
        <v>4010</v>
      </c>
      <c r="AO576" t="s">
        <v>2764</v>
      </c>
      <c r="AP576" t="s">
        <v>2765</v>
      </c>
      <c r="AQ576" s="245">
        <v>419.99</v>
      </c>
      <c r="AR576" t="s">
        <v>4011</v>
      </c>
      <c r="AS576" s="226" t="str">
        <f t="shared" si="16"/>
        <v>V-Shape V4</v>
      </c>
      <c r="AT576" s="203" t="str">
        <f t="shared" si="17"/>
        <v xml:space="preserve"> HeadV-Shape V4170 Unisex</v>
      </c>
    </row>
    <row r="577" spans="1:46" ht="66">
      <c r="A577" t="s">
        <v>155</v>
      </c>
      <c r="B577" t="s">
        <v>1160</v>
      </c>
      <c r="C577" t="s">
        <v>539</v>
      </c>
      <c r="D577">
        <v>177</v>
      </c>
      <c r="E577" t="s">
        <v>158</v>
      </c>
      <c r="F577">
        <v>177</v>
      </c>
      <c r="G577">
        <v>177.4</v>
      </c>
      <c r="H577">
        <v>135</v>
      </c>
      <c r="I577">
        <v>148</v>
      </c>
      <c r="J577">
        <v>129</v>
      </c>
      <c r="K577">
        <v>84</v>
      </c>
      <c r="L577">
        <v>112</v>
      </c>
      <c r="M577">
        <v>14.4</v>
      </c>
      <c r="N577">
        <v>1863</v>
      </c>
      <c r="O577">
        <v>0.94</v>
      </c>
      <c r="P577">
        <v>1759</v>
      </c>
      <c r="Q577">
        <v>205</v>
      </c>
      <c r="R577">
        <v>108</v>
      </c>
      <c r="S577">
        <v>45</v>
      </c>
      <c r="T577">
        <v>265</v>
      </c>
      <c r="U577">
        <v>14</v>
      </c>
      <c r="V577">
        <v>156</v>
      </c>
      <c r="W577">
        <v>0.307</v>
      </c>
      <c r="X577">
        <v>176</v>
      </c>
      <c r="Y577">
        <v>116</v>
      </c>
      <c r="Z577">
        <v>89</v>
      </c>
      <c r="AA577">
        <v>10</v>
      </c>
      <c r="AB577">
        <v>11.2</v>
      </c>
      <c r="AC577" t="s">
        <v>231</v>
      </c>
      <c r="AD577" t="s">
        <v>188</v>
      </c>
      <c r="AG577" t="s">
        <v>4012</v>
      </c>
      <c r="AH577" t="s">
        <v>1191</v>
      </c>
      <c r="AI577" s="245">
        <v>309.95</v>
      </c>
      <c r="AJ577" t="s">
        <v>4013</v>
      </c>
      <c r="AK577" t="s">
        <v>4012</v>
      </c>
      <c r="AL577" t="s">
        <v>1280</v>
      </c>
      <c r="AM577" s="245">
        <v>399.95</v>
      </c>
      <c r="AN577" t="s">
        <v>4014</v>
      </c>
      <c r="AO577" t="s">
        <v>4012</v>
      </c>
      <c r="AP577" t="s">
        <v>1232</v>
      </c>
      <c r="AQ577" s="245">
        <v>399.95</v>
      </c>
      <c r="AR577" t="s">
        <v>4015</v>
      </c>
      <c r="AS577" s="226" t="str">
        <f t="shared" si="16"/>
        <v>Mindbender 85</v>
      </c>
      <c r="AT577" s="203" t="str">
        <f t="shared" si="17"/>
        <v>K2Mindbender 85177 Unisex</v>
      </c>
    </row>
    <row r="578" spans="1:46" ht="52.8">
      <c r="A578" t="s">
        <v>155</v>
      </c>
      <c r="B578" t="s">
        <v>205</v>
      </c>
      <c r="C578" t="s">
        <v>378</v>
      </c>
      <c r="D578">
        <v>171</v>
      </c>
      <c r="E578" t="s">
        <v>158</v>
      </c>
      <c r="F578">
        <v>171</v>
      </c>
      <c r="G578">
        <v>169.5</v>
      </c>
      <c r="H578">
        <v>128</v>
      </c>
      <c r="I578">
        <v>141</v>
      </c>
      <c r="J578">
        <v>126</v>
      </c>
      <c r="K578">
        <v>95</v>
      </c>
      <c r="L578">
        <v>116</v>
      </c>
      <c r="M578">
        <v>17.600000000000001</v>
      </c>
      <c r="N578">
        <v>1848</v>
      </c>
      <c r="O578">
        <v>0.97</v>
      </c>
      <c r="P578">
        <v>1789</v>
      </c>
      <c r="Q578">
        <v>226</v>
      </c>
      <c r="R578">
        <v>130</v>
      </c>
      <c r="S578">
        <v>52</v>
      </c>
      <c r="T578">
        <v>240</v>
      </c>
      <c r="U578">
        <v>22</v>
      </c>
      <c r="V578">
        <v>177</v>
      </c>
      <c r="W578">
        <v>0.42</v>
      </c>
      <c r="X578">
        <v>176</v>
      </c>
      <c r="Y578">
        <v>105</v>
      </c>
      <c r="Z578">
        <v>64</v>
      </c>
      <c r="AA578">
        <v>8</v>
      </c>
      <c r="AB578">
        <v>10.9</v>
      </c>
      <c r="AC578" t="s">
        <v>188</v>
      </c>
      <c r="AG578" t="s">
        <v>3429</v>
      </c>
      <c r="AH578" t="s">
        <v>1265</v>
      </c>
      <c r="AI578" s="245">
        <v>544.36</v>
      </c>
      <c r="AJ578" t="s">
        <v>4016</v>
      </c>
      <c r="AK578" t="s">
        <v>3429</v>
      </c>
      <c r="AL578" t="s">
        <v>1248</v>
      </c>
      <c r="AM578" s="245">
        <v>623.20000000000005</v>
      </c>
      <c r="AN578" t="s">
        <v>4017</v>
      </c>
      <c r="AO578" t="s">
        <v>1555</v>
      </c>
      <c r="AP578" t="s">
        <v>1450</v>
      </c>
      <c r="AQ578" s="245">
        <v>699.99</v>
      </c>
      <c r="AR578" t="s">
        <v>4018</v>
      </c>
      <c r="AS578" s="226" t="str">
        <f t="shared" ref="AS578:AS641" si="18">IF(LEFT(C578,1)=" ",RIGHT(C578,LEN(C578)-1),C578)</f>
        <v>Dictator 2.0</v>
      </c>
      <c r="AT578" s="203" t="str">
        <f t="shared" ref="AT578:AT641" si="19">_xlfn.CONCAT(B578,AS578,D578,E578)</f>
        <v xml:space="preserve"> FactionDictator 2.0171 Unisex</v>
      </c>
    </row>
    <row r="579" spans="1:46" ht="132">
      <c r="A579" t="s">
        <v>155</v>
      </c>
      <c r="B579" t="s">
        <v>1160</v>
      </c>
      <c r="C579" t="s">
        <v>402</v>
      </c>
      <c r="D579">
        <v>165</v>
      </c>
      <c r="E579" t="s">
        <v>163</v>
      </c>
      <c r="F579">
        <v>165</v>
      </c>
      <c r="G579">
        <v>165.3</v>
      </c>
      <c r="H579">
        <v>97</v>
      </c>
      <c r="I579">
        <v>125</v>
      </c>
      <c r="J579">
        <v>138</v>
      </c>
      <c r="K579">
        <v>114</v>
      </c>
      <c r="L579">
        <v>128</v>
      </c>
      <c r="M579">
        <v>19</v>
      </c>
      <c r="N579">
        <v>1640</v>
      </c>
      <c r="O579">
        <v>1.22</v>
      </c>
      <c r="P579">
        <v>1993</v>
      </c>
      <c r="Q579">
        <v>142</v>
      </c>
      <c r="R579">
        <v>77</v>
      </c>
      <c r="S579">
        <v>52</v>
      </c>
      <c r="T579">
        <v>431</v>
      </c>
      <c r="U579">
        <v>23</v>
      </c>
      <c r="V579">
        <v>253</v>
      </c>
      <c r="W579">
        <v>0.435</v>
      </c>
      <c r="X579">
        <v>203</v>
      </c>
      <c r="Y579">
        <v>196</v>
      </c>
      <c r="Z579">
        <v>228</v>
      </c>
      <c r="AA579">
        <v>5</v>
      </c>
      <c r="AB579">
        <v>10.3</v>
      </c>
      <c r="AC579" t="s">
        <v>169</v>
      </c>
      <c r="AD579" t="s">
        <v>185</v>
      </c>
      <c r="AG579" t="s">
        <v>4019</v>
      </c>
      <c r="AH579" t="s">
        <v>1229</v>
      </c>
      <c r="AI579" s="245">
        <v>524.99</v>
      </c>
      <c r="AJ579" t="s">
        <v>4020</v>
      </c>
      <c r="AK579" t="s">
        <v>4021</v>
      </c>
      <c r="AL579" t="s">
        <v>1240</v>
      </c>
      <c r="AM579" s="245">
        <v>599</v>
      </c>
      <c r="AN579" t="s">
        <v>4022</v>
      </c>
      <c r="AO579" t="s">
        <v>4023</v>
      </c>
      <c r="AP579" t="s">
        <v>4024</v>
      </c>
      <c r="AQ579" s="245">
        <v>669.99</v>
      </c>
      <c r="AR579" t="s">
        <v>4025</v>
      </c>
      <c r="AS579" s="226" t="str">
        <f t="shared" si="18"/>
        <v>Mindbender 115 C Alliance</v>
      </c>
      <c r="AT579" s="203" t="str">
        <f t="shared" si="19"/>
        <v>K2Mindbender 115 C Alliance165 Women's</v>
      </c>
    </row>
    <row r="580" spans="1:46" ht="118.8">
      <c r="A580" t="s">
        <v>155</v>
      </c>
      <c r="B580" t="s">
        <v>156</v>
      </c>
      <c r="C580" t="s">
        <v>626</v>
      </c>
      <c r="D580">
        <v>161</v>
      </c>
      <c r="E580" t="s">
        <v>158</v>
      </c>
      <c r="F580">
        <v>161</v>
      </c>
      <c r="G580">
        <v>160.5</v>
      </c>
      <c r="H580">
        <v>135</v>
      </c>
      <c r="I580">
        <v>143</v>
      </c>
      <c r="J580">
        <v>114</v>
      </c>
      <c r="K580">
        <v>74</v>
      </c>
      <c r="L580">
        <v>99</v>
      </c>
      <c r="M580">
        <v>15.2</v>
      </c>
      <c r="N580">
        <v>1774</v>
      </c>
      <c r="O580">
        <v>0.78</v>
      </c>
      <c r="P580">
        <v>1388</v>
      </c>
      <c r="Q580">
        <v>166</v>
      </c>
      <c r="R580">
        <v>84</v>
      </c>
      <c r="S580">
        <v>39</v>
      </c>
      <c r="T580">
        <v>176</v>
      </c>
      <c r="U580">
        <v>4</v>
      </c>
      <c r="V580">
        <v>78</v>
      </c>
      <c r="W580">
        <v>0.111999999999999</v>
      </c>
      <c r="X580">
        <v>100</v>
      </c>
      <c r="Y580">
        <v>76</v>
      </c>
      <c r="Z580">
        <v>76</v>
      </c>
      <c r="AA580">
        <v>11</v>
      </c>
      <c r="AB580">
        <v>10.5</v>
      </c>
      <c r="AC580" t="s">
        <v>349</v>
      </c>
      <c r="AD580" t="s">
        <v>231</v>
      </c>
      <c r="AG580" t="s">
        <v>4026</v>
      </c>
      <c r="AH580" t="s">
        <v>1282</v>
      </c>
      <c r="AI580" s="245">
        <v>319.99</v>
      </c>
      <c r="AJ580" t="s">
        <v>4027</v>
      </c>
      <c r="AK580" t="s">
        <v>3502</v>
      </c>
      <c r="AL580" t="s">
        <v>1181</v>
      </c>
      <c r="AM580" s="245">
        <v>319.99</v>
      </c>
      <c r="AN580" t="s">
        <v>4028</v>
      </c>
      <c r="AO580" t="s">
        <v>3502</v>
      </c>
      <c r="AP580" t="s">
        <v>1183</v>
      </c>
      <c r="AQ580" s="245">
        <v>335.99</v>
      </c>
      <c r="AR580" t="s">
        <v>4029</v>
      </c>
      <c r="AS580" s="226" t="str">
        <f t="shared" si="18"/>
        <v>Vantage 75</v>
      </c>
      <c r="AT580" s="203" t="str">
        <f t="shared" si="19"/>
        <v xml:space="preserve"> AtomicVantage 75161 Unisex</v>
      </c>
    </row>
    <row r="581" spans="1:46" ht="118.8">
      <c r="A581" t="s">
        <v>155</v>
      </c>
      <c r="B581" t="s">
        <v>156</v>
      </c>
      <c r="C581" t="s">
        <v>678</v>
      </c>
      <c r="D581">
        <v>167</v>
      </c>
      <c r="E581" t="s">
        <v>158</v>
      </c>
      <c r="F581">
        <v>167</v>
      </c>
      <c r="G581">
        <v>166.7</v>
      </c>
      <c r="H581">
        <v>106</v>
      </c>
      <c r="I581">
        <v>127</v>
      </c>
      <c r="J581">
        <v>134</v>
      </c>
      <c r="K581">
        <v>107</v>
      </c>
      <c r="L581">
        <v>121</v>
      </c>
      <c r="M581">
        <v>16.5</v>
      </c>
      <c r="N581">
        <v>1470</v>
      </c>
      <c r="O581">
        <v>1.31</v>
      </c>
      <c r="P581">
        <v>1921</v>
      </c>
      <c r="Q581">
        <v>156</v>
      </c>
      <c r="R581">
        <v>76</v>
      </c>
      <c r="S581">
        <v>46</v>
      </c>
      <c r="T581">
        <v>380</v>
      </c>
      <c r="U581">
        <v>14</v>
      </c>
      <c r="V581">
        <v>225</v>
      </c>
      <c r="W581">
        <v>0.30599999999999999</v>
      </c>
      <c r="X581">
        <v>228</v>
      </c>
      <c r="Y581">
        <v>166</v>
      </c>
      <c r="Z581">
        <v>151</v>
      </c>
      <c r="AA581">
        <v>5</v>
      </c>
      <c r="AB581">
        <v>9.6999999999999993</v>
      </c>
      <c r="AC581" t="s">
        <v>178</v>
      </c>
      <c r="AD581" t="s">
        <v>185</v>
      </c>
      <c r="AE581" t="s">
        <v>198</v>
      </c>
      <c r="AG581" t="s">
        <v>4030</v>
      </c>
      <c r="AH581" t="s">
        <v>1204</v>
      </c>
      <c r="AI581" s="245">
        <v>521.11</v>
      </c>
      <c r="AJ581" t="s">
        <v>4031</v>
      </c>
      <c r="AK581" t="s">
        <v>4032</v>
      </c>
      <c r="AL581" t="s">
        <v>1468</v>
      </c>
      <c r="AM581" s="245">
        <v>599</v>
      </c>
      <c r="AN581" t="s">
        <v>4033</v>
      </c>
      <c r="AO581" t="s">
        <v>4034</v>
      </c>
      <c r="AP581" t="s">
        <v>1240</v>
      </c>
      <c r="AQ581" s="245">
        <v>649.95000000000005</v>
      </c>
      <c r="AR581" t="s">
        <v>4035</v>
      </c>
      <c r="AS581" s="226" t="str">
        <f t="shared" si="18"/>
        <v>Backland 107 W</v>
      </c>
      <c r="AT581" s="203" t="str">
        <f t="shared" si="19"/>
        <v xml:space="preserve"> AtomicBackland 107 W167 Unisex</v>
      </c>
    </row>
    <row r="582" spans="1:46" ht="132">
      <c r="A582" t="s">
        <v>155</v>
      </c>
      <c r="B582" t="s">
        <v>172</v>
      </c>
      <c r="C582" t="s">
        <v>478</v>
      </c>
      <c r="D582">
        <v>166</v>
      </c>
      <c r="E582" t="s">
        <v>163</v>
      </c>
      <c r="F582">
        <v>166</v>
      </c>
      <c r="G582">
        <v>166.6</v>
      </c>
      <c r="H582">
        <v>127</v>
      </c>
      <c r="I582">
        <v>152</v>
      </c>
      <c r="J582">
        <v>125</v>
      </c>
      <c r="K582">
        <v>80</v>
      </c>
      <c r="L582">
        <v>113</v>
      </c>
      <c r="M582">
        <v>14.3</v>
      </c>
      <c r="N582">
        <v>1759</v>
      </c>
      <c r="O582">
        <v>0.9</v>
      </c>
      <c r="P582">
        <v>1579</v>
      </c>
      <c r="Q582">
        <v>214</v>
      </c>
      <c r="R582">
        <v>78</v>
      </c>
      <c r="S582">
        <v>48</v>
      </c>
      <c r="T582">
        <v>265</v>
      </c>
      <c r="U582">
        <v>13</v>
      </c>
      <c r="V582">
        <v>129</v>
      </c>
      <c r="W582">
        <v>0.26400000000000001</v>
      </c>
      <c r="X582">
        <v>83</v>
      </c>
      <c r="Y582">
        <v>65</v>
      </c>
      <c r="Z582">
        <v>182</v>
      </c>
      <c r="AA582">
        <v>11</v>
      </c>
      <c r="AB582">
        <v>7.5</v>
      </c>
      <c r="AC582" t="s">
        <v>188</v>
      </c>
      <c r="AG582" t="s">
        <v>2537</v>
      </c>
      <c r="AH582" t="s">
        <v>1179</v>
      </c>
      <c r="AI582" s="245">
        <v>479.95</v>
      </c>
      <c r="AJ582" t="s">
        <v>4036</v>
      </c>
      <c r="AK582" t="s">
        <v>2537</v>
      </c>
      <c r="AL582" t="s">
        <v>1248</v>
      </c>
      <c r="AM582" s="245">
        <v>599.95000000000005</v>
      </c>
      <c r="AN582" t="s">
        <v>4037</v>
      </c>
      <c r="AS582" s="226" t="str">
        <f t="shared" si="18"/>
        <v>Experience 80 Carbon W</v>
      </c>
      <c r="AT582" s="203" t="str">
        <f t="shared" si="19"/>
        <v xml:space="preserve"> RossignolExperience 80 Carbon W166 Women's</v>
      </c>
    </row>
    <row r="583" spans="1:46" ht="132">
      <c r="A583" t="s">
        <v>155</v>
      </c>
      <c r="B583" t="s">
        <v>182</v>
      </c>
      <c r="C583" t="s">
        <v>373</v>
      </c>
      <c r="D583">
        <v>188</v>
      </c>
      <c r="E583" t="s">
        <v>158</v>
      </c>
      <c r="F583">
        <v>188</v>
      </c>
      <c r="G583">
        <v>187.8</v>
      </c>
      <c r="H583">
        <v>145</v>
      </c>
      <c r="I583">
        <v>159</v>
      </c>
      <c r="J583">
        <v>131</v>
      </c>
      <c r="K583">
        <v>97</v>
      </c>
      <c r="L583">
        <v>122</v>
      </c>
      <c r="M583">
        <v>18.899999999999999</v>
      </c>
      <c r="N583">
        <v>1700</v>
      </c>
      <c r="O583">
        <v>1.2</v>
      </c>
      <c r="P583">
        <v>2046</v>
      </c>
      <c r="Q583">
        <v>193</v>
      </c>
      <c r="R583">
        <v>127</v>
      </c>
      <c r="S583">
        <v>50</v>
      </c>
      <c r="T583">
        <v>272</v>
      </c>
      <c r="U583">
        <v>18</v>
      </c>
      <c r="V583">
        <v>161</v>
      </c>
      <c r="W583">
        <v>0.36499999999999999</v>
      </c>
      <c r="X583">
        <v>177</v>
      </c>
      <c r="Y583">
        <v>112</v>
      </c>
      <c r="Z583">
        <v>95</v>
      </c>
      <c r="AA583">
        <v>8</v>
      </c>
      <c r="AB583">
        <v>9.8000000000000007</v>
      </c>
      <c r="AC583" t="s">
        <v>188</v>
      </c>
      <c r="AD583" t="s">
        <v>185</v>
      </c>
      <c r="AG583" t="s">
        <v>4038</v>
      </c>
      <c r="AH583" t="s">
        <v>1191</v>
      </c>
      <c r="AI583" s="245">
        <v>374.95</v>
      </c>
      <c r="AJ583" t="s">
        <v>4039</v>
      </c>
      <c r="AK583" t="s">
        <v>4040</v>
      </c>
      <c r="AL583" t="s">
        <v>1277</v>
      </c>
      <c r="AM583" s="245">
        <v>449</v>
      </c>
      <c r="AN583" t="s">
        <v>4041</v>
      </c>
      <c r="AO583" t="s">
        <v>1897</v>
      </c>
      <c r="AP583" t="s">
        <v>1226</v>
      </c>
      <c r="AQ583" s="245">
        <v>559</v>
      </c>
      <c r="AR583" t="s">
        <v>4042</v>
      </c>
      <c r="AS583" s="226" t="str">
        <f t="shared" si="18"/>
        <v>Tracer 98</v>
      </c>
      <c r="AT583" s="203" t="str">
        <f t="shared" si="19"/>
        <v xml:space="preserve"> ArmadaTracer 98188 Unisex</v>
      </c>
    </row>
    <row r="584" spans="1:46" ht="132">
      <c r="A584" t="s">
        <v>155</v>
      </c>
      <c r="B584" t="s">
        <v>172</v>
      </c>
      <c r="C584" t="s">
        <v>600</v>
      </c>
      <c r="D584">
        <v>177</v>
      </c>
      <c r="E584" t="s">
        <v>158</v>
      </c>
      <c r="F584">
        <v>177</v>
      </c>
      <c r="G584">
        <v>176.5</v>
      </c>
      <c r="H584">
        <v>157</v>
      </c>
      <c r="I584">
        <v>163</v>
      </c>
      <c r="J584">
        <v>122</v>
      </c>
      <c r="K584">
        <v>73</v>
      </c>
      <c r="L584">
        <v>108</v>
      </c>
      <c r="M584">
        <v>15.8</v>
      </c>
      <c r="N584">
        <v>1737</v>
      </c>
      <c r="O584">
        <v>0.9</v>
      </c>
      <c r="P584">
        <v>1558</v>
      </c>
      <c r="Q584">
        <v>207</v>
      </c>
      <c r="R584">
        <v>73</v>
      </c>
      <c r="S584">
        <v>36</v>
      </c>
      <c r="T584">
        <v>148</v>
      </c>
      <c r="U584">
        <v>5</v>
      </c>
      <c r="V584">
        <v>52</v>
      </c>
      <c r="W584">
        <v>0.14000000000000001</v>
      </c>
      <c r="X584">
        <v>72</v>
      </c>
      <c r="Y584">
        <v>61</v>
      </c>
      <c r="Z584">
        <v>76</v>
      </c>
      <c r="AA584">
        <v>13</v>
      </c>
      <c r="AB584">
        <v>9.8000000000000007</v>
      </c>
      <c r="AC584" t="s">
        <v>349</v>
      </c>
      <c r="AG584" t="s">
        <v>4043</v>
      </c>
      <c r="AH584" t="s">
        <v>2516</v>
      </c>
      <c r="AI584" s="245">
        <v>599.99</v>
      </c>
      <c r="AJ584" t="s">
        <v>4044</v>
      </c>
      <c r="AK584" t="s">
        <v>4045</v>
      </c>
      <c r="AL584" t="s">
        <v>1183</v>
      </c>
      <c r="AM584" s="245">
        <v>419.99</v>
      </c>
      <c r="AN584" t="s">
        <v>4046</v>
      </c>
      <c r="AO584" t="s">
        <v>4047</v>
      </c>
      <c r="AP584" t="s">
        <v>3596</v>
      </c>
      <c r="AQ584" s="245">
        <v>299.99</v>
      </c>
      <c r="AR584" t="s">
        <v>4048</v>
      </c>
      <c r="AS584" s="226" t="str">
        <f t="shared" si="18"/>
        <v>React 6 Compact</v>
      </c>
      <c r="AT584" s="203" t="str">
        <f t="shared" si="19"/>
        <v xml:space="preserve"> RossignolReact 6 Compact177 Unisex</v>
      </c>
    </row>
    <row r="585" spans="1:46" ht="79.2">
      <c r="A585" t="s">
        <v>155</v>
      </c>
      <c r="B585" t="s">
        <v>1395</v>
      </c>
      <c r="C585" t="s">
        <v>300</v>
      </c>
      <c r="D585">
        <v>179</v>
      </c>
      <c r="E585" t="s">
        <v>158</v>
      </c>
      <c r="F585">
        <v>179</v>
      </c>
      <c r="G585">
        <v>177.1</v>
      </c>
      <c r="H585">
        <v>89</v>
      </c>
      <c r="I585">
        <v>155</v>
      </c>
      <c r="J585">
        <v>133</v>
      </c>
      <c r="K585">
        <v>93</v>
      </c>
      <c r="L585">
        <v>115</v>
      </c>
      <c r="M585">
        <v>18.2</v>
      </c>
      <c r="N585">
        <v>1546</v>
      </c>
      <c r="O585">
        <v>1.21</v>
      </c>
      <c r="P585">
        <v>1878</v>
      </c>
      <c r="Q585">
        <v>168</v>
      </c>
      <c r="R585">
        <v>92</v>
      </c>
      <c r="S585">
        <v>39</v>
      </c>
      <c r="T585">
        <v>506</v>
      </c>
      <c r="U585">
        <v>23</v>
      </c>
      <c r="V585">
        <v>374</v>
      </c>
      <c r="W585">
        <v>0.58099999999999996</v>
      </c>
      <c r="X585">
        <v>118</v>
      </c>
      <c r="Y585">
        <v>102</v>
      </c>
      <c r="Z585">
        <v>388</v>
      </c>
      <c r="AA585">
        <v>1</v>
      </c>
      <c r="AB585">
        <v>12.5</v>
      </c>
      <c r="AC585" t="s">
        <v>188</v>
      </c>
      <c r="AD585" t="s">
        <v>185</v>
      </c>
      <c r="AG585" t="s">
        <v>4049</v>
      </c>
      <c r="AH585" t="s">
        <v>1497</v>
      </c>
      <c r="AI585" s="245">
        <v>439.96</v>
      </c>
      <c r="AJ585" t="s">
        <v>4050</v>
      </c>
      <c r="AK585" t="s">
        <v>2977</v>
      </c>
      <c r="AL585" t="s">
        <v>1405</v>
      </c>
      <c r="AM585" s="245">
        <v>439.99</v>
      </c>
      <c r="AN585" t="s">
        <v>4051</v>
      </c>
      <c r="AO585" t="s">
        <v>2977</v>
      </c>
      <c r="AP585" t="s">
        <v>1181</v>
      </c>
      <c r="AQ585" s="245">
        <v>439.99</v>
      </c>
      <c r="AR585" t="s">
        <v>4052</v>
      </c>
      <c r="AS585" s="226" t="str">
        <f t="shared" si="18"/>
        <v>Blaze 94</v>
      </c>
      <c r="AT585" s="203" t="str">
        <f t="shared" si="19"/>
        <v xml:space="preserve"> Vï¿½lklBlaze 94179 Unisex</v>
      </c>
    </row>
    <row r="586" spans="1:46" ht="66">
      <c r="A586" t="s">
        <v>155</v>
      </c>
      <c r="B586" t="s">
        <v>237</v>
      </c>
      <c r="C586" t="s">
        <v>361</v>
      </c>
      <c r="D586">
        <v>188.3</v>
      </c>
      <c r="E586" t="s">
        <v>158</v>
      </c>
      <c r="F586">
        <v>188.3</v>
      </c>
      <c r="G586">
        <v>187.7</v>
      </c>
      <c r="H586">
        <v>142</v>
      </c>
      <c r="I586">
        <v>154</v>
      </c>
      <c r="J586">
        <v>135</v>
      </c>
      <c r="K586">
        <v>95</v>
      </c>
      <c r="L586">
        <v>117</v>
      </c>
      <c r="M586">
        <v>17.5</v>
      </c>
      <c r="N586">
        <v>1704</v>
      </c>
      <c r="O586">
        <v>1.19</v>
      </c>
      <c r="P586">
        <v>2028</v>
      </c>
      <c r="Q586">
        <v>261</v>
      </c>
      <c r="R586">
        <v>124</v>
      </c>
      <c r="S586">
        <v>48</v>
      </c>
      <c r="T586">
        <v>290</v>
      </c>
      <c r="U586">
        <v>13</v>
      </c>
      <c r="V586">
        <v>168</v>
      </c>
      <c r="W586">
        <v>0.26400000000000001</v>
      </c>
      <c r="X586">
        <v>205</v>
      </c>
      <c r="Y586">
        <v>131</v>
      </c>
      <c r="Z586">
        <v>85</v>
      </c>
      <c r="AA586">
        <v>6</v>
      </c>
      <c r="AB586">
        <v>8.9</v>
      </c>
      <c r="AC586" t="s">
        <v>188</v>
      </c>
      <c r="AD586" t="s">
        <v>185</v>
      </c>
      <c r="AG586" t="s">
        <v>1960</v>
      </c>
      <c r="AH586" t="s">
        <v>1424</v>
      </c>
      <c r="AI586" s="245">
        <v>514.99</v>
      </c>
      <c r="AJ586" t="s">
        <v>4053</v>
      </c>
      <c r="AK586" t="s">
        <v>1960</v>
      </c>
      <c r="AL586" t="s">
        <v>1271</v>
      </c>
      <c r="AM586" s="245">
        <v>591.92999999999995</v>
      </c>
      <c r="AN586" t="s">
        <v>4054</v>
      </c>
      <c r="AO586" t="s">
        <v>1960</v>
      </c>
      <c r="AP586" t="s">
        <v>1181</v>
      </c>
      <c r="AQ586" s="245">
        <v>591.96</v>
      </c>
      <c r="AR586" t="s">
        <v>4055</v>
      </c>
      <c r="AS586" s="226" t="str">
        <f t="shared" si="18"/>
        <v>Camox Freebird</v>
      </c>
      <c r="AT586" s="203" t="str">
        <f t="shared" si="19"/>
        <v xml:space="preserve"> Black CrowsCamox Freebird188.3 Unisex</v>
      </c>
    </row>
    <row r="587" spans="1:46" ht="132">
      <c r="A587" t="s">
        <v>155</v>
      </c>
      <c r="B587" t="s">
        <v>1395</v>
      </c>
      <c r="C587" t="s">
        <v>477</v>
      </c>
      <c r="D587">
        <v>161</v>
      </c>
      <c r="E587" t="s">
        <v>158</v>
      </c>
      <c r="F587">
        <v>161</v>
      </c>
      <c r="G587">
        <v>160.5</v>
      </c>
      <c r="H587">
        <v>141</v>
      </c>
      <c r="I587">
        <v>148</v>
      </c>
      <c r="J587">
        <v>123</v>
      </c>
      <c r="K587">
        <v>75</v>
      </c>
      <c r="L587">
        <v>104</v>
      </c>
      <c r="M587">
        <v>14.1</v>
      </c>
      <c r="N587">
        <v>1745</v>
      </c>
      <c r="O587">
        <v>0.82</v>
      </c>
      <c r="P587">
        <v>1428</v>
      </c>
      <c r="Q587">
        <v>159</v>
      </c>
      <c r="R587">
        <v>76</v>
      </c>
      <c r="S587">
        <v>35</v>
      </c>
      <c r="T587">
        <v>144</v>
      </c>
      <c r="U587">
        <v>5</v>
      </c>
      <c r="V587">
        <v>54</v>
      </c>
      <c r="W587">
        <v>0.129</v>
      </c>
      <c r="X587">
        <v>74</v>
      </c>
      <c r="Y587">
        <v>51</v>
      </c>
      <c r="Z587">
        <v>71</v>
      </c>
      <c r="AA587">
        <v>8</v>
      </c>
      <c r="AB587">
        <v>12.7</v>
      </c>
      <c r="AC587" t="s">
        <v>349</v>
      </c>
      <c r="AG587" t="s">
        <v>4056</v>
      </c>
      <c r="AH587" t="s">
        <v>1229</v>
      </c>
      <c r="AI587" s="245">
        <v>399.99</v>
      </c>
      <c r="AJ587" t="s">
        <v>4057</v>
      </c>
      <c r="AK587" t="s">
        <v>4058</v>
      </c>
      <c r="AL587" t="s">
        <v>1592</v>
      </c>
      <c r="AM587" s="245">
        <v>556.67999999999995</v>
      </c>
      <c r="AN587" t="s">
        <v>4059</v>
      </c>
      <c r="AO587" t="s">
        <v>4060</v>
      </c>
      <c r="AP587" t="s">
        <v>1277</v>
      </c>
      <c r="AQ587" s="245">
        <v>169</v>
      </c>
      <c r="AR587" t="s">
        <v>4061</v>
      </c>
      <c r="AS587" s="226" t="str">
        <f t="shared" si="18"/>
        <v>Deacon XTD</v>
      </c>
      <c r="AT587" s="203" t="str">
        <f t="shared" si="19"/>
        <v xml:space="preserve"> Vï¿½lklDeacon XTD161 Unisex</v>
      </c>
    </row>
    <row r="588" spans="1:46" ht="105.6">
      <c r="A588" t="s">
        <v>155</v>
      </c>
      <c r="B588" t="s">
        <v>172</v>
      </c>
      <c r="C588" t="s">
        <v>469</v>
      </c>
      <c r="D588">
        <v>168</v>
      </c>
      <c r="E588" t="s">
        <v>158</v>
      </c>
      <c r="F588">
        <v>168</v>
      </c>
      <c r="G588">
        <v>166.7</v>
      </c>
      <c r="H588">
        <v>128</v>
      </c>
      <c r="I588">
        <v>152</v>
      </c>
      <c r="J588">
        <v>125</v>
      </c>
      <c r="K588">
        <v>80</v>
      </c>
      <c r="L588">
        <v>113</v>
      </c>
      <c r="M588">
        <v>14.4</v>
      </c>
      <c r="N588">
        <v>1742</v>
      </c>
      <c r="O588">
        <v>0.9</v>
      </c>
      <c r="P588">
        <v>1572</v>
      </c>
      <c r="Q588">
        <v>202</v>
      </c>
      <c r="R588">
        <v>82</v>
      </c>
      <c r="S588">
        <v>47</v>
      </c>
      <c r="T588">
        <v>257</v>
      </c>
      <c r="U588">
        <v>13</v>
      </c>
      <c r="V588">
        <v>132</v>
      </c>
      <c r="W588">
        <v>0.26899999999999902</v>
      </c>
      <c r="X588">
        <v>83</v>
      </c>
      <c r="Y588">
        <v>60</v>
      </c>
      <c r="Z588">
        <v>175</v>
      </c>
      <c r="AA588">
        <v>10</v>
      </c>
      <c r="AB588">
        <v>7.5</v>
      </c>
      <c r="AC588" t="s">
        <v>160</v>
      </c>
      <c r="AG588" t="s">
        <v>4062</v>
      </c>
      <c r="AH588" t="s">
        <v>3026</v>
      </c>
      <c r="AI588" s="245">
        <v>615.84</v>
      </c>
      <c r="AJ588" t="s">
        <v>4063</v>
      </c>
      <c r="AK588" t="s">
        <v>4064</v>
      </c>
      <c r="AL588" t="s">
        <v>1191</v>
      </c>
      <c r="AM588" s="245">
        <v>469.95</v>
      </c>
      <c r="AN588" t="s">
        <v>4065</v>
      </c>
      <c r="AO588" t="s">
        <v>2488</v>
      </c>
      <c r="AP588" t="s">
        <v>1218</v>
      </c>
      <c r="AQ588" s="245">
        <v>559.95000000000005</v>
      </c>
      <c r="AR588" t="s">
        <v>4066</v>
      </c>
      <c r="AS588" s="226" t="str">
        <f t="shared" si="18"/>
        <v>Experience 82 Basalt</v>
      </c>
      <c r="AT588" s="203" t="str">
        <f t="shared" si="19"/>
        <v xml:space="preserve"> RossignolExperience 82 Basalt168 Unisex</v>
      </c>
    </row>
    <row r="589" spans="1:46" ht="145.19999999999999">
      <c r="A589" t="s">
        <v>155</v>
      </c>
      <c r="B589" t="s">
        <v>245</v>
      </c>
      <c r="C589" t="s">
        <v>462</v>
      </c>
      <c r="D589">
        <v>188</v>
      </c>
      <c r="E589" t="s">
        <v>158</v>
      </c>
      <c r="F589">
        <v>188</v>
      </c>
      <c r="G589">
        <v>186.8</v>
      </c>
      <c r="H589">
        <v>125</v>
      </c>
      <c r="I589">
        <v>152</v>
      </c>
      <c r="J589">
        <v>144</v>
      </c>
      <c r="K589">
        <v>114</v>
      </c>
      <c r="L589">
        <v>134</v>
      </c>
      <c r="M589">
        <v>20.2</v>
      </c>
      <c r="N589">
        <v>2104</v>
      </c>
      <c r="O589">
        <v>1.1000000000000001</v>
      </c>
      <c r="P589">
        <v>2309</v>
      </c>
      <c r="Q589">
        <v>245</v>
      </c>
      <c r="R589">
        <v>101</v>
      </c>
      <c r="S589">
        <v>51</v>
      </c>
      <c r="T589">
        <v>401</v>
      </c>
      <c r="U589">
        <v>38</v>
      </c>
      <c r="V589">
        <v>214</v>
      </c>
      <c r="W589">
        <v>0.73799999999999999</v>
      </c>
      <c r="X589">
        <v>173</v>
      </c>
      <c r="Y589">
        <v>175</v>
      </c>
      <c r="Z589">
        <v>228</v>
      </c>
      <c r="AA589">
        <v>7</v>
      </c>
      <c r="AB589">
        <v>9.3000000000000007</v>
      </c>
      <c r="AC589" t="s">
        <v>169</v>
      </c>
      <c r="AD589" t="s">
        <v>185</v>
      </c>
      <c r="AG589" t="s">
        <v>4067</v>
      </c>
      <c r="AH589" t="s">
        <v>1556</v>
      </c>
      <c r="AI589" s="245">
        <v>429</v>
      </c>
      <c r="AJ589" t="s">
        <v>4068</v>
      </c>
      <c r="AK589" t="s">
        <v>4069</v>
      </c>
      <c r="AL589" t="s">
        <v>1337</v>
      </c>
      <c r="AM589" s="245">
        <v>499</v>
      </c>
      <c r="AN589" t="s">
        <v>4070</v>
      </c>
      <c r="AO589" t="s">
        <v>4071</v>
      </c>
      <c r="AP589" t="s">
        <v>1282</v>
      </c>
      <c r="AQ589" s="245">
        <v>499.99</v>
      </c>
      <c r="AR589" t="s">
        <v>4072</v>
      </c>
      <c r="AS589" s="226" t="str">
        <f t="shared" si="18"/>
        <v>Ranger 115 FR Big Stix</v>
      </c>
      <c r="AT589" s="203" t="str">
        <f t="shared" si="19"/>
        <v xml:space="preserve"> FischerRanger 115 FR Big Stix188 Unisex</v>
      </c>
    </row>
    <row r="590" spans="1:46" ht="79.2">
      <c r="A590" t="s">
        <v>155</v>
      </c>
      <c r="B590" t="s">
        <v>156</v>
      </c>
      <c r="C590" t="s">
        <v>611</v>
      </c>
      <c r="D590">
        <v>172</v>
      </c>
      <c r="E590" t="s">
        <v>158</v>
      </c>
      <c r="F590">
        <v>172</v>
      </c>
      <c r="G590">
        <v>171.3</v>
      </c>
      <c r="H590">
        <v>122</v>
      </c>
      <c r="I590">
        <v>141</v>
      </c>
      <c r="J590">
        <v>126</v>
      </c>
      <c r="K590">
        <v>93</v>
      </c>
      <c r="L590">
        <v>111</v>
      </c>
      <c r="M590">
        <v>17.7</v>
      </c>
      <c r="N590">
        <v>1699</v>
      </c>
      <c r="O590">
        <v>1.04</v>
      </c>
      <c r="P590">
        <v>1768</v>
      </c>
      <c r="Q590">
        <v>203</v>
      </c>
      <c r="R590">
        <v>144</v>
      </c>
      <c r="S590">
        <v>55</v>
      </c>
      <c r="T590">
        <v>298</v>
      </c>
      <c r="U590">
        <v>15</v>
      </c>
      <c r="V590">
        <v>197</v>
      </c>
      <c r="W590">
        <v>0.26700000000000002</v>
      </c>
      <c r="X590">
        <v>171</v>
      </c>
      <c r="Y590">
        <v>136</v>
      </c>
      <c r="Z590">
        <v>127</v>
      </c>
      <c r="AA590">
        <v>7</v>
      </c>
      <c r="AB590">
        <v>8.9</v>
      </c>
      <c r="AC590" t="s">
        <v>188</v>
      </c>
      <c r="AG590" t="s">
        <v>4073</v>
      </c>
      <c r="AH590" t="s">
        <v>2214</v>
      </c>
      <c r="AI590" s="245">
        <v>485</v>
      </c>
      <c r="AJ590" t="s">
        <v>4074</v>
      </c>
      <c r="AK590" t="s">
        <v>4075</v>
      </c>
      <c r="AL590" t="s">
        <v>1807</v>
      </c>
      <c r="AM590" s="245">
        <v>549.91</v>
      </c>
      <c r="AN590" t="s">
        <v>4076</v>
      </c>
      <c r="AO590" t="s">
        <v>3423</v>
      </c>
      <c r="AP590" t="s">
        <v>1224</v>
      </c>
      <c r="AQ590" s="245">
        <v>559.98</v>
      </c>
      <c r="AR590" t="s">
        <v>4077</v>
      </c>
      <c r="AS590" s="226" t="str">
        <f t="shared" si="18"/>
        <v>Maverick 95 Ti</v>
      </c>
      <c r="AT590" s="203" t="str">
        <f t="shared" si="19"/>
        <v xml:space="preserve"> AtomicMaverick 95 Ti172 Unisex</v>
      </c>
    </row>
    <row r="591" spans="1:46" ht="118.8">
      <c r="A591" t="s">
        <v>155</v>
      </c>
      <c r="B591" t="s">
        <v>317</v>
      </c>
      <c r="C591" t="s">
        <v>680</v>
      </c>
      <c r="D591">
        <v>178</v>
      </c>
      <c r="E591" t="s">
        <v>158</v>
      </c>
      <c r="F591">
        <v>178</v>
      </c>
      <c r="G591">
        <v>176</v>
      </c>
      <c r="H591">
        <v>132</v>
      </c>
      <c r="I591">
        <v>149</v>
      </c>
      <c r="J591">
        <v>117</v>
      </c>
      <c r="K591">
        <v>83</v>
      </c>
      <c r="L591">
        <v>100</v>
      </c>
      <c r="M591">
        <v>22</v>
      </c>
      <c r="N591">
        <v>1151</v>
      </c>
      <c r="O591">
        <v>1.42</v>
      </c>
      <c r="P591">
        <v>1635</v>
      </c>
      <c r="Q591">
        <v>231</v>
      </c>
      <c r="R591">
        <v>78</v>
      </c>
      <c r="S591">
        <v>54</v>
      </c>
      <c r="T591">
        <v>252</v>
      </c>
      <c r="U591">
        <v>10</v>
      </c>
      <c r="V591">
        <v>184</v>
      </c>
      <c r="W591">
        <v>0.17599999999999999</v>
      </c>
      <c r="X591">
        <v>133</v>
      </c>
      <c r="Y591">
        <v>132</v>
      </c>
      <c r="Z591">
        <v>118</v>
      </c>
      <c r="AA591">
        <v>4</v>
      </c>
      <c r="AB591">
        <v>10.5</v>
      </c>
      <c r="AC591" t="s">
        <v>185</v>
      </c>
      <c r="AD591" t="s">
        <v>198</v>
      </c>
      <c r="AG591" t="s">
        <v>4078</v>
      </c>
      <c r="AH591" t="s">
        <v>1349</v>
      </c>
      <c r="AI591" s="245">
        <v>384.97</v>
      </c>
      <c r="AJ591" t="s">
        <v>4079</v>
      </c>
      <c r="AK591" t="s">
        <v>4078</v>
      </c>
      <c r="AL591" t="s">
        <v>1194</v>
      </c>
      <c r="AM591" s="245">
        <v>387.23</v>
      </c>
      <c r="AN591" t="s">
        <v>4080</v>
      </c>
      <c r="AO591" t="s">
        <v>4081</v>
      </c>
      <c r="AP591" t="s">
        <v>1601</v>
      </c>
      <c r="AQ591" s="245">
        <v>479.99</v>
      </c>
      <c r="AR591" t="s">
        <v>4082</v>
      </c>
      <c r="AS591" s="226" t="str">
        <f t="shared" si="18"/>
        <v>Zero G 85</v>
      </c>
      <c r="AT591" s="203" t="str">
        <f t="shared" si="19"/>
        <v xml:space="preserve"> BlizzardZero G 85178 Unisex</v>
      </c>
    </row>
    <row r="592" spans="1:46" ht="26.4">
      <c r="A592" t="s">
        <v>155</v>
      </c>
      <c r="B592" t="s">
        <v>227</v>
      </c>
      <c r="C592" t="s">
        <v>681</v>
      </c>
      <c r="D592">
        <v>188</v>
      </c>
      <c r="E592" t="s">
        <v>158</v>
      </c>
      <c r="F592">
        <v>188</v>
      </c>
      <c r="G592">
        <v>186.1</v>
      </c>
      <c r="H592">
        <v>127</v>
      </c>
      <c r="I592">
        <v>154</v>
      </c>
      <c r="J592">
        <v>130</v>
      </c>
      <c r="K592">
        <v>98</v>
      </c>
      <c r="L592">
        <v>120</v>
      </c>
      <c r="M592">
        <v>20.8</v>
      </c>
      <c r="N592">
        <v>1601</v>
      </c>
      <c r="O592">
        <v>1.27</v>
      </c>
      <c r="P592">
        <v>2033</v>
      </c>
      <c r="Q592">
        <v>217</v>
      </c>
      <c r="R592">
        <v>51</v>
      </c>
      <c r="S592">
        <v>69</v>
      </c>
      <c r="T592">
        <v>370</v>
      </c>
      <c r="U592">
        <v>29</v>
      </c>
      <c r="V592">
        <v>217</v>
      </c>
      <c r="W592">
        <v>0.41299999999999998</v>
      </c>
      <c r="X592">
        <v>185</v>
      </c>
      <c r="Y592">
        <v>137</v>
      </c>
      <c r="Z592">
        <v>185</v>
      </c>
      <c r="AA592">
        <v>7</v>
      </c>
      <c r="AB592">
        <v>11.8</v>
      </c>
      <c r="AC592" t="s">
        <v>188</v>
      </c>
      <c r="AD592" t="s">
        <v>185</v>
      </c>
      <c r="AE592" t="s">
        <v>198</v>
      </c>
      <c r="AS592" s="226" t="str">
        <f t="shared" si="18"/>
        <v>Chinook 99</v>
      </c>
      <c r="AT592" s="203" t="str">
        <f t="shared" si="19"/>
        <v xml:space="preserve"> RaccoonChinook 99188 Unisex</v>
      </c>
    </row>
    <row r="593" spans="1:46" ht="92.4">
      <c r="A593" t="s">
        <v>155</v>
      </c>
      <c r="B593" t="s">
        <v>1395</v>
      </c>
      <c r="C593" t="s">
        <v>319</v>
      </c>
      <c r="D593">
        <v>163</v>
      </c>
      <c r="E593" t="s">
        <v>163</v>
      </c>
      <c r="F593">
        <v>163</v>
      </c>
      <c r="G593">
        <v>163.19999999999999</v>
      </c>
      <c r="H593">
        <v>122</v>
      </c>
      <c r="I593">
        <v>140</v>
      </c>
      <c r="J593">
        <v>135</v>
      </c>
      <c r="K593">
        <v>95</v>
      </c>
      <c r="L593">
        <v>118</v>
      </c>
      <c r="M593">
        <v>14.8</v>
      </c>
      <c r="N593">
        <v>1809</v>
      </c>
      <c r="O593">
        <v>0.97</v>
      </c>
      <c r="P593">
        <v>1757</v>
      </c>
      <c r="Q593">
        <v>180</v>
      </c>
      <c r="R593">
        <v>125</v>
      </c>
      <c r="S593">
        <v>43</v>
      </c>
      <c r="T593">
        <v>245</v>
      </c>
      <c r="U593">
        <v>16</v>
      </c>
      <c r="V593">
        <v>171</v>
      </c>
      <c r="W593">
        <v>0.36199999999999999</v>
      </c>
      <c r="X593">
        <v>130</v>
      </c>
      <c r="Y593">
        <v>103</v>
      </c>
      <c r="Z593">
        <v>115</v>
      </c>
      <c r="AA593">
        <v>4</v>
      </c>
      <c r="AB593">
        <v>11.6</v>
      </c>
      <c r="AC593" t="s">
        <v>188</v>
      </c>
      <c r="AG593" t="s">
        <v>4083</v>
      </c>
      <c r="AH593" t="s">
        <v>1497</v>
      </c>
      <c r="AI593" s="245">
        <v>559.96</v>
      </c>
      <c r="AJ593" t="s">
        <v>4084</v>
      </c>
      <c r="AK593" t="s">
        <v>4085</v>
      </c>
      <c r="AL593" t="s">
        <v>1450</v>
      </c>
      <c r="AM593" s="245">
        <v>559.99</v>
      </c>
      <c r="AN593" t="s">
        <v>4086</v>
      </c>
      <c r="AO593" t="s">
        <v>4087</v>
      </c>
      <c r="AP593" t="s">
        <v>1320</v>
      </c>
      <c r="AQ593" s="245">
        <v>559.99</v>
      </c>
      <c r="AR593" t="s">
        <v>4088</v>
      </c>
      <c r="AS593" s="226" t="str">
        <f t="shared" si="18"/>
        <v>Secret 96</v>
      </c>
      <c r="AT593" s="203" t="str">
        <f t="shared" si="19"/>
        <v xml:space="preserve"> Vï¿½lklSecret 96163 Women's</v>
      </c>
    </row>
    <row r="594" spans="1:46" ht="66">
      <c r="A594" t="s">
        <v>155</v>
      </c>
      <c r="B594" t="s">
        <v>174</v>
      </c>
      <c r="C594" t="s">
        <v>283</v>
      </c>
      <c r="D594">
        <v>185</v>
      </c>
      <c r="E594" t="s">
        <v>158</v>
      </c>
      <c r="F594">
        <v>185</v>
      </c>
      <c r="G594">
        <v>184.3</v>
      </c>
      <c r="H594">
        <v>141</v>
      </c>
      <c r="I594">
        <v>156</v>
      </c>
      <c r="J594">
        <v>132</v>
      </c>
      <c r="K594">
        <v>91</v>
      </c>
      <c r="L594">
        <v>115</v>
      </c>
      <c r="M594">
        <v>17.8</v>
      </c>
      <c r="N594">
        <v>2002</v>
      </c>
      <c r="O594">
        <v>0.97</v>
      </c>
      <c r="P594">
        <v>1932</v>
      </c>
      <c r="Q594">
        <v>246</v>
      </c>
      <c r="R594">
        <v>108</v>
      </c>
      <c r="S594">
        <v>49</v>
      </c>
      <c r="T594">
        <v>288</v>
      </c>
      <c r="U594">
        <v>11</v>
      </c>
      <c r="V594">
        <v>141</v>
      </c>
      <c r="W594">
        <v>0.23100000000000001</v>
      </c>
      <c r="X594">
        <v>149</v>
      </c>
      <c r="Y594">
        <v>130</v>
      </c>
      <c r="Z594">
        <v>139</v>
      </c>
      <c r="AA594">
        <v>10</v>
      </c>
      <c r="AB594">
        <v>10.3</v>
      </c>
      <c r="AC594" t="s">
        <v>188</v>
      </c>
      <c r="AG594" t="s">
        <v>2124</v>
      </c>
      <c r="AH594" t="s">
        <v>1280</v>
      </c>
      <c r="AI594" s="245">
        <v>399.93</v>
      </c>
      <c r="AJ594" t="s">
        <v>4089</v>
      </c>
      <c r="AK594" t="s">
        <v>2124</v>
      </c>
      <c r="AL594" t="s">
        <v>1282</v>
      </c>
      <c r="AM594" s="245">
        <v>399.99</v>
      </c>
      <c r="AN594" t="s">
        <v>4090</v>
      </c>
      <c r="AO594" t="s">
        <v>4091</v>
      </c>
      <c r="AP594" t="s">
        <v>1450</v>
      </c>
      <c r="AQ594" s="245">
        <v>399.99</v>
      </c>
      <c r="AR594" t="s">
        <v>4092</v>
      </c>
      <c r="AS594" s="226" t="str">
        <f t="shared" si="18"/>
        <v>QST 92</v>
      </c>
      <c r="AT594" s="203" t="str">
        <f t="shared" si="19"/>
        <v xml:space="preserve"> SalomonQST 92185 Unisex</v>
      </c>
    </row>
    <row r="595" spans="1:46" ht="171.6">
      <c r="A595" t="s">
        <v>155</v>
      </c>
      <c r="B595" t="s">
        <v>329</v>
      </c>
      <c r="C595" t="s">
        <v>682</v>
      </c>
      <c r="D595">
        <v>174</v>
      </c>
      <c r="E595" t="s">
        <v>158</v>
      </c>
      <c r="F595">
        <v>174</v>
      </c>
      <c r="G595">
        <v>173.4</v>
      </c>
      <c r="H595">
        <v>138</v>
      </c>
      <c r="I595">
        <v>146</v>
      </c>
      <c r="J595">
        <v>115</v>
      </c>
      <c r="K595">
        <v>84</v>
      </c>
      <c r="L595">
        <v>104</v>
      </c>
      <c r="M595">
        <v>19.8</v>
      </c>
      <c r="N595">
        <v>1961</v>
      </c>
      <c r="O595">
        <v>0.84</v>
      </c>
      <c r="P595">
        <v>1638</v>
      </c>
      <c r="Q595">
        <v>211</v>
      </c>
      <c r="R595">
        <v>82</v>
      </c>
      <c r="S595">
        <v>50</v>
      </c>
      <c r="T595">
        <v>261</v>
      </c>
      <c r="U595">
        <v>8</v>
      </c>
      <c r="V595">
        <v>93</v>
      </c>
      <c r="W595">
        <v>0.16500000000000001</v>
      </c>
      <c r="X595">
        <v>196</v>
      </c>
      <c r="Y595">
        <v>83</v>
      </c>
      <c r="Z595">
        <v>65</v>
      </c>
      <c r="AA595">
        <v>5</v>
      </c>
      <c r="AB595">
        <v>11.8</v>
      </c>
      <c r="AC595" t="s">
        <v>349</v>
      </c>
      <c r="AD595" t="s">
        <v>231</v>
      </c>
      <c r="AE595" t="s">
        <v>188</v>
      </c>
      <c r="AG595" t="s">
        <v>4093</v>
      </c>
      <c r="AH595" t="s">
        <v>1251</v>
      </c>
      <c r="AI595" s="245">
        <v>397.04</v>
      </c>
      <c r="AJ595" t="s">
        <v>4094</v>
      </c>
      <c r="AK595" t="s">
        <v>4095</v>
      </c>
      <c r="AL595" t="s">
        <v>1248</v>
      </c>
      <c r="AM595" s="245">
        <v>594.97</v>
      </c>
      <c r="AN595" t="s">
        <v>4096</v>
      </c>
      <c r="AO595" t="s">
        <v>4097</v>
      </c>
      <c r="AP595" t="s">
        <v>1509</v>
      </c>
      <c r="AQ595" s="245">
        <v>353.49</v>
      </c>
      <c r="AR595" t="s">
        <v>4098</v>
      </c>
      <c r="AS595" s="226" t="str">
        <f t="shared" si="18"/>
        <v>Seven Summits</v>
      </c>
      <c r="AT595" s="203" t="str">
        <f t="shared" si="19"/>
        <v xml:space="preserve"> DynafitSeven Summits174 Unisex</v>
      </c>
    </row>
    <row r="596" spans="1:46" ht="52.8">
      <c r="A596" t="s">
        <v>155</v>
      </c>
      <c r="B596" t="s">
        <v>174</v>
      </c>
      <c r="C596" t="s">
        <v>516</v>
      </c>
      <c r="D596">
        <v>176</v>
      </c>
      <c r="E596" t="s">
        <v>158</v>
      </c>
      <c r="F596">
        <v>176</v>
      </c>
      <c r="G596">
        <v>174.3</v>
      </c>
      <c r="H596">
        <v>134</v>
      </c>
      <c r="I596">
        <v>145</v>
      </c>
      <c r="J596">
        <v>130</v>
      </c>
      <c r="K596">
        <v>95</v>
      </c>
      <c r="L596">
        <v>112</v>
      </c>
      <c r="M596">
        <v>18.8</v>
      </c>
      <c r="N596">
        <v>1862</v>
      </c>
      <c r="O596">
        <v>1</v>
      </c>
      <c r="P596">
        <v>1853</v>
      </c>
      <c r="Q596">
        <v>179</v>
      </c>
      <c r="R596">
        <v>110</v>
      </c>
      <c r="S596">
        <v>48</v>
      </c>
      <c r="T596">
        <v>227</v>
      </c>
      <c r="U596">
        <v>8</v>
      </c>
      <c r="V596">
        <v>172</v>
      </c>
      <c r="W596">
        <v>0.16500000000000001</v>
      </c>
      <c r="X596">
        <v>165</v>
      </c>
      <c r="Y596">
        <v>132</v>
      </c>
      <c r="Z596">
        <v>63</v>
      </c>
      <c r="AA596">
        <v>9</v>
      </c>
      <c r="AB596">
        <v>10</v>
      </c>
      <c r="AC596" t="s">
        <v>188</v>
      </c>
      <c r="AG596" t="s">
        <v>4099</v>
      </c>
      <c r="AH596" t="s">
        <v>1204</v>
      </c>
      <c r="AI596" s="245">
        <v>481.02</v>
      </c>
      <c r="AJ596" t="s">
        <v>4100</v>
      </c>
      <c r="AK596" t="s">
        <v>4101</v>
      </c>
      <c r="AL596" t="s">
        <v>1185</v>
      </c>
      <c r="AM596" s="245">
        <v>489.99</v>
      </c>
      <c r="AN596" t="s">
        <v>4102</v>
      </c>
      <c r="AO596" t="s">
        <v>4101</v>
      </c>
      <c r="AP596" t="s">
        <v>1244</v>
      </c>
      <c r="AQ596" s="245">
        <v>559.96</v>
      </c>
      <c r="AR596" t="s">
        <v>4103</v>
      </c>
      <c r="AS596" s="226" t="str">
        <f t="shared" si="18"/>
        <v>Stance 96</v>
      </c>
      <c r="AT596" s="203" t="str">
        <f t="shared" si="19"/>
        <v xml:space="preserve"> SalomonStance 96176 Unisex</v>
      </c>
    </row>
    <row r="597" spans="1:46" ht="132">
      <c r="A597" t="s">
        <v>155</v>
      </c>
      <c r="B597" t="s">
        <v>167</v>
      </c>
      <c r="C597" t="s">
        <v>200</v>
      </c>
      <c r="D597">
        <v>156</v>
      </c>
      <c r="E597" t="s">
        <v>158</v>
      </c>
      <c r="F597">
        <v>156</v>
      </c>
      <c r="G597">
        <v>155.4</v>
      </c>
      <c r="H597">
        <v>119</v>
      </c>
      <c r="I597">
        <v>126</v>
      </c>
      <c r="J597">
        <v>124</v>
      </c>
      <c r="K597">
        <v>86</v>
      </c>
      <c r="L597">
        <v>107</v>
      </c>
      <c r="M597">
        <v>12</v>
      </c>
      <c r="N597">
        <v>1410</v>
      </c>
      <c r="O597">
        <v>1.0900000000000001</v>
      </c>
      <c r="P597">
        <v>1534</v>
      </c>
      <c r="Q597">
        <v>192</v>
      </c>
      <c r="R597">
        <v>82</v>
      </c>
      <c r="S597">
        <v>50</v>
      </c>
      <c r="T597">
        <v>230</v>
      </c>
      <c r="U597">
        <v>11</v>
      </c>
      <c r="V597">
        <v>134</v>
      </c>
      <c r="W597">
        <v>0.22399999999999901</v>
      </c>
      <c r="X597">
        <v>143</v>
      </c>
      <c r="Y597">
        <v>155</v>
      </c>
      <c r="Z597">
        <v>87</v>
      </c>
      <c r="AA597">
        <v>5</v>
      </c>
      <c r="AB597">
        <v>8.6</v>
      </c>
      <c r="AC597" t="s">
        <v>188</v>
      </c>
      <c r="AD597" t="s">
        <v>185</v>
      </c>
      <c r="AG597" t="s">
        <v>4104</v>
      </c>
      <c r="AH597" t="s">
        <v>1204</v>
      </c>
      <c r="AI597" s="245">
        <v>481.02</v>
      </c>
      <c r="AJ597" t="s">
        <v>4105</v>
      </c>
      <c r="AK597" t="s">
        <v>4106</v>
      </c>
      <c r="AL597" t="s">
        <v>1224</v>
      </c>
      <c r="AM597" s="245">
        <v>489</v>
      </c>
      <c r="AN597" t="s">
        <v>4107</v>
      </c>
      <c r="AO597" t="s">
        <v>4108</v>
      </c>
      <c r="AP597" t="s">
        <v>1191</v>
      </c>
      <c r="AQ597" s="245">
        <v>554.95000000000005</v>
      </c>
      <c r="AR597" t="s">
        <v>4109</v>
      </c>
      <c r="AS597" s="226" t="str">
        <f t="shared" si="18"/>
        <v>Kore 93</v>
      </c>
      <c r="AT597" s="203" t="str">
        <f t="shared" si="19"/>
        <v xml:space="preserve"> HeadKore 93156 Unisex</v>
      </c>
    </row>
    <row r="598" spans="1:46" ht="79.2">
      <c r="A598" t="s">
        <v>155</v>
      </c>
      <c r="B598" t="s">
        <v>317</v>
      </c>
      <c r="C598" t="s">
        <v>684</v>
      </c>
      <c r="D598">
        <v>159</v>
      </c>
      <c r="E598" t="s">
        <v>158</v>
      </c>
      <c r="F598">
        <v>159</v>
      </c>
      <c r="G598">
        <v>158.30000000000001</v>
      </c>
      <c r="H598">
        <v>80</v>
      </c>
      <c r="I598">
        <v>108</v>
      </c>
      <c r="J598">
        <v>145</v>
      </c>
      <c r="K598">
        <v>124</v>
      </c>
      <c r="L598">
        <v>129</v>
      </c>
      <c r="M598">
        <v>20.7</v>
      </c>
      <c r="N598">
        <v>1702</v>
      </c>
      <c r="O598">
        <v>1.2</v>
      </c>
      <c r="P598">
        <v>2044</v>
      </c>
      <c r="Q598">
        <v>138</v>
      </c>
      <c r="R598">
        <v>86</v>
      </c>
      <c r="S598">
        <v>53</v>
      </c>
      <c r="T598">
        <v>489</v>
      </c>
      <c r="U598">
        <v>15</v>
      </c>
      <c r="V598">
        <v>293</v>
      </c>
      <c r="W598">
        <v>0.27899999999999903</v>
      </c>
      <c r="X598">
        <v>272</v>
      </c>
      <c r="Y598">
        <v>231</v>
      </c>
      <c r="Z598">
        <v>217</v>
      </c>
      <c r="AA598">
        <v>2</v>
      </c>
      <c r="AB598">
        <v>10.8</v>
      </c>
      <c r="AC598" t="s">
        <v>178</v>
      </c>
      <c r="AD598" t="s">
        <v>185</v>
      </c>
      <c r="AG598" t="s">
        <v>4110</v>
      </c>
      <c r="AH598" t="s">
        <v>1309</v>
      </c>
      <c r="AI598" s="245">
        <v>639.96</v>
      </c>
      <c r="AJ598" t="s">
        <v>4111</v>
      </c>
      <c r="AK598" t="s">
        <v>4110</v>
      </c>
      <c r="AL598" t="s">
        <v>1244</v>
      </c>
      <c r="AM598" s="245">
        <v>639.96</v>
      </c>
      <c r="AN598" t="s">
        <v>4112</v>
      </c>
      <c r="AO598" t="s">
        <v>4110</v>
      </c>
      <c r="AP598" t="s">
        <v>4113</v>
      </c>
      <c r="AQ598" s="245">
        <v>639.96</v>
      </c>
      <c r="AR598" t="s">
        <v>4114</v>
      </c>
      <c r="AS598" s="226" t="str">
        <f t="shared" si="18"/>
        <v>Spur</v>
      </c>
      <c r="AT598" s="203" t="str">
        <f t="shared" si="19"/>
        <v xml:space="preserve"> BlizzardSpur159 Unisex</v>
      </c>
    </row>
    <row r="599" spans="1:46" ht="132">
      <c r="A599" t="s">
        <v>155</v>
      </c>
      <c r="B599" t="s">
        <v>317</v>
      </c>
      <c r="C599" t="s">
        <v>432</v>
      </c>
      <c r="D599">
        <v>172</v>
      </c>
      <c r="E599" t="s">
        <v>158</v>
      </c>
      <c r="F599">
        <v>172</v>
      </c>
      <c r="G599">
        <v>169.8</v>
      </c>
      <c r="H599">
        <v>124</v>
      </c>
      <c r="I599">
        <v>139</v>
      </c>
      <c r="J599">
        <v>130</v>
      </c>
      <c r="K599">
        <v>102</v>
      </c>
      <c r="L599">
        <v>116</v>
      </c>
      <c r="M599">
        <v>21.4</v>
      </c>
      <c r="N599">
        <v>1416</v>
      </c>
      <c r="O599">
        <v>1.32</v>
      </c>
      <c r="P599">
        <v>1874</v>
      </c>
      <c r="Q599">
        <v>189</v>
      </c>
      <c r="R599">
        <v>64</v>
      </c>
      <c r="S599">
        <v>54</v>
      </c>
      <c r="T599">
        <v>297</v>
      </c>
      <c r="U599">
        <v>18</v>
      </c>
      <c r="V599">
        <v>165</v>
      </c>
      <c r="W599">
        <v>0.33200000000000002</v>
      </c>
      <c r="X599">
        <v>160</v>
      </c>
      <c r="Y599">
        <v>148</v>
      </c>
      <c r="Z599">
        <v>137</v>
      </c>
      <c r="AA599">
        <v>6</v>
      </c>
      <c r="AB599">
        <v>9.8000000000000007</v>
      </c>
      <c r="AC599" t="s">
        <v>178</v>
      </c>
      <c r="AD599" t="s">
        <v>185</v>
      </c>
      <c r="AE599" t="s">
        <v>198</v>
      </c>
      <c r="AG599" t="s">
        <v>4115</v>
      </c>
      <c r="AH599" t="s">
        <v>1181</v>
      </c>
      <c r="AI599" s="245">
        <v>1125</v>
      </c>
      <c r="AJ599" t="s">
        <v>4116</v>
      </c>
      <c r="AK599" t="s">
        <v>4117</v>
      </c>
      <c r="AL599" t="s">
        <v>1194</v>
      </c>
      <c r="AM599" s="245">
        <v>516.33000000000004</v>
      </c>
      <c r="AN599" t="s">
        <v>4118</v>
      </c>
      <c r="AO599" t="s">
        <v>4117</v>
      </c>
      <c r="AP599" t="s">
        <v>1349</v>
      </c>
      <c r="AQ599" s="245">
        <v>531.66999999999996</v>
      </c>
      <c r="AR599" t="s">
        <v>4119</v>
      </c>
      <c r="AS599" s="226" t="str">
        <f t="shared" si="18"/>
        <v>Zero G 105</v>
      </c>
      <c r="AT599" s="203" t="str">
        <f t="shared" si="19"/>
        <v xml:space="preserve"> BlizzardZero G 105172 Unisex</v>
      </c>
    </row>
    <row r="600" spans="1:46" ht="79.2">
      <c r="A600" t="s">
        <v>155</v>
      </c>
      <c r="B600" t="s">
        <v>295</v>
      </c>
      <c r="C600" t="s">
        <v>458</v>
      </c>
      <c r="D600">
        <v>181</v>
      </c>
      <c r="E600" t="s">
        <v>158</v>
      </c>
      <c r="F600">
        <v>181</v>
      </c>
      <c r="G600">
        <v>178.5</v>
      </c>
      <c r="H600">
        <v>112</v>
      </c>
      <c r="I600">
        <v>153</v>
      </c>
      <c r="J600">
        <v>145</v>
      </c>
      <c r="K600">
        <v>111</v>
      </c>
      <c r="L600">
        <v>135</v>
      </c>
      <c r="M600">
        <v>19.2</v>
      </c>
      <c r="N600">
        <v>1902</v>
      </c>
      <c r="O600">
        <v>1.1399999999999999</v>
      </c>
      <c r="P600">
        <v>2166</v>
      </c>
      <c r="Q600">
        <v>277</v>
      </c>
      <c r="R600">
        <v>115</v>
      </c>
      <c r="S600">
        <v>56</v>
      </c>
      <c r="T600">
        <v>357</v>
      </c>
      <c r="U600">
        <v>55</v>
      </c>
      <c r="V600">
        <v>308</v>
      </c>
      <c r="W600">
        <v>0.96799999999999997</v>
      </c>
      <c r="X600">
        <v>127</v>
      </c>
      <c r="Y600">
        <v>130</v>
      </c>
      <c r="Z600">
        <v>230</v>
      </c>
      <c r="AA600">
        <v>3</v>
      </c>
      <c r="AB600">
        <v>9.4</v>
      </c>
      <c r="AC600" t="s">
        <v>184</v>
      </c>
      <c r="AD600" t="s">
        <v>169</v>
      </c>
      <c r="AE600" t="s">
        <v>185</v>
      </c>
      <c r="AG600" t="s">
        <v>4120</v>
      </c>
      <c r="AH600" t="s">
        <v>1280</v>
      </c>
      <c r="AI600" s="245">
        <v>598.92999999999995</v>
      </c>
      <c r="AJ600" t="s">
        <v>4121</v>
      </c>
      <c r="AK600" t="s">
        <v>4120</v>
      </c>
      <c r="AL600" t="s">
        <v>2004</v>
      </c>
      <c r="AM600" s="245">
        <v>599.25</v>
      </c>
      <c r="AN600" t="s">
        <v>4122</v>
      </c>
      <c r="AO600" t="s">
        <v>4120</v>
      </c>
      <c r="AP600" t="s">
        <v>4123</v>
      </c>
      <c r="AQ600" s="245">
        <v>599.25</v>
      </c>
      <c r="AR600" t="s">
        <v>4124</v>
      </c>
      <c r="AS600" s="226" t="str">
        <f t="shared" si="18"/>
        <v>Nomad Lite 105</v>
      </c>
      <c r="AT600" s="203" t="str">
        <f t="shared" si="19"/>
        <v xml:space="preserve"> IcelanticNomad Lite 105181 Unisex</v>
      </c>
    </row>
    <row r="601" spans="1:46" ht="79.2">
      <c r="A601" t="s">
        <v>155</v>
      </c>
      <c r="B601" t="s">
        <v>218</v>
      </c>
      <c r="C601" t="s">
        <v>398</v>
      </c>
      <c r="D601">
        <v>189</v>
      </c>
      <c r="E601" t="s">
        <v>158</v>
      </c>
      <c r="F601">
        <v>189</v>
      </c>
      <c r="G601">
        <v>187.4</v>
      </c>
      <c r="H601">
        <v>120</v>
      </c>
      <c r="I601">
        <v>145</v>
      </c>
      <c r="J601">
        <v>134</v>
      </c>
      <c r="K601">
        <v>102</v>
      </c>
      <c r="L601">
        <v>122</v>
      </c>
      <c r="M601">
        <v>18.100000000000001</v>
      </c>
      <c r="N601">
        <v>2041</v>
      </c>
      <c r="O601">
        <v>1.04</v>
      </c>
      <c r="P601">
        <v>2132</v>
      </c>
      <c r="Q601">
        <v>250</v>
      </c>
      <c r="R601">
        <v>115</v>
      </c>
      <c r="S601">
        <v>61</v>
      </c>
      <c r="T601">
        <v>350</v>
      </c>
      <c r="U601">
        <v>45</v>
      </c>
      <c r="V601">
        <v>327</v>
      </c>
      <c r="W601">
        <v>0.74099999999999999</v>
      </c>
      <c r="X601">
        <v>243</v>
      </c>
      <c r="Y601">
        <v>180</v>
      </c>
      <c r="Z601">
        <v>107</v>
      </c>
      <c r="AA601">
        <v>4</v>
      </c>
      <c r="AB601">
        <v>7.2</v>
      </c>
      <c r="AC601" t="s">
        <v>188</v>
      </c>
      <c r="AD601" t="s">
        <v>169</v>
      </c>
      <c r="AG601" t="s">
        <v>2026</v>
      </c>
      <c r="AH601" t="s">
        <v>1282</v>
      </c>
      <c r="AI601" s="245">
        <v>559.20000000000005</v>
      </c>
      <c r="AJ601" t="s">
        <v>4125</v>
      </c>
      <c r="AK601" t="s">
        <v>4126</v>
      </c>
      <c r="AL601" t="s">
        <v>1271</v>
      </c>
      <c r="AM601" s="245">
        <v>469.93</v>
      </c>
      <c r="AN601" t="s">
        <v>4127</v>
      </c>
      <c r="AO601" t="s">
        <v>4126</v>
      </c>
      <c r="AP601" t="s">
        <v>1248</v>
      </c>
      <c r="AQ601" s="245">
        <v>479.4</v>
      </c>
      <c r="AR601" t="s">
        <v>4128</v>
      </c>
      <c r="AS601" s="226" t="str">
        <f t="shared" si="18"/>
        <v>Foundation 103 Koala</v>
      </c>
      <c r="AT601" s="203" t="str">
        <f t="shared" si="19"/>
        <v xml:space="preserve"> DPSFoundation 103 Koala189 Unisex</v>
      </c>
    </row>
    <row r="602" spans="1:46" ht="66">
      <c r="A602" t="s">
        <v>155</v>
      </c>
      <c r="B602" t="s">
        <v>182</v>
      </c>
      <c r="C602" t="s">
        <v>686</v>
      </c>
      <c r="D602">
        <v>180</v>
      </c>
      <c r="E602" t="s">
        <v>158</v>
      </c>
      <c r="F602">
        <v>180</v>
      </c>
      <c r="G602">
        <v>179.4</v>
      </c>
      <c r="H602">
        <v>125</v>
      </c>
      <c r="I602">
        <v>149</v>
      </c>
      <c r="J602">
        <v>138</v>
      </c>
      <c r="K602">
        <v>99</v>
      </c>
      <c r="L602">
        <v>120</v>
      </c>
      <c r="M602">
        <v>16.100000000000001</v>
      </c>
      <c r="N602">
        <v>2185</v>
      </c>
      <c r="O602">
        <v>0.92</v>
      </c>
      <c r="P602">
        <v>2019</v>
      </c>
      <c r="Q602">
        <v>191</v>
      </c>
      <c r="R602">
        <v>90</v>
      </c>
      <c r="S602">
        <v>61</v>
      </c>
      <c r="T602">
        <v>308</v>
      </c>
      <c r="U602">
        <v>40</v>
      </c>
      <c r="V602">
        <v>240</v>
      </c>
      <c r="W602">
        <v>0.64800000000000002</v>
      </c>
      <c r="X602">
        <v>197</v>
      </c>
      <c r="Y602">
        <v>112</v>
      </c>
      <c r="Z602">
        <v>112</v>
      </c>
      <c r="AA602">
        <v>8</v>
      </c>
      <c r="AB602">
        <v>9.4</v>
      </c>
      <c r="AC602" t="s">
        <v>188</v>
      </c>
      <c r="AG602" t="s">
        <v>4129</v>
      </c>
      <c r="AH602" t="s">
        <v>2130</v>
      </c>
      <c r="AI602" s="245">
        <v>559.96</v>
      </c>
      <c r="AJ602" t="s">
        <v>4130</v>
      </c>
      <c r="AK602" t="s">
        <v>4131</v>
      </c>
      <c r="AL602" t="s">
        <v>1627</v>
      </c>
      <c r="AM602" s="245">
        <v>629</v>
      </c>
      <c r="AN602" t="s">
        <v>4132</v>
      </c>
      <c r="AO602" t="s">
        <v>4133</v>
      </c>
      <c r="AP602" t="s">
        <v>2291</v>
      </c>
      <c r="AQ602" s="245">
        <v>649.95000000000005</v>
      </c>
      <c r="AR602" t="s">
        <v>4134</v>
      </c>
      <c r="AS602" s="226" t="str">
        <f t="shared" si="18"/>
        <v>Stranger</v>
      </c>
      <c r="AT602" s="203" t="str">
        <f t="shared" si="19"/>
        <v xml:space="preserve"> ArmadaStranger180 Unisex</v>
      </c>
    </row>
    <row r="603" spans="1:46" ht="79.2">
      <c r="A603" t="s">
        <v>155</v>
      </c>
      <c r="B603" t="s">
        <v>182</v>
      </c>
      <c r="C603" t="s">
        <v>610</v>
      </c>
      <c r="D603">
        <v>166</v>
      </c>
      <c r="E603" t="s">
        <v>163</v>
      </c>
      <c r="F603">
        <v>166</v>
      </c>
      <c r="G603">
        <v>165.5</v>
      </c>
      <c r="H603">
        <v>138</v>
      </c>
      <c r="I603">
        <v>149</v>
      </c>
      <c r="J603">
        <v>125</v>
      </c>
      <c r="K603">
        <v>81</v>
      </c>
      <c r="L603">
        <v>108</v>
      </c>
      <c r="M603">
        <v>15.4</v>
      </c>
      <c r="N603">
        <v>1533</v>
      </c>
      <c r="O603">
        <v>1.02</v>
      </c>
      <c r="P603">
        <v>1569</v>
      </c>
      <c r="Q603">
        <v>205</v>
      </c>
      <c r="R603">
        <v>122</v>
      </c>
      <c r="S603">
        <v>36</v>
      </c>
      <c r="T603">
        <v>176</v>
      </c>
      <c r="U603">
        <v>10</v>
      </c>
      <c r="V603">
        <v>104</v>
      </c>
      <c r="W603">
        <v>0.26899999999999902</v>
      </c>
      <c r="X603">
        <v>112</v>
      </c>
      <c r="Y603">
        <v>55</v>
      </c>
      <c r="Z603">
        <v>64</v>
      </c>
      <c r="AA603">
        <v>9</v>
      </c>
      <c r="AB603">
        <v>10.3</v>
      </c>
      <c r="AC603" t="s">
        <v>231</v>
      </c>
      <c r="AD603" t="s">
        <v>188</v>
      </c>
      <c r="AG603" t="s">
        <v>3905</v>
      </c>
      <c r="AH603" t="s">
        <v>1858</v>
      </c>
      <c r="AI603" s="245">
        <v>479</v>
      </c>
      <c r="AJ603" t="s">
        <v>4135</v>
      </c>
      <c r="AK603" t="s">
        <v>3907</v>
      </c>
      <c r="AL603" t="s">
        <v>1194</v>
      </c>
      <c r="AM603" s="245">
        <v>552.30999999999995</v>
      </c>
      <c r="AN603" t="s">
        <v>4136</v>
      </c>
      <c r="AO603" t="s">
        <v>3905</v>
      </c>
      <c r="AP603" t="s">
        <v>1271</v>
      </c>
      <c r="AQ603" s="245">
        <v>589.99</v>
      </c>
      <c r="AR603" t="s">
        <v>4137</v>
      </c>
      <c r="AS603" s="226" t="str">
        <f t="shared" si="18"/>
        <v>Reliance 82 Ti</v>
      </c>
      <c r="AT603" s="203" t="str">
        <f t="shared" si="19"/>
        <v xml:space="preserve"> ArmadaReliance 82 Ti166 Women's</v>
      </c>
    </row>
    <row r="604" spans="1:46" ht="118.8">
      <c r="A604" t="s">
        <v>155</v>
      </c>
      <c r="B604" t="s">
        <v>317</v>
      </c>
      <c r="C604" t="s">
        <v>502</v>
      </c>
      <c r="D604">
        <v>159</v>
      </c>
      <c r="E604" t="s">
        <v>163</v>
      </c>
      <c r="F604">
        <v>159</v>
      </c>
      <c r="G604">
        <v>157.80000000000001</v>
      </c>
      <c r="H604">
        <v>126</v>
      </c>
      <c r="I604">
        <v>134</v>
      </c>
      <c r="J604">
        <v>126</v>
      </c>
      <c r="K604">
        <v>86</v>
      </c>
      <c r="L604">
        <v>108</v>
      </c>
      <c r="M604">
        <v>13.9</v>
      </c>
      <c r="N604">
        <v>1654</v>
      </c>
      <c r="O604">
        <v>0.94</v>
      </c>
      <c r="P604">
        <v>1549</v>
      </c>
      <c r="Q604">
        <v>151</v>
      </c>
      <c r="R604">
        <v>74</v>
      </c>
      <c r="S604">
        <v>59</v>
      </c>
      <c r="T604">
        <v>219</v>
      </c>
      <c r="U604">
        <v>7</v>
      </c>
      <c r="V604">
        <v>99</v>
      </c>
      <c r="W604">
        <v>0.126</v>
      </c>
      <c r="X604">
        <v>124</v>
      </c>
      <c r="Y604">
        <v>112</v>
      </c>
      <c r="Z604">
        <v>95</v>
      </c>
      <c r="AA604">
        <v>8</v>
      </c>
      <c r="AB604">
        <v>11.4</v>
      </c>
      <c r="AC604" t="s">
        <v>188</v>
      </c>
      <c r="AG604" t="s">
        <v>4138</v>
      </c>
      <c r="AH604" t="s">
        <v>2789</v>
      </c>
      <c r="AI604" s="245">
        <v>299</v>
      </c>
      <c r="AJ604" t="s">
        <v>4139</v>
      </c>
      <c r="AK604" t="s">
        <v>4140</v>
      </c>
      <c r="AL604" t="s">
        <v>1349</v>
      </c>
      <c r="AM604" s="245">
        <v>347.48</v>
      </c>
      <c r="AN604" t="s">
        <v>4141</v>
      </c>
      <c r="AO604" t="s">
        <v>4140</v>
      </c>
      <c r="AP604" t="s">
        <v>1194</v>
      </c>
      <c r="AQ604" s="245">
        <v>354.97</v>
      </c>
      <c r="AR604" t="s">
        <v>4142</v>
      </c>
      <c r="AS604" s="226" t="str">
        <f t="shared" si="18"/>
        <v>Black Pearl 88</v>
      </c>
      <c r="AT604" s="203" t="str">
        <f t="shared" si="19"/>
        <v xml:space="preserve"> BlizzardBlack Pearl 88159 Women's</v>
      </c>
    </row>
    <row r="605" spans="1:46">
      <c r="A605" t="s">
        <v>155</v>
      </c>
      <c r="B605" t="s">
        <v>1395</v>
      </c>
      <c r="C605" t="s">
        <v>596</v>
      </c>
      <c r="D605">
        <v>181</v>
      </c>
      <c r="E605" t="s">
        <v>158</v>
      </c>
      <c r="F605">
        <v>181</v>
      </c>
      <c r="G605">
        <v>181.3</v>
      </c>
      <c r="H605">
        <v>145</v>
      </c>
      <c r="I605">
        <v>166</v>
      </c>
      <c r="J605">
        <v>128</v>
      </c>
      <c r="K605">
        <v>94</v>
      </c>
      <c r="L605">
        <v>118</v>
      </c>
      <c r="M605">
        <v>23.8</v>
      </c>
      <c r="N605">
        <v>2034</v>
      </c>
      <c r="O605">
        <v>0.93</v>
      </c>
      <c r="P605">
        <v>1886</v>
      </c>
      <c r="Q605">
        <v>209</v>
      </c>
      <c r="R605">
        <v>106</v>
      </c>
      <c r="S605">
        <v>38</v>
      </c>
      <c r="T605">
        <v>204</v>
      </c>
      <c r="U605">
        <v>37</v>
      </c>
      <c r="V605">
        <v>156</v>
      </c>
      <c r="W605">
        <v>0.96</v>
      </c>
      <c r="X605">
        <v>83</v>
      </c>
      <c r="Y605">
        <v>72</v>
      </c>
      <c r="Z605">
        <v>120</v>
      </c>
      <c r="AA605">
        <v>6</v>
      </c>
      <c r="AB605">
        <v>0.2</v>
      </c>
      <c r="AC605" t="s">
        <v>184</v>
      </c>
      <c r="AS605" s="226" t="str">
        <f t="shared" si="18"/>
        <v>Revolt 95</v>
      </c>
      <c r="AT605" s="203" t="str">
        <f t="shared" si="19"/>
        <v xml:space="preserve"> Vï¿½lklRevolt 95181 Unisex</v>
      </c>
    </row>
    <row r="606" spans="1:46" ht="132">
      <c r="A606" t="s">
        <v>155</v>
      </c>
      <c r="B606" t="s">
        <v>172</v>
      </c>
      <c r="C606" t="s">
        <v>533</v>
      </c>
      <c r="D606">
        <v>174</v>
      </c>
      <c r="E606" t="s">
        <v>158</v>
      </c>
      <c r="F606">
        <v>174</v>
      </c>
      <c r="G606">
        <v>174.4</v>
      </c>
      <c r="H606">
        <v>134</v>
      </c>
      <c r="I606">
        <v>160</v>
      </c>
      <c r="J606">
        <v>125</v>
      </c>
      <c r="K606">
        <v>80</v>
      </c>
      <c r="L606">
        <v>113</v>
      </c>
      <c r="M606">
        <v>16.100000000000001</v>
      </c>
      <c r="N606">
        <v>1830</v>
      </c>
      <c r="O606">
        <v>0.9</v>
      </c>
      <c r="P606">
        <v>1643</v>
      </c>
      <c r="Q606">
        <v>254</v>
      </c>
      <c r="R606">
        <v>72</v>
      </c>
      <c r="S606">
        <v>50</v>
      </c>
      <c r="T606">
        <v>266</v>
      </c>
      <c r="U606">
        <v>15</v>
      </c>
      <c r="V606">
        <v>137</v>
      </c>
      <c r="W606">
        <v>0.30599999999999999</v>
      </c>
      <c r="X606">
        <v>84</v>
      </c>
      <c r="Y606">
        <v>62</v>
      </c>
      <c r="Z606">
        <v>182</v>
      </c>
      <c r="AA606">
        <v>7</v>
      </c>
      <c r="AB606">
        <v>6.4</v>
      </c>
      <c r="AC606" t="s">
        <v>160</v>
      </c>
      <c r="AG606" t="s">
        <v>2537</v>
      </c>
      <c r="AH606" t="s">
        <v>1179</v>
      </c>
      <c r="AI606" s="245">
        <v>479.95</v>
      </c>
      <c r="AJ606" t="s">
        <v>4143</v>
      </c>
      <c r="AK606" t="s">
        <v>2537</v>
      </c>
      <c r="AL606" t="s">
        <v>3218</v>
      </c>
      <c r="AM606" s="245">
        <v>599.95000000000005</v>
      </c>
      <c r="AN606" t="s">
        <v>4144</v>
      </c>
      <c r="AO606" t="s">
        <v>2537</v>
      </c>
      <c r="AP606" t="s">
        <v>2632</v>
      </c>
      <c r="AQ606" s="245">
        <v>599.95000000000005</v>
      </c>
      <c r="AR606" t="s">
        <v>4145</v>
      </c>
      <c r="AS606" s="226" t="str">
        <f t="shared" si="18"/>
        <v>Experience 80 Carbon</v>
      </c>
      <c r="AT606" s="203" t="str">
        <f t="shared" si="19"/>
        <v xml:space="preserve"> RossignolExperience 80 Carbon174 Unisex</v>
      </c>
    </row>
    <row r="607" spans="1:46" ht="132">
      <c r="A607" t="s">
        <v>155</v>
      </c>
      <c r="B607" t="s">
        <v>164</v>
      </c>
      <c r="C607" t="s">
        <v>688</v>
      </c>
      <c r="D607">
        <v>172</v>
      </c>
      <c r="E607" t="s">
        <v>158</v>
      </c>
      <c r="F607">
        <v>172</v>
      </c>
      <c r="G607">
        <v>171.4</v>
      </c>
      <c r="H607">
        <v>137</v>
      </c>
      <c r="I607">
        <v>152</v>
      </c>
      <c r="J607">
        <v>128</v>
      </c>
      <c r="K607">
        <v>85</v>
      </c>
      <c r="L607">
        <v>114</v>
      </c>
      <c r="M607">
        <v>15.4</v>
      </c>
      <c r="N607">
        <v>2080</v>
      </c>
      <c r="O607">
        <v>0.82</v>
      </c>
      <c r="P607">
        <v>1700</v>
      </c>
      <c r="Q607">
        <v>206</v>
      </c>
      <c r="R607">
        <v>92</v>
      </c>
      <c r="S607">
        <v>42</v>
      </c>
      <c r="T607">
        <v>214</v>
      </c>
      <c r="U607">
        <v>8</v>
      </c>
      <c r="V607">
        <v>130</v>
      </c>
      <c r="W607">
        <v>0.20199999999999901</v>
      </c>
      <c r="X607">
        <v>102</v>
      </c>
      <c r="Y607">
        <v>93</v>
      </c>
      <c r="Z607">
        <v>112</v>
      </c>
      <c r="AA607">
        <v>8</v>
      </c>
      <c r="AB607">
        <v>8.9</v>
      </c>
      <c r="AC607" t="s">
        <v>188</v>
      </c>
      <c r="AG607" t="s">
        <v>4146</v>
      </c>
      <c r="AH607" t="s">
        <v>1248</v>
      </c>
      <c r="AI607" s="245">
        <v>349.99</v>
      </c>
      <c r="AJ607" t="s">
        <v>4147</v>
      </c>
      <c r="AK607" t="s">
        <v>4148</v>
      </c>
      <c r="AL607" t="s">
        <v>1657</v>
      </c>
      <c r="AM607" s="245">
        <v>649.99</v>
      </c>
      <c r="AN607" t="s">
        <v>4149</v>
      </c>
      <c r="AO607" t="s">
        <v>4150</v>
      </c>
      <c r="AP607" t="s">
        <v>1365</v>
      </c>
      <c r="AQ607" s="245">
        <v>649.99</v>
      </c>
      <c r="AR607" t="s">
        <v>4151</v>
      </c>
      <c r="AS607" s="226" t="str">
        <f t="shared" si="18"/>
        <v>Wingman 86 CTi</v>
      </c>
      <c r="AT607" s="203" t="str">
        <f t="shared" si="19"/>
        <v xml:space="preserve"> ElanWingman 86 CTi172 Unisex</v>
      </c>
    </row>
    <row r="608" spans="1:46" ht="66">
      <c r="A608" t="s">
        <v>155</v>
      </c>
      <c r="B608" t="s">
        <v>167</v>
      </c>
      <c r="C608" t="s">
        <v>234</v>
      </c>
      <c r="D608">
        <v>177</v>
      </c>
      <c r="E608" t="s">
        <v>163</v>
      </c>
      <c r="F608">
        <v>177</v>
      </c>
      <c r="G608">
        <v>176.6</v>
      </c>
      <c r="H608">
        <v>137</v>
      </c>
      <c r="I608">
        <v>144</v>
      </c>
      <c r="J608">
        <v>132</v>
      </c>
      <c r="K608">
        <v>98</v>
      </c>
      <c r="L608">
        <v>118</v>
      </c>
      <c r="M608">
        <v>17.100000000000001</v>
      </c>
      <c r="N608">
        <v>1717</v>
      </c>
      <c r="O608">
        <v>1.1200000000000001</v>
      </c>
      <c r="P608">
        <v>1928</v>
      </c>
      <c r="Q608">
        <v>266</v>
      </c>
      <c r="R608">
        <v>128</v>
      </c>
      <c r="S608">
        <v>53</v>
      </c>
      <c r="T608">
        <v>239</v>
      </c>
      <c r="U608">
        <v>14</v>
      </c>
      <c r="V608">
        <v>158</v>
      </c>
      <c r="W608">
        <v>0.26800000000000002</v>
      </c>
      <c r="X608">
        <v>182</v>
      </c>
      <c r="Y608">
        <v>149</v>
      </c>
      <c r="Z608">
        <v>57</v>
      </c>
      <c r="AA608">
        <v>6</v>
      </c>
      <c r="AB608">
        <v>8.9</v>
      </c>
      <c r="AC608" t="s">
        <v>188</v>
      </c>
      <c r="AD608" t="s">
        <v>185</v>
      </c>
      <c r="AG608" t="s">
        <v>4152</v>
      </c>
      <c r="AH608" t="s">
        <v>1194</v>
      </c>
      <c r="AI608" s="245">
        <v>414</v>
      </c>
      <c r="AJ608" t="s">
        <v>4153</v>
      </c>
      <c r="AK608" t="s">
        <v>4152</v>
      </c>
      <c r="AL608" t="s">
        <v>1191</v>
      </c>
      <c r="AM608" s="245">
        <v>424.95</v>
      </c>
      <c r="AN608" t="s">
        <v>4154</v>
      </c>
      <c r="AO608" t="s">
        <v>4152</v>
      </c>
      <c r="AP608" t="s">
        <v>1858</v>
      </c>
      <c r="AQ608" s="245">
        <v>519</v>
      </c>
      <c r="AR608" t="s">
        <v>4155</v>
      </c>
      <c r="AS608" s="226" t="str">
        <f t="shared" si="18"/>
        <v>Kore 97 W</v>
      </c>
      <c r="AT608" s="203" t="str">
        <f t="shared" si="19"/>
        <v xml:space="preserve"> HeadKore 97 W177 Women's</v>
      </c>
    </row>
    <row r="609" spans="1:46" ht="92.4">
      <c r="A609" t="s">
        <v>155</v>
      </c>
      <c r="B609" t="s">
        <v>156</v>
      </c>
      <c r="C609" t="s">
        <v>689</v>
      </c>
      <c r="D609">
        <v>173</v>
      </c>
      <c r="E609" t="s">
        <v>158</v>
      </c>
      <c r="F609">
        <v>173</v>
      </c>
      <c r="G609">
        <v>171.9</v>
      </c>
      <c r="H609">
        <v>141</v>
      </c>
      <c r="I609">
        <v>151</v>
      </c>
      <c r="J609">
        <v>122</v>
      </c>
      <c r="K609">
        <v>81</v>
      </c>
      <c r="L609">
        <v>106</v>
      </c>
      <c r="M609">
        <v>15.7</v>
      </c>
      <c r="N609">
        <v>1980</v>
      </c>
      <c r="O609">
        <v>0.82</v>
      </c>
      <c r="P609">
        <v>1626</v>
      </c>
      <c r="Q609">
        <v>199</v>
      </c>
      <c r="R609">
        <v>87</v>
      </c>
      <c r="S609">
        <v>41</v>
      </c>
      <c r="T609">
        <v>191</v>
      </c>
      <c r="U609">
        <v>22</v>
      </c>
      <c r="V609">
        <v>117</v>
      </c>
      <c r="W609">
        <v>0.54100000000000004</v>
      </c>
      <c r="X609">
        <v>116</v>
      </c>
      <c r="Y609">
        <v>92</v>
      </c>
      <c r="Z609">
        <v>75</v>
      </c>
      <c r="AA609">
        <v>11</v>
      </c>
      <c r="AB609">
        <v>8.3000000000000007</v>
      </c>
      <c r="AC609" t="s">
        <v>188</v>
      </c>
      <c r="AG609" t="s">
        <v>4156</v>
      </c>
      <c r="AH609" t="s">
        <v>1224</v>
      </c>
      <c r="AI609" s="245">
        <v>399.99</v>
      </c>
      <c r="AJ609" t="s">
        <v>4157</v>
      </c>
      <c r="AK609" t="s">
        <v>4156</v>
      </c>
      <c r="AL609" t="s">
        <v>1179</v>
      </c>
      <c r="AM609" s="245">
        <v>499.99</v>
      </c>
      <c r="AN609" t="s">
        <v>4158</v>
      </c>
      <c r="AO609" t="s">
        <v>4159</v>
      </c>
      <c r="AP609" t="s">
        <v>2837</v>
      </c>
      <c r="AQ609" s="245">
        <v>399.95</v>
      </c>
      <c r="AR609" t="s">
        <v>4160</v>
      </c>
      <c r="AS609" s="226" t="str">
        <f t="shared" si="18"/>
        <v>Maverick 83</v>
      </c>
      <c r="AT609" s="203" t="str">
        <f t="shared" si="19"/>
        <v xml:space="preserve"> AtomicMaverick 83173 Unisex</v>
      </c>
    </row>
    <row r="610" spans="1:46" ht="39.6">
      <c r="A610" t="s">
        <v>155</v>
      </c>
      <c r="B610" t="s">
        <v>205</v>
      </c>
      <c r="C610" t="s">
        <v>691</v>
      </c>
      <c r="D610">
        <v>172</v>
      </c>
      <c r="E610" t="s">
        <v>158</v>
      </c>
      <c r="F610">
        <v>172</v>
      </c>
      <c r="G610">
        <v>170.3</v>
      </c>
      <c r="H610">
        <v>117</v>
      </c>
      <c r="I610">
        <v>139</v>
      </c>
      <c r="J610">
        <v>133</v>
      </c>
      <c r="K610">
        <v>106</v>
      </c>
      <c r="L610">
        <v>124</v>
      </c>
      <c r="M610">
        <v>18.899999999999999</v>
      </c>
      <c r="N610">
        <v>1898</v>
      </c>
      <c r="O610">
        <v>1.03</v>
      </c>
      <c r="P610">
        <v>1959</v>
      </c>
      <c r="Q610">
        <v>210</v>
      </c>
      <c r="R610">
        <v>136</v>
      </c>
      <c r="S610">
        <v>63</v>
      </c>
      <c r="T610">
        <v>325</v>
      </c>
      <c r="U610">
        <v>22</v>
      </c>
      <c r="V610">
        <v>212</v>
      </c>
      <c r="W610">
        <v>0.35399999999999998</v>
      </c>
      <c r="X610">
        <v>186</v>
      </c>
      <c r="Y610">
        <v>124</v>
      </c>
      <c r="Z610">
        <v>138</v>
      </c>
      <c r="AA610">
        <v>4</v>
      </c>
      <c r="AB610">
        <v>10.8</v>
      </c>
      <c r="AC610" t="s">
        <v>169</v>
      </c>
      <c r="AD610" t="s">
        <v>178</v>
      </c>
      <c r="AG610" t="s">
        <v>1713</v>
      </c>
      <c r="AH610" t="s">
        <v>1194</v>
      </c>
      <c r="AI610" s="245">
        <v>460.11</v>
      </c>
      <c r="AJ610" t="s">
        <v>4161</v>
      </c>
      <c r="AK610" t="s">
        <v>1713</v>
      </c>
      <c r="AL610" t="s">
        <v>1218</v>
      </c>
      <c r="AM610" s="245">
        <v>575.20000000000005</v>
      </c>
      <c r="AN610" t="s">
        <v>4162</v>
      </c>
      <c r="AO610" t="s">
        <v>1713</v>
      </c>
      <c r="AP610" t="s">
        <v>1464</v>
      </c>
      <c r="AQ610" s="245">
        <v>575.9</v>
      </c>
      <c r="AR610" t="s">
        <v>4163</v>
      </c>
      <c r="AS610" s="226" t="str">
        <f t="shared" si="18"/>
        <v>Dictator 3.0</v>
      </c>
      <c r="AT610" s="203" t="str">
        <f t="shared" si="19"/>
        <v xml:space="preserve"> FactionDictator 3.0172 Unisex</v>
      </c>
    </row>
    <row r="611" spans="1:46" ht="409.6">
      <c r="A611" t="s">
        <v>155</v>
      </c>
      <c r="B611" t="s">
        <v>164</v>
      </c>
      <c r="C611" t="s">
        <v>693</v>
      </c>
      <c r="D611">
        <v>168</v>
      </c>
      <c r="E611" t="s">
        <v>158</v>
      </c>
      <c r="F611">
        <v>168</v>
      </c>
      <c r="G611">
        <v>166.3</v>
      </c>
      <c r="H611">
        <v>146</v>
      </c>
      <c r="I611">
        <v>153</v>
      </c>
      <c r="J611">
        <v>124</v>
      </c>
      <c r="K611">
        <v>75</v>
      </c>
      <c r="L611">
        <v>103</v>
      </c>
      <c r="M611">
        <v>14.8</v>
      </c>
      <c r="N611">
        <v>1913</v>
      </c>
      <c r="O611">
        <v>0.78</v>
      </c>
      <c r="P611">
        <v>1490</v>
      </c>
      <c r="Q611">
        <v>199</v>
      </c>
      <c r="R611">
        <v>88</v>
      </c>
      <c r="S611">
        <v>28</v>
      </c>
      <c r="T611">
        <v>132</v>
      </c>
      <c r="U611">
        <v>10</v>
      </c>
      <c r="V611">
        <v>70</v>
      </c>
      <c r="W611">
        <v>0.35299999999999998</v>
      </c>
      <c r="X611">
        <v>76</v>
      </c>
      <c r="Y611">
        <v>56</v>
      </c>
      <c r="Z611">
        <v>56</v>
      </c>
      <c r="AA611">
        <v>10</v>
      </c>
      <c r="AB611">
        <v>9</v>
      </c>
      <c r="AC611" t="s">
        <v>349</v>
      </c>
      <c r="AG611" t="s">
        <v>4164</v>
      </c>
      <c r="AH611" t="s">
        <v>1191</v>
      </c>
      <c r="AI611" s="245">
        <v>374.95</v>
      </c>
      <c r="AJ611" t="s">
        <v>4165</v>
      </c>
      <c r="AK611" t="s">
        <v>3791</v>
      </c>
      <c r="AL611" t="s">
        <v>1204</v>
      </c>
      <c r="AM611" s="245">
        <v>561.20000000000005</v>
      </c>
      <c r="AN611" t="s">
        <v>4166</v>
      </c>
      <c r="AO611" t="s">
        <v>4167</v>
      </c>
      <c r="AP611" t="s">
        <v>1179</v>
      </c>
      <c r="AQ611" s="245">
        <v>599.99</v>
      </c>
      <c r="AR611" t="s">
        <v>4168</v>
      </c>
      <c r="AS611" s="226" t="str">
        <f t="shared" si="18"/>
        <v>Wingman 78 Ti</v>
      </c>
      <c r="AT611" s="203" t="str">
        <f t="shared" si="19"/>
        <v xml:space="preserve"> ElanWingman 78 Ti168 Unisex</v>
      </c>
    </row>
    <row r="612" spans="1:46" ht="92.4">
      <c r="A612" t="s">
        <v>155</v>
      </c>
      <c r="B612" t="s">
        <v>332</v>
      </c>
      <c r="C612" t="s">
        <v>694</v>
      </c>
      <c r="D612">
        <v>165</v>
      </c>
      <c r="E612" t="s">
        <v>158</v>
      </c>
      <c r="F612">
        <v>165</v>
      </c>
      <c r="G612">
        <v>164.2</v>
      </c>
      <c r="H612">
        <v>114</v>
      </c>
      <c r="I612">
        <v>135</v>
      </c>
      <c r="J612">
        <v>133</v>
      </c>
      <c r="K612">
        <v>103</v>
      </c>
      <c r="L612">
        <v>123</v>
      </c>
      <c r="M612">
        <v>16.2</v>
      </c>
      <c r="N612">
        <v>1945</v>
      </c>
      <c r="O612">
        <v>0.95</v>
      </c>
      <c r="P612">
        <v>1851</v>
      </c>
      <c r="Q612">
        <v>182</v>
      </c>
      <c r="R612">
        <v>130</v>
      </c>
      <c r="S612">
        <v>47</v>
      </c>
      <c r="T612">
        <v>280</v>
      </c>
      <c r="U612">
        <v>28</v>
      </c>
      <c r="V612">
        <v>220</v>
      </c>
      <c r="W612">
        <v>0.59599999999999997</v>
      </c>
      <c r="X612">
        <v>146</v>
      </c>
      <c r="Y612">
        <v>145</v>
      </c>
      <c r="Z612">
        <v>134</v>
      </c>
      <c r="AA612">
        <v>9</v>
      </c>
      <c r="AB612">
        <v>8.4</v>
      </c>
      <c r="AC612" t="s">
        <v>188</v>
      </c>
      <c r="AD612" t="s">
        <v>169</v>
      </c>
      <c r="AG612" t="s">
        <v>4169</v>
      </c>
      <c r="AH612" t="s">
        <v>1204</v>
      </c>
      <c r="AI612" s="245">
        <v>561.20000000000005</v>
      </c>
      <c r="AJ612" t="s">
        <v>4170</v>
      </c>
      <c r="AK612" t="s">
        <v>4171</v>
      </c>
      <c r="AL612" t="s">
        <v>1232</v>
      </c>
      <c r="AM612" s="245">
        <v>639.95000000000005</v>
      </c>
      <c r="AN612" t="s">
        <v>4172</v>
      </c>
      <c r="AO612" t="s">
        <v>4171</v>
      </c>
      <c r="AP612" t="s">
        <v>2425</v>
      </c>
      <c r="AQ612" s="245">
        <v>639.99</v>
      </c>
      <c r="AR612" t="s">
        <v>4173</v>
      </c>
      <c r="AS612" s="226" t="str">
        <f t="shared" si="18"/>
        <v>Enforcer 104 Free</v>
      </c>
      <c r="AT612" s="203" t="str">
        <f t="shared" si="19"/>
        <v xml:space="preserve"> NordicaEnforcer 104 Free165 Unisex</v>
      </c>
    </row>
    <row r="613" spans="1:46" ht="52.8">
      <c r="A613" t="s">
        <v>155</v>
      </c>
      <c r="B613" t="s">
        <v>164</v>
      </c>
      <c r="C613" t="s">
        <v>635</v>
      </c>
      <c r="D613">
        <v>188</v>
      </c>
      <c r="E613" t="s">
        <v>158</v>
      </c>
      <c r="F613">
        <v>188</v>
      </c>
      <c r="G613">
        <v>184.3</v>
      </c>
      <c r="H613">
        <v>142</v>
      </c>
      <c r="I613">
        <v>153</v>
      </c>
      <c r="J613">
        <v>129</v>
      </c>
      <c r="K613">
        <v>87</v>
      </c>
      <c r="L613">
        <v>104</v>
      </c>
      <c r="M613">
        <v>18.8</v>
      </c>
      <c r="N613">
        <v>1663</v>
      </c>
      <c r="O613">
        <v>1.1100000000000001</v>
      </c>
      <c r="P613">
        <v>1848</v>
      </c>
      <c r="Q613">
        <v>176</v>
      </c>
      <c r="R613">
        <v>69</v>
      </c>
      <c r="S613">
        <v>49</v>
      </c>
      <c r="T613">
        <v>225</v>
      </c>
      <c r="U613">
        <v>16</v>
      </c>
      <c r="V613">
        <v>195</v>
      </c>
      <c r="W613">
        <v>0.32100000000000001</v>
      </c>
      <c r="X613">
        <v>147</v>
      </c>
      <c r="Y613">
        <v>166</v>
      </c>
      <c r="Z613">
        <v>77</v>
      </c>
      <c r="AA613">
        <v>7</v>
      </c>
      <c r="AB613">
        <v>9.5</v>
      </c>
      <c r="AC613" t="s">
        <v>188</v>
      </c>
      <c r="AD613" t="s">
        <v>185</v>
      </c>
      <c r="AG613" t="s">
        <v>4174</v>
      </c>
      <c r="AH613" t="s">
        <v>1194</v>
      </c>
      <c r="AI613" s="245">
        <v>345.77</v>
      </c>
      <c r="AJ613" t="s">
        <v>4175</v>
      </c>
      <c r="AK613" t="s">
        <v>4174</v>
      </c>
      <c r="AL613" t="s">
        <v>1191</v>
      </c>
      <c r="AM613" s="245">
        <v>424.95</v>
      </c>
      <c r="AN613" t="s">
        <v>4176</v>
      </c>
      <c r="AO613" t="s">
        <v>4174</v>
      </c>
      <c r="AP613" t="s">
        <v>1592</v>
      </c>
      <c r="AQ613" s="245">
        <v>512.16</v>
      </c>
      <c r="AR613" t="s">
        <v>4177</v>
      </c>
      <c r="AS613" s="226" t="str">
        <f t="shared" si="18"/>
        <v>Ripstick 88</v>
      </c>
      <c r="AT613" s="203" t="str">
        <f t="shared" si="19"/>
        <v xml:space="preserve"> ElanRipstick 88188 Unisex</v>
      </c>
    </row>
    <row r="614" spans="1:46" ht="79.2">
      <c r="A614" t="s">
        <v>155</v>
      </c>
      <c r="B614" t="s">
        <v>182</v>
      </c>
      <c r="C614" t="s">
        <v>244</v>
      </c>
      <c r="D614">
        <v>152</v>
      </c>
      <c r="E614" t="s">
        <v>163</v>
      </c>
      <c r="F614">
        <v>152</v>
      </c>
      <c r="G614">
        <v>152</v>
      </c>
      <c r="H614">
        <v>124</v>
      </c>
      <c r="I614">
        <v>134</v>
      </c>
      <c r="J614">
        <v>124</v>
      </c>
      <c r="K614">
        <v>87</v>
      </c>
      <c r="L614">
        <v>106</v>
      </c>
      <c r="M614">
        <v>15.9</v>
      </c>
      <c r="N614">
        <v>1345</v>
      </c>
      <c r="O614">
        <v>1.1100000000000001</v>
      </c>
      <c r="P614">
        <v>1488</v>
      </c>
      <c r="Q614">
        <v>178</v>
      </c>
      <c r="R614">
        <v>85</v>
      </c>
      <c r="S614">
        <v>41</v>
      </c>
      <c r="T614">
        <v>177</v>
      </c>
      <c r="U614">
        <v>9</v>
      </c>
      <c r="V614">
        <v>99</v>
      </c>
      <c r="W614">
        <v>0.218</v>
      </c>
      <c r="X614">
        <v>110</v>
      </c>
      <c r="Y614">
        <v>66</v>
      </c>
      <c r="Z614">
        <v>67</v>
      </c>
      <c r="AA614">
        <v>5</v>
      </c>
      <c r="AB614">
        <v>10.6</v>
      </c>
      <c r="AC614" t="s">
        <v>188</v>
      </c>
      <c r="AD614" t="s">
        <v>185</v>
      </c>
      <c r="AG614" t="s">
        <v>1742</v>
      </c>
      <c r="AH614" t="s">
        <v>1194</v>
      </c>
      <c r="AI614" s="245">
        <v>367.9</v>
      </c>
      <c r="AJ614" t="s">
        <v>4178</v>
      </c>
      <c r="AK614" t="s">
        <v>1742</v>
      </c>
      <c r="AL614" t="s">
        <v>1248</v>
      </c>
      <c r="AM614" s="245">
        <v>479.96</v>
      </c>
      <c r="AN614" t="s">
        <v>4179</v>
      </c>
      <c r="AO614" t="s">
        <v>1742</v>
      </c>
      <c r="AP614" t="s">
        <v>1232</v>
      </c>
      <c r="AQ614" s="245">
        <v>499.95</v>
      </c>
      <c r="AR614" t="s">
        <v>4180</v>
      </c>
      <c r="AS614" s="226" t="str">
        <f t="shared" si="18"/>
        <v>Reliance 88 Ca</v>
      </c>
      <c r="AT614" s="203" t="str">
        <f t="shared" si="19"/>
        <v xml:space="preserve"> ArmadaReliance 88 Ca152 Women's</v>
      </c>
    </row>
    <row r="615" spans="1:46" ht="39.6">
      <c r="A615" t="s">
        <v>155</v>
      </c>
      <c r="B615" t="s">
        <v>167</v>
      </c>
      <c r="C615" t="s">
        <v>240</v>
      </c>
      <c r="D615">
        <v>177</v>
      </c>
      <c r="E615" t="s">
        <v>158</v>
      </c>
      <c r="F615">
        <v>177</v>
      </c>
      <c r="G615">
        <v>176.7</v>
      </c>
      <c r="H615">
        <v>137</v>
      </c>
      <c r="I615">
        <v>139</v>
      </c>
      <c r="J615">
        <v>133</v>
      </c>
      <c r="K615">
        <v>98</v>
      </c>
      <c r="L615">
        <v>119</v>
      </c>
      <c r="M615">
        <v>17.5</v>
      </c>
      <c r="N615">
        <v>1689</v>
      </c>
      <c r="O615">
        <v>1.1399999999999999</v>
      </c>
      <c r="P615">
        <v>1933</v>
      </c>
      <c r="Q615">
        <v>259</v>
      </c>
      <c r="R615">
        <v>127</v>
      </c>
      <c r="S615">
        <v>53</v>
      </c>
      <c r="T615">
        <v>237</v>
      </c>
      <c r="U615">
        <v>16</v>
      </c>
      <c r="V615">
        <v>155</v>
      </c>
      <c r="W615">
        <v>0.308</v>
      </c>
      <c r="X615">
        <v>201</v>
      </c>
      <c r="Y615">
        <v>173</v>
      </c>
      <c r="Z615">
        <v>35</v>
      </c>
      <c r="AA615">
        <v>6</v>
      </c>
      <c r="AB615">
        <v>9.9</v>
      </c>
      <c r="AC615" t="s">
        <v>188</v>
      </c>
      <c r="AD615" t="s">
        <v>185</v>
      </c>
      <c r="AG615" t="s">
        <v>1428</v>
      </c>
      <c r="AH615" t="s">
        <v>1349</v>
      </c>
      <c r="AI615" s="245">
        <v>412.48</v>
      </c>
      <c r="AJ615" t="s">
        <v>4181</v>
      </c>
      <c r="AK615" t="s">
        <v>1428</v>
      </c>
      <c r="AL615" t="s">
        <v>1301</v>
      </c>
      <c r="AM615" s="245">
        <v>419</v>
      </c>
      <c r="AN615" t="s">
        <v>4182</v>
      </c>
      <c r="AO615" t="s">
        <v>4183</v>
      </c>
      <c r="AP615" t="s">
        <v>1185</v>
      </c>
      <c r="AQ615" s="245">
        <v>489.99</v>
      </c>
      <c r="AR615" t="s">
        <v>4184</v>
      </c>
      <c r="AS615" s="226" t="str">
        <f t="shared" si="18"/>
        <v>Kore 99</v>
      </c>
      <c r="AT615" s="203" t="str">
        <f t="shared" si="19"/>
        <v xml:space="preserve"> HeadKore 99177 Unisex</v>
      </c>
    </row>
    <row r="616" spans="1:46" ht="66">
      <c r="A616" t="s">
        <v>155</v>
      </c>
      <c r="B616" t="s">
        <v>237</v>
      </c>
      <c r="C616" t="s">
        <v>371</v>
      </c>
      <c r="D616">
        <v>179.1</v>
      </c>
      <c r="E616" t="s">
        <v>158</v>
      </c>
      <c r="F616">
        <v>179.1</v>
      </c>
      <c r="G616">
        <v>178.6</v>
      </c>
      <c r="H616">
        <v>139</v>
      </c>
      <c r="I616">
        <v>159</v>
      </c>
      <c r="J616">
        <v>123</v>
      </c>
      <c r="K616">
        <v>87</v>
      </c>
      <c r="L616">
        <v>108</v>
      </c>
      <c r="M616">
        <v>21.7</v>
      </c>
      <c r="N616">
        <v>1801</v>
      </c>
      <c r="O616">
        <v>0.97</v>
      </c>
      <c r="P616">
        <v>1747</v>
      </c>
      <c r="Q616">
        <v>209</v>
      </c>
      <c r="R616">
        <v>119</v>
      </c>
      <c r="S616">
        <v>44</v>
      </c>
      <c r="T616">
        <v>233</v>
      </c>
      <c r="U616">
        <v>16</v>
      </c>
      <c r="V616">
        <v>167</v>
      </c>
      <c r="W616">
        <v>0.36399999999999999</v>
      </c>
      <c r="X616">
        <v>111</v>
      </c>
      <c r="Y616">
        <v>90</v>
      </c>
      <c r="Z616">
        <v>122</v>
      </c>
      <c r="AA616">
        <v>5</v>
      </c>
      <c r="AB616">
        <v>9.6999999999999993</v>
      </c>
      <c r="AC616" t="s">
        <v>188</v>
      </c>
      <c r="AG616" t="s">
        <v>1988</v>
      </c>
      <c r="AH616" t="s">
        <v>1191</v>
      </c>
      <c r="AI616" s="245">
        <v>514.95000000000005</v>
      </c>
      <c r="AJ616" t="s">
        <v>4185</v>
      </c>
      <c r="AK616" t="s">
        <v>1988</v>
      </c>
      <c r="AL616" t="s">
        <v>1244</v>
      </c>
      <c r="AM616" s="245">
        <v>583.91999999999996</v>
      </c>
      <c r="AN616" t="s">
        <v>4186</v>
      </c>
      <c r="AO616" t="s">
        <v>1988</v>
      </c>
      <c r="AP616" t="s">
        <v>1271</v>
      </c>
      <c r="AQ616" s="245">
        <v>583.96</v>
      </c>
      <c r="AR616" t="s">
        <v>4187</v>
      </c>
      <c r="AS616" s="226" t="str">
        <f t="shared" si="18"/>
        <v>Orb</v>
      </c>
      <c r="AT616" s="203" t="str">
        <f t="shared" si="19"/>
        <v xml:space="preserve"> Black CrowsOrb179.1 Unisex</v>
      </c>
    </row>
    <row r="617" spans="1:46" ht="79.2">
      <c r="A617" t="s">
        <v>155</v>
      </c>
      <c r="B617" t="s">
        <v>1160</v>
      </c>
      <c r="C617" t="s">
        <v>670</v>
      </c>
      <c r="D617">
        <v>149</v>
      </c>
      <c r="E617" t="s">
        <v>163</v>
      </c>
      <c r="F617">
        <v>149</v>
      </c>
      <c r="G617">
        <v>148.9</v>
      </c>
      <c r="H617">
        <v>98</v>
      </c>
      <c r="I617">
        <v>123</v>
      </c>
      <c r="J617">
        <v>124</v>
      </c>
      <c r="K617">
        <v>91</v>
      </c>
      <c r="L617">
        <v>113</v>
      </c>
      <c r="M617">
        <v>12.6</v>
      </c>
      <c r="N617">
        <v>1525</v>
      </c>
      <c r="O617">
        <v>0.99</v>
      </c>
      <c r="P617">
        <v>1516</v>
      </c>
      <c r="Q617">
        <v>164</v>
      </c>
      <c r="R617">
        <v>86</v>
      </c>
      <c r="S617">
        <v>47</v>
      </c>
      <c r="T617">
        <v>250</v>
      </c>
      <c r="U617">
        <v>41</v>
      </c>
      <c r="V617">
        <v>257</v>
      </c>
      <c r="W617">
        <v>0.88099999999999901</v>
      </c>
      <c r="X617">
        <v>120</v>
      </c>
      <c r="Y617">
        <v>142</v>
      </c>
      <c r="Z617">
        <v>129</v>
      </c>
      <c r="AA617">
        <v>3</v>
      </c>
      <c r="AB617">
        <v>4</v>
      </c>
      <c r="AC617" t="s">
        <v>184</v>
      </c>
      <c r="AG617" t="s">
        <v>3953</v>
      </c>
      <c r="AH617" t="s">
        <v>2632</v>
      </c>
      <c r="AI617" s="245">
        <v>299.95</v>
      </c>
      <c r="AJ617" t="s">
        <v>4188</v>
      </c>
      <c r="AK617" t="s">
        <v>3953</v>
      </c>
      <c r="AL617" t="s">
        <v>3959</v>
      </c>
      <c r="AM617" s="245">
        <v>299.95</v>
      </c>
      <c r="AN617" t="s">
        <v>4189</v>
      </c>
      <c r="AO617" t="s">
        <v>3150</v>
      </c>
      <c r="AP617" t="s">
        <v>1181</v>
      </c>
      <c r="AQ617" s="245">
        <v>299.95</v>
      </c>
      <c r="AR617" t="s">
        <v>4190</v>
      </c>
      <c r="AS617" s="226" t="str">
        <f t="shared" si="18"/>
        <v>Reckoner 92 Alliance</v>
      </c>
      <c r="AT617" s="203" t="str">
        <f t="shared" si="19"/>
        <v>K2Reckoner 92 Alliance149 Women's</v>
      </c>
    </row>
    <row r="618" spans="1:46" ht="52.8">
      <c r="A618" t="s">
        <v>155</v>
      </c>
      <c r="B618" t="s">
        <v>156</v>
      </c>
      <c r="C618" t="s">
        <v>696</v>
      </c>
      <c r="D618">
        <v>176</v>
      </c>
      <c r="E618" t="s">
        <v>158</v>
      </c>
      <c r="F618">
        <v>176</v>
      </c>
      <c r="G618">
        <v>174.7</v>
      </c>
      <c r="H618">
        <v>99</v>
      </c>
      <c r="I618">
        <v>123</v>
      </c>
      <c r="J618">
        <v>141</v>
      </c>
      <c r="K618">
        <v>119</v>
      </c>
      <c r="L618">
        <v>132</v>
      </c>
      <c r="M618">
        <v>18.8</v>
      </c>
      <c r="N618">
        <v>1779</v>
      </c>
      <c r="O618">
        <v>1.21</v>
      </c>
      <c r="P618">
        <v>2159</v>
      </c>
      <c r="Q618">
        <v>217</v>
      </c>
      <c r="R618">
        <v>91</v>
      </c>
      <c r="S618">
        <v>55</v>
      </c>
      <c r="T618">
        <v>399</v>
      </c>
      <c r="U618">
        <v>52</v>
      </c>
      <c r="V618">
        <v>362</v>
      </c>
      <c r="W618">
        <v>0.95799999999999996</v>
      </c>
      <c r="X618">
        <v>215</v>
      </c>
      <c r="Y618">
        <v>302</v>
      </c>
      <c r="Z618">
        <v>184</v>
      </c>
      <c r="AA618">
        <v>4</v>
      </c>
      <c r="AB618">
        <v>3.1</v>
      </c>
      <c r="AC618" t="s">
        <v>184</v>
      </c>
      <c r="AD618" t="s">
        <v>169</v>
      </c>
      <c r="AE618" t="s">
        <v>185</v>
      </c>
      <c r="AG618" t="s">
        <v>4191</v>
      </c>
      <c r="AH618" t="s">
        <v>1349</v>
      </c>
      <c r="AI618" s="245">
        <v>494.99</v>
      </c>
      <c r="AJ618" t="s">
        <v>4192</v>
      </c>
      <c r="AK618" t="s">
        <v>4191</v>
      </c>
      <c r="AL618" t="s">
        <v>1280</v>
      </c>
      <c r="AM618" s="245">
        <v>599.92999999999995</v>
      </c>
      <c r="AN618" t="s">
        <v>4193</v>
      </c>
      <c r="AO618" t="s">
        <v>4191</v>
      </c>
      <c r="AP618" t="s">
        <v>1226</v>
      </c>
      <c r="AQ618" s="245">
        <v>599.99</v>
      </c>
      <c r="AR618" t="s">
        <v>4194</v>
      </c>
      <c r="AS618" s="226" t="str">
        <f t="shared" si="18"/>
        <v>Bent Chetler 120</v>
      </c>
      <c r="AT618" s="203" t="str">
        <f t="shared" si="19"/>
        <v xml:space="preserve"> AtomicBent Chetler 120176 Unisex</v>
      </c>
    </row>
    <row r="619" spans="1:46" ht="92.4">
      <c r="A619" t="s">
        <v>155</v>
      </c>
      <c r="B619" t="s">
        <v>1395</v>
      </c>
      <c r="C619" t="s">
        <v>675</v>
      </c>
      <c r="D619">
        <v>167</v>
      </c>
      <c r="E619" t="s">
        <v>158</v>
      </c>
      <c r="F619">
        <v>167</v>
      </c>
      <c r="G619">
        <v>166.9</v>
      </c>
      <c r="H619">
        <v>147</v>
      </c>
      <c r="I619">
        <v>153</v>
      </c>
      <c r="J619">
        <v>127</v>
      </c>
      <c r="K619">
        <v>79</v>
      </c>
      <c r="L619">
        <v>110</v>
      </c>
      <c r="M619">
        <v>14.4</v>
      </c>
      <c r="N619">
        <v>1855</v>
      </c>
      <c r="O619">
        <v>0.85</v>
      </c>
      <c r="P619">
        <v>1579</v>
      </c>
      <c r="Q619">
        <v>214</v>
      </c>
      <c r="R619">
        <v>66</v>
      </c>
      <c r="S619">
        <v>40</v>
      </c>
      <c r="T619">
        <v>134</v>
      </c>
      <c r="U619">
        <v>7</v>
      </c>
      <c r="V619">
        <v>61</v>
      </c>
      <c r="W619">
        <v>0.17499999999999999</v>
      </c>
      <c r="X619">
        <v>73</v>
      </c>
      <c r="Y619">
        <v>63</v>
      </c>
      <c r="Z619">
        <v>61</v>
      </c>
      <c r="AA619">
        <v>4</v>
      </c>
      <c r="AB619">
        <v>10</v>
      </c>
      <c r="AC619" t="s">
        <v>349</v>
      </c>
      <c r="AG619" t="s">
        <v>4195</v>
      </c>
      <c r="AH619" t="s">
        <v>4009</v>
      </c>
      <c r="AI619" s="245">
        <v>755.98</v>
      </c>
      <c r="AJ619" t="s">
        <v>4196</v>
      </c>
      <c r="AK619" t="s">
        <v>4195</v>
      </c>
      <c r="AL619" t="s">
        <v>1974</v>
      </c>
      <c r="AM619" s="245">
        <v>808.92</v>
      </c>
      <c r="AN619" t="s">
        <v>4197</v>
      </c>
      <c r="AO619" t="s">
        <v>4195</v>
      </c>
      <c r="AP619" t="s">
        <v>2525</v>
      </c>
      <c r="AQ619" s="245">
        <v>905</v>
      </c>
      <c r="AR619" t="s">
        <v>4198</v>
      </c>
      <c r="AS619" s="226" t="str">
        <f t="shared" si="18"/>
        <v>Deacon 80</v>
      </c>
      <c r="AT619" s="203" t="str">
        <f t="shared" si="19"/>
        <v xml:space="preserve"> Vï¿½lklDeacon 80167 Unisex</v>
      </c>
    </row>
    <row r="620" spans="1:46" ht="52.8">
      <c r="A620" t="s">
        <v>155</v>
      </c>
      <c r="B620" t="s">
        <v>208</v>
      </c>
      <c r="C620" t="s">
        <v>698</v>
      </c>
      <c r="D620">
        <v>172</v>
      </c>
      <c r="E620" t="s">
        <v>163</v>
      </c>
      <c r="F620">
        <v>172</v>
      </c>
      <c r="G620">
        <v>172</v>
      </c>
      <c r="H620">
        <v>132</v>
      </c>
      <c r="I620">
        <v>144</v>
      </c>
      <c r="J620">
        <v>131</v>
      </c>
      <c r="K620">
        <v>93</v>
      </c>
      <c r="L620">
        <v>116</v>
      </c>
      <c r="M620">
        <v>16.3</v>
      </c>
      <c r="N620">
        <v>1539</v>
      </c>
      <c r="O620">
        <v>1.18</v>
      </c>
      <c r="P620">
        <v>1809</v>
      </c>
      <c r="Q620">
        <v>148</v>
      </c>
      <c r="R620">
        <v>77</v>
      </c>
      <c r="S620">
        <v>47</v>
      </c>
      <c r="T620">
        <v>273</v>
      </c>
      <c r="U620">
        <v>14</v>
      </c>
      <c r="V620">
        <v>129</v>
      </c>
      <c r="W620">
        <v>0.29799999999999999</v>
      </c>
      <c r="X620">
        <v>144</v>
      </c>
      <c r="Y620">
        <v>133</v>
      </c>
      <c r="Z620">
        <v>129</v>
      </c>
      <c r="AA620">
        <v>8</v>
      </c>
      <c r="AB620">
        <v>9.6</v>
      </c>
      <c r="AC620" t="s">
        <v>188</v>
      </c>
      <c r="AD620" t="s">
        <v>185</v>
      </c>
      <c r="AG620" t="s">
        <v>4199</v>
      </c>
      <c r="AH620" t="s">
        <v>1191</v>
      </c>
      <c r="AI620" s="245">
        <v>374.95</v>
      </c>
      <c r="AJ620" t="s">
        <v>4200</v>
      </c>
      <c r="AK620" t="s">
        <v>4199</v>
      </c>
      <c r="AL620" t="s">
        <v>1421</v>
      </c>
      <c r="AM620" s="245">
        <v>399.96</v>
      </c>
      <c r="AN620" t="s">
        <v>4201</v>
      </c>
      <c r="AO620" t="s">
        <v>4202</v>
      </c>
      <c r="AP620" t="s">
        <v>1240</v>
      </c>
      <c r="AQ620" s="245">
        <v>469.95</v>
      </c>
      <c r="AR620" t="s">
        <v>4203</v>
      </c>
      <c r="AS620" s="226" t="str">
        <f t="shared" si="18"/>
        <v>Pandora 94</v>
      </c>
      <c r="AT620" s="203" t="str">
        <f t="shared" si="19"/>
        <v xml:space="preserve"> LinePandora 94172 Women's</v>
      </c>
    </row>
    <row r="621" spans="1:46" ht="105.6">
      <c r="A621" t="s">
        <v>155</v>
      </c>
      <c r="B621" t="s">
        <v>174</v>
      </c>
      <c r="C621" t="s">
        <v>544</v>
      </c>
      <c r="D621">
        <v>181</v>
      </c>
      <c r="E621" t="s">
        <v>158</v>
      </c>
      <c r="F621">
        <v>181</v>
      </c>
      <c r="G621">
        <v>180.4</v>
      </c>
      <c r="H621">
        <v>125</v>
      </c>
      <c r="I621">
        <v>144</v>
      </c>
      <c r="J621">
        <v>136</v>
      </c>
      <c r="K621">
        <v>98</v>
      </c>
      <c r="L621">
        <v>119</v>
      </c>
      <c r="M621">
        <v>15.3</v>
      </c>
      <c r="N621">
        <v>2085</v>
      </c>
      <c r="O621">
        <v>0.96</v>
      </c>
      <c r="P621">
        <v>2011</v>
      </c>
      <c r="Q621">
        <v>253</v>
      </c>
      <c r="R621">
        <v>114</v>
      </c>
      <c r="S621">
        <v>55</v>
      </c>
      <c r="T621">
        <v>295</v>
      </c>
      <c r="U621">
        <v>23</v>
      </c>
      <c r="V621">
        <v>263</v>
      </c>
      <c r="W621">
        <v>0.41899999999999998</v>
      </c>
      <c r="X621">
        <v>208</v>
      </c>
      <c r="Y621">
        <v>156</v>
      </c>
      <c r="Z621">
        <v>87</v>
      </c>
      <c r="AA621">
        <v>9</v>
      </c>
      <c r="AB621">
        <v>9.8000000000000007</v>
      </c>
      <c r="AC621" t="s">
        <v>188</v>
      </c>
      <c r="AG621" t="s">
        <v>4204</v>
      </c>
      <c r="AH621" t="s">
        <v>2291</v>
      </c>
      <c r="AI621" s="245">
        <v>459.95</v>
      </c>
      <c r="AJ621" t="s">
        <v>4205</v>
      </c>
      <c r="AK621" t="s">
        <v>4206</v>
      </c>
      <c r="AL621" t="s">
        <v>1204</v>
      </c>
      <c r="AM621" s="245">
        <v>481.02</v>
      </c>
      <c r="AN621" t="s">
        <v>4207</v>
      </c>
      <c r="AO621" t="s">
        <v>2911</v>
      </c>
      <c r="AP621" t="s">
        <v>1271</v>
      </c>
      <c r="AQ621" s="245">
        <v>559.92999999999995</v>
      </c>
      <c r="AR621" t="s">
        <v>4208</v>
      </c>
      <c r="AS621" s="226" t="str">
        <f t="shared" si="18"/>
        <v>QST 99</v>
      </c>
      <c r="AT621" s="203" t="str">
        <f t="shared" si="19"/>
        <v xml:space="preserve"> SalomonQST 99181 Unisex</v>
      </c>
    </row>
    <row r="622" spans="1:46" ht="118.8">
      <c r="A622" t="s">
        <v>155</v>
      </c>
      <c r="B622" t="s">
        <v>1160</v>
      </c>
      <c r="C622" t="s">
        <v>405</v>
      </c>
      <c r="D622">
        <v>179</v>
      </c>
      <c r="E622" t="s">
        <v>158</v>
      </c>
      <c r="F622">
        <v>179</v>
      </c>
      <c r="G622">
        <v>179.1</v>
      </c>
      <c r="H622">
        <v>111</v>
      </c>
      <c r="I622">
        <v>143</v>
      </c>
      <c r="J622">
        <v>136</v>
      </c>
      <c r="K622">
        <v>107</v>
      </c>
      <c r="L622">
        <v>124</v>
      </c>
      <c r="M622">
        <v>21</v>
      </c>
      <c r="N622">
        <v>1958</v>
      </c>
      <c r="O622">
        <v>1.06</v>
      </c>
      <c r="P622">
        <v>2083</v>
      </c>
      <c r="Q622">
        <v>210</v>
      </c>
      <c r="R622">
        <v>142</v>
      </c>
      <c r="S622">
        <v>47</v>
      </c>
      <c r="T622">
        <v>398</v>
      </c>
      <c r="U622">
        <v>24</v>
      </c>
      <c r="V622">
        <v>279</v>
      </c>
      <c r="W622">
        <v>0.52300000000000002</v>
      </c>
      <c r="X622">
        <v>183</v>
      </c>
      <c r="Y622">
        <v>175</v>
      </c>
      <c r="Z622">
        <v>216</v>
      </c>
      <c r="AA622">
        <v>5</v>
      </c>
      <c r="AB622">
        <v>10</v>
      </c>
      <c r="AC622" t="s">
        <v>169</v>
      </c>
      <c r="AD622" t="s">
        <v>185</v>
      </c>
      <c r="AG622" t="s">
        <v>4209</v>
      </c>
      <c r="AH622" t="s">
        <v>1282</v>
      </c>
      <c r="AI622" s="245">
        <v>524.97</v>
      </c>
      <c r="AJ622" t="s">
        <v>4210</v>
      </c>
      <c r="AK622" t="s">
        <v>4211</v>
      </c>
      <c r="AL622" t="s">
        <v>1240</v>
      </c>
      <c r="AM622" s="245">
        <v>749</v>
      </c>
      <c r="AN622" t="s">
        <v>4212</v>
      </c>
      <c r="AO622" t="s">
        <v>4213</v>
      </c>
      <c r="AP622" t="s">
        <v>1397</v>
      </c>
      <c r="AQ622" s="245">
        <v>749.99</v>
      </c>
      <c r="AR622" t="s">
        <v>4214</v>
      </c>
      <c r="AS622" s="226" t="str">
        <f t="shared" si="18"/>
        <v>Mindbender 108 Ti</v>
      </c>
      <c r="AT622" s="203" t="str">
        <f t="shared" si="19"/>
        <v>K2Mindbender 108 Ti179 Unisex</v>
      </c>
    </row>
    <row r="623" spans="1:46" ht="39.6">
      <c r="A623" t="s">
        <v>155</v>
      </c>
      <c r="B623" t="s">
        <v>1160</v>
      </c>
      <c r="C623" t="s">
        <v>496</v>
      </c>
      <c r="D623">
        <v>159</v>
      </c>
      <c r="E623" t="s">
        <v>158</v>
      </c>
      <c r="F623">
        <v>159</v>
      </c>
      <c r="G623">
        <v>159.9</v>
      </c>
      <c r="H623">
        <v>123</v>
      </c>
      <c r="I623">
        <v>128</v>
      </c>
      <c r="J623">
        <v>116</v>
      </c>
      <c r="K623">
        <v>87</v>
      </c>
      <c r="L623">
        <v>110</v>
      </c>
      <c r="M623">
        <v>14.4</v>
      </c>
      <c r="N623">
        <v>1658</v>
      </c>
      <c r="O623">
        <v>0.94</v>
      </c>
      <c r="P623">
        <v>1557</v>
      </c>
      <c r="Q623">
        <v>154</v>
      </c>
      <c r="R623">
        <v>78</v>
      </c>
      <c r="S623">
        <v>46</v>
      </c>
      <c r="T623">
        <v>181</v>
      </c>
      <c r="U623">
        <v>44</v>
      </c>
      <c r="V623">
        <v>189</v>
      </c>
      <c r="W623">
        <v>0.95099999999999996</v>
      </c>
      <c r="X623">
        <v>162</v>
      </c>
      <c r="Y623">
        <v>159</v>
      </c>
      <c r="Z623">
        <v>19</v>
      </c>
      <c r="AA623">
        <v>7</v>
      </c>
      <c r="AB623">
        <v>3.7</v>
      </c>
      <c r="AC623" t="s">
        <v>184</v>
      </c>
      <c r="AG623" t="s">
        <v>2629</v>
      </c>
      <c r="AH623" t="s">
        <v>1509</v>
      </c>
      <c r="AI623" s="245">
        <v>317.99</v>
      </c>
      <c r="AJ623" t="s">
        <v>4215</v>
      </c>
      <c r="AK623" t="s">
        <v>2629</v>
      </c>
      <c r="AL623" t="s">
        <v>3514</v>
      </c>
      <c r="AM623" s="245">
        <v>319.95999999999998</v>
      </c>
      <c r="AN623" t="s">
        <v>4216</v>
      </c>
      <c r="AO623" t="s">
        <v>2629</v>
      </c>
      <c r="AP623" t="s">
        <v>1179</v>
      </c>
      <c r="AQ623" s="245">
        <v>399.95</v>
      </c>
      <c r="AR623" t="s">
        <v>4217</v>
      </c>
      <c r="AS623" s="226" t="str">
        <f t="shared" si="18"/>
        <v>Sight</v>
      </c>
      <c r="AT623" s="203" t="str">
        <f t="shared" si="19"/>
        <v>K2Sight159 Unisex</v>
      </c>
    </row>
    <row r="624" spans="1:46" ht="198">
      <c r="A624" t="s">
        <v>155</v>
      </c>
      <c r="B624" t="s">
        <v>164</v>
      </c>
      <c r="C624" t="s">
        <v>700</v>
      </c>
      <c r="D624">
        <v>158</v>
      </c>
      <c r="E624" t="s">
        <v>163</v>
      </c>
      <c r="F624">
        <v>158</v>
      </c>
      <c r="G624">
        <v>159.1</v>
      </c>
      <c r="H624">
        <v>138</v>
      </c>
      <c r="I624">
        <v>144</v>
      </c>
      <c r="J624">
        <v>125</v>
      </c>
      <c r="K624">
        <v>76</v>
      </c>
      <c r="L624">
        <v>105</v>
      </c>
      <c r="M624">
        <v>13.1</v>
      </c>
      <c r="N624">
        <v>1773</v>
      </c>
      <c r="O624">
        <v>0.82</v>
      </c>
      <c r="P624">
        <v>1451</v>
      </c>
      <c r="Q624">
        <v>182</v>
      </c>
      <c r="R624">
        <v>79</v>
      </c>
      <c r="S624">
        <v>32</v>
      </c>
      <c r="T624">
        <v>140</v>
      </c>
      <c r="U624">
        <v>10</v>
      </c>
      <c r="V624">
        <v>69</v>
      </c>
      <c r="W624">
        <v>0.30199999999999999</v>
      </c>
      <c r="X624">
        <v>92</v>
      </c>
      <c r="Y624">
        <v>62</v>
      </c>
      <c r="Z624">
        <v>48</v>
      </c>
      <c r="AA624">
        <v>10</v>
      </c>
      <c r="AB624">
        <v>8.6999999999999993</v>
      </c>
      <c r="AC624" t="s">
        <v>349</v>
      </c>
      <c r="AG624" t="s">
        <v>4218</v>
      </c>
      <c r="AH624" t="s">
        <v>1194</v>
      </c>
      <c r="AI624" s="245">
        <v>386.34</v>
      </c>
      <c r="AJ624" t="s">
        <v>4219</v>
      </c>
      <c r="AK624" t="s">
        <v>4220</v>
      </c>
      <c r="AL624" t="s">
        <v>4221</v>
      </c>
      <c r="AM624" s="245">
        <v>816.48</v>
      </c>
      <c r="AN624" t="s">
        <v>4222</v>
      </c>
      <c r="AO624" t="s">
        <v>4223</v>
      </c>
      <c r="AP624" t="s">
        <v>1191</v>
      </c>
      <c r="AQ624" s="245">
        <v>514.95000000000005</v>
      </c>
      <c r="AR624" t="s">
        <v>4224</v>
      </c>
      <c r="AS624" s="226" t="str">
        <f t="shared" si="18"/>
        <v>Insomnia 14 Ti</v>
      </c>
      <c r="AT624" s="203" t="str">
        <f t="shared" si="19"/>
        <v xml:space="preserve"> ElanInsomnia 14 Ti158 Women's</v>
      </c>
    </row>
    <row r="625" spans="1:46" ht="132">
      <c r="A625" t="s">
        <v>155</v>
      </c>
      <c r="B625" t="s">
        <v>172</v>
      </c>
      <c r="C625" t="s">
        <v>653</v>
      </c>
      <c r="D625">
        <v>167</v>
      </c>
      <c r="E625" t="s">
        <v>158</v>
      </c>
      <c r="F625">
        <v>167</v>
      </c>
      <c r="G625">
        <v>166.3</v>
      </c>
      <c r="H625">
        <v>145</v>
      </c>
      <c r="I625">
        <v>151</v>
      </c>
      <c r="J625">
        <v>128</v>
      </c>
      <c r="K625">
        <v>76</v>
      </c>
      <c r="L625">
        <v>108</v>
      </c>
      <c r="M625">
        <v>13.4</v>
      </c>
      <c r="N625">
        <v>2051</v>
      </c>
      <c r="O625">
        <v>0.74</v>
      </c>
      <c r="P625">
        <v>1528</v>
      </c>
      <c r="Q625">
        <v>212</v>
      </c>
      <c r="R625">
        <v>92</v>
      </c>
      <c r="S625">
        <v>40</v>
      </c>
      <c r="T625">
        <v>145</v>
      </c>
      <c r="U625">
        <v>4</v>
      </c>
      <c r="V625">
        <v>63</v>
      </c>
      <c r="W625">
        <v>0.10299999999999999</v>
      </c>
      <c r="X625">
        <v>90</v>
      </c>
      <c r="Y625">
        <v>61</v>
      </c>
      <c r="Z625">
        <v>55</v>
      </c>
      <c r="AA625">
        <v>13</v>
      </c>
      <c r="AB625">
        <v>10.1</v>
      </c>
      <c r="AC625" t="s">
        <v>349</v>
      </c>
      <c r="AG625" t="s">
        <v>4225</v>
      </c>
      <c r="AH625" t="s">
        <v>1179</v>
      </c>
      <c r="AI625" s="245">
        <v>799.95</v>
      </c>
      <c r="AJ625" t="s">
        <v>4226</v>
      </c>
      <c r="AK625" t="s">
        <v>4225</v>
      </c>
      <c r="AL625" t="s">
        <v>2516</v>
      </c>
      <c r="AM625" s="245">
        <v>999.95</v>
      </c>
      <c r="AN625" t="s">
        <v>4227</v>
      </c>
      <c r="AO625" t="s">
        <v>3588</v>
      </c>
      <c r="AP625" t="s">
        <v>2049</v>
      </c>
      <c r="AQ625" s="245">
        <v>1099.95</v>
      </c>
      <c r="AR625" t="s">
        <v>4228</v>
      </c>
      <c r="AS625" s="226" t="str">
        <f t="shared" si="18"/>
        <v>Hero Elite Plus Ti</v>
      </c>
      <c r="AT625" s="203" t="str">
        <f t="shared" si="19"/>
        <v xml:space="preserve"> RossignolHero Elite Plus Ti167 Unisex</v>
      </c>
    </row>
    <row r="626" spans="1:46" ht="158.4">
      <c r="A626" t="s">
        <v>155</v>
      </c>
      <c r="B626" t="s">
        <v>172</v>
      </c>
      <c r="C626" t="s">
        <v>701</v>
      </c>
      <c r="D626">
        <v>159</v>
      </c>
      <c r="E626" t="s">
        <v>163</v>
      </c>
      <c r="F626">
        <v>159</v>
      </c>
      <c r="G626">
        <v>158.4</v>
      </c>
      <c r="H626">
        <v>119</v>
      </c>
      <c r="I626">
        <v>144</v>
      </c>
      <c r="J626">
        <v>125</v>
      </c>
      <c r="K626">
        <v>80</v>
      </c>
      <c r="L626">
        <v>113</v>
      </c>
      <c r="M626">
        <v>12.8</v>
      </c>
      <c r="N626">
        <v>1645</v>
      </c>
      <c r="O626">
        <v>0.91</v>
      </c>
      <c r="P626">
        <v>1501</v>
      </c>
      <c r="Q626">
        <v>182</v>
      </c>
      <c r="R626">
        <v>79</v>
      </c>
      <c r="S626">
        <v>47</v>
      </c>
      <c r="T626">
        <v>262</v>
      </c>
      <c r="U626">
        <v>14</v>
      </c>
      <c r="V626">
        <v>128</v>
      </c>
      <c r="W626">
        <v>0.29099999999999998</v>
      </c>
      <c r="X626">
        <v>84</v>
      </c>
      <c r="Y626">
        <v>65</v>
      </c>
      <c r="Z626">
        <v>178</v>
      </c>
      <c r="AA626">
        <v>8</v>
      </c>
      <c r="AB626">
        <v>7</v>
      </c>
      <c r="AC626" t="s">
        <v>188</v>
      </c>
      <c r="AG626" t="s">
        <v>4229</v>
      </c>
      <c r="AH626" t="s">
        <v>1271</v>
      </c>
      <c r="AI626" s="245">
        <v>599.99</v>
      </c>
      <c r="AJ626" t="s">
        <v>4230</v>
      </c>
      <c r="AK626" t="s">
        <v>4231</v>
      </c>
      <c r="AL626" t="s">
        <v>1204</v>
      </c>
      <c r="AM626" s="245">
        <v>641.37</v>
      </c>
      <c r="AN626" t="s">
        <v>4232</v>
      </c>
      <c r="AO626" t="s">
        <v>2931</v>
      </c>
      <c r="AP626" t="s">
        <v>1421</v>
      </c>
      <c r="AQ626" s="245">
        <v>559.96</v>
      </c>
      <c r="AR626" t="s">
        <v>4233</v>
      </c>
      <c r="AS626" s="226" t="str">
        <f t="shared" si="18"/>
        <v>Experience 82 Basalt W</v>
      </c>
      <c r="AT626" s="203" t="str">
        <f t="shared" si="19"/>
        <v xml:space="preserve"> RossignolExperience 82 Basalt W159 Women's</v>
      </c>
    </row>
    <row r="627" spans="1:46" ht="92.4">
      <c r="A627" t="s">
        <v>155</v>
      </c>
      <c r="B627" t="s">
        <v>1160</v>
      </c>
      <c r="C627" t="s">
        <v>485</v>
      </c>
      <c r="D627">
        <v>156</v>
      </c>
      <c r="E627" t="s">
        <v>163</v>
      </c>
      <c r="F627">
        <v>156</v>
      </c>
      <c r="G627">
        <v>155.9</v>
      </c>
      <c r="H627">
        <v>120</v>
      </c>
      <c r="I627">
        <v>132</v>
      </c>
      <c r="J627">
        <v>125</v>
      </c>
      <c r="K627">
        <v>87</v>
      </c>
      <c r="L627">
        <v>111</v>
      </c>
      <c r="M627">
        <v>13.5</v>
      </c>
      <c r="N627">
        <v>1491</v>
      </c>
      <c r="O627">
        <v>1.04</v>
      </c>
      <c r="P627">
        <v>1548</v>
      </c>
      <c r="Q627">
        <v>132</v>
      </c>
      <c r="R627">
        <v>84</v>
      </c>
      <c r="S627">
        <v>46</v>
      </c>
      <c r="T627">
        <v>207</v>
      </c>
      <c r="U627">
        <v>18</v>
      </c>
      <c r="V627">
        <v>156</v>
      </c>
      <c r="W627">
        <v>0.40100000000000002</v>
      </c>
      <c r="X627">
        <v>146</v>
      </c>
      <c r="Y627">
        <v>98</v>
      </c>
      <c r="Z627">
        <v>60</v>
      </c>
      <c r="AA627">
        <v>7</v>
      </c>
      <c r="AB627">
        <v>11</v>
      </c>
      <c r="AC627" t="s">
        <v>188</v>
      </c>
      <c r="AG627" t="s">
        <v>3405</v>
      </c>
      <c r="AH627" t="s">
        <v>2825</v>
      </c>
      <c r="AI627" s="245">
        <v>519.99</v>
      </c>
      <c r="AJ627" t="s">
        <v>4234</v>
      </c>
      <c r="AK627" t="s">
        <v>4235</v>
      </c>
      <c r="AL627" t="s">
        <v>1326</v>
      </c>
      <c r="AM627" s="245">
        <v>889.95</v>
      </c>
      <c r="AN627" t="s">
        <v>4236</v>
      </c>
      <c r="AO627" t="s">
        <v>4237</v>
      </c>
      <c r="AP627" t="s">
        <v>1282</v>
      </c>
      <c r="AQ627" s="245">
        <v>499.95</v>
      </c>
      <c r="AR627" t="s">
        <v>4238</v>
      </c>
      <c r="AS627" s="226" t="str">
        <f t="shared" si="18"/>
        <v>Mindbender 88 Ti Alliance</v>
      </c>
      <c r="AT627" s="203" t="str">
        <f t="shared" si="19"/>
        <v>K2Mindbender 88 Ti Alliance156 Women's</v>
      </c>
    </row>
    <row r="628" spans="1:46" ht="66">
      <c r="A628" t="s">
        <v>155</v>
      </c>
      <c r="B628" t="s">
        <v>1361</v>
      </c>
      <c r="C628" t="s">
        <v>214</v>
      </c>
      <c r="D628">
        <v>165</v>
      </c>
      <c r="E628" t="s">
        <v>158</v>
      </c>
      <c r="F628">
        <v>165</v>
      </c>
      <c r="G628">
        <v>164.2</v>
      </c>
      <c r="H628">
        <v>137</v>
      </c>
      <c r="I628">
        <v>144</v>
      </c>
      <c r="J628">
        <v>123</v>
      </c>
      <c r="K628">
        <v>87</v>
      </c>
      <c r="L628">
        <v>111</v>
      </c>
      <c r="M628">
        <v>17.100000000000001</v>
      </c>
      <c r="N628">
        <v>1478</v>
      </c>
      <c r="O628">
        <v>1.0900000000000001</v>
      </c>
      <c r="P628">
        <v>1613</v>
      </c>
      <c r="Q628">
        <v>146</v>
      </c>
      <c r="R628">
        <v>80</v>
      </c>
      <c r="S628">
        <v>40</v>
      </c>
      <c r="T628">
        <v>195</v>
      </c>
      <c r="U628">
        <v>9</v>
      </c>
      <c r="V628">
        <v>73</v>
      </c>
      <c r="W628">
        <v>0.223</v>
      </c>
      <c r="X628">
        <v>140</v>
      </c>
      <c r="Y628">
        <v>59</v>
      </c>
      <c r="Z628">
        <v>56</v>
      </c>
      <c r="AA628">
        <v>8</v>
      </c>
      <c r="AB628">
        <v>13.4</v>
      </c>
      <c r="AC628" t="s">
        <v>188</v>
      </c>
      <c r="AD628" t="s">
        <v>185</v>
      </c>
      <c r="AG628" t="s">
        <v>4239</v>
      </c>
      <c r="AH628" t="s">
        <v>1271</v>
      </c>
      <c r="AI628" s="245">
        <v>1099</v>
      </c>
      <c r="AJ628" t="s">
        <v>4240</v>
      </c>
      <c r="AK628" t="s">
        <v>4241</v>
      </c>
      <c r="AL628" t="s">
        <v>1365</v>
      </c>
      <c r="AM628" s="245">
        <v>1149</v>
      </c>
      <c r="AN628" t="s">
        <v>4242</v>
      </c>
      <c r="AO628" t="s">
        <v>4239</v>
      </c>
      <c r="AP628" t="s">
        <v>1349</v>
      </c>
      <c r="AQ628" s="245">
        <v>897.58</v>
      </c>
      <c r="AR628" t="s">
        <v>4243</v>
      </c>
      <c r="AS628" s="226" t="str">
        <f t="shared" si="18"/>
        <v>Edge 88</v>
      </c>
      <c r="AT628" s="203" t="str">
        <f t="shared" si="19"/>
        <v xml:space="preserve"> Stï¿½ckliEdge 88165 Unisex</v>
      </c>
    </row>
    <row r="629" spans="1:46" ht="66">
      <c r="A629" t="s">
        <v>155</v>
      </c>
      <c r="B629" t="s">
        <v>174</v>
      </c>
      <c r="C629" t="s">
        <v>573</v>
      </c>
      <c r="D629">
        <v>176</v>
      </c>
      <c r="E629" t="s">
        <v>158</v>
      </c>
      <c r="F629">
        <v>176</v>
      </c>
      <c r="G629">
        <v>177.6</v>
      </c>
      <c r="H629">
        <v>102</v>
      </c>
      <c r="I629">
        <v>134</v>
      </c>
      <c r="J629">
        <v>131</v>
      </c>
      <c r="K629">
        <v>97</v>
      </c>
      <c r="L629">
        <v>119</v>
      </c>
      <c r="M629">
        <v>13.4</v>
      </c>
      <c r="N629">
        <v>1987</v>
      </c>
      <c r="O629">
        <v>0.98</v>
      </c>
      <c r="P629">
        <v>1941</v>
      </c>
      <c r="Q629">
        <v>190</v>
      </c>
      <c r="R629">
        <v>88</v>
      </c>
      <c r="S629">
        <v>57</v>
      </c>
      <c r="T629">
        <v>394</v>
      </c>
      <c r="U629">
        <v>29</v>
      </c>
      <c r="V629">
        <v>364</v>
      </c>
      <c r="W629">
        <v>0.50700000000000001</v>
      </c>
      <c r="X629">
        <v>248</v>
      </c>
      <c r="Y629">
        <v>186</v>
      </c>
      <c r="Z629">
        <v>146</v>
      </c>
      <c r="AA629">
        <v>6</v>
      </c>
      <c r="AB629">
        <v>8.6</v>
      </c>
      <c r="AC629" t="s">
        <v>188</v>
      </c>
      <c r="AG629" t="s">
        <v>3104</v>
      </c>
      <c r="AH629" t="s">
        <v>3026</v>
      </c>
      <c r="AI629" s="245">
        <v>501.79</v>
      </c>
      <c r="AJ629" t="s">
        <v>4244</v>
      </c>
      <c r="AK629" t="s">
        <v>4245</v>
      </c>
      <c r="AL629" t="s">
        <v>1277</v>
      </c>
      <c r="AM629" s="245">
        <v>539.99</v>
      </c>
      <c r="AN629" t="s">
        <v>4246</v>
      </c>
      <c r="AO629" t="s">
        <v>3104</v>
      </c>
      <c r="AP629" t="s">
        <v>1179</v>
      </c>
      <c r="AQ629" s="245">
        <v>575.95000000000005</v>
      </c>
      <c r="AR629" t="s">
        <v>4247</v>
      </c>
      <c r="AS629" s="226" t="str">
        <f t="shared" si="18"/>
        <v>QST 98</v>
      </c>
      <c r="AT629" s="203" t="str">
        <f t="shared" si="19"/>
        <v xml:space="preserve"> SalomonQST 98176 Unisex</v>
      </c>
    </row>
    <row r="630" spans="1:46" ht="132">
      <c r="A630" t="s">
        <v>155</v>
      </c>
      <c r="B630" t="s">
        <v>156</v>
      </c>
      <c r="C630" t="s">
        <v>589</v>
      </c>
      <c r="D630">
        <v>160</v>
      </c>
      <c r="E630" t="s">
        <v>158</v>
      </c>
      <c r="F630">
        <v>160</v>
      </c>
      <c r="G630">
        <v>159.30000000000001</v>
      </c>
      <c r="H630">
        <v>140</v>
      </c>
      <c r="I630">
        <v>145</v>
      </c>
      <c r="J630">
        <v>123</v>
      </c>
      <c r="K630">
        <v>75</v>
      </c>
      <c r="L630">
        <v>106</v>
      </c>
      <c r="M630">
        <v>13</v>
      </c>
      <c r="N630">
        <v>1663</v>
      </c>
      <c r="O630">
        <v>0.86</v>
      </c>
      <c r="P630">
        <v>1425</v>
      </c>
      <c r="Q630">
        <v>168</v>
      </c>
      <c r="R630">
        <v>74</v>
      </c>
      <c r="S630">
        <v>38</v>
      </c>
      <c r="T630">
        <v>142</v>
      </c>
      <c r="U630">
        <v>5</v>
      </c>
      <c r="V630">
        <v>53</v>
      </c>
      <c r="W630">
        <v>0.129</v>
      </c>
      <c r="X630">
        <v>89</v>
      </c>
      <c r="Y630">
        <v>54</v>
      </c>
      <c r="Z630">
        <v>54</v>
      </c>
      <c r="AA630">
        <v>9</v>
      </c>
      <c r="AB630">
        <v>12.6</v>
      </c>
      <c r="AC630" t="s">
        <v>349</v>
      </c>
      <c r="AG630" t="s">
        <v>4248</v>
      </c>
      <c r="AH630" t="s">
        <v>2654</v>
      </c>
      <c r="AI630" s="245">
        <v>456.97</v>
      </c>
      <c r="AJ630" t="s">
        <v>4249</v>
      </c>
      <c r="AK630" t="s">
        <v>4250</v>
      </c>
      <c r="AL630" t="s">
        <v>1229</v>
      </c>
      <c r="AM630" s="245">
        <v>499.99</v>
      </c>
      <c r="AN630" t="s">
        <v>4251</v>
      </c>
      <c r="AO630" t="s">
        <v>4252</v>
      </c>
      <c r="AP630" t="s">
        <v>3224</v>
      </c>
      <c r="AQ630" s="245">
        <v>999.99</v>
      </c>
      <c r="AR630" t="s">
        <v>4253</v>
      </c>
      <c r="AS630" s="226" t="str">
        <f t="shared" si="18"/>
        <v>Redster X7 WB</v>
      </c>
      <c r="AT630" s="203" t="str">
        <f t="shared" si="19"/>
        <v xml:space="preserve"> AtomicRedster X7 WB160 Unisex</v>
      </c>
    </row>
    <row r="631" spans="1:46" ht="66">
      <c r="A631" t="s">
        <v>155</v>
      </c>
      <c r="B631" t="s">
        <v>1160</v>
      </c>
      <c r="C631" t="s">
        <v>474</v>
      </c>
      <c r="D631">
        <v>177</v>
      </c>
      <c r="E631" t="s">
        <v>158</v>
      </c>
      <c r="F631">
        <v>177</v>
      </c>
      <c r="G631">
        <v>176.9</v>
      </c>
      <c r="H631">
        <v>136</v>
      </c>
      <c r="I631">
        <v>152</v>
      </c>
      <c r="J631">
        <v>127</v>
      </c>
      <c r="K631">
        <v>89</v>
      </c>
      <c r="L631">
        <v>113</v>
      </c>
      <c r="M631">
        <v>18.2</v>
      </c>
      <c r="N631">
        <v>1906</v>
      </c>
      <c r="O631">
        <v>0.94</v>
      </c>
      <c r="P631">
        <v>1794</v>
      </c>
      <c r="Q631">
        <v>190</v>
      </c>
      <c r="R631">
        <v>128</v>
      </c>
      <c r="S631">
        <v>41</v>
      </c>
      <c r="T631">
        <v>220</v>
      </c>
      <c r="U631">
        <v>17</v>
      </c>
      <c r="V631">
        <v>187</v>
      </c>
      <c r="W631">
        <v>0.42599999999999999</v>
      </c>
      <c r="X631">
        <v>142</v>
      </c>
      <c r="Y631">
        <v>103</v>
      </c>
      <c r="Z631">
        <v>78</v>
      </c>
      <c r="AA631">
        <v>8</v>
      </c>
      <c r="AB631">
        <v>11.1</v>
      </c>
      <c r="AC631" t="s">
        <v>188</v>
      </c>
      <c r="AG631" t="s">
        <v>4254</v>
      </c>
      <c r="AH631" t="s">
        <v>1240</v>
      </c>
      <c r="AI631" s="245">
        <v>649</v>
      </c>
      <c r="AJ631" t="s">
        <v>4255</v>
      </c>
      <c r="AK631" t="s">
        <v>4256</v>
      </c>
      <c r="AL631" t="s">
        <v>1191</v>
      </c>
      <c r="AM631" s="245">
        <v>424.95</v>
      </c>
      <c r="AN631" t="s">
        <v>4257</v>
      </c>
      <c r="AO631" t="s">
        <v>1725</v>
      </c>
      <c r="AP631" t="s">
        <v>1282</v>
      </c>
      <c r="AQ631" s="245">
        <v>499.95</v>
      </c>
      <c r="AR631" t="s">
        <v>4258</v>
      </c>
      <c r="AS631" s="226" t="str">
        <f t="shared" si="18"/>
        <v>Mindbender 90 Ti</v>
      </c>
      <c r="AT631" s="203" t="str">
        <f t="shared" si="19"/>
        <v>K2Mindbender 90 Ti177 Unisex</v>
      </c>
    </row>
    <row r="632" spans="1:46" ht="118.8">
      <c r="A632" t="s">
        <v>155</v>
      </c>
      <c r="B632" t="s">
        <v>167</v>
      </c>
      <c r="C632" t="s">
        <v>702</v>
      </c>
      <c r="D632">
        <v>170</v>
      </c>
      <c r="E632" t="s">
        <v>158</v>
      </c>
      <c r="F632">
        <v>170</v>
      </c>
      <c r="G632">
        <v>169.2</v>
      </c>
      <c r="H632">
        <v>139</v>
      </c>
      <c r="I632">
        <v>144</v>
      </c>
      <c r="J632">
        <v>125</v>
      </c>
      <c r="K632">
        <v>78</v>
      </c>
      <c r="L632">
        <v>104</v>
      </c>
      <c r="M632">
        <v>13.3</v>
      </c>
      <c r="N632">
        <v>1925</v>
      </c>
      <c r="O632">
        <v>0.82</v>
      </c>
      <c r="P632">
        <v>1581</v>
      </c>
      <c r="Q632">
        <v>173</v>
      </c>
      <c r="R632">
        <v>79</v>
      </c>
      <c r="S632">
        <v>41</v>
      </c>
      <c r="T632">
        <v>199</v>
      </c>
      <c r="U632">
        <v>8</v>
      </c>
      <c r="V632">
        <v>101</v>
      </c>
      <c r="W632">
        <v>0.19</v>
      </c>
      <c r="X632">
        <v>129</v>
      </c>
      <c r="Y632">
        <v>121</v>
      </c>
      <c r="Z632">
        <v>70</v>
      </c>
      <c r="AA632">
        <v>13</v>
      </c>
      <c r="AB632">
        <v>11.7</v>
      </c>
      <c r="AC632" t="s">
        <v>349</v>
      </c>
      <c r="AD632" t="s">
        <v>231</v>
      </c>
      <c r="AG632" t="s">
        <v>4259</v>
      </c>
      <c r="AH632" t="s">
        <v>1204</v>
      </c>
      <c r="AI632" s="245">
        <v>416.89</v>
      </c>
      <c r="AJ632" t="s">
        <v>4260</v>
      </c>
      <c r="AK632" t="s">
        <v>4261</v>
      </c>
      <c r="AL632" t="s">
        <v>2255</v>
      </c>
      <c r="AM632" s="245">
        <v>549</v>
      </c>
      <c r="AN632" t="s">
        <v>4262</v>
      </c>
      <c r="AO632" t="s">
        <v>4261</v>
      </c>
      <c r="AP632" t="s">
        <v>2516</v>
      </c>
      <c r="AQ632" s="245">
        <v>599</v>
      </c>
      <c r="AR632" t="s">
        <v>4263</v>
      </c>
      <c r="AS632" s="226" t="str">
        <f t="shared" si="18"/>
        <v>Kore 80 X</v>
      </c>
      <c r="AT632" s="203" t="str">
        <f t="shared" si="19"/>
        <v xml:space="preserve"> HeadKore 80 X170 Unisex</v>
      </c>
    </row>
    <row r="633" spans="1:46" ht="132">
      <c r="A633" t="s">
        <v>155</v>
      </c>
      <c r="B633" t="s">
        <v>172</v>
      </c>
      <c r="C633" t="s">
        <v>676</v>
      </c>
      <c r="D633">
        <v>159</v>
      </c>
      <c r="E633" t="s">
        <v>158</v>
      </c>
      <c r="F633">
        <v>159</v>
      </c>
      <c r="G633">
        <v>158.6</v>
      </c>
      <c r="H633">
        <v>135</v>
      </c>
      <c r="I633">
        <v>145</v>
      </c>
      <c r="J633">
        <v>122</v>
      </c>
      <c r="K633">
        <v>73</v>
      </c>
      <c r="L633">
        <v>109</v>
      </c>
      <c r="M633">
        <v>12.2</v>
      </c>
      <c r="N633">
        <v>1687</v>
      </c>
      <c r="O633">
        <v>0.84</v>
      </c>
      <c r="P633">
        <v>1412</v>
      </c>
      <c r="Q633">
        <v>184</v>
      </c>
      <c r="R633">
        <v>74</v>
      </c>
      <c r="S633">
        <v>41</v>
      </c>
      <c r="T633">
        <v>170</v>
      </c>
      <c r="U633">
        <v>4</v>
      </c>
      <c r="V633">
        <v>65</v>
      </c>
      <c r="W633">
        <v>0.104</v>
      </c>
      <c r="X633">
        <v>79</v>
      </c>
      <c r="Y633">
        <v>61</v>
      </c>
      <c r="Z633">
        <v>91</v>
      </c>
      <c r="AA633">
        <v>11</v>
      </c>
      <c r="AB633">
        <v>10.199999999999999</v>
      </c>
      <c r="AC633" t="s">
        <v>349</v>
      </c>
      <c r="AG633" t="s">
        <v>4264</v>
      </c>
      <c r="AH633" t="s">
        <v>1229</v>
      </c>
      <c r="AI633" s="245">
        <v>699.99</v>
      </c>
      <c r="AJ633" t="s">
        <v>4265</v>
      </c>
      <c r="AK633" t="s">
        <v>4264</v>
      </c>
      <c r="AL633" t="s">
        <v>1211</v>
      </c>
      <c r="AM633" s="245">
        <v>799.95</v>
      </c>
      <c r="AN633" t="s">
        <v>4266</v>
      </c>
      <c r="AO633" t="s">
        <v>4267</v>
      </c>
      <c r="AP633" t="s">
        <v>3015</v>
      </c>
      <c r="AQ633" s="245">
        <v>900</v>
      </c>
      <c r="AR633" t="s">
        <v>4268</v>
      </c>
      <c r="AS633" s="226" t="str">
        <f t="shared" si="18"/>
        <v>Hero Elite Multi Turn Ti</v>
      </c>
      <c r="AT633" s="203" t="str">
        <f t="shared" si="19"/>
        <v xml:space="preserve"> RossignolHero Elite Multi Turn Ti159 Unisex</v>
      </c>
    </row>
    <row r="634" spans="1:46" ht="171.6">
      <c r="A634" t="s">
        <v>155</v>
      </c>
      <c r="B634" t="s">
        <v>156</v>
      </c>
      <c r="C634" t="s">
        <v>703</v>
      </c>
      <c r="D634">
        <v>161</v>
      </c>
      <c r="E634" t="s">
        <v>163</v>
      </c>
      <c r="F634">
        <v>161</v>
      </c>
      <c r="G634">
        <v>160.19999999999999</v>
      </c>
      <c r="H634">
        <v>113</v>
      </c>
      <c r="I634">
        <v>133</v>
      </c>
      <c r="J634">
        <v>121</v>
      </c>
      <c r="K634">
        <v>86</v>
      </c>
      <c r="L634">
        <v>104</v>
      </c>
      <c r="M634">
        <v>16</v>
      </c>
      <c r="N634">
        <v>1403</v>
      </c>
      <c r="O634">
        <v>1.1100000000000001</v>
      </c>
      <c r="P634">
        <v>1551</v>
      </c>
      <c r="Q634">
        <v>191</v>
      </c>
      <c r="R634">
        <v>82</v>
      </c>
      <c r="S634">
        <v>48</v>
      </c>
      <c r="T634">
        <v>277</v>
      </c>
      <c r="U634">
        <v>12</v>
      </c>
      <c r="V634">
        <v>191</v>
      </c>
      <c r="W634">
        <v>0.255</v>
      </c>
      <c r="X634">
        <v>166</v>
      </c>
      <c r="Y634">
        <v>104</v>
      </c>
      <c r="Z634">
        <v>111</v>
      </c>
      <c r="AA634">
        <v>4</v>
      </c>
      <c r="AB634">
        <v>8.6999999999999993</v>
      </c>
      <c r="AC634" t="s">
        <v>188</v>
      </c>
      <c r="AD634" t="s">
        <v>185</v>
      </c>
      <c r="AG634" t="s">
        <v>4269</v>
      </c>
      <c r="AH634" t="s">
        <v>1204</v>
      </c>
      <c r="AI634" s="245">
        <v>320.68</v>
      </c>
      <c r="AJ634" t="s">
        <v>4270</v>
      </c>
      <c r="AK634" t="s">
        <v>4271</v>
      </c>
      <c r="AL634" t="s">
        <v>1224</v>
      </c>
      <c r="AM634" s="245">
        <v>399.99</v>
      </c>
      <c r="AN634" t="s">
        <v>4272</v>
      </c>
      <c r="AO634" t="s">
        <v>4273</v>
      </c>
      <c r="AP634" t="s">
        <v>1181</v>
      </c>
      <c r="AQ634" s="245">
        <v>469.99</v>
      </c>
      <c r="AR634" t="s">
        <v>4274</v>
      </c>
      <c r="AS634" s="226" t="str">
        <f t="shared" si="18"/>
        <v>Maven 86</v>
      </c>
      <c r="AT634" s="203" t="str">
        <f t="shared" si="19"/>
        <v xml:space="preserve"> AtomicMaven 86161 Women's</v>
      </c>
    </row>
    <row r="635" spans="1:46" ht="52.8">
      <c r="A635" t="s">
        <v>155</v>
      </c>
      <c r="B635" t="s">
        <v>237</v>
      </c>
      <c r="C635" t="s">
        <v>507</v>
      </c>
      <c r="D635">
        <v>168.1</v>
      </c>
      <c r="E635" t="s">
        <v>158</v>
      </c>
      <c r="F635">
        <v>168.1</v>
      </c>
      <c r="G635">
        <v>167.5</v>
      </c>
      <c r="H635">
        <v>130</v>
      </c>
      <c r="I635">
        <v>144</v>
      </c>
      <c r="J635">
        <v>127</v>
      </c>
      <c r="K635">
        <v>96</v>
      </c>
      <c r="L635">
        <v>116</v>
      </c>
      <c r="M635">
        <v>18.7</v>
      </c>
      <c r="N635">
        <v>1696</v>
      </c>
      <c r="O635">
        <v>1.04</v>
      </c>
      <c r="P635">
        <v>1772</v>
      </c>
      <c r="Q635">
        <v>141</v>
      </c>
      <c r="R635">
        <v>74</v>
      </c>
      <c r="S635">
        <v>46</v>
      </c>
      <c r="T635">
        <v>225</v>
      </c>
      <c r="U635">
        <v>29</v>
      </c>
      <c r="V635">
        <v>150</v>
      </c>
      <c r="W635">
        <v>0.63200000000000001</v>
      </c>
      <c r="X635">
        <v>128</v>
      </c>
      <c r="Y635">
        <v>112</v>
      </c>
      <c r="Z635">
        <v>97</v>
      </c>
      <c r="AA635">
        <v>14</v>
      </c>
      <c r="AB635">
        <v>6.2</v>
      </c>
      <c r="AC635" t="s">
        <v>188</v>
      </c>
      <c r="AG635" t="s">
        <v>2947</v>
      </c>
      <c r="AH635" t="s">
        <v>1858</v>
      </c>
      <c r="AI635" s="245">
        <v>575</v>
      </c>
      <c r="AJ635" t="s">
        <v>4275</v>
      </c>
      <c r="AK635" t="s">
        <v>2947</v>
      </c>
      <c r="AL635" t="s">
        <v>1181</v>
      </c>
      <c r="AM635" s="245">
        <v>575.96</v>
      </c>
      <c r="AN635" t="s">
        <v>4276</v>
      </c>
      <c r="AO635" t="s">
        <v>2947</v>
      </c>
      <c r="AP635" t="s">
        <v>1224</v>
      </c>
      <c r="AQ635" s="245">
        <v>575.96</v>
      </c>
      <c r="AR635" t="s">
        <v>4277</v>
      </c>
      <c r="AS635" s="226" t="str">
        <f t="shared" si="18"/>
        <v>Camox</v>
      </c>
      <c r="AT635" s="203" t="str">
        <f t="shared" si="19"/>
        <v xml:space="preserve"> Black CrowsCamox168.1 Unisex</v>
      </c>
    </row>
    <row r="636" spans="1:46" ht="132">
      <c r="A636" t="s">
        <v>155</v>
      </c>
      <c r="B636" t="s">
        <v>167</v>
      </c>
      <c r="C636" t="s">
        <v>704</v>
      </c>
      <c r="D636">
        <v>163</v>
      </c>
      <c r="E636" t="s">
        <v>158</v>
      </c>
      <c r="F636">
        <v>163</v>
      </c>
      <c r="G636">
        <v>162.4</v>
      </c>
      <c r="H636">
        <v>143</v>
      </c>
      <c r="I636">
        <v>149</v>
      </c>
      <c r="J636">
        <v>131</v>
      </c>
      <c r="K636">
        <v>77</v>
      </c>
      <c r="L636">
        <v>111</v>
      </c>
      <c r="M636">
        <v>12.4</v>
      </c>
      <c r="N636">
        <v>1882</v>
      </c>
      <c r="O636">
        <v>0.8</v>
      </c>
      <c r="P636">
        <v>1514</v>
      </c>
      <c r="Q636">
        <v>169</v>
      </c>
      <c r="R636">
        <v>80</v>
      </c>
      <c r="S636">
        <v>34</v>
      </c>
      <c r="T636">
        <v>138</v>
      </c>
      <c r="U636">
        <v>7</v>
      </c>
      <c r="V636">
        <v>59</v>
      </c>
      <c r="W636">
        <v>0.20899999999999999</v>
      </c>
      <c r="X636">
        <v>86</v>
      </c>
      <c r="Y636">
        <v>51</v>
      </c>
      <c r="Z636">
        <v>52</v>
      </c>
      <c r="AA636">
        <v>14</v>
      </c>
      <c r="AB636">
        <v>12.5</v>
      </c>
      <c r="AC636" t="s">
        <v>349</v>
      </c>
      <c r="AG636" t="s">
        <v>4278</v>
      </c>
      <c r="AH636" t="s">
        <v>1179</v>
      </c>
      <c r="AI636" s="245">
        <v>450</v>
      </c>
      <c r="AJ636" t="s">
        <v>4279</v>
      </c>
      <c r="AK636" t="s">
        <v>4280</v>
      </c>
      <c r="AL636" t="s">
        <v>4281</v>
      </c>
      <c r="AM636" s="245">
        <v>199.99</v>
      </c>
      <c r="AN636" t="s">
        <v>4282</v>
      </c>
      <c r="AO636" t="s">
        <v>4283</v>
      </c>
      <c r="AP636" t="s">
        <v>4284</v>
      </c>
      <c r="AQ636" s="245">
        <v>727</v>
      </c>
      <c r="AR636" t="s">
        <v>4285</v>
      </c>
      <c r="AS636" s="226" t="str">
        <f t="shared" si="18"/>
        <v>V-Shape V6</v>
      </c>
      <c r="AT636" s="203" t="str">
        <f t="shared" si="19"/>
        <v xml:space="preserve"> HeadV-Shape V6163 Unisex</v>
      </c>
    </row>
    <row r="637" spans="1:46" ht="105.6">
      <c r="A637" t="s">
        <v>155</v>
      </c>
      <c r="B637" t="s">
        <v>167</v>
      </c>
      <c r="C637" t="s">
        <v>706</v>
      </c>
      <c r="D637">
        <v>176</v>
      </c>
      <c r="E637" t="s">
        <v>158</v>
      </c>
      <c r="F637">
        <v>176</v>
      </c>
      <c r="G637">
        <v>174.1</v>
      </c>
      <c r="H637">
        <v>145</v>
      </c>
      <c r="I637">
        <v>155</v>
      </c>
      <c r="J637">
        <v>120</v>
      </c>
      <c r="K637">
        <v>83</v>
      </c>
      <c r="L637">
        <v>109</v>
      </c>
      <c r="M637">
        <v>19.100000000000001</v>
      </c>
      <c r="N637">
        <v>1800</v>
      </c>
      <c r="O637">
        <v>0.91</v>
      </c>
      <c r="P637">
        <v>1639</v>
      </c>
      <c r="Q637">
        <v>211</v>
      </c>
      <c r="R637">
        <v>70</v>
      </c>
      <c r="S637">
        <v>46</v>
      </c>
      <c r="T637">
        <v>149</v>
      </c>
      <c r="U637">
        <v>37</v>
      </c>
      <c r="V637">
        <v>138</v>
      </c>
      <c r="W637">
        <v>0.8</v>
      </c>
      <c r="X637">
        <v>93</v>
      </c>
      <c r="Y637">
        <v>94</v>
      </c>
      <c r="Z637">
        <v>55</v>
      </c>
      <c r="AA637">
        <v>11</v>
      </c>
      <c r="AB637">
        <v>5.5</v>
      </c>
      <c r="AC637" t="s">
        <v>188</v>
      </c>
      <c r="AD637" t="s">
        <v>184</v>
      </c>
      <c r="AG637" t="s">
        <v>4286</v>
      </c>
      <c r="AH637" t="s">
        <v>1416</v>
      </c>
      <c r="AI637" s="245">
        <v>399</v>
      </c>
      <c r="AJ637" t="s">
        <v>4287</v>
      </c>
      <c r="AK637" t="s">
        <v>4288</v>
      </c>
      <c r="AL637" t="s">
        <v>1224</v>
      </c>
      <c r="AM637" s="245">
        <v>399</v>
      </c>
      <c r="AN637" t="s">
        <v>4289</v>
      </c>
      <c r="AO637" t="s">
        <v>4288</v>
      </c>
      <c r="AP637" t="s">
        <v>1402</v>
      </c>
      <c r="AQ637" s="245">
        <v>399</v>
      </c>
      <c r="AR637" t="s">
        <v>4290</v>
      </c>
      <c r="AS637" s="226" t="str">
        <f t="shared" si="18"/>
        <v>Oblivion 84</v>
      </c>
      <c r="AT637" s="203" t="str">
        <f t="shared" si="19"/>
        <v xml:space="preserve"> HeadOblivion 84176 Unisex</v>
      </c>
    </row>
    <row r="638" spans="1:46" ht="79.2">
      <c r="A638" t="s">
        <v>155</v>
      </c>
      <c r="B638" t="s">
        <v>1395</v>
      </c>
      <c r="C638" t="s">
        <v>300</v>
      </c>
      <c r="D638">
        <v>165</v>
      </c>
      <c r="E638" t="s">
        <v>158</v>
      </c>
      <c r="F638">
        <v>165</v>
      </c>
      <c r="G638">
        <v>164.4</v>
      </c>
      <c r="H638">
        <v>83</v>
      </c>
      <c r="I638">
        <v>140</v>
      </c>
      <c r="J638">
        <v>133</v>
      </c>
      <c r="K638">
        <v>93</v>
      </c>
      <c r="L638">
        <v>116</v>
      </c>
      <c r="M638">
        <v>14.8</v>
      </c>
      <c r="N638">
        <v>1448</v>
      </c>
      <c r="O638">
        <v>1.2</v>
      </c>
      <c r="P638">
        <v>1744</v>
      </c>
      <c r="Q638">
        <v>182</v>
      </c>
      <c r="R638">
        <v>90</v>
      </c>
      <c r="S638">
        <v>48</v>
      </c>
      <c r="T638">
        <v>465</v>
      </c>
      <c r="U638">
        <v>21</v>
      </c>
      <c r="V638">
        <v>345</v>
      </c>
      <c r="W638">
        <v>0.442</v>
      </c>
      <c r="X638">
        <v>139</v>
      </c>
      <c r="Y638">
        <v>103</v>
      </c>
      <c r="Z638">
        <v>326</v>
      </c>
      <c r="AA638">
        <v>1</v>
      </c>
      <c r="AB638">
        <v>12</v>
      </c>
      <c r="AC638" t="s">
        <v>188</v>
      </c>
      <c r="AD638" t="s">
        <v>185</v>
      </c>
      <c r="AG638" t="s">
        <v>4291</v>
      </c>
      <c r="AH638" t="s">
        <v>1807</v>
      </c>
      <c r="AI638" s="245">
        <v>399.91</v>
      </c>
      <c r="AJ638" t="s">
        <v>4292</v>
      </c>
      <c r="AK638" t="s">
        <v>4293</v>
      </c>
      <c r="AL638" t="s">
        <v>1349</v>
      </c>
      <c r="AM638" s="245">
        <v>421.65</v>
      </c>
      <c r="AN638" t="s">
        <v>4294</v>
      </c>
      <c r="AO638" t="s">
        <v>4293</v>
      </c>
      <c r="AP638" t="s">
        <v>1976</v>
      </c>
      <c r="AQ638" s="245">
        <v>439.95</v>
      </c>
      <c r="AR638" t="s">
        <v>4295</v>
      </c>
      <c r="AS638" s="226" t="str">
        <f t="shared" si="18"/>
        <v>Blaze 94</v>
      </c>
      <c r="AT638" s="203" t="str">
        <f t="shared" si="19"/>
        <v xml:space="preserve"> Vï¿½lklBlaze 94165 Unisex</v>
      </c>
    </row>
    <row r="639" spans="1:46" ht="79.2">
      <c r="A639" t="s">
        <v>155</v>
      </c>
      <c r="B639" t="s">
        <v>1160</v>
      </c>
      <c r="C639" t="s">
        <v>708</v>
      </c>
      <c r="D639">
        <v>177</v>
      </c>
      <c r="E639" t="s">
        <v>158</v>
      </c>
      <c r="F639">
        <v>177</v>
      </c>
      <c r="G639">
        <v>177.3</v>
      </c>
      <c r="H639">
        <v>93</v>
      </c>
      <c r="I639">
        <v>132</v>
      </c>
      <c r="J639">
        <v>144</v>
      </c>
      <c r="K639">
        <v>122</v>
      </c>
      <c r="L639">
        <v>135</v>
      </c>
      <c r="M639">
        <v>22.1</v>
      </c>
      <c r="N639">
        <v>2031</v>
      </c>
      <c r="O639">
        <v>1.1200000000000001</v>
      </c>
      <c r="P639">
        <v>2267</v>
      </c>
      <c r="Q639">
        <v>168</v>
      </c>
      <c r="R639">
        <v>96</v>
      </c>
      <c r="S639">
        <v>65</v>
      </c>
      <c r="T639">
        <v>438</v>
      </c>
      <c r="U639">
        <v>52</v>
      </c>
      <c r="V639">
        <v>404</v>
      </c>
      <c r="W639">
        <v>0.79299999999999904</v>
      </c>
      <c r="X639">
        <v>221</v>
      </c>
      <c r="Y639">
        <v>236</v>
      </c>
      <c r="Z639">
        <v>217</v>
      </c>
      <c r="AA639">
        <v>4</v>
      </c>
      <c r="AB639">
        <v>4.2</v>
      </c>
      <c r="AC639" t="s">
        <v>169</v>
      </c>
      <c r="AD639" t="s">
        <v>185</v>
      </c>
      <c r="AG639" t="s">
        <v>4296</v>
      </c>
      <c r="AH639" t="s">
        <v>1224</v>
      </c>
      <c r="AI639" s="245">
        <v>299.97000000000003</v>
      </c>
      <c r="AJ639" t="s">
        <v>4297</v>
      </c>
      <c r="AK639" t="s">
        <v>4296</v>
      </c>
      <c r="AL639" t="s">
        <v>1271</v>
      </c>
      <c r="AM639" s="245">
        <v>399.93</v>
      </c>
      <c r="AN639" t="s">
        <v>4298</v>
      </c>
      <c r="AO639" t="s">
        <v>4299</v>
      </c>
      <c r="AP639" t="s">
        <v>1349</v>
      </c>
      <c r="AQ639" s="245">
        <v>412.48</v>
      </c>
      <c r="AR639" t="s">
        <v>4300</v>
      </c>
      <c r="AS639" s="226" t="str">
        <f t="shared" si="18"/>
        <v>Reckoner 122</v>
      </c>
      <c r="AT639" s="203" t="str">
        <f t="shared" si="19"/>
        <v>K2Reckoner 122177 Unisex</v>
      </c>
    </row>
    <row r="640" spans="1:46" ht="171.6">
      <c r="A640" t="s">
        <v>155</v>
      </c>
      <c r="B640" t="s">
        <v>237</v>
      </c>
      <c r="C640" t="s">
        <v>443</v>
      </c>
      <c r="D640">
        <v>183.4</v>
      </c>
      <c r="E640" t="s">
        <v>158</v>
      </c>
      <c r="F640">
        <v>183.4</v>
      </c>
      <c r="G640">
        <v>182.6</v>
      </c>
      <c r="H640">
        <v>145</v>
      </c>
      <c r="I640">
        <v>148</v>
      </c>
      <c r="J640">
        <v>141</v>
      </c>
      <c r="K640">
        <v>105</v>
      </c>
      <c r="L640">
        <v>118</v>
      </c>
      <c r="M640">
        <v>21</v>
      </c>
      <c r="N640">
        <v>1950</v>
      </c>
      <c r="O640">
        <v>1.08</v>
      </c>
      <c r="P640">
        <v>2112</v>
      </c>
      <c r="Q640">
        <v>230</v>
      </c>
      <c r="R640">
        <v>107</v>
      </c>
      <c r="S640">
        <v>46</v>
      </c>
      <c r="T640">
        <v>282</v>
      </c>
      <c r="U640">
        <v>6</v>
      </c>
      <c r="V640">
        <v>91</v>
      </c>
      <c r="W640">
        <v>0.129</v>
      </c>
      <c r="X640">
        <v>192</v>
      </c>
      <c r="Y640">
        <v>155</v>
      </c>
      <c r="Z640">
        <v>90</v>
      </c>
      <c r="AA640">
        <v>8</v>
      </c>
      <c r="AB640">
        <v>10.4</v>
      </c>
      <c r="AC640" t="s">
        <v>178</v>
      </c>
      <c r="AD640" t="s">
        <v>185</v>
      </c>
      <c r="AG640" t="s">
        <v>4301</v>
      </c>
      <c r="AH640" t="s">
        <v>1181</v>
      </c>
      <c r="AI640" s="245">
        <v>1114.96</v>
      </c>
      <c r="AJ640" t="s">
        <v>4302</v>
      </c>
      <c r="AK640" t="s">
        <v>4303</v>
      </c>
      <c r="AL640" t="s">
        <v>1271</v>
      </c>
      <c r="AM640" s="245">
        <v>720.93</v>
      </c>
      <c r="AN640" t="s">
        <v>4304</v>
      </c>
      <c r="AO640" t="s">
        <v>4305</v>
      </c>
      <c r="AP640" t="s">
        <v>3196</v>
      </c>
      <c r="AQ640" s="245">
        <v>799.99</v>
      </c>
      <c r="AR640" t="s">
        <v>4306</v>
      </c>
      <c r="AS640" s="226" t="str">
        <f t="shared" si="18"/>
        <v>Corvus Freebird</v>
      </c>
      <c r="AT640" s="203" t="str">
        <f t="shared" si="19"/>
        <v xml:space="preserve"> Black CrowsCorvus Freebird183.4 Unisex</v>
      </c>
    </row>
    <row r="641" spans="1:46" ht="52.8">
      <c r="A641" t="s">
        <v>155</v>
      </c>
      <c r="B641" t="s">
        <v>329</v>
      </c>
      <c r="C641" t="s">
        <v>520</v>
      </c>
      <c r="D641">
        <v>172</v>
      </c>
      <c r="E641" t="s">
        <v>158</v>
      </c>
      <c r="F641">
        <v>172</v>
      </c>
      <c r="G641">
        <v>169.7</v>
      </c>
      <c r="H641">
        <v>117</v>
      </c>
      <c r="I641">
        <v>146</v>
      </c>
      <c r="J641">
        <v>122</v>
      </c>
      <c r="K641">
        <v>87</v>
      </c>
      <c r="L641">
        <v>110</v>
      </c>
      <c r="M641">
        <v>18.100000000000001</v>
      </c>
      <c r="N641">
        <v>1186</v>
      </c>
      <c r="O641">
        <v>1.39</v>
      </c>
      <c r="P641">
        <v>1652</v>
      </c>
      <c r="Q641">
        <v>256</v>
      </c>
      <c r="R641">
        <v>87</v>
      </c>
      <c r="S641">
        <v>60</v>
      </c>
      <c r="T641">
        <v>348</v>
      </c>
      <c r="U641">
        <v>10</v>
      </c>
      <c r="V641">
        <v>179</v>
      </c>
      <c r="W641">
        <v>0.16500000000000001</v>
      </c>
      <c r="X641">
        <v>136</v>
      </c>
      <c r="Y641">
        <v>104</v>
      </c>
      <c r="Z641">
        <v>213</v>
      </c>
      <c r="AA641">
        <v>4</v>
      </c>
      <c r="AB641">
        <v>12.6</v>
      </c>
      <c r="AC641" t="s">
        <v>185</v>
      </c>
      <c r="AD641" t="s">
        <v>198</v>
      </c>
      <c r="AG641" t="s">
        <v>4307</v>
      </c>
      <c r="AH641" t="s">
        <v>1224</v>
      </c>
      <c r="AI641" s="245">
        <v>559.96</v>
      </c>
      <c r="AJ641" t="s">
        <v>4308</v>
      </c>
      <c r="AK641" t="s">
        <v>4307</v>
      </c>
      <c r="AL641" t="s">
        <v>1424</v>
      </c>
      <c r="AM641" s="245">
        <v>559.96</v>
      </c>
      <c r="AN641" t="s">
        <v>4309</v>
      </c>
      <c r="AO641" t="s">
        <v>4307</v>
      </c>
      <c r="AP641" t="s">
        <v>1226</v>
      </c>
      <c r="AQ641" s="245">
        <v>559.99</v>
      </c>
      <c r="AR641" t="s">
        <v>4310</v>
      </c>
      <c r="AS641" s="226" t="str">
        <f t="shared" si="18"/>
        <v>Blacklight 88</v>
      </c>
      <c r="AT641" s="203" t="str">
        <f t="shared" si="19"/>
        <v xml:space="preserve"> DynafitBlacklight 88172 Unisex</v>
      </c>
    </row>
    <row r="642" spans="1:46" ht="92.4">
      <c r="A642" t="s">
        <v>155</v>
      </c>
      <c r="B642" t="s">
        <v>164</v>
      </c>
      <c r="C642" t="s">
        <v>710</v>
      </c>
      <c r="D642">
        <v>185</v>
      </c>
      <c r="E642" t="s">
        <v>158</v>
      </c>
      <c r="F642">
        <v>185</v>
      </c>
      <c r="G642">
        <v>183.4</v>
      </c>
      <c r="H642">
        <v>133</v>
      </c>
      <c r="I642">
        <v>145</v>
      </c>
      <c r="J642">
        <v>145</v>
      </c>
      <c r="K642">
        <v>114</v>
      </c>
      <c r="L642">
        <v>131</v>
      </c>
      <c r="M642">
        <v>20.5</v>
      </c>
      <c r="N642">
        <v>2023</v>
      </c>
      <c r="O642">
        <v>1.1200000000000001</v>
      </c>
      <c r="P642">
        <v>2266</v>
      </c>
      <c r="Q642">
        <v>241</v>
      </c>
      <c r="R642">
        <v>104</v>
      </c>
      <c r="S642">
        <v>41</v>
      </c>
      <c r="T642">
        <v>282</v>
      </c>
      <c r="U642">
        <v>26</v>
      </c>
      <c r="V642">
        <v>223</v>
      </c>
      <c r="W642">
        <v>0.61699999999999999</v>
      </c>
      <c r="X642">
        <v>186</v>
      </c>
      <c r="Y642">
        <v>198</v>
      </c>
      <c r="Z642">
        <v>95</v>
      </c>
      <c r="AA642">
        <v>4</v>
      </c>
      <c r="AB642">
        <v>6</v>
      </c>
      <c r="AC642" t="s">
        <v>169</v>
      </c>
      <c r="AD642" t="s">
        <v>185</v>
      </c>
      <c r="AG642" t="s">
        <v>4311</v>
      </c>
      <c r="AH642" t="s">
        <v>1191</v>
      </c>
      <c r="AI642" s="245">
        <v>514.95000000000005</v>
      </c>
      <c r="AJ642" t="s">
        <v>4312</v>
      </c>
      <c r="AK642" t="s">
        <v>4313</v>
      </c>
      <c r="AL642" t="s">
        <v>1232</v>
      </c>
      <c r="AM642" s="245">
        <v>549.95000000000005</v>
      </c>
      <c r="AN642" t="s">
        <v>4314</v>
      </c>
      <c r="AO642" t="s">
        <v>4311</v>
      </c>
      <c r="AP642" t="s">
        <v>1509</v>
      </c>
      <c r="AQ642" s="245">
        <v>549.99</v>
      </c>
      <c r="AR642" t="s">
        <v>4315</v>
      </c>
      <c r="AS642" s="226" t="str">
        <f t="shared" ref="AS642:AS705" si="20">IF(LEFT(C642,1)=" ",RIGHT(C642,LEN(C642)-1),C642)</f>
        <v>Ripstick 116</v>
      </c>
      <c r="AT642" s="203" t="str">
        <f t="shared" ref="AT642:AT705" si="21">_xlfn.CONCAT(B642,AS642,D642,E642)</f>
        <v xml:space="preserve"> ElanRipstick 116185 Unisex</v>
      </c>
    </row>
    <row r="643" spans="1:46" ht="105.6">
      <c r="A643" t="s">
        <v>155</v>
      </c>
      <c r="B643" t="s">
        <v>1160</v>
      </c>
      <c r="C643" t="s">
        <v>485</v>
      </c>
      <c r="D643">
        <v>149</v>
      </c>
      <c r="E643" t="s">
        <v>163</v>
      </c>
      <c r="F643">
        <v>149</v>
      </c>
      <c r="G643">
        <v>149.1</v>
      </c>
      <c r="H643">
        <v>114</v>
      </c>
      <c r="I643">
        <v>125</v>
      </c>
      <c r="J643">
        <v>125</v>
      </c>
      <c r="K643">
        <v>88</v>
      </c>
      <c r="L643">
        <v>111</v>
      </c>
      <c r="M643">
        <v>12.1</v>
      </c>
      <c r="N643">
        <v>1401</v>
      </c>
      <c r="O643">
        <v>1.07</v>
      </c>
      <c r="P643">
        <v>1493</v>
      </c>
      <c r="Q643">
        <v>138</v>
      </c>
      <c r="R643">
        <v>89</v>
      </c>
      <c r="S643">
        <v>43</v>
      </c>
      <c r="T643">
        <v>187</v>
      </c>
      <c r="U643">
        <v>19</v>
      </c>
      <c r="V643">
        <v>161</v>
      </c>
      <c r="W643">
        <v>0.43099999999999999</v>
      </c>
      <c r="X643">
        <v>144</v>
      </c>
      <c r="Y643">
        <v>93</v>
      </c>
      <c r="Z643">
        <v>43</v>
      </c>
      <c r="AA643">
        <v>7</v>
      </c>
      <c r="AB643">
        <v>10.1</v>
      </c>
      <c r="AC643" t="s">
        <v>188</v>
      </c>
      <c r="AD643" t="s">
        <v>185</v>
      </c>
      <c r="AG643" t="s">
        <v>4316</v>
      </c>
      <c r="AH643" t="s">
        <v>2570</v>
      </c>
      <c r="AI643" s="245">
        <v>800</v>
      </c>
      <c r="AJ643" t="s">
        <v>4317</v>
      </c>
      <c r="AK643" t="s">
        <v>4318</v>
      </c>
      <c r="AL643" t="s">
        <v>1265</v>
      </c>
      <c r="AM643" s="245">
        <v>320.68</v>
      </c>
      <c r="AN643" t="s">
        <v>4319</v>
      </c>
      <c r="AO643" t="s">
        <v>4320</v>
      </c>
      <c r="AP643" t="s">
        <v>1549</v>
      </c>
      <c r="AQ643" s="245">
        <v>390</v>
      </c>
      <c r="AR643" t="s">
        <v>4321</v>
      </c>
      <c r="AS643" s="226" t="str">
        <f t="shared" si="20"/>
        <v>Mindbender 88 Ti Alliance</v>
      </c>
      <c r="AT643" s="203" t="str">
        <f t="shared" si="21"/>
        <v>K2Mindbender 88 Ti Alliance149 Women's</v>
      </c>
    </row>
    <row r="644" spans="1:46" ht="132">
      <c r="A644" t="s">
        <v>155</v>
      </c>
      <c r="B644" t="s">
        <v>172</v>
      </c>
      <c r="C644" t="s">
        <v>711</v>
      </c>
      <c r="D644">
        <v>168</v>
      </c>
      <c r="E644" t="s">
        <v>158</v>
      </c>
      <c r="F644">
        <v>168</v>
      </c>
      <c r="G644">
        <v>168.6</v>
      </c>
      <c r="H644">
        <v>148</v>
      </c>
      <c r="I644">
        <v>154</v>
      </c>
      <c r="J644">
        <v>123</v>
      </c>
      <c r="K644">
        <v>76</v>
      </c>
      <c r="L644">
        <v>109</v>
      </c>
      <c r="M644">
        <v>14.3</v>
      </c>
      <c r="N644">
        <v>1613</v>
      </c>
      <c r="O644">
        <v>0.95</v>
      </c>
      <c r="P644">
        <v>1537</v>
      </c>
      <c r="Q644">
        <v>153</v>
      </c>
      <c r="R644">
        <v>57</v>
      </c>
      <c r="S644">
        <v>35</v>
      </c>
      <c r="T644">
        <v>143</v>
      </c>
      <c r="U644">
        <v>5</v>
      </c>
      <c r="V644">
        <v>68</v>
      </c>
      <c r="W644">
        <v>0.155</v>
      </c>
      <c r="X644">
        <v>69</v>
      </c>
      <c r="Y644">
        <v>82</v>
      </c>
      <c r="Z644">
        <v>74</v>
      </c>
      <c r="AA644">
        <v>14</v>
      </c>
      <c r="AB644">
        <v>8.6999999999999993</v>
      </c>
      <c r="AC644" t="s">
        <v>349</v>
      </c>
      <c r="AG644" t="s">
        <v>2887</v>
      </c>
      <c r="AH644" t="s">
        <v>1179</v>
      </c>
      <c r="AI644" s="245">
        <v>319.95</v>
      </c>
      <c r="AJ644" t="s">
        <v>4322</v>
      </c>
      <c r="AK644" t="s">
        <v>4323</v>
      </c>
      <c r="AL644" t="s">
        <v>1191</v>
      </c>
      <c r="AM644" s="245">
        <v>234.95</v>
      </c>
      <c r="AN644" t="s">
        <v>4324</v>
      </c>
      <c r="AO644" t="s">
        <v>4325</v>
      </c>
      <c r="AP644" t="s">
        <v>1807</v>
      </c>
      <c r="AQ644" s="245">
        <v>299.99</v>
      </c>
      <c r="AR644" t="s">
        <v>4326</v>
      </c>
      <c r="AS644" s="226" t="str">
        <f t="shared" si="20"/>
        <v>Experience 76</v>
      </c>
      <c r="AT644" s="203" t="str">
        <f t="shared" si="21"/>
        <v xml:space="preserve"> RossignolExperience 76168 Unisex</v>
      </c>
    </row>
    <row r="645" spans="1:46" ht="132">
      <c r="A645" t="s">
        <v>155</v>
      </c>
      <c r="B645" t="s">
        <v>172</v>
      </c>
      <c r="C645" t="s">
        <v>713</v>
      </c>
      <c r="D645">
        <v>160</v>
      </c>
      <c r="E645" t="s">
        <v>158</v>
      </c>
      <c r="F645">
        <v>160</v>
      </c>
      <c r="G645">
        <v>158.4</v>
      </c>
      <c r="H645">
        <v>119</v>
      </c>
      <c r="I645">
        <v>144</v>
      </c>
      <c r="J645">
        <v>125</v>
      </c>
      <c r="K645">
        <v>79</v>
      </c>
      <c r="L645">
        <v>113</v>
      </c>
      <c r="M645">
        <v>12.7</v>
      </c>
      <c r="N645">
        <v>1703</v>
      </c>
      <c r="O645">
        <v>0.88</v>
      </c>
      <c r="P645">
        <v>1490</v>
      </c>
      <c r="Q645">
        <v>167</v>
      </c>
      <c r="R645">
        <v>88</v>
      </c>
      <c r="S645">
        <v>49</v>
      </c>
      <c r="T645">
        <v>261</v>
      </c>
      <c r="U645">
        <v>14</v>
      </c>
      <c r="V645">
        <v>136</v>
      </c>
      <c r="W645">
        <v>0.29099999999999998</v>
      </c>
      <c r="X645">
        <v>80</v>
      </c>
      <c r="Y645">
        <v>63</v>
      </c>
      <c r="Z645">
        <v>182</v>
      </c>
      <c r="AA645">
        <v>7</v>
      </c>
      <c r="AB645">
        <v>7</v>
      </c>
      <c r="AC645" t="s">
        <v>160</v>
      </c>
      <c r="AG645" t="s">
        <v>3911</v>
      </c>
      <c r="AH645" t="s">
        <v>1191</v>
      </c>
      <c r="AI645" s="245">
        <v>469.95</v>
      </c>
      <c r="AJ645" t="s">
        <v>4327</v>
      </c>
      <c r="AK645" t="s">
        <v>3739</v>
      </c>
      <c r="AL645" t="s">
        <v>1194</v>
      </c>
      <c r="AM645" s="245">
        <v>506.21</v>
      </c>
      <c r="AN645" t="s">
        <v>4328</v>
      </c>
      <c r="AO645" t="s">
        <v>3913</v>
      </c>
      <c r="AP645" t="s">
        <v>1218</v>
      </c>
      <c r="AQ645" s="245">
        <v>559.95000000000005</v>
      </c>
      <c r="AR645" t="s">
        <v>4329</v>
      </c>
      <c r="AS645" s="226" t="str">
        <f t="shared" si="20"/>
        <v>Experience 82 Ti</v>
      </c>
      <c r="AT645" s="203" t="str">
        <f t="shared" si="21"/>
        <v xml:space="preserve"> RossignolExperience 82 Ti160 Unisex</v>
      </c>
    </row>
    <row r="646" spans="1:46" ht="52.8">
      <c r="A646" t="s">
        <v>155</v>
      </c>
      <c r="B646" t="s">
        <v>205</v>
      </c>
      <c r="C646" t="s">
        <v>242</v>
      </c>
      <c r="D646">
        <v>184</v>
      </c>
      <c r="E646" t="s">
        <v>158</v>
      </c>
      <c r="F646">
        <v>184</v>
      </c>
      <c r="G646">
        <v>182.3</v>
      </c>
      <c r="H646">
        <v>113</v>
      </c>
      <c r="I646">
        <v>153</v>
      </c>
      <c r="J646">
        <v>139</v>
      </c>
      <c r="K646">
        <v>111</v>
      </c>
      <c r="L646">
        <v>133</v>
      </c>
      <c r="M646">
        <v>21.9</v>
      </c>
      <c r="N646">
        <v>2007</v>
      </c>
      <c r="O646">
        <v>1.0900000000000001</v>
      </c>
      <c r="P646">
        <v>2189</v>
      </c>
      <c r="Q646">
        <v>237</v>
      </c>
      <c r="R646">
        <v>115</v>
      </c>
      <c r="S646">
        <v>57</v>
      </c>
      <c r="T646">
        <v>370</v>
      </c>
      <c r="U646">
        <v>52</v>
      </c>
      <c r="V646">
        <v>325</v>
      </c>
      <c r="W646">
        <v>0.92200000000000004</v>
      </c>
      <c r="X646">
        <v>158</v>
      </c>
      <c r="Y646">
        <v>132</v>
      </c>
      <c r="Z646">
        <v>212</v>
      </c>
      <c r="AA646">
        <v>5</v>
      </c>
      <c r="AB646">
        <v>6.1</v>
      </c>
      <c r="AC646" t="s">
        <v>184</v>
      </c>
      <c r="AD646" t="s">
        <v>169</v>
      </c>
      <c r="AE646" t="s">
        <v>185</v>
      </c>
      <c r="AG646" t="s">
        <v>4330</v>
      </c>
      <c r="AH646" t="s">
        <v>1271</v>
      </c>
      <c r="AI646" s="245">
        <v>639.92999999999995</v>
      </c>
      <c r="AJ646" t="s">
        <v>4331</v>
      </c>
      <c r="AK646" t="s">
        <v>4330</v>
      </c>
      <c r="AL646" t="s">
        <v>1262</v>
      </c>
      <c r="AM646" s="245">
        <v>646.58000000000004</v>
      </c>
      <c r="AN646" t="s">
        <v>4332</v>
      </c>
      <c r="AO646" t="s">
        <v>4333</v>
      </c>
      <c r="AP646" t="s">
        <v>1265</v>
      </c>
      <c r="AQ646" s="245">
        <v>448.15</v>
      </c>
      <c r="AR646" t="s">
        <v>4334</v>
      </c>
      <c r="AS646" s="226" t="str">
        <f t="shared" si="20"/>
        <v>CT 3.0</v>
      </c>
      <c r="AT646" s="203" t="str">
        <f t="shared" si="21"/>
        <v xml:space="preserve"> FactionCT 3.0184 Unisex</v>
      </c>
    </row>
    <row r="647" spans="1:46" ht="66">
      <c r="A647" t="s">
        <v>155</v>
      </c>
      <c r="B647" t="s">
        <v>1395</v>
      </c>
      <c r="C647" t="s">
        <v>575</v>
      </c>
      <c r="D647">
        <v>177</v>
      </c>
      <c r="E647" t="s">
        <v>158</v>
      </c>
      <c r="F647">
        <v>177</v>
      </c>
      <c r="G647">
        <v>173.4</v>
      </c>
      <c r="H647">
        <v>139</v>
      </c>
      <c r="I647">
        <v>152</v>
      </c>
      <c r="J647">
        <v>115</v>
      </c>
      <c r="K647">
        <v>86</v>
      </c>
      <c r="L647">
        <v>114</v>
      </c>
      <c r="M647">
        <v>20</v>
      </c>
      <c r="N647">
        <v>1911</v>
      </c>
      <c r="O647">
        <v>0.87</v>
      </c>
      <c r="P647">
        <v>1670</v>
      </c>
      <c r="Q647">
        <v>234</v>
      </c>
      <c r="R647">
        <v>113</v>
      </c>
      <c r="S647">
        <v>45</v>
      </c>
      <c r="T647">
        <v>175</v>
      </c>
      <c r="U647">
        <v>42</v>
      </c>
      <c r="V647">
        <v>167</v>
      </c>
      <c r="W647">
        <v>0.94099999999999995</v>
      </c>
      <c r="X647">
        <v>103</v>
      </c>
      <c r="Y647">
        <v>108</v>
      </c>
      <c r="Z647">
        <v>72</v>
      </c>
      <c r="AA647">
        <v>6</v>
      </c>
      <c r="AB647">
        <v>0.5</v>
      </c>
      <c r="AC647" t="s">
        <v>184</v>
      </c>
      <c r="AG647" t="s">
        <v>3127</v>
      </c>
      <c r="AH647" t="s">
        <v>1262</v>
      </c>
      <c r="AI647" s="245">
        <v>387.05</v>
      </c>
      <c r="AJ647" t="s">
        <v>4335</v>
      </c>
      <c r="AK647" t="s">
        <v>4336</v>
      </c>
      <c r="AL647" t="s">
        <v>1204</v>
      </c>
      <c r="AM647" s="245">
        <v>440.94</v>
      </c>
      <c r="AN647" t="s">
        <v>4337</v>
      </c>
      <c r="AO647" t="s">
        <v>3997</v>
      </c>
      <c r="AP647" t="s">
        <v>1194</v>
      </c>
      <c r="AQ647" s="245">
        <v>322.69</v>
      </c>
      <c r="AR647" t="s">
        <v>4338</v>
      </c>
      <c r="AS647" s="226" t="str">
        <f t="shared" si="20"/>
        <v>Revolt 87</v>
      </c>
      <c r="AT647" s="203" t="str">
        <f t="shared" si="21"/>
        <v xml:space="preserve"> Vï¿½lklRevolt 87177 Unisex</v>
      </c>
    </row>
    <row r="648" spans="1:46" ht="79.2">
      <c r="A648" t="s">
        <v>155</v>
      </c>
      <c r="B648" t="s">
        <v>164</v>
      </c>
      <c r="C648" t="s">
        <v>714</v>
      </c>
      <c r="D648">
        <v>152</v>
      </c>
      <c r="E648" t="s">
        <v>163</v>
      </c>
      <c r="F648">
        <v>152</v>
      </c>
      <c r="G648">
        <v>152.80000000000001</v>
      </c>
      <c r="H648">
        <v>134</v>
      </c>
      <c r="I648">
        <v>142</v>
      </c>
      <c r="J648">
        <v>121</v>
      </c>
      <c r="K648">
        <v>72</v>
      </c>
      <c r="L648">
        <v>103</v>
      </c>
      <c r="M648">
        <v>12.3</v>
      </c>
      <c r="N648">
        <v>1690</v>
      </c>
      <c r="O648">
        <v>0.79</v>
      </c>
      <c r="P648">
        <v>1337</v>
      </c>
      <c r="Q648">
        <v>183</v>
      </c>
      <c r="R648">
        <v>72</v>
      </c>
      <c r="S648">
        <v>41</v>
      </c>
      <c r="T648">
        <v>136</v>
      </c>
      <c r="U648">
        <v>4</v>
      </c>
      <c r="V648">
        <v>49</v>
      </c>
      <c r="W648">
        <v>9.6000000000000002E-2</v>
      </c>
      <c r="X648">
        <v>74</v>
      </c>
      <c r="Y648">
        <v>39</v>
      </c>
      <c r="Z648">
        <v>63</v>
      </c>
      <c r="AA648">
        <v>6</v>
      </c>
      <c r="AB648">
        <v>10.1</v>
      </c>
      <c r="AC648" t="s">
        <v>349</v>
      </c>
      <c r="AG648" t="s">
        <v>4339</v>
      </c>
      <c r="AH648" t="s">
        <v>3196</v>
      </c>
      <c r="AI648" s="245">
        <v>899.99</v>
      </c>
      <c r="AJ648" t="s">
        <v>4340</v>
      </c>
      <c r="AK648" t="s">
        <v>3637</v>
      </c>
      <c r="AL648" t="s">
        <v>1194</v>
      </c>
      <c r="AM648" s="245">
        <v>414</v>
      </c>
      <c r="AN648" t="s">
        <v>4341</v>
      </c>
      <c r="AO648" t="s">
        <v>3637</v>
      </c>
      <c r="AP648" t="s">
        <v>1191</v>
      </c>
      <c r="AQ648" s="245">
        <v>424.95</v>
      </c>
      <c r="AR648" t="s">
        <v>4342</v>
      </c>
      <c r="AS648" s="226" t="str">
        <f t="shared" si="20"/>
        <v>Insomnia 16 Ti</v>
      </c>
      <c r="AT648" s="203" t="str">
        <f t="shared" si="21"/>
        <v xml:space="preserve"> ElanInsomnia 16 Ti152 Women's</v>
      </c>
    </row>
    <row r="649" spans="1:46" ht="52.8">
      <c r="A649" t="s">
        <v>155</v>
      </c>
      <c r="B649" t="s">
        <v>1395</v>
      </c>
      <c r="C649" t="s">
        <v>445</v>
      </c>
      <c r="D649">
        <v>164</v>
      </c>
      <c r="E649" t="s">
        <v>163</v>
      </c>
      <c r="F649">
        <v>164</v>
      </c>
      <c r="G649">
        <v>162.5</v>
      </c>
      <c r="H649">
        <v>110</v>
      </c>
      <c r="I649">
        <v>147</v>
      </c>
      <c r="J649">
        <v>120</v>
      </c>
      <c r="K649">
        <v>86</v>
      </c>
      <c r="L649">
        <v>110</v>
      </c>
      <c r="M649">
        <v>18.2</v>
      </c>
      <c r="N649">
        <v>1600</v>
      </c>
      <c r="O649">
        <v>0.98</v>
      </c>
      <c r="P649">
        <v>1562</v>
      </c>
      <c r="Q649">
        <v>171</v>
      </c>
      <c r="R649">
        <v>78</v>
      </c>
      <c r="S649">
        <v>41</v>
      </c>
      <c r="T649">
        <v>269</v>
      </c>
      <c r="U649">
        <v>40</v>
      </c>
      <c r="V649">
        <v>254</v>
      </c>
      <c r="W649">
        <v>0.97299999999999998</v>
      </c>
      <c r="X649">
        <v>78</v>
      </c>
      <c r="Y649">
        <v>76</v>
      </c>
      <c r="Z649">
        <v>191</v>
      </c>
      <c r="AA649">
        <v>2</v>
      </c>
      <c r="AB649">
        <v>2.2000000000000002</v>
      </c>
      <c r="AC649" t="s">
        <v>184</v>
      </c>
      <c r="AG649" t="s">
        <v>4343</v>
      </c>
      <c r="AH649" t="s">
        <v>1211</v>
      </c>
      <c r="AI649" s="245">
        <v>399.99</v>
      </c>
      <c r="AJ649" t="s">
        <v>4344</v>
      </c>
      <c r="AK649" t="s">
        <v>3765</v>
      </c>
      <c r="AL649" t="s">
        <v>1229</v>
      </c>
      <c r="AM649" s="245">
        <v>319.99</v>
      </c>
      <c r="AN649" t="s">
        <v>4345</v>
      </c>
      <c r="AO649" t="s">
        <v>3767</v>
      </c>
      <c r="AP649" t="s">
        <v>1204</v>
      </c>
      <c r="AQ649" s="245">
        <v>320.68</v>
      </c>
      <c r="AR649" t="s">
        <v>4346</v>
      </c>
      <c r="AS649" s="226" t="str">
        <f t="shared" si="20"/>
        <v>Bash 86 W</v>
      </c>
      <c r="AT649" s="203" t="str">
        <f t="shared" si="21"/>
        <v xml:space="preserve"> Vï¿½lklBash 86 W164 Women's</v>
      </c>
    </row>
    <row r="650" spans="1:46" ht="105.6">
      <c r="A650" t="s">
        <v>155</v>
      </c>
      <c r="B650" t="s">
        <v>156</v>
      </c>
      <c r="C650" t="s">
        <v>715</v>
      </c>
      <c r="D650">
        <v>160</v>
      </c>
      <c r="E650" t="s">
        <v>163</v>
      </c>
      <c r="F650">
        <v>160</v>
      </c>
      <c r="G650">
        <v>159.30000000000001</v>
      </c>
      <c r="H650">
        <v>138</v>
      </c>
      <c r="I650">
        <v>145</v>
      </c>
      <c r="J650">
        <v>122</v>
      </c>
      <c r="K650">
        <v>74</v>
      </c>
      <c r="L650">
        <v>106</v>
      </c>
      <c r="M650">
        <v>13</v>
      </c>
      <c r="N650">
        <v>1544</v>
      </c>
      <c r="O650">
        <v>0.92</v>
      </c>
      <c r="P650">
        <v>1425</v>
      </c>
      <c r="Q650">
        <v>180</v>
      </c>
      <c r="R650">
        <v>65</v>
      </c>
      <c r="S650">
        <v>39</v>
      </c>
      <c r="T650">
        <v>149</v>
      </c>
      <c r="U650">
        <v>5</v>
      </c>
      <c r="V650">
        <v>59</v>
      </c>
      <c r="W650">
        <v>0.121</v>
      </c>
      <c r="X650">
        <v>83</v>
      </c>
      <c r="Y650">
        <v>56</v>
      </c>
      <c r="Z650">
        <v>66</v>
      </c>
      <c r="AA650">
        <v>3</v>
      </c>
      <c r="AB650">
        <v>13.2</v>
      </c>
      <c r="AC650" t="s">
        <v>349</v>
      </c>
      <c r="AG650" t="s">
        <v>4347</v>
      </c>
      <c r="AH650" t="s">
        <v>1229</v>
      </c>
      <c r="AI650" s="245">
        <v>509.99</v>
      </c>
      <c r="AJ650" t="s">
        <v>4348</v>
      </c>
      <c r="AK650" t="s">
        <v>4347</v>
      </c>
      <c r="AL650" t="s">
        <v>1179</v>
      </c>
      <c r="AM650" s="245">
        <v>559.99</v>
      </c>
      <c r="AN650" t="s">
        <v>4349</v>
      </c>
      <c r="AO650" t="s">
        <v>4347</v>
      </c>
      <c r="AP650" t="s">
        <v>3959</v>
      </c>
      <c r="AQ650" s="245">
        <v>699.95</v>
      </c>
      <c r="AR650" t="s">
        <v>4350</v>
      </c>
      <c r="AS650" s="226" t="str">
        <f t="shared" si="20"/>
        <v>Cloud C11 WB</v>
      </c>
      <c r="AT650" s="203" t="str">
        <f t="shared" si="21"/>
        <v xml:space="preserve"> AtomicCloud C11 WB160 Women's</v>
      </c>
    </row>
    <row r="651" spans="1:46" ht="118.8">
      <c r="A651" t="s">
        <v>155</v>
      </c>
      <c r="B651" t="s">
        <v>1395</v>
      </c>
      <c r="C651" t="s">
        <v>716</v>
      </c>
      <c r="D651">
        <v>147</v>
      </c>
      <c r="E651" t="s">
        <v>163</v>
      </c>
      <c r="F651">
        <v>147</v>
      </c>
      <c r="G651">
        <v>148</v>
      </c>
      <c r="H651">
        <v>130</v>
      </c>
      <c r="I651">
        <v>136</v>
      </c>
      <c r="J651">
        <v>125</v>
      </c>
      <c r="K651">
        <v>74</v>
      </c>
      <c r="L651">
        <v>104</v>
      </c>
      <c r="M651">
        <v>11.3</v>
      </c>
      <c r="N651">
        <v>1633</v>
      </c>
      <c r="O651">
        <v>0.81</v>
      </c>
      <c r="P651">
        <v>1324</v>
      </c>
      <c r="Q651">
        <v>158</v>
      </c>
      <c r="R651">
        <v>61</v>
      </c>
      <c r="S651">
        <v>33</v>
      </c>
      <c r="T651">
        <v>124</v>
      </c>
      <c r="U651">
        <v>5</v>
      </c>
      <c r="V651">
        <v>53</v>
      </c>
      <c r="W651">
        <v>0.16300000000000001</v>
      </c>
      <c r="X651">
        <v>65</v>
      </c>
      <c r="Y651">
        <v>57</v>
      </c>
      <c r="Z651">
        <v>59</v>
      </c>
      <c r="AA651">
        <v>6</v>
      </c>
      <c r="AB651">
        <v>11.4</v>
      </c>
      <c r="AC651" t="s">
        <v>349</v>
      </c>
      <c r="AG651" t="s">
        <v>4351</v>
      </c>
      <c r="AH651" t="s">
        <v>1185</v>
      </c>
      <c r="AI651" s="245">
        <v>489.99</v>
      </c>
      <c r="AJ651" t="s">
        <v>4352</v>
      </c>
      <c r="AK651" t="s">
        <v>4353</v>
      </c>
      <c r="AL651" t="s">
        <v>1229</v>
      </c>
      <c r="AM651" s="245">
        <v>559.99</v>
      </c>
      <c r="AN651" t="s">
        <v>4354</v>
      </c>
      <c r="AO651" t="s">
        <v>4355</v>
      </c>
      <c r="AP651" t="s">
        <v>1179</v>
      </c>
      <c r="AQ651" s="245">
        <v>559.99</v>
      </c>
      <c r="AR651" t="s">
        <v>4356</v>
      </c>
      <c r="AS651" s="226" t="str">
        <f t="shared" si="20"/>
        <v>Flair 75</v>
      </c>
      <c r="AT651" s="203" t="str">
        <f t="shared" si="21"/>
        <v xml:space="preserve"> Vï¿½lklFlair 75147 Women's</v>
      </c>
    </row>
    <row r="652" spans="1:46" ht="158.4">
      <c r="A652" t="s">
        <v>155</v>
      </c>
      <c r="B652" t="s">
        <v>174</v>
      </c>
      <c r="C652" t="s">
        <v>622</v>
      </c>
      <c r="D652">
        <v>153</v>
      </c>
      <c r="E652" t="s">
        <v>163</v>
      </c>
      <c r="F652">
        <v>153</v>
      </c>
      <c r="G652">
        <v>152.19999999999999</v>
      </c>
      <c r="H652">
        <v>115</v>
      </c>
      <c r="I652">
        <v>128</v>
      </c>
      <c r="J652">
        <v>127</v>
      </c>
      <c r="K652">
        <v>92</v>
      </c>
      <c r="L652">
        <v>110</v>
      </c>
      <c r="M652">
        <v>13.2</v>
      </c>
      <c r="N652">
        <v>1584</v>
      </c>
      <c r="O652">
        <v>1</v>
      </c>
      <c r="P652">
        <v>1576</v>
      </c>
      <c r="Q652">
        <v>160</v>
      </c>
      <c r="R652">
        <v>78</v>
      </c>
      <c r="S652">
        <v>55</v>
      </c>
      <c r="T652">
        <v>262</v>
      </c>
      <c r="U652">
        <v>13</v>
      </c>
      <c r="V652">
        <v>107</v>
      </c>
      <c r="W652">
        <v>0.24</v>
      </c>
      <c r="X652">
        <v>136</v>
      </c>
      <c r="Y652">
        <v>106</v>
      </c>
      <c r="Z652">
        <v>125</v>
      </c>
      <c r="AA652">
        <v>10</v>
      </c>
      <c r="AB652">
        <v>7.7</v>
      </c>
      <c r="AC652" t="s">
        <v>188</v>
      </c>
      <c r="AG652" t="s">
        <v>2293</v>
      </c>
      <c r="AH652" t="s">
        <v>2294</v>
      </c>
      <c r="AI652" s="245">
        <v>325</v>
      </c>
      <c r="AJ652" t="s">
        <v>4357</v>
      </c>
      <c r="AK652" t="s">
        <v>4358</v>
      </c>
      <c r="AL652" t="s">
        <v>2229</v>
      </c>
      <c r="AM652" s="245">
        <v>375</v>
      </c>
      <c r="AN652" t="s">
        <v>4359</v>
      </c>
      <c r="AO652" t="s">
        <v>1575</v>
      </c>
      <c r="AP652" t="s">
        <v>1232</v>
      </c>
      <c r="AQ652" s="245">
        <v>399.95</v>
      </c>
      <c r="AR652" t="s">
        <v>4360</v>
      </c>
      <c r="AS652" s="226" t="str">
        <f t="shared" si="20"/>
        <v>QST Lux 92</v>
      </c>
      <c r="AT652" s="203" t="str">
        <f t="shared" si="21"/>
        <v xml:space="preserve"> SalomonQST Lux 92153 Women's</v>
      </c>
    </row>
    <row r="653" spans="1:46" ht="52.8">
      <c r="A653" t="s">
        <v>155</v>
      </c>
      <c r="B653" t="s">
        <v>164</v>
      </c>
      <c r="C653" t="s">
        <v>635</v>
      </c>
      <c r="D653">
        <v>172</v>
      </c>
      <c r="E653" t="s">
        <v>158</v>
      </c>
      <c r="F653">
        <v>172</v>
      </c>
      <c r="G653">
        <v>170.4</v>
      </c>
      <c r="H653">
        <v>128</v>
      </c>
      <c r="I653">
        <v>138</v>
      </c>
      <c r="J653">
        <v>129</v>
      </c>
      <c r="K653">
        <v>87</v>
      </c>
      <c r="L653">
        <v>104</v>
      </c>
      <c r="M653">
        <v>15.4</v>
      </c>
      <c r="N653">
        <v>1539</v>
      </c>
      <c r="O653">
        <v>1.1100000000000001</v>
      </c>
      <c r="P653">
        <v>1713</v>
      </c>
      <c r="Q653">
        <v>182</v>
      </c>
      <c r="R653">
        <v>67</v>
      </c>
      <c r="S653">
        <v>49</v>
      </c>
      <c r="T653">
        <v>233</v>
      </c>
      <c r="U653">
        <v>16</v>
      </c>
      <c r="V653">
        <v>191</v>
      </c>
      <c r="W653">
        <v>0.32400000000000001</v>
      </c>
      <c r="X653">
        <v>152</v>
      </c>
      <c r="Y653">
        <v>167</v>
      </c>
      <c r="Z653">
        <v>81</v>
      </c>
      <c r="AA653">
        <v>4</v>
      </c>
      <c r="AB653">
        <v>9.3000000000000007</v>
      </c>
      <c r="AC653" t="s">
        <v>188</v>
      </c>
      <c r="AD653" t="s">
        <v>185</v>
      </c>
      <c r="AG653" t="s">
        <v>4361</v>
      </c>
      <c r="AH653" t="s">
        <v>1271</v>
      </c>
      <c r="AI653" s="245">
        <v>499.95</v>
      </c>
      <c r="AJ653" t="s">
        <v>4362</v>
      </c>
      <c r="AK653" t="s">
        <v>4361</v>
      </c>
      <c r="AL653" t="s">
        <v>4363</v>
      </c>
      <c r="AM653" s="245">
        <v>599.99</v>
      </c>
      <c r="AN653" t="s">
        <v>4364</v>
      </c>
      <c r="AO653" t="s">
        <v>4361</v>
      </c>
      <c r="AP653" t="s">
        <v>3596</v>
      </c>
      <c r="AQ653" s="245">
        <v>750</v>
      </c>
      <c r="AR653" t="s">
        <v>4365</v>
      </c>
      <c r="AS653" s="226" t="str">
        <f t="shared" si="20"/>
        <v>Ripstick 88</v>
      </c>
      <c r="AT653" s="203" t="str">
        <f t="shared" si="21"/>
        <v xml:space="preserve"> ElanRipstick 88172 Unisex</v>
      </c>
    </row>
    <row r="654" spans="1:46" ht="105.6">
      <c r="A654" t="s">
        <v>155</v>
      </c>
      <c r="B654" t="s">
        <v>164</v>
      </c>
      <c r="C654" t="s">
        <v>484</v>
      </c>
      <c r="D654">
        <v>158</v>
      </c>
      <c r="E654" t="s">
        <v>163</v>
      </c>
      <c r="F654">
        <v>158</v>
      </c>
      <c r="G654">
        <v>159.30000000000001</v>
      </c>
      <c r="H654">
        <v>126</v>
      </c>
      <c r="I654">
        <v>139</v>
      </c>
      <c r="J654">
        <v>129</v>
      </c>
      <c r="K654">
        <v>81</v>
      </c>
      <c r="L654">
        <v>112</v>
      </c>
      <c r="M654">
        <v>12</v>
      </c>
      <c r="N654">
        <v>1737</v>
      </c>
      <c r="O654">
        <v>0.89</v>
      </c>
      <c r="P654">
        <v>1543</v>
      </c>
      <c r="Q654">
        <v>192</v>
      </c>
      <c r="R654">
        <v>75</v>
      </c>
      <c r="S654">
        <v>45</v>
      </c>
      <c r="T654">
        <v>196</v>
      </c>
      <c r="U654">
        <v>11</v>
      </c>
      <c r="V654">
        <v>133</v>
      </c>
      <c r="W654">
        <v>0.24</v>
      </c>
      <c r="X654">
        <v>110</v>
      </c>
      <c r="Y654">
        <v>94</v>
      </c>
      <c r="Z654">
        <v>86</v>
      </c>
      <c r="AA654">
        <v>6</v>
      </c>
      <c r="AB654">
        <v>8.4</v>
      </c>
      <c r="AC654" t="s">
        <v>231</v>
      </c>
      <c r="AD654" t="s">
        <v>188</v>
      </c>
      <c r="AG654" t="s">
        <v>4366</v>
      </c>
      <c r="AH654" t="s">
        <v>1194</v>
      </c>
      <c r="AI654" s="245">
        <v>414</v>
      </c>
      <c r="AJ654" t="s">
        <v>4367</v>
      </c>
      <c r="AK654" t="s">
        <v>3947</v>
      </c>
      <c r="AL654" t="s">
        <v>1277</v>
      </c>
      <c r="AM654" s="245">
        <v>359.99</v>
      </c>
      <c r="AN654" t="s">
        <v>4368</v>
      </c>
      <c r="AO654" t="s">
        <v>4369</v>
      </c>
      <c r="AP654" t="s">
        <v>3990</v>
      </c>
      <c r="AQ654" s="245">
        <v>399.99</v>
      </c>
      <c r="AR654" t="s">
        <v>4370</v>
      </c>
      <c r="AS654" s="226" t="str">
        <f t="shared" si="20"/>
        <v>Wildcat 82 CX</v>
      </c>
      <c r="AT654" s="203" t="str">
        <f t="shared" si="21"/>
        <v xml:space="preserve"> ElanWildcat 82 CX158 Women's</v>
      </c>
    </row>
    <row r="655" spans="1:46" ht="79.2">
      <c r="A655" t="s">
        <v>155</v>
      </c>
      <c r="B655" t="s">
        <v>167</v>
      </c>
      <c r="C655" t="s">
        <v>677</v>
      </c>
      <c r="D655">
        <v>163</v>
      </c>
      <c r="E655" t="s">
        <v>158</v>
      </c>
      <c r="F655">
        <v>163</v>
      </c>
      <c r="G655">
        <v>162.6</v>
      </c>
      <c r="H655">
        <v>143</v>
      </c>
      <c r="I655">
        <v>150</v>
      </c>
      <c r="J655">
        <v>130</v>
      </c>
      <c r="K655">
        <v>72</v>
      </c>
      <c r="L655">
        <v>111</v>
      </c>
      <c r="M655">
        <v>11.4</v>
      </c>
      <c r="N655">
        <v>1796</v>
      </c>
      <c r="O655">
        <v>0.82</v>
      </c>
      <c r="P655">
        <v>1468</v>
      </c>
      <c r="Q655">
        <v>158</v>
      </c>
      <c r="R655">
        <v>78</v>
      </c>
      <c r="S655">
        <v>33</v>
      </c>
      <c r="T655">
        <v>138</v>
      </c>
      <c r="U655">
        <v>7</v>
      </c>
      <c r="V655">
        <v>57</v>
      </c>
      <c r="W655">
        <v>0.214</v>
      </c>
      <c r="X655">
        <v>83</v>
      </c>
      <c r="Y655">
        <v>48</v>
      </c>
      <c r="Z655">
        <v>55</v>
      </c>
      <c r="AA655">
        <v>12</v>
      </c>
      <c r="AB655">
        <v>12.8</v>
      </c>
      <c r="AC655" t="s">
        <v>349</v>
      </c>
      <c r="AG655" t="s">
        <v>4371</v>
      </c>
      <c r="AH655" t="s">
        <v>1185</v>
      </c>
      <c r="AI655" s="245">
        <v>349.99</v>
      </c>
      <c r="AJ655" t="s">
        <v>4372</v>
      </c>
      <c r="AK655" t="s">
        <v>4371</v>
      </c>
      <c r="AL655" t="s">
        <v>4009</v>
      </c>
      <c r="AM655" s="245">
        <v>419.98</v>
      </c>
      <c r="AN655" t="s">
        <v>4373</v>
      </c>
      <c r="AO655" t="s">
        <v>4371</v>
      </c>
      <c r="AP655" t="s">
        <v>1277</v>
      </c>
      <c r="AQ655" s="245">
        <v>499</v>
      </c>
      <c r="AR655" t="s">
        <v>4374</v>
      </c>
      <c r="AS655" s="226" t="str">
        <f t="shared" si="20"/>
        <v>V-Shape V4</v>
      </c>
      <c r="AT655" s="203" t="str">
        <f t="shared" si="21"/>
        <v xml:space="preserve"> HeadV-Shape V4163 Unisex</v>
      </c>
    </row>
    <row r="656" spans="1:46" ht="79.2">
      <c r="A656" t="s">
        <v>155</v>
      </c>
      <c r="B656" t="s">
        <v>317</v>
      </c>
      <c r="C656" t="s">
        <v>571</v>
      </c>
      <c r="D656">
        <v>157</v>
      </c>
      <c r="E656" t="s">
        <v>163</v>
      </c>
      <c r="F656">
        <v>157</v>
      </c>
      <c r="G656">
        <v>155.69999999999999</v>
      </c>
      <c r="H656">
        <v>104</v>
      </c>
      <c r="I656">
        <v>127</v>
      </c>
      <c r="J656">
        <v>122</v>
      </c>
      <c r="K656">
        <v>91</v>
      </c>
      <c r="L656">
        <v>112</v>
      </c>
      <c r="M656">
        <v>13.9</v>
      </c>
      <c r="N656">
        <v>1689</v>
      </c>
      <c r="O656">
        <v>0.94</v>
      </c>
      <c r="P656">
        <v>1585</v>
      </c>
      <c r="Q656">
        <v>161</v>
      </c>
      <c r="R656">
        <v>83</v>
      </c>
      <c r="S656">
        <v>63</v>
      </c>
      <c r="T656">
        <v>307</v>
      </c>
      <c r="U656">
        <v>28</v>
      </c>
      <c r="V656">
        <v>206</v>
      </c>
      <c r="W656">
        <v>0.442</v>
      </c>
      <c r="X656">
        <v>146</v>
      </c>
      <c r="Y656">
        <v>137</v>
      </c>
      <c r="Z656">
        <v>160</v>
      </c>
      <c r="AA656">
        <v>4</v>
      </c>
      <c r="AB656">
        <v>6.3</v>
      </c>
      <c r="AC656" t="s">
        <v>188</v>
      </c>
      <c r="AG656" t="s">
        <v>3089</v>
      </c>
      <c r="AH656" t="s">
        <v>1280</v>
      </c>
      <c r="AI656" s="245">
        <v>479.93</v>
      </c>
      <c r="AJ656" t="s">
        <v>4375</v>
      </c>
      <c r="AK656" t="s">
        <v>3089</v>
      </c>
      <c r="AL656" t="s">
        <v>1400</v>
      </c>
      <c r="AM656" s="245">
        <v>479.95</v>
      </c>
      <c r="AN656" t="s">
        <v>4376</v>
      </c>
      <c r="AO656" t="s">
        <v>4377</v>
      </c>
      <c r="AP656" t="s">
        <v>1289</v>
      </c>
      <c r="AQ656" s="245">
        <v>479.95</v>
      </c>
      <c r="AR656" t="s">
        <v>4378</v>
      </c>
      <c r="AS656" s="226" t="str">
        <f t="shared" si="20"/>
        <v>Sheeva 9</v>
      </c>
      <c r="AT656" s="203" t="str">
        <f t="shared" si="21"/>
        <v xml:space="preserve"> BlizzardSheeva 9157 Women's</v>
      </c>
    </row>
    <row r="657" spans="1:46" ht="132">
      <c r="A657" t="s">
        <v>155</v>
      </c>
      <c r="B657" t="s">
        <v>1395</v>
      </c>
      <c r="C657" t="s">
        <v>348</v>
      </c>
      <c r="D657">
        <v>170</v>
      </c>
      <c r="E657" t="s">
        <v>158</v>
      </c>
      <c r="F657">
        <v>170</v>
      </c>
      <c r="G657">
        <v>169.3</v>
      </c>
      <c r="H657">
        <v>144</v>
      </c>
      <c r="I657">
        <v>157</v>
      </c>
      <c r="J657">
        <v>128</v>
      </c>
      <c r="K657">
        <v>78</v>
      </c>
      <c r="L657">
        <v>108</v>
      </c>
      <c r="M657">
        <v>15.5</v>
      </c>
      <c r="N657">
        <v>1717</v>
      </c>
      <c r="O657">
        <v>0.91</v>
      </c>
      <c r="P657">
        <v>1568</v>
      </c>
      <c r="Q657">
        <v>189</v>
      </c>
      <c r="R657">
        <v>73</v>
      </c>
      <c r="S657">
        <v>35</v>
      </c>
      <c r="T657">
        <v>174</v>
      </c>
      <c r="U657">
        <v>5</v>
      </c>
      <c r="V657">
        <v>83</v>
      </c>
      <c r="W657">
        <v>0.13600000000000001</v>
      </c>
      <c r="X657">
        <v>69</v>
      </c>
      <c r="Y657">
        <v>51</v>
      </c>
      <c r="Z657">
        <v>105</v>
      </c>
      <c r="AA657">
        <v>10</v>
      </c>
      <c r="AB657">
        <v>11.4</v>
      </c>
      <c r="AC657" t="s">
        <v>349</v>
      </c>
      <c r="AG657" t="s">
        <v>4379</v>
      </c>
      <c r="AH657" t="s">
        <v>4380</v>
      </c>
      <c r="AI657" s="245">
        <v>799.95</v>
      </c>
      <c r="AJ657" t="s">
        <v>4381</v>
      </c>
      <c r="AK657" t="s">
        <v>4382</v>
      </c>
      <c r="AL657" t="s">
        <v>1179</v>
      </c>
      <c r="AM657" s="245">
        <v>799.99</v>
      </c>
      <c r="AN657" t="s">
        <v>4383</v>
      </c>
      <c r="AO657" t="s">
        <v>4384</v>
      </c>
      <c r="AP657" t="s">
        <v>1326</v>
      </c>
      <c r="AQ657" s="245">
        <v>593.48</v>
      </c>
      <c r="AR657" t="s">
        <v>4385</v>
      </c>
      <c r="AS657" s="226" t="str">
        <f t="shared" si="20"/>
        <v>Deacon 79</v>
      </c>
      <c r="AT657" s="203" t="str">
        <f t="shared" si="21"/>
        <v xml:space="preserve"> Vï¿½lklDeacon 79170 Unisex</v>
      </c>
    </row>
    <row r="658" spans="1:46" ht="105.6">
      <c r="A658" t="s">
        <v>155</v>
      </c>
      <c r="B658" t="s">
        <v>164</v>
      </c>
      <c r="C658" t="s">
        <v>714</v>
      </c>
      <c r="D658">
        <v>164</v>
      </c>
      <c r="E658" t="s">
        <v>163</v>
      </c>
      <c r="F658">
        <v>164</v>
      </c>
      <c r="G658">
        <v>164.9</v>
      </c>
      <c r="H658">
        <v>147</v>
      </c>
      <c r="I658">
        <v>153</v>
      </c>
      <c r="J658">
        <v>121</v>
      </c>
      <c r="K658">
        <v>73</v>
      </c>
      <c r="L658">
        <v>104</v>
      </c>
      <c r="M658">
        <v>14.6</v>
      </c>
      <c r="N658">
        <v>1813</v>
      </c>
      <c r="O658">
        <v>0.8</v>
      </c>
      <c r="P658">
        <v>1444</v>
      </c>
      <c r="Q658">
        <v>207</v>
      </c>
      <c r="R658">
        <v>79</v>
      </c>
      <c r="S658">
        <v>41</v>
      </c>
      <c r="T658">
        <v>138</v>
      </c>
      <c r="U658">
        <v>3</v>
      </c>
      <c r="V658">
        <v>46</v>
      </c>
      <c r="W658">
        <v>6.9000000000000006E-2</v>
      </c>
      <c r="X658">
        <v>82</v>
      </c>
      <c r="Y658">
        <v>38</v>
      </c>
      <c r="Z658">
        <v>56</v>
      </c>
      <c r="AA658">
        <v>9</v>
      </c>
      <c r="AB658">
        <v>9.6</v>
      </c>
      <c r="AC658" t="s">
        <v>349</v>
      </c>
      <c r="AG658" t="s">
        <v>4386</v>
      </c>
      <c r="AH658" t="s">
        <v>1194</v>
      </c>
      <c r="AI658" s="245">
        <v>450.88</v>
      </c>
      <c r="AJ658" t="s">
        <v>4387</v>
      </c>
      <c r="AK658" t="s">
        <v>4388</v>
      </c>
      <c r="AL658" t="s">
        <v>3196</v>
      </c>
      <c r="AM658" s="245">
        <v>899.99</v>
      </c>
      <c r="AN658" t="s">
        <v>4389</v>
      </c>
      <c r="AO658" t="s">
        <v>4390</v>
      </c>
      <c r="AP658" t="s">
        <v>1191</v>
      </c>
      <c r="AQ658" s="245">
        <v>514.95000000000005</v>
      </c>
      <c r="AR658" t="s">
        <v>4391</v>
      </c>
      <c r="AS658" s="226" t="str">
        <f t="shared" si="20"/>
        <v>Insomnia 16 Ti</v>
      </c>
      <c r="AT658" s="203" t="str">
        <f t="shared" si="21"/>
        <v xml:space="preserve"> ElanInsomnia 16 Ti164 Women's</v>
      </c>
    </row>
    <row r="659" spans="1:46" ht="52.8">
      <c r="A659" t="s">
        <v>155</v>
      </c>
      <c r="B659" t="s">
        <v>156</v>
      </c>
      <c r="C659" t="s">
        <v>247</v>
      </c>
      <c r="D659">
        <v>156</v>
      </c>
      <c r="E659" t="s">
        <v>163</v>
      </c>
      <c r="F659">
        <v>156</v>
      </c>
      <c r="G659">
        <v>155.19999999999999</v>
      </c>
      <c r="H659">
        <v>105</v>
      </c>
      <c r="I659">
        <v>126</v>
      </c>
      <c r="J659">
        <v>124</v>
      </c>
      <c r="K659">
        <v>92</v>
      </c>
      <c r="L659">
        <v>108</v>
      </c>
      <c r="M659">
        <v>15</v>
      </c>
      <c r="N659">
        <v>1407</v>
      </c>
      <c r="O659">
        <v>1.1299999999999999</v>
      </c>
      <c r="P659">
        <v>1583</v>
      </c>
      <c r="Q659">
        <v>171</v>
      </c>
      <c r="R659">
        <v>86</v>
      </c>
      <c r="S659">
        <v>51</v>
      </c>
      <c r="T659">
        <v>304</v>
      </c>
      <c r="U659">
        <v>15</v>
      </c>
      <c r="V659">
        <v>200</v>
      </c>
      <c r="W659">
        <v>0.28599999999999998</v>
      </c>
      <c r="X659">
        <v>167</v>
      </c>
      <c r="Y659">
        <v>125</v>
      </c>
      <c r="Z659">
        <v>137</v>
      </c>
      <c r="AA659">
        <v>3</v>
      </c>
      <c r="AB659">
        <v>8.6</v>
      </c>
      <c r="AC659" t="s">
        <v>188</v>
      </c>
      <c r="AD659" t="s">
        <v>185</v>
      </c>
      <c r="AG659" t="s">
        <v>1457</v>
      </c>
      <c r="AH659" t="s">
        <v>1224</v>
      </c>
      <c r="AI659" s="245">
        <v>519.99</v>
      </c>
      <c r="AJ659" t="s">
        <v>4392</v>
      </c>
      <c r="AK659" t="s">
        <v>1457</v>
      </c>
      <c r="AL659" t="s">
        <v>1181</v>
      </c>
      <c r="AM659" s="245">
        <v>519.99</v>
      </c>
      <c r="AN659" t="s">
        <v>4393</v>
      </c>
      <c r="AO659" t="s">
        <v>1457</v>
      </c>
      <c r="AP659" t="s">
        <v>1282</v>
      </c>
      <c r="AQ659" s="245">
        <v>519.99</v>
      </c>
      <c r="AR659" t="s">
        <v>4394</v>
      </c>
      <c r="AS659" s="226" t="str">
        <f t="shared" si="20"/>
        <v>Maven 93 C</v>
      </c>
      <c r="AT659" s="203" t="str">
        <f t="shared" si="21"/>
        <v xml:space="preserve"> AtomicMaven 93 C156 Women's</v>
      </c>
    </row>
    <row r="660" spans="1:46" ht="145.19999999999999">
      <c r="A660" t="s">
        <v>155</v>
      </c>
      <c r="B660" t="s">
        <v>182</v>
      </c>
      <c r="C660" t="s">
        <v>373</v>
      </c>
      <c r="D660">
        <v>164</v>
      </c>
      <c r="E660" t="s">
        <v>158</v>
      </c>
      <c r="F660">
        <v>164</v>
      </c>
      <c r="G660">
        <v>163.69999999999999</v>
      </c>
      <c r="H660">
        <v>125</v>
      </c>
      <c r="I660">
        <v>137</v>
      </c>
      <c r="J660">
        <v>126</v>
      </c>
      <c r="K660">
        <v>97</v>
      </c>
      <c r="L660">
        <v>119</v>
      </c>
      <c r="M660">
        <v>16.8</v>
      </c>
      <c r="N660">
        <v>1419</v>
      </c>
      <c r="O660">
        <v>1.23</v>
      </c>
      <c r="P660">
        <v>1749</v>
      </c>
      <c r="Q660">
        <v>139</v>
      </c>
      <c r="R660">
        <v>85</v>
      </c>
      <c r="S660">
        <v>37</v>
      </c>
      <c r="T660">
        <v>237</v>
      </c>
      <c r="U660">
        <v>16</v>
      </c>
      <c r="V660">
        <v>146</v>
      </c>
      <c r="W660">
        <v>0.42199999999999999</v>
      </c>
      <c r="X660">
        <v>172</v>
      </c>
      <c r="Y660">
        <v>99</v>
      </c>
      <c r="Z660">
        <v>65</v>
      </c>
      <c r="AA660">
        <v>8</v>
      </c>
      <c r="AB660">
        <v>9.3000000000000007</v>
      </c>
      <c r="AC660" t="s">
        <v>188</v>
      </c>
      <c r="AD660" t="s">
        <v>185</v>
      </c>
      <c r="AG660" t="s">
        <v>4395</v>
      </c>
      <c r="AH660" t="s">
        <v>1191</v>
      </c>
      <c r="AI660" s="245">
        <v>374.95</v>
      </c>
      <c r="AJ660" t="s">
        <v>4396</v>
      </c>
      <c r="AK660" t="s">
        <v>4397</v>
      </c>
      <c r="AL660" t="s">
        <v>1194</v>
      </c>
      <c r="AM660" s="245">
        <v>414</v>
      </c>
      <c r="AN660" t="s">
        <v>4398</v>
      </c>
      <c r="AO660" t="s">
        <v>4399</v>
      </c>
      <c r="AP660" t="s">
        <v>1402</v>
      </c>
      <c r="AQ660" s="245">
        <v>899.95</v>
      </c>
      <c r="AR660" t="s">
        <v>4400</v>
      </c>
      <c r="AS660" s="226" t="str">
        <f t="shared" si="20"/>
        <v>Tracer 98</v>
      </c>
      <c r="AT660" s="203" t="str">
        <f t="shared" si="21"/>
        <v xml:space="preserve"> ArmadaTracer 98164 Unisex</v>
      </c>
    </row>
    <row r="661" spans="1:46" ht="118.8">
      <c r="A661" t="s">
        <v>155</v>
      </c>
      <c r="B661" t="s">
        <v>164</v>
      </c>
      <c r="C661" t="s">
        <v>717</v>
      </c>
      <c r="D661">
        <v>168</v>
      </c>
      <c r="E661" t="s">
        <v>158</v>
      </c>
      <c r="F661">
        <v>168</v>
      </c>
      <c r="G661">
        <v>167.4</v>
      </c>
      <c r="H661">
        <v>144</v>
      </c>
      <c r="I661">
        <v>153</v>
      </c>
      <c r="J661">
        <v>126</v>
      </c>
      <c r="K661">
        <v>75</v>
      </c>
      <c r="L661">
        <v>101</v>
      </c>
      <c r="M661">
        <v>15.1</v>
      </c>
      <c r="N661">
        <v>1822</v>
      </c>
      <c r="O661">
        <v>0.83</v>
      </c>
      <c r="P661">
        <v>1504</v>
      </c>
      <c r="Q661">
        <v>203</v>
      </c>
      <c r="R661">
        <v>74</v>
      </c>
      <c r="S661">
        <v>34</v>
      </c>
      <c r="T661">
        <v>153</v>
      </c>
      <c r="U661">
        <v>10</v>
      </c>
      <c r="V661">
        <v>79</v>
      </c>
      <c r="W661">
        <v>0.29599999999999999</v>
      </c>
      <c r="X661">
        <v>86</v>
      </c>
      <c r="Y661">
        <v>58</v>
      </c>
      <c r="Z661">
        <v>68</v>
      </c>
      <c r="AA661">
        <v>6</v>
      </c>
      <c r="AB661">
        <v>11.1</v>
      </c>
      <c r="AC661" t="s">
        <v>349</v>
      </c>
      <c r="AG661" t="s">
        <v>4401</v>
      </c>
      <c r="AH661" t="s">
        <v>3026</v>
      </c>
      <c r="AI661" s="245">
        <v>296.51</v>
      </c>
      <c r="AJ661" t="s">
        <v>4402</v>
      </c>
      <c r="AK661" t="s">
        <v>4403</v>
      </c>
      <c r="AL661" t="s">
        <v>1204</v>
      </c>
      <c r="AM661" s="245">
        <v>424.9</v>
      </c>
      <c r="AN661" t="s">
        <v>4404</v>
      </c>
      <c r="AO661" t="s">
        <v>4405</v>
      </c>
      <c r="AP661" t="s">
        <v>3990</v>
      </c>
      <c r="AQ661" s="245">
        <v>449.99</v>
      </c>
      <c r="AR661" t="s">
        <v>4406</v>
      </c>
      <c r="AS661" s="226" t="str">
        <f t="shared" si="20"/>
        <v>Element</v>
      </c>
      <c r="AT661" s="203" t="str">
        <f t="shared" si="21"/>
        <v xml:space="preserve"> ElanElement168 Unisex</v>
      </c>
    </row>
    <row r="662" spans="1:46" ht="105.6">
      <c r="A662" t="s">
        <v>155</v>
      </c>
      <c r="B662" t="s">
        <v>218</v>
      </c>
      <c r="C662" t="s">
        <v>294</v>
      </c>
      <c r="D662">
        <v>168</v>
      </c>
      <c r="E662" t="s">
        <v>158</v>
      </c>
      <c r="F662">
        <v>168</v>
      </c>
      <c r="G662">
        <v>166.2</v>
      </c>
      <c r="H662">
        <v>96</v>
      </c>
      <c r="I662">
        <v>112</v>
      </c>
      <c r="J662">
        <v>136</v>
      </c>
      <c r="K662">
        <v>112</v>
      </c>
      <c r="L662">
        <v>124</v>
      </c>
      <c r="M662">
        <v>15.1</v>
      </c>
      <c r="N662">
        <v>1370</v>
      </c>
      <c r="O662">
        <v>1.45</v>
      </c>
      <c r="P662">
        <v>1988</v>
      </c>
      <c r="Q662">
        <v>163</v>
      </c>
      <c r="R662">
        <v>79</v>
      </c>
      <c r="S662">
        <v>59</v>
      </c>
      <c r="T662">
        <v>398</v>
      </c>
      <c r="U662">
        <v>32</v>
      </c>
      <c r="V662">
        <v>303</v>
      </c>
      <c r="W662">
        <v>0.54799999999999904</v>
      </c>
      <c r="X662">
        <v>296</v>
      </c>
      <c r="Y662">
        <v>242</v>
      </c>
      <c r="Z662">
        <v>102</v>
      </c>
      <c r="AA662">
        <v>4</v>
      </c>
      <c r="AB662">
        <v>13.7</v>
      </c>
      <c r="AC662" t="s">
        <v>169</v>
      </c>
      <c r="AD662" t="s">
        <v>185</v>
      </c>
      <c r="AE662" t="s">
        <v>198</v>
      </c>
      <c r="AG662" t="s">
        <v>2067</v>
      </c>
      <c r="AH662" t="s">
        <v>1334</v>
      </c>
      <c r="AI662" s="245">
        <v>1029</v>
      </c>
      <c r="AJ662" t="s">
        <v>4407</v>
      </c>
      <c r="AK662" t="s">
        <v>2065</v>
      </c>
      <c r="AL662" t="s">
        <v>1468</v>
      </c>
      <c r="AM662" s="245">
        <v>1029</v>
      </c>
      <c r="AN662" t="s">
        <v>4408</v>
      </c>
      <c r="AO662" t="s">
        <v>2067</v>
      </c>
      <c r="AP662" t="s">
        <v>1280</v>
      </c>
      <c r="AQ662" s="245">
        <v>1038.93</v>
      </c>
      <c r="AR662" t="s">
        <v>4409</v>
      </c>
      <c r="AS662" s="226" t="str">
        <f t="shared" si="20"/>
        <v>Pagoda Tour 112 RP</v>
      </c>
      <c r="AT662" s="203" t="str">
        <f t="shared" si="21"/>
        <v xml:space="preserve"> DPSPagoda Tour 112 RP168 Unisex</v>
      </c>
    </row>
    <row r="663" spans="1:46" ht="158.4">
      <c r="A663" t="s">
        <v>155</v>
      </c>
      <c r="B663" t="s">
        <v>1160</v>
      </c>
      <c r="C663" t="s">
        <v>511</v>
      </c>
      <c r="D663">
        <v>170</v>
      </c>
      <c r="E663" t="s">
        <v>158</v>
      </c>
      <c r="F663">
        <v>170</v>
      </c>
      <c r="G663">
        <v>170.2</v>
      </c>
      <c r="H663">
        <v>100</v>
      </c>
      <c r="I663">
        <v>140</v>
      </c>
      <c r="J663">
        <v>133</v>
      </c>
      <c r="K663">
        <v>101</v>
      </c>
      <c r="L663">
        <v>126</v>
      </c>
      <c r="M663">
        <v>16.3</v>
      </c>
      <c r="N663">
        <v>1728</v>
      </c>
      <c r="O663">
        <v>1.1100000000000001</v>
      </c>
      <c r="P663">
        <v>1911</v>
      </c>
      <c r="Q663">
        <v>175</v>
      </c>
      <c r="R663">
        <v>71</v>
      </c>
      <c r="S663">
        <v>52</v>
      </c>
      <c r="T663">
        <v>338</v>
      </c>
      <c r="U663">
        <v>50</v>
      </c>
      <c r="V663">
        <v>367</v>
      </c>
      <c r="W663">
        <v>0.95899999999999996</v>
      </c>
      <c r="X663">
        <v>147</v>
      </c>
      <c r="Y663">
        <v>150</v>
      </c>
      <c r="Z663">
        <v>191</v>
      </c>
      <c r="AA663">
        <v>5</v>
      </c>
      <c r="AB663">
        <v>4.2</v>
      </c>
      <c r="AC663" t="s">
        <v>184</v>
      </c>
      <c r="AD663" t="s">
        <v>169</v>
      </c>
      <c r="AE663" t="s">
        <v>185</v>
      </c>
      <c r="AG663" t="s">
        <v>2685</v>
      </c>
      <c r="AH663" t="s">
        <v>1511</v>
      </c>
      <c r="AI663" s="245">
        <v>479.99</v>
      </c>
      <c r="AJ663" t="s">
        <v>4410</v>
      </c>
      <c r="AK663" t="s">
        <v>4411</v>
      </c>
      <c r="AL663" t="s">
        <v>1181</v>
      </c>
      <c r="AM663" s="245">
        <v>599</v>
      </c>
      <c r="AN663" t="s">
        <v>4412</v>
      </c>
      <c r="AO663" t="s">
        <v>4413</v>
      </c>
      <c r="AP663" t="s">
        <v>1240</v>
      </c>
      <c r="AQ663" s="245">
        <v>599</v>
      </c>
      <c r="AR663" t="s">
        <v>4414</v>
      </c>
      <c r="AS663" s="226" t="str">
        <f t="shared" si="20"/>
        <v>Reckoner 102</v>
      </c>
      <c r="AT663" s="203" t="str">
        <f t="shared" si="21"/>
        <v>K2Reckoner 102170 Unisex</v>
      </c>
    </row>
    <row r="664" spans="1:46" ht="79.2">
      <c r="A664" t="s">
        <v>155</v>
      </c>
      <c r="B664" t="s">
        <v>156</v>
      </c>
      <c r="C664" t="s">
        <v>718</v>
      </c>
      <c r="D664">
        <v>172</v>
      </c>
      <c r="E664" t="s">
        <v>158</v>
      </c>
      <c r="F664">
        <v>172</v>
      </c>
      <c r="G664">
        <v>171.4</v>
      </c>
      <c r="H664">
        <v>122</v>
      </c>
      <c r="I664">
        <v>136</v>
      </c>
      <c r="J664">
        <v>127</v>
      </c>
      <c r="K664">
        <v>98</v>
      </c>
      <c r="L664">
        <v>117</v>
      </c>
      <c r="M664">
        <v>17.8</v>
      </c>
      <c r="N664">
        <v>1629</v>
      </c>
      <c r="O664">
        <v>1.1200000000000001</v>
      </c>
      <c r="P664">
        <v>1830</v>
      </c>
      <c r="Q664">
        <v>203</v>
      </c>
      <c r="R664">
        <v>150</v>
      </c>
      <c r="S664">
        <v>56</v>
      </c>
      <c r="T664">
        <v>294</v>
      </c>
      <c r="U664">
        <v>17</v>
      </c>
      <c r="V664">
        <v>203</v>
      </c>
      <c r="W664">
        <v>0.31</v>
      </c>
      <c r="X664">
        <v>189</v>
      </c>
      <c r="Y664">
        <v>164</v>
      </c>
      <c r="Z664">
        <v>105</v>
      </c>
      <c r="AA664">
        <v>7</v>
      </c>
      <c r="AB664">
        <v>9.8000000000000007</v>
      </c>
      <c r="AC664" t="s">
        <v>188</v>
      </c>
      <c r="AD664" t="s">
        <v>185</v>
      </c>
      <c r="AG664" t="s">
        <v>4415</v>
      </c>
      <c r="AH664" t="s">
        <v>1185</v>
      </c>
      <c r="AI664" s="245">
        <v>524.99</v>
      </c>
      <c r="AJ664" t="s">
        <v>4416</v>
      </c>
      <c r="AK664" t="s">
        <v>4417</v>
      </c>
      <c r="AL664" t="s">
        <v>1204</v>
      </c>
      <c r="AM664" s="245">
        <v>561.20000000000005</v>
      </c>
      <c r="AN664" t="s">
        <v>4418</v>
      </c>
      <c r="AO664" t="s">
        <v>4415</v>
      </c>
      <c r="AP664" t="s">
        <v>1232</v>
      </c>
      <c r="AQ664" s="245">
        <v>599.95000000000005</v>
      </c>
      <c r="AR664" t="s">
        <v>4419</v>
      </c>
      <c r="AS664" s="226" t="str">
        <f t="shared" si="20"/>
        <v>Maverick 100 Ti</v>
      </c>
      <c r="AT664" s="203" t="str">
        <f t="shared" si="21"/>
        <v xml:space="preserve"> AtomicMaverick 100 Ti172 Unisex</v>
      </c>
    </row>
    <row r="665" spans="1:46" ht="79.2">
      <c r="A665" t="s">
        <v>155</v>
      </c>
      <c r="B665" t="s">
        <v>172</v>
      </c>
      <c r="C665" t="s">
        <v>531</v>
      </c>
      <c r="D665">
        <v>169</v>
      </c>
      <c r="E665" t="s">
        <v>158</v>
      </c>
      <c r="F665">
        <v>169</v>
      </c>
      <c r="G665">
        <v>169.2</v>
      </c>
      <c r="H665">
        <v>123</v>
      </c>
      <c r="I665">
        <v>137</v>
      </c>
      <c r="J665">
        <v>126</v>
      </c>
      <c r="K665">
        <v>96</v>
      </c>
      <c r="L665">
        <v>115</v>
      </c>
      <c r="M665">
        <v>17.5</v>
      </c>
      <c r="N665">
        <v>1285</v>
      </c>
      <c r="O665">
        <v>1.4</v>
      </c>
      <c r="P665">
        <v>1798</v>
      </c>
      <c r="Q665">
        <v>196</v>
      </c>
      <c r="R665">
        <v>83</v>
      </c>
      <c r="S665">
        <v>58</v>
      </c>
      <c r="T665">
        <v>322</v>
      </c>
      <c r="U665">
        <v>12</v>
      </c>
      <c r="V665">
        <v>142</v>
      </c>
      <c r="W665">
        <v>0.21299999999999999</v>
      </c>
      <c r="X665">
        <v>195</v>
      </c>
      <c r="Y665">
        <v>123</v>
      </c>
      <c r="Z665">
        <v>126</v>
      </c>
      <c r="AA665">
        <v>6</v>
      </c>
      <c r="AB665">
        <v>12.1</v>
      </c>
      <c r="AC665" t="s">
        <v>185</v>
      </c>
      <c r="AD665" t="s">
        <v>198</v>
      </c>
      <c r="AG665" t="s">
        <v>2811</v>
      </c>
      <c r="AH665" t="s">
        <v>1244</v>
      </c>
      <c r="AI665" s="245">
        <v>524.96</v>
      </c>
      <c r="AJ665" t="s">
        <v>4420</v>
      </c>
      <c r="AK665" t="s">
        <v>2811</v>
      </c>
      <c r="AL665" t="s">
        <v>1271</v>
      </c>
      <c r="AM665" s="245">
        <v>559.95000000000005</v>
      </c>
      <c r="AN665" t="s">
        <v>4421</v>
      </c>
      <c r="AO665" t="s">
        <v>2811</v>
      </c>
      <c r="AP665" t="s">
        <v>1224</v>
      </c>
      <c r="AQ665" s="245">
        <v>559.96</v>
      </c>
      <c r="AR665" t="s">
        <v>4422</v>
      </c>
      <c r="AS665" s="226" t="str">
        <f t="shared" si="20"/>
        <v>Blackops Alpineer 96</v>
      </c>
      <c r="AT665" s="203" t="str">
        <f t="shared" si="21"/>
        <v xml:space="preserve"> RossignolBlackops Alpineer 96169 Unisex</v>
      </c>
    </row>
    <row r="666" spans="1:46" ht="132">
      <c r="A666" t="s">
        <v>155</v>
      </c>
      <c r="B666" t="s">
        <v>1395</v>
      </c>
      <c r="C666" t="s">
        <v>461</v>
      </c>
      <c r="D666">
        <v>177</v>
      </c>
      <c r="E666" t="s">
        <v>158</v>
      </c>
      <c r="F666">
        <v>177</v>
      </c>
      <c r="G666">
        <v>176.9</v>
      </c>
      <c r="H666">
        <v>145</v>
      </c>
      <c r="I666">
        <v>154</v>
      </c>
      <c r="J666">
        <v>138</v>
      </c>
      <c r="K666">
        <v>96</v>
      </c>
      <c r="L666">
        <v>119</v>
      </c>
      <c r="M666">
        <v>17.7</v>
      </c>
      <c r="N666">
        <v>1347</v>
      </c>
      <c r="O666">
        <v>1.43</v>
      </c>
      <c r="P666">
        <v>1921</v>
      </c>
      <c r="Q666">
        <v>174</v>
      </c>
      <c r="R666">
        <v>73</v>
      </c>
      <c r="S666">
        <v>36</v>
      </c>
      <c r="T666">
        <v>260</v>
      </c>
      <c r="U666">
        <v>5</v>
      </c>
      <c r="V666">
        <v>63</v>
      </c>
      <c r="W666">
        <v>0.13</v>
      </c>
      <c r="X666">
        <v>130</v>
      </c>
      <c r="Y666">
        <v>96</v>
      </c>
      <c r="Z666">
        <v>130</v>
      </c>
      <c r="AA666">
        <v>6</v>
      </c>
      <c r="AB666">
        <v>11.8</v>
      </c>
      <c r="AC666" t="s">
        <v>185</v>
      </c>
      <c r="AD666" t="s">
        <v>198</v>
      </c>
      <c r="AG666" t="s">
        <v>2408</v>
      </c>
      <c r="AH666" t="s">
        <v>1976</v>
      </c>
      <c r="AI666" s="245">
        <v>559.99</v>
      </c>
      <c r="AJ666" t="s">
        <v>4423</v>
      </c>
      <c r="AK666" t="s">
        <v>2408</v>
      </c>
      <c r="AL666" t="s">
        <v>1181</v>
      </c>
      <c r="AM666" s="245">
        <v>559.99</v>
      </c>
      <c r="AN666" t="s">
        <v>4424</v>
      </c>
      <c r="AO666" t="s">
        <v>4425</v>
      </c>
      <c r="AP666" t="s">
        <v>1592</v>
      </c>
      <c r="AQ666" s="245">
        <v>599.85</v>
      </c>
      <c r="AR666" t="s">
        <v>4426</v>
      </c>
      <c r="AS666" s="226" t="str">
        <f t="shared" si="20"/>
        <v>Rise Beyond 96</v>
      </c>
      <c r="AT666" s="203" t="str">
        <f t="shared" si="21"/>
        <v xml:space="preserve"> Vï¿½lklRise Beyond 96177 Unisex</v>
      </c>
    </row>
    <row r="667" spans="1:46" ht="66">
      <c r="A667" t="s">
        <v>155</v>
      </c>
      <c r="B667" t="s">
        <v>317</v>
      </c>
      <c r="C667" t="s">
        <v>559</v>
      </c>
      <c r="D667">
        <v>180</v>
      </c>
      <c r="E667" t="s">
        <v>158</v>
      </c>
      <c r="F667">
        <v>180</v>
      </c>
      <c r="G667">
        <v>178.8</v>
      </c>
      <c r="H667">
        <v>111</v>
      </c>
      <c r="I667">
        <v>147</v>
      </c>
      <c r="J667">
        <v>139</v>
      </c>
      <c r="K667">
        <v>111</v>
      </c>
      <c r="L667">
        <v>129</v>
      </c>
      <c r="M667">
        <v>20.5</v>
      </c>
      <c r="N667">
        <v>2055</v>
      </c>
      <c r="O667">
        <v>1.05</v>
      </c>
      <c r="P667">
        <v>2150</v>
      </c>
      <c r="Q667">
        <v>218</v>
      </c>
      <c r="R667">
        <v>123</v>
      </c>
      <c r="S667">
        <v>57</v>
      </c>
      <c r="T667">
        <v>372</v>
      </c>
      <c r="U667">
        <v>28</v>
      </c>
      <c r="V667">
        <v>306</v>
      </c>
      <c r="W667">
        <v>0.49299999999999999</v>
      </c>
      <c r="X667">
        <v>168</v>
      </c>
      <c r="Y667">
        <v>150</v>
      </c>
      <c r="Z667">
        <v>204</v>
      </c>
      <c r="AA667">
        <v>6</v>
      </c>
      <c r="AB667">
        <v>9.4</v>
      </c>
      <c r="AC667" t="s">
        <v>169</v>
      </c>
      <c r="AG667" t="s">
        <v>4427</v>
      </c>
      <c r="AH667" t="s">
        <v>1349</v>
      </c>
      <c r="AI667" s="245">
        <v>412.48</v>
      </c>
      <c r="AJ667" t="s">
        <v>4428</v>
      </c>
      <c r="AK667" t="s">
        <v>4429</v>
      </c>
      <c r="AL667" t="s">
        <v>1627</v>
      </c>
      <c r="AM667" s="245">
        <v>674</v>
      </c>
      <c r="AN667" t="s">
        <v>4430</v>
      </c>
      <c r="AO667" t="s">
        <v>4431</v>
      </c>
      <c r="AP667" t="s">
        <v>1240</v>
      </c>
      <c r="AQ667" s="245">
        <v>799.95</v>
      </c>
      <c r="AR667" t="s">
        <v>4432</v>
      </c>
      <c r="AS667" s="226" t="str">
        <f t="shared" si="20"/>
        <v>Rustler 11</v>
      </c>
      <c r="AT667" s="203" t="str">
        <f t="shared" si="21"/>
        <v xml:space="preserve"> BlizzardRustler 11180 Unisex</v>
      </c>
    </row>
    <row r="668" spans="1:46" ht="132">
      <c r="A668" t="s">
        <v>155</v>
      </c>
      <c r="B668" t="s">
        <v>172</v>
      </c>
      <c r="C668" t="s">
        <v>720</v>
      </c>
      <c r="D668">
        <v>160</v>
      </c>
      <c r="E668" t="s">
        <v>158</v>
      </c>
      <c r="F668">
        <v>160</v>
      </c>
      <c r="G668">
        <v>158.69999999999999</v>
      </c>
      <c r="H668">
        <v>113</v>
      </c>
      <c r="I668">
        <v>133</v>
      </c>
      <c r="J668">
        <v>117</v>
      </c>
      <c r="K668">
        <v>89</v>
      </c>
      <c r="L668">
        <v>107</v>
      </c>
      <c r="M668">
        <v>20.8</v>
      </c>
      <c r="N668">
        <v>1572</v>
      </c>
      <c r="O668">
        <v>0.98</v>
      </c>
      <c r="P668">
        <v>1540</v>
      </c>
      <c r="Q668">
        <v>155</v>
      </c>
      <c r="R668">
        <v>64</v>
      </c>
      <c r="S668">
        <v>46</v>
      </c>
      <c r="T668">
        <v>252</v>
      </c>
      <c r="U668">
        <v>28</v>
      </c>
      <c r="V668">
        <v>208</v>
      </c>
      <c r="W668">
        <v>0.61099999999999999</v>
      </c>
      <c r="X668">
        <v>131</v>
      </c>
      <c r="Y668">
        <v>127</v>
      </c>
      <c r="Z668">
        <v>121</v>
      </c>
      <c r="AA668">
        <v>8</v>
      </c>
      <c r="AB668">
        <v>5</v>
      </c>
      <c r="AC668" t="s">
        <v>188</v>
      </c>
      <c r="AG668" t="s">
        <v>4433</v>
      </c>
      <c r="AH668" t="s">
        <v>1191</v>
      </c>
      <c r="AI668" s="245">
        <v>359.95</v>
      </c>
      <c r="AJ668" t="s">
        <v>4434</v>
      </c>
      <c r="AK668" t="s">
        <v>4433</v>
      </c>
      <c r="AL668" t="s">
        <v>1450</v>
      </c>
      <c r="AM668" s="245">
        <v>359.95</v>
      </c>
      <c r="AN668" t="s">
        <v>4435</v>
      </c>
      <c r="AO668" t="s">
        <v>4436</v>
      </c>
      <c r="AP668" t="s">
        <v>1397</v>
      </c>
      <c r="AQ668" s="245">
        <v>244.97</v>
      </c>
      <c r="AR668" t="s">
        <v>4437</v>
      </c>
      <c r="AS668" s="226" t="str">
        <f t="shared" si="20"/>
        <v>Blackops Smasher</v>
      </c>
      <c r="AT668" s="203" t="str">
        <f t="shared" si="21"/>
        <v xml:space="preserve"> RossignolBlackops Smasher160 Unisex</v>
      </c>
    </row>
    <row r="669" spans="1:46" ht="105.6">
      <c r="A669" t="s">
        <v>155</v>
      </c>
      <c r="B669" t="s">
        <v>164</v>
      </c>
      <c r="C669" t="s">
        <v>693</v>
      </c>
      <c r="D669">
        <v>176</v>
      </c>
      <c r="E669" t="s">
        <v>158</v>
      </c>
      <c r="F669">
        <v>176</v>
      </c>
      <c r="G669">
        <v>174</v>
      </c>
      <c r="H669">
        <v>155</v>
      </c>
      <c r="I669">
        <v>160</v>
      </c>
      <c r="J669">
        <v>125</v>
      </c>
      <c r="K669">
        <v>76</v>
      </c>
      <c r="L669">
        <v>105</v>
      </c>
      <c r="M669">
        <v>16.2</v>
      </c>
      <c r="N669">
        <v>2041</v>
      </c>
      <c r="O669">
        <v>0.77</v>
      </c>
      <c r="P669">
        <v>1576</v>
      </c>
      <c r="Q669">
        <v>228</v>
      </c>
      <c r="R669">
        <v>102</v>
      </c>
      <c r="S669">
        <v>27</v>
      </c>
      <c r="T669">
        <v>127</v>
      </c>
      <c r="U669">
        <v>9</v>
      </c>
      <c r="V669">
        <v>67</v>
      </c>
      <c r="W669">
        <v>0.33399999999999902</v>
      </c>
      <c r="X669">
        <v>79</v>
      </c>
      <c r="Y669">
        <v>60</v>
      </c>
      <c r="Z669">
        <v>49</v>
      </c>
      <c r="AA669">
        <v>14</v>
      </c>
      <c r="AB669">
        <v>9.1999999999999993</v>
      </c>
      <c r="AC669" t="s">
        <v>349</v>
      </c>
      <c r="AG669" t="s">
        <v>4438</v>
      </c>
      <c r="AH669" t="s">
        <v>1204</v>
      </c>
      <c r="AI669" s="245">
        <v>561.20000000000005</v>
      </c>
      <c r="AJ669" t="s">
        <v>4439</v>
      </c>
      <c r="AK669" t="s">
        <v>4440</v>
      </c>
      <c r="AL669" t="s">
        <v>3322</v>
      </c>
      <c r="AM669" s="245">
        <v>599.99</v>
      </c>
      <c r="AN669" t="s">
        <v>4441</v>
      </c>
      <c r="AO669" t="s">
        <v>4442</v>
      </c>
      <c r="AP669" t="s">
        <v>1365</v>
      </c>
      <c r="AQ669" s="245">
        <v>499.99</v>
      </c>
      <c r="AR669" t="s">
        <v>4443</v>
      </c>
      <c r="AS669" s="226" t="str">
        <f t="shared" si="20"/>
        <v>Wingman 78 Ti</v>
      </c>
      <c r="AT669" s="203" t="str">
        <f t="shared" si="21"/>
        <v xml:space="preserve"> ElanWingman 78 Ti176 Unisex</v>
      </c>
    </row>
    <row r="670" spans="1:46" ht="52.8">
      <c r="A670" t="s">
        <v>155</v>
      </c>
      <c r="B670" t="s">
        <v>182</v>
      </c>
      <c r="C670" t="s">
        <v>721</v>
      </c>
      <c r="D670">
        <v>164</v>
      </c>
      <c r="E670" t="s">
        <v>163</v>
      </c>
      <c r="F670">
        <v>164</v>
      </c>
      <c r="G670">
        <v>162.5</v>
      </c>
      <c r="H670">
        <v>117</v>
      </c>
      <c r="I670">
        <v>134</v>
      </c>
      <c r="J670">
        <v>117</v>
      </c>
      <c r="K670">
        <v>85</v>
      </c>
      <c r="L670">
        <v>109</v>
      </c>
      <c r="M670">
        <v>14.7</v>
      </c>
      <c r="N670">
        <v>1659</v>
      </c>
      <c r="O670">
        <v>0.94</v>
      </c>
      <c r="P670">
        <v>1566</v>
      </c>
      <c r="Q670">
        <v>150</v>
      </c>
      <c r="R670">
        <v>65</v>
      </c>
      <c r="S670">
        <v>44</v>
      </c>
      <c r="T670">
        <v>250</v>
      </c>
      <c r="U670">
        <v>37</v>
      </c>
      <c r="V670">
        <v>210</v>
      </c>
      <c r="W670">
        <v>0.83299999999999996</v>
      </c>
      <c r="X670">
        <v>158</v>
      </c>
      <c r="Y670">
        <v>123</v>
      </c>
      <c r="Z670">
        <v>92</v>
      </c>
      <c r="AA670">
        <v>9</v>
      </c>
      <c r="AB670">
        <v>9.9</v>
      </c>
      <c r="AC670" t="s">
        <v>188</v>
      </c>
      <c r="AD670" t="s">
        <v>184</v>
      </c>
      <c r="AG670" t="s">
        <v>2173</v>
      </c>
      <c r="AH670" t="s">
        <v>1248</v>
      </c>
      <c r="AI670" s="245">
        <v>279.95999999999998</v>
      </c>
      <c r="AJ670" t="s">
        <v>4444</v>
      </c>
      <c r="AK670" t="s">
        <v>4445</v>
      </c>
      <c r="AL670" t="s">
        <v>1191</v>
      </c>
      <c r="AM670" s="245">
        <v>284.95</v>
      </c>
      <c r="AN670" t="s">
        <v>4446</v>
      </c>
      <c r="AO670" t="s">
        <v>4445</v>
      </c>
      <c r="AP670" t="s">
        <v>1592</v>
      </c>
      <c r="AQ670" s="245">
        <v>301.3</v>
      </c>
      <c r="AR670" t="s">
        <v>4447</v>
      </c>
      <c r="AS670" s="226" t="str">
        <f t="shared" si="20"/>
        <v>ARW 84</v>
      </c>
      <c r="AT670" s="203" t="str">
        <f t="shared" si="21"/>
        <v xml:space="preserve"> ArmadaARW 84164 Women's</v>
      </c>
    </row>
    <row r="671" spans="1:46" ht="52.8">
      <c r="A671" t="s">
        <v>155</v>
      </c>
      <c r="B671" t="s">
        <v>208</v>
      </c>
      <c r="C671" t="s">
        <v>530</v>
      </c>
      <c r="D671">
        <v>164</v>
      </c>
      <c r="E671" t="s">
        <v>158</v>
      </c>
      <c r="F671">
        <v>164</v>
      </c>
      <c r="G671">
        <v>164.1</v>
      </c>
      <c r="H671">
        <v>118</v>
      </c>
      <c r="I671">
        <v>138</v>
      </c>
      <c r="J671">
        <v>117</v>
      </c>
      <c r="K671">
        <v>89</v>
      </c>
      <c r="L671">
        <v>116</v>
      </c>
      <c r="M671">
        <v>16.3</v>
      </c>
      <c r="N671">
        <v>1518</v>
      </c>
      <c r="O671">
        <v>1.07</v>
      </c>
      <c r="P671">
        <v>1627</v>
      </c>
      <c r="Q671">
        <v>163</v>
      </c>
      <c r="R671">
        <v>72</v>
      </c>
      <c r="S671">
        <v>38</v>
      </c>
      <c r="T671">
        <v>229</v>
      </c>
      <c r="U671">
        <v>37</v>
      </c>
      <c r="V671">
        <v>234</v>
      </c>
      <c r="W671">
        <v>0.98599999999999999</v>
      </c>
      <c r="X671">
        <v>123</v>
      </c>
      <c r="Y671">
        <v>134</v>
      </c>
      <c r="Z671">
        <v>106</v>
      </c>
      <c r="AA671">
        <v>5</v>
      </c>
      <c r="AB671">
        <v>2.4</v>
      </c>
      <c r="AC671" t="s">
        <v>184</v>
      </c>
      <c r="AD671" t="s">
        <v>185</v>
      </c>
      <c r="AG671" t="s">
        <v>2801</v>
      </c>
      <c r="AH671" t="s">
        <v>1265</v>
      </c>
      <c r="AI671" s="245">
        <v>320.68</v>
      </c>
      <c r="AJ671" t="s">
        <v>4448</v>
      </c>
      <c r="AK671" t="s">
        <v>2801</v>
      </c>
      <c r="AL671" t="s">
        <v>2374</v>
      </c>
      <c r="AM671" s="245">
        <v>449.95</v>
      </c>
      <c r="AN671" t="s">
        <v>4449</v>
      </c>
      <c r="AO671" t="s">
        <v>4450</v>
      </c>
      <c r="AP671" t="s">
        <v>1405</v>
      </c>
      <c r="AQ671" s="245">
        <v>499.95</v>
      </c>
      <c r="AR671" t="s">
        <v>4451</v>
      </c>
      <c r="AS671" s="226" t="str">
        <f t="shared" si="20"/>
        <v>Tom Wallisch Pro</v>
      </c>
      <c r="AT671" s="203" t="str">
        <f t="shared" si="21"/>
        <v xml:space="preserve"> LineTom Wallisch Pro164 Unisex</v>
      </c>
    </row>
    <row r="672" spans="1:46" ht="92.4">
      <c r="A672" t="s">
        <v>155</v>
      </c>
      <c r="B672" t="s">
        <v>1160</v>
      </c>
      <c r="C672" t="s">
        <v>579</v>
      </c>
      <c r="D672">
        <v>169</v>
      </c>
      <c r="E672" t="s">
        <v>158</v>
      </c>
      <c r="F672">
        <v>169</v>
      </c>
      <c r="G672">
        <v>169</v>
      </c>
      <c r="H672">
        <v>113</v>
      </c>
      <c r="I672">
        <v>142</v>
      </c>
      <c r="J672">
        <v>124</v>
      </c>
      <c r="K672">
        <v>91</v>
      </c>
      <c r="L672">
        <v>113</v>
      </c>
      <c r="M672">
        <v>17.2</v>
      </c>
      <c r="N672">
        <v>1669</v>
      </c>
      <c r="O672">
        <v>1.03</v>
      </c>
      <c r="P672">
        <v>1717</v>
      </c>
      <c r="Q672">
        <v>148</v>
      </c>
      <c r="R672">
        <v>76</v>
      </c>
      <c r="S672">
        <v>51</v>
      </c>
      <c r="T672">
        <v>287</v>
      </c>
      <c r="U672">
        <v>45</v>
      </c>
      <c r="V672">
        <v>274</v>
      </c>
      <c r="W672">
        <v>0.88599999999999901</v>
      </c>
      <c r="X672">
        <v>121</v>
      </c>
      <c r="Y672">
        <v>150</v>
      </c>
      <c r="Z672">
        <v>167</v>
      </c>
      <c r="AA672">
        <v>6</v>
      </c>
      <c r="AB672">
        <v>4.8</v>
      </c>
      <c r="AC672" t="s">
        <v>184</v>
      </c>
      <c r="AG672" t="s">
        <v>3382</v>
      </c>
      <c r="AH672" t="s">
        <v>1226</v>
      </c>
      <c r="AI672" s="245">
        <v>299</v>
      </c>
      <c r="AJ672" t="s">
        <v>4452</v>
      </c>
      <c r="AK672" t="s">
        <v>3384</v>
      </c>
      <c r="AL672" t="s">
        <v>2594</v>
      </c>
      <c r="AM672" s="245">
        <v>299.95</v>
      </c>
      <c r="AN672" t="s">
        <v>4453</v>
      </c>
      <c r="AO672" t="s">
        <v>4454</v>
      </c>
      <c r="AP672" t="s">
        <v>1224</v>
      </c>
      <c r="AQ672" s="245">
        <v>299.95</v>
      </c>
      <c r="AR672" t="s">
        <v>4455</v>
      </c>
      <c r="AS672" s="226" t="str">
        <f t="shared" si="20"/>
        <v>Reckoner 92</v>
      </c>
      <c r="AT672" s="203" t="str">
        <f t="shared" si="21"/>
        <v>K2Reckoner 92169 Unisex</v>
      </c>
    </row>
    <row r="673" spans="1:46" ht="132">
      <c r="A673" t="s">
        <v>155</v>
      </c>
      <c r="B673" t="s">
        <v>245</v>
      </c>
      <c r="C673" t="s">
        <v>246</v>
      </c>
      <c r="D673">
        <v>161</v>
      </c>
      <c r="E673" t="s">
        <v>163</v>
      </c>
      <c r="F673">
        <v>161</v>
      </c>
      <c r="G673">
        <v>160.1</v>
      </c>
      <c r="H673">
        <v>106</v>
      </c>
      <c r="I673">
        <v>131</v>
      </c>
      <c r="J673">
        <v>123</v>
      </c>
      <c r="K673">
        <v>89</v>
      </c>
      <c r="L673">
        <v>114</v>
      </c>
      <c r="M673">
        <v>12.4</v>
      </c>
      <c r="N673">
        <v>1454</v>
      </c>
      <c r="O673">
        <v>1.1299999999999999</v>
      </c>
      <c r="P673">
        <v>1638</v>
      </c>
      <c r="Q673">
        <v>167</v>
      </c>
      <c r="R673">
        <v>83</v>
      </c>
      <c r="S673">
        <v>50</v>
      </c>
      <c r="T673">
        <v>334</v>
      </c>
      <c r="U673">
        <v>37</v>
      </c>
      <c r="V673">
        <v>204</v>
      </c>
      <c r="W673">
        <v>0.746</v>
      </c>
      <c r="X673">
        <v>142</v>
      </c>
      <c r="Y673">
        <v>145</v>
      </c>
      <c r="Z673">
        <v>192</v>
      </c>
      <c r="AA673">
        <v>2</v>
      </c>
      <c r="AB673">
        <v>8.1</v>
      </c>
      <c r="AC673" t="s">
        <v>188</v>
      </c>
      <c r="AD673" t="s">
        <v>185</v>
      </c>
      <c r="AG673" t="s">
        <v>4456</v>
      </c>
      <c r="AH673" t="s">
        <v>1191</v>
      </c>
      <c r="AI673" s="245">
        <v>359.95</v>
      </c>
      <c r="AJ673" t="s">
        <v>4457</v>
      </c>
      <c r="AK673" t="s">
        <v>4458</v>
      </c>
      <c r="AL673" t="s">
        <v>1337</v>
      </c>
      <c r="AM673" s="245">
        <v>389.99</v>
      </c>
      <c r="AN673" t="s">
        <v>4459</v>
      </c>
      <c r="AO673" t="s">
        <v>4460</v>
      </c>
      <c r="AP673" t="s">
        <v>1455</v>
      </c>
      <c r="AQ673" s="245">
        <v>699.99</v>
      </c>
      <c r="AR673" t="s">
        <v>4461</v>
      </c>
      <c r="AS673" s="226" t="str">
        <f t="shared" si="20"/>
        <v>Ranger 94 FR W</v>
      </c>
      <c r="AT673" s="203" t="str">
        <f t="shared" si="21"/>
        <v xml:space="preserve"> FischerRanger 94 FR W161 Women's</v>
      </c>
    </row>
    <row r="674" spans="1:46" ht="198">
      <c r="A674" t="s">
        <v>155</v>
      </c>
      <c r="B674" t="s">
        <v>164</v>
      </c>
      <c r="C674" t="s">
        <v>714</v>
      </c>
      <c r="D674">
        <v>158</v>
      </c>
      <c r="E674" t="s">
        <v>163</v>
      </c>
      <c r="F674">
        <v>158</v>
      </c>
      <c r="G674">
        <v>159</v>
      </c>
      <c r="H674">
        <v>140</v>
      </c>
      <c r="I674">
        <v>147</v>
      </c>
      <c r="J674">
        <v>122</v>
      </c>
      <c r="K674">
        <v>73</v>
      </c>
      <c r="L674">
        <v>104</v>
      </c>
      <c r="M674">
        <v>13.4</v>
      </c>
      <c r="N674">
        <v>1753</v>
      </c>
      <c r="O674">
        <v>0.8</v>
      </c>
      <c r="P674">
        <v>1395</v>
      </c>
      <c r="Q674">
        <v>186</v>
      </c>
      <c r="R674">
        <v>75</v>
      </c>
      <c r="S674">
        <v>41</v>
      </c>
      <c r="T674">
        <v>138</v>
      </c>
      <c r="U674">
        <v>3</v>
      </c>
      <c r="V674">
        <v>48</v>
      </c>
      <c r="W674">
        <v>7.5999999999999998E-2</v>
      </c>
      <c r="X674">
        <v>78</v>
      </c>
      <c r="Y674">
        <v>38</v>
      </c>
      <c r="Z674">
        <v>60</v>
      </c>
      <c r="AA674">
        <v>8</v>
      </c>
      <c r="AB674">
        <v>9.8000000000000007</v>
      </c>
      <c r="AC674" t="s">
        <v>349</v>
      </c>
      <c r="AG674" t="s">
        <v>4462</v>
      </c>
      <c r="AH674" t="s">
        <v>1191</v>
      </c>
      <c r="AI674" s="245">
        <v>564.95000000000005</v>
      </c>
      <c r="AJ674" t="s">
        <v>4463</v>
      </c>
      <c r="AK674" t="s">
        <v>4220</v>
      </c>
      <c r="AL674" t="s">
        <v>4221</v>
      </c>
      <c r="AM674" s="245">
        <v>816.48</v>
      </c>
      <c r="AN674" t="s">
        <v>4464</v>
      </c>
      <c r="AO674" t="s">
        <v>4465</v>
      </c>
      <c r="AP674" t="s">
        <v>3196</v>
      </c>
      <c r="AQ674" s="245">
        <v>649.99</v>
      </c>
      <c r="AR674" t="s">
        <v>4466</v>
      </c>
      <c r="AS674" s="226" t="str">
        <f t="shared" si="20"/>
        <v>Insomnia 16 Ti</v>
      </c>
      <c r="AT674" s="203" t="str">
        <f t="shared" si="21"/>
        <v xml:space="preserve"> ElanInsomnia 16 Ti158 Women's</v>
      </c>
    </row>
    <row r="675" spans="1:46" ht="171.6">
      <c r="A675" t="s">
        <v>155</v>
      </c>
      <c r="B675" t="s">
        <v>1160</v>
      </c>
      <c r="C675" t="s">
        <v>723</v>
      </c>
      <c r="D675">
        <v>167</v>
      </c>
      <c r="E675" t="s">
        <v>163</v>
      </c>
      <c r="F675">
        <v>167</v>
      </c>
      <c r="G675">
        <v>167.8</v>
      </c>
      <c r="H675">
        <v>104</v>
      </c>
      <c r="I675">
        <v>129</v>
      </c>
      <c r="J675">
        <v>138</v>
      </c>
      <c r="K675">
        <v>105</v>
      </c>
      <c r="L675">
        <v>123</v>
      </c>
      <c r="M675">
        <v>15.2</v>
      </c>
      <c r="N675">
        <v>1686</v>
      </c>
      <c r="O675">
        <v>1.1499999999999999</v>
      </c>
      <c r="P675">
        <v>1940</v>
      </c>
      <c r="Q675">
        <v>160</v>
      </c>
      <c r="R675">
        <v>75</v>
      </c>
      <c r="S675">
        <v>46</v>
      </c>
      <c r="T675">
        <v>379</v>
      </c>
      <c r="U675">
        <v>22</v>
      </c>
      <c r="V675">
        <v>255</v>
      </c>
      <c r="W675">
        <v>0.48099999999999998</v>
      </c>
      <c r="X675">
        <v>190</v>
      </c>
      <c r="Y675">
        <v>195</v>
      </c>
      <c r="Z675">
        <v>189</v>
      </c>
      <c r="AA675">
        <v>6</v>
      </c>
      <c r="AB675">
        <v>9.9</v>
      </c>
      <c r="AC675" t="s">
        <v>169</v>
      </c>
      <c r="AD675" t="s">
        <v>185</v>
      </c>
      <c r="AG675" t="s">
        <v>4467</v>
      </c>
      <c r="AH675" t="s">
        <v>2589</v>
      </c>
      <c r="AI675" s="245">
        <v>449.95</v>
      </c>
      <c r="AJ675" t="s">
        <v>4468</v>
      </c>
      <c r="AK675" t="s">
        <v>4469</v>
      </c>
      <c r="AL675" t="s">
        <v>2594</v>
      </c>
      <c r="AM675" s="245">
        <v>599.95000000000005</v>
      </c>
      <c r="AN675" t="s">
        <v>4470</v>
      </c>
      <c r="AO675" t="s">
        <v>4471</v>
      </c>
      <c r="AP675" t="s">
        <v>1181</v>
      </c>
      <c r="AQ675" s="245">
        <v>739.95</v>
      </c>
      <c r="AR675" t="s">
        <v>4472</v>
      </c>
      <c r="AS675" s="226" t="str">
        <f t="shared" si="20"/>
        <v>Mindbender 106 C Alliance</v>
      </c>
      <c r="AT675" s="203" t="str">
        <f t="shared" si="21"/>
        <v>K2Mindbender 106 C Alliance167 Women's</v>
      </c>
    </row>
    <row r="676" spans="1:46" ht="26.4">
      <c r="A676" t="s">
        <v>155</v>
      </c>
      <c r="B676" t="s">
        <v>227</v>
      </c>
      <c r="C676" t="s">
        <v>724</v>
      </c>
      <c r="D676">
        <v>188</v>
      </c>
      <c r="E676" t="s">
        <v>158</v>
      </c>
      <c r="F676">
        <v>188</v>
      </c>
      <c r="G676">
        <v>186.2</v>
      </c>
      <c r="H676">
        <v>125</v>
      </c>
      <c r="I676">
        <v>154</v>
      </c>
      <c r="J676">
        <v>138</v>
      </c>
      <c r="K676">
        <v>108</v>
      </c>
      <c r="L676">
        <v>128</v>
      </c>
      <c r="M676">
        <v>20.8</v>
      </c>
      <c r="N676">
        <v>1682</v>
      </c>
      <c r="O676">
        <v>1.31</v>
      </c>
      <c r="P676">
        <v>2205</v>
      </c>
      <c r="Q676">
        <v>218</v>
      </c>
      <c r="R676">
        <v>57</v>
      </c>
      <c r="S676">
        <v>71</v>
      </c>
      <c r="T676">
        <v>381</v>
      </c>
      <c r="U676">
        <v>30</v>
      </c>
      <c r="V676">
        <v>228</v>
      </c>
      <c r="W676">
        <v>0.41799999999999998</v>
      </c>
      <c r="X676">
        <v>175</v>
      </c>
      <c r="Y676">
        <v>142</v>
      </c>
      <c r="Z676">
        <v>206</v>
      </c>
      <c r="AA676">
        <v>5</v>
      </c>
      <c r="AB676">
        <v>11.8</v>
      </c>
      <c r="AC676" t="s">
        <v>169</v>
      </c>
      <c r="AD676" t="s">
        <v>185</v>
      </c>
      <c r="AE676" t="s">
        <v>198</v>
      </c>
      <c r="AS676" s="226" t="str">
        <f t="shared" si="20"/>
        <v>Chinook 108</v>
      </c>
      <c r="AT676" s="203" t="str">
        <f t="shared" si="21"/>
        <v xml:space="preserve"> RaccoonChinook 108188 Unisex</v>
      </c>
    </row>
    <row r="677" spans="1:46" ht="184.8">
      <c r="A677" t="s">
        <v>155</v>
      </c>
      <c r="B677" t="s">
        <v>1395</v>
      </c>
      <c r="C677" t="s">
        <v>725</v>
      </c>
      <c r="D677">
        <v>163</v>
      </c>
      <c r="E677" t="s">
        <v>163</v>
      </c>
      <c r="F677">
        <v>163</v>
      </c>
      <c r="G677">
        <v>162.1</v>
      </c>
      <c r="H677">
        <v>131</v>
      </c>
      <c r="I677">
        <v>150</v>
      </c>
      <c r="J677">
        <v>128</v>
      </c>
      <c r="K677">
        <v>79</v>
      </c>
      <c r="L677">
        <v>109</v>
      </c>
      <c r="M677">
        <v>14.1</v>
      </c>
      <c r="N677">
        <v>1630</v>
      </c>
      <c r="O677">
        <v>0.93</v>
      </c>
      <c r="P677">
        <v>1512</v>
      </c>
      <c r="Q677">
        <v>172</v>
      </c>
      <c r="R677">
        <v>70</v>
      </c>
      <c r="S677">
        <v>37</v>
      </c>
      <c r="T677">
        <v>188</v>
      </c>
      <c r="U677">
        <v>6</v>
      </c>
      <c r="V677">
        <v>118</v>
      </c>
      <c r="W677">
        <v>0.17299999999999999</v>
      </c>
      <c r="X677">
        <v>72</v>
      </c>
      <c r="Y677">
        <v>49</v>
      </c>
      <c r="Z677">
        <v>116</v>
      </c>
      <c r="AA677">
        <v>5</v>
      </c>
      <c r="AB677">
        <v>10.9</v>
      </c>
      <c r="AC677" t="s">
        <v>160</v>
      </c>
      <c r="AG677" t="s">
        <v>4473</v>
      </c>
      <c r="AH677" t="s">
        <v>1218</v>
      </c>
      <c r="AI677" s="245">
        <v>639.95000000000005</v>
      </c>
      <c r="AJ677" t="s">
        <v>4474</v>
      </c>
      <c r="AK677" t="s">
        <v>4473</v>
      </c>
      <c r="AL677" t="s">
        <v>1179</v>
      </c>
      <c r="AM677" s="245">
        <v>639.99</v>
      </c>
      <c r="AN677" t="s">
        <v>4475</v>
      </c>
      <c r="AO677" t="s">
        <v>4476</v>
      </c>
      <c r="AP677" t="s">
        <v>1232</v>
      </c>
      <c r="AQ677" s="245">
        <v>799.95</v>
      </c>
      <c r="AR677" t="s">
        <v>4477</v>
      </c>
      <c r="AS677" s="226" t="str">
        <f t="shared" si="20"/>
        <v>Flair 79</v>
      </c>
      <c r="AT677" s="203" t="str">
        <f t="shared" si="21"/>
        <v xml:space="preserve"> Vï¿½lklFlair 79163 Women's</v>
      </c>
    </row>
    <row r="678" spans="1:46" ht="52.8">
      <c r="A678" t="s">
        <v>155</v>
      </c>
      <c r="B678" t="s">
        <v>1395</v>
      </c>
      <c r="C678" t="s">
        <v>437</v>
      </c>
      <c r="D678">
        <v>184</v>
      </c>
      <c r="E678" t="s">
        <v>158</v>
      </c>
      <c r="F678">
        <v>184</v>
      </c>
      <c r="G678">
        <v>183.4</v>
      </c>
      <c r="H678">
        <v>118</v>
      </c>
      <c r="I678">
        <v>160</v>
      </c>
      <c r="J678">
        <v>128</v>
      </c>
      <c r="K678">
        <v>87</v>
      </c>
      <c r="L678">
        <v>110</v>
      </c>
      <c r="M678">
        <v>19.100000000000001</v>
      </c>
      <c r="N678">
        <v>1939</v>
      </c>
      <c r="O678">
        <v>0.95</v>
      </c>
      <c r="P678">
        <v>1837</v>
      </c>
      <c r="Q678">
        <v>209</v>
      </c>
      <c r="R678">
        <v>128</v>
      </c>
      <c r="S678">
        <v>44</v>
      </c>
      <c r="T678">
        <v>333</v>
      </c>
      <c r="U678">
        <v>18</v>
      </c>
      <c r="V678">
        <v>318</v>
      </c>
      <c r="W678">
        <v>0.40600000000000003</v>
      </c>
      <c r="X678">
        <v>127</v>
      </c>
      <c r="Y678">
        <v>103</v>
      </c>
      <c r="Z678">
        <v>206</v>
      </c>
      <c r="AA678">
        <v>3</v>
      </c>
      <c r="AB678">
        <v>11.7</v>
      </c>
      <c r="AC678" t="s">
        <v>188</v>
      </c>
      <c r="AG678" t="s">
        <v>4478</v>
      </c>
      <c r="AH678" t="s">
        <v>1204</v>
      </c>
      <c r="AI678" s="245">
        <v>440.94</v>
      </c>
      <c r="AJ678" t="s">
        <v>4479</v>
      </c>
      <c r="AK678" t="s">
        <v>3890</v>
      </c>
      <c r="AL678" t="s">
        <v>1181</v>
      </c>
      <c r="AM678" s="245">
        <v>519.99</v>
      </c>
      <c r="AN678" t="s">
        <v>4480</v>
      </c>
      <c r="AO678" t="s">
        <v>3890</v>
      </c>
      <c r="AP678" t="s">
        <v>4009</v>
      </c>
      <c r="AQ678" s="245">
        <v>545.98</v>
      </c>
      <c r="AR678" t="s">
        <v>4481</v>
      </c>
      <c r="AS678" s="226" t="str">
        <f t="shared" si="20"/>
        <v>Kendo 88</v>
      </c>
      <c r="AT678" s="203" t="str">
        <f t="shared" si="21"/>
        <v xml:space="preserve"> Vï¿½lklKendo 88184 Unisex</v>
      </c>
    </row>
    <row r="679" spans="1:46" ht="79.2">
      <c r="A679" t="s">
        <v>155</v>
      </c>
      <c r="B679" t="s">
        <v>205</v>
      </c>
      <c r="C679" t="s">
        <v>535</v>
      </c>
      <c r="D679">
        <v>164</v>
      </c>
      <c r="E679" t="s">
        <v>158</v>
      </c>
      <c r="F679">
        <v>164</v>
      </c>
      <c r="G679">
        <v>161.9</v>
      </c>
      <c r="H679">
        <v>117</v>
      </c>
      <c r="I679">
        <v>136</v>
      </c>
      <c r="J679">
        <v>119</v>
      </c>
      <c r="K679">
        <v>87</v>
      </c>
      <c r="L679">
        <v>112</v>
      </c>
      <c r="M679">
        <v>14.6</v>
      </c>
      <c r="N679">
        <v>1587</v>
      </c>
      <c r="O679">
        <v>1.01</v>
      </c>
      <c r="P679">
        <v>1604</v>
      </c>
      <c r="Q679">
        <v>170</v>
      </c>
      <c r="R679">
        <v>70</v>
      </c>
      <c r="S679">
        <v>53</v>
      </c>
      <c r="T679">
        <v>265</v>
      </c>
      <c r="U679">
        <v>38</v>
      </c>
      <c r="V679">
        <v>188</v>
      </c>
      <c r="W679">
        <v>0.70499999999999996</v>
      </c>
      <c r="X679">
        <v>134</v>
      </c>
      <c r="Y679">
        <v>126</v>
      </c>
      <c r="Z679">
        <v>131</v>
      </c>
      <c r="AA679">
        <v>9</v>
      </c>
      <c r="AB679">
        <v>6.5</v>
      </c>
      <c r="AC679" t="s">
        <v>188</v>
      </c>
      <c r="AG679" t="s">
        <v>4482</v>
      </c>
      <c r="AH679" t="s">
        <v>1556</v>
      </c>
      <c r="AI679" s="245">
        <v>449</v>
      </c>
      <c r="AJ679" t="s">
        <v>4483</v>
      </c>
      <c r="AK679" t="s">
        <v>2024</v>
      </c>
      <c r="AL679" t="s">
        <v>1244</v>
      </c>
      <c r="AM679" s="245">
        <v>314.27</v>
      </c>
      <c r="AN679" t="s">
        <v>4484</v>
      </c>
      <c r="AO679" t="s">
        <v>4485</v>
      </c>
      <c r="AP679" t="s">
        <v>1194</v>
      </c>
      <c r="AQ679" s="245">
        <v>391.87</v>
      </c>
      <c r="AR679" t="s">
        <v>4486</v>
      </c>
      <c r="AS679" s="226" t="str">
        <f t="shared" si="20"/>
        <v>Prodigy 1.0</v>
      </c>
      <c r="AT679" s="203" t="str">
        <f t="shared" si="21"/>
        <v xml:space="preserve"> FactionProdigy 1.0164 Unisex</v>
      </c>
    </row>
    <row r="680" spans="1:46" ht="66">
      <c r="A680" t="s">
        <v>155</v>
      </c>
      <c r="B680" t="s">
        <v>1395</v>
      </c>
      <c r="C680" t="s">
        <v>230</v>
      </c>
      <c r="D680">
        <v>168</v>
      </c>
      <c r="E680" t="s">
        <v>158</v>
      </c>
      <c r="F680">
        <v>168</v>
      </c>
      <c r="G680">
        <v>168.7</v>
      </c>
      <c r="H680">
        <v>132</v>
      </c>
      <c r="I680">
        <v>145</v>
      </c>
      <c r="J680">
        <v>124</v>
      </c>
      <c r="K680">
        <v>83</v>
      </c>
      <c r="L680">
        <v>106</v>
      </c>
      <c r="M680">
        <v>15.8</v>
      </c>
      <c r="N680">
        <v>1495</v>
      </c>
      <c r="O680">
        <v>1.0900000000000001</v>
      </c>
      <c r="P680">
        <v>1623</v>
      </c>
      <c r="Q680">
        <v>185</v>
      </c>
      <c r="R680">
        <v>70</v>
      </c>
      <c r="S680">
        <v>36</v>
      </c>
      <c r="T680">
        <v>229</v>
      </c>
      <c r="U680">
        <v>13</v>
      </c>
      <c r="V680">
        <v>141</v>
      </c>
      <c r="W680">
        <v>0.34799999999999998</v>
      </c>
      <c r="X680">
        <v>134</v>
      </c>
      <c r="Y680">
        <v>107</v>
      </c>
      <c r="Z680">
        <v>95</v>
      </c>
      <c r="AA680">
        <v>3</v>
      </c>
      <c r="AB680">
        <v>11.6</v>
      </c>
      <c r="AC680" t="s">
        <v>231</v>
      </c>
      <c r="AD680" t="s">
        <v>188</v>
      </c>
      <c r="AE680" t="s">
        <v>185</v>
      </c>
      <c r="AG680" t="s">
        <v>1396</v>
      </c>
      <c r="AH680" t="s">
        <v>1397</v>
      </c>
      <c r="AI680" s="245">
        <v>419.99</v>
      </c>
      <c r="AJ680" t="s">
        <v>4487</v>
      </c>
      <c r="AK680" t="s">
        <v>3854</v>
      </c>
      <c r="AL680" t="s">
        <v>1179</v>
      </c>
      <c r="AM680" s="245">
        <v>479.95</v>
      </c>
      <c r="AN680" t="s">
        <v>4488</v>
      </c>
      <c r="AO680" t="s">
        <v>4489</v>
      </c>
      <c r="AP680" t="s">
        <v>2589</v>
      </c>
      <c r="AQ680" s="245">
        <v>419.95</v>
      </c>
      <c r="AR680" t="s">
        <v>4490</v>
      </c>
      <c r="AS680" s="226" t="str">
        <f t="shared" si="20"/>
        <v>Kanjo 84</v>
      </c>
      <c r="AT680" s="203" t="str">
        <f t="shared" si="21"/>
        <v xml:space="preserve"> Vï¿½lklKanjo 84168 Unisex</v>
      </c>
    </row>
    <row r="681" spans="1:46" ht="92.4">
      <c r="A681" t="s">
        <v>155</v>
      </c>
      <c r="B681" t="s">
        <v>1395</v>
      </c>
      <c r="C681" t="s">
        <v>311</v>
      </c>
      <c r="D681">
        <v>170</v>
      </c>
      <c r="E681" t="s">
        <v>163</v>
      </c>
      <c r="F681">
        <v>170</v>
      </c>
      <c r="G681">
        <v>171.2</v>
      </c>
      <c r="H681">
        <v>123</v>
      </c>
      <c r="I681">
        <v>148</v>
      </c>
      <c r="J681">
        <v>128</v>
      </c>
      <c r="K681">
        <v>87</v>
      </c>
      <c r="L681">
        <v>110</v>
      </c>
      <c r="M681">
        <v>16.399999999999999</v>
      </c>
      <c r="N681">
        <v>1843</v>
      </c>
      <c r="O681">
        <v>0.93</v>
      </c>
      <c r="P681">
        <v>1713</v>
      </c>
      <c r="Q681">
        <v>189</v>
      </c>
      <c r="R681">
        <v>126</v>
      </c>
      <c r="S681">
        <v>45</v>
      </c>
      <c r="T681">
        <v>296</v>
      </c>
      <c r="U681">
        <v>15</v>
      </c>
      <c r="V681">
        <v>187</v>
      </c>
      <c r="W681">
        <v>0.32100000000000001</v>
      </c>
      <c r="X681">
        <v>134</v>
      </c>
      <c r="Y681">
        <v>102</v>
      </c>
      <c r="Z681">
        <v>163</v>
      </c>
      <c r="AA681">
        <v>3</v>
      </c>
      <c r="AB681">
        <v>11.3</v>
      </c>
      <c r="AC681" t="s">
        <v>188</v>
      </c>
      <c r="AG681" t="s">
        <v>4491</v>
      </c>
      <c r="AH681" t="s">
        <v>1226</v>
      </c>
      <c r="AI681" s="245">
        <v>699.99</v>
      </c>
      <c r="AJ681" t="s">
        <v>4492</v>
      </c>
      <c r="AK681" t="s">
        <v>4493</v>
      </c>
      <c r="AL681" t="s">
        <v>1194</v>
      </c>
      <c r="AM681" s="245">
        <v>451.78</v>
      </c>
      <c r="AN681" t="s">
        <v>4494</v>
      </c>
      <c r="AO681" t="s">
        <v>4493</v>
      </c>
      <c r="AP681" t="s">
        <v>1421</v>
      </c>
      <c r="AQ681" s="245">
        <v>519.99</v>
      </c>
      <c r="AR681" t="s">
        <v>4495</v>
      </c>
      <c r="AS681" s="226" t="str">
        <f t="shared" si="20"/>
        <v>Kenja 88</v>
      </c>
      <c r="AT681" s="203" t="str">
        <f t="shared" si="21"/>
        <v xml:space="preserve"> Vï¿½lklKenja 88170 Women's</v>
      </c>
    </row>
    <row r="682" spans="1:46" ht="92.4">
      <c r="A682" t="s">
        <v>155</v>
      </c>
      <c r="B682" t="s">
        <v>332</v>
      </c>
      <c r="C682" t="s">
        <v>726</v>
      </c>
      <c r="D682">
        <v>165</v>
      </c>
      <c r="E682" t="s">
        <v>163</v>
      </c>
      <c r="F682">
        <v>165</v>
      </c>
      <c r="G682">
        <v>164.1</v>
      </c>
      <c r="H682">
        <v>123</v>
      </c>
      <c r="I682">
        <v>139</v>
      </c>
      <c r="J682">
        <v>121</v>
      </c>
      <c r="K682">
        <v>83</v>
      </c>
      <c r="L682">
        <v>105</v>
      </c>
      <c r="M682">
        <v>15.3</v>
      </c>
      <c r="N682">
        <v>1560</v>
      </c>
      <c r="O682">
        <v>1.01</v>
      </c>
      <c r="P682">
        <v>1572</v>
      </c>
      <c r="Q682">
        <v>164</v>
      </c>
      <c r="R682">
        <v>75</v>
      </c>
      <c r="S682">
        <v>58</v>
      </c>
      <c r="T682">
        <v>259</v>
      </c>
      <c r="U682">
        <v>17</v>
      </c>
      <c r="V682">
        <v>150</v>
      </c>
      <c r="W682">
        <v>0.28599999999999998</v>
      </c>
      <c r="X682">
        <v>142</v>
      </c>
      <c r="Y682">
        <v>104</v>
      </c>
      <c r="Z682">
        <v>117</v>
      </c>
      <c r="AA682">
        <v>3</v>
      </c>
      <c r="AB682">
        <v>10.4</v>
      </c>
      <c r="AC682" t="s">
        <v>231</v>
      </c>
      <c r="AD682" t="s">
        <v>188</v>
      </c>
      <c r="AG682" t="s">
        <v>4496</v>
      </c>
      <c r="AH682" t="s">
        <v>1204</v>
      </c>
      <c r="AI682" s="245">
        <v>400.85</v>
      </c>
      <c r="AJ682" t="s">
        <v>4497</v>
      </c>
      <c r="AK682" t="s">
        <v>4498</v>
      </c>
      <c r="AL682" t="s">
        <v>1421</v>
      </c>
      <c r="AM682" s="245">
        <v>412.49</v>
      </c>
      <c r="AN682" t="s">
        <v>4499</v>
      </c>
      <c r="AO682" t="s">
        <v>4500</v>
      </c>
      <c r="AP682" t="s">
        <v>1497</v>
      </c>
      <c r="AQ682" s="245">
        <v>439.96</v>
      </c>
      <c r="AR682" t="s">
        <v>4501</v>
      </c>
      <c r="AS682" s="226" t="str">
        <f t="shared" si="20"/>
        <v>Santa Ana 84</v>
      </c>
      <c r="AT682" s="203" t="str">
        <f t="shared" si="21"/>
        <v xml:space="preserve"> NordicaSanta Ana 84165 Women's</v>
      </c>
    </row>
    <row r="683" spans="1:46" ht="66">
      <c r="A683" t="s">
        <v>155</v>
      </c>
      <c r="B683" t="s">
        <v>1395</v>
      </c>
      <c r="C683" t="s">
        <v>470</v>
      </c>
      <c r="D683">
        <v>156</v>
      </c>
      <c r="E683" t="s">
        <v>158</v>
      </c>
      <c r="F683">
        <v>156</v>
      </c>
      <c r="G683">
        <v>155.5</v>
      </c>
      <c r="H683">
        <v>113</v>
      </c>
      <c r="I683">
        <v>141</v>
      </c>
      <c r="J683">
        <v>119</v>
      </c>
      <c r="K683">
        <v>85</v>
      </c>
      <c r="L683">
        <v>109</v>
      </c>
      <c r="M683">
        <v>16.600000000000001</v>
      </c>
      <c r="N683">
        <v>1556</v>
      </c>
      <c r="O683">
        <v>0.96</v>
      </c>
      <c r="P683">
        <v>1487</v>
      </c>
      <c r="Q683">
        <v>155</v>
      </c>
      <c r="R683">
        <v>73</v>
      </c>
      <c r="S683">
        <v>41</v>
      </c>
      <c r="T683">
        <v>234</v>
      </c>
      <c r="U683">
        <v>39</v>
      </c>
      <c r="V683">
        <v>189</v>
      </c>
      <c r="W683">
        <v>0.96299999999999997</v>
      </c>
      <c r="X683">
        <v>79</v>
      </c>
      <c r="Y683">
        <v>71</v>
      </c>
      <c r="Z683">
        <v>155</v>
      </c>
      <c r="AA683">
        <v>3</v>
      </c>
      <c r="AB683">
        <v>1.3</v>
      </c>
      <c r="AC683" t="s">
        <v>184</v>
      </c>
      <c r="AG683" t="s">
        <v>4502</v>
      </c>
      <c r="AH683" t="s">
        <v>2818</v>
      </c>
      <c r="AI683" s="245">
        <v>359</v>
      </c>
      <c r="AJ683" t="s">
        <v>4503</v>
      </c>
      <c r="AK683" t="s">
        <v>4502</v>
      </c>
      <c r="AL683" t="s">
        <v>1305</v>
      </c>
      <c r="AM683" s="245">
        <v>359</v>
      </c>
      <c r="AN683" t="s">
        <v>4504</v>
      </c>
      <c r="AO683" t="s">
        <v>4505</v>
      </c>
      <c r="AP683" t="s">
        <v>3196</v>
      </c>
      <c r="AQ683" s="245">
        <v>399.99</v>
      </c>
      <c r="AR683" t="s">
        <v>4506</v>
      </c>
      <c r="AS683" s="226" t="str">
        <f t="shared" si="20"/>
        <v>Bash 86</v>
      </c>
      <c r="AT683" s="203" t="str">
        <f t="shared" si="21"/>
        <v xml:space="preserve"> Vï¿½lklBash 86156 Unisex</v>
      </c>
    </row>
    <row r="684" spans="1:46" ht="66">
      <c r="A684" t="s">
        <v>155</v>
      </c>
      <c r="B684" t="s">
        <v>1160</v>
      </c>
      <c r="C684" t="s">
        <v>522</v>
      </c>
      <c r="D684">
        <v>177</v>
      </c>
      <c r="E684" t="s">
        <v>158</v>
      </c>
      <c r="F684">
        <v>177</v>
      </c>
      <c r="G684">
        <v>176.9</v>
      </c>
      <c r="H684">
        <v>125</v>
      </c>
      <c r="I684">
        <v>150</v>
      </c>
      <c r="J684">
        <v>137</v>
      </c>
      <c r="K684">
        <v>99</v>
      </c>
      <c r="L684">
        <v>122</v>
      </c>
      <c r="M684">
        <v>17.5</v>
      </c>
      <c r="N684">
        <v>2031</v>
      </c>
      <c r="O684">
        <v>0.96</v>
      </c>
      <c r="P684">
        <v>1957</v>
      </c>
      <c r="Q684">
        <v>202</v>
      </c>
      <c r="R684">
        <v>122</v>
      </c>
      <c r="S684">
        <v>49</v>
      </c>
      <c r="T684">
        <v>319</v>
      </c>
      <c r="U684">
        <v>15</v>
      </c>
      <c r="V684">
        <v>202</v>
      </c>
      <c r="W684">
        <v>0.29399999999999998</v>
      </c>
      <c r="X684">
        <v>152</v>
      </c>
      <c r="Y684">
        <v>122</v>
      </c>
      <c r="Z684">
        <v>167</v>
      </c>
      <c r="AA684">
        <v>7</v>
      </c>
      <c r="AB684">
        <v>11</v>
      </c>
      <c r="AC684" t="s">
        <v>188</v>
      </c>
      <c r="AG684" t="s">
        <v>4507</v>
      </c>
      <c r="AH684" t="s">
        <v>1240</v>
      </c>
      <c r="AI684" s="245">
        <v>669.95</v>
      </c>
      <c r="AJ684" t="s">
        <v>4508</v>
      </c>
      <c r="AK684" t="s">
        <v>1725</v>
      </c>
      <c r="AL684" t="s">
        <v>1282</v>
      </c>
      <c r="AM684" s="245">
        <v>499.95</v>
      </c>
      <c r="AN684" t="s">
        <v>4509</v>
      </c>
      <c r="AO684" t="s">
        <v>4510</v>
      </c>
      <c r="AP684" t="s">
        <v>1277</v>
      </c>
      <c r="AQ684" s="245">
        <v>500</v>
      </c>
      <c r="AR684" t="s">
        <v>4511</v>
      </c>
      <c r="AS684" s="226" t="str">
        <f t="shared" si="20"/>
        <v>Mindbender 99 Ti</v>
      </c>
      <c r="AT684" s="203" t="str">
        <f t="shared" si="21"/>
        <v>K2Mindbender 99 Ti177 Unisex</v>
      </c>
    </row>
    <row r="685" spans="1:46" ht="26.4">
      <c r="A685" t="s">
        <v>155</v>
      </c>
      <c r="B685" t="s">
        <v>227</v>
      </c>
      <c r="C685" t="s">
        <v>681</v>
      </c>
      <c r="D685">
        <v>180</v>
      </c>
      <c r="E685" t="s">
        <v>158</v>
      </c>
      <c r="F685">
        <v>180</v>
      </c>
      <c r="G685">
        <v>178.2</v>
      </c>
      <c r="H685">
        <v>119</v>
      </c>
      <c r="I685">
        <v>149</v>
      </c>
      <c r="J685">
        <v>130</v>
      </c>
      <c r="K685">
        <v>99</v>
      </c>
      <c r="L685">
        <v>120</v>
      </c>
      <c r="M685">
        <v>19.2</v>
      </c>
      <c r="N685">
        <v>1481</v>
      </c>
      <c r="O685">
        <v>1.32</v>
      </c>
      <c r="P685">
        <v>1952</v>
      </c>
      <c r="Q685">
        <v>221</v>
      </c>
      <c r="R685">
        <v>54</v>
      </c>
      <c r="S685">
        <v>75</v>
      </c>
      <c r="T685">
        <v>330</v>
      </c>
      <c r="U685">
        <v>31</v>
      </c>
      <c r="V685">
        <v>262</v>
      </c>
      <c r="W685">
        <v>0.41699999999999998</v>
      </c>
      <c r="X685">
        <v>157</v>
      </c>
      <c r="Y685">
        <v>131</v>
      </c>
      <c r="Z685">
        <v>173</v>
      </c>
      <c r="AA685">
        <v>5</v>
      </c>
      <c r="AB685">
        <v>11.5</v>
      </c>
      <c r="AC685" t="s">
        <v>185</v>
      </c>
      <c r="AD685" t="s">
        <v>198</v>
      </c>
      <c r="AS685" s="226" t="str">
        <f t="shared" si="20"/>
        <v>Chinook 99</v>
      </c>
      <c r="AT685" s="203" t="str">
        <f t="shared" si="21"/>
        <v xml:space="preserve"> RaccoonChinook 99180 Unisex</v>
      </c>
    </row>
    <row r="686" spans="1:46" ht="92.4">
      <c r="A686" t="s">
        <v>155</v>
      </c>
      <c r="B686" t="s">
        <v>1160</v>
      </c>
      <c r="C686" t="s">
        <v>670</v>
      </c>
      <c r="D686">
        <v>169</v>
      </c>
      <c r="E686" t="s">
        <v>163</v>
      </c>
      <c r="F686">
        <v>169</v>
      </c>
      <c r="G686">
        <v>168.9</v>
      </c>
      <c r="H686">
        <v>117</v>
      </c>
      <c r="I686">
        <v>143</v>
      </c>
      <c r="J686">
        <v>123</v>
      </c>
      <c r="K686">
        <v>91</v>
      </c>
      <c r="L686">
        <v>113</v>
      </c>
      <c r="M686">
        <v>17.399999999999999</v>
      </c>
      <c r="N686">
        <v>1680</v>
      </c>
      <c r="O686">
        <v>1.02</v>
      </c>
      <c r="P686">
        <v>1716</v>
      </c>
      <c r="Q686">
        <v>155</v>
      </c>
      <c r="R686">
        <v>79</v>
      </c>
      <c r="S686">
        <v>49</v>
      </c>
      <c r="T686">
        <v>265</v>
      </c>
      <c r="U686">
        <v>40</v>
      </c>
      <c r="V686">
        <v>252</v>
      </c>
      <c r="W686">
        <v>0.83099999999999996</v>
      </c>
      <c r="X686">
        <v>118</v>
      </c>
      <c r="Y686">
        <v>142</v>
      </c>
      <c r="Z686">
        <v>147</v>
      </c>
      <c r="AA686">
        <v>7</v>
      </c>
      <c r="AB686">
        <v>4.8</v>
      </c>
      <c r="AC686" t="s">
        <v>188</v>
      </c>
      <c r="AD686" t="s">
        <v>184</v>
      </c>
      <c r="AG686" t="s">
        <v>3382</v>
      </c>
      <c r="AH686" t="s">
        <v>1226</v>
      </c>
      <c r="AI686" s="245">
        <v>299</v>
      </c>
      <c r="AJ686" t="s">
        <v>4512</v>
      </c>
      <c r="AK686" t="s">
        <v>3384</v>
      </c>
      <c r="AL686" t="s">
        <v>2594</v>
      </c>
      <c r="AM686" s="245">
        <v>299.95</v>
      </c>
      <c r="AN686" t="s">
        <v>4513</v>
      </c>
      <c r="AO686" t="s">
        <v>4454</v>
      </c>
      <c r="AP686" t="s">
        <v>1224</v>
      </c>
      <c r="AQ686" s="245">
        <v>299.95</v>
      </c>
      <c r="AR686" t="s">
        <v>4514</v>
      </c>
      <c r="AS686" s="226" t="str">
        <f t="shared" si="20"/>
        <v>Reckoner 92 Alliance</v>
      </c>
      <c r="AT686" s="203" t="str">
        <f t="shared" si="21"/>
        <v>K2Reckoner 92 Alliance169 Women's</v>
      </c>
    </row>
    <row r="687" spans="1:46" ht="158.4">
      <c r="A687" t="s">
        <v>155</v>
      </c>
      <c r="B687" t="s">
        <v>172</v>
      </c>
      <c r="C687" t="s">
        <v>661</v>
      </c>
      <c r="D687">
        <v>148</v>
      </c>
      <c r="E687" t="s">
        <v>163</v>
      </c>
      <c r="F687">
        <v>148</v>
      </c>
      <c r="G687">
        <v>148.4</v>
      </c>
      <c r="H687">
        <v>109</v>
      </c>
      <c r="I687">
        <v>134</v>
      </c>
      <c r="J687">
        <v>131</v>
      </c>
      <c r="K687">
        <v>84</v>
      </c>
      <c r="L687">
        <v>119</v>
      </c>
      <c r="M687">
        <v>10.4</v>
      </c>
      <c r="N687">
        <v>1654</v>
      </c>
      <c r="O687">
        <v>0.89</v>
      </c>
      <c r="P687">
        <v>1474</v>
      </c>
      <c r="Q687">
        <v>178</v>
      </c>
      <c r="R687">
        <v>74</v>
      </c>
      <c r="S687">
        <v>51</v>
      </c>
      <c r="T687">
        <v>263</v>
      </c>
      <c r="U687">
        <v>13</v>
      </c>
      <c r="V687">
        <v>129</v>
      </c>
      <c r="W687">
        <v>0.26400000000000001</v>
      </c>
      <c r="X687">
        <v>78</v>
      </c>
      <c r="Y687">
        <v>66</v>
      </c>
      <c r="Z687">
        <v>185</v>
      </c>
      <c r="AA687">
        <v>8</v>
      </c>
      <c r="AB687">
        <v>6.4</v>
      </c>
      <c r="AC687" t="s">
        <v>188</v>
      </c>
      <c r="AG687" t="s">
        <v>4515</v>
      </c>
      <c r="AH687" t="s">
        <v>1421</v>
      </c>
      <c r="AI687" s="245">
        <v>479.96</v>
      </c>
      <c r="AJ687" t="s">
        <v>4516</v>
      </c>
      <c r="AK687" t="s">
        <v>4517</v>
      </c>
      <c r="AL687" t="s">
        <v>1320</v>
      </c>
      <c r="AM687" s="245">
        <v>599.95000000000005</v>
      </c>
      <c r="AN687" t="s">
        <v>4518</v>
      </c>
      <c r="AO687" t="s">
        <v>4519</v>
      </c>
      <c r="AP687" t="s">
        <v>3832</v>
      </c>
      <c r="AQ687" s="245">
        <v>375</v>
      </c>
      <c r="AR687" t="s">
        <v>4520</v>
      </c>
      <c r="AS687" s="226" t="str">
        <f t="shared" si="20"/>
        <v>Experience 86 Basalt W</v>
      </c>
      <c r="AT687" s="203" t="str">
        <f t="shared" si="21"/>
        <v xml:space="preserve"> RossignolExperience 86 Basalt W148 Women's</v>
      </c>
    </row>
    <row r="688" spans="1:46" ht="92.4">
      <c r="A688" t="s">
        <v>155</v>
      </c>
      <c r="B688" t="s">
        <v>332</v>
      </c>
      <c r="C688" t="s">
        <v>726</v>
      </c>
      <c r="D688">
        <v>158</v>
      </c>
      <c r="E688" t="s">
        <v>163</v>
      </c>
      <c r="F688">
        <v>158</v>
      </c>
      <c r="G688">
        <v>157.19999999999999</v>
      </c>
      <c r="H688">
        <v>118</v>
      </c>
      <c r="I688">
        <v>133</v>
      </c>
      <c r="J688">
        <v>120</v>
      </c>
      <c r="K688">
        <v>83</v>
      </c>
      <c r="L688">
        <v>105</v>
      </c>
      <c r="M688">
        <v>14</v>
      </c>
      <c r="N688">
        <v>1529</v>
      </c>
      <c r="O688">
        <v>0.98</v>
      </c>
      <c r="P688">
        <v>1505</v>
      </c>
      <c r="Q688">
        <v>174</v>
      </c>
      <c r="R688">
        <v>79</v>
      </c>
      <c r="S688">
        <v>59</v>
      </c>
      <c r="T688">
        <v>254</v>
      </c>
      <c r="U688">
        <v>15</v>
      </c>
      <c r="V688">
        <v>141</v>
      </c>
      <c r="W688">
        <v>0.26300000000000001</v>
      </c>
      <c r="X688">
        <v>141</v>
      </c>
      <c r="Y688">
        <v>98</v>
      </c>
      <c r="Z688">
        <v>113</v>
      </c>
      <c r="AA688">
        <v>5</v>
      </c>
      <c r="AB688">
        <v>10.1</v>
      </c>
      <c r="AC688" t="s">
        <v>231</v>
      </c>
      <c r="AD688" t="s">
        <v>188</v>
      </c>
      <c r="AG688" t="s">
        <v>4521</v>
      </c>
      <c r="AH688" t="s">
        <v>1204</v>
      </c>
      <c r="AI688" s="245">
        <v>400.85</v>
      </c>
      <c r="AJ688" t="s">
        <v>4522</v>
      </c>
      <c r="AK688" t="s">
        <v>4523</v>
      </c>
      <c r="AL688" t="s">
        <v>1497</v>
      </c>
      <c r="AM688" s="245">
        <v>439.96</v>
      </c>
      <c r="AN688" t="s">
        <v>4524</v>
      </c>
      <c r="AO688" t="s">
        <v>4498</v>
      </c>
      <c r="AP688" t="s">
        <v>2130</v>
      </c>
      <c r="AQ688" s="245">
        <v>439.99</v>
      </c>
      <c r="AR688" t="s">
        <v>4525</v>
      </c>
      <c r="AS688" s="226" t="str">
        <f t="shared" si="20"/>
        <v>Santa Ana 84</v>
      </c>
      <c r="AT688" s="203" t="str">
        <f t="shared" si="21"/>
        <v xml:space="preserve"> NordicaSanta Ana 84158 Women's</v>
      </c>
    </row>
    <row r="689" spans="1:46" ht="52.8">
      <c r="A689" t="s">
        <v>155</v>
      </c>
      <c r="B689" t="s">
        <v>156</v>
      </c>
      <c r="C689" t="s">
        <v>696</v>
      </c>
      <c r="D689">
        <v>184</v>
      </c>
      <c r="E689" t="s">
        <v>158</v>
      </c>
      <c r="F689">
        <v>184</v>
      </c>
      <c r="G689">
        <v>182.6</v>
      </c>
      <c r="H689">
        <v>107</v>
      </c>
      <c r="I689">
        <v>137</v>
      </c>
      <c r="J689">
        <v>142</v>
      </c>
      <c r="K689">
        <v>119</v>
      </c>
      <c r="L689">
        <v>133</v>
      </c>
      <c r="M689">
        <v>20.2</v>
      </c>
      <c r="N689">
        <v>1816</v>
      </c>
      <c r="O689">
        <v>1.25</v>
      </c>
      <c r="P689">
        <v>2262</v>
      </c>
      <c r="Q689">
        <v>255</v>
      </c>
      <c r="R689">
        <v>103</v>
      </c>
      <c r="S689">
        <v>54</v>
      </c>
      <c r="T689">
        <v>395</v>
      </c>
      <c r="U689">
        <v>53</v>
      </c>
      <c r="V689">
        <v>359</v>
      </c>
      <c r="W689">
        <v>0.98799999999999999</v>
      </c>
      <c r="X689">
        <v>204</v>
      </c>
      <c r="Y689">
        <v>255</v>
      </c>
      <c r="Z689">
        <v>191</v>
      </c>
      <c r="AA689">
        <v>5</v>
      </c>
      <c r="AB689">
        <v>3.9</v>
      </c>
      <c r="AC689" t="s">
        <v>184</v>
      </c>
      <c r="AD689" t="s">
        <v>169</v>
      </c>
      <c r="AE689" t="s">
        <v>185</v>
      </c>
      <c r="AG689" t="s">
        <v>4191</v>
      </c>
      <c r="AH689" t="s">
        <v>1349</v>
      </c>
      <c r="AI689" s="245">
        <v>494.99</v>
      </c>
      <c r="AJ689" t="s">
        <v>4526</v>
      </c>
      <c r="AK689" t="s">
        <v>4191</v>
      </c>
      <c r="AL689" t="s">
        <v>1271</v>
      </c>
      <c r="AM689" s="245">
        <v>599.92999999999995</v>
      </c>
      <c r="AN689" t="s">
        <v>4527</v>
      </c>
      <c r="AO689" t="s">
        <v>4191</v>
      </c>
      <c r="AP689" t="s">
        <v>1224</v>
      </c>
      <c r="AQ689" s="245">
        <v>599.99</v>
      </c>
      <c r="AR689" t="s">
        <v>4528</v>
      </c>
      <c r="AS689" s="226" t="str">
        <f t="shared" si="20"/>
        <v>Bent Chetler 120</v>
      </c>
      <c r="AT689" s="203" t="str">
        <f t="shared" si="21"/>
        <v xml:space="preserve"> AtomicBent Chetler 120184 Unisex</v>
      </c>
    </row>
    <row r="690" spans="1:46" ht="92.4">
      <c r="A690" t="s">
        <v>155</v>
      </c>
      <c r="B690" t="s">
        <v>215</v>
      </c>
      <c r="C690" t="s">
        <v>727</v>
      </c>
      <c r="D690">
        <v>165</v>
      </c>
      <c r="E690" t="s">
        <v>163</v>
      </c>
      <c r="F690">
        <v>165</v>
      </c>
      <c r="G690">
        <v>164.5</v>
      </c>
      <c r="H690">
        <v>105</v>
      </c>
      <c r="I690">
        <v>136</v>
      </c>
      <c r="J690">
        <v>125</v>
      </c>
      <c r="K690">
        <v>90</v>
      </c>
      <c r="L690">
        <v>111</v>
      </c>
      <c r="M690">
        <v>14.8</v>
      </c>
      <c r="N690">
        <v>1554</v>
      </c>
      <c r="O690">
        <v>1.06</v>
      </c>
      <c r="P690">
        <v>1649</v>
      </c>
      <c r="Q690">
        <v>173</v>
      </c>
      <c r="R690">
        <v>78</v>
      </c>
      <c r="S690">
        <v>43</v>
      </c>
      <c r="T690">
        <v>345</v>
      </c>
      <c r="U690">
        <v>21</v>
      </c>
      <c r="V690">
        <v>246</v>
      </c>
      <c r="W690">
        <v>0.48399999999999999</v>
      </c>
      <c r="X690">
        <v>133</v>
      </c>
      <c r="Y690">
        <v>152</v>
      </c>
      <c r="Z690">
        <v>213</v>
      </c>
      <c r="AA690">
        <v>5</v>
      </c>
      <c r="AB690">
        <v>7.7</v>
      </c>
      <c r="AC690" t="s">
        <v>188</v>
      </c>
      <c r="AD690" t="s">
        <v>185</v>
      </c>
      <c r="AG690" t="s">
        <v>4529</v>
      </c>
      <c r="AH690" t="s">
        <v>1240</v>
      </c>
      <c r="AI690" s="245">
        <v>399.95</v>
      </c>
      <c r="AJ690" t="s">
        <v>4530</v>
      </c>
      <c r="AK690" t="s">
        <v>4531</v>
      </c>
      <c r="AL690" t="s">
        <v>1450</v>
      </c>
      <c r="AM690" s="245">
        <v>499.95</v>
      </c>
      <c r="AN690" t="s">
        <v>4532</v>
      </c>
      <c r="AO690" t="s">
        <v>1641</v>
      </c>
      <c r="AP690" t="s">
        <v>1588</v>
      </c>
      <c r="AQ690" s="245">
        <v>425</v>
      </c>
      <c r="AR690" t="s">
        <v>4533</v>
      </c>
      <c r="AS690" s="226" t="str">
        <f t="shared" si="20"/>
        <v>Genesis 90</v>
      </c>
      <c r="AT690" s="203" t="str">
        <f t="shared" si="21"/>
        <v xml:space="preserve"> LibertyGenesis 90165 Women's</v>
      </c>
    </row>
    <row r="691" spans="1:46" ht="39.6">
      <c r="A691" t="s">
        <v>155</v>
      </c>
      <c r="B691" t="s">
        <v>227</v>
      </c>
      <c r="C691" t="s">
        <v>728</v>
      </c>
      <c r="D691">
        <v>164</v>
      </c>
      <c r="E691" t="s">
        <v>163</v>
      </c>
      <c r="F691">
        <v>164</v>
      </c>
      <c r="G691">
        <v>162.30000000000001</v>
      </c>
      <c r="H691">
        <v>104</v>
      </c>
      <c r="I691">
        <v>136</v>
      </c>
      <c r="J691">
        <v>129</v>
      </c>
      <c r="K691">
        <v>99</v>
      </c>
      <c r="L691">
        <v>120</v>
      </c>
      <c r="M691">
        <v>16</v>
      </c>
      <c r="N691">
        <v>1505</v>
      </c>
      <c r="O691">
        <v>1.18</v>
      </c>
      <c r="P691">
        <v>1776</v>
      </c>
      <c r="Q691">
        <v>152</v>
      </c>
      <c r="R691">
        <v>75</v>
      </c>
      <c r="S691">
        <v>64</v>
      </c>
      <c r="T691">
        <v>363</v>
      </c>
      <c r="U691">
        <v>26</v>
      </c>
      <c r="V691">
        <v>219</v>
      </c>
      <c r="W691">
        <v>0.41099999999999998</v>
      </c>
      <c r="X691">
        <v>151</v>
      </c>
      <c r="Y691">
        <v>114</v>
      </c>
      <c r="Z691">
        <v>212</v>
      </c>
      <c r="AA691">
        <v>6</v>
      </c>
      <c r="AB691">
        <v>10.6</v>
      </c>
      <c r="AC691" t="s">
        <v>188</v>
      </c>
      <c r="AD691" t="s">
        <v>185</v>
      </c>
      <c r="AS691" s="226" t="str">
        <f t="shared" si="20"/>
        <v>Le Grizzly 99 W</v>
      </c>
      <c r="AT691" s="203" t="str">
        <f t="shared" si="21"/>
        <v xml:space="preserve"> RaccoonLe Grizzly 99 W164 Women's</v>
      </c>
    </row>
    <row r="692" spans="1:46" ht="105.6">
      <c r="A692" t="s">
        <v>155</v>
      </c>
      <c r="B692" t="s">
        <v>164</v>
      </c>
      <c r="C692" t="s">
        <v>693</v>
      </c>
      <c r="D692">
        <v>160</v>
      </c>
      <c r="E692" t="s">
        <v>158</v>
      </c>
      <c r="F692">
        <v>160</v>
      </c>
      <c r="G692">
        <v>158.5</v>
      </c>
      <c r="H692">
        <v>138</v>
      </c>
      <c r="I692">
        <v>144</v>
      </c>
      <c r="J692">
        <v>125</v>
      </c>
      <c r="K692">
        <v>76</v>
      </c>
      <c r="L692">
        <v>105</v>
      </c>
      <c r="M692">
        <v>13.2</v>
      </c>
      <c r="N692">
        <v>1808</v>
      </c>
      <c r="O692">
        <v>0.8</v>
      </c>
      <c r="P692">
        <v>1443</v>
      </c>
      <c r="Q692">
        <v>176</v>
      </c>
      <c r="R692">
        <v>81</v>
      </c>
      <c r="S692">
        <v>29</v>
      </c>
      <c r="T692">
        <v>138</v>
      </c>
      <c r="U692">
        <v>11</v>
      </c>
      <c r="V692">
        <v>72</v>
      </c>
      <c r="W692">
        <v>0.36899999999999999</v>
      </c>
      <c r="X692">
        <v>86</v>
      </c>
      <c r="Y692">
        <v>60</v>
      </c>
      <c r="Z692">
        <v>52</v>
      </c>
      <c r="AA692">
        <v>9</v>
      </c>
      <c r="AB692">
        <v>8.9</v>
      </c>
      <c r="AC692" t="s">
        <v>349</v>
      </c>
      <c r="AG692" t="s">
        <v>4534</v>
      </c>
      <c r="AH692" t="s">
        <v>1204</v>
      </c>
      <c r="AI692" s="245">
        <v>561.20000000000005</v>
      </c>
      <c r="AJ692" t="s">
        <v>4535</v>
      </c>
      <c r="AK692" t="s">
        <v>4167</v>
      </c>
      <c r="AL692" t="s">
        <v>1179</v>
      </c>
      <c r="AM692" s="245">
        <v>599.99</v>
      </c>
      <c r="AN692" t="s">
        <v>4536</v>
      </c>
      <c r="AO692" t="s">
        <v>4537</v>
      </c>
      <c r="AP692" t="s">
        <v>1365</v>
      </c>
      <c r="AQ692" s="245">
        <v>399.99</v>
      </c>
      <c r="AR692" t="s">
        <v>4538</v>
      </c>
      <c r="AS692" s="226" t="str">
        <f t="shared" si="20"/>
        <v>Wingman 78 Ti</v>
      </c>
      <c r="AT692" s="203" t="str">
        <f t="shared" si="21"/>
        <v xml:space="preserve"> ElanWingman 78 Ti160 Unisex</v>
      </c>
    </row>
    <row r="693" spans="1:46" ht="92.4">
      <c r="A693" t="s">
        <v>155</v>
      </c>
      <c r="B693" t="s">
        <v>237</v>
      </c>
      <c r="C693" t="s">
        <v>604</v>
      </c>
      <c r="D693">
        <v>171.1</v>
      </c>
      <c r="E693" t="s">
        <v>158</v>
      </c>
      <c r="F693">
        <v>171.1</v>
      </c>
      <c r="G693">
        <v>169.9</v>
      </c>
      <c r="H693">
        <v>119</v>
      </c>
      <c r="I693">
        <v>137</v>
      </c>
      <c r="J693">
        <v>118</v>
      </c>
      <c r="K693">
        <v>89</v>
      </c>
      <c r="L693">
        <v>110</v>
      </c>
      <c r="M693">
        <v>17.3</v>
      </c>
      <c r="N693">
        <v>1634</v>
      </c>
      <c r="O693">
        <v>1.04</v>
      </c>
      <c r="P693">
        <v>1703</v>
      </c>
      <c r="Q693">
        <v>147</v>
      </c>
      <c r="R693">
        <v>71</v>
      </c>
      <c r="S693">
        <v>41</v>
      </c>
      <c r="T693">
        <v>315</v>
      </c>
      <c r="U693">
        <v>34</v>
      </c>
      <c r="V693">
        <v>198</v>
      </c>
      <c r="W693">
        <v>0.81899999999999995</v>
      </c>
      <c r="X693">
        <v>207</v>
      </c>
      <c r="Y693">
        <v>120</v>
      </c>
      <c r="Z693">
        <v>108</v>
      </c>
      <c r="AA693">
        <v>4</v>
      </c>
      <c r="AB693">
        <v>6.5</v>
      </c>
      <c r="AC693" t="s">
        <v>188</v>
      </c>
      <c r="AD693" t="s">
        <v>184</v>
      </c>
      <c r="AG693" t="s">
        <v>4539</v>
      </c>
      <c r="AH693" t="s">
        <v>1858</v>
      </c>
      <c r="AI693" s="245">
        <v>455</v>
      </c>
      <c r="AJ693" t="s">
        <v>4540</v>
      </c>
      <c r="AK693" t="s">
        <v>3386</v>
      </c>
      <c r="AL693" t="s">
        <v>1271</v>
      </c>
      <c r="AM693" s="245">
        <v>455.96</v>
      </c>
      <c r="AN693" t="s">
        <v>4541</v>
      </c>
      <c r="AO693" t="s">
        <v>4539</v>
      </c>
      <c r="AP693" t="s">
        <v>1224</v>
      </c>
      <c r="AQ693" s="245">
        <v>455.96</v>
      </c>
      <c r="AR693" t="s">
        <v>4542</v>
      </c>
      <c r="AS693" s="226" t="str">
        <f t="shared" si="20"/>
        <v>Captis</v>
      </c>
      <c r="AT693" s="203" t="str">
        <f t="shared" si="21"/>
        <v xml:space="preserve"> Black CrowsCaptis171.1 Unisex</v>
      </c>
    </row>
    <row r="694" spans="1:46" ht="79.2">
      <c r="A694" t="s">
        <v>155</v>
      </c>
      <c r="B694" t="s">
        <v>208</v>
      </c>
      <c r="C694" t="s">
        <v>637</v>
      </c>
      <c r="D694">
        <v>185</v>
      </c>
      <c r="E694" t="s">
        <v>158</v>
      </c>
      <c r="F694">
        <v>185</v>
      </c>
      <c r="G694">
        <v>185.3</v>
      </c>
      <c r="H694">
        <v>148</v>
      </c>
      <c r="I694">
        <v>151</v>
      </c>
      <c r="J694">
        <v>128</v>
      </c>
      <c r="K694">
        <v>94</v>
      </c>
      <c r="L694">
        <v>119</v>
      </c>
      <c r="M694">
        <v>18.600000000000001</v>
      </c>
      <c r="N694">
        <v>1982</v>
      </c>
      <c r="O694">
        <v>0.99</v>
      </c>
      <c r="P694">
        <v>1954</v>
      </c>
      <c r="Q694">
        <v>179</v>
      </c>
      <c r="R694">
        <v>107</v>
      </c>
      <c r="S694">
        <v>37</v>
      </c>
      <c r="T694">
        <v>178</v>
      </c>
      <c r="U694">
        <v>38</v>
      </c>
      <c r="V694">
        <v>198</v>
      </c>
      <c r="W694">
        <v>1.026</v>
      </c>
      <c r="X694">
        <v>164</v>
      </c>
      <c r="Y694">
        <v>176</v>
      </c>
      <c r="Z694">
        <v>14</v>
      </c>
      <c r="AA694">
        <v>10</v>
      </c>
      <c r="AB694">
        <v>5.2</v>
      </c>
      <c r="AC694" t="s">
        <v>184</v>
      </c>
      <c r="AG694" t="s">
        <v>3617</v>
      </c>
      <c r="AH694" t="s">
        <v>1950</v>
      </c>
      <c r="AI694" s="245">
        <v>499.95</v>
      </c>
      <c r="AJ694" t="s">
        <v>4543</v>
      </c>
      <c r="AK694" t="s">
        <v>4544</v>
      </c>
      <c r="AL694" t="s">
        <v>1497</v>
      </c>
      <c r="AM694" s="245">
        <v>599.95000000000005</v>
      </c>
      <c r="AN694" t="s">
        <v>4545</v>
      </c>
      <c r="AO694" t="s">
        <v>4546</v>
      </c>
      <c r="AP694" t="s">
        <v>1271</v>
      </c>
      <c r="AQ694" s="245">
        <v>749.95</v>
      </c>
      <c r="AR694" t="s">
        <v>4547</v>
      </c>
      <c r="AS694" s="226" t="str">
        <f t="shared" si="20"/>
        <v>Chronic</v>
      </c>
      <c r="AT694" s="203" t="str">
        <f t="shared" si="21"/>
        <v xml:space="preserve"> LineChronic185 Unisex</v>
      </c>
    </row>
    <row r="695" spans="1:46" ht="66">
      <c r="A695" t="s">
        <v>155</v>
      </c>
      <c r="B695" t="s">
        <v>1160</v>
      </c>
      <c r="C695" t="s">
        <v>569</v>
      </c>
      <c r="D695">
        <v>169</v>
      </c>
      <c r="E695" t="s">
        <v>163</v>
      </c>
      <c r="F695">
        <v>169</v>
      </c>
      <c r="G695">
        <v>169.8</v>
      </c>
      <c r="H695">
        <v>128</v>
      </c>
      <c r="I695">
        <v>139</v>
      </c>
      <c r="J695">
        <v>116</v>
      </c>
      <c r="K695">
        <v>87</v>
      </c>
      <c r="L695">
        <v>110</v>
      </c>
      <c r="M695">
        <v>17</v>
      </c>
      <c r="N695">
        <v>1786</v>
      </c>
      <c r="O695">
        <v>0.93</v>
      </c>
      <c r="P695">
        <v>1659</v>
      </c>
      <c r="Q695">
        <v>173</v>
      </c>
      <c r="R695">
        <v>78</v>
      </c>
      <c r="S695">
        <v>49</v>
      </c>
      <c r="T695">
        <v>209</v>
      </c>
      <c r="U695">
        <v>48</v>
      </c>
      <c r="V695">
        <v>210</v>
      </c>
      <c r="W695">
        <v>0.97199999999999998</v>
      </c>
      <c r="X695">
        <v>160</v>
      </c>
      <c r="Y695">
        <v>149</v>
      </c>
      <c r="Z695">
        <v>49</v>
      </c>
      <c r="AA695">
        <v>6</v>
      </c>
      <c r="AB695">
        <v>3.8</v>
      </c>
      <c r="AC695" t="s">
        <v>184</v>
      </c>
      <c r="AG695" t="s">
        <v>4548</v>
      </c>
      <c r="AH695" t="s">
        <v>1509</v>
      </c>
      <c r="AI695" s="245">
        <v>296.99</v>
      </c>
      <c r="AJ695" t="s">
        <v>4549</v>
      </c>
      <c r="AK695" t="s">
        <v>4548</v>
      </c>
      <c r="AL695" t="s">
        <v>1326</v>
      </c>
      <c r="AM695" s="245">
        <v>303.92</v>
      </c>
      <c r="AN695" t="s">
        <v>4550</v>
      </c>
      <c r="AO695" t="s">
        <v>4548</v>
      </c>
      <c r="AP695" t="s">
        <v>1191</v>
      </c>
      <c r="AQ695" s="245">
        <v>309.95</v>
      </c>
      <c r="AR695" t="s">
        <v>4551</v>
      </c>
      <c r="AS695" s="226" t="str">
        <f t="shared" si="20"/>
        <v>Midnight</v>
      </c>
      <c r="AT695" s="203" t="str">
        <f t="shared" si="21"/>
        <v>K2Midnight169 Women's</v>
      </c>
    </row>
    <row r="696" spans="1:46" ht="105.6">
      <c r="A696" t="s">
        <v>155</v>
      </c>
      <c r="B696" t="s">
        <v>172</v>
      </c>
      <c r="C696" t="s">
        <v>676</v>
      </c>
      <c r="D696">
        <v>167</v>
      </c>
      <c r="E696" t="s">
        <v>158</v>
      </c>
      <c r="F696">
        <v>167</v>
      </c>
      <c r="G696">
        <v>167.5</v>
      </c>
      <c r="H696">
        <v>147</v>
      </c>
      <c r="I696">
        <v>154</v>
      </c>
      <c r="J696">
        <v>122</v>
      </c>
      <c r="K696">
        <v>73</v>
      </c>
      <c r="L696">
        <v>108</v>
      </c>
      <c r="M696">
        <v>14</v>
      </c>
      <c r="N696">
        <v>1813</v>
      </c>
      <c r="O696">
        <v>0.82</v>
      </c>
      <c r="P696">
        <v>1492</v>
      </c>
      <c r="Q696">
        <v>198</v>
      </c>
      <c r="R696">
        <v>74</v>
      </c>
      <c r="S696">
        <v>38</v>
      </c>
      <c r="T696">
        <v>136</v>
      </c>
      <c r="U696">
        <v>5</v>
      </c>
      <c r="V696">
        <v>68</v>
      </c>
      <c r="W696">
        <v>0.13100000000000001</v>
      </c>
      <c r="X696">
        <v>79</v>
      </c>
      <c r="Y696">
        <v>59</v>
      </c>
      <c r="Z696">
        <v>57</v>
      </c>
      <c r="AA696">
        <v>10</v>
      </c>
      <c r="AB696">
        <v>10.199999999999999</v>
      </c>
      <c r="AC696" t="s">
        <v>349</v>
      </c>
      <c r="AG696" t="s">
        <v>3588</v>
      </c>
      <c r="AH696" t="s">
        <v>2049</v>
      </c>
      <c r="AI696" s="245">
        <v>1099.95</v>
      </c>
      <c r="AJ696" t="s">
        <v>4552</v>
      </c>
      <c r="AK696" t="s">
        <v>3590</v>
      </c>
      <c r="AL696" t="s">
        <v>1277</v>
      </c>
      <c r="AM696" s="245">
        <v>575</v>
      </c>
      <c r="AN696" t="s">
        <v>4553</v>
      </c>
      <c r="AO696" t="s">
        <v>3489</v>
      </c>
      <c r="AP696" t="s">
        <v>1183</v>
      </c>
      <c r="AQ696" s="245">
        <v>629.99</v>
      </c>
      <c r="AR696" t="s">
        <v>4554</v>
      </c>
      <c r="AS696" s="226" t="str">
        <f t="shared" si="20"/>
        <v>Hero Elite Multi Turn Ti</v>
      </c>
      <c r="AT696" s="203" t="str">
        <f t="shared" si="21"/>
        <v xml:space="preserve"> RossignolHero Elite Multi Turn Ti167 Unisex</v>
      </c>
    </row>
    <row r="697" spans="1:46" ht="52.8">
      <c r="A697" t="s">
        <v>155</v>
      </c>
      <c r="B697" t="s">
        <v>167</v>
      </c>
      <c r="C697" t="s">
        <v>168</v>
      </c>
      <c r="D697">
        <v>177</v>
      </c>
      <c r="E697" t="s">
        <v>158</v>
      </c>
      <c r="F697">
        <v>177</v>
      </c>
      <c r="G697">
        <v>176.6</v>
      </c>
      <c r="H697">
        <v>134</v>
      </c>
      <c r="I697">
        <v>137</v>
      </c>
      <c r="J697">
        <v>132</v>
      </c>
      <c r="K697">
        <v>102</v>
      </c>
      <c r="L697">
        <v>121</v>
      </c>
      <c r="M697">
        <v>17</v>
      </c>
      <c r="N697">
        <v>1686</v>
      </c>
      <c r="O697">
        <v>1.18</v>
      </c>
      <c r="P697">
        <v>1988</v>
      </c>
      <c r="Q697">
        <v>253</v>
      </c>
      <c r="R697">
        <v>129</v>
      </c>
      <c r="S697">
        <v>52</v>
      </c>
      <c r="T697">
        <v>246</v>
      </c>
      <c r="U697">
        <v>21</v>
      </c>
      <c r="V697">
        <v>175</v>
      </c>
      <c r="W697">
        <v>0.39299999999999902</v>
      </c>
      <c r="X697">
        <v>231</v>
      </c>
      <c r="Y697">
        <v>167</v>
      </c>
      <c r="Z697">
        <v>16</v>
      </c>
      <c r="AA697">
        <v>8</v>
      </c>
      <c r="AB697">
        <v>10</v>
      </c>
      <c r="AC697" t="s">
        <v>188</v>
      </c>
      <c r="AD697" t="s">
        <v>169</v>
      </c>
      <c r="AE697" t="s">
        <v>178</v>
      </c>
      <c r="AF697" t="s">
        <v>185</v>
      </c>
      <c r="AG697" t="s">
        <v>1439</v>
      </c>
      <c r="AH697" t="s">
        <v>1349</v>
      </c>
      <c r="AI697" s="245">
        <v>430.82</v>
      </c>
      <c r="AJ697" t="s">
        <v>4555</v>
      </c>
      <c r="AK697" t="s">
        <v>1439</v>
      </c>
      <c r="AL697" t="s">
        <v>1301</v>
      </c>
      <c r="AM697" s="245">
        <v>449</v>
      </c>
      <c r="AN697" t="s">
        <v>4556</v>
      </c>
      <c r="AO697" t="s">
        <v>4557</v>
      </c>
      <c r="AP697" t="s">
        <v>1204</v>
      </c>
      <c r="AQ697" s="245">
        <v>521.11</v>
      </c>
      <c r="AR697" t="s">
        <v>4558</v>
      </c>
      <c r="AS697" s="226" t="str">
        <f t="shared" si="20"/>
        <v>Kore 105</v>
      </c>
      <c r="AT697" s="203" t="str">
        <f t="shared" si="21"/>
        <v xml:space="preserve"> HeadKore 105177 Unisex</v>
      </c>
    </row>
    <row r="698" spans="1:46" ht="66">
      <c r="A698" t="s">
        <v>155</v>
      </c>
      <c r="B698" t="s">
        <v>245</v>
      </c>
      <c r="C698" t="s">
        <v>337</v>
      </c>
      <c r="D698">
        <v>156</v>
      </c>
      <c r="E698" t="s">
        <v>163</v>
      </c>
      <c r="F698">
        <v>156</v>
      </c>
      <c r="G698">
        <v>154.80000000000001</v>
      </c>
      <c r="H698">
        <v>109</v>
      </c>
      <c r="I698">
        <v>128</v>
      </c>
      <c r="J698">
        <v>132</v>
      </c>
      <c r="K698">
        <v>98</v>
      </c>
      <c r="L698">
        <v>122</v>
      </c>
      <c r="M698">
        <v>11.9</v>
      </c>
      <c r="N698">
        <v>1519</v>
      </c>
      <c r="O698">
        <v>1.1299999999999999</v>
      </c>
      <c r="P698">
        <v>1716</v>
      </c>
      <c r="Q698">
        <v>159</v>
      </c>
      <c r="R698">
        <v>80</v>
      </c>
      <c r="S698">
        <v>48</v>
      </c>
      <c r="T698">
        <v>257</v>
      </c>
      <c r="U698">
        <v>34</v>
      </c>
      <c r="V698">
        <v>198</v>
      </c>
      <c r="W698">
        <v>0.71899999999999997</v>
      </c>
      <c r="X698">
        <v>132</v>
      </c>
      <c r="Y698">
        <v>137</v>
      </c>
      <c r="Z698">
        <v>125</v>
      </c>
      <c r="AA698">
        <v>4</v>
      </c>
      <c r="AB698">
        <v>9</v>
      </c>
      <c r="AC698" t="s">
        <v>188</v>
      </c>
      <c r="AD698" t="s">
        <v>185</v>
      </c>
      <c r="AG698" t="s">
        <v>4559</v>
      </c>
      <c r="AH698" t="s">
        <v>1349</v>
      </c>
      <c r="AI698" s="245">
        <v>357.47</v>
      </c>
      <c r="AJ698" t="s">
        <v>4560</v>
      </c>
      <c r="AK698" t="s">
        <v>4561</v>
      </c>
      <c r="AL698" t="s">
        <v>3026</v>
      </c>
      <c r="AM698" s="245">
        <v>403.48</v>
      </c>
      <c r="AN698" t="s">
        <v>4562</v>
      </c>
      <c r="AO698" t="s">
        <v>4563</v>
      </c>
      <c r="AP698" t="s">
        <v>1320</v>
      </c>
      <c r="AQ698" s="245">
        <v>519.95000000000005</v>
      </c>
      <c r="AR698" t="s">
        <v>4564</v>
      </c>
      <c r="AS698" s="226" t="str">
        <f t="shared" si="20"/>
        <v>Ranger 102 FR W</v>
      </c>
      <c r="AT698" s="203" t="str">
        <f t="shared" si="21"/>
        <v xml:space="preserve"> FischerRanger 102 FR W156 Women's</v>
      </c>
    </row>
    <row r="699" spans="1:46" ht="92.4">
      <c r="A699" t="s">
        <v>155</v>
      </c>
      <c r="B699" t="s">
        <v>205</v>
      </c>
      <c r="C699" t="s">
        <v>225</v>
      </c>
      <c r="D699">
        <v>172</v>
      </c>
      <c r="E699" t="s">
        <v>158</v>
      </c>
      <c r="F699">
        <v>172</v>
      </c>
      <c r="G699">
        <v>170.5</v>
      </c>
      <c r="H699">
        <v>118</v>
      </c>
      <c r="I699">
        <v>138</v>
      </c>
      <c r="J699">
        <v>132</v>
      </c>
      <c r="K699">
        <v>105</v>
      </c>
      <c r="L699">
        <v>125</v>
      </c>
      <c r="M699">
        <v>17.8</v>
      </c>
      <c r="N699">
        <v>1914</v>
      </c>
      <c r="O699">
        <v>1.02</v>
      </c>
      <c r="P699">
        <v>1960</v>
      </c>
      <c r="Q699">
        <v>152</v>
      </c>
      <c r="R699">
        <v>80</v>
      </c>
      <c r="S699">
        <v>51</v>
      </c>
      <c r="T699">
        <v>289</v>
      </c>
      <c r="U699">
        <v>43</v>
      </c>
      <c r="V699">
        <v>237</v>
      </c>
      <c r="W699">
        <v>0.84299999999999997</v>
      </c>
      <c r="X699">
        <v>183</v>
      </c>
      <c r="Y699">
        <v>145</v>
      </c>
      <c r="Z699">
        <v>107</v>
      </c>
      <c r="AA699">
        <v>7</v>
      </c>
      <c r="AB699">
        <v>8.3000000000000007</v>
      </c>
      <c r="AC699" t="s">
        <v>184</v>
      </c>
      <c r="AD699" t="s">
        <v>169</v>
      </c>
      <c r="AG699" t="s">
        <v>4565</v>
      </c>
      <c r="AH699" t="s">
        <v>4566</v>
      </c>
      <c r="AI699" s="245">
        <v>699</v>
      </c>
      <c r="AJ699" t="s">
        <v>4567</v>
      </c>
      <c r="AK699" t="s">
        <v>1713</v>
      </c>
      <c r="AL699" t="s">
        <v>1194</v>
      </c>
      <c r="AM699" s="245">
        <v>460.11</v>
      </c>
      <c r="AN699" t="s">
        <v>4568</v>
      </c>
      <c r="AO699" t="s">
        <v>4569</v>
      </c>
      <c r="AP699" t="s">
        <v>1280</v>
      </c>
      <c r="AQ699" s="245">
        <v>488.93</v>
      </c>
      <c r="AR699" t="s">
        <v>4570</v>
      </c>
      <c r="AS699" s="226" t="str">
        <f t="shared" si="20"/>
        <v>Prodigy 3.0</v>
      </c>
      <c r="AT699" s="203" t="str">
        <f t="shared" si="21"/>
        <v xml:space="preserve"> FactionProdigy 3.0172 Unisex</v>
      </c>
    </row>
    <row r="700" spans="1:46" ht="145.19999999999999">
      <c r="A700" t="s">
        <v>155</v>
      </c>
      <c r="B700" t="s">
        <v>202</v>
      </c>
      <c r="C700" t="s">
        <v>729</v>
      </c>
      <c r="D700">
        <v>170</v>
      </c>
      <c r="E700" t="s">
        <v>158</v>
      </c>
      <c r="F700">
        <v>170</v>
      </c>
      <c r="G700">
        <v>168.6</v>
      </c>
      <c r="H700">
        <v>148</v>
      </c>
      <c r="I700">
        <v>155</v>
      </c>
      <c r="J700">
        <v>123</v>
      </c>
      <c r="K700">
        <v>74</v>
      </c>
      <c r="L700">
        <v>110</v>
      </c>
      <c r="M700">
        <v>14.4</v>
      </c>
      <c r="N700">
        <v>1638</v>
      </c>
      <c r="O700">
        <v>0.92</v>
      </c>
      <c r="P700">
        <v>1502</v>
      </c>
      <c r="Q700">
        <v>194</v>
      </c>
      <c r="R700">
        <v>64</v>
      </c>
      <c r="S700">
        <v>43</v>
      </c>
      <c r="T700">
        <v>152</v>
      </c>
      <c r="U700">
        <v>4</v>
      </c>
      <c r="V700">
        <v>54</v>
      </c>
      <c r="W700">
        <v>9.8000000000000004E-2</v>
      </c>
      <c r="X700">
        <v>80</v>
      </c>
      <c r="Y700">
        <v>52</v>
      </c>
      <c r="Z700">
        <v>72</v>
      </c>
      <c r="AA700">
        <v>9</v>
      </c>
      <c r="AB700">
        <v>10.5</v>
      </c>
      <c r="AC700" t="s">
        <v>349</v>
      </c>
      <c r="AG700" t="s">
        <v>4571</v>
      </c>
      <c r="AH700" t="s">
        <v>3574</v>
      </c>
      <c r="AI700" s="245">
        <v>189.99</v>
      </c>
      <c r="AJ700" t="s">
        <v>4572</v>
      </c>
      <c r="AK700" t="s">
        <v>4573</v>
      </c>
      <c r="AL700" t="s">
        <v>1337</v>
      </c>
      <c r="AM700" s="245">
        <v>279</v>
      </c>
      <c r="AN700" t="s">
        <v>4574</v>
      </c>
      <c r="AO700" t="s">
        <v>4575</v>
      </c>
      <c r="AP700" t="s">
        <v>1229</v>
      </c>
      <c r="AQ700" s="245">
        <v>399.99</v>
      </c>
      <c r="AR700" t="s">
        <v>4576</v>
      </c>
      <c r="AS700" s="226" t="str">
        <f t="shared" si="20"/>
        <v>Speed 563</v>
      </c>
      <c r="AT700" s="203" t="str">
        <f t="shared" si="21"/>
        <v xml:space="preserve"> DynastarSpeed 563170 Unisex</v>
      </c>
    </row>
    <row r="701" spans="1:46" ht="66">
      <c r="A701" t="s">
        <v>155</v>
      </c>
      <c r="B701" t="s">
        <v>332</v>
      </c>
      <c r="C701" t="s">
        <v>730</v>
      </c>
      <c r="D701">
        <v>172</v>
      </c>
      <c r="E701" t="s">
        <v>158</v>
      </c>
      <c r="F701">
        <v>172</v>
      </c>
      <c r="G701">
        <v>171.3</v>
      </c>
      <c r="H701">
        <v>125</v>
      </c>
      <c r="I701">
        <v>142</v>
      </c>
      <c r="J701">
        <v>132</v>
      </c>
      <c r="K701">
        <v>99</v>
      </c>
      <c r="L701">
        <v>119</v>
      </c>
      <c r="M701">
        <v>16.8</v>
      </c>
      <c r="N701">
        <v>2123</v>
      </c>
      <c r="O701">
        <v>0.89</v>
      </c>
      <c r="P701">
        <v>1882</v>
      </c>
      <c r="Q701">
        <v>212</v>
      </c>
      <c r="R701">
        <v>137</v>
      </c>
      <c r="S701">
        <v>50</v>
      </c>
      <c r="T701">
        <v>273</v>
      </c>
      <c r="U701">
        <v>12</v>
      </c>
      <c r="V701">
        <v>193</v>
      </c>
      <c r="W701">
        <v>0.23799999999999999</v>
      </c>
      <c r="X701">
        <v>134</v>
      </c>
      <c r="Y701">
        <v>158</v>
      </c>
      <c r="Z701">
        <v>138</v>
      </c>
      <c r="AA701">
        <v>7</v>
      </c>
      <c r="AB701">
        <v>8.9</v>
      </c>
      <c r="AC701" t="s">
        <v>188</v>
      </c>
      <c r="AG701" t="s">
        <v>4577</v>
      </c>
      <c r="AH701" t="s">
        <v>1232</v>
      </c>
      <c r="AI701" s="245">
        <v>599.95000000000005</v>
      </c>
      <c r="AJ701" t="s">
        <v>4578</v>
      </c>
      <c r="AK701" t="s">
        <v>4577</v>
      </c>
      <c r="AL701" t="s">
        <v>2425</v>
      </c>
      <c r="AM701" s="245">
        <v>599.99</v>
      </c>
      <c r="AN701" t="s">
        <v>4579</v>
      </c>
      <c r="AO701" t="s">
        <v>4577</v>
      </c>
      <c r="AP701" t="s">
        <v>1224</v>
      </c>
      <c r="AQ701" s="245">
        <v>599.99</v>
      </c>
      <c r="AR701" t="s">
        <v>4580</v>
      </c>
      <c r="AS701" s="226" t="str">
        <f t="shared" si="20"/>
        <v>Enforcer 100</v>
      </c>
      <c r="AT701" s="203" t="str">
        <f t="shared" si="21"/>
        <v xml:space="preserve"> NordicaEnforcer 100172 Unisex</v>
      </c>
    </row>
    <row r="702" spans="1:46" ht="66">
      <c r="A702" t="s">
        <v>155</v>
      </c>
      <c r="B702" t="s">
        <v>1395</v>
      </c>
      <c r="C702" t="s">
        <v>445</v>
      </c>
      <c r="D702">
        <v>156</v>
      </c>
      <c r="E702" t="s">
        <v>163</v>
      </c>
      <c r="F702">
        <v>156</v>
      </c>
      <c r="G702">
        <v>155.1</v>
      </c>
      <c r="H702">
        <v>116</v>
      </c>
      <c r="I702">
        <v>141</v>
      </c>
      <c r="J702">
        <v>120</v>
      </c>
      <c r="K702">
        <v>86</v>
      </c>
      <c r="L702">
        <v>109</v>
      </c>
      <c r="M702">
        <v>16.5</v>
      </c>
      <c r="N702">
        <v>1578</v>
      </c>
      <c r="O702">
        <v>0.95</v>
      </c>
      <c r="P702">
        <v>1493</v>
      </c>
      <c r="Q702">
        <v>164</v>
      </c>
      <c r="R702">
        <v>77</v>
      </c>
      <c r="S702">
        <v>39</v>
      </c>
      <c r="T702">
        <v>210</v>
      </c>
      <c r="U702">
        <v>38</v>
      </c>
      <c r="V702">
        <v>177</v>
      </c>
      <c r="W702">
        <v>0.98299999999999998</v>
      </c>
      <c r="X702">
        <v>72</v>
      </c>
      <c r="Y702">
        <v>72</v>
      </c>
      <c r="Z702">
        <v>138</v>
      </c>
      <c r="AA702">
        <v>3</v>
      </c>
      <c r="AB702">
        <v>2.1</v>
      </c>
      <c r="AC702" t="s">
        <v>184</v>
      </c>
      <c r="AG702" t="s">
        <v>4502</v>
      </c>
      <c r="AH702" t="s">
        <v>1305</v>
      </c>
      <c r="AI702" s="245">
        <v>359</v>
      </c>
      <c r="AJ702" t="s">
        <v>4581</v>
      </c>
      <c r="AK702" t="s">
        <v>4505</v>
      </c>
      <c r="AL702" t="s">
        <v>3196</v>
      </c>
      <c r="AM702" s="245">
        <v>399.99</v>
      </c>
      <c r="AN702" t="s">
        <v>4582</v>
      </c>
      <c r="AO702" t="s">
        <v>4502</v>
      </c>
      <c r="AP702" t="s">
        <v>1402</v>
      </c>
      <c r="AQ702" s="245">
        <v>399.99</v>
      </c>
      <c r="AR702" t="s">
        <v>4583</v>
      </c>
      <c r="AS702" s="226" t="str">
        <f t="shared" si="20"/>
        <v>Bash 86 W</v>
      </c>
      <c r="AT702" s="203" t="str">
        <f t="shared" si="21"/>
        <v xml:space="preserve"> Vï¿½lklBash 86 W156 Women's</v>
      </c>
    </row>
    <row r="703" spans="1:46" ht="66">
      <c r="A703" t="s">
        <v>155</v>
      </c>
      <c r="B703" t="s">
        <v>237</v>
      </c>
      <c r="C703" t="s">
        <v>732</v>
      </c>
      <c r="D703">
        <v>173.2</v>
      </c>
      <c r="E703" t="s">
        <v>158</v>
      </c>
      <c r="F703">
        <v>173.2</v>
      </c>
      <c r="G703">
        <v>171.7</v>
      </c>
      <c r="H703">
        <v>119</v>
      </c>
      <c r="I703">
        <v>147</v>
      </c>
      <c r="J703">
        <v>130</v>
      </c>
      <c r="K703">
        <v>86</v>
      </c>
      <c r="L703">
        <v>121</v>
      </c>
      <c r="M703">
        <v>12.7</v>
      </c>
      <c r="N703">
        <v>1725</v>
      </c>
      <c r="O703">
        <v>1.02</v>
      </c>
      <c r="P703">
        <v>1763</v>
      </c>
      <c r="Q703">
        <v>177</v>
      </c>
      <c r="R703">
        <v>71</v>
      </c>
      <c r="S703">
        <v>42</v>
      </c>
      <c r="T703">
        <v>279</v>
      </c>
      <c r="U703">
        <v>36</v>
      </c>
      <c r="V703">
        <v>249</v>
      </c>
      <c r="W703">
        <v>0.85799999999999998</v>
      </c>
      <c r="X703">
        <v>139</v>
      </c>
      <c r="Y703">
        <v>113</v>
      </c>
      <c r="Z703">
        <v>140</v>
      </c>
      <c r="AA703">
        <v>3</v>
      </c>
      <c r="AB703">
        <v>3.5</v>
      </c>
      <c r="AC703" t="s">
        <v>188</v>
      </c>
      <c r="AD703" t="s">
        <v>184</v>
      </c>
      <c r="AG703" t="s">
        <v>1988</v>
      </c>
      <c r="AH703" t="s">
        <v>1191</v>
      </c>
      <c r="AI703" s="245">
        <v>514.95000000000005</v>
      </c>
      <c r="AJ703" t="s">
        <v>4584</v>
      </c>
      <c r="AK703" t="s">
        <v>1988</v>
      </c>
      <c r="AL703" t="s">
        <v>1229</v>
      </c>
      <c r="AM703" s="245">
        <v>575.99</v>
      </c>
      <c r="AN703" t="s">
        <v>4585</v>
      </c>
      <c r="AO703" t="s">
        <v>1423</v>
      </c>
      <c r="AP703" t="s">
        <v>1424</v>
      </c>
      <c r="AQ703" s="245">
        <v>576.99</v>
      </c>
      <c r="AR703" t="s">
        <v>4586</v>
      </c>
      <c r="AS703" s="226" t="str">
        <f t="shared" si="20"/>
        <v>Mirus Cor</v>
      </c>
      <c r="AT703" s="203" t="str">
        <f t="shared" si="21"/>
        <v xml:space="preserve"> Black CrowsMirus Cor173.2 Unisex</v>
      </c>
    </row>
    <row r="704" spans="1:46" ht="132">
      <c r="A704" t="s">
        <v>155</v>
      </c>
      <c r="B704" t="s">
        <v>167</v>
      </c>
      <c r="C704" t="s">
        <v>733</v>
      </c>
      <c r="D704">
        <v>163</v>
      </c>
      <c r="E704" t="s">
        <v>158</v>
      </c>
      <c r="F704">
        <v>163</v>
      </c>
      <c r="G704">
        <v>162.4</v>
      </c>
      <c r="H704">
        <v>144</v>
      </c>
      <c r="I704">
        <v>151</v>
      </c>
      <c r="J704">
        <v>121</v>
      </c>
      <c r="K704">
        <v>67</v>
      </c>
      <c r="L704">
        <v>103</v>
      </c>
      <c r="M704">
        <v>12.7</v>
      </c>
      <c r="N704">
        <v>2043</v>
      </c>
      <c r="O704">
        <v>0.66</v>
      </c>
      <c r="P704">
        <v>1351</v>
      </c>
      <c r="Q704">
        <v>192</v>
      </c>
      <c r="R704">
        <v>93</v>
      </c>
      <c r="S704">
        <v>37</v>
      </c>
      <c r="T704">
        <v>137</v>
      </c>
      <c r="U704">
        <v>3</v>
      </c>
      <c r="V704">
        <v>44</v>
      </c>
      <c r="W704">
        <v>8.1000000000000003E-2</v>
      </c>
      <c r="X704">
        <v>62</v>
      </c>
      <c r="Y704">
        <v>52</v>
      </c>
      <c r="Z704">
        <v>75</v>
      </c>
      <c r="AA704">
        <v>11</v>
      </c>
      <c r="AB704">
        <v>12.4</v>
      </c>
      <c r="AC704" t="s">
        <v>349</v>
      </c>
      <c r="AG704" t="s">
        <v>4587</v>
      </c>
      <c r="AH704" t="s">
        <v>1271</v>
      </c>
      <c r="AI704" s="245">
        <v>359.99</v>
      </c>
      <c r="AJ704" t="s">
        <v>4588</v>
      </c>
      <c r="AK704" t="s">
        <v>4589</v>
      </c>
      <c r="AL704" t="s">
        <v>2297</v>
      </c>
      <c r="AM704" s="245">
        <v>369</v>
      </c>
      <c r="AN704" t="s">
        <v>4590</v>
      </c>
      <c r="AO704" t="s">
        <v>4591</v>
      </c>
      <c r="AP704" t="s">
        <v>1807</v>
      </c>
      <c r="AQ704" s="245">
        <v>379.99</v>
      </c>
      <c r="AR704" t="s">
        <v>4592</v>
      </c>
      <c r="AS704" s="226" t="str">
        <f t="shared" si="20"/>
        <v>Supershape e-Speed</v>
      </c>
      <c r="AT704" s="203" t="str">
        <f t="shared" si="21"/>
        <v xml:space="preserve"> HeadSupershape e-Speed163 Unisex</v>
      </c>
    </row>
    <row r="705" spans="1:46" ht="118.8">
      <c r="A705" t="s">
        <v>155</v>
      </c>
      <c r="B705" t="s">
        <v>202</v>
      </c>
      <c r="C705" t="s">
        <v>649</v>
      </c>
      <c r="D705">
        <v>149</v>
      </c>
      <c r="E705" t="s">
        <v>163</v>
      </c>
      <c r="F705">
        <v>149</v>
      </c>
      <c r="G705">
        <v>148.69999999999999</v>
      </c>
      <c r="H705">
        <v>116</v>
      </c>
      <c r="I705">
        <v>119</v>
      </c>
      <c r="J705">
        <v>121</v>
      </c>
      <c r="K705">
        <v>82</v>
      </c>
      <c r="L705">
        <v>103</v>
      </c>
      <c r="M705">
        <v>10.8</v>
      </c>
      <c r="N705">
        <v>1401</v>
      </c>
      <c r="O705">
        <v>1.01</v>
      </c>
      <c r="P705">
        <v>1409</v>
      </c>
      <c r="Q705">
        <v>162</v>
      </c>
      <c r="R705">
        <v>78</v>
      </c>
      <c r="S705">
        <v>41</v>
      </c>
      <c r="T705">
        <v>266</v>
      </c>
      <c r="U705">
        <v>5</v>
      </c>
      <c r="V705">
        <v>60</v>
      </c>
      <c r="W705">
        <v>0.113</v>
      </c>
      <c r="X705">
        <v>156</v>
      </c>
      <c r="Y705">
        <v>140</v>
      </c>
      <c r="Z705">
        <v>110</v>
      </c>
      <c r="AA705">
        <v>8</v>
      </c>
      <c r="AB705">
        <v>6</v>
      </c>
      <c r="AC705" t="s">
        <v>231</v>
      </c>
      <c r="AD705" t="s">
        <v>188</v>
      </c>
      <c r="AG705" t="s">
        <v>4593</v>
      </c>
      <c r="AH705" t="s">
        <v>1204</v>
      </c>
      <c r="AI705" s="245">
        <v>360.77</v>
      </c>
      <c r="AJ705" t="s">
        <v>4594</v>
      </c>
      <c r="AK705" t="s">
        <v>3706</v>
      </c>
      <c r="AL705" t="s">
        <v>1320</v>
      </c>
      <c r="AM705" s="245">
        <v>399.96</v>
      </c>
      <c r="AN705" t="s">
        <v>4595</v>
      </c>
      <c r="AO705" t="s">
        <v>4596</v>
      </c>
      <c r="AP705" t="s">
        <v>2789</v>
      </c>
      <c r="AQ705" s="245">
        <v>399</v>
      </c>
      <c r="AR705" t="s">
        <v>4597</v>
      </c>
      <c r="AS705" s="226" t="str">
        <f t="shared" si="20"/>
        <v>M-Pro 84 W</v>
      </c>
      <c r="AT705" s="203" t="str">
        <f t="shared" si="21"/>
        <v xml:space="preserve"> DynastarM-Pro 84 W149 Women's</v>
      </c>
    </row>
    <row r="706" spans="1:46" ht="92.4">
      <c r="A706" t="s">
        <v>155</v>
      </c>
      <c r="B706" t="s">
        <v>167</v>
      </c>
      <c r="C706" t="s">
        <v>734</v>
      </c>
      <c r="D706">
        <v>177</v>
      </c>
      <c r="E706" t="s">
        <v>158</v>
      </c>
      <c r="F706">
        <v>177</v>
      </c>
      <c r="G706">
        <v>176.4</v>
      </c>
      <c r="H706">
        <v>155</v>
      </c>
      <c r="I706">
        <v>162</v>
      </c>
      <c r="J706">
        <v>138</v>
      </c>
      <c r="K706">
        <v>84</v>
      </c>
      <c r="L706">
        <v>120</v>
      </c>
      <c r="M706">
        <v>14.8</v>
      </c>
      <c r="N706">
        <v>1881</v>
      </c>
      <c r="O706">
        <v>0.94</v>
      </c>
      <c r="P706">
        <v>1768</v>
      </c>
      <c r="Q706">
        <v>227</v>
      </c>
      <c r="R706">
        <v>66</v>
      </c>
      <c r="S706">
        <v>39</v>
      </c>
      <c r="T706">
        <v>147</v>
      </c>
      <c r="U706">
        <v>9</v>
      </c>
      <c r="V706">
        <v>68</v>
      </c>
      <c r="W706">
        <v>0.22699999999999901</v>
      </c>
      <c r="X706">
        <v>85</v>
      </c>
      <c r="Y706">
        <v>58</v>
      </c>
      <c r="Z706">
        <v>61</v>
      </c>
      <c r="AA706">
        <v>12</v>
      </c>
      <c r="AB706">
        <v>13.2</v>
      </c>
      <c r="AC706" t="s">
        <v>349</v>
      </c>
      <c r="AD706" t="s">
        <v>188</v>
      </c>
      <c r="AG706" t="s">
        <v>4598</v>
      </c>
      <c r="AH706" t="s">
        <v>1179</v>
      </c>
      <c r="AI706" s="245">
        <v>600</v>
      </c>
      <c r="AJ706" t="s">
        <v>4599</v>
      </c>
      <c r="AK706" t="s">
        <v>4600</v>
      </c>
      <c r="AL706" t="s">
        <v>1204</v>
      </c>
      <c r="AM706" s="245">
        <v>601.28</v>
      </c>
      <c r="AN706" t="s">
        <v>4601</v>
      </c>
      <c r="AO706" t="s">
        <v>4598</v>
      </c>
      <c r="AP706" t="s">
        <v>2255</v>
      </c>
      <c r="AQ706" s="245">
        <v>719</v>
      </c>
      <c r="AR706" t="s">
        <v>4602</v>
      </c>
      <c r="AS706" s="226" t="str">
        <f t="shared" ref="AS706:AS769" si="22">IF(LEFT(C706,1)=" ",RIGHT(C706,LEN(C706)-1),C706)</f>
        <v>V-Shape V10</v>
      </c>
      <c r="AT706" s="203" t="str">
        <f t="shared" ref="AT706:AT769" si="23">_xlfn.CONCAT(B706,AS706,D706,E706)</f>
        <v xml:space="preserve"> HeadV-Shape V10177 Unisex</v>
      </c>
    </row>
    <row r="707" spans="1:46" ht="105.6">
      <c r="A707" t="s">
        <v>155</v>
      </c>
      <c r="B707" t="s">
        <v>156</v>
      </c>
      <c r="C707" t="s">
        <v>735</v>
      </c>
      <c r="D707">
        <v>163</v>
      </c>
      <c r="E707" t="s">
        <v>158</v>
      </c>
      <c r="F707">
        <v>163</v>
      </c>
      <c r="G707">
        <v>162.5</v>
      </c>
      <c r="H707">
        <v>136</v>
      </c>
      <c r="I707">
        <v>146</v>
      </c>
      <c r="J707">
        <v>118</v>
      </c>
      <c r="K707">
        <v>77</v>
      </c>
      <c r="L707">
        <v>103</v>
      </c>
      <c r="M707">
        <v>15.3</v>
      </c>
      <c r="N707">
        <v>1917</v>
      </c>
      <c r="O707">
        <v>0.77</v>
      </c>
      <c r="P707">
        <v>1469</v>
      </c>
      <c r="Q707">
        <v>193</v>
      </c>
      <c r="R707">
        <v>82</v>
      </c>
      <c r="S707">
        <v>39</v>
      </c>
      <c r="T707">
        <v>179</v>
      </c>
      <c r="U707">
        <v>5</v>
      </c>
      <c r="V707">
        <v>82</v>
      </c>
      <c r="W707">
        <v>0.126</v>
      </c>
      <c r="X707">
        <v>90</v>
      </c>
      <c r="Y707">
        <v>72</v>
      </c>
      <c r="Z707">
        <v>89</v>
      </c>
      <c r="AA707">
        <v>8</v>
      </c>
      <c r="AB707">
        <v>11.4</v>
      </c>
      <c r="AC707" t="s">
        <v>349</v>
      </c>
      <c r="AG707" t="s">
        <v>4603</v>
      </c>
      <c r="AH707" t="s">
        <v>2632</v>
      </c>
      <c r="AI707" s="245">
        <v>599.95000000000005</v>
      </c>
      <c r="AJ707" t="s">
        <v>4604</v>
      </c>
      <c r="AK707" t="s">
        <v>4603</v>
      </c>
      <c r="AL707" t="s">
        <v>3218</v>
      </c>
      <c r="AM707" s="245">
        <v>599.95000000000005</v>
      </c>
      <c r="AN707" t="s">
        <v>4605</v>
      </c>
      <c r="AO707" t="s">
        <v>4603</v>
      </c>
      <c r="AP707" t="s">
        <v>1610</v>
      </c>
      <c r="AQ707" s="245">
        <v>599.99</v>
      </c>
      <c r="AR707" t="s">
        <v>4606</v>
      </c>
      <c r="AS707" s="226" t="str">
        <f t="shared" si="22"/>
        <v>Vantage 79 Ti</v>
      </c>
      <c r="AT707" s="203" t="str">
        <f t="shared" si="23"/>
        <v xml:space="preserve"> AtomicVantage 79 Ti163 Unisex</v>
      </c>
    </row>
    <row r="708" spans="1:46" ht="158.4">
      <c r="A708" t="s">
        <v>155</v>
      </c>
      <c r="B708" t="s">
        <v>164</v>
      </c>
      <c r="C708" t="s">
        <v>641</v>
      </c>
      <c r="D708">
        <v>160</v>
      </c>
      <c r="E708" t="s">
        <v>158</v>
      </c>
      <c r="F708">
        <v>160</v>
      </c>
      <c r="G708">
        <v>159</v>
      </c>
      <c r="H708">
        <v>138</v>
      </c>
      <c r="I708">
        <v>145</v>
      </c>
      <c r="J708">
        <v>126</v>
      </c>
      <c r="K708">
        <v>75</v>
      </c>
      <c r="L708">
        <v>104</v>
      </c>
      <c r="M708">
        <v>12.9</v>
      </c>
      <c r="N708">
        <v>1562</v>
      </c>
      <c r="O708">
        <v>0.92</v>
      </c>
      <c r="P708">
        <v>1434</v>
      </c>
      <c r="Q708">
        <v>153</v>
      </c>
      <c r="R708">
        <v>71</v>
      </c>
      <c r="S708">
        <v>40</v>
      </c>
      <c r="T708">
        <v>146</v>
      </c>
      <c r="U708">
        <v>6</v>
      </c>
      <c r="V708">
        <v>62</v>
      </c>
      <c r="W708">
        <v>0.154</v>
      </c>
      <c r="X708">
        <v>95</v>
      </c>
      <c r="Y708">
        <v>49</v>
      </c>
      <c r="Z708">
        <v>51</v>
      </c>
      <c r="AA708">
        <v>11</v>
      </c>
      <c r="AB708">
        <v>10</v>
      </c>
      <c r="AC708" t="s">
        <v>349</v>
      </c>
      <c r="AG708" t="s">
        <v>4607</v>
      </c>
      <c r="AH708" t="s">
        <v>1610</v>
      </c>
      <c r="AI708" s="245">
        <v>1299.99</v>
      </c>
      <c r="AJ708" t="s">
        <v>4608</v>
      </c>
      <c r="AK708" t="s">
        <v>4609</v>
      </c>
      <c r="AL708" t="s">
        <v>3574</v>
      </c>
      <c r="AM708" s="245">
        <v>132.62</v>
      </c>
      <c r="AN708" t="s">
        <v>4610</v>
      </c>
      <c r="AO708" t="s">
        <v>4611</v>
      </c>
      <c r="AP708" t="s">
        <v>1191</v>
      </c>
      <c r="AQ708" s="245">
        <v>284.95</v>
      </c>
      <c r="AR708" t="s">
        <v>4612</v>
      </c>
      <c r="AS708" s="226" t="str">
        <f t="shared" si="22"/>
        <v>Amphibio STI</v>
      </c>
      <c r="AT708" s="203" t="str">
        <f t="shared" si="23"/>
        <v xml:space="preserve"> ElanAmphibio STI160 Unisex</v>
      </c>
    </row>
    <row r="709" spans="1:46" ht="132">
      <c r="A709" t="s">
        <v>155</v>
      </c>
      <c r="B709" t="s">
        <v>332</v>
      </c>
      <c r="C709" t="s">
        <v>567</v>
      </c>
      <c r="D709">
        <v>169</v>
      </c>
      <c r="E709" t="s">
        <v>158</v>
      </c>
      <c r="F709">
        <v>169</v>
      </c>
      <c r="G709">
        <v>167.6</v>
      </c>
      <c r="H709">
        <v>133</v>
      </c>
      <c r="I709">
        <v>145</v>
      </c>
      <c r="J709">
        <v>123</v>
      </c>
      <c r="K709">
        <v>86</v>
      </c>
      <c r="L709">
        <v>113</v>
      </c>
      <c r="M709">
        <v>15.3</v>
      </c>
      <c r="N709">
        <v>1841</v>
      </c>
      <c r="O709">
        <v>0.9</v>
      </c>
      <c r="P709">
        <v>1654</v>
      </c>
      <c r="Q709">
        <v>156</v>
      </c>
      <c r="R709">
        <v>77</v>
      </c>
      <c r="S709">
        <v>46</v>
      </c>
      <c r="T709">
        <v>174</v>
      </c>
      <c r="U709">
        <v>44</v>
      </c>
      <c r="V709">
        <v>176</v>
      </c>
      <c r="W709">
        <v>0.95699999999999996</v>
      </c>
      <c r="X709">
        <v>106</v>
      </c>
      <c r="Y709">
        <v>122</v>
      </c>
      <c r="Z709">
        <v>67</v>
      </c>
      <c r="AA709">
        <v>12</v>
      </c>
      <c r="AB709">
        <v>5.2</v>
      </c>
      <c r="AC709" t="s">
        <v>184</v>
      </c>
      <c r="AG709" t="s">
        <v>3849</v>
      </c>
      <c r="AH709" t="s">
        <v>2297</v>
      </c>
      <c r="AI709" s="245">
        <v>398</v>
      </c>
      <c r="AJ709" t="s">
        <v>4613</v>
      </c>
      <c r="AK709" t="s">
        <v>3851</v>
      </c>
      <c r="AL709" t="s">
        <v>1232</v>
      </c>
      <c r="AM709" s="245">
        <v>479.95</v>
      </c>
      <c r="AN709" t="s">
        <v>4614</v>
      </c>
      <c r="AO709" t="s">
        <v>3851</v>
      </c>
      <c r="AP709" t="s">
        <v>1400</v>
      </c>
      <c r="AQ709" s="245">
        <v>479.99</v>
      </c>
      <c r="AR709" t="s">
        <v>4615</v>
      </c>
      <c r="AS709" s="226" t="str">
        <f t="shared" si="22"/>
        <v>Soul Rider 87</v>
      </c>
      <c r="AT709" s="203" t="str">
        <f t="shared" si="23"/>
        <v xml:space="preserve"> NordicaSoul Rider 87169 Unisex</v>
      </c>
    </row>
    <row r="710" spans="1:46" ht="52.8">
      <c r="A710" t="s">
        <v>155</v>
      </c>
      <c r="B710" t="s">
        <v>182</v>
      </c>
      <c r="C710" t="s">
        <v>505</v>
      </c>
      <c r="D710">
        <v>184</v>
      </c>
      <c r="E710" t="s">
        <v>158</v>
      </c>
      <c r="F710">
        <v>184</v>
      </c>
      <c r="G710">
        <v>182</v>
      </c>
      <c r="H710">
        <v>138</v>
      </c>
      <c r="I710">
        <v>152</v>
      </c>
      <c r="J710">
        <v>126</v>
      </c>
      <c r="K710">
        <v>95</v>
      </c>
      <c r="L710">
        <v>118</v>
      </c>
      <c r="M710">
        <v>19.600000000000001</v>
      </c>
      <c r="N710">
        <v>2068</v>
      </c>
      <c r="O710">
        <v>0.93</v>
      </c>
      <c r="P710">
        <v>1924</v>
      </c>
      <c r="Q710">
        <v>233</v>
      </c>
      <c r="R710">
        <v>123</v>
      </c>
      <c r="S710">
        <v>45</v>
      </c>
      <c r="T710">
        <v>233</v>
      </c>
      <c r="U710">
        <v>38</v>
      </c>
      <c r="V710">
        <v>211</v>
      </c>
      <c r="W710">
        <v>0.84799999999999998</v>
      </c>
      <c r="X710">
        <v>148</v>
      </c>
      <c r="Y710">
        <v>156</v>
      </c>
      <c r="Z710">
        <v>85</v>
      </c>
      <c r="AA710">
        <v>11</v>
      </c>
      <c r="AB710">
        <v>5.4</v>
      </c>
      <c r="AC710" t="s">
        <v>188</v>
      </c>
      <c r="AD710" t="s">
        <v>184</v>
      </c>
      <c r="AG710" t="s">
        <v>2668</v>
      </c>
      <c r="AH710" t="s">
        <v>1858</v>
      </c>
      <c r="AI710" s="245">
        <v>399</v>
      </c>
      <c r="AJ710" t="s">
        <v>4616</v>
      </c>
      <c r="AK710" t="s">
        <v>2668</v>
      </c>
      <c r="AL710" t="s">
        <v>1181</v>
      </c>
      <c r="AM710" s="245">
        <v>399.96</v>
      </c>
      <c r="AN710" t="s">
        <v>4617</v>
      </c>
      <c r="AO710" t="s">
        <v>2668</v>
      </c>
      <c r="AP710" t="s">
        <v>1405</v>
      </c>
      <c r="AQ710" s="245">
        <v>399.96</v>
      </c>
      <c r="AR710" t="s">
        <v>4618</v>
      </c>
      <c r="AS710" s="226" t="str">
        <f t="shared" si="22"/>
        <v>ARV 96</v>
      </c>
      <c r="AT710" s="203" t="str">
        <f t="shared" si="23"/>
        <v xml:space="preserve"> ArmadaARV 96184 Unisex</v>
      </c>
    </row>
    <row r="711" spans="1:46" ht="118.8">
      <c r="A711" t="s">
        <v>155</v>
      </c>
      <c r="B711" t="s">
        <v>1395</v>
      </c>
      <c r="C711" t="s">
        <v>437</v>
      </c>
      <c r="D711">
        <v>170</v>
      </c>
      <c r="E711" t="s">
        <v>158</v>
      </c>
      <c r="F711">
        <v>170</v>
      </c>
      <c r="G711">
        <v>171.1</v>
      </c>
      <c r="H711">
        <v>125</v>
      </c>
      <c r="I711">
        <v>147</v>
      </c>
      <c r="J711">
        <v>128</v>
      </c>
      <c r="K711">
        <v>87</v>
      </c>
      <c r="L711">
        <v>110</v>
      </c>
      <c r="M711">
        <v>16.2</v>
      </c>
      <c r="N711">
        <v>1816</v>
      </c>
      <c r="O711">
        <v>0.94</v>
      </c>
      <c r="P711">
        <v>1714</v>
      </c>
      <c r="Q711">
        <v>197</v>
      </c>
      <c r="R711">
        <v>129</v>
      </c>
      <c r="S711">
        <v>45</v>
      </c>
      <c r="T711">
        <v>300</v>
      </c>
      <c r="U711">
        <v>14</v>
      </c>
      <c r="V711">
        <v>159</v>
      </c>
      <c r="W711">
        <v>0.32200000000000001</v>
      </c>
      <c r="X711">
        <v>133</v>
      </c>
      <c r="Y711">
        <v>105</v>
      </c>
      <c r="Z711">
        <v>166</v>
      </c>
      <c r="AA711">
        <v>3</v>
      </c>
      <c r="AB711">
        <v>11.9</v>
      </c>
      <c r="AC711" t="s">
        <v>188</v>
      </c>
      <c r="AG711" t="s">
        <v>4619</v>
      </c>
      <c r="AH711" t="s">
        <v>1277</v>
      </c>
      <c r="AI711" s="245">
        <v>499.99</v>
      </c>
      <c r="AJ711" t="s">
        <v>4620</v>
      </c>
      <c r="AK711" t="s">
        <v>3890</v>
      </c>
      <c r="AL711" t="s">
        <v>1181</v>
      </c>
      <c r="AM711" s="245">
        <v>519.99</v>
      </c>
      <c r="AN711" t="s">
        <v>4621</v>
      </c>
      <c r="AO711" t="s">
        <v>3890</v>
      </c>
      <c r="AP711" t="s">
        <v>1592</v>
      </c>
      <c r="AQ711" s="245">
        <v>529.24</v>
      </c>
      <c r="AR711" t="s">
        <v>4622</v>
      </c>
      <c r="AS711" s="226" t="str">
        <f t="shared" si="22"/>
        <v>Kendo 88</v>
      </c>
      <c r="AT711" s="203" t="str">
        <f t="shared" si="23"/>
        <v xml:space="preserve"> Vï¿½lklKendo 88170 Unisex</v>
      </c>
    </row>
    <row r="712" spans="1:46" ht="39.6">
      <c r="A712" t="s">
        <v>155</v>
      </c>
      <c r="B712" t="s">
        <v>205</v>
      </c>
      <c r="C712" t="s">
        <v>407</v>
      </c>
      <c r="D712">
        <v>162</v>
      </c>
      <c r="E712" t="s">
        <v>163</v>
      </c>
      <c r="F712">
        <v>162</v>
      </c>
      <c r="G712">
        <v>160.30000000000001</v>
      </c>
      <c r="H712">
        <v>125</v>
      </c>
      <c r="I712">
        <v>137</v>
      </c>
      <c r="J712">
        <v>119</v>
      </c>
      <c r="K712">
        <v>85</v>
      </c>
      <c r="L712">
        <v>109</v>
      </c>
      <c r="M712">
        <v>14.9</v>
      </c>
      <c r="N712">
        <v>1390</v>
      </c>
      <c r="O712">
        <v>1.1200000000000001</v>
      </c>
      <c r="P712">
        <v>1552</v>
      </c>
      <c r="Q712">
        <v>169</v>
      </c>
      <c r="R712">
        <v>80</v>
      </c>
      <c r="S712">
        <v>50</v>
      </c>
      <c r="T712">
        <v>212</v>
      </c>
      <c r="U712">
        <v>20</v>
      </c>
      <c r="V712">
        <v>142</v>
      </c>
      <c r="W712">
        <v>0.40600000000000003</v>
      </c>
      <c r="X712">
        <v>150</v>
      </c>
      <c r="Y712">
        <v>86</v>
      </c>
      <c r="Z712">
        <v>63</v>
      </c>
      <c r="AA712">
        <v>7</v>
      </c>
      <c r="AB712">
        <v>9.5</v>
      </c>
      <c r="AC712" t="s">
        <v>188</v>
      </c>
      <c r="AD712" t="s">
        <v>185</v>
      </c>
      <c r="AG712" t="s">
        <v>2237</v>
      </c>
      <c r="AH712" t="s">
        <v>1667</v>
      </c>
      <c r="AI712" s="245">
        <v>499</v>
      </c>
      <c r="AJ712" t="s">
        <v>4623</v>
      </c>
      <c r="AK712" t="s">
        <v>4624</v>
      </c>
      <c r="AL712" t="s">
        <v>4566</v>
      </c>
      <c r="AM712" s="245">
        <v>649</v>
      </c>
      <c r="AN712" t="s">
        <v>4625</v>
      </c>
      <c r="AO712" t="s">
        <v>4626</v>
      </c>
      <c r="AP712" t="s">
        <v>4627</v>
      </c>
      <c r="AQ712" s="245">
        <v>389.4</v>
      </c>
      <c r="AR712" t="s">
        <v>4628</v>
      </c>
      <c r="AS712" s="226" t="str">
        <f t="shared" si="22"/>
        <v>Agent 1.0 X</v>
      </c>
      <c r="AT712" s="203" t="str">
        <f t="shared" si="23"/>
        <v xml:space="preserve"> FactionAgent 1.0 X162 Women's</v>
      </c>
    </row>
    <row r="713" spans="1:46" ht="158.4">
      <c r="A713" t="s">
        <v>155</v>
      </c>
      <c r="B713" t="s">
        <v>208</v>
      </c>
      <c r="C713" t="s">
        <v>435</v>
      </c>
      <c r="D713">
        <v>165</v>
      </c>
      <c r="E713" t="s">
        <v>158</v>
      </c>
      <c r="F713">
        <v>165</v>
      </c>
      <c r="G713">
        <v>165</v>
      </c>
      <c r="H713">
        <v>119</v>
      </c>
      <c r="I713">
        <v>140</v>
      </c>
      <c r="J713">
        <v>125</v>
      </c>
      <c r="K713">
        <v>87</v>
      </c>
      <c r="L713">
        <v>112</v>
      </c>
      <c r="M713">
        <v>15</v>
      </c>
      <c r="N713">
        <v>1453</v>
      </c>
      <c r="O713">
        <v>1.1299999999999999</v>
      </c>
      <c r="P713">
        <v>1638</v>
      </c>
      <c r="Q713">
        <v>150</v>
      </c>
      <c r="R713">
        <v>78</v>
      </c>
      <c r="S713">
        <v>48</v>
      </c>
      <c r="T713">
        <v>295</v>
      </c>
      <c r="U713">
        <v>16</v>
      </c>
      <c r="V713">
        <v>161</v>
      </c>
      <c r="W713">
        <v>0.32899999999999902</v>
      </c>
      <c r="X713">
        <v>148</v>
      </c>
      <c r="Y713">
        <v>100</v>
      </c>
      <c r="Z713">
        <v>148</v>
      </c>
      <c r="AA713">
        <v>5</v>
      </c>
      <c r="AB713">
        <v>8.5</v>
      </c>
      <c r="AC713" t="s">
        <v>188</v>
      </c>
      <c r="AD713" t="s">
        <v>185</v>
      </c>
      <c r="AG713" t="s">
        <v>4629</v>
      </c>
      <c r="AH713" t="s">
        <v>1807</v>
      </c>
      <c r="AI713" s="245">
        <v>299.99</v>
      </c>
      <c r="AJ713" t="s">
        <v>4630</v>
      </c>
      <c r="AK713" t="s">
        <v>2226</v>
      </c>
      <c r="AL713" t="s">
        <v>1950</v>
      </c>
      <c r="AM713" s="245">
        <v>399.95</v>
      </c>
      <c r="AN713" t="s">
        <v>4631</v>
      </c>
      <c r="AO713" t="s">
        <v>4632</v>
      </c>
      <c r="AP713" t="s">
        <v>1181</v>
      </c>
      <c r="AQ713" s="245">
        <v>499</v>
      </c>
      <c r="AR713" t="s">
        <v>4633</v>
      </c>
      <c r="AS713" s="226" t="str">
        <f t="shared" si="22"/>
        <v>Sick Day 88</v>
      </c>
      <c r="AT713" s="203" t="str">
        <f t="shared" si="23"/>
        <v xml:space="preserve"> LineSick Day 88165 Unisex</v>
      </c>
    </row>
    <row r="714" spans="1:46" ht="92.4">
      <c r="A714" t="s">
        <v>155</v>
      </c>
      <c r="B714" t="s">
        <v>317</v>
      </c>
      <c r="C714" t="s">
        <v>502</v>
      </c>
      <c r="D714">
        <v>177</v>
      </c>
      <c r="E714" t="s">
        <v>163</v>
      </c>
      <c r="F714">
        <v>177</v>
      </c>
      <c r="G714">
        <v>175.8</v>
      </c>
      <c r="H714">
        <v>145</v>
      </c>
      <c r="I714">
        <v>153</v>
      </c>
      <c r="J714">
        <v>127</v>
      </c>
      <c r="K714">
        <v>86</v>
      </c>
      <c r="L714">
        <v>109</v>
      </c>
      <c r="M714">
        <v>17.7</v>
      </c>
      <c r="N714">
        <v>1933</v>
      </c>
      <c r="O714">
        <v>0.89</v>
      </c>
      <c r="P714">
        <v>1730</v>
      </c>
      <c r="Q714">
        <v>225</v>
      </c>
      <c r="R714">
        <v>109</v>
      </c>
      <c r="S714">
        <v>57</v>
      </c>
      <c r="T714">
        <v>209</v>
      </c>
      <c r="U714">
        <v>6</v>
      </c>
      <c r="V714">
        <v>95</v>
      </c>
      <c r="W714">
        <v>0.111</v>
      </c>
      <c r="X714">
        <v>127</v>
      </c>
      <c r="Y714">
        <v>97</v>
      </c>
      <c r="Z714">
        <v>83</v>
      </c>
      <c r="AA714">
        <v>9</v>
      </c>
      <c r="AB714">
        <v>11</v>
      </c>
      <c r="AC714" t="s">
        <v>188</v>
      </c>
      <c r="AG714" t="s">
        <v>2652</v>
      </c>
      <c r="AH714" t="s">
        <v>1194</v>
      </c>
      <c r="AI714" s="245">
        <v>354.97</v>
      </c>
      <c r="AJ714" t="s">
        <v>4634</v>
      </c>
      <c r="AK714" t="s">
        <v>4635</v>
      </c>
      <c r="AL714" t="s">
        <v>1556</v>
      </c>
      <c r="AM714" s="245">
        <v>649.95000000000005</v>
      </c>
      <c r="AN714" t="s">
        <v>4636</v>
      </c>
      <c r="AO714" t="s">
        <v>4637</v>
      </c>
      <c r="AP714" t="s">
        <v>3015</v>
      </c>
      <c r="AQ714" s="245">
        <v>649.95000000000005</v>
      </c>
      <c r="AR714" t="s">
        <v>4638</v>
      </c>
      <c r="AS714" s="226" t="str">
        <f t="shared" si="22"/>
        <v>Black Pearl 88</v>
      </c>
      <c r="AT714" s="203" t="str">
        <f t="shared" si="23"/>
        <v xml:space="preserve"> BlizzardBlack Pearl 88177 Women's</v>
      </c>
    </row>
    <row r="715" spans="1:46" ht="118.8">
      <c r="A715" t="s">
        <v>155</v>
      </c>
      <c r="B715" t="s">
        <v>1160</v>
      </c>
      <c r="C715" t="s">
        <v>708</v>
      </c>
      <c r="D715">
        <v>184</v>
      </c>
      <c r="E715" t="s">
        <v>158</v>
      </c>
      <c r="F715">
        <v>184</v>
      </c>
      <c r="G715">
        <v>183.1</v>
      </c>
      <c r="H715">
        <v>96</v>
      </c>
      <c r="I715">
        <v>139</v>
      </c>
      <c r="J715">
        <v>144</v>
      </c>
      <c r="K715">
        <v>122</v>
      </c>
      <c r="L715">
        <v>135</v>
      </c>
      <c r="M715">
        <v>24.6</v>
      </c>
      <c r="N715">
        <v>2076</v>
      </c>
      <c r="O715">
        <v>1.1299999999999999</v>
      </c>
      <c r="P715">
        <v>2349</v>
      </c>
      <c r="Q715">
        <v>211</v>
      </c>
      <c r="R715">
        <v>107</v>
      </c>
      <c r="S715">
        <v>67</v>
      </c>
      <c r="T715">
        <v>459</v>
      </c>
      <c r="U715">
        <v>48</v>
      </c>
      <c r="V715">
        <v>414</v>
      </c>
      <c r="W715">
        <v>0.71399999999999997</v>
      </c>
      <c r="X715">
        <v>221</v>
      </c>
      <c r="Y715">
        <v>221</v>
      </c>
      <c r="Z715">
        <v>238</v>
      </c>
      <c r="AA715">
        <v>3</v>
      </c>
      <c r="AB715">
        <v>5.0999999999999996</v>
      </c>
      <c r="AC715" t="s">
        <v>169</v>
      </c>
      <c r="AD715" t="s">
        <v>185</v>
      </c>
      <c r="AG715" t="s">
        <v>4639</v>
      </c>
      <c r="AH715" t="s">
        <v>1277</v>
      </c>
      <c r="AI715" s="245">
        <v>250</v>
      </c>
      <c r="AJ715" t="s">
        <v>4640</v>
      </c>
      <c r="AK715" t="s">
        <v>4641</v>
      </c>
      <c r="AL715" t="s">
        <v>1349</v>
      </c>
      <c r="AM715" s="245">
        <v>412.48</v>
      </c>
      <c r="AN715" t="s">
        <v>4642</v>
      </c>
      <c r="AO715" t="s">
        <v>4296</v>
      </c>
      <c r="AP715" t="s">
        <v>1271</v>
      </c>
      <c r="AQ715" s="245">
        <v>439.93</v>
      </c>
      <c r="AR715" t="s">
        <v>4643</v>
      </c>
      <c r="AS715" s="226" t="str">
        <f t="shared" si="22"/>
        <v>Reckoner 122</v>
      </c>
      <c r="AT715" s="203" t="str">
        <f t="shared" si="23"/>
        <v>K2Reckoner 122184 Unisex</v>
      </c>
    </row>
    <row r="716" spans="1:46" ht="118.8">
      <c r="A716" t="s">
        <v>155</v>
      </c>
      <c r="B716" t="s">
        <v>174</v>
      </c>
      <c r="C716" t="s">
        <v>736</v>
      </c>
      <c r="D716">
        <v>156</v>
      </c>
      <c r="E716" t="s">
        <v>158</v>
      </c>
      <c r="F716">
        <v>156</v>
      </c>
      <c r="G716">
        <v>155.30000000000001</v>
      </c>
      <c r="H716">
        <v>132</v>
      </c>
      <c r="I716">
        <v>143</v>
      </c>
      <c r="J716">
        <v>126</v>
      </c>
      <c r="K716">
        <v>80</v>
      </c>
      <c r="L716">
        <v>109</v>
      </c>
      <c r="M716">
        <v>12.9</v>
      </c>
      <c r="N716">
        <v>1853</v>
      </c>
      <c r="O716">
        <v>0.79</v>
      </c>
      <c r="P716">
        <v>1472</v>
      </c>
      <c r="Q716">
        <v>180</v>
      </c>
      <c r="R716">
        <v>84</v>
      </c>
      <c r="S716">
        <v>40</v>
      </c>
      <c r="T716">
        <v>151</v>
      </c>
      <c r="U716">
        <v>4</v>
      </c>
      <c r="V716">
        <v>79</v>
      </c>
      <c r="W716">
        <v>8.7999999999999995E-2</v>
      </c>
      <c r="X716">
        <v>86</v>
      </c>
      <c r="Y716">
        <v>33</v>
      </c>
      <c r="Z716">
        <v>66</v>
      </c>
      <c r="AA716">
        <v>8</v>
      </c>
      <c r="AB716">
        <v>10.5</v>
      </c>
      <c r="AC716" t="s">
        <v>349</v>
      </c>
      <c r="AG716" t="s">
        <v>4644</v>
      </c>
      <c r="AH716" t="s">
        <v>1179</v>
      </c>
      <c r="AI716" s="245">
        <v>479.95</v>
      </c>
      <c r="AJ716" t="s">
        <v>4645</v>
      </c>
      <c r="AK716" t="s">
        <v>4646</v>
      </c>
      <c r="AL716" t="s">
        <v>3322</v>
      </c>
      <c r="AM716" s="245">
        <v>479.99</v>
      </c>
      <c r="AN716" t="s">
        <v>4647</v>
      </c>
      <c r="AO716" t="s">
        <v>4646</v>
      </c>
      <c r="AP716" t="s">
        <v>3514</v>
      </c>
      <c r="AQ716" s="245">
        <v>479.99</v>
      </c>
      <c r="AR716" t="s">
        <v>4648</v>
      </c>
      <c r="AS716" s="226" t="str">
        <f t="shared" si="22"/>
        <v>S/Force 80FX</v>
      </c>
      <c r="AT716" s="203" t="str">
        <f t="shared" si="23"/>
        <v xml:space="preserve"> SalomonS/Force 80FX156 Unisex</v>
      </c>
    </row>
    <row r="717" spans="1:46" ht="52.8">
      <c r="A717" t="s">
        <v>155</v>
      </c>
      <c r="B717" t="s">
        <v>1160</v>
      </c>
      <c r="C717" t="s">
        <v>583</v>
      </c>
      <c r="D717">
        <v>156</v>
      </c>
      <c r="E717" t="s">
        <v>158</v>
      </c>
      <c r="F717">
        <v>156</v>
      </c>
      <c r="G717">
        <v>157</v>
      </c>
      <c r="H717">
        <v>131</v>
      </c>
      <c r="I717">
        <v>144</v>
      </c>
      <c r="J717">
        <v>124</v>
      </c>
      <c r="K717">
        <v>77</v>
      </c>
      <c r="L717">
        <v>111</v>
      </c>
      <c r="M717">
        <v>12.6</v>
      </c>
      <c r="N717">
        <v>1719</v>
      </c>
      <c r="O717">
        <v>0.84</v>
      </c>
      <c r="P717">
        <v>1451</v>
      </c>
      <c r="Q717">
        <v>151</v>
      </c>
      <c r="R717">
        <v>73</v>
      </c>
      <c r="S717">
        <v>29</v>
      </c>
      <c r="T717">
        <v>166</v>
      </c>
      <c r="U717">
        <v>9</v>
      </c>
      <c r="V717">
        <v>93</v>
      </c>
      <c r="W717">
        <v>0.30499999999999999</v>
      </c>
      <c r="X717">
        <v>82</v>
      </c>
      <c r="Y717">
        <v>44</v>
      </c>
      <c r="Z717">
        <v>84</v>
      </c>
      <c r="AA717">
        <v>7</v>
      </c>
      <c r="AB717">
        <v>10</v>
      </c>
      <c r="AC717" t="s">
        <v>349</v>
      </c>
      <c r="AG717" t="s">
        <v>4649</v>
      </c>
      <c r="AH717" t="s">
        <v>1405</v>
      </c>
      <c r="AI717" s="245">
        <v>599.95000000000005</v>
      </c>
      <c r="AJ717" t="s">
        <v>4650</v>
      </c>
      <c r="AK717" t="s">
        <v>4649</v>
      </c>
      <c r="AL717" t="s">
        <v>1181</v>
      </c>
      <c r="AM717" s="245">
        <v>599.95000000000005</v>
      </c>
      <c r="AN717" t="s">
        <v>4651</v>
      </c>
      <c r="AO717" t="s">
        <v>4649</v>
      </c>
      <c r="AP717" t="s">
        <v>2425</v>
      </c>
      <c r="AQ717" s="245">
        <v>599.95000000000005</v>
      </c>
      <c r="AR717" t="s">
        <v>4652</v>
      </c>
      <c r="AS717" s="226" t="str">
        <f t="shared" si="22"/>
        <v>Disruption 78C</v>
      </c>
      <c r="AT717" s="203" t="str">
        <f t="shared" si="23"/>
        <v>K2Disruption 78C156 Unisex</v>
      </c>
    </row>
    <row r="718" spans="1:46" ht="79.2">
      <c r="A718" t="s">
        <v>155</v>
      </c>
      <c r="B718" t="s">
        <v>332</v>
      </c>
      <c r="C718" t="s">
        <v>465</v>
      </c>
      <c r="D718">
        <v>185</v>
      </c>
      <c r="E718" t="s">
        <v>158</v>
      </c>
      <c r="F718">
        <v>185</v>
      </c>
      <c r="G718">
        <v>183.1</v>
      </c>
      <c r="H718">
        <v>148</v>
      </c>
      <c r="I718">
        <v>160</v>
      </c>
      <c r="J718">
        <v>133</v>
      </c>
      <c r="K718">
        <v>96</v>
      </c>
      <c r="L718">
        <v>123</v>
      </c>
      <c r="M718">
        <v>19</v>
      </c>
      <c r="N718">
        <v>2129</v>
      </c>
      <c r="O718">
        <v>0.93</v>
      </c>
      <c r="P718">
        <v>1975</v>
      </c>
      <c r="Q718">
        <v>202</v>
      </c>
      <c r="R718">
        <v>101</v>
      </c>
      <c r="S718">
        <v>52</v>
      </c>
      <c r="T718">
        <v>178</v>
      </c>
      <c r="U718">
        <v>48</v>
      </c>
      <c r="V718">
        <v>175</v>
      </c>
      <c r="W718">
        <v>0.92</v>
      </c>
      <c r="X718">
        <v>105</v>
      </c>
      <c r="Y718">
        <v>126</v>
      </c>
      <c r="Z718">
        <v>74</v>
      </c>
      <c r="AA718">
        <v>11</v>
      </c>
      <c r="AB718">
        <v>6.3</v>
      </c>
      <c r="AC718" t="s">
        <v>184</v>
      </c>
      <c r="AG718" t="s">
        <v>4653</v>
      </c>
      <c r="AH718" t="s">
        <v>1232</v>
      </c>
      <c r="AI718" s="245">
        <v>479.95</v>
      </c>
      <c r="AJ718" t="s">
        <v>4654</v>
      </c>
      <c r="AK718" t="s">
        <v>4653</v>
      </c>
      <c r="AL718" t="s">
        <v>1244</v>
      </c>
      <c r="AM718" s="245">
        <v>479.96</v>
      </c>
      <c r="AN718" t="s">
        <v>4655</v>
      </c>
      <c r="AO718" t="s">
        <v>4653</v>
      </c>
      <c r="AP718" t="s">
        <v>1400</v>
      </c>
      <c r="AQ718" s="245">
        <v>479.99</v>
      </c>
      <c r="AR718" t="s">
        <v>4656</v>
      </c>
      <c r="AS718" s="226" t="str">
        <f t="shared" si="22"/>
        <v>Soul Rider 97</v>
      </c>
      <c r="AT718" s="203" t="str">
        <f t="shared" si="23"/>
        <v xml:space="preserve"> NordicaSoul Rider 97185 Unisex</v>
      </c>
    </row>
    <row r="719" spans="1:46" ht="92.4">
      <c r="A719" t="s">
        <v>155</v>
      </c>
      <c r="B719" t="s">
        <v>237</v>
      </c>
      <c r="C719" t="s">
        <v>737</v>
      </c>
      <c r="D719">
        <v>162.30000000000001</v>
      </c>
      <c r="E719" t="s">
        <v>163</v>
      </c>
      <c r="F719">
        <v>162.30000000000001</v>
      </c>
      <c r="G719">
        <v>160.80000000000001</v>
      </c>
      <c r="H719">
        <v>117</v>
      </c>
      <c r="I719">
        <v>140</v>
      </c>
      <c r="J719">
        <v>129</v>
      </c>
      <c r="K719">
        <v>97</v>
      </c>
      <c r="L719">
        <v>117</v>
      </c>
      <c r="M719">
        <v>18.3</v>
      </c>
      <c r="N719">
        <v>1601</v>
      </c>
      <c r="O719">
        <v>1.07</v>
      </c>
      <c r="P719">
        <v>1720</v>
      </c>
      <c r="Q719">
        <v>142</v>
      </c>
      <c r="R719">
        <v>74</v>
      </c>
      <c r="S719">
        <v>45</v>
      </c>
      <c r="T719">
        <v>246</v>
      </c>
      <c r="U719">
        <v>32</v>
      </c>
      <c r="V719">
        <v>194</v>
      </c>
      <c r="W719">
        <v>0.71499999999999997</v>
      </c>
      <c r="X719">
        <v>103</v>
      </c>
      <c r="Y719">
        <v>110</v>
      </c>
      <c r="Z719">
        <v>143</v>
      </c>
      <c r="AA719">
        <v>8</v>
      </c>
      <c r="AB719">
        <v>6.4</v>
      </c>
      <c r="AC719" t="s">
        <v>188</v>
      </c>
      <c r="AD719" t="s">
        <v>185</v>
      </c>
      <c r="AG719" t="s">
        <v>4657</v>
      </c>
      <c r="AH719" t="s">
        <v>1181</v>
      </c>
      <c r="AI719" s="245">
        <v>449.99</v>
      </c>
      <c r="AJ719" t="s">
        <v>4658</v>
      </c>
      <c r="AK719" t="s">
        <v>4657</v>
      </c>
      <c r="AL719" t="s">
        <v>1405</v>
      </c>
      <c r="AM719" s="245">
        <v>449.99</v>
      </c>
      <c r="AN719" t="s">
        <v>4659</v>
      </c>
      <c r="AO719" t="s">
        <v>4657</v>
      </c>
      <c r="AP719" t="s">
        <v>2130</v>
      </c>
      <c r="AQ719" s="245">
        <v>479.99</v>
      </c>
      <c r="AR719" t="s">
        <v>4660</v>
      </c>
      <c r="AS719" s="226" t="str">
        <f t="shared" si="22"/>
        <v>Camox Birdie</v>
      </c>
      <c r="AT719" s="203" t="str">
        <f t="shared" si="23"/>
        <v xml:space="preserve"> Black CrowsCamox Birdie162.3 Women's</v>
      </c>
    </row>
    <row r="720" spans="1:46" ht="79.2">
      <c r="A720" t="s">
        <v>155</v>
      </c>
      <c r="B720" t="s">
        <v>182</v>
      </c>
      <c r="C720" t="s">
        <v>440</v>
      </c>
      <c r="D720">
        <v>172</v>
      </c>
      <c r="E720" t="s">
        <v>163</v>
      </c>
      <c r="F720">
        <v>172</v>
      </c>
      <c r="G720">
        <v>172.1</v>
      </c>
      <c r="H720">
        <v>134</v>
      </c>
      <c r="I720">
        <v>149</v>
      </c>
      <c r="J720">
        <v>130</v>
      </c>
      <c r="K720">
        <v>91</v>
      </c>
      <c r="L720">
        <v>116</v>
      </c>
      <c r="M720">
        <v>16.899999999999999</v>
      </c>
      <c r="N720">
        <v>1690</v>
      </c>
      <c r="O720">
        <v>1.05</v>
      </c>
      <c r="P720">
        <v>1780</v>
      </c>
      <c r="Q720">
        <v>208</v>
      </c>
      <c r="R720">
        <v>140</v>
      </c>
      <c r="S720">
        <v>40</v>
      </c>
      <c r="T720">
        <v>237</v>
      </c>
      <c r="U720">
        <v>16</v>
      </c>
      <c r="V720">
        <v>145</v>
      </c>
      <c r="W720">
        <v>0.40899999999999997</v>
      </c>
      <c r="X720">
        <v>147</v>
      </c>
      <c r="Y720">
        <v>87</v>
      </c>
      <c r="Z720">
        <v>90</v>
      </c>
      <c r="AA720">
        <v>9</v>
      </c>
      <c r="AB720">
        <v>9.6</v>
      </c>
      <c r="AC720" t="s">
        <v>188</v>
      </c>
      <c r="AD720" t="s">
        <v>185</v>
      </c>
      <c r="AG720" t="s">
        <v>4661</v>
      </c>
      <c r="AH720" t="s">
        <v>1191</v>
      </c>
      <c r="AI720" s="245">
        <v>424.95</v>
      </c>
      <c r="AJ720" t="s">
        <v>4662</v>
      </c>
      <c r="AK720" t="s">
        <v>4661</v>
      </c>
      <c r="AL720" t="s">
        <v>1194</v>
      </c>
      <c r="AM720" s="245">
        <v>441.67</v>
      </c>
      <c r="AN720" t="s">
        <v>4663</v>
      </c>
      <c r="AO720" t="s">
        <v>4661</v>
      </c>
      <c r="AP720" t="s">
        <v>1271</v>
      </c>
      <c r="AQ720" s="245">
        <v>519.95000000000005</v>
      </c>
      <c r="AR720" t="s">
        <v>4664</v>
      </c>
      <c r="AS720" s="226" t="str">
        <f t="shared" si="22"/>
        <v>Reliance 92 Ti</v>
      </c>
      <c r="AT720" s="203" t="str">
        <f t="shared" si="23"/>
        <v xml:space="preserve"> ArmadaReliance 92 Ti172 Women's</v>
      </c>
    </row>
    <row r="721" spans="1:46" ht="79.2">
      <c r="A721" t="s">
        <v>155</v>
      </c>
      <c r="B721" t="s">
        <v>208</v>
      </c>
      <c r="C721" t="s">
        <v>637</v>
      </c>
      <c r="D721">
        <v>171</v>
      </c>
      <c r="E721" t="s">
        <v>158</v>
      </c>
      <c r="F721">
        <v>171</v>
      </c>
      <c r="G721">
        <v>171.6</v>
      </c>
      <c r="H721">
        <v>136</v>
      </c>
      <c r="I721">
        <v>138</v>
      </c>
      <c r="J721">
        <v>128</v>
      </c>
      <c r="K721">
        <v>94</v>
      </c>
      <c r="L721">
        <v>119</v>
      </c>
      <c r="M721">
        <v>15.3</v>
      </c>
      <c r="N721">
        <v>1704</v>
      </c>
      <c r="O721">
        <v>1.06</v>
      </c>
      <c r="P721">
        <v>1808</v>
      </c>
      <c r="Q721">
        <v>136</v>
      </c>
      <c r="R721">
        <v>74</v>
      </c>
      <c r="S721">
        <v>41</v>
      </c>
      <c r="T721">
        <v>174</v>
      </c>
      <c r="U721">
        <v>40</v>
      </c>
      <c r="V721">
        <v>178</v>
      </c>
      <c r="W721">
        <v>0.95799999999999996</v>
      </c>
      <c r="X721">
        <v>167</v>
      </c>
      <c r="Y721">
        <v>167</v>
      </c>
      <c r="Z721">
        <v>6</v>
      </c>
      <c r="AA721">
        <v>10</v>
      </c>
      <c r="AB721">
        <v>3.5</v>
      </c>
      <c r="AC721" t="s">
        <v>184</v>
      </c>
      <c r="AD721" t="s">
        <v>185</v>
      </c>
      <c r="AG721" t="s">
        <v>3300</v>
      </c>
      <c r="AH721" t="s">
        <v>2214</v>
      </c>
      <c r="AI721" s="245">
        <v>200</v>
      </c>
      <c r="AJ721" t="s">
        <v>4665</v>
      </c>
      <c r="AK721" t="s">
        <v>4450</v>
      </c>
      <c r="AL721" t="s">
        <v>1226</v>
      </c>
      <c r="AM721" s="245">
        <v>499.95</v>
      </c>
      <c r="AN721" t="s">
        <v>4666</v>
      </c>
      <c r="AO721" t="s">
        <v>4450</v>
      </c>
      <c r="AP721" t="s">
        <v>1271</v>
      </c>
      <c r="AQ721" s="245">
        <v>499.95</v>
      </c>
      <c r="AR721" t="s">
        <v>4667</v>
      </c>
      <c r="AS721" s="226" t="str">
        <f t="shared" si="22"/>
        <v>Chronic</v>
      </c>
      <c r="AT721" s="203" t="str">
        <f t="shared" si="23"/>
        <v xml:space="preserve"> LineChronic171 Unisex</v>
      </c>
    </row>
    <row r="722" spans="1:46" ht="105.6">
      <c r="A722" t="s">
        <v>155</v>
      </c>
      <c r="B722" t="s">
        <v>167</v>
      </c>
      <c r="C722" t="s">
        <v>706</v>
      </c>
      <c r="D722">
        <v>171</v>
      </c>
      <c r="E722" t="s">
        <v>158</v>
      </c>
      <c r="F722">
        <v>171</v>
      </c>
      <c r="G722">
        <v>169.2</v>
      </c>
      <c r="H722">
        <v>140</v>
      </c>
      <c r="I722">
        <v>151</v>
      </c>
      <c r="J722">
        <v>119</v>
      </c>
      <c r="K722">
        <v>82</v>
      </c>
      <c r="L722">
        <v>108</v>
      </c>
      <c r="M722">
        <v>17.8</v>
      </c>
      <c r="N722">
        <v>1696</v>
      </c>
      <c r="O722">
        <v>0.94</v>
      </c>
      <c r="P722">
        <v>1586</v>
      </c>
      <c r="Q722">
        <v>178</v>
      </c>
      <c r="R722">
        <v>62</v>
      </c>
      <c r="S722">
        <v>48</v>
      </c>
      <c r="T722">
        <v>156</v>
      </c>
      <c r="U722">
        <v>37</v>
      </c>
      <c r="V722">
        <v>133</v>
      </c>
      <c r="W722">
        <v>0.76900000000000002</v>
      </c>
      <c r="X722">
        <v>96</v>
      </c>
      <c r="Y722">
        <v>89</v>
      </c>
      <c r="Z722">
        <v>60</v>
      </c>
      <c r="AA722">
        <v>11</v>
      </c>
      <c r="AB722">
        <v>5.4</v>
      </c>
      <c r="AC722" t="s">
        <v>188</v>
      </c>
      <c r="AG722" t="s">
        <v>4668</v>
      </c>
      <c r="AH722" t="s">
        <v>1416</v>
      </c>
      <c r="AI722" s="245">
        <v>399</v>
      </c>
      <c r="AJ722" t="s">
        <v>4669</v>
      </c>
      <c r="AK722" t="s">
        <v>4670</v>
      </c>
      <c r="AL722" t="s">
        <v>1993</v>
      </c>
      <c r="AM722" s="245">
        <v>399</v>
      </c>
      <c r="AN722" t="s">
        <v>4671</v>
      </c>
      <c r="AO722" t="s">
        <v>4670</v>
      </c>
      <c r="AP722" t="s">
        <v>1224</v>
      </c>
      <c r="AQ722" s="245">
        <v>399</v>
      </c>
      <c r="AR722" t="s">
        <v>4672</v>
      </c>
      <c r="AS722" s="226" t="str">
        <f t="shared" si="22"/>
        <v>Oblivion 84</v>
      </c>
      <c r="AT722" s="203" t="str">
        <f t="shared" si="23"/>
        <v xml:space="preserve"> HeadOblivion 84171 Unisex</v>
      </c>
    </row>
    <row r="723" spans="1:46" ht="92.4">
      <c r="A723" t="s">
        <v>155</v>
      </c>
      <c r="B723" t="s">
        <v>174</v>
      </c>
      <c r="C723" t="s">
        <v>343</v>
      </c>
      <c r="D723">
        <v>169</v>
      </c>
      <c r="E723" t="s">
        <v>158</v>
      </c>
      <c r="F723">
        <v>169</v>
      </c>
      <c r="G723">
        <v>168</v>
      </c>
      <c r="H723">
        <v>122</v>
      </c>
      <c r="I723">
        <v>140</v>
      </c>
      <c r="J723">
        <v>121</v>
      </c>
      <c r="K723">
        <v>83</v>
      </c>
      <c r="L723">
        <v>104</v>
      </c>
      <c r="M723">
        <v>15</v>
      </c>
      <c r="N723">
        <v>1513</v>
      </c>
      <c r="O723">
        <v>1.07</v>
      </c>
      <c r="P723">
        <v>1623</v>
      </c>
      <c r="Q723">
        <v>179</v>
      </c>
      <c r="R723">
        <v>77</v>
      </c>
      <c r="S723">
        <v>52</v>
      </c>
      <c r="T723">
        <v>251</v>
      </c>
      <c r="U723">
        <v>13</v>
      </c>
      <c r="V723">
        <v>206</v>
      </c>
      <c r="W723">
        <v>0.245</v>
      </c>
      <c r="X723">
        <v>163</v>
      </c>
      <c r="Y723">
        <v>117</v>
      </c>
      <c r="Z723">
        <v>88</v>
      </c>
      <c r="AA723">
        <v>6</v>
      </c>
      <c r="AB723">
        <v>10.1</v>
      </c>
      <c r="AC723" t="s">
        <v>231</v>
      </c>
      <c r="AD723" t="s">
        <v>188</v>
      </c>
      <c r="AE723" t="s">
        <v>185</v>
      </c>
      <c r="AG723" t="s">
        <v>4673</v>
      </c>
      <c r="AH723" t="s">
        <v>2589</v>
      </c>
      <c r="AI723" s="245">
        <v>599.95000000000005</v>
      </c>
      <c r="AJ723" t="s">
        <v>4674</v>
      </c>
      <c r="AK723" t="s">
        <v>4673</v>
      </c>
      <c r="AL723" t="s">
        <v>1224</v>
      </c>
      <c r="AM723" s="245">
        <v>599.99</v>
      </c>
      <c r="AN723" t="s">
        <v>4675</v>
      </c>
      <c r="AO723" t="s">
        <v>2140</v>
      </c>
      <c r="AP723" t="s">
        <v>1282</v>
      </c>
      <c r="AQ723" s="245">
        <v>399.99</v>
      </c>
      <c r="AR723" t="s">
        <v>4676</v>
      </c>
      <c r="AS723" s="226" t="str">
        <f t="shared" si="22"/>
        <v>Stance 84</v>
      </c>
      <c r="AT723" s="203" t="str">
        <f t="shared" si="23"/>
        <v xml:space="preserve"> SalomonStance 84169 Unisex</v>
      </c>
    </row>
    <row r="724" spans="1:46" ht="158.4">
      <c r="A724" t="s">
        <v>155</v>
      </c>
      <c r="B724" t="s">
        <v>332</v>
      </c>
      <c r="C724" t="s">
        <v>738</v>
      </c>
      <c r="D724">
        <v>162</v>
      </c>
      <c r="E724" t="s">
        <v>163</v>
      </c>
      <c r="F724">
        <v>162</v>
      </c>
      <c r="G724">
        <v>161.30000000000001</v>
      </c>
      <c r="H724">
        <v>138</v>
      </c>
      <c r="I724">
        <v>147</v>
      </c>
      <c r="J724">
        <v>123</v>
      </c>
      <c r="K724">
        <v>72</v>
      </c>
      <c r="L724">
        <v>100</v>
      </c>
      <c r="M724">
        <v>13.4</v>
      </c>
      <c r="N724">
        <v>1750</v>
      </c>
      <c r="O724">
        <v>0.8</v>
      </c>
      <c r="P724">
        <v>1404</v>
      </c>
      <c r="Q724">
        <v>191</v>
      </c>
      <c r="R724">
        <v>77</v>
      </c>
      <c r="S724">
        <v>37</v>
      </c>
      <c r="T724">
        <v>144</v>
      </c>
      <c r="U724">
        <v>9</v>
      </c>
      <c r="V724">
        <v>88</v>
      </c>
      <c r="W724">
        <v>0.251</v>
      </c>
      <c r="X724">
        <v>66</v>
      </c>
      <c r="Y724">
        <v>79</v>
      </c>
      <c r="Z724">
        <v>78</v>
      </c>
      <c r="AA724">
        <v>7</v>
      </c>
      <c r="AB724">
        <v>9</v>
      </c>
      <c r="AC724" t="s">
        <v>349</v>
      </c>
      <c r="AG724" t="s">
        <v>4677</v>
      </c>
      <c r="AH724" t="s">
        <v>2632</v>
      </c>
      <c r="AI724" s="245">
        <v>399.95</v>
      </c>
      <c r="AJ724" t="s">
        <v>4678</v>
      </c>
      <c r="AK724" t="s">
        <v>4677</v>
      </c>
      <c r="AL724" t="s">
        <v>3959</v>
      </c>
      <c r="AM724" s="245">
        <v>399.95</v>
      </c>
      <c r="AN724" t="s">
        <v>4679</v>
      </c>
      <c r="AO724" t="s">
        <v>4680</v>
      </c>
      <c r="AP724" t="s">
        <v>1402</v>
      </c>
      <c r="AQ724" s="245">
        <v>499.99</v>
      </c>
      <c r="AR724" t="s">
        <v>4681</v>
      </c>
      <c r="AS724" s="226" t="str">
        <f t="shared" si="22"/>
        <v>Belle 73</v>
      </c>
      <c r="AT724" s="203" t="str">
        <f t="shared" si="23"/>
        <v xml:space="preserve"> NordicaBelle 73162 Women's</v>
      </c>
    </row>
    <row r="725" spans="1:46" ht="52.8">
      <c r="A725" t="s">
        <v>155</v>
      </c>
      <c r="B725" t="s">
        <v>180</v>
      </c>
      <c r="C725" t="s">
        <v>232</v>
      </c>
      <c r="D725">
        <v>183</v>
      </c>
      <c r="E725" t="s">
        <v>158</v>
      </c>
      <c r="F725">
        <v>183</v>
      </c>
      <c r="G725">
        <v>181.3</v>
      </c>
      <c r="H725">
        <v>132</v>
      </c>
      <c r="I725">
        <v>163</v>
      </c>
      <c r="J725">
        <v>137</v>
      </c>
      <c r="K725">
        <v>102</v>
      </c>
      <c r="L725">
        <v>126</v>
      </c>
      <c r="M725">
        <v>24</v>
      </c>
      <c r="N725">
        <v>1718</v>
      </c>
      <c r="O725">
        <v>1.1599999999999999</v>
      </c>
      <c r="P725">
        <v>1999</v>
      </c>
      <c r="Q725">
        <v>295</v>
      </c>
      <c r="R725">
        <v>126</v>
      </c>
      <c r="S725">
        <v>60</v>
      </c>
      <c r="T725">
        <v>301</v>
      </c>
      <c r="U725">
        <v>40</v>
      </c>
      <c r="V725">
        <v>192</v>
      </c>
      <c r="W725">
        <v>0.66200000000000003</v>
      </c>
      <c r="X725">
        <v>110</v>
      </c>
      <c r="Y725">
        <v>76</v>
      </c>
      <c r="Z725">
        <v>191</v>
      </c>
      <c r="AA725">
        <v>4</v>
      </c>
      <c r="AB725">
        <v>11.9</v>
      </c>
      <c r="AC725" t="s">
        <v>188</v>
      </c>
      <c r="AD725" t="s">
        <v>169</v>
      </c>
      <c r="AE725" t="s">
        <v>185</v>
      </c>
      <c r="AG725" t="s">
        <v>4682</v>
      </c>
      <c r="AH725" t="s">
        <v>1326</v>
      </c>
      <c r="AI725" s="245">
        <v>385.15</v>
      </c>
      <c r="AJ725" t="s">
        <v>4683</v>
      </c>
      <c r="AK725" t="s">
        <v>4682</v>
      </c>
      <c r="AL725" t="s">
        <v>1194</v>
      </c>
      <c r="AM725" s="245">
        <v>386.34</v>
      </c>
      <c r="AN725" t="s">
        <v>4684</v>
      </c>
      <c r="AO725" t="s">
        <v>4685</v>
      </c>
      <c r="AP725" t="s">
        <v>1204</v>
      </c>
      <c r="AQ725" s="245">
        <v>521.11</v>
      </c>
      <c r="AR725" t="s">
        <v>4686</v>
      </c>
      <c r="AS725" s="226" t="str">
        <f t="shared" si="22"/>
        <v>Scrapper 105</v>
      </c>
      <c r="AT725" s="203" t="str">
        <f t="shared" si="23"/>
        <v xml:space="preserve"> ScottScrapper 105183 Unisex</v>
      </c>
    </row>
    <row r="726" spans="1:46" ht="158.4">
      <c r="A726" t="s">
        <v>155</v>
      </c>
      <c r="B726" t="s">
        <v>208</v>
      </c>
      <c r="C726" t="s">
        <v>414</v>
      </c>
      <c r="D726">
        <v>189</v>
      </c>
      <c r="E726" t="s">
        <v>158</v>
      </c>
      <c r="F726">
        <v>189</v>
      </c>
      <c r="G726">
        <v>188.4</v>
      </c>
      <c r="H726">
        <v>114</v>
      </c>
      <c r="I726">
        <v>153</v>
      </c>
      <c r="J726">
        <v>151</v>
      </c>
      <c r="K726">
        <v>117</v>
      </c>
      <c r="L726">
        <v>137</v>
      </c>
      <c r="M726">
        <v>20.5</v>
      </c>
      <c r="N726">
        <v>1974</v>
      </c>
      <c r="O726">
        <v>1.21</v>
      </c>
      <c r="P726">
        <v>2392</v>
      </c>
      <c r="Q726">
        <v>247</v>
      </c>
      <c r="R726">
        <v>112</v>
      </c>
      <c r="S726">
        <v>52</v>
      </c>
      <c r="T726">
        <v>384</v>
      </c>
      <c r="U726">
        <v>33</v>
      </c>
      <c r="V726">
        <v>362</v>
      </c>
      <c r="W726">
        <v>0.63900000000000001</v>
      </c>
      <c r="X726">
        <v>172</v>
      </c>
      <c r="Y726">
        <v>181</v>
      </c>
      <c r="Z726">
        <v>212</v>
      </c>
      <c r="AA726">
        <v>3</v>
      </c>
      <c r="AB726">
        <v>7.4</v>
      </c>
      <c r="AC726" t="s">
        <v>169</v>
      </c>
      <c r="AD726" t="s">
        <v>185</v>
      </c>
      <c r="AG726" t="s">
        <v>4687</v>
      </c>
      <c r="AH726" t="s">
        <v>1240</v>
      </c>
      <c r="AI726" s="245">
        <v>699.95</v>
      </c>
      <c r="AJ726" t="s">
        <v>4688</v>
      </c>
      <c r="AK726" t="s">
        <v>4689</v>
      </c>
      <c r="AL726" t="s">
        <v>1181</v>
      </c>
      <c r="AM726" s="245">
        <v>969.95</v>
      </c>
      <c r="AN726" t="s">
        <v>4690</v>
      </c>
      <c r="AO726" t="s">
        <v>4691</v>
      </c>
      <c r="AP726" t="s">
        <v>1265</v>
      </c>
      <c r="AQ726" s="245">
        <v>513.09</v>
      </c>
      <c r="AR726" t="s">
        <v>4692</v>
      </c>
      <c r="AS726" s="226" t="str">
        <f t="shared" si="22"/>
        <v>Vision 118</v>
      </c>
      <c r="AT726" s="203" t="str">
        <f t="shared" si="23"/>
        <v xml:space="preserve"> LineVision 118189 Unisex</v>
      </c>
    </row>
    <row r="727" spans="1:46" ht="105.6">
      <c r="A727" t="s">
        <v>155</v>
      </c>
      <c r="B727" t="s">
        <v>245</v>
      </c>
      <c r="C727" t="s">
        <v>513</v>
      </c>
      <c r="D727">
        <v>181</v>
      </c>
      <c r="E727" t="s">
        <v>158</v>
      </c>
      <c r="F727">
        <v>181</v>
      </c>
      <c r="G727">
        <v>180.2</v>
      </c>
      <c r="H727">
        <v>123</v>
      </c>
      <c r="I727">
        <v>152</v>
      </c>
      <c r="J727">
        <v>129</v>
      </c>
      <c r="K727">
        <v>96</v>
      </c>
      <c r="L727">
        <v>121</v>
      </c>
      <c r="M727">
        <v>16.899999999999999</v>
      </c>
      <c r="N727">
        <v>1891</v>
      </c>
      <c r="O727">
        <v>1.04</v>
      </c>
      <c r="P727">
        <v>1962</v>
      </c>
      <c r="Q727">
        <v>253</v>
      </c>
      <c r="R727">
        <v>145</v>
      </c>
      <c r="S727">
        <v>52</v>
      </c>
      <c r="T727">
        <v>343</v>
      </c>
      <c r="U727">
        <v>18</v>
      </c>
      <c r="V727">
        <v>229</v>
      </c>
      <c r="W727">
        <v>0.34699999999999998</v>
      </c>
      <c r="X727">
        <v>140</v>
      </c>
      <c r="Y727">
        <v>138</v>
      </c>
      <c r="Z727">
        <v>203</v>
      </c>
      <c r="AA727">
        <v>5</v>
      </c>
      <c r="AB727">
        <v>9.6999999999999993</v>
      </c>
      <c r="AC727" t="s">
        <v>188</v>
      </c>
      <c r="AG727" t="s">
        <v>4693</v>
      </c>
      <c r="AH727" t="s">
        <v>1191</v>
      </c>
      <c r="AI727" s="245">
        <v>469.95</v>
      </c>
      <c r="AJ727" t="s">
        <v>4694</v>
      </c>
      <c r="AK727" t="s">
        <v>4695</v>
      </c>
      <c r="AL727" t="s">
        <v>1282</v>
      </c>
      <c r="AM727" s="245">
        <v>499.99</v>
      </c>
      <c r="AN727" t="s">
        <v>4696</v>
      </c>
      <c r="AO727" t="s">
        <v>4697</v>
      </c>
      <c r="AP727" t="s">
        <v>1232</v>
      </c>
      <c r="AQ727" s="245">
        <v>559.95000000000005</v>
      </c>
      <c r="AR727" t="s">
        <v>4698</v>
      </c>
      <c r="AS727" s="226" t="str">
        <f t="shared" si="22"/>
        <v>Ranger 99 Ti</v>
      </c>
      <c r="AT727" s="203" t="str">
        <f t="shared" si="23"/>
        <v xml:space="preserve"> FischerRanger 99 Ti181 Unisex</v>
      </c>
    </row>
    <row r="728" spans="1:46" ht="105.6">
      <c r="A728" t="s">
        <v>155</v>
      </c>
      <c r="B728" t="s">
        <v>182</v>
      </c>
      <c r="C728" t="s">
        <v>537</v>
      </c>
      <c r="D728">
        <v>164</v>
      </c>
      <c r="E728" t="s">
        <v>158</v>
      </c>
      <c r="F728">
        <v>164</v>
      </c>
      <c r="G728">
        <v>162.1</v>
      </c>
      <c r="H728">
        <v>120</v>
      </c>
      <c r="I728">
        <v>143</v>
      </c>
      <c r="J728">
        <v>128</v>
      </c>
      <c r="K728">
        <v>97</v>
      </c>
      <c r="L728">
        <v>119</v>
      </c>
      <c r="M728">
        <v>18.600000000000001</v>
      </c>
      <c r="N728">
        <v>1828</v>
      </c>
      <c r="O728">
        <v>0.94</v>
      </c>
      <c r="P728">
        <v>1720</v>
      </c>
      <c r="Q728">
        <v>164</v>
      </c>
      <c r="R728">
        <v>68</v>
      </c>
      <c r="S728">
        <v>48</v>
      </c>
      <c r="T728">
        <v>253</v>
      </c>
      <c r="U728">
        <v>45</v>
      </c>
      <c r="V728">
        <v>165</v>
      </c>
      <c r="W728">
        <v>0.94699999999999995</v>
      </c>
      <c r="X728">
        <v>93</v>
      </c>
      <c r="Y728">
        <v>102</v>
      </c>
      <c r="Z728">
        <v>160</v>
      </c>
      <c r="AA728">
        <v>8</v>
      </c>
      <c r="AB728">
        <v>2.2999999999999998</v>
      </c>
      <c r="AC728" t="s">
        <v>184</v>
      </c>
      <c r="AG728" t="s">
        <v>4699</v>
      </c>
      <c r="AH728" t="s">
        <v>1688</v>
      </c>
      <c r="AI728" s="245">
        <v>413.3</v>
      </c>
      <c r="AJ728" t="s">
        <v>4700</v>
      </c>
      <c r="AK728" t="s">
        <v>4699</v>
      </c>
      <c r="AL728" t="s">
        <v>1191</v>
      </c>
      <c r="AM728" s="245">
        <v>514.95000000000005</v>
      </c>
      <c r="AN728" t="s">
        <v>4701</v>
      </c>
      <c r="AO728" t="s">
        <v>4702</v>
      </c>
      <c r="AP728" t="s">
        <v>1271</v>
      </c>
      <c r="AQ728" s="245">
        <v>575.92999999999995</v>
      </c>
      <c r="AR728" t="s">
        <v>4703</v>
      </c>
      <c r="AS728" s="226" t="str">
        <f t="shared" si="22"/>
        <v>Edollo</v>
      </c>
      <c r="AT728" s="203" t="str">
        <f t="shared" si="23"/>
        <v xml:space="preserve"> ArmadaEdollo164 Unisex</v>
      </c>
    </row>
    <row r="729" spans="1:46" ht="132">
      <c r="A729" t="s">
        <v>155</v>
      </c>
      <c r="B729" t="s">
        <v>317</v>
      </c>
      <c r="C729" t="s">
        <v>432</v>
      </c>
      <c r="D729">
        <v>164</v>
      </c>
      <c r="E729" t="s">
        <v>158</v>
      </c>
      <c r="F729">
        <v>164</v>
      </c>
      <c r="G729">
        <v>162</v>
      </c>
      <c r="H729">
        <v>114</v>
      </c>
      <c r="I729">
        <v>132</v>
      </c>
      <c r="J729">
        <v>130</v>
      </c>
      <c r="K729">
        <v>102</v>
      </c>
      <c r="L729">
        <v>116</v>
      </c>
      <c r="M729">
        <v>18.600000000000001</v>
      </c>
      <c r="N729">
        <v>1343</v>
      </c>
      <c r="O729">
        <v>1.33</v>
      </c>
      <c r="P729">
        <v>1786</v>
      </c>
      <c r="Q729">
        <v>166</v>
      </c>
      <c r="R729">
        <v>59</v>
      </c>
      <c r="S729">
        <v>58</v>
      </c>
      <c r="T729">
        <v>311</v>
      </c>
      <c r="U729">
        <v>17</v>
      </c>
      <c r="V729">
        <v>170</v>
      </c>
      <c r="W729">
        <v>0.28799999999999998</v>
      </c>
      <c r="X729">
        <v>157</v>
      </c>
      <c r="Y729">
        <v>147</v>
      </c>
      <c r="Z729">
        <v>155</v>
      </c>
      <c r="AA729">
        <v>5</v>
      </c>
      <c r="AB729">
        <v>8.9</v>
      </c>
      <c r="AC729" t="s">
        <v>178</v>
      </c>
      <c r="AD729" t="s">
        <v>185</v>
      </c>
      <c r="AE729" t="s">
        <v>198</v>
      </c>
      <c r="AG729" t="s">
        <v>4704</v>
      </c>
      <c r="AH729" t="s">
        <v>1349</v>
      </c>
      <c r="AI729" s="245">
        <v>365.82</v>
      </c>
      <c r="AJ729" t="s">
        <v>4705</v>
      </c>
      <c r="AK729" t="s">
        <v>4706</v>
      </c>
      <c r="AL729" t="s">
        <v>1601</v>
      </c>
      <c r="AM729" s="245">
        <v>639.99</v>
      </c>
      <c r="AN729" t="s">
        <v>4707</v>
      </c>
      <c r="AO729" t="s">
        <v>4708</v>
      </c>
      <c r="AP729" t="s">
        <v>1194</v>
      </c>
      <c r="AQ729" s="245">
        <v>322.69</v>
      </c>
      <c r="AR729" t="s">
        <v>4709</v>
      </c>
      <c r="AS729" s="226" t="str">
        <f t="shared" si="22"/>
        <v>Zero G 105</v>
      </c>
      <c r="AT729" s="203" t="str">
        <f t="shared" si="23"/>
        <v xml:space="preserve"> BlizzardZero G 105164 Unisex</v>
      </c>
    </row>
    <row r="730" spans="1:46" ht="171.6">
      <c r="A730" t="s">
        <v>155</v>
      </c>
      <c r="B730" t="s">
        <v>167</v>
      </c>
      <c r="C730" t="s">
        <v>739</v>
      </c>
      <c r="D730">
        <v>158</v>
      </c>
      <c r="E730" t="s">
        <v>163</v>
      </c>
      <c r="F730">
        <v>158</v>
      </c>
      <c r="G730">
        <v>157.5</v>
      </c>
      <c r="H730">
        <v>136</v>
      </c>
      <c r="I730">
        <v>142</v>
      </c>
      <c r="J730">
        <v>121</v>
      </c>
      <c r="K730">
        <v>67</v>
      </c>
      <c r="L730">
        <v>101</v>
      </c>
      <c r="M730">
        <v>11.8</v>
      </c>
      <c r="N730">
        <v>1757</v>
      </c>
      <c r="O730">
        <v>0.75</v>
      </c>
      <c r="P730">
        <v>1310</v>
      </c>
      <c r="Q730">
        <v>138</v>
      </c>
      <c r="R730">
        <v>76</v>
      </c>
      <c r="S730">
        <v>39</v>
      </c>
      <c r="T730">
        <v>137</v>
      </c>
      <c r="U730">
        <v>12</v>
      </c>
      <c r="V730">
        <v>78</v>
      </c>
      <c r="W730">
        <v>0.311</v>
      </c>
      <c r="X730">
        <v>93</v>
      </c>
      <c r="Y730">
        <v>60</v>
      </c>
      <c r="Z730">
        <v>45</v>
      </c>
      <c r="AA730">
        <v>9</v>
      </c>
      <c r="AB730">
        <v>9.1999999999999993</v>
      </c>
      <c r="AC730" t="s">
        <v>349</v>
      </c>
      <c r="AG730" t="s">
        <v>4710</v>
      </c>
      <c r="AH730" t="s">
        <v>1181</v>
      </c>
      <c r="AI730" s="245">
        <v>599</v>
      </c>
      <c r="AJ730" t="s">
        <v>4711</v>
      </c>
      <c r="AK730" t="s">
        <v>4712</v>
      </c>
      <c r="AL730" t="s">
        <v>1191</v>
      </c>
      <c r="AM730" s="245">
        <v>189.95</v>
      </c>
      <c r="AN730" t="s">
        <v>4713</v>
      </c>
      <c r="AO730" t="s">
        <v>4714</v>
      </c>
      <c r="AP730" t="s">
        <v>2297</v>
      </c>
      <c r="AQ730" s="245">
        <v>249</v>
      </c>
      <c r="AR730" t="s">
        <v>4715</v>
      </c>
      <c r="AS730" s="226" t="str">
        <f t="shared" si="22"/>
        <v>Power Joy</v>
      </c>
      <c r="AT730" s="203" t="str">
        <f t="shared" si="23"/>
        <v xml:space="preserve"> HeadPower Joy158 Women's</v>
      </c>
    </row>
    <row r="731" spans="1:46" ht="66">
      <c r="A731" t="s">
        <v>155</v>
      </c>
      <c r="B731" t="s">
        <v>205</v>
      </c>
      <c r="C731" t="s">
        <v>347</v>
      </c>
      <c r="D731">
        <v>162</v>
      </c>
      <c r="E731" t="s">
        <v>158</v>
      </c>
      <c r="F731">
        <v>162</v>
      </c>
      <c r="G731">
        <v>160.4</v>
      </c>
      <c r="H731">
        <v>125</v>
      </c>
      <c r="I731">
        <v>136</v>
      </c>
      <c r="J731">
        <v>119</v>
      </c>
      <c r="K731">
        <v>85</v>
      </c>
      <c r="L731">
        <v>109</v>
      </c>
      <c r="M731">
        <v>14.9</v>
      </c>
      <c r="N731">
        <v>1438</v>
      </c>
      <c r="O731">
        <v>1.08</v>
      </c>
      <c r="P731">
        <v>1548</v>
      </c>
      <c r="Q731">
        <v>156</v>
      </c>
      <c r="R731">
        <v>73</v>
      </c>
      <c r="S731">
        <v>52</v>
      </c>
      <c r="T731">
        <v>219</v>
      </c>
      <c r="U731">
        <v>18</v>
      </c>
      <c r="V731">
        <v>137</v>
      </c>
      <c r="W731">
        <v>0.33700000000000002</v>
      </c>
      <c r="X731">
        <v>152</v>
      </c>
      <c r="Y731">
        <v>96</v>
      </c>
      <c r="Z731">
        <v>67</v>
      </c>
      <c r="AA731">
        <v>9</v>
      </c>
      <c r="AB731">
        <v>9.5</v>
      </c>
      <c r="AC731" t="s">
        <v>231</v>
      </c>
      <c r="AD731" t="s">
        <v>188</v>
      </c>
      <c r="AE731" t="s">
        <v>185</v>
      </c>
      <c r="AG731" t="s">
        <v>1801</v>
      </c>
      <c r="AH731" t="s">
        <v>1556</v>
      </c>
      <c r="AI731" s="245">
        <v>619</v>
      </c>
      <c r="AJ731" t="s">
        <v>4716</v>
      </c>
      <c r="AK731" t="s">
        <v>2235</v>
      </c>
      <c r="AL731" t="s">
        <v>1349</v>
      </c>
      <c r="AM731" s="245">
        <v>439.98</v>
      </c>
      <c r="AN731" t="s">
        <v>4717</v>
      </c>
      <c r="AO731" t="s">
        <v>2237</v>
      </c>
      <c r="AP731" t="s">
        <v>1667</v>
      </c>
      <c r="AQ731" s="245">
        <v>499</v>
      </c>
      <c r="AR731" t="s">
        <v>4718</v>
      </c>
      <c r="AS731" s="226" t="str">
        <f t="shared" si="22"/>
        <v>Dictator FG 1.0</v>
      </c>
      <c r="AT731" s="203" t="str">
        <f t="shared" si="23"/>
        <v xml:space="preserve"> FactionDictator FG 1.0162 Unisex</v>
      </c>
    </row>
    <row r="732" spans="1:46" ht="92.4">
      <c r="A732" t="s">
        <v>155</v>
      </c>
      <c r="B732" t="s">
        <v>180</v>
      </c>
      <c r="C732" t="s">
        <v>315</v>
      </c>
      <c r="D732">
        <v>168</v>
      </c>
      <c r="E732" t="s">
        <v>158</v>
      </c>
      <c r="F732">
        <v>168</v>
      </c>
      <c r="G732">
        <v>166.4</v>
      </c>
      <c r="H732">
        <v>125</v>
      </c>
      <c r="I732">
        <v>149</v>
      </c>
      <c r="J732">
        <v>129</v>
      </c>
      <c r="K732">
        <v>93</v>
      </c>
      <c r="L732">
        <v>117</v>
      </c>
      <c r="M732">
        <v>19.7</v>
      </c>
      <c r="N732">
        <v>1380</v>
      </c>
      <c r="O732">
        <v>1.23</v>
      </c>
      <c r="P732">
        <v>1698</v>
      </c>
      <c r="Q732">
        <v>166</v>
      </c>
      <c r="R732">
        <v>74</v>
      </c>
      <c r="S732">
        <v>57</v>
      </c>
      <c r="T732">
        <v>267</v>
      </c>
      <c r="U732">
        <v>31</v>
      </c>
      <c r="V732">
        <v>150</v>
      </c>
      <c r="W732">
        <v>0.54600000000000004</v>
      </c>
      <c r="X732">
        <v>102</v>
      </c>
      <c r="Y732">
        <v>73</v>
      </c>
      <c r="Z732">
        <v>165</v>
      </c>
      <c r="AA732">
        <v>6</v>
      </c>
      <c r="AB732">
        <v>9.1</v>
      </c>
      <c r="AC732" t="s">
        <v>188</v>
      </c>
      <c r="AD732" t="s">
        <v>185</v>
      </c>
      <c r="AG732" t="s">
        <v>1247</v>
      </c>
      <c r="AH732" t="s">
        <v>1248</v>
      </c>
      <c r="AI732" s="245">
        <v>419.97</v>
      </c>
      <c r="AJ732" t="s">
        <v>4719</v>
      </c>
      <c r="AK732" t="s">
        <v>4720</v>
      </c>
      <c r="AL732" t="s">
        <v>1224</v>
      </c>
      <c r="AM732" s="245">
        <v>560</v>
      </c>
      <c r="AN732" t="s">
        <v>4721</v>
      </c>
      <c r="AO732" t="s">
        <v>4722</v>
      </c>
      <c r="AP732" t="s">
        <v>1277</v>
      </c>
      <c r="AQ732" s="245">
        <v>560</v>
      </c>
      <c r="AR732" t="s">
        <v>4723</v>
      </c>
      <c r="AS732" s="226" t="str">
        <f t="shared" si="22"/>
        <v>Scrapper 95</v>
      </c>
      <c r="AT732" s="203" t="str">
        <f t="shared" si="23"/>
        <v xml:space="preserve"> ScottScrapper 95168 Unisex</v>
      </c>
    </row>
    <row r="733" spans="1:46" ht="158.4">
      <c r="A733" t="s">
        <v>155</v>
      </c>
      <c r="B733" t="s">
        <v>1160</v>
      </c>
      <c r="C733" t="s">
        <v>511</v>
      </c>
      <c r="D733">
        <v>163</v>
      </c>
      <c r="E733" t="s">
        <v>158</v>
      </c>
      <c r="F733">
        <v>163</v>
      </c>
      <c r="G733">
        <v>163.6</v>
      </c>
      <c r="H733">
        <v>95</v>
      </c>
      <c r="I733">
        <v>134</v>
      </c>
      <c r="J733">
        <v>133</v>
      </c>
      <c r="K733">
        <v>101</v>
      </c>
      <c r="L733">
        <v>125</v>
      </c>
      <c r="M733">
        <v>14.9</v>
      </c>
      <c r="N733">
        <v>1597</v>
      </c>
      <c r="O733">
        <v>1.1399999999999999</v>
      </c>
      <c r="P733">
        <v>1828</v>
      </c>
      <c r="Q733">
        <v>143</v>
      </c>
      <c r="R733">
        <v>72</v>
      </c>
      <c r="S733">
        <v>53</v>
      </c>
      <c r="T733">
        <v>343</v>
      </c>
      <c r="U733">
        <v>50</v>
      </c>
      <c r="V733">
        <v>348</v>
      </c>
      <c r="W733">
        <v>0.94099999999999995</v>
      </c>
      <c r="X733">
        <v>147</v>
      </c>
      <c r="Y733">
        <v>145</v>
      </c>
      <c r="Z733">
        <v>196</v>
      </c>
      <c r="AA733">
        <v>4</v>
      </c>
      <c r="AB733">
        <v>3.7</v>
      </c>
      <c r="AC733" t="s">
        <v>184</v>
      </c>
      <c r="AD733" t="s">
        <v>169</v>
      </c>
      <c r="AE733" t="s">
        <v>185</v>
      </c>
      <c r="AG733" t="s">
        <v>4724</v>
      </c>
      <c r="AH733" t="s">
        <v>2130</v>
      </c>
      <c r="AI733" s="245">
        <v>479.96</v>
      </c>
      <c r="AJ733" t="s">
        <v>4725</v>
      </c>
      <c r="AK733" t="s">
        <v>4724</v>
      </c>
      <c r="AL733" t="s">
        <v>1511</v>
      </c>
      <c r="AM733" s="245">
        <v>479.99</v>
      </c>
      <c r="AN733" t="s">
        <v>4726</v>
      </c>
      <c r="AO733" t="s">
        <v>4727</v>
      </c>
      <c r="AP733" t="s">
        <v>1181</v>
      </c>
      <c r="AQ733" s="245">
        <v>599</v>
      </c>
      <c r="AR733" t="s">
        <v>4728</v>
      </c>
      <c r="AS733" s="226" t="str">
        <f t="shared" si="22"/>
        <v>Reckoner 102</v>
      </c>
      <c r="AT733" s="203" t="str">
        <f t="shared" si="23"/>
        <v>K2Reckoner 102163 Unisex</v>
      </c>
    </row>
    <row r="734" spans="1:46" ht="66">
      <c r="A734" t="s">
        <v>155</v>
      </c>
      <c r="B734" t="s">
        <v>561</v>
      </c>
      <c r="C734" t="s">
        <v>740</v>
      </c>
      <c r="D734">
        <v>180</v>
      </c>
      <c r="E734" t="s">
        <v>158</v>
      </c>
      <c r="F734">
        <v>180</v>
      </c>
      <c r="G734">
        <v>177.4</v>
      </c>
      <c r="H734">
        <v>108</v>
      </c>
      <c r="I734">
        <v>141</v>
      </c>
      <c r="J734">
        <v>136</v>
      </c>
      <c r="K734">
        <v>105</v>
      </c>
      <c r="L734">
        <v>125</v>
      </c>
      <c r="M734">
        <v>17.7</v>
      </c>
      <c r="N734">
        <v>2242</v>
      </c>
      <c r="O734">
        <v>0.91</v>
      </c>
      <c r="P734">
        <v>2040</v>
      </c>
      <c r="Q734">
        <v>225</v>
      </c>
      <c r="R734">
        <v>127</v>
      </c>
      <c r="S734">
        <v>57</v>
      </c>
      <c r="T734">
        <v>408</v>
      </c>
      <c r="U734">
        <v>49</v>
      </c>
      <c r="V734">
        <v>283</v>
      </c>
      <c r="W734">
        <v>0.85399999999999998</v>
      </c>
      <c r="X734">
        <v>164</v>
      </c>
      <c r="Y734">
        <v>205</v>
      </c>
      <c r="Z734">
        <v>244</v>
      </c>
      <c r="AA734">
        <v>3</v>
      </c>
      <c r="AB734">
        <v>5.7</v>
      </c>
      <c r="AC734" t="s">
        <v>184</v>
      </c>
      <c r="AD734" t="s">
        <v>169</v>
      </c>
      <c r="AG734" t="s">
        <v>4729</v>
      </c>
      <c r="AH734" t="s">
        <v>1277</v>
      </c>
      <c r="AI734" s="245">
        <v>399.99</v>
      </c>
      <c r="AJ734" t="s">
        <v>4730</v>
      </c>
      <c r="AK734" t="s">
        <v>4731</v>
      </c>
      <c r="AL734" t="s">
        <v>1262</v>
      </c>
      <c r="AM734" s="245">
        <v>451.71</v>
      </c>
      <c r="AN734" t="s">
        <v>4732</v>
      </c>
      <c r="AO734" t="s">
        <v>4731</v>
      </c>
      <c r="AP734" t="s">
        <v>1232</v>
      </c>
      <c r="AQ734" s="245">
        <v>549.95000000000005</v>
      </c>
      <c r="AR734" t="s">
        <v>4733</v>
      </c>
      <c r="AS734" s="226" t="str">
        <f t="shared" si="22"/>
        <v>The Metal</v>
      </c>
      <c r="AT734" s="203" t="str">
        <f t="shared" si="23"/>
        <v xml:space="preserve"> J SkisThe Metal180 Unisex</v>
      </c>
    </row>
    <row r="735" spans="1:46" ht="118.8">
      <c r="A735" t="s">
        <v>155</v>
      </c>
      <c r="B735" t="s">
        <v>332</v>
      </c>
      <c r="C735" t="s">
        <v>741</v>
      </c>
      <c r="D735">
        <v>165</v>
      </c>
      <c r="E735" t="s">
        <v>158</v>
      </c>
      <c r="F735">
        <v>165</v>
      </c>
      <c r="G735">
        <v>165.6</v>
      </c>
      <c r="H735">
        <v>145</v>
      </c>
      <c r="I735">
        <v>152</v>
      </c>
      <c r="J735">
        <v>120</v>
      </c>
      <c r="K735">
        <v>68</v>
      </c>
      <c r="L735">
        <v>103</v>
      </c>
      <c r="M735">
        <v>13</v>
      </c>
      <c r="N735">
        <v>2021</v>
      </c>
      <c r="O735">
        <v>0.69</v>
      </c>
      <c r="P735">
        <v>1400</v>
      </c>
      <c r="Q735">
        <v>207</v>
      </c>
      <c r="R735">
        <v>101</v>
      </c>
      <c r="S735">
        <v>43</v>
      </c>
      <c r="T735">
        <v>144</v>
      </c>
      <c r="U735">
        <v>14</v>
      </c>
      <c r="V735">
        <v>67</v>
      </c>
      <c r="W735">
        <v>0.33500000000000002</v>
      </c>
      <c r="X735">
        <v>63</v>
      </c>
      <c r="Y735">
        <v>70</v>
      </c>
      <c r="Z735">
        <v>81</v>
      </c>
      <c r="AA735">
        <v>11</v>
      </c>
      <c r="AB735">
        <v>11.4</v>
      </c>
      <c r="AC735" t="s">
        <v>349</v>
      </c>
      <c r="AG735" t="s">
        <v>4734</v>
      </c>
      <c r="AH735" t="s">
        <v>4735</v>
      </c>
      <c r="AI735" s="245">
        <v>1400</v>
      </c>
      <c r="AJ735" t="s">
        <v>4736</v>
      </c>
      <c r="AK735" t="s">
        <v>4737</v>
      </c>
      <c r="AL735" t="s">
        <v>4738</v>
      </c>
      <c r="AM735" s="245">
        <v>1150</v>
      </c>
      <c r="AN735" t="s">
        <v>4739</v>
      </c>
      <c r="AO735" t="s">
        <v>4740</v>
      </c>
      <c r="AP735" t="s">
        <v>3091</v>
      </c>
      <c r="AQ735" s="245">
        <v>1260</v>
      </c>
      <c r="AR735" t="s">
        <v>4741</v>
      </c>
      <c r="AS735" s="226" t="str">
        <f t="shared" si="22"/>
        <v>Dobermann SLR Rb</v>
      </c>
      <c r="AT735" s="203" t="str">
        <f t="shared" si="23"/>
        <v xml:space="preserve"> NordicaDobermann SLR Rb165 Unisex</v>
      </c>
    </row>
    <row r="736" spans="1:46" ht="132">
      <c r="A736" t="s">
        <v>155</v>
      </c>
      <c r="B736" t="s">
        <v>332</v>
      </c>
      <c r="C736" t="s">
        <v>742</v>
      </c>
      <c r="D736">
        <v>150</v>
      </c>
      <c r="E736" t="s">
        <v>163</v>
      </c>
      <c r="F736">
        <v>150</v>
      </c>
      <c r="G736">
        <v>148.9</v>
      </c>
      <c r="H736">
        <v>125</v>
      </c>
      <c r="I736">
        <v>136</v>
      </c>
      <c r="J736">
        <v>123</v>
      </c>
      <c r="K736">
        <v>74</v>
      </c>
      <c r="L736">
        <v>103</v>
      </c>
      <c r="M736">
        <v>11.9</v>
      </c>
      <c r="N736">
        <v>1528</v>
      </c>
      <c r="O736">
        <v>0.87</v>
      </c>
      <c r="P736">
        <v>1323</v>
      </c>
      <c r="Q736">
        <v>153</v>
      </c>
      <c r="R736">
        <v>60</v>
      </c>
      <c r="S736">
        <v>39</v>
      </c>
      <c r="T736">
        <v>170</v>
      </c>
      <c r="U736">
        <v>12</v>
      </c>
      <c r="V736">
        <v>69</v>
      </c>
      <c r="W736">
        <v>0.31</v>
      </c>
      <c r="X736">
        <v>62</v>
      </c>
      <c r="Y736">
        <v>67</v>
      </c>
      <c r="Z736">
        <v>108</v>
      </c>
      <c r="AA736">
        <v>6</v>
      </c>
      <c r="AB736">
        <v>9.3000000000000007</v>
      </c>
      <c r="AC736" t="s">
        <v>349</v>
      </c>
      <c r="AG736" t="s">
        <v>4742</v>
      </c>
      <c r="AH736" t="s">
        <v>1416</v>
      </c>
      <c r="AI736" s="245">
        <v>399.99</v>
      </c>
      <c r="AJ736" t="s">
        <v>4743</v>
      </c>
      <c r="AK736" t="s">
        <v>4744</v>
      </c>
      <c r="AL736" t="s">
        <v>1556</v>
      </c>
      <c r="AM736" s="245">
        <v>499.99</v>
      </c>
      <c r="AN736" t="s">
        <v>4745</v>
      </c>
      <c r="AO736" t="s">
        <v>4746</v>
      </c>
      <c r="AP736" t="s">
        <v>2516</v>
      </c>
      <c r="AQ736" s="245">
        <v>599.99</v>
      </c>
      <c r="AR736" t="s">
        <v>4747</v>
      </c>
      <c r="AS736" s="226" t="str">
        <f t="shared" si="22"/>
        <v>Wild Belle 74</v>
      </c>
      <c r="AT736" s="203" t="str">
        <f t="shared" si="23"/>
        <v xml:space="preserve"> NordicaWild Belle 74150 Women's</v>
      </c>
    </row>
    <row r="737" spans="1:46" ht="52.8">
      <c r="A737" t="s">
        <v>155</v>
      </c>
      <c r="B737" t="s">
        <v>202</v>
      </c>
      <c r="C737" t="s">
        <v>420</v>
      </c>
      <c r="D737">
        <v>184</v>
      </c>
      <c r="E737" t="s">
        <v>158</v>
      </c>
      <c r="F737">
        <v>184</v>
      </c>
      <c r="G737">
        <v>184.4</v>
      </c>
      <c r="H737">
        <v>153</v>
      </c>
      <c r="I737">
        <v>152</v>
      </c>
      <c r="J737">
        <v>121</v>
      </c>
      <c r="K737">
        <v>82</v>
      </c>
      <c r="L737">
        <v>104</v>
      </c>
      <c r="M737">
        <v>18.600000000000001</v>
      </c>
      <c r="N737">
        <v>1884</v>
      </c>
      <c r="O737">
        <v>0.92</v>
      </c>
      <c r="P737">
        <v>1740</v>
      </c>
      <c r="Q737">
        <v>239</v>
      </c>
      <c r="R737">
        <v>113</v>
      </c>
      <c r="S737">
        <v>39</v>
      </c>
      <c r="T737">
        <v>249</v>
      </c>
      <c r="U737">
        <v>6</v>
      </c>
      <c r="V737">
        <v>65</v>
      </c>
      <c r="W737">
        <v>0.14499999999999999</v>
      </c>
      <c r="X737">
        <v>164</v>
      </c>
      <c r="Y737">
        <v>162</v>
      </c>
      <c r="Z737">
        <v>85</v>
      </c>
      <c r="AA737">
        <v>10</v>
      </c>
      <c r="AB737">
        <v>6.9</v>
      </c>
      <c r="AC737" t="s">
        <v>349</v>
      </c>
      <c r="AD737" t="s">
        <v>231</v>
      </c>
      <c r="AE737" t="s">
        <v>188</v>
      </c>
      <c r="AG737" t="s">
        <v>4748</v>
      </c>
      <c r="AH737" t="s">
        <v>1405</v>
      </c>
      <c r="AI737" s="245">
        <v>399.96</v>
      </c>
      <c r="AJ737" t="s">
        <v>4749</v>
      </c>
      <c r="AK737" t="s">
        <v>4748</v>
      </c>
      <c r="AL737" t="s">
        <v>1181</v>
      </c>
      <c r="AM737" s="245">
        <v>399.99</v>
      </c>
      <c r="AN737" t="s">
        <v>4750</v>
      </c>
      <c r="AO737" t="s">
        <v>4748</v>
      </c>
      <c r="AP737" t="s">
        <v>3345</v>
      </c>
      <c r="AQ737" s="245">
        <v>415.85</v>
      </c>
      <c r="AR737" t="s">
        <v>4751</v>
      </c>
      <c r="AS737" s="226" t="str">
        <f t="shared" si="22"/>
        <v>M-Pro 84</v>
      </c>
      <c r="AT737" s="203" t="str">
        <f t="shared" si="23"/>
        <v xml:space="preserve"> DynastarM-Pro 84184 Unisex</v>
      </c>
    </row>
    <row r="738" spans="1:46" ht="66">
      <c r="A738" t="s">
        <v>155</v>
      </c>
      <c r="B738" t="s">
        <v>167</v>
      </c>
      <c r="C738" t="s">
        <v>393</v>
      </c>
      <c r="D738">
        <v>170</v>
      </c>
      <c r="E738" t="s">
        <v>158</v>
      </c>
      <c r="F738">
        <v>170</v>
      </c>
      <c r="G738">
        <v>168.1</v>
      </c>
      <c r="H738">
        <v>130</v>
      </c>
      <c r="I738">
        <v>150</v>
      </c>
      <c r="J738">
        <v>125</v>
      </c>
      <c r="K738">
        <v>92</v>
      </c>
      <c r="L738">
        <v>116</v>
      </c>
      <c r="M738">
        <v>19.3</v>
      </c>
      <c r="N738">
        <v>1645</v>
      </c>
      <c r="O738">
        <v>1.04</v>
      </c>
      <c r="P738">
        <v>1712</v>
      </c>
      <c r="Q738">
        <v>149</v>
      </c>
      <c r="R738">
        <v>68</v>
      </c>
      <c r="S738">
        <v>53</v>
      </c>
      <c r="T738">
        <v>233</v>
      </c>
      <c r="U738">
        <v>37</v>
      </c>
      <c r="V738">
        <v>145</v>
      </c>
      <c r="W738">
        <v>0.70299999999999996</v>
      </c>
      <c r="X738">
        <v>97</v>
      </c>
      <c r="Y738">
        <v>88</v>
      </c>
      <c r="Z738">
        <v>137</v>
      </c>
      <c r="AA738">
        <v>10</v>
      </c>
      <c r="AB738">
        <v>5.6</v>
      </c>
      <c r="AC738" t="s">
        <v>188</v>
      </c>
      <c r="AG738" t="s">
        <v>4752</v>
      </c>
      <c r="AH738" t="s">
        <v>1204</v>
      </c>
      <c r="AI738" s="245">
        <v>440.79</v>
      </c>
      <c r="AJ738" t="s">
        <v>4753</v>
      </c>
      <c r="AK738" t="s">
        <v>4754</v>
      </c>
      <c r="AL738" t="s">
        <v>4755</v>
      </c>
      <c r="AM738" s="245">
        <v>494.99</v>
      </c>
      <c r="AN738" t="s">
        <v>4756</v>
      </c>
      <c r="AO738" t="s">
        <v>4754</v>
      </c>
      <c r="AP738" t="s">
        <v>1224</v>
      </c>
      <c r="AQ738" s="245">
        <v>499</v>
      </c>
      <c r="AR738" t="s">
        <v>4757</v>
      </c>
      <c r="AS738" s="226" t="str">
        <f t="shared" si="22"/>
        <v>Oblivion 94</v>
      </c>
      <c r="AT738" s="203" t="str">
        <f t="shared" si="23"/>
        <v xml:space="preserve"> HeadOblivion 94170 Unisex</v>
      </c>
    </row>
    <row r="739" spans="1:46" ht="66">
      <c r="A739" t="s">
        <v>155</v>
      </c>
      <c r="B739" t="s">
        <v>167</v>
      </c>
      <c r="C739" t="s">
        <v>430</v>
      </c>
      <c r="D739">
        <v>170</v>
      </c>
      <c r="E739" t="s">
        <v>158</v>
      </c>
      <c r="F739">
        <v>170</v>
      </c>
      <c r="G739">
        <v>169.6</v>
      </c>
      <c r="H739">
        <v>135</v>
      </c>
      <c r="I739">
        <v>140</v>
      </c>
      <c r="J739">
        <v>129</v>
      </c>
      <c r="K739">
        <v>90</v>
      </c>
      <c r="L739">
        <v>112</v>
      </c>
      <c r="M739">
        <v>14.6</v>
      </c>
      <c r="N739">
        <v>1873</v>
      </c>
      <c r="O739">
        <v>0.93</v>
      </c>
      <c r="P739">
        <v>1742</v>
      </c>
      <c r="Q739">
        <v>168</v>
      </c>
      <c r="R739">
        <v>74</v>
      </c>
      <c r="S739">
        <v>47</v>
      </c>
      <c r="T739">
        <v>216</v>
      </c>
      <c r="U739">
        <v>11</v>
      </c>
      <c r="V739">
        <v>130</v>
      </c>
      <c r="W739">
        <v>0.23100000000000001</v>
      </c>
      <c r="X739">
        <v>148</v>
      </c>
      <c r="Y739">
        <v>151</v>
      </c>
      <c r="Z739">
        <v>67</v>
      </c>
      <c r="AA739">
        <v>10</v>
      </c>
      <c r="AB739">
        <v>9.9</v>
      </c>
      <c r="AC739" t="s">
        <v>188</v>
      </c>
      <c r="AG739" t="s">
        <v>4758</v>
      </c>
      <c r="AH739" t="s">
        <v>1224</v>
      </c>
      <c r="AI739" s="245">
        <v>409</v>
      </c>
      <c r="AJ739" t="s">
        <v>4759</v>
      </c>
      <c r="AK739" t="s">
        <v>4758</v>
      </c>
      <c r="AL739" t="s">
        <v>1993</v>
      </c>
      <c r="AM739" s="245">
        <v>549</v>
      </c>
      <c r="AN739" t="s">
        <v>4760</v>
      </c>
      <c r="AO739" t="s">
        <v>4758</v>
      </c>
      <c r="AP739" t="s">
        <v>1566</v>
      </c>
      <c r="AQ739" s="245">
        <v>549.99</v>
      </c>
      <c r="AR739" t="s">
        <v>4761</v>
      </c>
      <c r="AS739" s="226" t="str">
        <f t="shared" si="22"/>
        <v>Kore 90 X</v>
      </c>
      <c r="AT739" s="203" t="str">
        <f t="shared" si="23"/>
        <v xml:space="preserve"> HeadKore 90 X170 Unisex</v>
      </c>
    </row>
    <row r="740" spans="1:46" ht="92.4">
      <c r="A740" t="s">
        <v>155</v>
      </c>
      <c r="B740" t="s">
        <v>237</v>
      </c>
      <c r="C740" t="s">
        <v>732</v>
      </c>
      <c r="D740">
        <v>178</v>
      </c>
      <c r="E740" t="s">
        <v>158</v>
      </c>
      <c r="F740">
        <v>178</v>
      </c>
      <c r="G740">
        <v>176.7</v>
      </c>
      <c r="H740">
        <v>118</v>
      </c>
      <c r="I740">
        <v>152</v>
      </c>
      <c r="J740">
        <v>133</v>
      </c>
      <c r="K740">
        <v>86</v>
      </c>
      <c r="L740">
        <v>123</v>
      </c>
      <c r="M740">
        <v>12.7</v>
      </c>
      <c r="N740">
        <v>1860</v>
      </c>
      <c r="O740">
        <v>0.98</v>
      </c>
      <c r="P740">
        <v>1827</v>
      </c>
      <c r="Q740">
        <v>192</v>
      </c>
      <c r="R740">
        <v>73</v>
      </c>
      <c r="S740">
        <v>36</v>
      </c>
      <c r="T740">
        <v>271</v>
      </c>
      <c r="U740">
        <v>37</v>
      </c>
      <c r="V740">
        <v>316</v>
      </c>
      <c r="W740">
        <v>1.0249999999999999</v>
      </c>
      <c r="X740">
        <v>138</v>
      </c>
      <c r="Y740">
        <v>112</v>
      </c>
      <c r="Z740">
        <v>133</v>
      </c>
      <c r="AA740">
        <v>3</v>
      </c>
      <c r="AB740">
        <v>4.5999999999999996</v>
      </c>
      <c r="AC740" t="s">
        <v>184</v>
      </c>
      <c r="AG740" t="s">
        <v>3386</v>
      </c>
      <c r="AH740" t="s">
        <v>1191</v>
      </c>
      <c r="AI740" s="245">
        <v>424.95</v>
      </c>
      <c r="AJ740" t="s">
        <v>4762</v>
      </c>
      <c r="AK740" t="s">
        <v>4763</v>
      </c>
      <c r="AL740" t="s">
        <v>2967</v>
      </c>
      <c r="AM740" s="245">
        <v>450</v>
      </c>
      <c r="AN740" t="s">
        <v>4764</v>
      </c>
      <c r="AO740" t="s">
        <v>3386</v>
      </c>
      <c r="AP740" t="s">
        <v>1858</v>
      </c>
      <c r="AQ740" s="245">
        <v>455</v>
      </c>
      <c r="AR740" t="s">
        <v>4765</v>
      </c>
      <c r="AS740" s="226" t="str">
        <f t="shared" si="22"/>
        <v>Mirus Cor</v>
      </c>
      <c r="AT740" s="203" t="str">
        <f t="shared" si="23"/>
        <v xml:space="preserve"> Black CrowsMirus Cor178 Unisex</v>
      </c>
    </row>
    <row r="741" spans="1:46" ht="132">
      <c r="A741" t="s">
        <v>155</v>
      </c>
      <c r="B741" t="s">
        <v>182</v>
      </c>
      <c r="C741" t="s">
        <v>743</v>
      </c>
      <c r="D741">
        <v>180</v>
      </c>
      <c r="E741" t="s">
        <v>158</v>
      </c>
      <c r="F741">
        <v>180</v>
      </c>
      <c r="G741">
        <v>177.7</v>
      </c>
      <c r="H741">
        <v>121</v>
      </c>
      <c r="I741">
        <v>142</v>
      </c>
      <c r="J741">
        <v>121</v>
      </c>
      <c r="K741">
        <v>93</v>
      </c>
      <c r="L741">
        <v>116</v>
      </c>
      <c r="M741">
        <v>15.5</v>
      </c>
      <c r="N741">
        <v>1998</v>
      </c>
      <c r="O741">
        <v>0.94</v>
      </c>
      <c r="P741">
        <v>1872</v>
      </c>
      <c r="Q741">
        <v>178</v>
      </c>
      <c r="R741">
        <v>76</v>
      </c>
      <c r="S741">
        <v>49</v>
      </c>
      <c r="T741">
        <v>291</v>
      </c>
      <c r="U741">
        <v>39</v>
      </c>
      <c r="V741">
        <v>276</v>
      </c>
      <c r="W741">
        <v>0.80400000000000005</v>
      </c>
      <c r="X741">
        <v>234</v>
      </c>
      <c r="Y741">
        <v>124</v>
      </c>
      <c r="Z741">
        <v>57</v>
      </c>
      <c r="AA741">
        <v>8</v>
      </c>
      <c r="AB741">
        <v>1.3</v>
      </c>
      <c r="AC741" t="s">
        <v>188</v>
      </c>
      <c r="AD741" t="s">
        <v>184</v>
      </c>
      <c r="AG741" t="s">
        <v>4766</v>
      </c>
      <c r="AH741" t="s">
        <v>1592</v>
      </c>
      <c r="AI741" s="245">
        <v>362.27</v>
      </c>
      <c r="AJ741" t="s">
        <v>4767</v>
      </c>
      <c r="AK741" t="s">
        <v>4768</v>
      </c>
      <c r="AL741" t="s">
        <v>1262</v>
      </c>
      <c r="AM741" s="245">
        <v>405.53</v>
      </c>
      <c r="AN741" t="s">
        <v>4769</v>
      </c>
      <c r="AO741" t="s">
        <v>4766</v>
      </c>
      <c r="AP741" t="s">
        <v>1183</v>
      </c>
      <c r="AQ741" s="245">
        <v>419.99</v>
      </c>
      <c r="AR741" t="s">
        <v>4770</v>
      </c>
      <c r="AS741" s="226" t="str">
        <f t="shared" si="22"/>
        <v>Bdog</v>
      </c>
      <c r="AT741" s="203" t="str">
        <f t="shared" si="23"/>
        <v xml:space="preserve"> ArmadaBdog180 Unisex</v>
      </c>
    </row>
    <row r="742" spans="1:46" ht="118.8">
      <c r="A742" t="s">
        <v>155</v>
      </c>
      <c r="B742" t="s">
        <v>1152</v>
      </c>
      <c r="C742" t="s">
        <v>745</v>
      </c>
      <c r="D742">
        <v>171</v>
      </c>
      <c r="E742" t="s">
        <v>163</v>
      </c>
      <c r="F742">
        <v>171</v>
      </c>
      <c r="G742">
        <v>170.4</v>
      </c>
      <c r="H742">
        <v>128</v>
      </c>
      <c r="I742">
        <v>143</v>
      </c>
      <c r="J742">
        <v>133</v>
      </c>
      <c r="K742">
        <v>98</v>
      </c>
      <c r="L742">
        <v>121</v>
      </c>
      <c r="M742">
        <v>16.600000000000001</v>
      </c>
      <c r="N742">
        <v>1988</v>
      </c>
      <c r="O742">
        <v>0.94</v>
      </c>
      <c r="P742">
        <v>1865</v>
      </c>
      <c r="Q742">
        <v>205</v>
      </c>
      <c r="R742">
        <v>125</v>
      </c>
      <c r="S742">
        <v>43</v>
      </c>
      <c r="T742">
        <v>257</v>
      </c>
      <c r="U742">
        <v>8</v>
      </c>
      <c r="V742">
        <v>162</v>
      </c>
      <c r="W742">
        <v>0.191</v>
      </c>
      <c r="X742">
        <v>151</v>
      </c>
      <c r="Y742">
        <v>125</v>
      </c>
      <c r="Z742">
        <v>107</v>
      </c>
      <c r="AA742">
        <v>8</v>
      </c>
      <c r="AB742">
        <v>7.9</v>
      </c>
      <c r="AC742" t="s">
        <v>188</v>
      </c>
      <c r="AG742" t="s">
        <v>4771</v>
      </c>
      <c r="AH742" t="s">
        <v>3561</v>
      </c>
      <c r="AI742" s="245">
        <v>475</v>
      </c>
      <c r="AJ742" t="s">
        <v>4772</v>
      </c>
      <c r="AS742" s="226" t="str">
        <f t="shared" si="22"/>
        <v>MSP CC</v>
      </c>
      <c r="AT742" s="203" t="str">
        <f t="shared" si="23"/>
        <v>4FRNTMSP CC171 Women's</v>
      </c>
    </row>
    <row r="743" spans="1:46" ht="52.8">
      <c r="A743" t="s">
        <v>155</v>
      </c>
      <c r="B743" t="s">
        <v>205</v>
      </c>
      <c r="C743" t="s">
        <v>308</v>
      </c>
      <c r="D743">
        <v>183</v>
      </c>
      <c r="E743" t="s">
        <v>158</v>
      </c>
      <c r="F743">
        <v>183</v>
      </c>
      <c r="G743">
        <v>181.4</v>
      </c>
      <c r="H743">
        <v>128</v>
      </c>
      <c r="I743">
        <v>150</v>
      </c>
      <c r="J743">
        <v>127</v>
      </c>
      <c r="K743">
        <v>97</v>
      </c>
      <c r="L743">
        <v>119</v>
      </c>
      <c r="M743">
        <v>20.100000000000001</v>
      </c>
      <c r="N743">
        <v>2125</v>
      </c>
      <c r="O743">
        <v>0.92</v>
      </c>
      <c r="P743">
        <v>1955</v>
      </c>
      <c r="Q743">
        <v>253</v>
      </c>
      <c r="R743">
        <v>118</v>
      </c>
      <c r="S743">
        <v>51</v>
      </c>
      <c r="T743">
        <v>282</v>
      </c>
      <c r="U743">
        <v>45</v>
      </c>
      <c r="V743">
        <v>254</v>
      </c>
      <c r="W743">
        <v>0.88900000000000001</v>
      </c>
      <c r="X743">
        <v>169</v>
      </c>
      <c r="Y743">
        <v>146</v>
      </c>
      <c r="Z743">
        <v>113</v>
      </c>
      <c r="AA743">
        <v>6</v>
      </c>
      <c r="AB743">
        <v>8.4</v>
      </c>
      <c r="AC743" t="s">
        <v>184</v>
      </c>
      <c r="AG743" t="s">
        <v>2209</v>
      </c>
      <c r="AH743" t="s">
        <v>1179</v>
      </c>
      <c r="AI743" s="245">
        <v>599</v>
      </c>
      <c r="AJ743" t="s">
        <v>4773</v>
      </c>
      <c r="AK743" t="s">
        <v>2209</v>
      </c>
      <c r="AL743" t="s">
        <v>1556</v>
      </c>
      <c r="AM743" s="245">
        <v>699</v>
      </c>
      <c r="AN743" t="s">
        <v>4774</v>
      </c>
      <c r="AO743" t="s">
        <v>2232</v>
      </c>
      <c r="AP743" t="s">
        <v>1248</v>
      </c>
      <c r="AQ743" s="245">
        <v>639.20000000000005</v>
      </c>
      <c r="AR743" t="s">
        <v>4775</v>
      </c>
      <c r="AS743" s="226" t="str">
        <f t="shared" si="22"/>
        <v>Prodigy 2.0</v>
      </c>
      <c r="AT743" s="203" t="str">
        <f t="shared" si="23"/>
        <v xml:space="preserve"> FactionProdigy 2.0183 Unisex</v>
      </c>
    </row>
    <row r="744" spans="1:46" ht="118.8">
      <c r="A744" t="s">
        <v>155</v>
      </c>
      <c r="B744" t="s">
        <v>215</v>
      </c>
      <c r="C744" t="s">
        <v>306</v>
      </c>
      <c r="D744">
        <v>186</v>
      </c>
      <c r="E744" t="s">
        <v>158</v>
      </c>
      <c r="F744">
        <v>186</v>
      </c>
      <c r="G744">
        <v>185.8</v>
      </c>
      <c r="H744">
        <v>157</v>
      </c>
      <c r="I744">
        <v>166</v>
      </c>
      <c r="J744">
        <v>130</v>
      </c>
      <c r="K744">
        <v>89</v>
      </c>
      <c r="L744">
        <v>113</v>
      </c>
      <c r="M744">
        <v>20.399999999999999</v>
      </c>
      <c r="N744">
        <v>1895</v>
      </c>
      <c r="O744">
        <v>0.99</v>
      </c>
      <c r="P744">
        <v>1881</v>
      </c>
      <c r="Q744">
        <v>227</v>
      </c>
      <c r="R744">
        <v>111</v>
      </c>
      <c r="S744">
        <v>37</v>
      </c>
      <c r="T744">
        <v>179</v>
      </c>
      <c r="U744">
        <v>8</v>
      </c>
      <c r="V744">
        <v>108</v>
      </c>
      <c r="W744">
        <v>0.22800000000000001</v>
      </c>
      <c r="X744">
        <v>106</v>
      </c>
      <c r="Y744">
        <v>92</v>
      </c>
      <c r="Z744">
        <v>73</v>
      </c>
      <c r="AA744">
        <v>13</v>
      </c>
      <c r="AB744">
        <v>11.4</v>
      </c>
      <c r="AC744" t="s">
        <v>188</v>
      </c>
      <c r="AG744" t="s">
        <v>2783</v>
      </c>
      <c r="AH744" t="s">
        <v>2516</v>
      </c>
      <c r="AI744" s="245">
        <v>486.71</v>
      </c>
      <c r="AJ744" t="s">
        <v>4776</v>
      </c>
      <c r="AK744" t="s">
        <v>4777</v>
      </c>
      <c r="AL744" t="s">
        <v>1370</v>
      </c>
      <c r="AM744" s="245">
        <v>369</v>
      </c>
      <c r="AN744" t="s">
        <v>4778</v>
      </c>
      <c r="AO744" t="s">
        <v>4779</v>
      </c>
      <c r="AP744" t="s">
        <v>4780</v>
      </c>
      <c r="AQ744" s="245">
        <v>499</v>
      </c>
      <c r="AR744" t="s">
        <v>4781</v>
      </c>
      <c r="AS744" s="226" t="str">
        <f t="shared" si="22"/>
        <v>Evolv 90</v>
      </c>
      <c r="AT744" s="203" t="str">
        <f t="shared" si="23"/>
        <v xml:space="preserve"> LibertyEvolv 90186 Unisex</v>
      </c>
    </row>
    <row r="745" spans="1:46" ht="145.19999999999999">
      <c r="A745" t="s">
        <v>155</v>
      </c>
      <c r="B745" t="s">
        <v>1395</v>
      </c>
      <c r="C745" t="s">
        <v>651</v>
      </c>
      <c r="D745">
        <v>160</v>
      </c>
      <c r="E745" t="s">
        <v>163</v>
      </c>
      <c r="F745">
        <v>160</v>
      </c>
      <c r="G745">
        <v>159.6</v>
      </c>
      <c r="H745">
        <v>137</v>
      </c>
      <c r="I745">
        <v>144</v>
      </c>
      <c r="J745">
        <v>122</v>
      </c>
      <c r="K745">
        <v>70</v>
      </c>
      <c r="L745">
        <v>102</v>
      </c>
      <c r="M745">
        <v>12.2</v>
      </c>
      <c r="N745">
        <v>1647</v>
      </c>
      <c r="O745">
        <v>0.83</v>
      </c>
      <c r="P745">
        <v>1370</v>
      </c>
      <c r="Q745">
        <v>203</v>
      </c>
      <c r="R745">
        <v>71</v>
      </c>
      <c r="S745">
        <v>42</v>
      </c>
      <c r="T745">
        <v>166</v>
      </c>
      <c r="U745">
        <v>7</v>
      </c>
      <c r="V745">
        <v>56</v>
      </c>
      <c r="W745">
        <v>0.157</v>
      </c>
      <c r="X745">
        <v>72</v>
      </c>
      <c r="Y745">
        <v>79</v>
      </c>
      <c r="Z745">
        <v>94</v>
      </c>
      <c r="AA745">
        <v>4</v>
      </c>
      <c r="AB745">
        <v>11.5</v>
      </c>
      <c r="AC745" t="s">
        <v>349</v>
      </c>
      <c r="AG745" t="s">
        <v>4782</v>
      </c>
      <c r="AH745" t="s">
        <v>1179</v>
      </c>
      <c r="AI745" s="245">
        <v>759.99</v>
      </c>
      <c r="AJ745" t="s">
        <v>4783</v>
      </c>
      <c r="AK745" t="s">
        <v>4784</v>
      </c>
      <c r="AL745" t="s">
        <v>1271</v>
      </c>
      <c r="AM745" s="245">
        <v>419.99</v>
      </c>
      <c r="AN745" t="s">
        <v>4785</v>
      </c>
      <c r="AO745" t="s">
        <v>4786</v>
      </c>
      <c r="AP745" t="s">
        <v>1191</v>
      </c>
      <c r="AQ745" s="245">
        <v>659.95</v>
      </c>
      <c r="AR745" t="s">
        <v>4787</v>
      </c>
      <c r="AS745" s="226" t="str">
        <f t="shared" si="22"/>
        <v>Flair SC Carbon</v>
      </c>
      <c r="AT745" s="203" t="str">
        <f t="shared" si="23"/>
        <v xml:space="preserve"> Vï¿½lklFlair SC Carbon160 Women's</v>
      </c>
    </row>
    <row r="746" spans="1:46" ht="118.8">
      <c r="A746" t="s">
        <v>155</v>
      </c>
      <c r="B746" t="s">
        <v>172</v>
      </c>
      <c r="C746" t="s">
        <v>746</v>
      </c>
      <c r="D746">
        <v>172</v>
      </c>
      <c r="E746" t="s">
        <v>158</v>
      </c>
      <c r="F746">
        <v>172</v>
      </c>
      <c r="G746">
        <v>170.5</v>
      </c>
      <c r="H746">
        <v>150</v>
      </c>
      <c r="I746">
        <v>157</v>
      </c>
      <c r="J746">
        <v>121</v>
      </c>
      <c r="K746">
        <v>66</v>
      </c>
      <c r="L746">
        <v>102</v>
      </c>
      <c r="M746">
        <v>13.3</v>
      </c>
      <c r="N746">
        <v>2064</v>
      </c>
      <c r="O746">
        <v>0.69</v>
      </c>
      <c r="P746">
        <v>1425</v>
      </c>
      <c r="Q746">
        <v>229</v>
      </c>
      <c r="R746">
        <v>103</v>
      </c>
      <c r="S746">
        <v>40</v>
      </c>
      <c r="T746">
        <v>141</v>
      </c>
      <c r="U746">
        <v>4</v>
      </c>
      <c r="V746">
        <v>64</v>
      </c>
      <c r="W746">
        <v>0.11</v>
      </c>
      <c r="X746">
        <v>76</v>
      </c>
      <c r="Y746">
        <v>63</v>
      </c>
      <c r="Z746">
        <v>65</v>
      </c>
      <c r="AA746">
        <v>13</v>
      </c>
      <c r="AB746">
        <v>11.1</v>
      </c>
      <c r="AC746" t="s">
        <v>349</v>
      </c>
      <c r="AG746" t="s">
        <v>4788</v>
      </c>
      <c r="AH746" t="s">
        <v>2049</v>
      </c>
      <c r="AI746" s="245">
        <v>1149</v>
      </c>
      <c r="AJ746" t="s">
        <v>4789</v>
      </c>
      <c r="AK746" t="s">
        <v>4790</v>
      </c>
      <c r="AL746" t="s">
        <v>1194</v>
      </c>
      <c r="AM746" s="245">
        <v>506.08</v>
      </c>
      <c r="AN746" t="s">
        <v>4791</v>
      </c>
      <c r="AO746" t="s">
        <v>4792</v>
      </c>
      <c r="AP746" t="s">
        <v>1282</v>
      </c>
      <c r="AQ746" s="245">
        <v>479.96</v>
      </c>
      <c r="AR746" t="s">
        <v>4793</v>
      </c>
      <c r="AS746" s="226" t="str">
        <f t="shared" si="22"/>
        <v>Hero Elite Short Turn Ti</v>
      </c>
      <c r="AT746" s="203" t="str">
        <f t="shared" si="23"/>
        <v xml:space="preserve"> RossignolHero Elite Short Turn Ti172 Unisex</v>
      </c>
    </row>
    <row r="747" spans="1:46" ht="92.4">
      <c r="A747" t="s">
        <v>155</v>
      </c>
      <c r="B747" t="s">
        <v>182</v>
      </c>
      <c r="C747" t="s">
        <v>610</v>
      </c>
      <c r="D747">
        <v>174</v>
      </c>
      <c r="E747" t="s">
        <v>163</v>
      </c>
      <c r="F747">
        <v>174</v>
      </c>
      <c r="G747">
        <v>173.3</v>
      </c>
      <c r="H747">
        <v>142</v>
      </c>
      <c r="I747">
        <v>155</v>
      </c>
      <c r="J747">
        <v>127</v>
      </c>
      <c r="K747">
        <v>81</v>
      </c>
      <c r="L747">
        <v>109</v>
      </c>
      <c r="M747">
        <v>15.9</v>
      </c>
      <c r="N747">
        <v>1650</v>
      </c>
      <c r="O747">
        <v>1</v>
      </c>
      <c r="P747">
        <v>1654</v>
      </c>
      <c r="Q747">
        <v>245</v>
      </c>
      <c r="R747">
        <v>133</v>
      </c>
      <c r="S747">
        <v>45</v>
      </c>
      <c r="T747">
        <v>197</v>
      </c>
      <c r="U747">
        <v>11</v>
      </c>
      <c r="V747">
        <v>115</v>
      </c>
      <c r="W747">
        <v>0.248</v>
      </c>
      <c r="X747">
        <v>115</v>
      </c>
      <c r="Y747">
        <v>70</v>
      </c>
      <c r="Z747">
        <v>82</v>
      </c>
      <c r="AA747">
        <v>10</v>
      </c>
      <c r="AB747">
        <v>9.6</v>
      </c>
      <c r="AC747" t="s">
        <v>231</v>
      </c>
      <c r="AD747" t="s">
        <v>188</v>
      </c>
      <c r="AG747" t="s">
        <v>4794</v>
      </c>
      <c r="AH747" t="s">
        <v>1858</v>
      </c>
      <c r="AI747" s="245">
        <v>479</v>
      </c>
      <c r="AJ747" t="s">
        <v>4795</v>
      </c>
      <c r="AK747" t="s">
        <v>3907</v>
      </c>
      <c r="AL747" t="s">
        <v>1194</v>
      </c>
      <c r="AM747" s="245">
        <v>552.16999999999996</v>
      </c>
      <c r="AN747" t="s">
        <v>4796</v>
      </c>
      <c r="AO747" t="s">
        <v>4794</v>
      </c>
      <c r="AP747" t="s">
        <v>1226</v>
      </c>
      <c r="AQ747" s="245">
        <v>599.95000000000005</v>
      </c>
      <c r="AR747" t="s">
        <v>4797</v>
      </c>
      <c r="AS747" s="226" t="str">
        <f t="shared" si="22"/>
        <v>Reliance 82 Ti</v>
      </c>
      <c r="AT747" s="203" t="str">
        <f t="shared" si="23"/>
        <v xml:space="preserve"> ArmadaReliance 82 Ti174 Women's</v>
      </c>
    </row>
    <row r="748" spans="1:46" ht="171.6">
      <c r="A748" t="s">
        <v>155</v>
      </c>
      <c r="B748" t="s">
        <v>317</v>
      </c>
      <c r="C748" t="s">
        <v>449</v>
      </c>
      <c r="D748">
        <v>171</v>
      </c>
      <c r="E748" t="s">
        <v>158</v>
      </c>
      <c r="F748">
        <v>171</v>
      </c>
      <c r="G748">
        <v>169</v>
      </c>
      <c r="H748">
        <v>120</v>
      </c>
      <c r="I748">
        <v>143</v>
      </c>
      <c r="J748">
        <v>124</v>
      </c>
      <c r="K748">
        <v>93</v>
      </c>
      <c r="L748">
        <v>107</v>
      </c>
      <c r="M748">
        <v>22</v>
      </c>
      <c r="N748">
        <v>1201</v>
      </c>
      <c r="O748">
        <v>1.42</v>
      </c>
      <c r="P748">
        <v>1709</v>
      </c>
      <c r="Q748">
        <v>207</v>
      </c>
      <c r="R748">
        <v>75</v>
      </c>
      <c r="S748">
        <v>55</v>
      </c>
      <c r="T748">
        <v>273</v>
      </c>
      <c r="U748">
        <v>11</v>
      </c>
      <c r="V748">
        <v>216</v>
      </c>
      <c r="W748">
        <v>0.191</v>
      </c>
      <c r="X748">
        <v>130</v>
      </c>
      <c r="Y748">
        <v>134</v>
      </c>
      <c r="Z748">
        <v>143</v>
      </c>
      <c r="AA748">
        <v>3</v>
      </c>
      <c r="AB748">
        <v>10.5</v>
      </c>
      <c r="AC748" t="s">
        <v>185</v>
      </c>
      <c r="AD748" t="s">
        <v>198</v>
      </c>
      <c r="AG748" t="s">
        <v>4798</v>
      </c>
      <c r="AH748" t="s">
        <v>1181</v>
      </c>
      <c r="AI748" s="245">
        <v>1050</v>
      </c>
      <c r="AJ748" t="s">
        <v>4799</v>
      </c>
      <c r="AK748" t="s">
        <v>4800</v>
      </c>
      <c r="AL748" t="s">
        <v>1601</v>
      </c>
      <c r="AM748" s="245">
        <v>1250</v>
      </c>
      <c r="AN748" t="s">
        <v>4801</v>
      </c>
      <c r="AO748" t="s">
        <v>4802</v>
      </c>
      <c r="AP748" t="s">
        <v>1226</v>
      </c>
      <c r="AQ748" s="245">
        <v>559.95000000000005</v>
      </c>
      <c r="AR748" t="s">
        <v>4803</v>
      </c>
      <c r="AS748" s="226" t="str">
        <f t="shared" si="22"/>
        <v>Zero G 95</v>
      </c>
      <c r="AT748" s="203" t="str">
        <f t="shared" si="23"/>
        <v xml:space="preserve"> BlizzardZero G 95171 Unisex</v>
      </c>
    </row>
    <row r="749" spans="1:46" ht="52.8">
      <c r="A749" t="s">
        <v>155</v>
      </c>
      <c r="B749" t="s">
        <v>295</v>
      </c>
      <c r="C749" t="s">
        <v>654</v>
      </c>
      <c r="D749">
        <v>171</v>
      </c>
      <c r="E749" t="s">
        <v>158</v>
      </c>
      <c r="F749">
        <v>171</v>
      </c>
      <c r="G749">
        <v>168.3</v>
      </c>
      <c r="H749">
        <v>99</v>
      </c>
      <c r="I749">
        <v>143</v>
      </c>
      <c r="J749">
        <v>130</v>
      </c>
      <c r="K749">
        <v>95</v>
      </c>
      <c r="L749">
        <v>121</v>
      </c>
      <c r="M749">
        <v>16.3</v>
      </c>
      <c r="N749">
        <v>1539</v>
      </c>
      <c r="O749">
        <v>1.1599999999999999</v>
      </c>
      <c r="P749">
        <v>1780</v>
      </c>
      <c r="Q749">
        <v>157</v>
      </c>
      <c r="R749">
        <v>69</v>
      </c>
      <c r="S749">
        <v>62</v>
      </c>
      <c r="T749">
        <v>376</v>
      </c>
      <c r="U749">
        <v>55</v>
      </c>
      <c r="V749">
        <v>314</v>
      </c>
      <c r="W749">
        <v>0.88800000000000001</v>
      </c>
      <c r="X749">
        <v>119</v>
      </c>
      <c r="Y749">
        <v>130</v>
      </c>
      <c r="Z749">
        <v>257</v>
      </c>
      <c r="AA749">
        <v>2</v>
      </c>
      <c r="AB749">
        <v>7.2</v>
      </c>
      <c r="AC749" t="s">
        <v>184</v>
      </c>
      <c r="AD749" t="s">
        <v>185</v>
      </c>
      <c r="AG749" t="s">
        <v>4804</v>
      </c>
      <c r="AH749" t="s">
        <v>1226</v>
      </c>
      <c r="AI749" s="245">
        <v>561</v>
      </c>
      <c r="AJ749" t="s">
        <v>4805</v>
      </c>
      <c r="AK749" t="s">
        <v>4804</v>
      </c>
      <c r="AL749" t="s">
        <v>3322</v>
      </c>
      <c r="AM749" s="245">
        <v>561.75</v>
      </c>
      <c r="AN749" t="s">
        <v>4806</v>
      </c>
      <c r="AO749" t="s">
        <v>4804</v>
      </c>
      <c r="AP749" t="s">
        <v>2255</v>
      </c>
      <c r="AQ749" s="245">
        <v>599</v>
      </c>
      <c r="AR749" t="s">
        <v>4807</v>
      </c>
      <c r="AS749" s="226" t="str">
        <f t="shared" si="22"/>
        <v>Nomad 95</v>
      </c>
      <c r="AT749" s="203" t="str">
        <f t="shared" si="23"/>
        <v xml:space="preserve"> IcelanticNomad 95171 Unisex</v>
      </c>
    </row>
    <row r="750" spans="1:46" ht="105.6">
      <c r="A750" t="s">
        <v>155</v>
      </c>
      <c r="B750" t="s">
        <v>317</v>
      </c>
      <c r="C750" t="s">
        <v>456</v>
      </c>
      <c r="D750">
        <v>153</v>
      </c>
      <c r="E750" t="s">
        <v>163</v>
      </c>
      <c r="F750">
        <v>153</v>
      </c>
      <c r="G750">
        <v>151.4</v>
      </c>
      <c r="H750">
        <v>119</v>
      </c>
      <c r="I750">
        <v>128</v>
      </c>
      <c r="J750">
        <v>134</v>
      </c>
      <c r="K750">
        <v>96</v>
      </c>
      <c r="L750">
        <v>116</v>
      </c>
      <c r="M750">
        <v>13.7</v>
      </c>
      <c r="N750">
        <v>1655</v>
      </c>
      <c r="O750">
        <v>0.98</v>
      </c>
      <c r="P750">
        <v>1626</v>
      </c>
      <c r="Q750">
        <v>135</v>
      </c>
      <c r="R750">
        <v>72</v>
      </c>
      <c r="S750">
        <v>63</v>
      </c>
      <c r="T750">
        <v>222</v>
      </c>
      <c r="U750">
        <v>8</v>
      </c>
      <c r="V750">
        <v>104</v>
      </c>
      <c r="W750">
        <v>0.124</v>
      </c>
      <c r="X750">
        <v>122</v>
      </c>
      <c r="Y750">
        <v>111</v>
      </c>
      <c r="Z750">
        <v>100</v>
      </c>
      <c r="AA750">
        <v>5</v>
      </c>
      <c r="AB750">
        <v>11.2</v>
      </c>
      <c r="AC750" t="s">
        <v>188</v>
      </c>
      <c r="AG750" t="s">
        <v>2386</v>
      </c>
      <c r="AH750" t="s">
        <v>1194</v>
      </c>
      <c r="AI750" s="245">
        <v>387.14</v>
      </c>
      <c r="AJ750" t="s">
        <v>4808</v>
      </c>
      <c r="AK750" t="s">
        <v>4809</v>
      </c>
      <c r="AL750" t="s">
        <v>1292</v>
      </c>
      <c r="AM750" s="245">
        <v>524.96</v>
      </c>
      <c r="AN750" t="s">
        <v>4810</v>
      </c>
      <c r="AO750" t="s">
        <v>3155</v>
      </c>
      <c r="AP750" t="s">
        <v>1320</v>
      </c>
      <c r="AQ750" s="245">
        <v>559.95000000000005</v>
      </c>
      <c r="AR750" t="s">
        <v>4811</v>
      </c>
      <c r="AS750" s="226" t="str">
        <f t="shared" si="22"/>
        <v>Black Pearl 97</v>
      </c>
      <c r="AT750" s="203" t="str">
        <f t="shared" si="23"/>
        <v xml:space="preserve"> BlizzardBlack Pearl 97153 Women's</v>
      </c>
    </row>
    <row r="751" spans="1:46" ht="79.2">
      <c r="A751" t="s">
        <v>155</v>
      </c>
      <c r="B751" t="s">
        <v>218</v>
      </c>
      <c r="C751" t="s">
        <v>222</v>
      </c>
      <c r="D751">
        <v>163</v>
      </c>
      <c r="E751" t="s">
        <v>158</v>
      </c>
      <c r="F751">
        <v>163</v>
      </c>
      <c r="G751">
        <v>161.4</v>
      </c>
      <c r="H751">
        <v>107</v>
      </c>
      <c r="I751">
        <v>121</v>
      </c>
      <c r="J751">
        <v>126</v>
      </c>
      <c r="K751">
        <v>100</v>
      </c>
      <c r="L751">
        <v>113</v>
      </c>
      <c r="M751">
        <v>15.1</v>
      </c>
      <c r="N751">
        <v>1280</v>
      </c>
      <c r="O751">
        <v>1.37</v>
      </c>
      <c r="P751">
        <v>1755</v>
      </c>
      <c r="Q751">
        <v>173</v>
      </c>
      <c r="R751">
        <v>79</v>
      </c>
      <c r="S751">
        <v>54</v>
      </c>
      <c r="T751">
        <v>325</v>
      </c>
      <c r="U751">
        <v>11</v>
      </c>
      <c r="V751">
        <v>215</v>
      </c>
      <c r="W751">
        <v>0.2</v>
      </c>
      <c r="X751">
        <v>221</v>
      </c>
      <c r="Y751">
        <v>188</v>
      </c>
      <c r="Z751">
        <v>104</v>
      </c>
      <c r="AA751">
        <v>7</v>
      </c>
      <c r="AB751">
        <v>11.8</v>
      </c>
      <c r="AC751" t="s">
        <v>185</v>
      </c>
      <c r="AD751" t="s">
        <v>198</v>
      </c>
      <c r="AG751" t="s">
        <v>4812</v>
      </c>
      <c r="AH751" t="s">
        <v>1334</v>
      </c>
      <c r="AI751" s="245">
        <v>1029</v>
      </c>
      <c r="AJ751" t="s">
        <v>4813</v>
      </c>
      <c r="AK751" t="s">
        <v>4812</v>
      </c>
      <c r="AL751" t="s">
        <v>1280</v>
      </c>
      <c r="AM751" s="245">
        <v>1038.93</v>
      </c>
      <c r="AN751" t="s">
        <v>4814</v>
      </c>
      <c r="AO751" t="s">
        <v>4812</v>
      </c>
      <c r="AP751" t="s">
        <v>1224</v>
      </c>
      <c r="AQ751" s="245">
        <v>1039.2</v>
      </c>
      <c r="AR751" t="s">
        <v>4815</v>
      </c>
      <c r="AS751" s="226" t="str">
        <f t="shared" si="22"/>
        <v>Pagoda Tour 100 RP</v>
      </c>
      <c r="AT751" s="203" t="str">
        <f t="shared" si="23"/>
        <v xml:space="preserve"> DPSPagoda Tour 100 RP163 Unisex</v>
      </c>
    </row>
    <row r="752" spans="1:46" ht="118.8">
      <c r="A752" t="s">
        <v>155</v>
      </c>
      <c r="B752" t="s">
        <v>317</v>
      </c>
      <c r="C752" t="s">
        <v>551</v>
      </c>
      <c r="D752">
        <v>164</v>
      </c>
      <c r="E752" t="s">
        <v>158</v>
      </c>
      <c r="F752">
        <v>164</v>
      </c>
      <c r="G752">
        <v>162.4</v>
      </c>
      <c r="H752">
        <v>98</v>
      </c>
      <c r="I752">
        <v>133</v>
      </c>
      <c r="J752">
        <v>131</v>
      </c>
      <c r="K752">
        <v>101</v>
      </c>
      <c r="L752">
        <v>121</v>
      </c>
      <c r="M752">
        <v>15.4</v>
      </c>
      <c r="N752">
        <v>1840</v>
      </c>
      <c r="O752">
        <v>0.99</v>
      </c>
      <c r="P752">
        <v>1813</v>
      </c>
      <c r="Q752">
        <v>157</v>
      </c>
      <c r="R752">
        <v>84</v>
      </c>
      <c r="S752">
        <v>66</v>
      </c>
      <c r="T752">
        <v>361</v>
      </c>
      <c r="U752">
        <v>33</v>
      </c>
      <c r="V752">
        <v>279</v>
      </c>
      <c r="W752">
        <v>0.503</v>
      </c>
      <c r="X752">
        <v>161</v>
      </c>
      <c r="Y752">
        <v>136</v>
      </c>
      <c r="Z752">
        <v>200</v>
      </c>
      <c r="AA752">
        <v>4</v>
      </c>
      <c r="AB752">
        <v>7</v>
      </c>
      <c r="AC752" t="s">
        <v>188</v>
      </c>
      <c r="AD752" t="s">
        <v>169</v>
      </c>
      <c r="AG752" t="s">
        <v>4816</v>
      </c>
      <c r="AH752" t="s">
        <v>1337</v>
      </c>
      <c r="AI752" s="245">
        <v>399.99</v>
      </c>
      <c r="AJ752" t="s">
        <v>4817</v>
      </c>
      <c r="AK752" t="s">
        <v>4818</v>
      </c>
      <c r="AL752" t="s">
        <v>2525</v>
      </c>
      <c r="AM752" s="245">
        <v>462</v>
      </c>
      <c r="AN752" t="s">
        <v>4819</v>
      </c>
      <c r="AO752" t="s">
        <v>4820</v>
      </c>
      <c r="AP752" t="s">
        <v>1450</v>
      </c>
      <c r="AQ752" s="245">
        <v>559.95000000000005</v>
      </c>
      <c r="AR752" t="s">
        <v>4821</v>
      </c>
      <c r="AS752" s="226" t="str">
        <f t="shared" si="22"/>
        <v>Rustler 10</v>
      </c>
      <c r="AT752" s="203" t="str">
        <f t="shared" si="23"/>
        <v xml:space="preserve"> BlizzardRustler 10164 Unisex</v>
      </c>
    </row>
    <row r="753" spans="1:46" ht="52.8">
      <c r="A753" t="s">
        <v>155</v>
      </c>
      <c r="B753" t="s">
        <v>1395</v>
      </c>
      <c r="C753" t="s">
        <v>747</v>
      </c>
      <c r="D753">
        <v>188</v>
      </c>
      <c r="E753" t="s">
        <v>158</v>
      </c>
      <c r="F753">
        <v>188</v>
      </c>
      <c r="G753">
        <v>186.7</v>
      </c>
      <c r="H753">
        <v>106</v>
      </c>
      <c r="I753">
        <v>148</v>
      </c>
      <c r="J753">
        <v>131</v>
      </c>
      <c r="K753">
        <v>103</v>
      </c>
      <c r="L753">
        <v>120</v>
      </c>
      <c r="M753">
        <v>22.6</v>
      </c>
      <c r="N753">
        <v>2095</v>
      </c>
      <c r="O753">
        <v>1</v>
      </c>
      <c r="P753">
        <v>2094</v>
      </c>
      <c r="Q753">
        <v>182</v>
      </c>
      <c r="R753">
        <v>88</v>
      </c>
      <c r="S753">
        <v>57</v>
      </c>
      <c r="T753">
        <v>399</v>
      </c>
      <c r="U753">
        <v>41</v>
      </c>
      <c r="V753">
        <v>406</v>
      </c>
      <c r="W753">
        <v>0.72099999999999997</v>
      </c>
      <c r="X753">
        <v>194</v>
      </c>
      <c r="Y753">
        <v>193</v>
      </c>
      <c r="Z753">
        <v>205</v>
      </c>
      <c r="AA753">
        <v>5</v>
      </c>
      <c r="AB753">
        <v>2.5</v>
      </c>
      <c r="AC753" t="s">
        <v>188</v>
      </c>
      <c r="AD753" t="s">
        <v>169</v>
      </c>
      <c r="AG753" t="s">
        <v>4822</v>
      </c>
      <c r="AH753" t="s">
        <v>1262</v>
      </c>
      <c r="AI753" s="245">
        <v>387.05</v>
      </c>
      <c r="AJ753" t="s">
        <v>4823</v>
      </c>
      <c r="AK753" t="s">
        <v>4824</v>
      </c>
      <c r="AL753" t="s">
        <v>1204</v>
      </c>
      <c r="AM753" s="245">
        <v>440.79</v>
      </c>
      <c r="AN753" t="s">
        <v>4825</v>
      </c>
      <c r="AO753" t="s">
        <v>4822</v>
      </c>
      <c r="AP753" t="s">
        <v>1248</v>
      </c>
      <c r="AQ753" s="245">
        <v>479.99</v>
      </c>
      <c r="AR753" t="s">
        <v>4826</v>
      </c>
      <c r="AS753" s="226" t="str">
        <f t="shared" si="22"/>
        <v>Revolt 104</v>
      </c>
      <c r="AT753" s="203" t="str">
        <f t="shared" si="23"/>
        <v xml:space="preserve"> Vï¿½lklRevolt 104188 Unisex</v>
      </c>
    </row>
    <row r="754" spans="1:46" ht="145.19999999999999">
      <c r="A754" t="s">
        <v>155</v>
      </c>
      <c r="B754" t="s">
        <v>245</v>
      </c>
      <c r="C754" t="s">
        <v>260</v>
      </c>
      <c r="D754">
        <v>191</v>
      </c>
      <c r="E754" t="s">
        <v>158</v>
      </c>
      <c r="F754">
        <v>191</v>
      </c>
      <c r="G754">
        <v>190.7</v>
      </c>
      <c r="H754">
        <v>132</v>
      </c>
      <c r="I754">
        <v>157</v>
      </c>
      <c r="J754">
        <v>137</v>
      </c>
      <c r="K754">
        <v>103</v>
      </c>
      <c r="L754">
        <v>127</v>
      </c>
      <c r="M754">
        <v>17.7</v>
      </c>
      <c r="N754">
        <v>2039</v>
      </c>
      <c r="O754">
        <v>1.08</v>
      </c>
      <c r="P754">
        <v>2209</v>
      </c>
      <c r="Q754">
        <v>251</v>
      </c>
      <c r="R754">
        <v>121</v>
      </c>
      <c r="S754">
        <v>50</v>
      </c>
      <c r="T754">
        <v>379</v>
      </c>
      <c r="U754">
        <v>28</v>
      </c>
      <c r="V754">
        <v>212</v>
      </c>
      <c r="W754">
        <v>0.55200000000000005</v>
      </c>
      <c r="X754">
        <v>174</v>
      </c>
      <c r="Y754">
        <v>163</v>
      </c>
      <c r="Z754">
        <v>204</v>
      </c>
      <c r="AA754">
        <v>6</v>
      </c>
      <c r="AB754">
        <v>10.6</v>
      </c>
      <c r="AC754" t="s">
        <v>188</v>
      </c>
      <c r="AD754" t="s">
        <v>169</v>
      </c>
      <c r="AE754" t="s">
        <v>185</v>
      </c>
      <c r="AG754" t="s">
        <v>4827</v>
      </c>
      <c r="AH754" t="s">
        <v>1450</v>
      </c>
      <c r="AI754" s="245">
        <v>699.99</v>
      </c>
      <c r="AJ754" t="s">
        <v>4828</v>
      </c>
      <c r="AK754" t="s">
        <v>4829</v>
      </c>
      <c r="AL754" t="s">
        <v>1405</v>
      </c>
      <c r="AM754" s="245">
        <v>849.99</v>
      </c>
      <c r="AN754" t="s">
        <v>4830</v>
      </c>
      <c r="AO754" t="s">
        <v>4831</v>
      </c>
      <c r="AP754" t="s">
        <v>1455</v>
      </c>
      <c r="AQ754" s="245">
        <v>699.99</v>
      </c>
      <c r="AR754" t="s">
        <v>4832</v>
      </c>
      <c r="AS754" s="226" t="str">
        <f t="shared" si="22"/>
        <v>Ranger 102 FR</v>
      </c>
      <c r="AT754" s="203" t="str">
        <f t="shared" si="23"/>
        <v xml:space="preserve"> FischerRanger 102 FR191 Unisex</v>
      </c>
    </row>
    <row r="755" spans="1:46" ht="79.2">
      <c r="A755" t="s">
        <v>155</v>
      </c>
      <c r="B755" t="s">
        <v>1160</v>
      </c>
      <c r="C755" t="s">
        <v>708</v>
      </c>
      <c r="D755">
        <v>191</v>
      </c>
      <c r="E755" t="s">
        <v>158</v>
      </c>
      <c r="F755">
        <v>191</v>
      </c>
      <c r="G755">
        <v>191.1</v>
      </c>
      <c r="H755">
        <v>106</v>
      </c>
      <c r="I755">
        <v>145</v>
      </c>
      <c r="J755">
        <v>144</v>
      </c>
      <c r="K755">
        <v>122</v>
      </c>
      <c r="L755">
        <v>135</v>
      </c>
      <c r="M755">
        <v>26.6</v>
      </c>
      <c r="N755">
        <v>2123</v>
      </c>
      <c r="O755">
        <v>1.1499999999999999</v>
      </c>
      <c r="P755">
        <v>2445</v>
      </c>
      <c r="Q755">
        <v>217</v>
      </c>
      <c r="R755">
        <v>115</v>
      </c>
      <c r="S755">
        <v>67</v>
      </c>
      <c r="T755">
        <v>443</v>
      </c>
      <c r="U755">
        <v>56</v>
      </c>
      <c r="V755">
        <v>411</v>
      </c>
      <c r="W755">
        <v>0.84099999999999997</v>
      </c>
      <c r="X755">
        <v>226</v>
      </c>
      <c r="Y755">
        <v>234</v>
      </c>
      <c r="Z755">
        <v>217</v>
      </c>
      <c r="AA755">
        <v>4</v>
      </c>
      <c r="AB755">
        <v>5.5</v>
      </c>
      <c r="AC755" t="s">
        <v>184</v>
      </c>
      <c r="AD755" t="s">
        <v>169</v>
      </c>
      <c r="AE755" t="s">
        <v>185</v>
      </c>
      <c r="AG755" t="s">
        <v>4833</v>
      </c>
      <c r="AH755" t="s">
        <v>1349</v>
      </c>
      <c r="AI755" s="245">
        <v>412.48</v>
      </c>
      <c r="AJ755" t="s">
        <v>4834</v>
      </c>
      <c r="AK755" t="s">
        <v>4833</v>
      </c>
      <c r="AL755" t="s">
        <v>1326</v>
      </c>
      <c r="AM755" s="245">
        <v>450.65</v>
      </c>
      <c r="AN755" t="s">
        <v>4835</v>
      </c>
      <c r="AO755" t="s">
        <v>4833</v>
      </c>
      <c r="AP755" t="s">
        <v>1509</v>
      </c>
      <c r="AQ755" s="245">
        <v>470.99</v>
      </c>
      <c r="AR755" t="s">
        <v>4836</v>
      </c>
      <c r="AS755" s="226" t="str">
        <f t="shared" si="22"/>
        <v>Reckoner 122</v>
      </c>
      <c r="AT755" s="203" t="str">
        <f t="shared" si="23"/>
        <v>K2Reckoner 122191 Unisex</v>
      </c>
    </row>
    <row r="756" spans="1:46" ht="118.8">
      <c r="A756" t="s">
        <v>155</v>
      </c>
      <c r="B756" t="s">
        <v>167</v>
      </c>
      <c r="C756" t="s">
        <v>749</v>
      </c>
      <c r="D756">
        <v>158</v>
      </c>
      <c r="E756" t="s">
        <v>163</v>
      </c>
      <c r="F756">
        <v>158</v>
      </c>
      <c r="G756">
        <v>157.4</v>
      </c>
      <c r="H756">
        <v>135</v>
      </c>
      <c r="I756">
        <v>141</v>
      </c>
      <c r="J756">
        <v>129</v>
      </c>
      <c r="K756">
        <v>72</v>
      </c>
      <c r="L756">
        <v>106</v>
      </c>
      <c r="M756">
        <v>10.8</v>
      </c>
      <c r="N756">
        <v>1707</v>
      </c>
      <c r="O756">
        <v>0.83</v>
      </c>
      <c r="P756">
        <v>1408</v>
      </c>
      <c r="Q756">
        <v>145</v>
      </c>
      <c r="R756">
        <v>72</v>
      </c>
      <c r="S756">
        <v>35</v>
      </c>
      <c r="T756">
        <v>147</v>
      </c>
      <c r="U756">
        <v>12</v>
      </c>
      <c r="V756">
        <v>78</v>
      </c>
      <c r="W756">
        <v>0.34899999999999998</v>
      </c>
      <c r="X756">
        <v>105</v>
      </c>
      <c r="Y756">
        <v>58</v>
      </c>
      <c r="Z756">
        <v>42</v>
      </c>
      <c r="AA756">
        <v>10</v>
      </c>
      <c r="AB756">
        <v>10.8</v>
      </c>
      <c r="AC756" t="s">
        <v>349</v>
      </c>
      <c r="AD756" t="s">
        <v>231</v>
      </c>
      <c r="AG756" t="s">
        <v>4712</v>
      </c>
      <c r="AH756" t="s">
        <v>1191</v>
      </c>
      <c r="AI756" s="245">
        <v>189.95</v>
      </c>
      <c r="AJ756" t="s">
        <v>4837</v>
      </c>
      <c r="AK756" t="s">
        <v>4838</v>
      </c>
      <c r="AL756" t="s">
        <v>2789</v>
      </c>
      <c r="AM756" s="245">
        <v>229</v>
      </c>
      <c r="AN756" t="s">
        <v>4839</v>
      </c>
      <c r="AO756" t="s">
        <v>4714</v>
      </c>
      <c r="AP756" t="s">
        <v>2297</v>
      </c>
      <c r="AQ756" s="245">
        <v>249</v>
      </c>
      <c r="AR756" t="s">
        <v>4840</v>
      </c>
      <c r="AS756" s="226" t="str">
        <f t="shared" si="22"/>
        <v>Pure Joy</v>
      </c>
      <c r="AT756" s="203" t="str">
        <f t="shared" si="23"/>
        <v xml:space="preserve"> HeadPure Joy158 Women's</v>
      </c>
    </row>
    <row r="757" spans="1:46" ht="105.6">
      <c r="A757" t="s">
        <v>155</v>
      </c>
      <c r="B757" t="s">
        <v>237</v>
      </c>
      <c r="C757" t="s">
        <v>391</v>
      </c>
      <c r="D757">
        <v>173.1</v>
      </c>
      <c r="E757" t="s">
        <v>158</v>
      </c>
      <c r="F757">
        <v>173.1</v>
      </c>
      <c r="G757">
        <v>172.3</v>
      </c>
      <c r="H757">
        <v>132</v>
      </c>
      <c r="I757">
        <v>149</v>
      </c>
      <c r="J757">
        <v>126</v>
      </c>
      <c r="K757">
        <v>88</v>
      </c>
      <c r="L757">
        <v>110</v>
      </c>
      <c r="M757">
        <v>17.600000000000001</v>
      </c>
      <c r="N757">
        <v>1417</v>
      </c>
      <c r="O757">
        <v>1.22</v>
      </c>
      <c r="P757">
        <v>1722</v>
      </c>
      <c r="Q757">
        <v>164</v>
      </c>
      <c r="R757">
        <v>72</v>
      </c>
      <c r="S757">
        <v>41</v>
      </c>
      <c r="T757">
        <v>254</v>
      </c>
      <c r="U757">
        <v>11</v>
      </c>
      <c r="V757">
        <v>152</v>
      </c>
      <c r="W757">
        <v>0.27800000000000002</v>
      </c>
      <c r="X757">
        <v>113</v>
      </c>
      <c r="Y757">
        <v>121</v>
      </c>
      <c r="Z757">
        <v>141</v>
      </c>
      <c r="AA757">
        <v>6</v>
      </c>
      <c r="AB757">
        <v>10.8</v>
      </c>
      <c r="AC757" t="s">
        <v>188</v>
      </c>
      <c r="AD757" t="s">
        <v>185</v>
      </c>
      <c r="AG757" t="s">
        <v>1988</v>
      </c>
      <c r="AH757" t="s">
        <v>1191</v>
      </c>
      <c r="AI757" s="245">
        <v>514.95000000000005</v>
      </c>
      <c r="AJ757" t="s">
        <v>4841</v>
      </c>
      <c r="AK757" t="s">
        <v>1988</v>
      </c>
      <c r="AL757" t="s">
        <v>1229</v>
      </c>
      <c r="AM757" s="245">
        <v>575.99</v>
      </c>
      <c r="AN757" t="s">
        <v>4842</v>
      </c>
      <c r="AO757" t="s">
        <v>4843</v>
      </c>
      <c r="AP757" t="s">
        <v>1289</v>
      </c>
      <c r="AQ757" s="245">
        <v>583.96</v>
      </c>
      <c r="AR757" t="s">
        <v>4844</v>
      </c>
      <c r="AS757" s="226" t="str">
        <f t="shared" si="22"/>
        <v>Orb Freebird</v>
      </c>
      <c r="AT757" s="203" t="str">
        <f t="shared" si="23"/>
        <v xml:space="preserve"> Black CrowsOrb Freebird173.1 Unisex</v>
      </c>
    </row>
    <row r="758" spans="1:46" ht="132">
      <c r="A758" t="s">
        <v>155</v>
      </c>
      <c r="B758" t="s">
        <v>317</v>
      </c>
      <c r="C758" t="s">
        <v>502</v>
      </c>
      <c r="D758">
        <v>153</v>
      </c>
      <c r="E758" t="s">
        <v>163</v>
      </c>
      <c r="F758">
        <v>153</v>
      </c>
      <c r="G758">
        <v>151.6</v>
      </c>
      <c r="H758">
        <v>122</v>
      </c>
      <c r="I758">
        <v>129</v>
      </c>
      <c r="J758">
        <v>125</v>
      </c>
      <c r="K758">
        <v>86</v>
      </c>
      <c r="L758">
        <v>107</v>
      </c>
      <c r="M758">
        <v>13.2</v>
      </c>
      <c r="N758">
        <v>1585</v>
      </c>
      <c r="O758">
        <v>0.94</v>
      </c>
      <c r="P758">
        <v>1484</v>
      </c>
      <c r="Q758">
        <v>141</v>
      </c>
      <c r="R758">
        <v>70</v>
      </c>
      <c r="S758">
        <v>60</v>
      </c>
      <c r="T758">
        <v>193</v>
      </c>
      <c r="U758">
        <v>8</v>
      </c>
      <c r="V758">
        <v>99</v>
      </c>
      <c r="W758">
        <v>0.13500000000000001</v>
      </c>
      <c r="X758">
        <v>116</v>
      </c>
      <c r="Y758">
        <v>105</v>
      </c>
      <c r="Z758">
        <v>77</v>
      </c>
      <c r="AA758">
        <v>7</v>
      </c>
      <c r="AB758">
        <v>11.3</v>
      </c>
      <c r="AC758" t="s">
        <v>188</v>
      </c>
      <c r="AG758" t="s">
        <v>2652</v>
      </c>
      <c r="AH758" t="s">
        <v>1194</v>
      </c>
      <c r="AI758" s="245">
        <v>354.88</v>
      </c>
      <c r="AJ758" t="s">
        <v>4845</v>
      </c>
      <c r="AK758" t="s">
        <v>4846</v>
      </c>
      <c r="AL758" t="s">
        <v>1416</v>
      </c>
      <c r="AM758" s="245">
        <v>647</v>
      </c>
      <c r="AN758" t="s">
        <v>4847</v>
      </c>
      <c r="AO758" t="s">
        <v>4848</v>
      </c>
      <c r="AP758" t="s">
        <v>1271</v>
      </c>
      <c r="AQ758" s="245">
        <v>649.95000000000005</v>
      </c>
      <c r="AR758" t="s">
        <v>4849</v>
      </c>
      <c r="AS758" s="226" t="str">
        <f t="shared" si="22"/>
        <v>Black Pearl 88</v>
      </c>
      <c r="AT758" s="203" t="str">
        <f t="shared" si="23"/>
        <v xml:space="preserve"> BlizzardBlack Pearl 88153 Women's</v>
      </c>
    </row>
    <row r="759" spans="1:46" ht="118.8">
      <c r="A759" t="s">
        <v>155</v>
      </c>
      <c r="B759" t="s">
        <v>1160</v>
      </c>
      <c r="C759" t="s">
        <v>298</v>
      </c>
      <c r="D759">
        <v>191</v>
      </c>
      <c r="E759" t="s">
        <v>158</v>
      </c>
      <c r="F759">
        <v>191</v>
      </c>
      <c r="G759">
        <v>191.7</v>
      </c>
      <c r="H759">
        <v>120</v>
      </c>
      <c r="I759">
        <v>145</v>
      </c>
      <c r="J759">
        <v>135</v>
      </c>
      <c r="K759">
        <v>111</v>
      </c>
      <c r="L759">
        <v>127</v>
      </c>
      <c r="M759">
        <v>25.1</v>
      </c>
      <c r="N759">
        <v>2141</v>
      </c>
      <c r="O759">
        <v>1.06</v>
      </c>
      <c r="P759">
        <v>2276</v>
      </c>
      <c r="Q759">
        <v>230</v>
      </c>
      <c r="R759">
        <v>121</v>
      </c>
      <c r="S759">
        <v>55</v>
      </c>
      <c r="T759">
        <v>378</v>
      </c>
      <c r="U759">
        <v>50</v>
      </c>
      <c r="V759">
        <v>335</v>
      </c>
      <c r="W759">
        <v>0.90400000000000003</v>
      </c>
      <c r="X759">
        <v>218</v>
      </c>
      <c r="Y759">
        <v>244</v>
      </c>
      <c r="Z759">
        <v>159</v>
      </c>
      <c r="AA759">
        <v>7</v>
      </c>
      <c r="AB759">
        <v>5.9</v>
      </c>
      <c r="AC759" t="s">
        <v>184</v>
      </c>
      <c r="AD759" t="s">
        <v>169</v>
      </c>
      <c r="AE759" t="s">
        <v>185</v>
      </c>
      <c r="AG759" t="s">
        <v>4850</v>
      </c>
      <c r="AH759" t="s">
        <v>2583</v>
      </c>
      <c r="AI759" s="245">
        <v>275</v>
      </c>
      <c r="AJ759" t="s">
        <v>4851</v>
      </c>
      <c r="AK759" t="s">
        <v>1631</v>
      </c>
      <c r="AL759" t="s">
        <v>1349</v>
      </c>
      <c r="AM759" s="245">
        <v>401.47</v>
      </c>
      <c r="AN759" t="s">
        <v>4852</v>
      </c>
      <c r="AO759" t="s">
        <v>1631</v>
      </c>
      <c r="AP759" t="s">
        <v>1262</v>
      </c>
      <c r="AQ759" s="245">
        <v>405.53</v>
      </c>
      <c r="AR759" t="s">
        <v>4853</v>
      </c>
      <c r="AS759" s="226" t="str">
        <f t="shared" si="22"/>
        <v>Reckoner 112</v>
      </c>
      <c r="AT759" s="203" t="str">
        <f t="shared" si="23"/>
        <v>K2Reckoner 112191 Unisex</v>
      </c>
    </row>
    <row r="760" spans="1:46" ht="66">
      <c r="A760" t="s">
        <v>155</v>
      </c>
      <c r="B760" t="s">
        <v>172</v>
      </c>
      <c r="C760" t="s">
        <v>674</v>
      </c>
      <c r="D760">
        <v>170</v>
      </c>
      <c r="E760" t="s">
        <v>158</v>
      </c>
      <c r="F760">
        <v>170</v>
      </c>
      <c r="G760">
        <v>168.4</v>
      </c>
      <c r="H760">
        <v>148</v>
      </c>
      <c r="I760">
        <v>153</v>
      </c>
      <c r="J760">
        <v>121</v>
      </c>
      <c r="K760">
        <v>74</v>
      </c>
      <c r="L760">
        <v>107</v>
      </c>
      <c r="M760">
        <v>14.6</v>
      </c>
      <c r="N760">
        <v>1594</v>
      </c>
      <c r="O760">
        <v>0.94</v>
      </c>
      <c r="P760">
        <v>1497</v>
      </c>
      <c r="Q760">
        <v>179</v>
      </c>
      <c r="R760">
        <v>61</v>
      </c>
      <c r="S760">
        <v>35</v>
      </c>
      <c r="T760">
        <v>141</v>
      </c>
      <c r="U760">
        <v>5</v>
      </c>
      <c r="V760">
        <v>64</v>
      </c>
      <c r="W760">
        <v>0.14099999999999999</v>
      </c>
      <c r="X760">
        <v>78</v>
      </c>
      <c r="Y760">
        <v>80</v>
      </c>
      <c r="Z760">
        <v>63</v>
      </c>
      <c r="AA760">
        <v>12</v>
      </c>
      <c r="AB760">
        <v>8.5</v>
      </c>
      <c r="AC760" t="s">
        <v>349</v>
      </c>
      <c r="AG760" t="s">
        <v>4854</v>
      </c>
      <c r="AH760" t="s">
        <v>2654</v>
      </c>
      <c r="AI760" s="245">
        <v>340.58</v>
      </c>
      <c r="AJ760" t="s">
        <v>4855</v>
      </c>
      <c r="AK760" t="s">
        <v>3344</v>
      </c>
      <c r="AL760" t="s">
        <v>3345</v>
      </c>
      <c r="AM760" s="245">
        <v>168.09</v>
      </c>
      <c r="AN760" t="s">
        <v>4856</v>
      </c>
      <c r="AO760" t="s">
        <v>3347</v>
      </c>
      <c r="AP760" t="s">
        <v>1183</v>
      </c>
      <c r="AQ760" s="245">
        <v>279.99</v>
      </c>
      <c r="AR760" t="s">
        <v>4857</v>
      </c>
      <c r="AS760" s="226" t="str">
        <f t="shared" si="22"/>
        <v>React 2</v>
      </c>
      <c r="AT760" s="203" t="str">
        <f t="shared" si="23"/>
        <v xml:space="preserve"> RossignolReact 2170 Unisex</v>
      </c>
    </row>
    <row r="761" spans="1:46" ht="66">
      <c r="A761" t="s">
        <v>155</v>
      </c>
      <c r="B761" t="s">
        <v>182</v>
      </c>
      <c r="C761" t="s">
        <v>491</v>
      </c>
      <c r="D761">
        <v>184</v>
      </c>
      <c r="E761" t="s">
        <v>158</v>
      </c>
      <c r="F761">
        <v>184</v>
      </c>
      <c r="G761">
        <v>181.7</v>
      </c>
      <c r="H761">
        <v>147</v>
      </c>
      <c r="I761">
        <v>157</v>
      </c>
      <c r="J761">
        <v>118</v>
      </c>
      <c r="K761">
        <v>86</v>
      </c>
      <c r="L761">
        <v>112</v>
      </c>
      <c r="M761">
        <v>18.7</v>
      </c>
      <c r="N761">
        <v>1901</v>
      </c>
      <c r="O761">
        <v>0.93</v>
      </c>
      <c r="P761">
        <v>1766</v>
      </c>
      <c r="Q761">
        <v>222</v>
      </c>
      <c r="R761">
        <v>114</v>
      </c>
      <c r="S761">
        <v>45</v>
      </c>
      <c r="T761">
        <v>187</v>
      </c>
      <c r="U761">
        <v>37</v>
      </c>
      <c r="V761">
        <v>158</v>
      </c>
      <c r="W761">
        <v>0.83799999999999997</v>
      </c>
      <c r="X761">
        <v>116</v>
      </c>
      <c r="Y761">
        <v>129</v>
      </c>
      <c r="Z761">
        <v>72</v>
      </c>
      <c r="AA761">
        <v>10</v>
      </c>
      <c r="AB761">
        <v>4.5999999999999996</v>
      </c>
      <c r="AC761" t="s">
        <v>188</v>
      </c>
      <c r="AD761" t="s">
        <v>184</v>
      </c>
      <c r="AG761" t="s">
        <v>2609</v>
      </c>
      <c r="AH761" t="s">
        <v>1232</v>
      </c>
      <c r="AI761" s="245">
        <v>319.95</v>
      </c>
      <c r="AJ761" t="s">
        <v>4858</v>
      </c>
      <c r="AK761" t="s">
        <v>2609</v>
      </c>
      <c r="AL761" t="s">
        <v>2669</v>
      </c>
      <c r="AM761" s="245">
        <v>319.95999999999998</v>
      </c>
      <c r="AN761" t="s">
        <v>4859</v>
      </c>
      <c r="AO761" t="s">
        <v>2609</v>
      </c>
      <c r="AP761" t="s">
        <v>1248</v>
      </c>
      <c r="AQ761" s="245">
        <v>319.95999999999998</v>
      </c>
      <c r="AR761" t="s">
        <v>4860</v>
      </c>
      <c r="AS761" s="226" t="str">
        <f t="shared" si="22"/>
        <v>ARV 86</v>
      </c>
      <c r="AT761" s="203" t="str">
        <f t="shared" si="23"/>
        <v xml:space="preserve"> ArmadaARV 86184 Unisex</v>
      </c>
    </row>
    <row r="762" spans="1:46" ht="52.8">
      <c r="A762" t="s">
        <v>155</v>
      </c>
      <c r="B762" t="s">
        <v>208</v>
      </c>
      <c r="C762" t="s">
        <v>628</v>
      </c>
      <c r="D762">
        <v>185</v>
      </c>
      <c r="E762" t="s">
        <v>158</v>
      </c>
      <c r="F762">
        <v>185</v>
      </c>
      <c r="G762">
        <v>185.5</v>
      </c>
      <c r="H762">
        <v>140</v>
      </c>
      <c r="I762">
        <v>161</v>
      </c>
      <c r="J762">
        <v>132</v>
      </c>
      <c r="K762">
        <v>99</v>
      </c>
      <c r="L762">
        <v>121</v>
      </c>
      <c r="M762">
        <v>23.6</v>
      </c>
      <c r="N762">
        <v>1873</v>
      </c>
      <c r="O762">
        <v>1.08</v>
      </c>
      <c r="P762">
        <v>2021</v>
      </c>
      <c r="Q762">
        <v>154</v>
      </c>
      <c r="R762">
        <v>73</v>
      </c>
      <c r="S762">
        <v>42</v>
      </c>
      <c r="T762">
        <v>218</v>
      </c>
      <c r="U762">
        <v>34</v>
      </c>
      <c r="V762">
        <v>234</v>
      </c>
      <c r="W762">
        <v>0.8</v>
      </c>
      <c r="X762">
        <v>113</v>
      </c>
      <c r="Y762">
        <v>135</v>
      </c>
      <c r="Z762">
        <v>106</v>
      </c>
      <c r="AA762">
        <v>8</v>
      </c>
      <c r="AB762">
        <v>3.9</v>
      </c>
      <c r="AC762" t="s">
        <v>188</v>
      </c>
      <c r="AD762" t="s">
        <v>184</v>
      </c>
      <c r="AE762" t="s">
        <v>185</v>
      </c>
      <c r="AG762" t="s">
        <v>4861</v>
      </c>
      <c r="AH762" t="s">
        <v>1858</v>
      </c>
      <c r="AI762" s="245">
        <v>479</v>
      </c>
      <c r="AJ762" t="s">
        <v>4862</v>
      </c>
      <c r="AK762" t="s">
        <v>4861</v>
      </c>
      <c r="AL762" t="s">
        <v>1179</v>
      </c>
      <c r="AM762" s="245">
        <v>479.95</v>
      </c>
      <c r="AN762" t="s">
        <v>4863</v>
      </c>
      <c r="AO762" t="s">
        <v>4864</v>
      </c>
      <c r="AP762" t="s">
        <v>1240</v>
      </c>
      <c r="AQ762" s="245">
        <v>549.95000000000005</v>
      </c>
      <c r="AR762" t="s">
        <v>4865</v>
      </c>
      <c r="AS762" s="226" t="str">
        <f t="shared" si="22"/>
        <v>Blend</v>
      </c>
      <c r="AT762" s="203" t="str">
        <f t="shared" si="23"/>
        <v xml:space="preserve"> LineBlend185 Unisex</v>
      </c>
    </row>
    <row r="763" spans="1:46" ht="105.6">
      <c r="A763" t="s">
        <v>155</v>
      </c>
      <c r="B763" t="s">
        <v>1395</v>
      </c>
      <c r="C763" t="s">
        <v>300</v>
      </c>
      <c r="D763">
        <v>158</v>
      </c>
      <c r="E763" t="s">
        <v>158</v>
      </c>
      <c r="F763">
        <v>158</v>
      </c>
      <c r="G763">
        <v>159.4</v>
      </c>
      <c r="H763">
        <v>80</v>
      </c>
      <c r="I763">
        <v>135</v>
      </c>
      <c r="J763">
        <v>133</v>
      </c>
      <c r="K763">
        <v>93</v>
      </c>
      <c r="L763">
        <v>115</v>
      </c>
      <c r="M763">
        <v>13.6</v>
      </c>
      <c r="N763">
        <v>1430</v>
      </c>
      <c r="O763">
        <v>1.18</v>
      </c>
      <c r="P763">
        <v>1692</v>
      </c>
      <c r="Q763">
        <v>169</v>
      </c>
      <c r="R763">
        <v>90</v>
      </c>
      <c r="S763">
        <v>48</v>
      </c>
      <c r="T763">
        <v>456</v>
      </c>
      <c r="U763">
        <v>21</v>
      </c>
      <c r="V763">
        <v>337</v>
      </c>
      <c r="W763">
        <v>0.435</v>
      </c>
      <c r="X763">
        <v>141</v>
      </c>
      <c r="Y763">
        <v>104</v>
      </c>
      <c r="Z763">
        <v>315</v>
      </c>
      <c r="AA763">
        <v>1</v>
      </c>
      <c r="AB763">
        <v>12.3</v>
      </c>
      <c r="AC763" t="s">
        <v>188</v>
      </c>
      <c r="AD763" t="s">
        <v>185</v>
      </c>
      <c r="AG763" t="s">
        <v>4866</v>
      </c>
      <c r="AH763" t="s">
        <v>1497</v>
      </c>
      <c r="AI763" s="245">
        <v>439.96</v>
      </c>
      <c r="AJ763" t="s">
        <v>4867</v>
      </c>
      <c r="AK763" t="s">
        <v>4868</v>
      </c>
      <c r="AL763" t="s">
        <v>1400</v>
      </c>
      <c r="AM763" s="245">
        <v>439.99</v>
      </c>
      <c r="AN763" t="s">
        <v>4869</v>
      </c>
      <c r="AO763" t="s">
        <v>4870</v>
      </c>
      <c r="AP763" t="s">
        <v>1706</v>
      </c>
      <c r="AQ763" s="245">
        <v>439.99</v>
      </c>
      <c r="AR763" t="s">
        <v>4871</v>
      </c>
      <c r="AS763" s="226" t="str">
        <f t="shared" si="22"/>
        <v>Blaze 94</v>
      </c>
      <c r="AT763" s="203" t="str">
        <f t="shared" si="23"/>
        <v xml:space="preserve"> Vï¿½lklBlaze 94158 Unisex</v>
      </c>
    </row>
    <row r="764" spans="1:46" ht="132">
      <c r="A764" t="s">
        <v>155</v>
      </c>
      <c r="B764" t="s">
        <v>164</v>
      </c>
      <c r="C764" t="s">
        <v>366</v>
      </c>
      <c r="D764">
        <v>154</v>
      </c>
      <c r="E764" t="s">
        <v>163</v>
      </c>
      <c r="F764">
        <v>154</v>
      </c>
      <c r="G764">
        <v>154.80000000000001</v>
      </c>
      <c r="H764">
        <v>109</v>
      </c>
      <c r="I764">
        <v>123</v>
      </c>
      <c r="J764">
        <v>137</v>
      </c>
      <c r="K764">
        <v>101</v>
      </c>
      <c r="L764">
        <v>115</v>
      </c>
      <c r="M764">
        <v>14.8</v>
      </c>
      <c r="N764">
        <v>1507</v>
      </c>
      <c r="O764">
        <v>1.1499999999999999</v>
      </c>
      <c r="P764">
        <v>1733</v>
      </c>
      <c r="Q764">
        <v>140</v>
      </c>
      <c r="R764">
        <v>68</v>
      </c>
      <c r="S764">
        <v>49</v>
      </c>
      <c r="T764">
        <v>296</v>
      </c>
      <c r="U764">
        <v>15</v>
      </c>
      <c r="V764">
        <v>159</v>
      </c>
      <c r="W764">
        <v>0.29799999999999999</v>
      </c>
      <c r="X764">
        <v>166</v>
      </c>
      <c r="Y764">
        <v>156</v>
      </c>
      <c r="Z764">
        <v>130</v>
      </c>
      <c r="AA764">
        <v>4</v>
      </c>
      <c r="AB764">
        <v>9.1</v>
      </c>
      <c r="AC764" t="s">
        <v>188</v>
      </c>
      <c r="AD764" t="s">
        <v>178</v>
      </c>
      <c r="AE764" t="s">
        <v>185</v>
      </c>
      <c r="AG764" t="s">
        <v>4872</v>
      </c>
      <c r="AH764" t="s">
        <v>1843</v>
      </c>
      <c r="AI764" s="245">
        <v>519.95000000000005</v>
      </c>
      <c r="AJ764" t="s">
        <v>4873</v>
      </c>
      <c r="AK764" t="s">
        <v>1864</v>
      </c>
      <c r="AL764" t="s">
        <v>1191</v>
      </c>
      <c r="AM764" s="245">
        <v>449.95</v>
      </c>
      <c r="AN764" t="s">
        <v>4874</v>
      </c>
      <c r="AO764" t="s">
        <v>4875</v>
      </c>
      <c r="AP764" t="s">
        <v>1265</v>
      </c>
      <c r="AQ764" s="245">
        <v>561.01</v>
      </c>
      <c r="AR764" t="s">
        <v>4876</v>
      </c>
      <c r="AS764" s="226" t="str">
        <f t="shared" si="22"/>
        <v>Ripstick 102 W</v>
      </c>
      <c r="AT764" s="203" t="str">
        <f t="shared" si="23"/>
        <v xml:space="preserve"> ElanRipstick 102 W154 Women's</v>
      </c>
    </row>
    <row r="765" spans="1:46" ht="92.4">
      <c r="A765" t="s">
        <v>155</v>
      </c>
      <c r="B765" t="s">
        <v>172</v>
      </c>
      <c r="C765" t="s">
        <v>746</v>
      </c>
      <c r="D765">
        <v>162</v>
      </c>
      <c r="E765" t="s">
        <v>158</v>
      </c>
      <c r="F765">
        <v>162</v>
      </c>
      <c r="G765">
        <v>160.6</v>
      </c>
      <c r="H765">
        <v>140</v>
      </c>
      <c r="I765">
        <v>146</v>
      </c>
      <c r="J765">
        <v>121</v>
      </c>
      <c r="K765">
        <v>67</v>
      </c>
      <c r="L765">
        <v>102</v>
      </c>
      <c r="M765">
        <v>11.6</v>
      </c>
      <c r="N765">
        <v>1904</v>
      </c>
      <c r="O765">
        <v>0.71</v>
      </c>
      <c r="P765">
        <v>1351</v>
      </c>
      <c r="Q765">
        <v>199</v>
      </c>
      <c r="R765">
        <v>87</v>
      </c>
      <c r="S765">
        <v>40</v>
      </c>
      <c r="T765">
        <v>141</v>
      </c>
      <c r="U765">
        <v>4</v>
      </c>
      <c r="V765">
        <v>65</v>
      </c>
      <c r="W765">
        <v>0.104</v>
      </c>
      <c r="X765">
        <v>79</v>
      </c>
      <c r="Y765">
        <v>63</v>
      </c>
      <c r="Z765">
        <v>62</v>
      </c>
      <c r="AA765">
        <v>12</v>
      </c>
      <c r="AB765">
        <v>8.9</v>
      </c>
      <c r="AC765" t="s">
        <v>349</v>
      </c>
      <c r="AG765" t="s">
        <v>3588</v>
      </c>
      <c r="AH765" t="s">
        <v>2049</v>
      </c>
      <c r="AI765" s="245">
        <v>1099.95</v>
      </c>
      <c r="AJ765" t="s">
        <v>4877</v>
      </c>
      <c r="AK765" t="s">
        <v>4878</v>
      </c>
      <c r="AL765" t="s">
        <v>1229</v>
      </c>
      <c r="AM765" s="245">
        <v>664.99</v>
      </c>
      <c r="AN765" t="s">
        <v>4879</v>
      </c>
      <c r="AO765" t="s">
        <v>4880</v>
      </c>
      <c r="AP765" t="s">
        <v>1204</v>
      </c>
      <c r="AQ765" s="245">
        <v>721.3</v>
      </c>
      <c r="AR765" t="s">
        <v>4881</v>
      </c>
      <c r="AS765" s="226" t="str">
        <f t="shared" si="22"/>
        <v>Hero Elite Short Turn Ti</v>
      </c>
      <c r="AT765" s="203" t="str">
        <f t="shared" si="23"/>
        <v xml:space="preserve"> RossignolHero Elite Short Turn Ti162 Unisex</v>
      </c>
    </row>
    <row r="766" spans="1:46" ht="132">
      <c r="A766" t="s">
        <v>155</v>
      </c>
      <c r="B766" t="s">
        <v>561</v>
      </c>
      <c r="C766" t="s">
        <v>750</v>
      </c>
      <c r="D766">
        <v>181</v>
      </c>
      <c r="E766" t="s">
        <v>158</v>
      </c>
      <c r="F766">
        <v>181</v>
      </c>
      <c r="G766">
        <v>179</v>
      </c>
      <c r="H766">
        <v>124</v>
      </c>
      <c r="I766">
        <v>151</v>
      </c>
      <c r="J766">
        <v>132</v>
      </c>
      <c r="K766">
        <v>98</v>
      </c>
      <c r="L766">
        <v>117</v>
      </c>
      <c r="M766">
        <v>19.3</v>
      </c>
      <c r="N766">
        <v>2105</v>
      </c>
      <c r="O766">
        <v>0.92</v>
      </c>
      <c r="P766">
        <v>1944</v>
      </c>
      <c r="Q766">
        <v>232</v>
      </c>
      <c r="R766">
        <v>126</v>
      </c>
      <c r="S766">
        <v>56</v>
      </c>
      <c r="T766">
        <v>319</v>
      </c>
      <c r="U766">
        <v>29</v>
      </c>
      <c r="V766">
        <v>232</v>
      </c>
      <c r="W766">
        <v>0.51500000000000001</v>
      </c>
      <c r="X766">
        <v>128</v>
      </c>
      <c r="Y766">
        <v>154</v>
      </c>
      <c r="Z766">
        <v>192</v>
      </c>
      <c r="AA766">
        <v>4</v>
      </c>
      <c r="AB766">
        <v>8</v>
      </c>
      <c r="AC766" t="s">
        <v>188</v>
      </c>
      <c r="AG766" t="s">
        <v>4882</v>
      </c>
      <c r="AH766" t="s">
        <v>1277</v>
      </c>
      <c r="AI766" s="245">
        <v>750</v>
      </c>
      <c r="AJ766" t="s">
        <v>4883</v>
      </c>
      <c r="AK766" t="s">
        <v>4884</v>
      </c>
      <c r="AL766" t="s">
        <v>2997</v>
      </c>
      <c r="AM766" s="245">
        <v>199</v>
      </c>
      <c r="AN766" t="s">
        <v>4885</v>
      </c>
      <c r="AS766" s="226" t="str">
        <f t="shared" si="22"/>
        <v>The Masterblaster</v>
      </c>
      <c r="AT766" s="203" t="str">
        <f t="shared" si="23"/>
        <v xml:space="preserve"> J SkisThe Masterblaster181 Unisex</v>
      </c>
    </row>
    <row r="767" spans="1:46" ht="66">
      <c r="A767" t="s">
        <v>155</v>
      </c>
      <c r="B767" t="s">
        <v>182</v>
      </c>
      <c r="C767" t="s">
        <v>193</v>
      </c>
      <c r="D767">
        <v>171</v>
      </c>
      <c r="E767" t="s">
        <v>158</v>
      </c>
      <c r="F767">
        <v>171</v>
      </c>
      <c r="G767">
        <v>169.7</v>
      </c>
      <c r="H767">
        <v>120</v>
      </c>
      <c r="I767">
        <v>141</v>
      </c>
      <c r="J767">
        <v>116</v>
      </c>
      <c r="K767">
        <v>83</v>
      </c>
      <c r="L767">
        <v>108</v>
      </c>
      <c r="M767">
        <v>16.5</v>
      </c>
      <c r="N767">
        <v>1790</v>
      </c>
      <c r="O767">
        <v>0.9</v>
      </c>
      <c r="P767">
        <v>1612</v>
      </c>
      <c r="Q767">
        <v>176</v>
      </c>
      <c r="R767">
        <v>69</v>
      </c>
      <c r="S767">
        <v>49</v>
      </c>
      <c r="T767">
        <v>283</v>
      </c>
      <c r="U767">
        <v>37</v>
      </c>
      <c r="V767">
        <v>214</v>
      </c>
      <c r="W767">
        <v>0.749</v>
      </c>
      <c r="X767">
        <v>159</v>
      </c>
      <c r="Y767">
        <v>128</v>
      </c>
      <c r="Z767">
        <v>124</v>
      </c>
      <c r="AA767">
        <v>8</v>
      </c>
      <c r="AB767">
        <v>7.2</v>
      </c>
      <c r="AC767" t="s">
        <v>188</v>
      </c>
      <c r="AG767" t="s">
        <v>4886</v>
      </c>
      <c r="AH767" t="s">
        <v>1265</v>
      </c>
      <c r="AI767" s="245">
        <v>274.89</v>
      </c>
      <c r="AJ767" t="s">
        <v>4887</v>
      </c>
      <c r="AK767" t="s">
        <v>4886</v>
      </c>
      <c r="AL767" t="s">
        <v>1301</v>
      </c>
      <c r="AM767" s="245">
        <v>279.95999999999998</v>
      </c>
      <c r="AN767" t="s">
        <v>4888</v>
      </c>
      <c r="AO767" t="s">
        <v>4886</v>
      </c>
      <c r="AP767" t="s">
        <v>1421</v>
      </c>
      <c r="AQ767" s="245">
        <v>349.95</v>
      </c>
      <c r="AR767" t="s">
        <v>4889</v>
      </c>
      <c r="AS767" s="226" t="str">
        <f t="shared" si="22"/>
        <v>ARV 84</v>
      </c>
      <c r="AT767" s="203" t="str">
        <f t="shared" si="23"/>
        <v xml:space="preserve"> ArmadaARV 84171 Unisex</v>
      </c>
    </row>
    <row r="768" spans="1:46" ht="145.19999999999999">
      <c r="A768" t="s">
        <v>155</v>
      </c>
      <c r="B768" t="s">
        <v>1395</v>
      </c>
      <c r="C768" t="s">
        <v>651</v>
      </c>
      <c r="D768">
        <v>155</v>
      </c>
      <c r="E768" t="s">
        <v>163</v>
      </c>
      <c r="F768">
        <v>155</v>
      </c>
      <c r="G768">
        <v>154.5</v>
      </c>
      <c r="H768">
        <v>132</v>
      </c>
      <c r="I768">
        <v>140</v>
      </c>
      <c r="J768">
        <v>123</v>
      </c>
      <c r="K768">
        <v>70</v>
      </c>
      <c r="L768">
        <v>103</v>
      </c>
      <c r="M768">
        <v>11.4</v>
      </c>
      <c r="N768">
        <v>1587</v>
      </c>
      <c r="O768">
        <v>0.84</v>
      </c>
      <c r="P768">
        <v>1328</v>
      </c>
      <c r="Q768">
        <v>193</v>
      </c>
      <c r="R768">
        <v>71</v>
      </c>
      <c r="S768">
        <v>47</v>
      </c>
      <c r="T768">
        <v>168</v>
      </c>
      <c r="U768">
        <v>6</v>
      </c>
      <c r="V768">
        <v>57</v>
      </c>
      <c r="W768">
        <v>0.129</v>
      </c>
      <c r="X768">
        <v>70</v>
      </c>
      <c r="Y768">
        <v>77</v>
      </c>
      <c r="Z768">
        <v>98</v>
      </c>
      <c r="AA768">
        <v>4</v>
      </c>
      <c r="AB768">
        <v>13.1</v>
      </c>
      <c r="AC768" t="s">
        <v>349</v>
      </c>
      <c r="AG768" t="s">
        <v>4782</v>
      </c>
      <c r="AH768" t="s">
        <v>1179</v>
      </c>
      <c r="AI768" s="245">
        <v>759.99</v>
      </c>
      <c r="AJ768" t="s">
        <v>4890</v>
      </c>
      <c r="AK768" t="s">
        <v>4784</v>
      </c>
      <c r="AL768" t="s">
        <v>1271</v>
      </c>
      <c r="AM768" s="245">
        <v>419.99</v>
      </c>
      <c r="AN768" t="s">
        <v>4891</v>
      </c>
      <c r="AO768" t="s">
        <v>4892</v>
      </c>
      <c r="AP768" t="s">
        <v>1450</v>
      </c>
      <c r="AQ768" s="245">
        <v>899.99</v>
      </c>
      <c r="AR768" t="s">
        <v>4893</v>
      </c>
      <c r="AS768" s="226" t="str">
        <f t="shared" si="22"/>
        <v>Flair SC Carbon</v>
      </c>
      <c r="AT768" s="203" t="str">
        <f t="shared" si="23"/>
        <v xml:space="preserve"> Vï¿½lklFlair SC Carbon155 Women's</v>
      </c>
    </row>
    <row r="769" spans="1:46" ht="26.4">
      <c r="A769" t="s">
        <v>155</v>
      </c>
      <c r="B769" t="s">
        <v>227</v>
      </c>
      <c r="C769" t="s">
        <v>724</v>
      </c>
      <c r="D769">
        <v>180</v>
      </c>
      <c r="E769" t="s">
        <v>158</v>
      </c>
      <c r="F769">
        <v>180</v>
      </c>
      <c r="G769">
        <v>178.1</v>
      </c>
      <c r="H769">
        <v>119</v>
      </c>
      <c r="I769">
        <v>149</v>
      </c>
      <c r="J769">
        <v>137</v>
      </c>
      <c r="K769">
        <v>108</v>
      </c>
      <c r="L769">
        <v>128</v>
      </c>
      <c r="M769">
        <v>19.399999999999999</v>
      </c>
      <c r="N769">
        <v>1606</v>
      </c>
      <c r="O769">
        <v>1.31</v>
      </c>
      <c r="P769">
        <v>2103</v>
      </c>
      <c r="Q769">
        <v>226</v>
      </c>
      <c r="R769">
        <v>55</v>
      </c>
      <c r="S769">
        <v>70</v>
      </c>
      <c r="T769">
        <v>324</v>
      </c>
      <c r="U769">
        <v>33</v>
      </c>
      <c r="V769">
        <v>268</v>
      </c>
      <c r="W769">
        <v>0.47499999999999998</v>
      </c>
      <c r="X769">
        <v>161</v>
      </c>
      <c r="Y769">
        <v>129</v>
      </c>
      <c r="Z769">
        <v>163</v>
      </c>
      <c r="AA769">
        <v>6</v>
      </c>
      <c r="AB769">
        <v>11.5</v>
      </c>
      <c r="AC769" t="s">
        <v>169</v>
      </c>
      <c r="AD769" t="s">
        <v>185</v>
      </c>
      <c r="AE769" t="s">
        <v>198</v>
      </c>
      <c r="AS769" s="226" t="str">
        <f t="shared" si="22"/>
        <v>Chinook 108</v>
      </c>
      <c r="AT769" s="203" t="str">
        <f t="shared" si="23"/>
        <v xml:space="preserve"> RaccoonChinook 108180 Unisex</v>
      </c>
    </row>
    <row r="770" spans="1:46" ht="79.2">
      <c r="A770" t="s">
        <v>155</v>
      </c>
      <c r="B770" t="s">
        <v>205</v>
      </c>
      <c r="C770" t="s">
        <v>673</v>
      </c>
      <c r="D770">
        <v>164</v>
      </c>
      <c r="E770" t="s">
        <v>158</v>
      </c>
      <c r="F770">
        <v>164</v>
      </c>
      <c r="G770">
        <v>162.5</v>
      </c>
      <c r="H770">
        <v>112</v>
      </c>
      <c r="I770">
        <v>138</v>
      </c>
      <c r="J770">
        <v>117</v>
      </c>
      <c r="K770">
        <v>84</v>
      </c>
      <c r="L770">
        <v>109</v>
      </c>
      <c r="M770">
        <v>14.7</v>
      </c>
      <c r="N770">
        <v>1659</v>
      </c>
      <c r="O770">
        <v>0.94</v>
      </c>
      <c r="P770">
        <v>1559</v>
      </c>
      <c r="Q770">
        <v>152</v>
      </c>
      <c r="R770">
        <v>69</v>
      </c>
      <c r="S770">
        <v>49</v>
      </c>
      <c r="T770">
        <v>282</v>
      </c>
      <c r="U770">
        <v>36</v>
      </c>
      <c r="V770">
        <v>221</v>
      </c>
      <c r="W770">
        <v>0.72799999999999998</v>
      </c>
      <c r="X770">
        <v>136</v>
      </c>
      <c r="Y770">
        <v>114</v>
      </c>
      <c r="Z770">
        <v>146</v>
      </c>
      <c r="AA770">
        <v>5</v>
      </c>
      <c r="AB770">
        <v>6.9</v>
      </c>
      <c r="AC770" t="s">
        <v>188</v>
      </c>
      <c r="AG770" t="s">
        <v>2024</v>
      </c>
      <c r="AH770" t="s">
        <v>1244</v>
      </c>
      <c r="AI770" s="245">
        <v>314.27</v>
      </c>
      <c r="AJ770" t="s">
        <v>4894</v>
      </c>
      <c r="AK770" t="s">
        <v>4895</v>
      </c>
      <c r="AL770" t="s">
        <v>3130</v>
      </c>
      <c r="AM770" s="245">
        <v>329.95</v>
      </c>
      <c r="AN770" t="s">
        <v>4896</v>
      </c>
      <c r="AO770" t="s">
        <v>4482</v>
      </c>
      <c r="AP770" t="s">
        <v>1556</v>
      </c>
      <c r="AQ770" s="245">
        <v>449</v>
      </c>
      <c r="AR770" t="s">
        <v>4897</v>
      </c>
      <c r="AS770" s="226" t="str">
        <f t="shared" ref="AS770:AS833" si="24">IF(LEFT(C770,1)=" ",RIGHT(C770,LEN(C770)-1),C770)</f>
        <v>Prodigy 0.0</v>
      </c>
      <c r="AT770" s="203" t="str">
        <f t="shared" ref="AT770:AT833" si="25">_xlfn.CONCAT(B770,AS770,D770,E770)</f>
        <v xml:space="preserve"> FactionProdigy 0.0164 Unisex</v>
      </c>
    </row>
    <row r="771" spans="1:46" ht="118.8">
      <c r="A771" t="s">
        <v>155</v>
      </c>
      <c r="B771" t="s">
        <v>172</v>
      </c>
      <c r="C771" t="s">
        <v>751</v>
      </c>
      <c r="D771">
        <v>157</v>
      </c>
      <c r="E771" t="s">
        <v>158</v>
      </c>
      <c r="F771">
        <v>157</v>
      </c>
      <c r="G771">
        <v>155.4</v>
      </c>
      <c r="H771">
        <v>135</v>
      </c>
      <c r="I771">
        <v>142</v>
      </c>
      <c r="J771">
        <v>121</v>
      </c>
      <c r="K771">
        <v>67</v>
      </c>
      <c r="L771">
        <v>102</v>
      </c>
      <c r="M771">
        <v>10.8</v>
      </c>
      <c r="N771">
        <v>2008</v>
      </c>
      <c r="O771">
        <v>0.65</v>
      </c>
      <c r="P771">
        <v>1308</v>
      </c>
      <c r="Q771">
        <v>187</v>
      </c>
      <c r="R771">
        <v>93</v>
      </c>
      <c r="S771">
        <v>39</v>
      </c>
      <c r="T771">
        <v>137</v>
      </c>
      <c r="U771">
        <v>4</v>
      </c>
      <c r="V771">
        <v>66</v>
      </c>
      <c r="W771">
        <v>0.114</v>
      </c>
      <c r="X771">
        <v>74</v>
      </c>
      <c r="Y771">
        <v>62</v>
      </c>
      <c r="Z771">
        <v>64</v>
      </c>
      <c r="AA771">
        <v>11</v>
      </c>
      <c r="AB771">
        <v>8.1</v>
      </c>
      <c r="AC771" t="s">
        <v>349</v>
      </c>
      <c r="AG771" t="s">
        <v>4878</v>
      </c>
      <c r="AH771" t="s">
        <v>1326</v>
      </c>
      <c r="AI771" s="245">
        <v>651.20000000000005</v>
      </c>
      <c r="AJ771" t="s">
        <v>4898</v>
      </c>
      <c r="AK771" t="s">
        <v>4899</v>
      </c>
      <c r="AL771" t="s">
        <v>1204</v>
      </c>
      <c r="AM771" s="245">
        <v>721.3</v>
      </c>
      <c r="AN771" t="s">
        <v>4900</v>
      </c>
      <c r="AO771" t="s">
        <v>4901</v>
      </c>
      <c r="AP771" t="s">
        <v>4755</v>
      </c>
      <c r="AQ771" s="245">
        <v>845.96</v>
      </c>
      <c r="AR771" t="s">
        <v>4902</v>
      </c>
      <c r="AS771" s="226" t="str">
        <f t="shared" si="24"/>
        <v>Hero Elite ST Ti (R22)</v>
      </c>
      <c r="AT771" s="203" t="str">
        <f t="shared" si="25"/>
        <v xml:space="preserve"> RossignolHero Elite ST Ti (R22)157 Unisex</v>
      </c>
    </row>
    <row r="772" spans="1:46" ht="92.4">
      <c r="A772" t="s">
        <v>155</v>
      </c>
      <c r="B772" t="s">
        <v>156</v>
      </c>
      <c r="C772" t="s">
        <v>411</v>
      </c>
      <c r="D772">
        <v>176</v>
      </c>
      <c r="E772" t="s">
        <v>158</v>
      </c>
      <c r="F772">
        <v>176</v>
      </c>
      <c r="G772">
        <v>175.1</v>
      </c>
      <c r="H772">
        <v>132</v>
      </c>
      <c r="I772">
        <v>149</v>
      </c>
      <c r="J772">
        <v>124</v>
      </c>
      <c r="K772">
        <v>87</v>
      </c>
      <c r="L772">
        <v>107</v>
      </c>
      <c r="M772">
        <v>18.3</v>
      </c>
      <c r="N772">
        <v>1694</v>
      </c>
      <c r="O772">
        <v>1.02</v>
      </c>
      <c r="P772">
        <v>1721</v>
      </c>
      <c r="Q772">
        <v>215</v>
      </c>
      <c r="R772">
        <v>143</v>
      </c>
      <c r="S772">
        <v>46</v>
      </c>
      <c r="T772">
        <v>253</v>
      </c>
      <c r="U772">
        <v>11</v>
      </c>
      <c r="V772">
        <v>176</v>
      </c>
      <c r="W772">
        <v>0.23799999999999999</v>
      </c>
      <c r="X772">
        <v>155</v>
      </c>
      <c r="Y772">
        <v>111</v>
      </c>
      <c r="Z772">
        <v>98</v>
      </c>
      <c r="AA772">
        <v>9</v>
      </c>
      <c r="AB772">
        <v>8.6</v>
      </c>
      <c r="AC772" t="s">
        <v>188</v>
      </c>
      <c r="AG772" t="s">
        <v>2108</v>
      </c>
      <c r="AH772" t="s">
        <v>1280</v>
      </c>
      <c r="AI772" s="245">
        <v>519.92999999999995</v>
      </c>
      <c r="AJ772" t="s">
        <v>4903</v>
      </c>
      <c r="AK772" t="s">
        <v>2108</v>
      </c>
      <c r="AL772" t="s">
        <v>1226</v>
      </c>
      <c r="AM772" s="245">
        <v>519.99</v>
      </c>
      <c r="AN772" t="s">
        <v>4904</v>
      </c>
      <c r="AO772" t="s">
        <v>4905</v>
      </c>
      <c r="AP772" t="s">
        <v>1657</v>
      </c>
      <c r="AQ772" s="245">
        <v>519.99</v>
      </c>
      <c r="AR772" t="s">
        <v>4906</v>
      </c>
      <c r="AS772" s="226" t="str">
        <f t="shared" si="24"/>
        <v>Maverick 88 Ti</v>
      </c>
      <c r="AT772" s="203" t="str">
        <f t="shared" si="25"/>
        <v xml:space="preserve"> AtomicMaverick 88 Ti176 Unisex</v>
      </c>
    </row>
    <row r="773" spans="1:46" ht="105.6">
      <c r="A773" t="s">
        <v>155</v>
      </c>
      <c r="B773" t="s">
        <v>172</v>
      </c>
      <c r="C773" t="s">
        <v>600</v>
      </c>
      <c r="D773">
        <v>163</v>
      </c>
      <c r="E773" t="s">
        <v>158</v>
      </c>
      <c r="F773">
        <v>163</v>
      </c>
      <c r="G773">
        <v>162.5</v>
      </c>
      <c r="H773">
        <v>142</v>
      </c>
      <c r="I773">
        <v>149</v>
      </c>
      <c r="J773">
        <v>122</v>
      </c>
      <c r="K773">
        <v>73</v>
      </c>
      <c r="L773">
        <v>108</v>
      </c>
      <c r="M773">
        <v>13.1</v>
      </c>
      <c r="N773">
        <v>1596</v>
      </c>
      <c r="O773">
        <v>0.9</v>
      </c>
      <c r="P773">
        <v>1441</v>
      </c>
      <c r="Q773">
        <v>172</v>
      </c>
      <c r="R773">
        <v>63</v>
      </c>
      <c r="S773">
        <v>37</v>
      </c>
      <c r="T773">
        <v>152</v>
      </c>
      <c r="U773">
        <v>5</v>
      </c>
      <c r="V773">
        <v>57</v>
      </c>
      <c r="W773">
        <v>0.14399999999999999</v>
      </c>
      <c r="X773">
        <v>69</v>
      </c>
      <c r="Y773">
        <v>61</v>
      </c>
      <c r="Z773">
        <v>83</v>
      </c>
      <c r="AA773">
        <v>9</v>
      </c>
      <c r="AB773">
        <v>10.199999999999999</v>
      </c>
      <c r="AC773" t="s">
        <v>349</v>
      </c>
      <c r="AG773" t="s">
        <v>4907</v>
      </c>
      <c r="AH773" t="s">
        <v>2589</v>
      </c>
      <c r="AI773" s="245">
        <v>479.95</v>
      </c>
      <c r="AJ773" t="s">
        <v>4908</v>
      </c>
      <c r="AK773" t="s">
        <v>4907</v>
      </c>
      <c r="AL773" t="s">
        <v>2516</v>
      </c>
      <c r="AM773" s="245">
        <v>599.99</v>
      </c>
      <c r="AN773" t="s">
        <v>4909</v>
      </c>
      <c r="AO773" t="s">
        <v>4910</v>
      </c>
      <c r="AP773" t="s">
        <v>3345</v>
      </c>
      <c r="AQ773" s="245">
        <v>168.09</v>
      </c>
      <c r="AR773" t="s">
        <v>4911</v>
      </c>
      <c r="AS773" s="226" t="str">
        <f t="shared" si="24"/>
        <v>React 6 Compact</v>
      </c>
      <c r="AT773" s="203" t="str">
        <f t="shared" si="25"/>
        <v xml:space="preserve"> RossignolReact 6 Compact163 Unisex</v>
      </c>
    </row>
    <row r="774" spans="1:46" ht="118.8">
      <c r="A774" t="s">
        <v>155</v>
      </c>
      <c r="B774" t="s">
        <v>167</v>
      </c>
      <c r="C774" t="s">
        <v>752</v>
      </c>
      <c r="D774">
        <v>158</v>
      </c>
      <c r="E774" t="s">
        <v>163</v>
      </c>
      <c r="F774">
        <v>158</v>
      </c>
      <c r="G774">
        <v>157.4</v>
      </c>
      <c r="H774">
        <v>137</v>
      </c>
      <c r="I774">
        <v>141</v>
      </c>
      <c r="J774">
        <v>129</v>
      </c>
      <c r="K774">
        <v>72</v>
      </c>
      <c r="L774">
        <v>106</v>
      </c>
      <c r="M774">
        <v>10.8</v>
      </c>
      <c r="N774">
        <v>1680</v>
      </c>
      <c r="O774">
        <v>0.84</v>
      </c>
      <c r="P774">
        <v>1409</v>
      </c>
      <c r="Q774">
        <v>153</v>
      </c>
      <c r="R774">
        <v>73</v>
      </c>
      <c r="S774">
        <v>34</v>
      </c>
      <c r="T774">
        <v>135</v>
      </c>
      <c r="U774">
        <v>11</v>
      </c>
      <c r="V774">
        <v>73</v>
      </c>
      <c r="W774">
        <v>0.32899999999999902</v>
      </c>
      <c r="X774">
        <v>104</v>
      </c>
      <c r="Y774">
        <v>55</v>
      </c>
      <c r="Z774">
        <v>30</v>
      </c>
      <c r="AA774">
        <v>11</v>
      </c>
      <c r="AB774">
        <v>10.9</v>
      </c>
      <c r="AC774" t="s">
        <v>349</v>
      </c>
      <c r="AD774" t="s">
        <v>231</v>
      </c>
      <c r="AG774" t="s">
        <v>4712</v>
      </c>
      <c r="AH774" t="s">
        <v>1191</v>
      </c>
      <c r="AI774" s="245">
        <v>189.95</v>
      </c>
      <c r="AJ774" t="s">
        <v>4912</v>
      </c>
      <c r="AK774" t="s">
        <v>4838</v>
      </c>
      <c r="AL774" t="s">
        <v>2789</v>
      </c>
      <c r="AM774" s="245">
        <v>229</v>
      </c>
      <c r="AN774" t="s">
        <v>4913</v>
      </c>
      <c r="AO774" t="s">
        <v>4714</v>
      </c>
      <c r="AP774" t="s">
        <v>2297</v>
      </c>
      <c r="AQ774" s="245">
        <v>249</v>
      </c>
      <c r="AR774" t="s">
        <v>4914</v>
      </c>
      <c r="AS774" s="226" t="str">
        <f t="shared" si="24"/>
        <v>Real Joy</v>
      </c>
      <c r="AT774" s="203" t="str">
        <f t="shared" si="25"/>
        <v xml:space="preserve"> HeadReal Joy158 Women's</v>
      </c>
    </row>
    <row r="775" spans="1:46" ht="118.8">
      <c r="A775" t="s">
        <v>155</v>
      </c>
      <c r="B775" t="s">
        <v>1395</v>
      </c>
      <c r="C775" t="s">
        <v>753</v>
      </c>
      <c r="D775">
        <v>172</v>
      </c>
      <c r="E775" t="s">
        <v>158</v>
      </c>
      <c r="F775">
        <v>172</v>
      </c>
      <c r="G775">
        <v>171.7</v>
      </c>
      <c r="H775">
        <v>137</v>
      </c>
      <c r="I775">
        <v>158</v>
      </c>
      <c r="J775">
        <v>131</v>
      </c>
      <c r="K775">
        <v>83</v>
      </c>
      <c r="L775">
        <v>114</v>
      </c>
      <c r="M775">
        <v>15.5</v>
      </c>
      <c r="N775">
        <v>1982</v>
      </c>
      <c r="O775">
        <v>0.85</v>
      </c>
      <c r="P775">
        <v>1691</v>
      </c>
      <c r="Q775">
        <v>214</v>
      </c>
      <c r="R775">
        <v>67</v>
      </c>
      <c r="S775">
        <v>42</v>
      </c>
      <c r="T775">
        <v>218</v>
      </c>
      <c r="U775">
        <v>8</v>
      </c>
      <c r="V775">
        <v>128</v>
      </c>
      <c r="W775">
        <v>0.20100000000000001</v>
      </c>
      <c r="X775">
        <v>73</v>
      </c>
      <c r="Y775">
        <v>62</v>
      </c>
      <c r="Z775">
        <v>145</v>
      </c>
      <c r="AA775">
        <v>4</v>
      </c>
      <c r="AB775">
        <v>11</v>
      </c>
      <c r="AC775" t="s">
        <v>188</v>
      </c>
      <c r="AG775" t="s">
        <v>4915</v>
      </c>
      <c r="AH775" t="s">
        <v>1181</v>
      </c>
      <c r="AI775" s="245">
        <v>799.99</v>
      </c>
      <c r="AJ775" t="s">
        <v>4916</v>
      </c>
      <c r="AK775" t="s">
        <v>4917</v>
      </c>
      <c r="AL775" t="s">
        <v>1416</v>
      </c>
      <c r="AM775" s="245">
        <v>999</v>
      </c>
      <c r="AN775" t="s">
        <v>4918</v>
      </c>
      <c r="AO775" t="s">
        <v>4915</v>
      </c>
      <c r="AP775" t="s">
        <v>4123</v>
      </c>
      <c r="AQ775" s="245">
        <v>999.99</v>
      </c>
      <c r="AR775" t="s">
        <v>4919</v>
      </c>
      <c r="AS775" s="226" t="str">
        <f t="shared" si="24"/>
        <v>Deacon 84</v>
      </c>
      <c r="AT775" s="203" t="str">
        <f t="shared" si="25"/>
        <v xml:space="preserve"> Vï¿½lklDeacon 84172 Unisex</v>
      </c>
    </row>
    <row r="776" spans="1:46" ht="132">
      <c r="A776" t="s">
        <v>155</v>
      </c>
      <c r="B776" t="s">
        <v>317</v>
      </c>
      <c r="C776" t="s">
        <v>754</v>
      </c>
      <c r="D776">
        <v>177</v>
      </c>
      <c r="E776" t="s">
        <v>158</v>
      </c>
      <c r="F776">
        <v>177</v>
      </c>
      <c r="G776">
        <v>175.1</v>
      </c>
      <c r="H776">
        <v>114</v>
      </c>
      <c r="I776">
        <v>149</v>
      </c>
      <c r="J776">
        <v>135</v>
      </c>
      <c r="K776">
        <v>106</v>
      </c>
      <c r="L776">
        <v>123</v>
      </c>
      <c r="M776">
        <v>23.9</v>
      </c>
      <c r="N776">
        <v>2214</v>
      </c>
      <c r="O776">
        <v>0.9</v>
      </c>
      <c r="P776">
        <v>2003</v>
      </c>
      <c r="Q776">
        <v>203</v>
      </c>
      <c r="R776">
        <v>129</v>
      </c>
      <c r="S776">
        <v>47</v>
      </c>
      <c r="T776">
        <v>316</v>
      </c>
      <c r="U776">
        <v>16</v>
      </c>
      <c r="V776">
        <v>291</v>
      </c>
      <c r="W776">
        <v>0.34799999999999998</v>
      </c>
      <c r="X776">
        <v>151</v>
      </c>
      <c r="Y776">
        <v>114</v>
      </c>
      <c r="Z776">
        <v>165</v>
      </c>
      <c r="AA776">
        <v>4</v>
      </c>
      <c r="AB776">
        <v>11.4</v>
      </c>
      <c r="AC776" t="s">
        <v>178</v>
      </c>
      <c r="AG776" t="s">
        <v>4920</v>
      </c>
      <c r="AH776" t="s">
        <v>1194</v>
      </c>
      <c r="AI776" s="245">
        <v>483.93</v>
      </c>
      <c r="AJ776" t="s">
        <v>4921</v>
      </c>
      <c r="AK776" t="s">
        <v>4922</v>
      </c>
      <c r="AL776" t="s">
        <v>1405</v>
      </c>
      <c r="AM776" s="245">
        <v>814.95</v>
      </c>
      <c r="AN776" t="s">
        <v>4923</v>
      </c>
      <c r="AO776" t="s">
        <v>4922</v>
      </c>
      <c r="AP776" t="s">
        <v>1181</v>
      </c>
      <c r="AQ776" s="245">
        <v>814.95</v>
      </c>
      <c r="AR776" t="s">
        <v>4924</v>
      </c>
      <c r="AS776" s="226" t="str">
        <f t="shared" si="24"/>
        <v>Cochise 106</v>
      </c>
      <c r="AT776" s="203" t="str">
        <f t="shared" si="25"/>
        <v xml:space="preserve"> BlizzardCochise 106177 Unisex</v>
      </c>
    </row>
    <row r="777" spans="1:46" ht="92.4">
      <c r="A777" t="s">
        <v>155</v>
      </c>
      <c r="B777" t="s">
        <v>245</v>
      </c>
      <c r="C777" t="s">
        <v>293</v>
      </c>
      <c r="D777">
        <v>153</v>
      </c>
      <c r="E777" t="s">
        <v>158</v>
      </c>
      <c r="F777">
        <v>153</v>
      </c>
      <c r="G777">
        <v>152.5</v>
      </c>
      <c r="H777">
        <v>105</v>
      </c>
      <c r="I777">
        <v>126</v>
      </c>
      <c r="J777">
        <v>121</v>
      </c>
      <c r="K777">
        <v>88</v>
      </c>
      <c r="L777">
        <v>111</v>
      </c>
      <c r="M777">
        <v>11.9</v>
      </c>
      <c r="N777">
        <v>1451</v>
      </c>
      <c r="O777">
        <v>1.05</v>
      </c>
      <c r="P777">
        <v>1525</v>
      </c>
      <c r="Q777">
        <v>152</v>
      </c>
      <c r="R777">
        <v>79</v>
      </c>
      <c r="S777">
        <v>53</v>
      </c>
      <c r="T777">
        <v>294</v>
      </c>
      <c r="U777">
        <v>31</v>
      </c>
      <c r="V777">
        <v>184</v>
      </c>
      <c r="W777">
        <v>0.58699999999999997</v>
      </c>
      <c r="X777">
        <v>135</v>
      </c>
      <c r="Y777">
        <v>131</v>
      </c>
      <c r="Z777">
        <v>159</v>
      </c>
      <c r="AA777">
        <v>5</v>
      </c>
      <c r="AB777">
        <v>6.8</v>
      </c>
      <c r="AC777" t="s">
        <v>188</v>
      </c>
      <c r="AD777" t="s">
        <v>185</v>
      </c>
      <c r="AG777" t="s">
        <v>4925</v>
      </c>
      <c r="AH777" t="s">
        <v>1271</v>
      </c>
      <c r="AI777" s="245">
        <v>519.99</v>
      </c>
      <c r="AJ777" t="s">
        <v>4926</v>
      </c>
      <c r="AK777" t="s">
        <v>4927</v>
      </c>
      <c r="AL777" t="s">
        <v>2255</v>
      </c>
      <c r="AM777" s="245">
        <v>479.99</v>
      </c>
      <c r="AN777" t="s">
        <v>4928</v>
      </c>
      <c r="AO777" t="s">
        <v>4927</v>
      </c>
      <c r="AP777" t="s">
        <v>2378</v>
      </c>
      <c r="AQ777" s="245">
        <v>479.99</v>
      </c>
      <c r="AR777" t="s">
        <v>4929</v>
      </c>
      <c r="AS777" s="226" t="str">
        <f t="shared" si="24"/>
        <v>Ranger 94 FR</v>
      </c>
      <c r="AT777" s="203" t="str">
        <f t="shared" si="25"/>
        <v xml:space="preserve"> FischerRanger 94 FR153 Unisex</v>
      </c>
    </row>
    <row r="778" spans="1:46" ht="145.19999999999999">
      <c r="A778" t="s">
        <v>155</v>
      </c>
      <c r="B778" t="s">
        <v>164</v>
      </c>
      <c r="C778" t="s">
        <v>717</v>
      </c>
      <c r="D778">
        <v>176</v>
      </c>
      <c r="E778" t="s">
        <v>158</v>
      </c>
      <c r="F778">
        <v>176</v>
      </c>
      <c r="G778">
        <v>175.4</v>
      </c>
      <c r="H778">
        <v>149</v>
      </c>
      <c r="I778">
        <v>161</v>
      </c>
      <c r="J778">
        <v>128</v>
      </c>
      <c r="K778">
        <v>77</v>
      </c>
      <c r="L778">
        <v>104</v>
      </c>
      <c r="M778">
        <v>16.8</v>
      </c>
      <c r="N778">
        <v>1957</v>
      </c>
      <c r="O778">
        <v>0.82</v>
      </c>
      <c r="P778">
        <v>1604</v>
      </c>
      <c r="Q778">
        <v>220</v>
      </c>
      <c r="R778">
        <v>73</v>
      </c>
      <c r="S778">
        <v>35</v>
      </c>
      <c r="T778">
        <v>170</v>
      </c>
      <c r="U778">
        <v>10</v>
      </c>
      <c r="V778">
        <v>92</v>
      </c>
      <c r="W778">
        <v>0.29699999999999999</v>
      </c>
      <c r="X778">
        <v>85</v>
      </c>
      <c r="Y778">
        <v>58</v>
      </c>
      <c r="Z778">
        <v>85</v>
      </c>
      <c r="AA778">
        <v>5</v>
      </c>
      <c r="AB778">
        <v>11.2</v>
      </c>
      <c r="AC778" t="s">
        <v>349</v>
      </c>
      <c r="AG778" t="s">
        <v>4930</v>
      </c>
      <c r="AH778" t="s">
        <v>1204</v>
      </c>
      <c r="AI778" s="245">
        <v>424.76</v>
      </c>
      <c r="AJ778" t="s">
        <v>4931</v>
      </c>
      <c r="AK778" t="s">
        <v>4932</v>
      </c>
      <c r="AL778" t="s">
        <v>1277</v>
      </c>
      <c r="AM778" s="245">
        <v>140</v>
      </c>
      <c r="AN778" t="s">
        <v>4933</v>
      </c>
      <c r="AO778" t="s">
        <v>4934</v>
      </c>
      <c r="AP778" t="s">
        <v>2294</v>
      </c>
      <c r="AQ778" s="245">
        <v>170</v>
      </c>
      <c r="AR778" t="s">
        <v>4935</v>
      </c>
      <c r="AS778" s="226" t="str">
        <f t="shared" si="24"/>
        <v>Element</v>
      </c>
      <c r="AT778" s="203" t="str">
        <f t="shared" si="25"/>
        <v xml:space="preserve"> ElanElement176 Unisex</v>
      </c>
    </row>
    <row r="779" spans="1:46" ht="66">
      <c r="A779" t="s">
        <v>155</v>
      </c>
      <c r="B779" t="s">
        <v>1395</v>
      </c>
      <c r="C779" t="s">
        <v>656</v>
      </c>
      <c r="D779">
        <v>177</v>
      </c>
      <c r="E779" t="s">
        <v>158</v>
      </c>
      <c r="F779">
        <v>177</v>
      </c>
      <c r="G779">
        <v>176.7</v>
      </c>
      <c r="H779">
        <v>147</v>
      </c>
      <c r="I779">
        <v>156</v>
      </c>
      <c r="J779">
        <v>130</v>
      </c>
      <c r="K779">
        <v>87</v>
      </c>
      <c r="L779">
        <v>111</v>
      </c>
      <c r="M779">
        <v>17.5</v>
      </c>
      <c r="N779">
        <v>1279</v>
      </c>
      <c r="O779">
        <v>1.39</v>
      </c>
      <c r="P779">
        <v>1773</v>
      </c>
      <c r="Q779">
        <v>171</v>
      </c>
      <c r="R779">
        <v>76</v>
      </c>
      <c r="S779">
        <v>42</v>
      </c>
      <c r="T779">
        <v>236</v>
      </c>
      <c r="U779">
        <v>4</v>
      </c>
      <c r="V779">
        <v>62</v>
      </c>
      <c r="W779">
        <v>9.6000000000000002E-2</v>
      </c>
      <c r="X779">
        <v>120</v>
      </c>
      <c r="Y779">
        <v>89</v>
      </c>
      <c r="Z779">
        <v>116</v>
      </c>
      <c r="AA779">
        <v>6</v>
      </c>
      <c r="AB779">
        <v>12.2</v>
      </c>
      <c r="AC779" t="s">
        <v>185</v>
      </c>
      <c r="AD779" t="s">
        <v>198</v>
      </c>
      <c r="AG779" t="s">
        <v>4936</v>
      </c>
      <c r="AH779" t="s">
        <v>1349</v>
      </c>
      <c r="AI779" s="245">
        <v>412.48</v>
      </c>
      <c r="AJ779" t="s">
        <v>4937</v>
      </c>
      <c r="AK779" t="s">
        <v>3997</v>
      </c>
      <c r="AL779" t="s">
        <v>1194</v>
      </c>
      <c r="AM779" s="245">
        <v>322.61</v>
      </c>
      <c r="AN779" t="s">
        <v>4938</v>
      </c>
      <c r="AO779" t="s">
        <v>4939</v>
      </c>
      <c r="AP779" t="s">
        <v>1204</v>
      </c>
      <c r="AQ779" s="245">
        <v>520.92999999999995</v>
      </c>
      <c r="AR779" t="s">
        <v>4940</v>
      </c>
      <c r="AS779" s="226" t="str">
        <f t="shared" si="24"/>
        <v>Rise Above 88</v>
      </c>
      <c r="AT779" s="203" t="str">
        <f t="shared" si="25"/>
        <v xml:space="preserve"> Vï¿½lklRise Above 88177 Unisex</v>
      </c>
    </row>
    <row r="780" spans="1:46" ht="52.8">
      <c r="A780" t="s">
        <v>155</v>
      </c>
      <c r="B780" t="s">
        <v>1160</v>
      </c>
      <c r="C780" t="s">
        <v>755</v>
      </c>
      <c r="D780">
        <v>170</v>
      </c>
      <c r="E780" t="s">
        <v>163</v>
      </c>
      <c r="F780">
        <v>170</v>
      </c>
      <c r="G780">
        <v>169.7</v>
      </c>
      <c r="H780">
        <v>124</v>
      </c>
      <c r="I780">
        <v>143</v>
      </c>
      <c r="J780">
        <v>127</v>
      </c>
      <c r="K780">
        <v>95</v>
      </c>
      <c r="L780">
        <v>114</v>
      </c>
      <c r="M780">
        <v>19.8</v>
      </c>
      <c r="N780">
        <v>1305</v>
      </c>
      <c r="O780">
        <v>1.36</v>
      </c>
      <c r="P780">
        <v>1773</v>
      </c>
      <c r="Q780">
        <v>173</v>
      </c>
      <c r="R780">
        <v>80</v>
      </c>
      <c r="S780">
        <v>49</v>
      </c>
      <c r="T780">
        <v>295</v>
      </c>
      <c r="U780">
        <v>8</v>
      </c>
      <c r="V780">
        <v>164</v>
      </c>
      <c r="W780">
        <v>0.16200000000000001</v>
      </c>
      <c r="X780">
        <v>161</v>
      </c>
      <c r="Y780">
        <v>109</v>
      </c>
      <c r="Z780">
        <v>134</v>
      </c>
      <c r="AA780">
        <v>5</v>
      </c>
      <c r="AB780">
        <v>11.7</v>
      </c>
      <c r="AC780" t="s">
        <v>185</v>
      </c>
      <c r="AD780" t="s">
        <v>198</v>
      </c>
      <c r="AG780" t="s">
        <v>4941</v>
      </c>
      <c r="AH780" t="s">
        <v>1194</v>
      </c>
      <c r="AI780" s="245">
        <v>404.68</v>
      </c>
      <c r="AJ780" t="s">
        <v>4942</v>
      </c>
      <c r="AK780" t="s">
        <v>4941</v>
      </c>
      <c r="AL780" t="s">
        <v>1509</v>
      </c>
      <c r="AM780" s="245">
        <v>435.49</v>
      </c>
      <c r="AN780" t="s">
        <v>4943</v>
      </c>
      <c r="AO780" t="s">
        <v>4941</v>
      </c>
      <c r="AP780" t="s">
        <v>1265</v>
      </c>
      <c r="AQ780" s="245">
        <v>480.86</v>
      </c>
      <c r="AR780" t="s">
        <v>4944</v>
      </c>
      <c r="AS780" s="226" t="str">
        <f t="shared" si="24"/>
        <v>Talkback 96</v>
      </c>
      <c r="AT780" s="203" t="str">
        <f t="shared" si="25"/>
        <v>K2Talkback 96170 Women's</v>
      </c>
    </row>
    <row r="781" spans="1:46" ht="92.4">
      <c r="A781" t="s">
        <v>155</v>
      </c>
      <c r="B781" t="s">
        <v>164</v>
      </c>
      <c r="C781" t="s">
        <v>659</v>
      </c>
      <c r="D781">
        <v>160</v>
      </c>
      <c r="E781" t="s">
        <v>158</v>
      </c>
      <c r="F781">
        <v>160</v>
      </c>
      <c r="G781">
        <v>159.1</v>
      </c>
      <c r="H781">
        <v>138</v>
      </c>
      <c r="I781">
        <v>143</v>
      </c>
      <c r="J781">
        <v>125</v>
      </c>
      <c r="K781">
        <v>76</v>
      </c>
      <c r="L781">
        <v>104</v>
      </c>
      <c r="M781">
        <v>13.2</v>
      </c>
      <c r="N781">
        <v>1926</v>
      </c>
      <c r="O781">
        <v>0.75</v>
      </c>
      <c r="P781">
        <v>1448</v>
      </c>
      <c r="Q781">
        <v>176</v>
      </c>
      <c r="R781">
        <v>79</v>
      </c>
      <c r="S781">
        <v>32</v>
      </c>
      <c r="T781">
        <v>140</v>
      </c>
      <c r="U781">
        <v>10</v>
      </c>
      <c r="V781">
        <v>69</v>
      </c>
      <c r="W781">
        <v>0.307</v>
      </c>
      <c r="X781">
        <v>98</v>
      </c>
      <c r="Y781">
        <v>61</v>
      </c>
      <c r="Z781">
        <v>42</v>
      </c>
      <c r="AA781">
        <v>11</v>
      </c>
      <c r="AB781">
        <v>9.5</v>
      </c>
      <c r="AC781" t="s">
        <v>349</v>
      </c>
      <c r="AD781" t="s">
        <v>231</v>
      </c>
      <c r="AG781" t="s">
        <v>4945</v>
      </c>
      <c r="AH781" t="s">
        <v>1194</v>
      </c>
      <c r="AI781" s="245">
        <v>413.9</v>
      </c>
      <c r="AJ781" t="s">
        <v>4946</v>
      </c>
      <c r="AK781" t="s">
        <v>4607</v>
      </c>
      <c r="AL781" t="s">
        <v>1610</v>
      </c>
      <c r="AM781" s="245">
        <v>1299.99</v>
      </c>
      <c r="AN781" t="s">
        <v>4947</v>
      </c>
      <c r="AO781" t="s">
        <v>4948</v>
      </c>
      <c r="AP781" t="s">
        <v>2828</v>
      </c>
      <c r="AQ781" s="245">
        <v>112.37</v>
      </c>
      <c r="AR781" t="s">
        <v>4949</v>
      </c>
      <c r="AS781" s="226" t="str">
        <f t="shared" si="24"/>
        <v>Amphibio 14 Ti</v>
      </c>
      <c r="AT781" s="203" t="str">
        <f t="shared" si="25"/>
        <v xml:space="preserve"> ElanAmphibio 14 Ti160 Unisex</v>
      </c>
    </row>
    <row r="782" spans="1:46" ht="132">
      <c r="A782" t="s">
        <v>155</v>
      </c>
      <c r="B782" t="s">
        <v>156</v>
      </c>
      <c r="C782" t="s">
        <v>658</v>
      </c>
      <c r="D782">
        <v>168</v>
      </c>
      <c r="E782" t="s">
        <v>158</v>
      </c>
      <c r="F782">
        <v>168</v>
      </c>
      <c r="G782">
        <v>167.3</v>
      </c>
      <c r="H782">
        <v>149</v>
      </c>
      <c r="I782">
        <v>153</v>
      </c>
      <c r="J782">
        <v>119</v>
      </c>
      <c r="K782">
        <v>70</v>
      </c>
      <c r="L782">
        <v>102</v>
      </c>
      <c r="M782">
        <v>14.1</v>
      </c>
      <c r="N782">
        <v>1854</v>
      </c>
      <c r="O782">
        <v>0.77</v>
      </c>
      <c r="P782">
        <v>1428</v>
      </c>
      <c r="Q782">
        <v>211</v>
      </c>
      <c r="R782">
        <v>105</v>
      </c>
      <c r="S782">
        <v>34</v>
      </c>
      <c r="T782">
        <v>139</v>
      </c>
      <c r="U782">
        <v>3</v>
      </c>
      <c r="V782">
        <v>47</v>
      </c>
      <c r="W782">
        <v>9.5000000000000001E-2</v>
      </c>
      <c r="X782">
        <v>88</v>
      </c>
      <c r="Y782">
        <v>57</v>
      </c>
      <c r="Z782">
        <v>51</v>
      </c>
      <c r="AA782">
        <v>12</v>
      </c>
      <c r="AB782">
        <v>13.1</v>
      </c>
      <c r="AC782" t="s">
        <v>349</v>
      </c>
      <c r="AG782" t="s">
        <v>3226</v>
      </c>
      <c r="AH782" t="s">
        <v>1271</v>
      </c>
      <c r="AI782" s="245">
        <v>399.99</v>
      </c>
      <c r="AJ782" t="s">
        <v>4950</v>
      </c>
      <c r="AK782" t="s">
        <v>4951</v>
      </c>
      <c r="AL782" t="s">
        <v>1337</v>
      </c>
      <c r="AM782" s="245">
        <v>449</v>
      </c>
      <c r="AN782" t="s">
        <v>4952</v>
      </c>
      <c r="AO782" t="s">
        <v>4953</v>
      </c>
      <c r="AP782" t="s">
        <v>1229</v>
      </c>
      <c r="AQ782" s="245">
        <v>594.99</v>
      </c>
      <c r="AR782" t="s">
        <v>4954</v>
      </c>
      <c r="AS782" s="226" t="str">
        <f t="shared" si="24"/>
        <v>Redster X5</v>
      </c>
      <c r="AT782" s="203" t="str">
        <f t="shared" si="25"/>
        <v xml:space="preserve"> AtomicRedster X5168 Unisex</v>
      </c>
    </row>
    <row r="783" spans="1:46" ht="105.6">
      <c r="A783" t="s">
        <v>155</v>
      </c>
      <c r="B783" t="s">
        <v>167</v>
      </c>
      <c r="C783" t="s">
        <v>393</v>
      </c>
      <c r="D783">
        <v>163</v>
      </c>
      <c r="E783" t="s">
        <v>158</v>
      </c>
      <c r="F783">
        <v>163</v>
      </c>
      <c r="G783">
        <v>161.1</v>
      </c>
      <c r="H783">
        <v>123</v>
      </c>
      <c r="I783">
        <v>142</v>
      </c>
      <c r="J783">
        <v>125</v>
      </c>
      <c r="K783">
        <v>91</v>
      </c>
      <c r="L783">
        <v>115</v>
      </c>
      <c r="M783">
        <v>17.7</v>
      </c>
      <c r="N783">
        <v>1584</v>
      </c>
      <c r="O783">
        <v>1.03</v>
      </c>
      <c r="P783">
        <v>1631</v>
      </c>
      <c r="Q783">
        <v>147</v>
      </c>
      <c r="R783">
        <v>63</v>
      </c>
      <c r="S783">
        <v>51</v>
      </c>
      <c r="T783">
        <v>243</v>
      </c>
      <c r="U783">
        <v>37</v>
      </c>
      <c r="V783">
        <v>133</v>
      </c>
      <c r="W783">
        <v>0.71599999999999997</v>
      </c>
      <c r="X783">
        <v>100</v>
      </c>
      <c r="Y783">
        <v>88</v>
      </c>
      <c r="Z783">
        <v>143</v>
      </c>
      <c r="AA783">
        <v>10</v>
      </c>
      <c r="AB783">
        <v>5.5</v>
      </c>
      <c r="AC783" t="s">
        <v>188</v>
      </c>
      <c r="AG783" t="s">
        <v>4955</v>
      </c>
      <c r="AH783" t="s">
        <v>1416</v>
      </c>
      <c r="AI783" s="245">
        <v>499</v>
      </c>
      <c r="AJ783" t="s">
        <v>4956</v>
      </c>
      <c r="AK783" t="s">
        <v>4957</v>
      </c>
      <c r="AL783" t="s">
        <v>1224</v>
      </c>
      <c r="AM783" s="245">
        <v>299</v>
      </c>
      <c r="AN783" t="s">
        <v>4958</v>
      </c>
      <c r="AO783" t="s">
        <v>4959</v>
      </c>
      <c r="AP783" t="s">
        <v>1232</v>
      </c>
      <c r="AQ783" s="245">
        <v>299.95</v>
      </c>
      <c r="AR783" t="s">
        <v>4960</v>
      </c>
      <c r="AS783" s="226" t="str">
        <f t="shared" si="24"/>
        <v>Oblivion 94</v>
      </c>
      <c r="AT783" s="203" t="str">
        <f t="shared" si="25"/>
        <v xml:space="preserve"> HeadOblivion 94163 Unisex</v>
      </c>
    </row>
    <row r="784" spans="1:46" ht="132">
      <c r="A784" t="s">
        <v>155</v>
      </c>
      <c r="B784" t="s">
        <v>172</v>
      </c>
      <c r="C784" t="s">
        <v>757</v>
      </c>
      <c r="D784">
        <v>160</v>
      </c>
      <c r="E784" t="s">
        <v>163</v>
      </c>
      <c r="F784">
        <v>160</v>
      </c>
      <c r="G784">
        <v>158.80000000000001</v>
      </c>
      <c r="H784">
        <v>138</v>
      </c>
      <c r="I784">
        <v>145</v>
      </c>
      <c r="J784">
        <v>122</v>
      </c>
      <c r="K784">
        <v>73</v>
      </c>
      <c r="L784">
        <v>108</v>
      </c>
      <c r="M784">
        <v>12.4</v>
      </c>
      <c r="N784">
        <v>1739</v>
      </c>
      <c r="O784">
        <v>0.81</v>
      </c>
      <c r="P784">
        <v>1410</v>
      </c>
      <c r="Q784">
        <v>184</v>
      </c>
      <c r="R784">
        <v>77</v>
      </c>
      <c r="S784">
        <v>37</v>
      </c>
      <c r="T784">
        <v>141</v>
      </c>
      <c r="U784">
        <v>5</v>
      </c>
      <c r="V784">
        <v>65</v>
      </c>
      <c r="W784">
        <v>0.125</v>
      </c>
      <c r="X784">
        <v>81</v>
      </c>
      <c r="Y784">
        <v>59</v>
      </c>
      <c r="Z784">
        <v>60</v>
      </c>
      <c r="AA784">
        <v>9</v>
      </c>
      <c r="AB784">
        <v>9.8000000000000007</v>
      </c>
      <c r="AC784" t="s">
        <v>349</v>
      </c>
      <c r="AG784" t="s">
        <v>4961</v>
      </c>
      <c r="AH784" t="s">
        <v>1179</v>
      </c>
      <c r="AI784" s="245">
        <v>719.95</v>
      </c>
      <c r="AJ784" t="s">
        <v>4962</v>
      </c>
      <c r="AK784" t="s">
        <v>4961</v>
      </c>
      <c r="AL784" t="s">
        <v>2516</v>
      </c>
      <c r="AM784" s="245">
        <v>899.95</v>
      </c>
      <c r="AN784" t="s">
        <v>4963</v>
      </c>
      <c r="AO784" t="s">
        <v>4961</v>
      </c>
      <c r="AP784" t="s">
        <v>1181</v>
      </c>
      <c r="AQ784" s="245">
        <v>899.95</v>
      </c>
      <c r="AR784" t="s">
        <v>4964</v>
      </c>
      <c r="AS784" s="226" t="str">
        <f t="shared" si="24"/>
        <v>Nova 14 Ti</v>
      </c>
      <c r="AT784" s="203" t="str">
        <f t="shared" si="25"/>
        <v xml:space="preserve"> RossignolNova 14 Ti160 Women's</v>
      </c>
    </row>
    <row r="785" spans="1:46" ht="92.4">
      <c r="A785" t="s">
        <v>155</v>
      </c>
      <c r="B785" t="s">
        <v>295</v>
      </c>
      <c r="C785" t="s">
        <v>758</v>
      </c>
      <c r="D785">
        <v>162</v>
      </c>
      <c r="E785" t="s">
        <v>163</v>
      </c>
      <c r="F785">
        <v>162</v>
      </c>
      <c r="G785">
        <v>159.80000000000001</v>
      </c>
      <c r="H785">
        <v>91</v>
      </c>
      <c r="I785">
        <v>137</v>
      </c>
      <c r="J785">
        <v>126</v>
      </c>
      <c r="K785">
        <v>90</v>
      </c>
      <c r="L785">
        <v>116</v>
      </c>
      <c r="M785">
        <v>14.4</v>
      </c>
      <c r="N785">
        <v>1490</v>
      </c>
      <c r="O785">
        <v>1.0900000000000001</v>
      </c>
      <c r="P785">
        <v>1627</v>
      </c>
      <c r="Q785">
        <v>154</v>
      </c>
      <c r="R785">
        <v>68</v>
      </c>
      <c r="S785">
        <v>58</v>
      </c>
      <c r="T785">
        <v>364</v>
      </c>
      <c r="U785">
        <v>59</v>
      </c>
      <c r="V785">
        <v>320</v>
      </c>
      <c r="W785">
        <v>1.02</v>
      </c>
      <c r="X785">
        <v>105</v>
      </c>
      <c r="Y785">
        <v>125</v>
      </c>
      <c r="Z785">
        <v>259</v>
      </c>
      <c r="AA785">
        <v>2</v>
      </c>
      <c r="AB785">
        <v>8</v>
      </c>
      <c r="AC785" t="s">
        <v>184</v>
      </c>
      <c r="AD785" t="s">
        <v>185</v>
      </c>
      <c r="AG785" t="s">
        <v>4965</v>
      </c>
      <c r="AH785" t="s">
        <v>1262</v>
      </c>
      <c r="AI785" s="245">
        <v>451.71</v>
      </c>
      <c r="AJ785" t="s">
        <v>4966</v>
      </c>
      <c r="AK785" t="s">
        <v>4965</v>
      </c>
      <c r="AL785" t="s">
        <v>1226</v>
      </c>
      <c r="AM785" s="245">
        <v>524</v>
      </c>
      <c r="AN785" t="s">
        <v>4967</v>
      </c>
      <c r="AO785" t="s">
        <v>4965</v>
      </c>
      <c r="AP785" t="s">
        <v>4968</v>
      </c>
      <c r="AQ785" s="245">
        <v>524.25</v>
      </c>
      <c r="AR785" t="s">
        <v>4969</v>
      </c>
      <c r="AS785" s="226" t="str">
        <f t="shared" si="24"/>
        <v>Maiden 91</v>
      </c>
      <c r="AT785" s="203" t="str">
        <f t="shared" si="25"/>
        <v xml:space="preserve"> IcelanticMaiden 91162 Women's</v>
      </c>
    </row>
    <row r="786" spans="1:46" ht="66">
      <c r="A786" t="s">
        <v>155</v>
      </c>
      <c r="B786" t="s">
        <v>182</v>
      </c>
      <c r="C786" t="s">
        <v>413</v>
      </c>
      <c r="D786">
        <v>172</v>
      </c>
      <c r="E786" t="s">
        <v>158</v>
      </c>
      <c r="F786">
        <v>172</v>
      </c>
      <c r="G786">
        <v>171.2</v>
      </c>
      <c r="H786">
        <v>139</v>
      </c>
      <c r="I786">
        <v>143</v>
      </c>
      <c r="J786">
        <v>115</v>
      </c>
      <c r="K786">
        <v>87</v>
      </c>
      <c r="L786">
        <v>107</v>
      </c>
      <c r="M786">
        <v>20.6</v>
      </c>
      <c r="N786">
        <v>1228</v>
      </c>
      <c r="O786">
        <v>1.34</v>
      </c>
      <c r="P786">
        <v>1641</v>
      </c>
      <c r="Q786">
        <v>192</v>
      </c>
      <c r="R786">
        <v>76</v>
      </c>
      <c r="S786">
        <v>41</v>
      </c>
      <c r="T786">
        <v>199</v>
      </c>
      <c r="U786">
        <v>11</v>
      </c>
      <c r="V786">
        <v>121</v>
      </c>
      <c r="W786">
        <v>0.27899999999999903</v>
      </c>
      <c r="X786">
        <v>169</v>
      </c>
      <c r="Y786">
        <v>109</v>
      </c>
      <c r="Z786">
        <v>30</v>
      </c>
      <c r="AA786">
        <v>6</v>
      </c>
      <c r="AB786">
        <v>7.3</v>
      </c>
      <c r="AC786" t="s">
        <v>185</v>
      </c>
      <c r="AD786" t="s">
        <v>198</v>
      </c>
      <c r="AG786" t="s">
        <v>4970</v>
      </c>
      <c r="AH786" t="s">
        <v>1194</v>
      </c>
      <c r="AI786" s="245">
        <v>367.81</v>
      </c>
      <c r="AJ786" t="s">
        <v>4971</v>
      </c>
      <c r="AK786" t="s">
        <v>4972</v>
      </c>
      <c r="AL786" t="s">
        <v>2116</v>
      </c>
      <c r="AM786" s="245">
        <v>379.99</v>
      </c>
      <c r="AN786" t="s">
        <v>4973</v>
      </c>
      <c r="AO786" t="s">
        <v>4974</v>
      </c>
      <c r="AP786" t="s">
        <v>4975</v>
      </c>
      <c r="AQ786" s="245">
        <v>379.99</v>
      </c>
      <c r="AR786" t="s">
        <v>4976</v>
      </c>
      <c r="AS786" s="226" t="str">
        <f t="shared" si="24"/>
        <v>Tracer 88</v>
      </c>
      <c r="AT786" s="203" t="str">
        <f t="shared" si="25"/>
        <v xml:space="preserve"> ArmadaTracer 88172 Unisex</v>
      </c>
    </row>
    <row r="787" spans="1:46" ht="79.2">
      <c r="A787" t="s">
        <v>155</v>
      </c>
      <c r="B787" t="s">
        <v>182</v>
      </c>
      <c r="C787" t="s">
        <v>667</v>
      </c>
      <c r="D787">
        <v>182</v>
      </c>
      <c r="E787" t="s">
        <v>158</v>
      </c>
      <c r="F787">
        <v>182</v>
      </c>
      <c r="G787">
        <v>181.5</v>
      </c>
      <c r="H787">
        <v>150</v>
      </c>
      <c r="I787">
        <v>161</v>
      </c>
      <c r="J787">
        <v>129</v>
      </c>
      <c r="K787">
        <v>81</v>
      </c>
      <c r="L787">
        <v>110</v>
      </c>
      <c r="M787">
        <v>16.7</v>
      </c>
      <c r="N787">
        <v>1734</v>
      </c>
      <c r="O787">
        <v>1</v>
      </c>
      <c r="P787">
        <v>1742</v>
      </c>
      <c r="Q787">
        <v>245</v>
      </c>
      <c r="R787">
        <v>129</v>
      </c>
      <c r="S787">
        <v>41</v>
      </c>
      <c r="T787">
        <v>197</v>
      </c>
      <c r="U787">
        <v>12</v>
      </c>
      <c r="V787">
        <v>123</v>
      </c>
      <c r="W787">
        <v>0.28899999999999998</v>
      </c>
      <c r="X787">
        <v>131</v>
      </c>
      <c r="Y787">
        <v>73</v>
      </c>
      <c r="Z787">
        <v>66</v>
      </c>
      <c r="AA787">
        <v>9</v>
      </c>
      <c r="AB787">
        <v>9.6</v>
      </c>
      <c r="AC787" t="s">
        <v>231</v>
      </c>
      <c r="AD787" t="s">
        <v>188</v>
      </c>
      <c r="AG787" t="s">
        <v>4977</v>
      </c>
      <c r="AH787" t="s">
        <v>1271</v>
      </c>
      <c r="AI787" s="245">
        <v>599.95000000000005</v>
      </c>
      <c r="AJ787" t="s">
        <v>4978</v>
      </c>
      <c r="AK787" t="s">
        <v>4979</v>
      </c>
      <c r="AL787" t="s">
        <v>4980</v>
      </c>
      <c r="AM787" s="245">
        <v>599.99</v>
      </c>
      <c r="AN787" t="s">
        <v>4981</v>
      </c>
      <c r="AO787" t="s">
        <v>4982</v>
      </c>
      <c r="AP787" t="s">
        <v>1194</v>
      </c>
      <c r="AQ787" s="245">
        <v>483.95</v>
      </c>
      <c r="AR787" t="s">
        <v>4983</v>
      </c>
      <c r="AS787" s="226" t="str">
        <f t="shared" si="24"/>
        <v>Declivity 82 Ti</v>
      </c>
      <c r="AT787" s="203" t="str">
        <f t="shared" si="25"/>
        <v xml:space="preserve"> ArmadaDeclivity 82 Ti182 Unisex</v>
      </c>
    </row>
    <row r="788" spans="1:46" ht="105.6">
      <c r="A788" t="s">
        <v>155</v>
      </c>
      <c r="B788" t="s">
        <v>172</v>
      </c>
      <c r="C788" t="s">
        <v>746</v>
      </c>
      <c r="D788">
        <v>167</v>
      </c>
      <c r="E788" t="s">
        <v>158</v>
      </c>
      <c r="F788">
        <v>167</v>
      </c>
      <c r="G788">
        <v>165.5</v>
      </c>
      <c r="H788">
        <v>143</v>
      </c>
      <c r="I788">
        <v>151</v>
      </c>
      <c r="J788">
        <v>122</v>
      </c>
      <c r="K788">
        <v>67</v>
      </c>
      <c r="L788">
        <v>103</v>
      </c>
      <c r="M788">
        <v>12.4</v>
      </c>
      <c r="N788">
        <v>1963</v>
      </c>
      <c r="O788">
        <v>0.71</v>
      </c>
      <c r="P788">
        <v>1399</v>
      </c>
      <c r="Q788">
        <v>209</v>
      </c>
      <c r="R788">
        <v>86</v>
      </c>
      <c r="S788">
        <v>40</v>
      </c>
      <c r="T788">
        <v>157</v>
      </c>
      <c r="U788">
        <v>5</v>
      </c>
      <c r="V788">
        <v>70</v>
      </c>
      <c r="W788">
        <v>0.129</v>
      </c>
      <c r="X788">
        <v>76</v>
      </c>
      <c r="Y788">
        <v>66</v>
      </c>
      <c r="Z788">
        <v>81</v>
      </c>
      <c r="AA788">
        <v>12</v>
      </c>
      <c r="AB788">
        <v>10.5</v>
      </c>
      <c r="AC788" t="s">
        <v>349</v>
      </c>
      <c r="AG788" t="s">
        <v>3588</v>
      </c>
      <c r="AH788" t="s">
        <v>2049</v>
      </c>
      <c r="AI788" s="245">
        <v>1099.95</v>
      </c>
      <c r="AJ788" t="s">
        <v>4984</v>
      </c>
      <c r="AK788" t="s">
        <v>4790</v>
      </c>
      <c r="AL788" t="s">
        <v>1194</v>
      </c>
      <c r="AM788" s="245">
        <v>506.08</v>
      </c>
      <c r="AN788" t="s">
        <v>4985</v>
      </c>
      <c r="AO788" t="s">
        <v>3590</v>
      </c>
      <c r="AP788" t="s">
        <v>1277</v>
      </c>
      <c r="AQ788" s="245">
        <v>575</v>
      </c>
      <c r="AR788" t="s">
        <v>4986</v>
      </c>
      <c r="AS788" s="226" t="str">
        <f t="shared" si="24"/>
        <v>Hero Elite Short Turn Ti</v>
      </c>
      <c r="AT788" s="203" t="str">
        <f t="shared" si="25"/>
        <v xml:space="preserve"> RossignolHero Elite Short Turn Ti167 Unisex</v>
      </c>
    </row>
    <row r="789" spans="1:46" ht="105.6">
      <c r="A789" t="s">
        <v>155</v>
      </c>
      <c r="B789" t="s">
        <v>1361</v>
      </c>
      <c r="C789" t="s">
        <v>760</v>
      </c>
      <c r="D789">
        <v>160</v>
      </c>
      <c r="E789" t="s">
        <v>158</v>
      </c>
      <c r="F789">
        <v>160</v>
      </c>
      <c r="G789">
        <v>159.1</v>
      </c>
      <c r="H789">
        <v>137</v>
      </c>
      <c r="I789">
        <v>147</v>
      </c>
      <c r="J789">
        <v>119</v>
      </c>
      <c r="K789">
        <v>66</v>
      </c>
      <c r="L789">
        <v>97</v>
      </c>
      <c r="M789">
        <v>12.9</v>
      </c>
      <c r="N789">
        <v>1666</v>
      </c>
      <c r="O789">
        <v>0.78</v>
      </c>
      <c r="P789">
        <v>1292</v>
      </c>
      <c r="Q789">
        <v>196</v>
      </c>
      <c r="R789">
        <v>119</v>
      </c>
      <c r="S789">
        <v>40</v>
      </c>
      <c r="T789">
        <v>156</v>
      </c>
      <c r="U789">
        <v>7</v>
      </c>
      <c r="V789">
        <v>63</v>
      </c>
      <c r="W789">
        <v>0.16200000000000001</v>
      </c>
      <c r="X789">
        <v>67</v>
      </c>
      <c r="Y789">
        <v>50</v>
      </c>
      <c r="Z789">
        <v>89</v>
      </c>
      <c r="AA789">
        <v>8</v>
      </c>
      <c r="AB789">
        <v>12.6</v>
      </c>
      <c r="AC789" t="s">
        <v>349</v>
      </c>
      <c r="AG789" t="s">
        <v>4987</v>
      </c>
      <c r="AH789" t="s">
        <v>1365</v>
      </c>
      <c r="AI789" s="245">
        <v>1249</v>
      </c>
      <c r="AJ789" t="s">
        <v>4988</v>
      </c>
      <c r="AK789" t="s">
        <v>4989</v>
      </c>
      <c r="AL789" t="s">
        <v>4990</v>
      </c>
      <c r="AM789" s="245">
        <v>705</v>
      </c>
      <c r="AN789" t="s">
        <v>4991</v>
      </c>
      <c r="AO789" t="s">
        <v>4992</v>
      </c>
      <c r="AP789" t="s">
        <v>1337</v>
      </c>
      <c r="AQ789" s="245">
        <v>900</v>
      </c>
      <c r="AR789" t="s">
        <v>4993</v>
      </c>
      <c r="AS789" s="226" t="str">
        <f t="shared" si="24"/>
        <v>Laser SL</v>
      </c>
      <c r="AT789" s="203" t="str">
        <f t="shared" si="25"/>
        <v xml:space="preserve"> Stï¿½ckliLaser SL160 Unisex</v>
      </c>
    </row>
    <row r="790" spans="1:46" ht="79.2">
      <c r="A790" t="s">
        <v>155</v>
      </c>
      <c r="B790" t="s">
        <v>561</v>
      </c>
      <c r="C790" t="s">
        <v>761</v>
      </c>
      <c r="D790">
        <v>183</v>
      </c>
      <c r="E790" t="s">
        <v>158</v>
      </c>
      <c r="F790">
        <v>183</v>
      </c>
      <c r="G790">
        <v>180.8</v>
      </c>
      <c r="H790">
        <v>110</v>
      </c>
      <c r="I790">
        <v>145</v>
      </c>
      <c r="J790">
        <v>134</v>
      </c>
      <c r="K790">
        <v>106</v>
      </c>
      <c r="L790">
        <v>124</v>
      </c>
      <c r="M790">
        <v>18.8</v>
      </c>
      <c r="N790">
        <v>2292</v>
      </c>
      <c r="O790">
        <v>0.91</v>
      </c>
      <c r="P790">
        <v>2087</v>
      </c>
      <c r="Q790">
        <v>227</v>
      </c>
      <c r="R790">
        <v>117</v>
      </c>
      <c r="S790">
        <v>59</v>
      </c>
      <c r="T790">
        <v>444</v>
      </c>
      <c r="U790">
        <v>39</v>
      </c>
      <c r="V790">
        <v>265</v>
      </c>
      <c r="W790">
        <v>0.65799999999999903</v>
      </c>
      <c r="X790">
        <v>182</v>
      </c>
      <c r="Y790">
        <v>176</v>
      </c>
      <c r="Z790">
        <v>262</v>
      </c>
      <c r="AA790">
        <v>3</v>
      </c>
      <c r="AB790">
        <v>7.6</v>
      </c>
      <c r="AC790" t="s">
        <v>169</v>
      </c>
      <c r="AG790" t="s">
        <v>4994</v>
      </c>
      <c r="AH790" t="s">
        <v>1277</v>
      </c>
      <c r="AI790" s="245">
        <v>925</v>
      </c>
      <c r="AJ790" t="s">
        <v>4995</v>
      </c>
      <c r="AK790" t="s">
        <v>4996</v>
      </c>
      <c r="AL790" t="s">
        <v>4997</v>
      </c>
      <c r="AM790" s="245">
        <v>350</v>
      </c>
      <c r="AN790" t="s">
        <v>4998</v>
      </c>
      <c r="AO790" t="s">
        <v>2120</v>
      </c>
      <c r="AP790" t="s">
        <v>1194</v>
      </c>
      <c r="AQ790" s="245">
        <v>487.65</v>
      </c>
      <c r="AR790" t="s">
        <v>4999</v>
      </c>
      <c r="AS790" s="226" t="str">
        <f t="shared" si="24"/>
        <v>The Hotshot</v>
      </c>
      <c r="AT790" s="203" t="str">
        <f t="shared" si="25"/>
        <v xml:space="preserve"> J SkisThe Hotshot183 Unisex</v>
      </c>
    </row>
    <row r="791" spans="1:46" ht="145.19999999999999">
      <c r="A791" t="s">
        <v>155</v>
      </c>
      <c r="B791" t="s">
        <v>156</v>
      </c>
      <c r="C791" t="s">
        <v>762</v>
      </c>
      <c r="D791">
        <v>160</v>
      </c>
      <c r="E791" t="s">
        <v>158</v>
      </c>
      <c r="F791">
        <v>160</v>
      </c>
      <c r="G791">
        <v>159.6</v>
      </c>
      <c r="H791">
        <v>140</v>
      </c>
      <c r="I791">
        <v>146</v>
      </c>
      <c r="J791">
        <v>115</v>
      </c>
      <c r="K791">
        <v>67</v>
      </c>
      <c r="L791">
        <v>101</v>
      </c>
      <c r="M791">
        <v>12.5</v>
      </c>
      <c r="N791">
        <v>1985</v>
      </c>
      <c r="O791">
        <v>0.66</v>
      </c>
      <c r="P791">
        <v>1316</v>
      </c>
      <c r="Q791">
        <v>196</v>
      </c>
      <c r="R791">
        <v>97</v>
      </c>
      <c r="S791">
        <v>32</v>
      </c>
      <c r="T791">
        <v>141</v>
      </c>
      <c r="U791">
        <v>4</v>
      </c>
      <c r="V791">
        <v>51</v>
      </c>
      <c r="W791">
        <v>0.13</v>
      </c>
      <c r="X791">
        <v>80</v>
      </c>
      <c r="Y791">
        <v>51</v>
      </c>
      <c r="Z791">
        <v>60</v>
      </c>
      <c r="AA791">
        <v>11</v>
      </c>
      <c r="AB791">
        <v>13.6</v>
      </c>
      <c r="AC791" t="s">
        <v>349</v>
      </c>
      <c r="AG791" t="s">
        <v>5000</v>
      </c>
      <c r="AH791" t="s">
        <v>1211</v>
      </c>
      <c r="AI791" s="245">
        <v>999.99</v>
      </c>
      <c r="AJ791" t="s">
        <v>5001</v>
      </c>
      <c r="AK791" t="s">
        <v>5002</v>
      </c>
      <c r="AL791" t="s">
        <v>1221</v>
      </c>
      <c r="AM791" s="245">
        <v>799.99</v>
      </c>
      <c r="AN791" t="s">
        <v>5003</v>
      </c>
      <c r="AO791" t="s">
        <v>4252</v>
      </c>
      <c r="AP791" t="s">
        <v>3224</v>
      </c>
      <c r="AQ791" s="245">
        <v>999.99</v>
      </c>
      <c r="AR791" t="s">
        <v>5004</v>
      </c>
      <c r="AS791" s="226" t="str">
        <f t="shared" si="24"/>
        <v>Redster S9 Revo</v>
      </c>
      <c r="AT791" s="203" t="str">
        <f t="shared" si="25"/>
        <v xml:space="preserve"> AtomicRedster S9 Revo160 Unisex</v>
      </c>
    </row>
    <row r="792" spans="1:46" ht="92.4">
      <c r="A792" t="s">
        <v>155</v>
      </c>
      <c r="B792" t="s">
        <v>1160</v>
      </c>
      <c r="C792" t="s">
        <v>327</v>
      </c>
      <c r="D792">
        <v>163</v>
      </c>
      <c r="E792" t="s">
        <v>158</v>
      </c>
      <c r="F792">
        <v>163</v>
      </c>
      <c r="G792">
        <v>163.6</v>
      </c>
      <c r="H792">
        <v>129</v>
      </c>
      <c r="I792">
        <v>137</v>
      </c>
      <c r="J792">
        <v>126</v>
      </c>
      <c r="K792">
        <v>89</v>
      </c>
      <c r="L792">
        <v>112</v>
      </c>
      <c r="M792">
        <v>14.6</v>
      </c>
      <c r="N792">
        <v>1462</v>
      </c>
      <c r="O792">
        <v>1.1299999999999999</v>
      </c>
      <c r="P792">
        <v>1659</v>
      </c>
      <c r="Q792">
        <v>131</v>
      </c>
      <c r="R792">
        <v>68</v>
      </c>
      <c r="S792">
        <v>44</v>
      </c>
      <c r="T792">
        <v>208</v>
      </c>
      <c r="U792">
        <v>14</v>
      </c>
      <c r="V792">
        <v>141</v>
      </c>
      <c r="W792">
        <v>0.315</v>
      </c>
      <c r="X792">
        <v>156</v>
      </c>
      <c r="Y792">
        <v>111</v>
      </c>
      <c r="Z792">
        <v>52</v>
      </c>
      <c r="AA792">
        <v>8</v>
      </c>
      <c r="AB792">
        <v>10.3</v>
      </c>
      <c r="AC792" t="s">
        <v>188</v>
      </c>
      <c r="AD792" t="s">
        <v>185</v>
      </c>
      <c r="AG792" t="s">
        <v>2513</v>
      </c>
      <c r="AH792" t="s">
        <v>1265</v>
      </c>
      <c r="AI792" s="245">
        <v>352.63</v>
      </c>
      <c r="AJ792" t="s">
        <v>5005</v>
      </c>
      <c r="AK792" t="s">
        <v>5006</v>
      </c>
      <c r="AL792" t="s">
        <v>2570</v>
      </c>
      <c r="AM792" s="245">
        <v>499</v>
      </c>
      <c r="AN792" t="s">
        <v>5007</v>
      </c>
      <c r="AO792" t="s">
        <v>2513</v>
      </c>
      <c r="AP792" t="s">
        <v>1226</v>
      </c>
      <c r="AQ792" s="245">
        <v>499.95</v>
      </c>
      <c r="AR792" t="s">
        <v>5008</v>
      </c>
      <c r="AS792" s="226" t="str">
        <f t="shared" si="24"/>
        <v>Mindbender 90C</v>
      </c>
      <c r="AT792" s="203" t="str">
        <f t="shared" si="25"/>
        <v>K2Mindbender 90C163 Unisex</v>
      </c>
    </row>
    <row r="793" spans="1:46" ht="66">
      <c r="A793" t="s">
        <v>155</v>
      </c>
      <c r="B793" t="s">
        <v>1160</v>
      </c>
      <c r="C793" t="s">
        <v>511</v>
      </c>
      <c r="D793">
        <v>177</v>
      </c>
      <c r="E793" t="s">
        <v>158</v>
      </c>
      <c r="F793">
        <v>177</v>
      </c>
      <c r="G793">
        <v>177</v>
      </c>
      <c r="H793">
        <v>114</v>
      </c>
      <c r="I793">
        <v>148</v>
      </c>
      <c r="J793">
        <v>133</v>
      </c>
      <c r="K793">
        <v>101</v>
      </c>
      <c r="L793">
        <v>126</v>
      </c>
      <c r="M793">
        <v>18.100000000000001</v>
      </c>
      <c r="N793">
        <v>1773</v>
      </c>
      <c r="O793">
        <v>1.1200000000000001</v>
      </c>
      <c r="P793">
        <v>1989</v>
      </c>
      <c r="Q793">
        <v>168</v>
      </c>
      <c r="R793">
        <v>69</v>
      </c>
      <c r="S793">
        <v>51</v>
      </c>
      <c r="T793">
        <v>316</v>
      </c>
      <c r="U793">
        <v>47</v>
      </c>
      <c r="V793">
        <v>315</v>
      </c>
      <c r="W793">
        <v>0.92400000000000004</v>
      </c>
      <c r="X793">
        <v>147</v>
      </c>
      <c r="Y793">
        <v>139</v>
      </c>
      <c r="Z793">
        <v>169</v>
      </c>
      <c r="AA793">
        <v>6</v>
      </c>
      <c r="AB793">
        <v>4.4000000000000004</v>
      </c>
      <c r="AC793" t="s">
        <v>184</v>
      </c>
      <c r="AD793" t="s">
        <v>169</v>
      </c>
      <c r="AE793" t="s">
        <v>185</v>
      </c>
      <c r="AG793" t="s">
        <v>2685</v>
      </c>
      <c r="AH793" t="s">
        <v>2130</v>
      </c>
      <c r="AI793" s="245">
        <v>479.96</v>
      </c>
      <c r="AJ793" t="s">
        <v>5009</v>
      </c>
      <c r="AK793" t="s">
        <v>5010</v>
      </c>
      <c r="AL793" t="s">
        <v>1229</v>
      </c>
      <c r="AM793" s="245">
        <v>489.99</v>
      </c>
      <c r="AN793" t="s">
        <v>5011</v>
      </c>
      <c r="AO793" t="s">
        <v>5012</v>
      </c>
      <c r="AP793" t="s">
        <v>1240</v>
      </c>
      <c r="AQ793" s="245">
        <v>599</v>
      </c>
      <c r="AR793" t="s">
        <v>5013</v>
      </c>
      <c r="AS793" s="226" t="str">
        <f t="shared" si="24"/>
        <v>Reckoner 102</v>
      </c>
      <c r="AT793" s="203" t="str">
        <f t="shared" si="25"/>
        <v>K2Reckoner 102177 Unisex</v>
      </c>
    </row>
    <row r="794" spans="1:46" ht="118.8">
      <c r="A794" t="s">
        <v>155</v>
      </c>
      <c r="B794" t="s">
        <v>245</v>
      </c>
      <c r="C794" t="s">
        <v>763</v>
      </c>
      <c r="D794">
        <v>173</v>
      </c>
      <c r="E794" t="s">
        <v>158</v>
      </c>
      <c r="F794">
        <v>173</v>
      </c>
      <c r="G794">
        <v>172</v>
      </c>
      <c r="H794">
        <v>139</v>
      </c>
      <c r="I794">
        <v>157</v>
      </c>
      <c r="J794">
        <v>125</v>
      </c>
      <c r="K794">
        <v>80</v>
      </c>
      <c r="L794">
        <v>111</v>
      </c>
      <c r="M794">
        <v>15</v>
      </c>
      <c r="N794">
        <v>2106</v>
      </c>
      <c r="O794">
        <v>0.77</v>
      </c>
      <c r="P794">
        <v>1622</v>
      </c>
      <c r="Q794">
        <v>233</v>
      </c>
      <c r="R794">
        <v>79</v>
      </c>
      <c r="S794">
        <v>49</v>
      </c>
      <c r="T794">
        <v>241</v>
      </c>
      <c r="U794">
        <v>14</v>
      </c>
      <c r="V794">
        <v>86</v>
      </c>
      <c r="W794">
        <v>0.28799999999999998</v>
      </c>
      <c r="X794">
        <v>70</v>
      </c>
      <c r="Y794">
        <v>78</v>
      </c>
      <c r="Z794">
        <v>172</v>
      </c>
      <c r="AA794">
        <v>7</v>
      </c>
      <c r="AB794">
        <v>8.5</v>
      </c>
      <c r="AC794" t="s">
        <v>349</v>
      </c>
      <c r="AG794" t="s">
        <v>5014</v>
      </c>
      <c r="AH794" t="s">
        <v>3322</v>
      </c>
      <c r="AI794" s="245">
        <v>749.99</v>
      </c>
      <c r="AJ794" t="s">
        <v>5015</v>
      </c>
      <c r="AK794" t="s">
        <v>5016</v>
      </c>
      <c r="AL794" t="s">
        <v>5017</v>
      </c>
      <c r="AM794" s="245">
        <v>297</v>
      </c>
      <c r="AN794" t="s">
        <v>5018</v>
      </c>
      <c r="AO794" t="s">
        <v>5019</v>
      </c>
      <c r="AP794" t="s">
        <v>1179</v>
      </c>
      <c r="AQ794" s="245">
        <v>449.95</v>
      </c>
      <c r="AR794" t="s">
        <v>5020</v>
      </c>
      <c r="AS794" s="226" t="str">
        <f t="shared" si="24"/>
        <v>RC One 78 GT</v>
      </c>
      <c r="AT794" s="203" t="str">
        <f t="shared" si="25"/>
        <v xml:space="preserve"> FischerRC One 78 GT173 Unisex</v>
      </c>
    </row>
    <row r="795" spans="1:46" ht="66">
      <c r="A795" t="s">
        <v>155</v>
      </c>
      <c r="B795" t="s">
        <v>202</v>
      </c>
      <c r="C795" t="s">
        <v>649</v>
      </c>
      <c r="D795">
        <v>156</v>
      </c>
      <c r="E795" t="s">
        <v>163</v>
      </c>
      <c r="F795">
        <v>156</v>
      </c>
      <c r="G795">
        <v>156.69999999999999</v>
      </c>
      <c r="H795">
        <v>124</v>
      </c>
      <c r="I795">
        <v>125</v>
      </c>
      <c r="J795">
        <v>121</v>
      </c>
      <c r="K795">
        <v>82</v>
      </c>
      <c r="L795">
        <v>103</v>
      </c>
      <c r="M795">
        <v>12.3</v>
      </c>
      <c r="N795">
        <v>1435</v>
      </c>
      <c r="O795">
        <v>1.03</v>
      </c>
      <c r="P795">
        <v>1485</v>
      </c>
      <c r="Q795">
        <v>165</v>
      </c>
      <c r="R795">
        <v>70</v>
      </c>
      <c r="S795">
        <v>40</v>
      </c>
      <c r="T795">
        <v>266</v>
      </c>
      <c r="U795">
        <v>5</v>
      </c>
      <c r="V795">
        <v>62</v>
      </c>
      <c r="W795">
        <v>0.124</v>
      </c>
      <c r="X795">
        <v>169</v>
      </c>
      <c r="Y795">
        <v>143</v>
      </c>
      <c r="Z795">
        <v>96</v>
      </c>
      <c r="AA795">
        <v>8</v>
      </c>
      <c r="AB795">
        <v>6</v>
      </c>
      <c r="AC795" t="s">
        <v>231</v>
      </c>
      <c r="AD795" t="s">
        <v>188</v>
      </c>
      <c r="AG795" t="s">
        <v>5021</v>
      </c>
      <c r="AH795" t="s">
        <v>1204</v>
      </c>
      <c r="AI795" s="245">
        <v>360.64</v>
      </c>
      <c r="AJ795" t="s">
        <v>5022</v>
      </c>
      <c r="AK795" t="s">
        <v>3706</v>
      </c>
      <c r="AL795" t="s">
        <v>1320</v>
      </c>
      <c r="AM795" s="245">
        <v>399.96</v>
      </c>
      <c r="AN795" t="s">
        <v>5023</v>
      </c>
      <c r="AO795" t="s">
        <v>2481</v>
      </c>
      <c r="AP795" t="s">
        <v>1248</v>
      </c>
      <c r="AQ795" s="245">
        <v>349.97</v>
      </c>
      <c r="AR795" t="s">
        <v>5024</v>
      </c>
      <c r="AS795" s="226" t="str">
        <f t="shared" si="24"/>
        <v>M-Pro 84 W</v>
      </c>
      <c r="AT795" s="203" t="str">
        <f t="shared" si="25"/>
        <v xml:space="preserve"> DynastarM-Pro 84 W156 Women's</v>
      </c>
    </row>
    <row r="796" spans="1:46" ht="145.19999999999999">
      <c r="A796" t="s">
        <v>155</v>
      </c>
      <c r="B796" t="s">
        <v>172</v>
      </c>
      <c r="C796" t="s">
        <v>764</v>
      </c>
      <c r="D796">
        <v>152</v>
      </c>
      <c r="E796" t="s">
        <v>163</v>
      </c>
      <c r="F796">
        <v>152</v>
      </c>
      <c r="G796">
        <v>152.4</v>
      </c>
      <c r="H796">
        <v>131</v>
      </c>
      <c r="I796">
        <v>137</v>
      </c>
      <c r="J796">
        <v>123</v>
      </c>
      <c r="K796">
        <v>76</v>
      </c>
      <c r="L796">
        <v>109</v>
      </c>
      <c r="M796">
        <v>11.4</v>
      </c>
      <c r="N796">
        <v>1534</v>
      </c>
      <c r="O796">
        <v>0.91</v>
      </c>
      <c r="P796">
        <v>1393</v>
      </c>
      <c r="Q796">
        <v>153</v>
      </c>
      <c r="R796">
        <v>59</v>
      </c>
      <c r="S796">
        <v>35</v>
      </c>
      <c r="T796">
        <v>146</v>
      </c>
      <c r="U796">
        <v>6</v>
      </c>
      <c r="V796">
        <v>71</v>
      </c>
      <c r="W796">
        <v>0.16600000000000001</v>
      </c>
      <c r="X796">
        <v>71</v>
      </c>
      <c r="Y796">
        <v>82</v>
      </c>
      <c r="Z796">
        <v>75</v>
      </c>
      <c r="AA796">
        <v>8</v>
      </c>
      <c r="AB796">
        <v>8.4</v>
      </c>
      <c r="AC796" t="s">
        <v>349</v>
      </c>
      <c r="AD796" t="s">
        <v>231</v>
      </c>
      <c r="AG796" t="s">
        <v>5025</v>
      </c>
      <c r="AH796" t="s">
        <v>3990</v>
      </c>
      <c r="AI796" s="245">
        <v>399.99</v>
      </c>
      <c r="AJ796" t="s">
        <v>5026</v>
      </c>
      <c r="AK796" t="s">
        <v>2887</v>
      </c>
      <c r="AL796" t="s">
        <v>1179</v>
      </c>
      <c r="AM796" s="245">
        <v>319.95</v>
      </c>
      <c r="AN796" t="s">
        <v>5027</v>
      </c>
      <c r="AO796" t="s">
        <v>5028</v>
      </c>
      <c r="AP796" t="s">
        <v>2049</v>
      </c>
      <c r="AQ796" s="245">
        <v>399.95</v>
      </c>
      <c r="AR796" t="s">
        <v>5029</v>
      </c>
      <c r="AS796" s="226" t="str">
        <f t="shared" si="24"/>
        <v>Experience 76 W</v>
      </c>
      <c r="AT796" s="203" t="str">
        <f t="shared" si="25"/>
        <v xml:space="preserve"> RossignolExperience 76 W152 Women's</v>
      </c>
    </row>
    <row r="797" spans="1:46" ht="79.2">
      <c r="A797" t="s">
        <v>155</v>
      </c>
      <c r="B797" t="s">
        <v>237</v>
      </c>
      <c r="C797" t="s">
        <v>642</v>
      </c>
      <c r="D797">
        <v>156.1</v>
      </c>
      <c r="E797" t="s">
        <v>163</v>
      </c>
      <c r="F797">
        <v>156.1</v>
      </c>
      <c r="G797">
        <v>154.9</v>
      </c>
      <c r="H797">
        <v>120</v>
      </c>
      <c r="I797">
        <v>136</v>
      </c>
      <c r="J797">
        <v>126</v>
      </c>
      <c r="K797">
        <v>95</v>
      </c>
      <c r="L797">
        <v>114</v>
      </c>
      <c r="M797">
        <v>18.399999999999999</v>
      </c>
      <c r="N797">
        <v>1543</v>
      </c>
      <c r="O797">
        <v>1.05</v>
      </c>
      <c r="P797">
        <v>1616</v>
      </c>
      <c r="Q797">
        <v>148</v>
      </c>
      <c r="R797">
        <v>61</v>
      </c>
      <c r="S797">
        <v>38</v>
      </c>
      <c r="T797">
        <v>198</v>
      </c>
      <c r="U797">
        <v>30</v>
      </c>
      <c r="V797">
        <v>156</v>
      </c>
      <c r="W797">
        <v>0.78700000000000003</v>
      </c>
      <c r="X797">
        <v>100</v>
      </c>
      <c r="Y797">
        <v>94</v>
      </c>
      <c r="Z797">
        <v>98</v>
      </c>
      <c r="AA797">
        <v>14</v>
      </c>
      <c r="AB797">
        <v>6.6</v>
      </c>
      <c r="AC797" t="s">
        <v>188</v>
      </c>
      <c r="AG797" t="s">
        <v>3233</v>
      </c>
      <c r="AH797" t="s">
        <v>1271</v>
      </c>
      <c r="AI797" s="245">
        <v>519.91</v>
      </c>
      <c r="AJ797" t="s">
        <v>5030</v>
      </c>
      <c r="AK797" t="s">
        <v>5031</v>
      </c>
      <c r="AL797" t="s">
        <v>1265</v>
      </c>
      <c r="AM797" s="245">
        <v>615.51</v>
      </c>
      <c r="AN797" t="s">
        <v>5032</v>
      </c>
      <c r="AO797" t="s">
        <v>5033</v>
      </c>
      <c r="AP797" t="s">
        <v>5034</v>
      </c>
      <c r="AQ797" s="245">
        <v>719.99</v>
      </c>
      <c r="AR797" t="s">
        <v>5035</v>
      </c>
      <c r="AS797" s="226" t="str">
        <f t="shared" si="24"/>
        <v>Camox Birdie</v>
      </c>
      <c r="AT797" s="203" t="str">
        <f t="shared" si="25"/>
        <v xml:space="preserve"> Black CrowsCamox Birdie156.1 Women's</v>
      </c>
    </row>
    <row r="798" spans="1:46" ht="118.8">
      <c r="A798" t="s">
        <v>155</v>
      </c>
      <c r="B798" t="s">
        <v>167</v>
      </c>
      <c r="C798" t="s">
        <v>702</v>
      </c>
      <c r="D798">
        <v>163</v>
      </c>
      <c r="E798" t="s">
        <v>158</v>
      </c>
      <c r="F798">
        <v>163</v>
      </c>
      <c r="G798">
        <v>162.6</v>
      </c>
      <c r="H798">
        <v>131</v>
      </c>
      <c r="I798">
        <v>138</v>
      </c>
      <c r="J798">
        <v>124</v>
      </c>
      <c r="K798">
        <v>78</v>
      </c>
      <c r="L798">
        <v>103</v>
      </c>
      <c r="M798">
        <v>12.1</v>
      </c>
      <c r="N798">
        <v>1773</v>
      </c>
      <c r="O798">
        <v>0.85</v>
      </c>
      <c r="P798">
        <v>1510</v>
      </c>
      <c r="Q798">
        <v>148</v>
      </c>
      <c r="R798">
        <v>76</v>
      </c>
      <c r="S798">
        <v>43</v>
      </c>
      <c r="T798">
        <v>202</v>
      </c>
      <c r="U798">
        <v>11</v>
      </c>
      <c r="V798">
        <v>116</v>
      </c>
      <c r="W798">
        <v>0.25600000000000001</v>
      </c>
      <c r="X798">
        <v>129</v>
      </c>
      <c r="Y798">
        <v>112</v>
      </c>
      <c r="Z798">
        <v>73</v>
      </c>
      <c r="AA798">
        <v>10</v>
      </c>
      <c r="AB798">
        <v>10.4</v>
      </c>
      <c r="AC798" t="s">
        <v>231</v>
      </c>
      <c r="AG798" t="s">
        <v>5036</v>
      </c>
      <c r="AH798" t="s">
        <v>1204</v>
      </c>
      <c r="AI798" s="245">
        <v>416.75</v>
      </c>
      <c r="AJ798" t="s">
        <v>5037</v>
      </c>
      <c r="AK798" t="s">
        <v>4261</v>
      </c>
      <c r="AL798" t="s">
        <v>2516</v>
      </c>
      <c r="AM798" s="245">
        <v>450</v>
      </c>
      <c r="AN798" t="s">
        <v>5038</v>
      </c>
      <c r="AO798" t="s">
        <v>4261</v>
      </c>
      <c r="AP798" t="s">
        <v>2255</v>
      </c>
      <c r="AQ798" s="245">
        <v>549</v>
      </c>
      <c r="AR798" t="s">
        <v>5039</v>
      </c>
      <c r="AS798" s="226" t="str">
        <f t="shared" si="24"/>
        <v>Kore 80 X</v>
      </c>
      <c r="AT798" s="203" t="str">
        <f t="shared" si="25"/>
        <v xml:space="preserve"> HeadKore 80 X163 Unisex</v>
      </c>
    </row>
    <row r="799" spans="1:46" ht="52.8">
      <c r="A799" t="s">
        <v>155</v>
      </c>
      <c r="B799" t="s">
        <v>208</v>
      </c>
      <c r="C799" t="s">
        <v>657</v>
      </c>
      <c r="D799">
        <v>178</v>
      </c>
      <c r="E799" t="s">
        <v>158</v>
      </c>
      <c r="F799">
        <v>178</v>
      </c>
      <c r="G799">
        <v>176.2</v>
      </c>
      <c r="H799">
        <v>94</v>
      </c>
      <c r="I799">
        <v>142</v>
      </c>
      <c r="J799">
        <v>151</v>
      </c>
      <c r="K799">
        <v>116</v>
      </c>
      <c r="L799">
        <v>139</v>
      </c>
      <c r="M799">
        <v>17.399999999999999</v>
      </c>
      <c r="N799">
        <v>1842</v>
      </c>
      <c r="O799">
        <v>1.18</v>
      </c>
      <c r="P799">
        <v>2179</v>
      </c>
      <c r="Q799">
        <v>145</v>
      </c>
      <c r="R799">
        <v>83</v>
      </c>
      <c r="S799">
        <v>70</v>
      </c>
      <c r="T799">
        <v>413</v>
      </c>
      <c r="U799">
        <v>64</v>
      </c>
      <c r="V799">
        <v>407</v>
      </c>
      <c r="W799">
        <v>0.92099999999999904</v>
      </c>
      <c r="X799">
        <v>164</v>
      </c>
      <c r="Y799">
        <v>176</v>
      </c>
      <c r="Z799">
        <v>249</v>
      </c>
      <c r="AA799">
        <v>4</v>
      </c>
      <c r="AB799">
        <v>4.4000000000000004</v>
      </c>
      <c r="AC799" t="s">
        <v>184</v>
      </c>
      <c r="AD799" t="s">
        <v>169</v>
      </c>
      <c r="AE799" t="s">
        <v>185</v>
      </c>
      <c r="AG799" t="s">
        <v>5040</v>
      </c>
      <c r="AH799" t="s">
        <v>1229</v>
      </c>
      <c r="AI799" s="245">
        <v>509.99</v>
      </c>
      <c r="AJ799" t="s">
        <v>5041</v>
      </c>
      <c r="AK799" t="s">
        <v>5040</v>
      </c>
      <c r="AL799" t="s">
        <v>1271</v>
      </c>
      <c r="AM799" s="245">
        <v>529.95000000000005</v>
      </c>
      <c r="AN799" t="s">
        <v>5042</v>
      </c>
      <c r="AO799" t="s">
        <v>5040</v>
      </c>
      <c r="AP799" t="s">
        <v>1592</v>
      </c>
      <c r="AQ799" s="245">
        <v>541.03</v>
      </c>
      <c r="AR799" t="s">
        <v>5043</v>
      </c>
      <c r="AS799" s="226" t="str">
        <f t="shared" si="24"/>
        <v>Outline</v>
      </c>
      <c r="AT799" s="203" t="str">
        <f t="shared" si="25"/>
        <v xml:space="preserve"> LineOutline178 Unisex</v>
      </c>
    </row>
    <row r="800" spans="1:46" ht="52.8">
      <c r="A800" t="s">
        <v>155</v>
      </c>
      <c r="B800" t="s">
        <v>561</v>
      </c>
      <c r="C800" t="s">
        <v>765</v>
      </c>
      <c r="D800">
        <v>186</v>
      </c>
      <c r="E800" t="s">
        <v>158</v>
      </c>
      <c r="F800">
        <v>186</v>
      </c>
      <c r="G800">
        <v>183.7</v>
      </c>
      <c r="H800">
        <v>114</v>
      </c>
      <c r="I800">
        <v>149</v>
      </c>
      <c r="J800">
        <v>126</v>
      </c>
      <c r="K800">
        <v>103</v>
      </c>
      <c r="L800">
        <v>122</v>
      </c>
      <c r="M800">
        <v>23</v>
      </c>
      <c r="N800">
        <v>2069</v>
      </c>
      <c r="O800">
        <v>0.99</v>
      </c>
      <c r="P800">
        <v>2047</v>
      </c>
      <c r="Q800">
        <v>206</v>
      </c>
      <c r="R800">
        <v>71</v>
      </c>
      <c r="S800">
        <v>57</v>
      </c>
      <c r="T800">
        <v>477</v>
      </c>
      <c r="U800">
        <v>42</v>
      </c>
      <c r="V800">
        <v>223</v>
      </c>
      <c r="W800">
        <v>0.73</v>
      </c>
      <c r="X800">
        <v>177</v>
      </c>
      <c r="Y800">
        <v>168</v>
      </c>
      <c r="Z800">
        <v>300</v>
      </c>
      <c r="AA800">
        <v>3</v>
      </c>
      <c r="AB800">
        <v>4.8</v>
      </c>
      <c r="AC800" t="s">
        <v>188</v>
      </c>
      <c r="AD800" t="s">
        <v>169</v>
      </c>
      <c r="AG800" t="s">
        <v>5044</v>
      </c>
      <c r="AH800" t="s">
        <v>1240</v>
      </c>
      <c r="AI800" s="245">
        <v>499.95</v>
      </c>
      <c r="AJ800" t="s">
        <v>5045</v>
      </c>
      <c r="AK800" t="s">
        <v>4577</v>
      </c>
      <c r="AL800" t="s">
        <v>5046</v>
      </c>
      <c r="AM800" s="245">
        <v>595</v>
      </c>
      <c r="AN800" t="s">
        <v>5047</v>
      </c>
      <c r="AO800" t="s">
        <v>4577</v>
      </c>
      <c r="AP800" t="s">
        <v>1421</v>
      </c>
      <c r="AQ800" s="245">
        <v>599.99</v>
      </c>
      <c r="AR800" t="s">
        <v>5048</v>
      </c>
      <c r="AS800" s="226" t="str">
        <f t="shared" si="24"/>
        <v>The Vacation</v>
      </c>
      <c r="AT800" s="203" t="str">
        <f t="shared" si="25"/>
        <v xml:space="preserve"> J SkisThe Vacation186 Unisex</v>
      </c>
    </row>
    <row r="801" spans="1:46" ht="105.6">
      <c r="A801" t="s">
        <v>155</v>
      </c>
      <c r="B801" t="s">
        <v>1395</v>
      </c>
      <c r="C801" t="s">
        <v>565</v>
      </c>
      <c r="D801">
        <v>177</v>
      </c>
      <c r="E801" t="s">
        <v>158</v>
      </c>
      <c r="F801">
        <v>177</v>
      </c>
      <c r="G801">
        <v>178.6</v>
      </c>
      <c r="H801">
        <v>141</v>
      </c>
      <c r="I801">
        <v>155</v>
      </c>
      <c r="J801">
        <v>134</v>
      </c>
      <c r="K801">
        <v>95</v>
      </c>
      <c r="L801">
        <v>118</v>
      </c>
      <c r="M801">
        <v>18.7</v>
      </c>
      <c r="N801">
        <v>2102</v>
      </c>
      <c r="O801">
        <v>0.91</v>
      </c>
      <c r="P801">
        <v>1916</v>
      </c>
      <c r="Q801">
        <v>217</v>
      </c>
      <c r="R801">
        <v>138</v>
      </c>
      <c r="S801">
        <v>42</v>
      </c>
      <c r="T801">
        <v>227</v>
      </c>
      <c r="U801">
        <v>14</v>
      </c>
      <c r="V801">
        <v>146</v>
      </c>
      <c r="W801">
        <v>0.33600000000000002</v>
      </c>
      <c r="X801">
        <v>135</v>
      </c>
      <c r="Y801">
        <v>103</v>
      </c>
      <c r="Z801">
        <v>92</v>
      </c>
      <c r="AA801">
        <v>6</v>
      </c>
      <c r="AB801">
        <v>11.2</v>
      </c>
      <c r="AC801" t="s">
        <v>188</v>
      </c>
      <c r="AG801" t="s">
        <v>5049</v>
      </c>
      <c r="AH801" t="s">
        <v>1232</v>
      </c>
      <c r="AI801" s="245">
        <v>559.95000000000005</v>
      </c>
      <c r="AJ801" t="s">
        <v>5050</v>
      </c>
      <c r="AK801" t="s">
        <v>3098</v>
      </c>
      <c r="AL801" t="s">
        <v>1181</v>
      </c>
      <c r="AM801" s="245">
        <v>559.99</v>
      </c>
      <c r="AN801" t="s">
        <v>5051</v>
      </c>
      <c r="AO801" t="s">
        <v>3098</v>
      </c>
      <c r="AP801" t="s">
        <v>1224</v>
      </c>
      <c r="AQ801" s="245">
        <v>559.99</v>
      </c>
      <c r="AR801" t="s">
        <v>5052</v>
      </c>
      <c r="AS801" s="226" t="str">
        <f t="shared" si="24"/>
        <v>M6 Mantra</v>
      </c>
      <c r="AT801" s="203" t="str">
        <f t="shared" si="25"/>
        <v xml:space="preserve"> Vï¿½lklM6 Mantra177 Unisex</v>
      </c>
    </row>
    <row r="802" spans="1:46" ht="145.19999999999999">
      <c r="A802" t="s">
        <v>155</v>
      </c>
      <c r="B802" t="s">
        <v>1395</v>
      </c>
      <c r="C802" t="s">
        <v>766</v>
      </c>
      <c r="D802">
        <v>163</v>
      </c>
      <c r="E802" t="s">
        <v>163</v>
      </c>
      <c r="F802">
        <v>163</v>
      </c>
      <c r="G802">
        <v>164.1</v>
      </c>
      <c r="H802">
        <v>129</v>
      </c>
      <c r="I802">
        <v>140</v>
      </c>
      <c r="J802">
        <v>129</v>
      </c>
      <c r="K802">
        <v>91</v>
      </c>
      <c r="L802">
        <v>112</v>
      </c>
      <c r="M802">
        <v>16.100000000000001</v>
      </c>
      <c r="N802">
        <v>1738</v>
      </c>
      <c r="O802">
        <v>0.97</v>
      </c>
      <c r="P802">
        <v>1690</v>
      </c>
      <c r="Q802">
        <v>193</v>
      </c>
      <c r="R802">
        <v>135</v>
      </c>
      <c r="S802">
        <v>42</v>
      </c>
      <c r="T802">
        <v>235</v>
      </c>
      <c r="U802">
        <v>14</v>
      </c>
      <c r="V802">
        <v>115</v>
      </c>
      <c r="W802">
        <v>0.33600000000000002</v>
      </c>
      <c r="X802">
        <v>136</v>
      </c>
      <c r="Y802">
        <v>106</v>
      </c>
      <c r="Z802">
        <v>99</v>
      </c>
      <c r="AA802">
        <v>4</v>
      </c>
      <c r="AB802">
        <v>10.6</v>
      </c>
      <c r="AC802" t="s">
        <v>188</v>
      </c>
      <c r="AG802" t="s">
        <v>5053</v>
      </c>
      <c r="AH802" t="s">
        <v>3924</v>
      </c>
      <c r="AI802" s="245">
        <v>499.99</v>
      </c>
      <c r="AJ802" t="s">
        <v>5054</v>
      </c>
      <c r="AK802" t="s">
        <v>5055</v>
      </c>
      <c r="AL802" t="s">
        <v>4284</v>
      </c>
      <c r="AM802" s="245">
        <v>597</v>
      </c>
      <c r="AN802" t="s">
        <v>5056</v>
      </c>
      <c r="AO802" t="s">
        <v>5055</v>
      </c>
      <c r="AP802" t="s">
        <v>1993</v>
      </c>
      <c r="AQ802" s="245">
        <v>699</v>
      </c>
      <c r="AR802" t="s">
        <v>5057</v>
      </c>
      <c r="AS802" s="226" t="str">
        <f t="shared" si="24"/>
        <v>Secret 92</v>
      </c>
      <c r="AT802" s="203" t="str">
        <f t="shared" si="25"/>
        <v xml:space="preserve"> Vï¿½lklSecret 92163 Women's</v>
      </c>
    </row>
    <row r="803" spans="1:46" ht="118.8">
      <c r="A803" t="s">
        <v>155</v>
      </c>
      <c r="B803" t="s">
        <v>167</v>
      </c>
      <c r="C803" t="s">
        <v>767</v>
      </c>
      <c r="D803">
        <v>165</v>
      </c>
      <c r="E803" t="s">
        <v>158</v>
      </c>
      <c r="F803">
        <v>165</v>
      </c>
      <c r="G803">
        <v>164.1</v>
      </c>
      <c r="H803">
        <v>145</v>
      </c>
      <c r="I803">
        <v>150</v>
      </c>
      <c r="J803">
        <v>121</v>
      </c>
      <c r="K803">
        <v>65</v>
      </c>
      <c r="L803">
        <v>106</v>
      </c>
      <c r="M803">
        <v>11.5</v>
      </c>
      <c r="N803">
        <v>1940</v>
      </c>
      <c r="O803">
        <v>0.7</v>
      </c>
      <c r="P803">
        <v>1363</v>
      </c>
      <c r="Q803">
        <v>153</v>
      </c>
      <c r="R803">
        <v>79</v>
      </c>
      <c r="S803">
        <v>41</v>
      </c>
      <c r="T803">
        <v>139</v>
      </c>
      <c r="U803">
        <v>5</v>
      </c>
      <c r="V803">
        <v>51</v>
      </c>
      <c r="W803">
        <v>0.11599999999999901</v>
      </c>
      <c r="X803">
        <v>77</v>
      </c>
      <c r="Y803">
        <v>59</v>
      </c>
      <c r="Z803">
        <v>62</v>
      </c>
      <c r="AA803">
        <v>11</v>
      </c>
      <c r="AB803">
        <v>12.8</v>
      </c>
      <c r="AC803" t="s">
        <v>349</v>
      </c>
      <c r="AG803" t="s">
        <v>5058</v>
      </c>
      <c r="AH803" t="s">
        <v>1271</v>
      </c>
      <c r="AI803" s="245">
        <v>429.99</v>
      </c>
      <c r="AJ803" t="s">
        <v>5059</v>
      </c>
      <c r="AK803" t="s">
        <v>5060</v>
      </c>
      <c r="AL803" t="s">
        <v>1207</v>
      </c>
      <c r="AM803" s="245">
        <v>560</v>
      </c>
      <c r="AN803" t="s">
        <v>5061</v>
      </c>
      <c r="AO803" t="s">
        <v>5062</v>
      </c>
      <c r="AP803" t="s">
        <v>1337</v>
      </c>
      <c r="AQ803" s="245">
        <v>250</v>
      </c>
      <c r="AR803" t="s">
        <v>5063</v>
      </c>
      <c r="AS803" s="226" t="str">
        <f t="shared" si="24"/>
        <v>Worldcup Rebels I.SLR</v>
      </c>
      <c r="AT803" s="203" t="str">
        <f t="shared" si="25"/>
        <v xml:space="preserve"> HeadWorldcup Rebels I.SLR165 Unisex</v>
      </c>
    </row>
    <row r="804" spans="1:46" ht="145.19999999999999">
      <c r="A804" t="s">
        <v>155</v>
      </c>
      <c r="B804" t="s">
        <v>172</v>
      </c>
      <c r="C804" t="s">
        <v>711</v>
      </c>
      <c r="D804">
        <v>176</v>
      </c>
      <c r="E804" t="s">
        <v>158</v>
      </c>
      <c r="F804">
        <v>176</v>
      </c>
      <c r="G804">
        <v>176.4</v>
      </c>
      <c r="H804">
        <v>155</v>
      </c>
      <c r="I804">
        <v>161</v>
      </c>
      <c r="J804">
        <v>123</v>
      </c>
      <c r="K804">
        <v>76</v>
      </c>
      <c r="L804">
        <v>109</v>
      </c>
      <c r="M804">
        <v>16</v>
      </c>
      <c r="N804">
        <v>1737</v>
      </c>
      <c r="O804">
        <v>0.93</v>
      </c>
      <c r="P804">
        <v>1610</v>
      </c>
      <c r="Q804">
        <v>171</v>
      </c>
      <c r="R804">
        <v>65</v>
      </c>
      <c r="S804">
        <v>36</v>
      </c>
      <c r="T804">
        <v>145</v>
      </c>
      <c r="U804">
        <v>5</v>
      </c>
      <c r="V804">
        <v>66</v>
      </c>
      <c r="W804">
        <v>0.14399999999999999</v>
      </c>
      <c r="X804">
        <v>75</v>
      </c>
      <c r="Y804">
        <v>81</v>
      </c>
      <c r="Z804">
        <v>70</v>
      </c>
      <c r="AA804">
        <v>13</v>
      </c>
      <c r="AB804">
        <v>8.6</v>
      </c>
      <c r="AC804" t="s">
        <v>349</v>
      </c>
      <c r="AG804" t="s">
        <v>5064</v>
      </c>
      <c r="AH804" t="s">
        <v>1181</v>
      </c>
      <c r="AI804" s="245">
        <v>399.95</v>
      </c>
      <c r="AJ804" t="s">
        <v>5065</v>
      </c>
      <c r="AK804" t="s">
        <v>5064</v>
      </c>
      <c r="AL804" t="s">
        <v>1402</v>
      </c>
      <c r="AM804" s="245">
        <v>399.95</v>
      </c>
      <c r="AN804" t="s">
        <v>5066</v>
      </c>
      <c r="AO804" t="s">
        <v>5067</v>
      </c>
      <c r="AP804" t="s">
        <v>4281</v>
      </c>
      <c r="AQ804" s="245">
        <v>249.99</v>
      </c>
      <c r="AR804" t="s">
        <v>5068</v>
      </c>
      <c r="AS804" s="226" t="str">
        <f t="shared" si="24"/>
        <v>Experience 76</v>
      </c>
      <c r="AT804" s="203" t="str">
        <f t="shared" si="25"/>
        <v xml:space="preserve"> RossignolExperience 76176 Unisex</v>
      </c>
    </row>
    <row r="805" spans="1:46" ht="66">
      <c r="A805" t="s">
        <v>155</v>
      </c>
      <c r="B805" t="s">
        <v>172</v>
      </c>
      <c r="C805" t="s">
        <v>768</v>
      </c>
      <c r="D805">
        <v>176</v>
      </c>
      <c r="E805" t="s">
        <v>158</v>
      </c>
      <c r="F805">
        <v>176</v>
      </c>
      <c r="G805">
        <v>174.7</v>
      </c>
      <c r="H805">
        <v>102</v>
      </c>
      <c r="I805">
        <v>147</v>
      </c>
      <c r="J805">
        <v>144</v>
      </c>
      <c r="K805">
        <v>117</v>
      </c>
      <c r="L805">
        <v>139</v>
      </c>
      <c r="M805">
        <v>19.2</v>
      </c>
      <c r="N805">
        <v>2255</v>
      </c>
      <c r="O805">
        <v>0.98</v>
      </c>
      <c r="P805">
        <v>2199</v>
      </c>
      <c r="Q805">
        <v>217</v>
      </c>
      <c r="R805">
        <v>105</v>
      </c>
      <c r="S805">
        <v>69</v>
      </c>
      <c r="T805">
        <v>368</v>
      </c>
      <c r="U805">
        <v>53</v>
      </c>
      <c r="V805">
        <v>355</v>
      </c>
      <c r="W805">
        <v>0.76599999999999902</v>
      </c>
      <c r="X805">
        <v>149</v>
      </c>
      <c r="Y805">
        <v>130</v>
      </c>
      <c r="Z805">
        <v>219</v>
      </c>
      <c r="AA805">
        <v>5</v>
      </c>
      <c r="AB805">
        <v>2.2999999999999998</v>
      </c>
      <c r="AC805" t="s">
        <v>169</v>
      </c>
      <c r="AG805" t="s">
        <v>5069</v>
      </c>
      <c r="AH805" t="s">
        <v>1194</v>
      </c>
      <c r="AI805" s="245">
        <v>451.66</v>
      </c>
      <c r="AJ805" t="s">
        <v>5070</v>
      </c>
      <c r="AK805" t="s">
        <v>5071</v>
      </c>
      <c r="AL805" t="s">
        <v>1204</v>
      </c>
      <c r="AM805" s="245">
        <v>480.86</v>
      </c>
      <c r="AN805" t="s">
        <v>5072</v>
      </c>
      <c r="AO805" t="s">
        <v>5069</v>
      </c>
      <c r="AP805" t="s">
        <v>1244</v>
      </c>
      <c r="AQ805" s="245">
        <v>524.96</v>
      </c>
      <c r="AR805" t="s">
        <v>5073</v>
      </c>
      <c r="AS805" s="226" t="str">
        <f t="shared" si="24"/>
        <v>Blackops Gamer</v>
      </c>
      <c r="AT805" s="203" t="str">
        <f t="shared" si="25"/>
        <v xml:space="preserve"> RossignolBlackops Gamer176 Unisex</v>
      </c>
    </row>
    <row r="806" spans="1:46" ht="92.4">
      <c r="A806" t="s">
        <v>155</v>
      </c>
      <c r="B806" t="s">
        <v>332</v>
      </c>
      <c r="C806" t="s">
        <v>694</v>
      </c>
      <c r="D806">
        <v>172</v>
      </c>
      <c r="E806" t="s">
        <v>158</v>
      </c>
      <c r="F806">
        <v>172</v>
      </c>
      <c r="G806">
        <v>171.4</v>
      </c>
      <c r="H806">
        <v>119</v>
      </c>
      <c r="I806">
        <v>140</v>
      </c>
      <c r="J806">
        <v>135</v>
      </c>
      <c r="K806">
        <v>104</v>
      </c>
      <c r="L806">
        <v>125</v>
      </c>
      <c r="M806">
        <v>16.399999999999999</v>
      </c>
      <c r="N806">
        <v>2045</v>
      </c>
      <c r="O806">
        <v>0.96</v>
      </c>
      <c r="P806">
        <v>1954</v>
      </c>
      <c r="Q806">
        <v>203</v>
      </c>
      <c r="R806">
        <v>141</v>
      </c>
      <c r="S806">
        <v>52</v>
      </c>
      <c r="T806">
        <v>293</v>
      </c>
      <c r="U806">
        <v>32</v>
      </c>
      <c r="V806">
        <v>234</v>
      </c>
      <c r="W806">
        <v>0.621</v>
      </c>
      <c r="X806">
        <v>151</v>
      </c>
      <c r="Y806">
        <v>164</v>
      </c>
      <c r="Z806">
        <v>142</v>
      </c>
      <c r="AA806">
        <v>7</v>
      </c>
      <c r="AB806">
        <v>8.8000000000000007</v>
      </c>
      <c r="AC806" t="s">
        <v>188</v>
      </c>
      <c r="AD806" t="s">
        <v>169</v>
      </c>
      <c r="AG806" t="s">
        <v>5074</v>
      </c>
      <c r="AH806" t="s">
        <v>1204</v>
      </c>
      <c r="AI806" s="245">
        <v>561.01</v>
      </c>
      <c r="AJ806" t="s">
        <v>5075</v>
      </c>
      <c r="AK806" t="s">
        <v>4171</v>
      </c>
      <c r="AL806" t="s">
        <v>1421</v>
      </c>
      <c r="AM806" s="245">
        <v>599.99</v>
      </c>
      <c r="AN806" t="s">
        <v>5076</v>
      </c>
      <c r="AO806" t="s">
        <v>4171</v>
      </c>
      <c r="AP806" t="s">
        <v>1232</v>
      </c>
      <c r="AQ806" s="245">
        <v>639.95000000000005</v>
      </c>
      <c r="AR806" t="s">
        <v>5077</v>
      </c>
      <c r="AS806" s="226" t="str">
        <f t="shared" si="24"/>
        <v>Enforcer 104 Free</v>
      </c>
      <c r="AT806" s="203" t="str">
        <f t="shared" si="25"/>
        <v xml:space="preserve"> NordicaEnforcer 104 Free172 Unisex</v>
      </c>
    </row>
    <row r="807" spans="1:46" ht="39.6">
      <c r="A807" t="s">
        <v>155</v>
      </c>
      <c r="B807" t="s">
        <v>1160</v>
      </c>
      <c r="C807" t="s">
        <v>769</v>
      </c>
      <c r="D807">
        <v>174</v>
      </c>
      <c r="E807" t="s">
        <v>158</v>
      </c>
      <c r="F807">
        <v>174</v>
      </c>
      <c r="G807">
        <v>173.8</v>
      </c>
      <c r="H807">
        <v>133</v>
      </c>
      <c r="I807">
        <v>148</v>
      </c>
      <c r="J807">
        <v>120</v>
      </c>
      <c r="K807">
        <v>87</v>
      </c>
      <c r="L807">
        <v>108</v>
      </c>
      <c r="M807">
        <v>19.7</v>
      </c>
      <c r="N807">
        <v>1235</v>
      </c>
      <c r="O807">
        <v>1.37</v>
      </c>
      <c r="P807">
        <v>1691</v>
      </c>
      <c r="Q807">
        <v>179</v>
      </c>
      <c r="R807">
        <v>75</v>
      </c>
      <c r="S807">
        <v>45</v>
      </c>
      <c r="T807">
        <v>273</v>
      </c>
      <c r="U807">
        <v>7</v>
      </c>
      <c r="V807">
        <v>133</v>
      </c>
      <c r="W807">
        <v>0.156</v>
      </c>
      <c r="X807">
        <v>154</v>
      </c>
      <c r="Y807">
        <v>102</v>
      </c>
      <c r="Z807">
        <v>118</v>
      </c>
      <c r="AA807">
        <v>7</v>
      </c>
      <c r="AB807">
        <v>11.4</v>
      </c>
      <c r="AC807" t="s">
        <v>185</v>
      </c>
      <c r="AD807" t="s">
        <v>198</v>
      </c>
      <c r="AG807" t="s">
        <v>5078</v>
      </c>
      <c r="AH807" t="s">
        <v>1409</v>
      </c>
      <c r="AI807" s="245">
        <v>354.46</v>
      </c>
      <c r="AJ807" t="s">
        <v>5079</v>
      </c>
      <c r="AK807" t="s">
        <v>5078</v>
      </c>
      <c r="AL807" t="s">
        <v>1349</v>
      </c>
      <c r="AM807" s="245">
        <v>362.05</v>
      </c>
      <c r="AN807" t="s">
        <v>5080</v>
      </c>
      <c r="AO807" t="s">
        <v>5078</v>
      </c>
      <c r="AP807" t="s">
        <v>1194</v>
      </c>
      <c r="AQ807" s="245">
        <v>367.81</v>
      </c>
      <c r="AR807" t="s">
        <v>5081</v>
      </c>
      <c r="AS807" s="226" t="str">
        <f t="shared" si="24"/>
        <v>Wayback 88</v>
      </c>
      <c r="AT807" s="203" t="str">
        <f t="shared" si="25"/>
        <v>K2Wayback 88174 Unisex</v>
      </c>
    </row>
    <row r="808" spans="1:46" ht="132">
      <c r="A808" t="s">
        <v>155</v>
      </c>
      <c r="B808" t="s">
        <v>332</v>
      </c>
      <c r="C808" t="s">
        <v>455</v>
      </c>
      <c r="D808">
        <v>172</v>
      </c>
      <c r="E808" t="s">
        <v>158</v>
      </c>
      <c r="F808">
        <v>172</v>
      </c>
      <c r="G808">
        <v>171.3</v>
      </c>
      <c r="H808">
        <v>128</v>
      </c>
      <c r="I808">
        <v>144</v>
      </c>
      <c r="J808">
        <v>123</v>
      </c>
      <c r="K808">
        <v>87</v>
      </c>
      <c r="L808">
        <v>109</v>
      </c>
      <c r="M808">
        <v>15.6</v>
      </c>
      <c r="N808">
        <v>1963</v>
      </c>
      <c r="O808">
        <v>0.87</v>
      </c>
      <c r="P808">
        <v>1704</v>
      </c>
      <c r="Q808">
        <v>200</v>
      </c>
      <c r="R808">
        <v>125</v>
      </c>
      <c r="S808">
        <v>54</v>
      </c>
      <c r="T808">
        <v>264</v>
      </c>
      <c r="U808">
        <v>9</v>
      </c>
      <c r="V808">
        <v>168</v>
      </c>
      <c r="W808">
        <v>0.17599999999999999</v>
      </c>
      <c r="X808">
        <v>124</v>
      </c>
      <c r="Y808">
        <v>152</v>
      </c>
      <c r="Z808">
        <v>140</v>
      </c>
      <c r="AA808">
        <v>9</v>
      </c>
      <c r="AB808">
        <v>7.9</v>
      </c>
      <c r="AC808" t="s">
        <v>188</v>
      </c>
      <c r="AG808" t="s">
        <v>3010</v>
      </c>
      <c r="AH808" t="s">
        <v>1289</v>
      </c>
      <c r="AI808" s="245">
        <v>209.95</v>
      </c>
      <c r="AJ808" t="s">
        <v>5082</v>
      </c>
      <c r="AK808" t="s">
        <v>5083</v>
      </c>
      <c r="AL808" t="s">
        <v>2297</v>
      </c>
      <c r="AM808" s="245">
        <v>539</v>
      </c>
      <c r="AN808" t="s">
        <v>5084</v>
      </c>
      <c r="AO808" t="s">
        <v>5085</v>
      </c>
      <c r="AP808" t="s">
        <v>2425</v>
      </c>
      <c r="AQ808" s="245">
        <v>599.95000000000005</v>
      </c>
      <c r="AR808" t="s">
        <v>5086</v>
      </c>
      <c r="AS808" s="226" t="str">
        <f t="shared" si="24"/>
        <v>Enforcer 88</v>
      </c>
      <c r="AT808" s="203" t="str">
        <f t="shared" si="25"/>
        <v xml:space="preserve"> NordicaEnforcer 88172 Unisex</v>
      </c>
    </row>
    <row r="809" spans="1:46" ht="79.2">
      <c r="A809" t="s">
        <v>155</v>
      </c>
      <c r="B809" t="s">
        <v>156</v>
      </c>
      <c r="C809" t="s">
        <v>587</v>
      </c>
      <c r="D809">
        <v>150</v>
      </c>
      <c r="E809" t="s">
        <v>163</v>
      </c>
      <c r="F809">
        <v>150</v>
      </c>
      <c r="G809">
        <v>149.69999999999999</v>
      </c>
      <c r="H809">
        <v>132</v>
      </c>
      <c r="I809">
        <v>135</v>
      </c>
      <c r="J809">
        <v>110</v>
      </c>
      <c r="K809">
        <v>71</v>
      </c>
      <c r="L809">
        <v>96</v>
      </c>
      <c r="M809">
        <v>14.2</v>
      </c>
      <c r="N809">
        <v>1528</v>
      </c>
      <c r="O809">
        <v>0.82</v>
      </c>
      <c r="P809">
        <v>1247</v>
      </c>
      <c r="Q809">
        <v>128</v>
      </c>
      <c r="R809">
        <v>67</v>
      </c>
      <c r="S809">
        <v>30</v>
      </c>
      <c r="T809">
        <v>134</v>
      </c>
      <c r="U809">
        <v>4</v>
      </c>
      <c r="V809">
        <v>47</v>
      </c>
      <c r="W809">
        <v>0.11899999999999999</v>
      </c>
      <c r="X809">
        <v>95</v>
      </c>
      <c r="Y809">
        <v>55</v>
      </c>
      <c r="Z809">
        <v>38</v>
      </c>
      <c r="AA809">
        <v>11</v>
      </c>
      <c r="AB809">
        <v>12.1</v>
      </c>
      <c r="AC809" t="s">
        <v>349</v>
      </c>
      <c r="AD809" t="s">
        <v>231</v>
      </c>
      <c r="AG809" t="s">
        <v>5087</v>
      </c>
      <c r="AH809" t="s">
        <v>1365</v>
      </c>
      <c r="AI809" s="245">
        <v>599.99</v>
      </c>
      <c r="AJ809" t="s">
        <v>5088</v>
      </c>
      <c r="AK809" t="s">
        <v>3942</v>
      </c>
      <c r="AL809" t="s">
        <v>1224</v>
      </c>
      <c r="AM809" s="245">
        <v>599.99</v>
      </c>
      <c r="AN809" t="s">
        <v>5089</v>
      </c>
      <c r="AS809" s="226" t="str">
        <f t="shared" si="24"/>
        <v>Cloud C9</v>
      </c>
      <c r="AT809" s="203" t="str">
        <f t="shared" si="25"/>
        <v xml:space="preserve"> AtomicCloud C9150 Women's</v>
      </c>
    </row>
    <row r="810" spans="1:46" ht="132">
      <c r="A810" t="s">
        <v>155</v>
      </c>
      <c r="B810" t="s">
        <v>332</v>
      </c>
      <c r="C810" t="s">
        <v>742</v>
      </c>
      <c r="D810">
        <v>162</v>
      </c>
      <c r="E810" t="s">
        <v>163</v>
      </c>
      <c r="F810">
        <v>162</v>
      </c>
      <c r="G810">
        <v>160.9</v>
      </c>
      <c r="H810">
        <v>135</v>
      </c>
      <c r="I810">
        <v>148</v>
      </c>
      <c r="J810">
        <v>124</v>
      </c>
      <c r="K810">
        <v>74</v>
      </c>
      <c r="L810">
        <v>104</v>
      </c>
      <c r="M810">
        <v>13.8</v>
      </c>
      <c r="N810">
        <v>1727</v>
      </c>
      <c r="O810">
        <v>0.83</v>
      </c>
      <c r="P810">
        <v>1433</v>
      </c>
      <c r="Q810">
        <v>196</v>
      </c>
      <c r="R810">
        <v>71</v>
      </c>
      <c r="S810">
        <v>43</v>
      </c>
      <c r="T810">
        <v>190</v>
      </c>
      <c r="U810">
        <v>12</v>
      </c>
      <c r="V810">
        <v>72</v>
      </c>
      <c r="W810">
        <v>0.27800000000000002</v>
      </c>
      <c r="X810">
        <v>63</v>
      </c>
      <c r="Y810">
        <v>68</v>
      </c>
      <c r="Z810">
        <v>128</v>
      </c>
      <c r="AA810">
        <v>6</v>
      </c>
      <c r="AB810">
        <v>9.3000000000000007</v>
      </c>
      <c r="AC810" t="s">
        <v>349</v>
      </c>
      <c r="AG810" t="s">
        <v>4677</v>
      </c>
      <c r="AH810" t="s">
        <v>3959</v>
      </c>
      <c r="AI810" s="245">
        <v>399.95</v>
      </c>
      <c r="AJ810" t="s">
        <v>5090</v>
      </c>
      <c r="AK810" t="s">
        <v>4677</v>
      </c>
      <c r="AL810" t="s">
        <v>2632</v>
      </c>
      <c r="AM810" s="245">
        <v>399.95</v>
      </c>
      <c r="AN810" t="s">
        <v>5091</v>
      </c>
      <c r="AO810" t="s">
        <v>5092</v>
      </c>
      <c r="AP810" t="s">
        <v>1416</v>
      </c>
      <c r="AQ810" s="245">
        <v>399.99</v>
      </c>
      <c r="AR810" t="s">
        <v>5093</v>
      </c>
      <c r="AS810" s="226" t="str">
        <f t="shared" si="24"/>
        <v>Wild Belle 74</v>
      </c>
      <c r="AT810" s="203" t="str">
        <f t="shared" si="25"/>
        <v xml:space="preserve"> NordicaWild Belle 74162 Women's</v>
      </c>
    </row>
    <row r="811" spans="1:46" ht="132">
      <c r="A811" t="s">
        <v>155</v>
      </c>
      <c r="B811" t="s">
        <v>164</v>
      </c>
      <c r="C811" t="s">
        <v>688</v>
      </c>
      <c r="D811">
        <v>178</v>
      </c>
      <c r="E811" t="s">
        <v>158</v>
      </c>
      <c r="F811">
        <v>178</v>
      </c>
      <c r="G811">
        <v>177.5</v>
      </c>
      <c r="H811">
        <v>144</v>
      </c>
      <c r="I811">
        <v>157</v>
      </c>
      <c r="J811">
        <v>130</v>
      </c>
      <c r="K811">
        <v>85</v>
      </c>
      <c r="L811">
        <v>114</v>
      </c>
      <c r="M811">
        <v>16.399999999999999</v>
      </c>
      <c r="N811">
        <v>2172</v>
      </c>
      <c r="O811">
        <v>0.81</v>
      </c>
      <c r="P811">
        <v>1765</v>
      </c>
      <c r="Q811">
        <v>250</v>
      </c>
      <c r="R811">
        <v>106</v>
      </c>
      <c r="S811">
        <v>38</v>
      </c>
      <c r="T811">
        <v>207</v>
      </c>
      <c r="U811">
        <v>7</v>
      </c>
      <c r="V811">
        <v>130</v>
      </c>
      <c r="W811">
        <v>0.19600000000000001</v>
      </c>
      <c r="X811">
        <v>106</v>
      </c>
      <c r="Y811">
        <v>97</v>
      </c>
      <c r="Z811">
        <v>100</v>
      </c>
      <c r="AA811">
        <v>9</v>
      </c>
      <c r="AB811">
        <v>9.1999999999999993</v>
      </c>
      <c r="AC811" t="s">
        <v>188</v>
      </c>
      <c r="AG811" t="s">
        <v>5094</v>
      </c>
      <c r="AH811" t="s">
        <v>1248</v>
      </c>
      <c r="AI811" s="245">
        <v>349.99</v>
      </c>
      <c r="AJ811" t="s">
        <v>5095</v>
      </c>
      <c r="AK811" t="s">
        <v>5096</v>
      </c>
      <c r="AL811" t="s">
        <v>1232</v>
      </c>
      <c r="AM811" s="245">
        <v>649.95000000000005</v>
      </c>
      <c r="AN811" t="s">
        <v>5097</v>
      </c>
      <c r="AO811" t="s">
        <v>4148</v>
      </c>
      <c r="AP811" t="s">
        <v>1211</v>
      </c>
      <c r="AQ811" s="245">
        <v>649.99</v>
      </c>
      <c r="AR811" t="s">
        <v>5098</v>
      </c>
      <c r="AS811" s="226" t="str">
        <f t="shared" si="24"/>
        <v>Wingman 86 CTi</v>
      </c>
      <c r="AT811" s="203" t="str">
        <f t="shared" si="25"/>
        <v xml:space="preserve"> ElanWingman 86 CTi178 Unisex</v>
      </c>
    </row>
    <row r="812" spans="1:46" ht="105.6">
      <c r="A812" t="s">
        <v>155</v>
      </c>
      <c r="B812" t="s">
        <v>218</v>
      </c>
      <c r="C812" t="s">
        <v>398</v>
      </c>
      <c r="D812">
        <v>184</v>
      </c>
      <c r="E812" t="s">
        <v>158</v>
      </c>
      <c r="F812">
        <v>184</v>
      </c>
      <c r="G812">
        <v>182.8</v>
      </c>
      <c r="H812">
        <v>121</v>
      </c>
      <c r="I812">
        <v>149</v>
      </c>
      <c r="J812">
        <v>132</v>
      </c>
      <c r="K812">
        <v>103</v>
      </c>
      <c r="L812">
        <v>121</v>
      </c>
      <c r="M812">
        <v>18.5</v>
      </c>
      <c r="N812">
        <v>2074</v>
      </c>
      <c r="O812">
        <v>1</v>
      </c>
      <c r="P812">
        <v>2076</v>
      </c>
      <c r="Q812">
        <v>264</v>
      </c>
      <c r="R812">
        <v>120</v>
      </c>
      <c r="S812">
        <v>53</v>
      </c>
      <c r="T812">
        <v>331</v>
      </c>
      <c r="U812">
        <v>39</v>
      </c>
      <c r="V812">
        <v>290</v>
      </c>
      <c r="W812">
        <v>0.73799999999999999</v>
      </c>
      <c r="X812">
        <v>204</v>
      </c>
      <c r="Y812">
        <v>137</v>
      </c>
      <c r="Z812">
        <v>128</v>
      </c>
      <c r="AA812">
        <v>7</v>
      </c>
      <c r="AB812">
        <v>6.9</v>
      </c>
      <c r="AC812" t="s">
        <v>188</v>
      </c>
      <c r="AD812" t="s">
        <v>169</v>
      </c>
      <c r="AG812" t="s">
        <v>2026</v>
      </c>
      <c r="AH812" t="s">
        <v>1349</v>
      </c>
      <c r="AI812" s="245">
        <v>550</v>
      </c>
      <c r="AJ812" t="s">
        <v>5099</v>
      </c>
      <c r="AK812" t="s">
        <v>2026</v>
      </c>
      <c r="AL812" t="s">
        <v>1556</v>
      </c>
      <c r="AM812" s="245">
        <v>699</v>
      </c>
      <c r="AN812" t="s">
        <v>5100</v>
      </c>
      <c r="AO812" t="s">
        <v>5101</v>
      </c>
      <c r="AP812" t="s">
        <v>1271</v>
      </c>
      <c r="AQ812" s="245">
        <v>409.93</v>
      </c>
      <c r="AR812" t="s">
        <v>5102</v>
      </c>
      <c r="AS812" s="226" t="str">
        <f t="shared" si="24"/>
        <v>Foundation 103 Koala</v>
      </c>
      <c r="AT812" s="203" t="str">
        <f t="shared" si="25"/>
        <v xml:space="preserve"> DPSFoundation 103 Koala184 Unisex</v>
      </c>
    </row>
    <row r="813" spans="1:46" ht="118.8">
      <c r="A813" t="s">
        <v>155</v>
      </c>
      <c r="B813" t="s">
        <v>167</v>
      </c>
      <c r="C813" t="s">
        <v>702</v>
      </c>
      <c r="D813">
        <v>177</v>
      </c>
      <c r="E813" t="s">
        <v>158</v>
      </c>
      <c r="F813">
        <v>177</v>
      </c>
      <c r="G813">
        <v>176.3</v>
      </c>
      <c r="H813">
        <v>147</v>
      </c>
      <c r="I813">
        <v>150</v>
      </c>
      <c r="J813">
        <v>126</v>
      </c>
      <c r="K813">
        <v>79</v>
      </c>
      <c r="L813">
        <v>105</v>
      </c>
      <c r="M813">
        <v>14.4</v>
      </c>
      <c r="N813">
        <v>2084</v>
      </c>
      <c r="O813">
        <v>0.8</v>
      </c>
      <c r="P813">
        <v>1669</v>
      </c>
      <c r="Q813">
        <v>187</v>
      </c>
      <c r="R813">
        <v>98</v>
      </c>
      <c r="S813">
        <v>40</v>
      </c>
      <c r="T813">
        <v>200</v>
      </c>
      <c r="U813">
        <v>7</v>
      </c>
      <c r="V813">
        <v>96</v>
      </c>
      <c r="W813">
        <v>0.17799999999999999</v>
      </c>
      <c r="X813">
        <v>135</v>
      </c>
      <c r="Y813">
        <v>124</v>
      </c>
      <c r="Z813">
        <v>65</v>
      </c>
      <c r="AA813">
        <v>13</v>
      </c>
      <c r="AB813">
        <v>11.4</v>
      </c>
      <c r="AC813" t="s">
        <v>349</v>
      </c>
      <c r="AD813" t="s">
        <v>231</v>
      </c>
      <c r="AG813" t="s">
        <v>5103</v>
      </c>
      <c r="AH813" t="s">
        <v>1204</v>
      </c>
      <c r="AI813" s="245">
        <v>416.75</v>
      </c>
      <c r="AJ813" t="s">
        <v>5104</v>
      </c>
      <c r="AK813" t="s">
        <v>4261</v>
      </c>
      <c r="AL813" t="s">
        <v>1248</v>
      </c>
      <c r="AM813" s="245">
        <v>479.2</v>
      </c>
      <c r="AN813" t="s">
        <v>5105</v>
      </c>
      <c r="AO813" t="s">
        <v>4261</v>
      </c>
      <c r="AP813" t="s">
        <v>1294</v>
      </c>
      <c r="AQ813" s="245">
        <v>479.93</v>
      </c>
      <c r="AR813" t="s">
        <v>5106</v>
      </c>
      <c r="AS813" s="226" t="str">
        <f t="shared" si="24"/>
        <v>Kore 80 X</v>
      </c>
      <c r="AT813" s="203" t="str">
        <f t="shared" si="25"/>
        <v xml:space="preserve"> HeadKore 80 X177 Unisex</v>
      </c>
    </row>
    <row r="814" spans="1:46" ht="52.8">
      <c r="A814" t="s">
        <v>155</v>
      </c>
      <c r="B814" t="s">
        <v>208</v>
      </c>
      <c r="C814" t="s">
        <v>633</v>
      </c>
      <c r="D814">
        <v>176</v>
      </c>
      <c r="E814" t="s">
        <v>158</v>
      </c>
      <c r="F814">
        <v>176</v>
      </c>
      <c r="G814">
        <v>175</v>
      </c>
      <c r="H814">
        <v>141</v>
      </c>
      <c r="I814">
        <v>160</v>
      </c>
      <c r="J814">
        <v>154</v>
      </c>
      <c r="K814">
        <v>94</v>
      </c>
      <c r="L814">
        <v>124</v>
      </c>
      <c r="M814">
        <v>13.6</v>
      </c>
      <c r="N814">
        <v>1970</v>
      </c>
      <c r="O814">
        <v>1</v>
      </c>
      <c r="P814">
        <v>1975</v>
      </c>
      <c r="Q814">
        <v>166</v>
      </c>
      <c r="R814">
        <v>114</v>
      </c>
      <c r="S814">
        <v>34</v>
      </c>
      <c r="T814">
        <v>182</v>
      </c>
      <c r="U814">
        <v>25</v>
      </c>
      <c r="V814">
        <v>155</v>
      </c>
      <c r="W814">
        <v>0.73699999999999999</v>
      </c>
      <c r="X814">
        <v>130</v>
      </c>
      <c r="Y814">
        <v>22</v>
      </c>
      <c r="Z814">
        <v>52</v>
      </c>
      <c r="AA814">
        <v>10</v>
      </c>
      <c r="AB814">
        <v>6.7</v>
      </c>
      <c r="AC814" t="s">
        <v>188</v>
      </c>
      <c r="AG814" t="s">
        <v>5107</v>
      </c>
      <c r="AH814" t="s">
        <v>1566</v>
      </c>
      <c r="AI814" s="245">
        <v>540</v>
      </c>
      <c r="AJ814" t="s">
        <v>5108</v>
      </c>
      <c r="AK814" t="s">
        <v>5107</v>
      </c>
      <c r="AL814" t="s">
        <v>1211</v>
      </c>
      <c r="AM814" s="245">
        <v>562.46</v>
      </c>
      <c r="AN814" t="s">
        <v>5109</v>
      </c>
      <c r="AO814" t="s">
        <v>5107</v>
      </c>
      <c r="AP814" t="s">
        <v>2307</v>
      </c>
      <c r="AQ814" s="245">
        <v>749</v>
      </c>
      <c r="AR814" t="s">
        <v>5110</v>
      </c>
      <c r="AS814" s="226" t="str">
        <f t="shared" si="24"/>
        <v>Blade</v>
      </c>
      <c r="AT814" s="203" t="str">
        <f t="shared" si="25"/>
        <v xml:space="preserve"> LineBlade176 Unisex</v>
      </c>
    </row>
    <row r="815" spans="1:46" ht="145.19999999999999">
      <c r="A815" t="s">
        <v>155</v>
      </c>
      <c r="B815" t="s">
        <v>172</v>
      </c>
      <c r="C815" t="s">
        <v>770</v>
      </c>
      <c r="D815">
        <v>160</v>
      </c>
      <c r="E815" t="s">
        <v>163</v>
      </c>
      <c r="F815">
        <v>160</v>
      </c>
      <c r="G815">
        <v>160.5</v>
      </c>
      <c r="H815">
        <v>139</v>
      </c>
      <c r="I815">
        <v>145</v>
      </c>
      <c r="J815">
        <v>121</v>
      </c>
      <c r="K815">
        <v>74</v>
      </c>
      <c r="L815">
        <v>107</v>
      </c>
      <c r="M815">
        <v>13</v>
      </c>
      <c r="N815">
        <v>1546</v>
      </c>
      <c r="O815">
        <v>0.92</v>
      </c>
      <c r="P815">
        <v>1427</v>
      </c>
      <c r="Q815">
        <v>151</v>
      </c>
      <c r="R815">
        <v>51</v>
      </c>
      <c r="S815">
        <v>38</v>
      </c>
      <c r="T815">
        <v>148</v>
      </c>
      <c r="U815">
        <v>5</v>
      </c>
      <c r="V815">
        <v>71</v>
      </c>
      <c r="W815">
        <v>0.13900000000000001</v>
      </c>
      <c r="X815">
        <v>81</v>
      </c>
      <c r="Y815">
        <v>79</v>
      </c>
      <c r="Z815">
        <v>67</v>
      </c>
      <c r="AA815">
        <v>9</v>
      </c>
      <c r="AB815">
        <v>8.5</v>
      </c>
      <c r="AC815" t="s">
        <v>349</v>
      </c>
      <c r="AG815" t="s">
        <v>2885</v>
      </c>
      <c r="AH815" t="s">
        <v>1592</v>
      </c>
      <c r="AI815" s="245">
        <v>520.66999999999996</v>
      </c>
      <c r="AJ815" t="s">
        <v>5111</v>
      </c>
      <c r="AK815" t="s">
        <v>5112</v>
      </c>
      <c r="AL815" t="s">
        <v>1337</v>
      </c>
      <c r="AM815" s="245">
        <v>14.99</v>
      </c>
      <c r="AN815" t="s">
        <v>5113</v>
      </c>
      <c r="AO815" t="s">
        <v>2887</v>
      </c>
      <c r="AP815" t="s">
        <v>1179</v>
      </c>
      <c r="AQ815" s="245">
        <v>319.95</v>
      </c>
      <c r="AR815" t="s">
        <v>5114</v>
      </c>
      <c r="AS815" s="226" t="str">
        <f t="shared" si="24"/>
        <v>Nova 2</v>
      </c>
      <c r="AT815" s="203" t="str">
        <f t="shared" si="25"/>
        <v xml:space="preserve"> RossignolNova 2160 Women's</v>
      </c>
    </row>
    <row r="816" spans="1:46" ht="92.4">
      <c r="A816" t="s">
        <v>155</v>
      </c>
      <c r="B816" t="s">
        <v>182</v>
      </c>
      <c r="C816" t="s">
        <v>235</v>
      </c>
      <c r="D816">
        <v>156</v>
      </c>
      <c r="E816" t="s">
        <v>163</v>
      </c>
      <c r="F816">
        <v>156</v>
      </c>
      <c r="G816">
        <v>154</v>
      </c>
      <c r="H816">
        <v>118</v>
      </c>
      <c r="I816">
        <v>132</v>
      </c>
      <c r="J816">
        <v>111</v>
      </c>
      <c r="K816">
        <v>85</v>
      </c>
      <c r="L816">
        <v>106</v>
      </c>
      <c r="M816">
        <v>16.5</v>
      </c>
      <c r="N816">
        <v>1469</v>
      </c>
      <c r="O816">
        <v>0.99</v>
      </c>
      <c r="P816">
        <v>1455</v>
      </c>
      <c r="Q816">
        <v>136</v>
      </c>
      <c r="R816">
        <v>72</v>
      </c>
      <c r="S816">
        <v>44</v>
      </c>
      <c r="T816">
        <v>186</v>
      </c>
      <c r="U816">
        <v>39</v>
      </c>
      <c r="V816">
        <v>169</v>
      </c>
      <c r="W816">
        <v>0.87</v>
      </c>
      <c r="X816">
        <v>110</v>
      </c>
      <c r="Y816">
        <v>106</v>
      </c>
      <c r="Z816">
        <v>76</v>
      </c>
      <c r="AA816">
        <v>9</v>
      </c>
      <c r="AB816">
        <v>4.2</v>
      </c>
      <c r="AC816" t="s">
        <v>184</v>
      </c>
      <c r="AG816" t="s">
        <v>5115</v>
      </c>
      <c r="AH816" t="s">
        <v>1224</v>
      </c>
      <c r="AI816" s="245">
        <v>319.95999999999998</v>
      </c>
      <c r="AJ816" t="s">
        <v>5116</v>
      </c>
      <c r="AK816" t="s">
        <v>5115</v>
      </c>
      <c r="AL816" t="s">
        <v>1271</v>
      </c>
      <c r="AM816" s="245">
        <v>379.95</v>
      </c>
      <c r="AN816" t="s">
        <v>5117</v>
      </c>
      <c r="AO816" t="s">
        <v>5118</v>
      </c>
      <c r="AP816" t="s">
        <v>1265</v>
      </c>
      <c r="AQ816" s="245">
        <v>287.70999999999998</v>
      </c>
      <c r="AR816" t="s">
        <v>5119</v>
      </c>
      <c r="AS816" s="226" t="str">
        <f t="shared" si="24"/>
        <v>ARW 86</v>
      </c>
      <c r="AT816" s="203" t="str">
        <f t="shared" si="25"/>
        <v xml:space="preserve"> ArmadaARW 86156 Women's</v>
      </c>
    </row>
    <row r="817" spans="1:46" ht="79.2">
      <c r="A817" t="s">
        <v>155</v>
      </c>
      <c r="B817" t="s">
        <v>205</v>
      </c>
      <c r="C817" t="s">
        <v>664</v>
      </c>
      <c r="D817">
        <v>164</v>
      </c>
      <c r="E817" t="s">
        <v>163</v>
      </c>
      <c r="F817">
        <v>164</v>
      </c>
      <c r="G817">
        <v>162.1</v>
      </c>
      <c r="H817">
        <v>118</v>
      </c>
      <c r="I817">
        <v>135</v>
      </c>
      <c r="J817">
        <v>119</v>
      </c>
      <c r="K817">
        <v>87</v>
      </c>
      <c r="L817">
        <v>111</v>
      </c>
      <c r="M817">
        <v>14.7</v>
      </c>
      <c r="N817">
        <v>1614</v>
      </c>
      <c r="O817">
        <v>0.99</v>
      </c>
      <c r="P817">
        <v>1604</v>
      </c>
      <c r="Q817">
        <v>153</v>
      </c>
      <c r="R817">
        <v>61</v>
      </c>
      <c r="S817">
        <v>53</v>
      </c>
      <c r="T817">
        <v>259</v>
      </c>
      <c r="U817">
        <v>37</v>
      </c>
      <c r="V817">
        <v>179</v>
      </c>
      <c r="W817">
        <v>0.69699999999999995</v>
      </c>
      <c r="X817">
        <v>143</v>
      </c>
      <c r="Y817">
        <v>129</v>
      </c>
      <c r="Z817">
        <v>117</v>
      </c>
      <c r="AA817">
        <v>9</v>
      </c>
      <c r="AB817">
        <v>7.2</v>
      </c>
      <c r="AC817" t="s">
        <v>188</v>
      </c>
      <c r="AG817" t="s">
        <v>2024</v>
      </c>
      <c r="AH817" t="s">
        <v>1244</v>
      </c>
      <c r="AI817" s="245">
        <v>314.27</v>
      </c>
      <c r="AJ817" t="s">
        <v>5120</v>
      </c>
      <c r="AK817" t="s">
        <v>4485</v>
      </c>
      <c r="AL817" t="s">
        <v>1194</v>
      </c>
      <c r="AM817" s="245">
        <v>391.78</v>
      </c>
      <c r="AN817" t="s">
        <v>5121</v>
      </c>
      <c r="AO817" t="s">
        <v>5122</v>
      </c>
      <c r="AP817" t="s">
        <v>1556</v>
      </c>
      <c r="AQ817" s="245">
        <v>449</v>
      </c>
      <c r="AR817" t="s">
        <v>5123</v>
      </c>
      <c r="AS817" s="226" t="str">
        <f t="shared" si="24"/>
        <v>Prodigy 1.0 X</v>
      </c>
      <c r="AT817" s="203" t="str">
        <f t="shared" si="25"/>
        <v xml:space="preserve"> FactionProdigy 1.0 X164 Women's</v>
      </c>
    </row>
    <row r="818" spans="1:46" ht="92.4">
      <c r="A818" t="s">
        <v>155</v>
      </c>
      <c r="B818" t="s">
        <v>172</v>
      </c>
      <c r="C818" t="s">
        <v>599</v>
      </c>
      <c r="D818">
        <v>156</v>
      </c>
      <c r="E818" t="s">
        <v>158</v>
      </c>
      <c r="F818">
        <v>156</v>
      </c>
      <c r="G818">
        <v>155</v>
      </c>
      <c r="H818">
        <v>107</v>
      </c>
      <c r="I818">
        <v>129</v>
      </c>
      <c r="J818">
        <v>125</v>
      </c>
      <c r="K818">
        <v>89</v>
      </c>
      <c r="L818">
        <v>116</v>
      </c>
      <c r="M818">
        <v>11.7</v>
      </c>
      <c r="N818">
        <v>1471</v>
      </c>
      <c r="O818">
        <v>1.08</v>
      </c>
      <c r="P818">
        <v>1590</v>
      </c>
      <c r="Q818">
        <v>153</v>
      </c>
      <c r="R818">
        <v>75</v>
      </c>
      <c r="S818">
        <v>52</v>
      </c>
      <c r="T818">
        <v>307</v>
      </c>
      <c r="U818">
        <v>13</v>
      </c>
      <c r="V818">
        <v>173</v>
      </c>
      <c r="W818">
        <v>0.24299999999999999</v>
      </c>
      <c r="X818">
        <v>158</v>
      </c>
      <c r="Y818">
        <v>100</v>
      </c>
      <c r="Z818">
        <v>149</v>
      </c>
      <c r="AA818">
        <v>6</v>
      </c>
      <c r="AB818">
        <v>5.5</v>
      </c>
      <c r="AC818" t="s">
        <v>188</v>
      </c>
      <c r="AD818" t="s">
        <v>185</v>
      </c>
      <c r="AG818" t="s">
        <v>5124</v>
      </c>
      <c r="AH818" t="s">
        <v>1204</v>
      </c>
      <c r="AI818" s="245">
        <v>400.72</v>
      </c>
      <c r="AJ818" t="s">
        <v>5125</v>
      </c>
      <c r="AK818" t="s">
        <v>1780</v>
      </c>
      <c r="AL818" t="s">
        <v>1464</v>
      </c>
      <c r="AM818" s="245">
        <v>473.9</v>
      </c>
      <c r="AN818" t="s">
        <v>5126</v>
      </c>
      <c r="AO818" t="s">
        <v>4792</v>
      </c>
      <c r="AP818" t="s">
        <v>1282</v>
      </c>
      <c r="AQ818" s="245">
        <v>479.96</v>
      </c>
      <c r="AR818" t="s">
        <v>5127</v>
      </c>
      <c r="AS818" s="226" t="str">
        <f t="shared" si="24"/>
        <v>Blackops Escaper</v>
      </c>
      <c r="AT818" s="203" t="str">
        <f t="shared" si="25"/>
        <v xml:space="preserve"> RossignolBlackops Escaper156 Unisex</v>
      </c>
    </row>
    <row r="819" spans="1:46" ht="66">
      <c r="A819" t="s">
        <v>155</v>
      </c>
      <c r="B819" t="s">
        <v>156</v>
      </c>
      <c r="C819" t="s">
        <v>703</v>
      </c>
      <c r="D819">
        <v>153</v>
      </c>
      <c r="E819" t="s">
        <v>163</v>
      </c>
      <c r="F819">
        <v>153</v>
      </c>
      <c r="G819">
        <v>152.1</v>
      </c>
      <c r="H819">
        <v>104</v>
      </c>
      <c r="I819">
        <v>127</v>
      </c>
      <c r="J819">
        <v>120</v>
      </c>
      <c r="K819">
        <v>86</v>
      </c>
      <c r="L819">
        <v>103</v>
      </c>
      <c r="M819">
        <v>14.2</v>
      </c>
      <c r="N819">
        <v>1338</v>
      </c>
      <c r="O819">
        <v>1.1000000000000001</v>
      </c>
      <c r="P819">
        <v>1467</v>
      </c>
      <c r="Q819">
        <v>184</v>
      </c>
      <c r="R819">
        <v>76</v>
      </c>
      <c r="S819">
        <v>47</v>
      </c>
      <c r="T819">
        <v>284</v>
      </c>
      <c r="U819">
        <v>13</v>
      </c>
      <c r="V819">
        <v>200</v>
      </c>
      <c r="W819">
        <v>0.27200000000000002</v>
      </c>
      <c r="X819">
        <v>153</v>
      </c>
      <c r="Y819">
        <v>102</v>
      </c>
      <c r="Z819">
        <v>131</v>
      </c>
      <c r="AA819">
        <v>3</v>
      </c>
      <c r="AB819">
        <v>8.3000000000000007</v>
      </c>
      <c r="AC819" t="s">
        <v>188</v>
      </c>
      <c r="AD819" t="s">
        <v>185</v>
      </c>
      <c r="AG819" t="s">
        <v>5128</v>
      </c>
      <c r="AH819" t="s">
        <v>1497</v>
      </c>
      <c r="AI819" s="245">
        <v>319.99</v>
      </c>
      <c r="AJ819" t="s">
        <v>5129</v>
      </c>
      <c r="AK819" t="s">
        <v>5130</v>
      </c>
      <c r="AL819" t="s">
        <v>1204</v>
      </c>
      <c r="AM819" s="245">
        <v>320.57</v>
      </c>
      <c r="AN819" t="s">
        <v>5131</v>
      </c>
      <c r="AO819" t="s">
        <v>5132</v>
      </c>
      <c r="AP819" t="s">
        <v>1421</v>
      </c>
      <c r="AQ819" s="245">
        <v>399.99</v>
      </c>
      <c r="AR819" t="s">
        <v>5133</v>
      </c>
      <c r="AS819" s="226" t="str">
        <f t="shared" si="24"/>
        <v>Maven 86</v>
      </c>
      <c r="AT819" s="203" t="str">
        <f t="shared" si="25"/>
        <v xml:space="preserve"> AtomicMaven 86153 Women's</v>
      </c>
    </row>
    <row r="820" spans="1:46" ht="52.8">
      <c r="A820" t="s">
        <v>155</v>
      </c>
      <c r="B820" t="s">
        <v>317</v>
      </c>
      <c r="C820" t="s">
        <v>447</v>
      </c>
      <c r="D820">
        <v>164</v>
      </c>
      <c r="E820" t="s">
        <v>163</v>
      </c>
      <c r="F820">
        <v>164</v>
      </c>
      <c r="G820">
        <v>162.4</v>
      </c>
      <c r="H820">
        <v>98</v>
      </c>
      <c r="I820">
        <v>133</v>
      </c>
      <c r="J820">
        <v>131</v>
      </c>
      <c r="K820">
        <v>101</v>
      </c>
      <c r="L820">
        <v>121</v>
      </c>
      <c r="M820">
        <v>15.3</v>
      </c>
      <c r="N820">
        <v>1807</v>
      </c>
      <c r="O820">
        <v>1</v>
      </c>
      <c r="P820">
        <v>1813</v>
      </c>
      <c r="Q820">
        <v>150</v>
      </c>
      <c r="R820">
        <v>75</v>
      </c>
      <c r="S820">
        <v>68</v>
      </c>
      <c r="T820">
        <v>359</v>
      </c>
      <c r="U820">
        <v>35</v>
      </c>
      <c r="V820">
        <v>280</v>
      </c>
      <c r="W820">
        <v>0.50900000000000001</v>
      </c>
      <c r="X820">
        <v>156</v>
      </c>
      <c r="Y820">
        <v>139</v>
      </c>
      <c r="Z820">
        <v>204</v>
      </c>
      <c r="AA820">
        <v>4</v>
      </c>
      <c r="AB820">
        <v>7</v>
      </c>
      <c r="AC820" t="s">
        <v>188</v>
      </c>
      <c r="AD820" t="s">
        <v>169</v>
      </c>
      <c r="AG820" t="s">
        <v>2870</v>
      </c>
      <c r="AH820" t="s">
        <v>1194</v>
      </c>
      <c r="AI820" s="245">
        <v>441.56</v>
      </c>
      <c r="AJ820" t="s">
        <v>5134</v>
      </c>
      <c r="AK820" t="s">
        <v>2870</v>
      </c>
      <c r="AL820" t="s">
        <v>1858</v>
      </c>
      <c r="AM820" s="245">
        <v>479</v>
      </c>
      <c r="AN820" t="s">
        <v>5135</v>
      </c>
      <c r="AO820" t="s">
        <v>2870</v>
      </c>
      <c r="AP820" t="s">
        <v>1226</v>
      </c>
      <c r="AQ820" s="245">
        <v>479.96</v>
      </c>
      <c r="AR820" t="s">
        <v>5136</v>
      </c>
      <c r="AS820" s="226" t="str">
        <f t="shared" si="24"/>
        <v>Sheeva 10</v>
      </c>
      <c r="AT820" s="203" t="str">
        <f t="shared" si="25"/>
        <v xml:space="preserve"> BlizzardSheeva 10164 Women's</v>
      </c>
    </row>
    <row r="821" spans="1:46" ht="92.4">
      <c r="A821" t="s">
        <v>155</v>
      </c>
      <c r="B821" t="s">
        <v>245</v>
      </c>
      <c r="C821" t="s">
        <v>772</v>
      </c>
      <c r="D821">
        <v>166</v>
      </c>
      <c r="E821" t="s">
        <v>158</v>
      </c>
      <c r="F821">
        <v>166</v>
      </c>
      <c r="G821">
        <v>165.6</v>
      </c>
      <c r="H821">
        <v>127</v>
      </c>
      <c r="I821">
        <v>148</v>
      </c>
      <c r="J821">
        <v>125</v>
      </c>
      <c r="K821">
        <v>82</v>
      </c>
      <c r="L821">
        <v>111</v>
      </c>
      <c r="M821">
        <v>13.8</v>
      </c>
      <c r="N821">
        <v>1915</v>
      </c>
      <c r="O821">
        <v>0.83</v>
      </c>
      <c r="P821">
        <v>1583</v>
      </c>
      <c r="Q821">
        <v>215</v>
      </c>
      <c r="R821">
        <v>123</v>
      </c>
      <c r="S821">
        <v>49</v>
      </c>
      <c r="T821">
        <v>280</v>
      </c>
      <c r="U821">
        <v>6</v>
      </c>
      <c r="V821">
        <v>106</v>
      </c>
      <c r="W821">
        <v>0.12</v>
      </c>
      <c r="X821">
        <v>84</v>
      </c>
      <c r="Y821">
        <v>95</v>
      </c>
      <c r="Z821">
        <v>197</v>
      </c>
      <c r="AA821">
        <v>4</v>
      </c>
      <c r="AB821">
        <v>9.3000000000000007</v>
      </c>
      <c r="AC821" t="s">
        <v>231</v>
      </c>
      <c r="AD821" t="s">
        <v>188</v>
      </c>
      <c r="AG821" t="s">
        <v>5137</v>
      </c>
      <c r="AH821" t="s">
        <v>1282</v>
      </c>
      <c r="AI821" s="245">
        <v>469.94</v>
      </c>
      <c r="AJ821" t="s">
        <v>5138</v>
      </c>
      <c r="AK821" t="s">
        <v>5139</v>
      </c>
      <c r="AL821" t="s">
        <v>2255</v>
      </c>
      <c r="AM821" s="245">
        <v>639.99</v>
      </c>
      <c r="AN821" t="s">
        <v>5140</v>
      </c>
      <c r="AO821" t="s">
        <v>5139</v>
      </c>
      <c r="AP821" t="s">
        <v>1248</v>
      </c>
      <c r="AQ821" s="245">
        <v>664.99</v>
      </c>
      <c r="AR821" t="s">
        <v>5141</v>
      </c>
      <c r="AS821" s="226" t="str">
        <f t="shared" si="24"/>
        <v>RC One 82 GT</v>
      </c>
      <c r="AT821" s="203" t="str">
        <f t="shared" si="25"/>
        <v xml:space="preserve"> FischerRC One 82 GT166 Unisex</v>
      </c>
    </row>
    <row r="822" spans="1:46" ht="52.8">
      <c r="A822" t="s">
        <v>155</v>
      </c>
      <c r="B822" t="s">
        <v>208</v>
      </c>
      <c r="C822" t="s">
        <v>637</v>
      </c>
      <c r="D822">
        <v>164</v>
      </c>
      <c r="E822" t="s">
        <v>158</v>
      </c>
      <c r="F822">
        <v>164</v>
      </c>
      <c r="G822">
        <v>164.8</v>
      </c>
      <c r="H822">
        <v>132</v>
      </c>
      <c r="I822">
        <v>131</v>
      </c>
      <c r="J822">
        <v>128</v>
      </c>
      <c r="K822">
        <v>94</v>
      </c>
      <c r="L822">
        <v>119</v>
      </c>
      <c r="M822">
        <v>13.8</v>
      </c>
      <c r="N822">
        <v>1581</v>
      </c>
      <c r="O822">
        <v>1.1000000000000001</v>
      </c>
      <c r="P822">
        <v>1736</v>
      </c>
      <c r="Q822">
        <v>108</v>
      </c>
      <c r="R822">
        <v>66</v>
      </c>
      <c r="S822">
        <v>36</v>
      </c>
      <c r="T822">
        <v>161</v>
      </c>
      <c r="U822">
        <v>34</v>
      </c>
      <c r="V822">
        <v>165</v>
      </c>
      <c r="W822">
        <v>0.96299999999999997</v>
      </c>
      <c r="X822">
        <v>165</v>
      </c>
      <c r="Y822">
        <v>178</v>
      </c>
      <c r="Z822">
        <v>-4</v>
      </c>
      <c r="AA822">
        <v>9</v>
      </c>
      <c r="AB822">
        <v>3.6</v>
      </c>
      <c r="AC822" t="s">
        <v>184</v>
      </c>
      <c r="AD822" t="s">
        <v>185</v>
      </c>
      <c r="AG822" t="s">
        <v>4450</v>
      </c>
      <c r="AH822" t="s">
        <v>1405</v>
      </c>
      <c r="AI822" s="245">
        <v>499.95</v>
      </c>
      <c r="AJ822" t="s">
        <v>5142</v>
      </c>
      <c r="AK822" t="s">
        <v>4450</v>
      </c>
      <c r="AL822" t="s">
        <v>1226</v>
      </c>
      <c r="AM822" s="245">
        <v>499.95</v>
      </c>
      <c r="AN822" t="s">
        <v>5143</v>
      </c>
      <c r="AO822" t="s">
        <v>4450</v>
      </c>
      <c r="AP822" t="s">
        <v>1181</v>
      </c>
      <c r="AQ822" s="245">
        <v>499.95</v>
      </c>
      <c r="AR822" t="s">
        <v>5144</v>
      </c>
      <c r="AS822" s="226" t="str">
        <f t="shared" si="24"/>
        <v>Chronic</v>
      </c>
      <c r="AT822" s="203" t="str">
        <f t="shared" si="25"/>
        <v xml:space="preserve"> LineChronic164 Unisex</v>
      </c>
    </row>
    <row r="823" spans="1:46" ht="105.6">
      <c r="A823" t="s">
        <v>155</v>
      </c>
      <c r="B823" t="s">
        <v>237</v>
      </c>
      <c r="C823" t="s">
        <v>773</v>
      </c>
      <c r="D823">
        <v>182.1</v>
      </c>
      <c r="E823" t="s">
        <v>158</v>
      </c>
      <c r="F823">
        <v>182.1</v>
      </c>
      <c r="G823">
        <v>180.9</v>
      </c>
      <c r="H823">
        <v>115</v>
      </c>
      <c r="I823">
        <v>148</v>
      </c>
      <c r="J823">
        <v>145</v>
      </c>
      <c r="K823">
        <v>114</v>
      </c>
      <c r="L823">
        <v>134</v>
      </c>
      <c r="M823">
        <v>19.3</v>
      </c>
      <c r="N823">
        <v>2227</v>
      </c>
      <c r="O823">
        <v>1.01</v>
      </c>
      <c r="P823">
        <v>2241</v>
      </c>
      <c r="Q823">
        <v>230</v>
      </c>
      <c r="R823">
        <v>107</v>
      </c>
      <c r="S823">
        <v>50</v>
      </c>
      <c r="T823">
        <v>375</v>
      </c>
      <c r="U823">
        <v>47</v>
      </c>
      <c r="V823">
        <v>286</v>
      </c>
      <c r="W823">
        <v>0.92799999999999905</v>
      </c>
      <c r="X823">
        <v>185</v>
      </c>
      <c r="Y823">
        <v>145</v>
      </c>
      <c r="Z823">
        <v>191</v>
      </c>
      <c r="AA823">
        <v>7</v>
      </c>
      <c r="AB823">
        <v>7.1</v>
      </c>
      <c r="AC823" t="s">
        <v>184</v>
      </c>
      <c r="AD823" t="s">
        <v>169</v>
      </c>
      <c r="AG823" t="s">
        <v>5145</v>
      </c>
      <c r="AH823" t="s">
        <v>1277</v>
      </c>
      <c r="AI823" s="245">
        <v>550</v>
      </c>
      <c r="AJ823" t="s">
        <v>5146</v>
      </c>
      <c r="AK823" t="s">
        <v>5147</v>
      </c>
      <c r="AL823" t="s">
        <v>1349</v>
      </c>
      <c r="AM823" s="245">
        <v>669.24</v>
      </c>
      <c r="AN823" t="s">
        <v>5148</v>
      </c>
      <c r="AO823" t="s">
        <v>5149</v>
      </c>
      <c r="AP823" t="s">
        <v>1592</v>
      </c>
      <c r="AQ823" s="245">
        <v>684.58</v>
      </c>
      <c r="AR823" t="s">
        <v>5150</v>
      </c>
      <c r="AS823" s="226" t="str">
        <f t="shared" si="24"/>
        <v>Anima</v>
      </c>
      <c r="AT823" s="203" t="str">
        <f t="shared" si="25"/>
        <v xml:space="preserve"> Black CrowsAnima182.1 Unisex</v>
      </c>
    </row>
    <row r="824" spans="1:46" ht="92.4">
      <c r="A824" t="s">
        <v>155</v>
      </c>
      <c r="B824" t="s">
        <v>156</v>
      </c>
      <c r="C824" t="s">
        <v>157</v>
      </c>
      <c r="D824">
        <v>161</v>
      </c>
      <c r="E824" t="s">
        <v>158</v>
      </c>
      <c r="F824">
        <v>161</v>
      </c>
      <c r="G824">
        <v>160.4</v>
      </c>
      <c r="H824">
        <v>135</v>
      </c>
      <c r="I824">
        <v>143</v>
      </c>
      <c r="J824">
        <v>115</v>
      </c>
      <c r="K824">
        <v>74</v>
      </c>
      <c r="L824">
        <v>99</v>
      </c>
      <c r="M824">
        <v>15.3</v>
      </c>
      <c r="N824">
        <v>1731</v>
      </c>
      <c r="O824">
        <v>0.81</v>
      </c>
      <c r="P824">
        <v>1394</v>
      </c>
      <c r="Q824">
        <v>156</v>
      </c>
      <c r="R824">
        <v>67</v>
      </c>
      <c r="S824">
        <v>39</v>
      </c>
      <c r="T824">
        <v>178</v>
      </c>
      <c r="U824">
        <v>4</v>
      </c>
      <c r="V824">
        <v>76</v>
      </c>
      <c r="W824">
        <v>0.113</v>
      </c>
      <c r="X824">
        <v>98</v>
      </c>
      <c r="Y824">
        <v>71</v>
      </c>
      <c r="Z824">
        <v>79</v>
      </c>
      <c r="AA824">
        <v>10</v>
      </c>
      <c r="AB824">
        <v>10.4</v>
      </c>
      <c r="AC824" t="s">
        <v>349</v>
      </c>
      <c r="AD824" t="s">
        <v>231</v>
      </c>
      <c r="AG824" t="s">
        <v>3502</v>
      </c>
      <c r="AH824" t="s">
        <v>1181</v>
      </c>
      <c r="AI824" s="245">
        <v>319.99</v>
      </c>
      <c r="AJ824" t="s">
        <v>5151</v>
      </c>
      <c r="AK824" t="s">
        <v>3502</v>
      </c>
      <c r="AL824" t="s">
        <v>1183</v>
      </c>
      <c r="AM824" s="245">
        <v>335.99</v>
      </c>
      <c r="AN824" t="s">
        <v>5152</v>
      </c>
      <c r="AO824" t="s">
        <v>5153</v>
      </c>
      <c r="AP824" t="s">
        <v>3538</v>
      </c>
      <c r="AQ824" s="245">
        <v>399.99</v>
      </c>
      <c r="AR824" t="s">
        <v>5154</v>
      </c>
      <c r="AS824" s="226" t="str">
        <f t="shared" si="24"/>
        <v>Vantage 75 C</v>
      </c>
      <c r="AT824" s="203" t="str">
        <f t="shared" si="25"/>
        <v xml:space="preserve"> AtomicVantage 75 C161 Unisex</v>
      </c>
    </row>
    <row r="825" spans="1:46" ht="66">
      <c r="A825" t="s">
        <v>155</v>
      </c>
      <c r="B825" t="s">
        <v>208</v>
      </c>
      <c r="C825" t="s">
        <v>482</v>
      </c>
      <c r="D825">
        <v>172</v>
      </c>
      <c r="E825" t="s">
        <v>158</v>
      </c>
      <c r="F825">
        <v>172</v>
      </c>
      <c r="G825">
        <v>171.4</v>
      </c>
      <c r="H825">
        <v>133</v>
      </c>
      <c r="I825">
        <v>147</v>
      </c>
      <c r="J825">
        <v>120</v>
      </c>
      <c r="K825">
        <v>91</v>
      </c>
      <c r="L825">
        <v>117</v>
      </c>
      <c r="M825">
        <v>18.899999999999999</v>
      </c>
      <c r="N825">
        <v>1661</v>
      </c>
      <c r="O825">
        <v>1.04</v>
      </c>
      <c r="P825">
        <v>1728</v>
      </c>
      <c r="Q825">
        <v>141</v>
      </c>
      <c r="R825">
        <v>63</v>
      </c>
      <c r="S825">
        <v>46</v>
      </c>
      <c r="T825">
        <v>199</v>
      </c>
      <c r="U825">
        <v>40</v>
      </c>
      <c r="V825">
        <v>190</v>
      </c>
      <c r="W825">
        <v>0.88500000000000001</v>
      </c>
      <c r="X825">
        <v>123</v>
      </c>
      <c r="Y825">
        <v>126</v>
      </c>
      <c r="Z825">
        <v>76</v>
      </c>
      <c r="AA825">
        <v>7</v>
      </c>
      <c r="AB825">
        <v>3.4</v>
      </c>
      <c r="AC825" t="s">
        <v>184</v>
      </c>
      <c r="AG825" t="s">
        <v>2557</v>
      </c>
      <c r="AH825" t="s">
        <v>1211</v>
      </c>
      <c r="AI825" s="245">
        <v>349.95</v>
      </c>
      <c r="AJ825" t="s">
        <v>5155</v>
      </c>
      <c r="AS825" s="226" t="str">
        <f t="shared" si="24"/>
        <v>Honey Badger</v>
      </c>
      <c r="AT825" s="203" t="str">
        <f t="shared" si="25"/>
        <v xml:space="preserve"> LineHoney Badger172 Unisex</v>
      </c>
    </row>
    <row r="826" spans="1:46" ht="105.6">
      <c r="A826" t="s">
        <v>155</v>
      </c>
      <c r="B826" t="s">
        <v>332</v>
      </c>
      <c r="C826" t="s">
        <v>738</v>
      </c>
      <c r="D826">
        <v>156</v>
      </c>
      <c r="E826" t="s">
        <v>163</v>
      </c>
      <c r="F826">
        <v>156</v>
      </c>
      <c r="G826">
        <v>155.19999999999999</v>
      </c>
      <c r="H826">
        <v>130</v>
      </c>
      <c r="I826">
        <v>141</v>
      </c>
      <c r="J826">
        <v>122</v>
      </c>
      <c r="K826">
        <v>73</v>
      </c>
      <c r="L826">
        <v>99</v>
      </c>
      <c r="M826">
        <v>12.6</v>
      </c>
      <c r="N826">
        <v>1691</v>
      </c>
      <c r="O826">
        <v>0.8</v>
      </c>
      <c r="P826">
        <v>1346</v>
      </c>
      <c r="Q826">
        <v>164</v>
      </c>
      <c r="R826">
        <v>65</v>
      </c>
      <c r="S826">
        <v>38</v>
      </c>
      <c r="T826">
        <v>159</v>
      </c>
      <c r="U826">
        <v>10</v>
      </c>
      <c r="V826">
        <v>94</v>
      </c>
      <c r="W826">
        <v>0.26300000000000001</v>
      </c>
      <c r="X826">
        <v>64</v>
      </c>
      <c r="Y826">
        <v>82</v>
      </c>
      <c r="Z826">
        <v>95</v>
      </c>
      <c r="AA826">
        <v>5</v>
      </c>
      <c r="AB826">
        <v>9.1</v>
      </c>
      <c r="AC826" t="s">
        <v>160</v>
      </c>
      <c r="AG826" t="s">
        <v>5156</v>
      </c>
      <c r="AH826" t="s">
        <v>1181</v>
      </c>
      <c r="AI826" s="245">
        <v>399.99</v>
      </c>
      <c r="AJ826" t="s">
        <v>5157</v>
      </c>
      <c r="AK826" t="s">
        <v>5158</v>
      </c>
      <c r="AL826" t="s">
        <v>1610</v>
      </c>
      <c r="AM826" s="245">
        <v>599.99</v>
      </c>
      <c r="AN826" t="s">
        <v>5159</v>
      </c>
      <c r="AO826" t="s">
        <v>5160</v>
      </c>
      <c r="AP826" t="s">
        <v>1843</v>
      </c>
      <c r="AQ826" s="245">
        <v>359.99</v>
      </c>
      <c r="AR826" t="s">
        <v>5161</v>
      </c>
      <c r="AS826" s="226" t="str">
        <f t="shared" si="24"/>
        <v>Belle 73</v>
      </c>
      <c r="AT826" s="203" t="str">
        <f t="shared" si="25"/>
        <v xml:space="preserve"> NordicaBelle 73156 Women's</v>
      </c>
    </row>
    <row r="827" spans="1:46" ht="92.4">
      <c r="A827" t="s">
        <v>155</v>
      </c>
      <c r="B827" t="s">
        <v>332</v>
      </c>
      <c r="C827" t="s">
        <v>726</v>
      </c>
      <c r="D827">
        <v>151</v>
      </c>
      <c r="E827" t="s">
        <v>163</v>
      </c>
      <c r="F827">
        <v>151</v>
      </c>
      <c r="G827">
        <v>149.69999999999999</v>
      </c>
      <c r="H827">
        <v>109</v>
      </c>
      <c r="I827">
        <v>128</v>
      </c>
      <c r="J827">
        <v>119</v>
      </c>
      <c r="K827">
        <v>83</v>
      </c>
      <c r="L827">
        <v>104</v>
      </c>
      <c r="M827">
        <v>12.8</v>
      </c>
      <c r="N827">
        <v>1399</v>
      </c>
      <c r="O827">
        <v>1.02</v>
      </c>
      <c r="P827">
        <v>1427</v>
      </c>
      <c r="Q827">
        <v>163</v>
      </c>
      <c r="R827">
        <v>75</v>
      </c>
      <c r="S827">
        <v>60</v>
      </c>
      <c r="T827">
        <v>257</v>
      </c>
      <c r="U827">
        <v>17</v>
      </c>
      <c r="V827">
        <v>150</v>
      </c>
      <c r="W827">
        <v>0.28999999999999998</v>
      </c>
      <c r="X827">
        <v>129</v>
      </c>
      <c r="Y827">
        <v>91</v>
      </c>
      <c r="Z827">
        <v>128</v>
      </c>
      <c r="AA827">
        <v>3</v>
      </c>
      <c r="AB827">
        <v>10</v>
      </c>
      <c r="AC827" t="s">
        <v>231</v>
      </c>
      <c r="AD827" t="s">
        <v>188</v>
      </c>
      <c r="AG827" t="s">
        <v>5162</v>
      </c>
      <c r="AH827" t="s">
        <v>1204</v>
      </c>
      <c r="AI827" s="245">
        <v>400.72</v>
      </c>
      <c r="AJ827" t="s">
        <v>5163</v>
      </c>
      <c r="AK827" t="s">
        <v>5164</v>
      </c>
      <c r="AL827" t="s">
        <v>1421</v>
      </c>
      <c r="AM827" s="245">
        <v>412.49</v>
      </c>
      <c r="AN827" t="s">
        <v>5165</v>
      </c>
      <c r="AO827" t="s">
        <v>5166</v>
      </c>
      <c r="AP827" t="s">
        <v>1497</v>
      </c>
      <c r="AQ827" s="245">
        <v>439.96</v>
      </c>
      <c r="AR827" t="s">
        <v>5167</v>
      </c>
      <c r="AS827" s="226" t="str">
        <f t="shared" si="24"/>
        <v>Santa Ana 84</v>
      </c>
      <c r="AT827" s="203" t="str">
        <f t="shared" si="25"/>
        <v xml:space="preserve"> NordicaSanta Ana 84151 Women's</v>
      </c>
    </row>
    <row r="828" spans="1:46" ht="118.8">
      <c r="A828" t="s">
        <v>155</v>
      </c>
      <c r="B828" t="s">
        <v>1395</v>
      </c>
      <c r="C828" t="s">
        <v>775</v>
      </c>
      <c r="D828">
        <v>161</v>
      </c>
      <c r="E828" t="s">
        <v>163</v>
      </c>
      <c r="F828">
        <v>161</v>
      </c>
      <c r="G828">
        <v>161.30000000000001</v>
      </c>
      <c r="H828">
        <v>122</v>
      </c>
      <c r="I828">
        <v>138</v>
      </c>
      <c r="J828">
        <v>124</v>
      </c>
      <c r="K828">
        <v>83</v>
      </c>
      <c r="L828">
        <v>106</v>
      </c>
      <c r="M828">
        <v>14.3</v>
      </c>
      <c r="N828">
        <v>1411</v>
      </c>
      <c r="O828">
        <v>1.1000000000000001</v>
      </c>
      <c r="P828">
        <v>1552</v>
      </c>
      <c r="Q828">
        <v>169</v>
      </c>
      <c r="R828">
        <v>67</v>
      </c>
      <c r="S828">
        <v>38</v>
      </c>
      <c r="T828">
        <v>211</v>
      </c>
      <c r="U828">
        <v>14</v>
      </c>
      <c r="V828">
        <v>183</v>
      </c>
      <c r="W828">
        <v>0.36499999999999999</v>
      </c>
      <c r="X828">
        <v>130</v>
      </c>
      <c r="Y828">
        <v>106</v>
      </c>
      <c r="Z828">
        <v>81</v>
      </c>
      <c r="AA828">
        <v>2</v>
      </c>
      <c r="AB828">
        <v>11.8</v>
      </c>
      <c r="AC828" t="s">
        <v>231</v>
      </c>
      <c r="AD828" t="s">
        <v>188</v>
      </c>
      <c r="AE828" t="s">
        <v>185</v>
      </c>
      <c r="AG828" t="s">
        <v>5168</v>
      </c>
      <c r="AH828" t="s">
        <v>1181</v>
      </c>
      <c r="AI828" s="245">
        <v>459.95</v>
      </c>
      <c r="AJ828" t="s">
        <v>5169</v>
      </c>
      <c r="AK828" t="s">
        <v>5168</v>
      </c>
      <c r="AL828" t="s">
        <v>2516</v>
      </c>
      <c r="AM828" s="245">
        <v>459.95</v>
      </c>
      <c r="AN828" t="s">
        <v>5170</v>
      </c>
      <c r="AO828" t="s">
        <v>5171</v>
      </c>
      <c r="AP828" t="s">
        <v>1232</v>
      </c>
      <c r="AQ828" s="245">
        <v>479.95</v>
      </c>
      <c r="AR828" t="s">
        <v>5172</v>
      </c>
      <c r="AS828" s="226" t="str">
        <f t="shared" si="24"/>
        <v>Yumi 84</v>
      </c>
      <c r="AT828" s="203" t="str">
        <f t="shared" si="25"/>
        <v xml:space="preserve"> Vï¿½lklYumi 84161 Women's</v>
      </c>
    </row>
    <row r="829" spans="1:46" ht="118.8">
      <c r="A829" t="s">
        <v>155</v>
      </c>
      <c r="B829" t="s">
        <v>164</v>
      </c>
      <c r="C829" t="s">
        <v>777</v>
      </c>
      <c r="D829">
        <v>168</v>
      </c>
      <c r="E829" t="s">
        <v>163</v>
      </c>
      <c r="F829">
        <v>168</v>
      </c>
      <c r="G829">
        <v>167.5</v>
      </c>
      <c r="H829">
        <v>144</v>
      </c>
      <c r="I829">
        <v>153</v>
      </c>
      <c r="J829">
        <v>127</v>
      </c>
      <c r="K829">
        <v>75</v>
      </c>
      <c r="L829">
        <v>102</v>
      </c>
      <c r="M829">
        <v>15.1</v>
      </c>
      <c r="N829">
        <v>1819</v>
      </c>
      <c r="O829">
        <v>0.83</v>
      </c>
      <c r="P829">
        <v>1513</v>
      </c>
      <c r="Q829">
        <v>203</v>
      </c>
      <c r="R829">
        <v>70</v>
      </c>
      <c r="S829">
        <v>34</v>
      </c>
      <c r="T829">
        <v>154</v>
      </c>
      <c r="U829">
        <v>10</v>
      </c>
      <c r="V829">
        <v>77</v>
      </c>
      <c r="W829">
        <v>0.28599999999999998</v>
      </c>
      <c r="X829">
        <v>85</v>
      </c>
      <c r="Y829">
        <v>59</v>
      </c>
      <c r="Z829">
        <v>69</v>
      </c>
      <c r="AA829">
        <v>8</v>
      </c>
      <c r="AB829">
        <v>10.5</v>
      </c>
      <c r="AC829" t="s">
        <v>349</v>
      </c>
      <c r="AG829" t="s">
        <v>4401</v>
      </c>
      <c r="AH829" t="s">
        <v>3026</v>
      </c>
      <c r="AI829" s="245">
        <v>296.51</v>
      </c>
      <c r="AJ829" t="s">
        <v>5173</v>
      </c>
      <c r="AK829" t="s">
        <v>4403</v>
      </c>
      <c r="AL829" t="s">
        <v>1204</v>
      </c>
      <c r="AM829" s="245">
        <v>424.76</v>
      </c>
      <c r="AN829" t="s">
        <v>5174</v>
      </c>
      <c r="AO829" t="s">
        <v>4405</v>
      </c>
      <c r="AP829" t="s">
        <v>3990</v>
      </c>
      <c r="AQ829" s="245">
        <v>449.99</v>
      </c>
      <c r="AR829" t="s">
        <v>5175</v>
      </c>
      <c r="AS829" s="226" t="str">
        <f t="shared" si="24"/>
        <v>Element W</v>
      </c>
      <c r="AT829" s="203" t="str">
        <f t="shared" si="25"/>
        <v xml:space="preserve"> ElanElement W168 Women's</v>
      </c>
    </row>
    <row r="830" spans="1:46" ht="52.8">
      <c r="A830" t="s">
        <v>155</v>
      </c>
      <c r="B830" t="s">
        <v>182</v>
      </c>
      <c r="C830" t="s">
        <v>686</v>
      </c>
      <c r="D830">
        <v>172</v>
      </c>
      <c r="E830" t="s">
        <v>158</v>
      </c>
      <c r="F830">
        <v>172</v>
      </c>
      <c r="G830">
        <v>170.9</v>
      </c>
      <c r="H830">
        <v>119</v>
      </c>
      <c r="I830">
        <v>140</v>
      </c>
      <c r="J830">
        <v>138</v>
      </c>
      <c r="K830">
        <v>99</v>
      </c>
      <c r="L830">
        <v>119</v>
      </c>
      <c r="M830">
        <v>15.2</v>
      </c>
      <c r="N830">
        <v>2003</v>
      </c>
      <c r="O830">
        <v>0.96</v>
      </c>
      <c r="P830">
        <v>1924</v>
      </c>
      <c r="Q830">
        <v>163</v>
      </c>
      <c r="R830">
        <v>75</v>
      </c>
      <c r="S830">
        <v>57</v>
      </c>
      <c r="T830">
        <v>294</v>
      </c>
      <c r="U830">
        <v>35</v>
      </c>
      <c r="V830">
        <v>226</v>
      </c>
      <c r="W830">
        <v>0.60499999999999998</v>
      </c>
      <c r="X830">
        <v>196</v>
      </c>
      <c r="Y830">
        <v>111</v>
      </c>
      <c r="Z830">
        <v>97</v>
      </c>
      <c r="AA830">
        <v>8</v>
      </c>
      <c r="AB830">
        <v>10.1</v>
      </c>
      <c r="AC830" t="s">
        <v>188</v>
      </c>
      <c r="AG830" t="s">
        <v>5176</v>
      </c>
      <c r="AH830" t="s">
        <v>1194</v>
      </c>
      <c r="AI830" s="245">
        <v>441.56</v>
      </c>
      <c r="AJ830" t="s">
        <v>5177</v>
      </c>
      <c r="AK830" t="s">
        <v>5176</v>
      </c>
      <c r="AL830" t="s">
        <v>2425</v>
      </c>
      <c r="AM830" s="245">
        <v>559.96</v>
      </c>
      <c r="AN830" t="s">
        <v>5178</v>
      </c>
      <c r="AO830" t="s">
        <v>5176</v>
      </c>
      <c r="AP830" t="s">
        <v>1301</v>
      </c>
      <c r="AQ830" s="245">
        <v>559.96</v>
      </c>
      <c r="AR830" t="s">
        <v>5179</v>
      </c>
      <c r="AS830" s="226" t="str">
        <f t="shared" si="24"/>
        <v>Stranger</v>
      </c>
      <c r="AT830" s="203" t="str">
        <f t="shared" si="25"/>
        <v xml:space="preserve"> ArmadaStranger172 Unisex</v>
      </c>
    </row>
    <row r="831" spans="1:46" ht="145.19999999999999">
      <c r="A831" t="s">
        <v>155</v>
      </c>
      <c r="B831" t="s">
        <v>245</v>
      </c>
      <c r="C831" t="s">
        <v>337</v>
      </c>
      <c r="D831">
        <v>191</v>
      </c>
      <c r="E831" t="s">
        <v>163</v>
      </c>
      <c r="F831">
        <v>191</v>
      </c>
      <c r="G831">
        <v>190.3</v>
      </c>
      <c r="H831">
        <v>131</v>
      </c>
      <c r="I831">
        <v>157</v>
      </c>
      <c r="J831">
        <v>137</v>
      </c>
      <c r="K831">
        <v>103</v>
      </c>
      <c r="L831">
        <v>127</v>
      </c>
      <c r="M831">
        <v>17.7</v>
      </c>
      <c r="N831">
        <v>2039</v>
      </c>
      <c r="O831">
        <v>1.08</v>
      </c>
      <c r="P831">
        <v>2205</v>
      </c>
      <c r="Q831">
        <v>247</v>
      </c>
      <c r="R831">
        <v>126</v>
      </c>
      <c r="S831">
        <v>49</v>
      </c>
      <c r="T831">
        <v>379</v>
      </c>
      <c r="U831">
        <v>27</v>
      </c>
      <c r="V831">
        <v>212</v>
      </c>
      <c r="W831">
        <v>0.55100000000000005</v>
      </c>
      <c r="X831">
        <v>174</v>
      </c>
      <c r="Y831">
        <v>155</v>
      </c>
      <c r="Z831">
        <v>205</v>
      </c>
      <c r="AA831">
        <v>7</v>
      </c>
      <c r="AB831">
        <v>10.7</v>
      </c>
      <c r="AC831" t="s">
        <v>188</v>
      </c>
      <c r="AD831" t="s">
        <v>169</v>
      </c>
      <c r="AE831" t="s">
        <v>185</v>
      </c>
      <c r="AG831" t="s">
        <v>4827</v>
      </c>
      <c r="AH831" t="s">
        <v>1450</v>
      </c>
      <c r="AI831" s="245">
        <v>699.99</v>
      </c>
      <c r="AJ831" t="s">
        <v>5180</v>
      </c>
      <c r="AK831" t="s">
        <v>4829</v>
      </c>
      <c r="AL831" t="s">
        <v>1405</v>
      </c>
      <c r="AM831" s="245">
        <v>849.99</v>
      </c>
      <c r="AN831" t="s">
        <v>5181</v>
      </c>
      <c r="AO831" t="s">
        <v>4831</v>
      </c>
      <c r="AP831" t="s">
        <v>1455</v>
      </c>
      <c r="AQ831" s="245">
        <v>699.99</v>
      </c>
      <c r="AR831" t="s">
        <v>5182</v>
      </c>
      <c r="AS831" s="226" t="str">
        <f t="shared" si="24"/>
        <v>Ranger 102 FR W</v>
      </c>
      <c r="AT831" s="203" t="str">
        <f t="shared" si="25"/>
        <v xml:space="preserve"> FischerRanger 102 FR W191 Women's</v>
      </c>
    </row>
    <row r="832" spans="1:46" ht="105.6">
      <c r="A832" t="s">
        <v>155</v>
      </c>
      <c r="B832" t="s">
        <v>1395</v>
      </c>
      <c r="C832" t="s">
        <v>778</v>
      </c>
      <c r="D832">
        <v>165</v>
      </c>
      <c r="E832" t="s">
        <v>163</v>
      </c>
      <c r="F832">
        <v>165</v>
      </c>
      <c r="G832">
        <v>164.5</v>
      </c>
      <c r="H832">
        <v>75</v>
      </c>
      <c r="I832">
        <v>140</v>
      </c>
      <c r="J832">
        <v>133</v>
      </c>
      <c r="K832">
        <v>93</v>
      </c>
      <c r="L832">
        <v>115</v>
      </c>
      <c r="M832">
        <v>15.1</v>
      </c>
      <c r="N832">
        <v>1458</v>
      </c>
      <c r="O832">
        <v>1.19</v>
      </c>
      <c r="P832">
        <v>1740</v>
      </c>
      <c r="Q832">
        <v>177</v>
      </c>
      <c r="R832">
        <v>86</v>
      </c>
      <c r="S832">
        <v>53</v>
      </c>
      <c r="T832">
        <v>532</v>
      </c>
      <c r="U832">
        <v>23</v>
      </c>
      <c r="V832">
        <v>360</v>
      </c>
      <c r="W832">
        <v>0.42899999999999999</v>
      </c>
      <c r="X832">
        <v>140</v>
      </c>
      <c r="Y832">
        <v>101</v>
      </c>
      <c r="Z832">
        <v>391</v>
      </c>
      <c r="AA832">
        <v>1</v>
      </c>
      <c r="AB832">
        <v>11.9</v>
      </c>
      <c r="AC832" t="s">
        <v>188</v>
      </c>
      <c r="AD832" t="s">
        <v>185</v>
      </c>
      <c r="AG832" t="s">
        <v>5183</v>
      </c>
      <c r="AH832" t="s">
        <v>1497</v>
      </c>
      <c r="AI832" s="245">
        <v>439.96</v>
      </c>
      <c r="AJ832" t="s">
        <v>5184</v>
      </c>
      <c r="AK832" t="s">
        <v>5185</v>
      </c>
      <c r="AL832" t="s">
        <v>1400</v>
      </c>
      <c r="AM832" s="245">
        <v>439.99</v>
      </c>
      <c r="AN832" t="s">
        <v>5186</v>
      </c>
      <c r="AO832" t="s">
        <v>5187</v>
      </c>
      <c r="AP832" t="s">
        <v>1807</v>
      </c>
      <c r="AQ832" s="245">
        <v>449.91</v>
      </c>
      <c r="AR832" t="s">
        <v>5188</v>
      </c>
      <c r="AS832" s="226" t="str">
        <f t="shared" si="24"/>
        <v>Blaze 94 W</v>
      </c>
      <c r="AT832" s="203" t="str">
        <f t="shared" si="25"/>
        <v xml:space="preserve"> Vï¿½lklBlaze 94 W165 Women's</v>
      </c>
    </row>
    <row r="833" spans="1:46" ht="92.4">
      <c r="A833" t="s">
        <v>155</v>
      </c>
      <c r="B833" t="s">
        <v>1361</v>
      </c>
      <c r="C833" t="s">
        <v>375</v>
      </c>
      <c r="D833">
        <v>170</v>
      </c>
      <c r="E833" t="s">
        <v>158</v>
      </c>
      <c r="F833">
        <v>170</v>
      </c>
      <c r="G833">
        <v>168.7</v>
      </c>
      <c r="H833">
        <v>148</v>
      </c>
      <c r="I833">
        <v>156</v>
      </c>
      <c r="J833">
        <v>122</v>
      </c>
      <c r="K833">
        <v>71</v>
      </c>
      <c r="L833">
        <v>103</v>
      </c>
      <c r="M833">
        <v>14.7</v>
      </c>
      <c r="N833">
        <v>1818</v>
      </c>
      <c r="O833">
        <v>0.8</v>
      </c>
      <c r="P833">
        <v>1463</v>
      </c>
      <c r="Q833">
        <v>206</v>
      </c>
      <c r="R833">
        <v>114</v>
      </c>
      <c r="S833">
        <v>39</v>
      </c>
      <c r="T833">
        <v>146</v>
      </c>
      <c r="U833">
        <v>6</v>
      </c>
      <c r="V833">
        <v>61</v>
      </c>
      <c r="W833">
        <v>0.14199999999999999</v>
      </c>
      <c r="X833">
        <v>72</v>
      </c>
      <c r="Y833">
        <v>57</v>
      </c>
      <c r="Z833">
        <v>74</v>
      </c>
      <c r="AA833">
        <v>8</v>
      </c>
      <c r="AB833">
        <v>12.2</v>
      </c>
      <c r="AC833" t="s">
        <v>349</v>
      </c>
      <c r="AG833" t="s">
        <v>5189</v>
      </c>
      <c r="AH833" t="s">
        <v>1365</v>
      </c>
      <c r="AI833" s="245">
        <v>1419</v>
      </c>
      <c r="AJ833" t="s">
        <v>5190</v>
      </c>
      <c r="AK833" t="s">
        <v>2836</v>
      </c>
      <c r="AL833" t="s">
        <v>2837</v>
      </c>
      <c r="AM833" s="245">
        <v>1489.95</v>
      </c>
      <c r="AN833" t="s">
        <v>5191</v>
      </c>
      <c r="AO833" t="s">
        <v>2839</v>
      </c>
      <c r="AP833" t="s">
        <v>1271</v>
      </c>
      <c r="AQ833" s="245">
        <v>1549</v>
      </c>
      <c r="AR833" t="s">
        <v>5192</v>
      </c>
      <c r="AS833" s="226" t="str">
        <f t="shared" si="24"/>
        <v>Laser SC</v>
      </c>
      <c r="AT833" s="203" t="str">
        <f t="shared" si="25"/>
        <v xml:space="preserve"> Stï¿½ckliLaser SC170 Unisex</v>
      </c>
    </row>
    <row r="834" spans="1:46" ht="66">
      <c r="A834" t="s">
        <v>155</v>
      </c>
      <c r="B834" t="s">
        <v>174</v>
      </c>
      <c r="C834" t="s">
        <v>573</v>
      </c>
      <c r="D834">
        <v>169</v>
      </c>
      <c r="E834" t="s">
        <v>158</v>
      </c>
      <c r="F834">
        <v>169</v>
      </c>
      <c r="G834">
        <v>168.8</v>
      </c>
      <c r="H834">
        <v>94</v>
      </c>
      <c r="I834">
        <v>127</v>
      </c>
      <c r="J834">
        <v>130</v>
      </c>
      <c r="K834">
        <v>97</v>
      </c>
      <c r="L834">
        <v>118</v>
      </c>
      <c r="M834">
        <v>12.5</v>
      </c>
      <c r="N834">
        <v>1813</v>
      </c>
      <c r="O834">
        <v>1.01</v>
      </c>
      <c r="P834">
        <v>1839</v>
      </c>
      <c r="Q834">
        <v>159</v>
      </c>
      <c r="R834">
        <v>73</v>
      </c>
      <c r="S834">
        <v>58</v>
      </c>
      <c r="T834">
        <v>389</v>
      </c>
      <c r="U834">
        <v>32</v>
      </c>
      <c r="V834">
        <v>363</v>
      </c>
      <c r="W834">
        <v>0.54100000000000004</v>
      </c>
      <c r="X834">
        <v>241</v>
      </c>
      <c r="Y834">
        <v>180</v>
      </c>
      <c r="Z834">
        <v>148</v>
      </c>
      <c r="AA834">
        <v>5</v>
      </c>
      <c r="AB834">
        <v>7.6</v>
      </c>
      <c r="AC834" t="s">
        <v>188</v>
      </c>
      <c r="AG834" t="s">
        <v>5193</v>
      </c>
      <c r="AH834" t="s">
        <v>5194</v>
      </c>
      <c r="AI834" s="245">
        <v>189.99</v>
      </c>
      <c r="AJ834" t="s">
        <v>5195</v>
      </c>
      <c r="AK834" t="s">
        <v>3104</v>
      </c>
      <c r="AL834" t="s">
        <v>1294</v>
      </c>
      <c r="AM834" s="245">
        <v>479.93</v>
      </c>
      <c r="AN834" t="s">
        <v>5196</v>
      </c>
      <c r="AO834" t="s">
        <v>3104</v>
      </c>
      <c r="AP834" t="s">
        <v>1400</v>
      </c>
      <c r="AQ834" s="245">
        <v>479.96</v>
      </c>
      <c r="AR834" t="s">
        <v>5197</v>
      </c>
      <c r="AS834" s="226" t="str">
        <f t="shared" ref="AS834:AS897" si="26">IF(LEFT(C834,1)=" ",RIGHT(C834,LEN(C834)-1),C834)</f>
        <v>QST 98</v>
      </c>
      <c r="AT834" s="203" t="str">
        <f t="shared" ref="AT834:AT897" si="27">_xlfn.CONCAT(B834,AS834,D834,E834)</f>
        <v xml:space="preserve"> SalomonQST 98169 Unisex</v>
      </c>
    </row>
    <row r="835" spans="1:46" ht="52.8">
      <c r="A835" t="s">
        <v>155</v>
      </c>
      <c r="B835" t="s">
        <v>202</v>
      </c>
      <c r="C835" t="s">
        <v>380</v>
      </c>
      <c r="D835">
        <v>186</v>
      </c>
      <c r="E835" t="s">
        <v>158</v>
      </c>
      <c r="F835">
        <v>186</v>
      </c>
      <c r="G835">
        <v>185.2</v>
      </c>
      <c r="H835">
        <v>136</v>
      </c>
      <c r="I835">
        <v>153</v>
      </c>
      <c r="J835">
        <v>126</v>
      </c>
      <c r="K835">
        <v>97</v>
      </c>
      <c r="L835">
        <v>116</v>
      </c>
      <c r="M835">
        <v>21.9</v>
      </c>
      <c r="N835">
        <v>2038</v>
      </c>
      <c r="O835">
        <v>0.97</v>
      </c>
      <c r="P835">
        <v>1973</v>
      </c>
      <c r="Q835">
        <v>275</v>
      </c>
      <c r="R835">
        <v>118</v>
      </c>
      <c r="S835">
        <v>61</v>
      </c>
      <c r="T835">
        <v>330</v>
      </c>
      <c r="U835">
        <v>16</v>
      </c>
      <c r="V835">
        <v>162</v>
      </c>
      <c r="W835">
        <v>0.27100000000000002</v>
      </c>
      <c r="X835">
        <v>202</v>
      </c>
      <c r="Y835">
        <v>123</v>
      </c>
      <c r="Z835">
        <v>128</v>
      </c>
      <c r="AA835">
        <v>5</v>
      </c>
      <c r="AB835">
        <v>12.4</v>
      </c>
      <c r="AC835" t="s">
        <v>188</v>
      </c>
      <c r="AG835" t="s">
        <v>5198</v>
      </c>
      <c r="AH835" t="s">
        <v>1224</v>
      </c>
      <c r="AI835" s="245">
        <v>559.96</v>
      </c>
      <c r="AJ835" t="s">
        <v>5199</v>
      </c>
      <c r="AK835" t="s">
        <v>5198</v>
      </c>
      <c r="AL835" t="s">
        <v>1248</v>
      </c>
      <c r="AM835" s="245">
        <v>559.96</v>
      </c>
      <c r="AN835" t="s">
        <v>5200</v>
      </c>
      <c r="AO835" t="s">
        <v>5198</v>
      </c>
      <c r="AP835" t="s">
        <v>1282</v>
      </c>
      <c r="AQ835" s="245">
        <v>559.96</v>
      </c>
      <c r="AR835" t="s">
        <v>5201</v>
      </c>
      <c r="AS835" s="226" t="str">
        <f t="shared" si="26"/>
        <v>M-Pro 99</v>
      </c>
      <c r="AT835" s="203" t="str">
        <f t="shared" si="27"/>
        <v xml:space="preserve"> DynastarM-Pro 99186 Unisex</v>
      </c>
    </row>
    <row r="836" spans="1:46" ht="52.8">
      <c r="A836" t="s">
        <v>155</v>
      </c>
      <c r="B836" t="s">
        <v>1395</v>
      </c>
      <c r="C836" t="s">
        <v>780</v>
      </c>
      <c r="D836">
        <v>177</v>
      </c>
      <c r="E836" t="s">
        <v>158</v>
      </c>
      <c r="F836">
        <v>177</v>
      </c>
      <c r="G836">
        <v>177.4</v>
      </c>
      <c r="H836">
        <v>82</v>
      </c>
      <c r="I836">
        <v>118</v>
      </c>
      <c r="J836">
        <v>141</v>
      </c>
      <c r="K836">
        <v>120</v>
      </c>
      <c r="L836">
        <v>133</v>
      </c>
      <c r="M836">
        <v>17.7</v>
      </c>
      <c r="N836">
        <v>2158</v>
      </c>
      <c r="O836">
        <v>1.04</v>
      </c>
      <c r="P836">
        <v>2242</v>
      </c>
      <c r="Q836">
        <v>193</v>
      </c>
      <c r="R836">
        <v>94</v>
      </c>
      <c r="S836">
        <v>77</v>
      </c>
      <c r="T836">
        <v>487</v>
      </c>
      <c r="U836">
        <v>45</v>
      </c>
      <c r="V836">
        <v>465</v>
      </c>
      <c r="W836">
        <v>0.58499999999999996</v>
      </c>
      <c r="X836">
        <v>298</v>
      </c>
      <c r="Y836">
        <v>298</v>
      </c>
      <c r="Z836">
        <v>189</v>
      </c>
      <c r="AA836">
        <v>5</v>
      </c>
      <c r="AB836">
        <v>3.4</v>
      </c>
      <c r="AC836" t="s">
        <v>169</v>
      </c>
      <c r="AG836" t="s">
        <v>5202</v>
      </c>
      <c r="AH836" t="s">
        <v>1271</v>
      </c>
      <c r="AI836" s="245">
        <v>519.92999999999995</v>
      </c>
      <c r="AJ836" t="s">
        <v>5203</v>
      </c>
      <c r="AK836" t="s">
        <v>5202</v>
      </c>
      <c r="AL836" t="s">
        <v>1224</v>
      </c>
      <c r="AM836" s="245">
        <v>519.99</v>
      </c>
      <c r="AN836" t="s">
        <v>5204</v>
      </c>
      <c r="AO836" t="s">
        <v>5202</v>
      </c>
      <c r="AP836" t="s">
        <v>1248</v>
      </c>
      <c r="AQ836" s="245">
        <v>519.99</v>
      </c>
      <c r="AR836" t="s">
        <v>5205</v>
      </c>
      <c r="AS836" s="226" t="str">
        <f t="shared" si="26"/>
        <v>Revolt 121</v>
      </c>
      <c r="AT836" s="203" t="str">
        <f t="shared" si="27"/>
        <v xml:space="preserve"> Vï¿½lklRevolt 121177 Unisex</v>
      </c>
    </row>
    <row r="837" spans="1:46" ht="92.4">
      <c r="A837" t="s">
        <v>155</v>
      </c>
      <c r="B837" t="s">
        <v>237</v>
      </c>
      <c r="C837" t="s">
        <v>555</v>
      </c>
      <c r="D837">
        <v>183.1</v>
      </c>
      <c r="E837" t="s">
        <v>158</v>
      </c>
      <c r="F837">
        <v>183.1</v>
      </c>
      <c r="G837">
        <v>182</v>
      </c>
      <c r="H837">
        <v>109</v>
      </c>
      <c r="I837">
        <v>163</v>
      </c>
      <c r="J837">
        <v>137</v>
      </c>
      <c r="K837">
        <v>98</v>
      </c>
      <c r="L837">
        <v>122</v>
      </c>
      <c r="M837">
        <v>20.8</v>
      </c>
      <c r="N837">
        <v>2045</v>
      </c>
      <c r="O837">
        <v>0.98</v>
      </c>
      <c r="P837">
        <v>1997</v>
      </c>
      <c r="Q837">
        <v>292</v>
      </c>
      <c r="R837">
        <v>134</v>
      </c>
      <c r="S837">
        <v>48</v>
      </c>
      <c r="T837">
        <v>428</v>
      </c>
      <c r="U837">
        <v>33</v>
      </c>
      <c r="V837">
        <v>299</v>
      </c>
      <c r="W837">
        <v>0.67700000000000005</v>
      </c>
      <c r="X837">
        <v>107</v>
      </c>
      <c r="Y837">
        <v>86</v>
      </c>
      <c r="Z837">
        <v>321</v>
      </c>
      <c r="AA837">
        <v>3</v>
      </c>
      <c r="AB837">
        <v>8.3000000000000007</v>
      </c>
      <c r="AC837" t="s">
        <v>188</v>
      </c>
      <c r="AG837" t="s">
        <v>5206</v>
      </c>
      <c r="AH837" t="s">
        <v>2319</v>
      </c>
      <c r="AI837" s="245">
        <v>600</v>
      </c>
      <c r="AJ837" t="s">
        <v>5207</v>
      </c>
      <c r="AK837" t="s">
        <v>5208</v>
      </c>
      <c r="AL837" t="s">
        <v>1191</v>
      </c>
      <c r="AM837" s="245">
        <v>609.95000000000005</v>
      </c>
      <c r="AN837" t="s">
        <v>5209</v>
      </c>
      <c r="AO837" t="s">
        <v>5208</v>
      </c>
      <c r="AP837" t="s">
        <v>1226</v>
      </c>
      <c r="AQ837" s="245">
        <v>767</v>
      </c>
      <c r="AR837" t="s">
        <v>5210</v>
      </c>
      <c r="AS837" s="226" t="str">
        <f t="shared" si="26"/>
        <v>Justis</v>
      </c>
      <c r="AT837" s="203" t="str">
        <f t="shared" si="27"/>
        <v xml:space="preserve"> Black CrowsJustis183.1 Unisex</v>
      </c>
    </row>
    <row r="838" spans="1:46" ht="92.4">
      <c r="A838" t="s">
        <v>155</v>
      </c>
      <c r="B838" t="s">
        <v>172</v>
      </c>
      <c r="C838" t="s">
        <v>751</v>
      </c>
      <c r="D838">
        <v>162</v>
      </c>
      <c r="E838" t="s">
        <v>158</v>
      </c>
      <c r="F838">
        <v>162</v>
      </c>
      <c r="G838">
        <v>160.6</v>
      </c>
      <c r="H838">
        <v>140</v>
      </c>
      <c r="I838">
        <v>146</v>
      </c>
      <c r="J838">
        <v>121</v>
      </c>
      <c r="K838">
        <v>67</v>
      </c>
      <c r="L838">
        <v>102</v>
      </c>
      <c r="M838">
        <v>11.6</v>
      </c>
      <c r="N838">
        <v>2056</v>
      </c>
      <c r="O838">
        <v>0.66</v>
      </c>
      <c r="P838">
        <v>1348</v>
      </c>
      <c r="Q838">
        <v>197</v>
      </c>
      <c r="R838">
        <v>90</v>
      </c>
      <c r="S838">
        <v>39</v>
      </c>
      <c r="T838">
        <v>137</v>
      </c>
      <c r="U838">
        <v>4</v>
      </c>
      <c r="V838">
        <v>65</v>
      </c>
      <c r="W838">
        <v>0.111</v>
      </c>
      <c r="X838">
        <v>78</v>
      </c>
      <c r="Y838">
        <v>63</v>
      </c>
      <c r="Z838">
        <v>59</v>
      </c>
      <c r="AA838">
        <v>13</v>
      </c>
      <c r="AB838">
        <v>8.9</v>
      </c>
      <c r="AC838" t="s">
        <v>349</v>
      </c>
      <c r="AG838" t="s">
        <v>4878</v>
      </c>
      <c r="AH838" t="s">
        <v>1229</v>
      </c>
      <c r="AI838" s="245">
        <v>664.99</v>
      </c>
      <c r="AJ838" t="s">
        <v>5211</v>
      </c>
      <c r="AK838" t="s">
        <v>3588</v>
      </c>
      <c r="AL838" t="s">
        <v>2049</v>
      </c>
      <c r="AM838" s="245">
        <v>1099.95</v>
      </c>
      <c r="AN838" t="s">
        <v>5212</v>
      </c>
      <c r="AO838" t="s">
        <v>4880</v>
      </c>
      <c r="AP838" t="s">
        <v>1204</v>
      </c>
      <c r="AQ838" s="245">
        <v>721.3</v>
      </c>
      <c r="AR838" t="s">
        <v>5213</v>
      </c>
      <c r="AS838" s="226" t="str">
        <f t="shared" si="26"/>
        <v>Hero Elite ST Ti (R22)</v>
      </c>
      <c r="AT838" s="203" t="str">
        <f t="shared" si="27"/>
        <v xml:space="preserve"> RossignolHero Elite ST Ti (R22)162 Unisex</v>
      </c>
    </row>
    <row r="839" spans="1:46" ht="92.4">
      <c r="A839" t="s">
        <v>155</v>
      </c>
      <c r="B839" t="s">
        <v>332</v>
      </c>
      <c r="C839" t="s">
        <v>694</v>
      </c>
      <c r="D839">
        <v>179</v>
      </c>
      <c r="E839" t="s">
        <v>158</v>
      </c>
      <c r="F839">
        <v>179</v>
      </c>
      <c r="G839">
        <v>178</v>
      </c>
      <c r="H839">
        <v>123</v>
      </c>
      <c r="I839">
        <v>148</v>
      </c>
      <c r="J839">
        <v>135</v>
      </c>
      <c r="K839">
        <v>103</v>
      </c>
      <c r="L839">
        <v>126</v>
      </c>
      <c r="M839">
        <v>17.3</v>
      </c>
      <c r="N839">
        <v>2115</v>
      </c>
      <c r="O839">
        <v>0.96</v>
      </c>
      <c r="P839">
        <v>2030</v>
      </c>
      <c r="Q839">
        <v>209</v>
      </c>
      <c r="R839">
        <v>131</v>
      </c>
      <c r="S839">
        <v>53</v>
      </c>
      <c r="T839">
        <v>304</v>
      </c>
      <c r="U839">
        <v>36</v>
      </c>
      <c r="V839">
        <v>248</v>
      </c>
      <c r="W839">
        <v>0.66900000000000004</v>
      </c>
      <c r="X839">
        <v>150</v>
      </c>
      <c r="Y839">
        <v>148</v>
      </c>
      <c r="Z839">
        <v>155</v>
      </c>
      <c r="AA839">
        <v>7</v>
      </c>
      <c r="AB839">
        <v>9</v>
      </c>
      <c r="AC839" t="s">
        <v>188</v>
      </c>
      <c r="AD839" t="s">
        <v>169</v>
      </c>
      <c r="AG839" t="s">
        <v>5214</v>
      </c>
      <c r="AH839" t="s">
        <v>1204</v>
      </c>
      <c r="AI839" s="245">
        <v>561.01</v>
      </c>
      <c r="AJ839" t="s">
        <v>5215</v>
      </c>
      <c r="AK839" t="s">
        <v>4171</v>
      </c>
      <c r="AL839" t="s">
        <v>1294</v>
      </c>
      <c r="AM839" s="245">
        <v>639.92999999999995</v>
      </c>
      <c r="AN839" t="s">
        <v>5216</v>
      </c>
      <c r="AO839" t="s">
        <v>4171</v>
      </c>
      <c r="AP839" t="s">
        <v>1271</v>
      </c>
      <c r="AQ839" s="245">
        <v>639.92999999999995</v>
      </c>
      <c r="AR839" t="s">
        <v>5217</v>
      </c>
      <c r="AS839" s="226" t="str">
        <f t="shared" si="26"/>
        <v>Enforcer 104 Free</v>
      </c>
      <c r="AT839" s="203" t="str">
        <f t="shared" si="27"/>
        <v xml:space="preserve"> NordicaEnforcer 104 Free179 Unisex</v>
      </c>
    </row>
    <row r="840" spans="1:46" ht="105.6">
      <c r="A840" t="s">
        <v>155</v>
      </c>
      <c r="B840" t="s">
        <v>156</v>
      </c>
      <c r="C840" t="s">
        <v>689</v>
      </c>
      <c r="D840">
        <v>181</v>
      </c>
      <c r="E840" t="s">
        <v>158</v>
      </c>
      <c r="F840">
        <v>181</v>
      </c>
      <c r="G840">
        <v>179.6</v>
      </c>
      <c r="H840">
        <v>151</v>
      </c>
      <c r="I840">
        <v>159</v>
      </c>
      <c r="J840">
        <v>123</v>
      </c>
      <c r="K840">
        <v>81</v>
      </c>
      <c r="L840">
        <v>107</v>
      </c>
      <c r="M840">
        <v>16.899999999999999</v>
      </c>
      <c r="N840">
        <v>2079</v>
      </c>
      <c r="O840">
        <v>0.82</v>
      </c>
      <c r="P840">
        <v>1704</v>
      </c>
      <c r="Q840">
        <v>213</v>
      </c>
      <c r="R840">
        <v>102</v>
      </c>
      <c r="S840">
        <v>42</v>
      </c>
      <c r="T840">
        <v>178</v>
      </c>
      <c r="U840">
        <v>21</v>
      </c>
      <c r="V840">
        <v>111</v>
      </c>
      <c r="W840">
        <v>0.495</v>
      </c>
      <c r="X840">
        <v>112</v>
      </c>
      <c r="Y840">
        <v>91</v>
      </c>
      <c r="Z840">
        <v>66</v>
      </c>
      <c r="AA840">
        <v>13</v>
      </c>
      <c r="AB840">
        <v>8.5</v>
      </c>
      <c r="AC840" t="s">
        <v>188</v>
      </c>
      <c r="AG840" t="s">
        <v>5218</v>
      </c>
      <c r="AH840" t="s">
        <v>1204</v>
      </c>
      <c r="AI840" s="245">
        <v>360.64</v>
      </c>
      <c r="AJ840" t="s">
        <v>5219</v>
      </c>
      <c r="AK840" t="s">
        <v>5220</v>
      </c>
      <c r="AL840" t="s">
        <v>1229</v>
      </c>
      <c r="AM840" s="245">
        <v>389.99</v>
      </c>
      <c r="AN840" t="s">
        <v>5221</v>
      </c>
      <c r="AO840" t="s">
        <v>5220</v>
      </c>
      <c r="AP840" t="s">
        <v>1294</v>
      </c>
      <c r="AQ840" s="245">
        <v>399.93</v>
      </c>
      <c r="AR840" t="s">
        <v>5222</v>
      </c>
      <c r="AS840" s="226" t="str">
        <f t="shared" si="26"/>
        <v>Maverick 83</v>
      </c>
      <c r="AT840" s="203" t="str">
        <f t="shared" si="27"/>
        <v xml:space="preserve"> AtomicMaverick 83181 Unisex</v>
      </c>
    </row>
    <row r="841" spans="1:46" ht="132">
      <c r="A841" t="s">
        <v>155</v>
      </c>
      <c r="B841" t="s">
        <v>167</v>
      </c>
      <c r="C841" t="s">
        <v>749</v>
      </c>
      <c r="D841">
        <v>153</v>
      </c>
      <c r="E841" t="s">
        <v>163</v>
      </c>
      <c r="F841">
        <v>153</v>
      </c>
      <c r="G841">
        <v>152.1</v>
      </c>
      <c r="H841">
        <v>131</v>
      </c>
      <c r="I841">
        <v>136</v>
      </c>
      <c r="J841">
        <v>129</v>
      </c>
      <c r="K841">
        <v>72</v>
      </c>
      <c r="L841">
        <v>106</v>
      </c>
      <c r="M841">
        <v>10</v>
      </c>
      <c r="N841">
        <v>1635</v>
      </c>
      <c r="O841">
        <v>0.83</v>
      </c>
      <c r="P841">
        <v>1364</v>
      </c>
      <c r="Q841">
        <v>137</v>
      </c>
      <c r="R841">
        <v>66</v>
      </c>
      <c r="S841">
        <v>35</v>
      </c>
      <c r="T841">
        <v>139</v>
      </c>
      <c r="U841">
        <v>10</v>
      </c>
      <c r="V841">
        <v>69</v>
      </c>
      <c r="W841">
        <v>0.29899999999999999</v>
      </c>
      <c r="X841">
        <v>103</v>
      </c>
      <c r="Y841">
        <v>53</v>
      </c>
      <c r="Z841">
        <v>36</v>
      </c>
      <c r="AA841">
        <v>11</v>
      </c>
      <c r="AB841">
        <v>11.4</v>
      </c>
      <c r="AC841" t="s">
        <v>349</v>
      </c>
      <c r="AD841" t="s">
        <v>231</v>
      </c>
      <c r="AG841" t="s">
        <v>5223</v>
      </c>
      <c r="AH841" t="s">
        <v>2789</v>
      </c>
      <c r="AI841" s="245">
        <v>179</v>
      </c>
      <c r="AJ841" t="s">
        <v>5224</v>
      </c>
      <c r="AK841" t="s">
        <v>5225</v>
      </c>
      <c r="AL841" t="s">
        <v>1337</v>
      </c>
      <c r="AM841" s="245">
        <v>322</v>
      </c>
      <c r="AN841" t="s">
        <v>5226</v>
      </c>
      <c r="AO841" t="s">
        <v>5227</v>
      </c>
      <c r="AP841" t="s">
        <v>1277</v>
      </c>
      <c r="AQ841" s="245">
        <v>329</v>
      </c>
      <c r="AR841" t="s">
        <v>5228</v>
      </c>
      <c r="AS841" s="226" t="str">
        <f t="shared" si="26"/>
        <v>Pure Joy</v>
      </c>
      <c r="AT841" s="203" t="str">
        <f t="shared" si="27"/>
        <v xml:space="preserve"> HeadPure Joy153 Women's</v>
      </c>
    </row>
    <row r="842" spans="1:46" ht="92.4">
      <c r="A842" t="s">
        <v>155</v>
      </c>
      <c r="B842" t="s">
        <v>1395</v>
      </c>
      <c r="C842" t="s">
        <v>782</v>
      </c>
      <c r="D842">
        <v>155</v>
      </c>
      <c r="E842" t="s">
        <v>158</v>
      </c>
      <c r="F842">
        <v>155</v>
      </c>
      <c r="G842">
        <v>154.6</v>
      </c>
      <c r="H842">
        <v>130</v>
      </c>
      <c r="I842">
        <v>144</v>
      </c>
      <c r="J842">
        <v>126</v>
      </c>
      <c r="K842">
        <v>67</v>
      </c>
      <c r="L842">
        <v>102</v>
      </c>
      <c r="M842">
        <v>11</v>
      </c>
      <c r="N842">
        <v>1934</v>
      </c>
      <c r="O842">
        <v>0.68</v>
      </c>
      <c r="P842">
        <v>1306</v>
      </c>
      <c r="Q842">
        <v>190</v>
      </c>
      <c r="R842">
        <v>124</v>
      </c>
      <c r="S842">
        <v>43</v>
      </c>
      <c r="T842">
        <v>186</v>
      </c>
      <c r="U842">
        <v>6</v>
      </c>
      <c r="V842">
        <v>58</v>
      </c>
      <c r="W842">
        <v>0.13300000000000001</v>
      </c>
      <c r="X842">
        <v>63</v>
      </c>
      <c r="Y842">
        <v>48</v>
      </c>
      <c r="Z842">
        <v>123</v>
      </c>
      <c r="AA842">
        <v>4</v>
      </c>
      <c r="AB842">
        <v>13.2</v>
      </c>
      <c r="AC842" t="s">
        <v>349</v>
      </c>
      <c r="AG842" t="s">
        <v>5229</v>
      </c>
      <c r="AH842" t="s">
        <v>1204</v>
      </c>
      <c r="AI842" s="245">
        <v>561.01</v>
      </c>
      <c r="AJ842" t="s">
        <v>5230</v>
      </c>
      <c r="AK842" t="s">
        <v>5231</v>
      </c>
      <c r="AL842" t="s">
        <v>1191</v>
      </c>
      <c r="AM842" s="245">
        <v>759.95</v>
      </c>
      <c r="AN842" t="s">
        <v>5232</v>
      </c>
      <c r="AO842" t="s">
        <v>5233</v>
      </c>
      <c r="AP842" t="s">
        <v>1974</v>
      </c>
      <c r="AQ842" s="245">
        <v>834.24</v>
      </c>
      <c r="AR842" t="s">
        <v>5234</v>
      </c>
      <c r="AS842" s="226" t="str">
        <f t="shared" si="26"/>
        <v>Racetiger SL</v>
      </c>
      <c r="AT842" s="203" t="str">
        <f t="shared" si="27"/>
        <v xml:space="preserve"> Vï¿½lklRacetiger SL155 Unisex</v>
      </c>
    </row>
    <row r="843" spans="1:46" ht="118.8">
      <c r="A843" t="s">
        <v>155</v>
      </c>
      <c r="B843" t="s">
        <v>202</v>
      </c>
      <c r="C843" t="s">
        <v>783</v>
      </c>
      <c r="D843">
        <v>162</v>
      </c>
      <c r="E843" t="s">
        <v>163</v>
      </c>
      <c r="F843">
        <v>162</v>
      </c>
      <c r="G843">
        <v>162.19999999999999</v>
      </c>
      <c r="H843">
        <v>141</v>
      </c>
      <c r="I843">
        <v>148</v>
      </c>
      <c r="J843">
        <v>123</v>
      </c>
      <c r="K843">
        <v>74</v>
      </c>
      <c r="L843">
        <v>109</v>
      </c>
      <c r="M843">
        <v>13</v>
      </c>
      <c r="N843">
        <v>1591</v>
      </c>
      <c r="O843">
        <v>0.91</v>
      </c>
      <c r="P843">
        <v>1445</v>
      </c>
      <c r="Q843">
        <v>170</v>
      </c>
      <c r="R843">
        <v>62</v>
      </c>
      <c r="S843">
        <v>43</v>
      </c>
      <c r="T843">
        <v>153</v>
      </c>
      <c r="U843">
        <v>4</v>
      </c>
      <c r="V843">
        <v>54</v>
      </c>
      <c r="W843">
        <v>0.10199999999999999</v>
      </c>
      <c r="X843">
        <v>80</v>
      </c>
      <c r="Y843">
        <v>59</v>
      </c>
      <c r="Z843">
        <v>73</v>
      </c>
      <c r="AA843">
        <v>12</v>
      </c>
      <c r="AB843">
        <v>10.1</v>
      </c>
      <c r="AC843" t="s">
        <v>349</v>
      </c>
      <c r="AG843" t="s">
        <v>1342</v>
      </c>
      <c r="AH843" t="s">
        <v>1282</v>
      </c>
      <c r="AI843" s="245">
        <v>479.96</v>
      </c>
      <c r="AJ843" t="s">
        <v>5235</v>
      </c>
      <c r="AK843" t="s">
        <v>5236</v>
      </c>
      <c r="AL843" t="s">
        <v>1229</v>
      </c>
      <c r="AM843" s="245">
        <v>769.99</v>
      </c>
      <c r="AN843" t="s">
        <v>5237</v>
      </c>
      <c r="AO843" t="s">
        <v>5236</v>
      </c>
      <c r="AP843" t="s">
        <v>1181</v>
      </c>
      <c r="AQ843" s="245">
        <v>999.95</v>
      </c>
      <c r="AR843" t="s">
        <v>5238</v>
      </c>
      <c r="AS843" s="226" t="str">
        <f t="shared" si="26"/>
        <v>E Lite 7</v>
      </c>
      <c r="AT843" s="203" t="str">
        <f t="shared" si="27"/>
        <v xml:space="preserve"> DynastarE Lite 7162 Women's</v>
      </c>
    </row>
    <row r="844" spans="1:46" ht="52.8">
      <c r="A844" t="s">
        <v>155</v>
      </c>
      <c r="B844" t="s">
        <v>1395</v>
      </c>
      <c r="C844" t="s">
        <v>747</v>
      </c>
      <c r="D844">
        <v>180</v>
      </c>
      <c r="E844" t="s">
        <v>158</v>
      </c>
      <c r="F844">
        <v>180</v>
      </c>
      <c r="G844">
        <v>179.9</v>
      </c>
      <c r="H844">
        <v>96</v>
      </c>
      <c r="I844">
        <v>142</v>
      </c>
      <c r="J844">
        <v>131</v>
      </c>
      <c r="K844">
        <v>103</v>
      </c>
      <c r="L844">
        <v>121</v>
      </c>
      <c r="M844">
        <v>20.399999999999999</v>
      </c>
      <c r="N844">
        <v>1958</v>
      </c>
      <c r="O844">
        <v>1.03</v>
      </c>
      <c r="P844">
        <v>2014</v>
      </c>
      <c r="Q844">
        <v>168</v>
      </c>
      <c r="R844">
        <v>82</v>
      </c>
      <c r="S844">
        <v>56</v>
      </c>
      <c r="T844">
        <v>462</v>
      </c>
      <c r="U844">
        <v>39</v>
      </c>
      <c r="V844">
        <v>374</v>
      </c>
      <c r="W844">
        <v>0.70399999999999996</v>
      </c>
      <c r="X844">
        <v>172</v>
      </c>
      <c r="Y844">
        <v>209</v>
      </c>
      <c r="Z844">
        <v>290</v>
      </c>
      <c r="AA844">
        <v>5</v>
      </c>
      <c r="AB844">
        <v>1.6</v>
      </c>
      <c r="AC844" t="s">
        <v>188</v>
      </c>
      <c r="AD844" t="s">
        <v>169</v>
      </c>
      <c r="AG844" t="s">
        <v>5239</v>
      </c>
      <c r="AH844" t="s">
        <v>1204</v>
      </c>
      <c r="AI844" s="245">
        <v>440.79</v>
      </c>
      <c r="AJ844" t="s">
        <v>5240</v>
      </c>
      <c r="AK844" t="s">
        <v>4822</v>
      </c>
      <c r="AL844" t="s">
        <v>1405</v>
      </c>
      <c r="AM844" s="245">
        <v>479.99</v>
      </c>
      <c r="AN844" t="s">
        <v>5241</v>
      </c>
      <c r="AO844" t="s">
        <v>4822</v>
      </c>
      <c r="AP844" t="s">
        <v>1248</v>
      </c>
      <c r="AQ844" s="245">
        <v>479.99</v>
      </c>
      <c r="AR844" t="s">
        <v>5242</v>
      </c>
      <c r="AS844" s="226" t="str">
        <f t="shared" si="26"/>
        <v>Revolt 104</v>
      </c>
      <c r="AT844" s="203" t="str">
        <f t="shared" si="27"/>
        <v xml:space="preserve"> Vï¿½lklRevolt 104180 Unisex</v>
      </c>
    </row>
    <row r="845" spans="1:46" ht="118.8">
      <c r="A845" t="s">
        <v>155</v>
      </c>
      <c r="B845" t="s">
        <v>317</v>
      </c>
      <c r="C845" t="s">
        <v>639</v>
      </c>
      <c r="D845">
        <v>170</v>
      </c>
      <c r="E845" t="s">
        <v>158</v>
      </c>
      <c r="F845">
        <v>170</v>
      </c>
      <c r="G845">
        <v>169.1</v>
      </c>
      <c r="H845">
        <v>148</v>
      </c>
      <c r="I845">
        <v>157</v>
      </c>
      <c r="J845">
        <v>124</v>
      </c>
      <c r="K845">
        <v>76</v>
      </c>
      <c r="L845">
        <v>104</v>
      </c>
      <c r="M845">
        <v>15.5</v>
      </c>
      <c r="N845">
        <v>1971</v>
      </c>
      <c r="O845">
        <v>0.77</v>
      </c>
      <c r="P845">
        <v>1521</v>
      </c>
      <c r="Q845">
        <v>234</v>
      </c>
      <c r="R845">
        <v>110</v>
      </c>
      <c r="S845">
        <v>41</v>
      </c>
      <c r="T845">
        <v>163</v>
      </c>
      <c r="U845">
        <v>5</v>
      </c>
      <c r="V845">
        <v>51</v>
      </c>
      <c r="W845">
        <v>0.13100000000000001</v>
      </c>
      <c r="X845">
        <v>71</v>
      </c>
      <c r="Y845">
        <v>55</v>
      </c>
      <c r="Z845">
        <v>93</v>
      </c>
      <c r="AA845">
        <v>6</v>
      </c>
      <c r="AB845">
        <v>12.1</v>
      </c>
      <c r="AC845" t="s">
        <v>349</v>
      </c>
      <c r="AG845" t="s">
        <v>5243</v>
      </c>
      <c r="AH845" t="s">
        <v>1221</v>
      </c>
      <c r="AI845" s="245">
        <v>499.99</v>
      </c>
      <c r="AJ845" t="s">
        <v>5244</v>
      </c>
      <c r="AK845" t="s">
        <v>4002</v>
      </c>
      <c r="AL845" t="s">
        <v>1179</v>
      </c>
      <c r="AM845" s="245">
        <v>599.95000000000005</v>
      </c>
      <c r="AN845" t="s">
        <v>5245</v>
      </c>
      <c r="AO845" t="s">
        <v>5246</v>
      </c>
      <c r="AP845" t="s">
        <v>4009</v>
      </c>
      <c r="AQ845" s="245">
        <v>755.98</v>
      </c>
      <c r="AR845" t="s">
        <v>5247</v>
      </c>
      <c r="AS845" s="226" t="str">
        <f t="shared" si="26"/>
        <v>Thunderbird Sport Ti</v>
      </c>
      <c r="AT845" s="203" t="str">
        <f t="shared" si="27"/>
        <v xml:space="preserve"> BlizzardThunderbird Sport Ti170 Unisex</v>
      </c>
    </row>
    <row r="846" spans="1:46" ht="132">
      <c r="A846" t="s">
        <v>155</v>
      </c>
      <c r="B846" t="s">
        <v>202</v>
      </c>
      <c r="C846" t="s">
        <v>660</v>
      </c>
      <c r="D846">
        <v>171</v>
      </c>
      <c r="E846" t="s">
        <v>158</v>
      </c>
      <c r="F846">
        <v>171</v>
      </c>
      <c r="G846">
        <v>170.5</v>
      </c>
      <c r="H846">
        <v>130</v>
      </c>
      <c r="I846">
        <v>127</v>
      </c>
      <c r="J846">
        <v>127</v>
      </c>
      <c r="K846">
        <v>86</v>
      </c>
      <c r="L846">
        <v>103</v>
      </c>
      <c r="M846">
        <v>13.8</v>
      </c>
      <c r="N846">
        <v>1250</v>
      </c>
      <c r="O846">
        <v>1.34</v>
      </c>
      <c r="P846">
        <v>1673</v>
      </c>
      <c r="Q846">
        <v>223</v>
      </c>
      <c r="R846">
        <v>66</v>
      </c>
      <c r="S846">
        <v>74</v>
      </c>
      <c r="T846">
        <v>353</v>
      </c>
      <c r="U846">
        <v>4</v>
      </c>
      <c r="V846">
        <v>49</v>
      </c>
      <c r="W846">
        <v>4.8000000000000001E-2</v>
      </c>
      <c r="X846">
        <v>198</v>
      </c>
      <c r="Y846">
        <v>240</v>
      </c>
      <c r="Z846">
        <v>154</v>
      </c>
      <c r="AA846">
        <v>5</v>
      </c>
      <c r="AB846">
        <v>11.8</v>
      </c>
      <c r="AC846" t="s">
        <v>185</v>
      </c>
      <c r="AD846" t="s">
        <v>198</v>
      </c>
      <c r="AG846" t="s">
        <v>5248</v>
      </c>
      <c r="AH846" t="s">
        <v>1349</v>
      </c>
      <c r="AI846" s="245">
        <v>384.97</v>
      </c>
      <c r="AJ846" t="s">
        <v>5249</v>
      </c>
      <c r="AK846" t="s">
        <v>5250</v>
      </c>
      <c r="AL846" t="s">
        <v>1592</v>
      </c>
      <c r="AM846" s="245">
        <v>585.96</v>
      </c>
      <c r="AN846" t="s">
        <v>5251</v>
      </c>
      <c r="AO846" t="s">
        <v>5252</v>
      </c>
      <c r="AP846" t="s">
        <v>2789</v>
      </c>
      <c r="AQ846" s="245">
        <v>399</v>
      </c>
      <c r="AR846" t="s">
        <v>5253</v>
      </c>
      <c r="AS846" s="226" t="str">
        <f t="shared" si="26"/>
        <v>M-Tour 87 Ca</v>
      </c>
      <c r="AT846" s="203" t="str">
        <f t="shared" si="27"/>
        <v xml:space="preserve"> DynastarM-Tour 87 Ca171 Unisex</v>
      </c>
    </row>
    <row r="847" spans="1:46" ht="105.6">
      <c r="A847" t="s">
        <v>155</v>
      </c>
      <c r="B847" t="s">
        <v>156</v>
      </c>
      <c r="C847" t="s">
        <v>784</v>
      </c>
      <c r="D847">
        <v>150</v>
      </c>
      <c r="E847" t="s">
        <v>385</v>
      </c>
      <c r="F847">
        <v>150</v>
      </c>
      <c r="G847">
        <v>149.80000000000001</v>
      </c>
      <c r="H847">
        <v>118</v>
      </c>
      <c r="I847">
        <v>131</v>
      </c>
      <c r="J847">
        <v>121</v>
      </c>
      <c r="K847">
        <v>83</v>
      </c>
      <c r="L847">
        <v>110</v>
      </c>
      <c r="M847">
        <v>12.9</v>
      </c>
      <c r="N847">
        <v>1631</v>
      </c>
      <c r="O847">
        <v>0.87</v>
      </c>
      <c r="P847">
        <v>1427</v>
      </c>
      <c r="Q847">
        <v>137</v>
      </c>
      <c r="R847">
        <v>63</v>
      </c>
      <c r="S847">
        <v>41</v>
      </c>
      <c r="T847">
        <v>182</v>
      </c>
      <c r="U847">
        <v>29</v>
      </c>
      <c r="V847">
        <v>133</v>
      </c>
      <c r="W847">
        <v>0.69899999999999995</v>
      </c>
      <c r="X847">
        <v>89</v>
      </c>
      <c r="Y847">
        <v>98</v>
      </c>
      <c r="Z847">
        <v>93</v>
      </c>
      <c r="AA847">
        <v>7</v>
      </c>
      <c r="AB847">
        <v>5</v>
      </c>
      <c r="AC847" t="s">
        <v>188</v>
      </c>
      <c r="AG847" t="s">
        <v>5254</v>
      </c>
      <c r="AH847" t="s">
        <v>1226</v>
      </c>
      <c r="AI847" s="245">
        <v>207.99</v>
      </c>
      <c r="AJ847" t="s">
        <v>5255</v>
      </c>
      <c r="AK847" t="s">
        <v>5254</v>
      </c>
      <c r="AL847" t="s">
        <v>1224</v>
      </c>
      <c r="AM847" s="245">
        <v>233.99</v>
      </c>
      <c r="AN847" t="s">
        <v>5256</v>
      </c>
      <c r="AO847" t="s">
        <v>5257</v>
      </c>
      <c r="AP847" t="s">
        <v>2214</v>
      </c>
      <c r="AQ847" s="245">
        <v>153.63999999999999</v>
      </c>
      <c r="AR847" t="s">
        <v>5258</v>
      </c>
      <c r="AS847" s="226" t="str">
        <f t="shared" si="26"/>
        <v>Bent Chetler JR</v>
      </c>
      <c r="AT847" s="203" t="str">
        <f t="shared" si="27"/>
        <v xml:space="preserve"> AtomicBent Chetler JR150 Junior</v>
      </c>
    </row>
    <row r="848" spans="1:46" ht="79.2">
      <c r="A848" t="s">
        <v>155</v>
      </c>
      <c r="B848" t="s">
        <v>1395</v>
      </c>
      <c r="C848" t="s">
        <v>319</v>
      </c>
      <c r="D848">
        <v>170</v>
      </c>
      <c r="E848" t="s">
        <v>163</v>
      </c>
      <c r="F848">
        <v>170</v>
      </c>
      <c r="G848">
        <v>170.8</v>
      </c>
      <c r="H848">
        <v>123</v>
      </c>
      <c r="I848">
        <v>147</v>
      </c>
      <c r="J848">
        <v>134</v>
      </c>
      <c r="K848">
        <v>95</v>
      </c>
      <c r="L848">
        <v>118</v>
      </c>
      <c r="M848">
        <v>16.7</v>
      </c>
      <c r="N848">
        <v>1931</v>
      </c>
      <c r="O848">
        <v>0.95</v>
      </c>
      <c r="P848">
        <v>1838</v>
      </c>
      <c r="Q848">
        <v>203</v>
      </c>
      <c r="R848">
        <v>140</v>
      </c>
      <c r="S848">
        <v>44</v>
      </c>
      <c r="T848">
        <v>290</v>
      </c>
      <c r="U848">
        <v>17</v>
      </c>
      <c r="V848">
        <v>192</v>
      </c>
      <c r="W848">
        <v>0.38600000000000001</v>
      </c>
      <c r="X848">
        <v>129</v>
      </c>
      <c r="Y848">
        <v>106</v>
      </c>
      <c r="Z848">
        <v>161</v>
      </c>
      <c r="AA848">
        <v>2</v>
      </c>
      <c r="AB848">
        <v>11.7</v>
      </c>
      <c r="AC848" t="s">
        <v>188</v>
      </c>
      <c r="AG848" t="s">
        <v>5259</v>
      </c>
      <c r="AH848" t="s">
        <v>1326</v>
      </c>
      <c r="AI848" s="245">
        <v>555.44000000000005</v>
      </c>
      <c r="AJ848" t="s">
        <v>5260</v>
      </c>
      <c r="AK848" t="s">
        <v>5261</v>
      </c>
      <c r="AL848" t="s">
        <v>1450</v>
      </c>
      <c r="AM848" s="245">
        <v>559.99</v>
      </c>
      <c r="AN848" t="s">
        <v>5262</v>
      </c>
      <c r="AO848" t="s">
        <v>5261</v>
      </c>
      <c r="AP848" t="s">
        <v>1421</v>
      </c>
      <c r="AQ848" s="245">
        <v>599.99</v>
      </c>
      <c r="AR848" t="s">
        <v>5263</v>
      </c>
      <c r="AS848" s="226" t="str">
        <f t="shared" si="26"/>
        <v>Secret 96</v>
      </c>
      <c r="AT848" s="203" t="str">
        <f t="shared" si="27"/>
        <v xml:space="preserve"> Vï¿½lklSecret 96170 Women's</v>
      </c>
    </row>
    <row r="849" spans="1:46" ht="52.8">
      <c r="A849" t="s">
        <v>155</v>
      </c>
      <c r="B849" t="s">
        <v>167</v>
      </c>
      <c r="C849" t="s">
        <v>786</v>
      </c>
      <c r="D849">
        <v>177</v>
      </c>
      <c r="E849" t="s">
        <v>158</v>
      </c>
      <c r="F849">
        <v>177</v>
      </c>
      <c r="G849">
        <v>176.5</v>
      </c>
      <c r="H849">
        <v>123</v>
      </c>
      <c r="I849">
        <v>137</v>
      </c>
      <c r="J849">
        <v>137</v>
      </c>
      <c r="K849">
        <v>108</v>
      </c>
      <c r="L849">
        <v>124</v>
      </c>
      <c r="M849">
        <v>19.8</v>
      </c>
      <c r="N849">
        <v>1737</v>
      </c>
      <c r="O849">
        <v>1.2</v>
      </c>
      <c r="P849">
        <v>2077</v>
      </c>
      <c r="Q849">
        <v>288</v>
      </c>
      <c r="R849">
        <v>124</v>
      </c>
      <c r="S849">
        <v>56</v>
      </c>
      <c r="T849">
        <v>281</v>
      </c>
      <c r="U849">
        <v>20</v>
      </c>
      <c r="V849">
        <v>259</v>
      </c>
      <c r="W849">
        <v>0.35799999999999998</v>
      </c>
      <c r="X849">
        <v>241</v>
      </c>
      <c r="Y849">
        <v>156</v>
      </c>
      <c r="Z849">
        <v>40</v>
      </c>
      <c r="AA849">
        <v>5</v>
      </c>
      <c r="AB849">
        <v>8.5</v>
      </c>
      <c r="AC849" t="s">
        <v>169</v>
      </c>
      <c r="AD849" t="s">
        <v>178</v>
      </c>
      <c r="AE849" t="s">
        <v>185</v>
      </c>
      <c r="AG849" t="s">
        <v>5264</v>
      </c>
      <c r="AH849" t="s">
        <v>1191</v>
      </c>
      <c r="AI849" s="245">
        <v>424.95</v>
      </c>
      <c r="AJ849" t="s">
        <v>5265</v>
      </c>
      <c r="AK849" t="s">
        <v>5264</v>
      </c>
      <c r="AL849" t="s">
        <v>1349</v>
      </c>
      <c r="AM849" s="245">
        <v>430.82</v>
      </c>
      <c r="AN849" t="s">
        <v>5266</v>
      </c>
      <c r="AO849" t="s">
        <v>5264</v>
      </c>
      <c r="AP849" t="s">
        <v>1185</v>
      </c>
      <c r="AQ849" s="245">
        <v>524.99</v>
      </c>
      <c r="AR849" t="s">
        <v>5267</v>
      </c>
      <c r="AS849" s="226" t="str">
        <f t="shared" si="26"/>
        <v>Kore 111</v>
      </c>
      <c r="AT849" s="203" t="str">
        <f t="shared" si="27"/>
        <v xml:space="preserve"> HeadKore 111177 Unisex</v>
      </c>
    </row>
    <row r="850" spans="1:46" ht="66">
      <c r="A850" t="s">
        <v>155</v>
      </c>
      <c r="B850" t="s">
        <v>332</v>
      </c>
      <c r="C850" t="s">
        <v>788</v>
      </c>
      <c r="D850">
        <v>165</v>
      </c>
      <c r="E850" t="s">
        <v>158</v>
      </c>
      <c r="F850">
        <v>165</v>
      </c>
      <c r="G850">
        <v>164.6</v>
      </c>
      <c r="H850">
        <v>118</v>
      </c>
      <c r="I850">
        <v>135</v>
      </c>
      <c r="J850">
        <v>126</v>
      </c>
      <c r="K850">
        <v>92</v>
      </c>
      <c r="L850">
        <v>112</v>
      </c>
      <c r="M850">
        <v>15.3</v>
      </c>
      <c r="N850">
        <v>1927</v>
      </c>
      <c r="O850">
        <v>0.88</v>
      </c>
      <c r="P850">
        <v>1701</v>
      </c>
      <c r="Q850">
        <v>196</v>
      </c>
      <c r="R850">
        <v>138</v>
      </c>
      <c r="S850">
        <v>53</v>
      </c>
      <c r="T850">
        <v>280</v>
      </c>
      <c r="U850">
        <v>12</v>
      </c>
      <c r="V850">
        <v>190</v>
      </c>
      <c r="W850">
        <v>0.22600000000000001</v>
      </c>
      <c r="X850">
        <v>142</v>
      </c>
      <c r="Y850">
        <v>154</v>
      </c>
      <c r="Z850">
        <v>138</v>
      </c>
      <c r="AA850">
        <v>6</v>
      </c>
      <c r="AB850">
        <v>8.4</v>
      </c>
      <c r="AC850" t="s">
        <v>188</v>
      </c>
      <c r="AG850" t="s">
        <v>5268</v>
      </c>
      <c r="AH850" t="s">
        <v>4738</v>
      </c>
      <c r="AI850" s="245">
        <v>699.99</v>
      </c>
      <c r="AJ850" t="s">
        <v>5269</v>
      </c>
      <c r="AK850" t="s">
        <v>5270</v>
      </c>
      <c r="AL850" t="s">
        <v>1271</v>
      </c>
      <c r="AM850" s="245">
        <v>749.99</v>
      </c>
      <c r="AN850" t="s">
        <v>5271</v>
      </c>
      <c r="AO850" t="s">
        <v>5272</v>
      </c>
      <c r="AP850" t="s">
        <v>1280</v>
      </c>
      <c r="AQ850" s="245">
        <v>799.95</v>
      </c>
      <c r="AR850" t="s">
        <v>5273</v>
      </c>
      <c r="AS850" s="226" t="str">
        <f t="shared" si="26"/>
        <v>Enforcer 94</v>
      </c>
      <c r="AT850" s="203" t="str">
        <f t="shared" si="27"/>
        <v xml:space="preserve"> NordicaEnforcer 94165 Unisex</v>
      </c>
    </row>
    <row r="851" spans="1:46" ht="92.4">
      <c r="A851" t="s">
        <v>155</v>
      </c>
      <c r="B851" t="s">
        <v>1160</v>
      </c>
      <c r="C851" t="s">
        <v>723</v>
      </c>
      <c r="D851">
        <v>159</v>
      </c>
      <c r="E851" t="s">
        <v>163</v>
      </c>
      <c r="F851">
        <v>159</v>
      </c>
      <c r="G851">
        <v>159.80000000000001</v>
      </c>
      <c r="H851">
        <v>101</v>
      </c>
      <c r="I851">
        <v>121</v>
      </c>
      <c r="J851">
        <v>139</v>
      </c>
      <c r="K851">
        <v>105</v>
      </c>
      <c r="L851">
        <v>123</v>
      </c>
      <c r="M851">
        <v>13.5</v>
      </c>
      <c r="N851">
        <v>1535</v>
      </c>
      <c r="O851">
        <v>1.2</v>
      </c>
      <c r="P851">
        <v>1847</v>
      </c>
      <c r="Q851">
        <v>142</v>
      </c>
      <c r="R851">
        <v>67</v>
      </c>
      <c r="S851">
        <v>47</v>
      </c>
      <c r="T851">
        <v>329</v>
      </c>
      <c r="U851">
        <v>25</v>
      </c>
      <c r="V851">
        <v>263</v>
      </c>
      <c r="W851">
        <v>0.53700000000000003</v>
      </c>
      <c r="X851">
        <v>190</v>
      </c>
      <c r="Y851">
        <v>196</v>
      </c>
      <c r="Z851">
        <v>139</v>
      </c>
      <c r="AA851">
        <v>7</v>
      </c>
      <c r="AB851">
        <v>9.1999999999999993</v>
      </c>
      <c r="AC851" t="s">
        <v>169</v>
      </c>
      <c r="AD851" t="s">
        <v>185</v>
      </c>
      <c r="AG851" t="s">
        <v>5274</v>
      </c>
      <c r="AH851" t="s">
        <v>1191</v>
      </c>
      <c r="AI851" s="245">
        <v>464.95</v>
      </c>
      <c r="AJ851" t="s">
        <v>5275</v>
      </c>
      <c r="AK851" t="s">
        <v>5274</v>
      </c>
      <c r="AL851" t="s">
        <v>1271</v>
      </c>
      <c r="AM851" s="245">
        <v>599.95000000000005</v>
      </c>
      <c r="AN851" t="s">
        <v>5276</v>
      </c>
      <c r="AO851" t="s">
        <v>5274</v>
      </c>
      <c r="AP851" t="s">
        <v>1224</v>
      </c>
      <c r="AQ851" s="245">
        <v>599.95000000000005</v>
      </c>
      <c r="AR851" t="s">
        <v>5277</v>
      </c>
      <c r="AS851" s="226" t="str">
        <f t="shared" si="26"/>
        <v>Mindbender 106 C Alliance</v>
      </c>
      <c r="AT851" s="203" t="str">
        <f t="shared" si="27"/>
        <v>K2Mindbender 106 C Alliance159 Women's</v>
      </c>
    </row>
    <row r="852" spans="1:46" ht="26.4">
      <c r="A852" t="s">
        <v>155</v>
      </c>
      <c r="B852" t="s">
        <v>332</v>
      </c>
      <c r="C852" t="s">
        <v>790</v>
      </c>
      <c r="D852">
        <v>160</v>
      </c>
      <c r="E852" t="s">
        <v>158</v>
      </c>
      <c r="F852">
        <v>160</v>
      </c>
      <c r="G852">
        <v>159.19999999999999</v>
      </c>
      <c r="H852">
        <v>141</v>
      </c>
      <c r="I852">
        <v>148</v>
      </c>
      <c r="J852">
        <v>117</v>
      </c>
      <c r="K852">
        <v>69</v>
      </c>
      <c r="L852">
        <v>98</v>
      </c>
      <c r="M852">
        <v>14.2</v>
      </c>
      <c r="N852">
        <v>1892</v>
      </c>
      <c r="O852">
        <v>0.7</v>
      </c>
      <c r="P852">
        <v>1328</v>
      </c>
      <c r="Q852">
        <v>168</v>
      </c>
      <c r="R852">
        <v>103</v>
      </c>
      <c r="S852">
        <v>36</v>
      </c>
      <c r="T852">
        <v>131</v>
      </c>
      <c r="U852">
        <v>6</v>
      </c>
      <c r="V852">
        <v>52</v>
      </c>
      <c r="W852">
        <v>0.17399999999999999</v>
      </c>
      <c r="X852">
        <v>63</v>
      </c>
      <c r="Y852">
        <v>45</v>
      </c>
      <c r="Z852">
        <v>68</v>
      </c>
      <c r="AA852">
        <v>8</v>
      </c>
      <c r="AB852">
        <v>12.6</v>
      </c>
      <c r="AC852" t="s">
        <v>349</v>
      </c>
      <c r="AS852" s="226" t="str">
        <f t="shared" si="26"/>
        <v>Spitfire 70 Pro</v>
      </c>
      <c r="AT852" s="203" t="str">
        <f t="shared" si="27"/>
        <v xml:space="preserve"> NordicaSpitfire 70 Pro160 Unisex</v>
      </c>
    </row>
    <row r="853" spans="1:46" ht="409.6">
      <c r="A853" t="s">
        <v>155</v>
      </c>
      <c r="B853" t="s">
        <v>332</v>
      </c>
      <c r="C853" t="s">
        <v>567</v>
      </c>
      <c r="D853">
        <v>185</v>
      </c>
      <c r="E853" t="s">
        <v>158</v>
      </c>
      <c r="F853">
        <v>185</v>
      </c>
      <c r="G853">
        <v>185</v>
      </c>
      <c r="H853">
        <v>147</v>
      </c>
      <c r="I853">
        <v>160</v>
      </c>
      <c r="J853">
        <v>124</v>
      </c>
      <c r="K853">
        <v>86</v>
      </c>
      <c r="L853">
        <v>114</v>
      </c>
      <c r="M853">
        <v>18.5</v>
      </c>
      <c r="N853">
        <v>2107</v>
      </c>
      <c r="O853">
        <v>0.86</v>
      </c>
      <c r="P853">
        <v>1819</v>
      </c>
      <c r="Q853">
        <v>239</v>
      </c>
      <c r="R853">
        <v>106</v>
      </c>
      <c r="S853">
        <v>50</v>
      </c>
      <c r="T853">
        <v>180</v>
      </c>
      <c r="U853">
        <v>59</v>
      </c>
      <c r="V853">
        <v>203</v>
      </c>
      <c r="W853">
        <v>1.19</v>
      </c>
      <c r="X853">
        <v>98</v>
      </c>
      <c r="Y853">
        <v>152</v>
      </c>
      <c r="Z853">
        <v>83</v>
      </c>
      <c r="AA853">
        <v>11</v>
      </c>
      <c r="AB853">
        <v>5.9</v>
      </c>
      <c r="AC853" t="s">
        <v>184</v>
      </c>
      <c r="AG853" t="s">
        <v>5278</v>
      </c>
      <c r="AH853" t="s">
        <v>2516</v>
      </c>
      <c r="AI853" s="245">
        <v>499.99</v>
      </c>
      <c r="AJ853" t="s">
        <v>5279</v>
      </c>
      <c r="AK853" t="s">
        <v>5280</v>
      </c>
      <c r="AL853" t="s">
        <v>1627</v>
      </c>
      <c r="AM853" s="245">
        <v>539</v>
      </c>
      <c r="AN853" t="s">
        <v>5281</v>
      </c>
      <c r="AO853" t="s">
        <v>5282</v>
      </c>
      <c r="AP853" t="s">
        <v>1416</v>
      </c>
      <c r="AQ853" s="245">
        <v>599</v>
      </c>
      <c r="AR853" t="s">
        <v>5283</v>
      </c>
      <c r="AS853" s="226" t="str">
        <f t="shared" si="26"/>
        <v>Soul Rider 87</v>
      </c>
      <c r="AT853" s="203" t="str">
        <f t="shared" si="27"/>
        <v xml:space="preserve"> NordicaSoul Rider 87185 Unisex</v>
      </c>
    </row>
    <row r="854" spans="1:46" ht="105.6">
      <c r="A854" t="s">
        <v>155</v>
      </c>
      <c r="B854" t="s">
        <v>174</v>
      </c>
      <c r="C854" t="s">
        <v>791</v>
      </c>
      <c r="D854">
        <v>186</v>
      </c>
      <c r="E854" t="s">
        <v>158</v>
      </c>
      <c r="F854">
        <v>186</v>
      </c>
      <c r="G854">
        <v>185.2</v>
      </c>
      <c r="H854">
        <v>86</v>
      </c>
      <c r="I854">
        <v>139</v>
      </c>
      <c r="J854">
        <v>137</v>
      </c>
      <c r="K854">
        <v>111</v>
      </c>
      <c r="L854">
        <v>126</v>
      </c>
      <c r="M854">
        <v>17.899999999999999</v>
      </c>
      <c r="N854">
        <v>2172</v>
      </c>
      <c r="O854">
        <v>1.03</v>
      </c>
      <c r="P854">
        <v>2237</v>
      </c>
      <c r="Q854">
        <v>227</v>
      </c>
      <c r="R854">
        <v>111</v>
      </c>
      <c r="S854">
        <v>62</v>
      </c>
      <c r="T854">
        <v>489</v>
      </c>
      <c r="U854">
        <v>33</v>
      </c>
      <c r="V854">
        <v>500</v>
      </c>
      <c r="W854">
        <v>0.54400000000000004</v>
      </c>
      <c r="X854">
        <v>209</v>
      </c>
      <c r="Y854">
        <v>256</v>
      </c>
      <c r="Z854">
        <v>280</v>
      </c>
      <c r="AA854">
        <v>3</v>
      </c>
      <c r="AB854">
        <v>8.5</v>
      </c>
      <c r="AC854" t="s">
        <v>169</v>
      </c>
      <c r="AG854" t="s">
        <v>5284</v>
      </c>
      <c r="AH854" t="s">
        <v>1627</v>
      </c>
      <c r="AI854" s="245">
        <v>674</v>
      </c>
      <c r="AJ854" t="s">
        <v>5285</v>
      </c>
      <c r="AK854" t="s">
        <v>5286</v>
      </c>
      <c r="AL854" t="s">
        <v>1277</v>
      </c>
      <c r="AM854" s="245">
        <v>679.99</v>
      </c>
      <c r="AN854" t="s">
        <v>5287</v>
      </c>
      <c r="AO854" t="s">
        <v>5288</v>
      </c>
      <c r="AP854" t="s">
        <v>1204</v>
      </c>
      <c r="AQ854" s="245">
        <v>681.22</v>
      </c>
      <c r="AR854" t="s">
        <v>5289</v>
      </c>
      <c r="AS854" s="226" t="str">
        <f t="shared" si="26"/>
        <v>QST Blank</v>
      </c>
      <c r="AT854" s="203" t="str">
        <f t="shared" si="27"/>
        <v xml:space="preserve"> SalomonQST Blank186 Unisex</v>
      </c>
    </row>
    <row r="855" spans="1:46" ht="66">
      <c r="A855" t="s">
        <v>155</v>
      </c>
      <c r="B855" t="s">
        <v>182</v>
      </c>
      <c r="C855" t="s">
        <v>289</v>
      </c>
      <c r="D855">
        <v>156</v>
      </c>
      <c r="E855" t="s">
        <v>163</v>
      </c>
      <c r="F855">
        <v>156</v>
      </c>
      <c r="G855">
        <v>155.69999999999999</v>
      </c>
      <c r="H855">
        <v>116</v>
      </c>
      <c r="I855">
        <v>129</v>
      </c>
      <c r="J855">
        <v>124</v>
      </c>
      <c r="K855">
        <v>97</v>
      </c>
      <c r="L855">
        <v>117</v>
      </c>
      <c r="M855">
        <v>16.2</v>
      </c>
      <c r="N855">
        <v>1337</v>
      </c>
      <c r="O855">
        <v>1.23</v>
      </c>
      <c r="P855">
        <v>1645</v>
      </c>
      <c r="Q855">
        <v>133</v>
      </c>
      <c r="R855">
        <v>78</v>
      </c>
      <c r="S855">
        <v>37</v>
      </c>
      <c r="T855">
        <v>240</v>
      </c>
      <c r="U855">
        <v>16</v>
      </c>
      <c r="V855">
        <v>153</v>
      </c>
      <c r="W855">
        <v>0.432</v>
      </c>
      <c r="X855">
        <v>165</v>
      </c>
      <c r="Y855">
        <v>103</v>
      </c>
      <c r="Z855">
        <v>74</v>
      </c>
      <c r="AA855">
        <v>5</v>
      </c>
      <c r="AB855">
        <v>9</v>
      </c>
      <c r="AC855" t="s">
        <v>188</v>
      </c>
      <c r="AD855" t="s">
        <v>185</v>
      </c>
      <c r="AG855" t="s">
        <v>1596</v>
      </c>
      <c r="AH855" t="s">
        <v>1226</v>
      </c>
      <c r="AI855" s="245">
        <v>559</v>
      </c>
      <c r="AJ855" t="s">
        <v>5290</v>
      </c>
      <c r="AK855" t="s">
        <v>1596</v>
      </c>
      <c r="AL855" t="s">
        <v>1280</v>
      </c>
      <c r="AM855" s="245">
        <v>559.92999999999995</v>
      </c>
      <c r="AN855" t="s">
        <v>5291</v>
      </c>
      <c r="AO855" t="s">
        <v>1596</v>
      </c>
      <c r="AP855" t="s">
        <v>1181</v>
      </c>
      <c r="AQ855" s="245">
        <v>559.96</v>
      </c>
      <c r="AR855" t="s">
        <v>5292</v>
      </c>
      <c r="AS855" s="226" t="str">
        <f t="shared" si="26"/>
        <v>Trace 98</v>
      </c>
      <c r="AT855" s="203" t="str">
        <f t="shared" si="27"/>
        <v xml:space="preserve"> ArmadaTrace 98156 Women's</v>
      </c>
    </row>
    <row r="856" spans="1:46" ht="105.6">
      <c r="A856" t="s">
        <v>155</v>
      </c>
      <c r="B856" t="s">
        <v>164</v>
      </c>
      <c r="C856" t="s">
        <v>313</v>
      </c>
      <c r="D856">
        <v>188</v>
      </c>
      <c r="E856" t="s">
        <v>158</v>
      </c>
      <c r="F856">
        <v>188</v>
      </c>
      <c r="G856">
        <v>184.7</v>
      </c>
      <c r="H856">
        <v>134</v>
      </c>
      <c r="I856">
        <v>150</v>
      </c>
      <c r="J856">
        <v>143</v>
      </c>
      <c r="K856">
        <v>104</v>
      </c>
      <c r="L856">
        <v>119</v>
      </c>
      <c r="M856">
        <v>20.3</v>
      </c>
      <c r="N856">
        <v>1959</v>
      </c>
      <c r="O856">
        <v>1.0900000000000001</v>
      </c>
      <c r="P856">
        <v>2136</v>
      </c>
      <c r="Q856">
        <v>290</v>
      </c>
      <c r="R856">
        <v>109</v>
      </c>
      <c r="S856">
        <v>49</v>
      </c>
      <c r="T856">
        <v>235</v>
      </c>
      <c r="U856">
        <v>18</v>
      </c>
      <c r="V856">
        <v>274</v>
      </c>
      <c r="W856">
        <v>0.36099999999999999</v>
      </c>
      <c r="X856">
        <v>179</v>
      </c>
      <c r="Y856">
        <v>173</v>
      </c>
      <c r="Z856">
        <v>55</v>
      </c>
      <c r="AA856">
        <v>4</v>
      </c>
      <c r="AB856">
        <v>10.3</v>
      </c>
      <c r="AC856" t="s">
        <v>188</v>
      </c>
      <c r="AD856" t="s">
        <v>169</v>
      </c>
      <c r="AE856" t="s">
        <v>178</v>
      </c>
      <c r="AF856" t="s">
        <v>185</v>
      </c>
      <c r="AG856" t="s">
        <v>2891</v>
      </c>
      <c r="AH856" t="s">
        <v>1185</v>
      </c>
      <c r="AI856" s="245">
        <v>489.99</v>
      </c>
      <c r="AJ856" t="s">
        <v>5293</v>
      </c>
      <c r="AK856" t="s">
        <v>5294</v>
      </c>
      <c r="AL856" t="s">
        <v>1232</v>
      </c>
      <c r="AM856" s="245">
        <v>499.95</v>
      </c>
      <c r="AN856" t="s">
        <v>5295</v>
      </c>
      <c r="AO856" t="s">
        <v>5296</v>
      </c>
      <c r="AP856" t="s">
        <v>1282</v>
      </c>
      <c r="AQ856" s="245">
        <v>524.99</v>
      </c>
      <c r="AR856" t="s">
        <v>5297</v>
      </c>
      <c r="AS856" s="226" t="str">
        <f t="shared" si="26"/>
        <v>Ripstick 106</v>
      </c>
      <c r="AT856" s="203" t="str">
        <f t="shared" si="27"/>
        <v xml:space="preserve"> ElanRipstick 106188 Unisex</v>
      </c>
    </row>
    <row r="857" spans="1:46" ht="92.4">
      <c r="A857" t="s">
        <v>155</v>
      </c>
      <c r="B857" t="s">
        <v>295</v>
      </c>
      <c r="C857" t="s">
        <v>608</v>
      </c>
      <c r="D857">
        <v>155</v>
      </c>
      <c r="E857" t="s">
        <v>163</v>
      </c>
      <c r="F857">
        <v>155</v>
      </c>
      <c r="G857">
        <v>154.19999999999999</v>
      </c>
      <c r="H857">
        <v>98</v>
      </c>
      <c r="I857">
        <v>125</v>
      </c>
      <c r="J857">
        <v>130</v>
      </c>
      <c r="K857">
        <v>95</v>
      </c>
      <c r="L857">
        <v>117</v>
      </c>
      <c r="M857">
        <v>13.1</v>
      </c>
      <c r="N857">
        <v>1500</v>
      </c>
      <c r="O857">
        <v>1.0900000000000001</v>
      </c>
      <c r="P857">
        <v>1641</v>
      </c>
      <c r="Q857">
        <v>165</v>
      </c>
      <c r="R857">
        <v>70</v>
      </c>
      <c r="S857">
        <v>56</v>
      </c>
      <c r="T857">
        <v>322</v>
      </c>
      <c r="U857">
        <v>18</v>
      </c>
      <c r="V857">
        <v>239</v>
      </c>
      <c r="W857">
        <v>0.314</v>
      </c>
      <c r="X857">
        <v>187</v>
      </c>
      <c r="Y857">
        <v>109</v>
      </c>
      <c r="Z857">
        <v>135</v>
      </c>
      <c r="AA857">
        <v>4</v>
      </c>
      <c r="AB857">
        <v>8.1999999999999993</v>
      </c>
      <c r="AC857" t="s">
        <v>188</v>
      </c>
      <c r="AD857" t="s">
        <v>185</v>
      </c>
      <c r="AG857" t="s">
        <v>5298</v>
      </c>
      <c r="AH857" t="s">
        <v>1226</v>
      </c>
      <c r="AI857" s="245">
        <v>509</v>
      </c>
      <c r="AJ857" t="s">
        <v>5299</v>
      </c>
      <c r="AK857" t="s">
        <v>5300</v>
      </c>
      <c r="AL857" t="s">
        <v>1627</v>
      </c>
      <c r="AM857" s="245">
        <v>509</v>
      </c>
      <c r="AN857" t="s">
        <v>5301</v>
      </c>
      <c r="AO857" t="s">
        <v>5298</v>
      </c>
      <c r="AP857" t="s">
        <v>1858</v>
      </c>
      <c r="AQ857" s="245">
        <v>509</v>
      </c>
      <c r="AR857" t="s">
        <v>5302</v>
      </c>
      <c r="AS857" s="226" t="str">
        <f t="shared" si="26"/>
        <v>Riveter 95</v>
      </c>
      <c r="AT857" s="203" t="str">
        <f t="shared" si="27"/>
        <v xml:space="preserve"> IcelanticRiveter 95155 Women's</v>
      </c>
    </row>
    <row r="858" spans="1:46" ht="39.6">
      <c r="A858" t="s">
        <v>155</v>
      </c>
      <c r="B858" t="s">
        <v>205</v>
      </c>
      <c r="C858" t="s">
        <v>663</v>
      </c>
      <c r="D858">
        <v>178</v>
      </c>
      <c r="E858" t="s">
        <v>158</v>
      </c>
      <c r="F858">
        <v>178</v>
      </c>
      <c r="G858">
        <v>176.4</v>
      </c>
      <c r="H858">
        <v>135</v>
      </c>
      <c r="I858">
        <v>151</v>
      </c>
      <c r="J858">
        <v>119</v>
      </c>
      <c r="K858">
        <v>85</v>
      </c>
      <c r="L858">
        <v>109</v>
      </c>
      <c r="M858">
        <v>18.7</v>
      </c>
      <c r="N858">
        <v>1694</v>
      </c>
      <c r="O858">
        <v>1.01</v>
      </c>
      <c r="P858">
        <v>1703</v>
      </c>
      <c r="Q858">
        <v>243</v>
      </c>
      <c r="R858">
        <v>143</v>
      </c>
      <c r="S858">
        <v>51</v>
      </c>
      <c r="T858">
        <v>247</v>
      </c>
      <c r="U858">
        <v>20</v>
      </c>
      <c r="V858">
        <v>166</v>
      </c>
      <c r="W858">
        <v>0.39</v>
      </c>
      <c r="X858">
        <v>155</v>
      </c>
      <c r="Y858">
        <v>97</v>
      </c>
      <c r="Z858">
        <v>91</v>
      </c>
      <c r="AA858">
        <v>8</v>
      </c>
      <c r="AB858">
        <v>9.5</v>
      </c>
      <c r="AC858" t="s">
        <v>231</v>
      </c>
      <c r="AD858" t="s">
        <v>188</v>
      </c>
      <c r="AG858" t="s">
        <v>3858</v>
      </c>
      <c r="AH858" t="s">
        <v>1248</v>
      </c>
      <c r="AI858" s="245">
        <v>575.20000000000005</v>
      </c>
      <c r="AJ858" t="s">
        <v>5303</v>
      </c>
      <c r="AK858" t="s">
        <v>3858</v>
      </c>
      <c r="AL858" t="s">
        <v>1556</v>
      </c>
      <c r="AM858" s="245">
        <v>619</v>
      </c>
      <c r="AN858" t="s">
        <v>5304</v>
      </c>
      <c r="AO858" t="s">
        <v>1803</v>
      </c>
      <c r="AP858" t="s">
        <v>1804</v>
      </c>
      <c r="AQ858" s="245">
        <v>222</v>
      </c>
      <c r="AR858" t="s">
        <v>5305</v>
      </c>
      <c r="AS858" s="226" t="str">
        <f t="shared" si="26"/>
        <v>Dictator 1.0</v>
      </c>
      <c r="AT858" s="203" t="str">
        <f t="shared" si="27"/>
        <v xml:space="preserve"> FactionDictator 1.0178 Unisex</v>
      </c>
    </row>
    <row r="859" spans="1:46" ht="92.4">
      <c r="A859" t="s">
        <v>155</v>
      </c>
      <c r="B859" t="s">
        <v>317</v>
      </c>
      <c r="C859" t="s">
        <v>447</v>
      </c>
      <c r="D859">
        <v>156</v>
      </c>
      <c r="E859" t="s">
        <v>163</v>
      </c>
      <c r="F859">
        <v>156</v>
      </c>
      <c r="G859">
        <v>154.5</v>
      </c>
      <c r="H859">
        <v>90</v>
      </c>
      <c r="I859">
        <v>126</v>
      </c>
      <c r="J859">
        <v>131</v>
      </c>
      <c r="K859">
        <v>101</v>
      </c>
      <c r="L859">
        <v>120</v>
      </c>
      <c r="M859">
        <v>14</v>
      </c>
      <c r="N859">
        <v>1708</v>
      </c>
      <c r="O859">
        <v>1.01</v>
      </c>
      <c r="P859">
        <v>1721</v>
      </c>
      <c r="Q859">
        <v>134</v>
      </c>
      <c r="R859">
        <v>72</v>
      </c>
      <c r="S859">
        <v>68</v>
      </c>
      <c r="T859">
        <v>361</v>
      </c>
      <c r="U859">
        <v>39</v>
      </c>
      <c r="V859">
        <v>285</v>
      </c>
      <c r="W859">
        <v>0.56699999999999995</v>
      </c>
      <c r="X859">
        <v>157</v>
      </c>
      <c r="Y859">
        <v>130</v>
      </c>
      <c r="Z859">
        <v>204</v>
      </c>
      <c r="AA859">
        <v>3</v>
      </c>
      <c r="AB859">
        <v>7.2</v>
      </c>
      <c r="AC859" t="s">
        <v>188</v>
      </c>
      <c r="AD859" t="s">
        <v>169</v>
      </c>
      <c r="AG859" t="s">
        <v>5306</v>
      </c>
      <c r="AH859" t="s">
        <v>1271</v>
      </c>
      <c r="AI859" s="245">
        <v>519.92999999999995</v>
      </c>
      <c r="AJ859" t="s">
        <v>5307</v>
      </c>
      <c r="AK859" t="s">
        <v>5308</v>
      </c>
      <c r="AL859" t="s">
        <v>1280</v>
      </c>
      <c r="AM859" s="245">
        <v>519.92999999999995</v>
      </c>
      <c r="AN859" t="s">
        <v>5309</v>
      </c>
      <c r="AO859" t="s">
        <v>5308</v>
      </c>
      <c r="AP859" t="s">
        <v>1400</v>
      </c>
      <c r="AQ859" s="245">
        <v>519.95000000000005</v>
      </c>
      <c r="AR859" t="s">
        <v>5310</v>
      </c>
      <c r="AS859" s="226" t="str">
        <f t="shared" si="26"/>
        <v>Sheeva 10</v>
      </c>
      <c r="AT859" s="203" t="str">
        <f t="shared" si="27"/>
        <v xml:space="preserve"> BlizzardSheeva 10156 Women's</v>
      </c>
    </row>
    <row r="860" spans="1:46" ht="52.8">
      <c r="A860" t="s">
        <v>155</v>
      </c>
      <c r="B860" t="s">
        <v>156</v>
      </c>
      <c r="C860" t="s">
        <v>689</v>
      </c>
      <c r="D860">
        <v>165</v>
      </c>
      <c r="E860" t="s">
        <v>158</v>
      </c>
      <c r="F860">
        <v>165</v>
      </c>
      <c r="G860">
        <v>163.80000000000001</v>
      </c>
      <c r="H860">
        <v>132</v>
      </c>
      <c r="I860">
        <v>142</v>
      </c>
      <c r="J860">
        <v>121</v>
      </c>
      <c r="K860">
        <v>81</v>
      </c>
      <c r="L860">
        <v>105</v>
      </c>
      <c r="M860">
        <v>14.9</v>
      </c>
      <c r="N860">
        <v>1825</v>
      </c>
      <c r="O860">
        <v>0.84</v>
      </c>
      <c r="P860">
        <v>1542</v>
      </c>
      <c r="Q860">
        <v>165</v>
      </c>
      <c r="R860">
        <v>71</v>
      </c>
      <c r="S860">
        <v>44</v>
      </c>
      <c r="T860">
        <v>196</v>
      </c>
      <c r="U860">
        <v>23</v>
      </c>
      <c r="V860">
        <v>118</v>
      </c>
      <c r="W860">
        <v>0.51700000000000002</v>
      </c>
      <c r="X860">
        <v>124</v>
      </c>
      <c r="Y860">
        <v>90</v>
      </c>
      <c r="Z860">
        <v>73</v>
      </c>
      <c r="AA860">
        <v>8</v>
      </c>
      <c r="AB860">
        <v>8.1</v>
      </c>
      <c r="AC860" t="s">
        <v>188</v>
      </c>
      <c r="AG860" t="s">
        <v>5311</v>
      </c>
      <c r="AH860" t="s">
        <v>1224</v>
      </c>
      <c r="AI860" s="245">
        <v>399.99</v>
      </c>
      <c r="AJ860" t="s">
        <v>5312</v>
      </c>
      <c r="AK860" t="s">
        <v>5311</v>
      </c>
      <c r="AL860" t="s">
        <v>1179</v>
      </c>
      <c r="AM860" s="245">
        <v>499.99</v>
      </c>
      <c r="AN860" t="s">
        <v>5313</v>
      </c>
      <c r="AO860" t="s">
        <v>5314</v>
      </c>
      <c r="AP860" t="s">
        <v>1229</v>
      </c>
      <c r="AQ860" s="245">
        <v>299.99</v>
      </c>
      <c r="AR860" t="s">
        <v>5315</v>
      </c>
      <c r="AS860" s="226" t="str">
        <f t="shared" si="26"/>
        <v>Maverick 83</v>
      </c>
      <c r="AT860" s="203" t="str">
        <f t="shared" si="27"/>
        <v xml:space="preserve"> AtomicMaverick 83165 Unisex</v>
      </c>
    </row>
    <row r="861" spans="1:46" ht="132">
      <c r="A861" t="s">
        <v>155</v>
      </c>
      <c r="B861" t="s">
        <v>1395</v>
      </c>
      <c r="C861" t="s">
        <v>675</v>
      </c>
      <c r="D861">
        <v>172</v>
      </c>
      <c r="E861" t="s">
        <v>158</v>
      </c>
      <c r="F861">
        <v>172</v>
      </c>
      <c r="G861">
        <v>171.9</v>
      </c>
      <c r="H861">
        <v>152</v>
      </c>
      <c r="I861">
        <v>159</v>
      </c>
      <c r="J861">
        <v>127</v>
      </c>
      <c r="K861">
        <v>79</v>
      </c>
      <c r="L861">
        <v>110</v>
      </c>
      <c r="M861">
        <v>15.5</v>
      </c>
      <c r="N861">
        <v>1962</v>
      </c>
      <c r="O861">
        <v>0.83</v>
      </c>
      <c r="P861">
        <v>1626</v>
      </c>
      <c r="Q861">
        <v>219</v>
      </c>
      <c r="R861">
        <v>68</v>
      </c>
      <c r="S861">
        <v>40</v>
      </c>
      <c r="T861">
        <v>139</v>
      </c>
      <c r="U861">
        <v>7</v>
      </c>
      <c r="V861">
        <v>65</v>
      </c>
      <c r="W861">
        <v>0.17399999999999999</v>
      </c>
      <c r="X861">
        <v>71</v>
      </c>
      <c r="Y861">
        <v>62</v>
      </c>
      <c r="Z861">
        <v>67</v>
      </c>
      <c r="AA861">
        <v>5</v>
      </c>
      <c r="AB861">
        <v>10.1</v>
      </c>
      <c r="AC861" t="s">
        <v>349</v>
      </c>
      <c r="AG861" t="s">
        <v>5316</v>
      </c>
      <c r="AH861" t="s">
        <v>3924</v>
      </c>
      <c r="AI861" s="245">
        <v>389.99</v>
      </c>
      <c r="AJ861" t="s">
        <v>5317</v>
      </c>
      <c r="AK861" t="s">
        <v>5318</v>
      </c>
      <c r="AL861" t="s">
        <v>4009</v>
      </c>
      <c r="AM861" s="245">
        <v>755.98</v>
      </c>
      <c r="AN861" t="s">
        <v>5319</v>
      </c>
      <c r="AO861" t="s">
        <v>5320</v>
      </c>
      <c r="AP861" t="s">
        <v>2525</v>
      </c>
      <c r="AQ861" s="245">
        <v>905</v>
      </c>
      <c r="AR861" t="s">
        <v>5321</v>
      </c>
      <c r="AS861" s="226" t="str">
        <f t="shared" si="26"/>
        <v>Deacon 80</v>
      </c>
      <c r="AT861" s="203" t="str">
        <f t="shared" si="27"/>
        <v xml:space="preserve"> Vï¿½lklDeacon 80172 Unisex</v>
      </c>
    </row>
    <row r="862" spans="1:46" ht="52.8">
      <c r="A862" t="s">
        <v>155</v>
      </c>
      <c r="B862" t="s">
        <v>317</v>
      </c>
      <c r="C862" t="s">
        <v>793</v>
      </c>
      <c r="D862">
        <v>171</v>
      </c>
      <c r="E862" t="s">
        <v>158</v>
      </c>
      <c r="F862">
        <v>171</v>
      </c>
      <c r="G862">
        <v>169.8</v>
      </c>
      <c r="H862">
        <v>140</v>
      </c>
      <c r="I862">
        <v>146</v>
      </c>
      <c r="J862">
        <v>136</v>
      </c>
      <c r="K862">
        <v>96</v>
      </c>
      <c r="L862">
        <v>117</v>
      </c>
      <c r="M862">
        <v>16.7</v>
      </c>
      <c r="N862">
        <v>2154</v>
      </c>
      <c r="O862">
        <v>0.85</v>
      </c>
      <c r="P862">
        <v>1824</v>
      </c>
      <c r="Q862">
        <v>170</v>
      </c>
      <c r="R862">
        <v>107</v>
      </c>
      <c r="S862">
        <v>51</v>
      </c>
      <c r="T862">
        <v>195</v>
      </c>
      <c r="U862">
        <v>7</v>
      </c>
      <c r="V862">
        <v>98</v>
      </c>
      <c r="W862">
        <v>0.13200000000000001</v>
      </c>
      <c r="X862">
        <v>129</v>
      </c>
      <c r="Y862">
        <v>105</v>
      </c>
      <c r="Z862">
        <v>66</v>
      </c>
      <c r="AA862">
        <v>9</v>
      </c>
      <c r="AB862">
        <v>11.5</v>
      </c>
      <c r="AC862" t="s">
        <v>188</v>
      </c>
      <c r="AG862" t="s">
        <v>5322</v>
      </c>
      <c r="AH862" t="s">
        <v>1280</v>
      </c>
      <c r="AI862" s="245">
        <v>599.92999999999995</v>
      </c>
      <c r="AJ862" t="s">
        <v>5323</v>
      </c>
      <c r="AK862" t="s">
        <v>5322</v>
      </c>
      <c r="AL862" t="s">
        <v>1282</v>
      </c>
      <c r="AM862" s="245">
        <v>599.95000000000005</v>
      </c>
      <c r="AN862" t="s">
        <v>5324</v>
      </c>
      <c r="AO862" t="s">
        <v>5322</v>
      </c>
      <c r="AP862" t="s">
        <v>1181</v>
      </c>
      <c r="AQ862" s="245">
        <v>599.95000000000005</v>
      </c>
      <c r="AR862" t="s">
        <v>5325</v>
      </c>
      <c r="AS862" s="226" t="str">
        <f t="shared" si="26"/>
        <v>Bonafide 97</v>
      </c>
      <c r="AT862" s="203" t="str">
        <f t="shared" si="27"/>
        <v xml:space="preserve"> BlizzardBonafide 97171 Unisex</v>
      </c>
    </row>
    <row r="863" spans="1:46" ht="105.6">
      <c r="A863" t="s">
        <v>155</v>
      </c>
      <c r="B863" t="s">
        <v>167</v>
      </c>
      <c r="C863" t="s">
        <v>430</v>
      </c>
      <c r="D863">
        <v>156</v>
      </c>
      <c r="E863" t="s">
        <v>158</v>
      </c>
      <c r="F863">
        <v>156</v>
      </c>
      <c r="G863">
        <v>157.30000000000001</v>
      </c>
      <c r="H863">
        <v>121</v>
      </c>
      <c r="I863">
        <v>125</v>
      </c>
      <c r="J863">
        <v>124</v>
      </c>
      <c r="K863">
        <v>87</v>
      </c>
      <c r="L863">
        <v>107</v>
      </c>
      <c r="M863">
        <v>12.1</v>
      </c>
      <c r="N863">
        <v>1473</v>
      </c>
      <c r="O863">
        <v>1.06</v>
      </c>
      <c r="P863">
        <v>1557</v>
      </c>
      <c r="Q863">
        <v>156</v>
      </c>
      <c r="R863">
        <v>71</v>
      </c>
      <c r="S863">
        <v>48</v>
      </c>
      <c r="T863">
        <v>209</v>
      </c>
      <c r="U863">
        <v>15</v>
      </c>
      <c r="V863">
        <v>152</v>
      </c>
      <c r="W863">
        <v>0.308</v>
      </c>
      <c r="X863">
        <v>152</v>
      </c>
      <c r="Y863">
        <v>169</v>
      </c>
      <c r="Z863">
        <v>57</v>
      </c>
      <c r="AA863">
        <v>7</v>
      </c>
      <c r="AB863">
        <v>9.1999999999999993</v>
      </c>
      <c r="AC863" t="s">
        <v>188</v>
      </c>
      <c r="AD863" t="s">
        <v>185</v>
      </c>
      <c r="AG863" t="s">
        <v>5326</v>
      </c>
      <c r="AH863" t="s">
        <v>1229</v>
      </c>
      <c r="AI863" s="245">
        <v>359.99</v>
      </c>
      <c r="AJ863" t="s">
        <v>5327</v>
      </c>
      <c r="AK863" t="s">
        <v>5326</v>
      </c>
      <c r="AL863" t="s">
        <v>1224</v>
      </c>
      <c r="AM863" s="245">
        <v>409</v>
      </c>
      <c r="AN863" t="s">
        <v>5328</v>
      </c>
      <c r="AS863" s="226" t="str">
        <f t="shared" si="26"/>
        <v>Kore 90 X</v>
      </c>
      <c r="AT863" s="203" t="str">
        <f t="shared" si="27"/>
        <v xml:space="preserve"> HeadKore 90 X156 Unisex</v>
      </c>
    </row>
    <row r="864" spans="1:46" ht="26.4">
      <c r="A864" t="s">
        <v>155</v>
      </c>
      <c r="B864" t="s">
        <v>321</v>
      </c>
      <c r="C864" t="s">
        <v>795</v>
      </c>
      <c r="D864">
        <v>177</v>
      </c>
      <c r="E864" t="s">
        <v>158</v>
      </c>
      <c r="F864">
        <v>177</v>
      </c>
      <c r="G864">
        <v>175.8</v>
      </c>
      <c r="H864">
        <v>117</v>
      </c>
      <c r="I864">
        <v>155</v>
      </c>
      <c r="J864">
        <v>127</v>
      </c>
      <c r="K864">
        <v>91</v>
      </c>
      <c r="L864">
        <v>124</v>
      </c>
      <c r="M864">
        <v>16.399999999999999</v>
      </c>
      <c r="N864">
        <v>1863</v>
      </c>
      <c r="O864">
        <v>0.98</v>
      </c>
      <c r="P864">
        <v>1825</v>
      </c>
      <c r="Q864">
        <v>186</v>
      </c>
      <c r="R864">
        <v>68</v>
      </c>
      <c r="S864">
        <v>46</v>
      </c>
      <c r="T864">
        <v>267</v>
      </c>
      <c r="U864">
        <v>41</v>
      </c>
      <c r="V864">
        <v>325</v>
      </c>
      <c r="W864">
        <v>0.89200000000000002</v>
      </c>
      <c r="X864">
        <v>125</v>
      </c>
      <c r="Y864">
        <v>82</v>
      </c>
      <c r="Z864">
        <v>142</v>
      </c>
      <c r="AA864">
        <v>7</v>
      </c>
      <c r="AB864">
        <v>3.5</v>
      </c>
      <c r="AC864" t="s">
        <v>184</v>
      </c>
      <c r="AS864" s="226" t="str">
        <f t="shared" si="26"/>
        <v>Zigzag 92</v>
      </c>
      <c r="AT864" s="203" t="str">
        <f t="shared" si="27"/>
        <v xml:space="preserve"> FerreolZigzag 92177 Unisex</v>
      </c>
    </row>
    <row r="865" spans="1:46" ht="66">
      <c r="A865" t="s">
        <v>155</v>
      </c>
      <c r="B865" t="s">
        <v>1395</v>
      </c>
      <c r="C865" t="s">
        <v>624</v>
      </c>
      <c r="D865">
        <v>166</v>
      </c>
      <c r="E865" t="s">
        <v>158</v>
      </c>
      <c r="F865">
        <v>166</v>
      </c>
      <c r="G865">
        <v>167.2</v>
      </c>
      <c r="H865">
        <v>121</v>
      </c>
      <c r="I865">
        <v>143</v>
      </c>
      <c r="J865">
        <v>128</v>
      </c>
      <c r="K865">
        <v>86</v>
      </c>
      <c r="L865">
        <v>110</v>
      </c>
      <c r="M865">
        <v>14.2</v>
      </c>
      <c r="N865">
        <v>1380</v>
      </c>
      <c r="O865">
        <v>1.2</v>
      </c>
      <c r="P865">
        <v>1662</v>
      </c>
      <c r="Q865">
        <v>163</v>
      </c>
      <c r="R865">
        <v>74</v>
      </c>
      <c r="S865">
        <v>45</v>
      </c>
      <c r="T865">
        <v>286</v>
      </c>
      <c r="U865">
        <v>18</v>
      </c>
      <c r="V865">
        <v>177</v>
      </c>
      <c r="W865">
        <v>0.39</v>
      </c>
      <c r="X865">
        <v>146</v>
      </c>
      <c r="Y865">
        <v>100</v>
      </c>
      <c r="Z865">
        <v>140</v>
      </c>
      <c r="AA865">
        <v>3</v>
      </c>
      <c r="AB865">
        <v>11.9</v>
      </c>
      <c r="AC865" t="s">
        <v>188</v>
      </c>
      <c r="AD865" t="s">
        <v>185</v>
      </c>
      <c r="AG865" t="s">
        <v>3119</v>
      </c>
      <c r="AH865" t="s">
        <v>1464</v>
      </c>
      <c r="AI865" s="245">
        <v>399.9</v>
      </c>
      <c r="AJ865" t="s">
        <v>5329</v>
      </c>
      <c r="AK865" t="s">
        <v>5330</v>
      </c>
      <c r="AL865" t="s">
        <v>1280</v>
      </c>
      <c r="AM865" s="245">
        <v>399.93</v>
      </c>
      <c r="AN865" t="s">
        <v>5331</v>
      </c>
      <c r="AO865" t="s">
        <v>5332</v>
      </c>
      <c r="AP865" t="s">
        <v>1320</v>
      </c>
      <c r="AQ865" s="245">
        <v>399.99</v>
      </c>
      <c r="AR865" t="s">
        <v>5333</v>
      </c>
      <c r="AS865" s="226" t="str">
        <f t="shared" si="26"/>
        <v>Blaze 86</v>
      </c>
      <c r="AT865" s="203" t="str">
        <f t="shared" si="27"/>
        <v xml:space="preserve"> Vï¿½lklBlaze 86166 Unisex</v>
      </c>
    </row>
    <row r="866" spans="1:46" ht="79.2">
      <c r="A866" t="s">
        <v>155</v>
      </c>
      <c r="B866" t="s">
        <v>317</v>
      </c>
      <c r="C866" t="s">
        <v>618</v>
      </c>
      <c r="D866">
        <v>152</v>
      </c>
      <c r="E866" t="s">
        <v>163</v>
      </c>
      <c r="F866">
        <v>152</v>
      </c>
      <c r="G866">
        <v>150.1</v>
      </c>
      <c r="H866">
        <v>114</v>
      </c>
      <c r="I866">
        <v>129</v>
      </c>
      <c r="J866">
        <v>118</v>
      </c>
      <c r="K866">
        <v>81</v>
      </c>
      <c r="L866">
        <v>102</v>
      </c>
      <c r="M866">
        <v>13.4</v>
      </c>
      <c r="N866">
        <v>1479</v>
      </c>
      <c r="O866">
        <v>0.94</v>
      </c>
      <c r="P866">
        <v>1391</v>
      </c>
      <c r="Q866">
        <v>154</v>
      </c>
      <c r="R866">
        <v>73</v>
      </c>
      <c r="S866">
        <v>54</v>
      </c>
      <c r="T866">
        <v>252</v>
      </c>
      <c r="U866">
        <v>7</v>
      </c>
      <c r="V866">
        <v>109</v>
      </c>
      <c r="W866">
        <v>0.13200000000000001</v>
      </c>
      <c r="X866">
        <v>114</v>
      </c>
      <c r="Y866">
        <v>99</v>
      </c>
      <c r="Z866">
        <v>138</v>
      </c>
      <c r="AA866">
        <v>3</v>
      </c>
      <c r="AB866">
        <v>10.9</v>
      </c>
      <c r="AC866" t="s">
        <v>231</v>
      </c>
      <c r="AD866" t="s">
        <v>188</v>
      </c>
      <c r="AG866" t="s">
        <v>5334</v>
      </c>
      <c r="AH866" t="s">
        <v>1400</v>
      </c>
      <c r="AI866" s="245">
        <v>479.95</v>
      </c>
      <c r="AJ866" t="s">
        <v>5335</v>
      </c>
      <c r="AK866" t="s">
        <v>5334</v>
      </c>
      <c r="AL866" t="s">
        <v>1224</v>
      </c>
      <c r="AM866" s="245">
        <v>479.96</v>
      </c>
      <c r="AN866" t="s">
        <v>5336</v>
      </c>
      <c r="AO866" t="s">
        <v>5334</v>
      </c>
      <c r="AP866" t="s">
        <v>3514</v>
      </c>
      <c r="AQ866" s="245">
        <v>479.96</v>
      </c>
      <c r="AR866" t="s">
        <v>5337</v>
      </c>
      <c r="AS866" s="226" t="str">
        <f t="shared" si="26"/>
        <v>Black Pearl 82</v>
      </c>
      <c r="AT866" s="203" t="str">
        <f t="shared" si="27"/>
        <v xml:space="preserve"> BlizzardBlack Pearl 82152 Women's</v>
      </c>
    </row>
    <row r="867" spans="1:46" ht="118.8">
      <c r="A867" t="s">
        <v>155</v>
      </c>
      <c r="B867" t="s">
        <v>245</v>
      </c>
      <c r="C867" t="s">
        <v>763</v>
      </c>
      <c r="D867">
        <v>159</v>
      </c>
      <c r="E867" t="s">
        <v>158</v>
      </c>
      <c r="F867">
        <v>159</v>
      </c>
      <c r="G867">
        <v>158.19999999999999</v>
      </c>
      <c r="H867">
        <v>129</v>
      </c>
      <c r="I867">
        <v>143</v>
      </c>
      <c r="J867">
        <v>124</v>
      </c>
      <c r="K867">
        <v>78</v>
      </c>
      <c r="L867">
        <v>109</v>
      </c>
      <c r="M867">
        <v>12.4</v>
      </c>
      <c r="N867">
        <v>1912</v>
      </c>
      <c r="O867">
        <v>0.77</v>
      </c>
      <c r="P867">
        <v>1475</v>
      </c>
      <c r="Q867">
        <v>208</v>
      </c>
      <c r="R867">
        <v>73</v>
      </c>
      <c r="S867">
        <v>43</v>
      </c>
      <c r="T867">
        <v>208</v>
      </c>
      <c r="U867">
        <v>14</v>
      </c>
      <c r="V867">
        <v>85</v>
      </c>
      <c r="W867">
        <v>0.33</v>
      </c>
      <c r="X867">
        <v>71</v>
      </c>
      <c r="Y867">
        <v>78</v>
      </c>
      <c r="Z867">
        <v>136</v>
      </c>
      <c r="AA867">
        <v>8</v>
      </c>
      <c r="AB867">
        <v>8.6</v>
      </c>
      <c r="AC867" t="s">
        <v>349</v>
      </c>
      <c r="AG867" t="s">
        <v>5014</v>
      </c>
      <c r="AH867" t="s">
        <v>2257</v>
      </c>
      <c r="AI867" s="245">
        <v>594</v>
      </c>
      <c r="AJ867" t="s">
        <v>5338</v>
      </c>
      <c r="AK867" t="s">
        <v>5014</v>
      </c>
      <c r="AL867" t="s">
        <v>2255</v>
      </c>
      <c r="AM867" s="245">
        <v>699.99</v>
      </c>
      <c r="AN867" t="s">
        <v>5339</v>
      </c>
      <c r="AO867" t="s">
        <v>5014</v>
      </c>
      <c r="AP867" t="s">
        <v>2516</v>
      </c>
      <c r="AQ867" s="245">
        <v>749.99</v>
      </c>
      <c r="AR867" t="s">
        <v>5340</v>
      </c>
      <c r="AS867" s="226" t="str">
        <f t="shared" si="26"/>
        <v>RC One 78 GT</v>
      </c>
      <c r="AT867" s="203" t="str">
        <f t="shared" si="27"/>
        <v xml:space="preserve"> FischerRC One 78 GT159 Unisex</v>
      </c>
    </row>
    <row r="868" spans="1:46" ht="66">
      <c r="A868" t="s">
        <v>155</v>
      </c>
      <c r="B868" t="s">
        <v>182</v>
      </c>
      <c r="C868" t="s">
        <v>557</v>
      </c>
      <c r="D868">
        <v>180</v>
      </c>
      <c r="E868" t="s">
        <v>158</v>
      </c>
      <c r="F868">
        <v>180</v>
      </c>
      <c r="G868">
        <v>179.5</v>
      </c>
      <c r="H868">
        <v>131</v>
      </c>
      <c r="I868">
        <v>147</v>
      </c>
      <c r="J868">
        <v>134</v>
      </c>
      <c r="K868">
        <v>101</v>
      </c>
      <c r="L868">
        <v>123</v>
      </c>
      <c r="M868">
        <v>18.5</v>
      </c>
      <c r="N868">
        <v>1958</v>
      </c>
      <c r="O868">
        <v>1.03</v>
      </c>
      <c r="P868">
        <v>2011</v>
      </c>
      <c r="Q868">
        <v>219</v>
      </c>
      <c r="R868">
        <v>136</v>
      </c>
      <c r="S868">
        <v>57</v>
      </c>
      <c r="T868">
        <v>308</v>
      </c>
      <c r="U868">
        <v>19</v>
      </c>
      <c r="V868">
        <v>180</v>
      </c>
      <c r="W868">
        <v>0.33899999999999902</v>
      </c>
      <c r="X868">
        <v>188</v>
      </c>
      <c r="Y868">
        <v>139</v>
      </c>
      <c r="Z868">
        <v>121</v>
      </c>
      <c r="AA868">
        <v>8</v>
      </c>
      <c r="AB868">
        <v>8.8000000000000007</v>
      </c>
      <c r="AC868" t="s">
        <v>188</v>
      </c>
      <c r="AD868" t="s">
        <v>178</v>
      </c>
      <c r="AG868" t="s">
        <v>2981</v>
      </c>
      <c r="AH868" t="s">
        <v>1191</v>
      </c>
      <c r="AI868" s="245">
        <v>514.95000000000005</v>
      </c>
      <c r="AJ868" t="s">
        <v>5341</v>
      </c>
      <c r="AK868" t="s">
        <v>5342</v>
      </c>
      <c r="AL868" t="s">
        <v>1265</v>
      </c>
      <c r="AM868" s="245">
        <v>544.17999999999995</v>
      </c>
      <c r="AN868" t="s">
        <v>5343</v>
      </c>
      <c r="AO868" t="s">
        <v>2981</v>
      </c>
      <c r="AP868" t="s">
        <v>1181</v>
      </c>
      <c r="AQ868" s="245">
        <v>599.96</v>
      </c>
      <c r="AR868" t="s">
        <v>5344</v>
      </c>
      <c r="AS868" s="226" t="str">
        <f t="shared" si="26"/>
        <v>Declivity 102 Ti</v>
      </c>
      <c r="AT868" s="203" t="str">
        <f t="shared" si="27"/>
        <v xml:space="preserve"> ArmadaDeclivity 102 Ti180 Unisex</v>
      </c>
    </row>
    <row r="869" spans="1:46" ht="66">
      <c r="A869" t="s">
        <v>155</v>
      </c>
      <c r="B869" t="s">
        <v>182</v>
      </c>
      <c r="C869" t="s">
        <v>743</v>
      </c>
      <c r="D869">
        <v>172</v>
      </c>
      <c r="E869" t="s">
        <v>158</v>
      </c>
      <c r="F869">
        <v>172</v>
      </c>
      <c r="G869">
        <v>170.8</v>
      </c>
      <c r="H869">
        <v>117</v>
      </c>
      <c r="I869">
        <v>135</v>
      </c>
      <c r="J869">
        <v>121</v>
      </c>
      <c r="K869">
        <v>93</v>
      </c>
      <c r="L869">
        <v>116</v>
      </c>
      <c r="M869">
        <v>13.9</v>
      </c>
      <c r="N869">
        <v>1975</v>
      </c>
      <c r="O869">
        <v>0.91</v>
      </c>
      <c r="P869">
        <v>1795</v>
      </c>
      <c r="Q869">
        <v>175</v>
      </c>
      <c r="R869">
        <v>69</v>
      </c>
      <c r="S869">
        <v>44</v>
      </c>
      <c r="T869">
        <v>271</v>
      </c>
      <c r="U869">
        <v>42</v>
      </c>
      <c r="V869">
        <v>267</v>
      </c>
      <c r="W869">
        <v>0.95899999999999996</v>
      </c>
      <c r="X869">
        <v>196</v>
      </c>
      <c r="Y869">
        <v>162</v>
      </c>
      <c r="Z869">
        <v>75</v>
      </c>
      <c r="AA869">
        <v>9</v>
      </c>
      <c r="AB869">
        <v>0.7</v>
      </c>
      <c r="AC869" t="s">
        <v>184</v>
      </c>
      <c r="AG869" t="s">
        <v>5345</v>
      </c>
      <c r="AH869" t="s">
        <v>1271</v>
      </c>
      <c r="AI869" s="245">
        <v>419.95</v>
      </c>
      <c r="AJ869" t="s">
        <v>5346</v>
      </c>
      <c r="AK869" t="s">
        <v>5347</v>
      </c>
      <c r="AL869" t="s">
        <v>1556</v>
      </c>
      <c r="AM869" s="245">
        <v>549.95000000000005</v>
      </c>
      <c r="AN869" t="s">
        <v>5348</v>
      </c>
      <c r="AO869" t="s">
        <v>3915</v>
      </c>
      <c r="AP869" t="s">
        <v>1194</v>
      </c>
      <c r="AQ869" s="245">
        <v>367.81</v>
      </c>
      <c r="AR869" t="s">
        <v>5349</v>
      </c>
      <c r="AS869" s="226" t="str">
        <f t="shared" si="26"/>
        <v>Bdog</v>
      </c>
      <c r="AT869" s="203" t="str">
        <f t="shared" si="27"/>
        <v xml:space="preserve"> ArmadaBdog172 Unisex</v>
      </c>
    </row>
    <row r="870" spans="1:46" ht="92.4">
      <c r="A870" t="s">
        <v>155</v>
      </c>
      <c r="B870" t="s">
        <v>164</v>
      </c>
      <c r="C870" t="s">
        <v>796</v>
      </c>
      <c r="D870">
        <v>158</v>
      </c>
      <c r="E870" t="s">
        <v>163</v>
      </c>
      <c r="F870">
        <v>158</v>
      </c>
      <c r="G870">
        <v>159.1</v>
      </c>
      <c r="H870">
        <v>138</v>
      </c>
      <c r="I870">
        <v>144</v>
      </c>
      <c r="J870">
        <v>125</v>
      </c>
      <c r="K870">
        <v>76</v>
      </c>
      <c r="L870">
        <v>105</v>
      </c>
      <c r="M870">
        <v>13.1</v>
      </c>
      <c r="N870">
        <v>1731</v>
      </c>
      <c r="O870">
        <v>0.84</v>
      </c>
      <c r="P870">
        <v>1451</v>
      </c>
      <c r="Q870">
        <v>161</v>
      </c>
      <c r="R870">
        <v>62</v>
      </c>
      <c r="S870">
        <v>32</v>
      </c>
      <c r="T870">
        <v>142</v>
      </c>
      <c r="U870">
        <v>10</v>
      </c>
      <c r="V870">
        <v>70</v>
      </c>
      <c r="W870">
        <v>0.30199999999999999</v>
      </c>
      <c r="X870">
        <v>93</v>
      </c>
      <c r="Y870">
        <v>60</v>
      </c>
      <c r="Z870">
        <v>49</v>
      </c>
      <c r="AA870">
        <v>8</v>
      </c>
      <c r="AB870">
        <v>8.6999999999999993</v>
      </c>
      <c r="AC870" t="s">
        <v>349</v>
      </c>
      <c r="AG870" t="s">
        <v>5350</v>
      </c>
      <c r="AH870" t="s">
        <v>1179</v>
      </c>
      <c r="AI870" s="245">
        <v>599.99</v>
      </c>
      <c r="AJ870" t="s">
        <v>5351</v>
      </c>
      <c r="AK870" t="s">
        <v>3949</v>
      </c>
      <c r="AL870" t="s">
        <v>1509</v>
      </c>
      <c r="AM870" s="245">
        <v>433.49</v>
      </c>
      <c r="AN870" t="s">
        <v>5352</v>
      </c>
      <c r="AO870" t="s">
        <v>5353</v>
      </c>
      <c r="AP870" t="s">
        <v>1566</v>
      </c>
      <c r="AQ870" s="245">
        <v>600</v>
      </c>
      <c r="AR870" t="s">
        <v>5354</v>
      </c>
      <c r="AS870" s="226" t="str">
        <f t="shared" si="26"/>
        <v>Insomnia 12 C</v>
      </c>
      <c r="AT870" s="203" t="str">
        <f t="shared" si="27"/>
        <v xml:space="preserve"> ElanInsomnia 12 C158 Women's</v>
      </c>
    </row>
    <row r="871" spans="1:46" ht="118.8">
      <c r="A871" t="s">
        <v>155</v>
      </c>
      <c r="B871" t="s">
        <v>332</v>
      </c>
      <c r="C871" t="s">
        <v>797</v>
      </c>
      <c r="D871">
        <v>165</v>
      </c>
      <c r="E871" t="s">
        <v>158</v>
      </c>
      <c r="F871">
        <v>165</v>
      </c>
      <c r="G871">
        <v>164.2</v>
      </c>
      <c r="H871">
        <v>146</v>
      </c>
      <c r="I871">
        <v>154</v>
      </c>
      <c r="J871">
        <v>119</v>
      </c>
      <c r="K871">
        <v>70</v>
      </c>
      <c r="L871">
        <v>98</v>
      </c>
      <c r="M871">
        <v>15</v>
      </c>
      <c r="N871">
        <v>1954</v>
      </c>
      <c r="O871">
        <v>0.71</v>
      </c>
      <c r="P871">
        <v>1380</v>
      </c>
      <c r="Q871">
        <v>185</v>
      </c>
      <c r="R871">
        <v>98</v>
      </c>
      <c r="S871">
        <v>36</v>
      </c>
      <c r="T871">
        <v>131</v>
      </c>
      <c r="U871">
        <v>5</v>
      </c>
      <c r="V871">
        <v>49</v>
      </c>
      <c r="W871">
        <v>0.14499999999999999</v>
      </c>
      <c r="X871">
        <v>62</v>
      </c>
      <c r="Y871">
        <v>44</v>
      </c>
      <c r="Z871">
        <v>69</v>
      </c>
      <c r="AA871">
        <v>9</v>
      </c>
      <c r="AB871">
        <v>13.1</v>
      </c>
      <c r="AC871" t="s">
        <v>349</v>
      </c>
      <c r="AG871" t="s">
        <v>5355</v>
      </c>
      <c r="AH871" t="s">
        <v>5356</v>
      </c>
      <c r="AI871" s="245">
        <v>574</v>
      </c>
      <c r="AJ871" t="s">
        <v>5357</v>
      </c>
      <c r="AK871" t="s">
        <v>1885</v>
      </c>
      <c r="AL871" t="s">
        <v>1400</v>
      </c>
      <c r="AM871" s="245">
        <v>559.99</v>
      </c>
      <c r="AN871" t="s">
        <v>5358</v>
      </c>
      <c r="AO871" t="s">
        <v>2797</v>
      </c>
      <c r="AP871" t="s">
        <v>1497</v>
      </c>
      <c r="AQ871" s="245">
        <v>559.99</v>
      </c>
      <c r="AR871" t="s">
        <v>5359</v>
      </c>
      <c r="AS871" s="226" t="str">
        <f t="shared" si="26"/>
        <v>Spitfire 70 Ti</v>
      </c>
      <c r="AT871" s="203" t="str">
        <f t="shared" si="27"/>
        <v xml:space="preserve"> NordicaSpitfire 70 Ti165 Unisex</v>
      </c>
    </row>
    <row r="872" spans="1:46" ht="52.8">
      <c r="A872" t="s">
        <v>155</v>
      </c>
      <c r="B872" t="s">
        <v>174</v>
      </c>
      <c r="C872" t="s">
        <v>343</v>
      </c>
      <c r="D872">
        <v>161</v>
      </c>
      <c r="E872" t="s">
        <v>158</v>
      </c>
      <c r="F872">
        <v>161</v>
      </c>
      <c r="G872">
        <v>160</v>
      </c>
      <c r="H872">
        <v>121</v>
      </c>
      <c r="I872">
        <v>132</v>
      </c>
      <c r="J872">
        <v>120</v>
      </c>
      <c r="K872">
        <v>83</v>
      </c>
      <c r="L872">
        <v>104</v>
      </c>
      <c r="M872">
        <v>13.7</v>
      </c>
      <c r="N872">
        <v>1417</v>
      </c>
      <c r="O872">
        <v>1.0900000000000001</v>
      </c>
      <c r="P872">
        <v>1542</v>
      </c>
      <c r="Q872">
        <v>157</v>
      </c>
      <c r="R872">
        <v>71</v>
      </c>
      <c r="S872">
        <v>51</v>
      </c>
      <c r="T872">
        <v>216</v>
      </c>
      <c r="U872">
        <v>9</v>
      </c>
      <c r="V872">
        <v>170</v>
      </c>
      <c r="W872">
        <v>0.17599999999999999</v>
      </c>
      <c r="X872">
        <v>162</v>
      </c>
      <c r="Y872">
        <v>118</v>
      </c>
      <c r="Z872">
        <v>54</v>
      </c>
      <c r="AA872">
        <v>6</v>
      </c>
      <c r="AB872">
        <v>8.9</v>
      </c>
      <c r="AC872" t="s">
        <v>231</v>
      </c>
      <c r="AD872" t="s">
        <v>188</v>
      </c>
      <c r="AE872" t="s">
        <v>185</v>
      </c>
      <c r="AG872" t="s">
        <v>5360</v>
      </c>
      <c r="AH872" t="s">
        <v>1218</v>
      </c>
      <c r="AI872" s="245">
        <v>399.95</v>
      </c>
      <c r="AJ872" t="s">
        <v>5361</v>
      </c>
      <c r="AK872" t="s">
        <v>5360</v>
      </c>
      <c r="AL872" t="s">
        <v>1179</v>
      </c>
      <c r="AM872" s="245">
        <v>399.95</v>
      </c>
      <c r="AN872" t="s">
        <v>5362</v>
      </c>
      <c r="AO872" t="s">
        <v>5360</v>
      </c>
      <c r="AP872" t="s">
        <v>1248</v>
      </c>
      <c r="AQ872" s="245">
        <v>399.99</v>
      </c>
      <c r="AR872" t="s">
        <v>5363</v>
      </c>
      <c r="AS872" s="226" t="str">
        <f t="shared" si="26"/>
        <v>Stance 84</v>
      </c>
      <c r="AT872" s="203" t="str">
        <f t="shared" si="27"/>
        <v xml:space="preserve"> SalomonStance 84161 Unisex</v>
      </c>
    </row>
    <row r="873" spans="1:46" ht="66">
      <c r="A873" t="s">
        <v>155</v>
      </c>
      <c r="B873" t="s">
        <v>182</v>
      </c>
      <c r="C873" t="s">
        <v>193</v>
      </c>
      <c r="D873">
        <v>164</v>
      </c>
      <c r="E873" t="s">
        <v>158</v>
      </c>
      <c r="F873">
        <v>164</v>
      </c>
      <c r="G873">
        <v>162.4</v>
      </c>
      <c r="H873">
        <v>116</v>
      </c>
      <c r="I873">
        <v>137</v>
      </c>
      <c r="J873">
        <v>117</v>
      </c>
      <c r="K873">
        <v>84</v>
      </c>
      <c r="L873">
        <v>108</v>
      </c>
      <c r="M873">
        <v>15.1</v>
      </c>
      <c r="N873">
        <v>1673</v>
      </c>
      <c r="O873">
        <v>0.93</v>
      </c>
      <c r="P873">
        <v>1556</v>
      </c>
      <c r="Q873">
        <v>151</v>
      </c>
      <c r="R873">
        <v>59</v>
      </c>
      <c r="S873">
        <v>46</v>
      </c>
      <c r="T873">
        <v>267</v>
      </c>
      <c r="U873">
        <v>35</v>
      </c>
      <c r="V873">
        <v>200</v>
      </c>
      <c r="W873">
        <v>0.75599999999999901</v>
      </c>
      <c r="X873">
        <v>137</v>
      </c>
      <c r="Y873">
        <v>117</v>
      </c>
      <c r="Z873">
        <v>130</v>
      </c>
      <c r="AA873">
        <v>7</v>
      </c>
      <c r="AB873">
        <v>7.1</v>
      </c>
      <c r="AC873" t="s">
        <v>188</v>
      </c>
      <c r="AG873" t="s">
        <v>5364</v>
      </c>
      <c r="AH873" t="s">
        <v>5365</v>
      </c>
      <c r="AI873" s="245">
        <v>349.95</v>
      </c>
      <c r="AJ873" t="s">
        <v>5366</v>
      </c>
      <c r="AK873" t="s">
        <v>5367</v>
      </c>
      <c r="AL873" t="s">
        <v>1277</v>
      </c>
      <c r="AM873" s="245">
        <v>349.95</v>
      </c>
      <c r="AN873" t="s">
        <v>5368</v>
      </c>
      <c r="AO873" t="s">
        <v>5369</v>
      </c>
      <c r="AP873" t="s">
        <v>4980</v>
      </c>
      <c r="AQ873" s="245">
        <v>349.95</v>
      </c>
      <c r="AR873" t="s">
        <v>5370</v>
      </c>
      <c r="AS873" s="226" t="str">
        <f t="shared" si="26"/>
        <v>ARV 84</v>
      </c>
      <c r="AT873" s="203" t="str">
        <f t="shared" si="27"/>
        <v xml:space="preserve"> ArmadaARV 84164 Unisex</v>
      </c>
    </row>
    <row r="874" spans="1:46" ht="79.2">
      <c r="A874" t="s">
        <v>155</v>
      </c>
      <c r="B874" t="s">
        <v>1160</v>
      </c>
      <c r="C874" t="s">
        <v>579</v>
      </c>
      <c r="D874">
        <v>159</v>
      </c>
      <c r="E874" t="s">
        <v>158</v>
      </c>
      <c r="F874">
        <v>159</v>
      </c>
      <c r="G874">
        <v>158.80000000000001</v>
      </c>
      <c r="H874">
        <v>104</v>
      </c>
      <c r="I874">
        <v>133</v>
      </c>
      <c r="J874">
        <v>123</v>
      </c>
      <c r="K874">
        <v>91</v>
      </c>
      <c r="L874">
        <v>113</v>
      </c>
      <c r="M874">
        <v>14.8</v>
      </c>
      <c r="N874">
        <v>1522</v>
      </c>
      <c r="O874">
        <v>1.06</v>
      </c>
      <c r="P874">
        <v>1615</v>
      </c>
      <c r="Q874">
        <v>150</v>
      </c>
      <c r="R874">
        <v>68</v>
      </c>
      <c r="S874">
        <v>49</v>
      </c>
      <c r="T874">
        <v>278</v>
      </c>
      <c r="U874">
        <v>42</v>
      </c>
      <c r="V874">
        <v>274</v>
      </c>
      <c r="W874">
        <v>0.86499999999999999</v>
      </c>
      <c r="X874">
        <v>113</v>
      </c>
      <c r="Y874">
        <v>143</v>
      </c>
      <c r="Z874">
        <v>165</v>
      </c>
      <c r="AA874">
        <v>5</v>
      </c>
      <c r="AB874">
        <v>4.3</v>
      </c>
      <c r="AC874" t="s">
        <v>184</v>
      </c>
      <c r="AD874" t="s">
        <v>185</v>
      </c>
      <c r="AG874" t="s">
        <v>3150</v>
      </c>
      <c r="AH874" t="s">
        <v>1509</v>
      </c>
      <c r="AI874" s="245">
        <v>260.99</v>
      </c>
      <c r="AJ874" t="s">
        <v>5371</v>
      </c>
      <c r="AK874" t="s">
        <v>3953</v>
      </c>
      <c r="AL874" t="s">
        <v>3959</v>
      </c>
      <c r="AM874" s="245">
        <v>299.95</v>
      </c>
      <c r="AN874" t="s">
        <v>5372</v>
      </c>
      <c r="AO874" t="s">
        <v>3150</v>
      </c>
      <c r="AP874" t="s">
        <v>1224</v>
      </c>
      <c r="AQ874" s="245">
        <v>299.95</v>
      </c>
      <c r="AR874" t="s">
        <v>5373</v>
      </c>
      <c r="AS874" s="226" t="str">
        <f t="shared" si="26"/>
        <v>Reckoner 92</v>
      </c>
      <c r="AT874" s="203" t="str">
        <f t="shared" si="27"/>
        <v>K2Reckoner 92159 Unisex</v>
      </c>
    </row>
    <row r="875" spans="1:46" ht="66">
      <c r="A875" t="s">
        <v>155</v>
      </c>
      <c r="B875" t="s">
        <v>1395</v>
      </c>
      <c r="C875" t="s">
        <v>285</v>
      </c>
      <c r="D875">
        <v>148</v>
      </c>
      <c r="E875" t="s">
        <v>158</v>
      </c>
      <c r="F875">
        <v>148</v>
      </c>
      <c r="G875">
        <v>146.9</v>
      </c>
      <c r="H875">
        <v>117</v>
      </c>
      <c r="I875">
        <v>125</v>
      </c>
      <c r="J875">
        <v>111</v>
      </c>
      <c r="K875">
        <v>80</v>
      </c>
      <c r="L875">
        <v>104</v>
      </c>
      <c r="M875">
        <v>13.8</v>
      </c>
      <c r="N875">
        <v>1433</v>
      </c>
      <c r="O875">
        <v>0.93</v>
      </c>
      <c r="P875">
        <v>1329</v>
      </c>
      <c r="Q875">
        <v>154</v>
      </c>
      <c r="R875">
        <v>77</v>
      </c>
      <c r="S875">
        <v>46</v>
      </c>
      <c r="T875">
        <v>160</v>
      </c>
      <c r="U875">
        <v>38</v>
      </c>
      <c r="V875">
        <v>140</v>
      </c>
      <c r="W875">
        <v>0.81799999999999995</v>
      </c>
      <c r="X875">
        <v>86</v>
      </c>
      <c r="Y875">
        <v>130</v>
      </c>
      <c r="Z875">
        <v>74</v>
      </c>
      <c r="AA875">
        <v>5</v>
      </c>
      <c r="AB875">
        <v>1.9</v>
      </c>
      <c r="AC875" t="s">
        <v>188</v>
      </c>
      <c r="AD875" t="s">
        <v>184</v>
      </c>
      <c r="AG875" t="s">
        <v>5374</v>
      </c>
      <c r="AH875" t="s">
        <v>1262</v>
      </c>
      <c r="AI875" s="245">
        <v>249.37</v>
      </c>
      <c r="AJ875" t="s">
        <v>5375</v>
      </c>
      <c r="AK875" t="s">
        <v>5374</v>
      </c>
      <c r="AL875" t="s">
        <v>1229</v>
      </c>
      <c r="AM875" s="245">
        <v>251.99</v>
      </c>
      <c r="AN875" t="s">
        <v>5376</v>
      </c>
      <c r="AO875" t="s">
        <v>5377</v>
      </c>
      <c r="AP875" t="s">
        <v>1204</v>
      </c>
      <c r="AQ875" s="245">
        <v>200.35</v>
      </c>
      <c r="AR875" t="s">
        <v>5378</v>
      </c>
      <c r="AS875" s="226" t="str">
        <f t="shared" si="26"/>
        <v>Bash 81</v>
      </c>
      <c r="AT875" s="203" t="str">
        <f t="shared" si="27"/>
        <v xml:space="preserve"> Vï¿½lklBash 81148 Unisex</v>
      </c>
    </row>
    <row r="876" spans="1:46" ht="79.2">
      <c r="A876" t="s">
        <v>155</v>
      </c>
      <c r="B876" t="s">
        <v>237</v>
      </c>
      <c r="C876" t="s">
        <v>361</v>
      </c>
      <c r="D876">
        <v>160.19999999999999</v>
      </c>
      <c r="E876" t="s">
        <v>158</v>
      </c>
      <c r="F876">
        <v>160.19999999999999</v>
      </c>
      <c r="G876">
        <v>159.80000000000001</v>
      </c>
      <c r="H876">
        <v>114</v>
      </c>
      <c r="I876">
        <v>135</v>
      </c>
      <c r="J876">
        <v>128</v>
      </c>
      <c r="K876">
        <v>95</v>
      </c>
      <c r="L876">
        <v>112</v>
      </c>
      <c r="M876">
        <v>17.3</v>
      </c>
      <c r="N876">
        <v>1331</v>
      </c>
      <c r="O876">
        <v>1.26</v>
      </c>
      <c r="P876">
        <v>1675</v>
      </c>
      <c r="Q876">
        <v>155</v>
      </c>
      <c r="R876">
        <v>77</v>
      </c>
      <c r="S876">
        <v>52</v>
      </c>
      <c r="T876">
        <v>307</v>
      </c>
      <c r="U876">
        <v>15</v>
      </c>
      <c r="V876">
        <v>155</v>
      </c>
      <c r="W876">
        <v>0.29099999999999998</v>
      </c>
      <c r="X876">
        <v>149</v>
      </c>
      <c r="Y876">
        <v>104</v>
      </c>
      <c r="Z876">
        <v>158</v>
      </c>
      <c r="AA876">
        <v>3</v>
      </c>
      <c r="AB876">
        <v>8.1</v>
      </c>
      <c r="AC876" t="s">
        <v>188</v>
      </c>
      <c r="AD876" t="s">
        <v>185</v>
      </c>
      <c r="AE876" t="s">
        <v>198</v>
      </c>
      <c r="AG876" t="s">
        <v>3824</v>
      </c>
      <c r="AH876" t="s">
        <v>1271</v>
      </c>
      <c r="AI876" s="245">
        <v>591.92999999999995</v>
      </c>
      <c r="AJ876" t="s">
        <v>5379</v>
      </c>
      <c r="AK876" t="s">
        <v>3824</v>
      </c>
      <c r="AL876" t="s">
        <v>1181</v>
      </c>
      <c r="AM876" s="245">
        <v>591.96</v>
      </c>
      <c r="AN876" t="s">
        <v>5380</v>
      </c>
      <c r="AO876" t="s">
        <v>3824</v>
      </c>
      <c r="AP876" t="s">
        <v>1224</v>
      </c>
      <c r="AQ876" s="245">
        <v>591.96</v>
      </c>
      <c r="AR876" t="s">
        <v>5381</v>
      </c>
      <c r="AS876" s="226" t="str">
        <f t="shared" si="26"/>
        <v>Camox Freebird</v>
      </c>
      <c r="AT876" s="203" t="str">
        <f t="shared" si="27"/>
        <v xml:space="preserve"> Black CrowsCamox Freebird160.2 Unisex</v>
      </c>
    </row>
    <row r="877" spans="1:46" ht="66">
      <c r="A877" t="s">
        <v>155</v>
      </c>
      <c r="B877" t="s">
        <v>1395</v>
      </c>
      <c r="C877" t="s">
        <v>775</v>
      </c>
      <c r="D877">
        <v>168</v>
      </c>
      <c r="E877" t="s">
        <v>163</v>
      </c>
      <c r="F877">
        <v>168</v>
      </c>
      <c r="G877">
        <v>168.5</v>
      </c>
      <c r="H877">
        <v>115</v>
      </c>
      <c r="I877">
        <v>145</v>
      </c>
      <c r="J877">
        <v>124</v>
      </c>
      <c r="K877">
        <v>83</v>
      </c>
      <c r="L877">
        <v>106</v>
      </c>
      <c r="M877">
        <v>15.8</v>
      </c>
      <c r="N877">
        <v>1464</v>
      </c>
      <c r="O877">
        <v>1.1100000000000001</v>
      </c>
      <c r="P877">
        <v>1623</v>
      </c>
      <c r="Q877">
        <v>176</v>
      </c>
      <c r="R877">
        <v>65</v>
      </c>
      <c r="S877">
        <v>38</v>
      </c>
      <c r="T877">
        <v>312</v>
      </c>
      <c r="U877">
        <v>15</v>
      </c>
      <c r="V877">
        <v>220</v>
      </c>
      <c r="W877">
        <v>0.38700000000000001</v>
      </c>
      <c r="X877">
        <v>134</v>
      </c>
      <c r="Y877">
        <v>103</v>
      </c>
      <c r="Z877">
        <v>178</v>
      </c>
      <c r="AA877">
        <v>2</v>
      </c>
      <c r="AB877">
        <v>11.8</v>
      </c>
      <c r="AC877" t="s">
        <v>231</v>
      </c>
      <c r="AD877" t="s">
        <v>188</v>
      </c>
      <c r="AE877" t="s">
        <v>185</v>
      </c>
      <c r="AG877" t="s">
        <v>4489</v>
      </c>
      <c r="AH877" t="s">
        <v>2589</v>
      </c>
      <c r="AI877" s="245">
        <v>419.95</v>
      </c>
      <c r="AJ877" t="s">
        <v>5382</v>
      </c>
      <c r="AK877" t="s">
        <v>4489</v>
      </c>
      <c r="AL877" t="s">
        <v>1421</v>
      </c>
      <c r="AM877" s="245">
        <v>479.99</v>
      </c>
      <c r="AN877" t="s">
        <v>5383</v>
      </c>
      <c r="AO877" t="s">
        <v>4489</v>
      </c>
      <c r="AP877" t="s">
        <v>1179</v>
      </c>
      <c r="AQ877" s="245">
        <v>479.99</v>
      </c>
      <c r="AR877" t="s">
        <v>5384</v>
      </c>
      <c r="AS877" s="226" t="str">
        <f t="shared" si="26"/>
        <v>Yumi 84</v>
      </c>
      <c r="AT877" s="203" t="str">
        <f t="shared" si="27"/>
        <v xml:space="preserve"> Vï¿½lklYumi 84168 Women's</v>
      </c>
    </row>
    <row r="878" spans="1:46" ht="145.19999999999999">
      <c r="A878" t="s">
        <v>155</v>
      </c>
      <c r="B878" t="s">
        <v>202</v>
      </c>
      <c r="C878" t="s">
        <v>798</v>
      </c>
      <c r="D878">
        <v>158</v>
      </c>
      <c r="E878" t="s">
        <v>158</v>
      </c>
      <c r="F878">
        <v>158</v>
      </c>
      <c r="G878">
        <v>157.5</v>
      </c>
      <c r="H878">
        <v>136</v>
      </c>
      <c r="I878">
        <v>143</v>
      </c>
      <c r="J878">
        <v>121</v>
      </c>
      <c r="K878">
        <v>72</v>
      </c>
      <c r="L878">
        <v>106</v>
      </c>
      <c r="M878">
        <v>12.1</v>
      </c>
      <c r="N878">
        <v>1913</v>
      </c>
      <c r="O878">
        <v>0.72</v>
      </c>
      <c r="P878">
        <v>1372</v>
      </c>
      <c r="Q878">
        <v>220</v>
      </c>
      <c r="R878">
        <v>115</v>
      </c>
      <c r="S878">
        <v>40</v>
      </c>
      <c r="T878">
        <v>151</v>
      </c>
      <c r="U878">
        <v>7</v>
      </c>
      <c r="V878">
        <v>62</v>
      </c>
      <c r="W878">
        <v>0.188999999999999</v>
      </c>
      <c r="X878">
        <v>84</v>
      </c>
      <c r="Y878">
        <v>64</v>
      </c>
      <c r="Z878">
        <v>67</v>
      </c>
      <c r="AA878">
        <v>10</v>
      </c>
      <c r="AB878">
        <v>11.1</v>
      </c>
      <c r="AC878" t="s">
        <v>349</v>
      </c>
      <c r="AG878" t="s">
        <v>5385</v>
      </c>
      <c r="AH878" t="s">
        <v>1405</v>
      </c>
      <c r="AI878" s="245">
        <v>899.95</v>
      </c>
      <c r="AJ878" t="s">
        <v>5386</v>
      </c>
      <c r="AK878" t="s">
        <v>5385</v>
      </c>
      <c r="AL878" t="s">
        <v>1181</v>
      </c>
      <c r="AM878" s="245">
        <v>899.95</v>
      </c>
      <c r="AN878" t="s">
        <v>5387</v>
      </c>
      <c r="AO878" t="s">
        <v>5388</v>
      </c>
      <c r="AP878" t="s">
        <v>1294</v>
      </c>
      <c r="AQ878" s="245">
        <v>319.93</v>
      </c>
      <c r="AR878" t="s">
        <v>5389</v>
      </c>
      <c r="AS878" s="226" t="str">
        <f t="shared" si="26"/>
        <v>Speed 763</v>
      </c>
      <c r="AT878" s="203" t="str">
        <f t="shared" si="27"/>
        <v xml:space="preserve"> DynastarSpeed 763158 Unisex</v>
      </c>
    </row>
    <row r="879" spans="1:46" ht="105.6">
      <c r="A879" t="s">
        <v>155</v>
      </c>
      <c r="B879" t="s">
        <v>245</v>
      </c>
      <c r="C879" t="s">
        <v>418</v>
      </c>
      <c r="D879">
        <v>185</v>
      </c>
      <c r="E879" t="s">
        <v>158</v>
      </c>
      <c r="F879">
        <v>185</v>
      </c>
      <c r="G879">
        <v>184.5</v>
      </c>
      <c r="H879">
        <v>131</v>
      </c>
      <c r="I879">
        <v>155</v>
      </c>
      <c r="J879">
        <v>126</v>
      </c>
      <c r="K879">
        <v>91</v>
      </c>
      <c r="L879">
        <v>117</v>
      </c>
      <c r="M879">
        <v>16.600000000000001</v>
      </c>
      <c r="N879">
        <v>1851</v>
      </c>
      <c r="O879">
        <v>1.04</v>
      </c>
      <c r="P879">
        <v>1932</v>
      </c>
      <c r="Q879">
        <v>266</v>
      </c>
      <c r="R879">
        <v>141</v>
      </c>
      <c r="S879">
        <v>49</v>
      </c>
      <c r="T879">
        <v>312</v>
      </c>
      <c r="U879">
        <v>19</v>
      </c>
      <c r="V879">
        <v>227</v>
      </c>
      <c r="W879">
        <v>0.39299999999999902</v>
      </c>
      <c r="X879">
        <v>140</v>
      </c>
      <c r="Y879">
        <v>150</v>
      </c>
      <c r="Z879">
        <v>172</v>
      </c>
      <c r="AA879">
        <v>5</v>
      </c>
      <c r="AB879">
        <v>10.5</v>
      </c>
      <c r="AC879" t="s">
        <v>188</v>
      </c>
      <c r="AG879" t="s">
        <v>5390</v>
      </c>
      <c r="AH879" t="s">
        <v>1349</v>
      </c>
      <c r="AI879" s="245">
        <v>348.3</v>
      </c>
      <c r="AJ879" t="s">
        <v>5391</v>
      </c>
      <c r="AK879" t="s">
        <v>5392</v>
      </c>
      <c r="AL879" t="s">
        <v>1232</v>
      </c>
      <c r="AM879" s="245">
        <v>499.95</v>
      </c>
      <c r="AN879" t="s">
        <v>5393</v>
      </c>
      <c r="AO879" t="s">
        <v>5394</v>
      </c>
      <c r="AP879" t="s">
        <v>1601</v>
      </c>
      <c r="AQ879" s="245">
        <v>649.95000000000005</v>
      </c>
      <c r="AR879" t="s">
        <v>5395</v>
      </c>
      <c r="AS879" s="226" t="str">
        <f t="shared" si="26"/>
        <v>Ranger 92 Ti</v>
      </c>
      <c r="AT879" s="203" t="str">
        <f t="shared" si="27"/>
        <v xml:space="preserve"> FischerRanger 92 Ti185 Unisex</v>
      </c>
    </row>
    <row r="880" spans="1:46" ht="118.8">
      <c r="A880" t="s">
        <v>155</v>
      </c>
      <c r="B880" t="s">
        <v>156</v>
      </c>
      <c r="C880" t="s">
        <v>532</v>
      </c>
      <c r="D880">
        <v>149</v>
      </c>
      <c r="E880" t="s">
        <v>158</v>
      </c>
      <c r="F880">
        <v>149</v>
      </c>
      <c r="G880">
        <v>146</v>
      </c>
      <c r="H880">
        <v>125</v>
      </c>
      <c r="I880">
        <v>133</v>
      </c>
      <c r="J880">
        <v>108</v>
      </c>
      <c r="K880">
        <v>69</v>
      </c>
      <c r="L880">
        <v>96</v>
      </c>
      <c r="M880">
        <v>13</v>
      </c>
      <c r="N880">
        <v>1474</v>
      </c>
      <c r="O880">
        <v>0.81</v>
      </c>
      <c r="P880">
        <v>1195</v>
      </c>
      <c r="Q880">
        <v>153</v>
      </c>
      <c r="R880">
        <v>69</v>
      </c>
      <c r="S880">
        <v>40</v>
      </c>
      <c r="T880">
        <v>151</v>
      </c>
      <c r="U880">
        <v>5</v>
      </c>
      <c r="V880">
        <v>58</v>
      </c>
      <c r="W880">
        <v>0.122</v>
      </c>
      <c r="X880">
        <v>83</v>
      </c>
      <c r="Y880">
        <v>52</v>
      </c>
      <c r="Z880">
        <v>68</v>
      </c>
      <c r="AA880">
        <v>6</v>
      </c>
      <c r="AB880">
        <v>12.4</v>
      </c>
      <c r="AC880" t="s">
        <v>349</v>
      </c>
      <c r="AG880" t="s">
        <v>5396</v>
      </c>
      <c r="AH880" t="s">
        <v>1229</v>
      </c>
      <c r="AI880" s="245">
        <v>629.99</v>
      </c>
      <c r="AJ880" t="s">
        <v>5397</v>
      </c>
      <c r="AK880" t="s">
        <v>5398</v>
      </c>
      <c r="AL880" t="s">
        <v>1277</v>
      </c>
      <c r="AM880" s="245">
        <v>321.07</v>
      </c>
      <c r="AN880" t="s">
        <v>5399</v>
      </c>
      <c r="AS880" s="226" t="str">
        <f t="shared" si="26"/>
        <v>Redster S7</v>
      </c>
      <c r="AT880" s="203" t="str">
        <f t="shared" si="27"/>
        <v xml:space="preserve"> AtomicRedster S7149 Unisex</v>
      </c>
    </row>
    <row r="881" spans="1:46" ht="118.8">
      <c r="A881" t="s">
        <v>155</v>
      </c>
      <c r="B881" t="s">
        <v>167</v>
      </c>
      <c r="C881" t="s">
        <v>799</v>
      </c>
      <c r="D881">
        <v>153</v>
      </c>
      <c r="E881" t="s">
        <v>163</v>
      </c>
      <c r="F881">
        <v>153</v>
      </c>
      <c r="G881">
        <v>152.30000000000001</v>
      </c>
      <c r="H881">
        <v>131</v>
      </c>
      <c r="I881">
        <v>135</v>
      </c>
      <c r="J881">
        <v>130</v>
      </c>
      <c r="K881">
        <v>78</v>
      </c>
      <c r="L881">
        <v>108</v>
      </c>
      <c r="M881">
        <v>11.2</v>
      </c>
      <c r="N881">
        <v>1604</v>
      </c>
      <c r="O881">
        <v>0.89</v>
      </c>
      <c r="P881">
        <v>1425</v>
      </c>
      <c r="Q881">
        <v>122</v>
      </c>
      <c r="R881">
        <v>65</v>
      </c>
      <c r="S881">
        <v>34</v>
      </c>
      <c r="T881">
        <v>136</v>
      </c>
      <c r="U881">
        <v>11</v>
      </c>
      <c r="V881">
        <v>73</v>
      </c>
      <c r="W881">
        <v>0.33799999999999902</v>
      </c>
      <c r="X881">
        <v>111</v>
      </c>
      <c r="Y881">
        <v>62</v>
      </c>
      <c r="Z881">
        <v>25</v>
      </c>
      <c r="AA881">
        <v>11</v>
      </c>
      <c r="AB881">
        <v>10.8</v>
      </c>
      <c r="AC881" t="s">
        <v>349</v>
      </c>
      <c r="AD881" t="s">
        <v>231</v>
      </c>
      <c r="AG881" t="s">
        <v>5400</v>
      </c>
      <c r="AH881" t="s">
        <v>4281</v>
      </c>
      <c r="AI881" s="245">
        <v>239.99</v>
      </c>
      <c r="AJ881" t="s">
        <v>5401</v>
      </c>
      <c r="AK881" t="s">
        <v>5402</v>
      </c>
      <c r="AL881" t="s">
        <v>1204</v>
      </c>
      <c r="AM881" s="245">
        <v>416.75</v>
      </c>
      <c r="AN881" t="s">
        <v>5403</v>
      </c>
      <c r="AO881" t="s">
        <v>5404</v>
      </c>
      <c r="AP881" t="s">
        <v>1566</v>
      </c>
      <c r="AQ881" s="245">
        <v>450</v>
      </c>
      <c r="AR881" t="s">
        <v>5405</v>
      </c>
      <c r="AS881" s="226" t="str">
        <f t="shared" si="26"/>
        <v>Absolut Joy</v>
      </c>
      <c r="AT881" s="203" t="str">
        <f t="shared" si="27"/>
        <v xml:space="preserve"> HeadAbsolut Joy153 Women's</v>
      </c>
    </row>
    <row r="882" spans="1:46" ht="52.8">
      <c r="A882" t="s">
        <v>155</v>
      </c>
      <c r="B882" t="s">
        <v>208</v>
      </c>
      <c r="C882" t="s">
        <v>628</v>
      </c>
      <c r="D882">
        <v>171</v>
      </c>
      <c r="E882" t="s">
        <v>158</v>
      </c>
      <c r="F882">
        <v>171</v>
      </c>
      <c r="G882">
        <v>171.7</v>
      </c>
      <c r="H882">
        <v>119</v>
      </c>
      <c r="I882">
        <v>147</v>
      </c>
      <c r="J882">
        <v>132</v>
      </c>
      <c r="K882">
        <v>99</v>
      </c>
      <c r="L882">
        <v>122</v>
      </c>
      <c r="M882">
        <v>18.7</v>
      </c>
      <c r="N882">
        <v>1651</v>
      </c>
      <c r="O882">
        <v>1.1399999999999999</v>
      </c>
      <c r="P882">
        <v>1881</v>
      </c>
      <c r="Q882">
        <v>130</v>
      </c>
      <c r="R882">
        <v>58</v>
      </c>
      <c r="S882">
        <v>41</v>
      </c>
      <c r="T882">
        <v>249</v>
      </c>
      <c r="U882">
        <v>38</v>
      </c>
      <c r="V882">
        <v>276</v>
      </c>
      <c r="W882">
        <v>0.93700000000000006</v>
      </c>
      <c r="X882">
        <v>106</v>
      </c>
      <c r="Y882">
        <v>137</v>
      </c>
      <c r="Z882">
        <v>143</v>
      </c>
      <c r="AA882">
        <v>6</v>
      </c>
      <c r="AB882">
        <v>4.5</v>
      </c>
      <c r="AC882" t="s">
        <v>184</v>
      </c>
      <c r="AD882" t="s">
        <v>185</v>
      </c>
      <c r="AG882" t="s">
        <v>4861</v>
      </c>
      <c r="AH882" t="s">
        <v>1248</v>
      </c>
      <c r="AI882" s="245">
        <v>479.96</v>
      </c>
      <c r="AJ882" t="s">
        <v>5406</v>
      </c>
      <c r="AK882" t="s">
        <v>4861</v>
      </c>
      <c r="AL882" t="s">
        <v>1421</v>
      </c>
      <c r="AM882" s="245">
        <v>479.96</v>
      </c>
      <c r="AN882" t="s">
        <v>5407</v>
      </c>
      <c r="AO882" t="s">
        <v>5408</v>
      </c>
      <c r="AP882" t="s">
        <v>1240</v>
      </c>
      <c r="AQ882" s="245">
        <v>549.95000000000005</v>
      </c>
      <c r="AR882" t="s">
        <v>5409</v>
      </c>
      <c r="AS882" s="226" t="str">
        <f t="shared" si="26"/>
        <v>Blend</v>
      </c>
      <c r="AT882" s="203" t="str">
        <f t="shared" si="27"/>
        <v xml:space="preserve"> LineBlend171 Unisex</v>
      </c>
    </row>
    <row r="883" spans="1:46" ht="132">
      <c r="A883" t="s">
        <v>155</v>
      </c>
      <c r="B883" t="s">
        <v>167</v>
      </c>
      <c r="C883" t="s">
        <v>677</v>
      </c>
      <c r="D883">
        <v>156</v>
      </c>
      <c r="E883" t="s">
        <v>158</v>
      </c>
      <c r="F883">
        <v>156</v>
      </c>
      <c r="G883">
        <v>155.19999999999999</v>
      </c>
      <c r="H883">
        <v>136</v>
      </c>
      <c r="I883">
        <v>142</v>
      </c>
      <c r="J883">
        <v>131</v>
      </c>
      <c r="K883">
        <v>72</v>
      </c>
      <c r="L883">
        <v>111</v>
      </c>
      <c r="M883">
        <v>10.3</v>
      </c>
      <c r="N883">
        <v>1682</v>
      </c>
      <c r="O883">
        <v>0.84</v>
      </c>
      <c r="P883">
        <v>1410</v>
      </c>
      <c r="Q883">
        <v>135</v>
      </c>
      <c r="R883">
        <v>69</v>
      </c>
      <c r="S883">
        <v>33</v>
      </c>
      <c r="T883">
        <v>138</v>
      </c>
      <c r="U883">
        <v>6</v>
      </c>
      <c r="V883">
        <v>54</v>
      </c>
      <c r="W883">
        <v>0.17299999999999999</v>
      </c>
      <c r="X883">
        <v>83</v>
      </c>
      <c r="Y883">
        <v>45</v>
      </c>
      <c r="Z883">
        <v>55</v>
      </c>
      <c r="AA883">
        <v>13</v>
      </c>
      <c r="AB883">
        <v>12.2</v>
      </c>
      <c r="AC883" t="s">
        <v>349</v>
      </c>
      <c r="AG883" t="s">
        <v>5410</v>
      </c>
      <c r="AH883" t="s">
        <v>2765</v>
      </c>
      <c r="AI883" s="245">
        <v>419.99</v>
      </c>
      <c r="AJ883" t="s">
        <v>5411</v>
      </c>
      <c r="AK883" t="s">
        <v>5412</v>
      </c>
      <c r="AL883" t="s">
        <v>2257</v>
      </c>
      <c r="AM883" s="245">
        <v>466</v>
      </c>
      <c r="AN883" t="s">
        <v>5413</v>
      </c>
      <c r="AO883" t="s">
        <v>5412</v>
      </c>
      <c r="AP883" t="s">
        <v>2255</v>
      </c>
      <c r="AQ883" s="245">
        <v>489</v>
      </c>
      <c r="AR883" t="s">
        <v>5414</v>
      </c>
      <c r="AS883" s="226" t="str">
        <f t="shared" si="26"/>
        <v>V-Shape V4</v>
      </c>
      <c r="AT883" s="203" t="str">
        <f t="shared" si="27"/>
        <v xml:space="preserve"> HeadV-Shape V4156 Unisex</v>
      </c>
    </row>
    <row r="884" spans="1:46" ht="145.19999999999999">
      <c r="A884" t="s">
        <v>155</v>
      </c>
      <c r="B884" t="s">
        <v>156</v>
      </c>
      <c r="C884" t="s">
        <v>800</v>
      </c>
      <c r="D884">
        <v>159</v>
      </c>
      <c r="E884" t="s">
        <v>158</v>
      </c>
      <c r="F884">
        <v>159</v>
      </c>
      <c r="G884">
        <v>158</v>
      </c>
      <c r="H884">
        <v>137</v>
      </c>
      <c r="I884">
        <v>145</v>
      </c>
      <c r="J884">
        <v>117</v>
      </c>
      <c r="K884">
        <v>69</v>
      </c>
      <c r="L884">
        <v>103</v>
      </c>
      <c r="M884">
        <v>12.1</v>
      </c>
      <c r="N884">
        <v>2069</v>
      </c>
      <c r="O884">
        <v>0.64</v>
      </c>
      <c r="P884">
        <v>1334</v>
      </c>
      <c r="Q884">
        <v>206</v>
      </c>
      <c r="R884">
        <v>102</v>
      </c>
      <c r="S884">
        <v>33</v>
      </c>
      <c r="T884">
        <v>153</v>
      </c>
      <c r="U884">
        <v>6</v>
      </c>
      <c r="V884">
        <v>53</v>
      </c>
      <c r="W884">
        <v>0.17100000000000001</v>
      </c>
      <c r="X884">
        <v>81</v>
      </c>
      <c r="Y884">
        <v>54</v>
      </c>
      <c r="Z884">
        <v>72</v>
      </c>
      <c r="AA884">
        <v>10</v>
      </c>
      <c r="AB884">
        <v>13.7</v>
      </c>
      <c r="AC884" t="s">
        <v>349</v>
      </c>
      <c r="AG884" t="s">
        <v>5415</v>
      </c>
      <c r="AH884" t="s">
        <v>1229</v>
      </c>
      <c r="AI884" s="245">
        <v>299.99</v>
      </c>
      <c r="AJ884" t="s">
        <v>5416</v>
      </c>
      <c r="AK884" t="s">
        <v>5417</v>
      </c>
      <c r="AL884" t="s">
        <v>3574</v>
      </c>
      <c r="AM884" s="245">
        <v>299.99</v>
      </c>
      <c r="AN884" t="s">
        <v>5418</v>
      </c>
      <c r="AO884" t="s">
        <v>5419</v>
      </c>
      <c r="AP884" t="s">
        <v>5420</v>
      </c>
      <c r="AQ884" s="245">
        <v>399.99</v>
      </c>
      <c r="AR884" t="s">
        <v>5421</v>
      </c>
      <c r="AS884" s="226" t="str">
        <f t="shared" si="26"/>
        <v>Redster S9 Servo</v>
      </c>
      <c r="AT884" s="203" t="str">
        <f t="shared" si="27"/>
        <v xml:space="preserve"> AtomicRedster S9 Servo159 Unisex</v>
      </c>
    </row>
    <row r="885" spans="1:46" ht="92.4">
      <c r="A885" t="s">
        <v>155</v>
      </c>
      <c r="B885" t="s">
        <v>329</v>
      </c>
      <c r="C885" t="s">
        <v>425</v>
      </c>
      <c r="D885">
        <v>170</v>
      </c>
      <c r="E885" t="s">
        <v>158</v>
      </c>
      <c r="F885">
        <v>170</v>
      </c>
      <c r="G885">
        <v>169</v>
      </c>
      <c r="H885">
        <v>108</v>
      </c>
      <c r="I885">
        <v>136</v>
      </c>
      <c r="J885">
        <v>123</v>
      </c>
      <c r="K885">
        <v>95</v>
      </c>
      <c r="L885">
        <v>112</v>
      </c>
      <c r="M885">
        <v>17.2</v>
      </c>
      <c r="N885">
        <v>1326</v>
      </c>
      <c r="O885">
        <v>1.33</v>
      </c>
      <c r="P885">
        <v>1760</v>
      </c>
      <c r="Q885">
        <v>154</v>
      </c>
      <c r="R885">
        <v>74</v>
      </c>
      <c r="S885">
        <v>62</v>
      </c>
      <c r="T885">
        <v>382</v>
      </c>
      <c r="U885">
        <v>14</v>
      </c>
      <c r="V885">
        <v>229</v>
      </c>
      <c r="W885">
        <v>0.23300000000000001</v>
      </c>
      <c r="X885">
        <v>172</v>
      </c>
      <c r="Y885">
        <v>155</v>
      </c>
      <c r="Z885">
        <v>210</v>
      </c>
      <c r="AA885">
        <v>3</v>
      </c>
      <c r="AB885">
        <v>8.6</v>
      </c>
      <c r="AC885" t="s">
        <v>185</v>
      </c>
      <c r="AD885" t="s">
        <v>198</v>
      </c>
      <c r="AG885" t="s">
        <v>5422</v>
      </c>
      <c r="AH885" t="s">
        <v>2163</v>
      </c>
      <c r="AI885" s="245">
        <v>457.61</v>
      </c>
      <c r="AJ885" t="s">
        <v>5423</v>
      </c>
      <c r="AK885" t="s">
        <v>5424</v>
      </c>
      <c r="AL885" t="s">
        <v>5425</v>
      </c>
      <c r="AM885" s="245">
        <v>617.1</v>
      </c>
      <c r="AN885" t="s">
        <v>5426</v>
      </c>
      <c r="AO885" t="s">
        <v>5427</v>
      </c>
      <c r="AP885" t="s">
        <v>1191</v>
      </c>
      <c r="AQ885" s="245">
        <v>449.95</v>
      </c>
      <c r="AR885" t="s">
        <v>5428</v>
      </c>
      <c r="AS885" s="226" t="str">
        <f t="shared" si="26"/>
        <v>Beast 98</v>
      </c>
      <c r="AT885" s="203" t="str">
        <f t="shared" si="27"/>
        <v xml:space="preserve"> DynafitBeast 98170 Unisex</v>
      </c>
    </row>
    <row r="886" spans="1:46" ht="171.6">
      <c r="A886" t="s">
        <v>155</v>
      </c>
      <c r="B886" t="s">
        <v>329</v>
      </c>
      <c r="C886" t="s">
        <v>682</v>
      </c>
      <c r="D886">
        <v>166</v>
      </c>
      <c r="E886" t="s">
        <v>158</v>
      </c>
      <c r="F886">
        <v>166</v>
      </c>
      <c r="G886">
        <v>165.4</v>
      </c>
      <c r="H886">
        <v>132</v>
      </c>
      <c r="I886">
        <v>139</v>
      </c>
      <c r="J886">
        <v>113</v>
      </c>
      <c r="K886">
        <v>83</v>
      </c>
      <c r="L886">
        <v>103</v>
      </c>
      <c r="M886">
        <v>18.2</v>
      </c>
      <c r="N886">
        <v>1911</v>
      </c>
      <c r="O886">
        <v>0.81</v>
      </c>
      <c r="P886">
        <v>1544</v>
      </c>
      <c r="Q886">
        <v>176</v>
      </c>
      <c r="R886">
        <v>72</v>
      </c>
      <c r="S886">
        <v>47</v>
      </c>
      <c r="T886">
        <v>247</v>
      </c>
      <c r="U886">
        <v>7</v>
      </c>
      <c r="V886">
        <v>84</v>
      </c>
      <c r="W886">
        <v>0.14899999999999999</v>
      </c>
      <c r="X886">
        <v>185</v>
      </c>
      <c r="Y886">
        <v>79</v>
      </c>
      <c r="Z886">
        <v>62</v>
      </c>
      <c r="AA886">
        <v>6</v>
      </c>
      <c r="AB886">
        <v>11.8</v>
      </c>
      <c r="AC886" t="s">
        <v>349</v>
      </c>
      <c r="AD886" t="s">
        <v>231</v>
      </c>
      <c r="AE886" t="s">
        <v>188</v>
      </c>
      <c r="AG886" t="s">
        <v>5429</v>
      </c>
      <c r="AH886" t="s">
        <v>1251</v>
      </c>
      <c r="AI886" s="245">
        <v>397.04</v>
      </c>
      <c r="AJ886" t="s">
        <v>5430</v>
      </c>
      <c r="AK886" t="s">
        <v>5431</v>
      </c>
      <c r="AL886" t="s">
        <v>1248</v>
      </c>
      <c r="AM886" s="245">
        <v>629.97</v>
      </c>
      <c r="AN886" t="s">
        <v>5432</v>
      </c>
      <c r="AO886" t="s">
        <v>5431</v>
      </c>
      <c r="AP886" t="s">
        <v>1226</v>
      </c>
      <c r="AQ886" s="245">
        <v>719.99</v>
      </c>
      <c r="AR886" t="s">
        <v>5433</v>
      </c>
      <c r="AS886" s="226" t="str">
        <f t="shared" si="26"/>
        <v>Seven Summits</v>
      </c>
      <c r="AT886" s="203" t="str">
        <f t="shared" si="27"/>
        <v xml:space="preserve"> DynafitSeven Summits166 Unisex</v>
      </c>
    </row>
    <row r="887" spans="1:46" ht="52.8">
      <c r="A887" t="s">
        <v>155</v>
      </c>
      <c r="B887" t="s">
        <v>1160</v>
      </c>
      <c r="C887" t="s">
        <v>269</v>
      </c>
      <c r="D887">
        <v>170</v>
      </c>
      <c r="E887" t="s">
        <v>158</v>
      </c>
      <c r="F887">
        <v>170</v>
      </c>
      <c r="G887">
        <v>169.8</v>
      </c>
      <c r="H887">
        <v>124</v>
      </c>
      <c r="I887">
        <v>143</v>
      </c>
      <c r="J887">
        <v>127</v>
      </c>
      <c r="K887">
        <v>95</v>
      </c>
      <c r="L887">
        <v>114</v>
      </c>
      <c r="M887">
        <v>19.7</v>
      </c>
      <c r="N887">
        <v>1266</v>
      </c>
      <c r="O887">
        <v>1.4</v>
      </c>
      <c r="P887">
        <v>1773</v>
      </c>
      <c r="Q887">
        <v>170</v>
      </c>
      <c r="R887">
        <v>78</v>
      </c>
      <c r="S887">
        <v>49</v>
      </c>
      <c r="T887">
        <v>310</v>
      </c>
      <c r="U887">
        <v>6</v>
      </c>
      <c r="V887">
        <v>152</v>
      </c>
      <c r="W887">
        <v>0.11899999999999999</v>
      </c>
      <c r="X887">
        <v>157</v>
      </c>
      <c r="Y887">
        <v>107</v>
      </c>
      <c r="Z887">
        <v>154</v>
      </c>
      <c r="AA887">
        <v>4</v>
      </c>
      <c r="AB887">
        <v>12.4</v>
      </c>
      <c r="AC887" t="s">
        <v>185</v>
      </c>
      <c r="AD887" t="s">
        <v>198</v>
      </c>
      <c r="AG887" t="s">
        <v>5434</v>
      </c>
      <c r="AH887" t="s">
        <v>1194</v>
      </c>
      <c r="AI887" s="245">
        <v>404.68</v>
      </c>
      <c r="AJ887" t="s">
        <v>5435</v>
      </c>
      <c r="AK887" t="s">
        <v>5434</v>
      </c>
      <c r="AL887" t="s">
        <v>1191</v>
      </c>
      <c r="AM887" s="245">
        <v>414.95</v>
      </c>
      <c r="AN887" t="s">
        <v>5436</v>
      </c>
      <c r="AO887" t="s">
        <v>5434</v>
      </c>
      <c r="AP887" t="s">
        <v>1265</v>
      </c>
      <c r="AQ887" s="245">
        <v>480.86</v>
      </c>
      <c r="AR887" t="s">
        <v>5437</v>
      </c>
      <c r="AS887" s="226" t="str">
        <f t="shared" si="26"/>
        <v>Wayback 96</v>
      </c>
      <c r="AT887" s="203" t="str">
        <f t="shared" si="27"/>
        <v>K2Wayback 96170 Unisex</v>
      </c>
    </row>
    <row r="888" spans="1:46" ht="92.4">
      <c r="A888" t="s">
        <v>155</v>
      </c>
      <c r="B888" t="s">
        <v>164</v>
      </c>
      <c r="C888" t="s">
        <v>801</v>
      </c>
      <c r="D888">
        <v>180</v>
      </c>
      <c r="E888" t="s">
        <v>158</v>
      </c>
      <c r="F888">
        <v>180</v>
      </c>
      <c r="G888">
        <v>177.3</v>
      </c>
      <c r="H888">
        <v>134</v>
      </c>
      <c r="I888">
        <v>143</v>
      </c>
      <c r="J888">
        <v>142</v>
      </c>
      <c r="K888">
        <v>104</v>
      </c>
      <c r="L888">
        <v>120</v>
      </c>
      <c r="M888">
        <v>18.5</v>
      </c>
      <c r="N888">
        <v>1929</v>
      </c>
      <c r="O888">
        <v>1.06</v>
      </c>
      <c r="P888">
        <v>2054</v>
      </c>
      <c r="Q888">
        <v>272</v>
      </c>
      <c r="R888">
        <v>120</v>
      </c>
      <c r="S888">
        <v>48</v>
      </c>
      <c r="T888">
        <v>269</v>
      </c>
      <c r="U888">
        <v>14</v>
      </c>
      <c r="V888">
        <v>165</v>
      </c>
      <c r="W888">
        <v>0.30399999999999999</v>
      </c>
      <c r="X888">
        <v>174</v>
      </c>
      <c r="Y888">
        <v>173</v>
      </c>
      <c r="Z888">
        <v>95</v>
      </c>
      <c r="AA888">
        <v>5</v>
      </c>
      <c r="AB888">
        <v>10.1</v>
      </c>
      <c r="AC888" t="s">
        <v>188</v>
      </c>
      <c r="AD888" t="s">
        <v>178</v>
      </c>
      <c r="AE888" t="s">
        <v>185</v>
      </c>
      <c r="AG888" t="s">
        <v>5438</v>
      </c>
      <c r="AH888" t="s">
        <v>1218</v>
      </c>
      <c r="AI888" s="245">
        <v>637.45000000000005</v>
      </c>
      <c r="AJ888" t="s">
        <v>5439</v>
      </c>
      <c r="AK888" t="s">
        <v>5438</v>
      </c>
      <c r="AL888" t="s">
        <v>5440</v>
      </c>
      <c r="AM888" s="245">
        <v>637.49</v>
      </c>
      <c r="AN888" t="s">
        <v>5441</v>
      </c>
      <c r="AO888" t="s">
        <v>5438</v>
      </c>
      <c r="AP888" t="s">
        <v>1248</v>
      </c>
      <c r="AQ888" s="245">
        <v>637.49</v>
      </c>
      <c r="AR888" t="s">
        <v>5442</v>
      </c>
      <c r="AS888" s="226" t="str">
        <f t="shared" si="26"/>
        <v>Ripstick 106 Black Edition</v>
      </c>
      <c r="AT888" s="203" t="str">
        <f t="shared" si="27"/>
        <v xml:space="preserve"> ElanRipstick 106 Black Edition180 Unisex</v>
      </c>
    </row>
    <row r="889" spans="1:46" ht="92.4">
      <c r="A889" t="s">
        <v>155</v>
      </c>
      <c r="B889" t="s">
        <v>295</v>
      </c>
      <c r="C889" t="s">
        <v>803</v>
      </c>
      <c r="D889">
        <v>162</v>
      </c>
      <c r="E889" t="s">
        <v>163</v>
      </c>
      <c r="F889">
        <v>162</v>
      </c>
      <c r="G889">
        <v>161.1</v>
      </c>
      <c r="H889">
        <v>106</v>
      </c>
      <c r="I889">
        <v>131</v>
      </c>
      <c r="J889">
        <v>120</v>
      </c>
      <c r="K889">
        <v>84</v>
      </c>
      <c r="L889">
        <v>107</v>
      </c>
      <c r="M889">
        <v>14.6</v>
      </c>
      <c r="N889">
        <v>1465</v>
      </c>
      <c r="O889">
        <v>1.05</v>
      </c>
      <c r="P889">
        <v>1542</v>
      </c>
      <c r="Q889">
        <v>162</v>
      </c>
      <c r="R889">
        <v>73</v>
      </c>
      <c r="S889">
        <v>57</v>
      </c>
      <c r="T889">
        <v>321</v>
      </c>
      <c r="U889">
        <v>18</v>
      </c>
      <c r="V889">
        <v>234</v>
      </c>
      <c r="W889">
        <v>0.32200000000000001</v>
      </c>
      <c r="X889">
        <v>190</v>
      </c>
      <c r="Y889">
        <v>108</v>
      </c>
      <c r="Z889">
        <v>131</v>
      </c>
      <c r="AA889">
        <v>5</v>
      </c>
      <c r="AB889">
        <v>8.4</v>
      </c>
      <c r="AC889" t="s">
        <v>231</v>
      </c>
      <c r="AD889" t="s">
        <v>188</v>
      </c>
      <c r="AE889" t="s">
        <v>185</v>
      </c>
      <c r="AG889" t="s">
        <v>5443</v>
      </c>
      <c r="AH889" t="s">
        <v>1627</v>
      </c>
      <c r="AI889" s="245">
        <v>469</v>
      </c>
      <c r="AJ889" t="s">
        <v>5444</v>
      </c>
      <c r="AK889" t="s">
        <v>5445</v>
      </c>
      <c r="AL889" t="s">
        <v>1858</v>
      </c>
      <c r="AM889" s="245">
        <v>471</v>
      </c>
      <c r="AN889" t="s">
        <v>5446</v>
      </c>
      <c r="AO889" t="s">
        <v>5445</v>
      </c>
      <c r="AP889" t="s">
        <v>1226</v>
      </c>
      <c r="AQ889" s="245">
        <v>471</v>
      </c>
      <c r="AR889" t="s">
        <v>5447</v>
      </c>
      <c r="AS889" s="226" t="str">
        <f t="shared" si="26"/>
        <v>Riveter 85</v>
      </c>
      <c r="AT889" s="203" t="str">
        <f t="shared" si="27"/>
        <v xml:space="preserve"> IcelanticRiveter 85162 Women's</v>
      </c>
    </row>
    <row r="890" spans="1:46" ht="105.6">
      <c r="A890" t="s">
        <v>155</v>
      </c>
      <c r="B890" t="s">
        <v>218</v>
      </c>
      <c r="C890" t="s">
        <v>294</v>
      </c>
      <c r="D890">
        <v>158</v>
      </c>
      <c r="E890" t="s">
        <v>158</v>
      </c>
      <c r="F890">
        <v>158</v>
      </c>
      <c r="G890">
        <v>156.5</v>
      </c>
      <c r="H890">
        <v>91</v>
      </c>
      <c r="I890">
        <v>104</v>
      </c>
      <c r="J890">
        <v>133</v>
      </c>
      <c r="K890">
        <v>111</v>
      </c>
      <c r="L890">
        <v>121</v>
      </c>
      <c r="M890">
        <v>15.2</v>
      </c>
      <c r="N890">
        <v>1294</v>
      </c>
      <c r="O890">
        <v>1.42</v>
      </c>
      <c r="P890">
        <v>1841</v>
      </c>
      <c r="Q890">
        <v>153</v>
      </c>
      <c r="R890">
        <v>86</v>
      </c>
      <c r="S890">
        <v>62</v>
      </c>
      <c r="T890">
        <v>374</v>
      </c>
      <c r="U890">
        <v>31</v>
      </c>
      <c r="V890">
        <v>282</v>
      </c>
      <c r="W890">
        <v>0.49099999999999999</v>
      </c>
      <c r="X890">
        <v>312</v>
      </c>
      <c r="Y890">
        <v>212</v>
      </c>
      <c r="Z890">
        <v>62</v>
      </c>
      <c r="AA890">
        <v>4</v>
      </c>
      <c r="AB890">
        <v>13.5</v>
      </c>
      <c r="AC890" t="s">
        <v>169</v>
      </c>
      <c r="AD890" t="s">
        <v>185</v>
      </c>
      <c r="AE890" t="s">
        <v>198</v>
      </c>
      <c r="AG890" t="s">
        <v>5448</v>
      </c>
      <c r="AH890" t="s">
        <v>1280</v>
      </c>
      <c r="AI890" s="245">
        <v>1038.93</v>
      </c>
      <c r="AJ890" t="s">
        <v>5449</v>
      </c>
      <c r="AK890" t="s">
        <v>5450</v>
      </c>
      <c r="AL890" t="s">
        <v>1244</v>
      </c>
      <c r="AM890" s="245">
        <v>1039.2</v>
      </c>
      <c r="AN890" t="s">
        <v>5451</v>
      </c>
      <c r="AO890" t="s">
        <v>5450</v>
      </c>
      <c r="AP890" t="s">
        <v>1309</v>
      </c>
      <c r="AQ890" s="245">
        <v>1039.2</v>
      </c>
      <c r="AR890" t="s">
        <v>5452</v>
      </c>
      <c r="AS890" s="226" t="str">
        <f t="shared" si="26"/>
        <v>Pagoda Tour 112 RP</v>
      </c>
      <c r="AT890" s="203" t="str">
        <f t="shared" si="27"/>
        <v xml:space="preserve"> DPSPagoda Tour 112 RP158 Unisex</v>
      </c>
    </row>
    <row r="891" spans="1:46" ht="92.4">
      <c r="A891" t="s">
        <v>155</v>
      </c>
      <c r="B891" t="s">
        <v>172</v>
      </c>
      <c r="C891" t="s">
        <v>805</v>
      </c>
      <c r="D891">
        <v>160</v>
      </c>
      <c r="E891" t="s">
        <v>163</v>
      </c>
      <c r="F891">
        <v>160</v>
      </c>
      <c r="G891">
        <v>158.5</v>
      </c>
      <c r="H891">
        <v>111</v>
      </c>
      <c r="I891">
        <v>133</v>
      </c>
      <c r="J891">
        <v>117</v>
      </c>
      <c r="K891">
        <v>89</v>
      </c>
      <c r="L891">
        <v>107</v>
      </c>
      <c r="M891">
        <v>20.8</v>
      </c>
      <c r="N891">
        <v>1764</v>
      </c>
      <c r="O891">
        <v>0.87</v>
      </c>
      <c r="P891">
        <v>1541</v>
      </c>
      <c r="Q891">
        <v>153</v>
      </c>
      <c r="R891">
        <v>59</v>
      </c>
      <c r="S891">
        <v>51</v>
      </c>
      <c r="T891">
        <v>261</v>
      </c>
      <c r="U891">
        <v>29</v>
      </c>
      <c r="V891">
        <v>214</v>
      </c>
      <c r="W891">
        <v>0.56699999999999995</v>
      </c>
      <c r="X891">
        <v>126</v>
      </c>
      <c r="Y891">
        <v>133</v>
      </c>
      <c r="Z891">
        <v>135</v>
      </c>
      <c r="AA891">
        <v>7</v>
      </c>
      <c r="AB891">
        <v>5.3</v>
      </c>
      <c r="AC891" t="s">
        <v>188</v>
      </c>
      <c r="AG891" t="s">
        <v>5453</v>
      </c>
      <c r="AH891" t="s">
        <v>1179</v>
      </c>
      <c r="AI891" s="245">
        <v>351.95</v>
      </c>
      <c r="AJ891" t="s">
        <v>5454</v>
      </c>
      <c r="AK891" t="s">
        <v>5453</v>
      </c>
      <c r="AL891" t="s">
        <v>1271</v>
      </c>
      <c r="AM891" s="245">
        <v>399.95</v>
      </c>
      <c r="AN891" t="s">
        <v>5455</v>
      </c>
      <c r="AO891" t="s">
        <v>5453</v>
      </c>
      <c r="AP891" t="s">
        <v>1450</v>
      </c>
      <c r="AQ891" s="245">
        <v>399.95</v>
      </c>
      <c r="AR891" t="s">
        <v>5456</v>
      </c>
      <c r="AS891" s="226" t="str">
        <f t="shared" si="26"/>
        <v>Blackops Dreamer W</v>
      </c>
      <c r="AT891" s="203" t="str">
        <f t="shared" si="27"/>
        <v xml:space="preserve"> RossignolBlackops Dreamer W160 Women's</v>
      </c>
    </row>
    <row r="892" spans="1:46" ht="66">
      <c r="A892" t="s">
        <v>155</v>
      </c>
      <c r="B892" t="s">
        <v>317</v>
      </c>
      <c r="C892" t="s">
        <v>630</v>
      </c>
      <c r="D892">
        <v>177</v>
      </c>
      <c r="E892" t="s">
        <v>158</v>
      </c>
      <c r="F892">
        <v>177</v>
      </c>
      <c r="G892">
        <v>175.9</v>
      </c>
      <c r="H892">
        <v>144</v>
      </c>
      <c r="I892">
        <v>154</v>
      </c>
      <c r="J892">
        <v>128</v>
      </c>
      <c r="K892">
        <v>86</v>
      </c>
      <c r="L892">
        <v>109</v>
      </c>
      <c r="M892">
        <v>17.3</v>
      </c>
      <c r="N892">
        <v>2133</v>
      </c>
      <c r="O892">
        <v>0.81</v>
      </c>
      <c r="P892">
        <v>1735</v>
      </c>
      <c r="Q892">
        <v>219</v>
      </c>
      <c r="R892">
        <v>115</v>
      </c>
      <c r="S892">
        <v>53</v>
      </c>
      <c r="T892">
        <v>211</v>
      </c>
      <c r="U892">
        <v>8</v>
      </c>
      <c r="V892">
        <v>112</v>
      </c>
      <c r="W892">
        <v>0.14699999999999999</v>
      </c>
      <c r="X892">
        <v>119</v>
      </c>
      <c r="Y892">
        <v>99</v>
      </c>
      <c r="Z892">
        <v>92</v>
      </c>
      <c r="AA892">
        <v>5</v>
      </c>
      <c r="AB892">
        <v>11.1</v>
      </c>
      <c r="AC892" t="s">
        <v>188</v>
      </c>
      <c r="AG892" t="s">
        <v>5457</v>
      </c>
      <c r="AH892" t="s">
        <v>1294</v>
      </c>
      <c r="AI892" s="245">
        <v>559.92999999999995</v>
      </c>
      <c r="AJ892" t="s">
        <v>5458</v>
      </c>
      <c r="AK892" t="s">
        <v>5457</v>
      </c>
      <c r="AL892" t="s">
        <v>1232</v>
      </c>
      <c r="AM892" s="245">
        <v>559.95000000000005</v>
      </c>
      <c r="AN892" t="s">
        <v>5459</v>
      </c>
      <c r="AO892" t="s">
        <v>5457</v>
      </c>
      <c r="AP892" t="s">
        <v>3322</v>
      </c>
      <c r="AQ892" s="245">
        <v>559.99</v>
      </c>
      <c r="AR892" t="s">
        <v>5460</v>
      </c>
      <c r="AS892" s="226" t="str">
        <f t="shared" si="26"/>
        <v>Brahma 88</v>
      </c>
      <c r="AT892" s="203" t="str">
        <f t="shared" si="27"/>
        <v xml:space="preserve"> BlizzardBrahma 88177 Unisex</v>
      </c>
    </row>
    <row r="893" spans="1:46" ht="79.2">
      <c r="A893" t="s">
        <v>155</v>
      </c>
      <c r="B893" t="s">
        <v>1395</v>
      </c>
      <c r="C893" t="s">
        <v>806</v>
      </c>
      <c r="D893">
        <v>166</v>
      </c>
      <c r="E893" t="s">
        <v>163</v>
      </c>
      <c r="F893">
        <v>166</v>
      </c>
      <c r="G893">
        <v>167.3</v>
      </c>
      <c r="H893">
        <v>97</v>
      </c>
      <c r="I893">
        <v>143</v>
      </c>
      <c r="J893">
        <v>128</v>
      </c>
      <c r="K893">
        <v>85</v>
      </c>
      <c r="L893">
        <v>110</v>
      </c>
      <c r="M893">
        <v>14.2</v>
      </c>
      <c r="N893">
        <v>1411</v>
      </c>
      <c r="O893">
        <v>1.18</v>
      </c>
      <c r="P893">
        <v>1660</v>
      </c>
      <c r="Q893">
        <v>170</v>
      </c>
      <c r="R893">
        <v>79</v>
      </c>
      <c r="S893">
        <v>48</v>
      </c>
      <c r="T893">
        <v>408</v>
      </c>
      <c r="U893">
        <v>18</v>
      </c>
      <c r="V893">
        <v>295</v>
      </c>
      <c r="W893">
        <v>0.375</v>
      </c>
      <c r="X893">
        <v>144</v>
      </c>
      <c r="Y893">
        <v>100</v>
      </c>
      <c r="Z893">
        <v>265</v>
      </c>
      <c r="AA893">
        <v>1</v>
      </c>
      <c r="AB893">
        <v>11.7</v>
      </c>
      <c r="AC893" t="s">
        <v>188</v>
      </c>
      <c r="AD893" t="s">
        <v>185</v>
      </c>
      <c r="AG893" t="s">
        <v>5332</v>
      </c>
      <c r="AH893" t="s">
        <v>1320</v>
      </c>
      <c r="AI893" s="245">
        <v>399.99</v>
      </c>
      <c r="AJ893" t="s">
        <v>5461</v>
      </c>
      <c r="AK893" t="s">
        <v>5462</v>
      </c>
      <c r="AL893" t="s">
        <v>3015</v>
      </c>
      <c r="AM893" s="245">
        <v>499.99</v>
      </c>
      <c r="AN893" t="s">
        <v>5463</v>
      </c>
      <c r="AO893" t="s">
        <v>5464</v>
      </c>
      <c r="AP893" t="s">
        <v>1464</v>
      </c>
      <c r="AQ893" s="245">
        <v>399.9</v>
      </c>
      <c r="AR893" t="s">
        <v>5465</v>
      </c>
      <c r="AS893" s="226" t="str">
        <f t="shared" si="26"/>
        <v>Blaze 86 W</v>
      </c>
      <c r="AT893" s="203" t="str">
        <f t="shared" si="27"/>
        <v xml:space="preserve"> Vï¿½lklBlaze 86 W166 Women's</v>
      </c>
    </row>
    <row r="894" spans="1:46" ht="118.8">
      <c r="A894" t="s">
        <v>155</v>
      </c>
      <c r="B894" t="s">
        <v>215</v>
      </c>
      <c r="C894" t="s">
        <v>216</v>
      </c>
      <c r="D894">
        <v>179</v>
      </c>
      <c r="E894" t="s">
        <v>158</v>
      </c>
      <c r="F894">
        <v>179</v>
      </c>
      <c r="G894">
        <v>178.9</v>
      </c>
      <c r="H894">
        <v>145</v>
      </c>
      <c r="I894">
        <v>158</v>
      </c>
      <c r="J894">
        <v>138</v>
      </c>
      <c r="K894">
        <v>99</v>
      </c>
      <c r="L894">
        <v>121</v>
      </c>
      <c r="M894">
        <v>19.100000000000001</v>
      </c>
      <c r="N894">
        <v>1983</v>
      </c>
      <c r="O894">
        <v>1</v>
      </c>
      <c r="P894">
        <v>1978</v>
      </c>
      <c r="Q894">
        <v>239</v>
      </c>
      <c r="R894">
        <v>124</v>
      </c>
      <c r="S894">
        <v>36</v>
      </c>
      <c r="T894">
        <v>204</v>
      </c>
      <c r="U894">
        <v>10</v>
      </c>
      <c r="V894">
        <v>133</v>
      </c>
      <c r="W894">
        <v>0.28699999999999998</v>
      </c>
      <c r="X894">
        <v>116</v>
      </c>
      <c r="Y894">
        <v>88</v>
      </c>
      <c r="Z894">
        <v>88</v>
      </c>
      <c r="AA894">
        <v>10</v>
      </c>
      <c r="AB894">
        <v>10.4</v>
      </c>
      <c r="AC894" t="s">
        <v>188</v>
      </c>
      <c r="AG894" t="s">
        <v>5466</v>
      </c>
      <c r="AH894" t="s">
        <v>1657</v>
      </c>
      <c r="AI894" s="245">
        <v>699.99</v>
      </c>
      <c r="AJ894" t="s">
        <v>5467</v>
      </c>
      <c r="AK894" t="s">
        <v>5468</v>
      </c>
      <c r="AL894" t="s">
        <v>1277</v>
      </c>
      <c r="AM894" s="245">
        <v>500</v>
      </c>
      <c r="AN894" t="s">
        <v>5469</v>
      </c>
      <c r="AO894" t="s">
        <v>5470</v>
      </c>
      <c r="AP894" t="s">
        <v>4780</v>
      </c>
      <c r="AQ894" s="245">
        <v>549</v>
      </c>
      <c r="AR894" t="s">
        <v>5471</v>
      </c>
      <c r="AS894" s="226" t="str">
        <f t="shared" si="26"/>
        <v>Evolv 100</v>
      </c>
      <c r="AT894" s="203" t="str">
        <f t="shared" si="27"/>
        <v xml:space="preserve"> LibertyEvolv 100179 Unisex</v>
      </c>
    </row>
    <row r="895" spans="1:46" ht="105.6">
      <c r="A895" t="s">
        <v>155</v>
      </c>
      <c r="B895" t="s">
        <v>172</v>
      </c>
      <c r="C895" t="s">
        <v>805</v>
      </c>
      <c r="D895">
        <v>150</v>
      </c>
      <c r="E895" t="s">
        <v>163</v>
      </c>
      <c r="F895">
        <v>150</v>
      </c>
      <c r="G895">
        <v>148.5</v>
      </c>
      <c r="H895">
        <v>100</v>
      </c>
      <c r="I895">
        <v>125</v>
      </c>
      <c r="J895">
        <v>117</v>
      </c>
      <c r="K895">
        <v>89</v>
      </c>
      <c r="L895">
        <v>107</v>
      </c>
      <c r="M895">
        <v>16.8</v>
      </c>
      <c r="N895">
        <v>1628</v>
      </c>
      <c r="O895">
        <v>0.89</v>
      </c>
      <c r="P895">
        <v>1448</v>
      </c>
      <c r="Q895">
        <v>148</v>
      </c>
      <c r="R895">
        <v>57</v>
      </c>
      <c r="S895">
        <v>50</v>
      </c>
      <c r="T895">
        <v>259</v>
      </c>
      <c r="U895">
        <v>32</v>
      </c>
      <c r="V895">
        <v>222</v>
      </c>
      <c r="W895">
        <v>0.63800000000000001</v>
      </c>
      <c r="X895">
        <v>110</v>
      </c>
      <c r="Y895">
        <v>128</v>
      </c>
      <c r="Z895">
        <v>149</v>
      </c>
      <c r="AA895">
        <v>5</v>
      </c>
      <c r="AB895">
        <v>5</v>
      </c>
      <c r="AC895" t="s">
        <v>188</v>
      </c>
      <c r="AG895" t="s">
        <v>5472</v>
      </c>
      <c r="AH895" t="s">
        <v>1204</v>
      </c>
      <c r="AI895" s="245">
        <v>296.52999999999997</v>
      </c>
      <c r="AJ895" t="s">
        <v>5473</v>
      </c>
      <c r="AK895" t="s">
        <v>5474</v>
      </c>
      <c r="AL895" t="s">
        <v>1179</v>
      </c>
      <c r="AM895" s="245">
        <v>351.95</v>
      </c>
      <c r="AN895" t="s">
        <v>5475</v>
      </c>
      <c r="AO895" t="s">
        <v>5474</v>
      </c>
      <c r="AP895" t="s">
        <v>1497</v>
      </c>
      <c r="AQ895" s="245">
        <v>359.96</v>
      </c>
      <c r="AR895" t="s">
        <v>5476</v>
      </c>
      <c r="AS895" s="226" t="str">
        <f t="shared" si="26"/>
        <v>Blackops Dreamer W</v>
      </c>
      <c r="AT895" s="203" t="str">
        <f t="shared" si="27"/>
        <v xml:space="preserve"> RossignolBlackops Dreamer W150 Women's</v>
      </c>
    </row>
    <row r="896" spans="1:46" ht="118.8">
      <c r="A896" t="s">
        <v>155</v>
      </c>
      <c r="B896" t="s">
        <v>164</v>
      </c>
      <c r="C896" t="s">
        <v>777</v>
      </c>
      <c r="D896">
        <v>160</v>
      </c>
      <c r="E896" t="s">
        <v>163</v>
      </c>
      <c r="F896">
        <v>160</v>
      </c>
      <c r="G896">
        <v>159.5</v>
      </c>
      <c r="H896">
        <v>136</v>
      </c>
      <c r="I896">
        <v>145</v>
      </c>
      <c r="J896">
        <v>127</v>
      </c>
      <c r="K896">
        <v>75</v>
      </c>
      <c r="L896">
        <v>102</v>
      </c>
      <c r="M896">
        <v>13.4</v>
      </c>
      <c r="N896">
        <v>1737</v>
      </c>
      <c r="O896">
        <v>0.83</v>
      </c>
      <c r="P896">
        <v>1440</v>
      </c>
      <c r="Q896">
        <v>176</v>
      </c>
      <c r="R896">
        <v>61</v>
      </c>
      <c r="S896">
        <v>37</v>
      </c>
      <c r="T896">
        <v>164</v>
      </c>
      <c r="U896">
        <v>10</v>
      </c>
      <c r="V896">
        <v>73</v>
      </c>
      <c r="W896">
        <v>0.26800000000000002</v>
      </c>
      <c r="X896">
        <v>82</v>
      </c>
      <c r="Y896">
        <v>59</v>
      </c>
      <c r="Z896">
        <v>82</v>
      </c>
      <c r="AA896">
        <v>8</v>
      </c>
      <c r="AB896">
        <v>10.5</v>
      </c>
      <c r="AC896" t="s">
        <v>349</v>
      </c>
      <c r="AG896" t="s">
        <v>5477</v>
      </c>
      <c r="AH896" t="s">
        <v>1204</v>
      </c>
      <c r="AI896" s="245">
        <v>424.76</v>
      </c>
      <c r="AJ896" t="s">
        <v>5478</v>
      </c>
      <c r="AK896" t="s">
        <v>5479</v>
      </c>
      <c r="AL896" t="s">
        <v>1191</v>
      </c>
      <c r="AM896" s="245">
        <v>284.95</v>
      </c>
      <c r="AN896" t="s">
        <v>5480</v>
      </c>
      <c r="AO896" t="s">
        <v>5481</v>
      </c>
      <c r="AP896" t="s">
        <v>4980</v>
      </c>
      <c r="AQ896" s="245">
        <v>449.99</v>
      </c>
      <c r="AR896" t="s">
        <v>5482</v>
      </c>
      <c r="AS896" s="226" t="str">
        <f t="shared" si="26"/>
        <v>Element W</v>
      </c>
      <c r="AT896" s="203" t="str">
        <f t="shared" si="27"/>
        <v xml:space="preserve"> ElanElement W160 Women's</v>
      </c>
    </row>
    <row r="897" spans="1:46" ht="105.6">
      <c r="A897" t="s">
        <v>155</v>
      </c>
      <c r="B897" t="s">
        <v>1395</v>
      </c>
      <c r="C897" t="s">
        <v>807</v>
      </c>
      <c r="D897">
        <v>161</v>
      </c>
      <c r="E897" t="s">
        <v>163</v>
      </c>
      <c r="F897">
        <v>161</v>
      </c>
      <c r="G897">
        <v>161.30000000000001</v>
      </c>
      <c r="H897">
        <v>124</v>
      </c>
      <c r="I897">
        <v>137</v>
      </c>
      <c r="J897">
        <v>120</v>
      </c>
      <c r="K897">
        <v>79</v>
      </c>
      <c r="L897">
        <v>102</v>
      </c>
      <c r="M897">
        <v>14.3</v>
      </c>
      <c r="N897">
        <v>1359</v>
      </c>
      <c r="O897">
        <v>1.0900000000000001</v>
      </c>
      <c r="P897">
        <v>1488</v>
      </c>
      <c r="Q897">
        <v>156</v>
      </c>
      <c r="R897">
        <v>71</v>
      </c>
      <c r="S897">
        <v>38</v>
      </c>
      <c r="T897">
        <v>208</v>
      </c>
      <c r="U897">
        <v>13</v>
      </c>
      <c r="V897">
        <v>161</v>
      </c>
      <c r="W897">
        <v>0.34799999999999998</v>
      </c>
      <c r="X897">
        <v>136</v>
      </c>
      <c r="Y897">
        <v>103</v>
      </c>
      <c r="Z897">
        <v>72</v>
      </c>
      <c r="AA897">
        <v>3</v>
      </c>
      <c r="AB897">
        <v>11.7</v>
      </c>
      <c r="AC897" t="s">
        <v>231</v>
      </c>
      <c r="AD897" t="s">
        <v>185</v>
      </c>
      <c r="AG897" t="s">
        <v>5483</v>
      </c>
      <c r="AH897" t="s">
        <v>1400</v>
      </c>
      <c r="AI897" s="245">
        <v>379.95</v>
      </c>
      <c r="AJ897" t="s">
        <v>5484</v>
      </c>
      <c r="AK897" t="s">
        <v>5485</v>
      </c>
      <c r="AL897" t="s">
        <v>1204</v>
      </c>
      <c r="AM897" s="245">
        <v>424.76</v>
      </c>
      <c r="AN897" t="s">
        <v>5486</v>
      </c>
      <c r="AO897" t="s">
        <v>5487</v>
      </c>
      <c r="AP897" t="s">
        <v>1232</v>
      </c>
      <c r="AQ897" s="245">
        <v>439.95</v>
      </c>
      <c r="AR897" t="s">
        <v>5488</v>
      </c>
      <c r="AS897" s="226" t="str">
        <f t="shared" si="26"/>
        <v>Yumi 80</v>
      </c>
      <c r="AT897" s="203" t="str">
        <f t="shared" si="27"/>
        <v xml:space="preserve"> Vï¿½lklYumi 80161 Women's</v>
      </c>
    </row>
    <row r="898" spans="1:46" ht="132">
      <c r="A898" t="s">
        <v>155</v>
      </c>
      <c r="B898" t="s">
        <v>332</v>
      </c>
      <c r="C898" t="s">
        <v>742</v>
      </c>
      <c r="D898">
        <v>156</v>
      </c>
      <c r="E898" t="s">
        <v>163</v>
      </c>
      <c r="F898">
        <v>156</v>
      </c>
      <c r="G898">
        <v>155</v>
      </c>
      <c r="H898">
        <v>132</v>
      </c>
      <c r="I898">
        <v>141</v>
      </c>
      <c r="J898">
        <v>124</v>
      </c>
      <c r="K898">
        <v>74</v>
      </c>
      <c r="L898">
        <v>103</v>
      </c>
      <c r="M898">
        <v>12.6</v>
      </c>
      <c r="N898">
        <v>1654</v>
      </c>
      <c r="O898">
        <v>0.83</v>
      </c>
      <c r="P898">
        <v>1379</v>
      </c>
      <c r="Q898">
        <v>165</v>
      </c>
      <c r="R898">
        <v>65</v>
      </c>
      <c r="S898">
        <v>39</v>
      </c>
      <c r="T898">
        <v>164</v>
      </c>
      <c r="U898">
        <v>12</v>
      </c>
      <c r="V898">
        <v>68</v>
      </c>
      <c r="W898">
        <v>0.30099999999999999</v>
      </c>
      <c r="X898">
        <v>65</v>
      </c>
      <c r="Y898">
        <v>70</v>
      </c>
      <c r="Z898">
        <v>98</v>
      </c>
      <c r="AA898">
        <v>7</v>
      </c>
      <c r="AB898">
        <v>9.6999999999999993</v>
      </c>
      <c r="AC898" t="s">
        <v>349</v>
      </c>
      <c r="AG898" t="s">
        <v>5156</v>
      </c>
      <c r="AH898" t="s">
        <v>1181</v>
      </c>
      <c r="AI898" s="245">
        <v>399.99</v>
      </c>
      <c r="AJ898" t="s">
        <v>5489</v>
      </c>
      <c r="AK898" t="s">
        <v>5490</v>
      </c>
      <c r="AL898" t="s">
        <v>1416</v>
      </c>
      <c r="AM898" s="245">
        <v>399.99</v>
      </c>
      <c r="AN898" t="s">
        <v>5491</v>
      </c>
      <c r="AO898" t="s">
        <v>5492</v>
      </c>
      <c r="AP898" t="s">
        <v>1556</v>
      </c>
      <c r="AQ898" s="245">
        <v>499.99</v>
      </c>
      <c r="AR898" t="s">
        <v>5493</v>
      </c>
      <c r="AS898" s="226" t="str">
        <f t="shared" ref="AS898:AS961" si="28">IF(LEFT(C898,1)=" ",RIGHT(C898,LEN(C898)-1),C898)</f>
        <v>Wild Belle 74</v>
      </c>
      <c r="AT898" s="203" t="str">
        <f t="shared" ref="AT898:AT961" si="29">_xlfn.CONCAT(B898,AS898,D898,E898)</f>
        <v xml:space="preserve"> NordicaWild Belle 74156 Women's</v>
      </c>
    </row>
    <row r="899" spans="1:46" ht="92.4">
      <c r="A899" t="s">
        <v>155</v>
      </c>
      <c r="B899" t="s">
        <v>1160</v>
      </c>
      <c r="C899" t="s">
        <v>808</v>
      </c>
      <c r="D899">
        <v>163</v>
      </c>
      <c r="E899" t="s">
        <v>163</v>
      </c>
      <c r="F899">
        <v>163</v>
      </c>
      <c r="G899">
        <v>163.4</v>
      </c>
      <c r="H899">
        <v>124</v>
      </c>
      <c r="I899">
        <v>138</v>
      </c>
      <c r="J899">
        <v>126</v>
      </c>
      <c r="K899">
        <v>89</v>
      </c>
      <c r="L899">
        <v>112</v>
      </c>
      <c r="M899">
        <v>14.7</v>
      </c>
      <c r="N899">
        <v>1490</v>
      </c>
      <c r="O899">
        <v>1.1200000000000001</v>
      </c>
      <c r="P899">
        <v>1662</v>
      </c>
      <c r="Q899">
        <v>135</v>
      </c>
      <c r="R899">
        <v>66</v>
      </c>
      <c r="S899">
        <v>45</v>
      </c>
      <c r="T899">
        <v>229</v>
      </c>
      <c r="U899">
        <v>15</v>
      </c>
      <c r="V899">
        <v>169</v>
      </c>
      <c r="W899">
        <v>0.33200000000000002</v>
      </c>
      <c r="X899">
        <v>142</v>
      </c>
      <c r="Y899">
        <v>114</v>
      </c>
      <c r="Z899">
        <v>86</v>
      </c>
      <c r="AA899">
        <v>6</v>
      </c>
      <c r="AB899">
        <v>10</v>
      </c>
      <c r="AC899" t="s">
        <v>188</v>
      </c>
      <c r="AD899" t="s">
        <v>185</v>
      </c>
      <c r="AG899" t="s">
        <v>5494</v>
      </c>
      <c r="AH899" t="s">
        <v>1409</v>
      </c>
      <c r="AI899" s="245">
        <v>328.67</v>
      </c>
      <c r="AJ899" t="s">
        <v>5495</v>
      </c>
      <c r="AK899" t="s">
        <v>5494</v>
      </c>
      <c r="AL899" t="s">
        <v>1218</v>
      </c>
      <c r="AM899" s="245">
        <v>399.95</v>
      </c>
      <c r="AN899" t="s">
        <v>5496</v>
      </c>
      <c r="AO899" t="s">
        <v>5494</v>
      </c>
      <c r="AP899" t="s">
        <v>2130</v>
      </c>
      <c r="AQ899" s="245">
        <v>399.96</v>
      </c>
      <c r="AR899" t="s">
        <v>5497</v>
      </c>
      <c r="AS899" s="226" t="str">
        <f t="shared" si="28"/>
        <v>Mindbender 90 C Alliance</v>
      </c>
      <c r="AT899" s="203" t="str">
        <f t="shared" si="29"/>
        <v>K2Mindbender 90 C Alliance163 Women's</v>
      </c>
    </row>
    <row r="900" spans="1:46" ht="92.4">
      <c r="A900" t="s">
        <v>155</v>
      </c>
      <c r="B900" t="s">
        <v>1160</v>
      </c>
      <c r="C900" t="s">
        <v>581</v>
      </c>
      <c r="D900">
        <v>159</v>
      </c>
      <c r="E900" t="s">
        <v>163</v>
      </c>
      <c r="F900">
        <v>159</v>
      </c>
      <c r="G900">
        <v>156.9</v>
      </c>
      <c r="H900">
        <v>122</v>
      </c>
      <c r="I900">
        <v>128</v>
      </c>
      <c r="J900">
        <v>129</v>
      </c>
      <c r="K900">
        <v>84</v>
      </c>
      <c r="L900">
        <v>112</v>
      </c>
      <c r="M900">
        <v>10.7</v>
      </c>
      <c r="N900">
        <v>1508</v>
      </c>
      <c r="O900">
        <v>1.03</v>
      </c>
      <c r="P900">
        <v>1555</v>
      </c>
      <c r="Q900">
        <v>125</v>
      </c>
      <c r="R900">
        <v>72</v>
      </c>
      <c r="S900">
        <v>40</v>
      </c>
      <c r="T900">
        <v>243</v>
      </c>
      <c r="U900">
        <v>10</v>
      </c>
      <c r="V900">
        <v>102</v>
      </c>
      <c r="W900">
        <v>0.26</v>
      </c>
      <c r="X900">
        <v>176</v>
      </c>
      <c r="Y900">
        <v>111</v>
      </c>
      <c r="Z900">
        <v>67</v>
      </c>
      <c r="AA900">
        <v>8</v>
      </c>
      <c r="AB900">
        <v>10.5</v>
      </c>
      <c r="AC900" t="s">
        <v>231</v>
      </c>
      <c r="AD900" t="s">
        <v>188</v>
      </c>
      <c r="AG900" t="s">
        <v>5274</v>
      </c>
      <c r="AH900" t="s">
        <v>1191</v>
      </c>
      <c r="AI900" s="245">
        <v>464.95</v>
      </c>
      <c r="AJ900" t="s">
        <v>5498</v>
      </c>
      <c r="AK900" t="s">
        <v>5274</v>
      </c>
      <c r="AL900" t="s">
        <v>1226</v>
      </c>
      <c r="AM900" s="245">
        <v>599.95000000000005</v>
      </c>
      <c r="AN900" t="s">
        <v>5499</v>
      </c>
      <c r="AO900" t="s">
        <v>5274</v>
      </c>
      <c r="AP900" t="s">
        <v>1271</v>
      </c>
      <c r="AQ900" s="245">
        <v>599.95000000000005</v>
      </c>
      <c r="AR900" t="s">
        <v>5500</v>
      </c>
      <c r="AS900" s="226" t="str">
        <f t="shared" si="28"/>
        <v>Mindbender 85 Alliance</v>
      </c>
      <c r="AT900" s="203" t="str">
        <f t="shared" si="29"/>
        <v>K2Mindbender 85 Alliance159 Women's</v>
      </c>
    </row>
    <row r="901" spans="1:46" ht="118.8">
      <c r="A901" t="s">
        <v>155</v>
      </c>
      <c r="B901" t="s">
        <v>167</v>
      </c>
      <c r="C901" t="s">
        <v>767</v>
      </c>
      <c r="D901">
        <v>160</v>
      </c>
      <c r="E901" t="s">
        <v>158</v>
      </c>
      <c r="F901">
        <v>160</v>
      </c>
      <c r="G901">
        <v>159.19999999999999</v>
      </c>
      <c r="H901">
        <v>140</v>
      </c>
      <c r="I901">
        <v>145</v>
      </c>
      <c r="J901">
        <v>121</v>
      </c>
      <c r="K901">
        <v>65</v>
      </c>
      <c r="L901">
        <v>106</v>
      </c>
      <c r="M901">
        <v>11</v>
      </c>
      <c r="N901">
        <v>1871</v>
      </c>
      <c r="O901">
        <v>0.7</v>
      </c>
      <c r="P901">
        <v>1318</v>
      </c>
      <c r="Q901">
        <v>159</v>
      </c>
      <c r="R901">
        <v>79</v>
      </c>
      <c r="S901">
        <v>40</v>
      </c>
      <c r="T901">
        <v>143</v>
      </c>
      <c r="U901">
        <v>5</v>
      </c>
      <c r="V901">
        <v>52</v>
      </c>
      <c r="W901">
        <v>0.125</v>
      </c>
      <c r="X901">
        <v>80</v>
      </c>
      <c r="Y901">
        <v>60</v>
      </c>
      <c r="Z901">
        <v>63</v>
      </c>
      <c r="AA901">
        <v>9</v>
      </c>
      <c r="AB901">
        <v>12.8</v>
      </c>
      <c r="AC901" t="s">
        <v>349</v>
      </c>
      <c r="AG901" t="s">
        <v>5501</v>
      </c>
      <c r="AH901" t="s">
        <v>1191</v>
      </c>
      <c r="AI901" s="245">
        <v>564.95000000000005</v>
      </c>
      <c r="AJ901" t="s">
        <v>5502</v>
      </c>
      <c r="AK901" t="s">
        <v>5503</v>
      </c>
      <c r="AL901" t="s">
        <v>1211</v>
      </c>
      <c r="AM901" s="245">
        <v>639.99</v>
      </c>
      <c r="AN901" t="s">
        <v>5504</v>
      </c>
      <c r="AO901" t="s">
        <v>5503</v>
      </c>
      <c r="AP901" t="s">
        <v>1271</v>
      </c>
      <c r="AQ901" s="245">
        <v>819</v>
      </c>
      <c r="AR901" t="s">
        <v>5505</v>
      </c>
      <c r="AS901" s="226" t="str">
        <f t="shared" si="28"/>
        <v>Worldcup Rebels I.SLR</v>
      </c>
      <c r="AT901" s="203" t="str">
        <f t="shared" si="29"/>
        <v xml:space="preserve"> HeadWorldcup Rebels I.SLR160 Unisex</v>
      </c>
    </row>
    <row r="902" spans="1:46" ht="52.8">
      <c r="A902" t="s">
        <v>155</v>
      </c>
      <c r="B902" t="s">
        <v>156</v>
      </c>
      <c r="C902" t="s">
        <v>647</v>
      </c>
      <c r="D902">
        <v>153</v>
      </c>
      <c r="E902" t="s">
        <v>163</v>
      </c>
      <c r="F902">
        <v>153</v>
      </c>
      <c r="G902">
        <v>152</v>
      </c>
      <c r="H902">
        <v>102</v>
      </c>
      <c r="I902">
        <v>126</v>
      </c>
      <c r="J902">
        <v>120</v>
      </c>
      <c r="K902">
        <v>86</v>
      </c>
      <c r="L902">
        <v>103</v>
      </c>
      <c r="M902">
        <v>14.1</v>
      </c>
      <c r="N902">
        <v>1332</v>
      </c>
      <c r="O902">
        <v>1.1000000000000001</v>
      </c>
      <c r="P902">
        <v>1465</v>
      </c>
      <c r="Q902">
        <v>178</v>
      </c>
      <c r="R902">
        <v>75</v>
      </c>
      <c r="S902">
        <v>49</v>
      </c>
      <c r="T902">
        <v>292</v>
      </c>
      <c r="U902">
        <v>13</v>
      </c>
      <c r="V902">
        <v>205</v>
      </c>
      <c r="W902">
        <v>0.27100000000000002</v>
      </c>
      <c r="X902">
        <v>157</v>
      </c>
      <c r="Y902">
        <v>103</v>
      </c>
      <c r="Z902">
        <v>135</v>
      </c>
      <c r="AA902">
        <v>2</v>
      </c>
      <c r="AB902">
        <v>8.5</v>
      </c>
      <c r="AC902" t="s">
        <v>188</v>
      </c>
      <c r="AD902" t="s">
        <v>185</v>
      </c>
      <c r="AG902" t="s">
        <v>5132</v>
      </c>
      <c r="AH902" t="s">
        <v>1421</v>
      </c>
      <c r="AI902" s="245">
        <v>399.99</v>
      </c>
      <c r="AJ902" t="s">
        <v>5506</v>
      </c>
      <c r="AK902" t="s">
        <v>5132</v>
      </c>
      <c r="AL902" t="s">
        <v>2130</v>
      </c>
      <c r="AM902" s="245">
        <v>399.99</v>
      </c>
      <c r="AN902" t="s">
        <v>5507</v>
      </c>
      <c r="AO902" t="s">
        <v>5132</v>
      </c>
      <c r="AP902" t="s">
        <v>3091</v>
      </c>
      <c r="AQ902" s="245">
        <v>399.99</v>
      </c>
      <c r="AR902" t="s">
        <v>5508</v>
      </c>
      <c r="AS902" s="226" t="str">
        <f t="shared" si="28"/>
        <v>Maven 86 C</v>
      </c>
      <c r="AT902" s="203" t="str">
        <f t="shared" si="29"/>
        <v xml:space="preserve"> AtomicMaven 86 C153 Women's</v>
      </c>
    </row>
    <row r="903" spans="1:46" ht="52.8">
      <c r="A903" t="s">
        <v>155</v>
      </c>
      <c r="B903" t="s">
        <v>205</v>
      </c>
      <c r="C903" t="s">
        <v>277</v>
      </c>
      <c r="D903">
        <v>188</v>
      </c>
      <c r="E903" t="s">
        <v>158</v>
      </c>
      <c r="F903">
        <v>188</v>
      </c>
      <c r="G903">
        <v>186.5</v>
      </c>
      <c r="H903">
        <v>130</v>
      </c>
      <c r="I903">
        <v>156</v>
      </c>
      <c r="J903">
        <v>133</v>
      </c>
      <c r="K903">
        <v>105</v>
      </c>
      <c r="L903">
        <v>123</v>
      </c>
      <c r="M903">
        <v>23.5</v>
      </c>
      <c r="N903">
        <v>1873</v>
      </c>
      <c r="O903">
        <v>1.1399999999999999</v>
      </c>
      <c r="P903">
        <v>2138</v>
      </c>
      <c r="Q903">
        <v>262</v>
      </c>
      <c r="R903">
        <v>127</v>
      </c>
      <c r="S903">
        <v>55</v>
      </c>
      <c r="T903">
        <v>339</v>
      </c>
      <c r="U903">
        <v>23</v>
      </c>
      <c r="V903">
        <v>227</v>
      </c>
      <c r="W903">
        <v>0.42</v>
      </c>
      <c r="X903">
        <v>191</v>
      </c>
      <c r="Y903">
        <v>114</v>
      </c>
      <c r="Z903">
        <v>148</v>
      </c>
      <c r="AA903">
        <v>4</v>
      </c>
      <c r="AB903">
        <v>11.7</v>
      </c>
      <c r="AC903" t="s">
        <v>169</v>
      </c>
      <c r="AD903" t="s">
        <v>185</v>
      </c>
      <c r="AG903" t="s">
        <v>5509</v>
      </c>
      <c r="AH903" t="s">
        <v>1194</v>
      </c>
      <c r="AI903" s="245">
        <v>515.29999999999995</v>
      </c>
      <c r="AJ903" t="s">
        <v>5510</v>
      </c>
      <c r="AK903" t="s">
        <v>5509</v>
      </c>
      <c r="AL903" t="s">
        <v>1244</v>
      </c>
      <c r="AM903" s="245">
        <v>524.26</v>
      </c>
      <c r="AN903" t="s">
        <v>5511</v>
      </c>
      <c r="AO903" t="s">
        <v>5509</v>
      </c>
      <c r="AP903" t="s">
        <v>1271</v>
      </c>
      <c r="AQ903" s="245">
        <v>599.99</v>
      </c>
      <c r="AR903" t="s">
        <v>5512</v>
      </c>
      <c r="AS903" s="226" t="str">
        <f t="shared" si="28"/>
        <v>Agent 3.0</v>
      </c>
      <c r="AT903" s="203" t="str">
        <f t="shared" si="29"/>
        <v xml:space="preserve"> FactionAgent 3.0188 Unisex</v>
      </c>
    </row>
    <row r="904" spans="1:46" ht="158.4">
      <c r="A904" t="s">
        <v>155</v>
      </c>
      <c r="B904" t="s">
        <v>172</v>
      </c>
      <c r="C904" t="s">
        <v>764</v>
      </c>
      <c r="D904">
        <v>144</v>
      </c>
      <c r="E904" t="s">
        <v>163</v>
      </c>
      <c r="F904">
        <v>144</v>
      </c>
      <c r="G904">
        <v>144.30000000000001</v>
      </c>
      <c r="H904">
        <v>118</v>
      </c>
      <c r="I904">
        <v>129</v>
      </c>
      <c r="J904">
        <v>123</v>
      </c>
      <c r="K904">
        <v>76</v>
      </c>
      <c r="L904">
        <v>109</v>
      </c>
      <c r="M904">
        <v>9.9</v>
      </c>
      <c r="N904">
        <v>1483</v>
      </c>
      <c r="O904">
        <v>0.89</v>
      </c>
      <c r="P904">
        <v>1325</v>
      </c>
      <c r="Q904">
        <v>162</v>
      </c>
      <c r="R904">
        <v>60</v>
      </c>
      <c r="S904">
        <v>38</v>
      </c>
      <c r="T904">
        <v>186</v>
      </c>
      <c r="U904">
        <v>6</v>
      </c>
      <c r="V904">
        <v>73</v>
      </c>
      <c r="W904">
        <v>0.157</v>
      </c>
      <c r="X904">
        <v>72</v>
      </c>
      <c r="Y904">
        <v>83</v>
      </c>
      <c r="Z904">
        <v>114</v>
      </c>
      <c r="AA904">
        <v>6</v>
      </c>
      <c r="AB904">
        <v>8</v>
      </c>
      <c r="AC904" t="s">
        <v>349</v>
      </c>
      <c r="AD904" t="s">
        <v>231</v>
      </c>
      <c r="AG904" t="s">
        <v>2887</v>
      </c>
      <c r="AH904" t="s">
        <v>1179</v>
      </c>
      <c r="AI904" s="245">
        <v>319.95</v>
      </c>
      <c r="AJ904" t="s">
        <v>5513</v>
      </c>
      <c r="AK904" t="s">
        <v>5514</v>
      </c>
      <c r="AL904" t="s">
        <v>1229</v>
      </c>
      <c r="AM904" s="245">
        <v>349.99</v>
      </c>
      <c r="AN904" t="s">
        <v>5515</v>
      </c>
      <c r="AO904" t="s">
        <v>5028</v>
      </c>
      <c r="AP904" t="s">
        <v>3026</v>
      </c>
      <c r="AQ904" s="245">
        <v>403.48</v>
      </c>
      <c r="AR904" t="s">
        <v>5516</v>
      </c>
      <c r="AS904" s="226" t="str">
        <f t="shared" si="28"/>
        <v>Experience 76 W</v>
      </c>
      <c r="AT904" s="203" t="str">
        <f t="shared" si="29"/>
        <v xml:space="preserve"> RossignolExperience 76 W144 Women's</v>
      </c>
    </row>
    <row r="905" spans="1:46" ht="145.19999999999999">
      <c r="A905" t="s">
        <v>155</v>
      </c>
      <c r="B905" t="s">
        <v>167</v>
      </c>
      <c r="C905" t="s">
        <v>734</v>
      </c>
      <c r="D905">
        <v>170</v>
      </c>
      <c r="E905" t="s">
        <v>158</v>
      </c>
      <c r="F905">
        <v>170</v>
      </c>
      <c r="G905">
        <v>169.1</v>
      </c>
      <c r="H905">
        <v>147</v>
      </c>
      <c r="I905">
        <v>155</v>
      </c>
      <c r="J905">
        <v>138</v>
      </c>
      <c r="K905">
        <v>84</v>
      </c>
      <c r="L905">
        <v>120</v>
      </c>
      <c r="M905">
        <v>13.6</v>
      </c>
      <c r="N905">
        <v>1782</v>
      </c>
      <c r="O905">
        <v>0.95</v>
      </c>
      <c r="P905">
        <v>1695</v>
      </c>
      <c r="Q905">
        <v>208</v>
      </c>
      <c r="R905">
        <v>56</v>
      </c>
      <c r="S905">
        <v>44</v>
      </c>
      <c r="T905">
        <v>160</v>
      </c>
      <c r="U905">
        <v>8</v>
      </c>
      <c r="V905">
        <v>59</v>
      </c>
      <c r="W905">
        <v>0.188</v>
      </c>
      <c r="X905">
        <v>85</v>
      </c>
      <c r="Y905">
        <v>55</v>
      </c>
      <c r="Z905">
        <v>76</v>
      </c>
      <c r="AA905">
        <v>11</v>
      </c>
      <c r="AB905">
        <v>13.1</v>
      </c>
      <c r="AC905" t="s">
        <v>349</v>
      </c>
      <c r="AD905" t="s">
        <v>188</v>
      </c>
      <c r="AG905" t="s">
        <v>5517</v>
      </c>
      <c r="AH905" t="s">
        <v>1221</v>
      </c>
      <c r="AI905" s="245">
        <v>619.99</v>
      </c>
      <c r="AJ905" t="s">
        <v>5518</v>
      </c>
      <c r="AK905" t="s">
        <v>5519</v>
      </c>
      <c r="AL905" t="s">
        <v>1191</v>
      </c>
      <c r="AM905" s="245">
        <v>234.95</v>
      </c>
      <c r="AN905" t="s">
        <v>5520</v>
      </c>
      <c r="AO905" t="s">
        <v>5521</v>
      </c>
      <c r="AP905" t="s">
        <v>5522</v>
      </c>
      <c r="AQ905" s="245">
        <v>353</v>
      </c>
      <c r="AR905" t="s">
        <v>5523</v>
      </c>
      <c r="AS905" s="226" t="str">
        <f t="shared" si="28"/>
        <v>V-Shape V10</v>
      </c>
      <c r="AT905" s="203" t="str">
        <f t="shared" si="29"/>
        <v xml:space="preserve"> HeadV-Shape V10170 Unisex</v>
      </c>
    </row>
    <row r="906" spans="1:46" ht="118.8">
      <c r="A906" t="s">
        <v>155</v>
      </c>
      <c r="B906" t="s">
        <v>182</v>
      </c>
      <c r="C906" t="s">
        <v>220</v>
      </c>
      <c r="D906">
        <v>188</v>
      </c>
      <c r="E906" t="s">
        <v>163</v>
      </c>
      <c r="F906">
        <v>188</v>
      </c>
      <c r="G906">
        <v>183.1</v>
      </c>
      <c r="H906">
        <v>129</v>
      </c>
      <c r="I906">
        <v>150</v>
      </c>
      <c r="J906">
        <v>136</v>
      </c>
      <c r="K906">
        <v>105</v>
      </c>
      <c r="L906">
        <v>125</v>
      </c>
      <c r="M906">
        <v>21.8</v>
      </c>
      <c r="N906">
        <v>1953</v>
      </c>
      <c r="O906">
        <v>1.07</v>
      </c>
      <c r="P906">
        <v>2093</v>
      </c>
      <c r="Q906">
        <v>266</v>
      </c>
      <c r="R906">
        <v>129</v>
      </c>
      <c r="S906">
        <v>58</v>
      </c>
      <c r="T906">
        <v>308</v>
      </c>
      <c r="U906">
        <v>34</v>
      </c>
      <c r="V906">
        <v>236</v>
      </c>
      <c r="W906">
        <v>0.59</v>
      </c>
      <c r="X906">
        <v>176</v>
      </c>
      <c r="Y906">
        <v>151</v>
      </c>
      <c r="Z906">
        <v>132</v>
      </c>
      <c r="AA906">
        <v>6</v>
      </c>
      <c r="AB906">
        <v>4.0999999999999996</v>
      </c>
      <c r="AC906" t="s">
        <v>188</v>
      </c>
      <c r="AD906" t="s">
        <v>169</v>
      </c>
      <c r="AE906" t="s">
        <v>185</v>
      </c>
      <c r="AG906" t="s">
        <v>5524</v>
      </c>
      <c r="AH906" t="s">
        <v>1271</v>
      </c>
      <c r="AI906" s="245">
        <v>559.95000000000005</v>
      </c>
      <c r="AJ906" t="s">
        <v>5525</v>
      </c>
      <c r="AK906" t="s">
        <v>5524</v>
      </c>
      <c r="AL906" t="s">
        <v>1224</v>
      </c>
      <c r="AM906" s="245">
        <v>559.96</v>
      </c>
      <c r="AN906" t="s">
        <v>5526</v>
      </c>
      <c r="AO906" t="s">
        <v>5527</v>
      </c>
      <c r="AP906" t="s">
        <v>1509</v>
      </c>
      <c r="AQ906" s="245">
        <v>847.99</v>
      </c>
      <c r="AR906" t="s">
        <v>5528</v>
      </c>
      <c r="AS906" s="226" t="str">
        <f t="shared" si="28"/>
        <v>ARW 106 UL</v>
      </c>
      <c r="AT906" s="203" t="str">
        <f t="shared" si="29"/>
        <v xml:space="preserve"> ArmadaARW 106 UL188 Women's</v>
      </c>
    </row>
    <row r="907" spans="1:46" ht="66">
      <c r="A907" t="s">
        <v>155</v>
      </c>
      <c r="B907" t="s">
        <v>208</v>
      </c>
      <c r="C907" t="s">
        <v>422</v>
      </c>
      <c r="D907">
        <v>176</v>
      </c>
      <c r="E907" t="s">
        <v>158</v>
      </c>
      <c r="F907">
        <v>176</v>
      </c>
      <c r="G907">
        <v>175</v>
      </c>
      <c r="H907">
        <v>101</v>
      </c>
      <c r="I907">
        <v>143</v>
      </c>
      <c r="J907">
        <v>142</v>
      </c>
      <c r="K907">
        <v>106</v>
      </c>
      <c r="L907">
        <v>138</v>
      </c>
      <c r="M907">
        <v>14.9</v>
      </c>
      <c r="N907">
        <v>1738</v>
      </c>
      <c r="O907">
        <v>1.1599999999999999</v>
      </c>
      <c r="P907">
        <v>2020</v>
      </c>
      <c r="Q907">
        <v>135</v>
      </c>
      <c r="R907">
        <v>69</v>
      </c>
      <c r="S907">
        <v>47</v>
      </c>
      <c r="T907">
        <v>397</v>
      </c>
      <c r="U907">
        <v>47</v>
      </c>
      <c r="V907">
        <v>347</v>
      </c>
      <c r="W907">
        <v>1.004</v>
      </c>
      <c r="X907">
        <v>159</v>
      </c>
      <c r="Y907">
        <v>161</v>
      </c>
      <c r="Z907">
        <v>238</v>
      </c>
      <c r="AA907">
        <v>3</v>
      </c>
      <c r="AB907">
        <v>2.2999999999999998</v>
      </c>
      <c r="AC907" t="s">
        <v>184</v>
      </c>
      <c r="AD907" t="s">
        <v>169</v>
      </c>
      <c r="AE907" t="s">
        <v>185</v>
      </c>
      <c r="AG907" t="s">
        <v>3267</v>
      </c>
      <c r="AH907" t="s">
        <v>1179</v>
      </c>
      <c r="AI907" s="245">
        <v>559.95000000000005</v>
      </c>
      <c r="AJ907" t="s">
        <v>5529</v>
      </c>
      <c r="AK907" t="s">
        <v>3267</v>
      </c>
      <c r="AL907" t="s">
        <v>1294</v>
      </c>
      <c r="AM907" s="245">
        <v>699.95</v>
      </c>
      <c r="AN907" t="s">
        <v>5530</v>
      </c>
      <c r="AO907" t="s">
        <v>3267</v>
      </c>
      <c r="AP907" t="s">
        <v>1226</v>
      </c>
      <c r="AQ907" s="245">
        <v>699.95</v>
      </c>
      <c r="AR907" t="s">
        <v>5531</v>
      </c>
      <c r="AS907" s="226" t="str">
        <f t="shared" si="28"/>
        <v>Sir Francis Bacon</v>
      </c>
      <c r="AT907" s="203" t="str">
        <f t="shared" si="29"/>
        <v xml:space="preserve"> LineSir Francis Bacon176 Unisex</v>
      </c>
    </row>
    <row r="908" spans="1:46" ht="158.4">
      <c r="A908" t="s">
        <v>155</v>
      </c>
      <c r="B908" t="s">
        <v>332</v>
      </c>
      <c r="C908" t="s">
        <v>809</v>
      </c>
      <c r="D908">
        <v>177</v>
      </c>
      <c r="E908" t="s">
        <v>158</v>
      </c>
      <c r="F908">
        <v>177</v>
      </c>
      <c r="G908">
        <v>176.4</v>
      </c>
      <c r="H908">
        <v>119</v>
      </c>
      <c r="I908">
        <v>145</v>
      </c>
      <c r="J908">
        <v>140</v>
      </c>
      <c r="K908">
        <v>109</v>
      </c>
      <c r="L908">
        <v>130</v>
      </c>
      <c r="M908">
        <v>16.899999999999999</v>
      </c>
      <c r="N908">
        <v>2155</v>
      </c>
      <c r="O908">
        <v>0.97</v>
      </c>
      <c r="P908">
        <v>2101</v>
      </c>
      <c r="Q908">
        <v>190</v>
      </c>
      <c r="R908">
        <v>139</v>
      </c>
      <c r="S908">
        <v>56</v>
      </c>
      <c r="T908">
        <v>314</v>
      </c>
      <c r="U908">
        <v>37</v>
      </c>
      <c r="V908">
        <v>257</v>
      </c>
      <c r="W908">
        <v>0.65599999999999903</v>
      </c>
      <c r="X908">
        <v>159</v>
      </c>
      <c r="Y908">
        <v>152</v>
      </c>
      <c r="Z908">
        <v>155</v>
      </c>
      <c r="AA908">
        <v>7</v>
      </c>
      <c r="AB908">
        <v>8.4</v>
      </c>
      <c r="AC908" t="s">
        <v>169</v>
      </c>
      <c r="AG908" t="s">
        <v>5532</v>
      </c>
      <c r="AH908" t="s">
        <v>1416</v>
      </c>
      <c r="AI908" s="245">
        <v>799.99</v>
      </c>
      <c r="AJ908" t="s">
        <v>5533</v>
      </c>
      <c r="AK908" t="s">
        <v>5534</v>
      </c>
      <c r="AL908" t="s">
        <v>1405</v>
      </c>
      <c r="AM908" s="245">
        <v>814.99</v>
      </c>
      <c r="AN908" t="s">
        <v>5535</v>
      </c>
      <c r="AO908" t="s">
        <v>5534</v>
      </c>
      <c r="AP908" t="s">
        <v>1181</v>
      </c>
      <c r="AQ908" s="245">
        <v>814.99</v>
      </c>
      <c r="AR908" t="s">
        <v>5536</v>
      </c>
      <c r="AS908" s="226" t="str">
        <f t="shared" si="28"/>
        <v>Enforcer 110 Free</v>
      </c>
      <c r="AT908" s="203" t="str">
        <f t="shared" si="29"/>
        <v xml:space="preserve"> NordicaEnforcer 110 Free177 Unisex</v>
      </c>
    </row>
    <row r="909" spans="1:46" ht="145.19999999999999">
      <c r="A909" t="s">
        <v>155</v>
      </c>
      <c r="B909" t="s">
        <v>156</v>
      </c>
      <c r="C909" t="s">
        <v>689</v>
      </c>
      <c r="D909">
        <v>157</v>
      </c>
      <c r="E909" t="s">
        <v>158</v>
      </c>
      <c r="F909">
        <v>157</v>
      </c>
      <c r="G909">
        <v>155.80000000000001</v>
      </c>
      <c r="H909">
        <v>127</v>
      </c>
      <c r="I909">
        <v>136</v>
      </c>
      <c r="J909">
        <v>119</v>
      </c>
      <c r="K909">
        <v>82</v>
      </c>
      <c r="L909">
        <v>103</v>
      </c>
      <c r="M909">
        <v>14.3</v>
      </c>
      <c r="N909">
        <v>1696</v>
      </c>
      <c r="O909">
        <v>0.86</v>
      </c>
      <c r="P909">
        <v>1459</v>
      </c>
      <c r="Q909">
        <v>152</v>
      </c>
      <c r="R909">
        <v>63</v>
      </c>
      <c r="S909">
        <v>42</v>
      </c>
      <c r="T909">
        <v>177</v>
      </c>
      <c r="U909">
        <v>21</v>
      </c>
      <c r="V909">
        <v>113</v>
      </c>
      <c r="W909">
        <v>0.504</v>
      </c>
      <c r="X909">
        <v>113</v>
      </c>
      <c r="Y909">
        <v>88</v>
      </c>
      <c r="Z909">
        <v>63</v>
      </c>
      <c r="AA909">
        <v>11</v>
      </c>
      <c r="AB909">
        <v>8.1999999999999993</v>
      </c>
      <c r="AC909" t="s">
        <v>188</v>
      </c>
      <c r="AG909" t="s">
        <v>5537</v>
      </c>
      <c r="AH909" t="s">
        <v>1224</v>
      </c>
      <c r="AI909" s="245">
        <v>399.99</v>
      </c>
      <c r="AJ909" t="s">
        <v>5538</v>
      </c>
      <c r="AK909" t="s">
        <v>5539</v>
      </c>
      <c r="AL909" t="s">
        <v>1221</v>
      </c>
      <c r="AM909" s="245">
        <v>439.99</v>
      </c>
      <c r="AN909" t="s">
        <v>5540</v>
      </c>
      <c r="AO909" t="s">
        <v>5541</v>
      </c>
      <c r="AP909" t="s">
        <v>3990</v>
      </c>
      <c r="AQ909" s="245">
        <v>499.99</v>
      </c>
      <c r="AR909" t="s">
        <v>5542</v>
      </c>
      <c r="AS909" s="226" t="str">
        <f t="shared" si="28"/>
        <v>Maverick 83</v>
      </c>
      <c r="AT909" s="203" t="str">
        <f t="shared" si="29"/>
        <v xml:space="preserve"> AtomicMaverick 83157 Unisex</v>
      </c>
    </row>
    <row r="910" spans="1:46" ht="92.4">
      <c r="A910" t="s">
        <v>155</v>
      </c>
      <c r="B910" t="s">
        <v>164</v>
      </c>
      <c r="C910" t="s">
        <v>811</v>
      </c>
      <c r="D910">
        <v>172</v>
      </c>
      <c r="E910" t="s">
        <v>158</v>
      </c>
      <c r="F910">
        <v>172</v>
      </c>
      <c r="G910">
        <v>171.3</v>
      </c>
      <c r="H910">
        <v>142</v>
      </c>
      <c r="I910">
        <v>151</v>
      </c>
      <c r="J910">
        <v>128</v>
      </c>
      <c r="K910">
        <v>81</v>
      </c>
      <c r="L910">
        <v>111</v>
      </c>
      <c r="M910">
        <v>14.2</v>
      </c>
      <c r="N910">
        <v>2130</v>
      </c>
      <c r="O910">
        <v>0.78</v>
      </c>
      <c r="P910">
        <v>1653</v>
      </c>
      <c r="Q910">
        <v>261</v>
      </c>
      <c r="R910">
        <v>113</v>
      </c>
      <c r="S910">
        <v>39</v>
      </c>
      <c r="T910">
        <v>175</v>
      </c>
      <c r="U910">
        <v>10</v>
      </c>
      <c r="V910">
        <v>120</v>
      </c>
      <c r="W910">
        <v>0.25800000000000001</v>
      </c>
      <c r="X910">
        <v>110</v>
      </c>
      <c r="Y910">
        <v>92</v>
      </c>
      <c r="Z910">
        <v>66</v>
      </c>
      <c r="AA910">
        <v>9</v>
      </c>
      <c r="AB910">
        <v>10</v>
      </c>
      <c r="AC910" t="s">
        <v>231</v>
      </c>
      <c r="AD910" t="s">
        <v>188</v>
      </c>
      <c r="AG910" t="s">
        <v>5543</v>
      </c>
      <c r="AH910" t="s">
        <v>5440</v>
      </c>
      <c r="AI910" s="245">
        <v>449.99</v>
      </c>
      <c r="AJ910" t="s">
        <v>5544</v>
      </c>
      <c r="AK910" t="s">
        <v>5545</v>
      </c>
      <c r="AL910" t="s">
        <v>1365</v>
      </c>
      <c r="AM910" s="245">
        <v>849.99</v>
      </c>
      <c r="AN910" t="s">
        <v>5546</v>
      </c>
      <c r="AO910" t="s">
        <v>5547</v>
      </c>
      <c r="AP910" t="s">
        <v>1185</v>
      </c>
      <c r="AQ910" s="245">
        <v>279.99</v>
      </c>
      <c r="AR910" t="s">
        <v>5548</v>
      </c>
      <c r="AS910" s="226" t="str">
        <f t="shared" si="28"/>
        <v>Wingman 82 CTi</v>
      </c>
      <c r="AT910" s="203" t="str">
        <f t="shared" si="29"/>
        <v xml:space="preserve"> ElanWingman 82 CTi172 Unisex</v>
      </c>
    </row>
    <row r="911" spans="1:46" ht="118.8">
      <c r="A911" t="s">
        <v>155</v>
      </c>
      <c r="B911" t="s">
        <v>164</v>
      </c>
      <c r="C911" t="s">
        <v>717</v>
      </c>
      <c r="D911">
        <v>160</v>
      </c>
      <c r="E911" t="s">
        <v>158</v>
      </c>
      <c r="F911">
        <v>160</v>
      </c>
      <c r="G911">
        <v>159.5</v>
      </c>
      <c r="H911">
        <v>135</v>
      </c>
      <c r="I911">
        <v>146</v>
      </c>
      <c r="J911">
        <v>126</v>
      </c>
      <c r="K911">
        <v>75</v>
      </c>
      <c r="L911">
        <v>101</v>
      </c>
      <c r="M911">
        <v>13.5</v>
      </c>
      <c r="N911">
        <v>1710</v>
      </c>
      <c r="O911">
        <v>0.84</v>
      </c>
      <c r="P911">
        <v>1435</v>
      </c>
      <c r="Q911">
        <v>172</v>
      </c>
      <c r="R911">
        <v>63</v>
      </c>
      <c r="S911">
        <v>38</v>
      </c>
      <c r="T911">
        <v>167</v>
      </c>
      <c r="U911">
        <v>10</v>
      </c>
      <c r="V911">
        <v>74</v>
      </c>
      <c r="W911">
        <v>0.25800000000000001</v>
      </c>
      <c r="X911">
        <v>80</v>
      </c>
      <c r="Y911">
        <v>56</v>
      </c>
      <c r="Z911">
        <v>87</v>
      </c>
      <c r="AA911">
        <v>6</v>
      </c>
      <c r="AB911">
        <v>11.3</v>
      </c>
      <c r="AC911" t="s">
        <v>349</v>
      </c>
      <c r="AG911" t="s">
        <v>5479</v>
      </c>
      <c r="AH911" t="s">
        <v>1191</v>
      </c>
      <c r="AI911" s="245">
        <v>284.95</v>
      </c>
      <c r="AJ911" t="s">
        <v>5549</v>
      </c>
      <c r="AK911" t="s">
        <v>5550</v>
      </c>
      <c r="AL911" t="s">
        <v>1204</v>
      </c>
      <c r="AM911" s="245">
        <v>424.76</v>
      </c>
      <c r="AN911" t="s">
        <v>5551</v>
      </c>
      <c r="AO911" t="s">
        <v>5481</v>
      </c>
      <c r="AP911" t="s">
        <v>4980</v>
      </c>
      <c r="AQ911" s="245">
        <v>449.99</v>
      </c>
      <c r="AR911" t="s">
        <v>5552</v>
      </c>
      <c r="AS911" s="226" t="str">
        <f t="shared" si="28"/>
        <v>Element</v>
      </c>
      <c r="AT911" s="203" t="str">
        <f t="shared" si="29"/>
        <v xml:space="preserve"> ElanElement160 Unisex</v>
      </c>
    </row>
    <row r="912" spans="1:46" ht="66">
      <c r="A912" t="s">
        <v>155</v>
      </c>
      <c r="B912" t="s">
        <v>164</v>
      </c>
      <c r="C912" t="s">
        <v>627</v>
      </c>
      <c r="D912">
        <v>178</v>
      </c>
      <c r="E912" t="s">
        <v>158</v>
      </c>
      <c r="F912">
        <v>178</v>
      </c>
      <c r="G912">
        <v>177.4</v>
      </c>
      <c r="H912">
        <v>143</v>
      </c>
      <c r="I912">
        <v>158</v>
      </c>
      <c r="J912">
        <v>130</v>
      </c>
      <c r="K912">
        <v>86</v>
      </c>
      <c r="L912">
        <v>114</v>
      </c>
      <c r="M912">
        <v>16.399999999999999</v>
      </c>
      <c r="N912">
        <v>2178</v>
      </c>
      <c r="O912">
        <v>0.81</v>
      </c>
      <c r="P912">
        <v>1770</v>
      </c>
      <c r="Q912">
        <v>222</v>
      </c>
      <c r="R912">
        <v>110</v>
      </c>
      <c r="S912">
        <v>39</v>
      </c>
      <c r="T912">
        <v>213</v>
      </c>
      <c r="U912">
        <v>8</v>
      </c>
      <c r="V912">
        <v>128</v>
      </c>
      <c r="W912">
        <v>0.20499999999999999</v>
      </c>
      <c r="X912">
        <v>100</v>
      </c>
      <c r="Y912">
        <v>96</v>
      </c>
      <c r="Z912">
        <v>113</v>
      </c>
      <c r="AA912">
        <v>8</v>
      </c>
      <c r="AB912">
        <v>9</v>
      </c>
      <c r="AC912" t="s">
        <v>188</v>
      </c>
      <c r="AG912" t="s">
        <v>1198</v>
      </c>
      <c r="AH912" t="s">
        <v>1248</v>
      </c>
      <c r="AI912" s="245">
        <v>374.99</v>
      </c>
      <c r="AJ912" t="s">
        <v>5553</v>
      </c>
      <c r="AK912" t="s">
        <v>1198</v>
      </c>
      <c r="AL912" t="s">
        <v>1211</v>
      </c>
      <c r="AM912" s="245">
        <v>480</v>
      </c>
      <c r="AN912" t="s">
        <v>5554</v>
      </c>
      <c r="AO912" t="s">
        <v>5555</v>
      </c>
      <c r="AP912" t="s">
        <v>1365</v>
      </c>
      <c r="AQ912" s="245">
        <v>499.99</v>
      </c>
      <c r="AR912" t="s">
        <v>5556</v>
      </c>
      <c r="AS912" s="226" t="str">
        <f t="shared" si="28"/>
        <v>Wingman 86 Ti</v>
      </c>
      <c r="AT912" s="203" t="str">
        <f t="shared" si="29"/>
        <v xml:space="preserve"> ElanWingman 86 Ti178 Unisex</v>
      </c>
    </row>
    <row r="913" spans="1:46" ht="118.8">
      <c r="A913" t="s">
        <v>155</v>
      </c>
      <c r="B913" t="s">
        <v>174</v>
      </c>
      <c r="C913" t="s">
        <v>672</v>
      </c>
      <c r="D913">
        <v>170</v>
      </c>
      <c r="E913" t="s">
        <v>158</v>
      </c>
      <c r="F913">
        <v>170</v>
      </c>
      <c r="G913">
        <v>169.4</v>
      </c>
      <c r="H913">
        <v>149</v>
      </c>
      <c r="I913">
        <v>158</v>
      </c>
      <c r="J913">
        <v>121</v>
      </c>
      <c r="K913">
        <v>72</v>
      </c>
      <c r="L913">
        <v>104</v>
      </c>
      <c r="M913">
        <v>14.6</v>
      </c>
      <c r="N913">
        <v>2037</v>
      </c>
      <c r="O913">
        <v>0.73</v>
      </c>
      <c r="P913">
        <v>1494</v>
      </c>
      <c r="Q913">
        <v>234</v>
      </c>
      <c r="R913">
        <v>102</v>
      </c>
      <c r="S913">
        <v>30</v>
      </c>
      <c r="T913">
        <v>130</v>
      </c>
      <c r="U913">
        <v>4</v>
      </c>
      <c r="V913">
        <v>71</v>
      </c>
      <c r="W913">
        <v>0.14599999999999999</v>
      </c>
      <c r="X913">
        <v>81</v>
      </c>
      <c r="Y913">
        <v>38</v>
      </c>
      <c r="Z913">
        <v>49</v>
      </c>
      <c r="AA913">
        <v>11</v>
      </c>
      <c r="AB913">
        <v>11.4</v>
      </c>
      <c r="AC913" t="s">
        <v>349</v>
      </c>
      <c r="AG913" t="s">
        <v>5557</v>
      </c>
      <c r="AH913" t="s">
        <v>1592</v>
      </c>
      <c r="AI913" s="245">
        <v>355.98</v>
      </c>
      <c r="AJ913" t="s">
        <v>5558</v>
      </c>
      <c r="AK913" t="s">
        <v>3969</v>
      </c>
      <c r="AL913" t="s">
        <v>1256</v>
      </c>
      <c r="AM913" s="245">
        <v>453.95</v>
      </c>
      <c r="AN913" t="s">
        <v>5559</v>
      </c>
      <c r="AO913" t="s">
        <v>3969</v>
      </c>
      <c r="AP913" t="s">
        <v>1258</v>
      </c>
      <c r="AQ913" s="245">
        <v>500.62</v>
      </c>
      <c r="AR913" t="s">
        <v>5560</v>
      </c>
      <c r="AS913" s="226" t="str">
        <f t="shared" si="28"/>
        <v>S/Max 8</v>
      </c>
      <c r="AT913" s="203" t="str">
        <f t="shared" si="29"/>
        <v xml:space="preserve"> SalomonS/Max 8170 Unisex</v>
      </c>
    </row>
    <row r="914" spans="1:46" ht="52.8">
      <c r="A914" t="s">
        <v>155</v>
      </c>
      <c r="B914" t="s">
        <v>245</v>
      </c>
      <c r="C914" t="s">
        <v>616</v>
      </c>
      <c r="D914">
        <v>176</v>
      </c>
      <c r="E914" t="s">
        <v>158</v>
      </c>
      <c r="F914">
        <v>176</v>
      </c>
      <c r="G914">
        <v>174.7</v>
      </c>
      <c r="H914">
        <v>130</v>
      </c>
      <c r="I914">
        <v>150</v>
      </c>
      <c r="J914">
        <v>126</v>
      </c>
      <c r="K914">
        <v>95</v>
      </c>
      <c r="L914">
        <v>112</v>
      </c>
      <c r="M914">
        <v>21</v>
      </c>
      <c r="N914">
        <v>1265</v>
      </c>
      <c r="O914">
        <v>1.44</v>
      </c>
      <c r="P914">
        <v>1824</v>
      </c>
      <c r="Q914">
        <v>155</v>
      </c>
      <c r="R914">
        <v>66</v>
      </c>
      <c r="S914">
        <v>65</v>
      </c>
      <c r="T914">
        <v>301</v>
      </c>
      <c r="U914">
        <v>5</v>
      </c>
      <c r="V914">
        <v>149</v>
      </c>
      <c r="W914">
        <v>7.5999999999999998E-2</v>
      </c>
      <c r="X914">
        <v>161</v>
      </c>
      <c r="Y914">
        <v>90</v>
      </c>
      <c r="Z914">
        <v>140</v>
      </c>
      <c r="AA914">
        <v>5</v>
      </c>
      <c r="AB914">
        <v>9.3000000000000007</v>
      </c>
      <c r="AC914" t="s">
        <v>185</v>
      </c>
      <c r="AD914" t="s">
        <v>198</v>
      </c>
      <c r="AG914" t="s">
        <v>5561</v>
      </c>
      <c r="AH914" t="s">
        <v>1194</v>
      </c>
      <c r="AI914" s="245">
        <v>419.41</v>
      </c>
      <c r="AJ914" t="s">
        <v>5562</v>
      </c>
      <c r="AK914" t="s">
        <v>5561</v>
      </c>
      <c r="AL914" t="s">
        <v>1185</v>
      </c>
      <c r="AM914" s="245">
        <v>489.99</v>
      </c>
      <c r="AN914" t="s">
        <v>5563</v>
      </c>
      <c r="AO914" t="s">
        <v>5561</v>
      </c>
      <c r="AP914" t="s">
        <v>1450</v>
      </c>
      <c r="AQ914" s="245">
        <v>509.99</v>
      </c>
      <c r="AR914" t="s">
        <v>5564</v>
      </c>
      <c r="AS914" s="226" t="str">
        <f t="shared" si="28"/>
        <v>Hannibal 96</v>
      </c>
      <c r="AT914" s="203" t="str">
        <f t="shared" si="29"/>
        <v xml:space="preserve"> FischerHannibal 96176 Unisex</v>
      </c>
    </row>
    <row r="915" spans="1:46" ht="52.8">
      <c r="A915" t="s">
        <v>155</v>
      </c>
      <c r="B915" t="s">
        <v>208</v>
      </c>
      <c r="C915" t="s">
        <v>209</v>
      </c>
      <c r="D915">
        <v>172</v>
      </c>
      <c r="E915" t="s">
        <v>158</v>
      </c>
      <c r="F915">
        <v>172</v>
      </c>
      <c r="G915">
        <v>171.9</v>
      </c>
      <c r="H915">
        <v>111</v>
      </c>
      <c r="I915">
        <v>138</v>
      </c>
      <c r="J915">
        <v>130</v>
      </c>
      <c r="K915">
        <v>97</v>
      </c>
      <c r="L915">
        <v>117</v>
      </c>
      <c r="M915">
        <v>16.5</v>
      </c>
      <c r="N915">
        <v>1347</v>
      </c>
      <c r="O915">
        <v>1.37</v>
      </c>
      <c r="P915">
        <v>1840</v>
      </c>
      <c r="Q915">
        <v>156</v>
      </c>
      <c r="R915">
        <v>64</v>
      </c>
      <c r="S915">
        <v>51</v>
      </c>
      <c r="T915">
        <v>333</v>
      </c>
      <c r="U915">
        <v>33</v>
      </c>
      <c r="V915">
        <v>280</v>
      </c>
      <c r="W915">
        <v>0.65</v>
      </c>
      <c r="X915">
        <v>167</v>
      </c>
      <c r="Y915">
        <v>173</v>
      </c>
      <c r="Z915">
        <v>166</v>
      </c>
      <c r="AA915">
        <v>4</v>
      </c>
      <c r="AB915">
        <v>6.3</v>
      </c>
      <c r="AC915" t="s">
        <v>185</v>
      </c>
      <c r="AD915" t="s">
        <v>198</v>
      </c>
      <c r="AG915" t="s">
        <v>1353</v>
      </c>
      <c r="AH915" t="s">
        <v>1349</v>
      </c>
      <c r="AI915" s="245">
        <v>394.15</v>
      </c>
      <c r="AJ915" t="s">
        <v>5565</v>
      </c>
      <c r="AK915" t="s">
        <v>1353</v>
      </c>
      <c r="AL915" t="s">
        <v>1194</v>
      </c>
      <c r="AM915" s="245">
        <v>395.47</v>
      </c>
      <c r="AN915" t="s">
        <v>5566</v>
      </c>
      <c r="AO915" t="s">
        <v>1353</v>
      </c>
      <c r="AP915" t="s">
        <v>1179</v>
      </c>
      <c r="AQ915" s="245">
        <v>559.95000000000005</v>
      </c>
      <c r="AR915" t="s">
        <v>5567</v>
      </c>
      <c r="AS915" s="226" t="str">
        <f t="shared" si="28"/>
        <v>Vision 98</v>
      </c>
      <c r="AT915" s="203" t="str">
        <f t="shared" si="29"/>
        <v xml:space="preserve"> LineVision 98172 Unisex</v>
      </c>
    </row>
    <row r="916" spans="1:46" ht="105.6">
      <c r="A916" t="s">
        <v>155</v>
      </c>
      <c r="B916" t="s">
        <v>167</v>
      </c>
      <c r="C916" t="s">
        <v>739</v>
      </c>
      <c r="D916">
        <v>153</v>
      </c>
      <c r="E916" t="s">
        <v>163</v>
      </c>
      <c r="F916">
        <v>153</v>
      </c>
      <c r="G916">
        <v>152.5</v>
      </c>
      <c r="H916">
        <v>132</v>
      </c>
      <c r="I916">
        <v>137</v>
      </c>
      <c r="J916">
        <v>121</v>
      </c>
      <c r="K916">
        <v>67</v>
      </c>
      <c r="L916">
        <v>100</v>
      </c>
      <c r="M916">
        <v>11</v>
      </c>
      <c r="N916">
        <v>1721</v>
      </c>
      <c r="O916">
        <v>0.74</v>
      </c>
      <c r="P916">
        <v>1269</v>
      </c>
      <c r="Q916">
        <v>123</v>
      </c>
      <c r="R916">
        <v>60</v>
      </c>
      <c r="S916">
        <v>39</v>
      </c>
      <c r="T916">
        <v>134</v>
      </c>
      <c r="U916">
        <v>12</v>
      </c>
      <c r="V916">
        <v>72</v>
      </c>
      <c r="W916">
        <v>0.308</v>
      </c>
      <c r="X916">
        <v>89</v>
      </c>
      <c r="Y916">
        <v>62</v>
      </c>
      <c r="Z916">
        <v>45</v>
      </c>
      <c r="AA916">
        <v>10</v>
      </c>
      <c r="AB916">
        <v>9.4</v>
      </c>
      <c r="AC916" t="s">
        <v>349</v>
      </c>
      <c r="AG916" t="s">
        <v>5568</v>
      </c>
      <c r="AH916" t="s">
        <v>1271</v>
      </c>
      <c r="AI916" s="245">
        <v>649</v>
      </c>
      <c r="AJ916" t="s">
        <v>5569</v>
      </c>
      <c r="AK916" t="s">
        <v>5568</v>
      </c>
      <c r="AL916" t="s">
        <v>1181</v>
      </c>
      <c r="AM916" s="245">
        <v>699</v>
      </c>
      <c r="AN916" t="s">
        <v>5570</v>
      </c>
      <c r="AO916" t="s">
        <v>5568</v>
      </c>
      <c r="AP916" t="s">
        <v>1405</v>
      </c>
      <c r="AQ916" s="245">
        <v>699</v>
      </c>
      <c r="AR916" t="s">
        <v>5571</v>
      </c>
      <c r="AS916" s="226" t="str">
        <f t="shared" si="28"/>
        <v>Power Joy</v>
      </c>
      <c r="AT916" s="203" t="str">
        <f t="shared" si="29"/>
        <v xml:space="preserve"> HeadPower Joy153 Women's</v>
      </c>
    </row>
    <row r="917" spans="1:46" ht="118.8">
      <c r="A917" t="s">
        <v>155</v>
      </c>
      <c r="B917" t="s">
        <v>1160</v>
      </c>
      <c r="C917" t="s">
        <v>539</v>
      </c>
      <c r="D917">
        <v>156</v>
      </c>
      <c r="E917" t="s">
        <v>158</v>
      </c>
      <c r="F917">
        <v>156</v>
      </c>
      <c r="G917">
        <v>156.69999999999999</v>
      </c>
      <c r="H917">
        <v>115</v>
      </c>
      <c r="I917">
        <v>128</v>
      </c>
      <c r="J917">
        <v>129</v>
      </c>
      <c r="K917">
        <v>84</v>
      </c>
      <c r="L917">
        <v>112</v>
      </c>
      <c r="M917">
        <v>10.8</v>
      </c>
      <c r="N917">
        <v>1534</v>
      </c>
      <c r="O917">
        <v>1.02</v>
      </c>
      <c r="P917">
        <v>1558</v>
      </c>
      <c r="Q917">
        <v>125</v>
      </c>
      <c r="R917">
        <v>74</v>
      </c>
      <c r="S917">
        <v>42</v>
      </c>
      <c r="T917">
        <v>252</v>
      </c>
      <c r="U917">
        <v>12</v>
      </c>
      <c r="V917">
        <v>165</v>
      </c>
      <c r="W917">
        <v>0.29199999999999998</v>
      </c>
      <c r="X917">
        <v>176</v>
      </c>
      <c r="Y917">
        <v>112</v>
      </c>
      <c r="Z917">
        <v>76</v>
      </c>
      <c r="AA917">
        <v>10</v>
      </c>
      <c r="AB917">
        <v>10.3</v>
      </c>
      <c r="AC917" t="s">
        <v>231</v>
      </c>
      <c r="AD917" t="s">
        <v>188</v>
      </c>
      <c r="AG917" t="s">
        <v>5572</v>
      </c>
      <c r="AH917" t="s">
        <v>2297</v>
      </c>
      <c r="AI917" s="245">
        <v>299</v>
      </c>
      <c r="AJ917" t="s">
        <v>5573</v>
      </c>
      <c r="AK917" t="s">
        <v>5574</v>
      </c>
      <c r="AL917" t="s">
        <v>2130</v>
      </c>
      <c r="AM917" s="245">
        <v>319.95999999999998</v>
      </c>
      <c r="AN917" t="s">
        <v>5575</v>
      </c>
      <c r="AO917" t="s">
        <v>5576</v>
      </c>
      <c r="AP917" t="s">
        <v>1265</v>
      </c>
      <c r="AQ917" s="245">
        <v>320.57</v>
      </c>
      <c r="AR917" t="s">
        <v>5577</v>
      </c>
      <c r="AS917" s="226" t="str">
        <f t="shared" si="28"/>
        <v>Mindbender 85</v>
      </c>
      <c r="AT917" s="203" t="str">
        <f t="shared" si="29"/>
        <v>K2Mindbender 85156 Unisex</v>
      </c>
    </row>
    <row r="918" spans="1:46" ht="66">
      <c r="A918" t="s">
        <v>155</v>
      </c>
      <c r="B918" t="s">
        <v>1395</v>
      </c>
      <c r="C918" t="s">
        <v>461</v>
      </c>
      <c r="D918">
        <v>170</v>
      </c>
      <c r="E918" t="s">
        <v>158</v>
      </c>
      <c r="F918">
        <v>170</v>
      </c>
      <c r="G918">
        <v>169.5</v>
      </c>
      <c r="H918">
        <v>130</v>
      </c>
      <c r="I918">
        <v>148</v>
      </c>
      <c r="J918">
        <v>137</v>
      </c>
      <c r="K918">
        <v>95</v>
      </c>
      <c r="L918">
        <v>118</v>
      </c>
      <c r="M918">
        <v>15.9</v>
      </c>
      <c r="N918">
        <v>1260</v>
      </c>
      <c r="O918">
        <v>1.45</v>
      </c>
      <c r="P918">
        <v>1830</v>
      </c>
      <c r="Q918">
        <v>155</v>
      </c>
      <c r="R918">
        <v>70</v>
      </c>
      <c r="S918">
        <v>39</v>
      </c>
      <c r="T918">
        <v>326</v>
      </c>
      <c r="U918">
        <v>5</v>
      </c>
      <c r="V918">
        <v>72</v>
      </c>
      <c r="W918">
        <v>0.13500000000000001</v>
      </c>
      <c r="X918">
        <v>123</v>
      </c>
      <c r="Y918">
        <v>89</v>
      </c>
      <c r="Z918">
        <v>204</v>
      </c>
      <c r="AA918">
        <v>3</v>
      </c>
      <c r="AB918">
        <v>11.3</v>
      </c>
      <c r="AC918" t="s">
        <v>185</v>
      </c>
      <c r="AD918" t="s">
        <v>198</v>
      </c>
      <c r="AG918" t="s">
        <v>5578</v>
      </c>
      <c r="AH918" t="s">
        <v>1265</v>
      </c>
      <c r="AI918" s="245">
        <v>512.91999999999996</v>
      </c>
      <c r="AJ918" t="s">
        <v>5579</v>
      </c>
      <c r="AK918" t="s">
        <v>5580</v>
      </c>
      <c r="AL918" t="s">
        <v>1204</v>
      </c>
      <c r="AM918" s="245">
        <v>520.92999999999995</v>
      </c>
      <c r="AN918" t="s">
        <v>5581</v>
      </c>
      <c r="AO918" t="s">
        <v>5582</v>
      </c>
      <c r="AP918" t="s">
        <v>1349</v>
      </c>
      <c r="AQ918" s="245">
        <v>640.87</v>
      </c>
      <c r="AR918" t="s">
        <v>5583</v>
      </c>
      <c r="AS918" s="226" t="str">
        <f t="shared" si="28"/>
        <v>Rise Beyond 96</v>
      </c>
      <c r="AT918" s="203" t="str">
        <f t="shared" si="29"/>
        <v xml:space="preserve"> Vï¿½lklRise Beyond 96170 Unisex</v>
      </c>
    </row>
    <row r="919" spans="1:46" ht="118.8">
      <c r="A919" t="s">
        <v>155</v>
      </c>
      <c r="B919" t="s">
        <v>208</v>
      </c>
      <c r="C919" t="s">
        <v>614</v>
      </c>
      <c r="D919">
        <v>158</v>
      </c>
      <c r="E919" t="s">
        <v>163</v>
      </c>
      <c r="F919">
        <v>158</v>
      </c>
      <c r="G919">
        <v>158.19999999999999</v>
      </c>
      <c r="H919">
        <v>112</v>
      </c>
      <c r="I919">
        <v>122</v>
      </c>
      <c r="J919">
        <v>136</v>
      </c>
      <c r="K919">
        <v>103</v>
      </c>
      <c r="L919">
        <v>121</v>
      </c>
      <c r="M919">
        <v>13.5</v>
      </c>
      <c r="N919">
        <v>1478</v>
      </c>
      <c r="O919">
        <v>1.21</v>
      </c>
      <c r="P919">
        <v>1792</v>
      </c>
      <c r="Q919">
        <v>122</v>
      </c>
      <c r="R919">
        <v>69</v>
      </c>
      <c r="S919">
        <v>46</v>
      </c>
      <c r="T919">
        <v>295</v>
      </c>
      <c r="U919">
        <v>14</v>
      </c>
      <c r="V919">
        <v>164</v>
      </c>
      <c r="W919">
        <v>0.30499999999999999</v>
      </c>
      <c r="X919">
        <v>185</v>
      </c>
      <c r="Y919">
        <v>181</v>
      </c>
      <c r="Z919">
        <v>109</v>
      </c>
      <c r="AA919">
        <v>6</v>
      </c>
      <c r="AB919">
        <v>9.6</v>
      </c>
      <c r="AC919" t="s">
        <v>188</v>
      </c>
      <c r="AD919" t="s">
        <v>178</v>
      </c>
      <c r="AE919" t="s">
        <v>185</v>
      </c>
      <c r="AG919" t="s">
        <v>5584</v>
      </c>
      <c r="AH919" t="s">
        <v>1421</v>
      </c>
      <c r="AI919" s="245">
        <v>479.96</v>
      </c>
      <c r="AJ919" t="s">
        <v>5585</v>
      </c>
      <c r="AK919" t="s">
        <v>5586</v>
      </c>
      <c r="AL919" t="s">
        <v>1240</v>
      </c>
      <c r="AM919" s="245">
        <v>549.95000000000005</v>
      </c>
      <c r="AN919" t="s">
        <v>5587</v>
      </c>
      <c r="AO919" t="s">
        <v>5588</v>
      </c>
      <c r="AP919" t="s">
        <v>2214</v>
      </c>
      <c r="AQ919" s="245">
        <v>550</v>
      </c>
      <c r="AR919" t="s">
        <v>5589</v>
      </c>
      <c r="AS919" s="226" t="str">
        <f t="shared" si="28"/>
        <v>Pandora 104</v>
      </c>
      <c r="AT919" s="203" t="str">
        <f t="shared" si="29"/>
        <v xml:space="preserve"> LinePandora 104158 Women's</v>
      </c>
    </row>
    <row r="920" spans="1:46" ht="26.4">
      <c r="A920" t="s">
        <v>155</v>
      </c>
      <c r="B920" t="s">
        <v>227</v>
      </c>
      <c r="C920" t="s">
        <v>681</v>
      </c>
      <c r="D920">
        <v>172</v>
      </c>
      <c r="E920" t="s">
        <v>158</v>
      </c>
      <c r="F920">
        <v>172</v>
      </c>
      <c r="G920">
        <v>170.3</v>
      </c>
      <c r="H920">
        <v>105</v>
      </c>
      <c r="I920">
        <v>142</v>
      </c>
      <c r="J920">
        <v>129</v>
      </c>
      <c r="K920">
        <v>98</v>
      </c>
      <c r="L920">
        <v>120</v>
      </c>
      <c r="M920">
        <v>17.5</v>
      </c>
      <c r="N920">
        <v>1483</v>
      </c>
      <c r="O920">
        <v>1.26</v>
      </c>
      <c r="P920">
        <v>1862</v>
      </c>
      <c r="Q920">
        <v>196</v>
      </c>
      <c r="R920">
        <v>48</v>
      </c>
      <c r="S920">
        <v>73</v>
      </c>
      <c r="T920">
        <v>405</v>
      </c>
      <c r="U920">
        <v>29</v>
      </c>
      <c r="V920">
        <v>248</v>
      </c>
      <c r="W920">
        <v>0.39899999999999902</v>
      </c>
      <c r="X920">
        <v>155</v>
      </c>
      <c r="Y920">
        <v>131</v>
      </c>
      <c r="Z920">
        <v>249</v>
      </c>
      <c r="AA920">
        <v>5</v>
      </c>
      <c r="AB920">
        <v>10.8</v>
      </c>
      <c r="AC920" t="s">
        <v>188</v>
      </c>
      <c r="AD920" t="s">
        <v>185</v>
      </c>
      <c r="AE920" t="s">
        <v>198</v>
      </c>
      <c r="AS920" s="226" t="str">
        <f t="shared" si="28"/>
        <v>Chinook 99</v>
      </c>
      <c r="AT920" s="203" t="str">
        <f t="shared" si="29"/>
        <v xml:space="preserve"> RaccoonChinook 99172 Unisex</v>
      </c>
    </row>
    <row r="921" spans="1:46" ht="79.2">
      <c r="A921" t="s">
        <v>155</v>
      </c>
      <c r="B921" t="s">
        <v>1395</v>
      </c>
      <c r="C921" t="s">
        <v>778</v>
      </c>
      <c r="D921">
        <v>172</v>
      </c>
      <c r="E921" t="s">
        <v>163</v>
      </c>
      <c r="F921">
        <v>172</v>
      </c>
      <c r="G921">
        <v>171.9</v>
      </c>
      <c r="H921">
        <v>70</v>
      </c>
      <c r="I921">
        <v>148</v>
      </c>
      <c r="J921">
        <v>133</v>
      </c>
      <c r="K921">
        <v>93</v>
      </c>
      <c r="L921">
        <v>115</v>
      </c>
      <c r="M921">
        <v>16.8</v>
      </c>
      <c r="N921">
        <v>1508</v>
      </c>
      <c r="O921">
        <v>1.21</v>
      </c>
      <c r="P921">
        <v>1817</v>
      </c>
      <c r="Q921">
        <v>164</v>
      </c>
      <c r="R921">
        <v>81</v>
      </c>
      <c r="S921">
        <v>53</v>
      </c>
      <c r="T921">
        <v>589</v>
      </c>
      <c r="U921">
        <v>23</v>
      </c>
      <c r="V921">
        <v>432</v>
      </c>
      <c r="W921">
        <v>0.437</v>
      </c>
      <c r="X921">
        <v>136</v>
      </c>
      <c r="Y921">
        <v>104</v>
      </c>
      <c r="Z921">
        <v>453</v>
      </c>
      <c r="AA921">
        <v>1</v>
      </c>
      <c r="AB921">
        <v>11</v>
      </c>
      <c r="AC921" t="s">
        <v>188</v>
      </c>
      <c r="AD921" t="s">
        <v>185</v>
      </c>
      <c r="AG921" t="s">
        <v>5590</v>
      </c>
      <c r="AH921" t="s">
        <v>1497</v>
      </c>
      <c r="AI921" s="245">
        <v>439.96</v>
      </c>
      <c r="AJ921" t="s">
        <v>5591</v>
      </c>
      <c r="AK921" t="s">
        <v>5592</v>
      </c>
      <c r="AL921" t="s">
        <v>1204</v>
      </c>
      <c r="AM921" s="245">
        <v>480.86</v>
      </c>
      <c r="AN921" t="s">
        <v>5593</v>
      </c>
      <c r="AO921" t="s">
        <v>5594</v>
      </c>
      <c r="AP921" t="s">
        <v>1240</v>
      </c>
      <c r="AQ921" s="245">
        <v>549</v>
      </c>
      <c r="AR921" t="s">
        <v>5595</v>
      </c>
      <c r="AS921" s="226" t="str">
        <f t="shared" si="28"/>
        <v>Blaze 94 W</v>
      </c>
      <c r="AT921" s="203" t="str">
        <f t="shared" si="29"/>
        <v xml:space="preserve"> Vï¿½lklBlaze 94 W172 Women's</v>
      </c>
    </row>
    <row r="922" spans="1:46" ht="66">
      <c r="A922" t="s">
        <v>155</v>
      </c>
      <c r="B922" t="s">
        <v>202</v>
      </c>
      <c r="C922" t="s">
        <v>602</v>
      </c>
      <c r="D922">
        <v>160</v>
      </c>
      <c r="E922" t="s">
        <v>158</v>
      </c>
      <c r="F922">
        <v>160</v>
      </c>
      <c r="G922">
        <v>158.5</v>
      </c>
      <c r="H922">
        <v>112</v>
      </c>
      <c r="I922">
        <v>134</v>
      </c>
      <c r="J922">
        <v>117</v>
      </c>
      <c r="K922">
        <v>89</v>
      </c>
      <c r="L922">
        <v>107</v>
      </c>
      <c r="M922">
        <v>20.5</v>
      </c>
      <c r="N922">
        <v>1535</v>
      </c>
      <c r="O922">
        <v>1.01</v>
      </c>
      <c r="P922">
        <v>1545</v>
      </c>
      <c r="Q922">
        <v>157</v>
      </c>
      <c r="R922">
        <v>59</v>
      </c>
      <c r="S922">
        <v>48</v>
      </c>
      <c r="T922">
        <v>257</v>
      </c>
      <c r="U922">
        <v>29</v>
      </c>
      <c r="V922">
        <v>212</v>
      </c>
      <c r="W922">
        <v>0.60099999999999998</v>
      </c>
      <c r="X922">
        <v>117</v>
      </c>
      <c r="Y922">
        <v>126</v>
      </c>
      <c r="Z922">
        <v>140</v>
      </c>
      <c r="AA922">
        <v>5</v>
      </c>
      <c r="AB922">
        <v>7.2</v>
      </c>
      <c r="AC922" t="s">
        <v>188</v>
      </c>
      <c r="AG922" t="s">
        <v>5596</v>
      </c>
      <c r="AH922" t="s">
        <v>1282</v>
      </c>
      <c r="AI922" s="245">
        <v>349.95</v>
      </c>
      <c r="AJ922" t="s">
        <v>5597</v>
      </c>
      <c r="AK922" t="s">
        <v>5598</v>
      </c>
      <c r="AL922" t="s">
        <v>1421</v>
      </c>
      <c r="AM922" s="245">
        <v>349.95</v>
      </c>
      <c r="AN922" t="s">
        <v>5599</v>
      </c>
      <c r="AO922" t="s">
        <v>5600</v>
      </c>
      <c r="AP922" t="s">
        <v>1337</v>
      </c>
      <c r="AQ922" s="245">
        <v>222</v>
      </c>
      <c r="AR922" t="s">
        <v>5601</v>
      </c>
      <c r="AS922" s="226" t="str">
        <f t="shared" si="28"/>
        <v>M-Menace 90</v>
      </c>
      <c r="AT922" s="203" t="str">
        <f t="shared" si="29"/>
        <v xml:space="preserve"> DynastarM-Menace 90160 Unisex</v>
      </c>
    </row>
    <row r="923" spans="1:46" ht="118.8">
      <c r="A923" t="s">
        <v>155</v>
      </c>
      <c r="B923" t="s">
        <v>182</v>
      </c>
      <c r="C923" t="s">
        <v>667</v>
      </c>
      <c r="D923">
        <v>174</v>
      </c>
      <c r="E923" t="s">
        <v>158</v>
      </c>
      <c r="F923">
        <v>174</v>
      </c>
      <c r="G923">
        <v>173.5</v>
      </c>
      <c r="H923">
        <v>142</v>
      </c>
      <c r="I923">
        <v>154</v>
      </c>
      <c r="J923">
        <v>127</v>
      </c>
      <c r="K923">
        <v>81</v>
      </c>
      <c r="L923">
        <v>109</v>
      </c>
      <c r="M923">
        <v>15.9</v>
      </c>
      <c r="N923">
        <v>1648</v>
      </c>
      <c r="O923">
        <v>1.01</v>
      </c>
      <c r="P923">
        <v>1659</v>
      </c>
      <c r="Q923">
        <v>230</v>
      </c>
      <c r="R923">
        <v>139</v>
      </c>
      <c r="S923">
        <v>42</v>
      </c>
      <c r="T923">
        <v>198</v>
      </c>
      <c r="U923">
        <v>12</v>
      </c>
      <c r="V923">
        <v>121</v>
      </c>
      <c r="W923">
        <v>0.29099999999999998</v>
      </c>
      <c r="X923">
        <v>120</v>
      </c>
      <c r="Y923">
        <v>72</v>
      </c>
      <c r="Z923">
        <v>78</v>
      </c>
      <c r="AA923">
        <v>7</v>
      </c>
      <c r="AB923">
        <v>9.4</v>
      </c>
      <c r="AC923" t="s">
        <v>231</v>
      </c>
      <c r="AD923" t="s">
        <v>188</v>
      </c>
      <c r="AG923" t="s">
        <v>5602</v>
      </c>
      <c r="AH923" t="s">
        <v>2204</v>
      </c>
      <c r="AI923" s="245">
        <v>474.99</v>
      </c>
      <c r="AJ923" t="s">
        <v>5603</v>
      </c>
      <c r="AK923" t="s">
        <v>5604</v>
      </c>
      <c r="AL923" t="s">
        <v>1179</v>
      </c>
      <c r="AM923" s="245">
        <v>599.95000000000005</v>
      </c>
      <c r="AN923" t="s">
        <v>5605</v>
      </c>
      <c r="AO923" t="s">
        <v>5606</v>
      </c>
      <c r="AP923" t="s">
        <v>1365</v>
      </c>
      <c r="AQ923" s="245">
        <v>799.95</v>
      </c>
      <c r="AR923" t="s">
        <v>5607</v>
      </c>
      <c r="AS923" s="226" t="str">
        <f t="shared" si="28"/>
        <v>Declivity 82 Ti</v>
      </c>
      <c r="AT923" s="203" t="str">
        <f t="shared" si="29"/>
        <v xml:space="preserve"> ArmadaDeclivity 82 Ti174 Unisex</v>
      </c>
    </row>
    <row r="924" spans="1:46" ht="105.6">
      <c r="A924" t="s">
        <v>155</v>
      </c>
      <c r="B924" t="s">
        <v>1395</v>
      </c>
      <c r="C924" t="s">
        <v>716</v>
      </c>
      <c r="D924">
        <v>161</v>
      </c>
      <c r="E924" t="s">
        <v>163</v>
      </c>
      <c r="F924">
        <v>161</v>
      </c>
      <c r="G924">
        <v>160.5</v>
      </c>
      <c r="H924">
        <v>141</v>
      </c>
      <c r="I924">
        <v>148</v>
      </c>
      <c r="J924">
        <v>125</v>
      </c>
      <c r="K924">
        <v>74</v>
      </c>
      <c r="L924">
        <v>105</v>
      </c>
      <c r="M924">
        <v>13.6</v>
      </c>
      <c r="N924">
        <v>1793</v>
      </c>
      <c r="O924">
        <v>0.8</v>
      </c>
      <c r="P924">
        <v>1433</v>
      </c>
      <c r="Q924">
        <v>162</v>
      </c>
      <c r="R924">
        <v>69</v>
      </c>
      <c r="S924">
        <v>35</v>
      </c>
      <c r="T924">
        <v>133</v>
      </c>
      <c r="U924">
        <v>5</v>
      </c>
      <c r="V924">
        <v>61</v>
      </c>
      <c r="W924">
        <v>0.14699999999999999</v>
      </c>
      <c r="X924">
        <v>71</v>
      </c>
      <c r="Y924">
        <v>58</v>
      </c>
      <c r="Z924">
        <v>62</v>
      </c>
      <c r="AA924">
        <v>4</v>
      </c>
      <c r="AB924">
        <v>11.7</v>
      </c>
      <c r="AC924" t="s">
        <v>349</v>
      </c>
      <c r="AG924" t="s">
        <v>5608</v>
      </c>
      <c r="AH924" t="s">
        <v>1256</v>
      </c>
      <c r="AI924" s="245">
        <v>418.95</v>
      </c>
      <c r="AJ924" t="s">
        <v>5609</v>
      </c>
      <c r="AK924" t="s">
        <v>5608</v>
      </c>
      <c r="AL924" t="s">
        <v>1258</v>
      </c>
      <c r="AM924" s="245">
        <v>463.87</v>
      </c>
      <c r="AN924" t="s">
        <v>5610</v>
      </c>
      <c r="AO924" t="s">
        <v>5611</v>
      </c>
      <c r="AP924" t="s">
        <v>1464</v>
      </c>
      <c r="AQ924" s="245">
        <v>559.9</v>
      </c>
      <c r="AR924" t="s">
        <v>5612</v>
      </c>
      <c r="AS924" s="226" t="str">
        <f t="shared" si="28"/>
        <v>Flair 75</v>
      </c>
      <c r="AT924" s="203" t="str">
        <f t="shared" si="29"/>
        <v xml:space="preserve"> Vï¿½lklFlair 75161 Women's</v>
      </c>
    </row>
    <row r="925" spans="1:46" ht="145.19999999999999">
      <c r="A925" t="s">
        <v>155</v>
      </c>
      <c r="B925" t="s">
        <v>1395</v>
      </c>
      <c r="C925" t="s">
        <v>716</v>
      </c>
      <c r="D925">
        <v>154</v>
      </c>
      <c r="E925" t="s">
        <v>163</v>
      </c>
      <c r="F925">
        <v>154</v>
      </c>
      <c r="G925">
        <v>153</v>
      </c>
      <c r="H925">
        <v>135</v>
      </c>
      <c r="I925">
        <v>140</v>
      </c>
      <c r="J925">
        <v>125</v>
      </c>
      <c r="K925">
        <v>74</v>
      </c>
      <c r="L925">
        <v>104</v>
      </c>
      <c r="M925">
        <v>12.2</v>
      </c>
      <c r="N925">
        <v>1683</v>
      </c>
      <c r="O925">
        <v>0.81</v>
      </c>
      <c r="P925">
        <v>1365</v>
      </c>
      <c r="Q925">
        <v>166</v>
      </c>
      <c r="R925">
        <v>63</v>
      </c>
      <c r="S925">
        <v>33</v>
      </c>
      <c r="T925">
        <v>122</v>
      </c>
      <c r="U925">
        <v>5</v>
      </c>
      <c r="V925">
        <v>54</v>
      </c>
      <c r="W925">
        <v>0.13600000000000001</v>
      </c>
      <c r="X925">
        <v>69</v>
      </c>
      <c r="Y925">
        <v>59</v>
      </c>
      <c r="Z925">
        <v>53</v>
      </c>
      <c r="AA925">
        <v>7</v>
      </c>
      <c r="AB925">
        <v>11.4</v>
      </c>
      <c r="AC925" t="s">
        <v>349</v>
      </c>
      <c r="AG925" t="s">
        <v>4351</v>
      </c>
      <c r="AH925" t="s">
        <v>1185</v>
      </c>
      <c r="AI925" s="245">
        <v>489.99</v>
      </c>
      <c r="AJ925" t="s">
        <v>5613</v>
      </c>
      <c r="AK925" t="s">
        <v>5614</v>
      </c>
      <c r="AL925" t="s">
        <v>1191</v>
      </c>
      <c r="AM925" s="245">
        <v>509.95</v>
      </c>
      <c r="AN925" t="s">
        <v>5615</v>
      </c>
      <c r="AO925" t="s">
        <v>5616</v>
      </c>
      <c r="AP925" t="s">
        <v>4024</v>
      </c>
      <c r="AQ925" s="245">
        <v>539.99</v>
      </c>
      <c r="AR925" t="s">
        <v>5617</v>
      </c>
      <c r="AS925" s="226" t="str">
        <f t="shared" si="28"/>
        <v>Flair 75</v>
      </c>
      <c r="AT925" s="203" t="str">
        <f t="shared" si="29"/>
        <v xml:space="preserve"> Vï¿½lklFlair 75154 Women's</v>
      </c>
    </row>
    <row r="926" spans="1:46" ht="132">
      <c r="A926" t="s">
        <v>155</v>
      </c>
      <c r="B926" t="s">
        <v>1395</v>
      </c>
      <c r="C926" t="s">
        <v>812</v>
      </c>
      <c r="D926">
        <v>186</v>
      </c>
      <c r="E926" t="s">
        <v>158</v>
      </c>
      <c r="F926">
        <v>186</v>
      </c>
      <c r="G926">
        <v>187.2</v>
      </c>
      <c r="H926">
        <v>0</v>
      </c>
      <c r="I926">
        <v>146</v>
      </c>
      <c r="J926">
        <v>133</v>
      </c>
      <c r="K926">
        <v>108</v>
      </c>
      <c r="L926">
        <v>118</v>
      </c>
      <c r="M926">
        <v>27.1</v>
      </c>
      <c r="N926">
        <v>1741</v>
      </c>
      <c r="O926">
        <v>1.25</v>
      </c>
      <c r="P926">
        <v>2170</v>
      </c>
      <c r="Q926">
        <v>207</v>
      </c>
      <c r="R926">
        <v>138</v>
      </c>
      <c r="S926">
        <v>52</v>
      </c>
      <c r="T926">
        <v>1038</v>
      </c>
      <c r="U926">
        <v>28</v>
      </c>
      <c r="V926">
        <v>834</v>
      </c>
      <c r="W926">
        <v>0.52800000000000002</v>
      </c>
      <c r="X926">
        <v>205</v>
      </c>
      <c r="Y926">
        <v>210</v>
      </c>
      <c r="Z926">
        <v>833</v>
      </c>
      <c r="AA926">
        <v>-6</v>
      </c>
      <c r="AB926">
        <v>10.199999999999999</v>
      </c>
      <c r="AC926" t="s">
        <v>169</v>
      </c>
      <c r="AD926" t="s">
        <v>185</v>
      </c>
      <c r="AG926" t="s">
        <v>5618</v>
      </c>
      <c r="AH926" t="s">
        <v>1181</v>
      </c>
      <c r="AI926" s="245">
        <v>1374.95</v>
      </c>
      <c r="AJ926" t="s">
        <v>5619</v>
      </c>
      <c r="AK926" t="s">
        <v>1752</v>
      </c>
      <c r="AL926" t="s">
        <v>1179</v>
      </c>
      <c r="AM926" s="245">
        <v>479.95</v>
      </c>
      <c r="AN926" t="s">
        <v>5620</v>
      </c>
      <c r="AO926" t="s">
        <v>1752</v>
      </c>
      <c r="AP926" t="s">
        <v>1244</v>
      </c>
      <c r="AQ926" s="245">
        <v>479.96</v>
      </c>
      <c r="AR926" t="s">
        <v>5621</v>
      </c>
      <c r="AS926" s="226" t="str">
        <f t="shared" si="28"/>
        <v>BMT109</v>
      </c>
      <c r="AT926" s="203" t="str">
        <f t="shared" si="29"/>
        <v xml:space="preserve"> Vï¿½lklBMT109186 Unisex</v>
      </c>
    </row>
    <row r="927" spans="1:46" ht="105.6">
      <c r="A927" t="s">
        <v>155</v>
      </c>
      <c r="B927" t="s">
        <v>208</v>
      </c>
      <c r="C927" t="s">
        <v>577</v>
      </c>
      <c r="D927">
        <v>170</v>
      </c>
      <c r="E927" t="s">
        <v>163</v>
      </c>
      <c r="F927">
        <v>170</v>
      </c>
      <c r="G927">
        <v>169.7</v>
      </c>
      <c r="H927">
        <v>108</v>
      </c>
      <c r="I927">
        <v>137</v>
      </c>
      <c r="J927">
        <v>143</v>
      </c>
      <c r="K927">
        <v>109</v>
      </c>
      <c r="L927">
        <v>129</v>
      </c>
      <c r="M927">
        <v>16.2</v>
      </c>
      <c r="N927">
        <v>1410</v>
      </c>
      <c r="O927">
        <v>1.43</v>
      </c>
      <c r="P927">
        <v>2019</v>
      </c>
      <c r="Q927">
        <v>147</v>
      </c>
      <c r="R927">
        <v>67</v>
      </c>
      <c r="S927">
        <v>52</v>
      </c>
      <c r="T927">
        <v>342</v>
      </c>
      <c r="U927">
        <v>33</v>
      </c>
      <c r="V927">
        <v>273</v>
      </c>
      <c r="W927">
        <v>0.63</v>
      </c>
      <c r="X927">
        <v>160</v>
      </c>
      <c r="Y927">
        <v>167</v>
      </c>
      <c r="Z927">
        <v>181</v>
      </c>
      <c r="AA927">
        <v>6</v>
      </c>
      <c r="AB927">
        <v>6.4</v>
      </c>
      <c r="AC927" t="s">
        <v>169</v>
      </c>
      <c r="AD927" t="s">
        <v>185</v>
      </c>
      <c r="AE927" t="s">
        <v>198</v>
      </c>
      <c r="AG927" t="s">
        <v>5622</v>
      </c>
      <c r="AH927" t="s">
        <v>1349</v>
      </c>
      <c r="AI927" s="245">
        <v>365.72</v>
      </c>
      <c r="AJ927" t="s">
        <v>5623</v>
      </c>
      <c r="AK927" t="s">
        <v>5624</v>
      </c>
      <c r="AL927" t="s">
        <v>1804</v>
      </c>
      <c r="AM927" s="245">
        <v>540</v>
      </c>
      <c r="AN927" t="s">
        <v>5625</v>
      </c>
      <c r="AO927" t="s">
        <v>5626</v>
      </c>
      <c r="AP927" t="s">
        <v>1240</v>
      </c>
      <c r="AQ927" s="245">
        <v>629.95000000000005</v>
      </c>
      <c r="AR927" t="s">
        <v>5627</v>
      </c>
      <c r="AS927" s="226" t="str">
        <f t="shared" si="28"/>
        <v>Pandora 110</v>
      </c>
      <c r="AT927" s="203" t="str">
        <f t="shared" si="29"/>
        <v xml:space="preserve"> LinePandora 110170 Women's</v>
      </c>
    </row>
    <row r="928" spans="1:46" ht="158.4">
      <c r="A928" t="s">
        <v>155</v>
      </c>
      <c r="B928" t="s">
        <v>172</v>
      </c>
      <c r="C928" t="s">
        <v>764</v>
      </c>
      <c r="D928">
        <v>160</v>
      </c>
      <c r="E928" t="s">
        <v>163</v>
      </c>
      <c r="F928">
        <v>160</v>
      </c>
      <c r="G928">
        <v>160.30000000000001</v>
      </c>
      <c r="H928">
        <v>139</v>
      </c>
      <c r="I928">
        <v>145</v>
      </c>
      <c r="J928">
        <v>124</v>
      </c>
      <c r="K928">
        <v>77</v>
      </c>
      <c r="L928">
        <v>110</v>
      </c>
      <c r="M928">
        <v>12.7</v>
      </c>
      <c r="N928">
        <v>1624</v>
      </c>
      <c r="O928">
        <v>0.91</v>
      </c>
      <c r="P928">
        <v>1471</v>
      </c>
      <c r="Q928">
        <v>151</v>
      </c>
      <c r="R928">
        <v>56</v>
      </c>
      <c r="S928">
        <v>35</v>
      </c>
      <c r="T928">
        <v>144</v>
      </c>
      <c r="U928">
        <v>5</v>
      </c>
      <c r="V928">
        <v>68</v>
      </c>
      <c r="W928">
        <v>0.155</v>
      </c>
      <c r="X928">
        <v>77</v>
      </c>
      <c r="Y928">
        <v>80</v>
      </c>
      <c r="Z928">
        <v>66</v>
      </c>
      <c r="AA928">
        <v>12</v>
      </c>
      <c r="AB928">
        <v>8.1999999999999993</v>
      </c>
      <c r="AC928" t="s">
        <v>349</v>
      </c>
      <c r="AG928" t="s">
        <v>5628</v>
      </c>
      <c r="AH928" t="s">
        <v>2049</v>
      </c>
      <c r="AI928" s="245">
        <v>399.95</v>
      </c>
      <c r="AJ928" t="s">
        <v>5629</v>
      </c>
      <c r="AK928" t="s">
        <v>5630</v>
      </c>
      <c r="AL928" t="s">
        <v>1271</v>
      </c>
      <c r="AM928" s="245">
        <v>419.99</v>
      </c>
      <c r="AN928" t="s">
        <v>5631</v>
      </c>
      <c r="AO928" t="s">
        <v>2887</v>
      </c>
      <c r="AP928" t="s">
        <v>1179</v>
      </c>
      <c r="AQ928" s="245">
        <v>319.95</v>
      </c>
      <c r="AR928" t="s">
        <v>5632</v>
      </c>
      <c r="AS928" s="226" t="str">
        <f t="shared" si="28"/>
        <v>Experience 76 W</v>
      </c>
      <c r="AT928" s="203" t="str">
        <f t="shared" si="29"/>
        <v xml:space="preserve"> RossignolExperience 76 W160 Women's</v>
      </c>
    </row>
    <row r="929" spans="1:46" ht="66">
      <c r="A929" t="s">
        <v>155</v>
      </c>
      <c r="B929" t="s">
        <v>156</v>
      </c>
      <c r="C929" t="s">
        <v>703</v>
      </c>
      <c r="D929">
        <v>147</v>
      </c>
      <c r="E929" t="s">
        <v>163</v>
      </c>
      <c r="F929">
        <v>147</v>
      </c>
      <c r="G929">
        <v>146</v>
      </c>
      <c r="H929">
        <v>95</v>
      </c>
      <c r="I929">
        <v>121</v>
      </c>
      <c r="J929">
        <v>118</v>
      </c>
      <c r="K929">
        <v>85</v>
      </c>
      <c r="L929">
        <v>101</v>
      </c>
      <c r="M929">
        <v>13.6</v>
      </c>
      <c r="N929">
        <v>1280</v>
      </c>
      <c r="O929">
        <v>1.0900000000000001</v>
      </c>
      <c r="P929">
        <v>1391</v>
      </c>
      <c r="Q929">
        <v>173</v>
      </c>
      <c r="R929">
        <v>73</v>
      </c>
      <c r="S929">
        <v>52</v>
      </c>
      <c r="T929">
        <v>303</v>
      </c>
      <c r="U929">
        <v>14</v>
      </c>
      <c r="V929">
        <v>206</v>
      </c>
      <c r="W929">
        <v>0.27300000000000002</v>
      </c>
      <c r="X929">
        <v>158</v>
      </c>
      <c r="Y929">
        <v>94</v>
      </c>
      <c r="Z929">
        <v>144</v>
      </c>
      <c r="AA929">
        <v>2</v>
      </c>
      <c r="AB929">
        <v>8.3000000000000007</v>
      </c>
      <c r="AC929" t="s">
        <v>231</v>
      </c>
      <c r="AD929" t="s">
        <v>188</v>
      </c>
      <c r="AE929" t="s">
        <v>185</v>
      </c>
      <c r="AG929" t="s">
        <v>5633</v>
      </c>
      <c r="AH929" t="s">
        <v>1226</v>
      </c>
      <c r="AI929" s="245">
        <v>319.99</v>
      </c>
      <c r="AJ929" t="s">
        <v>5634</v>
      </c>
      <c r="AK929" t="s">
        <v>5635</v>
      </c>
      <c r="AL929" t="s">
        <v>1497</v>
      </c>
      <c r="AM929" s="245">
        <v>319.99</v>
      </c>
      <c r="AN929" t="s">
        <v>5636</v>
      </c>
      <c r="AO929" t="s">
        <v>5637</v>
      </c>
      <c r="AP929" t="s">
        <v>1204</v>
      </c>
      <c r="AQ929" s="245">
        <v>320.57</v>
      </c>
      <c r="AR929" t="s">
        <v>5638</v>
      </c>
      <c r="AS929" s="226" t="str">
        <f t="shared" si="28"/>
        <v>Maven 86</v>
      </c>
      <c r="AT929" s="203" t="str">
        <f t="shared" si="29"/>
        <v xml:space="preserve"> AtomicMaven 86147 Women's</v>
      </c>
    </row>
    <row r="930" spans="1:46" ht="105.6">
      <c r="A930" t="s">
        <v>155</v>
      </c>
      <c r="B930" t="s">
        <v>167</v>
      </c>
      <c r="C930" t="s">
        <v>734</v>
      </c>
      <c r="D930">
        <v>163</v>
      </c>
      <c r="E930" t="s">
        <v>158</v>
      </c>
      <c r="F930">
        <v>163</v>
      </c>
      <c r="G930">
        <v>162.4</v>
      </c>
      <c r="H930">
        <v>140</v>
      </c>
      <c r="I930">
        <v>148</v>
      </c>
      <c r="J930">
        <v>138</v>
      </c>
      <c r="K930">
        <v>84</v>
      </c>
      <c r="L930">
        <v>120</v>
      </c>
      <c r="M930">
        <v>12.3</v>
      </c>
      <c r="N930">
        <v>1729</v>
      </c>
      <c r="O930">
        <v>0.94</v>
      </c>
      <c r="P930">
        <v>1630</v>
      </c>
      <c r="Q930">
        <v>207</v>
      </c>
      <c r="R930">
        <v>53</v>
      </c>
      <c r="S930">
        <v>42</v>
      </c>
      <c r="T930">
        <v>156</v>
      </c>
      <c r="U930">
        <v>9</v>
      </c>
      <c r="V930">
        <v>64</v>
      </c>
      <c r="W930">
        <v>0.22</v>
      </c>
      <c r="X930">
        <v>87</v>
      </c>
      <c r="Y930">
        <v>54</v>
      </c>
      <c r="Z930">
        <v>69</v>
      </c>
      <c r="AA930">
        <v>10</v>
      </c>
      <c r="AB930">
        <v>12.1</v>
      </c>
      <c r="AC930" t="s">
        <v>349</v>
      </c>
      <c r="AD930" t="s">
        <v>188</v>
      </c>
      <c r="AG930" t="s">
        <v>5639</v>
      </c>
      <c r="AH930" t="s">
        <v>1993</v>
      </c>
      <c r="AI930" s="245">
        <v>799</v>
      </c>
      <c r="AJ930" t="s">
        <v>5640</v>
      </c>
      <c r="AK930" t="s">
        <v>5641</v>
      </c>
      <c r="AL930" t="s">
        <v>3322</v>
      </c>
      <c r="AM930" s="245">
        <v>799.99</v>
      </c>
      <c r="AN930" t="s">
        <v>5642</v>
      </c>
      <c r="AO930" t="s">
        <v>5643</v>
      </c>
      <c r="AP930" t="s">
        <v>5522</v>
      </c>
      <c r="AQ930" s="245">
        <v>353</v>
      </c>
      <c r="AR930" t="s">
        <v>5644</v>
      </c>
      <c r="AS930" s="226" t="str">
        <f t="shared" si="28"/>
        <v>V-Shape V10</v>
      </c>
      <c r="AT930" s="203" t="str">
        <f t="shared" si="29"/>
        <v xml:space="preserve"> HeadV-Shape V10163 Unisex</v>
      </c>
    </row>
    <row r="931" spans="1:46" ht="118.8">
      <c r="A931" t="s">
        <v>155</v>
      </c>
      <c r="B931" t="s">
        <v>215</v>
      </c>
      <c r="C931" t="s">
        <v>216</v>
      </c>
      <c r="D931">
        <v>186</v>
      </c>
      <c r="E931" t="s">
        <v>158</v>
      </c>
      <c r="F931">
        <v>186</v>
      </c>
      <c r="G931">
        <v>185.9</v>
      </c>
      <c r="H931">
        <v>150</v>
      </c>
      <c r="I931">
        <v>165</v>
      </c>
      <c r="J931">
        <v>137</v>
      </c>
      <c r="K931">
        <v>99</v>
      </c>
      <c r="L931">
        <v>121</v>
      </c>
      <c r="M931">
        <v>21.5</v>
      </c>
      <c r="N931">
        <v>1980</v>
      </c>
      <c r="O931">
        <v>1.04</v>
      </c>
      <c r="P931">
        <v>2055</v>
      </c>
      <c r="Q931">
        <v>240</v>
      </c>
      <c r="R931">
        <v>121</v>
      </c>
      <c r="S931">
        <v>38</v>
      </c>
      <c r="T931">
        <v>218</v>
      </c>
      <c r="U931">
        <v>11</v>
      </c>
      <c r="V931">
        <v>141</v>
      </c>
      <c r="W931">
        <v>0.3</v>
      </c>
      <c r="X931">
        <v>119</v>
      </c>
      <c r="Y931">
        <v>92</v>
      </c>
      <c r="Z931">
        <v>99</v>
      </c>
      <c r="AA931">
        <v>10</v>
      </c>
      <c r="AB931">
        <v>10.6</v>
      </c>
      <c r="AC931" t="s">
        <v>188</v>
      </c>
      <c r="AG931" t="s">
        <v>4779</v>
      </c>
      <c r="AH931" t="s">
        <v>4780</v>
      </c>
      <c r="AI931" s="245">
        <v>499</v>
      </c>
      <c r="AJ931" t="s">
        <v>5645</v>
      </c>
      <c r="AK931" t="s">
        <v>5646</v>
      </c>
      <c r="AL931" t="s">
        <v>1807</v>
      </c>
      <c r="AM931" s="245">
        <v>499.91</v>
      </c>
      <c r="AN931" t="s">
        <v>5647</v>
      </c>
      <c r="AO931" t="s">
        <v>5648</v>
      </c>
      <c r="AP931" t="s">
        <v>1280</v>
      </c>
      <c r="AQ931" s="245">
        <v>523.92999999999995</v>
      </c>
      <c r="AR931" t="s">
        <v>5649</v>
      </c>
      <c r="AS931" s="226" t="str">
        <f t="shared" si="28"/>
        <v>Evolv 100</v>
      </c>
      <c r="AT931" s="203" t="str">
        <f t="shared" si="29"/>
        <v xml:space="preserve"> LibertyEvolv 100186 Unisex</v>
      </c>
    </row>
    <row r="932" spans="1:46" ht="132">
      <c r="A932" t="s">
        <v>155</v>
      </c>
      <c r="B932" t="s">
        <v>1361</v>
      </c>
      <c r="C932" t="s">
        <v>357</v>
      </c>
      <c r="D932">
        <v>164</v>
      </c>
      <c r="E932" t="s">
        <v>163</v>
      </c>
      <c r="F932">
        <v>164</v>
      </c>
      <c r="G932">
        <v>163.4</v>
      </c>
      <c r="H932">
        <v>135</v>
      </c>
      <c r="I932">
        <v>141</v>
      </c>
      <c r="J932">
        <v>133</v>
      </c>
      <c r="K932">
        <v>96</v>
      </c>
      <c r="L932">
        <v>121</v>
      </c>
      <c r="M932">
        <v>15.3</v>
      </c>
      <c r="N932">
        <v>1665</v>
      </c>
      <c r="O932">
        <v>1.06</v>
      </c>
      <c r="P932">
        <v>1760</v>
      </c>
      <c r="Q932">
        <v>169</v>
      </c>
      <c r="R932">
        <v>102</v>
      </c>
      <c r="S932">
        <v>45</v>
      </c>
      <c r="T932">
        <v>204</v>
      </c>
      <c r="U932">
        <v>8</v>
      </c>
      <c r="V932">
        <v>78</v>
      </c>
      <c r="W932">
        <v>0.188999999999999</v>
      </c>
      <c r="X932">
        <v>160</v>
      </c>
      <c r="Y932">
        <v>59</v>
      </c>
      <c r="Z932">
        <v>44</v>
      </c>
      <c r="AA932">
        <v>6</v>
      </c>
      <c r="AB932">
        <v>13</v>
      </c>
      <c r="AC932" t="s">
        <v>188</v>
      </c>
      <c r="AD932" t="s">
        <v>185</v>
      </c>
      <c r="AG932" t="s">
        <v>5650</v>
      </c>
      <c r="AH932" t="s">
        <v>1843</v>
      </c>
      <c r="AI932" s="245">
        <v>1049</v>
      </c>
      <c r="AJ932" t="s">
        <v>5651</v>
      </c>
      <c r="AK932" t="s">
        <v>5652</v>
      </c>
      <c r="AL932" t="s">
        <v>1365</v>
      </c>
      <c r="AM932" s="245">
        <v>1149</v>
      </c>
      <c r="AN932" t="s">
        <v>5653</v>
      </c>
      <c r="AO932" t="s">
        <v>5654</v>
      </c>
      <c r="AP932" t="s">
        <v>1271</v>
      </c>
      <c r="AQ932" s="245">
        <v>1099.99</v>
      </c>
      <c r="AR932" t="s">
        <v>5655</v>
      </c>
      <c r="AS932" s="226" t="str">
        <f t="shared" si="28"/>
        <v>Nela 96</v>
      </c>
      <c r="AT932" s="203" t="str">
        <f t="shared" si="29"/>
        <v xml:space="preserve"> Stï¿½ckliNela 96164 Women's</v>
      </c>
    </row>
    <row r="933" spans="1:46" ht="158.4">
      <c r="A933" t="s">
        <v>155</v>
      </c>
      <c r="B933" t="s">
        <v>202</v>
      </c>
      <c r="C933" t="s">
        <v>493</v>
      </c>
      <c r="D933">
        <v>182</v>
      </c>
      <c r="E933" t="s">
        <v>158</v>
      </c>
      <c r="F933">
        <v>182</v>
      </c>
      <c r="G933">
        <v>181.7</v>
      </c>
      <c r="H933">
        <v>116</v>
      </c>
      <c r="I933">
        <v>145</v>
      </c>
      <c r="J933">
        <v>136</v>
      </c>
      <c r="K933">
        <v>107</v>
      </c>
      <c r="L933">
        <v>127</v>
      </c>
      <c r="M933">
        <v>18.3</v>
      </c>
      <c r="N933">
        <v>2192</v>
      </c>
      <c r="O933">
        <v>0.97</v>
      </c>
      <c r="P933">
        <v>2122</v>
      </c>
      <c r="Q933">
        <v>260</v>
      </c>
      <c r="R933">
        <v>117</v>
      </c>
      <c r="S933">
        <v>58</v>
      </c>
      <c r="T933">
        <v>316</v>
      </c>
      <c r="U933">
        <v>41</v>
      </c>
      <c r="V933">
        <v>340</v>
      </c>
      <c r="W933">
        <v>0.71599999999999997</v>
      </c>
      <c r="X933">
        <v>189</v>
      </c>
      <c r="Y933">
        <v>180</v>
      </c>
      <c r="Z933">
        <v>127</v>
      </c>
      <c r="AA933">
        <v>7</v>
      </c>
      <c r="AB933">
        <v>8.4</v>
      </c>
      <c r="AC933" t="s">
        <v>169</v>
      </c>
      <c r="AG933" t="s">
        <v>2614</v>
      </c>
      <c r="AH933" t="s">
        <v>1320</v>
      </c>
      <c r="AI933" s="245">
        <v>559.96</v>
      </c>
      <c r="AJ933" t="s">
        <v>5656</v>
      </c>
      <c r="AK933" t="s">
        <v>5657</v>
      </c>
      <c r="AL933" t="s">
        <v>1181</v>
      </c>
      <c r="AM933" s="245">
        <v>734.96</v>
      </c>
      <c r="AN933" t="s">
        <v>5658</v>
      </c>
      <c r="AO933" t="s">
        <v>5659</v>
      </c>
      <c r="AP933" t="s">
        <v>1248</v>
      </c>
      <c r="AQ933" s="245">
        <v>559.96</v>
      </c>
      <c r="AR933" t="s">
        <v>5660</v>
      </c>
      <c r="AS933" s="226" t="str">
        <f t="shared" si="28"/>
        <v>M-Free 108</v>
      </c>
      <c r="AT933" s="203" t="str">
        <f t="shared" si="29"/>
        <v xml:space="preserve"> DynastarM-Free 108182 Unisex</v>
      </c>
    </row>
    <row r="934" spans="1:46" ht="79.2">
      <c r="A934" t="s">
        <v>155</v>
      </c>
      <c r="B934" t="s">
        <v>215</v>
      </c>
      <c r="C934" t="s">
        <v>727</v>
      </c>
      <c r="D934">
        <v>158</v>
      </c>
      <c r="E934" t="s">
        <v>163</v>
      </c>
      <c r="F934">
        <v>158</v>
      </c>
      <c r="G934">
        <v>157.1</v>
      </c>
      <c r="H934">
        <v>97</v>
      </c>
      <c r="I934">
        <v>127</v>
      </c>
      <c r="J934">
        <v>125</v>
      </c>
      <c r="K934">
        <v>89</v>
      </c>
      <c r="L934">
        <v>111</v>
      </c>
      <c r="M934">
        <v>13</v>
      </c>
      <c r="N934">
        <v>1431</v>
      </c>
      <c r="O934">
        <v>1.1000000000000001</v>
      </c>
      <c r="P934">
        <v>1572</v>
      </c>
      <c r="Q934">
        <v>162</v>
      </c>
      <c r="R934">
        <v>75</v>
      </c>
      <c r="S934">
        <v>44</v>
      </c>
      <c r="T934">
        <v>352</v>
      </c>
      <c r="U934">
        <v>23</v>
      </c>
      <c r="V934">
        <v>246</v>
      </c>
      <c r="W934">
        <v>0.51800000000000002</v>
      </c>
      <c r="X934">
        <v>136</v>
      </c>
      <c r="Y934">
        <v>160</v>
      </c>
      <c r="Z934">
        <v>216</v>
      </c>
      <c r="AA934">
        <v>4</v>
      </c>
      <c r="AB934">
        <v>8.3000000000000007</v>
      </c>
      <c r="AC934" t="s">
        <v>188</v>
      </c>
      <c r="AD934" t="s">
        <v>185</v>
      </c>
      <c r="AG934" t="s">
        <v>1821</v>
      </c>
      <c r="AH934" t="s">
        <v>1240</v>
      </c>
      <c r="AI934" s="245">
        <v>399.95</v>
      </c>
      <c r="AJ934" t="s">
        <v>5661</v>
      </c>
      <c r="AK934" t="s">
        <v>5662</v>
      </c>
      <c r="AL934" t="s">
        <v>1450</v>
      </c>
      <c r="AM934" s="245">
        <v>439.99</v>
      </c>
      <c r="AN934" t="s">
        <v>5663</v>
      </c>
      <c r="AO934" t="s">
        <v>5662</v>
      </c>
      <c r="AP934" t="s">
        <v>1657</v>
      </c>
      <c r="AQ934" s="245">
        <v>529.99</v>
      </c>
      <c r="AR934" t="s">
        <v>5664</v>
      </c>
      <c r="AS934" s="226" t="str">
        <f t="shared" si="28"/>
        <v>Genesis 90</v>
      </c>
      <c r="AT934" s="203" t="str">
        <f t="shared" si="29"/>
        <v xml:space="preserve"> LibertyGenesis 90158 Women's</v>
      </c>
    </row>
    <row r="935" spans="1:46" ht="66">
      <c r="A935" t="s">
        <v>155</v>
      </c>
      <c r="B935" t="s">
        <v>182</v>
      </c>
      <c r="C935" t="s">
        <v>271</v>
      </c>
      <c r="D935">
        <v>180</v>
      </c>
      <c r="E935" t="s">
        <v>158</v>
      </c>
      <c r="F935">
        <v>180</v>
      </c>
      <c r="G935">
        <v>179.8</v>
      </c>
      <c r="H935">
        <v>141</v>
      </c>
      <c r="I935">
        <v>154</v>
      </c>
      <c r="J935">
        <v>130</v>
      </c>
      <c r="K935">
        <v>91</v>
      </c>
      <c r="L935">
        <v>116</v>
      </c>
      <c r="M935">
        <v>17.899999999999999</v>
      </c>
      <c r="N935">
        <v>1858</v>
      </c>
      <c r="O935">
        <v>1.01</v>
      </c>
      <c r="P935">
        <v>1871</v>
      </c>
      <c r="Q935">
        <v>240</v>
      </c>
      <c r="R935">
        <v>141</v>
      </c>
      <c r="S935">
        <v>45</v>
      </c>
      <c r="T935">
        <v>243</v>
      </c>
      <c r="U935">
        <v>16</v>
      </c>
      <c r="V935">
        <v>143</v>
      </c>
      <c r="W935">
        <v>0.35599999999999998</v>
      </c>
      <c r="X935">
        <v>159</v>
      </c>
      <c r="Y935">
        <v>95</v>
      </c>
      <c r="Z935">
        <v>84</v>
      </c>
      <c r="AA935">
        <v>10</v>
      </c>
      <c r="AB935">
        <v>10.5</v>
      </c>
      <c r="AC935" t="s">
        <v>188</v>
      </c>
      <c r="AG935" t="s">
        <v>5665</v>
      </c>
      <c r="AH935" t="s">
        <v>1232</v>
      </c>
      <c r="AI935" s="245">
        <v>519.95000000000005</v>
      </c>
      <c r="AJ935" t="s">
        <v>5666</v>
      </c>
      <c r="AK935" t="s">
        <v>5665</v>
      </c>
      <c r="AL935" t="s">
        <v>1271</v>
      </c>
      <c r="AM935" s="245">
        <v>619.95000000000005</v>
      </c>
      <c r="AN935" t="s">
        <v>5667</v>
      </c>
      <c r="AO935" t="s">
        <v>5665</v>
      </c>
      <c r="AP935" t="s">
        <v>1305</v>
      </c>
      <c r="AQ935" s="245">
        <v>649</v>
      </c>
      <c r="AR935" t="s">
        <v>5668</v>
      </c>
      <c r="AS935" s="226" t="str">
        <f t="shared" si="28"/>
        <v>Declivity 92 Ti</v>
      </c>
      <c r="AT935" s="203" t="str">
        <f t="shared" si="29"/>
        <v xml:space="preserve"> ArmadaDeclivity 92 Ti180 Unisex</v>
      </c>
    </row>
    <row r="936" spans="1:46" ht="132">
      <c r="A936" t="s">
        <v>155</v>
      </c>
      <c r="B936" t="s">
        <v>172</v>
      </c>
      <c r="C936" t="s">
        <v>701</v>
      </c>
      <c r="D936">
        <v>151</v>
      </c>
      <c r="E936" t="s">
        <v>163</v>
      </c>
      <c r="F936">
        <v>151</v>
      </c>
      <c r="G936">
        <v>150.4</v>
      </c>
      <c r="H936">
        <v>111</v>
      </c>
      <c r="I936">
        <v>136</v>
      </c>
      <c r="J936">
        <v>125</v>
      </c>
      <c r="K936">
        <v>80</v>
      </c>
      <c r="L936">
        <v>113</v>
      </c>
      <c r="M936">
        <v>11.4</v>
      </c>
      <c r="N936">
        <v>1601</v>
      </c>
      <c r="O936">
        <v>0.89</v>
      </c>
      <c r="P936">
        <v>1425</v>
      </c>
      <c r="Q936">
        <v>174</v>
      </c>
      <c r="R936">
        <v>61</v>
      </c>
      <c r="S936">
        <v>49</v>
      </c>
      <c r="T936">
        <v>263</v>
      </c>
      <c r="U936">
        <v>13</v>
      </c>
      <c r="V936">
        <v>127</v>
      </c>
      <c r="W936">
        <v>0.25900000000000001</v>
      </c>
      <c r="X936">
        <v>76</v>
      </c>
      <c r="Y936">
        <v>68</v>
      </c>
      <c r="Z936">
        <v>187</v>
      </c>
      <c r="AA936">
        <v>8</v>
      </c>
      <c r="AB936">
        <v>6.8</v>
      </c>
      <c r="AC936" t="s">
        <v>160</v>
      </c>
      <c r="AG936" t="s">
        <v>5669</v>
      </c>
      <c r="AH936" t="s">
        <v>1204</v>
      </c>
      <c r="AI936" s="245">
        <v>641.15</v>
      </c>
      <c r="AJ936" t="s">
        <v>5670</v>
      </c>
      <c r="AK936" t="s">
        <v>5671</v>
      </c>
      <c r="AL936" t="s">
        <v>1320</v>
      </c>
      <c r="AM936" s="245">
        <v>699.95</v>
      </c>
      <c r="AN936" t="s">
        <v>5672</v>
      </c>
      <c r="AO936" t="s">
        <v>2931</v>
      </c>
      <c r="AP936" t="s">
        <v>1421</v>
      </c>
      <c r="AQ936" s="245">
        <v>559.96</v>
      </c>
      <c r="AR936" t="s">
        <v>5673</v>
      </c>
      <c r="AS936" s="226" t="str">
        <f t="shared" si="28"/>
        <v>Experience 82 Basalt W</v>
      </c>
      <c r="AT936" s="203" t="str">
        <f t="shared" si="29"/>
        <v xml:space="preserve"> RossignolExperience 82 Basalt W151 Women's</v>
      </c>
    </row>
    <row r="937" spans="1:46" ht="52.8">
      <c r="A937" t="s">
        <v>155</v>
      </c>
      <c r="B937" t="s">
        <v>205</v>
      </c>
      <c r="C937" t="s">
        <v>407</v>
      </c>
      <c r="D937">
        <v>154</v>
      </c>
      <c r="E937" t="s">
        <v>163</v>
      </c>
      <c r="F937">
        <v>154</v>
      </c>
      <c r="G937">
        <v>152.19999999999999</v>
      </c>
      <c r="H937">
        <v>118</v>
      </c>
      <c r="I937">
        <v>129</v>
      </c>
      <c r="J937">
        <v>119</v>
      </c>
      <c r="K937">
        <v>85</v>
      </c>
      <c r="L937">
        <v>109</v>
      </c>
      <c r="M937">
        <v>13.2</v>
      </c>
      <c r="N937">
        <v>1297</v>
      </c>
      <c r="O937">
        <v>1.1399999999999999</v>
      </c>
      <c r="P937">
        <v>1476</v>
      </c>
      <c r="Q937">
        <v>172</v>
      </c>
      <c r="R937">
        <v>76</v>
      </c>
      <c r="S937">
        <v>51</v>
      </c>
      <c r="T937">
        <v>206</v>
      </c>
      <c r="U937">
        <v>19</v>
      </c>
      <c r="V937">
        <v>133</v>
      </c>
      <c r="W937">
        <v>0.376</v>
      </c>
      <c r="X937">
        <v>138</v>
      </c>
      <c r="Y937">
        <v>96</v>
      </c>
      <c r="Z937">
        <v>68</v>
      </c>
      <c r="AA937">
        <v>6</v>
      </c>
      <c r="AB937">
        <v>9.1999999999999993</v>
      </c>
      <c r="AC937" t="s">
        <v>188</v>
      </c>
      <c r="AD937" t="s">
        <v>185</v>
      </c>
      <c r="AG937" t="s">
        <v>5674</v>
      </c>
      <c r="AH937" t="s">
        <v>1667</v>
      </c>
      <c r="AI937" s="245">
        <v>489</v>
      </c>
      <c r="AJ937" t="s">
        <v>5675</v>
      </c>
      <c r="AS937" s="226" t="str">
        <f t="shared" si="28"/>
        <v>Agent 1.0 X</v>
      </c>
      <c r="AT937" s="203" t="str">
        <f t="shared" si="29"/>
        <v xml:space="preserve"> FactionAgent 1.0 X154 Women's</v>
      </c>
    </row>
    <row r="938" spans="1:46" ht="92.4">
      <c r="A938" t="s">
        <v>155</v>
      </c>
      <c r="B938" t="s">
        <v>174</v>
      </c>
      <c r="C938" t="s">
        <v>509</v>
      </c>
      <c r="D938">
        <v>169</v>
      </c>
      <c r="E938" t="s">
        <v>158</v>
      </c>
      <c r="F938">
        <v>169</v>
      </c>
      <c r="G938">
        <v>167.7</v>
      </c>
      <c r="H938">
        <v>134</v>
      </c>
      <c r="I938">
        <v>146</v>
      </c>
      <c r="J938">
        <v>123</v>
      </c>
      <c r="K938">
        <v>88</v>
      </c>
      <c r="L938">
        <v>109</v>
      </c>
      <c r="M938">
        <v>18.399999999999999</v>
      </c>
      <c r="N938">
        <v>1319</v>
      </c>
      <c r="O938">
        <v>1.27</v>
      </c>
      <c r="P938">
        <v>1673</v>
      </c>
      <c r="Q938">
        <v>169</v>
      </c>
      <c r="R938">
        <v>66</v>
      </c>
      <c r="S938">
        <v>50</v>
      </c>
      <c r="T938">
        <v>204</v>
      </c>
      <c r="U938">
        <v>14</v>
      </c>
      <c r="V938">
        <v>138</v>
      </c>
      <c r="W938">
        <v>0.28299999999999997</v>
      </c>
      <c r="X938">
        <v>137</v>
      </c>
      <c r="Y938">
        <v>76</v>
      </c>
      <c r="Z938">
        <v>66</v>
      </c>
      <c r="AA938">
        <v>8</v>
      </c>
      <c r="AB938">
        <v>11.6</v>
      </c>
      <c r="AC938" t="s">
        <v>188</v>
      </c>
      <c r="AD938" t="s">
        <v>185</v>
      </c>
      <c r="AE938" t="s">
        <v>198</v>
      </c>
      <c r="AG938" t="s">
        <v>5676</v>
      </c>
      <c r="AH938" t="s">
        <v>1204</v>
      </c>
      <c r="AI938" s="245">
        <v>320.57</v>
      </c>
      <c r="AJ938" t="s">
        <v>5677</v>
      </c>
      <c r="AK938" t="s">
        <v>5678</v>
      </c>
      <c r="AL938" t="s">
        <v>1229</v>
      </c>
      <c r="AM938" s="245">
        <v>479.99</v>
      </c>
      <c r="AN938" t="s">
        <v>5679</v>
      </c>
      <c r="AO938" t="s">
        <v>5680</v>
      </c>
      <c r="AP938" t="s">
        <v>2111</v>
      </c>
      <c r="AQ938" s="245">
        <v>519.99</v>
      </c>
      <c r="AR938" t="s">
        <v>5681</v>
      </c>
      <c r="AS938" s="226" t="str">
        <f t="shared" si="28"/>
        <v>MTN Explore 88</v>
      </c>
      <c r="AT938" s="203" t="str">
        <f t="shared" si="29"/>
        <v xml:space="preserve"> SalomonMTN Explore 88169 Unisex</v>
      </c>
    </row>
    <row r="939" spans="1:46" ht="118.8">
      <c r="A939" t="s">
        <v>155</v>
      </c>
      <c r="B939" t="s">
        <v>172</v>
      </c>
      <c r="C939" t="s">
        <v>813</v>
      </c>
      <c r="D939">
        <v>163</v>
      </c>
      <c r="E939" t="s">
        <v>163</v>
      </c>
      <c r="F939">
        <v>163</v>
      </c>
      <c r="G939">
        <v>162.5</v>
      </c>
      <c r="H939">
        <v>142</v>
      </c>
      <c r="I939">
        <v>150</v>
      </c>
      <c r="J939">
        <v>123</v>
      </c>
      <c r="K939">
        <v>73</v>
      </c>
      <c r="L939">
        <v>109</v>
      </c>
      <c r="M939">
        <v>13</v>
      </c>
      <c r="N939">
        <v>1615</v>
      </c>
      <c r="O939">
        <v>0.89</v>
      </c>
      <c r="P939">
        <v>1444</v>
      </c>
      <c r="Q939">
        <v>149</v>
      </c>
      <c r="R939">
        <v>60</v>
      </c>
      <c r="S939">
        <v>38</v>
      </c>
      <c r="T939">
        <v>154</v>
      </c>
      <c r="U939">
        <v>4</v>
      </c>
      <c r="V939">
        <v>54</v>
      </c>
      <c r="W939">
        <v>0.11799999999999999</v>
      </c>
      <c r="X939">
        <v>69</v>
      </c>
      <c r="Y939">
        <v>61</v>
      </c>
      <c r="Z939">
        <v>85</v>
      </c>
      <c r="AA939">
        <v>12</v>
      </c>
      <c r="AB939">
        <v>9.5</v>
      </c>
      <c r="AC939" t="s">
        <v>349</v>
      </c>
      <c r="AG939" t="s">
        <v>5682</v>
      </c>
      <c r="AH939" t="s">
        <v>1204</v>
      </c>
      <c r="AI939" s="245">
        <v>400.72</v>
      </c>
      <c r="AJ939" t="s">
        <v>5683</v>
      </c>
      <c r="AK939" t="s">
        <v>5684</v>
      </c>
      <c r="AL939" t="s">
        <v>1183</v>
      </c>
      <c r="AM939" s="245">
        <v>419.99</v>
      </c>
      <c r="AN939" t="s">
        <v>5685</v>
      </c>
      <c r="AO939" t="s">
        <v>5684</v>
      </c>
      <c r="AP939" t="s">
        <v>1179</v>
      </c>
      <c r="AQ939" s="245">
        <v>479.95</v>
      </c>
      <c r="AR939" t="s">
        <v>5686</v>
      </c>
      <c r="AS939" s="226" t="str">
        <f t="shared" si="28"/>
        <v>Nova 6</v>
      </c>
      <c r="AT939" s="203" t="str">
        <f t="shared" si="29"/>
        <v xml:space="preserve"> RossignolNova 6163 Women's</v>
      </c>
    </row>
    <row r="940" spans="1:46" ht="79.2">
      <c r="A940" t="s">
        <v>155</v>
      </c>
      <c r="B940" t="s">
        <v>332</v>
      </c>
      <c r="C940" t="s">
        <v>454</v>
      </c>
      <c r="D940">
        <v>156</v>
      </c>
      <c r="E940" t="s">
        <v>158</v>
      </c>
      <c r="F940">
        <v>156</v>
      </c>
      <c r="G940">
        <v>154.4</v>
      </c>
      <c r="H940">
        <v>124</v>
      </c>
      <c r="I940">
        <v>138</v>
      </c>
      <c r="J940">
        <v>115</v>
      </c>
      <c r="K940">
        <v>81</v>
      </c>
      <c r="L940">
        <v>106</v>
      </c>
      <c r="M940">
        <v>15.9</v>
      </c>
      <c r="N940">
        <v>1426</v>
      </c>
      <c r="O940">
        <v>0.99</v>
      </c>
      <c r="P940">
        <v>1417</v>
      </c>
      <c r="Q940">
        <v>135</v>
      </c>
      <c r="R940">
        <v>69</v>
      </c>
      <c r="S940">
        <v>48</v>
      </c>
      <c r="T940">
        <v>154</v>
      </c>
      <c r="U940">
        <v>41</v>
      </c>
      <c r="V940">
        <v>148</v>
      </c>
      <c r="W940">
        <v>0.85499999999999998</v>
      </c>
      <c r="X940">
        <v>92</v>
      </c>
      <c r="Y940">
        <v>72</v>
      </c>
      <c r="Z940">
        <v>62</v>
      </c>
      <c r="AA940">
        <v>10</v>
      </c>
      <c r="AB940">
        <v>8.6999999999999993</v>
      </c>
      <c r="AC940" t="s">
        <v>188</v>
      </c>
      <c r="AD940" t="s">
        <v>184</v>
      </c>
      <c r="AG940" t="s">
        <v>2356</v>
      </c>
      <c r="AH940" t="s">
        <v>1402</v>
      </c>
      <c r="AI940" s="245">
        <v>349.99</v>
      </c>
      <c r="AJ940" t="s">
        <v>5687</v>
      </c>
      <c r="AK940" t="s">
        <v>2356</v>
      </c>
      <c r="AL940" t="s">
        <v>2516</v>
      </c>
      <c r="AM940" s="245">
        <v>356.96</v>
      </c>
      <c r="AN940" t="s">
        <v>5688</v>
      </c>
      <c r="AO940" t="s">
        <v>5158</v>
      </c>
      <c r="AP940" t="s">
        <v>1610</v>
      </c>
      <c r="AQ940" s="245">
        <v>599.99</v>
      </c>
      <c r="AR940" t="s">
        <v>5689</v>
      </c>
      <c r="AS940" s="226" t="str">
        <f t="shared" si="28"/>
        <v>Soul Rider 84</v>
      </c>
      <c r="AT940" s="203" t="str">
        <f t="shared" si="29"/>
        <v xml:space="preserve"> NordicaSoul Rider 84156 Unisex</v>
      </c>
    </row>
    <row r="941" spans="1:46" ht="52.8">
      <c r="A941" t="s">
        <v>155</v>
      </c>
      <c r="B941" t="s">
        <v>1395</v>
      </c>
      <c r="C941" t="s">
        <v>814</v>
      </c>
      <c r="D941">
        <v>170</v>
      </c>
      <c r="E941" t="s">
        <v>158</v>
      </c>
      <c r="F941">
        <v>170</v>
      </c>
      <c r="G941">
        <v>171</v>
      </c>
      <c r="H941">
        <v>121</v>
      </c>
      <c r="I941">
        <v>148</v>
      </c>
      <c r="J941">
        <v>139</v>
      </c>
      <c r="K941">
        <v>101</v>
      </c>
      <c r="L941">
        <v>122</v>
      </c>
      <c r="M941">
        <v>18.100000000000001</v>
      </c>
      <c r="N941">
        <v>2065</v>
      </c>
      <c r="O941">
        <v>0.93</v>
      </c>
      <c r="P941">
        <v>1928</v>
      </c>
      <c r="Q941">
        <v>235</v>
      </c>
      <c r="R941">
        <v>161</v>
      </c>
      <c r="S941">
        <v>46</v>
      </c>
      <c r="T941">
        <v>283</v>
      </c>
      <c r="U941">
        <v>19</v>
      </c>
      <c r="V941">
        <v>220</v>
      </c>
      <c r="W941">
        <v>0.42099999999999999</v>
      </c>
      <c r="X941">
        <v>130</v>
      </c>
      <c r="Y941">
        <v>100</v>
      </c>
      <c r="Z941">
        <v>152</v>
      </c>
      <c r="AA941">
        <v>5</v>
      </c>
      <c r="AB941">
        <v>11.3</v>
      </c>
      <c r="AC941" t="s">
        <v>188</v>
      </c>
      <c r="AD941" t="s">
        <v>169</v>
      </c>
      <c r="AG941" t="s">
        <v>5690</v>
      </c>
      <c r="AH941" t="s">
        <v>1301</v>
      </c>
      <c r="AI941" s="245">
        <v>599.99</v>
      </c>
      <c r="AJ941" t="s">
        <v>5691</v>
      </c>
      <c r="AK941" t="s">
        <v>5690</v>
      </c>
      <c r="AL941" t="s">
        <v>1179</v>
      </c>
      <c r="AM941" s="245">
        <v>599.99</v>
      </c>
      <c r="AN941" t="s">
        <v>5692</v>
      </c>
      <c r="AO941" t="s">
        <v>5690</v>
      </c>
      <c r="AP941" t="s">
        <v>1511</v>
      </c>
      <c r="AQ941" s="245">
        <v>599.99</v>
      </c>
      <c r="AR941" t="s">
        <v>5693</v>
      </c>
      <c r="AS941" s="226" t="str">
        <f t="shared" si="28"/>
        <v>Mantra 102</v>
      </c>
      <c r="AT941" s="203" t="str">
        <f t="shared" si="29"/>
        <v xml:space="preserve"> Vï¿½lklMantra 102170 Unisex</v>
      </c>
    </row>
    <row r="942" spans="1:46" ht="105.6">
      <c r="A942" t="s">
        <v>155</v>
      </c>
      <c r="B942" t="s">
        <v>167</v>
      </c>
      <c r="C942" t="s">
        <v>816</v>
      </c>
      <c r="D942">
        <v>170</v>
      </c>
      <c r="E942" t="s">
        <v>158</v>
      </c>
      <c r="F942">
        <v>170</v>
      </c>
      <c r="G942">
        <v>169.4</v>
      </c>
      <c r="H942">
        <v>148</v>
      </c>
      <c r="I942">
        <v>155</v>
      </c>
      <c r="J942">
        <v>129</v>
      </c>
      <c r="K942">
        <v>74</v>
      </c>
      <c r="L942">
        <v>110</v>
      </c>
      <c r="M942">
        <v>13.3</v>
      </c>
      <c r="N942">
        <v>1634</v>
      </c>
      <c r="O942">
        <v>0.94</v>
      </c>
      <c r="P942">
        <v>1534</v>
      </c>
      <c r="Q942">
        <v>201</v>
      </c>
      <c r="R942">
        <v>51</v>
      </c>
      <c r="S942">
        <v>38</v>
      </c>
      <c r="T942">
        <v>147</v>
      </c>
      <c r="U942">
        <v>8</v>
      </c>
      <c r="V942">
        <v>63</v>
      </c>
      <c r="W942">
        <v>0.218999999999999</v>
      </c>
      <c r="X942">
        <v>84</v>
      </c>
      <c r="Y942">
        <v>55</v>
      </c>
      <c r="Z942">
        <v>62</v>
      </c>
      <c r="AA942">
        <v>9</v>
      </c>
      <c r="AB942">
        <v>13.5</v>
      </c>
      <c r="AC942" t="s">
        <v>349</v>
      </c>
      <c r="AG942" t="s">
        <v>5519</v>
      </c>
      <c r="AH942" t="s">
        <v>1191</v>
      </c>
      <c r="AI942" s="245">
        <v>234.95</v>
      </c>
      <c r="AJ942" t="s">
        <v>5694</v>
      </c>
      <c r="AK942" t="s">
        <v>5521</v>
      </c>
      <c r="AL942" t="s">
        <v>5522</v>
      </c>
      <c r="AM942" s="245">
        <v>353</v>
      </c>
      <c r="AN942" t="s">
        <v>5695</v>
      </c>
      <c r="AO942" t="s">
        <v>5696</v>
      </c>
      <c r="AP942" t="s">
        <v>1194</v>
      </c>
      <c r="AQ942" s="245">
        <v>478.43</v>
      </c>
      <c r="AR942" t="s">
        <v>5697</v>
      </c>
      <c r="AS942" s="226" t="str">
        <f t="shared" si="28"/>
        <v>V-Shape V8</v>
      </c>
      <c r="AT942" s="203" t="str">
        <f t="shared" si="29"/>
        <v xml:space="preserve"> HeadV-Shape V8170 Unisex</v>
      </c>
    </row>
    <row r="943" spans="1:46" ht="66">
      <c r="A943" t="s">
        <v>155</v>
      </c>
      <c r="B943" t="s">
        <v>164</v>
      </c>
      <c r="C943" t="s">
        <v>518</v>
      </c>
      <c r="D943">
        <v>162</v>
      </c>
      <c r="E943" t="s">
        <v>163</v>
      </c>
      <c r="F943">
        <v>162</v>
      </c>
      <c r="G943">
        <v>162.1</v>
      </c>
      <c r="H943">
        <v>116</v>
      </c>
      <c r="I943">
        <v>129</v>
      </c>
      <c r="J943">
        <v>133</v>
      </c>
      <c r="K943">
        <v>94</v>
      </c>
      <c r="L943">
        <v>108</v>
      </c>
      <c r="M943">
        <v>14.9</v>
      </c>
      <c r="N943">
        <v>1451</v>
      </c>
      <c r="O943">
        <v>1.18</v>
      </c>
      <c r="P943">
        <v>1717</v>
      </c>
      <c r="Q943">
        <v>156</v>
      </c>
      <c r="R943">
        <v>60</v>
      </c>
      <c r="S943">
        <v>45</v>
      </c>
      <c r="T943">
        <v>279</v>
      </c>
      <c r="U943">
        <v>14</v>
      </c>
      <c r="V943">
        <v>183</v>
      </c>
      <c r="W943">
        <v>0.31</v>
      </c>
      <c r="X943">
        <v>166</v>
      </c>
      <c r="Y943">
        <v>162</v>
      </c>
      <c r="Z943">
        <v>113</v>
      </c>
      <c r="AA943">
        <v>5</v>
      </c>
      <c r="AB943">
        <v>7.2</v>
      </c>
      <c r="AC943" t="s">
        <v>188</v>
      </c>
      <c r="AD943" t="s">
        <v>185</v>
      </c>
      <c r="AG943" t="s">
        <v>5698</v>
      </c>
      <c r="AH943" t="s">
        <v>1232</v>
      </c>
      <c r="AI943" s="245">
        <v>449.95</v>
      </c>
      <c r="AJ943" t="s">
        <v>5699</v>
      </c>
      <c r="AK943" t="s">
        <v>5698</v>
      </c>
      <c r="AL943" t="s">
        <v>1181</v>
      </c>
      <c r="AM943" s="245">
        <v>449.99</v>
      </c>
      <c r="AN943" t="s">
        <v>5700</v>
      </c>
      <c r="AO943" t="s">
        <v>5698</v>
      </c>
      <c r="AP943" t="s">
        <v>3596</v>
      </c>
      <c r="AQ943" s="245">
        <v>449.99</v>
      </c>
      <c r="AR943" t="s">
        <v>5701</v>
      </c>
      <c r="AS943" s="226" t="str">
        <f t="shared" si="28"/>
        <v>Ripstick 94 W</v>
      </c>
      <c r="AT943" s="203" t="str">
        <f t="shared" si="29"/>
        <v xml:space="preserve"> ElanRipstick 94 W162 Women's</v>
      </c>
    </row>
    <row r="944" spans="1:46" ht="92.4">
      <c r="A944" t="s">
        <v>155</v>
      </c>
      <c r="B944" t="s">
        <v>205</v>
      </c>
      <c r="C944" t="s">
        <v>347</v>
      </c>
      <c r="D944">
        <v>154</v>
      </c>
      <c r="E944" t="s">
        <v>158</v>
      </c>
      <c r="F944">
        <v>154</v>
      </c>
      <c r="G944">
        <v>152.30000000000001</v>
      </c>
      <c r="H944">
        <v>118</v>
      </c>
      <c r="I944">
        <v>128</v>
      </c>
      <c r="J944">
        <v>119</v>
      </c>
      <c r="K944">
        <v>85</v>
      </c>
      <c r="L944">
        <v>109</v>
      </c>
      <c r="M944">
        <v>13.2</v>
      </c>
      <c r="N944">
        <v>1380</v>
      </c>
      <c r="O944">
        <v>1.07</v>
      </c>
      <c r="P944">
        <v>1471</v>
      </c>
      <c r="Q944">
        <v>144</v>
      </c>
      <c r="R944">
        <v>66</v>
      </c>
      <c r="S944">
        <v>48</v>
      </c>
      <c r="T944">
        <v>211</v>
      </c>
      <c r="U944">
        <v>18</v>
      </c>
      <c r="V944">
        <v>132</v>
      </c>
      <c r="W944">
        <v>0.38200000000000001</v>
      </c>
      <c r="X944">
        <v>151</v>
      </c>
      <c r="Y944">
        <v>95</v>
      </c>
      <c r="Z944">
        <v>59</v>
      </c>
      <c r="AA944">
        <v>10</v>
      </c>
      <c r="AB944">
        <v>9.1</v>
      </c>
      <c r="AC944" t="s">
        <v>231</v>
      </c>
      <c r="AD944" t="s">
        <v>188</v>
      </c>
      <c r="AE944" t="s">
        <v>185</v>
      </c>
      <c r="AG944" t="s">
        <v>5674</v>
      </c>
      <c r="AH944" t="s">
        <v>1667</v>
      </c>
      <c r="AI944" s="245">
        <v>489</v>
      </c>
      <c r="AJ944" t="s">
        <v>5702</v>
      </c>
      <c r="AK944" t="s">
        <v>5703</v>
      </c>
      <c r="AL944" t="s">
        <v>1556</v>
      </c>
      <c r="AM944" s="245">
        <v>619</v>
      </c>
      <c r="AN944" t="s">
        <v>5704</v>
      </c>
      <c r="AO944" t="s">
        <v>5705</v>
      </c>
      <c r="AP944" t="s">
        <v>2967</v>
      </c>
      <c r="AQ944" s="245">
        <v>350</v>
      </c>
      <c r="AR944" t="s">
        <v>5706</v>
      </c>
      <c r="AS944" s="226" t="str">
        <f t="shared" si="28"/>
        <v>Dictator FG 1.0</v>
      </c>
      <c r="AT944" s="203" t="str">
        <f t="shared" si="29"/>
        <v xml:space="preserve"> FactionDictator FG 1.0154 Unisex</v>
      </c>
    </row>
    <row r="945" spans="1:46" ht="66">
      <c r="A945" t="s">
        <v>155</v>
      </c>
      <c r="B945" t="s">
        <v>202</v>
      </c>
      <c r="C945" t="s">
        <v>817</v>
      </c>
      <c r="D945">
        <v>180</v>
      </c>
      <c r="E945" t="s">
        <v>158</v>
      </c>
      <c r="F945">
        <v>180</v>
      </c>
      <c r="G945">
        <v>179.3</v>
      </c>
      <c r="H945">
        <v>117</v>
      </c>
      <c r="I945">
        <v>135</v>
      </c>
      <c r="J945">
        <v>144</v>
      </c>
      <c r="K945">
        <v>117</v>
      </c>
      <c r="L945">
        <v>134</v>
      </c>
      <c r="M945">
        <v>18.399999999999999</v>
      </c>
      <c r="N945">
        <v>2269</v>
      </c>
      <c r="O945">
        <v>0.99</v>
      </c>
      <c r="P945">
        <v>2240</v>
      </c>
      <c r="Q945">
        <v>226</v>
      </c>
      <c r="R945">
        <v>101</v>
      </c>
      <c r="S945">
        <v>56</v>
      </c>
      <c r="T945">
        <v>338</v>
      </c>
      <c r="U945">
        <v>32</v>
      </c>
      <c r="V945">
        <v>287</v>
      </c>
      <c r="W945">
        <v>0.57699999999999996</v>
      </c>
      <c r="X945">
        <v>264</v>
      </c>
      <c r="Y945">
        <v>182</v>
      </c>
      <c r="Z945">
        <v>74</v>
      </c>
      <c r="AA945">
        <v>8</v>
      </c>
      <c r="AB945">
        <v>9.4</v>
      </c>
      <c r="AC945" t="s">
        <v>169</v>
      </c>
      <c r="AG945" t="s">
        <v>5707</v>
      </c>
      <c r="AH945" t="s">
        <v>1204</v>
      </c>
      <c r="AI945" s="245">
        <v>681.22</v>
      </c>
      <c r="AJ945" t="s">
        <v>5708</v>
      </c>
      <c r="AK945" t="s">
        <v>5709</v>
      </c>
      <c r="AL945" t="s">
        <v>1627</v>
      </c>
      <c r="AM945" s="245">
        <v>719</v>
      </c>
      <c r="AN945" t="s">
        <v>5710</v>
      </c>
      <c r="AO945" t="s">
        <v>5711</v>
      </c>
      <c r="AP945" t="s">
        <v>1194</v>
      </c>
      <c r="AQ945" s="245">
        <v>413.9</v>
      </c>
      <c r="AR945" t="s">
        <v>5712</v>
      </c>
      <c r="AS945" s="226" t="str">
        <f t="shared" si="28"/>
        <v>M-Free 118</v>
      </c>
      <c r="AT945" s="203" t="str">
        <f t="shared" si="29"/>
        <v xml:space="preserve"> DynastarM-Free 118180 Unisex</v>
      </c>
    </row>
    <row r="946" spans="1:46" ht="158.4">
      <c r="A946" t="s">
        <v>155</v>
      </c>
      <c r="B946" t="s">
        <v>164</v>
      </c>
      <c r="C946" t="s">
        <v>819</v>
      </c>
      <c r="D946">
        <v>158</v>
      </c>
      <c r="E946" t="s">
        <v>163</v>
      </c>
      <c r="F946">
        <v>158</v>
      </c>
      <c r="G946">
        <v>159.19999999999999</v>
      </c>
      <c r="H946">
        <v>138</v>
      </c>
      <c r="I946">
        <v>147</v>
      </c>
      <c r="J946">
        <v>122</v>
      </c>
      <c r="K946">
        <v>74</v>
      </c>
      <c r="L946">
        <v>103</v>
      </c>
      <c r="M946">
        <v>13.9</v>
      </c>
      <c r="N946">
        <v>1522</v>
      </c>
      <c r="O946">
        <v>0.92</v>
      </c>
      <c r="P946">
        <v>1401</v>
      </c>
      <c r="Q946">
        <v>187</v>
      </c>
      <c r="R946">
        <v>60</v>
      </c>
      <c r="S946">
        <v>34</v>
      </c>
      <c r="T946">
        <v>141</v>
      </c>
      <c r="U946">
        <v>6</v>
      </c>
      <c r="V946">
        <v>71</v>
      </c>
      <c r="W946">
        <v>0.186</v>
      </c>
      <c r="X946">
        <v>79</v>
      </c>
      <c r="Y946">
        <v>39</v>
      </c>
      <c r="Z946">
        <v>62</v>
      </c>
      <c r="AA946">
        <v>9</v>
      </c>
      <c r="AB946">
        <v>9.1</v>
      </c>
      <c r="AC946" t="s">
        <v>349</v>
      </c>
      <c r="AG946" t="s">
        <v>5713</v>
      </c>
      <c r="AH946" t="s">
        <v>1191</v>
      </c>
      <c r="AI946" s="245">
        <v>319.95</v>
      </c>
      <c r="AJ946" t="s">
        <v>5714</v>
      </c>
      <c r="AK946" t="s">
        <v>5715</v>
      </c>
      <c r="AL946" t="s">
        <v>5716</v>
      </c>
      <c r="AM946" s="245">
        <v>319.99</v>
      </c>
      <c r="AN946" t="s">
        <v>5717</v>
      </c>
      <c r="AO946" t="s">
        <v>5718</v>
      </c>
      <c r="AP946" t="s">
        <v>5719</v>
      </c>
      <c r="AQ946" s="245">
        <v>349.99</v>
      </c>
      <c r="AR946" t="s">
        <v>5720</v>
      </c>
      <c r="AS946" s="226" t="str">
        <f t="shared" si="28"/>
        <v>Snow Black</v>
      </c>
      <c r="AT946" s="203" t="str">
        <f t="shared" si="29"/>
        <v xml:space="preserve"> ElanSnow Black158 Women's</v>
      </c>
    </row>
    <row r="947" spans="1:46" ht="79.2">
      <c r="A947" t="s">
        <v>155</v>
      </c>
      <c r="B947" t="s">
        <v>205</v>
      </c>
      <c r="C947" t="s">
        <v>673</v>
      </c>
      <c r="D947">
        <v>150</v>
      </c>
      <c r="E947" t="s">
        <v>158</v>
      </c>
      <c r="F947">
        <v>150</v>
      </c>
      <c r="G947">
        <v>148.1</v>
      </c>
      <c r="H947">
        <v>102</v>
      </c>
      <c r="I947">
        <v>124</v>
      </c>
      <c r="J947">
        <v>116</v>
      </c>
      <c r="K947">
        <v>84</v>
      </c>
      <c r="L947">
        <v>108</v>
      </c>
      <c r="M947">
        <v>11.9</v>
      </c>
      <c r="N947">
        <v>1453</v>
      </c>
      <c r="O947">
        <v>0.97</v>
      </c>
      <c r="P947">
        <v>1415</v>
      </c>
      <c r="Q947">
        <v>123</v>
      </c>
      <c r="R947">
        <v>54</v>
      </c>
      <c r="S947">
        <v>50</v>
      </c>
      <c r="T947">
        <v>262</v>
      </c>
      <c r="U947">
        <v>37</v>
      </c>
      <c r="V947">
        <v>203</v>
      </c>
      <c r="W947">
        <v>0.74299999999999999</v>
      </c>
      <c r="X947">
        <v>131</v>
      </c>
      <c r="Y947">
        <v>112</v>
      </c>
      <c r="Z947">
        <v>130</v>
      </c>
      <c r="AA947">
        <v>5</v>
      </c>
      <c r="AB947">
        <v>5.7</v>
      </c>
      <c r="AC947" t="s">
        <v>188</v>
      </c>
      <c r="AG947" t="s">
        <v>2024</v>
      </c>
      <c r="AH947" t="s">
        <v>1185</v>
      </c>
      <c r="AI947" s="245">
        <v>314.99</v>
      </c>
      <c r="AJ947" t="s">
        <v>5721</v>
      </c>
      <c r="AK947" t="s">
        <v>5722</v>
      </c>
      <c r="AL947" t="s">
        <v>1218</v>
      </c>
      <c r="AM947" s="245">
        <v>319.95</v>
      </c>
      <c r="AN947" t="s">
        <v>5723</v>
      </c>
      <c r="AO947" t="s">
        <v>5722</v>
      </c>
      <c r="AP947" t="s">
        <v>1556</v>
      </c>
      <c r="AQ947" s="245">
        <v>329</v>
      </c>
      <c r="AR947" t="s">
        <v>5724</v>
      </c>
      <c r="AS947" s="226" t="str">
        <f t="shared" si="28"/>
        <v>Prodigy 0.0</v>
      </c>
      <c r="AT947" s="203" t="str">
        <f t="shared" si="29"/>
        <v xml:space="preserve"> FactionProdigy 0.0150 Unisex</v>
      </c>
    </row>
    <row r="948" spans="1:46" ht="132">
      <c r="A948" t="s">
        <v>155</v>
      </c>
      <c r="B948" t="s">
        <v>332</v>
      </c>
      <c r="C948" t="s">
        <v>738</v>
      </c>
      <c r="D948">
        <v>150</v>
      </c>
      <c r="E948" t="s">
        <v>163</v>
      </c>
      <c r="F948">
        <v>150</v>
      </c>
      <c r="G948">
        <v>149.19999999999999</v>
      </c>
      <c r="H948">
        <v>127</v>
      </c>
      <c r="I948">
        <v>135</v>
      </c>
      <c r="J948">
        <v>121</v>
      </c>
      <c r="K948">
        <v>72</v>
      </c>
      <c r="L948">
        <v>98</v>
      </c>
      <c r="M948">
        <v>12.1</v>
      </c>
      <c r="N948">
        <v>1601</v>
      </c>
      <c r="O948">
        <v>0.8</v>
      </c>
      <c r="P948">
        <v>1287</v>
      </c>
      <c r="Q948">
        <v>141</v>
      </c>
      <c r="R948">
        <v>57</v>
      </c>
      <c r="S948">
        <v>36</v>
      </c>
      <c r="T948">
        <v>137</v>
      </c>
      <c r="U948">
        <v>9</v>
      </c>
      <c r="V948">
        <v>87</v>
      </c>
      <c r="W948">
        <v>0.255</v>
      </c>
      <c r="X948">
        <v>65</v>
      </c>
      <c r="Y948">
        <v>82</v>
      </c>
      <c r="Z948">
        <v>72</v>
      </c>
      <c r="AA948">
        <v>7</v>
      </c>
      <c r="AB948">
        <v>9.1999999999999993</v>
      </c>
      <c r="AC948" t="s">
        <v>349</v>
      </c>
      <c r="AG948" t="s">
        <v>4744</v>
      </c>
      <c r="AH948" t="s">
        <v>1556</v>
      </c>
      <c r="AI948" s="245">
        <v>499.99</v>
      </c>
      <c r="AJ948" t="s">
        <v>5725</v>
      </c>
      <c r="AK948" t="s">
        <v>4746</v>
      </c>
      <c r="AL948" t="s">
        <v>2516</v>
      </c>
      <c r="AM948" s="245">
        <v>599.99</v>
      </c>
      <c r="AN948" t="s">
        <v>5726</v>
      </c>
      <c r="AO948" t="s">
        <v>4746</v>
      </c>
      <c r="AP948" t="s">
        <v>2255</v>
      </c>
      <c r="AQ948" s="245">
        <v>599.99</v>
      </c>
      <c r="AR948" t="s">
        <v>5727</v>
      </c>
      <c r="AS948" s="226" t="str">
        <f t="shared" si="28"/>
        <v>Belle 73</v>
      </c>
      <c r="AT948" s="203" t="str">
        <f t="shared" si="29"/>
        <v xml:space="preserve"> NordicaBelle 73150 Women's</v>
      </c>
    </row>
    <row r="949" spans="1:46" ht="145.19999999999999">
      <c r="A949" t="s">
        <v>155</v>
      </c>
      <c r="B949" t="s">
        <v>202</v>
      </c>
      <c r="C949" t="s">
        <v>798</v>
      </c>
      <c r="D949">
        <v>166</v>
      </c>
      <c r="E949" t="s">
        <v>158</v>
      </c>
      <c r="F949">
        <v>166</v>
      </c>
      <c r="G949">
        <v>165.1</v>
      </c>
      <c r="H949">
        <v>144</v>
      </c>
      <c r="I949">
        <v>150</v>
      </c>
      <c r="J949">
        <v>120</v>
      </c>
      <c r="K949">
        <v>72</v>
      </c>
      <c r="L949">
        <v>106</v>
      </c>
      <c r="M949">
        <v>13.5</v>
      </c>
      <c r="N949">
        <v>1994</v>
      </c>
      <c r="O949">
        <v>0.72</v>
      </c>
      <c r="P949">
        <v>1439</v>
      </c>
      <c r="Q949">
        <v>213</v>
      </c>
      <c r="R949">
        <v>106</v>
      </c>
      <c r="S949">
        <v>41</v>
      </c>
      <c r="T949">
        <v>153</v>
      </c>
      <c r="U949">
        <v>7</v>
      </c>
      <c r="V949">
        <v>58</v>
      </c>
      <c r="W949">
        <v>0.16399999999999901</v>
      </c>
      <c r="X949">
        <v>87</v>
      </c>
      <c r="Y949">
        <v>62</v>
      </c>
      <c r="Z949">
        <v>66</v>
      </c>
      <c r="AA949">
        <v>11</v>
      </c>
      <c r="AB949">
        <v>11.5</v>
      </c>
      <c r="AC949" t="s">
        <v>349</v>
      </c>
      <c r="AG949" t="s">
        <v>5728</v>
      </c>
      <c r="AH949" t="s">
        <v>1229</v>
      </c>
      <c r="AI949" s="245">
        <v>699.99</v>
      </c>
      <c r="AJ949" t="s">
        <v>5729</v>
      </c>
      <c r="AK949" t="s">
        <v>5728</v>
      </c>
      <c r="AL949" t="s">
        <v>1181</v>
      </c>
      <c r="AM949" s="245">
        <v>899.95</v>
      </c>
      <c r="AN949" t="s">
        <v>5730</v>
      </c>
      <c r="AO949" t="s">
        <v>5731</v>
      </c>
      <c r="AP949" t="s">
        <v>1416</v>
      </c>
      <c r="AQ949" s="245">
        <v>827</v>
      </c>
      <c r="AR949" t="s">
        <v>5732</v>
      </c>
      <c r="AS949" s="226" t="str">
        <f t="shared" si="28"/>
        <v>Speed 763</v>
      </c>
      <c r="AT949" s="203" t="str">
        <f t="shared" si="29"/>
        <v xml:space="preserve"> DynastarSpeed 763166 Unisex</v>
      </c>
    </row>
    <row r="950" spans="1:46" ht="145.19999999999999">
      <c r="A950" t="s">
        <v>155</v>
      </c>
      <c r="B950" t="s">
        <v>172</v>
      </c>
      <c r="C950" t="s">
        <v>711</v>
      </c>
      <c r="D950">
        <v>152</v>
      </c>
      <c r="E950" t="s">
        <v>158</v>
      </c>
      <c r="F950">
        <v>152</v>
      </c>
      <c r="G950">
        <v>152.30000000000001</v>
      </c>
      <c r="H950">
        <v>131</v>
      </c>
      <c r="I950">
        <v>137</v>
      </c>
      <c r="J950">
        <v>123</v>
      </c>
      <c r="K950">
        <v>76</v>
      </c>
      <c r="L950">
        <v>110</v>
      </c>
      <c r="M950">
        <v>11.2</v>
      </c>
      <c r="N950">
        <v>1525</v>
      </c>
      <c r="O950">
        <v>0.92</v>
      </c>
      <c r="P950">
        <v>1397</v>
      </c>
      <c r="Q950">
        <v>160</v>
      </c>
      <c r="R950">
        <v>59</v>
      </c>
      <c r="S950">
        <v>36</v>
      </c>
      <c r="T950">
        <v>146</v>
      </c>
      <c r="U950">
        <v>5</v>
      </c>
      <c r="V950">
        <v>67</v>
      </c>
      <c r="W950">
        <v>0.14299999999999999</v>
      </c>
      <c r="X950">
        <v>73</v>
      </c>
      <c r="Y950">
        <v>83</v>
      </c>
      <c r="Z950">
        <v>73</v>
      </c>
      <c r="AA950">
        <v>10</v>
      </c>
      <c r="AB950">
        <v>7.6</v>
      </c>
      <c r="AC950" t="s">
        <v>349</v>
      </c>
      <c r="AD950" t="s">
        <v>231</v>
      </c>
      <c r="AG950" t="s">
        <v>2887</v>
      </c>
      <c r="AH950" t="s">
        <v>1179</v>
      </c>
      <c r="AI950" s="245">
        <v>319.95</v>
      </c>
      <c r="AJ950" t="s">
        <v>5733</v>
      </c>
      <c r="AK950" t="s">
        <v>5028</v>
      </c>
      <c r="AL950" t="s">
        <v>2049</v>
      </c>
      <c r="AM950" s="245">
        <v>399.95</v>
      </c>
      <c r="AN950" t="s">
        <v>5734</v>
      </c>
      <c r="AO950" t="s">
        <v>5025</v>
      </c>
      <c r="AP950" t="s">
        <v>3990</v>
      </c>
      <c r="AQ950" s="245">
        <v>399.99</v>
      </c>
      <c r="AR950" t="s">
        <v>5735</v>
      </c>
      <c r="AS950" s="226" t="str">
        <f t="shared" si="28"/>
        <v>Experience 76</v>
      </c>
      <c r="AT950" s="203" t="str">
        <f t="shared" si="29"/>
        <v xml:space="preserve"> RossignolExperience 76152 Unisex</v>
      </c>
    </row>
    <row r="951" spans="1:46" ht="52.8">
      <c r="A951" t="s">
        <v>155</v>
      </c>
      <c r="B951" t="s">
        <v>1395</v>
      </c>
      <c r="C951" t="s">
        <v>820</v>
      </c>
      <c r="D951">
        <v>170</v>
      </c>
      <c r="E951" t="s">
        <v>158</v>
      </c>
      <c r="F951">
        <v>170</v>
      </c>
      <c r="G951">
        <v>171.3</v>
      </c>
      <c r="H951">
        <v>129</v>
      </c>
      <c r="I951">
        <v>148</v>
      </c>
      <c r="J951">
        <v>133</v>
      </c>
      <c r="K951">
        <v>95</v>
      </c>
      <c r="L951">
        <v>116</v>
      </c>
      <c r="M951">
        <v>18</v>
      </c>
      <c r="N951">
        <v>1971</v>
      </c>
      <c r="O951">
        <v>0.93</v>
      </c>
      <c r="P951">
        <v>1826</v>
      </c>
      <c r="Q951">
        <v>223</v>
      </c>
      <c r="R951">
        <v>150</v>
      </c>
      <c r="S951">
        <v>45</v>
      </c>
      <c r="T951">
        <v>245</v>
      </c>
      <c r="U951">
        <v>16</v>
      </c>
      <c r="V951">
        <v>176</v>
      </c>
      <c r="W951">
        <v>0.35099999999999998</v>
      </c>
      <c r="X951">
        <v>127</v>
      </c>
      <c r="Y951">
        <v>103</v>
      </c>
      <c r="Z951">
        <v>117</v>
      </c>
      <c r="AA951">
        <v>4</v>
      </c>
      <c r="AB951">
        <v>11.7</v>
      </c>
      <c r="AC951" t="s">
        <v>188</v>
      </c>
      <c r="AG951" t="s">
        <v>5736</v>
      </c>
      <c r="AH951" t="s">
        <v>1271</v>
      </c>
      <c r="AI951" s="245">
        <v>479.93</v>
      </c>
      <c r="AJ951" t="s">
        <v>5737</v>
      </c>
      <c r="AK951" t="s">
        <v>5736</v>
      </c>
      <c r="AL951" t="s">
        <v>2446</v>
      </c>
      <c r="AM951" s="245">
        <v>487.99</v>
      </c>
      <c r="AN951" t="s">
        <v>5738</v>
      </c>
      <c r="AO951" t="s">
        <v>5736</v>
      </c>
      <c r="AP951" t="s">
        <v>4009</v>
      </c>
      <c r="AQ951" s="245">
        <v>545.98</v>
      </c>
      <c r="AR951" t="s">
        <v>5739</v>
      </c>
      <c r="AS951" s="226" t="str">
        <f t="shared" si="28"/>
        <v>Mantra M5</v>
      </c>
      <c r="AT951" s="203" t="str">
        <f t="shared" si="29"/>
        <v xml:space="preserve"> Vï¿½lklMantra M5170 Unisex</v>
      </c>
    </row>
    <row r="952" spans="1:46" ht="132">
      <c r="A952" t="s">
        <v>155</v>
      </c>
      <c r="B952" t="s">
        <v>317</v>
      </c>
      <c r="C952" t="s">
        <v>821</v>
      </c>
      <c r="D952">
        <v>173</v>
      </c>
      <c r="E952" t="s">
        <v>158</v>
      </c>
      <c r="F952">
        <v>173</v>
      </c>
      <c r="G952">
        <v>171.1</v>
      </c>
      <c r="H952">
        <v>136</v>
      </c>
      <c r="I952">
        <v>147</v>
      </c>
      <c r="J952">
        <v>121</v>
      </c>
      <c r="K952">
        <v>81</v>
      </c>
      <c r="L952">
        <v>104</v>
      </c>
      <c r="M952">
        <v>17</v>
      </c>
      <c r="N952">
        <v>1888</v>
      </c>
      <c r="O952">
        <v>0.85</v>
      </c>
      <c r="P952">
        <v>1600</v>
      </c>
      <c r="Q952">
        <v>190</v>
      </c>
      <c r="R952">
        <v>122</v>
      </c>
      <c r="S952">
        <v>53</v>
      </c>
      <c r="T952">
        <v>251</v>
      </c>
      <c r="U952">
        <v>5</v>
      </c>
      <c r="V952">
        <v>97</v>
      </c>
      <c r="W952">
        <v>0.10299999999999999</v>
      </c>
      <c r="X952">
        <v>126</v>
      </c>
      <c r="Y952">
        <v>112</v>
      </c>
      <c r="Z952">
        <v>125</v>
      </c>
      <c r="AA952">
        <v>4</v>
      </c>
      <c r="AB952">
        <v>10.6</v>
      </c>
      <c r="AC952" t="s">
        <v>349</v>
      </c>
      <c r="AD952" t="s">
        <v>231</v>
      </c>
      <c r="AE952" t="s">
        <v>188</v>
      </c>
      <c r="AG952" t="s">
        <v>5740</v>
      </c>
      <c r="AH952" t="s">
        <v>1271</v>
      </c>
      <c r="AI952" s="245">
        <v>449.99</v>
      </c>
      <c r="AJ952" t="s">
        <v>5741</v>
      </c>
      <c r="AK952" t="s">
        <v>5742</v>
      </c>
      <c r="AL952" t="s">
        <v>3943</v>
      </c>
      <c r="AM952" s="245">
        <v>479.96</v>
      </c>
      <c r="AN952" t="s">
        <v>5743</v>
      </c>
      <c r="AO952" t="s">
        <v>5742</v>
      </c>
      <c r="AP952" t="s">
        <v>1179</v>
      </c>
      <c r="AQ952" s="245">
        <v>480</v>
      </c>
      <c r="AR952" t="s">
        <v>5744</v>
      </c>
      <c r="AS952" s="226" t="str">
        <f t="shared" si="28"/>
        <v>Brahma 82</v>
      </c>
      <c r="AT952" s="203" t="str">
        <f t="shared" si="29"/>
        <v xml:space="preserve"> BlizzardBrahma 82173 Unisex</v>
      </c>
    </row>
    <row r="953" spans="1:46" ht="105.6">
      <c r="A953" t="s">
        <v>155</v>
      </c>
      <c r="B953" t="s">
        <v>561</v>
      </c>
      <c r="C953" t="s">
        <v>631</v>
      </c>
      <c r="D953">
        <v>178</v>
      </c>
      <c r="E953" t="s">
        <v>158</v>
      </c>
      <c r="F953">
        <v>178</v>
      </c>
      <c r="G953">
        <v>176</v>
      </c>
      <c r="H953">
        <v>130</v>
      </c>
      <c r="I953">
        <v>143</v>
      </c>
      <c r="J953">
        <v>118</v>
      </c>
      <c r="K953">
        <v>97</v>
      </c>
      <c r="L953">
        <v>117</v>
      </c>
      <c r="M953">
        <v>20.9</v>
      </c>
      <c r="N953">
        <v>1901</v>
      </c>
      <c r="O953">
        <v>0.97</v>
      </c>
      <c r="P953">
        <v>1852</v>
      </c>
      <c r="Q953">
        <v>167</v>
      </c>
      <c r="R953">
        <v>58</v>
      </c>
      <c r="S953">
        <v>43</v>
      </c>
      <c r="T953">
        <v>224</v>
      </c>
      <c r="U953">
        <v>45</v>
      </c>
      <c r="V953">
        <v>237</v>
      </c>
      <c r="W953">
        <v>1.042</v>
      </c>
      <c r="X953">
        <v>188</v>
      </c>
      <c r="Y953">
        <v>140</v>
      </c>
      <c r="Z953">
        <v>36</v>
      </c>
      <c r="AA953">
        <v>8</v>
      </c>
      <c r="AB953">
        <v>4.5</v>
      </c>
      <c r="AC953" t="s">
        <v>184</v>
      </c>
      <c r="AG953" t="s">
        <v>5745</v>
      </c>
      <c r="AH953" t="s">
        <v>2997</v>
      </c>
      <c r="AI953" s="245">
        <v>199</v>
      </c>
      <c r="AJ953" t="s">
        <v>5746</v>
      </c>
      <c r="AK953" t="s">
        <v>2999</v>
      </c>
      <c r="AL953" t="s">
        <v>3000</v>
      </c>
      <c r="AM953" s="245">
        <v>2118.17</v>
      </c>
      <c r="AN953" t="s">
        <v>5747</v>
      </c>
      <c r="AO953" t="s">
        <v>5748</v>
      </c>
      <c r="AP953" t="s">
        <v>2049</v>
      </c>
      <c r="AQ953" s="245">
        <v>399.95</v>
      </c>
      <c r="AR953" t="s">
        <v>5749</v>
      </c>
      <c r="AS953" s="226" t="str">
        <f t="shared" si="28"/>
        <v>The Allplay</v>
      </c>
      <c r="AT953" s="203" t="str">
        <f t="shared" si="29"/>
        <v xml:space="preserve"> J SkisThe Allplay178 Unisex</v>
      </c>
    </row>
    <row r="954" spans="1:46" ht="145.19999999999999">
      <c r="A954" t="s">
        <v>155</v>
      </c>
      <c r="B954" t="s">
        <v>1395</v>
      </c>
      <c r="C954" t="s">
        <v>823</v>
      </c>
      <c r="D954">
        <v>170</v>
      </c>
      <c r="E954" t="s">
        <v>158</v>
      </c>
      <c r="F954">
        <v>170</v>
      </c>
      <c r="G954">
        <v>169.3</v>
      </c>
      <c r="H954">
        <v>149</v>
      </c>
      <c r="I954">
        <v>154</v>
      </c>
      <c r="J954">
        <v>122</v>
      </c>
      <c r="K954">
        <v>69</v>
      </c>
      <c r="L954">
        <v>102</v>
      </c>
      <c r="M954">
        <v>13.9</v>
      </c>
      <c r="N954">
        <v>1987</v>
      </c>
      <c r="O954">
        <v>0.73</v>
      </c>
      <c r="P954">
        <v>1441</v>
      </c>
      <c r="Q954">
        <v>244</v>
      </c>
      <c r="R954">
        <v>102</v>
      </c>
      <c r="S954">
        <v>41</v>
      </c>
      <c r="T954">
        <v>149</v>
      </c>
      <c r="U954">
        <v>6</v>
      </c>
      <c r="V954">
        <v>53</v>
      </c>
      <c r="W954">
        <v>0.14099999999999999</v>
      </c>
      <c r="X954">
        <v>71</v>
      </c>
      <c r="Y954">
        <v>79</v>
      </c>
      <c r="Z954">
        <v>78</v>
      </c>
      <c r="AA954">
        <v>6</v>
      </c>
      <c r="AB954">
        <v>11.5</v>
      </c>
      <c r="AC954" t="s">
        <v>349</v>
      </c>
      <c r="AG954" t="s">
        <v>5750</v>
      </c>
      <c r="AH954" t="s">
        <v>5751</v>
      </c>
      <c r="AI954" s="245">
        <v>818.74</v>
      </c>
      <c r="AJ954" t="s">
        <v>5752</v>
      </c>
      <c r="AK954" t="s">
        <v>5753</v>
      </c>
      <c r="AL954" t="s">
        <v>1271</v>
      </c>
      <c r="AM954" s="245">
        <v>399.99</v>
      </c>
      <c r="AN954" t="s">
        <v>5754</v>
      </c>
      <c r="AO954" t="s">
        <v>5755</v>
      </c>
      <c r="AP954" t="s">
        <v>1337</v>
      </c>
      <c r="AQ954" s="245">
        <v>162</v>
      </c>
      <c r="AR954" t="s">
        <v>5756</v>
      </c>
      <c r="AS954" s="226" t="str">
        <f t="shared" si="28"/>
        <v>Racetiger SC</v>
      </c>
      <c r="AT954" s="203" t="str">
        <f t="shared" si="29"/>
        <v xml:space="preserve"> Vï¿½lklRacetiger SC170 Unisex</v>
      </c>
    </row>
    <row r="955" spans="1:46" ht="118.8">
      <c r="A955" t="s">
        <v>155</v>
      </c>
      <c r="B955" t="s">
        <v>156</v>
      </c>
      <c r="C955" t="s">
        <v>678</v>
      </c>
      <c r="D955">
        <v>159</v>
      </c>
      <c r="E955" t="s">
        <v>158</v>
      </c>
      <c r="F955">
        <v>159</v>
      </c>
      <c r="G955">
        <v>158.69999999999999</v>
      </c>
      <c r="H955">
        <v>102</v>
      </c>
      <c r="I955">
        <v>121</v>
      </c>
      <c r="J955">
        <v>133</v>
      </c>
      <c r="K955">
        <v>107</v>
      </c>
      <c r="L955">
        <v>120</v>
      </c>
      <c r="M955">
        <v>15.4</v>
      </c>
      <c r="N955">
        <v>1350</v>
      </c>
      <c r="O955">
        <v>1.34</v>
      </c>
      <c r="P955">
        <v>1816</v>
      </c>
      <c r="Q955">
        <v>139</v>
      </c>
      <c r="R955">
        <v>74</v>
      </c>
      <c r="S955">
        <v>46</v>
      </c>
      <c r="T955">
        <v>354</v>
      </c>
      <c r="U955">
        <v>13</v>
      </c>
      <c r="V955">
        <v>213</v>
      </c>
      <c r="W955">
        <v>0.28799999999999998</v>
      </c>
      <c r="X955">
        <v>207</v>
      </c>
      <c r="Y955">
        <v>171</v>
      </c>
      <c r="Z955">
        <v>147</v>
      </c>
      <c r="AA955">
        <v>5</v>
      </c>
      <c r="AB955">
        <v>9.5</v>
      </c>
      <c r="AC955" t="s">
        <v>178</v>
      </c>
      <c r="AD955" t="s">
        <v>185</v>
      </c>
      <c r="AE955" t="s">
        <v>198</v>
      </c>
      <c r="AG955" t="s">
        <v>5757</v>
      </c>
      <c r="AH955" t="s">
        <v>1204</v>
      </c>
      <c r="AI955" s="245">
        <v>520.92999999999995</v>
      </c>
      <c r="AJ955" t="s">
        <v>5758</v>
      </c>
      <c r="AK955" t="s">
        <v>5759</v>
      </c>
      <c r="AL955" t="s">
        <v>1468</v>
      </c>
      <c r="AM955" s="245">
        <v>599</v>
      </c>
      <c r="AN955" t="s">
        <v>5760</v>
      </c>
      <c r="AO955" t="s">
        <v>5761</v>
      </c>
      <c r="AP955" t="s">
        <v>1240</v>
      </c>
      <c r="AQ955" s="245">
        <v>649.95000000000005</v>
      </c>
      <c r="AR955" t="s">
        <v>5762</v>
      </c>
      <c r="AS955" s="226" t="str">
        <f t="shared" si="28"/>
        <v>Backland 107 W</v>
      </c>
      <c r="AT955" s="203" t="str">
        <f t="shared" si="29"/>
        <v xml:space="preserve"> AtomicBackland 107 W159 Unisex</v>
      </c>
    </row>
    <row r="956" spans="1:46" ht="118.8">
      <c r="A956" t="s">
        <v>155</v>
      </c>
      <c r="B956" t="s">
        <v>167</v>
      </c>
      <c r="C956" t="s">
        <v>767</v>
      </c>
      <c r="D956">
        <v>155</v>
      </c>
      <c r="E956" t="s">
        <v>158</v>
      </c>
      <c r="F956">
        <v>155</v>
      </c>
      <c r="G956">
        <v>154.30000000000001</v>
      </c>
      <c r="H956">
        <v>135</v>
      </c>
      <c r="I956">
        <v>140</v>
      </c>
      <c r="J956">
        <v>120</v>
      </c>
      <c r="K956">
        <v>65</v>
      </c>
      <c r="L956">
        <v>105</v>
      </c>
      <c r="M956">
        <v>10.1</v>
      </c>
      <c r="N956">
        <v>1796</v>
      </c>
      <c r="O956">
        <v>0.71</v>
      </c>
      <c r="P956">
        <v>1273</v>
      </c>
      <c r="Q956">
        <v>135</v>
      </c>
      <c r="R956">
        <v>65</v>
      </c>
      <c r="S956">
        <v>44</v>
      </c>
      <c r="T956">
        <v>141</v>
      </c>
      <c r="U956">
        <v>6</v>
      </c>
      <c r="V956">
        <v>56</v>
      </c>
      <c r="W956">
        <v>0.125</v>
      </c>
      <c r="X956">
        <v>78</v>
      </c>
      <c r="Y956">
        <v>65</v>
      </c>
      <c r="Z956">
        <v>63</v>
      </c>
      <c r="AA956">
        <v>10</v>
      </c>
      <c r="AB956">
        <v>12.4</v>
      </c>
      <c r="AC956" t="s">
        <v>349</v>
      </c>
      <c r="AG956" t="s">
        <v>5058</v>
      </c>
      <c r="AH956" t="s">
        <v>1271</v>
      </c>
      <c r="AI956" s="245">
        <v>429.99</v>
      </c>
      <c r="AJ956" t="s">
        <v>5763</v>
      </c>
      <c r="AK956" t="s">
        <v>5764</v>
      </c>
      <c r="AL956" t="s">
        <v>1207</v>
      </c>
      <c r="AM956" s="245">
        <v>560</v>
      </c>
      <c r="AN956" t="s">
        <v>5765</v>
      </c>
      <c r="AO956" t="s">
        <v>5764</v>
      </c>
      <c r="AP956" t="s">
        <v>1191</v>
      </c>
      <c r="AQ956" s="245">
        <v>609.95000000000005</v>
      </c>
      <c r="AR956" t="s">
        <v>5766</v>
      </c>
      <c r="AS956" s="226" t="str">
        <f t="shared" si="28"/>
        <v>Worldcup Rebels I.SLR</v>
      </c>
      <c r="AT956" s="203" t="str">
        <f t="shared" si="29"/>
        <v xml:space="preserve"> HeadWorldcup Rebels I.SLR155 Unisex</v>
      </c>
    </row>
    <row r="957" spans="1:46" ht="171.6">
      <c r="A957" t="s">
        <v>155</v>
      </c>
      <c r="B957" t="s">
        <v>237</v>
      </c>
      <c r="C957" t="s">
        <v>391</v>
      </c>
      <c r="D957">
        <v>167.2</v>
      </c>
      <c r="E957" t="s">
        <v>158</v>
      </c>
      <c r="F957">
        <v>167.2</v>
      </c>
      <c r="G957">
        <v>166.1</v>
      </c>
      <c r="H957">
        <v>127</v>
      </c>
      <c r="I957">
        <v>146</v>
      </c>
      <c r="J957">
        <v>124</v>
      </c>
      <c r="K957">
        <v>88</v>
      </c>
      <c r="L957">
        <v>110</v>
      </c>
      <c r="M957">
        <v>17.5</v>
      </c>
      <c r="N957">
        <v>1306</v>
      </c>
      <c r="O957">
        <v>1.27</v>
      </c>
      <c r="P957">
        <v>1656</v>
      </c>
      <c r="Q957">
        <v>144</v>
      </c>
      <c r="R957">
        <v>71</v>
      </c>
      <c r="S957">
        <v>40</v>
      </c>
      <c r="T957">
        <v>245</v>
      </c>
      <c r="U957">
        <v>10</v>
      </c>
      <c r="V957">
        <v>142</v>
      </c>
      <c r="W957">
        <v>0.251</v>
      </c>
      <c r="X957">
        <v>96</v>
      </c>
      <c r="Y957">
        <v>103</v>
      </c>
      <c r="Z957">
        <v>148</v>
      </c>
      <c r="AA957">
        <v>7</v>
      </c>
      <c r="AB957">
        <v>10.3</v>
      </c>
      <c r="AC957" t="s">
        <v>188</v>
      </c>
      <c r="AD957" t="s">
        <v>185</v>
      </c>
      <c r="AE957" t="s">
        <v>198</v>
      </c>
      <c r="AG957" t="s">
        <v>5767</v>
      </c>
      <c r="AH957" t="s">
        <v>1271</v>
      </c>
      <c r="AI957" s="245">
        <v>583.96</v>
      </c>
      <c r="AJ957" t="s">
        <v>5768</v>
      </c>
      <c r="AK957" t="s">
        <v>5769</v>
      </c>
      <c r="AL957" t="s">
        <v>1265</v>
      </c>
      <c r="AM957" s="245">
        <v>615.51</v>
      </c>
      <c r="AN957" t="s">
        <v>5770</v>
      </c>
      <c r="AO957" t="s">
        <v>2334</v>
      </c>
      <c r="AP957" t="s">
        <v>1181</v>
      </c>
      <c r="AQ957" s="245">
        <v>1058.96</v>
      </c>
      <c r="AR957" t="s">
        <v>5771</v>
      </c>
      <c r="AS957" s="226" t="str">
        <f t="shared" si="28"/>
        <v>Orb Freebird</v>
      </c>
      <c r="AT957" s="203" t="str">
        <f t="shared" si="29"/>
        <v xml:space="preserve"> Black CrowsOrb Freebird167.2 Unisex</v>
      </c>
    </row>
    <row r="958" spans="1:46" ht="92.4">
      <c r="A958" t="s">
        <v>155</v>
      </c>
      <c r="B958" t="s">
        <v>245</v>
      </c>
      <c r="C958" t="s">
        <v>763</v>
      </c>
      <c r="D958">
        <v>166</v>
      </c>
      <c r="E958" t="s">
        <v>158</v>
      </c>
      <c r="F958">
        <v>166</v>
      </c>
      <c r="G958">
        <v>167.4</v>
      </c>
      <c r="H958">
        <v>132</v>
      </c>
      <c r="I958">
        <v>151</v>
      </c>
      <c r="J958">
        <v>123</v>
      </c>
      <c r="K958">
        <v>78</v>
      </c>
      <c r="L958">
        <v>109</v>
      </c>
      <c r="M958">
        <v>13.7</v>
      </c>
      <c r="N958">
        <v>1950</v>
      </c>
      <c r="O958">
        <v>0.8</v>
      </c>
      <c r="P958">
        <v>1556</v>
      </c>
      <c r="Q958">
        <v>211</v>
      </c>
      <c r="R958">
        <v>69</v>
      </c>
      <c r="S958">
        <v>50</v>
      </c>
      <c r="T958">
        <v>243</v>
      </c>
      <c r="U958">
        <v>20</v>
      </c>
      <c r="V958">
        <v>109</v>
      </c>
      <c r="W958">
        <v>0.40799999999999997</v>
      </c>
      <c r="X958">
        <v>68</v>
      </c>
      <c r="Y958">
        <v>96</v>
      </c>
      <c r="Z958">
        <v>175</v>
      </c>
      <c r="AA958">
        <v>9</v>
      </c>
      <c r="AB958">
        <v>7</v>
      </c>
      <c r="AC958" t="s">
        <v>160</v>
      </c>
      <c r="AG958" t="s">
        <v>5137</v>
      </c>
      <c r="AH958" t="s">
        <v>1282</v>
      </c>
      <c r="AI958" s="245">
        <v>469.94</v>
      </c>
      <c r="AJ958" t="s">
        <v>5772</v>
      </c>
      <c r="AK958" t="s">
        <v>5139</v>
      </c>
      <c r="AL958" t="s">
        <v>2255</v>
      </c>
      <c r="AM958" s="245">
        <v>639.99</v>
      </c>
      <c r="AN958" t="s">
        <v>5773</v>
      </c>
      <c r="AO958" t="s">
        <v>5139</v>
      </c>
      <c r="AP958" t="s">
        <v>1248</v>
      </c>
      <c r="AQ958" s="245">
        <v>664.99</v>
      </c>
      <c r="AR958" t="s">
        <v>5774</v>
      </c>
      <c r="AS958" s="226" t="str">
        <f t="shared" si="28"/>
        <v>RC One 78 GT</v>
      </c>
      <c r="AT958" s="203" t="str">
        <f t="shared" si="29"/>
        <v xml:space="preserve"> FischerRC One 78 GT166 Unisex</v>
      </c>
    </row>
    <row r="959" spans="1:46" ht="66">
      <c r="A959" t="s">
        <v>155</v>
      </c>
      <c r="B959" t="s">
        <v>208</v>
      </c>
      <c r="C959" t="s">
        <v>698</v>
      </c>
      <c r="D959">
        <v>165</v>
      </c>
      <c r="E959" t="s">
        <v>163</v>
      </c>
      <c r="F959">
        <v>165</v>
      </c>
      <c r="G959">
        <v>165</v>
      </c>
      <c r="H959">
        <v>122</v>
      </c>
      <c r="I959">
        <v>138</v>
      </c>
      <c r="J959">
        <v>130</v>
      </c>
      <c r="K959">
        <v>93</v>
      </c>
      <c r="L959">
        <v>116</v>
      </c>
      <c r="M959">
        <v>14.8</v>
      </c>
      <c r="N959">
        <v>1441</v>
      </c>
      <c r="O959">
        <v>1.2</v>
      </c>
      <c r="P959">
        <v>1736</v>
      </c>
      <c r="Q959">
        <v>129</v>
      </c>
      <c r="R959">
        <v>65</v>
      </c>
      <c r="S959">
        <v>47</v>
      </c>
      <c r="T959">
        <v>306</v>
      </c>
      <c r="U959">
        <v>15</v>
      </c>
      <c r="V959">
        <v>128</v>
      </c>
      <c r="W959">
        <v>0.318</v>
      </c>
      <c r="X959">
        <v>146</v>
      </c>
      <c r="Y959">
        <v>125</v>
      </c>
      <c r="Z959">
        <v>160</v>
      </c>
      <c r="AA959">
        <v>6</v>
      </c>
      <c r="AB959">
        <v>9.1</v>
      </c>
      <c r="AC959" t="s">
        <v>188</v>
      </c>
      <c r="AD959" t="s">
        <v>185</v>
      </c>
      <c r="AG959" t="s">
        <v>5775</v>
      </c>
      <c r="AH959" t="s">
        <v>1240</v>
      </c>
      <c r="AI959" s="245">
        <v>469.95</v>
      </c>
      <c r="AJ959" t="s">
        <v>5776</v>
      </c>
      <c r="AK959" t="s">
        <v>5777</v>
      </c>
      <c r="AL959" t="s">
        <v>1224</v>
      </c>
      <c r="AM959" s="245">
        <v>499.95</v>
      </c>
      <c r="AN959" t="s">
        <v>5778</v>
      </c>
      <c r="AO959" t="s">
        <v>5777</v>
      </c>
      <c r="AP959" t="s">
        <v>1271</v>
      </c>
      <c r="AQ959" s="245">
        <v>499.95</v>
      </c>
      <c r="AR959" t="s">
        <v>5779</v>
      </c>
      <c r="AS959" s="226" t="str">
        <f t="shared" si="28"/>
        <v>Pandora 94</v>
      </c>
      <c r="AT959" s="203" t="str">
        <f t="shared" si="29"/>
        <v xml:space="preserve"> LinePandora 94165 Women's</v>
      </c>
    </row>
    <row r="960" spans="1:46" ht="132">
      <c r="A960" t="s">
        <v>155</v>
      </c>
      <c r="B960" t="s">
        <v>182</v>
      </c>
      <c r="C960" t="s">
        <v>743</v>
      </c>
      <c r="D960">
        <v>164</v>
      </c>
      <c r="E960" t="s">
        <v>158</v>
      </c>
      <c r="F960">
        <v>164</v>
      </c>
      <c r="G960">
        <v>162.69999999999999</v>
      </c>
      <c r="H960">
        <v>111</v>
      </c>
      <c r="I960">
        <v>133</v>
      </c>
      <c r="J960">
        <v>121</v>
      </c>
      <c r="K960">
        <v>93</v>
      </c>
      <c r="L960">
        <v>116</v>
      </c>
      <c r="M960">
        <v>14.9</v>
      </c>
      <c r="N960">
        <v>1792</v>
      </c>
      <c r="O960">
        <v>0.94</v>
      </c>
      <c r="P960">
        <v>1693</v>
      </c>
      <c r="Q960">
        <v>152</v>
      </c>
      <c r="R960">
        <v>59</v>
      </c>
      <c r="S960">
        <v>43</v>
      </c>
      <c r="T960">
        <v>262</v>
      </c>
      <c r="U960">
        <v>39</v>
      </c>
      <c r="V960">
        <v>250</v>
      </c>
      <c r="W960">
        <v>0.89500000000000002</v>
      </c>
      <c r="X960">
        <v>165</v>
      </c>
      <c r="Y960">
        <v>131</v>
      </c>
      <c r="Z960">
        <v>98</v>
      </c>
      <c r="AA960">
        <v>7</v>
      </c>
      <c r="AB960">
        <v>0.2</v>
      </c>
      <c r="AC960" t="s">
        <v>184</v>
      </c>
      <c r="AG960" t="s">
        <v>5780</v>
      </c>
      <c r="AH960" t="s">
        <v>1262</v>
      </c>
      <c r="AI960" s="245">
        <v>405.53</v>
      </c>
      <c r="AJ960" t="s">
        <v>5781</v>
      </c>
      <c r="AK960" t="s">
        <v>5347</v>
      </c>
      <c r="AL960" t="s">
        <v>1402</v>
      </c>
      <c r="AM960" s="245">
        <v>549.95000000000005</v>
      </c>
      <c r="AN960" t="s">
        <v>5782</v>
      </c>
      <c r="AO960" t="s">
        <v>5347</v>
      </c>
      <c r="AP960" t="s">
        <v>1556</v>
      </c>
      <c r="AQ960" s="245">
        <v>549.95000000000005</v>
      </c>
      <c r="AR960" t="s">
        <v>5783</v>
      </c>
      <c r="AS960" s="226" t="str">
        <f t="shared" si="28"/>
        <v>Bdog</v>
      </c>
      <c r="AT960" s="203" t="str">
        <f t="shared" si="29"/>
        <v xml:space="preserve"> ArmadaBdog164 Unisex</v>
      </c>
    </row>
    <row r="961" spans="1:46" ht="66">
      <c r="A961" t="s">
        <v>155</v>
      </c>
      <c r="B961" t="s">
        <v>208</v>
      </c>
      <c r="C961" t="s">
        <v>824</v>
      </c>
      <c r="D961">
        <v>158</v>
      </c>
      <c r="E961" t="s">
        <v>163</v>
      </c>
      <c r="F961">
        <v>158</v>
      </c>
      <c r="G961">
        <v>157.6</v>
      </c>
      <c r="H961">
        <v>128</v>
      </c>
      <c r="I961">
        <v>135</v>
      </c>
      <c r="J961">
        <v>121</v>
      </c>
      <c r="K961">
        <v>83</v>
      </c>
      <c r="L961">
        <v>109</v>
      </c>
      <c r="M961">
        <v>13.4</v>
      </c>
      <c r="N961">
        <v>1343</v>
      </c>
      <c r="O961">
        <v>1.1200000000000001</v>
      </c>
      <c r="P961">
        <v>1509</v>
      </c>
      <c r="Q961">
        <v>116</v>
      </c>
      <c r="R961">
        <v>69</v>
      </c>
      <c r="S961">
        <v>44</v>
      </c>
      <c r="T961">
        <v>187</v>
      </c>
      <c r="U961">
        <v>16</v>
      </c>
      <c r="V961">
        <v>112</v>
      </c>
      <c r="W961">
        <v>0.35799999999999998</v>
      </c>
      <c r="X961">
        <v>132</v>
      </c>
      <c r="Y961">
        <v>96</v>
      </c>
      <c r="Z961">
        <v>55</v>
      </c>
      <c r="AA961">
        <v>6</v>
      </c>
      <c r="AB961">
        <v>9.3000000000000007</v>
      </c>
      <c r="AC961" t="s">
        <v>231</v>
      </c>
      <c r="AD961" t="s">
        <v>188</v>
      </c>
      <c r="AE961" t="s">
        <v>185</v>
      </c>
      <c r="AG961" t="s">
        <v>5784</v>
      </c>
      <c r="AH961" t="s">
        <v>1179</v>
      </c>
      <c r="AI961" s="245">
        <v>319.95</v>
      </c>
      <c r="AJ961" t="s">
        <v>5785</v>
      </c>
      <c r="AK961" t="s">
        <v>5784</v>
      </c>
      <c r="AL961" t="s">
        <v>1976</v>
      </c>
      <c r="AM961" s="245">
        <v>319.95</v>
      </c>
      <c r="AN961" t="s">
        <v>5786</v>
      </c>
      <c r="AO961" t="s">
        <v>5787</v>
      </c>
      <c r="AP961" t="s">
        <v>1240</v>
      </c>
      <c r="AQ961" s="245">
        <v>399.95</v>
      </c>
      <c r="AR961" t="s">
        <v>5788</v>
      </c>
      <c r="AS961" s="226" t="str">
        <f t="shared" si="28"/>
        <v>Pandora 84</v>
      </c>
      <c r="AT961" s="203" t="str">
        <f t="shared" si="29"/>
        <v xml:space="preserve"> LinePandora 84158 Women's</v>
      </c>
    </row>
    <row r="962" spans="1:46" ht="52.8">
      <c r="A962" t="s">
        <v>155</v>
      </c>
      <c r="B962" t="s">
        <v>156</v>
      </c>
      <c r="C962" t="s">
        <v>257</v>
      </c>
      <c r="D962">
        <v>188</v>
      </c>
      <c r="E962" t="s">
        <v>158</v>
      </c>
      <c r="F962">
        <v>188</v>
      </c>
      <c r="G962">
        <v>187.2</v>
      </c>
      <c r="H962">
        <v>144</v>
      </c>
      <c r="I962">
        <v>155</v>
      </c>
      <c r="J962">
        <v>130</v>
      </c>
      <c r="K962">
        <v>99</v>
      </c>
      <c r="L962">
        <v>120</v>
      </c>
      <c r="M962">
        <v>21</v>
      </c>
      <c r="N962">
        <v>1877</v>
      </c>
      <c r="O962">
        <v>1.07</v>
      </c>
      <c r="P962">
        <v>2007</v>
      </c>
      <c r="Q962">
        <v>234</v>
      </c>
      <c r="R962">
        <v>135</v>
      </c>
      <c r="S962">
        <v>41</v>
      </c>
      <c r="T962">
        <v>270</v>
      </c>
      <c r="U962">
        <v>27</v>
      </c>
      <c r="V962">
        <v>165</v>
      </c>
      <c r="W962">
        <v>0.66500000000000004</v>
      </c>
      <c r="X962">
        <v>176</v>
      </c>
      <c r="Y962">
        <v>149</v>
      </c>
      <c r="Z962">
        <v>94</v>
      </c>
      <c r="AA962">
        <v>11</v>
      </c>
      <c r="AB962">
        <v>8.1</v>
      </c>
      <c r="AC962" t="s">
        <v>188</v>
      </c>
      <c r="AD962" t="s">
        <v>185</v>
      </c>
      <c r="AG962" t="s">
        <v>1496</v>
      </c>
      <c r="AH962" t="s">
        <v>1294</v>
      </c>
      <c r="AI962" s="245">
        <v>479.93</v>
      </c>
      <c r="AJ962" t="s">
        <v>5789</v>
      </c>
      <c r="AK962" t="s">
        <v>1496</v>
      </c>
      <c r="AL962" t="s">
        <v>1181</v>
      </c>
      <c r="AM962" s="245">
        <v>479.99</v>
      </c>
      <c r="AN962" t="s">
        <v>5790</v>
      </c>
      <c r="AO962" t="s">
        <v>1496</v>
      </c>
      <c r="AP962" t="s">
        <v>1224</v>
      </c>
      <c r="AQ962" s="245">
        <v>479.99</v>
      </c>
      <c r="AR962" t="s">
        <v>5791</v>
      </c>
      <c r="AS962" s="226" t="str">
        <f t="shared" ref="AS962:AS1025" si="30">IF(LEFT(C962,1)=" ",RIGHT(C962,LEN(C962)-1),C962)</f>
        <v>Bent Chetler 100</v>
      </c>
      <c r="AT962" s="203" t="str">
        <f t="shared" ref="AT962:AT1025" si="31">_xlfn.CONCAT(B962,AS962,D962,E962)</f>
        <v xml:space="preserve"> AtomicBent Chetler 100188 Unisex</v>
      </c>
    </row>
    <row r="963" spans="1:46" ht="92.4">
      <c r="A963" t="s">
        <v>155</v>
      </c>
      <c r="B963" t="s">
        <v>167</v>
      </c>
      <c r="C963" t="s">
        <v>702</v>
      </c>
      <c r="D963">
        <v>156</v>
      </c>
      <c r="E963" t="s">
        <v>158</v>
      </c>
      <c r="F963">
        <v>156</v>
      </c>
      <c r="G963">
        <v>155.1</v>
      </c>
      <c r="H963">
        <v>127</v>
      </c>
      <c r="I963">
        <v>131</v>
      </c>
      <c r="J963">
        <v>122</v>
      </c>
      <c r="K963">
        <v>77</v>
      </c>
      <c r="L963">
        <v>102</v>
      </c>
      <c r="M963">
        <v>10.9</v>
      </c>
      <c r="N963">
        <v>1671</v>
      </c>
      <c r="O963">
        <v>0.86</v>
      </c>
      <c r="P963">
        <v>1429</v>
      </c>
      <c r="Q963">
        <v>124</v>
      </c>
      <c r="R963">
        <v>65</v>
      </c>
      <c r="S963">
        <v>41</v>
      </c>
      <c r="T963">
        <v>200</v>
      </c>
      <c r="U963">
        <v>7</v>
      </c>
      <c r="V963">
        <v>84</v>
      </c>
      <c r="W963">
        <v>0.17100000000000001</v>
      </c>
      <c r="X963">
        <v>126</v>
      </c>
      <c r="Y963">
        <v>114</v>
      </c>
      <c r="Z963">
        <v>73</v>
      </c>
      <c r="AA963">
        <v>12</v>
      </c>
      <c r="AB963">
        <v>9.3000000000000007</v>
      </c>
      <c r="AC963" t="s">
        <v>349</v>
      </c>
      <c r="AD963" t="s">
        <v>231</v>
      </c>
      <c r="AG963" t="s">
        <v>5792</v>
      </c>
      <c r="AH963" t="s">
        <v>1204</v>
      </c>
      <c r="AI963" s="245">
        <v>416.75</v>
      </c>
      <c r="AJ963" t="s">
        <v>5793</v>
      </c>
      <c r="AK963" t="s">
        <v>5794</v>
      </c>
      <c r="AL963" t="s">
        <v>2255</v>
      </c>
      <c r="AM963" s="245">
        <v>549</v>
      </c>
      <c r="AN963" t="s">
        <v>5795</v>
      </c>
      <c r="AO963" t="s">
        <v>5794</v>
      </c>
      <c r="AP963" t="s">
        <v>2378</v>
      </c>
      <c r="AQ963" s="245">
        <v>549</v>
      </c>
      <c r="AR963" t="s">
        <v>5796</v>
      </c>
      <c r="AS963" s="226" t="str">
        <f t="shared" si="30"/>
        <v>Kore 80 X</v>
      </c>
      <c r="AT963" s="203" t="str">
        <f t="shared" si="31"/>
        <v xml:space="preserve"> HeadKore 80 X156 Unisex</v>
      </c>
    </row>
    <row r="964" spans="1:46" ht="171.6">
      <c r="A964" t="s">
        <v>155</v>
      </c>
      <c r="B964" t="s">
        <v>237</v>
      </c>
      <c r="C964" t="s">
        <v>443</v>
      </c>
      <c r="D964">
        <v>188.2</v>
      </c>
      <c r="E964" t="s">
        <v>158</v>
      </c>
      <c r="F964">
        <v>188.2</v>
      </c>
      <c r="G964">
        <v>187.1</v>
      </c>
      <c r="H964">
        <v>153</v>
      </c>
      <c r="I964">
        <v>151</v>
      </c>
      <c r="J964">
        <v>142</v>
      </c>
      <c r="K964">
        <v>105</v>
      </c>
      <c r="L964">
        <v>119</v>
      </c>
      <c r="M964">
        <v>21.2</v>
      </c>
      <c r="N964">
        <v>1929</v>
      </c>
      <c r="O964">
        <v>1.1299999999999999</v>
      </c>
      <c r="P964">
        <v>2173</v>
      </c>
      <c r="Q964">
        <v>228</v>
      </c>
      <c r="R964">
        <v>126</v>
      </c>
      <c r="S964">
        <v>44</v>
      </c>
      <c r="T964">
        <v>279</v>
      </c>
      <c r="U964">
        <v>2</v>
      </c>
      <c r="V964">
        <v>66</v>
      </c>
      <c r="W964">
        <v>5.5E-2</v>
      </c>
      <c r="X964">
        <v>205</v>
      </c>
      <c r="Y964">
        <v>156</v>
      </c>
      <c r="Z964">
        <v>74</v>
      </c>
      <c r="AA964">
        <v>9</v>
      </c>
      <c r="AB964">
        <v>10.6</v>
      </c>
      <c r="AC964" t="s">
        <v>178</v>
      </c>
      <c r="AD964" t="s">
        <v>185</v>
      </c>
      <c r="AG964" t="s">
        <v>5797</v>
      </c>
      <c r="AH964" t="s">
        <v>1181</v>
      </c>
      <c r="AI964" s="245">
        <v>1114.96</v>
      </c>
      <c r="AJ964" t="s">
        <v>5798</v>
      </c>
      <c r="AK964" t="s">
        <v>5799</v>
      </c>
      <c r="AL964" t="s">
        <v>1468</v>
      </c>
      <c r="AM964" s="245">
        <v>719.95</v>
      </c>
      <c r="AN964" t="s">
        <v>5800</v>
      </c>
      <c r="AO964" t="s">
        <v>5801</v>
      </c>
      <c r="AP964" t="s">
        <v>1271</v>
      </c>
      <c r="AQ964" s="245">
        <v>720.93</v>
      </c>
      <c r="AR964" t="s">
        <v>5802</v>
      </c>
      <c r="AS964" s="226" t="str">
        <f t="shared" si="30"/>
        <v>Corvus Freebird</v>
      </c>
      <c r="AT964" s="203" t="str">
        <f t="shared" si="31"/>
        <v xml:space="preserve"> Black CrowsCorvus Freebird188.2 Unisex</v>
      </c>
    </row>
    <row r="965" spans="1:46" ht="158.4">
      <c r="A965" t="s">
        <v>155</v>
      </c>
      <c r="B965" t="s">
        <v>164</v>
      </c>
      <c r="C965" t="s">
        <v>826</v>
      </c>
      <c r="D965">
        <v>170</v>
      </c>
      <c r="E965" t="s">
        <v>163</v>
      </c>
      <c r="F965">
        <v>170</v>
      </c>
      <c r="G965">
        <v>170.5</v>
      </c>
      <c r="H965">
        <v>128</v>
      </c>
      <c r="I965">
        <v>138</v>
      </c>
      <c r="J965">
        <v>129</v>
      </c>
      <c r="K965">
        <v>88</v>
      </c>
      <c r="L965">
        <v>105</v>
      </c>
      <c r="M965">
        <v>15.4</v>
      </c>
      <c r="N965">
        <v>1501</v>
      </c>
      <c r="O965">
        <v>1.1399999999999999</v>
      </c>
      <c r="P965">
        <v>1718</v>
      </c>
      <c r="Q965">
        <v>157</v>
      </c>
      <c r="R965">
        <v>60</v>
      </c>
      <c r="S965">
        <v>49</v>
      </c>
      <c r="T965">
        <v>231</v>
      </c>
      <c r="U965">
        <v>16</v>
      </c>
      <c r="V965">
        <v>198</v>
      </c>
      <c r="W965">
        <v>0.33799999999999902</v>
      </c>
      <c r="X965">
        <v>157</v>
      </c>
      <c r="Y965">
        <v>168</v>
      </c>
      <c r="Z965">
        <v>74</v>
      </c>
      <c r="AA965">
        <v>4</v>
      </c>
      <c r="AB965">
        <v>8.6999999999999993</v>
      </c>
      <c r="AC965" t="s">
        <v>188</v>
      </c>
      <c r="AD965" t="s">
        <v>185</v>
      </c>
      <c r="AG965" t="s">
        <v>5803</v>
      </c>
      <c r="AH965" t="s">
        <v>1181</v>
      </c>
      <c r="AI965" s="245">
        <v>1394.95</v>
      </c>
      <c r="AJ965" t="s">
        <v>5804</v>
      </c>
      <c r="AK965" t="s">
        <v>5805</v>
      </c>
      <c r="AL965" t="s">
        <v>1337</v>
      </c>
      <c r="AM965" s="245">
        <v>472</v>
      </c>
      <c r="AN965" t="s">
        <v>5806</v>
      </c>
      <c r="AO965" t="s">
        <v>1862</v>
      </c>
      <c r="AP965" t="s">
        <v>1265</v>
      </c>
      <c r="AQ965" s="245">
        <v>601.08000000000004</v>
      </c>
      <c r="AR965" t="s">
        <v>5807</v>
      </c>
      <c r="AS965" s="226" t="str">
        <f t="shared" si="30"/>
        <v>Ripstick 88 W</v>
      </c>
      <c r="AT965" s="203" t="str">
        <f t="shared" si="31"/>
        <v xml:space="preserve"> ElanRipstick 88 W170 Women's</v>
      </c>
    </row>
    <row r="966" spans="1:46" ht="66">
      <c r="A966" t="s">
        <v>155</v>
      </c>
      <c r="B966" t="s">
        <v>208</v>
      </c>
      <c r="C966" t="s">
        <v>824</v>
      </c>
      <c r="D966">
        <v>165</v>
      </c>
      <c r="E966" t="s">
        <v>163</v>
      </c>
      <c r="F966">
        <v>165</v>
      </c>
      <c r="G966">
        <v>164.6</v>
      </c>
      <c r="H966">
        <v>130</v>
      </c>
      <c r="I966">
        <v>139</v>
      </c>
      <c r="J966">
        <v>121</v>
      </c>
      <c r="K966">
        <v>83</v>
      </c>
      <c r="L966">
        <v>109</v>
      </c>
      <c r="M966">
        <v>14.8</v>
      </c>
      <c r="N966">
        <v>1404</v>
      </c>
      <c r="O966">
        <v>1.1200000000000001</v>
      </c>
      <c r="P966">
        <v>1574</v>
      </c>
      <c r="Q966">
        <v>143</v>
      </c>
      <c r="R966">
        <v>65</v>
      </c>
      <c r="S966">
        <v>45</v>
      </c>
      <c r="T966">
        <v>210</v>
      </c>
      <c r="U966">
        <v>19</v>
      </c>
      <c r="V966">
        <v>140</v>
      </c>
      <c r="W966">
        <v>0.42299999999999999</v>
      </c>
      <c r="X966">
        <v>146</v>
      </c>
      <c r="Y966">
        <v>108</v>
      </c>
      <c r="Z966">
        <v>64</v>
      </c>
      <c r="AA966">
        <v>7</v>
      </c>
      <c r="AB966">
        <v>9.1</v>
      </c>
      <c r="AC966" t="s">
        <v>231</v>
      </c>
      <c r="AD966" t="s">
        <v>188</v>
      </c>
      <c r="AE966" t="s">
        <v>185</v>
      </c>
      <c r="AG966" t="s">
        <v>5784</v>
      </c>
      <c r="AH966" t="s">
        <v>1179</v>
      </c>
      <c r="AI966" s="245">
        <v>319.95</v>
      </c>
      <c r="AJ966" t="s">
        <v>5808</v>
      </c>
      <c r="AK966" t="s">
        <v>5784</v>
      </c>
      <c r="AL966" t="s">
        <v>1421</v>
      </c>
      <c r="AM966" s="245">
        <v>319.95999999999998</v>
      </c>
      <c r="AN966" t="s">
        <v>5809</v>
      </c>
      <c r="AO966" t="s">
        <v>5784</v>
      </c>
      <c r="AP966" t="s">
        <v>1400</v>
      </c>
      <c r="AQ966" s="245">
        <v>399.95</v>
      </c>
      <c r="AR966" t="s">
        <v>5810</v>
      </c>
      <c r="AS966" s="226" t="str">
        <f t="shared" si="30"/>
        <v>Pandora 84</v>
      </c>
      <c r="AT966" s="203" t="str">
        <f t="shared" si="31"/>
        <v xml:space="preserve"> LinePandora 84165 Women's</v>
      </c>
    </row>
    <row r="967" spans="1:46" ht="92.4">
      <c r="A967" t="s">
        <v>155</v>
      </c>
      <c r="B967" t="s">
        <v>1395</v>
      </c>
      <c r="C967" t="s">
        <v>230</v>
      </c>
      <c r="D967">
        <v>161</v>
      </c>
      <c r="E967" t="s">
        <v>158</v>
      </c>
      <c r="F967">
        <v>161</v>
      </c>
      <c r="G967">
        <v>161.19999999999999</v>
      </c>
      <c r="H967">
        <v>115</v>
      </c>
      <c r="I967">
        <v>137</v>
      </c>
      <c r="J967">
        <v>124</v>
      </c>
      <c r="K967">
        <v>83</v>
      </c>
      <c r="L967">
        <v>106</v>
      </c>
      <c r="M967">
        <v>14.2</v>
      </c>
      <c r="N967">
        <v>1402</v>
      </c>
      <c r="O967">
        <v>1.1100000000000001</v>
      </c>
      <c r="P967">
        <v>1549</v>
      </c>
      <c r="Q967">
        <v>176</v>
      </c>
      <c r="R967">
        <v>70</v>
      </c>
      <c r="S967">
        <v>38</v>
      </c>
      <c r="T967">
        <v>279</v>
      </c>
      <c r="U967">
        <v>13</v>
      </c>
      <c r="V967">
        <v>185</v>
      </c>
      <c r="W967">
        <v>0.34899999999999998</v>
      </c>
      <c r="X967">
        <v>132</v>
      </c>
      <c r="Y967">
        <v>108</v>
      </c>
      <c r="Z967">
        <v>147</v>
      </c>
      <c r="AA967">
        <v>3</v>
      </c>
      <c r="AB967">
        <v>11.8</v>
      </c>
      <c r="AC967" t="s">
        <v>231</v>
      </c>
      <c r="AD967" t="s">
        <v>188</v>
      </c>
      <c r="AE967" t="s">
        <v>185</v>
      </c>
      <c r="AG967" t="s">
        <v>5811</v>
      </c>
      <c r="AH967" t="s">
        <v>1402</v>
      </c>
      <c r="AI967" s="245">
        <v>599.99</v>
      </c>
      <c r="AJ967" t="s">
        <v>5812</v>
      </c>
      <c r="AK967" t="s">
        <v>5813</v>
      </c>
      <c r="AL967" t="s">
        <v>1397</v>
      </c>
      <c r="AM967" s="245">
        <v>599.99</v>
      </c>
      <c r="AN967" t="s">
        <v>5814</v>
      </c>
      <c r="AO967" t="s">
        <v>5815</v>
      </c>
      <c r="AP967" t="s">
        <v>1807</v>
      </c>
      <c r="AQ967" s="245">
        <v>349.99</v>
      </c>
      <c r="AR967" t="s">
        <v>5816</v>
      </c>
      <c r="AS967" s="226" t="str">
        <f t="shared" si="30"/>
        <v>Kanjo 84</v>
      </c>
      <c r="AT967" s="203" t="str">
        <f t="shared" si="31"/>
        <v xml:space="preserve"> Vï¿½lklKanjo 84161 Unisex</v>
      </c>
    </row>
    <row r="968" spans="1:46" ht="105.6">
      <c r="A968" t="s">
        <v>155</v>
      </c>
      <c r="B968" t="s">
        <v>156</v>
      </c>
      <c r="C968" t="s">
        <v>762</v>
      </c>
      <c r="D968">
        <v>165</v>
      </c>
      <c r="E968" t="s">
        <v>158</v>
      </c>
      <c r="F968">
        <v>165</v>
      </c>
      <c r="G968">
        <v>164.7</v>
      </c>
      <c r="H968">
        <v>145</v>
      </c>
      <c r="I968">
        <v>151</v>
      </c>
      <c r="J968">
        <v>116</v>
      </c>
      <c r="K968">
        <v>67</v>
      </c>
      <c r="L968">
        <v>102</v>
      </c>
      <c r="M968">
        <v>13.1</v>
      </c>
      <c r="N968">
        <v>2072</v>
      </c>
      <c r="O968">
        <v>0.66</v>
      </c>
      <c r="P968">
        <v>1364</v>
      </c>
      <c r="Q968">
        <v>220</v>
      </c>
      <c r="R968">
        <v>101</v>
      </c>
      <c r="S968">
        <v>33</v>
      </c>
      <c r="T968">
        <v>143</v>
      </c>
      <c r="U968">
        <v>4</v>
      </c>
      <c r="V968">
        <v>49</v>
      </c>
      <c r="W968">
        <v>0.13100000000000001</v>
      </c>
      <c r="X968">
        <v>82</v>
      </c>
      <c r="Y968">
        <v>56</v>
      </c>
      <c r="Z968">
        <v>61</v>
      </c>
      <c r="AA968">
        <v>13</v>
      </c>
      <c r="AB968">
        <v>13.8</v>
      </c>
      <c r="AC968" t="s">
        <v>349</v>
      </c>
      <c r="AG968" t="s">
        <v>5817</v>
      </c>
      <c r="AH968" t="s">
        <v>1229</v>
      </c>
      <c r="AI968" s="245">
        <v>549.99</v>
      </c>
      <c r="AJ968" t="s">
        <v>5818</v>
      </c>
      <c r="AK968" t="s">
        <v>5819</v>
      </c>
      <c r="AL968" t="s">
        <v>1211</v>
      </c>
      <c r="AM968" s="245">
        <v>749.99</v>
      </c>
      <c r="AN968" t="s">
        <v>5820</v>
      </c>
      <c r="AS968" s="226" t="str">
        <f t="shared" si="30"/>
        <v>Redster S9 Revo</v>
      </c>
      <c r="AT968" s="203" t="str">
        <f t="shared" si="31"/>
        <v xml:space="preserve"> AtomicRedster S9 Revo165 Unisex</v>
      </c>
    </row>
    <row r="969" spans="1:46" ht="92.4">
      <c r="A969" t="s">
        <v>155</v>
      </c>
      <c r="B969" t="s">
        <v>1160</v>
      </c>
      <c r="C969" t="s">
        <v>581</v>
      </c>
      <c r="D969">
        <v>149</v>
      </c>
      <c r="E969" t="s">
        <v>163</v>
      </c>
      <c r="F969">
        <v>149</v>
      </c>
      <c r="G969">
        <v>149.9</v>
      </c>
      <c r="H969">
        <v>116</v>
      </c>
      <c r="I969">
        <v>122</v>
      </c>
      <c r="J969">
        <v>129</v>
      </c>
      <c r="K969">
        <v>84</v>
      </c>
      <c r="L969">
        <v>112</v>
      </c>
      <c r="M969">
        <v>9.6</v>
      </c>
      <c r="N969">
        <v>1426</v>
      </c>
      <c r="O969">
        <v>1.04</v>
      </c>
      <c r="P969">
        <v>1489</v>
      </c>
      <c r="Q969">
        <v>109</v>
      </c>
      <c r="R969">
        <v>66</v>
      </c>
      <c r="S969">
        <v>40</v>
      </c>
      <c r="T969">
        <v>238</v>
      </c>
      <c r="U969">
        <v>10</v>
      </c>
      <c r="V969">
        <v>100</v>
      </c>
      <c r="W969">
        <v>0.248</v>
      </c>
      <c r="X969">
        <v>169</v>
      </c>
      <c r="Y969">
        <v>106</v>
      </c>
      <c r="Z969">
        <v>69</v>
      </c>
      <c r="AA969">
        <v>10</v>
      </c>
      <c r="AB969">
        <v>10.199999999999999</v>
      </c>
      <c r="AC969" t="s">
        <v>231</v>
      </c>
      <c r="AD969" t="s">
        <v>188</v>
      </c>
      <c r="AG969" t="s">
        <v>5574</v>
      </c>
      <c r="AH969" t="s">
        <v>1265</v>
      </c>
      <c r="AI969" s="245">
        <v>320.57</v>
      </c>
      <c r="AJ969" t="s">
        <v>5821</v>
      </c>
      <c r="AK969" t="s">
        <v>5574</v>
      </c>
      <c r="AL969" t="s">
        <v>1181</v>
      </c>
      <c r="AM969" s="245">
        <v>399.95</v>
      </c>
      <c r="AN969" t="s">
        <v>5822</v>
      </c>
      <c r="AO969" t="s">
        <v>5574</v>
      </c>
      <c r="AP969" t="s">
        <v>1294</v>
      </c>
      <c r="AQ969" s="245">
        <v>399.95</v>
      </c>
      <c r="AR969" t="s">
        <v>5823</v>
      </c>
      <c r="AS969" s="226" t="str">
        <f t="shared" si="30"/>
        <v>Mindbender 85 Alliance</v>
      </c>
      <c r="AT969" s="203" t="str">
        <f t="shared" si="31"/>
        <v>K2Mindbender 85 Alliance149 Women's</v>
      </c>
    </row>
    <row r="970" spans="1:46" ht="105.6">
      <c r="A970" t="s">
        <v>155</v>
      </c>
      <c r="B970" t="s">
        <v>332</v>
      </c>
      <c r="C970" t="s">
        <v>788</v>
      </c>
      <c r="D970">
        <v>172</v>
      </c>
      <c r="E970" t="s">
        <v>158</v>
      </c>
      <c r="F970">
        <v>172</v>
      </c>
      <c r="G970">
        <v>171.3</v>
      </c>
      <c r="H970">
        <v>124</v>
      </c>
      <c r="I970">
        <v>143</v>
      </c>
      <c r="J970">
        <v>127</v>
      </c>
      <c r="K970">
        <v>92</v>
      </c>
      <c r="L970">
        <v>113</v>
      </c>
      <c r="M970">
        <v>15.9</v>
      </c>
      <c r="N970">
        <v>2044</v>
      </c>
      <c r="O970">
        <v>0.87</v>
      </c>
      <c r="P970">
        <v>1774</v>
      </c>
      <c r="Q970">
        <v>226</v>
      </c>
      <c r="R970">
        <v>144</v>
      </c>
      <c r="S970">
        <v>54</v>
      </c>
      <c r="T970">
        <v>276</v>
      </c>
      <c r="U970">
        <v>15</v>
      </c>
      <c r="V970">
        <v>196</v>
      </c>
      <c r="W970">
        <v>0.27899999999999903</v>
      </c>
      <c r="X970">
        <v>132</v>
      </c>
      <c r="Y970">
        <v>150</v>
      </c>
      <c r="Z970">
        <v>144</v>
      </c>
      <c r="AA970">
        <v>6</v>
      </c>
      <c r="AB970">
        <v>9.1</v>
      </c>
      <c r="AC970" t="s">
        <v>188</v>
      </c>
      <c r="AG970" t="s">
        <v>5824</v>
      </c>
      <c r="AH970" t="s">
        <v>1289</v>
      </c>
      <c r="AI970" s="245">
        <v>209.95</v>
      </c>
      <c r="AJ970" t="s">
        <v>5825</v>
      </c>
      <c r="AK970" t="s">
        <v>5826</v>
      </c>
      <c r="AL970" t="s">
        <v>1400</v>
      </c>
      <c r="AM970" s="245">
        <v>559.99</v>
      </c>
      <c r="AN970" t="s">
        <v>5827</v>
      </c>
      <c r="AO970" t="s">
        <v>5826</v>
      </c>
      <c r="AP970" t="s">
        <v>1224</v>
      </c>
      <c r="AQ970" s="245">
        <v>559.99</v>
      </c>
      <c r="AR970" t="s">
        <v>5828</v>
      </c>
      <c r="AS970" s="226" t="str">
        <f t="shared" si="30"/>
        <v>Enforcer 94</v>
      </c>
      <c r="AT970" s="203" t="str">
        <f t="shared" si="31"/>
        <v xml:space="preserve"> NordicaEnforcer 94172 Unisex</v>
      </c>
    </row>
    <row r="971" spans="1:46" ht="118.8">
      <c r="A971" t="s">
        <v>155</v>
      </c>
      <c r="B971" t="s">
        <v>172</v>
      </c>
      <c r="C971" t="s">
        <v>599</v>
      </c>
      <c r="D971">
        <v>186</v>
      </c>
      <c r="E971" t="s">
        <v>158</v>
      </c>
      <c r="F971">
        <v>186</v>
      </c>
      <c r="G971">
        <v>186.5</v>
      </c>
      <c r="H971">
        <v>140</v>
      </c>
      <c r="I971">
        <v>161</v>
      </c>
      <c r="J971">
        <v>126</v>
      </c>
      <c r="K971">
        <v>93</v>
      </c>
      <c r="L971">
        <v>116</v>
      </c>
      <c r="M971">
        <v>21.4</v>
      </c>
      <c r="N971">
        <v>1870</v>
      </c>
      <c r="O971">
        <v>1.04</v>
      </c>
      <c r="P971">
        <v>1948</v>
      </c>
      <c r="Q971">
        <v>295</v>
      </c>
      <c r="R971">
        <v>138</v>
      </c>
      <c r="S971">
        <v>46</v>
      </c>
      <c r="T971">
        <v>286</v>
      </c>
      <c r="U971">
        <v>14</v>
      </c>
      <c r="V971">
        <v>178</v>
      </c>
      <c r="W971">
        <v>0.31</v>
      </c>
      <c r="X971">
        <v>148</v>
      </c>
      <c r="Y971">
        <v>103</v>
      </c>
      <c r="Z971">
        <v>138</v>
      </c>
      <c r="AA971">
        <v>7</v>
      </c>
      <c r="AB971">
        <v>8.3000000000000007</v>
      </c>
      <c r="AC971" t="s">
        <v>188</v>
      </c>
      <c r="AG971" t="s">
        <v>5829</v>
      </c>
      <c r="AH971" t="s">
        <v>1232</v>
      </c>
      <c r="AI971" s="245">
        <v>399.95</v>
      </c>
      <c r="AJ971" t="s">
        <v>5830</v>
      </c>
      <c r="AK971" t="s">
        <v>5831</v>
      </c>
      <c r="AL971" t="s">
        <v>1204</v>
      </c>
      <c r="AM971" s="245">
        <v>400.72</v>
      </c>
      <c r="AN971" t="s">
        <v>5832</v>
      </c>
      <c r="AO971" t="s">
        <v>1780</v>
      </c>
      <c r="AP971" t="s">
        <v>1464</v>
      </c>
      <c r="AQ971" s="245">
        <v>473.9</v>
      </c>
      <c r="AR971" t="s">
        <v>5833</v>
      </c>
      <c r="AS971" s="226" t="str">
        <f t="shared" si="30"/>
        <v>Blackops Escaper</v>
      </c>
      <c r="AT971" s="203" t="str">
        <f t="shared" si="31"/>
        <v xml:space="preserve"> RossignolBlackops Escaper186 Unisex</v>
      </c>
    </row>
    <row r="972" spans="1:46" ht="118.8">
      <c r="A972" t="s">
        <v>155</v>
      </c>
      <c r="B972" t="s">
        <v>1160</v>
      </c>
      <c r="C972" t="s">
        <v>583</v>
      </c>
      <c r="D972">
        <v>177</v>
      </c>
      <c r="E972" t="s">
        <v>158</v>
      </c>
      <c r="F972">
        <v>177</v>
      </c>
      <c r="G972">
        <v>177.8</v>
      </c>
      <c r="H972">
        <v>159</v>
      </c>
      <c r="I972">
        <v>166</v>
      </c>
      <c r="J972">
        <v>124</v>
      </c>
      <c r="K972">
        <v>77</v>
      </c>
      <c r="L972">
        <v>110</v>
      </c>
      <c r="M972">
        <v>16.899999999999999</v>
      </c>
      <c r="N972">
        <v>2051</v>
      </c>
      <c r="O972">
        <v>0.79</v>
      </c>
      <c r="P972">
        <v>1627</v>
      </c>
      <c r="Q972">
        <v>230</v>
      </c>
      <c r="R972">
        <v>102</v>
      </c>
      <c r="S972">
        <v>33</v>
      </c>
      <c r="T972">
        <v>135</v>
      </c>
      <c r="U972">
        <v>6</v>
      </c>
      <c r="V972">
        <v>57</v>
      </c>
      <c r="W972">
        <v>0.191</v>
      </c>
      <c r="X972">
        <v>81</v>
      </c>
      <c r="Y972">
        <v>42</v>
      </c>
      <c r="Z972">
        <v>54</v>
      </c>
      <c r="AA972">
        <v>12</v>
      </c>
      <c r="AB972">
        <v>10.4</v>
      </c>
      <c r="AC972" t="s">
        <v>349</v>
      </c>
      <c r="AG972" t="s">
        <v>5834</v>
      </c>
      <c r="AH972" t="s">
        <v>5835</v>
      </c>
      <c r="AI972" s="245">
        <v>599.95000000000005</v>
      </c>
      <c r="AJ972" t="s">
        <v>5836</v>
      </c>
      <c r="AK972" t="s">
        <v>5837</v>
      </c>
      <c r="AL972" t="s">
        <v>2632</v>
      </c>
      <c r="AM972" s="245">
        <v>599.95000000000005</v>
      </c>
      <c r="AN972" t="s">
        <v>5838</v>
      </c>
      <c r="AO972" t="s">
        <v>5837</v>
      </c>
      <c r="AP972" t="s">
        <v>5839</v>
      </c>
      <c r="AQ972" s="245">
        <v>599.95000000000005</v>
      </c>
      <c r="AR972" t="s">
        <v>5840</v>
      </c>
      <c r="AS972" s="226" t="str">
        <f t="shared" si="30"/>
        <v>Disruption 78C</v>
      </c>
      <c r="AT972" s="203" t="str">
        <f t="shared" si="31"/>
        <v>K2Disruption 78C177 Unisex</v>
      </c>
    </row>
    <row r="973" spans="1:46" ht="132">
      <c r="A973" t="s">
        <v>155</v>
      </c>
      <c r="B973" t="s">
        <v>317</v>
      </c>
      <c r="C973" t="s">
        <v>502</v>
      </c>
      <c r="D973">
        <v>147</v>
      </c>
      <c r="E973" t="s">
        <v>163</v>
      </c>
      <c r="F973">
        <v>147</v>
      </c>
      <c r="G973">
        <v>145.4</v>
      </c>
      <c r="H973">
        <v>114</v>
      </c>
      <c r="I973">
        <v>124</v>
      </c>
      <c r="J973">
        <v>125</v>
      </c>
      <c r="K973">
        <v>86</v>
      </c>
      <c r="L973">
        <v>107</v>
      </c>
      <c r="M973">
        <v>11.8</v>
      </c>
      <c r="N973">
        <v>1483</v>
      </c>
      <c r="O973">
        <v>0.96</v>
      </c>
      <c r="P973">
        <v>1422</v>
      </c>
      <c r="Q973">
        <v>127</v>
      </c>
      <c r="R973">
        <v>62</v>
      </c>
      <c r="S973">
        <v>62</v>
      </c>
      <c r="T973">
        <v>207</v>
      </c>
      <c r="U973">
        <v>7</v>
      </c>
      <c r="V973">
        <v>106</v>
      </c>
      <c r="W973">
        <v>0.111999999999999</v>
      </c>
      <c r="X973">
        <v>113</v>
      </c>
      <c r="Y973">
        <v>104</v>
      </c>
      <c r="Z973">
        <v>95</v>
      </c>
      <c r="AA973">
        <v>6</v>
      </c>
      <c r="AB973">
        <v>11.1</v>
      </c>
      <c r="AC973" t="s">
        <v>188</v>
      </c>
      <c r="AG973" t="s">
        <v>5841</v>
      </c>
      <c r="AH973" t="s">
        <v>3814</v>
      </c>
      <c r="AI973" s="245">
        <v>449.97</v>
      </c>
      <c r="AJ973" t="s">
        <v>5842</v>
      </c>
      <c r="AK973" t="s">
        <v>5841</v>
      </c>
      <c r="AL973" t="s">
        <v>4009</v>
      </c>
      <c r="AM973" s="245">
        <v>545.98</v>
      </c>
      <c r="AN973" t="s">
        <v>5843</v>
      </c>
      <c r="AO973" t="s">
        <v>5844</v>
      </c>
      <c r="AP973" t="s">
        <v>1416</v>
      </c>
      <c r="AQ973" s="245">
        <v>647</v>
      </c>
      <c r="AR973" t="s">
        <v>5845</v>
      </c>
      <c r="AS973" s="226" t="str">
        <f t="shared" si="30"/>
        <v>Black Pearl 88</v>
      </c>
      <c r="AT973" s="203" t="str">
        <f t="shared" si="31"/>
        <v xml:space="preserve"> BlizzardBlack Pearl 88147 Women's</v>
      </c>
    </row>
    <row r="974" spans="1:46" ht="39.6">
      <c r="A974" t="s">
        <v>155</v>
      </c>
      <c r="B974" t="s">
        <v>227</v>
      </c>
      <c r="C974" t="s">
        <v>827</v>
      </c>
      <c r="D974">
        <v>171</v>
      </c>
      <c r="E974" t="s">
        <v>158</v>
      </c>
      <c r="F974">
        <v>171</v>
      </c>
      <c r="G974">
        <v>169.6</v>
      </c>
      <c r="H974">
        <v>142</v>
      </c>
      <c r="I974">
        <v>160</v>
      </c>
      <c r="J974">
        <v>131</v>
      </c>
      <c r="K974">
        <v>75</v>
      </c>
      <c r="L974">
        <v>115</v>
      </c>
      <c r="M974">
        <v>13.4</v>
      </c>
      <c r="N974">
        <v>1759</v>
      </c>
      <c r="O974">
        <v>0.89</v>
      </c>
      <c r="P974">
        <v>1567</v>
      </c>
      <c r="Q974">
        <v>212</v>
      </c>
      <c r="R974">
        <v>128</v>
      </c>
      <c r="S974">
        <v>49</v>
      </c>
      <c r="T974">
        <v>207</v>
      </c>
      <c r="U974">
        <v>7</v>
      </c>
      <c r="V974">
        <v>72</v>
      </c>
      <c r="W974">
        <v>0.13800000000000001</v>
      </c>
      <c r="X974">
        <v>51</v>
      </c>
      <c r="Y974">
        <v>42</v>
      </c>
      <c r="Z974">
        <v>156</v>
      </c>
      <c r="AA974">
        <v>8</v>
      </c>
      <c r="AB974">
        <v>12.2</v>
      </c>
      <c r="AC974" t="s">
        <v>349</v>
      </c>
      <c r="AS974" s="226" t="str">
        <f t="shared" si="30"/>
        <v>Le Condor Ti</v>
      </c>
      <c r="AT974" s="203" t="str">
        <f t="shared" si="31"/>
        <v xml:space="preserve"> RaccoonLe Condor Ti171 Unisex</v>
      </c>
    </row>
    <row r="975" spans="1:46" ht="79.2">
      <c r="A975" t="s">
        <v>155</v>
      </c>
      <c r="B975" t="s">
        <v>156</v>
      </c>
      <c r="C975" t="s">
        <v>718</v>
      </c>
      <c r="D975">
        <v>180</v>
      </c>
      <c r="E975" t="s">
        <v>158</v>
      </c>
      <c r="F975">
        <v>180</v>
      </c>
      <c r="G975">
        <v>178</v>
      </c>
      <c r="H975">
        <v>129</v>
      </c>
      <c r="I975">
        <v>144</v>
      </c>
      <c r="J975">
        <v>128</v>
      </c>
      <c r="K975">
        <v>99</v>
      </c>
      <c r="L975">
        <v>118</v>
      </c>
      <c r="M975">
        <v>19.8</v>
      </c>
      <c r="N975">
        <v>1744</v>
      </c>
      <c r="O975">
        <v>1.1000000000000001</v>
      </c>
      <c r="P975">
        <v>1914</v>
      </c>
      <c r="Q975">
        <v>227</v>
      </c>
      <c r="R975">
        <v>166</v>
      </c>
      <c r="S975">
        <v>60</v>
      </c>
      <c r="T975">
        <v>293</v>
      </c>
      <c r="U975">
        <v>18</v>
      </c>
      <c r="V975">
        <v>199</v>
      </c>
      <c r="W975">
        <v>0.29899999999999999</v>
      </c>
      <c r="X975">
        <v>180</v>
      </c>
      <c r="Y975">
        <v>163</v>
      </c>
      <c r="Z975">
        <v>114</v>
      </c>
      <c r="AA975">
        <v>7</v>
      </c>
      <c r="AB975">
        <v>9.1999999999999993</v>
      </c>
      <c r="AC975" t="s">
        <v>188</v>
      </c>
      <c r="AD975" t="s">
        <v>185</v>
      </c>
      <c r="AG975" t="s">
        <v>5846</v>
      </c>
      <c r="AH975" t="s">
        <v>1204</v>
      </c>
      <c r="AI975" s="245">
        <v>561.01</v>
      </c>
      <c r="AJ975" t="s">
        <v>5847</v>
      </c>
      <c r="AK975" t="s">
        <v>4415</v>
      </c>
      <c r="AL975" t="s">
        <v>1179</v>
      </c>
      <c r="AM975" s="245">
        <v>599.95000000000005</v>
      </c>
      <c r="AN975" t="s">
        <v>5848</v>
      </c>
      <c r="AO975" t="s">
        <v>4415</v>
      </c>
      <c r="AP975" t="s">
        <v>1232</v>
      </c>
      <c r="AQ975" s="245">
        <v>599.95000000000005</v>
      </c>
      <c r="AR975" t="s">
        <v>5849</v>
      </c>
      <c r="AS975" s="226" t="str">
        <f t="shared" si="30"/>
        <v>Maverick 100 Ti</v>
      </c>
      <c r="AT975" s="203" t="str">
        <f t="shared" si="31"/>
        <v xml:space="preserve"> AtomicMaverick 100 Ti180 Unisex</v>
      </c>
    </row>
    <row r="976" spans="1:46" ht="105.6">
      <c r="A976" t="s">
        <v>155</v>
      </c>
      <c r="B976" t="s">
        <v>1395</v>
      </c>
      <c r="C976" t="s">
        <v>807</v>
      </c>
      <c r="D976">
        <v>168</v>
      </c>
      <c r="E976" t="s">
        <v>163</v>
      </c>
      <c r="F976">
        <v>168</v>
      </c>
      <c r="G976">
        <v>168.7</v>
      </c>
      <c r="H976">
        <v>114</v>
      </c>
      <c r="I976">
        <v>144</v>
      </c>
      <c r="J976">
        <v>120</v>
      </c>
      <c r="K976">
        <v>79</v>
      </c>
      <c r="L976">
        <v>102</v>
      </c>
      <c r="M976">
        <v>15.9</v>
      </c>
      <c r="N976">
        <v>1435</v>
      </c>
      <c r="O976">
        <v>1.08</v>
      </c>
      <c r="P976">
        <v>1556</v>
      </c>
      <c r="Q976">
        <v>172</v>
      </c>
      <c r="R976">
        <v>65</v>
      </c>
      <c r="S976">
        <v>40</v>
      </c>
      <c r="T976">
        <v>336</v>
      </c>
      <c r="U976">
        <v>14</v>
      </c>
      <c r="V976">
        <v>209</v>
      </c>
      <c r="W976">
        <v>0.35399999999999998</v>
      </c>
      <c r="X976">
        <v>137</v>
      </c>
      <c r="Y976">
        <v>108</v>
      </c>
      <c r="Z976">
        <v>200</v>
      </c>
      <c r="AA976">
        <v>1</v>
      </c>
      <c r="AB976">
        <v>12</v>
      </c>
      <c r="AC976" t="s">
        <v>231</v>
      </c>
      <c r="AD976" t="s">
        <v>185</v>
      </c>
      <c r="AG976" t="s">
        <v>1585</v>
      </c>
      <c r="AH976" t="s">
        <v>1194</v>
      </c>
      <c r="AI976" s="245">
        <v>253.5</v>
      </c>
      <c r="AJ976" t="s">
        <v>5850</v>
      </c>
      <c r="AK976" t="s">
        <v>5851</v>
      </c>
      <c r="AL976" t="s">
        <v>1232</v>
      </c>
      <c r="AM976" s="245">
        <v>439.95</v>
      </c>
      <c r="AN976" t="s">
        <v>5852</v>
      </c>
      <c r="AO976" t="s">
        <v>1585</v>
      </c>
      <c r="AP976" t="s">
        <v>1181</v>
      </c>
      <c r="AQ976" s="245">
        <v>439.95</v>
      </c>
      <c r="AR976" t="s">
        <v>5853</v>
      </c>
      <c r="AS976" s="226" t="str">
        <f t="shared" si="30"/>
        <v>Yumi 80</v>
      </c>
      <c r="AT976" s="203" t="str">
        <f t="shared" si="31"/>
        <v xml:space="preserve"> Vï¿½lklYumi 80168 Women's</v>
      </c>
    </row>
    <row r="977" spans="1:46" ht="118.8">
      <c r="A977" t="s">
        <v>155</v>
      </c>
      <c r="B977" t="s">
        <v>1395</v>
      </c>
      <c r="C977" t="s">
        <v>534</v>
      </c>
      <c r="D977">
        <v>186</v>
      </c>
      <c r="E977" t="s">
        <v>158</v>
      </c>
      <c r="F977">
        <v>186</v>
      </c>
      <c r="G977">
        <v>187.1</v>
      </c>
      <c r="H977">
        <v>131</v>
      </c>
      <c r="I977">
        <v>159</v>
      </c>
      <c r="J977">
        <v>134</v>
      </c>
      <c r="K977">
        <v>98</v>
      </c>
      <c r="L977">
        <v>116</v>
      </c>
      <c r="M977">
        <v>23.4</v>
      </c>
      <c r="N977">
        <v>1775</v>
      </c>
      <c r="O977">
        <v>1.1499999999999999</v>
      </c>
      <c r="P977">
        <v>2038</v>
      </c>
      <c r="Q977">
        <v>190</v>
      </c>
      <c r="R977">
        <v>147</v>
      </c>
      <c r="S977">
        <v>49</v>
      </c>
      <c r="T977">
        <v>327</v>
      </c>
      <c r="U977">
        <v>18</v>
      </c>
      <c r="V977">
        <v>235</v>
      </c>
      <c r="W977">
        <v>0.36699999999999999</v>
      </c>
      <c r="X977">
        <v>151</v>
      </c>
      <c r="Y977">
        <v>126</v>
      </c>
      <c r="Z977">
        <v>177</v>
      </c>
      <c r="AA977">
        <v>3</v>
      </c>
      <c r="AB977">
        <v>10.7</v>
      </c>
      <c r="AC977" t="s">
        <v>188</v>
      </c>
      <c r="AD977" t="s">
        <v>185</v>
      </c>
      <c r="AG977" t="s">
        <v>5854</v>
      </c>
      <c r="AH977" t="s">
        <v>1556</v>
      </c>
      <c r="AI977" s="245">
        <v>1149.99</v>
      </c>
      <c r="AJ977" t="s">
        <v>5855</v>
      </c>
      <c r="AK977" t="s">
        <v>5856</v>
      </c>
      <c r="AL977" t="s">
        <v>1232</v>
      </c>
      <c r="AM977" s="245">
        <v>959.95</v>
      </c>
      <c r="AN977" t="s">
        <v>5857</v>
      </c>
      <c r="AS977" s="226" t="str">
        <f t="shared" si="30"/>
        <v>Mantra V.Werks</v>
      </c>
      <c r="AT977" s="203" t="str">
        <f t="shared" si="31"/>
        <v xml:space="preserve"> Vï¿½lklMantra V.Werks186 Unisex</v>
      </c>
    </row>
    <row r="978" spans="1:46" ht="105.6">
      <c r="A978" t="s">
        <v>155</v>
      </c>
      <c r="B978" t="s">
        <v>332</v>
      </c>
      <c r="C978" t="s">
        <v>828</v>
      </c>
      <c r="D978">
        <v>162</v>
      </c>
      <c r="E978" t="s">
        <v>163</v>
      </c>
      <c r="F978">
        <v>162</v>
      </c>
      <c r="G978">
        <v>161.30000000000001</v>
      </c>
      <c r="H978">
        <v>137</v>
      </c>
      <c r="I978">
        <v>146</v>
      </c>
      <c r="J978">
        <v>120</v>
      </c>
      <c r="K978">
        <v>71</v>
      </c>
      <c r="L978">
        <v>99</v>
      </c>
      <c r="M978">
        <v>13.5</v>
      </c>
      <c r="N978">
        <v>1813</v>
      </c>
      <c r="O978">
        <v>0.76</v>
      </c>
      <c r="P978">
        <v>1384</v>
      </c>
      <c r="Q978">
        <v>190</v>
      </c>
      <c r="R978">
        <v>63</v>
      </c>
      <c r="S978">
        <v>39</v>
      </c>
      <c r="T978">
        <v>164</v>
      </c>
      <c r="U978">
        <v>8</v>
      </c>
      <c r="V978">
        <v>84</v>
      </c>
      <c r="W978">
        <v>0.214</v>
      </c>
      <c r="X978">
        <v>64</v>
      </c>
      <c r="Y978">
        <v>86</v>
      </c>
      <c r="Z978">
        <v>99</v>
      </c>
      <c r="AA978">
        <v>8</v>
      </c>
      <c r="AB978">
        <v>9.1</v>
      </c>
      <c r="AC978" t="s">
        <v>349</v>
      </c>
      <c r="AG978" t="s">
        <v>5858</v>
      </c>
      <c r="AH978" t="s">
        <v>3015</v>
      </c>
      <c r="AI978" s="245">
        <v>499.99</v>
      </c>
      <c r="AJ978" t="s">
        <v>5859</v>
      </c>
      <c r="AK978" t="s">
        <v>4677</v>
      </c>
      <c r="AL978" t="s">
        <v>3959</v>
      </c>
      <c r="AM978" s="245">
        <v>399.95</v>
      </c>
      <c r="AN978" t="s">
        <v>5860</v>
      </c>
      <c r="AO978" t="s">
        <v>4677</v>
      </c>
      <c r="AP978" t="s">
        <v>2632</v>
      </c>
      <c r="AQ978" s="245">
        <v>399.95</v>
      </c>
      <c r="AR978" t="s">
        <v>5861</v>
      </c>
      <c r="AS978" s="226" t="str">
        <f t="shared" si="30"/>
        <v>Belle 72 Ca</v>
      </c>
      <c r="AT978" s="203" t="str">
        <f t="shared" si="31"/>
        <v xml:space="preserve"> NordicaBelle 72 Ca162 Women's</v>
      </c>
    </row>
    <row r="979" spans="1:46" ht="92.4">
      <c r="A979" t="s">
        <v>155</v>
      </c>
      <c r="B979" t="s">
        <v>237</v>
      </c>
      <c r="C979" t="s">
        <v>665</v>
      </c>
      <c r="D979">
        <v>160.1</v>
      </c>
      <c r="E979" t="s">
        <v>163</v>
      </c>
      <c r="F979">
        <v>160.1</v>
      </c>
      <c r="G979">
        <v>158.9</v>
      </c>
      <c r="H979">
        <v>112</v>
      </c>
      <c r="I979">
        <v>133</v>
      </c>
      <c r="J979">
        <v>135</v>
      </c>
      <c r="K979">
        <v>106</v>
      </c>
      <c r="L979">
        <v>121</v>
      </c>
      <c r="M979">
        <v>19.2</v>
      </c>
      <c r="N979">
        <v>1649</v>
      </c>
      <c r="O979">
        <v>1.1100000000000001</v>
      </c>
      <c r="P979">
        <v>1831</v>
      </c>
      <c r="Q979">
        <v>121</v>
      </c>
      <c r="R979">
        <v>57</v>
      </c>
      <c r="S979">
        <v>50</v>
      </c>
      <c r="T979">
        <v>283</v>
      </c>
      <c r="U979">
        <v>30</v>
      </c>
      <c r="V979">
        <v>184</v>
      </c>
      <c r="W979">
        <v>0.60399999999999998</v>
      </c>
      <c r="X979">
        <v>155</v>
      </c>
      <c r="Y979">
        <v>100</v>
      </c>
      <c r="Z979">
        <v>128</v>
      </c>
      <c r="AA979">
        <v>7</v>
      </c>
      <c r="AB979">
        <v>8.5</v>
      </c>
      <c r="AC979" t="s">
        <v>169</v>
      </c>
      <c r="AD979" t="s">
        <v>185</v>
      </c>
      <c r="AG979" t="s">
        <v>3136</v>
      </c>
      <c r="AH979" t="s">
        <v>1229</v>
      </c>
      <c r="AI979" s="245">
        <v>611.99</v>
      </c>
      <c r="AJ979" t="s">
        <v>5862</v>
      </c>
      <c r="AK979" t="s">
        <v>3136</v>
      </c>
      <c r="AL979" t="s">
        <v>1191</v>
      </c>
      <c r="AM979" s="245">
        <v>649.95000000000005</v>
      </c>
      <c r="AN979" t="s">
        <v>5863</v>
      </c>
      <c r="AO979" t="s">
        <v>3136</v>
      </c>
      <c r="AP979" t="s">
        <v>1271</v>
      </c>
      <c r="AQ979" s="245">
        <v>671.93</v>
      </c>
      <c r="AR979" t="s">
        <v>5864</v>
      </c>
      <c r="AS979" s="226" t="str">
        <f t="shared" si="30"/>
        <v>Atris Birdie</v>
      </c>
      <c r="AT979" s="203" t="str">
        <f t="shared" si="31"/>
        <v xml:space="preserve"> Black CrowsAtris Birdie160.1 Women's</v>
      </c>
    </row>
    <row r="980" spans="1:46" ht="92.4">
      <c r="A980" t="s">
        <v>155</v>
      </c>
      <c r="B980" t="s">
        <v>1395</v>
      </c>
      <c r="C980" t="s">
        <v>778</v>
      </c>
      <c r="D980">
        <v>158</v>
      </c>
      <c r="E980" t="s">
        <v>163</v>
      </c>
      <c r="F980">
        <v>158</v>
      </c>
      <c r="G980">
        <v>159.69999999999999</v>
      </c>
      <c r="H980">
        <v>81</v>
      </c>
      <c r="I980">
        <v>136</v>
      </c>
      <c r="J980">
        <v>133</v>
      </c>
      <c r="K980">
        <v>93</v>
      </c>
      <c r="L980">
        <v>115</v>
      </c>
      <c r="M980">
        <v>14</v>
      </c>
      <c r="N980">
        <v>1399</v>
      </c>
      <c r="O980">
        <v>1.21</v>
      </c>
      <c r="P980">
        <v>1689</v>
      </c>
      <c r="Q980">
        <v>166</v>
      </c>
      <c r="R980">
        <v>80</v>
      </c>
      <c r="S980">
        <v>51</v>
      </c>
      <c r="T980">
        <v>455</v>
      </c>
      <c r="U980">
        <v>22</v>
      </c>
      <c r="V980">
        <v>331</v>
      </c>
      <c r="W980">
        <v>0.43099999999999999</v>
      </c>
      <c r="X980">
        <v>137</v>
      </c>
      <c r="Y980">
        <v>103</v>
      </c>
      <c r="Z980">
        <v>318</v>
      </c>
      <c r="AA980">
        <v>2</v>
      </c>
      <c r="AB980">
        <v>11.5</v>
      </c>
      <c r="AC980" t="s">
        <v>188</v>
      </c>
      <c r="AD980" t="s">
        <v>185</v>
      </c>
      <c r="AG980" t="s">
        <v>4866</v>
      </c>
      <c r="AH980" t="s">
        <v>1497</v>
      </c>
      <c r="AI980" s="245">
        <v>439.96</v>
      </c>
      <c r="AJ980" t="s">
        <v>5865</v>
      </c>
      <c r="AK980" t="s">
        <v>5866</v>
      </c>
      <c r="AL980" t="s">
        <v>1807</v>
      </c>
      <c r="AM980" s="245">
        <v>449.91</v>
      </c>
      <c r="AN980" t="s">
        <v>5867</v>
      </c>
      <c r="AO980" t="s">
        <v>5868</v>
      </c>
      <c r="AP980" t="s">
        <v>1204</v>
      </c>
      <c r="AQ980" s="245">
        <v>480.86</v>
      </c>
      <c r="AR980" t="s">
        <v>5869</v>
      </c>
      <c r="AS980" s="226" t="str">
        <f t="shared" si="30"/>
        <v>Blaze 94 W</v>
      </c>
      <c r="AT980" s="203" t="str">
        <f t="shared" si="31"/>
        <v xml:space="preserve"> Vï¿½lklBlaze 94 W158 Women's</v>
      </c>
    </row>
    <row r="981" spans="1:46" ht="79.2">
      <c r="A981" t="s">
        <v>155</v>
      </c>
      <c r="B981" t="s">
        <v>156</v>
      </c>
      <c r="C981" t="s">
        <v>696</v>
      </c>
      <c r="D981">
        <v>192</v>
      </c>
      <c r="E981" t="s">
        <v>158</v>
      </c>
      <c r="F981">
        <v>192</v>
      </c>
      <c r="G981">
        <v>188.1</v>
      </c>
      <c r="H981">
        <v>115</v>
      </c>
      <c r="I981">
        <v>143</v>
      </c>
      <c r="J981">
        <v>143</v>
      </c>
      <c r="K981">
        <v>119</v>
      </c>
      <c r="L981">
        <v>134</v>
      </c>
      <c r="M981">
        <v>21.4</v>
      </c>
      <c r="N981">
        <v>1970</v>
      </c>
      <c r="O981">
        <v>1.19</v>
      </c>
      <c r="P981">
        <v>2341</v>
      </c>
      <c r="Q981">
        <v>275</v>
      </c>
      <c r="R981">
        <v>115</v>
      </c>
      <c r="S981">
        <v>56</v>
      </c>
      <c r="T981">
        <v>398</v>
      </c>
      <c r="U981">
        <v>42</v>
      </c>
      <c r="V981">
        <v>329</v>
      </c>
      <c r="W981">
        <v>0.76200000000000001</v>
      </c>
      <c r="X981">
        <v>204</v>
      </c>
      <c r="Y981">
        <v>252</v>
      </c>
      <c r="Z981">
        <v>194</v>
      </c>
      <c r="AA981">
        <v>5</v>
      </c>
      <c r="AB981">
        <v>6.5</v>
      </c>
      <c r="AC981" t="s">
        <v>169</v>
      </c>
      <c r="AD981" t="s">
        <v>185</v>
      </c>
      <c r="AG981" t="s">
        <v>5870</v>
      </c>
      <c r="AH981" t="s">
        <v>1204</v>
      </c>
      <c r="AI981" s="245">
        <v>681.22</v>
      </c>
      <c r="AJ981" t="s">
        <v>5871</v>
      </c>
      <c r="AK981" t="s">
        <v>5872</v>
      </c>
      <c r="AL981" t="s">
        <v>1349</v>
      </c>
      <c r="AM981" s="245">
        <v>686.7</v>
      </c>
      <c r="AN981" t="s">
        <v>5873</v>
      </c>
      <c r="AO981" t="s">
        <v>5872</v>
      </c>
      <c r="AP981" t="s">
        <v>1262</v>
      </c>
      <c r="AQ981" s="245">
        <v>692.77</v>
      </c>
      <c r="AR981" t="s">
        <v>5874</v>
      </c>
      <c r="AS981" s="226" t="str">
        <f t="shared" si="30"/>
        <v>Bent Chetler 120</v>
      </c>
      <c r="AT981" s="203" t="str">
        <f t="shared" si="31"/>
        <v xml:space="preserve"> AtomicBent Chetler 120192 Unisex</v>
      </c>
    </row>
    <row r="982" spans="1:46" ht="118.8">
      <c r="A982" t="s">
        <v>155</v>
      </c>
      <c r="B982" t="s">
        <v>156</v>
      </c>
      <c r="C982" t="s">
        <v>829</v>
      </c>
      <c r="D982">
        <v>164</v>
      </c>
      <c r="E982" t="s">
        <v>158</v>
      </c>
      <c r="F982">
        <v>164</v>
      </c>
      <c r="G982">
        <v>162.9</v>
      </c>
      <c r="H982">
        <v>110</v>
      </c>
      <c r="I982">
        <v>126</v>
      </c>
      <c r="J982">
        <v>126</v>
      </c>
      <c r="K982">
        <v>97</v>
      </c>
      <c r="L982">
        <v>116</v>
      </c>
      <c r="M982">
        <v>15</v>
      </c>
      <c r="N982">
        <v>1152</v>
      </c>
      <c r="O982">
        <v>1.49</v>
      </c>
      <c r="P982">
        <v>1722</v>
      </c>
      <c r="Q982">
        <v>155</v>
      </c>
      <c r="R982">
        <v>71</v>
      </c>
      <c r="S982">
        <v>56</v>
      </c>
      <c r="T982">
        <v>316</v>
      </c>
      <c r="U982">
        <v>18</v>
      </c>
      <c r="V982">
        <v>215</v>
      </c>
      <c r="W982">
        <v>0.32400000000000001</v>
      </c>
      <c r="X982">
        <v>201</v>
      </c>
      <c r="Y982">
        <v>168</v>
      </c>
      <c r="Z982">
        <v>115</v>
      </c>
      <c r="AA982">
        <v>3</v>
      </c>
      <c r="AB982">
        <v>8.1999999999999993</v>
      </c>
      <c r="AC982" t="s">
        <v>185</v>
      </c>
      <c r="AD982" t="s">
        <v>198</v>
      </c>
      <c r="AG982" t="s">
        <v>5875</v>
      </c>
      <c r="AH982" t="s">
        <v>1204</v>
      </c>
      <c r="AI982" s="245">
        <v>480.86</v>
      </c>
      <c r="AJ982" t="s">
        <v>5876</v>
      </c>
      <c r="AK982" t="s">
        <v>5877</v>
      </c>
      <c r="AL982" t="s">
        <v>1468</v>
      </c>
      <c r="AM982" s="245">
        <v>489</v>
      </c>
      <c r="AN982" t="s">
        <v>5878</v>
      </c>
      <c r="AO982" t="s">
        <v>5879</v>
      </c>
      <c r="AP982" t="s">
        <v>1277</v>
      </c>
      <c r="AQ982" s="245">
        <v>598.41999999999996</v>
      </c>
      <c r="AR982" t="s">
        <v>5880</v>
      </c>
      <c r="AS982" s="226" t="str">
        <f t="shared" si="30"/>
        <v>Backland 98 W</v>
      </c>
      <c r="AT982" s="203" t="str">
        <f t="shared" si="31"/>
        <v xml:space="preserve"> AtomicBackland 98 W164 Unisex</v>
      </c>
    </row>
    <row r="983" spans="1:46" ht="118.8">
      <c r="A983" t="s">
        <v>155</v>
      </c>
      <c r="B983" t="s">
        <v>167</v>
      </c>
      <c r="C983" t="s">
        <v>831</v>
      </c>
      <c r="D983">
        <v>160</v>
      </c>
      <c r="E983" t="s">
        <v>158</v>
      </c>
      <c r="F983">
        <v>160</v>
      </c>
      <c r="G983">
        <v>158.80000000000001</v>
      </c>
      <c r="H983">
        <v>140</v>
      </c>
      <c r="I983">
        <v>149</v>
      </c>
      <c r="J983">
        <v>122</v>
      </c>
      <c r="K983">
        <v>67</v>
      </c>
      <c r="L983">
        <v>107</v>
      </c>
      <c r="M983">
        <v>11.5</v>
      </c>
      <c r="N983">
        <v>2253</v>
      </c>
      <c r="O983">
        <v>0.59</v>
      </c>
      <c r="P983">
        <v>1338</v>
      </c>
      <c r="Q983">
        <v>205</v>
      </c>
      <c r="R983">
        <v>96</v>
      </c>
      <c r="S983">
        <v>42</v>
      </c>
      <c r="T983">
        <v>147</v>
      </c>
      <c r="U983">
        <v>3</v>
      </c>
      <c r="V983">
        <v>42</v>
      </c>
      <c r="W983">
        <v>6.3E-2</v>
      </c>
      <c r="X983">
        <v>59</v>
      </c>
      <c r="Y983">
        <v>43</v>
      </c>
      <c r="Z983">
        <v>88</v>
      </c>
      <c r="AA983">
        <v>11</v>
      </c>
      <c r="AB983">
        <v>11.9</v>
      </c>
      <c r="AC983" t="s">
        <v>349</v>
      </c>
      <c r="AG983" t="s">
        <v>5501</v>
      </c>
      <c r="AH983" t="s">
        <v>1191</v>
      </c>
      <c r="AI983" s="245">
        <v>564.95000000000005</v>
      </c>
      <c r="AJ983" t="s">
        <v>5881</v>
      </c>
      <c r="AK983" t="s">
        <v>5503</v>
      </c>
      <c r="AL983" t="s">
        <v>1211</v>
      </c>
      <c r="AM983" s="245">
        <v>639.99</v>
      </c>
      <c r="AN983" t="s">
        <v>5882</v>
      </c>
      <c r="AO983" t="s">
        <v>5503</v>
      </c>
      <c r="AP983" t="s">
        <v>1271</v>
      </c>
      <c r="AQ983" s="245">
        <v>819</v>
      </c>
      <c r="AR983" t="s">
        <v>5883</v>
      </c>
      <c r="AS983" s="226" t="str">
        <f t="shared" si="30"/>
        <v>Worldcup Rebels e-SL</v>
      </c>
      <c r="AT983" s="203" t="str">
        <f t="shared" si="31"/>
        <v xml:space="preserve"> HeadWorldcup Rebels e-SL160 Unisex</v>
      </c>
    </row>
    <row r="984" spans="1:46" ht="118.8">
      <c r="A984" t="s">
        <v>155</v>
      </c>
      <c r="B984" t="s">
        <v>172</v>
      </c>
      <c r="C984" t="s">
        <v>813</v>
      </c>
      <c r="D984">
        <v>156</v>
      </c>
      <c r="E984" t="s">
        <v>163</v>
      </c>
      <c r="F984">
        <v>156</v>
      </c>
      <c r="G984">
        <v>155.69999999999999</v>
      </c>
      <c r="H984">
        <v>136</v>
      </c>
      <c r="I984">
        <v>142</v>
      </c>
      <c r="J984">
        <v>122</v>
      </c>
      <c r="K984">
        <v>73</v>
      </c>
      <c r="L984">
        <v>109</v>
      </c>
      <c r="M984">
        <v>11.7</v>
      </c>
      <c r="N984">
        <v>1516</v>
      </c>
      <c r="O984">
        <v>0.91</v>
      </c>
      <c r="P984">
        <v>1383</v>
      </c>
      <c r="Q984">
        <v>135</v>
      </c>
      <c r="R984">
        <v>55</v>
      </c>
      <c r="S984">
        <v>37</v>
      </c>
      <c r="T984">
        <v>145</v>
      </c>
      <c r="U984">
        <v>4</v>
      </c>
      <c r="V984">
        <v>53</v>
      </c>
      <c r="W984">
        <v>0.121</v>
      </c>
      <c r="X984">
        <v>72</v>
      </c>
      <c r="Y984">
        <v>61</v>
      </c>
      <c r="Z984">
        <v>74</v>
      </c>
      <c r="AA984">
        <v>11</v>
      </c>
      <c r="AB984">
        <v>9.5</v>
      </c>
      <c r="AC984" t="s">
        <v>349</v>
      </c>
      <c r="AG984" t="s">
        <v>5884</v>
      </c>
      <c r="AH984" t="s">
        <v>1204</v>
      </c>
      <c r="AI984" s="245">
        <v>400.72</v>
      </c>
      <c r="AJ984" t="s">
        <v>5885</v>
      </c>
      <c r="AK984" t="s">
        <v>5886</v>
      </c>
      <c r="AL984" t="s">
        <v>1179</v>
      </c>
      <c r="AM984" s="245">
        <v>479.95</v>
      </c>
      <c r="AN984" t="s">
        <v>5887</v>
      </c>
      <c r="AO984" t="s">
        <v>5886</v>
      </c>
      <c r="AP984" t="s">
        <v>3959</v>
      </c>
      <c r="AQ984" s="245">
        <v>599.95000000000005</v>
      </c>
      <c r="AR984" t="s">
        <v>5888</v>
      </c>
      <c r="AS984" s="226" t="str">
        <f t="shared" si="30"/>
        <v>Nova 6</v>
      </c>
      <c r="AT984" s="203" t="str">
        <f t="shared" si="31"/>
        <v xml:space="preserve"> RossignolNova 6156 Women's</v>
      </c>
    </row>
    <row r="985" spans="1:46" ht="118.8">
      <c r="A985" t="s">
        <v>155</v>
      </c>
      <c r="B985" t="s">
        <v>245</v>
      </c>
      <c r="C985" t="s">
        <v>832</v>
      </c>
      <c r="D985">
        <v>161</v>
      </c>
      <c r="E985" t="s">
        <v>385</v>
      </c>
      <c r="F985">
        <v>161</v>
      </c>
      <c r="G985">
        <v>159.1</v>
      </c>
      <c r="H985">
        <v>130</v>
      </c>
      <c r="I985">
        <v>141</v>
      </c>
      <c r="J985">
        <v>118</v>
      </c>
      <c r="K985">
        <v>82</v>
      </c>
      <c r="L985">
        <v>107</v>
      </c>
      <c r="M985">
        <v>15.7</v>
      </c>
      <c r="N985">
        <v>1564</v>
      </c>
      <c r="O985">
        <v>0.95</v>
      </c>
      <c r="P985">
        <v>1482</v>
      </c>
      <c r="Q985">
        <v>156</v>
      </c>
      <c r="R985">
        <v>56</v>
      </c>
      <c r="S985">
        <v>47</v>
      </c>
      <c r="T985">
        <v>156</v>
      </c>
      <c r="U985">
        <v>36</v>
      </c>
      <c r="V985">
        <v>139</v>
      </c>
      <c r="W985">
        <v>0.752</v>
      </c>
      <c r="X985">
        <v>94</v>
      </c>
      <c r="Y985">
        <v>90</v>
      </c>
      <c r="Z985">
        <v>62</v>
      </c>
      <c r="AA985">
        <v>9</v>
      </c>
      <c r="AB985">
        <v>-1.3</v>
      </c>
      <c r="AC985" t="s">
        <v>188</v>
      </c>
      <c r="AG985" t="s">
        <v>5889</v>
      </c>
      <c r="AH985" t="s">
        <v>1204</v>
      </c>
      <c r="AI985" s="245">
        <v>200.35</v>
      </c>
      <c r="AJ985" t="s">
        <v>5890</v>
      </c>
      <c r="AK985" t="s">
        <v>5891</v>
      </c>
      <c r="AL985" t="s">
        <v>1282</v>
      </c>
      <c r="AM985" s="245">
        <v>399.99</v>
      </c>
      <c r="AN985" t="s">
        <v>5892</v>
      </c>
      <c r="AO985" t="s">
        <v>5893</v>
      </c>
      <c r="AP985" t="s">
        <v>1337</v>
      </c>
      <c r="AQ985" s="245">
        <v>499</v>
      </c>
      <c r="AR985" t="s">
        <v>5894</v>
      </c>
      <c r="AS985" s="226" t="str">
        <f t="shared" si="30"/>
        <v>Nightstick Team</v>
      </c>
      <c r="AT985" s="203" t="str">
        <f t="shared" si="31"/>
        <v xml:space="preserve"> FischerNightstick Team161 Junior</v>
      </c>
    </row>
    <row r="986" spans="1:46" ht="211.2">
      <c r="A986" t="s">
        <v>155</v>
      </c>
      <c r="B986" t="s">
        <v>202</v>
      </c>
      <c r="C986" t="s">
        <v>602</v>
      </c>
      <c r="D986">
        <v>150</v>
      </c>
      <c r="E986" t="s">
        <v>158</v>
      </c>
      <c r="F986">
        <v>150</v>
      </c>
      <c r="G986">
        <v>148.5</v>
      </c>
      <c r="H986">
        <v>100</v>
      </c>
      <c r="I986">
        <v>123</v>
      </c>
      <c r="J986">
        <v>118</v>
      </c>
      <c r="K986">
        <v>89</v>
      </c>
      <c r="L986">
        <v>107</v>
      </c>
      <c r="M986">
        <v>17</v>
      </c>
      <c r="N986">
        <v>1464</v>
      </c>
      <c r="O986">
        <v>0.99</v>
      </c>
      <c r="P986">
        <v>1453</v>
      </c>
      <c r="Q986">
        <v>149</v>
      </c>
      <c r="R986">
        <v>60</v>
      </c>
      <c r="S986">
        <v>50</v>
      </c>
      <c r="T986">
        <v>258</v>
      </c>
      <c r="U986">
        <v>31</v>
      </c>
      <c r="V986">
        <v>227</v>
      </c>
      <c r="W986">
        <v>0.63</v>
      </c>
      <c r="X986">
        <v>126</v>
      </c>
      <c r="Y986">
        <v>132</v>
      </c>
      <c r="Z986">
        <v>132</v>
      </c>
      <c r="AA986">
        <v>5</v>
      </c>
      <c r="AB986">
        <v>6.8</v>
      </c>
      <c r="AC986" t="s">
        <v>188</v>
      </c>
      <c r="AG986" t="s">
        <v>5596</v>
      </c>
      <c r="AH986" t="s">
        <v>1282</v>
      </c>
      <c r="AI986" s="245">
        <v>349.95</v>
      </c>
      <c r="AJ986" t="s">
        <v>5895</v>
      </c>
      <c r="AK986" t="s">
        <v>5896</v>
      </c>
      <c r="AL986" t="s">
        <v>1627</v>
      </c>
      <c r="AM986" s="245">
        <v>398</v>
      </c>
      <c r="AN986" t="s">
        <v>5897</v>
      </c>
      <c r="AO986" t="s">
        <v>5898</v>
      </c>
      <c r="AP986" t="s">
        <v>1211</v>
      </c>
      <c r="AQ986" s="245">
        <v>349.95</v>
      </c>
      <c r="AR986" t="s">
        <v>5899</v>
      </c>
      <c r="AS986" s="226" t="str">
        <f t="shared" si="30"/>
        <v>M-Menace 90</v>
      </c>
      <c r="AT986" s="203" t="str">
        <f t="shared" si="31"/>
        <v xml:space="preserve"> DynastarM-Menace 90150 Unisex</v>
      </c>
    </row>
    <row r="987" spans="1:46" ht="118.8">
      <c r="A987" t="s">
        <v>155</v>
      </c>
      <c r="B987" t="s">
        <v>174</v>
      </c>
      <c r="C987" t="s">
        <v>516</v>
      </c>
      <c r="D987">
        <v>182</v>
      </c>
      <c r="E987" t="s">
        <v>158</v>
      </c>
      <c r="F987">
        <v>182</v>
      </c>
      <c r="G987">
        <v>181</v>
      </c>
      <c r="H987">
        <v>137</v>
      </c>
      <c r="I987">
        <v>152</v>
      </c>
      <c r="J987">
        <v>132</v>
      </c>
      <c r="K987">
        <v>95</v>
      </c>
      <c r="L987">
        <v>113</v>
      </c>
      <c r="M987">
        <v>19.2</v>
      </c>
      <c r="N987">
        <v>2111</v>
      </c>
      <c r="O987">
        <v>0.92</v>
      </c>
      <c r="P987">
        <v>1936</v>
      </c>
      <c r="Q987">
        <v>238</v>
      </c>
      <c r="R987">
        <v>133</v>
      </c>
      <c r="S987">
        <v>49</v>
      </c>
      <c r="T987">
        <v>245</v>
      </c>
      <c r="U987">
        <v>9</v>
      </c>
      <c r="V987">
        <v>193</v>
      </c>
      <c r="W987">
        <v>0.191</v>
      </c>
      <c r="X987">
        <v>159</v>
      </c>
      <c r="Y987">
        <v>134</v>
      </c>
      <c r="Z987">
        <v>86</v>
      </c>
      <c r="AA987">
        <v>9</v>
      </c>
      <c r="AB987">
        <v>9.6</v>
      </c>
      <c r="AC987" t="s">
        <v>188</v>
      </c>
      <c r="AG987" t="s">
        <v>5900</v>
      </c>
      <c r="AH987" t="s">
        <v>1337</v>
      </c>
      <c r="AI987" s="245">
        <v>449</v>
      </c>
      <c r="AJ987" t="s">
        <v>5901</v>
      </c>
      <c r="AK987" t="s">
        <v>5902</v>
      </c>
      <c r="AL987" t="s">
        <v>1204</v>
      </c>
      <c r="AM987" s="245">
        <v>480.86</v>
      </c>
      <c r="AN987" t="s">
        <v>5903</v>
      </c>
      <c r="AO987" t="s">
        <v>4101</v>
      </c>
      <c r="AP987" t="s">
        <v>1185</v>
      </c>
      <c r="AQ987" s="245">
        <v>489.99</v>
      </c>
      <c r="AR987" t="s">
        <v>5904</v>
      </c>
      <c r="AS987" s="226" t="str">
        <f t="shared" si="30"/>
        <v>Stance 96</v>
      </c>
      <c r="AT987" s="203" t="str">
        <f t="shared" si="31"/>
        <v xml:space="preserve"> SalomonStance 96182 Unisex</v>
      </c>
    </row>
    <row r="988" spans="1:46" ht="171.6">
      <c r="A988" t="s">
        <v>155</v>
      </c>
      <c r="B988" t="s">
        <v>215</v>
      </c>
      <c r="C988" t="s">
        <v>727</v>
      </c>
      <c r="D988">
        <v>151</v>
      </c>
      <c r="E988" t="s">
        <v>163</v>
      </c>
      <c r="F988">
        <v>151</v>
      </c>
      <c r="G988">
        <v>150.19999999999999</v>
      </c>
      <c r="H988">
        <v>91</v>
      </c>
      <c r="I988">
        <v>121</v>
      </c>
      <c r="J988">
        <v>125</v>
      </c>
      <c r="K988">
        <v>90</v>
      </c>
      <c r="L988">
        <v>111</v>
      </c>
      <c r="M988">
        <v>11.8</v>
      </c>
      <c r="N988">
        <v>1420</v>
      </c>
      <c r="O988">
        <v>1.07</v>
      </c>
      <c r="P988">
        <v>1516</v>
      </c>
      <c r="Q988">
        <v>144</v>
      </c>
      <c r="R988">
        <v>72</v>
      </c>
      <c r="S988">
        <v>44</v>
      </c>
      <c r="T988">
        <v>351</v>
      </c>
      <c r="U988">
        <v>21</v>
      </c>
      <c r="V988">
        <v>243</v>
      </c>
      <c r="W988">
        <v>0.48599999999999999</v>
      </c>
      <c r="X988">
        <v>135</v>
      </c>
      <c r="Y988">
        <v>157</v>
      </c>
      <c r="Z988">
        <v>216</v>
      </c>
      <c r="AA988">
        <v>4</v>
      </c>
      <c r="AB988">
        <v>7.8</v>
      </c>
      <c r="AC988" t="s">
        <v>188</v>
      </c>
      <c r="AD988" t="s">
        <v>185</v>
      </c>
      <c r="AG988" t="s">
        <v>5905</v>
      </c>
      <c r="AH988" t="s">
        <v>1240</v>
      </c>
      <c r="AI988" s="245">
        <v>369.95</v>
      </c>
      <c r="AJ988" t="s">
        <v>5906</v>
      </c>
      <c r="AK988" t="s">
        <v>5907</v>
      </c>
      <c r="AL988" t="s">
        <v>1450</v>
      </c>
      <c r="AM988" s="245">
        <v>439.99</v>
      </c>
      <c r="AN988" t="s">
        <v>5908</v>
      </c>
      <c r="AO988" t="s">
        <v>5909</v>
      </c>
      <c r="AP988" t="s">
        <v>1405</v>
      </c>
      <c r="AQ988" s="245">
        <v>624.99</v>
      </c>
      <c r="AR988" t="s">
        <v>5910</v>
      </c>
      <c r="AS988" s="226" t="str">
        <f t="shared" si="30"/>
        <v>Genesis 90</v>
      </c>
      <c r="AT988" s="203" t="str">
        <f t="shared" si="31"/>
        <v xml:space="preserve"> LibertyGenesis 90151 Women's</v>
      </c>
    </row>
    <row r="989" spans="1:46" ht="118.8">
      <c r="A989" t="s">
        <v>155</v>
      </c>
      <c r="B989" t="s">
        <v>164</v>
      </c>
      <c r="C989" t="s">
        <v>777</v>
      </c>
      <c r="D989">
        <v>152</v>
      </c>
      <c r="E989" t="s">
        <v>163</v>
      </c>
      <c r="F989">
        <v>152</v>
      </c>
      <c r="G989">
        <v>151.30000000000001</v>
      </c>
      <c r="H989">
        <v>124</v>
      </c>
      <c r="I989">
        <v>138</v>
      </c>
      <c r="J989">
        <v>126</v>
      </c>
      <c r="K989">
        <v>74</v>
      </c>
      <c r="L989">
        <v>101</v>
      </c>
      <c r="M989">
        <v>12</v>
      </c>
      <c r="N989">
        <v>1553</v>
      </c>
      <c r="O989">
        <v>0.87</v>
      </c>
      <c r="P989">
        <v>1355</v>
      </c>
      <c r="Q989">
        <v>160</v>
      </c>
      <c r="R989">
        <v>53</v>
      </c>
      <c r="S989">
        <v>38</v>
      </c>
      <c r="T989">
        <v>181</v>
      </c>
      <c r="U989">
        <v>11</v>
      </c>
      <c r="V989">
        <v>92</v>
      </c>
      <c r="W989">
        <v>0.27800000000000002</v>
      </c>
      <c r="X989">
        <v>76</v>
      </c>
      <c r="Y989">
        <v>55</v>
      </c>
      <c r="Z989">
        <v>105</v>
      </c>
      <c r="AA989">
        <v>6</v>
      </c>
      <c r="AB989">
        <v>10.4</v>
      </c>
      <c r="AC989" t="s">
        <v>160</v>
      </c>
      <c r="AG989" t="s">
        <v>5911</v>
      </c>
      <c r="AH989" t="s">
        <v>3322</v>
      </c>
      <c r="AI989" s="245">
        <v>449.99</v>
      </c>
      <c r="AJ989" t="s">
        <v>5912</v>
      </c>
      <c r="AK989" t="s">
        <v>5913</v>
      </c>
      <c r="AL989" t="s">
        <v>4980</v>
      </c>
      <c r="AM989" s="245">
        <v>449.99</v>
      </c>
      <c r="AN989" t="s">
        <v>5914</v>
      </c>
      <c r="AO989" t="s">
        <v>5915</v>
      </c>
      <c r="AP989" t="s">
        <v>3990</v>
      </c>
      <c r="AQ989" s="245">
        <v>449.99</v>
      </c>
      <c r="AR989" t="s">
        <v>5916</v>
      </c>
      <c r="AS989" s="226" t="str">
        <f t="shared" si="30"/>
        <v>Element W</v>
      </c>
      <c r="AT989" s="203" t="str">
        <f t="shared" si="31"/>
        <v xml:space="preserve"> ElanElement W152 Women's</v>
      </c>
    </row>
    <row r="990" spans="1:46" ht="118.8">
      <c r="A990" t="s">
        <v>155</v>
      </c>
      <c r="B990" t="s">
        <v>167</v>
      </c>
      <c r="C990" t="s">
        <v>833</v>
      </c>
      <c r="D990">
        <v>158</v>
      </c>
      <c r="E990" t="s">
        <v>163</v>
      </c>
      <c r="F990">
        <v>158</v>
      </c>
      <c r="G990">
        <v>157.6</v>
      </c>
      <c r="H990">
        <v>132</v>
      </c>
      <c r="I990">
        <v>140</v>
      </c>
      <c r="J990">
        <v>132</v>
      </c>
      <c r="K990">
        <v>84</v>
      </c>
      <c r="L990">
        <v>111</v>
      </c>
      <c r="M990">
        <v>12.9</v>
      </c>
      <c r="N990">
        <v>1435</v>
      </c>
      <c r="O990">
        <v>1.08</v>
      </c>
      <c r="P990">
        <v>1549</v>
      </c>
      <c r="Q990">
        <v>168</v>
      </c>
      <c r="R990">
        <v>59</v>
      </c>
      <c r="S990">
        <v>44</v>
      </c>
      <c r="T990">
        <v>185</v>
      </c>
      <c r="U990">
        <v>12</v>
      </c>
      <c r="V990">
        <v>72</v>
      </c>
      <c r="W990">
        <v>0.26600000000000001</v>
      </c>
      <c r="X990">
        <v>111</v>
      </c>
      <c r="Y990">
        <v>66</v>
      </c>
      <c r="Z990">
        <v>74</v>
      </c>
      <c r="AA990">
        <v>10</v>
      </c>
      <c r="AB990">
        <v>10.1</v>
      </c>
      <c r="AC990" t="s">
        <v>231</v>
      </c>
      <c r="AD990" t="s">
        <v>188</v>
      </c>
      <c r="AE990" t="s">
        <v>185</v>
      </c>
      <c r="AG990" t="s">
        <v>4838</v>
      </c>
      <c r="AH990" t="s">
        <v>2789</v>
      </c>
      <c r="AI990" s="245">
        <v>229</v>
      </c>
      <c r="AJ990" t="s">
        <v>5917</v>
      </c>
      <c r="AK990" t="s">
        <v>4714</v>
      </c>
      <c r="AL990" t="s">
        <v>2297</v>
      </c>
      <c r="AM990" s="245">
        <v>249</v>
      </c>
      <c r="AN990" t="s">
        <v>5918</v>
      </c>
      <c r="AO990" t="s">
        <v>5919</v>
      </c>
      <c r="AP990" t="s">
        <v>1566</v>
      </c>
      <c r="AQ990" s="245">
        <v>570</v>
      </c>
      <c r="AR990" t="s">
        <v>5920</v>
      </c>
      <c r="AS990" s="226" t="str">
        <f t="shared" si="30"/>
        <v>Total Joy</v>
      </c>
      <c r="AT990" s="203" t="str">
        <f t="shared" si="31"/>
        <v xml:space="preserve"> HeadTotal Joy158 Women's</v>
      </c>
    </row>
    <row r="991" spans="1:46" ht="66">
      <c r="A991" t="s">
        <v>155</v>
      </c>
      <c r="B991" t="s">
        <v>167</v>
      </c>
      <c r="C991" t="s">
        <v>835</v>
      </c>
      <c r="D991">
        <v>177</v>
      </c>
      <c r="E991" t="s">
        <v>158</v>
      </c>
      <c r="F991">
        <v>177</v>
      </c>
      <c r="G991">
        <v>175.7</v>
      </c>
      <c r="H991">
        <v>111</v>
      </c>
      <c r="I991">
        <v>137</v>
      </c>
      <c r="J991">
        <v>142</v>
      </c>
      <c r="K991">
        <v>114</v>
      </c>
      <c r="L991">
        <v>126</v>
      </c>
      <c r="M991">
        <v>23</v>
      </c>
      <c r="N991">
        <v>1835</v>
      </c>
      <c r="O991">
        <v>1.17</v>
      </c>
      <c r="P991">
        <v>2150</v>
      </c>
      <c r="Q991">
        <v>273</v>
      </c>
      <c r="R991">
        <v>138</v>
      </c>
      <c r="S991">
        <v>67</v>
      </c>
      <c r="T991">
        <v>285</v>
      </c>
      <c r="U991">
        <v>21</v>
      </c>
      <c r="V991">
        <v>365</v>
      </c>
      <c r="W991">
        <v>0.309</v>
      </c>
      <c r="X991">
        <v>233</v>
      </c>
      <c r="Y991">
        <v>152</v>
      </c>
      <c r="Z991">
        <v>52</v>
      </c>
      <c r="AA991">
        <v>4</v>
      </c>
      <c r="AB991">
        <v>6.6</v>
      </c>
      <c r="AC991" t="s">
        <v>178</v>
      </c>
      <c r="AD991" t="s">
        <v>185</v>
      </c>
      <c r="AG991" t="s">
        <v>5921</v>
      </c>
      <c r="AH991" t="s">
        <v>1191</v>
      </c>
      <c r="AI991" s="245">
        <v>564.95000000000005</v>
      </c>
      <c r="AJ991" t="s">
        <v>5922</v>
      </c>
      <c r="AK991" t="s">
        <v>5921</v>
      </c>
      <c r="AL991" t="s">
        <v>1271</v>
      </c>
      <c r="AM991" s="245">
        <v>569</v>
      </c>
      <c r="AN991" t="s">
        <v>5923</v>
      </c>
      <c r="AO991" t="s">
        <v>5921</v>
      </c>
      <c r="AP991" t="s">
        <v>1224</v>
      </c>
      <c r="AQ991" s="245">
        <v>599</v>
      </c>
      <c r="AR991" t="s">
        <v>5924</v>
      </c>
      <c r="AS991" s="226" t="str">
        <f t="shared" si="30"/>
        <v>Kore 117</v>
      </c>
      <c r="AT991" s="203" t="str">
        <f t="shared" si="31"/>
        <v xml:space="preserve"> HeadKore 117177 Unisex</v>
      </c>
    </row>
    <row r="992" spans="1:46" ht="66">
      <c r="A992" t="s">
        <v>155</v>
      </c>
      <c r="B992" t="s">
        <v>1395</v>
      </c>
      <c r="C992" t="s">
        <v>445</v>
      </c>
      <c r="D992">
        <v>148</v>
      </c>
      <c r="E992" t="s">
        <v>163</v>
      </c>
      <c r="F992">
        <v>148</v>
      </c>
      <c r="G992">
        <v>147.80000000000001</v>
      </c>
      <c r="H992">
        <v>110</v>
      </c>
      <c r="I992">
        <v>133</v>
      </c>
      <c r="J992">
        <v>119</v>
      </c>
      <c r="K992">
        <v>85</v>
      </c>
      <c r="L992">
        <v>109</v>
      </c>
      <c r="M992">
        <v>14.7</v>
      </c>
      <c r="N992">
        <v>1429</v>
      </c>
      <c r="O992">
        <v>0.99</v>
      </c>
      <c r="P992">
        <v>1414</v>
      </c>
      <c r="Q992">
        <v>144</v>
      </c>
      <c r="R992">
        <v>68</v>
      </c>
      <c r="S992">
        <v>39</v>
      </c>
      <c r="T992">
        <v>205</v>
      </c>
      <c r="U992">
        <v>39</v>
      </c>
      <c r="V992">
        <v>177</v>
      </c>
      <c r="W992">
        <v>1.0029999999999999</v>
      </c>
      <c r="X992">
        <v>78</v>
      </c>
      <c r="Y992">
        <v>71</v>
      </c>
      <c r="Z992">
        <v>127</v>
      </c>
      <c r="AA992">
        <v>3</v>
      </c>
      <c r="AB992">
        <v>1.9</v>
      </c>
      <c r="AC992" t="s">
        <v>184</v>
      </c>
      <c r="AG992" t="s">
        <v>3610</v>
      </c>
      <c r="AH992" t="s">
        <v>1265</v>
      </c>
      <c r="AI992" s="245">
        <v>252.45</v>
      </c>
      <c r="AJ992" t="s">
        <v>5925</v>
      </c>
      <c r="AK992" t="s">
        <v>5926</v>
      </c>
      <c r="AL992" t="s">
        <v>1211</v>
      </c>
      <c r="AM992" s="245">
        <v>399.99</v>
      </c>
      <c r="AN992" t="s">
        <v>5927</v>
      </c>
      <c r="AO992" t="s">
        <v>3612</v>
      </c>
      <c r="AP992" t="s">
        <v>2818</v>
      </c>
      <c r="AQ992" s="245">
        <v>299</v>
      </c>
      <c r="AR992" t="s">
        <v>5928</v>
      </c>
      <c r="AS992" s="226" t="str">
        <f t="shared" si="30"/>
        <v>Bash 86 W</v>
      </c>
      <c r="AT992" s="203" t="str">
        <f t="shared" si="31"/>
        <v xml:space="preserve"> Vï¿½lklBash 86 W148 Women's</v>
      </c>
    </row>
    <row r="993" spans="1:46" ht="66">
      <c r="A993" t="s">
        <v>155</v>
      </c>
      <c r="B993" t="s">
        <v>182</v>
      </c>
      <c r="C993" t="s">
        <v>837</v>
      </c>
      <c r="D993">
        <v>147</v>
      </c>
      <c r="E993" t="s">
        <v>385</v>
      </c>
      <c r="F993">
        <v>147</v>
      </c>
      <c r="G993">
        <v>146</v>
      </c>
      <c r="H993">
        <v>96</v>
      </c>
      <c r="I993">
        <v>106</v>
      </c>
      <c r="J993">
        <v>127</v>
      </c>
      <c r="K993">
        <v>98</v>
      </c>
      <c r="L993">
        <v>117</v>
      </c>
      <c r="M993">
        <v>10.1</v>
      </c>
      <c r="N993">
        <v>1409</v>
      </c>
      <c r="O993">
        <v>1.1299999999999999</v>
      </c>
      <c r="P993">
        <v>1591</v>
      </c>
      <c r="Q993">
        <v>123</v>
      </c>
      <c r="R993">
        <v>71</v>
      </c>
      <c r="S993">
        <v>46</v>
      </c>
      <c r="T993">
        <v>349</v>
      </c>
      <c r="U993">
        <v>34</v>
      </c>
      <c r="V993">
        <v>152</v>
      </c>
      <c r="W993">
        <v>0.74099999999999999</v>
      </c>
      <c r="X993">
        <v>262</v>
      </c>
      <c r="Y993">
        <v>135</v>
      </c>
      <c r="Z993">
        <v>87</v>
      </c>
      <c r="AA993">
        <v>8</v>
      </c>
      <c r="AB993">
        <v>8</v>
      </c>
      <c r="AC993" t="s">
        <v>188</v>
      </c>
      <c r="AD993" t="s">
        <v>185</v>
      </c>
      <c r="AG993" t="s">
        <v>5929</v>
      </c>
      <c r="AH993" t="s">
        <v>1232</v>
      </c>
      <c r="AI993" s="245">
        <v>319.95</v>
      </c>
      <c r="AJ993" t="s">
        <v>5930</v>
      </c>
      <c r="AK993" t="s">
        <v>5929</v>
      </c>
      <c r="AL993" t="s">
        <v>1224</v>
      </c>
      <c r="AM993" s="245">
        <v>319.95999999999998</v>
      </c>
      <c r="AN993" t="s">
        <v>5931</v>
      </c>
      <c r="AO993" t="s">
        <v>5929</v>
      </c>
      <c r="AP993" t="s">
        <v>1248</v>
      </c>
      <c r="AQ993" s="245">
        <v>319.95999999999998</v>
      </c>
      <c r="AR993" t="s">
        <v>5932</v>
      </c>
      <c r="AS993" s="226" t="str">
        <f t="shared" si="30"/>
        <v>Tantrum</v>
      </c>
      <c r="AT993" s="203" t="str">
        <f t="shared" si="31"/>
        <v xml:space="preserve"> ArmadaTantrum147 Junior</v>
      </c>
    </row>
    <row r="994" spans="1:46" ht="105.6">
      <c r="A994" t="s">
        <v>155</v>
      </c>
      <c r="B994" t="s">
        <v>317</v>
      </c>
      <c r="C994" t="s">
        <v>571</v>
      </c>
      <c r="D994">
        <v>148</v>
      </c>
      <c r="E994" t="s">
        <v>163</v>
      </c>
      <c r="F994">
        <v>148</v>
      </c>
      <c r="G994">
        <v>147.30000000000001</v>
      </c>
      <c r="H994">
        <v>103</v>
      </c>
      <c r="I994">
        <v>115</v>
      </c>
      <c r="J994">
        <v>117</v>
      </c>
      <c r="K994">
        <v>89</v>
      </c>
      <c r="L994">
        <v>107</v>
      </c>
      <c r="M994">
        <v>12.7</v>
      </c>
      <c r="N994">
        <v>1323</v>
      </c>
      <c r="O994">
        <v>1.1000000000000001</v>
      </c>
      <c r="P994">
        <v>1457</v>
      </c>
      <c r="Q994">
        <v>122</v>
      </c>
      <c r="R994">
        <v>59</v>
      </c>
      <c r="S994">
        <v>48</v>
      </c>
      <c r="T994">
        <v>269</v>
      </c>
      <c r="U994">
        <v>21</v>
      </c>
      <c r="V994">
        <v>172</v>
      </c>
      <c r="W994">
        <v>0.435</v>
      </c>
      <c r="X994">
        <v>149</v>
      </c>
      <c r="Y994">
        <v>174</v>
      </c>
      <c r="Z994">
        <v>121</v>
      </c>
      <c r="AA994">
        <v>5</v>
      </c>
      <c r="AB994">
        <v>6.5</v>
      </c>
      <c r="AC994" t="s">
        <v>188</v>
      </c>
      <c r="AD994" t="s">
        <v>185</v>
      </c>
      <c r="AG994" t="s">
        <v>5933</v>
      </c>
      <c r="AH994" t="s">
        <v>2654</v>
      </c>
      <c r="AI994" s="245">
        <v>476.85</v>
      </c>
      <c r="AJ994" t="s">
        <v>5934</v>
      </c>
      <c r="AK994" t="s">
        <v>3089</v>
      </c>
      <c r="AL994" t="s">
        <v>1271</v>
      </c>
      <c r="AM994" s="245">
        <v>479.93</v>
      </c>
      <c r="AN994" t="s">
        <v>5935</v>
      </c>
      <c r="AO994" t="s">
        <v>3089</v>
      </c>
      <c r="AP994" t="s">
        <v>1400</v>
      </c>
      <c r="AQ994" s="245">
        <v>479.95</v>
      </c>
      <c r="AR994" t="s">
        <v>5936</v>
      </c>
      <c r="AS994" s="226" t="str">
        <f t="shared" si="30"/>
        <v>Sheeva 9</v>
      </c>
      <c r="AT994" s="203" t="str">
        <f t="shared" si="31"/>
        <v xml:space="preserve"> BlizzardSheeva 9148 Women's</v>
      </c>
    </row>
    <row r="995" spans="1:46" ht="105.6">
      <c r="A995" t="s">
        <v>155</v>
      </c>
      <c r="B995" t="s">
        <v>317</v>
      </c>
      <c r="C995" t="s">
        <v>618</v>
      </c>
      <c r="D995">
        <v>145</v>
      </c>
      <c r="E995" t="s">
        <v>163</v>
      </c>
      <c r="F995">
        <v>145</v>
      </c>
      <c r="G995">
        <v>143.5</v>
      </c>
      <c r="H995">
        <v>112</v>
      </c>
      <c r="I995">
        <v>121</v>
      </c>
      <c r="J995">
        <v>118</v>
      </c>
      <c r="K995">
        <v>81</v>
      </c>
      <c r="L995">
        <v>102</v>
      </c>
      <c r="M995">
        <v>11.7</v>
      </c>
      <c r="N995">
        <v>1395</v>
      </c>
      <c r="O995">
        <v>0.96</v>
      </c>
      <c r="P995">
        <v>1335</v>
      </c>
      <c r="Q995">
        <v>123</v>
      </c>
      <c r="R995">
        <v>66</v>
      </c>
      <c r="S995">
        <v>52</v>
      </c>
      <c r="T995">
        <v>204</v>
      </c>
      <c r="U995">
        <v>7</v>
      </c>
      <c r="V995">
        <v>111</v>
      </c>
      <c r="W995">
        <v>0.14000000000000001</v>
      </c>
      <c r="X995">
        <v>121</v>
      </c>
      <c r="Y995">
        <v>107</v>
      </c>
      <c r="Z995">
        <v>83</v>
      </c>
      <c r="AA995">
        <v>5</v>
      </c>
      <c r="AB995">
        <v>10.9</v>
      </c>
      <c r="AC995" t="s">
        <v>231</v>
      </c>
      <c r="AD995" t="s">
        <v>188</v>
      </c>
      <c r="AG995" t="s">
        <v>5937</v>
      </c>
      <c r="AH995" t="s">
        <v>2967</v>
      </c>
      <c r="AI995" s="245">
        <v>450</v>
      </c>
      <c r="AJ995" t="s">
        <v>5938</v>
      </c>
      <c r="AK995" t="s">
        <v>3549</v>
      </c>
      <c r="AL995" t="s">
        <v>1271</v>
      </c>
      <c r="AM995" s="245">
        <v>489.93</v>
      </c>
      <c r="AN995" t="s">
        <v>5939</v>
      </c>
      <c r="AO995" t="s">
        <v>3549</v>
      </c>
      <c r="AP995" t="s">
        <v>3822</v>
      </c>
      <c r="AQ995" s="245">
        <v>539.95000000000005</v>
      </c>
      <c r="AR995" t="s">
        <v>5940</v>
      </c>
      <c r="AS995" s="226" t="str">
        <f t="shared" si="30"/>
        <v>Black Pearl 82</v>
      </c>
      <c r="AT995" s="203" t="str">
        <f t="shared" si="31"/>
        <v xml:space="preserve"> BlizzardBlack Pearl 82145 Women's</v>
      </c>
    </row>
    <row r="996" spans="1:46" ht="118.8">
      <c r="A996" t="s">
        <v>155</v>
      </c>
      <c r="B996" t="s">
        <v>164</v>
      </c>
      <c r="C996" t="s">
        <v>717</v>
      </c>
      <c r="D996">
        <v>152</v>
      </c>
      <c r="E996" t="s">
        <v>158</v>
      </c>
      <c r="F996">
        <v>152</v>
      </c>
      <c r="G996">
        <v>151.30000000000001</v>
      </c>
      <c r="H996">
        <v>128</v>
      </c>
      <c r="I996">
        <v>137</v>
      </c>
      <c r="J996">
        <v>125</v>
      </c>
      <c r="K996">
        <v>74</v>
      </c>
      <c r="L996">
        <v>100</v>
      </c>
      <c r="M996">
        <v>12</v>
      </c>
      <c r="N996">
        <v>1543</v>
      </c>
      <c r="O996">
        <v>0.87</v>
      </c>
      <c r="P996">
        <v>1349</v>
      </c>
      <c r="Q996">
        <v>144</v>
      </c>
      <c r="R996">
        <v>54</v>
      </c>
      <c r="S996">
        <v>35</v>
      </c>
      <c r="T996">
        <v>159</v>
      </c>
      <c r="U996">
        <v>9</v>
      </c>
      <c r="V996">
        <v>70</v>
      </c>
      <c r="W996">
        <v>0.25600000000000001</v>
      </c>
      <c r="X996">
        <v>91</v>
      </c>
      <c r="Y996">
        <v>53</v>
      </c>
      <c r="Z996">
        <v>69</v>
      </c>
      <c r="AA996">
        <v>6</v>
      </c>
      <c r="AB996">
        <v>11.5</v>
      </c>
      <c r="AC996" t="s">
        <v>349</v>
      </c>
      <c r="AG996" t="s">
        <v>5911</v>
      </c>
      <c r="AH996" t="s">
        <v>3322</v>
      </c>
      <c r="AI996" s="245">
        <v>449.99</v>
      </c>
      <c r="AJ996" t="s">
        <v>5941</v>
      </c>
      <c r="AK996" t="s">
        <v>5913</v>
      </c>
      <c r="AL996" t="s">
        <v>4980</v>
      </c>
      <c r="AM996" s="245">
        <v>449.99</v>
      </c>
      <c r="AN996" t="s">
        <v>5942</v>
      </c>
      <c r="AO996" t="s">
        <v>5915</v>
      </c>
      <c r="AP996" t="s">
        <v>3990</v>
      </c>
      <c r="AQ996" s="245">
        <v>449.99</v>
      </c>
      <c r="AR996" t="s">
        <v>5943</v>
      </c>
      <c r="AS996" s="226" t="str">
        <f t="shared" si="30"/>
        <v>Element</v>
      </c>
      <c r="AT996" s="203" t="str">
        <f t="shared" si="31"/>
        <v xml:space="preserve"> ElanElement152 Unisex</v>
      </c>
    </row>
    <row r="997" spans="1:46" ht="79.2">
      <c r="A997" t="s">
        <v>155</v>
      </c>
      <c r="B997" t="s">
        <v>182</v>
      </c>
      <c r="C997" t="s">
        <v>839</v>
      </c>
      <c r="D997">
        <v>182</v>
      </c>
      <c r="E997" t="s">
        <v>158</v>
      </c>
      <c r="F997">
        <v>182</v>
      </c>
      <c r="G997">
        <v>181.5</v>
      </c>
      <c r="H997">
        <v>126</v>
      </c>
      <c r="I997">
        <v>147</v>
      </c>
      <c r="J997">
        <v>135</v>
      </c>
      <c r="K997">
        <v>107</v>
      </c>
      <c r="L997">
        <v>124</v>
      </c>
      <c r="M997">
        <v>22.1</v>
      </c>
      <c r="N997">
        <v>1962</v>
      </c>
      <c r="O997">
        <v>1.07</v>
      </c>
      <c r="P997">
        <v>2102</v>
      </c>
      <c r="Q997">
        <v>251</v>
      </c>
      <c r="R997">
        <v>152</v>
      </c>
      <c r="S997">
        <v>56</v>
      </c>
      <c r="T997">
        <v>369</v>
      </c>
      <c r="U997">
        <v>25</v>
      </c>
      <c r="V997">
        <v>187</v>
      </c>
      <c r="W997">
        <v>0.45299999999999901</v>
      </c>
      <c r="X997">
        <v>210</v>
      </c>
      <c r="Y997">
        <v>139</v>
      </c>
      <c r="Z997">
        <v>159</v>
      </c>
      <c r="AA997">
        <v>7</v>
      </c>
      <c r="AB997">
        <v>10.6</v>
      </c>
      <c r="AC997" t="s">
        <v>169</v>
      </c>
      <c r="AD997" t="s">
        <v>185</v>
      </c>
      <c r="AG997" t="s">
        <v>4982</v>
      </c>
      <c r="AH997" t="s">
        <v>1194</v>
      </c>
      <c r="AI997" s="245">
        <v>483.95</v>
      </c>
      <c r="AJ997" t="s">
        <v>5944</v>
      </c>
      <c r="AK997" t="s">
        <v>4982</v>
      </c>
      <c r="AL997" t="s">
        <v>1280</v>
      </c>
      <c r="AM997" s="245">
        <v>639.92999999999995</v>
      </c>
      <c r="AN997" t="s">
        <v>5945</v>
      </c>
      <c r="AO997" t="s">
        <v>4982</v>
      </c>
      <c r="AP997" t="s">
        <v>1232</v>
      </c>
      <c r="AQ997" s="245">
        <v>639.95000000000005</v>
      </c>
      <c r="AR997" t="s">
        <v>5946</v>
      </c>
      <c r="AS997" s="226" t="str">
        <f t="shared" si="30"/>
        <v>Declivity 108 Ti</v>
      </c>
      <c r="AT997" s="203" t="str">
        <f t="shared" si="31"/>
        <v xml:space="preserve"> ArmadaDeclivity 108 Ti182 Unisex</v>
      </c>
    </row>
    <row r="998" spans="1:46" ht="66">
      <c r="A998" t="s">
        <v>155</v>
      </c>
      <c r="B998" t="s">
        <v>329</v>
      </c>
      <c r="C998" t="s">
        <v>520</v>
      </c>
      <c r="D998">
        <v>165</v>
      </c>
      <c r="E998" t="s">
        <v>158</v>
      </c>
      <c r="F998">
        <v>165</v>
      </c>
      <c r="G998">
        <v>163.1</v>
      </c>
      <c r="H998">
        <v>114</v>
      </c>
      <c r="I998">
        <v>140</v>
      </c>
      <c r="J998">
        <v>121</v>
      </c>
      <c r="K998">
        <v>86</v>
      </c>
      <c r="L998">
        <v>109</v>
      </c>
      <c r="M998">
        <v>16.600000000000001</v>
      </c>
      <c r="N998">
        <v>1101</v>
      </c>
      <c r="O998">
        <v>1.43</v>
      </c>
      <c r="P998">
        <v>1571</v>
      </c>
      <c r="Q998">
        <v>228</v>
      </c>
      <c r="R998">
        <v>77</v>
      </c>
      <c r="S998">
        <v>54</v>
      </c>
      <c r="T998">
        <v>318</v>
      </c>
      <c r="U998">
        <v>12</v>
      </c>
      <c r="V998">
        <v>168</v>
      </c>
      <c r="W998">
        <v>0.22500000000000001</v>
      </c>
      <c r="X998">
        <v>140</v>
      </c>
      <c r="Y998">
        <v>93</v>
      </c>
      <c r="Z998">
        <v>179</v>
      </c>
      <c r="AA998">
        <v>5</v>
      </c>
      <c r="AB998">
        <v>12.4</v>
      </c>
      <c r="AC998" t="s">
        <v>185</v>
      </c>
      <c r="AD998" t="s">
        <v>198</v>
      </c>
      <c r="AG998" t="s">
        <v>5947</v>
      </c>
      <c r="AH998" t="s">
        <v>1226</v>
      </c>
      <c r="AI998" s="245">
        <v>559.99</v>
      </c>
      <c r="AJ998" t="s">
        <v>5948</v>
      </c>
      <c r="AK998" t="s">
        <v>5947</v>
      </c>
      <c r="AL998" t="s">
        <v>2654</v>
      </c>
      <c r="AM998" s="245">
        <v>560.97</v>
      </c>
      <c r="AN998" t="s">
        <v>5949</v>
      </c>
      <c r="AO998" t="s">
        <v>5950</v>
      </c>
      <c r="AP998" t="s">
        <v>1468</v>
      </c>
      <c r="AQ998" s="245">
        <v>599.95000000000005</v>
      </c>
      <c r="AR998" t="s">
        <v>5951</v>
      </c>
      <c r="AS998" s="226" t="str">
        <f t="shared" si="30"/>
        <v>Blacklight 88</v>
      </c>
      <c r="AT998" s="203" t="str">
        <f t="shared" si="31"/>
        <v xml:space="preserve"> DynafitBlacklight 88165 Unisex</v>
      </c>
    </row>
    <row r="999" spans="1:46" ht="92.4">
      <c r="A999" t="s">
        <v>155</v>
      </c>
      <c r="B999" t="s">
        <v>1395</v>
      </c>
      <c r="C999" t="s">
        <v>624</v>
      </c>
      <c r="D999">
        <v>159</v>
      </c>
      <c r="E999" t="s">
        <v>158</v>
      </c>
      <c r="F999">
        <v>159</v>
      </c>
      <c r="G999">
        <v>159.69999999999999</v>
      </c>
      <c r="H999">
        <v>115</v>
      </c>
      <c r="I999">
        <v>135</v>
      </c>
      <c r="J999">
        <v>128</v>
      </c>
      <c r="K999">
        <v>85</v>
      </c>
      <c r="L999">
        <v>110</v>
      </c>
      <c r="M999">
        <v>12.8</v>
      </c>
      <c r="N999">
        <v>1264</v>
      </c>
      <c r="O999">
        <v>1.26</v>
      </c>
      <c r="P999">
        <v>1587</v>
      </c>
      <c r="Q999">
        <v>156</v>
      </c>
      <c r="R999">
        <v>74</v>
      </c>
      <c r="S999">
        <v>47</v>
      </c>
      <c r="T999">
        <v>277</v>
      </c>
      <c r="U999">
        <v>17</v>
      </c>
      <c r="V999">
        <v>170</v>
      </c>
      <c r="W999">
        <v>0.36799999999999999</v>
      </c>
      <c r="X999">
        <v>145</v>
      </c>
      <c r="Y999">
        <v>98</v>
      </c>
      <c r="Z999">
        <v>133</v>
      </c>
      <c r="AA999">
        <v>3</v>
      </c>
      <c r="AB999">
        <v>11.6</v>
      </c>
      <c r="AC999" t="s">
        <v>188</v>
      </c>
      <c r="AD999" t="s">
        <v>185</v>
      </c>
      <c r="AE999" t="s">
        <v>198</v>
      </c>
      <c r="AG999" t="s">
        <v>5330</v>
      </c>
      <c r="AH999" t="s">
        <v>1185</v>
      </c>
      <c r="AI999" s="245">
        <v>349.99</v>
      </c>
      <c r="AJ999" t="s">
        <v>5952</v>
      </c>
      <c r="AK999" t="s">
        <v>5953</v>
      </c>
      <c r="AL999" t="s">
        <v>1706</v>
      </c>
      <c r="AM999" s="245">
        <v>399</v>
      </c>
      <c r="AN999" t="s">
        <v>5954</v>
      </c>
      <c r="AO999" t="s">
        <v>5330</v>
      </c>
      <c r="AP999" t="s">
        <v>1421</v>
      </c>
      <c r="AQ999" s="245">
        <v>399.99</v>
      </c>
      <c r="AR999" t="s">
        <v>5955</v>
      </c>
      <c r="AS999" s="226" t="str">
        <f t="shared" si="30"/>
        <v>Blaze 86</v>
      </c>
      <c r="AT999" s="203" t="str">
        <f t="shared" si="31"/>
        <v xml:space="preserve"> Vï¿½lklBlaze 86159 Unisex</v>
      </c>
    </row>
    <row r="1000" spans="1:46" ht="184.8">
      <c r="A1000" t="s">
        <v>155</v>
      </c>
      <c r="B1000" t="s">
        <v>156</v>
      </c>
      <c r="C1000" t="s">
        <v>536</v>
      </c>
      <c r="D1000">
        <v>158</v>
      </c>
      <c r="E1000" t="s">
        <v>158</v>
      </c>
      <c r="F1000">
        <v>158</v>
      </c>
      <c r="G1000">
        <v>157.1</v>
      </c>
      <c r="H1000">
        <v>118</v>
      </c>
      <c r="I1000">
        <v>130</v>
      </c>
      <c r="J1000">
        <v>115</v>
      </c>
      <c r="K1000">
        <v>86</v>
      </c>
      <c r="L1000">
        <v>103</v>
      </c>
      <c r="M1000">
        <v>15.4</v>
      </c>
      <c r="N1000">
        <v>1116</v>
      </c>
      <c r="O1000">
        <v>1.34</v>
      </c>
      <c r="P1000">
        <v>1490</v>
      </c>
      <c r="Q1000">
        <v>150</v>
      </c>
      <c r="R1000">
        <v>68</v>
      </c>
      <c r="S1000">
        <v>52</v>
      </c>
      <c r="T1000">
        <v>247</v>
      </c>
      <c r="U1000">
        <v>11</v>
      </c>
      <c r="V1000">
        <v>144</v>
      </c>
      <c r="W1000">
        <v>0.216</v>
      </c>
      <c r="X1000">
        <v>156</v>
      </c>
      <c r="Y1000">
        <v>117</v>
      </c>
      <c r="Z1000">
        <v>91</v>
      </c>
      <c r="AA1000">
        <v>4</v>
      </c>
      <c r="AB1000">
        <v>12.4</v>
      </c>
      <c r="AC1000" t="s">
        <v>185</v>
      </c>
      <c r="AD1000" t="s">
        <v>198</v>
      </c>
      <c r="AG1000" t="s">
        <v>5956</v>
      </c>
      <c r="AH1000" t="s">
        <v>3026</v>
      </c>
      <c r="AI1000" s="245">
        <v>501.79</v>
      </c>
      <c r="AJ1000" t="s">
        <v>5957</v>
      </c>
      <c r="AK1000" t="s">
        <v>5958</v>
      </c>
      <c r="AL1000" t="s">
        <v>1181</v>
      </c>
      <c r="AM1000" s="245">
        <v>1100</v>
      </c>
      <c r="AN1000" t="s">
        <v>5959</v>
      </c>
      <c r="AO1000" t="s">
        <v>5960</v>
      </c>
      <c r="AP1000" t="s">
        <v>1349</v>
      </c>
      <c r="AQ1000" s="245">
        <v>302.45999999999998</v>
      </c>
      <c r="AR1000" t="s">
        <v>5961</v>
      </c>
      <c r="AS1000" s="226" t="str">
        <f t="shared" si="30"/>
        <v>Backland 86 SL</v>
      </c>
      <c r="AT1000" s="203" t="str">
        <f t="shared" si="31"/>
        <v xml:space="preserve"> AtomicBackland 86 SL158 Unisex</v>
      </c>
    </row>
    <row r="1001" spans="1:46" ht="66">
      <c r="A1001" t="s">
        <v>155</v>
      </c>
      <c r="B1001" t="s">
        <v>1160</v>
      </c>
      <c r="C1001" t="s">
        <v>522</v>
      </c>
      <c r="D1001">
        <v>184</v>
      </c>
      <c r="E1001" t="s">
        <v>158</v>
      </c>
      <c r="F1001">
        <v>184</v>
      </c>
      <c r="G1001">
        <v>183.8</v>
      </c>
      <c r="H1001">
        <v>134</v>
      </c>
      <c r="I1001">
        <v>157</v>
      </c>
      <c r="J1001">
        <v>137</v>
      </c>
      <c r="K1001">
        <v>98</v>
      </c>
      <c r="L1001">
        <v>122</v>
      </c>
      <c r="M1001">
        <v>19.2</v>
      </c>
      <c r="N1001">
        <v>2191</v>
      </c>
      <c r="O1001">
        <v>0.93</v>
      </c>
      <c r="P1001">
        <v>2027</v>
      </c>
      <c r="Q1001">
        <v>228</v>
      </c>
      <c r="R1001">
        <v>136</v>
      </c>
      <c r="S1001">
        <v>50</v>
      </c>
      <c r="T1001">
        <v>312</v>
      </c>
      <c r="U1001">
        <v>17</v>
      </c>
      <c r="V1001">
        <v>190</v>
      </c>
      <c r="W1001">
        <v>0.32899999999999902</v>
      </c>
      <c r="X1001">
        <v>149</v>
      </c>
      <c r="Y1001">
        <v>120</v>
      </c>
      <c r="Z1001">
        <v>163</v>
      </c>
      <c r="AA1001">
        <v>7</v>
      </c>
      <c r="AB1001">
        <v>11.3</v>
      </c>
      <c r="AC1001" t="s">
        <v>188</v>
      </c>
      <c r="AG1001" t="s">
        <v>5962</v>
      </c>
      <c r="AH1001" t="s">
        <v>1240</v>
      </c>
      <c r="AI1001" s="245">
        <v>669.95</v>
      </c>
      <c r="AJ1001" t="s">
        <v>5963</v>
      </c>
      <c r="AK1001" t="s">
        <v>5964</v>
      </c>
      <c r="AL1001" t="s">
        <v>2570</v>
      </c>
      <c r="AM1001" s="245">
        <v>800</v>
      </c>
      <c r="AN1001" t="s">
        <v>5965</v>
      </c>
      <c r="AO1001" t="s">
        <v>5966</v>
      </c>
      <c r="AP1001" t="s">
        <v>1191</v>
      </c>
      <c r="AQ1001" s="245">
        <v>424.95</v>
      </c>
      <c r="AR1001" t="s">
        <v>5967</v>
      </c>
      <c r="AS1001" s="226" t="str">
        <f t="shared" si="30"/>
        <v>Mindbender 99 Ti</v>
      </c>
      <c r="AT1001" s="203" t="str">
        <f t="shared" si="31"/>
        <v>K2Mindbender 99 Ti184 Unisex</v>
      </c>
    </row>
    <row r="1002" spans="1:46" ht="158.4">
      <c r="A1002" t="s">
        <v>155</v>
      </c>
      <c r="B1002" t="s">
        <v>1395</v>
      </c>
      <c r="C1002" t="s">
        <v>725</v>
      </c>
      <c r="D1002">
        <v>156</v>
      </c>
      <c r="E1002" t="s">
        <v>163</v>
      </c>
      <c r="F1002">
        <v>156</v>
      </c>
      <c r="G1002">
        <v>154.69999999999999</v>
      </c>
      <c r="H1002">
        <v>136</v>
      </c>
      <c r="I1002">
        <v>143</v>
      </c>
      <c r="J1002">
        <v>128</v>
      </c>
      <c r="K1002">
        <v>79</v>
      </c>
      <c r="L1002">
        <v>109</v>
      </c>
      <c r="M1002">
        <v>12.8</v>
      </c>
      <c r="N1002">
        <v>1452</v>
      </c>
      <c r="O1002">
        <v>0.99</v>
      </c>
      <c r="P1002">
        <v>1442</v>
      </c>
      <c r="Q1002">
        <v>150</v>
      </c>
      <c r="R1002">
        <v>62</v>
      </c>
      <c r="S1002">
        <v>36</v>
      </c>
      <c r="T1002">
        <v>133</v>
      </c>
      <c r="U1002">
        <v>5</v>
      </c>
      <c r="V1002">
        <v>56</v>
      </c>
      <c r="W1002">
        <v>0.14599999999999999</v>
      </c>
      <c r="X1002">
        <v>68</v>
      </c>
      <c r="Y1002">
        <v>49</v>
      </c>
      <c r="Z1002">
        <v>65</v>
      </c>
      <c r="AA1002">
        <v>6</v>
      </c>
      <c r="AB1002">
        <v>10.8</v>
      </c>
      <c r="AC1002" t="s">
        <v>349</v>
      </c>
      <c r="AG1002" t="s">
        <v>5968</v>
      </c>
      <c r="AH1002" t="s">
        <v>1592</v>
      </c>
      <c r="AI1002" s="245">
        <v>523.99</v>
      </c>
      <c r="AJ1002" t="s">
        <v>5969</v>
      </c>
      <c r="AK1002" t="s">
        <v>5970</v>
      </c>
      <c r="AL1002" t="s">
        <v>5971</v>
      </c>
      <c r="AM1002" s="245">
        <v>109.95</v>
      </c>
      <c r="AN1002" t="s">
        <v>5972</v>
      </c>
      <c r="AO1002" t="s">
        <v>5973</v>
      </c>
      <c r="AP1002" t="s">
        <v>3574</v>
      </c>
      <c r="AQ1002" s="245">
        <v>139.99</v>
      </c>
      <c r="AR1002" t="s">
        <v>5974</v>
      </c>
      <c r="AS1002" s="226" t="str">
        <f t="shared" si="30"/>
        <v>Flair 79</v>
      </c>
      <c r="AT1002" s="203" t="str">
        <f t="shared" si="31"/>
        <v xml:space="preserve"> Vï¿½lklFlair 79156 Women's</v>
      </c>
    </row>
    <row r="1003" spans="1:46" ht="118.8">
      <c r="A1003" t="s">
        <v>155</v>
      </c>
      <c r="B1003" t="s">
        <v>167</v>
      </c>
      <c r="C1003" t="s">
        <v>841</v>
      </c>
      <c r="D1003">
        <v>158</v>
      </c>
      <c r="E1003" t="s">
        <v>163</v>
      </c>
      <c r="F1003">
        <v>158</v>
      </c>
      <c r="G1003">
        <v>157.6</v>
      </c>
      <c r="H1003">
        <v>136</v>
      </c>
      <c r="I1003">
        <v>141</v>
      </c>
      <c r="J1003">
        <v>128</v>
      </c>
      <c r="K1003">
        <v>74</v>
      </c>
      <c r="L1003">
        <v>107</v>
      </c>
      <c r="M1003">
        <v>11.3</v>
      </c>
      <c r="N1003">
        <v>1541</v>
      </c>
      <c r="O1003">
        <v>0.93</v>
      </c>
      <c r="P1003">
        <v>1432</v>
      </c>
      <c r="Q1003">
        <v>163</v>
      </c>
      <c r="R1003">
        <v>50</v>
      </c>
      <c r="S1003">
        <v>38</v>
      </c>
      <c r="T1003">
        <v>144</v>
      </c>
      <c r="U1003">
        <v>14</v>
      </c>
      <c r="V1003">
        <v>76</v>
      </c>
      <c r="W1003">
        <v>0.35799999999999998</v>
      </c>
      <c r="X1003">
        <v>102</v>
      </c>
      <c r="Y1003">
        <v>65</v>
      </c>
      <c r="Z1003">
        <v>43</v>
      </c>
      <c r="AA1003">
        <v>12</v>
      </c>
      <c r="AB1003">
        <v>11.1</v>
      </c>
      <c r="AC1003" t="s">
        <v>349</v>
      </c>
      <c r="AD1003" t="s">
        <v>231</v>
      </c>
      <c r="AG1003" t="s">
        <v>4712</v>
      </c>
      <c r="AH1003" t="s">
        <v>1191</v>
      </c>
      <c r="AI1003" s="245">
        <v>189.95</v>
      </c>
      <c r="AJ1003" t="s">
        <v>5975</v>
      </c>
      <c r="AK1003" t="s">
        <v>4838</v>
      </c>
      <c r="AL1003" t="s">
        <v>2789</v>
      </c>
      <c r="AM1003" s="245">
        <v>229</v>
      </c>
      <c r="AN1003" t="s">
        <v>5976</v>
      </c>
      <c r="AO1003" t="s">
        <v>4714</v>
      </c>
      <c r="AP1003" t="s">
        <v>2297</v>
      </c>
      <c r="AQ1003" s="245">
        <v>249</v>
      </c>
      <c r="AR1003" t="s">
        <v>5977</v>
      </c>
      <c r="AS1003" s="226" t="str">
        <f t="shared" si="30"/>
        <v>Super Joy</v>
      </c>
      <c r="AT1003" s="203" t="str">
        <f t="shared" si="31"/>
        <v xml:space="preserve"> HeadSuper Joy158 Women's</v>
      </c>
    </row>
    <row r="1004" spans="1:46" ht="92.4">
      <c r="A1004" t="s">
        <v>155</v>
      </c>
      <c r="B1004" t="s">
        <v>1395</v>
      </c>
      <c r="C1004" t="s">
        <v>778</v>
      </c>
      <c r="D1004">
        <v>151</v>
      </c>
      <c r="E1004" t="s">
        <v>163</v>
      </c>
      <c r="F1004">
        <v>151</v>
      </c>
      <c r="G1004">
        <v>152.69999999999999</v>
      </c>
      <c r="H1004">
        <v>76</v>
      </c>
      <c r="I1004">
        <v>128</v>
      </c>
      <c r="J1004">
        <v>133</v>
      </c>
      <c r="K1004">
        <v>93</v>
      </c>
      <c r="L1004">
        <v>115</v>
      </c>
      <c r="M1004">
        <v>12.4</v>
      </c>
      <c r="N1004">
        <v>1354</v>
      </c>
      <c r="O1004">
        <v>1.2</v>
      </c>
      <c r="P1004">
        <v>1618</v>
      </c>
      <c r="Q1004">
        <v>162</v>
      </c>
      <c r="R1004">
        <v>79</v>
      </c>
      <c r="S1004">
        <v>50</v>
      </c>
      <c r="T1004">
        <v>443</v>
      </c>
      <c r="U1004">
        <v>22</v>
      </c>
      <c r="V1004">
        <v>323</v>
      </c>
      <c r="W1004">
        <v>0.442</v>
      </c>
      <c r="X1004">
        <v>144</v>
      </c>
      <c r="Y1004">
        <v>106</v>
      </c>
      <c r="Z1004">
        <v>299</v>
      </c>
      <c r="AA1004">
        <v>2</v>
      </c>
      <c r="AB1004">
        <v>11.4</v>
      </c>
      <c r="AC1004" t="s">
        <v>188</v>
      </c>
      <c r="AD1004" t="s">
        <v>185</v>
      </c>
      <c r="AG1004" t="s">
        <v>5978</v>
      </c>
      <c r="AH1004" t="s">
        <v>3224</v>
      </c>
      <c r="AI1004" s="245">
        <v>549.99</v>
      </c>
      <c r="AJ1004" t="s">
        <v>5979</v>
      </c>
      <c r="AK1004" t="s">
        <v>5980</v>
      </c>
      <c r="AL1004" t="s">
        <v>1185</v>
      </c>
      <c r="AM1004" s="245">
        <v>384.99</v>
      </c>
      <c r="AN1004" t="s">
        <v>5981</v>
      </c>
      <c r="AO1004" t="s">
        <v>5980</v>
      </c>
      <c r="AP1004" t="s">
        <v>1179</v>
      </c>
      <c r="AQ1004" s="245">
        <v>439.99</v>
      </c>
      <c r="AR1004" t="s">
        <v>5982</v>
      </c>
      <c r="AS1004" s="226" t="str">
        <f t="shared" si="30"/>
        <v>Blaze 94 W</v>
      </c>
      <c r="AT1004" s="203" t="str">
        <f t="shared" si="31"/>
        <v xml:space="preserve"> Vï¿½lklBlaze 94 W151 Women's</v>
      </c>
    </row>
    <row r="1005" spans="1:46" ht="79.2">
      <c r="A1005" t="s">
        <v>155</v>
      </c>
      <c r="B1005" t="s">
        <v>202</v>
      </c>
      <c r="C1005" t="s">
        <v>602</v>
      </c>
      <c r="D1005">
        <v>140</v>
      </c>
      <c r="E1005" t="s">
        <v>158</v>
      </c>
      <c r="F1005">
        <v>140</v>
      </c>
      <c r="G1005">
        <v>138.6</v>
      </c>
      <c r="H1005">
        <v>90</v>
      </c>
      <c r="I1005">
        <v>115</v>
      </c>
      <c r="J1005">
        <v>117</v>
      </c>
      <c r="K1005">
        <v>89</v>
      </c>
      <c r="L1005">
        <v>107</v>
      </c>
      <c r="M1005">
        <v>13.4</v>
      </c>
      <c r="N1005">
        <v>1412</v>
      </c>
      <c r="O1005">
        <v>0.96</v>
      </c>
      <c r="P1005">
        <v>1359</v>
      </c>
      <c r="Q1005">
        <v>153</v>
      </c>
      <c r="R1005">
        <v>67</v>
      </c>
      <c r="S1005">
        <v>49</v>
      </c>
      <c r="T1005">
        <v>259</v>
      </c>
      <c r="U1005">
        <v>33</v>
      </c>
      <c r="V1005">
        <v>223</v>
      </c>
      <c r="W1005">
        <v>0.67</v>
      </c>
      <c r="X1005">
        <v>114</v>
      </c>
      <c r="Y1005">
        <v>124</v>
      </c>
      <c r="Z1005">
        <v>145</v>
      </c>
      <c r="AA1005">
        <v>5</v>
      </c>
      <c r="AB1005">
        <v>6.8</v>
      </c>
      <c r="AC1005" t="s">
        <v>188</v>
      </c>
      <c r="AG1005" t="s">
        <v>5983</v>
      </c>
      <c r="AH1005" t="s">
        <v>1229</v>
      </c>
      <c r="AI1005" s="245">
        <v>230.99</v>
      </c>
      <c r="AJ1005" t="s">
        <v>5984</v>
      </c>
      <c r="AK1005" t="s">
        <v>5596</v>
      </c>
      <c r="AL1005" t="s">
        <v>1282</v>
      </c>
      <c r="AM1005" s="245">
        <v>349.95</v>
      </c>
      <c r="AN1005" t="s">
        <v>5985</v>
      </c>
      <c r="AO1005" t="s">
        <v>5986</v>
      </c>
      <c r="AP1005" t="s">
        <v>1320</v>
      </c>
      <c r="AQ1005" s="245">
        <v>349.95</v>
      </c>
      <c r="AR1005" t="s">
        <v>5987</v>
      </c>
      <c r="AS1005" s="226" t="str">
        <f t="shared" si="30"/>
        <v>M-Menace 90</v>
      </c>
      <c r="AT1005" s="203" t="str">
        <f t="shared" si="31"/>
        <v xml:space="preserve"> DynastarM-Menace 90140 Unisex</v>
      </c>
    </row>
    <row r="1006" spans="1:46" ht="66">
      <c r="A1006" t="s">
        <v>155</v>
      </c>
      <c r="B1006" t="s">
        <v>182</v>
      </c>
      <c r="C1006" t="s">
        <v>842</v>
      </c>
      <c r="D1006">
        <v>172</v>
      </c>
      <c r="E1006" t="s">
        <v>158</v>
      </c>
      <c r="F1006">
        <v>172</v>
      </c>
      <c r="G1006">
        <v>170.2</v>
      </c>
      <c r="H1006">
        <v>112</v>
      </c>
      <c r="I1006">
        <v>127</v>
      </c>
      <c r="J1006">
        <v>120</v>
      </c>
      <c r="K1006">
        <v>93</v>
      </c>
      <c r="L1006">
        <v>116</v>
      </c>
      <c r="M1006">
        <v>14.1</v>
      </c>
      <c r="N1006">
        <v>1801</v>
      </c>
      <c r="O1006">
        <v>0.99</v>
      </c>
      <c r="P1006">
        <v>1789</v>
      </c>
      <c r="Q1006">
        <v>133</v>
      </c>
      <c r="R1006">
        <v>66</v>
      </c>
      <c r="S1006">
        <v>50</v>
      </c>
      <c r="T1006">
        <v>291</v>
      </c>
      <c r="U1006">
        <v>47</v>
      </c>
      <c r="V1006">
        <v>292</v>
      </c>
      <c r="W1006">
        <v>0.93799999999999994</v>
      </c>
      <c r="X1006">
        <v>227</v>
      </c>
      <c r="Y1006">
        <v>207</v>
      </c>
      <c r="Z1006">
        <v>64</v>
      </c>
      <c r="AA1006">
        <v>4</v>
      </c>
      <c r="AB1006">
        <v>0.2</v>
      </c>
      <c r="AC1006" t="s">
        <v>184</v>
      </c>
      <c r="AG1006" t="s">
        <v>5345</v>
      </c>
      <c r="AH1006" t="s">
        <v>1271</v>
      </c>
      <c r="AI1006" s="245">
        <v>419.95</v>
      </c>
      <c r="AJ1006" t="s">
        <v>5988</v>
      </c>
      <c r="AK1006" t="s">
        <v>5347</v>
      </c>
      <c r="AL1006" t="s">
        <v>1556</v>
      </c>
      <c r="AM1006" s="245">
        <v>549.95000000000005</v>
      </c>
      <c r="AN1006" t="s">
        <v>5989</v>
      </c>
      <c r="AO1006" t="s">
        <v>4972</v>
      </c>
      <c r="AP1006" t="s">
        <v>2116</v>
      </c>
      <c r="AQ1006" s="245">
        <v>379.99</v>
      </c>
      <c r="AR1006" t="s">
        <v>5990</v>
      </c>
      <c r="AS1006" s="226" t="str">
        <f t="shared" si="30"/>
        <v>Bdog Edgeless</v>
      </c>
      <c r="AT1006" s="203" t="str">
        <f t="shared" si="31"/>
        <v xml:space="preserve"> ArmadaBdog Edgeless172 Unisex</v>
      </c>
    </row>
    <row r="1007" spans="1:46" ht="52.8">
      <c r="A1007" t="s">
        <v>155</v>
      </c>
      <c r="B1007" t="s">
        <v>156</v>
      </c>
      <c r="C1007" t="s">
        <v>611</v>
      </c>
      <c r="D1007">
        <v>180</v>
      </c>
      <c r="E1007" t="s">
        <v>158</v>
      </c>
      <c r="F1007">
        <v>180</v>
      </c>
      <c r="G1007">
        <v>179.1</v>
      </c>
      <c r="H1007">
        <v>128</v>
      </c>
      <c r="I1007">
        <v>148</v>
      </c>
      <c r="J1007">
        <v>128</v>
      </c>
      <c r="K1007">
        <v>93</v>
      </c>
      <c r="L1007">
        <v>112</v>
      </c>
      <c r="M1007">
        <v>19.2</v>
      </c>
      <c r="N1007">
        <v>1781</v>
      </c>
      <c r="O1007">
        <v>1.05</v>
      </c>
      <c r="P1007">
        <v>1863</v>
      </c>
      <c r="Q1007">
        <v>240</v>
      </c>
      <c r="R1007">
        <v>169</v>
      </c>
      <c r="S1007">
        <v>55</v>
      </c>
      <c r="T1007">
        <v>314</v>
      </c>
      <c r="U1007">
        <v>14</v>
      </c>
      <c r="V1007">
        <v>197</v>
      </c>
      <c r="W1007">
        <v>0.254</v>
      </c>
      <c r="X1007">
        <v>169</v>
      </c>
      <c r="Y1007">
        <v>142</v>
      </c>
      <c r="Z1007">
        <v>145</v>
      </c>
      <c r="AA1007">
        <v>5</v>
      </c>
      <c r="AB1007">
        <v>9</v>
      </c>
      <c r="AC1007" t="s">
        <v>188</v>
      </c>
      <c r="AG1007" t="s">
        <v>5991</v>
      </c>
      <c r="AH1007" t="s">
        <v>1280</v>
      </c>
      <c r="AI1007" s="245">
        <v>559.92999999999995</v>
      </c>
      <c r="AJ1007" t="s">
        <v>5992</v>
      </c>
      <c r="AK1007" t="s">
        <v>5991</v>
      </c>
      <c r="AL1007" t="s">
        <v>1224</v>
      </c>
      <c r="AM1007" s="245">
        <v>559.98</v>
      </c>
      <c r="AN1007" t="s">
        <v>5993</v>
      </c>
      <c r="AO1007" t="s">
        <v>5991</v>
      </c>
      <c r="AP1007" t="s">
        <v>1181</v>
      </c>
      <c r="AQ1007" s="245">
        <v>559.99</v>
      </c>
      <c r="AR1007" t="s">
        <v>5994</v>
      </c>
      <c r="AS1007" s="226" t="str">
        <f t="shared" si="30"/>
        <v>Maverick 95 Ti</v>
      </c>
      <c r="AT1007" s="203" t="str">
        <f t="shared" si="31"/>
        <v xml:space="preserve"> AtomicMaverick 95 Ti180 Unisex</v>
      </c>
    </row>
    <row r="1008" spans="1:46" ht="105.6">
      <c r="A1008" t="s">
        <v>155</v>
      </c>
      <c r="B1008" t="s">
        <v>218</v>
      </c>
      <c r="C1008" t="s">
        <v>273</v>
      </c>
      <c r="D1008">
        <v>184</v>
      </c>
      <c r="E1008" t="s">
        <v>158</v>
      </c>
      <c r="F1008">
        <v>184</v>
      </c>
      <c r="G1008">
        <v>182.6</v>
      </c>
      <c r="H1008">
        <v>109</v>
      </c>
      <c r="I1008">
        <v>125</v>
      </c>
      <c r="J1008">
        <v>140</v>
      </c>
      <c r="K1008">
        <v>112</v>
      </c>
      <c r="L1008">
        <v>127</v>
      </c>
      <c r="M1008">
        <v>15.5</v>
      </c>
      <c r="N1008">
        <v>2062</v>
      </c>
      <c r="O1008">
        <v>1.07</v>
      </c>
      <c r="P1008">
        <v>2207</v>
      </c>
      <c r="Q1008">
        <v>267</v>
      </c>
      <c r="R1008">
        <v>128</v>
      </c>
      <c r="S1008">
        <v>77</v>
      </c>
      <c r="T1008">
        <v>424</v>
      </c>
      <c r="U1008">
        <v>34</v>
      </c>
      <c r="V1008">
        <v>316</v>
      </c>
      <c r="W1008">
        <v>0.44400000000000001</v>
      </c>
      <c r="X1008">
        <v>310</v>
      </c>
      <c r="Y1008">
        <v>270</v>
      </c>
      <c r="Z1008">
        <v>114</v>
      </c>
      <c r="AA1008">
        <v>4</v>
      </c>
      <c r="AB1008">
        <v>13.5</v>
      </c>
      <c r="AC1008" t="s">
        <v>169</v>
      </c>
      <c r="AD1008" t="s">
        <v>185</v>
      </c>
      <c r="AG1008" t="s">
        <v>5995</v>
      </c>
      <c r="AH1008" t="s">
        <v>1349</v>
      </c>
      <c r="AI1008" s="245">
        <v>1008.42</v>
      </c>
      <c r="AJ1008" t="s">
        <v>5996</v>
      </c>
      <c r="AK1008" t="s">
        <v>5997</v>
      </c>
      <c r="AL1008" t="s">
        <v>1468</v>
      </c>
      <c r="AM1008" s="245">
        <v>1029</v>
      </c>
      <c r="AN1008" t="s">
        <v>5998</v>
      </c>
      <c r="AO1008" t="s">
        <v>5995</v>
      </c>
      <c r="AP1008" t="s">
        <v>1271</v>
      </c>
      <c r="AQ1008" s="245">
        <v>1039.2</v>
      </c>
      <c r="AR1008" t="s">
        <v>5999</v>
      </c>
      <c r="AS1008" s="226" t="str">
        <f t="shared" si="30"/>
        <v>Pagoda 112 RP</v>
      </c>
      <c r="AT1008" s="203" t="str">
        <f t="shared" si="31"/>
        <v xml:space="preserve"> DPSPagoda 112 RP184 Unisex</v>
      </c>
    </row>
    <row r="1009" spans="1:46" ht="66">
      <c r="A1009" t="s">
        <v>155</v>
      </c>
      <c r="B1009" t="s">
        <v>182</v>
      </c>
      <c r="C1009" t="s">
        <v>668</v>
      </c>
      <c r="D1009">
        <v>162</v>
      </c>
      <c r="E1009" t="s">
        <v>163</v>
      </c>
      <c r="F1009">
        <v>162</v>
      </c>
      <c r="G1009">
        <v>161.19999999999999</v>
      </c>
      <c r="H1009">
        <v>130</v>
      </c>
      <c r="I1009">
        <v>135</v>
      </c>
      <c r="J1009">
        <v>114</v>
      </c>
      <c r="K1009">
        <v>87</v>
      </c>
      <c r="L1009">
        <v>106</v>
      </c>
      <c r="M1009">
        <v>19.600000000000001</v>
      </c>
      <c r="N1009">
        <v>1166</v>
      </c>
      <c r="O1009">
        <v>1.32</v>
      </c>
      <c r="P1009">
        <v>1535</v>
      </c>
      <c r="Q1009">
        <v>173</v>
      </c>
      <c r="R1009">
        <v>74</v>
      </c>
      <c r="S1009">
        <v>38</v>
      </c>
      <c r="T1009">
        <v>194</v>
      </c>
      <c r="U1009">
        <v>11</v>
      </c>
      <c r="V1009">
        <v>123</v>
      </c>
      <c r="W1009">
        <v>0.29799999999999999</v>
      </c>
      <c r="X1009">
        <v>153</v>
      </c>
      <c r="Y1009">
        <v>104</v>
      </c>
      <c r="Z1009">
        <v>40</v>
      </c>
      <c r="AA1009">
        <v>5</v>
      </c>
      <c r="AB1009">
        <v>6.1</v>
      </c>
      <c r="AC1009" t="s">
        <v>185</v>
      </c>
      <c r="AD1009" t="s">
        <v>198</v>
      </c>
      <c r="AG1009" t="s">
        <v>3915</v>
      </c>
      <c r="AH1009" t="s">
        <v>1194</v>
      </c>
      <c r="AI1009" s="245">
        <v>367.81</v>
      </c>
      <c r="AJ1009" t="s">
        <v>6000</v>
      </c>
      <c r="AK1009" t="s">
        <v>3915</v>
      </c>
      <c r="AL1009" t="s">
        <v>1232</v>
      </c>
      <c r="AM1009" s="245">
        <v>479.95</v>
      </c>
      <c r="AN1009" t="s">
        <v>6001</v>
      </c>
      <c r="AO1009" t="s">
        <v>3915</v>
      </c>
      <c r="AP1009" t="s">
        <v>1181</v>
      </c>
      <c r="AQ1009" s="245">
        <v>479.96</v>
      </c>
      <c r="AR1009" t="s">
        <v>6002</v>
      </c>
      <c r="AS1009" s="226" t="str">
        <f t="shared" si="30"/>
        <v>Trace 88</v>
      </c>
      <c r="AT1009" s="203" t="str">
        <f t="shared" si="31"/>
        <v xml:space="preserve"> ArmadaTrace 88162 Women's</v>
      </c>
    </row>
    <row r="1010" spans="1:46" ht="105.6">
      <c r="A1010" t="s">
        <v>155</v>
      </c>
      <c r="B1010" t="s">
        <v>332</v>
      </c>
      <c r="C1010" t="s">
        <v>455</v>
      </c>
      <c r="D1010">
        <v>179</v>
      </c>
      <c r="E1010" t="s">
        <v>158</v>
      </c>
      <c r="F1010">
        <v>179</v>
      </c>
      <c r="G1010">
        <v>178.5</v>
      </c>
      <c r="H1010">
        <v>133</v>
      </c>
      <c r="I1010">
        <v>150</v>
      </c>
      <c r="J1010">
        <v>123</v>
      </c>
      <c r="K1010">
        <v>87</v>
      </c>
      <c r="L1010">
        <v>109</v>
      </c>
      <c r="M1010">
        <v>16.7</v>
      </c>
      <c r="N1010">
        <v>2013</v>
      </c>
      <c r="O1010">
        <v>0.88</v>
      </c>
      <c r="P1010">
        <v>1773</v>
      </c>
      <c r="Q1010">
        <v>201</v>
      </c>
      <c r="R1010">
        <v>130</v>
      </c>
      <c r="S1010">
        <v>52</v>
      </c>
      <c r="T1010">
        <v>271</v>
      </c>
      <c r="U1010">
        <v>12</v>
      </c>
      <c r="V1010">
        <v>185</v>
      </c>
      <c r="W1010">
        <v>0.23499999999999999</v>
      </c>
      <c r="X1010">
        <v>132</v>
      </c>
      <c r="Y1010">
        <v>152</v>
      </c>
      <c r="Z1010">
        <v>139</v>
      </c>
      <c r="AA1010">
        <v>8</v>
      </c>
      <c r="AB1010">
        <v>8.3000000000000007</v>
      </c>
      <c r="AC1010" t="s">
        <v>188</v>
      </c>
      <c r="AG1010" t="s">
        <v>6003</v>
      </c>
      <c r="AH1010" t="s">
        <v>1289</v>
      </c>
      <c r="AI1010" s="245">
        <v>209.95</v>
      </c>
      <c r="AJ1010" t="s">
        <v>6004</v>
      </c>
      <c r="AK1010" t="s">
        <v>6005</v>
      </c>
      <c r="AL1010" t="s">
        <v>1400</v>
      </c>
      <c r="AM1010" s="245">
        <v>519.99</v>
      </c>
      <c r="AN1010" t="s">
        <v>6006</v>
      </c>
      <c r="AO1010" t="s">
        <v>6005</v>
      </c>
      <c r="AP1010" t="s">
        <v>1305</v>
      </c>
      <c r="AQ1010" s="245">
        <v>559</v>
      </c>
      <c r="AR1010" t="s">
        <v>6007</v>
      </c>
      <c r="AS1010" s="226" t="str">
        <f t="shared" si="30"/>
        <v>Enforcer 88</v>
      </c>
      <c r="AT1010" s="203" t="str">
        <f t="shared" si="31"/>
        <v xml:space="preserve"> NordicaEnforcer 88179 Unisex</v>
      </c>
    </row>
    <row r="1011" spans="1:46" ht="92.4">
      <c r="A1011" t="s">
        <v>155</v>
      </c>
      <c r="B1011" t="s">
        <v>295</v>
      </c>
      <c r="C1011" t="s">
        <v>803</v>
      </c>
      <c r="D1011">
        <v>155</v>
      </c>
      <c r="E1011" t="s">
        <v>163</v>
      </c>
      <c r="F1011">
        <v>155</v>
      </c>
      <c r="G1011">
        <v>154.1</v>
      </c>
      <c r="H1011">
        <v>99</v>
      </c>
      <c r="I1011">
        <v>125</v>
      </c>
      <c r="J1011">
        <v>120</v>
      </c>
      <c r="K1011">
        <v>86</v>
      </c>
      <c r="L1011">
        <v>107</v>
      </c>
      <c r="M1011">
        <v>12.9</v>
      </c>
      <c r="N1011">
        <v>1407</v>
      </c>
      <c r="O1011">
        <v>1.06</v>
      </c>
      <c r="P1011">
        <v>1492</v>
      </c>
      <c r="Q1011">
        <v>151</v>
      </c>
      <c r="R1011">
        <v>65</v>
      </c>
      <c r="S1011">
        <v>57</v>
      </c>
      <c r="T1011">
        <v>319</v>
      </c>
      <c r="U1011">
        <v>16</v>
      </c>
      <c r="V1011">
        <v>233</v>
      </c>
      <c r="W1011">
        <v>0.28999999999999998</v>
      </c>
      <c r="X1011">
        <v>184</v>
      </c>
      <c r="Y1011">
        <v>109</v>
      </c>
      <c r="Z1011">
        <v>135</v>
      </c>
      <c r="AA1011">
        <v>5</v>
      </c>
      <c r="AB1011">
        <v>8.1999999999999993</v>
      </c>
      <c r="AC1011" t="s">
        <v>188</v>
      </c>
      <c r="AD1011" t="s">
        <v>185</v>
      </c>
      <c r="AG1011" t="s">
        <v>6008</v>
      </c>
      <c r="AH1011" t="s">
        <v>1627</v>
      </c>
      <c r="AI1011" s="245">
        <v>469</v>
      </c>
      <c r="AJ1011" t="s">
        <v>6009</v>
      </c>
      <c r="AK1011" t="s">
        <v>6010</v>
      </c>
      <c r="AL1011" t="s">
        <v>1858</v>
      </c>
      <c r="AM1011" s="245">
        <v>471</v>
      </c>
      <c r="AN1011" t="s">
        <v>6011</v>
      </c>
      <c r="AO1011" t="s">
        <v>6010</v>
      </c>
      <c r="AP1011" t="s">
        <v>1226</v>
      </c>
      <c r="AQ1011" s="245">
        <v>471</v>
      </c>
      <c r="AR1011" t="s">
        <v>6012</v>
      </c>
      <c r="AS1011" s="226" t="str">
        <f t="shared" si="30"/>
        <v>Riveter 85</v>
      </c>
      <c r="AT1011" s="203" t="str">
        <f t="shared" si="31"/>
        <v xml:space="preserve"> IcelanticRiveter 85155 Women's</v>
      </c>
    </row>
    <row r="1012" spans="1:46" ht="132">
      <c r="A1012" t="s">
        <v>155</v>
      </c>
      <c r="B1012" t="s">
        <v>172</v>
      </c>
      <c r="C1012" t="s">
        <v>805</v>
      </c>
      <c r="D1012">
        <v>140</v>
      </c>
      <c r="E1012" t="s">
        <v>163</v>
      </c>
      <c r="F1012">
        <v>140</v>
      </c>
      <c r="G1012">
        <v>138.6</v>
      </c>
      <c r="H1012">
        <v>89</v>
      </c>
      <c r="I1012">
        <v>114</v>
      </c>
      <c r="J1012">
        <v>118</v>
      </c>
      <c r="K1012">
        <v>89</v>
      </c>
      <c r="L1012">
        <v>107</v>
      </c>
      <c r="M1012">
        <v>13.8</v>
      </c>
      <c r="N1012">
        <v>1559</v>
      </c>
      <c r="O1012">
        <v>0.87</v>
      </c>
      <c r="P1012">
        <v>1361</v>
      </c>
      <c r="Q1012">
        <v>155</v>
      </c>
      <c r="R1012">
        <v>57</v>
      </c>
      <c r="S1012">
        <v>52</v>
      </c>
      <c r="T1012">
        <v>263</v>
      </c>
      <c r="U1012">
        <v>33</v>
      </c>
      <c r="V1012">
        <v>232</v>
      </c>
      <c r="W1012">
        <v>0.623</v>
      </c>
      <c r="X1012">
        <v>118</v>
      </c>
      <c r="Y1012">
        <v>124</v>
      </c>
      <c r="Z1012">
        <v>145</v>
      </c>
      <c r="AA1012">
        <v>5</v>
      </c>
      <c r="AB1012">
        <v>5</v>
      </c>
      <c r="AC1012" t="s">
        <v>188</v>
      </c>
      <c r="AG1012" t="s">
        <v>6013</v>
      </c>
      <c r="AH1012" t="s">
        <v>1204</v>
      </c>
      <c r="AI1012" s="245">
        <v>296.52999999999997</v>
      </c>
      <c r="AJ1012" t="s">
        <v>6014</v>
      </c>
      <c r="AK1012" t="s">
        <v>6015</v>
      </c>
      <c r="AL1012" t="s">
        <v>4780</v>
      </c>
      <c r="AM1012" s="245">
        <v>299</v>
      </c>
      <c r="AN1012" t="s">
        <v>6016</v>
      </c>
      <c r="AO1012" t="s">
        <v>5453</v>
      </c>
      <c r="AP1012" t="s">
        <v>1183</v>
      </c>
      <c r="AQ1012" s="245">
        <v>314.99</v>
      </c>
      <c r="AR1012" t="s">
        <v>6017</v>
      </c>
      <c r="AS1012" s="226" t="str">
        <f t="shared" si="30"/>
        <v>Blackops Dreamer W</v>
      </c>
      <c r="AT1012" s="203" t="str">
        <f t="shared" si="31"/>
        <v xml:space="preserve"> RossignolBlackops Dreamer W140 Women's</v>
      </c>
    </row>
    <row r="1013" spans="1:46" ht="158.4">
      <c r="A1013" t="s">
        <v>155</v>
      </c>
      <c r="B1013" t="s">
        <v>172</v>
      </c>
      <c r="C1013" t="s">
        <v>711</v>
      </c>
      <c r="D1013">
        <v>160</v>
      </c>
      <c r="E1013" t="s">
        <v>158</v>
      </c>
      <c r="F1013">
        <v>160</v>
      </c>
      <c r="G1013">
        <v>160.4</v>
      </c>
      <c r="H1013">
        <v>139</v>
      </c>
      <c r="I1013">
        <v>145</v>
      </c>
      <c r="J1013">
        <v>124</v>
      </c>
      <c r="K1013">
        <v>76</v>
      </c>
      <c r="L1013">
        <v>110</v>
      </c>
      <c r="M1013">
        <v>12.7</v>
      </c>
      <c r="N1013">
        <v>1597</v>
      </c>
      <c r="O1013">
        <v>0.92</v>
      </c>
      <c r="P1013">
        <v>1470</v>
      </c>
      <c r="Q1013">
        <v>158</v>
      </c>
      <c r="R1013">
        <v>55</v>
      </c>
      <c r="S1013">
        <v>36</v>
      </c>
      <c r="T1013">
        <v>148</v>
      </c>
      <c r="U1013">
        <v>6</v>
      </c>
      <c r="V1013">
        <v>69</v>
      </c>
      <c r="W1013">
        <v>0.17599999999999999</v>
      </c>
      <c r="X1013">
        <v>74</v>
      </c>
      <c r="Y1013">
        <v>82</v>
      </c>
      <c r="Z1013">
        <v>74</v>
      </c>
      <c r="AA1013">
        <v>11</v>
      </c>
      <c r="AB1013">
        <v>8.1999999999999993</v>
      </c>
      <c r="AC1013" t="s">
        <v>349</v>
      </c>
      <c r="AG1013" t="s">
        <v>2887</v>
      </c>
      <c r="AH1013" t="s">
        <v>1179</v>
      </c>
      <c r="AI1013" s="245">
        <v>319.95</v>
      </c>
      <c r="AJ1013" t="s">
        <v>6018</v>
      </c>
      <c r="AK1013" t="s">
        <v>5628</v>
      </c>
      <c r="AL1013" t="s">
        <v>2049</v>
      </c>
      <c r="AM1013" s="245">
        <v>399.95</v>
      </c>
      <c r="AN1013" t="s">
        <v>6019</v>
      </c>
      <c r="AO1013" t="s">
        <v>5630</v>
      </c>
      <c r="AP1013" t="s">
        <v>1271</v>
      </c>
      <c r="AQ1013" s="245">
        <v>419.99</v>
      </c>
      <c r="AR1013" t="s">
        <v>6020</v>
      </c>
      <c r="AS1013" s="226" t="str">
        <f t="shared" si="30"/>
        <v>Experience 76</v>
      </c>
      <c r="AT1013" s="203" t="str">
        <f t="shared" si="31"/>
        <v xml:space="preserve"> RossignolExperience 76160 Unisex</v>
      </c>
    </row>
    <row r="1014" spans="1:46" ht="39.6">
      <c r="A1014" t="s">
        <v>155</v>
      </c>
      <c r="B1014" t="s">
        <v>208</v>
      </c>
      <c r="C1014" t="s">
        <v>843</v>
      </c>
      <c r="D1014">
        <v>166</v>
      </c>
      <c r="E1014" t="s">
        <v>163</v>
      </c>
      <c r="F1014">
        <v>166</v>
      </c>
      <c r="G1014">
        <v>165.3</v>
      </c>
      <c r="H1014">
        <v>129</v>
      </c>
      <c r="I1014">
        <v>141</v>
      </c>
      <c r="J1014">
        <v>120</v>
      </c>
      <c r="K1014">
        <v>91</v>
      </c>
      <c r="L1014">
        <v>117</v>
      </c>
      <c r="M1014">
        <v>17.3</v>
      </c>
      <c r="N1014">
        <v>1542</v>
      </c>
      <c r="O1014">
        <v>1.08</v>
      </c>
      <c r="P1014">
        <v>1668</v>
      </c>
      <c r="Q1014">
        <v>116</v>
      </c>
      <c r="R1014">
        <v>53</v>
      </c>
      <c r="S1014">
        <v>42</v>
      </c>
      <c r="T1014">
        <v>178</v>
      </c>
      <c r="U1014">
        <v>41</v>
      </c>
      <c r="V1014">
        <v>183</v>
      </c>
      <c r="W1014">
        <v>0.98599999999999999</v>
      </c>
      <c r="X1014">
        <v>125</v>
      </c>
      <c r="Y1014">
        <v>115</v>
      </c>
      <c r="Z1014">
        <v>53</v>
      </c>
      <c r="AA1014">
        <v>9</v>
      </c>
      <c r="AB1014">
        <v>3.5</v>
      </c>
      <c r="AC1014" t="s">
        <v>184</v>
      </c>
      <c r="AD1014" t="s">
        <v>185</v>
      </c>
      <c r="AG1014" t="s">
        <v>6021</v>
      </c>
      <c r="AH1014" t="s">
        <v>1950</v>
      </c>
      <c r="AI1014" s="245">
        <v>349.95</v>
      </c>
      <c r="AJ1014" t="s">
        <v>6022</v>
      </c>
      <c r="AS1014" s="226" t="str">
        <f t="shared" si="30"/>
        <v>Honey Bee</v>
      </c>
      <c r="AT1014" s="203" t="str">
        <f t="shared" si="31"/>
        <v xml:space="preserve"> LineHoney Bee166 Women's</v>
      </c>
    </row>
    <row r="1015" spans="1:46" ht="132">
      <c r="A1015" t="s">
        <v>155</v>
      </c>
      <c r="B1015" t="s">
        <v>156</v>
      </c>
      <c r="C1015" t="s">
        <v>845</v>
      </c>
      <c r="D1015">
        <v>161</v>
      </c>
      <c r="E1015" t="s">
        <v>163</v>
      </c>
      <c r="F1015">
        <v>161</v>
      </c>
      <c r="G1015">
        <v>160.30000000000001</v>
      </c>
      <c r="H1015">
        <v>141</v>
      </c>
      <c r="I1015">
        <v>147</v>
      </c>
      <c r="J1015">
        <v>110</v>
      </c>
      <c r="K1015">
        <v>69</v>
      </c>
      <c r="L1015">
        <v>99</v>
      </c>
      <c r="M1015">
        <v>14.5</v>
      </c>
      <c r="N1015">
        <v>1803</v>
      </c>
      <c r="O1015">
        <v>0.73</v>
      </c>
      <c r="P1015">
        <v>1319</v>
      </c>
      <c r="Q1015">
        <v>163</v>
      </c>
      <c r="R1015">
        <v>56</v>
      </c>
      <c r="S1015">
        <v>38</v>
      </c>
      <c r="T1015">
        <v>145</v>
      </c>
      <c r="U1015">
        <v>4</v>
      </c>
      <c r="V1015">
        <v>50</v>
      </c>
      <c r="W1015">
        <v>9.6999999999999906E-2</v>
      </c>
      <c r="X1015">
        <v>80</v>
      </c>
      <c r="Y1015">
        <v>53</v>
      </c>
      <c r="Z1015">
        <v>65</v>
      </c>
      <c r="AA1015">
        <v>8</v>
      </c>
      <c r="AB1015">
        <v>12.5</v>
      </c>
      <c r="AC1015" t="s">
        <v>349</v>
      </c>
      <c r="AG1015" t="s">
        <v>6023</v>
      </c>
      <c r="AH1015" t="s">
        <v>1179</v>
      </c>
      <c r="AI1015" s="245">
        <v>639.95000000000005</v>
      </c>
      <c r="AJ1015" t="s">
        <v>6024</v>
      </c>
      <c r="AK1015" t="s">
        <v>6025</v>
      </c>
      <c r="AL1015" t="s">
        <v>1416</v>
      </c>
      <c r="AM1015" s="245">
        <v>797</v>
      </c>
      <c r="AN1015" t="s">
        <v>6026</v>
      </c>
      <c r="AO1015" t="s">
        <v>6027</v>
      </c>
      <c r="AP1015" t="s">
        <v>4284</v>
      </c>
      <c r="AQ1015" s="245">
        <v>799</v>
      </c>
      <c r="AR1015" t="s">
        <v>6028</v>
      </c>
      <c r="AS1015" s="226" t="str">
        <f t="shared" si="30"/>
        <v>Cloud C12 Servo</v>
      </c>
      <c r="AT1015" s="203" t="str">
        <f t="shared" si="31"/>
        <v xml:space="preserve"> AtomicCloud C12 Servo161 Women's</v>
      </c>
    </row>
    <row r="1016" spans="1:46" ht="105.6">
      <c r="A1016" t="s">
        <v>155</v>
      </c>
      <c r="B1016" t="s">
        <v>205</v>
      </c>
      <c r="C1016" t="s">
        <v>378</v>
      </c>
      <c r="D1016">
        <v>179</v>
      </c>
      <c r="E1016" t="s">
        <v>158</v>
      </c>
      <c r="F1016">
        <v>179</v>
      </c>
      <c r="G1016">
        <v>177.5</v>
      </c>
      <c r="H1016">
        <v>135</v>
      </c>
      <c r="I1016">
        <v>151</v>
      </c>
      <c r="J1016">
        <v>127</v>
      </c>
      <c r="K1016">
        <v>96</v>
      </c>
      <c r="L1016">
        <v>117</v>
      </c>
      <c r="M1016">
        <v>19.600000000000001</v>
      </c>
      <c r="N1016">
        <v>1844</v>
      </c>
      <c r="O1016">
        <v>1.02</v>
      </c>
      <c r="P1016">
        <v>1887</v>
      </c>
      <c r="Q1016">
        <v>241</v>
      </c>
      <c r="R1016">
        <v>151</v>
      </c>
      <c r="S1016">
        <v>53</v>
      </c>
      <c r="T1016">
        <v>259</v>
      </c>
      <c r="U1016">
        <v>19</v>
      </c>
      <c r="V1016">
        <v>171</v>
      </c>
      <c r="W1016">
        <v>0.35799999999999998</v>
      </c>
      <c r="X1016">
        <v>165</v>
      </c>
      <c r="Y1016">
        <v>103</v>
      </c>
      <c r="Z1016">
        <v>94</v>
      </c>
      <c r="AA1016">
        <v>9</v>
      </c>
      <c r="AB1016">
        <v>11.1</v>
      </c>
      <c r="AC1016" t="s">
        <v>188</v>
      </c>
      <c r="AG1016" t="s">
        <v>1558</v>
      </c>
      <c r="AH1016" t="s">
        <v>1248</v>
      </c>
      <c r="AI1016" s="245">
        <v>623.20000000000005</v>
      </c>
      <c r="AJ1016" t="s">
        <v>6029</v>
      </c>
      <c r="AK1016" t="s">
        <v>1560</v>
      </c>
      <c r="AL1016" t="s">
        <v>1277</v>
      </c>
      <c r="AM1016" s="245">
        <v>439</v>
      </c>
      <c r="AN1016" t="s">
        <v>6030</v>
      </c>
      <c r="AO1016" t="s">
        <v>1347</v>
      </c>
      <c r="AP1016" t="s">
        <v>1185</v>
      </c>
      <c r="AQ1016" s="245">
        <v>489.99</v>
      </c>
      <c r="AR1016" t="s">
        <v>6031</v>
      </c>
      <c r="AS1016" s="226" t="str">
        <f t="shared" si="30"/>
        <v>Dictator 2.0</v>
      </c>
      <c r="AT1016" s="203" t="str">
        <f t="shared" si="31"/>
        <v xml:space="preserve"> FactionDictator 2.0179 Unisex</v>
      </c>
    </row>
    <row r="1017" spans="1:46" ht="79.2">
      <c r="A1017" t="s">
        <v>155</v>
      </c>
      <c r="B1017" t="s">
        <v>205</v>
      </c>
      <c r="C1017" t="s">
        <v>673</v>
      </c>
      <c r="D1017">
        <v>157</v>
      </c>
      <c r="E1017" t="s">
        <v>158</v>
      </c>
      <c r="F1017">
        <v>157</v>
      </c>
      <c r="G1017">
        <v>155.19999999999999</v>
      </c>
      <c r="H1017">
        <v>108</v>
      </c>
      <c r="I1017">
        <v>130</v>
      </c>
      <c r="J1017">
        <v>116</v>
      </c>
      <c r="K1017">
        <v>84</v>
      </c>
      <c r="L1017">
        <v>108</v>
      </c>
      <c r="M1017">
        <v>13.3</v>
      </c>
      <c r="N1017">
        <v>1553</v>
      </c>
      <c r="O1017">
        <v>0.95</v>
      </c>
      <c r="P1017">
        <v>1480</v>
      </c>
      <c r="Q1017">
        <v>127</v>
      </c>
      <c r="R1017">
        <v>59</v>
      </c>
      <c r="S1017">
        <v>47</v>
      </c>
      <c r="T1017">
        <v>262</v>
      </c>
      <c r="U1017">
        <v>36</v>
      </c>
      <c r="V1017">
        <v>208</v>
      </c>
      <c r="W1017">
        <v>0.76300000000000001</v>
      </c>
      <c r="X1017">
        <v>131</v>
      </c>
      <c r="Y1017">
        <v>120</v>
      </c>
      <c r="Z1017">
        <v>131</v>
      </c>
      <c r="AA1017">
        <v>6</v>
      </c>
      <c r="AB1017">
        <v>6.4</v>
      </c>
      <c r="AC1017" t="s">
        <v>188</v>
      </c>
      <c r="AG1017" t="s">
        <v>5722</v>
      </c>
      <c r="AH1017" t="s">
        <v>1592</v>
      </c>
      <c r="AI1017" s="245">
        <v>310.61</v>
      </c>
      <c r="AJ1017" t="s">
        <v>6032</v>
      </c>
      <c r="AK1017" t="s">
        <v>2024</v>
      </c>
      <c r="AL1017" t="s">
        <v>1185</v>
      </c>
      <c r="AM1017" s="245">
        <v>314.99</v>
      </c>
      <c r="AN1017" t="s">
        <v>6033</v>
      </c>
      <c r="AS1017" s="226" t="str">
        <f t="shared" si="30"/>
        <v>Prodigy 0.0</v>
      </c>
      <c r="AT1017" s="203" t="str">
        <f t="shared" si="31"/>
        <v xml:space="preserve"> FactionProdigy 0.0157 Unisex</v>
      </c>
    </row>
    <row r="1018" spans="1:46" ht="66">
      <c r="A1018" t="s">
        <v>155</v>
      </c>
      <c r="B1018" t="s">
        <v>156</v>
      </c>
      <c r="C1018" t="s">
        <v>784</v>
      </c>
      <c r="D1018">
        <v>140</v>
      </c>
      <c r="E1018" t="s">
        <v>385</v>
      </c>
      <c r="F1018">
        <v>140</v>
      </c>
      <c r="G1018">
        <v>139.6</v>
      </c>
      <c r="H1018">
        <v>101</v>
      </c>
      <c r="I1018">
        <v>121</v>
      </c>
      <c r="J1018">
        <v>121</v>
      </c>
      <c r="K1018">
        <v>83</v>
      </c>
      <c r="L1018">
        <v>111</v>
      </c>
      <c r="M1018">
        <v>10.8</v>
      </c>
      <c r="N1018">
        <v>1483</v>
      </c>
      <c r="O1018">
        <v>0.9</v>
      </c>
      <c r="P1018">
        <v>1331</v>
      </c>
      <c r="Q1018">
        <v>114</v>
      </c>
      <c r="R1018">
        <v>62</v>
      </c>
      <c r="S1018">
        <v>40</v>
      </c>
      <c r="T1018">
        <v>198</v>
      </c>
      <c r="U1018">
        <v>30</v>
      </c>
      <c r="V1018">
        <v>186</v>
      </c>
      <c r="W1018">
        <v>0.75900000000000001</v>
      </c>
      <c r="X1018">
        <v>89</v>
      </c>
      <c r="Y1018">
        <v>93</v>
      </c>
      <c r="Z1018">
        <v>109</v>
      </c>
      <c r="AA1018">
        <v>4</v>
      </c>
      <c r="AB1018">
        <v>3.7</v>
      </c>
      <c r="AC1018" t="s">
        <v>188</v>
      </c>
      <c r="AG1018" t="s">
        <v>5254</v>
      </c>
      <c r="AH1018" t="s">
        <v>1421</v>
      </c>
      <c r="AI1018" s="245">
        <v>207.99</v>
      </c>
      <c r="AJ1018" t="s">
        <v>6034</v>
      </c>
      <c r="AK1018" t="s">
        <v>5254</v>
      </c>
      <c r="AL1018" t="s">
        <v>1224</v>
      </c>
      <c r="AM1018" s="245">
        <v>233.99</v>
      </c>
      <c r="AN1018" t="s">
        <v>6035</v>
      </c>
      <c r="AO1018" t="s">
        <v>5254</v>
      </c>
      <c r="AP1018" t="s">
        <v>1242</v>
      </c>
      <c r="AQ1018" s="245">
        <v>251.99</v>
      </c>
      <c r="AR1018" t="s">
        <v>6036</v>
      </c>
      <c r="AS1018" s="226" t="str">
        <f t="shared" si="30"/>
        <v>Bent Chetler JR</v>
      </c>
      <c r="AT1018" s="203" t="str">
        <f t="shared" si="31"/>
        <v xml:space="preserve"> AtomicBent Chetler JR140 Junior</v>
      </c>
    </row>
    <row r="1019" spans="1:46" ht="79.2">
      <c r="A1019" t="s">
        <v>155</v>
      </c>
      <c r="B1019" t="s">
        <v>1160</v>
      </c>
      <c r="C1019" t="s">
        <v>606</v>
      </c>
      <c r="D1019">
        <v>145</v>
      </c>
      <c r="E1019" t="s">
        <v>385</v>
      </c>
      <c r="F1019">
        <v>145</v>
      </c>
      <c r="G1019">
        <v>145.1</v>
      </c>
      <c r="H1019">
        <v>95</v>
      </c>
      <c r="I1019">
        <v>110</v>
      </c>
      <c r="J1019">
        <v>126</v>
      </c>
      <c r="K1019">
        <v>98</v>
      </c>
      <c r="L1019">
        <v>116</v>
      </c>
      <c r="M1019">
        <v>12.2</v>
      </c>
      <c r="N1019">
        <v>1310</v>
      </c>
      <c r="O1019">
        <v>1.19</v>
      </c>
      <c r="P1019">
        <v>1554</v>
      </c>
      <c r="Q1019">
        <v>112</v>
      </c>
      <c r="R1019">
        <v>70</v>
      </c>
      <c r="S1019">
        <v>43</v>
      </c>
      <c r="T1019">
        <v>310</v>
      </c>
      <c r="U1019">
        <v>16</v>
      </c>
      <c r="V1019">
        <v>192</v>
      </c>
      <c r="W1019">
        <v>0.38400000000000001</v>
      </c>
      <c r="X1019">
        <v>192</v>
      </c>
      <c r="Y1019">
        <v>156</v>
      </c>
      <c r="Z1019">
        <v>119</v>
      </c>
      <c r="AA1019">
        <v>4</v>
      </c>
      <c r="AB1019">
        <v>8.1</v>
      </c>
      <c r="AC1019" t="s">
        <v>188</v>
      </c>
      <c r="AD1019" t="s">
        <v>185</v>
      </c>
      <c r="AG1019" t="s">
        <v>6037</v>
      </c>
      <c r="AH1019" t="s">
        <v>1240</v>
      </c>
      <c r="AI1019" s="245">
        <v>399</v>
      </c>
      <c r="AJ1019" t="s">
        <v>6038</v>
      </c>
      <c r="AK1019" t="s">
        <v>6039</v>
      </c>
      <c r="AL1019" t="s">
        <v>1179</v>
      </c>
      <c r="AM1019" s="245">
        <v>399.95</v>
      </c>
      <c r="AN1019" t="s">
        <v>6040</v>
      </c>
      <c r="AO1019" t="s">
        <v>6039</v>
      </c>
      <c r="AP1019" t="s">
        <v>1181</v>
      </c>
      <c r="AQ1019" s="245">
        <v>399.95</v>
      </c>
      <c r="AR1019" t="s">
        <v>6041</v>
      </c>
      <c r="AS1019" s="226" t="str">
        <f t="shared" si="30"/>
        <v>Mindbender Team</v>
      </c>
      <c r="AT1019" s="203" t="str">
        <f t="shared" si="31"/>
        <v>K2Mindbender Team145 Junior</v>
      </c>
    </row>
    <row r="1020" spans="1:46" ht="356.4">
      <c r="A1020" t="s">
        <v>155</v>
      </c>
      <c r="B1020" t="s">
        <v>174</v>
      </c>
      <c r="C1020" t="s">
        <v>544</v>
      </c>
      <c r="D1020">
        <v>188</v>
      </c>
      <c r="E1020" t="s">
        <v>158</v>
      </c>
      <c r="F1020">
        <v>188</v>
      </c>
      <c r="G1020">
        <v>187.2</v>
      </c>
      <c r="H1020">
        <v>126</v>
      </c>
      <c r="I1020">
        <v>148</v>
      </c>
      <c r="J1020">
        <v>139</v>
      </c>
      <c r="K1020">
        <v>98</v>
      </c>
      <c r="L1020">
        <v>121</v>
      </c>
      <c r="M1020">
        <v>15.4</v>
      </c>
      <c r="N1020">
        <v>2297</v>
      </c>
      <c r="O1020">
        <v>0.92</v>
      </c>
      <c r="P1020">
        <v>2102</v>
      </c>
      <c r="Q1020">
        <v>277</v>
      </c>
      <c r="R1020">
        <v>124</v>
      </c>
      <c r="S1020">
        <v>60</v>
      </c>
      <c r="T1020">
        <v>342</v>
      </c>
      <c r="U1020">
        <v>22</v>
      </c>
      <c r="V1020">
        <v>271</v>
      </c>
      <c r="W1020">
        <v>0.36899999999999999</v>
      </c>
      <c r="X1020">
        <v>236</v>
      </c>
      <c r="Y1020">
        <v>155</v>
      </c>
      <c r="Z1020">
        <v>106</v>
      </c>
      <c r="AA1020">
        <v>7</v>
      </c>
      <c r="AB1020">
        <v>10.3</v>
      </c>
      <c r="AC1020" t="s">
        <v>188</v>
      </c>
      <c r="AG1020" t="s">
        <v>6042</v>
      </c>
      <c r="AH1020" t="s">
        <v>1232</v>
      </c>
      <c r="AI1020" s="245">
        <v>449.95</v>
      </c>
      <c r="AJ1020" t="s">
        <v>6043</v>
      </c>
      <c r="AK1020" t="s">
        <v>6044</v>
      </c>
      <c r="AL1020" t="s">
        <v>2789</v>
      </c>
      <c r="AM1020" s="245">
        <v>499</v>
      </c>
      <c r="AN1020" t="s">
        <v>6045</v>
      </c>
      <c r="AO1020" t="s">
        <v>6046</v>
      </c>
      <c r="AP1020" t="s">
        <v>1181</v>
      </c>
      <c r="AQ1020" s="245">
        <v>619.95000000000005</v>
      </c>
      <c r="AR1020" t="s">
        <v>6047</v>
      </c>
      <c r="AS1020" s="226" t="str">
        <f t="shared" si="30"/>
        <v>QST 99</v>
      </c>
      <c r="AT1020" s="203" t="str">
        <f t="shared" si="31"/>
        <v xml:space="preserve"> SalomonQST 99188 Unisex</v>
      </c>
    </row>
    <row r="1021" spans="1:46" ht="52.8">
      <c r="A1021" t="s">
        <v>155</v>
      </c>
      <c r="B1021" t="s">
        <v>1160</v>
      </c>
      <c r="C1021" t="s">
        <v>846</v>
      </c>
      <c r="D1021">
        <v>167</v>
      </c>
      <c r="E1021" t="s">
        <v>163</v>
      </c>
      <c r="F1021">
        <v>167</v>
      </c>
      <c r="G1021">
        <v>166.6</v>
      </c>
      <c r="H1021">
        <v>130</v>
      </c>
      <c r="I1021">
        <v>141</v>
      </c>
      <c r="J1021">
        <v>120</v>
      </c>
      <c r="K1021">
        <v>87</v>
      </c>
      <c r="L1021">
        <v>108</v>
      </c>
      <c r="M1021">
        <v>18</v>
      </c>
      <c r="N1021">
        <v>1185</v>
      </c>
      <c r="O1021">
        <v>1.37</v>
      </c>
      <c r="P1021">
        <v>1625</v>
      </c>
      <c r="Q1021">
        <v>158</v>
      </c>
      <c r="R1021">
        <v>69</v>
      </c>
      <c r="S1021">
        <v>46</v>
      </c>
      <c r="T1021">
        <v>255</v>
      </c>
      <c r="U1021">
        <v>7</v>
      </c>
      <c r="V1021">
        <v>114</v>
      </c>
      <c r="W1021">
        <v>0.159</v>
      </c>
      <c r="X1021">
        <v>154</v>
      </c>
      <c r="Y1021">
        <v>101</v>
      </c>
      <c r="Z1021">
        <v>101</v>
      </c>
      <c r="AA1021">
        <v>9</v>
      </c>
      <c r="AB1021">
        <v>11.8</v>
      </c>
      <c r="AC1021" t="s">
        <v>185</v>
      </c>
      <c r="AD1021" t="s">
        <v>198</v>
      </c>
      <c r="AG1021" t="s">
        <v>6048</v>
      </c>
      <c r="AH1021" t="s">
        <v>1194</v>
      </c>
      <c r="AI1021" s="245">
        <v>294.07</v>
      </c>
      <c r="AJ1021" t="s">
        <v>6049</v>
      </c>
      <c r="AK1021" t="s">
        <v>6050</v>
      </c>
      <c r="AL1021" t="s">
        <v>1181</v>
      </c>
      <c r="AM1021" s="245">
        <v>559.96</v>
      </c>
      <c r="AN1021" t="s">
        <v>6051</v>
      </c>
      <c r="AO1021" t="s">
        <v>6050</v>
      </c>
      <c r="AP1021" t="s">
        <v>2111</v>
      </c>
      <c r="AQ1021" s="245">
        <v>649.95000000000005</v>
      </c>
      <c r="AR1021" t="s">
        <v>6052</v>
      </c>
      <c r="AS1021" s="226" t="str">
        <f t="shared" si="30"/>
        <v>Talkback 88</v>
      </c>
      <c r="AT1021" s="203" t="str">
        <f t="shared" si="31"/>
        <v>K2Talkback 88167 Women's</v>
      </c>
    </row>
    <row r="1022" spans="1:46" ht="132">
      <c r="A1022" t="s">
        <v>155</v>
      </c>
      <c r="B1022" t="s">
        <v>332</v>
      </c>
      <c r="C1022" t="s">
        <v>828</v>
      </c>
      <c r="D1022">
        <v>156</v>
      </c>
      <c r="E1022" t="s">
        <v>163</v>
      </c>
      <c r="F1022">
        <v>156</v>
      </c>
      <c r="G1022">
        <v>155.6</v>
      </c>
      <c r="H1022">
        <v>133</v>
      </c>
      <c r="I1022">
        <v>140</v>
      </c>
      <c r="J1022">
        <v>119</v>
      </c>
      <c r="K1022">
        <v>71</v>
      </c>
      <c r="L1022">
        <v>98</v>
      </c>
      <c r="M1022">
        <v>12.7</v>
      </c>
      <c r="N1022">
        <v>1661</v>
      </c>
      <c r="O1022">
        <v>0.8</v>
      </c>
      <c r="P1022">
        <v>1327</v>
      </c>
      <c r="Q1022">
        <v>156</v>
      </c>
      <c r="R1022">
        <v>53</v>
      </c>
      <c r="S1022">
        <v>36</v>
      </c>
      <c r="T1022">
        <v>144</v>
      </c>
      <c r="U1022">
        <v>9</v>
      </c>
      <c r="V1022">
        <v>86</v>
      </c>
      <c r="W1022">
        <v>0.246</v>
      </c>
      <c r="X1022">
        <v>65</v>
      </c>
      <c r="Y1022">
        <v>86</v>
      </c>
      <c r="Z1022">
        <v>79</v>
      </c>
      <c r="AA1022">
        <v>9</v>
      </c>
      <c r="AB1022">
        <v>9.3000000000000007</v>
      </c>
      <c r="AC1022" t="s">
        <v>349</v>
      </c>
      <c r="AG1022" t="s">
        <v>5492</v>
      </c>
      <c r="AH1022" t="s">
        <v>1556</v>
      </c>
      <c r="AI1022" s="245">
        <v>499.99</v>
      </c>
      <c r="AJ1022" t="s">
        <v>6053</v>
      </c>
      <c r="AK1022" t="s">
        <v>5160</v>
      </c>
      <c r="AL1022" t="s">
        <v>1833</v>
      </c>
      <c r="AM1022" s="245">
        <v>319.99</v>
      </c>
      <c r="AN1022" t="s">
        <v>6054</v>
      </c>
      <c r="AO1022" t="s">
        <v>6055</v>
      </c>
      <c r="AP1022" t="s">
        <v>1204</v>
      </c>
      <c r="AQ1022" s="245">
        <v>320.57</v>
      </c>
      <c r="AR1022" t="s">
        <v>6056</v>
      </c>
      <c r="AS1022" s="226" t="str">
        <f t="shared" si="30"/>
        <v>Belle 72 Ca</v>
      </c>
      <c r="AT1022" s="203" t="str">
        <f t="shared" si="31"/>
        <v xml:space="preserve"> NordicaBelle 72 Ca156 Women's</v>
      </c>
    </row>
    <row r="1023" spans="1:46" ht="52.8">
      <c r="A1023" t="s">
        <v>155</v>
      </c>
      <c r="B1023" t="s">
        <v>237</v>
      </c>
      <c r="C1023" t="s">
        <v>541</v>
      </c>
      <c r="D1023">
        <v>189.7</v>
      </c>
      <c r="E1023" t="s">
        <v>158</v>
      </c>
      <c r="F1023">
        <v>189.7</v>
      </c>
      <c r="G1023">
        <v>187.6</v>
      </c>
      <c r="H1023">
        <v>131</v>
      </c>
      <c r="I1023">
        <v>151</v>
      </c>
      <c r="J1023">
        <v>139</v>
      </c>
      <c r="K1023">
        <v>107</v>
      </c>
      <c r="L1023">
        <v>126</v>
      </c>
      <c r="M1023">
        <v>20.399999999999999</v>
      </c>
      <c r="N1023">
        <v>2131</v>
      </c>
      <c r="O1023">
        <v>1.04</v>
      </c>
      <c r="P1023">
        <v>2208</v>
      </c>
      <c r="Q1023">
        <v>251</v>
      </c>
      <c r="R1023">
        <v>121</v>
      </c>
      <c r="S1023">
        <v>52</v>
      </c>
      <c r="T1023">
        <v>334</v>
      </c>
      <c r="U1023">
        <v>34</v>
      </c>
      <c r="V1023">
        <v>234</v>
      </c>
      <c r="W1023">
        <v>0.65</v>
      </c>
      <c r="X1023">
        <v>227</v>
      </c>
      <c r="Y1023">
        <v>141</v>
      </c>
      <c r="Z1023">
        <v>108</v>
      </c>
      <c r="AA1023">
        <v>5</v>
      </c>
      <c r="AB1023">
        <v>8.1</v>
      </c>
      <c r="AC1023" t="s">
        <v>169</v>
      </c>
      <c r="AG1023" t="s">
        <v>2882</v>
      </c>
      <c r="AH1023" t="s">
        <v>2425</v>
      </c>
      <c r="AI1023" s="245">
        <v>669.95</v>
      </c>
      <c r="AJ1023" t="s">
        <v>6057</v>
      </c>
      <c r="AK1023" t="s">
        <v>2882</v>
      </c>
      <c r="AL1023" t="s">
        <v>1271</v>
      </c>
      <c r="AM1023" s="245">
        <v>671.93</v>
      </c>
      <c r="AN1023" t="s">
        <v>6058</v>
      </c>
      <c r="AO1023" t="s">
        <v>2882</v>
      </c>
      <c r="AP1023" t="s">
        <v>1181</v>
      </c>
      <c r="AQ1023" s="245">
        <v>671.96</v>
      </c>
      <c r="AR1023" t="s">
        <v>6059</v>
      </c>
      <c r="AS1023" s="226" t="str">
        <f t="shared" si="30"/>
        <v>Atris</v>
      </c>
      <c r="AT1023" s="203" t="str">
        <f t="shared" si="31"/>
        <v xml:space="preserve"> Black CrowsAtris189.7 Unisex</v>
      </c>
    </row>
    <row r="1024" spans="1:46" ht="132">
      <c r="A1024" t="s">
        <v>155</v>
      </c>
      <c r="B1024" t="s">
        <v>332</v>
      </c>
      <c r="C1024" t="s">
        <v>738</v>
      </c>
      <c r="D1024">
        <v>144</v>
      </c>
      <c r="E1024" t="s">
        <v>163</v>
      </c>
      <c r="F1024">
        <v>144</v>
      </c>
      <c r="G1024">
        <v>143.19999999999999</v>
      </c>
      <c r="H1024">
        <v>119</v>
      </c>
      <c r="I1024">
        <v>129</v>
      </c>
      <c r="J1024">
        <v>119</v>
      </c>
      <c r="K1024">
        <v>72</v>
      </c>
      <c r="L1024">
        <v>96</v>
      </c>
      <c r="M1024">
        <v>11.7</v>
      </c>
      <c r="N1024">
        <v>1520</v>
      </c>
      <c r="O1024">
        <v>0.8</v>
      </c>
      <c r="P1024">
        <v>1224</v>
      </c>
      <c r="Q1024">
        <v>131</v>
      </c>
      <c r="R1024">
        <v>54</v>
      </c>
      <c r="S1024">
        <v>38</v>
      </c>
      <c r="T1024">
        <v>147</v>
      </c>
      <c r="U1024">
        <v>9</v>
      </c>
      <c r="V1024">
        <v>91</v>
      </c>
      <c r="W1024">
        <v>0.248</v>
      </c>
      <c r="X1024">
        <v>66</v>
      </c>
      <c r="Y1024">
        <v>79</v>
      </c>
      <c r="Z1024">
        <v>81</v>
      </c>
      <c r="AA1024">
        <v>7</v>
      </c>
      <c r="AB1024">
        <v>9.3000000000000007</v>
      </c>
      <c r="AC1024" t="s">
        <v>231</v>
      </c>
      <c r="AG1024" t="s">
        <v>6060</v>
      </c>
      <c r="AH1024" t="s">
        <v>4009</v>
      </c>
      <c r="AI1024" s="245">
        <v>399.95</v>
      </c>
      <c r="AJ1024" t="s">
        <v>6061</v>
      </c>
      <c r="AK1024" t="s">
        <v>6060</v>
      </c>
      <c r="AL1024" t="s">
        <v>2130</v>
      </c>
      <c r="AM1024" s="245">
        <v>499.99</v>
      </c>
      <c r="AN1024" t="s">
        <v>6062</v>
      </c>
      <c r="AO1024" t="s">
        <v>6063</v>
      </c>
      <c r="AP1024" t="s">
        <v>1556</v>
      </c>
      <c r="AQ1024" s="245">
        <v>499.99</v>
      </c>
      <c r="AR1024" t="s">
        <v>6064</v>
      </c>
      <c r="AS1024" s="226" t="str">
        <f t="shared" si="30"/>
        <v>Belle 73</v>
      </c>
      <c r="AT1024" s="203" t="str">
        <f t="shared" si="31"/>
        <v xml:space="preserve"> NordicaBelle 73144 Women's</v>
      </c>
    </row>
    <row r="1025" spans="1:46" ht="105.6">
      <c r="A1025" t="s">
        <v>155</v>
      </c>
      <c r="B1025" t="s">
        <v>245</v>
      </c>
      <c r="C1025" t="s">
        <v>847</v>
      </c>
      <c r="D1025">
        <v>162</v>
      </c>
      <c r="E1025" t="s">
        <v>163</v>
      </c>
      <c r="F1025">
        <v>162</v>
      </c>
      <c r="G1025">
        <v>160.69999999999999</v>
      </c>
      <c r="H1025">
        <v>126</v>
      </c>
      <c r="I1025">
        <v>143</v>
      </c>
      <c r="J1025">
        <v>116</v>
      </c>
      <c r="K1025">
        <v>80</v>
      </c>
      <c r="L1025">
        <v>106</v>
      </c>
      <c r="M1025">
        <v>15.4</v>
      </c>
      <c r="N1025">
        <v>1092</v>
      </c>
      <c r="O1025">
        <v>1.35</v>
      </c>
      <c r="P1025">
        <v>1473</v>
      </c>
      <c r="Q1025">
        <v>195</v>
      </c>
      <c r="R1025">
        <v>80</v>
      </c>
      <c r="S1025">
        <v>47</v>
      </c>
      <c r="T1025">
        <v>250</v>
      </c>
      <c r="U1025">
        <v>10</v>
      </c>
      <c r="V1025">
        <v>95</v>
      </c>
      <c r="W1025">
        <v>0.20300000000000001</v>
      </c>
      <c r="X1025">
        <v>74</v>
      </c>
      <c r="Y1025">
        <v>103</v>
      </c>
      <c r="Z1025">
        <v>175</v>
      </c>
      <c r="AA1025">
        <v>7</v>
      </c>
      <c r="AB1025">
        <v>9.9</v>
      </c>
      <c r="AC1025" t="s">
        <v>185</v>
      </c>
      <c r="AD1025" t="s">
        <v>198</v>
      </c>
      <c r="AG1025" t="s">
        <v>6065</v>
      </c>
      <c r="AH1025" t="s">
        <v>1282</v>
      </c>
      <c r="AI1025" s="245">
        <v>209</v>
      </c>
      <c r="AJ1025" t="s">
        <v>6066</v>
      </c>
      <c r="AK1025" t="s">
        <v>6067</v>
      </c>
      <c r="AL1025" t="s">
        <v>1349</v>
      </c>
      <c r="AM1025" s="245">
        <v>329.96</v>
      </c>
      <c r="AN1025" t="s">
        <v>6068</v>
      </c>
      <c r="AO1025" t="s">
        <v>6069</v>
      </c>
      <c r="AP1025" t="s">
        <v>1601</v>
      </c>
      <c r="AQ1025" s="245">
        <v>599.99</v>
      </c>
      <c r="AR1025" t="s">
        <v>6070</v>
      </c>
      <c r="AS1025" s="226" t="str">
        <f t="shared" si="30"/>
        <v>Transalp 82</v>
      </c>
      <c r="AT1025" s="203" t="str">
        <f t="shared" si="31"/>
        <v xml:space="preserve"> FischerTransalp 82162 Women's</v>
      </c>
    </row>
    <row r="1026" spans="1:46" ht="118.8">
      <c r="A1026" t="s">
        <v>155</v>
      </c>
      <c r="B1026" t="s">
        <v>156</v>
      </c>
      <c r="C1026" t="s">
        <v>587</v>
      </c>
      <c r="D1026">
        <v>143</v>
      </c>
      <c r="E1026" t="s">
        <v>163</v>
      </c>
      <c r="F1026">
        <v>143</v>
      </c>
      <c r="G1026">
        <v>142.9</v>
      </c>
      <c r="H1026">
        <v>125</v>
      </c>
      <c r="I1026">
        <v>129</v>
      </c>
      <c r="J1026">
        <v>108</v>
      </c>
      <c r="K1026">
        <v>72</v>
      </c>
      <c r="L1026">
        <v>94</v>
      </c>
      <c r="M1026">
        <v>13.7</v>
      </c>
      <c r="N1026">
        <v>1478</v>
      </c>
      <c r="O1026">
        <v>0.8</v>
      </c>
      <c r="P1026">
        <v>1189</v>
      </c>
      <c r="Q1026">
        <v>119</v>
      </c>
      <c r="R1026">
        <v>57</v>
      </c>
      <c r="S1026">
        <v>32</v>
      </c>
      <c r="T1026">
        <v>133</v>
      </c>
      <c r="U1026">
        <v>4</v>
      </c>
      <c r="V1026">
        <v>48</v>
      </c>
      <c r="W1026">
        <v>0.11699999999999899</v>
      </c>
      <c r="X1026">
        <v>89</v>
      </c>
      <c r="Y1026">
        <v>52</v>
      </c>
      <c r="Z1026">
        <v>45</v>
      </c>
      <c r="AA1026">
        <v>11</v>
      </c>
      <c r="AB1026">
        <v>12.6</v>
      </c>
      <c r="AC1026" t="s">
        <v>349</v>
      </c>
      <c r="AG1026" t="s">
        <v>6071</v>
      </c>
      <c r="AH1026" t="s">
        <v>1277</v>
      </c>
      <c r="AI1026" s="245">
        <v>449.99</v>
      </c>
      <c r="AJ1026" t="s">
        <v>6072</v>
      </c>
      <c r="AK1026" t="s">
        <v>6073</v>
      </c>
      <c r="AL1026" t="s">
        <v>1179</v>
      </c>
      <c r="AM1026" s="245">
        <v>599.99</v>
      </c>
      <c r="AN1026" t="s">
        <v>6074</v>
      </c>
      <c r="AO1026" t="s">
        <v>6075</v>
      </c>
      <c r="AP1026" t="s">
        <v>1365</v>
      </c>
      <c r="AQ1026" s="245">
        <v>599.99</v>
      </c>
      <c r="AR1026" t="s">
        <v>6076</v>
      </c>
      <c r="AS1026" s="226" t="str">
        <f t="shared" ref="AS1026:AS1089" si="32">IF(LEFT(C1026,1)=" ",RIGHT(C1026,LEN(C1026)-1),C1026)</f>
        <v>Cloud C9</v>
      </c>
      <c r="AT1026" s="203" t="str">
        <f t="shared" ref="AT1026:AT1089" si="33">_xlfn.CONCAT(B1026,AS1026,D1026,E1026)</f>
        <v xml:space="preserve"> AtomicCloud C9143 Women's</v>
      </c>
    </row>
    <row r="1027" spans="1:46" ht="79.2">
      <c r="A1027" t="s">
        <v>155</v>
      </c>
      <c r="B1027" t="s">
        <v>172</v>
      </c>
      <c r="C1027" t="s">
        <v>652</v>
      </c>
      <c r="D1027">
        <v>187</v>
      </c>
      <c r="E1027" t="s">
        <v>158</v>
      </c>
      <c r="F1027">
        <v>187</v>
      </c>
      <c r="G1027">
        <v>186.4</v>
      </c>
      <c r="H1027">
        <v>136</v>
      </c>
      <c r="I1027">
        <v>160</v>
      </c>
      <c r="J1027">
        <v>137</v>
      </c>
      <c r="K1027">
        <v>104</v>
      </c>
      <c r="L1027">
        <v>127</v>
      </c>
      <c r="M1027">
        <v>20.9</v>
      </c>
      <c r="N1027">
        <v>2157</v>
      </c>
      <c r="O1027">
        <v>0.99</v>
      </c>
      <c r="P1027">
        <v>2140</v>
      </c>
      <c r="Q1027">
        <v>258</v>
      </c>
      <c r="R1027">
        <v>112</v>
      </c>
      <c r="S1027">
        <v>48</v>
      </c>
      <c r="T1027">
        <v>295</v>
      </c>
      <c r="U1027">
        <v>13</v>
      </c>
      <c r="V1027">
        <v>206</v>
      </c>
      <c r="W1027">
        <v>0.26800000000000002</v>
      </c>
      <c r="X1027">
        <v>156</v>
      </c>
      <c r="Y1027">
        <v>107</v>
      </c>
      <c r="Z1027">
        <v>139</v>
      </c>
      <c r="AA1027">
        <v>6</v>
      </c>
      <c r="AB1027">
        <v>7.5</v>
      </c>
      <c r="AC1027" t="s">
        <v>188</v>
      </c>
      <c r="AD1027" t="s">
        <v>178</v>
      </c>
      <c r="AG1027" t="s">
        <v>6077</v>
      </c>
      <c r="AH1027" t="s">
        <v>1194</v>
      </c>
      <c r="AI1027" s="245">
        <v>460</v>
      </c>
      <c r="AJ1027" t="s">
        <v>6078</v>
      </c>
      <c r="AK1027" t="s">
        <v>6079</v>
      </c>
      <c r="AL1027" t="s">
        <v>1204</v>
      </c>
      <c r="AM1027" s="245">
        <v>544.98</v>
      </c>
      <c r="AN1027" t="s">
        <v>6080</v>
      </c>
      <c r="AO1027" t="s">
        <v>6077</v>
      </c>
      <c r="AP1027" t="s">
        <v>1232</v>
      </c>
      <c r="AQ1027" s="245">
        <v>559.95000000000005</v>
      </c>
      <c r="AR1027" t="s">
        <v>6081</v>
      </c>
      <c r="AS1027" s="226" t="str">
        <f t="shared" si="32"/>
        <v>Blackops Sender Ti</v>
      </c>
      <c r="AT1027" s="203" t="str">
        <f t="shared" si="33"/>
        <v xml:space="preserve"> RossignolBlackops Sender Ti187 Unisex</v>
      </c>
    </row>
    <row r="1028" spans="1:46" ht="92.4">
      <c r="A1028" t="s">
        <v>155</v>
      </c>
      <c r="B1028" t="s">
        <v>156</v>
      </c>
      <c r="C1028" t="s">
        <v>399</v>
      </c>
      <c r="D1028">
        <v>164</v>
      </c>
      <c r="E1028" t="s">
        <v>158</v>
      </c>
      <c r="F1028">
        <v>164</v>
      </c>
      <c r="G1028">
        <v>163</v>
      </c>
      <c r="H1028">
        <v>108</v>
      </c>
      <c r="I1028">
        <v>129</v>
      </c>
      <c r="J1028">
        <v>126</v>
      </c>
      <c r="K1028">
        <v>97</v>
      </c>
      <c r="L1028">
        <v>117</v>
      </c>
      <c r="M1028">
        <v>15</v>
      </c>
      <c r="N1028">
        <v>1182</v>
      </c>
      <c r="O1028">
        <v>1.46</v>
      </c>
      <c r="P1028">
        <v>1728</v>
      </c>
      <c r="Q1028">
        <v>160</v>
      </c>
      <c r="R1028">
        <v>69</v>
      </c>
      <c r="S1028">
        <v>56</v>
      </c>
      <c r="T1028">
        <v>329</v>
      </c>
      <c r="U1028">
        <v>16</v>
      </c>
      <c r="V1028">
        <v>223</v>
      </c>
      <c r="W1028">
        <v>0.28000000000000003</v>
      </c>
      <c r="X1028">
        <v>173</v>
      </c>
      <c r="Y1028">
        <v>165</v>
      </c>
      <c r="Z1028">
        <v>156</v>
      </c>
      <c r="AA1028">
        <v>3</v>
      </c>
      <c r="AB1028">
        <v>8.3000000000000007</v>
      </c>
      <c r="AC1028" t="s">
        <v>185</v>
      </c>
      <c r="AD1028" t="s">
        <v>198</v>
      </c>
      <c r="AG1028" t="s">
        <v>3870</v>
      </c>
      <c r="AH1028" t="s">
        <v>1349</v>
      </c>
      <c r="AI1028" s="245">
        <v>365.82</v>
      </c>
      <c r="AJ1028" t="s">
        <v>6082</v>
      </c>
      <c r="AK1028" t="s">
        <v>2247</v>
      </c>
      <c r="AL1028" t="s">
        <v>1204</v>
      </c>
      <c r="AM1028" s="245">
        <v>400.72</v>
      </c>
      <c r="AN1028" t="s">
        <v>6083</v>
      </c>
      <c r="AO1028" t="s">
        <v>2249</v>
      </c>
      <c r="AP1028" t="s">
        <v>1282</v>
      </c>
      <c r="AQ1028" s="245">
        <v>479.99</v>
      </c>
      <c r="AR1028" t="s">
        <v>6084</v>
      </c>
      <c r="AS1028" s="226" t="str">
        <f t="shared" si="32"/>
        <v>Backland 100</v>
      </c>
      <c r="AT1028" s="203" t="str">
        <f t="shared" si="33"/>
        <v xml:space="preserve"> AtomicBackland 100164 Unisex</v>
      </c>
    </row>
    <row r="1029" spans="1:46" ht="92.4">
      <c r="A1029" t="s">
        <v>155</v>
      </c>
      <c r="B1029" t="s">
        <v>317</v>
      </c>
      <c r="C1029" t="s">
        <v>684</v>
      </c>
      <c r="D1029">
        <v>179</v>
      </c>
      <c r="E1029" t="s">
        <v>158</v>
      </c>
      <c r="F1029">
        <v>179</v>
      </c>
      <c r="G1029">
        <v>177.8</v>
      </c>
      <c r="H1029">
        <v>108</v>
      </c>
      <c r="I1029">
        <v>132</v>
      </c>
      <c r="J1029">
        <v>147</v>
      </c>
      <c r="K1029">
        <v>126</v>
      </c>
      <c r="L1029">
        <v>135</v>
      </c>
      <c r="M1029">
        <v>25</v>
      </c>
      <c r="N1029">
        <v>2094</v>
      </c>
      <c r="O1029">
        <v>1.1100000000000001</v>
      </c>
      <c r="P1029">
        <v>2332</v>
      </c>
      <c r="Q1029">
        <v>234</v>
      </c>
      <c r="R1029">
        <v>128</v>
      </c>
      <c r="S1029">
        <v>61</v>
      </c>
      <c r="T1029">
        <v>443</v>
      </c>
      <c r="U1029">
        <v>17</v>
      </c>
      <c r="V1029">
        <v>260</v>
      </c>
      <c r="W1029">
        <v>0.27500000000000002</v>
      </c>
      <c r="X1029">
        <v>233</v>
      </c>
      <c r="Y1029">
        <v>229</v>
      </c>
      <c r="Z1029">
        <v>209</v>
      </c>
      <c r="AA1029">
        <v>1</v>
      </c>
      <c r="AB1029">
        <v>10.6</v>
      </c>
      <c r="AC1029" t="s">
        <v>178</v>
      </c>
      <c r="AD1029" t="s">
        <v>185</v>
      </c>
      <c r="AG1029" t="s">
        <v>6085</v>
      </c>
      <c r="AH1029" t="s">
        <v>1232</v>
      </c>
      <c r="AI1029" s="245">
        <v>449.95</v>
      </c>
      <c r="AJ1029" t="s">
        <v>6086</v>
      </c>
      <c r="AK1029" t="s">
        <v>6087</v>
      </c>
      <c r="AL1029" t="s">
        <v>1244</v>
      </c>
      <c r="AM1029" s="245">
        <v>639.96</v>
      </c>
      <c r="AN1029" t="s">
        <v>6088</v>
      </c>
      <c r="AO1029" t="s">
        <v>6087</v>
      </c>
      <c r="AP1029" t="s">
        <v>1309</v>
      </c>
      <c r="AQ1029" s="245">
        <v>639.96</v>
      </c>
      <c r="AR1029" t="s">
        <v>6089</v>
      </c>
      <c r="AS1029" s="226" t="str">
        <f t="shared" si="32"/>
        <v>Spur</v>
      </c>
      <c r="AT1029" s="203" t="str">
        <f t="shared" si="33"/>
        <v xml:space="preserve"> BlizzardSpur179 Unisex</v>
      </c>
    </row>
    <row r="1030" spans="1:46" ht="52.8">
      <c r="A1030" t="s">
        <v>155</v>
      </c>
      <c r="B1030" t="s">
        <v>208</v>
      </c>
      <c r="C1030" t="s">
        <v>530</v>
      </c>
      <c r="D1030">
        <v>157</v>
      </c>
      <c r="E1030" t="s">
        <v>158</v>
      </c>
      <c r="F1030">
        <v>157</v>
      </c>
      <c r="G1030">
        <v>157.4</v>
      </c>
      <c r="H1030">
        <v>112</v>
      </c>
      <c r="I1030">
        <v>131</v>
      </c>
      <c r="J1030">
        <v>117</v>
      </c>
      <c r="K1030">
        <v>89</v>
      </c>
      <c r="L1030">
        <v>116</v>
      </c>
      <c r="M1030">
        <v>14.6</v>
      </c>
      <c r="N1030">
        <v>1435</v>
      </c>
      <c r="O1030">
        <v>1.0900000000000001</v>
      </c>
      <c r="P1030">
        <v>1562</v>
      </c>
      <c r="Q1030">
        <v>124</v>
      </c>
      <c r="R1030">
        <v>66</v>
      </c>
      <c r="S1030">
        <v>36</v>
      </c>
      <c r="T1030">
        <v>201</v>
      </c>
      <c r="U1030">
        <v>39</v>
      </c>
      <c r="V1030">
        <v>254</v>
      </c>
      <c r="W1030">
        <v>1.095</v>
      </c>
      <c r="X1030">
        <v>123</v>
      </c>
      <c r="Y1030">
        <v>141</v>
      </c>
      <c r="Z1030">
        <v>78</v>
      </c>
      <c r="AA1030">
        <v>5</v>
      </c>
      <c r="AB1030">
        <v>1.9</v>
      </c>
      <c r="AC1030" t="s">
        <v>184</v>
      </c>
      <c r="AD1030" t="s">
        <v>185</v>
      </c>
      <c r="AG1030" t="s">
        <v>2801</v>
      </c>
      <c r="AH1030" t="s">
        <v>1950</v>
      </c>
      <c r="AI1030" s="245">
        <v>449.95</v>
      </c>
      <c r="AJ1030" t="s">
        <v>6090</v>
      </c>
      <c r="AK1030" t="s">
        <v>2801</v>
      </c>
      <c r="AL1030" t="s">
        <v>1974</v>
      </c>
      <c r="AM1030" s="245">
        <v>492.18</v>
      </c>
      <c r="AN1030" t="s">
        <v>6091</v>
      </c>
      <c r="AS1030" s="226" t="str">
        <f t="shared" si="32"/>
        <v>Tom Wallisch Pro</v>
      </c>
      <c r="AT1030" s="203" t="str">
        <f t="shared" si="33"/>
        <v xml:space="preserve"> LineTom Wallisch Pro157 Unisex</v>
      </c>
    </row>
    <row r="1031" spans="1:46" ht="132">
      <c r="A1031" t="s">
        <v>155</v>
      </c>
      <c r="B1031" t="s">
        <v>1160</v>
      </c>
      <c r="C1031" t="s">
        <v>848</v>
      </c>
      <c r="D1031">
        <v>160</v>
      </c>
      <c r="E1031" t="s">
        <v>163</v>
      </c>
      <c r="F1031">
        <v>160</v>
      </c>
      <c r="G1031">
        <v>160.69999999999999</v>
      </c>
      <c r="H1031">
        <v>143</v>
      </c>
      <c r="I1031">
        <v>150</v>
      </c>
      <c r="J1031">
        <v>115</v>
      </c>
      <c r="K1031">
        <v>71</v>
      </c>
      <c r="L1031">
        <v>103</v>
      </c>
      <c r="M1031">
        <v>14.7</v>
      </c>
      <c r="N1031">
        <v>1869</v>
      </c>
      <c r="O1031">
        <v>0.73</v>
      </c>
      <c r="P1031">
        <v>1368</v>
      </c>
      <c r="Q1031">
        <v>188</v>
      </c>
      <c r="R1031">
        <v>119</v>
      </c>
      <c r="S1031">
        <v>31</v>
      </c>
      <c r="T1031">
        <v>138</v>
      </c>
      <c r="U1031">
        <v>3</v>
      </c>
      <c r="V1031">
        <v>42</v>
      </c>
      <c r="W1031">
        <v>9.0999999999999998E-2</v>
      </c>
      <c r="X1031">
        <v>81</v>
      </c>
      <c r="Y1031">
        <v>29</v>
      </c>
      <c r="Z1031">
        <v>56</v>
      </c>
      <c r="AA1031">
        <v>12</v>
      </c>
      <c r="AB1031">
        <v>10.4</v>
      </c>
      <c r="AC1031" t="s">
        <v>349</v>
      </c>
      <c r="AG1031" t="s">
        <v>6092</v>
      </c>
      <c r="AH1031" t="s">
        <v>1229</v>
      </c>
      <c r="AI1031" s="245">
        <v>629.99</v>
      </c>
      <c r="AJ1031" t="s">
        <v>6093</v>
      </c>
      <c r="AK1031" t="s">
        <v>6094</v>
      </c>
      <c r="AL1031" t="s">
        <v>1256</v>
      </c>
      <c r="AM1031" s="245">
        <v>418.95</v>
      </c>
      <c r="AN1031" t="s">
        <v>6095</v>
      </c>
      <c r="AO1031" t="s">
        <v>6096</v>
      </c>
      <c r="AP1031" t="s">
        <v>1191</v>
      </c>
      <c r="AQ1031" s="245">
        <v>424.95</v>
      </c>
      <c r="AR1031" t="s">
        <v>6097</v>
      </c>
      <c r="AS1031" s="226" t="str">
        <f t="shared" si="32"/>
        <v>Disruption Mti Alliance</v>
      </c>
      <c r="AT1031" s="203" t="str">
        <f t="shared" si="33"/>
        <v>K2Disruption Mti Alliance160 Women's</v>
      </c>
    </row>
    <row r="1032" spans="1:46" ht="52.8">
      <c r="A1032" t="s">
        <v>155</v>
      </c>
      <c r="B1032" t="s">
        <v>164</v>
      </c>
      <c r="C1032" t="s">
        <v>826</v>
      </c>
      <c r="D1032">
        <v>162</v>
      </c>
      <c r="E1032" t="s">
        <v>163</v>
      </c>
      <c r="F1032">
        <v>162</v>
      </c>
      <c r="G1032">
        <v>163.9</v>
      </c>
      <c r="H1032">
        <v>123</v>
      </c>
      <c r="I1032">
        <v>133</v>
      </c>
      <c r="J1032">
        <v>130</v>
      </c>
      <c r="K1032">
        <v>87</v>
      </c>
      <c r="L1032">
        <v>105</v>
      </c>
      <c r="M1032">
        <v>14.1</v>
      </c>
      <c r="N1032">
        <v>1404</v>
      </c>
      <c r="O1032">
        <v>1.18</v>
      </c>
      <c r="P1032">
        <v>1651</v>
      </c>
      <c r="Q1032">
        <v>130</v>
      </c>
      <c r="R1032">
        <v>61</v>
      </c>
      <c r="S1032">
        <v>46</v>
      </c>
      <c r="T1032">
        <v>260</v>
      </c>
      <c r="U1032">
        <v>13</v>
      </c>
      <c r="V1032">
        <v>149</v>
      </c>
      <c r="W1032">
        <v>0.27500000000000002</v>
      </c>
      <c r="X1032">
        <v>157</v>
      </c>
      <c r="Y1032">
        <v>153</v>
      </c>
      <c r="Z1032">
        <v>103</v>
      </c>
      <c r="AA1032">
        <v>4</v>
      </c>
      <c r="AB1032">
        <v>8.5</v>
      </c>
      <c r="AC1032" t="s">
        <v>188</v>
      </c>
      <c r="AD1032" t="s">
        <v>185</v>
      </c>
      <c r="AG1032" t="s">
        <v>6098</v>
      </c>
      <c r="AH1032" t="s">
        <v>1688</v>
      </c>
      <c r="AI1032" s="245">
        <v>306.45</v>
      </c>
      <c r="AJ1032" t="s">
        <v>6099</v>
      </c>
      <c r="AK1032" t="s">
        <v>6098</v>
      </c>
      <c r="AL1032" t="s">
        <v>2562</v>
      </c>
      <c r="AM1032" s="245">
        <v>549.99</v>
      </c>
      <c r="AN1032" t="s">
        <v>6100</v>
      </c>
      <c r="AO1032" t="s">
        <v>6101</v>
      </c>
      <c r="AP1032" t="s">
        <v>1204</v>
      </c>
      <c r="AQ1032" s="245">
        <v>480.86</v>
      </c>
      <c r="AR1032" t="s">
        <v>6102</v>
      </c>
      <c r="AS1032" s="226" t="str">
        <f t="shared" si="32"/>
        <v>Ripstick 88 W</v>
      </c>
      <c r="AT1032" s="203" t="str">
        <f t="shared" si="33"/>
        <v xml:space="preserve"> ElanRipstick 88 W162 Women's</v>
      </c>
    </row>
    <row r="1033" spans="1:46" ht="118.8">
      <c r="A1033" t="s">
        <v>155</v>
      </c>
      <c r="B1033" t="s">
        <v>164</v>
      </c>
      <c r="C1033" t="s">
        <v>601</v>
      </c>
      <c r="D1033">
        <v>150</v>
      </c>
      <c r="E1033" t="s">
        <v>163</v>
      </c>
      <c r="F1033">
        <v>150</v>
      </c>
      <c r="G1033">
        <v>150.19999999999999</v>
      </c>
      <c r="H1033">
        <v>131</v>
      </c>
      <c r="I1033">
        <v>136</v>
      </c>
      <c r="J1033">
        <v>127</v>
      </c>
      <c r="K1033">
        <v>75</v>
      </c>
      <c r="L1033">
        <v>105</v>
      </c>
      <c r="M1033">
        <v>11.5</v>
      </c>
      <c r="N1033">
        <v>1415</v>
      </c>
      <c r="O1033">
        <v>0.96</v>
      </c>
      <c r="P1033">
        <v>1365</v>
      </c>
      <c r="Q1033">
        <v>135</v>
      </c>
      <c r="R1033">
        <v>60</v>
      </c>
      <c r="S1033">
        <v>38</v>
      </c>
      <c r="T1033">
        <v>132</v>
      </c>
      <c r="U1033">
        <v>6</v>
      </c>
      <c r="V1033">
        <v>63</v>
      </c>
      <c r="W1033">
        <v>0.159</v>
      </c>
      <c r="X1033">
        <v>89</v>
      </c>
      <c r="Y1033">
        <v>49</v>
      </c>
      <c r="Z1033">
        <v>43</v>
      </c>
      <c r="AA1033">
        <v>8</v>
      </c>
      <c r="AB1033">
        <v>9.6999999999999993</v>
      </c>
      <c r="AC1033" t="s">
        <v>349</v>
      </c>
      <c r="AG1033" t="s">
        <v>6103</v>
      </c>
      <c r="AH1033" t="s">
        <v>1204</v>
      </c>
      <c r="AI1033" s="245">
        <v>400.72</v>
      </c>
      <c r="AJ1033" t="s">
        <v>6104</v>
      </c>
      <c r="AK1033" t="s">
        <v>6105</v>
      </c>
      <c r="AL1033" t="s">
        <v>3196</v>
      </c>
      <c r="AM1033" s="245">
        <v>499.99</v>
      </c>
      <c r="AN1033" t="s">
        <v>6106</v>
      </c>
      <c r="AO1033" t="s">
        <v>6107</v>
      </c>
      <c r="AP1033" t="s">
        <v>1191</v>
      </c>
      <c r="AQ1033" s="245">
        <v>509.95</v>
      </c>
      <c r="AR1033" t="s">
        <v>6108</v>
      </c>
      <c r="AS1033" s="226" t="str">
        <f t="shared" si="32"/>
        <v>Wildcat 76</v>
      </c>
      <c r="AT1033" s="203" t="str">
        <f t="shared" si="33"/>
        <v xml:space="preserve"> ElanWildcat 76150 Women's</v>
      </c>
    </row>
    <row r="1034" spans="1:46" ht="66">
      <c r="A1034" t="s">
        <v>155</v>
      </c>
      <c r="B1034" t="s">
        <v>182</v>
      </c>
      <c r="C1034" t="s">
        <v>837</v>
      </c>
      <c r="D1034">
        <v>138</v>
      </c>
      <c r="E1034" t="s">
        <v>385</v>
      </c>
      <c r="F1034">
        <v>138</v>
      </c>
      <c r="G1034">
        <v>137</v>
      </c>
      <c r="H1034">
        <v>91</v>
      </c>
      <c r="I1034">
        <v>100</v>
      </c>
      <c r="J1034">
        <v>124</v>
      </c>
      <c r="K1034">
        <v>97</v>
      </c>
      <c r="L1034">
        <v>114</v>
      </c>
      <c r="M1034">
        <v>9.9</v>
      </c>
      <c r="N1034">
        <v>1318</v>
      </c>
      <c r="O1034">
        <v>1.1100000000000001</v>
      </c>
      <c r="P1034">
        <v>1457</v>
      </c>
      <c r="Q1034">
        <v>124</v>
      </c>
      <c r="R1034">
        <v>61</v>
      </c>
      <c r="S1034">
        <v>47</v>
      </c>
      <c r="T1034">
        <v>313</v>
      </c>
      <c r="U1034">
        <v>31</v>
      </c>
      <c r="V1034">
        <v>144</v>
      </c>
      <c r="W1034">
        <v>0.66799999999999904</v>
      </c>
      <c r="X1034">
        <v>229</v>
      </c>
      <c r="Y1034">
        <v>137</v>
      </c>
      <c r="Z1034">
        <v>84</v>
      </c>
      <c r="AA1034">
        <v>8</v>
      </c>
      <c r="AB1034">
        <v>6.9</v>
      </c>
      <c r="AC1034" t="s">
        <v>188</v>
      </c>
      <c r="AD1034" t="s">
        <v>185</v>
      </c>
      <c r="AG1034" t="s">
        <v>6109</v>
      </c>
      <c r="AH1034" t="s">
        <v>1265</v>
      </c>
      <c r="AI1034" s="245">
        <v>287.70999999999998</v>
      </c>
      <c r="AJ1034" t="s">
        <v>6110</v>
      </c>
      <c r="AK1034" t="s">
        <v>6111</v>
      </c>
      <c r="AL1034" t="s">
        <v>1232</v>
      </c>
      <c r="AM1034" s="245">
        <v>319.95</v>
      </c>
      <c r="AN1034" t="s">
        <v>6112</v>
      </c>
      <c r="AO1034" t="s">
        <v>6111</v>
      </c>
      <c r="AP1034" t="s">
        <v>1248</v>
      </c>
      <c r="AQ1034" s="245">
        <v>319.95999999999998</v>
      </c>
      <c r="AR1034" t="s">
        <v>6113</v>
      </c>
      <c r="AS1034" s="226" t="str">
        <f t="shared" si="32"/>
        <v>Tantrum</v>
      </c>
      <c r="AT1034" s="203" t="str">
        <f t="shared" si="33"/>
        <v xml:space="preserve"> ArmadaTantrum138 Junior</v>
      </c>
    </row>
    <row r="1035" spans="1:46" ht="105.6">
      <c r="A1035" t="s">
        <v>155</v>
      </c>
      <c r="B1035" t="s">
        <v>156</v>
      </c>
      <c r="C1035" t="s">
        <v>800</v>
      </c>
      <c r="D1035">
        <v>165</v>
      </c>
      <c r="E1035" t="s">
        <v>158</v>
      </c>
      <c r="F1035">
        <v>165</v>
      </c>
      <c r="G1035">
        <v>163.80000000000001</v>
      </c>
      <c r="H1035">
        <v>143</v>
      </c>
      <c r="I1035">
        <v>151</v>
      </c>
      <c r="J1035">
        <v>117</v>
      </c>
      <c r="K1035">
        <v>67</v>
      </c>
      <c r="L1035">
        <v>103</v>
      </c>
      <c r="M1035">
        <v>12.8</v>
      </c>
      <c r="N1035">
        <v>2148</v>
      </c>
      <c r="O1035">
        <v>0.63</v>
      </c>
      <c r="P1035">
        <v>1362</v>
      </c>
      <c r="Q1035">
        <v>213</v>
      </c>
      <c r="R1035">
        <v>108</v>
      </c>
      <c r="S1035">
        <v>34</v>
      </c>
      <c r="T1035">
        <v>153</v>
      </c>
      <c r="U1035">
        <v>5</v>
      </c>
      <c r="V1035">
        <v>54</v>
      </c>
      <c r="W1035">
        <v>0.16</v>
      </c>
      <c r="X1035">
        <v>79</v>
      </c>
      <c r="Y1035">
        <v>53</v>
      </c>
      <c r="Z1035">
        <v>74</v>
      </c>
      <c r="AA1035">
        <v>10</v>
      </c>
      <c r="AB1035">
        <v>13.6</v>
      </c>
      <c r="AC1035" t="s">
        <v>349</v>
      </c>
      <c r="AG1035" t="s">
        <v>5817</v>
      </c>
      <c r="AH1035" t="s">
        <v>1229</v>
      </c>
      <c r="AI1035" s="245">
        <v>549.99</v>
      </c>
      <c r="AJ1035" t="s">
        <v>6114</v>
      </c>
      <c r="AK1035" t="s">
        <v>5819</v>
      </c>
      <c r="AL1035" t="s">
        <v>1211</v>
      </c>
      <c r="AM1035" s="245">
        <v>749.99</v>
      </c>
      <c r="AN1035" t="s">
        <v>6115</v>
      </c>
      <c r="AS1035" s="226" t="str">
        <f t="shared" si="32"/>
        <v>Redster S9 Servo</v>
      </c>
      <c r="AT1035" s="203" t="str">
        <f t="shared" si="33"/>
        <v xml:space="preserve"> AtomicRedster S9 Servo165 Unisex</v>
      </c>
    </row>
    <row r="1036" spans="1:46" ht="52.8">
      <c r="A1036" t="s">
        <v>155</v>
      </c>
      <c r="B1036" t="s">
        <v>208</v>
      </c>
      <c r="C1036" t="s">
        <v>843</v>
      </c>
      <c r="D1036">
        <v>155</v>
      </c>
      <c r="E1036" t="s">
        <v>163</v>
      </c>
      <c r="F1036">
        <v>155</v>
      </c>
      <c r="G1036">
        <v>154.4</v>
      </c>
      <c r="H1036">
        <v>118</v>
      </c>
      <c r="I1036">
        <v>130</v>
      </c>
      <c r="J1036">
        <v>120</v>
      </c>
      <c r="K1036">
        <v>91</v>
      </c>
      <c r="L1036">
        <v>117</v>
      </c>
      <c r="M1036">
        <v>14.6</v>
      </c>
      <c r="N1036">
        <v>1416</v>
      </c>
      <c r="O1036">
        <v>1.1000000000000001</v>
      </c>
      <c r="P1036">
        <v>1559</v>
      </c>
      <c r="Q1036">
        <v>126</v>
      </c>
      <c r="R1036">
        <v>51</v>
      </c>
      <c r="S1036">
        <v>40</v>
      </c>
      <c r="T1036">
        <v>183</v>
      </c>
      <c r="U1036">
        <v>40</v>
      </c>
      <c r="V1036">
        <v>184</v>
      </c>
      <c r="W1036">
        <v>0.99199999999999999</v>
      </c>
      <c r="X1036">
        <v>119</v>
      </c>
      <c r="Y1036">
        <v>123</v>
      </c>
      <c r="Z1036">
        <v>64</v>
      </c>
      <c r="AA1036">
        <v>6</v>
      </c>
      <c r="AB1036">
        <v>3.2</v>
      </c>
      <c r="AC1036" t="s">
        <v>184</v>
      </c>
      <c r="AD1036" t="s">
        <v>185</v>
      </c>
      <c r="AG1036" t="s">
        <v>6021</v>
      </c>
      <c r="AH1036" t="s">
        <v>1950</v>
      </c>
      <c r="AI1036" s="245">
        <v>349.95</v>
      </c>
      <c r="AJ1036" t="s">
        <v>6116</v>
      </c>
      <c r="AS1036" s="226" t="str">
        <f t="shared" si="32"/>
        <v>Honey Bee</v>
      </c>
      <c r="AT1036" s="203" t="str">
        <f t="shared" si="33"/>
        <v xml:space="preserve"> LineHoney Bee155 Women's</v>
      </c>
    </row>
    <row r="1037" spans="1:46" ht="171.6">
      <c r="A1037" t="s">
        <v>155</v>
      </c>
      <c r="B1037" t="s">
        <v>218</v>
      </c>
      <c r="C1037" t="s">
        <v>250</v>
      </c>
      <c r="D1037">
        <v>179</v>
      </c>
      <c r="E1037" t="s">
        <v>158</v>
      </c>
      <c r="F1037">
        <v>179</v>
      </c>
      <c r="G1037">
        <v>177.3</v>
      </c>
      <c r="H1037">
        <v>127</v>
      </c>
      <c r="I1037">
        <v>138</v>
      </c>
      <c r="J1037">
        <v>137</v>
      </c>
      <c r="K1037">
        <v>106</v>
      </c>
      <c r="L1037">
        <v>121</v>
      </c>
      <c r="M1037">
        <v>19</v>
      </c>
      <c r="N1037">
        <v>2005</v>
      </c>
      <c r="O1037">
        <v>1.02</v>
      </c>
      <c r="P1037">
        <v>2052</v>
      </c>
      <c r="Q1037">
        <v>264</v>
      </c>
      <c r="R1037">
        <v>137</v>
      </c>
      <c r="S1037">
        <v>47</v>
      </c>
      <c r="T1037">
        <v>287</v>
      </c>
      <c r="U1037">
        <v>23</v>
      </c>
      <c r="V1037">
        <v>220</v>
      </c>
      <c r="W1037">
        <v>0.499</v>
      </c>
      <c r="X1037">
        <v>202</v>
      </c>
      <c r="Y1037">
        <v>188</v>
      </c>
      <c r="Z1037">
        <v>86</v>
      </c>
      <c r="AA1037">
        <v>9</v>
      </c>
      <c r="AB1037">
        <v>11.8</v>
      </c>
      <c r="AC1037" t="s">
        <v>169</v>
      </c>
      <c r="AG1037" t="s">
        <v>6117</v>
      </c>
      <c r="AH1037" t="s">
        <v>1244</v>
      </c>
      <c r="AI1037" s="245">
        <v>1039.2</v>
      </c>
      <c r="AJ1037" t="s">
        <v>6118</v>
      </c>
      <c r="AK1037" t="s">
        <v>6117</v>
      </c>
      <c r="AL1037" t="s">
        <v>1334</v>
      </c>
      <c r="AM1037" s="245">
        <v>1098.95</v>
      </c>
      <c r="AN1037" t="s">
        <v>6119</v>
      </c>
      <c r="AO1037" t="s">
        <v>6120</v>
      </c>
      <c r="AP1037" t="s">
        <v>1181</v>
      </c>
      <c r="AQ1037" s="245">
        <v>1214</v>
      </c>
      <c r="AR1037" t="s">
        <v>6121</v>
      </c>
      <c r="AS1037" s="226" t="str">
        <f t="shared" si="32"/>
        <v>Pagoda 106 C2</v>
      </c>
      <c r="AT1037" s="203" t="str">
        <f t="shared" si="33"/>
        <v xml:space="preserve"> DPSPagoda 106 C2179 Unisex</v>
      </c>
    </row>
    <row r="1038" spans="1:46" ht="105.6">
      <c r="A1038" t="s">
        <v>155</v>
      </c>
      <c r="B1038" t="s">
        <v>167</v>
      </c>
      <c r="C1038" t="s">
        <v>816</v>
      </c>
      <c r="D1038">
        <v>163</v>
      </c>
      <c r="E1038" t="s">
        <v>158</v>
      </c>
      <c r="F1038">
        <v>163</v>
      </c>
      <c r="G1038">
        <v>162.5</v>
      </c>
      <c r="H1038">
        <v>142</v>
      </c>
      <c r="I1038">
        <v>149</v>
      </c>
      <c r="J1038">
        <v>129</v>
      </c>
      <c r="K1038">
        <v>74</v>
      </c>
      <c r="L1038">
        <v>110</v>
      </c>
      <c r="M1038">
        <v>12.1</v>
      </c>
      <c r="N1038">
        <v>1587</v>
      </c>
      <c r="O1038">
        <v>0.93</v>
      </c>
      <c r="P1038">
        <v>1476</v>
      </c>
      <c r="Q1038">
        <v>175</v>
      </c>
      <c r="R1038">
        <v>44</v>
      </c>
      <c r="S1038">
        <v>37</v>
      </c>
      <c r="T1038">
        <v>140</v>
      </c>
      <c r="U1038">
        <v>9</v>
      </c>
      <c r="V1038">
        <v>62</v>
      </c>
      <c r="W1038">
        <v>0.23300000000000001</v>
      </c>
      <c r="X1038">
        <v>83</v>
      </c>
      <c r="Y1038">
        <v>56</v>
      </c>
      <c r="Z1038">
        <v>57</v>
      </c>
      <c r="AA1038">
        <v>12</v>
      </c>
      <c r="AB1038">
        <v>12.4</v>
      </c>
      <c r="AC1038" t="s">
        <v>349</v>
      </c>
      <c r="AG1038" t="s">
        <v>6122</v>
      </c>
      <c r="AH1038" t="s">
        <v>1194</v>
      </c>
      <c r="AI1038" s="245">
        <v>478.43</v>
      </c>
      <c r="AJ1038" t="s">
        <v>6123</v>
      </c>
      <c r="AK1038" t="s">
        <v>6122</v>
      </c>
      <c r="AL1038" t="s">
        <v>1179</v>
      </c>
      <c r="AM1038" s="245">
        <v>600</v>
      </c>
      <c r="AN1038" t="s">
        <v>6124</v>
      </c>
      <c r="AO1038" t="s">
        <v>6122</v>
      </c>
      <c r="AP1038" t="s">
        <v>2257</v>
      </c>
      <c r="AQ1038" s="245">
        <v>636</v>
      </c>
      <c r="AR1038" t="s">
        <v>6125</v>
      </c>
      <c r="AS1038" s="226" t="str">
        <f t="shared" si="32"/>
        <v>V-Shape V8</v>
      </c>
      <c r="AT1038" s="203" t="str">
        <f t="shared" si="33"/>
        <v xml:space="preserve"> HeadV-Shape V8163 Unisex</v>
      </c>
    </row>
    <row r="1039" spans="1:46" ht="66">
      <c r="A1039" t="s">
        <v>155</v>
      </c>
      <c r="B1039" t="s">
        <v>180</v>
      </c>
      <c r="C1039" t="s">
        <v>451</v>
      </c>
      <c r="D1039">
        <v>162</v>
      </c>
      <c r="E1039" t="s">
        <v>158</v>
      </c>
      <c r="F1039">
        <v>162</v>
      </c>
      <c r="G1039">
        <v>159.9</v>
      </c>
      <c r="H1039">
        <v>123</v>
      </c>
      <c r="I1039">
        <v>141</v>
      </c>
      <c r="J1039">
        <v>121</v>
      </c>
      <c r="K1039">
        <v>83</v>
      </c>
      <c r="L1039">
        <v>105</v>
      </c>
      <c r="M1039">
        <v>16</v>
      </c>
      <c r="N1039">
        <v>1234</v>
      </c>
      <c r="O1039">
        <v>1.23</v>
      </c>
      <c r="P1039">
        <v>1519</v>
      </c>
      <c r="Q1039">
        <v>190</v>
      </c>
      <c r="R1039">
        <v>65</v>
      </c>
      <c r="S1039">
        <v>57</v>
      </c>
      <c r="T1039">
        <v>266</v>
      </c>
      <c r="U1039">
        <v>15</v>
      </c>
      <c r="V1039">
        <v>106</v>
      </c>
      <c r="W1039">
        <v>0.27200000000000002</v>
      </c>
      <c r="X1039">
        <v>106</v>
      </c>
      <c r="Y1039">
        <v>88</v>
      </c>
      <c r="Z1039">
        <v>160</v>
      </c>
      <c r="AA1039">
        <v>7</v>
      </c>
      <c r="AB1039">
        <v>11</v>
      </c>
      <c r="AC1039" t="s">
        <v>188</v>
      </c>
      <c r="AD1039" t="s">
        <v>185</v>
      </c>
      <c r="AG1039" t="s">
        <v>6126</v>
      </c>
      <c r="AH1039" t="s">
        <v>1349</v>
      </c>
      <c r="AI1039" s="245">
        <v>352.89</v>
      </c>
      <c r="AJ1039" t="s">
        <v>6127</v>
      </c>
      <c r="AK1039" t="s">
        <v>6126</v>
      </c>
      <c r="AL1039" t="s">
        <v>1326</v>
      </c>
      <c r="AM1039" s="245">
        <v>362.87</v>
      </c>
      <c r="AN1039" t="s">
        <v>6128</v>
      </c>
      <c r="AO1039" t="s">
        <v>6129</v>
      </c>
      <c r="AP1039" t="s">
        <v>1204</v>
      </c>
      <c r="AQ1039" s="245">
        <v>480.86</v>
      </c>
      <c r="AR1039" t="s">
        <v>6130</v>
      </c>
      <c r="AS1039" s="226" t="str">
        <f t="shared" si="32"/>
        <v>Superguide 88</v>
      </c>
      <c r="AT1039" s="203" t="str">
        <f t="shared" si="33"/>
        <v xml:space="preserve"> ScottSuperguide 88162 Unisex</v>
      </c>
    </row>
    <row r="1040" spans="1:46" ht="66">
      <c r="A1040" t="s">
        <v>155</v>
      </c>
      <c r="B1040" t="s">
        <v>164</v>
      </c>
      <c r="C1040" t="s">
        <v>518</v>
      </c>
      <c r="D1040">
        <v>154</v>
      </c>
      <c r="E1040" t="s">
        <v>163</v>
      </c>
      <c r="F1040">
        <v>154</v>
      </c>
      <c r="G1040">
        <v>154.9</v>
      </c>
      <c r="H1040">
        <v>105</v>
      </c>
      <c r="I1040">
        <v>121</v>
      </c>
      <c r="J1040">
        <v>131</v>
      </c>
      <c r="K1040">
        <v>94</v>
      </c>
      <c r="L1040">
        <v>107</v>
      </c>
      <c r="M1040">
        <v>13.9</v>
      </c>
      <c r="N1040">
        <v>1394</v>
      </c>
      <c r="O1040">
        <v>1.17</v>
      </c>
      <c r="P1040">
        <v>1628</v>
      </c>
      <c r="Q1040">
        <v>146</v>
      </c>
      <c r="R1040">
        <v>62</v>
      </c>
      <c r="S1040">
        <v>49</v>
      </c>
      <c r="T1040">
        <v>298</v>
      </c>
      <c r="U1040">
        <v>16</v>
      </c>
      <c r="V1040">
        <v>203</v>
      </c>
      <c r="W1040">
        <v>0.32200000000000001</v>
      </c>
      <c r="X1040">
        <v>176</v>
      </c>
      <c r="Y1040">
        <v>161</v>
      </c>
      <c r="Z1040">
        <v>122</v>
      </c>
      <c r="AA1040">
        <v>3</v>
      </c>
      <c r="AB1040">
        <v>7</v>
      </c>
      <c r="AC1040" t="s">
        <v>188</v>
      </c>
      <c r="AD1040" t="s">
        <v>185</v>
      </c>
      <c r="AG1040" t="s">
        <v>5698</v>
      </c>
      <c r="AH1040" t="s">
        <v>1229</v>
      </c>
      <c r="AI1040" s="245">
        <v>419.99</v>
      </c>
      <c r="AJ1040" t="s">
        <v>6131</v>
      </c>
      <c r="AK1040" t="s">
        <v>5698</v>
      </c>
      <c r="AL1040" t="s">
        <v>1232</v>
      </c>
      <c r="AM1040" s="245">
        <v>449.95</v>
      </c>
      <c r="AN1040" t="s">
        <v>6132</v>
      </c>
      <c r="AO1040" t="s">
        <v>5698</v>
      </c>
      <c r="AP1040" t="s">
        <v>1181</v>
      </c>
      <c r="AQ1040" s="245">
        <v>449.99</v>
      </c>
      <c r="AR1040" t="s">
        <v>6133</v>
      </c>
      <c r="AS1040" s="226" t="str">
        <f t="shared" si="32"/>
        <v>Ripstick 94 W</v>
      </c>
      <c r="AT1040" s="203" t="str">
        <f t="shared" si="33"/>
        <v xml:space="preserve"> ElanRipstick 94 W154 Women's</v>
      </c>
    </row>
    <row r="1041" spans="1:46" ht="118.8">
      <c r="A1041" t="s">
        <v>155</v>
      </c>
      <c r="B1041" t="s">
        <v>317</v>
      </c>
      <c r="C1041" t="s">
        <v>850</v>
      </c>
      <c r="D1041">
        <v>155</v>
      </c>
      <c r="E1041" t="s">
        <v>158</v>
      </c>
      <c r="F1041">
        <v>155</v>
      </c>
      <c r="G1041">
        <v>154.1</v>
      </c>
      <c r="H1041">
        <v>135</v>
      </c>
      <c r="I1041">
        <v>141</v>
      </c>
      <c r="J1041">
        <v>120</v>
      </c>
      <c r="K1041">
        <v>70</v>
      </c>
      <c r="L1041">
        <v>103</v>
      </c>
      <c r="M1041">
        <v>11.5</v>
      </c>
      <c r="N1041">
        <v>1931</v>
      </c>
      <c r="O1041">
        <v>0.68</v>
      </c>
      <c r="P1041">
        <v>1318</v>
      </c>
      <c r="Q1041">
        <v>180</v>
      </c>
      <c r="R1041">
        <v>121</v>
      </c>
      <c r="S1041">
        <v>40</v>
      </c>
      <c r="T1041">
        <v>140</v>
      </c>
      <c r="U1041">
        <v>5</v>
      </c>
      <c r="V1041">
        <v>47</v>
      </c>
      <c r="W1041">
        <v>0.124</v>
      </c>
      <c r="X1041">
        <v>74</v>
      </c>
      <c r="Y1041">
        <v>56</v>
      </c>
      <c r="Z1041">
        <v>66</v>
      </c>
      <c r="AA1041">
        <v>13</v>
      </c>
      <c r="AB1041">
        <v>12.3</v>
      </c>
      <c r="AC1041" t="s">
        <v>349</v>
      </c>
      <c r="AG1041" t="s">
        <v>6134</v>
      </c>
      <c r="AH1041" t="s">
        <v>1271</v>
      </c>
      <c r="AI1041" s="245">
        <v>479.99</v>
      </c>
      <c r="AJ1041" t="s">
        <v>6135</v>
      </c>
      <c r="AK1041" t="s">
        <v>6136</v>
      </c>
      <c r="AL1041" t="s">
        <v>1224</v>
      </c>
      <c r="AM1041" s="245">
        <v>599.95000000000005</v>
      </c>
      <c r="AN1041" t="s">
        <v>6137</v>
      </c>
      <c r="AS1041" s="226" t="str">
        <f t="shared" si="32"/>
        <v>SRC</v>
      </c>
      <c r="AT1041" s="203" t="str">
        <f t="shared" si="33"/>
        <v xml:space="preserve"> BlizzardSRC155 Unisex</v>
      </c>
    </row>
    <row r="1042" spans="1:46" ht="184.8">
      <c r="A1042" t="s">
        <v>155</v>
      </c>
      <c r="B1042" t="s">
        <v>317</v>
      </c>
      <c r="C1042" t="s">
        <v>449</v>
      </c>
      <c r="D1042">
        <v>164</v>
      </c>
      <c r="E1042" t="s">
        <v>158</v>
      </c>
      <c r="F1042">
        <v>164</v>
      </c>
      <c r="G1042">
        <v>161.69999999999999</v>
      </c>
      <c r="H1042">
        <v>115</v>
      </c>
      <c r="I1042">
        <v>135</v>
      </c>
      <c r="J1042">
        <v>124</v>
      </c>
      <c r="K1042">
        <v>93</v>
      </c>
      <c r="L1042">
        <v>108</v>
      </c>
      <c r="M1042">
        <v>19.5</v>
      </c>
      <c r="N1042">
        <v>1113</v>
      </c>
      <c r="O1042">
        <v>1.47</v>
      </c>
      <c r="P1042">
        <v>1639</v>
      </c>
      <c r="Q1042">
        <v>186</v>
      </c>
      <c r="R1042">
        <v>62</v>
      </c>
      <c r="S1042">
        <v>58</v>
      </c>
      <c r="T1042">
        <v>267</v>
      </c>
      <c r="U1042">
        <v>11</v>
      </c>
      <c r="V1042">
        <v>201</v>
      </c>
      <c r="W1042">
        <v>0.19600000000000001</v>
      </c>
      <c r="X1042">
        <v>142</v>
      </c>
      <c r="Y1042">
        <v>120</v>
      </c>
      <c r="Z1042">
        <v>125</v>
      </c>
      <c r="AA1042">
        <v>3</v>
      </c>
      <c r="AB1042">
        <v>10</v>
      </c>
      <c r="AC1042" t="s">
        <v>185</v>
      </c>
      <c r="AD1042" t="s">
        <v>198</v>
      </c>
      <c r="AG1042" t="s">
        <v>6138</v>
      </c>
      <c r="AH1042" t="s">
        <v>1181</v>
      </c>
      <c r="AI1042" s="245">
        <v>1050</v>
      </c>
      <c r="AJ1042" t="s">
        <v>6139</v>
      </c>
      <c r="AK1042" t="s">
        <v>6140</v>
      </c>
      <c r="AL1042" t="s">
        <v>1294</v>
      </c>
      <c r="AM1042" s="245">
        <v>559.92999999999995</v>
      </c>
      <c r="AN1042" t="s">
        <v>6141</v>
      </c>
      <c r="AO1042" t="s">
        <v>2627</v>
      </c>
      <c r="AP1042" t="s">
        <v>1282</v>
      </c>
      <c r="AQ1042" s="245">
        <v>559.95000000000005</v>
      </c>
      <c r="AR1042" t="s">
        <v>6142</v>
      </c>
      <c r="AS1042" s="226" t="str">
        <f t="shared" si="32"/>
        <v>Zero G 95</v>
      </c>
      <c r="AT1042" s="203" t="str">
        <f t="shared" si="33"/>
        <v xml:space="preserve"> BlizzardZero G 95164 Unisex</v>
      </c>
    </row>
    <row r="1043" spans="1:46" ht="92.4">
      <c r="A1043" t="s">
        <v>155</v>
      </c>
      <c r="B1043" t="s">
        <v>218</v>
      </c>
      <c r="C1043" t="s">
        <v>254</v>
      </c>
      <c r="D1043">
        <v>179</v>
      </c>
      <c r="E1043" t="s">
        <v>158</v>
      </c>
      <c r="F1043">
        <v>179</v>
      </c>
      <c r="G1043">
        <v>177.7</v>
      </c>
      <c r="H1043">
        <v>132</v>
      </c>
      <c r="I1043">
        <v>142</v>
      </c>
      <c r="J1043">
        <v>132</v>
      </c>
      <c r="K1043">
        <v>100</v>
      </c>
      <c r="L1043">
        <v>115</v>
      </c>
      <c r="M1043">
        <v>19.600000000000001</v>
      </c>
      <c r="N1043">
        <v>1975</v>
      </c>
      <c r="O1043">
        <v>0.99</v>
      </c>
      <c r="P1043">
        <v>1953</v>
      </c>
      <c r="Q1043">
        <v>251</v>
      </c>
      <c r="R1043">
        <v>143</v>
      </c>
      <c r="S1043">
        <v>47</v>
      </c>
      <c r="T1043">
        <v>267</v>
      </c>
      <c r="U1043">
        <v>18</v>
      </c>
      <c r="V1043">
        <v>190</v>
      </c>
      <c r="W1043">
        <v>0.38700000000000001</v>
      </c>
      <c r="X1043">
        <v>189</v>
      </c>
      <c r="Y1043">
        <v>173</v>
      </c>
      <c r="Z1043">
        <v>78</v>
      </c>
      <c r="AA1043">
        <v>7</v>
      </c>
      <c r="AB1043">
        <v>11.3</v>
      </c>
      <c r="AC1043" t="s">
        <v>188</v>
      </c>
      <c r="AG1043" t="s">
        <v>6143</v>
      </c>
      <c r="AH1043" t="s">
        <v>1468</v>
      </c>
      <c r="AI1043" s="245">
        <v>1029</v>
      </c>
      <c r="AJ1043" t="s">
        <v>6144</v>
      </c>
      <c r="AK1043" t="s">
        <v>6145</v>
      </c>
      <c r="AL1043" t="s">
        <v>1181</v>
      </c>
      <c r="AM1043" s="245">
        <v>1039</v>
      </c>
      <c r="AN1043" t="s">
        <v>6146</v>
      </c>
      <c r="AO1043" t="s">
        <v>6145</v>
      </c>
      <c r="AP1043" t="s">
        <v>1271</v>
      </c>
      <c r="AQ1043" s="245">
        <v>1039.2</v>
      </c>
      <c r="AR1043" t="s">
        <v>6147</v>
      </c>
      <c r="AS1043" s="226" t="str">
        <f t="shared" si="32"/>
        <v>Pagoda Piste 100 C2</v>
      </c>
      <c r="AT1043" s="203" t="str">
        <f t="shared" si="33"/>
        <v xml:space="preserve"> DPSPagoda Piste 100 C2179 Unisex</v>
      </c>
    </row>
    <row r="1044" spans="1:46" ht="132">
      <c r="A1044" t="s">
        <v>155</v>
      </c>
      <c r="B1044" t="s">
        <v>1160</v>
      </c>
      <c r="C1044" t="s">
        <v>808</v>
      </c>
      <c r="D1044">
        <v>156</v>
      </c>
      <c r="E1044" t="s">
        <v>163</v>
      </c>
      <c r="F1044">
        <v>156</v>
      </c>
      <c r="G1044">
        <v>156.5</v>
      </c>
      <c r="H1044">
        <v>120</v>
      </c>
      <c r="I1044">
        <v>130</v>
      </c>
      <c r="J1044">
        <v>126</v>
      </c>
      <c r="K1044">
        <v>89</v>
      </c>
      <c r="L1044">
        <v>112</v>
      </c>
      <c r="M1044">
        <v>13.2</v>
      </c>
      <c r="N1044">
        <v>1409</v>
      </c>
      <c r="O1044">
        <v>1.1299999999999999</v>
      </c>
      <c r="P1044">
        <v>1593</v>
      </c>
      <c r="Q1044">
        <v>118</v>
      </c>
      <c r="R1044">
        <v>60</v>
      </c>
      <c r="S1044">
        <v>44</v>
      </c>
      <c r="T1044">
        <v>221</v>
      </c>
      <c r="U1044">
        <v>14</v>
      </c>
      <c r="V1044">
        <v>144</v>
      </c>
      <c r="W1044">
        <v>0.315</v>
      </c>
      <c r="X1044">
        <v>145</v>
      </c>
      <c r="Y1044">
        <v>120</v>
      </c>
      <c r="Z1044">
        <v>76</v>
      </c>
      <c r="AA1044">
        <v>8</v>
      </c>
      <c r="AB1044">
        <v>10.1</v>
      </c>
      <c r="AC1044" t="s">
        <v>188</v>
      </c>
      <c r="AD1044" t="s">
        <v>185</v>
      </c>
      <c r="AG1044" t="s">
        <v>6148</v>
      </c>
      <c r="AH1044" t="s">
        <v>2594</v>
      </c>
      <c r="AI1044" s="245">
        <v>499.95</v>
      </c>
      <c r="AJ1044" t="s">
        <v>6149</v>
      </c>
      <c r="AK1044" t="s">
        <v>4237</v>
      </c>
      <c r="AL1044" t="s">
        <v>1282</v>
      </c>
      <c r="AM1044" s="245">
        <v>499.95</v>
      </c>
      <c r="AN1044" t="s">
        <v>6150</v>
      </c>
      <c r="AO1044" t="s">
        <v>6151</v>
      </c>
      <c r="AP1044" t="s">
        <v>1181</v>
      </c>
      <c r="AQ1044" s="245">
        <v>639.95000000000005</v>
      </c>
      <c r="AR1044" t="s">
        <v>6152</v>
      </c>
      <c r="AS1044" s="226" t="str">
        <f t="shared" si="32"/>
        <v>Mindbender 90 C Alliance</v>
      </c>
      <c r="AT1044" s="203" t="str">
        <f t="shared" si="33"/>
        <v>K2Mindbender 90 C Alliance156 Women's</v>
      </c>
    </row>
    <row r="1045" spans="1:46" ht="184.8">
      <c r="A1045" t="s">
        <v>155</v>
      </c>
      <c r="B1045" t="s">
        <v>156</v>
      </c>
      <c r="C1045" t="s">
        <v>536</v>
      </c>
      <c r="D1045">
        <v>165</v>
      </c>
      <c r="E1045" t="s">
        <v>158</v>
      </c>
      <c r="F1045">
        <v>165</v>
      </c>
      <c r="G1045">
        <v>164.1</v>
      </c>
      <c r="H1045">
        <v>126</v>
      </c>
      <c r="I1045">
        <v>135</v>
      </c>
      <c r="J1045">
        <v>115</v>
      </c>
      <c r="K1045">
        <v>85</v>
      </c>
      <c r="L1045">
        <v>104</v>
      </c>
      <c r="M1045">
        <v>16.600000000000001</v>
      </c>
      <c r="N1045">
        <v>1180</v>
      </c>
      <c r="O1045">
        <v>1.32</v>
      </c>
      <c r="P1045">
        <v>1557</v>
      </c>
      <c r="Q1045">
        <v>163</v>
      </c>
      <c r="R1045">
        <v>68</v>
      </c>
      <c r="S1045">
        <v>52</v>
      </c>
      <c r="T1045">
        <v>245</v>
      </c>
      <c r="U1045">
        <v>10</v>
      </c>
      <c r="V1045">
        <v>140</v>
      </c>
      <c r="W1045">
        <v>0.2</v>
      </c>
      <c r="X1045">
        <v>172</v>
      </c>
      <c r="Y1045">
        <v>118</v>
      </c>
      <c r="Z1045">
        <v>74</v>
      </c>
      <c r="AA1045">
        <v>7</v>
      </c>
      <c r="AB1045">
        <v>12.5</v>
      </c>
      <c r="AC1045" t="s">
        <v>185</v>
      </c>
      <c r="AD1045" t="s">
        <v>198</v>
      </c>
      <c r="AG1045" t="s">
        <v>6153</v>
      </c>
      <c r="AH1045" t="s">
        <v>1468</v>
      </c>
      <c r="AI1045" s="245">
        <v>850</v>
      </c>
      <c r="AJ1045" t="s">
        <v>6154</v>
      </c>
      <c r="AK1045" t="s">
        <v>6155</v>
      </c>
      <c r="AL1045" t="s">
        <v>1181</v>
      </c>
      <c r="AM1045" s="245">
        <v>1100</v>
      </c>
      <c r="AN1045" t="s">
        <v>6156</v>
      </c>
      <c r="AO1045" t="s">
        <v>6157</v>
      </c>
      <c r="AP1045" t="s">
        <v>1349</v>
      </c>
      <c r="AQ1045" s="245">
        <v>302.45999999999998</v>
      </c>
      <c r="AR1045" t="s">
        <v>6158</v>
      </c>
      <c r="AS1045" s="226" t="str">
        <f t="shared" si="32"/>
        <v>Backland 86 SL</v>
      </c>
      <c r="AT1045" s="203" t="str">
        <f t="shared" si="33"/>
        <v xml:space="preserve"> AtomicBackland 86 SL165 Unisex</v>
      </c>
    </row>
    <row r="1046" spans="1:46" ht="66">
      <c r="A1046" t="s">
        <v>155</v>
      </c>
      <c r="B1046" t="s">
        <v>208</v>
      </c>
      <c r="C1046" t="s">
        <v>482</v>
      </c>
      <c r="D1046">
        <v>155</v>
      </c>
      <c r="E1046" t="s">
        <v>158</v>
      </c>
      <c r="F1046">
        <v>155</v>
      </c>
      <c r="G1046">
        <v>153.80000000000001</v>
      </c>
      <c r="H1046">
        <v>92</v>
      </c>
      <c r="I1046">
        <v>129</v>
      </c>
      <c r="J1046">
        <v>120</v>
      </c>
      <c r="K1046">
        <v>91</v>
      </c>
      <c r="L1046">
        <v>117</v>
      </c>
      <c r="M1046">
        <v>14.5</v>
      </c>
      <c r="N1046">
        <v>1516</v>
      </c>
      <c r="O1046">
        <v>1.03</v>
      </c>
      <c r="P1046">
        <v>1555</v>
      </c>
      <c r="Q1046">
        <v>143</v>
      </c>
      <c r="R1046">
        <v>59</v>
      </c>
      <c r="S1046">
        <v>48</v>
      </c>
      <c r="T1046">
        <v>281</v>
      </c>
      <c r="U1046">
        <v>47</v>
      </c>
      <c r="V1046">
        <v>342</v>
      </c>
      <c r="W1046">
        <v>0.97199999999999998</v>
      </c>
      <c r="X1046">
        <v>128</v>
      </c>
      <c r="Y1046">
        <v>117</v>
      </c>
      <c r="Z1046">
        <v>153</v>
      </c>
      <c r="AA1046">
        <v>3</v>
      </c>
      <c r="AB1046">
        <v>3.6</v>
      </c>
      <c r="AC1046" t="s">
        <v>184</v>
      </c>
      <c r="AG1046" t="s">
        <v>6159</v>
      </c>
      <c r="AH1046" t="s">
        <v>1240</v>
      </c>
      <c r="AI1046" s="245">
        <v>329.95</v>
      </c>
      <c r="AJ1046" t="s">
        <v>6160</v>
      </c>
      <c r="AK1046" t="s">
        <v>6161</v>
      </c>
      <c r="AL1046" t="s">
        <v>1301</v>
      </c>
      <c r="AM1046" s="245">
        <v>349.95</v>
      </c>
      <c r="AN1046" t="s">
        <v>6162</v>
      </c>
      <c r="AO1046" t="s">
        <v>6161</v>
      </c>
      <c r="AP1046" t="s">
        <v>1657</v>
      </c>
      <c r="AQ1046" s="245">
        <v>349.95</v>
      </c>
      <c r="AR1046" t="s">
        <v>6163</v>
      </c>
      <c r="AS1046" s="226" t="str">
        <f t="shared" si="32"/>
        <v>Honey Badger</v>
      </c>
      <c r="AT1046" s="203" t="str">
        <f t="shared" si="33"/>
        <v xml:space="preserve"> LineHoney Badger155 Unisex</v>
      </c>
    </row>
    <row r="1047" spans="1:46" ht="92.4">
      <c r="A1047" t="s">
        <v>155</v>
      </c>
      <c r="B1047" t="s">
        <v>164</v>
      </c>
      <c r="C1047" t="s">
        <v>801</v>
      </c>
      <c r="D1047">
        <v>188</v>
      </c>
      <c r="E1047" t="s">
        <v>158</v>
      </c>
      <c r="F1047">
        <v>188</v>
      </c>
      <c r="G1047">
        <v>184.7</v>
      </c>
      <c r="H1047">
        <v>129</v>
      </c>
      <c r="I1047">
        <v>149</v>
      </c>
      <c r="J1047">
        <v>143</v>
      </c>
      <c r="K1047">
        <v>104</v>
      </c>
      <c r="L1047">
        <v>120</v>
      </c>
      <c r="M1047">
        <v>20.3</v>
      </c>
      <c r="N1047">
        <v>2041</v>
      </c>
      <c r="O1047">
        <v>1.05</v>
      </c>
      <c r="P1047">
        <v>2137</v>
      </c>
      <c r="Q1047">
        <v>290</v>
      </c>
      <c r="R1047">
        <v>122</v>
      </c>
      <c r="S1047">
        <v>51</v>
      </c>
      <c r="T1047">
        <v>301</v>
      </c>
      <c r="U1047">
        <v>17</v>
      </c>
      <c r="V1047">
        <v>253</v>
      </c>
      <c r="W1047">
        <v>0.33200000000000002</v>
      </c>
      <c r="X1047">
        <v>185</v>
      </c>
      <c r="Y1047">
        <v>170</v>
      </c>
      <c r="Z1047">
        <v>117</v>
      </c>
      <c r="AA1047">
        <v>3</v>
      </c>
      <c r="AB1047">
        <v>10</v>
      </c>
      <c r="AC1047" t="s">
        <v>188</v>
      </c>
      <c r="AD1047" t="s">
        <v>178</v>
      </c>
      <c r="AG1047" t="s">
        <v>5438</v>
      </c>
      <c r="AH1047" t="s">
        <v>1242</v>
      </c>
      <c r="AI1047" s="245">
        <v>637.49</v>
      </c>
      <c r="AJ1047" t="s">
        <v>6164</v>
      </c>
      <c r="AK1047" t="s">
        <v>5438</v>
      </c>
      <c r="AL1047" t="s">
        <v>5440</v>
      </c>
      <c r="AM1047" s="245">
        <v>637.49</v>
      </c>
      <c r="AN1047" t="s">
        <v>6165</v>
      </c>
      <c r="AO1047" t="s">
        <v>5438</v>
      </c>
      <c r="AP1047" t="s">
        <v>1271</v>
      </c>
      <c r="AQ1047" s="245">
        <v>879.99</v>
      </c>
      <c r="AR1047" t="s">
        <v>6166</v>
      </c>
      <c r="AS1047" s="226" t="str">
        <f t="shared" si="32"/>
        <v>Ripstick 106 Black Edition</v>
      </c>
      <c r="AT1047" s="203" t="str">
        <f t="shared" si="33"/>
        <v xml:space="preserve"> ElanRipstick 106 Black Edition188 Unisex</v>
      </c>
    </row>
    <row r="1048" spans="1:46" ht="105.6">
      <c r="A1048" t="s">
        <v>155</v>
      </c>
      <c r="B1048" t="s">
        <v>172</v>
      </c>
      <c r="C1048" t="s">
        <v>674</v>
      </c>
      <c r="D1048">
        <v>162</v>
      </c>
      <c r="E1048" t="s">
        <v>158</v>
      </c>
      <c r="F1048">
        <v>162</v>
      </c>
      <c r="G1048">
        <v>160.30000000000001</v>
      </c>
      <c r="H1048">
        <v>139</v>
      </c>
      <c r="I1048">
        <v>144</v>
      </c>
      <c r="J1048">
        <v>121</v>
      </c>
      <c r="K1048">
        <v>74</v>
      </c>
      <c r="L1048">
        <v>107</v>
      </c>
      <c r="M1048">
        <v>13.1</v>
      </c>
      <c r="N1048">
        <v>1527</v>
      </c>
      <c r="O1048">
        <v>0.93</v>
      </c>
      <c r="P1048">
        <v>1426</v>
      </c>
      <c r="Q1048">
        <v>158</v>
      </c>
      <c r="R1048">
        <v>55</v>
      </c>
      <c r="S1048">
        <v>36</v>
      </c>
      <c r="T1048">
        <v>142</v>
      </c>
      <c r="U1048">
        <v>5</v>
      </c>
      <c r="V1048">
        <v>68</v>
      </c>
      <c r="W1048">
        <v>0.14399999999999999</v>
      </c>
      <c r="X1048">
        <v>81</v>
      </c>
      <c r="Y1048">
        <v>78</v>
      </c>
      <c r="Z1048">
        <v>61</v>
      </c>
      <c r="AA1048">
        <v>11</v>
      </c>
      <c r="AB1048">
        <v>8.1999999999999993</v>
      </c>
      <c r="AC1048" t="s">
        <v>349</v>
      </c>
      <c r="AG1048" t="s">
        <v>4047</v>
      </c>
      <c r="AH1048" t="s">
        <v>3596</v>
      </c>
      <c r="AI1048" s="245">
        <v>299.99</v>
      </c>
      <c r="AJ1048" t="s">
        <v>6167</v>
      </c>
      <c r="AK1048" t="s">
        <v>6168</v>
      </c>
      <c r="AL1048" t="s">
        <v>6169</v>
      </c>
      <c r="AM1048" s="245">
        <v>115</v>
      </c>
      <c r="AN1048" t="s">
        <v>6170</v>
      </c>
      <c r="AO1048" t="s">
        <v>6171</v>
      </c>
      <c r="AP1048" t="s">
        <v>6172</v>
      </c>
      <c r="AQ1048" s="245">
        <v>250</v>
      </c>
      <c r="AR1048" t="s">
        <v>6173</v>
      </c>
      <c r="AS1048" s="226" t="str">
        <f t="shared" si="32"/>
        <v>React 2</v>
      </c>
      <c r="AT1048" s="203" t="str">
        <f t="shared" si="33"/>
        <v xml:space="preserve"> RossignolReact 2162 Unisex</v>
      </c>
    </row>
    <row r="1049" spans="1:46" ht="132">
      <c r="A1049" t="s">
        <v>155</v>
      </c>
      <c r="B1049" t="s">
        <v>172</v>
      </c>
      <c r="C1049" t="s">
        <v>653</v>
      </c>
      <c r="D1049">
        <v>174</v>
      </c>
      <c r="E1049" t="s">
        <v>158</v>
      </c>
      <c r="F1049">
        <v>174</v>
      </c>
      <c r="G1049">
        <v>173.6</v>
      </c>
      <c r="H1049">
        <v>153</v>
      </c>
      <c r="I1049">
        <v>159</v>
      </c>
      <c r="J1049">
        <v>128</v>
      </c>
      <c r="K1049">
        <v>76</v>
      </c>
      <c r="L1049">
        <v>108</v>
      </c>
      <c r="M1049">
        <v>14.6</v>
      </c>
      <c r="N1049">
        <v>2198</v>
      </c>
      <c r="O1049">
        <v>0.73</v>
      </c>
      <c r="P1049">
        <v>1595</v>
      </c>
      <c r="Q1049">
        <v>239</v>
      </c>
      <c r="R1049">
        <v>103</v>
      </c>
      <c r="S1049">
        <v>38</v>
      </c>
      <c r="T1049">
        <v>141</v>
      </c>
      <c r="U1049">
        <v>4</v>
      </c>
      <c r="V1049">
        <v>64</v>
      </c>
      <c r="W1049">
        <v>0.115</v>
      </c>
      <c r="X1049">
        <v>85</v>
      </c>
      <c r="Y1049">
        <v>64</v>
      </c>
      <c r="Z1049">
        <v>56</v>
      </c>
      <c r="AA1049">
        <v>14</v>
      </c>
      <c r="AB1049">
        <v>10.1</v>
      </c>
      <c r="AC1049" t="s">
        <v>349</v>
      </c>
      <c r="AG1049" t="s">
        <v>4225</v>
      </c>
      <c r="AH1049" t="s">
        <v>2516</v>
      </c>
      <c r="AI1049" s="245">
        <v>1049.95</v>
      </c>
      <c r="AJ1049" t="s">
        <v>6174</v>
      </c>
      <c r="AK1049" t="s">
        <v>4225</v>
      </c>
      <c r="AL1049" t="s">
        <v>1179</v>
      </c>
      <c r="AM1049" s="245">
        <v>799.95</v>
      </c>
      <c r="AN1049" t="s">
        <v>6175</v>
      </c>
      <c r="AO1049" t="s">
        <v>6176</v>
      </c>
      <c r="AP1049" t="s">
        <v>2294</v>
      </c>
      <c r="AQ1049" s="245">
        <v>122</v>
      </c>
      <c r="AR1049" t="s">
        <v>6177</v>
      </c>
      <c r="AS1049" s="226" t="str">
        <f t="shared" si="32"/>
        <v>Hero Elite Plus Ti</v>
      </c>
      <c r="AT1049" s="203" t="str">
        <f t="shared" si="33"/>
        <v xml:space="preserve"> RossignolHero Elite Plus Ti174 Unisex</v>
      </c>
    </row>
    <row r="1050" spans="1:46" ht="79.2">
      <c r="A1050" t="s">
        <v>155</v>
      </c>
      <c r="B1050" t="s">
        <v>174</v>
      </c>
      <c r="C1050" t="s">
        <v>736</v>
      </c>
      <c r="D1050">
        <v>170</v>
      </c>
      <c r="E1050" t="s">
        <v>158</v>
      </c>
      <c r="F1050">
        <v>170</v>
      </c>
      <c r="G1050">
        <v>169.4</v>
      </c>
      <c r="H1050">
        <v>142</v>
      </c>
      <c r="I1050">
        <v>156</v>
      </c>
      <c r="J1050">
        <v>127</v>
      </c>
      <c r="K1050">
        <v>80</v>
      </c>
      <c r="L1050">
        <v>109</v>
      </c>
      <c r="M1050">
        <v>15.2</v>
      </c>
      <c r="N1050">
        <v>2185</v>
      </c>
      <c r="O1050">
        <v>0.74</v>
      </c>
      <c r="P1050">
        <v>1608</v>
      </c>
      <c r="Q1050">
        <v>254</v>
      </c>
      <c r="R1050">
        <v>116</v>
      </c>
      <c r="S1050">
        <v>44</v>
      </c>
      <c r="T1050">
        <v>188</v>
      </c>
      <c r="U1050">
        <v>4</v>
      </c>
      <c r="V1050">
        <v>87</v>
      </c>
      <c r="W1050">
        <v>8.5000000000000006E-2</v>
      </c>
      <c r="X1050">
        <v>88</v>
      </c>
      <c r="Y1050">
        <v>45</v>
      </c>
      <c r="Z1050">
        <v>100</v>
      </c>
      <c r="AA1050">
        <v>7</v>
      </c>
      <c r="AB1050">
        <v>11.6</v>
      </c>
      <c r="AC1050" t="s">
        <v>349</v>
      </c>
      <c r="AD1050" t="s">
        <v>188</v>
      </c>
      <c r="AG1050" t="s">
        <v>6178</v>
      </c>
      <c r="AH1050" t="s">
        <v>3322</v>
      </c>
      <c r="AI1050" s="245">
        <v>479.99</v>
      </c>
      <c r="AJ1050" t="s">
        <v>6179</v>
      </c>
      <c r="AK1050" t="s">
        <v>6178</v>
      </c>
      <c r="AL1050" t="s">
        <v>1226</v>
      </c>
      <c r="AM1050" s="245">
        <v>479.99</v>
      </c>
      <c r="AN1050" t="s">
        <v>6180</v>
      </c>
      <c r="AO1050" t="s">
        <v>6178</v>
      </c>
      <c r="AP1050" t="s">
        <v>2632</v>
      </c>
      <c r="AQ1050" s="245">
        <v>599.95000000000005</v>
      </c>
      <c r="AR1050" t="s">
        <v>6181</v>
      </c>
      <c r="AS1050" s="226" t="str">
        <f t="shared" si="32"/>
        <v>S/Force 80FX</v>
      </c>
      <c r="AT1050" s="203" t="str">
        <f t="shared" si="33"/>
        <v xml:space="preserve"> SalomonS/Force 80FX170 Unisex</v>
      </c>
    </row>
    <row r="1051" spans="1:46" ht="66">
      <c r="A1051" t="s">
        <v>155</v>
      </c>
      <c r="B1051" t="s">
        <v>182</v>
      </c>
      <c r="C1051" t="s">
        <v>721</v>
      </c>
      <c r="D1051">
        <v>157</v>
      </c>
      <c r="E1051" t="s">
        <v>163</v>
      </c>
      <c r="F1051">
        <v>157</v>
      </c>
      <c r="G1051">
        <v>155.4</v>
      </c>
      <c r="H1051">
        <v>110</v>
      </c>
      <c r="I1051">
        <v>128</v>
      </c>
      <c r="J1051">
        <v>116</v>
      </c>
      <c r="K1051">
        <v>84</v>
      </c>
      <c r="L1051">
        <v>108</v>
      </c>
      <c r="M1051">
        <v>13.4</v>
      </c>
      <c r="N1051">
        <v>1546</v>
      </c>
      <c r="O1051">
        <v>0.96</v>
      </c>
      <c r="P1051">
        <v>1484</v>
      </c>
      <c r="Q1051">
        <v>136</v>
      </c>
      <c r="R1051">
        <v>46</v>
      </c>
      <c r="S1051">
        <v>46</v>
      </c>
      <c r="T1051">
        <v>251</v>
      </c>
      <c r="U1051">
        <v>38</v>
      </c>
      <c r="V1051">
        <v>201</v>
      </c>
      <c r="W1051">
        <v>0.81899999999999995</v>
      </c>
      <c r="X1051">
        <v>142</v>
      </c>
      <c r="Y1051">
        <v>128</v>
      </c>
      <c r="Z1051">
        <v>109</v>
      </c>
      <c r="AA1051">
        <v>8</v>
      </c>
      <c r="AB1051">
        <v>6.6</v>
      </c>
      <c r="AC1051" t="s">
        <v>188</v>
      </c>
      <c r="AD1051" t="s">
        <v>184</v>
      </c>
      <c r="AG1051" t="s">
        <v>1300</v>
      </c>
      <c r="AH1051" t="s">
        <v>1301</v>
      </c>
      <c r="AI1051" s="245">
        <v>279.95999999999998</v>
      </c>
      <c r="AJ1051" t="s">
        <v>6182</v>
      </c>
      <c r="AK1051" t="s">
        <v>1303</v>
      </c>
      <c r="AL1051" t="s">
        <v>1277</v>
      </c>
      <c r="AM1051" s="245">
        <v>315.99</v>
      </c>
      <c r="AN1051" t="s">
        <v>6183</v>
      </c>
      <c r="AO1051" t="s">
        <v>1300</v>
      </c>
      <c r="AP1051" t="s">
        <v>1305</v>
      </c>
      <c r="AQ1051" s="245">
        <v>349</v>
      </c>
      <c r="AR1051" t="s">
        <v>6184</v>
      </c>
      <c r="AS1051" s="226" t="str">
        <f t="shared" si="32"/>
        <v>ARW 84</v>
      </c>
      <c r="AT1051" s="203" t="str">
        <f t="shared" si="33"/>
        <v xml:space="preserve"> ArmadaARW 84157 Women's</v>
      </c>
    </row>
    <row r="1052" spans="1:46" ht="66">
      <c r="A1052" t="s">
        <v>155</v>
      </c>
      <c r="B1052" t="s">
        <v>218</v>
      </c>
      <c r="C1052" t="s">
        <v>222</v>
      </c>
      <c r="D1052">
        <v>153</v>
      </c>
      <c r="E1052" t="s">
        <v>158</v>
      </c>
      <c r="F1052">
        <v>153</v>
      </c>
      <c r="G1052">
        <v>151.80000000000001</v>
      </c>
      <c r="H1052">
        <v>103</v>
      </c>
      <c r="I1052">
        <v>111</v>
      </c>
      <c r="J1052">
        <v>124</v>
      </c>
      <c r="K1052">
        <v>100</v>
      </c>
      <c r="L1052">
        <v>112</v>
      </c>
      <c r="M1052">
        <v>14.9</v>
      </c>
      <c r="N1052">
        <v>1170</v>
      </c>
      <c r="O1052">
        <v>1.4</v>
      </c>
      <c r="P1052">
        <v>1633</v>
      </c>
      <c r="Q1052">
        <v>143</v>
      </c>
      <c r="R1052">
        <v>70</v>
      </c>
      <c r="S1052">
        <v>33</v>
      </c>
      <c r="T1052">
        <v>255</v>
      </c>
      <c r="U1052">
        <v>16</v>
      </c>
      <c r="V1052">
        <v>229</v>
      </c>
      <c r="W1052">
        <v>0.46600000000000003</v>
      </c>
      <c r="X1052">
        <v>215</v>
      </c>
      <c r="Y1052">
        <v>188</v>
      </c>
      <c r="Z1052">
        <v>40</v>
      </c>
      <c r="AA1052">
        <v>6</v>
      </c>
      <c r="AB1052">
        <v>11.5</v>
      </c>
      <c r="AC1052" t="s">
        <v>185</v>
      </c>
      <c r="AD1052" t="s">
        <v>198</v>
      </c>
      <c r="AG1052" t="s">
        <v>6185</v>
      </c>
      <c r="AH1052" t="s">
        <v>1334</v>
      </c>
      <c r="AI1052" s="245">
        <v>1029</v>
      </c>
      <c r="AJ1052" t="s">
        <v>6186</v>
      </c>
      <c r="AK1052" t="s">
        <v>6185</v>
      </c>
      <c r="AL1052" t="s">
        <v>1280</v>
      </c>
      <c r="AM1052" s="245">
        <v>1038.93</v>
      </c>
      <c r="AN1052" t="s">
        <v>6187</v>
      </c>
      <c r="AO1052" t="s">
        <v>6185</v>
      </c>
      <c r="AP1052" t="s">
        <v>1405</v>
      </c>
      <c r="AQ1052" s="245">
        <v>1039</v>
      </c>
      <c r="AR1052" t="s">
        <v>6188</v>
      </c>
      <c r="AS1052" s="226" t="str">
        <f t="shared" si="32"/>
        <v>Pagoda Tour 100 RP</v>
      </c>
      <c r="AT1052" s="203" t="str">
        <f t="shared" si="33"/>
        <v xml:space="preserve"> DPSPagoda Tour 100 RP153 Unisex</v>
      </c>
    </row>
    <row r="1053" spans="1:46" ht="132">
      <c r="A1053" t="s">
        <v>155</v>
      </c>
      <c r="B1053" t="s">
        <v>317</v>
      </c>
      <c r="C1053" t="s">
        <v>851</v>
      </c>
      <c r="D1053">
        <v>160</v>
      </c>
      <c r="E1053" t="s">
        <v>158</v>
      </c>
      <c r="F1053">
        <v>160</v>
      </c>
      <c r="G1053">
        <v>158.9</v>
      </c>
      <c r="H1053">
        <v>139</v>
      </c>
      <c r="I1053">
        <v>146</v>
      </c>
      <c r="J1053">
        <v>122</v>
      </c>
      <c r="K1053">
        <v>71</v>
      </c>
      <c r="L1053">
        <v>105</v>
      </c>
      <c r="M1053">
        <v>12.4</v>
      </c>
      <c r="N1053">
        <v>2080</v>
      </c>
      <c r="O1053">
        <v>0.67</v>
      </c>
      <c r="P1053">
        <v>1384</v>
      </c>
      <c r="Q1053">
        <v>178</v>
      </c>
      <c r="R1053">
        <v>113</v>
      </c>
      <c r="S1053">
        <v>43</v>
      </c>
      <c r="T1053">
        <v>143</v>
      </c>
      <c r="U1053">
        <v>7</v>
      </c>
      <c r="V1053">
        <v>55</v>
      </c>
      <c r="W1053">
        <v>0.156</v>
      </c>
      <c r="X1053">
        <v>75</v>
      </c>
      <c r="Y1053">
        <v>54</v>
      </c>
      <c r="Z1053">
        <v>68</v>
      </c>
      <c r="AA1053">
        <v>10</v>
      </c>
      <c r="AB1053">
        <v>12.1</v>
      </c>
      <c r="AC1053" t="s">
        <v>349</v>
      </c>
      <c r="AG1053" t="s">
        <v>3621</v>
      </c>
      <c r="AH1053" t="s">
        <v>1294</v>
      </c>
      <c r="AI1053" s="245">
        <v>319.93</v>
      </c>
      <c r="AJ1053" t="s">
        <v>6189</v>
      </c>
      <c r="AK1053" t="s">
        <v>3623</v>
      </c>
      <c r="AL1053" t="s">
        <v>1706</v>
      </c>
      <c r="AM1053" s="245">
        <v>399</v>
      </c>
      <c r="AN1053" t="s">
        <v>6190</v>
      </c>
      <c r="AO1053" t="s">
        <v>3625</v>
      </c>
      <c r="AP1053" t="s">
        <v>1976</v>
      </c>
      <c r="AQ1053" s="245">
        <v>399.95</v>
      </c>
      <c r="AR1053" t="s">
        <v>6191</v>
      </c>
      <c r="AS1053" s="226" t="str">
        <f t="shared" si="32"/>
        <v>Thunderbird R13</v>
      </c>
      <c r="AT1053" s="203" t="str">
        <f t="shared" si="33"/>
        <v xml:space="preserve"> BlizzardThunderbird R13160 Unisex</v>
      </c>
    </row>
    <row r="1054" spans="1:46" ht="92.4">
      <c r="A1054" t="s">
        <v>155</v>
      </c>
      <c r="B1054" t="s">
        <v>182</v>
      </c>
      <c r="C1054" t="s">
        <v>852</v>
      </c>
      <c r="D1054">
        <v>185</v>
      </c>
      <c r="E1054" t="s">
        <v>158</v>
      </c>
      <c r="F1054">
        <v>185</v>
      </c>
      <c r="G1054">
        <v>183.2</v>
      </c>
      <c r="H1054">
        <v>113</v>
      </c>
      <c r="I1054">
        <v>133</v>
      </c>
      <c r="J1054">
        <v>138</v>
      </c>
      <c r="K1054">
        <v>115</v>
      </c>
      <c r="L1054">
        <v>134</v>
      </c>
      <c r="M1054">
        <v>18.2</v>
      </c>
      <c r="N1054">
        <v>1891</v>
      </c>
      <c r="O1054">
        <v>1.19</v>
      </c>
      <c r="P1054">
        <v>2242</v>
      </c>
      <c r="Q1054">
        <v>278</v>
      </c>
      <c r="R1054">
        <v>144</v>
      </c>
      <c r="S1054">
        <v>64</v>
      </c>
      <c r="T1054">
        <v>362</v>
      </c>
      <c r="U1054">
        <v>61</v>
      </c>
      <c r="V1054">
        <v>338</v>
      </c>
      <c r="W1054">
        <v>0.95699999999999996</v>
      </c>
      <c r="X1054">
        <v>256</v>
      </c>
      <c r="Y1054">
        <v>248</v>
      </c>
      <c r="Z1054">
        <v>106</v>
      </c>
      <c r="AA1054">
        <v>4</v>
      </c>
      <c r="AB1054">
        <v>5.7</v>
      </c>
      <c r="AC1054" t="s">
        <v>184</v>
      </c>
      <c r="AD1054" t="s">
        <v>169</v>
      </c>
      <c r="AE1054" t="s">
        <v>185</v>
      </c>
      <c r="AG1054" t="s">
        <v>6192</v>
      </c>
      <c r="AH1054" t="s">
        <v>1627</v>
      </c>
      <c r="AI1054" s="245">
        <v>719</v>
      </c>
      <c r="AJ1054" t="s">
        <v>6193</v>
      </c>
      <c r="AK1054" t="s">
        <v>6194</v>
      </c>
      <c r="AL1054" t="s">
        <v>2291</v>
      </c>
      <c r="AM1054" s="245">
        <v>749.95</v>
      </c>
      <c r="AN1054" t="s">
        <v>6195</v>
      </c>
      <c r="AO1054" t="s">
        <v>6196</v>
      </c>
      <c r="AP1054" t="s">
        <v>1226</v>
      </c>
      <c r="AQ1054" s="245">
        <v>199.95</v>
      </c>
      <c r="AR1054" t="s">
        <v>6197</v>
      </c>
      <c r="AS1054" s="226" t="str">
        <f t="shared" si="32"/>
        <v>Whitewalker</v>
      </c>
      <c r="AT1054" s="203" t="str">
        <f t="shared" si="33"/>
        <v xml:space="preserve"> ArmadaWhitewalker185 Unisex</v>
      </c>
    </row>
    <row r="1055" spans="1:46" ht="105.6">
      <c r="A1055" t="s">
        <v>155</v>
      </c>
      <c r="B1055" t="s">
        <v>332</v>
      </c>
      <c r="C1055" t="s">
        <v>790</v>
      </c>
      <c r="D1055">
        <v>165</v>
      </c>
      <c r="E1055" t="s">
        <v>158</v>
      </c>
      <c r="F1055">
        <v>165</v>
      </c>
      <c r="G1055">
        <v>164.6</v>
      </c>
      <c r="H1055">
        <v>146</v>
      </c>
      <c r="I1055">
        <v>153</v>
      </c>
      <c r="J1055">
        <v>118</v>
      </c>
      <c r="K1055">
        <v>69</v>
      </c>
      <c r="L1055">
        <v>97</v>
      </c>
      <c r="M1055">
        <v>15</v>
      </c>
      <c r="N1055">
        <v>1999</v>
      </c>
      <c r="O1055">
        <v>0.69</v>
      </c>
      <c r="P1055">
        <v>1377</v>
      </c>
      <c r="Q1055">
        <v>167</v>
      </c>
      <c r="R1055">
        <v>109</v>
      </c>
      <c r="S1055">
        <v>35</v>
      </c>
      <c r="T1055">
        <v>129</v>
      </c>
      <c r="U1055">
        <v>7</v>
      </c>
      <c r="V1055">
        <v>52</v>
      </c>
      <c r="W1055">
        <v>0.188999999999999</v>
      </c>
      <c r="X1055">
        <v>61</v>
      </c>
      <c r="Y1055">
        <v>57</v>
      </c>
      <c r="Z1055">
        <v>68</v>
      </c>
      <c r="AA1055">
        <v>9</v>
      </c>
      <c r="AB1055">
        <v>13</v>
      </c>
      <c r="AC1055" t="s">
        <v>349</v>
      </c>
      <c r="AG1055" t="s">
        <v>5355</v>
      </c>
      <c r="AH1055" t="s">
        <v>5356</v>
      </c>
      <c r="AI1055" s="245">
        <v>574</v>
      </c>
      <c r="AJ1055" t="s">
        <v>6198</v>
      </c>
      <c r="AK1055" t="s">
        <v>5272</v>
      </c>
      <c r="AL1055" t="s">
        <v>1280</v>
      </c>
      <c r="AM1055" s="245">
        <v>799.95</v>
      </c>
      <c r="AN1055" t="s">
        <v>6199</v>
      </c>
      <c r="AO1055" t="s">
        <v>5272</v>
      </c>
      <c r="AP1055" t="s">
        <v>1282</v>
      </c>
      <c r="AQ1055" s="245">
        <v>799.99</v>
      </c>
      <c r="AR1055" t="s">
        <v>6200</v>
      </c>
      <c r="AS1055" s="226" t="str">
        <f t="shared" si="32"/>
        <v>Spitfire 70 Pro</v>
      </c>
      <c r="AT1055" s="203" t="str">
        <f t="shared" si="33"/>
        <v xml:space="preserve"> NordicaSpitfire 70 Pro165 Unisex</v>
      </c>
    </row>
    <row r="1056" spans="1:46" ht="79.2">
      <c r="A1056" t="s">
        <v>155</v>
      </c>
      <c r="B1056" t="s">
        <v>208</v>
      </c>
      <c r="C1056" t="s">
        <v>614</v>
      </c>
      <c r="D1056">
        <v>165</v>
      </c>
      <c r="E1056" t="s">
        <v>163</v>
      </c>
      <c r="F1056">
        <v>165</v>
      </c>
      <c r="G1056">
        <v>160</v>
      </c>
      <c r="H1056">
        <v>98</v>
      </c>
      <c r="I1056">
        <v>126</v>
      </c>
      <c r="J1056">
        <v>143</v>
      </c>
      <c r="K1056">
        <v>109</v>
      </c>
      <c r="L1056">
        <v>129</v>
      </c>
      <c r="M1056">
        <v>14</v>
      </c>
      <c r="N1056">
        <v>1557</v>
      </c>
      <c r="O1056">
        <v>1.22</v>
      </c>
      <c r="P1056">
        <v>1902</v>
      </c>
      <c r="Q1056">
        <v>131</v>
      </c>
      <c r="R1056">
        <v>52</v>
      </c>
      <c r="S1056">
        <v>47</v>
      </c>
      <c r="T1056">
        <v>332</v>
      </c>
      <c r="U1056">
        <v>27</v>
      </c>
      <c r="V1056">
        <v>290</v>
      </c>
      <c r="W1056">
        <v>0.57899999999999996</v>
      </c>
      <c r="X1056">
        <v>169</v>
      </c>
      <c r="Y1056">
        <v>168</v>
      </c>
      <c r="Z1056">
        <v>163</v>
      </c>
      <c r="AA1056">
        <v>5</v>
      </c>
      <c r="AB1056">
        <v>6.3</v>
      </c>
      <c r="AC1056" t="s">
        <v>169</v>
      </c>
      <c r="AD1056" t="s">
        <v>185</v>
      </c>
      <c r="AG1056" t="s">
        <v>6201</v>
      </c>
      <c r="AH1056" t="s">
        <v>1667</v>
      </c>
      <c r="AI1056" s="245">
        <v>449</v>
      </c>
      <c r="AJ1056" t="s">
        <v>6202</v>
      </c>
      <c r="AK1056" t="s">
        <v>6203</v>
      </c>
      <c r="AL1056" t="s">
        <v>1240</v>
      </c>
      <c r="AM1056" s="245">
        <v>549.95000000000005</v>
      </c>
      <c r="AN1056" t="s">
        <v>6204</v>
      </c>
      <c r="AO1056" t="s">
        <v>6205</v>
      </c>
      <c r="AP1056" t="s">
        <v>1497</v>
      </c>
      <c r="AQ1056" s="245">
        <v>599.95000000000005</v>
      </c>
      <c r="AR1056" t="s">
        <v>6206</v>
      </c>
      <c r="AS1056" s="226" t="str">
        <f t="shared" si="32"/>
        <v>Pandora 104</v>
      </c>
      <c r="AT1056" s="203" t="str">
        <f t="shared" si="33"/>
        <v xml:space="preserve"> LinePandora 104165 Women's</v>
      </c>
    </row>
    <row r="1057" spans="1:46" ht="66">
      <c r="A1057" t="s">
        <v>155</v>
      </c>
      <c r="B1057" t="s">
        <v>1395</v>
      </c>
      <c r="C1057" t="s">
        <v>854</v>
      </c>
      <c r="D1057">
        <v>170</v>
      </c>
      <c r="E1057" t="s">
        <v>163</v>
      </c>
      <c r="F1057">
        <v>170</v>
      </c>
      <c r="G1057">
        <v>169.7</v>
      </c>
      <c r="H1057">
        <v>133</v>
      </c>
      <c r="I1057">
        <v>149</v>
      </c>
      <c r="J1057">
        <v>137</v>
      </c>
      <c r="K1057">
        <v>95</v>
      </c>
      <c r="L1057">
        <v>118</v>
      </c>
      <c r="M1057">
        <v>16.2</v>
      </c>
      <c r="N1057">
        <v>1250</v>
      </c>
      <c r="O1057">
        <v>1.46</v>
      </c>
      <c r="P1057">
        <v>1828</v>
      </c>
      <c r="Q1057">
        <v>147</v>
      </c>
      <c r="R1057">
        <v>66</v>
      </c>
      <c r="S1057">
        <v>39</v>
      </c>
      <c r="T1057">
        <v>301</v>
      </c>
      <c r="U1057">
        <v>4</v>
      </c>
      <c r="V1057">
        <v>65</v>
      </c>
      <c r="W1057">
        <v>0.109</v>
      </c>
      <c r="X1057">
        <v>123</v>
      </c>
      <c r="Y1057">
        <v>89</v>
      </c>
      <c r="Z1057">
        <v>179</v>
      </c>
      <c r="AA1057">
        <v>4</v>
      </c>
      <c r="AB1057">
        <v>11.1</v>
      </c>
      <c r="AC1057" t="s">
        <v>185</v>
      </c>
      <c r="AD1057" t="s">
        <v>198</v>
      </c>
      <c r="AG1057" t="s">
        <v>5580</v>
      </c>
      <c r="AH1057" t="s">
        <v>1204</v>
      </c>
      <c r="AI1057" s="245">
        <v>520.92999999999995</v>
      </c>
      <c r="AJ1057" t="s">
        <v>6207</v>
      </c>
      <c r="AK1057" t="s">
        <v>5578</v>
      </c>
      <c r="AL1057" t="s">
        <v>1265</v>
      </c>
      <c r="AM1057" s="245">
        <v>512.91999999999996</v>
      </c>
      <c r="AN1057" t="s">
        <v>6208</v>
      </c>
      <c r="AO1057" t="s">
        <v>5582</v>
      </c>
      <c r="AP1057" t="s">
        <v>1349</v>
      </c>
      <c r="AQ1057" s="245">
        <v>640.87</v>
      </c>
      <c r="AR1057" t="s">
        <v>6209</v>
      </c>
      <c r="AS1057" s="226" t="str">
        <f t="shared" si="32"/>
        <v>Rise Beyond 96 W</v>
      </c>
      <c r="AT1057" s="203" t="str">
        <f t="shared" si="33"/>
        <v xml:space="preserve"> Vï¿½lklRise Beyond 96 W170 Women's</v>
      </c>
    </row>
    <row r="1058" spans="1:46" ht="66">
      <c r="A1058" t="s">
        <v>155</v>
      </c>
      <c r="B1058" t="s">
        <v>317</v>
      </c>
      <c r="C1058" t="s">
        <v>463</v>
      </c>
      <c r="D1058">
        <v>188</v>
      </c>
      <c r="E1058" t="s">
        <v>158</v>
      </c>
      <c r="F1058">
        <v>188</v>
      </c>
      <c r="G1058">
        <v>186.7</v>
      </c>
      <c r="H1058">
        <v>129</v>
      </c>
      <c r="I1058">
        <v>158</v>
      </c>
      <c r="J1058">
        <v>127</v>
      </c>
      <c r="K1058">
        <v>93</v>
      </c>
      <c r="L1058">
        <v>116</v>
      </c>
      <c r="M1058">
        <v>19.399999999999999</v>
      </c>
      <c r="N1058">
        <v>2205</v>
      </c>
      <c r="O1058">
        <v>0.89</v>
      </c>
      <c r="P1058">
        <v>1954</v>
      </c>
      <c r="Q1058">
        <v>262</v>
      </c>
      <c r="R1058">
        <v>135</v>
      </c>
      <c r="S1058">
        <v>62</v>
      </c>
      <c r="T1058">
        <v>343</v>
      </c>
      <c r="U1058">
        <v>27</v>
      </c>
      <c r="V1058">
        <v>238</v>
      </c>
      <c r="W1058">
        <v>0.42699999999999999</v>
      </c>
      <c r="X1058">
        <v>158</v>
      </c>
      <c r="Y1058">
        <v>131</v>
      </c>
      <c r="Z1058">
        <v>185</v>
      </c>
      <c r="AA1058">
        <v>5</v>
      </c>
      <c r="AB1058">
        <v>7.5</v>
      </c>
      <c r="AC1058" t="s">
        <v>188</v>
      </c>
      <c r="AG1058" t="s">
        <v>6210</v>
      </c>
      <c r="AH1058" t="s">
        <v>1194</v>
      </c>
      <c r="AI1058" s="245">
        <v>322.61</v>
      </c>
      <c r="AJ1058" t="s">
        <v>6211</v>
      </c>
      <c r="AK1058" t="s">
        <v>6212</v>
      </c>
      <c r="AL1058" t="s">
        <v>1277</v>
      </c>
      <c r="AM1058" s="245">
        <v>440</v>
      </c>
      <c r="AN1058" t="s">
        <v>6213</v>
      </c>
      <c r="AO1058" t="s">
        <v>2442</v>
      </c>
      <c r="AP1058" t="s">
        <v>1280</v>
      </c>
      <c r="AQ1058" s="245">
        <v>479.93</v>
      </c>
      <c r="AR1058" t="s">
        <v>6214</v>
      </c>
      <c r="AS1058" s="226" t="str">
        <f t="shared" si="32"/>
        <v>Rustler 9</v>
      </c>
      <c r="AT1058" s="203" t="str">
        <f t="shared" si="33"/>
        <v xml:space="preserve"> BlizzardRustler 9188 Unisex</v>
      </c>
    </row>
    <row r="1059" spans="1:46" ht="79.2">
      <c r="A1059" t="s">
        <v>155</v>
      </c>
      <c r="B1059" t="s">
        <v>1395</v>
      </c>
      <c r="C1059" t="s">
        <v>855</v>
      </c>
      <c r="D1059">
        <v>156</v>
      </c>
      <c r="E1059" t="s">
        <v>163</v>
      </c>
      <c r="F1059">
        <v>156</v>
      </c>
      <c r="G1059">
        <v>154.6</v>
      </c>
      <c r="H1059">
        <v>127</v>
      </c>
      <c r="I1059">
        <v>132</v>
      </c>
      <c r="J1059">
        <v>130</v>
      </c>
      <c r="K1059">
        <v>87</v>
      </c>
      <c r="L1059">
        <v>111</v>
      </c>
      <c r="M1059">
        <v>12.7</v>
      </c>
      <c r="N1059">
        <v>1111</v>
      </c>
      <c r="O1059">
        <v>1.4</v>
      </c>
      <c r="P1059">
        <v>1555</v>
      </c>
      <c r="Q1059">
        <v>135</v>
      </c>
      <c r="R1059">
        <v>59</v>
      </c>
      <c r="S1059">
        <v>42</v>
      </c>
      <c r="T1059">
        <v>212</v>
      </c>
      <c r="U1059">
        <v>4</v>
      </c>
      <c r="V1059">
        <v>65</v>
      </c>
      <c r="W1059">
        <v>0.104</v>
      </c>
      <c r="X1059">
        <v>131</v>
      </c>
      <c r="Y1059">
        <v>93</v>
      </c>
      <c r="Z1059">
        <v>81</v>
      </c>
      <c r="AA1059">
        <v>5</v>
      </c>
      <c r="AB1059">
        <v>11.4</v>
      </c>
      <c r="AC1059" t="s">
        <v>185</v>
      </c>
      <c r="AD1059" t="s">
        <v>198</v>
      </c>
      <c r="AG1059" t="s">
        <v>2745</v>
      </c>
      <c r="AH1059" t="s">
        <v>1191</v>
      </c>
      <c r="AI1059" s="245">
        <v>489.95</v>
      </c>
      <c r="AJ1059" t="s">
        <v>6215</v>
      </c>
      <c r="AK1059" t="s">
        <v>2745</v>
      </c>
      <c r="AL1059" t="s">
        <v>1181</v>
      </c>
      <c r="AM1059" s="245">
        <v>519.99</v>
      </c>
      <c r="AN1059" t="s">
        <v>6216</v>
      </c>
      <c r="AO1059" t="s">
        <v>6217</v>
      </c>
      <c r="AP1059" t="s">
        <v>1194</v>
      </c>
      <c r="AQ1059" s="245">
        <v>419.41</v>
      </c>
      <c r="AR1059" t="s">
        <v>6218</v>
      </c>
      <c r="AS1059" s="226" t="str">
        <f t="shared" si="32"/>
        <v>Rise Above 88 W</v>
      </c>
      <c r="AT1059" s="203" t="str">
        <f t="shared" si="33"/>
        <v xml:space="preserve"> Vï¿½lklRise Above 88 W156 Women's</v>
      </c>
    </row>
    <row r="1060" spans="1:46" ht="52.8">
      <c r="A1060" t="s">
        <v>155</v>
      </c>
      <c r="B1060" t="s">
        <v>1361</v>
      </c>
      <c r="C1060" t="s">
        <v>856</v>
      </c>
      <c r="D1060">
        <v>175</v>
      </c>
      <c r="E1060" t="s">
        <v>158</v>
      </c>
      <c r="F1060">
        <v>175</v>
      </c>
      <c r="G1060">
        <v>174.2</v>
      </c>
      <c r="H1060">
        <v>149</v>
      </c>
      <c r="I1060">
        <v>159</v>
      </c>
      <c r="J1060">
        <v>130</v>
      </c>
      <c r="K1060">
        <v>82</v>
      </c>
      <c r="L1060">
        <v>112</v>
      </c>
      <c r="M1060">
        <v>16.2</v>
      </c>
      <c r="N1060">
        <v>1927</v>
      </c>
      <c r="O1060">
        <v>0.87</v>
      </c>
      <c r="P1060">
        <v>1679</v>
      </c>
      <c r="Q1060">
        <v>220</v>
      </c>
      <c r="R1060">
        <v>128</v>
      </c>
      <c r="S1060">
        <v>42</v>
      </c>
      <c r="T1060">
        <v>185</v>
      </c>
      <c r="U1060">
        <v>5</v>
      </c>
      <c r="V1060">
        <v>64</v>
      </c>
      <c r="W1060">
        <v>0.114</v>
      </c>
      <c r="X1060">
        <v>97</v>
      </c>
      <c r="Y1060">
        <v>54</v>
      </c>
      <c r="Z1060">
        <v>88</v>
      </c>
      <c r="AA1060">
        <v>9</v>
      </c>
      <c r="AB1060">
        <v>14.4</v>
      </c>
      <c r="AC1060" t="s">
        <v>349</v>
      </c>
      <c r="AD1060" t="s">
        <v>188</v>
      </c>
      <c r="AG1060" t="s">
        <v>6219</v>
      </c>
      <c r="AH1060" t="s">
        <v>1365</v>
      </c>
      <c r="AI1060" s="245">
        <v>1349</v>
      </c>
      <c r="AJ1060" t="s">
        <v>6220</v>
      </c>
      <c r="AS1060" s="226" t="str">
        <f t="shared" si="32"/>
        <v>Laser AR</v>
      </c>
      <c r="AT1060" s="203" t="str">
        <f t="shared" si="33"/>
        <v xml:space="preserve"> Stï¿½ckliLaser AR175 Unisex</v>
      </c>
    </row>
    <row r="1061" spans="1:46" ht="79.2">
      <c r="A1061" t="s">
        <v>155</v>
      </c>
      <c r="B1061" t="s">
        <v>205</v>
      </c>
      <c r="C1061" t="s">
        <v>857</v>
      </c>
      <c r="D1061">
        <v>150</v>
      </c>
      <c r="E1061" t="s">
        <v>163</v>
      </c>
      <c r="F1061">
        <v>150</v>
      </c>
      <c r="G1061">
        <v>148</v>
      </c>
      <c r="H1061">
        <v>104</v>
      </c>
      <c r="I1061">
        <v>122</v>
      </c>
      <c r="J1061">
        <v>116</v>
      </c>
      <c r="K1061">
        <v>84</v>
      </c>
      <c r="L1061">
        <v>108</v>
      </c>
      <c r="M1061">
        <v>11.9</v>
      </c>
      <c r="N1061">
        <v>1451</v>
      </c>
      <c r="O1061">
        <v>0.98</v>
      </c>
      <c r="P1061">
        <v>1416</v>
      </c>
      <c r="Q1061">
        <v>124</v>
      </c>
      <c r="R1061">
        <v>51</v>
      </c>
      <c r="S1061">
        <v>46</v>
      </c>
      <c r="T1061">
        <v>243</v>
      </c>
      <c r="U1061">
        <v>38</v>
      </c>
      <c r="V1061">
        <v>194</v>
      </c>
      <c r="W1061">
        <v>0.81399999999999995</v>
      </c>
      <c r="X1061">
        <v>135</v>
      </c>
      <c r="Y1061">
        <v>122</v>
      </c>
      <c r="Z1061">
        <v>108</v>
      </c>
      <c r="AA1061">
        <v>8</v>
      </c>
      <c r="AB1061">
        <v>6.4</v>
      </c>
      <c r="AC1061" t="s">
        <v>188</v>
      </c>
      <c r="AD1061" t="s">
        <v>184</v>
      </c>
      <c r="AG1061" t="s">
        <v>2024</v>
      </c>
      <c r="AH1061" t="s">
        <v>1185</v>
      </c>
      <c r="AI1061" s="245">
        <v>314.99</v>
      </c>
      <c r="AJ1061" t="s">
        <v>6221</v>
      </c>
      <c r="AK1061" t="s">
        <v>6222</v>
      </c>
      <c r="AL1061" t="s">
        <v>1244</v>
      </c>
      <c r="AM1061" s="245">
        <v>230.27</v>
      </c>
      <c r="AN1061" t="s">
        <v>6223</v>
      </c>
      <c r="AO1061" t="s">
        <v>6222</v>
      </c>
      <c r="AP1061" t="s">
        <v>1556</v>
      </c>
      <c r="AQ1061" s="245">
        <v>329</v>
      </c>
      <c r="AR1061" t="s">
        <v>6224</v>
      </c>
      <c r="AS1061" s="226" t="str">
        <f t="shared" si="32"/>
        <v>Prodigy 0.0 X</v>
      </c>
      <c r="AT1061" s="203" t="str">
        <f t="shared" si="33"/>
        <v xml:space="preserve"> FactionProdigy 0.0 X150 Women's</v>
      </c>
    </row>
    <row r="1062" spans="1:46" ht="409.6">
      <c r="A1062" t="s">
        <v>155</v>
      </c>
      <c r="B1062" t="s">
        <v>329</v>
      </c>
      <c r="C1062" t="s">
        <v>520</v>
      </c>
      <c r="D1062">
        <v>158</v>
      </c>
      <c r="E1062" t="s">
        <v>158</v>
      </c>
      <c r="F1062">
        <v>158</v>
      </c>
      <c r="G1062">
        <v>156</v>
      </c>
      <c r="H1062">
        <v>110</v>
      </c>
      <c r="I1062">
        <v>133</v>
      </c>
      <c r="J1062">
        <v>120</v>
      </c>
      <c r="K1062">
        <v>85</v>
      </c>
      <c r="L1062">
        <v>108</v>
      </c>
      <c r="M1062">
        <v>14.9</v>
      </c>
      <c r="N1062">
        <v>1056</v>
      </c>
      <c r="O1062">
        <v>1.41</v>
      </c>
      <c r="P1062">
        <v>1491</v>
      </c>
      <c r="Q1062">
        <v>204</v>
      </c>
      <c r="R1062">
        <v>71</v>
      </c>
      <c r="S1062">
        <v>54</v>
      </c>
      <c r="T1062">
        <v>304</v>
      </c>
      <c r="U1062">
        <v>11</v>
      </c>
      <c r="V1062">
        <v>152</v>
      </c>
      <c r="W1062">
        <v>0.19699999999999901</v>
      </c>
      <c r="X1062">
        <v>137</v>
      </c>
      <c r="Y1062">
        <v>90</v>
      </c>
      <c r="Z1062">
        <v>168</v>
      </c>
      <c r="AA1062">
        <v>5</v>
      </c>
      <c r="AB1062">
        <v>12.3</v>
      </c>
      <c r="AC1062" t="s">
        <v>185</v>
      </c>
      <c r="AD1062" t="s">
        <v>198</v>
      </c>
      <c r="AG1062" t="s">
        <v>6225</v>
      </c>
      <c r="AH1062" t="s">
        <v>1468</v>
      </c>
      <c r="AI1062" s="245">
        <v>549.95000000000005</v>
      </c>
      <c r="AJ1062" t="s">
        <v>6226</v>
      </c>
      <c r="AK1062" t="s">
        <v>6227</v>
      </c>
      <c r="AL1062" t="s">
        <v>1226</v>
      </c>
      <c r="AM1062" s="245">
        <v>559.99</v>
      </c>
      <c r="AN1062" t="s">
        <v>6228</v>
      </c>
      <c r="AO1062" t="s">
        <v>6227</v>
      </c>
      <c r="AP1062" t="s">
        <v>2163</v>
      </c>
      <c r="AQ1062" s="245">
        <v>599.95000000000005</v>
      </c>
      <c r="AR1062" t="s">
        <v>6229</v>
      </c>
      <c r="AS1062" s="226" t="str">
        <f t="shared" si="32"/>
        <v>Blacklight 88</v>
      </c>
      <c r="AT1062" s="203" t="str">
        <f t="shared" si="33"/>
        <v xml:space="preserve"> DynafitBlacklight 88158 Unisex</v>
      </c>
    </row>
    <row r="1063" spans="1:46" ht="118.8">
      <c r="A1063" t="s">
        <v>155</v>
      </c>
      <c r="B1063" t="s">
        <v>167</v>
      </c>
      <c r="C1063" t="s">
        <v>767</v>
      </c>
      <c r="D1063">
        <v>150</v>
      </c>
      <c r="E1063" t="s">
        <v>158</v>
      </c>
      <c r="F1063">
        <v>150</v>
      </c>
      <c r="G1063">
        <v>149</v>
      </c>
      <c r="H1063">
        <v>129</v>
      </c>
      <c r="I1063">
        <v>135</v>
      </c>
      <c r="J1063">
        <v>119</v>
      </c>
      <c r="K1063">
        <v>64</v>
      </c>
      <c r="L1063">
        <v>104</v>
      </c>
      <c r="M1063">
        <v>9.4</v>
      </c>
      <c r="N1063">
        <v>1708</v>
      </c>
      <c r="O1063">
        <v>0.71</v>
      </c>
      <c r="P1063">
        <v>1221</v>
      </c>
      <c r="Q1063">
        <v>123</v>
      </c>
      <c r="R1063">
        <v>58</v>
      </c>
      <c r="S1063">
        <v>43</v>
      </c>
      <c r="T1063">
        <v>141</v>
      </c>
      <c r="U1063">
        <v>5</v>
      </c>
      <c r="V1063">
        <v>54</v>
      </c>
      <c r="W1063">
        <v>0.122</v>
      </c>
      <c r="X1063">
        <v>78</v>
      </c>
      <c r="Y1063">
        <v>59</v>
      </c>
      <c r="Z1063">
        <v>63</v>
      </c>
      <c r="AA1063">
        <v>9</v>
      </c>
      <c r="AB1063">
        <v>12.4</v>
      </c>
      <c r="AC1063" t="s">
        <v>349</v>
      </c>
      <c r="AG1063" t="s">
        <v>6230</v>
      </c>
      <c r="AH1063" t="s">
        <v>1556</v>
      </c>
      <c r="AI1063" s="245">
        <v>549</v>
      </c>
      <c r="AJ1063" t="s">
        <v>6231</v>
      </c>
      <c r="AK1063" t="s">
        <v>6230</v>
      </c>
      <c r="AL1063" t="s">
        <v>1421</v>
      </c>
      <c r="AM1063" s="245">
        <v>549</v>
      </c>
      <c r="AN1063" t="s">
        <v>6232</v>
      </c>
      <c r="AO1063" t="s">
        <v>6233</v>
      </c>
      <c r="AP1063" t="s">
        <v>1277</v>
      </c>
      <c r="AQ1063" s="245">
        <v>80</v>
      </c>
      <c r="AR1063" t="s">
        <v>6234</v>
      </c>
      <c r="AS1063" s="226" t="str">
        <f t="shared" si="32"/>
        <v>Worldcup Rebels I.SLR</v>
      </c>
      <c r="AT1063" s="203" t="str">
        <f t="shared" si="33"/>
        <v xml:space="preserve"> HeadWorldcup Rebels I.SLR150 Unisex</v>
      </c>
    </row>
    <row r="1064" spans="1:46" ht="118.8">
      <c r="A1064" t="s">
        <v>155</v>
      </c>
      <c r="B1064" t="s">
        <v>1395</v>
      </c>
      <c r="C1064" t="s">
        <v>775</v>
      </c>
      <c r="D1064">
        <v>154</v>
      </c>
      <c r="E1064" t="s">
        <v>163</v>
      </c>
      <c r="F1064">
        <v>154</v>
      </c>
      <c r="G1064">
        <v>156.19999999999999</v>
      </c>
      <c r="H1064">
        <v>107</v>
      </c>
      <c r="I1064">
        <v>132</v>
      </c>
      <c r="J1064">
        <v>124</v>
      </c>
      <c r="K1064">
        <v>83</v>
      </c>
      <c r="L1064">
        <v>106</v>
      </c>
      <c r="M1064">
        <v>13.1</v>
      </c>
      <c r="N1064">
        <v>1349</v>
      </c>
      <c r="O1064">
        <v>1.1100000000000001</v>
      </c>
      <c r="P1064">
        <v>1503</v>
      </c>
      <c r="Q1064">
        <v>163</v>
      </c>
      <c r="R1064">
        <v>60</v>
      </c>
      <c r="S1064">
        <v>42</v>
      </c>
      <c r="T1064">
        <v>287</v>
      </c>
      <c r="U1064">
        <v>16</v>
      </c>
      <c r="V1064">
        <v>201</v>
      </c>
      <c r="W1064">
        <v>0.36799999999999999</v>
      </c>
      <c r="X1064">
        <v>135</v>
      </c>
      <c r="Y1064">
        <v>102</v>
      </c>
      <c r="Z1064">
        <v>152</v>
      </c>
      <c r="AA1064">
        <v>2</v>
      </c>
      <c r="AB1064">
        <v>11.6</v>
      </c>
      <c r="AC1064" t="s">
        <v>231</v>
      </c>
      <c r="AD1064" t="s">
        <v>188</v>
      </c>
      <c r="AE1064" t="s">
        <v>185</v>
      </c>
      <c r="AG1064" t="s">
        <v>6235</v>
      </c>
      <c r="AH1064" t="s">
        <v>1232</v>
      </c>
      <c r="AI1064" s="245">
        <v>479.95</v>
      </c>
      <c r="AJ1064" t="s">
        <v>6236</v>
      </c>
      <c r="AK1064" t="s">
        <v>6237</v>
      </c>
      <c r="AL1064" t="s">
        <v>2516</v>
      </c>
      <c r="AM1064" s="245">
        <v>599.99</v>
      </c>
      <c r="AN1064" t="s">
        <v>6238</v>
      </c>
      <c r="AO1064" t="s">
        <v>6237</v>
      </c>
      <c r="AP1064" t="s">
        <v>1556</v>
      </c>
      <c r="AQ1064" s="245">
        <v>599.99</v>
      </c>
      <c r="AR1064" t="s">
        <v>6239</v>
      </c>
      <c r="AS1064" s="226" t="str">
        <f t="shared" si="32"/>
        <v>Yumi 84</v>
      </c>
      <c r="AT1064" s="203" t="str">
        <f t="shared" si="33"/>
        <v xml:space="preserve"> Vï¿½lklYumi 84154 Women's</v>
      </c>
    </row>
    <row r="1065" spans="1:46" ht="158.4">
      <c r="A1065" t="s">
        <v>155</v>
      </c>
      <c r="B1065" t="s">
        <v>164</v>
      </c>
      <c r="C1065" t="s">
        <v>635</v>
      </c>
      <c r="D1065">
        <v>164</v>
      </c>
      <c r="E1065" t="s">
        <v>158</v>
      </c>
      <c r="F1065">
        <v>164</v>
      </c>
      <c r="G1065">
        <v>163.80000000000001</v>
      </c>
      <c r="H1065">
        <v>125</v>
      </c>
      <c r="I1065">
        <v>134</v>
      </c>
      <c r="J1065">
        <v>129</v>
      </c>
      <c r="K1065">
        <v>87</v>
      </c>
      <c r="L1065">
        <v>104</v>
      </c>
      <c r="M1065">
        <v>14.2</v>
      </c>
      <c r="N1065">
        <v>1383</v>
      </c>
      <c r="O1065">
        <v>1.19</v>
      </c>
      <c r="P1065">
        <v>1644</v>
      </c>
      <c r="Q1065">
        <v>136</v>
      </c>
      <c r="R1065">
        <v>57</v>
      </c>
      <c r="S1065">
        <v>48</v>
      </c>
      <c r="T1065">
        <v>229</v>
      </c>
      <c r="U1065">
        <v>13</v>
      </c>
      <c r="V1065">
        <v>160</v>
      </c>
      <c r="W1065">
        <v>0.26300000000000001</v>
      </c>
      <c r="X1065">
        <v>159</v>
      </c>
      <c r="Y1065">
        <v>141</v>
      </c>
      <c r="Z1065">
        <v>70</v>
      </c>
      <c r="AA1065">
        <v>5</v>
      </c>
      <c r="AB1065">
        <v>9.6</v>
      </c>
      <c r="AC1065" t="s">
        <v>188</v>
      </c>
      <c r="AD1065" t="s">
        <v>185</v>
      </c>
      <c r="AG1065" t="s">
        <v>6240</v>
      </c>
      <c r="AH1065" t="s">
        <v>1191</v>
      </c>
      <c r="AI1065" s="245">
        <v>509.95</v>
      </c>
      <c r="AJ1065" t="s">
        <v>6241</v>
      </c>
      <c r="AK1065" t="s">
        <v>6242</v>
      </c>
      <c r="AL1065" t="s">
        <v>1181</v>
      </c>
      <c r="AM1065" s="245">
        <v>1444.95</v>
      </c>
      <c r="AN1065" t="s">
        <v>6243</v>
      </c>
      <c r="AO1065" t="s">
        <v>1489</v>
      </c>
      <c r="AP1065" t="s">
        <v>6244</v>
      </c>
      <c r="AQ1065" s="245">
        <v>439.62</v>
      </c>
      <c r="AR1065" t="s">
        <v>6245</v>
      </c>
      <c r="AS1065" s="226" t="str">
        <f t="shared" si="32"/>
        <v>Ripstick 88</v>
      </c>
      <c r="AT1065" s="203" t="str">
        <f t="shared" si="33"/>
        <v xml:space="preserve"> ElanRipstick 88164 Unisex</v>
      </c>
    </row>
    <row r="1066" spans="1:46" ht="52.8">
      <c r="A1066" t="s">
        <v>155</v>
      </c>
      <c r="B1066" t="s">
        <v>329</v>
      </c>
      <c r="C1066" t="s">
        <v>570</v>
      </c>
      <c r="D1066">
        <v>165</v>
      </c>
      <c r="E1066" t="s">
        <v>158</v>
      </c>
      <c r="F1066">
        <v>165</v>
      </c>
      <c r="G1066">
        <v>162.9</v>
      </c>
      <c r="H1066">
        <v>122</v>
      </c>
      <c r="I1066">
        <v>140</v>
      </c>
      <c r="J1066">
        <v>114</v>
      </c>
      <c r="K1066">
        <v>78</v>
      </c>
      <c r="L1066">
        <v>98</v>
      </c>
      <c r="M1066">
        <v>17.399999999999999</v>
      </c>
      <c r="N1066">
        <v>1053</v>
      </c>
      <c r="O1066">
        <v>1.37</v>
      </c>
      <c r="P1066">
        <v>1440</v>
      </c>
      <c r="Q1066">
        <v>218</v>
      </c>
      <c r="R1066">
        <v>73</v>
      </c>
      <c r="S1066">
        <v>58</v>
      </c>
      <c r="T1066">
        <v>258</v>
      </c>
      <c r="U1066">
        <v>12</v>
      </c>
      <c r="V1066">
        <v>152</v>
      </c>
      <c r="W1066">
        <v>0.19899999999999901</v>
      </c>
      <c r="X1066">
        <v>135</v>
      </c>
      <c r="Y1066">
        <v>91</v>
      </c>
      <c r="Z1066">
        <v>122</v>
      </c>
      <c r="AA1066">
        <v>4</v>
      </c>
      <c r="AB1066">
        <v>12.1</v>
      </c>
      <c r="AC1066" t="s">
        <v>185</v>
      </c>
      <c r="AD1066" t="s">
        <v>198</v>
      </c>
      <c r="AG1066" t="s">
        <v>6246</v>
      </c>
      <c r="AH1066" t="s">
        <v>4113</v>
      </c>
      <c r="AI1066" s="245">
        <v>389.97</v>
      </c>
      <c r="AJ1066" t="s">
        <v>6247</v>
      </c>
      <c r="AK1066" t="s">
        <v>6246</v>
      </c>
      <c r="AL1066" t="s">
        <v>1244</v>
      </c>
      <c r="AM1066" s="245">
        <v>422.47</v>
      </c>
      <c r="AN1066" t="s">
        <v>6248</v>
      </c>
      <c r="AO1066" t="s">
        <v>6246</v>
      </c>
      <c r="AP1066" t="s">
        <v>1409</v>
      </c>
      <c r="AQ1066" s="245">
        <v>475.92</v>
      </c>
      <c r="AR1066" t="s">
        <v>6249</v>
      </c>
      <c r="AS1066" s="226" t="str">
        <f t="shared" si="32"/>
        <v>Blacklight 80</v>
      </c>
      <c r="AT1066" s="203" t="str">
        <f t="shared" si="33"/>
        <v xml:space="preserve"> DynafitBlacklight 80165 Unisex</v>
      </c>
    </row>
    <row r="1067" spans="1:46" ht="171.6">
      <c r="A1067" t="s">
        <v>155</v>
      </c>
      <c r="B1067" t="s">
        <v>317</v>
      </c>
      <c r="C1067" t="s">
        <v>630</v>
      </c>
      <c r="D1067">
        <v>183</v>
      </c>
      <c r="E1067" t="s">
        <v>158</v>
      </c>
      <c r="F1067">
        <v>183</v>
      </c>
      <c r="G1067">
        <v>181.8</v>
      </c>
      <c r="H1067">
        <v>152</v>
      </c>
      <c r="I1067">
        <v>159</v>
      </c>
      <c r="J1067">
        <v>128</v>
      </c>
      <c r="K1067">
        <v>86</v>
      </c>
      <c r="L1067">
        <v>110</v>
      </c>
      <c r="M1067">
        <v>18.8</v>
      </c>
      <c r="N1067">
        <v>2198</v>
      </c>
      <c r="O1067">
        <v>0.82</v>
      </c>
      <c r="P1067">
        <v>1796</v>
      </c>
      <c r="Q1067">
        <v>229</v>
      </c>
      <c r="R1067">
        <v>127</v>
      </c>
      <c r="S1067">
        <v>51</v>
      </c>
      <c r="T1067">
        <v>205</v>
      </c>
      <c r="U1067">
        <v>5</v>
      </c>
      <c r="V1067">
        <v>89</v>
      </c>
      <c r="W1067">
        <v>9.5000000000000001E-2</v>
      </c>
      <c r="X1067">
        <v>122</v>
      </c>
      <c r="Y1067">
        <v>106</v>
      </c>
      <c r="Z1067">
        <v>83</v>
      </c>
      <c r="AA1067">
        <v>11</v>
      </c>
      <c r="AB1067">
        <v>11.1</v>
      </c>
      <c r="AC1067" t="s">
        <v>188</v>
      </c>
      <c r="AG1067" t="s">
        <v>6250</v>
      </c>
      <c r="AH1067" t="s">
        <v>6251</v>
      </c>
      <c r="AI1067" s="245">
        <v>499</v>
      </c>
      <c r="AJ1067" t="s">
        <v>6252</v>
      </c>
      <c r="AK1067" t="s">
        <v>6253</v>
      </c>
      <c r="AL1067" t="s">
        <v>1271</v>
      </c>
      <c r="AM1067" s="245">
        <v>549.99</v>
      </c>
      <c r="AN1067" t="s">
        <v>6254</v>
      </c>
      <c r="AO1067" t="s">
        <v>5457</v>
      </c>
      <c r="AP1067" t="s">
        <v>1232</v>
      </c>
      <c r="AQ1067" s="245">
        <v>559.95000000000005</v>
      </c>
      <c r="AR1067" t="s">
        <v>6255</v>
      </c>
      <c r="AS1067" s="226" t="str">
        <f t="shared" si="32"/>
        <v>Brahma 88</v>
      </c>
      <c r="AT1067" s="203" t="str">
        <f t="shared" si="33"/>
        <v xml:space="preserve"> BlizzardBrahma 88183 Unisex</v>
      </c>
    </row>
    <row r="1068" spans="1:46" ht="145.19999999999999">
      <c r="A1068" t="s">
        <v>155</v>
      </c>
      <c r="B1068" t="s">
        <v>167</v>
      </c>
      <c r="C1068" t="s">
        <v>858</v>
      </c>
      <c r="D1068">
        <v>165</v>
      </c>
      <c r="E1068" t="s">
        <v>158</v>
      </c>
      <c r="F1068">
        <v>165</v>
      </c>
      <c r="G1068">
        <v>164</v>
      </c>
      <c r="H1068">
        <v>147</v>
      </c>
      <c r="I1068">
        <v>154</v>
      </c>
      <c r="J1068">
        <v>120</v>
      </c>
      <c r="K1068">
        <v>67</v>
      </c>
      <c r="L1068">
        <v>101</v>
      </c>
      <c r="M1068">
        <v>13.4</v>
      </c>
      <c r="N1068">
        <v>2233</v>
      </c>
      <c r="O1068">
        <v>0.61</v>
      </c>
      <c r="P1068">
        <v>1354</v>
      </c>
      <c r="Q1068">
        <v>190</v>
      </c>
      <c r="R1068">
        <v>96</v>
      </c>
      <c r="S1068">
        <v>36</v>
      </c>
      <c r="T1068">
        <v>134</v>
      </c>
      <c r="U1068">
        <v>3</v>
      </c>
      <c r="V1068">
        <v>41</v>
      </c>
      <c r="W1068">
        <v>7.2999999999999995E-2</v>
      </c>
      <c r="X1068">
        <v>59</v>
      </c>
      <c r="Y1068">
        <v>39</v>
      </c>
      <c r="Z1068">
        <v>75</v>
      </c>
      <c r="AA1068">
        <v>13</v>
      </c>
      <c r="AB1068">
        <v>11.1</v>
      </c>
      <c r="AC1068" t="s">
        <v>349</v>
      </c>
      <c r="AG1068" t="s">
        <v>5060</v>
      </c>
      <c r="AH1068" t="s">
        <v>1207</v>
      </c>
      <c r="AI1068" s="245">
        <v>560</v>
      </c>
      <c r="AJ1068" t="s">
        <v>6256</v>
      </c>
      <c r="AK1068" t="s">
        <v>5062</v>
      </c>
      <c r="AL1068" t="s">
        <v>1337</v>
      </c>
      <c r="AM1068" s="245">
        <v>250</v>
      </c>
      <c r="AN1068" t="s">
        <v>6257</v>
      </c>
      <c r="AO1068" t="s">
        <v>6258</v>
      </c>
      <c r="AP1068" t="s">
        <v>2294</v>
      </c>
      <c r="AQ1068" s="245">
        <v>181</v>
      </c>
      <c r="AR1068" t="s">
        <v>6259</v>
      </c>
      <c r="AS1068" s="226" t="str">
        <f t="shared" si="32"/>
        <v>Worldcup Rebels e-Race Pro</v>
      </c>
      <c r="AT1068" s="203" t="str">
        <f t="shared" si="33"/>
        <v xml:space="preserve"> HeadWorldcup Rebels e-Race Pro165 Unisex</v>
      </c>
    </row>
    <row r="1069" spans="1:46" ht="66">
      <c r="A1069" t="s">
        <v>155</v>
      </c>
      <c r="B1069" t="s">
        <v>202</v>
      </c>
      <c r="C1069" t="s">
        <v>817</v>
      </c>
      <c r="D1069">
        <v>189</v>
      </c>
      <c r="E1069" t="s">
        <v>158</v>
      </c>
      <c r="F1069">
        <v>189</v>
      </c>
      <c r="G1069">
        <v>186.9</v>
      </c>
      <c r="H1069">
        <v>125</v>
      </c>
      <c r="I1069">
        <v>141</v>
      </c>
      <c r="J1069">
        <v>144</v>
      </c>
      <c r="K1069">
        <v>117</v>
      </c>
      <c r="L1069">
        <v>134</v>
      </c>
      <c r="M1069">
        <v>20.9</v>
      </c>
      <c r="N1069">
        <v>2472</v>
      </c>
      <c r="O1069">
        <v>0.94</v>
      </c>
      <c r="P1069">
        <v>2327</v>
      </c>
      <c r="Q1069">
        <v>237</v>
      </c>
      <c r="R1069">
        <v>122</v>
      </c>
      <c r="S1069">
        <v>61</v>
      </c>
      <c r="T1069">
        <v>352</v>
      </c>
      <c r="U1069">
        <v>30</v>
      </c>
      <c r="V1069">
        <v>268</v>
      </c>
      <c r="W1069">
        <v>0.48799999999999999</v>
      </c>
      <c r="X1069">
        <v>271</v>
      </c>
      <c r="Y1069">
        <v>189</v>
      </c>
      <c r="Z1069">
        <v>82</v>
      </c>
      <c r="AA1069">
        <v>10</v>
      </c>
      <c r="AB1069">
        <v>9.9</v>
      </c>
      <c r="AC1069" t="s">
        <v>169</v>
      </c>
      <c r="AG1069" t="s">
        <v>6260</v>
      </c>
      <c r="AH1069" t="s">
        <v>1326</v>
      </c>
      <c r="AI1069" s="245">
        <v>607.95000000000005</v>
      </c>
      <c r="AJ1069" t="s">
        <v>6261</v>
      </c>
      <c r="AK1069" t="s">
        <v>6260</v>
      </c>
      <c r="AL1069" t="s">
        <v>1271</v>
      </c>
      <c r="AM1069" s="245">
        <v>639.95000000000005</v>
      </c>
      <c r="AN1069" t="s">
        <v>6262</v>
      </c>
      <c r="AO1069" t="s">
        <v>6260</v>
      </c>
      <c r="AP1069" t="s">
        <v>1224</v>
      </c>
      <c r="AQ1069" s="245">
        <v>639.96</v>
      </c>
      <c r="AR1069" t="s">
        <v>6263</v>
      </c>
      <c r="AS1069" s="226" t="str">
        <f t="shared" si="32"/>
        <v>M-Free 118</v>
      </c>
      <c r="AT1069" s="203" t="str">
        <f t="shared" si="33"/>
        <v xml:space="preserve"> DynastarM-Free 118189 Unisex</v>
      </c>
    </row>
    <row r="1070" spans="1:46" ht="105.6">
      <c r="A1070" t="s">
        <v>155</v>
      </c>
      <c r="B1070" t="s">
        <v>208</v>
      </c>
      <c r="C1070" t="s">
        <v>482</v>
      </c>
      <c r="D1070">
        <v>166</v>
      </c>
      <c r="E1070" t="s">
        <v>158</v>
      </c>
      <c r="F1070">
        <v>166</v>
      </c>
      <c r="G1070">
        <v>165.4</v>
      </c>
      <c r="H1070">
        <v>129</v>
      </c>
      <c r="I1070">
        <v>140</v>
      </c>
      <c r="J1070">
        <v>120</v>
      </c>
      <c r="K1070">
        <v>91</v>
      </c>
      <c r="L1070">
        <v>117</v>
      </c>
      <c r="M1070">
        <v>17.3</v>
      </c>
      <c r="N1070">
        <v>1523</v>
      </c>
      <c r="O1070">
        <v>1.0900000000000001</v>
      </c>
      <c r="P1070">
        <v>1667</v>
      </c>
      <c r="Q1070">
        <v>134</v>
      </c>
      <c r="R1070">
        <v>51</v>
      </c>
      <c r="S1070">
        <v>41</v>
      </c>
      <c r="T1070">
        <v>185</v>
      </c>
      <c r="U1070">
        <v>42</v>
      </c>
      <c r="V1070">
        <v>180</v>
      </c>
      <c r="W1070">
        <v>1.0109999999999999</v>
      </c>
      <c r="X1070">
        <v>129</v>
      </c>
      <c r="Y1070">
        <v>124</v>
      </c>
      <c r="Z1070">
        <v>56</v>
      </c>
      <c r="AA1070">
        <v>4</v>
      </c>
      <c r="AB1070">
        <v>3.3</v>
      </c>
      <c r="AC1070" t="s">
        <v>184</v>
      </c>
      <c r="AD1070" t="s">
        <v>185</v>
      </c>
      <c r="AG1070" t="s">
        <v>6161</v>
      </c>
      <c r="AH1070" t="s">
        <v>1262</v>
      </c>
      <c r="AI1070" s="245">
        <v>314.02999999999997</v>
      </c>
      <c r="AJ1070" t="s">
        <v>6264</v>
      </c>
      <c r="AK1070" t="s">
        <v>6161</v>
      </c>
      <c r="AL1070" t="s">
        <v>1211</v>
      </c>
      <c r="AM1070" s="245">
        <v>349.95</v>
      </c>
      <c r="AN1070" t="s">
        <v>6265</v>
      </c>
      <c r="AO1070" t="s">
        <v>6266</v>
      </c>
      <c r="AP1070" t="s">
        <v>1337</v>
      </c>
      <c r="AQ1070" s="245">
        <v>450</v>
      </c>
      <c r="AR1070" t="s">
        <v>6267</v>
      </c>
      <c r="AS1070" s="226" t="str">
        <f t="shared" si="32"/>
        <v>Honey Badger</v>
      </c>
      <c r="AT1070" s="203" t="str">
        <f t="shared" si="33"/>
        <v xml:space="preserve"> LineHoney Badger166 Unisex</v>
      </c>
    </row>
    <row r="1071" spans="1:46" ht="158.4">
      <c r="A1071" t="s">
        <v>155</v>
      </c>
      <c r="B1071" t="s">
        <v>245</v>
      </c>
      <c r="C1071" t="s">
        <v>462</v>
      </c>
      <c r="D1071">
        <v>196</v>
      </c>
      <c r="E1071" t="s">
        <v>158</v>
      </c>
      <c r="F1071">
        <v>196</v>
      </c>
      <c r="G1071">
        <v>195.1</v>
      </c>
      <c r="H1071">
        <v>136</v>
      </c>
      <c r="I1071">
        <v>159</v>
      </c>
      <c r="J1071">
        <v>146</v>
      </c>
      <c r="K1071">
        <v>116</v>
      </c>
      <c r="L1071">
        <v>136</v>
      </c>
      <c r="M1071">
        <v>21.7</v>
      </c>
      <c r="N1071">
        <v>2307</v>
      </c>
      <c r="O1071">
        <v>1.07</v>
      </c>
      <c r="P1071">
        <v>2465</v>
      </c>
      <c r="Q1071">
        <v>240</v>
      </c>
      <c r="R1071">
        <v>114</v>
      </c>
      <c r="S1071">
        <v>51</v>
      </c>
      <c r="T1071">
        <v>361</v>
      </c>
      <c r="U1071">
        <v>38</v>
      </c>
      <c r="V1071">
        <v>227</v>
      </c>
      <c r="W1071">
        <v>0.75700000000000001</v>
      </c>
      <c r="X1071">
        <v>176</v>
      </c>
      <c r="Y1071">
        <v>184</v>
      </c>
      <c r="Z1071">
        <v>185</v>
      </c>
      <c r="AA1071">
        <v>10</v>
      </c>
      <c r="AB1071">
        <v>8.6999999999999993</v>
      </c>
      <c r="AC1071" t="s">
        <v>169</v>
      </c>
      <c r="AD1071" t="s">
        <v>185</v>
      </c>
      <c r="AG1071" t="s">
        <v>6268</v>
      </c>
      <c r="AH1071" t="s">
        <v>1181</v>
      </c>
      <c r="AI1071" s="245">
        <v>714.99</v>
      </c>
      <c r="AJ1071" t="s">
        <v>6269</v>
      </c>
      <c r="AK1071" t="s">
        <v>3004</v>
      </c>
      <c r="AL1071" t="s">
        <v>1421</v>
      </c>
      <c r="AM1071" s="245">
        <v>799.99</v>
      </c>
      <c r="AN1071" t="s">
        <v>6270</v>
      </c>
      <c r="AS1071" s="226" t="str">
        <f t="shared" si="32"/>
        <v>Ranger 115 FR Big Stix</v>
      </c>
      <c r="AT1071" s="203" t="str">
        <f t="shared" si="33"/>
        <v xml:space="preserve"> FischerRanger 115 FR Big Stix196 Unisex</v>
      </c>
    </row>
    <row r="1072" spans="1:46" ht="118.8">
      <c r="A1072" t="s">
        <v>155</v>
      </c>
      <c r="B1072" t="s">
        <v>156</v>
      </c>
      <c r="C1072" t="s">
        <v>845</v>
      </c>
      <c r="D1072">
        <v>154</v>
      </c>
      <c r="E1072" t="s">
        <v>163</v>
      </c>
      <c r="F1072">
        <v>154</v>
      </c>
      <c r="G1072">
        <v>153.6</v>
      </c>
      <c r="H1072">
        <v>134</v>
      </c>
      <c r="I1072">
        <v>140</v>
      </c>
      <c r="J1072">
        <v>109</v>
      </c>
      <c r="K1072">
        <v>69</v>
      </c>
      <c r="L1072">
        <v>97</v>
      </c>
      <c r="M1072">
        <v>13.8</v>
      </c>
      <c r="N1072">
        <v>1767</v>
      </c>
      <c r="O1072">
        <v>0.71</v>
      </c>
      <c r="P1072">
        <v>1256</v>
      </c>
      <c r="Q1072">
        <v>158</v>
      </c>
      <c r="R1072">
        <v>52</v>
      </c>
      <c r="S1072">
        <v>37</v>
      </c>
      <c r="T1072">
        <v>143</v>
      </c>
      <c r="U1072">
        <v>5</v>
      </c>
      <c r="V1072">
        <v>56</v>
      </c>
      <c r="W1072">
        <v>0.123</v>
      </c>
      <c r="X1072">
        <v>84</v>
      </c>
      <c r="Y1072">
        <v>53</v>
      </c>
      <c r="Z1072">
        <v>59</v>
      </c>
      <c r="AA1072">
        <v>6</v>
      </c>
      <c r="AB1072">
        <v>12.4</v>
      </c>
      <c r="AC1072" t="s">
        <v>349</v>
      </c>
      <c r="AG1072" t="s">
        <v>6271</v>
      </c>
      <c r="AH1072" t="s">
        <v>1416</v>
      </c>
      <c r="AI1072" s="245">
        <v>799.95</v>
      </c>
      <c r="AJ1072" t="s">
        <v>6272</v>
      </c>
      <c r="AK1072" t="s">
        <v>6273</v>
      </c>
      <c r="AL1072" t="s">
        <v>1282</v>
      </c>
      <c r="AM1072" s="245">
        <v>319.99</v>
      </c>
      <c r="AN1072" t="s">
        <v>6274</v>
      </c>
      <c r="AS1072" s="226" t="str">
        <f t="shared" si="32"/>
        <v>Cloud C12 Servo</v>
      </c>
      <c r="AT1072" s="203" t="str">
        <f t="shared" si="33"/>
        <v xml:space="preserve"> AtomicCloud C12 Servo154 Women's</v>
      </c>
    </row>
    <row r="1073" spans="1:46" ht="171.6">
      <c r="A1073" t="s">
        <v>155</v>
      </c>
      <c r="B1073" t="s">
        <v>164</v>
      </c>
      <c r="C1073" t="s">
        <v>717</v>
      </c>
      <c r="D1073">
        <v>144</v>
      </c>
      <c r="E1073" t="s">
        <v>158</v>
      </c>
      <c r="F1073">
        <v>144</v>
      </c>
      <c r="G1073">
        <v>143.19999999999999</v>
      </c>
      <c r="H1073">
        <v>111</v>
      </c>
      <c r="I1073">
        <v>130</v>
      </c>
      <c r="J1073">
        <v>125</v>
      </c>
      <c r="K1073">
        <v>74</v>
      </c>
      <c r="L1073">
        <v>100</v>
      </c>
      <c r="M1073">
        <v>10.5</v>
      </c>
      <c r="N1073">
        <v>1485</v>
      </c>
      <c r="O1073">
        <v>0.86</v>
      </c>
      <c r="P1073">
        <v>1277</v>
      </c>
      <c r="Q1073">
        <v>142</v>
      </c>
      <c r="R1073">
        <v>51</v>
      </c>
      <c r="S1073">
        <v>38</v>
      </c>
      <c r="T1073">
        <v>186</v>
      </c>
      <c r="U1073">
        <v>10</v>
      </c>
      <c r="V1073">
        <v>132</v>
      </c>
      <c r="W1073">
        <v>0.27399999999999902</v>
      </c>
      <c r="X1073">
        <v>81</v>
      </c>
      <c r="Y1073">
        <v>55</v>
      </c>
      <c r="Z1073">
        <v>105</v>
      </c>
      <c r="AA1073">
        <v>3</v>
      </c>
      <c r="AB1073">
        <v>10.1</v>
      </c>
      <c r="AC1073" t="s">
        <v>160</v>
      </c>
      <c r="AG1073" t="s">
        <v>6275</v>
      </c>
      <c r="AH1073" t="s">
        <v>1229</v>
      </c>
      <c r="AI1073" s="245">
        <v>317.99</v>
      </c>
      <c r="AJ1073" t="s">
        <v>6276</v>
      </c>
      <c r="AK1073" t="s">
        <v>6277</v>
      </c>
      <c r="AL1073" t="s">
        <v>4221</v>
      </c>
      <c r="AM1073" s="245">
        <v>420.96</v>
      </c>
      <c r="AN1073" t="s">
        <v>6278</v>
      </c>
      <c r="AO1073" t="s">
        <v>6279</v>
      </c>
      <c r="AP1073" t="s">
        <v>1280</v>
      </c>
      <c r="AQ1073" s="245">
        <v>449.95</v>
      </c>
      <c r="AR1073" t="s">
        <v>6280</v>
      </c>
      <c r="AS1073" s="226" t="str">
        <f t="shared" si="32"/>
        <v>Element</v>
      </c>
      <c r="AT1073" s="203" t="str">
        <f t="shared" si="33"/>
        <v xml:space="preserve"> ElanElement144 Unisex</v>
      </c>
    </row>
    <row r="1074" spans="1:46" ht="52.8">
      <c r="A1074" t="s">
        <v>155</v>
      </c>
      <c r="B1074" t="s">
        <v>208</v>
      </c>
      <c r="C1074" t="s">
        <v>633</v>
      </c>
      <c r="D1074">
        <v>181</v>
      </c>
      <c r="E1074" t="s">
        <v>158</v>
      </c>
      <c r="F1074">
        <v>181</v>
      </c>
      <c r="G1074">
        <v>179.7</v>
      </c>
      <c r="H1074">
        <v>140</v>
      </c>
      <c r="I1074">
        <v>164</v>
      </c>
      <c r="J1074">
        <v>154</v>
      </c>
      <c r="K1074">
        <v>95</v>
      </c>
      <c r="L1074">
        <v>124</v>
      </c>
      <c r="M1074">
        <v>14.6</v>
      </c>
      <c r="N1074">
        <v>2051</v>
      </c>
      <c r="O1074">
        <v>0.99</v>
      </c>
      <c r="P1074">
        <v>2027</v>
      </c>
      <c r="Q1074">
        <v>193</v>
      </c>
      <c r="R1074">
        <v>137</v>
      </c>
      <c r="S1074">
        <v>35</v>
      </c>
      <c r="T1074">
        <v>257</v>
      </c>
      <c r="U1074">
        <v>22</v>
      </c>
      <c r="V1074">
        <v>140</v>
      </c>
      <c r="W1074">
        <v>0.628</v>
      </c>
      <c r="X1074">
        <v>127</v>
      </c>
      <c r="Y1074">
        <v>26</v>
      </c>
      <c r="Z1074">
        <v>130</v>
      </c>
      <c r="AA1074">
        <v>8</v>
      </c>
      <c r="AB1074">
        <v>6.8</v>
      </c>
      <c r="AC1074" t="s">
        <v>188</v>
      </c>
      <c r="AG1074" t="s">
        <v>5107</v>
      </c>
      <c r="AH1074" t="s">
        <v>1566</v>
      </c>
      <c r="AI1074" s="245">
        <v>540</v>
      </c>
      <c r="AJ1074" t="s">
        <v>6281</v>
      </c>
      <c r="AK1074" t="s">
        <v>5107</v>
      </c>
      <c r="AL1074" t="s">
        <v>1450</v>
      </c>
      <c r="AM1074" s="245">
        <v>549</v>
      </c>
      <c r="AN1074" t="s">
        <v>6282</v>
      </c>
      <c r="AO1074" t="s">
        <v>5107</v>
      </c>
      <c r="AP1074" t="s">
        <v>1179</v>
      </c>
      <c r="AQ1074" s="245">
        <v>573.95000000000005</v>
      </c>
      <c r="AR1074" t="s">
        <v>6283</v>
      </c>
      <c r="AS1074" s="226" t="str">
        <f t="shared" si="32"/>
        <v>Blade</v>
      </c>
      <c r="AT1074" s="203" t="str">
        <f t="shared" si="33"/>
        <v xml:space="preserve"> LineBlade181 Unisex</v>
      </c>
    </row>
    <row r="1075" spans="1:46" ht="79.2">
      <c r="A1075" t="s">
        <v>155</v>
      </c>
      <c r="B1075" t="s">
        <v>1395</v>
      </c>
      <c r="C1075" t="s">
        <v>806</v>
      </c>
      <c r="D1075">
        <v>159</v>
      </c>
      <c r="E1075" t="s">
        <v>163</v>
      </c>
      <c r="F1075">
        <v>159</v>
      </c>
      <c r="G1075">
        <v>160.19999999999999</v>
      </c>
      <c r="H1075">
        <v>100</v>
      </c>
      <c r="I1075">
        <v>136</v>
      </c>
      <c r="J1075">
        <v>128</v>
      </c>
      <c r="K1075">
        <v>85</v>
      </c>
      <c r="L1075">
        <v>110</v>
      </c>
      <c r="M1075">
        <v>12.7</v>
      </c>
      <c r="N1075">
        <v>1259</v>
      </c>
      <c r="O1075">
        <v>1.26</v>
      </c>
      <c r="P1075">
        <v>1589</v>
      </c>
      <c r="Q1075">
        <v>157</v>
      </c>
      <c r="R1075">
        <v>74</v>
      </c>
      <c r="S1075">
        <v>49</v>
      </c>
      <c r="T1075">
        <v>374</v>
      </c>
      <c r="U1075">
        <v>20</v>
      </c>
      <c r="V1075">
        <v>227</v>
      </c>
      <c r="W1075">
        <v>0.40299999999999903</v>
      </c>
      <c r="X1075">
        <v>143</v>
      </c>
      <c r="Y1075">
        <v>101</v>
      </c>
      <c r="Z1075">
        <v>231</v>
      </c>
      <c r="AA1075">
        <v>1</v>
      </c>
      <c r="AB1075">
        <v>11.5</v>
      </c>
      <c r="AC1075" t="s">
        <v>188</v>
      </c>
      <c r="AD1075" t="s">
        <v>185</v>
      </c>
      <c r="AE1075" t="s">
        <v>198</v>
      </c>
      <c r="AG1075" t="s">
        <v>6284</v>
      </c>
      <c r="AH1075" t="s">
        <v>1204</v>
      </c>
      <c r="AI1075" s="245">
        <v>448.8</v>
      </c>
      <c r="AJ1075" t="s">
        <v>6285</v>
      </c>
      <c r="AK1075" t="s">
        <v>6286</v>
      </c>
      <c r="AL1075" t="s">
        <v>1240</v>
      </c>
      <c r="AM1075" s="245">
        <v>449.95</v>
      </c>
      <c r="AN1075" t="s">
        <v>6287</v>
      </c>
      <c r="AO1075" t="s">
        <v>6288</v>
      </c>
      <c r="AP1075" t="s">
        <v>1289</v>
      </c>
      <c r="AQ1075" s="245">
        <v>549.99</v>
      </c>
      <c r="AR1075" t="s">
        <v>6289</v>
      </c>
      <c r="AS1075" s="226" t="str">
        <f t="shared" si="32"/>
        <v>Blaze 86 W</v>
      </c>
      <c r="AT1075" s="203" t="str">
        <f t="shared" si="33"/>
        <v xml:space="preserve"> Vï¿½lklBlaze 86 W159 Women's</v>
      </c>
    </row>
    <row r="1076" spans="1:46" ht="26.4">
      <c r="A1076" t="s">
        <v>155</v>
      </c>
      <c r="B1076" t="s">
        <v>205</v>
      </c>
      <c r="C1076" t="s">
        <v>859</v>
      </c>
      <c r="D1076">
        <v>159</v>
      </c>
      <c r="E1076" t="s">
        <v>385</v>
      </c>
      <c r="F1076">
        <v>159</v>
      </c>
      <c r="G1076">
        <v>157.1</v>
      </c>
      <c r="H1076">
        <v>113</v>
      </c>
      <c r="I1076">
        <v>133</v>
      </c>
      <c r="J1076">
        <v>128</v>
      </c>
      <c r="K1076">
        <v>97</v>
      </c>
      <c r="L1076">
        <v>124</v>
      </c>
      <c r="M1076">
        <v>13.9</v>
      </c>
      <c r="N1076">
        <v>1460</v>
      </c>
      <c r="O1076">
        <v>1.1599999999999999</v>
      </c>
      <c r="P1076">
        <v>1699</v>
      </c>
      <c r="Q1076">
        <v>131</v>
      </c>
      <c r="R1076">
        <v>45</v>
      </c>
      <c r="S1076">
        <v>52</v>
      </c>
      <c r="T1076">
        <v>227</v>
      </c>
      <c r="U1076">
        <v>45</v>
      </c>
      <c r="V1076">
        <v>211</v>
      </c>
      <c r="W1076">
        <v>0.874</v>
      </c>
      <c r="X1076">
        <v>128</v>
      </c>
      <c r="Y1076">
        <v>113</v>
      </c>
      <c r="Z1076">
        <v>99</v>
      </c>
      <c r="AA1076">
        <v>8</v>
      </c>
      <c r="AB1076">
        <v>3.4</v>
      </c>
      <c r="AC1076" t="s">
        <v>184</v>
      </c>
      <c r="AD1076" t="s">
        <v>185</v>
      </c>
      <c r="AS1076" s="226" t="str">
        <f t="shared" si="32"/>
        <v>Prodigy 2.0 Jr</v>
      </c>
      <c r="AT1076" s="203" t="str">
        <f t="shared" si="33"/>
        <v xml:space="preserve"> FactionProdigy 2.0 Jr159 Junior</v>
      </c>
    </row>
    <row r="1077" spans="1:46" ht="92.4">
      <c r="A1077" t="s">
        <v>155</v>
      </c>
      <c r="B1077" t="s">
        <v>218</v>
      </c>
      <c r="C1077" t="s">
        <v>254</v>
      </c>
      <c r="D1077">
        <v>184</v>
      </c>
      <c r="E1077" t="s">
        <v>158</v>
      </c>
      <c r="F1077">
        <v>184</v>
      </c>
      <c r="G1077">
        <v>183.4</v>
      </c>
      <c r="H1077">
        <v>133</v>
      </c>
      <c r="I1077">
        <v>146</v>
      </c>
      <c r="J1077">
        <v>132</v>
      </c>
      <c r="K1077">
        <v>100</v>
      </c>
      <c r="L1077">
        <v>116</v>
      </c>
      <c r="M1077">
        <v>19.2</v>
      </c>
      <c r="N1077">
        <v>2074</v>
      </c>
      <c r="O1077">
        <v>0.97</v>
      </c>
      <c r="P1077">
        <v>2019</v>
      </c>
      <c r="Q1077">
        <v>249</v>
      </c>
      <c r="R1077">
        <v>138</v>
      </c>
      <c r="S1077">
        <v>54</v>
      </c>
      <c r="T1077">
        <v>278</v>
      </c>
      <c r="U1077">
        <v>24</v>
      </c>
      <c r="V1077">
        <v>223</v>
      </c>
      <c r="W1077">
        <v>0.45100000000000001</v>
      </c>
      <c r="X1077">
        <v>181</v>
      </c>
      <c r="Y1077">
        <v>189</v>
      </c>
      <c r="Z1077">
        <v>96</v>
      </c>
      <c r="AA1077">
        <v>7</v>
      </c>
      <c r="AB1077">
        <v>10.8</v>
      </c>
      <c r="AC1077" t="s">
        <v>188</v>
      </c>
      <c r="AG1077" t="s">
        <v>6290</v>
      </c>
      <c r="AH1077" t="s">
        <v>1405</v>
      </c>
      <c r="AI1077" s="245">
        <v>1039</v>
      </c>
      <c r="AJ1077" t="s">
        <v>6291</v>
      </c>
      <c r="AK1077" t="s">
        <v>6290</v>
      </c>
      <c r="AL1077" t="s">
        <v>1181</v>
      </c>
      <c r="AM1077" s="245">
        <v>1039</v>
      </c>
      <c r="AN1077" t="s">
        <v>6292</v>
      </c>
      <c r="AO1077" t="s">
        <v>6290</v>
      </c>
      <c r="AP1077" t="s">
        <v>1271</v>
      </c>
      <c r="AQ1077" s="245">
        <v>1039.2</v>
      </c>
      <c r="AR1077" t="s">
        <v>6293</v>
      </c>
      <c r="AS1077" s="226" t="str">
        <f t="shared" si="32"/>
        <v>Pagoda Piste 100 C2</v>
      </c>
      <c r="AT1077" s="203" t="str">
        <f t="shared" si="33"/>
        <v xml:space="preserve"> DPSPagoda Piste 100 C2184 Unisex</v>
      </c>
    </row>
    <row r="1078" spans="1:46" ht="264">
      <c r="A1078" t="s">
        <v>155</v>
      </c>
      <c r="B1078" t="s">
        <v>332</v>
      </c>
      <c r="C1078" t="s">
        <v>741</v>
      </c>
      <c r="D1078">
        <v>170</v>
      </c>
      <c r="E1078" t="s">
        <v>158</v>
      </c>
      <c r="F1078">
        <v>170</v>
      </c>
      <c r="G1078">
        <v>168.9</v>
      </c>
      <c r="H1078">
        <v>149</v>
      </c>
      <c r="I1078">
        <v>157</v>
      </c>
      <c r="J1078">
        <v>120</v>
      </c>
      <c r="K1078">
        <v>69</v>
      </c>
      <c r="L1078">
        <v>103</v>
      </c>
      <c r="M1078">
        <v>14</v>
      </c>
      <c r="N1078">
        <v>2053</v>
      </c>
      <c r="O1078">
        <v>0.7</v>
      </c>
      <c r="P1078">
        <v>1428</v>
      </c>
      <c r="Q1078">
        <v>242</v>
      </c>
      <c r="R1078">
        <v>109</v>
      </c>
      <c r="S1078">
        <v>45</v>
      </c>
      <c r="T1078">
        <v>150</v>
      </c>
      <c r="U1078">
        <v>6</v>
      </c>
      <c r="V1078">
        <v>49</v>
      </c>
      <c r="W1078">
        <v>0.127</v>
      </c>
      <c r="X1078">
        <v>62</v>
      </c>
      <c r="Y1078">
        <v>55</v>
      </c>
      <c r="Z1078">
        <v>89</v>
      </c>
      <c r="AA1078">
        <v>7</v>
      </c>
      <c r="AB1078">
        <v>12.1</v>
      </c>
      <c r="AC1078" t="s">
        <v>349</v>
      </c>
      <c r="AG1078" t="s">
        <v>6294</v>
      </c>
      <c r="AH1078" t="s">
        <v>6251</v>
      </c>
      <c r="AI1078" s="245">
        <v>575</v>
      </c>
      <c r="AJ1078" t="s">
        <v>6295</v>
      </c>
      <c r="AK1078" t="s">
        <v>6296</v>
      </c>
      <c r="AL1078" t="s">
        <v>1179</v>
      </c>
      <c r="AM1078" s="245">
        <v>799.99</v>
      </c>
      <c r="AN1078" t="s">
        <v>6297</v>
      </c>
      <c r="AO1078" t="s">
        <v>6298</v>
      </c>
      <c r="AP1078" t="s">
        <v>3574</v>
      </c>
      <c r="AQ1078" s="245">
        <v>124.99</v>
      </c>
      <c r="AR1078" t="s">
        <v>6299</v>
      </c>
      <c r="AS1078" s="226" t="str">
        <f t="shared" si="32"/>
        <v>Dobermann SLR Rb</v>
      </c>
      <c r="AT1078" s="203" t="str">
        <f t="shared" si="33"/>
        <v xml:space="preserve"> NordicaDobermann SLR Rb170 Unisex</v>
      </c>
    </row>
    <row r="1079" spans="1:46" ht="184.8">
      <c r="A1079" t="s">
        <v>155</v>
      </c>
      <c r="B1079" t="s">
        <v>332</v>
      </c>
      <c r="C1079" t="s">
        <v>809</v>
      </c>
      <c r="D1079">
        <v>169</v>
      </c>
      <c r="E1079" t="s">
        <v>158</v>
      </c>
      <c r="F1079">
        <v>169</v>
      </c>
      <c r="G1079">
        <v>168.4</v>
      </c>
      <c r="H1079">
        <v>113</v>
      </c>
      <c r="I1079">
        <v>137</v>
      </c>
      <c r="J1079">
        <v>139</v>
      </c>
      <c r="K1079">
        <v>109</v>
      </c>
      <c r="L1079">
        <v>129</v>
      </c>
      <c r="M1079">
        <v>16.100000000000001</v>
      </c>
      <c r="N1079">
        <v>2165</v>
      </c>
      <c r="O1079">
        <v>0.92</v>
      </c>
      <c r="P1079">
        <v>1995</v>
      </c>
      <c r="Q1079">
        <v>223</v>
      </c>
      <c r="R1079">
        <v>152</v>
      </c>
      <c r="S1079">
        <v>55</v>
      </c>
      <c r="T1079">
        <v>302</v>
      </c>
      <c r="U1079">
        <v>35</v>
      </c>
      <c r="V1079">
        <v>250</v>
      </c>
      <c r="W1079">
        <v>0.64099999999999902</v>
      </c>
      <c r="X1079">
        <v>156</v>
      </c>
      <c r="Y1079">
        <v>157</v>
      </c>
      <c r="Z1079">
        <v>146</v>
      </c>
      <c r="AA1079">
        <v>8</v>
      </c>
      <c r="AB1079">
        <v>8.9</v>
      </c>
      <c r="AC1079" t="s">
        <v>169</v>
      </c>
      <c r="AG1079" t="s">
        <v>6300</v>
      </c>
      <c r="AH1079" t="s">
        <v>1588</v>
      </c>
      <c r="AI1079" s="245">
        <v>600</v>
      </c>
      <c r="AJ1079" t="s">
        <v>6301</v>
      </c>
      <c r="AK1079" t="s">
        <v>6302</v>
      </c>
      <c r="AL1079" t="s">
        <v>3924</v>
      </c>
      <c r="AM1079" s="245">
        <v>499.99</v>
      </c>
      <c r="AN1079" t="s">
        <v>6303</v>
      </c>
      <c r="AO1079" t="s">
        <v>1899</v>
      </c>
      <c r="AP1079" t="s">
        <v>1405</v>
      </c>
      <c r="AQ1079" s="245">
        <v>814.99</v>
      </c>
      <c r="AR1079" t="s">
        <v>6304</v>
      </c>
      <c r="AS1079" s="226" t="str">
        <f t="shared" si="32"/>
        <v>Enforcer 110 Free</v>
      </c>
      <c r="AT1079" s="203" t="str">
        <f t="shared" si="33"/>
        <v xml:space="preserve"> NordicaEnforcer 110 Free169 Unisex</v>
      </c>
    </row>
    <row r="1080" spans="1:46" ht="79.2">
      <c r="A1080" t="s">
        <v>155</v>
      </c>
      <c r="B1080" t="s">
        <v>1395</v>
      </c>
      <c r="C1080" t="s">
        <v>806</v>
      </c>
      <c r="D1080">
        <v>146</v>
      </c>
      <c r="E1080" t="s">
        <v>163</v>
      </c>
      <c r="F1080">
        <v>146</v>
      </c>
      <c r="G1080">
        <v>147.30000000000001</v>
      </c>
      <c r="H1080">
        <v>92</v>
      </c>
      <c r="I1080">
        <v>122</v>
      </c>
      <c r="J1080">
        <v>128</v>
      </c>
      <c r="K1080">
        <v>85</v>
      </c>
      <c r="L1080">
        <v>109</v>
      </c>
      <c r="M1080">
        <v>10.1</v>
      </c>
      <c r="N1080">
        <v>1211</v>
      </c>
      <c r="O1080">
        <v>1.21</v>
      </c>
      <c r="P1080">
        <v>1467</v>
      </c>
      <c r="Q1080">
        <v>156</v>
      </c>
      <c r="R1080">
        <v>75</v>
      </c>
      <c r="S1080">
        <v>48</v>
      </c>
      <c r="T1080">
        <v>337</v>
      </c>
      <c r="U1080">
        <v>18</v>
      </c>
      <c r="V1080">
        <v>218</v>
      </c>
      <c r="W1080">
        <v>0.373</v>
      </c>
      <c r="X1080">
        <v>149</v>
      </c>
      <c r="Y1080">
        <v>105</v>
      </c>
      <c r="Z1080">
        <v>188</v>
      </c>
      <c r="AA1080">
        <v>1</v>
      </c>
      <c r="AB1080">
        <v>11.5</v>
      </c>
      <c r="AC1080" t="s">
        <v>188</v>
      </c>
      <c r="AD1080" t="s">
        <v>185</v>
      </c>
      <c r="AG1080" t="s">
        <v>5332</v>
      </c>
      <c r="AH1080" t="s">
        <v>1320</v>
      </c>
      <c r="AI1080" s="245">
        <v>399.99</v>
      </c>
      <c r="AJ1080" t="s">
        <v>6305</v>
      </c>
      <c r="AK1080" t="s">
        <v>6306</v>
      </c>
      <c r="AL1080" t="s">
        <v>1204</v>
      </c>
      <c r="AM1080" s="245">
        <v>448.8</v>
      </c>
      <c r="AN1080" t="s">
        <v>6307</v>
      </c>
      <c r="AO1080" t="s">
        <v>6308</v>
      </c>
      <c r="AP1080" t="s">
        <v>3015</v>
      </c>
      <c r="AQ1080" s="245">
        <v>499.99</v>
      </c>
      <c r="AR1080" t="s">
        <v>6309</v>
      </c>
      <c r="AS1080" s="226" t="str">
        <f t="shared" si="32"/>
        <v>Blaze 86 W</v>
      </c>
      <c r="AT1080" s="203" t="str">
        <f t="shared" si="33"/>
        <v xml:space="preserve"> Vï¿½lklBlaze 86 W146 Women's</v>
      </c>
    </row>
    <row r="1081" spans="1:46" ht="92.4">
      <c r="A1081" t="s">
        <v>155</v>
      </c>
      <c r="B1081" t="s">
        <v>317</v>
      </c>
      <c r="C1081" t="s">
        <v>680</v>
      </c>
      <c r="D1081">
        <v>171</v>
      </c>
      <c r="E1081" t="s">
        <v>158</v>
      </c>
      <c r="F1081">
        <v>171</v>
      </c>
      <c r="G1081">
        <v>168.9</v>
      </c>
      <c r="H1081">
        <v>127</v>
      </c>
      <c r="I1081">
        <v>144</v>
      </c>
      <c r="J1081">
        <v>114</v>
      </c>
      <c r="K1081">
        <v>83</v>
      </c>
      <c r="L1081">
        <v>98</v>
      </c>
      <c r="M1081">
        <v>22</v>
      </c>
      <c r="N1081">
        <v>1122</v>
      </c>
      <c r="O1081">
        <v>1.38</v>
      </c>
      <c r="P1081">
        <v>1546</v>
      </c>
      <c r="Q1081">
        <v>197</v>
      </c>
      <c r="R1081">
        <v>69</v>
      </c>
      <c r="S1081">
        <v>55</v>
      </c>
      <c r="T1081">
        <v>244</v>
      </c>
      <c r="U1081">
        <v>10</v>
      </c>
      <c r="V1081">
        <v>171</v>
      </c>
      <c r="W1081">
        <v>0.188</v>
      </c>
      <c r="X1081">
        <v>130</v>
      </c>
      <c r="Y1081">
        <v>122</v>
      </c>
      <c r="Z1081">
        <v>114</v>
      </c>
      <c r="AA1081">
        <v>4</v>
      </c>
      <c r="AB1081">
        <v>10.5</v>
      </c>
      <c r="AC1081" t="s">
        <v>185</v>
      </c>
      <c r="AD1081" t="s">
        <v>198</v>
      </c>
      <c r="AG1081" t="s">
        <v>4078</v>
      </c>
      <c r="AH1081" t="s">
        <v>1349</v>
      </c>
      <c r="AI1081" s="245">
        <v>384.97</v>
      </c>
      <c r="AJ1081" t="s">
        <v>6310</v>
      </c>
      <c r="AK1081" t="s">
        <v>6311</v>
      </c>
      <c r="AL1081" t="s">
        <v>1471</v>
      </c>
      <c r="AM1081" s="245">
        <v>420</v>
      </c>
      <c r="AN1081" t="s">
        <v>6312</v>
      </c>
      <c r="AO1081" t="s">
        <v>6313</v>
      </c>
      <c r="AP1081" t="s">
        <v>1334</v>
      </c>
      <c r="AQ1081" s="245">
        <v>479.96</v>
      </c>
      <c r="AR1081" t="s">
        <v>6314</v>
      </c>
      <c r="AS1081" s="226" t="str">
        <f t="shared" si="32"/>
        <v>Zero G 85</v>
      </c>
      <c r="AT1081" s="203" t="str">
        <f t="shared" si="33"/>
        <v xml:space="preserve"> BlizzardZero G 85171 Unisex</v>
      </c>
    </row>
    <row r="1082" spans="1:46" ht="118.8">
      <c r="A1082" t="s">
        <v>155</v>
      </c>
      <c r="B1082" t="s">
        <v>172</v>
      </c>
      <c r="C1082" t="s">
        <v>720</v>
      </c>
      <c r="D1082">
        <v>150</v>
      </c>
      <c r="E1082" t="s">
        <v>158</v>
      </c>
      <c r="F1082">
        <v>150</v>
      </c>
      <c r="G1082">
        <v>148.80000000000001</v>
      </c>
      <c r="H1082">
        <v>102</v>
      </c>
      <c r="I1082">
        <v>122</v>
      </c>
      <c r="J1082">
        <v>117</v>
      </c>
      <c r="K1082">
        <v>89</v>
      </c>
      <c r="L1082">
        <v>107</v>
      </c>
      <c r="M1082">
        <v>17.2</v>
      </c>
      <c r="N1082">
        <v>1452</v>
      </c>
      <c r="O1082">
        <v>1</v>
      </c>
      <c r="P1082">
        <v>1449</v>
      </c>
      <c r="Q1082">
        <v>141</v>
      </c>
      <c r="R1082">
        <v>54</v>
      </c>
      <c r="S1082">
        <v>48</v>
      </c>
      <c r="T1082">
        <v>251</v>
      </c>
      <c r="U1082">
        <v>30</v>
      </c>
      <c r="V1082">
        <v>216</v>
      </c>
      <c r="W1082">
        <v>0.626</v>
      </c>
      <c r="X1082">
        <v>128</v>
      </c>
      <c r="Y1082">
        <v>137</v>
      </c>
      <c r="Z1082">
        <v>123</v>
      </c>
      <c r="AA1082">
        <v>7</v>
      </c>
      <c r="AB1082">
        <v>5.4</v>
      </c>
      <c r="AC1082" t="s">
        <v>188</v>
      </c>
      <c r="AG1082" t="s">
        <v>2889</v>
      </c>
      <c r="AH1082" t="s">
        <v>1183</v>
      </c>
      <c r="AI1082" s="245">
        <v>314.99</v>
      </c>
      <c r="AJ1082" t="s">
        <v>6315</v>
      </c>
      <c r="AK1082" t="s">
        <v>2889</v>
      </c>
      <c r="AL1082" t="s">
        <v>1179</v>
      </c>
      <c r="AM1082" s="245">
        <v>359.95</v>
      </c>
      <c r="AN1082" t="s">
        <v>6316</v>
      </c>
      <c r="AO1082" t="s">
        <v>2889</v>
      </c>
      <c r="AP1082" t="s">
        <v>1450</v>
      </c>
      <c r="AQ1082" s="245">
        <v>359.95</v>
      </c>
      <c r="AR1082" t="s">
        <v>6317</v>
      </c>
      <c r="AS1082" s="226" t="str">
        <f t="shared" si="32"/>
        <v>Blackops Smasher</v>
      </c>
      <c r="AT1082" s="203" t="str">
        <f t="shared" si="33"/>
        <v xml:space="preserve"> RossignolBlackops Smasher150 Unisex</v>
      </c>
    </row>
    <row r="1083" spans="1:46" ht="79.2">
      <c r="A1083" t="s">
        <v>155</v>
      </c>
      <c r="B1083" t="s">
        <v>218</v>
      </c>
      <c r="C1083" t="s">
        <v>250</v>
      </c>
      <c r="D1083">
        <v>184</v>
      </c>
      <c r="E1083" t="s">
        <v>158</v>
      </c>
      <c r="F1083">
        <v>184</v>
      </c>
      <c r="G1083">
        <v>183.7</v>
      </c>
      <c r="H1083">
        <v>126</v>
      </c>
      <c r="I1083">
        <v>143</v>
      </c>
      <c r="J1083">
        <v>138</v>
      </c>
      <c r="K1083">
        <v>106</v>
      </c>
      <c r="L1083">
        <v>121</v>
      </c>
      <c r="M1083">
        <v>19.100000000000001</v>
      </c>
      <c r="N1083">
        <v>2040</v>
      </c>
      <c r="O1083">
        <v>1.04</v>
      </c>
      <c r="P1083">
        <v>2125</v>
      </c>
      <c r="Q1083">
        <v>254</v>
      </c>
      <c r="R1083">
        <v>139</v>
      </c>
      <c r="S1083">
        <v>54</v>
      </c>
      <c r="T1083">
        <v>330</v>
      </c>
      <c r="U1083">
        <v>27</v>
      </c>
      <c r="V1083">
        <v>248</v>
      </c>
      <c r="W1083">
        <v>0.501</v>
      </c>
      <c r="X1083">
        <v>214</v>
      </c>
      <c r="Y1083">
        <v>196</v>
      </c>
      <c r="Z1083">
        <v>116</v>
      </c>
      <c r="AA1083">
        <v>9</v>
      </c>
      <c r="AB1083">
        <v>10.8</v>
      </c>
      <c r="AC1083" t="s">
        <v>169</v>
      </c>
      <c r="AG1083" t="s">
        <v>6318</v>
      </c>
      <c r="AH1083" t="s">
        <v>1468</v>
      </c>
      <c r="AI1083" s="245">
        <v>1029</v>
      </c>
      <c r="AJ1083" t="s">
        <v>6319</v>
      </c>
      <c r="AK1083" t="s">
        <v>6320</v>
      </c>
      <c r="AL1083" t="s">
        <v>1271</v>
      </c>
      <c r="AM1083" s="245">
        <v>1039.2</v>
      </c>
      <c r="AN1083" t="s">
        <v>6321</v>
      </c>
      <c r="AO1083" t="s">
        <v>6322</v>
      </c>
      <c r="AP1083" t="s">
        <v>1556</v>
      </c>
      <c r="AQ1083" s="245">
        <v>1299</v>
      </c>
      <c r="AR1083" t="s">
        <v>6323</v>
      </c>
      <c r="AS1083" s="226" t="str">
        <f t="shared" si="32"/>
        <v>Pagoda 106 C2</v>
      </c>
      <c r="AT1083" s="203" t="str">
        <f t="shared" si="33"/>
        <v xml:space="preserve"> DPSPagoda 106 C2184 Unisex</v>
      </c>
    </row>
    <row r="1084" spans="1:46" ht="79.2">
      <c r="A1084" t="s">
        <v>155</v>
      </c>
      <c r="B1084" t="s">
        <v>174</v>
      </c>
      <c r="C1084" t="s">
        <v>791</v>
      </c>
      <c r="D1084">
        <v>194</v>
      </c>
      <c r="E1084" t="s">
        <v>158</v>
      </c>
      <c r="F1084">
        <v>194</v>
      </c>
      <c r="G1084">
        <v>193.2</v>
      </c>
      <c r="H1084">
        <v>91</v>
      </c>
      <c r="I1084">
        <v>148</v>
      </c>
      <c r="J1084">
        <v>138</v>
      </c>
      <c r="K1084">
        <v>111</v>
      </c>
      <c r="L1084">
        <v>127</v>
      </c>
      <c r="M1084">
        <v>19.3</v>
      </c>
      <c r="N1084">
        <v>2330</v>
      </c>
      <c r="O1084">
        <v>1</v>
      </c>
      <c r="P1084">
        <v>2337</v>
      </c>
      <c r="Q1084">
        <v>265</v>
      </c>
      <c r="R1084">
        <v>134</v>
      </c>
      <c r="S1084">
        <v>63</v>
      </c>
      <c r="T1084">
        <v>519</v>
      </c>
      <c r="U1084">
        <v>34</v>
      </c>
      <c r="V1084">
        <v>505</v>
      </c>
      <c r="W1084">
        <v>0.54</v>
      </c>
      <c r="X1084">
        <v>244</v>
      </c>
      <c r="Y1084">
        <v>207</v>
      </c>
      <c r="Z1084">
        <v>275</v>
      </c>
      <c r="AA1084">
        <v>3</v>
      </c>
      <c r="AB1084">
        <v>7.1</v>
      </c>
      <c r="AC1084" t="s">
        <v>169</v>
      </c>
      <c r="AG1084" t="s">
        <v>6324</v>
      </c>
      <c r="AH1084" t="s">
        <v>2291</v>
      </c>
      <c r="AI1084" s="245">
        <v>599.95000000000005</v>
      </c>
      <c r="AJ1084" t="s">
        <v>6325</v>
      </c>
      <c r="AK1084" t="s">
        <v>6324</v>
      </c>
      <c r="AL1084" t="s">
        <v>1271</v>
      </c>
      <c r="AM1084" s="245">
        <v>749.95</v>
      </c>
      <c r="AN1084" t="s">
        <v>6326</v>
      </c>
      <c r="AO1084" t="s">
        <v>6327</v>
      </c>
      <c r="AP1084" t="s">
        <v>1450</v>
      </c>
      <c r="AQ1084" s="245">
        <v>749.99</v>
      </c>
      <c r="AR1084" t="s">
        <v>6328</v>
      </c>
      <c r="AS1084" s="226" t="str">
        <f t="shared" si="32"/>
        <v>QST Blank</v>
      </c>
      <c r="AT1084" s="203" t="str">
        <f t="shared" si="33"/>
        <v xml:space="preserve"> SalomonQST Blank194 Unisex</v>
      </c>
    </row>
    <row r="1085" spans="1:46" ht="66">
      <c r="A1085" t="s">
        <v>155</v>
      </c>
      <c r="B1085" t="s">
        <v>332</v>
      </c>
      <c r="C1085" t="s">
        <v>788</v>
      </c>
      <c r="D1085">
        <v>179</v>
      </c>
      <c r="E1085" t="s">
        <v>158</v>
      </c>
      <c r="F1085">
        <v>179</v>
      </c>
      <c r="G1085">
        <v>178.3</v>
      </c>
      <c r="H1085">
        <v>131</v>
      </c>
      <c r="I1085">
        <v>147</v>
      </c>
      <c r="J1085">
        <v>128</v>
      </c>
      <c r="K1085">
        <v>93</v>
      </c>
      <c r="L1085">
        <v>114</v>
      </c>
      <c r="M1085">
        <v>17</v>
      </c>
      <c r="N1085">
        <v>2178</v>
      </c>
      <c r="O1085">
        <v>0.86</v>
      </c>
      <c r="P1085">
        <v>1867</v>
      </c>
      <c r="Q1085">
        <v>234</v>
      </c>
      <c r="R1085">
        <v>145</v>
      </c>
      <c r="S1085">
        <v>55</v>
      </c>
      <c r="T1085">
        <v>286</v>
      </c>
      <c r="U1085">
        <v>13</v>
      </c>
      <c r="V1085">
        <v>186</v>
      </c>
      <c r="W1085">
        <v>0.23499999999999999</v>
      </c>
      <c r="X1085">
        <v>152</v>
      </c>
      <c r="Y1085">
        <v>159</v>
      </c>
      <c r="Z1085">
        <v>134</v>
      </c>
      <c r="AA1085">
        <v>7</v>
      </c>
      <c r="AB1085">
        <v>8.5</v>
      </c>
      <c r="AC1085" t="s">
        <v>188</v>
      </c>
      <c r="AG1085" t="s">
        <v>6329</v>
      </c>
      <c r="AH1085" t="s">
        <v>1232</v>
      </c>
      <c r="AI1085" s="245">
        <v>559.95000000000005</v>
      </c>
      <c r="AJ1085" t="s">
        <v>6330</v>
      </c>
      <c r="AK1085" t="s">
        <v>6329</v>
      </c>
      <c r="AL1085" t="s">
        <v>2130</v>
      </c>
      <c r="AM1085" s="245">
        <v>559.99</v>
      </c>
      <c r="AN1085" t="s">
        <v>6331</v>
      </c>
      <c r="AO1085" t="s">
        <v>6329</v>
      </c>
      <c r="AP1085" t="s">
        <v>1400</v>
      </c>
      <c r="AQ1085" s="245">
        <v>559.99</v>
      </c>
      <c r="AR1085" t="s">
        <v>6332</v>
      </c>
      <c r="AS1085" s="226" t="str">
        <f t="shared" si="32"/>
        <v>Enforcer 94</v>
      </c>
      <c r="AT1085" s="203" t="str">
        <f t="shared" si="33"/>
        <v xml:space="preserve"> NordicaEnforcer 94179 Unisex</v>
      </c>
    </row>
    <row r="1086" spans="1:46" ht="66">
      <c r="A1086" t="s">
        <v>155</v>
      </c>
      <c r="B1086" t="s">
        <v>1160</v>
      </c>
      <c r="C1086" t="s">
        <v>327</v>
      </c>
      <c r="D1086">
        <v>156</v>
      </c>
      <c r="E1086" t="s">
        <v>158</v>
      </c>
      <c r="F1086">
        <v>156</v>
      </c>
      <c r="G1086">
        <v>156.69999999999999</v>
      </c>
      <c r="H1086">
        <v>118</v>
      </c>
      <c r="I1086">
        <v>130</v>
      </c>
      <c r="J1086">
        <v>126</v>
      </c>
      <c r="K1086">
        <v>89</v>
      </c>
      <c r="L1086">
        <v>112</v>
      </c>
      <c r="M1086">
        <v>13.5</v>
      </c>
      <c r="N1086">
        <v>1373</v>
      </c>
      <c r="O1086">
        <v>1.1599999999999999</v>
      </c>
      <c r="P1086">
        <v>1588</v>
      </c>
      <c r="Q1086">
        <v>117</v>
      </c>
      <c r="R1086">
        <v>60</v>
      </c>
      <c r="S1086">
        <v>49</v>
      </c>
      <c r="T1086">
        <v>225</v>
      </c>
      <c r="U1086">
        <v>16</v>
      </c>
      <c r="V1086">
        <v>161</v>
      </c>
      <c r="W1086">
        <v>0.32400000000000001</v>
      </c>
      <c r="X1086">
        <v>155</v>
      </c>
      <c r="Y1086">
        <v>116</v>
      </c>
      <c r="Z1086">
        <v>71</v>
      </c>
      <c r="AA1086">
        <v>9</v>
      </c>
      <c r="AB1086">
        <v>9.6999999999999993</v>
      </c>
      <c r="AC1086" t="s">
        <v>188</v>
      </c>
      <c r="AD1086" t="s">
        <v>185</v>
      </c>
      <c r="AG1086" t="s">
        <v>6333</v>
      </c>
      <c r="AH1086" t="s">
        <v>6334</v>
      </c>
      <c r="AI1086" s="245">
        <v>259.99</v>
      </c>
      <c r="AJ1086" t="s">
        <v>6335</v>
      </c>
      <c r="AK1086" t="s">
        <v>6336</v>
      </c>
      <c r="AL1086" t="s">
        <v>2446</v>
      </c>
      <c r="AM1086" s="245">
        <v>499.95</v>
      </c>
      <c r="AN1086" t="s">
        <v>6337</v>
      </c>
      <c r="AO1086" t="s">
        <v>6338</v>
      </c>
      <c r="AP1086" t="s">
        <v>1282</v>
      </c>
      <c r="AQ1086" s="245">
        <v>499.95</v>
      </c>
      <c r="AR1086" t="s">
        <v>6339</v>
      </c>
      <c r="AS1086" s="226" t="str">
        <f t="shared" si="32"/>
        <v>Mindbender 90C</v>
      </c>
      <c r="AT1086" s="203" t="str">
        <f t="shared" si="33"/>
        <v>K2Mindbender 90C156 Unisex</v>
      </c>
    </row>
    <row r="1087" spans="1:46" ht="92.4">
      <c r="A1087" t="s">
        <v>155</v>
      </c>
      <c r="B1087" t="s">
        <v>295</v>
      </c>
      <c r="C1087" t="s">
        <v>758</v>
      </c>
      <c r="D1087">
        <v>155</v>
      </c>
      <c r="E1087" t="s">
        <v>163</v>
      </c>
      <c r="F1087">
        <v>155</v>
      </c>
      <c r="G1087">
        <v>152.5</v>
      </c>
      <c r="H1087">
        <v>84</v>
      </c>
      <c r="I1087">
        <v>127</v>
      </c>
      <c r="J1087">
        <v>126</v>
      </c>
      <c r="K1087">
        <v>92</v>
      </c>
      <c r="L1087">
        <v>117</v>
      </c>
      <c r="M1087">
        <v>13</v>
      </c>
      <c r="N1087">
        <v>1357</v>
      </c>
      <c r="O1087">
        <v>1.1599999999999999</v>
      </c>
      <c r="P1087">
        <v>1574</v>
      </c>
      <c r="Q1087">
        <v>151</v>
      </c>
      <c r="R1087">
        <v>63</v>
      </c>
      <c r="S1087">
        <v>61</v>
      </c>
      <c r="T1087">
        <v>363</v>
      </c>
      <c r="U1087">
        <v>59</v>
      </c>
      <c r="V1087">
        <v>318</v>
      </c>
      <c r="W1087">
        <v>0.96099999999999997</v>
      </c>
      <c r="X1087">
        <v>123</v>
      </c>
      <c r="Y1087">
        <v>130</v>
      </c>
      <c r="Z1087">
        <v>240</v>
      </c>
      <c r="AA1087">
        <v>2</v>
      </c>
      <c r="AB1087">
        <v>8.1999999999999993</v>
      </c>
      <c r="AC1087" t="s">
        <v>184</v>
      </c>
      <c r="AD1087" t="s">
        <v>185</v>
      </c>
      <c r="AG1087" t="s">
        <v>6340</v>
      </c>
      <c r="AH1087" t="s">
        <v>1833</v>
      </c>
      <c r="AI1087" s="245">
        <v>523.99</v>
      </c>
      <c r="AJ1087" t="s">
        <v>6341</v>
      </c>
      <c r="AK1087" t="s">
        <v>6340</v>
      </c>
      <c r="AL1087" t="s">
        <v>1226</v>
      </c>
      <c r="AM1087" s="245">
        <v>524</v>
      </c>
      <c r="AN1087" t="s">
        <v>6342</v>
      </c>
      <c r="AO1087" t="s">
        <v>6340</v>
      </c>
      <c r="AP1087" t="s">
        <v>1224</v>
      </c>
      <c r="AQ1087" s="245">
        <v>524.25</v>
      </c>
      <c r="AR1087" t="s">
        <v>6343</v>
      </c>
      <c r="AS1087" s="226" t="str">
        <f t="shared" si="32"/>
        <v>Maiden 91</v>
      </c>
      <c r="AT1087" s="203" t="str">
        <f t="shared" si="33"/>
        <v xml:space="preserve"> IcelanticMaiden 91155 Women's</v>
      </c>
    </row>
    <row r="1088" spans="1:46" ht="79.2">
      <c r="A1088" t="s">
        <v>155</v>
      </c>
      <c r="B1088" t="s">
        <v>317</v>
      </c>
      <c r="C1088" t="s">
        <v>821</v>
      </c>
      <c r="D1088">
        <v>180</v>
      </c>
      <c r="E1088" t="s">
        <v>158</v>
      </c>
      <c r="F1088">
        <v>180</v>
      </c>
      <c r="G1088">
        <v>178</v>
      </c>
      <c r="H1088">
        <v>148</v>
      </c>
      <c r="I1088">
        <v>156</v>
      </c>
      <c r="J1088">
        <v>120</v>
      </c>
      <c r="K1088">
        <v>81</v>
      </c>
      <c r="L1088">
        <v>104</v>
      </c>
      <c r="M1088">
        <v>19</v>
      </c>
      <c r="N1088">
        <v>2010</v>
      </c>
      <c r="O1088">
        <v>0.83</v>
      </c>
      <c r="P1088">
        <v>1661</v>
      </c>
      <c r="Q1088">
        <v>210</v>
      </c>
      <c r="R1088">
        <v>127</v>
      </c>
      <c r="S1088">
        <v>53</v>
      </c>
      <c r="T1088">
        <v>220</v>
      </c>
      <c r="U1088">
        <v>5</v>
      </c>
      <c r="V1088">
        <v>81</v>
      </c>
      <c r="W1088">
        <v>9.6000000000000002E-2</v>
      </c>
      <c r="X1088">
        <v>119</v>
      </c>
      <c r="Y1088">
        <v>106</v>
      </c>
      <c r="Z1088">
        <v>102</v>
      </c>
      <c r="AA1088">
        <v>9</v>
      </c>
      <c r="AB1088">
        <v>11.2</v>
      </c>
      <c r="AC1088" t="s">
        <v>349</v>
      </c>
      <c r="AD1088" t="s">
        <v>231</v>
      </c>
      <c r="AE1088" t="s">
        <v>188</v>
      </c>
      <c r="AG1088" t="s">
        <v>6344</v>
      </c>
      <c r="AH1088" t="s">
        <v>1277</v>
      </c>
      <c r="AI1088" s="245">
        <v>328</v>
      </c>
      <c r="AJ1088" t="s">
        <v>6345</v>
      </c>
      <c r="AK1088" t="s">
        <v>5742</v>
      </c>
      <c r="AL1088" t="s">
        <v>1294</v>
      </c>
      <c r="AM1088" s="245">
        <v>479.93</v>
      </c>
      <c r="AN1088" t="s">
        <v>6346</v>
      </c>
      <c r="AO1088" t="s">
        <v>5742</v>
      </c>
      <c r="AP1088" t="s">
        <v>1833</v>
      </c>
      <c r="AQ1088" s="245">
        <v>479.99</v>
      </c>
      <c r="AR1088" t="s">
        <v>6347</v>
      </c>
      <c r="AS1088" s="226" t="str">
        <f t="shared" si="32"/>
        <v>Brahma 82</v>
      </c>
      <c r="AT1088" s="203" t="str">
        <f t="shared" si="33"/>
        <v xml:space="preserve"> BlizzardBrahma 82180 Unisex</v>
      </c>
    </row>
    <row r="1089" spans="1:46" ht="66">
      <c r="A1089" t="s">
        <v>155</v>
      </c>
      <c r="B1089" t="s">
        <v>317</v>
      </c>
      <c r="C1089" t="s">
        <v>559</v>
      </c>
      <c r="D1089">
        <v>188</v>
      </c>
      <c r="E1089" t="s">
        <v>158</v>
      </c>
      <c r="F1089">
        <v>188</v>
      </c>
      <c r="G1089">
        <v>186.4</v>
      </c>
      <c r="H1089">
        <v>108</v>
      </c>
      <c r="I1089">
        <v>156</v>
      </c>
      <c r="J1089">
        <v>141</v>
      </c>
      <c r="K1089">
        <v>113</v>
      </c>
      <c r="L1089">
        <v>131</v>
      </c>
      <c r="M1089">
        <v>23</v>
      </c>
      <c r="N1089">
        <v>2186</v>
      </c>
      <c r="O1089">
        <v>1.04</v>
      </c>
      <c r="P1089">
        <v>2277</v>
      </c>
      <c r="Q1089">
        <v>268</v>
      </c>
      <c r="R1089">
        <v>129</v>
      </c>
      <c r="S1089">
        <v>61</v>
      </c>
      <c r="T1089">
        <v>440</v>
      </c>
      <c r="U1089">
        <v>31</v>
      </c>
      <c r="V1089">
        <v>340</v>
      </c>
      <c r="W1089">
        <v>0.505</v>
      </c>
      <c r="X1089">
        <v>159</v>
      </c>
      <c r="Y1089">
        <v>147</v>
      </c>
      <c r="Z1089">
        <v>281</v>
      </c>
      <c r="AA1089">
        <v>4</v>
      </c>
      <c r="AB1089">
        <v>8.1</v>
      </c>
      <c r="AC1089" t="s">
        <v>169</v>
      </c>
      <c r="AG1089" t="s">
        <v>2991</v>
      </c>
      <c r="AH1089" t="s">
        <v>1271</v>
      </c>
      <c r="AI1089" s="245">
        <v>699.93</v>
      </c>
      <c r="AJ1089" t="s">
        <v>6348</v>
      </c>
      <c r="AK1089" t="s">
        <v>6349</v>
      </c>
      <c r="AL1089" t="s">
        <v>1224</v>
      </c>
      <c r="AM1089" s="245">
        <v>799.95</v>
      </c>
      <c r="AN1089" t="s">
        <v>6350</v>
      </c>
      <c r="AO1089" t="s">
        <v>6351</v>
      </c>
      <c r="AP1089" t="s">
        <v>1240</v>
      </c>
      <c r="AQ1089" s="245">
        <v>799.95</v>
      </c>
      <c r="AR1089" t="s">
        <v>6352</v>
      </c>
      <c r="AS1089" s="226" t="str">
        <f t="shared" si="32"/>
        <v>Rustler 11</v>
      </c>
      <c r="AT1089" s="203" t="str">
        <f t="shared" si="33"/>
        <v xml:space="preserve"> BlizzardRustler 11188 Unisex</v>
      </c>
    </row>
    <row r="1090" spans="1:46" ht="145.19999999999999">
      <c r="A1090" t="s">
        <v>155</v>
      </c>
      <c r="B1090" t="s">
        <v>202</v>
      </c>
      <c r="C1090" t="s">
        <v>798</v>
      </c>
      <c r="D1090">
        <v>174</v>
      </c>
      <c r="E1090" t="s">
        <v>158</v>
      </c>
      <c r="F1090">
        <v>174</v>
      </c>
      <c r="G1090">
        <v>173.1</v>
      </c>
      <c r="H1090">
        <v>153</v>
      </c>
      <c r="I1090">
        <v>159</v>
      </c>
      <c r="J1090">
        <v>121</v>
      </c>
      <c r="K1090">
        <v>72</v>
      </c>
      <c r="L1090">
        <v>105</v>
      </c>
      <c r="M1090">
        <v>15.1</v>
      </c>
      <c r="N1090">
        <v>2102</v>
      </c>
      <c r="O1090">
        <v>0.72</v>
      </c>
      <c r="P1090">
        <v>1507</v>
      </c>
      <c r="Q1090">
        <v>224</v>
      </c>
      <c r="R1090">
        <v>112</v>
      </c>
      <c r="S1090">
        <v>39</v>
      </c>
      <c r="T1090">
        <v>144</v>
      </c>
      <c r="U1090">
        <v>7</v>
      </c>
      <c r="V1090">
        <v>58</v>
      </c>
      <c r="W1090">
        <v>0.17699999999999999</v>
      </c>
      <c r="X1090">
        <v>82</v>
      </c>
      <c r="Y1090">
        <v>62</v>
      </c>
      <c r="Z1090">
        <v>62</v>
      </c>
      <c r="AA1090">
        <v>12</v>
      </c>
      <c r="AB1090">
        <v>11.8</v>
      </c>
      <c r="AC1090" t="s">
        <v>349</v>
      </c>
      <c r="AG1090" t="s">
        <v>6353</v>
      </c>
      <c r="AH1090" t="s">
        <v>1181</v>
      </c>
      <c r="AI1090" s="245">
        <v>899.95</v>
      </c>
      <c r="AJ1090" t="s">
        <v>6354</v>
      </c>
      <c r="AK1090" t="s">
        <v>6355</v>
      </c>
      <c r="AL1090" t="s">
        <v>1271</v>
      </c>
      <c r="AM1090" s="245">
        <v>439.99</v>
      </c>
      <c r="AN1090" t="s">
        <v>6356</v>
      </c>
      <c r="AO1090" t="s">
        <v>6357</v>
      </c>
      <c r="AP1090" t="s">
        <v>1416</v>
      </c>
      <c r="AQ1090" s="245">
        <v>697</v>
      </c>
      <c r="AR1090" t="s">
        <v>6358</v>
      </c>
      <c r="AS1090" s="226" t="str">
        <f t="shared" ref="AS1090:AS1153" si="34">IF(LEFT(C1090,1)=" ",RIGHT(C1090,LEN(C1090)-1),C1090)</f>
        <v>Speed 763</v>
      </c>
      <c r="AT1090" s="203" t="str">
        <f t="shared" ref="AT1090:AT1153" si="35">_xlfn.CONCAT(B1090,AS1090,D1090,E1090)</f>
        <v xml:space="preserve"> DynastarSpeed 763174 Unisex</v>
      </c>
    </row>
    <row r="1091" spans="1:46" ht="66">
      <c r="A1091" t="s">
        <v>155</v>
      </c>
      <c r="B1091" t="s">
        <v>245</v>
      </c>
      <c r="C1091" t="s">
        <v>832</v>
      </c>
      <c r="D1091">
        <v>151</v>
      </c>
      <c r="E1091" t="s">
        <v>385</v>
      </c>
      <c r="F1091">
        <v>151</v>
      </c>
      <c r="G1091">
        <v>149.19999999999999</v>
      </c>
      <c r="H1091">
        <v>121</v>
      </c>
      <c r="I1091">
        <v>130</v>
      </c>
      <c r="J1091">
        <v>117</v>
      </c>
      <c r="K1091">
        <v>81</v>
      </c>
      <c r="L1091">
        <v>106</v>
      </c>
      <c r="M1091">
        <v>14.1</v>
      </c>
      <c r="N1091">
        <v>1365</v>
      </c>
      <c r="O1091">
        <v>1</v>
      </c>
      <c r="P1091">
        <v>1370</v>
      </c>
      <c r="Q1091">
        <v>114</v>
      </c>
      <c r="R1091">
        <v>43</v>
      </c>
      <c r="S1091">
        <v>47</v>
      </c>
      <c r="T1091">
        <v>151</v>
      </c>
      <c r="U1091">
        <v>33</v>
      </c>
      <c r="V1091">
        <v>127</v>
      </c>
      <c r="W1091">
        <v>0.71</v>
      </c>
      <c r="X1091">
        <v>100</v>
      </c>
      <c r="Y1091">
        <v>91</v>
      </c>
      <c r="Z1091">
        <v>51</v>
      </c>
      <c r="AA1091">
        <v>12</v>
      </c>
      <c r="AB1091">
        <v>-0.9</v>
      </c>
      <c r="AC1091" t="s">
        <v>188</v>
      </c>
      <c r="AG1091" t="s">
        <v>6359</v>
      </c>
      <c r="AH1091" t="s">
        <v>1226</v>
      </c>
      <c r="AI1091" s="245">
        <v>249.99</v>
      </c>
      <c r="AJ1091" t="s">
        <v>6360</v>
      </c>
      <c r="AK1091" t="s">
        <v>6359</v>
      </c>
      <c r="AL1091" t="s">
        <v>2111</v>
      </c>
      <c r="AM1091" s="245">
        <v>249.99</v>
      </c>
      <c r="AN1091" t="s">
        <v>6361</v>
      </c>
      <c r="AS1091" s="226" t="str">
        <f t="shared" si="34"/>
        <v>Nightstick Team</v>
      </c>
      <c r="AT1091" s="203" t="str">
        <f t="shared" si="35"/>
        <v xml:space="preserve"> FischerNightstick Team151 Junior</v>
      </c>
    </row>
    <row r="1092" spans="1:46" ht="158.4">
      <c r="A1092" t="s">
        <v>155</v>
      </c>
      <c r="B1092" t="s">
        <v>202</v>
      </c>
      <c r="C1092" t="s">
        <v>729</v>
      </c>
      <c r="D1092">
        <v>155</v>
      </c>
      <c r="E1092" t="s">
        <v>158</v>
      </c>
      <c r="F1092">
        <v>155</v>
      </c>
      <c r="G1092">
        <v>155.30000000000001</v>
      </c>
      <c r="H1092">
        <v>135</v>
      </c>
      <c r="I1092">
        <v>141</v>
      </c>
      <c r="J1092">
        <v>123</v>
      </c>
      <c r="K1092">
        <v>74</v>
      </c>
      <c r="L1092">
        <v>109</v>
      </c>
      <c r="M1092">
        <v>11.8</v>
      </c>
      <c r="N1092">
        <v>1474</v>
      </c>
      <c r="O1092">
        <v>0.94</v>
      </c>
      <c r="P1092">
        <v>1387</v>
      </c>
      <c r="Q1092">
        <v>147</v>
      </c>
      <c r="R1092">
        <v>50</v>
      </c>
      <c r="S1092">
        <v>40</v>
      </c>
      <c r="T1092">
        <v>147</v>
      </c>
      <c r="U1092">
        <v>5</v>
      </c>
      <c r="V1092">
        <v>54</v>
      </c>
      <c r="W1092">
        <v>0.129</v>
      </c>
      <c r="X1092">
        <v>84</v>
      </c>
      <c r="Y1092">
        <v>58</v>
      </c>
      <c r="Z1092">
        <v>63</v>
      </c>
      <c r="AA1092">
        <v>7</v>
      </c>
      <c r="AB1092">
        <v>9.9</v>
      </c>
      <c r="AC1092" t="s">
        <v>349</v>
      </c>
      <c r="AG1092" t="s">
        <v>6362</v>
      </c>
      <c r="AH1092" t="s">
        <v>3574</v>
      </c>
      <c r="AI1092" s="245">
        <v>199.99</v>
      </c>
      <c r="AJ1092" t="s">
        <v>6363</v>
      </c>
      <c r="AS1092" s="226" t="str">
        <f t="shared" si="34"/>
        <v>Speed 563</v>
      </c>
      <c r="AT1092" s="203" t="str">
        <f t="shared" si="35"/>
        <v xml:space="preserve"> DynastarSpeed 563155 Unisex</v>
      </c>
    </row>
    <row r="1093" spans="1:46" ht="92.4">
      <c r="A1093" t="s">
        <v>155</v>
      </c>
      <c r="B1093" t="s">
        <v>1395</v>
      </c>
      <c r="C1093" t="s">
        <v>854</v>
      </c>
      <c r="D1093">
        <v>163</v>
      </c>
      <c r="E1093" t="s">
        <v>163</v>
      </c>
      <c r="F1093">
        <v>163</v>
      </c>
      <c r="G1093">
        <v>162.19999999999999</v>
      </c>
      <c r="H1093">
        <v>129</v>
      </c>
      <c r="I1093">
        <v>140</v>
      </c>
      <c r="J1093">
        <v>137</v>
      </c>
      <c r="K1093">
        <v>95</v>
      </c>
      <c r="L1093">
        <v>118</v>
      </c>
      <c r="M1093">
        <v>14.7</v>
      </c>
      <c r="N1093">
        <v>1205</v>
      </c>
      <c r="O1093">
        <v>1.45</v>
      </c>
      <c r="P1093">
        <v>1750</v>
      </c>
      <c r="Q1093">
        <v>142</v>
      </c>
      <c r="R1093">
        <v>67</v>
      </c>
      <c r="S1093">
        <v>37</v>
      </c>
      <c r="T1093">
        <v>271</v>
      </c>
      <c r="U1093">
        <v>4</v>
      </c>
      <c r="V1093">
        <v>64</v>
      </c>
      <c r="W1093">
        <v>0.11699999999999899</v>
      </c>
      <c r="X1093">
        <v>128</v>
      </c>
      <c r="Y1093">
        <v>92</v>
      </c>
      <c r="Z1093">
        <v>144</v>
      </c>
      <c r="AA1093">
        <v>5</v>
      </c>
      <c r="AB1093">
        <v>10.6</v>
      </c>
      <c r="AC1093" t="s">
        <v>185</v>
      </c>
      <c r="AD1093" t="s">
        <v>198</v>
      </c>
      <c r="AG1093" t="s">
        <v>6364</v>
      </c>
      <c r="AH1093" t="s">
        <v>1240</v>
      </c>
      <c r="AI1093" s="245">
        <v>699</v>
      </c>
      <c r="AJ1093" t="s">
        <v>6365</v>
      </c>
      <c r="AK1093" t="s">
        <v>6366</v>
      </c>
      <c r="AL1093" t="s">
        <v>1191</v>
      </c>
      <c r="AM1093" s="245">
        <v>489.95</v>
      </c>
      <c r="AN1093" t="s">
        <v>6367</v>
      </c>
      <c r="AO1093" t="s">
        <v>6368</v>
      </c>
      <c r="AP1093" t="s">
        <v>2319</v>
      </c>
      <c r="AQ1093" s="245">
        <v>495</v>
      </c>
      <c r="AR1093" t="s">
        <v>6369</v>
      </c>
      <c r="AS1093" s="226" t="str">
        <f t="shared" si="34"/>
        <v>Rise Beyond 96 W</v>
      </c>
      <c r="AT1093" s="203" t="str">
        <f t="shared" si="35"/>
        <v xml:space="preserve"> Vï¿½lklRise Beyond 96 W163 Women's</v>
      </c>
    </row>
    <row r="1094" spans="1:46" ht="171.6">
      <c r="A1094" t="s">
        <v>155</v>
      </c>
      <c r="B1094" t="s">
        <v>174</v>
      </c>
      <c r="C1094" t="s">
        <v>438</v>
      </c>
      <c r="D1094">
        <v>188</v>
      </c>
      <c r="E1094" t="s">
        <v>158</v>
      </c>
      <c r="F1094">
        <v>188</v>
      </c>
      <c r="G1094">
        <v>187.7</v>
      </c>
      <c r="H1094">
        <v>113</v>
      </c>
      <c r="I1094">
        <v>157</v>
      </c>
      <c r="J1094">
        <v>139</v>
      </c>
      <c r="K1094">
        <v>104</v>
      </c>
      <c r="L1094">
        <v>125</v>
      </c>
      <c r="M1094">
        <v>21.5</v>
      </c>
      <c r="N1094">
        <v>2224</v>
      </c>
      <c r="O1094">
        <v>0.97</v>
      </c>
      <c r="P1094">
        <v>2167</v>
      </c>
      <c r="Q1094">
        <v>279</v>
      </c>
      <c r="R1094">
        <v>125</v>
      </c>
      <c r="S1094">
        <v>61</v>
      </c>
      <c r="T1094">
        <v>432</v>
      </c>
      <c r="U1094">
        <v>23</v>
      </c>
      <c r="V1094">
        <v>315</v>
      </c>
      <c r="W1094">
        <v>0.377</v>
      </c>
      <c r="X1094">
        <v>183</v>
      </c>
      <c r="Y1094">
        <v>125</v>
      </c>
      <c r="Z1094">
        <v>249</v>
      </c>
      <c r="AA1094">
        <v>6</v>
      </c>
      <c r="AB1094">
        <v>7.6</v>
      </c>
      <c r="AC1094" t="s">
        <v>188</v>
      </c>
      <c r="AD1094" t="s">
        <v>169</v>
      </c>
      <c r="AE1094" t="s">
        <v>178</v>
      </c>
      <c r="AG1094" t="s">
        <v>6370</v>
      </c>
      <c r="AH1094" t="s">
        <v>1271</v>
      </c>
      <c r="AI1094" s="245">
        <v>479.93</v>
      </c>
      <c r="AJ1094" t="s">
        <v>6371</v>
      </c>
      <c r="AK1094" t="s">
        <v>6372</v>
      </c>
      <c r="AL1094" t="s">
        <v>1181</v>
      </c>
      <c r="AM1094" s="245">
        <v>599</v>
      </c>
      <c r="AN1094" t="s">
        <v>6373</v>
      </c>
      <c r="AO1094" t="s">
        <v>6374</v>
      </c>
      <c r="AP1094" t="s">
        <v>1240</v>
      </c>
      <c r="AQ1094" s="245">
        <v>629.95000000000005</v>
      </c>
      <c r="AR1094" t="s">
        <v>6375</v>
      </c>
      <c r="AS1094" s="226" t="str">
        <f t="shared" si="34"/>
        <v>QST 106</v>
      </c>
      <c r="AT1094" s="203" t="str">
        <f t="shared" si="35"/>
        <v xml:space="preserve"> SalomonQST 106188 Unisex</v>
      </c>
    </row>
    <row r="1095" spans="1:46" ht="132">
      <c r="A1095" t="s">
        <v>155</v>
      </c>
      <c r="B1095" t="s">
        <v>1395</v>
      </c>
      <c r="C1095" t="s">
        <v>807</v>
      </c>
      <c r="D1095">
        <v>154</v>
      </c>
      <c r="E1095" t="s">
        <v>163</v>
      </c>
      <c r="F1095">
        <v>154</v>
      </c>
      <c r="G1095">
        <v>156.4</v>
      </c>
      <c r="H1095">
        <v>129</v>
      </c>
      <c r="I1095">
        <v>131</v>
      </c>
      <c r="J1095">
        <v>120</v>
      </c>
      <c r="K1095">
        <v>79</v>
      </c>
      <c r="L1095">
        <v>102</v>
      </c>
      <c r="M1095">
        <v>13.2</v>
      </c>
      <c r="N1095">
        <v>1262</v>
      </c>
      <c r="O1095">
        <v>1.1399999999999999</v>
      </c>
      <c r="P1095">
        <v>1445</v>
      </c>
      <c r="Q1095">
        <v>149</v>
      </c>
      <c r="R1095">
        <v>62</v>
      </c>
      <c r="S1095">
        <v>41</v>
      </c>
      <c r="T1095">
        <v>176</v>
      </c>
      <c r="U1095">
        <v>13</v>
      </c>
      <c r="V1095">
        <v>98</v>
      </c>
      <c r="W1095">
        <v>0.311</v>
      </c>
      <c r="X1095">
        <v>142</v>
      </c>
      <c r="Y1095">
        <v>108</v>
      </c>
      <c r="Z1095">
        <v>34</v>
      </c>
      <c r="AA1095">
        <v>4</v>
      </c>
      <c r="AB1095">
        <v>11.4</v>
      </c>
      <c r="AC1095" t="s">
        <v>231</v>
      </c>
      <c r="AD1095" t="s">
        <v>185</v>
      </c>
      <c r="AG1095" t="s">
        <v>6376</v>
      </c>
      <c r="AH1095" t="s">
        <v>1400</v>
      </c>
      <c r="AI1095" s="245">
        <v>379.95</v>
      </c>
      <c r="AJ1095" t="s">
        <v>6377</v>
      </c>
      <c r="AK1095" t="s">
        <v>6376</v>
      </c>
      <c r="AL1095" t="s">
        <v>2516</v>
      </c>
      <c r="AM1095" s="245">
        <v>549.99</v>
      </c>
      <c r="AN1095" t="s">
        <v>6378</v>
      </c>
      <c r="AO1095" t="s">
        <v>6379</v>
      </c>
      <c r="AP1095" t="s">
        <v>1181</v>
      </c>
      <c r="AQ1095" s="245">
        <v>589.99</v>
      </c>
      <c r="AR1095" t="s">
        <v>6380</v>
      </c>
      <c r="AS1095" s="226" t="str">
        <f t="shared" si="34"/>
        <v>Yumi 80</v>
      </c>
      <c r="AT1095" s="203" t="str">
        <f t="shared" si="35"/>
        <v xml:space="preserve"> Vï¿½lklYumi 80154 Women's</v>
      </c>
    </row>
    <row r="1096" spans="1:46" ht="92.4">
      <c r="A1096" t="s">
        <v>155</v>
      </c>
      <c r="B1096" t="s">
        <v>1395</v>
      </c>
      <c r="C1096" t="s">
        <v>461</v>
      </c>
      <c r="D1096">
        <v>163</v>
      </c>
      <c r="E1096" t="s">
        <v>158</v>
      </c>
      <c r="F1096">
        <v>163</v>
      </c>
      <c r="G1096">
        <v>162</v>
      </c>
      <c r="H1096">
        <v>126</v>
      </c>
      <c r="I1096">
        <v>140</v>
      </c>
      <c r="J1096">
        <v>137</v>
      </c>
      <c r="K1096">
        <v>95</v>
      </c>
      <c r="L1096">
        <v>118</v>
      </c>
      <c r="M1096">
        <v>14.4</v>
      </c>
      <c r="N1096">
        <v>1158</v>
      </c>
      <c r="O1096">
        <v>1.51</v>
      </c>
      <c r="P1096">
        <v>1751</v>
      </c>
      <c r="Q1096">
        <v>143</v>
      </c>
      <c r="R1096">
        <v>67</v>
      </c>
      <c r="S1096">
        <v>38</v>
      </c>
      <c r="T1096">
        <v>292</v>
      </c>
      <c r="U1096">
        <v>5</v>
      </c>
      <c r="V1096">
        <v>67</v>
      </c>
      <c r="W1096">
        <v>0.129</v>
      </c>
      <c r="X1096">
        <v>129</v>
      </c>
      <c r="Y1096">
        <v>93</v>
      </c>
      <c r="Z1096">
        <v>162</v>
      </c>
      <c r="AA1096">
        <v>3</v>
      </c>
      <c r="AB1096">
        <v>11.6</v>
      </c>
      <c r="AC1096" t="s">
        <v>185</v>
      </c>
      <c r="AD1096" t="s">
        <v>198</v>
      </c>
      <c r="AG1096" t="s">
        <v>6366</v>
      </c>
      <c r="AH1096" t="s">
        <v>1191</v>
      </c>
      <c r="AI1096" s="245">
        <v>489.95</v>
      </c>
      <c r="AJ1096" t="s">
        <v>6381</v>
      </c>
      <c r="AK1096" t="s">
        <v>5582</v>
      </c>
      <c r="AL1096" t="s">
        <v>1349</v>
      </c>
      <c r="AM1096" s="245">
        <v>640.87</v>
      </c>
      <c r="AN1096" t="s">
        <v>6382</v>
      </c>
      <c r="AO1096" t="s">
        <v>6364</v>
      </c>
      <c r="AP1096" t="s">
        <v>1240</v>
      </c>
      <c r="AQ1096" s="245">
        <v>699</v>
      </c>
      <c r="AR1096" t="s">
        <v>6383</v>
      </c>
      <c r="AS1096" s="226" t="str">
        <f t="shared" si="34"/>
        <v>Rise Beyond 96</v>
      </c>
      <c r="AT1096" s="203" t="str">
        <f t="shared" si="35"/>
        <v xml:space="preserve"> Vï¿½lklRise Beyond 96163 Unisex</v>
      </c>
    </row>
    <row r="1097" spans="1:46" ht="105.6">
      <c r="A1097" t="s">
        <v>155</v>
      </c>
      <c r="B1097" t="s">
        <v>1395</v>
      </c>
      <c r="C1097" t="s">
        <v>565</v>
      </c>
      <c r="D1097">
        <v>191</v>
      </c>
      <c r="E1097" t="s">
        <v>158</v>
      </c>
      <c r="F1097">
        <v>191</v>
      </c>
      <c r="G1097">
        <v>190.4</v>
      </c>
      <c r="H1097">
        <v>140</v>
      </c>
      <c r="I1097">
        <v>168</v>
      </c>
      <c r="J1097">
        <v>134</v>
      </c>
      <c r="K1097">
        <v>95</v>
      </c>
      <c r="L1097">
        <v>118</v>
      </c>
      <c r="M1097">
        <v>22</v>
      </c>
      <c r="N1097">
        <v>2238</v>
      </c>
      <c r="O1097">
        <v>0.91</v>
      </c>
      <c r="P1097">
        <v>2046</v>
      </c>
      <c r="Q1097">
        <v>230</v>
      </c>
      <c r="R1097">
        <v>148</v>
      </c>
      <c r="S1097">
        <v>45</v>
      </c>
      <c r="T1097">
        <v>283</v>
      </c>
      <c r="U1097">
        <v>17</v>
      </c>
      <c r="V1097">
        <v>225</v>
      </c>
      <c r="W1097">
        <v>0.38</v>
      </c>
      <c r="X1097">
        <v>126</v>
      </c>
      <c r="Y1097">
        <v>102</v>
      </c>
      <c r="Z1097">
        <v>157</v>
      </c>
      <c r="AA1097">
        <v>5</v>
      </c>
      <c r="AB1097">
        <v>11.1</v>
      </c>
      <c r="AC1097" t="s">
        <v>188</v>
      </c>
      <c r="AG1097" t="s">
        <v>6384</v>
      </c>
      <c r="AH1097" t="s">
        <v>1232</v>
      </c>
      <c r="AI1097" s="245">
        <v>559.95000000000005</v>
      </c>
      <c r="AJ1097" t="s">
        <v>6385</v>
      </c>
      <c r="AK1097" t="s">
        <v>3045</v>
      </c>
      <c r="AL1097" t="s">
        <v>1242</v>
      </c>
      <c r="AM1097" s="245">
        <v>559.99</v>
      </c>
      <c r="AN1097" t="s">
        <v>6386</v>
      </c>
      <c r="AO1097" t="s">
        <v>3045</v>
      </c>
      <c r="AP1097" t="s">
        <v>1421</v>
      </c>
      <c r="AQ1097" s="245">
        <v>559.99</v>
      </c>
      <c r="AR1097" t="s">
        <v>6387</v>
      </c>
      <c r="AS1097" s="226" t="str">
        <f t="shared" si="34"/>
        <v>M6 Mantra</v>
      </c>
      <c r="AT1097" s="203" t="str">
        <f t="shared" si="35"/>
        <v xml:space="preserve"> Vï¿½lklM6 Mantra191 Unisex</v>
      </c>
    </row>
    <row r="1098" spans="1:46" ht="132">
      <c r="A1098" t="s">
        <v>155</v>
      </c>
      <c r="B1098" t="s">
        <v>174</v>
      </c>
      <c r="C1098" t="s">
        <v>860</v>
      </c>
      <c r="D1098">
        <v>163</v>
      </c>
      <c r="E1098" t="s">
        <v>158</v>
      </c>
      <c r="F1098">
        <v>163</v>
      </c>
      <c r="G1098">
        <v>162</v>
      </c>
      <c r="H1098">
        <v>140</v>
      </c>
      <c r="I1098">
        <v>149</v>
      </c>
      <c r="J1098">
        <v>127</v>
      </c>
      <c r="K1098">
        <v>80</v>
      </c>
      <c r="L1098">
        <v>111</v>
      </c>
      <c r="M1098">
        <v>14</v>
      </c>
      <c r="N1098">
        <v>2091</v>
      </c>
      <c r="O1098">
        <v>0.74</v>
      </c>
      <c r="P1098">
        <v>1549</v>
      </c>
      <c r="Q1098">
        <v>186</v>
      </c>
      <c r="R1098">
        <v>125</v>
      </c>
      <c r="S1098">
        <v>43</v>
      </c>
      <c r="T1098">
        <v>169</v>
      </c>
      <c r="U1098">
        <v>4</v>
      </c>
      <c r="V1098">
        <v>53</v>
      </c>
      <c r="W1098">
        <v>0.10299999999999999</v>
      </c>
      <c r="X1098">
        <v>87</v>
      </c>
      <c r="Y1098">
        <v>40</v>
      </c>
      <c r="Z1098">
        <v>82</v>
      </c>
      <c r="AA1098">
        <v>11</v>
      </c>
      <c r="AB1098">
        <v>11.7</v>
      </c>
      <c r="AC1098" t="s">
        <v>349</v>
      </c>
      <c r="AD1098" t="s">
        <v>188</v>
      </c>
      <c r="AG1098" t="s">
        <v>6388</v>
      </c>
      <c r="AH1098" t="s">
        <v>1179</v>
      </c>
      <c r="AI1098" s="245">
        <v>479.95</v>
      </c>
      <c r="AJ1098" t="s">
        <v>6389</v>
      </c>
      <c r="AK1098" t="s">
        <v>6390</v>
      </c>
      <c r="AL1098" t="s">
        <v>6391</v>
      </c>
      <c r="AM1098" s="245">
        <v>599.95000000000005</v>
      </c>
      <c r="AN1098" t="s">
        <v>6392</v>
      </c>
      <c r="AO1098" t="s">
        <v>6393</v>
      </c>
      <c r="AP1098" t="s">
        <v>1226</v>
      </c>
      <c r="AQ1098" s="245">
        <v>599.99</v>
      </c>
      <c r="AR1098" t="s">
        <v>6394</v>
      </c>
      <c r="AS1098" s="226" t="str">
        <f t="shared" si="34"/>
        <v>S/Force 80Ti</v>
      </c>
      <c r="AT1098" s="203" t="str">
        <f t="shared" si="35"/>
        <v xml:space="preserve"> SalomonS/Force 80Ti163 Unisex</v>
      </c>
    </row>
    <row r="1099" spans="1:46" ht="66">
      <c r="A1099" t="s">
        <v>155</v>
      </c>
      <c r="B1099" t="s">
        <v>1395</v>
      </c>
      <c r="C1099" t="s">
        <v>861</v>
      </c>
      <c r="D1099">
        <v>170</v>
      </c>
      <c r="E1099" t="s">
        <v>158</v>
      </c>
      <c r="F1099">
        <v>170</v>
      </c>
      <c r="G1099">
        <v>170.7</v>
      </c>
      <c r="H1099">
        <v>114</v>
      </c>
      <c r="I1099">
        <v>147</v>
      </c>
      <c r="J1099">
        <v>145</v>
      </c>
      <c r="K1099">
        <v>107</v>
      </c>
      <c r="L1099">
        <v>128</v>
      </c>
      <c r="M1099">
        <v>17.5</v>
      </c>
      <c r="N1099">
        <v>2106</v>
      </c>
      <c r="O1099">
        <v>0.96</v>
      </c>
      <c r="P1099">
        <v>2025</v>
      </c>
      <c r="Q1099">
        <v>232</v>
      </c>
      <c r="R1099">
        <v>158</v>
      </c>
      <c r="S1099">
        <v>52</v>
      </c>
      <c r="T1099">
        <v>337</v>
      </c>
      <c r="U1099">
        <v>17</v>
      </c>
      <c r="V1099">
        <v>228</v>
      </c>
      <c r="W1099">
        <v>0.32700000000000001</v>
      </c>
      <c r="X1099">
        <v>136</v>
      </c>
      <c r="Y1099">
        <v>100</v>
      </c>
      <c r="Z1099">
        <v>201</v>
      </c>
      <c r="AA1099">
        <v>3</v>
      </c>
      <c r="AB1099">
        <v>11.7</v>
      </c>
      <c r="AC1099" t="s">
        <v>178</v>
      </c>
      <c r="AG1099" t="s">
        <v>6395</v>
      </c>
      <c r="AH1099" t="s">
        <v>1194</v>
      </c>
      <c r="AI1099" s="245">
        <v>548.46</v>
      </c>
      <c r="AJ1099" t="s">
        <v>6396</v>
      </c>
      <c r="AK1099" t="s">
        <v>6397</v>
      </c>
      <c r="AL1099" t="s">
        <v>1240</v>
      </c>
      <c r="AM1099" s="245">
        <v>599.95000000000005</v>
      </c>
      <c r="AN1099" t="s">
        <v>6398</v>
      </c>
      <c r="AO1099" t="s">
        <v>6395</v>
      </c>
      <c r="AP1099" t="s">
        <v>1248</v>
      </c>
      <c r="AQ1099" s="245">
        <v>639.99</v>
      </c>
      <c r="AR1099" t="s">
        <v>6399</v>
      </c>
      <c r="AS1099" s="226" t="str">
        <f t="shared" si="34"/>
        <v>Katana 108</v>
      </c>
      <c r="AT1099" s="203" t="str">
        <f t="shared" si="35"/>
        <v xml:space="preserve"> Vï¿½lklKatana 108170 Unisex</v>
      </c>
    </row>
    <row r="1100" spans="1:46" ht="132">
      <c r="A1100" t="s">
        <v>155</v>
      </c>
      <c r="B1100" t="s">
        <v>174</v>
      </c>
      <c r="C1100" t="s">
        <v>863</v>
      </c>
      <c r="D1100">
        <v>185</v>
      </c>
      <c r="E1100" t="s">
        <v>158</v>
      </c>
      <c r="F1100">
        <v>185</v>
      </c>
      <c r="G1100">
        <v>184.3</v>
      </c>
      <c r="H1100">
        <v>146</v>
      </c>
      <c r="I1100">
        <v>152</v>
      </c>
      <c r="J1100">
        <v>130</v>
      </c>
      <c r="K1100">
        <v>84</v>
      </c>
      <c r="L1100">
        <v>114</v>
      </c>
      <c r="M1100">
        <v>14</v>
      </c>
      <c r="N1100">
        <v>2285</v>
      </c>
      <c r="O1100">
        <v>0.81</v>
      </c>
      <c r="P1100">
        <v>1843</v>
      </c>
      <c r="Q1100">
        <v>279</v>
      </c>
      <c r="R1100">
        <v>127</v>
      </c>
      <c r="S1100">
        <v>35</v>
      </c>
      <c r="T1100">
        <v>257</v>
      </c>
      <c r="U1100">
        <v>6</v>
      </c>
      <c r="V1100">
        <v>128</v>
      </c>
      <c r="W1100">
        <v>0.161</v>
      </c>
      <c r="X1100">
        <v>196</v>
      </c>
      <c r="Y1100">
        <v>127</v>
      </c>
      <c r="Z1100">
        <v>61</v>
      </c>
      <c r="AA1100">
        <v>12</v>
      </c>
      <c r="AB1100">
        <v>7.7</v>
      </c>
      <c r="AC1100" t="s">
        <v>231</v>
      </c>
      <c r="AD1100" t="s">
        <v>188</v>
      </c>
      <c r="AG1100" t="s">
        <v>6400</v>
      </c>
      <c r="AH1100" t="s">
        <v>2789</v>
      </c>
      <c r="AI1100" s="245">
        <v>279</v>
      </c>
      <c r="AJ1100" t="s">
        <v>6401</v>
      </c>
      <c r="AK1100" t="s">
        <v>6402</v>
      </c>
      <c r="AL1100" t="s">
        <v>6403</v>
      </c>
      <c r="AM1100" s="245">
        <v>369</v>
      </c>
      <c r="AN1100" t="s">
        <v>6404</v>
      </c>
      <c r="AO1100" t="s">
        <v>2124</v>
      </c>
      <c r="AP1100" t="s">
        <v>1179</v>
      </c>
      <c r="AQ1100" s="245">
        <v>383.95</v>
      </c>
      <c r="AR1100" t="s">
        <v>6405</v>
      </c>
      <c r="AS1100" s="226" t="str">
        <f t="shared" si="34"/>
        <v>QST 85</v>
      </c>
      <c r="AT1100" s="203" t="str">
        <f t="shared" si="35"/>
        <v xml:space="preserve"> SalomonQST 85185 Unisex</v>
      </c>
    </row>
    <row r="1101" spans="1:46" ht="79.2">
      <c r="A1101" t="s">
        <v>155</v>
      </c>
      <c r="B1101" t="s">
        <v>329</v>
      </c>
      <c r="C1101" t="s">
        <v>864</v>
      </c>
      <c r="D1101">
        <v>158</v>
      </c>
      <c r="E1101" t="s">
        <v>163</v>
      </c>
      <c r="F1101">
        <v>158</v>
      </c>
      <c r="G1101">
        <v>156.19999999999999</v>
      </c>
      <c r="H1101">
        <v>109</v>
      </c>
      <c r="I1101">
        <v>134</v>
      </c>
      <c r="J1101">
        <v>121</v>
      </c>
      <c r="K1101">
        <v>85</v>
      </c>
      <c r="L1101">
        <v>108</v>
      </c>
      <c r="M1101">
        <v>14.9</v>
      </c>
      <c r="N1101">
        <v>1055</v>
      </c>
      <c r="O1101">
        <v>1.41</v>
      </c>
      <c r="P1101">
        <v>1491</v>
      </c>
      <c r="Q1101">
        <v>196</v>
      </c>
      <c r="R1101">
        <v>68</v>
      </c>
      <c r="S1101">
        <v>52</v>
      </c>
      <c r="T1101">
        <v>312</v>
      </c>
      <c r="U1101">
        <v>12</v>
      </c>
      <c r="V1101">
        <v>162</v>
      </c>
      <c r="W1101">
        <v>0.22800000000000001</v>
      </c>
      <c r="X1101">
        <v>136</v>
      </c>
      <c r="Y1101">
        <v>90</v>
      </c>
      <c r="Z1101">
        <v>176</v>
      </c>
      <c r="AA1101">
        <v>4</v>
      </c>
      <c r="AB1101">
        <v>12.6</v>
      </c>
      <c r="AC1101" t="s">
        <v>185</v>
      </c>
      <c r="AD1101" t="s">
        <v>198</v>
      </c>
      <c r="AG1101" t="s">
        <v>6225</v>
      </c>
      <c r="AH1101" t="s">
        <v>1468</v>
      </c>
      <c r="AI1101" s="245">
        <v>549.95000000000005</v>
      </c>
      <c r="AJ1101" t="s">
        <v>6406</v>
      </c>
      <c r="AK1101" t="s">
        <v>6407</v>
      </c>
      <c r="AL1101" t="s">
        <v>1248</v>
      </c>
      <c r="AM1101" s="245">
        <v>489.97</v>
      </c>
      <c r="AN1101" t="s">
        <v>6408</v>
      </c>
      <c r="AO1101" t="s">
        <v>6407</v>
      </c>
      <c r="AP1101" t="s">
        <v>1191</v>
      </c>
      <c r="AQ1101" s="245">
        <v>524.95000000000005</v>
      </c>
      <c r="AR1101" t="s">
        <v>6409</v>
      </c>
      <c r="AS1101" s="226" t="str">
        <f t="shared" si="34"/>
        <v>Blacklight 88 W</v>
      </c>
      <c r="AT1101" s="203" t="str">
        <f t="shared" si="35"/>
        <v xml:space="preserve"> DynafitBlacklight 88 W158 Women's</v>
      </c>
    </row>
    <row r="1102" spans="1:46" ht="26.4">
      <c r="A1102" t="s">
        <v>155</v>
      </c>
      <c r="B1102" t="s">
        <v>227</v>
      </c>
      <c r="C1102" t="s">
        <v>681</v>
      </c>
      <c r="D1102">
        <v>164</v>
      </c>
      <c r="E1102" t="s">
        <v>158</v>
      </c>
      <c r="F1102">
        <v>164</v>
      </c>
      <c r="G1102">
        <v>162.30000000000001</v>
      </c>
      <c r="H1102">
        <v>99</v>
      </c>
      <c r="I1102">
        <v>135</v>
      </c>
      <c r="J1102">
        <v>129</v>
      </c>
      <c r="K1102">
        <v>98</v>
      </c>
      <c r="L1102">
        <v>120</v>
      </c>
      <c r="M1102">
        <v>16</v>
      </c>
      <c r="N1102">
        <v>1345</v>
      </c>
      <c r="O1102">
        <v>1.31</v>
      </c>
      <c r="P1102">
        <v>1767</v>
      </c>
      <c r="Q1102">
        <v>177</v>
      </c>
      <c r="R1102">
        <v>44</v>
      </c>
      <c r="S1102">
        <v>72</v>
      </c>
      <c r="T1102">
        <v>387</v>
      </c>
      <c r="U1102">
        <v>30</v>
      </c>
      <c r="V1102">
        <v>249</v>
      </c>
      <c r="W1102">
        <v>0.41099999999999998</v>
      </c>
      <c r="X1102">
        <v>147</v>
      </c>
      <c r="Y1102">
        <v>122</v>
      </c>
      <c r="Z1102">
        <v>240</v>
      </c>
      <c r="AA1102">
        <v>5</v>
      </c>
      <c r="AB1102">
        <v>10.5</v>
      </c>
      <c r="AC1102" t="s">
        <v>185</v>
      </c>
      <c r="AD1102" t="s">
        <v>198</v>
      </c>
      <c r="AS1102" s="226" t="str">
        <f t="shared" si="34"/>
        <v>Chinook 99</v>
      </c>
      <c r="AT1102" s="203" t="str">
        <f t="shared" si="35"/>
        <v xml:space="preserve"> RaccoonChinook 99164 Unisex</v>
      </c>
    </row>
    <row r="1103" spans="1:46" ht="145.19999999999999">
      <c r="A1103" t="s">
        <v>155</v>
      </c>
      <c r="B1103" t="s">
        <v>245</v>
      </c>
      <c r="C1103" t="s">
        <v>513</v>
      </c>
      <c r="D1103">
        <v>188</v>
      </c>
      <c r="E1103" t="s">
        <v>158</v>
      </c>
      <c r="F1103">
        <v>188</v>
      </c>
      <c r="G1103">
        <v>187.6</v>
      </c>
      <c r="H1103">
        <v>127</v>
      </c>
      <c r="I1103">
        <v>160</v>
      </c>
      <c r="J1103">
        <v>130</v>
      </c>
      <c r="K1103">
        <v>98</v>
      </c>
      <c r="L1103">
        <v>122</v>
      </c>
      <c r="M1103">
        <v>19.100000000000001</v>
      </c>
      <c r="N1103">
        <v>2115</v>
      </c>
      <c r="O1103">
        <v>0.97</v>
      </c>
      <c r="P1103">
        <v>2062</v>
      </c>
      <c r="Q1103">
        <v>235</v>
      </c>
      <c r="R1103">
        <v>152</v>
      </c>
      <c r="S1103">
        <v>50</v>
      </c>
      <c r="T1103">
        <v>351</v>
      </c>
      <c r="U1103">
        <v>22</v>
      </c>
      <c r="V1103">
        <v>254</v>
      </c>
      <c r="W1103">
        <v>0.437999999999999</v>
      </c>
      <c r="X1103">
        <v>147</v>
      </c>
      <c r="Y1103">
        <v>131</v>
      </c>
      <c r="Z1103">
        <v>204</v>
      </c>
      <c r="AA1103">
        <v>6</v>
      </c>
      <c r="AB1103">
        <v>9.3000000000000007</v>
      </c>
      <c r="AC1103" t="s">
        <v>188</v>
      </c>
      <c r="AG1103" t="s">
        <v>4067</v>
      </c>
      <c r="AH1103" t="s">
        <v>1556</v>
      </c>
      <c r="AI1103" s="245">
        <v>429</v>
      </c>
      <c r="AJ1103" t="s">
        <v>6410</v>
      </c>
      <c r="AK1103" t="s">
        <v>4069</v>
      </c>
      <c r="AL1103" t="s">
        <v>1337</v>
      </c>
      <c r="AM1103" s="245">
        <v>499</v>
      </c>
      <c r="AN1103" t="s">
        <v>6411</v>
      </c>
      <c r="AO1103" t="s">
        <v>4071</v>
      </c>
      <c r="AP1103" t="s">
        <v>1282</v>
      </c>
      <c r="AQ1103" s="245">
        <v>499.99</v>
      </c>
      <c r="AR1103" t="s">
        <v>6412</v>
      </c>
      <c r="AS1103" s="226" t="str">
        <f t="shared" si="34"/>
        <v>Ranger 99 Ti</v>
      </c>
      <c r="AT1103" s="203" t="str">
        <f t="shared" si="35"/>
        <v xml:space="preserve"> FischerRanger 99 Ti188 Unisex</v>
      </c>
    </row>
    <row r="1104" spans="1:46" ht="52.8">
      <c r="A1104" t="s">
        <v>155</v>
      </c>
      <c r="B1104" t="s">
        <v>1160</v>
      </c>
      <c r="C1104" t="s">
        <v>755</v>
      </c>
      <c r="D1104">
        <v>163</v>
      </c>
      <c r="E1104" t="s">
        <v>163</v>
      </c>
      <c r="F1104">
        <v>163</v>
      </c>
      <c r="G1104">
        <v>162.69999999999999</v>
      </c>
      <c r="H1104">
        <v>116</v>
      </c>
      <c r="I1104">
        <v>136</v>
      </c>
      <c r="J1104">
        <v>126</v>
      </c>
      <c r="K1104">
        <v>95</v>
      </c>
      <c r="L1104">
        <v>114</v>
      </c>
      <c r="M1104">
        <v>18</v>
      </c>
      <c r="N1104">
        <v>1206</v>
      </c>
      <c r="O1104">
        <v>1.41</v>
      </c>
      <c r="P1104">
        <v>1700</v>
      </c>
      <c r="Q1104">
        <v>151</v>
      </c>
      <c r="R1104">
        <v>65</v>
      </c>
      <c r="S1104">
        <v>51</v>
      </c>
      <c r="T1104">
        <v>304</v>
      </c>
      <c r="U1104">
        <v>11</v>
      </c>
      <c r="V1104">
        <v>165</v>
      </c>
      <c r="W1104">
        <v>0.22600000000000001</v>
      </c>
      <c r="X1104">
        <v>160</v>
      </c>
      <c r="Y1104">
        <v>108</v>
      </c>
      <c r="Z1104">
        <v>144</v>
      </c>
      <c r="AA1104">
        <v>5</v>
      </c>
      <c r="AB1104">
        <v>11.8</v>
      </c>
      <c r="AC1104" t="s">
        <v>185</v>
      </c>
      <c r="AD1104" t="s">
        <v>198</v>
      </c>
      <c r="AG1104" t="s">
        <v>6413</v>
      </c>
      <c r="AH1104" t="s">
        <v>1194</v>
      </c>
      <c r="AI1104" s="245">
        <v>404.68</v>
      </c>
      <c r="AJ1104" t="s">
        <v>6414</v>
      </c>
      <c r="AK1104" t="s">
        <v>6413</v>
      </c>
      <c r="AL1104" t="s">
        <v>1509</v>
      </c>
      <c r="AM1104" s="245">
        <v>435.49</v>
      </c>
      <c r="AN1104" t="s">
        <v>6415</v>
      </c>
      <c r="AO1104" t="s">
        <v>6413</v>
      </c>
      <c r="AP1104" t="s">
        <v>1224</v>
      </c>
      <c r="AQ1104" s="245">
        <v>699.95</v>
      </c>
      <c r="AR1104" t="s">
        <v>6416</v>
      </c>
      <c r="AS1104" s="226" t="str">
        <f t="shared" si="34"/>
        <v>Talkback 96</v>
      </c>
      <c r="AT1104" s="203" t="str">
        <f t="shared" si="35"/>
        <v>K2Talkback 96163 Women's</v>
      </c>
    </row>
    <row r="1105" spans="1:46" ht="52.8">
      <c r="A1105" t="s">
        <v>155</v>
      </c>
      <c r="B1105" t="s">
        <v>1395</v>
      </c>
      <c r="C1105" t="s">
        <v>814</v>
      </c>
      <c r="D1105">
        <v>177</v>
      </c>
      <c r="E1105" t="s">
        <v>158</v>
      </c>
      <c r="F1105">
        <v>177</v>
      </c>
      <c r="G1105">
        <v>178.2</v>
      </c>
      <c r="H1105">
        <v>130</v>
      </c>
      <c r="I1105">
        <v>155</v>
      </c>
      <c r="J1105">
        <v>139</v>
      </c>
      <c r="K1105">
        <v>101</v>
      </c>
      <c r="L1105">
        <v>122</v>
      </c>
      <c r="M1105">
        <v>20.100000000000001</v>
      </c>
      <c r="N1105">
        <v>2138</v>
      </c>
      <c r="O1105">
        <v>0.94</v>
      </c>
      <c r="P1105">
        <v>2008</v>
      </c>
      <c r="Q1105">
        <v>209</v>
      </c>
      <c r="R1105">
        <v>150</v>
      </c>
      <c r="S1105">
        <v>53</v>
      </c>
      <c r="T1105">
        <v>281</v>
      </c>
      <c r="U1105">
        <v>17</v>
      </c>
      <c r="V1105">
        <v>201</v>
      </c>
      <c r="W1105">
        <v>0.33</v>
      </c>
      <c r="X1105">
        <v>132</v>
      </c>
      <c r="Y1105">
        <v>102</v>
      </c>
      <c r="Z1105">
        <v>149</v>
      </c>
      <c r="AA1105">
        <v>5</v>
      </c>
      <c r="AB1105">
        <v>11.1</v>
      </c>
      <c r="AC1105" t="s">
        <v>188</v>
      </c>
      <c r="AD1105" t="s">
        <v>178</v>
      </c>
      <c r="AG1105" t="s">
        <v>5690</v>
      </c>
      <c r="AH1105" t="s">
        <v>1194</v>
      </c>
      <c r="AI1105" s="245">
        <v>460</v>
      </c>
      <c r="AJ1105" t="s">
        <v>6417</v>
      </c>
      <c r="AK1105" t="s">
        <v>6418</v>
      </c>
      <c r="AL1105" t="s">
        <v>1204</v>
      </c>
      <c r="AM1105" s="245">
        <v>480.86</v>
      </c>
      <c r="AN1105" t="s">
        <v>6419</v>
      </c>
      <c r="AO1105" t="s">
        <v>5690</v>
      </c>
      <c r="AP1105" t="s">
        <v>1349</v>
      </c>
      <c r="AQ1105" s="245">
        <v>504.17</v>
      </c>
      <c r="AR1105" t="s">
        <v>6420</v>
      </c>
      <c r="AS1105" s="226" t="str">
        <f t="shared" si="34"/>
        <v>Mantra 102</v>
      </c>
      <c r="AT1105" s="203" t="str">
        <f t="shared" si="35"/>
        <v xml:space="preserve"> Vï¿½lklMantra 102177 Unisex</v>
      </c>
    </row>
    <row r="1106" spans="1:46" ht="132">
      <c r="A1106" t="s">
        <v>155</v>
      </c>
      <c r="B1106" t="s">
        <v>1395</v>
      </c>
      <c r="C1106" t="s">
        <v>782</v>
      </c>
      <c r="D1106">
        <v>160</v>
      </c>
      <c r="E1106" t="s">
        <v>158</v>
      </c>
      <c r="F1106">
        <v>160</v>
      </c>
      <c r="G1106">
        <v>159.69999999999999</v>
      </c>
      <c r="H1106">
        <v>138</v>
      </c>
      <c r="I1106">
        <v>148</v>
      </c>
      <c r="J1106">
        <v>125</v>
      </c>
      <c r="K1106">
        <v>67</v>
      </c>
      <c r="L1106">
        <v>102</v>
      </c>
      <c r="M1106">
        <v>11.7</v>
      </c>
      <c r="N1106">
        <v>1979</v>
      </c>
      <c r="O1106">
        <v>0.68</v>
      </c>
      <c r="P1106">
        <v>1351</v>
      </c>
      <c r="Q1106">
        <v>184</v>
      </c>
      <c r="R1106">
        <v>124</v>
      </c>
      <c r="S1106">
        <v>41</v>
      </c>
      <c r="T1106">
        <v>157</v>
      </c>
      <c r="U1106">
        <v>7</v>
      </c>
      <c r="V1106">
        <v>59</v>
      </c>
      <c r="W1106">
        <v>0.17599999999999999</v>
      </c>
      <c r="X1106">
        <v>60</v>
      </c>
      <c r="Y1106">
        <v>53</v>
      </c>
      <c r="Z1106">
        <v>97</v>
      </c>
      <c r="AA1106">
        <v>5</v>
      </c>
      <c r="AB1106">
        <v>11.9</v>
      </c>
      <c r="AC1106" t="s">
        <v>349</v>
      </c>
      <c r="AG1106" t="s">
        <v>6421</v>
      </c>
      <c r="AH1106" t="s">
        <v>1337</v>
      </c>
      <c r="AI1106" s="245">
        <v>325</v>
      </c>
      <c r="AJ1106" t="s">
        <v>6422</v>
      </c>
      <c r="AK1106" t="s">
        <v>6423</v>
      </c>
      <c r="AL1106" t="s">
        <v>1191</v>
      </c>
      <c r="AM1106" s="245">
        <v>759.95</v>
      </c>
      <c r="AN1106" t="s">
        <v>6424</v>
      </c>
      <c r="AO1106" t="s">
        <v>6425</v>
      </c>
      <c r="AP1106" t="s">
        <v>2374</v>
      </c>
      <c r="AQ1106" s="245">
        <v>999.99</v>
      </c>
      <c r="AR1106" t="s">
        <v>6426</v>
      </c>
      <c r="AS1106" s="226" t="str">
        <f t="shared" si="34"/>
        <v>Racetiger SL</v>
      </c>
      <c r="AT1106" s="203" t="str">
        <f t="shared" si="35"/>
        <v xml:space="preserve"> Vï¿½lklRacetiger SL160 Unisex</v>
      </c>
    </row>
    <row r="1107" spans="1:46" ht="92.4">
      <c r="A1107" t="s">
        <v>155</v>
      </c>
      <c r="B1107" t="s">
        <v>295</v>
      </c>
      <c r="C1107" t="s">
        <v>803</v>
      </c>
      <c r="D1107">
        <v>150</v>
      </c>
      <c r="E1107" t="s">
        <v>163</v>
      </c>
      <c r="F1107">
        <v>150</v>
      </c>
      <c r="G1107">
        <v>148.69999999999999</v>
      </c>
      <c r="H1107">
        <v>100</v>
      </c>
      <c r="I1107">
        <v>120</v>
      </c>
      <c r="J1107">
        <v>119</v>
      </c>
      <c r="K1107">
        <v>84</v>
      </c>
      <c r="L1107">
        <v>107</v>
      </c>
      <c r="M1107">
        <v>11.8</v>
      </c>
      <c r="N1107">
        <v>1326</v>
      </c>
      <c r="O1107">
        <v>1.08</v>
      </c>
      <c r="P1107">
        <v>1426</v>
      </c>
      <c r="Q1107">
        <v>134</v>
      </c>
      <c r="R1107">
        <v>57</v>
      </c>
      <c r="S1107">
        <v>54</v>
      </c>
      <c r="T1107">
        <v>308</v>
      </c>
      <c r="U1107">
        <v>11</v>
      </c>
      <c r="V1107">
        <v>183</v>
      </c>
      <c r="W1107">
        <v>0.19899999999999901</v>
      </c>
      <c r="X1107">
        <v>176</v>
      </c>
      <c r="Y1107">
        <v>111</v>
      </c>
      <c r="Z1107">
        <v>132</v>
      </c>
      <c r="AA1107">
        <v>5</v>
      </c>
      <c r="AB1107">
        <v>8.4</v>
      </c>
      <c r="AC1107" t="s">
        <v>231</v>
      </c>
      <c r="AD1107" t="s">
        <v>188</v>
      </c>
      <c r="AE1107" t="s">
        <v>185</v>
      </c>
      <c r="AG1107" t="s">
        <v>6427</v>
      </c>
      <c r="AH1107" t="s">
        <v>1627</v>
      </c>
      <c r="AI1107" s="245">
        <v>469</v>
      </c>
      <c r="AJ1107" t="s">
        <v>6428</v>
      </c>
      <c r="AK1107" t="s">
        <v>6429</v>
      </c>
      <c r="AL1107" t="s">
        <v>2378</v>
      </c>
      <c r="AM1107" s="245">
        <v>499</v>
      </c>
      <c r="AN1107" t="s">
        <v>6430</v>
      </c>
      <c r="AO1107" t="s">
        <v>6429</v>
      </c>
      <c r="AP1107" t="s">
        <v>2255</v>
      </c>
      <c r="AQ1107" s="245">
        <v>499</v>
      </c>
      <c r="AR1107" t="s">
        <v>6431</v>
      </c>
      <c r="AS1107" s="226" t="str">
        <f t="shared" si="34"/>
        <v>Riveter 85</v>
      </c>
      <c r="AT1107" s="203" t="str">
        <f t="shared" si="35"/>
        <v xml:space="preserve"> IcelanticRiveter 85150 Women's</v>
      </c>
    </row>
    <row r="1108" spans="1:46" ht="26.4">
      <c r="A1108" t="s">
        <v>155</v>
      </c>
      <c r="B1108" t="s">
        <v>332</v>
      </c>
      <c r="C1108" t="s">
        <v>797</v>
      </c>
      <c r="D1108">
        <v>170</v>
      </c>
      <c r="E1108" t="s">
        <v>158</v>
      </c>
      <c r="F1108">
        <v>170</v>
      </c>
      <c r="G1108">
        <v>168.9</v>
      </c>
      <c r="H1108">
        <v>150</v>
      </c>
      <c r="I1108">
        <v>158</v>
      </c>
      <c r="J1108">
        <v>121</v>
      </c>
      <c r="K1108">
        <v>69</v>
      </c>
      <c r="L1108">
        <v>100</v>
      </c>
      <c r="M1108">
        <v>15.3</v>
      </c>
      <c r="N1108">
        <v>2112</v>
      </c>
      <c r="O1108">
        <v>0.68</v>
      </c>
      <c r="P1108">
        <v>1428</v>
      </c>
      <c r="Q1108">
        <v>227</v>
      </c>
      <c r="R1108">
        <v>111</v>
      </c>
      <c r="S1108">
        <v>40</v>
      </c>
      <c r="T1108">
        <v>139</v>
      </c>
      <c r="U1108">
        <v>6</v>
      </c>
      <c r="V1108">
        <v>54</v>
      </c>
      <c r="W1108">
        <v>0.153</v>
      </c>
      <c r="X1108">
        <v>66</v>
      </c>
      <c r="Y1108">
        <v>48</v>
      </c>
      <c r="Z1108">
        <v>73</v>
      </c>
      <c r="AA1108">
        <v>5</v>
      </c>
      <c r="AB1108">
        <v>12.9</v>
      </c>
      <c r="AC1108" t="s">
        <v>349</v>
      </c>
      <c r="AS1108" s="226" t="str">
        <f t="shared" si="34"/>
        <v>Spitfire 70 Ti</v>
      </c>
      <c r="AT1108" s="203" t="str">
        <f t="shared" si="35"/>
        <v xml:space="preserve"> NordicaSpitfire 70 Ti170 Unisex</v>
      </c>
    </row>
    <row r="1109" spans="1:46" ht="118.8">
      <c r="A1109" t="s">
        <v>155</v>
      </c>
      <c r="B1109" t="s">
        <v>156</v>
      </c>
      <c r="C1109" t="s">
        <v>845</v>
      </c>
      <c r="D1109">
        <v>147</v>
      </c>
      <c r="E1109" t="s">
        <v>163</v>
      </c>
      <c r="F1109">
        <v>147</v>
      </c>
      <c r="G1109">
        <v>146.6</v>
      </c>
      <c r="H1109">
        <v>127</v>
      </c>
      <c r="I1109">
        <v>134</v>
      </c>
      <c r="J1109">
        <v>107</v>
      </c>
      <c r="K1109">
        <v>69</v>
      </c>
      <c r="L1109">
        <v>95</v>
      </c>
      <c r="M1109">
        <v>13.1</v>
      </c>
      <c r="N1109">
        <v>1663</v>
      </c>
      <c r="O1109">
        <v>0.72</v>
      </c>
      <c r="P1109">
        <v>1193</v>
      </c>
      <c r="Q1109">
        <v>134</v>
      </c>
      <c r="R1109">
        <v>45</v>
      </c>
      <c r="S1109">
        <v>36</v>
      </c>
      <c r="T1109">
        <v>140</v>
      </c>
      <c r="U1109">
        <v>4</v>
      </c>
      <c r="V1109">
        <v>52</v>
      </c>
      <c r="W1109">
        <v>0.11699999999999899</v>
      </c>
      <c r="X1109">
        <v>80</v>
      </c>
      <c r="Y1109">
        <v>49</v>
      </c>
      <c r="Z1109">
        <v>60</v>
      </c>
      <c r="AA1109">
        <v>7</v>
      </c>
      <c r="AB1109">
        <v>12.3</v>
      </c>
      <c r="AC1109" t="s">
        <v>349</v>
      </c>
      <c r="AG1109" t="s">
        <v>6023</v>
      </c>
      <c r="AH1109" t="s">
        <v>1179</v>
      </c>
      <c r="AI1109" s="245">
        <v>639.99</v>
      </c>
      <c r="AJ1109" t="s">
        <v>6432</v>
      </c>
      <c r="AK1109" t="s">
        <v>6433</v>
      </c>
      <c r="AL1109" t="s">
        <v>1282</v>
      </c>
      <c r="AM1109" s="245">
        <v>319.99</v>
      </c>
      <c r="AN1109" t="s">
        <v>6434</v>
      </c>
      <c r="AO1109" t="s">
        <v>5637</v>
      </c>
      <c r="AP1109" t="s">
        <v>1204</v>
      </c>
      <c r="AQ1109" s="245">
        <v>320.57</v>
      </c>
      <c r="AR1109" t="s">
        <v>6435</v>
      </c>
      <c r="AS1109" s="226" t="str">
        <f t="shared" si="34"/>
        <v>Cloud C12 Servo</v>
      </c>
      <c r="AT1109" s="203" t="str">
        <f t="shared" si="35"/>
        <v xml:space="preserve"> AtomicCloud C12 Servo147 Women's</v>
      </c>
    </row>
    <row r="1110" spans="1:46" ht="118.8">
      <c r="A1110" t="s">
        <v>155</v>
      </c>
      <c r="B1110" t="s">
        <v>172</v>
      </c>
      <c r="C1110" t="s">
        <v>813</v>
      </c>
      <c r="D1110">
        <v>149</v>
      </c>
      <c r="E1110" t="s">
        <v>163</v>
      </c>
      <c r="F1110">
        <v>149</v>
      </c>
      <c r="G1110">
        <v>148.9</v>
      </c>
      <c r="H1110">
        <v>128</v>
      </c>
      <c r="I1110">
        <v>135</v>
      </c>
      <c r="J1110">
        <v>122</v>
      </c>
      <c r="K1110">
        <v>73</v>
      </c>
      <c r="L1110">
        <v>109</v>
      </c>
      <c r="M1110">
        <v>10.5</v>
      </c>
      <c r="N1110">
        <v>1459</v>
      </c>
      <c r="O1110">
        <v>0.91</v>
      </c>
      <c r="P1110">
        <v>1325</v>
      </c>
      <c r="Q1110">
        <v>133</v>
      </c>
      <c r="R1110">
        <v>48</v>
      </c>
      <c r="S1110">
        <v>38</v>
      </c>
      <c r="T1110">
        <v>150</v>
      </c>
      <c r="U1110">
        <v>6</v>
      </c>
      <c r="V1110">
        <v>59</v>
      </c>
      <c r="W1110">
        <v>0.16200000000000001</v>
      </c>
      <c r="X1110">
        <v>73</v>
      </c>
      <c r="Y1110">
        <v>62</v>
      </c>
      <c r="Z1110">
        <v>77</v>
      </c>
      <c r="AA1110">
        <v>9</v>
      </c>
      <c r="AB1110">
        <v>10</v>
      </c>
      <c r="AC1110" t="s">
        <v>349</v>
      </c>
      <c r="AG1110" t="s">
        <v>6436</v>
      </c>
      <c r="AH1110" t="s">
        <v>1204</v>
      </c>
      <c r="AI1110" s="245">
        <v>400.72</v>
      </c>
      <c r="AJ1110" t="s">
        <v>6437</v>
      </c>
      <c r="AK1110" t="s">
        <v>6438</v>
      </c>
      <c r="AL1110" t="s">
        <v>1229</v>
      </c>
      <c r="AM1110" s="245">
        <v>489.99</v>
      </c>
      <c r="AN1110" t="s">
        <v>6439</v>
      </c>
      <c r="AO1110" t="s">
        <v>6440</v>
      </c>
      <c r="AP1110" t="s">
        <v>1179</v>
      </c>
      <c r="AQ1110" s="245">
        <v>479.95</v>
      </c>
      <c r="AR1110" t="s">
        <v>6441</v>
      </c>
      <c r="AS1110" s="226" t="str">
        <f t="shared" si="34"/>
        <v>Nova 6</v>
      </c>
      <c r="AT1110" s="203" t="str">
        <f t="shared" si="35"/>
        <v xml:space="preserve"> RossignolNova 6149 Women's</v>
      </c>
    </row>
    <row r="1111" spans="1:46" ht="171.6">
      <c r="A1111" t="s">
        <v>155</v>
      </c>
      <c r="B1111" t="s">
        <v>237</v>
      </c>
      <c r="C1111" t="s">
        <v>865</v>
      </c>
      <c r="D1111">
        <v>188.2</v>
      </c>
      <c r="E1111" t="s">
        <v>158</v>
      </c>
      <c r="F1111">
        <v>188.2</v>
      </c>
      <c r="G1111">
        <v>187.7</v>
      </c>
      <c r="H1111">
        <v>0</v>
      </c>
      <c r="I1111">
        <v>164</v>
      </c>
      <c r="J1111">
        <v>137</v>
      </c>
      <c r="K1111">
        <v>106</v>
      </c>
      <c r="L1111">
        <v>126</v>
      </c>
      <c r="M1111">
        <v>25.6</v>
      </c>
      <c r="N1111">
        <v>1981</v>
      </c>
      <c r="O1111">
        <v>1.0900000000000001</v>
      </c>
      <c r="P1111">
        <v>2162</v>
      </c>
      <c r="Q1111">
        <v>269</v>
      </c>
      <c r="R1111">
        <v>173</v>
      </c>
      <c r="S1111">
        <v>46</v>
      </c>
      <c r="T1111">
        <v>1016</v>
      </c>
      <c r="U1111">
        <v>10</v>
      </c>
      <c r="V1111">
        <v>861</v>
      </c>
      <c r="W1111">
        <v>0.215</v>
      </c>
      <c r="X1111">
        <v>146</v>
      </c>
      <c r="Y1111">
        <v>93</v>
      </c>
      <c r="Z1111">
        <v>870</v>
      </c>
      <c r="AA1111">
        <v>-4</v>
      </c>
      <c r="AB1111">
        <v>7.8</v>
      </c>
      <c r="AC1111" t="s">
        <v>178</v>
      </c>
      <c r="AD1111" t="s">
        <v>185</v>
      </c>
      <c r="AG1111" t="s">
        <v>5797</v>
      </c>
      <c r="AH1111" t="s">
        <v>1181</v>
      </c>
      <c r="AI1111" s="245">
        <v>1114.96</v>
      </c>
      <c r="AJ1111" t="s">
        <v>6442</v>
      </c>
      <c r="AK1111" t="s">
        <v>6443</v>
      </c>
      <c r="AL1111" t="s">
        <v>1191</v>
      </c>
      <c r="AM1111" s="245">
        <v>564.95000000000005</v>
      </c>
      <c r="AN1111" t="s">
        <v>6444</v>
      </c>
      <c r="AO1111" t="s">
        <v>6443</v>
      </c>
      <c r="AP1111" t="s">
        <v>1271</v>
      </c>
      <c r="AQ1111" s="245">
        <v>659.99</v>
      </c>
      <c r="AR1111" t="s">
        <v>6445</v>
      </c>
      <c r="AS1111" s="226" t="str">
        <f t="shared" si="34"/>
        <v>Corvus</v>
      </c>
      <c r="AT1111" s="203" t="str">
        <f t="shared" si="35"/>
        <v xml:space="preserve"> Black CrowsCorvus188.2 Unisex</v>
      </c>
    </row>
    <row r="1112" spans="1:46" ht="79.2">
      <c r="A1112" t="s">
        <v>155</v>
      </c>
      <c r="B1112" t="s">
        <v>1395</v>
      </c>
      <c r="C1112" t="s">
        <v>806</v>
      </c>
      <c r="D1112">
        <v>152</v>
      </c>
      <c r="E1112" t="s">
        <v>163</v>
      </c>
      <c r="F1112">
        <v>152</v>
      </c>
      <c r="G1112">
        <v>152</v>
      </c>
      <c r="H1112">
        <v>91</v>
      </c>
      <c r="I1112">
        <v>127</v>
      </c>
      <c r="J1112">
        <v>129</v>
      </c>
      <c r="K1112">
        <v>86</v>
      </c>
      <c r="L1112">
        <v>110</v>
      </c>
      <c r="M1112">
        <v>11.1</v>
      </c>
      <c r="N1112">
        <v>1234</v>
      </c>
      <c r="O1112">
        <v>1.23</v>
      </c>
      <c r="P1112">
        <v>1520</v>
      </c>
      <c r="Q1112">
        <v>156</v>
      </c>
      <c r="R1112">
        <v>75</v>
      </c>
      <c r="S1112">
        <v>47</v>
      </c>
      <c r="T1112">
        <v>370</v>
      </c>
      <c r="U1112">
        <v>19</v>
      </c>
      <c r="V1112">
        <v>241</v>
      </c>
      <c r="W1112">
        <v>0.39700000000000002</v>
      </c>
      <c r="X1112">
        <v>141</v>
      </c>
      <c r="Y1112">
        <v>104</v>
      </c>
      <c r="Z1112">
        <v>228</v>
      </c>
      <c r="AA1112">
        <v>1</v>
      </c>
      <c r="AB1112">
        <v>11.9</v>
      </c>
      <c r="AC1112" t="s">
        <v>188</v>
      </c>
      <c r="AD1112" t="s">
        <v>185</v>
      </c>
      <c r="AG1112" t="s">
        <v>5332</v>
      </c>
      <c r="AH1112" t="s">
        <v>1320</v>
      </c>
      <c r="AI1112" s="245">
        <v>399.99</v>
      </c>
      <c r="AJ1112" t="s">
        <v>6446</v>
      </c>
      <c r="AK1112" t="s">
        <v>6447</v>
      </c>
      <c r="AL1112" t="s">
        <v>1204</v>
      </c>
      <c r="AM1112" s="245">
        <v>448.8</v>
      </c>
      <c r="AN1112" t="s">
        <v>6448</v>
      </c>
      <c r="AO1112" t="s">
        <v>6449</v>
      </c>
      <c r="AP1112" t="s">
        <v>3015</v>
      </c>
      <c r="AQ1112" s="245">
        <v>499.99</v>
      </c>
      <c r="AR1112" t="s">
        <v>6450</v>
      </c>
      <c r="AS1112" s="226" t="str">
        <f t="shared" si="34"/>
        <v>Blaze 86 W</v>
      </c>
      <c r="AT1112" s="203" t="str">
        <f t="shared" si="35"/>
        <v xml:space="preserve"> Vï¿½lklBlaze 86 W152 Women's</v>
      </c>
    </row>
    <row r="1113" spans="1:46" ht="79.2">
      <c r="A1113" t="s">
        <v>155</v>
      </c>
      <c r="B1113" t="s">
        <v>1395</v>
      </c>
      <c r="C1113" t="s">
        <v>426</v>
      </c>
      <c r="D1113">
        <v>170</v>
      </c>
      <c r="E1113" t="s">
        <v>163</v>
      </c>
      <c r="F1113">
        <v>170</v>
      </c>
      <c r="G1113">
        <v>171.1</v>
      </c>
      <c r="H1113">
        <v>111</v>
      </c>
      <c r="I1113">
        <v>147</v>
      </c>
      <c r="J1113">
        <v>139</v>
      </c>
      <c r="K1113">
        <v>101</v>
      </c>
      <c r="L1113">
        <v>123</v>
      </c>
      <c r="M1113">
        <v>17.600000000000001</v>
      </c>
      <c r="N1113">
        <v>2084</v>
      </c>
      <c r="O1113">
        <v>0.93</v>
      </c>
      <c r="P1113">
        <v>1934</v>
      </c>
      <c r="Q1113">
        <v>245</v>
      </c>
      <c r="R1113">
        <v>165</v>
      </c>
      <c r="S1113">
        <v>46</v>
      </c>
      <c r="T1113">
        <v>351</v>
      </c>
      <c r="U1113">
        <v>18</v>
      </c>
      <c r="V1113">
        <v>249</v>
      </c>
      <c r="W1113">
        <v>0.38799999999999901</v>
      </c>
      <c r="X1113">
        <v>133</v>
      </c>
      <c r="Y1113">
        <v>103</v>
      </c>
      <c r="Z1113">
        <v>217</v>
      </c>
      <c r="AA1113">
        <v>4</v>
      </c>
      <c r="AB1113">
        <v>11.8</v>
      </c>
      <c r="AC1113" t="s">
        <v>188</v>
      </c>
      <c r="AD1113" t="s">
        <v>169</v>
      </c>
      <c r="AE1113" t="s">
        <v>178</v>
      </c>
      <c r="AG1113" t="s">
        <v>6451</v>
      </c>
      <c r="AH1113" t="s">
        <v>2589</v>
      </c>
      <c r="AI1113" s="245">
        <v>399.95</v>
      </c>
      <c r="AJ1113" t="s">
        <v>6452</v>
      </c>
      <c r="AK1113" t="s">
        <v>6453</v>
      </c>
      <c r="AL1113" t="s">
        <v>1240</v>
      </c>
      <c r="AM1113" s="245">
        <v>479.95</v>
      </c>
      <c r="AN1113" t="s">
        <v>6454</v>
      </c>
      <c r="AO1113" t="s">
        <v>6451</v>
      </c>
      <c r="AP1113" t="s">
        <v>1194</v>
      </c>
      <c r="AQ1113" s="245">
        <v>515.29999999999995</v>
      </c>
      <c r="AR1113" t="s">
        <v>6455</v>
      </c>
      <c r="AS1113" s="226" t="str">
        <f t="shared" si="34"/>
        <v>Secret 102</v>
      </c>
      <c r="AT1113" s="203" t="str">
        <f t="shared" si="35"/>
        <v xml:space="preserve"> Vï¿½lklSecret 102170 Women's</v>
      </c>
    </row>
    <row r="1114" spans="1:46" ht="79.2">
      <c r="A1114" t="s">
        <v>155</v>
      </c>
      <c r="B1114" t="s">
        <v>561</v>
      </c>
      <c r="C1114" t="s">
        <v>867</v>
      </c>
      <c r="D1114">
        <v>183</v>
      </c>
      <c r="E1114" t="s">
        <v>158</v>
      </c>
      <c r="F1114">
        <v>183</v>
      </c>
      <c r="G1114">
        <v>180.7</v>
      </c>
      <c r="H1114">
        <v>116</v>
      </c>
      <c r="I1114">
        <v>140</v>
      </c>
      <c r="J1114">
        <v>142</v>
      </c>
      <c r="K1114">
        <v>117</v>
      </c>
      <c r="L1114">
        <v>132</v>
      </c>
      <c r="M1114">
        <v>20.100000000000001</v>
      </c>
      <c r="N1114">
        <v>2414</v>
      </c>
      <c r="O1114">
        <v>0.93</v>
      </c>
      <c r="P1114">
        <v>2255</v>
      </c>
      <c r="Q1114">
        <v>225</v>
      </c>
      <c r="R1114">
        <v>86</v>
      </c>
      <c r="S1114">
        <v>62</v>
      </c>
      <c r="T1114">
        <v>438</v>
      </c>
      <c r="U1114">
        <v>35</v>
      </c>
      <c r="V1114">
        <v>213</v>
      </c>
      <c r="W1114">
        <v>0.56999999999999995</v>
      </c>
      <c r="X1114">
        <v>205</v>
      </c>
      <c r="Y1114">
        <v>205</v>
      </c>
      <c r="Z1114">
        <v>233</v>
      </c>
      <c r="AA1114">
        <v>5</v>
      </c>
      <c r="AB1114">
        <v>7.8</v>
      </c>
      <c r="AC1114" t="s">
        <v>169</v>
      </c>
      <c r="AG1114" t="s">
        <v>4994</v>
      </c>
      <c r="AH1114" t="s">
        <v>1277</v>
      </c>
      <c r="AI1114" s="245">
        <v>925</v>
      </c>
      <c r="AJ1114" t="s">
        <v>6456</v>
      </c>
      <c r="AK1114" t="s">
        <v>6457</v>
      </c>
      <c r="AL1114" t="s">
        <v>1194</v>
      </c>
      <c r="AM1114" s="245">
        <v>423.12</v>
      </c>
      <c r="AN1114" t="s">
        <v>6458</v>
      </c>
      <c r="AO1114" t="s">
        <v>6457</v>
      </c>
      <c r="AP1114" t="s">
        <v>1191</v>
      </c>
      <c r="AQ1114" s="245">
        <v>429.95</v>
      </c>
      <c r="AR1114" t="s">
        <v>6459</v>
      </c>
      <c r="AS1114" s="226" t="str">
        <f t="shared" si="34"/>
        <v>The Friend</v>
      </c>
      <c r="AT1114" s="203" t="str">
        <f t="shared" si="35"/>
        <v xml:space="preserve"> J SkisThe Friend183 Unisex</v>
      </c>
    </row>
    <row r="1115" spans="1:46" ht="52.8">
      <c r="A1115" t="s">
        <v>155</v>
      </c>
      <c r="B1115" t="s">
        <v>208</v>
      </c>
      <c r="C1115" t="s">
        <v>843</v>
      </c>
      <c r="D1115">
        <v>144</v>
      </c>
      <c r="E1115" t="s">
        <v>163</v>
      </c>
      <c r="F1115">
        <v>144</v>
      </c>
      <c r="G1115">
        <v>143.19999999999999</v>
      </c>
      <c r="H1115">
        <v>100</v>
      </c>
      <c r="I1115">
        <v>119</v>
      </c>
      <c r="J1115">
        <v>120</v>
      </c>
      <c r="K1115">
        <v>91</v>
      </c>
      <c r="L1115">
        <v>117</v>
      </c>
      <c r="M1115">
        <v>12</v>
      </c>
      <c r="N1115">
        <v>1344</v>
      </c>
      <c r="O1115">
        <v>1.08</v>
      </c>
      <c r="P1115">
        <v>1448</v>
      </c>
      <c r="Q1115">
        <v>139</v>
      </c>
      <c r="R1115">
        <v>56</v>
      </c>
      <c r="S1115">
        <v>46</v>
      </c>
      <c r="T1115">
        <v>220</v>
      </c>
      <c r="U1115">
        <v>41</v>
      </c>
      <c r="V1115">
        <v>212</v>
      </c>
      <c r="W1115">
        <v>0.90500000000000003</v>
      </c>
      <c r="X1115">
        <v>124</v>
      </c>
      <c r="Y1115">
        <v>114</v>
      </c>
      <c r="Z1115">
        <v>96</v>
      </c>
      <c r="AA1115">
        <v>5</v>
      </c>
      <c r="AB1115">
        <v>3.5</v>
      </c>
      <c r="AC1115" t="s">
        <v>184</v>
      </c>
      <c r="AD1115" t="s">
        <v>185</v>
      </c>
      <c r="AG1115" t="s">
        <v>6460</v>
      </c>
      <c r="AH1115" t="s">
        <v>1950</v>
      </c>
      <c r="AI1115" s="245">
        <v>349.95</v>
      </c>
      <c r="AJ1115" t="s">
        <v>6461</v>
      </c>
      <c r="AS1115" s="226" t="str">
        <f t="shared" si="34"/>
        <v>Honey Bee</v>
      </c>
      <c r="AT1115" s="203" t="str">
        <f t="shared" si="35"/>
        <v xml:space="preserve"> LineHoney Bee144 Women's</v>
      </c>
    </row>
    <row r="1116" spans="1:46" ht="92.4">
      <c r="A1116" t="s">
        <v>155</v>
      </c>
      <c r="B1116" t="s">
        <v>172</v>
      </c>
      <c r="C1116" t="s">
        <v>173</v>
      </c>
      <c r="D1116">
        <v>176</v>
      </c>
      <c r="E1116" t="s">
        <v>158</v>
      </c>
      <c r="F1116">
        <v>176</v>
      </c>
      <c r="G1116">
        <v>175.5</v>
      </c>
      <c r="H1116">
        <v>136</v>
      </c>
      <c r="I1116">
        <v>161</v>
      </c>
      <c r="J1116">
        <v>131</v>
      </c>
      <c r="K1116">
        <v>84</v>
      </c>
      <c r="L1116">
        <v>119</v>
      </c>
      <c r="M1116">
        <v>15.4</v>
      </c>
      <c r="N1116">
        <v>2061</v>
      </c>
      <c r="O1116">
        <v>0.84</v>
      </c>
      <c r="P1116">
        <v>1732</v>
      </c>
      <c r="Q1116">
        <v>234</v>
      </c>
      <c r="R1116">
        <v>137</v>
      </c>
      <c r="S1116">
        <v>49</v>
      </c>
      <c r="T1116">
        <v>259</v>
      </c>
      <c r="U1116">
        <v>14</v>
      </c>
      <c r="V1116">
        <v>136</v>
      </c>
      <c r="W1116">
        <v>0.28999999999999998</v>
      </c>
      <c r="X1116">
        <v>76</v>
      </c>
      <c r="Y1116">
        <v>64</v>
      </c>
      <c r="Z1116">
        <v>183</v>
      </c>
      <c r="AA1116">
        <v>10</v>
      </c>
      <c r="AB1116">
        <v>6.9</v>
      </c>
      <c r="AC1116" t="s">
        <v>188</v>
      </c>
      <c r="AG1116" t="s">
        <v>6462</v>
      </c>
      <c r="AH1116" t="s">
        <v>1248</v>
      </c>
      <c r="AI1116" s="245">
        <v>639.96</v>
      </c>
      <c r="AJ1116" t="s">
        <v>6463</v>
      </c>
      <c r="AK1116" t="s">
        <v>6464</v>
      </c>
      <c r="AL1116" t="s">
        <v>1421</v>
      </c>
      <c r="AM1116" s="245">
        <v>639.96</v>
      </c>
      <c r="AN1116" t="s">
        <v>6465</v>
      </c>
      <c r="AO1116" t="s">
        <v>6462</v>
      </c>
      <c r="AP1116" t="s">
        <v>1271</v>
      </c>
      <c r="AQ1116" s="245">
        <v>689.99</v>
      </c>
      <c r="AR1116" t="s">
        <v>6466</v>
      </c>
      <c r="AS1116" s="226" t="str">
        <f t="shared" si="34"/>
        <v>Experience 86 Ti</v>
      </c>
      <c r="AT1116" s="203" t="str">
        <f t="shared" si="35"/>
        <v xml:space="preserve"> RossignolExperience 86 Ti176 Unisex</v>
      </c>
    </row>
    <row r="1117" spans="1:46" ht="145.19999999999999">
      <c r="A1117" t="s">
        <v>155</v>
      </c>
      <c r="B1117" t="s">
        <v>317</v>
      </c>
      <c r="C1117" t="s">
        <v>793</v>
      </c>
      <c r="D1117">
        <v>177</v>
      </c>
      <c r="E1117" t="s">
        <v>158</v>
      </c>
      <c r="F1117">
        <v>177</v>
      </c>
      <c r="G1117">
        <v>176.1</v>
      </c>
      <c r="H1117">
        <v>148</v>
      </c>
      <c r="I1117">
        <v>151</v>
      </c>
      <c r="J1117">
        <v>136</v>
      </c>
      <c r="K1117">
        <v>96</v>
      </c>
      <c r="L1117">
        <v>118</v>
      </c>
      <c r="M1117">
        <v>18.2</v>
      </c>
      <c r="N1117">
        <v>2255</v>
      </c>
      <c r="O1117">
        <v>0.84</v>
      </c>
      <c r="P1117">
        <v>1898</v>
      </c>
      <c r="Q1117">
        <v>192</v>
      </c>
      <c r="R1117">
        <v>121</v>
      </c>
      <c r="S1117">
        <v>44</v>
      </c>
      <c r="T1117">
        <v>188</v>
      </c>
      <c r="U1117">
        <v>6</v>
      </c>
      <c r="V1117">
        <v>98</v>
      </c>
      <c r="W1117">
        <v>0.13300000000000001</v>
      </c>
      <c r="X1117">
        <v>134</v>
      </c>
      <c r="Y1117">
        <v>113</v>
      </c>
      <c r="Z1117">
        <v>54</v>
      </c>
      <c r="AA1117">
        <v>10</v>
      </c>
      <c r="AB1117">
        <v>11.3</v>
      </c>
      <c r="AC1117" t="s">
        <v>188</v>
      </c>
      <c r="AG1117" t="s">
        <v>6467</v>
      </c>
      <c r="AH1117" t="s">
        <v>1194</v>
      </c>
      <c r="AI1117" s="245">
        <v>451.66</v>
      </c>
      <c r="AJ1117" t="s">
        <v>6468</v>
      </c>
      <c r="AK1117" t="s">
        <v>6469</v>
      </c>
      <c r="AL1117" t="s">
        <v>1349</v>
      </c>
      <c r="AM1117" s="245">
        <v>476.66</v>
      </c>
      <c r="AN1117" t="s">
        <v>6470</v>
      </c>
      <c r="AO1117" t="s">
        <v>6471</v>
      </c>
      <c r="AP1117" t="s">
        <v>1292</v>
      </c>
      <c r="AQ1117" s="245">
        <v>524.99</v>
      </c>
      <c r="AR1117" t="s">
        <v>6472</v>
      </c>
      <c r="AS1117" s="226" t="str">
        <f t="shared" si="34"/>
        <v>Bonafide 97</v>
      </c>
      <c r="AT1117" s="203" t="str">
        <f t="shared" si="35"/>
        <v xml:space="preserve"> BlizzardBonafide 97177 Unisex</v>
      </c>
    </row>
    <row r="1118" spans="1:46" ht="184.8">
      <c r="A1118" t="s">
        <v>155</v>
      </c>
      <c r="B1118" t="s">
        <v>1395</v>
      </c>
      <c r="C1118" t="s">
        <v>807</v>
      </c>
      <c r="D1118">
        <v>147</v>
      </c>
      <c r="E1118" t="s">
        <v>163</v>
      </c>
      <c r="F1118">
        <v>147</v>
      </c>
      <c r="G1118">
        <v>148.80000000000001</v>
      </c>
      <c r="H1118">
        <v>113</v>
      </c>
      <c r="I1118">
        <v>124</v>
      </c>
      <c r="J1118">
        <v>120</v>
      </c>
      <c r="K1118">
        <v>79</v>
      </c>
      <c r="L1118">
        <v>102</v>
      </c>
      <c r="M1118">
        <v>11.7</v>
      </c>
      <c r="N1118">
        <v>1221</v>
      </c>
      <c r="O1118">
        <v>1.1299999999999999</v>
      </c>
      <c r="P1118">
        <v>1377</v>
      </c>
      <c r="Q1118">
        <v>142</v>
      </c>
      <c r="R1118">
        <v>62</v>
      </c>
      <c r="S1118">
        <v>43</v>
      </c>
      <c r="T1118">
        <v>210</v>
      </c>
      <c r="U1118">
        <v>15</v>
      </c>
      <c r="V1118">
        <v>148</v>
      </c>
      <c r="W1118">
        <v>0.34299999999999897</v>
      </c>
      <c r="X1118">
        <v>136</v>
      </c>
      <c r="Y1118">
        <v>108</v>
      </c>
      <c r="Z1118">
        <v>74</v>
      </c>
      <c r="AA1118">
        <v>3</v>
      </c>
      <c r="AB1118">
        <v>11.2</v>
      </c>
      <c r="AC1118" t="s">
        <v>231</v>
      </c>
      <c r="AD1118" t="s">
        <v>185</v>
      </c>
      <c r="AG1118" t="s">
        <v>6376</v>
      </c>
      <c r="AH1118" t="s">
        <v>1400</v>
      </c>
      <c r="AI1118" s="245">
        <v>379.95</v>
      </c>
      <c r="AJ1118" t="s">
        <v>6473</v>
      </c>
      <c r="AK1118" t="s">
        <v>6474</v>
      </c>
      <c r="AL1118" t="s">
        <v>1181</v>
      </c>
      <c r="AM1118" s="245">
        <v>499</v>
      </c>
      <c r="AN1118" t="s">
        <v>6475</v>
      </c>
      <c r="AO1118" t="s">
        <v>6476</v>
      </c>
      <c r="AP1118" t="s">
        <v>2516</v>
      </c>
      <c r="AQ1118" s="245">
        <v>689.95</v>
      </c>
      <c r="AR1118" t="s">
        <v>6477</v>
      </c>
      <c r="AS1118" s="226" t="str">
        <f t="shared" si="34"/>
        <v>Yumi 80</v>
      </c>
      <c r="AT1118" s="203" t="str">
        <f t="shared" si="35"/>
        <v xml:space="preserve"> Vï¿½lklYumi 80147 Women's</v>
      </c>
    </row>
    <row r="1119" spans="1:46" ht="118.8">
      <c r="A1119" t="s">
        <v>155</v>
      </c>
      <c r="B1119" t="s">
        <v>1395</v>
      </c>
      <c r="C1119" t="s">
        <v>820</v>
      </c>
      <c r="D1119">
        <v>177</v>
      </c>
      <c r="E1119" t="s">
        <v>158</v>
      </c>
      <c r="F1119">
        <v>177</v>
      </c>
      <c r="G1119">
        <v>177.9</v>
      </c>
      <c r="H1119">
        <v>138</v>
      </c>
      <c r="I1119">
        <v>155</v>
      </c>
      <c r="J1119">
        <v>133</v>
      </c>
      <c r="K1119">
        <v>95</v>
      </c>
      <c r="L1119">
        <v>116</v>
      </c>
      <c r="M1119">
        <v>20.2</v>
      </c>
      <c r="N1119">
        <v>2082</v>
      </c>
      <c r="O1119">
        <v>0.91</v>
      </c>
      <c r="P1119">
        <v>1895</v>
      </c>
      <c r="Q1119">
        <v>224</v>
      </c>
      <c r="R1119">
        <v>145</v>
      </c>
      <c r="S1119">
        <v>44</v>
      </c>
      <c r="T1119">
        <v>256</v>
      </c>
      <c r="U1119">
        <v>13</v>
      </c>
      <c r="V1119">
        <v>144</v>
      </c>
      <c r="W1119">
        <v>0.29499999999999998</v>
      </c>
      <c r="X1119">
        <v>133</v>
      </c>
      <c r="Y1119">
        <v>95</v>
      </c>
      <c r="Z1119">
        <v>123</v>
      </c>
      <c r="AA1119">
        <v>5</v>
      </c>
      <c r="AB1119">
        <v>11.6</v>
      </c>
      <c r="AC1119" t="s">
        <v>188</v>
      </c>
      <c r="AG1119" t="s">
        <v>6478</v>
      </c>
      <c r="AH1119" t="s">
        <v>1232</v>
      </c>
      <c r="AI1119" s="245">
        <v>499.95</v>
      </c>
      <c r="AJ1119" t="s">
        <v>6479</v>
      </c>
      <c r="AK1119" t="s">
        <v>5736</v>
      </c>
      <c r="AL1119" t="s">
        <v>1271</v>
      </c>
      <c r="AM1119" s="245">
        <v>509.93</v>
      </c>
      <c r="AN1119" t="s">
        <v>6480</v>
      </c>
      <c r="AO1119" t="s">
        <v>6481</v>
      </c>
      <c r="AP1119" t="s">
        <v>1240</v>
      </c>
      <c r="AQ1119" s="245">
        <v>549.95000000000005</v>
      </c>
      <c r="AR1119" t="s">
        <v>6482</v>
      </c>
      <c r="AS1119" s="226" t="str">
        <f t="shared" si="34"/>
        <v>Mantra M5</v>
      </c>
      <c r="AT1119" s="203" t="str">
        <f t="shared" si="35"/>
        <v xml:space="preserve"> Vï¿½lklMantra M5177 Unisex</v>
      </c>
    </row>
    <row r="1120" spans="1:46" ht="132">
      <c r="A1120" t="s">
        <v>155</v>
      </c>
      <c r="B1120" t="s">
        <v>317</v>
      </c>
      <c r="C1120" t="s">
        <v>850</v>
      </c>
      <c r="D1120">
        <v>160</v>
      </c>
      <c r="E1120" t="s">
        <v>158</v>
      </c>
      <c r="F1120">
        <v>160</v>
      </c>
      <c r="G1120">
        <v>159.1</v>
      </c>
      <c r="H1120">
        <v>141</v>
      </c>
      <c r="I1120">
        <v>146</v>
      </c>
      <c r="J1120">
        <v>119</v>
      </c>
      <c r="K1120">
        <v>69</v>
      </c>
      <c r="L1120">
        <v>103</v>
      </c>
      <c r="M1120">
        <v>12.2</v>
      </c>
      <c r="N1120">
        <v>1970</v>
      </c>
      <c r="O1120">
        <v>0.69</v>
      </c>
      <c r="P1120">
        <v>1350</v>
      </c>
      <c r="Q1120">
        <v>195</v>
      </c>
      <c r="R1120">
        <v>125</v>
      </c>
      <c r="S1120">
        <v>39</v>
      </c>
      <c r="T1120">
        <v>136</v>
      </c>
      <c r="U1120">
        <v>5</v>
      </c>
      <c r="V1120">
        <v>48</v>
      </c>
      <c r="W1120">
        <v>0.11699999999999899</v>
      </c>
      <c r="X1120">
        <v>70</v>
      </c>
      <c r="Y1120">
        <v>57</v>
      </c>
      <c r="Z1120">
        <v>66</v>
      </c>
      <c r="AA1120">
        <v>15</v>
      </c>
      <c r="AB1120">
        <v>11.8</v>
      </c>
      <c r="AC1120" t="s">
        <v>349</v>
      </c>
      <c r="AG1120" t="s">
        <v>6483</v>
      </c>
      <c r="AH1120" t="s">
        <v>1271</v>
      </c>
      <c r="AI1120" s="245">
        <v>879.95</v>
      </c>
      <c r="AJ1120" t="s">
        <v>6484</v>
      </c>
      <c r="AK1120" t="s">
        <v>6485</v>
      </c>
      <c r="AL1120" t="s">
        <v>6486</v>
      </c>
      <c r="AM1120" s="245">
        <v>164.57</v>
      </c>
      <c r="AN1120" t="s">
        <v>6487</v>
      </c>
      <c r="AO1120" t="s">
        <v>6488</v>
      </c>
      <c r="AP1120" t="s">
        <v>3026</v>
      </c>
      <c r="AQ1120" s="245">
        <v>205.28</v>
      </c>
      <c r="AR1120" t="s">
        <v>6489</v>
      </c>
      <c r="AS1120" s="226" t="str">
        <f t="shared" si="34"/>
        <v>SRC</v>
      </c>
      <c r="AT1120" s="203" t="str">
        <f t="shared" si="35"/>
        <v xml:space="preserve"> BlizzardSRC160 Unisex</v>
      </c>
    </row>
    <row r="1121" spans="1:46" ht="79.2">
      <c r="A1121" t="s">
        <v>155</v>
      </c>
      <c r="B1121" t="s">
        <v>1395</v>
      </c>
      <c r="C1121" t="s">
        <v>855</v>
      </c>
      <c r="D1121">
        <v>163</v>
      </c>
      <c r="E1121" t="s">
        <v>163</v>
      </c>
      <c r="F1121">
        <v>163</v>
      </c>
      <c r="G1121">
        <v>162.1</v>
      </c>
      <c r="H1121">
        <v>133</v>
      </c>
      <c r="I1121">
        <v>140</v>
      </c>
      <c r="J1121">
        <v>130</v>
      </c>
      <c r="K1121">
        <v>87</v>
      </c>
      <c r="L1121">
        <v>111</v>
      </c>
      <c r="M1121">
        <v>14.2</v>
      </c>
      <c r="N1121">
        <v>1165</v>
      </c>
      <c r="O1121">
        <v>1.4</v>
      </c>
      <c r="P1121">
        <v>1630</v>
      </c>
      <c r="Q1121">
        <v>149</v>
      </c>
      <c r="R1121">
        <v>62</v>
      </c>
      <c r="S1121">
        <v>43</v>
      </c>
      <c r="T1121">
        <v>221</v>
      </c>
      <c r="U1121">
        <v>5</v>
      </c>
      <c r="V1121">
        <v>72</v>
      </c>
      <c r="W1121">
        <v>0.113</v>
      </c>
      <c r="X1121">
        <v>130</v>
      </c>
      <c r="Y1121">
        <v>95</v>
      </c>
      <c r="Z1121">
        <v>91</v>
      </c>
      <c r="AA1121">
        <v>4</v>
      </c>
      <c r="AB1121">
        <v>10.8</v>
      </c>
      <c r="AC1121" t="s">
        <v>185</v>
      </c>
      <c r="AD1121" t="s">
        <v>198</v>
      </c>
      <c r="AG1121" t="s">
        <v>6490</v>
      </c>
      <c r="AH1121" t="s">
        <v>1194</v>
      </c>
      <c r="AI1121" s="245">
        <v>419.41</v>
      </c>
      <c r="AJ1121" t="s">
        <v>6491</v>
      </c>
      <c r="AK1121" t="s">
        <v>6492</v>
      </c>
      <c r="AL1121" t="s">
        <v>1191</v>
      </c>
      <c r="AM1121" s="245">
        <v>489.95</v>
      </c>
      <c r="AN1121" t="s">
        <v>6493</v>
      </c>
      <c r="AO1121" t="s">
        <v>6490</v>
      </c>
      <c r="AP1121" t="s">
        <v>1305</v>
      </c>
      <c r="AQ1121" s="245">
        <v>519</v>
      </c>
      <c r="AR1121" t="s">
        <v>6494</v>
      </c>
      <c r="AS1121" s="226" t="str">
        <f t="shared" si="34"/>
        <v>Rise Above 88 W</v>
      </c>
      <c r="AT1121" s="203" t="str">
        <f t="shared" si="35"/>
        <v xml:space="preserve"> Vï¿½lklRise Above 88 W163 Women's</v>
      </c>
    </row>
    <row r="1122" spans="1:46" ht="79.2">
      <c r="A1122" t="s">
        <v>155</v>
      </c>
      <c r="B1122" t="s">
        <v>332</v>
      </c>
      <c r="C1122" t="s">
        <v>454</v>
      </c>
      <c r="D1122">
        <v>149</v>
      </c>
      <c r="E1122" t="s">
        <v>158</v>
      </c>
      <c r="F1122">
        <v>149</v>
      </c>
      <c r="G1122">
        <v>147.30000000000001</v>
      </c>
      <c r="H1122">
        <v>117</v>
      </c>
      <c r="I1122">
        <v>131</v>
      </c>
      <c r="J1122">
        <v>115</v>
      </c>
      <c r="K1122">
        <v>81</v>
      </c>
      <c r="L1122">
        <v>106</v>
      </c>
      <c r="M1122">
        <v>14.4</v>
      </c>
      <c r="N1122">
        <v>1359</v>
      </c>
      <c r="O1122">
        <v>0.99</v>
      </c>
      <c r="P1122">
        <v>1352</v>
      </c>
      <c r="Q1122">
        <v>114</v>
      </c>
      <c r="R1122">
        <v>59</v>
      </c>
      <c r="S1122">
        <v>47</v>
      </c>
      <c r="T1122">
        <v>156</v>
      </c>
      <c r="U1122">
        <v>41</v>
      </c>
      <c r="V1122">
        <v>148</v>
      </c>
      <c r="W1122">
        <v>0.86299999999999999</v>
      </c>
      <c r="X1122">
        <v>91</v>
      </c>
      <c r="Y1122">
        <v>76</v>
      </c>
      <c r="Z1122">
        <v>65</v>
      </c>
      <c r="AA1122">
        <v>10</v>
      </c>
      <c r="AB1122">
        <v>8.1999999999999993</v>
      </c>
      <c r="AC1122" t="s">
        <v>184</v>
      </c>
      <c r="AG1122" t="s">
        <v>6495</v>
      </c>
      <c r="AH1122" t="s">
        <v>1204</v>
      </c>
      <c r="AI1122" s="245">
        <v>320.57</v>
      </c>
      <c r="AJ1122" t="s">
        <v>6496</v>
      </c>
      <c r="AK1122" t="s">
        <v>6497</v>
      </c>
      <c r="AL1122" t="s">
        <v>1402</v>
      </c>
      <c r="AM1122" s="245">
        <v>349.99</v>
      </c>
      <c r="AN1122" t="s">
        <v>6498</v>
      </c>
      <c r="AS1122" s="226" t="str">
        <f t="shared" si="34"/>
        <v>Soul Rider 84</v>
      </c>
      <c r="AT1122" s="203" t="str">
        <f t="shared" si="35"/>
        <v xml:space="preserve"> NordicaSoul Rider 84149 Unisex</v>
      </c>
    </row>
    <row r="1123" spans="1:46" ht="66">
      <c r="A1123" t="s">
        <v>155</v>
      </c>
      <c r="B1123" t="s">
        <v>205</v>
      </c>
      <c r="C1123" t="s">
        <v>691</v>
      </c>
      <c r="D1123">
        <v>180</v>
      </c>
      <c r="E1123" t="s">
        <v>158</v>
      </c>
      <c r="F1123">
        <v>180</v>
      </c>
      <c r="G1123">
        <v>178.8</v>
      </c>
      <c r="H1123">
        <v>130</v>
      </c>
      <c r="I1123">
        <v>150</v>
      </c>
      <c r="J1123">
        <v>134</v>
      </c>
      <c r="K1123">
        <v>106</v>
      </c>
      <c r="L1123">
        <v>123</v>
      </c>
      <c r="M1123">
        <v>21.1</v>
      </c>
      <c r="N1123">
        <v>2041</v>
      </c>
      <c r="O1123">
        <v>1.01</v>
      </c>
      <c r="P1123">
        <v>2057</v>
      </c>
      <c r="Q1123">
        <v>234</v>
      </c>
      <c r="R1123">
        <v>148</v>
      </c>
      <c r="S1123">
        <v>56</v>
      </c>
      <c r="T1123">
        <v>290</v>
      </c>
      <c r="U1123">
        <v>20</v>
      </c>
      <c r="V1123">
        <v>198</v>
      </c>
      <c r="W1123">
        <v>0.35199999999999998</v>
      </c>
      <c r="X1123">
        <v>182</v>
      </c>
      <c r="Y1123">
        <v>110</v>
      </c>
      <c r="Z1123">
        <v>108</v>
      </c>
      <c r="AA1123">
        <v>7</v>
      </c>
      <c r="AB1123">
        <v>11.1</v>
      </c>
      <c r="AC1123" t="s">
        <v>169</v>
      </c>
      <c r="AD1123" t="s">
        <v>178</v>
      </c>
      <c r="AG1123" t="s">
        <v>1713</v>
      </c>
      <c r="AH1123" t="s">
        <v>1248</v>
      </c>
      <c r="AI1123" s="245">
        <v>655.20000000000005</v>
      </c>
      <c r="AJ1123" t="s">
        <v>6499</v>
      </c>
      <c r="AK1123" t="s">
        <v>2091</v>
      </c>
      <c r="AL1123" t="s">
        <v>1194</v>
      </c>
      <c r="AM1123" s="245">
        <v>515.29999999999995</v>
      </c>
      <c r="AN1123" t="s">
        <v>6500</v>
      </c>
      <c r="AS1123" s="226" t="str">
        <f t="shared" si="34"/>
        <v>Dictator 3.0</v>
      </c>
      <c r="AT1123" s="203" t="str">
        <f t="shared" si="35"/>
        <v xml:space="preserve"> FactionDictator 3.0180 Unisex</v>
      </c>
    </row>
    <row r="1124" spans="1:46" ht="132">
      <c r="A1124" t="s">
        <v>155</v>
      </c>
      <c r="B1124" t="s">
        <v>164</v>
      </c>
      <c r="C1124" t="s">
        <v>826</v>
      </c>
      <c r="D1124">
        <v>154</v>
      </c>
      <c r="E1124" t="s">
        <v>163</v>
      </c>
      <c r="F1124">
        <v>154</v>
      </c>
      <c r="G1124">
        <v>156.4</v>
      </c>
      <c r="H1124">
        <v>121</v>
      </c>
      <c r="I1124">
        <v>132</v>
      </c>
      <c r="J1124">
        <v>129</v>
      </c>
      <c r="K1124">
        <v>87</v>
      </c>
      <c r="L1124">
        <v>105</v>
      </c>
      <c r="M1124">
        <v>13.6</v>
      </c>
      <c r="N1124">
        <v>1327</v>
      </c>
      <c r="O1124">
        <v>1.18</v>
      </c>
      <c r="P1124">
        <v>1572</v>
      </c>
      <c r="Q1124">
        <v>121</v>
      </c>
      <c r="R1124">
        <v>56</v>
      </c>
      <c r="S1124">
        <v>46</v>
      </c>
      <c r="T1124">
        <v>221</v>
      </c>
      <c r="U1124">
        <v>11</v>
      </c>
      <c r="V1124">
        <v>133</v>
      </c>
      <c r="W1124">
        <v>0.24299999999999999</v>
      </c>
      <c r="X1124">
        <v>136</v>
      </c>
      <c r="Y1124">
        <v>104</v>
      </c>
      <c r="Z1124">
        <v>84</v>
      </c>
      <c r="AA1124">
        <v>4</v>
      </c>
      <c r="AB1124">
        <v>8.5</v>
      </c>
      <c r="AC1124" t="s">
        <v>188</v>
      </c>
      <c r="AD1124" t="s">
        <v>185</v>
      </c>
      <c r="AG1124" t="s">
        <v>6501</v>
      </c>
      <c r="AH1124" t="s">
        <v>1592</v>
      </c>
      <c r="AI1124" s="245">
        <v>390.96</v>
      </c>
      <c r="AJ1124" t="s">
        <v>6502</v>
      </c>
      <c r="AK1124" t="s">
        <v>4872</v>
      </c>
      <c r="AL1124" t="s">
        <v>1843</v>
      </c>
      <c r="AM1124" s="245">
        <v>519.95000000000005</v>
      </c>
      <c r="AN1124" t="s">
        <v>6503</v>
      </c>
      <c r="AO1124" t="s">
        <v>4875</v>
      </c>
      <c r="AP1124" t="s">
        <v>1265</v>
      </c>
      <c r="AQ1124" s="245">
        <v>561.01</v>
      </c>
      <c r="AR1124" t="s">
        <v>6504</v>
      </c>
      <c r="AS1124" s="226" t="str">
        <f t="shared" si="34"/>
        <v>Ripstick 88 W</v>
      </c>
      <c r="AT1124" s="203" t="str">
        <f t="shared" si="35"/>
        <v xml:space="preserve"> ElanRipstick 88 W154 Women's</v>
      </c>
    </row>
    <row r="1125" spans="1:46" ht="356.4">
      <c r="A1125" t="s">
        <v>155</v>
      </c>
      <c r="B1125" t="s">
        <v>167</v>
      </c>
      <c r="C1125" t="s">
        <v>833</v>
      </c>
      <c r="D1125">
        <v>153</v>
      </c>
      <c r="E1125" t="s">
        <v>163</v>
      </c>
      <c r="F1125">
        <v>153</v>
      </c>
      <c r="G1125">
        <v>153.1</v>
      </c>
      <c r="H1125">
        <v>129</v>
      </c>
      <c r="I1125">
        <v>135</v>
      </c>
      <c r="J1125">
        <v>132</v>
      </c>
      <c r="K1125">
        <v>84</v>
      </c>
      <c r="L1125">
        <v>111</v>
      </c>
      <c r="M1125">
        <v>12.1</v>
      </c>
      <c r="N1125">
        <v>1377</v>
      </c>
      <c r="O1125">
        <v>1.0900000000000001</v>
      </c>
      <c r="P1125">
        <v>1506</v>
      </c>
      <c r="Q1125">
        <v>137</v>
      </c>
      <c r="R1125">
        <v>47</v>
      </c>
      <c r="S1125">
        <v>44</v>
      </c>
      <c r="T1125">
        <v>161</v>
      </c>
      <c r="U1125">
        <v>13</v>
      </c>
      <c r="V1125">
        <v>77</v>
      </c>
      <c r="W1125">
        <v>0.30299999999999999</v>
      </c>
      <c r="X1125">
        <v>109</v>
      </c>
      <c r="Y1125">
        <v>69</v>
      </c>
      <c r="Z1125">
        <v>52</v>
      </c>
      <c r="AA1125">
        <v>14</v>
      </c>
      <c r="AB1125">
        <v>10.1</v>
      </c>
      <c r="AC1125" t="s">
        <v>231</v>
      </c>
      <c r="AD1125" t="s">
        <v>188</v>
      </c>
      <c r="AE1125" t="s">
        <v>185</v>
      </c>
      <c r="AG1125" t="s">
        <v>6505</v>
      </c>
      <c r="AH1125" t="s">
        <v>2789</v>
      </c>
      <c r="AI1125" s="245">
        <v>499</v>
      </c>
      <c r="AJ1125" t="s">
        <v>6506</v>
      </c>
      <c r="AK1125" t="s">
        <v>6507</v>
      </c>
      <c r="AL1125" t="s">
        <v>1204</v>
      </c>
      <c r="AM1125" s="245">
        <v>544.98</v>
      </c>
      <c r="AN1125" t="s">
        <v>6508</v>
      </c>
      <c r="AO1125" t="s">
        <v>6509</v>
      </c>
      <c r="AP1125" t="s">
        <v>1181</v>
      </c>
      <c r="AQ1125" s="245">
        <v>599</v>
      </c>
      <c r="AR1125" t="s">
        <v>6510</v>
      </c>
      <c r="AS1125" s="226" t="str">
        <f t="shared" si="34"/>
        <v>Total Joy</v>
      </c>
      <c r="AT1125" s="203" t="str">
        <f t="shared" si="35"/>
        <v xml:space="preserve"> HeadTotal Joy153 Women's</v>
      </c>
    </row>
    <row r="1126" spans="1:46" ht="66">
      <c r="A1126" t="s">
        <v>155</v>
      </c>
      <c r="B1126" t="s">
        <v>205</v>
      </c>
      <c r="C1126" t="s">
        <v>868</v>
      </c>
      <c r="D1126">
        <v>159</v>
      </c>
      <c r="E1126" t="s">
        <v>385</v>
      </c>
      <c r="F1126">
        <v>159</v>
      </c>
      <c r="G1126">
        <v>157.1</v>
      </c>
      <c r="H1126">
        <v>110</v>
      </c>
      <c r="I1126">
        <v>132</v>
      </c>
      <c r="J1126">
        <v>128</v>
      </c>
      <c r="K1126">
        <v>97</v>
      </c>
      <c r="L1126">
        <v>124</v>
      </c>
      <c r="M1126">
        <v>13.8</v>
      </c>
      <c r="N1126">
        <v>1435</v>
      </c>
      <c r="O1126">
        <v>1.18</v>
      </c>
      <c r="P1126">
        <v>1700</v>
      </c>
      <c r="Q1126">
        <v>130</v>
      </c>
      <c r="R1126">
        <v>44</v>
      </c>
      <c r="S1126">
        <v>55</v>
      </c>
      <c r="T1126">
        <v>240</v>
      </c>
      <c r="U1126">
        <v>46</v>
      </c>
      <c r="V1126">
        <v>232</v>
      </c>
      <c r="W1126">
        <v>0.83699999999999997</v>
      </c>
      <c r="X1126">
        <v>131</v>
      </c>
      <c r="Y1126">
        <v>123</v>
      </c>
      <c r="Z1126">
        <v>108</v>
      </c>
      <c r="AA1126">
        <v>5</v>
      </c>
      <c r="AB1126">
        <v>3.2</v>
      </c>
      <c r="AC1126" t="s">
        <v>188</v>
      </c>
      <c r="AD1126" t="s">
        <v>184</v>
      </c>
      <c r="AE1126" t="s">
        <v>185</v>
      </c>
      <c r="AG1126" t="s">
        <v>6511</v>
      </c>
      <c r="AH1126" t="s">
        <v>1248</v>
      </c>
      <c r="AI1126" s="245">
        <v>383.2</v>
      </c>
      <c r="AJ1126" t="s">
        <v>6512</v>
      </c>
      <c r="AK1126" t="s">
        <v>6513</v>
      </c>
      <c r="AL1126" t="s">
        <v>1271</v>
      </c>
      <c r="AM1126" s="245">
        <v>559</v>
      </c>
      <c r="AN1126" t="s">
        <v>6514</v>
      </c>
      <c r="AO1126" t="s">
        <v>6515</v>
      </c>
      <c r="AP1126" t="s">
        <v>1667</v>
      </c>
      <c r="AQ1126" s="245">
        <v>599</v>
      </c>
      <c r="AR1126" t="s">
        <v>6516</v>
      </c>
      <c r="AS1126" s="226" t="str">
        <f t="shared" si="34"/>
        <v>CT 2.0 Jr</v>
      </c>
      <c r="AT1126" s="203" t="str">
        <f t="shared" si="35"/>
        <v xml:space="preserve"> FactionCT 2.0 Jr159 Junior</v>
      </c>
    </row>
    <row r="1127" spans="1:46" ht="52.8">
      <c r="A1127" t="s">
        <v>155</v>
      </c>
      <c r="B1127" t="s">
        <v>1395</v>
      </c>
      <c r="C1127" t="s">
        <v>775</v>
      </c>
      <c r="D1127">
        <v>147</v>
      </c>
      <c r="E1127" t="s">
        <v>163</v>
      </c>
      <c r="F1127">
        <v>147</v>
      </c>
      <c r="G1127">
        <v>148.80000000000001</v>
      </c>
      <c r="H1127">
        <v>88</v>
      </c>
      <c r="I1127">
        <v>125</v>
      </c>
      <c r="J1127">
        <v>124</v>
      </c>
      <c r="K1127">
        <v>83</v>
      </c>
      <c r="L1127">
        <v>106</v>
      </c>
      <c r="M1127">
        <v>11.7</v>
      </c>
      <c r="N1127">
        <v>1295</v>
      </c>
      <c r="O1127">
        <v>1.1100000000000001</v>
      </c>
      <c r="P1127">
        <v>1435</v>
      </c>
      <c r="Q1127">
        <v>158</v>
      </c>
      <c r="R1127">
        <v>60</v>
      </c>
      <c r="S1127">
        <v>42</v>
      </c>
      <c r="T1127">
        <v>282</v>
      </c>
      <c r="U1127">
        <v>19</v>
      </c>
      <c r="V1127">
        <v>326</v>
      </c>
      <c r="W1127">
        <v>0.44700000000000001</v>
      </c>
      <c r="X1127">
        <v>134</v>
      </c>
      <c r="Y1127">
        <v>103</v>
      </c>
      <c r="Z1127">
        <v>148</v>
      </c>
      <c r="AA1127">
        <v>2</v>
      </c>
      <c r="AB1127">
        <v>11.2</v>
      </c>
      <c r="AC1127" t="s">
        <v>231</v>
      </c>
      <c r="AD1127" t="s">
        <v>188</v>
      </c>
      <c r="AE1127" t="s">
        <v>185</v>
      </c>
      <c r="AG1127" t="s">
        <v>6237</v>
      </c>
      <c r="AH1127" t="s">
        <v>1185</v>
      </c>
      <c r="AI1127" s="245">
        <v>419.99</v>
      </c>
      <c r="AJ1127" t="s">
        <v>6517</v>
      </c>
      <c r="AK1127" t="s">
        <v>6237</v>
      </c>
      <c r="AL1127" t="s">
        <v>1421</v>
      </c>
      <c r="AM1127" s="245">
        <v>479.99</v>
      </c>
      <c r="AN1127" t="s">
        <v>6518</v>
      </c>
      <c r="AO1127" t="s">
        <v>6237</v>
      </c>
      <c r="AP1127" t="s">
        <v>1405</v>
      </c>
      <c r="AQ1127" s="245">
        <v>479.99</v>
      </c>
      <c r="AR1127" t="s">
        <v>6519</v>
      </c>
      <c r="AS1127" s="226" t="str">
        <f t="shared" si="34"/>
        <v>Yumi 84</v>
      </c>
      <c r="AT1127" s="203" t="str">
        <f t="shared" si="35"/>
        <v xml:space="preserve"> Vï¿½lklYumi 84147 Women's</v>
      </c>
    </row>
    <row r="1128" spans="1:46" ht="39.6">
      <c r="A1128" t="s">
        <v>155</v>
      </c>
      <c r="B1128" t="s">
        <v>172</v>
      </c>
      <c r="C1128" t="s">
        <v>770</v>
      </c>
      <c r="D1128">
        <v>152</v>
      </c>
      <c r="E1128" t="s">
        <v>163</v>
      </c>
      <c r="F1128">
        <v>152</v>
      </c>
      <c r="G1128">
        <v>152.4</v>
      </c>
      <c r="H1128">
        <v>131</v>
      </c>
      <c r="I1128">
        <v>136</v>
      </c>
      <c r="J1128">
        <v>121</v>
      </c>
      <c r="K1128">
        <v>74</v>
      </c>
      <c r="L1128">
        <v>107</v>
      </c>
      <c r="M1128">
        <v>11.7</v>
      </c>
      <c r="N1128">
        <v>1433</v>
      </c>
      <c r="O1128">
        <v>0.95</v>
      </c>
      <c r="P1128">
        <v>1357</v>
      </c>
      <c r="Q1128">
        <v>134</v>
      </c>
      <c r="R1128">
        <v>45</v>
      </c>
      <c r="S1128">
        <v>35</v>
      </c>
      <c r="T1128">
        <v>143</v>
      </c>
      <c r="U1128">
        <v>6</v>
      </c>
      <c r="V1128">
        <v>69</v>
      </c>
      <c r="W1128">
        <v>0.157</v>
      </c>
      <c r="X1128">
        <v>81</v>
      </c>
      <c r="Y1128">
        <v>79</v>
      </c>
      <c r="Z1128">
        <v>62</v>
      </c>
      <c r="AA1128">
        <v>9</v>
      </c>
      <c r="AB1128">
        <v>8.1</v>
      </c>
      <c r="AC1128" t="s">
        <v>349</v>
      </c>
      <c r="AD1128" t="s">
        <v>231</v>
      </c>
      <c r="AS1128" s="226" t="str">
        <f t="shared" si="34"/>
        <v>Nova 2</v>
      </c>
      <c r="AT1128" s="203" t="str">
        <f t="shared" si="35"/>
        <v xml:space="preserve"> RossignolNova 2152 Women's</v>
      </c>
    </row>
    <row r="1129" spans="1:46" ht="66">
      <c r="A1129" t="s">
        <v>155</v>
      </c>
      <c r="B1129" t="s">
        <v>156</v>
      </c>
      <c r="C1129" t="s">
        <v>411</v>
      </c>
      <c r="D1129">
        <v>184</v>
      </c>
      <c r="E1129" t="s">
        <v>158</v>
      </c>
      <c r="F1129">
        <v>184</v>
      </c>
      <c r="G1129">
        <v>182.9</v>
      </c>
      <c r="H1129">
        <v>135</v>
      </c>
      <c r="I1129">
        <v>156</v>
      </c>
      <c r="J1129">
        <v>125</v>
      </c>
      <c r="K1129">
        <v>87</v>
      </c>
      <c r="L1129">
        <v>109</v>
      </c>
      <c r="M1129">
        <v>19.7</v>
      </c>
      <c r="N1129">
        <v>1853</v>
      </c>
      <c r="O1129">
        <v>0.98</v>
      </c>
      <c r="P1129">
        <v>1808</v>
      </c>
      <c r="Q1129">
        <v>261</v>
      </c>
      <c r="R1129">
        <v>167</v>
      </c>
      <c r="S1129">
        <v>52</v>
      </c>
      <c r="T1129">
        <v>291</v>
      </c>
      <c r="U1129">
        <v>13</v>
      </c>
      <c r="V1129">
        <v>189</v>
      </c>
      <c r="W1129">
        <v>0.25700000000000001</v>
      </c>
      <c r="X1129">
        <v>161</v>
      </c>
      <c r="Y1129">
        <v>107</v>
      </c>
      <c r="Z1129">
        <v>130</v>
      </c>
      <c r="AA1129">
        <v>7</v>
      </c>
      <c r="AB1129">
        <v>8.5</v>
      </c>
      <c r="AC1129" t="s">
        <v>188</v>
      </c>
      <c r="AG1129" t="s">
        <v>2108</v>
      </c>
      <c r="AH1129" t="s">
        <v>1232</v>
      </c>
      <c r="AI1129" s="245">
        <v>519.95000000000005</v>
      </c>
      <c r="AJ1129" t="s">
        <v>6520</v>
      </c>
      <c r="AK1129" t="s">
        <v>2108</v>
      </c>
      <c r="AL1129" t="s">
        <v>1405</v>
      </c>
      <c r="AM1129" s="245">
        <v>519.99</v>
      </c>
      <c r="AN1129" t="s">
        <v>6521</v>
      </c>
      <c r="AO1129" t="s">
        <v>2108</v>
      </c>
      <c r="AP1129" t="s">
        <v>1226</v>
      </c>
      <c r="AQ1129" s="245">
        <v>519.99</v>
      </c>
      <c r="AR1129" t="s">
        <v>6522</v>
      </c>
      <c r="AS1129" s="226" t="str">
        <f t="shared" si="34"/>
        <v>Maverick 88 Ti</v>
      </c>
      <c r="AT1129" s="203" t="str">
        <f t="shared" si="35"/>
        <v xml:space="preserve"> AtomicMaverick 88 Ti184 Unisex</v>
      </c>
    </row>
    <row r="1130" spans="1:46" ht="132">
      <c r="A1130" t="s">
        <v>155</v>
      </c>
      <c r="B1130" t="s">
        <v>167</v>
      </c>
      <c r="C1130" t="s">
        <v>869</v>
      </c>
      <c r="D1130">
        <v>170</v>
      </c>
      <c r="E1130" t="s">
        <v>158</v>
      </c>
      <c r="F1130">
        <v>170</v>
      </c>
      <c r="G1130">
        <v>169.3</v>
      </c>
      <c r="H1130">
        <v>150</v>
      </c>
      <c r="I1130">
        <v>158</v>
      </c>
      <c r="J1130">
        <v>128</v>
      </c>
      <c r="K1130">
        <v>71</v>
      </c>
      <c r="L1130">
        <v>109</v>
      </c>
      <c r="M1130">
        <v>13.1</v>
      </c>
      <c r="N1130">
        <v>2206</v>
      </c>
      <c r="O1130">
        <v>0.68</v>
      </c>
      <c r="P1130">
        <v>1491</v>
      </c>
      <c r="Q1130">
        <v>213</v>
      </c>
      <c r="R1130">
        <v>105</v>
      </c>
      <c r="S1130">
        <v>36</v>
      </c>
      <c r="T1130">
        <v>149</v>
      </c>
      <c r="U1130">
        <v>4</v>
      </c>
      <c r="V1130">
        <v>45</v>
      </c>
      <c r="W1130">
        <v>0.104</v>
      </c>
      <c r="X1130">
        <v>65</v>
      </c>
      <c r="Y1130">
        <v>51</v>
      </c>
      <c r="Z1130">
        <v>84</v>
      </c>
      <c r="AA1130">
        <v>9</v>
      </c>
      <c r="AB1130">
        <v>12.9</v>
      </c>
      <c r="AC1130" t="s">
        <v>349</v>
      </c>
      <c r="AG1130" t="s">
        <v>6523</v>
      </c>
      <c r="AH1130" t="s">
        <v>1271</v>
      </c>
      <c r="AI1130" s="245">
        <v>349.99</v>
      </c>
      <c r="AJ1130" t="s">
        <v>6524</v>
      </c>
      <c r="AK1130" t="s">
        <v>6525</v>
      </c>
      <c r="AL1130" t="s">
        <v>1229</v>
      </c>
      <c r="AM1130" s="245">
        <v>689.99</v>
      </c>
      <c r="AN1130" t="s">
        <v>6526</v>
      </c>
      <c r="AO1130" t="s">
        <v>6527</v>
      </c>
      <c r="AP1130" t="s">
        <v>1320</v>
      </c>
      <c r="AQ1130" s="245">
        <v>749</v>
      </c>
      <c r="AR1130" t="s">
        <v>6528</v>
      </c>
      <c r="AS1130" s="226" t="str">
        <f t="shared" si="34"/>
        <v>Supershape e-Magnum</v>
      </c>
      <c r="AT1130" s="203" t="str">
        <f t="shared" si="35"/>
        <v xml:space="preserve"> HeadSupershape e-Magnum170 Unisex</v>
      </c>
    </row>
    <row r="1131" spans="1:46" ht="92.4">
      <c r="A1131" t="s">
        <v>155</v>
      </c>
      <c r="B1131" t="s">
        <v>1152</v>
      </c>
      <c r="C1131" t="s">
        <v>870</v>
      </c>
      <c r="D1131">
        <v>170</v>
      </c>
      <c r="E1131" t="s">
        <v>163</v>
      </c>
      <c r="F1131">
        <v>170</v>
      </c>
      <c r="G1131">
        <v>168.6</v>
      </c>
      <c r="H1131">
        <v>0</v>
      </c>
      <c r="I1131">
        <v>117</v>
      </c>
      <c r="J1131">
        <v>125</v>
      </c>
      <c r="K1131">
        <v>111</v>
      </c>
      <c r="L1131">
        <v>117</v>
      </c>
      <c r="M1131">
        <v>29.9</v>
      </c>
      <c r="N1131">
        <v>1785</v>
      </c>
      <c r="O1131">
        <v>1.08</v>
      </c>
      <c r="P1131">
        <v>1933</v>
      </c>
      <c r="Q1131">
        <v>258</v>
      </c>
      <c r="R1131">
        <v>120</v>
      </c>
      <c r="S1131">
        <v>76</v>
      </c>
      <c r="T1131">
        <v>911</v>
      </c>
      <c r="U1131">
        <v>31</v>
      </c>
      <c r="V1131">
        <v>775</v>
      </c>
      <c r="W1131">
        <v>0.41099999999999998</v>
      </c>
      <c r="X1131">
        <v>200</v>
      </c>
      <c r="Y1131">
        <v>314</v>
      </c>
      <c r="Z1131">
        <v>711</v>
      </c>
      <c r="AA1131">
        <v>-11</v>
      </c>
      <c r="AB1131">
        <v>6.8</v>
      </c>
      <c r="AC1131" t="s">
        <v>169</v>
      </c>
      <c r="AD1131" t="s">
        <v>185</v>
      </c>
      <c r="AG1131" t="s">
        <v>6529</v>
      </c>
      <c r="AH1131" t="s">
        <v>3561</v>
      </c>
      <c r="AI1131" s="245">
        <v>879</v>
      </c>
      <c r="AJ1131" t="s">
        <v>6530</v>
      </c>
      <c r="AS1131" s="226" t="str">
        <f t="shared" si="34"/>
        <v>Hoji CC</v>
      </c>
      <c r="AT1131" s="203" t="str">
        <f t="shared" si="35"/>
        <v>4FRNTHoji CC170 Women's</v>
      </c>
    </row>
    <row r="1132" spans="1:46" ht="39.6">
      <c r="A1132" t="s">
        <v>155</v>
      </c>
      <c r="B1132" t="s">
        <v>227</v>
      </c>
      <c r="C1132" t="s">
        <v>827</v>
      </c>
      <c r="D1132">
        <v>178</v>
      </c>
      <c r="E1132" t="s">
        <v>158</v>
      </c>
      <c r="F1132">
        <v>178</v>
      </c>
      <c r="G1132">
        <v>176.6</v>
      </c>
      <c r="H1132">
        <v>148</v>
      </c>
      <c r="I1132">
        <v>167</v>
      </c>
      <c r="J1132">
        <v>131</v>
      </c>
      <c r="K1132">
        <v>75</v>
      </c>
      <c r="L1132">
        <v>115</v>
      </c>
      <c r="M1132">
        <v>14.6</v>
      </c>
      <c r="N1132">
        <v>1796</v>
      </c>
      <c r="O1132">
        <v>0.91</v>
      </c>
      <c r="P1132">
        <v>1632</v>
      </c>
      <c r="Q1132">
        <v>220</v>
      </c>
      <c r="R1132">
        <v>146</v>
      </c>
      <c r="S1132">
        <v>48</v>
      </c>
      <c r="T1132">
        <v>207</v>
      </c>
      <c r="U1132">
        <v>9</v>
      </c>
      <c r="V1132">
        <v>83</v>
      </c>
      <c r="W1132">
        <v>0.182</v>
      </c>
      <c r="X1132">
        <v>52</v>
      </c>
      <c r="Y1132">
        <v>47</v>
      </c>
      <c r="Z1132">
        <v>155</v>
      </c>
      <c r="AA1132">
        <v>7</v>
      </c>
      <c r="AB1132">
        <v>12.8</v>
      </c>
      <c r="AC1132" t="s">
        <v>349</v>
      </c>
      <c r="AS1132" s="226" t="str">
        <f t="shared" si="34"/>
        <v>Le Condor Ti</v>
      </c>
      <c r="AT1132" s="203" t="str">
        <f t="shared" si="35"/>
        <v xml:space="preserve"> RaccoonLe Condor Ti178 Unisex</v>
      </c>
    </row>
    <row r="1133" spans="1:46" ht="79.2">
      <c r="A1133" t="s">
        <v>155</v>
      </c>
      <c r="B1133" t="s">
        <v>208</v>
      </c>
      <c r="C1133" t="s">
        <v>698</v>
      </c>
      <c r="D1133">
        <v>158</v>
      </c>
      <c r="E1133" t="s">
        <v>163</v>
      </c>
      <c r="F1133">
        <v>158</v>
      </c>
      <c r="G1133">
        <v>158.19999999999999</v>
      </c>
      <c r="H1133">
        <v>118</v>
      </c>
      <c r="I1133">
        <v>133</v>
      </c>
      <c r="J1133">
        <v>130</v>
      </c>
      <c r="K1133">
        <v>93</v>
      </c>
      <c r="L1133">
        <v>116</v>
      </c>
      <c r="M1133">
        <v>13.4</v>
      </c>
      <c r="N1133">
        <v>1310</v>
      </c>
      <c r="O1133">
        <v>1.27</v>
      </c>
      <c r="P1133">
        <v>1663</v>
      </c>
      <c r="Q1133">
        <v>122</v>
      </c>
      <c r="R1133">
        <v>57</v>
      </c>
      <c r="S1133">
        <v>38</v>
      </c>
      <c r="T1133">
        <v>278</v>
      </c>
      <c r="U1133">
        <v>13</v>
      </c>
      <c r="V1133">
        <v>119</v>
      </c>
      <c r="W1133">
        <v>0.34599999999999997</v>
      </c>
      <c r="X1133">
        <v>135</v>
      </c>
      <c r="Y1133">
        <v>117</v>
      </c>
      <c r="Z1133">
        <v>143</v>
      </c>
      <c r="AA1133">
        <v>6</v>
      </c>
      <c r="AB1133">
        <v>9</v>
      </c>
      <c r="AC1133" t="s">
        <v>188</v>
      </c>
      <c r="AD1133" t="s">
        <v>185</v>
      </c>
      <c r="AE1133" t="s">
        <v>198</v>
      </c>
      <c r="AG1133" t="s">
        <v>6531</v>
      </c>
      <c r="AH1133" t="s">
        <v>1240</v>
      </c>
      <c r="AI1133" s="245">
        <v>469.95</v>
      </c>
      <c r="AJ1133" t="s">
        <v>6532</v>
      </c>
      <c r="AK1133" t="s">
        <v>6533</v>
      </c>
      <c r="AL1133" t="s">
        <v>1950</v>
      </c>
      <c r="AM1133" s="245">
        <v>499.95</v>
      </c>
      <c r="AN1133" t="s">
        <v>6534</v>
      </c>
      <c r="AO1133" t="s">
        <v>6535</v>
      </c>
      <c r="AP1133" t="s">
        <v>1497</v>
      </c>
      <c r="AQ1133" s="245">
        <v>499.95</v>
      </c>
      <c r="AR1133" t="s">
        <v>6536</v>
      </c>
      <c r="AS1133" s="226" t="str">
        <f t="shared" si="34"/>
        <v>Pandora 94</v>
      </c>
      <c r="AT1133" s="203" t="str">
        <f t="shared" si="35"/>
        <v xml:space="preserve"> LinePandora 94158 Women's</v>
      </c>
    </row>
    <row r="1134" spans="1:46" ht="52.8">
      <c r="A1134" t="s">
        <v>155</v>
      </c>
      <c r="B1134" t="s">
        <v>1160</v>
      </c>
      <c r="C1134" t="s">
        <v>769</v>
      </c>
      <c r="D1134">
        <v>167</v>
      </c>
      <c r="E1134" t="s">
        <v>158</v>
      </c>
      <c r="F1134">
        <v>167</v>
      </c>
      <c r="G1134">
        <v>167</v>
      </c>
      <c r="H1134">
        <v>126</v>
      </c>
      <c r="I1134">
        <v>141</v>
      </c>
      <c r="J1134">
        <v>120</v>
      </c>
      <c r="K1134">
        <v>87</v>
      </c>
      <c r="L1134">
        <v>108</v>
      </c>
      <c r="M1134">
        <v>18.2</v>
      </c>
      <c r="N1134">
        <v>1154</v>
      </c>
      <c r="O1134">
        <v>1.41</v>
      </c>
      <c r="P1134">
        <v>1623</v>
      </c>
      <c r="Q1134">
        <v>154</v>
      </c>
      <c r="R1134">
        <v>64</v>
      </c>
      <c r="S1134">
        <v>46</v>
      </c>
      <c r="T1134">
        <v>290</v>
      </c>
      <c r="U1134">
        <v>7</v>
      </c>
      <c r="V1134">
        <v>119</v>
      </c>
      <c r="W1134">
        <v>0.158</v>
      </c>
      <c r="X1134">
        <v>159</v>
      </c>
      <c r="Y1134">
        <v>100</v>
      </c>
      <c r="Z1134">
        <v>131</v>
      </c>
      <c r="AA1134">
        <v>8</v>
      </c>
      <c r="AB1134">
        <v>11.3</v>
      </c>
      <c r="AC1134" t="s">
        <v>185</v>
      </c>
      <c r="AD1134" t="s">
        <v>198</v>
      </c>
      <c r="AG1134" t="s">
        <v>6537</v>
      </c>
      <c r="AH1134" t="s">
        <v>1194</v>
      </c>
      <c r="AI1134" s="245">
        <v>367.81</v>
      </c>
      <c r="AJ1134" t="s">
        <v>6538</v>
      </c>
      <c r="AK1134" t="s">
        <v>6537</v>
      </c>
      <c r="AL1134" t="s">
        <v>1509</v>
      </c>
      <c r="AM1134" s="245">
        <v>436.99</v>
      </c>
      <c r="AN1134" t="s">
        <v>6539</v>
      </c>
      <c r="AO1134" t="s">
        <v>6537</v>
      </c>
      <c r="AP1134" t="s">
        <v>1181</v>
      </c>
      <c r="AQ1134" s="245">
        <v>519.95000000000005</v>
      </c>
      <c r="AR1134" t="s">
        <v>6540</v>
      </c>
      <c r="AS1134" s="226" t="str">
        <f t="shared" si="34"/>
        <v>Wayback 88</v>
      </c>
      <c r="AT1134" s="203" t="str">
        <f t="shared" si="35"/>
        <v>K2Wayback 88167 Unisex</v>
      </c>
    </row>
    <row r="1135" spans="1:46" ht="105.6">
      <c r="A1135" t="s">
        <v>155</v>
      </c>
      <c r="B1135" t="s">
        <v>245</v>
      </c>
      <c r="C1135" t="s">
        <v>847</v>
      </c>
      <c r="D1135">
        <v>155</v>
      </c>
      <c r="E1135" t="s">
        <v>163</v>
      </c>
      <c r="F1135">
        <v>155</v>
      </c>
      <c r="G1135">
        <v>155.1</v>
      </c>
      <c r="H1135">
        <v>123</v>
      </c>
      <c r="I1135">
        <v>138</v>
      </c>
      <c r="J1135">
        <v>116</v>
      </c>
      <c r="K1135">
        <v>79</v>
      </c>
      <c r="L1135">
        <v>105</v>
      </c>
      <c r="M1135">
        <v>14.1</v>
      </c>
      <c r="N1135">
        <v>1056</v>
      </c>
      <c r="O1135">
        <v>1.34</v>
      </c>
      <c r="P1135">
        <v>1415</v>
      </c>
      <c r="Q1135">
        <v>182</v>
      </c>
      <c r="R1135">
        <v>66</v>
      </c>
      <c r="S1135">
        <v>54</v>
      </c>
      <c r="T1135">
        <v>231</v>
      </c>
      <c r="U1135">
        <v>10</v>
      </c>
      <c r="V1135">
        <v>90</v>
      </c>
      <c r="W1135">
        <v>0.184</v>
      </c>
      <c r="X1135">
        <v>93</v>
      </c>
      <c r="Y1135">
        <v>81</v>
      </c>
      <c r="Z1135">
        <v>138</v>
      </c>
      <c r="AA1135">
        <v>6</v>
      </c>
      <c r="AB1135">
        <v>9.5</v>
      </c>
      <c r="AC1135" t="s">
        <v>185</v>
      </c>
      <c r="AD1135" t="s">
        <v>198</v>
      </c>
      <c r="AG1135" t="s">
        <v>6541</v>
      </c>
      <c r="AH1135" t="s">
        <v>1248</v>
      </c>
      <c r="AI1135" s="245">
        <v>419.99</v>
      </c>
      <c r="AJ1135" t="s">
        <v>6542</v>
      </c>
      <c r="AK1135" t="s">
        <v>6543</v>
      </c>
      <c r="AL1135" t="s">
        <v>1601</v>
      </c>
      <c r="AM1135" s="245">
        <v>599.99</v>
      </c>
      <c r="AN1135" t="s">
        <v>6544</v>
      </c>
      <c r="AO1135" t="s">
        <v>6545</v>
      </c>
      <c r="AP1135" t="s">
        <v>1349</v>
      </c>
      <c r="AQ1135" s="245">
        <v>357.47</v>
      </c>
      <c r="AR1135" t="s">
        <v>6546</v>
      </c>
      <c r="AS1135" s="226" t="str">
        <f t="shared" si="34"/>
        <v>Transalp 82</v>
      </c>
      <c r="AT1135" s="203" t="str">
        <f t="shared" si="35"/>
        <v xml:space="preserve"> FischerTransalp 82155 Women's</v>
      </c>
    </row>
    <row r="1136" spans="1:46" ht="92.4">
      <c r="A1136" t="s">
        <v>155</v>
      </c>
      <c r="B1136" t="s">
        <v>167</v>
      </c>
      <c r="C1136" t="s">
        <v>841</v>
      </c>
      <c r="D1136">
        <v>153</v>
      </c>
      <c r="E1136" t="s">
        <v>163</v>
      </c>
      <c r="F1136">
        <v>153</v>
      </c>
      <c r="G1136">
        <v>152.4</v>
      </c>
      <c r="H1136">
        <v>131</v>
      </c>
      <c r="I1136">
        <v>137</v>
      </c>
      <c r="J1136">
        <v>128</v>
      </c>
      <c r="K1136">
        <v>74</v>
      </c>
      <c r="L1136">
        <v>107</v>
      </c>
      <c r="M1136">
        <v>10.6</v>
      </c>
      <c r="N1136">
        <v>1454</v>
      </c>
      <c r="O1136">
        <v>0.95</v>
      </c>
      <c r="P1136">
        <v>1386</v>
      </c>
      <c r="Q1136">
        <v>145</v>
      </c>
      <c r="R1136">
        <v>48</v>
      </c>
      <c r="S1136">
        <v>38</v>
      </c>
      <c r="T1136">
        <v>143</v>
      </c>
      <c r="U1136">
        <v>12</v>
      </c>
      <c r="V1136">
        <v>75</v>
      </c>
      <c r="W1136">
        <v>0.32299999999999901</v>
      </c>
      <c r="X1136">
        <v>96</v>
      </c>
      <c r="Y1136">
        <v>62</v>
      </c>
      <c r="Z1136">
        <v>47</v>
      </c>
      <c r="AA1136">
        <v>11</v>
      </c>
      <c r="AB1136">
        <v>11.1</v>
      </c>
      <c r="AC1136" t="s">
        <v>349</v>
      </c>
      <c r="AD1136" t="s">
        <v>231</v>
      </c>
      <c r="AG1136" t="s">
        <v>6547</v>
      </c>
      <c r="AH1136" t="s">
        <v>1229</v>
      </c>
      <c r="AI1136" s="245">
        <v>527.99</v>
      </c>
      <c r="AJ1136" t="s">
        <v>6548</v>
      </c>
      <c r="AK1136" t="s">
        <v>6547</v>
      </c>
      <c r="AL1136" t="s">
        <v>1179</v>
      </c>
      <c r="AM1136" s="245">
        <v>650</v>
      </c>
      <c r="AN1136" t="s">
        <v>6549</v>
      </c>
      <c r="AO1136" t="s">
        <v>6547</v>
      </c>
      <c r="AP1136" t="s">
        <v>2257</v>
      </c>
      <c r="AQ1136" s="245">
        <v>679</v>
      </c>
      <c r="AR1136" t="s">
        <v>6550</v>
      </c>
      <c r="AS1136" s="226" t="str">
        <f t="shared" si="34"/>
        <v>Super Joy</v>
      </c>
      <c r="AT1136" s="203" t="str">
        <f t="shared" si="35"/>
        <v xml:space="preserve"> HeadSuper Joy153 Women's</v>
      </c>
    </row>
    <row r="1137" spans="1:46" ht="79.2">
      <c r="A1137" t="s">
        <v>155</v>
      </c>
      <c r="B1137" t="s">
        <v>167</v>
      </c>
      <c r="C1137" t="s">
        <v>704</v>
      </c>
      <c r="D1137">
        <v>177</v>
      </c>
      <c r="E1137" t="s">
        <v>158</v>
      </c>
      <c r="F1137">
        <v>177</v>
      </c>
      <c r="G1137">
        <v>176.4</v>
      </c>
      <c r="H1137">
        <v>157</v>
      </c>
      <c r="I1137">
        <v>164</v>
      </c>
      <c r="J1137">
        <v>130</v>
      </c>
      <c r="K1137">
        <v>76</v>
      </c>
      <c r="L1137">
        <v>112</v>
      </c>
      <c r="M1137">
        <v>15</v>
      </c>
      <c r="N1137">
        <v>2144</v>
      </c>
      <c r="O1137">
        <v>0.76</v>
      </c>
      <c r="P1137">
        <v>1628</v>
      </c>
      <c r="Q1137">
        <v>208</v>
      </c>
      <c r="R1137">
        <v>114</v>
      </c>
      <c r="S1137">
        <v>33</v>
      </c>
      <c r="T1137">
        <v>134</v>
      </c>
      <c r="U1137">
        <v>6</v>
      </c>
      <c r="V1137">
        <v>56</v>
      </c>
      <c r="W1137">
        <v>0.188</v>
      </c>
      <c r="X1137">
        <v>76</v>
      </c>
      <c r="Y1137">
        <v>51</v>
      </c>
      <c r="Z1137">
        <v>58</v>
      </c>
      <c r="AA1137">
        <v>18</v>
      </c>
      <c r="AB1137">
        <v>13.2</v>
      </c>
      <c r="AC1137" t="s">
        <v>349</v>
      </c>
      <c r="AG1137" t="s">
        <v>4278</v>
      </c>
      <c r="AH1137" t="s">
        <v>1232</v>
      </c>
      <c r="AI1137" s="245">
        <v>449.95</v>
      </c>
      <c r="AJ1137" t="s">
        <v>6551</v>
      </c>
      <c r="AK1137" t="s">
        <v>4278</v>
      </c>
      <c r="AL1137" t="s">
        <v>1179</v>
      </c>
      <c r="AM1137" s="245">
        <v>450</v>
      </c>
      <c r="AN1137" t="s">
        <v>6552</v>
      </c>
      <c r="AO1137" t="s">
        <v>4278</v>
      </c>
      <c r="AP1137" t="s">
        <v>4009</v>
      </c>
      <c r="AQ1137" s="245">
        <v>503.98</v>
      </c>
      <c r="AR1137" t="s">
        <v>6553</v>
      </c>
      <c r="AS1137" s="226" t="str">
        <f t="shared" si="34"/>
        <v>V-Shape V6</v>
      </c>
      <c r="AT1137" s="203" t="str">
        <f t="shared" si="35"/>
        <v xml:space="preserve"> HeadV-Shape V6177 Unisex</v>
      </c>
    </row>
    <row r="1138" spans="1:46" ht="66">
      <c r="A1138" t="s">
        <v>155</v>
      </c>
      <c r="B1138" t="s">
        <v>332</v>
      </c>
      <c r="C1138" t="s">
        <v>730</v>
      </c>
      <c r="D1138">
        <v>179</v>
      </c>
      <c r="E1138" t="s">
        <v>158</v>
      </c>
      <c r="F1138">
        <v>179</v>
      </c>
      <c r="G1138">
        <v>178.5</v>
      </c>
      <c r="H1138">
        <v>131</v>
      </c>
      <c r="I1138">
        <v>148</v>
      </c>
      <c r="J1138">
        <v>134</v>
      </c>
      <c r="K1138">
        <v>100</v>
      </c>
      <c r="L1138">
        <v>120</v>
      </c>
      <c r="M1138">
        <v>17.3</v>
      </c>
      <c r="N1138">
        <v>2178</v>
      </c>
      <c r="O1138">
        <v>0.91</v>
      </c>
      <c r="P1138">
        <v>1975</v>
      </c>
      <c r="Q1138">
        <v>226</v>
      </c>
      <c r="R1138">
        <v>145</v>
      </c>
      <c r="S1138">
        <v>54</v>
      </c>
      <c r="T1138">
        <v>275</v>
      </c>
      <c r="U1138">
        <v>16</v>
      </c>
      <c r="V1138">
        <v>198</v>
      </c>
      <c r="W1138">
        <v>0.29699999999999999</v>
      </c>
      <c r="X1138">
        <v>146</v>
      </c>
      <c r="Y1138">
        <v>162</v>
      </c>
      <c r="Z1138">
        <v>129</v>
      </c>
      <c r="AA1138">
        <v>9</v>
      </c>
      <c r="AB1138">
        <v>8.4</v>
      </c>
      <c r="AC1138" t="s">
        <v>188</v>
      </c>
      <c r="AG1138" t="s">
        <v>4577</v>
      </c>
      <c r="AH1138" t="s">
        <v>1232</v>
      </c>
      <c r="AI1138" s="245">
        <v>599.95000000000005</v>
      </c>
      <c r="AJ1138" t="s">
        <v>6554</v>
      </c>
      <c r="AK1138" t="s">
        <v>4577</v>
      </c>
      <c r="AL1138" t="s">
        <v>1224</v>
      </c>
      <c r="AM1138" s="245">
        <v>599.99</v>
      </c>
      <c r="AN1138" t="s">
        <v>6555</v>
      </c>
      <c r="AO1138" t="s">
        <v>4577</v>
      </c>
      <c r="AP1138" t="s">
        <v>1400</v>
      </c>
      <c r="AQ1138" s="245">
        <v>599.99</v>
      </c>
      <c r="AR1138" t="s">
        <v>6556</v>
      </c>
      <c r="AS1138" s="226" t="str">
        <f t="shared" si="34"/>
        <v>Enforcer 100</v>
      </c>
      <c r="AT1138" s="203" t="str">
        <f t="shared" si="35"/>
        <v xml:space="preserve"> NordicaEnforcer 100179 Unisex</v>
      </c>
    </row>
    <row r="1139" spans="1:46" ht="118.8">
      <c r="A1139" t="s">
        <v>155</v>
      </c>
      <c r="B1139" t="s">
        <v>1395</v>
      </c>
      <c r="C1139" t="s">
        <v>725</v>
      </c>
      <c r="D1139">
        <v>149</v>
      </c>
      <c r="E1139" t="s">
        <v>163</v>
      </c>
      <c r="F1139">
        <v>149</v>
      </c>
      <c r="G1139">
        <v>149.4</v>
      </c>
      <c r="H1139">
        <v>106</v>
      </c>
      <c r="I1139">
        <v>138</v>
      </c>
      <c r="J1139">
        <v>128</v>
      </c>
      <c r="K1139">
        <v>79</v>
      </c>
      <c r="L1139">
        <v>109</v>
      </c>
      <c r="M1139">
        <v>11.9</v>
      </c>
      <c r="N1139">
        <v>1397</v>
      </c>
      <c r="O1139">
        <v>1</v>
      </c>
      <c r="P1139">
        <v>1393</v>
      </c>
      <c r="Q1139">
        <v>140</v>
      </c>
      <c r="R1139">
        <v>51</v>
      </c>
      <c r="S1139">
        <v>37</v>
      </c>
      <c r="T1139">
        <v>229</v>
      </c>
      <c r="U1139">
        <v>7</v>
      </c>
      <c r="V1139">
        <v>204</v>
      </c>
      <c r="W1139">
        <v>0.18099999999999999</v>
      </c>
      <c r="X1139">
        <v>67</v>
      </c>
      <c r="Y1139">
        <v>47</v>
      </c>
      <c r="Z1139">
        <v>161</v>
      </c>
      <c r="AA1139">
        <v>3</v>
      </c>
      <c r="AB1139">
        <v>11.4</v>
      </c>
      <c r="AC1139" t="s">
        <v>160</v>
      </c>
      <c r="AG1139" t="s">
        <v>6557</v>
      </c>
      <c r="AH1139" t="s">
        <v>1400</v>
      </c>
      <c r="AI1139" s="245">
        <v>499.95</v>
      </c>
      <c r="AJ1139" t="s">
        <v>6558</v>
      </c>
      <c r="AK1139" t="s">
        <v>6559</v>
      </c>
      <c r="AL1139" t="s">
        <v>2818</v>
      </c>
      <c r="AM1139" s="245">
        <v>699</v>
      </c>
      <c r="AN1139" t="s">
        <v>6560</v>
      </c>
      <c r="AO1139" t="s">
        <v>6557</v>
      </c>
      <c r="AP1139" t="s">
        <v>1592</v>
      </c>
      <c r="AQ1139" s="245">
        <v>753.18</v>
      </c>
      <c r="AR1139" t="s">
        <v>6561</v>
      </c>
      <c r="AS1139" s="226" t="str">
        <f t="shared" si="34"/>
        <v>Flair 79</v>
      </c>
      <c r="AT1139" s="203" t="str">
        <f t="shared" si="35"/>
        <v xml:space="preserve"> Vï¿½lklFlair 79149 Women's</v>
      </c>
    </row>
    <row r="1140" spans="1:46" ht="118.8">
      <c r="A1140" t="s">
        <v>155</v>
      </c>
      <c r="B1140" t="s">
        <v>182</v>
      </c>
      <c r="C1140" t="s">
        <v>721</v>
      </c>
      <c r="D1140">
        <v>150</v>
      </c>
      <c r="E1140" t="s">
        <v>163</v>
      </c>
      <c r="F1140">
        <v>150</v>
      </c>
      <c r="G1140">
        <v>148.1</v>
      </c>
      <c r="H1140">
        <v>102</v>
      </c>
      <c r="I1140">
        <v>122</v>
      </c>
      <c r="J1140">
        <v>116</v>
      </c>
      <c r="K1140">
        <v>84</v>
      </c>
      <c r="L1140">
        <v>108</v>
      </c>
      <c r="M1140">
        <v>12</v>
      </c>
      <c r="N1140">
        <v>1453</v>
      </c>
      <c r="O1140">
        <v>0.97</v>
      </c>
      <c r="P1140">
        <v>1412</v>
      </c>
      <c r="Q1140">
        <v>110</v>
      </c>
      <c r="R1140">
        <v>46</v>
      </c>
      <c r="S1140">
        <v>49</v>
      </c>
      <c r="T1140">
        <v>257</v>
      </c>
      <c r="U1140">
        <v>39</v>
      </c>
      <c r="V1140">
        <v>207</v>
      </c>
      <c r="W1140">
        <v>0.80299999999999905</v>
      </c>
      <c r="X1140">
        <v>134</v>
      </c>
      <c r="Y1140">
        <v>123</v>
      </c>
      <c r="Z1140">
        <v>123</v>
      </c>
      <c r="AA1140">
        <v>6</v>
      </c>
      <c r="AB1140">
        <v>6</v>
      </c>
      <c r="AC1140" t="s">
        <v>188</v>
      </c>
      <c r="AD1140" t="s">
        <v>184</v>
      </c>
      <c r="AG1140" t="s">
        <v>2173</v>
      </c>
      <c r="AH1140" t="s">
        <v>2818</v>
      </c>
      <c r="AI1140" s="245">
        <v>349</v>
      </c>
      <c r="AJ1140" t="s">
        <v>6562</v>
      </c>
      <c r="AK1140" t="s">
        <v>6563</v>
      </c>
      <c r="AL1140" t="s">
        <v>1610</v>
      </c>
      <c r="AM1140" s="245">
        <v>439.95</v>
      </c>
      <c r="AN1140" t="s">
        <v>6564</v>
      </c>
      <c r="AO1140" t="s">
        <v>1307</v>
      </c>
      <c r="AP1140" t="s">
        <v>1224</v>
      </c>
      <c r="AQ1140" s="245">
        <v>279.95999999999998</v>
      </c>
      <c r="AR1140" t="s">
        <v>6565</v>
      </c>
      <c r="AS1140" s="226" t="str">
        <f t="shared" si="34"/>
        <v>ARW 84</v>
      </c>
      <c r="AT1140" s="203" t="str">
        <f t="shared" si="35"/>
        <v xml:space="preserve"> ArmadaARW 84150 Women's</v>
      </c>
    </row>
    <row r="1141" spans="1:46" ht="66">
      <c r="A1141" t="s">
        <v>155</v>
      </c>
      <c r="B1141" t="s">
        <v>245</v>
      </c>
      <c r="C1141" t="s">
        <v>616</v>
      </c>
      <c r="D1141">
        <v>169</v>
      </c>
      <c r="E1141" t="s">
        <v>158</v>
      </c>
      <c r="F1141">
        <v>169</v>
      </c>
      <c r="G1141">
        <v>168.5</v>
      </c>
      <c r="H1141">
        <v>130</v>
      </c>
      <c r="I1141">
        <v>144</v>
      </c>
      <c r="J1141">
        <v>125</v>
      </c>
      <c r="K1141">
        <v>94</v>
      </c>
      <c r="L1141">
        <v>111</v>
      </c>
      <c r="M1141">
        <v>19.899999999999999</v>
      </c>
      <c r="N1141">
        <v>1198</v>
      </c>
      <c r="O1141">
        <v>1.45</v>
      </c>
      <c r="P1141">
        <v>1735</v>
      </c>
      <c r="Q1141">
        <v>136</v>
      </c>
      <c r="R1141">
        <v>58</v>
      </c>
      <c r="S1141">
        <v>54</v>
      </c>
      <c r="T1141">
        <v>280</v>
      </c>
      <c r="U1141">
        <v>3</v>
      </c>
      <c r="V1141">
        <v>106</v>
      </c>
      <c r="W1141">
        <v>6.2E-2</v>
      </c>
      <c r="X1141">
        <v>161</v>
      </c>
      <c r="Y1141">
        <v>87</v>
      </c>
      <c r="Z1141">
        <v>119</v>
      </c>
      <c r="AA1141">
        <v>6</v>
      </c>
      <c r="AB1141">
        <v>9.8000000000000007</v>
      </c>
      <c r="AC1141" t="s">
        <v>185</v>
      </c>
      <c r="AD1141" t="s">
        <v>198</v>
      </c>
      <c r="AG1141" t="s">
        <v>6566</v>
      </c>
      <c r="AH1141" t="s">
        <v>1601</v>
      </c>
      <c r="AI1141" s="245">
        <v>1250</v>
      </c>
      <c r="AJ1141" t="s">
        <v>6567</v>
      </c>
      <c r="AK1141" t="s">
        <v>2058</v>
      </c>
      <c r="AL1141" t="s">
        <v>1194</v>
      </c>
      <c r="AM1141" s="245">
        <v>419.41</v>
      </c>
      <c r="AN1141" t="s">
        <v>6568</v>
      </c>
      <c r="AO1141" t="s">
        <v>6569</v>
      </c>
      <c r="AP1141" t="s">
        <v>1204</v>
      </c>
      <c r="AQ1141" s="245">
        <v>561.01</v>
      </c>
      <c r="AR1141" t="s">
        <v>6570</v>
      </c>
      <c r="AS1141" s="226" t="str">
        <f t="shared" si="34"/>
        <v>Hannibal 96</v>
      </c>
      <c r="AT1141" s="203" t="str">
        <f t="shared" si="35"/>
        <v xml:space="preserve"> FischerHannibal 96169 Unisex</v>
      </c>
    </row>
    <row r="1142" spans="1:46" ht="52.8">
      <c r="A1142" t="s">
        <v>155</v>
      </c>
      <c r="B1142" t="s">
        <v>167</v>
      </c>
      <c r="C1142" t="s">
        <v>200</v>
      </c>
      <c r="D1142">
        <v>184</v>
      </c>
      <c r="E1142" t="s">
        <v>158</v>
      </c>
      <c r="F1142">
        <v>184</v>
      </c>
      <c r="G1142">
        <v>183.3</v>
      </c>
      <c r="H1142">
        <v>146</v>
      </c>
      <c r="I1142">
        <v>154</v>
      </c>
      <c r="J1142">
        <v>135</v>
      </c>
      <c r="K1142">
        <v>94</v>
      </c>
      <c r="L1142">
        <v>116</v>
      </c>
      <c r="M1142">
        <v>17.600000000000001</v>
      </c>
      <c r="N1142">
        <v>1828</v>
      </c>
      <c r="O1142">
        <v>1.07</v>
      </c>
      <c r="P1142">
        <v>1952</v>
      </c>
      <c r="Q1142">
        <v>308</v>
      </c>
      <c r="R1142">
        <v>140</v>
      </c>
      <c r="S1142">
        <v>50</v>
      </c>
      <c r="T1142">
        <v>221</v>
      </c>
      <c r="U1142">
        <v>11</v>
      </c>
      <c r="V1142">
        <v>150</v>
      </c>
      <c r="W1142">
        <v>0.218999999999999</v>
      </c>
      <c r="X1142">
        <v>146</v>
      </c>
      <c r="Y1142">
        <v>152</v>
      </c>
      <c r="Z1142">
        <v>75</v>
      </c>
      <c r="AA1142">
        <v>7</v>
      </c>
      <c r="AB1142">
        <v>11.8</v>
      </c>
      <c r="AC1142" t="s">
        <v>188</v>
      </c>
      <c r="AD1142" t="s">
        <v>185</v>
      </c>
      <c r="AG1142" t="s">
        <v>6571</v>
      </c>
      <c r="AH1142" t="s">
        <v>1204</v>
      </c>
      <c r="AI1142" s="245">
        <v>480.86</v>
      </c>
      <c r="AJ1142" t="s">
        <v>6572</v>
      </c>
      <c r="AK1142" t="s">
        <v>1339</v>
      </c>
      <c r="AL1142" t="s">
        <v>1421</v>
      </c>
      <c r="AM1142" s="245">
        <v>489</v>
      </c>
      <c r="AN1142" t="s">
        <v>6573</v>
      </c>
      <c r="AO1142" t="s">
        <v>1339</v>
      </c>
      <c r="AP1142" t="s">
        <v>1181</v>
      </c>
      <c r="AQ1142" s="245">
        <v>489</v>
      </c>
      <c r="AR1142" t="s">
        <v>6574</v>
      </c>
      <c r="AS1142" s="226" t="str">
        <f t="shared" si="34"/>
        <v>Kore 93</v>
      </c>
      <c r="AT1142" s="203" t="str">
        <f t="shared" si="35"/>
        <v xml:space="preserve"> HeadKore 93184 Unisex</v>
      </c>
    </row>
    <row r="1143" spans="1:46" ht="79.2">
      <c r="A1143" t="s">
        <v>155</v>
      </c>
      <c r="B1143" t="s">
        <v>208</v>
      </c>
      <c r="C1143" t="s">
        <v>698</v>
      </c>
      <c r="D1143">
        <v>151</v>
      </c>
      <c r="E1143" t="s">
        <v>163</v>
      </c>
      <c r="F1143">
        <v>151</v>
      </c>
      <c r="G1143">
        <v>151.1</v>
      </c>
      <c r="H1143">
        <v>111</v>
      </c>
      <c r="I1143">
        <v>125</v>
      </c>
      <c r="J1143">
        <v>130</v>
      </c>
      <c r="K1143">
        <v>93</v>
      </c>
      <c r="L1143">
        <v>116</v>
      </c>
      <c r="M1143">
        <v>12.4</v>
      </c>
      <c r="N1143">
        <v>1354</v>
      </c>
      <c r="O1143">
        <v>1.17</v>
      </c>
      <c r="P1143">
        <v>1586</v>
      </c>
      <c r="Q1143">
        <v>117</v>
      </c>
      <c r="R1143">
        <v>60</v>
      </c>
      <c r="S1143">
        <v>44</v>
      </c>
      <c r="T1143">
        <v>265</v>
      </c>
      <c r="U1143">
        <v>17</v>
      </c>
      <c r="V1143">
        <v>135</v>
      </c>
      <c r="W1143">
        <v>0.38799999999999901</v>
      </c>
      <c r="X1143">
        <v>141</v>
      </c>
      <c r="Y1143">
        <v>117</v>
      </c>
      <c r="Z1143">
        <v>124</v>
      </c>
      <c r="AA1143">
        <v>7</v>
      </c>
      <c r="AB1143">
        <v>8.3000000000000007</v>
      </c>
      <c r="AC1143" t="s">
        <v>188</v>
      </c>
      <c r="AD1143" t="s">
        <v>185</v>
      </c>
      <c r="AG1143" t="s">
        <v>6575</v>
      </c>
      <c r="AH1143" t="s">
        <v>1240</v>
      </c>
      <c r="AI1143" s="245">
        <v>469.95</v>
      </c>
      <c r="AJ1143" t="s">
        <v>6576</v>
      </c>
      <c r="AK1143" t="s">
        <v>6577</v>
      </c>
      <c r="AL1143" t="s">
        <v>1497</v>
      </c>
      <c r="AM1143" s="245">
        <v>499.95</v>
      </c>
      <c r="AN1143" t="s">
        <v>6578</v>
      </c>
      <c r="AO1143" t="s">
        <v>6579</v>
      </c>
      <c r="AP1143" t="s">
        <v>1950</v>
      </c>
      <c r="AQ1143" s="245">
        <v>499.95</v>
      </c>
      <c r="AR1143" t="s">
        <v>6580</v>
      </c>
      <c r="AS1143" s="226" t="str">
        <f t="shared" si="34"/>
        <v>Pandora 94</v>
      </c>
      <c r="AT1143" s="203" t="str">
        <f t="shared" si="35"/>
        <v xml:space="preserve"> LinePandora 94151 Women's</v>
      </c>
    </row>
    <row r="1144" spans="1:46" ht="184.8">
      <c r="A1144" t="s">
        <v>155</v>
      </c>
      <c r="B1144" t="s">
        <v>317</v>
      </c>
      <c r="C1144" t="s">
        <v>449</v>
      </c>
      <c r="D1144">
        <v>157</v>
      </c>
      <c r="E1144" t="s">
        <v>158</v>
      </c>
      <c r="F1144">
        <v>157</v>
      </c>
      <c r="G1144">
        <v>154.69999999999999</v>
      </c>
      <c r="H1144">
        <v>118</v>
      </c>
      <c r="I1144">
        <v>128</v>
      </c>
      <c r="J1144">
        <v>124</v>
      </c>
      <c r="K1144">
        <v>93</v>
      </c>
      <c r="L1144">
        <v>108</v>
      </c>
      <c r="M1144">
        <v>17.7</v>
      </c>
      <c r="N1144">
        <v>1072</v>
      </c>
      <c r="O1144">
        <v>1.46</v>
      </c>
      <c r="P1144">
        <v>1566</v>
      </c>
      <c r="Q1144">
        <v>159</v>
      </c>
      <c r="R1144">
        <v>62</v>
      </c>
      <c r="S1144">
        <v>57</v>
      </c>
      <c r="T1144">
        <v>216</v>
      </c>
      <c r="U1144">
        <v>8</v>
      </c>
      <c r="V1144">
        <v>155</v>
      </c>
      <c r="W1144">
        <v>0.14599999999999999</v>
      </c>
      <c r="X1144">
        <v>132</v>
      </c>
      <c r="Y1144">
        <v>132</v>
      </c>
      <c r="Z1144">
        <v>85</v>
      </c>
      <c r="AA1144">
        <v>5</v>
      </c>
      <c r="AB1144">
        <v>10.199999999999999</v>
      </c>
      <c r="AC1144" t="s">
        <v>185</v>
      </c>
      <c r="AD1144" t="s">
        <v>198</v>
      </c>
      <c r="AG1144" t="s">
        <v>6581</v>
      </c>
      <c r="AH1144" t="s">
        <v>1181</v>
      </c>
      <c r="AI1144" s="245">
        <v>1050</v>
      </c>
      <c r="AJ1144" t="s">
        <v>6582</v>
      </c>
      <c r="AK1144" t="s">
        <v>6583</v>
      </c>
      <c r="AL1144" t="s">
        <v>1400</v>
      </c>
      <c r="AM1144" s="245">
        <v>559.95000000000005</v>
      </c>
      <c r="AN1144" t="s">
        <v>6584</v>
      </c>
      <c r="AO1144" t="s">
        <v>6583</v>
      </c>
      <c r="AP1144" t="s">
        <v>1976</v>
      </c>
      <c r="AQ1144" s="245">
        <v>559.95000000000005</v>
      </c>
      <c r="AR1144" t="s">
        <v>6585</v>
      </c>
      <c r="AS1144" s="226" t="str">
        <f t="shared" si="34"/>
        <v>Zero G 95</v>
      </c>
      <c r="AT1144" s="203" t="str">
        <f t="shared" si="35"/>
        <v xml:space="preserve"> BlizzardZero G 95157 Unisex</v>
      </c>
    </row>
    <row r="1145" spans="1:46" ht="105.6">
      <c r="A1145" t="s">
        <v>155</v>
      </c>
      <c r="B1145" t="s">
        <v>172</v>
      </c>
      <c r="C1145" t="s">
        <v>871</v>
      </c>
      <c r="D1145">
        <v>167</v>
      </c>
      <c r="E1145" t="s">
        <v>158</v>
      </c>
      <c r="F1145">
        <v>167</v>
      </c>
      <c r="G1145">
        <v>166.3</v>
      </c>
      <c r="H1145">
        <v>145</v>
      </c>
      <c r="I1145">
        <v>155</v>
      </c>
      <c r="J1145">
        <v>118</v>
      </c>
      <c r="K1145">
        <v>70</v>
      </c>
      <c r="L1145">
        <v>100</v>
      </c>
      <c r="M1145">
        <v>15.3</v>
      </c>
      <c r="N1145">
        <v>1969</v>
      </c>
      <c r="O1145">
        <v>0.71</v>
      </c>
      <c r="P1145">
        <v>1398</v>
      </c>
      <c r="Q1145">
        <v>240</v>
      </c>
      <c r="R1145">
        <v>135</v>
      </c>
      <c r="S1145">
        <v>42</v>
      </c>
      <c r="T1145">
        <v>161</v>
      </c>
      <c r="U1145">
        <v>5</v>
      </c>
      <c r="V1145">
        <v>54</v>
      </c>
      <c r="W1145">
        <v>0.11799999999999999</v>
      </c>
      <c r="X1145">
        <v>69</v>
      </c>
      <c r="Y1145">
        <v>41</v>
      </c>
      <c r="Z1145">
        <v>93</v>
      </c>
      <c r="AA1145">
        <v>10</v>
      </c>
      <c r="AB1145">
        <v>11.1</v>
      </c>
      <c r="AC1145" t="s">
        <v>349</v>
      </c>
      <c r="AG1145" t="s">
        <v>3588</v>
      </c>
      <c r="AH1145" t="s">
        <v>2049</v>
      </c>
      <c r="AI1145" s="245">
        <v>1099.95</v>
      </c>
      <c r="AJ1145" t="s">
        <v>6586</v>
      </c>
      <c r="AK1145" t="s">
        <v>4790</v>
      </c>
      <c r="AL1145" t="s">
        <v>1194</v>
      </c>
      <c r="AM1145" s="245">
        <v>506.08</v>
      </c>
      <c r="AN1145" t="s">
        <v>6587</v>
      </c>
      <c r="AO1145" t="s">
        <v>3590</v>
      </c>
      <c r="AP1145" t="s">
        <v>1277</v>
      </c>
      <c r="AQ1145" s="245">
        <v>575</v>
      </c>
      <c r="AR1145" t="s">
        <v>6588</v>
      </c>
      <c r="AS1145" s="226" t="str">
        <f t="shared" si="34"/>
        <v>Hero Elite Long Turn Ti</v>
      </c>
      <c r="AT1145" s="203" t="str">
        <f t="shared" si="35"/>
        <v xml:space="preserve"> RossignolHero Elite Long Turn Ti167 Unisex</v>
      </c>
    </row>
    <row r="1146" spans="1:46" ht="118.8">
      <c r="A1146" t="s">
        <v>155</v>
      </c>
      <c r="B1146" t="s">
        <v>1395</v>
      </c>
      <c r="C1146" t="s">
        <v>820</v>
      </c>
      <c r="D1146">
        <v>184</v>
      </c>
      <c r="E1146" t="s">
        <v>158</v>
      </c>
      <c r="F1146">
        <v>184</v>
      </c>
      <c r="G1146">
        <v>183.9</v>
      </c>
      <c r="H1146">
        <v>144</v>
      </c>
      <c r="I1146">
        <v>160</v>
      </c>
      <c r="J1146">
        <v>133</v>
      </c>
      <c r="K1146">
        <v>95</v>
      </c>
      <c r="L1146">
        <v>116</v>
      </c>
      <c r="M1146">
        <v>21.4</v>
      </c>
      <c r="N1146">
        <v>2122</v>
      </c>
      <c r="O1146">
        <v>0.92</v>
      </c>
      <c r="P1146">
        <v>1958</v>
      </c>
      <c r="Q1146">
        <v>239</v>
      </c>
      <c r="R1146">
        <v>147</v>
      </c>
      <c r="S1146">
        <v>44</v>
      </c>
      <c r="T1146">
        <v>230</v>
      </c>
      <c r="U1146">
        <v>15</v>
      </c>
      <c r="V1146">
        <v>166</v>
      </c>
      <c r="W1146">
        <v>0.34699999999999998</v>
      </c>
      <c r="X1146">
        <v>138</v>
      </c>
      <c r="Y1146">
        <v>106</v>
      </c>
      <c r="Z1146">
        <v>92</v>
      </c>
      <c r="AA1146">
        <v>6</v>
      </c>
      <c r="AB1146">
        <v>11.2</v>
      </c>
      <c r="AC1146" t="s">
        <v>188</v>
      </c>
      <c r="AG1146" t="s">
        <v>6589</v>
      </c>
      <c r="AH1146" t="s">
        <v>1292</v>
      </c>
      <c r="AI1146" s="245">
        <v>449</v>
      </c>
      <c r="AJ1146" t="s">
        <v>6590</v>
      </c>
      <c r="AK1146" t="s">
        <v>6591</v>
      </c>
      <c r="AL1146" t="s">
        <v>1204</v>
      </c>
      <c r="AM1146" s="245">
        <v>480.86</v>
      </c>
      <c r="AN1146" t="s">
        <v>6592</v>
      </c>
      <c r="AO1146" t="s">
        <v>6593</v>
      </c>
      <c r="AP1146" t="s">
        <v>1232</v>
      </c>
      <c r="AQ1146" s="245">
        <v>499.95</v>
      </c>
      <c r="AR1146" t="s">
        <v>6594</v>
      </c>
      <c r="AS1146" s="226" t="str">
        <f t="shared" si="34"/>
        <v>Mantra M5</v>
      </c>
      <c r="AT1146" s="203" t="str">
        <f t="shared" si="35"/>
        <v xml:space="preserve"> Vï¿½lklMantra M5184 Unisex</v>
      </c>
    </row>
    <row r="1147" spans="1:46" ht="79.2">
      <c r="A1147" t="s">
        <v>155</v>
      </c>
      <c r="B1147" t="s">
        <v>172</v>
      </c>
      <c r="C1147" t="s">
        <v>720</v>
      </c>
      <c r="D1147">
        <v>140</v>
      </c>
      <c r="E1147" t="s">
        <v>158</v>
      </c>
      <c r="F1147">
        <v>140</v>
      </c>
      <c r="G1147">
        <v>138.6</v>
      </c>
      <c r="H1147">
        <v>91</v>
      </c>
      <c r="I1147">
        <v>116</v>
      </c>
      <c r="J1147">
        <v>117</v>
      </c>
      <c r="K1147">
        <v>89</v>
      </c>
      <c r="L1147">
        <v>107</v>
      </c>
      <c r="M1147">
        <v>13.4</v>
      </c>
      <c r="N1147">
        <v>1345</v>
      </c>
      <c r="O1147">
        <v>1.01</v>
      </c>
      <c r="P1147">
        <v>1352</v>
      </c>
      <c r="Q1147">
        <v>146</v>
      </c>
      <c r="R1147">
        <v>55</v>
      </c>
      <c r="S1147">
        <v>49</v>
      </c>
      <c r="T1147">
        <v>258</v>
      </c>
      <c r="U1147">
        <v>32</v>
      </c>
      <c r="V1147">
        <v>220</v>
      </c>
      <c r="W1147">
        <v>0.64700000000000002</v>
      </c>
      <c r="X1147">
        <v>119</v>
      </c>
      <c r="Y1147">
        <v>111</v>
      </c>
      <c r="Z1147">
        <v>139</v>
      </c>
      <c r="AA1147">
        <v>6</v>
      </c>
      <c r="AB1147">
        <v>4.5999999999999996</v>
      </c>
      <c r="AC1147" t="s">
        <v>188</v>
      </c>
      <c r="AG1147" t="s">
        <v>6595</v>
      </c>
      <c r="AH1147" t="s">
        <v>1204</v>
      </c>
      <c r="AI1147" s="245">
        <v>200.35</v>
      </c>
      <c r="AJ1147" t="s">
        <v>6596</v>
      </c>
      <c r="AK1147" t="s">
        <v>6597</v>
      </c>
      <c r="AL1147" t="s">
        <v>1320</v>
      </c>
      <c r="AM1147" s="245">
        <v>279.95999999999998</v>
      </c>
      <c r="AN1147" t="s">
        <v>6598</v>
      </c>
      <c r="AO1147" t="s">
        <v>6599</v>
      </c>
      <c r="AP1147" t="s">
        <v>1280</v>
      </c>
      <c r="AQ1147" s="245">
        <v>359.93</v>
      </c>
      <c r="AR1147" t="s">
        <v>6600</v>
      </c>
      <c r="AS1147" s="226" t="str">
        <f t="shared" si="34"/>
        <v>Blackops Smasher</v>
      </c>
      <c r="AT1147" s="203" t="str">
        <f t="shared" si="35"/>
        <v xml:space="preserve"> RossignolBlackops Smasher140 Unisex</v>
      </c>
    </row>
    <row r="1148" spans="1:46" ht="145.19999999999999">
      <c r="A1148" t="s">
        <v>155</v>
      </c>
      <c r="B1148" t="s">
        <v>167</v>
      </c>
      <c r="C1148" t="s">
        <v>816</v>
      </c>
      <c r="D1148">
        <v>156</v>
      </c>
      <c r="E1148" t="s">
        <v>158</v>
      </c>
      <c r="F1148">
        <v>156</v>
      </c>
      <c r="G1148">
        <v>155.6</v>
      </c>
      <c r="H1148">
        <v>132</v>
      </c>
      <c r="I1148">
        <v>142</v>
      </c>
      <c r="J1148">
        <v>128</v>
      </c>
      <c r="K1148">
        <v>74</v>
      </c>
      <c r="L1148">
        <v>110</v>
      </c>
      <c r="M1148">
        <v>11.1</v>
      </c>
      <c r="N1148">
        <v>1527</v>
      </c>
      <c r="O1148">
        <v>0.93</v>
      </c>
      <c r="P1148">
        <v>1414</v>
      </c>
      <c r="Q1148">
        <v>156</v>
      </c>
      <c r="R1148">
        <v>39</v>
      </c>
      <c r="S1148">
        <v>41</v>
      </c>
      <c r="T1148">
        <v>164</v>
      </c>
      <c r="U1148">
        <v>10</v>
      </c>
      <c r="V1148">
        <v>68</v>
      </c>
      <c r="W1148">
        <v>0.23399999999999899</v>
      </c>
      <c r="X1148">
        <v>85</v>
      </c>
      <c r="Y1148">
        <v>55</v>
      </c>
      <c r="Z1148">
        <v>79</v>
      </c>
      <c r="AA1148">
        <v>6</v>
      </c>
      <c r="AB1148">
        <v>11.6</v>
      </c>
      <c r="AC1148" t="s">
        <v>349</v>
      </c>
      <c r="AG1148" t="s">
        <v>6601</v>
      </c>
      <c r="AH1148" t="s">
        <v>1191</v>
      </c>
      <c r="AI1148" s="245">
        <v>234.95</v>
      </c>
      <c r="AJ1148" t="s">
        <v>6602</v>
      </c>
      <c r="AK1148" t="s">
        <v>6603</v>
      </c>
      <c r="AL1148" t="s">
        <v>2765</v>
      </c>
      <c r="AM1148" s="245">
        <v>314.99</v>
      </c>
      <c r="AN1148" t="s">
        <v>6604</v>
      </c>
      <c r="AO1148" t="s">
        <v>6605</v>
      </c>
      <c r="AP1148" t="s">
        <v>1232</v>
      </c>
      <c r="AQ1148" s="245">
        <v>449.95</v>
      </c>
      <c r="AR1148" t="s">
        <v>6606</v>
      </c>
      <c r="AS1148" s="226" t="str">
        <f t="shared" si="34"/>
        <v>V-Shape V8</v>
      </c>
      <c r="AT1148" s="203" t="str">
        <f t="shared" si="35"/>
        <v xml:space="preserve"> HeadV-Shape V8156 Unisex</v>
      </c>
    </row>
    <row r="1149" spans="1:46" ht="92.4">
      <c r="A1149" t="s">
        <v>155</v>
      </c>
      <c r="B1149" t="s">
        <v>1152</v>
      </c>
      <c r="C1149" t="s">
        <v>870</v>
      </c>
      <c r="D1149">
        <v>177</v>
      </c>
      <c r="E1149" t="s">
        <v>163</v>
      </c>
      <c r="F1149">
        <v>177</v>
      </c>
      <c r="G1149">
        <v>175.5</v>
      </c>
      <c r="H1149">
        <v>0</v>
      </c>
      <c r="I1149">
        <v>126</v>
      </c>
      <c r="J1149">
        <v>126</v>
      </c>
      <c r="K1149">
        <v>111</v>
      </c>
      <c r="L1149">
        <v>118</v>
      </c>
      <c r="M1149">
        <v>30.4</v>
      </c>
      <c r="N1149">
        <v>1822</v>
      </c>
      <c r="O1149">
        <v>1.1100000000000001</v>
      </c>
      <c r="P1149">
        <v>2023</v>
      </c>
      <c r="Q1149">
        <v>278</v>
      </c>
      <c r="R1149">
        <v>123</v>
      </c>
      <c r="S1149">
        <v>75</v>
      </c>
      <c r="T1149">
        <v>945</v>
      </c>
      <c r="U1149">
        <v>31</v>
      </c>
      <c r="V1149">
        <v>810</v>
      </c>
      <c r="W1149">
        <v>0.41</v>
      </c>
      <c r="X1149">
        <v>200</v>
      </c>
      <c r="Y1149">
        <v>299</v>
      </c>
      <c r="Z1149">
        <v>745</v>
      </c>
      <c r="AA1149">
        <v>-11</v>
      </c>
      <c r="AB1149">
        <v>6.8</v>
      </c>
      <c r="AC1149" t="s">
        <v>169</v>
      </c>
      <c r="AD1149" t="s">
        <v>185</v>
      </c>
      <c r="AG1149" t="s">
        <v>6607</v>
      </c>
      <c r="AH1149" t="s">
        <v>3561</v>
      </c>
      <c r="AI1149" s="245">
        <v>899</v>
      </c>
      <c r="AJ1149" t="s">
        <v>6608</v>
      </c>
      <c r="AS1149" s="226" t="str">
        <f t="shared" si="34"/>
        <v>Hoji CC</v>
      </c>
      <c r="AT1149" s="203" t="str">
        <f t="shared" si="35"/>
        <v>4FRNTHoji CC177 Women's</v>
      </c>
    </row>
    <row r="1150" spans="1:46" ht="66">
      <c r="A1150" t="s">
        <v>155</v>
      </c>
      <c r="B1150" t="s">
        <v>205</v>
      </c>
      <c r="C1150" t="s">
        <v>872</v>
      </c>
      <c r="D1150">
        <v>178</v>
      </c>
      <c r="E1150" t="s">
        <v>158</v>
      </c>
      <c r="F1150">
        <v>178</v>
      </c>
      <c r="G1150">
        <v>176.6</v>
      </c>
      <c r="H1150">
        <v>8</v>
      </c>
      <c r="I1150">
        <v>139</v>
      </c>
      <c r="J1150">
        <v>147</v>
      </c>
      <c r="K1150">
        <v>125</v>
      </c>
      <c r="L1150">
        <v>138</v>
      </c>
      <c r="M1150">
        <v>24.8</v>
      </c>
      <c r="N1150">
        <v>1739</v>
      </c>
      <c r="O1150">
        <v>1.34</v>
      </c>
      <c r="P1150">
        <v>2328</v>
      </c>
      <c r="Q1150">
        <v>213</v>
      </c>
      <c r="R1150">
        <v>88</v>
      </c>
      <c r="S1150">
        <v>68</v>
      </c>
      <c r="T1150">
        <v>1012</v>
      </c>
      <c r="U1150">
        <v>30</v>
      </c>
      <c r="V1150">
        <v>676</v>
      </c>
      <c r="W1150">
        <v>0.44500000000000001</v>
      </c>
      <c r="X1150">
        <v>224</v>
      </c>
      <c r="Y1150">
        <v>151</v>
      </c>
      <c r="Z1150">
        <v>788</v>
      </c>
      <c r="AA1150">
        <v>1</v>
      </c>
      <c r="AB1150">
        <v>12.9</v>
      </c>
      <c r="AC1150" t="s">
        <v>169</v>
      </c>
      <c r="AD1150" t="s">
        <v>185</v>
      </c>
      <c r="AE1150" t="s">
        <v>198</v>
      </c>
      <c r="AG1150" t="s">
        <v>6609</v>
      </c>
      <c r="AH1150" t="s">
        <v>1194</v>
      </c>
      <c r="AI1150" s="245">
        <v>460</v>
      </c>
      <c r="AJ1150" t="s">
        <v>6610</v>
      </c>
      <c r="AK1150" t="s">
        <v>6609</v>
      </c>
      <c r="AL1150" t="s">
        <v>1248</v>
      </c>
      <c r="AM1150" s="245">
        <v>695.2</v>
      </c>
      <c r="AN1150" t="s">
        <v>6611</v>
      </c>
      <c r="AO1150" t="s">
        <v>1803</v>
      </c>
      <c r="AP1150" t="s">
        <v>1804</v>
      </c>
      <c r="AQ1150" s="245">
        <v>222</v>
      </c>
      <c r="AR1150" t="s">
        <v>6612</v>
      </c>
      <c r="AS1150" s="226" t="str">
        <f t="shared" si="34"/>
        <v>La Machine</v>
      </c>
      <c r="AT1150" s="203" t="str">
        <f t="shared" si="35"/>
        <v xml:space="preserve"> FactionLa Machine178 Unisex</v>
      </c>
    </row>
    <row r="1151" spans="1:46" ht="105.6">
      <c r="A1151" t="s">
        <v>155</v>
      </c>
      <c r="B1151" t="s">
        <v>156</v>
      </c>
      <c r="C1151" t="s">
        <v>829</v>
      </c>
      <c r="D1151">
        <v>156</v>
      </c>
      <c r="E1151" t="s">
        <v>158</v>
      </c>
      <c r="F1151">
        <v>156</v>
      </c>
      <c r="G1151">
        <v>155</v>
      </c>
      <c r="H1151">
        <v>104</v>
      </c>
      <c r="I1151">
        <v>121</v>
      </c>
      <c r="J1151">
        <v>125</v>
      </c>
      <c r="K1151">
        <v>96</v>
      </c>
      <c r="L1151">
        <v>115</v>
      </c>
      <c r="M1151">
        <v>12.9</v>
      </c>
      <c r="N1151">
        <v>1110</v>
      </c>
      <c r="O1151">
        <v>1.46</v>
      </c>
      <c r="P1151">
        <v>1623</v>
      </c>
      <c r="Q1151">
        <v>142</v>
      </c>
      <c r="R1151">
        <v>64</v>
      </c>
      <c r="S1151">
        <v>53</v>
      </c>
      <c r="T1151">
        <v>296</v>
      </c>
      <c r="U1151">
        <v>16</v>
      </c>
      <c r="V1151">
        <v>214</v>
      </c>
      <c r="W1151">
        <v>0.3</v>
      </c>
      <c r="X1151">
        <v>179</v>
      </c>
      <c r="Y1151">
        <v>156</v>
      </c>
      <c r="Z1151">
        <v>117</v>
      </c>
      <c r="AA1151">
        <v>3</v>
      </c>
      <c r="AB1151">
        <v>8.4</v>
      </c>
      <c r="AC1151" t="s">
        <v>185</v>
      </c>
      <c r="AD1151" t="s">
        <v>198</v>
      </c>
      <c r="AG1151" t="s">
        <v>6613</v>
      </c>
      <c r="AH1151" t="s">
        <v>1468</v>
      </c>
      <c r="AI1151" s="245">
        <v>489</v>
      </c>
      <c r="AJ1151" t="s">
        <v>6614</v>
      </c>
      <c r="AK1151" t="s">
        <v>6615</v>
      </c>
      <c r="AL1151" t="s">
        <v>1240</v>
      </c>
      <c r="AM1151" s="245">
        <v>695</v>
      </c>
      <c r="AN1151" t="s">
        <v>6616</v>
      </c>
      <c r="AO1151" t="s">
        <v>6617</v>
      </c>
      <c r="AP1151" t="s">
        <v>1416</v>
      </c>
      <c r="AQ1151" s="245">
        <v>699.99</v>
      </c>
      <c r="AR1151" t="s">
        <v>6618</v>
      </c>
      <c r="AS1151" s="226" t="str">
        <f t="shared" si="34"/>
        <v>Backland 98 W</v>
      </c>
      <c r="AT1151" s="203" t="str">
        <f t="shared" si="35"/>
        <v xml:space="preserve"> AtomicBackland 98 W156 Unisex</v>
      </c>
    </row>
    <row r="1152" spans="1:46" ht="39.6">
      <c r="A1152" t="s">
        <v>155</v>
      </c>
      <c r="B1152" t="s">
        <v>317</v>
      </c>
      <c r="C1152" t="s">
        <v>793</v>
      </c>
      <c r="D1152">
        <v>183</v>
      </c>
      <c r="E1152" t="s">
        <v>158</v>
      </c>
      <c r="F1152">
        <v>183</v>
      </c>
      <c r="G1152">
        <v>181.8</v>
      </c>
      <c r="H1152">
        <v>149</v>
      </c>
      <c r="I1152">
        <v>157</v>
      </c>
      <c r="J1152">
        <v>136</v>
      </c>
      <c r="K1152">
        <v>96</v>
      </c>
      <c r="L1152">
        <v>117</v>
      </c>
      <c r="M1152">
        <v>19.7</v>
      </c>
      <c r="N1152">
        <v>2287</v>
      </c>
      <c r="O1152">
        <v>0.86</v>
      </c>
      <c r="P1152">
        <v>1958</v>
      </c>
      <c r="Q1152">
        <v>230</v>
      </c>
      <c r="R1152">
        <v>136</v>
      </c>
      <c r="S1152">
        <v>52</v>
      </c>
      <c r="T1152">
        <v>226</v>
      </c>
      <c r="U1152">
        <v>6</v>
      </c>
      <c r="V1152">
        <v>101</v>
      </c>
      <c r="W1152">
        <v>0.11599999999999901</v>
      </c>
      <c r="X1152">
        <v>133</v>
      </c>
      <c r="Y1152">
        <v>119</v>
      </c>
      <c r="Z1152">
        <v>93</v>
      </c>
      <c r="AA1152">
        <v>8</v>
      </c>
      <c r="AB1152">
        <v>11.3</v>
      </c>
      <c r="AC1152" t="s">
        <v>188</v>
      </c>
      <c r="AG1152" t="s">
        <v>6467</v>
      </c>
      <c r="AH1152" t="s">
        <v>1194</v>
      </c>
      <c r="AI1152" s="245">
        <v>451.66</v>
      </c>
      <c r="AJ1152" t="s">
        <v>6619</v>
      </c>
      <c r="AK1152" t="s">
        <v>6620</v>
      </c>
      <c r="AL1152" t="s">
        <v>1282</v>
      </c>
      <c r="AM1152" s="245">
        <v>599.95000000000005</v>
      </c>
      <c r="AN1152" t="s">
        <v>6621</v>
      </c>
      <c r="AO1152" t="s">
        <v>6622</v>
      </c>
      <c r="AP1152" t="s">
        <v>1320</v>
      </c>
      <c r="AQ1152" s="245">
        <v>599.95000000000005</v>
      </c>
      <c r="AR1152" t="s">
        <v>6623</v>
      </c>
      <c r="AS1152" s="226" t="str">
        <f t="shared" si="34"/>
        <v>Bonafide 97</v>
      </c>
      <c r="AT1152" s="203" t="str">
        <f t="shared" si="35"/>
        <v xml:space="preserve"> BlizzardBonafide 97183 Unisex</v>
      </c>
    </row>
    <row r="1153" spans="1:46" ht="132">
      <c r="A1153" t="s">
        <v>155</v>
      </c>
      <c r="B1153" t="s">
        <v>167</v>
      </c>
      <c r="C1153" t="s">
        <v>733</v>
      </c>
      <c r="D1153">
        <v>177</v>
      </c>
      <c r="E1153" t="s">
        <v>158</v>
      </c>
      <c r="F1153">
        <v>177</v>
      </c>
      <c r="G1153">
        <v>176.2</v>
      </c>
      <c r="H1153">
        <v>158</v>
      </c>
      <c r="I1153">
        <v>165</v>
      </c>
      <c r="J1153">
        <v>121</v>
      </c>
      <c r="K1153">
        <v>67</v>
      </c>
      <c r="L1153">
        <v>102</v>
      </c>
      <c r="M1153">
        <v>15.5</v>
      </c>
      <c r="N1153">
        <v>2207</v>
      </c>
      <c r="O1153">
        <v>0.66</v>
      </c>
      <c r="P1153">
        <v>1461</v>
      </c>
      <c r="Q1153">
        <v>234</v>
      </c>
      <c r="R1153">
        <v>107</v>
      </c>
      <c r="S1153">
        <v>37</v>
      </c>
      <c r="T1153">
        <v>137</v>
      </c>
      <c r="U1153">
        <v>3</v>
      </c>
      <c r="V1153">
        <v>45</v>
      </c>
      <c r="W1153">
        <v>9.1999999999999998E-2</v>
      </c>
      <c r="X1153">
        <v>61</v>
      </c>
      <c r="Y1153">
        <v>52</v>
      </c>
      <c r="Z1153">
        <v>76</v>
      </c>
      <c r="AA1153">
        <v>10</v>
      </c>
      <c r="AB1153">
        <v>12.8</v>
      </c>
      <c r="AC1153" t="s">
        <v>349</v>
      </c>
      <c r="AG1153" t="s">
        <v>6624</v>
      </c>
      <c r="AH1153" t="s">
        <v>6625</v>
      </c>
      <c r="AI1153" s="245">
        <v>150</v>
      </c>
      <c r="AJ1153" t="s">
        <v>6626</v>
      </c>
      <c r="AK1153" t="s">
        <v>4587</v>
      </c>
      <c r="AL1153" t="s">
        <v>1271</v>
      </c>
      <c r="AM1153" s="245">
        <v>379.99</v>
      </c>
      <c r="AN1153" t="s">
        <v>6627</v>
      </c>
      <c r="AO1153" t="s">
        <v>6628</v>
      </c>
      <c r="AP1153" t="s">
        <v>1292</v>
      </c>
      <c r="AQ1153" s="245">
        <v>575</v>
      </c>
      <c r="AR1153" t="s">
        <v>6629</v>
      </c>
      <c r="AS1153" s="226" t="str">
        <f t="shared" si="34"/>
        <v>Supershape e-Speed</v>
      </c>
      <c r="AT1153" s="203" t="str">
        <f t="shared" si="35"/>
        <v xml:space="preserve"> HeadSupershape e-Speed177 Unisex</v>
      </c>
    </row>
    <row r="1154" spans="1:46" ht="118.8">
      <c r="A1154" t="s">
        <v>155</v>
      </c>
      <c r="B1154" t="s">
        <v>172</v>
      </c>
      <c r="C1154" t="s">
        <v>674</v>
      </c>
      <c r="D1154">
        <v>154</v>
      </c>
      <c r="E1154" t="s">
        <v>158</v>
      </c>
      <c r="F1154">
        <v>154</v>
      </c>
      <c r="G1154">
        <v>152.30000000000001</v>
      </c>
      <c r="H1154">
        <v>132</v>
      </c>
      <c r="I1154">
        <v>137</v>
      </c>
      <c r="J1154">
        <v>121</v>
      </c>
      <c r="K1154">
        <v>74</v>
      </c>
      <c r="L1154">
        <v>107</v>
      </c>
      <c r="M1154">
        <v>11.7</v>
      </c>
      <c r="N1154">
        <v>1410</v>
      </c>
      <c r="O1154">
        <v>0.96</v>
      </c>
      <c r="P1154">
        <v>1356</v>
      </c>
      <c r="Q1154">
        <v>140</v>
      </c>
      <c r="R1154">
        <v>51</v>
      </c>
      <c r="S1154">
        <v>33</v>
      </c>
      <c r="T1154">
        <v>136</v>
      </c>
      <c r="U1154">
        <v>5</v>
      </c>
      <c r="V1154">
        <v>64</v>
      </c>
      <c r="W1154">
        <v>0.14299999999999999</v>
      </c>
      <c r="X1154">
        <v>78</v>
      </c>
      <c r="Y1154">
        <v>80</v>
      </c>
      <c r="Z1154">
        <v>58</v>
      </c>
      <c r="AA1154">
        <v>12</v>
      </c>
      <c r="AB1154">
        <v>8</v>
      </c>
      <c r="AC1154" t="s">
        <v>349</v>
      </c>
      <c r="AD1154" t="s">
        <v>231</v>
      </c>
      <c r="AG1154" t="s">
        <v>4047</v>
      </c>
      <c r="AH1154" t="s">
        <v>3596</v>
      </c>
      <c r="AI1154" s="245">
        <v>299.99</v>
      </c>
      <c r="AJ1154" t="s">
        <v>6630</v>
      </c>
      <c r="AK1154" t="s">
        <v>6631</v>
      </c>
      <c r="AL1154" t="s">
        <v>1179</v>
      </c>
      <c r="AM1154" s="245">
        <v>399.95</v>
      </c>
      <c r="AN1154" t="s">
        <v>6632</v>
      </c>
      <c r="AO1154" t="s">
        <v>6633</v>
      </c>
      <c r="AP1154" t="s">
        <v>3990</v>
      </c>
      <c r="AQ1154" s="245">
        <v>399.99</v>
      </c>
      <c r="AR1154" t="s">
        <v>6634</v>
      </c>
      <c r="AS1154" s="226" t="str">
        <f t="shared" ref="AS1154:AS1217" si="36">IF(LEFT(C1154,1)=" ",RIGHT(C1154,LEN(C1154)-1),C1154)</f>
        <v>React 2</v>
      </c>
      <c r="AT1154" s="203" t="str">
        <f t="shared" ref="AT1154:AT1217" si="37">_xlfn.CONCAT(B1154,AS1154,D1154,E1154)</f>
        <v xml:space="preserve"> RossignolReact 2154 Unisex</v>
      </c>
    </row>
    <row r="1155" spans="1:46" ht="105.6">
      <c r="A1155" t="s">
        <v>155</v>
      </c>
      <c r="B1155" t="s">
        <v>317</v>
      </c>
      <c r="C1155" t="s">
        <v>850</v>
      </c>
      <c r="D1155">
        <v>165</v>
      </c>
      <c r="E1155" t="s">
        <v>158</v>
      </c>
      <c r="F1155">
        <v>165</v>
      </c>
      <c r="G1155">
        <v>163.9</v>
      </c>
      <c r="H1155">
        <v>145</v>
      </c>
      <c r="I1155">
        <v>151</v>
      </c>
      <c r="J1155">
        <v>121</v>
      </c>
      <c r="K1155">
        <v>70</v>
      </c>
      <c r="L1155">
        <v>104</v>
      </c>
      <c r="M1155">
        <v>12.9</v>
      </c>
      <c r="N1155">
        <v>2006</v>
      </c>
      <c r="O1155">
        <v>0.7</v>
      </c>
      <c r="P1155">
        <v>1404</v>
      </c>
      <c r="Q1155">
        <v>199</v>
      </c>
      <c r="R1155">
        <v>127</v>
      </c>
      <c r="S1155">
        <v>38</v>
      </c>
      <c r="T1155">
        <v>138</v>
      </c>
      <c r="U1155">
        <v>7</v>
      </c>
      <c r="V1155">
        <v>52</v>
      </c>
      <c r="W1155">
        <v>0.183</v>
      </c>
      <c r="X1155">
        <v>72</v>
      </c>
      <c r="Y1155">
        <v>55</v>
      </c>
      <c r="Z1155">
        <v>66</v>
      </c>
      <c r="AA1155">
        <v>12</v>
      </c>
      <c r="AB1155">
        <v>11.9</v>
      </c>
      <c r="AC1155" t="s">
        <v>349</v>
      </c>
      <c r="AG1155" t="s">
        <v>6635</v>
      </c>
      <c r="AH1155" t="s">
        <v>1179</v>
      </c>
      <c r="AI1155" s="245">
        <v>1099.95</v>
      </c>
      <c r="AJ1155" t="s">
        <v>6636</v>
      </c>
      <c r="AK1155" t="s">
        <v>6637</v>
      </c>
      <c r="AL1155" t="s">
        <v>2374</v>
      </c>
      <c r="AM1155" s="245">
        <v>1099.95</v>
      </c>
      <c r="AN1155" t="s">
        <v>6638</v>
      </c>
      <c r="AO1155" t="s">
        <v>6639</v>
      </c>
      <c r="AP1155" t="s">
        <v>3026</v>
      </c>
      <c r="AQ1155" s="245">
        <v>627.24</v>
      </c>
      <c r="AR1155" t="s">
        <v>6640</v>
      </c>
      <c r="AS1155" s="226" t="str">
        <f t="shared" si="36"/>
        <v>SRC</v>
      </c>
      <c r="AT1155" s="203" t="str">
        <f t="shared" si="37"/>
        <v xml:space="preserve"> BlizzardSRC165 Unisex</v>
      </c>
    </row>
    <row r="1156" spans="1:46" ht="92.4">
      <c r="A1156" t="s">
        <v>155</v>
      </c>
      <c r="B1156" t="s">
        <v>1160</v>
      </c>
      <c r="C1156" t="s">
        <v>808</v>
      </c>
      <c r="D1156">
        <v>149</v>
      </c>
      <c r="E1156" t="s">
        <v>163</v>
      </c>
      <c r="F1156">
        <v>149</v>
      </c>
      <c r="G1156">
        <v>150</v>
      </c>
      <c r="H1156">
        <v>115</v>
      </c>
      <c r="I1156">
        <v>123</v>
      </c>
      <c r="J1156">
        <v>126</v>
      </c>
      <c r="K1156">
        <v>89</v>
      </c>
      <c r="L1156">
        <v>112</v>
      </c>
      <c r="M1156">
        <v>11.7</v>
      </c>
      <c r="N1156">
        <v>1333</v>
      </c>
      <c r="O1156">
        <v>1.1399999999999999</v>
      </c>
      <c r="P1156">
        <v>1522</v>
      </c>
      <c r="Q1156">
        <v>107</v>
      </c>
      <c r="R1156">
        <v>58</v>
      </c>
      <c r="S1156">
        <v>38</v>
      </c>
      <c r="T1156">
        <v>216</v>
      </c>
      <c r="U1156">
        <v>10</v>
      </c>
      <c r="V1156">
        <v>135</v>
      </c>
      <c r="W1156">
        <v>0.25</v>
      </c>
      <c r="X1156">
        <v>156</v>
      </c>
      <c r="Y1156">
        <v>109</v>
      </c>
      <c r="Z1156">
        <v>59</v>
      </c>
      <c r="AA1156">
        <v>9</v>
      </c>
      <c r="AB1156">
        <v>9.6999999999999993</v>
      </c>
      <c r="AC1156" t="s">
        <v>188</v>
      </c>
      <c r="AD1156" t="s">
        <v>185</v>
      </c>
      <c r="AG1156" t="s">
        <v>4318</v>
      </c>
      <c r="AH1156" t="s">
        <v>1265</v>
      </c>
      <c r="AI1156" s="245">
        <v>320.57</v>
      </c>
      <c r="AJ1156" t="s">
        <v>6641</v>
      </c>
      <c r="AK1156" t="s">
        <v>5494</v>
      </c>
      <c r="AL1156" t="s">
        <v>3514</v>
      </c>
      <c r="AM1156" s="245">
        <v>399.96</v>
      </c>
      <c r="AN1156" t="s">
        <v>6642</v>
      </c>
      <c r="AO1156" t="s">
        <v>6643</v>
      </c>
      <c r="AP1156" t="s">
        <v>2594</v>
      </c>
      <c r="AQ1156" s="245">
        <v>399.99</v>
      </c>
      <c r="AR1156" t="s">
        <v>6644</v>
      </c>
      <c r="AS1156" s="226" t="str">
        <f t="shared" si="36"/>
        <v>Mindbender 90 C Alliance</v>
      </c>
      <c r="AT1156" s="203" t="str">
        <f t="shared" si="37"/>
        <v>K2Mindbender 90 C Alliance149 Women's</v>
      </c>
    </row>
    <row r="1157" spans="1:46" ht="145.19999999999999">
      <c r="A1157" t="s">
        <v>155</v>
      </c>
      <c r="B1157" t="s">
        <v>167</v>
      </c>
      <c r="C1157" t="s">
        <v>831</v>
      </c>
      <c r="D1157">
        <v>170</v>
      </c>
      <c r="E1157" t="s">
        <v>158</v>
      </c>
      <c r="F1157">
        <v>170</v>
      </c>
      <c r="G1157">
        <v>168.9</v>
      </c>
      <c r="H1157">
        <v>151</v>
      </c>
      <c r="I1157">
        <v>159</v>
      </c>
      <c r="J1157">
        <v>122</v>
      </c>
      <c r="K1157">
        <v>67</v>
      </c>
      <c r="L1157">
        <v>107</v>
      </c>
      <c r="M1157">
        <v>13.2</v>
      </c>
      <c r="N1157">
        <v>2386</v>
      </c>
      <c r="O1157">
        <v>0.6</v>
      </c>
      <c r="P1157">
        <v>1420</v>
      </c>
      <c r="Q1157">
        <v>221</v>
      </c>
      <c r="R1157">
        <v>97</v>
      </c>
      <c r="S1157">
        <v>39</v>
      </c>
      <c r="T1157">
        <v>141</v>
      </c>
      <c r="U1157">
        <v>3</v>
      </c>
      <c r="V1157">
        <v>41</v>
      </c>
      <c r="W1157">
        <v>6.7000000000000004E-2</v>
      </c>
      <c r="X1157">
        <v>58</v>
      </c>
      <c r="Y1157">
        <v>36</v>
      </c>
      <c r="Z1157">
        <v>83</v>
      </c>
      <c r="AA1157">
        <v>10</v>
      </c>
      <c r="AB1157">
        <v>12.5</v>
      </c>
      <c r="AC1157" t="s">
        <v>349</v>
      </c>
      <c r="AG1157" t="s">
        <v>6645</v>
      </c>
      <c r="AH1157" t="s">
        <v>5751</v>
      </c>
      <c r="AI1157" s="245">
        <v>638.75</v>
      </c>
      <c r="AJ1157" t="s">
        <v>6646</v>
      </c>
      <c r="AK1157" t="s">
        <v>6647</v>
      </c>
      <c r="AL1157" t="s">
        <v>1974</v>
      </c>
      <c r="AM1157" s="245">
        <v>960.84</v>
      </c>
      <c r="AN1157" t="s">
        <v>6648</v>
      </c>
      <c r="AO1157" t="s">
        <v>6649</v>
      </c>
      <c r="AP1157" t="s">
        <v>1337</v>
      </c>
      <c r="AQ1157" s="245">
        <v>242.1</v>
      </c>
      <c r="AR1157" t="s">
        <v>6650</v>
      </c>
      <c r="AS1157" s="226" t="str">
        <f t="shared" si="36"/>
        <v>Worldcup Rebels e-SL</v>
      </c>
      <c r="AT1157" s="203" t="str">
        <f t="shared" si="37"/>
        <v xml:space="preserve"> HeadWorldcup Rebels e-SL170 Unisex</v>
      </c>
    </row>
    <row r="1158" spans="1:46" ht="66">
      <c r="A1158" t="s">
        <v>155</v>
      </c>
      <c r="B1158" t="s">
        <v>317</v>
      </c>
      <c r="C1158" t="s">
        <v>551</v>
      </c>
      <c r="D1158">
        <v>188</v>
      </c>
      <c r="E1158" t="s">
        <v>158</v>
      </c>
      <c r="F1158">
        <v>188</v>
      </c>
      <c r="G1158">
        <v>186.2</v>
      </c>
      <c r="H1158">
        <v>112</v>
      </c>
      <c r="I1158">
        <v>157</v>
      </c>
      <c r="J1158">
        <v>134</v>
      </c>
      <c r="K1158">
        <v>103</v>
      </c>
      <c r="L1158">
        <v>125</v>
      </c>
      <c r="M1158">
        <v>19.899999999999999</v>
      </c>
      <c r="N1158">
        <v>2276</v>
      </c>
      <c r="O1158">
        <v>0.93</v>
      </c>
      <c r="P1158">
        <v>2122</v>
      </c>
      <c r="Q1158">
        <v>282</v>
      </c>
      <c r="R1158">
        <v>145</v>
      </c>
      <c r="S1158">
        <v>68</v>
      </c>
      <c r="T1158">
        <v>417</v>
      </c>
      <c r="U1158">
        <v>33</v>
      </c>
      <c r="V1158">
        <v>326</v>
      </c>
      <c r="W1158">
        <v>0.49099999999999999</v>
      </c>
      <c r="X1158">
        <v>147</v>
      </c>
      <c r="Y1158">
        <v>146</v>
      </c>
      <c r="Z1158">
        <v>270</v>
      </c>
      <c r="AA1158">
        <v>3</v>
      </c>
      <c r="AB1158">
        <v>7.5</v>
      </c>
      <c r="AC1158" t="s">
        <v>188</v>
      </c>
      <c r="AD1158" t="s">
        <v>169</v>
      </c>
      <c r="AG1158" t="s">
        <v>6651</v>
      </c>
      <c r="AH1158" t="s">
        <v>1280</v>
      </c>
      <c r="AI1158" s="245">
        <v>559.92999999999995</v>
      </c>
      <c r="AJ1158" t="s">
        <v>6652</v>
      </c>
      <c r="AK1158" t="s">
        <v>6651</v>
      </c>
      <c r="AL1158" t="s">
        <v>6653</v>
      </c>
      <c r="AM1158" s="245">
        <v>559.95000000000005</v>
      </c>
      <c r="AN1158" t="s">
        <v>6654</v>
      </c>
      <c r="AO1158" t="s">
        <v>6651</v>
      </c>
      <c r="AP1158" t="s">
        <v>1400</v>
      </c>
      <c r="AQ1158" s="245">
        <v>559.95000000000005</v>
      </c>
      <c r="AR1158" t="s">
        <v>6655</v>
      </c>
      <c r="AS1158" s="226" t="str">
        <f t="shared" si="36"/>
        <v>Rustler 10</v>
      </c>
      <c r="AT1158" s="203" t="str">
        <f t="shared" si="37"/>
        <v xml:space="preserve"> BlizzardRustler 10188 Unisex</v>
      </c>
    </row>
    <row r="1159" spans="1:46" ht="118.8">
      <c r="A1159" t="s">
        <v>155</v>
      </c>
      <c r="B1159" t="s">
        <v>245</v>
      </c>
      <c r="C1159" t="s">
        <v>873</v>
      </c>
      <c r="D1159">
        <v>165</v>
      </c>
      <c r="E1159" t="s">
        <v>158</v>
      </c>
      <c r="F1159">
        <v>165</v>
      </c>
      <c r="G1159">
        <v>164.5</v>
      </c>
      <c r="H1159">
        <v>146</v>
      </c>
      <c r="I1159">
        <v>155</v>
      </c>
      <c r="J1159">
        <v>120</v>
      </c>
      <c r="K1159">
        <v>66</v>
      </c>
      <c r="L1159">
        <v>103</v>
      </c>
      <c r="M1159">
        <v>12.6</v>
      </c>
      <c r="N1159">
        <v>2012</v>
      </c>
      <c r="O1159">
        <v>0.68</v>
      </c>
      <c r="P1159">
        <v>1373</v>
      </c>
      <c r="Q1159">
        <v>212</v>
      </c>
      <c r="R1159">
        <v>130</v>
      </c>
      <c r="S1159">
        <v>37</v>
      </c>
      <c r="T1159">
        <v>139</v>
      </c>
      <c r="U1159">
        <v>4</v>
      </c>
      <c r="V1159">
        <v>48</v>
      </c>
      <c r="W1159">
        <v>9.6999999999999906E-2</v>
      </c>
      <c r="X1159">
        <v>47</v>
      </c>
      <c r="Y1159">
        <v>45</v>
      </c>
      <c r="Z1159">
        <v>92</v>
      </c>
      <c r="AA1159">
        <v>9</v>
      </c>
      <c r="AB1159">
        <v>12.9</v>
      </c>
      <c r="AC1159" t="s">
        <v>349</v>
      </c>
      <c r="AG1159" t="s">
        <v>6656</v>
      </c>
      <c r="AH1159" t="s">
        <v>4990</v>
      </c>
      <c r="AI1159" s="245">
        <v>1250</v>
      </c>
      <c r="AJ1159" t="s">
        <v>6657</v>
      </c>
      <c r="AK1159" t="s">
        <v>6658</v>
      </c>
      <c r="AL1159" t="s">
        <v>1509</v>
      </c>
      <c r="AM1159" s="245">
        <v>682.99</v>
      </c>
      <c r="AN1159" t="s">
        <v>6659</v>
      </c>
      <c r="AO1159" t="s">
        <v>6660</v>
      </c>
      <c r="AP1159" t="s">
        <v>1191</v>
      </c>
      <c r="AQ1159" s="245">
        <v>329.95</v>
      </c>
      <c r="AR1159" t="s">
        <v>6661</v>
      </c>
      <c r="AS1159" s="226" t="str">
        <f t="shared" si="36"/>
        <v>RC4 WC SC</v>
      </c>
      <c r="AT1159" s="203" t="str">
        <f t="shared" si="37"/>
        <v xml:space="preserve"> FischerRC4 WC SC165 Unisex</v>
      </c>
    </row>
    <row r="1160" spans="1:46" ht="79.2">
      <c r="A1160" t="s">
        <v>155</v>
      </c>
      <c r="B1160" t="s">
        <v>1395</v>
      </c>
      <c r="C1160" t="s">
        <v>461</v>
      </c>
      <c r="D1160">
        <v>156</v>
      </c>
      <c r="E1160" t="s">
        <v>158</v>
      </c>
      <c r="F1160">
        <v>156</v>
      </c>
      <c r="G1160">
        <v>154.5</v>
      </c>
      <c r="H1160">
        <v>122</v>
      </c>
      <c r="I1160">
        <v>133</v>
      </c>
      <c r="J1160">
        <v>137</v>
      </c>
      <c r="K1160">
        <v>95</v>
      </c>
      <c r="L1160">
        <v>118</v>
      </c>
      <c r="M1160">
        <v>12.6</v>
      </c>
      <c r="N1160">
        <v>1110</v>
      </c>
      <c r="O1160">
        <v>1.5</v>
      </c>
      <c r="P1160">
        <v>1669</v>
      </c>
      <c r="Q1160">
        <v>134</v>
      </c>
      <c r="R1160">
        <v>66</v>
      </c>
      <c r="S1160">
        <v>37</v>
      </c>
      <c r="T1160">
        <v>261</v>
      </c>
      <c r="U1160">
        <v>5</v>
      </c>
      <c r="V1160">
        <v>68</v>
      </c>
      <c r="W1160">
        <v>0.123</v>
      </c>
      <c r="X1160">
        <v>125</v>
      </c>
      <c r="Y1160">
        <v>95</v>
      </c>
      <c r="Z1160">
        <v>136</v>
      </c>
      <c r="AA1160">
        <v>4</v>
      </c>
      <c r="AB1160">
        <v>10.6</v>
      </c>
      <c r="AC1160" t="s">
        <v>185</v>
      </c>
      <c r="AD1160" t="s">
        <v>198</v>
      </c>
      <c r="AG1160" t="s">
        <v>6662</v>
      </c>
      <c r="AH1160" t="s">
        <v>1194</v>
      </c>
      <c r="AI1160" s="245">
        <v>451.66</v>
      </c>
      <c r="AJ1160" t="s">
        <v>6663</v>
      </c>
      <c r="AK1160" t="s">
        <v>6662</v>
      </c>
      <c r="AL1160" t="s">
        <v>1976</v>
      </c>
      <c r="AM1160" s="245">
        <v>559.96</v>
      </c>
      <c r="AN1160" t="s">
        <v>6664</v>
      </c>
      <c r="AO1160" t="s">
        <v>6662</v>
      </c>
      <c r="AP1160" t="s">
        <v>2446</v>
      </c>
      <c r="AQ1160" s="245">
        <v>559.99</v>
      </c>
      <c r="AR1160" t="s">
        <v>6665</v>
      </c>
      <c r="AS1160" s="226" t="str">
        <f t="shared" si="36"/>
        <v>Rise Beyond 96</v>
      </c>
      <c r="AT1160" s="203" t="str">
        <f t="shared" si="37"/>
        <v xml:space="preserve"> Vï¿½lklRise Beyond 96156 Unisex</v>
      </c>
    </row>
    <row r="1161" spans="1:46" ht="118.8">
      <c r="A1161" t="s">
        <v>155</v>
      </c>
      <c r="B1161" t="s">
        <v>156</v>
      </c>
      <c r="C1161" t="s">
        <v>658</v>
      </c>
      <c r="D1161">
        <v>175</v>
      </c>
      <c r="E1161" t="s">
        <v>158</v>
      </c>
      <c r="F1161">
        <v>175</v>
      </c>
      <c r="G1161">
        <v>174.3</v>
      </c>
      <c r="H1161">
        <v>157</v>
      </c>
      <c r="I1161">
        <v>160</v>
      </c>
      <c r="J1161">
        <v>120</v>
      </c>
      <c r="K1161">
        <v>70</v>
      </c>
      <c r="L1161">
        <v>103</v>
      </c>
      <c r="M1161">
        <v>15.3</v>
      </c>
      <c r="N1161">
        <v>2053</v>
      </c>
      <c r="O1161">
        <v>0.73</v>
      </c>
      <c r="P1161">
        <v>1496</v>
      </c>
      <c r="Q1161">
        <v>218</v>
      </c>
      <c r="R1161">
        <v>119</v>
      </c>
      <c r="S1161">
        <v>30</v>
      </c>
      <c r="T1161">
        <v>129</v>
      </c>
      <c r="U1161">
        <v>3</v>
      </c>
      <c r="V1161">
        <v>43</v>
      </c>
      <c r="W1161">
        <v>9.6999999999999906E-2</v>
      </c>
      <c r="X1161">
        <v>86</v>
      </c>
      <c r="Y1161">
        <v>55</v>
      </c>
      <c r="Z1161">
        <v>43</v>
      </c>
      <c r="AA1161">
        <v>16</v>
      </c>
      <c r="AB1161">
        <v>12.4</v>
      </c>
      <c r="AC1161" t="s">
        <v>349</v>
      </c>
      <c r="AG1161" t="s">
        <v>6666</v>
      </c>
      <c r="AH1161" t="s">
        <v>1271</v>
      </c>
      <c r="AI1161" s="245">
        <v>429.99</v>
      </c>
      <c r="AJ1161" t="s">
        <v>6667</v>
      </c>
      <c r="AK1161" t="s">
        <v>6668</v>
      </c>
      <c r="AL1161" t="s">
        <v>1229</v>
      </c>
      <c r="AM1161" s="245">
        <v>449.99</v>
      </c>
      <c r="AN1161" t="s">
        <v>6669</v>
      </c>
      <c r="AO1161" t="s">
        <v>6670</v>
      </c>
      <c r="AP1161" t="s">
        <v>1218</v>
      </c>
      <c r="AQ1161" s="245">
        <v>384.95</v>
      </c>
      <c r="AR1161" t="s">
        <v>6671</v>
      </c>
      <c r="AS1161" s="226" t="str">
        <f t="shared" si="36"/>
        <v>Redster X5</v>
      </c>
      <c r="AT1161" s="203" t="str">
        <f t="shared" si="37"/>
        <v xml:space="preserve"> AtomicRedster X5175 Unisex</v>
      </c>
    </row>
    <row r="1162" spans="1:46" ht="132">
      <c r="A1162" t="s">
        <v>155</v>
      </c>
      <c r="B1162" t="s">
        <v>172</v>
      </c>
      <c r="C1162" t="s">
        <v>770</v>
      </c>
      <c r="D1162">
        <v>144</v>
      </c>
      <c r="E1162" t="s">
        <v>163</v>
      </c>
      <c r="F1162">
        <v>144</v>
      </c>
      <c r="G1162">
        <v>144.30000000000001</v>
      </c>
      <c r="H1162">
        <v>124</v>
      </c>
      <c r="I1162">
        <v>129</v>
      </c>
      <c r="J1162">
        <v>121</v>
      </c>
      <c r="K1162">
        <v>74</v>
      </c>
      <c r="L1162">
        <v>107</v>
      </c>
      <c r="M1162">
        <v>10.199999999999999</v>
      </c>
      <c r="N1162">
        <v>1399</v>
      </c>
      <c r="O1162">
        <v>0.92</v>
      </c>
      <c r="P1162">
        <v>1285</v>
      </c>
      <c r="Q1162">
        <v>138</v>
      </c>
      <c r="R1162">
        <v>46</v>
      </c>
      <c r="S1162">
        <v>33</v>
      </c>
      <c r="T1162">
        <v>139</v>
      </c>
      <c r="U1162">
        <v>5</v>
      </c>
      <c r="V1162">
        <v>68</v>
      </c>
      <c r="W1162">
        <v>0.155</v>
      </c>
      <c r="X1162">
        <v>78</v>
      </c>
      <c r="Y1162">
        <v>79</v>
      </c>
      <c r="Z1162">
        <v>61</v>
      </c>
      <c r="AA1162">
        <v>8</v>
      </c>
      <c r="AB1162">
        <v>8</v>
      </c>
      <c r="AC1162" t="s">
        <v>349</v>
      </c>
      <c r="AD1162" t="s">
        <v>231</v>
      </c>
      <c r="AG1162" t="s">
        <v>6672</v>
      </c>
      <c r="AH1162" t="s">
        <v>2654</v>
      </c>
      <c r="AI1162" s="245">
        <v>340.58</v>
      </c>
      <c r="AJ1162" t="s">
        <v>6673</v>
      </c>
      <c r="AK1162" t="s">
        <v>6674</v>
      </c>
      <c r="AL1162" t="s">
        <v>2297</v>
      </c>
      <c r="AM1162" s="245">
        <v>229</v>
      </c>
      <c r="AN1162" t="s">
        <v>6675</v>
      </c>
      <c r="AO1162" t="s">
        <v>6676</v>
      </c>
      <c r="AP1162" t="s">
        <v>2789</v>
      </c>
      <c r="AQ1162" s="245">
        <v>249</v>
      </c>
      <c r="AR1162" t="s">
        <v>6677</v>
      </c>
      <c r="AS1162" s="226" t="str">
        <f t="shared" si="36"/>
        <v>Nova 2</v>
      </c>
      <c r="AT1162" s="203" t="str">
        <f t="shared" si="37"/>
        <v xml:space="preserve"> RossignolNova 2144 Women's</v>
      </c>
    </row>
    <row r="1163" spans="1:46" ht="52.8">
      <c r="A1163" t="s">
        <v>155</v>
      </c>
      <c r="B1163" t="s">
        <v>167</v>
      </c>
      <c r="C1163" t="s">
        <v>786</v>
      </c>
      <c r="D1163">
        <v>184</v>
      </c>
      <c r="E1163" t="s">
        <v>158</v>
      </c>
      <c r="F1163">
        <v>184</v>
      </c>
      <c r="G1163">
        <v>183.2</v>
      </c>
      <c r="H1163">
        <v>129</v>
      </c>
      <c r="I1163">
        <v>145</v>
      </c>
      <c r="J1163">
        <v>139</v>
      </c>
      <c r="K1163">
        <v>110</v>
      </c>
      <c r="L1163">
        <v>126</v>
      </c>
      <c r="M1163">
        <v>21.6</v>
      </c>
      <c r="N1163">
        <v>1845</v>
      </c>
      <c r="O1163">
        <v>1.19</v>
      </c>
      <c r="P1163">
        <v>2191</v>
      </c>
      <c r="Q1163">
        <v>316</v>
      </c>
      <c r="R1163">
        <v>140</v>
      </c>
      <c r="S1163">
        <v>58</v>
      </c>
      <c r="T1163">
        <v>279</v>
      </c>
      <c r="U1163">
        <v>20</v>
      </c>
      <c r="V1163">
        <v>268</v>
      </c>
      <c r="W1163">
        <v>0.34200000000000003</v>
      </c>
      <c r="X1163">
        <v>240</v>
      </c>
      <c r="Y1163">
        <v>147</v>
      </c>
      <c r="Z1163">
        <v>39</v>
      </c>
      <c r="AA1163">
        <v>5</v>
      </c>
      <c r="AB1163">
        <v>9.3000000000000007</v>
      </c>
      <c r="AC1163" t="s">
        <v>178</v>
      </c>
      <c r="AD1163" t="s">
        <v>185</v>
      </c>
      <c r="AG1163" t="s">
        <v>6678</v>
      </c>
      <c r="AH1163" t="s">
        <v>1349</v>
      </c>
      <c r="AI1163" s="245">
        <v>430.82</v>
      </c>
      <c r="AJ1163" t="s">
        <v>6679</v>
      </c>
      <c r="AK1163" t="s">
        <v>6678</v>
      </c>
      <c r="AL1163" t="s">
        <v>1185</v>
      </c>
      <c r="AM1163" s="245">
        <v>524.99</v>
      </c>
      <c r="AN1163" t="s">
        <v>6680</v>
      </c>
      <c r="AO1163" t="s">
        <v>6681</v>
      </c>
      <c r="AP1163" t="s">
        <v>1204</v>
      </c>
      <c r="AQ1163" s="245">
        <v>544.98</v>
      </c>
      <c r="AR1163" t="s">
        <v>6682</v>
      </c>
      <c r="AS1163" s="226" t="str">
        <f t="shared" si="36"/>
        <v>Kore 111</v>
      </c>
      <c r="AT1163" s="203" t="str">
        <f t="shared" si="37"/>
        <v xml:space="preserve"> HeadKore 111184 Unisex</v>
      </c>
    </row>
    <row r="1164" spans="1:46" ht="105.6">
      <c r="A1164" t="s">
        <v>155</v>
      </c>
      <c r="B1164" t="s">
        <v>1395</v>
      </c>
      <c r="C1164" t="s">
        <v>565</v>
      </c>
      <c r="D1164">
        <v>184</v>
      </c>
      <c r="E1164" t="s">
        <v>158</v>
      </c>
      <c r="F1164">
        <v>184</v>
      </c>
      <c r="G1164">
        <v>183.8</v>
      </c>
      <c r="H1164">
        <v>141</v>
      </c>
      <c r="I1164">
        <v>160</v>
      </c>
      <c r="J1164">
        <v>134</v>
      </c>
      <c r="K1164">
        <v>95</v>
      </c>
      <c r="L1164">
        <v>118</v>
      </c>
      <c r="M1164">
        <v>20.100000000000001</v>
      </c>
      <c r="N1164">
        <v>2140</v>
      </c>
      <c r="O1164">
        <v>0.92</v>
      </c>
      <c r="P1164">
        <v>1974</v>
      </c>
      <c r="Q1164">
        <v>230</v>
      </c>
      <c r="R1164">
        <v>147</v>
      </c>
      <c r="S1164">
        <v>45</v>
      </c>
      <c r="T1164">
        <v>254</v>
      </c>
      <c r="U1164">
        <v>16</v>
      </c>
      <c r="V1164">
        <v>174</v>
      </c>
      <c r="W1164">
        <v>0.35899999999999999</v>
      </c>
      <c r="X1164">
        <v>135</v>
      </c>
      <c r="Y1164">
        <v>107</v>
      </c>
      <c r="Z1164">
        <v>119</v>
      </c>
      <c r="AA1164">
        <v>5</v>
      </c>
      <c r="AB1164">
        <v>11.6</v>
      </c>
      <c r="AC1164" t="s">
        <v>188</v>
      </c>
      <c r="AG1164" t="s">
        <v>6683</v>
      </c>
      <c r="AH1164" t="s">
        <v>1232</v>
      </c>
      <c r="AI1164" s="245">
        <v>559.95000000000005</v>
      </c>
      <c r="AJ1164" t="s">
        <v>6684</v>
      </c>
      <c r="AK1164" t="s">
        <v>3096</v>
      </c>
      <c r="AL1164" t="s">
        <v>1224</v>
      </c>
      <c r="AM1164" s="245">
        <v>559.99</v>
      </c>
      <c r="AN1164" t="s">
        <v>6685</v>
      </c>
      <c r="AO1164" t="s">
        <v>3096</v>
      </c>
      <c r="AP1164" t="s">
        <v>1179</v>
      </c>
      <c r="AQ1164" s="245">
        <v>559.99</v>
      </c>
      <c r="AR1164" t="s">
        <v>6686</v>
      </c>
      <c r="AS1164" s="226" t="str">
        <f t="shared" si="36"/>
        <v>M6 Mantra</v>
      </c>
      <c r="AT1164" s="203" t="str">
        <f t="shared" si="37"/>
        <v xml:space="preserve"> Vï¿½lklM6 Mantra184 Unisex</v>
      </c>
    </row>
    <row r="1165" spans="1:46" ht="105.6">
      <c r="A1165" t="s">
        <v>155</v>
      </c>
      <c r="B1165" t="s">
        <v>167</v>
      </c>
      <c r="C1165" t="s">
        <v>874</v>
      </c>
      <c r="D1165">
        <v>177</v>
      </c>
      <c r="E1165" t="s">
        <v>158</v>
      </c>
      <c r="F1165">
        <v>177</v>
      </c>
      <c r="G1165">
        <v>175.7</v>
      </c>
      <c r="H1165">
        <v>153</v>
      </c>
      <c r="I1165">
        <v>164</v>
      </c>
      <c r="J1165">
        <v>132</v>
      </c>
      <c r="K1165">
        <v>83</v>
      </c>
      <c r="L1165">
        <v>114</v>
      </c>
      <c r="M1165">
        <v>17.100000000000001</v>
      </c>
      <c r="N1165">
        <v>2234</v>
      </c>
      <c r="O1165">
        <v>0.76</v>
      </c>
      <c r="P1165">
        <v>1701</v>
      </c>
      <c r="Q1165">
        <v>256</v>
      </c>
      <c r="R1165">
        <v>125</v>
      </c>
      <c r="S1165">
        <v>47</v>
      </c>
      <c r="T1165">
        <v>165</v>
      </c>
      <c r="U1165">
        <v>8</v>
      </c>
      <c r="V1165">
        <v>65</v>
      </c>
      <c r="W1165">
        <v>0.16600000000000001</v>
      </c>
      <c r="X1165">
        <v>69</v>
      </c>
      <c r="Y1165">
        <v>48</v>
      </c>
      <c r="Z1165">
        <v>96</v>
      </c>
      <c r="AA1165">
        <v>10</v>
      </c>
      <c r="AB1165">
        <v>13</v>
      </c>
      <c r="AC1165" t="s">
        <v>349</v>
      </c>
      <c r="AD1165" t="s">
        <v>188</v>
      </c>
      <c r="AG1165" t="s">
        <v>6687</v>
      </c>
      <c r="AH1165" t="s">
        <v>3990</v>
      </c>
      <c r="AI1165" s="245">
        <v>799.99</v>
      </c>
      <c r="AJ1165" t="s">
        <v>6688</v>
      </c>
      <c r="AK1165" t="s">
        <v>6689</v>
      </c>
      <c r="AL1165" t="s">
        <v>4009</v>
      </c>
      <c r="AM1165" s="245">
        <v>839.98</v>
      </c>
      <c r="AN1165" t="s">
        <v>6690</v>
      </c>
      <c r="AO1165" t="s">
        <v>6689</v>
      </c>
      <c r="AP1165" t="s">
        <v>1240</v>
      </c>
      <c r="AQ1165" s="245">
        <v>849.95</v>
      </c>
      <c r="AR1165" t="s">
        <v>6691</v>
      </c>
      <c r="AS1165" s="226" t="str">
        <f t="shared" si="36"/>
        <v>Supershape e-Titan</v>
      </c>
      <c r="AT1165" s="203" t="str">
        <f t="shared" si="37"/>
        <v xml:space="preserve"> HeadSupershape e-Titan177 Unisex</v>
      </c>
    </row>
    <row r="1166" spans="1:46" ht="66">
      <c r="A1166" t="s">
        <v>155</v>
      </c>
      <c r="B1166" t="s">
        <v>1395</v>
      </c>
      <c r="C1166" t="s">
        <v>656</v>
      </c>
      <c r="D1166">
        <v>170</v>
      </c>
      <c r="E1166" t="s">
        <v>158</v>
      </c>
      <c r="F1166">
        <v>170</v>
      </c>
      <c r="G1166">
        <v>169.3</v>
      </c>
      <c r="H1166">
        <v>140</v>
      </c>
      <c r="I1166">
        <v>147</v>
      </c>
      <c r="J1166">
        <v>130</v>
      </c>
      <c r="K1166">
        <v>87</v>
      </c>
      <c r="L1166">
        <v>111</v>
      </c>
      <c r="M1166">
        <v>15.7</v>
      </c>
      <c r="N1166">
        <v>1167</v>
      </c>
      <c r="O1166">
        <v>1.46</v>
      </c>
      <c r="P1166">
        <v>1700</v>
      </c>
      <c r="Q1166">
        <v>150</v>
      </c>
      <c r="R1166">
        <v>57</v>
      </c>
      <c r="S1166">
        <v>43</v>
      </c>
      <c r="T1166">
        <v>230</v>
      </c>
      <c r="U1166">
        <v>4</v>
      </c>
      <c r="V1166">
        <v>66</v>
      </c>
      <c r="W1166">
        <v>0.104</v>
      </c>
      <c r="X1166">
        <v>124</v>
      </c>
      <c r="Y1166">
        <v>95</v>
      </c>
      <c r="Z1166">
        <v>106</v>
      </c>
      <c r="AA1166">
        <v>6</v>
      </c>
      <c r="AB1166">
        <v>11.6</v>
      </c>
      <c r="AC1166" t="s">
        <v>185</v>
      </c>
      <c r="AD1166" t="s">
        <v>198</v>
      </c>
      <c r="AG1166" t="s">
        <v>6692</v>
      </c>
      <c r="AH1166" t="s">
        <v>1349</v>
      </c>
      <c r="AI1166" s="245">
        <v>412.48</v>
      </c>
      <c r="AJ1166" t="s">
        <v>6693</v>
      </c>
      <c r="AK1166" t="s">
        <v>6694</v>
      </c>
      <c r="AL1166" t="s">
        <v>1191</v>
      </c>
      <c r="AM1166" s="245">
        <v>489.95</v>
      </c>
      <c r="AN1166" t="s">
        <v>6695</v>
      </c>
      <c r="AO1166" t="s">
        <v>6694</v>
      </c>
      <c r="AP1166" t="s">
        <v>1305</v>
      </c>
      <c r="AQ1166" s="245">
        <v>519</v>
      </c>
      <c r="AR1166" t="s">
        <v>6696</v>
      </c>
      <c r="AS1166" s="226" t="str">
        <f t="shared" si="36"/>
        <v>Rise Above 88</v>
      </c>
      <c r="AT1166" s="203" t="str">
        <f t="shared" si="37"/>
        <v xml:space="preserve"> Vï¿½lklRise Above 88170 Unisex</v>
      </c>
    </row>
    <row r="1167" spans="1:46" ht="79.2">
      <c r="A1167" t="s">
        <v>155</v>
      </c>
      <c r="B1167" t="s">
        <v>172</v>
      </c>
      <c r="C1167" t="s">
        <v>875</v>
      </c>
      <c r="D1167">
        <v>169</v>
      </c>
      <c r="E1167" t="s">
        <v>158</v>
      </c>
      <c r="F1167">
        <v>169</v>
      </c>
      <c r="G1167">
        <v>168.5</v>
      </c>
      <c r="H1167">
        <v>151</v>
      </c>
      <c r="I1167">
        <v>162</v>
      </c>
      <c r="J1167">
        <v>114</v>
      </c>
      <c r="K1167">
        <v>69</v>
      </c>
      <c r="L1167">
        <v>97</v>
      </c>
      <c r="M1167">
        <v>17.7</v>
      </c>
      <c r="N1167">
        <v>2109</v>
      </c>
      <c r="O1167">
        <v>0.65</v>
      </c>
      <c r="P1167">
        <v>1378</v>
      </c>
      <c r="Q1167">
        <v>236</v>
      </c>
      <c r="R1167">
        <v>138</v>
      </c>
      <c r="S1167">
        <v>32</v>
      </c>
      <c r="T1167">
        <v>119</v>
      </c>
      <c r="U1167">
        <v>5</v>
      </c>
      <c r="V1167">
        <v>60</v>
      </c>
      <c r="W1167">
        <v>0.16699999999999901</v>
      </c>
      <c r="X1167">
        <v>29</v>
      </c>
      <c r="Y1167">
        <v>40</v>
      </c>
      <c r="Z1167">
        <v>90</v>
      </c>
      <c r="AA1167">
        <v>10</v>
      </c>
      <c r="AB1167">
        <v>8.1999999999999993</v>
      </c>
      <c r="AC1167" t="s">
        <v>349</v>
      </c>
      <c r="AG1167" t="s">
        <v>6697</v>
      </c>
      <c r="AH1167" t="s">
        <v>1211</v>
      </c>
      <c r="AI1167" s="245">
        <v>899.95</v>
      </c>
      <c r="AJ1167" t="s">
        <v>6698</v>
      </c>
      <c r="AS1167" s="226" t="str">
        <f t="shared" si="36"/>
        <v>Hero Master M15 (R22)</v>
      </c>
      <c r="AT1167" s="203" t="str">
        <f t="shared" si="37"/>
        <v xml:space="preserve"> RossignolHero Master M15 (R22)169 Unisex</v>
      </c>
    </row>
    <row r="1168" spans="1:46" ht="92.4">
      <c r="A1168" t="s">
        <v>155</v>
      </c>
      <c r="B1168" t="s">
        <v>1395</v>
      </c>
      <c r="C1168" t="s">
        <v>814</v>
      </c>
      <c r="D1168">
        <v>184</v>
      </c>
      <c r="E1168" t="s">
        <v>158</v>
      </c>
      <c r="F1168">
        <v>184</v>
      </c>
      <c r="G1168">
        <v>183.6</v>
      </c>
      <c r="H1168">
        <v>119</v>
      </c>
      <c r="I1168">
        <v>161</v>
      </c>
      <c r="J1168">
        <v>139</v>
      </c>
      <c r="K1168">
        <v>101</v>
      </c>
      <c r="L1168">
        <v>123</v>
      </c>
      <c r="M1168">
        <v>21.3</v>
      </c>
      <c r="N1168">
        <v>2217</v>
      </c>
      <c r="O1168">
        <v>0.93</v>
      </c>
      <c r="P1168">
        <v>2069</v>
      </c>
      <c r="Q1168">
        <v>229</v>
      </c>
      <c r="R1168">
        <v>160</v>
      </c>
      <c r="S1168">
        <v>48</v>
      </c>
      <c r="T1168">
        <v>375</v>
      </c>
      <c r="U1168">
        <v>19</v>
      </c>
      <c r="V1168">
        <v>267</v>
      </c>
      <c r="W1168">
        <v>0.38299999999999901</v>
      </c>
      <c r="X1168">
        <v>131</v>
      </c>
      <c r="Y1168">
        <v>100</v>
      </c>
      <c r="Z1168">
        <v>244</v>
      </c>
      <c r="AA1168">
        <v>3</v>
      </c>
      <c r="AB1168">
        <v>11.6</v>
      </c>
      <c r="AC1168" t="s">
        <v>188</v>
      </c>
      <c r="AD1168" t="s">
        <v>169</v>
      </c>
      <c r="AE1168" t="s">
        <v>178</v>
      </c>
      <c r="AG1168" t="s">
        <v>6699</v>
      </c>
      <c r="AH1168" t="s">
        <v>1204</v>
      </c>
      <c r="AI1168" s="245">
        <v>480.86</v>
      </c>
      <c r="AJ1168" t="s">
        <v>6700</v>
      </c>
      <c r="AK1168" t="s">
        <v>6701</v>
      </c>
      <c r="AL1168" t="s">
        <v>1804</v>
      </c>
      <c r="AM1168" s="245">
        <v>543</v>
      </c>
      <c r="AN1168" t="s">
        <v>6702</v>
      </c>
      <c r="AO1168" t="s">
        <v>6703</v>
      </c>
      <c r="AP1168" t="s">
        <v>1282</v>
      </c>
      <c r="AQ1168" s="245">
        <v>599.99</v>
      </c>
      <c r="AR1168" t="s">
        <v>6704</v>
      </c>
      <c r="AS1168" s="226" t="str">
        <f t="shared" si="36"/>
        <v>Mantra 102</v>
      </c>
      <c r="AT1168" s="203" t="str">
        <f t="shared" si="37"/>
        <v xml:space="preserve"> Vï¿½lklMantra 102184 Unisex</v>
      </c>
    </row>
    <row r="1169" spans="1:46" ht="171.6">
      <c r="A1169" t="s">
        <v>155</v>
      </c>
      <c r="B1169" t="s">
        <v>208</v>
      </c>
      <c r="C1169" t="s">
        <v>577</v>
      </c>
      <c r="D1169">
        <v>165</v>
      </c>
      <c r="E1169" t="s">
        <v>163</v>
      </c>
      <c r="F1169">
        <v>165</v>
      </c>
      <c r="G1169">
        <v>160</v>
      </c>
      <c r="H1169">
        <v>98</v>
      </c>
      <c r="I1169">
        <v>126</v>
      </c>
      <c r="J1169">
        <v>143</v>
      </c>
      <c r="K1169">
        <v>109</v>
      </c>
      <c r="L1169">
        <v>129</v>
      </c>
      <c r="M1169">
        <v>14</v>
      </c>
      <c r="N1169">
        <v>1284</v>
      </c>
      <c r="O1169">
        <v>1.48</v>
      </c>
      <c r="P1169">
        <v>1902</v>
      </c>
      <c r="Q1169">
        <v>131</v>
      </c>
      <c r="R1169">
        <v>52</v>
      </c>
      <c r="S1169">
        <v>47</v>
      </c>
      <c r="T1169">
        <v>332</v>
      </c>
      <c r="U1169">
        <v>27</v>
      </c>
      <c r="V1169">
        <v>290</v>
      </c>
      <c r="W1169">
        <v>0.57899999999999996</v>
      </c>
      <c r="X1169">
        <v>169</v>
      </c>
      <c r="Y1169">
        <v>168</v>
      </c>
      <c r="Z1169">
        <v>163</v>
      </c>
      <c r="AA1169">
        <v>5</v>
      </c>
      <c r="AB1169">
        <v>6.3</v>
      </c>
      <c r="AC1169" t="s">
        <v>169</v>
      </c>
      <c r="AD1169" t="s">
        <v>185</v>
      </c>
      <c r="AE1169" t="s">
        <v>198</v>
      </c>
      <c r="AG1169" t="s">
        <v>6705</v>
      </c>
      <c r="AH1169" t="s">
        <v>1181</v>
      </c>
      <c r="AI1169" s="245">
        <v>869.95</v>
      </c>
      <c r="AJ1169" t="s">
        <v>6706</v>
      </c>
      <c r="AK1169" t="s">
        <v>6707</v>
      </c>
      <c r="AL1169" t="s">
        <v>1240</v>
      </c>
      <c r="AM1169" s="245">
        <v>399.95</v>
      </c>
      <c r="AN1169" t="s">
        <v>6708</v>
      </c>
      <c r="AO1169" t="s">
        <v>6709</v>
      </c>
      <c r="AP1169" t="s">
        <v>1950</v>
      </c>
      <c r="AQ1169" s="245">
        <v>399.95</v>
      </c>
      <c r="AR1169" t="s">
        <v>6710</v>
      </c>
      <c r="AS1169" s="226" t="str">
        <f t="shared" si="36"/>
        <v>Pandora 110</v>
      </c>
      <c r="AT1169" s="203" t="str">
        <f t="shared" si="37"/>
        <v xml:space="preserve"> LinePandora 110165 Women's</v>
      </c>
    </row>
    <row r="1170" spans="1:46" ht="158.4">
      <c r="A1170" t="s">
        <v>155</v>
      </c>
      <c r="B1170" t="s">
        <v>1395</v>
      </c>
      <c r="C1170" t="s">
        <v>854</v>
      </c>
      <c r="D1170">
        <v>156</v>
      </c>
      <c r="E1170" t="s">
        <v>163</v>
      </c>
      <c r="F1170">
        <v>156</v>
      </c>
      <c r="G1170">
        <v>154.69999999999999</v>
      </c>
      <c r="H1170">
        <v>119</v>
      </c>
      <c r="I1170">
        <v>133</v>
      </c>
      <c r="J1170">
        <v>137</v>
      </c>
      <c r="K1170">
        <v>95</v>
      </c>
      <c r="L1170">
        <v>118</v>
      </c>
      <c r="M1170">
        <v>13</v>
      </c>
      <c r="N1170">
        <v>1129</v>
      </c>
      <c r="O1170">
        <v>1.48</v>
      </c>
      <c r="P1170">
        <v>1672</v>
      </c>
      <c r="Q1170">
        <v>140</v>
      </c>
      <c r="R1170">
        <v>64</v>
      </c>
      <c r="S1170">
        <v>40</v>
      </c>
      <c r="T1170">
        <v>292</v>
      </c>
      <c r="U1170">
        <v>4</v>
      </c>
      <c r="V1170">
        <v>68</v>
      </c>
      <c r="W1170">
        <v>0.104</v>
      </c>
      <c r="X1170">
        <v>129</v>
      </c>
      <c r="Y1170">
        <v>88</v>
      </c>
      <c r="Z1170">
        <v>163</v>
      </c>
      <c r="AA1170">
        <v>4</v>
      </c>
      <c r="AB1170">
        <v>10.3</v>
      </c>
      <c r="AC1170" t="s">
        <v>185</v>
      </c>
      <c r="AD1170" t="s">
        <v>198</v>
      </c>
      <c r="AG1170" t="s">
        <v>6711</v>
      </c>
      <c r="AH1170" t="s">
        <v>1349</v>
      </c>
      <c r="AI1170" s="245">
        <v>640.87</v>
      </c>
      <c r="AJ1170" t="s">
        <v>6712</v>
      </c>
      <c r="AK1170" t="s">
        <v>6713</v>
      </c>
      <c r="AL1170" t="s">
        <v>1181</v>
      </c>
      <c r="AM1170" s="245">
        <v>949.99</v>
      </c>
      <c r="AN1170" t="s">
        <v>6714</v>
      </c>
      <c r="AO1170" t="s">
        <v>6217</v>
      </c>
      <c r="AP1170" t="s">
        <v>1194</v>
      </c>
      <c r="AQ1170" s="245">
        <v>419.41</v>
      </c>
      <c r="AR1170" t="s">
        <v>6715</v>
      </c>
      <c r="AS1170" s="226" t="str">
        <f t="shared" si="36"/>
        <v>Rise Beyond 96 W</v>
      </c>
      <c r="AT1170" s="203" t="str">
        <f t="shared" si="37"/>
        <v xml:space="preserve"> Vï¿½lklRise Beyond 96 W156 Women's</v>
      </c>
    </row>
    <row r="1171" spans="1:46" ht="105.6">
      <c r="A1171" t="s">
        <v>155</v>
      </c>
      <c r="B1171" t="s">
        <v>317</v>
      </c>
      <c r="C1171" t="s">
        <v>851</v>
      </c>
      <c r="D1171">
        <v>165</v>
      </c>
      <c r="E1171" t="s">
        <v>158</v>
      </c>
      <c r="F1171">
        <v>165</v>
      </c>
      <c r="G1171">
        <v>163.69999999999999</v>
      </c>
      <c r="H1171">
        <v>144</v>
      </c>
      <c r="I1171">
        <v>151</v>
      </c>
      <c r="J1171">
        <v>122</v>
      </c>
      <c r="K1171">
        <v>70</v>
      </c>
      <c r="L1171">
        <v>105</v>
      </c>
      <c r="M1171">
        <v>13</v>
      </c>
      <c r="N1171">
        <v>2126</v>
      </c>
      <c r="O1171">
        <v>0.67</v>
      </c>
      <c r="P1171">
        <v>1415</v>
      </c>
      <c r="Q1171">
        <v>198</v>
      </c>
      <c r="R1171">
        <v>120</v>
      </c>
      <c r="S1171">
        <v>43</v>
      </c>
      <c r="T1171">
        <v>143</v>
      </c>
      <c r="U1171">
        <v>7</v>
      </c>
      <c r="V1171">
        <v>58</v>
      </c>
      <c r="W1171">
        <v>0.16399999999999901</v>
      </c>
      <c r="X1171">
        <v>68</v>
      </c>
      <c r="Y1171">
        <v>57</v>
      </c>
      <c r="Z1171">
        <v>76</v>
      </c>
      <c r="AA1171">
        <v>9</v>
      </c>
      <c r="AB1171">
        <v>11.9</v>
      </c>
      <c r="AC1171" t="s">
        <v>349</v>
      </c>
      <c r="AG1171" t="s">
        <v>4002</v>
      </c>
      <c r="AH1171" t="s">
        <v>1610</v>
      </c>
      <c r="AI1171" s="245">
        <v>599.95000000000005</v>
      </c>
      <c r="AJ1171" t="s">
        <v>6716</v>
      </c>
      <c r="AK1171" t="s">
        <v>6717</v>
      </c>
      <c r="AL1171" t="s">
        <v>1421</v>
      </c>
      <c r="AM1171" s="245">
        <v>599.95000000000005</v>
      </c>
      <c r="AN1171" t="s">
        <v>6718</v>
      </c>
      <c r="AO1171" t="s">
        <v>4002</v>
      </c>
      <c r="AP1171" t="s">
        <v>1179</v>
      </c>
      <c r="AQ1171" s="245">
        <v>599.95000000000005</v>
      </c>
      <c r="AR1171" t="s">
        <v>6719</v>
      </c>
      <c r="AS1171" s="226" t="str">
        <f t="shared" si="36"/>
        <v>Thunderbird R13</v>
      </c>
      <c r="AT1171" s="203" t="str">
        <f t="shared" si="37"/>
        <v xml:space="preserve"> BlizzardThunderbird R13165 Unisex</v>
      </c>
    </row>
    <row r="1172" spans="1:46" ht="52.8">
      <c r="A1172" t="s">
        <v>155</v>
      </c>
      <c r="B1172" t="s">
        <v>182</v>
      </c>
      <c r="C1172" t="s">
        <v>721</v>
      </c>
      <c r="D1172">
        <v>143</v>
      </c>
      <c r="E1172" t="s">
        <v>163</v>
      </c>
      <c r="F1172">
        <v>143</v>
      </c>
      <c r="G1172">
        <v>141.19999999999999</v>
      </c>
      <c r="H1172">
        <v>98</v>
      </c>
      <c r="I1172">
        <v>116</v>
      </c>
      <c r="J1172">
        <v>116</v>
      </c>
      <c r="K1172">
        <v>84</v>
      </c>
      <c r="L1172">
        <v>108</v>
      </c>
      <c r="M1172">
        <v>10.6</v>
      </c>
      <c r="N1172">
        <v>1360</v>
      </c>
      <c r="O1172">
        <v>0.99</v>
      </c>
      <c r="P1172">
        <v>1347</v>
      </c>
      <c r="Q1172">
        <v>101</v>
      </c>
      <c r="R1172">
        <v>44</v>
      </c>
      <c r="S1172">
        <v>49</v>
      </c>
      <c r="T1172">
        <v>246</v>
      </c>
      <c r="U1172">
        <v>37</v>
      </c>
      <c r="V1172">
        <v>190</v>
      </c>
      <c r="W1172">
        <v>0.76200000000000001</v>
      </c>
      <c r="X1172">
        <v>133</v>
      </c>
      <c r="Y1172">
        <v>118</v>
      </c>
      <c r="Z1172">
        <v>113</v>
      </c>
      <c r="AA1172">
        <v>6</v>
      </c>
      <c r="AB1172">
        <v>5.9</v>
      </c>
      <c r="AC1172" t="s">
        <v>188</v>
      </c>
      <c r="AG1172" t="s">
        <v>2173</v>
      </c>
      <c r="AH1172" t="s">
        <v>3814</v>
      </c>
      <c r="AI1172" s="245">
        <v>269.97000000000003</v>
      </c>
      <c r="AJ1172" t="s">
        <v>6720</v>
      </c>
      <c r="AK1172" t="s">
        <v>2173</v>
      </c>
      <c r="AL1172" t="s">
        <v>1294</v>
      </c>
      <c r="AM1172" s="245">
        <v>279.93</v>
      </c>
      <c r="AN1172" t="s">
        <v>6721</v>
      </c>
      <c r="AO1172" t="s">
        <v>2173</v>
      </c>
      <c r="AP1172" t="s">
        <v>1421</v>
      </c>
      <c r="AQ1172" s="245">
        <v>349.95</v>
      </c>
      <c r="AR1172" t="s">
        <v>6722</v>
      </c>
      <c r="AS1172" s="226" t="str">
        <f t="shared" si="36"/>
        <v>ARW 84</v>
      </c>
      <c r="AT1172" s="203" t="str">
        <f t="shared" si="37"/>
        <v xml:space="preserve"> ArmadaARW 84143 Women's</v>
      </c>
    </row>
    <row r="1173" spans="1:46" ht="39.6">
      <c r="A1173" t="s">
        <v>155</v>
      </c>
      <c r="B1173" t="s">
        <v>1160</v>
      </c>
      <c r="C1173" t="s">
        <v>755</v>
      </c>
      <c r="D1173">
        <v>156</v>
      </c>
      <c r="E1173" t="s">
        <v>163</v>
      </c>
      <c r="F1173">
        <v>156</v>
      </c>
      <c r="G1173">
        <v>155.69999999999999</v>
      </c>
      <c r="H1173">
        <v>116</v>
      </c>
      <c r="I1173">
        <v>129</v>
      </c>
      <c r="J1173">
        <v>127</v>
      </c>
      <c r="K1173">
        <v>95</v>
      </c>
      <c r="L1173">
        <v>114</v>
      </c>
      <c r="M1173">
        <v>16.3</v>
      </c>
      <c r="N1173">
        <v>1129</v>
      </c>
      <c r="O1173">
        <v>1.44</v>
      </c>
      <c r="P1173">
        <v>1626</v>
      </c>
      <c r="Q1173">
        <v>127</v>
      </c>
      <c r="R1173">
        <v>57</v>
      </c>
      <c r="S1173">
        <v>51</v>
      </c>
      <c r="T1173">
        <v>273</v>
      </c>
      <c r="U1173">
        <v>7</v>
      </c>
      <c r="V1173">
        <v>129</v>
      </c>
      <c r="W1173">
        <v>0.13500000000000001</v>
      </c>
      <c r="X1173">
        <v>159</v>
      </c>
      <c r="Y1173">
        <v>109</v>
      </c>
      <c r="Z1173">
        <v>114</v>
      </c>
      <c r="AA1173">
        <v>7</v>
      </c>
      <c r="AB1173">
        <v>12</v>
      </c>
      <c r="AC1173" t="s">
        <v>185</v>
      </c>
      <c r="AD1173" t="s">
        <v>198</v>
      </c>
      <c r="AG1173" t="s">
        <v>6723</v>
      </c>
      <c r="AH1173" t="s">
        <v>1194</v>
      </c>
      <c r="AI1173" s="245">
        <v>404.68</v>
      </c>
      <c r="AJ1173" t="s">
        <v>6724</v>
      </c>
      <c r="AK1173" t="s">
        <v>6723</v>
      </c>
      <c r="AL1173" t="s">
        <v>1509</v>
      </c>
      <c r="AM1173" s="245">
        <v>444.99</v>
      </c>
      <c r="AN1173" t="s">
        <v>6725</v>
      </c>
      <c r="AO1173" t="s">
        <v>6723</v>
      </c>
      <c r="AP1173" t="s">
        <v>1280</v>
      </c>
      <c r="AQ1173" s="245">
        <v>699.95</v>
      </c>
      <c r="AR1173" t="s">
        <v>6726</v>
      </c>
      <c r="AS1173" s="226" t="str">
        <f t="shared" si="36"/>
        <v>Talkback 96</v>
      </c>
      <c r="AT1173" s="203" t="str">
        <f t="shared" si="37"/>
        <v>K2Talkback 96156 Women's</v>
      </c>
    </row>
    <row r="1174" spans="1:46" ht="66">
      <c r="A1174" t="s">
        <v>155</v>
      </c>
      <c r="B1174" t="s">
        <v>208</v>
      </c>
      <c r="C1174" t="s">
        <v>824</v>
      </c>
      <c r="D1174">
        <v>151</v>
      </c>
      <c r="E1174" t="s">
        <v>163</v>
      </c>
      <c r="F1174">
        <v>151</v>
      </c>
      <c r="G1174">
        <v>150.5</v>
      </c>
      <c r="H1174">
        <v>119</v>
      </c>
      <c r="I1174">
        <v>127</v>
      </c>
      <c r="J1174">
        <v>121</v>
      </c>
      <c r="K1174">
        <v>83</v>
      </c>
      <c r="L1174">
        <v>109</v>
      </c>
      <c r="M1174">
        <v>12.1</v>
      </c>
      <c r="N1174">
        <v>1252</v>
      </c>
      <c r="O1174">
        <v>1.1499999999999999</v>
      </c>
      <c r="P1174">
        <v>1443</v>
      </c>
      <c r="Q1174">
        <v>110</v>
      </c>
      <c r="R1174">
        <v>59</v>
      </c>
      <c r="S1174">
        <v>43</v>
      </c>
      <c r="T1174">
        <v>170</v>
      </c>
      <c r="U1174">
        <v>19</v>
      </c>
      <c r="V1174">
        <v>149</v>
      </c>
      <c r="W1174">
        <v>0.433</v>
      </c>
      <c r="X1174">
        <v>133</v>
      </c>
      <c r="Y1174">
        <v>104</v>
      </c>
      <c r="Z1174">
        <v>37</v>
      </c>
      <c r="AA1174">
        <v>8</v>
      </c>
      <c r="AB1174">
        <v>8.5</v>
      </c>
      <c r="AC1174" t="s">
        <v>231</v>
      </c>
      <c r="AD1174" t="s">
        <v>188</v>
      </c>
      <c r="AE1174" t="s">
        <v>185</v>
      </c>
      <c r="AG1174" t="s">
        <v>5784</v>
      </c>
      <c r="AH1174" t="s">
        <v>1179</v>
      </c>
      <c r="AI1174" s="245">
        <v>319.95</v>
      </c>
      <c r="AJ1174" t="s">
        <v>6727</v>
      </c>
      <c r="AK1174" t="s">
        <v>5784</v>
      </c>
      <c r="AL1174" t="s">
        <v>1421</v>
      </c>
      <c r="AM1174" s="245">
        <v>319.95999999999998</v>
      </c>
      <c r="AN1174" t="s">
        <v>6728</v>
      </c>
      <c r="AO1174" t="s">
        <v>5784</v>
      </c>
      <c r="AP1174" t="s">
        <v>1592</v>
      </c>
      <c r="AQ1174" s="245">
        <v>344.5</v>
      </c>
      <c r="AR1174" t="s">
        <v>6729</v>
      </c>
      <c r="AS1174" s="226" t="str">
        <f t="shared" si="36"/>
        <v>Pandora 84</v>
      </c>
      <c r="AT1174" s="203" t="str">
        <f t="shared" si="37"/>
        <v xml:space="preserve"> LinePandora 84151 Women's</v>
      </c>
    </row>
    <row r="1175" spans="1:46" ht="52.8">
      <c r="A1175" t="s">
        <v>155</v>
      </c>
      <c r="B1175" t="s">
        <v>317</v>
      </c>
      <c r="C1175" t="s">
        <v>680</v>
      </c>
      <c r="D1175">
        <v>157</v>
      </c>
      <c r="E1175" t="s">
        <v>158</v>
      </c>
      <c r="F1175">
        <v>157</v>
      </c>
      <c r="G1175">
        <v>154.69999999999999</v>
      </c>
      <c r="H1175">
        <v>116</v>
      </c>
      <c r="I1175">
        <v>129</v>
      </c>
      <c r="J1175">
        <v>114</v>
      </c>
      <c r="K1175">
        <v>83</v>
      </c>
      <c r="L1175">
        <v>98</v>
      </c>
      <c r="M1175">
        <v>17.899999999999999</v>
      </c>
      <c r="N1175">
        <v>975</v>
      </c>
      <c r="O1175">
        <v>1.46</v>
      </c>
      <c r="P1175">
        <v>1422</v>
      </c>
      <c r="Q1175">
        <v>169</v>
      </c>
      <c r="R1175">
        <v>54</v>
      </c>
      <c r="S1175">
        <v>60</v>
      </c>
      <c r="T1175">
        <v>225</v>
      </c>
      <c r="U1175">
        <v>9</v>
      </c>
      <c r="V1175">
        <v>158</v>
      </c>
      <c r="W1175">
        <v>0.14699999999999999</v>
      </c>
      <c r="X1175">
        <v>135</v>
      </c>
      <c r="Y1175">
        <v>124</v>
      </c>
      <c r="Z1175">
        <v>90</v>
      </c>
      <c r="AA1175">
        <v>5</v>
      </c>
      <c r="AB1175">
        <v>10.8</v>
      </c>
      <c r="AC1175" t="s">
        <v>185</v>
      </c>
      <c r="AD1175" t="s">
        <v>198</v>
      </c>
      <c r="AG1175" t="s">
        <v>6730</v>
      </c>
      <c r="AH1175" t="s">
        <v>1349</v>
      </c>
      <c r="AI1175" s="245">
        <v>274.13</v>
      </c>
      <c r="AJ1175" t="s">
        <v>6731</v>
      </c>
      <c r="AK1175" t="s">
        <v>4078</v>
      </c>
      <c r="AL1175" t="s">
        <v>1194</v>
      </c>
      <c r="AM1175" s="245">
        <v>387.14</v>
      </c>
      <c r="AN1175" t="s">
        <v>6732</v>
      </c>
      <c r="AO1175" t="s">
        <v>4078</v>
      </c>
      <c r="AP1175" t="s">
        <v>1409</v>
      </c>
      <c r="AQ1175" s="245">
        <v>416.43</v>
      </c>
      <c r="AR1175" t="s">
        <v>6733</v>
      </c>
      <c r="AS1175" s="226" t="str">
        <f t="shared" si="36"/>
        <v>Zero G 85</v>
      </c>
      <c r="AT1175" s="203" t="str">
        <f t="shared" si="37"/>
        <v xml:space="preserve"> BlizzardZero G 85157 Unisex</v>
      </c>
    </row>
    <row r="1176" spans="1:46" ht="158.4">
      <c r="A1176" t="s">
        <v>155</v>
      </c>
      <c r="B1176" t="s">
        <v>182</v>
      </c>
      <c r="C1176" t="s">
        <v>271</v>
      </c>
      <c r="D1176">
        <v>188</v>
      </c>
      <c r="E1176" t="s">
        <v>158</v>
      </c>
      <c r="F1176">
        <v>188</v>
      </c>
      <c r="G1176">
        <v>187.6</v>
      </c>
      <c r="H1176">
        <v>145</v>
      </c>
      <c r="I1176">
        <v>159</v>
      </c>
      <c r="J1176">
        <v>131</v>
      </c>
      <c r="K1176">
        <v>91</v>
      </c>
      <c r="L1176">
        <v>118</v>
      </c>
      <c r="M1176">
        <v>18.399999999999999</v>
      </c>
      <c r="N1176">
        <v>1937</v>
      </c>
      <c r="O1176">
        <v>1.01</v>
      </c>
      <c r="P1176">
        <v>1964</v>
      </c>
      <c r="Q1176">
        <v>271</v>
      </c>
      <c r="R1176">
        <v>161</v>
      </c>
      <c r="S1176">
        <v>49</v>
      </c>
      <c r="T1176">
        <v>262</v>
      </c>
      <c r="U1176">
        <v>20</v>
      </c>
      <c r="V1176">
        <v>162</v>
      </c>
      <c r="W1176">
        <v>0.40399999999999903</v>
      </c>
      <c r="X1176">
        <v>182</v>
      </c>
      <c r="Y1176">
        <v>105</v>
      </c>
      <c r="Z1176">
        <v>80</v>
      </c>
      <c r="AA1176">
        <v>8</v>
      </c>
      <c r="AB1176">
        <v>9.6</v>
      </c>
      <c r="AC1176" t="s">
        <v>188</v>
      </c>
      <c r="AG1176" t="s">
        <v>6734</v>
      </c>
      <c r="AH1176" t="s">
        <v>1191</v>
      </c>
      <c r="AI1176" s="245">
        <v>424.95</v>
      </c>
      <c r="AJ1176" t="s">
        <v>6735</v>
      </c>
      <c r="AK1176" t="s">
        <v>5665</v>
      </c>
      <c r="AL1176" t="s">
        <v>1226</v>
      </c>
      <c r="AM1176" s="245">
        <v>519</v>
      </c>
      <c r="AN1176" t="s">
        <v>6736</v>
      </c>
      <c r="AO1176" t="s">
        <v>5665</v>
      </c>
      <c r="AP1176" t="s">
        <v>1181</v>
      </c>
      <c r="AQ1176" s="245">
        <v>519.96</v>
      </c>
      <c r="AR1176" t="s">
        <v>6737</v>
      </c>
      <c r="AS1176" s="226" t="str">
        <f t="shared" si="36"/>
        <v>Declivity 92 Ti</v>
      </c>
      <c r="AT1176" s="203" t="str">
        <f t="shared" si="37"/>
        <v xml:space="preserve"> ArmadaDeclivity 92 Ti188 Unisex</v>
      </c>
    </row>
    <row r="1177" spans="1:46" ht="66">
      <c r="A1177" t="s">
        <v>155</v>
      </c>
      <c r="B1177" t="s">
        <v>182</v>
      </c>
      <c r="C1177" t="s">
        <v>876</v>
      </c>
      <c r="D1177">
        <v>180</v>
      </c>
      <c r="E1177" t="s">
        <v>158</v>
      </c>
      <c r="F1177">
        <v>180</v>
      </c>
      <c r="G1177">
        <v>178.7</v>
      </c>
      <c r="H1177">
        <v>99</v>
      </c>
      <c r="I1177">
        <v>115</v>
      </c>
      <c r="J1177">
        <v>142</v>
      </c>
      <c r="K1177">
        <v>125</v>
      </c>
      <c r="L1177">
        <v>139</v>
      </c>
      <c r="M1177">
        <v>17.899999999999999</v>
      </c>
      <c r="N1177">
        <v>2353</v>
      </c>
      <c r="O1177">
        <v>1</v>
      </c>
      <c r="P1177">
        <v>2343</v>
      </c>
      <c r="Q1177">
        <v>264</v>
      </c>
      <c r="R1177">
        <v>128</v>
      </c>
      <c r="S1177">
        <v>60</v>
      </c>
      <c r="T1177">
        <v>414</v>
      </c>
      <c r="U1177">
        <v>58</v>
      </c>
      <c r="V1177">
        <v>383</v>
      </c>
      <c r="W1177">
        <v>0.96899999999999997</v>
      </c>
      <c r="X1177">
        <v>325</v>
      </c>
      <c r="Y1177">
        <v>311</v>
      </c>
      <c r="Z1177">
        <v>89</v>
      </c>
      <c r="AA1177">
        <v>7</v>
      </c>
      <c r="AB1177">
        <v>4.7</v>
      </c>
      <c r="AC1177" t="s">
        <v>184</v>
      </c>
      <c r="AD1177" t="s">
        <v>169</v>
      </c>
      <c r="AG1177" t="s">
        <v>4731</v>
      </c>
      <c r="AH1177" t="s">
        <v>1262</v>
      </c>
      <c r="AI1177" s="245">
        <v>451.71</v>
      </c>
      <c r="AJ1177" t="s">
        <v>6738</v>
      </c>
      <c r="AK1177" t="s">
        <v>4731</v>
      </c>
      <c r="AL1177" t="s">
        <v>1232</v>
      </c>
      <c r="AM1177" s="245">
        <v>549.95000000000005</v>
      </c>
      <c r="AN1177" t="s">
        <v>6739</v>
      </c>
      <c r="AO1177" t="s">
        <v>4731</v>
      </c>
      <c r="AP1177" t="s">
        <v>1858</v>
      </c>
      <c r="AQ1177" s="245">
        <v>599</v>
      </c>
      <c r="AR1177" t="s">
        <v>6740</v>
      </c>
      <c r="AS1177" s="226" t="str">
        <f t="shared" si="36"/>
        <v>Magic J</v>
      </c>
      <c r="AT1177" s="203" t="str">
        <f t="shared" si="37"/>
        <v xml:space="preserve"> ArmadaMagic J180 Unisex</v>
      </c>
    </row>
    <row r="1178" spans="1:46" ht="132">
      <c r="A1178" t="s">
        <v>155</v>
      </c>
      <c r="B1178" t="s">
        <v>317</v>
      </c>
      <c r="C1178" t="s">
        <v>878</v>
      </c>
      <c r="D1178">
        <v>166</v>
      </c>
      <c r="E1178" t="s">
        <v>158</v>
      </c>
      <c r="F1178">
        <v>166</v>
      </c>
      <c r="G1178">
        <v>165.1</v>
      </c>
      <c r="H1178">
        <v>146</v>
      </c>
      <c r="I1178">
        <v>153</v>
      </c>
      <c r="J1178">
        <v>124</v>
      </c>
      <c r="K1178">
        <v>75</v>
      </c>
      <c r="L1178">
        <v>105</v>
      </c>
      <c r="M1178">
        <v>14.7</v>
      </c>
      <c r="N1178">
        <v>2238</v>
      </c>
      <c r="O1178">
        <v>0.66</v>
      </c>
      <c r="P1178">
        <v>1477</v>
      </c>
      <c r="Q1178">
        <v>196</v>
      </c>
      <c r="R1178">
        <v>122</v>
      </c>
      <c r="S1178">
        <v>42</v>
      </c>
      <c r="T1178">
        <v>135</v>
      </c>
      <c r="U1178">
        <v>8</v>
      </c>
      <c r="V1178">
        <v>59</v>
      </c>
      <c r="W1178">
        <v>0.182</v>
      </c>
      <c r="X1178">
        <v>73</v>
      </c>
      <c r="Y1178">
        <v>51</v>
      </c>
      <c r="Z1178">
        <v>62</v>
      </c>
      <c r="AA1178">
        <v>9</v>
      </c>
      <c r="AB1178">
        <v>11.7</v>
      </c>
      <c r="AC1178" t="s">
        <v>349</v>
      </c>
      <c r="AG1178" t="s">
        <v>6741</v>
      </c>
      <c r="AH1178" t="s">
        <v>1320</v>
      </c>
      <c r="AI1178" s="245">
        <v>899.95</v>
      </c>
      <c r="AJ1178" t="s">
        <v>6742</v>
      </c>
      <c r="AK1178" t="s">
        <v>6743</v>
      </c>
      <c r="AL1178" t="s">
        <v>1421</v>
      </c>
      <c r="AM1178" s="245">
        <v>899.95</v>
      </c>
      <c r="AN1178" t="s">
        <v>6744</v>
      </c>
      <c r="AO1178" t="s">
        <v>6745</v>
      </c>
      <c r="AP1178" t="s">
        <v>1294</v>
      </c>
      <c r="AQ1178" s="245">
        <v>479.93</v>
      </c>
      <c r="AR1178" t="s">
        <v>6746</v>
      </c>
      <c r="AS1178" s="226" t="str">
        <f t="shared" si="36"/>
        <v>Thunderbird R15 WB</v>
      </c>
      <c r="AT1178" s="203" t="str">
        <f t="shared" si="37"/>
        <v xml:space="preserve"> BlizzardThunderbird R15 WB166 Unisex</v>
      </c>
    </row>
    <row r="1179" spans="1:46" ht="105.6">
      <c r="A1179" t="s">
        <v>155</v>
      </c>
      <c r="B1179" t="s">
        <v>245</v>
      </c>
      <c r="C1179" t="s">
        <v>772</v>
      </c>
      <c r="D1179">
        <v>173</v>
      </c>
      <c r="E1179" t="s">
        <v>158</v>
      </c>
      <c r="F1179">
        <v>173</v>
      </c>
      <c r="G1179">
        <v>172.3</v>
      </c>
      <c r="H1179">
        <v>133</v>
      </c>
      <c r="I1179">
        <v>154</v>
      </c>
      <c r="J1179">
        <v>125</v>
      </c>
      <c r="K1179">
        <v>81</v>
      </c>
      <c r="L1179">
        <v>112</v>
      </c>
      <c r="M1179">
        <v>14.6</v>
      </c>
      <c r="N1179">
        <v>2002</v>
      </c>
      <c r="O1179">
        <v>0.82</v>
      </c>
      <c r="P1179">
        <v>1650</v>
      </c>
      <c r="Q1179">
        <v>255</v>
      </c>
      <c r="R1179">
        <v>155</v>
      </c>
      <c r="S1179">
        <v>50</v>
      </c>
      <c r="T1179">
        <v>263</v>
      </c>
      <c r="U1179">
        <v>9</v>
      </c>
      <c r="V1179">
        <v>130</v>
      </c>
      <c r="W1179">
        <v>0.17799999999999999</v>
      </c>
      <c r="X1179">
        <v>84</v>
      </c>
      <c r="Y1179">
        <v>104</v>
      </c>
      <c r="Z1179">
        <v>179</v>
      </c>
      <c r="AA1179">
        <v>5</v>
      </c>
      <c r="AB1179">
        <v>9.9</v>
      </c>
      <c r="AC1179" t="s">
        <v>231</v>
      </c>
      <c r="AD1179" t="s">
        <v>188</v>
      </c>
      <c r="AG1179" t="s">
        <v>6747</v>
      </c>
      <c r="AH1179" t="s">
        <v>1248</v>
      </c>
      <c r="AI1179" s="245">
        <v>419.99</v>
      </c>
      <c r="AJ1179" t="s">
        <v>6748</v>
      </c>
      <c r="AK1179" t="s">
        <v>5137</v>
      </c>
      <c r="AL1179" t="s">
        <v>1282</v>
      </c>
      <c r="AM1179" s="245">
        <v>469.94</v>
      </c>
      <c r="AN1179" t="s">
        <v>6749</v>
      </c>
      <c r="AO1179" t="s">
        <v>6750</v>
      </c>
      <c r="AP1179" t="s">
        <v>1365</v>
      </c>
      <c r="AQ1179" s="245">
        <v>799.99</v>
      </c>
      <c r="AR1179" t="s">
        <v>6751</v>
      </c>
      <c r="AS1179" s="226" t="str">
        <f t="shared" si="36"/>
        <v>RC One 82 GT</v>
      </c>
      <c r="AT1179" s="203" t="str">
        <f t="shared" si="37"/>
        <v xml:space="preserve"> FischerRC One 82 GT173 Unisex</v>
      </c>
    </row>
    <row r="1180" spans="1:46" ht="79.2">
      <c r="A1180" t="s">
        <v>155</v>
      </c>
      <c r="B1180" t="s">
        <v>329</v>
      </c>
      <c r="C1180" t="s">
        <v>864</v>
      </c>
      <c r="D1180">
        <v>151</v>
      </c>
      <c r="E1180" t="s">
        <v>163</v>
      </c>
      <c r="F1180">
        <v>151</v>
      </c>
      <c r="G1180">
        <v>149.19999999999999</v>
      </c>
      <c r="H1180">
        <v>114</v>
      </c>
      <c r="I1180">
        <v>126</v>
      </c>
      <c r="J1180">
        <v>119</v>
      </c>
      <c r="K1180">
        <v>84</v>
      </c>
      <c r="L1180">
        <v>107</v>
      </c>
      <c r="M1180">
        <v>13.3</v>
      </c>
      <c r="N1180">
        <v>962</v>
      </c>
      <c r="O1180">
        <v>1.47</v>
      </c>
      <c r="P1180">
        <v>1410</v>
      </c>
      <c r="Q1180">
        <v>153</v>
      </c>
      <c r="R1180">
        <v>55</v>
      </c>
      <c r="S1180">
        <v>50</v>
      </c>
      <c r="T1180">
        <v>213</v>
      </c>
      <c r="U1180">
        <v>11</v>
      </c>
      <c r="V1180">
        <v>144</v>
      </c>
      <c r="W1180">
        <v>0.216</v>
      </c>
      <c r="X1180">
        <v>140</v>
      </c>
      <c r="Y1180">
        <v>89</v>
      </c>
      <c r="Z1180">
        <v>73</v>
      </c>
      <c r="AA1180">
        <v>4</v>
      </c>
      <c r="AB1180">
        <v>12.4</v>
      </c>
      <c r="AC1180" t="s">
        <v>185</v>
      </c>
      <c r="AD1180" t="s">
        <v>198</v>
      </c>
      <c r="AG1180" t="s">
        <v>6752</v>
      </c>
      <c r="AH1180" t="s">
        <v>1468</v>
      </c>
      <c r="AI1180" s="245">
        <v>549.95000000000005</v>
      </c>
      <c r="AJ1180" t="s">
        <v>6753</v>
      </c>
      <c r="AK1180" t="s">
        <v>6754</v>
      </c>
      <c r="AL1180" t="s">
        <v>1409</v>
      </c>
      <c r="AM1180" s="245">
        <v>451.11</v>
      </c>
      <c r="AN1180" t="s">
        <v>6755</v>
      </c>
      <c r="AO1180" t="s">
        <v>6754</v>
      </c>
      <c r="AP1180" t="s">
        <v>1224</v>
      </c>
      <c r="AQ1180" s="245">
        <v>559.96</v>
      </c>
      <c r="AR1180" t="s">
        <v>6756</v>
      </c>
      <c r="AS1180" s="226" t="str">
        <f t="shared" si="36"/>
        <v>Blacklight 88 W</v>
      </c>
      <c r="AT1180" s="203" t="str">
        <f t="shared" si="37"/>
        <v xml:space="preserve"> DynafitBlacklight 88 W151 Women's</v>
      </c>
    </row>
    <row r="1181" spans="1:46" ht="52.8">
      <c r="A1181" t="s">
        <v>155</v>
      </c>
      <c r="B1181" t="s">
        <v>1160</v>
      </c>
      <c r="C1181" t="s">
        <v>769</v>
      </c>
      <c r="D1181">
        <v>160</v>
      </c>
      <c r="E1181" t="s">
        <v>158</v>
      </c>
      <c r="F1181">
        <v>160</v>
      </c>
      <c r="G1181">
        <v>159.4</v>
      </c>
      <c r="H1181">
        <v>115</v>
      </c>
      <c r="I1181">
        <v>134</v>
      </c>
      <c r="J1181">
        <v>120</v>
      </c>
      <c r="K1181">
        <v>87</v>
      </c>
      <c r="L1181">
        <v>108</v>
      </c>
      <c r="M1181">
        <v>16.5</v>
      </c>
      <c r="N1181">
        <v>1100</v>
      </c>
      <c r="O1181">
        <v>1.41</v>
      </c>
      <c r="P1181">
        <v>1554</v>
      </c>
      <c r="Q1181">
        <v>149</v>
      </c>
      <c r="R1181">
        <v>62</v>
      </c>
      <c r="S1181">
        <v>46</v>
      </c>
      <c r="T1181">
        <v>295</v>
      </c>
      <c r="U1181">
        <v>7</v>
      </c>
      <c r="V1181">
        <v>147</v>
      </c>
      <c r="W1181">
        <v>0.161</v>
      </c>
      <c r="X1181">
        <v>153</v>
      </c>
      <c r="Y1181">
        <v>98</v>
      </c>
      <c r="Z1181">
        <v>142</v>
      </c>
      <c r="AA1181">
        <v>8</v>
      </c>
      <c r="AB1181">
        <v>10.6</v>
      </c>
      <c r="AC1181" t="s">
        <v>185</v>
      </c>
      <c r="AD1181" t="s">
        <v>198</v>
      </c>
      <c r="AG1181" t="s">
        <v>6757</v>
      </c>
      <c r="AH1181" t="s">
        <v>1194</v>
      </c>
      <c r="AI1181" s="245">
        <v>294.07</v>
      </c>
      <c r="AJ1181" t="s">
        <v>6758</v>
      </c>
      <c r="AK1181" t="s">
        <v>6759</v>
      </c>
      <c r="AL1181" t="s">
        <v>1509</v>
      </c>
      <c r="AM1181" s="245">
        <v>436.99</v>
      </c>
      <c r="AN1181" t="s">
        <v>6760</v>
      </c>
      <c r="AO1181" t="s">
        <v>6757</v>
      </c>
      <c r="AP1181" t="s">
        <v>1409</v>
      </c>
      <c r="AQ1181" s="245">
        <v>489.98</v>
      </c>
      <c r="AR1181" t="s">
        <v>6761</v>
      </c>
      <c r="AS1181" s="226" t="str">
        <f t="shared" si="36"/>
        <v>Wayback 88</v>
      </c>
      <c r="AT1181" s="203" t="str">
        <f t="shared" si="37"/>
        <v>K2Wayback 88160 Unisex</v>
      </c>
    </row>
    <row r="1182" spans="1:46" ht="132">
      <c r="A1182" t="s">
        <v>155</v>
      </c>
      <c r="B1182" t="s">
        <v>167</v>
      </c>
      <c r="C1182" t="s">
        <v>869</v>
      </c>
      <c r="D1182">
        <v>177</v>
      </c>
      <c r="E1182" t="s">
        <v>158</v>
      </c>
      <c r="F1182">
        <v>177</v>
      </c>
      <c r="G1182">
        <v>176.3</v>
      </c>
      <c r="H1182">
        <v>157</v>
      </c>
      <c r="I1182">
        <v>164</v>
      </c>
      <c r="J1182">
        <v>128</v>
      </c>
      <c r="K1182">
        <v>71</v>
      </c>
      <c r="L1182">
        <v>109</v>
      </c>
      <c r="M1182">
        <v>14.4</v>
      </c>
      <c r="N1182">
        <v>2247</v>
      </c>
      <c r="O1182">
        <v>0.69</v>
      </c>
      <c r="P1182">
        <v>1551</v>
      </c>
      <c r="Q1182">
        <v>229</v>
      </c>
      <c r="R1182">
        <v>113</v>
      </c>
      <c r="S1182">
        <v>36</v>
      </c>
      <c r="T1182">
        <v>147</v>
      </c>
      <c r="U1182">
        <v>3</v>
      </c>
      <c r="V1182">
        <v>48</v>
      </c>
      <c r="W1182">
        <v>0.09</v>
      </c>
      <c r="X1182">
        <v>66</v>
      </c>
      <c r="Y1182">
        <v>55</v>
      </c>
      <c r="Z1182">
        <v>81</v>
      </c>
      <c r="AA1182">
        <v>9</v>
      </c>
      <c r="AB1182">
        <v>12.7</v>
      </c>
      <c r="AC1182" t="s">
        <v>349</v>
      </c>
      <c r="AG1182" t="s">
        <v>6762</v>
      </c>
      <c r="AH1182" t="s">
        <v>1271</v>
      </c>
      <c r="AI1182" s="245">
        <v>879.95</v>
      </c>
      <c r="AJ1182" t="s">
        <v>6763</v>
      </c>
      <c r="AK1182" t="s">
        <v>6624</v>
      </c>
      <c r="AL1182" t="s">
        <v>6625</v>
      </c>
      <c r="AM1182" s="245">
        <v>150</v>
      </c>
      <c r="AN1182" t="s">
        <v>6764</v>
      </c>
      <c r="AO1182" t="s">
        <v>6628</v>
      </c>
      <c r="AP1182" t="s">
        <v>1292</v>
      </c>
      <c r="AQ1182" s="245">
        <v>575</v>
      </c>
      <c r="AR1182" t="s">
        <v>6765</v>
      </c>
      <c r="AS1182" s="226" t="str">
        <f t="shared" si="36"/>
        <v>Supershape e-Magnum</v>
      </c>
      <c r="AT1182" s="203" t="str">
        <f t="shared" si="37"/>
        <v xml:space="preserve"> HeadSupershape e-Magnum177 Unisex</v>
      </c>
    </row>
    <row r="1183" spans="1:46" ht="52.8">
      <c r="A1183" t="s">
        <v>155</v>
      </c>
      <c r="B1183" t="s">
        <v>1160</v>
      </c>
      <c r="C1183" t="s">
        <v>846</v>
      </c>
      <c r="D1183">
        <v>160</v>
      </c>
      <c r="E1183" t="s">
        <v>163</v>
      </c>
      <c r="F1183">
        <v>160</v>
      </c>
      <c r="G1183">
        <v>159.69999999999999</v>
      </c>
      <c r="H1183">
        <v>120</v>
      </c>
      <c r="I1183">
        <v>134</v>
      </c>
      <c r="J1183">
        <v>120</v>
      </c>
      <c r="K1183">
        <v>87</v>
      </c>
      <c r="L1183">
        <v>108</v>
      </c>
      <c r="M1183">
        <v>16.3</v>
      </c>
      <c r="N1183">
        <v>1117</v>
      </c>
      <c r="O1183">
        <v>1.39</v>
      </c>
      <c r="P1183">
        <v>1552</v>
      </c>
      <c r="Q1183">
        <v>136</v>
      </c>
      <c r="R1183">
        <v>59</v>
      </c>
      <c r="S1183">
        <v>44</v>
      </c>
      <c r="T1183">
        <v>297</v>
      </c>
      <c r="U1183">
        <v>5</v>
      </c>
      <c r="V1183">
        <v>99</v>
      </c>
      <c r="W1183">
        <v>0.114</v>
      </c>
      <c r="X1183">
        <v>158</v>
      </c>
      <c r="Y1183">
        <v>97</v>
      </c>
      <c r="Z1183">
        <v>139</v>
      </c>
      <c r="AA1183">
        <v>8</v>
      </c>
      <c r="AB1183">
        <v>12</v>
      </c>
      <c r="AC1183" t="s">
        <v>185</v>
      </c>
      <c r="AD1183" t="s">
        <v>198</v>
      </c>
      <c r="AG1183" t="s">
        <v>6048</v>
      </c>
      <c r="AH1183" t="s">
        <v>1194</v>
      </c>
      <c r="AI1183" s="245">
        <v>294.07</v>
      </c>
      <c r="AJ1183" t="s">
        <v>6766</v>
      </c>
      <c r="AK1183" t="s">
        <v>6767</v>
      </c>
      <c r="AL1183" t="s">
        <v>1349</v>
      </c>
      <c r="AM1183" s="245">
        <v>362.05</v>
      </c>
      <c r="AN1183" t="s">
        <v>6768</v>
      </c>
      <c r="AO1183" t="s">
        <v>6767</v>
      </c>
      <c r="AP1183" t="s">
        <v>1181</v>
      </c>
      <c r="AQ1183" s="245">
        <v>559.96</v>
      </c>
      <c r="AR1183" t="s">
        <v>6769</v>
      </c>
      <c r="AS1183" s="226" t="str">
        <f t="shared" si="36"/>
        <v>Talkback 88</v>
      </c>
      <c r="AT1183" s="203" t="str">
        <f t="shared" si="37"/>
        <v>K2Talkback 88160 Women's</v>
      </c>
    </row>
    <row r="1184" spans="1:46" ht="79.2">
      <c r="A1184" t="s">
        <v>155</v>
      </c>
      <c r="B1184" t="s">
        <v>164</v>
      </c>
      <c r="C1184" t="s">
        <v>826</v>
      </c>
      <c r="D1184">
        <v>146</v>
      </c>
      <c r="E1184" t="s">
        <v>163</v>
      </c>
      <c r="F1184">
        <v>146</v>
      </c>
      <c r="G1184">
        <v>149.80000000000001</v>
      </c>
      <c r="H1184">
        <v>106</v>
      </c>
      <c r="I1184">
        <v>125</v>
      </c>
      <c r="J1184">
        <v>130</v>
      </c>
      <c r="K1184">
        <v>87</v>
      </c>
      <c r="L1184">
        <v>104</v>
      </c>
      <c r="M1184">
        <v>12.9</v>
      </c>
      <c r="N1184">
        <v>1276</v>
      </c>
      <c r="O1184">
        <v>1.18</v>
      </c>
      <c r="P1184">
        <v>1503</v>
      </c>
      <c r="Q1184">
        <v>125</v>
      </c>
      <c r="R1184">
        <v>53</v>
      </c>
      <c r="S1184">
        <v>50</v>
      </c>
      <c r="T1184">
        <v>300</v>
      </c>
      <c r="U1184">
        <v>12</v>
      </c>
      <c r="V1184">
        <v>142</v>
      </c>
      <c r="W1184">
        <v>0.23899999999999999</v>
      </c>
      <c r="X1184">
        <v>140</v>
      </c>
      <c r="Y1184">
        <v>111</v>
      </c>
      <c r="Z1184">
        <v>159</v>
      </c>
      <c r="AA1184">
        <v>3</v>
      </c>
      <c r="AB1184">
        <v>7.6</v>
      </c>
      <c r="AC1184" t="s">
        <v>188</v>
      </c>
      <c r="AD1184" t="s">
        <v>185</v>
      </c>
      <c r="AG1184" t="s">
        <v>6770</v>
      </c>
      <c r="AH1184" t="s">
        <v>1181</v>
      </c>
      <c r="AI1184" s="245">
        <v>412.49</v>
      </c>
      <c r="AJ1184" t="s">
        <v>6771</v>
      </c>
      <c r="AK1184" t="s">
        <v>6772</v>
      </c>
      <c r="AL1184" t="s">
        <v>6773</v>
      </c>
      <c r="AM1184" s="245">
        <v>599.95000000000005</v>
      </c>
      <c r="AN1184" t="s">
        <v>6774</v>
      </c>
      <c r="AO1184" t="s">
        <v>6775</v>
      </c>
      <c r="AP1184" t="s">
        <v>1218</v>
      </c>
      <c r="AQ1184" s="245">
        <v>319.95</v>
      </c>
      <c r="AR1184" t="s">
        <v>6776</v>
      </c>
      <c r="AS1184" s="226" t="str">
        <f t="shared" si="36"/>
        <v>Ripstick 88 W</v>
      </c>
      <c r="AT1184" s="203" t="str">
        <f t="shared" si="37"/>
        <v xml:space="preserve"> ElanRipstick 88 W146 Women's</v>
      </c>
    </row>
    <row r="1185" spans="1:46" ht="26.4">
      <c r="A1185" t="s">
        <v>155</v>
      </c>
      <c r="B1185" t="s">
        <v>332</v>
      </c>
      <c r="C1185" t="s">
        <v>790</v>
      </c>
      <c r="D1185">
        <v>170</v>
      </c>
      <c r="E1185" t="s">
        <v>158</v>
      </c>
      <c r="F1185">
        <v>170</v>
      </c>
      <c r="G1185">
        <v>169.2</v>
      </c>
      <c r="H1185">
        <v>151</v>
      </c>
      <c r="I1185">
        <v>157</v>
      </c>
      <c r="J1185">
        <v>120</v>
      </c>
      <c r="K1185">
        <v>69</v>
      </c>
      <c r="L1185">
        <v>100</v>
      </c>
      <c r="M1185">
        <v>15.2</v>
      </c>
      <c r="N1185">
        <v>2064</v>
      </c>
      <c r="O1185">
        <v>0.69</v>
      </c>
      <c r="P1185">
        <v>1427</v>
      </c>
      <c r="Q1185">
        <v>198</v>
      </c>
      <c r="R1185">
        <v>125</v>
      </c>
      <c r="S1185">
        <v>36</v>
      </c>
      <c r="T1185">
        <v>133</v>
      </c>
      <c r="U1185">
        <v>6</v>
      </c>
      <c r="V1185">
        <v>49</v>
      </c>
      <c r="W1185">
        <v>0.16399999999999901</v>
      </c>
      <c r="X1185">
        <v>67</v>
      </c>
      <c r="Y1185">
        <v>52</v>
      </c>
      <c r="Z1185">
        <v>66</v>
      </c>
      <c r="AA1185">
        <v>9</v>
      </c>
      <c r="AB1185">
        <v>13.2</v>
      </c>
      <c r="AC1185" t="s">
        <v>349</v>
      </c>
      <c r="AS1185" s="226" t="str">
        <f t="shared" si="36"/>
        <v>Spitfire 70 Pro</v>
      </c>
      <c r="AT1185" s="203" t="str">
        <f t="shared" si="37"/>
        <v xml:space="preserve"> NordicaSpitfire 70 Pro170 Unisex</v>
      </c>
    </row>
    <row r="1186" spans="1:46" ht="105.6">
      <c r="A1186" t="s">
        <v>155</v>
      </c>
      <c r="B1186" t="s">
        <v>1152</v>
      </c>
      <c r="C1186" t="s">
        <v>879</v>
      </c>
      <c r="D1186">
        <v>181</v>
      </c>
      <c r="E1186" t="s">
        <v>158</v>
      </c>
      <c r="F1186">
        <v>181</v>
      </c>
      <c r="G1186">
        <v>180.2</v>
      </c>
      <c r="H1186">
        <v>131</v>
      </c>
      <c r="I1186">
        <v>151</v>
      </c>
      <c r="J1186">
        <v>134</v>
      </c>
      <c r="K1186">
        <v>98</v>
      </c>
      <c r="L1186">
        <v>122</v>
      </c>
      <c r="M1186">
        <v>17.8</v>
      </c>
      <c r="N1186">
        <v>2261</v>
      </c>
      <c r="O1186">
        <v>0.88</v>
      </c>
      <c r="P1186">
        <v>1982</v>
      </c>
      <c r="Q1186">
        <v>248</v>
      </c>
      <c r="R1186">
        <v>153</v>
      </c>
      <c r="S1186">
        <v>51</v>
      </c>
      <c r="T1186">
        <v>285</v>
      </c>
      <c r="U1186">
        <v>14</v>
      </c>
      <c r="V1186">
        <v>206</v>
      </c>
      <c r="W1186">
        <v>0.28299999999999997</v>
      </c>
      <c r="X1186">
        <v>160</v>
      </c>
      <c r="Y1186">
        <v>132</v>
      </c>
      <c r="Z1186">
        <v>125</v>
      </c>
      <c r="AA1186">
        <v>5</v>
      </c>
      <c r="AB1186">
        <v>8.9</v>
      </c>
      <c r="AC1186" t="s">
        <v>188</v>
      </c>
      <c r="AG1186" t="s">
        <v>6777</v>
      </c>
      <c r="AH1186" t="s">
        <v>3561</v>
      </c>
      <c r="AI1186" s="245">
        <v>699</v>
      </c>
      <c r="AJ1186" t="s">
        <v>6778</v>
      </c>
      <c r="AS1186" s="226" t="str">
        <f t="shared" si="36"/>
        <v>MSP 99</v>
      </c>
      <c r="AT1186" s="203" t="str">
        <f t="shared" si="37"/>
        <v>4FRNTMSP 99181 Unisex</v>
      </c>
    </row>
    <row r="1187" spans="1:46" ht="118.8">
      <c r="A1187" t="s">
        <v>155</v>
      </c>
      <c r="B1187" t="s">
        <v>164</v>
      </c>
      <c r="C1187" t="s">
        <v>819</v>
      </c>
      <c r="D1187">
        <v>146</v>
      </c>
      <c r="E1187" t="s">
        <v>163</v>
      </c>
      <c r="F1187">
        <v>146</v>
      </c>
      <c r="G1187">
        <v>145</v>
      </c>
      <c r="H1187">
        <v>123</v>
      </c>
      <c r="I1187">
        <v>133</v>
      </c>
      <c r="J1187">
        <v>122</v>
      </c>
      <c r="K1187">
        <v>73</v>
      </c>
      <c r="L1187">
        <v>102</v>
      </c>
      <c r="M1187">
        <v>11.5</v>
      </c>
      <c r="N1187">
        <v>1356</v>
      </c>
      <c r="O1187">
        <v>0.94</v>
      </c>
      <c r="P1187">
        <v>1273</v>
      </c>
      <c r="Q1187">
        <v>135</v>
      </c>
      <c r="R1187">
        <v>48</v>
      </c>
      <c r="S1187">
        <v>33</v>
      </c>
      <c r="T1187">
        <v>151</v>
      </c>
      <c r="U1187">
        <v>6</v>
      </c>
      <c r="V1187">
        <v>70</v>
      </c>
      <c r="W1187">
        <v>0.17499999999999999</v>
      </c>
      <c r="X1187">
        <v>78</v>
      </c>
      <c r="Y1187">
        <v>37</v>
      </c>
      <c r="Z1187">
        <v>73</v>
      </c>
      <c r="AA1187">
        <v>8</v>
      </c>
      <c r="AB1187">
        <v>8.5</v>
      </c>
      <c r="AC1187" t="s">
        <v>349</v>
      </c>
      <c r="AG1187" t="s">
        <v>6775</v>
      </c>
      <c r="AH1187" t="s">
        <v>1218</v>
      </c>
      <c r="AI1187" s="245">
        <v>319.95</v>
      </c>
      <c r="AJ1187" t="s">
        <v>6779</v>
      </c>
      <c r="AK1187" t="s">
        <v>6780</v>
      </c>
      <c r="AL1187" t="s">
        <v>1191</v>
      </c>
      <c r="AM1187" s="245">
        <v>319.95</v>
      </c>
      <c r="AN1187" t="s">
        <v>6781</v>
      </c>
      <c r="AO1187" t="s">
        <v>6782</v>
      </c>
      <c r="AP1187" t="s">
        <v>1282</v>
      </c>
      <c r="AQ1187" s="245">
        <v>349.99</v>
      </c>
      <c r="AR1187" t="s">
        <v>6783</v>
      </c>
      <c r="AS1187" s="226" t="str">
        <f t="shared" si="36"/>
        <v>Snow Black</v>
      </c>
      <c r="AT1187" s="203" t="str">
        <f t="shared" si="37"/>
        <v xml:space="preserve"> ElanSnow Black146 Women's</v>
      </c>
    </row>
    <row r="1188" spans="1:46" ht="118.8">
      <c r="A1188" t="s">
        <v>155</v>
      </c>
      <c r="B1188" t="s">
        <v>205</v>
      </c>
      <c r="C1188" t="s">
        <v>880</v>
      </c>
      <c r="D1188">
        <v>155</v>
      </c>
      <c r="E1188" t="s">
        <v>385</v>
      </c>
      <c r="F1188">
        <v>155</v>
      </c>
      <c r="G1188">
        <v>153.4</v>
      </c>
      <c r="H1188">
        <v>108</v>
      </c>
      <c r="I1188">
        <v>130</v>
      </c>
      <c r="J1188">
        <v>114</v>
      </c>
      <c r="K1188">
        <v>83</v>
      </c>
      <c r="L1188">
        <v>110</v>
      </c>
      <c r="M1188">
        <v>14</v>
      </c>
      <c r="N1188">
        <v>1307</v>
      </c>
      <c r="O1188">
        <v>1.1100000000000001</v>
      </c>
      <c r="P1188">
        <v>1448</v>
      </c>
      <c r="Q1188">
        <v>132</v>
      </c>
      <c r="R1188">
        <v>45</v>
      </c>
      <c r="S1188">
        <v>46</v>
      </c>
      <c r="T1188">
        <v>229</v>
      </c>
      <c r="U1188">
        <v>44</v>
      </c>
      <c r="V1188">
        <v>220</v>
      </c>
      <c r="W1188">
        <v>0.95099999999999996</v>
      </c>
      <c r="X1188">
        <v>118</v>
      </c>
      <c r="Y1188">
        <v>113</v>
      </c>
      <c r="Z1188">
        <v>111</v>
      </c>
      <c r="AA1188">
        <v>6</v>
      </c>
      <c r="AB1188">
        <v>3.2</v>
      </c>
      <c r="AC1188" t="s">
        <v>184</v>
      </c>
      <c r="AD1188" t="s">
        <v>185</v>
      </c>
      <c r="AG1188" t="s">
        <v>6784</v>
      </c>
      <c r="AH1188" t="s">
        <v>2214</v>
      </c>
      <c r="AI1188" s="245">
        <v>224.66</v>
      </c>
      <c r="AJ1188" t="s">
        <v>6785</v>
      </c>
      <c r="AK1188" t="s">
        <v>3399</v>
      </c>
      <c r="AL1188" t="s">
        <v>3212</v>
      </c>
      <c r="AM1188" s="245">
        <v>359</v>
      </c>
      <c r="AN1188" t="s">
        <v>6786</v>
      </c>
      <c r="AO1188" t="s">
        <v>6787</v>
      </c>
      <c r="AP1188" t="s">
        <v>1248</v>
      </c>
      <c r="AQ1188" s="245">
        <v>367.2</v>
      </c>
      <c r="AR1188" t="s">
        <v>6788</v>
      </c>
      <c r="AS1188" s="226" t="str">
        <f t="shared" si="36"/>
        <v>Prodigy 1.0 Jr</v>
      </c>
      <c r="AT1188" s="203" t="str">
        <f t="shared" si="37"/>
        <v xml:space="preserve"> FactionProdigy 1.0 Jr155 Junior</v>
      </c>
    </row>
    <row r="1189" spans="1:46" ht="132">
      <c r="A1189" t="s">
        <v>155</v>
      </c>
      <c r="B1189" t="s">
        <v>167</v>
      </c>
      <c r="C1189" t="s">
        <v>240</v>
      </c>
      <c r="D1189">
        <v>184</v>
      </c>
      <c r="E1189" t="s">
        <v>158</v>
      </c>
      <c r="F1189">
        <v>184</v>
      </c>
      <c r="G1189">
        <v>183.8</v>
      </c>
      <c r="H1189">
        <v>144</v>
      </c>
      <c r="I1189">
        <v>150</v>
      </c>
      <c r="J1189">
        <v>135</v>
      </c>
      <c r="K1189">
        <v>100</v>
      </c>
      <c r="L1189">
        <v>121</v>
      </c>
      <c r="M1189">
        <v>18.899999999999999</v>
      </c>
      <c r="N1189">
        <v>1841</v>
      </c>
      <c r="O1189">
        <v>1.1100000000000001</v>
      </c>
      <c r="P1189">
        <v>2046</v>
      </c>
      <c r="Q1189">
        <v>293</v>
      </c>
      <c r="R1189">
        <v>148</v>
      </c>
      <c r="S1189">
        <v>51</v>
      </c>
      <c r="T1189">
        <v>231</v>
      </c>
      <c r="U1189">
        <v>17</v>
      </c>
      <c r="V1189">
        <v>164</v>
      </c>
      <c r="W1189">
        <v>0.33799999999999902</v>
      </c>
      <c r="X1189">
        <v>189</v>
      </c>
      <c r="Y1189">
        <v>151</v>
      </c>
      <c r="Z1189">
        <v>42</v>
      </c>
      <c r="AA1189">
        <v>7</v>
      </c>
      <c r="AB1189">
        <v>10.9</v>
      </c>
      <c r="AC1189" t="s">
        <v>188</v>
      </c>
      <c r="AD1189" t="s">
        <v>178</v>
      </c>
      <c r="AE1189" t="s">
        <v>185</v>
      </c>
      <c r="AG1189" t="s">
        <v>1428</v>
      </c>
      <c r="AH1189" t="s">
        <v>2589</v>
      </c>
      <c r="AI1189" s="245">
        <v>509.95</v>
      </c>
      <c r="AJ1189" t="s">
        <v>6789</v>
      </c>
      <c r="AK1189" t="s">
        <v>6790</v>
      </c>
      <c r="AL1189" t="s">
        <v>1191</v>
      </c>
      <c r="AM1189" s="245">
        <v>514.95000000000005</v>
      </c>
      <c r="AN1189" t="s">
        <v>6791</v>
      </c>
      <c r="AO1189" t="s">
        <v>1428</v>
      </c>
      <c r="AP1189" t="s">
        <v>1224</v>
      </c>
      <c r="AQ1189" s="245">
        <v>519</v>
      </c>
      <c r="AR1189" t="s">
        <v>6792</v>
      </c>
      <c r="AS1189" s="226" t="str">
        <f t="shared" si="36"/>
        <v>Kore 99</v>
      </c>
      <c r="AT1189" s="203" t="str">
        <f t="shared" si="37"/>
        <v xml:space="preserve"> HeadKore 99184 Unisex</v>
      </c>
    </row>
    <row r="1190" spans="1:46" ht="132">
      <c r="A1190" t="s">
        <v>155</v>
      </c>
      <c r="B1190" t="s">
        <v>167</v>
      </c>
      <c r="C1190" t="s">
        <v>858</v>
      </c>
      <c r="D1190">
        <v>170</v>
      </c>
      <c r="E1190" t="s">
        <v>158</v>
      </c>
      <c r="F1190">
        <v>170</v>
      </c>
      <c r="G1190">
        <v>169.3</v>
      </c>
      <c r="H1190">
        <v>151</v>
      </c>
      <c r="I1190">
        <v>159</v>
      </c>
      <c r="J1190">
        <v>120</v>
      </c>
      <c r="K1190">
        <v>67</v>
      </c>
      <c r="L1190">
        <v>101</v>
      </c>
      <c r="M1190">
        <v>14.5</v>
      </c>
      <c r="N1190">
        <v>2312</v>
      </c>
      <c r="O1190">
        <v>0.61</v>
      </c>
      <c r="P1190">
        <v>1401</v>
      </c>
      <c r="Q1190">
        <v>215</v>
      </c>
      <c r="R1190">
        <v>104</v>
      </c>
      <c r="S1190">
        <v>37</v>
      </c>
      <c r="T1190">
        <v>140</v>
      </c>
      <c r="U1190">
        <v>3</v>
      </c>
      <c r="V1190">
        <v>44</v>
      </c>
      <c r="W1190">
        <v>0.08</v>
      </c>
      <c r="X1190">
        <v>60</v>
      </c>
      <c r="Y1190">
        <v>46</v>
      </c>
      <c r="Z1190">
        <v>80</v>
      </c>
      <c r="AA1190">
        <v>13</v>
      </c>
      <c r="AB1190">
        <v>12.3</v>
      </c>
      <c r="AC1190" t="s">
        <v>349</v>
      </c>
      <c r="AG1190" t="s">
        <v>6645</v>
      </c>
      <c r="AH1190" t="s">
        <v>5751</v>
      </c>
      <c r="AI1190" s="245">
        <v>638.75</v>
      </c>
      <c r="AJ1190" t="s">
        <v>6793</v>
      </c>
      <c r="AK1190" t="s">
        <v>1206</v>
      </c>
      <c r="AL1190" t="s">
        <v>1211</v>
      </c>
      <c r="AM1190" s="245">
        <v>669.99</v>
      </c>
      <c r="AN1190" t="s">
        <v>6794</v>
      </c>
      <c r="AO1190" t="s">
        <v>1206</v>
      </c>
      <c r="AP1190" t="s">
        <v>1271</v>
      </c>
      <c r="AQ1190" s="245">
        <v>899</v>
      </c>
      <c r="AR1190" t="s">
        <v>6795</v>
      </c>
      <c r="AS1190" s="226" t="str">
        <f t="shared" si="36"/>
        <v>Worldcup Rebels e-Race Pro</v>
      </c>
      <c r="AT1190" s="203" t="str">
        <f t="shared" si="37"/>
        <v xml:space="preserve"> HeadWorldcup Rebels e-Race Pro170 Unisex</v>
      </c>
    </row>
    <row r="1191" spans="1:46" ht="66">
      <c r="A1191" t="s">
        <v>155</v>
      </c>
      <c r="B1191" t="s">
        <v>317</v>
      </c>
      <c r="C1191" t="s">
        <v>680</v>
      </c>
      <c r="D1191">
        <v>164</v>
      </c>
      <c r="E1191" t="s">
        <v>158</v>
      </c>
      <c r="F1191">
        <v>164</v>
      </c>
      <c r="G1191">
        <v>161.9</v>
      </c>
      <c r="H1191">
        <v>120</v>
      </c>
      <c r="I1191">
        <v>135</v>
      </c>
      <c r="J1191">
        <v>114</v>
      </c>
      <c r="K1191">
        <v>83</v>
      </c>
      <c r="L1191">
        <v>98</v>
      </c>
      <c r="M1191">
        <v>19.8</v>
      </c>
      <c r="N1191">
        <v>1014</v>
      </c>
      <c r="O1191">
        <v>1.46</v>
      </c>
      <c r="P1191">
        <v>1484</v>
      </c>
      <c r="Q1191">
        <v>164</v>
      </c>
      <c r="R1191">
        <v>57</v>
      </c>
      <c r="S1191">
        <v>57</v>
      </c>
      <c r="T1191">
        <v>230</v>
      </c>
      <c r="U1191">
        <v>10</v>
      </c>
      <c r="V1191">
        <v>191</v>
      </c>
      <c r="W1191">
        <v>0.17</v>
      </c>
      <c r="X1191">
        <v>139</v>
      </c>
      <c r="Y1191">
        <v>127</v>
      </c>
      <c r="Z1191">
        <v>91</v>
      </c>
      <c r="AA1191">
        <v>3</v>
      </c>
      <c r="AB1191">
        <v>10.6</v>
      </c>
      <c r="AC1191" t="s">
        <v>185</v>
      </c>
      <c r="AD1191" t="s">
        <v>198</v>
      </c>
      <c r="AG1191" t="s">
        <v>6796</v>
      </c>
      <c r="AH1191" t="s">
        <v>1244</v>
      </c>
      <c r="AI1191" s="245">
        <v>479.96</v>
      </c>
      <c r="AJ1191" t="s">
        <v>6797</v>
      </c>
      <c r="AK1191" t="s">
        <v>6796</v>
      </c>
      <c r="AL1191" t="s">
        <v>1334</v>
      </c>
      <c r="AM1191" s="245">
        <v>479.96</v>
      </c>
      <c r="AN1191" t="s">
        <v>6798</v>
      </c>
      <c r="AO1191" t="s">
        <v>6796</v>
      </c>
      <c r="AP1191" t="s">
        <v>1309</v>
      </c>
      <c r="AQ1191" s="245">
        <v>479.96</v>
      </c>
      <c r="AR1191" t="s">
        <v>6799</v>
      </c>
      <c r="AS1191" s="226" t="str">
        <f t="shared" si="36"/>
        <v>Zero G 85</v>
      </c>
      <c r="AT1191" s="203" t="str">
        <f t="shared" si="37"/>
        <v xml:space="preserve"> BlizzardZero G 85164 Unisex</v>
      </c>
    </row>
    <row r="1192" spans="1:46" ht="79.2">
      <c r="A1192" t="s">
        <v>155</v>
      </c>
      <c r="B1192" t="s">
        <v>156</v>
      </c>
      <c r="C1192" t="s">
        <v>718</v>
      </c>
      <c r="D1192">
        <v>188</v>
      </c>
      <c r="E1192" t="s">
        <v>158</v>
      </c>
      <c r="F1192">
        <v>188</v>
      </c>
      <c r="G1192">
        <v>187</v>
      </c>
      <c r="H1192">
        <v>132</v>
      </c>
      <c r="I1192">
        <v>149</v>
      </c>
      <c r="J1192">
        <v>129</v>
      </c>
      <c r="K1192">
        <v>100</v>
      </c>
      <c r="L1192">
        <v>120</v>
      </c>
      <c r="M1192">
        <v>21.5</v>
      </c>
      <c r="N1192">
        <v>1810</v>
      </c>
      <c r="O1192">
        <v>1.1200000000000001</v>
      </c>
      <c r="P1192">
        <v>2023</v>
      </c>
      <c r="Q1192">
        <v>265</v>
      </c>
      <c r="R1192">
        <v>173</v>
      </c>
      <c r="S1192">
        <v>69</v>
      </c>
      <c r="T1192">
        <v>329</v>
      </c>
      <c r="U1192">
        <v>19</v>
      </c>
      <c r="V1192">
        <v>224</v>
      </c>
      <c r="W1192">
        <v>0.28100000000000003</v>
      </c>
      <c r="X1192">
        <v>212</v>
      </c>
      <c r="Y1192">
        <v>164</v>
      </c>
      <c r="Z1192">
        <v>117</v>
      </c>
      <c r="AA1192">
        <v>6</v>
      </c>
      <c r="AB1192">
        <v>10.8</v>
      </c>
      <c r="AC1192" t="s">
        <v>188</v>
      </c>
      <c r="AD1192" t="s">
        <v>185</v>
      </c>
      <c r="AG1192" t="s">
        <v>6800</v>
      </c>
      <c r="AH1192" t="s">
        <v>1204</v>
      </c>
      <c r="AI1192" s="245">
        <v>561.01</v>
      </c>
      <c r="AJ1192" t="s">
        <v>6801</v>
      </c>
      <c r="AK1192" t="s">
        <v>4415</v>
      </c>
      <c r="AL1192" t="s">
        <v>1244</v>
      </c>
      <c r="AM1192" s="245">
        <v>599.96</v>
      </c>
      <c r="AN1192" t="s">
        <v>6802</v>
      </c>
      <c r="AO1192" t="s">
        <v>4415</v>
      </c>
      <c r="AP1192" t="s">
        <v>1224</v>
      </c>
      <c r="AQ1192" s="245">
        <v>599.98</v>
      </c>
      <c r="AR1192" t="s">
        <v>6803</v>
      </c>
      <c r="AS1192" s="226" t="str">
        <f t="shared" si="36"/>
        <v>Maverick 100 Ti</v>
      </c>
      <c r="AT1192" s="203" t="str">
        <f t="shared" si="37"/>
        <v xml:space="preserve"> AtomicMaverick 100 Ti188 Unisex</v>
      </c>
    </row>
    <row r="1193" spans="1:46" ht="118.8">
      <c r="A1193" t="s">
        <v>155</v>
      </c>
      <c r="B1193" t="s">
        <v>156</v>
      </c>
      <c r="C1193" t="s">
        <v>762</v>
      </c>
      <c r="D1193">
        <v>170</v>
      </c>
      <c r="E1193" t="s">
        <v>158</v>
      </c>
      <c r="F1193">
        <v>170</v>
      </c>
      <c r="G1193">
        <v>169.5</v>
      </c>
      <c r="H1193">
        <v>151</v>
      </c>
      <c r="I1193">
        <v>156</v>
      </c>
      <c r="J1193">
        <v>118</v>
      </c>
      <c r="K1193">
        <v>67</v>
      </c>
      <c r="L1193">
        <v>104</v>
      </c>
      <c r="M1193">
        <v>13.4</v>
      </c>
      <c r="N1193">
        <v>2107</v>
      </c>
      <c r="O1193">
        <v>0.67</v>
      </c>
      <c r="P1193">
        <v>1418</v>
      </c>
      <c r="Q1193">
        <v>244</v>
      </c>
      <c r="R1193">
        <v>118</v>
      </c>
      <c r="S1193">
        <v>33</v>
      </c>
      <c r="T1193">
        <v>139</v>
      </c>
      <c r="U1193">
        <v>4</v>
      </c>
      <c r="V1193">
        <v>49</v>
      </c>
      <c r="W1193">
        <v>0.122</v>
      </c>
      <c r="X1193">
        <v>83</v>
      </c>
      <c r="Y1193">
        <v>54</v>
      </c>
      <c r="Z1193">
        <v>56</v>
      </c>
      <c r="AA1193">
        <v>12</v>
      </c>
      <c r="AB1193">
        <v>13.4</v>
      </c>
      <c r="AC1193" t="s">
        <v>349</v>
      </c>
      <c r="AG1193" t="s">
        <v>6804</v>
      </c>
      <c r="AH1193" t="s">
        <v>1211</v>
      </c>
      <c r="AI1193" s="245">
        <v>999.99</v>
      </c>
      <c r="AJ1193" t="s">
        <v>6805</v>
      </c>
      <c r="AK1193" t="s">
        <v>6806</v>
      </c>
      <c r="AL1193" t="s">
        <v>1271</v>
      </c>
      <c r="AM1193" s="245">
        <v>439.99</v>
      </c>
      <c r="AN1193" t="s">
        <v>6807</v>
      </c>
      <c r="AO1193" t="s">
        <v>6808</v>
      </c>
      <c r="AP1193" t="s">
        <v>2825</v>
      </c>
      <c r="AQ1193" s="245">
        <v>499.95</v>
      </c>
      <c r="AR1193" t="s">
        <v>6809</v>
      </c>
      <c r="AS1193" s="226" t="str">
        <f t="shared" si="36"/>
        <v>Redster S9 Revo</v>
      </c>
      <c r="AT1193" s="203" t="str">
        <f t="shared" si="37"/>
        <v xml:space="preserve"> AtomicRedster S9 Revo170 Unisex</v>
      </c>
    </row>
    <row r="1194" spans="1:46" ht="92.4">
      <c r="A1194" t="s">
        <v>155</v>
      </c>
      <c r="B1194" t="s">
        <v>332</v>
      </c>
      <c r="C1194" t="s">
        <v>809</v>
      </c>
      <c r="D1194">
        <v>185</v>
      </c>
      <c r="E1194" t="s">
        <v>158</v>
      </c>
      <c r="F1194">
        <v>185</v>
      </c>
      <c r="G1194">
        <v>184.1</v>
      </c>
      <c r="H1194">
        <v>125</v>
      </c>
      <c r="I1194">
        <v>151</v>
      </c>
      <c r="J1194">
        <v>140</v>
      </c>
      <c r="K1194">
        <v>109</v>
      </c>
      <c r="L1194">
        <v>131</v>
      </c>
      <c r="M1194">
        <v>18.8</v>
      </c>
      <c r="N1194">
        <v>2292</v>
      </c>
      <c r="O1194">
        <v>0.96</v>
      </c>
      <c r="P1194">
        <v>2194</v>
      </c>
      <c r="Q1194">
        <v>209</v>
      </c>
      <c r="R1194">
        <v>149</v>
      </c>
      <c r="S1194">
        <v>58</v>
      </c>
      <c r="T1194">
        <v>326</v>
      </c>
      <c r="U1194">
        <v>39</v>
      </c>
      <c r="V1194">
        <v>261</v>
      </c>
      <c r="W1194">
        <v>0.66</v>
      </c>
      <c r="X1194">
        <v>170</v>
      </c>
      <c r="Y1194">
        <v>161</v>
      </c>
      <c r="Z1194">
        <v>157</v>
      </c>
      <c r="AA1194">
        <v>10</v>
      </c>
      <c r="AB1194">
        <v>8.8000000000000007</v>
      </c>
      <c r="AC1194" t="s">
        <v>169</v>
      </c>
      <c r="AG1194" t="s">
        <v>6810</v>
      </c>
      <c r="AH1194" t="s">
        <v>1416</v>
      </c>
      <c r="AI1194" s="245">
        <v>799.99</v>
      </c>
      <c r="AJ1194" t="s">
        <v>6811</v>
      </c>
      <c r="AK1194" t="s">
        <v>6812</v>
      </c>
      <c r="AL1194" t="s">
        <v>1277</v>
      </c>
      <c r="AM1194" s="245">
        <v>400</v>
      </c>
      <c r="AN1194" t="s">
        <v>6813</v>
      </c>
      <c r="AO1194" t="s">
        <v>6814</v>
      </c>
      <c r="AP1194" t="s">
        <v>1807</v>
      </c>
      <c r="AQ1194" s="245">
        <v>449.99</v>
      </c>
      <c r="AR1194" t="s">
        <v>6815</v>
      </c>
      <c r="AS1194" s="226" t="str">
        <f t="shared" si="36"/>
        <v>Enforcer 110 Free</v>
      </c>
      <c r="AT1194" s="203" t="str">
        <f t="shared" si="37"/>
        <v xml:space="preserve"> NordicaEnforcer 110 Free185 Unisex</v>
      </c>
    </row>
    <row r="1195" spans="1:46" ht="132">
      <c r="A1195" t="s">
        <v>155</v>
      </c>
      <c r="B1195" t="s">
        <v>317</v>
      </c>
      <c r="C1195" t="s">
        <v>881</v>
      </c>
      <c r="D1195">
        <v>166</v>
      </c>
      <c r="E1195" t="s">
        <v>158</v>
      </c>
      <c r="F1195">
        <v>166</v>
      </c>
      <c r="G1195">
        <v>165.2</v>
      </c>
      <c r="H1195">
        <v>148</v>
      </c>
      <c r="I1195">
        <v>153</v>
      </c>
      <c r="J1195">
        <v>123</v>
      </c>
      <c r="K1195">
        <v>74</v>
      </c>
      <c r="L1195">
        <v>104</v>
      </c>
      <c r="M1195">
        <v>14.4</v>
      </c>
      <c r="N1195">
        <v>2094</v>
      </c>
      <c r="O1195">
        <v>0.7</v>
      </c>
      <c r="P1195">
        <v>1465</v>
      </c>
      <c r="Q1195">
        <v>198</v>
      </c>
      <c r="R1195">
        <v>129</v>
      </c>
      <c r="S1195">
        <v>36</v>
      </c>
      <c r="T1195">
        <v>123</v>
      </c>
      <c r="U1195">
        <v>5</v>
      </c>
      <c r="V1195">
        <v>49</v>
      </c>
      <c r="W1195">
        <v>0.14599999999999999</v>
      </c>
      <c r="X1195">
        <v>73</v>
      </c>
      <c r="Y1195">
        <v>51</v>
      </c>
      <c r="Z1195">
        <v>50</v>
      </c>
      <c r="AA1195">
        <v>10</v>
      </c>
      <c r="AB1195">
        <v>11.2</v>
      </c>
      <c r="AC1195" t="s">
        <v>349</v>
      </c>
      <c r="AG1195" t="s">
        <v>6816</v>
      </c>
      <c r="AH1195" t="s">
        <v>1271</v>
      </c>
      <c r="AI1195" s="245">
        <v>799.95</v>
      </c>
      <c r="AJ1195" t="s">
        <v>6817</v>
      </c>
      <c r="AK1195" t="s">
        <v>6818</v>
      </c>
      <c r="AL1195" t="s">
        <v>1211</v>
      </c>
      <c r="AM1195" s="245">
        <v>879</v>
      </c>
      <c r="AN1195" t="s">
        <v>6819</v>
      </c>
      <c r="AO1195" t="s">
        <v>6820</v>
      </c>
      <c r="AP1195" t="s">
        <v>1405</v>
      </c>
      <c r="AQ1195" s="245">
        <v>879.95</v>
      </c>
      <c r="AR1195" t="s">
        <v>6821</v>
      </c>
      <c r="AS1195" s="226" t="str">
        <f t="shared" si="36"/>
        <v>HRC</v>
      </c>
      <c r="AT1195" s="203" t="str">
        <f t="shared" si="37"/>
        <v xml:space="preserve"> BlizzardHRC166 Unisex</v>
      </c>
    </row>
    <row r="1196" spans="1:46" ht="26.4">
      <c r="A1196" t="s">
        <v>155</v>
      </c>
      <c r="B1196" t="s">
        <v>1152</v>
      </c>
      <c r="C1196" t="s">
        <v>882</v>
      </c>
      <c r="D1196">
        <v>186</v>
      </c>
      <c r="E1196" t="s">
        <v>158</v>
      </c>
      <c r="F1196">
        <v>186</v>
      </c>
      <c r="G1196">
        <v>183.8</v>
      </c>
      <c r="H1196">
        <v>0</v>
      </c>
      <c r="I1196">
        <v>151</v>
      </c>
      <c r="J1196">
        <v>136</v>
      </c>
      <c r="K1196">
        <v>107</v>
      </c>
      <c r="L1196">
        <v>130</v>
      </c>
      <c r="M1196">
        <v>20.7</v>
      </c>
      <c r="N1196">
        <v>1970</v>
      </c>
      <c r="O1196">
        <v>1.0900000000000001</v>
      </c>
      <c r="P1196">
        <v>2144</v>
      </c>
      <c r="Q1196">
        <v>310</v>
      </c>
      <c r="R1196">
        <v>129</v>
      </c>
      <c r="S1196">
        <v>59</v>
      </c>
      <c r="T1196">
        <v>971</v>
      </c>
      <c r="U1196">
        <v>54</v>
      </c>
      <c r="V1196">
        <v>867</v>
      </c>
      <c r="W1196">
        <v>0.90200000000000002</v>
      </c>
      <c r="X1196">
        <v>165</v>
      </c>
      <c r="Y1196">
        <v>159</v>
      </c>
      <c r="Z1196">
        <v>806</v>
      </c>
      <c r="AA1196">
        <v>-10</v>
      </c>
      <c r="AB1196">
        <v>5.2</v>
      </c>
      <c r="AC1196" t="s">
        <v>184</v>
      </c>
      <c r="AD1196" t="s">
        <v>169</v>
      </c>
      <c r="AE1196" t="s">
        <v>185</v>
      </c>
      <c r="AS1196" s="226" t="str">
        <f t="shared" si="36"/>
        <v>Devastator</v>
      </c>
      <c r="AT1196" s="203" t="str">
        <f t="shared" si="37"/>
        <v>4FRNTDevastator186 Unisex</v>
      </c>
    </row>
    <row r="1197" spans="1:46" ht="39.6">
      <c r="A1197" t="s">
        <v>155</v>
      </c>
      <c r="B1197" t="s">
        <v>164</v>
      </c>
      <c r="C1197" t="s">
        <v>883</v>
      </c>
      <c r="D1197">
        <v>159</v>
      </c>
      <c r="E1197" t="s">
        <v>158</v>
      </c>
      <c r="F1197">
        <v>159</v>
      </c>
      <c r="G1197">
        <v>157.9</v>
      </c>
      <c r="H1197">
        <v>141</v>
      </c>
      <c r="I1197">
        <v>148</v>
      </c>
      <c r="J1197">
        <v>118</v>
      </c>
      <c r="K1197">
        <v>67</v>
      </c>
      <c r="L1197">
        <v>102</v>
      </c>
      <c r="M1197">
        <v>12.6</v>
      </c>
      <c r="N1197">
        <v>2277</v>
      </c>
      <c r="O1197">
        <v>0.57999999999999996</v>
      </c>
      <c r="P1197">
        <v>1309</v>
      </c>
      <c r="Q1197">
        <v>217</v>
      </c>
      <c r="R1197">
        <v>121</v>
      </c>
      <c r="S1197">
        <v>36</v>
      </c>
      <c r="T1197">
        <v>131</v>
      </c>
      <c r="U1197">
        <v>3</v>
      </c>
      <c r="V1197">
        <v>41</v>
      </c>
      <c r="W1197">
        <v>9.1999999999999998E-2</v>
      </c>
      <c r="X1197">
        <v>58</v>
      </c>
      <c r="Y1197">
        <v>39</v>
      </c>
      <c r="Z1197">
        <v>74</v>
      </c>
      <c r="AA1197">
        <v>10</v>
      </c>
      <c r="AB1197">
        <v>9</v>
      </c>
      <c r="AC1197" t="s">
        <v>349</v>
      </c>
      <c r="AG1197" t="s">
        <v>6822</v>
      </c>
      <c r="AH1197" t="s">
        <v>1194</v>
      </c>
      <c r="AI1197" s="245">
        <v>515.29999999999995</v>
      </c>
      <c r="AJ1197" t="s">
        <v>6823</v>
      </c>
      <c r="AS1197" s="226" t="str">
        <f t="shared" si="36"/>
        <v>Ace SLX</v>
      </c>
      <c r="AT1197" s="203" t="str">
        <f t="shared" si="37"/>
        <v xml:space="preserve"> ElanAce SLX159 Unisex</v>
      </c>
    </row>
    <row r="1198" spans="1:46" ht="92.4">
      <c r="A1198" t="s">
        <v>155</v>
      </c>
      <c r="B1198" t="s">
        <v>182</v>
      </c>
      <c r="C1198" t="s">
        <v>668</v>
      </c>
      <c r="D1198">
        <v>152</v>
      </c>
      <c r="E1198" t="s">
        <v>163</v>
      </c>
      <c r="F1198">
        <v>152</v>
      </c>
      <c r="G1198">
        <v>151.30000000000001</v>
      </c>
      <c r="H1198">
        <v>121</v>
      </c>
      <c r="I1198">
        <v>128</v>
      </c>
      <c r="J1198">
        <v>113</v>
      </c>
      <c r="K1198">
        <v>87</v>
      </c>
      <c r="L1198">
        <v>105</v>
      </c>
      <c r="M1198">
        <v>18.899999999999999</v>
      </c>
      <c r="N1198">
        <v>1062</v>
      </c>
      <c r="O1198">
        <v>1.35</v>
      </c>
      <c r="P1198">
        <v>1431</v>
      </c>
      <c r="Q1198">
        <v>146</v>
      </c>
      <c r="R1198">
        <v>58</v>
      </c>
      <c r="S1198">
        <v>34</v>
      </c>
      <c r="T1198">
        <v>184</v>
      </c>
      <c r="U1198">
        <v>11</v>
      </c>
      <c r="V1198">
        <v>118</v>
      </c>
      <c r="W1198">
        <v>0.312</v>
      </c>
      <c r="X1198">
        <v>147</v>
      </c>
      <c r="Y1198">
        <v>87</v>
      </c>
      <c r="Z1198">
        <v>37</v>
      </c>
      <c r="AA1198">
        <v>3</v>
      </c>
      <c r="AB1198">
        <v>6.8</v>
      </c>
      <c r="AC1198" t="s">
        <v>185</v>
      </c>
      <c r="AD1198" t="s">
        <v>198</v>
      </c>
      <c r="AG1198" t="s">
        <v>6824</v>
      </c>
      <c r="AH1198" t="s">
        <v>1232</v>
      </c>
      <c r="AI1198" s="245">
        <v>479.95</v>
      </c>
      <c r="AJ1198" t="s">
        <v>6825</v>
      </c>
      <c r="AK1198" t="s">
        <v>6824</v>
      </c>
      <c r="AL1198" t="s">
        <v>1405</v>
      </c>
      <c r="AM1198" s="245">
        <v>479.96</v>
      </c>
      <c r="AN1198" t="s">
        <v>6826</v>
      </c>
      <c r="AO1198" t="s">
        <v>6824</v>
      </c>
      <c r="AP1198" t="s">
        <v>1181</v>
      </c>
      <c r="AQ1198" s="245">
        <v>479.96</v>
      </c>
      <c r="AR1198" t="s">
        <v>6827</v>
      </c>
      <c r="AS1198" s="226" t="str">
        <f t="shared" si="36"/>
        <v>Trace 88</v>
      </c>
      <c r="AT1198" s="203" t="str">
        <f t="shared" si="37"/>
        <v xml:space="preserve"> ArmadaTrace 88152 Women's</v>
      </c>
    </row>
    <row r="1199" spans="1:46" ht="132">
      <c r="A1199" t="s">
        <v>155</v>
      </c>
      <c r="B1199" t="s">
        <v>1152</v>
      </c>
      <c r="C1199" t="s">
        <v>884</v>
      </c>
      <c r="D1199">
        <v>184</v>
      </c>
      <c r="E1199" t="s">
        <v>158</v>
      </c>
      <c r="F1199">
        <v>184</v>
      </c>
      <c r="G1199">
        <v>182.7</v>
      </c>
      <c r="H1199">
        <v>0</v>
      </c>
      <c r="I1199">
        <v>132</v>
      </c>
      <c r="J1199">
        <v>128</v>
      </c>
      <c r="K1199">
        <v>112</v>
      </c>
      <c r="L1199">
        <v>119</v>
      </c>
      <c r="M1199">
        <v>30.1</v>
      </c>
      <c r="N1199">
        <v>1920</v>
      </c>
      <c r="O1199">
        <v>1.1000000000000001</v>
      </c>
      <c r="P1199">
        <v>2118</v>
      </c>
      <c r="Q1199">
        <v>297</v>
      </c>
      <c r="R1199">
        <v>117</v>
      </c>
      <c r="S1199">
        <v>76</v>
      </c>
      <c r="T1199">
        <v>982</v>
      </c>
      <c r="U1199">
        <v>28</v>
      </c>
      <c r="V1199">
        <v>845</v>
      </c>
      <c r="W1199">
        <v>0.36599999999999999</v>
      </c>
      <c r="X1199">
        <v>209</v>
      </c>
      <c r="Y1199">
        <v>301</v>
      </c>
      <c r="Z1199">
        <v>773</v>
      </c>
      <c r="AA1199">
        <v>-11</v>
      </c>
      <c r="AB1199">
        <v>6.9</v>
      </c>
      <c r="AC1199" t="s">
        <v>169</v>
      </c>
      <c r="AD1199" t="s">
        <v>178</v>
      </c>
      <c r="AE1199" t="s">
        <v>185</v>
      </c>
      <c r="AG1199" t="s">
        <v>1297</v>
      </c>
      <c r="AH1199" t="s">
        <v>1298</v>
      </c>
      <c r="AI1199" s="245">
        <v>649.99</v>
      </c>
      <c r="AJ1199" t="s">
        <v>6828</v>
      </c>
      <c r="AS1199" s="226" t="str">
        <f t="shared" si="36"/>
        <v>Hoji</v>
      </c>
      <c r="AT1199" s="203" t="str">
        <f t="shared" si="37"/>
        <v>4FRNTHoji184 Unisex</v>
      </c>
    </row>
    <row r="1200" spans="1:46" ht="92.4">
      <c r="A1200" t="s">
        <v>155</v>
      </c>
      <c r="B1200" t="s">
        <v>317</v>
      </c>
      <c r="C1200" t="s">
        <v>821</v>
      </c>
      <c r="D1200">
        <v>187</v>
      </c>
      <c r="E1200" t="s">
        <v>158</v>
      </c>
      <c r="F1200">
        <v>187</v>
      </c>
      <c r="G1200">
        <v>185</v>
      </c>
      <c r="H1200">
        <v>150</v>
      </c>
      <c r="I1200">
        <v>162</v>
      </c>
      <c r="J1200">
        <v>121</v>
      </c>
      <c r="K1200">
        <v>81</v>
      </c>
      <c r="L1200">
        <v>104</v>
      </c>
      <c r="M1200">
        <v>20.5</v>
      </c>
      <c r="N1200">
        <v>2080</v>
      </c>
      <c r="O1200">
        <v>0.83</v>
      </c>
      <c r="P1200">
        <v>1729</v>
      </c>
      <c r="Q1200">
        <v>275</v>
      </c>
      <c r="R1200">
        <v>152</v>
      </c>
      <c r="S1200">
        <v>55</v>
      </c>
      <c r="T1200">
        <v>251</v>
      </c>
      <c r="U1200">
        <v>5</v>
      </c>
      <c r="V1200">
        <v>95</v>
      </c>
      <c r="W1200">
        <v>8.5000000000000006E-2</v>
      </c>
      <c r="X1200">
        <v>122</v>
      </c>
      <c r="Y1200">
        <v>110</v>
      </c>
      <c r="Z1200">
        <v>129</v>
      </c>
      <c r="AA1200">
        <v>4</v>
      </c>
      <c r="AB1200">
        <v>11.1</v>
      </c>
      <c r="AC1200" t="s">
        <v>349</v>
      </c>
      <c r="AD1200" t="s">
        <v>231</v>
      </c>
      <c r="AE1200" t="s">
        <v>188</v>
      </c>
      <c r="AG1200" t="s">
        <v>6829</v>
      </c>
      <c r="AH1200" t="s">
        <v>1409</v>
      </c>
      <c r="AI1200" s="245">
        <v>416.43</v>
      </c>
      <c r="AJ1200" t="s">
        <v>6830</v>
      </c>
      <c r="AK1200" t="s">
        <v>6831</v>
      </c>
      <c r="AL1200" t="s">
        <v>1232</v>
      </c>
      <c r="AM1200" s="245">
        <v>499.95</v>
      </c>
      <c r="AN1200" t="s">
        <v>6832</v>
      </c>
      <c r="AO1200" t="s">
        <v>6833</v>
      </c>
      <c r="AP1200" t="s">
        <v>1416</v>
      </c>
      <c r="AQ1200" s="245">
        <v>599.95000000000005</v>
      </c>
      <c r="AR1200" t="s">
        <v>6834</v>
      </c>
      <c r="AS1200" s="226" t="str">
        <f t="shared" si="36"/>
        <v>Brahma 82</v>
      </c>
      <c r="AT1200" s="203" t="str">
        <f t="shared" si="37"/>
        <v xml:space="preserve"> BlizzardBrahma 82187 Unisex</v>
      </c>
    </row>
    <row r="1201" spans="1:46" ht="92.4">
      <c r="A1201" t="s">
        <v>155</v>
      </c>
      <c r="B1201" t="s">
        <v>332</v>
      </c>
      <c r="C1201" t="s">
        <v>694</v>
      </c>
      <c r="D1201">
        <v>186</v>
      </c>
      <c r="E1201" t="s">
        <v>158</v>
      </c>
      <c r="F1201">
        <v>186</v>
      </c>
      <c r="G1201">
        <v>184.9</v>
      </c>
      <c r="H1201">
        <v>127</v>
      </c>
      <c r="I1201">
        <v>154</v>
      </c>
      <c r="J1201">
        <v>136</v>
      </c>
      <c r="K1201">
        <v>103</v>
      </c>
      <c r="L1201">
        <v>126</v>
      </c>
      <c r="M1201">
        <v>18.399999999999999</v>
      </c>
      <c r="N1201">
        <v>2246</v>
      </c>
      <c r="O1201">
        <v>0.94</v>
      </c>
      <c r="P1201">
        <v>2117</v>
      </c>
      <c r="Q1201">
        <v>231</v>
      </c>
      <c r="R1201">
        <v>156</v>
      </c>
      <c r="S1201">
        <v>56</v>
      </c>
      <c r="T1201">
        <v>314</v>
      </c>
      <c r="U1201">
        <v>39</v>
      </c>
      <c r="V1201">
        <v>262</v>
      </c>
      <c r="W1201">
        <v>0.69099999999999995</v>
      </c>
      <c r="X1201">
        <v>162</v>
      </c>
      <c r="Y1201">
        <v>151</v>
      </c>
      <c r="Z1201">
        <v>151</v>
      </c>
      <c r="AA1201">
        <v>7</v>
      </c>
      <c r="AB1201">
        <v>9.1999999999999993</v>
      </c>
      <c r="AC1201" t="s">
        <v>188</v>
      </c>
      <c r="AD1201" t="s">
        <v>169</v>
      </c>
      <c r="AG1201" t="s">
        <v>6835</v>
      </c>
      <c r="AH1201" t="s">
        <v>1204</v>
      </c>
      <c r="AI1201" s="245">
        <v>561.01</v>
      </c>
      <c r="AJ1201" t="s">
        <v>6836</v>
      </c>
      <c r="AK1201" t="s">
        <v>4171</v>
      </c>
      <c r="AL1201" t="s">
        <v>1271</v>
      </c>
      <c r="AM1201" s="245">
        <v>639.92999999999995</v>
      </c>
      <c r="AN1201" t="s">
        <v>6837</v>
      </c>
      <c r="AO1201" t="s">
        <v>6838</v>
      </c>
      <c r="AP1201" t="s">
        <v>1497</v>
      </c>
      <c r="AQ1201" s="245">
        <v>639.96</v>
      </c>
      <c r="AR1201" t="s">
        <v>6839</v>
      </c>
      <c r="AS1201" s="226" t="str">
        <f t="shared" si="36"/>
        <v>Enforcer 104 Free</v>
      </c>
      <c r="AT1201" s="203" t="str">
        <f t="shared" si="37"/>
        <v xml:space="preserve"> NordicaEnforcer 104 Free186 Unisex</v>
      </c>
    </row>
    <row r="1202" spans="1:46" ht="132">
      <c r="A1202" t="s">
        <v>155</v>
      </c>
      <c r="B1202" t="s">
        <v>156</v>
      </c>
      <c r="C1202" t="s">
        <v>885</v>
      </c>
      <c r="D1202">
        <v>168</v>
      </c>
      <c r="E1202" t="s">
        <v>158</v>
      </c>
      <c r="F1202">
        <v>168</v>
      </c>
      <c r="G1202">
        <v>167.4</v>
      </c>
      <c r="H1202">
        <v>147</v>
      </c>
      <c r="I1202">
        <v>153</v>
      </c>
      <c r="J1202">
        <v>124</v>
      </c>
      <c r="K1202">
        <v>74</v>
      </c>
      <c r="L1202">
        <v>108</v>
      </c>
      <c r="M1202">
        <v>13.7</v>
      </c>
      <c r="N1202">
        <v>2155</v>
      </c>
      <c r="O1202">
        <v>0.7</v>
      </c>
      <c r="P1202">
        <v>1505</v>
      </c>
      <c r="Q1202">
        <v>232</v>
      </c>
      <c r="R1202">
        <v>139</v>
      </c>
      <c r="S1202">
        <v>37</v>
      </c>
      <c r="T1202">
        <v>142</v>
      </c>
      <c r="U1202">
        <v>5</v>
      </c>
      <c r="V1202">
        <v>62</v>
      </c>
      <c r="W1202">
        <v>0.14899999999999999</v>
      </c>
      <c r="X1202">
        <v>84</v>
      </c>
      <c r="Y1202">
        <v>55</v>
      </c>
      <c r="Z1202">
        <v>58</v>
      </c>
      <c r="AA1202">
        <v>5</v>
      </c>
      <c r="AB1202">
        <v>12.8</v>
      </c>
      <c r="AC1202" t="s">
        <v>349</v>
      </c>
      <c r="AG1202" t="s">
        <v>3221</v>
      </c>
      <c r="AH1202" t="s">
        <v>1211</v>
      </c>
      <c r="AI1202" s="245">
        <v>799.99</v>
      </c>
      <c r="AJ1202" t="s">
        <v>6840</v>
      </c>
      <c r="AK1202" t="s">
        <v>3223</v>
      </c>
      <c r="AL1202" t="s">
        <v>3224</v>
      </c>
      <c r="AM1202" s="245">
        <v>999.99</v>
      </c>
      <c r="AN1202" t="s">
        <v>6841</v>
      </c>
      <c r="AO1202" t="s">
        <v>6842</v>
      </c>
      <c r="AP1202" t="s">
        <v>1229</v>
      </c>
      <c r="AQ1202" s="245">
        <v>599.99</v>
      </c>
      <c r="AR1202" t="s">
        <v>6843</v>
      </c>
      <c r="AS1202" s="226" t="str">
        <f t="shared" si="36"/>
        <v>Redster X9 WB Revo</v>
      </c>
      <c r="AT1202" s="203" t="str">
        <f t="shared" si="37"/>
        <v xml:space="preserve"> AtomicRedster X9 WB Revo168 Unisex</v>
      </c>
    </row>
    <row r="1203" spans="1:46" ht="79.2">
      <c r="A1203" t="s">
        <v>155</v>
      </c>
      <c r="B1203" t="s">
        <v>180</v>
      </c>
      <c r="C1203" t="s">
        <v>887</v>
      </c>
      <c r="D1203">
        <v>152</v>
      </c>
      <c r="E1203" t="s">
        <v>163</v>
      </c>
      <c r="F1203">
        <v>152</v>
      </c>
      <c r="G1203">
        <v>150.80000000000001</v>
      </c>
      <c r="H1203">
        <v>111</v>
      </c>
      <c r="I1203">
        <v>133</v>
      </c>
      <c r="J1203">
        <v>120</v>
      </c>
      <c r="K1203">
        <v>82</v>
      </c>
      <c r="L1203">
        <v>105</v>
      </c>
      <c r="M1203">
        <v>14.6</v>
      </c>
      <c r="N1203">
        <v>1093</v>
      </c>
      <c r="O1203">
        <v>1.29</v>
      </c>
      <c r="P1203">
        <v>1414</v>
      </c>
      <c r="Q1203">
        <v>145</v>
      </c>
      <c r="R1203">
        <v>54</v>
      </c>
      <c r="S1203">
        <v>58</v>
      </c>
      <c r="T1203">
        <v>286</v>
      </c>
      <c r="U1203">
        <v>15</v>
      </c>
      <c r="V1203">
        <v>107</v>
      </c>
      <c r="W1203">
        <v>0.25700000000000001</v>
      </c>
      <c r="X1203">
        <v>104</v>
      </c>
      <c r="Y1203">
        <v>76</v>
      </c>
      <c r="Z1203">
        <v>183</v>
      </c>
      <c r="AA1203">
        <v>5</v>
      </c>
      <c r="AB1203">
        <v>11</v>
      </c>
      <c r="AC1203" t="s">
        <v>185</v>
      </c>
      <c r="AD1203" t="s">
        <v>198</v>
      </c>
      <c r="AG1203" t="s">
        <v>6844</v>
      </c>
      <c r="AH1203" t="s">
        <v>1468</v>
      </c>
      <c r="AI1203" s="245">
        <v>649.95000000000005</v>
      </c>
      <c r="AJ1203" t="s">
        <v>6845</v>
      </c>
      <c r="AK1203" t="s">
        <v>6846</v>
      </c>
      <c r="AL1203" t="s">
        <v>1349</v>
      </c>
      <c r="AM1203" s="245">
        <v>352.89</v>
      </c>
      <c r="AN1203" t="s">
        <v>6847</v>
      </c>
      <c r="AO1203" t="s">
        <v>6846</v>
      </c>
      <c r="AP1203" t="s">
        <v>1326</v>
      </c>
      <c r="AQ1203" s="245">
        <v>362.87</v>
      </c>
      <c r="AR1203" t="s">
        <v>6848</v>
      </c>
      <c r="AS1203" s="226" t="str">
        <f t="shared" si="36"/>
        <v>Superguide 88 W</v>
      </c>
      <c r="AT1203" s="203" t="str">
        <f t="shared" si="37"/>
        <v xml:space="preserve"> ScottSuperguide 88 W152 Women's</v>
      </c>
    </row>
    <row r="1204" spans="1:46" ht="79.2">
      <c r="A1204" t="s">
        <v>155</v>
      </c>
      <c r="B1204" t="s">
        <v>182</v>
      </c>
      <c r="C1204" t="s">
        <v>839</v>
      </c>
      <c r="D1204">
        <v>190</v>
      </c>
      <c r="E1204" t="s">
        <v>158</v>
      </c>
      <c r="F1204">
        <v>190</v>
      </c>
      <c r="G1204">
        <v>189.5</v>
      </c>
      <c r="H1204">
        <v>130</v>
      </c>
      <c r="I1204">
        <v>150</v>
      </c>
      <c r="J1204">
        <v>135</v>
      </c>
      <c r="K1204">
        <v>107</v>
      </c>
      <c r="L1204">
        <v>126</v>
      </c>
      <c r="M1204">
        <v>22.6</v>
      </c>
      <c r="N1204">
        <v>1894</v>
      </c>
      <c r="O1204">
        <v>1.1599999999999999</v>
      </c>
      <c r="P1204">
        <v>2205</v>
      </c>
      <c r="Q1204">
        <v>272</v>
      </c>
      <c r="R1204">
        <v>164</v>
      </c>
      <c r="S1204">
        <v>61</v>
      </c>
      <c r="T1204">
        <v>381</v>
      </c>
      <c r="U1204">
        <v>29</v>
      </c>
      <c r="V1204">
        <v>210</v>
      </c>
      <c r="W1204">
        <v>0.47</v>
      </c>
      <c r="X1204">
        <v>245</v>
      </c>
      <c r="Y1204">
        <v>145</v>
      </c>
      <c r="Z1204">
        <v>136</v>
      </c>
      <c r="AA1204">
        <v>7</v>
      </c>
      <c r="AB1204">
        <v>9.3000000000000007</v>
      </c>
      <c r="AC1204" t="s">
        <v>169</v>
      </c>
      <c r="AD1204" t="s">
        <v>185</v>
      </c>
      <c r="AG1204" t="s">
        <v>6849</v>
      </c>
      <c r="AH1204" t="s">
        <v>1280</v>
      </c>
      <c r="AI1204" s="245">
        <v>639.92999999999995</v>
      </c>
      <c r="AJ1204" t="s">
        <v>6850</v>
      </c>
      <c r="AK1204" t="s">
        <v>6849</v>
      </c>
      <c r="AL1204" t="s">
        <v>1244</v>
      </c>
      <c r="AM1204" s="245">
        <v>639.96</v>
      </c>
      <c r="AN1204" t="s">
        <v>6851</v>
      </c>
      <c r="AO1204" t="s">
        <v>6849</v>
      </c>
      <c r="AP1204" t="s">
        <v>1181</v>
      </c>
      <c r="AQ1204" s="245">
        <v>639.96</v>
      </c>
      <c r="AR1204" t="s">
        <v>6852</v>
      </c>
      <c r="AS1204" s="226" t="str">
        <f t="shared" si="36"/>
        <v>Declivity 108 Ti</v>
      </c>
      <c r="AT1204" s="203" t="str">
        <f t="shared" si="37"/>
        <v xml:space="preserve"> ArmadaDeclivity 108 Ti190 Unisex</v>
      </c>
    </row>
    <row r="1205" spans="1:46" ht="118.8">
      <c r="A1205" t="s">
        <v>155</v>
      </c>
      <c r="B1205" t="s">
        <v>1395</v>
      </c>
      <c r="C1205" t="s">
        <v>820</v>
      </c>
      <c r="D1205">
        <v>191</v>
      </c>
      <c r="E1205" t="s">
        <v>158</v>
      </c>
      <c r="F1205">
        <v>191</v>
      </c>
      <c r="G1205">
        <v>190.2</v>
      </c>
      <c r="H1205">
        <v>136</v>
      </c>
      <c r="I1205">
        <v>168</v>
      </c>
      <c r="J1205">
        <v>133</v>
      </c>
      <c r="K1205">
        <v>95</v>
      </c>
      <c r="L1205">
        <v>116</v>
      </c>
      <c r="M1205">
        <v>23.7</v>
      </c>
      <c r="N1205">
        <v>2258</v>
      </c>
      <c r="O1205">
        <v>0.9</v>
      </c>
      <c r="P1205">
        <v>2026</v>
      </c>
      <c r="Q1205">
        <v>247</v>
      </c>
      <c r="R1205">
        <v>155</v>
      </c>
      <c r="S1205">
        <v>40</v>
      </c>
      <c r="T1205">
        <v>330</v>
      </c>
      <c r="U1205">
        <v>18</v>
      </c>
      <c r="V1205">
        <v>215</v>
      </c>
      <c r="W1205">
        <v>0.45</v>
      </c>
      <c r="X1205">
        <v>123</v>
      </c>
      <c r="Y1205">
        <v>100</v>
      </c>
      <c r="Z1205">
        <v>207</v>
      </c>
      <c r="AA1205">
        <v>5</v>
      </c>
      <c r="AB1205">
        <v>11.2</v>
      </c>
      <c r="AC1205" t="s">
        <v>188</v>
      </c>
      <c r="AG1205" t="s">
        <v>6853</v>
      </c>
      <c r="AH1205" t="s">
        <v>1232</v>
      </c>
      <c r="AI1205" s="245">
        <v>499.95</v>
      </c>
      <c r="AJ1205" t="s">
        <v>6854</v>
      </c>
      <c r="AK1205" t="s">
        <v>6855</v>
      </c>
      <c r="AL1205" t="s">
        <v>1416</v>
      </c>
      <c r="AM1205" s="245">
        <v>699</v>
      </c>
      <c r="AN1205" t="s">
        <v>6856</v>
      </c>
      <c r="AO1205" t="s">
        <v>6857</v>
      </c>
      <c r="AP1205" t="s">
        <v>1592</v>
      </c>
      <c r="AQ1205" s="245">
        <v>510.83</v>
      </c>
      <c r="AR1205" t="s">
        <v>6858</v>
      </c>
      <c r="AS1205" s="226" t="str">
        <f t="shared" si="36"/>
        <v>Mantra M5</v>
      </c>
      <c r="AT1205" s="203" t="str">
        <f t="shared" si="37"/>
        <v xml:space="preserve"> Vï¿½lklMantra M5191 Unisex</v>
      </c>
    </row>
    <row r="1206" spans="1:46" ht="118.8">
      <c r="A1206" t="s">
        <v>155</v>
      </c>
      <c r="B1206" t="s">
        <v>174</v>
      </c>
      <c r="C1206" t="s">
        <v>516</v>
      </c>
      <c r="D1206">
        <v>188</v>
      </c>
      <c r="E1206" t="s">
        <v>158</v>
      </c>
      <c r="F1206">
        <v>188</v>
      </c>
      <c r="G1206">
        <v>187.1</v>
      </c>
      <c r="H1206">
        <v>146</v>
      </c>
      <c r="I1206">
        <v>157</v>
      </c>
      <c r="J1206">
        <v>134</v>
      </c>
      <c r="K1206">
        <v>95</v>
      </c>
      <c r="L1206">
        <v>116</v>
      </c>
      <c r="M1206">
        <v>19.100000000000001</v>
      </c>
      <c r="N1206">
        <v>2106</v>
      </c>
      <c r="O1206">
        <v>0.96</v>
      </c>
      <c r="P1206">
        <v>2016</v>
      </c>
      <c r="Q1206">
        <v>236</v>
      </c>
      <c r="R1206">
        <v>159</v>
      </c>
      <c r="S1206">
        <v>48</v>
      </c>
      <c r="T1206">
        <v>254</v>
      </c>
      <c r="U1206">
        <v>6</v>
      </c>
      <c r="V1206">
        <v>154</v>
      </c>
      <c r="W1206">
        <v>0.127</v>
      </c>
      <c r="X1206">
        <v>158</v>
      </c>
      <c r="Y1206">
        <v>142</v>
      </c>
      <c r="Z1206">
        <v>95</v>
      </c>
      <c r="AA1206">
        <v>12</v>
      </c>
      <c r="AB1206">
        <v>10.5</v>
      </c>
      <c r="AC1206" t="s">
        <v>188</v>
      </c>
      <c r="AG1206" t="s">
        <v>6859</v>
      </c>
      <c r="AH1206" t="s">
        <v>2516</v>
      </c>
      <c r="AI1206" s="245">
        <v>559.95000000000005</v>
      </c>
      <c r="AJ1206" t="s">
        <v>6860</v>
      </c>
      <c r="AK1206" t="s">
        <v>6861</v>
      </c>
      <c r="AL1206" t="s">
        <v>1400</v>
      </c>
      <c r="AM1206" s="245">
        <v>559.96</v>
      </c>
      <c r="AN1206" t="s">
        <v>6862</v>
      </c>
      <c r="AO1206" t="s">
        <v>6861</v>
      </c>
      <c r="AP1206" t="s">
        <v>1244</v>
      </c>
      <c r="AQ1206" s="245">
        <v>559.96</v>
      </c>
      <c r="AR1206" t="s">
        <v>6863</v>
      </c>
      <c r="AS1206" s="226" t="str">
        <f t="shared" si="36"/>
        <v>Stance 96</v>
      </c>
      <c r="AT1206" s="203" t="str">
        <f t="shared" si="37"/>
        <v xml:space="preserve"> SalomonStance 96188 Unisex</v>
      </c>
    </row>
    <row r="1207" spans="1:46" ht="66">
      <c r="A1207" t="s">
        <v>155</v>
      </c>
      <c r="B1207" t="s">
        <v>205</v>
      </c>
      <c r="C1207" t="s">
        <v>859</v>
      </c>
      <c r="D1207">
        <v>149</v>
      </c>
      <c r="E1207" t="s">
        <v>385</v>
      </c>
      <c r="F1207">
        <v>149</v>
      </c>
      <c r="G1207">
        <v>147.30000000000001</v>
      </c>
      <c r="H1207">
        <v>104</v>
      </c>
      <c r="I1207">
        <v>123</v>
      </c>
      <c r="J1207">
        <v>126</v>
      </c>
      <c r="K1207">
        <v>95</v>
      </c>
      <c r="L1207">
        <v>122</v>
      </c>
      <c r="M1207">
        <v>11.8</v>
      </c>
      <c r="N1207">
        <v>1277</v>
      </c>
      <c r="O1207">
        <v>1.23</v>
      </c>
      <c r="P1207">
        <v>1567</v>
      </c>
      <c r="Q1207">
        <v>105</v>
      </c>
      <c r="R1207">
        <v>37</v>
      </c>
      <c r="S1207">
        <v>51</v>
      </c>
      <c r="T1207">
        <v>221</v>
      </c>
      <c r="U1207">
        <v>44</v>
      </c>
      <c r="V1207">
        <v>208</v>
      </c>
      <c r="W1207">
        <v>0.86299999999999999</v>
      </c>
      <c r="X1207">
        <v>124</v>
      </c>
      <c r="Y1207">
        <v>119</v>
      </c>
      <c r="Z1207">
        <v>97</v>
      </c>
      <c r="AA1207">
        <v>7</v>
      </c>
      <c r="AB1207">
        <v>3</v>
      </c>
      <c r="AC1207" t="s">
        <v>184</v>
      </c>
      <c r="AD1207" t="s">
        <v>185</v>
      </c>
      <c r="AG1207" t="s">
        <v>6511</v>
      </c>
      <c r="AH1207" t="s">
        <v>1248</v>
      </c>
      <c r="AI1207" s="245">
        <v>383.2</v>
      </c>
      <c r="AJ1207" t="s">
        <v>6864</v>
      </c>
      <c r="AS1207" s="226" t="str">
        <f t="shared" si="36"/>
        <v>Prodigy 2.0 Jr</v>
      </c>
      <c r="AT1207" s="203" t="str">
        <f t="shared" si="37"/>
        <v xml:space="preserve"> FactionProdigy 2.0 Jr149 Junior</v>
      </c>
    </row>
    <row r="1208" spans="1:46" ht="66">
      <c r="A1208" t="s">
        <v>155</v>
      </c>
      <c r="B1208" t="s">
        <v>1160</v>
      </c>
      <c r="C1208" t="s">
        <v>474</v>
      </c>
      <c r="D1208">
        <v>184</v>
      </c>
      <c r="E1208" t="s">
        <v>158</v>
      </c>
      <c r="F1208">
        <v>184</v>
      </c>
      <c r="G1208">
        <v>183.5</v>
      </c>
      <c r="H1208">
        <v>143</v>
      </c>
      <c r="I1208">
        <v>159</v>
      </c>
      <c r="J1208">
        <v>126</v>
      </c>
      <c r="K1208">
        <v>89</v>
      </c>
      <c r="L1208">
        <v>113</v>
      </c>
      <c r="M1208">
        <v>19.7</v>
      </c>
      <c r="N1208">
        <v>2028</v>
      </c>
      <c r="O1208">
        <v>0.91</v>
      </c>
      <c r="P1208">
        <v>1854</v>
      </c>
      <c r="Q1208">
        <v>222</v>
      </c>
      <c r="R1208">
        <v>155</v>
      </c>
      <c r="S1208">
        <v>47</v>
      </c>
      <c r="T1208">
        <v>235</v>
      </c>
      <c r="U1208">
        <v>19</v>
      </c>
      <c r="V1208">
        <v>167</v>
      </c>
      <c r="W1208">
        <v>0.41499999999999998</v>
      </c>
      <c r="X1208">
        <v>141</v>
      </c>
      <c r="Y1208">
        <v>105</v>
      </c>
      <c r="Z1208">
        <v>94</v>
      </c>
      <c r="AA1208">
        <v>7</v>
      </c>
      <c r="AB1208">
        <v>11.6</v>
      </c>
      <c r="AC1208" t="s">
        <v>188</v>
      </c>
      <c r="AG1208" t="s">
        <v>5964</v>
      </c>
      <c r="AH1208" t="s">
        <v>2570</v>
      </c>
      <c r="AI1208" s="245">
        <v>800</v>
      </c>
      <c r="AJ1208" t="s">
        <v>6865</v>
      </c>
      <c r="AK1208" t="s">
        <v>5962</v>
      </c>
      <c r="AL1208" t="s">
        <v>1240</v>
      </c>
      <c r="AM1208" s="245">
        <v>669.95</v>
      </c>
      <c r="AN1208" t="s">
        <v>6866</v>
      </c>
      <c r="AO1208" t="s">
        <v>5966</v>
      </c>
      <c r="AP1208" t="s">
        <v>1191</v>
      </c>
      <c r="AQ1208" s="245">
        <v>424.95</v>
      </c>
      <c r="AR1208" t="s">
        <v>6867</v>
      </c>
      <c r="AS1208" s="226" t="str">
        <f t="shared" si="36"/>
        <v>Mindbender 90 Ti</v>
      </c>
      <c r="AT1208" s="203" t="str">
        <f t="shared" si="37"/>
        <v>K2Mindbender 90 Ti184 Unisex</v>
      </c>
    </row>
    <row r="1209" spans="1:46" ht="79.2">
      <c r="A1209" t="s">
        <v>155</v>
      </c>
      <c r="B1209" t="s">
        <v>174</v>
      </c>
      <c r="C1209" t="s">
        <v>888</v>
      </c>
      <c r="D1209">
        <v>153</v>
      </c>
      <c r="E1209" t="s">
        <v>163</v>
      </c>
      <c r="F1209">
        <v>153</v>
      </c>
      <c r="G1209">
        <v>151.69999999999999</v>
      </c>
      <c r="H1209">
        <v>124</v>
      </c>
      <c r="I1209">
        <v>132</v>
      </c>
      <c r="J1209">
        <v>121</v>
      </c>
      <c r="K1209">
        <v>88</v>
      </c>
      <c r="L1209">
        <v>106</v>
      </c>
      <c r="M1209">
        <v>16.7</v>
      </c>
      <c r="N1209">
        <v>1155</v>
      </c>
      <c r="O1209">
        <v>1.29</v>
      </c>
      <c r="P1209">
        <v>1492</v>
      </c>
      <c r="Q1209">
        <v>109</v>
      </c>
      <c r="R1209">
        <v>50</v>
      </c>
      <c r="S1209">
        <v>47</v>
      </c>
      <c r="T1209">
        <v>197</v>
      </c>
      <c r="U1209">
        <v>12</v>
      </c>
      <c r="V1209">
        <v>83</v>
      </c>
      <c r="W1209">
        <v>0.253</v>
      </c>
      <c r="X1209">
        <v>121</v>
      </c>
      <c r="Y1209">
        <v>74</v>
      </c>
      <c r="Z1209">
        <v>76</v>
      </c>
      <c r="AA1209">
        <v>8</v>
      </c>
      <c r="AB1209">
        <v>10.199999999999999</v>
      </c>
      <c r="AC1209" t="s">
        <v>185</v>
      </c>
      <c r="AD1209" t="s">
        <v>198</v>
      </c>
      <c r="AG1209" t="s">
        <v>6868</v>
      </c>
      <c r="AH1209" t="s">
        <v>1468</v>
      </c>
      <c r="AI1209" s="245">
        <v>649.99</v>
      </c>
      <c r="AJ1209" t="s">
        <v>6869</v>
      </c>
      <c r="AK1209" t="s">
        <v>6870</v>
      </c>
      <c r="AL1209" t="s">
        <v>3026</v>
      </c>
      <c r="AM1209" s="245">
        <v>461.13</v>
      </c>
      <c r="AN1209" t="s">
        <v>6871</v>
      </c>
      <c r="AO1209" t="s">
        <v>6870</v>
      </c>
      <c r="AP1209" t="s">
        <v>1226</v>
      </c>
      <c r="AQ1209" s="245">
        <v>519.99</v>
      </c>
      <c r="AR1209" t="s">
        <v>6872</v>
      </c>
      <c r="AS1209" s="226" t="str">
        <f t="shared" si="36"/>
        <v>MTN Explore 88 W</v>
      </c>
      <c r="AT1209" s="203" t="str">
        <f t="shared" si="37"/>
        <v xml:space="preserve"> SalomonMTN Explore 88 W153 Women's</v>
      </c>
    </row>
    <row r="1210" spans="1:46" ht="92.4">
      <c r="A1210" t="s">
        <v>155</v>
      </c>
      <c r="B1210" t="s">
        <v>172</v>
      </c>
      <c r="C1210" t="s">
        <v>768</v>
      </c>
      <c r="D1210">
        <v>186</v>
      </c>
      <c r="E1210" t="s">
        <v>158</v>
      </c>
      <c r="F1210">
        <v>186</v>
      </c>
      <c r="G1210">
        <v>184.6</v>
      </c>
      <c r="H1210">
        <v>112</v>
      </c>
      <c r="I1210">
        <v>157</v>
      </c>
      <c r="J1210">
        <v>144</v>
      </c>
      <c r="K1210">
        <v>116</v>
      </c>
      <c r="L1210">
        <v>139</v>
      </c>
      <c r="M1210">
        <v>21.2</v>
      </c>
      <c r="N1210">
        <v>2470</v>
      </c>
      <c r="O1210">
        <v>0.94</v>
      </c>
      <c r="P1210">
        <v>2327</v>
      </c>
      <c r="Q1210">
        <v>255</v>
      </c>
      <c r="R1210">
        <v>127</v>
      </c>
      <c r="S1210">
        <v>63</v>
      </c>
      <c r="T1210">
        <v>367</v>
      </c>
      <c r="U1210">
        <v>52</v>
      </c>
      <c r="V1210">
        <v>356</v>
      </c>
      <c r="W1210">
        <v>0.82399999999999995</v>
      </c>
      <c r="X1210">
        <v>147</v>
      </c>
      <c r="Y1210">
        <v>127</v>
      </c>
      <c r="Z1210">
        <v>220</v>
      </c>
      <c r="AA1210">
        <v>5</v>
      </c>
      <c r="AB1210">
        <v>2.4</v>
      </c>
      <c r="AC1210" t="s">
        <v>184</v>
      </c>
      <c r="AD1210" t="s">
        <v>169</v>
      </c>
      <c r="AG1210" t="s">
        <v>5069</v>
      </c>
      <c r="AH1210" t="s">
        <v>1194</v>
      </c>
      <c r="AI1210" s="245">
        <v>451.66</v>
      </c>
      <c r="AJ1210" t="s">
        <v>6873</v>
      </c>
      <c r="AK1210" t="s">
        <v>6874</v>
      </c>
      <c r="AL1210" t="s">
        <v>1204</v>
      </c>
      <c r="AM1210" s="245">
        <v>480.86</v>
      </c>
      <c r="AN1210" t="s">
        <v>6875</v>
      </c>
      <c r="AO1210" t="s">
        <v>6876</v>
      </c>
      <c r="AP1210" t="s">
        <v>6877</v>
      </c>
      <c r="AQ1210" s="245">
        <v>559.99</v>
      </c>
      <c r="AR1210" t="s">
        <v>6878</v>
      </c>
      <c r="AS1210" s="226" t="str">
        <f t="shared" si="36"/>
        <v>Blackops Gamer</v>
      </c>
      <c r="AT1210" s="203" t="str">
        <f t="shared" si="37"/>
        <v xml:space="preserve"> RossignolBlackops Gamer186 Unisex</v>
      </c>
    </row>
    <row r="1211" spans="1:46" ht="92.4">
      <c r="A1211" t="s">
        <v>155</v>
      </c>
      <c r="B1211" t="s">
        <v>172</v>
      </c>
      <c r="C1211" t="s">
        <v>388</v>
      </c>
      <c r="D1211">
        <v>186</v>
      </c>
      <c r="E1211" t="s">
        <v>158</v>
      </c>
      <c r="F1211">
        <v>186</v>
      </c>
      <c r="G1211">
        <v>186.4</v>
      </c>
      <c r="H1211">
        <v>138</v>
      </c>
      <c r="I1211">
        <v>159</v>
      </c>
      <c r="J1211">
        <v>137</v>
      </c>
      <c r="K1211">
        <v>104</v>
      </c>
      <c r="L1211">
        <v>127</v>
      </c>
      <c r="M1211">
        <v>20.9</v>
      </c>
      <c r="N1211">
        <v>2060</v>
      </c>
      <c r="O1211">
        <v>1.04</v>
      </c>
      <c r="P1211">
        <v>2141</v>
      </c>
      <c r="Q1211">
        <v>287</v>
      </c>
      <c r="R1211">
        <v>138</v>
      </c>
      <c r="S1211">
        <v>50</v>
      </c>
      <c r="T1211">
        <v>301</v>
      </c>
      <c r="U1211">
        <v>12</v>
      </c>
      <c r="V1211">
        <v>182</v>
      </c>
      <c r="W1211">
        <v>0.22800000000000001</v>
      </c>
      <c r="X1211">
        <v>163</v>
      </c>
      <c r="Y1211">
        <v>107</v>
      </c>
      <c r="Z1211">
        <v>138</v>
      </c>
      <c r="AA1211">
        <v>6</v>
      </c>
      <c r="AB1211">
        <v>7.5</v>
      </c>
      <c r="AC1211" t="s">
        <v>188</v>
      </c>
      <c r="AD1211" t="s">
        <v>178</v>
      </c>
      <c r="AG1211" t="s">
        <v>6879</v>
      </c>
      <c r="AH1211" t="s">
        <v>6880</v>
      </c>
      <c r="AI1211" s="245">
        <v>419.4</v>
      </c>
      <c r="AJ1211" t="s">
        <v>6881</v>
      </c>
      <c r="AK1211" t="s">
        <v>2606</v>
      </c>
      <c r="AL1211" t="s">
        <v>1464</v>
      </c>
      <c r="AM1211" s="245">
        <v>552.9</v>
      </c>
      <c r="AN1211" t="s">
        <v>6882</v>
      </c>
      <c r="AO1211" t="s">
        <v>2841</v>
      </c>
      <c r="AP1211" t="s">
        <v>1280</v>
      </c>
      <c r="AQ1211" s="245">
        <v>559.92999999999995</v>
      </c>
      <c r="AR1211" t="s">
        <v>6883</v>
      </c>
      <c r="AS1211" s="226" t="str">
        <f t="shared" si="36"/>
        <v>Blackops Sender</v>
      </c>
      <c r="AT1211" s="203" t="str">
        <f t="shared" si="37"/>
        <v xml:space="preserve"> RossignolBlackops Sender186 Unisex</v>
      </c>
    </row>
    <row r="1212" spans="1:46" ht="52.8">
      <c r="A1212" t="s">
        <v>155</v>
      </c>
      <c r="B1212" t="s">
        <v>167</v>
      </c>
      <c r="C1212" t="s">
        <v>168</v>
      </c>
      <c r="D1212">
        <v>184</v>
      </c>
      <c r="E1212" t="s">
        <v>158</v>
      </c>
      <c r="F1212">
        <v>184</v>
      </c>
      <c r="G1212">
        <v>183.9</v>
      </c>
      <c r="H1212">
        <v>141</v>
      </c>
      <c r="I1212">
        <v>142</v>
      </c>
      <c r="J1212">
        <v>135</v>
      </c>
      <c r="K1212">
        <v>104</v>
      </c>
      <c r="L1212">
        <v>123</v>
      </c>
      <c r="M1212">
        <v>18.2</v>
      </c>
      <c r="N1212">
        <v>1851</v>
      </c>
      <c r="O1212">
        <v>1.1399999999999999</v>
      </c>
      <c r="P1212">
        <v>2105</v>
      </c>
      <c r="Q1212">
        <v>302</v>
      </c>
      <c r="R1212">
        <v>148</v>
      </c>
      <c r="S1212">
        <v>52</v>
      </c>
      <c r="T1212">
        <v>249</v>
      </c>
      <c r="U1212">
        <v>22</v>
      </c>
      <c r="V1212">
        <v>184</v>
      </c>
      <c r="W1212">
        <v>0.41699999999999998</v>
      </c>
      <c r="X1212">
        <v>266</v>
      </c>
      <c r="Y1212">
        <v>157</v>
      </c>
      <c r="Z1212">
        <v>-17</v>
      </c>
      <c r="AA1212">
        <v>8</v>
      </c>
      <c r="AB1212">
        <v>11</v>
      </c>
      <c r="AC1212" t="s">
        <v>188</v>
      </c>
      <c r="AD1212" t="s">
        <v>169</v>
      </c>
      <c r="AE1212" t="s">
        <v>185</v>
      </c>
      <c r="AG1212" t="s">
        <v>1439</v>
      </c>
      <c r="AH1212" t="s">
        <v>1349</v>
      </c>
      <c r="AI1212" s="245">
        <v>430.82</v>
      </c>
      <c r="AJ1212" t="s">
        <v>6884</v>
      </c>
      <c r="AK1212" t="s">
        <v>1439</v>
      </c>
      <c r="AL1212" t="s">
        <v>1301</v>
      </c>
      <c r="AM1212" s="245">
        <v>449</v>
      </c>
      <c r="AN1212" t="s">
        <v>6885</v>
      </c>
      <c r="AO1212" t="s">
        <v>1439</v>
      </c>
      <c r="AP1212" t="s">
        <v>1194</v>
      </c>
      <c r="AQ1212" s="245">
        <v>450.77</v>
      </c>
      <c r="AR1212" t="s">
        <v>6886</v>
      </c>
      <c r="AS1212" s="226" t="str">
        <f t="shared" si="36"/>
        <v>Kore 105</v>
      </c>
      <c r="AT1212" s="203" t="str">
        <f t="shared" si="37"/>
        <v xml:space="preserve"> HeadKore 105184 Unisex</v>
      </c>
    </row>
    <row r="1213" spans="1:46" ht="52.8">
      <c r="A1213" t="s">
        <v>155</v>
      </c>
      <c r="B1213" t="s">
        <v>182</v>
      </c>
      <c r="C1213" t="s">
        <v>852</v>
      </c>
      <c r="D1213">
        <v>192</v>
      </c>
      <c r="E1213" t="s">
        <v>158</v>
      </c>
      <c r="F1213">
        <v>192</v>
      </c>
      <c r="G1213">
        <v>190.1</v>
      </c>
      <c r="H1213">
        <v>122</v>
      </c>
      <c r="I1213">
        <v>141</v>
      </c>
      <c r="J1213">
        <v>139</v>
      </c>
      <c r="K1213">
        <v>115</v>
      </c>
      <c r="L1213">
        <v>135</v>
      </c>
      <c r="M1213">
        <v>19.3</v>
      </c>
      <c r="N1213">
        <v>1981</v>
      </c>
      <c r="O1213">
        <v>1.18</v>
      </c>
      <c r="P1213">
        <v>2337</v>
      </c>
      <c r="Q1213">
        <v>281</v>
      </c>
      <c r="R1213">
        <v>152</v>
      </c>
      <c r="S1213">
        <v>57</v>
      </c>
      <c r="T1213">
        <v>350</v>
      </c>
      <c r="U1213">
        <v>55</v>
      </c>
      <c r="V1213">
        <v>329</v>
      </c>
      <c r="W1213">
        <v>0.95599999999999996</v>
      </c>
      <c r="X1213">
        <v>258</v>
      </c>
      <c r="Y1213">
        <v>229</v>
      </c>
      <c r="Z1213">
        <v>92</v>
      </c>
      <c r="AA1213">
        <v>5</v>
      </c>
      <c r="AB1213">
        <v>7.6</v>
      </c>
      <c r="AC1213" t="s">
        <v>184</v>
      </c>
      <c r="AD1213" t="s">
        <v>169</v>
      </c>
      <c r="AE1213" t="s">
        <v>185</v>
      </c>
      <c r="AG1213" t="s">
        <v>6887</v>
      </c>
      <c r="AH1213" t="s">
        <v>1262</v>
      </c>
      <c r="AI1213" s="245">
        <v>553.33000000000004</v>
      </c>
      <c r="AJ1213" t="s">
        <v>6888</v>
      </c>
      <c r="AK1213" t="s">
        <v>6887</v>
      </c>
      <c r="AL1213" t="s">
        <v>1194</v>
      </c>
      <c r="AM1213" s="245">
        <v>587.63</v>
      </c>
      <c r="AN1213" t="s">
        <v>6889</v>
      </c>
      <c r="AO1213" t="s">
        <v>6887</v>
      </c>
      <c r="AP1213" t="s">
        <v>1248</v>
      </c>
      <c r="AQ1213" s="245">
        <v>639.96</v>
      </c>
      <c r="AR1213" t="s">
        <v>6890</v>
      </c>
      <c r="AS1213" s="226" t="str">
        <f t="shared" si="36"/>
        <v>Whitewalker</v>
      </c>
      <c r="AT1213" s="203" t="str">
        <f t="shared" si="37"/>
        <v xml:space="preserve"> ArmadaWhitewalker192 Unisex</v>
      </c>
    </row>
    <row r="1214" spans="1:46" ht="52.8">
      <c r="A1214" t="s">
        <v>155</v>
      </c>
      <c r="B1214" t="s">
        <v>1395</v>
      </c>
      <c r="C1214" t="s">
        <v>861</v>
      </c>
      <c r="D1214">
        <v>177</v>
      </c>
      <c r="E1214" t="s">
        <v>158</v>
      </c>
      <c r="F1214">
        <v>177</v>
      </c>
      <c r="G1214">
        <v>178.1</v>
      </c>
      <c r="H1214">
        <v>135</v>
      </c>
      <c r="I1214">
        <v>155</v>
      </c>
      <c r="J1214">
        <v>145</v>
      </c>
      <c r="K1214">
        <v>107</v>
      </c>
      <c r="L1214">
        <v>128</v>
      </c>
      <c r="M1214">
        <v>19.399999999999999</v>
      </c>
      <c r="N1214">
        <v>2237</v>
      </c>
      <c r="O1214">
        <v>0.95</v>
      </c>
      <c r="P1214">
        <v>2115</v>
      </c>
      <c r="Q1214">
        <v>229</v>
      </c>
      <c r="R1214">
        <v>162</v>
      </c>
      <c r="S1214">
        <v>49</v>
      </c>
      <c r="T1214">
        <v>249</v>
      </c>
      <c r="U1214">
        <v>17</v>
      </c>
      <c r="V1214">
        <v>184</v>
      </c>
      <c r="W1214">
        <v>0.35</v>
      </c>
      <c r="X1214">
        <v>131</v>
      </c>
      <c r="Y1214">
        <v>104</v>
      </c>
      <c r="Z1214">
        <v>118</v>
      </c>
      <c r="AA1214">
        <v>4</v>
      </c>
      <c r="AB1214">
        <v>11.5</v>
      </c>
      <c r="AC1214" t="s">
        <v>169</v>
      </c>
      <c r="AD1214" t="s">
        <v>178</v>
      </c>
      <c r="AG1214" t="s">
        <v>6891</v>
      </c>
      <c r="AH1214" t="s">
        <v>1194</v>
      </c>
      <c r="AI1214" s="245">
        <v>548.46</v>
      </c>
      <c r="AJ1214" t="s">
        <v>6892</v>
      </c>
      <c r="AK1214" t="s">
        <v>6893</v>
      </c>
      <c r="AL1214" t="s">
        <v>1240</v>
      </c>
      <c r="AM1214" s="245">
        <v>599.95000000000005</v>
      </c>
      <c r="AN1214" t="s">
        <v>6894</v>
      </c>
      <c r="AO1214" t="s">
        <v>6891</v>
      </c>
      <c r="AP1214" t="s">
        <v>1326</v>
      </c>
      <c r="AQ1214" s="245">
        <v>624.87</v>
      </c>
      <c r="AR1214" t="s">
        <v>6895</v>
      </c>
      <c r="AS1214" s="226" t="str">
        <f t="shared" si="36"/>
        <v>Katana 108</v>
      </c>
      <c r="AT1214" s="203" t="str">
        <f t="shared" si="37"/>
        <v xml:space="preserve"> Vï¿½lklKatana 108177 Unisex</v>
      </c>
    </row>
    <row r="1215" spans="1:46" ht="66">
      <c r="A1215" t="s">
        <v>155</v>
      </c>
      <c r="B1215" t="s">
        <v>1160</v>
      </c>
      <c r="C1215" t="s">
        <v>405</v>
      </c>
      <c r="D1215">
        <v>186</v>
      </c>
      <c r="E1215" t="s">
        <v>158</v>
      </c>
      <c r="F1215">
        <v>186</v>
      </c>
      <c r="G1215">
        <v>185.9</v>
      </c>
      <c r="H1215">
        <v>117</v>
      </c>
      <c r="I1215">
        <v>150</v>
      </c>
      <c r="J1215">
        <v>136</v>
      </c>
      <c r="K1215">
        <v>107</v>
      </c>
      <c r="L1215">
        <v>124</v>
      </c>
      <c r="M1215">
        <v>23.1</v>
      </c>
      <c r="N1215">
        <v>2141</v>
      </c>
      <c r="O1215">
        <v>1.01</v>
      </c>
      <c r="P1215">
        <v>2160</v>
      </c>
      <c r="Q1215">
        <v>236</v>
      </c>
      <c r="R1215">
        <v>172</v>
      </c>
      <c r="S1215">
        <v>49</v>
      </c>
      <c r="T1215">
        <v>408</v>
      </c>
      <c r="U1215">
        <v>24</v>
      </c>
      <c r="V1215">
        <v>279</v>
      </c>
      <c r="W1215">
        <v>0.48799999999999999</v>
      </c>
      <c r="X1215">
        <v>182</v>
      </c>
      <c r="Y1215">
        <v>180</v>
      </c>
      <c r="Z1215">
        <v>225</v>
      </c>
      <c r="AA1215">
        <v>5</v>
      </c>
      <c r="AB1215">
        <v>10.5</v>
      </c>
      <c r="AC1215" t="s">
        <v>169</v>
      </c>
      <c r="AG1215" t="s">
        <v>6896</v>
      </c>
      <c r="AH1215" t="s">
        <v>1240</v>
      </c>
      <c r="AI1215" s="245">
        <v>749</v>
      </c>
      <c r="AJ1215" t="s">
        <v>6897</v>
      </c>
      <c r="AK1215" t="s">
        <v>6898</v>
      </c>
      <c r="AL1215" t="s">
        <v>1282</v>
      </c>
      <c r="AM1215" s="245">
        <v>749.95</v>
      </c>
      <c r="AN1215" t="s">
        <v>6899</v>
      </c>
      <c r="AO1215" t="s">
        <v>4213</v>
      </c>
      <c r="AP1215" t="s">
        <v>1397</v>
      </c>
      <c r="AQ1215" s="245">
        <v>749.99</v>
      </c>
      <c r="AR1215" t="s">
        <v>6900</v>
      </c>
      <c r="AS1215" s="226" t="str">
        <f t="shared" si="36"/>
        <v>Mindbender 108 Ti</v>
      </c>
      <c r="AT1215" s="203" t="str">
        <f t="shared" si="37"/>
        <v>K2Mindbender 108 Ti186 Unisex</v>
      </c>
    </row>
    <row r="1216" spans="1:46" ht="79.2">
      <c r="A1216" t="s">
        <v>155</v>
      </c>
      <c r="B1216" t="s">
        <v>332</v>
      </c>
      <c r="C1216" t="s">
        <v>455</v>
      </c>
      <c r="D1216">
        <v>186</v>
      </c>
      <c r="E1216" t="s">
        <v>158</v>
      </c>
      <c r="F1216">
        <v>186</v>
      </c>
      <c r="G1216">
        <v>185.2</v>
      </c>
      <c r="H1216">
        <v>139</v>
      </c>
      <c r="I1216">
        <v>157</v>
      </c>
      <c r="J1216">
        <v>124</v>
      </c>
      <c r="K1216">
        <v>87</v>
      </c>
      <c r="L1216">
        <v>110</v>
      </c>
      <c r="M1216">
        <v>17.899999999999999</v>
      </c>
      <c r="N1216">
        <v>2137</v>
      </c>
      <c r="O1216">
        <v>0.87</v>
      </c>
      <c r="P1216">
        <v>1851</v>
      </c>
      <c r="Q1216">
        <v>286</v>
      </c>
      <c r="R1216">
        <v>162</v>
      </c>
      <c r="S1216">
        <v>54</v>
      </c>
      <c r="T1216">
        <v>274</v>
      </c>
      <c r="U1216">
        <v>11</v>
      </c>
      <c r="V1216">
        <v>191</v>
      </c>
      <c r="W1216">
        <v>0.20799999999999999</v>
      </c>
      <c r="X1216">
        <v>124</v>
      </c>
      <c r="Y1216">
        <v>155</v>
      </c>
      <c r="Z1216">
        <v>150</v>
      </c>
      <c r="AA1216">
        <v>8</v>
      </c>
      <c r="AB1216">
        <v>8.5</v>
      </c>
      <c r="AC1216" t="s">
        <v>188</v>
      </c>
      <c r="AG1216" t="s">
        <v>6901</v>
      </c>
      <c r="AH1216" t="s">
        <v>1421</v>
      </c>
      <c r="AI1216" s="245">
        <v>487.49</v>
      </c>
      <c r="AJ1216" t="s">
        <v>6902</v>
      </c>
      <c r="AK1216" t="s">
        <v>6901</v>
      </c>
      <c r="AL1216" t="s">
        <v>1497</v>
      </c>
      <c r="AM1216" s="245">
        <v>519.96</v>
      </c>
      <c r="AN1216" t="s">
        <v>6903</v>
      </c>
      <c r="AO1216" t="s">
        <v>6901</v>
      </c>
      <c r="AP1216" t="s">
        <v>2255</v>
      </c>
      <c r="AQ1216" s="245">
        <v>519.99</v>
      </c>
      <c r="AR1216" t="s">
        <v>6904</v>
      </c>
      <c r="AS1216" s="226" t="str">
        <f t="shared" si="36"/>
        <v>Enforcer 88</v>
      </c>
      <c r="AT1216" s="203" t="str">
        <f t="shared" si="37"/>
        <v xml:space="preserve"> NordicaEnforcer 88186 Unisex</v>
      </c>
    </row>
    <row r="1217" spans="1:46" ht="158.4">
      <c r="A1217" t="s">
        <v>155</v>
      </c>
      <c r="B1217" t="s">
        <v>317</v>
      </c>
      <c r="C1217" t="s">
        <v>630</v>
      </c>
      <c r="D1217">
        <v>189</v>
      </c>
      <c r="E1217" t="s">
        <v>158</v>
      </c>
      <c r="F1217">
        <v>189</v>
      </c>
      <c r="G1217">
        <v>188.1</v>
      </c>
      <c r="H1217">
        <v>160</v>
      </c>
      <c r="I1217">
        <v>165</v>
      </c>
      <c r="J1217">
        <v>127</v>
      </c>
      <c r="K1217">
        <v>86</v>
      </c>
      <c r="L1217">
        <v>109</v>
      </c>
      <c r="M1217">
        <v>20.5</v>
      </c>
      <c r="N1217">
        <v>2306</v>
      </c>
      <c r="O1217">
        <v>0.8</v>
      </c>
      <c r="P1217">
        <v>1848</v>
      </c>
      <c r="Q1217">
        <v>253</v>
      </c>
      <c r="R1217">
        <v>139</v>
      </c>
      <c r="S1217">
        <v>54</v>
      </c>
      <c r="T1217">
        <v>198</v>
      </c>
      <c r="U1217">
        <v>4</v>
      </c>
      <c r="V1217">
        <v>85</v>
      </c>
      <c r="W1217">
        <v>7.8E-2</v>
      </c>
      <c r="X1217">
        <v>123</v>
      </c>
      <c r="Y1217">
        <v>104</v>
      </c>
      <c r="Z1217">
        <v>75</v>
      </c>
      <c r="AA1217">
        <v>12</v>
      </c>
      <c r="AB1217">
        <v>11</v>
      </c>
      <c r="AC1217" t="s">
        <v>188</v>
      </c>
      <c r="AG1217" t="s">
        <v>6905</v>
      </c>
      <c r="AH1217" t="s">
        <v>1349</v>
      </c>
      <c r="AI1217" s="245">
        <v>394.15</v>
      </c>
      <c r="AJ1217" t="s">
        <v>6906</v>
      </c>
      <c r="AK1217" t="s">
        <v>6907</v>
      </c>
      <c r="AL1217" t="s">
        <v>3015</v>
      </c>
      <c r="AM1217" s="245">
        <v>699.95</v>
      </c>
      <c r="AN1217" t="s">
        <v>6908</v>
      </c>
      <c r="AO1217" t="s">
        <v>6909</v>
      </c>
      <c r="AP1217" t="s">
        <v>1450</v>
      </c>
      <c r="AQ1217" s="245">
        <v>799.99</v>
      </c>
      <c r="AR1217" t="s">
        <v>6910</v>
      </c>
      <c r="AS1217" s="226" t="str">
        <f t="shared" si="36"/>
        <v>Brahma 88</v>
      </c>
      <c r="AT1217" s="203" t="str">
        <f t="shared" si="37"/>
        <v xml:space="preserve"> BlizzardBrahma 88189 Unisex</v>
      </c>
    </row>
    <row r="1218" spans="1:46" ht="158.4">
      <c r="A1218" t="s">
        <v>155</v>
      </c>
      <c r="B1218" t="s">
        <v>245</v>
      </c>
      <c r="C1218" t="s">
        <v>616</v>
      </c>
      <c r="D1218">
        <v>162</v>
      </c>
      <c r="E1218" t="s">
        <v>158</v>
      </c>
      <c r="F1218">
        <v>162</v>
      </c>
      <c r="G1218">
        <v>161</v>
      </c>
      <c r="H1218">
        <v>116</v>
      </c>
      <c r="I1218">
        <v>138</v>
      </c>
      <c r="J1218">
        <v>124</v>
      </c>
      <c r="K1218">
        <v>93</v>
      </c>
      <c r="L1218">
        <v>111</v>
      </c>
      <c r="M1218">
        <v>18.5</v>
      </c>
      <c r="N1218">
        <v>1133</v>
      </c>
      <c r="O1218">
        <v>1.45</v>
      </c>
      <c r="P1218">
        <v>1640</v>
      </c>
      <c r="Q1218">
        <v>118</v>
      </c>
      <c r="R1218">
        <v>50</v>
      </c>
      <c r="S1218">
        <v>58</v>
      </c>
      <c r="T1218">
        <v>311</v>
      </c>
      <c r="U1218">
        <v>5</v>
      </c>
      <c r="V1218">
        <v>138</v>
      </c>
      <c r="W1218">
        <v>8.5000000000000006E-2</v>
      </c>
      <c r="X1218">
        <v>150</v>
      </c>
      <c r="Y1218">
        <v>76</v>
      </c>
      <c r="Z1218">
        <v>161</v>
      </c>
      <c r="AA1218">
        <v>2</v>
      </c>
      <c r="AB1218">
        <v>10</v>
      </c>
      <c r="AC1218" t="s">
        <v>185</v>
      </c>
      <c r="AD1218" t="s">
        <v>198</v>
      </c>
      <c r="AG1218" t="s">
        <v>2056</v>
      </c>
      <c r="AH1218" t="s">
        <v>1405</v>
      </c>
      <c r="AI1218" s="245">
        <v>1049.95</v>
      </c>
      <c r="AJ1218" t="s">
        <v>6911</v>
      </c>
      <c r="AK1218" t="s">
        <v>6912</v>
      </c>
      <c r="AL1218" t="s">
        <v>1601</v>
      </c>
      <c r="AM1218" s="245">
        <v>1250</v>
      </c>
      <c r="AN1218" t="s">
        <v>6913</v>
      </c>
      <c r="AO1218" t="s">
        <v>6914</v>
      </c>
      <c r="AP1218" t="s">
        <v>1549</v>
      </c>
      <c r="AQ1218" s="245">
        <v>450</v>
      </c>
      <c r="AR1218" t="s">
        <v>6915</v>
      </c>
      <c r="AS1218" s="226" t="str">
        <f t="shared" ref="AS1218:AS1266" si="38">IF(LEFT(C1218,1)=" ",RIGHT(C1218,LEN(C1218)-1),C1218)</f>
        <v>Hannibal 96</v>
      </c>
      <c r="AT1218" s="203" t="str">
        <f t="shared" ref="AT1218:AT1281" si="39">_xlfn.CONCAT(B1218,AS1218,D1218,E1218)</f>
        <v xml:space="preserve"> FischerHannibal 96162 Unisex</v>
      </c>
    </row>
    <row r="1219" spans="1:46" ht="79.2">
      <c r="A1219" t="s">
        <v>155</v>
      </c>
      <c r="B1219" t="s">
        <v>317</v>
      </c>
      <c r="C1219" t="s">
        <v>680</v>
      </c>
      <c r="D1219">
        <v>150</v>
      </c>
      <c r="E1219" t="s">
        <v>158</v>
      </c>
      <c r="F1219">
        <v>150</v>
      </c>
      <c r="G1219">
        <v>147.6</v>
      </c>
      <c r="H1219">
        <v>109</v>
      </c>
      <c r="I1219">
        <v>123</v>
      </c>
      <c r="J1219">
        <v>112</v>
      </c>
      <c r="K1219">
        <v>82</v>
      </c>
      <c r="L1219">
        <v>95</v>
      </c>
      <c r="M1219">
        <v>17.3</v>
      </c>
      <c r="N1219">
        <v>900</v>
      </c>
      <c r="O1219">
        <v>1.49</v>
      </c>
      <c r="P1219">
        <v>1337</v>
      </c>
      <c r="Q1219">
        <v>140</v>
      </c>
      <c r="R1219">
        <v>44</v>
      </c>
      <c r="S1219">
        <v>58</v>
      </c>
      <c r="T1219">
        <v>216</v>
      </c>
      <c r="U1219">
        <v>11</v>
      </c>
      <c r="V1219">
        <v>172</v>
      </c>
      <c r="W1219">
        <v>0.188999999999999</v>
      </c>
      <c r="X1219">
        <v>126</v>
      </c>
      <c r="Y1219">
        <v>121</v>
      </c>
      <c r="Z1219">
        <v>90</v>
      </c>
      <c r="AA1219">
        <v>4</v>
      </c>
      <c r="AB1219">
        <v>10.1</v>
      </c>
      <c r="AC1219" t="s">
        <v>185</v>
      </c>
      <c r="AD1219" t="s">
        <v>198</v>
      </c>
      <c r="AG1219" t="s">
        <v>6916</v>
      </c>
      <c r="AH1219" t="s">
        <v>1334</v>
      </c>
      <c r="AI1219" s="245">
        <v>479.96</v>
      </c>
      <c r="AJ1219" t="s">
        <v>6917</v>
      </c>
      <c r="AK1219" t="s">
        <v>6916</v>
      </c>
      <c r="AL1219" t="s">
        <v>1244</v>
      </c>
      <c r="AM1219" s="245">
        <v>479.96</v>
      </c>
      <c r="AN1219" t="s">
        <v>6918</v>
      </c>
      <c r="AO1219" t="s">
        <v>6916</v>
      </c>
      <c r="AP1219" t="s">
        <v>1309</v>
      </c>
      <c r="AQ1219" s="245">
        <v>479.96</v>
      </c>
      <c r="AR1219" t="s">
        <v>6919</v>
      </c>
      <c r="AS1219" s="226" t="str">
        <f t="shared" si="38"/>
        <v>Zero G 85</v>
      </c>
      <c r="AT1219" s="203" t="str">
        <f t="shared" si="39"/>
        <v xml:space="preserve"> BlizzardZero G 85150 Unisex</v>
      </c>
    </row>
    <row r="1220" spans="1:46" ht="79.2">
      <c r="A1220" t="s">
        <v>155</v>
      </c>
      <c r="B1220" t="s">
        <v>218</v>
      </c>
      <c r="C1220" t="s">
        <v>273</v>
      </c>
      <c r="D1220">
        <v>189</v>
      </c>
      <c r="E1220" t="s">
        <v>158</v>
      </c>
      <c r="F1220">
        <v>189</v>
      </c>
      <c r="G1220">
        <v>187.8</v>
      </c>
      <c r="H1220">
        <v>121</v>
      </c>
      <c r="I1220">
        <v>131</v>
      </c>
      <c r="J1220">
        <v>141</v>
      </c>
      <c r="K1220">
        <v>111</v>
      </c>
      <c r="L1220">
        <v>127</v>
      </c>
      <c r="M1220">
        <v>15.3</v>
      </c>
      <c r="N1220">
        <v>2131</v>
      </c>
      <c r="O1220">
        <v>1.07</v>
      </c>
      <c r="P1220">
        <v>2278</v>
      </c>
      <c r="Q1220">
        <v>315</v>
      </c>
      <c r="R1220">
        <v>138</v>
      </c>
      <c r="S1220">
        <v>67</v>
      </c>
      <c r="T1220">
        <v>392</v>
      </c>
      <c r="U1220">
        <v>28</v>
      </c>
      <c r="V1220">
        <v>279</v>
      </c>
      <c r="W1220">
        <v>0.42</v>
      </c>
      <c r="X1220">
        <v>292</v>
      </c>
      <c r="Y1220">
        <v>279</v>
      </c>
      <c r="Z1220">
        <v>100</v>
      </c>
      <c r="AA1220">
        <v>7</v>
      </c>
      <c r="AB1220">
        <v>12.6</v>
      </c>
      <c r="AC1220" t="s">
        <v>169</v>
      </c>
      <c r="AD1220" t="s">
        <v>185</v>
      </c>
      <c r="AG1220" t="s">
        <v>6920</v>
      </c>
      <c r="AH1220" t="s">
        <v>1226</v>
      </c>
      <c r="AI1220" s="245">
        <v>1039</v>
      </c>
      <c r="AJ1220" t="s">
        <v>6921</v>
      </c>
      <c r="AK1220" t="s">
        <v>6920</v>
      </c>
      <c r="AL1220" t="s">
        <v>1858</v>
      </c>
      <c r="AM1220" s="245">
        <v>1039</v>
      </c>
      <c r="AN1220" t="s">
        <v>6922</v>
      </c>
      <c r="AO1220" t="s">
        <v>6920</v>
      </c>
      <c r="AP1220" t="s">
        <v>1271</v>
      </c>
      <c r="AQ1220" s="245">
        <v>1039.2</v>
      </c>
      <c r="AR1220" t="s">
        <v>6923</v>
      </c>
      <c r="AS1220" s="226" t="str">
        <f t="shared" si="38"/>
        <v>Pagoda 112 RP</v>
      </c>
      <c r="AT1220" s="203" t="str">
        <f t="shared" si="39"/>
        <v xml:space="preserve"> DPSPagoda 112 RP189 Unisex</v>
      </c>
    </row>
    <row r="1221" spans="1:46" ht="105.6">
      <c r="A1221" t="s">
        <v>155</v>
      </c>
      <c r="B1221" t="s">
        <v>1395</v>
      </c>
      <c r="C1221" t="s">
        <v>1162</v>
      </c>
      <c r="D1221">
        <v>191</v>
      </c>
      <c r="E1221" t="s">
        <v>158</v>
      </c>
      <c r="F1221">
        <v>191</v>
      </c>
      <c r="G1221">
        <v>188.9</v>
      </c>
      <c r="H1221">
        <v>0</v>
      </c>
      <c r="I1221">
        <v>165</v>
      </c>
      <c r="J1221">
        <v>142</v>
      </c>
      <c r="K1221">
        <v>111</v>
      </c>
      <c r="L1221">
        <v>131</v>
      </c>
      <c r="M1221">
        <v>26.4</v>
      </c>
      <c r="N1221">
        <v>2013</v>
      </c>
      <c r="O1221">
        <v>1.1299999999999999</v>
      </c>
      <c r="P1221">
        <v>2278</v>
      </c>
      <c r="Q1221">
        <v>302</v>
      </c>
      <c r="R1221">
        <v>195</v>
      </c>
      <c r="S1221">
        <v>49</v>
      </c>
      <c r="T1221">
        <v>1077</v>
      </c>
      <c r="U1221">
        <v>17</v>
      </c>
      <c r="V1221">
        <v>812</v>
      </c>
      <c r="W1221">
        <v>0.34100000000000003</v>
      </c>
      <c r="X1221">
        <v>142</v>
      </c>
      <c r="Y1221">
        <v>99</v>
      </c>
      <c r="Z1221">
        <v>935</v>
      </c>
      <c r="AA1221">
        <v>-5</v>
      </c>
      <c r="AB1221">
        <v>13.3</v>
      </c>
      <c r="AC1221" t="s">
        <v>178</v>
      </c>
      <c r="AD1221" t="s">
        <v>185</v>
      </c>
      <c r="AG1221" t="s">
        <v>6924</v>
      </c>
      <c r="AH1221" t="s">
        <v>1191</v>
      </c>
      <c r="AI1221" s="245">
        <v>749.95</v>
      </c>
      <c r="AJ1221" t="s">
        <v>6925</v>
      </c>
      <c r="AK1221" t="s">
        <v>6384</v>
      </c>
      <c r="AL1221" t="s">
        <v>1232</v>
      </c>
      <c r="AM1221" s="245">
        <v>559.95000000000005</v>
      </c>
      <c r="AN1221" t="s">
        <v>6926</v>
      </c>
      <c r="AO1221" t="s">
        <v>3045</v>
      </c>
      <c r="AP1221" t="s">
        <v>1242</v>
      </c>
      <c r="AQ1221" s="245">
        <v>559.99</v>
      </c>
      <c r="AR1221" t="s">
        <v>6927</v>
      </c>
      <c r="AS1221" s="226" t="str">
        <f t="shared" si="38"/>
        <v>Katana V.Werks</v>
      </c>
      <c r="AT1221" s="203" t="str">
        <f t="shared" si="39"/>
        <v xml:space="preserve"> Vï¿½lklKatana V.Werks191 Unisex</v>
      </c>
    </row>
    <row r="1222" spans="1:46" ht="158.4">
      <c r="A1222" t="s">
        <v>155</v>
      </c>
      <c r="B1222" t="s">
        <v>1160</v>
      </c>
      <c r="C1222" t="s">
        <v>846</v>
      </c>
      <c r="D1222">
        <v>153</v>
      </c>
      <c r="E1222" t="s">
        <v>163</v>
      </c>
      <c r="F1222">
        <v>153</v>
      </c>
      <c r="G1222">
        <v>151.69999999999999</v>
      </c>
      <c r="H1222">
        <v>114</v>
      </c>
      <c r="I1222">
        <v>127</v>
      </c>
      <c r="J1222">
        <v>120</v>
      </c>
      <c r="K1222">
        <v>87</v>
      </c>
      <c r="L1222">
        <v>108</v>
      </c>
      <c r="M1222">
        <v>15</v>
      </c>
      <c r="N1222">
        <v>1048</v>
      </c>
      <c r="O1222">
        <v>1.41</v>
      </c>
      <c r="P1222">
        <v>1477</v>
      </c>
      <c r="Q1222">
        <v>128</v>
      </c>
      <c r="R1222">
        <v>53</v>
      </c>
      <c r="S1222">
        <v>43</v>
      </c>
      <c r="T1222">
        <v>257</v>
      </c>
      <c r="U1222">
        <v>6</v>
      </c>
      <c r="V1222">
        <v>120</v>
      </c>
      <c r="W1222">
        <v>0.14099999999999999</v>
      </c>
      <c r="X1222">
        <v>145</v>
      </c>
      <c r="Y1222">
        <v>97</v>
      </c>
      <c r="Z1222">
        <v>111</v>
      </c>
      <c r="AA1222">
        <v>9</v>
      </c>
      <c r="AB1222">
        <v>11</v>
      </c>
      <c r="AC1222" t="s">
        <v>185</v>
      </c>
      <c r="AD1222" t="s">
        <v>198</v>
      </c>
      <c r="AG1222" t="s">
        <v>6928</v>
      </c>
      <c r="AH1222" t="s">
        <v>1194</v>
      </c>
      <c r="AI1222" s="245">
        <v>294.07</v>
      </c>
      <c r="AJ1222" t="s">
        <v>6929</v>
      </c>
      <c r="AK1222" t="s">
        <v>6930</v>
      </c>
      <c r="AL1222" t="s">
        <v>1289</v>
      </c>
      <c r="AM1222" s="245">
        <v>699.95</v>
      </c>
      <c r="AN1222" t="s">
        <v>6931</v>
      </c>
      <c r="AO1222" t="s">
        <v>6932</v>
      </c>
      <c r="AP1222" t="s">
        <v>1181</v>
      </c>
      <c r="AQ1222" s="245">
        <v>954.95</v>
      </c>
      <c r="AR1222" t="s">
        <v>6933</v>
      </c>
      <c r="AS1222" s="226" t="str">
        <f t="shared" si="38"/>
        <v>Talkback 88</v>
      </c>
      <c r="AT1222" s="203" t="str">
        <f t="shared" si="39"/>
        <v>K2Talkback 88153 Women's</v>
      </c>
    </row>
    <row r="1223" spans="1:46" ht="105.6">
      <c r="A1223" t="s">
        <v>155</v>
      </c>
      <c r="B1223" t="s">
        <v>174</v>
      </c>
      <c r="C1223" t="s">
        <v>892</v>
      </c>
      <c r="D1223">
        <v>165</v>
      </c>
      <c r="E1223" t="s">
        <v>158</v>
      </c>
      <c r="F1223">
        <v>165</v>
      </c>
      <c r="G1223">
        <v>164.4</v>
      </c>
      <c r="H1223">
        <v>145</v>
      </c>
      <c r="I1223">
        <v>153</v>
      </c>
      <c r="J1223">
        <v>121</v>
      </c>
      <c r="K1223">
        <v>72</v>
      </c>
      <c r="L1223">
        <v>107</v>
      </c>
      <c r="M1223">
        <v>14.2</v>
      </c>
      <c r="N1223">
        <v>1991</v>
      </c>
      <c r="O1223">
        <v>0.73</v>
      </c>
      <c r="P1223">
        <v>1450</v>
      </c>
      <c r="Q1223">
        <v>222</v>
      </c>
      <c r="R1223">
        <v>146</v>
      </c>
      <c r="S1223">
        <v>36</v>
      </c>
      <c r="T1223">
        <v>138</v>
      </c>
      <c r="U1223">
        <v>4</v>
      </c>
      <c r="V1223">
        <v>51</v>
      </c>
      <c r="W1223">
        <v>0.11</v>
      </c>
      <c r="X1223">
        <v>79</v>
      </c>
      <c r="Y1223">
        <v>31</v>
      </c>
      <c r="Z1223">
        <v>60</v>
      </c>
      <c r="AA1223">
        <v>13</v>
      </c>
      <c r="AB1223">
        <v>11.3</v>
      </c>
      <c r="AC1223" t="s">
        <v>349</v>
      </c>
      <c r="AG1223" t="s">
        <v>3966</v>
      </c>
      <c r="AH1223" t="s">
        <v>3967</v>
      </c>
      <c r="AI1223" s="245">
        <v>382.06</v>
      </c>
      <c r="AJ1223" t="s">
        <v>6934</v>
      </c>
      <c r="AK1223" t="s">
        <v>6935</v>
      </c>
      <c r="AL1223" t="s">
        <v>1204</v>
      </c>
      <c r="AM1223" s="245">
        <v>400.72</v>
      </c>
      <c r="AN1223" t="s">
        <v>6936</v>
      </c>
      <c r="AO1223" t="s">
        <v>6937</v>
      </c>
      <c r="AP1223" t="s">
        <v>1226</v>
      </c>
      <c r="AQ1223" s="245">
        <v>899.95</v>
      </c>
      <c r="AR1223" t="s">
        <v>6938</v>
      </c>
      <c r="AS1223" s="226" t="str">
        <f t="shared" si="38"/>
        <v>S/Max 12</v>
      </c>
      <c r="AT1223" s="203" t="str">
        <f t="shared" si="39"/>
        <v xml:space="preserve"> SalomonS/Max 12165 Unisex</v>
      </c>
    </row>
    <row r="1224" spans="1:46" ht="52.8">
      <c r="A1224" t="s">
        <v>155</v>
      </c>
      <c r="B1224" t="s">
        <v>156</v>
      </c>
      <c r="C1224" t="s">
        <v>611</v>
      </c>
      <c r="D1224">
        <v>188</v>
      </c>
      <c r="E1224" t="s">
        <v>158</v>
      </c>
      <c r="F1224">
        <v>188</v>
      </c>
      <c r="G1224">
        <v>187.1</v>
      </c>
      <c r="H1224">
        <v>139</v>
      </c>
      <c r="I1224">
        <v>154</v>
      </c>
      <c r="J1224">
        <v>129</v>
      </c>
      <c r="K1224">
        <v>93</v>
      </c>
      <c r="L1224">
        <v>114</v>
      </c>
      <c r="M1224">
        <v>20.3</v>
      </c>
      <c r="N1224">
        <v>1964</v>
      </c>
      <c r="O1224">
        <v>0.99</v>
      </c>
      <c r="P1224">
        <v>1952</v>
      </c>
      <c r="Q1224">
        <v>279</v>
      </c>
      <c r="R1224">
        <v>178</v>
      </c>
      <c r="S1224">
        <v>49</v>
      </c>
      <c r="T1224">
        <v>284</v>
      </c>
      <c r="U1224">
        <v>15</v>
      </c>
      <c r="V1224">
        <v>195</v>
      </c>
      <c r="W1224">
        <v>0.30299999999999999</v>
      </c>
      <c r="X1224">
        <v>176</v>
      </c>
      <c r="Y1224">
        <v>150</v>
      </c>
      <c r="Z1224">
        <v>108</v>
      </c>
      <c r="AA1224">
        <v>10</v>
      </c>
      <c r="AB1224">
        <v>9</v>
      </c>
      <c r="AC1224" t="s">
        <v>188</v>
      </c>
      <c r="AG1224" t="s">
        <v>3423</v>
      </c>
      <c r="AH1224" t="s">
        <v>1280</v>
      </c>
      <c r="AI1224" s="245">
        <v>559.92999999999995</v>
      </c>
      <c r="AJ1224" t="s">
        <v>6939</v>
      </c>
      <c r="AK1224" t="s">
        <v>3423</v>
      </c>
      <c r="AL1224" t="s">
        <v>1244</v>
      </c>
      <c r="AM1224" s="245">
        <v>559.96</v>
      </c>
      <c r="AN1224" t="s">
        <v>6940</v>
      </c>
      <c r="AO1224" t="s">
        <v>3423</v>
      </c>
      <c r="AP1224" t="s">
        <v>1224</v>
      </c>
      <c r="AQ1224" s="245">
        <v>559.98</v>
      </c>
      <c r="AR1224" t="s">
        <v>6941</v>
      </c>
      <c r="AS1224" s="226" t="str">
        <f t="shared" si="38"/>
        <v>Maverick 95 Ti</v>
      </c>
      <c r="AT1224" s="203" t="str">
        <f t="shared" si="39"/>
        <v xml:space="preserve"> AtomicMaverick 95 Ti188 Unisex</v>
      </c>
    </row>
    <row r="1225" spans="1:46" ht="52.8">
      <c r="A1225" t="s">
        <v>155</v>
      </c>
      <c r="B1225" t="s">
        <v>1395</v>
      </c>
      <c r="C1225" t="s">
        <v>861</v>
      </c>
      <c r="D1225">
        <v>184</v>
      </c>
      <c r="E1225" t="s">
        <v>158</v>
      </c>
      <c r="F1225">
        <v>184</v>
      </c>
      <c r="G1225">
        <v>183.1</v>
      </c>
      <c r="H1225">
        <v>129</v>
      </c>
      <c r="I1225">
        <v>160</v>
      </c>
      <c r="J1225">
        <v>145</v>
      </c>
      <c r="K1225">
        <v>107</v>
      </c>
      <c r="L1225">
        <v>128</v>
      </c>
      <c r="M1225">
        <v>20.5</v>
      </c>
      <c r="N1225">
        <v>2321</v>
      </c>
      <c r="O1225">
        <v>0.94</v>
      </c>
      <c r="P1225">
        <v>2175</v>
      </c>
      <c r="Q1225">
        <v>234</v>
      </c>
      <c r="R1225">
        <v>157</v>
      </c>
      <c r="S1225">
        <v>50</v>
      </c>
      <c r="T1225">
        <v>304</v>
      </c>
      <c r="U1225">
        <v>19</v>
      </c>
      <c r="V1225">
        <v>241</v>
      </c>
      <c r="W1225">
        <v>0.38799999999999901</v>
      </c>
      <c r="X1225">
        <v>128</v>
      </c>
      <c r="Y1225">
        <v>104</v>
      </c>
      <c r="Z1225">
        <v>176</v>
      </c>
      <c r="AA1225">
        <v>4</v>
      </c>
      <c r="AB1225">
        <v>11.8</v>
      </c>
      <c r="AC1225" t="s">
        <v>169</v>
      </c>
      <c r="AD1225" t="s">
        <v>178</v>
      </c>
      <c r="AG1225" t="s">
        <v>6891</v>
      </c>
      <c r="AH1225" t="s">
        <v>1194</v>
      </c>
      <c r="AI1225" s="245">
        <v>548.46</v>
      </c>
      <c r="AJ1225" t="s">
        <v>6942</v>
      </c>
      <c r="AK1225" t="s">
        <v>6891</v>
      </c>
      <c r="AL1225" t="s">
        <v>1349</v>
      </c>
      <c r="AM1225" s="245">
        <v>550</v>
      </c>
      <c r="AN1225" t="s">
        <v>6943</v>
      </c>
      <c r="AO1225" t="s">
        <v>6944</v>
      </c>
      <c r="AP1225" t="s">
        <v>1240</v>
      </c>
      <c r="AQ1225" s="245">
        <v>599.95000000000005</v>
      </c>
      <c r="AR1225" t="s">
        <v>6945</v>
      </c>
      <c r="AS1225" s="226" t="str">
        <f t="shared" si="38"/>
        <v>Katana 108</v>
      </c>
      <c r="AT1225" s="203" t="str">
        <f t="shared" si="39"/>
        <v xml:space="preserve"> Vï¿½lklKatana 108184 Unisex</v>
      </c>
    </row>
    <row r="1226" spans="1:46" ht="79.2">
      <c r="A1226" t="s">
        <v>155</v>
      </c>
      <c r="B1226" t="s">
        <v>172</v>
      </c>
      <c r="C1226" t="s">
        <v>652</v>
      </c>
      <c r="D1226">
        <v>194</v>
      </c>
      <c r="E1226" t="s">
        <v>158</v>
      </c>
      <c r="F1226">
        <v>194</v>
      </c>
      <c r="G1226">
        <v>193.9</v>
      </c>
      <c r="H1226">
        <v>145</v>
      </c>
      <c r="I1226">
        <v>167</v>
      </c>
      <c r="J1226">
        <v>136</v>
      </c>
      <c r="K1226">
        <v>105</v>
      </c>
      <c r="L1226">
        <v>127</v>
      </c>
      <c r="M1226">
        <v>23.9</v>
      </c>
      <c r="N1226">
        <v>2286</v>
      </c>
      <c r="O1226">
        <v>0.98</v>
      </c>
      <c r="P1226">
        <v>2231</v>
      </c>
      <c r="Q1226">
        <v>293</v>
      </c>
      <c r="R1226">
        <v>126</v>
      </c>
      <c r="S1226">
        <v>51</v>
      </c>
      <c r="T1226">
        <v>304</v>
      </c>
      <c r="U1226">
        <v>12</v>
      </c>
      <c r="V1226">
        <v>185</v>
      </c>
      <c r="W1226">
        <v>0.22600000000000001</v>
      </c>
      <c r="X1226">
        <v>161</v>
      </c>
      <c r="Y1226">
        <v>104</v>
      </c>
      <c r="Z1226">
        <v>142</v>
      </c>
      <c r="AA1226">
        <v>7</v>
      </c>
      <c r="AB1226">
        <v>7.9</v>
      </c>
      <c r="AC1226" t="s">
        <v>188</v>
      </c>
      <c r="AD1226" t="s">
        <v>178</v>
      </c>
      <c r="AG1226" t="s">
        <v>6946</v>
      </c>
      <c r="AH1226" t="s">
        <v>1194</v>
      </c>
      <c r="AI1226" s="245">
        <v>460</v>
      </c>
      <c r="AJ1226" t="s">
        <v>6947</v>
      </c>
      <c r="AK1226" t="s">
        <v>6948</v>
      </c>
      <c r="AL1226" t="s">
        <v>1204</v>
      </c>
      <c r="AM1226" s="245">
        <v>544.98</v>
      </c>
      <c r="AN1226" t="s">
        <v>6949</v>
      </c>
      <c r="AO1226" t="s">
        <v>3733</v>
      </c>
      <c r="AP1226" t="s">
        <v>1464</v>
      </c>
      <c r="AQ1226" s="245">
        <v>631.9</v>
      </c>
      <c r="AR1226" t="s">
        <v>6950</v>
      </c>
      <c r="AS1226" s="226" t="str">
        <f t="shared" si="38"/>
        <v>Blackops Sender Ti</v>
      </c>
      <c r="AT1226" s="203" t="str">
        <f t="shared" si="39"/>
        <v xml:space="preserve"> RossignolBlackops Sender Ti194 Unisex</v>
      </c>
    </row>
    <row r="1227" spans="1:46" ht="66">
      <c r="A1227" t="s">
        <v>155</v>
      </c>
      <c r="B1227" t="s">
        <v>237</v>
      </c>
      <c r="C1227" t="s">
        <v>1156</v>
      </c>
      <c r="D1227">
        <v>190.6</v>
      </c>
      <c r="E1227" t="s">
        <v>158</v>
      </c>
      <c r="F1227">
        <v>190.6</v>
      </c>
      <c r="G1227">
        <v>191</v>
      </c>
      <c r="H1227">
        <v>0</v>
      </c>
      <c r="I1227">
        <v>142</v>
      </c>
      <c r="J1227">
        <v>140</v>
      </c>
      <c r="K1227">
        <v>121</v>
      </c>
      <c r="L1227">
        <v>133</v>
      </c>
      <c r="M1227">
        <v>27.5</v>
      </c>
      <c r="N1227">
        <v>2228</v>
      </c>
      <c r="O1227">
        <v>1.0900000000000001</v>
      </c>
      <c r="P1227">
        <v>2427</v>
      </c>
      <c r="Q1227">
        <v>235</v>
      </c>
      <c r="R1227">
        <v>103</v>
      </c>
      <c r="S1227">
        <v>54</v>
      </c>
      <c r="T1227">
        <v>1010</v>
      </c>
      <c r="U1227">
        <v>51</v>
      </c>
      <c r="V1227">
        <v>900</v>
      </c>
      <c r="W1227">
        <v>0.93700000000000006</v>
      </c>
      <c r="X1227">
        <v>255</v>
      </c>
      <c r="Y1227">
        <v>232</v>
      </c>
      <c r="Z1227">
        <v>755</v>
      </c>
      <c r="AA1227">
        <v>-4</v>
      </c>
      <c r="AB1227">
        <v>5.5</v>
      </c>
      <c r="AC1227" t="s">
        <v>184</v>
      </c>
      <c r="AD1227" t="s">
        <v>169</v>
      </c>
      <c r="AE1227" t="s">
        <v>185</v>
      </c>
      <c r="AG1227" t="s">
        <v>6951</v>
      </c>
      <c r="AH1227" t="s">
        <v>1271</v>
      </c>
      <c r="AI1227" s="245">
        <v>419.91</v>
      </c>
      <c r="AJ1227" t="s">
        <v>6952</v>
      </c>
      <c r="AK1227" t="s">
        <v>6951</v>
      </c>
      <c r="AL1227" t="s">
        <v>1592</v>
      </c>
      <c r="AM1227" s="245">
        <v>668.05</v>
      </c>
      <c r="AN1227" t="s">
        <v>6953</v>
      </c>
      <c r="AO1227" t="s">
        <v>6954</v>
      </c>
      <c r="AP1227" t="s">
        <v>1277</v>
      </c>
      <c r="AQ1227" s="245">
        <v>699</v>
      </c>
      <c r="AR1227" t="s">
        <v>6955</v>
      </c>
      <c r="AS1227" s="226" t="str">
        <f t="shared" si="38"/>
        <v>Nocta</v>
      </c>
      <c r="AT1227" s="203" t="str">
        <f t="shared" si="39"/>
        <v xml:space="preserve"> Black CrowsNocta190.6 Unisex</v>
      </c>
    </row>
    <row r="1228" spans="1:46" ht="118.8">
      <c r="A1228" t="s">
        <v>155</v>
      </c>
      <c r="B1228" t="s">
        <v>172</v>
      </c>
      <c r="C1228" t="s">
        <v>1161</v>
      </c>
      <c r="D1228">
        <v>148</v>
      </c>
      <c r="E1228" t="s">
        <v>158</v>
      </c>
      <c r="F1228">
        <v>148</v>
      </c>
      <c r="G1228">
        <v>147.30000000000001</v>
      </c>
      <c r="H1228">
        <v>119</v>
      </c>
      <c r="I1228">
        <v>129</v>
      </c>
      <c r="J1228">
        <v>105</v>
      </c>
      <c r="K1228">
        <v>75</v>
      </c>
      <c r="L1228">
        <v>99</v>
      </c>
      <c r="M1228">
        <v>14.7</v>
      </c>
      <c r="N1228">
        <v>1161</v>
      </c>
      <c r="O1228">
        <v>1.08</v>
      </c>
      <c r="P1228">
        <v>1252</v>
      </c>
      <c r="Q1228">
        <v>117</v>
      </c>
      <c r="R1228">
        <v>45</v>
      </c>
      <c r="S1228">
        <v>40</v>
      </c>
      <c r="T1228">
        <v>144</v>
      </c>
      <c r="U1228">
        <v>36</v>
      </c>
      <c r="V1228">
        <v>136</v>
      </c>
      <c r="W1228">
        <v>0.89599999999999902</v>
      </c>
      <c r="X1228">
        <v>95</v>
      </c>
      <c r="Y1228">
        <v>90</v>
      </c>
      <c r="Z1228">
        <v>49</v>
      </c>
      <c r="AA1228">
        <v>11</v>
      </c>
      <c r="AB1228">
        <v>5.4</v>
      </c>
      <c r="AC1228" t="s">
        <v>184</v>
      </c>
      <c r="AD1228" t="s">
        <v>185</v>
      </c>
      <c r="AG1228" t="s">
        <v>6956</v>
      </c>
      <c r="AH1228" t="s">
        <v>1204</v>
      </c>
      <c r="AI1228" s="245">
        <v>192.34</v>
      </c>
      <c r="AJ1228" t="s">
        <v>6957</v>
      </c>
      <c r="AK1228" t="s">
        <v>6958</v>
      </c>
      <c r="AL1228" t="s">
        <v>1229</v>
      </c>
      <c r="AM1228" s="245">
        <v>209.99</v>
      </c>
      <c r="AN1228" t="s">
        <v>6959</v>
      </c>
      <c r="AO1228" t="s">
        <v>6960</v>
      </c>
      <c r="AP1228" t="s">
        <v>1627</v>
      </c>
      <c r="AQ1228" s="245">
        <v>269</v>
      </c>
      <c r="AR1228" t="s">
        <v>6961</v>
      </c>
      <c r="AS1228" s="226" t="str">
        <f t="shared" si="38"/>
        <v>Blackops Whizbanger</v>
      </c>
      <c r="AT1228" s="203" t="str">
        <f t="shared" si="39"/>
        <v xml:space="preserve"> RossignolBlackops Whizbanger148 Unisex</v>
      </c>
    </row>
    <row r="1229" spans="1:46">
      <c r="A1229" t="s">
        <v>155</v>
      </c>
      <c r="B1229" t="s">
        <v>1152</v>
      </c>
      <c r="C1229" t="s">
        <v>1154</v>
      </c>
      <c r="D1229">
        <v>188</v>
      </c>
      <c r="E1229" t="s">
        <v>158</v>
      </c>
      <c r="F1229">
        <v>188</v>
      </c>
      <c r="G1229">
        <v>185.7</v>
      </c>
      <c r="H1229">
        <v>0</v>
      </c>
      <c r="I1229">
        <v>136</v>
      </c>
      <c r="J1229">
        <v>137</v>
      </c>
      <c r="K1229">
        <v>117</v>
      </c>
      <c r="L1229">
        <v>128</v>
      </c>
      <c r="M1229">
        <v>25.5</v>
      </c>
      <c r="N1229">
        <v>1998</v>
      </c>
      <c r="O1229">
        <v>1.1399999999999999</v>
      </c>
      <c r="P1229">
        <v>2273</v>
      </c>
      <c r="Q1229">
        <v>275</v>
      </c>
      <c r="R1229">
        <v>106</v>
      </c>
      <c r="S1229">
        <v>61</v>
      </c>
      <c r="T1229">
        <v>989</v>
      </c>
      <c r="U1229">
        <v>51</v>
      </c>
      <c r="V1229">
        <v>868</v>
      </c>
      <c r="W1229">
        <v>0.83699999999999997</v>
      </c>
      <c r="X1229">
        <v>229</v>
      </c>
      <c r="Y1229">
        <v>272</v>
      </c>
      <c r="Z1229">
        <v>760</v>
      </c>
      <c r="AA1229">
        <v>-3</v>
      </c>
      <c r="AB1229">
        <v>6</v>
      </c>
      <c r="AC1229" t="s">
        <v>184</v>
      </c>
      <c r="AD1229" t="s">
        <v>169</v>
      </c>
      <c r="AE1229" t="s">
        <v>185</v>
      </c>
      <c r="AS1229" s="226" t="str">
        <f t="shared" si="38"/>
        <v>Inthayne</v>
      </c>
      <c r="AT1229" s="203" t="str">
        <f t="shared" si="39"/>
        <v>4FRNTInthayne188 Unisex</v>
      </c>
    </row>
    <row r="1230" spans="1:46" ht="39.6">
      <c r="A1230" t="s">
        <v>155</v>
      </c>
      <c r="B1230" t="s">
        <v>227</v>
      </c>
      <c r="C1230" t="s">
        <v>908</v>
      </c>
      <c r="D1230">
        <v>171</v>
      </c>
      <c r="E1230" t="s">
        <v>158</v>
      </c>
      <c r="F1230">
        <v>171</v>
      </c>
      <c r="G1230">
        <v>170.2</v>
      </c>
      <c r="H1230">
        <v>141</v>
      </c>
      <c r="I1230">
        <v>158</v>
      </c>
      <c r="J1230">
        <v>136</v>
      </c>
      <c r="K1230">
        <v>89</v>
      </c>
      <c r="L1230">
        <v>125</v>
      </c>
      <c r="M1230">
        <v>14.6</v>
      </c>
      <c r="N1230">
        <v>2001</v>
      </c>
      <c r="O1230">
        <v>0.89</v>
      </c>
      <c r="P1230">
        <v>1773</v>
      </c>
      <c r="Q1230">
        <v>251</v>
      </c>
      <c r="R1230">
        <v>178</v>
      </c>
      <c r="S1230">
        <v>51</v>
      </c>
      <c r="T1230">
        <v>213</v>
      </c>
      <c r="U1230">
        <v>9</v>
      </c>
      <c r="V1230">
        <v>75</v>
      </c>
      <c r="W1230">
        <v>0.16600000000000001</v>
      </c>
      <c r="X1230">
        <v>65</v>
      </c>
      <c r="Y1230">
        <v>61</v>
      </c>
      <c r="Z1230">
        <v>148</v>
      </c>
      <c r="AA1230">
        <v>7</v>
      </c>
      <c r="AB1230">
        <v>10.5</v>
      </c>
      <c r="AC1230" t="s">
        <v>188</v>
      </c>
      <c r="AS1230" s="226" t="str">
        <f t="shared" si="38"/>
        <v>Le Nomade Ti</v>
      </c>
      <c r="AT1230" s="203" t="str">
        <f t="shared" si="39"/>
        <v xml:space="preserve"> RaccoonLe Nomade Ti171 Unisex</v>
      </c>
    </row>
    <row r="1231" spans="1:46" ht="118.8">
      <c r="A1231" t="s">
        <v>155</v>
      </c>
      <c r="B1231" t="s">
        <v>202</v>
      </c>
      <c r="C1231" t="s">
        <v>493</v>
      </c>
      <c r="D1231">
        <v>192</v>
      </c>
      <c r="E1231" t="s">
        <v>158</v>
      </c>
      <c r="F1231">
        <v>192</v>
      </c>
      <c r="G1231">
        <v>191.8</v>
      </c>
      <c r="H1231">
        <v>123</v>
      </c>
      <c r="I1231">
        <v>152</v>
      </c>
      <c r="J1231">
        <v>137</v>
      </c>
      <c r="K1231">
        <v>107</v>
      </c>
      <c r="L1231">
        <v>127</v>
      </c>
      <c r="M1231">
        <v>20.5</v>
      </c>
      <c r="N1231">
        <v>2330</v>
      </c>
      <c r="O1231">
        <v>0.96</v>
      </c>
      <c r="P1231">
        <v>2226</v>
      </c>
      <c r="Q1231">
        <v>282</v>
      </c>
      <c r="R1231">
        <v>151</v>
      </c>
      <c r="S1231">
        <v>67</v>
      </c>
      <c r="T1231">
        <v>362</v>
      </c>
      <c r="U1231">
        <v>43</v>
      </c>
      <c r="V1231">
        <v>329</v>
      </c>
      <c r="W1231">
        <v>0.64500000000000002</v>
      </c>
      <c r="X1231">
        <v>216</v>
      </c>
      <c r="Y1231">
        <v>181</v>
      </c>
      <c r="Z1231">
        <v>145</v>
      </c>
      <c r="AA1231">
        <v>10</v>
      </c>
      <c r="AB1231">
        <v>8.6999999999999993</v>
      </c>
      <c r="AC1231" t="s">
        <v>169</v>
      </c>
      <c r="AG1231" t="s">
        <v>6962</v>
      </c>
      <c r="AH1231" t="s">
        <v>2214</v>
      </c>
      <c r="AI1231" s="245">
        <v>515.98</v>
      </c>
      <c r="AJ1231" t="s">
        <v>6963</v>
      </c>
      <c r="AK1231" t="s">
        <v>2614</v>
      </c>
      <c r="AL1231" t="s">
        <v>1320</v>
      </c>
      <c r="AM1231" s="245">
        <v>559.96</v>
      </c>
      <c r="AN1231" t="s">
        <v>6964</v>
      </c>
      <c r="AO1231" t="s">
        <v>6965</v>
      </c>
      <c r="AP1231" t="s">
        <v>1248</v>
      </c>
      <c r="AQ1231" s="245">
        <v>559.96</v>
      </c>
      <c r="AR1231" t="s">
        <v>6966</v>
      </c>
      <c r="AS1231" s="226" t="str">
        <f t="shared" si="38"/>
        <v>M-Free 108</v>
      </c>
      <c r="AT1231" s="203" t="str">
        <f t="shared" si="39"/>
        <v xml:space="preserve"> DynastarM-Free 108192 Unisex</v>
      </c>
    </row>
    <row r="1232" spans="1:46" ht="66">
      <c r="A1232" t="s">
        <v>155</v>
      </c>
      <c r="B1232" t="s">
        <v>205</v>
      </c>
      <c r="C1232" t="s">
        <v>899</v>
      </c>
      <c r="D1232">
        <v>145</v>
      </c>
      <c r="E1232" t="s">
        <v>385</v>
      </c>
      <c r="F1232">
        <v>145</v>
      </c>
      <c r="G1232">
        <v>143.69999999999999</v>
      </c>
      <c r="H1232">
        <v>103</v>
      </c>
      <c r="I1232">
        <v>120</v>
      </c>
      <c r="J1232">
        <v>114</v>
      </c>
      <c r="K1232">
        <v>83</v>
      </c>
      <c r="L1232">
        <v>110</v>
      </c>
      <c r="M1232">
        <v>11.9</v>
      </c>
      <c r="N1232">
        <v>1202</v>
      </c>
      <c r="O1232">
        <v>1.1299999999999999</v>
      </c>
      <c r="P1232">
        <v>1355</v>
      </c>
      <c r="Q1232">
        <v>108</v>
      </c>
      <c r="R1232">
        <v>33</v>
      </c>
      <c r="S1232">
        <v>44</v>
      </c>
      <c r="T1232">
        <v>208</v>
      </c>
      <c r="U1232">
        <v>38</v>
      </c>
      <c r="V1232">
        <v>199</v>
      </c>
      <c r="W1232">
        <v>0.85599999999999998</v>
      </c>
      <c r="X1232">
        <v>123</v>
      </c>
      <c r="Y1232">
        <v>110</v>
      </c>
      <c r="Z1232">
        <v>85</v>
      </c>
      <c r="AA1232">
        <v>9</v>
      </c>
      <c r="AB1232">
        <v>3</v>
      </c>
      <c r="AC1232" t="s">
        <v>188</v>
      </c>
      <c r="AD1232" t="s">
        <v>184</v>
      </c>
      <c r="AE1232" t="s">
        <v>185</v>
      </c>
      <c r="AG1232" t="s">
        <v>6967</v>
      </c>
      <c r="AH1232" t="s">
        <v>1409</v>
      </c>
      <c r="AI1232" s="245">
        <v>276.87</v>
      </c>
      <c r="AJ1232" t="s">
        <v>6968</v>
      </c>
      <c r="AK1232" t="s">
        <v>6969</v>
      </c>
      <c r="AL1232" t="s">
        <v>3212</v>
      </c>
      <c r="AM1232" s="245">
        <v>359</v>
      </c>
      <c r="AN1232" t="s">
        <v>6970</v>
      </c>
      <c r="AS1232" s="226" t="str">
        <f t="shared" si="38"/>
        <v>CT 1.0 Jr</v>
      </c>
      <c r="AT1232" s="203" t="str">
        <f t="shared" si="39"/>
        <v xml:space="preserve"> FactionCT 1.0 Jr145 Junior</v>
      </c>
    </row>
    <row r="1233" spans="1:46" ht="158.4">
      <c r="A1233" t="s">
        <v>155</v>
      </c>
      <c r="B1233" t="s">
        <v>1160</v>
      </c>
      <c r="C1233" t="s">
        <v>901</v>
      </c>
      <c r="D1233">
        <v>170</v>
      </c>
      <c r="E1233" t="s">
        <v>158</v>
      </c>
      <c r="F1233">
        <v>170</v>
      </c>
      <c r="G1233">
        <v>170.5</v>
      </c>
      <c r="H1233">
        <v>149</v>
      </c>
      <c r="I1233">
        <v>159</v>
      </c>
      <c r="J1233">
        <v>125</v>
      </c>
      <c r="K1233">
        <v>81</v>
      </c>
      <c r="L1233">
        <v>111</v>
      </c>
      <c r="M1233">
        <v>17</v>
      </c>
      <c r="N1233">
        <v>2122</v>
      </c>
      <c r="O1233">
        <v>0.76</v>
      </c>
      <c r="P1233">
        <v>1613</v>
      </c>
      <c r="Q1233">
        <v>233</v>
      </c>
      <c r="R1233">
        <v>163</v>
      </c>
      <c r="S1233">
        <v>32</v>
      </c>
      <c r="T1233">
        <v>144</v>
      </c>
      <c r="U1233">
        <v>7</v>
      </c>
      <c r="V1233">
        <v>68</v>
      </c>
      <c r="W1233">
        <v>0.217</v>
      </c>
      <c r="X1233">
        <v>74</v>
      </c>
      <c r="Y1233">
        <v>40</v>
      </c>
      <c r="Z1233">
        <v>70</v>
      </c>
      <c r="AA1233">
        <v>9</v>
      </c>
      <c r="AB1233">
        <v>10.7</v>
      </c>
      <c r="AC1233" t="s">
        <v>349</v>
      </c>
      <c r="AD1233" t="s">
        <v>188</v>
      </c>
      <c r="AG1233" t="s">
        <v>6971</v>
      </c>
      <c r="AH1233" t="s">
        <v>1181</v>
      </c>
      <c r="AI1233" s="245">
        <v>599</v>
      </c>
      <c r="AJ1233" t="s">
        <v>6972</v>
      </c>
      <c r="AK1233" t="s">
        <v>6973</v>
      </c>
      <c r="AL1233" t="s">
        <v>1218</v>
      </c>
      <c r="AM1233" s="245">
        <v>799.95</v>
      </c>
      <c r="AN1233" t="s">
        <v>6974</v>
      </c>
      <c r="AO1233" t="s">
        <v>6975</v>
      </c>
      <c r="AP1233" t="s">
        <v>1191</v>
      </c>
      <c r="AQ1233" s="245">
        <v>844.95</v>
      </c>
      <c r="AR1233" t="s">
        <v>6976</v>
      </c>
      <c r="AS1233" s="226" t="str">
        <f t="shared" si="38"/>
        <v>Disruption 82 Ti</v>
      </c>
      <c r="AT1233" s="203" t="str">
        <f t="shared" si="39"/>
        <v>K2Disruption 82 Ti170 Unisex</v>
      </c>
    </row>
    <row r="1234" spans="1:46" ht="66">
      <c r="A1234" t="s">
        <v>155</v>
      </c>
      <c r="B1234" t="s">
        <v>205</v>
      </c>
      <c r="C1234" t="s">
        <v>880</v>
      </c>
      <c r="D1234">
        <v>145</v>
      </c>
      <c r="E1234" t="s">
        <v>385</v>
      </c>
      <c r="F1234">
        <v>145</v>
      </c>
      <c r="G1234">
        <v>143.69999999999999</v>
      </c>
      <c r="H1234">
        <v>103</v>
      </c>
      <c r="I1234">
        <v>120</v>
      </c>
      <c r="J1234">
        <v>114</v>
      </c>
      <c r="K1234">
        <v>83</v>
      </c>
      <c r="L1234">
        <v>110</v>
      </c>
      <c r="M1234">
        <v>11.8</v>
      </c>
      <c r="N1234">
        <v>1178</v>
      </c>
      <c r="O1234">
        <v>1.1499999999999999</v>
      </c>
      <c r="P1234">
        <v>1358</v>
      </c>
      <c r="Q1234">
        <v>104</v>
      </c>
      <c r="R1234">
        <v>36</v>
      </c>
      <c r="S1234">
        <v>43</v>
      </c>
      <c r="T1234">
        <v>208</v>
      </c>
      <c r="U1234">
        <v>38</v>
      </c>
      <c r="V1234">
        <v>201</v>
      </c>
      <c r="W1234">
        <v>0.88400000000000001</v>
      </c>
      <c r="X1234">
        <v>122</v>
      </c>
      <c r="Y1234">
        <v>112</v>
      </c>
      <c r="Z1234">
        <v>86</v>
      </c>
      <c r="AA1234">
        <v>8</v>
      </c>
      <c r="AB1234">
        <v>3</v>
      </c>
      <c r="AC1234" t="s">
        <v>184</v>
      </c>
      <c r="AD1234" t="s">
        <v>185</v>
      </c>
      <c r="AG1234" t="s">
        <v>6967</v>
      </c>
      <c r="AH1234" t="s">
        <v>1409</v>
      </c>
      <c r="AI1234" s="245">
        <v>276.87</v>
      </c>
      <c r="AJ1234" t="s">
        <v>6977</v>
      </c>
      <c r="AK1234" t="s">
        <v>6969</v>
      </c>
      <c r="AL1234" t="s">
        <v>3212</v>
      </c>
      <c r="AM1234" s="245">
        <v>359</v>
      </c>
      <c r="AN1234" t="s">
        <v>6978</v>
      </c>
      <c r="AS1234" s="226" t="str">
        <f t="shared" si="38"/>
        <v>Prodigy 1.0 Jr</v>
      </c>
      <c r="AT1234" s="203" t="str">
        <f t="shared" si="39"/>
        <v xml:space="preserve"> FactionProdigy 1.0 Jr145 Junior</v>
      </c>
    </row>
    <row r="1235" spans="1:46" ht="118.8">
      <c r="A1235" t="s">
        <v>155</v>
      </c>
      <c r="B1235" t="s">
        <v>174</v>
      </c>
      <c r="C1235" t="s">
        <v>892</v>
      </c>
      <c r="D1235">
        <v>170</v>
      </c>
      <c r="E1235" t="s">
        <v>158</v>
      </c>
      <c r="F1235">
        <v>170</v>
      </c>
      <c r="G1235">
        <v>169.4</v>
      </c>
      <c r="H1235">
        <v>151</v>
      </c>
      <c r="I1235">
        <v>159</v>
      </c>
      <c r="J1235">
        <v>121</v>
      </c>
      <c r="K1235">
        <v>72</v>
      </c>
      <c r="L1235">
        <v>106</v>
      </c>
      <c r="M1235">
        <v>15</v>
      </c>
      <c r="N1235">
        <v>2055</v>
      </c>
      <c r="O1235">
        <v>0.73</v>
      </c>
      <c r="P1235">
        <v>1494</v>
      </c>
      <c r="Q1235">
        <v>233</v>
      </c>
      <c r="R1235">
        <v>150</v>
      </c>
      <c r="S1235">
        <v>32</v>
      </c>
      <c r="T1235">
        <v>132</v>
      </c>
      <c r="U1235">
        <v>4</v>
      </c>
      <c r="V1235">
        <v>53</v>
      </c>
      <c r="W1235">
        <v>0.13400000000000001</v>
      </c>
      <c r="X1235">
        <v>73</v>
      </c>
      <c r="Y1235">
        <v>32</v>
      </c>
      <c r="Z1235">
        <v>59</v>
      </c>
      <c r="AA1235">
        <v>13</v>
      </c>
      <c r="AB1235">
        <v>11.6</v>
      </c>
      <c r="AC1235" t="s">
        <v>349</v>
      </c>
      <c r="AG1235" t="s">
        <v>6979</v>
      </c>
      <c r="AH1235" t="s">
        <v>1282</v>
      </c>
      <c r="AI1235" s="245">
        <v>399.99</v>
      </c>
      <c r="AJ1235" t="s">
        <v>6980</v>
      </c>
      <c r="AK1235" t="s">
        <v>3969</v>
      </c>
      <c r="AL1235" t="s">
        <v>1256</v>
      </c>
      <c r="AM1235" s="245">
        <v>453.95</v>
      </c>
      <c r="AN1235" t="s">
        <v>6981</v>
      </c>
      <c r="AO1235" t="s">
        <v>3969</v>
      </c>
      <c r="AP1235" t="s">
        <v>1258</v>
      </c>
      <c r="AQ1235" s="245">
        <v>500.62</v>
      </c>
      <c r="AR1235" t="s">
        <v>6982</v>
      </c>
      <c r="AS1235" s="226" t="str">
        <f t="shared" si="38"/>
        <v>S/Max 12</v>
      </c>
      <c r="AT1235" s="203" t="str">
        <f t="shared" si="39"/>
        <v xml:space="preserve"> SalomonS/Max 12170 Unisex</v>
      </c>
    </row>
    <row r="1236" spans="1:46" ht="118.8">
      <c r="A1236" t="s">
        <v>155</v>
      </c>
      <c r="B1236" t="s">
        <v>172</v>
      </c>
      <c r="C1236" t="s">
        <v>871</v>
      </c>
      <c r="D1236">
        <v>172</v>
      </c>
      <c r="E1236" t="s">
        <v>158</v>
      </c>
      <c r="F1236">
        <v>172</v>
      </c>
      <c r="G1236">
        <v>171.4</v>
      </c>
      <c r="H1236">
        <v>151</v>
      </c>
      <c r="I1236">
        <v>160</v>
      </c>
      <c r="J1236">
        <v>118</v>
      </c>
      <c r="K1236">
        <v>69</v>
      </c>
      <c r="L1236">
        <v>100</v>
      </c>
      <c r="M1236">
        <v>16.399999999999999</v>
      </c>
      <c r="N1236">
        <v>2051</v>
      </c>
      <c r="O1236">
        <v>0.7</v>
      </c>
      <c r="P1236">
        <v>1435</v>
      </c>
      <c r="Q1236">
        <v>263</v>
      </c>
      <c r="R1236">
        <v>145</v>
      </c>
      <c r="S1236">
        <v>39</v>
      </c>
      <c r="T1236">
        <v>147</v>
      </c>
      <c r="U1236">
        <v>4</v>
      </c>
      <c r="V1236">
        <v>52</v>
      </c>
      <c r="W1236">
        <v>0.115</v>
      </c>
      <c r="X1236">
        <v>71</v>
      </c>
      <c r="Y1236">
        <v>44</v>
      </c>
      <c r="Z1236">
        <v>76</v>
      </c>
      <c r="AA1236">
        <v>11</v>
      </c>
      <c r="AB1236">
        <v>11.4</v>
      </c>
      <c r="AC1236" t="s">
        <v>349</v>
      </c>
      <c r="AG1236" t="s">
        <v>4788</v>
      </c>
      <c r="AH1236" t="s">
        <v>2049</v>
      </c>
      <c r="AI1236" s="245">
        <v>1149</v>
      </c>
      <c r="AJ1236" t="s">
        <v>6983</v>
      </c>
      <c r="AK1236" t="s">
        <v>4790</v>
      </c>
      <c r="AL1236" t="s">
        <v>1194</v>
      </c>
      <c r="AM1236" s="245">
        <v>506.05</v>
      </c>
      <c r="AN1236" t="s">
        <v>6984</v>
      </c>
      <c r="AO1236" t="s">
        <v>4792</v>
      </c>
      <c r="AP1236" t="s">
        <v>1282</v>
      </c>
      <c r="AQ1236" s="245">
        <v>479.96</v>
      </c>
      <c r="AR1236" t="s">
        <v>6985</v>
      </c>
      <c r="AS1236" s="226" t="str">
        <f t="shared" si="38"/>
        <v>Hero Elite Long Turn Ti</v>
      </c>
      <c r="AT1236" s="203" t="str">
        <f t="shared" si="39"/>
        <v xml:space="preserve"> RossignolHero Elite Long Turn Ti172 Unisex</v>
      </c>
    </row>
    <row r="1237" spans="1:46" ht="145.19999999999999">
      <c r="A1237" t="s">
        <v>155</v>
      </c>
      <c r="B1237" t="s">
        <v>317</v>
      </c>
      <c r="C1237" t="s">
        <v>881</v>
      </c>
      <c r="D1237">
        <v>174</v>
      </c>
      <c r="E1237" t="s">
        <v>158</v>
      </c>
      <c r="F1237">
        <v>174</v>
      </c>
      <c r="G1237">
        <v>173.1</v>
      </c>
      <c r="H1237">
        <v>156</v>
      </c>
      <c r="I1237">
        <v>160</v>
      </c>
      <c r="J1237">
        <v>125</v>
      </c>
      <c r="K1237">
        <v>75</v>
      </c>
      <c r="L1237">
        <v>106</v>
      </c>
      <c r="M1237">
        <v>15.2</v>
      </c>
      <c r="N1237">
        <v>2192</v>
      </c>
      <c r="O1237">
        <v>0.71</v>
      </c>
      <c r="P1237">
        <v>1555</v>
      </c>
      <c r="Q1237">
        <v>229</v>
      </c>
      <c r="R1237">
        <v>142</v>
      </c>
      <c r="S1237">
        <v>37</v>
      </c>
      <c r="T1237">
        <v>122</v>
      </c>
      <c r="U1237">
        <v>5</v>
      </c>
      <c r="V1237">
        <v>51</v>
      </c>
      <c r="W1237">
        <v>0.14799999999999999</v>
      </c>
      <c r="X1237">
        <v>76</v>
      </c>
      <c r="Y1237">
        <v>52</v>
      </c>
      <c r="Z1237">
        <v>46</v>
      </c>
      <c r="AA1237">
        <v>9</v>
      </c>
      <c r="AB1237">
        <v>11.1</v>
      </c>
      <c r="AC1237" t="s">
        <v>349</v>
      </c>
      <c r="AG1237" t="s">
        <v>6986</v>
      </c>
      <c r="AH1237" t="s">
        <v>1320</v>
      </c>
      <c r="AI1237" s="245">
        <v>879.95</v>
      </c>
      <c r="AJ1237" t="s">
        <v>6987</v>
      </c>
      <c r="AK1237" t="s">
        <v>6988</v>
      </c>
      <c r="AL1237" t="s">
        <v>1271</v>
      </c>
      <c r="AM1237" s="245">
        <v>899.95</v>
      </c>
      <c r="AN1237" t="s">
        <v>6989</v>
      </c>
      <c r="AO1237" t="s">
        <v>6990</v>
      </c>
      <c r="AP1237" t="s">
        <v>1181</v>
      </c>
      <c r="AQ1237" s="245">
        <v>1099.95</v>
      </c>
      <c r="AR1237" t="s">
        <v>6991</v>
      </c>
      <c r="AS1237" s="226" t="str">
        <f t="shared" si="38"/>
        <v>HRC</v>
      </c>
      <c r="AT1237" s="203" t="str">
        <f t="shared" si="39"/>
        <v xml:space="preserve"> BlizzardHRC174 Unisex</v>
      </c>
    </row>
    <row r="1238" spans="1:46" ht="118.8">
      <c r="A1238" t="s">
        <v>155</v>
      </c>
      <c r="B1238" t="s">
        <v>182</v>
      </c>
      <c r="C1238" t="s">
        <v>876</v>
      </c>
      <c r="D1238">
        <v>190</v>
      </c>
      <c r="E1238" t="s">
        <v>158</v>
      </c>
      <c r="F1238">
        <v>190</v>
      </c>
      <c r="G1238">
        <v>188.7</v>
      </c>
      <c r="H1238">
        <v>110</v>
      </c>
      <c r="I1238">
        <v>126</v>
      </c>
      <c r="J1238">
        <v>142</v>
      </c>
      <c r="K1238">
        <v>125</v>
      </c>
      <c r="L1238">
        <v>139</v>
      </c>
      <c r="M1238">
        <v>22.7</v>
      </c>
      <c r="N1238">
        <v>2529</v>
      </c>
      <c r="O1238">
        <v>0.98</v>
      </c>
      <c r="P1238">
        <v>2479</v>
      </c>
      <c r="Q1238">
        <v>266</v>
      </c>
      <c r="R1238">
        <v>133</v>
      </c>
      <c r="S1238">
        <v>56</v>
      </c>
      <c r="T1238">
        <v>410</v>
      </c>
      <c r="U1238">
        <v>58</v>
      </c>
      <c r="V1238">
        <v>375</v>
      </c>
      <c r="W1238">
        <v>1.0429999999999999</v>
      </c>
      <c r="X1238">
        <v>333</v>
      </c>
      <c r="Y1238">
        <v>294</v>
      </c>
      <c r="Z1238">
        <v>77</v>
      </c>
      <c r="AA1238">
        <v>8</v>
      </c>
      <c r="AB1238">
        <v>4.3</v>
      </c>
      <c r="AC1238" t="s">
        <v>184</v>
      </c>
      <c r="AD1238" t="s">
        <v>169</v>
      </c>
      <c r="AG1238" t="s">
        <v>6992</v>
      </c>
      <c r="AH1238" t="s">
        <v>1262</v>
      </c>
      <c r="AI1238" s="245">
        <v>497.9</v>
      </c>
      <c r="AJ1238" t="s">
        <v>6993</v>
      </c>
      <c r="AK1238" t="s">
        <v>6994</v>
      </c>
      <c r="AL1238" t="s">
        <v>1280</v>
      </c>
      <c r="AM1238" s="245">
        <v>599.92999999999995</v>
      </c>
      <c r="AN1238" t="s">
        <v>6995</v>
      </c>
      <c r="AO1238" t="s">
        <v>6996</v>
      </c>
      <c r="AP1238" t="s">
        <v>1627</v>
      </c>
      <c r="AQ1238" s="245">
        <v>674</v>
      </c>
      <c r="AR1238" t="s">
        <v>6997</v>
      </c>
      <c r="AS1238" s="226" t="str">
        <f t="shared" si="38"/>
        <v>Magic J</v>
      </c>
      <c r="AT1238" s="203" t="str">
        <f t="shared" si="39"/>
        <v xml:space="preserve"> ArmadaMagic J190 Unisex</v>
      </c>
    </row>
    <row r="1239" spans="1:46" ht="132">
      <c r="A1239" t="s">
        <v>155</v>
      </c>
      <c r="B1239" t="s">
        <v>1395</v>
      </c>
      <c r="C1239" t="s">
        <v>782</v>
      </c>
      <c r="D1239">
        <v>170</v>
      </c>
      <c r="E1239" t="s">
        <v>158</v>
      </c>
      <c r="F1239">
        <v>170</v>
      </c>
      <c r="G1239">
        <v>169.2</v>
      </c>
      <c r="H1239">
        <v>146</v>
      </c>
      <c r="I1239">
        <v>158</v>
      </c>
      <c r="J1239">
        <v>126</v>
      </c>
      <c r="K1239">
        <v>67</v>
      </c>
      <c r="L1239">
        <v>102</v>
      </c>
      <c r="M1239">
        <v>13.4</v>
      </c>
      <c r="N1239">
        <v>2068</v>
      </c>
      <c r="O1239">
        <v>0.69</v>
      </c>
      <c r="P1239">
        <v>1425</v>
      </c>
      <c r="Q1239">
        <v>229</v>
      </c>
      <c r="R1239">
        <v>150</v>
      </c>
      <c r="S1239">
        <v>43</v>
      </c>
      <c r="T1239">
        <v>174</v>
      </c>
      <c r="U1239">
        <v>6</v>
      </c>
      <c r="V1239">
        <v>61</v>
      </c>
      <c r="W1239">
        <v>0.151</v>
      </c>
      <c r="X1239">
        <v>57</v>
      </c>
      <c r="Y1239">
        <v>50</v>
      </c>
      <c r="Z1239">
        <v>117</v>
      </c>
      <c r="AA1239">
        <v>5</v>
      </c>
      <c r="AB1239">
        <v>11.5</v>
      </c>
      <c r="AC1239" t="s">
        <v>349</v>
      </c>
      <c r="AG1239" t="s">
        <v>5750</v>
      </c>
      <c r="AH1239" t="s">
        <v>5751</v>
      </c>
      <c r="AI1239" s="245">
        <v>818.74</v>
      </c>
      <c r="AJ1239" t="s">
        <v>6998</v>
      </c>
      <c r="AK1239" t="s">
        <v>5755</v>
      </c>
      <c r="AL1239" t="s">
        <v>1337</v>
      </c>
      <c r="AM1239" s="245">
        <v>162</v>
      </c>
      <c r="AN1239" t="s">
        <v>6999</v>
      </c>
      <c r="AO1239" t="s">
        <v>7000</v>
      </c>
      <c r="AP1239" t="s">
        <v>1194</v>
      </c>
      <c r="AQ1239" s="245">
        <v>345.67</v>
      </c>
      <c r="AR1239" t="s">
        <v>7001</v>
      </c>
      <c r="AS1239" s="226" t="str">
        <f t="shared" si="38"/>
        <v>Racetiger SL</v>
      </c>
      <c r="AT1239" s="203" t="str">
        <f t="shared" si="39"/>
        <v xml:space="preserve"> Vï¿½lklRacetiger SL170 Unisex</v>
      </c>
    </row>
    <row r="1240" spans="1:46" ht="92.4">
      <c r="A1240" t="s">
        <v>155</v>
      </c>
      <c r="B1240" t="s">
        <v>174</v>
      </c>
      <c r="C1240" t="s">
        <v>892</v>
      </c>
      <c r="D1240">
        <v>175</v>
      </c>
      <c r="E1240" t="s">
        <v>158</v>
      </c>
      <c r="F1240">
        <v>175</v>
      </c>
      <c r="G1240">
        <v>174.2</v>
      </c>
      <c r="H1240">
        <v>155</v>
      </c>
      <c r="I1240">
        <v>163</v>
      </c>
      <c r="J1240">
        <v>121</v>
      </c>
      <c r="K1240">
        <v>72</v>
      </c>
      <c r="L1240">
        <v>107</v>
      </c>
      <c r="M1240">
        <v>15.8</v>
      </c>
      <c r="N1240">
        <v>2067</v>
      </c>
      <c r="O1240">
        <v>0.74</v>
      </c>
      <c r="P1240">
        <v>1533</v>
      </c>
      <c r="Q1240">
        <v>236</v>
      </c>
      <c r="R1240">
        <v>149</v>
      </c>
      <c r="S1240">
        <v>37</v>
      </c>
      <c r="T1240">
        <v>137</v>
      </c>
      <c r="U1240">
        <v>5</v>
      </c>
      <c r="V1240">
        <v>51</v>
      </c>
      <c r="W1240">
        <v>0.127</v>
      </c>
      <c r="X1240">
        <v>80</v>
      </c>
      <c r="Y1240">
        <v>34</v>
      </c>
      <c r="Z1240">
        <v>58</v>
      </c>
      <c r="AA1240">
        <v>13</v>
      </c>
      <c r="AB1240">
        <v>12</v>
      </c>
      <c r="AC1240" t="s">
        <v>349</v>
      </c>
      <c r="AG1240" t="s">
        <v>7002</v>
      </c>
      <c r="AH1240" t="s">
        <v>1179</v>
      </c>
      <c r="AI1240" s="245">
        <v>1149.99</v>
      </c>
      <c r="AJ1240" t="s">
        <v>7003</v>
      </c>
      <c r="AS1240" s="226" t="str">
        <f t="shared" si="38"/>
        <v>S/Max 12</v>
      </c>
      <c r="AT1240" s="203" t="str">
        <f t="shared" si="39"/>
        <v xml:space="preserve"> SalomonS/Max 12175 Unisex</v>
      </c>
    </row>
    <row r="1241" spans="1:46" ht="66">
      <c r="A1241" t="s">
        <v>155</v>
      </c>
      <c r="B1241" t="s">
        <v>332</v>
      </c>
      <c r="C1241" t="s">
        <v>903</v>
      </c>
      <c r="D1241">
        <v>191</v>
      </c>
      <c r="E1241" t="s">
        <v>158</v>
      </c>
      <c r="F1241">
        <v>191</v>
      </c>
      <c r="G1241">
        <v>189.6</v>
      </c>
      <c r="H1241">
        <v>128</v>
      </c>
      <c r="I1241">
        <v>154</v>
      </c>
      <c r="J1241">
        <v>144</v>
      </c>
      <c r="K1241">
        <v>114</v>
      </c>
      <c r="L1241">
        <v>134</v>
      </c>
      <c r="M1241">
        <v>21.5</v>
      </c>
      <c r="N1241">
        <v>2292</v>
      </c>
      <c r="O1241">
        <v>1.02</v>
      </c>
      <c r="P1241">
        <v>2347</v>
      </c>
      <c r="Q1241">
        <v>283</v>
      </c>
      <c r="R1241">
        <v>142</v>
      </c>
      <c r="S1241">
        <v>67</v>
      </c>
      <c r="T1241">
        <v>338</v>
      </c>
      <c r="U1241">
        <v>42</v>
      </c>
      <c r="V1241">
        <v>275</v>
      </c>
      <c r="W1241">
        <v>0.63200000000000001</v>
      </c>
      <c r="X1241">
        <v>182</v>
      </c>
      <c r="Y1241">
        <v>175</v>
      </c>
      <c r="Z1241">
        <v>156</v>
      </c>
      <c r="AA1241">
        <v>7</v>
      </c>
      <c r="AB1241">
        <v>9.4</v>
      </c>
      <c r="AC1241" t="s">
        <v>169</v>
      </c>
      <c r="AG1241" t="s">
        <v>4171</v>
      </c>
      <c r="AH1241" t="s">
        <v>1421</v>
      </c>
      <c r="AI1241" s="245">
        <v>599.99</v>
      </c>
      <c r="AJ1241" t="s">
        <v>7004</v>
      </c>
      <c r="AK1241" t="s">
        <v>4171</v>
      </c>
      <c r="AL1241" t="s">
        <v>1511</v>
      </c>
      <c r="AM1241" s="245">
        <v>639.99</v>
      </c>
      <c r="AN1241" t="s">
        <v>7005</v>
      </c>
      <c r="AO1241" t="s">
        <v>7006</v>
      </c>
      <c r="AP1241" t="s">
        <v>1320</v>
      </c>
      <c r="AQ1241" s="245">
        <v>639.99</v>
      </c>
      <c r="AR1241" t="s">
        <v>7007</v>
      </c>
      <c r="AS1241" s="226" t="str">
        <f t="shared" si="38"/>
        <v>Enforcer 115 Free</v>
      </c>
      <c r="AT1241" s="203" t="str">
        <f t="shared" si="39"/>
        <v xml:space="preserve"> NordicaEnforcer 115 Free191 Unisex</v>
      </c>
    </row>
    <row r="1242" spans="1:46" ht="66">
      <c r="A1242" t="s">
        <v>155</v>
      </c>
      <c r="B1242" t="s">
        <v>167</v>
      </c>
      <c r="C1242" t="s">
        <v>835</v>
      </c>
      <c r="D1242">
        <v>184</v>
      </c>
      <c r="E1242" t="s">
        <v>158</v>
      </c>
      <c r="F1242">
        <v>184</v>
      </c>
      <c r="G1242">
        <v>182.9</v>
      </c>
      <c r="H1242">
        <v>118</v>
      </c>
      <c r="I1242">
        <v>145</v>
      </c>
      <c r="J1242">
        <v>144</v>
      </c>
      <c r="K1242">
        <v>116</v>
      </c>
      <c r="L1242">
        <v>128</v>
      </c>
      <c r="M1242">
        <v>24.9</v>
      </c>
      <c r="N1242">
        <v>1949</v>
      </c>
      <c r="O1242">
        <v>1.17</v>
      </c>
      <c r="P1242">
        <v>2275</v>
      </c>
      <c r="Q1242">
        <v>335</v>
      </c>
      <c r="R1242">
        <v>162</v>
      </c>
      <c r="S1242">
        <v>63</v>
      </c>
      <c r="T1242">
        <v>288</v>
      </c>
      <c r="U1242">
        <v>22</v>
      </c>
      <c r="V1242">
        <v>359</v>
      </c>
      <c r="W1242">
        <v>0.35499999999999998</v>
      </c>
      <c r="X1242">
        <v>231</v>
      </c>
      <c r="Y1242">
        <v>145</v>
      </c>
      <c r="Z1242">
        <v>57</v>
      </c>
      <c r="AA1242">
        <v>5</v>
      </c>
      <c r="AB1242">
        <v>7.5</v>
      </c>
      <c r="AC1242" t="s">
        <v>169</v>
      </c>
      <c r="AD1242" t="s">
        <v>178</v>
      </c>
      <c r="AE1242" t="s">
        <v>185</v>
      </c>
      <c r="AG1242" t="s">
        <v>7008</v>
      </c>
      <c r="AH1242" t="s">
        <v>1194</v>
      </c>
      <c r="AI1242" s="245">
        <v>450.74</v>
      </c>
      <c r="AJ1242" t="s">
        <v>7009</v>
      </c>
      <c r="AK1242" t="s">
        <v>7010</v>
      </c>
      <c r="AL1242" t="s">
        <v>1277</v>
      </c>
      <c r="AM1242" s="245">
        <v>499</v>
      </c>
      <c r="AN1242" t="s">
        <v>7011</v>
      </c>
      <c r="AO1242" t="s">
        <v>7012</v>
      </c>
      <c r="AP1242" t="s">
        <v>1204</v>
      </c>
      <c r="AQ1242" s="245">
        <v>544.98</v>
      </c>
      <c r="AR1242" t="s">
        <v>7013</v>
      </c>
      <c r="AS1242" s="226" t="str">
        <f t="shared" si="38"/>
        <v>Kore 117</v>
      </c>
      <c r="AT1242" s="203" t="str">
        <f t="shared" si="39"/>
        <v xml:space="preserve"> HeadKore 117184 Unisex</v>
      </c>
    </row>
    <row r="1243" spans="1:46" ht="237.6">
      <c r="A1243" t="s">
        <v>155</v>
      </c>
      <c r="B1243" t="s">
        <v>1395</v>
      </c>
      <c r="C1243" t="s">
        <v>861</v>
      </c>
      <c r="D1243">
        <v>191</v>
      </c>
      <c r="E1243" t="s">
        <v>158</v>
      </c>
      <c r="F1243">
        <v>191</v>
      </c>
      <c r="G1243">
        <v>191.2</v>
      </c>
      <c r="H1243">
        <v>112</v>
      </c>
      <c r="I1243">
        <v>167</v>
      </c>
      <c r="J1243">
        <v>145</v>
      </c>
      <c r="K1243">
        <v>108</v>
      </c>
      <c r="L1243">
        <v>129</v>
      </c>
      <c r="M1243">
        <v>22.7</v>
      </c>
      <c r="N1243">
        <v>2405</v>
      </c>
      <c r="O1243">
        <v>0.94</v>
      </c>
      <c r="P1243">
        <v>2270</v>
      </c>
      <c r="Q1243">
        <v>265</v>
      </c>
      <c r="R1243">
        <v>173</v>
      </c>
      <c r="S1243">
        <v>53</v>
      </c>
      <c r="T1243">
        <v>457</v>
      </c>
      <c r="U1243">
        <v>24</v>
      </c>
      <c r="V1243">
        <v>332</v>
      </c>
      <c r="W1243">
        <v>0.46</v>
      </c>
      <c r="X1243">
        <v>130</v>
      </c>
      <c r="Y1243">
        <v>110</v>
      </c>
      <c r="Z1243">
        <v>327</v>
      </c>
      <c r="AA1243">
        <v>1</v>
      </c>
      <c r="AB1243">
        <v>11.9</v>
      </c>
      <c r="AC1243" t="s">
        <v>169</v>
      </c>
      <c r="AG1243" t="s">
        <v>6924</v>
      </c>
      <c r="AH1243" t="s">
        <v>1191</v>
      </c>
      <c r="AI1243" s="245">
        <v>749.95</v>
      </c>
      <c r="AJ1243" t="s">
        <v>7014</v>
      </c>
      <c r="AK1243" t="s">
        <v>7015</v>
      </c>
      <c r="AL1243" t="s">
        <v>2294</v>
      </c>
      <c r="AM1243" s="245">
        <v>120</v>
      </c>
      <c r="AN1243" t="s">
        <v>7016</v>
      </c>
      <c r="AO1243" t="s">
        <v>7017</v>
      </c>
      <c r="AP1243" t="s">
        <v>2229</v>
      </c>
      <c r="AQ1243" s="245">
        <v>175</v>
      </c>
      <c r="AR1243" t="s">
        <v>7018</v>
      </c>
      <c r="AS1243" s="226" t="str">
        <f t="shared" si="38"/>
        <v>Katana 108</v>
      </c>
      <c r="AT1243" s="203" t="str">
        <f t="shared" si="39"/>
        <v xml:space="preserve"> Vï¿½lklKatana 108191 Unisex</v>
      </c>
    </row>
    <row r="1244" spans="1:46" ht="52.8">
      <c r="A1244" t="s">
        <v>155</v>
      </c>
      <c r="B1244" t="s">
        <v>332</v>
      </c>
      <c r="C1244" t="s">
        <v>730</v>
      </c>
      <c r="D1244">
        <v>186</v>
      </c>
      <c r="E1244" t="s">
        <v>158</v>
      </c>
      <c r="F1244">
        <v>186</v>
      </c>
      <c r="G1244">
        <v>185.3</v>
      </c>
      <c r="H1244">
        <v>136</v>
      </c>
      <c r="I1244">
        <v>154</v>
      </c>
      <c r="J1244">
        <v>134</v>
      </c>
      <c r="K1244">
        <v>99</v>
      </c>
      <c r="L1244">
        <v>120</v>
      </c>
      <c r="M1244">
        <v>18.3</v>
      </c>
      <c r="N1244">
        <v>2347</v>
      </c>
      <c r="O1244">
        <v>0.87</v>
      </c>
      <c r="P1244">
        <v>2048</v>
      </c>
      <c r="Q1244">
        <v>263</v>
      </c>
      <c r="R1244">
        <v>167</v>
      </c>
      <c r="S1244">
        <v>49</v>
      </c>
      <c r="T1244">
        <v>284</v>
      </c>
      <c r="U1244">
        <v>14</v>
      </c>
      <c r="V1244">
        <v>209</v>
      </c>
      <c r="W1244">
        <v>0.29099999999999998</v>
      </c>
      <c r="X1244">
        <v>143</v>
      </c>
      <c r="Y1244">
        <v>169</v>
      </c>
      <c r="Z1244">
        <v>141</v>
      </c>
      <c r="AA1244">
        <v>7</v>
      </c>
      <c r="AB1244">
        <v>8.8000000000000007</v>
      </c>
      <c r="AC1244" t="s">
        <v>188</v>
      </c>
      <c r="AG1244" t="s">
        <v>4577</v>
      </c>
      <c r="AH1244" t="s">
        <v>1421</v>
      </c>
      <c r="AI1244" s="245">
        <v>599.99</v>
      </c>
      <c r="AJ1244" t="s">
        <v>7019</v>
      </c>
      <c r="AK1244" t="s">
        <v>4577</v>
      </c>
      <c r="AL1244" t="s">
        <v>1976</v>
      </c>
      <c r="AM1244" s="245">
        <v>599.99</v>
      </c>
      <c r="AN1244" t="s">
        <v>7020</v>
      </c>
      <c r="AO1244" t="s">
        <v>4577</v>
      </c>
      <c r="AP1244" t="s">
        <v>1224</v>
      </c>
      <c r="AQ1244" s="245">
        <v>599.99</v>
      </c>
      <c r="AR1244" t="s">
        <v>7021</v>
      </c>
      <c r="AS1244" s="226" t="str">
        <f t="shared" si="38"/>
        <v>Enforcer 100</v>
      </c>
      <c r="AT1244" s="203" t="str">
        <f t="shared" si="39"/>
        <v xml:space="preserve"> NordicaEnforcer 100186 Unisex</v>
      </c>
    </row>
    <row r="1245" spans="1:46" ht="132">
      <c r="A1245" t="s">
        <v>155</v>
      </c>
      <c r="B1245" t="s">
        <v>156</v>
      </c>
      <c r="C1245" t="s">
        <v>885</v>
      </c>
      <c r="D1245">
        <v>176</v>
      </c>
      <c r="E1245" t="s">
        <v>158</v>
      </c>
      <c r="F1245">
        <v>176</v>
      </c>
      <c r="G1245">
        <v>175.3</v>
      </c>
      <c r="H1245">
        <v>155</v>
      </c>
      <c r="I1245">
        <v>161</v>
      </c>
      <c r="J1245">
        <v>127</v>
      </c>
      <c r="K1245">
        <v>74</v>
      </c>
      <c r="L1245">
        <v>111</v>
      </c>
      <c r="M1245">
        <v>14.2</v>
      </c>
      <c r="N1245">
        <v>2253</v>
      </c>
      <c r="O1245">
        <v>0.71</v>
      </c>
      <c r="P1245">
        <v>1590</v>
      </c>
      <c r="Q1245">
        <v>248</v>
      </c>
      <c r="R1245">
        <v>146</v>
      </c>
      <c r="S1245">
        <v>37</v>
      </c>
      <c r="T1245">
        <v>143</v>
      </c>
      <c r="U1245">
        <v>5</v>
      </c>
      <c r="V1245">
        <v>57</v>
      </c>
      <c r="W1245">
        <v>0.13900000000000001</v>
      </c>
      <c r="X1245">
        <v>85</v>
      </c>
      <c r="Y1245">
        <v>56</v>
      </c>
      <c r="Z1245">
        <v>59</v>
      </c>
      <c r="AA1245">
        <v>9</v>
      </c>
      <c r="AB1245">
        <v>12.5</v>
      </c>
      <c r="AC1245" t="s">
        <v>349</v>
      </c>
      <c r="AG1245" t="s">
        <v>3221</v>
      </c>
      <c r="AH1245" t="s">
        <v>1179</v>
      </c>
      <c r="AI1245" s="245">
        <v>999.99</v>
      </c>
      <c r="AJ1245" t="s">
        <v>7022</v>
      </c>
      <c r="AK1245" t="s">
        <v>7023</v>
      </c>
      <c r="AL1245" t="s">
        <v>1271</v>
      </c>
      <c r="AM1245" s="245">
        <v>509.99</v>
      </c>
      <c r="AN1245" t="s">
        <v>7024</v>
      </c>
      <c r="AO1245" t="s">
        <v>7025</v>
      </c>
      <c r="AP1245" t="s">
        <v>1229</v>
      </c>
      <c r="AQ1245" s="245">
        <v>299.99</v>
      </c>
      <c r="AR1245" t="s">
        <v>7026</v>
      </c>
      <c r="AS1245" s="226" t="str">
        <f t="shared" si="38"/>
        <v>Redster X9 WB Revo</v>
      </c>
      <c r="AT1245" s="203" t="str">
        <f t="shared" si="39"/>
        <v xml:space="preserve"> AtomicRedster X9 WB Revo176 Unisex</v>
      </c>
    </row>
    <row r="1246" spans="1:46" ht="105.6">
      <c r="A1246" t="s">
        <v>155</v>
      </c>
      <c r="B1246" t="s">
        <v>172</v>
      </c>
      <c r="C1246" t="s">
        <v>905</v>
      </c>
      <c r="D1246">
        <v>173</v>
      </c>
      <c r="E1246" t="s">
        <v>158</v>
      </c>
      <c r="F1246">
        <v>173</v>
      </c>
      <c r="G1246">
        <v>172.3</v>
      </c>
      <c r="H1246">
        <v>156</v>
      </c>
      <c r="I1246">
        <v>164</v>
      </c>
      <c r="J1246">
        <v>113</v>
      </c>
      <c r="K1246">
        <v>69</v>
      </c>
      <c r="L1246">
        <v>97</v>
      </c>
      <c r="M1246">
        <v>18.3</v>
      </c>
      <c r="N1246">
        <v>2175</v>
      </c>
      <c r="O1246">
        <v>0.65</v>
      </c>
      <c r="P1246">
        <v>1413</v>
      </c>
      <c r="Q1246">
        <v>249</v>
      </c>
      <c r="R1246">
        <v>143</v>
      </c>
      <c r="S1246">
        <v>30</v>
      </c>
      <c r="T1246">
        <v>111</v>
      </c>
      <c r="U1246">
        <v>4</v>
      </c>
      <c r="V1246">
        <v>54</v>
      </c>
      <c r="W1246">
        <v>0.14799999999999999</v>
      </c>
      <c r="X1246">
        <v>41</v>
      </c>
      <c r="Y1246">
        <v>45</v>
      </c>
      <c r="Z1246">
        <v>70</v>
      </c>
      <c r="AA1246">
        <v>14</v>
      </c>
      <c r="AB1246">
        <v>8.3000000000000007</v>
      </c>
      <c r="AC1246" t="s">
        <v>349</v>
      </c>
      <c r="AG1246" t="s">
        <v>7027</v>
      </c>
      <c r="AH1246" t="s">
        <v>1204</v>
      </c>
      <c r="AI1246" s="245">
        <v>641.15</v>
      </c>
      <c r="AJ1246" t="s">
        <v>7028</v>
      </c>
      <c r="AK1246" t="s">
        <v>7029</v>
      </c>
      <c r="AL1246" t="s">
        <v>1194</v>
      </c>
      <c r="AM1246" s="245">
        <v>1106.08</v>
      </c>
      <c r="AN1246" t="s">
        <v>7030</v>
      </c>
      <c r="AO1246" t="s">
        <v>7031</v>
      </c>
      <c r="AP1246" t="s">
        <v>1211</v>
      </c>
      <c r="AQ1246" s="245">
        <v>899.95</v>
      </c>
      <c r="AR1246" t="s">
        <v>7032</v>
      </c>
      <c r="AS1246" s="226" t="str">
        <f t="shared" si="38"/>
        <v>Hero Master M17 (R22)</v>
      </c>
      <c r="AT1246" s="203" t="str">
        <f t="shared" si="39"/>
        <v xml:space="preserve"> RossignolHero Master M17 (R22)173 Unisex</v>
      </c>
    </row>
    <row r="1247" spans="1:46" ht="52.8">
      <c r="A1247" t="s">
        <v>155</v>
      </c>
      <c r="B1247" t="s">
        <v>332</v>
      </c>
      <c r="C1247" t="s">
        <v>788</v>
      </c>
      <c r="D1247">
        <v>186</v>
      </c>
      <c r="E1247" t="s">
        <v>158</v>
      </c>
      <c r="F1247">
        <v>186</v>
      </c>
      <c r="G1247">
        <v>185.1</v>
      </c>
      <c r="H1247">
        <v>137</v>
      </c>
      <c r="I1247">
        <v>155</v>
      </c>
      <c r="J1247">
        <v>129</v>
      </c>
      <c r="K1247">
        <v>93</v>
      </c>
      <c r="L1247">
        <v>115</v>
      </c>
      <c r="M1247">
        <v>18.100000000000001</v>
      </c>
      <c r="N1247">
        <v>2299</v>
      </c>
      <c r="O1247">
        <v>0.85</v>
      </c>
      <c r="P1247">
        <v>1945</v>
      </c>
      <c r="Q1247">
        <v>276</v>
      </c>
      <c r="R1247">
        <v>172</v>
      </c>
      <c r="S1247">
        <v>53</v>
      </c>
      <c r="T1247">
        <v>277</v>
      </c>
      <c r="U1247">
        <v>15</v>
      </c>
      <c r="V1247">
        <v>207</v>
      </c>
      <c r="W1247">
        <v>0.28299999999999997</v>
      </c>
      <c r="X1247">
        <v>140</v>
      </c>
      <c r="Y1247">
        <v>162</v>
      </c>
      <c r="Z1247">
        <v>137</v>
      </c>
      <c r="AA1247">
        <v>7</v>
      </c>
      <c r="AB1247">
        <v>8.5</v>
      </c>
      <c r="AC1247" t="s">
        <v>188</v>
      </c>
      <c r="AG1247" t="s">
        <v>6329</v>
      </c>
      <c r="AH1247" t="s">
        <v>1294</v>
      </c>
      <c r="AI1247" s="245">
        <v>559.92999999999995</v>
      </c>
      <c r="AJ1247" t="s">
        <v>7033</v>
      </c>
      <c r="AK1247" t="s">
        <v>6329</v>
      </c>
      <c r="AL1247" t="s">
        <v>1181</v>
      </c>
      <c r="AM1247" s="245">
        <v>559.99</v>
      </c>
      <c r="AN1247" t="s">
        <v>7034</v>
      </c>
      <c r="AO1247" t="s">
        <v>6329</v>
      </c>
      <c r="AP1247" t="s">
        <v>1400</v>
      </c>
      <c r="AQ1247" s="245">
        <v>559.99</v>
      </c>
      <c r="AR1247" t="s">
        <v>7035</v>
      </c>
      <c r="AS1247" s="226" t="str">
        <f t="shared" si="38"/>
        <v>Enforcer 94</v>
      </c>
      <c r="AT1247" s="203" t="str">
        <f t="shared" si="39"/>
        <v xml:space="preserve"> NordicaEnforcer 94186 Unisex</v>
      </c>
    </row>
    <row r="1248" spans="1:46" ht="171.6">
      <c r="A1248" t="s">
        <v>155</v>
      </c>
      <c r="B1248" t="s">
        <v>317</v>
      </c>
      <c r="C1248" t="s">
        <v>754</v>
      </c>
      <c r="D1248">
        <v>185</v>
      </c>
      <c r="E1248" t="s">
        <v>158</v>
      </c>
      <c r="F1248">
        <v>185</v>
      </c>
      <c r="G1248">
        <v>182.9</v>
      </c>
      <c r="H1248">
        <v>138</v>
      </c>
      <c r="I1248">
        <v>157</v>
      </c>
      <c r="J1248">
        <v>136</v>
      </c>
      <c r="K1248">
        <v>106</v>
      </c>
      <c r="L1248">
        <v>123</v>
      </c>
      <c r="M1248">
        <v>25.2</v>
      </c>
      <c r="N1248">
        <v>2372</v>
      </c>
      <c r="O1248">
        <v>0.88</v>
      </c>
      <c r="P1248">
        <v>2096</v>
      </c>
      <c r="Q1248">
        <v>255</v>
      </c>
      <c r="R1248">
        <v>165</v>
      </c>
      <c r="S1248">
        <v>49</v>
      </c>
      <c r="T1248">
        <v>332</v>
      </c>
      <c r="U1248">
        <v>14</v>
      </c>
      <c r="V1248">
        <v>122</v>
      </c>
      <c r="W1248">
        <v>0.28299999999999997</v>
      </c>
      <c r="X1248">
        <v>142</v>
      </c>
      <c r="Y1248">
        <v>117</v>
      </c>
      <c r="Z1248">
        <v>189</v>
      </c>
      <c r="AA1248">
        <v>5</v>
      </c>
      <c r="AB1248">
        <v>11.4</v>
      </c>
      <c r="AC1248" t="s">
        <v>178</v>
      </c>
      <c r="AG1248" t="s">
        <v>7036</v>
      </c>
      <c r="AH1248" t="s">
        <v>1194</v>
      </c>
      <c r="AI1248" s="245">
        <v>483.9</v>
      </c>
      <c r="AJ1248" t="s">
        <v>7037</v>
      </c>
      <c r="AK1248" t="s">
        <v>7038</v>
      </c>
      <c r="AL1248" t="s">
        <v>1181</v>
      </c>
      <c r="AM1248" s="245">
        <v>599</v>
      </c>
      <c r="AN1248" t="s">
        <v>7039</v>
      </c>
      <c r="AO1248" t="s">
        <v>7040</v>
      </c>
      <c r="AP1248" t="s">
        <v>1320</v>
      </c>
      <c r="AQ1248" s="245">
        <v>799.95</v>
      </c>
      <c r="AR1248" t="s">
        <v>7041</v>
      </c>
      <c r="AS1248" s="226" t="str">
        <f t="shared" si="38"/>
        <v>Cochise 106</v>
      </c>
      <c r="AT1248" s="203" t="str">
        <f t="shared" si="39"/>
        <v xml:space="preserve"> BlizzardCochise 106185 Unisex</v>
      </c>
    </row>
    <row r="1249" spans="1:46" ht="132">
      <c r="A1249" t="s">
        <v>155</v>
      </c>
      <c r="B1249" t="s">
        <v>317</v>
      </c>
      <c r="C1249" t="s">
        <v>878</v>
      </c>
      <c r="D1249">
        <v>174</v>
      </c>
      <c r="E1249" t="s">
        <v>158</v>
      </c>
      <c r="F1249">
        <v>174</v>
      </c>
      <c r="G1249">
        <v>172.9</v>
      </c>
      <c r="H1249">
        <v>155</v>
      </c>
      <c r="I1249">
        <v>160</v>
      </c>
      <c r="J1249">
        <v>125</v>
      </c>
      <c r="K1249">
        <v>75</v>
      </c>
      <c r="L1249">
        <v>106</v>
      </c>
      <c r="M1249">
        <v>15.1</v>
      </c>
      <c r="N1249">
        <v>2334</v>
      </c>
      <c r="O1249">
        <v>0.67</v>
      </c>
      <c r="P1249">
        <v>1555</v>
      </c>
      <c r="Q1249">
        <v>223</v>
      </c>
      <c r="R1249">
        <v>143</v>
      </c>
      <c r="S1249">
        <v>40</v>
      </c>
      <c r="T1249">
        <v>127</v>
      </c>
      <c r="U1249">
        <v>6</v>
      </c>
      <c r="V1249">
        <v>56</v>
      </c>
      <c r="W1249">
        <v>0.157</v>
      </c>
      <c r="X1249">
        <v>75</v>
      </c>
      <c r="Y1249">
        <v>52</v>
      </c>
      <c r="Z1249">
        <v>52</v>
      </c>
      <c r="AA1249">
        <v>8</v>
      </c>
      <c r="AB1249">
        <v>11.4</v>
      </c>
      <c r="AC1249" t="s">
        <v>349</v>
      </c>
      <c r="AG1249" t="s">
        <v>7042</v>
      </c>
      <c r="AH1249" t="s">
        <v>4009</v>
      </c>
      <c r="AI1249" s="245">
        <v>899.95</v>
      </c>
      <c r="AJ1249" t="s">
        <v>7043</v>
      </c>
      <c r="AK1249" t="s">
        <v>3621</v>
      </c>
      <c r="AL1249" t="s">
        <v>1294</v>
      </c>
      <c r="AM1249" s="245">
        <v>319.93</v>
      </c>
      <c r="AN1249" t="s">
        <v>7044</v>
      </c>
      <c r="AO1249" t="s">
        <v>7045</v>
      </c>
      <c r="AP1249" t="s">
        <v>1706</v>
      </c>
      <c r="AQ1249" s="245">
        <v>399</v>
      </c>
      <c r="AR1249" t="s">
        <v>7046</v>
      </c>
      <c r="AS1249" s="226" t="str">
        <f t="shared" si="38"/>
        <v>Thunderbird R15 WB</v>
      </c>
      <c r="AT1249" s="203" t="str">
        <f t="shared" si="39"/>
        <v xml:space="preserve"> BlizzardThunderbird R15 WB174 Unisex</v>
      </c>
    </row>
    <row r="1250" spans="1:46" ht="118.8">
      <c r="A1250" t="s">
        <v>155</v>
      </c>
      <c r="B1250" t="s">
        <v>245</v>
      </c>
      <c r="C1250" t="s">
        <v>873</v>
      </c>
      <c r="D1250">
        <v>170</v>
      </c>
      <c r="E1250" t="s">
        <v>158</v>
      </c>
      <c r="F1250">
        <v>170</v>
      </c>
      <c r="G1250">
        <v>169.2</v>
      </c>
      <c r="H1250">
        <v>150</v>
      </c>
      <c r="I1250">
        <v>160</v>
      </c>
      <c r="J1250">
        <v>121</v>
      </c>
      <c r="K1250">
        <v>66</v>
      </c>
      <c r="L1250">
        <v>104</v>
      </c>
      <c r="M1250">
        <v>13.1</v>
      </c>
      <c r="N1250">
        <v>2126</v>
      </c>
      <c r="O1250">
        <v>0.67</v>
      </c>
      <c r="P1250">
        <v>1419</v>
      </c>
      <c r="Q1250">
        <v>246</v>
      </c>
      <c r="R1250">
        <v>166</v>
      </c>
      <c r="S1250">
        <v>36</v>
      </c>
      <c r="T1250">
        <v>137</v>
      </c>
      <c r="U1250">
        <v>4</v>
      </c>
      <c r="V1250">
        <v>50</v>
      </c>
      <c r="W1250">
        <v>0.107</v>
      </c>
      <c r="X1250">
        <v>47</v>
      </c>
      <c r="Y1250">
        <v>43</v>
      </c>
      <c r="Z1250">
        <v>91</v>
      </c>
      <c r="AA1250">
        <v>8</v>
      </c>
      <c r="AB1250">
        <v>13.1</v>
      </c>
      <c r="AC1250" t="s">
        <v>349</v>
      </c>
      <c r="AG1250" t="s">
        <v>7047</v>
      </c>
      <c r="AH1250" t="s">
        <v>3091</v>
      </c>
      <c r="AI1250" s="245">
        <v>329.99</v>
      </c>
      <c r="AJ1250" t="s">
        <v>7048</v>
      </c>
      <c r="AK1250" t="s">
        <v>7049</v>
      </c>
      <c r="AL1250" t="s">
        <v>1191</v>
      </c>
      <c r="AM1250" s="245">
        <v>589.95000000000005</v>
      </c>
      <c r="AN1250" t="s">
        <v>7050</v>
      </c>
      <c r="AO1250" t="s">
        <v>7051</v>
      </c>
      <c r="AP1250" t="s">
        <v>1509</v>
      </c>
      <c r="AQ1250" s="245">
        <v>591.49</v>
      </c>
      <c r="AR1250" t="s">
        <v>7052</v>
      </c>
      <c r="AS1250" s="226" t="str">
        <f t="shared" si="38"/>
        <v>RC4 WC SC</v>
      </c>
      <c r="AT1250" s="203" t="str">
        <f t="shared" si="39"/>
        <v xml:space="preserve"> FischerRC4 WC SC170 Unisex</v>
      </c>
    </row>
    <row r="1251" spans="1:46" ht="79.2">
      <c r="A1251" t="s">
        <v>155</v>
      </c>
      <c r="B1251" t="s">
        <v>164</v>
      </c>
      <c r="C1251" t="s">
        <v>883</v>
      </c>
      <c r="D1251">
        <v>169</v>
      </c>
      <c r="E1251" t="s">
        <v>158</v>
      </c>
      <c r="F1251">
        <v>169</v>
      </c>
      <c r="G1251">
        <v>168.1</v>
      </c>
      <c r="H1251">
        <v>151</v>
      </c>
      <c r="I1251">
        <v>158</v>
      </c>
      <c r="J1251">
        <v>121</v>
      </c>
      <c r="K1251">
        <v>67</v>
      </c>
      <c r="L1251">
        <v>104</v>
      </c>
      <c r="M1251">
        <v>13.3</v>
      </c>
      <c r="N1251">
        <v>2460</v>
      </c>
      <c r="O1251">
        <v>0.57999999999999996</v>
      </c>
      <c r="P1251">
        <v>1418</v>
      </c>
      <c r="Q1251">
        <v>244</v>
      </c>
      <c r="R1251">
        <v>136</v>
      </c>
      <c r="S1251">
        <v>37</v>
      </c>
      <c r="T1251">
        <v>131</v>
      </c>
      <c r="U1251">
        <v>3</v>
      </c>
      <c r="V1251">
        <v>42</v>
      </c>
      <c r="W1251">
        <v>7.3999999999999996E-2</v>
      </c>
      <c r="X1251">
        <v>56</v>
      </c>
      <c r="Y1251">
        <v>41</v>
      </c>
      <c r="Z1251">
        <v>75</v>
      </c>
      <c r="AA1251">
        <v>11</v>
      </c>
      <c r="AB1251">
        <v>8.6</v>
      </c>
      <c r="AC1251" t="s">
        <v>349</v>
      </c>
      <c r="AG1251" t="s">
        <v>7053</v>
      </c>
      <c r="AH1251" t="s">
        <v>1191</v>
      </c>
      <c r="AI1251" s="245">
        <v>659.95</v>
      </c>
      <c r="AJ1251" t="s">
        <v>7054</v>
      </c>
      <c r="AS1251" s="226" t="str">
        <f t="shared" si="38"/>
        <v>Ace SLX</v>
      </c>
      <c r="AT1251" s="203" t="str">
        <f t="shared" si="39"/>
        <v xml:space="preserve"> ElanAce SLX169 Unisex</v>
      </c>
    </row>
    <row r="1252" spans="1:46" ht="66">
      <c r="A1252" t="s">
        <v>155</v>
      </c>
      <c r="B1252" t="s">
        <v>1160</v>
      </c>
      <c r="C1252" t="s">
        <v>906</v>
      </c>
      <c r="D1252">
        <v>177</v>
      </c>
      <c r="E1252" t="s">
        <v>158</v>
      </c>
      <c r="F1252">
        <v>177</v>
      </c>
      <c r="G1252">
        <v>177.5</v>
      </c>
      <c r="H1252">
        <v>154</v>
      </c>
      <c r="I1252">
        <v>165</v>
      </c>
      <c r="J1252">
        <v>123</v>
      </c>
      <c r="K1252">
        <v>78</v>
      </c>
      <c r="L1252">
        <v>109</v>
      </c>
      <c r="M1252">
        <v>17.7</v>
      </c>
      <c r="N1252">
        <v>2146</v>
      </c>
      <c r="O1252">
        <v>0.76</v>
      </c>
      <c r="P1252">
        <v>1624</v>
      </c>
      <c r="Q1252">
        <v>249</v>
      </c>
      <c r="R1252">
        <v>174</v>
      </c>
      <c r="S1252">
        <v>35</v>
      </c>
      <c r="T1252">
        <v>166</v>
      </c>
      <c r="U1252">
        <v>7</v>
      </c>
      <c r="V1252">
        <v>73</v>
      </c>
      <c r="W1252">
        <v>0.20399999999999999</v>
      </c>
      <c r="X1252">
        <v>81</v>
      </c>
      <c r="Y1252">
        <v>43</v>
      </c>
      <c r="Z1252">
        <v>85</v>
      </c>
      <c r="AA1252">
        <v>9</v>
      </c>
      <c r="AB1252">
        <v>10.1</v>
      </c>
      <c r="AC1252" t="s">
        <v>349</v>
      </c>
      <c r="AG1252" t="s">
        <v>7055</v>
      </c>
      <c r="AH1252" t="s">
        <v>1194</v>
      </c>
      <c r="AI1252" s="245">
        <v>453.51</v>
      </c>
      <c r="AJ1252" t="s">
        <v>7056</v>
      </c>
      <c r="AK1252" t="s">
        <v>7055</v>
      </c>
      <c r="AL1252" t="s">
        <v>1218</v>
      </c>
      <c r="AM1252" s="245">
        <v>639.95000000000005</v>
      </c>
      <c r="AN1252" t="s">
        <v>7057</v>
      </c>
      <c r="AO1252" t="s">
        <v>7055</v>
      </c>
      <c r="AP1252" t="s">
        <v>1256</v>
      </c>
      <c r="AQ1252" s="245">
        <v>750.95</v>
      </c>
      <c r="AR1252" t="s">
        <v>7058</v>
      </c>
      <c r="AS1252" s="226" t="str">
        <f t="shared" si="38"/>
        <v>Disruption 78 Ti</v>
      </c>
      <c r="AT1252" s="203" t="str">
        <f t="shared" si="39"/>
        <v>K2Disruption 78 Ti177 Unisex</v>
      </c>
    </row>
    <row r="1253" spans="1:46" ht="118.8">
      <c r="A1253" t="s">
        <v>155</v>
      </c>
      <c r="B1253" t="s">
        <v>1160</v>
      </c>
      <c r="C1253" t="s">
        <v>901</v>
      </c>
      <c r="D1253">
        <v>177</v>
      </c>
      <c r="E1253" t="s">
        <v>158</v>
      </c>
      <c r="F1253">
        <v>177</v>
      </c>
      <c r="G1253">
        <v>177.6</v>
      </c>
      <c r="H1253">
        <v>147</v>
      </c>
      <c r="I1253">
        <v>165</v>
      </c>
      <c r="J1253">
        <v>124</v>
      </c>
      <c r="K1253">
        <v>81</v>
      </c>
      <c r="L1253">
        <v>111</v>
      </c>
      <c r="M1253">
        <v>18.399999999999999</v>
      </c>
      <c r="N1253">
        <v>2209</v>
      </c>
      <c r="O1253">
        <v>0.76</v>
      </c>
      <c r="P1253">
        <v>1678</v>
      </c>
      <c r="Q1253">
        <v>258</v>
      </c>
      <c r="R1253">
        <v>188</v>
      </c>
      <c r="S1253">
        <v>34</v>
      </c>
      <c r="T1253">
        <v>176</v>
      </c>
      <c r="U1253">
        <v>9</v>
      </c>
      <c r="V1253">
        <v>128</v>
      </c>
      <c r="W1253">
        <v>0.253</v>
      </c>
      <c r="X1253">
        <v>81</v>
      </c>
      <c r="Y1253">
        <v>44</v>
      </c>
      <c r="Z1253">
        <v>95</v>
      </c>
      <c r="AA1253">
        <v>8</v>
      </c>
      <c r="AB1253">
        <v>11.5</v>
      </c>
      <c r="AC1253" t="s">
        <v>188</v>
      </c>
      <c r="AG1253" t="s">
        <v>7059</v>
      </c>
      <c r="AH1253" t="s">
        <v>1509</v>
      </c>
      <c r="AI1253" s="245">
        <v>652.99</v>
      </c>
      <c r="AJ1253" t="s">
        <v>7060</v>
      </c>
      <c r="AK1253" t="s">
        <v>7055</v>
      </c>
      <c r="AL1253" t="s">
        <v>1194</v>
      </c>
      <c r="AM1253" s="245">
        <v>453.51</v>
      </c>
      <c r="AN1253" t="s">
        <v>7061</v>
      </c>
      <c r="AO1253" t="s">
        <v>7055</v>
      </c>
      <c r="AP1253" t="s">
        <v>1218</v>
      </c>
      <c r="AQ1253" s="245">
        <v>639.95000000000005</v>
      </c>
      <c r="AR1253" t="s">
        <v>7062</v>
      </c>
      <c r="AS1253" s="226" t="str">
        <f t="shared" si="38"/>
        <v>Disruption 82 Ti</v>
      </c>
      <c r="AT1253" s="203" t="str">
        <f t="shared" si="39"/>
        <v>K2Disruption 82 Ti177 Unisex</v>
      </c>
    </row>
    <row r="1254" spans="1:46" ht="92.4">
      <c r="A1254" t="s">
        <v>155</v>
      </c>
      <c r="B1254" t="s">
        <v>1160</v>
      </c>
      <c r="C1254" t="s">
        <v>907</v>
      </c>
      <c r="D1254">
        <v>175</v>
      </c>
      <c r="E1254" t="s">
        <v>158</v>
      </c>
      <c r="F1254">
        <v>175</v>
      </c>
      <c r="G1254">
        <v>175.6</v>
      </c>
      <c r="H1254">
        <v>160</v>
      </c>
      <c r="I1254">
        <v>165</v>
      </c>
      <c r="J1254">
        <v>118</v>
      </c>
      <c r="K1254">
        <v>73</v>
      </c>
      <c r="L1254">
        <v>103</v>
      </c>
      <c r="M1254">
        <v>18</v>
      </c>
      <c r="N1254">
        <v>2280</v>
      </c>
      <c r="O1254">
        <v>0.67</v>
      </c>
      <c r="P1254">
        <v>1528</v>
      </c>
      <c r="Q1254">
        <v>230</v>
      </c>
      <c r="R1254">
        <v>153</v>
      </c>
      <c r="S1254">
        <v>24</v>
      </c>
      <c r="T1254">
        <v>110</v>
      </c>
      <c r="U1254">
        <v>3</v>
      </c>
      <c r="V1254">
        <v>43</v>
      </c>
      <c r="W1254">
        <v>0.125</v>
      </c>
      <c r="X1254">
        <v>73</v>
      </c>
      <c r="Y1254">
        <v>30</v>
      </c>
      <c r="Z1254">
        <v>37</v>
      </c>
      <c r="AA1254">
        <v>12</v>
      </c>
      <c r="AB1254">
        <v>12.7</v>
      </c>
      <c r="AC1254" t="s">
        <v>349</v>
      </c>
      <c r="AG1254" t="s">
        <v>7063</v>
      </c>
      <c r="AH1254" t="s">
        <v>1194</v>
      </c>
      <c r="AI1254" s="245">
        <v>453.51</v>
      </c>
      <c r="AJ1254" t="s">
        <v>7064</v>
      </c>
      <c r="AK1254" t="s">
        <v>7065</v>
      </c>
      <c r="AL1254" t="s">
        <v>1191</v>
      </c>
      <c r="AM1254" s="245">
        <v>824.95</v>
      </c>
      <c r="AN1254" t="s">
        <v>7066</v>
      </c>
      <c r="AO1254" t="s">
        <v>7067</v>
      </c>
      <c r="AP1254" t="s">
        <v>2594</v>
      </c>
      <c r="AQ1254" s="245">
        <v>899.95</v>
      </c>
      <c r="AR1254" t="s">
        <v>7068</v>
      </c>
      <c r="AS1254" s="226" t="str">
        <f t="shared" si="38"/>
        <v>Disruption Mti</v>
      </c>
      <c r="AT1254" s="203" t="str">
        <f t="shared" si="39"/>
        <v>K2Disruption Mti175 Unisex</v>
      </c>
    </row>
    <row r="1255" spans="1:46" ht="39.6">
      <c r="A1255" t="s">
        <v>155</v>
      </c>
      <c r="B1255" t="s">
        <v>227</v>
      </c>
      <c r="C1255" t="s">
        <v>908</v>
      </c>
      <c r="D1255">
        <v>178</v>
      </c>
      <c r="E1255" t="s">
        <v>158</v>
      </c>
      <c r="F1255">
        <v>178</v>
      </c>
      <c r="G1255">
        <v>177.3</v>
      </c>
      <c r="H1255">
        <v>147</v>
      </c>
      <c r="I1255">
        <v>165</v>
      </c>
      <c r="J1255">
        <v>136</v>
      </c>
      <c r="K1255">
        <v>89</v>
      </c>
      <c r="L1255">
        <v>124</v>
      </c>
      <c r="M1255">
        <v>16</v>
      </c>
      <c r="N1255">
        <v>2110</v>
      </c>
      <c r="O1255">
        <v>0.87</v>
      </c>
      <c r="P1255">
        <v>1838</v>
      </c>
      <c r="Q1255">
        <v>273</v>
      </c>
      <c r="R1255">
        <v>201</v>
      </c>
      <c r="S1255">
        <v>51</v>
      </c>
      <c r="T1255">
        <v>221</v>
      </c>
      <c r="U1255">
        <v>9</v>
      </c>
      <c r="V1255">
        <v>82</v>
      </c>
      <c r="W1255">
        <v>0.183</v>
      </c>
      <c r="X1255">
        <v>62</v>
      </c>
      <c r="Y1255">
        <v>58</v>
      </c>
      <c r="Z1255">
        <v>159</v>
      </c>
      <c r="AA1255">
        <v>8</v>
      </c>
      <c r="AB1255">
        <v>13.2</v>
      </c>
      <c r="AC1255" t="s">
        <v>188</v>
      </c>
      <c r="AS1255" s="226" t="str">
        <f t="shared" si="38"/>
        <v>Le Nomade Ti</v>
      </c>
      <c r="AT1255" s="203" t="str">
        <f t="shared" si="39"/>
        <v xml:space="preserve"> RaccoonLe Nomade Ti178 Unisex</v>
      </c>
    </row>
    <row r="1256" spans="1:46" ht="66">
      <c r="A1256" t="s">
        <v>155</v>
      </c>
      <c r="B1256" t="s">
        <v>332</v>
      </c>
      <c r="C1256" t="s">
        <v>694</v>
      </c>
      <c r="D1256">
        <v>191</v>
      </c>
      <c r="E1256" t="s">
        <v>158</v>
      </c>
      <c r="F1256">
        <v>191</v>
      </c>
      <c r="G1256">
        <v>189.9</v>
      </c>
      <c r="H1256">
        <v>132</v>
      </c>
      <c r="I1256">
        <v>158</v>
      </c>
      <c r="J1256">
        <v>135</v>
      </c>
      <c r="K1256">
        <v>103</v>
      </c>
      <c r="L1256">
        <v>126</v>
      </c>
      <c r="M1256">
        <v>19.8</v>
      </c>
      <c r="N1256">
        <v>2364</v>
      </c>
      <c r="O1256">
        <v>0.92</v>
      </c>
      <c r="P1256">
        <v>2165</v>
      </c>
      <c r="Q1256">
        <v>274</v>
      </c>
      <c r="R1256">
        <v>182</v>
      </c>
      <c r="S1256">
        <v>62</v>
      </c>
      <c r="T1256">
        <v>328</v>
      </c>
      <c r="U1256">
        <v>35</v>
      </c>
      <c r="V1256">
        <v>247</v>
      </c>
      <c r="W1256">
        <v>0.56599999999999995</v>
      </c>
      <c r="X1256">
        <v>167</v>
      </c>
      <c r="Y1256">
        <v>155</v>
      </c>
      <c r="Z1256">
        <v>160</v>
      </c>
      <c r="AA1256">
        <v>10</v>
      </c>
      <c r="AB1256">
        <v>9.1</v>
      </c>
      <c r="AC1256" t="s">
        <v>188</v>
      </c>
      <c r="AD1256" t="s">
        <v>169</v>
      </c>
      <c r="AG1256" t="s">
        <v>4171</v>
      </c>
      <c r="AH1256" t="s">
        <v>1421</v>
      </c>
      <c r="AI1256" s="245">
        <v>599.99</v>
      </c>
      <c r="AJ1256" t="s">
        <v>7069</v>
      </c>
      <c r="AK1256" t="s">
        <v>4171</v>
      </c>
      <c r="AL1256" t="s">
        <v>1511</v>
      </c>
      <c r="AM1256" s="245">
        <v>639.99</v>
      </c>
      <c r="AN1256" t="s">
        <v>7070</v>
      </c>
      <c r="AO1256" t="s">
        <v>7006</v>
      </c>
      <c r="AP1256" t="s">
        <v>1320</v>
      </c>
      <c r="AQ1256" s="245">
        <v>639.99</v>
      </c>
      <c r="AR1256" t="s">
        <v>7071</v>
      </c>
      <c r="AS1256" s="226" t="str">
        <f t="shared" si="38"/>
        <v>Enforcer 104 Free</v>
      </c>
      <c r="AT1256" s="203" t="str">
        <f t="shared" si="39"/>
        <v xml:space="preserve"> NordicaEnforcer 104 Free191 Unisex</v>
      </c>
    </row>
    <row r="1257" spans="1:46" ht="52.8">
      <c r="A1257" t="s">
        <v>155</v>
      </c>
      <c r="B1257" t="s">
        <v>1160</v>
      </c>
      <c r="C1257" t="s">
        <v>522</v>
      </c>
      <c r="D1257">
        <v>191</v>
      </c>
      <c r="E1257" t="s">
        <v>158</v>
      </c>
      <c r="F1257">
        <v>191</v>
      </c>
      <c r="G1257">
        <v>190.8</v>
      </c>
      <c r="H1257">
        <v>143</v>
      </c>
      <c r="I1257">
        <v>163</v>
      </c>
      <c r="J1257">
        <v>137</v>
      </c>
      <c r="K1257">
        <v>98</v>
      </c>
      <c r="L1257">
        <v>122</v>
      </c>
      <c r="M1257">
        <v>20.8</v>
      </c>
      <c r="N1257">
        <v>2358</v>
      </c>
      <c r="O1257">
        <v>0.89</v>
      </c>
      <c r="P1257">
        <v>2098</v>
      </c>
      <c r="Q1257">
        <v>314</v>
      </c>
      <c r="R1257">
        <v>180</v>
      </c>
      <c r="S1257">
        <v>53</v>
      </c>
      <c r="T1257">
        <v>301</v>
      </c>
      <c r="U1257">
        <v>17</v>
      </c>
      <c r="V1257">
        <v>182</v>
      </c>
      <c r="W1257">
        <v>0.32400000000000001</v>
      </c>
      <c r="X1257">
        <v>151</v>
      </c>
      <c r="Y1257">
        <v>123</v>
      </c>
      <c r="Z1257">
        <v>149</v>
      </c>
      <c r="AA1257">
        <v>8</v>
      </c>
      <c r="AB1257">
        <v>12</v>
      </c>
      <c r="AC1257" t="s">
        <v>188</v>
      </c>
      <c r="AG1257" t="s">
        <v>7072</v>
      </c>
      <c r="AH1257" t="s">
        <v>1265</v>
      </c>
      <c r="AI1257" s="245">
        <v>448.8</v>
      </c>
      <c r="AJ1257" t="s">
        <v>7073</v>
      </c>
      <c r="AK1257" t="s">
        <v>7072</v>
      </c>
      <c r="AL1257" t="s">
        <v>1194</v>
      </c>
      <c r="AM1257" s="245">
        <v>450.74</v>
      </c>
      <c r="AN1257" t="s">
        <v>7074</v>
      </c>
      <c r="AO1257" t="s">
        <v>7072</v>
      </c>
      <c r="AP1257" t="s">
        <v>6653</v>
      </c>
      <c r="AQ1257" s="245">
        <v>699.95</v>
      </c>
      <c r="AR1257" t="s">
        <v>7075</v>
      </c>
      <c r="AS1257" s="226" t="str">
        <f t="shared" si="38"/>
        <v>Mindbender 99 Ti</v>
      </c>
      <c r="AT1257" s="203" t="str">
        <f t="shared" si="39"/>
        <v>K2Mindbender 99 Ti191 Unisex</v>
      </c>
    </row>
    <row r="1258" spans="1:46" ht="79.2">
      <c r="A1258" t="s">
        <v>155</v>
      </c>
      <c r="B1258" t="s">
        <v>1160</v>
      </c>
      <c r="C1258" t="s">
        <v>405</v>
      </c>
      <c r="D1258">
        <v>193</v>
      </c>
      <c r="E1258" t="s">
        <v>158</v>
      </c>
      <c r="F1258">
        <v>193</v>
      </c>
      <c r="G1258">
        <v>193</v>
      </c>
      <c r="H1258">
        <v>123</v>
      </c>
      <c r="I1258">
        <v>156</v>
      </c>
      <c r="J1258">
        <v>136</v>
      </c>
      <c r="K1258">
        <v>107</v>
      </c>
      <c r="L1258">
        <v>125</v>
      </c>
      <c r="M1258">
        <v>24.9</v>
      </c>
      <c r="N1258">
        <v>2265</v>
      </c>
      <c r="O1258">
        <v>0.99</v>
      </c>
      <c r="P1258">
        <v>2238</v>
      </c>
      <c r="Q1258">
        <v>280</v>
      </c>
      <c r="R1258">
        <v>196</v>
      </c>
      <c r="S1258">
        <v>48</v>
      </c>
      <c r="T1258">
        <v>399</v>
      </c>
      <c r="U1258">
        <v>24</v>
      </c>
      <c r="V1258">
        <v>302</v>
      </c>
      <c r="W1258">
        <v>0.49099999999999999</v>
      </c>
      <c r="X1258">
        <v>181</v>
      </c>
      <c r="Y1258">
        <v>184</v>
      </c>
      <c r="Z1258">
        <v>217</v>
      </c>
      <c r="AA1258">
        <v>6</v>
      </c>
      <c r="AB1258">
        <v>11</v>
      </c>
      <c r="AC1258" t="s">
        <v>169</v>
      </c>
      <c r="AG1258" t="s">
        <v>7076</v>
      </c>
      <c r="AH1258" t="s">
        <v>1326</v>
      </c>
      <c r="AI1258" s="245">
        <v>1035.95</v>
      </c>
      <c r="AJ1258" t="s">
        <v>7077</v>
      </c>
      <c r="AK1258" t="s">
        <v>7078</v>
      </c>
      <c r="AL1258" t="s">
        <v>1194</v>
      </c>
      <c r="AM1258" s="245">
        <v>423.09</v>
      </c>
      <c r="AN1258" t="s">
        <v>7079</v>
      </c>
      <c r="AO1258" t="s">
        <v>7080</v>
      </c>
      <c r="AP1258" t="s">
        <v>1256</v>
      </c>
      <c r="AQ1258" s="245">
        <v>461.45</v>
      </c>
      <c r="AR1258" t="s">
        <v>7081</v>
      </c>
      <c r="AS1258" s="226" t="str">
        <f t="shared" si="38"/>
        <v>Mindbender 108 Ti</v>
      </c>
      <c r="AT1258" s="203" t="str">
        <f t="shared" si="39"/>
        <v>K2Mindbender 108 Ti193 Unisex</v>
      </c>
    </row>
    <row r="1259" spans="1:46" ht="52.8">
      <c r="A1259" t="s">
        <v>155</v>
      </c>
      <c r="B1259" t="s">
        <v>167</v>
      </c>
      <c r="C1259" t="s">
        <v>786</v>
      </c>
      <c r="D1259">
        <v>191</v>
      </c>
      <c r="E1259" t="s">
        <v>158</v>
      </c>
      <c r="F1259">
        <v>191</v>
      </c>
      <c r="G1259">
        <v>190.2</v>
      </c>
      <c r="H1259">
        <v>138</v>
      </c>
      <c r="I1259">
        <v>153</v>
      </c>
      <c r="J1259">
        <v>142</v>
      </c>
      <c r="K1259">
        <v>112</v>
      </c>
      <c r="L1259">
        <v>128</v>
      </c>
      <c r="M1259">
        <v>23.7</v>
      </c>
      <c r="N1259">
        <v>1946</v>
      </c>
      <c r="O1259">
        <v>1.19</v>
      </c>
      <c r="P1259">
        <v>2317</v>
      </c>
      <c r="Q1259">
        <v>324</v>
      </c>
      <c r="R1259">
        <v>176</v>
      </c>
      <c r="S1259">
        <v>56</v>
      </c>
      <c r="T1259">
        <v>269</v>
      </c>
      <c r="U1259">
        <v>20</v>
      </c>
      <c r="V1259">
        <v>255</v>
      </c>
      <c r="W1259">
        <v>0.36499999999999999</v>
      </c>
      <c r="X1259">
        <v>230</v>
      </c>
      <c r="Y1259">
        <v>142</v>
      </c>
      <c r="Z1259">
        <v>39</v>
      </c>
      <c r="AA1259">
        <v>8</v>
      </c>
      <c r="AB1259">
        <v>9.9</v>
      </c>
      <c r="AC1259" t="s">
        <v>169</v>
      </c>
      <c r="AD1259" t="s">
        <v>178</v>
      </c>
      <c r="AE1259" t="s">
        <v>185</v>
      </c>
      <c r="AG1259" t="s">
        <v>5264</v>
      </c>
      <c r="AH1259" t="s">
        <v>1191</v>
      </c>
      <c r="AI1259" s="245">
        <v>424.95</v>
      </c>
      <c r="AJ1259" t="s">
        <v>7082</v>
      </c>
      <c r="AK1259" t="s">
        <v>7083</v>
      </c>
      <c r="AL1259" t="s">
        <v>1204</v>
      </c>
      <c r="AM1259" s="245">
        <v>544.98</v>
      </c>
      <c r="AN1259" t="s">
        <v>7084</v>
      </c>
      <c r="AO1259" t="s">
        <v>5264</v>
      </c>
      <c r="AP1259" t="s">
        <v>1271</v>
      </c>
      <c r="AQ1259" s="245">
        <v>549.92999999999995</v>
      </c>
      <c r="AR1259" t="s">
        <v>7085</v>
      </c>
      <c r="AS1259" s="226" t="str">
        <f t="shared" si="38"/>
        <v>Kore 111</v>
      </c>
      <c r="AT1259" s="203" t="str">
        <f t="shared" si="39"/>
        <v xml:space="preserve"> HeadKore 111191 Unisex</v>
      </c>
    </row>
    <row r="1260" spans="1:46" ht="105.6">
      <c r="A1260" t="s">
        <v>155</v>
      </c>
      <c r="B1260" t="s">
        <v>172</v>
      </c>
      <c r="C1260" t="s">
        <v>909</v>
      </c>
      <c r="D1260">
        <v>179</v>
      </c>
      <c r="E1260" t="s">
        <v>158</v>
      </c>
      <c r="F1260">
        <v>179</v>
      </c>
      <c r="G1260">
        <v>177.8</v>
      </c>
      <c r="H1260">
        <v>160</v>
      </c>
      <c r="I1260">
        <v>171</v>
      </c>
      <c r="J1260">
        <v>114</v>
      </c>
      <c r="K1260">
        <v>69</v>
      </c>
      <c r="L1260">
        <v>96</v>
      </c>
      <c r="M1260">
        <v>20.2</v>
      </c>
      <c r="N1260">
        <v>2241</v>
      </c>
      <c r="O1260">
        <v>0.65</v>
      </c>
      <c r="P1260">
        <v>1447</v>
      </c>
      <c r="Q1260">
        <v>271</v>
      </c>
      <c r="R1260">
        <v>164</v>
      </c>
      <c r="S1260">
        <v>31</v>
      </c>
      <c r="T1260">
        <v>121</v>
      </c>
      <c r="U1260">
        <v>5</v>
      </c>
      <c r="V1260">
        <v>58</v>
      </c>
      <c r="W1260">
        <v>0.156</v>
      </c>
      <c r="X1260">
        <v>30</v>
      </c>
      <c r="Y1260">
        <v>35</v>
      </c>
      <c r="Z1260">
        <v>91</v>
      </c>
      <c r="AA1260">
        <v>10</v>
      </c>
      <c r="AB1260">
        <v>8.8000000000000007</v>
      </c>
      <c r="AC1260" t="s">
        <v>349</v>
      </c>
      <c r="AG1260" t="s">
        <v>7086</v>
      </c>
      <c r="AH1260" t="s">
        <v>1204</v>
      </c>
      <c r="AI1260" s="245">
        <v>641.15</v>
      </c>
      <c r="AJ1260" t="s">
        <v>7087</v>
      </c>
      <c r="AK1260" t="s">
        <v>7029</v>
      </c>
      <c r="AL1260" t="s">
        <v>1194</v>
      </c>
      <c r="AM1260" s="245">
        <v>1106.08</v>
      </c>
      <c r="AN1260" t="s">
        <v>7088</v>
      </c>
      <c r="AO1260" t="s">
        <v>7089</v>
      </c>
      <c r="AP1260" t="s">
        <v>1211</v>
      </c>
      <c r="AQ1260" s="245">
        <v>899.95</v>
      </c>
      <c r="AR1260" t="s">
        <v>7090</v>
      </c>
      <c r="AS1260" s="226" t="str">
        <f t="shared" si="38"/>
        <v>Hero Master M19 (R22)</v>
      </c>
      <c r="AT1260" s="203" t="str">
        <f t="shared" si="39"/>
        <v xml:space="preserve"> RossignolHero Master M19 (R22)179 Unisex</v>
      </c>
    </row>
    <row r="1261" spans="1:46" ht="66">
      <c r="A1261" t="s">
        <v>155</v>
      </c>
      <c r="B1261" t="s">
        <v>317</v>
      </c>
      <c r="C1261" t="s">
        <v>684</v>
      </c>
      <c r="D1261">
        <v>189</v>
      </c>
      <c r="E1261" t="s">
        <v>158</v>
      </c>
      <c r="F1261">
        <v>189</v>
      </c>
      <c r="G1261">
        <v>188.3</v>
      </c>
      <c r="H1261">
        <v>131</v>
      </c>
      <c r="I1261">
        <v>137</v>
      </c>
      <c r="J1261">
        <v>148</v>
      </c>
      <c r="K1261">
        <v>127</v>
      </c>
      <c r="L1261">
        <v>135</v>
      </c>
      <c r="M1261">
        <v>30.2</v>
      </c>
      <c r="N1261">
        <v>2214</v>
      </c>
      <c r="O1261">
        <v>1.1200000000000001</v>
      </c>
      <c r="P1261">
        <v>2489</v>
      </c>
      <c r="Q1261">
        <v>298</v>
      </c>
      <c r="R1261">
        <v>163</v>
      </c>
      <c r="S1261">
        <v>53</v>
      </c>
      <c r="T1261">
        <v>445</v>
      </c>
      <c r="U1261">
        <v>14</v>
      </c>
      <c r="V1261">
        <v>131</v>
      </c>
      <c r="W1261">
        <v>0.26700000000000002</v>
      </c>
      <c r="X1261">
        <v>273</v>
      </c>
      <c r="Y1261">
        <v>242</v>
      </c>
      <c r="Z1261">
        <v>172</v>
      </c>
      <c r="AA1261">
        <v>3</v>
      </c>
      <c r="AB1261">
        <v>10.7</v>
      </c>
      <c r="AC1261" t="s">
        <v>178</v>
      </c>
      <c r="AD1261" t="s">
        <v>185</v>
      </c>
      <c r="AG1261" t="s">
        <v>7091</v>
      </c>
      <c r="AH1261" t="s">
        <v>1309</v>
      </c>
      <c r="AI1261" s="245">
        <v>639.96</v>
      </c>
      <c r="AJ1261" t="s">
        <v>7092</v>
      </c>
      <c r="AK1261" t="s">
        <v>7091</v>
      </c>
      <c r="AL1261" t="s">
        <v>1244</v>
      </c>
      <c r="AM1261" s="245">
        <v>639.96</v>
      </c>
      <c r="AN1261" t="s">
        <v>7093</v>
      </c>
      <c r="AO1261" t="s">
        <v>7091</v>
      </c>
      <c r="AP1261" t="s">
        <v>1421</v>
      </c>
      <c r="AQ1261" s="245">
        <v>799.95</v>
      </c>
      <c r="AR1261" t="s">
        <v>7094</v>
      </c>
      <c r="AS1261" s="226" t="str">
        <f t="shared" si="38"/>
        <v>Spur</v>
      </c>
      <c r="AT1261" s="203" t="str">
        <f t="shared" si="39"/>
        <v xml:space="preserve"> BlizzardSpur189 Unisex</v>
      </c>
    </row>
    <row r="1262" spans="1:46" ht="52.8">
      <c r="A1262" t="s">
        <v>155</v>
      </c>
      <c r="B1262" t="s">
        <v>1395</v>
      </c>
      <c r="C1262" t="s">
        <v>814</v>
      </c>
      <c r="D1262">
        <v>191</v>
      </c>
      <c r="E1262" t="s">
        <v>158</v>
      </c>
      <c r="F1262">
        <v>191</v>
      </c>
      <c r="G1262">
        <v>191.5</v>
      </c>
      <c r="H1262">
        <v>150</v>
      </c>
      <c r="I1262">
        <v>169</v>
      </c>
      <c r="J1262">
        <v>139</v>
      </c>
      <c r="K1262">
        <v>101</v>
      </c>
      <c r="L1262">
        <v>122</v>
      </c>
      <c r="M1262">
        <v>23.4</v>
      </c>
      <c r="N1262">
        <v>2410</v>
      </c>
      <c r="O1262">
        <v>0.89</v>
      </c>
      <c r="P1262">
        <v>2155</v>
      </c>
      <c r="Q1262">
        <v>263</v>
      </c>
      <c r="R1262">
        <v>184</v>
      </c>
      <c r="S1262">
        <v>44</v>
      </c>
      <c r="T1262">
        <v>251</v>
      </c>
      <c r="U1262">
        <v>15</v>
      </c>
      <c r="V1262">
        <v>163</v>
      </c>
      <c r="W1262">
        <v>0.34299999999999897</v>
      </c>
      <c r="X1262">
        <v>130</v>
      </c>
      <c r="Y1262">
        <v>98</v>
      </c>
      <c r="Z1262">
        <v>122</v>
      </c>
      <c r="AA1262">
        <v>5</v>
      </c>
      <c r="AB1262">
        <v>11.8</v>
      </c>
      <c r="AC1262" t="s">
        <v>188</v>
      </c>
      <c r="AD1262" t="s">
        <v>178</v>
      </c>
      <c r="AG1262" t="s">
        <v>6857</v>
      </c>
      <c r="AH1262" t="s">
        <v>1592</v>
      </c>
      <c r="AI1262" s="245">
        <v>510.83</v>
      </c>
      <c r="AJ1262" t="s">
        <v>7095</v>
      </c>
      <c r="AK1262" t="s">
        <v>7096</v>
      </c>
      <c r="AL1262" t="s">
        <v>1588</v>
      </c>
      <c r="AM1262" s="245">
        <v>645</v>
      </c>
      <c r="AN1262" t="s">
        <v>7097</v>
      </c>
      <c r="AO1262" t="s">
        <v>7098</v>
      </c>
      <c r="AP1262" t="s">
        <v>1240</v>
      </c>
      <c r="AQ1262" s="245">
        <v>679.95</v>
      </c>
      <c r="AR1262" t="s">
        <v>7099</v>
      </c>
      <c r="AS1262" s="226" t="str">
        <f t="shared" si="38"/>
        <v>Mantra 102</v>
      </c>
      <c r="AT1262" s="203" t="str">
        <f t="shared" si="39"/>
        <v xml:space="preserve"> Vï¿½lklMantra 102191 Unisex</v>
      </c>
    </row>
    <row r="1263" spans="1:46" ht="145.19999999999999">
      <c r="A1263" t="s">
        <v>155</v>
      </c>
      <c r="B1263" t="s">
        <v>1160</v>
      </c>
      <c r="C1263" t="s">
        <v>901</v>
      </c>
      <c r="D1263">
        <v>184</v>
      </c>
      <c r="E1263" t="s">
        <v>158</v>
      </c>
      <c r="F1263">
        <v>184</v>
      </c>
      <c r="G1263">
        <v>184.5</v>
      </c>
      <c r="H1263">
        <v>152</v>
      </c>
      <c r="I1263">
        <v>173</v>
      </c>
      <c r="J1263">
        <v>125</v>
      </c>
      <c r="K1263">
        <v>81</v>
      </c>
      <c r="L1263">
        <v>111</v>
      </c>
      <c r="M1263">
        <v>20.3</v>
      </c>
      <c r="N1263">
        <v>2322</v>
      </c>
      <c r="O1263">
        <v>0.75</v>
      </c>
      <c r="P1263">
        <v>1743</v>
      </c>
      <c r="Q1263">
        <v>301</v>
      </c>
      <c r="R1263">
        <v>203</v>
      </c>
      <c r="S1263">
        <v>35</v>
      </c>
      <c r="T1263">
        <v>160</v>
      </c>
      <c r="U1263">
        <v>8</v>
      </c>
      <c r="V1263">
        <v>162</v>
      </c>
      <c r="W1263">
        <v>0.23300000000000001</v>
      </c>
      <c r="X1263">
        <v>74</v>
      </c>
      <c r="Y1263">
        <v>40</v>
      </c>
      <c r="Z1263">
        <v>86</v>
      </c>
      <c r="AA1263">
        <v>10</v>
      </c>
      <c r="AB1263">
        <v>11.4</v>
      </c>
      <c r="AC1263" t="s">
        <v>188</v>
      </c>
      <c r="AG1263" t="s">
        <v>7100</v>
      </c>
      <c r="AH1263" t="s">
        <v>1181</v>
      </c>
      <c r="AI1263" s="245">
        <v>599</v>
      </c>
      <c r="AJ1263" t="s">
        <v>7101</v>
      </c>
      <c r="AK1263" t="s">
        <v>7102</v>
      </c>
      <c r="AL1263" t="s">
        <v>1191</v>
      </c>
      <c r="AM1263" s="245">
        <v>844.95</v>
      </c>
      <c r="AN1263" t="s">
        <v>7103</v>
      </c>
      <c r="AO1263" t="s">
        <v>7104</v>
      </c>
      <c r="AP1263" t="s">
        <v>1232</v>
      </c>
      <c r="AQ1263" s="245">
        <v>899.95</v>
      </c>
      <c r="AR1263" t="s">
        <v>7105</v>
      </c>
      <c r="AS1263" s="226" t="str">
        <f t="shared" si="38"/>
        <v>Disruption 82 Ti</v>
      </c>
      <c r="AT1263" s="203" t="str">
        <f t="shared" si="39"/>
        <v>K2Disruption 82 Ti184 Unisex</v>
      </c>
    </row>
    <row r="1264" spans="1:46" ht="198">
      <c r="A1264" t="s">
        <v>155</v>
      </c>
      <c r="B1264" t="s">
        <v>172</v>
      </c>
      <c r="C1264" t="s">
        <v>911</v>
      </c>
      <c r="D1264">
        <v>183</v>
      </c>
      <c r="E1264" t="s">
        <v>158</v>
      </c>
      <c r="F1264">
        <v>183</v>
      </c>
      <c r="G1264">
        <v>183.1</v>
      </c>
      <c r="H1264">
        <v>166</v>
      </c>
      <c r="I1264">
        <v>175</v>
      </c>
      <c r="J1264">
        <v>114</v>
      </c>
      <c r="K1264">
        <v>70</v>
      </c>
      <c r="L1264">
        <v>95</v>
      </c>
      <c r="M1264">
        <v>22.8</v>
      </c>
      <c r="N1264">
        <v>2376</v>
      </c>
      <c r="O1264">
        <v>0.63</v>
      </c>
      <c r="P1264">
        <v>1500</v>
      </c>
      <c r="Q1264">
        <v>306</v>
      </c>
      <c r="R1264">
        <v>173</v>
      </c>
      <c r="S1264">
        <v>31</v>
      </c>
      <c r="T1264">
        <v>113</v>
      </c>
      <c r="U1264">
        <v>5</v>
      </c>
      <c r="V1264">
        <v>53</v>
      </c>
      <c r="W1264">
        <v>0.153</v>
      </c>
      <c r="X1264">
        <v>32</v>
      </c>
      <c r="Y1264">
        <v>48</v>
      </c>
      <c r="Z1264">
        <v>82</v>
      </c>
      <c r="AA1264">
        <v>12</v>
      </c>
      <c r="AB1264">
        <v>8.9</v>
      </c>
      <c r="AC1264" t="s">
        <v>349</v>
      </c>
      <c r="AG1264" t="s">
        <v>7106</v>
      </c>
      <c r="AH1264" t="s">
        <v>2229</v>
      </c>
      <c r="AI1264" s="245">
        <v>100</v>
      </c>
      <c r="AJ1264" t="s">
        <v>7107</v>
      </c>
      <c r="AK1264" t="s">
        <v>7108</v>
      </c>
      <c r="AL1264" t="s">
        <v>1277</v>
      </c>
      <c r="AM1264" s="245">
        <v>120</v>
      </c>
      <c r="AN1264" t="s">
        <v>7109</v>
      </c>
      <c r="AS1264" s="226" t="str">
        <f t="shared" si="38"/>
        <v>Hero Master M21 (R22)</v>
      </c>
      <c r="AT1264" s="203" t="str">
        <f t="shared" si="39"/>
        <v xml:space="preserve"> RossignolHero Master M21 (R22)183 Unisex</v>
      </c>
    </row>
    <row r="1265" spans="1:46" ht="66">
      <c r="A1265" t="s">
        <v>155</v>
      </c>
      <c r="B1265" t="s">
        <v>317</v>
      </c>
      <c r="C1265" t="s">
        <v>754</v>
      </c>
      <c r="D1265">
        <v>192</v>
      </c>
      <c r="E1265" t="s">
        <v>158</v>
      </c>
      <c r="F1265">
        <v>192</v>
      </c>
      <c r="G1265">
        <v>190.3</v>
      </c>
      <c r="H1265">
        <v>144</v>
      </c>
      <c r="I1265">
        <v>164</v>
      </c>
      <c r="J1265">
        <v>136</v>
      </c>
      <c r="K1265">
        <v>106</v>
      </c>
      <c r="L1265">
        <v>123</v>
      </c>
      <c r="M1265">
        <v>26.9</v>
      </c>
      <c r="N1265">
        <v>2576</v>
      </c>
      <c r="O1265">
        <v>0.84</v>
      </c>
      <c r="P1265">
        <v>2176</v>
      </c>
      <c r="Q1265">
        <v>296</v>
      </c>
      <c r="R1265">
        <v>195</v>
      </c>
      <c r="S1265">
        <v>52</v>
      </c>
      <c r="T1265">
        <v>345</v>
      </c>
      <c r="U1265">
        <v>13</v>
      </c>
      <c r="V1265">
        <v>115</v>
      </c>
      <c r="W1265">
        <v>0.255</v>
      </c>
      <c r="X1265">
        <v>148</v>
      </c>
      <c r="Y1265">
        <v>112</v>
      </c>
      <c r="Z1265">
        <v>197</v>
      </c>
      <c r="AA1265">
        <v>7</v>
      </c>
      <c r="AB1265">
        <v>11</v>
      </c>
      <c r="AC1265" t="s">
        <v>178</v>
      </c>
      <c r="AG1265" t="s">
        <v>7110</v>
      </c>
      <c r="AH1265" t="s">
        <v>1194</v>
      </c>
      <c r="AI1265" s="245">
        <v>483.9</v>
      </c>
      <c r="AJ1265" t="s">
        <v>7111</v>
      </c>
      <c r="AK1265" t="s">
        <v>7112</v>
      </c>
      <c r="AL1265" t="s">
        <v>1240</v>
      </c>
      <c r="AM1265" s="245">
        <v>749</v>
      </c>
      <c r="AN1265" t="s">
        <v>7113</v>
      </c>
      <c r="AO1265" t="s">
        <v>7114</v>
      </c>
      <c r="AP1265" t="s">
        <v>1179</v>
      </c>
      <c r="AQ1265" s="245">
        <v>749.95</v>
      </c>
      <c r="AR1265" t="s">
        <v>7115</v>
      </c>
      <c r="AS1265" s="226" t="str">
        <f t="shared" si="38"/>
        <v>Cochise 106</v>
      </c>
      <c r="AT1265" s="203" t="str">
        <f t="shared" si="39"/>
        <v xml:space="preserve"> BlizzardCochise 106192 Unisex</v>
      </c>
    </row>
    <row r="1266" spans="1:46" ht="118.8">
      <c r="A1266" t="s">
        <v>155</v>
      </c>
      <c r="B1266" t="s">
        <v>202</v>
      </c>
      <c r="C1266" t="s">
        <v>1157</v>
      </c>
      <c r="D1266">
        <v>192</v>
      </c>
      <c r="E1266" t="s">
        <v>158</v>
      </c>
      <c r="F1266">
        <v>192</v>
      </c>
      <c r="G1266">
        <v>191</v>
      </c>
      <c r="H1266">
        <v>159</v>
      </c>
      <c r="I1266">
        <v>161</v>
      </c>
      <c r="J1266">
        <v>132</v>
      </c>
      <c r="K1266">
        <v>104</v>
      </c>
      <c r="L1266">
        <v>120</v>
      </c>
      <c r="M1266">
        <v>27.9</v>
      </c>
      <c r="N1266">
        <v>2657</v>
      </c>
      <c r="O1266">
        <v>0.81</v>
      </c>
      <c r="P1266">
        <v>2147</v>
      </c>
      <c r="Q1266">
        <v>276</v>
      </c>
      <c r="R1266">
        <v>174</v>
      </c>
      <c r="S1266">
        <v>33</v>
      </c>
      <c r="T1266">
        <v>221</v>
      </c>
      <c r="U1266">
        <v>11</v>
      </c>
      <c r="V1266">
        <v>98</v>
      </c>
      <c r="W1266">
        <v>0.32</v>
      </c>
      <c r="X1266">
        <v>187</v>
      </c>
      <c r="Y1266">
        <v>114</v>
      </c>
      <c r="Z1266">
        <v>34</v>
      </c>
      <c r="AA1266">
        <v>16</v>
      </c>
      <c r="AB1266">
        <v>12.4</v>
      </c>
      <c r="AC1266" t="s">
        <v>188</v>
      </c>
      <c r="AD1266" t="s">
        <v>178</v>
      </c>
      <c r="AG1266" t="s">
        <v>7116</v>
      </c>
      <c r="AH1266" t="s">
        <v>1326</v>
      </c>
      <c r="AI1266" s="245">
        <v>719.28</v>
      </c>
      <c r="AJ1266" t="s">
        <v>7117</v>
      </c>
      <c r="AK1266" t="s">
        <v>7118</v>
      </c>
      <c r="AL1266" t="s">
        <v>1277</v>
      </c>
      <c r="AM1266" s="245">
        <v>179</v>
      </c>
      <c r="AN1266" t="s">
        <v>7119</v>
      </c>
      <c r="AO1266" t="s">
        <v>6962</v>
      </c>
      <c r="AP1266" t="s">
        <v>2214</v>
      </c>
      <c r="AQ1266" s="245">
        <v>515.98</v>
      </c>
      <c r="AR1266" t="s">
        <v>7120</v>
      </c>
      <c r="AS1266" s="226" t="str">
        <f t="shared" si="38"/>
        <v>M-Pro Pro Rider</v>
      </c>
      <c r="AT1266" s="203" t="str">
        <f t="shared" si="39"/>
        <v xml:space="preserve"> DynastarM-Pro Pro Rider192 Unisex</v>
      </c>
    </row>
  </sheetData>
  <autoFilter ref="A1:AR1266" xr:uid="{00000000-0009-0000-0000-000004000000}">
    <sortState xmlns:xlrd2="http://schemas.microsoft.com/office/spreadsheetml/2017/richdata2" ref="A2:AR1266">
      <sortCondition ref="F1:F1266"/>
    </sortState>
  </autoFilter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7" tint="0.59999389629810485"/>
  </sheetPr>
  <dimension ref="A1:AN7"/>
  <sheetViews>
    <sheetView workbookViewId="0">
      <pane ySplit="2" topLeftCell="A3" activePane="bottomLeft" state="frozen"/>
      <selection activeCell="G25" sqref="G25"/>
      <selection pane="bottomLeft" activeCell="G25" sqref="G25"/>
    </sheetView>
  </sheetViews>
  <sheetFormatPr defaultColWidth="8.6640625" defaultRowHeight="13.8"/>
  <cols>
    <col min="1" max="1" width="8.6640625" style="165" customWidth="1"/>
    <col min="2" max="16384" width="8.6640625" style="165"/>
  </cols>
  <sheetData>
    <row r="1" spans="1:40">
      <c r="A1" s="109" t="s">
        <v>7121</v>
      </c>
      <c r="B1" s="109" t="s">
        <v>7122</v>
      </c>
      <c r="C1" s="109" t="s">
        <v>7123</v>
      </c>
      <c r="D1" s="109" t="s">
        <v>7124</v>
      </c>
      <c r="E1" s="109" t="s">
        <v>919</v>
      </c>
      <c r="F1" s="109" t="s">
        <v>920</v>
      </c>
      <c r="G1" s="109" t="s">
        <v>921</v>
      </c>
      <c r="H1" s="109" t="s">
        <v>7125</v>
      </c>
      <c r="I1" s="109" t="s">
        <v>7126</v>
      </c>
      <c r="J1" s="109" t="s">
        <v>7127</v>
      </c>
      <c r="K1" s="109" t="s">
        <v>7128</v>
      </c>
      <c r="L1" s="109" t="s">
        <v>7129</v>
      </c>
      <c r="M1" s="109" t="s">
        <v>7130</v>
      </c>
      <c r="N1" s="109" t="s">
        <v>7131</v>
      </c>
      <c r="O1" s="109" t="s">
        <v>7132</v>
      </c>
      <c r="P1" s="109" t="s">
        <v>7133</v>
      </c>
      <c r="Q1" s="109" t="s">
        <v>7134</v>
      </c>
      <c r="R1" s="109" t="s">
        <v>7135</v>
      </c>
      <c r="S1" s="109" t="s">
        <v>7136</v>
      </c>
      <c r="T1" s="109" t="s">
        <v>7137</v>
      </c>
      <c r="U1" s="109" t="s">
        <v>7138</v>
      </c>
      <c r="V1" s="109" t="s">
        <v>7139</v>
      </c>
      <c r="W1" s="109" t="s">
        <v>7140</v>
      </c>
      <c r="X1" s="109" t="s">
        <v>7141</v>
      </c>
      <c r="Y1" s="109" t="s">
        <v>7142</v>
      </c>
      <c r="Z1" s="109" t="s">
        <v>7143</v>
      </c>
      <c r="AA1" s="109" t="s">
        <v>7144</v>
      </c>
      <c r="AB1" s="109" t="s">
        <v>7145</v>
      </c>
      <c r="AC1" s="109" t="s">
        <v>7146</v>
      </c>
      <c r="AD1" s="109" t="s">
        <v>7147</v>
      </c>
      <c r="AE1" s="109" t="s">
        <v>7148</v>
      </c>
      <c r="AF1" s="109" t="s">
        <v>7149</v>
      </c>
      <c r="AG1" s="109" t="s">
        <v>7150</v>
      </c>
      <c r="AH1" s="109" t="s">
        <v>7151</v>
      </c>
      <c r="AI1" s="109" t="s">
        <v>7152</v>
      </c>
      <c r="AJ1" s="109" t="s">
        <v>7153</v>
      </c>
      <c r="AK1" s="109" t="s">
        <v>7154</v>
      </c>
      <c r="AL1" s="109" t="s">
        <v>7155</v>
      </c>
      <c r="AM1" s="109" t="s">
        <v>7156</v>
      </c>
      <c r="AN1" s="109" t="s">
        <v>7157</v>
      </c>
    </row>
    <row r="2" spans="1:40">
      <c r="A2" s="109" t="s">
        <v>915</v>
      </c>
      <c r="B2" s="109" t="s">
        <v>916</v>
      </c>
      <c r="C2" s="109" t="s">
        <v>917</v>
      </c>
      <c r="D2" s="109" t="s">
        <v>918</v>
      </c>
      <c r="E2" s="109" t="s">
        <v>919</v>
      </c>
      <c r="F2" s="109" t="s">
        <v>920</v>
      </c>
      <c r="G2" s="109" t="s">
        <v>921</v>
      </c>
      <c r="H2" s="109" t="s">
        <v>922</v>
      </c>
      <c r="I2" s="109" t="s">
        <v>923</v>
      </c>
      <c r="J2" s="109" t="s">
        <v>924</v>
      </c>
      <c r="K2" s="109" t="s">
        <v>925</v>
      </c>
      <c r="L2" s="109" t="s">
        <v>926</v>
      </c>
      <c r="M2" s="109" t="s">
        <v>927</v>
      </c>
      <c r="N2" s="109" t="s">
        <v>928</v>
      </c>
      <c r="O2" s="109" t="s">
        <v>929</v>
      </c>
      <c r="P2" s="109" t="s">
        <v>930</v>
      </c>
      <c r="Q2" s="109" t="s">
        <v>931</v>
      </c>
      <c r="R2" s="109" t="s">
        <v>7158</v>
      </c>
      <c r="S2" s="109" t="s">
        <v>7159</v>
      </c>
      <c r="T2" s="109" t="s">
        <v>933</v>
      </c>
      <c r="U2" s="109" t="s">
        <v>934</v>
      </c>
      <c r="V2" s="109" t="s">
        <v>73</v>
      </c>
      <c r="W2" s="109" t="s">
        <v>7160</v>
      </c>
      <c r="X2" s="109" t="s">
        <v>7161</v>
      </c>
      <c r="Y2" s="109" t="s">
        <v>7162</v>
      </c>
      <c r="Z2" s="109" t="s">
        <v>7163</v>
      </c>
      <c r="AA2" s="109" t="s">
        <v>7164</v>
      </c>
      <c r="AB2" s="109" t="s">
        <v>7165</v>
      </c>
      <c r="AC2" s="109" t="s">
        <v>940</v>
      </c>
      <c r="AD2" s="109" t="s">
        <v>941</v>
      </c>
      <c r="AE2" s="109" t="s">
        <v>7166</v>
      </c>
      <c r="AF2" s="109" t="s">
        <v>7167</v>
      </c>
      <c r="AG2" s="109" t="s">
        <v>7168</v>
      </c>
      <c r="AH2" s="109" t="s">
        <v>7169</v>
      </c>
      <c r="AI2" s="109" t="s">
        <v>7170</v>
      </c>
      <c r="AJ2" s="109" t="s">
        <v>7171</v>
      </c>
      <c r="AK2" s="109" t="s">
        <v>7172</v>
      </c>
      <c r="AL2" s="109" t="s">
        <v>949</v>
      </c>
      <c r="AM2" s="109" t="s">
        <v>7173</v>
      </c>
      <c r="AN2" s="109" t="s">
        <v>7174</v>
      </c>
    </row>
    <row r="3" spans="1:40" ht="82.8" customHeight="1">
      <c r="A3" s="166">
        <v>44597.782210648147</v>
      </c>
      <c r="B3" s="166">
        <v>44597.908831018518</v>
      </c>
      <c r="C3" s="167" t="s">
        <v>918</v>
      </c>
      <c r="D3" s="167" t="s">
        <v>7175</v>
      </c>
      <c r="E3" s="165">
        <v>100</v>
      </c>
      <c r="F3" s="165">
        <v>10939</v>
      </c>
      <c r="G3" s="167" t="s">
        <v>7176</v>
      </c>
      <c r="H3" s="166">
        <v>44597.908851030094</v>
      </c>
      <c r="I3" s="167" t="s">
        <v>7177</v>
      </c>
      <c r="J3" s="167" t="s">
        <v>7178</v>
      </c>
      <c r="K3" s="167" t="s">
        <v>7179</v>
      </c>
      <c r="L3" s="167" t="s">
        <v>7180</v>
      </c>
      <c r="M3" s="167"/>
      <c r="N3" s="165">
        <v>37.423004150390618</v>
      </c>
      <c r="O3" s="165">
        <v>-122.1638946533203</v>
      </c>
      <c r="P3" s="167" t="s">
        <v>7181</v>
      </c>
      <c r="Q3" s="167" t="s">
        <v>963</v>
      </c>
      <c r="R3" s="167" t="s">
        <v>7182</v>
      </c>
      <c r="S3" s="167" t="s">
        <v>1044</v>
      </c>
      <c r="T3" s="167" t="s">
        <v>7183</v>
      </c>
      <c r="U3" s="167" t="s">
        <v>7184</v>
      </c>
      <c r="V3" s="167" t="s">
        <v>7185</v>
      </c>
      <c r="W3" s="167" t="s">
        <v>7186</v>
      </c>
      <c r="X3" s="165">
        <v>70</v>
      </c>
      <c r="Y3" s="165">
        <v>0</v>
      </c>
      <c r="Z3" s="165">
        <v>0</v>
      </c>
      <c r="AA3" s="165">
        <v>30</v>
      </c>
      <c r="AB3" s="165">
        <v>0</v>
      </c>
      <c r="AC3" s="167" t="s">
        <v>7187</v>
      </c>
      <c r="AD3" s="165">
        <v>2</v>
      </c>
      <c r="AE3" s="167" t="s">
        <v>7188</v>
      </c>
      <c r="AF3" s="165">
        <v>30</v>
      </c>
      <c r="AG3" s="165">
        <v>60</v>
      </c>
      <c r="AH3" s="165">
        <v>10</v>
      </c>
      <c r="AI3" s="165">
        <v>0</v>
      </c>
      <c r="AJ3" s="165">
        <v>0</v>
      </c>
      <c r="AK3" s="167" t="s">
        <v>7189</v>
      </c>
      <c r="AL3" s="167"/>
      <c r="AM3" s="167" t="s">
        <v>7190</v>
      </c>
      <c r="AN3" s="167"/>
    </row>
    <row r="4" spans="1:40" ht="82.8" customHeight="1">
      <c r="A4" s="166">
        <v>44603.680069444446</v>
      </c>
      <c r="B4" s="166">
        <v>44603.728009259263</v>
      </c>
      <c r="C4" s="167" t="s">
        <v>918</v>
      </c>
      <c r="D4" s="167" t="s">
        <v>7191</v>
      </c>
      <c r="E4" s="165">
        <v>100</v>
      </c>
      <c r="F4" s="165">
        <v>4142</v>
      </c>
      <c r="G4" s="167" t="s">
        <v>7176</v>
      </c>
      <c r="H4" s="166">
        <v>44603.72802696759</v>
      </c>
      <c r="I4" s="167" t="s">
        <v>7192</v>
      </c>
      <c r="J4" s="167" t="s">
        <v>7193</v>
      </c>
      <c r="K4" s="167" t="s">
        <v>7194</v>
      </c>
      <c r="L4" s="167" t="s">
        <v>7195</v>
      </c>
      <c r="M4" s="167"/>
      <c r="N4" s="165">
        <v>37.33880615234375</v>
      </c>
      <c r="O4" s="165">
        <v>-121.8916015625</v>
      </c>
      <c r="P4" s="167" t="s">
        <v>7181</v>
      </c>
      <c r="Q4" s="167" t="s">
        <v>963</v>
      </c>
      <c r="R4" s="167" t="s">
        <v>7196</v>
      </c>
      <c r="S4" s="167" t="s">
        <v>1050</v>
      </c>
      <c r="T4" s="167" t="s">
        <v>7197</v>
      </c>
      <c r="U4" s="167" t="s">
        <v>7184</v>
      </c>
      <c r="V4" s="167" t="s">
        <v>7185</v>
      </c>
      <c r="W4" s="167" t="s">
        <v>7198</v>
      </c>
      <c r="X4" s="165">
        <v>50</v>
      </c>
      <c r="Y4" s="165">
        <v>20</v>
      </c>
      <c r="Z4" s="165">
        <v>10</v>
      </c>
      <c r="AA4" s="165">
        <v>20</v>
      </c>
      <c r="AB4" s="165">
        <v>0</v>
      </c>
      <c r="AC4" s="167" t="s">
        <v>7187</v>
      </c>
      <c r="AD4" s="165">
        <v>3</v>
      </c>
      <c r="AE4" s="167" t="s">
        <v>7199</v>
      </c>
      <c r="AF4" s="165">
        <v>0</v>
      </c>
      <c r="AG4" s="165">
        <v>30</v>
      </c>
      <c r="AH4" s="165">
        <v>40</v>
      </c>
      <c r="AI4" s="165">
        <v>30</v>
      </c>
      <c r="AJ4" s="165">
        <v>0</v>
      </c>
      <c r="AK4" s="167" t="s">
        <v>7189</v>
      </c>
      <c r="AL4" s="167"/>
      <c r="AM4" s="167" t="s">
        <v>7200</v>
      </c>
      <c r="AN4" s="167" t="s">
        <v>7201</v>
      </c>
    </row>
    <row r="5" spans="1:40" ht="82.8" customHeight="1">
      <c r="A5" s="166">
        <v>44606.881423611107</v>
      </c>
      <c r="B5" s="166">
        <v>44606.980439814812</v>
      </c>
      <c r="C5" s="167" t="s">
        <v>918</v>
      </c>
      <c r="D5" s="167" t="s">
        <v>7202</v>
      </c>
      <c r="E5" s="165">
        <v>100</v>
      </c>
      <c r="F5" s="165">
        <v>8555</v>
      </c>
      <c r="G5" s="167" t="s">
        <v>7176</v>
      </c>
      <c r="H5" s="166">
        <v>44606.980456134261</v>
      </c>
      <c r="I5" s="167" t="s">
        <v>7203</v>
      </c>
      <c r="J5" s="167"/>
      <c r="K5" s="167" t="s">
        <v>7204</v>
      </c>
      <c r="L5" s="167" t="s">
        <v>7205</v>
      </c>
      <c r="M5" s="167"/>
      <c r="N5" s="165">
        <v>38.02960205078125</v>
      </c>
      <c r="O5" s="165">
        <v>-121.3460006713867</v>
      </c>
      <c r="P5" s="167" t="s">
        <v>7181</v>
      </c>
      <c r="Q5" s="167" t="s">
        <v>963</v>
      </c>
      <c r="R5" s="167" t="s">
        <v>7206</v>
      </c>
      <c r="S5" s="167" t="s">
        <v>7207</v>
      </c>
      <c r="T5" s="167" t="s">
        <v>7208</v>
      </c>
      <c r="U5" s="167" t="s">
        <v>7184</v>
      </c>
      <c r="V5" s="167" t="s">
        <v>7185</v>
      </c>
      <c r="W5" s="167" t="s">
        <v>7186</v>
      </c>
      <c r="X5" s="165">
        <v>65</v>
      </c>
      <c r="Y5" s="165">
        <v>0</v>
      </c>
      <c r="Z5" s="165">
        <v>20</v>
      </c>
      <c r="AA5" s="165">
        <v>15</v>
      </c>
      <c r="AB5" s="165">
        <v>0</v>
      </c>
      <c r="AC5" s="167" t="s">
        <v>7187</v>
      </c>
      <c r="AD5" s="165">
        <v>5</v>
      </c>
      <c r="AE5" s="167" t="s">
        <v>7209</v>
      </c>
      <c r="AF5" s="165">
        <v>0</v>
      </c>
      <c r="AG5" s="165">
        <v>40</v>
      </c>
      <c r="AH5" s="165">
        <v>50</v>
      </c>
      <c r="AI5" s="165">
        <v>10</v>
      </c>
      <c r="AJ5" s="165">
        <v>0</v>
      </c>
      <c r="AK5" s="167" t="s">
        <v>7189</v>
      </c>
      <c r="AL5" s="167"/>
      <c r="AM5" s="167" t="s">
        <v>7190</v>
      </c>
      <c r="AN5" s="167"/>
    </row>
    <row r="6" spans="1:40" ht="151.80000000000001" customHeight="1">
      <c r="A6" s="166">
        <v>44607.551446759258</v>
      </c>
      <c r="B6" s="166">
        <v>44607.556030092594</v>
      </c>
      <c r="C6" s="167" t="s">
        <v>918</v>
      </c>
      <c r="D6" s="167" t="s">
        <v>7210</v>
      </c>
      <c r="E6" s="165">
        <v>100</v>
      </c>
      <c r="F6" s="165">
        <v>396</v>
      </c>
      <c r="G6" s="167" t="s">
        <v>7176</v>
      </c>
      <c r="H6" s="166">
        <v>44607.556044351863</v>
      </c>
      <c r="I6" s="167" t="s">
        <v>7211</v>
      </c>
      <c r="J6" s="167" t="s">
        <v>7212</v>
      </c>
      <c r="K6" s="167" t="s">
        <v>7213</v>
      </c>
      <c r="L6" s="167" t="s">
        <v>7214</v>
      </c>
      <c r="M6" s="167"/>
      <c r="N6" s="165">
        <v>47.368194580078118</v>
      </c>
      <c r="O6" s="165">
        <v>8.5670928955078125</v>
      </c>
      <c r="P6" s="167" t="s">
        <v>7181</v>
      </c>
      <c r="Q6" s="167" t="s">
        <v>963</v>
      </c>
      <c r="R6" s="167" t="s">
        <v>7215</v>
      </c>
      <c r="S6" s="167" t="s">
        <v>7216</v>
      </c>
      <c r="T6" s="167" t="s">
        <v>7217</v>
      </c>
      <c r="U6" s="167" t="s">
        <v>7184</v>
      </c>
      <c r="V6" s="167" t="s">
        <v>7185</v>
      </c>
      <c r="W6" s="167" t="s">
        <v>7186</v>
      </c>
      <c r="X6" s="165">
        <v>60</v>
      </c>
      <c r="Y6" s="165">
        <v>5</v>
      </c>
      <c r="Z6" s="165">
        <v>15</v>
      </c>
      <c r="AA6" s="165">
        <v>10</v>
      </c>
      <c r="AB6" s="165">
        <v>10</v>
      </c>
      <c r="AC6" s="167" t="s">
        <v>7187</v>
      </c>
      <c r="AD6" s="165">
        <v>3</v>
      </c>
      <c r="AE6" s="167" t="s">
        <v>7199</v>
      </c>
      <c r="AF6" s="165">
        <v>0</v>
      </c>
      <c r="AG6" s="165">
        <v>30</v>
      </c>
      <c r="AH6" s="165">
        <v>50</v>
      </c>
      <c r="AI6" s="165">
        <v>10</v>
      </c>
      <c r="AJ6" s="165">
        <v>10</v>
      </c>
      <c r="AK6" s="167" t="s">
        <v>7218</v>
      </c>
      <c r="AL6" s="167"/>
      <c r="AM6" s="167" t="s">
        <v>7219</v>
      </c>
      <c r="AN6" s="167"/>
    </row>
    <row r="7" spans="1:40" ht="151.80000000000001" customHeight="1">
      <c r="A7" s="166">
        <v>44607.607442129629</v>
      </c>
      <c r="B7" s="166">
        <v>44607.609074074076</v>
      </c>
      <c r="C7" s="167" t="s">
        <v>918</v>
      </c>
      <c r="D7" s="167" t="s">
        <v>7220</v>
      </c>
      <c r="E7" s="165">
        <v>100</v>
      </c>
      <c r="F7" s="165">
        <v>140</v>
      </c>
      <c r="G7" s="167" t="s">
        <v>7176</v>
      </c>
      <c r="H7" s="166">
        <v>44607.609088171303</v>
      </c>
      <c r="I7" s="167" t="s">
        <v>7221</v>
      </c>
      <c r="J7" s="167" t="s">
        <v>7222</v>
      </c>
      <c r="K7" s="167" t="s">
        <v>7223</v>
      </c>
      <c r="L7" s="167" t="s">
        <v>7224</v>
      </c>
      <c r="M7" s="167"/>
      <c r="N7" s="165">
        <v>37.975997924804688</v>
      </c>
      <c r="O7" s="165">
        <v>-122.3358993530273</v>
      </c>
      <c r="P7" s="167" t="s">
        <v>7181</v>
      </c>
      <c r="Q7" s="167" t="s">
        <v>963</v>
      </c>
      <c r="R7" s="167" t="s">
        <v>7225</v>
      </c>
      <c r="S7" s="167" t="s">
        <v>7226</v>
      </c>
      <c r="T7" s="167" t="s">
        <v>7227</v>
      </c>
      <c r="U7" s="167" t="s">
        <v>7184</v>
      </c>
      <c r="V7" s="167" t="s">
        <v>7185</v>
      </c>
      <c r="W7" s="167" t="s">
        <v>7186</v>
      </c>
      <c r="X7" s="165">
        <v>20</v>
      </c>
      <c r="Y7" s="165">
        <v>40</v>
      </c>
      <c r="Z7" s="165">
        <v>20</v>
      </c>
      <c r="AA7" s="165">
        <v>20</v>
      </c>
      <c r="AB7" s="165">
        <v>0</v>
      </c>
      <c r="AC7" s="167"/>
      <c r="AD7" s="167"/>
      <c r="AE7" s="167" t="s">
        <v>7228</v>
      </c>
      <c r="AF7" s="165">
        <v>0</v>
      </c>
      <c r="AG7" s="165">
        <v>30</v>
      </c>
      <c r="AH7" s="165">
        <v>40</v>
      </c>
      <c r="AI7" s="165">
        <v>30</v>
      </c>
      <c r="AJ7" s="165">
        <v>0</v>
      </c>
      <c r="AK7" s="167" t="s">
        <v>7189</v>
      </c>
      <c r="AL7" s="167"/>
      <c r="AM7" s="167" t="s">
        <v>7219</v>
      </c>
      <c r="AN7" s="167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7" tint="0.39997558519241921"/>
  </sheetPr>
  <dimension ref="A2:B6"/>
  <sheetViews>
    <sheetView showGridLines="0" workbookViewId="0">
      <selection activeCell="G25" sqref="G25"/>
    </sheetView>
  </sheetViews>
  <sheetFormatPr defaultColWidth="8.77734375" defaultRowHeight="13.2"/>
  <cols>
    <col min="1" max="1" width="2.6640625" style="123" customWidth="1"/>
  </cols>
  <sheetData>
    <row r="2" spans="2:2">
      <c r="B2" s="106" t="s">
        <v>7229</v>
      </c>
    </row>
    <row r="3" spans="2:2">
      <c r="B3" s="89" t="s">
        <v>7230</v>
      </c>
    </row>
    <row r="4" spans="2:2">
      <c r="B4" s="89" t="s">
        <v>7231</v>
      </c>
    </row>
    <row r="5" spans="2:2">
      <c r="B5" s="89" t="s">
        <v>7232</v>
      </c>
    </row>
    <row r="6" spans="2:2">
      <c r="B6" s="89" t="s">
        <v>7233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8" tint="0.79998168889431442"/>
  </sheetPr>
  <dimension ref="A1"/>
  <sheetViews>
    <sheetView showGridLines="0" workbookViewId="0">
      <selection activeCell="G24" sqref="G24"/>
    </sheetView>
  </sheetViews>
  <sheetFormatPr defaultColWidth="8.77734375" defaultRowHeight="13.2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8" tint="0.79998168889431442"/>
  </sheetPr>
  <dimension ref="B2:H84"/>
  <sheetViews>
    <sheetView showGridLines="0" topLeftCell="A62" workbookViewId="0">
      <selection activeCell="G24" sqref="G24"/>
    </sheetView>
  </sheetViews>
  <sheetFormatPr defaultColWidth="8.6640625" defaultRowHeight="13.2"/>
  <cols>
    <col min="1" max="1" width="3.44140625" style="89" customWidth="1"/>
    <col min="2" max="6" width="8.6640625" style="89" customWidth="1"/>
    <col min="7" max="7" width="26.33203125" style="89" bestFit="1" customWidth="1"/>
    <col min="8" max="8" width="11.33203125" style="89" bestFit="1" customWidth="1"/>
    <col min="9" max="9" width="8.6640625" style="89" customWidth="1"/>
    <col min="10" max="16384" width="8.6640625" style="89"/>
  </cols>
  <sheetData>
    <row r="2" spans="2:8">
      <c r="B2" s="89" t="s">
        <v>7234</v>
      </c>
    </row>
    <row r="3" spans="2:8">
      <c r="B3" s="89" t="s">
        <v>7235</v>
      </c>
    </row>
    <row r="4" spans="2:8">
      <c r="B4" s="89" t="s">
        <v>7236</v>
      </c>
    </row>
    <row r="5" spans="2:8" ht="19.5" customHeight="1">
      <c r="B5" s="89" t="s">
        <v>7237</v>
      </c>
    </row>
    <row r="7" spans="2:8" ht="22.8" customHeight="1">
      <c r="B7" s="117" t="s">
        <v>30</v>
      </c>
    </row>
    <row r="8" spans="2:8" ht="7.5" customHeight="1">
      <c r="B8" s="117"/>
    </row>
    <row r="9" spans="2:8" ht="17.399999999999999" customHeight="1">
      <c r="B9" s="87" t="s">
        <v>7238</v>
      </c>
    </row>
    <row r="10" spans="2:8" ht="6" customHeight="1"/>
    <row r="11" spans="2:8" ht="19.5" customHeight="1">
      <c r="G11" s="86" t="s">
        <v>7239</v>
      </c>
    </row>
    <row r="12" spans="2:8" ht="19.5" customHeight="1">
      <c r="G12" s="106" t="s">
        <v>9</v>
      </c>
      <c r="H12" s="246">
        <v>670</v>
      </c>
    </row>
    <row r="13" spans="2:8" ht="19.5" customHeight="1">
      <c r="G13" s="80" t="s">
        <v>56</v>
      </c>
      <c r="H13" s="83">
        <f>Data!K68</f>
        <v>0.85269792530457056</v>
      </c>
    </row>
    <row r="14" spans="2:8" ht="19.5" customHeight="1">
      <c r="G14" s="106" t="s">
        <v>11</v>
      </c>
      <c r="H14" s="118">
        <f t="array" ref="H14:H18">TRANSPOSE(Data!L68:P68)</f>
        <v>0.93885400762288251</v>
      </c>
    </row>
    <row r="15" spans="2:8" ht="19.5" customHeight="1">
      <c r="G15" s="106" t="s">
        <v>13</v>
      </c>
      <c r="H15" s="118">
        <v>0.7665418429862586</v>
      </c>
    </row>
    <row r="16" spans="2:8" ht="19.5" customHeight="1">
      <c r="G16" s="119" t="s">
        <v>19</v>
      </c>
      <c r="H16" s="57">
        <v>0.69044385047713508</v>
      </c>
    </row>
    <row r="17" spans="2:8" ht="19.5" customHeight="1">
      <c r="G17" s="119" t="s">
        <v>22</v>
      </c>
      <c r="H17" s="57">
        <v>0.62238801586891612</v>
      </c>
    </row>
    <row r="18" spans="2:8" ht="19.5" customHeight="1">
      <c r="G18" s="119" t="s">
        <v>25</v>
      </c>
      <c r="H18" s="57">
        <v>0.9867936626127245</v>
      </c>
    </row>
    <row r="19" spans="2:8" ht="19.5" customHeight="1">
      <c r="G19" s="106" t="s">
        <v>984</v>
      </c>
    </row>
    <row r="20" spans="2:8" ht="19.5" customHeight="1">
      <c r="G20" s="120" t="s">
        <v>80</v>
      </c>
      <c r="H20" s="120" t="s">
        <v>83</v>
      </c>
    </row>
    <row r="21" spans="2:8" ht="19.5" customHeight="1">
      <c r="G21" s="120" t="s">
        <v>81</v>
      </c>
      <c r="H21" s="120" t="s">
        <v>84</v>
      </c>
    </row>
    <row r="22" spans="2:8" ht="19.5" customHeight="1">
      <c r="G22" s="120" t="s">
        <v>82</v>
      </c>
      <c r="H22" s="170"/>
    </row>
    <row r="23" spans="2:8" ht="19.5" customHeight="1">
      <c r="H23" s="170"/>
    </row>
    <row r="24" spans="2:8" ht="19.5" customHeight="1">
      <c r="B24" s="117" t="s">
        <v>7240</v>
      </c>
      <c r="H24" s="170"/>
    </row>
    <row r="25" spans="2:8" ht="19.5" customHeight="1">
      <c r="C25" s="219"/>
    </row>
    <row r="26" spans="2:8" ht="19.5" customHeight="1">
      <c r="G26" s="86" t="s">
        <v>7241</v>
      </c>
    </row>
    <row r="27" spans="2:8">
      <c r="G27" s="106" t="s">
        <v>9</v>
      </c>
      <c r="H27" s="246">
        <v>698</v>
      </c>
    </row>
    <row r="28" spans="2:8" ht="13.8" customHeight="1">
      <c r="G28" s="80" t="s">
        <v>56</v>
      </c>
      <c r="H28" s="83">
        <f>Data!K147</f>
        <v>0.88775838296174436</v>
      </c>
    </row>
    <row r="29" spans="2:8">
      <c r="G29" s="106" t="s">
        <v>11</v>
      </c>
      <c r="H29" s="118">
        <f t="array" ref="H29:H33">TRANSPOSE(Data!L147:P147)</f>
        <v>0.95148520758942912</v>
      </c>
    </row>
    <row r="30" spans="2:8">
      <c r="G30" s="106" t="s">
        <v>13</v>
      </c>
      <c r="H30" s="118">
        <v>0.82403155833405961</v>
      </c>
    </row>
    <row r="31" spans="2:8">
      <c r="G31" s="119" t="s">
        <v>19</v>
      </c>
      <c r="H31" s="57">
        <v>0.8441148806421892</v>
      </c>
    </row>
    <row r="32" spans="2:8">
      <c r="G32" s="119" t="s">
        <v>22</v>
      </c>
      <c r="H32" s="57">
        <v>0.71136587030935672</v>
      </c>
    </row>
    <row r="33" spans="2:8">
      <c r="G33" s="119" t="s">
        <v>25</v>
      </c>
      <c r="H33" s="57">
        <v>0.91661392405063291</v>
      </c>
    </row>
    <row r="34" spans="2:8">
      <c r="G34" s="106" t="s">
        <v>984</v>
      </c>
    </row>
    <row r="35" spans="2:8">
      <c r="G35" s="120" t="s">
        <v>80</v>
      </c>
      <c r="H35" s="120" t="s">
        <v>83</v>
      </c>
    </row>
    <row r="36" spans="2:8">
      <c r="G36" s="120" t="s">
        <v>81</v>
      </c>
      <c r="H36" s="120" t="s">
        <v>84</v>
      </c>
    </row>
    <row r="37" spans="2:8">
      <c r="G37" s="120" t="s">
        <v>82</v>
      </c>
      <c r="H37" s="170"/>
    </row>
    <row r="44" spans="2:8" ht="22.8" customHeight="1">
      <c r="B44" s="117" t="s">
        <v>7242</v>
      </c>
      <c r="F44" s="219"/>
      <c r="H44" s="170"/>
    </row>
    <row r="45" spans="2:8">
      <c r="C45" s="219"/>
    </row>
    <row r="46" spans="2:8" ht="15.6" customHeight="1">
      <c r="G46" s="86" t="s">
        <v>7243</v>
      </c>
    </row>
    <row r="47" spans="2:8">
      <c r="G47" s="106" t="s">
        <v>9</v>
      </c>
      <c r="H47" s="246">
        <v>698</v>
      </c>
    </row>
    <row r="48" spans="2:8" ht="13.8" customHeight="1">
      <c r="G48" s="80" t="s">
        <v>56</v>
      </c>
      <c r="H48" s="83">
        <f>Data!K188</f>
        <v>0.87070047447775112</v>
      </c>
    </row>
    <row r="49" spans="4:8">
      <c r="D49" s="219"/>
      <c r="G49" s="106" t="s">
        <v>11</v>
      </c>
      <c r="H49" s="118">
        <f t="array" ref="H49:H53">TRANSPOSE(Data!L188:P188)</f>
        <v>0.97517387087200103</v>
      </c>
    </row>
    <row r="50" spans="4:8">
      <c r="G50" s="106" t="s">
        <v>13</v>
      </c>
      <c r="H50" s="118">
        <v>0.76622707808350121</v>
      </c>
    </row>
    <row r="51" spans="4:8">
      <c r="G51" s="119" t="s">
        <v>19</v>
      </c>
      <c r="H51" s="57">
        <v>0.69866493439543009</v>
      </c>
    </row>
    <row r="52" spans="4:8">
      <c r="G52" s="119" t="s">
        <v>22</v>
      </c>
      <c r="H52" s="57">
        <v>0.62731577449725107</v>
      </c>
    </row>
    <row r="53" spans="4:8">
      <c r="G53" s="119" t="s">
        <v>25</v>
      </c>
      <c r="H53" s="57">
        <v>0.97270052535782248</v>
      </c>
    </row>
    <row r="54" spans="4:8">
      <c r="G54" s="106" t="s">
        <v>984</v>
      </c>
    </row>
    <row r="55" spans="4:8">
      <c r="G55" s="120" t="s">
        <v>80</v>
      </c>
      <c r="H55" s="120" t="s">
        <v>83</v>
      </c>
    </row>
    <row r="56" spans="4:8">
      <c r="G56" s="120" t="s">
        <v>81</v>
      </c>
      <c r="H56" s="120" t="s">
        <v>84</v>
      </c>
    </row>
    <row r="57" spans="4:8">
      <c r="G57" s="120" t="s">
        <v>82</v>
      </c>
      <c r="H57" s="170"/>
    </row>
    <row r="61" spans="4:8">
      <c r="G61" s="219"/>
    </row>
    <row r="71" spans="2:8" ht="22.8" customHeight="1">
      <c r="B71" s="117" t="s">
        <v>7244</v>
      </c>
      <c r="F71" s="219"/>
      <c r="H71" s="170"/>
    </row>
    <row r="72" spans="2:8">
      <c r="C72" s="219"/>
    </row>
    <row r="73" spans="2:8" ht="15.6" customHeight="1">
      <c r="G73" s="86" t="s">
        <v>7245</v>
      </c>
    </row>
    <row r="74" spans="2:8">
      <c r="G74" s="106" t="s">
        <v>9</v>
      </c>
      <c r="H74" s="246">
        <v>599</v>
      </c>
    </row>
    <row r="75" spans="2:8" ht="13.8" customHeight="1">
      <c r="G75" s="80" t="s">
        <v>56</v>
      </c>
      <c r="H75" s="83">
        <f>Data!K216</f>
        <v>0.87659818667253941</v>
      </c>
    </row>
    <row r="76" spans="2:8">
      <c r="C76" s="219"/>
      <c r="D76" s="219"/>
      <c r="G76" s="106" t="s">
        <v>11</v>
      </c>
      <c r="H76" s="118">
        <f t="array" ref="H76:H80">TRANSPOSE(Data!L216:P216)</f>
        <v>0.99968713952200428</v>
      </c>
    </row>
    <row r="77" spans="2:8">
      <c r="G77" s="106" t="s">
        <v>13</v>
      </c>
      <c r="H77" s="118">
        <v>0.75350923382307444</v>
      </c>
    </row>
    <row r="78" spans="2:8">
      <c r="G78" s="119" t="s">
        <v>19</v>
      </c>
      <c r="H78" s="57">
        <v>0.65186799516821203</v>
      </c>
    </row>
    <row r="79" spans="2:8">
      <c r="G79" s="119" t="s">
        <v>22</v>
      </c>
      <c r="H79" s="57">
        <v>0.64561676760654618</v>
      </c>
    </row>
    <row r="80" spans="2:8">
      <c r="G80" s="119" t="s">
        <v>25</v>
      </c>
      <c r="H80" s="57">
        <v>0.96304293869446511</v>
      </c>
    </row>
    <row r="81" spans="7:8">
      <c r="G81" s="106" t="s">
        <v>984</v>
      </c>
    </row>
    <row r="82" spans="7:8">
      <c r="G82" s="120" t="s">
        <v>80</v>
      </c>
      <c r="H82" s="120" t="s">
        <v>83</v>
      </c>
    </row>
    <row r="83" spans="7:8">
      <c r="G83" s="120" t="s">
        <v>81</v>
      </c>
      <c r="H83" s="120" t="s">
        <v>84</v>
      </c>
    </row>
    <row r="84" spans="7:8">
      <c r="G84" s="120" t="s">
        <v>82</v>
      </c>
      <c r="H84" s="170"/>
    </row>
  </sheetData>
  <conditionalFormatting sqref="H14:H18">
    <cfRule type="dataBar" priority="8">
      <dataBar>
        <cfvo type="min"/>
        <cfvo type="max"/>
        <color rgb="FF008AEF"/>
      </dataBar>
    </cfRule>
  </conditionalFormatting>
  <conditionalFormatting sqref="H13:H18">
    <cfRule type="dataBar" priority="7">
      <dataBar>
        <cfvo type="min"/>
        <cfvo type="max"/>
        <color rgb="FF008AEF"/>
      </dataBar>
    </cfRule>
  </conditionalFormatting>
  <conditionalFormatting sqref="H29:H33">
    <cfRule type="dataBar" priority="6">
      <dataBar>
        <cfvo type="min"/>
        <cfvo type="max"/>
        <color rgb="FF008AEF"/>
      </dataBar>
    </cfRule>
  </conditionalFormatting>
  <conditionalFormatting sqref="H28:H33">
    <cfRule type="dataBar" priority="5">
      <dataBar>
        <cfvo type="min"/>
        <cfvo type="max"/>
        <color rgb="FF008AEF"/>
      </dataBar>
    </cfRule>
  </conditionalFormatting>
  <conditionalFormatting sqref="H49:H53">
    <cfRule type="dataBar" priority="4">
      <dataBar>
        <cfvo type="min"/>
        <cfvo type="max"/>
        <color rgb="FF008AEF"/>
      </dataBar>
    </cfRule>
  </conditionalFormatting>
  <conditionalFormatting sqref="H48:H53">
    <cfRule type="dataBar" priority="3">
      <dataBar>
        <cfvo type="min"/>
        <cfvo type="max"/>
        <color rgb="FF008AEF"/>
      </dataBar>
    </cfRule>
  </conditionalFormatting>
  <conditionalFormatting sqref="H76:H80">
    <cfRule type="dataBar" priority="2">
      <dataBar>
        <cfvo type="min"/>
        <cfvo type="max"/>
        <color rgb="FF008AEF"/>
      </dataBar>
    </cfRule>
  </conditionalFormatting>
  <conditionalFormatting sqref="H75:H80">
    <cfRule type="dataBar" priority="1">
      <dataBar>
        <cfvo type="min"/>
        <cfvo type="max"/>
        <color rgb="FF008AEF"/>
      </dataBar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8" tint="0.79998168889431442"/>
    <pageSetUpPr fitToPage="1"/>
  </sheetPr>
  <dimension ref="B1:AE65"/>
  <sheetViews>
    <sheetView showGridLines="0" workbookViewId="0">
      <selection activeCell="G24" sqref="G24"/>
    </sheetView>
  </sheetViews>
  <sheetFormatPr defaultColWidth="8.33203125" defaultRowHeight="19.95" customHeight="1"/>
  <cols>
    <col min="1" max="6" width="2.44140625" style="89" customWidth="1"/>
    <col min="7" max="30" width="13.44140625" style="89" customWidth="1"/>
    <col min="31" max="31" width="13.44140625" style="89" hidden="1" customWidth="1"/>
    <col min="32" max="42" width="13.44140625" style="89" customWidth="1"/>
    <col min="43" max="44" width="8.33203125" style="89" customWidth="1"/>
    <col min="45" max="16384" width="8.33203125" style="89"/>
  </cols>
  <sheetData>
    <row r="1" spans="2:9" ht="13.2" customHeight="1">
      <c r="B1" s="12"/>
    </row>
    <row r="2" spans="2:9" ht="13.2" customHeight="1">
      <c r="B2" s="13" t="s">
        <v>971</v>
      </c>
    </row>
    <row r="3" spans="2:9" ht="13.2" customHeight="1">
      <c r="B3" s="14" t="s">
        <v>7246</v>
      </c>
      <c r="G3" s="89" t="s">
        <v>7247</v>
      </c>
    </row>
    <row r="4" spans="2:9" ht="13.2" customHeight="1">
      <c r="B4" s="14"/>
    </row>
    <row r="5" spans="2:9" ht="13.2" customHeight="1">
      <c r="B5" s="106" t="s">
        <v>7248</v>
      </c>
    </row>
    <row r="6" spans="2:9" ht="13.2" customHeight="1">
      <c r="B6" s="106"/>
      <c r="C6" s="58" t="s">
        <v>974</v>
      </c>
      <c r="D6" s="58"/>
      <c r="E6" s="58"/>
      <c r="F6" s="58"/>
    </row>
    <row r="7" spans="2:9" ht="13.2" customHeight="1">
      <c r="D7" s="89" t="s">
        <v>19</v>
      </c>
      <c r="H7" s="13">
        <v>118</v>
      </c>
      <c r="I7" s="89" t="s">
        <v>7249</v>
      </c>
    </row>
    <row r="8" spans="2:9" ht="13.2" customHeight="1">
      <c r="D8" s="89" t="s">
        <v>7250</v>
      </c>
      <c r="H8" s="13">
        <v>5</v>
      </c>
    </row>
    <row r="9" spans="2:9" ht="13.2" customHeight="1">
      <c r="D9" s="89" t="s">
        <v>7251</v>
      </c>
      <c r="H9" s="13">
        <v>5</v>
      </c>
    </row>
    <row r="10" spans="2:9" ht="13.2" customHeight="1">
      <c r="D10" s="89" t="s">
        <v>7252</v>
      </c>
      <c r="H10" s="89">
        <f>H8*12+H9</f>
        <v>65</v>
      </c>
    </row>
    <row r="11" spans="2:9" ht="13.2" customHeight="1">
      <c r="D11" s="89" t="s">
        <v>978</v>
      </c>
      <c r="H11" s="89">
        <f>H10*2.54</f>
        <v>165.1</v>
      </c>
    </row>
    <row r="12" spans="2:9" ht="13.2" customHeight="1"/>
    <row r="13" spans="2:9" ht="13.2" customHeight="1">
      <c r="C13" s="58" t="s">
        <v>988</v>
      </c>
      <c r="E13" s="58"/>
      <c r="F13" s="58"/>
    </row>
    <row r="14" spans="2:9" ht="13.2" customHeight="1">
      <c r="C14" s="58"/>
      <c r="D14" s="89" t="s">
        <v>984</v>
      </c>
      <c r="E14" s="58"/>
      <c r="F14" s="58"/>
      <c r="H14" s="89" t="s">
        <v>7253</v>
      </c>
      <c r="I14" s="89" t="s">
        <v>991</v>
      </c>
    </row>
    <row r="15" spans="2:9" ht="13.2" customHeight="1">
      <c r="E15" s="89" t="s">
        <v>992</v>
      </c>
      <c r="H15" s="13">
        <v>0</v>
      </c>
      <c r="I15" s="12">
        <v>1</v>
      </c>
    </row>
    <row r="16" spans="2:9" ht="13.2" customHeight="1">
      <c r="E16" s="89" t="s">
        <v>993</v>
      </c>
      <c r="H16" s="13">
        <v>20</v>
      </c>
      <c r="I16" s="12">
        <v>2</v>
      </c>
    </row>
    <row r="17" spans="3:10" ht="13.2" customHeight="1">
      <c r="E17" s="89" t="s">
        <v>994</v>
      </c>
      <c r="H17" s="13">
        <v>60</v>
      </c>
      <c r="I17" s="12">
        <v>3</v>
      </c>
    </row>
    <row r="18" spans="3:10" ht="13.2" customHeight="1">
      <c r="E18" s="89" t="s">
        <v>995</v>
      </c>
      <c r="H18" s="13">
        <v>20</v>
      </c>
      <c r="I18" s="12">
        <v>5</v>
      </c>
      <c r="J18" s="89" t="s">
        <v>996</v>
      </c>
    </row>
    <row r="19" spans="3:10" ht="13.2" customHeight="1"/>
    <row r="20" spans="3:10" ht="13.2" customHeight="1">
      <c r="D20" s="89" t="s">
        <v>988</v>
      </c>
      <c r="H20" s="11">
        <f>SUMPRODUCT(H15:H18,I15:I18)/100</f>
        <v>3.2</v>
      </c>
    </row>
    <row r="21" spans="3:10" ht="13.2" customHeight="1">
      <c r="D21" s="89" t="s">
        <v>7254</v>
      </c>
      <c r="H21" s="15">
        <v>-8</v>
      </c>
      <c r="I21" s="11" t="s">
        <v>7255</v>
      </c>
    </row>
    <row r="22" spans="3:10" ht="13.2" customHeight="1">
      <c r="D22" s="89" t="s">
        <v>7254</v>
      </c>
      <c r="H22" s="11">
        <f>H11+H21</f>
        <v>157.1</v>
      </c>
    </row>
    <row r="23" spans="3:10" ht="13.2" customHeight="1">
      <c r="D23" s="89" t="s">
        <v>7256</v>
      </c>
      <c r="H23" s="89">
        <v>8</v>
      </c>
    </row>
    <row r="24" spans="3:10" ht="13.2" customHeight="1">
      <c r="D24" s="89" t="s">
        <v>7257</v>
      </c>
      <c r="H24" s="89">
        <v>-2</v>
      </c>
    </row>
    <row r="25" spans="3:10" ht="13.2" customHeight="1">
      <c r="D25" s="89" t="s">
        <v>7258</v>
      </c>
      <c r="H25" s="11">
        <f>H23+H22</f>
        <v>165.1</v>
      </c>
    </row>
    <row r="26" spans="3:10" ht="13.2" customHeight="1">
      <c r="D26" s="89" t="s">
        <v>7259</v>
      </c>
      <c r="H26" s="11">
        <f>H22+H24</f>
        <v>155.1</v>
      </c>
    </row>
    <row r="27" spans="3:10" ht="13.2" customHeight="1">
      <c r="H27" s="11"/>
    </row>
    <row r="28" spans="3:10" ht="13.2" customHeight="1">
      <c r="C28" s="58" t="s">
        <v>984</v>
      </c>
      <c r="H28" s="11"/>
    </row>
    <row r="29" spans="3:10" ht="13.2" customHeight="1">
      <c r="D29" s="89" t="s">
        <v>80</v>
      </c>
      <c r="H29" s="89">
        <v>40</v>
      </c>
    </row>
    <row r="30" spans="3:10" ht="13.2" customHeight="1">
      <c r="D30" s="89" t="s">
        <v>81</v>
      </c>
      <c r="H30" s="89">
        <v>35</v>
      </c>
    </row>
    <row r="31" spans="3:10" ht="13.2" customHeight="1">
      <c r="D31" s="89" t="s">
        <v>82</v>
      </c>
      <c r="H31" s="89">
        <v>10</v>
      </c>
    </row>
    <row r="32" spans="3:10" ht="13.2" customHeight="1">
      <c r="D32" s="89" t="s">
        <v>83</v>
      </c>
      <c r="H32" s="89">
        <v>15</v>
      </c>
    </row>
    <row r="33" spans="3:9" ht="13.2" customHeight="1">
      <c r="D33" s="89" t="s">
        <v>84</v>
      </c>
      <c r="H33" s="89">
        <v>0</v>
      </c>
    </row>
    <row r="34" spans="3:9" ht="13.2" customHeight="1"/>
    <row r="35" spans="3:9" ht="13.2" customHeight="1">
      <c r="D35" s="89" t="s">
        <v>7260</v>
      </c>
    </row>
    <row r="36" spans="3:9" ht="13.2" customHeight="1">
      <c r="D36" s="89" t="s">
        <v>7261</v>
      </c>
      <c r="H36" s="89">
        <v>96</v>
      </c>
    </row>
    <row r="37" spans="3:9" ht="13.2" customHeight="1">
      <c r="D37" s="89" t="s">
        <v>7262</v>
      </c>
    </row>
    <row r="38" spans="3:9" ht="13.2" customHeight="1">
      <c r="E38" s="89" t="s">
        <v>7263</v>
      </c>
      <c r="H38" s="89">
        <v>7</v>
      </c>
    </row>
    <row r="39" spans="3:9" ht="13.2" customHeight="1">
      <c r="E39" s="89" t="s">
        <v>7264</v>
      </c>
      <c r="H39" s="89">
        <v>-1</v>
      </c>
    </row>
    <row r="40" spans="3:9" ht="13.2" customHeight="1">
      <c r="D40" s="89" t="s">
        <v>7265</v>
      </c>
    </row>
    <row r="41" spans="3:9" ht="13.2" customHeight="1">
      <c r="E41" s="89" t="s">
        <v>999</v>
      </c>
      <c r="H41" s="89">
        <f>$H$36+H38</f>
        <v>103</v>
      </c>
    </row>
    <row r="42" spans="3:9" ht="13.2" customHeight="1">
      <c r="E42" s="89" t="s">
        <v>980</v>
      </c>
      <c r="H42" s="89">
        <f>$H$36+H39</f>
        <v>95</v>
      </c>
    </row>
    <row r="43" spans="3:9" ht="13.2" customHeight="1"/>
    <row r="44" spans="3:9" ht="13.2" customHeight="1">
      <c r="E44" s="89" t="s">
        <v>84</v>
      </c>
      <c r="H44" s="89">
        <v>0</v>
      </c>
      <c r="I44" s="89" t="s">
        <v>7266</v>
      </c>
    </row>
    <row r="45" spans="3:9" ht="13.2" customHeight="1"/>
    <row r="46" spans="3:9" ht="13.2" customHeight="1">
      <c r="C46" s="58" t="s">
        <v>14</v>
      </c>
    </row>
    <row r="47" spans="3:9" ht="13.2" customHeight="1"/>
    <row r="48" spans="3:9" ht="13.2" customHeight="1">
      <c r="D48" s="89" t="s">
        <v>1001</v>
      </c>
      <c r="H48" s="89" t="s">
        <v>7218</v>
      </c>
    </row>
    <row r="49" spans="4:29" ht="13.2" customHeight="1"/>
    <row r="50" spans="4:29" ht="13.2" customHeight="1">
      <c r="D50" s="106" t="s">
        <v>7267</v>
      </c>
      <c r="G50" s="106"/>
    </row>
    <row r="51" spans="4:29" ht="13.2" customHeight="1">
      <c r="D51" s="89" t="s">
        <v>7268</v>
      </c>
      <c r="H51" s="89">
        <f>2967-H52</f>
        <v>1702</v>
      </c>
    </row>
    <row r="52" spans="4:29" ht="13.2" customHeight="1">
      <c r="D52" s="89" t="s">
        <v>7269</v>
      </c>
      <c r="H52" s="89">
        <f>COUNTA(Data!BR9:BR1273)</f>
        <v>1265</v>
      </c>
    </row>
    <row r="53" spans="4:29" ht="13.2" customHeight="1"/>
    <row r="54" spans="4:29" ht="19.95" customHeight="1">
      <c r="AC54" s="16"/>
    </row>
    <row r="55" spans="4:29" ht="19.95" customHeight="1">
      <c r="AC55" s="16"/>
    </row>
    <row r="56" spans="4:29" ht="27.75" customHeight="1"/>
    <row r="57" spans="4:29" s="219" customFormat="1" ht="30" customHeight="1"/>
    <row r="58" spans="4:29" ht="20.25" customHeight="1"/>
    <row r="65" ht="13.2" customHeight="1"/>
  </sheetData>
  <pageMargins left="1" right="1" top="1" bottom="1" header="0.25" footer="0.25"/>
  <pageSetup orientation="portrait"/>
  <headerFooter>
    <oddFooter>&amp;C&amp;"Helvetica Neue,Regular"&amp;12 &amp;K000000&amp;P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8" tint="0.79998168889431442"/>
  </sheetPr>
  <dimension ref="A16:AG1281"/>
  <sheetViews>
    <sheetView workbookViewId="0">
      <selection activeCell="G24" sqref="G24"/>
    </sheetView>
  </sheetViews>
  <sheetFormatPr defaultColWidth="8.77734375" defaultRowHeight="13.2"/>
  <sheetData>
    <row r="16" spans="1:33">
      <c r="A16" s="1" t="s">
        <v>70</v>
      </c>
      <c r="B16" s="1" t="s">
        <v>71</v>
      </c>
      <c r="C16" s="1" t="s">
        <v>72</v>
      </c>
      <c r="D16" s="1" t="s">
        <v>74</v>
      </c>
      <c r="E16" s="1" t="s">
        <v>73</v>
      </c>
      <c r="F16" s="1" t="s">
        <v>74</v>
      </c>
      <c r="G16" s="1" t="s">
        <v>75</v>
      </c>
      <c r="H16" s="1" t="s">
        <v>85</v>
      </c>
      <c r="I16" s="1" t="s">
        <v>86</v>
      </c>
      <c r="J16" s="1" t="s">
        <v>87</v>
      </c>
      <c r="K16" s="1" t="s">
        <v>76</v>
      </c>
      <c r="L16" s="1" t="s">
        <v>88</v>
      </c>
      <c r="M16" s="1" t="s">
        <v>89</v>
      </c>
      <c r="N16" s="1" t="s">
        <v>90</v>
      </c>
      <c r="O16" s="1" t="s">
        <v>91</v>
      </c>
      <c r="P16" s="1" t="s">
        <v>92</v>
      </c>
      <c r="Q16" s="1" t="s">
        <v>93</v>
      </c>
      <c r="R16" s="1" t="s">
        <v>94</v>
      </c>
      <c r="S16" s="1" t="s">
        <v>95</v>
      </c>
      <c r="T16" s="1" t="s">
        <v>96</v>
      </c>
      <c r="U16" s="1" t="s">
        <v>97</v>
      </c>
      <c r="V16" s="1" t="s">
        <v>98</v>
      </c>
      <c r="W16" s="1" t="s">
        <v>99</v>
      </c>
      <c r="X16" s="1" t="s">
        <v>100</v>
      </c>
      <c r="Y16" s="1" t="s">
        <v>101</v>
      </c>
      <c r="Z16" s="1" t="s">
        <v>102</v>
      </c>
      <c r="AA16" s="1" t="s">
        <v>103</v>
      </c>
      <c r="AB16" s="1" t="s">
        <v>104</v>
      </c>
      <c r="AC16" s="1" t="s">
        <v>169</v>
      </c>
      <c r="AD16" s="1" t="s">
        <v>1148</v>
      </c>
      <c r="AE16" s="2"/>
      <c r="AF16" s="2"/>
      <c r="AG16" s="2"/>
    </row>
    <row r="17" spans="1:33">
      <c r="A17" s="3" t="s">
        <v>217</v>
      </c>
      <c r="B17" s="4" t="s">
        <v>218</v>
      </c>
      <c r="C17" s="5" t="s">
        <v>222</v>
      </c>
      <c r="D17" s="6">
        <v>171</v>
      </c>
      <c r="E17" s="5" t="s">
        <v>158</v>
      </c>
      <c r="F17" s="6">
        <v>171</v>
      </c>
      <c r="G17" s="6">
        <v>169.4</v>
      </c>
      <c r="H17" s="6">
        <v>107</v>
      </c>
      <c r="I17" s="6">
        <v>130</v>
      </c>
      <c r="J17" s="6">
        <v>129</v>
      </c>
      <c r="K17" s="6">
        <v>100</v>
      </c>
      <c r="L17" s="6">
        <v>115</v>
      </c>
      <c r="M17" s="6">
        <v>15.3</v>
      </c>
      <c r="N17" s="6">
        <v>1410</v>
      </c>
      <c r="O17" s="6">
        <v>1.32</v>
      </c>
      <c r="P17" s="6">
        <v>1864</v>
      </c>
      <c r="Q17" s="6">
        <v>217</v>
      </c>
      <c r="R17" s="6">
        <v>104</v>
      </c>
      <c r="S17" s="6">
        <v>61</v>
      </c>
      <c r="T17" s="6">
        <v>353</v>
      </c>
      <c r="U17" s="6">
        <v>14</v>
      </c>
      <c r="V17" s="6">
        <v>267</v>
      </c>
      <c r="W17" s="6">
        <v>0.23300000000000001</v>
      </c>
      <c r="X17" s="6">
        <v>214</v>
      </c>
      <c r="Y17" s="6">
        <v>182</v>
      </c>
      <c r="Z17" s="6">
        <v>139</v>
      </c>
      <c r="AA17" s="6">
        <v>4</v>
      </c>
      <c r="AB17" s="6">
        <v>11.9</v>
      </c>
      <c r="AC17" s="5" t="s">
        <v>185</v>
      </c>
      <c r="AD17" s="5" t="s">
        <v>198</v>
      </c>
      <c r="AE17" s="6"/>
      <c r="AF17" s="6"/>
      <c r="AG17" s="6"/>
    </row>
    <row r="18" spans="1:33">
      <c r="A18" s="7" t="s">
        <v>217</v>
      </c>
      <c r="B18" s="8" t="s">
        <v>218</v>
      </c>
      <c r="C18" s="9" t="s">
        <v>397</v>
      </c>
      <c r="D18" s="10">
        <v>163</v>
      </c>
      <c r="E18" s="9" t="s">
        <v>163</v>
      </c>
      <c r="F18" s="10">
        <v>163</v>
      </c>
      <c r="G18" s="10">
        <v>161.69999999999999</v>
      </c>
      <c r="H18" s="10">
        <v>111</v>
      </c>
      <c r="I18" s="10">
        <v>124</v>
      </c>
      <c r="J18" s="10">
        <v>132</v>
      </c>
      <c r="K18" s="10">
        <v>106</v>
      </c>
      <c r="L18" s="10">
        <v>118</v>
      </c>
      <c r="M18" s="10">
        <v>18.899999999999999</v>
      </c>
      <c r="N18" s="10">
        <v>1364</v>
      </c>
      <c r="O18" s="10">
        <v>1.35</v>
      </c>
      <c r="P18" s="10">
        <v>1840</v>
      </c>
      <c r="Q18" s="10">
        <v>210</v>
      </c>
      <c r="R18" s="10">
        <v>97</v>
      </c>
      <c r="S18" s="10">
        <v>43</v>
      </c>
      <c r="T18" s="10">
        <v>273</v>
      </c>
      <c r="U18" s="10">
        <v>22</v>
      </c>
      <c r="V18" s="10">
        <v>231</v>
      </c>
      <c r="W18" s="10">
        <v>0.52300000000000002</v>
      </c>
      <c r="X18" s="10">
        <v>194</v>
      </c>
      <c r="Y18" s="10">
        <v>181</v>
      </c>
      <c r="Z18" s="10">
        <v>79</v>
      </c>
      <c r="AA18" s="10">
        <v>5</v>
      </c>
      <c r="AB18" s="10">
        <v>10.7</v>
      </c>
      <c r="AC18" s="9" t="s">
        <v>169</v>
      </c>
      <c r="AD18" s="9" t="s">
        <v>185</v>
      </c>
      <c r="AE18" s="9" t="s">
        <v>198</v>
      </c>
      <c r="AF18" s="10"/>
      <c r="AG18" s="10"/>
    </row>
    <row r="19" spans="1:33">
      <c r="A19" s="7" t="s">
        <v>217</v>
      </c>
      <c r="B19" s="8" t="s">
        <v>218</v>
      </c>
      <c r="C19" s="9" t="s">
        <v>404</v>
      </c>
      <c r="D19" s="10">
        <v>168</v>
      </c>
      <c r="E19" s="9" t="s">
        <v>163</v>
      </c>
      <c r="F19" s="10">
        <v>168</v>
      </c>
      <c r="G19" s="10">
        <v>166.3</v>
      </c>
      <c r="H19" s="10">
        <v>95</v>
      </c>
      <c r="I19" s="10">
        <v>111</v>
      </c>
      <c r="J19" s="10">
        <v>136</v>
      </c>
      <c r="K19" s="10">
        <v>112</v>
      </c>
      <c r="L19" s="10">
        <v>124</v>
      </c>
      <c r="M19" s="10">
        <v>15.2</v>
      </c>
      <c r="N19" s="10">
        <v>1419</v>
      </c>
      <c r="O19" s="10">
        <v>1.4</v>
      </c>
      <c r="P19" s="10">
        <v>1992</v>
      </c>
      <c r="Q19" s="10">
        <v>212</v>
      </c>
      <c r="R19" s="10">
        <v>112</v>
      </c>
      <c r="S19" s="10">
        <v>64</v>
      </c>
      <c r="T19" s="10">
        <v>403</v>
      </c>
      <c r="U19" s="10">
        <v>36</v>
      </c>
      <c r="V19" s="10">
        <v>309</v>
      </c>
      <c r="W19" s="10">
        <v>0.55600000000000005</v>
      </c>
      <c r="X19" s="10">
        <v>298</v>
      </c>
      <c r="Y19" s="10">
        <v>253</v>
      </c>
      <c r="Z19" s="10">
        <v>104</v>
      </c>
      <c r="AA19" s="10">
        <v>4</v>
      </c>
      <c r="AB19" s="10">
        <v>13.3</v>
      </c>
      <c r="AC19" s="9" t="s">
        <v>169</v>
      </c>
      <c r="AD19" s="9" t="s">
        <v>185</v>
      </c>
      <c r="AE19" s="9" t="s">
        <v>198</v>
      </c>
      <c r="AF19" s="10"/>
      <c r="AG19" s="10"/>
    </row>
    <row r="20" spans="1:33">
      <c r="A20" s="7" t="s">
        <v>217</v>
      </c>
      <c r="B20" s="8" t="s">
        <v>218</v>
      </c>
      <c r="C20" s="9" t="s">
        <v>550</v>
      </c>
      <c r="D20" s="10">
        <v>178</v>
      </c>
      <c r="E20" s="9" t="s">
        <v>158</v>
      </c>
      <c r="F20" s="10">
        <v>178</v>
      </c>
      <c r="G20" s="10">
        <v>177.6</v>
      </c>
      <c r="H20" s="10">
        <v>118</v>
      </c>
      <c r="I20" s="10">
        <v>135</v>
      </c>
      <c r="J20" s="10">
        <v>125</v>
      </c>
      <c r="K20" s="10">
        <v>90</v>
      </c>
      <c r="L20" s="10">
        <v>109</v>
      </c>
      <c r="M20" s="10">
        <v>15</v>
      </c>
      <c r="N20" s="10">
        <v>1319</v>
      </c>
      <c r="O20" s="10">
        <v>1.38</v>
      </c>
      <c r="P20" s="10">
        <v>1819</v>
      </c>
      <c r="Q20" s="10">
        <v>201</v>
      </c>
      <c r="R20" s="10">
        <v>92</v>
      </c>
      <c r="S20" s="10">
        <v>60</v>
      </c>
      <c r="T20" s="10">
        <v>342</v>
      </c>
      <c r="U20" s="10">
        <v>13</v>
      </c>
      <c r="V20" s="10">
        <v>254</v>
      </c>
      <c r="W20" s="10">
        <v>0.215</v>
      </c>
      <c r="X20" s="10">
        <v>197</v>
      </c>
      <c r="Y20" s="10">
        <v>230</v>
      </c>
      <c r="Z20" s="10">
        <v>144</v>
      </c>
      <c r="AA20" s="10">
        <v>8</v>
      </c>
      <c r="AB20" s="10">
        <v>13</v>
      </c>
      <c r="AC20" s="9" t="s">
        <v>185</v>
      </c>
      <c r="AD20" s="9" t="s">
        <v>198</v>
      </c>
      <c r="AE20" s="10"/>
      <c r="AF20" s="10"/>
      <c r="AG20" s="10"/>
    </row>
    <row r="21" spans="1:33">
      <c r="A21" s="7" t="s">
        <v>217</v>
      </c>
      <c r="B21" s="8" t="s">
        <v>218</v>
      </c>
      <c r="C21" s="9" t="s">
        <v>219</v>
      </c>
      <c r="D21" s="10">
        <v>178</v>
      </c>
      <c r="E21" s="9" t="s">
        <v>158</v>
      </c>
      <c r="F21" s="10">
        <v>178</v>
      </c>
      <c r="G21" s="10">
        <v>176.2</v>
      </c>
      <c r="H21" s="10">
        <v>130</v>
      </c>
      <c r="I21" s="10">
        <v>146</v>
      </c>
      <c r="J21" s="10">
        <v>131</v>
      </c>
      <c r="K21" s="10">
        <v>94</v>
      </c>
      <c r="L21" s="10">
        <v>111</v>
      </c>
      <c r="M21" s="10">
        <v>18.899999999999999</v>
      </c>
      <c r="N21" s="10">
        <v>1372</v>
      </c>
      <c r="O21" s="10">
        <v>1.35</v>
      </c>
      <c r="P21" s="10">
        <v>1846</v>
      </c>
      <c r="Q21" s="10">
        <v>227</v>
      </c>
      <c r="R21" s="10">
        <v>101</v>
      </c>
      <c r="S21" s="10">
        <v>53</v>
      </c>
      <c r="T21" s="10">
        <v>269</v>
      </c>
      <c r="U21" s="10">
        <v>23</v>
      </c>
      <c r="V21" s="10">
        <v>189</v>
      </c>
      <c r="W21" s="10">
        <v>0.437</v>
      </c>
      <c r="X21" s="10">
        <v>143</v>
      </c>
      <c r="Y21" s="10">
        <v>159</v>
      </c>
      <c r="Z21" s="10">
        <v>125</v>
      </c>
      <c r="AA21" s="10">
        <v>6</v>
      </c>
      <c r="AB21" s="10">
        <v>10.8</v>
      </c>
      <c r="AC21" s="9" t="s">
        <v>185</v>
      </c>
      <c r="AD21" s="9" t="s">
        <v>198</v>
      </c>
      <c r="AE21" s="10"/>
      <c r="AF21" s="10"/>
      <c r="AG21" s="10"/>
    </row>
    <row r="22" spans="1:33">
      <c r="A22" s="7" t="s">
        <v>155</v>
      </c>
      <c r="B22" s="8" t="s">
        <v>1152</v>
      </c>
      <c r="C22" s="9" t="s">
        <v>1153</v>
      </c>
      <c r="D22" s="10">
        <v>186</v>
      </c>
      <c r="E22" s="9" t="s">
        <v>158</v>
      </c>
      <c r="F22" s="10">
        <v>186</v>
      </c>
      <c r="G22" s="10">
        <v>183.8</v>
      </c>
      <c r="H22" s="10">
        <v>0</v>
      </c>
      <c r="I22" s="10">
        <v>151</v>
      </c>
      <c r="J22" s="10">
        <v>136</v>
      </c>
      <c r="K22" s="10">
        <v>107</v>
      </c>
      <c r="L22" s="10">
        <v>130</v>
      </c>
      <c r="M22" s="10">
        <v>20.7</v>
      </c>
      <c r="N22" s="10">
        <v>1970</v>
      </c>
      <c r="O22" s="10">
        <v>1.0900000000000001</v>
      </c>
      <c r="P22" s="10">
        <v>2144</v>
      </c>
      <c r="Q22" s="10">
        <v>310</v>
      </c>
      <c r="R22" s="10">
        <v>129</v>
      </c>
      <c r="S22" s="10">
        <v>59</v>
      </c>
      <c r="T22" s="10">
        <v>971</v>
      </c>
      <c r="U22" s="10">
        <v>54</v>
      </c>
      <c r="V22" s="10">
        <v>867</v>
      </c>
      <c r="W22" s="10">
        <v>0.90200000000000002</v>
      </c>
      <c r="X22" s="10">
        <v>165</v>
      </c>
      <c r="Y22" s="10">
        <v>159</v>
      </c>
      <c r="Z22" s="10">
        <v>806</v>
      </c>
      <c r="AA22" s="10">
        <v>-10</v>
      </c>
      <c r="AB22" s="10">
        <v>5.2</v>
      </c>
      <c r="AC22" s="9" t="s">
        <v>184</v>
      </c>
      <c r="AD22" s="9" t="s">
        <v>169</v>
      </c>
      <c r="AE22" s="9" t="s">
        <v>185</v>
      </c>
      <c r="AF22" s="10"/>
      <c r="AG22" s="10"/>
    </row>
    <row r="23" spans="1:33">
      <c r="A23" s="7" t="s">
        <v>155</v>
      </c>
      <c r="B23" s="8" t="s">
        <v>1152</v>
      </c>
      <c r="C23" s="9" t="s">
        <v>884</v>
      </c>
      <c r="D23" s="10">
        <v>184</v>
      </c>
      <c r="E23" s="9" t="s">
        <v>158</v>
      </c>
      <c r="F23" s="10">
        <v>184</v>
      </c>
      <c r="G23" s="10">
        <v>182.7</v>
      </c>
      <c r="H23" s="10">
        <v>0</v>
      </c>
      <c r="I23" s="10">
        <v>132</v>
      </c>
      <c r="J23" s="10">
        <v>128</v>
      </c>
      <c r="K23" s="10">
        <v>112</v>
      </c>
      <c r="L23" s="10">
        <v>119</v>
      </c>
      <c r="M23" s="10">
        <v>30.1</v>
      </c>
      <c r="N23" s="10">
        <v>1920</v>
      </c>
      <c r="O23" s="10">
        <v>1.1000000000000001</v>
      </c>
      <c r="P23" s="10">
        <v>2118</v>
      </c>
      <c r="Q23" s="10">
        <v>297</v>
      </c>
      <c r="R23" s="10">
        <v>117</v>
      </c>
      <c r="S23" s="10">
        <v>76</v>
      </c>
      <c r="T23" s="10">
        <v>982</v>
      </c>
      <c r="U23" s="10">
        <v>28</v>
      </c>
      <c r="V23" s="10">
        <v>845</v>
      </c>
      <c r="W23" s="10">
        <v>0.36599999999999999</v>
      </c>
      <c r="X23" s="10">
        <v>209</v>
      </c>
      <c r="Y23" s="10">
        <v>301</v>
      </c>
      <c r="Z23" s="10">
        <v>773</v>
      </c>
      <c r="AA23" s="10">
        <v>-11</v>
      </c>
      <c r="AB23" s="10">
        <v>6.9</v>
      </c>
      <c r="AC23" s="9" t="s">
        <v>169</v>
      </c>
      <c r="AD23" s="9" t="s">
        <v>178</v>
      </c>
      <c r="AE23" s="9" t="s">
        <v>185</v>
      </c>
      <c r="AF23" s="10"/>
      <c r="AG23" s="10"/>
    </row>
    <row r="24" spans="1:33">
      <c r="A24" s="7" t="s">
        <v>155</v>
      </c>
      <c r="B24" s="8" t="s">
        <v>1152</v>
      </c>
      <c r="C24" s="9" t="s">
        <v>870</v>
      </c>
      <c r="D24" s="10">
        <v>170</v>
      </c>
      <c r="E24" s="9" t="s">
        <v>163</v>
      </c>
      <c r="F24" s="10">
        <v>170</v>
      </c>
      <c r="G24" s="10">
        <v>168.6</v>
      </c>
      <c r="H24" s="10">
        <v>0</v>
      </c>
      <c r="I24" s="10">
        <v>117</v>
      </c>
      <c r="J24" s="10">
        <v>125</v>
      </c>
      <c r="K24" s="10">
        <v>111</v>
      </c>
      <c r="L24" s="10">
        <v>117</v>
      </c>
      <c r="M24" s="10">
        <v>29.9</v>
      </c>
      <c r="N24" s="10">
        <v>1785</v>
      </c>
      <c r="O24" s="10">
        <v>1.08</v>
      </c>
      <c r="P24" s="10">
        <v>1933</v>
      </c>
      <c r="Q24" s="10">
        <v>258</v>
      </c>
      <c r="R24" s="10">
        <v>120</v>
      </c>
      <c r="S24" s="10">
        <v>76</v>
      </c>
      <c r="T24" s="10">
        <v>911</v>
      </c>
      <c r="U24" s="10">
        <v>31</v>
      </c>
      <c r="V24" s="10">
        <v>775</v>
      </c>
      <c r="W24" s="10">
        <v>0.41099999999999998</v>
      </c>
      <c r="X24" s="10">
        <v>200</v>
      </c>
      <c r="Y24" s="10">
        <v>314</v>
      </c>
      <c r="Z24" s="10">
        <v>711</v>
      </c>
      <c r="AA24" s="10">
        <v>-11</v>
      </c>
      <c r="AB24" s="10">
        <v>6.8</v>
      </c>
      <c r="AC24" s="9" t="s">
        <v>169</v>
      </c>
      <c r="AD24" s="9" t="s">
        <v>185</v>
      </c>
      <c r="AE24" s="10"/>
      <c r="AF24" s="10"/>
      <c r="AG24" s="10"/>
    </row>
    <row r="25" spans="1:33">
      <c r="A25" s="7" t="s">
        <v>155</v>
      </c>
      <c r="B25" s="8" t="s">
        <v>1152</v>
      </c>
      <c r="C25" s="9" t="s">
        <v>870</v>
      </c>
      <c r="D25" s="10">
        <v>177</v>
      </c>
      <c r="E25" s="9" t="s">
        <v>163</v>
      </c>
      <c r="F25" s="10">
        <v>177</v>
      </c>
      <c r="G25" s="10">
        <v>175.5</v>
      </c>
      <c r="H25" s="10">
        <v>0</v>
      </c>
      <c r="I25" s="10">
        <v>126</v>
      </c>
      <c r="J25" s="10">
        <v>126</v>
      </c>
      <c r="K25" s="10">
        <v>111</v>
      </c>
      <c r="L25" s="10">
        <v>118</v>
      </c>
      <c r="M25" s="10">
        <v>30.4</v>
      </c>
      <c r="N25" s="10">
        <v>1822</v>
      </c>
      <c r="O25" s="10">
        <v>1.1100000000000001</v>
      </c>
      <c r="P25" s="10">
        <v>2023</v>
      </c>
      <c r="Q25" s="10">
        <v>278</v>
      </c>
      <c r="R25" s="10">
        <v>123</v>
      </c>
      <c r="S25" s="10">
        <v>75</v>
      </c>
      <c r="T25" s="10">
        <v>945</v>
      </c>
      <c r="U25" s="10">
        <v>31</v>
      </c>
      <c r="V25" s="10">
        <v>810</v>
      </c>
      <c r="W25" s="10">
        <v>0.41</v>
      </c>
      <c r="X25" s="10">
        <v>200</v>
      </c>
      <c r="Y25" s="10">
        <v>299</v>
      </c>
      <c r="Z25" s="10">
        <v>745</v>
      </c>
      <c r="AA25" s="10">
        <v>-11</v>
      </c>
      <c r="AB25" s="10">
        <v>6.8</v>
      </c>
      <c r="AC25" s="9" t="s">
        <v>169</v>
      </c>
      <c r="AD25" s="9" t="s">
        <v>185</v>
      </c>
      <c r="AE25" s="10"/>
      <c r="AF25" s="10"/>
      <c r="AG25" s="10"/>
    </row>
    <row r="26" spans="1:33">
      <c r="A26" s="7" t="s">
        <v>155</v>
      </c>
      <c r="B26" s="8" t="s">
        <v>1152</v>
      </c>
      <c r="C26" s="9" t="s">
        <v>1154</v>
      </c>
      <c r="D26" s="10">
        <v>188</v>
      </c>
      <c r="E26" s="9" t="s">
        <v>158</v>
      </c>
      <c r="F26" s="10">
        <v>188</v>
      </c>
      <c r="G26" s="10">
        <v>185.7</v>
      </c>
      <c r="H26" s="10">
        <v>0</v>
      </c>
      <c r="I26" s="10">
        <v>136</v>
      </c>
      <c r="J26" s="10">
        <v>137</v>
      </c>
      <c r="K26" s="10">
        <v>117</v>
      </c>
      <c r="L26" s="10">
        <v>128</v>
      </c>
      <c r="M26" s="10">
        <v>25.5</v>
      </c>
      <c r="N26" s="10">
        <v>1998</v>
      </c>
      <c r="O26" s="10">
        <v>1.1399999999999999</v>
      </c>
      <c r="P26" s="10">
        <v>2273</v>
      </c>
      <c r="Q26" s="10">
        <v>275</v>
      </c>
      <c r="R26" s="10">
        <v>106</v>
      </c>
      <c r="S26" s="10">
        <v>61</v>
      </c>
      <c r="T26" s="10">
        <v>989</v>
      </c>
      <c r="U26" s="10">
        <v>51</v>
      </c>
      <c r="V26" s="10">
        <v>868</v>
      </c>
      <c r="W26" s="10">
        <v>0.83699999999999997</v>
      </c>
      <c r="X26" s="10">
        <v>229</v>
      </c>
      <c r="Y26" s="10">
        <v>272</v>
      </c>
      <c r="Z26" s="10">
        <v>760</v>
      </c>
      <c r="AA26" s="10">
        <v>-3</v>
      </c>
      <c r="AB26" s="10">
        <v>6</v>
      </c>
      <c r="AC26" s="9" t="s">
        <v>184</v>
      </c>
      <c r="AD26" s="9" t="s">
        <v>169</v>
      </c>
      <c r="AE26" s="9" t="s">
        <v>185</v>
      </c>
      <c r="AF26" s="10"/>
      <c r="AG26" s="10"/>
    </row>
    <row r="27" spans="1:33">
      <c r="A27" s="7" t="s">
        <v>155</v>
      </c>
      <c r="B27" s="8" t="s">
        <v>1152</v>
      </c>
      <c r="C27" s="9" t="s">
        <v>632</v>
      </c>
      <c r="D27" s="10">
        <v>181</v>
      </c>
      <c r="E27" s="9" t="s">
        <v>158</v>
      </c>
      <c r="F27" s="10">
        <v>181</v>
      </c>
      <c r="G27" s="10">
        <v>179.9</v>
      </c>
      <c r="H27" s="10">
        <v>126</v>
      </c>
      <c r="I27" s="10">
        <v>149</v>
      </c>
      <c r="J27" s="10">
        <v>138</v>
      </c>
      <c r="K27" s="10">
        <v>106</v>
      </c>
      <c r="L27" s="10">
        <v>128</v>
      </c>
      <c r="M27" s="10">
        <v>19.899999999999999</v>
      </c>
      <c r="N27" s="10">
        <v>2090</v>
      </c>
      <c r="O27" s="10">
        <v>1</v>
      </c>
      <c r="P27" s="10">
        <v>2091</v>
      </c>
      <c r="Q27" s="10">
        <v>221</v>
      </c>
      <c r="R27" s="10">
        <v>113</v>
      </c>
      <c r="S27" s="10">
        <v>58</v>
      </c>
      <c r="T27" s="10">
        <v>316</v>
      </c>
      <c r="U27" s="10">
        <v>19</v>
      </c>
      <c r="V27" s="10">
        <v>221</v>
      </c>
      <c r="W27" s="10">
        <v>0.32200000000000001</v>
      </c>
      <c r="X27" s="10">
        <v>169</v>
      </c>
      <c r="Y27" s="10">
        <v>141</v>
      </c>
      <c r="Z27" s="10">
        <v>147</v>
      </c>
      <c r="AA27" s="10">
        <v>5</v>
      </c>
      <c r="AB27" s="10">
        <v>8.8000000000000007</v>
      </c>
      <c r="AC27" s="9" t="s">
        <v>178</v>
      </c>
      <c r="AD27" s="10"/>
      <c r="AE27" s="10"/>
      <c r="AF27" s="10"/>
      <c r="AG27" s="10"/>
    </row>
    <row r="28" spans="1:33">
      <c r="A28" s="7" t="s">
        <v>155</v>
      </c>
      <c r="B28" s="8" t="s">
        <v>1152</v>
      </c>
      <c r="C28" s="9" t="s">
        <v>879</v>
      </c>
      <c r="D28" s="10">
        <v>181</v>
      </c>
      <c r="E28" s="9" t="s">
        <v>158</v>
      </c>
      <c r="F28" s="10">
        <v>181</v>
      </c>
      <c r="G28" s="10">
        <v>180.2</v>
      </c>
      <c r="H28" s="10">
        <v>131</v>
      </c>
      <c r="I28" s="10">
        <v>151</v>
      </c>
      <c r="J28" s="10">
        <v>134</v>
      </c>
      <c r="K28" s="10">
        <v>98</v>
      </c>
      <c r="L28" s="10">
        <v>122</v>
      </c>
      <c r="M28" s="10">
        <v>17.8</v>
      </c>
      <c r="N28" s="10">
        <v>2261</v>
      </c>
      <c r="O28" s="10">
        <v>0.88</v>
      </c>
      <c r="P28" s="10">
        <v>1982</v>
      </c>
      <c r="Q28" s="10">
        <v>248</v>
      </c>
      <c r="R28" s="10">
        <v>153</v>
      </c>
      <c r="S28" s="10">
        <v>51</v>
      </c>
      <c r="T28" s="10">
        <v>285</v>
      </c>
      <c r="U28" s="10">
        <v>14</v>
      </c>
      <c r="V28" s="10">
        <v>206</v>
      </c>
      <c r="W28" s="10">
        <v>0.28299999999999997</v>
      </c>
      <c r="X28" s="10">
        <v>160</v>
      </c>
      <c r="Y28" s="10">
        <v>132</v>
      </c>
      <c r="Z28" s="10">
        <v>125</v>
      </c>
      <c r="AA28" s="10">
        <v>5</v>
      </c>
      <c r="AB28" s="10">
        <v>8.9</v>
      </c>
      <c r="AC28" s="9" t="s">
        <v>188</v>
      </c>
      <c r="AD28" s="10"/>
      <c r="AE28" s="10"/>
      <c r="AF28" s="10"/>
      <c r="AG28" s="10"/>
    </row>
    <row r="29" spans="1:33">
      <c r="A29" s="7" t="s">
        <v>155</v>
      </c>
      <c r="B29" s="8" t="s">
        <v>1152</v>
      </c>
      <c r="C29" s="9" t="s">
        <v>745</v>
      </c>
      <c r="D29" s="10">
        <v>171</v>
      </c>
      <c r="E29" s="9" t="s">
        <v>163</v>
      </c>
      <c r="F29" s="10">
        <v>171</v>
      </c>
      <c r="G29" s="10">
        <v>170.4</v>
      </c>
      <c r="H29" s="10">
        <v>128</v>
      </c>
      <c r="I29" s="10">
        <v>143</v>
      </c>
      <c r="J29" s="10">
        <v>133</v>
      </c>
      <c r="K29" s="10">
        <v>98</v>
      </c>
      <c r="L29" s="10">
        <v>121</v>
      </c>
      <c r="M29" s="10">
        <v>16.600000000000001</v>
      </c>
      <c r="N29" s="10">
        <v>1988</v>
      </c>
      <c r="O29" s="10">
        <v>0.94</v>
      </c>
      <c r="P29" s="10">
        <v>1865</v>
      </c>
      <c r="Q29" s="10">
        <v>205</v>
      </c>
      <c r="R29" s="10">
        <v>125</v>
      </c>
      <c r="S29" s="10">
        <v>43</v>
      </c>
      <c r="T29" s="10">
        <v>257</v>
      </c>
      <c r="U29" s="10">
        <v>8</v>
      </c>
      <c r="V29" s="10">
        <v>162</v>
      </c>
      <c r="W29" s="10">
        <v>0.191</v>
      </c>
      <c r="X29" s="10">
        <v>151</v>
      </c>
      <c r="Y29" s="10">
        <v>125</v>
      </c>
      <c r="Z29" s="10">
        <v>107</v>
      </c>
      <c r="AA29" s="10">
        <v>8</v>
      </c>
      <c r="AB29" s="10">
        <v>7.9</v>
      </c>
      <c r="AC29" s="9" t="s">
        <v>188</v>
      </c>
      <c r="AD29" s="10"/>
      <c r="AE29" s="10"/>
      <c r="AF29" s="10"/>
      <c r="AG29" s="10"/>
    </row>
    <row r="30" spans="1:33">
      <c r="A30" s="7" t="s">
        <v>155</v>
      </c>
      <c r="B30" s="8" t="s">
        <v>1152</v>
      </c>
      <c r="C30" s="9" t="s">
        <v>192</v>
      </c>
      <c r="D30" s="10">
        <v>184</v>
      </c>
      <c r="E30" s="9" t="s">
        <v>158</v>
      </c>
      <c r="F30" s="10">
        <v>184</v>
      </c>
      <c r="G30" s="10">
        <v>182.6</v>
      </c>
      <c r="H30" s="10">
        <v>0</v>
      </c>
      <c r="I30" s="10">
        <v>130</v>
      </c>
      <c r="J30" s="10">
        <v>121</v>
      </c>
      <c r="K30" s="10">
        <v>103</v>
      </c>
      <c r="L30" s="10">
        <v>111</v>
      </c>
      <c r="M30" s="10">
        <v>28.4</v>
      </c>
      <c r="N30" s="10">
        <v>1810</v>
      </c>
      <c r="O30" s="10">
        <v>1.0900000000000001</v>
      </c>
      <c r="P30" s="10">
        <v>1969</v>
      </c>
      <c r="Q30" s="10">
        <v>221</v>
      </c>
      <c r="R30" s="10">
        <v>96</v>
      </c>
      <c r="S30" s="10">
        <v>67</v>
      </c>
      <c r="T30" s="10">
        <v>972</v>
      </c>
      <c r="U30" s="10">
        <v>26</v>
      </c>
      <c r="V30" s="10">
        <v>854</v>
      </c>
      <c r="W30" s="10">
        <v>0.39400000000000002</v>
      </c>
      <c r="X30" s="10">
        <v>216</v>
      </c>
      <c r="Y30" s="10">
        <v>309</v>
      </c>
      <c r="Z30" s="10">
        <v>756</v>
      </c>
      <c r="AA30" s="10">
        <v>-7</v>
      </c>
      <c r="AB30" s="10">
        <v>5.9</v>
      </c>
      <c r="AC30" s="9" t="s">
        <v>188</v>
      </c>
      <c r="AD30" s="9" t="s">
        <v>169</v>
      </c>
      <c r="AE30" s="9" t="s">
        <v>178</v>
      </c>
      <c r="AF30" s="9" t="s">
        <v>185</v>
      </c>
      <c r="AG30" s="10"/>
    </row>
    <row r="31" spans="1:33">
      <c r="A31" s="7" t="s">
        <v>155</v>
      </c>
      <c r="B31" s="8" t="s">
        <v>1152</v>
      </c>
      <c r="C31" s="9" t="s">
        <v>195</v>
      </c>
      <c r="D31" s="10">
        <v>184</v>
      </c>
      <c r="E31" s="9" t="s">
        <v>158</v>
      </c>
      <c r="F31" s="10">
        <v>184</v>
      </c>
      <c r="G31" s="10">
        <v>182.2</v>
      </c>
      <c r="H31" s="10">
        <v>0</v>
      </c>
      <c r="I31" s="10">
        <v>131</v>
      </c>
      <c r="J31" s="10">
        <v>136</v>
      </c>
      <c r="K31" s="10">
        <v>122</v>
      </c>
      <c r="L31" s="10">
        <v>129</v>
      </c>
      <c r="M31" s="10">
        <v>31.2</v>
      </c>
      <c r="N31" s="10">
        <v>2031</v>
      </c>
      <c r="O31" s="10">
        <v>1.1200000000000001</v>
      </c>
      <c r="P31" s="10">
        <v>2279</v>
      </c>
      <c r="Q31" s="10">
        <v>287</v>
      </c>
      <c r="R31" s="10">
        <v>124</v>
      </c>
      <c r="S31" s="10">
        <v>83</v>
      </c>
      <c r="T31" s="10">
        <v>968</v>
      </c>
      <c r="U31" s="10">
        <v>34</v>
      </c>
      <c r="V31" s="10">
        <v>854</v>
      </c>
      <c r="W31" s="10">
        <v>0.40500000000000003</v>
      </c>
      <c r="X31" s="10">
        <v>238</v>
      </c>
      <c r="Y31" s="10">
        <v>276</v>
      </c>
      <c r="Z31" s="10">
        <v>730</v>
      </c>
      <c r="AA31" s="10">
        <v>-10</v>
      </c>
      <c r="AB31" s="10">
        <v>5.7</v>
      </c>
      <c r="AC31" s="9" t="s">
        <v>169</v>
      </c>
      <c r="AD31" s="9" t="s">
        <v>185</v>
      </c>
      <c r="AE31" s="10"/>
      <c r="AF31" s="10"/>
      <c r="AG31" s="10"/>
    </row>
    <row r="32" spans="1:33">
      <c r="A32" s="7" t="s">
        <v>155</v>
      </c>
      <c r="B32" s="8" t="s">
        <v>1152</v>
      </c>
      <c r="C32" s="9" t="s">
        <v>191</v>
      </c>
      <c r="D32" s="10">
        <v>184</v>
      </c>
      <c r="E32" s="9" t="s">
        <v>158</v>
      </c>
      <c r="F32" s="10">
        <v>184</v>
      </c>
      <c r="G32" s="10">
        <v>182.1</v>
      </c>
      <c r="H32" s="10">
        <v>146</v>
      </c>
      <c r="I32" s="10">
        <v>149</v>
      </c>
      <c r="J32" s="10">
        <v>126</v>
      </c>
      <c r="K32" s="10">
        <v>98</v>
      </c>
      <c r="L32" s="10">
        <v>122</v>
      </c>
      <c r="M32" s="10">
        <v>18.8</v>
      </c>
      <c r="N32" s="10">
        <v>1760</v>
      </c>
      <c r="O32" s="10">
        <v>1.1200000000000001</v>
      </c>
      <c r="P32" s="10">
        <v>1978</v>
      </c>
      <c r="Q32" s="10">
        <v>181</v>
      </c>
      <c r="R32" s="10">
        <v>87</v>
      </c>
      <c r="S32" s="10">
        <v>40</v>
      </c>
      <c r="T32" s="10">
        <v>202</v>
      </c>
      <c r="U32" s="10">
        <v>30</v>
      </c>
      <c r="V32" s="10">
        <v>155</v>
      </c>
      <c r="W32" s="10">
        <v>0.746</v>
      </c>
      <c r="X32" s="10">
        <v>176</v>
      </c>
      <c r="Y32" s="10">
        <v>154</v>
      </c>
      <c r="Z32" s="10">
        <v>27</v>
      </c>
      <c r="AA32" s="10">
        <v>8</v>
      </c>
      <c r="AB32" s="10">
        <v>3.6</v>
      </c>
      <c r="AC32" s="9" t="s">
        <v>188</v>
      </c>
      <c r="AD32" s="9" t="s">
        <v>185</v>
      </c>
      <c r="AE32" s="10"/>
      <c r="AF32" s="10"/>
      <c r="AG32" s="10"/>
    </row>
    <row r="33" spans="1:33">
      <c r="A33" s="7" t="s">
        <v>155</v>
      </c>
      <c r="B33" s="8" t="s">
        <v>182</v>
      </c>
      <c r="C33" s="9" t="s">
        <v>187</v>
      </c>
      <c r="D33" s="10">
        <v>172</v>
      </c>
      <c r="E33" s="9" t="s">
        <v>158</v>
      </c>
      <c r="F33" s="10">
        <v>172</v>
      </c>
      <c r="G33" s="10">
        <v>170.4</v>
      </c>
      <c r="H33" s="10">
        <v>119</v>
      </c>
      <c r="I33" s="10">
        <v>140</v>
      </c>
      <c r="J33" s="10">
        <v>132</v>
      </c>
      <c r="K33" s="10">
        <v>105</v>
      </c>
      <c r="L33" s="10">
        <v>122</v>
      </c>
      <c r="M33" s="10">
        <v>20</v>
      </c>
      <c r="N33" s="10">
        <v>1948</v>
      </c>
      <c r="O33" s="10">
        <v>0.98</v>
      </c>
      <c r="P33" s="10">
        <v>1900</v>
      </c>
      <c r="Q33" s="10">
        <v>187</v>
      </c>
      <c r="R33" s="10">
        <v>103</v>
      </c>
      <c r="S33" s="10">
        <v>55</v>
      </c>
      <c r="T33" s="10">
        <v>280</v>
      </c>
      <c r="U33" s="10">
        <v>43</v>
      </c>
      <c r="V33" s="10">
        <v>237</v>
      </c>
      <c r="W33" s="10">
        <v>0.78</v>
      </c>
      <c r="X33" s="10">
        <v>150</v>
      </c>
      <c r="Y33" s="10">
        <v>155</v>
      </c>
      <c r="Z33" s="10">
        <v>130</v>
      </c>
      <c r="AA33" s="10">
        <v>7</v>
      </c>
      <c r="AB33" s="10">
        <v>5.4</v>
      </c>
      <c r="AC33" s="9" t="s">
        <v>188</v>
      </c>
      <c r="AD33" s="9" t="s">
        <v>169</v>
      </c>
      <c r="AE33" s="10"/>
      <c r="AF33" s="10"/>
      <c r="AG33" s="10"/>
    </row>
    <row r="34" spans="1:33">
      <c r="A34" s="7" t="s">
        <v>155</v>
      </c>
      <c r="B34" s="8" t="s">
        <v>182</v>
      </c>
      <c r="C34" s="9" t="s">
        <v>187</v>
      </c>
      <c r="D34" s="10">
        <v>180</v>
      </c>
      <c r="E34" s="9" t="s">
        <v>158</v>
      </c>
      <c r="F34" s="10">
        <v>180</v>
      </c>
      <c r="G34" s="10">
        <v>177.9</v>
      </c>
      <c r="H34" s="10">
        <v>125</v>
      </c>
      <c r="I34" s="10">
        <v>140</v>
      </c>
      <c r="J34" s="10">
        <v>132</v>
      </c>
      <c r="K34" s="10">
        <v>105</v>
      </c>
      <c r="L34" s="10">
        <v>121</v>
      </c>
      <c r="M34" s="10">
        <v>20.7</v>
      </c>
      <c r="N34" s="10">
        <v>2142</v>
      </c>
      <c r="O34" s="10">
        <v>0.93</v>
      </c>
      <c r="P34" s="10">
        <v>1983</v>
      </c>
      <c r="Q34" s="10">
        <v>242</v>
      </c>
      <c r="R34" s="10">
        <v>119</v>
      </c>
      <c r="S34" s="10">
        <v>53</v>
      </c>
      <c r="T34" s="10">
        <v>285</v>
      </c>
      <c r="U34" s="10">
        <v>46</v>
      </c>
      <c r="V34" s="10">
        <v>242</v>
      </c>
      <c r="W34" s="10">
        <v>0.85199999999999998</v>
      </c>
      <c r="X34" s="10">
        <v>177</v>
      </c>
      <c r="Y34" s="10">
        <v>200</v>
      </c>
      <c r="Z34" s="10">
        <v>108</v>
      </c>
      <c r="AA34" s="10">
        <v>8</v>
      </c>
      <c r="AB34" s="10">
        <v>5.4</v>
      </c>
      <c r="AC34" s="9" t="s">
        <v>188</v>
      </c>
      <c r="AD34" s="9" t="s">
        <v>184</v>
      </c>
      <c r="AE34" s="9" t="s">
        <v>169</v>
      </c>
      <c r="AF34" s="10"/>
      <c r="AG34" s="10"/>
    </row>
    <row r="35" spans="1:33">
      <c r="A35" s="7" t="s">
        <v>155</v>
      </c>
      <c r="B35" s="8" t="s">
        <v>182</v>
      </c>
      <c r="C35" s="9" t="s">
        <v>187</v>
      </c>
      <c r="D35" s="10">
        <v>188</v>
      </c>
      <c r="E35" s="9" t="s">
        <v>158</v>
      </c>
      <c r="F35" s="10">
        <v>188</v>
      </c>
      <c r="G35" s="10">
        <v>186.1</v>
      </c>
      <c r="H35" s="10">
        <v>131</v>
      </c>
      <c r="I35" s="10">
        <v>151</v>
      </c>
      <c r="J35" s="10">
        <v>136</v>
      </c>
      <c r="K35" s="10">
        <v>105</v>
      </c>
      <c r="L35" s="10">
        <v>124</v>
      </c>
      <c r="M35" s="10">
        <v>21.8</v>
      </c>
      <c r="N35" s="10">
        <v>2335</v>
      </c>
      <c r="O35" s="10">
        <v>0.9</v>
      </c>
      <c r="P35" s="10">
        <v>2091</v>
      </c>
      <c r="Q35" s="10">
        <v>263</v>
      </c>
      <c r="R35" s="10">
        <v>135</v>
      </c>
      <c r="S35" s="10">
        <v>56</v>
      </c>
      <c r="T35" s="10">
        <v>298</v>
      </c>
      <c r="U35" s="10">
        <v>46</v>
      </c>
      <c r="V35" s="10">
        <v>253</v>
      </c>
      <c r="W35" s="10">
        <v>0.82299999999999995</v>
      </c>
      <c r="X35" s="10">
        <v>174</v>
      </c>
      <c r="Y35" s="10">
        <v>174</v>
      </c>
      <c r="Z35" s="10">
        <v>125</v>
      </c>
      <c r="AA35" s="10">
        <v>9</v>
      </c>
      <c r="AB35" s="10">
        <v>5.2</v>
      </c>
      <c r="AC35" s="9" t="s">
        <v>188</v>
      </c>
      <c r="AD35" s="9" t="s">
        <v>184</v>
      </c>
      <c r="AE35" s="9" t="s">
        <v>169</v>
      </c>
      <c r="AF35" s="10"/>
      <c r="AG35" s="10"/>
    </row>
    <row r="36" spans="1:33">
      <c r="A36" s="7" t="s">
        <v>155</v>
      </c>
      <c r="B36" s="8" t="s">
        <v>182</v>
      </c>
      <c r="C36" s="9" t="s">
        <v>183</v>
      </c>
      <c r="D36" s="10">
        <v>165</v>
      </c>
      <c r="E36" s="9" t="s">
        <v>158</v>
      </c>
      <c r="F36" s="10">
        <v>165</v>
      </c>
      <c r="G36" s="10">
        <v>163.4</v>
      </c>
      <c r="H36" s="10">
        <v>101</v>
      </c>
      <c r="I36" s="10">
        <v>122</v>
      </c>
      <c r="J36" s="10">
        <v>137</v>
      </c>
      <c r="K36" s="10">
        <v>115</v>
      </c>
      <c r="L36" s="10">
        <v>133</v>
      </c>
      <c r="M36" s="10">
        <v>16.2</v>
      </c>
      <c r="N36" s="10">
        <v>1617</v>
      </c>
      <c r="O36" s="10">
        <v>1.24</v>
      </c>
      <c r="P36" s="10">
        <v>2008</v>
      </c>
      <c r="Q36" s="10">
        <v>166</v>
      </c>
      <c r="R36" s="10">
        <v>94</v>
      </c>
      <c r="S36" s="10">
        <v>57</v>
      </c>
      <c r="T36" s="10">
        <v>324</v>
      </c>
      <c r="U36" s="10">
        <v>56</v>
      </c>
      <c r="V36" s="10">
        <v>304</v>
      </c>
      <c r="W36" s="10">
        <v>0.98699999999999999</v>
      </c>
      <c r="X36" s="10">
        <v>226</v>
      </c>
      <c r="Y36" s="10">
        <v>188</v>
      </c>
      <c r="Z36" s="10">
        <v>98</v>
      </c>
      <c r="AA36" s="10">
        <v>5</v>
      </c>
      <c r="AB36" s="10">
        <v>5.8</v>
      </c>
      <c r="AC36" s="9" t="s">
        <v>184</v>
      </c>
      <c r="AD36" s="9" t="s">
        <v>169</v>
      </c>
      <c r="AE36" s="9" t="s">
        <v>185</v>
      </c>
      <c r="AF36" s="10"/>
      <c r="AG36" s="10"/>
    </row>
    <row r="37" spans="1:33">
      <c r="A37" s="7" t="s">
        <v>155</v>
      </c>
      <c r="B37" s="8" t="s">
        <v>182</v>
      </c>
      <c r="C37" s="9" t="s">
        <v>183</v>
      </c>
      <c r="D37" s="10">
        <v>175</v>
      </c>
      <c r="E37" s="9" t="s">
        <v>158</v>
      </c>
      <c r="F37" s="10">
        <v>175</v>
      </c>
      <c r="G37" s="10">
        <v>173.2</v>
      </c>
      <c r="H37" s="10">
        <v>103</v>
      </c>
      <c r="I37" s="10">
        <v>130</v>
      </c>
      <c r="J37" s="10">
        <v>138</v>
      </c>
      <c r="K37" s="10">
        <v>115</v>
      </c>
      <c r="L37" s="10">
        <v>135</v>
      </c>
      <c r="M37" s="10">
        <v>17.5</v>
      </c>
      <c r="N37" s="10">
        <v>1700</v>
      </c>
      <c r="O37" s="10">
        <v>1.24</v>
      </c>
      <c r="P37" s="10">
        <v>2109</v>
      </c>
      <c r="Q37" s="10">
        <v>185</v>
      </c>
      <c r="R37" s="10">
        <v>96</v>
      </c>
      <c r="S37" s="10">
        <v>63</v>
      </c>
      <c r="T37" s="10">
        <v>359</v>
      </c>
      <c r="U37" s="10">
        <v>63</v>
      </c>
      <c r="V37" s="10">
        <v>344</v>
      </c>
      <c r="W37" s="10">
        <v>0.98599999999999999</v>
      </c>
      <c r="X37" s="10">
        <v>239</v>
      </c>
      <c r="Y37" s="10">
        <v>197</v>
      </c>
      <c r="Z37" s="10">
        <v>120</v>
      </c>
      <c r="AA37" s="10">
        <v>3</v>
      </c>
      <c r="AB37" s="10">
        <v>6</v>
      </c>
      <c r="AC37" s="9" t="s">
        <v>184</v>
      </c>
      <c r="AD37" s="9" t="s">
        <v>169</v>
      </c>
      <c r="AE37" s="9" t="s">
        <v>185</v>
      </c>
      <c r="AF37" s="10"/>
      <c r="AG37" s="10"/>
    </row>
    <row r="38" spans="1:33">
      <c r="A38" s="7" t="s">
        <v>155</v>
      </c>
      <c r="B38" s="8" t="s">
        <v>182</v>
      </c>
      <c r="C38" s="9" t="s">
        <v>183</v>
      </c>
      <c r="D38" s="10">
        <v>185</v>
      </c>
      <c r="E38" s="9" t="s">
        <v>158</v>
      </c>
      <c r="F38" s="10">
        <v>185</v>
      </c>
      <c r="G38" s="10">
        <v>183</v>
      </c>
      <c r="H38" s="10">
        <v>113</v>
      </c>
      <c r="I38" s="10">
        <v>136</v>
      </c>
      <c r="J38" s="10">
        <v>138</v>
      </c>
      <c r="K38" s="10">
        <v>115</v>
      </c>
      <c r="L38" s="10">
        <v>134</v>
      </c>
      <c r="M38" s="10">
        <v>18.5</v>
      </c>
      <c r="N38" s="10">
        <v>1783</v>
      </c>
      <c r="O38" s="10">
        <v>1.24</v>
      </c>
      <c r="P38" s="10">
        <v>2218</v>
      </c>
      <c r="Q38" s="10">
        <v>203</v>
      </c>
      <c r="R38" s="10">
        <v>103</v>
      </c>
      <c r="S38" s="10">
        <v>66</v>
      </c>
      <c r="T38" s="10">
        <v>361</v>
      </c>
      <c r="U38" s="10">
        <v>63</v>
      </c>
      <c r="V38" s="10">
        <v>340</v>
      </c>
      <c r="W38" s="10">
        <v>0.95299999999999996</v>
      </c>
      <c r="X38" s="10">
        <v>236</v>
      </c>
      <c r="Y38" s="10">
        <v>231</v>
      </c>
      <c r="Z38" s="10">
        <v>124</v>
      </c>
      <c r="AA38" s="10">
        <v>4</v>
      </c>
      <c r="AB38" s="10">
        <v>5.4</v>
      </c>
      <c r="AC38" s="9" t="s">
        <v>184</v>
      </c>
      <c r="AD38" s="9" t="s">
        <v>169</v>
      </c>
      <c r="AE38" s="9" t="s">
        <v>185</v>
      </c>
      <c r="AF38" s="10"/>
      <c r="AG38" s="10"/>
    </row>
    <row r="39" spans="1:33">
      <c r="A39" s="7" t="s">
        <v>155</v>
      </c>
      <c r="B39" s="8" t="s">
        <v>182</v>
      </c>
      <c r="C39" s="9" t="s">
        <v>183</v>
      </c>
      <c r="D39" s="10">
        <v>192</v>
      </c>
      <c r="E39" s="9" t="s">
        <v>158</v>
      </c>
      <c r="F39" s="10">
        <v>192</v>
      </c>
      <c r="G39" s="10">
        <v>188.2</v>
      </c>
      <c r="H39" s="10">
        <v>121</v>
      </c>
      <c r="I39" s="10">
        <v>138</v>
      </c>
      <c r="J39" s="10">
        <v>138</v>
      </c>
      <c r="K39" s="10">
        <v>115</v>
      </c>
      <c r="L39" s="10">
        <v>134</v>
      </c>
      <c r="M39" s="10">
        <v>19.3</v>
      </c>
      <c r="N39" s="10">
        <v>1874</v>
      </c>
      <c r="O39" s="10">
        <v>1.21</v>
      </c>
      <c r="P39" s="10">
        <v>2270</v>
      </c>
      <c r="Q39" s="10">
        <v>239</v>
      </c>
      <c r="R39" s="10">
        <v>118</v>
      </c>
      <c r="S39" s="10">
        <v>62</v>
      </c>
      <c r="T39" s="10">
        <v>359</v>
      </c>
      <c r="U39" s="10">
        <v>52</v>
      </c>
      <c r="V39" s="10">
        <v>318</v>
      </c>
      <c r="W39" s="10">
        <v>0.83899999999999997</v>
      </c>
      <c r="X39" s="10">
        <v>270</v>
      </c>
      <c r="Y39" s="10">
        <v>234</v>
      </c>
      <c r="Z39" s="10">
        <v>89</v>
      </c>
      <c r="AA39" s="10">
        <v>5</v>
      </c>
      <c r="AB39" s="10">
        <v>6.7</v>
      </c>
      <c r="AC39" s="9" t="s">
        <v>184</v>
      </c>
      <c r="AD39" s="9" t="s">
        <v>169</v>
      </c>
      <c r="AE39" s="9" t="s">
        <v>185</v>
      </c>
      <c r="AF39" s="10"/>
      <c r="AG39" s="10"/>
    </row>
    <row r="40" spans="1:33">
      <c r="A40" s="7" t="s">
        <v>155</v>
      </c>
      <c r="B40" s="8" t="s">
        <v>182</v>
      </c>
      <c r="C40" s="9" t="s">
        <v>193</v>
      </c>
      <c r="D40" s="10">
        <v>143</v>
      </c>
      <c r="E40" s="9" t="s">
        <v>158</v>
      </c>
      <c r="F40" s="10">
        <v>143</v>
      </c>
      <c r="G40" s="10">
        <v>140.9</v>
      </c>
      <c r="H40" s="10">
        <v>98</v>
      </c>
      <c r="I40" s="10">
        <v>116</v>
      </c>
      <c r="J40" s="10">
        <v>116</v>
      </c>
      <c r="K40" s="10">
        <v>84</v>
      </c>
      <c r="L40" s="10">
        <v>108</v>
      </c>
      <c r="M40" s="10">
        <v>10.5</v>
      </c>
      <c r="N40" s="10">
        <v>1373</v>
      </c>
      <c r="O40" s="10">
        <v>0.99</v>
      </c>
      <c r="P40" s="10">
        <v>1353</v>
      </c>
      <c r="Q40" s="10">
        <v>112</v>
      </c>
      <c r="R40" s="10">
        <v>43</v>
      </c>
      <c r="S40" s="10">
        <v>47</v>
      </c>
      <c r="T40" s="10">
        <v>245</v>
      </c>
      <c r="U40" s="10">
        <v>37</v>
      </c>
      <c r="V40" s="10">
        <v>189</v>
      </c>
      <c r="W40" s="10">
        <v>0.76900000000000002</v>
      </c>
      <c r="X40" s="10">
        <v>130</v>
      </c>
      <c r="Y40" s="10">
        <v>114</v>
      </c>
      <c r="Z40" s="10">
        <v>115</v>
      </c>
      <c r="AA40" s="10">
        <v>5</v>
      </c>
      <c r="AB40" s="10">
        <v>9.1</v>
      </c>
      <c r="AC40" s="9" t="s">
        <v>188</v>
      </c>
      <c r="AD40" s="10"/>
      <c r="AE40" s="10"/>
      <c r="AF40" s="10"/>
      <c r="AG40" s="10"/>
    </row>
    <row r="41" spans="1:33">
      <c r="A41" s="7" t="s">
        <v>155</v>
      </c>
      <c r="B41" s="8" t="s">
        <v>182</v>
      </c>
      <c r="C41" s="9" t="s">
        <v>193</v>
      </c>
      <c r="D41" s="10">
        <v>150</v>
      </c>
      <c r="E41" s="9" t="s">
        <v>158</v>
      </c>
      <c r="F41" s="10">
        <v>150</v>
      </c>
      <c r="G41" s="10">
        <v>148</v>
      </c>
      <c r="H41" s="10">
        <v>103</v>
      </c>
      <c r="I41" s="10">
        <v>122</v>
      </c>
      <c r="J41" s="10">
        <v>116</v>
      </c>
      <c r="K41" s="10">
        <v>84</v>
      </c>
      <c r="L41" s="10">
        <v>107</v>
      </c>
      <c r="M41" s="10">
        <v>12</v>
      </c>
      <c r="N41" s="10">
        <v>1466</v>
      </c>
      <c r="O41" s="10">
        <v>0.96</v>
      </c>
      <c r="P41" s="10">
        <v>1412</v>
      </c>
      <c r="Q41" s="10">
        <v>124</v>
      </c>
      <c r="R41" s="10">
        <v>45</v>
      </c>
      <c r="S41" s="10">
        <v>49</v>
      </c>
      <c r="T41" s="10">
        <v>256</v>
      </c>
      <c r="U41" s="10">
        <v>38</v>
      </c>
      <c r="V41" s="10">
        <v>198</v>
      </c>
      <c r="W41" s="10">
        <v>0.76900000000000002</v>
      </c>
      <c r="X41" s="10">
        <v>138</v>
      </c>
      <c r="Y41" s="10">
        <v>121</v>
      </c>
      <c r="Z41" s="10">
        <v>118</v>
      </c>
      <c r="AA41" s="10">
        <v>7</v>
      </c>
      <c r="AB41" s="10">
        <v>5.8</v>
      </c>
      <c r="AC41" s="9" t="s">
        <v>188</v>
      </c>
      <c r="AD41" s="10"/>
      <c r="AE41" s="10"/>
      <c r="AF41" s="10"/>
      <c r="AG41" s="10"/>
    </row>
    <row r="42" spans="1:33">
      <c r="A42" s="7" t="s">
        <v>155</v>
      </c>
      <c r="B42" s="8" t="s">
        <v>182</v>
      </c>
      <c r="C42" s="9" t="s">
        <v>193</v>
      </c>
      <c r="D42" s="10">
        <v>157</v>
      </c>
      <c r="E42" s="9" t="s">
        <v>158</v>
      </c>
      <c r="F42" s="10">
        <v>157</v>
      </c>
      <c r="G42" s="10">
        <v>155.4</v>
      </c>
      <c r="H42" s="10">
        <v>111</v>
      </c>
      <c r="I42" s="10">
        <v>128</v>
      </c>
      <c r="J42" s="10">
        <v>116</v>
      </c>
      <c r="K42" s="10">
        <v>84</v>
      </c>
      <c r="L42" s="10">
        <v>108</v>
      </c>
      <c r="M42" s="10">
        <v>13.3</v>
      </c>
      <c r="N42" s="10">
        <v>1533</v>
      </c>
      <c r="O42" s="10">
        <v>0.96</v>
      </c>
      <c r="P42" s="10">
        <v>1479</v>
      </c>
      <c r="Q42" s="10">
        <v>130</v>
      </c>
      <c r="R42" s="10">
        <v>47</v>
      </c>
      <c r="S42" s="10">
        <v>46</v>
      </c>
      <c r="T42" s="10">
        <v>248</v>
      </c>
      <c r="U42" s="10">
        <v>37</v>
      </c>
      <c r="V42" s="10">
        <v>192</v>
      </c>
      <c r="W42" s="10">
        <v>0.79800000000000004</v>
      </c>
      <c r="X42" s="10">
        <v>144</v>
      </c>
      <c r="Y42" s="10">
        <v>126</v>
      </c>
      <c r="Z42" s="10">
        <v>104</v>
      </c>
      <c r="AA42" s="10">
        <v>8</v>
      </c>
      <c r="AB42" s="10">
        <v>6.8</v>
      </c>
      <c r="AC42" s="9" t="s">
        <v>188</v>
      </c>
      <c r="AD42" s="10"/>
      <c r="AE42" s="10"/>
      <c r="AF42" s="10"/>
      <c r="AG42" s="10"/>
    </row>
    <row r="43" spans="1:33">
      <c r="A43" s="7" t="s">
        <v>155</v>
      </c>
      <c r="B43" s="8" t="s">
        <v>182</v>
      </c>
      <c r="C43" s="9" t="s">
        <v>193</v>
      </c>
      <c r="D43" s="10">
        <v>164</v>
      </c>
      <c r="E43" s="9" t="s">
        <v>158</v>
      </c>
      <c r="F43" s="10">
        <v>164</v>
      </c>
      <c r="G43" s="10">
        <v>162.4</v>
      </c>
      <c r="H43" s="10">
        <v>116</v>
      </c>
      <c r="I43" s="10">
        <v>137</v>
      </c>
      <c r="J43" s="10">
        <v>117</v>
      </c>
      <c r="K43" s="10">
        <v>84</v>
      </c>
      <c r="L43" s="10">
        <v>108</v>
      </c>
      <c r="M43" s="10">
        <v>15.1</v>
      </c>
      <c r="N43" s="10">
        <v>1673</v>
      </c>
      <c r="O43" s="10">
        <v>0.93</v>
      </c>
      <c r="P43" s="10">
        <v>1556</v>
      </c>
      <c r="Q43" s="10">
        <v>151</v>
      </c>
      <c r="R43" s="10">
        <v>59</v>
      </c>
      <c r="S43" s="10">
        <v>46</v>
      </c>
      <c r="T43" s="10">
        <v>267</v>
      </c>
      <c r="U43" s="10">
        <v>35</v>
      </c>
      <c r="V43" s="10">
        <v>200</v>
      </c>
      <c r="W43" s="10">
        <v>0.75600000000000001</v>
      </c>
      <c r="X43" s="10">
        <v>137</v>
      </c>
      <c r="Y43" s="10">
        <v>117</v>
      </c>
      <c r="Z43" s="10">
        <v>130</v>
      </c>
      <c r="AA43" s="10">
        <v>7</v>
      </c>
      <c r="AB43" s="10">
        <v>7.1</v>
      </c>
      <c r="AC43" s="9" t="s">
        <v>188</v>
      </c>
      <c r="AD43" s="10"/>
      <c r="AE43" s="10"/>
      <c r="AF43" s="10"/>
      <c r="AG43" s="10"/>
    </row>
    <row r="44" spans="1:33">
      <c r="A44" s="7" t="s">
        <v>155</v>
      </c>
      <c r="B44" s="8" t="s">
        <v>182</v>
      </c>
      <c r="C44" s="9" t="s">
        <v>193</v>
      </c>
      <c r="D44" s="10">
        <v>171</v>
      </c>
      <c r="E44" s="9" t="s">
        <v>158</v>
      </c>
      <c r="F44" s="10">
        <v>171</v>
      </c>
      <c r="G44" s="10">
        <v>169.7</v>
      </c>
      <c r="H44" s="10">
        <v>120</v>
      </c>
      <c r="I44" s="10">
        <v>141</v>
      </c>
      <c r="J44" s="10">
        <v>116</v>
      </c>
      <c r="K44" s="10">
        <v>83</v>
      </c>
      <c r="L44" s="10">
        <v>108</v>
      </c>
      <c r="M44" s="10">
        <v>16.5</v>
      </c>
      <c r="N44" s="10">
        <v>1790</v>
      </c>
      <c r="O44" s="10">
        <v>0.9</v>
      </c>
      <c r="P44" s="10">
        <v>1612</v>
      </c>
      <c r="Q44" s="10">
        <v>176</v>
      </c>
      <c r="R44" s="10">
        <v>69</v>
      </c>
      <c r="S44" s="10">
        <v>49</v>
      </c>
      <c r="T44" s="10">
        <v>283</v>
      </c>
      <c r="U44" s="10">
        <v>37</v>
      </c>
      <c r="V44" s="10">
        <v>214</v>
      </c>
      <c r="W44" s="10">
        <v>0.749</v>
      </c>
      <c r="X44" s="10">
        <v>159</v>
      </c>
      <c r="Y44" s="10">
        <v>128</v>
      </c>
      <c r="Z44" s="10">
        <v>124</v>
      </c>
      <c r="AA44" s="10">
        <v>8</v>
      </c>
      <c r="AB44" s="10">
        <v>7.2</v>
      </c>
      <c r="AC44" s="9" t="s">
        <v>188</v>
      </c>
      <c r="AD44" s="10"/>
      <c r="AE44" s="10"/>
      <c r="AF44" s="10"/>
      <c r="AG44" s="10"/>
    </row>
    <row r="45" spans="1:33">
      <c r="A45" s="7" t="s">
        <v>155</v>
      </c>
      <c r="B45" s="8" t="s">
        <v>182</v>
      </c>
      <c r="C45" s="9" t="s">
        <v>491</v>
      </c>
      <c r="D45" s="10">
        <v>163</v>
      </c>
      <c r="E45" s="9" t="s">
        <v>158</v>
      </c>
      <c r="F45" s="10">
        <v>163</v>
      </c>
      <c r="G45" s="10">
        <v>161.19999999999999</v>
      </c>
      <c r="H45" s="10">
        <v>126</v>
      </c>
      <c r="I45" s="10">
        <v>137</v>
      </c>
      <c r="J45" s="10">
        <v>114</v>
      </c>
      <c r="K45" s="10">
        <v>86</v>
      </c>
      <c r="L45" s="10">
        <v>108</v>
      </c>
      <c r="M45" s="10">
        <v>16.899999999999999</v>
      </c>
      <c r="N45" s="10">
        <v>1525</v>
      </c>
      <c r="O45" s="10">
        <v>1.01</v>
      </c>
      <c r="P45" s="10">
        <v>1537</v>
      </c>
      <c r="Q45" s="10">
        <v>151</v>
      </c>
      <c r="R45" s="10">
        <v>81</v>
      </c>
      <c r="S45" s="10">
        <v>44</v>
      </c>
      <c r="T45" s="10">
        <v>182</v>
      </c>
      <c r="U45" s="10">
        <v>41</v>
      </c>
      <c r="V45" s="10">
        <v>173</v>
      </c>
      <c r="W45" s="10">
        <v>0.91900000000000004</v>
      </c>
      <c r="X45" s="10">
        <v>104</v>
      </c>
      <c r="Y45" s="10">
        <v>138</v>
      </c>
      <c r="Z45" s="10">
        <v>78</v>
      </c>
      <c r="AA45" s="10">
        <v>11</v>
      </c>
      <c r="AB45" s="10">
        <v>3.5</v>
      </c>
      <c r="AC45" s="9" t="s">
        <v>184</v>
      </c>
      <c r="AD45" s="10"/>
      <c r="AE45" s="10"/>
      <c r="AF45" s="10"/>
      <c r="AG45" s="10"/>
    </row>
    <row r="46" spans="1:33">
      <c r="A46" s="7" t="s">
        <v>155</v>
      </c>
      <c r="B46" s="8" t="s">
        <v>182</v>
      </c>
      <c r="C46" s="9" t="s">
        <v>491</v>
      </c>
      <c r="D46" s="10">
        <v>170</v>
      </c>
      <c r="E46" s="9" t="s">
        <v>158</v>
      </c>
      <c r="F46" s="10">
        <v>170</v>
      </c>
      <c r="G46" s="10">
        <v>167.9</v>
      </c>
      <c r="H46" s="10">
        <v>134</v>
      </c>
      <c r="I46" s="10">
        <v>142</v>
      </c>
      <c r="J46" s="10">
        <v>114</v>
      </c>
      <c r="K46" s="10">
        <v>85</v>
      </c>
      <c r="L46" s="10">
        <v>108</v>
      </c>
      <c r="M46" s="10">
        <v>17.7</v>
      </c>
      <c r="N46" s="10">
        <v>1710</v>
      </c>
      <c r="O46" s="10">
        <v>0.94</v>
      </c>
      <c r="P46" s="10">
        <v>1606</v>
      </c>
      <c r="Q46" s="10">
        <v>175</v>
      </c>
      <c r="R46" s="10">
        <v>103</v>
      </c>
      <c r="S46" s="10">
        <v>43</v>
      </c>
      <c r="T46" s="10">
        <v>179</v>
      </c>
      <c r="U46" s="10">
        <v>37</v>
      </c>
      <c r="V46" s="10">
        <v>162</v>
      </c>
      <c r="W46" s="10">
        <v>0.86899999999999999</v>
      </c>
      <c r="X46" s="10">
        <v>125</v>
      </c>
      <c r="Y46" s="10">
        <v>130</v>
      </c>
      <c r="Z46" s="10">
        <v>54</v>
      </c>
      <c r="AA46" s="10">
        <v>11</v>
      </c>
      <c r="AB46" s="10">
        <v>3.6</v>
      </c>
      <c r="AC46" s="9" t="s">
        <v>184</v>
      </c>
      <c r="AD46" s="10"/>
      <c r="AE46" s="10"/>
      <c r="AF46" s="10"/>
      <c r="AG46" s="10"/>
    </row>
    <row r="47" spans="1:33">
      <c r="A47" s="7" t="s">
        <v>155</v>
      </c>
      <c r="B47" s="8" t="s">
        <v>182</v>
      </c>
      <c r="C47" s="9" t="s">
        <v>491</v>
      </c>
      <c r="D47" s="10">
        <v>177</v>
      </c>
      <c r="E47" s="9" t="s">
        <v>158</v>
      </c>
      <c r="F47" s="10">
        <v>177</v>
      </c>
      <c r="G47" s="10">
        <v>174.9</v>
      </c>
      <c r="H47" s="10">
        <v>140</v>
      </c>
      <c r="I47" s="10">
        <v>152</v>
      </c>
      <c r="J47" s="10">
        <v>118</v>
      </c>
      <c r="K47" s="10">
        <v>85</v>
      </c>
      <c r="L47" s="10">
        <v>112</v>
      </c>
      <c r="M47" s="10">
        <v>18</v>
      </c>
      <c r="N47" s="10">
        <v>1819</v>
      </c>
      <c r="O47" s="10">
        <v>0.93</v>
      </c>
      <c r="P47" s="10">
        <v>1694</v>
      </c>
      <c r="Q47" s="10">
        <v>204</v>
      </c>
      <c r="R47" s="10">
        <v>97</v>
      </c>
      <c r="S47" s="10">
        <v>44</v>
      </c>
      <c r="T47" s="10">
        <v>181</v>
      </c>
      <c r="U47" s="10">
        <v>38</v>
      </c>
      <c r="V47" s="10">
        <v>169</v>
      </c>
      <c r="W47" s="10">
        <v>0.85299999999999998</v>
      </c>
      <c r="X47" s="10">
        <v>108</v>
      </c>
      <c r="Y47" s="10">
        <v>120</v>
      </c>
      <c r="Z47" s="10">
        <v>73</v>
      </c>
      <c r="AA47" s="10">
        <v>11</v>
      </c>
      <c r="AB47" s="10">
        <v>4</v>
      </c>
      <c r="AC47" s="9" t="s">
        <v>188</v>
      </c>
      <c r="AD47" s="9" t="s">
        <v>184</v>
      </c>
      <c r="AE47" s="10"/>
      <c r="AF47" s="10"/>
      <c r="AG47" s="10"/>
    </row>
    <row r="48" spans="1:33">
      <c r="A48" s="7" t="s">
        <v>155</v>
      </c>
      <c r="B48" s="8" t="s">
        <v>182</v>
      </c>
      <c r="C48" s="9" t="s">
        <v>491</v>
      </c>
      <c r="D48" s="10">
        <v>184</v>
      </c>
      <c r="E48" s="9" t="s">
        <v>158</v>
      </c>
      <c r="F48" s="10">
        <v>184</v>
      </c>
      <c r="G48" s="10">
        <v>181.7</v>
      </c>
      <c r="H48" s="10">
        <v>147</v>
      </c>
      <c r="I48" s="10">
        <v>157</v>
      </c>
      <c r="J48" s="10">
        <v>118</v>
      </c>
      <c r="K48" s="10">
        <v>86</v>
      </c>
      <c r="L48" s="10">
        <v>112</v>
      </c>
      <c r="M48" s="10">
        <v>18.7</v>
      </c>
      <c r="N48" s="10">
        <v>1901</v>
      </c>
      <c r="O48" s="10">
        <v>0.93</v>
      </c>
      <c r="P48" s="10">
        <v>1766</v>
      </c>
      <c r="Q48" s="10">
        <v>222</v>
      </c>
      <c r="R48" s="10">
        <v>114</v>
      </c>
      <c r="S48" s="10">
        <v>45</v>
      </c>
      <c r="T48" s="10">
        <v>187</v>
      </c>
      <c r="U48" s="10">
        <v>37</v>
      </c>
      <c r="V48" s="10">
        <v>158</v>
      </c>
      <c r="W48" s="10">
        <v>0.83799999999999997</v>
      </c>
      <c r="X48" s="10">
        <v>116</v>
      </c>
      <c r="Y48" s="10">
        <v>129</v>
      </c>
      <c r="Z48" s="10">
        <v>72</v>
      </c>
      <c r="AA48" s="10">
        <v>10</v>
      </c>
      <c r="AB48" s="10">
        <v>4.5999999999999996</v>
      </c>
      <c r="AC48" s="9" t="s">
        <v>188</v>
      </c>
      <c r="AD48" s="9" t="s">
        <v>184</v>
      </c>
      <c r="AE48" s="10"/>
      <c r="AF48" s="10"/>
      <c r="AG48" s="10"/>
    </row>
    <row r="49" spans="1:33">
      <c r="A49" s="7" t="s">
        <v>155</v>
      </c>
      <c r="B49" s="8" t="s">
        <v>182</v>
      </c>
      <c r="C49" s="9" t="s">
        <v>505</v>
      </c>
      <c r="D49" s="10">
        <v>163</v>
      </c>
      <c r="E49" s="9" t="s">
        <v>158</v>
      </c>
      <c r="F49" s="10">
        <v>163</v>
      </c>
      <c r="G49" s="10">
        <v>161.6</v>
      </c>
      <c r="H49" s="10">
        <v>117</v>
      </c>
      <c r="I49" s="10">
        <v>133</v>
      </c>
      <c r="J49" s="10">
        <v>122</v>
      </c>
      <c r="K49" s="10">
        <v>95</v>
      </c>
      <c r="L49" s="10">
        <v>114</v>
      </c>
      <c r="M49" s="10">
        <v>17.7</v>
      </c>
      <c r="N49" s="10">
        <v>1627</v>
      </c>
      <c r="O49" s="10">
        <v>1.03</v>
      </c>
      <c r="P49" s="10">
        <v>1675</v>
      </c>
      <c r="Q49" s="10">
        <v>141</v>
      </c>
      <c r="R49" s="10">
        <v>86</v>
      </c>
      <c r="S49" s="10">
        <v>48</v>
      </c>
      <c r="T49" s="10">
        <v>237</v>
      </c>
      <c r="U49" s="10">
        <v>39</v>
      </c>
      <c r="V49" s="10">
        <v>213</v>
      </c>
      <c r="W49" s="10">
        <v>0.81299999999999994</v>
      </c>
      <c r="X49" s="10">
        <v>133</v>
      </c>
      <c r="Y49" s="10">
        <v>155</v>
      </c>
      <c r="Z49" s="10">
        <v>104</v>
      </c>
      <c r="AA49" s="10">
        <v>9</v>
      </c>
      <c r="AB49" s="10">
        <v>4.7</v>
      </c>
      <c r="AC49" s="9" t="s">
        <v>188</v>
      </c>
      <c r="AD49" s="9" t="s">
        <v>184</v>
      </c>
      <c r="AE49" s="10"/>
      <c r="AF49" s="10"/>
      <c r="AG49" s="10"/>
    </row>
    <row r="50" spans="1:33">
      <c r="A50" s="7" t="s">
        <v>155</v>
      </c>
      <c r="B50" s="8" t="s">
        <v>182</v>
      </c>
      <c r="C50" s="9" t="s">
        <v>505</v>
      </c>
      <c r="D50" s="10">
        <v>170</v>
      </c>
      <c r="E50" s="9" t="s">
        <v>158</v>
      </c>
      <c r="F50" s="10">
        <v>170</v>
      </c>
      <c r="G50" s="10">
        <v>168.9</v>
      </c>
      <c r="H50" s="10">
        <v>126</v>
      </c>
      <c r="I50" s="10">
        <v>141</v>
      </c>
      <c r="J50" s="10">
        <v>123</v>
      </c>
      <c r="K50" s="10">
        <v>95</v>
      </c>
      <c r="L50" s="10">
        <v>115</v>
      </c>
      <c r="M50" s="10">
        <v>18.7</v>
      </c>
      <c r="N50" s="10">
        <v>1729</v>
      </c>
      <c r="O50" s="10">
        <v>1.02</v>
      </c>
      <c r="P50" s="10">
        <v>1755</v>
      </c>
      <c r="Q50" s="10">
        <v>155</v>
      </c>
      <c r="R50" s="10">
        <v>92</v>
      </c>
      <c r="S50" s="10">
        <v>44</v>
      </c>
      <c r="T50" s="10">
        <v>226</v>
      </c>
      <c r="U50" s="10">
        <v>37</v>
      </c>
      <c r="V50" s="10">
        <v>205</v>
      </c>
      <c r="W50" s="10">
        <v>0.83599999999999997</v>
      </c>
      <c r="X50" s="10">
        <v>135</v>
      </c>
      <c r="Y50" s="10">
        <v>141</v>
      </c>
      <c r="Z50" s="10">
        <v>91</v>
      </c>
      <c r="AA50" s="10">
        <v>11</v>
      </c>
      <c r="AB50" s="10">
        <v>4.8</v>
      </c>
      <c r="AC50" s="9" t="s">
        <v>188</v>
      </c>
      <c r="AD50" s="9" t="s">
        <v>184</v>
      </c>
      <c r="AE50" s="10"/>
      <c r="AF50" s="10"/>
      <c r="AG50" s="10"/>
    </row>
    <row r="51" spans="1:33">
      <c r="A51" s="7" t="s">
        <v>155</v>
      </c>
      <c r="B51" s="8" t="s">
        <v>182</v>
      </c>
      <c r="C51" s="9" t="s">
        <v>505</v>
      </c>
      <c r="D51" s="10">
        <v>177</v>
      </c>
      <c r="E51" s="9" t="s">
        <v>158</v>
      </c>
      <c r="F51" s="10">
        <v>177</v>
      </c>
      <c r="G51" s="10">
        <v>175.2</v>
      </c>
      <c r="H51" s="10">
        <v>130</v>
      </c>
      <c r="I51" s="10">
        <v>146</v>
      </c>
      <c r="J51" s="10">
        <v>125</v>
      </c>
      <c r="K51" s="10">
        <v>95</v>
      </c>
      <c r="L51" s="10">
        <v>116</v>
      </c>
      <c r="M51" s="10">
        <v>18.899999999999999</v>
      </c>
      <c r="N51" s="10">
        <v>1938</v>
      </c>
      <c r="O51" s="10">
        <v>0.95</v>
      </c>
      <c r="P51" s="10">
        <v>1845</v>
      </c>
      <c r="Q51" s="10">
        <v>215</v>
      </c>
      <c r="R51" s="10">
        <v>115</v>
      </c>
      <c r="S51" s="10">
        <v>45</v>
      </c>
      <c r="T51" s="10">
        <v>233</v>
      </c>
      <c r="U51" s="10">
        <v>38</v>
      </c>
      <c r="V51" s="10">
        <v>217</v>
      </c>
      <c r="W51" s="10">
        <v>0.85199999999999998</v>
      </c>
      <c r="X51" s="10">
        <v>155</v>
      </c>
      <c r="Y51" s="10">
        <v>138</v>
      </c>
      <c r="Z51" s="10">
        <v>78</v>
      </c>
      <c r="AA51" s="10">
        <v>9</v>
      </c>
      <c r="AB51" s="10">
        <v>5.2</v>
      </c>
      <c r="AC51" s="9" t="s">
        <v>188</v>
      </c>
      <c r="AD51" s="9" t="s">
        <v>184</v>
      </c>
      <c r="AE51" s="10"/>
      <c r="AF51" s="10"/>
      <c r="AG51" s="10"/>
    </row>
    <row r="52" spans="1:33">
      <c r="A52" s="7" t="s">
        <v>155</v>
      </c>
      <c r="B52" s="8" t="s">
        <v>182</v>
      </c>
      <c r="C52" s="9" t="s">
        <v>505</v>
      </c>
      <c r="D52" s="10">
        <v>184</v>
      </c>
      <c r="E52" s="9" t="s">
        <v>158</v>
      </c>
      <c r="F52" s="10">
        <v>184</v>
      </c>
      <c r="G52" s="10">
        <v>182</v>
      </c>
      <c r="H52" s="10">
        <v>138</v>
      </c>
      <c r="I52" s="10">
        <v>152</v>
      </c>
      <c r="J52" s="10">
        <v>126</v>
      </c>
      <c r="K52" s="10">
        <v>95</v>
      </c>
      <c r="L52" s="10">
        <v>118</v>
      </c>
      <c r="M52" s="10">
        <v>19.600000000000001</v>
      </c>
      <c r="N52" s="10">
        <v>2068</v>
      </c>
      <c r="O52" s="10">
        <v>0.93</v>
      </c>
      <c r="P52" s="10">
        <v>1924</v>
      </c>
      <c r="Q52" s="10">
        <v>233</v>
      </c>
      <c r="R52" s="10">
        <v>123</v>
      </c>
      <c r="S52" s="10">
        <v>45</v>
      </c>
      <c r="T52" s="10">
        <v>233</v>
      </c>
      <c r="U52" s="10">
        <v>38</v>
      </c>
      <c r="V52" s="10">
        <v>211</v>
      </c>
      <c r="W52" s="10">
        <v>0.84799999999999998</v>
      </c>
      <c r="X52" s="10">
        <v>148</v>
      </c>
      <c r="Y52" s="10">
        <v>156</v>
      </c>
      <c r="Z52" s="10">
        <v>85</v>
      </c>
      <c r="AA52" s="10">
        <v>11</v>
      </c>
      <c r="AB52" s="10">
        <v>5.4</v>
      </c>
      <c r="AC52" s="9" t="s">
        <v>188</v>
      </c>
      <c r="AD52" s="9" t="s">
        <v>184</v>
      </c>
      <c r="AE52" s="10"/>
      <c r="AF52" s="10"/>
      <c r="AG52" s="10"/>
    </row>
    <row r="53" spans="1:33">
      <c r="A53" s="7" t="s">
        <v>155</v>
      </c>
      <c r="B53" s="8" t="s">
        <v>182</v>
      </c>
      <c r="C53" s="9" t="s">
        <v>220</v>
      </c>
      <c r="D53" s="10">
        <v>164</v>
      </c>
      <c r="E53" s="9" t="s">
        <v>163</v>
      </c>
      <c r="F53" s="10">
        <v>164</v>
      </c>
      <c r="G53" s="10">
        <v>161.80000000000001</v>
      </c>
      <c r="H53" s="10">
        <v>111</v>
      </c>
      <c r="I53" s="10">
        <v>129</v>
      </c>
      <c r="J53" s="10">
        <v>131</v>
      </c>
      <c r="K53" s="10">
        <v>105</v>
      </c>
      <c r="L53" s="10">
        <v>120</v>
      </c>
      <c r="M53" s="10">
        <v>18.399999999999999</v>
      </c>
      <c r="N53" s="10">
        <v>1668</v>
      </c>
      <c r="O53" s="10">
        <v>1.0900000000000001</v>
      </c>
      <c r="P53" s="10">
        <v>1816</v>
      </c>
      <c r="Q53" s="10">
        <v>174</v>
      </c>
      <c r="R53" s="10">
        <v>85</v>
      </c>
      <c r="S53" s="10">
        <v>52</v>
      </c>
      <c r="T53" s="10">
        <v>274</v>
      </c>
      <c r="U53" s="10">
        <v>44</v>
      </c>
      <c r="V53" s="10">
        <v>233</v>
      </c>
      <c r="W53" s="10">
        <v>0.84499999999999997</v>
      </c>
      <c r="X53" s="10">
        <v>144</v>
      </c>
      <c r="Y53" s="10">
        <v>188</v>
      </c>
      <c r="Z53" s="10">
        <v>129</v>
      </c>
      <c r="AA53" s="10">
        <v>5</v>
      </c>
      <c r="AB53" s="10">
        <v>2.6</v>
      </c>
      <c r="AC53" s="9" t="s">
        <v>188</v>
      </c>
      <c r="AD53" s="9" t="s">
        <v>184</v>
      </c>
      <c r="AE53" s="9" t="s">
        <v>169</v>
      </c>
      <c r="AF53" s="9" t="s">
        <v>185</v>
      </c>
      <c r="AG53" s="10"/>
    </row>
    <row r="54" spans="1:33">
      <c r="A54" s="7" t="s">
        <v>155</v>
      </c>
      <c r="B54" s="8" t="s">
        <v>182</v>
      </c>
      <c r="C54" s="9" t="s">
        <v>220</v>
      </c>
      <c r="D54" s="10">
        <v>172</v>
      </c>
      <c r="E54" s="9" t="s">
        <v>163</v>
      </c>
      <c r="F54" s="10">
        <v>172</v>
      </c>
      <c r="G54" s="10">
        <v>170.1</v>
      </c>
      <c r="H54" s="10">
        <v>119</v>
      </c>
      <c r="I54" s="10">
        <v>137</v>
      </c>
      <c r="J54" s="10">
        <v>133</v>
      </c>
      <c r="K54" s="10">
        <v>105</v>
      </c>
      <c r="L54" s="10">
        <v>122</v>
      </c>
      <c r="M54" s="10">
        <v>19.3</v>
      </c>
      <c r="N54" s="10">
        <v>1762</v>
      </c>
      <c r="O54" s="10">
        <v>1.0900000000000001</v>
      </c>
      <c r="P54" s="10">
        <v>1917</v>
      </c>
      <c r="Q54" s="10">
        <v>200</v>
      </c>
      <c r="R54" s="10">
        <v>97</v>
      </c>
      <c r="S54" s="10">
        <v>54</v>
      </c>
      <c r="T54" s="10">
        <v>275</v>
      </c>
      <c r="U54" s="10">
        <v>44</v>
      </c>
      <c r="V54" s="10">
        <v>241</v>
      </c>
      <c r="W54" s="10">
        <v>0.82299999999999995</v>
      </c>
      <c r="X54" s="10">
        <v>146</v>
      </c>
      <c r="Y54" s="10">
        <v>180</v>
      </c>
      <c r="Z54" s="10">
        <v>129</v>
      </c>
      <c r="AA54" s="10">
        <v>7</v>
      </c>
      <c r="AB54" s="10">
        <v>6.1</v>
      </c>
      <c r="AC54" s="9" t="s">
        <v>188</v>
      </c>
      <c r="AD54" s="9" t="s">
        <v>184</v>
      </c>
      <c r="AE54" s="9" t="s">
        <v>169</v>
      </c>
      <c r="AF54" s="9" t="s">
        <v>185</v>
      </c>
      <c r="AG54" s="10"/>
    </row>
    <row r="55" spans="1:33">
      <c r="A55" s="7" t="s">
        <v>155</v>
      </c>
      <c r="B55" s="8" t="s">
        <v>182</v>
      </c>
      <c r="C55" s="9" t="s">
        <v>220</v>
      </c>
      <c r="D55" s="10">
        <v>180</v>
      </c>
      <c r="E55" s="9" t="s">
        <v>163</v>
      </c>
      <c r="F55" s="10">
        <v>180</v>
      </c>
      <c r="G55" s="10">
        <v>177.6</v>
      </c>
      <c r="H55" s="10">
        <v>124</v>
      </c>
      <c r="I55" s="10">
        <v>142</v>
      </c>
      <c r="J55" s="10">
        <v>134</v>
      </c>
      <c r="K55" s="10">
        <v>105</v>
      </c>
      <c r="L55" s="10">
        <v>124</v>
      </c>
      <c r="M55" s="10">
        <v>20.2</v>
      </c>
      <c r="N55" s="10">
        <v>1853</v>
      </c>
      <c r="O55" s="10">
        <v>1.0900000000000001</v>
      </c>
      <c r="P55" s="10">
        <v>2011</v>
      </c>
      <c r="Q55" s="10">
        <v>229</v>
      </c>
      <c r="R55" s="10">
        <v>103</v>
      </c>
      <c r="S55" s="10">
        <v>57</v>
      </c>
      <c r="T55" s="10">
        <v>291</v>
      </c>
      <c r="U55" s="10">
        <v>47</v>
      </c>
      <c r="V55" s="10">
        <v>249</v>
      </c>
      <c r="W55" s="10">
        <v>0.83199999999999996</v>
      </c>
      <c r="X55" s="10">
        <v>172</v>
      </c>
      <c r="Y55" s="10">
        <v>184</v>
      </c>
      <c r="Z55" s="10">
        <v>119</v>
      </c>
      <c r="AA55" s="10">
        <v>7</v>
      </c>
      <c r="AB55" s="10">
        <v>2.6</v>
      </c>
      <c r="AC55" s="9" t="s">
        <v>188</v>
      </c>
      <c r="AD55" s="9" t="s">
        <v>184</v>
      </c>
      <c r="AE55" s="9" t="s">
        <v>169</v>
      </c>
      <c r="AF55" s="9" t="s">
        <v>185</v>
      </c>
      <c r="AG55" s="10"/>
    </row>
    <row r="56" spans="1:33">
      <c r="A56" s="7" t="s">
        <v>155</v>
      </c>
      <c r="B56" s="8" t="s">
        <v>182</v>
      </c>
      <c r="C56" s="9" t="s">
        <v>220</v>
      </c>
      <c r="D56" s="10">
        <v>188</v>
      </c>
      <c r="E56" s="9" t="s">
        <v>163</v>
      </c>
      <c r="F56" s="10">
        <v>188</v>
      </c>
      <c r="G56" s="10">
        <v>183.1</v>
      </c>
      <c r="H56" s="10">
        <v>129</v>
      </c>
      <c r="I56" s="10">
        <v>150</v>
      </c>
      <c r="J56" s="10">
        <v>136</v>
      </c>
      <c r="K56" s="10">
        <v>105</v>
      </c>
      <c r="L56" s="10">
        <v>125</v>
      </c>
      <c r="M56" s="10">
        <v>21.8</v>
      </c>
      <c r="N56" s="10">
        <v>1953</v>
      </c>
      <c r="O56" s="10">
        <v>1.07</v>
      </c>
      <c r="P56" s="10">
        <v>2093</v>
      </c>
      <c r="Q56" s="10">
        <v>266</v>
      </c>
      <c r="R56" s="10">
        <v>129</v>
      </c>
      <c r="S56" s="10">
        <v>58</v>
      </c>
      <c r="T56" s="10">
        <v>308</v>
      </c>
      <c r="U56" s="10">
        <v>34</v>
      </c>
      <c r="V56" s="10">
        <v>236</v>
      </c>
      <c r="W56" s="10">
        <v>0.59</v>
      </c>
      <c r="X56" s="10">
        <v>176</v>
      </c>
      <c r="Y56" s="10">
        <v>151</v>
      </c>
      <c r="Z56" s="10">
        <v>132</v>
      </c>
      <c r="AA56" s="10">
        <v>6</v>
      </c>
      <c r="AB56" s="10">
        <v>4.0999999999999996</v>
      </c>
      <c r="AC56" s="9" t="s">
        <v>188</v>
      </c>
      <c r="AD56" s="9" t="s">
        <v>169</v>
      </c>
      <c r="AE56" s="9" t="s">
        <v>185</v>
      </c>
      <c r="AF56" s="10"/>
      <c r="AG56" s="10"/>
    </row>
    <row r="57" spans="1:33">
      <c r="A57" s="7" t="s">
        <v>155</v>
      </c>
      <c r="B57" s="8" t="s">
        <v>182</v>
      </c>
      <c r="C57" s="9" t="s">
        <v>721</v>
      </c>
      <c r="D57" s="10">
        <v>143</v>
      </c>
      <c r="E57" s="9" t="s">
        <v>163</v>
      </c>
      <c r="F57" s="10">
        <v>143</v>
      </c>
      <c r="G57" s="10">
        <v>141.19999999999999</v>
      </c>
      <c r="H57" s="10">
        <v>98</v>
      </c>
      <c r="I57" s="10">
        <v>116</v>
      </c>
      <c r="J57" s="10">
        <v>116</v>
      </c>
      <c r="K57" s="10">
        <v>84</v>
      </c>
      <c r="L57" s="10">
        <v>108</v>
      </c>
      <c r="M57" s="10">
        <v>10.6</v>
      </c>
      <c r="N57" s="10">
        <v>1360</v>
      </c>
      <c r="O57" s="10">
        <v>0.99</v>
      </c>
      <c r="P57" s="10">
        <v>1347</v>
      </c>
      <c r="Q57" s="10">
        <v>101</v>
      </c>
      <c r="R57" s="10">
        <v>44</v>
      </c>
      <c r="S57" s="10">
        <v>49</v>
      </c>
      <c r="T57" s="10">
        <v>246</v>
      </c>
      <c r="U57" s="10">
        <v>37</v>
      </c>
      <c r="V57" s="10">
        <v>190</v>
      </c>
      <c r="W57" s="10">
        <v>0.76200000000000001</v>
      </c>
      <c r="X57" s="10">
        <v>133</v>
      </c>
      <c r="Y57" s="10">
        <v>118</v>
      </c>
      <c r="Z57" s="10">
        <v>113</v>
      </c>
      <c r="AA57" s="10">
        <v>6</v>
      </c>
      <c r="AB57" s="10">
        <v>5.9</v>
      </c>
      <c r="AC57" s="9" t="s">
        <v>188</v>
      </c>
      <c r="AD57" s="10"/>
      <c r="AE57" s="10"/>
      <c r="AF57" s="10"/>
      <c r="AG57" s="10"/>
    </row>
    <row r="58" spans="1:33">
      <c r="A58" s="7" t="s">
        <v>155</v>
      </c>
      <c r="B58" s="8" t="s">
        <v>182</v>
      </c>
      <c r="C58" s="9" t="s">
        <v>721</v>
      </c>
      <c r="D58" s="10">
        <v>150</v>
      </c>
      <c r="E58" s="9" t="s">
        <v>163</v>
      </c>
      <c r="F58" s="10">
        <v>150</v>
      </c>
      <c r="G58" s="10">
        <v>148.1</v>
      </c>
      <c r="H58" s="10">
        <v>102</v>
      </c>
      <c r="I58" s="10">
        <v>122</v>
      </c>
      <c r="J58" s="10">
        <v>116</v>
      </c>
      <c r="K58" s="10">
        <v>84</v>
      </c>
      <c r="L58" s="10">
        <v>108</v>
      </c>
      <c r="M58" s="10">
        <v>12</v>
      </c>
      <c r="N58" s="10">
        <v>1453</v>
      </c>
      <c r="O58" s="10">
        <v>0.97</v>
      </c>
      <c r="P58" s="10">
        <v>1412</v>
      </c>
      <c r="Q58" s="10">
        <v>110</v>
      </c>
      <c r="R58" s="10">
        <v>46</v>
      </c>
      <c r="S58" s="10">
        <v>49</v>
      </c>
      <c r="T58" s="10">
        <v>257</v>
      </c>
      <c r="U58" s="10">
        <v>39</v>
      </c>
      <c r="V58" s="10">
        <v>207</v>
      </c>
      <c r="W58" s="10">
        <v>0.80300000000000005</v>
      </c>
      <c r="X58" s="10">
        <v>134</v>
      </c>
      <c r="Y58" s="10">
        <v>123</v>
      </c>
      <c r="Z58" s="10">
        <v>123</v>
      </c>
      <c r="AA58" s="10">
        <v>6</v>
      </c>
      <c r="AB58" s="10">
        <v>6</v>
      </c>
      <c r="AC58" s="9" t="s">
        <v>188</v>
      </c>
      <c r="AD58" s="9" t="s">
        <v>184</v>
      </c>
      <c r="AE58" s="10"/>
      <c r="AF58" s="10"/>
      <c r="AG58" s="10"/>
    </row>
    <row r="59" spans="1:33">
      <c r="A59" s="7" t="s">
        <v>155</v>
      </c>
      <c r="B59" s="8" t="s">
        <v>182</v>
      </c>
      <c r="C59" s="9" t="s">
        <v>721</v>
      </c>
      <c r="D59" s="10">
        <v>157</v>
      </c>
      <c r="E59" s="9" t="s">
        <v>163</v>
      </c>
      <c r="F59" s="10">
        <v>157</v>
      </c>
      <c r="G59" s="10">
        <v>155.4</v>
      </c>
      <c r="H59" s="10">
        <v>110</v>
      </c>
      <c r="I59" s="10">
        <v>128</v>
      </c>
      <c r="J59" s="10">
        <v>116</v>
      </c>
      <c r="K59" s="10">
        <v>84</v>
      </c>
      <c r="L59" s="10">
        <v>108</v>
      </c>
      <c r="M59" s="10">
        <v>13.4</v>
      </c>
      <c r="N59" s="10">
        <v>1546</v>
      </c>
      <c r="O59" s="10">
        <v>0.96</v>
      </c>
      <c r="P59" s="10">
        <v>1484</v>
      </c>
      <c r="Q59" s="10">
        <v>136</v>
      </c>
      <c r="R59" s="10">
        <v>46</v>
      </c>
      <c r="S59" s="10">
        <v>46</v>
      </c>
      <c r="T59" s="10">
        <v>251</v>
      </c>
      <c r="U59" s="10">
        <v>38</v>
      </c>
      <c r="V59" s="10">
        <v>201</v>
      </c>
      <c r="W59" s="10">
        <v>0.81899999999999995</v>
      </c>
      <c r="X59" s="10">
        <v>142</v>
      </c>
      <c r="Y59" s="10">
        <v>128</v>
      </c>
      <c r="Z59" s="10">
        <v>109</v>
      </c>
      <c r="AA59" s="10">
        <v>8</v>
      </c>
      <c r="AB59" s="10">
        <v>6.6</v>
      </c>
      <c r="AC59" s="9" t="s">
        <v>188</v>
      </c>
      <c r="AD59" s="9" t="s">
        <v>184</v>
      </c>
      <c r="AE59" s="10"/>
      <c r="AF59" s="10"/>
      <c r="AG59" s="10"/>
    </row>
    <row r="60" spans="1:33">
      <c r="A60" s="7" t="s">
        <v>155</v>
      </c>
      <c r="B60" s="8" t="s">
        <v>182</v>
      </c>
      <c r="C60" s="9" t="s">
        <v>721</v>
      </c>
      <c r="D60" s="10">
        <v>164</v>
      </c>
      <c r="E60" s="9" t="s">
        <v>163</v>
      </c>
      <c r="F60" s="10">
        <v>164</v>
      </c>
      <c r="G60" s="10">
        <v>162.5</v>
      </c>
      <c r="H60" s="10">
        <v>117</v>
      </c>
      <c r="I60" s="10">
        <v>134</v>
      </c>
      <c r="J60" s="10">
        <v>117</v>
      </c>
      <c r="K60" s="10">
        <v>85</v>
      </c>
      <c r="L60" s="10">
        <v>109</v>
      </c>
      <c r="M60" s="10">
        <v>14.7</v>
      </c>
      <c r="N60" s="10">
        <v>1659</v>
      </c>
      <c r="O60" s="10">
        <v>0.94</v>
      </c>
      <c r="P60" s="10">
        <v>1566</v>
      </c>
      <c r="Q60" s="10">
        <v>150</v>
      </c>
      <c r="R60" s="10">
        <v>65</v>
      </c>
      <c r="S60" s="10">
        <v>44</v>
      </c>
      <c r="T60" s="10">
        <v>250</v>
      </c>
      <c r="U60" s="10">
        <v>37</v>
      </c>
      <c r="V60" s="10">
        <v>210</v>
      </c>
      <c r="W60" s="10">
        <v>0.83299999999999996</v>
      </c>
      <c r="X60" s="10">
        <v>158</v>
      </c>
      <c r="Y60" s="10">
        <v>123</v>
      </c>
      <c r="Z60" s="10">
        <v>92</v>
      </c>
      <c r="AA60" s="10">
        <v>9</v>
      </c>
      <c r="AB60" s="10">
        <v>9.9</v>
      </c>
      <c r="AC60" s="9" t="s">
        <v>188</v>
      </c>
      <c r="AD60" s="9" t="s">
        <v>184</v>
      </c>
      <c r="AE60" s="10"/>
      <c r="AF60" s="10"/>
      <c r="AG60" s="10"/>
    </row>
    <row r="61" spans="1:33">
      <c r="A61" s="7" t="s">
        <v>155</v>
      </c>
      <c r="B61" s="8" t="s">
        <v>182</v>
      </c>
      <c r="C61" s="9" t="s">
        <v>235</v>
      </c>
      <c r="D61" s="10">
        <v>156</v>
      </c>
      <c r="E61" s="9" t="s">
        <v>163</v>
      </c>
      <c r="F61" s="10">
        <v>156</v>
      </c>
      <c r="G61" s="10">
        <v>154</v>
      </c>
      <c r="H61" s="10">
        <v>118</v>
      </c>
      <c r="I61" s="10">
        <v>132</v>
      </c>
      <c r="J61" s="10">
        <v>111</v>
      </c>
      <c r="K61" s="10">
        <v>85</v>
      </c>
      <c r="L61" s="10">
        <v>106</v>
      </c>
      <c r="M61" s="10">
        <v>16.5</v>
      </c>
      <c r="N61" s="10">
        <v>1469</v>
      </c>
      <c r="O61" s="10">
        <v>0.99</v>
      </c>
      <c r="P61" s="10">
        <v>1455</v>
      </c>
      <c r="Q61" s="10">
        <v>136</v>
      </c>
      <c r="R61" s="10">
        <v>72</v>
      </c>
      <c r="S61" s="10">
        <v>44</v>
      </c>
      <c r="T61" s="10">
        <v>186</v>
      </c>
      <c r="U61" s="10">
        <v>39</v>
      </c>
      <c r="V61" s="10">
        <v>169</v>
      </c>
      <c r="W61" s="10">
        <v>0.87</v>
      </c>
      <c r="X61" s="10">
        <v>110</v>
      </c>
      <c r="Y61" s="10">
        <v>106</v>
      </c>
      <c r="Z61" s="10">
        <v>76</v>
      </c>
      <c r="AA61" s="10">
        <v>9</v>
      </c>
      <c r="AB61" s="10">
        <v>4.2</v>
      </c>
      <c r="AC61" s="9" t="s">
        <v>184</v>
      </c>
      <c r="AD61" s="10"/>
      <c r="AE61" s="10"/>
      <c r="AF61" s="10"/>
      <c r="AG61" s="10"/>
    </row>
    <row r="62" spans="1:33">
      <c r="A62" s="7" t="s">
        <v>155</v>
      </c>
      <c r="B62" s="8" t="s">
        <v>182</v>
      </c>
      <c r="C62" s="9" t="s">
        <v>235</v>
      </c>
      <c r="D62" s="10">
        <v>163</v>
      </c>
      <c r="E62" s="9" t="s">
        <v>163</v>
      </c>
      <c r="F62" s="10">
        <v>163</v>
      </c>
      <c r="G62" s="10">
        <v>160.9</v>
      </c>
      <c r="H62" s="10">
        <v>127</v>
      </c>
      <c r="I62" s="10">
        <v>137</v>
      </c>
      <c r="J62" s="10">
        <v>113</v>
      </c>
      <c r="K62" s="10">
        <v>85</v>
      </c>
      <c r="L62" s="10">
        <v>107</v>
      </c>
      <c r="M62" s="10">
        <v>17.3</v>
      </c>
      <c r="N62" s="10">
        <v>1552</v>
      </c>
      <c r="O62" s="10">
        <v>0.98</v>
      </c>
      <c r="P62" s="10">
        <v>1524</v>
      </c>
      <c r="Q62" s="10">
        <v>140</v>
      </c>
      <c r="R62" s="10">
        <v>83</v>
      </c>
      <c r="S62" s="10">
        <v>43</v>
      </c>
      <c r="T62" s="10">
        <v>178</v>
      </c>
      <c r="U62" s="10">
        <v>38</v>
      </c>
      <c r="V62" s="10">
        <v>160</v>
      </c>
      <c r="W62" s="10">
        <v>0.86599999999999999</v>
      </c>
      <c r="X62" s="10">
        <v>107</v>
      </c>
      <c r="Y62" s="10">
        <v>127</v>
      </c>
      <c r="Z62" s="10">
        <v>71</v>
      </c>
      <c r="AA62" s="10">
        <v>12</v>
      </c>
      <c r="AB62" s="10">
        <v>3.8</v>
      </c>
      <c r="AC62" s="9" t="s">
        <v>184</v>
      </c>
      <c r="AD62" s="10"/>
      <c r="AE62" s="10"/>
      <c r="AF62" s="10"/>
      <c r="AG62" s="10"/>
    </row>
    <row r="63" spans="1:33">
      <c r="A63" s="7" t="s">
        <v>155</v>
      </c>
      <c r="B63" s="8" t="s">
        <v>182</v>
      </c>
      <c r="C63" s="9" t="s">
        <v>235</v>
      </c>
      <c r="D63" s="10">
        <v>170</v>
      </c>
      <c r="E63" s="9" t="s">
        <v>163</v>
      </c>
      <c r="F63" s="10">
        <v>170</v>
      </c>
      <c r="G63" s="10">
        <v>168.2</v>
      </c>
      <c r="H63" s="10">
        <v>135</v>
      </c>
      <c r="I63" s="10">
        <v>139</v>
      </c>
      <c r="J63" s="10">
        <v>114</v>
      </c>
      <c r="K63" s="10">
        <v>85</v>
      </c>
      <c r="L63" s="10">
        <v>108</v>
      </c>
      <c r="M63" s="10">
        <v>17.600000000000001</v>
      </c>
      <c r="N63" s="10">
        <v>1704</v>
      </c>
      <c r="O63" s="10">
        <v>0.94</v>
      </c>
      <c r="P63" s="10">
        <v>1604</v>
      </c>
      <c r="Q63" s="10">
        <v>166</v>
      </c>
      <c r="R63" s="10">
        <v>95</v>
      </c>
      <c r="S63" s="10">
        <v>44</v>
      </c>
      <c r="T63" s="10">
        <v>168</v>
      </c>
      <c r="U63" s="10">
        <v>38</v>
      </c>
      <c r="V63" s="10">
        <v>167</v>
      </c>
      <c r="W63" s="10">
        <v>0.87</v>
      </c>
      <c r="X63" s="10">
        <v>139</v>
      </c>
      <c r="Y63" s="10">
        <v>152</v>
      </c>
      <c r="Z63" s="10">
        <v>29</v>
      </c>
      <c r="AA63" s="10">
        <v>12</v>
      </c>
      <c r="AB63" s="10">
        <v>3.8</v>
      </c>
      <c r="AC63" s="9" t="s">
        <v>184</v>
      </c>
      <c r="AD63" s="10"/>
      <c r="AE63" s="10"/>
      <c r="AF63" s="10"/>
      <c r="AG63" s="10"/>
    </row>
    <row r="64" spans="1:33">
      <c r="A64" s="7" t="s">
        <v>155</v>
      </c>
      <c r="B64" s="8" t="s">
        <v>182</v>
      </c>
      <c r="C64" s="9" t="s">
        <v>428</v>
      </c>
      <c r="D64" s="10">
        <v>156</v>
      </c>
      <c r="E64" s="9" t="s">
        <v>163</v>
      </c>
      <c r="F64" s="10">
        <v>156</v>
      </c>
      <c r="G64" s="10">
        <v>154</v>
      </c>
      <c r="H64" s="10">
        <v>106</v>
      </c>
      <c r="I64" s="10">
        <v>129</v>
      </c>
      <c r="J64" s="10">
        <v>120</v>
      </c>
      <c r="K64" s="10">
        <v>95</v>
      </c>
      <c r="L64" s="10">
        <v>113</v>
      </c>
      <c r="M64" s="10">
        <v>16.899999999999999</v>
      </c>
      <c r="N64" s="10">
        <v>1615</v>
      </c>
      <c r="O64" s="10">
        <v>0.98</v>
      </c>
      <c r="P64" s="10">
        <v>1588</v>
      </c>
      <c r="Q64" s="10">
        <v>155</v>
      </c>
      <c r="R64" s="10">
        <v>88</v>
      </c>
      <c r="S64" s="10">
        <v>48</v>
      </c>
      <c r="T64" s="10">
        <v>247</v>
      </c>
      <c r="U64" s="10">
        <v>42</v>
      </c>
      <c r="V64" s="10">
        <v>230</v>
      </c>
      <c r="W64" s="10">
        <v>0.873</v>
      </c>
      <c r="X64" s="10">
        <v>118</v>
      </c>
      <c r="Y64" s="10">
        <v>134</v>
      </c>
      <c r="Z64" s="10">
        <v>128</v>
      </c>
      <c r="AA64" s="10">
        <v>6</v>
      </c>
      <c r="AB64" s="10">
        <v>5.3</v>
      </c>
      <c r="AC64" s="9" t="s">
        <v>184</v>
      </c>
      <c r="AD64" s="10"/>
      <c r="AE64" s="10"/>
      <c r="AF64" s="10"/>
      <c r="AG64" s="10"/>
    </row>
    <row r="65" spans="1:33">
      <c r="A65" s="7" t="s">
        <v>155</v>
      </c>
      <c r="B65" s="8" t="s">
        <v>182</v>
      </c>
      <c r="C65" s="9" t="s">
        <v>428</v>
      </c>
      <c r="D65" s="10">
        <v>163</v>
      </c>
      <c r="E65" s="9" t="s">
        <v>163</v>
      </c>
      <c r="F65" s="10">
        <v>163</v>
      </c>
      <c r="G65" s="10">
        <v>161.19999999999999</v>
      </c>
      <c r="H65" s="10">
        <v>116</v>
      </c>
      <c r="I65" s="10">
        <v>135</v>
      </c>
      <c r="J65" s="10">
        <v>123</v>
      </c>
      <c r="K65" s="10">
        <v>95</v>
      </c>
      <c r="L65" s="10">
        <v>115</v>
      </c>
      <c r="M65" s="10">
        <v>17.399999999999999</v>
      </c>
      <c r="N65" s="10">
        <v>1678</v>
      </c>
      <c r="O65" s="10">
        <v>1</v>
      </c>
      <c r="P65" s="10">
        <v>1683</v>
      </c>
      <c r="Q65" s="10">
        <v>155</v>
      </c>
      <c r="R65" s="10">
        <v>88</v>
      </c>
      <c r="S65" s="10">
        <v>45</v>
      </c>
      <c r="T65" s="10">
        <v>236</v>
      </c>
      <c r="U65" s="10">
        <v>38</v>
      </c>
      <c r="V65" s="10">
        <v>214</v>
      </c>
      <c r="W65" s="10">
        <v>0.85299999999999998</v>
      </c>
      <c r="X65" s="10">
        <v>118</v>
      </c>
      <c r="Y65" s="10">
        <v>147</v>
      </c>
      <c r="Z65" s="10">
        <v>118</v>
      </c>
      <c r="AA65" s="10">
        <v>10</v>
      </c>
      <c r="AB65" s="10">
        <v>5.3</v>
      </c>
      <c r="AC65" s="9" t="s">
        <v>188</v>
      </c>
      <c r="AD65" s="9" t="s">
        <v>184</v>
      </c>
      <c r="AE65" s="10"/>
      <c r="AF65" s="10"/>
      <c r="AG65" s="10"/>
    </row>
    <row r="66" spans="1:33">
      <c r="A66" s="7" t="s">
        <v>155</v>
      </c>
      <c r="B66" s="8" t="s">
        <v>182</v>
      </c>
      <c r="C66" s="9" t="s">
        <v>428</v>
      </c>
      <c r="D66" s="10">
        <v>170</v>
      </c>
      <c r="E66" s="9" t="s">
        <v>163</v>
      </c>
      <c r="F66" s="10">
        <v>170</v>
      </c>
      <c r="G66" s="10">
        <v>168.4</v>
      </c>
      <c r="H66" s="10">
        <v>123</v>
      </c>
      <c r="I66" s="10">
        <v>139</v>
      </c>
      <c r="J66" s="10">
        <v>123</v>
      </c>
      <c r="K66" s="10">
        <v>95</v>
      </c>
      <c r="L66" s="10">
        <v>115</v>
      </c>
      <c r="M66" s="10">
        <v>18.2</v>
      </c>
      <c r="N66" s="10">
        <v>1769</v>
      </c>
      <c r="O66" s="10">
        <v>0.99</v>
      </c>
      <c r="P66" s="10">
        <v>1756</v>
      </c>
      <c r="Q66" s="10">
        <v>183</v>
      </c>
      <c r="R66" s="10">
        <v>96</v>
      </c>
      <c r="S66" s="10">
        <v>47</v>
      </c>
      <c r="T66" s="10">
        <v>236</v>
      </c>
      <c r="U66" s="10">
        <v>40</v>
      </c>
      <c r="V66" s="10">
        <v>221</v>
      </c>
      <c r="W66" s="10">
        <v>0.86</v>
      </c>
      <c r="X66" s="10">
        <v>141</v>
      </c>
      <c r="Y66" s="10">
        <v>152</v>
      </c>
      <c r="Z66" s="10">
        <v>94</v>
      </c>
      <c r="AA66" s="10">
        <v>10</v>
      </c>
      <c r="AB66" s="10">
        <v>5</v>
      </c>
      <c r="AC66" s="9" t="s">
        <v>188</v>
      </c>
      <c r="AD66" s="9" t="s">
        <v>184</v>
      </c>
      <c r="AE66" s="10"/>
      <c r="AF66" s="10"/>
      <c r="AG66" s="10"/>
    </row>
    <row r="67" spans="1:33">
      <c r="A67" s="7" t="s">
        <v>155</v>
      </c>
      <c r="B67" s="8" t="s">
        <v>182</v>
      </c>
      <c r="C67" s="9" t="s">
        <v>743</v>
      </c>
      <c r="D67" s="10">
        <v>164</v>
      </c>
      <c r="E67" s="9" t="s">
        <v>158</v>
      </c>
      <c r="F67" s="10">
        <v>164</v>
      </c>
      <c r="G67" s="10">
        <v>162.69999999999999</v>
      </c>
      <c r="H67" s="10">
        <v>111</v>
      </c>
      <c r="I67" s="10">
        <v>133</v>
      </c>
      <c r="J67" s="10">
        <v>121</v>
      </c>
      <c r="K67" s="10">
        <v>93</v>
      </c>
      <c r="L67" s="10">
        <v>116</v>
      </c>
      <c r="M67" s="10">
        <v>14.9</v>
      </c>
      <c r="N67" s="10">
        <v>1792</v>
      </c>
      <c r="O67" s="10">
        <v>0.94</v>
      </c>
      <c r="P67" s="10">
        <v>1693</v>
      </c>
      <c r="Q67" s="10">
        <v>152</v>
      </c>
      <c r="R67" s="10">
        <v>59</v>
      </c>
      <c r="S67" s="10">
        <v>43</v>
      </c>
      <c r="T67" s="10">
        <v>262</v>
      </c>
      <c r="U67" s="10">
        <v>39</v>
      </c>
      <c r="V67" s="10">
        <v>250</v>
      </c>
      <c r="W67" s="10">
        <v>0.89500000000000002</v>
      </c>
      <c r="X67" s="10">
        <v>165</v>
      </c>
      <c r="Y67" s="10">
        <v>131</v>
      </c>
      <c r="Z67" s="10">
        <v>98</v>
      </c>
      <c r="AA67" s="10">
        <v>7</v>
      </c>
      <c r="AB67" s="10">
        <v>0.2</v>
      </c>
      <c r="AC67" s="9" t="s">
        <v>184</v>
      </c>
      <c r="AD67" s="10"/>
      <c r="AE67" s="10"/>
      <c r="AF67" s="10"/>
      <c r="AG67" s="10"/>
    </row>
    <row r="68" spans="1:33">
      <c r="A68" s="7" t="s">
        <v>155</v>
      </c>
      <c r="B68" s="8" t="s">
        <v>182</v>
      </c>
      <c r="C68" s="9" t="s">
        <v>743</v>
      </c>
      <c r="D68" s="10">
        <v>172</v>
      </c>
      <c r="E68" s="9" t="s">
        <v>158</v>
      </c>
      <c r="F68" s="10">
        <v>172</v>
      </c>
      <c r="G68" s="10">
        <v>170.8</v>
      </c>
      <c r="H68" s="10">
        <v>117</v>
      </c>
      <c r="I68" s="10">
        <v>135</v>
      </c>
      <c r="J68" s="10">
        <v>121</v>
      </c>
      <c r="K68" s="10">
        <v>93</v>
      </c>
      <c r="L68" s="10">
        <v>116</v>
      </c>
      <c r="M68" s="10">
        <v>13.9</v>
      </c>
      <c r="N68" s="10">
        <v>1975</v>
      </c>
      <c r="O68" s="10">
        <v>0.91</v>
      </c>
      <c r="P68" s="10">
        <v>1795</v>
      </c>
      <c r="Q68" s="10">
        <v>175</v>
      </c>
      <c r="R68" s="10">
        <v>69</v>
      </c>
      <c r="S68" s="10">
        <v>44</v>
      </c>
      <c r="T68" s="10">
        <v>271</v>
      </c>
      <c r="U68" s="10">
        <v>42</v>
      </c>
      <c r="V68" s="10">
        <v>267</v>
      </c>
      <c r="W68" s="10">
        <v>0.95899999999999996</v>
      </c>
      <c r="X68" s="10">
        <v>196</v>
      </c>
      <c r="Y68" s="10">
        <v>162</v>
      </c>
      <c r="Z68" s="10">
        <v>75</v>
      </c>
      <c r="AA68" s="10">
        <v>9</v>
      </c>
      <c r="AB68" s="10">
        <v>0.7</v>
      </c>
      <c r="AC68" s="9" t="s">
        <v>184</v>
      </c>
      <c r="AD68" s="10"/>
      <c r="AE68" s="10"/>
      <c r="AF68" s="10"/>
      <c r="AG68" s="10"/>
    </row>
    <row r="69" spans="1:33">
      <c r="A69" s="7" t="s">
        <v>155</v>
      </c>
      <c r="B69" s="8" t="s">
        <v>182</v>
      </c>
      <c r="C69" s="9" t="s">
        <v>743</v>
      </c>
      <c r="D69" s="10">
        <v>180</v>
      </c>
      <c r="E69" s="9" t="s">
        <v>158</v>
      </c>
      <c r="F69" s="10">
        <v>180</v>
      </c>
      <c r="G69" s="10">
        <v>177.7</v>
      </c>
      <c r="H69" s="10">
        <v>121</v>
      </c>
      <c r="I69" s="10">
        <v>142</v>
      </c>
      <c r="J69" s="10">
        <v>121</v>
      </c>
      <c r="K69" s="10">
        <v>93</v>
      </c>
      <c r="L69" s="10">
        <v>116</v>
      </c>
      <c r="M69" s="10">
        <v>15.5</v>
      </c>
      <c r="N69" s="10">
        <v>1998</v>
      </c>
      <c r="O69" s="10">
        <v>0.94</v>
      </c>
      <c r="P69" s="10">
        <v>1872</v>
      </c>
      <c r="Q69" s="10">
        <v>178</v>
      </c>
      <c r="R69" s="10">
        <v>76</v>
      </c>
      <c r="S69" s="10">
        <v>49</v>
      </c>
      <c r="T69" s="10">
        <v>291</v>
      </c>
      <c r="U69" s="10">
        <v>39</v>
      </c>
      <c r="V69" s="10">
        <v>276</v>
      </c>
      <c r="W69" s="10">
        <v>0.80400000000000005</v>
      </c>
      <c r="X69" s="10">
        <v>234</v>
      </c>
      <c r="Y69" s="10">
        <v>124</v>
      </c>
      <c r="Z69" s="10">
        <v>57</v>
      </c>
      <c r="AA69" s="10">
        <v>8</v>
      </c>
      <c r="AB69" s="10">
        <v>1.3</v>
      </c>
      <c r="AC69" s="9" t="s">
        <v>188</v>
      </c>
      <c r="AD69" s="9" t="s">
        <v>184</v>
      </c>
      <c r="AE69" s="10"/>
      <c r="AF69" s="10"/>
      <c r="AG69" s="10"/>
    </row>
    <row r="70" spans="1:33">
      <c r="A70" s="7" t="s">
        <v>155</v>
      </c>
      <c r="B70" s="8" t="s">
        <v>182</v>
      </c>
      <c r="C70" s="9" t="s">
        <v>842</v>
      </c>
      <c r="D70" s="10">
        <v>172</v>
      </c>
      <c r="E70" s="9" t="s">
        <v>158</v>
      </c>
      <c r="F70" s="10">
        <v>172</v>
      </c>
      <c r="G70" s="10">
        <v>170.2</v>
      </c>
      <c r="H70" s="10">
        <v>112</v>
      </c>
      <c r="I70" s="10">
        <v>127</v>
      </c>
      <c r="J70" s="10">
        <v>120</v>
      </c>
      <c r="K70" s="10">
        <v>93</v>
      </c>
      <c r="L70" s="10">
        <v>116</v>
      </c>
      <c r="M70" s="10">
        <v>14.1</v>
      </c>
      <c r="N70" s="10">
        <v>1801</v>
      </c>
      <c r="O70" s="10">
        <v>0.99</v>
      </c>
      <c r="P70" s="10">
        <v>1789</v>
      </c>
      <c r="Q70" s="10">
        <v>133</v>
      </c>
      <c r="R70" s="10">
        <v>66</v>
      </c>
      <c r="S70" s="10">
        <v>50</v>
      </c>
      <c r="T70" s="10">
        <v>291</v>
      </c>
      <c r="U70" s="10">
        <v>47</v>
      </c>
      <c r="V70" s="10">
        <v>292</v>
      </c>
      <c r="W70" s="10">
        <v>0.93799999999999994</v>
      </c>
      <c r="X70" s="10">
        <v>227</v>
      </c>
      <c r="Y70" s="10">
        <v>207</v>
      </c>
      <c r="Z70" s="10">
        <v>64</v>
      </c>
      <c r="AA70" s="10">
        <v>4</v>
      </c>
      <c r="AB70" s="10">
        <v>0.2</v>
      </c>
      <c r="AC70" s="9" t="s">
        <v>184</v>
      </c>
      <c r="AD70" s="10"/>
      <c r="AE70" s="10"/>
      <c r="AF70" s="10"/>
      <c r="AG70" s="10"/>
    </row>
    <row r="71" spans="1:33">
      <c r="A71" s="7" t="s">
        <v>155</v>
      </c>
      <c r="B71" s="8" t="s">
        <v>182</v>
      </c>
      <c r="C71" s="9" t="s">
        <v>557</v>
      </c>
      <c r="D71" s="10">
        <v>172</v>
      </c>
      <c r="E71" s="9" t="s">
        <v>158</v>
      </c>
      <c r="F71" s="10">
        <v>172</v>
      </c>
      <c r="G71" s="10">
        <v>171.7</v>
      </c>
      <c r="H71" s="10">
        <v>126</v>
      </c>
      <c r="I71" s="10">
        <v>142</v>
      </c>
      <c r="J71" s="10">
        <v>133</v>
      </c>
      <c r="K71" s="10">
        <v>101</v>
      </c>
      <c r="L71" s="10">
        <v>123</v>
      </c>
      <c r="M71" s="10">
        <v>17.8</v>
      </c>
      <c r="N71" s="10">
        <v>1896</v>
      </c>
      <c r="O71" s="10">
        <v>1.01</v>
      </c>
      <c r="P71" s="10">
        <v>1914</v>
      </c>
      <c r="Q71" s="10">
        <v>209</v>
      </c>
      <c r="R71" s="10">
        <v>123</v>
      </c>
      <c r="S71" s="10">
        <v>54</v>
      </c>
      <c r="T71" s="10">
        <v>291</v>
      </c>
      <c r="U71" s="10">
        <v>18</v>
      </c>
      <c r="V71" s="10">
        <v>164</v>
      </c>
      <c r="W71" s="10">
        <v>0.33200000000000002</v>
      </c>
      <c r="X71" s="10">
        <v>173</v>
      </c>
      <c r="Y71" s="10">
        <v>120</v>
      </c>
      <c r="Z71" s="10">
        <v>118</v>
      </c>
      <c r="AA71" s="10">
        <v>7</v>
      </c>
      <c r="AB71" s="10">
        <v>7.7</v>
      </c>
      <c r="AC71" s="9" t="s">
        <v>188</v>
      </c>
      <c r="AD71" s="9" t="s">
        <v>178</v>
      </c>
      <c r="AE71" s="10"/>
      <c r="AF71" s="10"/>
      <c r="AG71" s="10"/>
    </row>
    <row r="72" spans="1:33">
      <c r="A72" s="7" t="s">
        <v>155</v>
      </c>
      <c r="B72" s="8" t="s">
        <v>182</v>
      </c>
      <c r="C72" s="9" t="s">
        <v>557</v>
      </c>
      <c r="D72" s="10">
        <v>180</v>
      </c>
      <c r="E72" s="9" t="s">
        <v>158</v>
      </c>
      <c r="F72" s="10">
        <v>180</v>
      </c>
      <c r="G72" s="10">
        <v>179.5</v>
      </c>
      <c r="H72" s="10">
        <v>131</v>
      </c>
      <c r="I72" s="10">
        <v>147</v>
      </c>
      <c r="J72" s="10">
        <v>134</v>
      </c>
      <c r="K72" s="10">
        <v>101</v>
      </c>
      <c r="L72" s="10">
        <v>123</v>
      </c>
      <c r="M72" s="10">
        <v>18.5</v>
      </c>
      <c r="N72" s="10">
        <v>1958</v>
      </c>
      <c r="O72" s="10">
        <v>1.03</v>
      </c>
      <c r="P72" s="10">
        <v>2011</v>
      </c>
      <c r="Q72" s="10">
        <v>219</v>
      </c>
      <c r="R72" s="10">
        <v>136</v>
      </c>
      <c r="S72" s="10">
        <v>57</v>
      </c>
      <c r="T72" s="10">
        <v>308</v>
      </c>
      <c r="U72" s="10">
        <v>19</v>
      </c>
      <c r="V72" s="10">
        <v>180</v>
      </c>
      <c r="W72" s="10">
        <v>0.33900000000000002</v>
      </c>
      <c r="X72" s="10">
        <v>188</v>
      </c>
      <c r="Y72" s="10">
        <v>139</v>
      </c>
      <c r="Z72" s="10">
        <v>121</v>
      </c>
      <c r="AA72" s="10">
        <v>8</v>
      </c>
      <c r="AB72" s="10">
        <v>8.8000000000000007</v>
      </c>
      <c r="AC72" s="9" t="s">
        <v>188</v>
      </c>
      <c r="AD72" s="9" t="s">
        <v>178</v>
      </c>
      <c r="AE72" s="10"/>
      <c r="AF72" s="10"/>
      <c r="AG72" s="10"/>
    </row>
    <row r="73" spans="1:33">
      <c r="A73" s="7" t="s">
        <v>155</v>
      </c>
      <c r="B73" s="8" t="s">
        <v>182</v>
      </c>
      <c r="C73" s="9" t="s">
        <v>839</v>
      </c>
      <c r="D73" s="10">
        <v>182</v>
      </c>
      <c r="E73" s="9" t="s">
        <v>158</v>
      </c>
      <c r="F73" s="10">
        <v>182</v>
      </c>
      <c r="G73" s="10">
        <v>181.5</v>
      </c>
      <c r="H73" s="10">
        <v>126</v>
      </c>
      <c r="I73" s="10">
        <v>147</v>
      </c>
      <c r="J73" s="10">
        <v>135</v>
      </c>
      <c r="K73" s="10">
        <v>107</v>
      </c>
      <c r="L73" s="10">
        <v>124</v>
      </c>
      <c r="M73" s="10">
        <v>22.1</v>
      </c>
      <c r="N73" s="10">
        <v>1962</v>
      </c>
      <c r="O73" s="10">
        <v>1.07</v>
      </c>
      <c r="P73" s="10">
        <v>2102</v>
      </c>
      <c r="Q73" s="10">
        <v>251</v>
      </c>
      <c r="R73" s="10">
        <v>152</v>
      </c>
      <c r="S73" s="10">
        <v>56</v>
      </c>
      <c r="T73" s="10">
        <v>369</v>
      </c>
      <c r="U73" s="10">
        <v>25</v>
      </c>
      <c r="V73" s="10">
        <v>187</v>
      </c>
      <c r="W73" s="10">
        <v>0.45300000000000001</v>
      </c>
      <c r="X73" s="10">
        <v>210</v>
      </c>
      <c r="Y73" s="10">
        <v>139</v>
      </c>
      <c r="Z73" s="10">
        <v>159</v>
      </c>
      <c r="AA73" s="10">
        <v>7</v>
      </c>
      <c r="AB73" s="10">
        <v>10.6</v>
      </c>
      <c r="AC73" s="9" t="s">
        <v>169</v>
      </c>
      <c r="AD73" s="9" t="s">
        <v>185</v>
      </c>
      <c r="AE73" s="10"/>
      <c r="AF73" s="10"/>
      <c r="AG73" s="10"/>
    </row>
    <row r="74" spans="1:33">
      <c r="A74" s="7" t="s">
        <v>155</v>
      </c>
      <c r="B74" s="8" t="s">
        <v>182</v>
      </c>
      <c r="C74" s="9" t="s">
        <v>839</v>
      </c>
      <c r="D74" s="10">
        <v>190</v>
      </c>
      <c r="E74" s="9" t="s">
        <v>158</v>
      </c>
      <c r="F74" s="10">
        <v>190</v>
      </c>
      <c r="G74" s="10">
        <v>189.5</v>
      </c>
      <c r="H74" s="10">
        <v>130</v>
      </c>
      <c r="I74" s="10">
        <v>150</v>
      </c>
      <c r="J74" s="10">
        <v>135</v>
      </c>
      <c r="K74" s="10">
        <v>107</v>
      </c>
      <c r="L74" s="10">
        <v>126</v>
      </c>
      <c r="M74" s="10">
        <v>22.6</v>
      </c>
      <c r="N74" s="10">
        <v>1894</v>
      </c>
      <c r="O74" s="10">
        <v>1.1599999999999999</v>
      </c>
      <c r="P74" s="10">
        <v>2205</v>
      </c>
      <c r="Q74" s="10">
        <v>272</v>
      </c>
      <c r="R74" s="10">
        <v>164</v>
      </c>
      <c r="S74" s="10">
        <v>61</v>
      </c>
      <c r="T74" s="10">
        <v>381</v>
      </c>
      <c r="U74" s="10">
        <v>29</v>
      </c>
      <c r="V74" s="10">
        <v>210</v>
      </c>
      <c r="W74" s="10">
        <v>0.47</v>
      </c>
      <c r="X74" s="10">
        <v>245</v>
      </c>
      <c r="Y74" s="10">
        <v>145</v>
      </c>
      <c r="Z74" s="10">
        <v>136</v>
      </c>
      <c r="AA74" s="10">
        <v>7</v>
      </c>
      <c r="AB74" s="10">
        <v>9.3000000000000007</v>
      </c>
      <c r="AC74" s="9" t="s">
        <v>169</v>
      </c>
      <c r="AD74" s="9" t="s">
        <v>185</v>
      </c>
      <c r="AE74" s="10"/>
      <c r="AF74" s="10"/>
      <c r="AG74" s="10"/>
    </row>
    <row r="75" spans="1:33">
      <c r="A75" s="7" t="s">
        <v>155</v>
      </c>
      <c r="B75" s="8" t="s">
        <v>182</v>
      </c>
      <c r="C75" s="9" t="s">
        <v>667</v>
      </c>
      <c r="D75" s="10">
        <v>166</v>
      </c>
      <c r="E75" s="9" t="s">
        <v>158</v>
      </c>
      <c r="F75" s="10">
        <v>166</v>
      </c>
      <c r="G75" s="10">
        <v>165.6</v>
      </c>
      <c r="H75" s="10">
        <v>139</v>
      </c>
      <c r="I75" s="10">
        <v>148</v>
      </c>
      <c r="J75" s="10">
        <v>125</v>
      </c>
      <c r="K75" s="10">
        <v>81</v>
      </c>
      <c r="L75" s="10">
        <v>108</v>
      </c>
      <c r="M75" s="10">
        <v>15.4</v>
      </c>
      <c r="N75" s="10">
        <v>1536</v>
      </c>
      <c r="O75" s="10">
        <v>1.02</v>
      </c>
      <c r="P75" s="10">
        <v>1569</v>
      </c>
      <c r="Q75" s="10">
        <v>211</v>
      </c>
      <c r="R75" s="10">
        <v>119</v>
      </c>
      <c r="S75" s="10">
        <v>35</v>
      </c>
      <c r="T75" s="10">
        <v>172</v>
      </c>
      <c r="U75" s="10">
        <v>10</v>
      </c>
      <c r="V75" s="10">
        <v>98</v>
      </c>
      <c r="W75" s="10">
        <v>0.28199999999999997</v>
      </c>
      <c r="X75" s="10">
        <v>114</v>
      </c>
      <c r="Y75" s="10">
        <v>58</v>
      </c>
      <c r="Z75" s="10">
        <v>58</v>
      </c>
      <c r="AA75" s="10">
        <v>10</v>
      </c>
      <c r="AB75" s="10">
        <v>10.199999999999999</v>
      </c>
      <c r="AC75" s="9" t="s">
        <v>231</v>
      </c>
      <c r="AD75" s="9" t="s">
        <v>188</v>
      </c>
      <c r="AE75" s="10"/>
      <c r="AF75" s="10"/>
      <c r="AG75" s="10"/>
    </row>
    <row r="76" spans="1:33">
      <c r="A76" s="7" t="s">
        <v>155</v>
      </c>
      <c r="B76" s="8" t="s">
        <v>182</v>
      </c>
      <c r="C76" s="9" t="s">
        <v>667</v>
      </c>
      <c r="D76" s="10">
        <v>174</v>
      </c>
      <c r="E76" s="9" t="s">
        <v>158</v>
      </c>
      <c r="F76" s="10">
        <v>174</v>
      </c>
      <c r="G76" s="10">
        <v>173.5</v>
      </c>
      <c r="H76" s="10">
        <v>142</v>
      </c>
      <c r="I76" s="10">
        <v>154</v>
      </c>
      <c r="J76" s="10">
        <v>127</v>
      </c>
      <c r="K76" s="10">
        <v>81</v>
      </c>
      <c r="L76" s="10">
        <v>109</v>
      </c>
      <c r="M76" s="10">
        <v>15.9</v>
      </c>
      <c r="N76" s="10">
        <v>1648</v>
      </c>
      <c r="O76" s="10">
        <v>1.01</v>
      </c>
      <c r="P76" s="10">
        <v>1659</v>
      </c>
      <c r="Q76" s="10">
        <v>230</v>
      </c>
      <c r="R76" s="10">
        <v>139</v>
      </c>
      <c r="S76" s="10">
        <v>42</v>
      </c>
      <c r="T76" s="10">
        <v>198</v>
      </c>
      <c r="U76" s="10">
        <v>12</v>
      </c>
      <c r="V76" s="10">
        <v>121</v>
      </c>
      <c r="W76" s="10">
        <v>0.29099999999999998</v>
      </c>
      <c r="X76" s="10">
        <v>120</v>
      </c>
      <c r="Y76" s="10">
        <v>72</v>
      </c>
      <c r="Z76" s="10">
        <v>78</v>
      </c>
      <c r="AA76" s="10">
        <v>7</v>
      </c>
      <c r="AB76" s="10">
        <v>9.4</v>
      </c>
      <c r="AC76" s="9" t="s">
        <v>231</v>
      </c>
      <c r="AD76" s="9" t="s">
        <v>188</v>
      </c>
      <c r="AE76" s="10"/>
      <c r="AF76" s="10"/>
      <c r="AG76" s="10"/>
    </row>
    <row r="77" spans="1:33">
      <c r="A77" s="7" t="s">
        <v>155</v>
      </c>
      <c r="B77" s="8" t="s">
        <v>182</v>
      </c>
      <c r="C77" s="9" t="s">
        <v>667</v>
      </c>
      <c r="D77" s="10">
        <v>182</v>
      </c>
      <c r="E77" s="9" t="s">
        <v>158</v>
      </c>
      <c r="F77" s="10">
        <v>182</v>
      </c>
      <c r="G77" s="10">
        <v>181.5</v>
      </c>
      <c r="H77" s="10">
        <v>150</v>
      </c>
      <c r="I77" s="10">
        <v>161</v>
      </c>
      <c r="J77" s="10">
        <v>129</v>
      </c>
      <c r="K77" s="10">
        <v>81</v>
      </c>
      <c r="L77" s="10">
        <v>110</v>
      </c>
      <c r="M77" s="10">
        <v>16.7</v>
      </c>
      <c r="N77" s="10">
        <v>1734</v>
      </c>
      <c r="O77" s="10">
        <v>1</v>
      </c>
      <c r="P77" s="10">
        <v>1742</v>
      </c>
      <c r="Q77" s="10">
        <v>245</v>
      </c>
      <c r="R77" s="10">
        <v>129</v>
      </c>
      <c r="S77" s="10">
        <v>41</v>
      </c>
      <c r="T77" s="10">
        <v>197</v>
      </c>
      <c r="U77" s="10">
        <v>12</v>
      </c>
      <c r="V77" s="10">
        <v>123</v>
      </c>
      <c r="W77" s="10">
        <v>0.28899999999999998</v>
      </c>
      <c r="X77" s="10">
        <v>131</v>
      </c>
      <c r="Y77" s="10">
        <v>73</v>
      </c>
      <c r="Z77" s="10">
        <v>66</v>
      </c>
      <c r="AA77" s="10">
        <v>9</v>
      </c>
      <c r="AB77" s="10">
        <v>9.6</v>
      </c>
      <c r="AC77" s="9" t="s">
        <v>231</v>
      </c>
      <c r="AD77" s="9" t="s">
        <v>188</v>
      </c>
      <c r="AE77" s="10"/>
      <c r="AF77" s="10"/>
      <c r="AG77" s="10"/>
    </row>
    <row r="78" spans="1:33">
      <c r="A78" s="7" t="s">
        <v>155</v>
      </c>
      <c r="B78" s="8" t="s">
        <v>182</v>
      </c>
      <c r="C78" s="9" t="s">
        <v>310</v>
      </c>
      <c r="D78" s="10">
        <v>160</v>
      </c>
      <c r="E78" s="9" t="s">
        <v>158</v>
      </c>
      <c r="F78" s="10">
        <v>160</v>
      </c>
      <c r="G78" s="10">
        <v>159.6</v>
      </c>
      <c r="H78" s="10">
        <v>133</v>
      </c>
      <c r="I78" s="10">
        <v>142</v>
      </c>
      <c r="J78" s="10">
        <v>127</v>
      </c>
      <c r="K78" s="10">
        <v>87</v>
      </c>
      <c r="L78" s="10">
        <v>109</v>
      </c>
      <c r="M78" s="10">
        <v>16.100000000000001</v>
      </c>
      <c r="N78" s="10">
        <v>1440</v>
      </c>
      <c r="O78" s="10">
        <v>1.0900000000000001</v>
      </c>
      <c r="P78" s="10">
        <v>1574</v>
      </c>
      <c r="Q78" s="10">
        <v>223</v>
      </c>
      <c r="R78" s="10">
        <v>102</v>
      </c>
      <c r="S78" s="10">
        <v>37</v>
      </c>
      <c r="T78" s="10">
        <v>169</v>
      </c>
      <c r="U78" s="10">
        <v>9</v>
      </c>
      <c r="V78" s="10">
        <v>94</v>
      </c>
      <c r="W78" s="10">
        <v>0.23899999999999999</v>
      </c>
      <c r="X78" s="10">
        <v>114</v>
      </c>
      <c r="Y78" s="10">
        <v>65</v>
      </c>
      <c r="Z78" s="10">
        <v>55</v>
      </c>
      <c r="AA78" s="10">
        <v>6</v>
      </c>
      <c r="AB78" s="10">
        <v>11</v>
      </c>
      <c r="AC78" s="9" t="s">
        <v>188</v>
      </c>
      <c r="AD78" s="9" t="s">
        <v>185</v>
      </c>
      <c r="AE78" s="10"/>
      <c r="AF78" s="10"/>
      <c r="AG78" s="10"/>
    </row>
    <row r="79" spans="1:33">
      <c r="A79" s="7" t="s">
        <v>155</v>
      </c>
      <c r="B79" s="8" t="s">
        <v>182</v>
      </c>
      <c r="C79" s="9" t="s">
        <v>310</v>
      </c>
      <c r="D79" s="10">
        <v>168</v>
      </c>
      <c r="E79" s="9" t="s">
        <v>158</v>
      </c>
      <c r="F79" s="10">
        <v>168</v>
      </c>
      <c r="G79" s="10">
        <v>167.5</v>
      </c>
      <c r="H79" s="10">
        <v>139</v>
      </c>
      <c r="I79" s="10">
        <v>148</v>
      </c>
      <c r="J79" s="10">
        <v>129</v>
      </c>
      <c r="K79" s="10">
        <v>87</v>
      </c>
      <c r="L79" s="10">
        <v>110</v>
      </c>
      <c r="M79" s="10">
        <v>17</v>
      </c>
      <c r="N79" s="10">
        <v>1562</v>
      </c>
      <c r="O79" s="10">
        <v>1.07</v>
      </c>
      <c r="P79" s="10">
        <v>1666</v>
      </c>
      <c r="Q79" s="10">
        <v>236</v>
      </c>
      <c r="R79" s="10">
        <v>109</v>
      </c>
      <c r="S79" s="10">
        <v>39</v>
      </c>
      <c r="T79" s="10">
        <v>182</v>
      </c>
      <c r="U79" s="10">
        <v>9</v>
      </c>
      <c r="V79" s="10">
        <v>105</v>
      </c>
      <c r="W79" s="10">
        <v>0.23899999999999999</v>
      </c>
      <c r="X79" s="10">
        <v>118</v>
      </c>
      <c r="Y79" s="10">
        <v>74</v>
      </c>
      <c r="Z79" s="10">
        <v>65</v>
      </c>
      <c r="AA79" s="10">
        <v>5</v>
      </c>
      <c r="AB79" s="10">
        <v>11.3</v>
      </c>
      <c r="AC79" s="9" t="s">
        <v>188</v>
      </c>
      <c r="AD79" s="9" t="s">
        <v>185</v>
      </c>
      <c r="AE79" s="10"/>
      <c r="AF79" s="10"/>
      <c r="AG79" s="10"/>
    </row>
    <row r="80" spans="1:33">
      <c r="A80" s="7" t="s">
        <v>155</v>
      </c>
      <c r="B80" s="8" t="s">
        <v>182</v>
      </c>
      <c r="C80" s="9" t="s">
        <v>310</v>
      </c>
      <c r="D80" s="10">
        <v>176</v>
      </c>
      <c r="E80" s="9" t="s">
        <v>158</v>
      </c>
      <c r="F80" s="10">
        <v>176</v>
      </c>
      <c r="G80" s="10">
        <v>175.4</v>
      </c>
      <c r="H80" s="10">
        <v>145</v>
      </c>
      <c r="I80" s="10">
        <v>154</v>
      </c>
      <c r="J80" s="10">
        <v>131</v>
      </c>
      <c r="K80" s="10">
        <v>87</v>
      </c>
      <c r="L80" s="10">
        <v>111</v>
      </c>
      <c r="M80" s="10">
        <v>17.2</v>
      </c>
      <c r="N80" s="10">
        <v>1632</v>
      </c>
      <c r="O80" s="10">
        <v>1.08</v>
      </c>
      <c r="P80" s="10">
        <v>1766</v>
      </c>
      <c r="Q80" s="10">
        <v>276</v>
      </c>
      <c r="R80" s="10">
        <v>116</v>
      </c>
      <c r="S80" s="10">
        <v>40</v>
      </c>
      <c r="T80" s="10">
        <v>189</v>
      </c>
      <c r="U80" s="10">
        <v>11</v>
      </c>
      <c r="V80" s="10">
        <v>117</v>
      </c>
      <c r="W80" s="10">
        <v>0.27200000000000002</v>
      </c>
      <c r="X80" s="10">
        <v>138</v>
      </c>
      <c r="Y80" s="10">
        <v>80</v>
      </c>
      <c r="Z80" s="10">
        <v>51</v>
      </c>
      <c r="AA80" s="10">
        <v>6</v>
      </c>
      <c r="AB80" s="10">
        <v>11.8</v>
      </c>
      <c r="AC80" s="9" t="s">
        <v>188</v>
      </c>
      <c r="AD80" s="9" t="s">
        <v>185</v>
      </c>
      <c r="AE80" s="10"/>
      <c r="AF80" s="10"/>
      <c r="AG80" s="10"/>
    </row>
    <row r="81" spans="1:33">
      <c r="A81" s="7" t="s">
        <v>155</v>
      </c>
      <c r="B81" s="8" t="s">
        <v>182</v>
      </c>
      <c r="C81" s="9" t="s">
        <v>271</v>
      </c>
      <c r="D81" s="10">
        <v>164</v>
      </c>
      <c r="E81" s="9" t="s">
        <v>158</v>
      </c>
      <c r="F81" s="10">
        <v>164</v>
      </c>
      <c r="G81" s="10">
        <v>163.80000000000001</v>
      </c>
      <c r="H81" s="10">
        <v>126</v>
      </c>
      <c r="I81" s="10">
        <v>143</v>
      </c>
      <c r="J81" s="10">
        <v>129</v>
      </c>
      <c r="K81" s="10">
        <v>91</v>
      </c>
      <c r="L81" s="10">
        <v>114</v>
      </c>
      <c r="M81" s="10">
        <v>16.399999999999999</v>
      </c>
      <c r="N81" s="10">
        <v>1621</v>
      </c>
      <c r="O81" s="10">
        <v>1.04</v>
      </c>
      <c r="P81" s="10">
        <v>1688</v>
      </c>
      <c r="Q81" s="10">
        <v>188</v>
      </c>
      <c r="R81" s="10">
        <v>101</v>
      </c>
      <c r="S81" s="10">
        <v>42</v>
      </c>
      <c r="T81" s="10">
        <v>231</v>
      </c>
      <c r="U81" s="10">
        <v>18</v>
      </c>
      <c r="V81" s="10">
        <v>145</v>
      </c>
      <c r="W81" s="10">
        <v>0.43</v>
      </c>
      <c r="X81" s="10">
        <v>131</v>
      </c>
      <c r="Y81" s="10">
        <v>74</v>
      </c>
      <c r="Z81" s="10">
        <v>100</v>
      </c>
      <c r="AA81" s="10">
        <v>7</v>
      </c>
      <c r="AB81" s="10">
        <v>10.3</v>
      </c>
      <c r="AC81" s="9" t="s">
        <v>188</v>
      </c>
      <c r="AD81" s="10"/>
      <c r="AE81" s="10"/>
      <c r="AF81" s="10"/>
      <c r="AG81" s="10"/>
    </row>
    <row r="82" spans="1:33">
      <c r="A82" s="7" t="s">
        <v>155</v>
      </c>
      <c r="B82" s="8" t="s">
        <v>182</v>
      </c>
      <c r="C82" s="9" t="s">
        <v>271</v>
      </c>
      <c r="D82" s="10">
        <v>180</v>
      </c>
      <c r="E82" s="9" t="s">
        <v>158</v>
      </c>
      <c r="F82" s="10">
        <v>180</v>
      </c>
      <c r="G82" s="10">
        <v>179.8</v>
      </c>
      <c r="H82" s="10">
        <v>141</v>
      </c>
      <c r="I82" s="10">
        <v>154</v>
      </c>
      <c r="J82" s="10">
        <v>130</v>
      </c>
      <c r="K82" s="10">
        <v>91</v>
      </c>
      <c r="L82" s="10">
        <v>116</v>
      </c>
      <c r="M82" s="10">
        <v>17.899999999999999</v>
      </c>
      <c r="N82" s="10">
        <v>1858</v>
      </c>
      <c r="O82" s="10">
        <v>1.01</v>
      </c>
      <c r="P82" s="10">
        <v>1871</v>
      </c>
      <c r="Q82" s="10">
        <v>240</v>
      </c>
      <c r="R82" s="10">
        <v>141</v>
      </c>
      <c r="S82" s="10">
        <v>45</v>
      </c>
      <c r="T82" s="10">
        <v>243</v>
      </c>
      <c r="U82" s="10">
        <v>16</v>
      </c>
      <c r="V82" s="10">
        <v>143</v>
      </c>
      <c r="W82" s="10">
        <v>0.35599999999999998</v>
      </c>
      <c r="X82" s="10">
        <v>159</v>
      </c>
      <c r="Y82" s="10">
        <v>95</v>
      </c>
      <c r="Z82" s="10">
        <v>84</v>
      </c>
      <c r="AA82" s="10">
        <v>10</v>
      </c>
      <c r="AB82" s="10">
        <v>10.5</v>
      </c>
      <c r="AC82" s="9" t="s">
        <v>188</v>
      </c>
      <c r="AD82" s="10"/>
      <c r="AE82" s="10"/>
      <c r="AF82" s="10"/>
      <c r="AG82" s="10"/>
    </row>
    <row r="83" spans="1:33">
      <c r="A83" s="7" t="s">
        <v>155</v>
      </c>
      <c r="B83" s="8" t="s">
        <v>182</v>
      </c>
      <c r="C83" s="9" t="s">
        <v>271</v>
      </c>
      <c r="D83" s="10">
        <v>188</v>
      </c>
      <c r="E83" s="9" t="s">
        <v>158</v>
      </c>
      <c r="F83" s="10">
        <v>188</v>
      </c>
      <c r="G83" s="10">
        <v>187.6</v>
      </c>
      <c r="H83" s="10">
        <v>145</v>
      </c>
      <c r="I83" s="10">
        <v>159</v>
      </c>
      <c r="J83" s="10">
        <v>131</v>
      </c>
      <c r="K83" s="10">
        <v>91</v>
      </c>
      <c r="L83" s="10">
        <v>118</v>
      </c>
      <c r="M83" s="10">
        <v>18.399999999999999</v>
      </c>
      <c r="N83" s="10">
        <v>1937</v>
      </c>
      <c r="O83" s="10">
        <v>1.01</v>
      </c>
      <c r="P83" s="10">
        <v>1964</v>
      </c>
      <c r="Q83" s="10">
        <v>271</v>
      </c>
      <c r="R83" s="10">
        <v>161</v>
      </c>
      <c r="S83" s="10">
        <v>49</v>
      </c>
      <c r="T83" s="10">
        <v>262</v>
      </c>
      <c r="U83" s="10">
        <v>20</v>
      </c>
      <c r="V83" s="10">
        <v>162</v>
      </c>
      <c r="W83" s="10">
        <v>0.40400000000000003</v>
      </c>
      <c r="X83" s="10">
        <v>182</v>
      </c>
      <c r="Y83" s="10">
        <v>105</v>
      </c>
      <c r="Z83" s="10">
        <v>80</v>
      </c>
      <c r="AA83" s="10">
        <v>8</v>
      </c>
      <c r="AB83" s="10">
        <v>9.6</v>
      </c>
      <c r="AC83" s="9" t="s">
        <v>188</v>
      </c>
      <c r="AD83" s="10"/>
      <c r="AE83" s="10"/>
      <c r="AF83" s="10"/>
      <c r="AG83" s="10"/>
    </row>
    <row r="84" spans="1:33">
      <c r="A84" s="7" t="s">
        <v>155</v>
      </c>
      <c r="B84" s="8" t="s">
        <v>182</v>
      </c>
      <c r="C84" s="9" t="s">
        <v>537</v>
      </c>
      <c r="D84" s="10">
        <v>164</v>
      </c>
      <c r="E84" s="9" t="s">
        <v>158</v>
      </c>
      <c r="F84" s="10">
        <v>164</v>
      </c>
      <c r="G84" s="10">
        <v>162.1</v>
      </c>
      <c r="H84" s="10">
        <v>120</v>
      </c>
      <c r="I84" s="10">
        <v>143</v>
      </c>
      <c r="J84" s="10">
        <v>128</v>
      </c>
      <c r="K84" s="10">
        <v>97</v>
      </c>
      <c r="L84" s="10">
        <v>119</v>
      </c>
      <c r="M84" s="10">
        <v>18.600000000000001</v>
      </c>
      <c r="N84" s="10">
        <v>1828</v>
      </c>
      <c r="O84" s="10">
        <v>0.94</v>
      </c>
      <c r="P84" s="10">
        <v>1720</v>
      </c>
      <c r="Q84" s="10">
        <v>164</v>
      </c>
      <c r="R84" s="10">
        <v>68</v>
      </c>
      <c r="S84" s="10">
        <v>48</v>
      </c>
      <c r="T84" s="10">
        <v>253</v>
      </c>
      <c r="U84" s="10">
        <v>45</v>
      </c>
      <c r="V84" s="10">
        <v>165</v>
      </c>
      <c r="W84" s="10">
        <v>0.94699999999999995</v>
      </c>
      <c r="X84" s="10">
        <v>93</v>
      </c>
      <c r="Y84" s="10">
        <v>102</v>
      </c>
      <c r="Z84" s="10">
        <v>160</v>
      </c>
      <c r="AA84" s="10">
        <v>8</v>
      </c>
      <c r="AB84" s="10">
        <v>2.2999999999999998</v>
      </c>
      <c r="AC84" s="9" t="s">
        <v>184</v>
      </c>
      <c r="AD84" s="10"/>
      <c r="AE84" s="10"/>
      <c r="AF84" s="10"/>
      <c r="AG84" s="10"/>
    </row>
    <row r="85" spans="1:33">
      <c r="A85" s="7" t="s">
        <v>155</v>
      </c>
      <c r="B85" s="8" t="s">
        <v>182</v>
      </c>
      <c r="C85" s="9" t="s">
        <v>537</v>
      </c>
      <c r="D85" s="10">
        <v>172</v>
      </c>
      <c r="E85" s="9" t="s">
        <v>158</v>
      </c>
      <c r="F85" s="10">
        <v>172</v>
      </c>
      <c r="G85" s="10">
        <v>170</v>
      </c>
      <c r="H85" s="10">
        <v>126</v>
      </c>
      <c r="I85" s="10">
        <v>150</v>
      </c>
      <c r="J85" s="10">
        <v>130</v>
      </c>
      <c r="K85" s="10">
        <v>97</v>
      </c>
      <c r="L85" s="10">
        <v>120</v>
      </c>
      <c r="M85" s="10">
        <v>19.600000000000001</v>
      </c>
      <c r="N85" s="10">
        <v>1915</v>
      </c>
      <c r="O85" s="10">
        <v>0.95</v>
      </c>
      <c r="P85" s="10">
        <v>1816</v>
      </c>
      <c r="Q85" s="10">
        <v>170</v>
      </c>
      <c r="R85" s="10">
        <v>87</v>
      </c>
      <c r="S85" s="10">
        <v>55</v>
      </c>
      <c r="T85" s="10">
        <v>273</v>
      </c>
      <c r="U85" s="10">
        <v>46</v>
      </c>
      <c r="V85" s="10">
        <v>168</v>
      </c>
      <c r="W85" s="10">
        <v>0.84099999999999997</v>
      </c>
      <c r="X85" s="10">
        <v>96</v>
      </c>
      <c r="Y85" s="10">
        <v>101</v>
      </c>
      <c r="Z85" s="10">
        <v>176</v>
      </c>
      <c r="AA85" s="10">
        <v>7</v>
      </c>
      <c r="AB85" s="10">
        <v>3.5</v>
      </c>
      <c r="AC85" s="9" t="s">
        <v>188</v>
      </c>
      <c r="AD85" s="9" t="s">
        <v>184</v>
      </c>
      <c r="AE85" s="10"/>
      <c r="AF85" s="10"/>
      <c r="AG85" s="10"/>
    </row>
    <row r="86" spans="1:33">
      <c r="A86" s="7" t="s">
        <v>155</v>
      </c>
      <c r="B86" s="8" t="s">
        <v>182</v>
      </c>
      <c r="C86" s="9" t="s">
        <v>537</v>
      </c>
      <c r="D86" s="10">
        <v>180</v>
      </c>
      <c r="E86" s="9" t="s">
        <v>158</v>
      </c>
      <c r="F86" s="10">
        <v>180</v>
      </c>
      <c r="G86" s="10">
        <v>178</v>
      </c>
      <c r="H86" s="10">
        <v>134</v>
      </c>
      <c r="I86" s="10">
        <v>159</v>
      </c>
      <c r="J86" s="10">
        <v>132</v>
      </c>
      <c r="K86" s="10">
        <v>97</v>
      </c>
      <c r="L86" s="10">
        <v>122</v>
      </c>
      <c r="M86" s="10">
        <v>20.399999999999999</v>
      </c>
      <c r="N86" s="10">
        <v>2021</v>
      </c>
      <c r="O86" s="10">
        <v>0.95</v>
      </c>
      <c r="P86" s="10">
        <v>1913</v>
      </c>
      <c r="Q86" s="10">
        <v>198</v>
      </c>
      <c r="R86" s="10">
        <v>87</v>
      </c>
      <c r="S86" s="10">
        <v>50</v>
      </c>
      <c r="T86" s="10">
        <v>266</v>
      </c>
      <c r="U86" s="10">
        <v>48</v>
      </c>
      <c r="V86" s="10">
        <v>172</v>
      </c>
      <c r="W86" s="10">
        <v>0.95699999999999996</v>
      </c>
      <c r="X86" s="10">
        <v>87</v>
      </c>
      <c r="Y86" s="10">
        <v>98</v>
      </c>
      <c r="Z86" s="10">
        <v>179</v>
      </c>
      <c r="AA86" s="10">
        <v>8</v>
      </c>
      <c r="AB86" s="10">
        <v>3.2</v>
      </c>
      <c r="AC86" s="9" t="s">
        <v>184</v>
      </c>
      <c r="AD86" s="10"/>
      <c r="AE86" s="10"/>
      <c r="AF86" s="10"/>
      <c r="AG86" s="10"/>
    </row>
    <row r="87" spans="1:33">
      <c r="A87" s="7" t="s">
        <v>155</v>
      </c>
      <c r="B87" s="8" t="s">
        <v>182</v>
      </c>
      <c r="C87" s="9" t="s">
        <v>876</v>
      </c>
      <c r="D87" s="10">
        <v>180</v>
      </c>
      <c r="E87" s="9" t="s">
        <v>158</v>
      </c>
      <c r="F87" s="10">
        <v>180</v>
      </c>
      <c r="G87" s="10">
        <v>178.7</v>
      </c>
      <c r="H87" s="10">
        <v>99</v>
      </c>
      <c r="I87" s="10">
        <v>115</v>
      </c>
      <c r="J87" s="10">
        <v>142</v>
      </c>
      <c r="K87" s="10">
        <v>125</v>
      </c>
      <c r="L87" s="10">
        <v>139</v>
      </c>
      <c r="M87" s="10">
        <v>17.899999999999999</v>
      </c>
      <c r="N87" s="10">
        <v>2353</v>
      </c>
      <c r="O87" s="10">
        <v>1</v>
      </c>
      <c r="P87" s="10">
        <v>2343</v>
      </c>
      <c r="Q87" s="10">
        <v>264</v>
      </c>
      <c r="R87" s="10">
        <v>128</v>
      </c>
      <c r="S87" s="10">
        <v>60</v>
      </c>
      <c r="T87" s="10">
        <v>414</v>
      </c>
      <c r="U87" s="10">
        <v>58</v>
      </c>
      <c r="V87" s="10">
        <v>383</v>
      </c>
      <c r="W87" s="10">
        <v>0.96899999999999997</v>
      </c>
      <c r="X87" s="10">
        <v>325</v>
      </c>
      <c r="Y87" s="10">
        <v>311</v>
      </c>
      <c r="Z87" s="10">
        <v>89</v>
      </c>
      <c r="AA87" s="10">
        <v>7</v>
      </c>
      <c r="AB87" s="10">
        <v>4.7</v>
      </c>
      <c r="AC87" s="9" t="s">
        <v>184</v>
      </c>
      <c r="AD87" s="9" t="s">
        <v>169</v>
      </c>
      <c r="AE87" s="10"/>
      <c r="AF87" s="10"/>
      <c r="AG87" s="10"/>
    </row>
    <row r="88" spans="1:33">
      <c r="A88" s="7" t="s">
        <v>155</v>
      </c>
      <c r="B88" s="8" t="s">
        <v>182</v>
      </c>
      <c r="C88" s="9" t="s">
        <v>876</v>
      </c>
      <c r="D88" s="10">
        <v>190</v>
      </c>
      <c r="E88" s="9" t="s">
        <v>158</v>
      </c>
      <c r="F88" s="10">
        <v>190</v>
      </c>
      <c r="G88" s="10">
        <v>188.7</v>
      </c>
      <c r="H88" s="10">
        <v>110</v>
      </c>
      <c r="I88" s="10">
        <v>126</v>
      </c>
      <c r="J88" s="10">
        <v>142</v>
      </c>
      <c r="K88" s="10">
        <v>125</v>
      </c>
      <c r="L88" s="10">
        <v>139</v>
      </c>
      <c r="M88" s="10">
        <v>22.7</v>
      </c>
      <c r="N88" s="10">
        <v>2529</v>
      </c>
      <c r="O88" s="10">
        <v>0.98</v>
      </c>
      <c r="P88" s="10">
        <v>2479</v>
      </c>
      <c r="Q88" s="10">
        <v>266</v>
      </c>
      <c r="R88" s="10">
        <v>133</v>
      </c>
      <c r="S88" s="10">
        <v>56</v>
      </c>
      <c r="T88" s="10">
        <v>410</v>
      </c>
      <c r="U88" s="10">
        <v>58</v>
      </c>
      <c r="V88" s="10">
        <v>375</v>
      </c>
      <c r="W88" s="10">
        <v>1.0429999999999999</v>
      </c>
      <c r="X88" s="10">
        <v>333</v>
      </c>
      <c r="Y88" s="10">
        <v>294</v>
      </c>
      <c r="Z88" s="10">
        <v>77</v>
      </c>
      <c r="AA88" s="10">
        <v>8</v>
      </c>
      <c r="AB88" s="10">
        <v>4.3</v>
      </c>
      <c r="AC88" s="9" t="s">
        <v>184</v>
      </c>
      <c r="AD88" s="9" t="s">
        <v>169</v>
      </c>
      <c r="AE88" s="10"/>
      <c r="AF88" s="10"/>
      <c r="AG88" s="10"/>
    </row>
    <row r="89" spans="1:33">
      <c r="A89" s="7" t="s">
        <v>155</v>
      </c>
      <c r="B89" s="8" t="s">
        <v>182</v>
      </c>
      <c r="C89" s="9" t="s">
        <v>287</v>
      </c>
      <c r="D89" s="10">
        <v>164</v>
      </c>
      <c r="E89" s="9" t="s">
        <v>163</v>
      </c>
      <c r="F89" s="10">
        <v>164</v>
      </c>
      <c r="G89" s="10">
        <v>163.5</v>
      </c>
      <c r="H89" s="10">
        <v>117</v>
      </c>
      <c r="I89" s="10">
        <v>136</v>
      </c>
      <c r="J89" s="10">
        <v>132</v>
      </c>
      <c r="K89" s="10">
        <v>101</v>
      </c>
      <c r="L89" s="10">
        <v>122</v>
      </c>
      <c r="M89" s="10">
        <v>16.899999999999999</v>
      </c>
      <c r="N89" s="10">
        <v>1707</v>
      </c>
      <c r="O89" s="10">
        <v>1.07</v>
      </c>
      <c r="P89" s="10">
        <v>1819</v>
      </c>
      <c r="Q89" s="10">
        <v>190</v>
      </c>
      <c r="R89" s="10">
        <v>112</v>
      </c>
      <c r="S89" s="10">
        <v>53</v>
      </c>
      <c r="T89" s="10">
        <v>304</v>
      </c>
      <c r="U89" s="10">
        <v>18</v>
      </c>
      <c r="V89" s="10">
        <v>157</v>
      </c>
      <c r="W89" s="10">
        <v>0.33</v>
      </c>
      <c r="X89" s="10">
        <v>162</v>
      </c>
      <c r="Y89" s="10">
        <v>116</v>
      </c>
      <c r="Z89" s="10">
        <v>142</v>
      </c>
      <c r="AA89" s="10">
        <v>4</v>
      </c>
      <c r="AB89" s="10">
        <v>7.5</v>
      </c>
      <c r="AC89" s="9" t="s">
        <v>188</v>
      </c>
      <c r="AD89" s="9" t="s">
        <v>178</v>
      </c>
      <c r="AE89" s="9" t="s">
        <v>185</v>
      </c>
      <c r="AF89" s="10"/>
      <c r="AG89" s="10"/>
    </row>
    <row r="90" spans="1:33">
      <c r="A90" s="7" t="s">
        <v>155</v>
      </c>
      <c r="B90" s="8" t="s">
        <v>182</v>
      </c>
      <c r="C90" s="9" t="s">
        <v>287</v>
      </c>
      <c r="D90" s="10">
        <v>172</v>
      </c>
      <c r="E90" s="9" t="s">
        <v>163</v>
      </c>
      <c r="F90" s="10">
        <v>172</v>
      </c>
      <c r="G90" s="10">
        <v>171.4</v>
      </c>
      <c r="H90" s="10">
        <v>127</v>
      </c>
      <c r="I90" s="10">
        <v>141</v>
      </c>
      <c r="J90" s="10">
        <v>133</v>
      </c>
      <c r="K90" s="10">
        <v>101</v>
      </c>
      <c r="L90" s="10">
        <v>123</v>
      </c>
      <c r="M90" s="10">
        <v>17.399999999999999</v>
      </c>
      <c r="N90" s="10">
        <v>1873</v>
      </c>
      <c r="O90" s="10">
        <v>1.02</v>
      </c>
      <c r="P90" s="10">
        <v>1917</v>
      </c>
      <c r="Q90" s="10">
        <v>213</v>
      </c>
      <c r="R90" s="10">
        <v>131</v>
      </c>
      <c r="S90" s="10">
        <v>52</v>
      </c>
      <c r="T90" s="10">
        <v>285</v>
      </c>
      <c r="U90" s="10">
        <v>17</v>
      </c>
      <c r="V90" s="10">
        <v>161</v>
      </c>
      <c r="W90" s="10">
        <v>0.33600000000000002</v>
      </c>
      <c r="X90" s="10">
        <v>181</v>
      </c>
      <c r="Y90" s="10">
        <v>127</v>
      </c>
      <c r="Z90" s="10">
        <v>105</v>
      </c>
      <c r="AA90" s="10">
        <v>8</v>
      </c>
      <c r="AB90" s="10">
        <v>8.4</v>
      </c>
      <c r="AC90" s="9" t="s">
        <v>188</v>
      </c>
      <c r="AD90" s="9" t="s">
        <v>178</v>
      </c>
      <c r="AE90" s="10"/>
      <c r="AF90" s="10"/>
      <c r="AG90" s="10"/>
    </row>
    <row r="91" spans="1:33">
      <c r="A91" s="7" t="s">
        <v>155</v>
      </c>
      <c r="B91" s="8" t="s">
        <v>182</v>
      </c>
      <c r="C91" s="9" t="s">
        <v>610</v>
      </c>
      <c r="D91" s="10">
        <v>150</v>
      </c>
      <c r="E91" s="9" t="s">
        <v>163</v>
      </c>
      <c r="F91" s="10">
        <v>150</v>
      </c>
      <c r="G91" s="10">
        <v>149.69999999999999</v>
      </c>
      <c r="H91" s="10">
        <v>124</v>
      </c>
      <c r="I91" s="10">
        <v>135</v>
      </c>
      <c r="J91" s="10">
        <v>121</v>
      </c>
      <c r="K91" s="10">
        <v>81</v>
      </c>
      <c r="L91" s="10">
        <v>107</v>
      </c>
      <c r="M91" s="10">
        <v>14</v>
      </c>
      <c r="N91" s="10">
        <v>1348</v>
      </c>
      <c r="O91" s="10">
        <v>1.04</v>
      </c>
      <c r="P91" s="10">
        <v>1398</v>
      </c>
      <c r="Q91" s="10">
        <v>161</v>
      </c>
      <c r="R91" s="10">
        <v>97</v>
      </c>
      <c r="S91" s="10">
        <v>35</v>
      </c>
      <c r="T91" s="10">
        <v>164</v>
      </c>
      <c r="U91" s="10">
        <v>10</v>
      </c>
      <c r="V91" s="10">
        <v>96</v>
      </c>
      <c r="W91" s="10">
        <v>0.28599999999999998</v>
      </c>
      <c r="X91" s="10">
        <v>91</v>
      </c>
      <c r="Y91" s="10">
        <v>53</v>
      </c>
      <c r="Z91" s="10">
        <v>73</v>
      </c>
      <c r="AA91" s="10">
        <v>7</v>
      </c>
      <c r="AB91" s="10">
        <v>8.1999999999999993</v>
      </c>
      <c r="AC91" s="9" t="s">
        <v>188</v>
      </c>
      <c r="AD91" s="10"/>
      <c r="AE91" s="10"/>
      <c r="AF91" s="10"/>
      <c r="AG91" s="10"/>
    </row>
    <row r="92" spans="1:33">
      <c r="A92" s="7" t="s">
        <v>155</v>
      </c>
      <c r="B92" s="8" t="s">
        <v>182</v>
      </c>
      <c r="C92" s="9" t="s">
        <v>610</v>
      </c>
      <c r="D92" s="10">
        <v>166</v>
      </c>
      <c r="E92" s="9" t="s">
        <v>163</v>
      </c>
      <c r="F92" s="10">
        <v>166</v>
      </c>
      <c r="G92" s="10">
        <v>165.5</v>
      </c>
      <c r="H92" s="10">
        <v>138</v>
      </c>
      <c r="I92" s="10">
        <v>149</v>
      </c>
      <c r="J92" s="10">
        <v>125</v>
      </c>
      <c r="K92" s="10">
        <v>81</v>
      </c>
      <c r="L92" s="10">
        <v>108</v>
      </c>
      <c r="M92" s="10">
        <v>15.4</v>
      </c>
      <c r="N92" s="10">
        <v>1533</v>
      </c>
      <c r="O92" s="10">
        <v>1.02</v>
      </c>
      <c r="P92" s="10">
        <v>1569</v>
      </c>
      <c r="Q92" s="10">
        <v>205</v>
      </c>
      <c r="R92" s="10">
        <v>122</v>
      </c>
      <c r="S92" s="10">
        <v>36</v>
      </c>
      <c r="T92" s="10">
        <v>176</v>
      </c>
      <c r="U92" s="10">
        <v>10</v>
      </c>
      <c r="V92" s="10">
        <v>104</v>
      </c>
      <c r="W92" s="10">
        <v>0.26900000000000002</v>
      </c>
      <c r="X92" s="10">
        <v>112</v>
      </c>
      <c r="Y92" s="10">
        <v>55</v>
      </c>
      <c r="Z92" s="10">
        <v>64</v>
      </c>
      <c r="AA92" s="10">
        <v>9</v>
      </c>
      <c r="AB92" s="10">
        <v>10.3</v>
      </c>
      <c r="AC92" s="9" t="s">
        <v>231</v>
      </c>
      <c r="AD92" s="9" t="s">
        <v>188</v>
      </c>
      <c r="AE92" s="10"/>
      <c r="AF92" s="10"/>
      <c r="AG92" s="10"/>
    </row>
    <row r="93" spans="1:33">
      <c r="A93" s="7" t="s">
        <v>155</v>
      </c>
      <c r="B93" s="8" t="s">
        <v>182</v>
      </c>
      <c r="C93" s="9" t="s">
        <v>610</v>
      </c>
      <c r="D93" s="10">
        <v>174</v>
      </c>
      <c r="E93" s="9" t="s">
        <v>163</v>
      </c>
      <c r="F93" s="10">
        <v>174</v>
      </c>
      <c r="G93" s="10">
        <v>173.3</v>
      </c>
      <c r="H93" s="10">
        <v>142</v>
      </c>
      <c r="I93" s="10">
        <v>155</v>
      </c>
      <c r="J93" s="10">
        <v>127</v>
      </c>
      <c r="K93" s="10">
        <v>81</v>
      </c>
      <c r="L93" s="10">
        <v>109</v>
      </c>
      <c r="M93" s="10">
        <v>15.9</v>
      </c>
      <c r="N93" s="10">
        <v>1650</v>
      </c>
      <c r="O93" s="10">
        <v>1</v>
      </c>
      <c r="P93" s="10">
        <v>1654</v>
      </c>
      <c r="Q93" s="10">
        <v>245</v>
      </c>
      <c r="R93" s="10">
        <v>133</v>
      </c>
      <c r="S93" s="10">
        <v>45</v>
      </c>
      <c r="T93" s="10">
        <v>197</v>
      </c>
      <c r="U93" s="10">
        <v>11</v>
      </c>
      <c r="V93" s="10">
        <v>115</v>
      </c>
      <c r="W93" s="10">
        <v>0.248</v>
      </c>
      <c r="X93" s="10">
        <v>115</v>
      </c>
      <c r="Y93" s="10">
        <v>70</v>
      </c>
      <c r="Z93" s="10">
        <v>82</v>
      </c>
      <c r="AA93" s="10">
        <v>10</v>
      </c>
      <c r="AB93" s="10">
        <v>9.6</v>
      </c>
      <c r="AC93" s="9" t="s">
        <v>231</v>
      </c>
      <c r="AD93" s="9" t="s">
        <v>188</v>
      </c>
      <c r="AE93" s="10"/>
      <c r="AF93" s="10"/>
      <c r="AG93" s="10"/>
    </row>
    <row r="94" spans="1:33">
      <c r="A94" s="7" t="s">
        <v>155</v>
      </c>
      <c r="B94" s="8" t="s">
        <v>182</v>
      </c>
      <c r="C94" s="9" t="s">
        <v>244</v>
      </c>
      <c r="D94" s="10">
        <v>152</v>
      </c>
      <c r="E94" s="9" t="s">
        <v>163</v>
      </c>
      <c r="F94" s="10">
        <v>152</v>
      </c>
      <c r="G94" s="10">
        <v>152</v>
      </c>
      <c r="H94" s="10">
        <v>124</v>
      </c>
      <c r="I94" s="10">
        <v>134</v>
      </c>
      <c r="J94" s="10">
        <v>124</v>
      </c>
      <c r="K94" s="10">
        <v>87</v>
      </c>
      <c r="L94" s="10">
        <v>106</v>
      </c>
      <c r="M94" s="10">
        <v>15.9</v>
      </c>
      <c r="N94" s="10">
        <v>1345</v>
      </c>
      <c r="O94" s="10">
        <v>1.1100000000000001</v>
      </c>
      <c r="P94" s="10">
        <v>1488</v>
      </c>
      <c r="Q94" s="10">
        <v>178</v>
      </c>
      <c r="R94" s="10">
        <v>85</v>
      </c>
      <c r="S94" s="10">
        <v>41</v>
      </c>
      <c r="T94" s="10">
        <v>177</v>
      </c>
      <c r="U94" s="10">
        <v>9</v>
      </c>
      <c r="V94" s="10">
        <v>99</v>
      </c>
      <c r="W94" s="10">
        <v>0.218</v>
      </c>
      <c r="X94" s="10">
        <v>110</v>
      </c>
      <c r="Y94" s="10">
        <v>66</v>
      </c>
      <c r="Z94" s="10">
        <v>67</v>
      </c>
      <c r="AA94" s="10">
        <v>5</v>
      </c>
      <c r="AB94" s="10">
        <v>10.6</v>
      </c>
      <c r="AC94" s="9" t="s">
        <v>188</v>
      </c>
      <c r="AD94" s="9" t="s">
        <v>185</v>
      </c>
      <c r="AE94" s="10"/>
      <c r="AF94" s="10"/>
      <c r="AG94" s="10"/>
    </row>
    <row r="95" spans="1:33">
      <c r="A95" s="7" t="s">
        <v>155</v>
      </c>
      <c r="B95" s="8" t="s">
        <v>182</v>
      </c>
      <c r="C95" s="9" t="s">
        <v>244</v>
      </c>
      <c r="D95" s="10">
        <v>160</v>
      </c>
      <c r="E95" s="9" t="s">
        <v>163</v>
      </c>
      <c r="F95" s="10">
        <v>160</v>
      </c>
      <c r="G95" s="10">
        <v>159.5</v>
      </c>
      <c r="H95" s="10">
        <v>132</v>
      </c>
      <c r="I95" s="10">
        <v>142</v>
      </c>
      <c r="J95" s="10">
        <v>127</v>
      </c>
      <c r="K95" s="10">
        <v>87</v>
      </c>
      <c r="L95" s="10">
        <v>109</v>
      </c>
      <c r="M95" s="10">
        <v>16.3</v>
      </c>
      <c r="N95" s="10">
        <v>1478</v>
      </c>
      <c r="O95" s="10">
        <v>1.06</v>
      </c>
      <c r="P95" s="10">
        <v>1574</v>
      </c>
      <c r="Q95" s="10">
        <v>222</v>
      </c>
      <c r="R95" s="10">
        <v>104</v>
      </c>
      <c r="S95" s="10">
        <v>39</v>
      </c>
      <c r="T95" s="10">
        <v>172</v>
      </c>
      <c r="U95" s="10">
        <v>10</v>
      </c>
      <c r="V95" s="10">
        <v>100</v>
      </c>
      <c r="W95" s="10">
        <v>0.245</v>
      </c>
      <c r="X95" s="10">
        <v>112</v>
      </c>
      <c r="Y95" s="10">
        <v>62</v>
      </c>
      <c r="Z95" s="10">
        <v>60</v>
      </c>
      <c r="AA95" s="10">
        <v>5</v>
      </c>
      <c r="AB95" s="10">
        <v>11.4</v>
      </c>
      <c r="AC95" s="9" t="s">
        <v>188</v>
      </c>
      <c r="AD95" s="9" t="s">
        <v>185</v>
      </c>
      <c r="AE95" s="10"/>
      <c r="AF95" s="10"/>
      <c r="AG95" s="10"/>
    </row>
    <row r="96" spans="1:33">
      <c r="A96" s="7" t="s">
        <v>155</v>
      </c>
      <c r="B96" s="8" t="s">
        <v>182</v>
      </c>
      <c r="C96" s="9" t="s">
        <v>244</v>
      </c>
      <c r="D96" s="10">
        <v>168</v>
      </c>
      <c r="E96" s="9" t="s">
        <v>163</v>
      </c>
      <c r="F96" s="10">
        <v>168</v>
      </c>
      <c r="G96" s="10">
        <v>167.4</v>
      </c>
      <c r="H96" s="10">
        <v>138</v>
      </c>
      <c r="I96" s="10">
        <v>149</v>
      </c>
      <c r="J96" s="10">
        <v>128</v>
      </c>
      <c r="K96" s="10">
        <v>87</v>
      </c>
      <c r="L96" s="10">
        <v>109</v>
      </c>
      <c r="M96" s="10">
        <v>16.899999999999999</v>
      </c>
      <c r="N96" s="10">
        <v>1550</v>
      </c>
      <c r="O96" s="10">
        <v>1.07</v>
      </c>
      <c r="P96" s="10">
        <v>1664</v>
      </c>
      <c r="Q96" s="10">
        <v>243</v>
      </c>
      <c r="R96" s="10">
        <v>106</v>
      </c>
      <c r="S96" s="10">
        <v>41</v>
      </c>
      <c r="T96" s="10">
        <v>186</v>
      </c>
      <c r="U96" s="10">
        <v>11</v>
      </c>
      <c r="V96" s="10">
        <v>112</v>
      </c>
      <c r="W96" s="10">
        <v>0.25800000000000001</v>
      </c>
      <c r="X96" s="10">
        <v>114</v>
      </c>
      <c r="Y96" s="10">
        <v>74</v>
      </c>
      <c r="Z96" s="10">
        <v>72</v>
      </c>
      <c r="AA96" s="10">
        <v>5</v>
      </c>
      <c r="AB96" s="10">
        <v>11.8</v>
      </c>
      <c r="AC96" s="9" t="s">
        <v>188</v>
      </c>
      <c r="AD96" s="9" t="s">
        <v>185</v>
      </c>
      <c r="AE96" s="10"/>
      <c r="AF96" s="10"/>
      <c r="AG96" s="10"/>
    </row>
    <row r="97" spans="1:33">
      <c r="A97" s="7" t="s">
        <v>155</v>
      </c>
      <c r="B97" s="8" t="s">
        <v>182</v>
      </c>
      <c r="C97" s="9" t="s">
        <v>440</v>
      </c>
      <c r="D97" s="10">
        <v>156</v>
      </c>
      <c r="E97" s="9" t="s">
        <v>163</v>
      </c>
      <c r="F97" s="10">
        <v>156</v>
      </c>
      <c r="G97" s="10">
        <v>155.6</v>
      </c>
      <c r="H97" s="10">
        <v>119</v>
      </c>
      <c r="I97" s="10">
        <v>136</v>
      </c>
      <c r="J97" s="10">
        <v>128</v>
      </c>
      <c r="K97" s="10">
        <v>91</v>
      </c>
      <c r="L97" s="10">
        <v>114</v>
      </c>
      <c r="M97" s="10">
        <v>15.5</v>
      </c>
      <c r="N97" s="10">
        <v>1492</v>
      </c>
      <c r="O97" s="10">
        <v>1.07</v>
      </c>
      <c r="P97" s="10">
        <v>1595</v>
      </c>
      <c r="Q97" s="10">
        <v>169</v>
      </c>
      <c r="R97" s="10">
        <v>94</v>
      </c>
      <c r="S97" s="10">
        <v>43</v>
      </c>
      <c r="T97" s="10">
        <v>226</v>
      </c>
      <c r="U97" s="10">
        <v>17</v>
      </c>
      <c r="V97" s="10">
        <v>145</v>
      </c>
      <c r="W97" s="10">
        <v>0.38600000000000001</v>
      </c>
      <c r="X97" s="10">
        <v>128</v>
      </c>
      <c r="Y97" s="10">
        <v>70</v>
      </c>
      <c r="Z97" s="10">
        <v>98</v>
      </c>
      <c r="AA97" s="10">
        <v>6</v>
      </c>
      <c r="AB97" s="10">
        <v>9.8000000000000007</v>
      </c>
      <c r="AC97" s="9" t="s">
        <v>188</v>
      </c>
      <c r="AD97" s="9" t="s">
        <v>185</v>
      </c>
      <c r="AE97" s="10"/>
      <c r="AF97" s="10"/>
      <c r="AG97" s="10"/>
    </row>
    <row r="98" spans="1:33">
      <c r="A98" s="7" t="s">
        <v>155</v>
      </c>
      <c r="B98" s="8" t="s">
        <v>182</v>
      </c>
      <c r="C98" s="9" t="s">
        <v>440</v>
      </c>
      <c r="D98" s="10">
        <v>164</v>
      </c>
      <c r="E98" s="9" t="s">
        <v>163</v>
      </c>
      <c r="F98" s="10">
        <v>164</v>
      </c>
      <c r="G98" s="10">
        <v>163.6</v>
      </c>
      <c r="H98" s="10">
        <v>126</v>
      </c>
      <c r="I98" s="10">
        <v>143</v>
      </c>
      <c r="J98" s="10">
        <v>129</v>
      </c>
      <c r="K98" s="10">
        <v>91</v>
      </c>
      <c r="L98" s="10">
        <v>114</v>
      </c>
      <c r="M98" s="10">
        <v>16.399999999999999</v>
      </c>
      <c r="N98" s="10">
        <v>1610</v>
      </c>
      <c r="O98" s="10">
        <v>1.05</v>
      </c>
      <c r="P98" s="10">
        <v>1687</v>
      </c>
      <c r="Q98" s="10">
        <v>203</v>
      </c>
      <c r="R98" s="10">
        <v>125</v>
      </c>
      <c r="S98" s="10">
        <v>40</v>
      </c>
      <c r="T98" s="10">
        <v>229</v>
      </c>
      <c r="U98" s="10">
        <v>17</v>
      </c>
      <c r="V98" s="10">
        <v>146</v>
      </c>
      <c r="W98" s="10">
        <v>0.41699999999999998</v>
      </c>
      <c r="X98" s="10">
        <v>130</v>
      </c>
      <c r="Y98" s="10">
        <v>78</v>
      </c>
      <c r="Z98" s="10">
        <v>99</v>
      </c>
      <c r="AA98" s="10">
        <v>8</v>
      </c>
      <c r="AB98" s="10">
        <v>9.9</v>
      </c>
      <c r="AC98" s="9" t="s">
        <v>188</v>
      </c>
      <c r="AD98" s="10"/>
      <c r="AE98" s="10"/>
      <c r="AF98" s="10"/>
      <c r="AG98" s="10"/>
    </row>
    <row r="99" spans="1:33">
      <c r="A99" s="7" t="s">
        <v>155</v>
      </c>
      <c r="B99" s="8" t="s">
        <v>182</v>
      </c>
      <c r="C99" s="9" t="s">
        <v>440</v>
      </c>
      <c r="D99" s="10">
        <v>172</v>
      </c>
      <c r="E99" s="9" t="s">
        <v>163</v>
      </c>
      <c r="F99" s="10">
        <v>172</v>
      </c>
      <c r="G99" s="10">
        <v>172.1</v>
      </c>
      <c r="H99" s="10">
        <v>134</v>
      </c>
      <c r="I99" s="10">
        <v>149</v>
      </c>
      <c r="J99" s="10">
        <v>130</v>
      </c>
      <c r="K99" s="10">
        <v>91</v>
      </c>
      <c r="L99" s="10">
        <v>116</v>
      </c>
      <c r="M99" s="10">
        <v>16.899999999999999</v>
      </c>
      <c r="N99" s="10">
        <v>1690</v>
      </c>
      <c r="O99" s="10">
        <v>1.05</v>
      </c>
      <c r="P99" s="10">
        <v>1780</v>
      </c>
      <c r="Q99" s="10">
        <v>208</v>
      </c>
      <c r="R99" s="10">
        <v>140</v>
      </c>
      <c r="S99" s="10">
        <v>40</v>
      </c>
      <c r="T99" s="10">
        <v>237</v>
      </c>
      <c r="U99" s="10">
        <v>16</v>
      </c>
      <c r="V99" s="10">
        <v>145</v>
      </c>
      <c r="W99" s="10">
        <v>0.40899999999999997</v>
      </c>
      <c r="X99" s="10">
        <v>147</v>
      </c>
      <c r="Y99" s="10">
        <v>87</v>
      </c>
      <c r="Z99" s="10">
        <v>90</v>
      </c>
      <c r="AA99" s="10">
        <v>9</v>
      </c>
      <c r="AB99" s="10">
        <v>9.6</v>
      </c>
      <c r="AC99" s="9" t="s">
        <v>188</v>
      </c>
      <c r="AD99" s="9" t="s">
        <v>185</v>
      </c>
      <c r="AE99" s="10"/>
      <c r="AF99" s="10"/>
      <c r="AG99" s="10"/>
    </row>
    <row r="100" spans="1:33">
      <c r="A100" s="7" t="s">
        <v>155</v>
      </c>
      <c r="B100" s="8" t="s">
        <v>182</v>
      </c>
      <c r="C100" s="9" t="s">
        <v>686</v>
      </c>
      <c r="D100" s="10">
        <v>172</v>
      </c>
      <c r="E100" s="9" t="s">
        <v>158</v>
      </c>
      <c r="F100" s="10">
        <v>172</v>
      </c>
      <c r="G100" s="10">
        <v>170.9</v>
      </c>
      <c r="H100" s="10">
        <v>119</v>
      </c>
      <c r="I100" s="10">
        <v>140</v>
      </c>
      <c r="J100" s="10">
        <v>138</v>
      </c>
      <c r="K100" s="10">
        <v>99</v>
      </c>
      <c r="L100" s="10">
        <v>119</v>
      </c>
      <c r="M100" s="10">
        <v>15.2</v>
      </c>
      <c r="N100" s="10">
        <v>2003</v>
      </c>
      <c r="O100" s="10">
        <v>0.96</v>
      </c>
      <c r="P100" s="10">
        <v>1924</v>
      </c>
      <c r="Q100" s="10">
        <v>163</v>
      </c>
      <c r="R100" s="10">
        <v>75</v>
      </c>
      <c r="S100" s="10">
        <v>57</v>
      </c>
      <c r="T100" s="10">
        <v>294</v>
      </c>
      <c r="U100" s="10">
        <v>35</v>
      </c>
      <c r="V100" s="10">
        <v>226</v>
      </c>
      <c r="W100" s="10">
        <v>0.60499999999999998</v>
      </c>
      <c r="X100" s="10">
        <v>196</v>
      </c>
      <c r="Y100" s="10">
        <v>111</v>
      </c>
      <c r="Z100" s="10">
        <v>97</v>
      </c>
      <c r="AA100" s="10">
        <v>8</v>
      </c>
      <c r="AB100" s="10">
        <v>10.1</v>
      </c>
      <c r="AC100" s="9" t="s">
        <v>188</v>
      </c>
      <c r="AD100" s="10"/>
      <c r="AE100" s="10"/>
      <c r="AF100" s="10"/>
      <c r="AG100" s="10"/>
    </row>
    <row r="101" spans="1:33">
      <c r="A101" s="7" t="s">
        <v>155</v>
      </c>
      <c r="B101" s="8" t="s">
        <v>182</v>
      </c>
      <c r="C101" s="9" t="s">
        <v>686</v>
      </c>
      <c r="D101" s="10">
        <v>180</v>
      </c>
      <c r="E101" s="9" t="s">
        <v>158</v>
      </c>
      <c r="F101" s="10">
        <v>180</v>
      </c>
      <c r="G101" s="10">
        <v>179.4</v>
      </c>
      <c r="H101" s="10">
        <v>125</v>
      </c>
      <c r="I101" s="10">
        <v>149</v>
      </c>
      <c r="J101" s="10">
        <v>138</v>
      </c>
      <c r="K101" s="10">
        <v>99</v>
      </c>
      <c r="L101" s="10">
        <v>120</v>
      </c>
      <c r="M101" s="10">
        <v>16.100000000000001</v>
      </c>
      <c r="N101" s="10">
        <v>2185</v>
      </c>
      <c r="O101" s="10">
        <v>0.92</v>
      </c>
      <c r="P101" s="10">
        <v>2019</v>
      </c>
      <c r="Q101" s="10">
        <v>191</v>
      </c>
      <c r="R101" s="10">
        <v>90</v>
      </c>
      <c r="S101" s="10">
        <v>61</v>
      </c>
      <c r="T101" s="10">
        <v>308</v>
      </c>
      <c r="U101" s="10">
        <v>40</v>
      </c>
      <c r="V101" s="10">
        <v>240</v>
      </c>
      <c r="W101" s="10">
        <v>0.64800000000000002</v>
      </c>
      <c r="X101" s="10">
        <v>197</v>
      </c>
      <c r="Y101" s="10">
        <v>112</v>
      </c>
      <c r="Z101" s="10">
        <v>112</v>
      </c>
      <c r="AA101" s="10">
        <v>8</v>
      </c>
      <c r="AB101" s="10">
        <v>9.4</v>
      </c>
      <c r="AC101" s="9" t="s">
        <v>188</v>
      </c>
      <c r="AD101" s="10"/>
      <c r="AE101" s="10"/>
      <c r="AF101" s="10"/>
      <c r="AG101" s="10"/>
    </row>
    <row r="102" spans="1:33">
      <c r="A102" s="7" t="s">
        <v>155</v>
      </c>
      <c r="B102" s="8" t="s">
        <v>182</v>
      </c>
      <c r="C102" s="9" t="s">
        <v>837</v>
      </c>
      <c r="D102" s="10">
        <v>138</v>
      </c>
      <c r="E102" s="9" t="s">
        <v>385</v>
      </c>
      <c r="F102" s="10">
        <v>138</v>
      </c>
      <c r="G102" s="10">
        <v>137</v>
      </c>
      <c r="H102" s="10">
        <v>91</v>
      </c>
      <c r="I102" s="10">
        <v>100</v>
      </c>
      <c r="J102" s="10">
        <v>124</v>
      </c>
      <c r="K102" s="10">
        <v>97</v>
      </c>
      <c r="L102" s="10">
        <v>114</v>
      </c>
      <c r="M102" s="10">
        <v>9.9</v>
      </c>
      <c r="N102" s="10">
        <v>1318</v>
      </c>
      <c r="O102" s="10">
        <v>1.1100000000000001</v>
      </c>
      <c r="P102" s="10">
        <v>1457</v>
      </c>
      <c r="Q102" s="10">
        <v>124</v>
      </c>
      <c r="R102" s="10">
        <v>61</v>
      </c>
      <c r="S102" s="10">
        <v>47</v>
      </c>
      <c r="T102" s="10">
        <v>313</v>
      </c>
      <c r="U102" s="10">
        <v>31</v>
      </c>
      <c r="V102" s="10">
        <v>144</v>
      </c>
      <c r="W102" s="10">
        <v>0.66800000000000004</v>
      </c>
      <c r="X102" s="10">
        <v>229</v>
      </c>
      <c r="Y102" s="10">
        <v>137</v>
      </c>
      <c r="Z102" s="10">
        <v>84</v>
      </c>
      <c r="AA102" s="10">
        <v>8</v>
      </c>
      <c r="AB102" s="10">
        <v>6.9</v>
      </c>
      <c r="AC102" s="9" t="s">
        <v>188</v>
      </c>
      <c r="AD102" s="9" t="s">
        <v>185</v>
      </c>
      <c r="AE102" s="10"/>
      <c r="AF102" s="10"/>
      <c r="AG102" s="10"/>
    </row>
    <row r="103" spans="1:33">
      <c r="A103" s="7" t="s">
        <v>155</v>
      </c>
      <c r="B103" s="8" t="s">
        <v>182</v>
      </c>
      <c r="C103" s="9" t="s">
        <v>837</v>
      </c>
      <c r="D103" s="10">
        <v>147</v>
      </c>
      <c r="E103" s="9" t="s">
        <v>385</v>
      </c>
      <c r="F103" s="10">
        <v>147</v>
      </c>
      <c r="G103" s="10">
        <v>146</v>
      </c>
      <c r="H103" s="10">
        <v>96</v>
      </c>
      <c r="I103" s="10">
        <v>106</v>
      </c>
      <c r="J103" s="10">
        <v>127</v>
      </c>
      <c r="K103" s="10">
        <v>98</v>
      </c>
      <c r="L103" s="10">
        <v>117</v>
      </c>
      <c r="M103" s="10">
        <v>10.1</v>
      </c>
      <c r="N103" s="10">
        <v>1409</v>
      </c>
      <c r="O103" s="10">
        <v>1.1299999999999999</v>
      </c>
      <c r="P103" s="10">
        <v>1591</v>
      </c>
      <c r="Q103" s="10">
        <v>123</v>
      </c>
      <c r="R103" s="10">
        <v>71</v>
      </c>
      <c r="S103" s="10">
        <v>46</v>
      </c>
      <c r="T103" s="10">
        <v>349</v>
      </c>
      <c r="U103" s="10">
        <v>34</v>
      </c>
      <c r="V103" s="10">
        <v>152</v>
      </c>
      <c r="W103" s="10">
        <v>0.74099999999999999</v>
      </c>
      <c r="X103" s="10">
        <v>262</v>
      </c>
      <c r="Y103" s="10">
        <v>135</v>
      </c>
      <c r="Z103" s="10">
        <v>87</v>
      </c>
      <c r="AA103" s="10">
        <v>8</v>
      </c>
      <c r="AB103" s="10">
        <v>8</v>
      </c>
      <c r="AC103" s="9" t="s">
        <v>188</v>
      </c>
      <c r="AD103" s="9" t="s">
        <v>185</v>
      </c>
      <c r="AE103" s="10"/>
      <c r="AF103" s="10"/>
      <c r="AG103" s="10"/>
    </row>
    <row r="104" spans="1:33">
      <c r="A104" s="7" t="s">
        <v>155</v>
      </c>
      <c r="B104" s="8" t="s">
        <v>182</v>
      </c>
      <c r="C104" s="9" t="s">
        <v>395</v>
      </c>
      <c r="D104" s="10">
        <v>164</v>
      </c>
      <c r="E104" s="9" t="s">
        <v>163</v>
      </c>
      <c r="F104" s="10">
        <v>164</v>
      </c>
      <c r="G104" s="10">
        <v>163.5</v>
      </c>
      <c r="H104" s="10">
        <v>114</v>
      </c>
      <c r="I104" s="10">
        <v>132</v>
      </c>
      <c r="J104" s="10">
        <v>131</v>
      </c>
      <c r="K104" s="10">
        <v>107</v>
      </c>
      <c r="L104" s="10">
        <v>124</v>
      </c>
      <c r="M104" s="10">
        <v>17.399999999999999</v>
      </c>
      <c r="N104" s="10">
        <v>1466</v>
      </c>
      <c r="O104" s="10">
        <v>1.29</v>
      </c>
      <c r="P104" s="10">
        <v>1884</v>
      </c>
      <c r="Q104" s="10">
        <v>145</v>
      </c>
      <c r="R104" s="10">
        <v>82</v>
      </c>
      <c r="S104" s="10">
        <v>43</v>
      </c>
      <c r="T104" s="10">
        <v>336</v>
      </c>
      <c r="U104" s="10">
        <v>27</v>
      </c>
      <c r="V104" s="10">
        <v>162</v>
      </c>
      <c r="W104" s="10">
        <v>0.63200000000000001</v>
      </c>
      <c r="X104" s="10">
        <v>180</v>
      </c>
      <c r="Y104" s="10">
        <v>132</v>
      </c>
      <c r="Z104" s="10">
        <v>157</v>
      </c>
      <c r="AA104" s="10">
        <v>6</v>
      </c>
      <c r="AB104" s="10">
        <v>10</v>
      </c>
      <c r="AC104" s="9" t="s">
        <v>169</v>
      </c>
      <c r="AD104" s="9" t="s">
        <v>185</v>
      </c>
      <c r="AE104" s="9" t="s">
        <v>198</v>
      </c>
      <c r="AF104" s="10"/>
      <c r="AG104" s="10"/>
    </row>
    <row r="105" spans="1:33">
      <c r="A105" s="7" t="s">
        <v>155</v>
      </c>
      <c r="B105" s="8" t="s">
        <v>182</v>
      </c>
      <c r="C105" s="9" t="s">
        <v>395</v>
      </c>
      <c r="D105" s="10">
        <v>172</v>
      </c>
      <c r="E105" s="9" t="s">
        <v>163</v>
      </c>
      <c r="F105" s="10">
        <v>172</v>
      </c>
      <c r="G105" s="10">
        <v>171.3</v>
      </c>
      <c r="H105" s="10">
        <v>119</v>
      </c>
      <c r="I105" s="10">
        <v>136</v>
      </c>
      <c r="J105" s="10">
        <v>133</v>
      </c>
      <c r="K105" s="10">
        <v>107</v>
      </c>
      <c r="L105" s="10">
        <v>125</v>
      </c>
      <c r="M105" s="10">
        <v>18.100000000000001</v>
      </c>
      <c r="N105" s="10">
        <v>1596</v>
      </c>
      <c r="O105" s="10">
        <v>1.25</v>
      </c>
      <c r="P105" s="10">
        <v>1989</v>
      </c>
      <c r="Q105" s="10">
        <v>163</v>
      </c>
      <c r="R105" s="10">
        <v>93</v>
      </c>
      <c r="S105" s="10">
        <v>45</v>
      </c>
      <c r="T105" s="10">
        <v>355</v>
      </c>
      <c r="U105" s="10">
        <v>28</v>
      </c>
      <c r="V105" s="10">
        <v>167</v>
      </c>
      <c r="W105" s="10">
        <v>0.622</v>
      </c>
      <c r="X105" s="10">
        <v>208</v>
      </c>
      <c r="Y105" s="10">
        <v>143</v>
      </c>
      <c r="Z105" s="10">
        <v>147</v>
      </c>
      <c r="AA105" s="10">
        <v>5</v>
      </c>
      <c r="AB105" s="10">
        <v>9.8000000000000007</v>
      </c>
      <c r="AC105" s="9" t="s">
        <v>169</v>
      </c>
      <c r="AD105" s="9" t="s">
        <v>185</v>
      </c>
      <c r="AE105" s="10"/>
      <c r="AF105" s="10"/>
      <c r="AG105" s="10"/>
    </row>
    <row r="106" spans="1:33">
      <c r="A106" s="7" t="s">
        <v>155</v>
      </c>
      <c r="B106" s="8" t="s">
        <v>182</v>
      </c>
      <c r="C106" s="9" t="s">
        <v>668</v>
      </c>
      <c r="D106" s="10">
        <v>152</v>
      </c>
      <c r="E106" s="9" t="s">
        <v>163</v>
      </c>
      <c r="F106" s="10">
        <v>152</v>
      </c>
      <c r="G106" s="10">
        <v>151.30000000000001</v>
      </c>
      <c r="H106" s="10">
        <v>121</v>
      </c>
      <c r="I106" s="10">
        <v>128</v>
      </c>
      <c r="J106" s="10">
        <v>113</v>
      </c>
      <c r="K106" s="10">
        <v>87</v>
      </c>
      <c r="L106" s="10">
        <v>105</v>
      </c>
      <c r="M106" s="10">
        <v>18.899999999999999</v>
      </c>
      <c r="N106" s="10">
        <v>1062</v>
      </c>
      <c r="O106" s="10">
        <v>1.35</v>
      </c>
      <c r="P106" s="10">
        <v>1431</v>
      </c>
      <c r="Q106" s="10">
        <v>146</v>
      </c>
      <c r="R106" s="10">
        <v>58</v>
      </c>
      <c r="S106" s="10">
        <v>34</v>
      </c>
      <c r="T106" s="10">
        <v>184</v>
      </c>
      <c r="U106" s="10">
        <v>11</v>
      </c>
      <c r="V106" s="10">
        <v>118</v>
      </c>
      <c r="W106" s="10">
        <v>0.312</v>
      </c>
      <c r="X106" s="10">
        <v>147</v>
      </c>
      <c r="Y106" s="10">
        <v>87</v>
      </c>
      <c r="Z106" s="10">
        <v>37</v>
      </c>
      <c r="AA106" s="10">
        <v>3</v>
      </c>
      <c r="AB106" s="10">
        <v>6.8</v>
      </c>
      <c r="AC106" s="9" t="s">
        <v>185</v>
      </c>
      <c r="AD106" s="9" t="s">
        <v>198</v>
      </c>
      <c r="AE106" s="10"/>
      <c r="AF106" s="10"/>
      <c r="AG106" s="10"/>
    </row>
    <row r="107" spans="1:33">
      <c r="A107" s="7" t="s">
        <v>155</v>
      </c>
      <c r="B107" s="8" t="s">
        <v>182</v>
      </c>
      <c r="C107" s="9" t="s">
        <v>668</v>
      </c>
      <c r="D107" s="10">
        <v>162</v>
      </c>
      <c r="E107" s="9" t="s">
        <v>163</v>
      </c>
      <c r="F107" s="10">
        <v>162</v>
      </c>
      <c r="G107" s="10">
        <v>161.19999999999999</v>
      </c>
      <c r="H107" s="10">
        <v>130</v>
      </c>
      <c r="I107" s="10">
        <v>135</v>
      </c>
      <c r="J107" s="10">
        <v>114</v>
      </c>
      <c r="K107" s="10">
        <v>87</v>
      </c>
      <c r="L107" s="10">
        <v>106</v>
      </c>
      <c r="M107" s="10">
        <v>19.600000000000001</v>
      </c>
      <c r="N107" s="10">
        <v>1166</v>
      </c>
      <c r="O107" s="10">
        <v>1.32</v>
      </c>
      <c r="P107" s="10">
        <v>1535</v>
      </c>
      <c r="Q107" s="10">
        <v>173</v>
      </c>
      <c r="R107" s="10">
        <v>74</v>
      </c>
      <c r="S107" s="10">
        <v>38</v>
      </c>
      <c r="T107" s="10">
        <v>194</v>
      </c>
      <c r="U107" s="10">
        <v>11</v>
      </c>
      <c r="V107" s="10">
        <v>123</v>
      </c>
      <c r="W107" s="10">
        <v>0.29799999999999999</v>
      </c>
      <c r="X107" s="10">
        <v>153</v>
      </c>
      <c r="Y107" s="10">
        <v>104</v>
      </c>
      <c r="Z107" s="10">
        <v>40</v>
      </c>
      <c r="AA107" s="10">
        <v>5</v>
      </c>
      <c r="AB107" s="10">
        <v>6.1</v>
      </c>
      <c r="AC107" s="9" t="s">
        <v>185</v>
      </c>
      <c r="AD107" s="9" t="s">
        <v>198</v>
      </c>
      <c r="AE107" s="10"/>
      <c r="AF107" s="10"/>
      <c r="AG107" s="10"/>
    </row>
    <row r="108" spans="1:33">
      <c r="A108" s="7" t="s">
        <v>155</v>
      </c>
      <c r="B108" s="8" t="s">
        <v>182</v>
      </c>
      <c r="C108" s="9" t="s">
        <v>668</v>
      </c>
      <c r="D108" s="10">
        <v>172</v>
      </c>
      <c r="E108" s="9" t="s">
        <v>163</v>
      </c>
      <c r="F108" s="10">
        <v>172</v>
      </c>
      <c r="G108" s="10">
        <v>171.2</v>
      </c>
      <c r="H108" s="10">
        <v>139</v>
      </c>
      <c r="I108" s="10">
        <v>144</v>
      </c>
      <c r="J108" s="10">
        <v>115</v>
      </c>
      <c r="K108" s="10">
        <v>87</v>
      </c>
      <c r="L108" s="10">
        <v>107</v>
      </c>
      <c r="M108" s="10">
        <v>20.399999999999999</v>
      </c>
      <c r="N108" s="10">
        <v>1246</v>
      </c>
      <c r="O108" s="10">
        <v>1.32</v>
      </c>
      <c r="P108" s="10">
        <v>1643</v>
      </c>
      <c r="Q108" s="10">
        <v>190</v>
      </c>
      <c r="R108" s="10">
        <v>84</v>
      </c>
      <c r="S108" s="10">
        <v>42</v>
      </c>
      <c r="T108" s="10">
        <v>205</v>
      </c>
      <c r="U108" s="10">
        <v>11</v>
      </c>
      <c r="V108" s="10">
        <v>121</v>
      </c>
      <c r="W108" s="10">
        <v>0.253</v>
      </c>
      <c r="X108" s="10">
        <v>166</v>
      </c>
      <c r="Y108" s="10">
        <v>106</v>
      </c>
      <c r="Z108" s="10">
        <v>39</v>
      </c>
      <c r="AA108" s="10">
        <v>4</v>
      </c>
      <c r="AB108" s="10">
        <v>7</v>
      </c>
      <c r="AC108" s="9" t="s">
        <v>185</v>
      </c>
      <c r="AD108" s="9" t="s">
        <v>198</v>
      </c>
      <c r="AE108" s="10"/>
      <c r="AF108" s="10"/>
      <c r="AG108" s="10"/>
    </row>
    <row r="109" spans="1:33">
      <c r="A109" s="7" t="s">
        <v>155</v>
      </c>
      <c r="B109" s="8" t="s">
        <v>182</v>
      </c>
      <c r="C109" s="9" t="s">
        <v>289</v>
      </c>
      <c r="D109" s="10">
        <v>156</v>
      </c>
      <c r="E109" s="9" t="s">
        <v>163</v>
      </c>
      <c r="F109" s="10">
        <v>156</v>
      </c>
      <c r="G109" s="10">
        <v>155.69999999999999</v>
      </c>
      <c r="H109" s="10">
        <v>116</v>
      </c>
      <c r="I109" s="10">
        <v>129</v>
      </c>
      <c r="J109" s="10">
        <v>124</v>
      </c>
      <c r="K109" s="10">
        <v>97</v>
      </c>
      <c r="L109" s="10">
        <v>117</v>
      </c>
      <c r="M109" s="10">
        <v>16.2</v>
      </c>
      <c r="N109" s="10">
        <v>1337</v>
      </c>
      <c r="O109" s="10">
        <v>1.23</v>
      </c>
      <c r="P109" s="10">
        <v>1645</v>
      </c>
      <c r="Q109" s="10">
        <v>133</v>
      </c>
      <c r="R109" s="10">
        <v>78</v>
      </c>
      <c r="S109" s="10">
        <v>37</v>
      </c>
      <c r="T109" s="10">
        <v>240</v>
      </c>
      <c r="U109" s="10">
        <v>16</v>
      </c>
      <c r="V109" s="10">
        <v>153</v>
      </c>
      <c r="W109" s="10">
        <v>0.432</v>
      </c>
      <c r="X109" s="10">
        <v>165</v>
      </c>
      <c r="Y109" s="10">
        <v>103</v>
      </c>
      <c r="Z109" s="10">
        <v>74</v>
      </c>
      <c r="AA109" s="10">
        <v>5</v>
      </c>
      <c r="AB109" s="10">
        <v>9</v>
      </c>
      <c r="AC109" s="9" t="s">
        <v>188</v>
      </c>
      <c r="AD109" s="9" t="s">
        <v>185</v>
      </c>
      <c r="AE109" s="10"/>
      <c r="AF109" s="10"/>
      <c r="AG109" s="10"/>
    </row>
    <row r="110" spans="1:33">
      <c r="A110" s="7" t="s">
        <v>155</v>
      </c>
      <c r="B110" s="8" t="s">
        <v>182</v>
      </c>
      <c r="C110" s="9" t="s">
        <v>289</v>
      </c>
      <c r="D110" s="10">
        <v>164</v>
      </c>
      <c r="E110" s="9" t="s">
        <v>163</v>
      </c>
      <c r="F110" s="10">
        <v>164</v>
      </c>
      <c r="G110" s="10">
        <v>163.69999999999999</v>
      </c>
      <c r="H110" s="10">
        <v>125</v>
      </c>
      <c r="I110" s="10">
        <v>136</v>
      </c>
      <c r="J110" s="10">
        <v>126</v>
      </c>
      <c r="K110" s="10">
        <v>97</v>
      </c>
      <c r="L110" s="10">
        <v>119</v>
      </c>
      <c r="M110" s="10">
        <v>16.7</v>
      </c>
      <c r="N110" s="10">
        <v>1433</v>
      </c>
      <c r="O110" s="10">
        <v>1.22</v>
      </c>
      <c r="P110" s="10">
        <v>1745</v>
      </c>
      <c r="Q110" s="10">
        <v>143</v>
      </c>
      <c r="R110" s="10">
        <v>88</v>
      </c>
      <c r="S110" s="10">
        <v>37</v>
      </c>
      <c r="T110" s="10">
        <v>233</v>
      </c>
      <c r="U110" s="10">
        <v>17</v>
      </c>
      <c r="V110" s="10">
        <v>155</v>
      </c>
      <c r="W110" s="10">
        <v>0.45700000000000002</v>
      </c>
      <c r="X110" s="10">
        <v>177</v>
      </c>
      <c r="Y110" s="10">
        <v>102</v>
      </c>
      <c r="Z110" s="10">
        <v>57</v>
      </c>
      <c r="AA110" s="10">
        <v>7</v>
      </c>
      <c r="AB110" s="10">
        <v>9.5</v>
      </c>
      <c r="AC110" s="9" t="s">
        <v>188</v>
      </c>
      <c r="AD110" s="9" t="s">
        <v>185</v>
      </c>
      <c r="AE110" s="10"/>
      <c r="AF110" s="10"/>
      <c r="AG110" s="10"/>
    </row>
    <row r="111" spans="1:33">
      <c r="A111" s="7" t="s">
        <v>155</v>
      </c>
      <c r="B111" s="8" t="s">
        <v>182</v>
      </c>
      <c r="C111" s="9" t="s">
        <v>289</v>
      </c>
      <c r="D111" s="10">
        <v>172</v>
      </c>
      <c r="E111" s="9" t="s">
        <v>163</v>
      </c>
      <c r="F111" s="10">
        <v>172</v>
      </c>
      <c r="G111" s="10">
        <v>171.6</v>
      </c>
      <c r="H111" s="10">
        <v>130</v>
      </c>
      <c r="I111" s="10">
        <v>144</v>
      </c>
      <c r="J111" s="10">
        <v>128</v>
      </c>
      <c r="K111" s="10">
        <v>97</v>
      </c>
      <c r="L111" s="10">
        <v>120</v>
      </c>
      <c r="M111" s="10">
        <v>17.399999999999999</v>
      </c>
      <c r="N111" s="10">
        <v>1520</v>
      </c>
      <c r="O111" s="10">
        <v>1.21</v>
      </c>
      <c r="P111" s="10">
        <v>1843</v>
      </c>
      <c r="Q111" s="10">
        <v>175</v>
      </c>
      <c r="R111" s="10">
        <v>98</v>
      </c>
      <c r="S111" s="10">
        <v>43</v>
      </c>
      <c r="T111" s="10">
        <v>256</v>
      </c>
      <c r="U111" s="10">
        <v>18</v>
      </c>
      <c r="V111" s="10">
        <v>158</v>
      </c>
      <c r="W111" s="10">
        <v>0.40699999999999997</v>
      </c>
      <c r="X111" s="10">
        <v>171</v>
      </c>
      <c r="Y111" s="10">
        <v>104</v>
      </c>
      <c r="Z111" s="10">
        <v>85</v>
      </c>
      <c r="AA111" s="10">
        <v>5</v>
      </c>
      <c r="AB111" s="10">
        <v>9.5</v>
      </c>
      <c r="AC111" s="9" t="s">
        <v>188</v>
      </c>
      <c r="AD111" s="9" t="s">
        <v>185</v>
      </c>
      <c r="AE111" s="10"/>
      <c r="AF111" s="10"/>
      <c r="AG111" s="10"/>
    </row>
    <row r="112" spans="1:33">
      <c r="A112" s="7" t="s">
        <v>155</v>
      </c>
      <c r="B112" s="8" t="s">
        <v>182</v>
      </c>
      <c r="C112" s="9" t="s">
        <v>303</v>
      </c>
      <c r="D112" s="10">
        <v>164</v>
      </c>
      <c r="E112" s="9" t="s">
        <v>158</v>
      </c>
      <c r="F112" s="10">
        <v>164</v>
      </c>
      <c r="G112" s="10">
        <v>163.19999999999999</v>
      </c>
      <c r="H112" s="10">
        <v>112</v>
      </c>
      <c r="I112" s="10">
        <v>132</v>
      </c>
      <c r="J112" s="10">
        <v>130</v>
      </c>
      <c r="K112" s="10">
        <v>107</v>
      </c>
      <c r="L112" s="10">
        <v>124</v>
      </c>
      <c r="M112" s="10">
        <v>17.600000000000001</v>
      </c>
      <c r="N112" s="10">
        <v>1465</v>
      </c>
      <c r="O112" s="10">
        <v>1.28</v>
      </c>
      <c r="P112" s="10">
        <v>1880</v>
      </c>
      <c r="Q112" s="10">
        <v>133</v>
      </c>
      <c r="R112" s="10">
        <v>90</v>
      </c>
      <c r="S112" s="10">
        <v>49</v>
      </c>
      <c r="T112" s="10">
        <v>348</v>
      </c>
      <c r="U112" s="10">
        <v>29</v>
      </c>
      <c r="V112" s="10">
        <v>165</v>
      </c>
      <c r="W112" s="10">
        <v>0.58099999999999996</v>
      </c>
      <c r="X112" s="10">
        <v>167</v>
      </c>
      <c r="Y112" s="10">
        <v>147</v>
      </c>
      <c r="Z112" s="10">
        <v>181</v>
      </c>
      <c r="AA112" s="10">
        <v>5</v>
      </c>
      <c r="AB112" s="10">
        <v>9.6</v>
      </c>
      <c r="AC112" s="9" t="s">
        <v>169</v>
      </c>
      <c r="AD112" s="9" t="s">
        <v>185</v>
      </c>
      <c r="AE112" s="9" t="s">
        <v>198</v>
      </c>
      <c r="AF112" s="10"/>
      <c r="AG112" s="10"/>
    </row>
    <row r="113" spans="1:33">
      <c r="A113" s="7" t="s">
        <v>155</v>
      </c>
      <c r="B113" s="8" t="s">
        <v>182</v>
      </c>
      <c r="C113" s="9" t="s">
        <v>303</v>
      </c>
      <c r="D113" s="10">
        <v>172</v>
      </c>
      <c r="E113" s="9" t="s">
        <v>158</v>
      </c>
      <c r="F113" s="10">
        <v>172</v>
      </c>
      <c r="G113" s="10">
        <v>171.3</v>
      </c>
      <c r="H113" s="10">
        <v>118</v>
      </c>
      <c r="I113" s="10">
        <v>135</v>
      </c>
      <c r="J113" s="10">
        <v>133</v>
      </c>
      <c r="K113" s="10">
        <v>107</v>
      </c>
      <c r="L113" s="10">
        <v>125</v>
      </c>
      <c r="M113" s="10">
        <v>17.7</v>
      </c>
      <c r="N113" s="10">
        <v>1625</v>
      </c>
      <c r="O113" s="10">
        <v>1.23</v>
      </c>
      <c r="P113" s="10">
        <v>1991</v>
      </c>
      <c r="Q113" s="10">
        <v>166</v>
      </c>
      <c r="R113" s="10">
        <v>92</v>
      </c>
      <c r="S113" s="10">
        <v>47</v>
      </c>
      <c r="T113" s="10">
        <v>371</v>
      </c>
      <c r="U113" s="10">
        <v>28</v>
      </c>
      <c r="V113" s="10">
        <v>162</v>
      </c>
      <c r="W113" s="10">
        <v>0.59099999999999997</v>
      </c>
      <c r="X113" s="10">
        <v>212</v>
      </c>
      <c r="Y113" s="10">
        <v>150</v>
      </c>
      <c r="Z113" s="10">
        <v>159</v>
      </c>
      <c r="AA113" s="10">
        <v>5</v>
      </c>
      <c r="AB113" s="10">
        <v>10.199999999999999</v>
      </c>
      <c r="AC113" s="9" t="s">
        <v>169</v>
      </c>
      <c r="AD113" s="9" t="s">
        <v>185</v>
      </c>
      <c r="AE113" s="10"/>
      <c r="AF113" s="10"/>
      <c r="AG113" s="10"/>
    </row>
    <row r="114" spans="1:33">
      <c r="A114" s="7" t="s">
        <v>155</v>
      </c>
      <c r="B114" s="8" t="s">
        <v>182</v>
      </c>
      <c r="C114" s="9" t="s">
        <v>303</v>
      </c>
      <c r="D114" s="10">
        <v>180</v>
      </c>
      <c r="E114" s="9" t="s">
        <v>158</v>
      </c>
      <c r="F114" s="10">
        <v>180</v>
      </c>
      <c r="G114" s="10">
        <v>179.4</v>
      </c>
      <c r="H114" s="10">
        <v>125</v>
      </c>
      <c r="I114" s="10">
        <v>139</v>
      </c>
      <c r="J114" s="10">
        <v>133</v>
      </c>
      <c r="K114" s="10">
        <v>107</v>
      </c>
      <c r="L114" s="10">
        <v>125</v>
      </c>
      <c r="M114" s="10">
        <v>19.2</v>
      </c>
      <c r="N114" s="10">
        <v>1712</v>
      </c>
      <c r="O114" s="10">
        <v>1.22</v>
      </c>
      <c r="P114" s="10">
        <v>2087</v>
      </c>
      <c r="Q114" s="10">
        <v>204</v>
      </c>
      <c r="R114" s="10">
        <v>111</v>
      </c>
      <c r="S114" s="10">
        <v>44</v>
      </c>
      <c r="T114" s="10">
        <v>388</v>
      </c>
      <c r="U114" s="10">
        <v>27</v>
      </c>
      <c r="V114" s="10">
        <v>159</v>
      </c>
      <c r="W114" s="10">
        <v>0.60899999999999999</v>
      </c>
      <c r="X114" s="10">
        <v>236</v>
      </c>
      <c r="Y114" s="10">
        <v>164</v>
      </c>
      <c r="Z114" s="10">
        <v>152</v>
      </c>
      <c r="AA114" s="10">
        <v>5</v>
      </c>
      <c r="AB114" s="10">
        <v>9.5</v>
      </c>
      <c r="AC114" s="9" t="s">
        <v>169</v>
      </c>
      <c r="AD114" s="9" t="s">
        <v>185</v>
      </c>
      <c r="AE114" s="10"/>
      <c r="AF114" s="10"/>
      <c r="AG114" s="10"/>
    </row>
    <row r="115" spans="1:33">
      <c r="A115" s="7" t="s">
        <v>155</v>
      </c>
      <c r="B115" s="8" t="s">
        <v>182</v>
      </c>
      <c r="C115" s="9" t="s">
        <v>303</v>
      </c>
      <c r="D115" s="10">
        <v>188</v>
      </c>
      <c r="E115" s="9" t="s">
        <v>158</v>
      </c>
      <c r="F115" s="10">
        <v>188</v>
      </c>
      <c r="G115" s="10">
        <v>187.3</v>
      </c>
      <c r="H115" s="10">
        <v>128</v>
      </c>
      <c r="I115" s="10">
        <v>149</v>
      </c>
      <c r="J115" s="10">
        <v>134</v>
      </c>
      <c r="K115" s="10">
        <v>107</v>
      </c>
      <c r="L115" s="10">
        <v>125</v>
      </c>
      <c r="M115" s="10">
        <v>20.7</v>
      </c>
      <c r="N115" s="10">
        <v>1799</v>
      </c>
      <c r="O115" s="10">
        <v>1.21</v>
      </c>
      <c r="P115" s="10">
        <v>2185</v>
      </c>
      <c r="Q115" s="10">
        <v>210</v>
      </c>
      <c r="R115" s="10">
        <v>122</v>
      </c>
      <c r="S115" s="10">
        <v>49</v>
      </c>
      <c r="T115" s="10">
        <v>426</v>
      </c>
      <c r="U115" s="10">
        <v>28</v>
      </c>
      <c r="V115" s="10">
        <v>169</v>
      </c>
      <c r="W115" s="10">
        <v>0.57999999999999996</v>
      </c>
      <c r="X115" s="10">
        <v>211</v>
      </c>
      <c r="Y115" s="10">
        <v>170</v>
      </c>
      <c r="Z115" s="10">
        <v>215</v>
      </c>
      <c r="AA115" s="10">
        <v>4</v>
      </c>
      <c r="AB115" s="10">
        <v>10.8</v>
      </c>
      <c r="AC115" s="9" t="s">
        <v>169</v>
      </c>
      <c r="AD115" s="9" t="s">
        <v>185</v>
      </c>
      <c r="AE115" s="10"/>
      <c r="AF115" s="10"/>
      <c r="AG115" s="10"/>
    </row>
    <row r="116" spans="1:33">
      <c r="A116" s="7" t="s">
        <v>155</v>
      </c>
      <c r="B116" s="8" t="s">
        <v>182</v>
      </c>
      <c r="C116" s="9" t="s">
        <v>413</v>
      </c>
      <c r="D116" s="10">
        <v>172</v>
      </c>
      <c r="E116" s="9" t="s">
        <v>158</v>
      </c>
      <c r="F116" s="10">
        <v>172</v>
      </c>
      <c r="G116" s="10">
        <v>171.2</v>
      </c>
      <c r="H116" s="10">
        <v>139</v>
      </c>
      <c r="I116" s="10">
        <v>143</v>
      </c>
      <c r="J116" s="10">
        <v>115</v>
      </c>
      <c r="K116" s="10">
        <v>87</v>
      </c>
      <c r="L116" s="10">
        <v>107</v>
      </c>
      <c r="M116" s="10">
        <v>20.6</v>
      </c>
      <c r="N116" s="10">
        <v>1228</v>
      </c>
      <c r="O116" s="10">
        <v>1.34</v>
      </c>
      <c r="P116" s="10">
        <v>1641</v>
      </c>
      <c r="Q116" s="10">
        <v>192</v>
      </c>
      <c r="R116" s="10">
        <v>76</v>
      </c>
      <c r="S116" s="10">
        <v>41</v>
      </c>
      <c r="T116" s="10">
        <v>199</v>
      </c>
      <c r="U116" s="10">
        <v>11</v>
      </c>
      <c r="V116" s="10">
        <v>121</v>
      </c>
      <c r="W116" s="10">
        <v>0.27900000000000003</v>
      </c>
      <c r="X116" s="10">
        <v>169</v>
      </c>
      <c r="Y116" s="10">
        <v>109</v>
      </c>
      <c r="Z116" s="10">
        <v>30</v>
      </c>
      <c r="AA116" s="10">
        <v>6</v>
      </c>
      <c r="AB116" s="10">
        <v>7.3</v>
      </c>
      <c r="AC116" s="9" t="s">
        <v>185</v>
      </c>
      <c r="AD116" s="9" t="s">
        <v>198</v>
      </c>
      <c r="AE116" s="10"/>
      <c r="AF116" s="10"/>
      <c r="AG116" s="10"/>
    </row>
    <row r="117" spans="1:33">
      <c r="A117" s="7" t="s">
        <v>155</v>
      </c>
      <c r="B117" s="8" t="s">
        <v>182</v>
      </c>
      <c r="C117" s="9" t="s">
        <v>413</v>
      </c>
      <c r="D117" s="10">
        <v>182</v>
      </c>
      <c r="E117" s="9" t="s">
        <v>158</v>
      </c>
      <c r="F117" s="10">
        <v>182</v>
      </c>
      <c r="G117" s="10">
        <v>181.2</v>
      </c>
      <c r="H117" s="10">
        <v>146</v>
      </c>
      <c r="I117" s="10">
        <v>151</v>
      </c>
      <c r="J117" s="10">
        <v>116</v>
      </c>
      <c r="K117" s="10">
        <v>87</v>
      </c>
      <c r="L117" s="10">
        <v>108</v>
      </c>
      <c r="M117" s="10">
        <v>21.7</v>
      </c>
      <c r="N117" s="10">
        <v>1329</v>
      </c>
      <c r="O117" s="10">
        <v>1.31</v>
      </c>
      <c r="P117" s="10">
        <v>1745</v>
      </c>
      <c r="Q117" s="10">
        <v>226</v>
      </c>
      <c r="R117" s="10">
        <v>96</v>
      </c>
      <c r="S117" s="10">
        <v>41</v>
      </c>
      <c r="T117" s="10">
        <v>215</v>
      </c>
      <c r="U117" s="10">
        <v>11</v>
      </c>
      <c r="V117" s="10">
        <v>134</v>
      </c>
      <c r="W117" s="10">
        <v>0.26700000000000002</v>
      </c>
      <c r="X117" s="10">
        <v>186</v>
      </c>
      <c r="Y117" s="10">
        <v>115</v>
      </c>
      <c r="Z117" s="10">
        <v>29</v>
      </c>
      <c r="AA117" s="10">
        <v>5</v>
      </c>
      <c r="AB117" s="10">
        <v>8.3000000000000007</v>
      </c>
      <c r="AC117" s="9" t="s">
        <v>185</v>
      </c>
      <c r="AD117" s="9" t="s">
        <v>198</v>
      </c>
      <c r="AE117" s="10"/>
      <c r="AF117" s="10"/>
      <c r="AG117" s="10"/>
    </row>
    <row r="118" spans="1:33">
      <c r="A118" s="7" t="s">
        <v>155</v>
      </c>
      <c r="B118" s="8" t="s">
        <v>182</v>
      </c>
      <c r="C118" s="9" t="s">
        <v>373</v>
      </c>
      <c r="D118" s="10">
        <v>164</v>
      </c>
      <c r="E118" s="9" t="s">
        <v>158</v>
      </c>
      <c r="F118" s="10">
        <v>164</v>
      </c>
      <c r="G118" s="10">
        <v>163.69999999999999</v>
      </c>
      <c r="H118" s="10">
        <v>125</v>
      </c>
      <c r="I118" s="10">
        <v>137</v>
      </c>
      <c r="J118" s="10">
        <v>126</v>
      </c>
      <c r="K118" s="10">
        <v>97</v>
      </c>
      <c r="L118" s="10">
        <v>119</v>
      </c>
      <c r="M118" s="10">
        <v>16.8</v>
      </c>
      <c r="N118" s="10">
        <v>1419</v>
      </c>
      <c r="O118" s="10">
        <v>1.23</v>
      </c>
      <c r="P118" s="10">
        <v>1749</v>
      </c>
      <c r="Q118" s="10">
        <v>139</v>
      </c>
      <c r="R118" s="10">
        <v>85</v>
      </c>
      <c r="S118" s="10">
        <v>37</v>
      </c>
      <c r="T118" s="10">
        <v>237</v>
      </c>
      <c r="U118" s="10">
        <v>16</v>
      </c>
      <c r="V118" s="10">
        <v>146</v>
      </c>
      <c r="W118" s="10">
        <v>0.42199999999999999</v>
      </c>
      <c r="X118" s="10">
        <v>172</v>
      </c>
      <c r="Y118" s="10">
        <v>99</v>
      </c>
      <c r="Z118" s="10">
        <v>65</v>
      </c>
      <c r="AA118" s="10">
        <v>8</v>
      </c>
      <c r="AB118" s="10">
        <v>9.3000000000000007</v>
      </c>
      <c r="AC118" s="9" t="s">
        <v>188</v>
      </c>
      <c r="AD118" s="9" t="s">
        <v>185</v>
      </c>
      <c r="AE118" s="10"/>
      <c r="AF118" s="10"/>
      <c r="AG118" s="10"/>
    </row>
    <row r="119" spans="1:33">
      <c r="A119" s="7" t="s">
        <v>155</v>
      </c>
      <c r="B119" s="8" t="s">
        <v>182</v>
      </c>
      <c r="C119" s="9" t="s">
        <v>373</v>
      </c>
      <c r="D119" s="10">
        <v>172</v>
      </c>
      <c r="E119" s="9" t="s">
        <v>158</v>
      </c>
      <c r="F119" s="10">
        <v>172</v>
      </c>
      <c r="G119" s="10">
        <v>171.5</v>
      </c>
      <c r="H119" s="10">
        <v>132</v>
      </c>
      <c r="I119" s="10">
        <v>143</v>
      </c>
      <c r="J119" s="10">
        <v>129</v>
      </c>
      <c r="K119" s="10">
        <v>97</v>
      </c>
      <c r="L119" s="10">
        <v>120</v>
      </c>
      <c r="M119" s="10">
        <v>17.3</v>
      </c>
      <c r="N119" s="10">
        <v>1497</v>
      </c>
      <c r="O119" s="10">
        <v>1.23</v>
      </c>
      <c r="P119" s="10">
        <v>1844</v>
      </c>
      <c r="Q119" s="10">
        <v>163</v>
      </c>
      <c r="R119" s="10">
        <v>102</v>
      </c>
      <c r="S119" s="10">
        <v>41</v>
      </c>
      <c r="T119" s="10">
        <v>250</v>
      </c>
      <c r="U119" s="10">
        <v>15</v>
      </c>
      <c r="V119" s="10">
        <v>145</v>
      </c>
      <c r="W119" s="10">
        <v>0.36899999999999999</v>
      </c>
      <c r="X119" s="10">
        <v>171</v>
      </c>
      <c r="Y119" s="10">
        <v>112</v>
      </c>
      <c r="Z119" s="10">
        <v>79</v>
      </c>
      <c r="AA119" s="10">
        <v>6</v>
      </c>
      <c r="AB119" s="10">
        <v>10</v>
      </c>
      <c r="AC119" s="9" t="s">
        <v>188</v>
      </c>
      <c r="AD119" s="9" t="s">
        <v>185</v>
      </c>
      <c r="AE119" s="10"/>
      <c r="AF119" s="10"/>
      <c r="AG119" s="10"/>
    </row>
    <row r="120" spans="1:33">
      <c r="A120" s="7" t="s">
        <v>155</v>
      </c>
      <c r="B120" s="8" t="s">
        <v>182</v>
      </c>
      <c r="C120" s="9" t="s">
        <v>373</v>
      </c>
      <c r="D120" s="10">
        <v>180</v>
      </c>
      <c r="E120" s="9" t="s">
        <v>158</v>
      </c>
      <c r="F120" s="10">
        <v>180</v>
      </c>
      <c r="G120" s="10">
        <v>179.4</v>
      </c>
      <c r="H120" s="10">
        <v>136</v>
      </c>
      <c r="I120" s="10">
        <v>151</v>
      </c>
      <c r="J120" s="10">
        <v>131</v>
      </c>
      <c r="K120" s="10">
        <v>97</v>
      </c>
      <c r="L120" s="10">
        <v>122</v>
      </c>
      <c r="M120" s="10">
        <v>17.899999999999999</v>
      </c>
      <c r="N120" s="10">
        <v>1601</v>
      </c>
      <c r="O120" s="10">
        <v>1.21</v>
      </c>
      <c r="P120" s="10">
        <v>1945</v>
      </c>
      <c r="Q120" s="10">
        <v>200</v>
      </c>
      <c r="R120" s="10">
        <v>108</v>
      </c>
      <c r="S120" s="10">
        <v>46</v>
      </c>
      <c r="T120" s="10">
        <v>260</v>
      </c>
      <c r="U120" s="10">
        <v>19</v>
      </c>
      <c r="V120" s="10">
        <v>169</v>
      </c>
      <c r="W120" s="10">
        <v>0.42299999999999999</v>
      </c>
      <c r="X120" s="10">
        <v>174</v>
      </c>
      <c r="Y120" s="10">
        <v>109</v>
      </c>
      <c r="Z120" s="10">
        <v>86</v>
      </c>
      <c r="AA120" s="10">
        <v>5</v>
      </c>
      <c r="AB120" s="10">
        <v>10.3</v>
      </c>
      <c r="AC120" s="9" t="s">
        <v>188</v>
      </c>
      <c r="AD120" s="9" t="s">
        <v>185</v>
      </c>
      <c r="AE120" s="10"/>
      <c r="AF120" s="10"/>
      <c r="AG120" s="10"/>
    </row>
    <row r="121" spans="1:33">
      <c r="A121" s="7" t="s">
        <v>155</v>
      </c>
      <c r="B121" s="8" t="s">
        <v>182</v>
      </c>
      <c r="C121" s="9" t="s">
        <v>373</v>
      </c>
      <c r="D121" s="10">
        <v>188</v>
      </c>
      <c r="E121" s="9" t="s">
        <v>158</v>
      </c>
      <c r="F121" s="10">
        <v>188</v>
      </c>
      <c r="G121" s="10">
        <v>187.8</v>
      </c>
      <c r="H121" s="10">
        <v>145</v>
      </c>
      <c r="I121" s="10">
        <v>159</v>
      </c>
      <c r="J121" s="10">
        <v>131</v>
      </c>
      <c r="K121" s="10">
        <v>97</v>
      </c>
      <c r="L121" s="10">
        <v>122</v>
      </c>
      <c r="M121" s="10">
        <v>18.899999999999999</v>
      </c>
      <c r="N121" s="10">
        <v>1700</v>
      </c>
      <c r="O121" s="10">
        <v>1.2</v>
      </c>
      <c r="P121" s="10">
        <v>2046</v>
      </c>
      <c r="Q121" s="10">
        <v>193</v>
      </c>
      <c r="R121" s="10">
        <v>127</v>
      </c>
      <c r="S121" s="10">
        <v>50</v>
      </c>
      <c r="T121" s="10">
        <v>272</v>
      </c>
      <c r="U121" s="10">
        <v>18</v>
      </c>
      <c r="V121" s="10">
        <v>161</v>
      </c>
      <c r="W121" s="10">
        <v>0.36499999999999999</v>
      </c>
      <c r="X121" s="10">
        <v>177</v>
      </c>
      <c r="Y121" s="10">
        <v>112</v>
      </c>
      <c r="Z121" s="10">
        <v>95</v>
      </c>
      <c r="AA121" s="10">
        <v>8</v>
      </c>
      <c r="AB121" s="10">
        <v>9.8000000000000007</v>
      </c>
      <c r="AC121" s="9" t="s">
        <v>188</v>
      </c>
      <c r="AD121" s="9" t="s">
        <v>185</v>
      </c>
      <c r="AE121" s="10"/>
      <c r="AF121" s="10"/>
      <c r="AG121" s="10"/>
    </row>
    <row r="122" spans="1:33">
      <c r="A122" s="7" t="s">
        <v>155</v>
      </c>
      <c r="B122" s="8" t="s">
        <v>182</v>
      </c>
      <c r="C122" s="9" t="s">
        <v>852</v>
      </c>
      <c r="D122" s="10">
        <v>185</v>
      </c>
      <c r="E122" s="9" t="s">
        <v>158</v>
      </c>
      <c r="F122" s="10">
        <v>185</v>
      </c>
      <c r="G122" s="10">
        <v>183.2</v>
      </c>
      <c r="H122" s="10">
        <v>113</v>
      </c>
      <c r="I122" s="10">
        <v>133</v>
      </c>
      <c r="J122" s="10">
        <v>138</v>
      </c>
      <c r="K122" s="10">
        <v>115</v>
      </c>
      <c r="L122" s="10">
        <v>134</v>
      </c>
      <c r="M122" s="10">
        <v>18.2</v>
      </c>
      <c r="N122" s="10">
        <v>1891</v>
      </c>
      <c r="O122" s="10">
        <v>1.19</v>
      </c>
      <c r="P122" s="10">
        <v>2242</v>
      </c>
      <c r="Q122" s="10">
        <v>278</v>
      </c>
      <c r="R122" s="10">
        <v>144</v>
      </c>
      <c r="S122" s="10">
        <v>64</v>
      </c>
      <c r="T122" s="10">
        <v>362</v>
      </c>
      <c r="U122" s="10">
        <v>61</v>
      </c>
      <c r="V122" s="10">
        <v>338</v>
      </c>
      <c r="W122" s="10">
        <v>0.95699999999999996</v>
      </c>
      <c r="X122" s="10">
        <v>256</v>
      </c>
      <c r="Y122" s="10">
        <v>248</v>
      </c>
      <c r="Z122" s="10">
        <v>106</v>
      </c>
      <c r="AA122" s="10">
        <v>4</v>
      </c>
      <c r="AB122" s="10">
        <v>5.7</v>
      </c>
      <c r="AC122" s="9" t="s">
        <v>184</v>
      </c>
      <c r="AD122" s="9" t="s">
        <v>169</v>
      </c>
      <c r="AE122" s="9" t="s">
        <v>185</v>
      </c>
      <c r="AF122" s="10"/>
      <c r="AG122" s="10"/>
    </row>
    <row r="123" spans="1:33">
      <c r="A123" s="7" t="s">
        <v>155</v>
      </c>
      <c r="B123" s="8" t="s">
        <v>182</v>
      </c>
      <c r="C123" s="9" t="s">
        <v>852</v>
      </c>
      <c r="D123" s="10">
        <v>192</v>
      </c>
      <c r="E123" s="9" t="s">
        <v>158</v>
      </c>
      <c r="F123" s="10">
        <v>192</v>
      </c>
      <c r="G123" s="10">
        <v>190.1</v>
      </c>
      <c r="H123" s="10">
        <v>122</v>
      </c>
      <c r="I123" s="10">
        <v>141</v>
      </c>
      <c r="J123" s="10">
        <v>139</v>
      </c>
      <c r="K123" s="10">
        <v>115</v>
      </c>
      <c r="L123" s="10">
        <v>135</v>
      </c>
      <c r="M123" s="10">
        <v>19.3</v>
      </c>
      <c r="N123" s="10">
        <v>1981</v>
      </c>
      <c r="O123" s="10">
        <v>1.18</v>
      </c>
      <c r="P123" s="10">
        <v>2337</v>
      </c>
      <c r="Q123" s="10">
        <v>281</v>
      </c>
      <c r="R123" s="10">
        <v>152</v>
      </c>
      <c r="S123" s="10">
        <v>57</v>
      </c>
      <c r="T123" s="10">
        <v>350</v>
      </c>
      <c r="U123" s="10">
        <v>55</v>
      </c>
      <c r="V123" s="10">
        <v>329</v>
      </c>
      <c r="W123" s="10">
        <v>0.95599999999999996</v>
      </c>
      <c r="X123" s="10">
        <v>258</v>
      </c>
      <c r="Y123" s="10">
        <v>229</v>
      </c>
      <c r="Z123" s="10">
        <v>92</v>
      </c>
      <c r="AA123" s="10">
        <v>5</v>
      </c>
      <c r="AB123" s="10">
        <v>7.6</v>
      </c>
      <c r="AC123" s="9" t="s">
        <v>184</v>
      </c>
      <c r="AD123" s="9" t="s">
        <v>169</v>
      </c>
      <c r="AE123" s="9" t="s">
        <v>185</v>
      </c>
      <c r="AF123" s="10"/>
      <c r="AG123" s="10"/>
    </row>
    <row r="124" spans="1:33">
      <c r="A124" s="7" t="s">
        <v>155</v>
      </c>
      <c r="B124" s="8" t="s">
        <v>156</v>
      </c>
      <c r="C124" s="9" t="s">
        <v>399</v>
      </c>
      <c r="D124" s="10">
        <v>164</v>
      </c>
      <c r="E124" s="9" t="s">
        <v>158</v>
      </c>
      <c r="F124" s="10">
        <v>164</v>
      </c>
      <c r="G124" s="10">
        <v>163</v>
      </c>
      <c r="H124" s="10">
        <v>108</v>
      </c>
      <c r="I124" s="10">
        <v>129</v>
      </c>
      <c r="J124" s="10">
        <v>126</v>
      </c>
      <c r="K124" s="10">
        <v>97</v>
      </c>
      <c r="L124" s="10">
        <v>117</v>
      </c>
      <c r="M124" s="10">
        <v>15</v>
      </c>
      <c r="N124" s="10">
        <v>1182</v>
      </c>
      <c r="O124" s="10">
        <v>1.46</v>
      </c>
      <c r="P124" s="10">
        <v>1728</v>
      </c>
      <c r="Q124" s="10">
        <v>160</v>
      </c>
      <c r="R124" s="10">
        <v>69</v>
      </c>
      <c r="S124" s="10">
        <v>56</v>
      </c>
      <c r="T124" s="10">
        <v>329</v>
      </c>
      <c r="U124" s="10">
        <v>16</v>
      </c>
      <c r="V124" s="10">
        <v>223</v>
      </c>
      <c r="W124" s="10">
        <v>0.28000000000000003</v>
      </c>
      <c r="X124" s="10">
        <v>173</v>
      </c>
      <c r="Y124" s="10">
        <v>165</v>
      </c>
      <c r="Z124" s="10">
        <v>156</v>
      </c>
      <c r="AA124" s="10">
        <v>3</v>
      </c>
      <c r="AB124" s="10">
        <v>8.3000000000000007</v>
      </c>
      <c r="AC124" s="9" t="s">
        <v>185</v>
      </c>
      <c r="AD124" s="9" t="s">
        <v>198</v>
      </c>
      <c r="AE124" s="10"/>
      <c r="AF124" s="10"/>
      <c r="AG124" s="10"/>
    </row>
    <row r="125" spans="1:33">
      <c r="A125" s="7" t="s">
        <v>155</v>
      </c>
      <c r="B125" s="8" t="s">
        <v>156</v>
      </c>
      <c r="C125" s="9" t="s">
        <v>399</v>
      </c>
      <c r="D125" s="10">
        <v>172</v>
      </c>
      <c r="E125" s="9" t="s">
        <v>158</v>
      </c>
      <c r="F125" s="10">
        <v>172</v>
      </c>
      <c r="G125" s="10">
        <v>171.1</v>
      </c>
      <c r="H125" s="10">
        <v>123</v>
      </c>
      <c r="I125" s="10">
        <v>138</v>
      </c>
      <c r="J125" s="10">
        <v>127</v>
      </c>
      <c r="K125" s="10">
        <v>98</v>
      </c>
      <c r="L125" s="10">
        <v>117</v>
      </c>
      <c r="M125" s="10">
        <v>17.5</v>
      </c>
      <c r="N125" s="10">
        <v>1227</v>
      </c>
      <c r="O125" s="10">
        <v>1.49</v>
      </c>
      <c r="P125" s="10">
        <v>1825</v>
      </c>
      <c r="Q125" s="10">
        <v>161</v>
      </c>
      <c r="R125" s="10">
        <v>88</v>
      </c>
      <c r="S125" s="10">
        <v>53</v>
      </c>
      <c r="T125" s="10">
        <v>291</v>
      </c>
      <c r="U125" s="10">
        <v>14</v>
      </c>
      <c r="V125" s="10">
        <v>191</v>
      </c>
      <c r="W125" s="10">
        <v>0.27200000000000002</v>
      </c>
      <c r="X125" s="10">
        <v>172</v>
      </c>
      <c r="Y125" s="10">
        <v>163</v>
      </c>
      <c r="Z125" s="10">
        <v>120</v>
      </c>
      <c r="AA125" s="10">
        <v>5</v>
      </c>
      <c r="AB125" s="10">
        <v>7.9</v>
      </c>
      <c r="AC125" s="9" t="s">
        <v>185</v>
      </c>
      <c r="AD125" s="9" t="s">
        <v>198</v>
      </c>
      <c r="AE125" s="10"/>
      <c r="AF125" s="10"/>
      <c r="AG125" s="10"/>
    </row>
    <row r="126" spans="1:33">
      <c r="A126" s="7" t="s">
        <v>155</v>
      </c>
      <c r="B126" s="8" t="s">
        <v>156</v>
      </c>
      <c r="C126" s="9" t="s">
        <v>399</v>
      </c>
      <c r="D126" s="10">
        <v>180</v>
      </c>
      <c r="E126" s="9" t="s">
        <v>158</v>
      </c>
      <c r="F126" s="10">
        <v>180</v>
      </c>
      <c r="G126" s="10">
        <v>178.3</v>
      </c>
      <c r="H126" s="10">
        <v>129</v>
      </c>
      <c r="I126" s="10">
        <v>144</v>
      </c>
      <c r="J126" s="10">
        <v>129</v>
      </c>
      <c r="K126" s="10">
        <v>99</v>
      </c>
      <c r="L126" s="10">
        <v>119</v>
      </c>
      <c r="M126" s="10">
        <v>19.3</v>
      </c>
      <c r="N126" s="10">
        <v>1344</v>
      </c>
      <c r="O126" s="10">
        <v>1.44</v>
      </c>
      <c r="P126" s="10">
        <v>1931</v>
      </c>
      <c r="Q126" s="10">
        <v>190</v>
      </c>
      <c r="R126" s="10">
        <v>88</v>
      </c>
      <c r="S126" s="10">
        <v>53</v>
      </c>
      <c r="T126" s="10">
        <v>284</v>
      </c>
      <c r="U126" s="10">
        <v>16</v>
      </c>
      <c r="V126" s="10">
        <v>208</v>
      </c>
      <c r="W126" s="10">
        <v>0.30599999999999999</v>
      </c>
      <c r="X126" s="10">
        <v>177</v>
      </c>
      <c r="Y126" s="10">
        <v>167</v>
      </c>
      <c r="Z126" s="10">
        <v>107</v>
      </c>
      <c r="AA126" s="10">
        <v>4</v>
      </c>
      <c r="AB126" s="10">
        <v>8.5</v>
      </c>
      <c r="AC126" s="9" t="s">
        <v>185</v>
      </c>
      <c r="AD126" s="9" t="s">
        <v>198</v>
      </c>
      <c r="AE126" s="10"/>
      <c r="AF126" s="10"/>
      <c r="AG126" s="10"/>
    </row>
    <row r="127" spans="1:33">
      <c r="A127" s="7" t="s">
        <v>155</v>
      </c>
      <c r="B127" s="8" t="s">
        <v>156</v>
      </c>
      <c r="C127" s="9" t="s">
        <v>399</v>
      </c>
      <c r="D127" s="10">
        <v>188</v>
      </c>
      <c r="E127" s="9" t="s">
        <v>158</v>
      </c>
      <c r="F127" s="10">
        <v>188</v>
      </c>
      <c r="G127" s="10">
        <v>186.7</v>
      </c>
      <c r="H127" s="10">
        <v>140</v>
      </c>
      <c r="I127" s="10">
        <v>150</v>
      </c>
      <c r="J127" s="10">
        <v>129</v>
      </c>
      <c r="K127" s="10">
        <v>100</v>
      </c>
      <c r="L127" s="10">
        <v>120</v>
      </c>
      <c r="M127" s="10">
        <v>21.5</v>
      </c>
      <c r="N127" s="10">
        <v>1435</v>
      </c>
      <c r="O127" s="10">
        <v>1.4</v>
      </c>
      <c r="P127" s="10">
        <v>2009</v>
      </c>
      <c r="Q127" s="10">
        <v>217</v>
      </c>
      <c r="R127" s="10">
        <v>112</v>
      </c>
      <c r="S127" s="10">
        <v>54</v>
      </c>
      <c r="T127" s="10">
        <v>286</v>
      </c>
      <c r="U127" s="10">
        <v>14</v>
      </c>
      <c r="V127" s="10">
        <v>180</v>
      </c>
      <c r="W127" s="10">
        <v>0.251</v>
      </c>
      <c r="X127" s="10">
        <v>195</v>
      </c>
      <c r="Y127" s="10">
        <v>169</v>
      </c>
      <c r="Z127" s="10">
        <v>90</v>
      </c>
      <c r="AA127" s="10">
        <v>7</v>
      </c>
      <c r="AB127" s="10">
        <v>9</v>
      </c>
      <c r="AC127" s="9" t="s">
        <v>185</v>
      </c>
      <c r="AD127" s="9" t="s">
        <v>198</v>
      </c>
      <c r="AE127" s="10"/>
      <c r="AF127" s="10"/>
      <c r="AG127" s="10"/>
    </row>
    <row r="128" spans="1:33">
      <c r="A128" s="7" t="s">
        <v>155</v>
      </c>
      <c r="B128" s="8" t="s">
        <v>156</v>
      </c>
      <c r="C128" s="9" t="s">
        <v>197</v>
      </c>
      <c r="D128" s="10">
        <v>175</v>
      </c>
      <c r="E128" s="9" t="s">
        <v>158</v>
      </c>
      <c r="F128" s="10">
        <v>175</v>
      </c>
      <c r="G128" s="10">
        <v>174.5</v>
      </c>
      <c r="H128" s="10">
        <v>114</v>
      </c>
      <c r="I128" s="10">
        <v>134</v>
      </c>
      <c r="J128" s="10">
        <v>135</v>
      </c>
      <c r="K128" s="10">
        <v>107</v>
      </c>
      <c r="L128" s="10">
        <v>122</v>
      </c>
      <c r="M128" s="10">
        <v>18.100000000000001</v>
      </c>
      <c r="N128" s="10">
        <v>1508</v>
      </c>
      <c r="O128" s="10">
        <v>1.33</v>
      </c>
      <c r="P128" s="10">
        <v>2013</v>
      </c>
      <c r="Q128" s="10">
        <v>178</v>
      </c>
      <c r="R128" s="10">
        <v>89</v>
      </c>
      <c r="S128" s="10">
        <v>51</v>
      </c>
      <c r="T128" s="10">
        <v>367</v>
      </c>
      <c r="U128" s="10">
        <v>16</v>
      </c>
      <c r="V128" s="10">
        <v>234</v>
      </c>
      <c r="W128" s="10">
        <v>0.32</v>
      </c>
      <c r="X128" s="10">
        <v>225</v>
      </c>
      <c r="Y128" s="10">
        <v>185</v>
      </c>
      <c r="Z128" s="10">
        <v>143</v>
      </c>
      <c r="AA128" s="10">
        <v>4</v>
      </c>
      <c r="AB128" s="10">
        <v>9.6999999999999993</v>
      </c>
      <c r="AC128" s="9" t="s">
        <v>178</v>
      </c>
      <c r="AD128" s="9" t="s">
        <v>185</v>
      </c>
      <c r="AE128" s="9" t="s">
        <v>198</v>
      </c>
      <c r="AF128" s="10"/>
      <c r="AG128" s="10"/>
    </row>
    <row r="129" spans="1:33">
      <c r="A129" s="7" t="s">
        <v>155</v>
      </c>
      <c r="B129" s="8" t="s">
        <v>156</v>
      </c>
      <c r="C129" s="9" t="s">
        <v>197</v>
      </c>
      <c r="D129" s="10">
        <v>182</v>
      </c>
      <c r="E129" s="9" t="s">
        <v>158</v>
      </c>
      <c r="F129" s="10">
        <v>182</v>
      </c>
      <c r="G129" s="10">
        <v>181.2</v>
      </c>
      <c r="H129" s="10">
        <v>121</v>
      </c>
      <c r="I129" s="10">
        <v>143</v>
      </c>
      <c r="J129" s="10">
        <v>136</v>
      </c>
      <c r="K129" s="10">
        <v>107</v>
      </c>
      <c r="L129" s="10">
        <v>123</v>
      </c>
      <c r="M129" s="10">
        <v>19.2</v>
      </c>
      <c r="N129" s="10">
        <v>1649</v>
      </c>
      <c r="O129" s="10">
        <v>1.27</v>
      </c>
      <c r="P129" s="10">
        <v>2094</v>
      </c>
      <c r="Q129" s="10">
        <v>190</v>
      </c>
      <c r="R129" s="10">
        <v>102</v>
      </c>
      <c r="S129" s="10">
        <v>47</v>
      </c>
      <c r="T129" s="10">
        <v>373</v>
      </c>
      <c r="U129" s="10">
        <v>16</v>
      </c>
      <c r="V129" s="10">
        <v>230</v>
      </c>
      <c r="W129" s="10">
        <v>0.34699999999999998</v>
      </c>
      <c r="X129" s="10">
        <v>214</v>
      </c>
      <c r="Y129" s="10">
        <v>170</v>
      </c>
      <c r="Z129" s="10">
        <v>160</v>
      </c>
      <c r="AA129" s="10">
        <v>7</v>
      </c>
      <c r="AB129" s="10">
        <v>9.8000000000000007</v>
      </c>
      <c r="AC129" s="9" t="s">
        <v>178</v>
      </c>
      <c r="AD129" s="9" t="s">
        <v>185</v>
      </c>
      <c r="AE129" s="9" t="s">
        <v>198</v>
      </c>
      <c r="AF129" s="10"/>
      <c r="AG129" s="10"/>
    </row>
    <row r="130" spans="1:33">
      <c r="A130" s="7" t="s">
        <v>155</v>
      </c>
      <c r="B130" s="8" t="s">
        <v>156</v>
      </c>
      <c r="C130" s="9" t="s">
        <v>678</v>
      </c>
      <c r="D130" s="10">
        <v>159</v>
      </c>
      <c r="E130" s="9" t="s">
        <v>158</v>
      </c>
      <c r="F130" s="10">
        <v>159</v>
      </c>
      <c r="G130" s="10">
        <v>158.69999999999999</v>
      </c>
      <c r="H130" s="10">
        <v>102</v>
      </c>
      <c r="I130" s="10">
        <v>121</v>
      </c>
      <c r="J130" s="10">
        <v>133</v>
      </c>
      <c r="K130" s="10">
        <v>107</v>
      </c>
      <c r="L130" s="10">
        <v>120</v>
      </c>
      <c r="M130" s="10">
        <v>15.4</v>
      </c>
      <c r="N130" s="10">
        <v>1350</v>
      </c>
      <c r="O130" s="10">
        <v>1.34</v>
      </c>
      <c r="P130" s="10">
        <v>1816</v>
      </c>
      <c r="Q130" s="10">
        <v>139</v>
      </c>
      <c r="R130" s="10">
        <v>74</v>
      </c>
      <c r="S130" s="10">
        <v>46</v>
      </c>
      <c r="T130" s="10">
        <v>354</v>
      </c>
      <c r="U130" s="10">
        <v>13</v>
      </c>
      <c r="V130" s="10">
        <v>213</v>
      </c>
      <c r="W130" s="10">
        <v>0.28799999999999998</v>
      </c>
      <c r="X130" s="10">
        <v>207</v>
      </c>
      <c r="Y130" s="10">
        <v>171</v>
      </c>
      <c r="Z130" s="10">
        <v>147</v>
      </c>
      <c r="AA130" s="10">
        <v>5</v>
      </c>
      <c r="AB130" s="10">
        <v>9.5</v>
      </c>
      <c r="AC130" s="9" t="s">
        <v>178</v>
      </c>
      <c r="AD130" s="9" t="s">
        <v>185</v>
      </c>
      <c r="AE130" s="9" t="s">
        <v>198</v>
      </c>
      <c r="AF130" s="10"/>
      <c r="AG130" s="10"/>
    </row>
    <row r="131" spans="1:33">
      <c r="A131" s="7" t="s">
        <v>155</v>
      </c>
      <c r="B131" s="8" t="s">
        <v>156</v>
      </c>
      <c r="C131" s="9" t="s">
        <v>678</v>
      </c>
      <c r="D131" s="10">
        <v>167</v>
      </c>
      <c r="E131" s="9" t="s">
        <v>158</v>
      </c>
      <c r="F131" s="10">
        <v>167</v>
      </c>
      <c r="G131" s="10">
        <v>166.7</v>
      </c>
      <c r="H131" s="10">
        <v>106</v>
      </c>
      <c r="I131" s="10">
        <v>127</v>
      </c>
      <c r="J131" s="10">
        <v>134</v>
      </c>
      <c r="K131" s="10">
        <v>107</v>
      </c>
      <c r="L131" s="10">
        <v>121</v>
      </c>
      <c r="M131" s="10">
        <v>16.5</v>
      </c>
      <c r="N131" s="10">
        <v>1470</v>
      </c>
      <c r="O131" s="10">
        <v>1.31</v>
      </c>
      <c r="P131" s="10">
        <v>1921</v>
      </c>
      <c r="Q131" s="10">
        <v>156</v>
      </c>
      <c r="R131" s="10">
        <v>76</v>
      </c>
      <c r="S131" s="10">
        <v>46</v>
      </c>
      <c r="T131" s="10">
        <v>380</v>
      </c>
      <c r="U131" s="10">
        <v>14</v>
      </c>
      <c r="V131" s="10">
        <v>225</v>
      </c>
      <c r="W131" s="10">
        <v>0.30599999999999999</v>
      </c>
      <c r="X131" s="10">
        <v>228</v>
      </c>
      <c r="Y131" s="10">
        <v>166</v>
      </c>
      <c r="Z131" s="10">
        <v>151</v>
      </c>
      <c r="AA131" s="10">
        <v>5</v>
      </c>
      <c r="AB131" s="10">
        <v>9.6999999999999993</v>
      </c>
      <c r="AC131" s="9" t="s">
        <v>178</v>
      </c>
      <c r="AD131" s="9" t="s">
        <v>185</v>
      </c>
      <c r="AE131" s="9" t="s">
        <v>198</v>
      </c>
      <c r="AF131" s="10"/>
      <c r="AG131" s="10"/>
    </row>
    <row r="132" spans="1:33">
      <c r="A132" s="7" t="s">
        <v>155</v>
      </c>
      <c r="B132" s="8" t="s">
        <v>156</v>
      </c>
      <c r="C132" s="9" t="s">
        <v>536</v>
      </c>
      <c r="D132" s="10">
        <v>158</v>
      </c>
      <c r="E132" s="9" t="s">
        <v>158</v>
      </c>
      <c r="F132" s="10">
        <v>158</v>
      </c>
      <c r="G132" s="10">
        <v>157.1</v>
      </c>
      <c r="H132" s="10">
        <v>118</v>
      </c>
      <c r="I132" s="10">
        <v>130</v>
      </c>
      <c r="J132" s="10">
        <v>115</v>
      </c>
      <c r="K132" s="10">
        <v>86</v>
      </c>
      <c r="L132" s="10">
        <v>103</v>
      </c>
      <c r="M132" s="10">
        <v>15.4</v>
      </c>
      <c r="N132" s="10">
        <v>1116</v>
      </c>
      <c r="O132" s="10">
        <v>1.34</v>
      </c>
      <c r="P132" s="10">
        <v>1490</v>
      </c>
      <c r="Q132" s="10">
        <v>150</v>
      </c>
      <c r="R132" s="10">
        <v>68</v>
      </c>
      <c r="S132" s="10">
        <v>52</v>
      </c>
      <c r="T132" s="10">
        <v>247</v>
      </c>
      <c r="U132" s="10">
        <v>11</v>
      </c>
      <c r="V132" s="10">
        <v>144</v>
      </c>
      <c r="W132" s="10">
        <v>0.216</v>
      </c>
      <c r="X132" s="10">
        <v>156</v>
      </c>
      <c r="Y132" s="10">
        <v>117</v>
      </c>
      <c r="Z132" s="10">
        <v>91</v>
      </c>
      <c r="AA132" s="10">
        <v>4</v>
      </c>
      <c r="AB132" s="10">
        <v>12.4</v>
      </c>
      <c r="AC132" s="9" t="s">
        <v>185</v>
      </c>
      <c r="AD132" s="9" t="s">
        <v>198</v>
      </c>
      <c r="AE132" s="10"/>
      <c r="AF132" s="10"/>
      <c r="AG132" s="10"/>
    </row>
    <row r="133" spans="1:33">
      <c r="A133" s="7" t="s">
        <v>155</v>
      </c>
      <c r="B133" s="8" t="s">
        <v>156</v>
      </c>
      <c r="C133" s="9" t="s">
        <v>536</v>
      </c>
      <c r="D133" s="10">
        <v>165</v>
      </c>
      <c r="E133" s="9" t="s">
        <v>158</v>
      </c>
      <c r="F133" s="10">
        <v>165</v>
      </c>
      <c r="G133" s="10">
        <v>164.1</v>
      </c>
      <c r="H133" s="10">
        <v>126</v>
      </c>
      <c r="I133" s="10">
        <v>135</v>
      </c>
      <c r="J133" s="10">
        <v>115</v>
      </c>
      <c r="K133" s="10">
        <v>85</v>
      </c>
      <c r="L133" s="10">
        <v>104</v>
      </c>
      <c r="M133" s="10">
        <v>16.600000000000001</v>
      </c>
      <c r="N133" s="10">
        <v>1180</v>
      </c>
      <c r="O133" s="10">
        <v>1.32</v>
      </c>
      <c r="P133" s="10">
        <v>1557</v>
      </c>
      <c r="Q133" s="10">
        <v>163</v>
      </c>
      <c r="R133" s="10">
        <v>68</v>
      </c>
      <c r="S133" s="10">
        <v>52</v>
      </c>
      <c r="T133" s="10">
        <v>245</v>
      </c>
      <c r="U133" s="10">
        <v>10</v>
      </c>
      <c r="V133" s="10">
        <v>140</v>
      </c>
      <c r="W133" s="10">
        <v>0.2</v>
      </c>
      <c r="X133" s="10">
        <v>172</v>
      </c>
      <c r="Y133" s="10">
        <v>118</v>
      </c>
      <c r="Z133" s="10">
        <v>74</v>
      </c>
      <c r="AA133" s="10">
        <v>7</v>
      </c>
      <c r="AB133" s="10">
        <v>12.5</v>
      </c>
      <c r="AC133" s="9" t="s">
        <v>185</v>
      </c>
      <c r="AD133" s="9" t="s">
        <v>198</v>
      </c>
      <c r="AE133" s="10"/>
      <c r="AF133" s="10"/>
      <c r="AG133" s="10"/>
    </row>
    <row r="134" spans="1:33">
      <c r="A134" s="7" t="s">
        <v>155</v>
      </c>
      <c r="B134" s="8" t="s">
        <v>156</v>
      </c>
      <c r="C134" s="9" t="s">
        <v>536</v>
      </c>
      <c r="D134" s="10">
        <v>179</v>
      </c>
      <c r="E134" s="9" t="s">
        <v>158</v>
      </c>
      <c r="F134" s="10">
        <v>179</v>
      </c>
      <c r="G134" s="10">
        <v>177.9</v>
      </c>
      <c r="H134" s="10">
        <v>139</v>
      </c>
      <c r="I134" s="10">
        <v>149</v>
      </c>
      <c r="J134" s="10">
        <v>118</v>
      </c>
      <c r="K134" s="10">
        <v>86</v>
      </c>
      <c r="L134" s="10">
        <v>106</v>
      </c>
      <c r="M134" s="10">
        <v>19.2</v>
      </c>
      <c r="N134" s="10">
        <v>1301</v>
      </c>
      <c r="O134" s="10">
        <v>1.31</v>
      </c>
      <c r="P134" s="10">
        <v>1700</v>
      </c>
      <c r="Q134" s="10">
        <v>215</v>
      </c>
      <c r="R134" s="10">
        <v>84</v>
      </c>
      <c r="S134" s="10">
        <v>50</v>
      </c>
      <c r="T134" s="10">
        <v>242</v>
      </c>
      <c r="U134" s="10">
        <v>13</v>
      </c>
      <c r="V134" s="10">
        <v>145</v>
      </c>
      <c r="W134" s="10">
        <v>0.255</v>
      </c>
      <c r="X134" s="10">
        <v>175</v>
      </c>
      <c r="Y134" s="10">
        <v>113</v>
      </c>
      <c r="Z134" s="10">
        <v>67</v>
      </c>
      <c r="AA134" s="10">
        <v>6</v>
      </c>
      <c r="AB134" s="10">
        <v>12.1</v>
      </c>
      <c r="AC134" s="9" t="s">
        <v>185</v>
      </c>
      <c r="AD134" s="9" t="s">
        <v>198</v>
      </c>
      <c r="AE134" s="10"/>
      <c r="AF134" s="10"/>
      <c r="AG134" s="10"/>
    </row>
    <row r="135" spans="1:33">
      <c r="A135" s="7" t="s">
        <v>155</v>
      </c>
      <c r="B135" s="8" t="s">
        <v>156</v>
      </c>
      <c r="C135" s="9" t="s">
        <v>389</v>
      </c>
      <c r="D135" s="10">
        <v>169</v>
      </c>
      <c r="E135" s="9" t="s">
        <v>158</v>
      </c>
      <c r="F135" s="10">
        <v>169</v>
      </c>
      <c r="G135" s="10">
        <v>167.5</v>
      </c>
      <c r="H135" s="10">
        <v>127</v>
      </c>
      <c r="I135" s="10">
        <v>138</v>
      </c>
      <c r="J135" s="10">
        <v>125</v>
      </c>
      <c r="K135" s="10">
        <v>93</v>
      </c>
      <c r="L135" s="10">
        <v>113</v>
      </c>
      <c r="M135" s="10">
        <v>17.3</v>
      </c>
      <c r="N135" s="10">
        <v>1331</v>
      </c>
      <c r="O135" s="10">
        <v>1.3</v>
      </c>
      <c r="P135" s="10">
        <v>1725</v>
      </c>
      <c r="Q135" s="10">
        <v>187</v>
      </c>
      <c r="R135" s="10">
        <v>85</v>
      </c>
      <c r="S135" s="10">
        <v>49</v>
      </c>
      <c r="T135" s="10">
        <v>243</v>
      </c>
      <c r="U135" s="10">
        <v>10</v>
      </c>
      <c r="V135" s="10">
        <v>159</v>
      </c>
      <c r="W135" s="10">
        <v>0.19600000000000001</v>
      </c>
      <c r="X135" s="10">
        <v>175</v>
      </c>
      <c r="Y135" s="10">
        <v>117</v>
      </c>
      <c r="Z135" s="10">
        <v>68</v>
      </c>
      <c r="AA135" s="10">
        <v>4</v>
      </c>
      <c r="AB135" s="10">
        <v>11.6</v>
      </c>
      <c r="AC135" s="9" t="s">
        <v>185</v>
      </c>
      <c r="AD135" s="9" t="s">
        <v>198</v>
      </c>
      <c r="AE135" s="10"/>
      <c r="AF135" s="10"/>
      <c r="AG135" s="10"/>
    </row>
    <row r="136" spans="1:33">
      <c r="A136" s="7" t="s">
        <v>155</v>
      </c>
      <c r="B136" s="8" t="s">
        <v>156</v>
      </c>
      <c r="C136" s="9" t="s">
        <v>389</v>
      </c>
      <c r="D136" s="10">
        <v>177</v>
      </c>
      <c r="E136" s="9" t="s">
        <v>158</v>
      </c>
      <c r="F136" s="10">
        <v>177</v>
      </c>
      <c r="G136" s="10">
        <v>176</v>
      </c>
      <c r="H136" s="10">
        <v>136</v>
      </c>
      <c r="I136" s="10">
        <v>146</v>
      </c>
      <c r="J136" s="10">
        <v>126</v>
      </c>
      <c r="K136" s="10">
        <v>93</v>
      </c>
      <c r="L136" s="10">
        <v>115</v>
      </c>
      <c r="M136" s="10">
        <v>18.2</v>
      </c>
      <c r="N136" s="10">
        <v>1416</v>
      </c>
      <c r="O136" s="10">
        <v>1.29</v>
      </c>
      <c r="P136" s="10">
        <v>1830</v>
      </c>
      <c r="Q136" s="10">
        <v>214</v>
      </c>
      <c r="R136" s="10">
        <v>92</v>
      </c>
      <c r="S136" s="10">
        <v>50</v>
      </c>
      <c r="T136" s="10">
        <v>243</v>
      </c>
      <c r="U136" s="10">
        <v>10</v>
      </c>
      <c r="V136" s="10">
        <v>160</v>
      </c>
      <c r="W136" s="10">
        <v>0.20899999999999999</v>
      </c>
      <c r="X136" s="10">
        <v>174</v>
      </c>
      <c r="Y136" s="10">
        <v>123</v>
      </c>
      <c r="Z136" s="10">
        <v>69</v>
      </c>
      <c r="AA136" s="10">
        <v>6</v>
      </c>
      <c r="AB136" s="10">
        <v>11.1</v>
      </c>
      <c r="AC136" s="9" t="s">
        <v>185</v>
      </c>
      <c r="AD136" s="9" t="s">
        <v>198</v>
      </c>
      <c r="AE136" s="10"/>
      <c r="AF136" s="10"/>
      <c r="AG136" s="10"/>
    </row>
    <row r="137" spans="1:33">
      <c r="A137" s="7" t="s">
        <v>155</v>
      </c>
      <c r="B137" s="8" t="s">
        <v>156</v>
      </c>
      <c r="C137" s="9" t="s">
        <v>829</v>
      </c>
      <c r="D137" s="10">
        <v>156</v>
      </c>
      <c r="E137" s="9" t="s">
        <v>158</v>
      </c>
      <c r="F137" s="10">
        <v>156</v>
      </c>
      <c r="G137" s="10">
        <v>155</v>
      </c>
      <c r="H137" s="10">
        <v>104</v>
      </c>
      <c r="I137" s="10">
        <v>121</v>
      </c>
      <c r="J137" s="10">
        <v>125</v>
      </c>
      <c r="K137" s="10">
        <v>96</v>
      </c>
      <c r="L137" s="10">
        <v>115</v>
      </c>
      <c r="M137" s="10">
        <v>12.9</v>
      </c>
      <c r="N137" s="10">
        <v>1110</v>
      </c>
      <c r="O137" s="10">
        <v>1.46</v>
      </c>
      <c r="P137" s="10">
        <v>1623</v>
      </c>
      <c r="Q137" s="10">
        <v>142</v>
      </c>
      <c r="R137" s="10">
        <v>64</v>
      </c>
      <c r="S137" s="10">
        <v>53</v>
      </c>
      <c r="T137" s="10">
        <v>296</v>
      </c>
      <c r="U137" s="10">
        <v>16</v>
      </c>
      <c r="V137" s="10">
        <v>214</v>
      </c>
      <c r="W137" s="10">
        <v>0.3</v>
      </c>
      <c r="X137" s="10">
        <v>179</v>
      </c>
      <c r="Y137" s="10">
        <v>156</v>
      </c>
      <c r="Z137" s="10">
        <v>117</v>
      </c>
      <c r="AA137" s="10">
        <v>3</v>
      </c>
      <c r="AB137" s="10">
        <v>8.4</v>
      </c>
      <c r="AC137" s="9" t="s">
        <v>185</v>
      </c>
      <c r="AD137" s="9" t="s">
        <v>198</v>
      </c>
      <c r="AE137" s="10"/>
      <c r="AF137" s="10"/>
      <c r="AG137" s="10"/>
    </row>
    <row r="138" spans="1:33">
      <c r="A138" s="7" t="s">
        <v>155</v>
      </c>
      <c r="B138" s="8" t="s">
        <v>156</v>
      </c>
      <c r="C138" s="9" t="s">
        <v>829</v>
      </c>
      <c r="D138" s="10">
        <v>164</v>
      </c>
      <c r="E138" s="9" t="s">
        <v>158</v>
      </c>
      <c r="F138" s="10">
        <v>164</v>
      </c>
      <c r="G138" s="10">
        <v>162.9</v>
      </c>
      <c r="H138" s="10">
        <v>110</v>
      </c>
      <c r="I138" s="10">
        <v>126</v>
      </c>
      <c r="J138" s="10">
        <v>126</v>
      </c>
      <c r="K138" s="10">
        <v>97</v>
      </c>
      <c r="L138" s="10">
        <v>116</v>
      </c>
      <c r="M138" s="10">
        <v>15</v>
      </c>
      <c r="N138" s="10">
        <v>1152</v>
      </c>
      <c r="O138" s="10">
        <v>1.49</v>
      </c>
      <c r="P138" s="10">
        <v>1722</v>
      </c>
      <c r="Q138" s="10">
        <v>155</v>
      </c>
      <c r="R138" s="10">
        <v>71</v>
      </c>
      <c r="S138" s="10">
        <v>56</v>
      </c>
      <c r="T138" s="10">
        <v>316</v>
      </c>
      <c r="U138" s="10">
        <v>18</v>
      </c>
      <c r="V138" s="10">
        <v>215</v>
      </c>
      <c r="W138" s="10">
        <v>0.32400000000000001</v>
      </c>
      <c r="X138" s="10">
        <v>201</v>
      </c>
      <c r="Y138" s="10">
        <v>168</v>
      </c>
      <c r="Z138" s="10">
        <v>115</v>
      </c>
      <c r="AA138" s="10">
        <v>3</v>
      </c>
      <c r="AB138" s="10">
        <v>8.1999999999999993</v>
      </c>
      <c r="AC138" s="9" t="s">
        <v>185</v>
      </c>
      <c r="AD138" s="9" t="s">
        <v>198</v>
      </c>
      <c r="AE138" s="10"/>
      <c r="AF138" s="10"/>
      <c r="AG138" s="10"/>
    </row>
    <row r="139" spans="1:33">
      <c r="A139" s="7" t="s">
        <v>155</v>
      </c>
      <c r="B139" s="8" t="s">
        <v>156</v>
      </c>
      <c r="C139" s="9" t="s">
        <v>257</v>
      </c>
      <c r="D139" s="10">
        <v>164</v>
      </c>
      <c r="E139" s="9" t="s">
        <v>158</v>
      </c>
      <c r="F139" s="10">
        <v>164</v>
      </c>
      <c r="G139" s="10">
        <v>163.4</v>
      </c>
      <c r="H139" s="10">
        <v>115</v>
      </c>
      <c r="I139" s="10">
        <v>129</v>
      </c>
      <c r="J139" s="10">
        <v>127</v>
      </c>
      <c r="K139" s="10">
        <v>99</v>
      </c>
      <c r="L139" s="10">
        <v>117</v>
      </c>
      <c r="M139" s="10">
        <v>16.3</v>
      </c>
      <c r="N139" s="10">
        <v>1568</v>
      </c>
      <c r="O139" s="10">
        <v>1.1100000000000001</v>
      </c>
      <c r="P139" s="10">
        <v>1733</v>
      </c>
      <c r="Q139" s="10">
        <v>165</v>
      </c>
      <c r="R139" s="10">
        <v>99</v>
      </c>
      <c r="S139" s="10">
        <v>48</v>
      </c>
      <c r="T139" s="10">
        <v>297</v>
      </c>
      <c r="U139" s="10">
        <v>30</v>
      </c>
      <c r="V139" s="10">
        <v>187</v>
      </c>
      <c r="W139" s="10">
        <v>0.61899999999999999</v>
      </c>
      <c r="X139" s="10">
        <v>187</v>
      </c>
      <c r="Y139" s="10">
        <v>160</v>
      </c>
      <c r="Z139" s="10">
        <v>110</v>
      </c>
      <c r="AA139" s="10">
        <v>8</v>
      </c>
      <c r="AB139" s="10">
        <v>7.9</v>
      </c>
      <c r="AC139" s="9" t="s">
        <v>188</v>
      </c>
      <c r="AD139" s="9" t="s">
        <v>185</v>
      </c>
      <c r="AE139" s="10"/>
      <c r="AF139" s="10"/>
      <c r="AG139" s="10"/>
    </row>
    <row r="140" spans="1:33">
      <c r="A140" s="7" t="s">
        <v>155</v>
      </c>
      <c r="B140" s="8" t="s">
        <v>156</v>
      </c>
      <c r="C140" s="9" t="s">
        <v>257</v>
      </c>
      <c r="D140" s="10">
        <v>172</v>
      </c>
      <c r="E140" s="9" t="s">
        <v>158</v>
      </c>
      <c r="F140" s="10">
        <v>172</v>
      </c>
      <c r="G140" s="10">
        <v>171.4</v>
      </c>
      <c r="H140" s="10">
        <v>124</v>
      </c>
      <c r="I140" s="10">
        <v>139</v>
      </c>
      <c r="J140" s="10">
        <v>128</v>
      </c>
      <c r="K140" s="10">
        <v>99</v>
      </c>
      <c r="L140" s="10">
        <v>118</v>
      </c>
      <c r="M140" s="10">
        <v>17.7</v>
      </c>
      <c r="N140" s="10">
        <v>1678</v>
      </c>
      <c r="O140" s="10">
        <v>1.0900000000000001</v>
      </c>
      <c r="P140" s="10">
        <v>1829</v>
      </c>
      <c r="Q140" s="10">
        <v>190</v>
      </c>
      <c r="R140" s="10">
        <v>108</v>
      </c>
      <c r="S140" s="10">
        <v>46</v>
      </c>
      <c r="T140" s="10">
        <v>293</v>
      </c>
      <c r="U140" s="10">
        <v>29</v>
      </c>
      <c r="V140" s="10">
        <v>182</v>
      </c>
      <c r="W140" s="10">
        <v>0.64300000000000002</v>
      </c>
      <c r="X140" s="10">
        <v>180</v>
      </c>
      <c r="Y140" s="10">
        <v>147</v>
      </c>
      <c r="Z140" s="10">
        <v>113</v>
      </c>
      <c r="AA140" s="10">
        <v>10</v>
      </c>
      <c r="AB140" s="10">
        <v>7.9</v>
      </c>
      <c r="AC140" s="9" t="s">
        <v>188</v>
      </c>
      <c r="AD140" s="9" t="s">
        <v>185</v>
      </c>
      <c r="AE140" s="10"/>
      <c r="AF140" s="10"/>
      <c r="AG140" s="10"/>
    </row>
    <row r="141" spans="1:33">
      <c r="A141" s="7" t="s">
        <v>155</v>
      </c>
      <c r="B141" s="8" t="s">
        <v>156</v>
      </c>
      <c r="C141" s="9" t="s">
        <v>257</v>
      </c>
      <c r="D141" s="10">
        <v>180</v>
      </c>
      <c r="E141" s="9" t="s">
        <v>158</v>
      </c>
      <c r="F141" s="10">
        <v>180</v>
      </c>
      <c r="G141" s="10">
        <v>179.3</v>
      </c>
      <c r="H141" s="10">
        <v>135</v>
      </c>
      <c r="I141" s="10">
        <v>146</v>
      </c>
      <c r="J141" s="10">
        <v>129</v>
      </c>
      <c r="K141" s="10">
        <v>99</v>
      </c>
      <c r="L141" s="10">
        <v>119</v>
      </c>
      <c r="M141" s="10">
        <v>19.600000000000001</v>
      </c>
      <c r="N141" s="10">
        <v>1763</v>
      </c>
      <c r="O141" s="10">
        <v>1.0900000000000001</v>
      </c>
      <c r="P141" s="10">
        <v>1921</v>
      </c>
      <c r="Q141" s="10">
        <v>208</v>
      </c>
      <c r="R141" s="10">
        <v>113</v>
      </c>
      <c r="S141" s="10">
        <v>45</v>
      </c>
      <c r="T141" s="10">
        <v>277</v>
      </c>
      <c r="U141" s="10">
        <v>26</v>
      </c>
      <c r="V141" s="10">
        <v>168</v>
      </c>
      <c r="W141" s="10">
        <v>0.58299999999999996</v>
      </c>
      <c r="X141" s="10">
        <v>184</v>
      </c>
      <c r="Y141" s="10">
        <v>147</v>
      </c>
      <c r="Z141" s="10">
        <v>94</v>
      </c>
      <c r="AA141" s="10">
        <v>12</v>
      </c>
      <c r="AB141" s="10">
        <v>8.1999999999999993</v>
      </c>
      <c r="AC141" s="9" t="s">
        <v>188</v>
      </c>
      <c r="AD141" s="9" t="s">
        <v>185</v>
      </c>
      <c r="AE141" s="10"/>
      <c r="AF141" s="10"/>
      <c r="AG141" s="10"/>
    </row>
    <row r="142" spans="1:33">
      <c r="A142" s="7" t="s">
        <v>155</v>
      </c>
      <c r="B142" s="8" t="s">
        <v>156</v>
      </c>
      <c r="C142" s="9" t="s">
        <v>257</v>
      </c>
      <c r="D142" s="10">
        <v>188</v>
      </c>
      <c r="E142" s="9" t="s">
        <v>158</v>
      </c>
      <c r="F142" s="10">
        <v>188</v>
      </c>
      <c r="G142" s="10">
        <v>187.2</v>
      </c>
      <c r="H142" s="10">
        <v>144</v>
      </c>
      <c r="I142" s="10">
        <v>155</v>
      </c>
      <c r="J142" s="10">
        <v>130</v>
      </c>
      <c r="K142" s="10">
        <v>99</v>
      </c>
      <c r="L142" s="10">
        <v>120</v>
      </c>
      <c r="M142" s="10">
        <v>21</v>
      </c>
      <c r="N142" s="10">
        <v>1877</v>
      </c>
      <c r="O142" s="10">
        <v>1.07</v>
      </c>
      <c r="P142" s="10">
        <v>2007</v>
      </c>
      <c r="Q142" s="10">
        <v>234</v>
      </c>
      <c r="R142" s="10">
        <v>135</v>
      </c>
      <c r="S142" s="10">
        <v>41</v>
      </c>
      <c r="T142" s="10">
        <v>270</v>
      </c>
      <c r="U142" s="10">
        <v>27</v>
      </c>
      <c r="V142" s="10">
        <v>165</v>
      </c>
      <c r="W142" s="10">
        <v>0.66500000000000004</v>
      </c>
      <c r="X142" s="10">
        <v>176</v>
      </c>
      <c r="Y142" s="10">
        <v>149</v>
      </c>
      <c r="Z142" s="10">
        <v>94</v>
      </c>
      <c r="AA142" s="10">
        <v>11</v>
      </c>
      <c r="AB142" s="10">
        <v>8.1</v>
      </c>
      <c r="AC142" s="9" t="s">
        <v>188</v>
      </c>
      <c r="AD142" s="9" t="s">
        <v>185</v>
      </c>
      <c r="AE142" s="10"/>
      <c r="AF142" s="10"/>
      <c r="AG142" s="10"/>
    </row>
    <row r="143" spans="1:33">
      <c r="A143" s="7" t="s">
        <v>155</v>
      </c>
      <c r="B143" s="8" t="s">
        <v>156</v>
      </c>
      <c r="C143" s="9" t="s">
        <v>696</v>
      </c>
      <c r="D143" s="10">
        <v>176</v>
      </c>
      <c r="E143" s="9" t="s">
        <v>158</v>
      </c>
      <c r="F143" s="10">
        <v>176</v>
      </c>
      <c r="G143" s="10">
        <v>174.7</v>
      </c>
      <c r="H143" s="10">
        <v>99</v>
      </c>
      <c r="I143" s="10">
        <v>123</v>
      </c>
      <c r="J143" s="10">
        <v>141</v>
      </c>
      <c r="K143" s="10">
        <v>119</v>
      </c>
      <c r="L143" s="10">
        <v>132</v>
      </c>
      <c r="M143" s="10">
        <v>18.8</v>
      </c>
      <c r="N143" s="10">
        <v>1779</v>
      </c>
      <c r="O143" s="10">
        <v>1.21</v>
      </c>
      <c r="P143" s="10">
        <v>2159</v>
      </c>
      <c r="Q143" s="10">
        <v>217</v>
      </c>
      <c r="R143" s="10">
        <v>91</v>
      </c>
      <c r="S143" s="10">
        <v>55</v>
      </c>
      <c r="T143" s="10">
        <v>399</v>
      </c>
      <c r="U143" s="10">
        <v>52</v>
      </c>
      <c r="V143" s="10">
        <v>362</v>
      </c>
      <c r="W143" s="10">
        <v>0.95799999999999996</v>
      </c>
      <c r="X143" s="10">
        <v>215</v>
      </c>
      <c r="Y143" s="10">
        <v>302</v>
      </c>
      <c r="Z143" s="10">
        <v>184</v>
      </c>
      <c r="AA143" s="10">
        <v>4</v>
      </c>
      <c r="AB143" s="10">
        <v>3.1</v>
      </c>
      <c r="AC143" s="9" t="s">
        <v>184</v>
      </c>
      <c r="AD143" s="9" t="s">
        <v>169</v>
      </c>
      <c r="AE143" s="9" t="s">
        <v>185</v>
      </c>
      <c r="AF143" s="10"/>
      <c r="AG143" s="10"/>
    </row>
    <row r="144" spans="1:33">
      <c r="A144" s="7" t="s">
        <v>155</v>
      </c>
      <c r="B144" s="8" t="s">
        <v>156</v>
      </c>
      <c r="C144" s="9" t="s">
        <v>696</v>
      </c>
      <c r="D144" s="10">
        <v>184</v>
      </c>
      <c r="E144" s="9" t="s">
        <v>158</v>
      </c>
      <c r="F144" s="10">
        <v>184</v>
      </c>
      <c r="G144" s="10">
        <v>182.6</v>
      </c>
      <c r="H144" s="10">
        <v>107</v>
      </c>
      <c r="I144" s="10">
        <v>137</v>
      </c>
      <c r="J144" s="10">
        <v>142</v>
      </c>
      <c r="K144" s="10">
        <v>119</v>
      </c>
      <c r="L144" s="10">
        <v>133</v>
      </c>
      <c r="M144" s="10">
        <v>20.2</v>
      </c>
      <c r="N144" s="10">
        <v>1816</v>
      </c>
      <c r="O144" s="10">
        <v>1.25</v>
      </c>
      <c r="P144" s="10">
        <v>2262</v>
      </c>
      <c r="Q144" s="10">
        <v>255</v>
      </c>
      <c r="R144" s="10">
        <v>103</v>
      </c>
      <c r="S144" s="10">
        <v>54</v>
      </c>
      <c r="T144" s="10">
        <v>395</v>
      </c>
      <c r="U144" s="10">
        <v>53</v>
      </c>
      <c r="V144" s="10">
        <v>359</v>
      </c>
      <c r="W144" s="10">
        <v>0.98799999999999999</v>
      </c>
      <c r="X144" s="10">
        <v>204</v>
      </c>
      <c r="Y144" s="10">
        <v>255</v>
      </c>
      <c r="Z144" s="10">
        <v>191</v>
      </c>
      <c r="AA144" s="10">
        <v>5</v>
      </c>
      <c r="AB144" s="10">
        <v>3.9</v>
      </c>
      <c r="AC144" s="9" t="s">
        <v>184</v>
      </c>
      <c r="AD144" s="9" t="s">
        <v>169</v>
      </c>
      <c r="AE144" s="9" t="s">
        <v>185</v>
      </c>
      <c r="AF144" s="10"/>
      <c r="AG144" s="10"/>
    </row>
    <row r="145" spans="1:33">
      <c r="A145" s="7" t="s">
        <v>155</v>
      </c>
      <c r="B145" s="8" t="s">
        <v>156</v>
      </c>
      <c r="C145" s="9" t="s">
        <v>696</v>
      </c>
      <c r="D145" s="10">
        <v>192</v>
      </c>
      <c r="E145" s="9" t="s">
        <v>158</v>
      </c>
      <c r="F145" s="10">
        <v>192</v>
      </c>
      <c r="G145" s="10">
        <v>188.1</v>
      </c>
      <c r="H145" s="10">
        <v>115</v>
      </c>
      <c r="I145" s="10">
        <v>143</v>
      </c>
      <c r="J145" s="10">
        <v>143</v>
      </c>
      <c r="K145" s="10">
        <v>119</v>
      </c>
      <c r="L145" s="10">
        <v>134</v>
      </c>
      <c r="M145" s="10">
        <v>21.4</v>
      </c>
      <c r="N145" s="10">
        <v>1970</v>
      </c>
      <c r="O145" s="10">
        <v>1.19</v>
      </c>
      <c r="P145" s="10">
        <v>2341</v>
      </c>
      <c r="Q145" s="10">
        <v>275</v>
      </c>
      <c r="R145" s="10">
        <v>115</v>
      </c>
      <c r="S145" s="10">
        <v>56</v>
      </c>
      <c r="T145" s="10">
        <v>398</v>
      </c>
      <c r="U145" s="10">
        <v>42</v>
      </c>
      <c r="V145" s="10">
        <v>329</v>
      </c>
      <c r="W145" s="10">
        <v>0.76200000000000001</v>
      </c>
      <c r="X145" s="10">
        <v>204</v>
      </c>
      <c r="Y145" s="10">
        <v>252</v>
      </c>
      <c r="Z145" s="10">
        <v>194</v>
      </c>
      <c r="AA145" s="10">
        <v>5</v>
      </c>
      <c r="AB145" s="10">
        <v>6.5</v>
      </c>
      <c r="AC145" s="9" t="s">
        <v>169</v>
      </c>
      <c r="AD145" s="9" t="s">
        <v>185</v>
      </c>
      <c r="AE145" s="10"/>
      <c r="AF145" s="10"/>
      <c r="AG145" s="10"/>
    </row>
    <row r="146" spans="1:33">
      <c r="A146" s="7" t="s">
        <v>155</v>
      </c>
      <c r="B146" s="8" t="s">
        <v>156</v>
      </c>
      <c r="C146" s="9" t="s">
        <v>784</v>
      </c>
      <c r="D146" s="10">
        <v>140</v>
      </c>
      <c r="E146" s="9" t="s">
        <v>385</v>
      </c>
      <c r="F146" s="10">
        <v>140</v>
      </c>
      <c r="G146" s="10">
        <v>139.6</v>
      </c>
      <c r="H146" s="10">
        <v>101</v>
      </c>
      <c r="I146" s="10">
        <v>121</v>
      </c>
      <c r="J146" s="10">
        <v>121</v>
      </c>
      <c r="K146" s="10">
        <v>83</v>
      </c>
      <c r="L146" s="10">
        <v>111</v>
      </c>
      <c r="M146" s="10">
        <v>10.8</v>
      </c>
      <c r="N146" s="10">
        <v>1483</v>
      </c>
      <c r="O146" s="10">
        <v>0.9</v>
      </c>
      <c r="P146" s="10">
        <v>1331</v>
      </c>
      <c r="Q146" s="10">
        <v>114</v>
      </c>
      <c r="R146" s="10">
        <v>62</v>
      </c>
      <c r="S146" s="10">
        <v>40</v>
      </c>
      <c r="T146" s="10">
        <v>198</v>
      </c>
      <c r="U146" s="10">
        <v>30</v>
      </c>
      <c r="V146" s="10">
        <v>186</v>
      </c>
      <c r="W146" s="10">
        <v>0.75900000000000001</v>
      </c>
      <c r="X146" s="10">
        <v>89</v>
      </c>
      <c r="Y146" s="10">
        <v>93</v>
      </c>
      <c r="Z146" s="10">
        <v>109</v>
      </c>
      <c r="AA146" s="10">
        <v>4</v>
      </c>
      <c r="AB146" s="10">
        <v>3.7</v>
      </c>
      <c r="AC146" s="9" t="s">
        <v>188</v>
      </c>
      <c r="AD146" s="10"/>
      <c r="AE146" s="10"/>
      <c r="AF146" s="10"/>
      <c r="AG146" s="10"/>
    </row>
    <row r="147" spans="1:33">
      <c r="A147" s="7" t="s">
        <v>155</v>
      </c>
      <c r="B147" s="8" t="s">
        <v>156</v>
      </c>
      <c r="C147" s="9" t="s">
        <v>784</v>
      </c>
      <c r="D147" s="10">
        <v>150</v>
      </c>
      <c r="E147" s="9" t="s">
        <v>385</v>
      </c>
      <c r="F147" s="10">
        <v>150</v>
      </c>
      <c r="G147" s="10">
        <v>149.80000000000001</v>
      </c>
      <c r="H147" s="10">
        <v>118</v>
      </c>
      <c r="I147" s="10">
        <v>131</v>
      </c>
      <c r="J147" s="10">
        <v>121</v>
      </c>
      <c r="K147" s="10">
        <v>83</v>
      </c>
      <c r="L147" s="10">
        <v>110</v>
      </c>
      <c r="M147" s="10">
        <v>12.9</v>
      </c>
      <c r="N147" s="10">
        <v>1631</v>
      </c>
      <c r="O147" s="10">
        <v>0.87</v>
      </c>
      <c r="P147" s="10">
        <v>1427</v>
      </c>
      <c r="Q147" s="10">
        <v>137</v>
      </c>
      <c r="R147" s="10">
        <v>63</v>
      </c>
      <c r="S147" s="10">
        <v>41</v>
      </c>
      <c r="T147" s="10">
        <v>182</v>
      </c>
      <c r="U147" s="10">
        <v>29</v>
      </c>
      <c r="V147" s="10">
        <v>133</v>
      </c>
      <c r="W147" s="10">
        <v>0.69899999999999995</v>
      </c>
      <c r="X147" s="10">
        <v>89</v>
      </c>
      <c r="Y147" s="10">
        <v>98</v>
      </c>
      <c r="Z147" s="10">
        <v>93</v>
      </c>
      <c r="AA147" s="10">
        <v>7</v>
      </c>
      <c r="AB147" s="10">
        <v>5</v>
      </c>
      <c r="AC147" s="9" t="s">
        <v>188</v>
      </c>
      <c r="AD147" s="10"/>
      <c r="AE147" s="10"/>
      <c r="AF147" s="10"/>
      <c r="AG147" s="10"/>
    </row>
    <row r="148" spans="1:33">
      <c r="A148" s="7" t="s">
        <v>155</v>
      </c>
      <c r="B148" s="8" t="s">
        <v>156</v>
      </c>
      <c r="C148" s="9" t="s">
        <v>715</v>
      </c>
      <c r="D148" s="10">
        <v>160</v>
      </c>
      <c r="E148" s="9" t="s">
        <v>163</v>
      </c>
      <c r="F148" s="10">
        <v>160</v>
      </c>
      <c r="G148" s="10">
        <v>159.30000000000001</v>
      </c>
      <c r="H148" s="10">
        <v>138</v>
      </c>
      <c r="I148" s="10">
        <v>145</v>
      </c>
      <c r="J148" s="10">
        <v>122</v>
      </c>
      <c r="K148" s="10">
        <v>74</v>
      </c>
      <c r="L148" s="10">
        <v>106</v>
      </c>
      <c r="M148" s="10">
        <v>13</v>
      </c>
      <c r="N148" s="10">
        <v>1544</v>
      </c>
      <c r="O148" s="10">
        <v>0.92</v>
      </c>
      <c r="P148" s="10">
        <v>1425</v>
      </c>
      <c r="Q148" s="10">
        <v>180</v>
      </c>
      <c r="R148" s="10">
        <v>65</v>
      </c>
      <c r="S148" s="10">
        <v>39</v>
      </c>
      <c r="T148" s="10">
        <v>149</v>
      </c>
      <c r="U148" s="10">
        <v>5</v>
      </c>
      <c r="V148" s="10">
        <v>59</v>
      </c>
      <c r="W148" s="10">
        <v>0.121</v>
      </c>
      <c r="X148" s="10">
        <v>83</v>
      </c>
      <c r="Y148" s="10">
        <v>56</v>
      </c>
      <c r="Z148" s="10">
        <v>66</v>
      </c>
      <c r="AA148" s="10">
        <v>3</v>
      </c>
      <c r="AB148" s="10">
        <v>13.2</v>
      </c>
      <c r="AC148" s="9" t="s">
        <v>349</v>
      </c>
      <c r="AD148" s="10"/>
      <c r="AE148" s="10"/>
      <c r="AF148" s="10"/>
      <c r="AG148" s="10"/>
    </row>
    <row r="149" spans="1:33">
      <c r="A149" s="7" t="s">
        <v>155</v>
      </c>
      <c r="B149" s="8" t="s">
        <v>156</v>
      </c>
      <c r="C149" s="9" t="s">
        <v>845</v>
      </c>
      <c r="D149" s="10">
        <v>147</v>
      </c>
      <c r="E149" s="9" t="s">
        <v>163</v>
      </c>
      <c r="F149" s="10">
        <v>147</v>
      </c>
      <c r="G149" s="10">
        <v>146.6</v>
      </c>
      <c r="H149" s="10">
        <v>127</v>
      </c>
      <c r="I149" s="10">
        <v>134</v>
      </c>
      <c r="J149" s="10">
        <v>107</v>
      </c>
      <c r="K149" s="10">
        <v>69</v>
      </c>
      <c r="L149" s="10">
        <v>95</v>
      </c>
      <c r="M149" s="10">
        <v>13.1</v>
      </c>
      <c r="N149" s="10">
        <v>1663</v>
      </c>
      <c r="O149" s="10">
        <v>0.72</v>
      </c>
      <c r="P149" s="10">
        <v>1193</v>
      </c>
      <c r="Q149" s="10">
        <v>134</v>
      </c>
      <c r="R149" s="10">
        <v>45</v>
      </c>
      <c r="S149" s="10">
        <v>36</v>
      </c>
      <c r="T149" s="10">
        <v>140</v>
      </c>
      <c r="U149" s="10">
        <v>4</v>
      </c>
      <c r="V149" s="10">
        <v>52</v>
      </c>
      <c r="W149" s="10">
        <v>0.11700000000000001</v>
      </c>
      <c r="X149" s="10">
        <v>80</v>
      </c>
      <c r="Y149" s="10">
        <v>49</v>
      </c>
      <c r="Z149" s="10">
        <v>60</v>
      </c>
      <c r="AA149" s="10">
        <v>7</v>
      </c>
      <c r="AB149" s="10">
        <v>12.3</v>
      </c>
      <c r="AC149" s="9" t="s">
        <v>349</v>
      </c>
      <c r="AD149" s="10"/>
      <c r="AE149" s="10"/>
      <c r="AF149" s="10"/>
      <c r="AG149" s="10"/>
    </row>
    <row r="150" spans="1:33">
      <c r="A150" s="7" t="s">
        <v>155</v>
      </c>
      <c r="B150" s="8" t="s">
        <v>156</v>
      </c>
      <c r="C150" s="9" t="s">
        <v>845</v>
      </c>
      <c r="D150" s="10">
        <v>154</v>
      </c>
      <c r="E150" s="9" t="s">
        <v>163</v>
      </c>
      <c r="F150" s="10">
        <v>154</v>
      </c>
      <c r="G150" s="10">
        <v>153.6</v>
      </c>
      <c r="H150" s="10">
        <v>134</v>
      </c>
      <c r="I150" s="10">
        <v>140</v>
      </c>
      <c r="J150" s="10">
        <v>109</v>
      </c>
      <c r="K150" s="10">
        <v>69</v>
      </c>
      <c r="L150" s="10">
        <v>97</v>
      </c>
      <c r="M150" s="10">
        <v>13.8</v>
      </c>
      <c r="N150" s="10">
        <v>1767</v>
      </c>
      <c r="O150" s="10">
        <v>0.71</v>
      </c>
      <c r="P150" s="10">
        <v>1256</v>
      </c>
      <c r="Q150" s="10">
        <v>158</v>
      </c>
      <c r="R150" s="10">
        <v>52</v>
      </c>
      <c r="S150" s="10">
        <v>37</v>
      </c>
      <c r="T150" s="10">
        <v>143</v>
      </c>
      <c r="U150" s="10">
        <v>5</v>
      </c>
      <c r="V150" s="10">
        <v>56</v>
      </c>
      <c r="W150" s="10">
        <v>0.123</v>
      </c>
      <c r="X150" s="10">
        <v>84</v>
      </c>
      <c r="Y150" s="10">
        <v>53</v>
      </c>
      <c r="Z150" s="10">
        <v>59</v>
      </c>
      <c r="AA150" s="10">
        <v>6</v>
      </c>
      <c r="AB150" s="10">
        <v>12.4</v>
      </c>
      <c r="AC150" s="9" t="s">
        <v>349</v>
      </c>
      <c r="AD150" s="10"/>
      <c r="AE150" s="10"/>
      <c r="AF150" s="10"/>
      <c r="AG150" s="10"/>
    </row>
    <row r="151" spans="1:33">
      <c r="A151" s="7" t="s">
        <v>155</v>
      </c>
      <c r="B151" s="8" t="s">
        <v>156</v>
      </c>
      <c r="C151" s="9" t="s">
        <v>845</v>
      </c>
      <c r="D151" s="10">
        <v>161</v>
      </c>
      <c r="E151" s="9" t="s">
        <v>163</v>
      </c>
      <c r="F151" s="10">
        <v>161</v>
      </c>
      <c r="G151" s="10">
        <v>160.30000000000001</v>
      </c>
      <c r="H151" s="10">
        <v>141</v>
      </c>
      <c r="I151" s="10">
        <v>147</v>
      </c>
      <c r="J151" s="10">
        <v>110</v>
      </c>
      <c r="K151" s="10">
        <v>69</v>
      </c>
      <c r="L151" s="10">
        <v>99</v>
      </c>
      <c r="M151" s="10">
        <v>14.5</v>
      </c>
      <c r="N151" s="10">
        <v>1803</v>
      </c>
      <c r="O151" s="10">
        <v>0.73</v>
      </c>
      <c r="P151" s="10">
        <v>1319</v>
      </c>
      <c r="Q151" s="10">
        <v>163</v>
      </c>
      <c r="R151" s="10">
        <v>56</v>
      </c>
      <c r="S151" s="10">
        <v>38</v>
      </c>
      <c r="T151" s="10">
        <v>145</v>
      </c>
      <c r="U151" s="10">
        <v>4</v>
      </c>
      <c r="V151" s="10">
        <v>50</v>
      </c>
      <c r="W151" s="10">
        <v>9.7000000000000003E-2</v>
      </c>
      <c r="X151" s="10">
        <v>80</v>
      </c>
      <c r="Y151" s="10">
        <v>53</v>
      </c>
      <c r="Z151" s="10">
        <v>65</v>
      </c>
      <c r="AA151" s="10">
        <v>8</v>
      </c>
      <c r="AB151" s="10">
        <v>12.5</v>
      </c>
      <c r="AC151" s="9" t="s">
        <v>349</v>
      </c>
      <c r="AD151" s="10"/>
      <c r="AE151" s="10"/>
      <c r="AF151" s="10"/>
      <c r="AG151" s="10"/>
    </row>
    <row r="152" spans="1:33">
      <c r="A152" s="7" t="s">
        <v>155</v>
      </c>
      <c r="B152" s="8" t="s">
        <v>156</v>
      </c>
      <c r="C152" s="9" t="s">
        <v>587</v>
      </c>
      <c r="D152" s="10">
        <v>143</v>
      </c>
      <c r="E152" s="9" t="s">
        <v>163</v>
      </c>
      <c r="F152" s="10">
        <v>143</v>
      </c>
      <c r="G152" s="10">
        <v>142.9</v>
      </c>
      <c r="H152" s="10">
        <v>125</v>
      </c>
      <c r="I152" s="10">
        <v>129</v>
      </c>
      <c r="J152" s="10">
        <v>108</v>
      </c>
      <c r="K152" s="10">
        <v>72</v>
      </c>
      <c r="L152" s="10">
        <v>94</v>
      </c>
      <c r="M152" s="10">
        <v>13.7</v>
      </c>
      <c r="N152" s="10">
        <v>1478</v>
      </c>
      <c r="O152" s="10">
        <v>0.8</v>
      </c>
      <c r="P152" s="10">
        <v>1189</v>
      </c>
      <c r="Q152" s="10">
        <v>119</v>
      </c>
      <c r="R152" s="10">
        <v>57</v>
      </c>
      <c r="S152" s="10">
        <v>32</v>
      </c>
      <c r="T152" s="10">
        <v>133</v>
      </c>
      <c r="U152" s="10">
        <v>4</v>
      </c>
      <c r="V152" s="10">
        <v>48</v>
      </c>
      <c r="W152" s="10">
        <v>0.11700000000000001</v>
      </c>
      <c r="X152" s="10">
        <v>89</v>
      </c>
      <c r="Y152" s="10">
        <v>52</v>
      </c>
      <c r="Z152" s="10">
        <v>45</v>
      </c>
      <c r="AA152" s="10">
        <v>11</v>
      </c>
      <c r="AB152" s="10">
        <v>12.6</v>
      </c>
      <c r="AC152" s="9" t="s">
        <v>349</v>
      </c>
      <c r="AD152" s="10"/>
      <c r="AE152" s="10"/>
      <c r="AF152" s="10"/>
      <c r="AG152" s="10"/>
    </row>
    <row r="153" spans="1:33">
      <c r="A153" s="7" t="s">
        <v>155</v>
      </c>
      <c r="B153" s="8" t="s">
        <v>156</v>
      </c>
      <c r="C153" s="9" t="s">
        <v>587</v>
      </c>
      <c r="D153" s="10">
        <v>150</v>
      </c>
      <c r="E153" s="9" t="s">
        <v>163</v>
      </c>
      <c r="F153" s="10">
        <v>150</v>
      </c>
      <c r="G153" s="10">
        <v>149.69999999999999</v>
      </c>
      <c r="H153" s="10">
        <v>132</v>
      </c>
      <c r="I153" s="10">
        <v>135</v>
      </c>
      <c r="J153" s="10">
        <v>110</v>
      </c>
      <c r="K153" s="10">
        <v>71</v>
      </c>
      <c r="L153" s="10">
        <v>96</v>
      </c>
      <c r="M153" s="10">
        <v>14.2</v>
      </c>
      <c r="N153" s="10">
        <v>1528</v>
      </c>
      <c r="O153" s="10">
        <v>0.82</v>
      </c>
      <c r="P153" s="10">
        <v>1247</v>
      </c>
      <c r="Q153" s="10">
        <v>128</v>
      </c>
      <c r="R153" s="10">
        <v>67</v>
      </c>
      <c r="S153" s="10">
        <v>30</v>
      </c>
      <c r="T153" s="10">
        <v>134</v>
      </c>
      <c r="U153" s="10">
        <v>4</v>
      </c>
      <c r="V153" s="10">
        <v>47</v>
      </c>
      <c r="W153" s="10">
        <v>0.11899999999999999</v>
      </c>
      <c r="X153" s="10">
        <v>95</v>
      </c>
      <c r="Y153" s="10">
        <v>55</v>
      </c>
      <c r="Z153" s="10">
        <v>38</v>
      </c>
      <c r="AA153" s="10">
        <v>11</v>
      </c>
      <c r="AB153" s="10">
        <v>12.1</v>
      </c>
      <c r="AC153" s="9" t="s">
        <v>349</v>
      </c>
      <c r="AD153" s="9" t="s">
        <v>231</v>
      </c>
      <c r="AE153" s="10"/>
      <c r="AF153" s="10"/>
      <c r="AG153" s="10"/>
    </row>
    <row r="154" spans="1:33">
      <c r="A154" s="7" t="s">
        <v>155</v>
      </c>
      <c r="B154" s="8" t="s">
        <v>156</v>
      </c>
      <c r="C154" s="9" t="s">
        <v>587</v>
      </c>
      <c r="D154" s="10">
        <v>157</v>
      </c>
      <c r="E154" s="9" t="s">
        <v>163</v>
      </c>
      <c r="F154" s="10">
        <v>157</v>
      </c>
      <c r="G154" s="10">
        <v>156.9</v>
      </c>
      <c r="H154" s="10">
        <v>138</v>
      </c>
      <c r="I154" s="10">
        <v>142</v>
      </c>
      <c r="J154" s="10">
        <v>112</v>
      </c>
      <c r="K154" s="10">
        <v>72</v>
      </c>
      <c r="L154" s="10">
        <v>98</v>
      </c>
      <c r="M154" s="10">
        <v>14.8</v>
      </c>
      <c r="N154" s="10">
        <v>1646</v>
      </c>
      <c r="O154" s="10">
        <v>0.81</v>
      </c>
      <c r="P154" s="10">
        <v>1328</v>
      </c>
      <c r="Q154" s="10">
        <v>150</v>
      </c>
      <c r="R154" s="10">
        <v>75</v>
      </c>
      <c r="S154" s="10">
        <v>32</v>
      </c>
      <c r="T154" s="10">
        <v>138</v>
      </c>
      <c r="U154" s="10">
        <v>4</v>
      </c>
      <c r="V154" s="10">
        <v>48</v>
      </c>
      <c r="W154" s="10">
        <v>0.127</v>
      </c>
      <c r="X154" s="10">
        <v>94</v>
      </c>
      <c r="Y154" s="10">
        <v>54</v>
      </c>
      <c r="Z154" s="10">
        <v>44</v>
      </c>
      <c r="AA154" s="10">
        <v>11</v>
      </c>
      <c r="AB154" s="10">
        <v>12.4</v>
      </c>
      <c r="AC154" s="9" t="s">
        <v>349</v>
      </c>
      <c r="AD154" s="10"/>
      <c r="AE154" s="10"/>
      <c r="AF154" s="10"/>
      <c r="AG154" s="10"/>
    </row>
    <row r="155" spans="1:33">
      <c r="A155" s="7" t="s">
        <v>155</v>
      </c>
      <c r="B155" s="8" t="s">
        <v>156</v>
      </c>
      <c r="C155" s="9" t="s">
        <v>587</v>
      </c>
      <c r="D155" s="10">
        <v>164</v>
      </c>
      <c r="E155" s="9" t="s">
        <v>163</v>
      </c>
      <c r="F155" s="10">
        <v>164</v>
      </c>
      <c r="G155" s="10">
        <v>163.5</v>
      </c>
      <c r="H155" s="10">
        <v>146</v>
      </c>
      <c r="I155" s="10">
        <v>148</v>
      </c>
      <c r="J155" s="10">
        <v>114</v>
      </c>
      <c r="K155" s="10">
        <v>72</v>
      </c>
      <c r="L155" s="10">
        <v>101</v>
      </c>
      <c r="M155" s="10">
        <v>15.4</v>
      </c>
      <c r="N155" s="10">
        <v>1747</v>
      </c>
      <c r="O155" s="10">
        <v>0.8</v>
      </c>
      <c r="P155" s="10">
        <v>1399</v>
      </c>
      <c r="Q155" s="10">
        <v>163</v>
      </c>
      <c r="R155" s="10">
        <v>79</v>
      </c>
      <c r="S155" s="10">
        <v>30</v>
      </c>
      <c r="T155" s="10">
        <v>132</v>
      </c>
      <c r="U155" s="10">
        <v>3</v>
      </c>
      <c r="V155" s="10">
        <v>47</v>
      </c>
      <c r="W155" s="10">
        <v>0.111</v>
      </c>
      <c r="X155" s="10">
        <v>93</v>
      </c>
      <c r="Y155" s="10">
        <v>57</v>
      </c>
      <c r="Z155" s="10">
        <v>39</v>
      </c>
      <c r="AA155" s="10">
        <v>15</v>
      </c>
      <c r="AB155" s="10">
        <v>12.5</v>
      </c>
      <c r="AC155" s="9" t="s">
        <v>349</v>
      </c>
      <c r="AD155" s="10"/>
      <c r="AE155" s="10"/>
      <c r="AF155" s="10"/>
      <c r="AG155" s="10"/>
    </row>
    <row r="156" spans="1:33">
      <c r="A156" s="7" t="s">
        <v>155</v>
      </c>
      <c r="B156" s="8" t="s">
        <v>156</v>
      </c>
      <c r="C156" s="9" t="s">
        <v>703</v>
      </c>
      <c r="D156" s="10">
        <v>147</v>
      </c>
      <c r="E156" s="9" t="s">
        <v>163</v>
      </c>
      <c r="F156" s="10">
        <v>147</v>
      </c>
      <c r="G156" s="10">
        <v>146</v>
      </c>
      <c r="H156" s="10">
        <v>95</v>
      </c>
      <c r="I156" s="10">
        <v>121</v>
      </c>
      <c r="J156" s="10">
        <v>118</v>
      </c>
      <c r="K156" s="10">
        <v>85</v>
      </c>
      <c r="L156" s="10">
        <v>101</v>
      </c>
      <c r="M156" s="10">
        <v>13.6</v>
      </c>
      <c r="N156" s="10">
        <v>1280</v>
      </c>
      <c r="O156" s="10">
        <v>1.0900000000000001</v>
      </c>
      <c r="P156" s="10">
        <v>1391</v>
      </c>
      <c r="Q156" s="10">
        <v>173</v>
      </c>
      <c r="R156" s="10">
        <v>73</v>
      </c>
      <c r="S156" s="10">
        <v>52</v>
      </c>
      <c r="T156" s="10">
        <v>303</v>
      </c>
      <c r="U156" s="10">
        <v>14</v>
      </c>
      <c r="V156" s="10">
        <v>206</v>
      </c>
      <c r="W156" s="10">
        <v>0.27300000000000002</v>
      </c>
      <c r="X156" s="10">
        <v>158</v>
      </c>
      <c r="Y156" s="10">
        <v>94</v>
      </c>
      <c r="Z156" s="10">
        <v>144</v>
      </c>
      <c r="AA156" s="10">
        <v>2</v>
      </c>
      <c r="AB156" s="10">
        <v>8.3000000000000007</v>
      </c>
      <c r="AC156" s="9" t="s">
        <v>231</v>
      </c>
      <c r="AD156" s="9" t="s">
        <v>188</v>
      </c>
      <c r="AE156" s="9" t="s">
        <v>185</v>
      </c>
      <c r="AF156" s="10"/>
      <c r="AG156" s="10"/>
    </row>
    <row r="157" spans="1:33">
      <c r="A157" s="7" t="s">
        <v>155</v>
      </c>
      <c r="B157" s="8" t="s">
        <v>156</v>
      </c>
      <c r="C157" s="9" t="s">
        <v>703</v>
      </c>
      <c r="D157" s="10">
        <v>153</v>
      </c>
      <c r="E157" s="9" t="s">
        <v>163</v>
      </c>
      <c r="F157" s="10">
        <v>153</v>
      </c>
      <c r="G157" s="10">
        <v>152.1</v>
      </c>
      <c r="H157" s="10">
        <v>104</v>
      </c>
      <c r="I157" s="10">
        <v>127</v>
      </c>
      <c r="J157" s="10">
        <v>120</v>
      </c>
      <c r="K157" s="10">
        <v>86</v>
      </c>
      <c r="L157" s="10">
        <v>103</v>
      </c>
      <c r="M157" s="10">
        <v>14.2</v>
      </c>
      <c r="N157" s="10">
        <v>1338</v>
      </c>
      <c r="O157" s="10">
        <v>1.1000000000000001</v>
      </c>
      <c r="P157" s="10">
        <v>1467</v>
      </c>
      <c r="Q157" s="10">
        <v>184</v>
      </c>
      <c r="R157" s="10">
        <v>76</v>
      </c>
      <c r="S157" s="10">
        <v>47</v>
      </c>
      <c r="T157" s="10">
        <v>284</v>
      </c>
      <c r="U157" s="10">
        <v>13</v>
      </c>
      <c r="V157" s="10">
        <v>200</v>
      </c>
      <c r="W157" s="10">
        <v>0.27200000000000002</v>
      </c>
      <c r="X157" s="10">
        <v>153</v>
      </c>
      <c r="Y157" s="10">
        <v>102</v>
      </c>
      <c r="Z157" s="10">
        <v>131</v>
      </c>
      <c r="AA157" s="10">
        <v>3</v>
      </c>
      <c r="AB157" s="10">
        <v>8.3000000000000007</v>
      </c>
      <c r="AC157" s="9" t="s">
        <v>188</v>
      </c>
      <c r="AD157" s="9" t="s">
        <v>185</v>
      </c>
      <c r="AE157" s="10"/>
      <c r="AF157" s="10"/>
      <c r="AG157" s="10"/>
    </row>
    <row r="158" spans="1:33">
      <c r="A158" s="7" t="s">
        <v>155</v>
      </c>
      <c r="B158" s="8" t="s">
        <v>156</v>
      </c>
      <c r="C158" s="9" t="s">
        <v>703</v>
      </c>
      <c r="D158" s="10">
        <v>161</v>
      </c>
      <c r="E158" s="9" t="s">
        <v>163</v>
      </c>
      <c r="F158" s="10">
        <v>161</v>
      </c>
      <c r="G158" s="10">
        <v>160.19999999999999</v>
      </c>
      <c r="H158" s="10">
        <v>113</v>
      </c>
      <c r="I158" s="10">
        <v>133</v>
      </c>
      <c r="J158" s="10">
        <v>121</v>
      </c>
      <c r="K158" s="10">
        <v>86</v>
      </c>
      <c r="L158" s="10">
        <v>104</v>
      </c>
      <c r="M158" s="10">
        <v>16</v>
      </c>
      <c r="N158" s="10">
        <v>1403</v>
      </c>
      <c r="O158" s="10">
        <v>1.1100000000000001</v>
      </c>
      <c r="P158" s="10">
        <v>1551</v>
      </c>
      <c r="Q158" s="10">
        <v>191</v>
      </c>
      <c r="R158" s="10">
        <v>82</v>
      </c>
      <c r="S158" s="10">
        <v>48</v>
      </c>
      <c r="T158" s="10">
        <v>277</v>
      </c>
      <c r="U158" s="10">
        <v>12</v>
      </c>
      <c r="V158" s="10">
        <v>191</v>
      </c>
      <c r="W158" s="10">
        <v>0.255</v>
      </c>
      <c r="X158" s="10">
        <v>166</v>
      </c>
      <c r="Y158" s="10">
        <v>104</v>
      </c>
      <c r="Z158" s="10">
        <v>111</v>
      </c>
      <c r="AA158" s="10">
        <v>4</v>
      </c>
      <c r="AB158" s="10">
        <v>8.6999999999999993</v>
      </c>
      <c r="AC158" s="9" t="s">
        <v>188</v>
      </c>
      <c r="AD158" s="9" t="s">
        <v>185</v>
      </c>
      <c r="AE158" s="10"/>
      <c r="AF158" s="10"/>
      <c r="AG158" s="10"/>
    </row>
    <row r="159" spans="1:33">
      <c r="A159" s="7" t="s">
        <v>155</v>
      </c>
      <c r="B159" s="8" t="s">
        <v>156</v>
      </c>
      <c r="C159" s="9" t="s">
        <v>647</v>
      </c>
      <c r="D159" s="10">
        <v>153</v>
      </c>
      <c r="E159" s="9" t="s">
        <v>163</v>
      </c>
      <c r="F159" s="10">
        <v>153</v>
      </c>
      <c r="G159" s="10">
        <v>152</v>
      </c>
      <c r="H159" s="10">
        <v>102</v>
      </c>
      <c r="I159" s="10">
        <v>126</v>
      </c>
      <c r="J159" s="10">
        <v>120</v>
      </c>
      <c r="K159" s="10">
        <v>86</v>
      </c>
      <c r="L159" s="10">
        <v>103</v>
      </c>
      <c r="M159" s="10">
        <v>14.1</v>
      </c>
      <c r="N159" s="10">
        <v>1332</v>
      </c>
      <c r="O159" s="10">
        <v>1.1000000000000001</v>
      </c>
      <c r="P159" s="10">
        <v>1465</v>
      </c>
      <c r="Q159" s="10">
        <v>178</v>
      </c>
      <c r="R159" s="10">
        <v>75</v>
      </c>
      <c r="S159" s="10">
        <v>49</v>
      </c>
      <c r="T159" s="10">
        <v>292</v>
      </c>
      <c r="U159" s="10">
        <v>13</v>
      </c>
      <c r="V159" s="10">
        <v>205</v>
      </c>
      <c r="W159" s="10">
        <v>0.27100000000000002</v>
      </c>
      <c r="X159" s="10">
        <v>157</v>
      </c>
      <c r="Y159" s="10">
        <v>103</v>
      </c>
      <c r="Z159" s="10">
        <v>135</v>
      </c>
      <c r="AA159" s="10">
        <v>2</v>
      </c>
      <c r="AB159" s="10">
        <v>8.5</v>
      </c>
      <c r="AC159" s="9" t="s">
        <v>188</v>
      </c>
      <c r="AD159" s="9" t="s">
        <v>185</v>
      </c>
      <c r="AE159" s="10"/>
      <c r="AF159" s="10"/>
      <c r="AG159" s="10"/>
    </row>
    <row r="160" spans="1:33">
      <c r="A160" s="7" t="s">
        <v>155</v>
      </c>
      <c r="B160" s="8" t="s">
        <v>156</v>
      </c>
      <c r="C160" s="9" t="s">
        <v>647</v>
      </c>
      <c r="D160" s="10">
        <v>161</v>
      </c>
      <c r="E160" s="9" t="s">
        <v>163</v>
      </c>
      <c r="F160" s="10">
        <v>161</v>
      </c>
      <c r="G160" s="10">
        <v>160.30000000000001</v>
      </c>
      <c r="H160" s="10">
        <v>112</v>
      </c>
      <c r="I160" s="10">
        <v>133</v>
      </c>
      <c r="J160" s="10">
        <v>122</v>
      </c>
      <c r="K160" s="10">
        <v>86</v>
      </c>
      <c r="L160" s="10">
        <v>104</v>
      </c>
      <c r="M160" s="10">
        <v>15.6</v>
      </c>
      <c r="N160" s="10">
        <v>1424</v>
      </c>
      <c r="O160" s="10">
        <v>1.0900000000000001</v>
      </c>
      <c r="P160" s="10">
        <v>1557</v>
      </c>
      <c r="Q160" s="10">
        <v>202</v>
      </c>
      <c r="R160" s="10">
        <v>85</v>
      </c>
      <c r="S160" s="10">
        <v>45</v>
      </c>
      <c r="T160" s="10">
        <v>280</v>
      </c>
      <c r="U160" s="10">
        <v>13</v>
      </c>
      <c r="V160" s="10">
        <v>208</v>
      </c>
      <c r="W160" s="10">
        <v>0.28799999999999998</v>
      </c>
      <c r="X160" s="10">
        <v>166</v>
      </c>
      <c r="Y160" s="10">
        <v>108</v>
      </c>
      <c r="Z160" s="10">
        <v>114</v>
      </c>
      <c r="AA160" s="10">
        <v>2</v>
      </c>
      <c r="AB160" s="10">
        <v>8.9</v>
      </c>
      <c r="AC160" s="9" t="s">
        <v>188</v>
      </c>
      <c r="AD160" s="9" t="s">
        <v>185</v>
      </c>
      <c r="AE160" s="10"/>
      <c r="AF160" s="10"/>
      <c r="AG160" s="10"/>
    </row>
    <row r="161" spans="1:33">
      <c r="A161" s="7" t="s">
        <v>155</v>
      </c>
      <c r="B161" s="8" t="s">
        <v>156</v>
      </c>
      <c r="C161" s="9" t="s">
        <v>247</v>
      </c>
      <c r="D161" s="10">
        <v>156</v>
      </c>
      <c r="E161" s="9" t="s">
        <v>163</v>
      </c>
      <c r="F161" s="10">
        <v>156</v>
      </c>
      <c r="G161" s="10">
        <v>155.19999999999999</v>
      </c>
      <c r="H161" s="10">
        <v>105</v>
      </c>
      <c r="I161" s="10">
        <v>126</v>
      </c>
      <c r="J161" s="10">
        <v>124</v>
      </c>
      <c r="K161" s="10">
        <v>92</v>
      </c>
      <c r="L161" s="10">
        <v>108</v>
      </c>
      <c r="M161" s="10">
        <v>15</v>
      </c>
      <c r="N161" s="10">
        <v>1407</v>
      </c>
      <c r="O161" s="10">
        <v>1.1299999999999999</v>
      </c>
      <c r="P161" s="10">
        <v>1583</v>
      </c>
      <c r="Q161" s="10">
        <v>171</v>
      </c>
      <c r="R161" s="10">
        <v>86</v>
      </c>
      <c r="S161" s="10">
        <v>51</v>
      </c>
      <c r="T161" s="10">
        <v>304</v>
      </c>
      <c r="U161" s="10">
        <v>15</v>
      </c>
      <c r="V161" s="10">
        <v>200</v>
      </c>
      <c r="W161" s="10">
        <v>0.28599999999999998</v>
      </c>
      <c r="X161" s="10">
        <v>167</v>
      </c>
      <c r="Y161" s="10">
        <v>125</v>
      </c>
      <c r="Z161" s="10">
        <v>137</v>
      </c>
      <c r="AA161" s="10">
        <v>3</v>
      </c>
      <c r="AB161" s="10">
        <v>8.6</v>
      </c>
      <c r="AC161" s="9" t="s">
        <v>188</v>
      </c>
      <c r="AD161" s="9" t="s">
        <v>185</v>
      </c>
      <c r="AE161" s="10"/>
      <c r="AF161" s="10"/>
      <c r="AG161" s="10"/>
    </row>
    <row r="162" spans="1:33">
      <c r="A162" s="7" t="s">
        <v>155</v>
      </c>
      <c r="B162" s="8" t="s">
        <v>156</v>
      </c>
      <c r="C162" s="9" t="s">
        <v>247</v>
      </c>
      <c r="D162" s="10">
        <v>164</v>
      </c>
      <c r="E162" s="9" t="s">
        <v>163</v>
      </c>
      <c r="F162" s="10">
        <v>164</v>
      </c>
      <c r="G162" s="10">
        <v>163.4</v>
      </c>
      <c r="H162" s="10">
        <v>113</v>
      </c>
      <c r="I162" s="10">
        <v>134</v>
      </c>
      <c r="J162" s="10">
        <v>125</v>
      </c>
      <c r="K162" s="10">
        <v>92</v>
      </c>
      <c r="L162" s="10">
        <v>109</v>
      </c>
      <c r="M162" s="10">
        <v>16.600000000000001</v>
      </c>
      <c r="N162" s="10">
        <v>1489</v>
      </c>
      <c r="O162" s="10">
        <v>1.1200000000000001</v>
      </c>
      <c r="P162" s="10">
        <v>1669</v>
      </c>
      <c r="Q162" s="10">
        <v>218</v>
      </c>
      <c r="R162" s="10">
        <v>87</v>
      </c>
      <c r="S162" s="10">
        <v>53</v>
      </c>
      <c r="T162" s="10">
        <v>303</v>
      </c>
      <c r="U162" s="10">
        <v>13</v>
      </c>
      <c r="V162" s="10">
        <v>197</v>
      </c>
      <c r="W162" s="10">
        <v>0.255</v>
      </c>
      <c r="X162" s="10">
        <v>163</v>
      </c>
      <c r="Y162" s="10">
        <v>135</v>
      </c>
      <c r="Z162" s="10">
        <v>140</v>
      </c>
      <c r="AA162" s="10">
        <v>4</v>
      </c>
      <c r="AB162" s="10">
        <v>9.5</v>
      </c>
      <c r="AC162" s="9" t="s">
        <v>188</v>
      </c>
      <c r="AD162" s="9" t="s">
        <v>185</v>
      </c>
      <c r="AE162" s="10"/>
      <c r="AF162" s="10"/>
      <c r="AG162" s="10"/>
    </row>
    <row r="163" spans="1:33">
      <c r="A163" s="7" t="s">
        <v>155</v>
      </c>
      <c r="B163" s="8" t="s">
        <v>156</v>
      </c>
      <c r="C163" s="9" t="s">
        <v>247</v>
      </c>
      <c r="D163" s="10">
        <v>172</v>
      </c>
      <c r="E163" s="9" t="s">
        <v>163</v>
      </c>
      <c r="F163" s="10">
        <v>172</v>
      </c>
      <c r="G163" s="10">
        <v>171.4</v>
      </c>
      <c r="H163" s="10">
        <v>122</v>
      </c>
      <c r="I163" s="10">
        <v>140</v>
      </c>
      <c r="J163" s="10">
        <v>127</v>
      </c>
      <c r="K163" s="10">
        <v>92</v>
      </c>
      <c r="L163" s="10">
        <v>110</v>
      </c>
      <c r="M163" s="10">
        <v>17.899999999999999</v>
      </c>
      <c r="N163" s="10">
        <v>1642</v>
      </c>
      <c r="O163" s="10">
        <v>1.07</v>
      </c>
      <c r="P163" s="10">
        <v>1761</v>
      </c>
      <c r="Q163" s="10">
        <v>219</v>
      </c>
      <c r="R163" s="10">
        <v>107</v>
      </c>
      <c r="S163" s="10">
        <v>52</v>
      </c>
      <c r="T163" s="10">
        <v>297</v>
      </c>
      <c r="U163" s="10">
        <v>14</v>
      </c>
      <c r="V163" s="10">
        <v>194</v>
      </c>
      <c r="W163" s="10">
        <v>0.26900000000000002</v>
      </c>
      <c r="X163" s="10">
        <v>183</v>
      </c>
      <c r="Y163" s="10">
        <v>133</v>
      </c>
      <c r="Z163" s="10">
        <v>114</v>
      </c>
      <c r="AA163" s="10">
        <v>5</v>
      </c>
      <c r="AB163" s="10">
        <v>8.8000000000000007</v>
      </c>
      <c r="AC163" s="9" t="s">
        <v>188</v>
      </c>
      <c r="AD163" s="9" t="s">
        <v>185</v>
      </c>
      <c r="AE163" s="10"/>
      <c r="AF163" s="10"/>
      <c r="AG163" s="10"/>
    </row>
    <row r="164" spans="1:33">
      <c r="A164" s="7" t="s">
        <v>155</v>
      </c>
      <c r="B164" s="8" t="s">
        <v>156</v>
      </c>
      <c r="C164" s="9" t="s">
        <v>718</v>
      </c>
      <c r="D164" s="10">
        <v>172</v>
      </c>
      <c r="E164" s="9" t="s">
        <v>158</v>
      </c>
      <c r="F164" s="10">
        <v>172</v>
      </c>
      <c r="G164" s="10">
        <v>171.4</v>
      </c>
      <c r="H164" s="10">
        <v>122</v>
      </c>
      <c r="I164" s="10">
        <v>136</v>
      </c>
      <c r="J164" s="10">
        <v>127</v>
      </c>
      <c r="K164" s="10">
        <v>98</v>
      </c>
      <c r="L164" s="10">
        <v>117</v>
      </c>
      <c r="M164" s="10">
        <v>17.8</v>
      </c>
      <c r="N164" s="10">
        <v>1629</v>
      </c>
      <c r="O164" s="10">
        <v>1.1200000000000001</v>
      </c>
      <c r="P164" s="10">
        <v>1830</v>
      </c>
      <c r="Q164" s="10">
        <v>203</v>
      </c>
      <c r="R164" s="10">
        <v>150</v>
      </c>
      <c r="S164" s="10">
        <v>56</v>
      </c>
      <c r="T164" s="10">
        <v>294</v>
      </c>
      <c r="U164" s="10">
        <v>17</v>
      </c>
      <c r="V164" s="10">
        <v>203</v>
      </c>
      <c r="W164" s="10">
        <v>0.31</v>
      </c>
      <c r="X164" s="10">
        <v>189</v>
      </c>
      <c r="Y164" s="10">
        <v>164</v>
      </c>
      <c r="Z164" s="10">
        <v>105</v>
      </c>
      <c r="AA164" s="10">
        <v>7</v>
      </c>
      <c r="AB164" s="10">
        <v>9.8000000000000007</v>
      </c>
      <c r="AC164" s="9" t="s">
        <v>188</v>
      </c>
      <c r="AD164" s="9" t="s">
        <v>185</v>
      </c>
      <c r="AE164" s="10"/>
      <c r="AF164" s="10"/>
      <c r="AG164" s="10"/>
    </row>
    <row r="165" spans="1:33">
      <c r="A165" s="7" t="s">
        <v>155</v>
      </c>
      <c r="B165" s="8" t="s">
        <v>156</v>
      </c>
      <c r="C165" s="9" t="s">
        <v>718</v>
      </c>
      <c r="D165" s="10">
        <v>180</v>
      </c>
      <c r="E165" s="9" t="s">
        <v>158</v>
      </c>
      <c r="F165" s="10">
        <v>180</v>
      </c>
      <c r="G165" s="10">
        <v>178</v>
      </c>
      <c r="H165" s="10">
        <v>129</v>
      </c>
      <c r="I165" s="10">
        <v>144</v>
      </c>
      <c r="J165" s="10">
        <v>128</v>
      </c>
      <c r="K165" s="10">
        <v>99</v>
      </c>
      <c r="L165" s="10">
        <v>118</v>
      </c>
      <c r="M165" s="10">
        <v>19.8</v>
      </c>
      <c r="N165" s="10">
        <v>1744</v>
      </c>
      <c r="O165" s="10">
        <v>1.1000000000000001</v>
      </c>
      <c r="P165" s="10">
        <v>1914</v>
      </c>
      <c r="Q165" s="10">
        <v>227</v>
      </c>
      <c r="R165" s="10">
        <v>166</v>
      </c>
      <c r="S165" s="10">
        <v>60</v>
      </c>
      <c r="T165" s="10">
        <v>293</v>
      </c>
      <c r="U165" s="10">
        <v>18</v>
      </c>
      <c r="V165" s="10">
        <v>199</v>
      </c>
      <c r="W165" s="10">
        <v>0.29899999999999999</v>
      </c>
      <c r="X165" s="10">
        <v>180</v>
      </c>
      <c r="Y165" s="10">
        <v>163</v>
      </c>
      <c r="Z165" s="10">
        <v>114</v>
      </c>
      <c r="AA165" s="10">
        <v>7</v>
      </c>
      <c r="AB165" s="10">
        <v>9.1999999999999993</v>
      </c>
      <c r="AC165" s="9" t="s">
        <v>188</v>
      </c>
      <c r="AD165" s="9" t="s">
        <v>185</v>
      </c>
      <c r="AE165" s="10"/>
      <c r="AF165" s="10"/>
      <c r="AG165" s="10"/>
    </row>
    <row r="166" spans="1:33">
      <c r="A166" s="7" t="s">
        <v>155</v>
      </c>
      <c r="B166" s="8" t="s">
        <v>156</v>
      </c>
      <c r="C166" s="9" t="s">
        <v>718</v>
      </c>
      <c r="D166" s="10">
        <v>188</v>
      </c>
      <c r="E166" s="9" t="s">
        <v>158</v>
      </c>
      <c r="F166" s="10">
        <v>188</v>
      </c>
      <c r="G166" s="10">
        <v>187</v>
      </c>
      <c r="H166" s="10">
        <v>132</v>
      </c>
      <c r="I166" s="10">
        <v>149</v>
      </c>
      <c r="J166" s="10">
        <v>129</v>
      </c>
      <c r="K166" s="10">
        <v>100</v>
      </c>
      <c r="L166" s="10">
        <v>120</v>
      </c>
      <c r="M166" s="10">
        <v>21.5</v>
      </c>
      <c r="N166" s="10">
        <v>1810</v>
      </c>
      <c r="O166" s="10">
        <v>1.1200000000000001</v>
      </c>
      <c r="P166" s="10">
        <v>2023</v>
      </c>
      <c r="Q166" s="10">
        <v>265</v>
      </c>
      <c r="R166" s="10">
        <v>173</v>
      </c>
      <c r="S166" s="10">
        <v>69</v>
      </c>
      <c r="T166" s="10">
        <v>329</v>
      </c>
      <c r="U166" s="10">
        <v>19</v>
      </c>
      <c r="V166" s="10">
        <v>224</v>
      </c>
      <c r="W166" s="10">
        <v>0.28100000000000003</v>
      </c>
      <c r="X166" s="10">
        <v>212</v>
      </c>
      <c r="Y166" s="10">
        <v>164</v>
      </c>
      <c r="Z166" s="10">
        <v>117</v>
      </c>
      <c r="AA166" s="10">
        <v>6</v>
      </c>
      <c r="AB166" s="10">
        <v>10.8</v>
      </c>
      <c r="AC166" s="9" t="s">
        <v>188</v>
      </c>
      <c r="AD166" s="9" t="s">
        <v>185</v>
      </c>
      <c r="AE166" s="10"/>
      <c r="AF166" s="10"/>
      <c r="AG166" s="10"/>
    </row>
    <row r="167" spans="1:33">
      <c r="A167" s="7" t="s">
        <v>155</v>
      </c>
      <c r="B167" s="8" t="s">
        <v>156</v>
      </c>
      <c r="C167" s="9" t="s">
        <v>689</v>
      </c>
      <c r="D167" s="10">
        <v>157</v>
      </c>
      <c r="E167" s="9" t="s">
        <v>158</v>
      </c>
      <c r="F167" s="10">
        <v>157</v>
      </c>
      <c r="G167" s="10">
        <v>155.80000000000001</v>
      </c>
      <c r="H167" s="10">
        <v>127</v>
      </c>
      <c r="I167" s="10">
        <v>136</v>
      </c>
      <c r="J167" s="10">
        <v>119</v>
      </c>
      <c r="K167" s="10">
        <v>82</v>
      </c>
      <c r="L167" s="10">
        <v>103</v>
      </c>
      <c r="M167" s="10">
        <v>14.3</v>
      </c>
      <c r="N167" s="10">
        <v>1696</v>
      </c>
      <c r="O167" s="10">
        <v>0.86</v>
      </c>
      <c r="P167" s="10">
        <v>1459</v>
      </c>
      <c r="Q167" s="10">
        <v>152</v>
      </c>
      <c r="R167" s="10">
        <v>63</v>
      </c>
      <c r="S167" s="10">
        <v>42</v>
      </c>
      <c r="T167" s="10">
        <v>177</v>
      </c>
      <c r="U167" s="10">
        <v>21</v>
      </c>
      <c r="V167" s="10">
        <v>113</v>
      </c>
      <c r="W167" s="10">
        <v>0.504</v>
      </c>
      <c r="X167" s="10">
        <v>113</v>
      </c>
      <c r="Y167" s="10">
        <v>88</v>
      </c>
      <c r="Z167" s="10">
        <v>63</v>
      </c>
      <c r="AA167" s="10">
        <v>11</v>
      </c>
      <c r="AB167" s="10">
        <v>8.1999999999999993</v>
      </c>
      <c r="AC167" s="9" t="s">
        <v>188</v>
      </c>
      <c r="AD167" s="10"/>
      <c r="AE167" s="10"/>
      <c r="AF167" s="10"/>
      <c r="AG167" s="10"/>
    </row>
    <row r="168" spans="1:33">
      <c r="A168" s="7" t="s">
        <v>155</v>
      </c>
      <c r="B168" s="8" t="s">
        <v>156</v>
      </c>
      <c r="C168" s="9" t="s">
        <v>689</v>
      </c>
      <c r="D168" s="10">
        <v>165</v>
      </c>
      <c r="E168" s="9" t="s">
        <v>158</v>
      </c>
      <c r="F168" s="10">
        <v>165</v>
      </c>
      <c r="G168" s="10">
        <v>163.80000000000001</v>
      </c>
      <c r="H168" s="10">
        <v>132</v>
      </c>
      <c r="I168" s="10">
        <v>142</v>
      </c>
      <c r="J168" s="10">
        <v>121</v>
      </c>
      <c r="K168" s="10">
        <v>81</v>
      </c>
      <c r="L168" s="10">
        <v>105</v>
      </c>
      <c r="M168" s="10">
        <v>14.9</v>
      </c>
      <c r="N168" s="10">
        <v>1825</v>
      </c>
      <c r="O168" s="10">
        <v>0.84</v>
      </c>
      <c r="P168" s="10">
        <v>1542</v>
      </c>
      <c r="Q168" s="10">
        <v>165</v>
      </c>
      <c r="R168" s="10">
        <v>71</v>
      </c>
      <c r="S168" s="10">
        <v>44</v>
      </c>
      <c r="T168" s="10">
        <v>196</v>
      </c>
      <c r="U168" s="10">
        <v>23</v>
      </c>
      <c r="V168" s="10">
        <v>118</v>
      </c>
      <c r="W168" s="10">
        <v>0.51700000000000002</v>
      </c>
      <c r="X168" s="10">
        <v>124</v>
      </c>
      <c r="Y168" s="10">
        <v>90</v>
      </c>
      <c r="Z168" s="10">
        <v>73</v>
      </c>
      <c r="AA168" s="10">
        <v>8</v>
      </c>
      <c r="AB168" s="10">
        <v>8.1</v>
      </c>
      <c r="AC168" s="9" t="s">
        <v>188</v>
      </c>
      <c r="AD168" s="10"/>
      <c r="AE168" s="10"/>
      <c r="AF168" s="10"/>
      <c r="AG168" s="10"/>
    </row>
    <row r="169" spans="1:33">
      <c r="A169" s="7" t="s">
        <v>155</v>
      </c>
      <c r="B169" s="8" t="s">
        <v>156</v>
      </c>
      <c r="C169" s="9" t="s">
        <v>689</v>
      </c>
      <c r="D169" s="10">
        <v>173</v>
      </c>
      <c r="E169" s="9" t="s">
        <v>158</v>
      </c>
      <c r="F169" s="10">
        <v>173</v>
      </c>
      <c r="G169" s="10">
        <v>171.9</v>
      </c>
      <c r="H169" s="10">
        <v>141</v>
      </c>
      <c r="I169" s="10">
        <v>151</v>
      </c>
      <c r="J169" s="10">
        <v>122</v>
      </c>
      <c r="K169" s="10">
        <v>81</v>
      </c>
      <c r="L169" s="10">
        <v>106</v>
      </c>
      <c r="M169" s="10">
        <v>15.7</v>
      </c>
      <c r="N169" s="10">
        <v>1980</v>
      </c>
      <c r="O169" s="10">
        <v>0.82</v>
      </c>
      <c r="P169" s="10">
        <v>1626</v>
      </c>
      <c r="Q169" s="10">
        <v>199</v>
      </c>
      <c r="R169" s="10">
        <v>87</v>
      </c>
      <c r="S169" s="10">
        <v>41</v>
      </c>
      <c r="T169" s="10">
        <v>191</v>
      </c>
      <c r="U169" s="10">
        <v>22</v>
      </c>
      <c r="V169" s="10">
        <v>117</v>
      </c>
      <c r="W169" s="10">
        <v>0.54100000000000004</v>
      </c>
      <c r="X169" s="10">
        <v>116</v>
      </c>
      <c r="Y169" s="10">
        <v>92</v>
      </c>
      <c r="Z169" s="10">
        <v>75</v>
      </c>
      <c r="AA169" s="10">
        <v>11</v>
      </c>
      <c r="AB169" s="10">
        <v>8.3000000000000007</v>
      </c>
      <c r="AC169" s="9" t="s">
        <v>188</v>
      </c>
      <c r="AD169" s="10"/>
      <c r="AE169" s="10"/>
      <c r="AF169" s="10"/>
      <c r="AG169" s="10"/>
    </row>
    <row r="170" spans="1:33">
      <c r="A170" s="7" t="s">
        <v>155</v>
      </c>
      <c r="B170" s="8" t="s">
        <v>156</v>
      </c>
      <c r="C170" s="9" t="s">
        <v>689</v>
      </c>
      <c r="D170" s="10">
        <v>181</v>
      </c>
      <c r="E170" s="9" t="s">
        <v>158</v>
      </c>
      <c r="F170" s="10">
        <v>181</v>
      </c>
      <c r="G170" s="10">
        <v>179.6</v>
      </c>
      <c r="H170" s="10">
        <v>151</v>
      </c>
      <c r="I170" s="10">
        <v>159</v>
      </c>
      <c r="J170" s="10">
        <v>123</v>
      </c>
      <c r="K170" s="10">
        <v>81</v>
      </c>
      <c r="L170" s="10">
        <v>107</v>
      </c>
      <c r="M170" s="10">
        <v>16.899999999999999</v>
      </c>
      <c r="N170" s="10">
        <v>2079</v>
      </c>
      <c r="O170" s="10">
        <v>0.82</v>
      </c>
      <c r="P170" s="10">
        <v>1704</v>
      </c>
      <c r="Q170" s="10">
        <v>213</v>
      </c>
      <c r="R170" s="10">
        <v>102</v>
      </c>
      <c r="S170" s="10">
        <v>42</v>
      </c>
      <c r="T170" s="10">
        <v>178</v>
      </c>
      <c r="U170" s="10">
        <v>21</v>
      </c>
      <c r="V170" s="10">
        <v>111</v>
      </c>
      <c r="W170" s="10">
        <v>0.495</v>
      </c>
      <c r="X170" s="10">
        <v>112</v>
      </c>
      <c r="Y170" s="10">
        <v>91</v>
      </c>
      <c r="Z170" s="10">
        <v>66</v>
      </c>
      <c r="AA170" s="10">
        <v>13</v>
      </c>
      <c r="AB170" s="10">
        <v>8.5</v>
      </c>
      <c r="AC170" s="9" t="s">
        <v>188</v>
      </c>
      <c r="AD170" s="10"/>
      <c r="AE170" s="10"/>
      <c r="AF170" s="10"/>
      <c r="AG170" s="10"/>
    </row>
    <row r="171" spans="1:33">
      <c r="A171" s="7" t="s">
        <v>155</v>
      </c>
      <c r="B171" s="8" t="s">
        <v>156</v>
      </c>
      <c r="C171" s="9" t="s">
        <v>267</v>
      </c>
      <c r="D171" s="10">
        <v>161</v>
      </c>
      <c r="E171" s="9" t="s">
        <v>158</v>
      </c>
      <c r="F171" s="10">
        <v>161</v>
      </c>
      <c r="G171" s="10">
        <v>160.1</v>
      </c>
      <c r="H171" s="10">
        <v>114</v>
      </c>
      <c r="I171" s="10">
        <v>135</v>
      </c>
      <c r="J171" s="10">
        <v>121</v>
      </c>
      <c r="K171" s="10">
        <v>86</v>
      </c>
      <c r="L171" s="10">
        <v>104</v>
      </c>
      <c r="M171" s="10">
        <v>15.6</v>
      </c>
      <c r="N171" s="10">
        <v>1400</v>
      </c>
      <c r="O171" s="10">
        <v>1.1100000000000001</v>
      </c>
      <c r="P171" s="10">
        <v>1548</v>
      </c>
      <c r="Q171" s="10">
        <v>180</v>
      </c>
      <c r="R171" s="10">
        <v>86</v>
      </c>
      <c r="S171" s="10">
        <v>48</v>
      </c>
      <c r="T171" s="10">
        <v>282</v>
      </c>
      <c r="U171" s="10">
        <v>11</v>
      </c>
      <c r="V171" s="10">
        <v>183</v>
      </c>
      <c r="W171" s="10">
        <v>0.22500000000000001</v>
      </c>
      <c r="X171" s="10">
        <v>153</v>
      </c>
      <c r="Y171" s="10">
        <v>103</v>
      </c>
      <c r="Z171" s="10">
        <v>128</v>
      </c>
      <c r="AA171" s="10">
        <v>5</v>
      </c>
      <c r="AB171" s="10">
        <v>8.8000000000000007</v>
      </c>
      <c r="AC171" s="9" t="s">
        <v>188</v>
      </c>
      <c r="AD171" s="9" t="s">
        <v>185</v>
      </c>
      <c r="AE171" s="10"/>
      <c r="AF171" s="10"/>
      <c r="AG171" s="10"/>
    </row>
    <row r="172" spans="1:33">
      <c r="A172" s="7" t="s">
        <v>155</v>
      </c>
      <c r="B172" s="8" t="s">
        <v>156</v>
      </c>
      <c r="C172" s="9" t="s">
        <v>267</v>
      </c>
      <c r="D172" s="10">
        <v>169</v>
      </c>
      <c r="E172" s="9" t="s">
        <v>158</v>
      </c>
      <c r="F172" s="10">
        <v>169</v>
      </c>
      <c r="G172" s="10">
        <v>168.3</v>
      </c>
      <c r="H172" s="10">
        <v>117</v>
      </c>
      <c r="I172" s="10">
        <v>142</v>
      </c>
      <c r="J172" s="10">
        <v>122</v>
      </c>
      <c r="K172" s="10">
        <v>86</v>
      </c>
      <c r="L172" s="10">
        <v>106</v>
      </c>
      <c r="M172" s="10">
        <v>17</v>
      </c>
      <c r="N172" s="10">
        <v>1462</v>
      </c>
      <c r="O172" s="10">
        <v>1.1200000000000001</v>
      </c>
      <c r="P172" s="10">
        <v>1634</v>
      </c>
      <c r="Q172" s="10">
        <v>188</v>
      </c>
      <c r="R172" s="10">
        <v>87</v>
      </c>
      <c r="S172" s="10">
        <v>50</v>
      </c>
      <c r="T172" s="10">
        <v>299</v>
      </c>
      <c r="U172" s="10">
        <v>15</v>
      </c>
      <c r="V172" s="10">
        <v>215</v>
      </c>
      <c r="W172" s="10">
        <v>0.29499999999999998</v>
      </c>
      <c r="X172" s="10">
        <v>166</v>
      </c>
      <c r="Y172" s="10">
        <v>100</v>
      </c>
      <c r="Z172" s="10">
        <v>133</v>
      </c>
      <c r="AA172" s="10">
        <v>2</v>
      </c>
      <c r="AB172" s="10">
        <v>8.9</v>
      </c>
      <c r="AC172" s="9" t="s">
        <v>188</v>
      </c>
      <c r="AD172" s="9" t="s">
        <v>185</v>
      </c>
      <c r="AE172" s="10"/>
      <c r="AF172" s="10"/>
      <c r="AG172" s="10"/>
    </row>
    <row r="173" spans="1:33">
      <c r="A173" s="7" t="s">
        <v>155</v>
      </c>
      <c r="B173" s="8" t="s">
        <v>156</v>
      </c>
      <c r="C173" s="9" t="s">
        <v>267</v>
      </c>
      <c r="D173" s="10">
        <v>176</v>
      </c>
      <c r="E173" s="9" t="s">
        <v>158</v>
      </c>
      <c r="F173" s="10">
        <v>176</v>
      </c>
      <c r="G173" s="10">
        <v>175.3</v>
      </c>
      <c r="H173" s="10">
        <v>131</v>
      </c>
      <c r="I173" s="10">
        <v>147</v>
      </c>
      <c r="J173" s="10">
        <v>124</v>
      </c>
      <c r="K173" s="10">
        <v>87</v>
      </c>
      <c r="L173" s="10">
        <v>107</v>
      </c>
      <c r="M173" s="10">
        <v>18.3</v>
      </c>
      <c r="N173" s="10">
        <v>1547</v>
      </c>
      <c r="O173" s="10">
        <v>1.1100000000000001</v>
      </c>
      <c r="P173" s="10">
        <v>1719</v>
      </c>
      <c r="Q173" s="10">
        <v>217</v>
      </c>
      <c r="R173" s="10">
        <v>99</v>
      </c>
      <c r="S173" s="10">
        <v>45</v>
      </c>
      <c r="T173" s="10">
        <v>268</v>
      </c>
      <c r="U173" s="10">
        <v>11</v>
      </c>
      <c r="V173" s="10">
        <v>173</v>
      </c>
      <c r="W173" s="10">
        <v>0.24</v>
      </c>
      <c r="X173" s="10">
        <v>170</v>
      </c>
      <c r="Y173" s="10">
        <v>109</v>
      </c>
      <c r="Z173" s="10">
        <v>98</v>
      </c>
      <c r="AA173" s="10">
        <v>6</v>
      </c>
      <c r="AB173" s="10">
        <v>8.8000000000000007</v>
      </c>
      <c r="AC173" s="9" t="s">
        <v>188</v>
      </c>
      <c r="AD173" s="9" t="s">
        <v>185</v>
      </c>
      <c r="AE173" s="10"/>
      <c r="AF173" s="10"/>
      <c r="AG173" s="10"/>
    </row>
    <row r="174" spans="1:33">
      <c r="A174" s="7" t="s">
        <v>155</v>
      </c>
      <c r="B174" s="8" t="s">
        <v>156</v>
      </c>
      <c r="C174" s="9" t="s">
        <v>411</v>
      </c>
      <c r="D174" s="10">
        <v>169</v>
      </c>
      <c r="E174" s="9" t="s">
        <v>158</v>
      </c>
      <c r="F174" s="10">
        <v>169</v>
      </c>
      <c r="G174" s="10">
        <v>168</v>
      </c>
      <c r="H174" s="10">
        <v>120</v>
      </c>
      <c r="I174" s="10">
        <v>144</v>
      </c>
      <c r="J174" s="10">
        <v>122</v>
      </c>
      <c r="K174" s="10">
        <v>86</v>
      </c>
      <c r="L174" s="10">
        <v>106</v>
      </c>
      <c r="M174" s="10">
        <v>17.100000000000001</v>
      </c>
      <c r="N174" s="10">
        <v>1591</v>
      </c>
      <c r="O174" s="10">
        <v>1.03</v>
      </c>
      <c r="P174" s="10">
        <v>1637</v>
      </c>
      <c r="Q174" s="10">
        <v>189</v>
      </c>
      <c r="R174" s="10">
        <v>122</v>
      </c>
      <c r="S174" s="10">
        <v>53</v>
      </c>
      <c r="T174" s="10">
        <v>288</v>
      </c>
      <c r="U174" s="10">
        <v>13</v>
      </c>
      <c r="V174" s="10">
        <v>192</v>
      </c>
      <c r="W174" s="10">
        <v>0.251</v>
      </c>
      <c r="X174" s="10">
        <v>148</v>
      </c>
      <c r="Y174" s="10">
        <v>94</v>
      </c>
      <c r="Z174" s="10">
        <v>139</v>
      </c>
      <c r="AA174" s="10">
        <v>6</v>
      </c>
      <c r="AB174" s="10">
        <v>8.8000000000000007</v>
      </c>
      <c r="AC174" s="9" t="s">
        <v>188</v>
      </c>
      <c r="AD174" s="10"/>
      <c r="AE174" s="10"/>
      <c r="AF174" s="10"/>
      <c r="AG174" s="10"/>
    </row>
    <row r="175" spans="1:33">
      <c r="A175" s="7" t="s">
        <v>155</v>
      </c>
      <c r="B175" s="8" t="s">
        <v>156</v>
      </c>
      <c r="C175" s="9" t="s">
        <v>411</v>
      </c>
      <c r="D175" s="10">
        <v>176</v>
      </c>
      <c r="E175" s="9" t="s">
        <v>158</v>
      </c>
      <c r="F175" s="10">
        <v>176</v>
      </c>
      <c r="G175" s="10">
        <v>175.1</v>
      </c>
      <c r="H175" s="10">
        <v>132</v>
      </c>
      <c r="I175" s="10">
        <v>149</v>
      </c>
      <c r="J175" s="10">
        <v>124</v>
      </c>
      <c r="K175" s="10">
        <v>87</v>
      </c>
      <c r="L175" s="10">
        <v>107</v>
      </c>
      <c r="M175" s="10">
        <v>18.3</v>
      </c>
      <c r="N175" s="10">
        <v>1694</v>
      </c>
      <c r="O175" s="10">
        <v>1.02</v>
      </c>
      <c r="P175" s="10">
        <v>1721</v>
      </c>
      <c r="Q175" s="10">
        <v>215</v>
      </c>
      <c r="R175" s="10">
        <v>143</v>
      </c>
      <c r="S175" s="10">
        <v>46</v>
      </c>
      <c r="T175" s="10">
        <v>253</v>
      </c>
      <c r="U175" s="10">
        <v>11</v>
      </c>
      <c r="V175" s="10">
        <v>176</v>
      </c>
      <c r="W175" s="10">
        <v>0.23799999999999999</v>
      </c>
      <c r="X175" s="10">
        <v>155</v>
      </c>
      <c r="Y175" s="10">
        <v>111</v>
      </c>
      <c r="Z175" s="10">
        <v>98</v>
      </c>
      <c r="AA175" s="10">
        <v>9</v>
      </c>
      <c r="AB175" s="10">
        <v>8.6</v>
      </c>
      <c r="AC175" s="9" t="s">
        <v>188</v>
      </c>
      <c r="AD175" s="10"/>
      <c r="AE175" s="10"/>
      <c r="AF175" s="10"/>
      <c r="AG175" s="10"/>
    </row>
    <row r="176" spans="1:33">
      <c r="A176" s="7" t="s">
        <v>155</v>
      </c>
      <c r="B176" s="8" t="s">
        <v>156</v>
      </c>
      <c r="C176" s="9" t="s">
        <v>411</v>
      </c>
      <c r="D176" s="10">
        <v>184</v>
      </c>
      <c r="E176" s="9" t="s">
        <v>158</v>
      </c>
      <c r="F176" s="10">
        <v>184</v>
      </c>
      <c r="G176" s="10">
        <v>182.9</v>
      </c>
      <c r="H176" s="10">
        <v>135</v>
      </c>
      <c r="I176" s="10">
        <v>156</v>
      </c>
      <c r="J176" s="10">
        <v>125</v>
      </c>
      <c r="K176" s="10">
        <v>87</v>
      </c>
      <c r="L176" s="10">
        <v>109</v>
      </c>
      <c r="M176" s="10">
        <v>19.7</v>
      </c>
      <c r="N176" s="10">
        <v>1853</v>
      </c>
      <c r="O176" s="10">
        <v>0.98</v>
      </c>
      <c r="P176" s="10">
        <v>1808</v>
      </c>
      <c r="Q176" s="10">
        <v>261</v>
      </c>
      <c r="R176" s="10">
        <v>167</v>
      </c>
      <c r="S176" s="10">
        <v>52</v>
      </c>
      <c r="T176" s="10">
        <v>291</v>
      </c>
      <c r="U176" s="10">
        <v>13</v>
      </c>
      <c r="V176" s="10">
        <v>189</v>
      </c>
      <c r="W176" s="10">
        <v>0.25700000000000001</v>
      </c>
      <c r="X176" s="10">
        <v>161</v>
      </c>
      <c r="Y176" s="10">
        <v>107</v>
      </c>
      <c r="Z176" s="10">
        <v>130</v>
      </c>
      <c r="AA176" s="10">
        <v>7</v>
      </c>
      <c r="AB176" s="10">
        <v>8.5</v>
      </c>
      <c r="AC176" s="9" t="s">
        <v>188</v>
      </c>
      <c r="AD176" s="10"/>
      <c r="AE176" s="10"/>
      <c r="AF176" s="10"/>
      <c r="AG176" s="10"/>
    </row>
    <row r="177" spans="1:33">
      <c r="A177" s="7" t="s">
        <v>155</v>
      </c>
      <c r="B177" s="8" t="s">
        <v>156</v>
      </c>
      <c r="C177" s="9" t="s">
        <v>611</v>
      </c>
      <c r="D177" s="10">
        <v>164</v>
      </c>
      <c r="E177" s="9" t="s">
        <v>158</v>
      </c>
      <c r="F177" s="10">
        <v>164</v>
      </c>
      <c r="G177" s="10">
        <v>163.1</v>
      </c>
      <c r="H177" s="10">
        <v>116</v>
      </c>
      <c r="I177" s="10">
        <v>132</v>
      </c>
      <c r="J177" s="10">
        <v>125</v>
      </c>
      <c r="K177" s="10">
        <v>92</v>
      </c>
      <c r="L177" s="10">
        <v>109</v>
      </c>
      <c r="M177" s="10">
        <v>16.399999999999999</v>
      </c>
      <c r="N177" s="10">
        <v>1566</v>
      </c>
      <c r="O177" s="10">
        <v>1.06</v>
      </c>
      <c r="P177" s="10">
        <v>1663</v>
      </c>
      <c r="Q177" s="10">
        <v>169</v>
      </c>
      <c r="R177" s="10">
        <v>131</v>
      </c>
      <c r="S177" s="10">
        <v>53</v>
      </c>
      <c r="T177" s="10">
        <v>288</v>
      </c>
      <c r="U177" s="10">
        <v>13</v>
      </c>
      <c r="V177" s="10">
        <v>183</v>
      </c>
      <c r="W177" s="10">
        <v>0.253</v>
      </c>
      <c r="X177" s="10">
        <v>173</v>
      </c>
      <c r="Y177" s="10">
        <v>140</v>
      </c>
      <c r="Z177" s="10">
        <v>115</v>
      </c>
      <c r="AA177" s="10">
        <v>6</v>
      </c>
      <c r="AB177" s="10">
        <v>9.3000000000000007</v>
      </c>
      <c r="AC177" s="9" t="s">
        <v>188</v>
      </c>
      <c r="AD177" s="9" t="s">
        <v>185</v>
      </c>
      <c r="AE177" s="10"/>
      <c r="AF177" s="10"/>
      <c r="AG177" s="10"/>
    </row>
    <row r="178" spans="1:33">
      <c r="A178" s="7" t="s">
        <v>155</v>
      </c>
      <c r="B178" s="8" t="s">
        <v>156</v>
      </c>
      <c r="C178" s="9" t="s">
        <v>611</v>
      </c>
      <c r="D178" s="10">
        <v>172</v>
      </c>
      <c r="E178" s="9" t="s">
        <v>158</v>
      </c>
      <c r="F178" s="10">
        <v>172</v>
      </c>
      <c r="G178" s="10">
        <v>171.3</v>
      </c>
      <c r="H178" s="10">
        <v>122</v>
      </c>
      <c r="I178" s="10">
        <v>141</v>
      </c>
      <c r="J178" s="10">
        <v>126</v>
      </c>
      <c r="K178" s="10">
        <v>93</v>
      </c>
      <c r="L178" s="10">
        <v>111</v>
      </c>
      <c r="M178" s="10">
        <v>17.7</v>
      </c>
      <c r="N178" s="10">
        <v>1699</v>
      </c>
      <c r="O178" s="10">
        <v>1.04</v>
      </c>
      <c r="P178" s="10">
        <v>1768</v>
      </c>
      <c r="Q178" s="10">
        <v>203</v>
      </c>
      <c r="R178" s="10">
        <v>144</v>
      </c>
      <c r="S178" s="10">
        <v>55</v>
      </c>
      <c r="T178" s="10">
        <v>298</v>
      </c>
      <c r="U178" s="10">
        <v>15</v>
      </c>
      <c r="V178" s="10">
        <v>197</v>
      </c>
      <c r="W178" s="10">
        <v>0.26700000000000002</v>
      </c>
      <c r="X178" s="10">
        <v>171</v>
      </c>
      <c r="Y178" s="10">
        <v>136</v>
      </c>
      <c r="Z178" s="10">
        <v>127</v>
      </c>
      <c r="AA178" s="10">
        <v>7</v>
      </c>
      <c r="AB178" s="10">
        <v>8.9</v>
      </c>
      <c r="AC178" s="9" t="s">
        <v>188</v>
      </c>
      <c r="AD178" s="10"/>
      <c r="AE178" s="10"/>
      <c r="AF178" s="10"/>
      <c r="AG178" s="10"/>
    </row>
    <row r="179" spans="1:33">
      <c r="A179" s="7" t="s">
        <v>155</v>
      </c>
      <c r="B179" s="8" t="s">
        <v>156</v>
      </c>
      <c r="C179" s="9" t="s">
        <v>611</v>
      </c>
      <c r="D179" s="10">
        <v>180</v>
      </c>
      <c r="E179" s="9" t="s">
        <v>158</v>
      </c>
      <c r="F179" s="10">
        <v>180</v>
      </c>
      <c r="G179" s="10">
        <v>179.1</v>
      </c>
      <c r="H179" s="10">
        <v>128</v>
      </c>
      <c r="I179" s="10">
        <v>148</v>
      </c>
      <c r="J179" s="10">
        <v>128</v>
      </c>
      <c r="K179" s="10">
        <v>93</v>
      </c>
      <c r="L179" s="10">
        <v>112</v>
      </c>
      <c r="M179" s="10">
        <v>19.2</v>
      </c>
      <c r="N179" s="10">
        <v>1781</v>
      </c>
      <c r="O179" s="10">
        <v>1.05</v>
      </c>
      <c r="P179" s="10">
        <v>1863</v>
      </c>
      <c r="Q179" s="10">
        <v>240</v>
      </c>
      <c r="R179" s="10">
        <v>169</v>
      </c>
      <c r="S179" s="10">
        <v>55</v>
      </c>
      <c r="T179" s="10">
        <v>314</v>
      </c>
      <c r="U179" s="10">
        <v>14</v>
      </c>
      <c r="V179" s="10">
        <v>197</v>
      </c>
      <c r="W179" s="10">
        <v>0.254</v>
      </c>
      <c r="X179" s="10">
        <v>169</v>
      </c>
      <c r="Y179" s="10">
        <v>142</v>
      </c>
      <c r="Z179" s="10">
        <v>145</v>
      </c>
      <c r="AA179" s="10">
        <v>5</v>
      </c>
      <c r="AB179" s="10">
        <v>9</v>
      </c>
      <c r="AC179" s="9" t="s">
        <v>188</v>
      </c>
      <c r="AD179" s="10"/>
      <c r="AE179" s="10"/>
      <c r="AF179" s="10"/>
      <c r="AG179" s="10"/>
    </row>
    <row r="180" spans="1:33">
      <c r="A180" s="7" t="s">
        <v>155</v>
      </c>
      <c r="B180" s="8" t="s">
        <v>156</v>
      </c>
      <c r="C180" s="9" t="s">
        <v>611</v>
      </c>
      <c r="D180" s="10">
        <v>188</v>
      </c>
      <c r="E180" s="9" t="s">
        <v>158</v>
      </c>
      <c r="F180" s="10">
        <v>188</v>
      </c>
      <c r="G180" s="10">
        <v>187.1</v>
      </c>
      <c r="H180" s="10">
        <v>139</v>
      </c>
      <c r="I180" s="10">
        <v>154</v>
      </c>
      <c r="J180" s="10">
        <v>129</v>
      </c>
      <c r="K180" s="10">
        <v>93</v>
      </c>
      <c r="L180" s="10">
        <v>114</v>
      </c>
      <c r="M180" s="10">
        <v>20.3</v>
      </c>
      <c r="N180" s="10">
        <v>1964</v>
      </c>
      <c r="O180" s="10">
        <v>0.99</v>
      </c>
      <c r="P180" s="10">
        <v>1952</v>
      </c>
      <c r="Q180" s="10">
        <v>279</v>
      </c>
      <c r="R180" s="10">
        <v>178</v>
      </c>
      <c r="S180" s="10">
        <v>49</v>
      </c>
      <c r="T180" s="10">
        <v>284</v>
      </c>
      <c r="U180" s="10">
        <v>15</v>
      </c>
      <c r="V180" s="10">
        <v>195</v>
      </c>
      <c r="W180" s="10">
        <v>0.30299999999999999</v>
      </c>
      <c r="X180" s="10">
        <v>176</v>
      </c>
      <c r="Y180" s="10">
        <v>150</v>
      </c>
      <c r="Z180" s="10">
        <v>108</v>
      </c>
      <c r="AA180" s="10">
        <v>10</v>
      </c>
      <c r="AB180" s="10">
        <v>9</v>
      </c>
      <c r="AC180" s="9" t="s">
        <v>188</v>
      </c>
      <c r="AD180" s="10"/>
      <c r="AE180" s="10"/>
      <c r="AF180" s="10"/>
      <c r="AG180" s="10"/>
    </row>
    <row r="181" spans="1:33">
      <c r="A181" s="7" t="s">
        <v>155</v>
      </c>
      <c r="B181" s="8" t="s">
        <v>156</v>
      </c>
      <c r="C181" s="9" t="s">
        <v>532</v>
      </c>
      <c r="D181" s="10">
        <v>149</v>
      </c>
      <c r="E181" s="9" t="s">
        <v>158</v>
      </c>
      <c r="F181" s="10">
        <v>149</v>
      </c>
      <c r="G181" s="10">
        <v>146</v>
      </c>
      <c r="H181" s="10">
        <v>125</v>
      </c>
      <c r="I181" s="10">
        <v>133</v>
      </c>
      <c r="J181" s="10">
        <v>108</v>
      </c>
      <c r="K181" s="10">
        <v>69</v>
      </c>
      <c r="L181" s="10">
        <v>96</v>
      </c>
      <c r="M181" s="10">
        <v>13</v>
      </c>
      <c r="N181" s="10">
        <v>1474</v>
      </c>
      <c r="O181" s="10">
        <v>0.81</v>
      </c>
      <c r="P181" s="10">
        <v>1195</v>
      </c>
      <c r="Q181" s="10">
        <v>153</v>
      </c>
      <c r="R181" s="10">
        <v>69</v>
      </c>
      <c r="S181" s="10">
        <v>40</v>
      </c>
      <c r="T181" s="10">
        <v>151</v>
      </c>
      <c r="U181" s="10">
        <v>5</v>
      </c>
      <c r="V181" s="10">
        <v>58</v>
      </c>
      <c r="W181" s="10">
        <v>0.122</v>
      </c>
      <c r="X181" s="10">
        <v>83</v>
      </c>
      <c r="Y181" s="10">
        <v>52</v>
      </c>
      <c r="Z181" s="10">
        <v>68</v>
      </c>
      <c r="AA181" s="10">
        <v>6</v>
      </c>
      <c r="AB181" s="10">
        <v>12.4</v>
      </c>
      <c r="AC181" s="9" t="s">
        <v>349</v>
      </c>
      <c r="AD181" s="10"/>
      <c r="AE181" s="10"/>
      <c r="AF181" s="10"/>
      <c r="AG181" s="10"/>
    </row>
    <row r="182" spans="1:33">
      <c r="A182" s="7" t="s">
        <v>155</v>
      </c>
      <c r="B182" s="8" t="s">
        <v>156</v>
      </c>
      <c r="C182" s="9" t="s">
        <v>532</v>
      </c>
      <c r="D182" s="10">
        <v>156</v>
      </c>
      <c r="E182" s="9" t="s">
        <v>158</v>
      </c>
      <c r="F182" s="10">
        <v>156</v>
      </c>
      <c r="G182" s="10">
        <v>153.4</v>
      </c>
      <c r="H182" s="10">
        <v>133</v>
      </c>
      <c r="I182" s="10">
        <v>140</v>
      </c>
      <c r="J182" s="10">
        <v>109</v>
      </c>
      <c r="K182" s="10">
        <v>70</v>
      </c>
      <c r="L182" s="10">
        <v>97</v>
      </c>
      <c r="M182" s="10">
        <v>13.8</v>
      </c>
      <c r="N182" s="10">
        <v>1573</v>
      </c>
      <c r="O182" s="10">
        <v>0.8</v>
      </c>
      <c r="P182" s="10">
        <v>1265</v>
      </c>
      <c r="Q182" s="10">
        <v>175</v>
      </c>
      <c r="R182" s="10">
        <v>83</v>
      </c>
      <c r="S182" s="10">
        <v>39</v>
      </c>
      <c r="T182" s="10">
        <v>146</v>
      </c>
      <c r="U182" s="10">
        <v>5</v>
      </c>
      <c r="V182" s="10">
        <v>62</v>
      </c>
      <c r="W182" s="10">
        <v>0.13100000000000001</v>
      </c>
      <c r="X182" s="10">
        <v>84</v>
      </c>
      <c r="Y182" s="10">
        <v>53</v>
      </c>
      <c r="Z182" s="10">
        <v>62</v>
      </c>
      <c r="AA182" s="10">
        <v>6</v>
      </c>
      <c r="AB182" s="10">
        <v>12.4</v>
      </c>
      <c r="AC182" s="9" t="s">
        <v>349</v>
      </c>
      <c r="AD182" s="10"/>
      <c r="AE182" s="10"/>
      <c r="AF182" s="10"/>
      <c r="AG182" s="10"/>
    </row>
    <row r="183" spans="1:33">
      <c r="A183" s="7" t="s">
        <v>155</v>
      </c>
      <c r="B183" s="8" t="s">
        <v>156</v>
      </c>
      <c r="C183" s="9" t="s">
        <v>532</v>
      </c>
      <c r="D183" s="10">
        <v>163</v>
      </c>
      <c r="E183" s="9" t="s">
        <v>158</v>
      </c>
      <c r="F183" s="10">
        <v>163</v>
      </c>
      <c r="G183" s="10">
        <v>160.4</v>
      </c>
      <c r="H183" s="10">
        <v>139</v>
      </c>
      <c r="I183" s="10">
        <v>146</v>
      </c>
      <c r="J183" s="10">
        <v>111</v>
      </c>
      <c r="K183" s="10">
        <v>69</v>
      </c>
      <c r="L183" s="10">
        <v>99</v>
      </c>
      <c r="M183" s="10">
        <v>14.5</v>
      </c>
      <c r="N183" s="10">
        <v>1682</v>
      </c>
      <c r="O183" s="10">
        <v>0.79</v>
      </c>
      <c r="P183" s="10">
        <v>1331</v>
      </c>
      <c r="Q183" s="10">
        <v>198</v>
      </c>
      <c r="R183" s="10">
        <v>98</v>
      </c>
      <c r="S183" s="10">
        <v>40</v>
      </c>
      <c r="T183" s="10">
        <v>147</v>
      </c>
      <c r="U183" s="10">
        <v>5</v>
      </c>
      <c r="V183" s="10">
        <v>64</v>
      </c>
      <c r="W183" s="10">
        <v>0.13800000000000001</v>
      </c>
      <c r="X183" s="10">
        <v>83</v>
      </c>
      <c r="Y183" s="10">
        <v>57</v>
      </c>
      <c r="Z183" s="10">
        <v>65</v>
      </c>
      <c r="AA183" s="10">
        <v>6</v>
      </c>
      <c r="AB183" s="10">
        <v>12.5</v>
      </c>
      <c r="AC183" s="9" t="s">
        <v>349</v>
      </c>
      <c r="AD183" s="10"/>
      <c r="AE183" s="10"/>
      <c r="AF183" s="10"/>
      <c r="AG183" s="10"/>
    </row>
    <row r="184" spans="1:33">
      <c r="A184" s="7" t="s">
        <v>155</v>
      </c>
      <c r="B184" s="8" t="s">
        <v>156</v>
      </c>
      <c r="C184" s="9" t="s">
        <v>762</v>
      </c>
      <c r="D184" s="10">
        <v>160</v>
      </c>
      <c r="E184" s="9" t="s">
        <v>158</v>
      </c>
      <c r="F184" s="10">
        <v>160</v>
      </c>
      <c r="G184" s="10">
        <v>159.6</v>
      </c>
      <c r="H184" s="10">
        <v>140</v>
      </c>
      <c r="I184" s="10">
        <v>146</v>
      </c>
      <c r="J184" s="10">
        <v>115</v>
      </c>
      <c r="K184" s="10">
        <v>67</v>
      </c>
      <c r="L184" s="10">
        <v>101</v>
      </c>
      <c r="M184" s="10">
        <v>12.5</v>
      </c>
      <c r="N184" s="10">
        <v>1985</v>
      </c>
      <c r="O184" s="10">
        <v>0.66</v>
      </c>
      <c r="P184" s="10">
        <v>1316</v>
      </c>
      <c r="Q184" s="10">
        <v>196</v>
      </c>
      <c r="R184" s="10">
        <v>97</v>
      </c>
      <c r="S184" s="10">
        <v>32</v>
      </c>
      <c r="T184" s="10">
        <v>141</v>
      </c>
      <c r="U184" s="10">
        <v>4</v>
      </c>
      <c r="V184" s="10">
        <v>51</v>
      </c>
      <c r="W184" s="10">
        <v>0.13</v>
      </c>
      <c r="X184" s="10">
        <v>80</v>
      </c>
      <c r="Y184" s="10">
        <v>51</v>
      </c>
      <c r="Z184" s="10">
        <v>60</v>
      </c>
      <c r="AA184" s="10">
        <v>11</v>
      </c>
      <c r="AB184" s="10">
        <v>13.6</v>
      </c>
      <c r="AC184" s="9" t="s">
        <v>349</v>
      </c>
      <c r="AD184" s="10"/>
      <c r="AE184" s="10"/>
      <c r="AF184" s="10"/>
      <c r="AG184" s="10"/>
    </row>
    <row r="185" spans="1:33">
      <c r="A185" s="7" t="s">
        <v>155</v>
      </c>
      <c r="B185" s="8" t="s">
        <v>156</v>
      </c>
      <c r="C185" s="9" t="s">
        <v>762</v>
      </c>
      <c r="D185" s="10">
        <v>165</v>
      </c>
      <c r="E185" s="9" t="s">
        <v>158</v>
      </c>
      <c r="F185" s="10">
        <v>165</v>
      </c>
      <c r="G185" s="10">
        <v>164.7</v>
      </c>
      <c r="H185" s="10">
        <v>145</v>
      </c>
      <c r="I185" s="10">
        <v>151</v>
      </c>
      <c r="J185" s="10">
        <v>116</v>
      </c>
      <c r="K185" s="10">
        <v>67</v>
      </c>
      <c r="L185" s="10">
        <v>102</v>
      </c>
      <c r="M185" s="10">
        <v>13.1</v>
      </c>
      <c r="N185" s="10">
        <v>2072</v>
      </c>
      <c r="O185" s="10">
        <v>0.66</v>
      </c>
      <c r="P185" s="10">
        <v>1364</v>
      </c>
      <c r="Q185" s="10">
        <v>220</v>
      </c>
      <c r="R185" s="10">
        <v>101</v>
      </c>
      <c r="S185" s="10">
        <v>33</v>
      </c>
      <c r="T185" s="10">
        <v>143</v>
      </c>
      <c r="U185" s="10">
        <v>4</v>
      </c>
      <c r="V185" s="10">
        <v>49</v>
      </c>
      <c r="W185" s="10">
        <v>0.13100000000000001</v>
      </c>
      <c r="X185" s="10">
        <v>82</v>
      </c>
      <c r="Y185" s="10">
        <v>56</v>
      </c>
      <c r="Z185" s="10">
        <v>61</v>
      </c>
      <c r="AA185" s="10">
        <v>13</v>
      </c>
      <c r="AB185" s="10">
        <v>13.8</v>
      </c>
      <c r="AC185" s="9" t="s">
        <v>349</v>
      </c>
      <c r="AD185" s="10"/>
      <c r="AE185" s="10"/>
      <c r="AF185" s="10"/>
      <c r="AG185" s="10"/>
    </row>
    <row r="186" spans="1:33">
      <c r="A186" s="7" t="s">
        <v>155</v>
      </c>
      <c r="B186" s="8" t="s">
        <v>156</v>
      </c>
      <c r="C186" s="9" t="s">
        <v>762</v>
      </c>
      <c r="D186" s="10">
        <v>170</v>
      </c>
      <c r="E186" s="9" t="s">
        <v>158</v>
      </c>
      <c r="F186" s="10">
        <v>170</v>
      </c>
      <c r="G186" s="10">
        <v>169.5</v>
      </c>
      <c r="H186" s="10">
        <v>151</v>
      </c>
      <c r="I186" s="10">
        <v>156</v>
      </c>
      <c r="J186" s="10">
        <v>118</v>
      </c>
      <c r="K186" s="10">
        <v>67</v>
      </c>
      <c r="L186" s="10">
        <v>104</v>
      </c>
      <c r="M186" s="10">
        <v>13.4</v>
      </c>
      <c r="N186" s="10">
        <v>2107</v>
      </c>
      <c r="O186" s="10">
        <v>0.67</v>
      </c>
      <c r="P186" s="10">
        <v>1418</v>
      </c>
      <c r="Q186" s="10">
        <v>244</v>
      </c>
      <c r="R186" s="10">
        <v>118</v>
      </c>
      <c r="S186" s="10">
        <v>33</v>
      </c>
      <c r="T186" s="10">
        <v>139</v>
      </c>
      <c r="U186" s="10">
        <v>4</v>
      </c>
      <c r="V186" s="10">
        <v>49</v>
      </c>
      <c r="W186" s="10">
        <v>0.122</v>
      </c>
      <c r="X186" s="10">
        <v>83</v>
      </c>
      <c r="Y186" s="10">
        <v>54</v>
      </c>
      <c r="Z186" s="10">
        <v>56</v>
      </c>
      <c r="AA186" s="10">
        <v>12</v>
      </c>
      <c r="AB186" s="10">
        <v>13.4</v>
      </c>
      <c r="AC186" s="9" t="s">
        <v>349</v>
      </c>
      <c r="AD186" s="10"/>
      <c r="AE186" s="10"/>
      <c r="AF186" s="10"/>
      <c r="AG186" s="10"/>
    </row>
    <row r="187" spans="1:33">
      <c r="A187" s="7" t="s">
        <v>155</v>
      </c>
      <c r="B187" s="8" t="s">
        <v>156</v>
      </c>
      <c r="C187" s="9" t="s">
        <v>800</v>
      </c>
      <c r="D187" s="10">
        <v>159</v>
      </c>
      <c r="E187" s="9" t="s">
        <v>158</v>
      </c>
      <c r="F187" s="10">
        <v>159</v>
      </c>
      <c r="G187" s="10">
        <v>158</v>
      </c>
      <c r="H187" s="10">
        <v>137</v>
      </c>
      <c r="I187" s="10">
        <v>145</v>
      </c>
      <c r="J187" s="10">
        <v>117</v>
      </c>
      <c r="K187" s="10">
        <v>69</v>
      </c>
      <c r="L187" s="10">
        <v>103</v>
      </c>
      <c r="M187" s="10">
        <v>12.1</v>
      </c>
      <c r="N187" s="10">
        <v>2069</v>
      </c>
      <c r="O187" s="10">
        <v>0.64</v>
      </c>
      <c r="P187" s="10">
        <v>1334</v>
      </c>
      <c r="Q187" s="10">
        <v>206</v>
      </c>
      <c r="R187" s="10">
        <v>102</v>
      </c>
      <c r="S187" s="10">
        <v>33</v>
      </c>
      <c r="T187" s="10">
        <v>153</v>
      </c>
      <c r="U187" s="10">
        <v>6</v>
      </c>
      <c r="V187" s="10">
        <v>53</v>
      </c>
      <c r="W187" s="10">
        <v>0.17100000000000001</v>
      </c>
      <c r="X187" s="10">
        <v>81</v>
      </c>
      <c r="Y187" s="10">
        <v>54</v>
      </c>
      <c r="Z187" s="10">
        <v>72</v>
      </c>
      <c r="AA187" s="10">
        <v>10</v>
      </c>
      <c r="AB187" s="10">
        <v>13.7</v>
      </c>
      <c r="AC187" s="9" t="s">
        <v>349</v>
      </c>
      <c r="AD187" s="10"/>
      <c r="AE187" s="10"/>
      <c r="AF187" s="10"/>
      <c r="AG187" s="10"/>
    </row>
    <row r="188" spans="1:33">
      <c r="A188" s="7" t="s">
        <v>155</v>
      </c>
      <c r="B188" s="8" t="s">
        <v>156</v>
      </c>
      <c r="C188" s="9" t="s">
        <v>800</v>
      </c>
      <c r="D188" s="10">
        <v>165</v>
      </c>
      <c r="E188" s="9" t="s">
        <v>158</v>
      </c>
      <c r="F188" s="10">
        <v>165</v>
      </c>
      <c r="G188" s="10">
        <v>163.80000000000001</v>
      </c>
      <c r="H188" s="10">
        <v>143</v>
      </c>
      <c r="I188" s="10">
        <v>151</v>
      </c>
      <c r="J188" s="10">
        <v>117</v>
      </c>
      <c r="K188" s="10">
        <v>67</v>
      </c>
      <c r="L188" s="10">
        <v>103</v>
      </c>
      <c r="M188" s="10">
        <v>12.8</v>
      </c>
      <c r="N188" s="10">
        <v>2148</v>
      </c>
      <c r="O188" s="10">
        <v>0.63</v>
      </c>
      <c r="P188" s="10">
        <v>1362</v>
      </c>
      <c r="Q188" s="10">
        <v>213</v>
      </c>
      <c r="R188" s="10">
        <v>108</v>
      </c>
      <c r="S188" s="10">
        <v>34</v>
      </c>
      <c r="T188" s="10">
        <v>153</v>
      </c>
      <c r="U188" s="10">
        <v>5</v>
      </c>
      <c r="V188" s="10">
        <v>54</v>
      </c>
      <c r="W188" s="10">
        <v>0.16</v>
      </c>
      <c r="X188" s="10">
        <v>79</v>
      </c>
      <c r="Y188" s="10">
        <v>53</v>
      </c>
      <c r="Z188" s="10">
        <v>74</v>
      </c>
      <c r="AA188" s="10">
        <v>10</v>
      </c>
      <c r="AB188" s="10">
        <v>13.6</v>
      </c>
      <c r="AC188" s="9" t="s">
        <v>349</v>
      </c>
      <c r="AD188" s="10"/>
      <c r="AE188" s="10"/>
      <c r="AF188" s="10"/>
      <c r="AG188" s="10"/>
    </row>
    <row r="189" spans="1:33">
      <c r="A189" s="7" t="s">
        <v>155</v>
      </c>
      <c r="B189" s="8" t="s">
        <v>156</v>
      </c>
      <c r="C189" s="9" t="s">
        <v>658</v>
      </c>
      <c r="D189" s="10">
        <v>154</v>
      </c>
      <c r="E189" s="9" t="s">
        <v>158</v>
      </c>
      <c r="F189" s="10">
        <v>154</v>
      </c>
      <c r="G189" s="10">
        <v>153.4</v>
      </c>
      <c r="H189" s="10">
        <v>133</v>
      </c>
      <c r="I189" s="10">
        <v>139</v>
      </c>
      <c r="J189" s="10">
        <v>117</v>
      </c>
      <c r="K189" s="10">
        <v>69</v>
      </c>
      <c r="L189" s="10">
        <v>100</v>
      </c>
      <c r="M189" s="10">
        <v>11.8</v>
      </c>
      <c r="N189" s="10">
        <v>1659</v>
      </c>
      <c r="O189" s="10">
        <v>0.78</v>
      </c>
      <c r="P189" s="10">
        <v>1290</v>
      </c>
      <c r="Q189" s="10">
        <v>165</v>
      </c>
      <c r="R189" s="10">
        <v>88</v>
      </c>
      <c r="S189" s="10">
        <v>36</v>
      </c>
      <c r="T189" s="10">
        <v>150</v>
      </c>
      <c r="U189" s="10">
        <v>3</v>
      </c>
      <c r="V189" s="10">
        <v>52</v>
      </c>
      <c r="W189" s="10">
        <v>9.1999999999999998E-2</v>
      </c>
      <c r="X189" s="10">
        <v>88</v>
      </c>
      <c r="Y189" s="10">
        <v>59</v>
      </c>
      <c r="Z189" s="10">
        <v>62</v>
      </c>
      <c r="AA189" s="10">
        <v>7</v>
      </c>
      <c r="AB189" s="10">
        <v>12.8</v>
      </c>
      <c r="AC189" s="9" t="s">
        <v>349</v>
      </c>
      <c r="AD189" s="10"/>
      <c r="AE189" s="10"/>
      <c r="AF189" s="10"/>
      <c r="AG189" s="10"/>
    </row>
    <row r="190" spans="1:33">
      <c r="A190" s="7" t="s">
        <v>155</v>
      </c>
      <c r="B190" s="8" t="s">
        <v>156</v>
      </c>
      <c r="C190" s="9" t="s">
        <v>658</v>
      </c>
      <c r="D190" s="10">
        <v>168</v>
      </c>
      <c r="E190" s="9" t="s">
        <v>158</v>
      </c>
      <c r="F190" s="10">
        <v>168</v>
      </c>
      <c r="G190" s="10">
        <v>167.3</v>
      </c>
      <c r="H190" s="10">
        <v>149</v>
      </c>
      <c r="I190" s="10">
        <v>153</v>
      </c>
      <c r="J190" s="10">
        <v>119</v>
      </c>
      <c r="K190" s="10">
        <v>70</v>
      </c>
      <c r="L190" s="10">
        <v>102</v>
      </c>
      <c r="M190" s="10">
        <v>14.1</v>
      </c>
      <c r="N190" s="10">
        <v>1854</v>
      </c>
      <c r="O190" s="10">
        <v>0.77</v>
      </c>
      <c r="P190" s="10">
        <v>1428</v>
      </c>
      <c r="Q190" s="10">
        <v>211</v>
      </c>
      <c r="R190" s="10">
        <v>105</v>
      </c>
      <c r="S190" s="10">
        <v>34</v>
      </c>
      <c r="T190" s="10">
        <v>139</v>
      </c>
      <c r="U190" s="10">
        <v>3</v>
      </c>
      <c r="V190" s="10">
        <v>47</v>
      </c>
      <c r="W190" s="10">
        <v>9.5000000000000001E-2</v>
      </c>
      <c r="X190" s="10">
        <v>88</v>
      </c>
      <c r="Y190" s="10">
        <v>57</v>
      </c>
      <c r="Z190" s="10">
        <v>51</v>
      </c>
      <c r="AA190" s="10">
        <v>12</v>
      </c>
      <c r="AB190" s="10">
        <v>13.1</v>
      </c>
      <c r="AC190" s="9" t="s">
        <v>349</v>
      </c>
      <c r="AD190" s="10"/>
      <c r="AE190" s="10"/>
      <c r="AF190" s="10"/>
      <c r="AG190" s="10"/>
    </row>
    <row r="191" spans="1:33">
      <c r="A191" s="7" t="s">
        <v>155</v>
      </c>
      <c r="B191" s="8" t="s">
        <v>156</v>
      </c>
      <c r="C191" s="9" t="s">
        <v>658</v>
      </c>
      <c r="D191" s="10">
        <v>175</v>
      </c>
      <c r="E191" s="9" t="s">
        <v>158</v>
      </c>
      <c r="F191" s="10">
        <v>175</v>
      </c>
      <c r="G191" s="10">
        <v>174.3</v>
      </c>
      <c r="H191" s="10">
        <v>157</v>
      </c>
      <c r="I191" s="10">
        <v>160</v>
      </c>
      <c r="J191" s="10">
        <v>120</v>
      </c>
      <c r="K191" s="10">
        <v>70</v>
      </c>
      <c r="L191" s="10">
        <v>103</v>
      </c>
      <c r="M191" s="10">
        <v>15.3</v>
      </c>
      <c r="N191" s="10">
        <v>2053</v>
      </c>
      <c r="O191" s="10">
        <v>0.73</v>
      </c>
      <c r="P191" s="10">
        <v>1496</v>
      </c>
      <c r="Q191" s="10">
        <v>218</v>
      </c>
      <c r="R191" s="10">
        <v>119</v>
      </c>
      <c r="S191" s="10">
        <v>30</v>
      </c>
      <c r="T191" s="10">
        <v>129</v>
      </c>
      <c r="U191" s="10">
        <v>3</v>
      </c>
      <c r="V191" s="10">
        <v>43</v>
      </c>
      <c r="W191" s="10">
        <v>9.7000000000000003E-2</v>
      </c>
      <c r="X191" s="10">
        <v>86</v>
      </c>
      <c r="Y191" s="10">
        <v>55</v>
      </c>
      <c r="Z191" s="10">
        <v>43</v>
      </c>
      <c r="AA191" s="10">
        <v>16</v>
      </c>
      <c r="AB191" s="10">
        <v>12.4</v>
      </c>
      <c r="AC191" s="9" t="s">
        <v>349</v>
      </c>
      <c r="AD191" s="10"/>
      <c r="AE191" s="10"/>
      <c r="AF191" s="10"/>
      <c r="AG191" s="10"/>
    </row>
    <row r="192" spans="1:33">
      <c r="A192" s="7" t="s">
        <v>155</v>
      </c>
      <c r="B192" s="8" t="s">
        <v>156</v>
      </c>
      <c r="C192" s="9" t="s">
        <v>589</v>
      </c>
      <c r="D192" s="10">
        <v>160</v>
      </c>
      <c r="E192" s="9" t="s">
        <v>158</v>
      </c>
      <c r="F192" s="10">
        <v>160</v>
      </c>
      <c r="G192" s="10">
        <v>159.30000000000001</v>
      </c>
      <c r="H192" s="10">
        <v>140</v>
      </c>
      <c r="I192" s="10">
        <v>145</v>
      </c>
      <c r="J192" s="10">
        <v>123</v>
      </c>
      <c r="K192" s="10">
        <v>75</v>
      </c>
      <c r="L192" s="10">
        <v>106</v>
      </c>
      <c r="M192" s="10">
        <v>13</v>
      </c>
      <c r="N192" s="10">
        <v>1663</v>
      </c>
      <c r="O192" s="10">
        <v>0.86</v>
      </c>
      <c r="P192" s="10">
        <v>1425</v>
      </c>
      <c r="Q192" s="10">
        <v>168</v>
      </c>
      <c r="R192" s="10">
        <v>74</v>
      </c>
      <c r="S192" s="10">
        <v>38</v>
      </c>
      <c r="T192" s="10">
        <v>142</v>
      </c>
      <c r="U192" s="10">
        <v>5</v>
      </c>
      <c r="V192" s="10">
        <v>53</v>
      </c>
      <c r="W192" s="10">
        <v>0.129</v>
      </c>
      <c r="X192" s="10">
        <v>89</v>
      </c>
      <c r="Y192" s="10">
        <v>54</v>
      </c>
      <c r="Z192" s="10">
        <v>54</v>
      </c>
      <c r="AA192" s="10">
        <v>9</v>
      </c>
      <c r="AB192" s="10">
        <v>12.6</v>
      </c>
      <c r="AC192" s="9" t="s">
        <v>349</v>
      </c>
      <c r="AD192" s="10"/>
      <c r="AE192" s="10"/>
      <c r="AF192" s="10"/>
      <c r="AG192" s="10"/>
    </row>
    <row r="193" spans="1:33">
      <c r="A193" s="7" t="s">
        <v>155</v>
      </c>
      <c r="B193" s="8" t="s">
        <v>156</v>
      </c>
      <c r="C193" s="9" t="s">
        <v>589</v>
      </c>
      <c r="D193" s="10">
        <v>168</v>
      </c>
      <c r="E193" s="9" t="s">
        <v>158</v>
      </c>
      <c r="F193" s="10">
        <v>168</v>
      </c>
      <c r="G193" s="10">
        <v>167.4</v>
      </c>
      <c r="H193" s="10">
        <v>148</v>
      </c>
      <c r="I193" s="10">
        <v>153</v>
      </c>
      <c r="J193" s="10">
        <v>125</v>
      </c>
      <c r="K193" s="10">
        <v>75</v>
      </c>
      <c r="L193" s="10">
        <v>109</v>
      </c>
      <c r="M193" s="10">
        <v>13.7</v>
      </c>
      <c r="N193" s="10">
        <v>1748</v>
      </c>
      <c r="O193" s="10">
        <v>0.87</v>
      </c>
      <c r="P193" s="10">
        <v>1512</v>
      </c>
      <c r="Q193" s="10">
        <v>192</v>
      </c>
      <c r="R193" s="10">
        <v>83</v>
      </c>
      <c r="S193" s="10">
        <v>38</v>
      </c>
      <c r="T193" s="10">
        <v>146</v>
      </c>
      <c r="U193" s="10">
        <v>5</v>
      </c>
      <c r="V193" s="10">
        <v>51</v>
      </c>
      <c r="W193" s="10">
        <v>0.11799999999999999</v>
      </c>
      <c r="X193" s="10">
        <v>90</v>
      </c>
      <c r="Y193" s="10">
        <v>53</v>
      </c>
      <c r="Z193" s="10">
        <v>56</v>
      </c>
      <c r="AA193" s="10">
        <v>7</v>
      </c>
      <c r="AB193" s="10">
        <v>12.9</v>
      </c>
      <c r="AC193" s="9" t="s">
        <v>349</v>
      </c>
      <c r="AD193" s="10"/>
      <c r="AE193" s="10"/>
      <c r="AF193" s="10"/>
      <c r="AG193" s="10"/>
    </row>
    <row r="194" spans="1:33">
      <c r="A194" s="7" t="s">
        <v>155</v>
      </c>
      <c r="B194" s="8" t="s">
        <v>156</v>
      </c>
      <c r="C194" s="9" t="s">
        <v>885</v>
      </c>
      <c r="D194" s="10">
        <v>168</v>
      </c>
      <c r="E194" s="9" t="s">
        <v>158</v>
      </c>
      <c r="F194" s="10">
        <v>168</v>
      </c>
      <c r="G194" s="10">
        <v>167.4</v>
      </c>
      <c r="H194" s="10">
        <v>147</v>
      </c>
      <c r="I194" s="10">
        <v>153</v>
      </c>
      <c r="J194" s="10">
        <v>124</v>
      </c>
      <c r="K194" s="10">
        <v>74</v>
      </c>
      <c r="L194" s="10">
        <v>108</v>
      </c>
      <c r="M194" s="10">
        <v>13.7</v>
      </c>
      <c r="N194" s="10">
        <v>2155</v>
      </c>
      <c r="O194" s="10">
        <v>0.7</v>
      </c>
      <c r="P194" s="10">
        <v>1505</v>
      </c>
      <c r="Q194" s="10">
        <v>232</v>
      </c>
      <c r="R194" s="10">
        <v>139</v>
      </c>
      <c r="S194" s="10">
        <v>37</v>
      </c>
      <c r="T194" s="10">
        <v>142</v>
      </c>
      <c r="U194" s="10">
        <v>5</v>
      </c>
      <c r="V194" s="10">
        <v>62</v>
      </c>
      <c r="W194" s="10">
        <v>0.14899999999999999</v>
      </c>
      <c r="X194" s="10">
        <v>84</v>
      </c>
      <c r="Y194" s="10">
        <v>55</v>
      </c>
      <c r="Z194" s="10">
        <v>58</v>
      </c>
      <c r="AA194" s="10">
        <v>5</v>
      </c>
      <c r="AB194" s="10">
        <v>12.8</v>
      </c>
      <c r="AC194" s="9" t="s">
        <v>349</v>
      </c>
      <c r="AD194" s="10"/>
      <c r="AE194" s="10"/>
      <c r="AF194" s="10"/>
      <c r="AG194" s="10"/>
    </row>
    <row r="195" spans="1:33">
      <c r="A195" s="7" t="s">
        <v>155</v>
      </c>
      <c r="B195" s="8" t="s">
        <v>156</v>
      </c>
      <c r="C195" s="9" t="s">
        <v>885</v>
      </c>
      <c r="D195" s="10">
        <v>176</v>
      </c>
      <c r="E195" s="9" t="s">
        <v>158</v>
      </c>
      <c r="F195" s="10">
        <v>176</v>
      </c>
      <c r="G195" s="10">
        <v>175.3</v>
      </c>
      <c r="H195" s="10">
        <v>155</v>
      </c>
      <c r="I195" s="10">
        <v>161</v>
      </c>
      <c r="J195" s="10">
        <v>127</v>
      </c>
      <c r="K195" s="10">
        <v>74</v>
      </c>
      <c r="L195" s="10">
        <v>111</v>
      </c>
      <c r="M195" s="10">
        <v>14.2</v>
      </c>
      <c r="N195" s="10">
        <v>2253</v>
      </c>
      <c r="O195" s="10">
        <v>0.71</v>
      </c>
      <c r="P195" s="10">
        <v>1590</v>
      </c>
      <c r="Q195" s="10">
        <v>248</v>
      </c>
      <c r="R195" s="10">
        <v>146</v>
      </c>
      <c r="S195" s="10">
        <v>37</v>
      </c>
      <c r="T195" s="10">
        <v>143</v>
      </c>
      <c r="U195" s="10">
        <v>5</v>
      </c>
      <c r="V195" s="10">
        <v>57</v>
      </c>
      <c r="W195" s="10">
        <v>0.13900000000000001</v>
      </c>
      <c r="X195" s="10">
        <v>85</v>
      </c>
      <c r="Y195" s="10">
        <v>56</v>
      </c>
      <c r="Z195" s="10">
        <v>59</v>
      </c>
      <c r="AA195" s="10">
        <v>9</v>
      </c>
      <c r="AB195" s="10">
        <v>12.5</v>
      </c>
      <c r="AC195" s="9" t="s">
        <v>349</v>
      </c>
      <c r="AD195" s="10"/>
      <c r="AE195" s="10"/>
      <c r="AF195" s="10"/>
      <c r="AG195" s="10"/>
    </row>
    <row r="196" spans="1:33">
      <c r="A196" s="7" t="s">
        <v>155</v>
      </c>
      <c r="B196" s="8" t="s">
        <v>156</v>
      </c>
      <c r="C196" s="9" t="s">
        <v>626</v>
      </c>
      <c r="D196" s="10">
        <v>161</v>
      </c>
      <c r="E196" s="9" t="s">
        <v>158</v>
      </c>
      <c r="F196" s="10">
        <v>161</v>
      </c>
      <c r="G196" s="10">
        <v>160.5</v>
      </c>
      <c r="H196" s="10">
        <v>135</v>
      </c>
      <c r="I196" s="10">
        <v>143</v>
      </c>
      <c r="J196" s="10">
        <v>114</v>
      </c>
      <c r="K196" s="10">
        <v>74</v>
      </c>
      <c r="L196" s="10">
        <v>99</v>
      </c>
      <c r="M196" s="10">
        <v>15.2</v>
      </c>
      <c r="N196" s="10">
        <v>1774</v>
      </c>
      <c r="O196" s="10">
        <v>0.78</v>
      </c>
      <c r="P196" s="10">
        <v>1388</v>
      </c>
      <c r="Q196" s="10">
        <v>166</v>
      </c>
      <c r="R196" s="10">
        <v>84</v>
      </c>
      <c r="S196" s="10">
        <v>39</v>
      </c>
      <c r="T196" s="10">
        <v>176</v>
      </c>
      <c r="U196" s="10">
        <v>4</v>
      </c>
      <c r="V196" s="10">
        <v>78</v>
      </c>
      <c r="W196" s="10">
        <v>0.112</v>
      </c>
      <c r="X196" s="10">
        <v>100</v>
      </c>
      <c r="Y196" s="10">
        <v>76</v>
      </c>
      <c r="Z196" s="10">
        <v>76</v>
      </c>
      <c r="AA196" s="10">
        <v>11</v>
      </c>
      <c r="AB196" s="10">
        <v>10.5</v>
      </c>
      <c r="AC196" s="9" t="s">
        <v>349</v>
      </c>
      <c r="AD196" s="9" t="s">
        <v>231</v>
      </c>
      <c r="AE196" s="10"/>
      <c r="AF196" s="10"/>
      <c r="AG196" s="10"/>
    </row>
    <row r="197" spans="1:33">
      <c r="A197" s="7" t="s">
        <v>155</v>
      </c>
      <c r="B197" s="8" t="s">
        <v>156</v>
      </c>
      <c r="C197" s="9" t="s">
        <v>626</v>
      </c>
      <c r="D197" s="10">
        <v>169</v>
      </c>
      <c r="E197" s="9" t="s">
        <v>158</v>
      </c>
      <c r="F197" s="10">
        <v>169</v>
      </c>
      <c r="G197" s="10">
        <v>168.5</v>
      </c>
      <c r="H197" s="10">
        <v>142</v>
      </c>
      <c r="I197" s="10">
        <v>152</v>
      </c>
      <c r="J197" s="10">
        <v>115</v>
      </c>
      <c r="K197" s="10">
        <v>74</v>
      </c>
      <c r="L197" s="10">
        <v>100</v>
      </c>
      <c r="M197" s="10">
        <v>16.2</v>
      </c>
      <c r="N197" s="10">
        <v>1889</v>
      </c>
      <c r="O197" s="10">
        <v>0.77</v>
      </c>
      <c r="P197" s="10">
        <v>1464</v>
      </c>
      <c r="Q197" s="10">
        <v>188</v>
      </c>
      <c r="R197" s="10">
        <v>91</v>
      </c>
      <c r="S197" s="10">
        <v>39</v>
      </c>
      <c r="T197" s="10">
        <v>185</v>
      </c>
      <c r="U197" s="10">
        <v>4</v>
      </c>
      <c r="V197" s="10">
        <v>76</v>
      </c>
      <c r="W197" s="10">
        <v>0.11600000000000001</v>
      </c>
      <c r="X197" s="10">
        <v>97</v>
      </c>
      <c r="Y197" s="10">
        <v>73</v>
      </c>
      <c r="Z197" s="10">
        <v>87</v>
      </c>
      <c r="AA197" s="10">
        <v>10</v>
      </c>
      <c r="AB197" s="10">
        <v>10.4</v>
      </c>
      <c r="AC197" s="9" t="s">
        <v>349</v>
      </c>
      <c r="AD197" s="9" t="s">
        <v>231</v>
      </c>
      <c r="AE197" s="10"/>
      <c r="AF197" s="10"/>
      <c r="AG197" s="10"/>
    </row>
    <row r="198" spans="1:33">
      <c r="A198" s="7" t="s">
        <v>155</v>
      </c>
      <c r="B198" s="8" t="s">
        <v>156</v>
      </c>
      <c r="C198" s="9" t="s">
        <v>157</v>
      </c>
      <c r="D198" s="10">
        <v>154</v>
      </c>
      <c r="E198" s="9" t="s">
        <v>158</v>
      </c>
      <c r="F198" s="10">
        <v>154</v>
      </c>
      <c r="G198" s="10">
        <v>153.5</v>
      </c>
      <c r="H198" s="10">
        <v>129</v>
      </c>
      <c r="I198" s="10">
        <v>137</v>
      </c>
      <c r="J198" s="10">
        <v>113</v>
      </c>
      <c r="K198" s="10">
        <v>74</v>
      </c>
      <c r="L198" s="10">
        <v>98</v>
      </c>
      <c r="M198" s="10">
        <v>14.2</v>
      </c>
      <c r="N198" s="9" t="s">
        <v>1155</v>
      </c>
      <c r="O198" s="9" t="s">
        <v>1155</v>
      </c>
      <c r="P198" s="10">
        <v>1328</v>
      </c>
      <c r="Q198" s="10">
        <v>154</v>
      </c>
      <c r="R198" s="10">
        <v>67</v>
      </c>
      <c r="S198" s="10">
        <v>35</v>
      </c>
      <c r="T198" s="10">
        <v>169</v>
      </c>
      <c r="U198" s="10">
        <v>6</v>
      </c>
      <c r="V198" s="10">
        <v>73</v>
      </c>
      <c r="W198" s="10">
        <v>0.16</v>
      </c>
      <c r="X198" s="10">
        <v>98</v>
      </c>
      <c r="Y198" s="10">
        <v>70</v>
      </c>
      <c r="Z198" s="10">
        <v>71</v>
      </c>
      <c r="AA198" s="10">
        <v>10</v>
      </c>
      <c r="AB198" s="10">
        <v>10.7</v>
      </c>
      <c r="AC198" s="9" t="s">
        <v>160</v>
      </c>
      <c r="AD198" s="10"/>
      <c r="AE198" s="10"/>
      <c r="AF198" s="10"/>
      <c r="AG198" s="10"/>
    </row>
    <row r="199" spans="1:33">
      <c r="A199" s="7" t="s">
        <v>155</v>
      </c>
      <c r="B199" s="8" t="s">
        <v>156</v>
      </c>
      <c r="C199" s="9" t="s">
        <v>157</v>
      </c>
      <c r="D199" s="10">
        <v>161</v>
      </c>
      <c r="E199" s="9" t="s">
        <v>158</v>
      </c>
      <c r="F199" s="10">
        <v>161</v>
      </c>
      <c r="G199" s="10">
        <v>160.4</v>
      </c>
      <c r="H199" s="10">
        <v>135</v>
      </c>
      <c r="I199" s="10">
        <v>143</v>
      </c>
      <c r="J199" s="10">
        <v>115</v>
      </c>
      <c r="K199" s="10">
        <v>74</v>
      </c>
      <c r="L199" s="10">
        <v>99</v>
      </c>
      <c r="M199" s="10">
        <v>15.3</v>
      </c>
      <c r="N199" s="10">
        <v>1731</v>
      </c>
      <c r="O199" s="10">
        <v>0.81</v>
      </c>
      <c r="P199" s="10">
        <v>1394</v>
      </c>
      <c r="Q199" s="10">
        <v>156</v>
      </c>
      <c r="R199" s="10">
        <v>67</v>
      </c>
      <c r="S199" s="10">
        <v>39</v>
      </c>
      <c r="T199" s="10">
        <v>178</v>
      </c>
      <c r="U199" s="10">
        <v>4</v>
      </c>
      <c r="V199" s="10">
        <v>76</v>
      </c>
      <c r="W199" s="10">
        <v>0.113</v>
      </c>
      <c r="X199" s="10">
        <v>98</v>
      </c>
      <c r="Y199" s="10">
        <v>71</v>
      </c>
      <c r="Z199" s="10">
        <v>79</v>
      </c>
      <c r="AA199" s="10">
        <v>10</v>
      </c>
      <c r="AB199" s="10">
        <v>10.4</v>
      </c>
      <c r="AC199" s="9" t="s">
        <v>349</v>
      </c>
      <c r="AD199" s="9" t="s">
        <v>231</v>
      </c>
      <c r="AE199" s="10"/>
      <c r="AF199" s="10"/>
      <c r="AG199" s="10"/>
    </row>
    <row r="200" spans="1:33">
      <c r="A200" s="7" t="s">
        <v>155</v>
      </c>
      <c r="B200" s="8" t="s">
        <v>156</v>
      </c>
      <c r="C200" s="9" t="s">
        <v>162</v>
      </c>
      <c r="D200" s="10">
        <v>161</v>
      </c>
      <c r="E200" s="9" t="s">
        <v>163</v>
      </c>
      <c r="F200" s="10">
        <v>161</v>
      </c>
      <c r="G200" s="10">
        <v>160.5</v>
      </c>
      <c r="H200" s="10">
        <v>135</v>
      </c>
      <c r="I200" s="10">
        <v>144</v>
      </c>
      <c r="J200" s="10">
        <v>115</v>
      </c>
      <c r="K200" s="10">
        <v>74</v>
      </c>
      <c r="L200" s="10">
        <v>99</v>
      </c>
      <c r="M200" s="10">
        <v>15.2</v>
      </c>
      <c r="N200" s="9" t="s">
        <v>1155</v>
      </c>
      <c r="O200" s="9" t="s">
        <v>1155</v>
      </c>
      <c r="P200" s="10">
        <v>1397</v>
      </c>
      <c r="Q200" s="10">
        <v>161</v>
      </c>
      <c r="R200" s="10">
        <v>69</v>
      </c>
      <c r="S200" s="10">
        <v>38</v>
      </c>
      <c r="T200" s="10">
        <v>177</v>
      </c>
      <c r="U200" s="10">
        <v>5</v>
      </c>
      <c r="V200" s="10">
        <v>82</v>
      </c>
      <c r="W200" s="10">
        <v>0.11899999999999999</v>
      </c>
      <c r="X200" s="10">
        <v>97</v>
      </c>
      <c r="Y200" s="10">
        <v>71</v>
      </c>
      <c r="Z200" s="10">
        <v>80</v>
      </c>
      <c r="AA200" s="10">
        <v>10</v>
      </c>
      <c r="AB200" s="10">
        <v>10.6</v>
      </c>
      <c r="AC200" s="9" t="s">
        <v>160</v>
      </c>
      <c r="AD200" s="10"/>
      <c r="AE200" s="10"/>
      <c r="AF200" s="10"/>
      <c r="AG200" s="10"/>
    </row>
    <row r="201" spans="1:33">
      <c r="A201" s="7" t="s">
        <v>155</v>
      </c>
      <c r="B201" s="8" t="s">
        <v>156</v>
      </c>
      <c r="C201" s="9" t="s">
        <v>735</v>
      </c>
      <c r="D201" s="10">
        <v>163</v>
      </c>
      <c r="E201" s="9" t="s">
        <v>158</v>
      </c>
      <c r="F201" s="10">
        <v>163</v>
      </c>
      <c r="G201" s="10">
        <v>162.5</v>
      </c>
      <c r="H201" s="10">
        <v>136</v>
      </c>
      <c r="I201" s="10">
        <v>146</v>
      </c>
      <c r="J201" s="10">
        <v>118</v>
      </c>
      <c r="K201" s="10">
        <v>77</v>
      </c>
      <c r="L201" s="10">
        <v>103</v>
      </c>
      <c r="M201" s="10">
        <v>15.3</v>
      </c>
      <c r="N201" s="10">
        <v>1917</v>
      </c>
      <c r="O201" s="10">
        <v>0.77</v>
      </c>
      <c r="P201" s="10">
        <v>1469</v>
      </c>
      <c r="Q201" s="10">
        <v>193</v>
      </c>
      <c r="R201" s="10">
        <v>82</v>
      </c>
      <c r="S201" s="10">
        <v>39</v>
      </c>
      <c r="T201" s="10">
        <v>179</v>
      </c>
      <c r="U201" s="10">
        <v>5</v>
      </c>
      <c r="V201" s="10">
        <v>82</v>
      </c>
      <c r="W201" s="10">
        <v>0.126</v>
      </c>
      <c r="X201" s="10">
        <v>90</v>
      </c>
      <c r="Y201" s="10">
        <v>72</v>
      </c>
      <c r="Z201" s="10">
        <v>89</v>
      </c>
      <c r="AA201" s="10">
        <v>8</v>
      </c>
      <c r="AB201" s="10">
        <v>11.4</v>
      </c>
      <c r="AC201" s="9" t="s">
        <v>349</v>
      </c>
      <c r="AD201" s="10"/>
      <c r="AE201" s="10"/>
      <c r="AF201" s="10"/>
      <c r="AG201" s="10"/>
    </row>
    <row r="202" spans="1:33">
      <c r="A202" s="7" t="s">
        <v>155</v>
      </c>
      <c r="B202" s="8" t="s">
        <v>156</v>
      </c>
      <c r="C202" s="9" t="s">
        <v>646</v>
      </c>
      <c r="D202" s="10">
        <v>159</v>
      </c>
      <c r="E202" s="9" t="s">
        <v>158</v>
      </c>
      <c r="F202" s="10">
        <v>159</v>
      </c>
      <c r="G202" s="10">
        <v>158.4</v>
      </c>
      <c r="H202" s="10">
        <v>130</v>
      </c>
      <c r="I202" s="10">
        <v>143</v>
      </c>
      <c r="J202" s="10">
        <v>118</v>
      </c>
      <c r="K202" s="10">
        <v>79</v>
      </c>
      <c r="L202" s="10">
        <v>104</v>
      </c>
      <c r="M202" s="10">
        <v>14.8</v>
      </c>
      <c r="N202" s="10">
        <v>1506</v>
      </c>
      <c r="O202" s="10">
        <v>0.97</v>
      </c>
      <c r="P202" s="10">
        <v>1456</v>
      </c>
      <c r="Q202" s="10">
        <v>184</v>
      </c>
      <c r="R202" s="10">
        <v>75</v>
      </c>
      <c r="S202" s="10">
        <v>45</v>
      </c>
      <c r="T202" s="10">
        <v>199</v>
      </c>
      <c r="U202" s="10">
        <v>6</v>
      </c>
      <c r="V202" s="10">
        <v>89</v>
      </c>
      <c r="W202" s="10">
        <v>0.13200000000000001</v>
      </c>
      <c r="X202" s="10">
        <v>86</v>
      </c>
      <c r="Y202" s="10">
        <v>69</v>
      </c>
      <c r="Z202" s="10">
        <v>113</v>
      </c>
      <c r="AA202" s="10">
        <v>5</v>
      </c>
      <c r="AB202" s="10">
        <v>11</v>
      </c>
      <c r="AC202" s="9" t="s">
        <v>349</v>
      </c>
      <c r="AD202" s="10"/>
      <c r="AE202" s="10"/>
      <c r="AF202" s="10"/>
      <c r="AG202" s="10"/>
    </row>
    <row r="203" spans="1:33">
      <c r="A203" s="7" t="s">
        <v>155</v>
      </c>
      <c r="B203" s="8" t="s">
        <v>156</v>
      </c>
      <c r="C203" s="9" t="s">
        <v>646</v>
      </c>
      <c r="D203" s="10">
        <v>174</v>
      </c>
      <c r="E203" s="9" t="s">
        <v>158</v>
      </c>
      <c r="F203" s="10">
        <v>174</v>
      </c>
      <c r="G203" s="10">
        <v>173.3</v>
      </c>
      <c r="H203" s="10">
        <v>146</v>
      </c>
      <c r="I203" s="10">
        <v>156</v>
      </c>
      <c r="J203" s="10">
        <v>122</v>
      </c>
      <c r="K203" s="10">
        <v>82</v>
      </c>
      <c r="L203" s="10">
        <v>108</v>
      </c>
      <c r="M203" s="10">
        <v>17.3</v>
      </c>
      <c r="N203" s="10">
        <v>1882</v>
      </c>
      <c r="O203" s="10">
        <v>0.87</v>
      </c>
      <c r="P203" s="10">
        <v>1639</v>
      </c>
      <c r="Q203" s="10">
        <v>244</v>
      </c>
      <c r="R203" s="10">
        <v>104</v>
      </c>
      <c r="S203" s="10">
        <v>41</v>
      </c>
      <c r="T203" s="10">
        <v>183</v>
      </c>
      <c r="U203" s="10">
        <v>5</v>
      </c>
      <c r="V203" s="10">
        <v>86</v>
      </c>
      <c r="W203" s="10">
        <v>0.12</v>
      </c>
      <c r="X203" s="10">
        <v>101</v>
      </c>
      <c r="Y203" s="10">
        <v>72</v>
      </c>
      <c r="Z203" s="10">
        <v>82</v>
      </c>
      <c r="AA203" s="10">
        <v>7</v>
      </c>
      <c r="AB203" s="10">
        <v>11.1</v>
      </c>
      <c r="AC203" s="9" t="s">
        <v>349</v>
      </c>
      <c r="AD203" s="9" t="s">
        <v>188</v>
      </c>
      <c r="AE203" s="10"/>
      <c r="AF203" s="10"/>
      <c r="AG203" s="10"/>
    </row>
    <row r="204" spans="1:33">
      <c r="A204" s="7" t="s">
        <v>155</v>
      </c>
      <c r="B204" s="8" t="s">
        <v>237</v>
      </c>
      <c r="C204" s="9" t="s">
        <v>773</v>
      </c>
      <c r="D204" s="10">
        <v>182.1</v>
      </c>
      <c r="E204" s="9" t="s">
        <v>158</v>
      </c>
      <c r="F204" s="10">
        <v>182.1</v>
      </c>
      <c r="G204" s="10">
        <v>180.9</v>
      </c>
      <c r="H204" s="10">
        <v>115</v>
      </c>
      <c r="I204" s="10">
        <v>148</v>
      </c>
      <c r="J204" s="10">
        <v>145</v>
      </c>
      <c r="K204" s="10">
        <v>114</v>
      </c>
      <c r="L204" s="10">
        <v>134</v>
      </c>
      <c r="M204" s="10">
        <v>19.3</v>
      </c>
      <c r="N204" s="10">
        <v>2227</v>
      </c>
      <c r="O204" s="10">
        <v>1.01</v>
      </c>
      <c r="P204" s="10">
        <v>2241</v>
      </c>
      <c r="Q204" s="10">
        <v>230</v>
      </c>
      <c r="R204" s="10">
        <v>107</v>
      </c>
      <c r="S204" s="10">
        <v>50</v>
      </c>
      <c r="T204" s="10">
        <v>375</v>
      </c>
      <c r="U204" s="10">
        <v>47</v>
      </c>
      <c r="V204" s="10">
        <v>286</v>
      </c>
      <c r="W204" s="10">
        <v>0.92800000000000005</v>
      </c>
      <c r="X204" s="10">
        <v>185</v>
      </c>
      <c r="Y204" s="10">
        <v>145</v>
      </c>
      <c r="Z204" s="10">
        <v>191</v>
      </c>
      <c r="AA204" s="10">
        <v>7</v>
      </c>
      <c r="AB204" s="10">
        <v>7.1</v>
      </c>
      <c r="AC204" s="9" t="s">
        <v>184</v>
      </c>
      <c r="AD204" s="9" t="s">
        <v>169</v>
      </c>
      <c r="AE204" s="10"/>
      <c r="AF204" s="10"/>
      <c r="AG204" s="10"/>
    </row>
    <row r="205" spans="1:33">
      <c r="A205" s="7" t="s">
        <v>155</v>
      </c>
      <c r="B205" s="8" t="s">
        <v>237</v>
      </c>
      <c r="C205" s="9" t="s">
        <v>541</v>
      </c>
      <c r="D205" s="10">
        <v>178.3</v>
      </c>
      <c r="E205" s="9" t="s">
        <v>158</v>
      </c>
      <c r="F205" s="10">
        <v>178.3</v>
      </c>
      <c r="G205" s="10">
        <v>176.9</v>
      </c>
      <c r="H205" s="10">
        <v>122</v>
      </c>
      <c r="I205" s="10">
        <v>145</v>
      </c>
      <c r="J205" s="10">
        <v>138</v>
      </c>
      <c r="K205" s="10">
        <v>108</v>
      </c>
      <c r="L205" s="10">
        <v>125</v>
      </c>
      <c r="M205" s="10">
        <v>20.399999999999999</v>
      </c>
      <c r="N205" s="10">
        <v>1900</v>
      </c>
      <c r="O205" s="10">
        <v>1.0900000000000001</v>
      </c>
      <c r="P205" s="10">
        <v>2078</v>
      </c>
      <c r="Q205" s="10">
        <v>197</v>
      </c>
      <c r="R205" s="10">
        <v>85</v>
      </c>
      <c r="S205" s="10">
        <v>53</v>
      </c>
      <c r="T205" s="10">
        <v>339</v>
      </c>
      <c r="U205" s="10">
        <v>30</v>
      </c>
      <c r="V205" s="10">
        <v>214</v>
      </c>
      <c r="W205" s="10">
        <v>0.57799999999999996</v>
      </c>
      <c r="X205" s="10">
        <v>198</v>
      </c>
      <c r="Y205" s="10">
        <v>118</v>
      </c>
      <c r="Z205" s="10">
        <v>140</v>
      </c>
      <c r="AA205" s="10">
        <v>5</v>
      </c>
      <c r="AB205" s="10">
        <v>8.1</v>
      </c>
      <c r="AC205" s="9" t="s">
        <v>169</v>
      </c>
      <c r="AD205" s="9" t="s">
        <v>185</v>
      </c>
      <c r="AE205" s="10"/>
      <c r="AF205" s="10"/>
      <c r="AG205" s="10"/>
    </row>
    <row r="206" spans="1:33">
      <c r="A206" s="7" t="s">
        <v>155</v>
      </c>
      <c r="B206" s="8" t="s">
        <v>237</v>
      </c>
      <c r="C206" s="9" t="s">
        <v>541</v>
      </c>
      <c r="D206" s="10">
        <v>184.2</v>
      </c>
      <c r="E206" s="9" t="s">
        <v>158</v>
      </c>
      <c r="F206" s="10">
        <v>184.2</v>
      </c>
      <c r="G206" s="10">
        <v>182.7</v>
      </c>
      <c r="H206" s="10">
        <v>121</v>
      </c>
      <c r="I206" s="10">
        <v>148</v>
      </c>
      <c r="J206" s="10">
        <v>138</v>
      </c>
      <c r="K206" s="10">
        <v>107</v>
      </c>
      <c r="L206" s="10">
        <v>125</v>
      </c>
      <c r="M206" s="10">
        <v>20.399999999999999</v>
      </c>
      <c r="N206" s="10">
        <v>2066</v>
      </c>
      <c r="O206" s="10">
        <v>1.04</v>
      </c>
      <c r="P206" s="10">
        <v>2146</v>
      </c>
      <c r="Q206" s="10">
        <v>247</v>
      </c>
      <c r="R206" s="10">
        <v>99</v>
      </c>
      <c r="S206" s="10">
        <v>57</v>
      </c>
      <c r="T206" s="10">
        <v>356</v>
      </c>
      <c r="U206" s="10">
        <v>32</v>
      </c>
      <c r="V206" s="10">
        <v>260</v>
      </c>
      <c r="W206" s="10">
        <v>0.56000000000000005</v>
      </c>
      <c r="X206" s="10">
        <v>227</v>
      </c>
      <c r="Y206" s="10">
        <v>121</v>
      </c>
      <c r="Z206" s="10">
        <v>128</v>
      </c>
      <c r="AA206" s="10">
        <v>3</v>
      </c>
      <c r="AB206" s="10">
        <v>7.9</v>
      </c>
      <c r="AC206" s="9" t="s">
        <v>169</v>
      </c>
      <c r="AD206" s="10"/>
      <c r="AE206" s="10"/>
      <c r="AF206" s="10"/>
      <c r="AG206" s="10"/>
    </row>
    <row r="207" spans="1:33">
      <c r="A207" s="7" t="s">
        <v>155</v>
      </c>
      <c r="B207" s="8" t="s">
        <v>237</v>
      </c>
      <c r="C207" s="9" t="s">
        <v>541</v>
      </c>
      <c r="D207" s="10">
        <v>189.7</v>
      </c>
      <c r="E207" s="9" t="s">
        <v>158</v>
      </c>
      <c r="F207" s="10">
        <v>189.7</v>
      </c>
      <c r="G207" s="10">
        <v>187.6</v>
      </c>
      <c r="H207" s="10">
        <v>131</v>
      </c>
      <c r="I207" s="10">
        <v>151</v>
      </c>
      <c r="J207" s="10">
        <v>139</v>
      </c>
      <c r="K207" s="10">
        <v>107</v>
      </c>
      <c r="L207" s="10">
        <v>126</v>
      </c>
      <c r="M207" s="10">
        <v>20.399999999999999</v>
      </c>
      <c r="N207" s="10">
        <v>2131</v>
      </c>
      <c r="O207" s="10">
        <v>1.04</v>
      </c>
      <c r="P207" s="10">
        <v>2208</v>
      </c>
      <c r="Q207" s="10">
        <v>251</v>
      </c>
      <c r="R207" s="10">
        <v>121</v>
      </c>
      <c r="S207" s="10">
        <v>52</v>
      </c>
      <c r="T207" s="10">
        <v>334</v>
      </c>
      <c r="U207" s="10">
        <v>34</v>
      </c>
      <c r="V207" s="10">
        <v>234</v>
      </c>
      <c r="W207" s="10">
        <v>0.65</v>
      </c>
      <c r="X207" s="10">
        <v>227</v>
      </c>
      <c r="Y207" s="10">
        <v>141</v>
      </c>
      <c r="Z207" s="10">
        <v>108</v>
      </c>
      <c r="AA207" s="10">
        <v>5</v>
      </c>
      <c r="AB207" s="10">
        <v>8.1</v>
      </c>
      <c r="AC207" s="9" t="s">
        <v>169</v>
      </c>
      <c r="AD207" s="10"/>
      <c r="AE207" s="10"/>
      <c r="AF207" s="10"/>
      <c r="AG207" s="10"/>
    </row>
    <row r="208" spans="1:33">
      <c r="A208" s="7" t="s">
        <v>155</v>
      </c>
      <c r="B208" s="8" t="s">
        <v>237</v>
      </c>
      <c r="C208" s="9" t="s">
        <v>665</v>
      </c>
      <c r="D208" s="10">
        <v>160.1</v>
      </c>
      <c r="E208" s="9" t="s">
        <v>163</v>
      </c>
      <c r="F208" s="10">
        <v>160.1</v>
      </c>
      <c r="G208" s="10">
        <v>158.9</v>
      </c>
      <c r="H208" s="10">
        <v>112</v>
      </c>
      <c r="I208" s="10">
        <v>133</v>
      </c>
      <c r="J208" s="10">
        <v>135</v>
      </c>
      <c r="K208" s="10">
        <v>106</v>
      </c>
      <c r="L208" s="10">
        <v>121</v>
      </c>
      <c r="M208" s="10">
        <v>19.2</v>
      </c>
      <c r="N208" s="10">
        <v>1649</v>
      </c>
      <c r="O208" s="10">
        <v>1.1100000000000001</v>
      </c>
      <c r="P208" s="10">
        <v>1831</v>
      </c>
      <c r="Q208" s="10">
        <v>121</v>
      </c>
      <c r="R208" s="10">
        <v>57</v>
      </c>
      <c r="S208" s="10">
        <v>50</v>
      </c>
      <c r="T208" s="10">
        <v>283</v>
      </c>
      <c r="U208" s="10">
        <v>30</v>
      </c>
      <c r="V208" s="10">
        <v>184</v>
      </c>
      <c r="W208" s="10">
        <v>0.60399999999999998</v>
      </c>
      <c r="X208" s="10">
        <v>155</v>
      </c>
      <c r="Y208" s="10">
        <v>100</v>
      </c>
      <c r="Z208" s="10">
        <v>128</v>
      </c>
      <c r="AA208" s="10">
        <v>7</v>
      </c>
      <c r="AB208" s="10">
        <v>8.5</v>
      </c>
      <c r="AC208" s="9" t="s">
        <v>169</v>
      </c>
      <c r="AD208" s="9" t="s">
        <v>185</v>
      </c>
      <c r="AE208" s="10"/>
      <c r="AF208" s="10"/>
      <c r="AG208" s="10"/>
    </row>
    <row r="209" spans="1:33">
      <c r="A209" s="7" t="s">
        <v>155</v>
      </c>
      <c r="B209" s="8" t="s">
        <v>237</v>
      </c>
      <c r="C209" s="9" t="s">
        <v>665</v>
      </c>
      <c r="D209" s="10">
        <v>169.1</v>
      </c>
      <c r="E209" s="9" t="s">
        <v>163</v>
      </c>
      <c r="F209" s="10">
        <v>169.1</v>
      </c>
      <c r="G209" s="10">
        <v>167.9</v>
      </c>
      <c r="H209" s="10">
        <v>120</v>
      </c>
      <c r="I209" s="10">
        <v>139</v>
      </c>
      <c r="J209" s="10">
        <v>136</v>
      </c>
      <c r="K209" s="10">
        <v>107</v>
      </c>
      <c r="L209" s="10">
        <v>122</v>
      </c>
      <c r="M209" s="10">
        <v>20.3</v>
      </c>
      <c r="N209" s="10">
        <v>1780</v>
      </c>
      <c r="O209" s="10">
        <v>1.0900000000000001</v>
      </c>
      <c r="P209" s="10">
        <v>1946</v>
      </c>
      <c r="Q209" s="10">
        <v>167</v>
      </c>
      <c r="R209" s="10">
        <v>70</v>
      </c>
      <c r="S209" s="10">
        <v>46</v>
      </c>
      <c r="T209" s="10">
        <v>268</v>
      </c>
      <c r="U209" s="10">
        <v>32</v>
      </c>
      <c r="V209" s="10">
        <v>212</v>
      </c>
      <c r="W209" s="10">
        <v>0.68700000000000006</v>
      </c>
      <c r="X209" s="10">
        <v>173</v>
      </c>
      <c r="Y209" s="10">
        <v>117</v>
      </c>
      <c r="Z209" s="10">
        <v>95</v>
      </c>
      <c r="AA209" s="10">
        <v>5</v>
      </c>
      <c r="AB209" s="10">
        <v>8.4</v>
      </c>
      <c r="AC209" s="9" t="s">
        <v>169</v>
      </c>
      <c r="AD209" s="9" t="s">
        <v>185</v>
      </c>
      <c r="AE209" s="10"/>
      <c r="AF209" s="10"/>
      <c r="AG209" s="10"/>
    </row>
    <row r="210" spans="1:33">
      <c r="A210" s="7" t="s">
        <v>155</v>
      </c>
      <c r="B210" s="8" t="s">
        <v>237</v>
      </c>
      <c r="C210" s="9" t="s">
        <v>507</v>
      </c>
      <c r="D210" s="10">
        <v>168.1</v>
      </c>
      <c r="E210" s="9" t="s">
        <v>158</v>
      </c>
      <c r="F210" s="10">
        <v>168.1</v>
      </c>
      <c r="G210" s="10">
        <v>167.5</v>
      </c>
      <c r="H210" s="10">
        <v>130</v>
      </c>
      <c r="I210" s="10">
        <v>144</v>
      </c>
      <c r="J210" s="10">
        <v>127</v>
      </c>
      <c r="K210" s="10">
        <v>96</v>
      </c>
      <c r="L210" s="10">
        <v>116</v>
      </c>
      <c r="M210" s="10">
        <v>18.7</v>
      </c>
      <c r="N210" s="10">
        <v>1696</v>
      </c>
      <c r="O210" s="10">
        <v>1.04</v>
      </c>
      <c r="P210" s="10">
        <v>1772</v>
      </c>
      <c r="Q210" s="10">
        <v>141</v>
      </c>
      <c r="R210" s="10">
        <v>74</v>
      </c>
      <c r="S210" s="10">
        <v>46</v>
      </c>
      <c r="T210" s="10">
        <v>225</v>
      </c>
      <c r="U210" s="10">
        <v>29</v>
      </c>
      <c r="V210" s="10">
        <v>150</v>
      </c>
      <c r="W210" s="10">
        <v>0.63200000000000001</v>
      </c>
      <c r="X210" s="10">
        <v>128</v>
      </c>
      <c r="Y210" s="10">
        <v>112</v>
      </c>
      <c r="Z210" s="10">
        <v>97</v>
      </c>
      <c r="AA210" s="10">
        <v>14</v>
      </c>
      <c r="AB210" s="10">
        <v>6.2</v>
      </c>
      <c r="AC210" s="9" t="s">
        <v>188</v>
      </c>
      <c r="AD210" s="10"/>
      <c r="AE210" s="10"/>
      <c r="AF210" s="10"/>
      <c r="AG210" s="10"/>
    </row>
    <row r="211" spans="1:33">
      <c r="A211" s="7" t="s">
        <v>155</v>
      </c>
      <c r="B211" s="8" t="s">
        <v>237</v>
      </c>
      <c r="C211" s="9" t="s">
        <v>507</v>
      </c>
      <c r="D211" s="10">
        <v>174.2</v>
      </c>
      <c r="E211" s="9" t="s">
        <v>158</v>
      </c>
      <c r="F211" s="10">
        <v>174.2</v>
      </c>
      <c r="G211" s="10">
        <v>173.3</v>
      </c>
      <c r="H211" s="10">
        <v>135</v>
      </c>
      <c r="I211" s="10">
        <v>150</v>
      </c>
      <c r="J211" s="10">
        <v>128</v>
      </c>
      <c r="K211" s="10">
        <v>96</v>
      </c>
      <c r="L211" s="10">
        <v>116</v>
      </c>
      <c r="M211" s="10">
        <v>20.6</v>
      </c>
      <c r="N211" s="10">
        <v>1773</v>
      </c>
      <c r="O211" s="10">
        <v>1.03</v>
      </c>
      <c r="P211" s="10">
        <v>1830</v>
      </c>
      <c r="Q211" s="10">
        <v>168</v>
      </c>
      <c r="R211" s="10">
        <v>86</v>
      </c>
      <c r="S211" s="10">
        <v>44</v>
      </c>
      <c r="T211" s="10">
        <v>227</v>
      </c>
      <c r="U211" s="10">
        <v>30</v>
      </c>
      <c r="V211" s="10">
        <v>153</v>
      </c>
      <c r="W211" s="10">
        <v>0.67100000000000004</v>
      </c>
      <c r="X211" s="10">
        <v>118</v>
      </c>
      <c r="Y211" s="10">
        <v>111</v>
      </c>
      <c r="Z211" s="10">
        <v>109</v>
      </c>
      <c r="AA211" s="10">
        <v>12</v>
      </c>
      <c r="AB211" s="10">
        <v>6.4</v>
      </c>
      <c r="AC211" s="9" t="s">
        <v>188</v>
      </c>
      <c r="AD211" s="10"/>
      <c r="AE211" s="10"/>
      <c r="AF211" s="10"/>
      <c r="AG211" s="10"/>
    </row>
    <row r="212" spans="1:33">
      <c r="A212" s="7" t="s">
        <v>155</v>
      </c>
      <c r="B212" s="8" t="s">
        <v>237</v>
      </c>
      <c r="C212" s="9" t="s">
        <v>507</v>
      </c>
      <c r="D212" s="10">
        <v>180.4</v>
      </c>
      <c r="E212" s="9" t="s">
        <v>158</v>
      </c>
      <c r="F212" s="10">
        <v>180.4</v>
      </c>
      <c r="G212" s="10">
        <v>179.2</v>
      </c>
      <c r="H212" s="10">
        <v>143</v>
      </c>
      <c r="I212" s="10">
        <v>157</v>
      </c>
      <c r="J212" s="10">
        <v>129</v>
      </c>
      <c r="K212" s="10">
        <v>96</v>
      </c>
      <c r="L212" s="10">
        <v>118</v>
      </c>
      <c r="M212" s="10">
        <v>20.2</v>
      </c>
      <c r="N212" s="10">
        <v>1790</v>
      </c>
      <c r="O212" s="10">
        <v>1.07</v>
      </c>
      <c r="P212" s="10">
        <v>1910</v>
      </c>
      <c r="Q212" s="10">
        <v>177</v>
      </c>
      <c r="R212" s="10">
        <v>83</v>
      </c>
      <c r="S212" s="10">
        <v>44</v>
      </c>
      <c r="T212" s="10">
        <v>214</v>
      </c>
      <c r="U212" s="10">
        <v>29</v>
      </c>
      <c r="V212" s="10">
        <v>145</v>
      </c>
      <c r="W212" s="10">
        <v>0.66700000000000004</v>
      </c>
      <c r="X212" s="10">
        <v>137</v>
      </c>
      <c r="Y212" s="10">
        <v>86</v>
      </c>
      <c r="Z212" s="10">
        <v>77</v>
      </c>
      <c r="AA212" s="10">
        <v>15</v>
      </c>
      <c r="AB212" s="10">
        <v>6.7</v>
      </c>
      <c r="AC212" s="9" t="s">
        <v>188</v>
      </c>
      <c r="AD212" s="9" t="s">
        <v>185</v>
      </c>
      <c r="AE212" s="10"/>
      <c r="AF212" s="10"/>
      <c r="AG212" s="10"/>
    </row>
    <row r="213" spans="1:33">
      <c r="A213" s="7" t="s">
        <v>155</v>
      </c>
      <c r="B213" s="8" t="s">
        <v>237</v>
      </c>
      <c r="C213" s="9" t="s">
        <v>507</v>
      </c>
      <c r="D213" s="10">
        <v>186.5</v>
      </c>
      <c r="E213" s="9" t="s">
        <v>158</v>
      </c>
      <c r="F213" s="10">
        <v>186.5</v>
      </c>
      <c r="G213" s="10">
        <v>185.4</v>
      </c>
      <c r="H213" s="10">
        <v>148</v>
      </c>
      <c r="I213" s="10">
        <v>159</v>
      </c>
      <c r="J213" s="10">
        <v>131</v>
      </c>
      <c r="K213" s="10">
        <v>96</v>
      </c>
      <c r="L213" s="10">
        <v>119</v>
      </c>
      <c r="M213" s="10">
        <v>20.3</v>
      </c>
      <c r="N213" s="10">
        <v>1958</v>
      </c>
      <c r="O213" s="10">
        <v>1.02</v>
      </c>
      <c r="P213" s="10">
        <v>1990</v>
      </c>
      <c r="Q213" s="10">
        <v>198</v>
      </c>
      <c r="R213" s="10">
        <v>96</v>
      </c>
      <c r="S213" s="10">
        <v>43</v>
      </c>
      <c r="T213" s="10">
        <v>219</v>
      </c>
      <c r="U213" s="10">
        <v>30</v>
      </c>
      <c r="V213" s="10">
        <v>155</v>
      </c>
      <c r="W213" s="10">
        <v>0.70899999999999996</v>
      </c>
      <c r="X213" s="10">
        <v>139</v>
      </c>
      <c r="Y213" s="10">
        <v>127</v>
      </c>
      <c r="Z213" s="10">
        <v>80</v>
      </c>
      <c r="AA213" s="10">
        <v>17</v>
      </c>
      <c r="AB213" s="10">
        <v>6</v>
      </c>
      <c r="AC213" s="9" t="s">
        <v>188</v>
      </c>
      <c r="AD213" s="10"/>
      <c r="AE213" s="10"/>
      <c r="AF213" s="10"/>
      <c r="AG213" s="10"/>
    </row>
    <row r="214" spans="1:33">
      <c r="A214" s="7" t="s">
        <v>155</v>
      </c>
      <c r="B214" s="8" t="s">
        <v>237</v>
      </c>
      <c r="C214" s="9" t="s">
        <v>642</v>
      </c>
      <c r="D214" s="10">
        <v>156.1</v>
      </c>
      <c r="E214" s="9" t="s">
        <v>163</v>
      </c>
      <c r="F214" s="10">
        <v>156.1</v>
      </c>
      <c r="G214" s="10">
        <v>154.9</v>
      </c>
      <c r="H214" s="10">
        <v>120</v>
      </c>
      <c r="I214" s="10">
        <v>136</v>
      </c>
      <c r="J214" s="10">
        <v>126</v>
      </c>
      <c r="K214" s="10">
        <v>95</v>
      </c>
      <c r="L214" s="10">
        <v>114</v>
      </c>
      <c r="M214" s="10">
        <v>18.399999999999999</v>
      </c>
      <c r="N214" s="10">
        <v>1543</v>
      </c>
      <c r="O214" s="10">
        <v>1.05</v>
      </c>
      <c r="P214" s="10">
        <v>1616</v>
      </c>
      <c r="Q214" s="10">
        <v>148</v>
      </c>
      <c r="R214" s="10">
        <v>61</v>
      </c>
      <c r="S214" s="10">
        <v>38</v>
      </c>
      <c r="T214" s="10">
        <v>198</v>
      </c>
      <c r="U214" s="10">
        <v>30</v>
      </c>
      <c r="V214" s="10">
        <v>156</v>
      </c>
      <c r="W214" s="10">
        <v>0.78700000000000003</v>
      </c>
      <c r="X214" s="10">
        <v>100</v>
      </c>
      <c r="Y214" s="10">
        <v>94</v>
      </c>
      <c r="Z214" s="10">
        <v>98</v>
      </c>
      <c r="AA214" s="10">
        <v>14</v>
      </c>
      <c r="AB214" s="10">
        <v>6.6</v>
      </c>
      <c r="AC214" s="9" t="s">
        <v>188</v>
      </c>
      <c r="AD214" s="10"/>
      <c r="AE214" s="10"/>
      <c r="AF214" s="10"/>
      <c r="AG214" s="10"/>
    </row>
    <row r="215" spans="1:33">
      <c r="A215" s="7" t="s">
        <v>155</v>
      </c>
      <c r="B215" s="8" t="s">
        <v>237</v>
      </c>
      <c r="C215" s="9" t="s">
        <v>642</v>
      </c>
      <c r="D215" s="10">
        <v>162.30000000000001</v>
      </c>
      <c r="E215" s="9" t="s">
        <v>163</v>
      </c>
      <c r="F215" s="10">
        <v>162.30000000000001</v>
      </c>
      <c r="G215" s="10">
        <v>160.80000000000001</v>
      </c>
      <c r="H215" s="10">
        <v>117</v>
      </c>
      <c r="I215" s="10">
        <v>140</v>
      </c>
      <c r="J215" s="10">
        <v>129</v>
      </c>
      <c r="K215" s="10">
        <v>97</v>
      </c>
      <c r="L215" s="10">
        <v>117</v>
      </c>
      <c r="M215" s="10">
        <v>18.3</v>
      </c>
      <c r="N215" s="10">
        <v>1601</v>
      </c>
      <c r="O215" s="10">
        <v>1.07</v>
      </c>
      <c r="P215" s="10">
        <v>1720</v>
      </c>
      <c r="Q215" s="10">
        <v>142</v>
      </c>
      <c r="R215" s="10">
        <v>74</v>
      </c>
      <c r="S215" s="10">
        <v>45</v>
      </c>
      <c r="T215" s="10">
        <v>246</v>
      </c>
      <c r="U215" s="10">
        <v>32</v>
      </c>
      <c r="V215" s="10">
        <v>194</v>
      </c>
      <c r="W215" s="10">
        <v>0.71499999999999997</v>
      </c>
      <c r="X215" s="10">
        <v>103</v>
      </c>
      <c r="Y215" s="10">
        <v>110</v>
      </c>
      <c r="Z215" s="10">
        <v>143</v>
      </c>
      <c r="AA215" s="10">
        <v>8</v>
      </c>
      <c r="AB215" s="10">
        <v>6.4</v>
      </c>
      <c r="AC215" s="9" t="s">
        <v>188</v>
      </c>
      <c r="AD215" s="9" t="s">
        <v>185</v>
      </c>
      <c r="AE215" s="10"/>
      <c r="AF215" s="10"/>
      <c r="AG215" s="10"/>
    </row>
    <row r="216" spans="1:33">
      <c r="A216" s="7" t="s">
        <v>155</v>
      </c>
      <c r="B216" s="8" t="s">
        <v>237</v>
      </c>
      <c r="C216" s="9" t="s">
        <v>642</v>
      </c>
      <c r="D216" s="10">
        <v>168.1</v>
      </c>
      <c r="E216" s="9" t="s">
        <v>163</v>
      </c>
      <c r="F216" s="10">
        <v>168.1</v>
      </c>
      <c r="G216" s="10">
        <v>166.9</v>
      </c>
      <c r="H216" s="10">
        <v>121</v>
      </c>
      <c r="I216" s="10">
        <v>144</v>
      </c>
      <c r="J216" s="10">
        <v>130</v>
      </c>
      <c r="K216" s="10">
        <v>97</v>
      </c>
      <c r="L216" s="10">
        <v>119</v>
      </c>
      <c r="M216" s="10">
        <v>18.5</v>
      </c>
      <c r="N216" s="10">
        <v>1719</v>
      </c>
      <c r="O216" s="10">
        <v>1.05</v>
      </c>
      <c r="P216" s="10">
        <v>1798</v>
      </c>
      <c r="Q216" s="10">
        <v>172</v>
      </c>
      <c r="R216" s="10">
        <v>75</v>
      </c>
      <c r="S216" s="10">
        <v>49</v>
      </c>
      <c r="T216" s="10">
        <v>260</v>
      </c>
      <c r="U216" s="10">
        <v>35</v>
      </c>
      <c r="V216" s="10">
        <v>198</v>
      </c>
      <c r="W216" s="10">
        <v>0.70899999999999996</v>
      </c>
      <c r="X216" s="10">
        <v>122</v>
      </c>
      <c r="Y216" s="10">
        <v>109</v>
      </c>
      <c r="Z216" s="10">
        <v>139</v>
      </c>
      <c r="AA216" s="10">
        <v>6</v>
      </c>
      <c r="AB216" s="10">
        <v>6.6</v>
      </c>
      <c r="AC216" s="9" t="s">
        <v>188</v>
      </c>
      <c r="AD216" s="10"/>
      <c r="AE216" s="10"/>
      <c r="AF216" s="10"/>
      <c r="AG216" s="10"/>
    </row>
    <row r="217" spans="1:33">
      <c r="A217" s="7" t="s">
        <v>155</v>
      </c>
      <c r="B217" s="8" t="s">
        <v>237</v>
      </c>
      <c r="C217" s="9" t="s">
        <v>361</v>
      </c>
      <c r="D217" s="10">
        <v>160.19999999999999</v>
      </c>
      <c r="E217" s="9" t="s">
        <v>158</v>
      </c>
      <c r="F217" s="10">
        <v>160.19999999999999</v>
      </c>
      <c r="G217" s="10">
        <v>159.80000000000001</v>
      </c>
      <c r="H217" s="10">
        <v>114</v>
      </c>
      <c r="I217" s="10">
        <v>135</v>
      </c>
      <c r="J217" s="10">
        <v>128</v>
      </c>
      <c r="K217" s="10">
        <v>95</v>
      </c>
      <c r="L217" s="10">
        <v>112</v>
      </c>
      <c r="M217" s="10">
        <v>17.3</v>
      </c>
      <c r="N217" s="10">
        <v>1331</v>
      </c>
      <c r="O217" s="10">
        <v>1.26</v>
      </c>
      <c r="P217" s="10">
        <v>1675</v>
      </c>
      <c r="Q217" s="10">
        <v>155</v>
      </c>
      <c r="R217" s="10">
        <v>77</v>
      </c>
      <c r="S217" s="10">
        <v>52</v>
      </c>
      <c r="T217" s="10">
        <v>307</v>
      </c>
      <c r="U217" s="10">
        <v>15</v>
      </c>
      <c r="V217" s="10">
        <v>155</v>
      </c>
      <c r="W217" s="10">
        <v>0.29099999999999998</v>
      </c>
      <c r="X217" s="10">
        <v>149</v>
      </c>
      <c r="Y217" s="10">
        <v>104</v>
      </c>
      <c r="Z217" s="10">
        <v>158</v>
      </c>
      <c r="AA217" s="10">
        <v>3</v>
      </c>
      <c r="AB217" s="10">
        <v>8.1</v>
      </c>
      <c r="AC217" s="9" t="s">
        <v>188</v>
      </c>
      <c r="AD217" s="9" t="s">
        <v>185</v>
      </c>
      <c r="AE217" s="9" t="s">
        <v>198</v>
      </c>
      <c r="AF217" s="10"/>
      <c r="AG217" s="10"/>
    </row>
    <row r="218" spans="1:33">
      <c r="A218" s="7" t="s">
        <v>155</v>
      </c>
      <c r="B218" s="8" t="s">
        <v>237</v>
      </c>
      <c r="C218" s="9" t="s">
        <v>361</v>
      </c>
      <c r="D218" s="10">
        <v>166.2</v>
      </c>
      <c r="E218" s="9" t="s">
        <v>158</v>
      </c>
      <c r="F218" s="10">
        <v>166.2</v>
      </c>
      <c r="G218" s="10">
        <v>165.4</v>
      </c>
      <c r="H218" s="10">
        <v>127</v>
      </c>
      <c r="I218" s="10">
        <v>139</v>
      </c>
      <c r="J218" s="10">
        <v>132</v>
      </c>
      <c r="K218" s="10">
        <v>95</v>
      </c>
      <c r="L218" s="10">
        <v>114</v>
      </c>
      <c r="M218" s="10">
        <v>16.7</v>
      </c>
      <c r="N218" s="10">
        <v>1393</v>
      </c>
      <c r="O218" s="10">
        <v>1.26</v>
      </c>
      <c r="P218" s="10">
        <v>1758</v>
      </c>
      <c r="Q218" s="10">
        <v>167</v>
      </c>
      <c r="R218" s="10">
        <v>84</v>
      </c>
      <c r="S218" s="10">
        <v>44</v>
      </c>
      <c r="T218" s="10">
        <v>247</v>
      </c>
      <c r="U218" s="10">
        <v>12</v>
      </c>
      <c r="V218" s="10">
        <v>139</v>
      </c>
      <c r="W218" s="10">
        <v>0.27700000000000002</v>
      </c>
      <c r="X218" s="10">
        <v>149</v>
      </c>
      <c r="Y218" s="10">
        <v>119</v>
      </c>
      <c r="Z218" s="10">
        <v>98</v>
      </c>
      <c r="AA218" s="10">
        <v>10</v>
      </c>
      <c r="AB218" s="10">
        <v>9.1</v>
      </c>
      <c r="AC218" s="9" t="s">
        <v>188</v>
      </c>
      <c r="AD218" s="9" t="s">
        <v>185</v>
      </c>
      <c r="AE218" s="9" t="s">
        <v>198</v>
      </c>
      <c r="AF218" s="10"/>
      <c r="AG218" s="10"/>
    </row>
    <row r="219" spans="1:33">
      <c r="A219" s="7" t="s">
        <v>155</v>
      </c>
      <c r="B219" s="8" t="s">
        <v>237</v>
      </c>
      <c r="C219" s="9" t="s">
        <v>361</v>
      </c>
      <c r="D219" s="10">
        <v>172.2</v>
      </c>
      <c r="E219" s="9" t="s">
        <v>158</v>
      </c>
      <c r="F219" s="10">
        <v>172.2</v>
      </c>
      <c r="G219" s="10">
        <v>171.3</v>
      </c>
      <c r="H219" s="10">
        <v>132</v>
      </c>
      <c r="I219" s="10">
        <v>144</v>
      </c>
      <c r="J219" s="10">
        <v>132</v>
      </c>
      <c r="K219" s="10">
        <v>95</v>
      </c>
      <c r="L219" s="10">
        <v>114</v>
      </c>
      <c r="M219" s="10">
        <v>17.100000000000001</v>
      </c>
      <c r="N219" s="10">
        <v>1468</v>
      </c>
      <c r="O219" s="10">
        <v>1.24</v>
      </c>
      <c r="P219" s="10">
        <v>1822</v>
      </c>
      <c r="Q219" s="10">
        <v>192</v>
      </c>
      <c r="R219" s="10">
        <v>99</v>
      </c>
      <c r="S219" s="10">
        <v>43</v>
      </c>
      <c r="T219" s="10">
        <v>252</v>
      </c>
      <c r="U219" s="10">
        <v>11</v>
      </c>
      <c r="V219" s="10">
        <v>137</v>
      </c>
      <c r="W219" s="10">
        <v>0.25900000000000001</v>
      </c>
      <c r="X219" s="10">
        <v>164</v>
      </c>
      <c r="Y219" s="10">
        <v>110</v>
      </c>
      <c r="Z219" s="10">
        <v>88</v>
      </c>
      <c r="AA219" s="10">
        <v>9</v>
      </c>
      <c r="AB219" s="10">
        <v>9.4</v>
      </c>
      <c r="AC219" s="9" t="s">
        <v>188</v>
      </c>
      <c r="AD219" s="9" t="s">
        <v>185</v>
      </c>
      <c r="AE219" s="10"/>
      <c r="AF219" s="10"/>
      <c r="AG219" s="10"/>
    </row>
    <row r="220" spans="1:33">
      <c r="A220" s="7" t="s">
        <v>155</v>
      </c>
      <c r="B220" s="8" t="s">
        <v>237</v>
      </c>
      <c r="C220" s="9" t="s">
        <v>361</v>
      </c>
      <c r="D220" s="10">
        <v>178.2</v>
      </c>
      <c r="E220" s="9" t="s">
        <v>158</v>
      </c>
      <c r="F220" s="10">
        <v>178.2</v>
      </c>
      <c r="G220" s="10">
        <v>177.2</v>
      </c>
      <c r="H220" s="10">
        <v>137</v>
      </c>
      <c r="I220" s="10">
        <v>147</v>
      </c>
      <c r="J220" s="10">
        <v>134</v>
      </c>
      <c r="K220" s="10">
        <v>95</v>
      </c>
      <c r="L220" s="10">
        <v>114</v>
      </c>
      <c r="M220" s="10">
        <v>17.100000000000001</v>
      </c>
      <c r="N220" s="10">
        <v>1505</v>
      </c>
      <c r="O220" s="10">
        <v>1.26</v>
      </c>
      <c r="P220" s="10">
        <v>1902</v>
      </c>
      <c r="Q220" s="10">
        <v>208</v>
      </c>
      <c r="R220" s="10">
        <v>111</v>
      </c>
      <c r="S220" s="10">
        <v>44</v>
      </c>
      <c r="T220" s="10">
        <v>254</v>
      </c>
      <c r="U220" s="10">
        <v>12</v>
      </c>
      <c r="V220" s="10">
        <v>144</v>
      </c>
      <c r="W220" s="10">
        <v>0.27300000000000002</v>
      </c>
      <c r="X220" s="10">
        <v>169</v>
      </c>
      <c r="Y220" s="10">
        <v>133</v>
      </c>
      <c r="Z220" s="10">
        <v>85</v>
      </c>
      <c r="AA220" s="10">
        <v>8</v>
      </c>
      <c r="AB220" s="10">
        <v>9.1999999999999993</v>
      </c>
      <c r="AC220" s="9" t="s">
        <v>188</v>
      </c>
      <c r="AD220" s="9" t="s">
        <v>185</v>
      </c>
      <c r="AE220" s="9" t="s">
        <v>198</v>
      </c>
      <c r="AF220" s="10"/>
      <c r="AG220" s="10"/>
    </row>
    <row r="221" spans="1:33">
      <c r="A221" s="7" t="s">
        <v>155</v>
      </c>
      <c r="B221" s="8" t="s">
        <v>237</v>
      </c>
      <c r="C221" s="9" t="s">
        <v>361</v>
      </c>
      <c r="D221" s="10">
        <v>183.3</v>
      </c>
      <c r="E221" s="9" t="s">
        <v>158</v>
      </c>
      <c r="F221" s="10">
        <v>183.3</v>
      </c>
      <c r="G221" s="10">
        <v>182.3</v>
      </c>
      <c r="H221" s="10">
        <v>141</v>
      </c>
      <c r="I221" s="10">
        <v>150</v>
      </c>
      <c r="J221" s="10">
        <v>136</v>
      </c>
      <c r="K221" s="10">
        <v>95</v>
      </c>
      <c r="L221" s="10">
        <v>116</v>
      </c>
      <c r="M221" s="10">
        <v>17.3</v>
      </c>
      <c r="N221" s="10">
        <v>1615</v>
      </c>
      <c r="O221" s="10">
        <v>1.22</v>
      </c>
      <c r="P221" s="10">
        <v>1966</v>
      </c>
      <c r="Q221" s="10">
        <v>229</v>
      </c>
      <c r="R221" s="10">
        <v>113</v>
      </c>
      <c r="S221" s="10">
        <v>43</v>
      </c>
      <c r="T221" s="10">
        <v>248</v>
      </c>
      <c r="U221" s="10">
        <v>13</v>
      </c>
      <c r="V221" s="10">
        <v>167</v>
      </c>
      <c r="W221" s="10">
        <v>0.312</v>
      </c>
      <c r="X221" s="10">
        <v>179</v>
      </c>
      <c r="Y221" s="10">
        <v>142</v>
      </c>
      <c r="Z221" s="10">
        <v>69</v>
      </c>
      <c r="AA221" s="10">
        <v>8</v>
      </c>
      <c r="AB221" s="10">
        <v>9</v>
      </c>
      <c r="AC221" s="9" t="s">
        <v>188</v>
      </c>
      <c r="AD221" s="9" t="s">
        <v>185</v>
      </c>
      <c r="AE221" s="10"/>
      <c r="AF221" s="10"/>
      <c r="AG221" s="10"/>
    </row>
    <row r="222" spans="1:33">
      <c r="A222" s="7" t="s">
        <v>155</v>
      </c>
      <c r="B222" s="8" t="s">
        <v>237</v>
      </c>
      <c r="C222" s="9" t="s">
        <v>361</v>
      </c>
      <c r="D222" s="10">
        <v>188.3</v>
      </c>
      <c r="E222" s="9" t="s">
        <v>158</v>
      </c>
      <c r="F222" s="10">
        <v>188.3</v>
      </c>
      <c r="G222" s="10">
        <v>187.7</v>
      </c>
      <c r="H222" s="10">
        <v>142</v>
      </c>
      <c r="I222" s="10">
        <v>154</v>
      </c>
      <c r="J222" s="10">
        <v>135</v>
      </c>
      <c r="K222" s="10">
        <v>95</v>
      </c>
      <c r="L222" s="10">
        <v>117</v>
      </c>
      <c r="M222" s="10">
        <v>17.5</v>
      </c>
      <c r="N222" s="10">
        <v>1704</v>
      </c>
      <c r="O222" s="10">
        <v>1.19</v>
      </c>
      <c r="P222" s="10">
        <v>2028</v>
      </c>
      <c r="Q222" s="10">
        <v>261</v>
      </c>
      <c r="R222" s="10">
        <v>124</v>
      </c>
      <c r="S222" s="10">
        <v>48</v>
      </c>
      <c r="T222" s="10">
        <v>290</v>
      </c>
      <c r="U222" s="10">
        <v>13</v>
      </c>
      <c r="V222" s="10">
        <v>168</v>
      </c>
      <c r="W222" s="10">
        <v>0.26400000000000001</v>
      </c>
      <c r="X222" s="10">
        <v>205</v>
      </c>
      <c r="Y222" s="10">
        <v>131</v>
      </c>
      <c r="Z222" s="10">
        <v>85</v>
      </c>
      <c r="AA222" s="10">
        <v>6</v>
      </c>
      <c r="AB222" s="10">
        <v>8.9</v>
      </c>
      <c r="AC222" s="9" t="s">
        <v>188</v>
      </c>
      <c r="AD222" s="9" t="s">
        <v>185</v>
      </c>
      <c r="AE222" s="10"/>
      <c r="AF222" s="10"/>
      <c r="AG222" s="10"/>
    </row>
    <row r="223" spans="1:33">
      <c r="A223" s="7" t="s">
        <v>155</v>
      </c>
      <c r="B223" s="8" t="s">
        <v>237</v>
      </c>
      <c r="C223" s="9" t="s">
        <v>604</v>
      </c>
      <c r="D223" s="10">
        <v>171.1</v>
      </c>
      <c r="E223" s="9" t="s">
        <v>158</v>
      </c>
      <c r="F223" s="10">
        <v>171.1</v>
      </c>
      <c r="G223" s="10">
        <v>169.9</v>
      </c>
      <c r="H223" s="10">
        <v>119</v>
      </c>
      <c r="I223" s="10">
        <v>137</v>
      </c>
      <c r="J223" s="10">
        <v>118</v>
      </c>
      <c r="K223" s="10">
        <v>89</v>
      </c>
      <c r="L223" s="10">
        <v>110</v>
      </c>
      <c r="M223" s="10">
        <v>17.3</v>
      </c>
      <c r="N223" s="10">
        <v>1634</v>
      </c>
      <c r="O223" s="10">
        <v>1.04</v>
      </c>
      <c r="P223" s="10">
        <v>1703</v>
      </c>
      <c r="Q223" s="10">
        <v>147</v>
      </c>
      <c r="R223" s="10">
        <v>71</v>
      </c>
      <c r="S223" s="10">
        <v>41</v>
      </c>
      <c r="T223" s="10">
        <v>315</v>
      </c>
      <c r="U223" s="10">
        <v>34</v>
      </c>
      <c r="V223" s="10">
        <v>198</v>
      </c>
      <c r="W223" s="10">
        <v>0.81899999999999995</v>
      </c>
      <c r="X223" s="10">
        <v>207</v>
      </c>
      <c r="Y223" s="10">
        <v>120</v>
      </c>
      <c r="Z223" s="10">
        <v>108</v>
      </c>
      <c r="AA223" s="10">
        <v>4</v>
      </c>
      <c r="AB223" s="10">
        <v>6.5</v>
      </c>
      <c r="AC223" s="9" t="s">
        <v>188</v>
      </c>
      <c r="AD223" s="9" t="s">
        <v>184</v>
      </c>
      <c r="AE223" s="10"/>
      <c r="AF223" s="10"/>
      <c r="AG223" s="10"/>
    </row>
    <row r="224" spans="1:33">
      <c r="A224" s="7" t="s">
        <v>155</v>
      </c>
      <c r="B224" s="8" t="s">
        <v>237</v>
      </c>
      <c r="C224" s="9" t="s">
        <v>604</v>
      </c>
      <c r="D224" s="10">
        <v>178.3</v>
      </c>
      <c r="E224" s="9" t="s">
        <v>158</v>
      </c>
      <c r="F224" s="10">
        <v>178.3</v>
      </c>
      <c r="G224" s="10">
        <v>176.7</v>
      </c>
      <c r="H224" s="10">
        <v>132</v>
      </c>
      <c r="I224" s="10">
        <v>143</v>
      </c>
      <c r="J224" s="10">
        <v>120</v>
      </c>
      <c r="K224" s="10">
        <v>89</v>
      </c>
      <c r="L224" s="10">
        <v>111</v>
      </c>
      <c r="M224" s="10">
        <v>17.5</v>
      </c>
      <c r="N224" s="10">
        <v>1708</v>
      </c>
      <c r="O224" s="10">
        <v>1.04</v>
      </c>
      <c r="P224" s="10">
        <v>1782</v>
      </c>
      <c r="Q224" s="10">
        <v>175</v>
      </c>
      <c r="R224" s="10">
        <v>80</v>
      </c>
      <c r="S224" s="10">
        <v>39</v>
      </c>
      <c r="T224" s="10">
        <v>242</v>
      </c>
      <c r="U224" s="10">
        <v>34</v>
      </c>
      <c r="V224" s="10">
        <v>201</v>
      </c>
      <c r="W224" s="10">
        <v>0.88500000000000001</v>
      </c>
      <c r="X224" s="10">
        <v>204</v>
      </c>
      <c r="Y224" s="10">
        <v>136</v>
      </c>
      <c r="Z224" s="10">
        <v>38</v>
      </c>
      <c r="AA224" s="10">
        <v>4</v>
      </c>
      <c r="AB224" s="10">
        <v>6.3</v>
      </c>
      <c r="AC224" s="9" t="s">
        <v>184</v>
      </c>
      <c r="AD224" s="10"/>
      <c r="AE224" s="10"/>
      <c r="AF224" s="10"/>
      <c r="AG224" s="10"/>
    </row>
    <row r="225" spans="1:33">
      <c r="A225" s="7" t="s">
        <v>155</v>
      </c>
      <c r="B225" s="8" t="s">
        <v>237</v>
      </c>
      <c r="C225" s="9" t="s">
        <v>865</v>
      </c>
      <c r="D225" s="10">
        <v>188.2</v>
      </c>
      <c r="E225" s="9" t="s">
        <v>158</v>
      </c>
      <c r="F225" s="10">
        <v>188.2</v>
      </c>
      <c r="G225" s="10">
        <v>187.7</v>
      </c>
      <c r="H225" s="10">
        <v>0</v>
      </c>
      <c r="I225" s="10">
        <v>164</v>
      </c>
      <c r="J225" s="10">
        <v>137</v>
      </c>
      <c r="K225" s="10">
        <v>106</v>
      </c>
      <c r="L225" s="10">
        <v>126</v>
      </c>
      <c r="M225" s="10">
        <v>25.6</v>
      </c>
      <c r="N225" s="10">
        <v>1981</v>
      </c>
      <c r="O225" s="10">
        <v>1.0900000000000001</v>
      </c>
      <c r="P225" s="10">
        <v>2162</v>
      </c>
      <c r="Q225" s="10">
        <v>269</v>
      </c>
      <c r="R225" s="10">
        <v>173</v>
      </c>
      <c r="S225" s="10">
        <v>46</v>
      </c>
      <c r="T225" s="10">
        <v>1016</v>
      </c>
      <c r="U225" s="10">
        <v>10</v>
      </c>
      <c r="V225" s="10">
        <v>861</v>
      </c>
      <c r="W225" s="10">
        <v>0.215</v>
      </c>
      <c r="X225" s="10">
        <v>146</v>
      </c>
      <c r="Y225" s="10">
        <v>93</v>
      </c>
      <c r="Z225" s="10">
        <v>870</v>
      </c>
      <c r="AA225" s="10">
        <v>-4</v>
      </c>
      <c r="AB225" s="10">
        <v>7.8</v>
      </c>
      <c r="AC225" s="9" t="s">
        <v>178</v>
      </c>
      <c r="AD225" s="9" t="s">
        <v>185</v>
      </c>
      <c r="AE225" s="10"/>
      <c r="AF225" s="10"/>
      <c r="AG225" s="10"/>
    </row>
    <row r="226" spans="1:33">
      <c r="A226" s="7" t="s">
        <v>155</v>
      </c>
      <c r="B226" s="8" t="s">
        <v>237</v>
      </c>
      <c r="C226" s="9" t="s">
        <v>443</v>
      </c>
      <c r="D226" s="10">
        <v>176</v>
      </c>
      <c r="E226" s="9" t="s">
        <v>158</v>
      </c>
      <c r="F226" s="10">
        <v>176</v>
      </c>
      <c r="G226" s="10">
        <v>175.6</v>
      </c>
      <c r="H226" s="10">
        <v>140</v>
      </c>
      <c r="I226" s="10">
        <v>143</v>
      </c>
      <c r="J226" s="10">
        <v>141</v>
      </c>
      <c r="K226" s="10">
        <v>106</v>
      </c>
      <c r="L226" s="10">
        <v>118</v>
      </c>
      <c r="M226" s="10">
        <v>20.8</v>
      </c>
      <c r="N226" s="10">
        <v>1817</v>
      </c>
      <c r="O226" s="10">
        <v>1.1200000000000001</v>
      </c>
      <c r="P226" s="10">
        <v>2035</v>
      </c>
      <c r="Q226" s="10">
        <v>189</v>
      </c>
      <c r="R226" s="10">
        <v>103</v>
      </c>
      <c r="S226" s="10">
        <v>45</v>
      </c>
      <c r="T226" s="10">
        <v>274</v>
      </c>
      <c r="U226" s="10">
        <v>4</v>
      </c>
      <c r="V226" s="10">
        <v>83</v>
      </c>
      <c r="W226" s="10">
        <v>0.08</v>
      </c>
      <c r="X226" s="10">
        <v>193</v>
      </c>
      <c r="Y226" s="10">
        <v>138</v>
      </c>
      <c r="Z226" s="10">
        <v>81</v>
      </c>
      <c r="AA226" s="10">
        <v>9</v>
      </c>
      <c r="AB226" s="10">
        <v>10.3</v>
      </c>
      <c r="AC226" s="9" t="s">
        <v>178</v>
      </c>
      <c r="AD226" s="9" t="s">
        <v>185</v>
      </c>
      <c r="AE226" s="10"/>
      <c r="AF226" s="10"/>
      <c r="AG226" s="10"/>
    </row>
    <row r="227" spans="1:33">
      <c r="A227" s="7" t="s">
        <v>155</v>
      </c>
      <c r="B227" s="8" t="s">
        <v>237</v>
      </c>
      <c r="C227" s="9" t="s">
        <v>443</v>
      </c>
      <c r="D227" s="10">
        <v>183.4</v>
      </c>
      <c r="E227" s="9" t="s">
        <v>158</v>
      </c>
      <c r="F227" s="10">
        <v>183.4</v>
      </c>
      <c r="G227" s="10">
        <v>182.6</v>
      </c>
      <c r="H227" s="10">
        <v>145</v>
      </c>
      <c r="I227" s="10">
        <v>148</v>
      </c>
      <c r="J227" s="10">
        <v>141</v>
      </c>
      <c r="K227" s="10">
        <v>105</v>
      </c>
      <c r="L227" s="10">
        <v>118</v>
      </c>
      <c r="M227" s="10">
        <v>21</v>
      </c>
      <c r="N227" s="10">
        <v>1950</v>
      </c>
      <c r="O227" s="10">
        <v>1.08</v>
      </c>
      <c r="P227" s="10">
        <v>2112</v>
      </c>
      <c r="Q227" s="10">
        <v>230</v>
      </c>
      <c r="R227" s="10">
        <v>107</v>
      </c>
      <c r="S227" s="10">
        <v>46</v>
      </c>
      <c r="T227" s="10">
        <v>282</v>
      </c>
      <c r="U227" s="10">
        <v>6</v>
      </c>
      <c r="V227" s="10">
        <v>91</v>
      </c>
      <c r="W227" s="10">
        <v>0.129</v>
      </c>
      <c r="X227" s="10">
        <v>192</v>
      </c>
      <c r="Y227" s="10">
        <v>155</v>
      </c>
      <c r="Z227" s="10">
        <v>90</v>
      </c>
      <c r="AA227" s="10">
        <v>8</v>
      </c>
      <c r="AB227" s="10">
        <v>10.4</v>
      </c>
      <c r="AC227" s="9" t="s">
        <v>178</v>
      </c>
      <c r="AD227" s="9" t="s">
        <v>185</v>
      </c>
      <c r="AE227" s="10"/>
      <c r="AF227" s="10"/>
      <c r="AG227" s="10"/>
    </row>
    <row r="228" spans="1:33">
      <c r="A228" s="7" t="s">
        <v>155</v>
      </c>
      <c r="B228" s="8" t="s">
        <v>237</v>
      </c>
      <c r="C228" s="9" t="s">
        <v>443</v>
      </c>
      <c r="D228" s="10">
        <v>188.2</v>
      </c>
      <c r="E228" s="9" t="s">
        <v>158</v>
      </c>
      <c r="F228" s="10">
        <v>188.2</v>
      </c>
      <c r="G228" s="10">
        <v>187.1</v>
      </c>
      <c r="H228" s="10">
        <v>153</v>
      </c>
      <c r="I228" s="10">
        <v>151</v>
      </c>
      <c r="J228" s="10">
        <v>142</v>
      </c>
      <c r="K228" s="10">
        <v>105</v>
      </c>
      <c r="L228" s="10">
        <v>119</v>
      </c>
      <c r="M228" s="10">
        <v>21.2</v>
      </c>
      <c r="N228" s="10">
        <v>1929</v>
      </c>
      <c r="O228" s="10">
        <v>1.1299999999999999</v>
      </c>
      <c r="P228" s="10">
        <v>2173</v>
      </c>
      <c r="Q228" s="10">
        <v>228</v>
      </c>
      <c r="R228" s="10">
        <v>126</v>
      </c>
      <c r="S228" s="10">
        <v>44</v>
      </c>
      <c r="T228" s="10">
        <v>279</v>
      </c>
      <c r="U228" s="10">
        <v>2</v>
      </c>
      <c r="V228" s="10">
        <v>66</v>
      </c>
      <c r="W228" s="10">
        <v>5.5E-2</v>
      </c>
      <c r="X228" s="10">
        <v>205</v>
      </c>
      <c r="Y228" s="10">
        <v>156</v>
      </c>
      <c r="Z228" s="10">
        <v>74</v>
      </c>
      <c r="AA228" s="10">
        <v>9</v>
      </c>
      <c r="AB228" s="10">
        <v>10.6</v>
      </c>
      <c r="AC228" s="9" t="s">
        <v>178</v>
      </c>
      <c r="AD228" s="9" t="s">
        <v>185</v>
      </c>
      <c r="AE228" s="10"/>
      <c r="AF228" s="10"/>
      <c r="AG228" s="10"/>
    </row>
    <row r="229" spans="1:33">
      <c r="A229" s="7" t="s">
        <v>155</v>
      </c>
      <c r="B229" s="8" t="s">
        <v>237</v>
      </c>
      <c r="C229" s="9" t="s">
        <v>323</v>
      </c>
      <c r="D229" s="10">
        <v>167.2</v>
      </c>
      <c r="E229" s="9" t="s">
        <v>158</v>
      </c>
      <c r="F229" s="10">
        <v>167.2</v>
      </c>
      <c r="G229" s="10">
        <v>166.5</v>
      </c>
      <c r="H229" s="10">
        <v>115</v>
      </c>
      <c r="I229" s="10">
        <v>147</v>
      </c>
      <c r="J229" s="10">
        <v>121</v>
      </c>
      <c r="K229" s="10">
        <v>81</v>
      </c>
      <c r="L229" s="10">
        <v>105</v>
      </c>
      <c r="M229" s="10">
        <v>16.100000000000001</v>
      </c>
      <c r="N229" s="10">
        <v>1519</v>
      </c>
      <c r="O229" s="10">
        <v>1.02</v>
      </c>
      <c r="P229" s="10">
        <v>1554</v>
      </c>
      <c r="Q229" s="10">
        <v>165</v>
      </c>
      <c r="R229" s="10">
        <v>98</v>
      </c>
      <c r="S229" s="10">
        <v>35</v>
      </c>
      <c r="T229" s="10">
        <v>319</v>
      </c>
      <c r="U229" s="10">
        <v>19</v>
      </c>
      <c r="V229" s="10">
        <v>192</v>
      </c>
      <c r="W229" s="10">
        <v>0.53700000000000003</v>
      </c>
      <c r="X229" s="10">
        <v>110</v>
      </c>
      <c r="Y229" s="10">
        <v>88</v>
      </c>
      <c r="Z229" s="10">
        <v>209</v>
      </c>
      <c r="AA229" s="10">
        <v>4</v>
      </c>
      <c r="AB229" s="10">
        <v>10.5</v>
      </c>
      <c r="AC229" s="9" t="s">
        <v>188</v>
      </c>
      <c r="AD229" s="10"/>
      <c r="AE229" s="10"/>
      <c r="AF229" s="10"/>
      <c r="AG229" s="10"/>
    </row>
    <row r="230" spans="1:33">
      <c r="A230" s="7" t="s">
        <v>155</v>
      </c>
      <c r="B230" s="8" t="s">
        <v>237</v>
      </c>
      <c r="C230" s="9" t="s">
        <v>323</v>
      </c>
      <c r="D230" s="10">
        <v>172.1</v>
      </c>
      <c r="E230" s="9" t="s">
        <v>158</v>
      </c>
      <c r="F230" s="10">
        <v>172.1</v>
      </c>
      <c r="G230" s="10">
        <v>171.1</v>
      </c>
      <c r="H230" s="10">
        <v>136</v>
      </c>
      <c r="I230" s="10">
        <v>151</v>
      </c>
      <c r="J230" s="10">
        <v>123</v>
      </c>
      <c r="K230" s="10">
        <v>81</v>
      </c>
      <c r="L230" s="10">
        <v>109</v>
      </c>
      <c r="M230" s="10">
        <v>15.9</v>
      </c>
      <c r="N230" s="10">
        <v>1580</v>
      </c>
      <c r="O230" s="10">
        <v>1.02</v>
      </c>
      <c r="P230" s="10">
        <v>1614</v>
      </c>
      <c r="Q230" s="10">
        <v>183</v>
      </c>
      <c r="R230" s="10">
        <v>97</v>
      </c>
      <c r="S230" s="10">
        <v>36</v>
      </c>
      <c r="T230" s="10">
        <v>199</v>
      </c>
      <c r="U230" s="10">
        <v>17</v>
      </c>
      <c r="V230" s="10">
        <v>157</v>
      </c>
      <c r="W230" s="10">
        <v>0.47599999999999998</v>
      </c>
      <c r="X230" s="10">
        <v>113</v>
      </c>
      <c r="Y230" s="10">
        <v>84</v>
      </c>
      <c r="Z230" s="10">
        <v>86</v>
      </c>
      <c r="AA230" s="10">
        <v>7</v>
      </c>
      <c r="AB230" s="10">
        <v>10.4</v>
      </c>
      <c r="AC230" s="9" t="s">
        <v>188</v>
      </c>
      <c r="AD230" s="10"/>
      <c r="AE230" s="10"/>
      <c r="AF230" s="10"/>
      <c r="AG230" s="10"/>
    </row>
    <row r="231" spans="1:33">
      <c r="A231" s="7" t="s">
        <v>155</v>
      </c>
      <c r="B231" s="8" t="s">
        <v>237</v>
      </c>
      <c r="C231" s="9" t="s">
        <v>323</v>
      </c>
      <c r="D231" s="10">
        <v>177.3</v>
      </c>
      <c r="E231" s="9" t="s">
        <v>158</v>
      </c>
      <c r="F231" s="10">
        <v>177.3</v>
      </c>
      <c r="G231" s="10">
        <v>176.1</v>
      </c>
      <c r="H231" s="10">
        <v>137</v>
      </c>
      <c r="I231" s="10">
        <v>156</v>
      </c>
      <c r="J231" s="10">
        <v>123</v>
      </c>
      <c r="K231" s="10">
        <v>81</v>
      </c>
      <c r="L231" s="10">
        <v>109</v>
      </c>
      <c r="M231" s="10">
        <v>17</v>
      </c>
      <c r="N231" s="10">
        <v>1748</v>
      </c>
      <c r="O231" s="10">
        <v>0.95</v>
      </c>
      <c r="P231" s="10">
        <v>1660</v>
      </c>
      <c r="Q231" s="10">
        <v>203</v>
      </c>
      <c r="R231" s="10">
        <v>106</v>
      </c>
      <c r="S231" s="10">
        <v>42</v>
      </c>
      <c r="T231" s="10">
        <v>237</v>
      </c>
      <c r="U231" s="10">
        <v>17</v>
      </c>
      <c r="V231" s="10">
        <v>152</v>
      </c>
      <c r="W231" s="10">
        <v>0.4</v>
      </c>
      <c r="X231" s="10">
        <v>112</v>
      </c>
      <c r="Y231" s="10">
        <v>87</v>
      </c>
      <c r="Z231" s="10">
        <v>125</v>
      </c>
      <c r="AA231" s="10">
        <v>7</v>
      </c>
      <c r="AB231" s="10">
        <v>10.199999999999999</v>
      </c>
      <c r="AC231" s="9" t="s">
        <v>231</v>
      </c>
      <c r="AD231" s="9" t="s">
        <v>188</v>
      </c>
      <c r="AE231" s="10"/>
      <c r="AF231" s="10"/>
      <c r="AG231" s="10"/>
    </row>
    <row r="232" spans="1:33">
      <c r="A232" s="7" t="s">
        <v>155</v>
      </c>
      <c r="B232" s="8" t="s">
        <v>237</v>
      </c>
      <c r="C232" s="9" t="s">
        <v>486</v>
      </c>
      <c r="D232" s="10">
        <v>170.1</v>
      </c>
      <c r="E232" s="9" t="s">
        <v>158</v>
      </c>
      <c r="F232" s="10">
        <v>170.1</v>
      </c>
      <c r="G232" s="10">
        <v>168.7</v>
      </c>
      <c r="H232" s="10">
        <v>122</v>
      </c>
      <c r="I232" s="10">
        <v>136</v>
      </c>
      <c r="J232" s="10">
        <v>135</v>
      </c>
      <c r="K232" s="10">
        <v>108</v>
      </c>
      <c r="L232" s="10">
        <v>124</v>
      </c>
      <c r="M232" s="10">
        <v>20.9</v>
      </c>
      <c r="N232" s="10">
        <v>1727</v>
      </c>
      <c r="O232" s="10">
        <v>1.1399999999999999</v>
      </c>
      <c r="P232" s="10">
        <v>1960</v>
      </c>
      <c r="Q232" s="10">
        <v>180</v>
      </c>
      <c r="R232" s="10">
        <v>73</v>
      </c>
      <c r="S232" s="10">
        <v>39</v>
      </c>
      <c r="T232" s="10">
        <v>200</v>
      </c>
      <c r="U232" s="10">
        <v>36</v>
      </c>
      <c r="V232" s="10">
        <v>271</v>
      </c>
      <c r="W232" s="10">
        <v>0.90800000000000003</v>
      </c>
      <c r="X232" s="10">
        <v>190</v>
      </c>
      <c r="Y232" s="10">
        <v>141</v>
      </c>
      <c r="Z232" s="10">
        <v>10</v>
      </c>
      <c r="AA232" s="10">
        <v>3</v>
      </c>
      <c r="AB232" s="10">
        <v>8.5</v>
      </c>
      <c r="AC232" s="9" t="s">
        <v>184</v>
      </c>
      <c r="AD232" s="9" t="s">
        <v>169</v>
      </c>
      <c r="AE232" s="9" t="s">
        <v>185</v>
      </c>
      <c r="AF232" s="10"/>
      <c r="AG232" s="10"/>
    </row>
    <row r="233" spans="1:33">
      <c r="A233" s="7" t="s">
        <v>155</v>
      </c>
      <c r="B233" s="8" t="s">
        <v>237</v>
      </c>
      <c r="C233" s="9" t="s">
        <v>486</v>
      </c>
      <c r="D233" s="10">
        <v>176.7</v>
      </c>
      <c r="E233" s="9" t="s">
        <v>158</v>
      </c>
      <c r="F233" s="10">
        <v>176.7</v>
      </c>
      <c r="G233" s="10">
        <v>174.7</v>
      </c>
      <c r="H233" s="10">
        <v>130</v>
      </c>
      <c r="I233" s="10">
        <v>139</v>
      </c>
      <c r="J233" s="10">
        <v>138</v>
      </c>
      <c r="K233" s="10">
        <v>110</v>
      </c>
      <c r="L233" s="10">
        <v>127</v>
      </c>
      <c r="M233" s="10">
        <v>21.1</v>
      </c>
      <c r="N233" s="10">
        <v>1878</v>
      </c>
      <c r="O233" s="10">
        <v>1.1000000000000001</v>
      </c>
      <c r="P233" s="10">
        <v>2065</v>
      </c>
      <c r="Q233" s="10">
        <v>209</v>
      </c>
      <c r="R233" s="10">
        <v>79</v>
      </c>
      <c r="S233" s="10">
        <v>44</v>
      </c>
      <c r="T233" s="10">
        <v>219</v>
      </c>
      <c r="U233" s="10">
        <v>34</v>
      </c>
      <c r="V233" s="10">
        <v>230</v>
      </c>
      <c r="W233" s="10">
        <v>0.78</v>
      </c>
      <c r="X233" s="10">
        <v>196</v>
      </c>
      <c r="Y233" s="10">
        <v>159</v>
      </c>
      <c r="Z233" s="10">
        <v>23</v>
      </c>
      <c r="AA233" s="10">
        <v>3</v>
      </c>
      <c r="AB233" s="10">
        <v>8.3000000000000007</v>
      </c>
      <c r="AC233" s="9" t="s">
        <v>169</v>
      </c>
      <c r="AD233" s="9" t="s">
        <v>185</v>
      </c>
      <c r="AE233" s="10"/>
      <c r="AF233" s="10"/>
      <c r="AG233" s="10"/>
    </row>
    <row r="234" spans="1:33">
      <c r="A234" s="7" t="s">
        <v>155</v>
      </c>
      <c r="B234" s="8" t="s">
        <v>237</v>
      </c>
      <c r="C234" s="9" t="s">
        <v>486</v>
      </c>
      <c r="D234" s="10">
        <v>181.4</v>
      </c>
      <c r="E234" s="9" t="s">
        <v>158</v>
      </c>
      <c r="F234" s="10">
        <v>181.4</v>
      </c>
      <c r="G234" s="10">
        <v>179.6</v>
      </c>
      <c r="H234" s="10">
        <v>106</v>
      </c>
      <c r="I234" s="10">
        <v>142</v>
      </c>
      <c r="J234" s="10">
        <v>137</v>
      </c>
      <c r="K234" s="10">
        <v>108</v>
      </c>
      <c r="L234" s="10">
        <v>126</v>
      </c>
      <c r="M234" s="10">
        <v>21.2</v>
      </c>
      <c r="N234" s="10">
        <v>1915</v>
      </c>
      <c r="O234" s="10">
        <v>1.1000000000000001</v>
      </c>
      <c r="P234" s="10">
        <v>2104</v>
      </c>
      <c r="Q234" s="10">
        <v>210</v>
      </c>
      <c r="R234" s="10">
        <v>89</v>
      </c>
      <c r="S234" s="10">
        <v>44</v>
      </c>
      <c r="T234" s="10">
        <v>514</v>
      </c>
      <c r="U234" s="10">
        <v>33</v>
      </c>
      <c r="V234" s="10">
        <v>220</v>
      </c>
      <c r="W234" s="10">
        <v>0.751</v>
      </c>
      <c r="X234" s="10">
        <v>210</v>
      </c>
      <c r="Y234" s="10">
        <v>163</v>
      </c>
      <c r="Z234" s="10">
        <v>305</v>
      </c>
      <c r="AA234" s="10">
        <v>2</v>
      </c>
      <c r="AB234" s="10">
        <v>8.3000000000000007</v>
      </c>
      <c r="AC234" s="9" t="s">
        <v>169</v>
      </c>
      <c r="AD234" s="9" t="s">
        <v>185</v>
      </c>
      <c r="AE234" s="10"/>
      <c r="AF234" s="10"/>
      <c r="AG234" s="10"/>
    </row>
    <row r="235" spans="1:33">
      <c r="A235" s="7" t="s">
        <v>155</v>
      </c>
      <c r="B235" s="8" t="s">
        <v>237</v>
      </c>
      <c r="C235" s="9" t="s">
        <v>486</v>
      </c>
      <c r="D235" s="10">
        <v>186.2</v>
      </c>
      <c r="E235" s="9" t="s">
        <v>158</v>
      </c>
      <c r="F235" s="10">
        <v>186.2</v>
      </c>
      <c r="G235" s="10">
        <v>184.6</v>
      </c>
      <c r="H235" s="10">
        <v>136</v>
      </c>
      <c r="I235" s="10">
        <v>145</v>
      </c>
      <c r="J235" s="10">
        <v>138</v>
      </c>
      <c r="K235" s="10">
        <v>109</v>
      </c>
      <c r="L235" s="10">
        <v>127</v>
      </c>
      <c r="M235" s="10">
        <v>21.2</v>
      </c>
      <c r="N235" s="10">
        <v>1964</v>
      </c>
      <c r="O235" s="10">
        <v>1.1100000000000001</v>
      </c>
      <c r="P235" s="10">
        <v>2179</v>
      </c>
      <c r="Q235" s="10">
        <v>210</v>
      </c>
      <c r="R235" s="10">
        <v>94</v>
      </c>
      <c r="S235" s="10">
        <v>42</v>
      </c>
      <c r="T235" s="10">
        <v>195</v>
      </c>
      <c r="U235" s="10">
        <v>39</v>
      </c>
      <c r="V235" s="10">
        <v>293</v>
      </c>
      <c r="W235" s="10">
        <v>0.92800000000000005</v>
      </c>
      <c r="X235" s="10">
        <v>220</v>
      </c>
      <c r="Y235" s="10">
        <v>174</v>
      </c>
      <c r="Z235" s="10">
        <v>-25</v>
      </c>
      <c r="AA235" s="10">
        <v>3</v>
      </c>
      <c r="AB235" s="10">
        <v>8.1999999999999993</v>
      </c>
      <c r="AC235" s="9" t="s">
        <v>184</v>
      </c>
      <c r="AD235" s="9" t="s">
        <v>169</v>
      </c>
      <c r="AE235" s="9" t="s">
        <v>185</v>
      </c>
      <c r="AF235" s="10"/>
      <c r="AG235" s="10"/>
    </row>
    <row r="236" spans="1:33">
      <c r="A236" s="7" t="s">
        <v>155</v>
      </c>
      <c r="B236" s="8" t="s">
        <v>237</v>
      </c>
      <c r="C236" s="9" t="s">
        <v>555</v>
      </c>
      <c r="D236" s="10">
        <v>177.4</v>
      </c>
      <c r="E236" s="9" t="s">
        <v>158</v>
      </c>
      <c r="F236" s="10">
        <v>177.4</v>
      </c>
      <c r="G236" s="10">
        <v>176.1</v>
      </c>
      <c r="H236" s="10">
        <v>104</v>
      </c>
      <c r="I236" s="10">
        <v>157</v>
      </c>
      <c r="J236" s="10">
        <v>137</v>
      </c>
      <c r="K236" s="10">
        <v>98</v>
      </c>
      <c r="L236" s="10">
        <v>122</v>
      </c>
      <c r="M236" s="10">
        <v>19.399999999999999</v>
      </c>
      <c r="N236" s="10">
        <v>1952</v>
      </c>
      <c r="O236" s="10">
        <v>0.99</v>
      </c>
      <c r="P236" s="10">
        <v>1934</v>
      </c>
      <c r="Q236" s="10">
        <v>262</v>
      </c>
      <c r="R236" s="10">
        <v>114</v>
      </c>
      <c r="S236" s="10">
        <v>53</v>
      </c>
      <c r="T236" s="10">
        <v>426</v>
      </c>
      <c r="U236" s="10">
        <v>30</v>
      </c>
      <c r="V236" s="10">
        <v>295</v>
      </c>
      <c r="W236" s="10">
        <v>0.57299999999999995</v>
      </c>
      <c r="X236" s="10">
        <v>112</v>
      </c>
      <c r="Y236" s="10">
        <v>84</v>
      </c>
      <c r="Z236" s="10">
        <v>314</v>
      </c>
      <c r="AA236" s="10">
        <v>2</v>
      </c>
      <c r="AB236" s="10">
        <v>8.5</v>
      </c>
      <c r="AC236" s="9" t="s">
        <v>188</v>
      </c>
      <c r="AD236" s="10"/>
      <c r="AE236" s="10"/>
      <c r="AF236" s="10"/>
      <c r="AG236" s="10"/>
    </row>
    <row r="237" spans="1:33">
      <c r="A237" s="7" t="s">
        <v>155</v>
      </c>
      <c r="B237" s="8" t="s">
        <v>237</v>
      </c>
      <c r="C237" s="9" t="s">
        <v>555</v>
      </c>
      <c r="D237" s="10">
        <v>183.1</v>
      </c>
      <c r="E237" s="9" t="s">
        <v>158</v>
      </c>
      <c r="F237" s="10">
        <v>183.1</v>
      </c>
      <c r="G237" s="10">
        <v>182</v>
      </c>
      <c r="H237" s="10">
        <v>109</v>
      </c>
      <c r="I237" s="10">
        <v>163</v>
      </c>
      <c r="J237" s="10">
        <v>137</v>
      </c>
      <c r="K237" s="10">
        <v>98</v>
      </c>
      <c r="L237" s="10">
        <v>122</v>
      </c>
      <c r="M237" s="10">
        <v>20.8</v>
      </c>
      <c r="N237" s="10">
        <v>2045</v>
      </c>
      <c r="O237" s="10">
        <v>0.98</v>
      </c>
      <c r="P237" s="10">
        <v>1997</v>
      </c>
      <c r="Q237" s="10">
        <v>292</v>
      </c>
      <c r="R237" s="10">
        <v>134</v>
      </c>
      <c r="S237" s="10">
        <v>48</v>
      </c>
      <c r="T237" s="10">
        <v>428</v>
      </c>
      <c r="U237" s="10">
        <v>33</v>
      </c>
      <c r="V237" s="10">
        <v>299</v>
      </c>
      <c r="W237" s="10">
        <v>0.67700000000000005</v>
      </c>
      <c r="X237" s="10">
        <v>107</v>
      </c>
      <c r="Y237" s="10">
        <v>86</v>
      </c>
      <c r="Z237" s="10">
        <v>321</v>
      </c>
      <c r="AA237" s="10">
        <v>3</v>
      </c>
      <c r="AB237" s="10">
        <v>8.3000000000000007</v>
      </c>
      <c r="AC237" s="9" t="s">
        <v>188</v>
      </c>
      <c r="AD237" s="10"/>
      <c r="AE237" s="10"/>
      <c r="AF237" s="10"/>
      <c r="AG237" s="10"/>
    </row>
    <row r="238" spans="1:33">
      <c r="A238" s="7" t="s">
        <v>155</v>
      </c>
      <c r="B238" s="8" t="s">
        <v>237</v>
      </c>
      <c r="C238" s="9" t="s">
        <v>732</v>
      </c>
      <c r="D238" s="10">
        <v>173.2</v>
      </c>
      <c r="E238" s="9" t="s">
        <v>158</v>
      </c>
      <c r="F238" s="10">
        <v>173.2</v>
      </c>
      <c r="G238" s="10">
        <v>171.7</v>
      </c>
      <c r="H238" s="10">
        <v>119</v>
      </c>
      <c r="I238" s="10">
        <v>147</v>
      </c>
      <c r="J238" s="10">
        <v>130</v>
      </c>
      <c r="K238" s="10">
        <v>86</v>
      </c>
      <c r="L238" s="10">
        <v>121</v>
      </c>
      <c r="M238" s="10">
        <v>12.7</v>
      </c>
      <c r="N238" s="10">
        <v>1725</v>
      </c>
      <c r="O238" s="10">
        <v>1.02</v>
      </c>
      <c r="P238" s="10">
        <v>1763</v>
      </c>
      <c r="Q238" s="10">
        <v>177</v>
      </c>
      <c r="R238" s="10">
        <v>71</v>
      </c>
      <c r="S238" s="10">
        <v>42</v>
      </c>
      <c r="T238" s="10">
        <v>279</v>
      </c>
      <c r="U238" s="10">
        <v>36</v>
      </c>
      <c r="V238" s="10">
        <v>249</v>
      </c>
      <c r="W238" s="10">
        <v>0.85799999999999998</v>
      </c>
      <c r="X238" s="10">
        <v>139</v>
      </c>
      <c r="Y238" s="10">
        <v>113</v>
      </c>
      <c r="Z238" s="10">
        <v>140</v>
      </c>
      <c r="AA238" s="10">
        <v>3</v>
      </c>
      <c r="AB238" s="10">
        <v>3.5</v>
      </c>
      <c r="AC238" s="9" t="s">
        <v>188</v>
      </c>
      <c r="AD238" s="9" t="s">
        <v>184</v>
      </c>
      <c r="AE238" s="10"/>
      <c r="AF238" s="10"/>
      <c r="AG238" s="10"/>
    </row>
    <row r="239" spans="1:33">
      <c r="A239" s="7" t="s">
        <v>155</v>
      </c>
      <c r="B239" s="8" t="s">
        <v>237</v>
      </c>
      <c r="C239" s="9" t="s">
        <v>732</v>
      </c>
      <c r="D239" s="10">
        <v>178</v>
      </c>
      <c r="E239" s="9" t="s">
        <v>158</v>
      </c>
      <c r="F239" s="10">
        <v>178</v>
      </c>
      <c r="G239" s="10">
        <v>176.7</v>
      </c>
      <c r="H239" s="10">
        <v>118</v>
      </c>
      <c r="I239" s="10">
        <v>152</v>
      </c>
      <c r="J239" s="10">
        <v>133</v>
      </c>
      <c r="K239" s="10">
        <v>86</v>
      </c>
      <c r="L239" s="10">
        <v>123</v>
      </c>
      <c r="M239" s="10">
        <v>12.7</v>
      </c>
      <c r="N239" s="10">
        <v>1860</v>
      </c>
      <c r="O239" s="10">
        <v>0.98</v>
      </c>
      <c r="P239" s="10">
        <v>1827</v>
      </c>
      <c r="Q239" s="10">
        <v>192</v>
      </c>
      <c r="R239" s="10">
        <v>73</v>
      </c>
      <c r="S239" s="10">
        <v>36</v>
      </c>
      <c r="T239" s="10">
        <v>271</v>
      </c>
      <c r="U239" s="10">
        <v>37</v>
      </c>
      <c r="V239" s="10">
        <v>316</v>
      </c>
      <c r="W239" s="10">
        <v>1.0249999999999999</v>
      </c>
      <c r="X239" s="10">
        <v>138</v>
      </c>
      <c r="Y239" s="10">
        <v>112</v>
      </c>
      <c r="Z239" s="10">
        <v>133</v>
      </c>
      <c r="AA239" s="10">
        <v>3</v>
      </c>
      <c r="AB239" s="10">
        <v>4.5999999999999996</v>
      </c>
      <c r="AC239" s="9" t="s">
        <v>184</v>
      </c>
      <c r="AD239" s="10"/>
      <c r="AE239" s="10"/>
      <c r="AF239" s="10"/>
      <c r="AG239" s="10"/>
    </row>
    <row r="240" spans="1:33">
      <c r="A240" s="7" t="s">
        <v>155</v>
      </c>
      <c r="B240" s="8" t="s">
        <v>237</v>
      </c>
      <c r="C240" s="9" t="s">
        <v>238</v>
      </c>
      <c r="D240" s="10">
        <v>167.1</v>
      </c>
      <c r="E240" s="9" t="s">
        <v>158</v>
      </c>
      <c r="F240" s="10">
        <v>167.1</v>
      </c>
      <c r="G240" s="10">
        <v>166.5</v>
      </c>
      <c r="H240" s="10">
        <v>114</v>
      </c>
      <c r="I240" s="10">
        <v>140</v>
      </c>
      <c r="J240" s="10">
        <v>137</v>
      </c>
      <c r="K240" s="10">
        <v>100</v>
      </c>
      <c r="L240" s="10">
        <v>117</v>
      </c>
      <c r="M240" s="10">
        <v>18.2</v>
      </c>
      <c r="N240" s="10">
        <v>1576</v>
      </c>
      <c r="O240" s="10">
        <v>1.17</v>
      </c>
      <c r="P240" s="10">
        <v>1847</v>
      </c>
      <c r="Q240" s="10">
        <v>185</v>
      </c>
      <c r="R240" s="10">
        <v>82</v>
      </c>
      <c r="S240" s="10">
        <v>46</v>
      </c>
      <c r="T240" s="10">
        <v>309</v>
      </c>
      <c r="U240" s="10">
        <v>17</v>
      </c>
      <c r="V240" s="10">
        <v>215</v>
      </c>
      <c r="W240" s="10">
        <v>0.36099999999999999</v>
      </c>
      <c r="X240" s="10">
        <v>138</v>
      </c>
      <c r="Y240" s="10">
        <v>122</v>
      </c>
      <c r="Z240" s="10">
        <v>171</v>
      </c>
      <c r="AA240" s="10">
        <v>4</v>
      </c>
      <c r="AB240" s="10">
        <v>9.3000000000000007</v>
      </c>
      <c r="AC240" s="9" t="s">
        <v>188</v>
      </c>
      <c r="AD240" s="9" t="s">
        <v>169</v>
      </c>
      <c r="AE240" s="9" t="s">
        <v>178</v>
      </c>
      <c r="AF240" s="9" t="s">
        <v>185</v>
      </c>
      <c r="AG240" s="10"/>
    </row>
    <row r="241" spans="1:33">
      <c r="A241" s="7" t="s">
        <v>155</v>
      </c>
      <c r="B241" s="8" t="s">
        <v>237</v>
      </c>
      <c r="C241" s="9" t="s">
        <v>238</v>
      </c>
      <c r="D241" s="10">
        <v>173.4</v>
      </c>
      <c r="E241" s="9" t="s">
        <v>158</v>
      </c>
      <c r="F241" s="10">
        <v>173.4</v>
      </c>
      <c r="G241" s="10">
        <v>171.8</v>
      </c>
      <c r="H241" s="10">
        <v>122</v>
      </c>
      <c r="I241" s="10">
        <v>145</v>
      </c>
      <c r="J241" s="10">
        <v>138</v>
      </c>
      <c r="K241" s="10">
        <v>100</v>
      </c>
      <c r="L241" s="10">
        <v>118</v>
      </c>
      <c r="M241" s="10">
        <v>18.7</v>
      </c>
      <c r="N241" s="10">
        <v>1671</v>
      </c>
      <c r="O241" s="10">
        <v>1.1399999999999999</v>
      </c>
      <c r="P241" s="10">
        <v>1913</v>
      </c>
      <c r="Q241" s="10">
        <v>209</v>
      </c>
      <c r="R241" s="10">
        <v>95</v>
      </c>
      <c r="S241" s="10">
        <v>44</v>
      </c>
      <c r="T241" s="10">
        <v>292</v>
      </c>
      <c r="U241" s="10">
        <v>16</v>
      </c>
      <c r="V241" s="10">
        <v>202</v>
      </c>
      <c r="W241" s="10">
        <v>0.35199999999999998</v>
      </c>
      <c r="X241" s="10">
        <v>157</v>
      </c>
      <c r="Y241" s="10">
        <v>116</v>
      </c>
      <c r="Z241" s="10">
        <v>135</v>
      </c>
      <c r="AA241" s="10">
        <v>4</v>
      </c>
      <c r="AB241" s="10">
        <v>9.6999999999999993</v>
      </c>
      <c r="AC241" s="9" t="s">
        <v>188</v>
      </c>
      <c r="AD241" s="9" t="s">
        <v>169</v>
      </c>
      <c r="AE241" s="9" t="s">
        <v>178</v>
      </c>
      <c r="AF241" s="9" t="s">
        <v>185</v>
      </c>
      <c r="AG241" s="10"/>
    </row>
    <row r="242" spans="1:33">
      <c r="A242" s="7" t="s">
        <v>155</v>
      </c>
      <c r="B242" s="8" t="s">
        <v>237</v>
      </c>
      <c r="C242" s="9" t="s">
        <v>238</v>
      </c>
      <c r="D242" s="10">
        <v>179.1</v>
      </c>
      <c r="E242" s="9" t="s">
        <v>158</v>
      </c>
      <c r="F242" s="10">
        <v>179.1</v>
      </c>
      <c r="G242" s="10">
        <v>178.4</v>
      </c>
      <c r="H242" s="10">
        <v>125</v>
      </c>
      <c r="I242" s="10">
        <v>149</v>
      </c>
      <c r="J242" s="10">
        <v>138</v>
      </c>
      <c r="K242" s="10">
        <v>100</v>
      </c>
      <c r="L242" s="10">
        <v>119</v>
      </c>
      <c r="M242" s="10">
        <v>19</v>
      </c>
      <c r="N242" s="10">
        <v>1748</v>
      </c>
      <c r="O242" s="10">
        <v>1.1399999999999999</v>
      </c>
      <c r="P242" s="10">
        <v>1996</v>
      </c>
      <c r="Q242" s="10">
        <v>231</v>
      </c>
      <c r="R242" s="10">
        <v>108</v>
      </c>
      <c r="S242" s="10">
        <v>45</v>
      </c>
      <c r="T242" s="10">
        <v>338</v>
      </c>
      <c r="U242" s="10">
        <v>15</v>
      </c>
      <c r="V242" s="10">
        <v>196</v>
      </c>
      <c r="W242" s="10">
        <v>0.33300000000000002</v>
      </c>
      <c r="X242" s="10">
        <v>166</v>
      </c>
      <c r="Y242" s="10">
        <v>130</v>
      </c>
      <c r="Z242" s="10">
        <v>171</v>
      </c>
      <c r="AA242" s="10">
        <v>5</v>
      </c>
      <c r="AB242" s="10">
        <v>9.4</v>
      </c>
      <c r="AC242" s="9" t="s">
        <v>188</v>
      </c>
      <c r="AD242" s="9" t="s">
        <v>178</v>
      </c>
      <c r="AE242" s="9" t="s">
        <v>185</v>
      </c>
      <c r="AF242" s="10"/>
      <c r="AG242" s="10"/>
    </row>
    <row r="243" spans="1:33">
      <c r="A243" s="7" t="s">
        <v>155</v>
      </c>
      <c r="B243" s="8" t="s">
        <v>237</v>
      </c>
      <c r="C243" s="9" t="s">
        <v>238</v>
      </c>
      <c r="D243" s="10">
        <v>185.8</v>
      </c>
      <c r="E243" s="9" t="s">
        <v>158</v>
      </c>
      <c r="F243" s="10">
        <v>185.8</v>
      </c>
      <c r="G243" s="10">
        <v>184.5</v>
      </c>
      <c r="H243" s="10">
        <v>143</v>
      </c>
      <c r="I243" s="10">
        <v>152</v>
      </c>
      <c r="J243" s="10">
        <v>139</v>
      </c>
      <c r="K243" s="10">
        <v>100</v>
      </c>
      <c r="L243" s="10">
        <v>120</v>
      </c>
      <c r="M243" s="10">
        <v>19.100000000000001</v>
      </c>
      <c r="N243" s="10">
        <v>1800</v>
      </c>
      <c r="O243" s="10">
        <v>1.1499999999999999</v>
      </c>
      <c r="P243" s="10">
        <v>2071</v>
      </c>
      <c r="Q243" s="10">
        <v>239</v>
      </c>
      <c r="R243" s="10">
        <v>116</v>
      </c>
      <c r="S243" s="10">
        <v>41</v>
      </c>
      <c r="T243" s="10">
        <v>213</v>
      </c>
      <c r="U243" s="10">
        <v>15</v>
      </c>
      <c r="V243" s="10">
        <v>202</v>
      </c>
      <c r="W243" s="10">
        <v>0.371</v>
      </c>
      <c r="X243" s="10">
        <v>182</v>
      </c>
      <c r="Y243" s="10">
        <v>142</v>
      </c>
      <c r="Z243" s="10">
        <v>31</v>
      </c>
      <c r="AA243" s="10">
        <v>7</v>
      </c>
      <c r="AB243" s="10">
        <v>9.5</v>
      </c>
      <c r="AC243" s="9" t="s">
        <v>188</v>
      </c>
      <c r="AD243" s="9" t="s">
        <v>169</v>
      </c>
      <c r="AE243" s="9" t="s">
        <v>178</v>
      </c>
      <c r="AF243" s="9" t="s">
        <v>185</v>
      </c>
      <c r="AG243" s="10"/>
    </row>
    <row r="244" spans="1:33">
      <c r="A244" s="7" t="s">
        <v>155</v>
      </c>
      <c r="B244" s="8" t="s">
        <v>237</v>
      </c>
      <c r="C244" s="9" t="s">
        <v>1156</v>
      </c>
      <c r="D244" s="10">
        <v>190.6</v>
      </c>
      <c r="E244" s="9" t="s">
        <v>158</v>
      </c>
      <c r="F244" s="10">
        <v>190.6</v>
      </c>
      <c r="G244" s="10">
        <v>191</v>
      </c>
      <c r="H244" s="10">
        <v>0</v>
      </c>
      <c r="I244" s="10">
        <v>142</v>
      </c>
      <c r="J244" s="10">
        <v>140</v>
      </c>
      <c r="K244" s="10">
        <v>121</v>
      </c>
      <c r="L244" s="10">
        <v>133</v>
      </c>
      <c r="M244" s="10">
        <v>27.5</v>
      </c>
      <c r="N244" s="10">
        <v>2228</v>
      </c>
      <c r="O244" s="10">
        <v>1.0900000000000001</v>
      </c>
      <c r="P244" s="10">
        <v>2427</v>
      </c>
      <c r="Q244" s="10">
        <v>235</v>
      </c>
      <c r="R244" s="10">
        <v>103</v>
      </c>
      <c r="S244" s="10">
        <v>54</v>
      </c>
      <c r="T244" s="10">
        <v>1010</v>
      </c>
      <c r="U244" s="10">
        <v>51</v>
      </c>
      <c r="V244" s="10">
        <v>900</v>
      </c>
      <c r="W244" s="10">
        <v>0.93700000000000006</v>
      </c>
      <c r="X244" s="10">
        <v>255</v>
      </c>
      <c r="Y244" s="10">
        <v>232</v>
      </c>
      <c r="Z244" s="10">
        <v>755</v>
      </c>
      <c r="AA244" s="10">
        <v>-4</v>
      </c>
      <c r="AB244" s="10">
        <v>5.5</v>
      </c>
      <c r="AC244" s="9" t="s">
        <v>184</v>
      </c>
      <c r="AD244" s="9" t="s">
        <v>169</v>
      </c>
      <c r="AE244" s="9" t="s">
        <v>185</v>
      </c>
      <c r="AF244" s="10"/>
      <c r="AG244" s="10"/>
    </row>
    <row r="245" spans="1:33">
      <c r="A245" s="7" t="s">
        <v>155</v>
      </c>
      <c r="B245" s="8" t="s">
        <v>237</v>
      </c>
      <c r="C245" s="9" t="s">
        <v>371</v>
      </c>
      <c r="D245" s="10">
        <v>169.2</v>
      </c>
      <c r="E245" s="9" t="s">
        <v>158</v>
      </c>
      <c r="F245" s="10">
        <v>169.2</v>
      </c>
      <c r="G245" s="10">
        <v>168.8</v>
      </c>
      <c r="H245" s="10">
        <v>104</v>
      </c>
      <c r="I245" s="10">
        <v>151</v>
      </c>
      <c r="J245" s="10">
        <v>122</v>
      </c>
      <c r="K245" s="10">
        <v>87</v>
      </c>
      <c r="L245" s="10">
        <v>106</v>
      </c>
      <c r="M245" s="10">
        <v>21.1</v>
      </c>
      <c r="N245" s="10">
        <v>1615</v>
      </c>
      <c r="O245" s="10">
        <v>1.02</v>
      </c>
      <c r="P245" s="10">
        <v>1640</v>
      </c>
      <c r="Q245" s="10">
        <v>190</v>
      </c>
      <c r="R245" s="10">
        <v>109</v>
      </c>
      <c r="S245" s="10">
        <v>43</v>
      </c>
      <c r="T245" s="10">
        <v>396</v>
      </c>
      <c r="U245" s="10">
        <v>19</v>
      </c>
      <c r="V245" s="10">
        <v>251</v>
      </c>
      <c r="W245" s="10">
        <v>0.45</v>
      </c>
      <c r="X245" s="10">
        <v>97</v>
      </c>
      <c r="Y245" s="10">
        <v>78</v>
      </c>
      <c r="Z245" s="10">
        <v>299</v>
      </c>
      <c r="AA245" s="10">
        <v>4</v>
      </c>
      <c r="AB245" s="10">
        <v>9.9</v>
      </c>
      <c r="AC245" s="9" t="s">
        <v>188</v>
      </c>
      <c r="AD245" s="10"/>
      <c r="AE245" s="10"/>
      <c r="AF245" s="10"/>
      <c r="AG245" s="10"/>
    </row>
    <row r="246" spans="1:33">
      <c r="A246" s="7" t="s">
        <v>155</v>
      </c>
      <c r="B246" s="8" t="s">
        <v>237</v>
      </c>
      <c r="C246" s="9" t="s">
        <v>371</v>
      </c>
      <c r="D246" s="10">
        <v>179.1</v>
      </c>
      <c r="E246" s="9" t="s">
        <v>158</v>
      </c>
      <c r="F246" s="10">
        <v>179.1</v>
      </c>
      <c r="G246" s="10">
        <v>178.6</v>
      </c>
      <c r="H246" s="10">
        <v>139</v>
      </c>
      <c r="I246" s="10">
        <v>159</v>
      </c>
      <c r="J246" s="10">
        <v>123</v>
      </c>
      <c r="K246" s="10">
        <v>87</v>
      </c>
      <c r="L246" s="10">
        <v>108</v>
      </c>
      <c r="M246" s="10">
        <v>21.7</v>
      </c>
      <c r="N246" s="10">
        <v>1801</v>
      </c>
      <c r="O246" s="10">
        <v>0.97</v>
      </c>
      <c r="P246" s="10">
        <v>1747</v>
      </c>
      <c r="Q246" s="10">
        <v>209</v>
      </c>
      <c r="R246" s="10">
        <v>119</v>
      </c>
      <c r="S246" s="10">
        <v>44</v>
      </c>
      <c r="T246" s="10">
        <v>233</v>
      </c>
      <c r="U246" s="10">
        <v>16</v>
      </c>
      <c r="V246" s="10">
        <v>167</v>
      </c>
      <c r="W246" s="10">
        <v>0.36399999999999999</v>
      </c>
      <c r="X246" s="10">
        <v>111</v>
      </c>
      <c r="Y246" s="10">
        <v>90</v>
      </c>
      <c r="Z246" s="10">
        <v>122</v>
      </c>
      <c r="AA246" s="10">
        <v>5</v>
      </c>
      <c r="AB246" s="10">
        <v>9.6999999999999993</v>
      </c>
      <c r="AC246" s="9" t="s">
        <v>188</v>
      </c>
      <c r="AD246" s="10"/>
      <c r="AE246" s="10"/>
      <c r="AF246" s="10"/>
      <c r="AG246" s="10"/>
    </row>
    <row r="247" spans="1:33">
      <c r="A247" s="7" t="s">
        <v>155</v>
      </c>
      <c r="B247" s="8" t="s">
        <v>237</v>
      </c>
      <c r="C247" s="9" t="s">
        <v>391</v>
      </c>
      <c r="D247" s="10">
        <v>167.2</v>
      </c>
      <c r="E247" s="9" t="s">
        <v>158</v>
      </c>
      <c r="F247" s="10">
        <v>167.2</v>
      </c>
      <c r="G247" s="10">
        <v>166.1</v>
      </c>
      <c r="H247" s="10">
        <v>127</v>
      </c>
      <c r="I247" s="10">
        <v>146</v>
      </c>
      <c r="J247" s="10">
        <v>124</v>
      </c>
      <c r="K247" s="10">
        <v>88</v>
      </c>
      <c r="L247" s="10">
        <v>110</v>
      </c>
      <c r="M247" s="10">
        <v>17.5</v>
      </c>
      <c r="N247" s="10">
        <v>1306</v>
      </c>
      <c r="O247" s="10">
        <v>1.27</v>
      </c>
      <c r="P247" s="10">
        <v>1656</v>
      </c>
      <c r="Q247" s="10">
        <v>144</v>
      </c>
      <c r="R247" s="10">
        <v>71</v>
      </c>
      <c r="S247" s="10">
        <v>40</v>
      </c>
      <c r="T247" s="10">
        <v>245</v>
      </c>
      <c r="U247" s="10">
        <v>10</v>
      </c>
      <c r="V247" s="10">
        <v>142</v>
      </c>
      <c r="W247" s="10">
        <v>0.251</v>
      </c>
      <c r="X247" s="10">
        <v>96</v>
      </c>
      <c r="Y247" s="10">
        <v>103</v>
      </c>
      <c r="Z247" s="10">
        <v>148</v>
      </c>
      <c r="AA247" s="10">
        <v>7</v>
      </c>
      <c r="AB247" s="10">
        <v>10.3</v>
      </c>
      <c r="AC247" s="9" t="s">
        <v>188</v>
      </c>
      <c r="AD247" s="9" t="s">
        <v>185</v>
      </c>
      <c r="AE247" s="9" t="s">
        <v>198</v>
      </c>
      <c r="AF247" s="10"/>
      <c r="AG247" s="10"/>
    </row>
    <row r="248" spans="1:33">
      <c r="A248" s="7" t="s">
        <v>155</v>
      </c>
      <c r="B248" s="8" t="s">
        <v>237</v>
      </c>
      <c r="C248" s="9" t="s">
        <v>391</v>
      </c>
      <c r="D248" s="10">
        <v>173.1</v>
      </c>
      <c r="E248" s="9" t="s">
        <v>158</v>
      </c>
      <c r="F248" s="10">
        <v>173.1</v>
      </c>
      <c r="G248" s="10">
        <v>172.3</v>
      </c>
      <c r="H248" s="10">
        <v>132</v>
      </c>
      <c r="I248" s="10">
        <v>149</v>
      </c>
      <c r="J248" s="10">
        <v>126</v>
      </c>
      <c r="K248" s="10">
        <v>88</v>
      </c>
      <c r="L248" s="10">
        <v>110</v>
      </c>
      <c r="M248" s="10">
        <v>17.600000000000001</v>
      </c>
      <c r="N248" s="10">
        <v>1417</v>
      </c>
      <c r="O248" s="10">
        <v>1.22</v>
      </c>
      <c r="P248" s="10">
        <v>1722</v>
      </c>
      <c r="Q248" s="10">
        <v>164</v>
      </c>
      <c r="R248" s="10">
        <v>72</v>
      </c>
      <c r="S248" s="10">
        <v>41</v>
      </c>
      <c r="T248" s="10">
        <v>254</v>
      </c>
      <c r="U248" s="10">
        <v>11</v>
      </c>
      <c r="V248" s="10">
        <v>152</v>
      </c>
      <c r="W248" s="10">
        <v>0.27800000000000002</v>
      </c>
      <c r="X248" s="10">
        <v>113</v>
      </c>
      <c r="Y248" s="10">
        <v>121</v>
      </c>
      <c r="Z248" s="10">
        <v>141</v>
      </c>
      <c r="AA248" s="10">
        <v>6</v>
      </c>
      <c r="AB248" s="10">
        <v>10.8</v>
      </c>
      <c r="AC248" s="9" t="s">
        <v>188</v>
      </c>
      <c r="AD248" s="9" t="s">
        <v>185</v>
      </c>
      <c r="AE248" s="10"/>
      <c r="AF248" s="10"/>
      <c r="AG248" s="10"/>
    </row>
    <row r="249" spans="1:33">
      <c r="A249" s="7" t="s">
        <v>155</v>
      </c>
      <c r="B249" s="8" t="s">
        <v>237</v>
      </c>
      <c r="C249" s="9" t="s">
        <v>391</v>
      </c>
      <c r="D249" s="10">
        <v>179.3</v>
      </c>
      <c r="E249" s="9" t="s">
        <v>158</v>
      </c>
      <c r="F249" s="10">
        <v>179.3</v>
      </c>
      <c r="G249" s="10">
        <v>178.4</v>
      </c>
      <c r="H249" s="10">
        <v>139</v>
      </c>
      <c r="I249" s="10">
        <v>150</v>
      </c>
      <c r="J249" s="10">
        <v>127</v>
      </c>
      <c r="K249" s="10">
        <v>88</v>
      </c>
      <c r="L249" s="10">
        <v>111</v>
      </c>
      <c r="M249" s="10">
        <v>17.600000000000001</v>
      </c>
      <c r="N249" s="10">
        <v>1450</v>
      </c>
      <c r="O249" s="10">
        <v>1.24</v>
      </c>
      <c r="P249" s="10">
        <v>1793</v>
      </c>
      <c r="Q249" s="10">
        <v>189</v>
      </c>
      <c r="R249" s="10">
        <v>89</v>
      </c>
      <c r="S249" s="10">
        <v>39</v>
      </c>
      <c r="T249" s="10">
        <v>254</v>
      </c>
      <c r="U249" s="10">
        <v>11</v>
      </c>
      <c r="V249" s="10">
        <v>143</v>
      </c>
      <c r="W249" s="10">
        <v>0.27</v>
      </c>
      <c r="X249" s="10">
        <v>139</v>
      </c>
      <c r="Y249" s="10">
        <v>142</v>
      </c>
      <c r="Z249" s="10">
        <v>115</v>
      </c>
      <c r="AA249" s="10">
        <v>7</v>
      </c>
      <c r="AB249" s="10">
        <v>10.4</v>
      </c>
      <c r="AC249" s="9" t="s">
        <v>188</v>
      </c>
      <c r="AD249" s="9" t="s">
        <v>185</v>
      </c>
      <c r="AE249" s="10"/>
      <c r="AF249" s="10"/>
      <c r="AG249" s="10"/>
    </row>
    <row r="250" spans="1:33">
      <c r="A250" s="7" t="s">
        <v>155</v>
      </c>
      <c r="B250" s="8" t="s">
        <v>237</v>
      </c>
      <c r="C250" s="9" t="s">
        <v>363</v>
      </c>
      <c r="D250" s="10">
        <v>168.2</v>
      </c>
      <c r="E250" s="9" t="s">
        <v>158</v>
      </c>
      <c r="F250" s="10">
        <v>168.2</v>
      </c>
      <c r="G250" s="10">
        <v>167.8</v>
      </c>
      <c r="H250" s="10">
        <v>112</v>
      </c>
      <c r="I250" s="10">
        <v>149</v>
      </c>
      <c r="J250" s="10">
        <v>128</v>
      </c>
      <c r="K250" s="10">
        <v>92</v>
      </c>
      <c r="L250" s="10">
        <v>111</v>
      </c>
      <c r="M250" s="10">
        <v>19.7</v>
      </c>
      <c r="N250" s="10">
        <v>1721</v>
      </c>
      <c r="O250" s="10">
        <v>1</v>
      </c>
      <c r="P250" s="10">
        <v>1713</v>
      </c>
      <c r="Q250" s="10">
        <v>167</v>
      </c>
      <c r="R250" s="10">
        <v>89</v>
      </c>
      <c r="S250" s="10">
        <v>46</v>
      </c>
      <c r="T250" s="10">
        <v>309</v>
      </c>
      <c r="U250" s="10">
        <v>13</v>
      </c>
      <c r="V250" s="10">
        <v>246</v>
      </c>
      <c r="W250" s="10">
        <v>0.28000000000000003</v>
      </c>
      <c r="X250" s="10">
        <v>100</v>
      </c>
      <c r="Y250" s="10">
        <v>89</v>
      </c>
      <c r="Z250" s="10">
        <v>209</v>
      </c>
      <c r="AA250" s="10">
        <v>4</v>
      </c>
      <c r="AB250" s="10">
        <v>7.9</v>
      </c>
      <c r="AC250" s="9" t="s">
        <v>188</v>
      </c>
      <c r="AD250" s="10"/>
      <c r="AE250" s="10"/>
      <c r="AF250" s="10"/>
      <c r="AG250" s="10"/>
    </row>
    <row r="251" spans="1:33">
      <c r="A251" s="7" t="s">
        <v>155</v>
      </c>
      <c r="B251" s="8" t="s">
        <v>237</v>
      </c>
      <c r="C251" s="9" t="s">
        <v>363</v>
      </c>
      <c r="D251" s="10">
        <v>174.1</v>
      </c>
      <c r="E251" s="9" t="s">
        <v>158</v>
      </c>
      <c r="F251" s="10">
        <v>174.1</v>
      </c>
      <c r="G251" s="10">
        <v>173.5</v>
      </c>
      <c r="H251" s="10">
        <v>117</v>
      </c>
      <c r="I251" s="10">
        <v>153</v>
      </c>
      <c r="J251" s="10">
        <v>129</v>
      </c>
      <c r="K251" s="10">
        <v>92</v>
      </c>
      <c r="L251" s="10">
        <v>112</v>
      </c>
      <c r="M251" s="10">
        <v>19.8</v>
      </c>
      <c r="N251" s="10">
        <v>1752</v>
      </c>
      <c r="O251" s="10">
        <v>1.02</v>
      </c>
      <c r="P251" s="10">
        <v>1784</v>
      </c>
      <c r="Q251" s="10">
        <v>185</v>
      </c>
      <c r="R251" s="10">
        <v>80</v>
      </c>
      <c r="S251" s="10">
        <v>42</v>
      </c>
      <c r="T251" s="10">
        <v>292</v>
      </c>
      <c r="U251" s="10">
        <v>14</v>
      </c>
      <c r="V251" s="10">
        <v>276</v>
      </c>
      <c r="W251" s="10">
        <v>0.32400000000000001</v>
      </c>
      <c r="X251" s="10">
        <v>107</v>
      </c>
      <c r="Y251" s="10">
        <v>95</v>
      </c>
      <c r="Z251" s="10">
        <v>185</v>
      </c>
      <c r="AA251" s="10">
        <v>3</v>
      </c>
      <c r="AB251" s="10">
        <v>8.5</v>
      </c>
      <c r="AC251" s="9" t="s">
        <v>188</v>
      </c>
      <c r="AD251" s="10"/>
      <c r="AE251" s="10"/>
      <c r="AF251" s="10"/>
      <c r="AG251" s="10"/>
    </row>
    <row r="252" spans="1:33">
      <c r="A252" s="7" t="s">
        <v>155</v>
      </c>
      <c r="B252" s="8" t="s">
        <v>237</v>
      </c>
      <c r="C252" s="9" t="s">
        <v>363</v>
      </c>
      <c r="D252" s="10">
        <v>180.1</v>
      </c>
      <c r="E252" s="9" t="s">
        <v>158</v>
      </c>
      <c r="F252" s="10">
        <v>180.1</v>
      </c>
      <c r="G252" s="10">
        <v>179.2</v>
      </c>
      <c r="H252" s="10">
        <v>123</v>
      </c>
      <c r="I252" s="10">
        <v>157</v>
      </c>
      <c r="J252" s="10">
        <v>131</v>
      </c>
      <c r="K252" s="10">
        <v>92</v>
      </c>
      <c r="L252" s="10">
        <v>114</v>
      </c>
      <c r="M252" s="10">
        <v>19.399999999999999</v>
      </c>
      <c r="N252" s="10">
        <v>1828</v>
      </c>
      <c r="O252" s="10">
        <v>1.01</v>
      </c>
      <c r="P252" s="10">
        <v>1855</v>
      </c>
      <c r="Q252" s="10">
        <v>221</v>
      </c>
      <c r="R252" s="10">
        <v>97</v>
      </c>
      <c r="S252" s="10">
        <v>54</v>
      </c>
      <c r="T252" s="10">
        <v>333</v>
      </c>
      <c r="U252" s="10">
        <v>11</v>
      </c>
      <c r="V252" s="10">
        <v>230</v>
      </c>
      <c r="W252" s="10">
        <v>0.19800000000000001</v>
      </c>
      <c r="X252" s="10">
        <v>111</v>
      </c>
      <c r="Y252" s="10">
        <v>109</v>
      </c>
      <c r="Z252" s="10">
        <v>222</v>
      </c>
      <c r="AA252" s="10">
        <v>4</v>
      </c>
      <c r="AB252" s="10">
        <v>8.1999999999999993</v>
      </c>
      <c r="AC252" s="9" t="s">
        <v>188</v>
      </c>
      <c r="AD252" s="10"/>
      <c r="AE252" s="10"/>
      <c r="AF252" s="10"/>
      <c r="AG252" s="10"/>
    </row>
    <row r="253" spans="1:33">
      <c r="A253" s="7" t="s">
        <v>155</v>
      </c>
      <c r="B253" s="8" t="s">
        <v>237</v>
      </c>
      <c r="C253" s="9" t="s">
        <v>363</v>
      </c>
      <c r="D253" s="10">
        <v>186.3</v>
      </c>
      <c r="E253" s="9" t="s">
        <v>158</v>
      </c>
      <c r="F253" s="10">
        <v>186.3</v>
      </c>
      <c r="G253" s="10">
        <v>185.8</v>
      </c>
      <c r="H253" s="10">
        <v>119</v>
      </c>
      <c r="I253" s="10">
        <v>162</v>
      </c>
      <c r="J253" s="10">
        <v>131</v>
      </c>
      <c r="K253" s="10">
        <v>91</v>
      </c>
      <c r="L253" s="10">
        <v>114</v>
      </c>
      <c r="M253" s="10">
        <v>19.8</v>
      </c>
      <c r="N253" s="10">
        <v>1964</v>
      </c>
      <c r="O253" s="10">
        <v>0.98</v>
      </c>
      <c r="P253" s="10">
        <v>1927</v>
      </c>
      <c r="Q253" s="10">
        <v>220</v>
      </c>
      <c r="R253" s="10">
        <v>113</v>
      </c>
      <c r="S253" s="10">
        <v>51</v>
      </c>
      <c r="T253" s="10">
        <v>362</v>
      </c>
      <c r="U253" s="10">
        <v>15</v>
      </c>
      <c r="V253" s="10">
        <v>310</v>
      </c>
      <c r="W253" s="10">
        <v>0.29599999999999999</v>
      </c>
      <c r="X253" s="10">
        <v>121</v>
      </c>
      <c r="Y253" s="10">
        <v>115</v>
      </c>
      <c r="Z253" s="10">
        <v>241</v>
      </c>
      <c r="AA253" s="10">
        <v>2</v>
      </c>
      <c r="AB253" s="10">
        <v>8.1</v>
      </c>
      <c r="AC253" s="9" t="s">
        <v>188</v>
      </c>
      <c r="AD253" s="10"/>
      <c r="AE253" s="10"/>
      <c r="AF253" s="10"/>
      <c r="AG253" s="10"/>
    </row>
    <row r="254" spans="1:33">
      <c r="A254" s="7" t="s">
        <v>155</v>
      </c>
      <c r="B254" s="8" t="s">
        <v>354</v>
      </c>
      <c r="C254" s="9" t="s">
        <v>500</v>
      </c>
      <c r="D254" s="10">
        <v>165</v>
      </c>
      <c r="E254" s="9" t="s">
        <v>158</v>
      </c>
      <c r="F254" s="10">
        <v>165</v>
      </c>
      <c r="G254" s="10">
        <v>165.7</v>
      </c>
      <c r="H254" s="10">
        <v>120</v>
      </c>
      <c r="I254" s="10">
        <v>131</v>
      </c>
      <c r="J254" s="10">
        <v>134</v>
      </c>
      <c r="K254" s="10">
        <v>103</v>
      </c>
      <c r="L254" s="10">
        <v>122</v>
      </c>
      <c r="M254" s="10">
        <v>15.9</v>
      </c>
      <c r="N254" s="10">
        <v>1780</v>
      </c>
      <c r="O254" s="10">
        <v>1.05</v>
      </c>
      <c r="P254" s="10">
        <v>1864</v>
      </c>
      <c r="Q254" s="10">
        <v>185</v>
      </c>
      <c r="R254" s="10">
        <v>75</v>
      </c>
      <c r="S254" s="10">
        <v>39</v>
      </c>
      <c r="T254" s="10">
        <v>272</v>
      </c>
      <c r="U254" s="10">
        <v>19</v>
      </c>
      <c r="V254" s="10">
        <v>185</v>
      </c>
      <c r="W254" s="10">
        <v>0.49299999999999999</v>
      </c>
      <c r="X254" s="10">
        <v>214</v>
      </c>
      <c r="Y254" s="10">
        <v>137</v>
      </c>
      <c r="Z254" s="10">
        <v>58</v>
      </c>
      <c r="AA254" s="10">
        <v>8</v>
      </c>
      <c r="AB254" s="10">
        <v>8.4</v>
      </c>
      <c r="AC254" s="9" t="s">
        <v>188</v>
      </c>
      <c r="AD254" s="9" t="s">
        <v>169</v>
      </c>
      <c r="AE254" s="10"/>
      <c r="AF254" s="10"/>
      <c r="AG254" s="10"/>
    </row>
    <row r="255" spans="1:33">
      <c r="A255" s="7" t="s">
        <v>155</v>
      </c>
      <c r="B255" s="8" t="s">
        <v>354</v>
      </c>
      <c r="C255" s="9" t="s">
        <v>500</v>
      </c>
      <c r="D255" s="10">
        <v>172</v>
      </c>
      <c r="E255" s="9" t="s">
        <v>158</v>
      </c>
      <c r="F255" s="10">
        <v>172</v>
      </c>
      <c r="G255" s="10">
        <v>172.7</v>
      </c>
      <c r="H255" s="10">
        <v>124</v>
      </c>
      <c r="I255" s="10">
        <v>135</v>
      </c>
      <c r="J255" s="10">
        <v>134</v>
      </c>
      <c r="K255" s="10">
        <v>103</v>
      </c>
      <c r="L255" s="10">
        <v>122</v>
      </c>
      <c r="M255" s="10">
        <v>17</v>
      </c>
      <c r="N255" s="10">
        <v>1822</v>
      </c>
      <c r="O255" s="10">
        <v>1.07</v>
      </c>
      <c r="P255" s="10">
        <v>1948</v>
      </c>
      <c r="Q255" s="10">
        <v>186</v>
      </c>
      <c r="R255" s="10">
        <v>82</v>
      </c>
      <c r="S255" s="10">
        <v>40</v>
      </c>
      <c r="T255" s="10">
        <v>282</v>
      </c>
      <c r="U255" s="10">
        <v>22</v>
      </c>
      <c r="V255" s="10">
        <v>205</v>
      </c>
      <c r="W255" s="10">
        <v>0.55400000000000005</v>
      </c>
      <c r="X255" s="10">
        <v>232</v>
      </c>
      <c r="Y255" s="10">
        <v>147</v>
      </c>
      <c r="Z255" s="10">
        <v>50</v>
      </c>
      <c r="AA255" s="10">
        <v>7</v>
      </c>
      <c r="AB255" s="10">
        <v>8.9</v>
      </c>
      <c r="AC255" s="9" t="s">
        <v>188</v>
      </c>
      <c r="AD255" s="9" t="s">
        <v>169</v>
      </c>
      <c r="AE255" s="9" t="s">
        <v>185</v>
      </c>
      <c r="AF255" s="10"/>
      <c r="AG255" s="10"/>
    </row>
    <row r="256" spans="1:33">
      <c r="A256" s="7" t="s">
        <v>155</v>
      </c>
      <c r="B256" s="8" t="s">
        <v>354</v>
      </c>
      <c r="C256" s="9" t="s">
        <v>500</v>
      </c>
      <c r="D256" s="10">
        <v>179</v>
      </c>
      <c r="E256" s="9" t="s">
        <v>158</v>
      </c>
      <c r="F256" s="10">
        <v>179</v>
      </c>
      <c r="G256" s="10">
        <v>179.6</v>
      </c>
      <c r="H256" s="10">
        <v>129</v>
      </c>
      <c r="I256" s="10">
        <v>141</v>
      </c>
      <c r="J256" s="10">
        <v>135</v>
      </c>
      <c r="K256" s="10">
        <v>103</v>
      </c>
      <c r="L256" s="10">
        <v>122</v>
      </c>
      <c r="M256" s="10">
        <v>18.100000000000001</v>
      </c>
      <c r="N256" s="10">
        <v>1929</v>
      </c>
      <c r="O256" s="10">
        <v>1.05</v>
      </c>
      <c r="P256" s="10">
        <v>2028</v>
      </c>
      <c r="Q256" s="10">
        <v>201</v>
      </c>
      <c r="R256" s="10">
        <v>80</v>
      </c>
      <c r="S256" s="10">
        <v>46</v>
      </c>
      <c r="T256" s="10">
        <v>293</v>
      </c>
      <c r="U256" s="10">
        <v>24</v>
      </c>
      <c r="V256" s="10">
        <v>212</v>
      </c>
      <c r="W256" s="10">
        <v>0.51900000000000002</v>
      </c>
      <c r="X256" s="10">
        <v>233</v>
      </c>
      <c r="Y256" s="10">
        <v>151</v>
      </c>
      <c r="Z256" s="10">
        <v>60</v>
      </c>
      <c r="AA256" s="10">
        <v>8</v>
      </c>
      <c r="AB256" s="10">
        <v>9.1999999999999993</v>
      </c>
      <c r="AC256" s="9" t="s">
        <v>188</v>
      </c>
      <c r="AD256" s="9" t="s">
        <v>169</v>
      </c>
      <c r="AE256" s="9" t="s">
        <v>185</v>
      </c>
      <c r="AF256" s="10"/>
      <c r="AG256" s="10"/>
    </row>
    <row r="257" spans="1:33">
      <c r="A257" s="7" t="s">
        <v>155</v>
      </c>
      <c r="B257" s="8" t="s">
        <v>354</v>
      </c>
      <c r="C257" s="9" t="s">
        <v>500</v>
      </c>
      <c r="D257" s="10">
        <v>186</v>
      </c>
      <c r="E257" s="9" t="s">
        <v>158</v>
      </c>
      <c r="F257" s="10">
        <v>186</v>
      </c>
      <c r="G257" s="10">
        <v>186.6</v>
      </c>
      <c r="H257" s="10">
        <v>136</v>
      </c>
      <c r="I257" s="10">
        <v>147</v>
      </c>
      <c r="J257" s="10">
        <v>136</v>
      </c>
      <c r="K257" s="10">
        <v>103</v>
      </c>
      <c r="L257" s="10">
        <v>123</v>
      </c>
      <c r="M257" s="10">
        <v>19</v>
      </c>
      <c r="N257" s="10">
        <v>2084</v>
      </c>
      <c r="O257" s="10">
        <v>1.02</v>
      </c>
      <c r="P257" s="10">
        <v>2118</v>
      </c>
      <c r="Q257" s="10">
        <v>225</v>
      </c>
      <c r="R257" s="10">
        <v>95</v>
      </c>
      <c r="S257" s="10">
        <v>46</v>
      </c>
      <c r="T257" s="10">
        <v>300</v>
      </c>
      <c r="U257" s="10">
        <v>22</v>
      </c>
      <c r="V257" s="10">
        <v>207</v>
      </c>
      <c r="W257" s="10">
        <v>0.49099999999999999</v>
      </c>
      <c r="X257" s="10">
        <v>240</v>
      </c>
      <c r="Y257" s="10">
        <v>160</v>
      </c>
      <c r="Z257" s="10">
        <v>60</v>
      </c>
      <c r="AA257" s="10">
        <v>9</v>
      </c>
      <c r="AB257" s="10">
        <v>9.1999999999999993</v>
      </c>
      <c r="AC257" s="9" t="s">
        <v>188</v>
      </c>
      <c r="AD257" s="9" t="s">
        <v>169</v>
      </c>
      <c r="AE257" s="10"/>
      <c r="AF257" s="10"/>
      <c r="AG257" s="10"/>
    </row>
    <row r="258" spans="1:33">
      <c r="A258" s="7" t="s">
        <v>155</v>
      </c>
      <c r="B258" s="8" t="s">
        <v>354</v>
      </c>
      <c r="C258" s="9" t="s">
        <v>355</v>
      </c>
      <c r="D258" s="10">
        <v>161</v>
      </c>
      <c r="E258" s="9" t="s">
        <v>158</v>
      </c>
      <c r="F258" s="10">
        <v>161</v>
      </c>
      <c r="G258" s="10">
        <v>161.6</v>
      </c>
      <c r="H258" s="10">
        <v>118</v>
      </c>
      <c r="I258" s="10">
        <v>132</v>
      </c>
      <c r="J258" s="10">
        <v>129</v>
      </c>
      <c r="K258" s="10">
        <v>97</v>
      </c>
      <c r="L258" s="10">
        <v>117</v>
      </c>
      <c r="M258" s="10">
        <v>14.9</v>
      </c>
      <c r="N258" s="10">
        <v>1702</v>
      </c>
      <c r="O258" s="10">
        <v>1.02</v>
      </c>
      <c r="P258" s="10">
        <v>1732</v>
      </c>
      <c r="Q258" s="10">
        <v>179</v>
      </c>
      <c r="R258" s="10">
        <v>76</v>
      </c>
      <c r="S258" s="10">
        <v>35</v>
      </c>
      <c r="T258" s="10">
        <v>253</v>
      </c>
      <c r="U258" s="10">
        <v>19</v>
      </c>
      <c r="V258" s="10">
        <v>186</v>
      </c>
      <c r="W258" s="10">
        <v>0.55600000000000005</v>
      </c>
      <c r="X258" s="10">
        <v>183</v>
      </c>
      <c r="Y258" s="10">
        <v>118</v>
      </c>
      <c r="Z258" s="10">
        <v>71</v>
      </c>
      <c r="AA258" s="10">
        <v>9</v>
      </c>
      <c r="AB258" s="10">
        <v>8.1999999999999993</v>
      </c>
      <c r="AC258" s="9" t="s">
        <v>188</v>
      </c>
      <c r="AD258" s="10"/>
      <c r="AE258" s="10"/>
      <c r="AF258" s="10"/>
      <c r="AG258" s="10"/>
    </row>
    <row r="259" spans="1:33">
      <c r="A259" s="7" t="s">
        <v>155</v>
      </c>
      <c r="B259" s="8" t="s">
        <v>354</v>
      </c>
      <c r="C259" s="9" t="s">
        <v>355</v>
      </c>
      <c r="D259" s="10">
        <v>175</v>
      </c>
      <c r="E259" s="9" t="s">
        <v>158</v>
      </c>
      <c r="F259" s="10">
        <v>175</v>
      </c>
      <c r="G259" s="10">
        <v>175.7</v>
      </c>
      <c r="H259" s="10">
        <v>128</v>
      </c>
      <c r="I259" s="10">
        <v>141</v>
      </c>
      <c r="J259" s="10">
        <v>130</v>
      </c>
      <c r="K259" s="10">
        <v>97</v>
      </c>
      <c r="L259" s="10">
        <v>118</v>
      </c>
      <c r="M259" s="10">
        <v>16.8</v>
      </c>
      <c r="N259" s="10">
        <v>1856</v>
      </c>
      <c r="O259" s="10">
        <v>1.02</v>
      </c>
      <c r="P259" s="10">
        <v>1896</v>
      </c>
      <c r="Q259" s="10">
        <v>212</v>
      </c>
      <c r="R259" s="10">
        <v>85</v>
      </c>
      <c r="S259" s="10">
        <v>40</v>
      </c>
      <c r="T259" s="10">
        <v>273</v>
      </c>
      <c r="U259" s="10">
        <v>22</v>
      </c>
      <c r="V259" s="10">
        <v>202</v>
      </c>
      <c r="W259" s="10">
        <v>0.56100000000000005</v>
      </c>
      <c r="X259" s="10">
        <v>217</v>
      </c>
      <c r="Y259" s="10">
        <v>131</v>
      </c>
      <c r="Z259" s="10">
        <v>57</v>
      </c>
      <c r="AA259" s="10">
        <v>10</v>
      </c>
      <c r="AB259" s="10">
        <v>8.5</v>
      </c>
      <c r="AC259" s="9" t="s">
        <v>188</v>
      </c>
      <c r="AD259" s="10"/>
      <c r="AE259" s="10"/>
      <c r="AF259" s="10"/>
      <c r="AG259" s="10"/>
    </row>
    <row r="260" spans="1:33">
      <c r="A260" s="7" t="s">
        <v>155</v>
      </c>
      <c r="B260" s="8" t="s">
        <v>354</v>
      </c>
      <c r="C260" s="9" t="s">
        <v>355</v>
      </c>
      <c r="D260" s="10">
        <v>182</v>
      </c>
      <c r="E260" s="9" t="s">
        <v>158</v>
      </c>
      <c r="F260" s="10">
        <v>182</v>
      </c>
      <c r="G260" s="10">
        <v>182.6</v>
      </c>
      <c r="H260" s="10">
        <v>130</v>
      </c>
      <c r="I260" s="10">
        <v>148</v>
      </c>
      <c r="J260" s="10">
        <v>131</v>
      </c>
      <c r="K260" s="10">
        <v>97</v>
      </c>
      <c r="L260" s="10">
        <v>118</v>
      </c>
      <c r="M260" s="10">
        <v>17.899999999999999</v>
      </c>
      <c r="N260" s="10">
        <v>1920</v>
      </c>
      <c r="O260" s="10">
        <v>1.03</v>
      </c>
      <c r="P260" s="10">
        <v>1975</v>
      </c>
      <c r="Q260" s="10">
        <v>224</v>
      </c>
      <c r="R260" s="10">
        <v>96</v>
      </c>
      <c r="S260" s="10">
        <v>46</v>
      </c>
      <c r="T260" s="10">
        <v>300</v>
      </c>
      <c r="U260" s="10">
        <v>25</v>
      </c>
      <c r="V260" s="10">
        <v>223</v>
      </c>
      <c r="W260" s="10">
        <v>0.55200000000000005</v>
      </c>
      <c r="X260" s="10">
        <v>215</v>
      </c>
      <c r="Y260" s="10">
        <v>135</v>
      </c>
      <c r="Z260" s="10">
        <v>85</v>
      </c>
      <c r="AA260" s="10">
        <v>6</v>
      </c>
      <c r="AB260" s="10">
        <v>8.9</v>
      </c>
      <c r="AC260" s="9" t="s">
        <v>188</v>
      </c>
      <c r="AD260" s="10"/>
      <c r="AE260" s="10"/>
      <c r="AF260" s="10"/>
      <c r="AG260" s="10"/>
    </row>
    <row r="261" spans="1:33">
      <c r="A261" s="7" t="s">
        <v>155</v>
      </c>
      <c r="B261" s="8" t="s">
        <v>317</v>
      </c>
      <c r="C261" s="9" t="s">
        <v>618</v>
      </c>
      <c r="D261" s="10">
        <v>145</v>
      </c>
      <c r="E261" s="9" t="s">
        <v>163</v>
      </c>
      <c r="F261" s="10">
        <v>145</v>
      </c>
      <c r="G261" s="10">
        <v>143.5</v>
      </c>
      <c r="H261" s="10">
        <v>112</v>
      </c>
      <c r="I261" s="10">
        <v>121</v>
      </c>
      <c r="J261" s="10">
        <v>118</v>
      </c>
      <c r="K261" s="10">
        <v>81</v>
      </c>
      <c r="L261" s="10">
        <v>102</v>
      </c>
      <c r="M261" s="10">
        <v>11.7</v>
      </c>
      <c r="N261" s="10">
        <v>1395</v>
      </c>
      <c r="O261" s="10">
        <v>0.96</v>
      </c>
      <c r="P261" s="10">
        <v>1335</v>
      </c>
      <c r="Q261" s="10">
        <v>123</v>
      </c>
      <c r="R261" s="10">
        <v>66</v>
      </c>
      <c r="S261" s="10">
        <v>52</v>
      </c>
      <c r="T261" s="10">
        <v>204</v>
      </c>
      <c r="U261" s="10">
        <v>7</v>
      </c>
      <c r="V261" s="10">
        <v>111</v>
      </c>
      <c r="W261" s="10">
        <v>0.14000000000000001</v>
      </c>
      <c r="X261" s="10">
        <v>121</v>
      </c>
      <c r="Y261" s="10">
        <v>107</v>
      </c>
      <c r="Z261" s="10">
        <v>83</v>
      </c>
      <c r="AA261" s="10">
        <v>5</v>
      </c>
      <c r="AB261" s="10">
        <v>10.9</v>
      </c>
      <c r="AC261" s="9" t="s">
        <v>231</v>
      </c>
      <c r="AD261" s="9" t="s">
        <v>188</v>
      </c>
      <c r="AE261" s="10"/>
      <c r="AF261" s="10"/>
      <c r="AG261" s="10"/>
    </row>
    <row r="262" spans="1:33">
      <c r="A262" s="7" t="s">
        <v>155</v>
      </c>
      <c r="B262" s="8" t="s">
        <v>317</v>
      </c>
      <c r="C262" s="9" t="s">
        <v>618</v>
      </c>
      <c r="D262" s="10">
        <v>152</v>
      </c>
      <c r="E262" s="9" t="s">
        <v>163</v>
      </c>
      <c r="F262" s="10">
        <v>152</v>
      </c>
      <c r="G262" s="10">
        <v>150.1</v>
      </c>
      <c r="H262" s="10">
        <v>114</v>
      </c>
      <c r="I262" s="10">
        <v>129</v>
      </c>
      <c r="J262" s="10">
        <v>118</v>
      </c>
      <c r="K262" s="10">
        <v>81</v>
      </c>
      <c r="L262" s="10">
        <v>102</v>
      </c>
      <c r="M262" s="10">
        <v>13.4</v>
      </c>
      <c r="N262" s="10">
        <v>1479</v>
      </c>
      <c r="O262" s="10">
        <v>0.94</v>
      </c>
      <c r="P262" s="10">
        <v>1391</v>
      </c>
      <c r="Q262" s="10">
        <v>154</v>
      </c>
      <c r="R262" s="10">
        <v>73</v>
      </c>
      <c r="S262" s="10">
        <v>54</v>
      </c>
      <c r="T262" s="10">
        <v>252</v>
      </c>
      <c r="U262" s="10">
        <v>7</v>
      </c>
      <c r="V262" s="10">
        <v>109</v>
      </c>
      <c r="W262" s="10">
        <v>0.13200000000000001</v>
      </c>
      <c r="X262" s="10">
        <v>114</v>
      </c>
      <c r="Y262" s="10">
        <v>99</v>
      </c>
      <c r="Z262" s="10">
        <v>138</v>
      </c>
      <c r="AA262" s="10">
        <v>3</v>
      </c>
      <c r="AB262" s="10">
        <v>10.9</v>
      </c>
      <c r="AC262" s="9" t="s">
        <v>231</v>
      </c>
      <c r="AD262" s="9" t="s">
        <v>188</v>
      </c>
      <c r="AE262" s="10"/>
      <c r="AF262" s="10"/>
      <c r="AG262" s="10"/>
    </row>
    <row r="263" spans="1:33">
      <c r="A263" s="7" t="s">
        <v>155</v>
      </c>
      <c r="B263" s="8" t="s">
        <v>317</v>
      </c>
      <c r="C263" s="9" t="s">
        <v>618</v>
      </c>
      <c r="D263" s="10">
        <v>159</v>
      </c>
      <c r="E263" s="9" t="s">
        <v>163</v>
      </c>
      <c r="F263" s="10">
        <v>159</v>
      </c>
      <c r="G263" s="10">
        <v>157</v>
      </c>
      <c r="H263" s="10">
        <v>103</v>
      </c>
      <c r="I263" s="10">
        <v>135</v>
      </c>
      <c r="J263" s="10">
        <v>120</v>
      </c>
      <c r="K263" s="10">
        <v>82</v>
      </c>
      <c r="L263" s="10">
        <v>103</v>
      </c>
      <c r="M263" s="10">
        <v>14.3</v>
      </c>
      <c r="N263" s="10">
        <v>1551</v>
      </c>
      <c r="O263" s="10">
        <v>0.95</v>
      </c>
      <c r="P263" s="10">
        <v>1472</v>
      </c>
      <c r="Q263" s="10">
        <v>189</v>
      </c>
      <c r="R263" s="10">
        <v>91</v>
      </c>
      <c r="S263" s="10">
        <v>59</v>
      </c>
      <c r="T263" s="10">
        <v>301</v>
      </c>
      <c r="U263" s="10">
        <v>9</v>
      </c>
      <c r="V263" s="10">
        <v>240</v>
      </c>
      <c r="W263" s="10">
        <v>0.158</v>
      </c>
      <c r="X263" s="10">
        <v>114</v>
      </c>
      <c r="Y263" s="10">
        <v>102</v>
      </c>
      <c r="Z263" s="10">
        <v>187</v>
      </c>
      <c r="AA263" s="10">
        <v>2</v>
      </c>
      <c r="AB263" s="10">
        <v>10.5</v>
      </c>
      <c r="AC263" s="9" t="s">
        <v>231</v>
      </c>
      <c r="AD263" s="9" t="s">
        <v>188</v>
      </c>
      <c r="AE263" s="10"/>
      <c r="AF263" s="10"/>
      <c r="AG263" s="10"/>
    </row>
    <row r="264" spans="1:33">
      <c r="A264" s="7" t="s">
        <v>155</v>
      </c>
      <c r="B264" s="8" t="s">
        <v>317</v>
      </c>
      <c r="C264" s="9" t="s">
        <v>618</v>
      </c>
      <c r="D264" s="10">
        <v>166</v>
      </c>
      <c r="E264" s="9" t="s">
        <v>163</v>
      </c>
      <c r="F264" s="10">
        <v>166</v>
      </c>
      <c r="G264" s="10">
        <v>163.69999999999999</v>
      </c>
      <c r="H264" s="10">
        <v>118</v>
      </c>
      <c r="I264" s="10">
        <v>142</v>
      </c>
      <c r="J264" s="10">
        <v>121</v>
      </c>
      <c r="K264" s="10">
        <v>82</v>
      </c>
      <c r="L264" s="10">
        <v>104</v>
      </c>
      <c r="M264" s="10">
        <v>15.4</v>
      </c>
      <c r="N264" s="10">
        <v>1679</v>
      </c>
      <c r="O264" s="10">
        <v>0.92</v>
      </c>
      <c r="P264" s="10">
        <v>1539</v>
      </c>
      <c r="Q264" s="10">
        <v>181</v>
      </c>
      <c r="R264" s="10">
        <v>88</v>
      </c>
      <c r="S264" s="10">
        <v>62</v>
      </c>
      <c r="T264" s="10">
        <v>310</v>
      </c>
      <c r="U264" s="10">
        <v>8</v>
      </c>
      <c r="V264" s="10">
        <v>150</v>
      </c>
      <c r="W264" s="10">
        <v>0.13600000000000001</v>
      </c>
      <c r="X264" s="10">
        <v>122</v>
      </c>
      <c r="Y264" s="10">
        <v>94</v>
      </c>
      <c r="Z264" s="10">
        <v>189</v>
      </c>
      <c r="AA264" s="10">
        <v>3</v>
      </c>
      <c r="AB264" s="10">
        <v>10.5</v>
      </c>
      <c r="AC264" s="9" t="s">
        <v>231</v>
      </c>
      <c r="AD264" s="9" t="s">
        <v>188</v>
      </c>
      <c r="AE264" s="10"/>
      <c r="AF264" s="10"/>
      <c r="AG264" s="10"/>
    </row>
    <row r="265" spans="1:33">
      <c r="A265" s="7" t="s">
        <v>155</v>
      </c>
      <c r="B265" s="8" t="s">
        <v>317</v>
      </c>
      <c r="C265" s="9" t="s">
        <v>618</v>
      </c>
      <c r="D265" s="10">
        <v>173</v>
      </c>
      <c r="E265" s="9" t="s">
        <v>163</v>
      </c>
      <c r="F265" s="10">
        <v>173</v>
      </c>
      <c r="G265" s="10">
        <v>171.3</v>
      </c>
      <c r="H265" s="10">
        <v>138</v>
      </c>
      <c r="I265" s="10">
        <v>148</v>
      </c>
      <c r="J265" s="10">
        <v>121</v>
      </c>
      <c r="K265" s="10">
        <v>81</v>
      </c>
      <c r="L265" s="10">
        <v>104</v>
      </c>
      <c r="M265" s="10">
        <v>17</v>
      </c>
      <c r="N265" s="10">
        <v>1783</v>
      </c>
      <c r="O265" s="10">
        <v>0.9</v>
      </c>
      <c r="P265" s="10">
        <v>1600</v>
      </c>
      <c r="Q265" s="10">
        <v>215</v>
      </c>
      <c r="R265" s="10">
        <v>109</v>
      </c>
      <c r="S265" s="10">
        <v>50</v>
      </c>
      <c r="T265" s="10">
        <v>231</v>
      </c>
      <c r="U265" s="10">
        <v>7</v>
      </c>
      <c r="V265" s="10">
        <v>107</v>
      </c>
      <c r="W265" s="10">
        <v>0.13500000000000001</v>
      </c>
      <c r="X265" s="10">
        <v>120</v>
      </c>
      <c r="Y265" s="10">
        <v>109</v>
      </c>
      <c r="Z265" s="10">
        <v>111</v>
      </c>
      <c r="AA265" s="10">
        <v>6</v>
      </c>
      <c r="AB265" s="10">
        <v>11.4</v>
      </c>
      <c r="AC265" s="9" t="s">
        <v>231</v>
      </c>
      <c r="AD265" s="9" t="s">
        <v>188</v>
      </c>
      <c r="AE265" s="10"/>
      <c r="AF265" s="10"/>
      <c r="AG265" s="10"/>
    </row>
    <row r="266" spans="1:33">
      <c r="A266" s="7" t="s">
        <v>155</v>
      </c>
      <c r="B266" s="8" t="s">
        <v>317</v>
      </c>
      <c r="C266" s="9" t="s">
        <v>502</v>
      </c>
      <c r="D266" s="10">
        <v>147</v>
      </c>
      <c r="E266" s="9" t="s">
        <v>163</v>
      </c>
      <c r="F266" s="10">
        <v>147</v>
      </c>
      <c r="G266" s="10">
        <v>145.4</v>
      </c>
      <c r="H266" s="10">
        <v>114</v>
      </c>
      <c r="I266" s="10">
        <v>124</v>
      </c>
      <c r="J266" s="10">
        <v>125</v>
      </c>
      <c r="K266" s="10">
        <v>86</v>
      </c>
      <c r="L266" s="10">
        <v>107</v>
      </c>
      <c r="M266" s="10">
        <v>11.8</v>
      </c>
      <c r="N266" s="10">
        <v>1483</v>
      </c>
      <c r="O266" s="10">
        <v>0.96</v>
      </c>
      <c r="P266" s="10">
        <v>1422</v>
      </c>
      <c r="Q266" s="10">
        <v>127</v>
      </c>
      <c r="R266" s="10">
        <v>62</v>
      </c>
      <c r="S266" s="10">
        <v>62</v>
      </c>
      <c r="T266" s="10">
        <v>207</v>
      </c>
      <c r="U266" s="10">
        <v>7</v>
      </c>
      <c r="V266" s="10">
        <v>106</v>
      </c>
      <c r="W266" s="10">
        <v>0.112</v>
      </c>
      <c r="X266" s="10">
        <v>113</v>
      </c>
      <c r="Y266" s="10">
        <v>104</v>
      </c>
      <c r="Z266" s="10">
        <v>95</v>
      </c>
      <c r="AA266" s="10">
        <v>6</v>
      </c>
      <c r="AB266" s="10">
        <v>11.1</v>
      </c>
      <c r="AC266" s="9" t="s">
        <v>188</v>
      </c>
      <c r="AD266" s="10"/>
      <c r="AE266" s="10"/>
      <c r="AF266" s="10"/>
      <c r="AG266" s="10"/>
    </row>
    <row r="267" spans="1:33">
      <c r="A267" s="7" t="s">
        <v>155</v>
      </c>
      <c r="B267" s="8" t="s">
        <v>317</v>
      </c>
      <c r="C267" s="9" t="s">
        <v>502</v>
      </c>
      <c r="D267" s="10">
        <v>153</v>
      </c>
      <c r="E267" s="9" t="s">
        <v>163</v>
      </c>
      <c r="F267" s="10">
        <v>153</v>
      </c>
      <c r="G267" s="10">
        <v>151.6</v>
      </c>
      <c r="H267" s="10">
        <v>122</v>
      </c>
      <c r="I267" s="10">
        <v>129</v>
      </c>
      <c r="J267" s="10">
        <v>125</v>
      </c>
      <c r="K267" s="10">
        <v>86</v>
      </c>
      <c r="L267" s="10">
        <v>107</v>
      </c>
      <c r="M267" s="10">
        <v>13.2</v>
      </c>
      <c r="N267" s="10">
        <v>1585</v>
      </c>
      <c r="O267" s="10">
        <v>0.94</v>
      </c>
      <c r="P267" s="10">
        <v>1484</v>
      </c>
      <c r="Q267" s="10">
        <v>141</v>
      </c>
      <c r="R267" s="10">
        <v>70</v>
      </c>
      <c r="S267" s="10">
        <v>60</v>
      </c>
      <c r="T267" s="10">
        <v>193</v>
      </c>
      <c r="U267" s="10">
        <v>8</v>
      </c>
      <c r="V267" s="10">
        <v>99</v>
      </c>
      <c r="W267" s="10">
        <v>0.13500000000000001</v>
      </c>
      <c r="X267" s="10">
        <v>116</v>
      </c>
      <c r="Y267" s="10">
        <v>105</v>
      </c>
      <c r="Z267" s="10">
        <v>77</v>
      </c>
      <c r="AA267" s="10">
        <v>7</v>
      </c>
      <c r="AB267" s="10">
        <v>11.3</v>
      </c>
      <c r="AC267" s="9" t="s">
        <v>188</v>
      </c>
      <c r="AD267" s="10"/>
      <c r="AE267" s="10"/>
      <c r="AF267" s="10"/>
      <c r="AG267" s="10"/>
    </row>
    <row r="268" spans="1:33">
      <c r="A268" s="7" t="s">
        <v>155</v>
      </c>
      <c r="B268" s="8" t="s">
        <v>317</v>
      </c>
      <c r="C268" s="9" t="s">
        <v>502</v>
      </c>
      <c r="D268" s="10">
        <v>159</v>
      </c>
      <c r="E268" s="9" t="s">
        <v>163</v>
      </c>
      <c r="F268" s="10">
        <v>159</v>
      </c>
      <c r="G268" s="10">
        <v>157.80000000000001</v>
      </c>
      <c r="H268" s="10">
        <v>126</v>
      </c>
      <c r="I268" s="10">
        <v>134</v>
      </c>
      <c r="J268" s="10">
        <v>126</v>
      </c>
      <c r="K268" s="10">
        <v>86</v>
      </c>
      <c r="L268" s="10">
        <v>108</v>
      </c>
      <c r="M268" s="10">
        <v>13.9</v>
      </c>
      <c r="N268" s="10">
        <v>1654</v>
      </c>
      <c r="O268" s="10">
        <v>0.94</v>
      </c>
      <c r="P268" s="10">
        <v>1549</v>
      </c>
      <c r="Q268" s="10">
        <v>151</v>
      </c>
      <c r="R268" s="10">
        <v>74</v>
      </c>
      <c r="S268" s="10">
        <v>59</v>
      </c>
      <c r="T268" s="10">
        <v>219</v>
      </c>
      <c r="U268" s="10">
        <v>7</v>
      </c>
      <c r="V268" s="10">
        <v>99</v>
      </c>
      <c r="W268" s="10">
        <v>0.126</v>
      </c>
      <c r="X268" s="10">
        <v>124</v>
      </c>
      <c r="Y268" s="10">
        <v>112</v>
      </c>
      <c r="Z268" s="10">
        <v>95</v>
      </c>
      <c r="AA268" s="10">
        <v>8</v>
      </c>
      <c r="AB268" s="10">
        <v>11.4</v>
      </c>
      <c r="AC268" s="9" t="s">
        <v>188</v>
      </c>
      <c r="AD268" s="10"/>
      <c r="AE268" s="10"/>
      <c r="AF268" s="10"/>
      <c r="AG268" s="10"/>
    </row>
    <row r="269" spans="1:33">
      <c r="A269" s="7" t="s">
        <v>155</v>
      </c>
      <c r="B269" s="8" t="s">
        <v>317</v>
      </c>
      <c r="C269" s="9" t="s">
        <v>502</v>
      </c>
      <c r="D269" s="10">
        <v>165</v>
      </c>
      <c r="E269" s="9" t="s">
        <v>163</v>
      </c>
      <c r="F269" s="10">
        <v>165</v>
      </c>
      <c r="G269" s="10">
        <v>163.69999999999999</v>
      </c>
      <c r="H269" s="10">
        <v>133</v>
      </c>
      <c r="I269" s="10">
        <v>141</v>
      </c>
      <c r="J269" s="10">
        <v>128</v>
      </c>
      <c r="K269" s="10">
        <v>86</v>
      </c>
      <c r="L269" s="10">
        <v>109</v>
      </c>
      <c r="M269" s="10">
        <v>14.9</v>
      </c>
      <c r="N269" s="10">
        <v>1757</v>
      </c>
      <c r="O269" s="10">
        <v>0.92</v>
      </c>
      <c r="P269" s="10">
        <v>1613</v>
      </c>
      <c r="Q269" s="10">
        <v>177</v>
      </c>
      <c r="R269" s="10">
        <v>91</v>
      </c>
      <c r="S269" s="10">
        <v>63</v>
      </c>
      <c r="T269" s="10">
        <v>209</v>
      </c>
      <c r="U269" s="10">
        <v>7</v>
      </c>
      <c r="V269" s="10">
        <v>96</v>
      </c>
      <c r="W269" s="10">
        <v>0.11799999999999999</v>
      </c>
      <c r="X269" s="10">
        <v>123</v>
      </c>
      <c r="Y269" s="10">
        <v>106</v>
      </c>
      <c r="Z269" s="10">
        <v>86</v>
      </c>
      <c r="AA269" s="10">
        <v>8</v>
      </c>
      <c r="AB269" s="10">
        <v>11.1</v>
      </c>
      <c r="AC269" s="9" t="s">
        <v>188</v>
      </c>
      <c r="AD269" s="10"/>
      <c r="AE269" s="10"/>
      <c r="AF269" s="10"/>
      <c r="AG269" s="10"/>
    </row>
    <row r="270" spans="1:33">
      <c r="A270" s="7" t="s">
        <v>155</v>
      </c>
      <c r="B270" s="8" t="s">
        <v>317</v>
      </c>
      <c r="C270" s="9" t="s">
        <v>502</v>
      </c>
      <c r="D270" s="10">
        <v>171</v>
      </c>
      <c r="E270" s="9" t="s">
        <v>163</v>
      </c>
      <c r="F270" s="10">
        <v>171</v>
      </c>
      <c r="G270" s="10">
        <v>172.4</v>
      </c>
      <c r="H270" s="10">
        <v>137</v>
      </c>
      <c r="I270" s="10">
        <v>147</v>
      </c>
      <c r="J270" s="10">
        <v>127</v>
      </c>
      <c r="K270" s="10">
        <v>86</v>
      </c>
      <c r="L270" s="10">
        <v>109</v>
      </c>
      <c r="M270" s="10">
        <v>16</v>
      </c>
      <c r="N270" s="10">
        <v>1893</v>
      </c>
      <c r="O270" s="10">
        <v>0.89</v>
      </c>
      <c r="P270" s="10">
        <v>1689</v>
      </c>
      <c r="Q270" s="10">
        <v>224</v>
      </c>
      <c r="R270" s="10">
        <v>103</v>
      </c>
      <c r="S270" s="10">
        <v>58</v>
      </c>
      <c r="T270" s="10">
        <v>217</v>
      </c>
      <c r="U270" s="10">
        <v>12</v>
      </c>
      <c r="V270" s="10">
        <v>140</v>
      </c>
      <c r="W270" s="10">
        <v>0.215</v>
      </c>
      <c r="X270" s="10">
        <v>118</v>
      </c>
      <c r="Y270" s="10">
        <v>134</v>
      </c>
      <c r="Z270" s="10">
        <v>99</v>
      </c>
      <c r="AA270" s="10">
        <v>6</v>
      </c>
      <c r="AB270" s="10">
        <v>9.6999999999999993</v>
      </c>
      <c r="AC270" s="9" t="s">
        <v>188</v>
      </c>
      <c r="AD270" s="10"/>
      <c r="AE270" s="10"/>
      <c r="AF270" s="10"/>
      <c r="AG270" s="10"/>
    </row>
    <row r="271" spans="1:33">
      <c r="A271" s="7" t="s">
        <v>155</v>
      </c>
      <c r="B271" s="8" t="s">
        <v>317</v>
      </c>
      <c r="C271" s="9" t="s">
        <v>502</v>
      </c>
      <c r="D271" s="10">
        <v>177</v>
      </c>
      <c r="E271" s="9" t="s">
        <v>163</v>
      </c>
      <c r="F271" s="10">
        <v>177</v>
      </c>
      <c r="G271" s="10">
        <v>175.8</v>
      </c>
      <c r="H271" s="10">
        <v>145</v>
      </c>
      <c r="I271" s="10">
        <v>153</v>
      </c>
      <c r="J271" s="10">
        <v>127</v>
      </c>
      <c r="K271" s="10">
        <v>86</v>
      </c>
      <c r="L271" s="10">
        <v>109</v>
      </c>
      <c r="M271" s="10">
        <v>17.7</v>
      </c>
      <c r="N271" s="10">
        <v>1933</v>
      </c>
      <c r="O271" s="10">
        <v>0.89</v>
      </c>
      <c r="P271" s="10">
        <v>1730</v>
      </c>
      <c r="Q271" s="10">
        <v>225</v>
      </c>
      <c r="R271" s="10">
        <v>109</v>
      </c>
      <c r="S271" s="10">
        <v>57</v>
      </c>
      <c r="T271" s="10">
        <v>209</v>
      </c>
      <c r="U271" s="10">
        <v>6</v>
      </c>
      <c r="V271" s="10">
        <v>95</v>
      </c>
      <c r="W271" s="10">
        <v>0.111</v>
      </c>
      <c r="X271" s="10">
        <v>127</v>
      </c>
      <c r="Y271" s="10">
        <v>97</v>
      </c>
      <c r="Z271" s="10">
        <v>83</v>
      </c>
      <c r="AA271" s="10">
        <v>9</v>
      </c>
      <c r="AB271" s="10">
        <v>11</v>
      </c>
      <c r="AC271" s="9" t="s">
        <v>188</v>
      </c>
      <c r="AD271" s="10"/>
      <c r="AE271" s="10"/>
      <c r="AF271" s="10"/>
      <c r="AG271" s="10"/>
    </row>
    <row r="272" spans="1:33">
      <c r="A272" s="7" t="s">
        <v>155</v>
      </c>
      <c r="B272" s="8" t="s">
        <v>317</v>
      </c>
      <c r="C272" s="9" t="s">
        <v>456</v>
      </c>
      <c r="D272" s="10">
        <v>153</v>
      </c>
      <c r="E272" s="9" t="s">
        <v>163</v>
      </c>
      <c r="F272" s="10">
        <v>153</v>
      </c>
      <c r="G272" s="10">
        <v>151.4</v>
      </c>
      <c r="H272" s="10">
        <v>119</v>
      </c>
      <c r="I272" s="10">
        <v>128</v>
      </c>
      <c r="J272" s="10">
        <v>134</v>
      </c>
      <c r="K272" s="10">
        <v>96</v>
      </c>
      <c r="L272" s="10">
        <v>116</v>
      </c>
      <c r="M272" s="10">
        <v>13.7</v>
      </c>
      <c r="N272" s="10">
        <v>1655</v>
      </c>
      <c r="O272" s="10">
        <v>0.98</v>
      </c>
      <c r="P272" s="10">
        <v>1626</v>
      </c>
      <c r="Q272" s="10">
        <v>135</v>
      </c>
      <c r="R272" s="10">
        <v>72</v>
      </c>
      <c r="S272" s="10">
        <v>63</v>
      </c>
      <c r="T272" s="10">
        <v>222</v>
      </c>
      <c r="U272" s="10">
        <v>8</v>
      </c>
      <c r="V272" s="10">
        <v>104</v>
      </c>
      <c r="W272" s="10">
        <v>0.124</v>
      </c>
      <c r="X272" s="10">
        <v>122</v>
      </c>
      <c r="Y272" s="10">
        <v>111</v>
      </c>
      <c r="Z272" s="10">
        <v>100</v>
      </c>
      <c r="AA272" s="10">
        <v>5</v>
      </c>
      <c r="AB272" s="10">
        <v>11.2</v>
      </c>
      <c r="AC272" s="9" t="s">
        <v>188</v>
      </c>
      <c r="AD272" s="10"/>
      <c r="AE272" s="10"/>
      <c r="AF272" s="10"/>
      <c r="AG272" s="10"/>
    </row>
    <row r="273" spans="1:33">
      <c r="A273" s="7" t="s">
        <v>155</v>
      </c>
      <c r="B273" s="8" t="s">
        <v>317</v>
      </c>
      <c r="C273" s="9" t="s">
        <v>456</v>
      </c>
      <c r="D273" s="10">
        <v>159</v>
      </c>
      <c r="E273" s="9" t="s">
        <v>163</v>
      </c>
      <c r="F273" s="10">
        <v>159</v>
      </c>
      <c r="G273" s="10">
        <v>157.69999999999999</v>
      </c>
      <c r="H273" s="10">
        <v>124</v>
      </c>
      <c r="I273" s="10">
        <v>134</v>
      </c>
      <c r="J273" s="10">
        <v>135</v>
      </c>
      <c r="K273" s="10">
        <v>96</v>
      </c>
      <c r="L273" s="10">
        <v>117</v>
      </c>
      <c r="M273" s="10">
        <v>14.4</v>
      </c>
      <c r="N273" s="10">
        <v>1753</v>
      </c>
      <c r="O273" s="10">
        <v>0.97</v>
      </c>
      <c r="P273" s="10">
        <v>1700</v>
      </c>
      <c r="Q273" s="10">
        <v>155</v>
      </c>
      <c r="R273" s="10">
        <v>83</v>
      </c>
      <c r="S273" s="10">
        <v>59</v>
      </c>
      <c r="T273" s="10">
        <v>230</v>
      </c>
      <c r="U273" s="10">
        <v>7</v>
      </c>
      <c r="V273" s="10">
        <v>112</v>
      </c>
      <c r="W273" s="10">
        <v>0.126</v>
      </c>
      <c r="X273" s="10">
        <v>130</v>
      </c>
      <c r="Y273" s="10">
        <v>109</v>
      </c>
      <c r="Z273" s="10">
        <v>99</v>
      </c>
      <c r="AA273" s="10">
        <v>5</v>
      </c>
      <c r="AB273" s="10">
        <v>11.3</v>
      </c>
      <c r="AC273" s="9" t="s">
        <v>188</v>
      </c>
      <c r="AD273" s="10"/>
      <c r="AE273" s="10"/>
      <c r="AF273" s="10"/>
      <c r="AG273" s="10"/>
    </row>
    <row r="274" spans="1:33">
      <c r="A274" s="7" t="s">
        <v>155</v>
      </c>
      <c r="B274" s="8" t="s">
        <v>317</v>
      </c>
      <c r="C274" s="9" t="s">
        <v>456</v>
      </c>
      <c r="D274" s="10">
        <v>165</v>
      </c>
      <c r="E274" s="9" t="s">
        <v>163</v>
      </c>
      <c r="F274" s="10">
        <v>165</v>
      </c>
      <c r="G274" s="10">
        <v>163.80000000000001</v>
      </c>
      <c r="H274" s="10">
        <v>130</v>
      </c>
      <c r="I274" s="10">
        <v>140</v>
      </c>
      <c r="J274" s="10">
        <v>136</v>
      </c>
      <c r="K274" s="10">
        <v>96</v>
      </c>
      <c r="L274" s="10">
        <v>118</v>
      </c>
      <c r="M274" s="10">
        <v>15.3</v>
      </c>
      <c r="N274" s="10">
        <v>1911</v>
      </c>
      <c r="O274" s="10">
        <v>0.92</v>
      </c>
      <c r="P274" s="10">
        <v>1766</v>
      </c>
      <c r="Q274" s="10">
        <v>191</v>
      </c>
      <c r="R274" s="10">
        <v>95</v>
      </c>
      <c r="S274" s="10">
        <v>59</v>
      </c>
      <c r="T274" s="10">
        <v>228</v>
      </c>
      <c r="U274" s="10">
        <v>9</v>
      </c>
      <c r="V274" s="10">
        <v>112</v>
      </c>
      <c r="W274" s="10">
        <v>0.16</v>
      </c>
      <c r="X274" s="10">
        <v>126</v>
      </c>
      <c r="Y274" s="10">
        <v>108</v>
      </c>
      <c r="Z274" s="10">
        <v>102</v>
      </c>
      <c r="AA274" s="10">
        <v>6</v>
      </c>
      <c r="AB274" s="10">
        <v>11.4</v>
      </c>
      <c r="AC274" s="9" t="s">
        <v>188</v>
      </c>
      <c r="AD274" s="10"/>
      <c r="AE274" s="10"/>
      <c r="AF274" s="10"/>
      <c r="AG274" s="10"/>
    </row>
    <row r="275" spans="1:33">
      <c r="A275" s="7" t="s">
        <v>155</v>
      </c>
      <c r="B275" s="8" t="s">
        <v>317</v>
      </c>
      <c r="C275" s="9" t="s">
        <v>456</v>
      </c>
      <c r="D275" s="10">
        <v>171</v>
      </c>
      <c r="E275" s="9" t="s">
        <v>163</v>
      </c>
      <c r="F275" s="10">
        <v>171</v>
      </c>
      <c r="G275" s="10">
        <v>169.8</v>
      </c>
      <c r="H275" s="10">
        <v>134</v>
      </c>
      <c r="I275" s="10">
        <v>146</v>
      </c>
      <c r="J275" s="10">
        <v>136</v>
      </c>
      <c r="K275" s="10">
        <v>96</v>
      </c>
      <c r="L275" s="10">
        <v>118</v>
      </c>
      <c r="M275" s="10">
        <v>16.8</v>
      </c>
      <c r="N275" s="10">
        <v>1926</v>
      </c>
      <c r="O275" s="10">
        <v>0.95</v>
      </c>
      <c r="P275" s="10">
        <v>1836</v>
      </c>
      <c r="Q275" s="10">
        <v>190</v>
      </c>
      <c r="R275" s="10">
        <v>105</v>
      </c>
      <c r="S275" s="10">
        <v>57</v>
      </c>
      <c r="T275" s="10">
        <v>244</v>
      </c>
      <c r="U275" s="10">
        <v>8</v>
      </c>
      <c r="V275" s="10">
        <v>116</v>
      </c>
      <c r="W275" s="10">
        <v>0.14000000000000001</v>
      </c>
      <c r="X275" s="10">
        <v>128</v>
      </c>
      <c r="Y275" s="10">
        <v>112</v>
      </c>
      <c r="Z275" s="10">
        <v>116</v>
      </c>
      <c r="AA275" s="10">
        <v>4</v>
      </c>
      <c r="AB275" s="10">
        <v>11.4</v>
      </c>
      <c r="AC275" s="9" t="s">
        <v>188</v>
      </c>
      <c r="AD275" s="10"/>
      <c r="AE275" s="10"/>
      <c r="AF275" s="10"/>
      <c r="AG275" s="10"/>
    </row>
    <row r="276" spans="1:33">
      <c r="A276" s="7" t="s">
        <v>155</v>
      </c>
      <c r="B276" s="8" t="s">
        <v>317</v>
      </c>
      <c r="C276" s="9" t="s">
        <v>793</v>
      </c>
      <c r="D276" s="10">
        <v>171</v>
      </c>
      <c r="E276" s="9" t="s">
        <v>158</v>
      </c>
      <c r="F276" s="10">
        <v>171</v>
      </c>
      <c r="G276" s="10">
        <v>169.8</v>
      </c>
      <c r="H276" s="10">
        <v>140</v>
      </c>
      <c r="I276" s="10">
        <v>146</v>
      </c>
      <c r="J276" s="10">
        <v>136</v>
      </c>
      <c r="K276" s="10">
        <v>96</v>
      </c>
      <c r="L276" s="10">
        <v>117</v>
      </c>
      <c r="M276" s="10">
        <v>16.7</v>
      </c>
      <c r="N276" s="10">
        <v>2154</v>
      </c>
      <c r="O276" s="10">
        <v>0.85</v>
      </c>
      <c r="P276" s="10">
        <v>1824</v>
      </c>
      <c r="Q276" s="10">
        <v>170</v>
      </c>
      <c r="R276" s="10">
        <v>107</v>
      </c>
      <c r="S276" s="10">
        <v>51</v>
      </c>
      <c r="T276" s="10">
        <v>195</v>
      </c>
      <c r="U276" s="10">
        <v>7</v>
      </c>
      <c r="V276" s="10">
        <v>98</v>
      </c>
      <c r="W276" s="10">
        <v>0.13200000000000001</v>
      </c>
      <c r="X276" s="10">
        <v>129</v>
      </c>
      <c r="Y276" s="10">
        <v>105</v>
      </c>
      <c r="Z276" s="10">
        <v>66</v>
      </c>
      <c r="AA276" s="10">
        <v>9</v>
      </c>
      <c r="AB276" s="10">
        <v>11.5</v>
      </c>
      <c r="AC276" s="9" t="s">
        <v>188</v>
      </c>
      <c r="AD276" s="10"/>
      <c r="AE276" s="10"/>
      <c r="AF276" s="10"/>
      <c r="AG276" s="10"/>
    </row>
    <row r="277" spans="1:33">
      <c r="A277" s="7" t="s">
        <v>155</v>
      </c>
      <c r="B277" s="8" t="s">
        <v>317</v>
      </c>
      <c r="C277" s="9" t="s">
        <v>793</v>
      </c>
      <c r="D277" s="10">
        <v>177</v>
      </c>
      <c r="E277" s="9" t="s">
        <v>158</v>
      </c>
      <c r="F277" s="10">
        <v>177</v>
      </c>
      <c r="G277" s="10">
        <v>176.1</v>
      </c>
      <c r="H277" s="10">
        <v>148</v>
      </c>
      <c r="I277" s="10">
        <v>151</v>
      </c>
      <c r="J277" s="10">
        <v>136</v>
      </c>
      <c r="K277" s="10">
        <v>96</v>
      </c>
      <c r="L277" s="10">
        <v>118</v>
      </c>
      <c r="M277" s="10">
        <v>18.2</v>
      </c>
      <c r="N277" s="10">
        <v>2255</v>
      </c>
      <c r="O277" s="10">
        <v>0.84</v>
      </c>
      <c r="P277" s="10">
        <v>1898</v>
      </c>
      <c r="Q277" s="10">
        <v>192</v>
      </c>
      <c r="R277" s="10">
        <v>121</v>
      </c>
      <c r="S277" s="10">
        <v>44</v>
      </c>
      <c r="T277" s="10">
        <v>188</v>
      </c>
      <c r="U277" s="10">
        <v>6</v>
      </c>
      <c r="V277" s="10">
        <v>98</v>
      </c>
      <c r="W277" s="10">
        <v>0.13300000000000001</v>
      </c>
      <c r="X277" s="10">
        <v>134</v>
      </c>
      <c r="Y277" s="10">
        <v>113</v>
      </c>
      <c r="Z277" s="10">
        <v>54</v>
      </c>
      <c r="AA277" s="10">
        <v>10</v>
      </c>
      <c r="AB277" s="10">
        <v>11.3</v>
      </c>
      <c r="AC277" s="9" t="s">
        <v>188</v>
      </c>
      <c r="AD277" s="10"/>
      <c r="AE277" s="10"/>
      <c r="AF277" s="10"/>
      <c r="AG277" s="10"/>
    </row>
    <row r="278" spans="1:33">
      <c r="A278" s="7" t="s">
        <v>155</v>
      </c>
      <c r="B278" s="8" t="s">
        <v>317</v>
      </c>
      <c r="C278" s="9" t="s">
        <v>793</v>
      </c>
      <c r="D278" s="10">
        <v>183</v>
      </c>
      <c r="E278" s="9" t="s">
        <v>158</v>
      </c>
      <c r="F278" s="10">
        <v>183</v>
      </c>
      <c r="G278" s="10">
        <v>181.8</v>
      </c>
      <c r="H278" s="10">
        <v>149</v>
      </c>
      <c r="I278" s="10">
        <v>157</v>
      </c>
      <c r="J278" s="10">
        <v>136</v>
      </c>
      <c r="K278" s="10">
        <v>96</v>
      </c>
      <c r="L278" s="10">
        <v>117</v>
      </c>
      <c r="M278" s="10">
        <v>19.7</v>
      </c>
      <c r="N278" s="10">
        <v>2287</v>
      </c>
      <c r="O278" s="10">
        <v>0.86</v>
      </c>
      <c r="P278" s="10">
        <v>1958</v>
      </c>
      <c r="Q278" s="10">
        <v>230</v>
      </c>
      <c r="R278" s="10">
        <v>136</v>
      </c>
      <c r="S278" s="10">
        <v>52</v>
      </c>
      <c r="T278" s="10">
        <v>226</v>
      </c>
      <c r="U278" s="10">
        <v>6</v>
      </c>
      <c r="V278" s="10">
        <v>101</v>
      </c>
      <c r="W278" s="10">
        <v>0.11600000000000001</v>
      </c>
      <c r="X278" s="10">
        <v>133</v>
      </c>
      <c r="Y278" s="10">
        <v>119</v>
      </c>
      <c r="Z278" s="10">
        <v>93</v>
      </c>
      <c r="AA278" s="10">
        <v>8</v>
      </c>
      <c r="AB278" s="10">
        <v>11.3</v>
      </c>
      <c r="AC278" s="9" t="s">
        <v>188</v>
      </c>
      <c r="AD278" s="10"/>
      <c r="AE278" s="10"/>
      <c r="AF278" s="10"/>
      <c r="AG278" s="10"/>
    </row>
    <row r="279" spans="1:33">
      <c r="A279" s="7" t="s">
        <v>155</v>
      </c>
      <c r="B279" s="8" t="s">
        <v>317</v>
      </c>
      <c r="C279" s="9" t="s">
        <v>821</v>
      </c>
      <c r="D279" s="10">
        <v>173</v>
      </c>
      <c r="E279" s="9" t="s">
        <v>158</v>
      </c>
      <c r="F279" s="10">
        <v>173</v>
      </c>
      <c r="G279" s="10">
        <v>171.1</v>
      </c>
      <c r="H279" s="10">
        <v>136</v>
      </c>
      <c r="I279" s="10">
        <v>147</v>
      </c>
      <c r="J279" s="10">
        <v>121</v>
      </c>
      <c r="K279" s="10">
        <v>81</v>
      </c>
      <c r="L279" s="10">
        <v>104</v>
      </c>
      <c r="M279" s="10">
        <v>17</v>
      </c>
      <c r="N279" s="10">
        <v>1888</v>
      </c>
      <c r="O279" s="10">
        <v>0.85</v>
      </c>
      <c r="P279" s="10">
        <v>1600</v>
      </c>
      <c r="Q279" s="10">
        <v>190</v>
      </c>
      <c r="R279" s="10">
        <v>122</v>
      </c>
      <c r="S279" s="10">
        <v>53</v>
      </c>
      <c r="T279" s="10">
        <v>251</v>
      </c>
      <c r="U279" s="10">
        <v>5</v>
      </c>
      <c r="V279" s="10">
        <v>97</v>
      </c>
      <c r="W279" s="10">
        <v>0.10299999999999999</v>
      </c>
      <c r="X279" s="10">
        <v>126</v>
      </c>
      <c r="Y279" s="10">
        <v>112</v>
      </c>
      <c r="Z279" s="10">
        <v>125</v>
      </c>
      <c r="AA279" s="10">
        <v>4</v>
      </c>
      <c r="AB279" s="10">
        <v>10.6</v>
      </c>
      <c r="AC279" s="9" t="s">
        <v>349</v>
      </c>
      <c r="AD279" s="9" t="s">
        <v>231</v>
      </c>
      <c r="AE279" s="9" t="s">
        <v>188</v>
      </c>
      <c r="AF279" s="10"/>
      <c r="AG279" s="10"/>
    </row>
    <row r="280" spans="1:33">
      <c r="A280" s="7" t="s">
        <v>155</v>
      </c>
      <c r="B280" s="8" t="s">
        <v>317</v>
      </c>
      <c r="C280" s="9" t="s">
        <v>821</v>
      </c>
      <c r="D280" s="10">
        <v>180</v>
      </c>
      <c r="E280" s="9" t="s">
        <v>158</v>
      </c>
      <c r="F280" s="10">
        <v>180</v>
      </c>
      <c r="G280" s="10">
        <v>178</v>
      </c>
      <c r="H280" s="10">
        <v>148</v>
      </c>
      <c r="I280" s="10">
        <v>156</v>
      </c>
      <c r="J280" s="10">
        <v>120</v>
      </c>
      <c r="K280" s="10">
        <v>81</v>
      </c>
      <c r="L280" s="10">
        <v>104</v>
      </c>
      <c r="M280" s="10">
        <v>19</v>
      </c>
      <c r="N280" s="10">
        <v>2010</v>
      </c>
      <c r="O280" s="10">
        <v>0.83</v>
      </c>
      <c r="P280" s="10">
        <v>1661</v>
      </c>
      <c r="Q280" s="10">
        <v>210</v>
      </c>
      <c r="R280" s="10">
        <v>127</v>
      </c>
      <c r="S280" s="10">
        <v>53</v>
      </c>
      <c r="T280" s="10">
        <v>220</v>
      </c>
      <c r="U280" s="10">
        <v>5</v>
      </c>
      <c r="V280" s="10">
        <v>81</v>
      </c>
      <c r="W280" s="10">
        <v>9.6000000000000002E-2</v>
      </c>
      <c r="X280" s="10">
        <v>119</v>
      </c>
      <c r="Y280" s="10">
        <v>106</v>
      </c>
      <c r="Z280" s="10">
        <v>102</v>
      </c>
      <c r="AA280" s="10">
        <v>9</v>
      </c>
      <c r="AB280" s="10">
        <v>11.2</v>
      </c>
      <c r="AC280" s="9" t="s">
        <v>349</v>
      </c>
      <c r="AD280" s="9" t="s">
        <v>231</v>
      </c>
      <c r="AE280" s="9" t="s">
        <v>188</v>
      </c>
      <c r="AF280" s="10"/>
      <c r="AG280" s="10"/>
    </row>
    <row r="281" spans="1:33">
      <c r="A281" s="7" t="s">
        <v>155</v>
      </c>
      <c r="B281" s="8" t="s">
        <v>317</v>
      </c>
      <c r="C281" s="9" t="s">
        <v>821</v>
      </c>
      <c r="D281" s="10">
        <v>187</v>
      </c>
      <c r="E281" s="9" t="s">
        <v>158</v>
      </c>
      <c r="F281" s="10">
        <v>187</v>
      </c>
      <c r="G281" s="10">
        <v>185</v>
      </c>
      <c r="H281" s="10">
        <v>150</v>
      </c>
      <c r="I281" s="10">
        <v>162</v>
      </c>
      <c r="J281" s="10">
        <v>121</v>
      </c>
      <c r="K281" s="10">
        <v>81</v>
      </c>
      <c r="L281" s="10">
        <v>104</v>
      </c>
      <c r="M281" s="10">
        <v>20.5</v>
      </c>
      <c r="N281" s="10">
        <v>2080</v>
      </c>
      <c r="O281" s="10">
        <v>0.83</v>
      </c>
      <c r="P281" s="10">
        <v>1729</v>
      </c>
      <c r="Q281" s="10">
        <v>275</v>
      </c>
      <c r="R281" s="10">
        <v>152</v>
      </c>
      <c r="S281" s="10">
        <v>55</v>
      </c>
      <c r="T281" s="10">
        <v>251</v>
      </c>
      <c r="U281" s="10">
        <v>5</v>
      </c>
      <c r="V281" s="10">
        <v>95</v>
      </c>
      <c r="W281" s="10">
        <v>8.5000000000000006E-2</v>
      </c>
      <c r="X281" s="10">
        <v>122</v>
      </c>
      <c r="Y281" s="10">
        <v>110</v>
      </c>
      <c r="Z281" s="10">
        <v>129</v>
      </c>
      <c r="AA281" s="10">
        <v>4</v>
      </c>
      <c r="AB281" s="10">
        <v>11.1</v>
      </c>
      <c r="AC281" s="9" t="s">
        <v>349</v>
      </c>
      <c r="AD281" s="9" t="s">
        <v>231</v>
      </c>
      <c r="AE281" s="9" t="s">
        <v>188</v>
      </c>
      <c r="AF281" s="10"/>
      <c r="AG281" s="10"/>
    </row>
    <row r="282" spans="1:33">
      <c r="A282" s="7" t="s">
        <v>155</v>
      </c>
      <c r="B282" s="8" t="s">
        <v>317</v>
      </c>
      <c r="C282" s="9" t="s">
        <v>630</v>
      </c>
      <c r="D282" s="10">
        <v>165</v>
      </c>
      <c r="E282" s="9" t="s">
        <v>158</v>
      </c>
      <c r="F282" s="10">
        <v>165</v>
      </c>
      <c r="G282" s="10">
        <v>163.5</v>
      </c>
      <c r="H282" s="10">
        <v>133</v>
      </c>
      <c r="I282" s="10">
        <v>141</v>
      </c>
      <c r="J282" s="10">
        <v>128</v>
      </c>
      <c r="K282" s="10">
        <v>86</v>
      </c>
      <c r="L282" s="10">
        <v>109</v>
      </c>
      <c r="M282" s="10">
        <v>14.6</v>
      </c>
      <c r="N282" s="10">
        <v>1894</v>
      </c>
      <c r="O282" s="10">
        <v>0.85</v>
      </c>
      <c r="P282" s="10">
        <v>1618</v>
      </c>
      <c r="Q282" s="10">
        <v>178</v>
      </c>
      <c r="R282" s="10">
        <v>89</v>
      </c>
      <c r="S282" s="10">
        <v>59</v>
      </c>
      <c r="T282" s="10">
        <v>202</v>
      </c>
      <c r="U282" s="10">
        <v>7</v>
      </c>
      <c r="V282" s="10">
        <v>101</v>
      </c>
      <c r="W282" s="10">
        <v>0.113</v>
      </c>
      <c r="X282" s="10">
        <v>122</v>
      </c>
      <c r="Y282" s="10">
        <v>103</v>
      </c>
      <c r="Z282" s="10">
        <v>80</v>
      </c>
      <c r="AA282" s="10">
        <v>8</v>
      </c>
      <c r="AB282" s="10">
        <v>11</v>
      </c>
      <c r="AC282" s="9" t="s">
        <v>188</v>
      </c>
      <c r="AD282" s="10"/>
      <c r="AE282" s="10"/>
      <c r="AF282" s="10"/>
      <c r="AG282" s="10"/>
    </row>
    <row r="283" spans="1:33">
      <c r="A283" s="7" t="s">
        <v>155</v>
      </c>
      <c r="B283" s="8" t="s">
        <v>317</v>
      </c>
      <c r="C283" s="9" t="s">
        <v>630</v>
      </c>
      <c r="D283" s="10">
        <v>177</v>
      </c>
      <c r="E283" s="9" t="s">
        <v>158</v>
      </c>
      <c r="F283" s="10">
        <v>177</v>
      </c>
      <c r="G283" s="10">
        <v>175.9</v>
      </c>
      <c r="H283" s="10">
        <v>144</v>
      </c>
      <c r="I283" s="10">
        <v>154</v>
      </c>
      <c r="J283" s="10">
        <v>128</v>
      </c>
      <c r="K283" s="10">
        <v>86</v>
      </c>
      <c r="L283" s="10">
        <v>109</v>
      </c>
      <c r="M283" s="10">
        <v>17.3</v>
      </c>
      <c r="N283" s="10">
        <v>2133</v>
      </c>
      <c r="O283" s="10">
        <v>0.81</v>
      </c>
      <c r="P283" s="10">
        <v>1735</v>
      </c>
      <c r="Q283" s="10">
        <v>219</v>
      </c>
      <c r="R283" s="10">
        <v>115</v>
      </c>
      <c r="S283" s="10">
        <v>53</v>
      </c>
      <c r="T283" s="10">
        <v>211</v>
      </c>
      <c r="U283" s="10">
        <v>8</v>
      </c>
      <c r="V283" s="10">
        <v>112</v>
      </c>
      <c r="W283" s="10">
        <v>0.14699999999999999</v>
      </c>
      <c r="X283" s="10">
        <v>119</v>
      </c>
      <c r="Y283" s="10">
        <v>99</v>
      </c>
      <c r="Z283" s="10">
        <v>92</v>
      </c>
      <c r="AA283" s="10">
        <v>5</v>
      </c>
      <c r="AB283" s="10">
        <v>11.1</v>
      </c>
      <c r="AC283" s="9" t="s">
        <v>188</v>
      </c>
      <c r="AD283" s="10"/>
      <c r="AE283" s="10"/>
      <c r="AF283" s="10"/>
      <c r="AG283" s="10"/>
    </row>
    <row r="284" spans="1:33">
      <c r="A284" s="7" t="s">
        <v>155</v>
      </c>
      <c r="B284" s="8" t="s">
        <v>317</v>
      </c>
      <c r="C284" s="9" t="s">
        <v>630</v>
      </c>
      <c r="D284" s="10">
        <v>183</v>
      </c>
      <c r="E284" s="9" t="s">
        <v>158</v>
      </c>
      <c r="F284" s="10">
        <v>183</v>
      </c>
      <c r="G284" s="10">
        <v>181.8</v>
      </c>
      <c r="H284" s="10">
        <v>152</v>
      </c>
      <c r="I284" s="10">
        <v>159</v>
      </c>
      <c r="J284" s="10">
        <v>128</v>
      </c>
      <c r="K284" s="10">
        <v>86</v>
      </c>
      <c r="L284" s="10">
        <v>110</v>
      </c>
      <c r="M284" s="10">
        <v>18.8</v>
      </c>
      <c r="N284" s="10">
        <v>2198</v>
      </c>
      <c r="O284" s="10">
        <v>0.82</v>
      </c>
      <c r="P284" s="10">
        <v>1796</v>
      </c>
      <c r="Q284" s="10">
        <v>229</v>
      </c>
      <c r="R284" s="10">
        <v>127</v>
      </c>
      <c r="S284" s="10">
        <v>51</v>
      </c>
      <c r="T284" s="10">
        <v>205</v>
      </c>
      <c r="U284" s="10">
        <v>5</v>
      </c>
      <c r="V284" s="10">
        <v>89</v>
      </c>
      <c r="W284" s="10">
        <v>9.5000000000000001E-2</v>
      </c>
      <c r="X284" s="10">
        <v>122</v>
      </c>
      <c r="Y284" s="10">
        <v>106</v>
      </c>
      <c r="Z284" s="10">
        <v>83</v>
      </c>
      <c r="AA284" s="10">
        <v>11</v>
      </c>
      <c r="AB284" s="10">
        <v>11.1</v>
      </c>
      <c r="AC284" s="9" t="s">
        <v>188</v>
      </c>
      <c r="AD284" s="10"/>
      <c r="AE284" s="10"/>
      <c r="AF284" s="10"/>
      <c r="AG284" s="10"/>
    </row>
    <row r="285" spans="1:33">
      <c r="A285" s="7" t="s">
        <v>155</v>
      </c>
      <c r="B285" s="8" t="s">
        <v>317</v>
      </c>
      <c r="C285" s="9" t="s">
        <v>630</v>
      </c>
      <c r="D285" s="10">
        <v>189</v>
      </c>
      <c r="E285" s="9" t="s">
        <v>158</v>
      </c>
      <c r="F285" s="10">
        <v>189</v>
      </c>
      <c r="G285" s="10">
        <v>188.1</v>
      </c>
      <c r="H285" s="10">
        <v>160</v>
      </c>
      <c r="I285" s="10">
        <v>165</v>
      </c>
      <c r="J285" s="10">
        <v>127</v>
      </c>
      <c r="K285" s="10">
        <v>86</v>
      </c>
      <c r="L285" s="10">
        <v>109</v>
      </c>
      <c r="M285" s="10">
        <v>20.5</v>
      </c>
      <c r="N285" s="10">
        <v>2306</v>
      </c>
      <c r="O285" s="10">
        <v>0.8</v>
      </c>
      <c r="P285" s="10">
        <v>1848</v>
      </c>
      <c r="Q285" s="10">
        <v>253</v>
      </c>
      <c r="R285" s="10">
        <v>139</v>
      </c>
      <c r="S285" s="10">
        <v>54</v>
      </c>
      <c r="T285" s="10">
        <v>198</v>
      </c>
      <c r="U285" s="10">
        <v>4</v>
      </c>
      <c r="V285" s="10">
        <v>85</v>
      </c>
      <c r="W285" s="10">
        <v>7.8E-2</v>
      </c>
      <c r="X285" s="10">
        <v>123</v>
      </c>
      <c r="Y285" s="10">
        <v>104</v>
      </c>
      <c r="Z285" s="10">
        <v>75</v>
      </c>
      <c r="AA285" s="10">
        <v>12</v>
      </c>
      <c r="AB285" s="10">
        <v>11</v>
      </c>
      <c r="AC285" s="9" t="s">
        <v>188</v>
      </c>
      <c r="AD285" s="10"/>
      <c r="AE285" s="10"/>
      <c r="AF285" s="10"/>
      <c r="AG285" s="10"/>
    </row>
    <row r="286" spans="1:33">
      <c r="A286" s="7" t="s">
        <v>155</v>
      </c>
      <c r="B286" s="8" t="s">
        <v>317</v>
      </c>
      <c r="C286" s="9" t="s">
        <v>754</v>
      </c>
      <c r="D286" s="10">
        <v>177</v>
      </c>
      <c r="E286" s="9" t="s">
        <v>158</v>
      </c>
      <c r="F286" s="10">
        <v>177</v>
      </c>
      <c r="G286" s="10">
        <v>175.1</v>
      </c>
      <c r="H286" s="10">
        <v>114</v>
      </c>
      <c r="I286" s="10">
        <v>149</v>
      </c>
      <c r="J286" s="10">
        <v>135</v>
      </c>
      <c r="K286" s="10">
        <v>106</v>
      </c>
      <c r="L286" s="10">
        <v>123</v>
      </c>
      <c r="M286" s="10">
        <v>23.9</v>
      </c>
      <c r="N286" s="10">
        <v>2214</v>
      </c>
      <c r="O286" s="10">
        <v>0.9</v>
      </c>
      <c r="P286" s="10">
        <v>2003</v>
      </c>
      <c r="Q286" s="10">
        <v>203</v>
      </c>
      <c r="R286" s="10">
        <v>129</v>
      </c>
      <c r="S286" s="10">
        <v>47</v>
      </c>
      <c r="T286" s="10">
        <v>316</v>
      </c>
      <c r="U286" s="10">
        <v>16</v>
      </c>
      <c r="V286" s="10">
        <v>291</v>
      </c>
      <c r="W286" s="10">
        <v>0.34799999999999998</v>
      </c>
      <c r="X286" s="10">
        <v>151</v>
      </c>
      <c r="Y286" s="10">
        <v>114</v>
      </c>
      <c r="Z286" s="10">
        <v>165</v>
      </c>
      <c r="AA286" s="10">
        <v>4</v>
      </c>
      <c r="AB286" s="10">
        <v>11.4</v>
      </c>
      <c r="AC286" s="9" t="s">
        <v>178</v>
      </c>
      <c r="AD286" s="10"/>
      <c r="AE286" s="10"/>
      <c r="AF286" s="10"/>
      <c r="AG286" s="10"/>
    </row>
    <row r="287" spans="1:33">
      <c r="A287" s="7" t="s">
        <v>155</v>
      </c>
      <c r="B287" s="8" t="s">
        <v>317</v>
      </c>
      <c r="C287" s="9" t="s">
        <v>754</v>
      </c>
      <c r="D287" s="10">
        <v>185</v>
      </c>
      <c r="E287" s="9" t="s">
        <v>158</v>
      </c>
      <c r="F287" s="10">
        <v>185</v>
      </c>
      <c r="G287" s="10">
        <v>182.9</v>
      </c>
      <c r="H287" s="10">
        <v>138</v>
      </c>
      <c r="I287" s="10">
        <v>157</v>
      </c>
      <c r="J287" s="10">
        <v>136</v>
      </c>
      <c r="K287" s="10">
        <v>106</v>
      </c>
      <c r="L287" s="10">
        <v>123</v>
      </c>
      <c r="M287" s="10">
        <v>25.2</v>
      </c>
      <c r="N287" s="10">
        <v>2372</v>
      </c>
      <c r="O287" s="10">
        <v>0.88</v>
      </c>
      <c r="P287" s="10">
        <v>2096</v>
      </c>
      <c r="Q287" s="10">
        <v>255</v>
      </c>
      <c r="R287" s="10">
        <v>165</v>
      </c>
      <c r="S287" s="10">
        <v>49</v>
      </c>
      <c r="T287" s="10">
        <v>332</v>
      </c>
      <c r="U287" s="10">
        <v>14</v>
      </c>
      <c r="V287" s="10">
        <v>122</v>
      </c>
      <c r="W287" s="10">
        <v>0.28299999999999997</v>
      </c>
      <c r="X287" s="10">
        <v>142</v>
      </c>
      <c r="Y287" s="10">
        <v>117</v>
      </c>
      <c r="Z287" s="10">
        <v>189</v>
      </c>
      <c r="AA287" s="10">
        <v>5</v>
      </c>
      <c r="AB287" s="10">
        <v>11.4</v>
      </c>
      <c r="AC287" s="9" t="s">
        <v>178</v>
      </c>
      <c r="AD287" s="10"/>
      <c r="AE287" s="10"/>
      <c r="AF287" s="10"/>
      <c r="AG287" s="10"/>
    </row>
    <row r="288" spans="1:33">
      <c r="A288" s="7" t="s">
        <v>155</v>
      </c>
      <c r="B288" s="8" t="s">
        <v>317</v>
      </c>
      <c r="C288" s="9" t="s">
        <v>754</v>
      </c>
      <c r="D288" s="10">
        <v>192</v>
      </c>
      <c r="E288" s="9" t="s">
        <v>158</v>
      </c>
      <c r="F288" s="10">
        <v>192</v>
      </c>
      <c r="G288" s="10">
        <v>190.3</v>
      </c>
      <c r="H288" s="10">
        <v>144</v>
      </c>
      <c r="I288" s="10">
        <v>164</v>
      </c>
      <c r="J288" s="10">
        <v>136</v>
      </c>
      <c r="K288" s="10">
        <v>106</v>
      </c>
      <c r="L288" s="10">
        <v>123</v>
      </c>
      <c r="M288" s="10">
        <v>26.9</v>
      </c>
      <c r="N288" s="10">
        <v>2576</v>
      </c>
      <c r="O288" s="10">
        <v>0.84</v>
      </c>
      <c r="P288" s="10">
        <v>2176</v>
      </c>
      <c r="Q288" s="10">
        <v>296</v>
      </c>
      <c r="R288" s="10">
        <v>195</v>
      </c>
      <c r="S288" s="10">
        <v>52</v>
      </c>
      <c r="T288" s="10">
        <v>345</v>
      </c>
      <c r="U288" s="10">
        <v>13</v>
      </c>
      <c r="V288" s="10">
        <v>115</v>
      </c>
      <c r="W288" s="10">
        <v>0.255</v>
      </c>
      <c r="X288" s="10">
        <v>148</v>
      </c>
      <c r="Y288" s="10">
        <v>112</v>
      </c>
      <c r="Z288" s="10">
        <v>197</v>
      </c>
      <c r="AA288" s="10">
        <v>7</v>
      </c>
      <c r="AB288" s="10">
        <v>11</v>
      </c>
      <c r="AC288" s="9" t="s">
        <v>178</v>
      </c>
      <c r="AD288" s="10"/>
      <c r="AE288" s="10"/>
      <c r="AF288" s="10"/>
      <c r="AG288" s="10"/>
    </row>
    <row r="289" spans="1:33">
      <c r="A289" s="7" t="s">
        <v>155</v>
      </c>
      <c r="B289" s="8" t="s">
        <v>317</v>
      </c>
      <c r="C289" s="9" t="s">
        <v>881</v>
      </c>
      <c r="D289" s="10">
        <v>166</v>
      </c>
      <c r="E289" s="9" t="s">
        <v>158</v>
      </c>
      <c r="F289" s="10">
        <v>166</v>
      </c>
      <c r="G289" s="10">
        <v>165.2</v>
      </c>
      <c r="H289" s="10">
        <v>148</v>
      </c>
      <c r="I289" s="10">
        <v>153</v>
      </c>
      <c r="J289" s="10">
        <v>123</v>
      </c>
      <c r="K289" s="10">
        <v>74</v>
      </c>
      <c r="L289" s="10">
        <v>104</v>
      </c>
      <c r="M289" s="10">
        <v>14.4</v>
      </c>
      <c r="N289" s="10">
        <v>2094</v>
      </c>
      <c r="O289" s="10">
        <v>0.7</v>
      </c>
      <c r="P289" s="10">
        <v>1465</v>
      </c>
      <c r="Q289" s="10">
        <v>198</v>
      </c>
      <c r="R289" s="10">
        <v>129</v>
      </c>
      <c r="S289" s="10">
        <v>36</v>
      </c>
      <c r="T289" s="10">
        <v>123</v>
      </c>
      <c r="U289" s="10">
        <v>5</v>
      </c>
      <c r="V289" s="10">
        <v>49</v>
      </c>
      <c r="W289" s="10">
        <v>0.14599999999999999</v>
      </c>
      <c r="X289" s="10">
        <v>73</v>
      </c>
      <c r="Y289" s="10">
        <v>51</v>
      </c>
      <c r="Z289" s="10">
        <v>50</v>
      </c>
      <c r="AA289" s="10">
        <v>10</v>
      </c>
      <c r="AB289" s="10">
        <v>11.2</v>
      </c>
      <c r="AC289" s="9" t="s">
        <v>349</v>
      </c>
      <c r="AD289" s="10"/>
      <c r="AE289" s="10"/>
      <c r="AF289" s="10"/>
      <c r="AG289" s="10"/>
    </row>
    <row r="290" spans="1:33">
      <c r="A290" s="7" t="s">
        <v>155</v>
      </c>
      <c r="B290" s="8" t="s">
        <v>317</v>
      </c>
      <c r="C290" s="9" t="s">
        <v>881</v>
      </c>
      <c r="D290" s="10">
        <v>174</v>
      </c>
      <c r="E290" s="9" t="s">
        <v>158</v>
      </c>
      <c r="F290" s="10">
        <v>174</v>
      </c>
      <c r="G290" s="10">
        <v>173.1</v>
      </c>
      <c r="H290" s="10">
        <v>156</v>
      </c>
      <c r="I290" s="10">
        <v>160</v>
      </c>
      <c r="J290" s="10">
        <v>125</v>
      </c>
      <c r="K290" s="10">
        <v>75</v>
      </c>
      <c r="L290" s="10">
        <v>106</v>
      </c>
      <c r="M290" s="10">
        <v>15.2</v>
      </c>
      <c r="N290" s="10">
        <v>2192</v>
      </c>
      <c r="O290" s="10">
        <v>0.71</v>
      </c>
      <c r="P290" s="10">
        <v>1555</v>
      </c>
      <c r="Q290" s="10">
        <v>229</v>
      </c>
      <c r="R290" s="10">
        <v>142</v>
      </c>
      <c r="S290" s="10">
        <v>37</v>
      </c>
      <c r="T290" s="10">
        <v>122</v>
      </c>
      <c r="U290" s="10">
        <v>5</v>
      </c>
      <c r="V290" s="10">
        <v>51</v>
      </c>
      <c r="W290" s="10">
        <v>0.14799999999999999</v>
      </c>
      <c r="X290" s="10">
        <v>76</v>
      </c>
      <c r="Y290" s="10">
        <v>52</v>
      </c>
      <c r="Z290" s="10">
        <v>46</v>
      </c>
      <c r="AA290" s="10">
        <v>9</v>
      </c>
      <c r="AB290" s="10">
        <v>11.1</v>
      </c>
      <c r="AC290" s="9" t="s">
        <v>349</v>
      </c>
      <c r="AD290" s="10"/>
      <c r="AE290" s="10"/>
      <c r="AF290" s="10"/>
      <c r="AG290" s="10"/>
    </row>
    <row r="291" spans="1:33">
      <c r="A291" s="7" t="s">
        <v>155</v>
      </c>
      <c r="B291" s="8" t="s">
        <v>317</v>
      </c>
      <c r="C291" s="9" t="s">
        <v>613</v>
      </c>
      <c r="D291" s="10">
        <v>153</v>
      </c>
      <c r="E291" s="9" t="s">
        <v>163</v>
      </c>
      <c r="F291" s="10">
        <v>153</v>
      </c>
      <c r="G291" s="10">
        <v>151.4</v>
      </c>
      <c r="H291" s="10">
        <v>132</v>
      </c>
      <c r="I291" s="10">
        <v>139</v>
      </c>
      <c r="J291" s="10">
        <v>119</v>
      </c>
      <c r="K291" s="10">
        <v>71</v>
      </c>
      <c r="L291" s="10">
        <v>101</v>
      </c>
      <c r="M291" s="10">
        <v>12.5</v>
      </c>
      <c r="N291" s="10">
        <v>1608</v>
      </c>
      <c r="O291" s="10">
        <v>0.8</v>
      </c>
      <c r="P291" s="10">
        <v>1292</v>
      </c>
      <c r="Q291" s="10">
        <v>202</v>
      </c>
      <c r="R291" s="10">
        <v>74</v>
      </c>
      <c r="S291" s="10">
        <v>31</v>
      </c>
      <c r="T291" s="10">
        <v>133</v>
      </c>
      <c r="U291" s="10">
        <v>8</v>
      </c>
      <c r="V291" s="10">
        <v>64</v>
      </c>
      <c r="W291" s="10">
        <v>0.25900000000000001</v>
      </c>
      <c r="X291" s="10">
        <v>73</v>
      </c>
      <c r="Y291" s="10">
        <v>51</v>
      </c>
      <c r="Z291" s="10">
        <v>59</v>
      </c>
      <c r="AA291" s="10">
        <v>7</v>
      </c>
      <c r="AB291" s="10">
        <v>10.199999999999999</v>
      </c>
      <c r="AC291" s="9" t="s">
        <v>349</v>
      </c>
      <c r="AD291" s="10"/>
      <c r="AE291" s="10"/>
      <c r="AF291" s="10"/>
      <c r="AG291" s="10"/>
    </row>
    <row r="292" spans="1:33">
      <c r="A292" s="7" t="s">
        <v>155</v>
      </c>
      <c r="B292" s="8" t="s">
        <v>317</v>
      </c>
      <c r="C292" s="9" t="s">
        <v>613</v>
      </c>
      <c r="D292" s="10">
        <v>160</v>
      </c>
      <c r="E292" s="9" t="s">
        <v>163</v>
      </c>
      <c r="F292" s="10">
        <v>160</v>
      </c>
      <c r="G292" s="10">
        <v>158.5</v>
      </c>
      <c r="H292" s="10">
        <v>133</v>
      </c>
      <c r="I292" s="10">
        <v>146</v>
      </c>
      <c r="J292" s="10">
        <v>118</v>
      </c>
      <c r="K292" s="10">
        <v>71</v>
      </c>
      <c r="L292" s="10">
        <v>101</v>
      </c>
      <c r="M292" s="10">
        <v>13.8</v>
      </c>
      <c r="N292" s="10">
        <v>1809</v>
      </c>
      <c r="O292" s="10">
        <v>0.74</v>
      </c>
      <c r="P292" s="10">
        <v>1346</v>
      </c>
      <c r="Q292" s="10">
        <v>227</v>
      </c>
      <c r="R292" s="10">
        <v>89</v>
      </c>
      <c r="S292" s="10">
        <v>34</v>
      </c>
      <c r="T292" s="10">
        <v>186</v>
      </c>
      <c r="U292" s="10">
        <v>8</v>
      </c>
      <c r="V292" s="10">
        <v>74</v>
      </c>
      <c r="W292" s="10">
        <v>0.249</v>
      </c>
      <c r="X292" s="10">
        <v>76</v>
      </c>
      <c r="Y292" s="10">
        <v>54</v>
      </c>
      <c r="Z292" s="10">
        <v>111</v>
      </c>
      <c r="AA292" s="10">
        <v>7</v>
      </c>
      <c r="AB292" s="10">
        <v>10.199999999999999</v>
      </c>
      <c r="AC292" s="9" t="s">
        <v>349</v>
      </c>
      <c r="AD292" s="10"/>
      <c r="AE292" s="10"/>
      <c r="AF292" s="10"/>
      <c r="AG292" s="10"/>
    </row>
    <row r="293" spans="1:33">
      <c r="A293" s="7" t="s">
        <v>155</v>
      </c>
      <c r="B293" s="8" t="s">
        <v>317</v>
      </c>
      <c r="C293" s="9" t="s">
        <v>669</v>
      </c>
      <c r="D293" s="10">
        <v>156</v>
      </c>
      <c r="E293" s="9" t="s">
        <v>163</v>
      </c>
      <c r="F293" s="10">
        <v>156</v>
      </c>
      <c r="G293" s="10">
        <v>154.19999999999999</v>
      </c>
      <c r="H293" s="10">
        <v>130</v>
      </c>
      <c r="I293" s="10">
        <v>142</v>
      </c>
      <c r="J293" s="10">
        <v>116</v>
      </c>
      <c r="K293" s="10">
        <v>71</v>
      </c>
      <c r="L293" s="10">
        <v>99</v>
      </c>
      <c r="M293" s="10">
        <v>13.8</v>
      </c>
      <c r="N293" s="10">
        <v>1682</v>
      </c>
      <c r="O293" s="10">
        <v>0.78</v>
      </c>
      <c r="P293" s="10">
        <v>1304</v>
      </c>
      <c r="Q293" s="10">
        <v>180</v>
      </c>
      <c r="R293" s="10">
        <v>78</v>
      </c>
      <c r="S293" s="10">
        <v>42</v>
      </c>
      <c r="T293" s="10">
        <v>168</v>
      </c>
      <c r="U293" s="10">
        <v>8</v>
      </c>
      <c r="V293" s="10">
        <v>70</v>
      </c>
      <c r="W293" s="10">
        <v>0.19700000000000001</v>
      </c>
      <c r="X293" s="10">
        <v>67</v>
      </c>
      <c r="Y293" s="10">
        <v>52</v>
      </c>
      <c r="Z293" s="10">
        <v>101</v>
      </c>
      <c r="AA293" s="10">
        <v>5</v>
      </c>
      <c r="AB293" s="10">
        <v>10.1</v>
      </c>
      <c r="AC293" s="9" t="s">
        <v>349</v>
      </c>
      <c r="AD293" s="10"/>
      <c r="AE293" s="10"/>
      <c r="AF293" s="10"/>
      <c r="AG293" s="10"/>
    </row>
    <row r="294" spans="1:33">
      <c r="A294" s="7" t="s">
        <v>155</v>
      </c>
      <c r="B294" s="8" t="s">
        <v>317</v>
      </c>
      <c r="C294" s="9" t="s">
        <v>551</v>
      </c>
      <c r="D294" s="10">
        <v>164</v>
      </c>
      <c r="E294" s="9" t="s">
        <v>158</v>
      </c>
      <c r="F294" s="10">
        <v>164</v>
      </c>
      <c r="G294" s="10">
        <v>162.4</v>
      </c>
      <c r="H294" s="10">
        <v>98</v>
      </c>
      <c r="I294" s="10">
        <v>133</v>
      </c>
      <c r="J294" s="10">
        <v>131</v>
      </c>
      <c r="K294" s="10">
        <v>101</v>
      </c>
      <c r="L294" s="10">
        <v>121</v>
      </c>
      <c r="M294" s="10">
        <v>15.4</v>
      </c>
      <c r="N294" s="10">
        <v>1840</v>
      </c>
      <c r="O294" s="10">
        <v>0.99</v>
      </c>
      <c r="P294" s="10">
        <v>1813</v>
      </c>
      <c r="Q294" s="10">
        <v>157</v>
      </c>
      <c r="R294" s="10">
        <v>84</v>
      </c>
      <c r="S294" s="10">
        <v>66</v>
      </c>
      <c r="T294" s="10">
        <v>361</v>
      </c>
      <c r="U294" s="10">
        <v>33</v>
      </c>
      <c r="V294" s="10">
        <v>279</v>
      </c>
      <c r="W294" s="10">
        <v>0.503</v>
      </c>
      <c r="X294" s="10">
        <v>161</v>
      </c>
      <c r="Y294" s="10">
        <v>136</v>
      </c>
      <c r="Z294" s="10">
        <v>200</v>
      </c>
      <c r="AA294" s="10">
        <v>4</v>
      </c>
      <c r="AB294" s="10">
        <v>7</v>
      </c>
      <c r="AC294" s="9" t="s">
        <v>188</v>
      </c>
      <c r="AD294" s="9" t="s">
        <v>169</v>
      </c>
      <c r="AE294" s="10"/>
      <c r="AF294" s="10"/>
      <c r="AG294" s="10"/>
    </row>
    <row r="295" spans="1:33">
      <c r="A295" s="7" t="s">
        <v>155</v>
      </c>
      <c r="B295" s="8" t="s">
        <v>317</v>
      </c>
      <c r="C295" s="9" t="s">
        <v>551</v>
      </c>
      <c r="D295" s="10">
        <v>172</v>
      </c>
      <c r="E295" s="9" t="s">
        <v>158</v>
      </c>
      <c r="F295" s="10">
        <v>172</v>
      </c>
      <c r="G295" s="10">
        <v>170.5</v>
      </c>
      <c r="H295" s="10">
        <v>103</v>
      </c>
      <c r="I295" s="10">
        <v>141</v>
      </c>
      <c r="J295" s="10">
        <v>132</v>
      </c>
      <c r="K295" s="10">
        <v>101</v>
      </c>
      <c r="L295" s="10">
        <v>121</v>
      </c>
      <c r="M295" s="10">
        <v>17.100000000000001</v>
      </c>
      <c r="N295" s="10">
        <v>1908</v>
      </c>
      <c r="O295" s="10">
        <v>1</v>
      </c>
      <c r="P295" s="10">
        <v>1903</v>
      </c>
      <c r="Q295" s="10">
        <v>181</v>
      </c>
      <c r="R295" s="10">
        <v>99</v>
      </c>
      <c r="S295" s="10">
        <v>65</v>
      </c>
      <c r="T295" s="10">
        <v>375</v>
      </c>
      <c r="U295" s="10">
        <v>36</v>
      </c>
      <c r="V295" s="10">
        <v>300</v>
      </c>
      <c r="W295" s="10">
        <v>0.55200000000000005</v>
      </c>
      <c r="X295" s="10">
        <v>155</v>
      </c>
      <c r="Y295" s="10">
        <v>139</v>
      </c>
      <c r="Z295" s="10">
        <v>220</v>
      </c>
      <c r="AA295" s="10">
        <v>4</v>
      </c>
      <c r="AB295" s="10">
        <v>7.6</v>
      </c>
      <c r="AC295" s="9" t="s">
        <v>188</v>
      </c>
      <c r="AD295" s="9" t="s">
        <v>169</v>
      </c>
      <c r="AE295" s="10"/>
      <c r="AF295" s="10"/>
      <c r="AG295" s="10"/>
    </row>
    <row r="296" spans="1:33">
      <c r="A296" s="7" t="s">
        <v>155</v>
      </c>
      <c r="B296" s="8" t="s">
        <v>317</v>
      </c>
      <c r="C296" s="9" t="s">
        <v>551</v>
      </c>
      <c r="D296" s="10">
        <v>180</v>
      </c>
      <c r="E296" s="9" t="s">
        <v>158</v>
      </c>
      <c r="F296" s="10">
        <v>180</v>
      </c>
      <c r="G296" s="10">
        <v>178.3</v>
      </c>
      <c r="H296" s="10">
        <v>109</v>
      </c>
      <c r="I296" s="10">
        <v>150</v>
      </c>
      <c r="J296" s="10">
        <v>132</v>
      </c>
      <c r="K296" s="10">
        <v>101</v>
      </c>
      <c r="L296" s="10">
        <v>122</v>
      </c>
      <c r="M296" s="10">
        <v>18.600000000000001</v>
      </c>
      <c r="N296" s="10">
        <v>2008</v>
      </c>
      <c r="O296" s="10">
        <v>0.99</v>
      </c>
      <c r="P296" s="10">
        <v>1996</v>
      </c>
      <c r="Q296" s="10">
        <v>209</v>
      </c>
      <c r="R296" s="10">
        <v>99</v>
      </c>
      <c r="S296" s="10">
        <v>63</v>
      </c>
      <c r="T296" s="10">
        <v>386</v>
      </c>
      <c r="U296" s="10">
        <v>36</v>
      </c>
      <c r="V296" s="10">
        <v>312</v>
      </c>
      <c r="W296" s="10">
        <v>0.56599999999999995</v>
      </c>
      <c r="X296" s="10">
        <v>145</v>
      </c>
      <c r="Y296" s="10">
        <v>142</v>
      </c>
      <c r="Z296" s="10">
        <v>241</v>
      </c>
      <c r="AA296" s="10">
        <v>4</v>
      </c>
      <c r="AB296" s="10">
        <v>7.6</v>
      </c>
      <c r="AC296" s="9" t="s">
        <v>188</v>
      </c>
      <c r="AD296" s="9" t="s">
        <v>169</v>
      </c>
      <c r="AE296" s="10"/>
      <c r="AF296" s="10"/>
      <c r="AG296" s="10"/>
    </row>
    <row r="297" spans="1:33">
      <c r="A297" s="7" t="s">
        <v>155</v>
      </c>
      <c r="B297" s="8" t="s">
        <v>317</v>
      </c>
      <c r="C297" s="9" t="s">
        <v>551</v>
      </c>
      <c r="D297" s="10">
        <v>188</v>
      </c>
      <c r="E297" s="9" t="s">
        <v>158</v>
      </c>
      <c r="F297" s="10">
        <v>188</v>
      </c>
      <c r="G297" s="10">
        <v>186.2</v>
      </c>
      <c r="H297" s="10">
        <v>112</v>
      </c>
      <c r="I297" s="10">
        <v>157</v>
      </c>
      <c r="J297" s="10">
        <v>134</v>
      </c>
      <c r="K297" s="10">
        <v>103</v>
      </c>
      <c r="L297" s="10">
        <v>125</v>
      </c>
      <c r="M297" s="10">
        <v>19.899999999999999</v>
      </c>
      <c r="N297" s="10">
        <v>2276</v>
      </c>
      <c r="O297" s="10">
        <v>0.93</v>
      </c>
      <c r="P297" s="10">
        <v>2122</v>
      </c>
      <c r="Q297" s="10">
        <v>282</v>
      </c>
      <c r="R297" s="10">
        <v>145</v>
      </c>
      <c r="S297" s="10">
        <v>68</v>
      </c>
      <c r="T297" s="10">
        <v>417</v>
      </c>
      <c r="U297" s="10">
        <v>33</v>
      </c>
      <c r="V297" s="10">
        <v>326</v>
      </c>
      <c r="W297" s="10">
        <v>0.49099999999999999</v>
      </c>
      <c r="X297" s="10">
        <v>147</v>
      </c>
      <c r="Y297" s="10">
        <v>146</v>
      </c>
      <c r="Z297" s="10">
        <v>270</v>
      </c>
      <c r="AA297" s="10">
        <v>3</v>
      </c>
      <c r="AB297" s="10">
        <v>7.5</v>
      </c>
      <c r="AC297" s="9" t="s">
        <v>188</v>
      </c>
      <c r="AD297" s="9" t="s">
        <v>169</v>
      </c>
      <c r="AE297" s="10"/>
      <c r="AF297" s="10"/>
      <c r="AG297" s="10"/>
    </row>
    <row r="298" spans="1:33">
      <c r="A298" s="7" t="s">
        <v>155</v>
      </c>
      <c r="B298" s="8" t="s">
        <v>317</v>
      </c>
      <c r="C298" s="9" t="s">
        <v>559</v>
      </c>
      <c r="D298" s="10">
        <v>172</v>
      </c>
      <c r="E298" s="9" t="s">
        <v>158</v>
      </c>
      <c r="F298" s="10">
        <v>172</v>
      </c>
      <c r="G298" s="10">
        <v>170.8</v>
      </c>
      <c r="H298" s="10">
        <v>103</v>
      </c>
      <c r="I298" s="10">
        <v>140</v>
      </c>
      <c r="J298" s="10">
        <v>138</v>
      </c>
      <c r="K298" s="10">
        <v>111</v>
      </c>
      <c r="L298" s="10">
        <v>127</v>
      </c>
      <c r="M298" s="10">
        <v>19.5</v>
      </c>
      <c r="N298" s="10">
        <v>1985</v>
      </c>
      <c r="O298" s="10">
        <v>1.03</v>
      </c>
      <c r="P298" s="10">
        <v>2043</v>
      </c>
      <c r="Q298" s="10">
        <v>194</v>
      </c>
      <c r="R298" s="10">
        <v>100</v>
      </c>
      <c r="S298" s="10">
        <v>63</v>
      </c>
      <c r="T298" s="10">
        <v>391</v>
      </c>
      <c r="U298" s="10">
        <v>24</v>
      </c>
      <c r="V298" s="10">
        <v>284</v>
      </c>
      <c r="W298" s="10">
        <v>0.38200000000000001</v>
      </c>
      <c r="X298" s="10">
        <v>161</v>
      </c>
      <c r="Y298" s="10">
        <v>144</v>
      </c>
      <c r="Z298" s="10">
        <v>230</v>
      </c>
      <c r="AA298" s="10">
        <v>4</v>
      </c>
      <c r="AB298" s="10">
        <v>7.2</v>
      </c>
      <c r="AC298" s="9" t="s">
        <v>169</v>
      </c>
      <c r="AD298" s="9" t="s">
        <v>178</v>
      </c>
      <c r="AE298" s="10"/>
      <c r="AF298" s="10"/>
      <c r="AG298" s="10"/>
    </row>
    <row r="299" spans="1:33">
      <c r="A299" s="7" t="s">
        <v>155</v>
      </c>
      <c r="B299" s="8" t="s">
        <v>317</v>
      </c>
      <c r="C299" s="9" t="s">
        <v>559</v>
      </c>
      <c r="D299" s="10">
        <v>180</v>
      </c>
      <c r="E299" s="9" t="s">
        <v>158</v>
      </c>
      <c r="F299" s="10">
        <v>180</v>
      </c>
      <c r="G299" s="10">
        <v>178.8</v>
      </c>
      <c r="H299" s="10">
        <v>111</v>
      </c>
      <c r="I299" s="10">
        <v>147</v>
      </c>
      <c r="J299" s="10">
        <v>139</v>
      </c>
      <c r="K299" s="10">
        <v>111</v>
      </c>
      <c r="L299" s="10">
        <v>129</v>
      </c>
      <c r="M299" s="10">
        <v>20.5</v>
      </c>
      <c r="N299" s="10">
        <v>2055</v>
      </c>
      <c r="O299" s="10">
        <v>1.05</v>
      </c>
      <c r="P299" s="10">
        <v>2150</v>
      </c>
      <c r="Q299" s="10">
        <v>218</v>
      </c>
      <c r="R299" s="10">
        <v>123</v>
      </c>
      <c r="S299" s="10">
        <v>57</v>
      </c>
      <c r="T299" s="10">
        <v>372</v>
      </c>
      <c r="U299" s="10">
        <v>28</v>
      </c>
      <c r="V299" s="10">
        <v>306</v>
      </c>
      <c r="W299" s="10">
        <v>0.49299999999999999</v>
      </c>
      <c r="X299" s="10">
        <v>168</v>
      </c>
      <c r="Y299" s="10">
        <v>150</v>
      </c>
      <c r="Z299" s="10">
        <v>204</v>
      </c>
      <c r="AA299" s="10">
        <v>6</v>
      </c>
      <c r="AB299" s="10">
        <v>9.4</v>
      </c>
      <c r="AC299" s="9" t="s">
        <v>169</v>
      </c>
      <c r="AD299" s="10"/>
      <c r="AE299" s="10"/>
      <c r="AF299" s="10"/>
      <c r="AG299" s="10"/>
    </row>
    <row r="300" spans="1:33">
      <c r="A300" s="7" t="s">
        <v>155</v>
      </c>
      <c r="B300" s="8" t="s">
        <v>317</v>
      </c>
      <c r="C300" s="9" t="s">
        <v>559</v>
      </c>
      <c r="D300" s="10">
        <v>188</v>
      </c>
      <c r="E300" s="9" t="s">
        <v>158</v>
      </c>
      <c r="F300" s="10">
        <v>188</v>
      </c>
      <c r="G300" s="10">
        <v>186.4</v>
      </c>
      <c r="H300" s="10">
        <v>108</v>
      </c>
      <c r="I300" s="10">
        <v>156</v>
      </c>
      <c r="J300" s="10">
        <v>141</v>
      </c>
      <c r="K300" s="10">
        <v>113</v>
      </c>
      <c r="L300" s="10">
        <v>131</v>
      </c>
      <c r="M300" s="10">
        <v>23</v>
      </c>
      <c r="N300" s="10">
        <v>2186</v>
      </c>
      <c r="O300" s="10">
        <v>1.04</v>
      </c>
      <c r="P300" s="10">
        <v>2277</v>
      </c>
      <c r="Q300" s="10">
        <v>268</v>
      </c>
      <c r="R300" s="10">
        <v>129</v>
      </c>
      <c r="S300" s="10">
        <v>61</v>
      </c>
      <c r="T300" s="10">
        <v>440</v>
      </c>
      <c r="U300" s="10">
        <v>31</v>
      </c>
      <c r="V300" s="10">
        <v>340</v>
      </c>
      <c r="W300" s="10">
        <v>0.505</v>
      </c>
      <c r="X300" s="10">
        <v>159</v>
      </c>
      <c r="Y300" s="10">
        <v>147</v>
      </c>
      <c r="Z300" s="10">
        <v>281</v>
      </c>
      <c r="AA300" s="10">
        <v>4</v>
      </c>
      <c r="AB300" s="10">
        <v>8.1</v>
      </c>
      <c r="AC300" s="9" t="s">
        <v>169</v>
      </c>
      <c r="AD300" s="10"/>
      <c r="AE300" s="10"/>
      <c r="AF300" s="10"/>
      <c r="AG300" s="10"/>
    </row>
    <row r="301" spans="1:33">
      <c r="A301" s="7" t="s">
        <v>155</v>
      </c>
      <c r="B301" s="8" t="s">
        <v>317</v>
      </c>
      <c r="C301" s="9" t="s">
        <v>463</v>
      </c>
      <c r="D301" s="10">
        <v>164</v>
      </c>
      <c r="E301" s="9" t="s">
        <v>158</v>
      </c>
      <c r="F301" s="10">
        <v>164</v>
      </c>
      <c r="G301" s="10">
        <v>162.80000000000001</v>
      </c>
      <c r="H301" s="10">
        <v>109</v>
      </c>
      <c r="I301" s="10">
        <v>135</v>
      </c>
      <c r="J301" s="10">
        <v>123</v>
      </c>
      <c r="K301" s="10">
        <v>91</v>
      </c>
      <c r="L301" s="10">
        <v>113</v>
      </c>
      <c r="M301" s="10">
        <v>14.6</v>
      </c>
      <c r="N301" s="10">
        <v>1794</v>
      </c>
      <c r="O301" s="10">
        <v>0.93</v>
      </c>
      <c r="P301" s="10">
        <v>1671</v>
      </c>
      <c r="Q301" s="10">
        <v>185</v>
      </c>
      <c r="R301" s="10">
        <v>89</v>
      </c>
      <c r="S301" s="10">
        <v>62</v>
      </c>
      <c r="T301" s="10">
        <v>307</v>
      </c>
      <c r="U301" s="10">
        <v>31</v>
      </c>
      <c r="V301" s="10">
        <v>229</v>
      </c>
      <c r="W301" s="10">
        <v>0.498</v>
      </c>
      <c r="X301" s="10">
        <v>149</v>
      </c>
      <c r="Y301" s="10">
        <v>134</v>
      </c>
      <c r="Z301" s="10">
        <v>158</v>
      </c>
      <c r="AA301" s="10">
        <v>3</v>
      </c>
      <c r="AB301" s="10">
        <v>7.2</v>
      </c>
      <c r="AC301" s="9" t="s">
        <v>188</v>
      </c>
      <c r="AD301" s="10"/>
      <c r="AE301" s="10"/>
      <c r="AF301" s="10"/>
      <c r="AG301" s="10"/>
    </row>
    <row r="302" spans="1:33">
      <c r="A302" s="7" t="s">
        <v>155</v>
      </c>
      <c r="B302" s="8" t="s">
        <v>317</v>
      </c>
      <c r="C302" s="9" t="s">
        <v>463</v>
      </c>
      <c r="D302" s="10">
        <v>172</v>
      </c>
      <c r="E302" s="9" t="s">
        <v>158</v>
      </c>
      <c r="F302" s="10">
        <v>172</v>
      </c>
      <c r="G302" s="10">
        <v>170.8</v>
      </c>
      <c r="H302" s="10">
        <v>118</v>
      </c>
      <c r="I302" s="10">
        <v>142</v>
      </c>
      <c r="J302" s="10">
        <v>124</v>
      </c>
      <c r="K302" s="10">
        <v>91</v>
      </c>
      <c r="L302" s="10">
        <v>113</v>
      </c>
      <c r="M302" s="10">
        <v>15.9</v>
      </c>
      <c r="N302" s="10">
        <v>1914</v>
      </c>
      <c r="O302" s="10">
        <v>0.92</v>
      </c>
      <c r="P302" s="10">
        <v>1751</v>
      </c>
      <c r="Q302" s="10">
        <v>200</v>
      </c>
      <c r="R302" s="10">
        <v>109</v>
      </c>
      <c r="S302" s="10">
        <v>62</v>
      </c>
      <c r="T302" s="10">
        <v>320</v>
      </c>
      <c r="U302" s="10">
        <v>27</v>
      </c>
      <c r="V302" s="10">
        <v>208</v>
      </c>
      <c r="W302" s="10">
        <v>0.436</v>
      </c>
      <c r="X302" s="10">
        <v>153</v>
      </c>
      <c r="Y302" s="10">
        <v>133</v>
      </c>
      <c r="Z302" s="10">
        <v>167</v>
      </c>
      <c r="AA302" s="10">
        <v>5</v>
      </c>
      <c r="AB302" s="10">
        <v>7.2</v>
      </c>
      <c r="AC302" s="9" t="s">
        <v>188</v>
      </c>
      <c r="AD302" s="10"/>
      <c r="AE302" s="10"/>
      <c r="AF302" s="10"/>
      <c r="AG302" s="10"/>
    </row>
    <row r="303" spans="1:33">
      <c r="A303" s="7" t="s">
        <v>155</v>
      </c>
      <c r="B303" s="8" t="s">
        <v>317</v>
      </c>
      <c r="C303" s="9" t="s">
        <v>463</v>
      </c>
      <c r="D303" s="10">
        <v>180</v>
      </c>
      <c r="E303" s="9" t="s">
        <v>158</v>
      </c>
      <c r="F303" s="10">
        <v>180</v>
      </c>
      <c r="G303" s="10">
        <v>178.6</v>
      </c>
      <c r="H303" s="10">
        <v>121</v>
      </c>
      <c r="I303" s="10">
        <v>150</v>
      </c>
      <c r="J303" s="10">
        <v>127</v>
      </c>
      <c r="K303" s="10">
        <v>93</v>
      </c>
      <c r="L303" s="10">
        <v>117</v>
      </c>
      <c r="M303" s="10">
        <v>17.3</v>
      </c>
      <c r="N303" s="10">
        <v>2073</v>
      </c>
      <c r="O303" s="10">
        <v>0.91</v>
      </c>
      <c r="P303" s="10">
        <v>1880</v>
      </c>
      <c r="Q303" s="10">
        <v>230</v>
      </c>
      <c r="R303" s="10">
        <v>114</v>
      </c>
      <c r="S303" s="10">
        <v>63</v>
      </c>
      <c r="T303" s="10">
        <v>335</v>
      </c>
      <c r="U303" s="10">
        <v>27</v>
      </c>
      <c r="V303" s="10">
        <v>242</v>
      </c>
      <c r="W303" s="10">
        <v>0.42699999999999999</v>
      </c>
      <c r="X303" s="10">
        <v>148</v>
      </c>
      <c r="Y303" s="10">
        <v>140</v>
      </c>
      <c r="Z303" s="10">
        <v>187</v>
      </c>
      <c r="AA303" s="10">
        <v>3</v>
      </c>
      <c r="AB303" s="10">
        <v>7.9</v>
      </c>
      <c r="AC303" s="9" t="s">
        <v>188</v>
      </c>
      <c r="AD303" s="10"/>
      <c r="AE303" s="10"/>
      <c r="AF303" s="10"/>
      <c r="AG303" s="10"/>
    </row>
    <row r="304" spans="1:33">
      <c r="A304" s="7" t="s">
        <v>155</v>
      </c>
      <c r="B304" s="8" t="s">
        <v>317</v>
      </c>
      <c r="C304" s="9" t="s">
        <v>463</v>
      </c>
      <c r="D304" s="10">
        <v>188</v>
      </c>
      <c r="E304" s="9" t="s">
        <v>158</v>
      </c>
      <c r="F304" s="10">
        <v>188</v>
      </c>
      <c r="G304" s="10">
        <v>186.7</v>
      </c>
      <c r="H304" s="10">
        <v>129</v>
      </c>
      <c r="I304" s="10">
        <v>158</v>
      </c>
      <c r="J304" s="10">
        <v>127</v>
      </c>
      <c r="K304" s="10">
        <v>93</v>
      </c>
      <c r="L304" s="10">
        <v>116</v>
      </c>
      <c r="M304" s="10">
        <v>19.399999999999999</v>
      </c>
      <c r="N304" s="10">
        <v>2205</v>
      </c>
      <c r="O304" s="10">
        <v>0.89</v>
      </c>
      <c r="P304" s="10">
        <v>1954</v>
      </c>
      <c r="Q304" s="10">
        <v>262</v>
      </c>
      <c r="R304" s="10">
        <v>135</v>
      </c>
      <c r="S304" s="10">
        <v>62</v>
      </c>
      <c r="T304" s="10">
        <v>343</v>
      </c>
      <c r="U304" s="10">
        <v>27</v>
      </c>
      <c r="V304" s="10">
        <v>238</v>
      </c>
      <c r="W304" s="10">
        <v>0.42699999999999999</v>
      </c>
      <c r="X304" s="10">
        <v>158</v>
      </c>
      <c r="Y304" s="10">
        <v>131</v>
      </c>
      <c r="Z304" s="10">
        <v>185</v>
      </c>
      <c r="AA304" s="10">
        <v>5</v>
      </c>
      <c r="AB304" s="10">
        <v>7.5</v>
      </c>
      <c r="AC304" s="9" t="s">
        <v>188</v>
      </c>
      <c r="AD304" s="10"/>
      <c r="AE304" s="10"/>
      <c r="AF304" s="10"/>
      <c r="AG304" s="10"/>
    </row>
    <row r="305" spans="1:33">
      <c r="A305" s="7" t="s">
        <v>155</v>
      </c>
      <c r="B305" s="8" t="s">
        <v>317</v>
      </c>
      <c r="C305" s="9" t="s">
        <v>447</v>
      </c>
      <c r="D305" s="10">
        <v>156</v>
      </c>
      <c r="E305" s="9" t="s">
        <v>163</v>
      </c>
      <c r="F305" s="10">
        <v>156</v>
      </c>
      <c r="G305" s="10">
        <v>154.5</v>
      </c>
      <c r="H305" s="10">
        <v>90</v>
      </c>
      <c r="I305" s="10">
        <v>126</v>
      </c>
      <c r="J305" s="10">
        <v>131</v>
      </c>
      <c r="K305" s="10">
        <v>101</v>
      </c>
      <c r="L305" s="10">
        <v>120</v>
      </c>
      <c r="M305" s="10">
        <v>14</v>
      </c>
      <c r="N305" s="10">
        <v>1708</v>
      </c>
      <c r="O305" s="10">
        <v>1.01</v>
      </c>
      <c r="P305" s="10">
        <v>1721</v>
      </c>
      <c r="Q305" s="10">
        <v>134</v>
      </c>
      <c r="R305" s="10">
        <v>72</v>
      </c>
      <c r="S305" s="10">
        <v>68</v>
      </c>
      <c r="T305" s="10">
        <v>361</v>
      </c>
      <c r="U305" s="10">
        <v>39</v>
      </c>
      <c r="V305" s="10">
        <v>285</v>
      </c>
      <c r="W305" s="10">
        <v>0.56699999999999995</v>
      </c>
      <c r="X305" s="10">
        <v>157</v>
      </c>
      <c r="Y305" s="10">
        <v>130</v>
      </c>
      <c r="Z305" s="10">
        <v>204</v>
      </c>
      <c r="AA305" s="10">
        <v>3</v>
      </c>
      <c r="AB305" s="10">
        <v>7.2</v>
      </c>
      <c r="AC305" s="9" t="s">
        <v>188</v>
      </c>
      <c r="AD305" s="9" t="s">
        <v>169</v>
      </c>
      <c r="AE305" s="10"/>
      <c r="AF305" s="10"/>
      <c r="AG305" s="10"/>
    </row>
    <row r="306" spans="1:33">
      <c r="A306" s="7" t="s">
        <v>155</v>
      </c>
      <c r="B306" s="8" t="s">
        <v>317</v>
      </c>
      <c r="C306" s="9" t="s">
        <v>447</v>
      </c>
      <c r="D306" s="10">
        <v>164</v>
      </c>
      <c r="E306" s="9" t="s">
        <v>163</v>
      </c>
      <c r="F306" s="10">
        <v>164</v>
      </c>
      <c r="G306" s="10">
        <v>162.4</v>
      </c>
      <c r="H306" s="10">
        <v>98</v>
      </c>
      <c r="I306" s="10">
        <v>133</v>
      </c>
      <c r="J306" s="10">
        <v>131</v>
      </c>
      <c r="K306" s="10">
        <v>101</v>
      </c>
      <c r="L306" s="10">
        <v>121</v>
      </c>
      <c r="M306" s="10">
        <v>15.3</v>
      </c>
      <c r="N306" s="10">
        <v>1807</v>
      </c>
      <c r="O306" s="10">
        <v>1</v>
      </c>
      <c r="P306" s="10">
        <v>1813</v>
      </c>
      <c r="Q306" s="10">
        <v>150</v>
      </c>
      <c r="R306" s="10">
        <v>75</v>
      </c>
      <c r="S306" s="10">
        <v>68</v>
      </c>
      <c r="T306" s="10">
        <v>359</v>
      </c>
      <c r="U306" s="10">
        <v>35</v>
      </c>
      <c r="V306" s="10">
        <v>280</v>
      </c>
      <c r="W306" s="10">
        <v>0.50900000000000001</v>
      </c>
      <c r="X306" s="10">
        <v>156</v>
      </c>
      <c r="Y306" s="10">
        <v>139</v>
      </c>
      <c r="Z306" s="10">
        <v>204</v>
      </c>
      <c r="AA306" s="10">
        <v>4</v>
      </c>
      <c r="AB306" s="10">
        <v>7</v>
      </c>
      <c r="AC306" s="9" t="s">
        <v>188</v>
      </c>
      <c r="AD306" s="9" t="s">
        <v>169</v>
      </c>
      <c r="AE306" s="10"/>
      <c r="AF306" s="10"/>
      <c r="AG306" s="10"/>
    </row>
    <row r="307" spans="1:33">
      <c r="A307" s="7" t="s">
        <v>155</v>
      </c>
      <c r="B307" s="8" t="s">
        <v>317</v>
      </c>
      <c r="C307" s="9" t="s">
        <v>447</v>
      </c>
      <c r="D307" s="10">
        <v>172</v>
      </c>
      <c r="E307" s="9" t="s">
        <v>163</v>
      </c>
      <c r="F307" s="10">
        <v>172</v>
      </c>
      <c r="G307" s="10">
        <v>170.1</v>
      </c>
      <c r="H307" s="10">
        <v>100</v>
      </c>
      <c r="I307" s="10">
        <v>141</v>
      </c>
      <c r="J307" s="10">
        <v>132</v>
      </c>
      <c r="K307" s="10">
        <v>101</v>
      </c>
      <c r="L307" s="10">
        <v>122</v>
      </c>
      <c r="M307" s="10">
        <v>17.100000000000001</v>
      </c>
      <c r="N307" s="10">
        <v>1919</v>
      </c>
      <c r="O307" s="10">
        <v>0.99</v>
      </c>
      <c r="P307" s="10">
        <v>1903</v>
      </c>
      <c r="Q307" s="10">
        <v>190</v>
      </c>
      <c r="R307" s="10">
        <v>106</v>
      </c>
      <c r="S307" s="10">
        <v>72</v>
      </c>
      <c r="T307" s="10">
        <v>387</v>
      </c>
      <c r="U307" s="10">
        <v>37</v>
      </c>
      <c r="V307" s="10">
        <v>313</v>
      </c>
      <c r="W307" s="10">
        <v>0.51700000000000002</v>
      </c>
      <c r="X307" s="10">
        <v>147</v>
      </c>
      <c r="Y307" s="10">
        <v>145</v>
      </c>
      <c r="Z307" s="10">
        <v>240</v>
      </c>
      <c r="AA307" s="10">
        <v>3</v>
      </c>
      <c r="AB307" s="10">
        <v>7.5</v>
      </c>
      <c r="AC307" s="9" t="s">
        <v>188</v>
      </c>
      <c r="AD307" s="9" t="s">
        <v>169</v>
      </c>
      <c r="AE307" s="10"/>
      <c r="AF307" s="10"/>
      <c r="AG307" s="10"/>
    </row>
    <row r="308" spans="1:33">
      <c r="A308" s="7" t="s">
        <v>155</v>
      </c>
      <c r="B308" s="8" t="s">
        <v>317</v>
      </c>
      <c r="C308" s="9" t="s">
        <v>318</v>
      </c>
      <c r="D308" s="10">
        <v>164</v>
      </c>
      <c r="E308" s="9" t="s">
        <v>163</v>
      </c>
      <c r="F308" s="10">
        <v>164</v>
      </c>
      <c r="G308" s="10">
        <v>162.80000000000001</v>
      </c>
      <c r="H308" s="10">
        <v>92</v>
      </c>
      <c r="I308" s="10">
        <v>131</v>
      </c>
      <c r="J308" s="10">
        <v>138</v>
      </c>
      <c r="K308" s="10">
        <v>112</v>
      </c>
      <c r="L308" s="10">
        <v>128</v>
      </c>
      <c r="M308" s="10">
        <v>17.399999999999999</v>
      </c>
      <c r="N308" s="10">
        <v>1810</v>
      </c>
      <c r="O308" s="10">
        <v>1.08</v>
      </c>
      <c r="P308" s="10">
        <v>1955</v>
      </c>
      <c r="Q308" s="10">
        <v>161</v>
      </c>
      <c r="R308" s="10">
        <v>97</v>
      </c>
      <c r="S308" s="10">
        <v>67</v>
      </c>
      <c r="T308" s="10">
        <v>403</v>
      </c>
      <c r="U308" s="10">
        <v>27</v>
      </c>
      <c r="V308" s="10">
        <v>309</v>
      </c>
      <c r="W308" s="10">
        <v>0.40300000000000002</v>
      </c>
      <c r="X308" s="10">
        <v>167</v>
      </c>
      <c r="Y308" s="10">
        <v>150</v>
      </c>
      <c r="Z308" s="10">
        <v>235</v>
      </c>
      <c r="AA308" s="10">
        <v>3</v>
      </c>
      <c r="AB308" s="10">
        <v>7.6</v>
      </c>
      <c r="AC308" s="9" t="s">
        <v>169</v>
      </c>
      <c r="AD308" s="9" t="s">
        <v>185</v>
      </c>
      <c r="AE308" s="10"/>
      <c r="AF308" s="10"/>
      <c r="AG308" s="10"/>
    </row>
    <row r="309" spans="1:33">
      <c r="A309" s="7" t="s">
        <v>155</v>
      </c>
      <c r="B309" s="8" t="s">
        <v>317</v>
      </c>
      <c r="C309" s="9" t="s">
        <v>571</v>
      </c>
      <c r="D309" s="10">
        <v>148</v>
      </c>
      <c r="E309" s="9" t="s">
        <v>163</v>
      </c>
      <c r="F309" s="10">
        <v>148</v>
      </c>
      <c r="G309" s="10">
        <v>147.30000000000001</v>
      </c>
      <c r="H309" s="10">
        <v>103</v>
      </c>
      <c r="I309" s="10">
        <v>115</v>
      </c>
      <c r="J309" s="10">
        <v>117</v>
      </c>
      <c r="K309" s="10">
        <v>89</v>
      </c>
      <c r="L309" s="10">
        <v>107</v>
      </c>
      <c r="M309" s="10">
        <v>12.7</v>
      </c>
      <c r="N309" s="10">
        <v>1323</v>
      </c>
      <c r="O309" s="10">
        <v>1.1000000000000001</v>
      </c>
      <c r="P309" s="10">
        <v>1457</v>
      </c>
      <c r="Q309" s="10">
        <v>122</v>
      </c>
      <c r="R309" s="10">
        <v>59</v>
      </c>
      <c r="S309" s="10">
        <v>48</v>
      </c>
      <c r="T309" s="10">
        <v>269</v>
      </c>
      <c r="U309" s="10">
        <v>21</v>
      </c>
      <c r="V309" s="10">
        <v>172</v>
      </c>
      <c r="W309" s="10">
        <v>0.435</v>
      </c>
      <c r="X309" s="10">
        <v>149</v>
      </c>
      <c r="Y309" s="10">
        <v>174</v>
      </c>
      <c r="Z309" s="10">
        <v>121</v>
      </c>
      <c r="AA309" s="10">
        <v>5</v>
      </c>
      <c r="AB309" s="10">
        <v>6.5</v>
      </c>
      <c r="AC309" s="9" t="s">
        <v>188</v>
      </c>
      <c r="AD309" s="9" t="s">
        <v>185</v>
      </c>
      <c r="AE309" s="10"/>
      <c r="AF309" s="10"/>
      <c r="AG309" s="10"/>
    </row>
    <row r="310" spans="1:33">
      <c r="A310" s="7" t="s">
        <v>155</v>
      </c>
      <c r="B310" s="8" t="s">
        <v>317</v>
      </c>
      <c r="C310" s="9" t="s">
        <v>571</v>
      </c>
      <c r="D310" s="10">
        <v>157</v>
      </c>
      <c r="E310" s="9" t="s">
        <v>163</v>
      </c>
      <c r="F310" s="10">
        <v>157</v>
      </c>
      <c r="G310" s="10">
        <v>155.69999999999999</v>
      </c>
      <c r="H310" s="10">
        <v>104</v>
      </c>
      <c r="I310" s="10">
        <v>127</v>
      </c>
      <c r="J310" s="10">
        <v>122</v>
      </c>
      <c r="K310" s="10">
        <v>91</v>
      </c>
      <c r="L310" s="10">
        <v>112</v>
      </c>
      <c r="M310" s="10">
        <v>13.9</v>
      </c>
      <c r="N310" s="10">
        <v>1689</v>
      </c>
      <c r="O310" s="10">
        <v>0.94</v>
      </c>
      <c r="P310" s="10">
        <v>1585</v>
      </c>
      <c r="Q310" s="10">
        <v>161</v>
      </c>
      <c r="R310" s="10">
        <v>83</v>
      </c>
      <c r="S310" s="10">
        <v>63</v>
      </c>
      <c r="T310" s="10">
        <v>307</v>
      </c>
      <c r="U310" s="10">
        <v>28</v>
      </c>
      <c r="V310" s="10">
        <v>206</v>
      </c>
      <c r="W310" s="10">
        <v>0.442</v>
      </c>
      <c r="X310" s="10">
        <v>146</v>
      </c>
      <c r="Y310" s="10">
        <v>137</v>
      </c>
      <c r="Z310" s="10">
        <v>160</v>
      </c>
      <c r="AA310" s="10">
        <v>4</v>
      </c>
      <c r="AB310" s="10">
        <v>6.3</v>
      </c>
      <c r="AC310" s="9" t="s">
        <v>188</v>
      </c>
      <c r="AD310" s="10"/>
      <c r="AE310" s="10"/>
      <c r="AF310" s="10"/>
      <c r="AG310" s="10"/>
    </row>
    <row r="311" spans="1:33">
      <c r="A311" s="7" t="s">
        <v>155</v>
      </c>
      <c r="B311" s="8" t="s">
        <v>317</v>
      </c>
      <c r="C311" s="9" t="s">
        <v>571</v>
      </c>
      <c r="D311" s="10">
        <v>164</v>
      </c>
      <c r="E311" s="9" t="s">
        <v>163</v>
      </c>
      <c r="F311" s="10">
        <v>164</v>
      </c>
      <c r="G311" s="10">
        <v>162.80000000000001</v>
      </c>
      <c r="H311" s="10">
        <v>110</v>
      </c>
      <c r="I311" s="10">
        <v>135</v>
      </c>
      <c r="J311" s="10">
        <v>124</v>
      </c>
      <c r="K311" s="10">
        <v>91</v>
      </c>
      <c r="L311" s="10">
        <v>113</v>
      </c>
      <c r="M311" s="10">
        <v>14.4</v>
      </c>
      <c r="N311" s="10">
        <v>1799</v>
      </c>
      <c r="O311" s="10">
        <v>0.93</v>
      </c>
      <c r="P311" s="10">
        <v>1673</v>
      </c>
      <c r="Q311" s="10">
        <v>185</v>
      </c>
      <c r="R311" s="10">
        <v>88</v>
      </c>
      <c r="S311" s="10">
        <v>61</v>
      </c>
      <c r="T311" s="10">
        <v>303</v>
      </c>
      <c r="U311" s="10">
        <v>28</v>
      </c>
      <c r="V311" s="10">
        <v>223</v>
      </c>
      <c r="W311" s="10">
        <v>0.45400000000000001</v>
      </c>
      <c r="X311" s="10">
        <v>147</v>
      </c>
      <c r="Y311" s="10">
        <v>134</v>
      </c>
      <c r="Z311" s="10">
        <v>156</v>
      </c>
      <c r="AA311" s="10">
        <v>4</v>
      </c>
      <c r="AB311" s="10">
        <v>7.2</v>
      </c>
      <c r="AC311" s="9" t="s">
        <v>188</v>
      </c>
      <c r="AD311" s="10"/>
      <c r="AE311" s="10"/>
      <c r="AF311" s="10"/>
      <c r="AG311" s="10"/>
    </row>
    <row r="312" spans="1:33">
      <c r="A312" s="7" t="s">
        <v>155</v>
      </c>
      <c r="B312" s="8" t="s">
        <v>317</v>
      </c>
      <c r="C312" s="9" t="s">
        <v>571</v>
      </c>
      <c r="D312" s="10">
        <v>172</v>
      </c>
      <c r="E312" s="9" t="s">
        <v>163</v>
      </c>
      <c r="F312" s="10">
        <v>172</v>
      </c>
      <c r="G312" s="10">
        <v>170.8</v>
      </c>
      <c r="H312" s="10">
        <v>115</v>
      </c>
      <c r="I312" s="10">
        <v>142</v>
      </c>
      <c r="J312" s="10">
        <v>124</v>
      </c>
      <c r="K312" s="10">
        <v>91</v>
      </c>
      <c r="L312" s="10">
        <v>114</v>
      </c>
      <c r="M312" s="10">
        <v>16.399999999999999</v>
      </c>
      <c r="N312" s="10">
        <v>1938</v>
      </c>
      <c r="O312" s="10">
        <v>0.91</v>
      </c>
      <c r="P312" s="10">
        <v>1757</v>
      </c>
      <c r="Q312" s="10">
        <v>190</v>
      </c>
      <c r="R312" s="10">
        <v>95</v>
      </c>
      <c r="S312" s="10">
        <v>65</v>
      </c>
      <c r="T312" s="10">
        <v>325</v>
      </c>
      <c r="U312" s="10">
        <v>31</v>
      </c>
      <c r="V312" s="10">
        <v>237</v>
      </c>
      <c r="W312" s="10">
        <v>0.48499999999999999</v>
      </c>
      <c r="X312" s="10">
        <v>146</v>
      </c>
      <c r="Y312" s="10">
        <v>138</v>
      </c>
      <c r="Z312" s="10">
        <v>179</v>
      </c>
      <c r="AA312" s="10">
        <v>4</v>
      </c>
      <c r="AB312" s="10">
        <v>8</v>
      </c>
      <c r="AC312" s="9" t="s">
        <v>188</v>
      </c>
      <c r="AD312" s="10"/>
      <c r="AE312" s="10"/>
      <c r="AF312" s="10"/>
      <c r="AG312" s="10"/>
    </row>
    <row r="313" spans="1:33">
      <c r="A313" s="7" t="s">
        <v>155</v>
      </c>
      <c r="B313" s="8" t="s">
        <v>317</v>
      </c>
      <c r="C313" s="9" t="s">
        <v>684</v>
      </c>
      <c r="D313" s="10">
        <v>159</v>
      </c>
      <c r="E313" s="9" t="s">
        <v>158</v>
      </c>
      <c r="F313" s="10">
        <v>159</v>
      </c>
      <c r="G313" s="10">
        <v>158.30000000000001</v>
      </c>
      <c r="H313" s="10">
        <v>80</v>
      </c>
      <c r="I313" s="10">
        <v>108</v>
      </c>
      <c r="J313" s="10">
        <v>145</v>
      </c>
      <c r="K313" s="10">
        <v>124</v>
      </c>
      <c r="L313" s="10">
        <v>129</v>
      </c>
      <c r="M313" s="10">
        <v>20.7</v>
      </c>
      <c r="N313" s="10">
        <v>1702</v>
      </c>
      <c r="O313" s="10">
        <v>1.2</v>
      </c>
      <c r="P313" s="10">
        <v>2044</v>
      </c>
      <c r="Q313" s="10">
        <v>138</v>
      </c>
      <c r="R313" s="10">
        <v>86</v>
      </c>
      <c r="S313" s="10">
        <v>53</v>
      </c>
      <c r="T313" s="10">
        <v>489</v>
      </c>
      <c r="U313" s="10">
        <v>15</v>
      </c>
      <c r="V313" s="10">
        <v>293</v>
      </c>
      <c r="W313" s="10">
        <v>0.27900000000000003</v>
      </c>
      <c r="X313" s="10">
        <v>272</v>
      </c>
      <c r="Y313" s="10">
        <v>231</v>
      </c>
      <c r="Z313" s="10">
        <v>217</v>
      </c>
      <c r="AA313" s="10">
        <v>2</v>
      </c>
      <c r="AB313" s="10">
        <v>10.8</v>
      </c>
      <c r="AC313" s="9" t="s">
        <v>178</v>
      </c>
      <c r="AD313" s="9" t="s">
        <v>185</v>
      </c>
      <c r="AE313" s="10"/>
      <c r="AF313" s="10"/>
      <c r="AG313" s="10"/>
    </row>
    <row r="314" spans="1:33">
      <c r="A314" s="7" t="s">
        <v>155</v>
      </c>
      <c r="B314" s="8" t="s">
        <v>317</v>
      </c>
      <c r="C314" s="9" t="s">
        <v>684</v>
      </c>
      <c r="D314" s="10">
        <v>179</v>
      </c>
      <c r="E314" s="9" t="s">
        <v>158</v>
      </c>
      <c r="F314" s="10">
        <v>179</v>
      </c>
      <c r="G314" s="10">
        <v>177.8</v>
      </c>
      <c r="H314" s="10">
        <v>108</v>
      </c>
      <c r="I314" s="10">
        <v>132</v>
      </c>
      <c r="J314" s="10">
        <v>147</v>
      </c>
      <c r="K314" s="10">
        <v>126</v>
      </c>
      <c r="L314" s="10">
        <v>135</v>
      </c>
      <c r="M314" s="10">
        <v>25</v>
      </c>
      <c r="N314" s="10">
        <v>2094</v>
      </c>
      <c r="O314" s="10">
        <v>1.1100000000000001</v>
      </c>
      <c r="P314" s="10">
        <v>2332</v>
      </c>
      <c r="Q314" s="10">
        <v>234</v>
      </c>
      <c r="R314" s="10">
        <v>128</v>
      </c>
      <c r="S314" s="10">
        <v>61</v>
      </c>
      <c r="T314" s="10">
        <v>443</v>
      </c>
      <c r="U314" s="10">
        <v>17</v>
      </c>
      <c r="V314" s="10">
        <v>260</v>
      </c>
      <c r="W314" s="10">
        <v>0.27500000000000002</v>
      </c>
      <c r="X314" s="10">
        <v>233</v>
      </c>
      <c r="Y314" s="10">
        <v>229</v>
      </c>
      <c r="Z314" s="10">
        <v>209</v>
      </c>
      <c r="AA314" s="10">
        <v>1</v>
      </c>
      <c r="AB314" s="10">
        <v>10.6</v>
      </c>
      <c r="AC314" s="9" t="s">
        <v>178</v>
      </c>
      <c r="AD314" s="9" t="s">
        <v>185</v>
      </c>
      <c r="AE314" s="10"/>
      <c r="AF314" s="10"/>
      <c r="AG314" s="10"/>
    </row>
    <row r="315" spans="1:33">
      <c r="A315" s="7" t="s">
        <v>155</v>
      </c>
      <c r="B315" s="8" t="s">
        <v>317</v>
      </c>
      <c r="C315" s="9" t="s">
        <v>684</v>
      </c>
      <c r="D315" s="10">
        <v>189</v>
      </c>
      <c r="E315" s="9" t="s">
        <v>158</v>
      </c>
      <c r="F315" s="10">
        <v>189</v>
      </c>
      <c r="G315" s="10">
        <v>188.3</v>
      </c>
      <c r="H315" s="10">
        <v>131</v>
      </c>
      <c r="I315" s="10">
        <v>137</v>
      </c>
      <c r="J315" s="10">
        <v>148</v>
      </c>
      <c r="K315" s="10">
        <v>127</v>
      </c>
      <c r="L315" s="10">
        <v>135</v>
      </c>
      <c r="M315" s="10">
        <v>30.2</v>
      </c>
      <c r="N315" s="10">
        <v>2214</v>
      </c>
      <c r="O315" s="10">
        <v>1.1200000000000001</v>
      </c>
      <c r="P315" s="10">
        <v>2489</v>
      </c>
      <c r="Q315" s="10">
        <v>298</v>
      </c>
      <c r="R315" s="10">
        <v>163</v>
      </c>
      <c r="S315" s="10">
        <v>53</v>
      </c>
      <c r="T315" s="10">
        <v>445</v>
      </c>
      <c r="U315" s="10">
        <v>14</v>
      </c>
      <c r="V315" s="10">
        <v>131</v>
      </c>
      <c r="W315" s="10">
        <v>0.26700000000000002</v>
      </c>
      <c r="X315" s="10">
        <v>273</v>
      </c>
      <c r="Y315" s="10">
        <v>242</v>
      </c>
      <c r="Z315" s="10">
        <v>172</v>
      </c>
      <c r="AA315" s="10">
        <v>3</v>
      </c>
      <c r="AB315" s="10">
        <v>10.7</v>
      </c>
      <c r="AC315" s="9" t="s">
        <v>178</v>
      </c>
      <c r="AD315" s="9" t="s">
        <v>185</v>
      </c>
      <c r="AE315" s="10"/>
      <c r="AF315" s="10"/>
      <c r="AG315" s="10"/>
    </row>
    <row r="316" spans="1:33">
      <c r="A316" s="7" t="s">
        <v>155</v>
      </c>
      <c r="B316" s="8" t="s">
        <v>317</v>
      </c>
      <c r="C316" s="9" t="s">
        <v>850</v>
      </c>
      <c r="D316" s="10">
        <v>155</v>
      </c>
      <c r="E316" s="9" t="s">
        <v>158</v>
      </c>
      <c r="F316" s="10">
        <v>155</v>
      </c>
      <c r="G316" s="10">
        <v>154.1</v>
      </c>
      <c r="H316" s="10">
        <v>135</v>
      </c>
      <c r="I316" s="10">
        <v>141</v>
      </c>
      <c r="J316" s="10">
        <v>120</v>
      </c>
      <c r="K316" s="10">
        <v>70</v>
      </c>
      <c r="L316" s="10">
        <v>103</v>
      </c>
      <c r="M316" s="10">
        <v>11.5</v>
      </c>
      <c r="N316" s="10">
        <v>1931</v>
      </c>
      <c r="O316" s="10">
        <v>0.68</v>
      </c>
      <c r="P316" s="10">
        <v>1318</v>
      </c>
      <c r="Q316" s="10">
        <v>180</v>
      </c>
      <c r="R316" s="10">
        <v>121</v>
      </c>
      <c r="S316" s="10">
        <v>40</v>
      </c>
      <c r="T316" s="10">
        <v>140</v>
      </c>
      <c r="U316" s="10">
        <v>5</v>
      </c>
      <c r="V316" s="10">
        <v>47</v>
      </c>
      <c r="W316" s="10">
        <v>0.124</v>
      </c>
      <c r="X316" s="10">
        <v>74</v>
      </c>
      <c r="Y316" s="10">
        <v>56</v>
      </c>
      <c r="Z316" s="10">
        <v>66</v>
      </c>
      <c r="AA316" s="10">
        <v>13</v>
      </c>
      <c r="AB316" s="10">
        <v>12.3</v>
      </c>
      <c r="AC316" s="9" t="s">
        <v>349</v>
      </c>
      <c r="AD316" s="10"/>
      <c r="AE316" s="10"/>
      <c r="AF316" s="10"/>
      <c r="AG316" s="10"/>
    </row>
    <row r="317" spans="1:33">
      <c r="A317" s="7" t="s">
        <v>155</v>
      </c>
      <c r="B317" s="8" t="s">
        <v>317</v>
      </c>
      <c r="C317" s="9" t="s">
        <v>850</v>
      </c>
      <c r="D317" s="10">
        <v>160</v>
      </c>
      <c r="E317" s="9" t="s">
        <v>158</v>
      </c>
      <c r="F317" s="10">
        <v>160</v>
      </c>
      <c r="G317" s="10">
        <v>159.1</v>
      </c>
      <c r="H317" s="10">
        <v>141</v>
      </c>
      <c r="I317" s="10">
        <v>146</v>
      </c>
      <c r="J317" s="10">
        <v>119</v>
      </c>
      <c r="K317" s="10">
        <v>69</v>
      </c>
      <c r="L317" s="10">
        <v>103</v>
      </c>
      <c r="M317" s="10">
        <v>12.2</v>
      </c>
      <c r="N317" s="10">
        <v>1970</v>
      </c>
      <c r="O317" s="10">
        <v>0.69</v>
      </c>
      <c r="P317" s="10">
        <v>1350</v>
      </c>
      <c r="Q317" s="10">
        <v>195</v>
      </c>
      <c r="R317" s="10">
        <v>125</v>
      </c>
      <c r="S317" s="10">
        <v>39</v>
      </c>
      <c r="T317" s="10">
        <v>136</v>
      </c>
      <c r="U317" s="10">
        <v>5</v>
      </c>
      <c r="V317" s="10">
        <v>48</v>
      </c>
      <c r="W317" s="10">
        <v>0.11700000000000001</v>
      </c>
      <c r="X317" s="10">
        <v>70</v>
      </c>
      <c r="Y317" s="10">
        <v>57</v>
      </c>
      <c r="Z317" s="10">
        <v>66</v>
      </c>
      <c r="AA317" s="10">
        <v>15</v>
      </c>
      <c r="AB317" s="10">
        <v>11.8</v>
      </c>
      <c r="AC317" s="9" t="s">
        <v>349</v>
      </c>
      <c r="AD317" s="10"/>
      <c r="AE317" s="10"/>
      <c r="AF317" s="10"/>
      <c r="AG317" s="10"/>
    </row>
    <row r="318" spans="1:33">
      <c r="A318" s="7" t="s">
        <v>155</v>
      </c>
      <c r="B318" s="8" t="s">
        <v>317</v>
      </c>
      <c r="C318" s="9" t="s">
        <v>850</v>
      </c>
      <c r="D318" s="10">
        <v>165</v>
      </c>
      <c r="E318" s="9" t="s">
        <v>158</v>
      </c>
      <c r="F318" s="10">
        <v>165</v>
      </c>
      <c r="G318" s="10">
        <v>163.9</v>
      </c>
      <c r="H318" s="10">
        <v>145</v>
      </c>
      <c r="I318" s="10">
        <v>151</v>
      </c>
      <c r="J318" s="10">
        <v>121</v>
      </c>
      <c r="K318" s="10">
        <v>70</v>
      </c>
      <c r="L318" s="10">
        <v>104</v>
      </c>
      <c r="M318" s="10">
        <v>12.9</v>
      </c>
      <c r="N318" s="10">
        <v>2006</v>
      </c>
      <c r="O318" s="10">
        <v>0.7</v>
      </c>
      <c r="P318" s="10">
        <v>1404</v>
      </c>
      <c r="Q318" s="10">
        <v>199</v>
      </c>
      <c r="R318" s="10">
        <v>127</v>
      </c>
      <c r="S318" s="10">
        <v>38</v>
      </c>
      <c r="T318" s="10">
        <v>138</v>
      </c>
      <c r="U318" s="10">
        <v>7</v>
      </c>
      <c r="V318" s="10">
        <v>52</v>
      </c>
      <c r="W318" s="10">
        <v>0.183</v>
      </c>
      <c r="X318" s="10">
        <v>72</v>
      </c>
      <c r="Y318" s="10">
        <v>55</v>
      </c>
      <c r="Z318" s="10">
        <v>66</v>
      </c>
      <c r="AA318" s="10">
        <v>12</v>
      </c>
      <c r="AB318" s="10">
        <v>11.9</v>
      </c>
      <c r="AC318" s="9" t="s">
        <v>349</v>
      </c>
      <c r="AD318" s="10"/>
      <c r="AE318" s="10"/>
      <c r="AF318" s="10"/>
      <c r="AG318" s="10"/>
    </row>
    <row r="319" spans="1:33">
      <c r="A319" s="7" t="s">
        <v>155</v>
      </c>
      <c r="B319" s="8" t="s">
        <v>317</v>
      </c>
      <c r="C319" s="9" t="s">
        <v>851</v>
      </c>
      <c r="D319" s="10">
        <v>160</v>
      </c>
      <c r="E319" s="9" t="s">
        <v>158</v>
      </c>
      <c r="F319" s="10">
        <v>160</v>
      </c>
      <c r="G319" s="10">
        <v>158.9</v>
      </c>
      <c r="H319" s="10">
        <v>139</v>
      </c>
      <c r="I319" s="10">
        <v>146</v>
      </c>
      <c r="J319" s="10">
        <v>122</v>
      </c>
      <c r="K319" s="10">
        <v>71</v>
      </c>
      <c r="L319" s="10">
        <v>105</v>
      </c>
      <c r="M319" s="10">
        <v>12.4</v>
      </c>
      <c r="N319" s="10">
        <v>2080</v>
      </c>
      <c r="O319" s="10">
        <v>0.67</v>
      </c>
      <c r="P319" s="10">
        <v>1384</v>
      </c>
      <c r="Q319" s="10">
        <v>178</v>
      </c>
      <c r="R319" s="10">
        <v>113</v>
      </c>
      <c r="S319" s="10">
        <v>43</v>
      </c>
      <c r="T319" s="10">
        <v>143</v>
      </c>
      <c r="U319" s="10">
        <v>7</v>
      </c>
      <c r="V319" s="10">
        <v>55</v>
      </c>
      <c r="W319" s="10">
        <v>0.156</v>
      </c>
      <c r="X319" s="10">
        <v>75</v>
      </c>
      <c r="Y319" s="10">
        <v>54</v>
      </c>
      <c r="Z319" s="10">
        <v>68</v>
      </c>
      <c r="AA319" s="10">
        <v>10</v>
      </c>
      <c r="AB319" s="10">
        <v>12.1</v>
      </c>
      <c r="AC319" s="9" t="s">
        <v>349</v>
      </c>
      <c r="AD319" s="10"/>
      <c r="AE319" s="10"/>
      <c r="AF319" s="10"/>
      <c r="AG319" s="10"/>
    </row>
    <row r="320" spans="1:33">
      <c r="A320" s="7" t="s">
        <v>155</v>
      </c>
      <c r="B320" s="8" t="s">
        <v>317</v>
      </c>
      <c r="C320" s="9" t="s">
        <v>851</v>
      </c>
      <c r="D320" s="10">
        <v>165</v>
      </c>
      <c r="E320" s="9" t="s">
        <v>158</v>
      </c>
      <c r="F320" s="10">
        <v>165</v>
      </c>
      <c r="G320" s="10">
        <v>163.69999999999999</v>
      </c>
      <c r="H320" s="10">
        <v>144</v>
      </c>
      <c r="I320" s="10">
        <v>151</v>
      </c>
      <c r="J320" s="10">
        <v>122</v>
      </c>
      <c r="K320" s="10">
        <v>70</v>
      </c>
      <c r="L320" s="10">
        <v>105</v>
      </c>
      <c r="M320" s="10">
        <v>13</v>
      </c>
      <c r="N320" s="10">
        <v>2126</v>
      </c>
      <c r="O320" s="10">
        <v>0.67</v>
      </c>
      <c r="P320" s="10">
        <v>1415</v>
      </c>
      <c r="Q320" s="10">
        <v>198</v>
      </c>
      <c r="R320" s="10">
        <v>120</v>
      </c>
      <c r="S320" s="10">
        <v>43</v>
      </c>
      <c r="T320" s="10">
        <v>143</v>
      </c>
      <c r="U320" s="10">
        <v>7</v>
      </c>
      <c r="V320" s="10">
        <v>58</v>
      </c>
      <c r="W320" s="10">
        <v>0.16400000000000001</v>
      </c>
      <c r="X320" s="10">
        <v>68</v>
      </c>
      <c r="Y320" s="10">
        <v>57</v>
      </c>
      <c r="Z320" s="10">
        <v>76</v>
      </c>
      <c r="AA320" s="10">
        <v>9</v>
      </c>
      <c r="AB320" s="10">
        <v>11.9</v>
      </c>
      <c r="AC320" s="9" t="s">
        <v>349</v>
      </c>
      <c r="AD320" s="10"/>
      <c r="AE320" s="10"/>
      <c r="AF320" s="10"/>
      <c r="AG320" s="10"/>
    </row>
    <row r="321" spans="1:33">
      <c r="A321" s="7" t="s">
        <v>155</v>
      </c>
      <c r="B321" s="8" t="s">
        <v>317</v>
      </c>
      <c r="C321" s="9" t="s">
        <v>878</v>
      </c>
      <c r="D321" s="10">
        <v>166</v>
      </c>
      <c r="E321" s="9" t="s">
        <v>158</v>
      </c>
      <c r="F321" s="10">
        <v>166</v>
      </c>
      <c r="G321" s="10">
        <v>165.1</v>
      </c>
      <c r="H321" s="10">
        <v>146</v>
      </c>
      <c r="I321" s="10">
        <v>153</v>
      </c>
      <c r="J321" s="10">
        <v>124</v>
      </c>
      <c r="K321" s="10">
        <v>75</v>
      </c>
      <c r="L321" s="10">
        <v>105</v>
      </c>
      <c r="M321" s="10">
        <v>14.7</v>
      </c>
      <c r="N321" s="10">
        <v>2238</v>
      </c>
      <c r="O321" s="10">
        <v>0.66</v>
      </c>
      <c r="P321" s="10">
        <v>1477</v>
      </c>
      <c r="Q321" s="10">
        <v>196</v>
      </c>
      <c r="R321" s="10">
        <v>122</v>
      </c>
      <c r="S321" s="10">
        <v>42</v>
      </c>
      <c r="T321" s="10">
        <v>135</v>
      </c>
      <c r="U321" s="10">
        <v>8</v>
      </c>
      <c r="V321" s="10">
        <v>59</v>
      </c>
      <c r="W321" s="10">
        <v>0.182</v>
      </c>
      <c r="X321" s="10">
        <v>73</v>
      </c>
      <c r="Y321" s="10">
        <v>51</v>
      </c>
      <c r="Z321" s="10">
        <v>62</v>
      </c>
      <c r="AA321" s="10">
        <v>9</v>
      </c>
      <c r="AB321" s="10">
        <v>11.7</v>
      </c>
      <c r="AC321" s="9" t="s">
        <v>349</v>
      </c>
      <c r="AD321" s="10"/>
      <c r="AE321" s="10"/>
      <c r="AF321" s="10"/>
      <c r="AG321" s="10"/>
    </row>
    <row r="322" spans="1:33">
      <c r="A322" s="7" t="s">
        <v>155</v>
      </c>
      <c r="B322" s="8" t="s">
        <v>317</v>
      </c>
      <c r="C322" s="9" t="s">
        <v>878</v>
      </c>
      <c r="D322" s="10">
        <v>174</v>
      </c>
      <c r="E322" s="9" t="s">
        <v>158</v>
      </c>
      <c r="F322" s="10">
        <v>174</v>
      </c>
      <c r="G322" s="10">
        <v>172.9</v>
      </c>
      <c r="H322" s="10">
        <v>155</v>
      </c>
      <c r="I322" s="10">
        <v>160</v>
      </c>
      <c r="J322" s="10">
        <v>125</v>
      </c>
      <c r="K322" s="10">
        <v>75</v>
      </c>
      <c r="L322" s="10">
        <v>106</v>
      </c>
      <c r="M322" s="10">
        <v>15.1</v>
      </c>
      <c r="N322" s="10">
        <v>2334</v>
      </c>
      <c r="O322" s="10">
        <v>0.67</v>
      </c>
      <c r="P322" s="10">
        <v>1555</v>
      </c>
      <c r="Q322" s="10">
        <v>223</v>
      </c>
      <c r="R322" s="10">
        <v>143</v>
      </c>
      <c r="S322" s="10">
        <v>40</v>
      </c>
      <c r="T322" s="10">
        <v>127</v>
      </c>
      <c r="U322" s="10">
        <v>6</v>
      </c>
      <c r="V322" s="10">
        <v>56</v>
      </c>
      <c r="W322" s="10">
        <v>0.157</v>
      </c>
      <c r="X322" s="10">
        <v>75</v>
      </c>
      <c r="Y322" s="10">
        <v>52</v>
      </c>
      <c r="Z322" s="10">
        <v>52</v>
      </c>
      <c r="AA322" s="10">
        <v>8</v>
      </c>
      <c r="AB322" s="10">
        <v>11.4</v>
      </c>
      <c r="AC322" s="9" t="s">
        <v>349</v>
      </c>
      <c r="AD322" s="10"/>
      <c r="AE322" s="10"/>
      <c r="AF322" s="10"/>
      <c r="AG322" s="10"/>
    </row>
    <row r="323" spans="1:33">
      <c r="A323" s="7" t="s">
        <v>155</v>
      </c>
      <c r="B323" s="8" t="s">
        <v>317</v>
      </c>
      <c r="C323" s="9" t="s">
        <v>639</v>
      </c>
      <c r="D323" s="10">
        <v>160</v>
      </c>
      <c r="E323" s="9" t="s">
        <v>158</v>
      </c>
      <c r="F323" s="10">
        <v>160</v>
      </c>
      <c r="G323" s="10">
        <v>159.6</v>
      </c>
      <c r="H323" s="10">
        <v>141</v>
      </c>
      <c r="I323" s="10">
        <v>147</v>
      </c>
      <c r="J323" s="10">
        <v>125</v>
      </c>
      <c r="K323" s="10">
        <v>76</v>
      </c>
      <c r="L323" s="10">
        <v>105</v>
      </c>
      <c r="M323" s="10">
        <v>13.7</v>
      </c>
      <c r="N323" s="10">
        <v>1818</v>
      </c>
      <c r="O323" s="10">
        <v>0.8</v>
      </c>
      <c r="P323" s="10">
        <v>1448</v>
      </c>
      <c r="Q323" s="10">
        <v>192</v>
      </c>
      <c r="R323" s="10">
        <v>95</v>
      </c>
      <c r="S323" s="10">
        <v>37</v>
      </c>
      <c r="T323" s="10">
        <v>137</v>
      </c>
      <c r="U323" s="10">
        <v>6</v>
      </c>
      <c r="V323" s="10">
        <v>51</v>
      </c>
      <c r="W323" s="10">
        <v>0.16800000000000001</v>
      </c>
      <c r="X323" s="10">
        <v>76</v>
      </c>
      <c r="Y323" s="10">
        <v>52</v>
      </c>
      <c r="Z323" s="10">
        <v>61</v>
      </c>
      <c r="AA323" s="10">
        <v>7</v>
      </c>
      <c r="AB323" s="10">
        <v>12.1</v>
      </c>
      <c r="AC323" s="9" t="s">
        <v>349</v>
      </c>
      <c r="AD323" s="10"/>
      <c r="AE323" s="10"/>
      <c r="AF323" s="10"/>
      <c r="AG323" s="10"/>
    </row>
    <row r="324" spans="1:33">
      <c r="A324" s="7" t="s">
        <v>155</v>
      </c>
      <c r="B324" s="8" t="s">
        <v>317</v>
      </c>
      <c r="C324" s="9" t="s">
        <v>639</v>
      </c>
      <c r="D324" s="10">
        <v>165</v>
      </c>
      <c r="E324" s="9" t="s">
        <v>158</v>
      </c>
      <c r="F324" s="10">
        <v>165</v>
      </c>
      <c r="G324" s="10">
        <v>164.3</v>
      </c>
      <c r="H324" s="10">
        <v>143</v>
      </c>
      <c r="I324" s="10">
        <v>152</v>
      </c>
      <c r="J324" s="10">
        <v>124</v>
      </c>
      <c r="K324" s="10">
        <v>75</v>
      </c>
      <c r="L324" s="10">
        <v>104</v>
      </c>
      <c r="M324" s="10">
        <v>14.5</v>
      </c>
      <c r="N324" s="10">
        <v>1866</v>
      </c>
      <c r="O324" s="10">
        <v>0.79</v>
      </c>
      <c r="P324" s="10">
        <v>1470</v>
      </c>
      <c r="Q324" s="10">
        <v>205</v>
      </c>
      <c r="R324" s="10">
        <v>100</v>
      </c>
      <c r="S324" s="10">
        <v>42</v>
      </c>
      <c r="T324" s="10">
        <v>164</v>
      </c>
      <c r="U324" s="10">
        <v>6</v>
      </c>
      <c r="V324" s="10">
        <v>51</v>
      </c>
      <c r="W324" s="10">
        <v>0.152</v>
      </c>
      <c r="X324" s="10">
        <v>69</v>
      </c>
      <c r="Y324" s="10">
        <v>58</v>
      </c>
      <c r="Z324" s="10">
        <v>95</v>
      </c>
      <c r="AA324" s="10">
        <v>6</v>
      </c>
      <c r="AB324" s="10">
        <v>11.7</v>
      </c>
      <c r="AC324" s="9" t="s">
        <v>349</v>
      </c>
      <c r="AD324" s="10"/>
      <c r="AE324" s="10"/>
      <c r="AF324" s="10"/>
      <c r="AG324" s="10"/>
    </row>
    <row r="325" spans="1:33">
      <c r="A325" s="7" t="s">
        <v>155</v>
      </c>
      <c r="B325" s="8" t="s">
        <v>317</v>
      </c>
      <c r="C325" s="9" t="s">
        <v>639</v>
      </c>
      <c r="D325" s="10">
        <v>170</v>
      </c>
      <c r="E325" s="9" t="s">
        <v>158</v>
      </c>
      <c r="F325" s="10">
        <v>170</v>
      </c>
      <c r="G325" s="10">
        <v>169.1</v>
      </c>
      <c r="H325" s="10">
        <v>148</v>
      </c>
      <c r="I325" s="10">
        <v>157</v>
      </c>
      <c r="J325" s="10">
        <v>124</v>
      </c>
      <c r="K325" s="10">
        <v>76</v>
      </c>
      <c r="L325" s="10">
        <v>104</v>
      </c>
      <c r="M325" s="10">
        <v>15.5</v>
      </c>
      <c r="N325" s="10">
        <v>1971</v>
      </c>
      <c r="O325" s="10">
        <v>0.77</v>
      </c>
      <c r="P325" s="10">
        <v>1521</v>
      </c>
      <c r="Q325" s="10">
        <v>234</v>
      </c>
      <c r="R325" s="10">
        <v>110</v>
      </c>
      <c r="S325" s="10">
        <v>41</v>
      </c>
      <c r="T325" s="10">
        <v>163</v>
      </c>
      <c r="U325" s="10">
        <v>5</v>
      </c>
      <c r="V325" s="10">
        <v>51</v>
      </c>
      <c r="W325" s="10">
        <v>0.13100000000000001</v>
      </c>
      <c r="X325" s="10">
        <v>71</v>
      </c>
      <c r="Y325" s="10">
        <v>55</v>
      </c>
      <c r="Z325" s="10">
        <v>93</v>
      </c>
      <c r="AA325" s="10">
        <v>6</v>
      </c>
      <c r="AB325" s="10">
        <v>12.1</v>
      </c>
      <c r="AC325" s="9" t="s">
        <v>349</v>
      </c>
      <c r="AD325" s="10"/>
      <c r="AE325" s="10"/>
      <c r="AF325" s="10"/>
      <c r="AG325" s="10"/>
    </row>
    <row r="326" spans="1:33">
      <c r="A326" s="7" t="s">
        <v>155</v>
      </c>
      <c r="B326" s="8" t="s">
        <v>317</v>
      </c>
      <c r="C326" s="9" t="s">
        <v>432</v>
      </c>
      <c r="D326" s="10">
        <v>164</v>
      </c>
      <c r="E326" s="9" t="s">
        <v>158</v>
      </c>
      <c r="F326" s="10">
        <v>164</v>
      </c>
      <c r="G326" s="10">
        <v>162</v>
      </c>
      <c r="H326" s="10">
        <v>114</v>
      </c>
      <c r="I326" s="10">
        <v>132</v>
      </c>
      <c r="J326" s="10">
        <v>130</v>
      </c>
      <c r="K326" s="10">
        <v>102</v>
      </c>
      <c r="L326" s="10">
        <v>116</v>
      </c>
      <c r="M326" s="10">
        <v>18.600000000000001</v>
      </c>
      <c r="N326" s="10">
        <v>1343</v>
      </c>
      <c r="O326" s="10">
        <v>1.33</v>
      </c>
      <c r="P326" s="10">
        <v>1786</v>
      </c>
      <c r="Q326" s="10">
        <v>166</v>
      </c>
      <c r="R326" s="10">
        <v>59</v>
      </c>
      <c r="S326" s="10">
        <v>58</v>
      </c>
      <c r="T326" s="10">
        <v>311</v>
      </c>
      <c r="U326" s="10">
        <v>17</v>
      </c>
      <c r="V326" s="10">
        <v>170</v>
      </c>
      <c r="W326" s="10">
        <v>0.28799999999999998</v>
      </c>
      <c r="X326" s="10">
        <v>157</v>
      </c>
      <c r="Y326" s="10">
        <v>147</v>
      </c>
      <c r="Z326" s="10">
        <v>155</v>
      </c>
      <c r="AA326" s="10">
        <v>5</v>
      </c>
      <c r="AB326" s="10">
        <v>8.9</v>
      </c>
      <c r="AC326" s="9" t="s">
        <v>178</v>
      </c>
      <c r="AD326" s="9" t="s">
        <v>185</v>
      </c>
      <c r="AE326" s="9" t="s">
        <v>198</v>
      </c>
      <c r="AF326" s="10"/>
      <c r="AG326" s="10"/>
    </row>
    <row r="327" spans="1:33">
      <c r="A327" s="7" t="s">
        <v>155</v>
      </c>
      <c r="B327" s="8" t="s">
        <v>317</v>
      </c>
      <c r="C327" s="9" t="s">
        <v>432</v>
      </c>
      <c r="D327" s="10">
        <v>172</v>
      </c>
      <c r="E327" s="9" t="s">
        <v>158</v>
      </c>
      <c r="F327" s="10">
        <v>172</v>
      </c>
      <c r="G327" s="10">
        <v>169.8</v>
      </c>
      <c r="H327" s="10">
        <v>124</v>
      </c>
      <c r="I327" s="10">
        <v>139</v>
      </c>
      <c r="J327" s="10">
        <v>130</v>
      </c>
      <c r="K327" s="10">
        <v>102</v>
      </c>
      <c r="L327" s="10">
        <v>116</v>
      </c>
      <c r="M327" s="10">
        <v>21.4</v>
      </c>
      <c r="N327" s="10">
        <v>1416</v>
      </c>
      <c r="O327" s="10">
        <v>1.32</v>
      </c>
      <c r="P327" s="10">
        <v>1874</v>
      </c>
      <c r="Q327" s="10">
        <v>189</v>
      </c>
      <c r="R327" s="10">
        <v>64</v>
      </c>
      <c r="S327" s="10">
        <v>54</v>
      </c>
      <c r="T327" s="10">
        <v>297</v>
      </c>
      <c r="U327" s="10">
        <v>18</v>
      </c>
      <c r="V327" s="10">
        <v>165</v>
      </c>
      <c r="W327" s="10">
        <v>0.33200000000000002</v>
      </c>
      <c r="X327" s="10">
        <v>160</v>
      </c>
      <c r="Y327" s="10">
        <v>148</v>
      </c>
      <c r="Z327" s="10">
        <v>137</v>
      </c>
      <c r="AA327" s="10">
        <v>6</v>
      </c>
      <c r="AB327" s="10">
        <v>9.8000000000000007</v>
      </c>
      <c r="AC327" s="9" t="s">
        <v>178</v>
      </c>
      <c r="AD327" s="9" t="s">
        <v>185</v>
      </c>
      <c r="AE327" s="9" t="s">
        <v>198</v>
      </c>
      <c r="AF327" s="10"/>
      <c r="AG327" s="10"/>
    </row>
    <row r="328" spans="1:33">
      <c r="A328" s="7" t="s">
        <v>155</v>
      </c>
      <c r="B328" s="8" t="s">
        <v>317</v>
      </c>
      <c r="C328" s="9" t="s">
        <v>432</v>
      </c>
      <c r="D328" s="10">
        <v>180</v>
      </c>
      <c r="E328" s="9" t="s">
        <v>158</v>
      </c>
      <c r="F328" s="10">
        <v>180</v>
      </c>
      <c r="G328" s="10">
        <v>177.9</v>
      </c>
      <c r="H328" s="10">
        <v>120</v>
      </c>
      <c r="I328" s="10">
        <v>148</v>
      </c>
      <c r="J328" s="10">
        <v>132</v>
      </c>
      <c r="K328" s="10">
        <v>104</v>
      </c>
      <c r="L328" s="10">
        <v>118</v>
      </c>
      <c r="M328" s="10">
        <v>23.8</v>
      </c>
      <c r="N328" s="10">
        <v>1487</v>
      </c>
      <c r="O328" s="10">
        <v>1.34</v>
      </c>
      <c r="P328" s="10">
        <v>1999</v>
      </c>
      <c r="Q328" s="10">
        <v>208</v>
      </c>
      <c r="R328" s="10">
        <v>78</v>
      </c>
      <c r="S328" s="10">
        <v>58</v>
      </c>
      <c r="T328" s="10">
        <v>336</v>
      </c>
      <c r="U328" s="10">
        <v>24</v>
      </c>
      <c r="V328" s="10">
        <v>243</v>
      </c>
      <c r="W328" s="10">
        <v>0.41399999999999998</v>
      </c>
      <c r="X328" s="10">
        <v>152</v>
      </c>
      <c r="Y328" s="10">
        <v>145</v>
      </c>
      <c r="Z328" s="10">
        <v>184</v>
      </c>
      <c r="AA328" s="10">
        <v>3</v>
      </c>
      <c r="AB328" s="10">
        <v>9.1999999999999993</v>
      </c>
      <c r="AC328" s="9" t="s">
        <v>169</v>
      </c>
      <c r="AD328" s="9" t="s">
        <v>185</v>
      </c>
      <c r="AE328" s="9" t="s">
        <v>198</v>
      </c>
      <c r="AF328" s="10"/>
      <c r="AG328" s="10"/>
    </row>
    <row r="329" spans="1:33">
      <c r="A329" s="7" t="s">
        <v>155</v>
      </c>
      <c r="B329" s="8" t="s">
        <v>317</v>
      </c>
      <c r="C329" s="9" t="s">
        <v>432</v>
      </c>
      <c r="D329" s="10">
        <v>188</v>
      </c>
      <c r="E329" s="9" t="s">
        <v>158</v>
      </c>
      <c r="F329" s="10">
        <v>188</v>
      </c>
      <c r="G329" s="10">
        <v>185.8</v>
      </c>
      <c r="H329" s="10">
        <v>126</v>
      </c>
      <c r="I329" s="10">
        <v>155</v>
      </c>
      <c r="J329" s="10">
        <v>133</v>
      </c>
      <c r="K329" s="10">
        <v>104</v>
      </c>
      <c r="L329" s="10">
        <v>119</v>
      </c>
      <c r="M329" s="10">
        <v>25.3</v>
      </c>
      <c r="N329" s="10">
        <v>1645</v>
      </c>
      <c r="O329" s="10">
        <v>1.27</v>
      </c>
      <c r="P329" s="10">
        <v>2096</v>
      </c>
      <c r="Q329" s="10">
        <v>265</v>
      </c>
      <c r="R329" s="10">
        <v>95</v>
      </c>
      <c r="S329" s="10">
        <v>52</v>
      </c>
      <c r="T329" s="10">
        <v>333</v>
      </c>
      <c r="U329" s="10">
        <v>22</v>
      </c>
      <c r="V329" s="10">
        <v>265</v>
      </c>
      <c r="W329" s="10">
        <v>0.42499999999999999</v>
      </c>
      <c r="X329" s="10">
        <v>160</v>
      </c>
      <c r="Y329" s="10">
        <v>145</v>
      </c>
      <c r="Z329" s="10">
        <v>173</v>
      </c>
      <c r="AA329" s="10">
        <v>4</v>
      </c>
      <c r="AB329" s="10">
        <v>9.6</v>
      </c>
      <c r="AC329" s="9" t="s">
        <v>188</v>
      </c>
      <c r="AD329" s="9" t="s">
        <v>169</v>
      </c>
      <c r="AE329" s="9" t="s">
        <v>185</v>
      </c>
      <c r="AF329" s="9" t="s">
        <v>198</v>
      </c>
      <c r="AG329" s="10"/>
    </row>
    <row r="330" spans="1:33">
      <c r="A330" s="7" t="s">
        <v>155</v>
      </c>
      <c r="B330" s="8" t="s">
        <v>317</v>
      </c>
      <c r="C330" s="9" t="s">
        <v>680</v>
      </c>
      <c r="D330" s="10">
        <v>150</v>
      </c>
      <c r="E330" s="9" t="s">
        <v>158</v>
      </c>
      <c r="F330" s="10">
        <v>150</v>
      </c>
      <c r="G330" s="10">
        <v>147.6</v>
      </c>
      <c r="H330" s="10">
        <v>109</v>
      </c>
      <c r="I330" s="10">
        <v>123</v>
      </c>
      <c r="J330" s="10">
        <v>112</v>
      </c>
      <c r="K330" s="10">
        <v>82</v>
      </c>
      <c r="L330" s="10">
        <v>95</v>
      </c>
      <c r="M330" s="10">
        <v>17.3</v>
      </c>
      <c r="N330" s="10">
        <v>900</v>
      </c>
      <c r="O330" s="10">
        <v>1.49</v>
      </c>
      <c r="P330" s="10">
        <v>1337</v>
      </c>
      <c r="Q330" s="10">
        <v>140</v>
      </c>
      <c r="R330" s="10">
        <v>44</v>
      </c>
      <c r="S330" s="10">
        <v>58</v>
      </c>
      <c r="T330" s="10">
        <v>216</v>
      </c>
      <c r="U330" s="10">
        <v>11</v>
      </c>
      <c r="V330" s="10">
        <v>172</v>
      </c>
      <c r="W330" s="10">
        <v>0.189</v>
      </c>
      <c r="X330" s="10">
        <v>126</v>
      </c>
      <c r="Y330" s="10">
        <v>121</v>
      </c>
      <c r="Z330" s="10">
        <v>90</v>
      </c>
      <c r="AA330" s="10">
        <v>4</v>
      </c>
      <c r="AB330" s="10">
        <v>10.1</v>
      </c>
      <c r="AC330" s="9" t="s">
        <v>185</v>
      </c>
      <c r="AD330" s="9" t="s">
        <v>198</v>
      </c>
      <c r="AE330" s="10"/>
      <c r="AF330" s="10"/>
      <c r="AG330" s="10"/>
    </row>
    <row r="331" spans="1:33">
      <c r="A331" s="7" t="s">
        <v>155</v>
      </c>
      <c r="B331" s="8" t="s">
        <v>317</v>
      </c>
      <c r="C331" s="9" t="s">
        <v>680</v>
      </c>
      <c r="D331" s="10">
        <v>157</v>
      </c>
      <c r="E331" s="9" t="s">
        <v>158</v>
      </c>
      <c r="F331" s="10">
        <v>157</v>
      </c>
      <c r="G331" s="10">
        <v>154.69999999999999</v>
      </c>
      <c r="H331" s="10">
        <v>116</v>
      </c>
      <c r="I331" s="10">
        <v>129</v>
      </c>
      <c r="J331" s="10">
        <v>114</v>
      </c>
      <c r="K331" s="10">
        <v>83</v>
      </c>
      <c r="L331" s="10">
        <v>98</v>
      </c>
      <c r="M331" s="10">
        <v>17.899999999999999</v>
      </c>
      <c r="N331" s="10">
        <v>975</v>
      </c>
      <c r="O331" s="10">
        <v>1.46</v>
      </c>
      <c r="P331" s="10">
        <v>1422</v>
      </c>
      <c r="Q331" s="10">
        <v>169</v>
      </c>
      <c r="R331" s="10">
        <v>54</v>
      </c>
      <c r="S331" s="10">
        <v>60</v>
      </c>
      <c r="T331" s="10">
        <v>225</v>
      </c>
      <c r="U331" s="10">
        <v>9</v>
      </c>
      <c r="V331" s="10">
        <v>158</v>
      </c>
      <c r="W331" s="10">
        <v>0.14699999999999999</v>
      </c>
      <c r="X331" s="10">
        <v>135</v>
      </c>
      <c r="Y331" s="10">
        <v>124</v>
      </c>
      <c r="Z331" s="10">
        <v>90</v>
      </c>
      <c r="AA331" s="10">
        <v>5</v>
      </c>
      <c r="AB331" s="10">
        <v>10.8</v>
      </c>
      <c r="AC331" s="9" t="s">
        <v>185</v>
      </c>
      <c r="AD331" s="9" t="s">
        <v>198</v>
      </c>
      <c r="AE331" s="10"/>
      <c r="AF331" s="10"/>
      <c r="AG331" s="10"/>
    </row>
    <row r="332" spans="1:33">
      <c r="A332" s="7" t="s">
        <v>155</v>
      </c>
      <c r="B332" s="8" t="s">
        <v>317</v>
      </c>
      <c r="C332" s="9" t="s">
        <v>680</v>
      </c>
      <c r="D332" s="10">
        <v>164</v>
      </c>
      <c r="E332" s="9" t="s">
        <v>158</v>
      </c>
      <c r="F332" s="10">
        <v>164</v>
      </c>
      <c r="G332" s="10">
        <v>161.9</v>
      </c>
      <c r="H332" s="10">
        <v>120</v>
      </c>
      <c r="I332" s="10">
        <v>135</v>
      </c>
      <c r="J332" s="10">
        <v>114</v>
      </c>
      <c r="K332" s="10">
        <v>83</v>
      </c>
      <c r="L332" s="10">
        <v>98</v>
      </c>
      <c r="M332" s="10">
        <v>19.8</v>
      </c>
      <c r="N332" s="10">
        <v>1014</v>
      </c>
      <c r="O332" s="10">
        <v>1.46</v>
      </c>
      <c r="P332" s="10">
        <v>1484</v>
      </c>
      <c r="Q332" s="10">
        <v>164</v>
      </c>
      <c r="R332" s="10">
        <v>57</v>
      </c>
      <c r="S332" s="10">
        <v>57</v>
      </c>
      <c r="T332" s="10">
        <v>230</v>
      </c>
      <c r="U332" s="10">
        <v>10</v>
      </c>
      <c r="V332" s="10">
        <v>191</v>
      </c>
      <c r="W332" s="10">
        <v>0.17</v>
      </c>
      <c r="X332" s="10">
        <v>139</v>
      </c>
      <c r="Y332" s="10">
        <v>127</v>
      </c>
      <c r="Z332" s="10">
        <v>91</v>
      </c>
      <c r="AA332" s="10">
        <v>3</v>
      </c>
      <c r="AB332" s="10">
        <v>10.6</v>
      </c>
      <c r="AC332" s="9" t="s">
        <v>185</v>
      </c>
      <c r="AD332" s="9" t="s">
        <v>198</v>
      </c>
      <c r="AE332" s="10"/>
      <c r="AF332" s="10"/>
      <c r="AG332" s="10"/>
    </row>
    <row r="333" spans="1:33">
      <c r="A333" s="7" t="s">
        <v>155</v>
      </c>
      <c r="B333" s="8" t="s">
        <v>317</v>
      </c>
      <c r="C333" s="9" t="s">
        <v>680</v>
      </c>
      <c r="D333" s="10">
        <v>171</v>
      </c>
      <c r="E333" s="9" t="s">
        <v>158</v>
      </c>
      <c r="F333" s="10">
        <v>171</v>
      </c>
      <c r="G333" s="10">
        <v>168.9</v>
      </c>
      <c r="H333" s="10">
        <v>127</v>
      </c>
      <c r="I333" s="10">
        <v>144</v>
      </c>
      <c r="J333" s="10">
        <v>114</v>
      </c>
      <c r="K333" s="10">
        <v>83</v>
      </c>
      <c r="L333" s="10">
        <v>98</v>
      </c>
      <c r="M333" s="10">
        <v>22</v>
      </c>
      <c r="N333" s="10">
        <v>1122</v>
      </c>
      <c r="O333" s="10">
        <v>1.38</v>
      </c>
      <c r="P333" s="10">
        <v>1546</v>
      </c>
      <c r="Q333" s="10">
        <v>197</v>
      </c>
      <c r="R333" s="10">
        <v>69</v>
      </c>
      <c r="S333" s="10">
        <v>55</v>
      </c>
      <c r="T333" s="10">
        <v>244</v>
      </c>
      <c r="U333" s="10">
        <v>10</v>
      </c>
      <c r="V333" s="10">
        <v>171</v>
      </c>
      <c r="W333" s="10">
        <v>0.188</v>
      </c>
      <c r="X333" s="10">
        <v>130</v>
      </c>
      <c r="Y333" s="10">
        <v>122</v>
      </c>
      <c r="Z333" s="10">
        <v>114</v>
      </c>
      <c r="AA333" s="10">
        <v>4</v>
      </c>
      <c r="AB333" s="10">
        <v>10.5</v>
      </c>
      <c r="AC333" s="9" t="s">
        <v>185</v>
      </c>
      <c r="AD333" s="9" t="s">
        <v>198</v>
      </c>
      <c r="AE333" s="10"/>
      <c r="AF333" s="10"/>
      <c r="AG333" s="10"/>
    </row>
    <row r="334" spans="1:33">
      <c r="A334" s="7" t="s">
        <v>155</v>
      </c>
      <c r="B334" s="8" t="s">
        <v>317</v>
      </c>
      <c r="C334" s="9" t="s">
        <v>680</v>
      </c>
      <c r="D334" s="10">
        <v>178</v>
      </c>
      <c r="E334" s="9" t="s">
        <v>158</v>
      </c>
      <c r="F334" s="10">
        <v>178</v>
      </c>
      <c r="G334" s="10">
        <v>176</v>
      </c>
      <c r="H334" s="10">
        <v>132</v>
      </c>
      <c r="I334" s="10">
        <v>149</v>
      </c>
      <c r="J334" s="10">
        <v>117</v>
      </c>
      <c r="K334" s="10">
        <v>83</v>
      </c>
      <c r="L334" s="10">
        <v>100</v>
      </c>
      <c r="M334" s="10">
        <v>22</v>
      </c>
      <c r="N334" s="10">
        <v>1151</v>
      </c>
      <c r="O334" s="10">
        <v>1.42</v>
      </c>
      <c r="P334" s="10">
        <v>1635</v>
      </c>
      <c r="Q334" s="10">
        <v>231</v>
      </c>
      <c r="R334" s="10">
        <v>78</v>
      </c>
      <c r="S334" s="10">
        <v>54</v>
      </c>
      <c r="T334" s="10">
        <v>252</v>
      </c>
      <c r="U334" s="10">
        <v>10</v>
      </c>
      <c r="V334" s="10">
        <v>184</v>
      </c>
      <c r="W334" s="10">
        <v>0.17599999999999999</v>
      </c>
      <c r="X334" s="10">
        <v>133</v>
      </c>
      <c r="Y334" s="10">
        <v>132</v>
      </c>
      <c r="Z334" s="10">
        <v>118</v>
      </c>
      <c r="AA334" s="10">
        <v>4</v>
      </c>
      <c r="AB334" s="10">
        <v>10.5</v>
      </c>
      <c r="AC334" s="9" t="s">
        <v>185</v>
      </c>
      <c r="AD334" s="9" t="s">
        <v>198</v>
      </c>
      <c r="AE334" s="10"/>
      <c r="AF334" s="10"/>
      <c r="AG334" s="10"/>
    </row>
    <row r="335" spans="1:33">
      <c r="A335" s="7" t="s">
        <v>155</v>
      </c>
      <c r="B335" s="8" t="s">
        <v>317</v>
      </c>
      <c r="C335" s="9" t="s">
        <v>449</v>
      </c>
      <c r="D335" s="10">
        <v>157</v>
      </c>
      <c r="E335" s="9" t="s">
        <v>158</v>
      </c>
      <c r="F335" s="10">
        <v>157</v>
      </c>
      <c r="G335" s="10">
        <v>154.69999999999999</v>
      </c>
      <c r="H335" s="10">
        <v>118</v>
      </c>
      <c r="I335" s="10">
        <v>128</v>
      </c>
      <c r="J335" s="10">
        <v>124</v>
      </c>
      <c r="K335" s="10">
        <v>93</v>
      </c>
      <c r="L335" s="10">
        <v>108</v>
      </c>
      <c r="M335" s="10">
        <v>17.7</v>
      </c>
      <c r="N335" s="10">
        <v>1072</v>
      </c>
      <c r="O335" s="10">
        <v>1.46</v>
      </c>
      <c r="P335" s="10">
        <v>1566</v>
      </c>
      <c r="Q335" s="10">
        <v>159</v>
      </c>
      <c r="R335" s="10">
        <v>62</v>
      </c>
      <c r="S335" s="10">
        <v>57</v>
      </c>
      <c r="T335" s="10">
        <v>216</v>
      </c>
      <c r="U335" s="10">
        <v>8</v>
      </c>
      <c r="V335" s="10">
        <v>155</v>
      </c>
      <c r="W335" s="10">
        <v>0.14599999999999999</v>
      </c>
      <c r="X335" s="10">
        <v>132</v>
      </c>
      <c r="Y335" s="10">
        <v>132</v>
      </c>
      <c r="Z335" s="10">
        <v>85</v>
      </c>
      <c r="AA335" s="10">
        <v>5</v>
      </c>
      <c r="AB335" s="10">
        <v>10.199999999999999</v>
      </c>
      <c r="AC335" s="9" t="s">
        <v>185</v>
      </c>
      <c r="AD335" s="9" t="s">
        <v>198</v>
      </c>
      <c r="AE335" s="10"/>
      <c r="AF335" s="10"/>
      <c r="AG335" s="10"/>
    </row>
    <row r="336" spans="1:33">
      <c r="A336" s="7" t="s">
        <v>155</v>
      </c>
      <c r="B336" s="8" t="s">
        <v>317</v>
      </c>
      <c r="C336" s="9" t="s">
        <v>449</v>
      </c>
      <c r="D336" s="10">
        <v>164</v>
      </c>
      <c r="E336" s="9" t="s">
        <v>158</v>
      </c>
      <c r="F336" s="10">
        <v>164</v>
      </c>
      <c r="G336" s="10">
        <v>161.69999999999999</v>
      </c>
      <c r="H336" s="10">
        <v>115</v>
      </c>
      <c r="I336" s="10">
        <v>135</v>
      </c>
      <c r="J336" s="10">
        <v>124</v>
      </c>
      <c r="K336" s="10">
        <v>93</v>
      </c>
      <c r="L336" s="10">
        <v>108</v>
      </c>
      <c r="M336" s="10">
        <v>19.5</v>
      </c>
      <c r="N336" s="10">
        <v>1113</v>
      </c>
      <c r="O336" s="10">
        <v>1.47</v>
      </c>
      <c r="P336" s="10">
        <v>1639</v>
      </c>
      <c r="Q336" s="10">
        <v>186</v>
      </c>
      <c r="R336" s="10">
        <v>62</v>
      </c>
      <c r="S336" s="10">
        <v>58</v>
      </c>
      <c r="T336" s="10">
        <v>267</v>
      </c>
      <c r="U336" s="10">
        <v>11</v>
      </c>
      <c r="V336" s="10">
        <v>201</v>
      </c>
      <c r="W336" s="10">
        <v>0.19600000000000001</v>
      </c>
      <c r="X336" s="10">
        <v>142</v>
      </c>
      <c r="Y336" s="10">
        <v>120</v>
      </c>
      <c r="Z336" s="10">
        <v>125</v>
      </c>
      <c r="AA336" s="10">
        <v>3</v>
      </c>
      <c r="AB336" s="10">
        <v>10</v>
      </c>
      <c r="AC336" s="9" t="s">
        <v>185</v>
      </c>
      <c r="AD336" s="9" t="s">
        <v>198</v>
      </c>
      <c r="AE336" s="10"/>
      <c r="AF336" s="10"/>
      <c r="AG336" s="10"/>
    </row>
    <row r="337" spans="1:33">
      <c r="A337" s="7" t="s">
        <v>155</v>
      </c>
      <c r="B337" s="8" t="s">
        <v>317</v>
      </c>
      <c r="C337" s="9" t="s">
        <v>449</v>
      </c>
      <c r="D337" s="10">
        <v>171</v>
      </c>
      <c r="E337" s="9" t="s">
        <v>158</v>
      </c>
      <c r="F337" s="10">
        <v>171</v>
      </c>
      <c r="G337" s="10">
        <v>169</v>
      </c>
      <c r="H337" s="10">
        <v>120</v>
      </c>
      <c r="I337" s="10">
        <v>143</v>
      </c>
      <c r="J337" s="10">
        <v>124</v>
      </c>
      <c r="K337" s="10">
        <v>93</v>
      </c>
      <c r="L337" s="10">
        <v>107</v>
      </c>
      <c r="M337" s="10">
        <v>22</v>
      </c>
      <c r="N337" s="10">
        <v>1201</v>
      </c>
      <c r="O337" s="10">
        <v>1.42</v>
      </c>
      <c r="P337" s="10">
        <v>1709</v>
      </c>
      <c r="Q337" s="10">
        <v>207</v>
      </c>
      <c r="R337" s="10">
        <v>75</v>
      </c>
      <c r="S337" s="10">
        <v>55</v>
      </c>
      <c r="T337" s="10">
        <v>273</v>
      </c>
      <c r="U337" s="10">
        <v>11</v>
      </c>
      <c r="V337" s="10">
        <v>216</v>
      </c>
      <c r="W337" s="10">
        <v>0.191</v>
      </c>
      <c r="X337" s="10">
        <v>130</v>
      </c>
      <c r="Y337" s="10">
        <v>134</v>
      </c>
      <c r="Z337" s="10">
        <v>143</v>
      </c>
      <c r="AA337" s="10">
        <v>3</v>
      </c>
      <c r="AB337" s="10">
        <v>10.5</v>
      </c>
      <c r="AC337" s="9" t="s">
        <v>185</v>
      </c>
      <c r="AD337" s="9" t="s">
        <v>198</v>
      </c>
      <c r="AE337" s="10"/>
      <c r="AF337" s="10"/>
      <c r="AG337" s="10"/>
    </row>
    <row r="338" spans="1:33">
      <c r="A338" s="7" t="s">
        <v>155</v>
      </c>
      <c r="B338" s="8" t="s">
        <v>317</v>
      </c>
      <c r="C338" s="9" t="s">
        <v>449</v>
      </c>
      <c r="D338" s="10">
        <v>178</v>
      </c>
      <c r="E338" s="9" t="s">
        <v>158</v>
      </c>
      <c r="F338" s="10">
        <v>178</v>
      </c>
      <c r="G338" s="10">
        <v>176</v>
      </c>
      <c r="H338" s="10">
        <v>125</v>
      </c>
      <c r="I338" s="10">
        <v>149</v>
      </c>
      <c r="J338" s="10">
        <v>126</v>
      </c>
      <c r="K338" s="10">
        <v>93</v>
      </c>
      <c r="L338" s="10">
        <v>110</v>
      </c>
      <c r="M338" s="10">
        <v>22.1</v>
      </c>
      <c r="N338" s="10">
        <v>1284</v>
      </c>
      <c r="O338" s="10">
        <v>1.4</v>
      </c>
      <c r="P338" s="10">
        <v>1794</v>
      </c>
      <c r="Q338" s="10">
        <v>242</v>
      </c>
      <c r="R338" s="10">
        <v>84</v>
      </c>
      <c r="S338" s="10">
        <v>54</v>
      </c>
      <c r="T338" s="10">
        <v>304</v>
      </c>
      <c r="U338" s="10">
        <v>12</v>
      </c>
      <c r="V338" s="10">
        <v>210</v>
      </c>
      <c r="W338" s="10">
        <v>0.219</v>
      </c>
      <c r="X338" s="10">
        <v>138</v>
      </c>
      <c r="Y338" s="10">
        <v>129</v>
      </c>
      <c r="Z338" s="10">
        <v>166</v>
      </c>
      <c r="AA338" s="10">
        <v>3</v>
      </c>
      <c r="AB338" s="10">
        <v>10.5</v>
      </c>
      <c r="AC338" s="9" t="s">
        <v>185</v>
      </c>
      <c r="AD338" s="9" t="s">
        <v>198</v>
      </c>
      <c r="AE338" s="10"/>
      <c r="AF338" s="10"/>
      <c r="AG338" s="10"/>
    </row>
    <row r="339" spans="1:33">
      <c r="A339" s="7" t="s">
        <v>155</v>
      </c>
      <c r="B339" s="8" t="s">
        <v>317</v>
      </c>
      <c r="C339" s="9" t="s">
        <v>449</v>
      </c>
      <c r="D339" s="10">
        <v>185</v>
      </c>
      <c r="E339" s="9" t="s">
        <v>158</v>
      </c>
      <c r="F339" s="10">
        <v>185</v>
      </c>
      <c r="G339" s="10">
        <v>182.7</v>
      </c>
      <c r="H339" s="10">
        <v>141</v>
      </c>
      <c r="I339" s="10">
        <v>156</v>
      </c>
      <c r="J339" s="10">
        <v>127</v>
      </c>
      <c r="K339" s="10">
        <v>93</v>
      </c>
      <c r="L339" s="10">
        <v>110</v>
      </c>
      <c r="M339" s="10">
        <v>24</v>
      </c>
      <c r="N339" s="10">
        <v>1374</v>
      </c>
      <c r="O339" s="10">
        <v>1.36</v>
      </c>
      <c r="P339" s="10">
        <v>1865</v>
      </c>
      <c r="Q339" s="10">
        <v>275</v>
      </c>
      <c r="R339" s="10">
        <v>104</v>
      </c>
      <c r="S339" s="10">
        <v>56</v>
      </c>
      <c r="T339" s="10">
        <v>276</v>
      </c>
      <c r="U339" s="10">
        <v>9</v>
      </c>
      <c r="V339" s="10">
        <v>143</v>
      </c>
      <c r="W339" s="10">
        <v>0.16700000000000001</v>
      </c>
      <c r="X339" s="10">
        <v>134</v>
      </c>
      <c r="Y339" s="10">
        <v>137</v>
      </c>
      <c r="Z339" s="10">
        <v>142</v>
      </c>
      <c r="AA339" s="10">
        <v>4</v>
      </c>
      <c r="AB339" s="10">
        <v>10.8</v>
      </c>
      <c r="AC339" s="9" t="s">
        <v>185</v>
      </c>
      <c r="AD339" s="9" t="s">
        <v>198</v>
      </c>
      <c r="AE339" s="10"/>
      <c r="AF339" s="10"/>
      <c r="AG339" s="10"/>
    </row>
    <row r="340" spans="1:33">
      <c r="A340" s="7" t="s">
        <v>155</v>
      </c>
      <c r="B340" s="8" t="s">
        <v>218</v>
      </c>
      <c r="C340" s="9" t="s">
        <v>398</v>
      </c>
      <c r="D340" s="10">
        <v>168</v>
      </c>
      <c r="E340" s="9" t="s">
        <v>158</v>
      </c>
      <c r="F340" s="10">
        <v>168</v>
      </c>
      <c r="G340" s="10">
        <v>167.4</v>
      </c>
      <c r="H340" s="10">
        <v>108</v>
      </c>
      <c r="I340" s="10">
        <v>133</v>
      </c>
      <c r="J340" s="10">
        <v>128</v>
      </c>
      <c r="K340" s="10">
        <v>103</v>
      </c>
      <c r="L340" s="10">
        <v>117</v>
      </c>
      <c r="M340" s="10">
        <v>18.2</v>
      </c>
      <c r="N340" s="10">
        <v>1615</v>
      </c>
      <c r="O340" s="10">
        <v>1.1499999999999999</v>
      </c>
      <c r="P340" s="10">
        <v>1863</v>
      </c>
      <c r="Q340" s="10">
        <v>173</v>
      </c>
      <c r="R340" s="10">
        <v>79</v>
      </c>
      <c r="S340" s="10">
        <v>50</v>
      </c>
      <c r="T340" s="10">
        <v>313</v>
      </c>
      <c r="U340" s="10">
        <v>33</v>
      </c>
      <c r="V340" s="10">
        <v>278</v>
      </c>
      <c r="W340" s="10">
        <v>0.66100000000000003</v>
      </c>
      <c r="X340" s="10">
        <v>198</v>
      </c>
      <c r="Y340" s="10">
        <v>147</v>
      </c>
      <c r="Z340" s="10">
        <v>115</v>
      </c>
      <c r="AA340" s="10">
        <v>5</v>
      </c>
      <c r="AB340" s="10">
        <v>6.5</v>
      </c>
      <c r="AC340" s="9" t="s">
        <v>188</v>
      </c>
      <c r="AD340" s="9" t="s">
        <v>169</v>
      </c>
      <c r="AE340" s="9" t="s">
        <v>185</v>
      </c>
      <c r="AF340" s="10"/>
      <c r="AG340" s="10"/>
    </row>
    <row r="341" spans="1:33">
      <c r="A341" s="7" t="s">
        <v>155</v>
      </c>
      <c r="B341" s="8" t="s">
        <v>218</v>
      </c>
      <c r="C341" s="9" t="s">
        <v>398</v>
      </c>
      <c r="D341" s="10">
        <v>176</v>
      </c>
      <c r="E341" s="9" t="s">
        <v>158</v>
      </c>
      <c r="F341" s="10">
        <v>176</v>
      </c>
      <c r="G341" s="10">
        <v>175.1</v>
      </c>
      <c r="H341" s="10">
        <v>117</v>
      </c>
      <c r="I341" s="10">
        <v>140</v>
      </c>
      <c r="J341" s="10">
        <v>131</v>
      </c>
      <c r="K341" s="10">
        <v>103</v>
      </c>
      <c r="L341" s="10">
        <v>120</v>
      </c>
      <c r="M341" s="10">
        <v>18.3</v>
      </c>
      <c r="N341" s="10">
        <v>1804</v>
      </c>
      <c r="O341" s="10">
        <v>1.0900000000000001</v>
      </c>
      <c r="P341" s="10">
        <v>1972</v>
      </c>
      <c r="Q341" s="10">
        <v>210</v>
      </c>
      <c r="R341" s="10">
        <v>95</v>
      </c>
      <c r="S341" s="10">
        <v>48</v>
      </c>
      <c r="T341" s="10">
        <v>298</v>
      </c>
      <c r="U341" s="10">
        <v>37</v>
      </c>
      <c r="V341" s="10">
        <v>280</v>
      </c>
      <c r="W341" s="10">
        <v>0.77700000000000002</v>
      </c>
      <c r="X341" s="10">
        <v>184</v>
      </c>
      <c r="Y341" s="10">
        <v>167</v>
      </c>
      <c r="Z341" s="10">
        <v>114</v>
      </c>
      <c r="AA341" s="10">
        <v>7</v>
      </c>
      <c r="AB341" s="10">
        <v>6.3</v>
      </c>
      <c r="AC341" s="9" t="s">
        <v>188</v>
      </c>
      <c r="AD341" s="9" t="s">
        <v>169</v>
      </c>
      <c r="AE341" s="9" t="s">
        <v>185</v>
      </c>
      <c r="AF341" s="10"/>
      <c r="AG341" s="10"/>
    </row>
    <row r="342" spans="1:33">
      <c r="A342" s="7" t="s">
        <v>155</v>
      </c>
      <c r="B342" s="8" t="s">
        <v>218</v>
      </c>
      <c r="C342" s="9" t="s">
        <v>398</v>
      </c>
      <c r="D342" s="10">
        <v>184</v>
      </c>
      <c r="E342" s="9" t="s">
        <v>158</v>
      </c>
      <c r="F342" s="10">
        <v>184</v>
      </c>
      <c r="G342" s="10">
        <v>182.8</v>
      </c>
      <c r="H342" s="10">
        <v>121</v>
      </c>
      <c r="I342" s="10">
        <v>149</v>
      </c>
      <c r="J342" s="10">
        <v>132</v>
      </c>
      <c r="K342" s="10">
        <v>103</v>
      </c>
      <c r="L342" s="10">
        <v>121</v>
      </c>
      <c r="M342" s="10">
        <v>18.5</v>
      </c>
      <c r="N342" s="10">
        <v>2074</v>
      </c>
      <c r="O342" s="10">
        <v>1</v>
      </c>
      <c r="P342" s="10">
        <v>2076</v>
      </c>
      <c r="Q342" s="10">
        <v>264</v>
      </c>
      <c r="R342" s="10">
        <v>120</v>
      </c>
      <c r="S342" s="10">
        <v>53</v>
      </c>
      <c r="T342" s="10">
        <v>331</v>
      </c>
      <c r="U342" s="10">
        <v>39</v>
      </c>
      <c r="V342" s="10">
        <v>290</v>
      </c>
      <c r="W342" s="10">
        <v>0.73799999999999999</v>
      </c>
      <c r="X342" s="10">
        <v>204</v>
      </c>
      <c r="Y342" s="10">
        <v>137</v>
      </c>
      <c r="Z342" s="10">
        <v>128</v>
      </c>
      <c r="AA342" s="10">
        <v>7</v>
      </c>
      <c r="AB342" s="10">
        <v>6.9</v>
      </c>
      <c r="AC342" s="9" t="s">
        <v>188</v>
      </c>
      <c r="AD342" s="9" t="s">
        <v>169</v>
      </c>
      <c r="AE342" s="10"/>
      <c r="AF342" s="10"/>
      <c r="AG342" s="10"/>
    </row>
    <row r="343" spans="1:33">
      <c r="A343" s="7" t="s">
        <v>155</v>
      </c>
      <c r="B343" s="8" t="s">
        <v>218</v>
      </c>
      <c r="C343" s="9" t="s">
        <v>398</v>
      </c>
      <c r="D343" s="10">
        <v>189</v>
      </c>
      <c r="E343" s="9" t="s">
        <v>158</v>
      </c>
      <c r="F343" s="10">
        <v>189</v>
      </c>
      <c r="G343" s="10">
        <v>187.4</v>
      </c>
      <c r="H343" s="10">
        <v>120</v>
      </c>
      <c r="I343" s="10">
        <v>145</v>
      </c>
      <c r="J343" s="10">
        <v>134</v>
      </c>
      <c r="K343" s="10">
        <v>102</v>
      </c>
      <c r="L343" s="10">
        <v>122</v>
      </c>
      <c r="M343" s="10">
        <v>18.100000000000001</v>
      </c>
      <c r="N343" s="10">
        <v>2041</v>
      </c>
      <c r="O343" s="10">
        <v>1.04</v>
      </c>
      <c r="P343" s="10">
        <v>2132</v>
      </c>
      <c r="Q343" s="10">
        <v>250</v>
      </c>
      <c r="R343" s="10">
        <v>115</v>
      </c>
      <c r="S343" s="10">
        <v>61</v>
      </c>
      <c r="T343" s="10">
        <v>350</v>
      </c>
      <c r="U343" s="10">
        <v>45</v>
      </c>
      <c r="V343" s="10">
        <v>327</v>
      </c>
      <c r="W343" s="10">
        <v>0.74099999999999999</v>
      </c>
      <c r="X343" s="10">
        <v>243</v>
      </c>
      <c r="Y343" s="10">
        <v>180</v>
      </c>
      <c r="Z343" s="10">
        <v>107</v>
      </c>
      <c r="AA343" s="10">
        <v>4</v>
      </c>
      <c r="AB343" s="10">
        <v>7.2</v>
      </c>
      <c r="AC343" s="9" t="s">
        <v>188</v>
      </c>
      <c r="AD343" s="9" t="s">
        <v>169</v>
      </c>
      <c r="AE343" s="10"/>
      <c r="AF343" s="10"/>
      <c r="AG343" s="10"/>
    </row>
    <row r="344" spans="1:33">
      <c r="A344" s="7" t="s">
        <v>155</v>
      </c>
      <c r="B344" s="8" t="s">
        <v>218</v>
      </c>
      <c r="C344" s="9" t="s">
        <v>350</v>
      </c>
      <c r="D344" s="10">
        <v>171</v>
      </c>
      <c r="E344" s="9" t="s">
        <v>158</v>
      </c>
      <c r="F344" s="10">
        <v>171</v>
      </c>
      <c r="G344" s="10">
        <v>169.1</v>
      </c>
      <c r="H344" s="10">
        <v>112</v>
      </c>
      <c r="I344" s="10">
        <v>124</v>
      </c>
      <c r="J344" s="10">
        <v>129</v>
      </c>
      <c r="K344" s="10">
        <v>100</v>
      </c>
      <c r="L344" s="10">
        <v>115</v>
      </c>
      <c r="M344" s="10">
        <v>15</v>
      </c>
      <c r="N344" s="10">
        <v>1718</v>
      </c>
      <c r="O344" s="10">
        <v>1.08</v>
      </c>
      <c r="P344" s="10">
        <v>1858</v>
      </c>
      <c r="Q344" s="10">
        <v>192</v>
      </c>
      <c r="R344" s="10">
        <v>99</v>
      </c>
      <c r="S344" s="10">
        <v>56</v>
      </c>
      <c r="T344" s="10">
        <v>335</v>
      </c>
      <c r="U344" s="10">
        <v>26</v>
      </c>
      <c r="V344" s="10">
        <v>233</v>
      </c>
      <c r="W344" s="10">
        <v>0.45600000000000002</v>
      </c>
      <c r="X344" s="10">
        <v>237</v>
      </c>
      <c r="Y344" s="10">
        <v>211</v>
      </c>
      <c r="Z344" s="10">
        <v>98</v>
      </c>
      <c r="AA344" s="10">
        <v>8</v>
      </c>
      <c r="AB344" s="10">
        <v>12.4</v>
      </c>
      <c r="AC344" s="9" t="s">
        <v>188</v>
      </c>
      <c r="AD344" s="9" t="s">
        <v>185</v>
      </c>
      <c r="AE344" s="10"/>
      <c r="AF344" s="10"/>
      <c r="AG344" s="10"/>
    </row>
    <row r="345" spans="1:33">
      <c r="A345" s="7" t="s">
        <v>155</v>
      </c>
      <c r="B345" s="8" t="s">
        <v>218</v>
      </c>
      <c r="C345" s="9" t="s">
        <v>250</v>
      </c>
      <c r="D345" s="10">
        <v>155</v>
      </c>
      <c r="E345" s="9" t="s">
        <v>158</v>
      </c>
      <c r="F345" s="10">
        <v>155</v>
      </c>
      <c r="G345" s="10">
        <v>154</v>
      </c>
      <c r="H345" s="10">
        <v>107</v>
      </c>
      <c r="I345" s="10">
        <v>119</v>
      </c>
      <c r="J345" s="10">
        <v>129</v>
      </c>
      <c r="K345" s="10">
        <v>106</v>
      </c>
      <c r="L345" s="10">
        <v>116</v>
      </c>
      <c r="M345" s="10">
        <v>19.3</v>
      </c>
      <c r="N345" s="10">
        <v>1590</v>
      </c>
      <c r="O345" s="10">
        <v>1.0900000000000001</v>
      </c>
      <c r="P345" s="10">
        <v>1730</v>
      </c>
      <c r="Q345" s="10">
        <v>187</v>
      </c>
      <c r="R345" s="10">
        <v>95</v>
      </c>
      <c r="S345" s="10">
        <v>39</v>
      </c>
      <c r="T345" s="10">
        <v>261</v>
      </c>
      <c r="U345" s="10">
        <v>19</v>
      </c>
      <c r="V345" s="10">
        <v>204</v>
      </c>
      <c r="W345" s="10">
        <v>0.49</v>
      </c>
      <c r="X345" s="10">
        <v>188</v>
      </c>
      <c r="Y345" s="10">
        <v>165</v>
      </c>
      <c r="Z345" s="10">
        <v>73</v>
      </c>
      <c r="AA345" s="10">
        <v>5</v>
      </c>
      <c r="AB345" s="10">
        <v>11.5</v>
      </c>
      <c r="AC345" s="9" t="s">
        <v>169</v>
      </c>
      <c r="AD345" s="9" t="s">
        <v>185</v>
      </c>
      <c r="AE345" s="10"/>
      <c r="AF345" s="10"/>
      <c r="AG345" s="10"/>
    </row>
    <row r="346" spans="1:33">
      <c r="A346" s="7" t="s">
        <v>155</v>
      </c>
      <c r="B346" s="8" t="s">
        <v>218</v>
      </c>
      <c r="C346" s="9" t="s">
        <v>250</v>
      </c>
      <c r="D346" s="10">
        <v>163</v>
      </c>
      <c r="E346" s="9" t="s">
        <v>158</v>
      </c>
      <c r="F346" s="10">
        <v>163</v>
      </c>
      <c r="G346" s="10">
        <v>162</v>
      </c>
      <c r="H346" s="10">
        <v>113</v>
      </c>
      <c r="I346" s="10">
        <v>126</v>
      </c>
      <c r="J346" s="10">
        <v>131</v>
      </c>
      <c r="K346" s="10">
        <v>105</v>
      </c>
      <c r="L346" s="10">
        <v>117</v>
      </c>
      <c r="M346" s="10">
        <v>19.2</v>
      </c>
      <c r="N346" s="10">
        <v>1720</v>
      </c>
      <c r="O346" s="10">
        <v>1.06</v>
      </c>
      <c r="P346" s="10">
        <v>1832</v>
      </c>
      <c r="Q346" s="10">
        <v>212</v>
      </c>
      <c r="R346" s="10">
        <v>109</v>
      </c>
      <c r="S346" s="10">
        <v>43</v>
      </c>
      <c r="T346" s="10">
        <v>278</v>
      </c>
      <c r="U346" s="10">
        <v>20</v>
      </c>
      <c r="V346" s="10">
        <v>214</v>
      </c>
      <c r="W346" s="10">
        <v>0.46300000000000002</v>
      </c>
      <c r="X346" s="10">
        <v>192</v>
      </c>
      <c r="Y346" s="10">
        <v>173</v>
      </c>
      <c r="Z346" s="10">
        <v>86</v>
      </c>
      <c r="AA346" s="10">
        <v>6</v>
      </c>
      <c r="AB346" s="10">
        <v>9.5</v>
      </c>
      <c r="AC346" s="9" t="s">
        <v>169</v>
      </c>
      <c r="AD346" s="9" t="s">
        <v>185</v>
      </c>
      <c r="AE346" s="10"/>
      <c r="AF346" s="10"/>
      <c r="AG346" s="10"/>
    </row>
    <row r="347" spans="1:33">
      <c r="A347" s="7" t="s">
        <v>155</v>
      </c>
      <c r="B347" s="8" t="s">
        <v>218</v>
      </c>
      <c r="C347" s="9" t="s">
        <v>250</v>
      </c>
      <c r="D347" s="10">
        <v>171</v>
      </c>
      <c r="E347" s="9" t="s">
        <v>158</v>
      </c>
      <c r="F347" s="10">
        <v>171</v>
      </c>
      <c r="G347" s="10">
        <v>169.4</v>
      </c>
      <c r="H347" s="10">
        <v>123</v>
      </c>
      <c r="I347" s="10">
        <v>131</v>
      </c>
      <c r="J347" s="10">
        <v>134</v>
      </c>
      <c r="K347" s="10">
        <v>106</v>
      </c>
      <c r="L347" s="10">
        <v>119</v>
      </c>
      <c r="M347" s="10">
        <v>19</v>
      </c>
      <c r="N347" s="10">
        <v>1843</v>
      </c>
      <c r="O347" s="10">
        <v>1.05</v>
      </c>
      <c r="P347" s="10">
        <v>1938</v>
      </c>
      <c r="Q347" s="10">
        <v>209</v>
      </c>
      <c r="R347" s="10">
        <v>116</v>
      </c>
      <c r="S347" s="10">
        <v>34</v>
      </c>
      <c r="T347" s="10">
        <v>261</v>
      </c>
      <c r="U347" s="10">
        <v>21</v>
      </c>
      <c r="V347" s="10">
        <v>203</v>
      </c>
      <c r="W347" s="10">
        <v>0.60699999999999998</v>
      </c>
      <c r="X347" s="10">
        <v>199</v>
      </c>
      <c r="Y347" s="10">
        <v>188</v>
      </c>
      <c r="Z347" s="10">
        <v>62</v>
      </c>
      <c r="AA347" s="10">
        <v>9</v>
      </c>
      <c r="AB347" s="10">
        <v>10.6</v>
      </c>
      <c r="AC347" s="9" t="s">
        <v>169</v>
      </c>
      <c r="AD347" s="9" t="s">
        <v>185</v>
      </c>
      <c r="AE347" s="10"/>
      <c r="AF347" s="10"/>
      <c r="AG347" s="10"/>
    </row>
    <row r="348" spans="1:33">
      <c r="A348" s="7" t="s">
        <v>155</v>
      </c>
      <c r="B348" s="8" t="s">
        <v>218</v>
      </c>
      <c r="C348" s="9" t="s">
        <v>250</v>
      </c>
      <c r="D348" s="10">
        <v>179</v>
      </c>
      <c r="E348" s="9" t="s">
        <v>158</v>
      </c>
      <c r="F348" s="10">
        <v>179</v>
      </c>
      <c r="G348" s="10">
        <v>177.3</v>
      </c>
      <c r="H348" s="10">
        <v>127</v>
      </c>
      <c r="I348" s="10">
        <v>138</v>
      </c>
      <c r="J348" s="10">
        <v>137</v>
      </c>
      <c r="K348" s="10">
        <v>106</v>
      </c>
      <c r="L348" s="10">
        <v>121</v>
      </c>
      <c r="M348" s="10">
        <v>19</v>
      </c>
      <c r="N348" s="10">
        <v>2005</v>
      </c>
      <c r="O348" s="10">
        <v>1.02</v>
      </c>
      <c r="P348" s="10">
        <v>2052</v>
      </c>
      <c r="Q348" s="10">
        <v>264</v>
      </c>
      <c r="R348" s="10">
        <v>137</v>
      </c>
      <c r="S348" s="10">
        <v>47</v>
      </c>
      <c r="T348" s="10">
        <v>287</v>
      </c>
      <c r="U348" s="10">
        <v>23</v>
      </c>
      <c r="V348" s="10">
        <v>220</v>
      </c>
      <c r="W348" s="10">
        <v>0.499</v>
      </c>
      <c r="X348" s="10">
        <v>202</v>
      </c>
      <c r="Y348" s="10">
        <v>188</v>
      </c>
      <c r="Z348" s="10">
        <v>86</v>
      </c>
      <c r="AA348" s="10">
        <v>9</v>
      </c>
      <c r="AB348" s="10">
        <v>11.8</v>
      </c>
      <c r="AC348" s="9" t="s">
        <v>169</v>
      </c>
      <c r="AD348" s="10"/>
      <c r="AE348" s="10"/>
      <c r="AF348" s="10"/>
      <c r="AG348" s="10"/>
    </row>
    <row r="349" spans="1:33">
      <c r="A349" s="7" t="s">
        <v>155</v>
      </c>
      <c r="B349" s="8" t="s">
        <v>218</v>
      </c>
      <c r="C349" s="9" t="s">
        <v>250</v>
      </c>
      <c r="D349" s="10">
        <v>184</v>
      </c>
      <c r="E349" s="9" t="s">
        <v>158</v>
      </c>
      <c r="F349" s="10">
        <v>184</v>
      </c>
      <c r="G349" s="10">
        <v>183.7</v>
      </c>
      <c r="H349" s="10">
        <v>126</v>
      </c>
      <c r="I349" s="10">
        <v>143</v>
      </c>
      <c r="J349" s="10">
        <v>138</v>
      </c>
      <c r="K349" s="10">
        <v>106</v>
      </c>
      <c r="L349" s="10">
        <v>121</v>
      </c>
      <c r="M349" s="10">
        <v>19.100000000000001</v>
      </c>
      <c r="N349" s="10">
        <v>2040</v>
      </c>
      <c r="O349" s="10">
        <v>1.04</v>
      </c>
      <c r="P349" s="10">
        <v>2125</v>
      </c>
      <c r="Q349" s="10">
        <v>254</v>
      </c>
      <c r="R349" s="10">
        <v>139</v>
      </c>
      <c r="S349" s="10">
        <v>54</v>
      </c>
      <c r="T349" s="10">
        <v>330</v>
      </c>
      <c r="U349" s="10">
        <v>27</v>
      </c>
      <c r="V349" s="10">
        <v>248</v>
      </c>
      <c r="W349" s="10">
        <v>0.501</v>
      </c>
      <c r="X349" s="10">
        <v>214</v>
      </c>
      <c r="Y349" s="10">
        <v>196</v>
      </c>
      <c r="Z349" s="10">
        <v>116</v>
      </c>
      <c r="AA349" s="10">
        <v>9</v>
      </c>
      <c r="AB349" s="10">
        <v>10.8</v>
      </c>
      <c r="AC349" s="9" t="s">
        <v>169</v>
      </c>
      <c r="AD349" s="10"/>
      <c r="AE349" s="10"/>
      <c r="AF349" s="10"/>
      <c r="AG349" s="10"/>
    </row>
    <row r="350" spans="1:33">
      <c r="A350" s="7" t="s">
        <v>155</v>
      </c>
      <c r="B350" s="8" t="s">
        <v>218</v>
      </c>
      <c r="C350" s="9" t="s">
        <v>273</v>
      </c>
      <c r="D350" s="10">
        <v>168</v>
      </c>
      <c r="E350" s="9" t="s">
        <v>158</v>
      </c>
      <c r="F350" s="10">
        <v>168</v>
      </c>
      <c r="G350" s="10">
        <v>166.6</v>
      </c>
      <c r="H350" s="10">
        <v>98</v>
      </c>
      <c r="I350" s="10">
        <v>112</v>
      </c>
      <c r="J350" s="10">
        <v>136</v>
      </c>
      <c r="K350" s="10">
        <v>112</v>
      </c>
      <c r="L350" s="10">
        <v>124</v>
      </c>
      <c r="M350" s="10">
        <v>15.2</v>
      </c>
      <c r="N350" s="10">
        <v>1732</v>
      </c>
      <c r="O350" s="10">
        <v>1.1499999999999999</v>
      </c>
      <c r="P350" s="10">
        <v>1985</v>
      </c>
      <c r="Q350" s="10">
        <v>154</v>
      </c>
      <c r="R350" s="10">
        <v>96</v>
      </c>
      <c r="S350" s="10">
        <v>59</v>
      </c>
      <c r="T350" s="10">
        <v>395</v>
      </c>
      <c r="U350" s="10">
        <v>32</v>
      </c>
      <c r="V350" s="10">
        <v>287</v>
      </c>
      <c r="W350" s="10">
        <v>0.54300000000000004</v>
      </c>
      <c r="X350" s="10">
        <v>306</v>
      </c>
      <c r="Y350" s="10">
        <v>243</v>
      </c>
      <c r="Z350" s="10">
        <v>89</v>
      </c>
      <c r="AA350" s="10">
        <v>6</v>
      </c>
      <c r="AB350" s="10">
        <v>14</v>
      </c>
      <c r="AC350" s="9" t="s">
        <v>169</v>
      </c>
      <c r="AD350" s="9" t="s">
        <v>185</v>
      </c>
      <c r="AE350" s="10"/>
      <c r="AF350" s="10"/>
      <c r="AG350" s="10"/>
    </row>
    <row r="351" spans="1:33">
      <c r="A351" s="7" t="s">
        <v>155</v>
      </c>
      <c r="B351" s="8" t="s">
        <v>218</v>
      </c>
      <c r="C351" s="9" t="s">
        <v>273</v>
      </c>
      <c r="D351" s="10">
        <v>178</v>
      </c>
      <c r="E351" s="9" t="s">
        <v>158</v>
      </c>
      <c r="F351" s="10">
        <v>178</v>
      </c>
      <c r="G351" s="10">
        <v>176.7</v>
      </c>
      <c r="H351" s="10">
        <v>105</v>
      </c>
      <c r="I351" s="10">
        <v>124</v>
      </c>
      <c r="J351" s="10">
        <v>138</v>
      </c>
      <c r="K351" s="10">
        <v>112</v>
      </c>
      <c r="L351" s="10">
        <v>126</v>
      </c>
      <c r="M351" s="10">
        <v>15.7</v>
      </c>
      <c r="N351" s="10">
        <v>1887</v>
      </c>
      <c r="O351" s="10">
        <v>1.1299999999999999</v>
      </c>
      <c r="P351" s="10">
        <v>2127</v>
      </c>
      <c r="Q351" s="10">
        <v>187</v>
      </c>
      <c r="R351" s="10">
        <v>110</v>
      </c>
      <c r="S351" s="10">
        <v>63</v>
      </c>
      <c r="T351" s="10">
        <v>411</v>
      </c>
      <c r="U351" s="10">
        <v>34</v>
      </c>
      <c r="V351" s="10">
        <v>303</v>
      </c>
      <c r="W351" s="10">
        <v>0.54200000000000004</v>
      </c>
      <c r="X351" s="10">
        <v>322</v>
      </c>
      <c r="Y351" s="10">
        <v>201</v>
      </c>
      <c r="Z351" s="10">
        <v>89</v>
      </c>
      <c r="AA351" s="10">
        <v>6</v>
      </c>
      <c r="AB351" s="10">
        <v>14.8</v>
      </c>
      <c r="AC351" s="9" t="s">
        <v>169</v>
      </c>
      <c r="AD351" s="9" t="s">
        <v>185</v>
      </c>
      <c r="AE351" s="10"/>
      <c r="AF351" s="10"/>
      <c r="AG351" s="10"/>
    </row>
    <row r="352" spans="1:33">
      <c r="A352" s="7" t="s">
        <v>155</v>
      </c>
      <c r="B352" s="8" t="s">
        <v>218</v>
      </c>
      <c r="C352" s="9" t="s">
        <v>273</v>
      </c>
      <c r="D352" s="10">
        <v>184</v>
      </c>
      <c r="E352" s="9" t="s">
        <v>158</v>
      </c>
      <c r="F352" s="10">
        <v>184</v>
      </c>
      <c r="G352" s="10">
        <v>182.6</v>
      </c>
      <c r="H352" s="10">
        <v>109</v>
      </c>
      <c r="I352" s="10">
        <v>125</v>
      </c>
      <c r="J352" s="10">
        <v>140</v>
      </c>
      <c r="K352" s="10">
        <v>112</v>
      </c>
      <c r="L352" s="10">
        <v>127</v>
      </c>
      <c r="M352" s="10">
        <v>15.5</v>
      </c>
      <c r="N352" s="10">
        <v>2062</v>
      </c>
      <c r="O352" s="10">
        <v>1.07</v>
      </c>
      <c r="P352" s="10">
        <v>2207</v>
      </c>
      <c r="Q352" s="10">
        <v>267</v>
      </c>
      <c r="R352" s="10">
        <v>128</v>
      </c>
      <c r="S352" s="10">
        <v>77</v>
      </c>
      <c r="T352" s="10">
        <v>424</v>
      </c>
      <c r="U352" s="10">
        <v>34</v>
      </c>
      <c r="V352" s="10">
        <v>316</v>
      </c>
      <c r="W352" s="10">
        <v>0.44400000000000001</v>
      </c>
      <c r="X352" s="10">
        <v>310</v>
      </c>
      <c r="Y352" s="10">
        <v>270</v>
      </c>
      <c r="Z352" s="10">
        <v>114</v>
      </c>
      <c r="AA352" s="10">
        <v>4</v>
      </c>
      <c r="AB352" s="10">
        <v>13.5</v>
      </c>
      <c r="AC352" s="9" t="s">
        <v>169</v>
      </c>
      <c r="AD352" s="9" t="s">
        <v>185</v>
      </c>
      <c r="AE352" s="10"/>
      <c r="AF352" s="10"/>
      <c r="AG352" s="10"/>
    </row>
    <row r="353" spans="1:33">
      <c r="A353" s="7" t="s">
        <v>155</v>
      </c>
      <c r="B353" s="8" t="s">
        <v>218</v>
      </c>
      <c r="C353" s="9" t="s">
        <v>273</v>
      </c>
      <c r="D353" s="10">
        <v>189</v>
      </c>
      <c r="E353" s="9" t="s">
        <v>158</v>
      </c>
      <c r="F353" s="10">
        <v>189</v>
      </c>
      <c r="G353" s="10">
        <v>187.8</v>
      </c>
      <c r="H353" s="10">
        <v>121</v>
      </c>
      <c r="I353" s="10">
        <v>131</v>
      </c>
      <c r="J353" s="10">
        <v>141</v>
      </c>
      <c r="K353" s="10">
        <v>111</v>
      </c>
      <c r="L353" s="10">
        <v>127</v>
      </c>
      <c r="M353" s="10">
        <v>15.3</v>
      </c>
      <c r="N353" s="10">
        <v>2131</v>
      </c>
      <c r="O353" s="10">
        <v>1.07</v>
      </c>
      <c r="P353" s="10">
        <v>2278</v>
      </c>
      <c r="Q353" s="10">
        <v>315</v>
      </c>
      <c r="R353" s="10">
        <v>138</v>
      </c>
      <c r="S353" s="10">
        <v>67</v>
      </c>
      <c r="T353" s="10">
        <v>392</v>
      </c>
      <c r="U353" s="10">
        <v>28</v>
      </c>
      <c r="V353" s="10">
        <v>279</v>
      </c>
      <c r="W353" s="10">
        <v>0.42</v>
      </c>
      <c r="X353" s="10">
        <v>292</v>
      </c>
      <c r="Y353" s="10">
        <v>279</v>
      </c>
      <c r="Z353" s="10">
        <v>100</v>
      </c>
      <c r="AA353" s="10">
        <v>7</v>
      </c>
      <c r="AB353" s="10">
        <v>12.6</v>
      </c>
      <c r="AC353" s="9" t="s">
        <v>169</v>
      </c>
      <c r="AD353" s="9" t="s">
        <v>185</v>
      </c>
      <c r="AE353" s="10"/>
      <c r="AF353" s="10"/>
      <c r="AG353" s="10"/>
    </row>
    <row r="354" spans="1:33">
      <c r="A354" s="7" t="s">
        <v>155</v>
      </c>
      <c r="B354" s="8" t="s">
        <v>218</v>
      </c>
      <c r="C354" s="9" t="s">
        <v>254</v>
      </c>
      <c r="D354" s="10">
        <v>157</v>
      </c>
      <c r="E354" s="9" t="s">
        <v>158</v>
      </c>
      <c r="F354" s="10">
        <v>157</v>
      </c>
      <c r="G354" s="10">
        <v>156.80000000000001</v>
      </c>
      <c r="H354" s="10">
        <v>118</v>
      </c>
      <c r="I354" s="10">
        <v>121</v>
      </c>
      <c r="J354" s="10">
        <v>125</v>
      </c>
      <c r="K354" s="10">
        <v>100</v>
      </c>
      <c r="L354" s="10">
        <v>111</v>
      </c>
      <c r="M354" s="10">
        <v>18.8</v>
      </c>
      <c r="N354" s="10">
        <v>1559</v>
      </c>
      <c r="O354" s="10">
        <v>1.08</v>
      </c>
      <c r="P354" s="10">
        <v>1683</v>
      </c>
      <c r="Q354" s="10">
        <v>175</v>
      </c>
      <c r="R354" s="10">
        <v>104</v>
      </c>
      <c r="S354" s="10">
        <v>35</v>
      </c>
      <c r="T354" s="10">
        <v>223</v>
      </c>
      <c r="U354" s="10">
        <v>18</v>
      </c>
      <c r="V354" s="10">
        <v>169</v>
      </c>
      <c r="W354" s="10">
        <v>0.50800000000000001</v>
      </c>
      <c r="X354" s="10">
        <v>170</v>
      </c>
      <c r="Y354" s="10">
        <v>184</v>
      </c>
      <c r="Z354" s="10">
        <v>53</v>
      </c>
      <c r="AA354" s="10">
        <v>7</v>
      </c>
      <c r="AB354" s="10">
        <v>10.199999999999999</v>
      </c>
      <c r="AC354" s="9" t="s">
        <v>188</v>
      </c>
      <c r="AD354" s="9" t="s">
        <v>185</v>
      </c>
      <c r="AE354" s="10"/>
      <c r="AF354" s="10"/>
      <c r="AG354" s="10"/>
    </row>
    <row r="355" spans="1:33">
      <c r="A355" s="7" t="s">
        <v>155</v>
      </c>
      <c r="B355" s="8" t="s">
        <v>218</v>
      </c>
      <c r="C355" s="9" t="s">
        <v>254</v>
      </c>
      <c r="D355" s="10">
        <v>165</v>
      </c>
      <c r="E355" s="9" t="s">
        <v>158</v>
      </c>
      <c r="F355" s="10">
        <v>165</v>
      </c>
      <c r="G355" s="10">
        <v>164.5</v>
      </c>
      <c r="H355" s="10">
        <v>123</v>
      </c>
      <c r="I355" s="10">
        <v>128</v>
      </c>
      <c r="J355" s="10">
        <v>127</v>
      </c>
      <c r="K355" s="10">
        <v>100</v>
      </c>
      <c r="L355" s="10">
        <v>112</v>
      </c>
      <c r="M355" s="10">
        <v>18.899999999999999</v>
      </c>
      <c r="N355" s="10">
        <v>1732</v>
      </c>
      <c r="O355" s="10">
        <v>1.03</v>
      </c>
      <c r="P355" s="10">
        <v>1777</v>
      </c>
      <c r="Q355" s="10">
        <v>183</v>
      </c>
      <c r="R355" s="10">
        <v>117</v>
      </c>
      <c r="S355" s="10">
        <v>39</v>
      </c>
      <c r="T355" s="10">
        <v>238</v>
      </c>
      <c r="U355" s="10">
        <v>19</v>
      </c>
      <c r="V355" s="10">
        <v>180</v>
      </c>
      <c r="W355" s="10">
        <v>0.48</v>
      </c>
      <c r="X355" s="10">
        <v>186</v>
      </c>
      <c r="Y355" s="10">
        <v>183</v>
      </c>
      <c r="Z355" s="10">
        <v>52</v>
      </c>
      <c r="AA355" s="10">
        <v>6</v>
      </c>
      <c r="AB355" s="10">
        <v>10.4</v>
      </c>
      <c r="AC355" s="9" t="s">
        <v>188</v>
      </c>
      <c r="AD355" s="10"/>
      <c r="AE355" s="10"/>
      <c r="AF355" s="10"/>
      <c r="AG355" s="10"/>
    </row>
    <row r="356" spans="1:33">
      <c r="A356" s="7" t="s">
        <v>155</v>
      </c>
      <c r="B356" s="8" t="s">
        <v>218</v>
      </c>
      <c r="C356" s="9" t="s">
        <v>254</v>
      </c>
      <c r="D356" s="10">
        <v>171</v>
      </c>
      <c r="E356" s="9" t="s">
        <v>158</v>
      </c>
      <c r="F356" s="10">
        <v>171</v>
      </c>
      <c r="G356" s="10">
        <v>170.9</v>
      </c>
      <c r="H356" s="10">
        <v>127</v>
      </c>
      <c r="I356" s="10">
        <v>135</v>
      </c>
      <c r="J356" s="10">
        <v>128</v>
      </c>
      <c r="K356" s="10">
        <v>99</v>
      </c>
      <c r="L356" s="10">
        <v>115</v>
      </c>
      <c r="M356" s="10">
        <v>19.399999999999999</v>
      </c>
      <c r="N356" s="10">
        <v>1793</v>
      </c>
      <c r="O356" s="10">
        <v>1.03</v>
      </c>
      <c r="P356" s="10">
        <v>1849</v>
      </c>
      <c r="Q356" s="10">
        <v>192</v>
      </c>
      <c r="R356" s="10">
        <v>106</v>
      </c>
      <c r="S356" s="10">
        <v>43</v>
      </c>
      <c r="T356" s="10">
        <v>252</v>
      </c>
      <c r="U356" s="10">
        <v>21</v>
      </c>
      <c r="V356" s="10">
        <v>184</v>
      </c>
      <c r="W356" s="10">
        <v>0.48799999999999999</v>
      </c>
      <c r="X356" s="10">
        <v>185</v>
      </c>
      <c r="Y356" s="10">
        <v>176</v>
      </c>
      <c r="Z356" s="10">
        <v>67</v>
      </c>
      <c r="AA356" s="10">
        <v>8</v>
      </c>
      <c r="AB356" s="10">
        <v>10.4</v>
      </c>
      <c r="AC356" s="9" t="s">
        <v>188</v>
      </c>
      <c r="AD356" s="10"/>
      <c r="AE356" s="10"/>
      <c r="AF356" s="10"/>
      <c r="AG356" s="10"/>
    </row>
    <row r="357" spans="1:33">
      <c r="A357" s="7" t="s">
        <v>155</v>
      </c>
      <c r="B357" s="8" t="s">
        <v>218</v>
      </c>
      <c r="C357" s="9" t="s">
        <v>254</v>
      </c>
      <c r="D357" s="10">
        <v>179</v>
      </c>
      <c r="E357" s="9" t="s">
        <v>158</v>
      </c>
      <c r="F357" s="10">
        <v>179</v>
      </c>
      <c r="G357" s="10">
        <v>177.7</v>
      </c>
      <c r="H357" s="10">
        <v>132</v>
      </c>
      <c r="I357" s="10">
        <v>142</v>
      </c>
      <c r="J357" s="10">
        <v>132</v>
      </c>
      <c r="K357" s="10">
        <v>100</v>
      </c>
      <c r="L357" s="10">
        <v>115</v>
      </c>
      <c r="M357" s="10">
        <v>19.600000000000001</v>
      </c>
      <c r="N357" s="10">
        <v>1975</v>
      </c>
      <c r="O357" s="10">
        <v>0.99</v>
      </c>
      <c r="P357" s="10">
        <v>1953</v>
      </c>
      <c r="Q357" s="10">
        <v>251</v>
      </c>
      <c r="R357" s="10">
        <v>143</v>
      </c>
      <c r="S357" s="10">
        <v>47</v>
      </c>
      <c r="T357" s="10">
        <v>267</v>
      </c>
      <c r="U357" s="10">
        <v>18</v>
      </c>
      <c r="V357" s="10">
        <v>190</v>
      </c>
      <c r="W357" s="10">
        <v>0.38700000000000001</v>
      </c>
      <c r="X357" s="10">
        <v>189</v>
      </c>
      <c r="Y357" s="10">
        <v>173</v>
      </c>
      <c r="Z357" s="10">
        <v>78</v>
      </c>
      <c r="AA357" s="10">
        <v>7</v>
      </c>
      <c r="AB357" s="10">
        <v>11.3</v>
      </c>
      <c r="AC357" s="9" t="s">
        <v>188</v>
      </c>
      <c r="AD357" s="10"/>
      <c r="AE357" s="10"/>
      <c r="AF357" s="10"/>
      <c r="AG357" s="10"/>
    </row>
    <row r="358" spans="1:33">
      <c r="A358" s="7" t="s">
        <v>155</v>
      </c>
      <c r="B358" s="8" t="s">
        <v>218</v>
      </c>
      <c r="C358" s="9" t="s">
        <v>254</v>
      </c>
      <c r="D358" s="10">
        <v>184</v>
      </c>
      <c r="E358" s="9" t="s">
        <v>158</v>
      </c>
      <c r="F358" s="10">
        <v>184</v>
      </c>
      <c r="G358" s="10">
        <v>183.4</v>
      </c>
      <c r="H358" s="10">
        <v>133</v>
      </c>
      <c r="I358" s="10">
        <v>146</v>
      </c>
      <c r="J358" s="10">
        <v>132</v>
      </c>
      <c r="K358" s="10">
        <v>100</v>
      </c>
      <c r="L358" s="10">
        <v>116</v>
      </c>
      <c r="M358" s="10">
        <v>19.2</v>
      </c>
      <c r="N358" s="10">
        <v>2074</v>
      </c>
      <c r="O358" s="10">
        <v>0.97</v>
      </c>
      <c r="P358" s="10">
        <v>2019</v>
      </c>
      <c r="Q358" s="10">
        <v>249</v>
      </c>
      <c r="R358" s="10">
        <v>138</v>
      </c>
      <c r="S358" s="10">
        <v>54</v>
      </c>
      <c r="T358" s="10">
        <v>278</v>
      </c>
      <c r="U358" s="10">
        <v>24</v>
      </c>
      <c r="V358" s="10">
        <v>223</v>
      </c>
      <c r="W358" s="10">
        <v>0.45100000000000001</v>
      </c>
      <c r="X358" s="10">
        <v>181</v>
      </c>
      <c r="Y358" s="10">
        <v>189</v>
      </c>
      <c r="Z358" s="10">
        <v>96</v>
      </c>
      <c r="AA358" s="10">
        <v>7</v>
      </c>
      <c r="AB358" s="10">
        <v>10.8</v>
      </c>
      <c r="AC358" s="9" t="s">
        <v>188</v>
      </c>
      <c r="AD358" s="10"/>
      <c r="AE358" s="10"/>
      <c r="AF358" s="10"/>
      <c r="AG358" s="10"/>
    </row>
    <row r="359" spans="1:33">
      <c r="A359" s="7" t="s">
        <v>155</v>
      </c>
      <c r="B359" s="8" t="s">
        <v>218</v>
      </c>
      <c r="C359" s="9" t="s">
        <v>387</v>
      </c>
      <c r="D359" s="10">
        <v>171</v>
      </c>
      <c r="E359" s="9" t="s">
        <v>158</v>
      </c>
      <c r="F359" s="10">
        <v>171</v>
      </c>
      <c r="G359" s="10">
        <v>169.2</v>
      </c>
      <c r="H359" s="10">
        <v>124</v>
      </c>
      <c r="I359" s="10">
        <v>130</v>
      </c>
      <c r="J359" s="10">
        <v>122</v>
      </c>
      <c r="K359" s="10">
        <v>90</v>
      </c>
      <c r="L359" s="10">
        <v>107</v>
      </c>
      <c r="M359" s="10">
        <v>15</v>
      </c>
      <c r="N359" s="10">
        <v>1643</v>
      </c>
      <c r="O359" s="10">
        <v>1.04</v>
      </c>
      <c r="P359" s="10">
        <v>1714</v>
      </c>
      <c r="Q359" s="10">
        <v>217</v>
      </c>
      <c r="R359" s="10">
        <v>112</v>
      </c>
      <c r="S359" s="10">
        <v>49</v>
      </c>
      <c r="T359" s="10">
        <v>310</v>
      </c>
      <c r="U359" s="10">
        <v>7</v>
      </c>
      <c r="V359" s="10">
        <v>140</v>
      </c>
      <c r="W359" s="10">
        <v>0.14799999999999999</v>
      </c>
      <c r="X359" s="10">
        <v>199</v>
      </c>
      <c r="Y359" s="10">
        <v>197</v>
      </c>
      <c r="Z359" s="10">
        <v>111</v>
      </c>
      <c r="AA359" s="10">
        <v>9</v>
      </c>
      <c r="AB359" s="10">
        <v>11.8</v>
      </c>
      <c r="AC359" s="9" t="s">
        <v>188</v>
      </c>
      <c r="AD359" s="10"/>
      <c r="AE359" s="10"/>
      <c r="AF359" s="10"/>
      <c r="AG359" s="10"/>
    </row>
    <row r="360" spans="1:33">
      <c r="A360" s="7" t="s">
        <v>155</v>
      </c>
      <c r="B360" s="8" t="s">
        <v>218</v>
      </c>
      <c r="C360" s="9" t="s">
        <v>387</v>
      </c>
      <c r="D360" s="10">
        <v>179</v>
      </c>
      <c r="E360" s="9" t="s">
        <v>158</v>
      </c>
      <c r="F360" s="10">
        <v>179</v>
      </c>
      <c r="G360" s="10">
        <v>178.4</v>
      </c>
      <c r="H360" s="10">
        <v>125</v>
      </c>
      <c r="I360" s="10">
        <v>137</v>
      </c>
      <c r="J360" s="10">
        <v>125</v>
      </c>
      <c r="K360" s="10">
        <v>90</v>
      </c>
      <c r="L360" s="10">
        <v>109</v>
      </c>
      <c r="M360" s="10">
        <v>14.9</v>
      </c>
      <c r="N360" s="10">
        <v>1826</v>
      </c>
      <c r="O360" s="10">
        <v>1</v>
      </c>
      <c r="P360" s="10">
        <v>1819</v>
      </c>
      <c r="Q360" s="10">
        <v>234</v>
      </c>
      <c r="R360" s="10">
        <v>110</v>
      </c>
      <c r="S360" s="10">
        <v>56</v>
      </c>
      <c r="T360" s="10">
        <v>336</v>
      </c>
      <c r="U360" s="10">
        <v>11</v>
      </c>
      <c r="V360" s="10">
        <v>194</v>
      </c>
      <c r="W360" s="10">
        <v>0.19900000000000001</v>
      </c>
      <c r="X360" s="10">
        <v>203</v>
      </c>
      <c r="Y360" s="10">
        <v>212</v>
      </c>
      <c r="Z360" s="10">
        <v>133</v>
      </c>
      <c r="AA360" s="10">
        <v>10</v>
      </c>
      <c r="AB360" s="10">
        <v>11.7</v>
      </c>
      <c r="AC360" s="9" t="s">
        <v>188</v>
      </c>
      <c r="AD360" s="10"/>
      <c r="AE360" s="10"/>
      <c r="AF360" s="10"/>
      <c r="AG360" s="10"/>
    </row>
    <row r="361" spans="1:33">
      <c r="A361" s="7" t="s">
        <v>155</v>
      </c>
      <c r="B361" s="8" t="s">
        <v>218</v>
      </c>
      <c r="C361" s="9" t="s">
        <v>387</v>
      </c>
      <c r="D361" s="10">
        <v>184</v>
      </c>
      <c r="E361" s="9" t="s">
        <v>158</v>
      </c>
      <c r="F361" s="10">
        <v>184</v>
      </c>
      <c r="G361" s="10">
        <v>183.3</v>
      </c>
      <c r="H361" s="10">
        <v>131</v>
      </c>
      <c r="I361" s="10">
        <v>140</v>
      </c>
      <c r="J361" s="10">
        <v>127</v>
      </c>
      <c r="K361" s="10">
        <v>90</v>
      </c>
      <c r="L361" s="10">
        <v>110</v>
      </c>
      <c r="M361" s="10">
        <v>14.9</v>
      </c>
      <c r="N361" s="10">
        <v>1885</v>
      </c>
      <c r="O361" s="10">
        <v>1</v>
      </c>
      <c r="P361" s="10">
        <v>1885</v>
      </c>
      <c r="Q361" s="10">
        <v>245</v>
      </c>
      <c r="R361" s="10">
        <v>117</v>
      </c>
      <c r="S361" s="10">
        <v>58</v>
      </c>
      <c r="T361" s="10">
        <v>339</v>
      </c>
      <c r="U361" s="10">
        <v>11</v>
      </c>
      <c r="V361" s="10">
        <v>184</v>
      </c>
      <c r="W361" s="10">
        <v>0.184</v>
      </c>
      <c r="X361" s="10">
        <v>203</v>
      </c>
      <c r="Y361" s="10">
        <v>227</v>
      </c>
      <c r="Z361" s="10">
        <v>136</v>
      </c>
      <c r="AA361" s="10">
        <v>9</v>
      </c>
      <c r="AB361" s="10">
        <v>12</v>
      </c>
      <c r="AC361" s="9" t="s">
        <v>188</v>
      </c>
      <c r="AD361" s="10"/>
      <c r="AE361" s="10"/>
      <c r="AF361" s="10"/>
      <c r="AG361" s="10"/>
    </row>
    <row r="362" spans="1:33">
      <c r="A362" s="7" t="s">
        <v>155</v>
      </c>
      <c r="B362" s="8" t="s">
        <v>218</v>
      </c>
      <c r="C362" s="9" t="s">
        <v>222</v>
      </c>
      <c r="D362" s="10">
        <v>153</v>
      </c>
      <c r="E362" s="9" t="s">
        <v>158</v>
      </c>
      <c r="F362" s="10">
        <v>153</v>
      </c>
      <c r="G362" s="10">
        <v>151.80000000000001</v>
      </c>
      <c r="H362" s="10">
        <v>103</v>
      </c>
      <c r="I362" s="10">
        <v>111</v>
      </c>
      <c r="J362" s="10">
        <v>124</v>
      </c>
      <c r="K362" s="10">
        <v>100</v>
      </c>
      <c r="L362" s="10">
        <v>112</v>
      </c>
      <c r="M362" s="10">
        <v>14.9</v>
      </c>
      <c r="N362" s="10">
        <v>1170</v>
      </c>
      <c r="O362" s="10">
        <v>1.4</v>
      </c>
      <c r="P362" s="10">
        <v>1633</v>
      </c>
      <c r="Q362" s="10">
        <v>143</v>
      </c>
      <c r="R362" s="10">
        <v>70</v>
      </c>
      <c r="S362" s="10">
        <v>33</v>
      </c>
      <c r="T362" s="10">
        <v>255</v>
      </c>
      <c r="U362" s="10">
        <v>16</v>
      </c>
      <c r="V362" s="10">
        <v>229</v>
      </c>
      <c r="W362" s="10">
        <v>0.46600000000000003</v>
      </c>
      <c r="X362" s="10">
        <v>215</v>
      </c>
      <c r="Y362" s="10">
        <v>188</v>
      </c>
      <c r="Z362" s="10">
        <v>40</v>
      </c>
      <c r="AA362" s="10">
        <v>6</v>
      </c>
      <c r="AB362" s="10">
        <v>11.5</v>
      </c>
      <c r="AC362" s="9" t="s">
        <v>185</v>
      </c>
      <c r="AD362" s="9" t="s">
        <v>198</v>
      </c>
      <c r="AE362" s="10"/>
      <c r="AF362" s="10"/>
      <c r="AG362" s="10"/>
    </row>
    <row r="363" spans="1:33">
      <c r="A363" s="7" t="s">
        <v>155</v>
      </c>
      <c r="B363" s="8" t="s">
        <v>218</v>
      </c>
      <c r="C363" s="9" t="s">
        <v>222</v>
      </c>
      <c r="D363" s="10">
        <v>163</v>
      </c>
      <c r="E363" s="9" t="s">
        <v>158</v>
      </c>
      <c r="F363" s="10">
        <v>163</v>
      </c>
      <c r="G363" s="10">
        <v>161.4</v>
      </c>
      <c r="H363" s="10">
        <v>107</v>
      </c>
      <c r="I363" s="10">
        <v>121</v>
      </c>
      <c r="J363" s="10">
        <v>126</v>
      </c>
      <c r="K363" s="10">
        <v>100</v>
      </c>
      <c r="L363" s="10">
        <v>113</v>
      </c>
      <c r="M363" s="10">
        <v>15.1</v>
      </c>
      <c r="N363" s="10">
        <v>1280</v>
      </c>
      <c r="O363" s="10">
        <v>1.37</v>
      </c>
      <c r="P363" s="10">
        <v>1755</v>
      </c>
      <c r="Q363" s="10">
        <v>173</v>
      </c>
      <c r="R363" s="10">
        <v>79</v>
      </c>
      <c r="S363" s="10">
        <v>54</v>
      </c>
      <c r="T363" s="10">
        <v>325</v>
      </c>
      <c r="U363" s="10">
        <v>11</v>
      </c>
      <c r="V363" s="10">
        <v>215</v>
      </c>
      <c r="W363" s="10">
        <v>0.2</v>
      </c>
      <c r="X363" s="10">
        <v>221</v>
      </c>
      <c r="Y363" s="10">
        <v>188</v>
      </c>
      <c r="Z363" s="10">
        <v>104</v>
      </c>
      <c r="AA363" s="10">
        <v>7</v>
      </c>
      <c r="AB363" s="10">
        <v>11.8</v>
      </c>
      <c r="AC363" s="9" t="s">
        <v>185</v>
      </c>
      <c r="AD363" s="9" t="s">
        <v>198</v>
      </c>
      <c r="AE363" s="10"/>
      <c r="AF363" s="10"/>
      <c r="AG363" s="10"/>
    </row>
    <row r="364" spans="1:33">
      <c r="A364" s="7" t="s">
        <v>155</v>
      </c>
      <c r="B364" s="8" t="s">
        <v>218</v>
      </c>
      <c r="C364" s="9" t="s">
        <v>222</v>
      </c>
      <c r="D364" s="10">
        <v>171</v>
      </c>
      <c r="E364" s="9" t="s">
        <v>158</v>
      </c>
      <c r="F364" s="10">
        <v>171</v>
      </c>
      <c r="G364" s="10">
        <v>169.5</v>
      </c>
      <c r="H364" s="10">
        <v>115</v>
      </c>
      <c r="I364" s="10">
        <v>125</v>
      </c>
      <c r="J364" s="10">
        <v>129</v>
      </c>
      <c r="K364" s="10">
        <v>100</v>
      </c>
      <c r="L364" s="10">
        <v>115</v>
      </c>
      <c r="M364" s="10">
        <v>15</v>
      </c>
      <c r="N364" s="10">
        <v>1431</v>
      </c>
      <c r="O364" s="10">
        <v>1.3</v>
      </c>
      <c r="P364" s="10">
        <v>1861</v>
      </c>
      <c r="Q364" s="10">
        <v>203</v>
      </c>
      <c r="R364" s="10">
        <v>94</v>
      </c>
      <c r="S364" s="10">
        <v>57</v>
      </c>
      <c r="T364" s="10">
        <v>332</v>
      </c>
      <c r="U364" s="10">
        <v>12</v>
      </c>
      <c r="V364" s="10">
        <v>210</v>
      </c>
      <c r="W364" s="10">
        <v>0.20899999999999999</v>
      </c>
      <c r="X364" s="10">
        <v>230</v>
      </c>
      <c r="Y364" s="10">
        <v>213</v>
      </c>
      <c r="Z364" s="10">
        <v>102</v>
      </c>
      <c r="AA364" s="10">
        <v>6</v>
      </c>
      <c r="AB364" s="10">
        <v>11.9</v>
      </c>
      <c r="AC364" s="9" t="s">
        <v>185</v>
      </c>
      <c r="AD364" s="9" t="s">
        <v>198</v>
      </c>
      <c r="AE364" s="10"/>
      <c r="AF364" s="10"/>
      <c r="AG364" s="10"/>
    </row>
    <row r="365" spans="1:33">
      <c r="A365" s="7" t="s">
        <v>155</v>
      </c>
      <c r="B365" s="8" t="s">
        <v>218</v>
      </c>
      <c r="C365" s="9" t="s">
        <v>222</v>
      </c>
      <c r="D365" s="10">
        <v>179</v>
      </c>
      <c r="E365" s="9" t="s">
        <v>158</v>
      </c>
      <c r="F365" s="10">
        <v>179</v>
      </c>
      <c r="G365" s="10">
        <v>177.4</v>
      </c>
      <c r="H365" s="10">
        <v>115</v>
      </c>
      <c r="I365" s="10">
        <v>132</v>
      </c>
      <c r="J365" s="10">
        <v>132</v>
      </c>
      <c r="K365" s="10">
        <v>99</v>
      </c>
      <c r="L365" s="10">
        <v>117</v>
      </c>
      <c r="M365" s="10">
        <v>15</v>
      </c>
      <c r="N365" s="10">
        <v>1545</v>
      </c>
      <c r="O365" s="10">
        <v>1.27</v>
      </c>
      <c r="P365" s="10">
        <v>1968</v>
      </c>
      <c r="Q365" s="10">
        <v>235</v>
      </c>
      <c r="R365" s="10">
        <v>111</v>
      </c>
      <c r="S365" s="10">
        <v>62</v>
      </c>
      <c r="T365" s="10">
        <v>354</v>
      </c>
      <c r="U365" s="10">
        <v>16</v>
      </c>
      <c r="V365" s="10">
        <v>270</v>
      </c>
      <c r="W365" s="10">
        <v>0.25600000000000001</v>
      </c>
      <c r="X365" s="10">
        <v>231</v>
      </c>
      <c r="Y365" s="10">
        <v>222</v>
      </c>
      <c r="Z365" s="10">
        <v>123</v>
      </c>
      <c r="AA365" s="10">
        <v>6</v>
      </c>
      <c r="AB365" s="10">
        <v>12.2</v>
      </c>
      <c r="AC365" s="9" t="s">
        <v>188</v>
      </c>
      <c r="AD365" s="9" t="s">
        <v>185</v>
      </c>
      <c r="AE365" s="9" t="s">
        <v>198</v>
      </c>
      <c r="AF365" s="10"/>
      <c r="AG365" s="10"/>
    </row>
    <row r="366" spans="1:33">
      <c r="A366" s="7" t="s">
        <v>155</v>
      </c>
      <c r="B366" s="8" t="s">
        <v>218</v>
      </c>
      <c r="C366" s="9" t="s">
        <v>222</v>
      </c>
      <c r="D366" s="10">
        <v>184</v>
      </c>
      <c r="E366" s="9" t="s">
        <v>158</v>
      </c>
      <c r="F366" s="10">
        <v>184</v>
      </c>
      <c r="G366" s="10">
        <v>182.4</v>
      </c>
      <c r="H366" s="10">
        <v>120</v>
      </c>
      <c r="I366" s="10">
        <v>134</v>
      </c>
      <c r="J366" s="10">
        <v>133</v>
      </c>
      <c r="K366" s="10">
        <v>99</v>
      </c>
      <c r="L366" s="10">
        <v>118</v>
      </c>
      <c r="M366" s="10">
        <v>15</v>
      </c>
      <c r="N366" s="10">
        <v>1575</v>
      </c>
      <c r="O366" s="10">
        <v>1.29</v>
      </c>
      <c r="P366" s="10">
        <v>2033</v>
      </c>
      <c r="Q366" s="10">
        <v>254</v>
      </c>
      <c r="R366" s="10">
        <v>123</v>
      </c>
      <c r="S366" s="10">
        <v>68</v>
      </c>
      <c r="T366" s="10">
        <v>372</v>
      </c>
      <c r="U366" s="10">
        <v>16</v>
      </c>
      <c r="V366" s="10">
        <v>256</v>
      </c>
      <c r="W366" s="10">
        <v>0.23200000000000001</v>
      </c>
      <c r="X366" s="10">
        <v>250</v>
      </c>
      <c r="Y366" s="10">
        <v>231</v>
      </c>
      <c r="Z366" s="10">
        <v>122</v>
      </c>
      <c r="AA366" s="10">
        <v>6</v>
      </c>
      <c r="AB366" s="10">
        <v>12.8</v>
      </c>
      <c r="AC366" s="9" t="s">
        <v>185</v>
      </c>
      <c r="AD366" s="9" t="s">
        <v>198</v>
      </c>
      <c r="AE366" s="10"/>
      <c r="AF366" s="10"/>
      <c r="AG366" s="10"/>
    </row>
    <row r="367" spans="1:33">
      <c r="A367" s="7" t="s">
        <v>155</v>
      </c>
      <c r="B367" s="8" t="s">
        <v>218</v>
      </c>
      <c r="C367" s="9" t="s">
        <v>294</v>
      </c>
      <c r="D367" s="10">
        <v>158</v>
      </c>
      <c r="E367" s="9" t="s">
        <v>158</v>
      </c>
      <c r="F367" s="10">
        <v>158</v>
      </c>
      <c r="G367" s="10">
        <v>156.5</v>
      </c>
      <c r="H367" s="10">
        <v>91</v>
      </c>
      <c r="I367" s="10">
        <v>104</v>
      </c>
      <c r="J367" s="10">
        <v>133</v>
      </c>
      <c r="K367" s="10">
        <v>111</v>
      </c>
      <c r="L367" s="10">
        <v>121</v>
      </c>
      <c r="M367" s="10">
        <v>15.2</v>
      </c>
      <c r="N367" s="10">
        <v>1294</v>
      </c>
      <c r="O367" s="10">
        <v>1.42</v>
      </c>
      <c r="P367" s="10">
        <v>1841</v>
      </c>
      <c r="Q367" s="10">
        <v>153</v>
      </c>
      <c r="R367" s="10">
        <v>86</v>
      </c>
      <c r="S367" s="10">
        <v>62</v>
      </c>
      <c r="T367" s="10">
        <v>374</v>
      </c>
      <c r="U367" s="10">
        <v>31</v>
      </c>
      <c r="V367" s="10">
        <v>282</v>
      </c>
      <c r="W367" s="10">
        <v>0.49099999999999999</v>
      </c>
      <c r="X367" s="10">
        <v>312</v>
      </c>
      <c r="Y367" s="10">
        <v>212</v>
      </c>
      <c r="Z367" s="10">
        <v>62</v>
      </c>
      <c r="AA367" s="10">
        <v>4</v>
      </c>
      <c r="AB367" s="10">
        <v>13.5</v>
      </c>
      <c r="AC367" s="9" t="s">
        <v>169</v>
      </c>
      <c r="AD367" s="9" t="s">
        <v>185</v>
      </c>
      <c r="AE367" s="9" t="s">
        <v>198</v>
      </c>
      <c r="AF367" s="10"/>
      <c r="AG367" s="10"/>
    </row>
    <row r="368" spans="1:33">
      <c r="A368" s="7" t="s">
        <v>155</v>
      </c>
      <c r="B368" s="8" t="s">
        <v>218</v>
      </c>
      <c r="C368" s="9" t="s">
        <v>294</v>
      </c>
      <c r="D368" s="10">
        <v>168</v>
      </c>
      <c r="E368" s="9" t="s">
        <v>158</v>
      </c>
      <c r="F368" s="10">
        <v>168</v>
      </c>
      <c r="G368" s="10">
        <v>166.2</v>
      </c>
      <c r="H368" s="10">
        <v>96</v>
      </c>
      <c r="I368" s="10">
        <v>112</v>
      </c>
      <c r="J368" s="10">
        <v>136</v>
      </c>
      <c r="K368" s="10">
        <v>112</v>
      </c>
      <c r="L368" s="10">
        <v>124</v>
      </c>
      <c r="M368" s="10">
        <v>15.1</v>
      </c>
      <c r="N368" s="10">
        <v>1370</v>
      </c>
      <c r="O368" s="10">
        <v>1.45</v>
      </c>
      <c r="P368" s="10">
        <v>1988</v>
      </c>
      <c r="Q368" s="10">
        <v>163</v>
      </c>
      <c r="R368" s="10">
        <v>79</v>
      </c>
      <c r="S368" s="10">
        <v>59</v>
      </c>
      <c r="T368" s="10">
        <v>398</v>
      </c>
      <c r="U368" s="10">
        <v>32</v>
      </c>
      <c r="V368" s="10">
        <v>303</v>
      </c>
      <c r="W368" s="10">
        <v>0.54800000000000004</v>
      </c>
      <c r="X368" s="10">
        <v>296</v>
      </c>
      <c r="Y368" s="10">
        <v>242</v>
      </c>
      <c r="Z368" s="10">
        <v>102</v>
      </c>
      <c r="AA368" s="10">
        <v>4</v>
      </c>
      <c r="AB368" s="10">
        <v>13.7</v>
      </c>
      <c r="AC368" s="9" t="s">
        <v>169</v>
      </c>
      <c r="AD368" s="9" t="s">
        <v>185</v>
      </c>
      <c r="AE368" s="9" t="s">
        <v>198</v>
      </c>
      <c r="AF368" s="10"/>
      <c r="AG368" s="10"/>
    </row>
    <row r="369" spans="1:33">
      <c r="A369" s="7" t="s">
        <v>155</v>
      </c>
      <c r="B369" s="8" t="s">
        <v>218</v>
      </c>
      <c r="C369" s="9" t="s">
        <v>294</v>
      </c>
      <c r="D369" s="10">
        <v>178</v>
      </c>
      <c r="E369" s="9" t="s">
        <v>158</v>
      </c>
      <c r="F369" s="10">
        <v>178</v>
      </c>
      <c r="G369" s="10">
        <v>176.4</v>
      </c>
      <c r="H369" s="10">
        <v>94</v>
      </c>
      <c r="I369" s="10">
        <v>123</v>
      </c>
      <c r="J369" s="10">
        <v>139</v>
      </c>
      <c r="K369" s="10">
        <v>112</v>
      </c>
      <c r="L369" s="10">
        <v>126</v>
      </c>
      <c r="M369" s="10">
        <v>15.3</v>
      </c>
      <c r="N369" s="10">
        <v>1572</v>
      </c>
      <c r="O369" s="10">
        <v>1.35</v>
      </c>
      <c r="P369" s="10">
        <v>2127</v>
      </c>
      <c r="Q369" s="10">
        <v>211</v>
      </c>
      <c r="R369" s="10">
        <v>110</v>
      </c>
      <c r="S369" s="10">
        <v>62</v>
      </c>
      <c r="T369" s="10">
        <v>439</v>
      </c>
      <c r="U369" s="10">
        <v>39</v>
      </c>
      <c r="V369" s="10">
        <v>389</v>
      </c>
      <c r="W369" s="10">
        <v>0.63100000000000001</v>
      </c>
      <c r="X369" s="10">
        <v>290</v>
      </c>
      <c r="Y369" s="10">
        <v>248</v>
      </c>
      <c r="Z369" s="10">
        <v>149</v>
      </c>
      <c r="AA369" s="10">
        <v>3</v>
      </c>
      <c r="AB369" s="10">
        <v>14.6</v>
      </c>
      <c r="AC369" s="9" t="s">
        <v>169</v>
      </c>
      <c r="AD369" s="9" t="s">
        <v>185</v>
      </c>
      <c r="AE369" s="9" t="s">
        <v>198</v>
      </c>
      <c r="AF369" s="10"/>
      <c r="AG369" s="10"/>
    </row>
    <row r="370" spans="1:33">
      <c r="A370" s="7" t="s">
        <v>155</v>
      </c>
      <c r="B370" s="8" t="s">
        <v>218</v>
      </c>
      <c r="C370" s="9" t="s">
        <v>294</v>
      </c>
      <c r="D370" s="10">
        <v>184</v>
      </c>
      <c r="E370" s="9" t="s">
        <v>158</v>
      </c>
      <c r="F370" s="10">
        <v>184</v>
      </c>
      <c r="G370" s="10">
        <v>182.2</v>
      </c>
      <c r="H370" s="10">
        <v>107</v>
      </c>
      <c r="I370" s="10">
        <v>125</v>
      </c>
      <c r="J370" s="10">
        <v>140</v>
      </c>
      <c r="K370" s="10">
        <v>112</v>
      </c>
      <c r="L370" s="10">
        <v>127</v>
      </c>
      <c r="M370" s="10">
        <v>15.2</v>
      </c>
      <c r="N370" s="10">
        <v>1661</v>
      </c>
      <c r="O370" s="10">
        <v>1.33</v>
      </c>
      <c r="P370" s="10">
        <v>2209</v>
      </c>
      <c r="Q370" s="10">
        <v>229</v>
      </c>
      <c r="R370" s="10">
        <v>112</v>
      </c>
      <c r="S370" s="10">
        <v>73</v>
      </c>
      <c r="T370" s="10">
        <v>422</v>
      </c>
      <c r="U370" s="10">
        <v>34</v>
      </c>
      <c r="V370" s="10">
        <v>330</v>
      </c>
      <c r="W370" s="10">
        <v>0.46400000000000002</v>
      </c>
      <c r="X370" s="10">
        <v>304</v>
      </c>
      <c r="Y370" s="10">
        <v>270</v>
      </c>
      <c r="Z370" s="10">
        <v>118</v>
      </c>
      <c r="AA370" s="10">
        <v>4</v>
      </c>
      <c r="AB370" s="10">
        <v>13.2</v>
      </c>
      <c r="AC370" s="9" t="s">
        <v>169</v>
      </c>
      <c r="AD370" s="9" t="s">
        <v>185</v>
      </c>
      <c r="AE370" s="9" t="s">
        <v>198</v>
      </c>
      <c r="AF370" s="10"/>
      <c r="AG370" s="10"/>
    </row>
    <row r="371" spans="1:33">
      <c r="A371" s="7" t="s">
        <v>155</v>
      </c>
      <c r="B371" s="8" t="s">
        <v>329</v>
      </c>
      <c r="C371" s="9" t="s">
        <v>330</v>
      </c>
      <c r="D371" s="10">
        <v>173</v>
      </c>
      <c r="E371" s="9" t="s">
        <v>158</v>
      </c>
      <c r="F371" s="10">
        <v>173</v>
      </c>
      <c r="G371" s="10">
        <v>171.8</v>
      </c>
      <c r="H371" s="10">
        <v>109</v>
      </c>
      <c r="I371" s="10">
        <v>137</v>
      </c>
      <c r="J371" s="10">
        <v>133</v>
      </c>
      <c r="K371" s="10">
        <v>105</v>
      </c>
      <c r="L371" s="10">
        <v>123</v>
      </c>
      <c r="M371" s="10">
        <v>18.7</v>
      </c>
      <c r="N371" s="10">
        <v>1538</v>
      </c>
      <c r="O371" s="10">
        <v>1.28</v>
      </c>
      <c r="P371" s="10">
        <v>1962</v>
      </c>
      <c r="Q371" s="10">
        <v>211</v>
      </c>
      <c r="R371" s="10">
        <v>101</v>
      </c>
      <c r="S371" s="10">
        <v>70</v>
      </c>
      <c r="T371" s="10">
        <v>443</v>
      </c>
      <c r="U371" s="10">
        <v>15</v>
      </c>
      <c r="V371" s="10">
        <v>189</v>
      </c>
      <c r="W371" s="10">
        <v>0.214</v>
      </c>
      <c r="X371" s="10">
        <v>198</v>
      </c>
      <c r="Y371" s="10">
        <v>150</v>
      </c>
      <c r="Z371" s="10">
        <v>244</v>
      </c>
      <c r="AA371" s="10">
        <v>4</v>
      </c>
      <c r="AB371" s="10">
        <v>8</v>
      </c>
      <c r="AC371" s="9" t="s">
        <v>188</v>
      </c>
      <c r="AD371" s="9" t="s">
        <v>178</v>
      </c>
      <c r="AE371" s="9" t="s">
        <v>185</v>
      </c>
      <c r="AF371" s="9" t="s">
        <v>198</v>
      </c>
      <c r="AG371" s="10"/>
    </row>
    <row r="372" spans="1:33">
      <c r="A372" s="7" t="s">
        <v>155</v>
      </c>
      <c r="B372" s="8" t="s">
        <v>329</v>
      </c>
      <c r="C372" s="9" t="s">
        <v>425</v>
      </c>
      <c r="D372" s="10">
        <v>170</v>
      </c>
      <c r="E372" s="9" t="s">
        <v>158</v>
      </c>
      <c r="F372" s="10">
        <v>170</v>
      </c>
      <c r="G372" s="10">
        <v>169</v>
      </c>
      <c r="H372" s="10">
        <v>108</v>
      </c>
      <c r="I372" s="10">
        <v>136</v>
      </c>
      <c r="J372" s="10">
        <v>123</v>
      </c>
      <c r="K372" s="10">
        <v>95</v>
      </c>
      <c r="L372" s="10">
        <v>112</v>
      </c>
      <c r="M372" s="10">
        <v>17.2</v>
      </c>
      <c r="N372" s="10">
        <v>1326</v>
      </c>
      <c r="O372" s="10">
        <v>1.33</v>
      </c>
      <c r="P372" s="10">
        <v>1760</v>
      </c>
      <c r="Q372" s="10">
        <v>154</v>
      </c>
      <c r="R372" s="10">
        <v>74</v>
      </c>
      <c r="S372" s="10">
        <v>62</v>
      </c>
      <c r="T372" s="10">
        <v>382</v>
      </c>
      <c r="U372" s="10">
        <v>14</v>
      </c>
      <c r="V372" s="10">
        <v>229</v>
      </c>
      <c r="W372" s="10">
        <v>0.23300000000000001</v>
      </c>
      <c r="X372" s="10">
        <v>172</v>
      </c>
      <c r="Y372" s="10">
        <v>155</v>
      </c>
      <c r="Z372" s="10">
        <v>210</v>
      </c>
      <c r="AA372" s="10">
        <v>3</v>
      </c>
      <c r="AB372" s="10">
        <v>8.6</v>
      </c>
      <c r="AC372" s="9" t="s">
        <v>185</v>
      </c>
      <c r="AD372" s="9" t="s">
        <v>198</v>
      </c>
      <c r="AE372" s="10"/>
      <c r="AF372" s="10"/>
      <c r="AG372" s="10"/>
    </row>
    <row r="373" spans="1:33">
      <c r="A373" s="7" t="s">
        <v>155</v>
      </c>
      <c r="B373" s="8" t="s">
        <v>329</v>
      </c>
      <c r="C373" s="9" t="s">
        <v>425</v>
      </c>
      <c r="D373" s="10">
        <v>177</v>
      </c>
      <c r="E373" s="9" t="s">
        <v>158</v>
      </c>
      <c r="F373" s="10">
        <v>177</v>
      </c>
      <c r="G373" s="10">
        <v>175.8</v>
      </c>
      <c r="H373" s="10">
        <v>115</v>
      </c>
      <c r="I373" s="10">
        <v>142</v>
      </c>
      <c r="J373" s="10">
        <v>125</v>
      </c>
      <c r="K373" s="10">
        <v>96</v>
      </c>
      <c r="L373" s="10">
        <v>115</v>
      </c>
      <c r="M373" s="10">
        <v>18.399999999999999</v>
      </c>
      <c r="N373" s="10">
        <v>1525</v>
      </c>
      <c r="O373" s="10">
        <v>1.22</v>
      </c>
      <c r="P373" s="10">
        <v>1867</v>
      </c>
      <c r="Q373" s="10">
        <v>187</v>
      </c>
      <c r="R373" s="10">
        <v>92</v>
      </c>
      <c r="S373" s="10">
        <v>59</v>
      </c>
      <c r="T373" s="10">
        <v>442</v>
      </c>
      <c r="U373" s="10">
        <v>13</v>
      </c>
      <c r="V373" s="10">
        <v>167</v>
      </c>
      <c r="W373" s="10">
        <v>0.224</v>
      </c>
      <c r="X373" s="10">
        <v>183</v>
      </c>
      <c r="Y373" s="10">
        <v>151</v>
      </c>
      <c r="Z373" s="10">
        <v>259</v>
      </c>
      <c r="AA373" s="10">
        <v>3</v>
      </c>
      <c r="AB373" s="10">
        <v>8.5</v>
      </c>
      <c r="AC373" s="9" t="s">
        <v>188</v>
      </c>
      <c r="AD373" s="9" t="s">
        <v>185</v>
      </c>
      <c r="AE373" s="10"/>
      <c r="AF373" s="10"/>
      <c r="AG373" s="10"/>
    </row>
    <row r="374" spans="1:33">
      <c r="A374" s="7" t="s">
        <v>155</v>
      </c>
      <c r="B374" s="8" t="s">
        <v>329</v>
      </c>
      <c r="C374" s="9" t="s">
        <v>570</v>
      </c>
      <c r="D374" s="10">
        <v>165</v>
      </c>
      <c r="E374" s="9" t="s">
        <v>158</v>
      </c>
      <c r="F374" s="10">
        <v>165</v>
      </c>
      <c r="G374" s="10">
        <v>162.9</v>
      </c>
      <c r="H374" s="10">
        <v>122</v>
      </c>
      <c r="I374" s="10">
        <v>140</v>
      </c>
      <c r="J374" s="10">
        <v>114</v>
      </c>
      <c r="K374" s="10">
        <v>78</v>
      </c>
      <c r="L374" s="10">
        <v>98</v>
      </c>
      <c r="M374" s="10">
        <v>17.399999999999999</v>
      </c>
      <c r="N374" s="10">
        <v>1053</v>
      </c>
      <c r="O374" s="10">
        <v>1.37</v>
      </c>
      <c r="P374" s="10">
        <v>1440</v>
      </c>
      <c r="Q374" s="10">
        <v>218</v>
      </c>
      <c r="R374" s="10">
        <v>73</v>
      </c>
      <c r="S374" s="10">
        <v>58</v>
      </c>
      <c r="T374" s="10">
        <v>258</v>
      </c>
      <c r="U374" s="10">
        <v>12</v>
      </c>
      <c r="V374" s="10">
        <v>152</v>
      </c>
      <c r="W374" s="10">
        <v>0.19900000000000001</v>
      </c>
      <c r="X374" s="10">
        <v>135</v>
      </c>
      <c r="Y374" s="10">
        <v>91</v>
      </c>
      <c r="Z374" s="10">
        <v>122</v>
      </c>
      <c r="AA374" s="10">
        <v>4</v>
      </c>
      <c r="AB374" s="10">
        <v>12.1</v>
      </c>
      <c r="AC374" s="9" t="s">
        <v>185</v>
      </c>
      <c r="AD374" s="9" t="s">
        <v>198</v>
      </c>
      <c r="AE374" s="10"/>
      <c r="AF374" s="10"/>
      <c r="AG374" s="10"/>
    </row>
    <row r="375" spans="1:33">
      <c r="A375" s="7" t="s">
        <v>155</v>
      </c>
      <c r="B375" s="8" t="s">
        <v>329</v>
      </c>
      <c r="C375" s="9" t="s">
        <v>570</v>
      </c>
      <c r="D375" s="10">
        <v>172</v>
      </c>
      <c r="E375" s="9" t="s">
        <v>158</v>
      </c>
      <c r="F375" s="10">
        <v>172</v>
      </c>
      <c r="G375" s="10">
        <v>169.8</v>
      </c>
      <c r="H375" s="10">
        <v>132</v>
      </c>
      <c r="I375" s="10">
        <v>148</v>
      </c>
      <c r="J375" s="10">
        <v>115</v>
      </c>
      <c r="K375" s="10">
        <v>79</v>
      </c>
      <c r="L375" s="10">
        <v>99</v>
      </c>
      <c r="M375" s="10">
        <v>19.2</v>
      </c>
      <c r="N375" s="10">
        <v>1127</v>
      </c>
      <c r="O375" s="10">
        <v>1.35</v>
      </c>
      <c r="P375" s="10">
        <v>1520</v>
      </c>
      <c r="Q375" s="10">
        <v>261</v>
      </c>
      <c r="R375" s="10">
        <v>91</v>
      </c>
      <c r="S375" s="10">
        <v>53</v>
      </c>
      <c r="T375" s="10">
        <v>278</v>
      </c>
      <c r="U375" s="10">
        <v>9</v>
      </c>
      <c r="V375" s="10">
        <v>103</v>
      </c>
      <c r="W375" s="10">
        <v>0.16600000000000001</v>
      </c>
      <c r="X375" s="10">
        <v>134</v>
      </c>
      <c r="Y375" s="10">
        <v>86</v>
      </c>
      <c r="Z375" s="10">
        <v>144</v>
      </c>
      <c r="AA375" s="10">
        <v>5</v>
      </c>
      <c r="AB375" s="10">
        <v>12.6</v>
      </c>
      <c r="AC375" s="9" t="s">
        <v>185</v>
      </c>
      <c r="AD375" s="9" t="s">
        <v>198</v>
      </c>
      <c r="AE375" s="10"/>
      <c r="AF375" s="10"/>
      <c r="AG375" s="10"/>
    </row>
    <row r="376" spans="1:33">
      <c r="A376" s="7" t="s">
        <v>155</v>
      </c>
      <c r="B376" s="8" t="s">
        <v>329</v>
      </c>
      <c r="C376" s="9" t="s">
        <v>570</v>
      </c>
      <c r="D376" s="10">
        <v>178</v>
      </c>
      <c r="E376" s="9" t="s">
        <v>158</v>
      </c>
      <c r="F376" s="10">
        <v>178</v>
      </c>
      <c r="G376" s="10">
        <v>175.8</v>
      </c>
      <c r="H376" s="10">
        <v>138</v>
      </c>
      <c r="I376" s="10">
        <v>153</v>
      </c>
      <c r="J376" s="10">
        <v>116</v>
      </c>
      <c r="K376" s="10">
        <v>80</v>
      </c>
      <c r="L376" s="10">
        <v>100</v>
      </c>
      <c r="M376" s="10">
        <v>20.6</v>
      </c>
      <c r="N376" s="10">
        <v>1175</v>
      </c>
      <c r="O376" s="10">
        <v>1.35</v>
      </c>
      <c r="P376" s="10">
        <v>1590</v>
      </c>
      <c r="Q376" s="10">
        <v>285</v>
      </c>
      <c r="R376" s="10">
        <v>102</v>
      </c>
      <c r="S376" s="10">
        <v>56</v>
      </c>
      <c r="T376" s="10">
        <v>280</v>
      </c>
      <c r="U376" s="10">
        <v>9</v>
      </c>
      <c r="V376" s="10">
        <v>95</v>
      </c>
      <c r="W376" s="10">
        <v>0.16300000000000001</v>
      </c>
      <c r="X376" s="10">
        <v>136</v>
      </c>
      <c r="Y376" s="10">
        <v>90</v>
      </c>
      <c r="Z376" s="10">
        <v>144</v>
      </c>
      <c r="AA376" s="10">
        <v>5</v>
      </c>
      <c r="AB376" s="10">
        <v>12.3</v>
      </c>
      <c r="AC376" s="9" t="s">
        <v>185</v>
      </c>
      <c r="AD376" s="9" t="s">
        <v>198</v>
      </c>
      <c r="AE376" s="10"/>
      <c r="AF376" s="10"/>
      <c r="AG376" s="10"/>
    </row>
    <row r="377" spans="1:33">
      <c r="A377" s="7" t="s">
        <v>155</v>
      </c>
      <c r="B377" s="8" t="s">
        <v>329</v>
      </c>
      <c r="C377" s="9" t="s">
        <v>520</v>
      </c>
      <c r="D377" s="10">
        <v>158</v>
      </c>
      <c r="E377" s="9" t="s">
        <v>158</v>
      </c>
      <c r="F377" s="10">
        <v>158</v>
      </c>
      <c r="G377" s="10">
        <v>156</v>
      </c>
      <c r="H377" s="10">
        <v>110</v>
      </c>
      <c r="I377" s="10">
        <v>133</v>
      </c>
      <c r="J377" s="10">
        <v>120</v>
      </c>
      <c r="K377" s="10">
        <v>85</v>
      </c>
      <c r="L377" s="10">
        <v>108</v>
      </c>
      <c r="M377" s="10">
        <v>14.9</v>
      </c>
      <c r="N377" s="10">
        <v>1056</v>
      </c>
      <c r="O377" s="10">
        <v>1.41</v>
      </c>
      <c r="P377" s="10">
        <v>1491</v>
      </c>
      <c r="Q377" s="10">
        <v>204</v>
      </c>
      <c r="R377" s="10">
        <v>71</v>
      </c>
      <c r="S377" s="10">
        <v>54</v>
      </c>
      <c r="T377" s="10">
        <v>304</v>
      </c>
      <c r="U377" s="10">
        <v>11</v>
      </c>
      <c r="V377" s="10">
        <v>152</v>
      </c>
      <c r="W377" s="10">
        <v>0.19700000000000001</v>
      </c>
      <c r="X377" s="10">
        <v>137</v>
      </c>
      <c r="Y377" s="10">
        <v>90</v>
      </c>
      <c r="Z377" s="10">
        <v>168</v>
      </c>
      <c r="AA377" s="10">
        <v>5</v>
      </c>
      <c r="AB377" s="10">
        <v>12.3</v>
      </c>
      <c r="AC377" s="9" t="s">
        <v>185</v>
      </c>
      <c r="AD377" s="9" t="s">
        <v>198</v>
      </c>
      <c r="AE377" s="10"/>
      <c r="AF377" s="10"/>
      <c r="AG377" s="10"/>
    </row>
    <row r="378" spans="1:33">
      <c r="A378" s="7" t="s">
        <v>155</v>
      </c>
      <c r="B378" s="8" t="s">
        <v>329</v>
      </c>
      <c r="C378" s="9" t="s">
        <v>520</v>
      </c>
      <c r="D378" s="10">
        <v>165</v>
      </c>
      <c r="E378" s="9" t="s">
        <v>158</v>
      </c>
      <c r="F378" s="10">
        <v>165</v>
      </c>
      <c r="G378" s="10">
        <v>163.1</v>
      </c>
      <c r="H378" s="10">
        <v>114</v>
      </c>
      <c r="I378" s="10">
        <v>140</v>
      </c>
      <c r="J378" s="10">
        <v>121</v>
      </c>
      <c r="K378" s="10">
        <v>86</v>
      </c>
      <c r="L378" s="10">
        <v>109</v>
      </c>
      <c r="M378" s="10">
        <v>16.600000000000001</v>
      </c>
      <c r="N378" s="10">
        <v>1101</v>
      </c>
      <c r="O378" s="10">
        <v>1.43</v>
      </c>
      <c r="P378" s="10">
        <v>1571</v>
      </c>
      <c r="Q378" s="10">
        <v>228</v>
      </c>
      <c r="R378" s="10">
        <v>77</v>
      </c>
      <c r="S378" s="10">
        <v>54</v>
      </c>
      <c r="T378" s="10">
        <v>318</v>
      </c>
      <c r="U378" s="10">
        <v>12</v>
      </c>
      <c r="V378" s="10">
        <v>168</v>
      </c>
      <c r="W378" s="10">
        <v>0.22500000000000001</v>
      </c>
      <c r="X378" s="10">
        <v>140</v>
      </c>
      <c r="Y378" s="10">
        <v>93</v>
      </c>
      <c r="Z378" s="10">
        <v>179</v>
      </c>
      <c r="AA378" s="10">
        <v>5</v>
      </c>
      <c r="AB378" s="10">
        <v>12.4</v>
      </c>
      <c r="AC378" s="9" t="s">
        <v>185</v>
      </c>
      <c r="AD378" s="9" t="s">
        <v>198</v>
      </c>
      <c r="AE378" s="10"/>
      <c r="AF378" s="10"/>
      <c r="AG378" s="10"/>
    </row>
    <row r="379" spans="1:33">
      <c r="A379" s="7" t="s">
        <v>155</v>
      </c>
      <c r="B379" s="8" t="s">
        <v>329</v>
      </c>
      <c r="C379" s="9" t="s">
        <v>520</v>
      </c>
      <c r="D379" s="10">
        <v>172</v>
      </c>
      <c r="E379" s="9" t="s">
        <v>158</v>
      </c>
      <c r="F379" s="10">
        <v>172</v>
      </c>
      <c r="G379" s="10">
        <v>169.7</v>
      </c>
      <c r="H379" s="10">
        <v>117</v>
      </c>
      <c r="I379" s="10">
        <v>146</v>
      </c>
      <c r="J379" s="10">
        <v>122</v>
      </c>
      <c r="K379" s="10">
        <v>87</v>
      </c>
      <c r="L379" s="10">
        <v>110</v>
      </c>
      <c r="M379" s="10">
        <v>18.100000000000001</v>
      </c>
      <c r="N379" s="10">
        <v>1186</v>
      </c>
      <c r="O379" s="10">
        <v>1.39</v>
      </c>
      <c r="P379" s="10">
        <v>1652</v>
      </c>
      <c r="Q379" s="10">
        <v>256</v>
      </c>
      <c r="R379" s="10">
        <v>87</v>
      </c>
      <c r="S379" s="10">
        <v>60</v>
      </c>
      <c r="T379" s="10">
        <v>348</v>
      </c>
      <c r="U379" s="10">
        <v>10</v>
      </c>
      <c r="V379" s="10">
        <v>179</v>
      </c>
      <c r="W379" s="10">
        <v>0.16500000000000001</v>
      </c>
      <c r="X379" s="10">
        <v>136</v>
      </c>
      <c r="Y379" s="10">
        <v>104</v>
      </c>
      <c r="Z379" s="10">
        <v>213</v>
      </c>
      <c r="AA379" s="10">
        <v>4</v>
      </c>
      <c r="AB379" s="10">
        <v>12.6</v>
      </c>
      <c r="AC379" s="9" t="s">
        <v>185</v>
      </c>
      <c r="AD379" s="9" t="s">
        <v>198</v>
      </c>
      <c r="AE379" s="10"/>
      <c r="AF379" s="10"/>
      <c r="AG379" s="10"/>
    </row>
    <row r="380" spans="1:33">
      <c r="A380" s="7" t="s">
        <v>155</v>
      </c>
      <c r="B380" s="8" t="s">
        <v>329</v>
      </c>
      <c r="C380" s="9" t="s">
        <v>520</v>
      </c>
      <c r="D380" s="10">
        <v>178</v>
      </c>
      <c r="E380" s="9" t="s">
        <v>158</v>
      </c>
      <c r="F380" s="10">
        <v>178</v>
      </c>
      <c r="G380" s="10">
        <v>175.9</v>
      </c>
      <c r="H380" s="10">
        <v>123</v>
      </c>
      <c r="I380" s="10">
        <v>153</v>
      </c>
      <c r="J380" s="10">
        <v>123</v>
      </c>
      <c r="K380" s="10">
        <v>88</v>
      </c>
      <c r="L380" s="10">
        <v>111</v>
      </c>
      <c r="M380" s="10">
        <v>19.8</v>
      </c>
      <c r="N380" s="10">
        <v>1263</v>
      </c>
      <c r="O380" s="10">
        <v>1.37</v>
      </c>
      <c r="P380" s="10">
        <v>1727</v>
      </c>
      <c r="Q380" s="10">
        <v>312</v>
      </c>
      <c r="R380" s="10">
        <v>103</v>
      </c>
      <c r="S380" s="10">
        <v>54</v>
      </c>
      <c r="T380" s="10">
        <v>364</v>
      </c>
      <c r="U380" s="10">
        <v>10</v>
      </c>
      <c r="V380" s="10">
        <v>167</v>
      </c>
      <c r="W380" s="10">
        <v>0.18</v>
      </c>
      <c r="X380" s="10">
        <v>138</v>
      </c>
      <c r="Y380" s="10">
        <v>96</v>
      </c>
      <c r="Z380" s="10">
        <v>226</v>
      </c>
      <c r="AA380" s="10">
        <v>2</v>
      </c>
      <c r="AB380" s="10">
        <v>12.4</v>
      </c>
      <c r="AC380" s="9" t="s">
        <v>185</v>
      </c>
      <c r="AD380" s="9" t="s">
        <v>198</v>
      </c>
      <c r="AE380" s="10"/>
      <c r="AF380" s="10"/>
      <c r="AG380" s="10"/>
    </row>
    <row r="381" spans="1:33">
      <c r="A381" s="7" t="s">
        <v>155</v>
      </c>
      <c r="B381" s="8" t="s">
        <v>329</v>
      </c>
      <c r="C381" s="9" t="s">
        <v>864</v>
      </c>
      <c r="D381" s="10">
        <v>151</v>
      </c>
      <c r="E381" s="9" t="s">
        <v>163</v>
      </c>
      <c r="F381" s="10">
        <v>151</v>
      </c>
      <c r="G381" s="10">
        <v>149.19999999999999</v>
      </c>
      <c r="H381" s="10">
        <v>114</v>
      </c>
      <c r="I381" s="10">
        <v>126</v>
      </c>
      <c r="J381" s="10">
        <v>119</v>
      </c>
      <c r="K381" s="10">
        <v>84</v>
      </c>
      <c r="L381" s="10">
        <v>107</v>
      </c>
      <c r="M381" s="10">
        <v>13.3</v>
      </c>
      <c r="N381" s="10">
        <v>962</v>
      </c>
      <c r="O381" s="10">
        <v>1.47</v>
      </c>
      <c r="P381" s="10">
        <v>1410</v>
      </c>
      <c r="Q381" s="10">
        <v>153</v>
      </c>
      <c r="R381" s="10">
        <v>55</v>
      </c>
      <c r="S381" s="10">
        <v>50</v>
      </c>
      <c r="T381" s="10">
        <v>213</v>
      </c>
      <c r="U381" s="10">
        <v>11</v>
      </c>
      <c r="V381" s="10">
        <v>144</v>
      </c>
      <c r="W381" s="10">
        <v>0.216</v>
      </c>
      <c r="X381" s="10">
        <v>140</v>
      </c>
      <c r="Y381" s="10">
        <v>89</v>
      </c>
      <c r="Z381" s="10">
        <v>73</v>
      </c>
      <c r="AA381" s="10">
        <v>4</v>
      </c>
      <c r="AB381" s="10">
        <v>12.4</v>
      </c>
      <c r="AC381" s="9" t="s">
        <v>185</v>
      </c>
      <c r="AD381" s="9" t="s">
        <v>198</v>
      </c>
      <c r="AE381" s="10"/>
      <c r="AF381" s="10"/>
      <c r="AG381" s="10"/>
    </row>
    <row r="382" spans="1:33">
      <c r="A382" s="7" t="s">
        <v>155</v>
      </c>
      <c r="B382" s="8" t="s">
        <v>329</v>
      </c>
      <c r="C382" s="9" t="s">
        <v>864</v>
      </c>
      <c r="D382" s="10">
        <v>158</v>
      </c>
      <c r="E382" s="9" t="s">
        <v>163</v>
      </c>
      <c r="F382" s="10">
        <v>158</v>
      </c>
      <c r="G382" s="10">
        <v>156.19999999999999</v>
      </c>
      <c r="H382" s="10">
        <v>109</v>
      </c>
      <c r="I382" s="10">
        <v>134</v>
      </c>
      <c r="J382" s="10">
        <v>121</v>
      </c>
      <c r="K382" s="10">
        <v>85</v>
      </c>
      <c r="L382" s="10">
        <v>108</v>
      </c>
      <c r="M382" s="10">
        <v>14.9</v>
      </c>
      <c r="N382" s="10">
        <v>1055</v>
      </c>
      <c r="O382" s="10">
        <v>1.41</v>
      </c>
      <c r="P382" s="10">
        <v>1491</v>
      </c>
      <c r="Q382" s="10">
        <v>196</v>
      </c>
      <c r="R382" s="10">
        <v>68</v>
      </c>
      <c r="S382" s="10">
        <v>52</v>
      </c>
      <c r="T382" s="10">
        <v>312</v>
      </c>
      <c r="U382" s="10">
        <v>12</v>
      </c>
      <c r="V382" s="10">
        <v>162</v>
      </c>
      <c r="W382" s="10">
        <v>0.22800000000000001</v>
      </c>
      <c r="X382" s="10">
        <v>136</v>
      </c>
      <c r="Y382" s="10">
        <v>90</v>
      </c>
      <c r="Z382" s="10">
        <v>176</v>
      </c>
      <c r="AA382" s="10">
        <v>4</v>
      </c>
      <c r="AB382" s="10">
        <v>12.6</v>
      </c>
      <c r="AC382" s="9" t="s">
        <v>185</v>
      </c>
      <c r="AD382" s="9" t="s">
        <v>198</v>
      </c>
      <c r="AE382" s="10"/>
      <c r="AF382" s="10"/>
      <c r="AG382" s="10"/>
    </row>
    <row r="383" spans="1:33">
      <c r="A383" s="7" t="s">
        <v>155</v>
      </c>
      <c r="B383" s="8" t="s">
        <v>329</v>
      </c>
      <c r="C383" s="9" t="s">
        <v>548</v>
      </c>
      <c r="D383" s="10">
        <v>172</v>
      </c>
      <c r="E383" s="9" t="s">
        <v>158</v>
      </c>
      <c r="F383" s="10">
        <v>172</v>
      </c>
      <c r="G383" s="10">
        <v>170.2</v>
      </c>
      <c r="H383" s="10">
        <v>127</v>
      </c>
      <c r="I383" s="10">
        <v>146</v>
      </c>
      <c r="J383" s="10">
        <v>126</v>
      </c>
      <c r="K383" s="10">
        <v>94</v>
      </c>
      <c r="L383" s="10">
        <v>113</v>
      </c>
      <c r="M383" s="10">
        <v>20</v>
      </c>
      <c r="N383" s="10">
        <v>1202</v>
      </c>
      <c r="O383" s="10">
        <v>1.45</v>
      </c>
      <c r="P383" s="10">
        <v>1748</v>
      </c>
      <c r="Q383" s="10">
        <v>235</v>
      </c>
      <c r="R383" s="10">
        <v>95</v>
      </c>
      <c r="S383" s="10">
        <v>48</v>
      </c>
      <c r="T383" s="10">
        <v>268</v>
      </c>
      <c r="U383" s="10">
        <v>11</v>
      </c>
      <c r="V383" s="10">
        <v>159</v>
      </c>
      <c r="W383" s="10">
        <v>0.23400000000000001</v>
      </c>
      <c r="X383" s="10">
        <v>137</v>
      </c>
      <c r="Y383" s="10">
        <v>100</v>
      </c>
      <c r="Z383" s="10">
        <v>131</v>
      </c>
      <c r="AA383" s="10">
        <v>4</v>
      </c>
      <c r="AB383" s="10">
        <v>12.6</v>
      </c>
      <c r="AC383" s="9" t="s">
        <v>185</v>
      </c>
      <c r="AD383" s="9" t="s">
        <v>198</v>
      </c>
      <c r="AE383" s="10"/>
      <c r="AF383" s="10"/>
      <c r="AG383" s="10"/>
    </row>
    <row r="384" spans="1:33">
      <c r="A384" s="7" t="s">
        <v>155</v>
      </c>
      <c r="B384" s="8" t="s">
        <v>329</v>
      </c>
      <c r="C384" s="9" t="s">
        <v>548</v>
      </c>
      <c r="D384" s="10">
        <v>178</v>
      </c>
      <c r="E384" s="9" t="s">
        <v>158</v>
      </c>
      <c r="F384" s="10">
        <v>178</v>
      </c>
      <c r="G384" s="10">
        <v>175.9</v>
      </c>
      <c r="H384" s="10">
        <v>125</v>
      </c>
      <c r="I384" s="10">
        <v>152</v>
      </c>
      <c r="J384" s="10">
        <v>127</v>
      </c>
      <c r="K384" s="10">
        <v>95</v>
      </c>
      <c r="L384" s="10">
        <v>115</v>
      </c>
      <c r="M384" s="10">
        <v>22.1</v>
      </c>
      <c r="N384" s="10">
        <v>1278</v>
      </c>
      <c r="O384" s="10">
        <v>1.43</v>
      </c>
      <c r="P384" s="10">
        <v>1825</v>
      </c>
      <c r="Q384" s="10">
        <v>276</v>
      </c>
      <c r="R384" s="10">
        <v>94</v>
      </c>
      <c r="S384" s="10">
        <v>50</v>
      </c>
      <c r="T384" s="10">
        <v>326</v>
      </c>
      <c r="U384" s="10">
        <v>12</v>
      </c>
      <c r="V384" s="10">
        <v>179</v>
      </c>
      <c r="W384" s="10">
        <v>0.23499999999999999</v>
      </c>
      <c r="X384" s="10">
        <v>143</v>
      </c>
      <c r="Y384" s="10">
        <v>95</v>
      </c>
      <c r="Z384" s="10">
        <v>183</v>
      </c>
      <c r="AA384" s="10">
        <v>4</v>
      </c>
      <c r="AB384" s="10">
        <v>12.3</v>
      </c>
      <c r="AC384" s="9" t="s">
        <v>185</v>
      </c>
      <c r="AD384" s="9" t="s">
        <v>198</v>
      </c>
      <c r="AE384" s="10"/>
      <c r="AF384" s="10"/>
      <c r="AG384" s="10"/>
    </row>
    <row r="385" spans="1:33">
      <c r="A385" s="7" t="s">
        <v>155</v>
      </c>
      <c r="B385" s="8" t="s">
        <v>329</v>
      </c>
      <c r="C385" s="9" t="s">
        <v>548</v>
      </c>
      <c r="D385" s="10">
        <v>184</v>
      </c>
      <c r="E385" s="9" t="s">
        <v>158</v>
      </c>
      <c r="F385" s="10">
        <v>184</v>
      </c>
      <c r="G385" s="10">
        <v>182</v>
      </c>
      <c r="H385" s="10">
        <v>145</v>
      </c>
      <c r="I385" s="10">
        <v>158</v>
      </c>
      <c r="J385" s="10">
        <v>128</v>
      </c>
      <c r="K385" s="10">
        <v>96</v>
      </c>
      <c r="L385" s="10">
        <v>116</v>
      </c>
      <c r="M385" s="10">
        <v>23.7</v>
      </c>
      <c r="N385" s="10">
        <v>1367</v>
      </c>
      <c r="O385" s="10">
        <v>1.39</v>
      </c>
      <c r="P385" s="10">
        <v>1903</v>
      </c>
      <c r="Q385" s="10">
        <v>292</v>
      </c>
      <c r="R385" s="10">
        <v>103</v>
      </c>
      <c r="S385" s="10">
        <v>51</v>
      </c>
      <c r="T385" s="10">
        <v>277</v>
      </c>
      <c r="U385" s="10">
        <v>8</v>
      </c>
      <c r="V385" s="10">
        <v>97</v>
      </c>
      <c r="W385" s="10">
        <v>0.157</v>
      </c>
      <c r="X385" s="10">
        <v>146</v>
      </c>
      <c r="Y385" s="10">
        <v>99</v>
      </c>
      <c r="Z385" s="10">
        <v>131</v>
      </c>
      <c r="AA385" s="10">
        <v>6</v>
      </c>
      <c r="AB385" s="10">
        <v>12.4</v>
      </c>
      <c r="AC385" s="9" t="s">
        <v>185</v>
      </c>
      <c r="AD385" s="9" t="s">
        <v>198</v>
      </c>
      <c r="AE385" s="10"/>
      <c r="AF385" s="10"/>
      <c r="AG385" s="10"/>
    </row>
    <row r="386" spans="1:33">
      <c r="A386" s="7" t="s">
        <v>155</v>
      </c>
      <c r="B386" s="8" t="s">
        <v>329</v>
      </c>
      <c r="C386" s="9" t="s">
        <v>682</v>
      </c>
      <c r="D386" s="10">
        <v>166</v>
      </c>
      <c r="E386" s="9" t="s">
        <v>158</v>
      </c>
      <c r="F386" s="10">
        <v>166</v>
      </c>
      <c r="G386" s="10">
        <v>165.4</v>
      </c>
      <c r="H386" s="10">
        <v>132</v>
      </c>
      <c r="I386" s="10">
        <v>139</v>
      </c>
      <c r="J386" s="10">
        <v>113</v>
      </c>
      <c r="K386" s="10">
        <v>83</v>
      </c>
      <c r="L386" s="10">
        <v>103</v>
      </c>
      <c r="M386" s="10">
        <v>18.2</v>
      </c>
      <c r="N386" s="10">
        <v>1911</v>
      </c>
      <c r="O386" s="10">
        <v>0.81</v>
      </c>
      <c r="P386" s="10">
        <v>1544</v>
      </c>
      <c r="Q386" s="10">
        <v>176</v>
      </c>
      <c r="R386" s="10">
        <v>72</v>
      </c>
      <c r="S386" s="10">
        <v>47</v>
      </c>
      <c r="T386" s="10">
        <v>247</v>
      </c>
      <c r="U386" s="10">
        <v>7</v>
      </c>
      <c r="V386" s="10">
        <v>84</v>
      </c>
      <c r="W386" s="10">
        <v>0.14899999999999999</v>
      </c>
      <c r="X386" s="10">
        <v>185</v>
      </c>
      <c r="Y386" s="10">
        <v>79</v>
      </c>
      <c r="Z386" s="10">
        <v>62</v>
      </c>
      <c r="AA386" s="10">
        <v>6</v>
      </c>
      <c r="AB386" s="10">
        <v>11.8</v>
      </c>
      <c r="AC386" s="9" t="s">
        <v>349</v>
      </c>
      <c r="AD386" s="9" t="s">
        <v>231</v>
      </c>
      <c r="AE386" s="9" t="s">
        <v>188</v>
      </c>
      <c r="AF386" s="10"/>
      <c r="AG386" s="10"/>
    </row>
    <row r="387" spans="1:33">
      <c r="A387" s="7" t="s">
        <v>155</v>
      </c>
      <c r="B387" s="8" t="s">
        <v>329</v>
      </c>
      <c r="C387" s="9" t="s">
        <v>682</v>
      </c>
      <c r="D387" s="10">
        <v>174</v>
      </c>
      <c r="E387" s="9" t="s">
        <v>158</v>
      </c>
      <c r="F387" s="10">
        <v>174</v>
      </c>
      <c r="G387" s="10">
        <v>173.4</v>
      </c>
      <c r="H387" s="10">
        <v>138</v>
      </c>
      <c r="I387" s="10">
        <v>146</v>
      </c>
      <c r="J387" s="10">
        <v>115</v>
      </c>
      <c r="K387" s="10">
        <v>84</v>
      </c>
      <c r="L387" s="10">
        <v>104</v>
      </c>
      <c r="M387" s="10">
        <v>19.8</v>
      </c>
      <c r="N387" s="10">
        <v>1961</v>
      </c>
      <c r="O387" s="10">
        <v>0.84</v>
      </c>
      <c r="P387" s="10">
        <v>1638</v>
      </c>
      <c r="Q387" s="10">
        <v>211</v>
      </c>
      <c r="R387" s="10">
        <v>82</v>
      </c>
      <c r="S387" s="10">
        <v>50</v>
      </c>
      <c r="T387" s="10">
        <v>261</v>
      </c>
      <c r="U387" s="10">
        <v>8</v>
      </c>
      <c r="V387" s="10">
        <v>93</v>
      </c>
      <c r="W387" s="10">
        <v>0.16500000000000001</v>
      </c>
      <c r="X387" s="10">
        <v>196</v>
      </c>
      <c r="Y387" s="10">
        <v>83</v>
      </c>
      <c r="Z387" s="10">
        <v>65</v>
      </c>
      <c r="AA387" s="10">
        <v>5</v>
      </c>
      <c r="AB387" s="10">
        <v>11.8</v>
      </c>
      <c r="AC387" s="9" t="s">
        <v>349</v>
      </c>
      <c r="AD387" s="9" t="s">
        <v>231</v>
      </c>
      <c r="AE387" s="9" t="s">
        <v>188</v>
      </c>
      <c r="AF387" s="10"/>
      <c r="AG387" s="10"/>
    </row>
    <row r="388" spans="1:33">
      <c r="A388" s="7" t="s">
        <v>155</v>
      </c>
      <c r="B388" s="8" t="s">
        <v>202</v>
      </c>
      <c r="C388" s="9" t="s">
        <v>783</v>
      </c>
      <c r="D388" s="10">
        <v>162</v>
      </c>
      <c r="E388" s="9" t="s">
        <v>163</v>
      </c>
      <c r="F388" s="10">
        <v>162</v>
      </c>
      <c r="G388" s="10">
        <v>162.19999999999999</v>
      </c>
      <c r="H388" s="10">
        <v>141</v>
      </c>
      <c r="I388" s="10">
        <v>148</v>
      </c>
      <c r="J388" s="10">
        <v>123</v>
      </c>
      <c r="K388" s="10">
        <v>74</v>
      </c>
      <c r="L388" s="10">
        <v>109</v>
      </c>
      <c r="M388" s="10">
        <v>13</v>
      </c>
      <c r="N388" s="10">
        <v>1591</v>
      </c>
      <c r="O388" s="10">
        <v>0.91</v>
      </c>
      <c r="P388" s="10">
        <v>1445</v>
      </c>
      <c r="Q388" s="10">
        <v>170</v>
      </c>
      <c r="R388" s="10">
        <v>62</v>
      </c>
      <c r="S388" s="10">
        <v>43</v>
      </c>
      <c r="T388" s="10">
        <v>153</v>
      </c>
      <c r="U388" s="10">
        <v>4</v>
      </c>
      <c r="V388" s="10">
        <v>54</v>
      </c>
      <c r="W388" s="10">
        <v>0.10199999999999999</v>
      </c>
      <c r="X388" s="10">
        <v>80</v>
      </c>
      <c r="Y388" s="10">
        <v>59</v>
      </c>
      <c r="Z388" s="10">
        <v>73</v>
      </c>
      <c r="AA388" s="10">
        <v>12</v>
      </c>
      <c r="AB388" s="10">
        <v>10.1</v>
      </c>
      <c r="AC388" s="9" t="s">
        <v>349</v>
      </c>
      <c r="AD388" s="10"/>
      <c r="AE388" s="10"/>
      <c r="AF388" s="10"/>
      <c r="AG388" s="10"/>
    </row>
    <row r="389" spans="1:33">
      <c r="A389" s="7" t="s">
        <v>155</v>
      </c>
      <c r="B389" s="8" t="s">
        <v>202</v>
      </c>
      <c r="C389" s="9" t="s">
        <v>493</v>
      </c>
      <c r="D389" s="10">
        <v>172</v>
      </c>
      <c r="E389" s="9" t="s">
        <v>158</v>
      </c>
      <c r="F389" s="10">
        <v>172</v>
      </c>
      <c r="G389" s="10">
        <v>170</v>
      </c>
      <c r="H389" s="10">
        <v>107</v>
      </c>
      <c r="I389" s="10">
        <v>133</v>
      </c>
      <c r="J389" s="10">
        <v>137</v>
      </c>
      <c r="K389" s="10">
        <v>107</v>
      </c>
      <c r="L389" s="10">
        <v>127</v>
      </c>
      <c r="M389" s="10">
        <v>15.1</v>
      </c>
      <c r="N389" s="10">
        <v>1972</v>
      </c>
      <c r="O389" s="10">
        <v>1.01</v>
      </c>
      <c r="P389" s="10">
        <v>1986</v>
      </c>
      <c r="Q389" s="10">
        <v>197</v>
      </c>
      <c r="R389" s="10">
        <v>95</v>
      </c>
      <c r="S389" s="10">
        <v>57</v>
      </c>
      <c r="T389" s="10">
        <v>334</v>
      </c>
      <c r="U389" s="10">
        <v>40</v>
      </c>
      <c r="V389" s="10">
        <v>300</v>
      </c>
      <c r="W389" s="10">
        <v>0.69899999999999995</v>
      </c>
      <c r="X389" s="10">
        <v>198</v>
      </c>
      <c r="Y389" s="10">
        <v>172</v>
      </c>
      <c r="Z389" s="10">
        <v>135</v>
      </c>
      <c r="AA389" s="10">
        <v>7</v>
      </c>
      <c r="AB389" s="10">
        <v>7.4</v>
      </c>
      <c r="AC389" s="9" t="s">
        <v>169</v>
      </c>
      <c r="AD389" s="10"/>
      <c r="AE389" s="10"/>
      <c r="AF389" s="10"/>
      <c r="AG389" s="10"/>
    </row>
    <row r="390" spans="1:33">
      <c r="A390" s="7" t="s">
        <v>155</v>
      </c>
      <c r="B390" s="8" t="s">
        <v>202</v>
      </c>
      <c r="C390" s="9" t="s">
        <v>493</v>
      </c>
      <c r="D390" s="10">
        <v>182</v>
      </c>
      <c r="E390" s="9" t="s">
        <v>158</v>
      </c>
      <c r="F390" s="10">
        <v>182</v>
      </c>
      <c r="G390" s="10">
        <v>181.7</v>
      </c>
      <c r="H390" s="10">
        <v>116</v>
      </c>
      <c r="I390" s="10">
        <v>145</v>
      </c>
      <c r="J390" s="10">
        <v>136</v>
      </c>
      <c r="K390" s="10">
        <v>107</v>
      </c>
      <c r="L390" s="10">
        <v>127</v>
      </c>
      <c r="M390" s="10">
        <v>18.3</v>
      </c>
      <c r="N390" s="10">
        <v>2192</v>
      </c>
      <c r="O390" s="10">
        <v>0.97</v>
      </c>
      <c r="P390" s="10">
        <v>2122</v>
      </c>
      <c r="Q390" s="10">
        <v>260</v>
      </c>
      <c r="R390" s="10">
        <v>117</v>
      </c>
      <c r="S390" s="10">
        <v>58</v>
      </c>
      <c r="T390" s="10">
        <v>316</v>
      </c>
      <c r="U390" s="10">
        <v>41</v>
      </c>
      <c r="V390" s="10">
        <v>340</v>
      </c>
      <c r="W390" s="10">
        <v>0.71599999999999997</v>
      </c>
      <c r="X390" s="10">
        <v>189</v>
      </c>
      <c r="Y390" s="10">
        <v>180</v>
      </c>
      <c r="Z390" s="10">
        <v>127</v>
      </c>
      <c r="AA390" s="10">
        <v>7</v>
      </c>
      <c r="AB390" s="10">
        <v>8.4</v>
      </c>
      <c r="AC390" s="9" t="s">
        <v>169</v>
      </c>
      <c r="AD390" s="10"/>
      <c r="AE390" s="10"/>
      <c r="AF390" s="10"/>
      <c r="AG390" s="10"/>
    </row>
    <row r="391" spans="1:33">
      <c r="A391" s="7" t="s">
        <v>155</v>
      </c>
      <c r="B391" s="8" t="s">
        <v>202</v>
      </c>
      <c r="C391" s="9" t="s">
        <v>493</v>
      </c>
      <c r="D391" s="10">
        <v>192</v>
      </c>
      <c r="E391" s="9" t="s">
        <v>158</v>
      </c>
      <c r="F391" s="10">
        <v>192</v>
      </c>
      <c r="G391" s="10">
        <v>191.8</v>
      </c>
      <c r="H391" s="10">
        <v>123</v>
      </c>
      <c r="I391" s="10">
        <v>152</v>
      </c>
      <c r="J391" s="10">
        <v>137</v>
      </c>
      <c r="K391" s="10">
        <v>107</v>
      </c>
      <c r="L391" s="10">
        <v>127</v>
      </c>
      <c r="M391" s="10">
        <v>20.5</v>
      </c>
      <c r="N391" s="10">
        <v>2330</v>
      </c>
      <c r="O391" s="10">
        <v>0.96</v>
      </c>
      <c r="P391" s="10">
        <v>2226</v>
      </c>
      <c r="Q391" s="10">
        <v>282</v>
      </c>
      <c r="R391" s="10">
        <v>151</v>
      </c>
      <c r="S391" s="10">
        <v>67</v>
      </c>
      <c r="T391" s="10">
        <v>362</v>
      </c>
      <c r="U391" s="10">
        <v>43</v>
      </c>
      <c r="V391" s="10">
        <v>329</v>
      </c>
      <c r="W391" s="10">
        <v>0.64500000000000002</v>
      </c>
      <c r="X391" s="10">
        <v>216</v>
      </c>
      <c r="Y391" s="10">
        <v>181</v>
      </c>
      <c r="Z391" s="10">
        <v>145</v>
      </c>
      <c r="AA391" s="10">
        <v>10</v>
      </c>
      <c r="AB391" s="10">
        <v>8.6999999999999993</v>
      </c>
      <c r="AC391" s="9" t="s">
        <v>169</v>
      </c>
      <c r="AD391" s="10"/>
      <c r="AE391" s="10"/>
      <c r="AF391" s="10"/>
      <c r="AG391" s="10"/>
    </row>
    <row r="392" spans="1:33">
      <c r="A392" s="7" t="s">
        <v>155</v>
      </c>
      <c r="B392" s="8" t="s">
        <v>202</v>
      </c>
      <c r="C392" s="9" t="s">
        <v>817</v>
      </c>
      <c r="D392" s="10">
        <v>180</v>
      </c>
      <c r="E392" s="9" t="s">
        <v>158</v>
      </c>
      <c r="F392" s="10">
        <v>180</v>
      </c>
      <c r="G392" s="10">
        <v>179.3</v>
      </c>
      <c r="H392" s="10">
        <v>117</v>
      </c>
      <c r="I392" s="10">
        <v>135</v>
      </c>
      <c r="J392" s="10">
        <v>144</v>
      </c>
      <c r="K392" s="10">
        <v>117</v>
      </c>
      <c r="L392" s="10">
        <v>134</v>
      </c>
      <c r="M392" s="10">
        <v>18.399999999999999</v>
      </c>
      <c r="N392" s="10">
        <v>2269</v>
      </c>
      <c r="O392" s="10">
        <v>0.99</v>
      </c>
      <c r="P392" s="10">
        <v>2240</v>
      </c>
      <c r="Q392" s="10">
        <v>226</v>
      </c>
      <c r="R392" s="10">
        <v>101</v>
      </c>
      <c r="S392" s="10">
        <v>56</v>
      </c>
      <c r="T392" s="10">
        <v>338</v>
      </c>
      <c r="U392" s="10">
        <v>32</v>
      </c>
      <c r="V392" s="10">
        <v>287</v>
      </c>
      <c r="W392" s="10">
        <v>0.57699999999999996</v>
      </c>
      <c r="X392" s="10">
        <v>264</v>
      </c>
      <c r="Y392" s="10">
        <v>182</v>
      </c>
      <c r="Z392" s="10">
        <v>74</v>
      </c>
      <c r="AA392" s="10">
        <v>8</v>
      </c>
      <c r="AB392" s="10">
        <v>9.4</v>
      </c>
      <c r="AC392" s="9" t="s">
        <v>169</v>
      </c>
      <c r="AD392" s="10"/>
      <c r="AE392" s="10"/>
      <c r="AF392" s="10"/>
      <c r="AG392" s="10"/>
    </row>
    <row r="393" spans="1:33">
      <c r="A393" s="7" t="s">
        <v>155</v>
      </c>
      <c r="B393" s="8" t="s">
        <v>202</v>
      </c>
      <c r="C393" s="9" t="s">
        <v>817</v>
      </c>
      <c r="D393" s="10">
        <v>189</v>
      </c>
      <c r="E393" s="9" t="s">
        <v>158</v>
      </c>
      <c r="F393" s="10">
        <v>189</v>
      </c>
      <c r="G393" s="10">
        <v>186.9</v>
      </c>
      <c r="H393" s="10">
        <v>125</v>
      </c>
      <c r="I393" s="10">
        <v>141</v>
      </c>
      <c r="J393" s="10">
        <v>144</v>
      </c>
      <c r="K393" s="10">
        <v>117</v>
      </c>
      <c r="L393" s="10">
        <v>134</v>
      </c>
      <c r="M393" s="10">
        <v>20.9</v>
      </c>
      <c r="N393" s="10">
        <v>2472</v>
      </c>
      <c r="O393" s="10">
        <v>0.94</v>
      </c>
      <c r="P393" s="10">
        <v>2327</v>
      </c>
      <c r="Q393" s="10">
        <v>237</v>
      </c>
      <c r="R393" s="10">
        <v>122</v>
      </c>
      <c r="S393" s="10">
        <v>61</v>
      </c>
      <c r="T393" s="10">
        <v>352</v>
      </c>
      <c r="U393" s="10">
        <v>30</v>
      </c>
      <c r="V393" s="10">
        <v>268</v>
      </c>
      <c r="W393" s="10">
        <v>0.48799999999999999</v>
      </c>
      <c r="X393" s="10">
        <v>271</v>
      </c>
      <c r="Y393" s="10">
        <v>189</v>
      </c>
      <c r="Z393" s="10">
        <v>82</v>
      </c>
      <c r="AA393" s="10">
        <v>10</v>
      </c>
      <c r="AB393" s="10">
        <v>9.9</v>
      </c>
      <c r="AC393" s="9" t="s">
        <v>169</v>
      </c>
      <c r="AD393" s="10"/>
      <c r="AE393" s="10"/>
      <c r="AF393" s="10"/>
      <c r="AG393" s="10"/>
    </row>
    <row r="394" spans="1:33">
      <c r="A394" s="7" t="s">
        <v>155</v>
      </c>
      <c r="B394" s="8" t="s">
        <v>202</v>
      </c>
      <c r="C394" s="9" t="s">
        <v>340</v>
      </c>
      <c r="D394" s="10">
        <v>171</v>
      </c>
      <c r="E394" s="9" t="s">
        <v>158</v>
      </c>
      <c r="F394" s="10">
        <v>171</v>
      </c>
      <c r="G394" s="10">
        <v>170</v>
      </c>
      <c r="H394" s="10">
        <v>102</v>
      </c>
      <c r="I394" s="10">
        <v>136</v>
      </c>
      <c r="J394" s="10">
        <v>127</v>
      </c>
      <c r="K394" s="10">
        <v>96</v>
      </c>
      <c r="L394" s="10">
        <v>119</v>
      </c>
      <c r="M394" s="10">
        <v>14.8</v>
      </c>
      <c r="N394" s="10">
        <v>1768</v>
      </c>
      <c r="O394" s="10">
        <v>1.03</v>
      </c>
      <c r="P394" s="10">
        <v>1829</v>
      </c>
      <c r="Q394" s="10">
        <v>181</v>
      </c>
      <c r="R394" s="10">
        <v>91</v>
      </c>
      <c r="S394" s="10">
        <v>57</v>
      </c>
      <c r="T394" s="10">
        <v>342</v>
      </c>
      <c r="U394" s="10">
        <v>44</v>
      </c>
      <c r="V394" s="10">
        <v>339</v>
      </c>
      <c r="W394" s="10">
        <v>0.76400000000000001</v>
      </c>
      <c r="X394" s="10">
        <v>199</v>
      </c>
      <c r="Y394" s="10">
        <v>144</v>
      </c>
      <c r="Z394" s="10">
        <v>143</v>
      </c>
      <c r="AA394" s="10">
        <v>6</v>
      </c>
      <c r="AB394" s="10">
        <v>7.3</v>
      </c>
      <c r="AC394" s="9" t="s">
        <v>188</v>
      </c>
      <c r="AD394" s="10"/>
      <c r="AE394" s="10"/>
      <c r="AF394" s="10"/>
      <c r="AG394" s="10"/>
    </row>
    <row r="395" spans="1:33">
      <c r="A395" s="7" t="s">
        <v>155</v>
      </c>
      <c r="B395" s="8" t="s">
        <v>202</v>
      </c>
      <c r="C395" s="9" t="s">
        <v>340</v>
      </c>
      <c r="D395" s="10">
        <v>179</v>
      </c>
      <c r="E395" s="9" t="s">
        <v>158</v>
      </c>
      <c r="F395" s="10">
        <v>179</v>
      </c>
      <c r="G395" s="10">
        <v>177.9</v>
      </c>
      <c r="H395" s="10">
        <v>110</v>
      </c>
      <c r="I395" s="10">
        <v>143</v>
      </c>
      <c r="J395" s="10">
        <v>127</v>
      </c>
      <c r="K395" s="10">
        <v>97</v>
      </c>
      <c r="L395" s="10">
        <v>119</v>
      </c>
      <c r="M395" s="10">
        <v>16.7</v>
      </c>
      <c r="N395" s="10">
        <v>1935</v>
      </c>
      <c r="O395" s="10">
        <v>0.99</v>
      </c>
      <c r="P395" s="10">
        <v>1914</v>
      </c>
      <c r="Q395" s="10">
        <v>228</v>
      </c>
      <c r="R395" s="10">
        <v>106</v>
      </c>
      <c r="S395" s="10">
        <v>54</v>
      </c>
      <c r="T395" s="10">
        <v>335</v>
      </c>
      <c r="U395" s="10">
        <v>46</v>
      </c>
      <c r="V395" s="10">
        <v>343</v>
      </c>
      <c r="W395" s="10">
        <v>0.85199999999999998</v>
      </c>
      <c r="X395" s="10">
        <v>198</v>
      </c>
      <c r="Y395" s="10">
        <v>155</v>
      </c>
      <c r="Z395" s="10">
        <v>137</v>
      </c>
      <c r="AA395" s="10">
        <v>7</v>
      </c>
      <c r="AB395" s="10">
        <v>8</v>
      </c>
      <c r="AC395" s="9" t="s">
        <v>188</v>
      </c>
      <c r="AD395" s="9" t="s">
        <v>184</v>
      </c>
      <c r="AE395" s="10"/>
      <c r="AF395" s="10"/>
      <c r="AG395" s="10"/>
    </row>
    <row r="396" spans="1:33">
      <c r="A396" s="7" t="s">
        <v>155</v>
      </c>
      <c r="B396" s="8" t="s">
        <v>202</v>
      </c>
      <c r="C396" s="9" t="s">
        <v>340</v>
      </c>
      <c r="D396" s="10">
        <v>185</v>
      </c>
      <c r="E396" s="9" t="s">
        <v>158</v>
      </c>
      <c r="F396" s="10">
        <v>185</v>
      </c>
      <c r="G396" s="10">
        <v>184.2</v>
      </c>
      <c r="H396" s="10">
        <v>112</v>
      </c>
      <c r="I396" s="10">
        <v>149</v>
      </c>
      <c r="J396" s="10">
        <v>127</v>
      </c>
      <c r="K396" s="10">
        <v>96</v>
      </c>
      <c r="L396" s="10">
        <v>119</v>
      </c>
      <c r="M396" s="10">
        <v>17.899999999999999</v>
      </c>
      <c r="N396" s="10">
        <v>1999</v>
      </c>
      <c r="O396" s="10">
        <v>0.98</v>
      </c>
      <c r="P396" s="10">
        <v>1968</v>
      </c>
      <c r="Q396" s="10">
        <v>242</v>
      </c>
      <c r="R396" s="10">
        <v>114</v>
      </c>
      <c r="S396" s="10">
        <v>59</v>
      </c>
      <c r="T396" s="10">
        <v>341</v>
      </c>
      <c r="U396" s="10">
        <v>60</v>
      </c>
      <c r="V396" s="10">
        <v>382</v>
      </c>
      <c r="W396" s="10">
        <v>1.028</v>
      </c>
      <c r="X396" s="10">
        <v>184</v>
      </c>
      <c r="Y396" s="10">
        <v>170</v>
      </c>
      <c r="Z396" s="10">
        <v>157</v>
      </c>
      <c r="AA396" s="10">
        <v>7</v>
      </c>
      <c r="AB396" s="10">
        <v>6.5</v>
      </c>
      <c r="AC396" s="9" t="s">
        <v>184</v>
      </c>
      <c r="AD396" s="10"/>
      <c r="AE396" s="10"/>
      <c r="AF396" s="10"/>
      <c r="AG396" s="10"/>
    </row>
    <row r="397" spans="1:33">
      <c r="A397" s="7" t="s">
        <v>155</v>
      </c>
      <c r="B397" s="8" t="s">
        <v>202</v>
      </c>
      <c r="C397" s="9" t="s">
        <v>602</v>
      </c>
      <c r="D397" s="10">
        <v>140</v>
      </c>
      <c r="E397" s="9" t="s">
        <v>158</v>
      </c>
      <c r="F397" s="10">
        <v>140</v>
      </c>
      <c r="G397" s="10">
        <v>138.6</v>
      </c>
      <c r="H397" s="10">
        <v>90</v>
      </c>
      <c r="I397" s="10">
        <v>115</v>
      </c>
      <c r="J397" s="10">
        <v>117</v>
      </c>
      <c r="K397" s="10">
        <v>89</v>
      </c>
      <c r="L397" s="10">
        <v>107</v>
      </c>
      <c r="M397" s="10">
        <v>13.4</v>
      </c>
      <c r="N397" s="10">
        <v>1412</v>
      </c>
      <c r="O397" s="10">
        <v>0.96</v>
      </c>
      <c r="P397" s="10">
        <v>1359</v>
      </c>
      <c r="Q397" s="10">
        <v>153</v>
      </c>
      <c r="R397" s="10">
        <v>67</v>
      </c>
      <c r="S397" s="10">
        <v>49</v>
      </c>
      <c r="T397" s="10">
        <v>259</v>
      </c>
      <c r="U397" s="10">
        <v>33</v>
      </c>
      <c r="V397" s="10">
        <v>223</v>
      </c>
      <c r="W397" s="10">
        <v>0.67</v>
      </c>
      <c r="X397" s="10">
        <v>114</v>
      </c>
      <c r="Y397" s="10">
        <v>124</v>
      </c>
      <c r="Z397" s="10">
        <v>145</v>
      </c>
      <c r="AA397" s="10">
        <v>5</v>
      </c>
      <c r="AB397" s="10">
        <v>6.8</v>
      </c>
      <c r="AC397" s="9" t="s">
        <v>188</v>
      </c>
      <c r="AD397" s="10"/>
      <c r="AE397" s="10"/>
      <c r="AF397" s="10"/>
      <c r="AG397" s="10"/>
    </row>
    <row r="398" spans="1:33">
      <c r="A398" s="7" t="s">
        <v>155</v>
      </c>
      <c r="B398" s="8" t="s">
        <v>202</v>
      </c>
      <c r="C398" s="9" t="s">
        <v>602</v>
      </c>
      <c r="D398" s="10">
        <v>150</v>
      </c>
      <c r="E398" s="9" t="s">
        <v>158</v>
      </c>
      <c r="F398" s="10">
        <v>150</v>
      </c>
      <c r="G398" s="10">
        <v>148.5</v>
      </c>
      <c r="H398" s="10">
        <v>100</v>
      </c>
      <c r="I398" s="10">
        <v>123</v>
      </c>
      <c r="J398" s="10">
        <v>118</v>
      </c>
      <c r="K398" s="10">
        <v>89</v>
      </c>
      <c r="L398" s="10">
        <v>107</v>
      </c>
      <c r="M398" s="10">
        <v>17</v>
      </c>
      <c r="N398" s="10">
        <v>1464</v>
      </c>
      <c r="O398" s="10">
        <v>0.99</v>
      </c>
      <c r="P398" s="10">
        <v>1453</v>
      </c>
      <c r="Q398" s="10">
        <v>149</v>
      </c>
      <c r="R398" s="10">
        <v>60</v>
      </c>
      <c r="S398" s="10">
        <v>50</v>
      </c>
      <c r="T398" s="10">
        <v>258</v>
      </c>
      <c r="U398" s="10">
        <v>31</v>
      </c>
      <c r="V398" s="10">
        <v>227</v>
      </c>
      <c r="W398" s="10">
        <v>0.63</v>
      </c>
      <c r="X398" s="10">
        <v>126</v>
      </c>
      <c r="Y398" s="10">
        <v>132</v>
      </c>
      <c r="Z398" s="10">
        <v>132</v>
      </c>
      <c r="AA398" s="10">
        <v>5</v>
      </c>
      <c r="AB398" s="10">
        <v>6.8</v>
      </c>
      <c r="AC398" s="9" t="s">
        <v>188</v>
      </c>
      <c r="AD398" s="10"/>
      <c r="AE398" s="10"/>
      <c r="AF398" s="10"/>
      <c r="AG398" s="10"/>
    </row>
    <row r="399" spans="1:33">
      <c r="A399" s="7" t="s">
        <v>155</v>
      </c>
      <c r="B399" s="8" t="s">
        <v>202</v>
      </c>
      <c r="C399" s="9" t="s">
        <v>602</v>
      </c>
      <c r="D399" s="10">
        <v>160</v>
      </c>
      <c r="E399" s="9" t="s">
        <v>158</v>
      </c>
      <c r="F399" s="10">
        <v>160</v>
      </c>
      <c r="G399" s="10">
        <v>158.5</v>
      </c>
      <c r="H399" s="10">
        <v>112</v>
      </c>
      <c r="I399" s="10">
        <v>134</v>
      </c>
      <c r="J399" s="10">
        <v>117</v>
      </c>
      <c r="K399" s="10">
        <v>89</v>
      </c>
      <c r="L399" s="10">
        <v>107</v>
      </c>
      <c r="M399" s="10">
        <v>20.5</v>
      </c>
      <c r="N399" s="10">
        <v>1535</v>
      </c>
      <c r="O399" s="10">
        <v>1.01</v>
      </c>
      <c r="P399" s="10">
        <v>1545</v>
      </c>
      <c r="Q399" s="10">
        <v>157</v>
      </c>
      <c r="R399" s="10">
        <v>59</v>
      </c>
      <c r="S399" s="10">
        <v>48</v>
      </c>
      <c r="T399" s="10">
        <v>257</v>
      </c>
      <c r="U399" s="10">
        <v>29</v>
      </c>
      <c r="V399" s="10">
        <v>212</v>
      </c>
      <c r="W399" s="10">
        <v>0.60099999999999998</v>
      </c>
      <c r="X399" s="10">
        <v>117</v>
      </c>
      <c r="Y399" s="10">
        <v>126</v>
      </c>
      <c r="Z399" s="10">
        <v>140</v>
      </c>
      <c r="AA399" s="10">
        <v>5</v>
      </c>
      <c r="AB399" s="10">
        <v>7.2</v>
      </c>
      <c r="AC399" s="9" t="s">
        <v>188</v>
      </c>
      <c r="AD399" s="10"/>
      <c r="AE399" s="10"/>
      <c r="AF399" s="10"/>
      <c r="AG399" s="10"/>
    </row>
    <row r="400" spans="1:33">
      <c r="A400" s="7" t="s">
        <v>155</v>
      </c>
      <c r="B400" s="8" t="s">
        <v>202</v>
      </c>
      <c r="C400" s="9" t="s">
        <v>602</v>
      </c>
      <c r="D400" s="10">
        <v>170</v>
      </c>
      <c r="E400" s="9" t="s">
        <v>158</v>
      </c>
      <c r="F400" s="10">
        <v>170</v>
      </c>
      <c r="G400" s="10">
        <v>168.5</v>
      </c>
      <c r="H400" s="10">
        <v>121</v>
      </c>
      <c r="I400" s="10">
        <v>142</v>
      </c>
      <c r="J400" s="10">
        <v>118</v>
      </c>
      <c r="K400" s="10">
        <v>91</v>
      </c>
      <c r="L400" s="10">
        <v>108</v>
      </c>
      <c r="M400" s="10">
        <v>22.3</v>
      </c>
      <c r="N400" s="10">
        <v>1662</v>
      </c>
      <c r="O400" s="10">
        <v>1.01</v>
      </c>
      <c r="P400" s="10">
        <v>1679</v>
      </c>
      <c r="Q400" s="10">
        <v>187</v>
      </c>
      <c r="R400" s="10">
        <v>74</v>
      </c>
      <c r="S400" s="10">
        <v>50</v>
      </c>
      <c r="T400" s="10">
        <v>249</v>
      </c>
      <c r="U400" s="10">
        <v>32</v>
      </c>
      <c r="V400" s="10">
        <v>223</v>
      </c>
      <c r="W400" s="10">
        <v>0.63800000000000001</v>
      </c>
      <c r="X400" s="10">
        <v>132</v>
      </c>
      <c r="Y400" s="10">
        <v>134</v>
      </c>
      <c r="Z400" s="10">
        <v>118</v>
      </c>
      <c r="AA400" s="10">
        <v>8</v>
      </c>
      <c r="AB400" s="10">
        <v>7.4</v>
      </c>
      <c r="AC400" s="9" t="s">
        <v>188</v>
      </c>
      <c r="AD400" s="10"/>
      <c r="AE400" s="10"/>
      <c r="AF400" s="10"/>
      <c r="AG400" s="10"/>
    </row>
    <row r="401" spans="1:33">
      <c r="A401" s="7" t="s">
        <v>155</v>
      </c>
      <c r="B401" s="8" t="s">
        <v>202</v>
      </c>
      <c r="C401" s="9" t="s">
        <v>420</v>
      </c>
      <c r="D401" s="10">
        <v>170</v>
      </c>
      <c r="E401" s="9" t="s">
        <v>158</v>
      </c>
      <c r="F401" s="10">
        <v>170</v>
      </c>
      <c r="G401" s="10">
        <v>171.1</v>
      </c>
      <c r="H401" s="10">
        <v>139</v>
      </c>
      <c r="I401" s="10">
        <v>140</v>
      </c>
      <c r="J401" s="10">
        <v>121</v>
      </c>
      <c r="K401" s="10">
        <v>82</v>
      </c>
      <c r="L401" s="10">
        <v>103</v>
      </c>
      <c r="M401" s="10">
        <v>15.6</v>
      </c>
      <c r="N401" s="10">
        <v>1610</v>
      </c>
      <c r="O401" s="10">
        <v>1</v>
      </c>
      <c r="P401" s="10">
        <v>1615</v>
      </c>
      <c r="Q401" s="10">
        <v>186</v>
      </c>
      <c r="R401" s="10">
        <v>84</v>
      </c>
      <c r="S401" s="10">
        <v>41</v>
      </c>
      <c r="T401" s="10">
        <v>260</v>
      </c>
      <c r="U401" s="10">
        <v>5</v>
      </c>
      <c r="V401" s="10">
        <v>59</v>
      </c>
      <c r="W401" s="10">
        <v>0.115</v>
      </c>
      <c r="X401" s="10">
        <v>164</v>
      </c>
      <c r="Y401" s="10">
        <v>148</v>
      </c>
      <c r="Z401" s="10">
        <v>96</v>
      </c>
      <c r="AA401" s="10">
        <v>11</v>
      </c>
      <c r="AB401" s="10">
        <v>6.2</v>
      </c>
      <c r="AC401" s="9" t="s">
        <v>231</v>
      </c>
      <c r="AD401" s="9" t="s">
        <v>188</v>
      </c>
      <c r="AE401" s="10"/>
      <c r="AF401" s="10"/>
      <c r="AG401" s="10"/>
    </row>
    <row r="402" spans="1:33">
      <c r="A402" s="7" t="s">
        <v>155</v>
      </c>
      <c r="B402" s="8" t="s">
        <v>202</v>
      </c>
      <c r="C402" s="9" t="s">
        <v>420</v>
      </c>
      <c r="D402" s="10">
        <v>177</v>
      </c>
      <c r="E402" s="9" t="s">
        <v>158</v>
      </c>
      <c r="F402" s="10">
        <v>177</v>
      </c>
      <c r="G402" s="10">
        <v>177</v>
      </c>
      <c r="H402" s="10">
        <v>146</v>
      </c>
      <c r="I402" s="10">
        <v>143</v>
      </c>
      <c r="J402" s="10">
        <v>120</v>
      </c>
      <c r="K402" s="10">
        <v>82</v>
      </c>
      <c r="L402" s="10">
        <v>105</v>
      </c>
      <c r="M402" s="10">
        <v>16.399999999999999</v>
      </c>
      <c r="N402" s="10">
        <v>1760</v>
      </c>
      <c r="O402" s="10">
        <v>0.95</v>
      </c>
      <c r="P402" s="10">
        <v>1670</v>
      </c>
      <c r="Q402" s="10">
        <v>223</v>
      </c>
      <c r="R402" s="10">
        <v>99</v>
      </c>
      <c r="S402" s="10">
        <v>40</v>
      </c>
      <c r="T402" s="10">
        <v>252</v>
      </c>
      <c r="U402" s="10">
        <v>5</v>
      </c>
      <c r="V402" s="10">
        <v>63</v>
      </c>
      <c r="W402" s="10">
        <v>0.13700000000000001</v>
      </c>
      <c r="X402" s="10">
        <v>167</v>
      </c>
      <c r="Y402" s="10">
        <v>175</v>
      </c>
      <c r="Z402" s="10">
        <v>85</v>
      </c>
      <c r="AA402" s="10">
        <v>9</v>
      </c>
      <c r="AB402" s="10">
        <v>6.6</v>
      </c>
      <c r="AC402" s="9" t="s">
        <v>349</v>
      </c>
      <c r="AD402" s="9" t="s">
        <v>231</v>
      </c>
      <c r="AE402" s="9" t="s">
        <v>188</v>
      </c>
      <c r="AF402" s="10"/>
      <c r="AG402" s="10"/>
    </row>
    <row r="403" spans="1:33">
      <c r="A403" s="7" t="s">
        <v>155</v>
      </c>
      <c r="B403" s="8" t="s">
        <v>202</v>
      </c>
      <c r="C403" s="9" t="s">
        <v>420</v>
      </c>
      <c r="D403" s="10">
        <v>184</v>
      </c>
      <c r="E403" s="9" t="s">
        <v>158</v>
      </c>
      <c r="F403" s="10">
        <v>184</v>
      </c>
      <c r="G403" s="10">
        <v>184.4</v>
      </c>
      <c r="H403" s="10">
        <v>153</v>
      </c>
      <c r="I403" s="10">
        <v>152</v>
      </c>
      <c r="J403" s="10">
        <v>121</v>
      </c>
      <c r="K403" s="10">
        <v>82</v>
      </c>
      <c r="L403" s="10">
        <v>104</v>
      </c>
      <c r="M403" s="10">
        <v>18.600000000000001</v>
      </c>
      <c r="N403" s="10">
        <v>1884</v>
      </c>
      <c r="O403" s="10">
        <v>0.92</v>
      </c>
      <c r="P403" s="10">
        <v>1740</v>
      </c>
      <c r="Q403" s="10">
        <v>239</v>
      </c>
      <c r="R403" s="10">
        <v>113</v>
      </c>
      <c r="S403" s="10">
        <v>39</v>
      </c>
      <c r="T403" s="10">
        <v>249</v>
      </c>
      <c r="U403" s="10">
        <v>6</v>
      </c>
      <c r="V403" s="10">
        <v>65</v>
      </c>
      <c r="W403" s="10">
        <v>0.14499999999999999</v>
      </c>
      <c r="X403" s="10">
        <v>164</v>
      </c>
      <c r="Y403" s="10">
        <v>162</v>
      </c>
      <c r="Z403" s="10">
        <v>85</v>
      </c>
      <c r="AA403" s="10">
        <v>10</v>
      </c>
      <c r="AB403" s="10">
        <v>6.9</v>
      </c>
      <c r="AC403" s="9" t="s">
        <v>349</v>
      </c>
      <c r="AD403" s="9" t="s">
        <v>231</v>
      </c>
      <c r="AE403" s="9" t="s">
        <v>188</v>
      </c>
      <c r="AF403" s="10"/>
      <c r="AG403" s="10"/>
    </row>
    <row r="404" spans="1:33">
      <c r="A404" s="7" t="s">
        <v>155</v>
      </c>
      <c r="B404" s="8" t="s">
        <v>202</v>
      </c>
      <c r="C404" s="9" t="s">
        <v>649</v>
      </c>
      <c r="D404" s="10">
        <v>149</v>
      </c>
      <c r="E404" s="9" t="s">
        <v>163</v>
      </c>
      <c r="F404" s="10">
        <v>149</v>
      </c>
      <c r="G404" s="10">
        <v>148.69999999999999</v>
      </c>
      <c r="H404" s="10">
        <v>116</v>
      </c>
      <c r="I404" s="10">
        <v>119</v>
      </c>
      <c r="J404" s="10">
        <v>121</v>
      </c>
      <c r="K404" s="10">
        <v>82</v>
      </c>
      <c r="L404" s="10">
        <v>103</v>
      </c>
      <c r="M404" s="10">
        <v>10.8</v>
      </c>
      <c r="N404" s="10">
        <v>1401</v>
      </c>
      <c r="O404" s="10">
        <v>1.01</v>
      </c>
      <c r="P404" s="10">
        <v>1409</v>
      </c>
      <c r="Q404" s="10">
        <v>162</v>
      </c>
      <c r="R404" s="10">
        <v>78</v>
      </c>
      <c r="S404" s="10">
        <v>41</v>
      </c>
      <c r="T404" s="10">
        <v>266</v>
      </c>
      <c r="U404" s="10">
        <v>5</v>
      </c>
      <c r="V404" s="10">
        <v>60</v>
      </c>
      <c r="W404" s="10">
        <v>0.113</v>
      </c>
      <c r="X404" s="10">
        <v>156</v>
      </c>
      <c r="Y404" s="10">
        <v>140</v>
      </c>
      <c r="Z404" s="10">
        <v>110</v>
      </c>
      <c r="AA404" s="10">
        <v>8</v>
      </c>
      <c r="AB404" s="10">
        <v>6</v>
      </c>
      <c r="AC404" s="9" t="s">
        <v>231</v>
      </c>
      <c r="AD404" s="9" t="s">
        <v>188</v>
      </c>
      <c r="AE404" s="10"/>
      <c r="AF404" s="10"/>
      <c r="AG404" s="10"/>
    </row>
    <row r="405" spans="1:33">
      <c r="A405" s="7" t="s">
        <v>155</v>
      </c>
      <c r="B405" s="8" t="s">
        <v>202</v>
      </c>
      <c r="C405" s="9" t="s">
        <v>649</v>
      </c>
      <c r="D405" s="10">
        <v>156</v>
      </c>
      <c r="E405" s="9" t="s">
        <v>163</v>
      </c>
      <c r="F405" s="10">
        <v>156</v>
      </c>
      <c r="G405" s="10">
        <v>156.69999999999999</v>
      </c>
      <c r="H405" s="10">
        <v>124</v>
      </c>
      <c r="I405" s="10">
        <v>125</v>
      </c>
      <c r="J405" s="10">
        <v>121</v>
      </c>
      <c r="K405" s="10">
        <v>82</v>
      </c>
      <c r="L405" s="10">
        <v>103</v>
      </c>
      <c r="M405" s="10">
        <v>12.3</v>
      </c>
      <c r="N405" s="10">
        <v>1435</v>
      </c>
      <c r="O405" s="10">
        <v>1.03</v>
      </c>
      <c r="P405" s="10">
        <v>1485</v>
      </c>
      <c r="Q405" s="10">
        <v>165</v>
      </c>
      <c r="R405" s="10">
        <v>70</v>
      </c>
      <c r="S405" s="10">
        <v>40</v>
      </c>
      <c r="T405" s="10">
        <v>266</v>
      </c>
      <c r="U405" s="10">
        <v>5</v>
      </c>
      <c r="V405" s="10">
        <v>62</v>
      </c>
      <c r="W405" s="10">
        <v>0.124</v>
      </c>
      <c r="X405" s="10">
        <v>169</v>
      </c>
      <c r="Y405" s="10">
        <v>143</v>
      </c>
      <c r="Z405" s="10">
        <v>96</v>
      </c>
      <c r="AA405" s="10">
        <v>8</v>
      </c>
      <c r="AB405" s="10">
        <v>6</v>
      </c>
      <c r="AC405" s="9" t="s">
        <v>231</v>
      </c>
      <c r="AD405" s="9" t="s">
        <v>188</v>
      </c>
      <c r="AE405" s="10"/>
      <c r="AF405" s="10"/>
      <c r="AG405" s="10"/>
    </row>
    <row r="406" spans="1:33">
      <c r="A406" s="7" t="s">
        <v>155</v>
      </c>
      <c r="B406" s="8" t="s">
        <v>202</v>
      </c>
      <c r="C406" s="9" t="s">
        <v>649</v>
      </c>
      <c r="D406" s="10">
        <v>163</v>
      </c>
      <c r="E406" s="9" t="s">
        <v>163</v>
      </c>
      <c r="F406" s="10">
        <v>163</v>
      </c>
      <c r="G406" s="10">
        <v>163.9</v>
      </c>
      <c r="H406" s="10">
        <v>133</v>
      </c>
      <c r="I406" s="10">
        <v>133</v>
      </c>
      <c r="J406" s="10">
        <v>121</v>
      </c>
      <c r="K406" s="10">
        <v>82</v>
      </c>
      <c r="L406" s="10">
        <v>104</v>
      </c>
      <c r="M406" s="10">
        <v>13.8</v>
      </c>
      <c r="N406" s="10">
        <v>1543</v>
      </c>
      <c r="O406" s="10">
        <v>1</v>
      </c>
      <c r="P406" s="10">
        <v>1551</v>
      </c>
      <c r="Q406" s="10">
        <v>184</v>
      </c>
      <c r="R406" s="10">
        <v>74</v>
      </c>
      <c r="S406" s="10">
        <v>38</v>
      </c>
      <c r="T406" s="10">
        <v>248</v>
      </c>
      <c r="U406" s="10">
        <v>5</v>
      </c>
      <c r="V406" s="10">
        <v>64</v>
      </c>
      <c r="W406" s="10">
        <v>0.14099999999999999</v>
      </c>
      <c r="X406" s="10">
        <v>159</v>
      </c>
      <c r="Y406" s="10">
        <v>147</v>
      </c>
      <c r="Z406" s="10">
        <v>90</v>
      </c>
      <c r="AA406" s="10">
        <v>8</v>
      </c>
      <c r="AB406" s="10">
        <v>6.6</v>
      </c>
      <c r="AC406" s="9" t="s">
        <v>231</v>
      </c>
      <c r="AD406" s="9" t="s">
        <v>188</v>
      </c>
      <c r="AE406" s="10"/>
      <c r="AF406" s="10"/>
      <c r="AG406" s="10"/>
    </row>
    <row r="407" spans="1:33">
      <c r="A407" s="7" t="s">
        <v>155</v>
      </c>
      <c r="B407" s="8" t="s">
        <v>202</v>
      </c>
      <c r="C407" s="9" t="s">
        <v>203</v>
      </c>
      <c r="D407" s="10">
        <v>170</v>
      </c>
      <c r="E407" s="9" t="s">
        <v>158</v>
      </c>
      <c r="F407" s="10">
        <v>170</v>
      </c>
      <c r="G407" s="10">
        <v>170</v>
      </c>
      <c r="H407" s="10">
        <v>121</v>
      </c>
      <c r="I407" s="10">
        <v>140</v>
      </c>
      <c r="J407" s="10">
        <v>118</v>
      </c>
      <c r="K407" s="10">
        <v>87</v>
      </c>
      <c r="L407" s="10">
        <v>108</v>
      </c>
      <c r="M407" s="10">
        <v>16.5</v>
      </c>
      <c r="N407" s="10">
        <v>1683</v>
      </c>
      <c r="O407" s="10">
        <v>0.99</v>
      </c>
      <c r="P407" s="10">
        <v>1668</v>
      </c>
      <c r="Q407" s="10">
        <v>223</v>
      </c>
      <c r="R407" s="10">
        <v>89</v>
      </c>
      <c r="S407" s="10">
        <v>62</v>
      </c>
      <c r="T407" s="10">
        <v>334</v>
      </c>
      <c r="U407" s="10">
        <v>15</v>
      </c>
      <c r="V407" s="10">
        <v>153</v>
      </c>
      <c r="W407" s="10">
        <v>0.23400000000000001</v>
      </c>
      <c r="X407" s="10">
        <v>187</v>
      </c>
      <c r="Y407" s="10">
        <v>117</v>
      </c>
      <c r="Z407" s="10">
        <v>147</v>
      </c>
      <c r="AA407" s="10">
        <v>6</v>
      </c>
      <c r="AB407" s="10">
        <v>11.4</v>
      </c>
      <c r="AC407" s="9" t="s">
        <v>188</v>
      </c>
      <c r="AD407" s="10"/>
      <c r="AE407" s="10"/>
      <c r="AF407" s="10"/>
      <c r="AG407" s="10"/>
    </row>
    <row r="408" spans="1:33">
      <c r="A408" s="7" t="s">
        <v>155</v>
      </c>
      <c r="B408" s="8" t="s">
        <v>202</v>
      </c>
      <c r="C408" s="9" t="s">
        <v>203</v>
      </c>
      <c r="D408" s="10">
        <v>178</v>
      </c>
      <c r="E408" s="9" t="s">
        <v>158</v>
      </c>
      <c r="F408" s="10">
        <v>178</v>
      </c>
      <c r="G408" s="10">
        <v>177.3</v>
      </c>
      <c r="H408" s="10">
        <v>130</v>
      </c>
      <c r="I408" s="10">
        <v>147</v>
      </c>
      <c r="J408" s="10">
        <v>119</v>
      </c>
      <c r="K408" s="10">
        <v>88</v>
      </c>
      <c r="L408" s="10">
        <v>109</v>
      </c>
      <c r="M408" s="10">
        <v>18.3</v>
      </c>
      <c r="N408" s="10">
        <v>1765</v>
      </c>
      <c r="O408" s="10">
        <v>1</v>
      </c>
      <c r="P408" s="10">
        <v>1756</v>
      </c>
      <c r="Q408" s="10">
        <v>245</v>
      </c>
      <c r="R408" s="10">
        <v>97</v>
      </c>
      <c r="S408" s="10">
        <v>60</v>
      </c>
      <c r="T408" s="10">
        <v>325</v>
      </c>
      <c r="U408" s="10">
        <v>13</v>
      </c>
      <c r="V408" s="10">
        <v>147</v>
      </c>
      <c r="W408" s="10">
        <v>0.22</v>
      </c>
      <c r="X408" s="10">
        <v>187</v>
      </c>
      <c r="Y408" s="10">
        <v>119</v>
      </c>
      <c r="Z408" s="10">
        <v>137</v>
      </c>
      <c r="AA408" s="10">
        <v>7</v>
      </c>
      <c r="AB408" s="10">
        <v>11.9</v>
      </c>
      <c r="AC408" s="9" t="s">
        <v>188</v>
      </c>
      <c r="AD408" s="10"/>
      <c r="AE408" s="10"/>
      <c r="AF408" s="10"/>
      <c r="AG408" s="10"/>
    </row>
    <row r="409" spans="1:33">
      <c r="A409" s="7" t="s">
        <v>155</v>
      </c>
      <c r="B409" s="8" t="s">
        <v>202</v>
      </c>
      <c r="C409" s="9" t="s">
        <v>203</v>
      </c>
      <c r="D409" s="10">
        <v>186</v>
      </c>
      <c r="E409" s="9" t="s">
        <v>158</v>
      </c>
      <c r="F409" s="10">
        <v>186</v>
      </c>
      <c r="G409" s="10">
        <v>185.6</v>
      </c>
      <c r="H409" s="10">
        <v>137</v>
      </c>
      <c r="I409" s="10">
        <v>154</v>
      </c>
      <c r="J409" s="10">
        <v>119</v>
      </c>
      <c r="K409" s="10">
        <v>88</v>
      </c>
      <c r="L409" s="10">
        <v>108</v>
      </c>
      <c r="M409" s="10">
        <v>20.5</v>
      </c>
      <c r="N409" s="10">
        <v>1922</v>
      </c>
      <c r="O409" s="10">
        <v>0.95</v>
      </c>
      <c r="P409" s="10">
        <v>1834</v>
      </c>
      <c r="Q409" s="10">
        <v>286</v>
      </c>
      <c r="R409" s="10">
        <v>116</v>
      </c>
      <c r="S409" s="10">
        <v>66</v>
      </c>
      <c r="T409" s="10">
        <v>334</v>
      </c>
      <c r="U409" s="10">
        <v>14</v>
      </c>
      <c r="V409" s="10">
        <v>152</v>
      </c>
      <c r="W409" s="10">
        <v>0.219</v>
      </c>
      <c r="X409" s="10">
        <v>203</v>
      </c>
      <c r="Y409" s="10">
        <v>116</v>
      </c>
      <c r="Z409" s="10">
        <v>131</v>
      </c>
      <c r="AA409" s="10">
        <v>7</v>
      </c>
      <c r="AB409" s="10">
        <v>11.7</v>
      </c>
      <c r="AC409" s="9" t="s">
        <v>188</v>
      </c>
      <c r="AD409" s="10"/>
      <c r="AE409" s="10"/>
      <c r="AF409" s="10"/>
      <c r="AG409" s="10"/>
    </row>
    <row r="410" spans="1:33">
      <c r="A410" s="7" t="s">
        <v>155</v>
      </c>
      <c r="B410" s="8" t="s">
        <v>202</v>
      </c>
      <c r="C410" s="9" t="s">
        <v>585</v>
      </c>
      <c r="D410" s="10">
        <v>154</v>
      </c>
      <c r="E410" s="9" t="s">
        <v>163</v>
      </c>
      <c r="F410" s="10">
        <v>154</v>
      </c>
      <c r="G410" s="10">
        <v>153.5</v>
      </c>
      <c r="H410" s="10">
        <v>104</v>
      </c>
      <c r="I410" s="10">
        <v>123</v>
      </c>
      <c r="J410" s="10">
        <v>117</v>
      </c>
      <c r="K410" s="10">
        <v>86</v>
      </c>
      <c r="L410" s="10">
        <v>107</v>
      </c>
      <c r="M410" s="10">
        <v>12.5</v>
      </c>
      <c r="N410" s="10">
        <v>1460</v>
      </c>
      <c r="O410" s="10">
        <v>1.03</v>
      </c>
      <c r="P410" s="10">
        <v>1499</v>
      </c>
      <c r="Q410" s="10">
        <v>229</v>
      </c>
      <c r="R410" s="10">
        <v>85</v>
      </c>
      <c r="S410" s="10">
        <v>64</v>
      </c>
      <c r="T410" s="10">
        <v>334</v>
      </c>
      <c r="U410" s="10">
        <v>15</v>
      </c>
      <c r="V410" s="10">
        <v>160</v>
      </c>
      <c r="W410" s="10">
        <v>0.23300000000000001</v>
      </c>
      <c r="X410" s="10">
        <v>210</v>
      </c>
      <c r="Y410" s="10">
        <v>99</v>
      </c>
      <c r="Z410" s="10">
        <v>125</v>
      </c>
      <c r="AA410" s="10">
        <v>4</v>
      </c>
      <c r="AB410" s="10">
        <v>11.6</v>
      </c>
      <c r="AC410" s="9" t="s">
        <v>188</v>
      </c>
      <c r="AD410" s="10"/>
      <c r="AE410" s="10"/>
      <c r="AF410" s="10"/>
      <c r="AG410" s="10"/>
    </row>
    <row r="411" spans="1:33">
      <c r="A411" s="7" t="s">
        <v>155</v>
      </c>
      <c r="B411" s="8" t="s">
        <v>202</v>
      </c>
      <c r="C411" s="9" t="s">
        <v>380</v>
      </c>
      <c r="D411" s="10">
        <v>170</v>
      </c>
      <c r="E411" s="9" t="s">
        <v>158</v>
      </c>
      <c r="F411" s="10">
        <v>170</v>
      </c>
      <c r="G411" s="10">
        <v>169</v>
      </c>
      <c r="H411" s="10">
        <v>121</v>
      </c>
      <c r="I411" s="10">
        <v>137</v>
      </c>
      <c r="J411" s="10">
        <v>125</v>
      </c>
      <c r="K411" s="10">
        <v>96</v>
      </c>
      <c r="L411" s="10">
        <v>115</v>
      </c>
      <c r="M411" s="10">
        <v>17.600000000000001</v>
      </c>
      <c r="N411" s="10">
        <v>1830</v>
      </c>
      <c r="O411" s="10">
        <v>0.98</v>
      </c>
      <c r="P411" s="10">
        <v>1791</v>
      </c>
      <c r="Q411" s="10">
        <v>253</v>
      </c>
      <c r="R411" s="10">
        <v>93</v>
      </c>
      <c r="S411" s="10">
        <v>60</v>
      </c>
      <c r="T411" s="10">
        <v>330</v>
      </c>
      <c r="U411" s="10">
        <v>12</v>
      </c>
      <c r="V411" s="10">
        <v>146</v>
      </c>
      <c r="W411" s="10">
        <v>0.19700000000000001</v>
      </c>
      <c r="X411" s="10">
        <v>202</v>
      </c>
      <c r="Y411" s="10">
        <v>116</v>
      </c>
      <c r="Z411" s="10">
        <v>127</v>
      </c>
      <c r="AA411" s="10">
        <v>6</v>
      </c>
      <c r="AB411" s="10">
        <v>12.1</v>
      </c>
      <c r="AC411" s="9" t="s">
        <v>188</v>
      </c>
      <c r="AD411" s="10"/>
      <c r="AE411" s="10"/>
      <c r="AF411" s="10"/>
      <c r="AG411" s="10"/>
    </row>
    <row r="412" spans="1:33">
      <c r="A412" s="7" t="s">
        <v>155</v>
      </c>
      <c r="B412" s="8" t="s">
        <v>202</v>
      </c>
      <c r="C412" s="9" t="s">
        <v>380</v>
      </c>
      <c r="D412" s="10">
        <v>178</v>
      </c>
      <c r="E412" s="9" t="s">
        <v>158</v>
      </c>
      <c r="F412" s="10">
        <v>178</v>
      </c>
      <c r="G412" s="10">
        <v>177.3</v>
      </c>
      <c r="H412" s="10">
        <v>129</v>
      </c>
      <c r="I412" s="10">
        <v>146</v>
      </c>
      <c r="J412" s="10">
        <v>126</v>
      </c>
      <c r="K412" s="10">
        <v>97</v>
      </c>
      <c r="L412" s="10">
        <v>116</v>
      </c>
      <c r="M412" s="10">
        <v>19.7</v>
      </c>
      <c r="N412" s="10">
        <v>1920</v>
      </c>
      <c r="O412" s="10">
        <v>0.99</v>
      </c>
      <c r="P412" s="10">
        <v>1893</v>
      </c>
      <c r="Q412" s="10">
        <v>267</v>
      </c>
      <c r="R412" s="10">
        <v>109</v>
      </c>
      <c r="S412" s="10">
        <v>62</v>
      </c>
      <c r="T412" s="10">
        <v>327</v>
      </c>
      <c r="U412" s="10">
        <v>14</v>
      </c>
      <c r="V412" s="10">
        <v>151</v>
      </c>
      <c r="W412" s="10">
        <v>0.22900000000000001</v>
      </c>
      <c r="X412" s="10">
        <v>189</v>
      </c>
      <c r="Y412" s="10">
        <v>125</v>
      </c>
      <c r="Z412" s="10">
        <v>138</v>
      </c>
      <c r="AA412" s="10">
        <v>6</v>
      </c>
      <c r="AB412" s="10">
        <v>12.2</v>
      </c>
      <c r="AC412" s="9" t="s">
        <v>188</v>
      </c>
      <c r="AD412" s="10"/>
      <c r="AE412" s="10"/>
      <c r="AF412" s="10"/>
      <c r="AG412" s="10"/>
    </row>
    <row r="413" spans="1:33">
      <c r="A413" s="7" t="s">
        <v>155</v>
      </c>
      <c r="B413" s="8" t="s">
        <v>202</v>
      </c>
      <c r="C413" s="9" t="s">
        <v>380</v>
      </c>
      <c r="D413" s="10">
        <v>186</v>
      </c>
      <c r="E413" s="9" t="s">
        <v>158</v>
      </c>
      <c r="F413" s="10">
        <v>186</v>
      </c>
      <c r="G413" s="10">
        <v>185.2</v>
      </c>
      <c r="H413" s="10">
        <v>136</v>
      </c>
      <c r="I413" s="10">
        <v>153</v>
      </c>
      <c r="J413" s="10">
        <v>126</v>
      </c>
      <c r="K413" s="10">
        <v>97</v>
      </c>
      <c r="L413" s="10">
        <v>116</v>
      </c>
      <c r="M413" s="10">
        <v>21.9</v>
      </c>
      <c r="N413" s="10">
        <v>2038</v>
      </c>
      <c r="O413" s="10">
        <v>0.97</v>
      </c>
      <c r="P413" s="10">
        <v>1973</v>
      </c>
      <c r="Q413" s="10">
        <v>275</v>
      </c>
      <c r="R413" s="10">
        <v>118</v>
      </c>
      <c r="S413" s="10">
        <v>61</v>
      </c>
      <c r="T413" s="10">
        <v>330</v>
      </c>
      <c r="U413" s="10">
        <v>16</v>
      </c>
      <c r="V413" s="10">
        <v>162</v>
      </c>
      <c r="W413" s="10">
        <v>0.27100000000000002</v>
      </c>
      <c r="X413" s="10">
        <v>202</v>
      </c>
      <c r="Y413" s="10">
        <v>123</v>
      </c>
      <c r="Z413" s="10">
        <v>128</v>
      </c>
      <c r="AA413" s="10">
        <v>5</v>
      </c>
      <c r="AB413" s="10">
        <v>12.4</v>
      </c>
      <c r="AC413" s="9" t="s">
        <v>188</v>
      </c>
      <c r="AD413" s="10"/>
      <c r="AE413" s="10"/>
      <c r="AF413" s="10"/>
      <c r="AG413" s="10"/>
    </row>
    <row r="414" spans="1:33">
      <c r="A414" s="7" t="s">
        <v>155</v>
      </c>
      <c r="B414" s="8" t="s">
        <v>202</v>
      </c>
      <c r="C414" s="9" t="s">
        <v>211</v>
      </c>
      <c r="D414" s="10">
        <v>154</v>
      </c>
      <c r="E414" s="9" t="s">
        <v>163</v>
      </c>
      <c r="F414" s="10">
        <v>154</v>
      </c>
      <c r="G414" s="10">
        <v>153.69999999999999</v>
      </c>
      <c r="H414" s="10">
        <v>105</v>
      </c>
      <c r="I414" s="10">
        <v>124</v>
      </c>
      <c r="J414" s="10">
        <v>124</v>
      </c>
      <c r="K414" s="10">
        <v>95</v>
      </c>
      <c r="L414" s="10">
        <v>114</v>
      </c>
      <c r="M414" s="10">
        <v>13.8</v>
      </c>
      <c r="N414" s="10">
        <v>1561</v>
      </c>
      <c r="O414" s="10">
        <v>1.03</v>
      </c>
      <c r="P414" s="10">
        <v>1614</v>
      </c>
      <c r="Q414" s="10">
        <v>205</v>
      </c>
      <c r="R414" s="10">
        <v>91</v>
      </c>
      <c r="S414" s="10">
        <v>64</v>
      </c>
      <c r="T414" s="10">
        <v>334</v>
      </c>
      <c r="U414" s="10">
        <v>14</v>
      </c>
      <c r="V414" s="10">
        <v>150</v>
      </c>
      <c r="W414" s="10">
        <v>0.22500000000000001</v>
      </c>
      <c r="X414" s="10">
        <v>194</v>
      </c>
      <c r="Y414" s="10">
        <v>99</v>
      </c>
      <c r="Z414" s="10">
        <v>140</v>
      </c>
      <c r="AA414" s="10">
        <v>4</v>
      </c>
      <c r="AB414" s="10">
        <v>11.2</v>
      </c>
      <c r="AC414" s="9" t="s">
        <v>188</v>
      </c>
      <c r="AD414" s="10"/>
      <c r="AE414" s="10"/>
      <c r="AF414" s="10"/>
      <c r="AG414" s="10"/>
    </row>
    <row r="415" spans="1:33">
      <c r="A415" s="7" t="s">
        <v>155</v>
      </c>
      <c r="B415" s="8" t="s">
        <v>202</v>
      </c>
      <c r="C415" s="9" t="s">
        <v>211</v>
      </c>
      <c r="D415" s="10">
        <v>162</v>
      </c>
      <c r="E415" s="9" t="s">
        <v>163</v>
      </c>
      <c r="F415" s="10">
        <v>162</v>
      </c>
      <c r="G415" s="10">
        <v>161.4</v>
      </c>
      <c r="H415" s="10">
        <v>113</v>
      </c>
      <c r="I415" s="10">
        <v>132</v>
      </c>
      <c r="J415" s="10">
        <v>124</v>
      </c>
      <c r="K415" s="10">
        <v>95</v>
      </c>
      <c r="L415" s="10">
        <v>114</v>
      </c>
      <c r="M415" s="10">
        <v>15.4</v>
      </c>
      <c r="N415" s="10">
        <v>1710</v>
      </c>
      <c r="O415" s="10">
        <v>0.99</v>
      </c>
      <c r="P415" s="10">
        <v>1698</v>
      </c>
      <c r="Q415" s="10">
        <v>249</v>
      </c>
      <c r="R415" s="10">
        <v>95</v>
      </c>
      <c r="S415" s="10">
        <v>59</v>
      </c>
      <c r="T415" s="10">
        <v>332</v>
      </c>
      <c r="U415" s="10">
        <v>15</v>
      </c>
      <c r="V415" s="10">
        <v>157</v>
      </c>
      <c r="W415" s="10">
        <v>0.254</v>
      </c>
      <c r="X415" s="10">
        <v>192</v>
      </c>
      <c r="Y415" s="10">
        <v>105</v>
      </c>
      <c r="Z415" s="10">
        <v>140</v>
      </c>
      <c r="AA415" s="10">
        <v>5</v>
      </c>
      <c r="AB415" s="10">
        <v>12</v>
      </c>
      <c r="AC415" s="9" t="s">
        <v>188</v>
      </c>
      <c r="AD415" s="10"/>
      <c r="AE415" s="10"/>
      <c r="AF415" s="10"/>
      <c r="AG415" s="10"/>
    </row>
    <row r="416" spans="1:33">
      <c r="A416" s="7" t="s">
        <v>155</v>
      </c>
      <c r="B416" s="8" t="s">
        <v>202</v>
      </c>
      <c r="C416" s="9" t="s">
        <v>211</v>
      </c>
      <c r="D416" s="10">
        <v>170</v>
      </c>
      <c r="E416" s="9" t="s">
        <v>163</v>
      </c>
      <c r="F416" s="10">
        <v>170</v>
      </c>
      <c r="G416" s="10">
        <v>169.6</v>
      </c>
      <c r="H416" s="10">
        <v>122</v>
      </c>
      <c r="I416" s="10">
        <v>139</v>
      </c>
      <c r="J416" s="10">
        <v>125</v>
      </c>
      <c r="K416" s="10">
        <v>96</v>
      </c>
      <c r="L416" s="10">
        <v>114</v>
      </c>
      <c r="M416" s="10">
        <v>17.3</v>
      </c>
      <c r="N416" s="10">
        <v>1768</v>
      </c>
      <c r="O416" s="10">
        <v>1.01</v>
      </c>
      <c r="P416" s="10">
        <v>1789</v>
      </c>
      <c r="Q416" s="10">
        <v>227</v>
      </c>
      <c r="R416" s="10">
        <v>99</v>
      </c>
      <c r="S416" s="10">
        <v>60</v>
      </c>
      <c r="T416" s="10">
        <v>325</v>
      </c>
      <c r="U416" s="10">
        <v>14</v>
      </c>
      <c r="V416" s="10">
        <v>148</v>
      </c>
      <c r="W416" s="10">
        <v>0.22900000000000001</v>
      </c>
      <c r="X416" s="10">
        <v>199</v>
      </c>
      <c r="Y416" s="10">
        <v>107</v>
      </c>
      <c r="Z416" s="10">
        <v>126</v>
      </c>
      <c r="AA416" s="10">
        <v>9</v>
      </c>
      <c r="AB416" s="10">
        <v>11.6</v>
      </c>
      <c r="AC416" s="9" t="s">
        <v>188</v>
      </c>
      <c r="AD416" s="10"/>
      <c r="AE416" s="10"/>
      <c r="AF416" s="10"/>
      <c r="AG416" s="10"/>
    </row>
    <row r="417" spans="1:33">
      <c r="A417" s="7" t="s">
        <v>155</v>
      </c>
      <c r="B417" s="8" t="s">
        <v>202</v>
      </c>
      <c r="C417" s="9" t="s">
        <v>1157</v>
      </c>
      <c r="D417" s="10">
        <v>192</v>
      </c>
      <c r="E417" s="9" t="s">
        <v>158</v>
      </c>
      <c r="F417" s="10">
        <v>192</v>
      </c>
      <c r="G417" s="10">
        <v>191</v>
      </c>
      <c r="H417" s="10">
        <v>159</v>
      </c>
      <c r="I417" s="10">
        <v>161</v>
      </c>
      <c r="J417" s="10">
        <v>132</v>
      </c>
      <c r="K417" s="10">
        <v>104</v>
      </c>
      <c r="L417" s="10">
        <v>120</v>
      </c>
      <c r="M417" s="10">
        <v>27.9</v>
      </c>
      <c r="N417" s="10">
        <v>2657</v>
      </c>
      <c r="O417" s="10">
        <v>0.81</v>
      </c>
      <c r="P417" s="10">
        <v>2147</v>
      </c>
      <c r="Q417" s="10">
        <v>276</v>
      </c>
      <c r="R417" s="10">
        <v>174</v>
      </c>
      <c r="S417" s="10">
        <v>33</v>
      </c>
      <c r="T417" s="10">
        <v>221</v>
      </c>
      <c r="U417" s="10">
        <v>11</v>
      </c>
      <c r="V417" s="10">
        <v>98</v>
      </c>
      <c r="W417" s="10">
        <v>0.32</v>
      </c>
      <c r="X417" s="10">
        <v>187</v>
      </c>
      <c r="Y417" s="10">
        <v>114</v>
      </c>
      <c r="Z417" s="10">
        <v>34</v>
      </c>
      <c r="AA417" s="10">
        <v>16</v>
      </c>
      <c r="AB417" s="10">
        <v>12.4</v>
      </c>
      <c r="AC417" s="9" t="s">
        <v>188</v>
      </c>
      <c r="AD417" s="9" t="s">
        <v>178</v>
      </c>
      <c r="AE417" s="10"/>
      <c r="AF417" s="10"/>
      <c r="AG417" s="10"/>
    </row>
    <row r="418" spans="1:33">
      <c r="A418" s="7" t="s">
        <v>155</v>
      </c>
      <c r="B418" s="8" t="s">
        <v>202</v>
      </c>
      <c r="C418" s="9" t="s">
        <v>660</v>
      </c>
      <c r="D418" s="10">
        <v>171</v>
      </c>
      <c r="E418" s="9" t="s">
        <v>158</v>
      </c>
      <c r="F418" s="10">
        <v>171</v>
      </c>
      <c r="G418" s="10">
        <v>170.5</v>
      </c>
      <c r="H418" s="10">
        <v>130</v>
      </c>
      <c r="I418" s="10">
        <v>127</v>
      </c>
      <c r="J418" s="10">
        <v>127</v>
      </c>
      <c r="K418" s="10">
        <v>86</v>
      </c>
      <c r="L418" s="10">
        <v>103</v>
      </c>
      <c r="M418" s="10">
        <v>13.8</v>
      </c>
      <c r="N418" s="10">
        <v>1250</v>
      </c>
      <c r="O418" s="10">
        <v>1.34</v>
      </c>
      <c r="P418" s="10">
        <v>1673</v>
      </c>
      <c r="Q418" s="10">
        <v>223</v>
      </c>
      <c r="R418" s="10">
        <v>66</v>
      </c>
      <c r="S418" s="10">
        <v>74</v>
      </c>
      <c r="T418" s="10">
        <v>353</v>
      </c>
      <c r="U418" s="10">
        <v>4</v>
      </c>
      <c r="V418" s="10">
        <v>49</v>
      </c>
      <c r="W418" s="10">
        <v>4.8000000000000001E-2</v>
      </c>
      <c r="X418" s="10">
        <v>198</v>
      </c>
      <c r="Y418" s="10">
        <v>240</v>
      </c>
      <c r="Z418" s="10">
        <v>154</v>
      </c>
      <c r="AA418" s="10">
        <v>5</v>
      </c>
      <c r="AB418" s="10">
        <v>11.8</v>
      </c>
      <c r="AC418" s="9" t="s">
        <v>185</v>
      </c>
      <c r="AD418" s="9" t="s">
        <v>198</v>
      </c>
      <c r="AE418" s="10"/>
      <c r="AF418" s="10"/>
      <c r="AG418" s="10"/>
    </row>
    <row r="419" spans="1:33">
      <c r="A419" s="7" t="s">
        <v>155</v>
      </c>
      <c r="B419" s="8" t="s">
        <v>202</v>
      </c>
      <c r="C419" s="9" t="s">
        <v>660</v>
      </c>
      <c r="D419" s="10">
        <v>179</v>
      </c>
      <c r="E419" s="9" t="s">
        <v>158</v>
      </c>
      <c r="F419" s="10">
        <v>179</v>
      </c>
      <c r="G419" s="10">
        <v>176.4</v>
      </c>
      <c r="H419" s="10">
        <v>138</v>
      </c>
      <c r="I419" s="10">
        <v>132</v>
      </c>
      <c r="J419" s="10">
        <v>127</v>
      </c>
      <c r="K419" s="10">
        <v>86</v>
      </c>
      <c r="L419" s="10">
        <v>102</v>
      </c>
      <c r="M419" s="10">
        <v>15.4</v>
      </c>
      <c r="N419" s="10">
        <v>1272</v>
      </c>
      <c r="O419" s="10">
        <v>1.36</v>
      </c>
      <c r="P419" s="10">
        <v>1734</v>
      </c>
      <c r="Q419" s="10">
        <v>236</v>
      </c>
      <c r="R419" s="10">
        <v>74</v>
      </c>
      <c r="S419" s="10">
        <v>72</v>
      </c>
      <c r="T419" s="10">
        <v>339</v>
      </c>
      <c r="U419" s="10">
        <v>5</v>
      </c>
      <c r="V419" s="10">
        <v>49</v>
      </c>
      <c r="W419" s="10">
        <v>6.8000000000000005E-2</v>
      </c>
      <c r="X419" s="10">
        <v>208</v>
      </c>
      <c r="Y419" s="10">
        <v>232</v>
      </c>
      <c r="Z419" s="10">
        <v>131</v>
      </c>
      <c r="AA419" s="10">
        <v>6</v>
      </c>
      <c r="AB419" s="10">
        <v>12.9</v>
      </c>
      <c r="AC419" s="9" t="s">
        <v>185</v>
      </c>
      <c r="AD419" s="9" t="s">
        <v>198</v>
      </c>
      <c r="AE419" s="10"/>
      <c r="AF419" s="10"/>
      <c r="AG419" s="10"/>
    </row>
    <row r="420" spans="1:33">
      <c r="A420" s="7" t="s">
        <v>155</v>
      </c>
      <c r="B420" s="8" t="s">
        <v>202</v>
      </c>
      <c r="C420" s="9" t="s">
        <v>498</v>
      </c>
      <c r="D420" s="10">
        <v>170</v>
      </c>
      <c r="E420" s="9" t="s">
        <v>158</v>
      </c>
      <c r="F420" s="10">
        <v>170</v>
      </c>
      <c r="G420" s="10">
        <v>169.6</v>
      </c>
      <c r="H420" s="10">
        <v>123</v>
      </c>
      <c r="I420" s="10">
        <v>136</v>
      </c>
      <c r="J420" s="10">
        <v>125</v>
      </c>
      <c r="K420" s="10">
        <v>96</v>
      </c>
      <c r="L420" s="10">
        <v>115</v>
      </c>
      <c r="M420" s="10">
        <v>17.600000000000001</v>
      </c>
      <c r="N420" s="10">
        <v>1245</v>
      </c>
      <c r="O420" s="10">
        <v>1.44</v>
      </c>
      <c r="P420" s="10">
        <v>1796</v>
      </c>
      <c r="Q420" s="10">
        <v>189</v>
      </c>
      <c r="R420" s="10">
        <v>80</v>
      </c>
      <c r="S420" s="10">
        <v>55</v>
      </c>
      <c r="T420" s="10">
        <v>320</v>
      </c>
      <c r="U420" s="10">
        <v>14</v>
      </c>
      <c r="V420" s="10">
        <v>149</v>
      </c>
      <c r="W420" s="10">
        <v>0.255</v>
      </c>
      <c r="X420" s="10">
        <v>201</v>
      </c>
      <c r="Y420" s="10">
        <v>132</v>
      </c>
      <c r="Z420" s="10">
        <v>120</v>
      </c>
      <c r="AA420" s="10">
        <v>6</v>
      </c>
      <c r="AB420" s="10">
        <v>11.9</v>
      </c>
      <c r="AC420" s="9" t="s">
        <v>185</v>
      </c>
      <c r="AD420" s="9" t="s">
        <v>198</v>
      </c>
      <c r="AE420" s="10"/>
      <c r="AF420" s="10"/>
      <c r="AG420" s="10"/>
    </row>
    <row r="421" spans="1:33">
      <c r="A421" s="7" t="s">
        <v>155</v>
      </c>
      <c r="B421" s="8" t="s">
        <v>202</v>
      </c>
      <c r="C421" s="9" t="s">
        <v>498</v>
      </c>
      <c r="D421" s="10">
        <v>178</v>
      </c>
      <c r="E421" s="9" t="s">
        <v>158</v>
      </c>
      <c r="F421" s="10">
        <v>178</v>
      </c>
      <c r="G421" s="10">
        <v>177.2</v>
      </c>
      <c r="H421" s="10">
        <v>131</v>
      </c>
      <c r="I421" s="10">
        <v>145</v>
      </c>
      <c r="J421" s="10">
        <v>126</v>
      </c>
      <c r="K421" s="10">
        <v>97</v>
      </c>
      <c r="L421" s="10">
        <v>116</v>
      </c>
      <c r="M421" s="10">
        <v>19.8</v>
      </c>
      <c r="N421" s="10">
        <v>1334</v>
      </c>
      <c r="O421" s="10">
        <v>1.42</v>
      </c>
      <c r="P421" s="10">
        <v>1897</v>
      </c>
      <c r="Q421" s="10">
        <v>243</v>
      </c>
      <c r="R421" s="10">
        <v>77</v>
      </c>
      <c r="S421" s="10">
        <v>59</v>
      </c>
      <c r="T421" s="10">
        <v>324</v>
      </c>
      <c r="U421" s="10">
        <v>11</v>
      </c>
      <c r="V421" s="10">
        <v>140</v>
      </c>
      <c r="W421" s="10">
        <v>0.18099999999999999</v>
      </c>
      <c r="X421" s="10">
        <v>196</v>
      </c>
      <c r="Y421" s="10">
        <v>126</v>
      </c>
      <c r="Z421" s="10">
        <v>128</v>
      </c>
      <c r="AA421" s="10">
        <v>7</v>
      </c>
      <c r="AB421" s="10">
        <v>12.2</v>
      </c>
      <c r="AC421" s="9" t="s">
        <v>185</v>
      </c>
      <c r="AD421" s="9" t="s">
        <v>198</v>
      </c>
      <c r="AE421" s="10"/>
      <c r="AF421" s="10"/>
      <c r="AG421" s="10"/>
    </row>
    <row r="422" spans="1:33">
      <c r="A422" s="7" t="s">
        <v>155</v>
      </c>
      <c r="B422" s="8" t="s">
        <v>202</v>
      </c>
      <c r="C422" s="9" t="s">
        <v>498</v>
      </c>
      <c r="D422" s="10">
        <v>186</v>
      </c>
      <c r="E422" s="9" t="s">
        <v>158</v>
      </c>
      <c r="F422" s="10">
        <v>186</v>
      </c>
      <c r="G422" s="10">
        <v>185.2</v>
      </c>
      <c r="H422" s="10">
        <v>138</v>
      </c>
      <c r="I422" s="10">
        <v>153</v>
      </c>
      <c r="J422" s="10">
        <v>126</v>
      </c>
      <c r="K422" s="10">
        <v>97</v>
      </c>
      <c r="L422" s="10">
        <v>116</v>
      </c>
      <c r="M422" s="10">
        <v>22.1</v>
      </c>
      <c r="N422" s="10">
        <v>1421</v>
      </c>
      <c r="O422" s="10">
        <v>1.39</v>
      </c>
      <c r="P422" s="10">
        <v>1975</v>
      </c>
      <c r="Q422" s="10">
        <v>278</v>
      </c>
      <c r="R422" s="10">
        <v>92</v>
      </c>
      <c r="S422" s="10">
        <v>56</v>
      </c>
      <c r="T422" s="10">
        <v>324</v>
      </c>
      <c r="U422" s="10">
        <v>12</v>
      </c>
      <c r="V422" s="10">
        <v>145</v>
      </c>
      <c r="W422" s="10">
        <v>0.214</v>
      </c>
      <c r="X422" s="10">
        <v>201</v>
      </c>
      <c r="Y422" s="10">
        <v>122</v>
      </c>
      <c r="Z422" s="10">
        <v>123</v>
      </c>
      <c r="AA422" s="10">
        <v>7</v>
      </c>
      <c r="AB422" s="10">
        <v>12.4</v>
      </c>
      <c r="AC422" s="9" t="s">
        <v>185</v>
      </c>
      <c r="AD422" s="9" t="s">
        <v>198</v>
      </c>
      <c r="AE422" s="10"/>
      <c r="AF422" s="10"/>
      <c r="AG422" s="10"/>
    </row>
    <row r="423" spans="1:33">
      <c r="A423" s="7" t="s">
        <v>155</v>
      </c>
      <c r="B423" s="8" t="s">
        <v>202</v>
      </c>
      <c r="C423" s="9" t="s">
        <v>729</v>
      </c>
      <c r="D423" s="10">
        <v>155</v>
      </c>
      <c r="E423" s="9" t="s">
        <v>158</v>
      </c>
      <c r="F423" s="10">
        <v>155</v>
      </c>
      <c r="G423" s="10">
        <v>155.30000000000001</v>
      </c>
      <c r="H423" s="10">
        <v>135</v>
      </c>
      <c r="I423" s="10">
        <v>141</v>
      </c>
      <c r="J423" s="10">
        <v>123</v>
      </c>
      <c r="K423" s="10">
        <v>74</v>
      </c>
      <c r="L423" s="10">
        <v>109</v>
      </c>
      <c r="M423" s="10">
        <v>11.8</v>
      </c>
      <c r="N423" s="10">
        <v>1474</v>
      </c>
      <c r="O423" s="10">
        <v>0.94</v>
      </c>
      <c r="P423" s="10">
        <v>1387</v>
      </c>
      <c r="Q423" s="10">
        <v>147</v>
      </c>
      <c r="R423" s="10">
        <v>50</v>
      </c>
      <c r="S423" s="10">
        <v>40</v>
      </c>
      <c r="T423" s="10">
        <v>147</v>
      </c>
      <c r="U423" s="10">
        <v>5</v>
      </c>
      <c r="V423" s="10">
        <v>54</v>
      </c>
      <c r="W423" s="10">
        <v>0.129</v>
      </c>
      <c r="X423" s="10">
        <v>84</v>
      </c>
      <c r="Y423" s="10">
        <v>58</v>
      </c>
      <c r="Z423" s="10">
        <v>63</v>
      </c>
      <c r="AA423" s="10">
        <v>7</v>
      </c>
      <c r="AB423" s="10">
        <v>9.9</v>
      </c>
      <c r="AC423" s="9" t="s">
        <v>349</v>
      </c>
      <c r="AD423" s="10"/>
      <c r="AE423" s="10"/>
      <c r="AF423" s="10"/>
      <c r="AG423" s="10"/>
    </row>
    <row r="424" spans="1:33">
      <c r="A424" s="7" t="s">
        <v>155</v>
      </c>
      <c r="B424" s="8" t="s">
        <v>202</v>
      </c>
      <c r="C424" s="9" t="s">
        <v>729</v>
      </c>
      <c r="D424" s="10">
        <v>170</v>
      </c>
      <c r="E424" s="9" t="s">
        <v>158</v>
      </c>
      <c r="F424" s="10">
        <v>170</v>
      </c>
      <c r="G424" s="10">
        <v>168.6</v>
      </c>
      <c r="H424" s="10">
        <v>148</v>
      </c>
      <c r="I424" s="10">
        <v>155</v>
      </c>
      <c r="J424" s="10">
        <v>123</v>
      </c>
      <c r="K424" s="10">
        <v>74</v>
      </c>
      <c r="L424" s="10">
        <v>110</v>
      </c>
      <c r="M424" s="10">
        <v>14.4</v>
      </c>
      <c r="N424" s="10">
        <v>1638</v>
      </c>
      <c r="O424" s="10">
        <v>0.92</v>
      </c>
      <c r="P424" s="10">
        <v>1502</v>
      </c>
      <c r="Q424" s="10">
        <v>194</v>
      </c>
      <c r="R424" s="10">
        <v>64</v>
      </c>
      <c r="S424" s="10">
        <v>43</v>
      </c>
      <c r="T424" s="10">
        <v>152</v>
      </c>
      <c r="U424" s="10">
        <v>4</v>
      </c>
      <c r="V424" s="10">
        <v>54</v>
      </c>
      <c r="W424" s="10">
        <v>9.8000000000000004E-2</v>
      </c>
      <c r="X424" s="10">
        <v>80</v>
      </c>
      <c r="Y424" s="10">
        <v>52</v>
      </c>
      <c r="Z424" s="10">
        <v>72</v>
      </c>
      <c r="AA424" s="10">
        <v>9</v>
      </c>
      <c r="AB424" s="10">
        <v>10.5</v>
      </c>
      <c r="AC424" s="9" t="s">
        <v>349</v>
      </c>
      <c r="AD424" s="10"/>
      <c r="AE424" s="10"/>
      <c r="AF424" s="10"/>
      <c r="AG424" s="10"/>
    </row>
    <row r="425" spans="1:33">
      <c r="A425" s="7" t="s">
        <v>155</v>
      </c>
      <c r="B425" s="8" t="s">
        <v>202</v>
      </c>
      <c r="C425" s="9" t="s">
        <v>798</v>
      </c>
      <c r="D425" s="10">
        <v>158</v>
      </c>
      <c r="E425" s="9" t="s">
        <v>158</v>
      </c>
      <c r="F425" s="10">
        <v>158</v>
      </c>
      <c r="G425" s="10">
        <v>157.5</v>
      </c>
      <c r="H425" s="10">
        <v>136</v>
      </c>
      <c r="I425" s="10">
        <v>143</v>
      </c>
      <c r="J425" s="10">
        <v>121</v>
      </c>
      <c r="K425" s="10">
        <v>72</v>
      </c>
      <c r="L425" s="10">
        <v>106</v>
      </c>
      <c r="M425" s="10">
        <v>12.1</v>
      </c>
      <c r="N425" s="10">
        <v>1913</v>
      </c>
      <c r="O425" s="10">
        <v>0.72</v>
      </c>
      <c r="P425" s="10">
        <v>1372</v>
      </c>
      <c r="Q425" s="10">
        <v>220</v>
      </c>
      <c r="R425" s="10">
        <v>115</v>
      </c>
      <c r="S425" s="10">
        <v>40</v>
      </c>
      <c r="T425" s="10">
        <v>151</v>
      </c>
      <c r="U425" s="10">
        <v>7</v>
      </c>
      <c r="V425" s="10">
        <v>62</v>
      </c>
      <c r="W425" s="10">
        <v>0.189</v>
      </c>
      <c r="X425" s="10">
        <v>84</v>
      </c>
      <c r="Y425" s="10">
        <v>64</v>
      </c>
      <c r="Z425" s="10">
        <v>67</v>
      </c>
      <c r="AA425" s="10">
        <v>10</v>
      </c>
      <c r="AB425" s="10">
        <v>11.1</v>
      </c>
      <c r="AC425" s="9" t="s">
        <v>349</v>
      </c>
      <c r="AD425" s="10"/>
      <c r="AE425" s="10"/>
      <c r="AF425" s="10"/>
      <c r="AG425" s="10"/>
    </row>
    <row r="426" spans="1:33">
      <c r="A426" s="7" t="s">
        <v>155</v>
      </c>
      <c r="B426" s="8" t="s">
        <v>202</v>
      </c>
      <c r="C426" s="9" t="s">
        <v>798</v>
      </c>
      <c r="D426" s="10">
        <v>166</v>
      </c>
      <c r="E426" s="9" t="s">
        <v>158</v>
      </c>
      <c r="F426" s="10">
        <v>166</v>
      </c>
      <c r="G426" s="10">
        <v>165.1</v>
      </c>
      <c r="H426" s="10">
        <v>144</v>
      </c>
      <c r="I426" s="10">
        <v>150</v>
      </c>
      <c r="J426" s="10">
        <v>120</v>
      </c>
      <c r="K426" s="10">
        <v>72</v>
      </c>
      <c r="L426" s="10">
        <v>106</v>
      </c>
      <c r="M426" s="10">
        <v>13.5</v>
      </c>
      <c r="N426" s="10">
        <v>1994</v>
      </c>
      <c r="O426" s="10">
        <v>0.72</v>
      </c>
      <c r="P426" s="10">
        <v>1439</v>
      </c>
      <c r="Q426" s="10">
        <v>213</v>
      </c>
      <c r="R426" s="10">
        <v>106</v>
      </c>
      <c r="S426" s="10">
        <v>41</v>
      </c>
      <c r="T426" s="10">
        <v>153</v>
      </c>
      <c r="U426" s="10">
        <v>7</v>
      </c>
      <c r="V426" s="10">
        <v>58</v>
      </c>
      <c r="W426" s="10">
        <v>0.16400000000000001</v>
      </c>
      <c r="X426" s="10">
        <v>87</v>
      </c>
      <c r="Y426" s="10">
        <v>62</v>
      </c>
      <c r="Z426" s="10">
        <v>66</v>
      </c>
      <c r="AA426" s="10">
        <v>11</v>
      </c>
      <c r="AB426" s="10">
        <v>11.5</v>
      </c>
      <c r="AC426" s="9" t="s">
        <v>349</v>
      </c>
      <c r="AD426" s="10"/>
      <c r="AE426" s="10"/>
      <c r="AF426" s="10"/>
      <c r="AG426" s="10"/>
    </row>
    <row r="427" spans="1:33">
      <c r="A427" s="7" t="s">
        <v>155</v>
      </c>
      <c r="B427" s="8" t="s">
        <v>202</v>
      </c>
      <c r="C427" s="9" t="s">
        <v>798</v>
      </c>
      <c r="D427" s="10">
        <v>174</v>
      </c>
      <c r="E427" s="9" t="s">
        <v>158</v>
      </c>
      <c r="F427" s="10">
        <v>174</v>
      </c>
      <c r="G427" s="10">
        <v>173.1</v>
      </c>
      <c r="H427" s="10">
        <v>153</v>
      </c>
      <c r="I427" s="10">
        <v>159</v>
      </c>
      <c r="J427" s="10">
        <v>121</v>
      </c>
      <c r="K427" s="10">
        <v>72</v>
      </c>
      <c r="L427" s="10">
        <v>105</v>
      </c>
      <c r="M427" s="10">
        <v>15.1</v>
      </c>
      <c r="N427" s="10">
        <v>2102</v>
      </c>
      <c r="O427" s="10">
        <v>0.72</v>
      </c>
      <c r="P427" s="10">
        <v>1507</v>
      </c>
      <c r="Q427" s="10">
        <v>224</v>
      </c>
      <c r="R427" s="10">
        <v>112</v>
      </c>
      <c r="S427" s="10">
        <v>39</v>
      </c>
      <c r="T427" s="10">
        <v>144</v>
      </c>
      <c r="U427" s="10">
        <v>7</v>
      </c>
      <c r="V427" s="10">
        <v>58</v>
      </c>
      <c r="W427" s="10">
        <v>0.17699999999999999</v>
      </c>
      <c r="X427" s="10">
        <v>82</v>
      </c>
      <c r="Y427" s="10">
        <v>62</v>
      </c>
      <c r="Z427" s="10">
        <v>62</v>
      </c>
      <c r="AA427" s="10">
        <v>12</v>
      </c>
      <c r="AB427" s="10">
        <v>11.8</v>
      </c>
      <c r="AC427" s="9" t="s">
        <v>349</v>
      </c>
      <c r="AD427" s="10"/>
      <c r="AE427" s="10"/>
      <c r="AF427" s="10"/>
      <c r="AG427" s="10"/>
    </row>
    <row r="428" spans="1:33">
      <c r="A428" s="7" t="s">
        <v>155</v>
      </c>
      <c r="B428" s="8" t="s">
        <v>164</v>
      </c>
      <c r="C428" s="9" t="s">
        <v>883</v>
      </c>
      <c r="D428" s="10">
        <v>159</v>
      </c>
      <c r="E428" s="9" t="s">
        <v>158</v>
      </c>
      <c r="F428" s="10">
        <v>159</v>
      </c>
      <c r="G428" s="10">
        <v>157.9</v>
      </c>
      <c r="H428" s="10">
        <v>141</v>
      </c>
      <c r="I428" s="10">
        <v>148</v>
      </c>
      <c r="J428" s="10">
        <v>118</v>
      </c>
      <c r="K428" s="10">
        <v>67</v>
      </c>
      <c r="L428" s="10">
        <v>102</v>
      </c>
      <c r="M428" s="10">
        <v>12.6</v>
      </c>
      <c r="N428" s="10">
        <v>2277</v>
      </c>
      <c r="O428" s="10">
        <v>0.57999999999999996</v>
      </c>
      <c r="P428" s="10">
        <v>1309</v>
      </c>
      <c r="Q428" s="10">
        <v>217</v>
      </c>
      <c r="R428" s="10">
        <v>121</v>
      </c>
      <c r="S428" s="10">
        <v>36</v>
      </c>
      <c r="T428" s="10">
        <v>131</v>
      </c>
      <c r="U428" s="10">
        <v>3</v>
      </c>
      <c r="V428" s="10">
        <v>41</v>
      </c>
      <c r="W428" s="10">
        <v>9.1999999999999998E-2</v>
      </c>
      <c r="X428" s="10">
        <v>58</v>
      </c>
      <c r="Y428" s="10">
        <v>39</v>
      </c>
      <c r="Z428" s="10">
        <v>74</v>
      </c>
      <c r="AA428" s="10">
        <v>10</v>
      </c>
      <c r="AB428" s="10">
        <v>9</v>
      </c>
      <c r="AC428" s="9" t="s">
        <v>349</v>
      </c>
      <c r="AD428" s="10"/>
      <c r="AE428" s="10"/>
      <c r="AF428" s="10"/>
      <c r="AG428" s="10"/>
    </row>
    <row r="429" spans="1:33">
      <c r="A429" s="7" t="s">
        <v>155</v>
      </c>
      <c r="B429" s="8" t="s">
        <v>164</v>
      </c>
      <c r="C429" s="9" t="s">
        <v>883</v>
      </c>
      <c r="D429" s="10">
        <v>164</v>
      </c>
      <c r="E429" s="9" t="s">
        <v>158</v>
      </c>
      <c r="F429" s="10">
        <v>164</v>
      </c>
      <c r="G429" s="10">
        <v>162.9</v>
      </c>
      <c r="H429" s="10">
        <v>146</v>
      </c>
      <c r="I429" s="10">
        <v>153</v>
      </c>
      <c r="J429" s="10">
        <v>120</v>
      </c>
      <c r="K429" s="10">
        <v>67</v>
      </c>
      <c r="L429" s="10">
        <v>103</v>
      </c>
      <c r="M429" s="10">
        <v>12.8</v>
      </c>
      <c r="N429" s="9" t="s">
        <v>1155</v>
      </c>
      <c r="O429" s="9" t="s">
        <v>1155</v>
      </c>
      <c r="P429" s="10">
        <v>1363</v>
      </c>
      <c r="Q429" s="10">
        <v>216</v>
      </c>
      <c r="R429" s="10">
        <v>116</v>
      </c>
      <c r="S429" s="10">
        <v>37</v>
      </c>
      <c r="T429" s="10">
        <v>127</v>
      </c>
      <c r="U429" s="10">
        <v>3</v>
      </c>
      <c r="V429" s="10">
        <v>42</v>
      </c>
      <c r="W429" s="10">
        <v>7.4999999999999997E-2</v>
      </c>
      <c r="X429" s="10">
        <v>60</v>
      </c>
      <c r="Y429" s="10">
        <v>39</v>
      </c>
      <c r="Z429" s="10">
        <v>67</v>
      </c>
      <c r="AA429" s="10">
        <v>10</v>
      </c>
      <c r="AB429" s="10">
        <v>8.4</v>
      </c>
      <c r="AC429" s="9" t="s">
        <v>160</v>
      </c>
      <c r="AD429" s="10"/>
      <c r="AE429" s="10"/>
      <c r="AF429" s="10"/>
      <c r="AG429" s="10"/>
    </row>
    <row r="430" spans="1:33">
      <c r="A430" s="7" t="s">
        <v>155</v>
      </c>
      <c r="B430" s="8" t="s">
        <v>164</v>
      </c>
      <c r="C430" s="9" t="s">
        <v>883</v>
      </c>
      <c r="D430" s="10">
        <v>169</v>
      </c>
      <c r="E430" s="9" t="s">
        <v>158</v>
      </c>
      <c r="F430" s="10">
        <v>169</v>
      </c>
      <c r="G430" s="10">
        <v>168.1</v>
      </c>
      <c r="H430" s="10">
        <v>151</v>
      </c>
      <c r="I430" s="10">
        <v>158</v>
      </c>
      <c r="J430" s="10">
        <v>121</v>
      </c>
      <c r="K430" s="10">
        <v>67</v>
      </c>
      <c r="L430" s="10">
        <v>104</v>
      </c>
      <c r="M430" s="10">
        <v>13.3</v>
      </c>
      <c r="N430" s="10">
        <v>2460</v>
      </c>
      <c r="O430" s="10">
        <v>0.57999999999999996</v>
      </c>
      <c r="P430" s="10">
        <v>1418</v>
      </c>
      <c r="Q430" s="10">
        <v>244</v>
      </c>
      <c r="R430" s="10">
        <v>136</v>
      </c>
      <c r="S430" s="10">
        <v>37</v>
      </c>
      <c r="T430" s="10">
        <v>131</v>
      </c>
      <c r="U430" s="10">
        <v>3</v>
      </c>
      <c r="V430" s="10">
        <v>42</v>
      </c>
      <c r="W430" s="10">
        <v>7.3999999999999996E-2</v>
      </c>
      <c r="X430" s="10">
        <v>56</v>
      </c>
      <c r="Y430" s="10">
        <v>41</v>
      </c>
      <c r="Z430" s="10">
        <v>75</v>
      </c>
      <c r="AA430" s="10">
        <v>11</v>
      </c>
      <c r="AB430" s="10">
        <v>8.6</v>
      </c>
      <c r="AC430" s="9" t="s">
        <v>349</v>
      </c>
      <c r="AD430" s="10"/>
      <c r="AE430" s="10"/>
      <c r="AF430" s="10"/>
      <c r="AG430" s="10"/>
    </row>
    <row r="431" spans="1:33">
      <c r="A431" s="7" t="s">
        <v>155</v>
      </c>
      <c r="B431" s="8" t="s">
        <v>164</v>
      </c>
      <c r="C431" s="9" t="s">
        <v>419</v>
      </c>
      <c r="D431" s="10">
        <v>149</v>
      </c>
      <c r="E431" s="9" t="s">
        <v>163</v>
      </c>
      <c r="F431" s="10">
        <v>149</v>
      </c>
      <c r="G431" s="10">
        <v>147.69999999999999</v>
      </c>
      <c r="H431" s="10">
        <v>131</v>
      </c>
      <c r="I431" s="10">
        <v>138</v>
      </c>
      <c r="J431" s="10">
        <v>109</v>
      </c>
      <c r="K431" s="10">
        <v>67</v>
      </c>
      <c r="L431" s="10">
        <v>95</v>
      </c>
      <c r="M431" s="10">
        <v>12.7</v>
      </c>
      <c r="N431" s="10">
        <v>1569</v>
      </c>
      <c r="O431" s="10">
        <v>0.76</v>
      </c>
      <c r="P431" s="10">
        <v>1185</v>
      </c>
      <c r="Q431" s="10">
        <v>222</v>
      </c>
      <c r="R431" s="10">
        <v>98</v>
      </c>
      <c r="S431" s="10">
        <v>34</v>
      </c>
      <c r="T431" s="10">
        <v>125</v>
      </c>
      <c r="U431" s="10">
        <v>3</v>
      </c>
      <c r="V431" s="10">
        <v>44</v>
      </c>
      <c r="W431" s="10">
        <v>7.9000000000000001E-2</v>
      </c>
      <c r="X431" s="10">
        <v>57</v>
      </c>
      <c r="Y431" s="10">
        <v>40</v>
      </c>
      <c r="Z431" s="10">
        <v>68</v>
      </c>
      <c r="AA431" s="10">
        <v>6</v>
      </c>
      <c r="AB431" s="10">
        <v>11</v>
      </c>
      <c r="AC431" s="9" t="s">
        <v>349</v>
      </c>
      <c r="AD431" s="10"/>
      <c r="AE431" s="10"/>
      <c r="AF431" s="10"/>
      <c r="AG431" s="10"/>
    </row>
    <row r="432" spans="1:33">
      <c r="A432" s="7" t="s">
        <v>155</v>
      </c>
      <c r="B432" s="8" t="s">
        <v>164</v>
      </c>
      <c r="C432" s="9" t="s">
        <v>419</v>
      </c>
      <c r="D432" s="10">
        <v>155</v>
      </c>
      <c r="E432" s="9" t="s">
        <v>163</v>
      </c>
      <c r="F432" s="10">
        <v>155</v>
      </c>
      <c r="G432" s="10">
        <v>153.6</v>
      </c>
      <c r="H432" s="10">
        <v>137</v>
      </c>
      <c r="I432" s="10">
        <v>143</v>
      </c>
      <c r="J432" s="10">
        <v>110</v>
      </c>
      <c r="K432" s="10">
        <v>66</v>
      </c>
      <c r="L432" s="10">
        <v>96</v>
      </c>
      <c r="M432" s="10">
        <v>13.5</v>
      </c>
      <c r="N432" s="10">
        <v>1676</v>
      </c>
      <c r="O432" s="10">
        <v>0.74</v>
      </c>
      <c r="P432" s="10">
        <v>1233</v>
      </c>
      <c r="Q432" s="10">
        <v>223</v>
      </c>
      <c r="R432" s="10">
        <v>107</v>
      </c>
      <c r="S432" s="10">
        <v>36</v>
      </c>
      <c r="T432" s="10">
        <v>126</v>
      </c>
      <c r="U432" s="10">
        <v>3</v>
      </c>
      <c r="V432" s="10">
        <v>40</v>
      </c>
      <c r="W432" s="10">
        <v>7.3999999999999996E-2</v>
      </c>
      <c r="X432" s="10">
        <v>64</v>
      </c>
      <c r="Y432" s="10">
        <v>40</v>
      </c>
      <c r="Z432" s="10">
        <v>62</v>
      </c>
      <c r="AA432" s="10">
        <v>8</v>
      </c>
      <c r="AB432" s="10">
        <v>10.4</v>
      </c>
      <c r="AC432" s="9" t="s">
        <v>349</v>
      </c>
      <c r="AD432" s="10"/>
      <c r="AE432" s="10"/>
      <c r="AF432" s="10"/>
      <c r="AG432" s="10"/>
    </row>
    <row r="433" spans="1:33">
      <c r="A433" s="7" t="s">
        <v>155</v>
      </c>
      <c r="B433" s="8" t="s">
        <v>164</v>
      </c>
      <c r="C433" s="9" t="s">
        <v>659</v>
      </c>
      <c r="D433" s="10">
        <v>160</v>
      </c>
      <c r="E433" s="9" t="s">
        <v>158</v>
      </c>
      <c r="F433" s="10">
        <v>160</v>
      </c>
      <c r="G433" s="10">
        <v>159.1</v>
      </c>
      <c r="H433" s="10">
        <v>138</v>
      </c>
      <c r="I433" s="10">
        <v>143</v>
      </c>
      <c r="J433" s="10">
        <v>125</v>
      </c>
      <c r="K433" s="10">
        <v>76</v>
      </c>
      <c r="L433" s="10">
        <v>104</v>
      </c>
      <c r="M433" s="10">
        <v>13.2</v>
      </c>
      <c r="N433" s="10">
        <v>1926</v>
      </c>
      <c r="O433" s="10">
        <v>0.75</v>
      </c>
      <c r="P433" s="10">
        <v>1448</v>
      </c>
      <c r="Q433" s="10">
        <v>176</v>
      </c>
      <c r="R433" s="10">
        <v>79</v>
      </c>
      <c r="S433" s="10">
        <v>32</v>
      </c>
      <c r="T433" s="10">
        <v>140</v>
      </c>
      <c r="U433" s="10">
        <v>10</v>
      </c>
      <c r="V433" s="10">
        <v>69</v>
      </c>
      <c r="W433" s="10">
        <v>0.307</v>
      </c>
      <c r="X433" s="10">
        <v>98</v>
      </c>
      <c r="Y433" s="10">
        <v>61</v>
      </c>
      <c r="Z433" s="10">
        <v>42</v>
      </c>
      <c r="AA433" s="10">
        <v>11</v>
      </c>
      <c r="AB433" s="10">
        <v>9.5</v>
      </c>
      <c r="AC433" s="9" t="s">
        <v>349</v>
      </c>
      <c r="AD433" s="9" t="s">
        <v>231</v>
      </c>
      <c r="AE433" s="10"/>
      <c r="AF433" s="10"/>
      <c r="AG433" s="10"/>
    </row>
    <row r="434" spans="1:33">
      <c r="A434" s="7" t="s">
        <v>155</v>
      </c>
      <c r="B434" s="8" t="s">
        <v>164</v>
      </c>
      <c r="C434" s="9" t="s">
        <v>659</v>
      </c>
      <c r="D434" s="10">
        <v>168</v>
      </c>
      <c r="E434" s="9" t="s">
        <v>158</v>
      </c>
      <c r="F434" s="10">
        <v>168</v>
      </c>
      <c r="G434" s="10">
        <v>167.3</v>
      </c>
      <c r="H434" s="10">
        <v>146</v>
      </c>
      <c r="I434" s="10">
        <v>153</v>
      </c>
      <c r="J434" s="10">
        <v>124</v>
      </c>
      <c r="K434" s="10">
        <v>75</v>
      </c>
      <c r="L434" s="10">
        <v>103</v>
      </c>
      <c r="M434" s="10">
        <v>14.8</v>
      </c>
      <c r="N434" s="10">
        <v>2032</v>
      </c>
      <c r="O434" s="10">
        <v>0.74</v>
      </c>
      <c r="P434" s="10">
        <v>1498</v>
      </c>
      <c r="Q434" s="10">
        <v>208</v>
      </c>
      <c r="R434" s="10">
        <v>93</v>
      </c>
      <c r="S434" s="10">
        <v>31</v>
      </c>
      <c r="T434" s="10">
        <v>144</v>
      </c>
      <c r="U434" s="10">
        <v>10</v>
      </c>
      <c r="V434" s="10">
        <v>72</v>
      </c>
      <c r="W434" s="10">
        <v>0.32200000000000001</v>
      </c>
      <c r="X434" s="10">
        <v>85</v>
      </c>
      <c r="Y434" s="10">
        <v>60</v>
      </c>
      <c r="Z434" s="10">
        <v>59</v>
      </c>
      <c r="AA434" s="10">
        <v>11</v>
      </c>
      <c r="AB434" s="10">
        <v>9.4</v>
      </c>
      <c r="AC434" s="9" t="s">
        <v>349</v>
      </c>
      <c r="AD434" s="10"/>
      <c r="AE434" s="10"/>
      <c r="AF434" s="10"/>
      <c r="AG434" s="10"/>
    </row>
    <row r="435" spans="1:33">
      <c r="A435" s="7" t="s">
        <v>155</v>
      </c>
      <c r="B435" s="8" t="s">
        <v>164</v>
      </c>
      <c r="C435" s="9" t="s">
        <v>641</v>
      </c>
      <c r="D435" s="10">
        <v>160</v>
      </c>
      <c r="E435" s="9" t="s">
        <v>158</v>
      </c>
      <c r="F435" s="10">
        <v>160</v>
      </c>
      <c r="G435" s="10">
        <v>159</v>
      </c>
      <c r="H435" s="10">
        <v>138</v>
      </c>
      <c r="I435" s="10">
        <v>145</v>
      </c>
      <c r="J435" s="10">
        <v>126</v>
      </c>
      <c r="K435" s="10">
        <v>75</v>
      </c>
      <c r="L435" s="10">
        <v>104</v>
      </c>
      <c r="M435" s="10">
        <v>12.9</v>
      </c>
      <c r="N435" s="10">
        <v>1562</v>
      </c>
      <c r="O435" s="10">
        <v>0.92</v>
      </c>
      <c r="P435" s="10">
        <v>1434</v>
      </c>
      <c r="Q435" s="10">
        <v>153</v>
      </c>
      <c r="R435" s="10">
        <v>71</v>
      </c>
      <c r="S435" s="10">
        <v>40</v>
      </c>
      <c r="T435" s="10">
        <v>146</v>
      </c>
      <c r="U435" s="10">
        <v>6</v>
      </c>
      <c r="V435" s="10">
        <v>62</v>
      </c>
      <c r="W435" s="10">
        <v>0.154</v>
      </c>
      <c r="X435" s="10">
        <v>95</v>
      </c>
      <c r="Y435" s="10">
        <v>49</v>
      </c>
      <c r="Z435" s="10">
        <v>51</v>
      </c>
      <c r="AA435" s="10">
        <v>11</v>
      </c>
      <c r="AB435" s="10">
        <v>10</v>
      </c>
      <c r="AC435" s="9" t="s">
        <v>349</v>
      </c>
      <c r="AD435" s="10"/>
      <c r="AE435" s="10"/>
      <c r="AF435" s="10"/>
      <c r="AG435" s="10"/>
    </row>
    <row r="436" spans="1:33">
      <c r="A436" s="7" t="s">
        <v>155</v>
      </c>
      <c r="B436" s="8" t="s">
        <v>164</v>
      </c>
      <c r="C436" s="9" t="s">
        <v>641</v>
      </c>
      <c r="D436" s="10">
        <v>176</v>
      </c>
      <c r="E436" s="9" t="s">
        <v>158</v>
      </c>
      <c r="F436" s="10">
        <v>176</v>
      </c>
      <c r="G436" s="10">
        <v>174.8</v>
      </c>
      <c r="H436" s="10">
        <v>154</v>
      </c>
      <c r="I436" s="10">
        <v>161</v>
      </c>
      <c r="J436" s="10">
        <v>126</v>
      </c>
      <c r="K436" s="10">
        <v>75</v>
      </c>
      <c r="L436" s="10">
        <v>104</v>
      </c>
      <c r="M436" s="10">
        <v>16.2</v>
      </c>
      <c r="N436" s="10">
        <v>1827</v>
      </c>
      <c r="O436" s="10">
        <v>0.86</v>
      </c>
      <c r="P436" s="10">
        <v>1572</v>
      </c>
      <c r="Q436" s="10">
        <v>232</v>
      </c>
      <c r="R436" s="10">
        <v>93</v>
      </c>
      <c r="S436" s="10">
        <v>39</v>
      </c>
      <c r="T436" s="10">
        <v>140</v>
      </c>
      <c r="U436" s="10">
        <v>7</v>
      </c>
      <c r="V436" s="10">
        <v>68</v>
      </c>
      <c r="W436" s="10">
        <v>0.17599999999999999</v>
      </c>
      <c r="X436" s="10">
        <v>87</v>
      </c>
      <c r="Y436" s="10">
        <v>52</v>
      </c>
      <c r="Z436" s="10">
        <v>53</v>
      </c>
      <c r="AA436" s="10">
        <v>9</v>
      </c>
      <c r="AB436" s="10">
        <v>10.5</v>
      </c>
      <c r="AC436" s="9" t="s">
        <v>349</v>
      </c>
      <c r="AD436" s="10"/>
      <c r="AE436" s="10"/>
      <c r="AF436" s="10"/>
      <c r="AG436" s="10"/>
    </row>
    <row r="437" spans="1:33">
      <c r="A437" s="7" t="s">
        <v>155</v>
      </c>
      <c r="B437" s="8" t="s">
        <v>164</v>
      </c>
      <c r="C437" s="9" t="s">
        <v>717</v>
      </c>
      <c r="D437" s="10">
        <v>144</v>
      </c>
      <c r="E437" s="9" t="s">
        <v>158</v>
      </c>
      <c r="F437" s="10">
        <v>144</v>
      </c>
      <c r="G437" s="10">
        <v>143.19999999999999</v>
      </c>
      <c r="H437" s="10">
        <v>111</v>
      </c>
      <c r="I437" s="10">
        <v>130</v>
      </c>
      <c r="J437" s="10">
        <v>125</v>
      </c>
      <c r="K437" s="10">
        <v>74</v>
      </c>
      <c r="L437" s="10">
        <v>100</v>
      </c>
      <c r="M437" s="10">
        <v>10.5</v>
      </c>
      <c r="N437" s="10">
        <v>1485</v>
      </c>
      <c r="O437" s="10">
        <v>0.86</v>
      </c>
      <c r="P437" s="10">
        <v>1277</v>
      </c>
      <c r="Q437" s="10">
        <v>142</v>
      </c>
      <c r="R437" s="10">
        <v>51</v>
      </c>
      <c r="S437" s="10">
        <v>38</v>
      </c>
      <c r="T437" s="10">
        <v>186</v>
      </c>
      <c r="U437" s="10">
        <v>10</v>
      </c>
      <c r="V437" s="10">
        <v>132</v>
      </c>
      <c r="W437" s="10">
        <v>0.27400000000000002</v>
      </c>
      <c r="X437" s="10">
        <v>81</v>
      </c>
      <c r="Y437" s="10">
        <v>55</v>
      </c>
      <c r="Z437" s="10">
        <v>105</v>
      </c>
      <c r="AA437" s="10">
        <v>3</v>
      </c>
      <c r="AB437" s="10">
        <v>10.1</v>
      </c>
      <c r="AC437" s="9" t="s">
        <v>160</v>
      </c>
      <c r="AD437" s="10"/>
      <c r="AE437" s="10"/>
      <c r="AF437" s="10"/>
      <c r="AG437" s="10"/>
    </row>
    <row r="438" spans="1:33">
      <c r="A438" s="7" t="s">
        <v>155</v>
      </c>
      <c r="B438" s="8" t="s">
        <v>164</v>
      </c>
      <c r="C438" s="9" t="s">
        <v>717</v>
      </c>
      <c r="D438" s="10">
        <v>152</v>
      </c>
      <c r="E438" s="9" t="s">
        <v>158</v>
      </c>
      <c r="F438" s="10">
        <v>152</v>
      </c>
      <c r="G438" s="10">
        <v>151.30000000000001</v>
      </c>
      <c r="H438" s="10">
        <v>128</v>
      </c>
      <c r="I438" s="10">
        <v>137</v>
      </c>
      <c r="J438" s="10">
        <v>125</v>
      </c>
      <c r="K438" s="10">
        <v>74</v>
      </c>
      <c r="L438" s="10">
        <v>100</v>
      </c>
      <c r="M438" s="10">
        <v>12</v>
      </c>
      <c r="N438" s="10">
        <v>1543</v>
      </c>
      <c r="O438" s="10">
        <v>0.87</v>
      </c>
      <c r="P438" s="10">
        <v>1349</v>
      </c>
      <c r="Q438" s="10">
        <v>144</v>
      </c>
      <c r="R438" s="10">
        <v>54</v>
      </c>
      <c r="S438" s="10">
        <v>35</v>
      </c>
      <c r="T438" s="10">
        <v>159</v>
      </c>
      <c r="U438" s="10">
        <v>9</v>
      </c>
      <c r="V438" s="10">
        <v>70</v>
      </c>
      <c r="W438" s="10">
        <v>0.25600000000000001</v>
      </c>
      <c r="X438" s="10">
        <v>91</v>
      </c>
      <c r="Y438" s="10">
        <v>53</v>
      </c>
      <c r="Z438" s="10">
        <v>69</v>
      </c>
      <c r="AA438" s="10">
        <v>6</v>
      </c>
      <c r="AB438" s="10">
        <v>11.5</v>
      </c>
      <c r="AC438" s="9" t="s">
        <v>349</v>
      </c>
      <c r="AD438" s="10"/>
      <c r="AE438" s="10"/>
      <c r="AF438" s="10"/>
      <c r="AG438" s="10"/>
    </row>
    <row r="439" spans="1:33">
      <c r="A439" s="7" t="s">
        <v>155</v>
      </c>
      <c r="B439" s="8" t="s">
        <v>164</v>
      </c>
      <c r="C439" s="9" t="s">
        <v>717</v>
      </c>
      <c r="D439" s="10">
        <v>160</v>
      </c>
      <c r="E439" s="9" t="s">
        <v>158</v>
      </c>
      <c r="F439" s="10">
        <v>160</v>
      </c>
      <c r="G439" s="10">
        <v>159.5</v>
      </c>
      <c r="H439" s="10">
        <v>135</v>
      </c>
      <c r="I439" s="10">
        <v>146</v>
      </c>
      <c r="J439" s="10">
        <v>126</v>
      </c>
      <c r="K439" s="10">
        <v>75</v>
      </c>
      <c r="L439" s="10">
        <v>101</v>
      </c>
      <c r="M439" s="10">
        <v>13.5</v>
      </c>
      <c r="N439" s="10">
        <v>1710</v>
      </c>
      <c r="O439" s="10">
        <v>0.84</v>
      </c>
      <c r="P439" s="10">
        <v>1435</v>
      </c>
      <c r="Q439" s="10">
        <v>172</v>
      </c>
      <c r="R439" s="10">
        <v>63</v>
      </c>
      <c r="S439" s="10">
        <v>38</v>
      </c>
      <c r="T439" s="10">
        <v>167</v>
      </c>
      <c r="U439" s="10">
        <v>10</v>
      </c>
      <c r="V439" s="10">
        <v>74</v>
      </c>
      <c r="W439" s="10">
        <v>0.25800000000000001</v>
      </c>
      <c r="X439" s="10">
        <v>80</v>
      </c>
      <c r="Y439" s="10">
        <v>56</v>
      </c>
      <c r="Z439" s="10">
        <v>87</v>
      </c>
      <c r="AA439" s="10">
        <v>6</v>
      </c>
      <c r="AB439" s="10">
        <v>11.3</v>
      </c>
      <c r="AC439" s="9" t="s">
        <v>349</v>
      </c>
      <c r="AD439" s="10"/>
      <c r="AE439" s="10"/>
      <c r="AF439" s="10"/>
      <c r="AG439" s="10"/>
    </row>
    <row r="440" spans="1:33">
      <c r="A440" s="7" t="s">
        <v>155</v>
      </c>
      <c r="B440" s="8" t="s">
        <v>164</v>
      </c>
      <c r="C440" s="9" t="s">
        <v>717</v>
      </c>
      <c r="D440" s="10">
        <v>168</v>
      </c>
      <c r="E440" s="9" t="s">
        <v>158</v>
      </c>
      <c r="F440" s="10">
        <v>168</v>
      </c>
      <c r="G440" s="10">
        <v>167.4</v>
      </c>
      <c r="H440" s="10">
        <v>144</v>
      </c>
      <c r="I440" s="10">
        <v>153</v>
      </c>
      <c r="J440" s="10">
        <v>126</v>
      </c>
      <c r="K440" s="10">
        <v>75</v>
      </c>
      <c r="L440" s="10">
        <v>101</v>
      </c>
      <c r="M440" s="10">
        <v>15.1</v>
      </c>
      <c r="N440" s="10">
        <v>1822</v>
      </c>
      <c r="O440" s="10">
        <v>0.83</v>
      </c>
      <c r="P440" s="10">
        <v>1504</v>
      </c>
      <c r="Q440" s="10">
        <v>203</v>
      </c>
      <c r="R440" s="10">
        <v>74</v>
      </c>
      <c r="S440" s="10">
        <v>34</v>
      </c>
      <c r="T440" s="10">
        <v>153</v>
      </c>
      <c r="U440" s="10">
        <v>10</v>
      </c>
      <c r="V440" s="10">
        <v>79</v>
      </c>
      <c r="W440" s="10">
        <v>0.29599999999999999</v>
      </c>
      <c r="X440" s="10">
        <v>86</v>
      </c>
      <c r="Y440" s="10">
        <v>58</v>
      </c>
      <c r="Z440" s="10">
        <v>68</v>
      </c>
      <c r="AA440" s="10">
        <v>6</v>
      </c>
      <c r="AB440" s="10">
        <v>11.1</v>
      </c>
      <c r="AC440" s="9" t="s">
        <v>349</v>
      </c>
      <c r="AD440" s="10"/>
      <c r="AE440" s="10"/>
      <c r="AF440" s="10"/>
      <c r="AG440" s="10"/>
    </row>
    <row r="441" spans="1:33">
      <c r="A441" s="7" t="s">
        <v>155</v>
      </c>
      <c r="B441" s="8" t="s">
        <v>164</v>
      </c>
      <c r="C441" s="9" t="s">
        <v>717</v>
      </c>
      <c r="D441" s="10">
        <v>176</v>
      </c>
      <c r="E441" s="9" t="s">
        <v>158</v>
      </c>
      <c r="F441" s="10">
        <v>176</v>
      </c>
      <c r="G441" s="10">
        <v>175.4</v>
      </c>
      <c r="H441" s="10">
        <v>149</v>
      </c>
      <c r="I441" s="10">
        <v>161</v>
      </c>
      <c r="J441" s="10">
        <v>128</v>
      </c>
      <c r="K441" s="10">
        <v>77</v>
      </c>
      <c r="L441" s="10">
        <v>104</v>
      </c>
      <c r="M441" s="10">
        <v>16.8</v>
      </c>
      <c r="N441" s="10">
        <v>1957</v>
      </c>
      <c r="O441" s="10">
        <v>0.82</v>
      </c>
      <c r="P441" s="10">
        <v>1604</v>
      </c>
      <c r="Q441" s="10">
        <v>220</v>
      </c>
      <c r="R441" s="10">
        <v>73</v>
      </c>
      <c r="S441" s="10">
        <v>35</v>
      </c>
      <c r="T441" s="10">
        <v>170</v>
      </c>
      <c r="U441" s="10">
        <v>10</v>
      </c>
      <c r="V441" s="10">
        <v>92</v>
      </c>
      <c r="W441" s="10">
        <v>0.29699999999999999</v>
      </c>
      <c r="X441" s="10">
        <v>85</v>
      </c>
      <c r="Y441" s="10">
        <v>58</v>
      </c>
      <c r="Z441" s="10">
        <v>85</v>
      </c>
      <c r="AA441" s="10">
        <v>5</v>
      </c>
      <c r="AB441" s="10">
        <v>11.2</v>
      </c>
      <c r="AC441" s="9" t="s">
        <v>349</v>
      </c>
      <c r="AD441" s="10"/>
      <c r="AE441" s="10"/>
      <c r="AF441" s="10"/>
      <c r="AG441" s="10"/>
    </row>
    <row r="442" spans="1:33">
      <c r="A442" s="7" t="s">
        <v>155</v>
      </c>
      <c r="B442" s="8" t="s">
        <v>164</v>
      </c>
      <c r="C442" s="9" t="s">
        <v>777</v>
      </c>
      <c r="D442" s="10">
        <v>152</v>
      </c>
      <c r="E442" s="9" t="s">
        <v>163</v>
      </c>
      <c r="F442" s="10">
        <v>152</v>
      </c>
      <c r="G442" s="10">
        <v>151.30000000000001</v>
      </c>
      <c r="H442" s="10">
        <v>124</v>
      </c>
      <c r="I442" s="10">
        <v>138</v>
      </c>
      <c r="J442" s="10">
        <v>126</v>
      </c>
      <c r="K442" s="10">
        <v>74</v>
      </c>
      <c r="L442" s="10">
        <v>101</v>
      </c>
      <c r="M442" s="10">
        <v>12</v>
      </c>
      <c r="N442" s="10">
        <v>1553</v>
      </c>
      <c r="O442" s="10">
        <v>0.87</v>
      </c>
      <c r="P442" s="10">
        <v>1355</v>
      </c>
      <c r="Q442" s="10">
        <v>160</v>
      </c>
      <c r="R442" s="10">
        <v>53</v>
      </c>
      <c r="S442" s="10">
        <v>38</v>
      </c>
      <c r="T442" s="10">
        <v>181</v>
      </c>
      <c r="U442" s="10">
        <v>11</v>
      </c>
      <c r="V442" s="10">
        <v>92</v>
      </c>
      <c r="W442" s="10">
        <v>0.27800000000000002</v>
      </c>
      <c r="X442" s="10">
        <v>76</v>
      </c>
      <c r="Y442" s="10">
        <v>55</v>
      </c>
      <c r="Z442" s="10">
        <v>105</v>
      </c>
      <c r="AA442" s="10">
        <v>6</v>
      </c>
      <c r="AB442" s="10">
        <v>10.4</v>
      </c>
      <c r="AC442" s="9" t="s">
        <v>160</v>
      </c>
      <c r="AD442" s="10"/>
      <c r="AE442" s="10"/>
      <c r="AF442" s="10"/>
      <c r="AG442" s="10"/>
    </row>
    <row r="443" spans="1:33">
      <c r="A443" s="7" t="s">
        <v>155</v>
      </c>
      <c r="B443" s="8" t="s">
        <v>164</v>
      </c>
      <c r="C443" s="9" t="s">
        <v>777</v>
      </c>
      <c r="D443" s="10">
        <v>160</v>
      </c>
      <c r="E443" s="9" t="s">
        <v>163</v>
      </c>
      <c r="F443" s="10">
        <v>160</v>
      </c>
      <c r="G443" s="10">
        <v>159.5</v>
      </c>
      <c r="H443" s="10">
        <v>136</v>
      </c>
      <c r="I443" s="10">
        <v>145</v>
      </c>
      <c r="J443" s="10">
        <v>127</v>
      </c>
      <c r="K443" s="10">
        <v>75</v>
      </c>
      <c r="L443" s="10">
        <v>102</v>
      </c>
      <c r="M443" s="10">
        <v>13.4</v>
      </c>
      <c r="N443" s="10">
        <v>1737</v>
      </c>
      <c r="O443" s="10">
        <v>0.83</v>
      </c>
      <c r="P443" s="10">
        <v>1440</v>
      </c>
      <c r="Q443" s="10">
        <v>176</v>
      </c>
      <c r="R443" s="10">
        <v>61</v>
      </c>
      <c r="S443" s="10">
        <v>37</v>
      </c>
      <c r="T443" s="10">
        <v>164</v>
      </c>
      <c r="U443" s="10">
        <v>10</v>
      </c>
      <c r="V443" s="10">
        <v>73</v>
      </c>
      <c r="W443" s="10">
        <v>0.26800000000000002</v>
      </c>
      <c r="X443" s="10">
        <v>82</v>
      </c>
      <c r="Y443" s="10">
        <v>59</v>
      </c>
      <c r="Z443" s="10">
        <v>82</v>
      </c>
      <c r="AA443" s="10">
        <v>8</v>
      </c>
      <c r="AB443" s="10">
        <v>10.5</v>
      </c>
      <c r="AC443" s="9" t="s">
        <v>349</v>
      </c>
      <c r="AD443" s="10"/>
      <c r="AE443" s="10"/>
      <c r="AF443" s="10"/>
      <c r="AG443" s="10"/>
    </row>
    <row r="444" spans="1:33">
      <c r="A444" s="7" t="s">
        <v>155</v>
      </c>
      <c r="B444" s="8" t="s">
        <v>164</v>
      </c>
      <c r="C444" s="9" t="s">
        <v>777</v>
      </c>
      <c r="D444" s="10">
        <v>168</v>
      </c>
      <c r="E444" s="9" t="s">
        <v>163</v>
      </c>
      <c r="F444" s="10">
        <v>168</v>
      </c>
      <c r="G444" s="10">
        <v>167.5</v>
      </c>
      <c r="H444" s="10">
        <v>144</v>
      </c>
      <c r="I444" s="10">
        <v>153</v>
      </c>
      <c r="J444" s="10">
        <v>127</v>
      </c>
      <c r="K444" s="10">
        <v>75</v>
      </c>
      <c r="L444" s="10">
        <v>102</v>
      </c>
      <c r="M444" s="10">
        <v>15.1</v>
      </c>
      <c r="N444" s="10">
        <v>1819</v>
      </c>
      <c r="O444" s="10">
        <v>0.83</v>
      </c>
      <c r="P444" s="10">
        <v>1513</v>
      </c>
      <c r="Q444" s="10">
        <v>203</v>
      </c>
      <c r="R444" s="10">
        <v>70</v>
      </c>
      <c r="S444" s="10">
        <v>34</v>
      </c>
      <c r="T444" s="10">
        <v>154</v>
      </c>
      <c r="U444" s="10">
        <v>10</v>
      </c>
      <c r="V444" s="10">
        <v>77</v>
      </c>
      <c r="W444" s="10">
        <v>0.28599999999999998</v>
      </c>
      <c r="X444" s="10">
        <v>85</v>
      </c>
      <c r="Y444" s="10">
        <v>59</v>
      </c>
      <c r="Z444" s="10">
        <v>69</v>
      </c>
      <c r="AA444" s="10">
        <v>8</v>
      </c>
      <c r="AB444" s="10">
        <v>10.5</v>
      </c>
      <c r="AC444" s="9" t="s">
        <v>349</v>
      </c>
      <c r="AD444" s="10"/>
      <c r="AE444" s="10"/>
      <c r="AF444" s="10"/>
      <c r="AG444" s="10"/>
    </row>
    <row r="445" spans="1:33">
      <c r="A445" s="7" t="s">
        <v>155</v>
      </c>
      <c r="B445" s="8" t="s">
        <v>164</v>
      </c>
      <c r="C445" s="9" t="s">
        <v>796</v>
      </c>
      <c r="D445" s="10">
        <v>158</v>
      </c>
      <c r="E445" s="9" t="s">
        <v>163</v>
      </c>
      <c r="F445" s="10">
        <v>158</v>
      </c>
      <c r="G445" s="10">
        <v>159.1</v>
      </c>
      <c r="H445" s="10">
        <v>138</v>
      </c>
      <c r="I445" s="10">
        <v>144</v>
      </c>
      <c r="J445" s="10">
        <v>125</v>
      </c>
      <c r="K445" s="10">
        <v>76</v>
      </c>
      <c r="L445" s="10">
        <v>105</v>
      </c>
      <c r="M445" s="10">
        <v>13.1</v>
      </c>
      <c r="N445" s="10">
        <v>1731</v>
      </c>
      <c r="O445" s="10">
        <v>0.84</v>
      </c>
      <c r="P445" s="10">
        <v>1451</v>
      </c>
      <c r="Q445" s="10">
        <v>161</v>
      </c>
      <c r="R445" s="10">
        <v>62</v>
      </c>
      <c r="S445" s="10">
        <v>32</v>
      </c>
      <c r="T445" s="10">
        <v>142</v>
      </c>
      <c r="U445" s="10">
        <v>10</v>
      </c>
      <c r="V445" s="10">
        <v>70</v>
      </c>
      <c r="W445" s="10">
        <v>0.30199999999999999</v>
      </c>
      <c r="X445" s="10">
        <v>93</v>
      </c>
      <c r="Y445" s="10">
        <v>60</v>
      </c>
      <c r="Z445" s="10">
        <v>49</v>
      </c>
      <c r="AA445" s="10">
        <v>8</v>
      </c>
      <c r="AB445" s="10">
        <v>8.6999999999999993</v>
      </c>
      <c r="AC445" s="9" t="s">
        <v>349</v>
      </c>
      <c r="AD445" s="10"/>
      <c r="AE445" s="10"/>
      <c r="AF445" s="10"/>
      <c r="AG445" s="10"/>
    </row>
    <row r="446" spans="1:33">
      <c r="A446" s="7" t="s">
        <v>155</v>
      </c>
      <c r="B446" s="8" t="s">
        <v>164</v>
      </c>
      <c r="C446" s="9" t="s">
        <v>700</v>
      </c>
      <c r="D446" s="10">
        <v>158</v>
      </c>
      <c r="E446" s="9" t="s">
        <v>163</v>
      </c>
      <c r="F446" s="10">
        <v>158</v>
      </c>
      <c r="G446" s="10">
        <v>159.1</v>
      </c>
      <c r="H446" s="10">
        <v>138</v>
      </c>
      <c r="I446" s="10">
        <v>144</v>
      </c>
      <c r="J446" s="10">
        <v>125</v>
      </c>
      <c r="K446" s="10">
        <v>76</v>
      </c>
      <c r="L446" s="10">
        <v>105</v>
      </c>
      <c r="M446" s="10">
        <v>13.1</v>
      </c>
      <c r="N446" s="10">
        <v>1773</v>
      </c>
      <c r="O446" s="10">
        <v>0.82</v>
      </c>
      <c r="P446" s="10">
        <v>1451</v>
      </c>
      <c r="Q446" s="10">
        <v>182</v>
      </c>
      <c r="R446" s="10">
        <v>79</v>
      </c>
      <c r="S446" s="10">
        <v>32</v>
      </c>
      <c r="T446" s="10">
        <v>140</v>
      </c>
      <c r="U446" s="10">
        <v>10</v>
      </c>
      <c r="V446" s="10">
        <v>69</v>
      </c>
      <c r="W446" s="10">
        <v>0.30199999999999999</v>
      </c>
      <c r="X446" s="10">
        <v>92</v>
      </c>
      <c r="Y446" s="10">
        <v>62</v>
      </c>
      <c r="Z446" s="10">
        <v>48</v>
      </c>
      <c r="AA446" s="10">
        <v>10</v>
      </c>
      <c r="AB446" s="10">
        <v>8.6999999999999993</v>
      </c>
      <c r="AC446" s="9" t="s">
        <v>349</v>
      </c>
      <c r="AD446" s="10"/>
      <c r="AE446" s="10"/>
      <c r="AF446" s="10"/>
      <c r="AG446" s="10"/>
    </row>
    <row r="447" spans="1:33">
      <c r="A447" s="7" t="s">
        <v>155</v>
      </c>
      <c r="B447" s="8" t="s">
        <v>164</v>
      </c>
      <c r="C447" s="9" t="s">
        <v>714</v>
      </c>
      <c r="D447" s="10">
        <v>152</v>
      </c>
      <c r="E447" s="9" t="s">
        <v>163</v>
      </c>
      <c r="F447" s="10">
        <v>152</v>
      </c>
      <c r="G447" s="10">
        <v>152.80000000000001</v>
      </c>
      <c r="H447" s="10">
        <v>134</v>
      </c>
      <c r="I447" s="10">
        <v>142</v>
      </c>
      <c r="J447" s="10">
        <v>121</v>
      </c>
      <c r="K447" s="10">
        <v>72</v>
      </c>
      <c r="L447" s="10">
        <v>103</v>
      </c>
      <c r="M447" s="10">
        <v>12.3</v>
      </c>
      <c r="N447" s="10">
        <v>1690</v>
      </c>
      <c r="O447" s="10">
        <v>0.79</v>
      </c>
      <c r="P447" s="10">
        <v>1337</v>
      </c>
      <c r="Q447" s="10">
        <v>183</v>
      </c>
      <c r="R447" s="10">
        <v>72</v>
      </c>
      <c r="S447" s="10">
        <v>41</v>
      </c>
      <c r="T447" s="10">
        <v>136</v>
      </c>
      <c r="U447" s="10">
        <v>4</v>
      </c>
      <c r="V447" s="10">
        <v>49</v>
      </c>
      <c r="W447" s="10">
        <v>9.6000000000000002E-2</v>
      </c>
      <c r="X447" s="10">
        <v>74</v>
      </c>
      <c r="Y447" s="10">
        <v>39</v>
      </c>
      <c r="Z447" s="10">
        <v>63</v>
      </c>
      <c r="AA447" s="10">
        <v>6</v>
      </c>
      <c r="AB447" s="10">
        <v>10.1</v>
      </c>
      <c r="AC447" s="9" t="s">
        <v>349</v>
      </c>
      <c r="AD447" s="10"/>
      <c r="AE447" s="10"/>
      <c r="AF447" s="10"/>
      <c r="AG447" s="10"/>
    </row>
    <row r="448" spans="1:33">
      <c r="A448" s="7" t="s">
        <v>155</v>
      </c>
      <c r="B448" s="8" t="s">
        <v>164</v>
      </c>
      <c r="C448" s="9" t="s">
        <v>714</v>
      </c>
      <c r="D448" s="10">
        <v>158</v>
      </c>
      <c r="E448" s="9" t="s">
        <v>163</v>
      </c>
      <c r="F448" s="10">
        <v>158</v>
      </c>
      <c r="G448" s="10">
        <v>159</v>
      </c>
      <c r="H448" s="10">
        <v>140</v>
      </c>
      <c r="I448" s="10">
        <v>147</v>
      </c>
      <c r="J448" s="10">
        <v>122</v>
      </c>
      <c r="K448" s="10">
        <v>73</v>
      </c>
      <c r="L448" s="10">
        <v>104</v>
      </c>
      <c r="M448" s="10">
        <v>13.4</v>
      </c>
      <c r="N448" s="10">
        <v>1753</v>
      </c>
      <c r="O448" s="10">
        <v>0.8</v>
      </c>
      <c r="P448" s="10">
        <v>1395</v>
      </c>
      <c r="Q448" s="10">
        <v>186</v>
      </c>
      <c r="R448" s="10">
        <v>75</v>
      </c>
      <c r="S448" s="10">
        <v>41</v>
      </c>
      <c r="T448" s="10">
        <v>138</v>
      </c>
      <c r="U448" s="10">
        <v>3</v>
      </c>
      <c r="V448" s="10">
        <v>48</v>
      </c>
      <c r="W448" s="10">
        <v>7.5999999999999998E-2</v>
      </c>
      <c r="X448" s="10">
        <v>78</v>
      </c>
      <c r="Y448" s="10">
        <v>38</v>
      </c>
      <c r="Z448" s="10">
        <v>60</v>
      </c>
      <c r="AA448" s="10">
        <v>8</v>
      </c>
      <c r="AB448" s="10">
        <v>9.8000000000000007</v>
      </c>
      <c r="AC448" s="9" t="s">
        <v>349</v>
      </c>
      <c r="AD448" s="10"/>
      <c r="AE448" s="10"/>
      <c r="AF448" s="10"/>
      <c r="AG448" s="10"/>
    </row>
    <row r="449" spans="1:33">
      <c r="A449" s="7" t="s">
        <v>155</v>
      </c>
      <c r="B449" s="8" t="s">
        <v>164</v>
      </c>
      <c r="C449" s="9" t="s">
        <v>714</v>
      </c>
      <c r="D449" s="10">
        <v>164</v>
      </c>
      <c r="E449" s="9" t="s">
        <v>163</v>
      </c>
      <c r="F449" s="10">
        <v>164</v>
      </c>
      <c r="G449" s="10">
        <v>164.9</v>
      </c>
      <c r="H449" s="10">
        <v>147</v>
      </c>
      <c r="I449" s="10">
        <v>153</v>
      </c>
      <c r="J449" s="10">
        <v>121</v>
      </c>
      <c r="K449" s="10">
        <v>73</v>
      </c>
      <c r="L449" s="10">
        <v>104</v>
      </c>
      <c r="M449" s="10">
        <v>14.6</v>
      </c>
      <c r="N449" s="10">
        <v>1813</v>
      </c>
      <c r="O449" s="10">
        <v>0.8</v>
      </c>
      <c r="P449" s="10">
        <v>1444</v>
      </c>
      <c r="Q449" s="10">
        <v>207</v>
      </c>
      <c r="R449" s="10">
        <v>79</v>
      </c>
      <c r="S449" s="10">
        <v>41</v>
      </c>
      <c r="T449" s="10">
        <v>138</v>
      </c>
      <c r="U449" s="10">
        <v>3</v>
      </c>
      <c r="V449" s="10">
        <v>46</v>
      </c>
      <c r="W449" s="10">
        <v>6.9000000000000006E-2</v>
      </c>
      <c r="X449" s="10">
        <v>82</v>
      </c>
      <c r="Y449" s="10">
        <v>38</v>
      </c>
      <c r="Z449" s="10">
        <v>56</v>
      </c>
      <c r="AA449" s="10">
        <v>9</v>
      </c>
      <c r="AB449" s="10">
        <v>9.6</v>
      </c>
      <c r="AC449" s="9" t="s">
        <v>349</v>
      </c>
      <c r="AD449" s="10"/>
      <c r="AE449" s="10"/>
      <c r="AF449" s="10"/>
      <c r="AG449" s="10"/>
    </row>
    <row r="450" spans="1:33">
      <c r="A450" s="7" t="s">
        <v>155</v>
      </c>
      <c r="B450" s="8" t="s">
        <v>164</v>
      </c>
      <c r="C450" s="9" t="s">
        <v>366</v>
      </c>
      <c r="D450" s="10">
        <v>154</v>
      </c>
      <c r="E450" s="9" t="s">
        <v>163</v>
      </c>
      <c r="F450" s="10">
        <v>154</v>
      </c>
      <c r="G450" s="10">
        <v>154.80000000000001</v>
      </c>
      <c r="H450" s="10">
        <v>109</v>
      </c>
      <c r="I450" s="10">
        <v>123</v>
      </c>
      <c r="J450" s="10">
        <v>137</v>
      </c>
      <c r="K450" s="10">
        <v>101</v>
      </c>
      <c r="L450" s="10">
        <v>115</v>
      </c>
      <c r="M450" s="10">
        <v>14.8</v>
      </c>
      <c r="N450" s="10">
        <v>1507</v>
      </c>
      <c r="O450" s="10">
        <v>1.1499999999999999</v>
      </c>
      <c r="P450" s="10">
        <v>1733</v>
      </c>
      <c r="Q450" s="10">
        <v>140</v>
      </c>
      <c r="R450" s="10">
        <v>68</v>
      </c>
      <c r="S450" s="10">
        <v>49</v>
      </c>
      <c r="T450" s="10">
        <v>296</v>
      </c>
      <c r="U450" s="10">
        <v>15</v>
      </c>
      <c r="V450" s="10">
        <v>159</v>
      </c>
      <c r="W450" s="10">
        <v>0.29799999999999999</v>
      </c>
      <c r="X450" s="10">
        <v>166</v>
      </c>
      <c r="Y450" s="10">
        <v>156</v>
      </c>
      <c r="Z450" s="10">
        <v>130</v>
      </c>
      <c r="AA450" s="10">
        <v>4</v>
      </c>
      <c r="AB450" s="10">
        <v>9.1</v>
      </c>
      <c r="AC450" s="9" t="s">
        <v>188</v>
      </c>
      <c r="AD450" s="9" t="s">
        <v>178</v>
      </c>
      <c r="AE450" s="9" t="s">
        <v>185</v>
      </c>
      <c r="AF450" s="10"/>
      <c r="AG450" s="10"/>
    </row>
    <row r="451" spans="1:33">
      <c r="A451" s="7" t="s">
        <v>155</v>
      </c>
      <c r="B451" s="8" t="s">
        <v>164</v>
      </c>
      <c r="C451" s="9" t="s">
        <v>366</v>
      </c>
      <c r="D451" s="10">
        <v>162</v>
      </c>
      <c r="E451" s="9" t="s">
        <v>163</v>
      </c>
      <c r="F451" s="10">
        <v>162</v>
      </c>
      <c r="G451" s="10">
        <v>161.80000000000001</v>
      </c>
      <c r="H451" s="10">
        <v>106</v>
      </c>
      <c r="I451" s="10">
        <v>129</v>
      </c>
      <c r="J451" s="10">
        <v>140</v>
      </c>
      <c r="K451" s="10">
        <v>103</v>
      </c>
      <c r="L451" s="10">
        <v>118</v>
      </c>
      <c r="M451" s="10">
        <v>15.6</v>
      </c>
      <c r="N451" s="10">
        <v>1581</v>
      </c>
      <c r="O451" s="10">
        <v>1.17</v>
      </c>
      <c r="P451" s="10">
        <v>1847</v>
      </c>
      <c r="Q451" s="10">
        <v>181</v>
      </c>
      <c r="R451" s="10">
        <v>78</v>
      </c>
      <c r="S451" s="10">
        <v>54</v>
      </c>
      <c r="T451" s="10">
        <v>320</v>
      </c>
      <c r="U451" s="10">
        <v>22</v>
      </c>
      <c r="V451" s="10">
        <v>241</v>
      </c>
      <c r="W451" s="10">
        <v>0.40200000000000002</v>
      </c>
      <c r="X451" s="10">
        <v>166</v>
      </c>
      <c r="Y451" s="10">
        <v>164</v>
      </c>
      <c r="Z451" s="10">
        <v>154</v>
      </c>
      <c r="AA451" s="10">
        <v>2</v>
      </c>
      <c r="AB451" s="10">
        <v>6.1</v>
      </c>
      <c r="AC451" s="9" t="s">
        <v>188</v>
      </c>
      <c r="AD451" s="9" t="s">
        <v>169</v>
      </c>
      <c r="AE451" s="9" t="s">
        <v>185</v>
      </c>
      <c r="AF451" s="10"/>
      <c r="AG451" s="10"/>
    </row>
    <row r="452" spans="1:33">
      <c r="A452" s="7" t="s">
        <v>155</v>
      </c>
      <c r="B452" s="8" t="s">
        <v>164</v>
      </c>
      <c r="C452" s="9" t="s">
        <v>366</v>
      </c>
      <c r="D452" s="10">
        <v>170</v>
      </c>
      <c r="E452" s="9" t="s">
        <v>163</v>
      </c>
      <c r="F452" s="10">
        <v>170</v>
      </c>
      <c r="G452" s="10">
        <v>170.3</v>
      </c>
      <c r="H452" s="10">
        <v>127</v>
      </c>
      <c r="I452" s="10">
        <v>136</v>
      </c>
      <c r="J452" s="10">
        <v>143</v>
      </c>
      <c r="K452" s="10">
        <v>105</v>
      </c>
      <c r="L452" s="10">
        <v>120</v>
      </c>
      <c r="M452" s="10">
        <v>16.399999999999999</v>
      </c>
      <c r="N452" s="10">
        <v>1797</v>
      </c>
      <c r="O452" s="10">
        <v>1.1000000000000001</v>
      </c>
      <c r="P452" s="10">
        <v>1982</v>
      </c>
      <c r="Q452" s="10">
        <v>205</v>
      </c>
      <c r="R452" s="10">
        <v>86</v>
      </c>
      <c r="S452" s="10">
        <v>47</v>
      </c>
      <c r="T452" s="10">
        <v>266</v>
      </c>
      <c r="U452" s="10">
        <v>17</v>
      </c>
      <c r="V452" s="10">
        <v>167</v>
      </c>
      <c r="W452" s="10">
        <v>0.35499999999999998</v>
      </c>
      <c r="X452" s="10">
        <v>174</v>
      </c>
      <c r="Y452" s="10">
        <v>167</v>
      </c>
      <c r="Z452" s="10">
        <v>92</v>
      </c>
      <c r="AA452" s="10">
        <v>5</v>
      </c>
      <c r="AB452" s="10">
        <v>8.6999999999999993</v>
      </c>
      <c r="AC452" s="9" t="s">
        <v>188</v>
      </c>
      <c r="AD452" s="9" t="s">
        <v>169</v>
      </c>
      <c r="AE452" s="9" t="s">
        <v>178</v>
      </c>
      <c r="AF452" s="9" t="s">
        <v>185</v>
      </c>
      <c r="AG452" s="10"/>
    </row>
    <row r="453" spans="1:33">
      <c r="A453" s="7" t="s">
        <v>155</v>
      </c>
      <c r="B453" s="8" t="s">
        <v>164</v>
      </c>
      <c r="C453" s="9" t="s">
        <v>313</v>
      </c>
      <c r="D453" s="10">
        <v>172</v>
      </c>
      <c r="E453" s="9" t="s">
        <v>158</v>
      </c>
      <c r="F453" s="10">
        <v>172</v>
      </c>
      <c r="G453" s="10">
        <v>170.4</v>
      </c>
      <c r="H453" s="10">
        <v>128</v>
      </c>
      <c r="I453" s="10">
        <v>136</v>
      </c>
      <c r="J453" s="10">
        <v>143</v>
      </c>
      <c r="K453" s="10">
        <v>104</v>
      </c>
      <c r="L453" s="10">
        <v>120</v>
      </c>
      <c r="M453" s="10">
        <v>16.399999999999999</v>
      </c>
      <c r="N453" s="10">
        <v>1544</v>
      </c>
      <c r="O453" s="10">
        <v>1.28</v>
      </c>
      <c r="P453" s="10">
        <v>1975</v>
      </c>
      <c r="Q453" s="10">
        <v>199</v>
      </c>
      <c r="R453" s="10">
        <v>85</v>
      </c>
      <c r="S453" s="10">
        <v>48</v>
      </c>
      <c r="T453" s="10">
        <v>246</v>
      </c>
      <c r="U453" s="10">
        <v>17</v>
      </c>
      <c r="V453" s="10">
        <v>181</v>
      </c>
      <c r="W453" s="10">
        <v>0.35099999999999998</v>
      </c>
      <c r="X453" s="10">
        <v>175</v>
      </c>
      <c r="Y453" s="10">
        <v>167</v>
      </c>
      <c r="Z453" s="10">
        <v>71</v>
      </c>
      <c r="AA453" s="10">
        <v>5</v>
      </c>
      <c r="AB453" s="10">
        <v>9.8000000000000007</v>
      </c>
      <c r="AC453" s="9" t="s">
        <v>188</v>
      </c>
      <c r="AD453" s="9" t="s">
        <v>169</v>
      </c>
      <c r="AE453" s="9" t="s">
        <v>178</v>
      </c>
      <c r="AF453" s="9" t="s">
        <v>185</v>
      </c>
      <c r="AG453" s="9" t="s">
        <v>198</v>
      </c>
    </row>
    <row r="454" spans="1:33">
      <c r="A454" s="7" t="s">
        <v>155</v>
      </c>
      <c r="B454" s="8" t="s">
        <v>164</v>
      </c>
      <c r="C454" s="9" t="s">
        <v>313</v>
      </c>
      <c r="D454" s="10">
        <v>180</v>
      </c>
      <c r="E454" s="9" t="s">
        <v>158</v>
      </c>
      <c r="F454" s="10">
        <v>180</v>
      </c>
      <c r="G454" s="10">
        <v>177.3</v>
      </c>
      <c r="H454" s="10">
        <v>125</v>
      </c>
      <c r="I454" s="10">
        <v>142</v>
      </c>
      <c r="J454" s="10">
        <v>143</v>
      </c>
      <c r="K454" s="10">
        <v>104</v>
      </c>
      <c r="L454" s="10">
        <v>119</v>
      </c>
      <c r="M454" s="10">
        <v>18.3</v>
      </c>
      <c r="N454" s="10">
        <v>1799</v>
      </c>
      <c r="O454" s="10">
        <v>1.1399999999999999</v>
      </c>
      <c r="P454" s="10">
        <v>2050</v>
      </c>
      <c r="Q454" s="10">
        <v>242</v>
      </c>
      <c r="R454" s="10">
        <v>109</v>
      </c>
      <c r="S454" s="10">
        <v>52</v>
      </c>
      <c r="T454" s="10">
        <v>310</v>
      </c>
      <c r="U454" s="10">
        <v>17</v>
      </c>
      <c r="V454" s="10">
        <v>213</v>
      </c>
      <c r="W454" s="10">
        <v>0.32400000000000001</v>
      </c>
      <c r="X454" s="10">
        <v>176</v>
      </c>
      <c r="Y454" s="10">
        <v>180</v>
      </c>
      <c r="Z454" s="10">
        <v>134</v>
      </c>
      <c r="AA454" s="10">
        <v>4</v>
      </c>
      <c r="AB454" s="10">
        <v>10</v>
      </c>
      <c r="AC454" s="9" t="s">
        <v>188</v>
      </c>
      <c r="AD454" s="9" t="s">
        <v>178</v>
      </c>
      <c r="AE454" s="9" t="s">
        <v>185</v>
      </c>
      <c r="AF454" s="10"/>
      <c r="AG454" s="10"/>
    </row>
    <row r="455" spans="1:33">
      <c r="A455" s="7" t="s">
        <v>155</v>
      </c>
      <c r="B455" s="8" t="s">
        <v>164</v>
      </c>
      <c r="C455" s="9" t="s">
        <v>313</v>
      </c>
      <c r="D455" s="10">
        <v>188</v>
      </c>
      <c r="E455" s="9" t="s">
        <v>158</v>
      </c>
      <c r="F455" s="10">
        <v>188</v>
      </c>
      <c r="G455" s="10">
        <v>184.7</v>
      </c>
      <c r="H455" s="10">
        <v>134</v>
      </c>
      <c r="I455" s="10">
        <v>150</v>
      </c>
      <c r="J455" s="10">
        <v>143</v>
      </c>
      <c r="K455" s="10">
        <v>104</v>
      </c>
      <c r="L455" s="10">
        <v>119</v>
      </c>
      <c r="M455" s="10">
        <v>20.3</v>
      </c>
      <c r="N455" s="10">
        <v>1959</v>
      </c>
      <c r="O455" s="10">
        <v>1.0900000000000001</v>
      </c>
      <c r="P455" s="10">
        <v>2136</v>
      </c>
      <c r="Q455" s="10">
        <v>290</v>
      </c>
      <c r="R455" s="10">
        <v>109</v>
      </c>
      <c r="S455" s="10">
        <v>49</v>
      </c>
      <c r="T455" s="10">
        <v>235</v>
      </c>
      <c r="U455" s="10">
        <v>18</v>
      </c>
      <c r="V455" s="10">
        <v>274</v>
      </c>
      <c r="W455" s="10">
        <v>0.36099999999999999</v>
      </c>
      <c r="X455" s="10">
        <v>179</v>
      </c>
      <c r="Y455" s="10">
        <v>173</v>
      </c>
      <c r="Z455" s="10">
        <v>55</v>
      </c>
      <c r="AA455" s="10">
        <v>4</v>
      </c>
      <c r="AB455" s="10">
        <v>10.3</v>
      </c>
      <c r="AC455" s="9" t="s">
        <v>188</v>
      </c>
      <c r="AD455" s="9" t="s">
        <v>169</v>
      </c>
      <c r="AE455" s="9" t="s">
        <v>178</v>
      </c>
      <c r="AF455" s="9" t="s">
        <v>185</v>
      </c>
      <c r="AG455" s="10"/>
    </row>
    <row r="456" spans="1:33">
      <c r="A456" s="7" t="s">
        <v>155</v>
      </c>
      <c r="B456" s="8" t="s">
        <v>164</v>
      </c>
      <c r="C456" s="9" t="s">
        <v>801</v>
      </c>
      <c r="D456" s="10">
        <v>180</v>
      </c>
      <c r="E456" s="9" t="s">
        <v>158</v>
      </c>
      <c r="F456" s="10">
        <v>180</v>
      </c>
      <c r="G456" s="10">
        <v>177.3</v>
      </c>
      <c r="H456" s="10">
        <v>134</v>
      </c>
      <c r="I456" s="10">
        <v>143</v>
      </c>
      <c r="J456" s="10">
        <v>142</v>
      </c>
      <c r="K456" s="10">
        <v>104</v>
      </c>
      <c r="L456" s="10">
        <v>120</v>
      </c>
      <c r="M456" s="10">
        <v>18.5</v>
      </c>
      <c r="N456" s="10">
        <v>1929</v>
      </c>
      <c r="O456" s="10">
        <v>1.06</v>
      </c>
      <c r="P456" s="10">
        <v>2054</v>
      </c>
      <c r="Q456" s="10">
        <v>272</v>
      </c>
      <c r="R456" s="10">
        <v>120</v>
      </c>
      <c r="S456" s="10">
        <v>48</v>
      </c>
      <c r="T456" s="10">
        <v>269</v>
      </c>
      <c r="U456" s="10">
        <v>14</v>
      </c>
      <c r="V456" s="10">
        <v>165</v>
      </c>
      <c r="W456" s="10">
        <v>0.30399999999999999</v>
      </c>
      <c r="X456" s="10">
        <v>174</v>
      </c>
      <c r="Y456" s="10">
        <v>173</v>
      </c>
      <c r="Z456" s="10">
        <v>95</v>
      </c>
      <c r="AA456" s="10">
        <v>5</v>
      </c>
      <c r="AB456" s="10">
        <v>10.1</v>
      </c>
      <c r="AC456" s="9" t="s">
        <v>188</v>
      </c>
      <c r="AD456" s="9" t="s">
        <v>178</v>
      </c>
      <c r="AE456" s="9" t="s">
        <v>185</v>
      </c>
      <c r="AF456" s="10"/>
      <c r="AG456" s="10"/>
    </row>
    <row r="457" spans="1:33">
      <c r="A457" s="7" t="s">
        <v>155</v>
      </c>
      <c r="B457" s="8" t="s">
        <v>164</v>
      </c>
      <c r="C457" s="9" t="s">
        <v>801</v>
      </c>
      <c r="D457" s="10">
        <v>188</v>
      </c>
      <c r="E457" s="9" t="s">
        <v>158</v>
      </c>
      <c r="F457" s="10">
        <v>188</v>
      </c>
      <c r="G457" s="10">
        <v>184.7</v>
      </c>
      <c r="H457" s="10">
        <v>129</v>
      </c>
      <c r="I457" s="10">
        <v>149</v>
      </c>
      <c r="J457" s="10">
        <v>143</v>
      </c>
      <c r="K457" s="10">
        <v>104</v>
      </c>
      <c r="L457" s="10">
        <v>120</v>
      </c>
      <c r="M457" s="10">
        <v>20.3</v>
      </c>
      <c r="N457" s="10">
        <v>2041</v>
      </c>
      <c r="O457" s="10">
        <v>1.05</v>
      </c>
      <c r="P457" s="10">
        <v>2137</v>
      </c>
      <c r="Q457" s="10">
        <v>290</v>
      </c>
      <c r="R457" s="10">
        <v>122</v>
      </c>
      <c r="S457" s="10">
        <v>51</v>
      </c>
      <c r="T457" s="10">
        <v>301</v>
      </c>
      <c r="U457" s="10">
        <v>17</v>
      </c>
      <c r="V457" s="10">
        <v>253</v>
      </c>
      <c r="W457" s="10">
        <v>0.33200000000000002</v>
      </c>
      <c r="X457" s="10">
        <v>185</v>
      </c>
      <c r="Y457" s="10">
        <v>170</v>
      </c>
      <c r="Z457" s="10">
        <v>117</v>
      </c>
      <c r="AA457" s="10">
        <v>3</v>
      </c>
      <c r="AB457" s="10">
        <v>10</v>
      </c>
      <c r="AC457" s="9" t="s">
        <v>188</v>
      </c>
      <c r="AD457" s="9" t="s">
        <v>178</v>
      </c>
      <c r="AE457" s="10"/>
      <c r="AF457" s="10"/>
      <c r="AG457" s="10"/>
    </row>
    <row r="458" spans="1:33">
      <c r="A458" s="7" t="s">
        <v>155</v>
      </c>
      <c r="B458" s="8" t="s">
        <v>164</v>
      </c>
      <c r="C458" s="9" t="s">
        <v>710</v>
      </c>
      <c r="D458" s="10">
        <v>185</v>
      </c>
      <c r="E458" s="9" t="s">
        <v>158</v>
      </c>
      <c r="F458" s="10">
        <v>185</v>
      </c>
      <c r="G458" s="10">
        <v>183.4</v>
      </c>
      <c r="H458" s="10">
        <v>133</v>
      </c>
      <c r="I458" s="10">
        <v>145</v>
      </c>
      <c r="J458" s="10">
        <v>145</v>
      </c>
      <c r="K458" s="10">
        <v>114</v>
      </c>
      <c r="L458" s="10">
        <v>131</v>
      </c>
      <c r="M458" s="10">
        <v>20.5</v>
      </c>
      <c r="N458" s="10">
        <v>2023</v>
      </c>
      <c r="O458" s="10">
        <v>1.1200000000000001</v>
      </c>
      <c r="P458" s="10">
        <v>2266</v>
      </c>
      <c r="Q458" s="10">
        <v>241</v>
      </c>
      <c r="R458" s="10">
        <v>104</v>
      </c>
      <c r="S458" s="10">
        <v>41</v>
      </c>
      <c r="T458" s="10">
        <v>282</v>
      </c>
      <c r="U458" s="10">
        <v>26</v>
      </c>
      <c r="V458" s="10">
        <v>223</v>
      </c>
      <c r="W458" s="10">
        <v>0.61699999999999999</v>
      </c>
      <c r="X458" s="10">
        <v>186</v>
      </c>
      <c r="Y458" s="10">
        <v>198</v>
      </c>
      <c r="Z458" s="10">
        <v>95</v>
      </c>
      <c r="AA458" s="10">
        <v>4</v>
      </c>
      <c r="AB458" s="10">
        <v>6</v>
      </c>
      <c r="AC458" s="9" t="s">
        <v>169</v>
      </c>
      <c r="AD458" s="9" t="s">
        <v>185</v>
      </c>
      <c r="AE458" s="10"/>
      <c r="AF458" s="10"/>
      <c r="AG458" s="10"/>
    </row>
    <row r="459" spans="1:33">
      <c r="A459" s="7" t="s">
        <v>155</v>
      </c>
      <c r="B459" s="8" t="s">
        <v>164</v>
      </c>
      <c r="C459" s="9" t="s">
        <v>635</v>
      </c>
      <c r="D459" s="10">
        <v>164</v>
      </c>
      <c r="E459" s="9" t="s">
        <v>158</v>
      </c>
      <c r="F459" s="10">
        <v>164</v>
      </c>
      <c r="G459" s="10">
        <v>163.80000000000001</v>
      </c>
      <c r="H459" s="10">
        <v>125</v>
      </c>
      <c r="I459" s="10">
        <v>134</v>
      </c>
      <c r="J459" s="10">
        <v>129</v>
      </c>
      <c r="K459" s="10">
        <v>87</v>
      </c>
      <c r="L459" s="10">
        <v>104</v>
      </c>
      <c r="M459" s="10">
        <v>14.2</v>
      </c>
      <c r="N459" s="10">
        <v>1383</v>
      </c>
      <c r="O459" s="10">
        <v>1.19</v>
      </c>
      <c r="P459" s="10">
        <v>1644</v>
      </c>
      <c r="Q459" s="10">
        <v>136</v>
      </c>
      <c r="R459" s="10">
        <v>57</v>
      </c>
      <c r="S459" s="10">
        <v>48</v>
      </c>
      <c r="T459" s="10">
        <v>229</v>
      </c>
      <c r="U459" s="10">
        <v>13</v>
      </c>
      <c r="V459" s="10">
        <v>160</v>
      </c>
      <c r="W459" s="10">
        <v>0.26300000000000001</v>
      </c>
      <c r="X459" s="10">
        <v>159</v>
      </c>
      <c r="Y459" s="10">
        <v>141</v>
      </c>
      <c r="Z459" s="10">
        <v>70</v>
      </c>
      <c r="AA459" s="10">
        <v>5</v>
      </c>
      <c r="AB459" s="10">
        <v>9.6</v>
      </c>
      <c r="AC459" s="9" t="s">
        <v>188</v>
      </c>
      <c r="AD459" s="9" t="s">
        <v>185</v>
      </c>
      <c r="AE459" s="10"/>
      <c r="AF459" s="10"/>
      <c r="AG459" s="10"/>
    </row>
    <row r="460" spans="1:33">
      <c r="A460" s="7" t="s">
        <v>155</v>
      </c>
      <c r="B460" s="8" t="s">
        <v>164</v>
      </c>
      <c r="C460" s="9" t="s">
        <v>635</v>
      </c>
      <c r="D460" s="10">
        <v>172</v>
      </c>
      <c r="E460" s="9" t="s">
        <v>158</v>
      </c>
      <c r="F460" s="10">
        <v>172</v>
      </c>
      <c r="G460" s="10">
        <v>170.4</v>
      </c>
      <c r="H460" s="10">
        <v>128</v>
      </c>
      <c r="I460" s="10">
        <v>138</v>
      </c>
      <c r="J460" s="10">
        <v>129</v>
      </c>
      <c r="K460" s="10">
        <v>87</v>
      </c>
      <c r="L460" s="10">
        <v>104</v>
      </c>
      <c r="M460" s="10">
        <v>15.4</v>
      </c>
      <c r="N460" s="10">
        <v>1539</v>
      </c>
      <c r="O460" s="10">
        <v>1.1100000000000001</v>
      </c>
      <c r="P460" s="10">
        <v>1713</v>
      </c>
      <c r="Q460" s="10">
        <v>182</v>
      </c>
      <c r="R460" s="10">
        <v>67</v>
      </c>
      <c r="S460" s="10">
        <v>49</v>
      </c>
      <c r="T460" s="10">
        <v>233</v>
      </c>
      <c r="U460" s="10">
        <v>16</v>
      </c>
      <c r="V460" s="10">
        <v>191</v>
      </c>
      <c r="W460" s="10">
        <v>0.32400000000000001</v>
      </c>
      <c r="X460" s="10">
        <v>152</v>
      </c>
      <c r="Y460" s="10">
        <v>167</v>
      </c>
      <c r="Z460" s="10">
        <v>81</v>
      </c>
      <c r="AA460" s="10">
        <v>4</v>
      </c>
      <c r="AB460" s="10">
        <v>9.3000000000000007</v>
      </c>
      <c r="AC460" s="9" t="s">
        <v>188</v>
      </c>
      <c r="AD460" s="9" t="s">
        <v>185</v>
      </c>
      <c r="AE460" s="10"/>
      <c r="AF460" s="10"/>
      <c r="AG460" s="10"/>
    </row>
    <row r="461" spans="1:33">
      <c r="A461" s="7" t="s">
        <v>155</v>
      </c>
      <c r="B461" s="8" t="s">
        <v>164</v>
      </c>
      <c r="C461" s="9" t="s">
        <v>635</v>
      </c>
      <c r="D461" s="10">
        <v>180</v>
      </c>
      <c r="E461" s="9" t="s">
        <v>158</v>
      </c>
      <c r="F461" s="10">
        <v>180</v>
      </c>
      <c r="G461" s="10">
        <v>177</v>
      </c>
      <c r="H461" s="10">
        <v>139</v>
      </c>
      <c r="I461" s="10">
        <v>144</v>
      </c>
      <c r="J461" s="10">
        <v>129</v>
      </c>
      <c r="K461" s="10">
        <v>87</v>
      </c>
      <c r="L461" s="10">
        <v>104</v>
      </c>
      <c r="M461" s="10">
        <v>17.100000000000001</v>
      </c>
      <c r="N461" s="10">
        <v>1569</v>
      </c>
      <c r="O461" s="10">
        <v>1.1299999999999999</v>
      </c>
      <c r="P461" s="10">
        <v>1777</v>
      </c>
      <c r="Q461" s="10">
        <v>193</v>
      </c>
      <c r="R461" s="10">
        <v>71</v>
      </c>
      <c r="S461" s="10">
        <v>50</v>
      </c>
      <c r="T461" s="10">
        <v>230</v>
      </c>
      <c r="U461" s="10">
        <v>14</v>
      </c>
      <c r="V461" s="10">
        <v>154</v>
      </c>
      <c r="W461" s="10">
        <v>0.28399999999999997</v>
      </c>
      <c r="X461" s="10">
        <v>161</v>
      </c>
      <c r="Y461" s="10">
        <v>174</v>
      </c>
      <c r="Z461" s="10">
        <v>69</v>
      </c>
      <c r="AA461" s="10">
        <v>5</v>
      </c>
      <c r="AB461" s="10">
        <v>9.1</v>
      </c>
      <c r="AC461" s="9" t="s">
        <v>188</v>
      </c>
      <c r="AD461" s="9" t="s">
        <v>185</v>
      </c>
      <c r="AE461" s="10"/>
      <c r="AF461" s="10"/>
      <c r="AG461" s="10"/>
    </row>
    <row r="462" spans="1:33">
      <c r="A462" s="7" t="s">
        <v>155</v>
      </c>
      <c r="B462" s="8" t="s">
        <v>164</v>
      </c>
      <c r="C462" s="9" t="s">
        <v>635</v>
      </c>
      <c r="D462" s="10">
        <v>188</v>
      </c>
      <c r="E462" s="9" t="s">
        <v>158</v>
      </c>
      <c r="F462" s="10">
        <v>188</v>
      </c>
      <c r="G462" s="10">
        <v>184.3</v>
      </c>
      <c r="H462" s="10">
        <v>142</v>
      </c>
      <c r="I462" s="10">
        <v>153</v>
      </c>
      <c r="J462" s="10">
        <v>129</v>
      </c>
      <c r="K462" s="10">
        <v>87</v>
      </c>
      <c r="L462" s="10">
        <v>104</v>
      </c>
      <c r="M462" s="10">
        <v>18.8</v>
      </c>
      <c r="N462" s="10">
        <v>1663</v>
      </c>
      <c r="O462" s="10">
        <v>1.1100000000000001</v>
      </c>
      <c r="P462" s="10">
        <v>1848</v>
      </c>
      <c r="Q462" s="10">
        <v>176</v>
      </c>
      <c r="R462" s="10">
        <v>69</v>
      </c>
      <c r="S462" s="10">
        <v>49</v>
      </c>
      <c r="T462" s="10">
        <v>225</v>
      </c>
      <c r="U462" s="10">
        <v>16</v>
      </c>
      <c r="V462" s="10">
        <v>195</v>
      </c>
      <c r="W462" s="10">
        <v>0.32100000000000001</v>
      </c>
      <c r="X462" s="10">
        <v>147</v>
      </c>
      <c r="Y462" s="10">
        <v>166</v>
      </c>
      <c r="Z462" s="10">
        <v>77</v>
      </c>
      <c r="AA462" s="10">
        <v>7</v>
      </c>
      <c r="AB462" s="10">
        <v>9.5</v>
      </c>
      <c r="AC462" s="9" t="s">
        <v>188</v>
      </c>
      <c r="AD462" s="9" t="s">
        <v>185</v>
      </c>
      <c r="AE462" s="10"/>
      <c r="AF462" s="10"/>
      <c r="AG462" s="10"/>
    </row>
    <row r="463" spans="1:33">
      <c r="A463" s="7" t="s">
        <v>155</v>
      </c>
      <c r="B463" s="8" t="s">
        <v>164</v>
      </c>
      <c r="C463" s="9" t="s">
        <v>826</v>
      </c>
      <c r="D463" s="10">
        <v>146</v>
      </c>
      <c r="E463" s="9" t="s">
        <v>163</v>
      </c>
      <c r="F463" s="10">
        <v>146</v>
      </c>
      <c r="G463" s="10">
        <v>149.80000000000001</v>
      </c>
      <c r="H463" s="10">
        <v>106</v>
      </c>
      <c r="I463" s="10">
        <v>125</v>
      </c>
      <c r="J463" s="10">
        <v>130</v>
      </c>
      <c r="K463" s="10">
        <v>87</v>
      </c>
      <c r="L463" s="10">
        <v>104</v>
      </c>
      <c r="M463" s="10">
        <v>12.9</v>
      </c>
      <c r="N463" s="10">
        <v>1276</v>
      </c>
      <c r="O463" s="10">
        <v>1.18</v>
      </c>
      <c r="P463" s="10">
        <v>1503</v>
      </c>
      <c r="Q463" s="10">
        <v>125</v>
      </c>
      <c r="R463" s="10">
        <v>53</v>
      </c>
      <c r="S463" s="10">
        <v>50</v>
      </c>
      <c r="T463" s="10">
        <v>300</v>
      </c>
      <c r="U463" s="10">
        <v>12</v>
      </c>
      <c r="V463" s="10">
        <v>142</v>
      </c>
      <c r="W463" s="10">
        <v>0.23899999999999999</v>
      </c>
      <c r="X463" s="10">
        <v>140</v>
      </c>
      <c r="Y463" s="10">
        <v>111</v>
      </c>
      <c r="Z463" s="10">
        <v>159</v>
      </c>
      <c r="AA463" s="10">
        <v>3</v>
      </c>
      <c r="AB463" s="10">
        <v>7.6</v>
      </c>
      <c r="AC463" s="9" t="s">
        <v>188</v>
      </c>
      <c r="AD463" s="9" t="s">
        <v>185</v>
      </c>
      <c r="AE463" s="10"/>
      <c r="AF463" s="10"/>
      <c r="AG463" s="10"/>
    </row>
    <row r="464" spans="1:33">
      <c r="A464" s="7" t="s">
        <v>155</v>
      </c>
      <c r="B464" s="8" t="s">
        <v>164</v>
      </c>
      <c r="C464" s="9" t="s">
        <v>826</v>
      </c>
      <c r="D464" s="10">
        <v>154</v>
      </c>
      <c r="E464" s="9" t="s">
        <v>163</v>
      </c>
      <c r="F464" s="10">
        <v>154</v>
      </c>
      <c r="G464" s="10">
        <v>156.4</v>
      </c>
      <c r="H464" s="10">
        <v>121</v>
      </c>
      <c r="I464" s="10">
        <v>132</v>
      </c>
      <c r="J464" s="10">
        <v>129</v>
      </c>
      <c r="K464" s="10">
        <v>87</v>
      </c>
      <c r="L464" s="10">
        <v>105</v>
      </c>
      <c r="M464" s="10">
        <v>13.6</v>
      </c>
      <c r="N464" s="10">
        <v>1327</v>
      </c>
      <c r="O464" s="10">
        <v>1.18</v>
      </c>
      <c r="P464" s="10">
        <v>1572</v>
      </c>
      <c r="Q464" s="10">
        <v>121</v>
      </c>
      <c r="R464" s="10">
        <v>56</v>
      </c>
      <c r="S464" s="10">
        <v>46</v>
      </c>
      <c r="T464" s="10">
        <v>221</v>
      </c>
      <c r="U464" s="10">
        <v>11</v>
      </c>
      <c r="V464" s="10">
        <v>133</v>
      </c>
      <c r="W464" s="10">
        <v>0.24299999999999999</v>
      </c>
      <c r="X464" s="10">
        <v>136</v>
      </c>
      <c r="Y464" s="10">
        <v>104</v>
      </c>
      <c r="Z464" s="10">
        <v>84</v>
      </c>
      <c r="AA464" s="10">
        <v>4</v>
      </c>
      <c r="AB464" s="10">
        <v>8.5</v>
      </c>
      <c r="AC464" s="9" t="s">
        <v>188</v>
      </c>
      <c r="AD464" s="9" t="s">
        <v>185</v>
      </c>
      <c r="AE464" s="10"/>
      <c r="AF464" s="10"/>
      <c r="AG464" s="10"/>
    </row>
    <row r="465" spans="1:33">
      <c r="A465" s="7" t="s">
        <v>155</v>
      </c>
      <c r="B465" s="8" t="s">
        <v>164</v>
      </c>
      <c r="C465" s="9" t="s">
        <v>826</v>
      </c>
      <c r="D465" s="10">
        <v>162</v>
      </c>
      <c r="E465" s="9" t="s">
        <v>163</v>
      </c>
      <c r="F465" s="10">
        <v>162</v>
      </c>
      <c r="G465" s="10">
        <v>163.9</v>
      </c>
      <c r="H465" s="10">
        <v>123</v>
      </c>
      <c r="I465" s="10">
        <v>133</v>
      </c>
      <c r="J465" s="10">
        <v>130</v>
      </c>
      <c r="K465" s="10">
        <v>87</v>
      </c>
      <c r="L465" s="10">
        <v>105</v>
      </c>
      <c r="M465" s="10">
        <v>14.1</v>
      </c>
      <c r="N465" s="10">
        <v>1404</v>
      </c>
      <c r="O465" s="10">
        <v>1.18</v>
      </c>
      <c r="P465" s="10">
        <v>1651</v>
      </c>
      <c r="Q465" s="10">
        <v>130</v>
      </c>
      <c r="R465" s="10">
        <v>61</v>
      </c>
      <c r="S465" s="10">
        <v>46</v>
      </c>
      <c r="T465" s="10">
        <v>260</v>
      </c>
      <c r="U465" s="10">
        <v>13</v>
      </c>
      <c r="V465" s="10">
        <v>149</v>
      </c>
      <c r="W465" s="10">
        <v>0.27500000000000002</v>
      </c>
      <c r="X465" s="10">
        <v>157</v>
      </c>
      <c r="Y465" s="10">
        <v>153</v>
      </c>
      <c r="Z465" s="10">
        <v>103</v>
      </c>
      <c r="AA465" s="10">
        <v>4</v>
      </c>
      <c r="AB465" s="10">
        <v>8.5</v>
      </c>
      <c r="AC465" s="9" t="s">
        <v>188</v>
      </c>
      <c r="AD465" s="9" t="s">
        <v>185</v>
      </c>
      <c r="AE465" s="10"/>
      <c r="AF465" s="10"/>
      <c r="AG465" s="10"/>
    </row>
    <row r="466" spans="1:33">
      <c r="A466" s="7" t="s">
        <v>155</v>
      </c>
      <c r="B466" s="8" t="s">
        <v>164</v>
      </c>
      <c r="C466" s="9" t="s">
        <v>826</v>
      </c>
      <c r="D466" s="10">
        <v>170</v>
      </c>
      <c r="E466" s="9" t="s">
        <v>163</v>
      </c>
      <c r="F466" s="10">
        <v>170</v>
      </c>
      <c r="G466" s="10">
        <v>170.5</v>
      </c>
      <c r="H466" s="10">
        <v>128</v>
      </c>
      <c r="I466" s="10">
        <v>138</v>
      </c>
      <c r="J466" s="10">
        <v>129</v>
      </c>
      <c r="K466" s="10">
        <v>88</v>
      </c>
      <c r="L466" s="10">
        <v>105</v>
      </c>
      <c r="M466" s="10">
        <v>15.4</v>
      </c>
      <c r="N466" s="10">
        <v>1501</v>
      </c>
      <c r="O466" s="10">
        <v>1.1399999999999999</v>
      </c>
      <c r="P466" s="10">
        <v>1718</v>
      </c>
      <c r="Q466" s="10">
        <v>157</v>
      </c>
      <c r="R466" s="10">
        <v>60</v>
      </c>
      <c r="S466" s="10">
        <v>49</v>
      </c>
      <c r="T466" s="10">
        <v>231</v>
      </c>
      <c r="U466" s="10">
        <v>16</v>
      </c>
      <c r="V466" s="10">
        <v>198</v>
      </c>
      <c r="W466" s="10">
        <v>0.33800000000000002</v>
      </c>
      <c r="X466" s="10">
        <v>157</v>
      </c>
      <c r="Y466" s="10">
        <v>168</v>
      </c>
      <c r="Z466" s="10">
        <v>74</v>
      </c>
      <c r="AA466" s="10">
        <v>4</v>
      </c>
      <c r="AB466" s="10">
        <v>8.6999999999999993</v>
      </c>
      <c r="AC466" s="9" t="s">
        <v>188</v>
      </c>
      <c r="AD466" s="9" t="s">
        <v>185</v>
      </c>
      <c r="AE466" s="10"/>
      <c r="AF466" s="10"/>
      <c r="AG466" s="10"/>
    </row>
    <row r="467" spans="1:33">
      <c r="A467" s="7" t="s">
        <v>155</v>
      </c>
      <c r="B467" s="8" t="s">
        <v>164</v>
      </c>
      <c r="C467" s="9" t="s">
        <v>518</v>
      </c>
      <c r="D467" s="10">
        <v>154</v>
      </c>
      <c r="E467" s="9" t="s">
        <v>163</v>
      </c>
      <c r="F467" s="10">
        <v>154</v>
      </c>
      <c r="G467" s="10">
        <v>154.9</v>
      </c>
      <c r="H467" s="10">
        <v>105</v>
      </c>
      <c r="I467" s="10">
        <v>121</v>
      </c>
      <c r="J467" s="10">
        <v>131</v>
      </c>
      <c r="K467" s="10">
        <v>94</v>
      </c>
      <c r="L467" s="10">
        <v>107</v>
      </c>
      <c r="M467" s="10">
        <v>13.9</v>
      </c>
      <c r="N467" s="10">
        <v>1394</v>
      </c>
      <c r="O467" s="10">
        <v>1.17</v>
      </c>
      <c r="P467" s="10">
        <v>1628</v>
      </c>
      <c r="Q467" s="10">
        <v>146</v>
      </c>
      <c r="R467" s="10">
        <v>62</v>
      </c>
      <c r="S467" s="10">
        <v>49</v>
      </c>
      <c r="T467" s="10">
        <v>298</v>
      </c>
      <c r="U467" s="10">
        <v>16</v>
      </c>
      <c r="V467" s="10">
        <v>203</v>
      </c>
      <c r="W467" s="10">
        <v>0.32200000000000001</v>
      </c>
      <c r="X467" s="10">
        <v>176</v>
      </c>
      <c r="Y467" s="10">
        <v>161</v>
      </c>
      <c r="Z467" s="10">
        <v>122</v>
      </c>
      <c r="AA467" s="10">
        <v>3</v>
      </c>
      <c r="AB467" s="10">
        <v>7</v>
      </c>
      <c r="AC467" s="9" t="s">
        <v>188</v>
      </c>
      <c r="AD467" s="9" t="s">
        <v>185</v>
      </c>
      <c r="AE467" s="10"/>
      <c r="AF467" s="10"/>
      <c r="AG467" s="10"/>
    </row>
    <row r="468" spans="1:33">
      <c r="A468" s="7" t="s">
        <v>155</v>
      </c>
      <c r="B468" s="8" t="s">
        <v>164</v>
      </c>
      <c r="C468" s="9" t="s">
        <v>518</v>
      </c>
      <c r="D468" s="10">
        <v>162</v>
      </c>
      <c r="E468" s="9" t="s">
        <v>163</v>
      </c>
      <c r="F468" s="10">
        <v>162</v>
      </c>
      <c r="G468" s="10">
        <v>162.1</v>
      </c>
      <c r="H468" s="10">
        <v>116</v>
      </c>
      <c r="I468" s="10">
        <v>129</v>
      </c>
      <c r="J468" s="10">
        <v>133</v>
      </c>
      <c r="K468" s="10">
        <v>94</v>
      </c>
      <c r="L468" s="10">
        <v>108</v>
      </c>
      <c r="M468" s="10">
        <v>14.9</v>
      </c>
      <c r="N468" s="10">
        <v>1451</v>
      </c>
      <c r="O468" s="10">
        <v>1.18</v>
      </c>
      <c r="P468" s="10">
        <v>1717</v>
      </c>
      <c r="Q468" s="10">
        <v>156</v>
      </c>
      <c r="R468" s="10">
        <v>60</v>
      </c>
      <c r="S468" s="10">
        <v>45</v>
      </c>
      <c r="T468" s="10">
        <v>279</v>
      </c>
      <c r="U468" s="10">
        <v>14</v>
      </c>
      <c r="V468" s="10">
        <v>183</v>
      </c>
      <c r="W468" s="10">
        <v>0.31</v>
      </c>
      <c r="X468" s="10">
        <v>166</v>
      </c>
      <c r="Y468" s="10">
        <v>162</v>
      </c>
      <c r="Z468" s="10">
        <v>113</v>
      </c>
      <c r="AA468" s="10">
        <v>5</v>
      </c>
      <c r="AB468" s="10">
        <v>7.2</v>
      </c>
      <c r="AC468" s="9" t="s">
        <v>188</v>
      </c>
      <c r="AD468" s="9" t="s">
        <v>185</v>
      </c>
      <c r="AE468" s="10"/>
      <c r="AF468" s="10"/>
      <c r="AG468" s="10"/>
    </row>
    <row r="469" spans="1:33">
      <c r="A469" s="7" t="s">
        <v>155</v>
      </c>
      <c r="B469" s="8" t="s">
        <v>164</v>
      </c>
      <c r="C469" s="9" t="s">
        <v>518</v>
      </c>
      <c r="D469" s="10">
        <v>170</v>
      </c>
      <c r="E469" s="9" t="s">
        <v>163</v>
      </c>
      <c r="F469" s="10">
        <v>170</v>
      </c>
      <c r="G469" s="10">
        <v>170.4</v>
      </c>
      <c r="H469" s="10">
        <v>128</v>
      </c>
      <c r="I469" s="10">
        <v>137</v>
      </c>
      <c r="J469" s="10">
        <v>136</v>
      </c>
      <c r="K469" s="10">
        <v>95</v>
      </c>
      <c r="L469" s="10">
        <v>111</v>
      </c>
      <c r="M469" s="10">
        <v>15.7</v>
      </c>
      <c r="N469" s="10">
        <v>1612</v>
      </c>
      <c r="O469" s="10">
        <v>1.1299999999999999</v>
      </c>
      <c r="P469" s="10">
        <v>1827</v>
      </c>
      <c r="Q469" s="10">
        <v>187</v>
      </c>
      <c r="R469" s="10">
        <v>74</v>
      </c>
      <c r="S469" s="10">
        <v>47</v>
      </c>
      <c r="T469" s="10">
        <v>242</v>
      </c>
      <c r="U469" s="10">
        <v>16</v>
      </c>
      <c r="V469" s="10">
        <v>181</v>
      </c>
      <c r="W469" s="10">
        <v>0.34699999999999998</v>
      </c>
      <c r="X469" s="10">
        <v>176</v>
      </c>
      <c r="Y469" s="10">
        <v>163</v>
      </c>
      <c r="Z469" s="10">
        <v>66</v>
      </c>
      <c r="AA469" s="10">
        <v>4</v>
      </c>
      <c r="AB469" s="10">
        <v>6.8</v>
      </c>
      <c r="AC469" s="9" t="s">
        <v>188</v>
      </c>
      <c r="AD469" s="9" t="s">
        <v>185</v>
      </c>
      <c r="AE469" s="10"/>
      <c r="AF469" s="10"/>
      <c r="AG469" s="10"/>
    </row>
    <row r="470" spans="1:33">
      <c r="A470" s="7" t="s">
        <v>155</v>
      </c>
      <c r="B470" s="8" t="s">
        <v>164</v>
      </c>
      <c r="C470" s="9" t="s">
        <v>255</v>
      </c>
      <c r="D470" s="10">
        <v>172</v>
      </c>
      <c r="E470" s="9" t="s">
        <v>158</v>
      </c>
      <c r="F470" s="10">
        <v>172</v>
      </c>
      <c r="G470" s="10">
        <v>170.3</v>
      </c>
      <c r="H470" s="10">
        <v>127</v>
      </c>
      <c r="I470" s="10">
        <v>136</v>
      </c>
      <c r="J470" s="10">
        <v>136</v>
      </c>
      <c r="K470" s="10">
        <v>94</v>
      </c>
      <c r="L470" s="10">
        <v>110</v>
      </c>
      <c r="M470" s="10">
        <v>15.6</v>
      </c>
      <c r="N470" s="10">
        <v>1577</v>
      </c>
      <c r="O470" s="10">
        <v>1.1599999999999999</v>
      </c>
      <c r="P470" s="10">
        <v>1823</v>
      </c>
      <c r="Q470" s="10">
        <v>190</v>
      </c>
      <c r="R470" s="10">
        <v>74</v>
      </c>
      <c r="S470" s="10">
        <v>51</v>
      </c>
      <c r="T470" s="10">
        <v>274</v>
      </c>
      <c r="U470" s="10">
        <v>15</v>
      </c>
      <c r="V470" s="10">
        <v>159</v>
      </c>
      <c r="W470" s="10">
        <v>0.3</v>
      </c>
      <c r="X470" s="10">
        <v>178</v>
      </c>
      <c r="Y470" s="10">
        <v>166</v>
      </c>
      <c r="Z470" s="10">
        <v>96</v>
      </c>
      <c r="AA470" s="10">
        <v>4</v>
      </c>
      <c r="AB470" s="10">
        <v>7.7</v>
      </c>
      <c r="AC470" s="9" t="s">
        <v>188</v>
      </c>
      <c r="AD470" s="9" t="s">
        <v>185</v>
      </c>
      <c r="AE470" s="10"/>
      <c r="AF470" s="10"/>
      <c r="AG470" s="10"/>
    </row>
    <row r="471" spans="1:33">
      <c r="A471" s="7" t="s">
        <v>155</v>
      </c>
      <c r="B471" s="8" t="s">
        <v>164</v>
      </c>
      <c r="C471" s="9" t="s">
        <v>255</v>
      </c>
      <c r="D471" s="10">
        <v>180</v>
      </c>
      <c r="E471" s="9" t="s">
        <v>158</v>
      </c>
      <c r="F471" s="10">
        <v>180</v>
      </c>
      <c r="G471" s="10">
        <v>177.1</v>
      </c>
      <c r="H471" s="10">
        <v>139</v>
      </c>
      <c r="I471" s="10">
        <v>144</v>
      </c>
      <c r="J471" s="10">
        <v>136</v>
      </c>
      <c r="K471" s="10">
        <v>94</v>
      </c>
      <c r="L471" s="10">
        <v>110</v>
      </c>
      <c r="M471" s="10">
        <v>17.5</v>
      </c>
      <c r="N471" s="10">
        <v>1720</v>
      </c>
      <c r="O471" s="10">
        <v>1.1000000000000001</v>
      </c>
      <c r="P471" s="10">
        <v>1895</v>
      </c>
      <c r="Q471" s="10">
        <v>187</v>
      </c>
      <c r="R471" s="10">
        <v>73</v>
      </c>
      <c r="S471" s="10">
        <v>44</v>
      </c>
      <c r="T471" s="10">
        <v>219</v>
      </c>
      <c r="U471" s="10">
        <v>16</v>
      </c>
      <c r="V471" s="10">
        <v>166</v>
      </c>
      <c r="W471" s="10">
        <v>0.35199999999999998</v>
      </c>
      <c r="X471" s="10">
        <v>172</v>
      </c>
      <c r="Y471" s="10">
        <v>158</v>
      </c>
      <c r="Z471" s="10">
        <v>47</v>
      </c>
      <c r="AA471" s="10">
        <v>9</v>
      </c>
      <c r="AB471" s="10">
        <v>8.3000000000000007</v>
      </c>
      <c r="AC471" s="9" t="s">
        <v>188</v>
      </c>
      <c r="AD471" s="9" t="s">
        <v>185</v>
      </c>
      <c r="AE471" s="10"/>
      <c r="AF471" s="10"/>
      <c r="AG471" s="10"/>
    </row>
    <row r="472" spans="1:33">
      <c r="A472" s="7" t="s">
        <v>155</v>
      </c>
      <c r="B472" s="8" t="s">
        <v>164</v>
      </c>
      <c r="C472" s="9" t="s">
        <v>255</v>
      </c>
      <c r="D472" s="10">
        <v>188</v>
      </c>
      <c r="E472" s="9" t="s">
        <v>158</v>
      </c>
      <c r="F472" s="10">
        <v>188</v>
      </c>
      <c r="G472" s="10">
        <v>184.2</v>
      </c>
      <c r="H472" s="10">
        <v>135</v>
      </c>
      <c r="I472" s="10">
        <v>150</v>
      </c>
      <c r="J472" s="10">
        <v>136</v>
      </c>
      <c r="K472" s="10">
        <v>94</v>
      </c>
      <c r="L472" s="10">
        <v>110</v>
      </c>
      <c r="M472" s="10">
        <v>19</v>
      </c>
      <c r="N472" s="10">
        <v>1789</v>
      </c>
      <c r="O472" s="10">
        <v>1.0900000000000001</v>
      </c>
      <c r="P472" s="10">
        <v>1958</v>
      </c>
      <c r="Q472" s="10">
        <v>239</v>
      </c>
      <c r="R472" s="10">
        <v>92</v>
      </c>
      <c r="S472" s="10">
        <v>45</v>
      </c>
      <c r="T472" s="10">
        <v>259</v>
      </c>
      <c r="U472" s="10">
        <v>12</v>
      </c>
      <c r="V472" s="10">
        <v>233</v>
      </c>
      <c r="W472" s="10">
        <v>0.27600000000000002</v>
      </c>
      <c r="X472" s="10">
        <v>170</v>
      </c>
      <c r="Y472" s="10">
        <v>168</v>
      </c>
      <c r="Z472" s="10">
        <v>88</v>
      </c>
      <c r="AA472" s="10">
        <v>4</v>
      </c>
      <c r="AB472" s="10">
        <v>7.7</v>
      </c>
      <c r="AC472" s="9" t="s">
        <v>188</v>
      </c>
      <c r="AD472" s="9" t="s">
        <v>185</v>
      </c>
      <c r="AE472" s="10"/>
      <c r="AF472" s="10"/>
      <c r="AG472" s="10"/>
    </row>
    <row r="473" spans="1:33">
      <c r="A473" s="7" t="s">
        <v>155</v>
      </c>
      <c r="B473" s="8" t="s">
        <v>164</v>
      </c>
      <c r="C473" s="9" t="s">
        <v>408</v>
      </c>
      <c r="D473" s="10">
        <v>188</v>
      </c>
      <c r="E473" s="9" t="s">
        <v>158</v>
      </c>
      <c r="F473" s="10">
        <v>188</v>
      </c>
      <c r="G473" s="10">
        <v>184</v>
      </c>
      <c r="H473" s="10">
        <v>132</v>
      </c>
      <c r="I473" s="10">
        <v>151</v>
      </c>
      <c r="J473" s="10">
        <v>136</v>
      </c>
      <c r="K473" s="10">
        <v>94</v>
      </c>
      <c r="L473" s="10">
        <v>110</v>
      </c>
      <c r="M473" s="10">
        <v>18.899999999999999</v>
      </c>
      <c r="N473" s="10">
        <v>1775</v>
      </c>
      <c r="O473" s="10">
        <v>1.1000000000000001</v>
      </c>
      <c r="P473" s="10">
        <v>1957</v>
      </c>
      <c r="Q473" s="10">
        <v>261</v>
      </c>
      <c r="R473" s="10">
        <v>107</v>
      </c>
      <c r="S473" s="10">
        <v>49</v>
      </c>
      <c r="T473" s="10">
        <v>264</v>
      </c>
      <c r="U473" s="10">
        <v>18</v>
      </c>
      <c r="V473" s="10">
        <v>260</v>
      </c>
      <c r="W473" s="10">
        <v>0.371</v>
      </c>
      <c r="X473" s="10">
        <v>172</v>
      </c>
      <c r="Y473" s="10">
        <v>159</v>
      </c>
      <c r="Z473" s="10">
        <v>93</v>
      </c>
      <c r="AA473" s="10">
        <v>5</v>
      </c>
      <c r="AB473" s="10">
        <v>8.1</v>
      </c>
      <c r="AC473" s="9" t="s">
        <v>188</v>
      </c>
      <c r="AD473" s="9" t="s">
        <v>185</v>
      </c>
      <c r="AE473" s="10"/>
      <c r="AF473" s="10"/>
      <c r="AG473" s="10"/>
    </row>
    <row r="474" spans="1:33">
      <c r="A474" s="7" t="s">
        <v>155</v>
      </c>
      <c r="B474" s="8" t="s">
        <v>164</v>
      </c>
      <c r="C474" s="9" t="s">
        <v>819</v>
      </c>
      <c r="D474" s="10">
        <v>146</v>
      </c>
      <c r="E474" s="9" t="s">
        <v>163</v>
      </c>
      <c r="F474" s="10">
        <v>146</v>
      </c>
      <c r="G474" s="10">
        <v>145</v>
      </c>
      <c r="H474" s="10">
        <v>123</v>
      </c>
      <c r="I474" s="10">
        <v>133</v>
      </c>
      <c r="J474" s="10">
        <v>122</v>
      </c>
      <c r="K474" s="10">
        <v>73</v>
      </c>
      <c r="L474" s="10">
        <v>102</v>
      </c>
      <c r="M474" s="10">
        <v>11.5</v>
      </c>
      <c r="N474" s="10">
        <v>1356</v>
      </c>
      <c r="O474" s="10">
        <v>0.94</v>
      </c>
      <c r="P474" s="10">
        <v>1273</v>
      </c>
      <c r="Q474" s="10">
        <v>135</v>
      </c>
      <c r="R474" s="10">
        <v>48</v>
      </c>
      <c r="S474" s="10">
        <v>33</v>
      </c>
      <c r="T474" s="10">
        <v>151</v>
      </c>
      <c r="U474" s="10">
        <v>6</v>
      </c>
      <c r="V474" s="10">
        <v>70</v>
      </c>
      <c r="W474" s="10">
        <v>0.17499999999999999</v>
      </c>
      <c r="X474" s="10">
        <v>78</v>
      </c>
      <c r="Y474" s="10">
        <v>37</v>
      </c>
      <c r="Z474" s="10">
        <v>73</v>
      </c>
      <c r="AA474" s="10">
        <v>8</v>
      </c>
      <c r="AB474" s="10">
        <v>8.5</v>
      </c>
      <c r="AC474" s="9" t="s">
        <v>349</v>
      </c>
      <c r="AD474" s="10"/>
      <c r="AE474" s="10"/>
      <c r="AF474" s="10"/>
      <c r="AG474" s="10"/>
    </row>
    <row r="475" spans="1:33">
      <c r="A475" s="7" t="s">
        <v>155</v>
      </c>
      <c r="B475" s="8" t="s">
        <v>164</v>
      </c>
      <c r="C475" s="9" t="s">
        <v>819</v>
      </c>
      <c r="D475" s="10">
        <v>158</v>
      </c>
      <c r="E475" s="9" t="s">
        <v>163</v>
      </c>
      <c r="F475" s="10">
        <v>158</v>
      </c>
      <c r="G475" s="10">
        <v>159.19999999999999</v>
      </c>
      <c r="H475" s="10">
        <v>138</v>
      </c>
      <c r="I475" s="10">
        <v>147</v>
      </c>
      <c r="J475" s="10">
        <v>122</v>
      </c>
      <c r="K475" s="10">
        <v>74</v>
      </c>
      <c r="L475" s="10">
        <v>103</v>
      </c>
      <c r="M475" s="10">
        <v>13.9</v>
      </c>
      <c r="N475" s="10">
        <v>1522</v>
      </c>
      <c r="O475" s="10">
        <v>0.92</v>
      </c>
      <c r="P475" s="10">
        <v>1401</v>
      </c>
      <c r="Q475" s="10">
        <v>187</v>
      </c>
      <c r="R475" s="10">
        <v>60</v>
      </c>
      <c r="S475" s="10">
        <v>34</v>
      </c>
      <c r="T475" s="10">
        <v>141</v>
      </c>
      <c r="U475" s="10">
        <v>6</v>
      </c>
      <c r="V475" s="10">
        <v>71</v>
      </c>
      <c r="W475" s="10">
        <v>0.186</v>
      </c>
      <c r="X475" s="10">
        <v>79</v>
      </c>
      <c r="Y475" s="10">
        <v>39</v>
      </c>
      <c r="Z475" s="10">
        <v>62</v>
      </c>
      <c r="AA475" s="10">
        <v>9</v>
      </c>
      <c r="AB475" s="10">
        <v>9.1</v>
      </c>
      <c r="AC475" s="9" t="s">
        <v>349</v>
      </c>
      <c r="AD475" s="10"/>
      <c r="AE475" s="10"/>
      <c r="AF475" s="10"/>
      <c r="AG475" s="10"/>
    </row>
    <row r="476" spans="1:33">
      <c r="A476" s="7" t="s">
        <v>155</v>
      </c>
      <c r="B476" s="8" t="s">
        <v>164</v>
      </c>
      <c r="C476" s="9" t="s">
        <v>1158</v>
      </c>
      <c r="D476" s="10">
        <v>166</v>
      </c>
      <c r="E476" s="9" t="s">
        <v>158</v>
      </c>
      <c r="F476" s="10">
        <v>166</v>
      </c>
      <c r="G476" s="10">
        <v>164.3</v>
      </c>
      <c r="H476" s="10">
        <v>145</v>
      </c>
      <c r="I476" s="10">
        <v>151</v>
      </c>
      <c r="J476" s="10">
        <v>127</v>
      </c>
      <c r="K476" s="10">
        <v>77</v>
      </c>
      <c r="L476" s="10">
        <v>110</v>
      </c>
      <c r="M476" s="10">
        <v>13.6</v>
      </c>
      <c r="N476" s="9" t="s">
        <v>1155</v>
      </c>
      <c r="O476" s="9" t="s">
        <v>1155</v>
      </c>
      <c r="P476" s="10">
        <v>1528</v>
      </c>
      <c r="Q476" s="10">
        <v>204</v>
      </c>
      <c r="R476" s="10">
        <v>76</v>
      </c>
      <c r="S476" s="10">
        <v>39</v>
      </c>
      <c r="T476" s="10">
        <v>133</v>
      </c>
      <c r="U476" s="10">
        <v>7</v>
      </c>
      <c r="V476" s="10">
        <v>57</v>
      </c>
      <c r="W476" s="10">
        <v>0.182</v>
      </c>
      <c r="X476" s="10">
        <v>84</v>
      </c>
      <c r="Y476" s="10">
        <v>47</v>
      </c>
      <c r="Z476" s="10">
        <v>49</v>
      </c>
      <c r="AA476" s="10">
        <v>15</v>
      </c>
      <c r="AB476" s="10">
        <v>7.5</v>
      </c>
      <c r="AC476" s="9" t="s">
        <v>160</v>
      </c>
      <c r="AD476" s="10"/>
      <c r="AE476" s="10"/>
      <c r="AF476" s="10"/>
      <c r="AG476" s="10"/>
    </row>
    <row r="477" spans="1:33">
      <c r="A477" s="7" t="s">
        <v>155</v>
      </c>
      <c r="B477" s="8" t="s">
        <v>164</v>
      </c>
      <c r="C477" s="9" t="s">
        <v>601</v>
      </c>
      <c r="D477" s="10">
        <v>150</v>
      </c>
      <c r="E477" s="9" t="s">
        <v>163</v>
      </c>
      <c r="F477" s="10">
        <v>150</v>
      </c>
      <c r="G477" s="10">
        <v>150.19999999999999</v>
      </c>
      <c r="H477" s="10">
        <v>131</v>
      </c>
      <c r="I477" s="10">
        <v>136</v>
      </c>
      <c r="J477" s="10">
        <v>127</v>
      </c>
      <c r="K477" s="10">
        <v>75</v>
      </c>
      <c r="L477" s="10">
        <v>105</v>
      </c>
      <c r="M477" s="10">
        <v>11.5</v>
      </c>
      <c r="N477" s="10">
        <v>1415</v>
      </c>
      <c r="O477" s="10">
        <v>0.96</v>
      </c>
      <c r="P477" s="10">
        <v>1365</v>
      </c>
      <c r="Q477" s="10">
        <v>135</v>
      </c>
      <c r="R477" s="10">
        <v>60</v>
      </c>
      <c r="S477" s="10">
        <v>38</v>
      </c>
      <c r="T477" s="10">
        <v>132</v>
      </c>
      <c r="U477" s="10">
        <v>6</v>
      </c>
      <c r="V477" s="10">
        <v>63</v>
      </c>
      <c r="W477" s="10">
        <v>0.159</v>
      </c>
      <c r="X477" s="10">
        <v>89</v>
      </c>
      <c r="Y477" s="10">
        <v>49</v>
      </c>
      <c r="Z477" s="10">
        <v>43</v>
      </c>
      <c r="AA477" s="10">
        <v>8</v>
      </c>
      <c r="AB477" s="10">
        <v>9.6999999999999993</v>
      </c>
      <c r="AC477" s="9" t="s">
        <v>349</v>
      </c>
      <c r="AD477" s="10"/>
      <c r="AE477" s="10"/>
      <c r="AF477" s="10"/>
      <c r="AG477" s="10"/>
    </row>
    <row r="478" spans="1:33">
      <c r="A478" s="7" t="s">
        <v>155</v>
      </c>
      <c r="B478" s="8" t="s">
        <v>164</v>
      </c>
      <c r="C478" s="9" t="s">
        <v>601</v>
      </c>
      <c r="D478" s="10">
        <v>158</v>
      </c>
      <c r="E478" s="9" t="s">
        <v>163</v>
      </c>
      <c r="F478" s="10">
        <v>158</v>
      </c>
      <c r="G478" s="10">
        <v>158.4</v>
      </c>
      <c r="H478" s="10">
        <v>138</v>
      </c>
      <c r="I478" s="10">
        <v>145</v>
      </c>
      <c r="J478" s="10">
        <v>127</v>
      </c>
      <c r="K478" s="10">
        <v>75</v>
      </c>
      <c r="L478" s="10">
        <v>104</v>
      </c>
      <c r="M478" s="10">
        <v>13</v>
      </c>
      <c r="N478" s="10">
        <v>1515</v>
      </c>
      <c r="O478" s="10">
        <v>0.95</v>
      </c>
      <c r="P478" s="10">
        <v>1438</v>
      </c>
      <c r="Q478" s="10">
        <v>163</v>
      </c>
      <c r="R478" s="10">
        <v>69</v>
      </c>
      <c r="S478" s="10">
        <v>37</v>
      </c>
      <c r="T478" s="10">
        <v>141</v>
      </c>
      <c r="U478" s="10">
        <v>7</v>
      </c>
      <c r="V478" s="10">
        <v>68</v>
      </c>
      <c r="W478" s="10">
        <v>0.187</v>
      </c>
      <c r="X478" s="10">
        <v>88</v>
      </c>
      <c r="Y478" s="10">
        <v>49</v>
      </c>
      <c r="Z478" s="10">
        <v>53</v>
      </c>
      <c r="AA478" s="10">
        <v>9</v>
      </c>
      <c r="AB478" s="10">
        <v>9.1999999999999993</v>
      </c>
      <c r="AC478" s="9" t="s">
        <v>349</v>
      </c>
      <c r="AD478" s="10"/>
      <c r="AE478" s="10"/>
      <c r="AF478" s="10"/>
      <c r="AG478" s="10"/>
    </row>
    <row r="479" spans="1:33">
      <c r="A479" s="7" t="s">
        <v>155</v>
      </c>
      <c r="B479" s="8" t="s">
        <v>164</v>
      </c>
      <c r="C479" s="9" t="s">
        <v>292</v>
      </c>
      <c r="D479" s="10">
        <v>152</v>
      </c>
      <c r="E479" s="9" t="s">
        <v>163</v>
      </c>
      <c r="F479" s="10">
        <v>152</v>
      </c>
      <c r="G479" s="10">
        <v>153.1</v>
      </c>
      <c r="H479" s="10">
        <v>122</v>
      </c>
      <c r="I479" s="10">
        <v>133</v>
      </c>
      <c r="J479" s="10">
        <v>129</v>
      </c>
      <c r="K479" s="10">
        <v>81</v>
      </c>
      <c r="L479" s="10">
        <v>112</v>
      </c>
      <c r="M479" s="10">
        <v>10.9</v>
      </c>
      <c r="N479" s="10">
        <v>1695</v>
      </c>
      <c r="O479" s="10">
        <v>0.87</v>
      </c>
      <c r="P479" s="10">
        <v>1483</v>
      </c>
      <c r="Q479" s="10">
        <v>210</v>
      </c>
      <c r="R479" s="10">
        <v>81</v>
      </c>
      <c r="S479" s="10">
        <v>40</v>
      </c>
      <c r="T479" s="10">
        <v>190</v>
      </c>
      <c r="U479" s="10">
        <v>9</v>
      </c>
      <c r="V479" s="10">
        <v>121</v>
      </c>
      <c r="W479" s="10">
        <v>0.23499999999999999</v>
      </c>
      <c r="X479" s="10">
        <v>110</v>
      </c>
      <c r="Y479" s="10">
        <v>92</v>
      </c>
      <c r="Z479" s="10">
        <v>80</v>
      </c>
      <c r="AA479" s="10">
        <v>6</v>
      </c>
      <c r="AB479" s="10">
        <v>8.5</v>
      </c>
      <c r="AC479" s="9" t="s">
        <v>231</v>
      </c>
      <c r="AD479" s="9" t="s">
        <v>188</v>
      </c>
      <c r="AE479" s="10"/>
      <c r="AF479" s="10"/>
      <c r="AG479" s="10"/>
    </row>
    <row r="480" spans="1:33">
      <c r="A480" s="7" t="s">
        <v>155</v>
      </c>
      <c r="B480" s="8" t="s">
        <v>164</v>
      </c>
      <c r="C480" s="9" t="s">
        <v>292</v>
      </c>
      <c r="D480" s="10">
        <v>158</v>
      </c>
      <c r="E480" s="9" t="s">
        <v>163</v>
      </c>
      <c r="F480" s="10">
        <v>158</v>
      </c>
      <c r="G480" s="10">
        <v>161.69999999999999</v>
      </c>
      <c r="H480" s="10">
        <v>128</v>
      </c>
      <c r="I480" s="10">
        <v>139</v>
      </c>
      <c r="J480" s="10">
        <v>128</v>
      </c>
      <c r="K480" s="10">
        <v>81</v>
      </c>
      <c r="L480" s="10">
        <v>112</v>
      </c>
      <c r="M480" s="10">
        <v>12</v>
      </c>
      <c r="N480" s="10">
        <v>1726</v>
      </c>
      <c r="O480" s="10">
        <v>0.9</v>
      </c>
      <c r="P480" s="10">
        <v>1560</v>
      </c>
      <c r="Q480" s="10">
        <v>207</v>
      </c>
      <c r="R480" s="10">
        <v>81</v>
      </c>
      <c r="S480" s="10">
        <v>42</v>
      </c>
      <c r="T480" s="10">
        <v>188</v>
      </c>
      <c r="U480" s="10">
        <v>12</v>
      </c>
      <c r="V480" s="10">
        <v>145</v>
      </c>
      <c r="W480" s="10">
        <v>0.28100000000000003</v>
      </c>
      <c r="X480" s="10">
        <v>110</v>
      </c>
      <c r="Y480" s="10">
        <v>115</v>
      </c>
      <c r="Z480" s="10">
        <v>78</v>
      </c>
      <c r="AA480" s="10">
        <v>6</v>
      </c>
      <c r="AB480" s="10">
        <v>7.4</v>
      </c>
      <c r="AC480" s="9" t="s">
        <v>231</v>
      </c>
      <c r="AD480" s="9" t="s">
        <v>188</v>
      </c>
      <c r="AE480" s="10"/>
      <c r="AF480" s="10"/>
      <c r="AG480" s="10"/>
    </row>
    <row r="481" spans="1:33">
      <c r="A481" s="7" t="s">
        <v>155</v>
      </c>
      <c r="B481" s="8" t="s">
        <v>164</v>
      </c>
      <c r="C481" s="9" t="s">
        <v>292</v>
      </c>
      <c r="D481" s="10">
        <v>164</v>
      </c>
      <c r="E481" s="9" t="s">
        <v>163</v>
      </c>
      <c r="F481" s="10">
        <v>164</v>
      </c>
      <c r="G481" s="10">
        <v>165.1</v>
      </c>
      <c r="H481" s="10">
        <v>135</v>
      </c>
      <c r="I481" s="10">
        <v>145</v>
      </c>
      <c r="J481" s="10">
        <v>129</v>
      </c>
      <c r="K481" s="10">
        <v>82</v>
      </c>
      <c r="L481" s="10">
        <v>112</v>
      </c>
      <c r="M481" s="10">
        <v>13.1</v>
      </c>
      <c r="N481" s="10">
        <v>1818</v>
      </c>
      <c r="O481" s="10">
        <v>0.88</v>
      </c>
      <c r="P481" s="10">
        <v>1600</v>
      </c>
      <c r="Q481" s="10">
        <v>222</v>
      </c>
      <c r="R481" s="10">
        <v>89</v>
      </c>
      <c r="S481" s="10">
        <v>41</v>
      </c>
      <c r="T481" s="10">
        <v>185</v>
      </c>
      <c r="U481" s="10">
        <v>9</v>
      </c>
      <c r="V481" s="10">
        <v>117</v>
      </c>
      <c r="W481" s="10">
        <v>0.22</v>
      </c>
      <c r="X481" s="10">
        <v>109</v>
      </c>
      <c r="Y481" s="10">
        <v>91</v>
      </c>
      <c r="Z481" s="10">
        <v>76</v>
      </c>
      <c r="AA481" s="10">
        <v>8</v>
      </c>
      <c r="AB481" s="10">
        <v>8.6</v>
      </c>
      <c r="AC481" s="9" t="s">
        <v>231</v>
      </c>
      <c r="AD481" s="9" t="s">
        <v>188</v>
      </c>
      <c r="AE481" s="10"/>
      <c r="AF481" s="10"/>
      <c r="AG481" s="10"/>
    </row>
    <row r="482" spans="1:33">
      <c r="A482" s="7" t="s">
        <v>155</v>
      </c>
      <c r="B482" s="8" t="s">
        <v>164</v>
      </c>
      <c r="C482" s="9" t="s">
        <v>484</v>
      </c>
      <c r="D482" s="10">
        <v>158</v>
      </c>
      <c r="E482" s="9" t="s">
        <v>163</v>
      </c>
      <c r="F482" s="10">
        <v>158</v>
      </c>
      <c r="G482" s="10">
        <v>159.30000000000001</v>
      </c>
      <c r="H482" s="10">
        <v>126</v>
      </c>
      <c r="I482" s="10">
        <v>139</v>
      </c>
      <c r="J482" s="10">
        <v>129</v>
      </c>
      <c r="K482" s="10">
        <v>81</v>
      </c>
      <c r="L482" s="10">
        <v>112</v>
      </c>
      <c r="M482" s="10">
        <v>12</v>
      </c>
      <c r="N482" s="10">
        <v>1737</v>
      </c>
      <c r="O482" s="10">
        <v>0.89</v>
      </c>
      <c r="P482" s="10">
        <v>1543</v>
      </c>
      <c r="Q482" s="10">
        <v>192</v>
      </c>
      <c r="R482" s="10">
        <v>75</v>
      </c>
      <c r="S482" s="10">
        <v>45</v>
      </c>
      <c r="T482" s="10">
        <v>196</v>
      </c>
      <c r="U482" s="10">
        <v>11</v>
      </c>
      <c r="V482" s="10">
        <v>133</v>
      </c>
      <c r="W482" s="10">
        <v>0.24</v>
      </c>
      <c r="X482" s="10">
        <v>110</v>
      </c>
      <c r="Y482" s="10">
        <v>94</v>
      </c>
      <c r="Z482" s="10">
        <v>86</v>
      </c>
      <c r="AA482" s="10">
        <v>6</v>
      </c>
      <c r="AB482" s="10">
        <v>8.4</v>
      </c>
      <c r="AC482" s="9" t="s">
        <v>231</v>
      </c>
      <c r="AD482" s="9" t="s">
        <v>188</v>
      </c>
      <c r="AE482" s="10"/>
      <c r="AF482" s="10"/>
      <c r="AG482" s="10"/>
    </row>
    <row r="483" spans="1:33">
      <c r="A483" s="7" t="s">
        <v>155</v>
      </c>
      <c r="B483" s="8" t="s">
        <v>164</v>
      </c>
      <c r="C483" s="9" t="s">
        <v>484</v>
      </c>
      <c r="D483" s="10">
        <v>164</v>
      </c>
      <c r="E483" s="9" t="s">
        <v>163</v>
      </c>
      <c r="F483" s="10">
        <v>164</v>
      </c>
      <c r="G483" s="10">
        <v>165.2</v>
      </c>
      <c r="H483" s="10">
        <v>136</v>
      </c>
      <c r="I483" s="10">
        <v>145</v>
      </c>
      <c r="J483" s="10">
        <v>128</v>
      </c>
      <c r="K483" s="10">
        <v>82</v>
      </c>
      <c r="L483" s="10">
        <v>112</v>
      </c>
      <c r="M483" s="10">
        <v>13.1</v>
      </c>
      <c r="N483" s="10">
        <v>1790</v>
      </c>
      <c r="O483" s="10">
        <v>0.89</v>
      </c>
      <c r="P483" s="10">
        <v>1600</v>
      </c>
      <c r="Q483" s="10">
        <v>206</v>
      </c>
      <c r="R483" s="10">
        <v>91</v>
      </c>
      <c r="S483" s="10">
        <v>41</v>
      </c>
      <c r="T483" s="10">
        <v>179</v>
      </c>
      <c r="U483" s="10">
        <v>9</v>
      </c>
      <c r="V483" s="10">
        <v>118</v>
      </c>
      <c r="W483" s="10">
        <v>0.214</v>
      </c>
      <c r="X483" s="10">
        <v>106</v>
      </c>
      <c r="Y483" s="10">
        <v>92</v>
      </c>
      <c r="Z483" s="10">
        <v>72</v>
      </c>
      <c r="AA483" s="10">
        <v>8</v>
      </c>
      <c r="AB483" s="10">
        <v>8.4</v>
      </c>
      <c r="AC483" s="9" t="s">
        <v>231</v>
      </c>
      <c r="AD483" s="9" t="s">
        <v>188</v>
      </c>
      <c r="AE483" s="10"/>
      <c r="AF483" s="10"/>
      <c r="AG483" s="10"/>
    </row>
    <row r="484" spans="1:33">
      <c r="A484" s="7" t="s">
        <v>155</v>
      </c>
      <c r="B484" s="8" t="s">
        <v>164</v>
      </c>
      <c r="C484" s="9" t="s">
        <v>693</v>
      </c>
      <c r="D484" s="10">
        <v>160</v>
      </c>
      <c r="E484" s="9" t="s">
        <v>158</v>
      </c>
      <c r="F484" s="10">
        <v>160</v>
      </c>
      <c r="G484" s="10">
        <v>158.5</v>
      </c>
      <c r="H484" s="10">
        <v>138</v>
      </c>
      <c r="I484" s="10">
        <v>144</v>
      </c>
      <c r="J484" s="10">
        <v>125</v>
      </c>
      <c r="K484" s="10">
        <v>76</v>
      </c>
      <c r="L484" s="10">
        <v>105</v>
      </c>
      <c r="M484" s="10">
        <v>13.2</v>
      </c>
      <c r="N484" s="10">
        <v>1808</v>
      </c>
      <c r="O484" s="10">
        <v>0.8</v>
      </c>
      <c r="P484" s="10">
        <v>1443</v>
      </c>
      <c r="Q484" s="10">
        <v>176</v>
      </c>
      <c r="R484" s="10">
        <v>81</v>
      </c>
      <c r="S484" s="10">
        <v>29</v>
      </c>
      <c r="T484" s="10">
        <v>138</v>
      </c>
      <c r="U484" s="10">
        <v>11</v>
      </c>
      <c r="V484" s="10">
        <v>72</v>
      </c>
      <c r="W484" s="10">
        <v>0.36899999999999999</v>
      </c>
      <c r="X484" s="10">
        <v>86</v>
      </c>
      <c r="Y484" s="10">
        <v>60</v>
      </c>
      <c r="Z484" s="10">
        <v>52</v>
      </c>
      <c r="AA484" s="10">
        <v>9</v>
      </c>
      <c r="AB484" s="10">
        <v>8.9</v>
      </c>
      <c r="AC484" s="9" t="s">
        <v>349</v>
      </c>
      <c r="AD484" s="10"/>
      <c r="AE484" s="10"/>
      <c r="AF484" s="10"/>
      <c r="AG484" s="10"/>
    </row>
    <row r="485" spans="1:33">
      <c r="A485" s="7" t="s">
        <v>155</v>
      </c>
      <c r="B485" s="8" t="s">
        <v>164</v>
      </c>
      <c r="C485" s="9" t="s">
        <v>693</v>
      </c>
      <c r="D485" s="10">
        <v>168</v>
      </c>
      <c r="E485" s="9" t="s">
        <v>158</v>
      </c>
      <c r="F485" s="10">
        <v>168</v>
      </c>
      <c r="G485" s="10">
        <v>166.3</v>
      </c>
      <c r="H485" s="10">
        <v>146</v>
      </c>
      <c r="I485" s="10">
        <v>153</v>
      </c>
      <c r="J485" s="10">
        <v>124</v>
      </c>
      <c r="K485" s="10">
        <v>75</v>
      </c>
      <c r="L485" s="10">
        <v>103</v>
      </c>
      <c r="M485" s="10">
        <v>14.8</v>
      </c>
      <c r="N485" s="10">
        <v>1913</v>
      </c>
      <c r="O485" s="10">
        <v>0.78</v>
      </c>
      <c r="P485" s="10">
        <v>1490</v>
      </c>
      <c r="Q485" s="10">
        <v>199</v>
      </c>
      <c r="R485" s="10">
        <v>88</v>
      </c>
      <c r="S485" s="10">
        <v>28</v>
      </c>
      <c r="T485" s="10">
        <v>132</v>
      </c>
      <c r="U485" s="10">
        <v>10</v>
      </c>
      <c r="V485" s="10">
        <v>70</v>
      </c>
      <c r="W485" s="10">
        <v>0.35299999999999998</v>
      </c>
      <c r="X485" s="10">
        <v>76</v>
      </c>
      <c r="Y485" s="10">
        <v>56</v>
      </c>
      <c r="Z485" s="10">
        <v>56</v>
      </c>
      <c r="AA485" s="10">
        <v>10</v>
      </c>
      <c r="AB485" s="10">
        <v>9</v>
      </c>
      <c r="AC485" s="9" t="s">
        <v>349</v>
      </c>
      <c r="AD485" s="10"/>
      <c r="AE485" s="10"/>
      <c r="AF485" s="10"/>
      <c r="AG485" s="10"/>
    </row>
    <row r="486" spans="1:33">
      <c r="A486" s="7" t="s">
        <v>155</v>
      </c>
      <c r="B486" s="8" t="s">
        <v>164</v>
      </c>
      <c r="C486" s="9" t="s">
        <v>693</v>
      </c>
      <c r="D486" s="10">
        <v>176</v>
      </c>
      <c r="E486" s="9" t="s">
        <v>158</v>
      </c>
      <c r="F486" s="10">
        <v>176</v>
      </c>
      <c r="G486" s="10">
        <v>174</v>
      </c>
      <c r="H486" s="10">
        <v>155</v>
      </c>
      <c r="I486" s="10">
        <v>160</v>
      </c>
      <c r="J486" s="10">
        <v>125</v>
      </c>
      <c r="K486" s="10">
        <v>76</v>
      </c>
      <c r="L486" s="10">
        <v>105</v>
      </c>
      <c r="M486" s="10">
        <v>16.2</v>
      </c>
      <c r="N486" s="10">
        <v>2041</v>
      </c>
      <c r="O486" s="10">
        <v>0.77</v>
      </c>
      <c r="P486" s="10">
        <v>1576</v>
      </c>
      <c r="Q486" s="10">
        <v>228</v>
      </c>
      <c r="R486" s="10">
        <v>102</v>
      </c>
      <c r="S486" s="10">
        <v>27</v>
      </c>
      <c r="T486" s="10">
        <v>127</v>
      </c>
      <c r="U486" s="10">
        <v>9</v>
      </c>
      <c r="V486" s="10">
        <v>67</v>
      </c>
      <c r="W486" s="10">
        <v>0.33400000000000002</v>
      </c>
      <c r="X486" s="10">
        <v>79</v>
      </c>
      <c r="Y486" s="10">
        <v>60</v>
      </c>
      <c r="Z486" s="10">
        <v>49</v>
      </c>
      <c r="AA486" s="10">
        <v>14</v>
      </c>
      <c r="AB486" s="10">
        <v>9.1999999999999993</v>
      </c>
      <c r="AC486" s="9" t="s">
        <v>349</v>
      </c>
      <c r="AD486" s="10"/>
      <c r="AE486" s="10"/>
      <c r="AF486" s="10"/>
      <c r="AG486" s="10"/>
    </row>
    <row r="487" spans="1:33">
      <c r="A487" s="7" t="s">
        <v>155</v>
      </c>
      <c r="B487" s="8" t="s">
        <v>164</v>
      </c>
      <c r="C487" s="9" t="s">
        <v>811</v>
      </c>
      <c r="D487" s="10">
        <v>172</v>
      </c>
      <c r="E487" s="9" t="s">
        <v>158</v>
      </c>
      <c r="F487" s="10">
        <v>172</v>
      </c>
      <c r="G487" s="10">
        <v>171.3</v>
      </c>
      <c r="H487" s="10">
        <v>142</v>
      </c>
      <c r="I487" s="10">
        <v>151</v>
      </c>
      <c r="J487" s="10">
        <v>128</v>
      </c>
      <c r="K487" s="10">
        <v>81</v>
      </c>
      <c r="L487" s="10">
        <v>111</v>
      </c>
      <c r="M487" s="10">
        <v>14.2</v>
      </c>
      <c r="N487" s="10">
        <v>2130</v>
      </c>
      <c r="O487" s="10">
        <v>0.78</v>
      </c>
      <c r="P487" s="10">
        <v>1653</v>
      </c>
      <c r="Q487" s="10">
        <v>261</v>
      </c>
      <c r="R487" s="10">
        <v>113</v>
      </c>
      <c r="S487" s="10">
        <v>39</v>
      </c>
      <c r="T487" s="10">
        <v>175</v>
      </c>
      <c r="U487" s="10">
        <v>10</v>
      </c>
      <c r="V487" s="10">
        <v>120</v>
      </c>
      <c r="W487" s="10">
        <v>0.25800000000000001</v>
      </c>
      <c r="X487" s="10">
        <v>110</v>
      </c>
      <c r="Y487" s="10">
        <v>92</v>
      </c>
      <c r="Z487" s="10">
        <v>66</v>
      </c>
      <c r="AA487" s="10">
        <v>9</v>
      </c>
      <c r="AB487" s="10">
        <v>10</v>
      </c>
      <c r="AC487" s="9" t="s">
        <v>231</v>
      </c>
      <c r="AD487" s="9" t="s">
        <v>188</v>
      </c>
      <c r="AE487" s="10"/>
      <c r="AF487" s="10"/>
      <c r="AG487" s="10"/>
    </row>
    <row r="488" spans="1:33">
      <c r="A488" s="7" t="s">
        <v>155</v>
      </c>
      <c r="B488" s="8" t="s">
        <v>164</v>
      </c>
      <c r="C488" s="9" t="s">
        <v>479</v>
      </c>
      <c r="D488" s="10">
        <v>172</v>
      </c>
      <c r="E488" s="9" t="s">
        <v>158</v>
      </c>
      <c r="F488" s="10">
        <v>172</v>
      </c>
      <c r="G488" s="10">
        <v>171.3</v>
      </c>
      <c r="H488" s="10">
        <v>142</v>
      </c>
      <c r="I488" s="10">
        <v>151</v>
      </c>
      <c r="J488" s="10">
        <v>128</v>
      </c>
      <c r="K488" s="10">
        <v>81</v>
      </c>
      <c r="L488" s="10">
        <v>111</v>
      </c>
      <c r="M488" s="10">
        <v>14.3</v>
      </c>
      <c r="N488" s="10">
        <v>1910</v>
      </c>
      <c r="O488" s="10">
        <v>0.86</v>
      </c>
      <c r="P488" s="10">
        <v>1651</v>
      </c>
      <c r="Q488" s="10">
        <v>231</v>
      </c>
      <c r="R488" s="10">
        <v>99</v>
      </c>
      <c r="S488" s="10">
        <v>37</v>
      </c>
      <c r="T488" s="10">
        <v>170</v>
      </c>
      <c r="U488" s="10">
        <v>12</v>
      </c>
      <c r="V488" s="10">
        <v>122</v>
      </c>
      <c r="W488" s="10">
        <v>0.313</v>
      </c>
      <c r="X488" s="10">
        <v>105</v>
      </c>
      <c r="Y488" s="10">
        <v>95</v>
      </c>
      <c r="Z488" s="10">
        <v>66</v>
      </c>
      <c r="AA488" s="10">
        <v>11</v>
      </c>
      <c r="AB488" s="10">
        <v>10</v>
      </c>
      <c r="AC488" s="9" t="s">
        <v>231</v>
      </c>
      <c r="AD488" s="9" t="s">
        <v>188</v>
      </c>
      <c r="AE488" s="10"/>
      <c r="AF488" s="10"/>
      <c r="AG488" s="10"/>
    </row>
    <row r="489" spans="1:33">
      <c r="A489" s="7" t="s">
        <v>155</v>
      </c>
      <c r="B489" s="8" t="s">
        <v>164</v>
      </c>
      <c r="C489" s="9" t="s">
        <v>688</v>
      </c>
      <c r="D489" s="10">
        <v>172</v>
      </c>
      <c r="E489" s="9" t="s">
        <v>158</v>
      </c>
      <c r="F489" s="10">
        <v>172</v>
      </c>
      <c r="G489" s="10">
        <v>171.4</v>
      </c>
      <c r="H489" s="10">
        <v>137</v>
      </c>
      <c r="I489" s="10">
        <v>152</v>
      </c>
      <c r="J489" s="10">
        <v>128</v>
      </c>
      <c r="K489" s="10">
        <v>85</v>
      </c>
      <c r="L489" s="10">
        <v>114</v>
      </c>
      <c r="M489" s="10">
        <v>15.4</v>
      </c>
      <c r="N489" s="10">
        <v>2080</v>
      </c>
      <c r="O489" s="10">
        <v>0.82</v>
      </c>
      <c r="P489" s="10">
        <v>1700</v>
      </c>
      <c r="Q489" s="10">
        <v>206</v>
      </c>
      <c r="R489" s="10">
        <v>92</v>
      </c>
      <c r="S489" s="10">
        <v>42</v>
      </c>
      <c r="T489" s="10">
        <v>214</v>
      </c>
      <c r="U489" s="10">
        <v>8</v>
      </c>
      <c r="V489" s="10">
        <v>130</v>
      </c>
      <c r="W489" s="10">
        <v>0.20200000000000001</v>
      </c>
      <c r="X489" s="10">
        <v>102</v>
      </c>
      <c r="Y489" s="10">
        <v>93</v>
      </c>
      <c r="Z489" s="10">
        <v>112</v>
      </c>
      <c r="AA489" s="10">
        <v>8</v>
      </c>
      <c r="AB489" s="10">
        <v>8.9</v>
      </c>
      <c r="AC489" s="9" t="s">
        <v>188</v>
      </c>
      <c r="AD489" s="10"/>
      <c r="AE489" s="10"/>
      <c r="AF489" s="10"/>
      <c r="AG489" s="10"/>
    </row>
    <row r="490" spans="1:33">
      <c r="A490" s="7" t="s">
        <v>155</v>
      </c>
      <c r="B490" s="8" t="s">
        <v>164</v>
      </c>
      <c r="C490" s="9" t="s">
        <v>688</v>
      </c>
      <c r="D490" s="10">
        <v>178</v>
      </c>
      <c r="E490" s="9" t="s">
        <v>158</v>
      </c>
      <c r="F490" s="10">
        <v>178</v>
      </c>
      <c r="G490" s="10">
        <v>177.5</v>
      </c>
      <c r="H490" s="10">
        <v>144</v>
      </c>
      <c r="I490" s="10">
        <v>157</v>
      </c>
      <c r="J490" s="10">
        <v>130</v>
      </c>
      <c r="K490" s="10">
        <v>85</v>
      </c>
      <c r="L490" s="10">
        <v>114</v>
      </c>
      <c r="M490" s="10">
        <v>16.399999999999999</v>
      </c>
      <c r="N490" s="10">
        <v>2172</v>
      </c>
      <c r="O490" s="10">
        <v>0.81</v>
      </c>
      <c r="P490" s="10">
        <v>1765</v>
      </c>
      <c r="Q490" s="10">
        <v>250</v>
      </c>
      <c r="R490" s="10">
        <v>106</v>
      </c>
      <c r="S490" s="10">
        <v>38</v>
      </c>
      <c r="T490" s="10">
        <v>207</v>
      </c>
      <c r="U490" s="10">
        <v>7</v>
      </c>
      <c r="V490" s="10">
        <v>130</v>
      </c>
      <c r="W490" s="10">
        <v>0.19600000000000001</v>
      </c>
      <c r="X490" s="10">
        <v>106</v>
      </c>
      <c r="Y490" s="10">
        <v>97</v>
      </c>
      <c r="Z490" s="10">
        <v>100</v>
      </c>
      <c r="AA490" s="10">
        <v>9</v>
      </c>
      <c r="AB490" s="10">
        <v>9.1999999999999993</v>
      </c>
      <c r="AC490" s="9" t="s">
        <v>188</v>
      </c>
      <c r="AD490" s="10"/>
      <c r="AE490" s="10"/>
      <c r="AF490" s="10"/>
      <c r="AG490" s="10"/>
    </row>
    <row r="491" spans="1:33">
      <c r="A491" s="7" t="s">
        <v>155</v>
      </c>
      <c r="B491" s="8" t="s">
        <v>164</v>
      </c>
      <c r="C491" s="9" t="s">
        <v>627</v>
      </c>
      <c r="D491" s="10">
        <v>166</v>
      </c>
      <c r="E491" s="9" t="s">
        <v>158</v>
      </c>
      <c r="F491" s="10">
        <v>166</v>
      </c>
      <c r="G491" s="10">
        <v>165.2</v>
      </c>
      <c r="H491" s="10">
        <v>134</v>
      </c>
      <c r="I491" s="10">
        <v>146</v>
      </c>
      <c r="J491" s="10">
        <v>127</v>
      </c>
      <c r="K491" s="10">
        <v>85</v>
      </c>
      <c r="L491" s="10">
        <v>113</v>
      </c>
      <c r="M491" s="10">
        <v>14.7</v>
      </c>
      <c r="N491" s="10">
        <v>2004</v>
      </c>
      <c r="O491" s="10">
        <v>0.82</v>
      </c>
      <c r="P491" s="10">
        <v>1638</v>
      </c>
      <c r="Q491" s="10">
        <v>191</v>
      </c>
      <c r="R491" s="10">
        <v>93</v>
      </c>
      <c r="S491" s="10">
        <v>41</v>
      </c>
      <c r="T491" s="10">
        <v>206</v>
      </c>
      <c r="U491" s="10">
        <v>7</v>
      </c>
      <c r="V491" s="10">
        <v>106</v>
      </c>
      <c r="W491" s="10">
        <v>0.16600000000000001</v>
      </c>
      <c r="X491" s="10">
        <v>98</v>
      </c>
      <c r="Y491" s="10">
        <v>95</v>
      </c>
      <c r="Z491" s="10">
        <v>108</v>
      </c>
      <c r="AA491" s="10">
        <v>10</v>
      </c>
      <c r="AB491" s="10">
        <v>8.9</v>
      </c>
      <c r="AC491" s="9" t="s">
        <v>188</v>
      </c>
      <c r="AD491" s="10"/>
      <c r="AE491" s="10"/>
      <c r="AF491" s="10"/>
      <c r="AG491" s="10"/>
    </row>
    <row r="492" spans="1:33">
      <c r="A492" s="7" t="s">
        <v>155</v>
      </c>
      <c r="B492" s="8" t="s">
        <v>164</v>
      </c>
      <c r="C492" s="9" t="s">
        <v>627</v>
      </c>
      <c r="D492" s="10">
        <v>172</v>
      </c>
      <c r="E492" s="9" t="s">
        <v>158</v>
      </c>
      <c r="F492" s="10">
        <v>172</v>
      </c>
      <c r="G492" s="10">
        <v>171.3</v>
      </c>
      <c r="H492" s="10">
        <v>135</v>
      </c>
      <c r="I492" s="10">
        <v>152</v>
      </c>
      <c r="J492" s="10">
        <v>128</v>
      </c>
      <c r="K492" s="10">
        <v>85</v>
      </c>
      <c r="L492" s="10">
        <v>114</v>
      </c>
      <c r="M492" s="10">
        <v>15.5</v>
      </c>
      <c r="N492" s="10">
        <v>2093</v>
      </c>
      <c r="O492" s="10">
        <v>0.81</v>
      </c>
      <c r="P492" s="10">
        <v>1700</v>
      </c>
      <c r="Q492" s="10">
        <v>205</v>
      </c>
      <c r="R492" s="10">
        <v>97</v>
      </c>
      <c r="S492" s="10">
        <v>41</v>
      </c>
      <c r="T492" s="10">
        <v>224</v>
      </c>
      <c r="U492" s="10">
        <v>8</v>
      </c>
      <c r="V492" s="10">
        <v>135</v>
      </c>
      <c r="W492" s="10">
        <v>0.20399999999999999</v>
      </c>
      <c r="X492" s="10">
        <v>97</v>
      </c>
      <c r="Y492" s="10">
        <v>96</v>
      </c>
      <c r="Z492" s="10">
        <v>126</v>
      </c>
      <c r="AA492" s="10">
        <v>6</v>
      </c>
      <c r="AB492" s="10">
        <v>9.1999999999999993</v>
      </c>
      <c r="AC492" s="9" t="s">
        <v>188</v>
      </c>
      <c r="AD492" s="10"/>
      <c r="AE492" s="10"/>
      <c r="AF492" s="10"/>
      <c r="AG492" s="10"/>
    </row>
    <row r="493" spans="1:33">
      <c r="A493" s="7" t="s">
        <v>155</v>
      </c>
      <c r="B493" s="8" t="s">
        <v>164</v>
      </c>
      <c r="C493" s="9" t="s">
        <v>627</v>
      </c>
      <c r="D493" s="10">
        <v>178</v>
      </c>
      <c r="E493" s="9" t="s">
        <v>158</v>
      </c>
      <c r="F493" s="10">
        <v>178</v>
      </c>
      <c r="G493" s="10">
        <v>177.4</v>
      </c>
      <c r="H493" s="10">
        <v>143</v>
      </c>
      <c r="I493" s="10">
        <v>158</v>
      </c>
      <c r="J493" s="10">
        <v>130</v>
      </c>
      <c r="K493" s="10">
        <v>86</v>
      </c>
      <c r="L493" s="10">
        <v>114</v>
      </c>
      <c r="M493" s="10">
        <v>16.399999999999999</v>
      </c>
      <c r="N493" s="10">
        <v>2178</v>
      </c>
      <c r="O493" s="10">
        <v>0.81</v>
      </c>
      <c r="P493" s="10">
        <v>1770</v>
      </c>
      <c r="Q493" s="10">
        <v>222</v>
      </c>
      <c r="R493" s="10">
        <v>110</v>
      </c>
      <c r="S493" s="10">
        <v>39</v>
      </c>
      <c r="T493" s="10">
        <v>213</v>
      </c>
      <c r="U493" s="10">
        <v>8</v>
      </c>
      <c r="V493" s="10">
        <v>128</v>
      </c>
      <c r="W493" s="10">
        <v>0.20499999999999999</v>
      </c>
      <c r="X493" s="10">
        <v>100</v>
      </c>
      <c r="Y493" s="10">
        <v>96</v>
      </c>
      <c r="Z493" s="10">
        <v>113</v>
      </c>
      <c r="AA493" s="10">
        <v>8</v>
      </c>
      <c r="AB493" s="10">
        <v>9</v>
      </c>
      <c r="AC493" s="9" t="s">
        <v>188</v>
      </c>
      <c r="AD493" s="10"/>
      <c r="AE493" s="10"/>
      <c r="AF493" s="10"/>
      <c r="AG493" s="10"/>
    </row>
    <row r="494" spans="1:33">
      <c r="A494" s="7" t="s">
        <v>155</v>
      </c>
      <c r="B494" s="8" t="s">
        <v>205</v>
      </c>
      <c r="C494" s="9" t="s">
        <v>407</v>
      </c>
      <c r="D494" s="10">
        <v>154</v>
      </c>
      <c r="E494" s="9" t="s">
        <v>163</v>
      </c>
      <c r="F494" s="10">
        <v>154</v>
      </c>
      <c r="G494" s="10">
        <v>152.19999999999999</v>
      </c>
      <c r="H494" s="10">
        <v>118</v>
      </c>
      <c r="I494" s="10">
        <v>129</v>
      </c>
      <c r="J494" s="10">
        <v>119</v>
      </c>
      <c r="K494" s="10">
        <v>85</v>
      </c>
      <c r="L494" s="10">
        <v>109</v>
      </c>
      <c r="M494" s="10">
        <v>13.2</v>
      </c>
      <c r="N494" s="10">
        <v>1297</v>
      </c>
      <c r="O494" s="10">
        <v>1.1399999999999999</v>
      </c>
      <c r="P494" s="10">
        <v>1476</v>
      </c>
      <c r="Q494" s="10">
        <v>172</v>
      </c>
      <c r="R494" s="10">
        <v>76</v>
      </c>
      <c r="S494" s="10">
        <v>51</v>
      </c>
      <c r="T494" s="10">
        <v>206</v>
      </c>
      <c r="U494" s="10">
        <v>19</v>
      </c>
      <c r="V494" s="10">
        <v>133</v>
      </c>
      <c r="W494" s="10">
        <v>0.376</v>
      </c>
      <c r="X494" s="10">
        <v>138</v>
      </c>
      <c r="Y494" s="10">
        <v>96</v>
      </c>
      <c r="Z494" s="10">
        <v>68</v>
      </c>
      <c r="AA494" s="10">
        <v>6</v>
      </c>
      <c r="AB494" s="10">
        <v>9.1999999999999993</v>
      </c>
      <c r="AC494" s="9" t="s">
        <v>188</v>
      </c>
      <c r="AD494" s="9" t="s">
        <v>185</v>
      </c>
      <c r="AE494" s="10"/>
      <c r="AF494" s="10"/>
      <c r="AG494" s="10"/>
    </row>
    <row r="495" spans="1:33">
      <c r="A495" s="7" t="s">
        <v>155</v>
      </c>
      <c r="B495" s="8" t="s">
        <v>205</v>
      </c>
      <c r="C495" s="9" t="s">
        <v>407</v>
      </c>
      <c r="D495" s="10">
        <v>162</v>
      </c>
      <c r="E495" s="9" t="s">
        <v>163</v>
      </c>
      <c r="F495" s="10">
        <v>162</v>
      </c>
      <c r="G495" s="10">
        <v>160.30000000000001</v>
      </c>
      <c r="H495" s="10">
        <v>125</v>
      </c>
      <c r="I495" s="10">
        <v>137</v>
      </c>
      <c r="J495" s="10">
        <v>119</v>
      </c>
      <c r="K495" s="10">
        <v>85</v>
      </c>
      <c r="L495" s="10">
        <v>109</v>
      </c>
      <c r="M495" s="10">
        <v>14.9</v>
      </c>
      <c r="N495" s="10">
        <v>1390</v>
      </c>
      <c r="O495" s="10">
        <v>1.1200000000000001</v>
      </c>
      <c r="P495" s="10">
        <v>1552</v>
      </c>
      <c r="Q495" s="10">
        <v>169</v>
      </c>
      <c r="R495" s="10">
        <v>80</v>
      </c>
      <c r="S495" s="10">
        <v>50</v>
      </c>
      <c r="T495" s="10">
        <v>212</v>
      </c>
      <c r="U495" s="10">
        <v>20</v>
      </c>
      <c r="V495" s="10">
        <v>142</v>
      </c>
      <c r="W495" s="10">
        <v>0.40600000000000003</v>
      </c>
      <c r="X495" s="10">
        <v>150</v>
      </c>
      <c r="Y495" s="10">
        <v>86</v>
      </c>
      <c r="Z495" s="10">
        <v>63</v>
      </c>
      <c r="AA495" s="10">
        <v>7</v>
      </c>
      <c r="AB495" s="10">
        <v>9.5</v>
      </c>
      <c r="AC495" s="9" t="s">
        <v>188</v>
      </c>
      <c r="AD495" s="9" t="s">
        <v>185</v>
      </c>
      <c r="AE495" s="10"/>
      <c r="AF495" s="10"/>
      <c r="AG495" s="10"/>
    </row>
    <row r="496" spans="1:33">
      <c r="A496" s="7" t="s">
        <v>155</v>
      </c>
      <c r="B496" s="8" t="s">
        <v>205</v>
      </c>
      <c r="C496" s="9" t="s">
        <v>407</v>
      </c>
      <c r="D496" s="10">
        <v>170</v>
      </c>
      <c r="E496" s="9" t="s">
        <v>163</v>
      </c>
      <c r="F496" s="10">
        <v>170</v>
      </c>
      <c r="G496" s="10">
        <v>168.4</v>
      </c>
      <c r="H496" s="10">
        <v>130</v>
      </c>
      <c r="I496" s="10">
        <v>143</v>
      </c>
      <c r="J496" s="10">
        <v>119</v>
      </c>
      <c r="K496" s="10">
        <v>85</v>
      </c>
      <c r="L496" s="10">
        <v>109</v>
      </c>
      <c r="M496" s="10">
        <v>16.8</v>
      </c>
      <c r="N496" s="10">
        <v>1447</v>
      </c>
      <c r="O496" s="10">
        <v>1.1299999999999999</v>
      </c>
      <c r="P496" s="10">
        <v>1629</v>
      </c>
      <c r="Q496" s="10">
        <v>208</v>
      </c>
      <c r="R496" s="10">
        <v>96</v>
      </c>
      <c r="S496" s="10">
        <v>50</v>
      </c>
      <c r="T496" s="10">
        <v>228</v>
      </c>
      <c r="U496" s="10">
        <v>21</v>
      </c>
      <c r="V496" s="10">
        <v>157</v>
      </c>
      <c r="W496" s="10">
        <v>0.41199999999999998</v>
      </c>
      <c r="X496" s="10">
        <v>148</v>
      </c>
      <c r="Y496" s="10">
        <v>103</v>
      </c>
      <c r="Z496" s="10">
        <v>80</v>
      </c>
      <c r="AA496" s="10">
        <v>8</v>
      </c>
      <c r="AB496" s="10">
        <v>9.9</v>
      </c>
      <c r="AC496" s="9" t="s">
        <v>188</v>
      </c>
      <c r="AD496" s="9" t="s">
        <v>185</v>
      </c>
      <c r="AE496" s="10"/>
      <c r="AF496" s="10"/>
      <c r="AG496" s="10"/>
    </row>
    <row r="497" spans="1:33">
      <c r="A497" s="7" t="s">
        <v>155</v>
      </c>
      <c r="B497" s="8" t="s">
        <v>205</v>
      </c>
      <c r="C497" s="9" t="s">
        <v>206</v>
      </c>
      <c r="D497" s="10">
        <v>171</v>
      </c>
      <c r="E497" s="9" t="s">
        <v>158</v>
      </c>
      <c r="F497" s="10">
        <v>171</v>
      </c>
      <c r="G497" s="10">
        <v>169.4</v>
      </c>
      <c r="H497" s="10">
        <v>126</v>
      </c>
      <c r="I497" s="10">
        <v>143</v>
      </c>
      <c r="J497" s="10">
        <v>127</v>
      </c>
      <c r="K497" s="10">
        <v>95</v>
      </c>
      <c r="L497" s="10">
        <v>117</v>
      </c>
      <c r="M497" s="10">
        <v>17.600000000000001</v>
      </c>
      <c r="N497" s="10">
        <v>1566</v>
      </c>
      <c r="O497" s="10">
        <v>1.1499999999999999</v>
      </c>
      <c r="P497" s="10">
        <v>1801</v>
      </c>
      <c r="Q497" s="10">
        <v>206</v>
      </c>
      <c r="R497" s="10">
        <v>96</v>
      </c>
      <c r="S497" s="10">
        <v>52</v>
      </c>
      <c r="T497" s="10">
        <v>247</v>
      </c>
      <c r="U497" s="10">
        <v>20</v>
      </c>
      <c r="V497" s="10">
        <v>186</v>
      </c>
      <c r="W497" s="10">
        <v>0.38800000000000001</v>
      </c>
      <c r="X497" s="10">
        <v>161</v>
      </c>
      <c r="Y497" s="10">
        <v>107</v>
      </c>
      <c r="Z497" s="10">
        <v>86</v>
      </c>
      <c r="AA497" s="10">
        <v>6</v>
      </c>
      <c r="AB497" s="10">
        <v>11.4</v>
      </c>
      <c r="AC497" s="9" t="s">
        <v>188</v>
      </c>
      <c r="AD497" s="9" t="s">
        <v>185</v>
      </c>
      <c r="AE497" s="10"/>
      <c r="AF497" s="10"/>
      <c r="AG497" s="10"/>
    </row>
    <row r="498" spans="1:33">
      <c r="A498" s="7" t="s">
        <v>155</v>
      </c>
      <c r="B498" s="8" t="s">
        <v>205</v>
      </c>
      <c r="C498" s="9" t="s">
        <v>206</v>
      </c>
      <c r="D498" s="10">
        <v>179</v>
      </c>
      <c r="E498" s="9" t="s">
        <v>158</v>
      </c>
      <c r="F498" s="10">
        <v>179</v>
      </c>
      <c r="G498" s="10">
        <v>177.3</v>
      </c>
      <c r="H498" s="10">
        <v>134</v>
      </c>
      <c r="I498" s="10">
        <v>149</v>
      </c>
      <c r="J498" s="10">
        <v>127</v>
      </c>
      <c r="K498" s="10">
        <v>95</v>
      </c>
      <c r="L498" s="10">
        <v>117</v>
      </c>
      <c r="M498" s="10">
        <v>19.7</v>
      </c>
      <c r="N498" s="10">
        <v>1630</v>
      </c>
      <c r="O498" s="10">
        <v>1.1599999999999999</v>
      </c>
      <c r="P498" s="10">
        <v>1883</v>
      </c>
      <c r="Q498" s="10">
        <v>218</v>
      </c>
      <c r="R498" s="10">
        <v>115</v>
      </c>
      <c r="S498" s="10">
        <v>52</v>
      </c>
      <c r="T498" s="10">
        <v>259</v>
      </c>
      <c r="U498" s="10">
        <v>21</v>
      </c>
      <c r="V498" s="10">
        <v>177</v>
      </c>
      <c r="W498" s="10">
        <v>0.39600000000000002</v>
      </c>
      <c r="X498" s="10">
        <v>174</v>
      </c>
      <c r="Y498" s="10">
        <v>104</v>
      </c>
      <c r="Z498" s="10">
        <v>85</v>
      </c>
      <c r="AA498" s="10">
        <v>8</v>
      </c>
      <c r="AB498" s="10">
        <v>11.3</v>
      </c>
      <c r="AC498" s="9" t="s">
        <v>188</v>
      </c>
      <c r="AD498" s="9" t="s">
        <v>185</v>
      </c>
      <c r="AE498" s="10"/>
      <c r="AF498" s="10"/>
      <c r="AG498" s="10"/>
    </row>
    <row r="499" spans="1:33">
      <c r="A499" s="7" t="s">
        <v>155</v>
      </c>
      <c r="B499" s="8" t="s">
        <v>205</v>
      </c>
      <c r="C499" s="9" t="s">
        <v>249</v>
      </c>
      <c r="D499" s="10">
        <v>155</v>
      </c>
      <c r="E499" s="9" t="s">
        <v>163</v>
      </c>
      <c r="F499" s="10">
        <v>155</v>
      </c>
      <c r="G499" s="10">
        <v>153.30000000000001</v>
      </c>
      <c r="H499" s="10">
        <v>115</v>
      </c>
      <c r="I499" s="10">
        <v>127</v>
      </c>
      <c r="J499" s="10">
        <v>126</v>
      </c>
      <c r="K499" s="10">
        <v>95</v>
      </c>
      <c r="L499" s="10">
        <v>116</v>
      </c>
      <c r="M499" s="10">
        <v>13.9</v>
      </c>
      <c r="N499" s="10">
        <v>1418</v>
      </c>
      <c r="O499" s="10">
        <v>1.1399999999999999</v>
      </c>
      <c r="P499" s="10">
        <v>1623</v>
      </c>
      <c r="Q499" s="10">
        <v>162</v>
      </c>
      <c r="R499" s="10">
        <v>84</v>
      </c>
      <c r="S499" s="10">
        <v>52</v>
      </c>
      <c r="T499" s="10">
        <v>229</v>
      </c>
      <c r="U499" s="10">
        <v>21</v>
      </c>
      <c r="V499" s="10">
        <v>155</v>
      </c>
      <c r="W499" s="10">
        <v>0.39200000000000002</v>
      </c>
      <c r="X499" s="10">
        <v>172</v>
      </c>
      <c r="Y499" s="10">
        <v>92</v>
      </c>
      <c r="Z499" s="10">
        <v>57</v>
      </c>
      <c r="AA499" s="10">
        <v>7</v>
      </c>
      <c r="AB499" s="10">
        <v>10.6</v>
      </c>
      <c r="AC499" s="9" t="s">
        <v>188</v>
      </c>
      <c r="AD499" s="9" t="s">
        <v>185</v>
      </c>
      <c r="AE499" s="10"/>
      <c r="AF499" s="10"/>
      <c r="AG499" s="10"/>
    </row>
    <row r="500" spans="1:33">
      <c r="A500" s="7" t="s">
        <v>155</v>
      </c>
      <c r="B500" s="8" t="s">
        <v>205</v>
      </c>
      <c r="C500" s="9" t="s">
        <v>249</v>
      </c>
      <c r="D500" s="10">
        <v>163</v>
      </c>
      <c r="E500" s="9" t="s">
        <v>163</v>
      </c>
      <c r="F500" s="10">
        <v>163</v>
      </c>
      <c r="G500" s="10">
        <v>169.5</v>
      </c>
      <c r="H500" s="10">
        <v>126</v>
      </c>
      <c r="I500" s="10">
        <v>140</v>
      </c>
      <c r="J500" s="10">
        <v>126</v>
      </c>
      <c r="K500" s="10">
        <v>95</v>
      </c>
      <c r="L500" s="10">
        <v>116</v>
      </c>
      <c r="M500" s="10">
        <v>17.600000000000001</v>
      </c>
      <c r="N500" s="10">
        <v>1528</v>
      </c>
      <c r="O500" s="10">
        <v>1.17</v>
      </c>
      <c r="P500" s="10">
        <v>1793</v>
      </c>
      <c r="Q500" s="10">
        <v>221</v>
      </c>
      <c r="R500" s="10">
        <v>107</v>
      </c>
      <c r="S500" s="10">
        <v>52</v>
      </c>
      <c r="T500" s="10">
        <v>247</v>
      </c>
      <c r="U500" s="10">
        <v>21</v>
      </c>
      <c r="V500" s="10">
        <v>186</v>
      </c>
      <c r="W500" s="10">
        <v>0.40500000000000003</v>
      </c>
      <c r="X500" s="10">
        <v>173</v>
      </c>
      <c r="Y500" s="10">
        <v>120</v>
      </c>
      <c r="Z500" s="10">
        <v>74</v>
      </c>
      <c r="AA500" s="10">
        <v>6</v>
      </c>
      <c r="AB500" s="10">
        <v>10.9</v>
      </c>
      <c r="AC500" s="9" t="s">
        <v>188</v>
      </c>
      <c r="AD500" s="9" t="s">
        <v>185</v>
      </c>
      <c r="AE500" s="10"/>
      <c r="AF500" s="10"/>
      <c r="AG500" s="10"/>
    </row>
    <row r="501" spans="1:33">
      <c r="A501" s="7" t="s">
        <v>155</v>
      </c>
      <c r="B501" s="8" t="s">
        <v>205</v>
      </c>
      <c r="C501" s="9" t="s">
        <v>249</v>
      </c>
      <c r="D501" s="10">
        <v>171</v>
      </c>
      <c r="E501" s="9" t="s">
        <v>163</v>
      </c>
      <c r="F501" s="10">
        <v>171</v>
      </c>
      <c r="G501" s="10">
        <v>153.30000000000001</v>
      </c>
      <c r="H501" s="10">
        <v>115</v>
      </c>
      <c r="I501" s="10">
        <v>127</v>
      </c>
      <c r="J501" s="10">
        <v>126</v>
      </c>
      <c r="K501" s="10">
        <v>95</v>
      </c>
      <c r="L501" s="10">
        <v>116</v>
      </c>
      <c r="M501" s="10">
        <v>13.9</v>
      </c>
      <c r="N501" s="10">
        <v>1641</v>
      </c>
      <c r="O501" s="10">
        <v>0.99</v>
      </c>
      <c r="P501" s="10">
        <v>1623</v>
      </c>
      <c r="Q501" s="10">
        <v>162</v>
      </c>
      <c r="R501" s="10">
        <v>84</v>
      </c>
      <c r="S501" s="10">
        <v>52</v>
      </c>
      <c r="T501" s="10">
        <v>229</v>
      </c>
      <c r="U501" s="10">
        <v>21</v>
      </c>
      <c r="V501" s="10">
        <v>155</v>
      </c>
      <c r="W501" s="10">
        <v>0.39200000000000002</v>
      </c>
      <c r="X501" s="10">
        <v>172</v>
      </c>
      <c r="Y501" s="10">
        <v>92</v>
      </c>
      <c r="Z501" s="10">
        <v>57</v>
      </c>
      <c r="AA501" s="10">
        <v>7</v>
      </c>
      <c r="AB501" s="10">
        <v>10.6</v>
      </c>
      <c r="AC501" s="9" t="s">
        <v>188</v>
      </c>
      <c r="AD501" s="10"/>
      <c r="AE501" s="10"/>
      <c r="AF501" s="10"/>
      <c r="AG501" s="10"/>
    </row>
    <row r="502" spans="1:33">
      <c r="A502" s="7" t="s">
        <v>155</v>
      </c>
      <c r="B502" s="8" t="s">
        <v>205</v>
      </c>
      <c r="C502" s="9" t="s">
        <v>277</v>
      </c>
      <c r="D502" s="10">
        <v>172</v>
      </c>
      <c r="E502" s="9" t="s">
        <v>158</v>
      </c>
      <c r="F502" s="10">
        <v>172</v>
      </c>
      <c r="G502" s="10">
        <v>170.6</v>
      </c>
      <c r="H502" s="10">
        <v>122</v>
      </c>
      <c r="I502" s="10">
        <v>139</v>
      </c>
      <c r="J502" s="10">
        <v>134</v>
      </c>
      <c r="K502" s="10">
        <v>106</v>
      </c>
      <c r="L502" s="10">
        <v>124</v>
      </c>
      <c r="M502" s="10">
        <v>18.8</v>
      </c>
      <c r="N502" s="10">
        <v>1724</v>
      </c>
      <c r="O502" s="10">
        <v>1.1399999999999999</v>
      </c>
      <c r="P502" s="10">
        <v>1964</v>
      </c>
      <c r="Q502" s="10">
        <v>202</v>
      </c>
      <c r="R502" s="10">
        <v>107</v>
      </c>
      <c r="S502" s="10">
        <v>55</v>
      </c>
      <c r="T502" s="10">
        <v>291</v>
      </c>
      <c r="U502" s="10">
        <v>21</v>
      </c>
      <c r="V502" s="10">
        <v>198</v>
      </c>
      <c r="W502" s="10">
        <v>0.378</v>
      </c>
      <c r="X502" s="10">
        <v>200</v>
      </c>
      <c r="Y502" s="10">
        <v>121</v>
      </c>
      <c r="Z502" s="10">
        <v>91</v>
      </c>
      <c r="AA502" s="10">
        <v>6</v>
      </c>
      <c r="AB502" s="10">
        <v>11.1</v>
      </c>
      <c r="AC502" s="9" t="s">
        <v>169</v>
      </c>
      <c r="AD502" s="9" t="s">
        <v>178</v>
      </c>
      <c r="AE502" s="9" t="s">
        <v>185</v>
      </c>
      <c r="AF502" s="10"/>
      <c r="AG502" s="10"/>
    </row>
    <row r="503" spans="1:33">
      <c r="A503" s="7" t="s">
        <v>155</v>
      </c>
      <c r="B503" s="8" t="s">
        <v>205</v>
      </c>
      <c r="C503" s="9" t="s">
        <v>277</v>
      </c>
      <c r="D503" s="10">
        <v>180</v>
      </c>
      <c r="E503" s="9" t="s">
        <v>158</v>
      </c>
      <c r="F503" s="10">
        <v>180</v>
      </c>
      <c r="G503" s="10">
        <v>178.8</v>
      </c>
      <c r="H503" s="10">
        <v>132</v>
      </c>
      <c r="I503" s="10">
        <v>147</v>
      </c>
      <c r="J503" s="10">
        <v>134</v>
      </c>
      <c r="K503" s="10">
        <v>106</v>
      </c>
      <c r="L503" s="10">
        <v>124</v>
      </c>
      <c r="M503" s="10">
        <v>21</v>
      </c>
      <c r="N503" s="10">
        <v>1752</v>
      </c>
      <c r="O503" s="10">
        <v>1.18</v>
      </c>
      <c r="P503" s="10">
        <v>2059</v>
      </c>
      <c r="Q503" s="10">
        <v>223</v>
      </c>
      <c r="R503" s="10">
        <v>106</v>
      </c>
      <c r="S503" s="10">
        <v>51</v>
      </c>
      <c r="T503" s="10">
        <v>275</v>
      </c>
      <c r="U503" s="10">
        <v>20</v>
      </c>
      <c r="V503" s="10">
        <v>194</v>
      </c>
      <c r="W503" s="10">
        <v>0.39100000000000001</v>
      </c>
      <c r="X503" s="10">
        <v>198</v>
      </c>
      <c r="Y503" s="10">
        <v>116</v>
      </c>
      <c r="Z503" s="10">
        <v>77</v>
      </c>
      <c r="AA503" s="10">
        <v>5</v>
      </c>
      <c r="AB503" s="10">
        <v>11.5</v>
      </c>
      <c r="AC503" s="9" t="s">
        <v>169</v>
      </c>
      <c r="AD503" s="9" t="s">
        <v>178</v>
      </c>
      <c r="AE503" s="9" t="s">
        <v>185</v>
      </c>
      <c r="AF503" s="10"/>
      <c r="AG503" s="10"/>
    </row>
    <row r="504" spans="1:33">
      <c r="A504" s="7" t="s">
        <v>155</v>
      </c>
      <c r="B504" s="8" t="s">
        <v>205</v>
      </c>
      <c r="C504" s="9" t="s">
        <v>277</v>
      </c>
      <c r="D504" s="10">
        <v>188</v>
      </c>
      <c r="E504" s="9" t="s">
        <v>158</v>
      </c>
      <c r="F504" s="10">
        <v>188</v>
      </c>
      <c r="G504" s="10">
        <v>186.5</v>
      </c>
      <c r="H504" s="10">
        <v>130</v>
      </c>
      <c r="I504" s="10">
        <v>156</v>
      </c>
      <c r="J504" s="10">
        <v>133</v>
      </c>
      <c r="K504" s="10">
        <v>105</v>
      </c>
      <c r="L504" s="10">
        <v>123</v>
      </c>
      <c r="M504" s="10">
        <v>23.5</v>
      </c>
      <c r="N504" s="10">
        <v>1873</v>
      </c>
      <c r="O504" s="10">
        <v>1.1399999999999999</v>
      </c>
      <c r="P504" s="10">
        <v>2138</v>
      </c>
      <c r="Q504" s="10">
        <v>262</v>
      </c>
      <c r="R504" s="10">
        <v>127</v>
      </c>
      <c r="S504" s="10">
        <v>55</v>
      </c>
      <c r="T504" s="10">
        <v>339</v>
      </c>
      <c r="U504" s="10">
        <v>23</v>
      </c>
      <c r="V504" s="10">
        <v>227</v>
      </c>
      <c r="W504" s="10">
        <v>0.42</v>
      </c>
      <c r="X504" s="10">
        <v>191</v>
      </c>
      <c r="Y504" s="10">
        <v>114</v>
      </c>
      <c r="Z504" s="10">
        <v>148</v>
      </c>
      <c r="AA504" s="10">
        <v>4</v>
      </c>
      <c r="AB504" s="10">
        <v>11.7</v>
      </c>
      <c r="AC504" s="9" t="s">
        <v>169</v>
      </c>
      <c r="AD504" s="9" t="s">
        <v>185</v>
      </c>
      <c r="AE504" s="10"/>
      <c r="AF504" s="10"/>
      <c r="AG504" s="10"/>
    </row>
    <row r="505" spans="1:33">
      <c r="A505" s="7" t="s">
        <v>155</v>
      </c>
      <c r="B505" s="8" t="s">
        <v>205</v>
      </c>
      <c r="C505" s="9" t="s">
        <v>325</v>
      </c>
      <c r="D505" s="10">
        <v>164</v>
      </c>
      <c r="E505" s="9" t="s">
        <v>163</v>
      </c>
      <c r="F505" s="10">
        <v>164</v>
      </c>
      <c r="G505" s="10">
        <v>162.6</v>
      </c>
      <c r="H505" s="10">
        <v>117</v>
      </c>
      <c r="I505" s="10">
        <v>134</v>
      </c>
      <c r="J505" s="10">
        <v>133</v>
      </c>
      <c r="K505" s="10">
        <v>106</v>
      </c>
      <c r="L505" s="10">
        <v>124</v>
      </c>
      <c r="M505" s="10">
        <v>16.8</v>
      </c>
      <c r="N505" s="10">
        <v>1604</v>
      </c>
      <c r="O505" s="10">
        <v>1.17</v>
      </c>
      <c r="P505" s="10">
        <v>1872</v>
      </c>
      <c r="Q505" s="10">
        <v>182</v>
      </c>
      <c r="R505" s="10">
        <v>88</v>
      </c>
      <c r="S505" s="10">
        <v>53</v>
      </c>
      <c r="T505" s="10">
        <v>275</v>
      </c>
      <c r="U505" s="10">
        <v>20</v>
      </c>
      <c r="V505" s="10">
        <v>179</v>
      </c>
      <c r="W505" s="10">
        <v>0.378</v>
      </c>
      <c r="X505" s="10">
        <v>179</v>
      </c>
      <c r="Y505" s="10">
        <v>111</v>
      </c>
      <c r="Z505" s="10">
        <v>96</v>
      </c>
      <c r="AA505" s="10">
        <v>5</v>
      </c>
      <c r="AB505" s="10">
        <v>10.6</v>
      </c>
      <c r="AC505" s="9" t="s">
        <v>169</v>
      </c>
      <c r="AD505" s="9" t="s">
        <v>178</v>
      </c>
      <c r="AE505" s="9" t="s">
        <v>185</v>
      </c>
      <c r="AF505" s="10"/>
      <c r="AG505" s="10"/>
    </row>
    <row r="506" spans="1:33">
      <c r="A506" s="7" t="s">
        <v>155</v>
      </c>
      <c r="B506" s="8" t="s">
        <v>205</v>
      </c>
      <c r="C506" s="9" t="s">
        <v>325</v>
      </c>
      <c r="D506" s="10">
        <v>172</v>
      </c>
      <c r="E506" s="9" t="s">
        <v>163</v>
      </c>
      <c r="F506" s="10">
        <v>172</v>
      </c>
      <c r="G506" s="10">
        <v>170.6</v>
      </c>
      <c r="H506" s="10">
        <v>123</v>
      </c>
      <c r="I506" s="10">
        <v>139</v>
      </c>
      <c r="J506" s="10">
        <v>134</v>
      </c>
      <c r="K506" s="10">
        <v>106</v>
      </c>
      <c r="L506" s="10">
        <v>124</v>
      </c>
      <c r="M506" s="10">
        <v>19</v>
      </c>
      <c r="N506" s="10">
        <v>1685</v>
      </c>
      <c r="O506" s="10">
        <v>1.1599999999999999</v>
      </c>
      <c r="P506" s="10">
        <v>1962</v>
      </c>
      <c r="Q506" s="10">
        <v>218</v>
      </c>
      <c r="R506" s="10">
        <v>103</v>
      </c>
      <c r="S506" s="10">
        <v>55</v>
      </c>
      <c r="T506" s="10">
        <v>296</v>
      </c>
      <c r="U506" s="10">
        <v>23</v>
      </c>
      <c r="V506" s="10">
        <v>184</v>
      </c>
      <c r="W506" s="10">
        <v>0.41899999999999998</v>
      </c>
      <c r="X506" s="10">
        <v>194</v>
      </c>
      <c r="Y506" s="10">
        <v>121</v>
      </c>
      <c r="Z506" s="10">
        <v>102</v>
      </c>
      <c r="AA506" s="10">
        <v>6</v>
      </c>
      <c r="AB506" s="10">
        <v>11.1</v>
      </c>
      <c r="AC506" s="9" t="s">
        <v>169</v>
      </c>
      <c r="AD506" s="9" t="s">
        <v>185</v>
      </c>
      <c r="AE506" s="10"/>
      <c r="AF506" s="10"/>
      <c r="AG506" s="10"/>
    </row>
    <row r="507" spans="1:33">
      <c r="A507" s="7" t="s">
        <v>155</v>
      </c>
      <c r="B507" s="8" t="s">
        <v>205</v>
      </c>
      <c r="C507" s="9" t="s">
        <v>553</v>
      </c>
      <c r="D507" s="10">
        <v>179</v>
      </c>
      <c r="E507" s="9" t="s">
        <v>158</v>
      </c>
      <c r="F507" s="10">
        <v>179</v>
      </c>
      <c r="G507" s="10">
        <v>177.4</v>
      </c>
      <c r="H507" s="10">
        <v>111</v>
      </c>
      <c r="I507" s="10">
        <v>143</v>
      </c>
      <c r="J507" s="10">
        <v>140</v>
      </c>
      <c r="K507" s="10">
        <v>115</v>
      </c>
      <c r="L507" s="10">
        <v>131</v>
      </c>
      <c r="M507" s="10">
        <v>21.9</v>
      </c>
      <c r="N507" s="10">
        <v>1717</v>
      </c>
      <c r="O507" s="10">
        <v>1.28</v>
      </c>
      <c r="P507" s="10">
        <v>2191</v>
      </c>
      <c r="Q507" s="10">
        <v>207</v>
      </c>
      <c r="R507" s="10">
        <v>89</v>
      </c>
      <c r="S507" s="10">
        <v>64</v>
      </c>
      <c r="T507" s="10">
        <v>368</v>
      </c>
      <c r="U507" s="10">
        <v>20</v>
      </c>
      <c r="V507" s="10">
        <v>292</v>
      </c>
      <c r="W507" s="10">
        <v>0.315</v>
      </c>
      <c r="X507" s="10">
        <v>212</v>
      </c>
      <c r="Y507" s="10">
        <v>135</v>
      </c>
      <c r="Z507" s="10">
        <v>156</v>
      </c>
      <c r="AA507" s="10">
        <v>3</v>
      </c>
      <c r="AB507" s="10">
        <v>12.2</v>
      </c>
      <c r="AC507" s="9" t="s">
        <v>178</v>
      </c>
      <c r="AD507" s="9" t="s">
        <v>185</v>
      </c>
      <c r="AE507" s="9" t="s">
        <v>198</v>
      </c>
      <c r="AF507" s="10"/>
      <c r="AG507" s="10"/>
    </row>
    <row r="508" spans="1:33">
      <c r="A508" s="7" t="s">
        <v>155</v>
      </c>
      <c r="B508" s="8" t="s">
        <v>205</v>
      </c>
      <c r="C508" s="9" t="s">
        <v>899</v>
      </c>
      <c r="D508" s="10">
        <v>145</v>
      </c>
      <c r="E508" s="9" t="s">
        <v>385</v>
      </c>
      <c r="F508" s="10">
        <v>145</v>
      </c>
      <c r="G508" s="10">
        <v>143.69999999999999</v>
      </c>
      <c r="H508" s="10">
        <v>103</v>
      </c>
      <c r="I508" s="10">
        <v>120</v>
      </c>
      <c r="J508" s="10">
        <v>114</v>
      </c>
      <c r="K508" s="10">
        <v>83</v>
      </c>
      <c r="L508" s="10">
        <v>110</v>
      </c>
      <c r="M508" s="10">
        <v>11.9</v>
      </c>
      <c r="N508" s="10">
        <v>1202</v>
      </c>
      <c r="O508" s="10">
        <v>1.1299999999999999</v>
      </c>
      <c r="P508" s="10">
        <v>1355</v>
      </c>
      <c r="Q508" s="10">
        <v>108</v>
      </c>
      <c r="R508" s="10">
        <v>33</v>
      </c>
      <c r="S508" s="10">
        <v>44</v>
      </c>
      <c r="T508" s="10">
        <v>208</v>
      </c>
      <c r="U508" s="10">
        <v>38</v>
      </c>
      <c r="V508" s="10">
        <v>199</v>
      </c>
      <c r="W508" s="10">
        <v>0.85599999999999998</v>
      </c>
      <c r="X508" s="10">
        <v>123</v>
      </c>
      <c r="Y508" s="10">
        <v>110</v>
      </c>
      <c r="Z508" s="10">
        <v>85</v>
      </c>
      <c r="AA508" s="10">
        <v>9</v>
      </c>
      <c r="AB508" s="10">
        <v>3</v>
      </c>
      <c r="AC508" s="9" t="s">
        <v>188</v>
      </c>
      <c r="AD508" s="9" t="s">
        <v>184</v>
      </c>
      <c r="AE508" s="9" t="s">
        <v>185</v>
      </c>
      <c r="AF508" s="10"/>
      <c r="AG508" s="10"/>
    </row>
    <row r="509" spans="1:33">
      <c r="A509" s="7" t="s">
        <v>155</v>
      </c>
      <c r="B509" s="8" t="s">
        <v>205</v>
      </c>
      <c r="C509" s="9" t="s">
        <v>259</v>
      </c>
      <c r="D509" s="10">
        <v>166</v>
      </c>
      <c r="E509" s="9" t="s">
        <v>158</v>
      </c>
      <c r="F509" s="10">
        <v>166</v>
      </c>
      <c r="G509" s="10">
        <v>163.9</v>
      </c>
      <c r="H509" s="10">
        <v>108</v>
      </c>
      <c r="I509" s="10">
        <v>138</v>
      </c>
      <c r="J509" s="10">
        <v>131</v>
      </c>
      <c r="K509" s="10">
        <v>102</v>
      </c>
      <c r="L509" s="10">
        <v>127</v>
      </c>
      <c r="M509" s="10">
        <v>16.2</v>
      </c>
      <c r="N509" s="10">
        <v>1726</v>
      </c>
      <c r="O509" s="10">
        <v>1.06</v>
      </c>
      <c r="P509" s="10">
        <v>1831</v>
      </c>
      <c r="Q509" s="10">
        <v>204</v>
      </c>
      <c r="R509" s="10">
        <v>92</v>
      </c>
      <c r="S509" s="10">
        <v>51</v>
      </c>
      <c r="T509" s="10">
        <v>285</v>
      </c>
      <c r="U509" s="10">
        <v>51</v>
      </c>
      <c r="V509" s="10">
        <v>278</v>
      </c>
      <c r="W509" s="10">
        <v>0.99299999999999999</v>
      </c>
      <c r="X509" s="10">
        <v>133</v>
      </c>
      <c r="Y509" s="10">
        <v>130</v>
      </c>
      <c r="Z509" s="10">
        <v>151</v>
      </c>
      <c r="AA509" s="10">
        <v>6</v>
      </c>
      <c r="AB509" s="10">
        <v>3.8</v>
      </c>
      <c r="AC509" s="9" t="s">
        <v>184</v>
      </c>
      <c r="AD509" s="9" t="s">
        <v>169</v>
      </c>
      <c r="AE509" s="9" t="s">
        <v>185</v>
      </c>
      <c r="AF509" s="10"/>
      <c r="AG509" s="10"/>
    </row>
    <row r="510" spans="1:33">
      <c r="A510" s="7" t="s">
        <v>155</v>
      </c>
      <c r="B510" s="8" t="s">
        <v>205</v>
      </c>
      <c r="C510" s="9" t="s">
        <v>259</v>
      </c>
      <c r="D510" s="10">
        <v>173</v>
      </c>
      <c r="E510" s="9" t="s">
        <v>158</v>
      </c>
      <c r="F510" s="10">
        <v>173</v>
      </c>
      <c r="G510" s="10">
        <v>171.1</v>
      </c>
      <c r="H510" s="10">
        <v>112</v>
      </c>
      <c r="I510" s="10">
        <v>145</v>
      </c>
      <c r="J510" s="10">
        <v>131</v>
      </c>
      <c r="K510" s="10">
        <v>102</v>
      </c>
      <c r="L510" s="10">
        <v>127</v>
      </c>
      <c r="M510" s="10">
        <v>18.100000000000001</v>
      </c>
      <c r="N510" s="10">
        <v>1782</v>
      </c>
      <c r="O510" s="10">
        <v>1.07</v>
      </c>
      <c r="P510" s="10">
        <v>1913</v>
      </c>
      <c r="Q510" s="10">
        <v>213</v>
      </c>
      <c r="R510" s="10">
        <v>96</v>
      </c>
      <c r="S510" s="10">
        <v>57</v>
      </c>
      <c r="T510" s="10">
        <v>316</v>
      </c>
      <c r="U510" s="10">
        <v>51</v>
      </c>
      <c r="V510" s="10">
        <v>278</v>
      </c>
      <c r="W510" s="10">
        <v>0.88700000000000001</v>
      </c>
      <c r="X510" s="10">
        <v>136</v>
      </c>
      <c r="Y510" s="10">
        <v>123</v>
      </c>
      <c r="Z510" s="10">
        <v>179</v>
      </c>
      <c r="AA510" s="10">
        <v>5</v>
      </c>
      <c r="AB510" s="10">
        <v>4</v>
      </c>
      <c r="AC510" s="9" t="s">
        <v>184</v>
      </c>
      <c r="AD510" s="9" t="s">
        <v>169</v>
      </c>
      <c r="AE510" s="9" t="s">
        <v>185</v>
      </c>
      <c r="AF510" s="10"/>
      <c r="AG510" s="10"/>
    </row>
    <row r="511" spans="1:33">
      <c r="A511" s="7" t="s">
        <v>155</v>
      </c>
      <c r="B511" s="8" t="s">
        <v>205</v>
      </c>
      <c r="C511" s="9" t="s">
        <v>259</v>
      </c>
      <c r="D511" s="10">
        <v>178</v>
      </c>
      <c r="E511" s="9" t="s">
        <v>158</v>
      </c>
      <c r="F511" s="10">
        <v>178</v>
      </c>
      <c r="G511" s="10">
        <v>176.1</v>
      </c>
      <c r="H511" s="10">
        <v>119</v>
      </c>
      <c r="I511" s="10">
        <v>147</v>
      </c>
      <c r="J511" s="10">
        <v>131</v>
      </c>
      <c r="K511" s="10">
        <v>102</v>
      </c>
      <c r="L511" s="10">
        <v>127</v>
      </c>
      <c r="M511" s="10">
        <v>19.399999999999999</v>
      </c>
      <c r="N511" s="10">
        <v>1905</v>
      </c>
      <c r="O511" s="10">
        <v>1.03</v>
      </c>
      <c r="P511" s="10">
        <v>1969</v>
      </c>
      <c r="Q511" s="10">
        <v>227</v>
      </c>
      <c r="R511" s="10">
        <v>97</v>
      </c>
      <c r="S511" s="10">
        <v>55</v>
      </c>
      <c r="T511" s="10">
        <v>302</v>
      </c>
      <c r="U511" s="10">
        <v>49</v>
      </c>
      <c r="V511" s="10">
        <v>270</v>
      </c>
      <c r="W511" s="10">
        <v>0.89100000000000001</v>
      </c>
      <c r="X511" s="10">
        <v>149</v>
      </c>
      <c r="Y511" s="10">
        <v>141</v>
      </c>
      <c r="Z511" s="10">
        <v>153</v>
      </c>
      <c r="AA511" s="10">
        <v>7</v>
      </c>
      <c r="AB511" s="10">
        <v>4.5999999999999996</v>
      </c>
      <c r="AC511" s="9" t="s">
        <v>184</v>
      </c>
      <c r="AD511" s="9" t="s">
        <v>169</v>
      </c>
      <c r="AE511" s="10"/>
      <c r="AF511" s="10"/>
      <c r="AG511" s="10"/>
    </row>
    <row r="512" spans="1:33">
      <c r="A512" s="7" t="s">
        <v>155</v>
      </c>
      <c r="B512" s="8" t="s">
        <v>205</v>
      </c>
      <c r="C512" s="9" t="s">
        <v>259</v>
      </c>
      <c r="D512" s="10">
        <v>183</v>
      </c>
      <c r="E512" s="9" t="s">
        <v>158</v>
      </c>
      <c r="F512" s="10">
        <v>183</v>
      </c>
      <c r="G512" s="10">
        <v>181.1</v>
      </c>
      <c r="H512" s="10">
        <v>120</v>
      </c>
      <c r="I512" s="10">
        <v>154</v>
      </c>
      <c r="J512" s="10">
        <v>131</v>
      </c>
      <c r="K512" s="10">
        <v>101</v>
      </c>
      <c r="L512" s="10">
        <v>127</v>
      </c>
      <c r="M512" s="10">
        <v>20.7</v>
      </c>
      <c r="N512" s="10">
        <v>1912</v>
      </c>
      <c r="O512" s="10">
        <v>1.06</v>
      </c>
      <c r="P512" s="10">
        <v>2023</v>
      </c>
      <c r="Q512" s="10">
        <v>245</v>
      </c>
      <c r="R512" s="10">
        <v>102</v>
      </c>
      <c r="S512" s="10">
        <v>54</v>
      </c>
      <c r="T512" s="10">
        <v>320</v>
      </c>
      <c r="U512" s="10">
        <v>49</v>
      </c>
      <c r="V512" s="10">
        <v>291</v>
      </c>
      <c r="W512" s="10">
        <v>0.90900000000000003</v>
      </c>
      <c r="X512" s="10">
        <v>143</v>
      </c>
      <c r="Y512" s="10">
        <v>130</v>
      </c>
      <c r="Z512" s="10">
        <v>177</v>
      </c>
      <c r="AA512" s="10">
        <v>6</v>
      </c>
      <c r="AB512" s="10">
        <v>4.0999999999999996</v>
      </c>
      <c r="AC512" s="9" t="s">
        <v>184</v>
      </c>
      <c r="AD512" s="9" t="s">
        <v>169</v>
      </c>
      <c r="AE512" s="9" t="s">
        <v>185</v>
      </c>
      <c r="AF512" s="10"/>
      <c r="AG512" s="10"/>
    </row>
    <row r="513" spans="1:33">
      <c r="A513" s="7" t="s">
        <v>155</v>
      </c>
      <c r="B513" s="8" t="s">
        <v>205</v>
      </c>
      <c r="C513" s="9" t="s">
        <v>868</v>
      </c>
      <c r="D513" s="10">
        <v>159</v>
      </c>
      <c r="E513" s="9" t="s">
        <v>385</v>
      </c>
      <c r="F513" s="10">
        <v>159</v>
      </c>
      <c r="G513" s="10">
        <v>157.1</v>
      </c>
      <c r="H513" s="10">
        <v>110</v>
      </c>
      <c r="I513" s="10">
        <v>132</v>
      </c>
      <c r="J513" s="10">
        <v>128</v>
      </c>
      <c r="K513" s="10">
        <v>97</v>
      </c>
      <c r="L513" s="10">
        <v>124</v>
      </c>
      <c r="M513" s="10">
        <v>13.8</v>
      </c>
      <c r="N513" s="10">
        <v>1435</v>
      </c>
      <c r="O513" s="10">
        <v>1.18</v>
      </c>
      <c r="P513" s="10">
        <v>1700</v>
      </c>
      <c r="Q513" s="10">
        <v>130</v>
      </c>
      <c r="R513" s="10">
        <v>44</v>
      </c>
      <c r="S513" s="10">
        <v>55</v>
      </c>
      <c r="T513" s="10">
        <v>240</v>
      </c>
      <c r="U513" s="10">
        <v>46</v>
      </c>
      <c r="V513" s="10">
        <v>232</v>
      </c>
      <c r="W513" s="10">
        <v>0.83699999999999997</v>
      </c>
      <c r="X513" s="10">
        <v>131</v>
      </c>
      <c r="Y513" s="10">
        <v>123</v>
      </c>
      <c r="Z513" s="10">
        <v>108</v>
      </c>
      <c r="AA513" s="10">
        <v>5</v>
      </c>
      <c r="AB513" s="10">
        <v>3.2</v>
      </c>
      <c r="AC513" s="9" t="s">
        <v>188</v>
      </c>
      <c r="AD513" s="9" t="s">
        <v>184</v>
      </c>
      <c r="AE513" s="9" t="s">
        <v>185</v>
      </c>
      <c r="AF513" s="10"/>
      <c r="AG513" s="10"/>
    </row>
    <row r="514" spans="1:33">
      <c r="A514" s="7" t="s">
        <v>155</v>
      </c>
      <c r="B514" s="8" t="s">
        <v>205</v>
      </c>
      <c r="C514" s="9" t="s">
        <v>242</v>
      </c>
      <c r="D514" s="10">
        <v>178</v>
      </c>
      <c r="E514" s="9" t="s">
        <v>158</v>
      </c>
      <c r="F514" s="10">
        <v>178</v>
      </c>
      <c r="G514" s="10">
        <v>176.4</v>
      </c>
      <c r="H514" s="10">
        <v>111</v>
      </c>
      <c r="I514" s="10">
        <v>147</v>
      </c>
      <c r="J514" s="10">
        <v>139</v>
      </c>
      <c r="K514" s="10">
        <v>111</v>
      </c>
      <c r="L514" s="10">
        <v>133</v>
      </c>
      <c r="M514" s="10">
        <v>20</v>
      </c>
      <c r="N514" s="10">
        <v>1931</v>
      </c>
      <c r="O514" s="10">
        <v>1.1000000000000001</v>
      </c>
      <c r="P514" s="10">
        <v>2119</v>
      </c>
      <c r="Q514" s="10">
        <v>221</v>
      </c>
      <c r="R514" s="10">
        <v>106</v>
      </c>
      <c r="S514" s="10">
        <v>59</v>
      </c>
      <c r="T514" s="10">
        <v>346</v>
      </c>
      <c r="U514" s="10">
        <v>52</v>
      </c>
      <c r="V514" s="10">
        <v>305</v>
      </c>
      <c r="W514" s="10">
        <v>0.88200000000000001</v>
      </c>
      <c r="X514" s="10">
        <v>148</v>
      </c>
      <c r="Y514" s="10">
        <v>147</v>
      </c>
      <c r="Z514" s="10">
        <v>198</v>
      </c>
      <c r="AA514" s="10">
        <v>6</v>
      </c>
      <c r="AB514" s="10">
        <v>5.6</v>
      </c>
      <c r="AC514" s="9" t="s">
        <v>184</v>
      </c>
      <c r="AD514" s="9" t="s">
        <v>169</v>
      </c>
      <c r="AE514" s="9" t="s">
        <v>185</v>
      </c>
      <c r="AF514" s="10"/>
      <c r="AG514" s="10"/>
    </row>
    <row r="515" spans="1:33">
      <c r="A515" s="7" t="s">
        <v>155</v>
      </c>
      <c r="B515" s="8" t="s">
        <v>205</v>
      </c>
      <c r="C515" s="9" t="s">
        <v>242</v>
      </c>
      <c r="D515" s="10">
        <v>184</v>
      </c>
      <c r="E515" s="9" t="s">
        <v>158</v>
      </c>
      <c r="F515" s="10">
        <v>184</v>
      </c>
      <c r="G515" s="10">
        <v>182.3</v>
      </c>
      <c r="H515" s="10">
        <v>113</v>
      </c>
      <c r="I515" s="10">
        <v>153</v>
      </c>
      <c r="J515" s="10">
        <v>139</v>
      </c>
      <c r="K515" s="10">
        <v>111</v>
      </c>
      <c r="L515" s="10">
        <v>133</v>
      </c>
      <c r="M515" s="10">
        <v>21.9</v>
      </c>
      <c r="N515" s="10">
        <v>2007</v>
      </c>
      <c r="O515" s="10">
        <v>1.0900000000000001</v>
      </c>
      <c r="P515" s="10">
        <v>2189</v>
      </c>
      <c r="Q515" s="10">
        <v>237</v>
      </c>
      <c r="R515" s="10">
        <v>115</v>
      </c>
      <c r="S515" s="10">
        <v>57</v>
      </c>
      <c r="T515" s="10">
        <v>370</v>
      </c>
      <c r="U515" s="10">
        <v>52</v>
      </c>
      <c r="V515" s="10">
        <v>325</v>
      </c>
      <c r="W515" s="10">
        <v>0.92200000000000004</v>
      </c>
      <c r="X515" s="10">
        <v>158</v>
      </c>
      <c r="Y515" s="10">
        <v>132</v>
      </c>
      <c r="Z515" s="10">
        <v>212</v>
      </c>
      <c r="AA515" s="10">
        <v>5</v>
      </c>
      <c r="AB515" s="10">
        <v>6.1</v>
      </c>
      <c r="AC515" s="9" t="s">
        <v>184</v>
      </c>
      <c r="AD515" s="9" t="s">
        <v>169</v>
      </c>
      <c r="AE515" s="9" t="s">
        <v>185</v>
      </c>
      <c r="AF515" s="10"/>
      <c r="AG515" s="10"/>
    </row>
    <row r="516" spans="1:33">
      <c r="A516" s="7" t="s">
        <v>155</v>
      </c>
      <c r="B516" s="8" t="s">
        <v>205</v>
      </c>
      <c r="C516" s="9" t="s">
        <v>663</v>
      </c>
      <c r="D516" s="10">
        <v>170</v>
      </c>
      <c r="E516" s="9" t="s">
        <v>158</v>
      </c>
      <c r="F516" s="10">
        <v>170</v>
      </c>
      <c r="G516" s="10">
        <v>168.5</v>
      </c>
      <c r="H516" s="10">
        <v>130</v>
      </c>
      <c r="I516" s="10">
        <v>144</v>
      </c>
      <c r="J516" s="10">
        <v>119</v>
      </c>
      <c r="K516" s="10">
        <v>85</v>
      </c>
      <c r="L516" s="10">
        <v>109</v>
      </c>
      <c r="M516" s="10">
        <v>16.600000000000001</v>
      </c>
      <c r="N516" s="10">
        <v>1686</v>
      </c>
      <c r="O516" s="10">
        <v>0.97</v>
      </c>
      <c r="P516" s="10">
        <v>1628</v>
      </c>
      <c r="Q516" s="10">
        <v>208</v>
      </c>
      <c r="R516" s="10">
        <v>127</v>
      </c>
      <c r="S516" s="10">
        <v>49</v>
      </c>
      <c r="T516" s="10">
        <v>223</v>
      </c>
      <c r="U516" s="10">
        <v>20</v>
      </c>
      <c r="V516" s="10">
        <v>158</v>
      </c>
      <c r="W516" s="10">
        <v>0.41199999999999998</v>
      </c>
      <c r="X516" s="10">
        <v>154</v>
      </c>
      <c r="Y516" s="10">
        <v>90</v>
      </c>
      <c r="Z516" s="10">
        <v>69</v>
      </c>
      <c r="AA516" s="10">
        <v>7</v>
      </c>
      <c r="AB516" s="10">
        <v>10.1</v>
      </c>
      <c r="AC516" s="9" t="s">
        <v>231</v>
      </c>
      <c r="AD516" s="9" t="s">
        <v>188</v>
      </c>
      <c r="AE516" s="10"/>
      <c r="AF516" s="10"/>
      <c r="AG516" s="10"/>
    </row>
    <row r="517" spans="1:33">
      <c r="A517" s="7" t="s">
        <v>155</v>
      </c>
      <c r="B517" s="8" t="s">
        <v>205</v>
      </c>
      <c r="C517" s="9" t="s">
        <v>663</v>
      </c>
      <c r="D517" s="10">
        <v>178</v>
      </c>
      <c r="E517" s="9" t="s">
        <v>158</v>
      </c>
      <c r="F517" s="10">
        <v>178</v>
      </c>
      <c r="G517" s="10">
        <v>176.4</v>
      </c>
      <c r="H517" s="10">
        <v>135</v>
      </c>
      <c r="I517" s="10">
        <v>151</v>
      </c>
      <c r="J517" s="10">
        <v>119</v>
      </c>
      <c r="K517" s="10">
        <v>85</v>
      </c>
      <c r="L517" s="10">
        <v>109</v>
      </c>
      <c r="M517" s="10">
        <v>18.7</v>
      </c>
      <c r="N517" s="10">
        <v>1694</v>
      </c>
      <c r="O517" s="10">
        <v>1.01</v>
      </c>
      <c r="P517" s="10">
        <v>1703</v>
      </c>
      <c r="Q517" s="10">
        <v>243</v>
      </c>
      <c r="R517" s="10">
        <v>143</v>
      </c>
      <c r="S517" s="10">
        <v>51</v>
      </c>
      <c r="T517" s="10">
        <v>247</v>
      </c>
      <c r="U517" s="10">
        <v>20</v>
      </c>
      <c r="V517" s="10">
        <v>166</v>
      </c>
      <c r="W517" s="10">
        <v>0.39</v>
      </c>
      <c r="X517" s="10">
        <v>155</v>
      </c>
      <c r="Y517" s="10">
        <v>97</v>
      </c>
      <c r="Z517" s="10">
        <v>91</v>
      </c>
      <c r="AA517" s="10">
        <v>8</v>
      </c>
      <c r="AB517" s="10">
        <v>9.5</v>
      </c>
      <c r="AC517" s="9" t="s">
        <v>231</v>
      </c>
      <c r="AD517" s="9" t="s">
        <v>188</v>
      </c>
      <c r="AE517" s="10"/>
      <c r="AF517" s="10"/>
      <c r="AG517" s="10"/>
    </row>
    <row r="518" spans="1:33">
      <c r="A518" s="7" t="s">
        <v>155</v>
      </c>
      <c r="B518" s="8" t="s">
        <v>205</v>
      </c>
      <c r="C518" s="9" t="s">
        <v>436</v>
      </c>
      <c r="D518" s="10">
        <v>162</v>
      </c>
      <c r="E518" s="9" t="s">
        <v>163</v>
      </c>
      <c r="F518" s="10">
        <v>162</v>
      </c>
      <c r="G518" s="10">
        <v>160.30000000000001</v>
      </c>
      <c r="H518" s="10">
        <v>122</v>
      </c>
      <c r="I518" s="10">
        <v>136</v>
      </c>
      <c r="J518" s="10">
        <v>120</v>
      </c>
      <c r="K518" s="10">
        <v>86</v>
      </c>
      <c r="L518" s="10">
        <v>110</v>
      </c>
      <c r="M518" s="10">
        <v>15</v>
      </c>
      <c r="N518" s="10">
        <v>1574</v>
      </c>
      <c r="O518" s="10">
        <v>0.99</v>
      </c>
      <c r="P518" s="10">
        <v>1561</v>
      </c>
      <c r="Q518" s="10">
        <v>190</v>
      </c>
      <c r="R518" s="10">
        <v>116</v>
      </c>
      <c r="S518" s="10">
        <v>50</v>
      </c>
      <c r="T518" s="10">
        <v>230</v>
      </c>
      <c r="U518" s="10">
        <v>20</v>
      </c>
      <c r="V518" s="10">
        <v>150</v>
      </c>
      <c r="W518" s="10">
        <v>0.40400000000000003</v>
      </c>
      <c r="X518" s="10">
        <v>154</v>
      </c>
      <c r="Y518" s="10">
        <v>88</v>
      </c>
      <c r="Z518" s="10">
        <v>76</v>
      </c>
      <c r="AA518" s="10">
        <v>6</v>
      </c>
      <c r="AB518" s="10">
        <v>9.4</v>
      </c>
      <c r="AC518" s="9" t="s">
        <v>188</v>
      </c>
      <c r="AD518" s="10"/>
      <c r="AE518" s="10"/>
      <c r="AF518" s="10"/>
      <c r="AG518" s="10"/>
    </row>
    <row r="519" spans="1:33">
      <c r="A519" s="7" t="s">
        <v>155</v>
      </c>
      <c r="B519" s="8" t="s">
        <v>205</v>
      </c>
      <c r="C519" s="9" t="s">
        <v>378</v>
      </c>
      <c r="D519" s="10">
        <v>163</v>
      </c>
      <c r="E519" s="9" t="s">
        <v>158</v>
      </c>
      <c r="F519" s="10">
        <v>163</v>
      </c>
      <c r="G519" s="10">
        <v>163</v>
      </c>
      <c r="H519" s="10">
        <v>119</v>
      </c>
      <c r="I519" s="10">
        <v>135</v>
      </c>
      <c r="J519" s="10">
        <v>127</v>
      </c>
      <c r="K519" s="10">
        <v>96</v>
      </c>
      <c r="L519" s="10">
        <v>117</v>
      </c>
      <c r="M519" s="10">
        <v>15.6</v>
      </c>
      <c r="N519" s="10">
        <v>1699</v>
      </c>
      <c r="O519" s="10">
        <v>1.02</v>
      </c>
      <c r="P519" s="10">
        <v>1730</v>
      </c>
      <c r="Q519" s="10">
        <v>183</v>
      </c>
      <c r="R519" s="10">
        <v>117</v>
      </c>
      <c r="S519" s="10">
        <v>56</v>
      </c>
      <c r="T519" s="10">
        <v>253</v>
      </c>
      <c r="U519" s="10">
        <v>25</v>
      </c>
      <c r="V519" s="10">
        <v>184</v>
      </c>
      <c r="W519" s="10">
        <v>0.45600000000000002</v>
      </c>
      <c r="X519" s="10">
        <v>162</v>
      </c>
      <c r="Y519" s="10">
        <v>120</v>
      </c>
      <c r="Z519" s="10">
        <v>91</v>
      </c>
      <c r="AA519" s="10">
        <v>5</v>
      </c>
      <c r="AB519" s="10">
        <v>9.9</v>
      </c>
      <c r="AC519" s="9" t="s">
        <v>188</v>
      </c>
      <c r="AD519" s="10"/>
      <c r="AE519" s="10"/>
      <c r="AF519" s="10"/>
      <c r="AG519" s="10"/>
    </row>
    <row r="520" spans="1:33">
      <c r="A520" s="7" t="s">
        <v>155</v>
      </c>
      <c r="B520" s="8" t="s">
        <v>205</v>
      </c>
      <c r="C520" s="9" t="s">
        <v>378</v>
      </c>
      <c r="D520" s="10">
        <v>171</v>
      </c>
      <c r="E520" s="9" t="s">
        <v>158</v>
      </c>
      <c r="F520" s="10">
        <v>171</v>
      </c>
      <c r="G520" s="10">
        <v>169.5</v>
      </c>
      <c r="H520" s="10">
        <v>128</v>
      </c>
      <c r="I520" s="10">
        <v>141</v>
      </c>
      <c r="J520" s="10">
        <v>126</v>
      </c>
      <c r="K520" s="10">
        <v>95</v>
      </c>
      <c r="L520" s="10">
        <v>116</v>
      </c>
      <c r="M520" s="10">
        <v>17.600000000000001</v>
      </c>
      <c r="N520" s="10">
        <v>1848</v>
      </c>
      <c r="O520" s="10">
        <v>0.97</v>
      </c>
      <c r="P520" s="10">
        <v>1789</v>
      </c>
      <c r="Q520" s="10">
        <v>226</v>
      </c>
      <c r="R520" s="10">
        <v>130</v>
      </c>
      <c r="S520" s="10">
        <v>52</v>
      </c>
      <c r="T520" s="10">
        <v>240</v>
      </c>
      <c r="U520" s="10">
        <v>22</v>
      </c>
      <c r="V520" s="10">
        <v>177</v>
      </c>
      <c r="W520" s="10">
        <v>0.42</v>
      </c>
      <c r="X520" s="10">
        <v>176</v>
      </c>
      <c r="Y520" s="10">
        <v>105</v>
      </c>
      <c r="Z520" s="10">
        <v>64</v>
      </c>
      <c r="AA520" s="10">
        <v>8</v>
      </c>
      <c r="AB520" s="10">
        <v>10.9</v>
      </c>
      <c r="AC520" s="9" t="s">
        <v>188</v>
      </c>
      <c r="AD520" s="10"/>
      <c r="AE520" s="10"/>
      <c r="AF520" s="10"/>
      <c r="AG520" s="10"/>
    </row>
    <row r="521" spans="1:33">
      <c r="A521" s="7" t="s">
        <v>155</v>
      </c>
      <c r="B521" s="8" t="s">
        <v>205</v>
      </c>
      <c r="C521" s="9" t="s">
        <v>378</v>
      </c>
      <c r="D521" s="10">
        <v>179</v>
      </c>
      <c r="E521" s="9" t="s">
        <v>158</v>
      </c>
      <c r="F521" s="10">
        <v>179</v>
      </c>
      <c r="G521" s="10">
        <v>177.5</v>
      </c>
      <c r="H521" s="10">
        <v>135</v>
      </c>
      <c r="I521" s="10">
        <v>151</v>
      </c>
      <c r="J521" s="10">
        <v>127</v>
      </c>
      <c r="K521" s="10">
        <v>96</v>
      </c>
      <c r="L521" s="10">
        <v>117</v>
      </c>
      <c r="M521" s="10">
        <v>19.600000000000001</v>
      </c>
      <c r="N521" s="10">
        <v>1844</v>
      </c>
      <c r="O521" s="10">
        <v>1.02</v>
      </c>
      <c r="P521" s="10">
        <v>1887</v>
      </c>
      <c r="Q521" s="10">
        <v>241</v>
      </c>
      <c r="R521" s="10">
        <v>151</v>
      </c>
      <c r="S521" s="10">
        <v>53</v>
      </c>
      <c r="T521" s="10">
        <v>259</v>
      </c>
      <c r="U521" s="10">
        <v>19</v>
      </c>
      <c r="V521" s="10">
        <v>171</v>
      </c>
      <c r="W521" s="10">
        <v>0.35799999999999998</v>
      </c>
      <c r="X521" s="10">
        <v>165</v>
      </c>
      <c r="Y521" s="10">
        <v>103</v>
      </c>
      <c r="Z521" s="10">
        <v>94</v>
      </c>
      <c r="AA521" s="10">
        <v>9</v>
      </c>
      <c r="AB521" s="10">
        <v>11.1</v>
      </c>
      <c r="AC521" s="9" t="s">
        <v>188</v>
      </c>
      <c r="AD521" s="10"/>
      <c r="AE521" s="10"/>
      <c r="AF521" s="10"/>
      <c r="AG521" s="10"/>
    </row>
    <row r="522" spans="1:33">
      <c r="A522" s="7" t="s">
        <v>155</v>
      </c>
      <c r="B522" s="8" t="s">
        <v>205</v>
      </c>
      <c r="C522" s="9" t="s">
        <v>515</v>
      </c>
      <c r="D522" s="10">
        <v>163</v>
      </c>
      <c r="E522" s="9" t="s">
        <v>163</v>
      </c>
      <c r="F522" s="10">
        <v>163</v>
      </c>
      <c r="G522" s="10">
        <v>161.6</v>
      </c>
      <c r="H522" s="10">
        <v>119</v>
      </c>
      <c r="I522" s="10">
        <v>134</v>
      </c>
      <c r="J522" s="10">
        <v>127</v>
      </c>
      <c r="K522" s="10">
        <v>96</v>
      </c>
      <c r="L522" s="10">
        <v>117</v>
      </c>
      <c r="M522" s="10">
        <v>15.4</v>
      </c>
      <c r="N522" s="10">
        <v>1753</v>
      </c>
      <c r="O522" s="10">
        <v>0.98</v>
      </c>
      <c r="P522" s="10">
        <v>1719</v>
      </c>
      <c r="Q522" s="10">
        <v>197</v>
      </c>
      <c r="R522" s="10">
        <v>122</v>
      </c>
      <c r="S522" s="10">
        <v>54</v>
      </c>
      <c r="T522" s="10">
        <v>252</v>
      </c>
      <c r="U522" s="10">
        <v>20</v>
      </c>
      <c r="V522" s="10">
        <v>170</v>
      </c>
      <c r="W522" s="10">
        <v>0.377</v>
      </c>
      <c r="X522" s="10">
        <v>168</v>
      </c>
      <c r="Y522" s="10">
        <v>108</v>
      </c>
      <c r="Z522" s="10">
        <v>84</v>
      </c>
      <c r="AA522" s="10">
        <v>5</v>
      </c>
      <c r="AB522" s="10">
        <v>10.4</v>
      </c>
      <c r="AC522" s="9" t="s">
        <v>188</v>
      </c>
      <c r="AD522" s="10"/>
      <c r="AE522" s="10"/>
      <c r="AF522" s="10"/>
      <c r="AG522" s="10"/>
    </row>
    <row r="523" spans="1:33">
      <c r="A523" s="7" t="s">
        <v>155</v>
      </c>
      <c r="B523" s="8" t="s">
        <v>205</v>
      </c>
      <c r="C523" s="9" t="s">
        <v>691</v>
      </c>
      <c r="D523" s="10">
        <v>172</v>
      </c>
      <c r="E523" s="9" t="s">
        <v>158</v>
      </c>
      <c r="F523" s="10">
        <v>172</v>
      </c>
      <c r="G523" s="10">
        <v>170.3</v>
      </c>
      <c r="H523" s="10">
        <v>117</v>
      </c>
      <c r="I523" s="10">
        <v>139</v>
      </c>
      <c r="J523" s="10">
        <v>133</v>
      </c>
      <c r="K523" s="10">
        <v>106</v>
      </c>
      <c r="L523" s="10">
        <v>124</v>
      </c>
      <c r="M523" s="10">
        <v>18.899999999999999</v>
      </c>
      <c r="N523" s="10">
        <v>1898</v>
      </c>
      <c r="O523" s="10">
        <v>1.03</v>
      </c>
      <c r="P523" s="10">
        <v>1959</v>
      </c>
      <c r="Q523" s="10">
        <v>210</v>
      </c>
      <c r="R523" s="10">
        <v>136</v>
      </c>
      <c r="S523" s="10">
        <v>63</v>
      </c>
      <c r="T523" s="10">
        <v>325</v>
      </c>
      <c r="U523" s="10">
        <v>22</v>
      </c>
      <c r="V523" s="10">
        <v>212</v>
      </c>
      <c r="W523" s="10">
        <v>0.35399999999999998</v>
      </c>
      <c r="X523" s="10">
        <v>186</v>
      </c>
      <c r="Y523" s="10">
        <v>124</v>
      </c>
      <c r="Z523" s="10">
        <v>138</v>
      </c>
      <c r="AA523" s="10">
        <v>4</v>
      </c>
      <c r="AB523" s="10">
        <v>10.8</v>
      </c>
      <c r="AC523" s="9" t="s">
        <v>169</v>
      </c>
      <c r="AD523" s="9" t="s">
        <v>178</v>
      </c>
      <c r="AE523" s="10"/>
      <c r="AF523" s="10"/>
      <c r="AG523" s="10"/>
    </row>
    <row r="524" spans="1:33">
      <c r="A524" s="7" t="s">
        <v>155</v>
      </c>
      <c r="B524" s="8" t="s">
        <v>205</v>
      </c>
      <c r="C524" s="9" t="s">
        <v>691</v>
      </c>
      <c r="D524" s="10">
        <v>180</v>
      </c>
      <c r="E524" s="9" t="s">
        <v>158</v>
      </c>
      <c r="F524" s="10">
        <v>180</v>
      </c>
      <c r="G524" s="10">
        <v>178.8</v>
      </c>
      <c r="H524" s="10">
        <v>130</v>
      </c>
      <c r="I524" s="10">
        <v>150</v>
      </c>
      <c r="J524" s="10">
        <v>134</v>
      </c>
      <c r="K524" s="10">
        <v>106</v>
      </c>
      <c r="L524" s="10">
        <v>123</v>
      </c>
      <c r="M524" s="10">
        <v>21.1</v>
      </c>
      <c r="N524" s="10">
        <v>2041</v>
      </c>
      <c r="O524" s="10">
        <v>1.01</v>
      </c>
      <c r="P524" s="10">
        <v>2057</v>
      </c>
      <c r="Q524" s="10">
        <v>234</v>
      </c>
      <c r="R524" s="10">
        <v>148</v>
      </c>
      <c r="S524" s="10">
        <v>56</v>
      </c>
      <c r="T524" s="10">
        <v>290</v>
      </c>
      <c r="U524" s="10">
        <v>20</v>
      </c>
      <c r="V524" s="10">
        <v>198</v>
      </c>
      <c r="W524" s="10">
        <v>0.35199999999999998</v>
      </c>
      <c r="X524" s="10">
        <v>182</v>
      </c>
      <c r="Y524" s="10">
        <v>110</v>
      </c>
      <c r="Z524" s="10">
        <v>108</v>
      </c>
      <c r="AA524" s="10">
        <v>7</v>
      </c>
      <c r="AB524" s="10">
        <v>11.1</v>
      </c>
      <c r="AC524" s="9" t="s">
        <v>169</v>
      </c>
      <c r="AD524" s="9" t="s">
        <v>178</v>
      </c>
      <c r="AE524" s="10"/>
      <c r="AF524" s="10"/>
      <c r="AG524" s="10"/>
    </row>
    <row r="525" spans="1:33">
      <c r="A525" s="7" t="s">
        <v>155</v>
      </c>
      <c r="B525" s="8" t="s">
        <v>205</v>
      </c>
      <c r="C525" s="9" t="s">
        <v>347</v>
      </c>
      <c r="D525" s="10">
        <v>154</v>
      </c>
      <c r="E525" s="9" t="s">
        <v>158</v>
      </c>
      <c r="F525" s="10">
        <v>154</v>
      </c>
      <c r="G525" s="10">
        <v>152.30000000000001</v>
      </c>
      <c r="H525" s="10">
        <v>118</v>
      </c>
      <c r="I525" s="10">
        <v>128</v>
      </c>
      <c r="J525" s="10">
        <v>119</v>
      </c>
      <c r="K525" s="10">
        <v>85</v>
      </c>
      <c r="L525" s="10">
        <v>109</v>
      </c>
      <c r="M525" s="10">
        <v>13.2</v>
      </c>
      <c r="N525" s="10">
        <v>1380</v>
      </c>
      <c r="O525" s="10">
        <v>1.07</v>
      </c>
      <c r="P525" s="10">
        <v>1471</v>
      </c>
      <c r="Q525" s="10">
        <v>144</v>
      </c>
      <c r="R525" s="10">
        <v>66</v>
      </c>
      <c r="S525" s="10">
        <v>48</v>
      </c>
      <c r="T525" s="10">
        <v>211</v>
      </c>
      <c r="U525" s="10">
        <v>18</v>
      </c>
      <c r="V525" s="10">
        <v>132</v>
      </c>
      <c r="W525" s="10">
        <v>0.38200000000000001</v>
      </c>
      <c r="X525" s="10">
        <v>151</v>
      </c>
      <c r="Y525" s="10">
        <v>95</v>
      </c>
      <c r="Z525" s="10">
        <v>59</v>
      </c>
      <c r="AA525" s="10">
        <v>10</v>
      </c>
      <c r="AB525" s="10">
        <v>9.1</v>
      </c>
      <c r="AC525" s="9" t="s">
        <v>231</v>
      </c>
      <c r="AD525" s="9" t="s">
        <v>188</v>
      </c>
      <c r="AE525" s="9" t="s">
        <v>185</v>
      </c>
      <c r="AF525" s="10"/>
      <c r="AG525" s="10"/>
    </row>
    <row r="526" spans="1:33">
      <c r="A526" s="7" t="s">
        <v>155</v>
      </c>
      <c r="B526" s="8" t="s">
        <v>205</v>
      </c>
      <c r="C526" s="9" t="s">
        <v>347</v>
      </c>
      <c r="D526" s="10">
        <v>162</v>
      </c>
      <c r="E526" s="9" t="s">
        <v>158</v>
      </c>
      <c r="F526" s="10">
        <v>162</v>
      </c>
      <c r="G526" s="10">
        <v>160.4</v>
      </c>
      <c r="H526" s="10">
        <v>125</v>
      </c>
      <c r="I526" s="10">
        <v>136</v>
      </c>
      <c r="J526" s="10">
        <v>119</v>
      </c>
      <c r="K526" s="10">
        <v>85</v>
      </c>
      <c r="L526" s="10">
        <v>109</v>
      </c>
      <c r="M526" s="10">
        <v>14.9</v>
      </c>
      <c r="N526" s="10">
        <v>1438</v>
      </c>
      <c r="O526" s="10">
        <v>1.08</v>
      </c>
      <c r="P526" s="10">
        <v>1548</v>
      </c>
      <c r="Q526" s="10">
        <v>156</v>
      </c>
      <c r="R526" s="10">
        <v>73</v>
      </c>
      <c r="S526" s="10">
        <v>52</v>
      </c>
      <c r="T526" s="10">
        <v>219</v>
      </c>
      <c r="U526" s="10">
        <v>18</v>
      </c>
      <c r="V526" s="10">
        <v>137</v>
      </c>
      <c r="W526" s="10">
        <v>0.33700000000000002</v>
      </c>
      <c r="X526" s="10">
        <v>152</v>
      </c>
      <c r="Y526" s="10">
        <v>96</v>
      </c>
      <c r="Z526" s="10">
        <v>67</v>
      </c>
      <c r="AA526" s="10">
        <v>9</v>
      </c>
      <c r="AB526" s="10">
        <v>9.5</v>
      </c>
      <c r="AC526" s="9" t="s">
        <v>231</v>
      </c>
      <c r="AD526" s="9" t="s">
        <v>188</v>
      </c>
      <c r="AE526" s="9" t="s">
        <v>185</v>
      </c>
      <c r="AF526" s="10"/>
      <c r="AG526" s="10"/>
    </row>
    <row r="527" spans="1:33">
      <c r="A527" s="7" t="s">
        <v>155</v>
      </c>
      <c r="B527" s="8" t="s">
        <v>205</v>
      </c>
      <c r="C527" s="9" t="s">
        <v>347</v>
      </c>
      <c r="D527" s="10">
        <v>178</v>
      </c>
      <c r="E527" s="9" t="s">
        <v>158</v>
      </c>
      <c r="F527" s="10">
        <v>178</v>
      </c>
      <c r="G527" s="10">
        <v>176.5</v>
      </c>
      <c r="H527" s="10">
        <v>139</v>
      </c>
      <c r="I527" s="10">
        <v>151</v>
      </c>
      <c r="J527" s="10">
        <v>119</v>
      </c>
      <c r="K527" s="10">
        <v>85</v>
      </c>
      <c r="L527" s="10">
        <v>109</v>
      </c>
      <c r="M527" s="10">
        <v>18.8</v>
      </c>
      <c r="N527" s="10">
        <v>1648</v>
      </c>
      <c r="O527" s="10">
        <v>1.03</v>
      </c>
      <c r="P527" s="10">
        <v>1703</v>
      </c>
      <c r="Q527" s="10">
        <v>216</v>
      </c>
      <c r="R527" s="10">
        <v>96</v>
      </c>
      <c r="S527" s="10">
        <v>48</v>
      </c>
      <c r="T527" s="10">
        <v>226</v>
      </c>
      <c r="U527" s="10">
        <v>17</v>
      </c>
      <c r="V527" s="10">
        <v>146</v>
      </c>
      <c r="W527" s="10">
        <v>0.34499999999999997</v>
      </c>
      <c r="X527" s="10">
        <v>157</v>
      </c>
      <c r="Y527" s="10">
        <v>97</v>
      </c>
      <c r="Z527" s="10">
        <v>69</v>
      </c>
      <c r="AA527" s="10">
        <v>9</v>
      </c>
      <c r="AB527" s="10">
        <v>10.3</v>
      </c>
      <c r="AC527" s="9" t="s">
        <v>231</v>
      </c>
      <c r="AD527" s="9" t="s">
        <v>188</v>
      </c>
      <c r="AE527" s="10"/>
      <c r="AF527" s="10"/>
      <c r="AG527" s="10"/>
    </row>
    <row r="528" spans="1:33">
      <c r="A528" s="7" t="s">
        <v>155</v>
      </c>
      <c r="B528" s="8" t="s">
        <v>205</v>
      </c>
      <c r="C528" s="9" t="s">
        <v>279</v>
      </c>
      <c r="D528" s="10">
        <v>171</v>
      </c>
      <c r="E528" s="9" t="s">
        <v>158</v>
      </c>
      <c r="F528" s="10">
        <v>171</v>
      </c>
      <c r="G528" s="10">
        <v>169.4</v>
      </c>
      <c r="H528" s="10">
        <v>127</v>
      </c>
      <c r="I528" s="10">
        <v>142</v>
      </c>
      <c r="J528" s="10">
        <v>126</v>
      </c>
      <c r="K528" s="10">
        <v>94</v>
      </c>
      <c r="L528" s="10">
        <v>116</v>
      </c>
      <c r="M528" s="10">
        <v>17.399999999999999</v>
      </c>
      <c r="N528" s="10">
        <v>1721</v>
      </c>
      <c r="O528" s="10">
        <v>1.04</v>
      </c>
      <c r="P528" s="10">
        <v>1784</v>
      </c>
      <c r="Q528" s="10">
        <v>205</v>
      </c>
      <c r="R528" s="10">
        <v>87</v>
      </c>
      <c r="S528" s="10">
        <v>49</v>
      </c>
      <c r="T528" s="10">
        <v>248</v>
      </c>
      <c r="U528" s="10">
        <v>21</v>
      </c>
      <c r="V528" s="10">
        <v>174</v>
      </c>
      <c r="W528" s="10">
        <v>0.42399999999999999</v>
      </c>
      <c r="X528" s="10">
        <v>172</v>
      </c>
      <c r="Y528" s="10">
        <v>107</v>
      </c>
      <c r="Z528" s="10">
        <v>76</v>
      </c>
      <c r="AA528" s="10">
        <v>9</v>
      </c>
      <c r="AB528" s="10">
        <v>10.9</v>
      </c>
      <c r="AC528" s="9" t="s">
        <v>188</v>
      </c>
      <c r="AD528" s="10"/>
      <c r="AE528" s="10"/>
      <c r="AF528" s="10"/>
      <c r="AG528" s="10"/>
    </row>
    <row r="529" spans="1:33">
      <c r="A529" s="7" t="s">
        <v>155</v>
      </c>
      <c r="B529" s="8" t="s">
        <v>205</v>
      </c>
      <c r="C529" s="9" t="s">
        <v>279</v>
      </c>
      <c r="D529" s="10">
        <v>179</v>
      </c>
      <c r="E529" s="9" t="s">
        <v>158</v>
      </c>
      <c r="F529" s="10">
        <v>179</v>
      </c>
      <c r="G529" s="10">
        <v>177.6</v>
      </c>
      <c r="H529" s="10">
        <v>134</v>
      </c>
      <c r="I529" s="10">
        <v>150</v>
      </c>
      <c r="J529" s="10">
        <v>126</v>
      </c>
      <c r="K529" s="10">
        <v>95</v>
      </c>
      <c r="L529" s="10">
        <v>116</v>
      </c>
      <c r="M529" s="10">
        <v>19.600000000000001</v>
      </c>
      <c r="N529" s="10">
        <v>1784</v>
      </c>
      <c r="O529" s="10">
        <v>1.05</v>
      </c>
      <c r="P529" s="10">
        <v>1869</v>
      </c>
      <c r="Q529" s="10">
        <v>220</v>
      </c>
      <c r="R529" s="10">
        <v>98</v>
      </c>
      <c r="S529" s="10">
        <v>52</v>
      </c>
      <c r="T529" s="10">
        <v>269</v>
      </c>
      <c r="U529" s="10">
        <v>19</v>
      </c>
      <c r="V529" s="10">
        <v>171</v>
      </c>
      <c r="W529" s="10">
        <v>0.36499999999999999</v>
      </c>
      <c r="X529" s="10">
        <v>168</v>
      </c>
      <c r="Y529" s="10">
        <v>107</v>
      </c>
      <c r="Z529" s="10">
        <v>101</v>
      </c>
      <c r="AA529" s="10">
        <v>8</v>
      </c>
      <c r="AB529" s="10">
        <v>11.3</v>
      </c>
      <c r="AC529" s="9" t="s">
        <v>188</v>
      </c>
      <c r="AD529" s="10"/>
      <c r="AE529" s="10"/>
      <c r="AF529" s="10"/>
      <c r="AG529" s="10"/>
    </row>
    <row r="530" spans="1:33">
      <c r="A530" s="7" t="s">
        <v>155</v>
      </c>
      <c r="B530" s="8" t="s">
        <v>205</v>
      </c>
      <c r="C530" s="9" t="s">
        <v>872</v>
      </c>
      <c r="D530" s="10">
        <v>178</v>
      </c>
      <c r="E530" s="9" t="s">
        <v>158</v>
      </c>
      <c r="F530" s="10">
        <v>178</v>
      </c>
      <c r="G530" s="10">
        <v>176.6</v>
      </c>
      <c r="H530" s="10">
        <v>8</v>
      </c>
      <c r="I530" s="10">
        <v>139</v>
      </c>
      <c r="J530" s="10">
        <v>147</v>
      </c>
      <c r="K530" s="10">
        <v>125</v>
      </c>
      <c r="L530" s="10">
        <v>138</v>
      </c>
      <c r="M530" s="10">
        <v>24.8</v>
      </c>
      <c r="N530" s="10">
        <v>1739</v>
      </c>
      <c r="O530" s="10">
        <v>1.34</v>
      </c>
      <c r="P530" s="10">
        <v>2328</v>
      </c>
      <c r="Q530" s="10">
        <v>213</v>
      </c>
      <c r="R530" s="10">
        <v>88</v>
      </c>
      <c r="S530" s="10">
        <v>68</v>
      </c>
      <c r="T530" s="10">
        <v>1012</v>
      </c>
      <c r="U530" s="10">
        <v>30</v>
      </c>
      <c r="V530" s="10">
        <v>676</v>
      </c>
      <c r="W530" s="10">
        <v>0.44500000000000001</v>
      </c>
      <c r="X530" s="10">
        <v>224</v>
      </c>
      <c r="Y530" s="10">
        <v>151</v>
      </c>
      <c r="Z530" s="10">
        <v>788</v>
      </c>
      <c r="AA530" s="10">
        <v>1</v>
      </c>
      <c r="AB530" s="10">
        <v>12.9</v>
      </c>
      <c r="AC530" s="9" t="s">
        <v>169</v>
      </c>
      <c r="AD530" s="9" t="s">
        <v>185</v>
      </c>
      <c r="AE530" s="9" t="s">
        <v>198</v>
      </c>
      <c r="AF530" s="10"/>
      <c r="AG530" s="10"/>
    </row>
    <row r="531" spans="1:33">
      <c r="A531" s="7" t="s">
        <v>155</v>
      </c>
      <c r="B531" s="8" t="s">
        <v>205</v>
      </c>
      <c r="C531" s="9" t="s">
        <v>673</v>
      </c>
      <c r="D531" s="10">
        <v>150</v>
      </c>
      <c r="E531" s="9" t="s">
        <v>158</v>
      </c>
      <c r="F531" s="10">
        <v>150</v>
      </c>
      <c r="G531" s="10">
        <v>148.1</v>
      </c>
      <c r="H531" s="10">
        <v>102</v>
      </c>
      <c r="I531" s="10">
        <v>124</v>
      </c>
      <c r="J531" s="10">
        <v>116</v>
      </c>
      <c r="K531" s="10">
        <v>84</v>
      </c>
      <c r="L531" s="10">
        <v>108</v>
      </c>
      <c r="M531" s="10">
        <v>11.9</v>
      </c>
      <c r="N531" s="10">
        <v>1453</v>
      </c>
      <c r="O531" s="10">
        <v>0.97</v>
      </c>
      <c r="P531" s="10">
        <v>1415</v>
      </c>
      <c r="Q531" s="10">
        <v>123</v>
      </c>
      <c r="R531" s="10">
        <v>54</v>
      </c>
      <c r="S531" s="10">
        <v>50</v>
      </c>
      <c r="T531" s="10">
        <v>262</v>
      </c>
      <c r="U531" s="10">
        <v>37</v>
      </c>
      <c r="V531" s="10">
        <v>203</v>
      </c>
      <c r="W531" s="10">
        <v>0.74299999999999999</v>
      </c>
      <c r="X531" s="10">
        <v>131</v>
      </c>
      <c r="Y531" s="10">
        <v>112</v>
      </c>
      <c r="Z531" s="10">
        <v>130</v>
      </c>
      <c r="AA531" s="10">
        <v>5</v>
      </c>
      <c r="AB531" s="10">
        <v>5.7</v>
      </c>
      <c r="AC531" s="9" t="s">
        <v>188</v>
      </c>
      <c r="AD531" s="10"/>
      <c r="AE531" s="10"/>
      <c r="AF531" s="10"/>
      <c r="AG531" s="10"/>
    </row>
    <row r="532" spans="1:33">
      <c r="A532" s="7" t="s">
        <v>155</v>
      </c>
      <c r="B532" s="8" t="s">
        <v>205</v>
      </c>
      <c r="C532" s="9" t="s">
        <v>673</v>
      </c>
      <c r="D532" s="10">
        <v>157</v>
      </c>
      <c r="E532" s="9" t="s">
        <v>158</v>
      </c>
      <c r="F532" s="10">
        <v>157</v>
      </c>
      <c r="G532" s="10">
        <v>155.19999999999999</v>
      </c>
      <c r="H532" s="10">
        <v>108</v>
      </c>
      <c r="I532" s="10">
        <v>130</v>
      </c>
      <c r="J532" s="10">
        <v>116</v>
      </c>
      <c r="K532" s="10">
        <v>84</v>
      </c>
      <c r="L532" s="10">
        <v>108</v>
      </c>
      <c r="M532" s="10">
        <v>13.3</v>
      </c>
      <c r="N532" s="10">
        <v>1553</v>
      </c>
      <c r="O532" s="10">
        <v>0.95</v>
      </c>
      <c r="P532" s="10">
        <v>1480</v>
      </c>
      <c r="Q532" s="10">
        <v>127</v>
      </c>
      <c r="R532" s="10">
        <v>59</v>
      </c>
      <c r="S532" s="10">
        <v>47</v>
      </c>
      <c r="T532" s="10">
        <v>262</v>
      </c>
      <c r="U532" s="10">
        <v>36</v>
      </c>
      <c r="V532" s="10">
        <v>208</v>
      </c>
      <c r="W532" s="10">
        <v>0.76300000000000001</v>
      </c>
      <c r="X532" s="10">
        <v>131</v>
      </c>
      <c r="Y532" s="10">
        <v>120</v>
      </c>
      <c r="Z532" s="10">
        <v>131</v>
      </c>
      <c r="AA532" s="10">
        <v>6</v>
      </c>
      <c r="AB532" s="10">
        <v>6.4</v>
      </c>
      <c r="AC532" s="9" t="s">
        <v>188</v>
      </c>
      <c r="AD532" s="10"/>
      <c r="AE532" s="10"/>
      <c r="AF532" s="10"/>
      <c r="AG532" s="10"/>
    </row>
    <row r="533" spans="1:33">
      <c r="A533" s="7" t="s">
        <v>155</v>
      </c>
      <c r="B533" s="8" t="s">
        <v>205</v>
      </c>
      <c r="C533" s="9" t="s">
        <v>673</v>
      </c>
      <c r="D533" s="10">
        <v>164</v>
      </c>
      <c r="E533" s="9" t="s">
        <v>158</v>
      </c>
      <c r="F533" s="10">
        <v>164</v>
      </c>
      <c r="G533" s="10">
        <v>162.5</v>
      </c>
      <c r="H533" s="10">
        <v>112</v>
      </c>
      <c r="I533" s="10">
        <v>138</v>
      </c>
      <c r="J533" s="10">
        <v>117</v>
      </c>
      <c r="K533" s="10">
        <v>84</v>
      </c>
      <c r="L533" s="10">
        <v>109</v>
      </c>
      <c r="M533" s="10">
        <v>14.7</v>
      </c>
      <c r="N533" s="10">
        <v>1659</v>
      </c>
      <c r="O533" s="10">
        <v>0.94</v>
      </c>
      <c r="P533" s="10">
        <v>1559</v>
      </c>
      <c r="Q533" s="10">
        <v>152</v>
      </c>
      <c r="R533" s="10">
        <v>69</v>
      </c>
      <c r="S533" s="10">
        <v>49</v>
      </c>
      <c r="T533" s="10">
        <v>282</v>
      </c>
      <c r="U533" s="10">
        <v>36</v>
      </c>
      <c r="V533" s="10">
        <v>221</v>
      </c>
      <c r="W533" s="10">
        <v>0.72799999999999998</v>
      </c>
      <c r="X533" s="10">
        <v>136</v>
      </c>
      <c r="Y533" s="10">
        <v>114</v>
      </c>
      <c r="Z533" s="10">
        <v>146</v>
      </c>
      <c r="AA533" s="10">
        <v>5</v>
      </c>
      <c r="AB533" s="10">
        <v>6.9</v>
      </c>
      <c r="AC533" s="9" t="s">
        <v>188</v>
      </c>
      <c r="AD533" s="10"/>
      <c r="AE533" s="10"/>
      <c r="AF533" s="10"/>
      <c r="AG533" s="10"/>
    </row>
    <row r="534" spans="1:33">
      <c r="A534" s="7" t="s">
        <v>155</v>
      </c>
      <c r="B534" s="8" t="s">
        <v>205</v>
      </c>
      <c r="C534" s="9" t="s">
        <v>673</v>
      </c>
      <c r="D534" s="10">
        <v>171</v>
      </c>
      <c r="E534" s="9" t="s">
        <v>158</v>
      </c>
      <c r="F534" s="10">
        <v>171</v>
      </c>
      <c r="G534" s="10">
        <v>169.5</v>
      </c>
      <c r="H534" s="10">
        <v>120</v>
      </c>
      <c r="I534" s="10">
        <v>143</v>
      </c>
      <c r="J534" s="10">
        <v>116</v>
      </c>
      <c r="K534" s="10">
        <v>84</v>
      </c>
      <c r="L534" s="10">
        <v>108</v>
      </c>
      <c r="M534" s="10">
        <v>16.399999999999999</v>
      </c>
      <c r="N534" s="10">
        <v>1766</v>
      </c>
      <c r="O534" s="10">
        <v>0.91</v>
      </c>
      <c r="P534" s="10">
        <v>1614</v>
      </c>
      <c r="Q534" s="10">
        <v>176</v>
      </c>
      <c r="R534" s="10">
        <v>81</v>
      </c>
      <c r="S534" s="10">
        <v>47</v>
      </c>
      <c r="T534" s="10">
        <v>281</v>
      </c>
      <c r="U534" s="10">
        <v>35</v>
      </c>
      <c r="V534" s="10">
        <v>209</v>
      </c>
      <c r="W534" s="10">
        <v>0.745</v>
      </c>
      <c r="X534" s="10">
        <v>145</v>
      </c>
      <c r="Y534" s="10">
        <v>118</v>
      </c>
      <c r="Z534" s="10">
        <v>136</v>
      </c>
      <c r="AA534" s="10">
        <v>9</v>
      </c>
      <c r="AB534" s="10">
        <v>6.9</v>
      </c>
      <c r="AC534" s="9" t="s">
        <v>188</v>
      </c>
      <c r="AD534" s="10"/>
      <c r="AE534" s="10"/>
      <c r="AF534" s="10"/>
      <c r="AG534" s="10"/>
    </row>
    <row r="535" spans="1:33">
      <c r="A535" s="7" t="s">
        <v>155</v>
      </c>
      <c r="B535" s="8" t="s">
        <v>205</v>
      </c>
      <c r="C535" s="9" t="s">
        <v>857</v>
      </c>
      <c r="D535" s="10">
        <v>150</v>
      </c>
      <c r="E535" s="9" t="s">
        <v>163</v>
      </c>
      <c r="F535" s="10">
        <v>150</v>
      </c>
      <c r="G535" s="10">
        <v>148</v>
      </c>
      <c r="H535" s="10">
        <v>104</v>
      </c>
      <c r="I535" s="10">
        <v>122</v>
      </c>
      <c r="J535" s="10">
        <v>116</v>
      </c>
      <c r="K535" s="10">
        <v>84</v>
      </c>
      <c r="L535" s="10">
        <v>108</v>
      </c>
      <c r="M535" s="10">
        <v>11.9</v>
      </c>
      <c r="N535" s="10">
        <v>1451</v>
      </c>
      <c r="O535" s="10">
        <v>0.98</v>
      </c>
      <c r="P535" s="10">
        <v>1416</v>
      </c>
      <c r="Q535" s="10">
        <v>124</v>
      </c>
      <c r="R535" s="10">
        <v>51</v>
      </c>
      <c r="S535" s="10">
        <v>46</v>
      </c>
      <c r="T535" s="10">
        <v>243</v>
      </c>
      <c r="U535" s="10">
        <v>38</v>
      </c>
      <c r="V535" s="10">
        <v>194</v>
      </c>
      <c r="W535" s="10">
        <v>0.81399999999999995</v>
      </c>
      <c r="X535" s="10">
        <v>135</v>
      </c>
      <c r="Y535" s="10">
        <v>122</v>
      </c>
      <c r="Z535" s="10">
        <v>108</v>
      </c>
      <c r="AA535" s="10">
        <v>8</v>
      </c>
      <c r="AB535" s="10">
        <v>6.4</v>
      </c>
      <c r="AC535" s="9" t="s">
        <v>188</v>
      </c>
      <c r="AD535" s="9" t="s">
        <v>184</v>
      </c>
      <c r="AE535" s="10"/>
      <c r="AF535" s="10"/>
      <c r="AG535" s="10"/>
    </row>
    <row r="536" spans="1:33">
      <c r="A536" s="7" t="s">
        <v>155</v>
      </c>
      <c r="B536" s="8" t="s">
        <v>205</v>
      </c>
      <c r="C536" s="9" t="s">
        <v>535</v>
      </c>
      <c r="D536" s="10">
        <v>164</v>
      </c>
      <c r="E536" s="9" t="s">
        <v>158</v>
      </c>
      <c r="F536" s="10">
        <v>164</v>
      </c>
      <c r="G536" s="10">
        <v>161.9</v>
      </c>
      <c r="H536" s="10">
        <v>117</v>
      </c>
      <c r="I536" s="10">
        <v>136</v>
      </c>
      <c r="J536" s="10">
        <v>119</v>
      </c>
      <c r="K536" s="10">
        <v>87</v>
      </c>
      <c r="L536" s="10">
        <v>112</v>
      </c>
      <c r="M536" s="10">
        <v>14.6</v>
      </c>
      <c r="N536" s="10">
        <v>1587</v>
      </c>
      <c r="O536" s="10">
        <v>1.01</v>
      </c>
      <c r="P536" s="10">
        <v>1604</v>
      </c>
      <c r="Q536" s="10">
        <v>170</v>
      </c>
      <c r="R536" s="10">
        <v>70</v>
      </c>
      <c r="S536" s="10">
        <v>53</v>
      </c>
      <c r="T536" s="10">
        <v>265</v>
      </c>
      <c r="U536" s="10">
        <v>38</v>
      </c>
      <c r="V536" s="10">
        <v>188</v>
      </c>
      <c r="W536" s="10">
        <v>0.70499999999999996</v>
      </c>
      <c r="X536" s="10">
        <v>134</v>
      </c>
      <c r="Y536" s="10">
        <v>126</v>
      </c>
      <c r="Z536" s="10">
        <v>131</v>
      </c>
      <c r="AA536" s="10">
        <v>9</v>
      </c>
      <c r="AB536" s="10">
        <v>6.5</v>
      </c>
      <c r="AC536" s="9" t="s">
        <v>188</v>
      </c>
      <c r="AD536" s="10"/>
      <c r="AE536" s="10"/>
      <c r="AF536" s="10"/>
      <c r="AG536" s="10"/>
    </row>
    <row r="537" spans="1:33">
      <c r="A537" s="7" t="s">
        <v>155</v>
      </c>
      <c r="B537" s="8" t="s">
        <v>205</v>
      </c>
      <c r="C537" s="9" t="s">
        <v>535</v>
      </c>
      <c r="D537" s="10">
        <v>171</v>
      </c>
      <c r="E537" s="9" t="s">
        <v>158</v>
      </c>
      <c r="F537" s="10">
        <v>171</v>
      </c>
      <c r="G537" s="10">
        <v>169.3</v>
      </c>
      <c r="H537" s="10">
        <v>121</v>
      </c>
      <c r="I537" s="10">
        <v>142</v>
      </c>
      <c r="J537" s="10">
        <v>120</v>
      </c>
      <c r="K537" s="10">
        <v>87</v>
      </c>
      <c r="L537" s="10">
        <v>112</v>
      </c>
      <c r="M537" s="10">
        <v>16.3</v>
      </c>
      <c r="N537" s="10">
        <v>1794</v>
      </c>
      <c r="O537" s="10">
        <v>0.93</v>
      </c>
      <c r="P537" s="10">
        <v>1674</v>
      </c>
      <c r="Q537" s="10">
        <v>185</v>
      </c>
      <c r="R537" s="10">
        <v>87</v>
      </c>
      <c r="S537" s="10">
        <v>53</v>
      </c>
      <c r="T537" s="10">
        <v>277</v>
      </c>
      <c r="U537" s="10">
        <v>38</v>
      </c>
      <c r="V537" s="10">
        <v>203</v>
      </c>
      <c r="W537" s="10">
        <v>0.72599999999999998</v>
      </c>
      <c r="X537" s="10">
        <v>147</v>
      </c>
      <c r="Y537" s="10">
        <v>122</v>
      </c>
      <c r="Z537" s="10">
        <v>129</v>
      </c>
      <c r="AA537" s="10">
        <v>7</v>
      </c>
      <c r="AB537" s="10">
        <v>7.1</v>
      </c>
      <c r="AC537" s="9" t="s">
        <v>188</v>
      </c>
      <c r="AD537" s="10"/>
      <c r="AE537" s="10"/>
      <c r="AF537" s="10"/>
      <c r="AG537" s="10"/>
    </row>
    <row r="538" spans="1:33">
      <c r="A538" s="7" t="s">
        <v>155</v>
      </c>
      <c r="B538" s="8" t="s">
        <v>205</v>
      </c>
      <c r="C538" s="9" t="s">
        <v>535</v>
      </c>
      <c r="D538" s="10">
        <v>178</v>
      </c>
      <c r="E538" s="9" t="s">
        <v>158</v>
      </c>
      <c r="F538" s="10">
        <v>178</v>
      </c>
      <c r="G538" s="10">
        <v>176.4</v>
      </c>
      <c r="H538" s="10">
        <v>135</v>
      </c>
      <c r="I538" s="10">
        <v>149</v>
      </c>
      <c r="J538" s="10">
        <v>120</v>
      </c>
      <c r="K538" s="10">
        <v>88</v>
      </c>
      <c r="L538" s="10">
        <v>112</v>
      </c>
      <c r="M538" s="10">
        <v>17.899999999999999</v>
      </c>
      <c r="N538" s="10">
        <v>1894</v>
      </c>
      <c r="O538" s="10">
        <v>0.92</v>
      </c>
      <c r="P538" s="10">
        <v>1751</v>
      </c>
      <c r="Q538" s="10">
        <v>201</v>
      </c>
      <c r="R538" s="10">
        <v>88</v>
      </c>
      <c r="S538" s="10">
        <v>43</v>
      </c>
      <c r="T538" s="10">
        <v>223</v>
      </c>
      <c r="U538" s="10">
        <v>36</v>
      </c>
      <c r="V538" s="10">
        <v>187</v>
      </c>
      <c r="W538" s="10">
        <v>0.83599999999999997</v>
      </c>
      <c r="X538" s="10">
        <v>145</v>
      </c>
      <c r="Y538" s="10">
        <v>124</v>
      </c>
      <c r="Z538" s="10">
        <v>78</v>
      </c>
      <c r="AA538" s="10">
        <v>14</v>
      </c>
      <c r="AB538" s="10">
        <v>7.7</v>
      </c>
      <c r="AC538" s="9" t="s">
        <v>188</v>
      </c>
      <c r="AD538" s="9" t="s">
        <v>184</v>
      </c>
      <c r="AE538" s="10"/>
      <c r="AF538" s="10"/>
      <c r="AG538" s="10"/>
    </row>
    <row r="539" spans="1:33">
      <c r="A539" s="7" t="s">
        <v>155</v>
      </c>
      <c r="B539" s="8" t="s">
        <v>205</v>
      </c>
      <c r="C539" s="9" t="s">
        <v>880</v>
      </c>
      <c r="D539" s="10">
        <v>145</v>
      </c>
      <c r="E539" s="9" t="s">
        <v>385</v>
      </c>
      <c r="F539" s="10">
        <v>145</v>
      </c>
      <c r="G539" s="10">
        <v>143.69999999999999</v>
      </c>
      <c r="H539" s="10">
        <v>103</v>
      </c>
      <c r="I539" s="10">
        <v>120</v>
      </c>
      <c r="J539" s="10">
        <v>114</v>
      </c>
      <c r="K539" s="10">
        <v>83</v>
      </c>
      <c r="L539" s="10">
        <v>110</v>
      </c>
      <c r="M539" s="10">
        <v>11.8</v>
      </c>
      <c r="N539" s="10">
        <v>1178</v>
      </c>
      <c r="O539" s="10">
        <v>1.1499999999999999</v>
      </c>
      <c r="P539" s="10">
        <v>1358</v>
      </c>
      <c r="Q539" s="10">
        <v>104</v>
      </c>
      <c r="R539" s="10">
        <v>36</v>
      </c>
      <c r="S539" s="10">
        <v>43</v>
      </c>
      <c r="T539" s="10">
        <v>208</v>
      </c>
      <c r="U539" s="10">
        <v>38</v>
      </c>
      <c r="V539" s="10">
        <v>201</v>
      </c>
      <c r="W539" s="10">
        <v>0.88400000000000001</v>
      </c>
      <c r="X539" s="10">
        <v>122</v>
      </c>
      <c r="Y539" s="10">
        <v>112</v>
      </c>
      <c r="Z539" s="10">
        <v>86</v>
      </c>
      <c r="AA539" s="10">
        <v>8</v>
      </c>
      <c r="AB539" s="10">
        <v>3</v>
      </c>
      <c r="AC539" s="9" t="s">
        <v>184</v>
      </c>
      <c r="AD539" s="9" t="s">
        <v>185</v>
      </c>
      <c r="AE539" s="10"/>
      <c r="AF539" s="10"/>
      <c r="AG539" s="10"/>
    </row>
    <row r="540" spans="1:33">
      <c r="A540" s="7" t="s">
        <v>155</v>
      </c>
      <c r="B540" s="8" t="s">
        <v>205</v>
      </c>
      <c r="C540" s="9" t="s">
        <v>880</v>
      </c>
      <c r="D540" s="10">
        <v>155</v>
      </c>
      <c r="E540" s="9" t="s">
        <v>385</v>
      </c>
      <c r="F540" s="10">
        <v>155</v>
      </c>
      <c r="G540" s="10">
        <v>153.4</v>
      </c>
      <c r="H540" s="10">
        <v>108</v>
      </c>
      <c r="I540" s="10">
        <v>130</v>
      </c>
      <c r="J540" s="10">
        <v>114</v>
      </c>
      <c r="K540" s="10">
        <v>83</v>
      </c>
      <c r="L540" s="10">
        <v>110</v>
      </c>
      <c r="M540" s="10">
        <v>14</v>
      </c>
      <c r="N540" s="10">
        <v>1307</v>
      </c>
      <c r="O540" s="10">
        <v>1.1100000000000001</v>
      </c>
      <c r="P540" s="10">
        <v>1448</v>
      </c>
      <c r="Q540" s="10">
        <v>132</v>
      </c>
      <c r="R540" s="10">
        <v>45</v>
      </c>
      <c r="S540" s="10">
        <v>46</v>
      </c>
      <c r="T540" s="10">
        <v>229</v>
      </c>
      <c r="U540" s="10">
        <v>44</v>
      </c>
      <c r="V540" s="10">
        <v>220</v>
      </c>
      <c r="W540" s="10">
        <v>0.95099999999999996</v>
      </c>
      <c r="X540" s="10">
        <v>118</v>
      </c>
      <c r="Y540" s="10">
        <v>113</v>
      </c>
      <c r="Z540" s="10">
        <v>111</v>
      </c>
      <c r="AA540" s="10">
        <v>6</v>
      </c>
      <c r="AB540" s="10">
        <v>3.2</v>
      </c>
      <c r="AC540" s="9" t="s">
        <v>184</v>
      </c>
      <c r="AD540" s="9" t="s">
        <v>185</v>
      </c>
      <c r="AE540" s="10"/>
      <c r="AF540" s="10"/>
      <c r="AG540" s="10"/>
    </row>
    <row r="541" spans="1:33">
      <c r="A541" s="7" t="s">
        <v>155</v>
      </c>
      <c r="B541" s="8" t="s">
        <v>205</v>
      </c>
      <c r="C541" s="9" t="s">
        <v>664</v>
      </c>
      <c r="D541" s="10">
        <v>158</v>
      </c>
      <c r="E541" s="9" t="s">
        <v>163</v>
      </c>
      <c r="F541" s="10">
        <v>158</v>
      </c>
      <c r="G541" s="10">
        <v>155.9</v>
      </c>
      <c r="H541" s="10">
        <v>111</v>
      </c>
      <c r="I541" s="10">
        <v>129</v>
      </c>
      <c r="J541" s="10">
        <v>119</v>
      </c>
      <c r="K541" s="10">
        <v>87</v>
      </c>
      <c r="L541" s="10">
        <v>112</v>
      </c>
      <c r="M541" s="10">
        <v>13</v>
      </c>
      <c r="N541" s="10">
        <v>1577</v>
      </c>
      <c r="O541" s="10">
        <v>0.98</v>
      </c>
      <c r="P541" s="10">
        <v>1544</v>
      </c>
      <c r="Q541" s="10">
        <v>159</v>
      </c>
      <c r="R541" s="10">
        <v>79</v>
      </c>
      <c r="S541" s="10">
        <v>53</v>
      </c>
      <c r="T541" s="10">
        <v>259</v>
      </c>
      <c r="U541" s="10">
        <v>39</v>
      </c>
      <c r="V541" s="10">
        <v>195</v>
      </c>
      <c r="W541" s="10">
        <v>0.73399999999999999</v>
      </c>
      <c r="X541" s="10">
        <v>145</v>
      </c>
      <c r="Y541" s="10">
        <v>121</v>
      </c>
      <c r="Z541" s="10">
        <v>113</v>
      </c>
      <c r="AA541" s="10">
        <v>6</v>
      </c>
      <c r="AB541" s="10">
        <v>6.8</v>
      </c>
      <c r="AC541" s="9" t="s">
        <v>188</v>
      </c>
      <c r="AD541" s="10"/>
      <c r="AE541" s="10"/>
      <c r="AF541" s="10"/>
      <c r="AG541" s="10"/>
    </row>
    <row r="542" spans="1:33">
      <c r="A542" s="7" t="s">
        <v>155</v>
      </c>
      <c r="B542" s="8" t="s">
        <v>205</v>
      </c>
      <c r="C542" s="9" t="s">
        <v>664</v>
      </c>
      <c r="D542" s="10">
        <v>164</v>
      </c>
      <c r="E542" s="9" t="s">
        <v>163</v>
      </c>
      <c r="F542" s="10">
        <v>164</v>
      </c>
      <c r="G542" s="10">
        <v>162.1</v>
      </c>
      <c r="H542" s="10">
        <v>118</v>
      </c>
      <c r="I542" s="10">
        <v>135</v>
      </c>
      <c r="J542" s="10">
        <v>119</v>
      </c>
      <c r="K542" s="10">
        <v>87</v>
      </c>
      <c r="L542" s="10">
        <v>111</v>
      </c>
      <c r="M542" s="10">
        <v>14.7</v>
      </c>
      <c r="N542" s="10">
        <v>1614</v>
      </c>
      <c r="O542" s="10">
        <v>0.99</v>
      </c>
      <c r="P542" s="10">
        <v>1604</v>
      </c>
      <c r="Q542" s="10">
        <v>153</v>
      </c>
      <c r="R542" s="10">
        <v>61</v>
      </c>
      <c r="S542" s="10">
        <v>53</v>
      </c>
      <c r="T542" s="10">
        <v>259</v>
      </c>
      <c r="U542" s="10">
        <v>37</v>
      </c>
      <c r="V542" s="10">
        <v>179</v>
      </c>
      <c r="W542" s="10">
        <v>0.69699999999999995</v>
      </c>
      <c r="X542" s="10">
        <v>143</v>
      </c>
      <c r="Y542" s="10">
        <v>129</v>
      </c>
      <c r="Z542" s="10">
        <v>117</v>
      </c>
      <c r="AA542" s="10">
        <v>9</v>
      </c>
      <c r="AB542" s="10">
        <v>7.2</v>
      </c>
      <c r="AC542" s="9" t="s">
        <v>188</v>
      </c>
      <c r="AD542" s="10"/>
      <c r="AE542" s="10"/>
      <c r="AF542" s="10"/>
      <c r="AG542" s="10"/>
    </row>
    <row r="543" spans="1:33">
      <c r="A543" s="7" t="s">
        <v>155</v>
      </c>
      <c r="B543" s="8" t="s">
        <v>205</v>
      </c>
      <c r="C543" s="9" t="s">
        <v>308</v>
      </c>
      <c r="D543" s="10">
        <v>171</v>
      </c>
      <c r="E543" s="9" t="s">
        <v>158</v>
      </c>
      <c r="F543" s="10">
        <v>171</v>
      </c>
      <c r="G543" s="10">
        <v>169.3</v>
      </c>
      <c r="H543" s="10">
        <v>114</v>
      </c>
      <c r="I543" s="10">
        <v>139</v>
      </c>
      <c r="J543" s="10">
        <v>126</v>
      </c>
      <c r="K543" s="10">
        <v>97</v>
      </c>
      <c r="L543" s="10">
        <v>119</v>
      </c>
      <c r="M543" s="10">
        <v>17.3</v>
      </c>
      <c r="N543" s="10">
        <v>1904</v>
      </c>
      <c r="O543" s="10">
        <v>0.96</v>
      </c>
      <c r="P543" s="10">
        <v>1824</v>
      </c>
      <c r="Q543" s="10">
        <v>200</v>
      </c>
      <c r="R543" s="10">
        <v>90</v>
      </c>
      <c r="S543" s="10">
        <v>52</v>
      </c>
      <c r="T543" s="10">
        <v>304</v>
      </c>
      <c r="U543" s="10">
        <v>43</v>
      </c>
      <c r="V543" s="10">
        <v>250</v>
      </c>
      <c r="W543" s="10">
        <v>0.83099999999999996</v>
      </c>
      <c r="X543" s="10">
        <v>162</v>
      </c>
      <c r="Y543" s="10">
        <v>144</v>
      </c>
      <c r="Z543" s="10">
        <v>142</v>
      </c>
      <c r="AA543" s="10">
        <v>5</v>
      </c>
      <c r="AB543" s="10">
        <v>8.1</v>
      </c>
      <c r="AC543" s="9" t="s">
        <v>188</v>
      </c>
      <c r="AD543" s="9" t="s">
        <v>184</v>
      </c>
      <c r="AE543" s="10"/>
      <c r="AF543" s="10"/>
      <c r="AG543" s="10"/>
    </row>
    <row r="544" spans="1:33">
      <c r="A544" s="7" t="s">
        <v>155</v>
      </c>
      <c r="B544" s="8" t="s">
        <v>205</v>
      </c>
      <c r="C544" s="9" t="s">
        <v>308</v>
      </c>
      <c r="D544" s="10">
        <v>177</v>
      </c>
      <c r="E544" s="9" t="s">
        <v>158</v>
      </c>
      <c r="F544" s="10">
        <v>177</v>
      </c>
      <c r="G544" s="10">
        <v>175.3</v>
      </c>
      <c r="H544" s="10">
        <v>126</v>
      </c>
      <c r="I544" s="10">
        <v>145</v>
      </c>
      <c r="J544" s="10">
        <v>127</v>
      </c>
      <c r="K544" s="10">
        <v>97</v>
      </c>
      <c r="L544" s="10">
        <v>119</v>
      </c>
      <c r="M544" s="10">
        <v>18.7</v>
      </c>
      <c r="N544" s="10">
        <v>1891</v>
      </c>
      <c r="O544" s="10">
        <v>1</v>
      </c>
      <c r="P544" s="10">
        <v>1887</v>
      </c>
      <c r="Q544" s="10">
        <v>219</v>
      </c>
      <c r="R544" s="10">
        <v>99</v>
      </c>
      <c r="S544" s="10">
        <v>51</v>
      </c>
      <c r="T544" s="10">
        <v>272</v>
      </c>
      <c r="U544" s="10">
        <v>43</v>
      </c>
      <c r="V544" s="10">
        <v>225</v>
      </c>
      <c r="W544" s="10">
        <v>0.82899999999999996</v>
      </c>
      <c r="X544" s="10">
        <v>167</v>
      </c>
      <c r="Y544" s="10">
        <v>138</v>
      </c>
      <c r="Z544" s="10">
        <v>105</v>
      </c>
      <c r="AA544" s="10">
        <v>8</v>
      </c>
      <c r="AB544" s="10">
        <v>7.6</v>
      </c>
      <c r="AC544" s="9" t="s">
        <v>188</v>
      </c>
      <c r="AD544" s="9" t="s">
        <v>184</v>
      </c>
      <c r="AE544" s="10"/>
      <c r="AF544" s="10"/>
      <c r="AG544" s="10"/>
    </row>
    <row r="545" spans="1:33">
      <c r="A545" s="7" t="s">
        <v>155</v>
      </c>
      <c r="B545" s="8" t="s">
        <v>205</v>
      </c>
      <c r="C545" s="9" t="s">
        <v>308</v>
      </c>
      <c r="D545" s="10">
        <v>183</v>
      </c>
      <c r="E545" s="9" t="s">
        <v>158</v>
      </c>
      <c r="F545" s="10">
        <v>183</v>
      </c>
      <c r="G545" s="10">
        <v>181.4</v>
      </c>
      <c r="H545" s="10">
        <v>128</v>
      </c>
      <c r="I545" s="10">
        <v>150</v>
      </c>
      <c r="J545" s="10">
        <v>127</v>
      </c>
      <c r="K545" s="10">
        <v>97</v>
      </c>
      <c r="L545" s="10">
        <v>119</v>
      </c>
      <c r="M545" s="10">
        <v>20.100000000000001</v>
      </c>
      <c r="N545" s="10">
        <v>2125</v>
      </c>
      <c r="O545" s="10">
        <v>0.92</v>
      </c>
      <c r="P545" s="10">
        <v>1955</v>
      </c>
      <c r="Q545" s="10">
        <v>253</v>
      </c>
      <c r="R545" s="10">
        <v>118</v>
      </c>
      <c r="S545" s="10">
        <v>51</v>
      </c>
      <c r="T545" s="10">
        <v>282</v>
      </c>
      <c r="U545" s="10">
        <v>45</v>
      </c>
      <c r="V545" s="10">
        <v>254</v>
      </c>
      <c r="W545" s="10">
        <v>0.88900000000000001</v>
      </c>
      <c r="X545" s="10">
        <v>169</v>
      </c>
      <c r="Y545" s="10">
        <v>146</v>
      </c>
      <c r="Z545" s="10">
        <v>113</v>
      </c>
      <c r="AA545" s="10">
        <v>6</v>
      </c>
      <c r="AB545" s="10">
        <v>8.4</v>
      </c>
      <c r="AC545" s="9" t="s">
        <v>184</v>
      </c>
      <c r="AD545" s="10"/>
      <c r="AE545" s="10"/>
      <c r="AF545" s="10"/>
      <c r="AG545" s="10"/>
    </row>
    <row r="546" spans="1:33">
      <c r="A546" s="7" t="s">
        <v>155</v>
      </c>
      <c r="B546" s="8" t="s">
        <v>205</v>
      </c>
      <c r="C546" s="9" t="s">
        <v>859</v>
      </c>
      <c r="D546" s="10">
        <v>149</v>
      </c>
      <c r="E546" s="9" t="s">
        <v>385</v>
      </c>
      <c r="F546" s="10">
        <v>149</v>
      </c>
      <c r="G546" s="10">
        <v>147.30000000000001</v>
      </c>
      <c r="H546" s="10">
        <v>104</v>
      </c>
      <c r="I546" s="10">
        <v>123</v>
      </c>
      <c r="J546" s="10">
        <v>126</v>
      </c>
      <c r="K546" s="10">
        <v>95</v>
      </c>
      <c r="L546" s="10">
        <v>122</v>
      </c>
      <c r="M546" s="10">
        <v>11.8</v>
      </c>
      <c r="N546" s="10">
        <v>1277</v>
      </c>
      <c r="O546" s="10">
        <v>1.23</v>
      </c>
      <c r="P546" s="10">
        <v>1567</v>
      </c>
      <c r="Q546" s="10">
        <v>105</v>
      </c>
      <c r="R546" s="10">
        <v>37</v>
      </c>
      <c r="S546" s="10">
        <v>51</v>
      </c>
      <c r="T546" s="10">
        <v>221</v>
      </c>
      <c r="U546" s="10">
        <v>44</v>
      </c>
      <c r="V546" s="10">
        <v>208</v>
      </c>
      <c r="W546" s="10">
        <v>0.86299999999999999</v>
      </c>
      <c r="X546" s="10">
        <v>124</v>
      </c>
      <c r="Y546" s="10">
        <v>119</v>
      </c>
      <c r="Z546" s="10">
        <v>97</v>
      </c>
      <c r="AA546" s="10">
        <v>7</v>
      </c>
      <c r="AB546" s="10">
        <v>3</v>
      </c>
      <c r="AC546" s="9" t="s">
        <v>184</v>
      </c>
      <c r="AD546" s="9" t="s">
        <v>185</v>
      </c>
      <c r="AE546" s="10"/>
      <c r="AF546" s="10"/>
      <c r="AG546" s="10"/>
    </row>
    <row r="547" spans="1:33">
      <c r="A547" s="7" t="s">
        <v>155</v>
      </c>
      <c r="B547" s="8" t="s">
        <v>205</v>
      </c>
      <c r="C547" s="9" t="s">
        <v>859</v>
      </c>
      <c r="D547" s="10">
        <v>159</v>
      </c>
      <c r="E547" s="9" t="s">
        <v>385</v>
      </c>
      <c r="F547" s="10">
        <v>159</v>
      </c>
      <c r="G547" s="10">
        <v>157.1</v>
      </c>
      <c r="H547" s="10">
        <v>113</v>
      </c>
      <c r="I547" s="10">
        <v>133</v>
      </c>
      <c r="J547" s="10">
        <v>128</v>
      </c>
      <c r="K547" s="10">
        <v>97</v>
      </c>
      <c r="L547" s="10">
        <v>124</v>
      </c>
      <c r="M547" s="10">
        <v>13.9</v>
      </c>
      <c r="N547" s="10">
        <v>1460</v>
      </c>
      <c r="O547" s="10">
        <v>1.1599999999999999</v>
      </c>
      <c r="P547" s="10">
        <v>1699</v>
      </c>
      <c r="Q547" s="10">
        <v>131</v>
      </c>
      <c r="R547" s="10">
        <v>45</v>
      </c>
      <c r="S547" s="10">
        <v>52</v>
      </c>
      <c r="T547" s="10">
        <v>227</v>
      </c>
      <c r="U547" s="10">
        <v>45</v>
      </c>
      <c r="V547" s="10">
        <v>211</v>
      </c>
      <c r="W547" s="10">
        <v>0.874</v>
      </c>
      <c r="X547" s="10">
        <v>128</v>
      </c>
      <c r="Y547" s="10">
        <v>113</v>
      </c>
      <c r="Z547" s="10">
        <v>99</v>
      </c>
      <c r="AA547" s="10">
        <v>8</v>
      </c>
      <c r="AB547" s="10">
        <v>3.4</v>
      </c>
      <c r="AC547" s="9" t="s">
        <v>184</v>
      </c>
      <c r="AD547" s="9" t="s">
        <v>185</v>
      </c>
      <c r="AE547" s="10"/>
      <c r="AF547" s="10"/>
      <c r="AG547" s="10"/>
    </row>
    <row r="548" spans="1:33">
      <c r="A548" s="7" t="s">
        <v>155</v>
      </c>
      <c r="B548" s="8" t="s">
        <v>205</v>
      </c>
      <c r="C548" s="9" t="s">
        <v>225</v>
      </c>
      <c r="D548" s="10">
        <v>172</v>
      </c>
      <c r="E548" s="9" t="s">
        <v>158</v>
      </c>
      <c r="F548" s="10">
        <v>172</v>
      </c>
      <c r="G548" s="10">
        <v>170.5</v>
      </c>
      <c r="H548" s="10">
        <v>118</v>
      </c>
      <c r="I548" s="10">
        <v>138</v>
      </c>
      <c r="J548" s="10">
        <v>132</v>
      </c>
      <c r="K548" s="10">
        <v>105</v>
      </c>
      <c r="L548" s="10">
        <v>125</v>
      </c>
      <c r="M548" s="10">
        <v>17.8</v>
      </c>
      <c r="N548" s="10">
        <v>1914</v>
      </c>
      <c r="O548" s="10">
        <v>1.02</v>
      </c>
      <c r="P548" s="10">
        <v>1960</v>
      </c>
      <c r="Q548" s="10">
        <v>152</v>
      </c>
      <c r="R548" s="10">
        <v>80</v>
      </c>
      <c r="S548" s="10">
        <v>51</v>
      </c>
      <c r="T548" s="10">
        <v>289</v>
      </c>
      <c r="U548" s="10">
        <v>43</v>
      </c>
      <c r="V548" s="10">
        <v>237</v>
      </c>
      <c r="W548" s="10">
        <v>0.84299999999999997</v>
      </c>
      <c r="X548" s="10">
        <v>183</v>
      </c>
      <c r="Y548" s="10">
        <v>145</v>
      </c>
      <c r="Z548" s="10">
        <v>107</v>
      </c>
      <c r="AA548" s="10">
        <v>7</v>
      </c>
      <c r="AB548" s="10">
        <v>8.3000000000000007</v>
      </c>
      <c r="AC548" s="9" t="s">
        <v>184</v>
      </c>
      <c r="AD548" s="9" t="s">
        <v>169</v>
      </c>
      <c r="AE548" s="10"/>
      <c r="AF548" s="10"/>
      <c r="AG548" s="10"/>
    </row>
    <row r="549" spans="1:33">
      <c r="A549" s="7" t="s">
        <v>155</v>
      </c>
      <c r="B549" s="8" t="s">
        <v>205</v>
      </c>
      <c r="C549" s="9" t="s">
        <v>225</v>
      </c>
      <c r="D549" s="10">
        <v>178</v>
      </c>
      <c r="E549" s="9" t="s">
        <v>158</v>
      </c>
      <c r="F549" s="10">
        <v>178</v>
      </c>
      <c r="G549" s="10">
        <v>176.5</v>
      </c>
      <c r="H549" s="10">
        <v>122</v>
      </c>
      <c r="I549" s="10">
        <v>142</v>
      </c>
      <c r="J549" s="10">
        <v>132</v>
      </c>
      <c r="K549" s="10">
        <v>105</v>
      </c>
      <c r="L549" s="10">
        <v>125</v>
      </c>
      <c r="M549" s="10">
        <v>19.399999999999999</v>
      </c>
      <c r="N549" s="10">
        <v>2049</v>
      </c>
      <c r="O549" s="10">
        <v>0.99</v>
      </c>
      <c r="P549" s="10">
        <v>2028</v>
      </c>
      <c r="Q549" s="10">
        <v>211</v>
      </c>
      <c r="R549" s="10">
        <v>99</v>
      </c>
      <c r="S549" s="10">
        <v>52</v>
      </c>
      <c r="T549" s="10">
        <v>290</v>
      </c>
      <c r="U549" s="10">
        <v>43</v>
      </c>
      <c r="V549" s="10">
        <v>252</v>
      </c>
      <c r="W549" s="10">
        <v>0.83299999999999996</v>
      </c>
      <c r="X549" s="10">
        <v>180</v>
      </c>
      <c r="Y549" s="10">
        <v>165</v>
      </c>
      <c r="Z549" s="10">
        <v>111</v>
      </c>
      <c r="AA549" s="10">
        <v>9</v>
      </c>
      <c r="AB549" s="10">
        <v>9</v>
      </c>
      <c r="AC549" s="9" t="s">
        <v>184</v>
      </c>
      <c r="AD549" s="9" t="s">
        <v>169</v>
      </c>
      <c r="AE549" s="10"/>
      <c r="AF549" s="10"/>
      <c r="AG549" s="10"/>
    </row>
    <row r="550" spans="1:33">
      <c r="A550" s="7" t="s">
        <v>155</v>
      </c>
      <c r="B550" s="8" t="s">
        <v>205</v>
      </c>
      <c r="C550" s="9" t="s">
        <v>225</v>
      </c>
      <c r="D550" s="10">
        <v>184</v>
      </c>
      <c r="E550" s="9" t="s">
        <v>158</v>
      </c>
      <c r="F550" s="10">
        <v>184</v>
      </c>
      <c r="G550" s="10">
        <v>182.6</v>
      </c>
      <c r="H550" s="10">
        <v>124</v>
      </c>
      <c r="I550" s="10">
        <v>147</v>
      </c>
      <c r="J550" s="10">
        <v>132</v>
      </c>
      <c r="K550" s="10">
        <v>105</v>
      </c>
      <c r="L550" s="10">
        <v>125</v>
      </c>
      <c r="M550" s="10">
        <v>21</v>
      </c>
      <c r="N550" s="10">
        <v>2000</v>
      </c>
      <c r="O550" s="10">
        <v>1.05</v>
      </c>
      <c r="P550" s="10">
        <v>2096</v>
      </c>
      <c r="Q550" s="10">
        <v>206</v>
      </c>
      <c r="R550" s="10">
        <v>97</v>
      </c>
      <c r="S550" s="10">
        <v>51</v>
      </c>
      <c r="T550" s="10">
        <v>328</v>
      </c>
      <c r="U550" s="10">
        <v>43</v>
      </c>
      <c r="V550" s="10">
        <v>261</v>
      </c>
      <c r="W550" s="10">
        <v>0.84599999999999997</v>
      </c>
      <c r="X550" s="10">
        <v>192</v>
      </c>
      <c r="Y550" s="10">
        <v>164</v>
      </c>
      <c r="Z550" s="10">
        <v>137</v>
      </c>
      <c r="AA550" s="10">
        <v>7</v>
      </c>
      <c r="AB550" s="10">
        <v>9.3000000000000007</v>
      </c>
      <c r="AC550" s="9" t="s">
        <v>184</v>
      </c>
      <c r="AD550" s="9" t="s">
        <v>169</v>
      </c>
      <c r="AE550" s="10"/>
      <c r="AF550" s="10"/>
      <c r="AG550" s="10"/>
    </row>
    <row r="551" spans="1:33">
      <c r="A551" s="7" t="s">
        <v>155</v>
      </c>
      <c r="B551" s="8" t="s">
        <v>321</v>
      </c>
      <c r="C551" s="9" t="s">
        <v>322</v>
      </c>
      <c r="D551" s="10">
        <v>162</v>
      </c>
      <c r="E551" s="9" t="s">
        <v>158</v>
      </c>
      <c r="F551" s="10">
        <v>162</v>
      </c>
      <c r="G551" s="10">
        <v>160.5</v>
      </c>
      <c r="H551" s="10">
        <v>115</v>
      </c>
      <c r="I551" s="10">
        <v>135</v>
      </c>
      <c r="J551" s="10">
        <v>129</v>
      </c>
      <c r="K551" s="10">
        <v>96</v>
      </c>
      <c r="L551" s="10">
        <v>118</v>
      </c>
      <c r="M551" s="10">
        <v>14.3</v>
      </c>
      <c r="N551" s="10">
        <v>1565</v>
      </c>
      <c r="O551" s="10">
        <v>1.1100000000000001</v>
      </c>
      <c r="P551" s="10">
        <v>1734</v>
      </c>
      <c r="Q551" s="10">
        <v>197</v>
      </c>
      <c r="R551" s="10">
        <v>89</v>
      </c>
      <c r="S551" s="10">
        <v>59</v>
      </c>
      <c r="T551" s="10">
        <v>270</v>
      </c>
      <c r="U551" s="10">
        <v>27</v>
      </c>
      <c r="V551" s="10">
        <v>185</v>
      </c>
      <c r="W551" s="10">
        <v>0.46400000000000002</v>
      </c>
      <c r="X551" s="10">
        <v>132</v>
      </c>
      <c r="Y551" s="10">
        <v>119</v>
      </c>
      <c r="Z551" s="10">
        <v>138</v>
      </c>
      <c r="AA551" s="10">
        <v>11</v>
      </c>
      <c r="AB551" s="10">
        <v>7.8</v>
      </c>
      <c r="AC551" s="9" t="s">
        <v>188</v>
      </c>
      <c r="AD551" s="9" t="s">
        <v>185</v>
      </c>
      <c r="AE551" s="10"/>
      <c r="AF551" s="10"/>
      <c r="AG551" s="10"/>
    </row>
    <row r="552" spans="1:33">
      <c r="A552" s="7" t="s">
        <v>155</v>
      </c>
      <c r="B552" s="8" t="s">
        <v>321</v>
      </c>
      <c r="C552" s="9" t="s">
        <v>322</v>
      </c>
      <c r="D552" s="10">
        <v>172</v>
      </c>
      <c r="E552" s="9" t="s">
        <v>158</v>
      </c>
      <c r="F552" s="10">
        <v>172</v>
      </c>
      <c r="G552" s="10">
        <v>170.1</v>
      </c>
      <c r="H552" s="10">
        <v>123</v>
      </c>
      <c r="I552" s="10">
        <v>145</v>
      </c>
      <c r="J552" s="10">
        <v>129</v>
      </c>
      <c r="K552" s="10">
        <v>96</v>
      </c>
      <c r="L552" s="10">
        <v>119</v>
      </c>
      <c r="M552" s="10">
        <v>15.4</v>
      </c>
      <c r="N552" s="10">
        <v>1584</v>
      </c>
      <c r="O552" s="10">
        <v>1.1599999999999999</v>
      </c>
      <c r="P552" s="10">
        <v>1844</v>
      </c>
      <c r="Q552" s="10">
        <v>184</v>
      </c>
      <c r="R552" s="10">
        <v>87</v>
      </c>
      <c r="S552" s="10">
        <v>60</v>
      </c>
      <c r="T552" s="10">
        <v>275</v>
      </c>
      <c r="U552" s="10">
        <v>29</v>
      </c>
      <c r="V552" s="10">
        <v>195</v>
      </c>
      <c r="W552" s="10">
        <v>0.48499999999999999</v>
      </c>
      <c r="X552" s="10">
        <v>136</v>
      </c>
      <c r="Y552" s="10">
        <v>120</v>
      </c>
      <c r="Z552" s="10">
        <v>139</v>
      </c>
      <c r="AA552" s="10">
        <v>9</v>
      </c>
      <c r="AB552" s="10">
        <v>8</v>
      </c>
      <c r="AC552" s="9" t="s">
        <v>188</v>
      </c>
      <c r="AD552" s="9" t="s">
        <v>185</v>
      </c>
      <c r="AE552" s="10"/>
      <c r="AF552" s="10"/>
      <c r="AG552" s="10"/>
    </row>
    <row r="553" spans="1:33">
      <c r="A553" s="7" t="s">
        <v>155</v>
      </c>
      <c r="B553" s="8" t="s">
        <v>321</v>
      </c>
      <c r="C553" s="9" t="s">
        <v>322</v>
      </c>
      <c r="D553" s="10">
        <v>182</v>
      </c>
      <c r="E553" s="9" t="s">
        <v>158</v>
      </c>
      <c r="F553" s="10">
        <v>182</v>
      </c>
      <c r="G553" s="10">
        <v>179.8</v>
      </c>
      <c r="H553" s="10">
        <v>134</v>
      </c>
      <c r="I553" s="10">
        <v>152</v>
      </c>
      <c r="J553" s="10">
        <v>130</v>
      </c>
      <c r="K553" s="10">
        <v>97</v>
      </c>
      <c r="L553" s="10">
        <v>120</v>
      </c>
      <c r="M553" s="10">
        <v>17</v>
      </c>
      <c r="N553" s="10">
        <v>1714</v>
      </c>
      <c r="O553" s="10">
        <v>1.1499999999999999</v>
      </c>
      <c r="P553" s="10">
        <v>1972</v>
      </c>
      <c r="Q553" s="10">
        <v>195</v>
      </c>
      <c r="R553" s="10">
        <v>90</v>
      </c>
      <c r="S553" s="10">
        <v>56</v>
      </c>
      <c r="T553" s="10">
        <v>266</v>
      </c>
      <c r="U553" s="10">
        <v>28</v>
      </c>
      <c r="V553" s="10">
        <v>187</v>
      </c>
      <c r="W553" s="10">
        <v>0.501</v>
      </c>
      <c r="X553" s="10">
        <v>160</v>
      </c>
      <c r="Y553" s="10">
        <v>117</v>
      </c>
      <c r="Z553" s="10">
        <v>106</v>
      </c>
      <c r="AA553" s="10">
        <v>11</v>
      </c>
      <c r="AB553" s="10">
        <v>8</v>
      </c>
      <c r="AC553" s="9" t="s">
        <v>188</v>
      </c>
      <c r="AD553" s="9" t="s">
        <v>185</v>
      </c>
      <c r="AE553" s="10"/>
      <c r="AF553" s="10"/>
      <c r="AG553" s="10"/>
    </row>
    <row r="554" spans="1:33">
      <c r="A554" s="7" t="s">
        <v>155</v>
      </c>
      <c r="B554" s="8" t="s">
        <v>321</v>
      </c>
      <c r="C554" s="9" t="s">
        <v>365</v>
      </c>
      <c r="D554" s="10">
        <v>164</v>
      </c>
      <c r="E554" s="9" t="s">
        <v>158</v>
      </c>
      <c r="F554" s="10">
        <v>164</v>
      </c>
      <c r="G554" s="10">
        <v>164.8</v>
      </c>
      <c r="H554" s="10">
        <v>110</v>
      </c>
      <c r="I554" s="10">
        <v>131</v>
      </c>
      <c r="J554" s="10">
        <v>132</v>
      </c>
      <c r="K554" s="10">
        <v>103</v>
      </c>
      <c r="L554" s="10">
        <v>124</v>
      </c>
      <c r="M554" s="10">
        <v>14.2</v>
      </c>
      <c r="N554" s="10">
        <v>1634</v>
      </c>
      <c r="O554" s="10">
        <v>1.1499999999999999</v>
      </c>
      <c r="P554" s="10">
        <v>1876</v>
      </c>
      <c r="Q554" s="10">
        <v>194</v>
      </c>
      <c r="R554" s="10">
        <v>73</v>
      </c>
      <c r="S554" s="10">
        <v>46</v>
      </c>
      <c r="T554" s="10">
        <v>324</v>
      </c>
      <c r="U554" s="10">
        <v>27</v>
      </c>
      <c r="V554" s="10">
        <v>222</v>
      </c>
      <c r="W554" s="10">
        <v>0.58499999999999996</v>
      </c>
      <c r="X554" s="10">
        <v>227</v>
      </c>
      <c r="Y554" s="10">
        <v>107</v>
      </c>
      <c r="Z554" s="10">
        <v>97</v>
      </c>
      <c r="AA554" s="10">
        <v>10</v>
      </c>
      <c r="AB554" s="10">
        <v>7.9</v>
      </c>
      <c r="AC554" s="9" t="s">
        <v>188</v>
      </c>
      <c r="AD554" s="9" t="s">
        <v>169</v>
      </c>
      <c r="AE554" s="9" t="s">
        <v>185</v>
      </c>
      <c r="AF554" s="10"/>
      <c r="AG554" s="10"/>
    </row>
    <row r="555" spans="1:33">
      <c r="A555" s="7" t="s">
        <v>155</v>
      </c>
      <c r="B555" s="8" t="s">
        <v>321</v>
      </c>
      <c r="C555" s="9" t="s">
        <v>365</v>
      </c>
      <c r="D555" s="10">
        <v>172</v>
      </c>
      <c r="E555" s="9" t="s">
        <v>158</v>
      </c>
      <c r="F555" s="10">
        <v>172</v>
      </c>
      <c r="G555" s="10">
        <v>172.7</v>
      </c>
      <c r="H555" s="10">
        <v>118</v>
      </c>
      <c r="I555" s="10">
        <v>136</v>
      </c>
      <c r="J555" s="10">
        <v>133</v>
      </c>
      <c r="K555" s="10">
        <v>103</v>
      </c>
      <c r="L555" s="10">
        <v>125</v>
      </c>
      <c r="M555" s="10">
        <v>14.8</v>
      </c>
      <c r="N555" s="10">
        <v>1660</v>
      </c>
      <c r="O555" s="10">
        <v>1.19</v>
      </c>
      <c r="P555" s="10">
        <v>1973</v>
      </c>
      <c r="Q555" s="10">
        <v>201</v>
      </c>
      <c r="R555" s="10">
        <v>84</v>
      </c>
      <c r="S555" s="10">
        <v>46</v>
      </c>
      <c r="T555" s="10">
        <v>328</v>
      </c>
      <c r="U555" s="10">
        <v>27</v>
      </c>
      <c r="V555" s="10">
        <v>220</v>
      </c>
      <c r="W555" s="10">
        <v>0.57199999999999995</v>
      </c>
      <c r="X555" s="10">
        <v>250</v>
      </c>
      <c r="Y555" s="10">
        <v>116</v>
      </c>
      <c r="Z555" s="10">
        <v>78</v>
      </c>
      <c r="AA555" s="10">
        <v>10</v>
      </c>
      <c r="AB555" s="10">
        <v>9.5</v>
      </c>
      <c r="AC555" s="9" t="s">
        <v>188</v>
      </c>
      <c r="AD555" s="9" t="s">
        <v>169</v>
      </c>
      <c r="AE555" s="9" t="s">
        <v>185</v>
      </c>
      <c r="AF555" s="10"/>
      <c r="AG555" s="10"/>
    </row>
    <row r="556" spans="1:33">
      <c r="A556" s="7" t="s">
        <v>155</v>
      </c>
      <c r="B556" s="8" t="s">
        <v>321</v>
      </c>
      <c r="C556" s="9" t="s">
        <v>365</v>
      </c>
      <c r="D556" s="10">
        <v>180</v>
      </c>
      <c r="E556" s="9" t="s">
        <v>158</v>
      </c>
      <c r="F556" s="10">
        <v>180</v>
      </c>
      <c r="G556" s="10">
        <v>179.2</v>
      </c>
      <c r="H556" s="10">
        <v>125</v>
      </c>
      <c r="I556" s="10">
        <v>143</v>
      </c>
      <c r="J556" s="10">
        <v>133</v>
      </c>
      <c r="K556" s="10">
        <v>103</v>
      </c>
      <c r="L556" s="10">
        <v>125</v>
      </c>
      <c r="M556" s="10">
        <v>16.399999999999999</v>
      </c>
      <c r="N556" s="10">
        <v>1720</v>
      </c>
      <c r="O556" s="10">
        <v>1.19</v>
      </c>
      <c r="P556" s="10">
        <v>2048</v>
      </c>
      <c r="Q556" s="10">
        <v>224</v>
      </c>
      <c r="R556" s="10">
        <v>88</v>
      </c>
      <c r="S556" s="10">
        <v>44</v>
      </c>
      <c r="T556" s="10">
        <v>326</v>
      </c>
      <c r="U556" s="10">
        <v>26</v>
      </c>
      <c r="V556" s="10">
        <v>219</v>
      </c>
      <c r="W556" s="10">
        <v>0.59899999999999998</v>
      </c>
      <c r="X556" s="10">
        <v>244</v>
      </c>
      <c r="Y556" s="10">
        <v>116</v>
      </c>
      <c r="Z556" s="10">
        <v>82</v>
      </c>
      <c r="AA556" s="10">
        <v>10</v>
      </c>
      <c r="AB556" s="10">
        <v>9</v>
      </c>
      <c r="AC556" s="9" t="s">
        <v>188</v>
      </c>
      <c r="AD556" s="9" t="s">
        <v>169</v>
      </c>
      <c r="AE556" s="9" t="s">
        <v>185</v>
      </c>
      <c r="AF556" s="10"/>
      <c r="AG556" s="10"/>
    </row>
    <row r="557" spans="1:33">
      <c r="A557" s="7" t="s">
        <v>155</v>
      </c>
      <c r="B557" s="8" t="s">
        <v>321</v>
      </c>
      <c r="C557" s="9" t="s">
        <v>365</v>
      </c>
      <c r="D557" s="10">
        <v>188</v>
      </c>
      <c r="E557" s="9" t="s">
        <v>158</v>
      </c>
      <c r="F557" s="10">
        <v>188</v>
      </c>
      <c r="G557" s="10">
        <v>188.6</v>
      </c>
      <c r="H557" s="10">
        <v>134</v>
      </c>
      <c r="I557" s="10">
        <v>149</v>
      </c>
      <c r="J557" s="10">
        <v>136</v>
      </c>
      <c r="K557" s="10">
        <v>104</v>
      </c>
      <c r="L557" s="10">
        <v>126</v>
      </c>
      <c r="M557" s="10">
        <v>17.399999999999999</v>
      </c>
      <c r="N557" s="10">
        <v>1891</v>
      </c>
      <c r="O557" s="10">
        <v>1.1499999999999999</v>
      </c>
      <c r="P557" s="10">
        <v>2168</v>
      </c>
      <c r="Q557" s="10">
        <v>237</v>
      </c>
      <c r="R557" s="10">
        <v>89</v>
      </c>
      <c r="S557" s="10">
        <v>45</v>
      </c>
      <c r="T557" s="10">
        <v>322</v>
      </c>
      <c r="U557" s="10">
        <v>26</v>
      </c>
      <c r="V557" s="10">
        <v>221</v>
      </c>
      <c r="W557" s="10">
        <v>0.56799999999999995</v>
      </c>
      <c r="X557" s="10">
        <v>271</v>
      </c>
      <c r="Y557" s="10">
        <v>124</v>
      </c>
      <c r="Z557" s="10">
        <v>51</v>
      </c>
      <c r="AA557" s="10">
        <v>11</v>
      </c>
      <c r="AB557" s="10">
        <v>10.6</v>
      </c>
      <c r="AC557" s="9" t="s">
        <v>188</v>
      </c>
      <c r="AD557" s="9" t="s">
        <v>169</v>
      </c>
      <c r="AE557" s="9" t="s">
        <v>185</v>
      </c>
      <c r="AF557" s="10"/>
      <c r="AG557" s="10"/>
    </row>
    <row r="558" spans="1:33">
      <c r="A558" s="7" t="s">
        <v>155</v>
      </c>
      <c r="B558" s="8" t="s">
        <v>321</v>
      </c>
      <c r="C558" s="9" t="s">
        <v>795</v>
      </c>
      <c r="D558" s="10">
        <v>177</v>
      </c>
      <c r="E558" s="9" t="s">
        <v>158</v>
      </c>
      <c r="F558" s="10">
        <v>177</v>
      </c>
      <c r="G558" s="10">
        <v>175.8</v>
      </c>
      <c r="H558" s="10">
        <v>117</v>
      </c>
      <c r="I558" s="10">
        <v>155</v>
      </c>
      <c r="J558" s="10">
        <v>127</v>
      </c>
      <c r="K558" s="10">
        <v>91</v>
      </c>
      <c r="L558" s="10">
        <v>124</v>
      </c>
      <c r="M558" s="10">
        <v>16.399999999999999</v>
      </c>
      <c r="N558" s="10">
        <v>1863</v>
      </c>
      <c r="O558" s="10">
        <v>0.98</v>
      </c>
      <c r="P558" s="10">
        <v>1825</v>
      </c>
      <c r="Q558" s="10">
        <v>186</v>
      </c>
      <c r="R558" s="10">
        <v>68</v>
      </c>
      <c r="S558" s="10">
        <v>46</v>
      </c>
      <c r="T558" s="10">
        <v>267</v>
      </c>
      <c r="U558" s="10">
        <v>41</v>
      </c>
      <c r="V558" s="10">
        <v>325</v>
      </c>
      <c r="W558" s="10">
        <v>0.89200000000000002</v>
      </c>
      <c r="X558" s="10">
        <v>125</v>
      </c>
      <c r="Y558" s="10">
        <v>82</v>
      </c>
      <c r="Z558" s="10">
        <v>142</v>
      </c>
      <c r="AA558" s="10">
        <v>7</v>
      </c>
      <c r="AB558" s="10">
        <v>3.5</v>
      </c>
      <c r="AC558" s="9" t="s">
        <v>184</v>
      </c>
      <c r="AD558" s="10"/>
      <c r="AE558" s="10"/>
      <c r="AF558" s="10"/>
      <c r="AG558" s="10"/>
    </row>
    <row r="559" spans="1:33">
      <c r="A559" s="7" t="s">
        <v>155</v>
      </c>
      <c r="B559" s="8" t="s">
        <v>245</v>
      </c>
      <c r="C559" s="9" t="s">
        <v>275</v>
      </c>
      <c r="D559" s="10">
        <v>171</v>
      </c>
      <c r="E559" s="9" t="s">
        <v>158</v>
      </c>
      <c r="F559" s="10">
        <v>171</v>
      </c>
      <c r="G559" s="10">
        <v>169.8</v>
      </c>
      <c r="H559" s="10">
        <v>111</v>
      </c>
      <c r="I559" s="10">
        <v>142</v>
      </c>
      <c r="J559" s="10">
        <v>135</v>
      </c>
      <c r="K559" s="10">
        <v>103</v>
      </c>
      <c r="L559" s="10">
        <v>118</v>
      </c>
      <c r="M559" s="10">
        <v>20.399999999999999</v>
      </c>
      <c r="N559" s="10">
        <v>1463</v>
      </c>
      <c r="O559" s="10">
        <v>1.3</v>
      </c>
      <c r="P559" s="10">
        <v>1895</v>
      </c>
      <c r="Q559" s="10">
        <v>216</v>
      </c>
      <c r="R559" s="10">
        <v>93</v>
      </c>
      <c r="S559" s="10">
        <v>65</v>
      </c>
      <c r="T559" s="10">
        <v>419</v>
      </c>
      <c r="U559" s="10">
        <v>14</v>
      </c>
      <c r="V559" s="10">
        <v>165</v>
      </c>
      <c r="W559" s="10">
        <v>0.216</v>
      </c>
      <c r="X559" s="10">
        <v>163</v>
      </c>
      <c r="Y559" s="10">
        <v>119</v>
      </c>
      <c r="Z559" s="10">
        <v>256</v>
      </c>
      <c r="AA559" s="10">
        <v>1</v>
      </c>
      <c r="AB559" s="10">
        <v>12.9</v>
      </c>
      <c r="AC559" s="9" t="s">
        <v>178</v>
      </c>
      <c r="AD559" s="9" t="s">
        <v>185</v>
      </c>
      <c r="AE559" s="9" t="s">
        <v>198</v>
      </c>
      <c r="AF559" s="10"/>
      <c r="AG559" s="10"/>
    </row>
    <row r="560" spans="1:33">
      <c r="A560" s="7" t="s">
        <v>155</v>
      </c>
      <c r="B560" s="8" t="s">
        <v>245</v>
      </c>
      <c r="C560" s="9" t="s">
        <v>275</v>
      </c>
      <c r="D560" s="10">
        <v>178</v>
      </c>
      <c r="E560" s="9" t="s">
        <v>158</v>
      </c>
      <c r="F560" s="10">
        <v>178</v>
      </c>
      <c r="G560" s="10">
        <v>176.9</v>
      </c>
      <c r="H560" s="10">
        <v>118</v>
      </c>
      <c r="I560" s="10">
        <v>148</v>
      </c>
      <c r="J560" s="10">
        <v>137</v>
      </c>
      <c r="K560" s="10">
        <v>104</v>
      </c>
      <c r="L560" s="10">
        <v>120</v>
      </c>
      <c r="M560" s="10">
        <v>21.7</v>
      </c>
      <c r="N560" s="10">
        <v>1560</v>
      </c>
      <c r="O560" s="10">
        <v>1.29</v>
      </c>
      <c r="P560" s="10">
        <v>2007</v>
      </c>
      <c r="Q560" s="10">
        <v>243</v>
      </c>
      <c r="R560" s="10">
        <v>107</v>
      </c>
      <c r="S560" s="10">
        <v>63</v>
      </c>
      <c r="T560" s="10">
        <v>411</v>
      </c>
      <c r="U560" s="10">
        <v>13</v>
      </c>
      <c r="V560" s="10">
        <v>175</v>
      </c>
      <c r="W560" s="10">
        <v>0.20499999999999999</v>
      </c>
      <c r="X560" s="10">
        <v>164</v>
      </c>
      <c r="Y560" s="10">
        <v>126</v>
      </c>
      <c r="Z560" s="10">
        <v>247</v>
      </c>
      <c r="AA560" s="10">
        <v>4</v>
      </c>
      <c r="AB560" s="10">
        <v>11.4</v>
      </c>
      <c r="AC560" s="9" t="s">
        <v>188</v>
      </c>
      <c r="AD560" s="9" t="s">
        <v>178</v>
      </c>
      <c r="AE560" s="9" t="s">
        <v>185</v>
      </c>
      <c r="AF560" s="9" t="s">
        <v>198</v>
      </c>
      <c r="AG560" s="10"/>
    </row>
    <row r="561" spans="1:33">
      <c r="A561" s="7" t="s">
        <v>155</v>
      </c>
      <c r="B561" s="8" t="s">
        <v>245</v>
      </c>
      <c r="C561" s="9" t="s">
        <v>275</v>
      </c>
      <c r="D561" s="10">
        <v>185</v>
      </c>
      <c r="E561" s="9" t="s">
        <v>158</v>
      </c>
      <c r="F561" s="10">
        <v>185</v>
      </c>
      <c r="G561" s="10">
        <v>183.6</v>
      </c>
      <c r="H561" s="10">
        <v>118</v>
      </c>
      <c r="I561" s="10">
        <v>152</v>
      </c>
      <c r="J561" s="10">
        <v>139</v>
      </c>
      <c r="K561" s="10">
        <v>107</v>
      </c>
      <c r="L561" s="10">
        <v>123</v>
      </c>
      <c r="M561" s="10">
        <v>22.7</v>
      </c>
      <c r="N561" s="10">
        <v>1692</v>
      </c>
      <c r="O561" s="10">
        <v>1.26</v>
      </c>
      <c r="P561" s="10">
        <v>2133</v>
      </c>
      <c r="Q561" s="10">
        <v>264</v>
      </c>
      <c r="R561" s="10">
        <v>124</v>
      </c>
      <c r="S561" s="10">
        <v>69</v>
      </c>
      <c r="T561" s="10">
        <v>464</v>
      </c>
      <c r="U561" s="10">
        <v>9</v>
      </c>
      <c r="V561" s="10">
        <v>189</v>
      </c>
      <c r="W561" s="10">
        <v>0.13100000000000001</v>
      </c>
      <c r="X561" s="10">
        <v>185</v>
      </c>
      <c r="Y561" s="10">
        <v>135</v>
      </c>
      <c r="Z561" s="10">
        <v>280</v>
      </c>
      <c r="AA561" s="10">
        <v>4</v>
      </c>
      <c r="AB561" s="10">
        <v>11.8</v>
      </c>
      <c r="AC561" s="9" t="s">
        <v>178</v>
      </c>
      <c r="AD561" s="9" t="s">
        <v>185</v>
      </c>
      <c r="AE561" s="9" t="s">
        <v>198</v>
      </c>
      <c r="AF561" s="10"/>
      <c r="AG561" s="10"/>
    </row>
    <row r="562" spans="1:33">
      <c r="A562" s="7" t="s">
        <v>155</v>
      </c>
      <c r="B562" s="8" t="s">
        <v>245</v>
      </c>
      <c r="C562" s="9" t="s">
        <v>616</v>
      </c>
      <c r="D562" s="10">
        <v>162</v>
      </c>
      <c r="E562" s="9" t="s">
        <v>158</v>
      </c>
      <c r="F562" s="10">
        <v>162</v>
      </c>
      <c r="G562" s="10">
        <v>161</v>
      </c>
      <c r="H562" s="10">
        <v>116</v>
      </c>
      <c r="I562" s="10">
        <v>138</v>
      </c>
      <c r="J562" s="10">
        <v>124</v>
      </c>
      <c r="K562" s="10">
        <v>93</v>
      </c>
      <c r="L562" s="10">
        <v>111</v>
      </c>
      <c r="M562" s="10">
        <v>18.5</v>
      </c>
      <c r="N562" s="10">
        <v>1133</v>
      </c>
      <c r="O562" s="10">
        <v>1.45</v>
      </c>
      <c r="P562" s="10">
        <v>1640</v>
      </c>
      <c r="Q562" s="10">
        <v>118</v>
      </c>
      <c r="R562" s="10">
        <v>50</v>
      </c>
      <c r="S562" s="10">
        <v>58</v>
      </c>
      <c r="T562" s="10">
        <v>311</v>
      </c>
      <c r="U562" s="10">
        <v>5</v>
      </c>
      <c r="V562" s="10">
        <v>138</v>
      </c>
      <c r="W562" s="10">
        <v>8.5000000000000006E-2</v>
      </c>
      <c r="X562" s="10">
        <v>150</v>
      </c>
      <c r="Y562" s="10">
        <v>76</v>
      </c>
      <c r="Z562" s="10">
        <v>161</v>
      </c>
      <c r="AA562" s="10">
        <v>2</v>
      </c>
      <c r="AB562" s="10">
        <v>10</v>
      </c>
      <c r="AC562" s="9" t="s">
        <v>185</v>
      </c>
      <c r="AD562" s="9" t="s">
        <v>198</v>
      </c>
      <c r="AE562" s="10"/>
      <c r="AF562" s="10"/>
      <c r="AG562" s="10"/>
    </row>
    <row r="563" spans="1:33">
      <c r="A563" s="7" t="s">
        <v>155</v>
      </c>
      <c r="B563" s="8" t="s">
        <v>245</v>
      </c>
      <c r="C563" s="9" t="s">
        <v>616</v>
      </c>
      <c r="D563" s="10">
        <v>169</v>
      </c>
      <c r="E563" s="9" t="s">
        <v>158</v>
      </c>
      <c r="F563" s="10">
        <v>169</v>
      </c>
      <c r="G563" s="10">
        <v>168.5</v>
      </c>
      <c r="H563" s="10">
        <v>130</v>
      </c>
      <c r="I563" s="10">
        <v>144</v>
      </c>
      <c r="J563" s="10">
        <v>125</v>
      </c>
      <c r="K563" s="10">
        <v>94</v>
      </c>
      <c r="L563" s="10">
        <v>111</v>
      </c>
      <c r="M563" s="10">
        <v>19.899999999999999</v>
      </c>
      <c r="N563" s="10">
        <v>1198</v>
      </c>
      <c r="O563" s="10">
        <v>1.45</v>
      </c>
      <c r="P563" s="10">
        <v>1735</v>
      </c>
      <c r="Q563" s="10">
        <v>136</v>
      </c>
      <c r="R563" s="10">
        <v>58</v>
      </c>
      <c r="S563" s="10">
        <v>54</v>
      </c>
      <c r="T563" s="10">
        <v>280</v>
      </c>
      <c r="U563" s="10">
        <v>3</v>
      </c>
      <c r="V563" s="10">
        <v>106</v>
      </c>
      <c r="W563" s="10">
        <v>6.2E-2</v>
      </c>
      <c r="X563" s="10">
        <v>161</v>
      </c>
      <c r="Y563" s="10">
        <v>87</v>
      </c>
      <c r="Z563" s="10">
        <v>119</v>
      </c>
      <c r="AA563" s="10">
        <v>6</v>
      </c>
      <c r="AB563" s="10">
        <v>9.8000000000000007</v>
      </c>
      <c r="AC563" s="9" t="s">
        <v>185</v>
      </c>
      <c r="AD563" s="9" t="s">
        <v>198</v>
      </c>
      <c r="AE563" s="10"/>
      <c r="AF563" s="10"/>
      <c r="AG563" s="10"/>
    </row>
    <row r="564" spans="1:33">
      <c r="A564" s="7" t="s">
        <v>155</v>
      </c>
      <c r="B564" s="8" t="s">
        <v>245</v>
      </c>
      <c r="C564" s="9" t="s">
        <v>616</v>
      </c>
      <c r="D564" s="10">
        <v>176</v>
      </c>
      <c r="E564" s="9" t="s">
        <v>158</v>
      </c>
      <c r="F564" s="10">
        <v>176</v>
      </c>
      <c r="G564" s="10">
        <v>174.7</v>
      </c>
      <c r="H564" s="10">
        <v>130</v>
      </c>
      <c r="I564" s="10">
        <v>150</v>
      </c>
      <c r="J564" s="10">
        <v>126</v>
      </c>
      <c r="K564" s="10">
        <v>95</v>
      </c>
      <c r="L564" s="10">
        <v>112</v>
      </c>
      <c r="M564" s="10">
        <v>21</v>
      </c>
      <c r="N564" s="10">
        <v>1265</v>
      </c>
      <c r="O564" s="10">
        <v>1.44</v>
      </c>
      <c r="P564" s="10">
        <v>1824</v>
      </c>
      <c r="Q564" s="10">
        <v>155</v>
      </c>
      <c r="R564" s="10">
        <v>66</v>
      </c>
      <c r="S564" s="10">
        <v>65</v>
      </c>
      <c r="T564" s="10">
        <v>301</v>
      </c>
      <c r="U564" s="10">
        <v>5</v>
      </c>
      <c r="V564" s="10">
        <v>149</v>
      </c>
      <c r="W564" s="10">
        <v>7.5999999999999998E-2</v>
      </c>
      <c r="X564" s="10">
        <v>161</v>
      </c>
      <c r="Y564" s="10">
        <v>90</v>
      </c>
      <c r="Z564" s="10">
        <v>140</v>
      </c>
      <c r="AA564" s="10">
        <v>5</v>
      </c>
      <c r="AB564" s="10">
        <v>9.3000000000000007</v>
      </c>
      <c r="AC564" s="9" t="s">
        <v>185</v>
      </c>
      <c r="AD564" s="9" t="s">
        <v>198</v>
      </c>
      <c r="AE564" s="10"/>
      <c r="AF564" s="10"/>
      <c r="AG564" s="10"/>
    </row>
    <row r="565" spans="1:33">
      <c r="A565" s="7" t="s">
        <v>155</v>
      </c>
      <c r="B565" s="8" t="s">
        <v>245</v>
      </c>
      <c r="C565" s="9" t="s">
        <v>616</v>
      </c>
      <c r="D565" s="10">
        <v>183</v>
      </c>
      <c r="E565" s="9" t="s">
        <v>158</v>
      </c>
      <c r="F565" s="10">
        <v>183</v>
      </c>
      <c r="G565" s="10">
        <v>181.9</v>
      </c>
      <c r="H565" s="10">
        <v>139</v>
      </c>
      <c r="I565" s="10">
        <v>156</v>
      </c>
      <c r="J565" s="10">
        <v>127</v>
      </c>
      <c r="K565" s="10">
        <v>96</v>
      </c>
      <c r="L565" s="10">
        <v>114</v>
      </c>
      <c r="M565" s="10">
        <v>22.3</v>
      </c>
      <c r="N565" s="10">
        <v>1367</v>
      </c>
      <c r="O565" s="10">
        <v>1.4</v>
      </c>
      <c r="P565" s="10">
        <v>1919</v>
      </c>
      <c r="Q565" s="10">
        <v>179</v>
      </c>
      <c r="R565" s="10">
        <v>78</v>
      </c>
      <c r="S565" s="10">
        <v>60</v>
      </c>
      <c r="T565" s="10">
        <v>308</v>
      </c>
      <c r="U565" s="10">
        <v>3</v>
      </c>
      <c r="V565" s="10">
        <v>125</v>
      </c>
      <c r="W565" s="10">
        <v>5.8000000000000003E-2</v>
      </c>
      <c r="X565" s="10">
        <v>172</v>
      </c>
      <c r="Y565" s="10">
        <v>91</v>
      </c>
      <c r="Z565" s="10">
        <v>136</v>
      </c>
      <c r="AA565" s="10">
        <v>6</v>
      </c>
      <c r="AB565" s="10">
        <v>9.6</v>
      </c>
      <c r="AC565" s="9" t="s">
        <v>185</v>
      </c>
      <c r="AD565" s="9" t="s">
        <v>198</v>
      </c>
      <c r="AE565" s="10"/>
      <c r="AF565" s="10"/>
      <c r="AG565" s="10"/>
    </row>
    <row r="566" spans="1:33">
      <c r="A566" s="7" t="s">
        <v>155</v>
      </c>
      <c r="B566" s="8" t="s">
        <v>245</v>
      </c>
      <c r="C566" s="9" t="s">
        <v>832</v>
      </c>
      <c r="D566" s="10">
        <v>151</v>
      </c>
      <c r="E566" s="9" t="s">
        <v>385</v>
      </c>
      <c r="F566" s="10">
        <v>151</v>
      </c>
      <c r="G566" s="10">
        <v>149.19999999999999</v>
      </c>
      <c r="H566" s="10">
        <v>121</v>
      </c>
      <c r="I566" s="10">
        <v>130</v>
      </c>
      <c r="J566" s="10">
        <v>117</v>
      </c>
      <c r="K566" s="10">
        <v>81</v>
      </c>
      <c r="L566" s="10">
        <v>106</v>
      </c>
      <c r="M566" s="10">
        <v>14.1</v>
      </c>
      <c r="N566" s="10">
        <v>1365</v>
      </c>
      <c r="O566" s="10">
        <v>1</v>
      </c>
      <c r="P566" s="10">
        <v>1370</v>
      </c>
      <c r="Q566" s="10">
        <v>114</v>
      </c>
      <c r="R566" s="10">
        <v>43</v>
      </c>
      <c r="S566" s="10">
        <v>47</v>
      </c>
      <c r="T566" s="10">
        <v>151</v>
      </c>
      <c r="U566" s="10">
        <v>33</v>
      </c>
      <c r="V566" s="10">
        <v>127</v>
      </c>
      <c r="W566" s="10">
        <v>0.71</v>
      </c>
      <c r="X566" s="10">
        <v>100</v>
      </c>
      <c r="Y566" s="10">
        <v>91</v>
      </c>
      <c r="Z566" s="10">
        <v>51</v>
      </c>
      <c r="AA566" s="10">
        <v>12</v>
      </c>
      <c r="AB566" s="10">
        <v>-0.9</v>
      </c>
      <c r="AC566" s="9" t="s">
        <v>188</v>
      </c>
      <c r="AD566" s="10"/>
      <c r="AE566" s="10"/>
      <c r="AF566" s="10"/>
      <c r="AG566" s="10"/>
    </row>
    <row r="567" spans="1:33">
      <c r="A567" s="7" t="s">
        <v>155</v>
      </c>
      <c r="B567" s="8" t="s">
        <v>245</v>
      </c>
      <c r="C567" s="9" t="s">
        <v>832</v>
      </c>
      <c r="D567" s="10">
        <v>161</v>
      </c>
      <c r="E567" s="9" t="s">
        <v>385</v>
      </c>
      <c r="F567" s="10">
        <v>161</v>
      </c>
      <c r="G567" s="10">
        <v>159.1</v>
      </c>
      <c r="H567" s="10">
        <v>130</v>
      </c>
      <c r="I567" s="10">
        <v>141</v>
      </c>
      <c r="J567" s="10">
        <v>118</v>
      </c>
      <c r="K567" s="10">
        <v>82</v>
      </c>
      <c r="L567" s="10">
        <v>107</v>
      </c>
      <c r="M567" s="10">
        <v>15.7</v>
      </c>
      <c r="N567" s="10">
        <v>1564</v>
      </c>
      <c r="O567" s="10">
        <v>0.95</v>
      </c>
      <c r="P567" s="10">
        <v>1482</v>
      </c>
      <c r="Q567" s="10">
        <v>156</v>
      </c>
      <c r="R567" s="10">
        <v>56</v>
      </c>
      <c r="S567" s="10">
        <v>47</v>
      </c>
      <c r="T567" s="10">
        <v>156</v>
      </c>
      <c r="U567" s="10">
        <v>36</v>
      </c>
      <c r="V567" s="10">
        <v>139</v>
      </c>
      <c r="W567" s="10">
        <v>0.752</v>
      </c>
      <c r="X567" s="10">
        <v>94</v>
      </c>
      <c r="Y567" s="10">
        <v>90</v>
      </c>
      <c r="Z567" s="10">
        <v>62</v>
      </c>
      <c r="AA567" s="10">
        <v>9</v>
      </c>
      <c r="AB567" s="10">
        <v>-1.3</v>
      </c>
      <c r="AC567" s="9" t="s">
        <v>188</v>
      </c>
      <c r="AD567" s="10"/>
      <c r="AE567" s="10"/>
      <c r="AF567" s="10"/>
      <c r="AG567" s="10"/>
    </row>
    <row r="568" spans="1:33">
      <c r="A568" s="7" t="s">
        <v>155</v>
      </c>
      <c r="B568" s="8" t="s">
        <v>245</v>
      </c>
      <c r="C568" s="9" t="s">
        <v>260</v>
      </c>
      <c r="D568" s="10">
        <v>170</v>
      </c>
      <c r="E568" s="9" t="s">
        <v>158</v>
      </c>
      <c r="F568" s="10">
        <v>170</v>
      </c>
      <c r="G568" s="10">
        <v>168.7</v>
      </c>
      <c r="H568" s="10">
        <v>116</v>
      </c>
      <c r="I568" s="10">
        <v>139</v>
      </c>
      <c r="J568" s="10">
        <v>134</v>
      </c>
      <c r="K568" s="10">
        <v>100</v>
      </c>
      <c r="L568" s="10">
        <v>124</v>
      </c>
      <c r="M568" s="10">
        <v>13.9</v>
      </c>
      <c r="N568" s="10">
        <v>1664</v>
      </c>
      <c r="O568" s="10">
        <v>1.1399999999999999</v>
      </c>
      <c r="P568" s="10">
        <v>1900</v>
      </c>
      <c r="Q568" s="10">
        <v>172</v>
      </c>
      <c r="R568" s="10">
        <v>89</v>
      </c>
      <c r="S568" s="10">
        <v>48</v>
      </c>
      <c r="T568" s="10">
        <v>342</v>
      </c>
      <c r="U568" s="10">
        <v>29</v>
      </c>
      <c r="V568" s="10">
        <v>182</v>
      </c>
      <c r="W568" s="10">
        <v>0.60099999999999998</v>
      </c>
      <c r="X568" s="10">
        <v>153</v>
      </c>
      <c r="Y568" s="10">
        <v>145</v>
      </c>
      <c r="Z568" s="10">
        <v>189</v>
      </c>
      <c r="AA568" s="10">
        <v>7</v>
      </c>
      <c r="AB568" s="10">
        <v>9.5</v>
      </c>
      <c r="AC568" s="9" t="s">
        <v>188</v>
      </c>
      <c r="AD568" s="9" t="s">
        <v>185</v>
      </c>
      <c r="AE568" s="10"/>
      <c r="AF568" s="10"/>
      <c r="AG568" s="10"/>
    </row>
    <row r="569" spans="1:33">
      <c r="A569" s="7" t="s">
        <v>155</v>
      </c>
      <c r="B569" s="8" t="s">
        <v>245</v>
      </c>
      <c r="C569" s="9" t="s">
        <v>260</v>
      </c>
      <c r="D569" s="10">
        <v>177</v>
      </c>
      <c r="E569" s="9" t="s">
        <v>158</v>
      </c>
      <c r="F569" s="10">
        <v>177</v>
      </c>
      <c r="G569" s="10">
        <v>176.8</v>
      </c>
      <c r="H569" s="10">
        <v>121</v>
      </c>
      <c r="I569" s="10">
        <v>146</v>
      </c>
      <c r="J569" s="10">
        <v>135</v>
      </c>
      <c r="K569" s="10">
        <v>101</v>
      </c>
      <c r="L569" s="10">
        <v>125</v>
      </c>
      <c r="M569" s="10">
        <v>15.4</v>
      </c>
      <c r="N569" s="10">
        <v>1850</v>
      </c>
      <c r="O569" s="10">
        <v>1.08</v>
      </c>
      <c r="P569" s="10">
        <v>2004</v>
      </c>
      <c r="Q569" s="10">
        <v>214</v>
      </c>
      <c r="R569" s="10">
        <v>104</v>
      </c>
      <c r="S569" s="10">
        <v>49</v>
      </c>
      <c r="T569" s="10">
        <v>368</v>
      </c>
      <c r="U569" s="10">
        <v>29</v>
      </c>
      <c r="V569" s="10">
        <v>195</v>
      </c>
      <c r="W569" s="10">
        <v>0.59799999999999998</v>
      </c>
      <c r="X569" s="10">
        <v>158</v>
      </c>
      <c r="Y569" s="10">
        <v>154</v>
      </c>
      <c r="Z569" s="10">
        <v>210</v>
      </c>
      <c r="AA569" s="10">
        <v>6</v>
      </c>
      <c r="AB569" s="10">
        <v>9.1999999999999993</v>
      </c>
      <c r="AC569" s="9" t="s">
        <v>188</v>
      </c>
      <c r="AD569" s="9" t="s">
        <v>169</v>
      </c>
      <c r="AE569" s="9" t="s">
        <v>185</v>
      </c>
      <c r="AF569" s="10"/>
      <c r="AG569" s="10"/>
    </row>
    <row r="570" spans="1:33">
      <c r="A570" s="7" t="s">
        <v>155</v>
      </c>
      <c r="B570" s="8" t="s">
        <v>245</v>
      </c>
      <c r="C570" s="9" t="s">
        <v>260</v>
      </c>
      <c r="D570" s="10">
        <v>191</v>
      </c>
      <c r="E570" s="9" t="s">
        <v>158</v>
      </c>
      <c r="F570" s="10">
        <v>191</v>
      </c>
      <c r="G570" s="10">
        <v>190.7</v>
      </c>
      <c r="H570" s="10">
        <v>132</v>
      </c>
      <c r="I570" s="10">
        <v>157</v>
      </c>
      <c r="J570" s="10">
        <v>137</v>
      </c>
      <c r="K570" s="10">
        <v>103</v>
      </c>
      <c r="L570" s="10">
        <v>127</v>
      </c>
      <c r="M570" s="10">
        <v>17.7</v>
      </c>
      <c r="N570" s="10">
        <v>2039</v>
      </c>
      <c r="O570" s="10">
        <v>1.08</v>
      </c>
      <c r="P570" s="10">
        <v>2209</v>
      </c>
      <c r="Q570" s="10">
        <v>251</v>
      </c>
      <c r="R570" s="10">
        <v>121</v>
      </c>
      <c r="S570" s="10">
        <v>50</v>
      </c>
      <c r="T570" s="10">
        <v>379</v>
      </c>
      <c r="U570" s="10">
        <v>28</v>
      </c>
      <c r="V570" s="10">
        <v>212</v>
      </c>
      <c r="W570" s="10">
        <v>0.55200000000000005</v>
      </c>
      <c r="X570" s="10">
        <v>174</v>
      </c>
      <c r="Y570" s="10">
        <v>163</v>
      </c>
      <c r="Z570" s="10">
        <v>204</v>
      </c>
      <c r="AA570" s="10">
        <v>6</v>
      </c>
      <c r="AB570" s="10">
        <v>10.6</v>
      </c>
      <c r="AC570" s="9" t="s">
        <v>188</v>
      </c>
      <c r="AD570" s="9" t="s">
        <v>169</v>
      </c>
      <c r="AE570" s="9" t="s">
        <v>185</v>
      </c>
      <c r="AF570" s="10"/>
      <c r="AG570" s="10"/>
    </row>
    <row r="571" spans="1:33">
      <c r="A571" s="7" t="s">
        <v>155</v>
      </c>
      <c r="B571" s="8" t="s">
        <v>245</v>
      </c>
      <c r="C571" s="9" t="s">
        <v>337</v>
      </c>
      <c r="D571" s="10">
        <v>156</v>
      </c>
      <c r="E571" s="9" t="s">
        <v>163</v>
      </c>
      <c r="F571" s="10">
        <v>156</v>
      </c>
      <c r="G571" s="10">
        <v>154.80000000000001</v>
      </c>
      <c r="H571" s="10">
        <v>109</v>
      </c>
      <c r="I571" s="10">
        <v>128</v>
      </c>
      <c r="J571" s="10">
        <v>132</v>
      </c>
      <c r="K571" s="10">
        <v>98</v>
      </c>
      <c r="L571" s="10">
        <v>122</v>
      </c>
      <c r="M571" s="10">
        <v>11.9</v>
      </c>
      <c r="N571" s="10">
        <v>1519</v>
      </c>
      <c r="O571" s="10">
        <v>1.1299999999999999</v>
      </c>
      <c r="P571" s="10">
        <v>1716</v>
      </c>
      <c r="Q571" s="10">
        <v>159</v>
      </c>
      <c r="R571" s="10">
        <v>80</v>
      </c>
      <c r="S571" s="10">
        <v>48</v>
      </c>
      <c r="T571" s="10">
        <v>257</v>
      </c>
      <c r="U571" s="10">
        <v>34</v>
      </c>
      <c r="V571" s="10">
        <v>198</v>
      </c>
      <c r="W571" s="10">
        <v>0.71899999999999997</v>
      </c>
      <c r="X571" s="10">
        <v>132</v>
      </c>
      <c r="Y571" s="10">
        <v>137</v>
      </c>
      <c r="Z571" s="10">
        <v>125</v>
      </c>
      <c r="AA571" s="10">
        <v>4</v>
      </c>
      <c r="AB571" s="10">
        <v>9</v>
      </c>
      <c r="AC571" s="9" t="s">
        <v>188</v>
      </c>
      <c r="AD571" s="9" t="s">
        <v>185</v>
      </c>
      <c r="AE571" s="10"/>
      <c r="AF571" s="10"/>
      <c r="AG571" s="10"/>
    </row>
    <row r="572" spans="1:33">
      <c r="A572" s="7" t="s">
        <v>155</v>
      </c>
      <c r="B572" s="8" t="s">
        <v>245</v>
      </c>
      <c r="C572" s="9" t="s">
        <v>337</v>
      </c>
      <c r="D572" s="10">
        <v>163</v>
      </c>
      <c r="E572" s="9" t="s">
        <v>163</v>
      </c>
      <c r="F572" s="10">
        <v>163</v>
      </c>
      <c r="G572" s="10">
        <v>162.4</v>
      </c>
      <c r="H572" s="10">
        <v>106</v>
      </c>
      <c r="I572" s="10">
        <v>134</v>
      </c>
      <c r="J572" s="10">
        <v>134</v>
      </c>
      <c r="K572" s="10">
        <v>99</v>
      </c>
      <c r="L572" s="10">
        <v>124</v>
      </c>
      <c r="M572" s="10">
        <v>12.7</v>
      </c>
      <c r="N572" s="10">
        <v>1609</v>
      </c>
      <c r="O572" s="10">
        <v>1.1299999999999999</v>
      </c>
      <c r="P572" s="10">
        <v>1821</v>
      </c>
      <c r="Q572" s="10">
        <v>170</v>
      </c>
      <c r="R572" s="10">
        <v>82</v>
      </c>
      <c r="S572" s="10">
        <v>51</v>
      </c>
      <c r="T572" s="10">
        <v>345</v>
      </c>
      <c r="U572" s="10">
        <v>32</v>
      </c>
      <c r="V572" s="10">
        <v>218</v>
      </c>
      <c r="W572" s="10">
        <v>0.623</v>
      </c>
      <c r="X572" s="10">
        <v>143</v>
      </c>
      <c r="Y572" s="10">
        <v>145</v>
      </c>
      <c r="Z572" s="10">
        <v>202</v>
      </c>
      <c r="AA572" s="10">
        <v>5</v>
      </c>
      <c r="AB572" s="10">
        <v>9.9</v>
      </c>
      <c r="AC572" s="9" t="s">
        <v>188</v>
      </c>
      <c r="AD572" s="9" t="s">
        <v>185</v>
      </c>
      <c r="AE572" s="10"/>
      <c r="AF572" s="10"/>
      <c r="AG572" s="10"/>
    </row>
    <row r="573" spans="1:33">
      <c r="A573" s="7" t="s">
        <v>155</v>
      </c>
      <c r="B573" s="8" t="s">
        <v>245</v>
      </c>
      <c r="C573" s="9" t="s">
        <v>337</v>
      </c>
      <c r="D573" s="10">
        <v>170</v>
      </c>
      <c r="E573" s="9" t="s">
        <v>163</v>
      </c>
      <c r="F573" s="10">
        <v>170</v>
      </c>
      <c r="G573" s="10">
        <v>168.3</v>
      </c>
      <c r="H573" s="10">
        <v>113</v>
      </c>
      <c r="I573" s="10">
        <v>139</v>
      </c>
      <c r="J573" s="10">
        <v>135</v>
      </c>
      <c r="K573" s="10">
        <v>100</v>
      </c>
      <c r="L573" s="10">
        <v>124</v>
      </c>
      <c r="M573" s="10">
        <v>13.7</v>
      </c>
      <c r="N573" s="10">
        <v>1700</v>
      </c>
      <c r="O573" s="10">
        <v>1.1200000000000001</v>
      </c>
      <c r="P573" s="10">
        <v>1900</v>
      </c>
      <c r="Q573" s="10">
        <v>191</v>
      </c>
      <c r="R573" s="10">
        <v>86</v>
      </c>
      <c r="S573" s="10">
        <v>50</v>
      </c>
      <c r="T573" s="10">
        <v>361</v>
      </c>
      <c r="U573" s="10">
        <v>30</v>
      </c>
      <c r="V573" s="10">
        <v>189</v>
      </c>
      <c r="W573" s="10">
        <v>0.59399999999999997</v>
      </c>
      <c r="X573" s="10">
        <v>153</v>
      </c>
      <c r="Y573" s="10">
        <v>139</v>
      </c>
      <c r="Z573" s="10">
        <v>208</v>
      </c>
      <c r="AA573" s="10">
        <v>6</v>
      </c>
      <c r="AB573" s="10">
        <v>10.5</v>
      </c>
      <c r="AC573" s="9" t="s">
        <v>188</v>
      </c>
      <c r="AD573" s="9" t="s">
        <v>185</v>
      </c>
      <c r="AE573" s="10"/>
      <c r="AF573" s="10"/>
      <c r="AG573" s="10"/>
    </row>
    <row r="574" spans="1:33">
      <c r="A574" s="7" t="s">
        <v>155</v>
      </c>
      <c r="B574" s="8" t="s">
        <v>245</v>
      </c>
      <c r="C574" s="9" t="s">
        <v>337</v>
      </c>
      <c r="D574" s="10">
        <v>177</v>
      </c>
      <c r="E574" s="9" t="s">
        <v>163</v>
      </c>
      <c r="F574" s="10">
        <v>177</v>
      </c>
      <c r="G574" s="10">
        <v>176.5</v>
      </c>
      <c r="H574" s="10">
        <v>119</v>
      </c>
      <c r="I574" s="10">
        <v>147</v>
      </c>
      <c r="J574" s="10">
        <v>135</v>
      </c>
      <c r="K574" s="10">
        <v>101</v>
      </c>
      <c r="L574" s="10">
        <v>125</v>
      </c>
      <c r="M574" s="10">
        <v>15.2</v>
      </c>
      <c r="N574" s="10">
        <v>1771</v>
      </c>
      <c r="O574" s="10">
        <v>1.1299999999999999</v>
      </c>
      <c r="P574" s="10">
        <v>2009</v>
      </c>
      <c r="Q574" s="10">
        <v>229</v>
      </c>
      <c r="R574" s="10">
        <v>105</v>
      </c>
      <c r="S574" s="10">
        <v>49</v>
      </c>
      <c r="T574" s="10">
        <v>380</v>
      </c>
      <c r="U574" s="10">
        <v>28</v>
      </c>
      <c r="V574" s="10">
        <v>192</v>
      </c>
      <c r="W574" s="10">
        <v>0.57499999999999996</v>
      </c>
      <c r="X574" s="10">
        <v>148</v>
      </c>
      <c r="Y574" s="10">
        <v>152</v>
      </c>
      <c r="Z574" s="10">
        <v>232</v>
      </c>
      <c r="AA574" s="10">
        <v>6</v>
      </c>
      <c r="AB574" s="10">
        <v>10.7</v>
      </c>
      <c r="AC574" s="9" t="s">
        <v>188</v>
      </c>
      <c r="AD574" s="9" t="s">
        <v>169</v>
      </c>
      <c r="AE574" s="9" t="s">
        <v>185</v>
      </c>
      <c r="AF574" s="10"/>
      <c r="AG574" s="10"/>
    </row>
    <row r="575" spans="1:33">
      <c r="A575" s="7" t="s">
        <v>155</v>
      </c>
      <c r="B575" s="8" t="s">
        <v>245</v>
      </c>
      <c r="C575" s="9" t="s">
        <v>337</v>
      </c>
      <c r="D575" s="10">
        <v>184</v>
      </c>
      <c r="E575" s="9" t="s">
        <v>163</v>
      </c>
      <c r="F575" s="10">
        <v>184</v>
      </c>
      <c r="G575" s="10">
        <v>184.2</v>
      </c>
      <c r="H575" s="10">
        <v>125</v>
      </c>
      <c r="I575" s="10">
        <v>152</v>
      </c>
      <c r="J575" s="10">
        <v>137</v>
      </c>
      <c r="K575" s="10">
        <v>102</v>
      </c>
      <c r="L575" s="10">
        <v>127</v>
      </c>
      <c r="M575" s="10">
        <v>16.100000000000001</v>
      </c>
      <c r="N575" s="10">
        <v>1930</v>
      </c>
      <c r="O575" s="10">
        <v>1.1000000000000001</v>
      </c>
      <c r="P575" s="10">
        <v>2127</v>
      </c>
      <c r="Q575" s="10">
        <v>230</v>
      </c>
      <c r="R575" s="10">
        <v>108</v>
      </c>
      <c r="S575" s="10">
        <v>51</v>
      </c>
      <c r="T575" s="10">
        <v>396</v>
      </c>
      <c r="U575" s="10">
        <v>28</v>
      </c>
      <c r="V575" s="10">
        <v>199</v>
      </c>
      <c r="W575" s="10">
        <v>0.55200000000000005</v>
      </c>
      <c r="X575" s="10">
        <v>156</v>
      </c>
      <c r="Y575" s="10">
        <v>168</v>
      </c>
      <c r="Z575" s="10">
        <v>240</v>
      </c>
      <c r="AA575" s="10">
        <v>5</v>
      </c>
      <c r="AB575" s="10">
        <v>10</v>
      </c>
      <c r="AC575" s="9" t="s">
        <v>188</v>
      </c>
      <c r="AD575" s="9" t="s">
        <v>169</v>
      </c>
      <c r="AE575" s="9" t="s">
        <v>185</v>
      </c>
      <c r="AF575" s="10"/>
      <c r="AG575" s="10"/>
    </row>
    <row r="576" spans="1:33">
      <c r="A576" s="7" t="s">
        <v>155</v>
      </c>
      <c r="B576" s="8" t="s">
        <v>245</v>
      </c>
      <c r="C576" s="9" t="s">
        <v>337</v>
      </c>
      <c r="D576" s="10">
        <v>191</v>
      </c>
      <c r="E576" s="9" t="s">
        <v>163</v>
      </c>
      <c r="F576" s="10">
        <v>191</v>
      </c>
      <c r="G576" s="10">
        <v>190.3</v>
      </c>
      <c r="H576" s="10">
        <v>131</v>
      </c>
      <c r="I576" s="10">
        <v>157</v>
      </c>
      <c r="J576" s="10">
        <v>137</v>
      </c>
      <c r="K576" s="10">
        <v>103</v>
      </c>
      <c r="L576" s="10">
        <v>127</v>
      </c>
      <c r="M576" s="10">
        <v>17.7</v>
      </c>
      <c r="N576" s="10">
        <v>2039</v>
      </c>
      <c r="O576" s="10">
        <v>1.08</v>
      </c>
      <c r="P576" s="10">
        <v>2205</v>
      </c>
      <c r="Q576" s="10">
        <v>247</v>
      </c>
      <c r="R576" s="10">
        <v>126</v>
      </c>
      <c r="S576" s="10">
        <v>49</v>
      </c>
      <c r="T576" s="10">
        <v>379</v>
      </c>
      <c r="U576" s="10">
        <v>27</v>
      </c>
      <c r="V576" s="10">
        <v>212</v>
      </c>
      <c r="W576" s="10">
        <v>0.55100000000000005</v>
      </c>
      <c r="X576" s="10">
        <v>174</v>
      </c>
      <c r="Y576" s="10">
        <v>155</v>
      </c>
      <c r="Z576" s="10">
        <v>205</v>
      </c>
      <c r="AA576" s="10">
        <v>7</v>
      </c>
      <c r="AB576" s="10">
        <v>10.7</v>
      </c>
      <c r="AC576" s="9" t="s">
        <v>188</v>
      </c>
      <c r="AD576" s="9" t="s">
        <v>169</v>
      </c>
      <c r="AE576" s="9" t="s">
        <v>185</v>
      </c>
      <c r="AF576" s="10"/>
      <c r="AG576" s="10"/>
    </row>
    <row r="577" spans="1:33">
      <c r="A577" s="7" t="s">
        <v>155</v>
      </c>
      <c r="B577" s="8" t="s">
        <v>245</v>
      </c>
      <c r="C577" s="9" t="s">
        <v>462</v>
      </c>
      <c r="D577" s="10">
        <v>172</v>
      </c>
      <c r="E577" s="9" t="s">
        <v>158</v>
      </c>
      <c r="F577" s="10">
        <v>172</v>
      </c>
      <c r="G577" s="10">
        <v>171.2</v>
      </c>
      <c r="H577" s="10">
        <v>117</v>
      </c>
      <c r="I577" s="10">
        <v>140</v>
      </c>
      <c r="J577" s="10">
        <v>138</v>
      </c>
      <c r="K577" s="10">
        <v>109</v>
      </c>
      <c r="L577" s="10">
        <v>128</v>
      </c>
      <c r="M577" s="10">
        <v>17.3</v>
      </c>
      <c r="N577" s="10">
        <v>1827</v>
      </c>
      <c r="O577" s="10">
        <v>1.1100000000000001</v>
      </c>
      <c r="P577" s="10">
        <v>2027</v>
      </c>
      <c r="Q577" s="10">
        <v>186</v>
      </c>
      <c r="R577" s="10">
        <v>91</v>
      </c>
      <c r="S577" s="10">
        <v>51</v>
      </c>
      <c r="T577" s="10">
        <v>340</v>
      </c>
      <c r="U577" s="10">
        <v>30</v>
      </c>
      <c r="V577" s="10">
        <v>205</v>
      </c>
      <c r="W577" s="10">
        <v>0.58699999999999997</v>
      </c>
      <c r="X577" s="10">
        <v>159</v>
      </c>
      <c r="Y577" s="10">
        <v>152</v>
      </c>
      <c r="Z577" s="10">
        <v>180</v>
      </c>
      <c r="AA577" s="10">
        <v>7</v>
      </c>
      <c r="AB577" s="10">
        <v>9.6</v>
      </c>
      <c r="AC577" s="9" t="s">
        <v>169</v>
      </c>
      <c r="AD577" s="9" t="s">
        <v>185</v>
      </c>
      <c r="AE577" s="10"/>
      <c r="AF577" s="10"/>
      <c r="AG577" s="10"/>
    </row>
    <row r="578" spans="1:33">
      <c r="A578" s="7" t="s">
        <v>155</v>
      </c>
      <c r="B578" s="8" t="s">
        <v>245</v>
      </c>
      <c r="C578" s="9" t="s">
        <v>462</v>
      </c>
      <c r="D578" s="10">
        <v>178</v>
      </c>
      <c r="E578" s="9" t="s">
        <v>158</v>
      </c>
      <c r="F578" s="10">
        <v>178</v>
      </c>
      <c r="G578" s="10">
        <v>179</v>
      </c>
      <c r="H578" s="10">
        <v>130</v>
      </c>
      <c r="I578" s="10">
        <v>148</v>
      </c>
      <c r="J578" s="10">
        <v>140</v>
      </c>
      <c r="K578" s="10">
        <v>111</v>
      </c>
      <c r="L578" s="10">
        <v>130</v>
      </c>
      <c r="M578" s="10">
        <v>19</v>
      </c>
      <c r="N578" s="10">
        <v>1998</v>
      </c>
      <c r="O578" s="10">
        <v>1.08</v>
      </c>
      <c r="P578" s="10">
        <v>2157</v>
      </c>
      <c r="Q578" s="10">
        <v>203</v>
      </c>
      <c r="R578" s="10">
        <v>91</v>
      </c>
      <c r="S578" s="10">
        <v>46</v>
      </c>
      <c r="T578" s="10">
        <v>316</v>
      </c>
      <c r="U578" s="10">
        <v>31</v>
      </c>
      <c r="V578" s="10">
        <v>179</v>
      </c>
      <c r="W578" s="10">
        <v>0.67400000000000004</v>
      </c>
      <c r="X578" s="10">
        <v>149</v>
      </c>
      <c r="Y578" s="10">
        <v>160</v>
      </c>
      <c r="Z578" s="10">
        <v>167</v>
      </c>
      <c r="AA578" s="10">
        <v>9</v>
      </c>
      <c r="AB578" s="10">
        <v>9.5</v>
      </c>
      <c r="AC578" s="9" t="s">
        <v>169</v>
      </c>
      <c r="AD578" s="9" t="s">
        <v>185</v>
      </c>
      <c r="AE578" s="10"/>
      <c r="AF578" s="10"/>
      <c r="AG578" s="10"/>
    </row>
    <row r="579" spans="1:33">
      <c r="A579" s="7" t="s">
        <v>155</v>
      </c>
      <c r="B579" s="8" t="s">
        <v>245</v>
      </c>
      <c r="C579" s="9" t="s">
        <v>462</v>
      </c>
      <c r="D579" s="10">
        <v>188</v>
      </c>
      <c r="E579" s="9" t="s">
        <v>158</v>
      </c>
      <c r="F579" s="10">
        <v>188</v>
      </c>
      <c r="G579" s="10">
        <v>186.8</v>
      </c>
      <c r="H579" s="10">
        <v>125</v>
      </c>
      <c r="I579" s="10">
        <v>152</v>
      </c>
      <c r="J579" s="10">
        <v>144</v>
      </c>
      <c r="K579" s="10">
        <v>114</v>
      </c>
      <c r="L579" s="10">
        <v>134</v>
      </c>
      <c r="M579" s="10">
        <v>20.2</v>
      </c>
      <c r="N579" s="10">
        <v>2104</v>
      </c>
      <c r="O579" s="10">
        <v>1.1000000000000001</v>
      </c>
      <c r="P579" s="10">
        <v>2309</v>
      </c>
      <c r="Q579" s="10">
        <v>245</v>
      </c>
      <c r="R579" s="10">
        <v>101</v>
      </c>
      <c r="S579" s="10">
        <v>51</v>
      </c>
      <c r="T579" s="10">
        <v>401</v>
      </c>
      <c r="U579" s="10">
        <v>38</v>
      </c>
      <c r="V579" s="10">
        <v>214</v>
      </c>
      <c r="W579" s="10">
        <v>0.73799999999999999</v>
      </c>
      <c r="X579" s="10">
        <v>173</v>
      </c>
      <c r="Y579" s="10">
        <v>175</v>
      </c>
      <c r="Z579" s="10">
        <v>228</v>
      </c>
      <c r="AA579" s="10">
        <v>7</v>
      </c>
      <c r="AB579" s="10">
        <v>9.3000000000000007</v>
      </c>
      <c r="AC579" s="9" t="s">
        <v>169</v>
      </c>
      <c r="AD579" s="9" t="s">
        <v>185</v>
      </c>
      <c r="AE579" s="10"/>
      <c r="AF579" s="10"/>
      <c r="AG579" s="10"/>
    </row>
    <row r="580" spans="1:33">
      <c r="A580" s="7" t="s">
        <v>155</v>
      </c>
      <c r="B580" s="8" t="s">
        <v>245</v>
      </c>
      <c r="C580" s="9" t="s">
        <v>462</v>
      </c>
      <c r="D580" s="10">
        <v>196</v>
      </c>
      <c r="E580" s="9" t="s">
        <v>158</v>
      </c>
      <c r="F580" s="10">
        <v>196</v>
      </c>
      <c r="G580" s="10">
        <v>195.1</v>
      </c>
      <c r="H580" s="10">
        <v>136</v>
      </c>
      <c r="I580" s="10">
        <v>159</v>
      </c>
      <c r="J580" s="10">
        <v>146</v>
      </c>
      <c r="K580" s="10">
        <v>116</v>
      </c>
      <c r="L580" s="10">
        <v>136</v>
      </c>
      <c r="M580" s="10">
        <v>21.7</v>
      </c>
      <c r="N580" s="10">
        <v>2307</v>
      </c>
      <c r="O580" s="10">
        <v>1.07</v>
      </c>
      <c r="P580" s="10">
        <v>2465</v>
      </c>
      <c r="Q580" s="10">
        <v>240</v>
      </c>
      <c r="R580" s="10">
        <v>114</v>
      </c>
      <c r="S580" s="10">
        <v>51</v>
      </c>
      <c r="T580" s="10">
        <v>361</v>
      </c>
      <c r="U580" s="10">
        <v>38</v>
      </c>
      <c r="V580" s="10">
        <v>227</v>
      </c>
      <c r="W580" s="10">
        <v>0.75700000000000001</v>
      </c>
      <c r="X580" s="10">
        <v>176</v>
      </c>
      <c r="Y580" s="10">
        <v>184</v>
      </c>
      <c r="Z580" s="10">
        <v>185</v>
      </c>
      <c r="AA580" s="10">
        <v>10</v>
      </c>
      <c r="AB580" s="10">
        <v>8.6999999999999993</v>
      </c>
      <c r="AC580" s="9" t="s">
        <v>169</v>
      </c>
      <c r="AD580" s="9" t="s">
        <v>185</v>
      </c>
      <c r="AE580" s="10"/>
      <c r="AF580" s="10"/>
      <c r="AG580" s="10"/>
    </row>
    <row r="581" spans="1:33">
      <c r="A581" s="7" t="s">
        <v>155</v>
      </c>
      <c r="B581" s="8" t="s">
        <v>245</v>
      </c>
      <c r="C581" s="9" t="s">
        <v>326</v>
      </c>
      <c r="D581" s="10">
        <v>172</v>
      </c>
      <c r="E581" s="9" t="s">
        <v>158</v>
      </c>
      <c r="F581" s="10">
        <v>172</v>
      </c>
      <c r="G581" s="10">
        <v>170.6</v>
      </c>
      <c r="H581" s="10">
        <v>138</v>
      </c>
      <c r="I581" s="10">
        <v>145</v>
      </c>
      <c r="J581" s="10">
        <v>129</v>
      </c>
      <c r="K581" s="10">
        <v>92</v>
      </c>
      <c r="L581" s="10">
        <v>117</v>
      </c>
      <c r="M581" s="10">
        <v>15.3</v>
      </c>
      <c r="N581" s="10">
        <v>1677</v>
      </c>
      <c r="O581" s="10">
        <v>1.06</v>
      </c>
      <c r="P581" s="10">
        <v>1782</v>
      </c>
      <c r="Q581" s="10">
        <v>214</v>
      </c>
      <c r="R581" s="10">
        <v>103</v>
      </c>
      <c r="S581" s="10">
        <v>56</v>
      </c>
      <c r="T581" s="10">
        <v>203</v>
      </c>
      <c r="U581" s="10">
        <v>22</v>
      </c>
      <c r="V581" s="10">
        <v>123</v>
      </c>
      <c r="W581" s="10">
        <v>0.39200000000000002</v>
      </c>
      <c r="X581" s="10">
        <v>153</v>
      </c>
      <c r="Y581" s="10">
        <v>98</v>
      </c>
      <c r="Z581" s="10">
        <v>50</v>
      </c>
      <c r="AA581" s="10">
        <v>8</v>
      </c>
      <c r="AB581" s="10">
        <v>10.9</v>
      </c>
      <c r="AC581" s="9" t="s">
        <v>188</v>
      </c>
      <c r="AD581" s="9" t="s">
        <v>185</v>
      </c>
      <c r="AE581" s="10"/>
      <c r="AF581" s="10"/>
      <c r="AG581" s="10"/>
    </row>
    <row r="582" spans="1:33">
      <c r="A582" s="7" t="s">
        <v>155</v>
      </c>
      <c r="B582" s="8" t="s">
        <v>245</v>
      </c>
      <c r="C582" s="9" t="s">
        <v>418</v>
      </c>
      <c r="D582" s="10">
        <v>171</v>
      </c>
      <c r="E582" s="9" t="s">
        <v>158</v>
      </c>
      <c r="F582" s="10">
        <v>171</v>
      </c>
      <c r="G582" s="10">
        <v>170.8</v>
      </c>
      <c r="H582" s="10">
        <v>117</v>
      </c>
      <c r="I582" s="10">
        <v>144</v>
      </c>
      <c r="J582" s="10">
        <v>124</v>
      </c>
      <c r="K582" s="10">
        <v>89</v>
      </c>
      <c r="L582" s="10">
        <v>115</v>
      </c>
      <c r="M582" s="10">
        <v>14.3</v>
      </c>
      <c r="N582" s="10">
        <v>1645</v>
      </c>
      <c r="O582" s="10">
        <v>1.06</v>
      </c>
      <c r="P582" s="10">
        <v>1751</v>
      </c>
      <c r="Q582" s="10">
        <v>187</v>
      </c>
      <c r="R582" s="10">
        <v>116</v>
      </c>
      <c r="S582" s="10">
        <v>49</v>
      </c>
      <c r="T582" s="10">
        <v>317</v>
      </c>
      <c r="U582" s="10">
        <v>16</v>
      </c>
      <c r="V582" s="10">
        <v>216</v>
      </c>
      <c r="W582" s="10">
        <v>0.31900000000000001</v>
      </c>
      <c r="X582" s="10">
        <v>132</v>
      </c>
      <c r="Y582" s="10">
        <v>138</v>
      </c>
      <c r="Z582" s="10">
        <v>186</v>
      </c>
      <c r="AA582" s="10">
        <v>4</v>
      </c>
      <c r="AB582" s="10">
        <v>9.8000000000000007</v>
      </c>
      <c r="AC582" s="9" t="s">
        <v>188</v>
      </c>
      <c r="AD582" s="9" t="s">
        <v>185</v>
      </c>
      <c r="AE582" s="10"/>
      <c r="AF582" s="10"/>
      <c r="AG582" s="10"/>
    </row>
    <row r="583" spans="1:33">
      <c r="A583" s="7" t="s">
        <v>155</v>
      </c>
      <c r="B583" s="8" t="s">
        <v>245</v>
      </c>
      <c r="C583" s="9" t="s">
        <v>418</v>
      </c>
      <c r="D583" s="10">
        <v>178</v>
      </c>
      <c r="E583" s="9" t="s">
        <v>158</v>
      </c>
      <c r="F583" s="10">
        <v>178</v>
      </c>
      <c r="G583" s="10">
        <v>177.5</v>
      </c>
      <c r="H583" s="10">
        <v>125</v>
      </c>
      <c r="I583" s="10">
        <v>151</v>
      </c>
      <c r="J583" s="10">
        <v>125</v>
      </c>
      <c r="K583" s="10">
        <v>90</v>
      </c>
      <c r="L583" s="10">
        <v>116</v>
      </c>
      <c r="M583" s="10">
        <v>15.5</v>
      </c>
      <c r="N583" s="10">
        <v>1775</v>
      </c>
      <c r="O583" s="10">
        <v>1.04</v>
      </c>
      <c r="P583" s="10">
        <v>1839</v>
      </c>
      <c r="Q583" s="10">
        <v>228</v>
      </c>
      <c r="R583" s="10">
        <v>127</v>
      </c>
      <c r="S583" s="10">
        <v>48</v>
      </c>
      <c r="T583" s="10">
        <v>304</v>
      </c>
      <c r="U583" s="10">
        <v>15</v>
      </c>
      <c r="V583" s="10">
        <v>220</v>
      </c>
      <c r="W583" s="10">
        <v>0.317</v>
      </c>
      <c r="X583" s="10">
        <v>135</v>
      </c>
      <c r="Y583" s="10">
        <v>133</v>
      </c>
      <c r="Z583" s="10">
        <v>170</v>
      </c>
      <c r="AA583" s="10">
        <v>4</v>
      </c>
      <c r="AB583" s="10">
        <v>8.4</v>
      </c>
      <c r="AC583" s="9" t="s">
        <v>188</v>
      </c>
      <c r="AD583" s="10"/>
      <c r="AE583" s="10"/>
      <c r="AF583" s="10"/>
      <c r="AG583" s="10"/>
    </row>
    <row r="584" spans="1:33">
      <c r="A584" s="7" t="s">
        <v>155</v>
      </c>
      <c r="B584" s="8" t="s">
        <v>245</v>
      </c>
      <c r="C584" s="9" t="s">
        <v>418</v>
      </c>
      <c r="D584" s="10">
        <v>185</v>
      </c>
      <c r="E584" s="9" t="s">
        <v>158</v>
      </c>
      <c r="F584" s="10">
        <v>185</v>
      </c>
      <c r="G584" s="10">
        <v>184.5</v>
      </c>
      <c r="H584" s="10">
        <v>131</v>
      </c>
      <c r="I584" s="10">
        <v>155</v>
      </c>
      <c r="J584" s="10">
        <v>126</v>
      </c>
      <c r="K584" s="10">
        <v>91</v>
      </c>
      <c r="L584" s="10">
        <v>117</v>
      </c>
      <c r="M584" s="10">
        <v>16.600000000000001</v>
      </c>
      <c r="N584" s="10">
        <v>1851</v>
      </c>
      <c r="O584" s="10">
        <v>1.04</v>
      </c>
      <c r="P584" s="10">
        <v>1932</v>
      </c>
      <c r="Q584" s="10">
        <v>266</v>
      </c>
      <c r="R584" s="10">
        <v>141</v>
      </c>
      <c r="S584" s="10">
        <v>49</v>
      </c>
      <c r="T584" s="10">
        <v>312</v>
      </c>
      <c r="U584" s="10">
        <v>19</v>
      </c>
      <c r="V584" s="10">
        <v>227</v>
      </c>
      <c r="W584" s="10">
        <v>0.39300000000000002</v>
      </c>
      <c r="X584" s="10">
        <v>140</v>
      </c>
      <c r="Y584" s="10">
        <v>150</v>
      </c>
      <c r="Z584" s="10">
        <v>172</v>
      </c>
      <c r="AA584" s="10">
        <v>5</v>
      </c>
      <c r="AB584" s="10">
        <v>10.5</v>
      </c>
      <c r="AC584" s="9" t="s">
        <v>188</v>
      </c>
      <c r="AD584" s="10"/>
      <c r="AE584" s="10"/>
      <c r="AF584" s="10"/>
      <c r="AG584" s="10"/>
    </row>
    <row r="585" spans="1:33">
      <c r="A585" s="7" t="s">
        <v>155</v>
      </c>
      <c r="B585" s="8" t="s">
        <v>245</v>
      </c>
      <c r="C585" s="9" t="s">
        <v>291</v>
      </c>
      <c r="D585" s="10">
        <v>155</v>
      </c>
      <c r="E585" s="9" t="s">
        <v>163</v>
      </c>
      <c r="F585" s="10">
        <v>155</v>
      </c>
      <c r="G585" s="10">
        <v>154.1</v>
      </c>
      <c r="H585" s="10">
        <v>109</v>
      </c>
      <c r="I585" s="10">
        <v>131</v>
      </c>
      <c r="J585" s="10">
        <v>120</v>
      </c>
      <c r="K585" s="10">
        <v>87</v>
      </c>
      <c r="L585" s="10">
        <v>109</v>
      </c>
      <c r="M585" s="10">
        <v>13.1</v>
      </c>
      <c r="N585" s="10">
        <v>1530</v>
      </c>
      <c r="O585" s="10">
        <v>1</v>
      </c>
      <c r="P585" s="10">
        <v>1525</v>
      </c>
      <c r="Q585" s="10">
        <v>179</v>
      </c>
      <c r="R585" s="10">
        <v>111</v>
      </c>
      <c r="S585" s="10">
        <v>48</v>
      </c>
      <c r="T585" s="10">
        <v>288</v>
      </c>
      <c r="U585" s="10">
        <v>15</v>
      </c>
      <c r="V585" s="10">
        <v>160</v>
      </c>
      <c r="W585" s="10">
        <v>0.308</v>
      </c>
      <c r="X585" s="10">
        <v>114</v>
      </c>
      <c r="Y585" s="10">
        <v>119</v>
      </c>
      <c r="Z585" s="10">
        <v>173</v>
      </c>
      <c r="AA585" s="10">
        <v>2</v>
      </c>
      <c r="AB585" s="10">
        <v>10.1</v>
      </c>
      <c r="AC585" s="9" t="s">
        <v>188</v>
      </c>
      <c r="AD585" s="10"/>
      <c r="AE585" s="10"/>
      <c r="AF585" s="10"/>
      <c r="AG585" s="10"/>
    </row>
    <row r="586" spans="1:33">
      <c r="A586" s="7" t="s">
        <v>155</v>
      </c>
      <c r="B586" s="8" t="s">
        <v>245</v>
      </c>
      <c r="C586" s="9" t="s">
        <v>291</v>
      </c>
      <c r="D586" s="10">
        <v>163</v>
      </c>
      <c r="E586" s="9" t="s">
        <v>163</v>
      </c>
      <c r="F586" s="10">
        <v>163</v>
      </c>
      <c r="G586" s="10">
        <v>162.1</v>
      </c>
      <c r="H586" s="10">
        <v>113</v>
      </c>
      <c r="I586" s="10">
        <v>138</v>
      </c>
      <c r="J586" s="10">
        <v>123</v>
      </c>
      <c r="K586" s="10">
        <v>88</v>
      </c>
      <c r="L586" s="10">
        <v>113</v>
      </c>
      <c r="M586" s="10">
        <v>13.5</v>
      </c>
      <c r="N586" s="10">
        <v>1649</v>
      </c>
      <c r="O586" s="10">
        <v>1</v>
      </c>
      <c r="P586" s="10">
        <v>1642</v>
      </c>
      <c r="Q586" s="10">
        <v>176</v>
      </c>
      <c r="R586" s="10">
        <v>114</v>
      </c>
      <c r="S586" s="10">
        <v>49</v>
      </c>
      <c r="T586" s="10">
        <v>296</v>
      </c>
      <c r="U586" s="10">
        <v>15</v>
      </c>
      <c r="V586" s="10">
        <v>197</v>
      </c>
      <c r="W586" s="10">
        <v>0.3</v>
      </c>
      <c r="X586" s="10">
        <v>121</v>
      </c>
      <c r="Y586" s="10">
        <v>121</v>
      </c>
      <c r="Z586" s="10">
        <v>174</v>
      </c>
      <c r="AA586" s="10">
        <v>4</v>
      </c>
      <c r="AB586" s="10">
        <v>9.4</v>
      </c>
      <c r="AC586" s="9" t="s">
        <v>188</v>
      </c>
      <c r="AD586" s="10"/>
      <c r="AE586" s="10"/>
      <c r="AF586" s="10"/>
      <c r="AG586" s="10"/>
    </row>
    <row r="587" spans="1:33">
      <c r="A587" s="7" t="s">
        <v>155</v>
      </c>
      <c r="B587" s="8" t="s">
        <v>245</v>
      </c>
      <c r="C587" s="9" t="s">
        <v>291</v>
      </c>
      <c r="D587" s="10">
        <v>171</v>
      </c>
      <c r="E587" s="9" t="s">
        <v>163</v>
      </c>
      <c r="F587" s="10">
        <v>171</v>
      </c>
      <c r="G587" s="10">
        <v>170.6</v>
      </c>
      <c r="H587" s="10">
        <v>119</v>
      </c>
      <c r="I587" s="10">
        <v>145</v>
      </c>
      <c r="J587" s="10">
        <v>124</v>
      </c>
      <c r="K587" s="10">
        <v>89</v>
      </c>
      <c r="L587" s="10">
        <v>115</v>
      </c>
      <c r="M587" s="10">
        <v>14.5</v>
      </c>
      <c r="N587" s="10">
        <v>1752</v>
      </c>
      <c r="O587" s="10">
        <v>1</v>
      </c>
      <c r="P587" s="10">
        <v>1748</v>
      </c>
      <c r="Q587" s="10">
        <v>185</v>
      </c>
      <c r="R587" s="10">
        <v>117</v>
      </c>
      <c r="S587" s="10">
        <v>47</v>
      </c>
      <c r="T587" s="10">
        <v>310</v>
      </c>
      <c r="U587" s="10">
        <v>16</v>
      </c>
      <c r="V587" s="10">
        <v>207</v>
      </c>
      <c r="W587" s="10">
        <v>0.33900000000000002</v>
      </c>
      <c r="X587" s="10">
        <v>130</v>
      </c>
      <c r="Y587" s="10">
        <v>129</v>
      </c>
      <c r="Z587" s="10">
        <v>180</v>
      </c>
      <c r="AA587" s="10">
        <v>5</v>
      </c>
      <c r="AB587" s="10">
        <v>9.8000000000000007</v>
      </c>
      <c r="AC587" s="9" t="s">
        <v>188</v>
      </c>
      <c r="AD587" s="10"/>
      <c r="AE587" s="10"/>
      <c r="AF587" s="10"/>
      <c r="AG587" s="10"/>
    </row>
    <row r="588" spans="1:33">
      <c r="A588" s="7" t="s">
        <v>155</v>
      </c>
      <c r="B588" s="8" t="s">
        <v>245</v>
      </c>
      <c r="C588" s="9" t="s">
        <v>293</v>
      </c>
      <c r="D588" s="10">
        <v>153</v>
      </c>
      <c r="E588" s="9" t="s">
        <v>158</v>
      </c>
      <c r="F588" s="10">
        <v>153</v>
      </c>
      <c r="G588" s="10">
        <v>152.5</v>
      </c>
      <c r="H588" s="10">
        <v>105</v>
      </c>
      <c r="I588" s="10">
        <v>126</v>
      </c>
      <c r="J588" s="10">
        <v>121</v>
      </c>
      <c r="K588" s="10">
        <v>88</v>
      </c>
      <c r="L588" s="10">
        <v>111</v>
      </c>
      <c r="M588" s="10">
        <v>11.9</v>
      </c>
      <c r="N588" s="10">
        <v>1451</v>
      </c>
      <c r="O588" s="10">
        <v>1.05</v>
      </c>
      <c r="P588" s="10">
        <v>1525</v>
      </c>
      <c r="Q588" s="10">
        <v>152</v>
      </c>
      <c r="R588" s="10">
        <v>79</v>
      </c>
      <c r="S588" s="10">
        <v>53</v>
      </c>
      <c r="T588" s="10">
        <v>294</v>
      </c>
      <c r="U588" s="10">
        <v>31</v>
      </c>
      <c r="V588" s="10">
        <v>184</v>
      </c>
      <c r="W588" s="10">
        <v>0.58699999999999997</v>
      </c>
      <c r="X588" s="10">
        <v>135</v>
      </c>
      <c r="Y588" s="10">
        <v>131</v>
      </c>
      <c r="Z588" s="10">
        <v>159</v>
      </c>
      <c r="AA588" s="10">
        <v>5</v>
      </c>
      <c r="AB588" s="10">
        <v>6.8</v>
      </c>
      <c r="AC588" s="9" t="s">
        <v>188</v>
      </c>
      <c r="AD588" s="9" t="s">
        <v>185</v>
      </c>
      <c r="AE588" s="10"/>
      <c r="AF588" s="10"/>
      <c r="AG588" s="10"/>
    </row>
    <row r="589" spans="1:33">
      <c r="A589" s="7" t="s">
        <v>155</v>
      </c>
      <c r="B589" s="8" t="s">
        <v>245</v>
      </c>
      <c r="C589" s="9" t="s">
        <v>293</v>
      </c>
      <c r="D589" s="10">
        <v>169</v>
      </c>
      <c r="E589" s="9" t="s">
        <v>158</v>
      </c>
      <c r="F589" s="10">
        <v>169</v>
      </c>
      <c r="G589" s="10">
        <v>168.3</v>
      </c>
      <c r="H589" s="10">
        <v>119</v>
      </c>
      <c r="I589" s="10">
        <v>137</v>
      </c>
      <c r="J589" s="10">
        <v>125</v>
      </c>
      <c r="K589" s="10">
        <v>90</v>
      </c>
      <c r="L589" s="10">
        <v>115</v>
      </c>
      <c r="M589" s="10">
        <v>13.2</v>
      </c>
      <c r="N589" s="10">
        <v>1713</v>
      </c>
      <c r="O589" s="10">
        <v>1.01</v>
      </c>
      <c r="P589" s="10">
        <v>1736</v>
      </c>
      <c r="Q589" s="10">
        <v>207</v>
      </c>
      <c r="R589" s="10">
        <v>104</v>
      </c>
      <c r="S589" s="10">
        <v>50</v>
      </c>
      <c r="T589" s="10">
        <v>299</v>
      </c>
      <c r="U589" s="10">
        <v>31</v>
      </c>
      <c r="V589" s="10">
        <v>190</v>
      </c>
      <c r="W589" s="10">
        <v>0.621</v>
      </c>
      <c r="X589" s="10">
        <v>167</v>
      </c>
      <c r="Y589" s="10">
        <v>145</v>
      </c>
      <c r="Z589" s="10">
        <v>132</v>
      </c>
      <c r="AA589" s="10">
        <v>6</v>
      </c>
      <c r="AB589" s="10">
        <v>8</v>
      </c>
      <c r="AC589" s="9" t="s">
        <v>188</v>
      </c>
      <c r="AD589" s="10"/>
      <c r="AE589" s="10"/>
      <c r="AF589" s="10"/>
      <c r="AG589" s="10"/>
    </row>
    <row r="590" spans="1:33">
      <c r="A590" s="7" t="s">
        <v>155</v>
      </c>
      <c r="B590" s="8" t="s">
        <v>245</v>
      </c>
      <c r="C590" s="9" t="s">
        <v>293</v>
      </c>
      <c r="D590" s="10">
        <v>177</v>
      </c>
      <c r="E590" s="9" t="s">
        <v>158</v>
      </c>
      <c r="F590" s="10">
        <v>177</v>
      </c>
      <c r="G590" s="10">
        <v>176</v>
      </c>
      <c r="H590" s="10">
        <v>113</v>
      </c>
      <c r="I590" s="10">
        <v>148</v>
      </c>
      <c r="J590" s="10">
        <v>125</v>
      </c>
      <c r="K590" s="10">
        <v>91</v>
      </c>
      <c r="L590" s="10">
        <v>116</v>
      </c>
      <c r="M590" s="10">
        <v>15</v>
      </c>
      <c r="N590" s="10">
        <v>1867</v>
      </c>
      <c r="O590" s="10">
        <v>0.98</v>
      </c>
      <c r="P590" s="10">
        <v>1837</v>
      </c>
      <c r="Q590" s="10">
        <v>221</v>
      </c>
      <c r="R590" s="10">
        <v>114</v>
      </c>
      <c r="S590" s="10">
        <v>56</v>
      </c>
      <c r="T590" s="10">
        <v>387</v>
      </c>
      <c r="U590" s="10">
        <v>34</v>
      </c>
      <c r="V590" s="10">
        <v>241</v>
      </c>
      <c r="W590" s="10">
        <v>0.60699999999999998</v>
      </c>
      <c r="X590" s="10">
        <v>146</v>
      </c>
      <c r="Y590" s="10">
        <v>139</v>
      </c>
      <c r="Z590" s="10">
        <v>241</v>
      </c>
      <c r="AA590" s="10">
        <v>5</v>
      </c>
      <c r="AB590" s="10">
        <v>8.9</v>
      </c>
      <c r="AC590" s="9" t="s">
        <v>188</v>
      </c>
      <c r="AD590" s="10"/>
      <c r="AE590" s="10"/>
      <c r="AF590" s="10"/>
      <c r="AG590" s="10"/>
    </row>
    <row r="591" spans="1:33">
      <c r="A591" s="7" t="s">
        <v>155</v>
      </c>
      <c r="B591" s="8" t="s">
        <v>245</v>
      </c>
      <c r="C591" s="9" t="s">
        <v>246</v>
      </c>
      <c r="D591" s="10">
        <v>161</v>
      </c>
      <c r="E591" s="9" t="s">
        <v>163</v>
      </c>
      <c r="F591" s="10">
        <v>161</v>
      </c>
      <c r="G591" s="10">
        <v>160.1</v>
      </c>
      <c r="H591" s="10">
        <v>106</v>
      </c>
      <c r="I591" s="10">
        <v>131</v>
      </c>
      <c r="J591" s="10">
        <v>123</v>
      </c>
      <c r="K591" s="10">
        <v>89</v>
      </c>
      <c r="L591" s="10">
        <v>114</v>
      </c>
      <c r="M591" s="10">
        <v>12.4</v>
      </c>
      <c r="N591" s="10">
        <v>1454</v>
      </c>
      <c r="O591" s="10">
        <v>1.1299999999999999</v>
      </c>
      <c r="P591" s="10">
        <v>1638</v>
      </c>
      <c r="Q591" s="10">
        <v>167</v>
      </c>
      <c r="R591" s="10">
        <v>83</v>
      </c>
      <c r="S591" s="10">
        <v>50</v>
      </c>
      <c r="T591" s="10">
        <v>334</v>
      </c>
      <c r="U591" s="10">
        <v>37</v>
      </c>
      <c r="V591" s="10">
        <v>204</v>
      </c>
      <c r="W591" s="10">
        <v>0.746</v>
      </c>
      <c r="X591" s="10">
        <v>142</v>
      </c>
      <c r="Y591" s="10">
        <v>145</v>
      </c>
      <c r="Z591" s="10">
        <v>192</v>
      </c>
      <c r="AA591" s="10">
        <v>2</v>
      </c>
      <c r="AB591" s="10">
        <v>8.1</v>
      </c>
      <c r="AC591" s="9" t="s">
        <v>188</v>
      </c>
      <c r="AD591" s="9" t="s">
        <v>185</v>
      </c>
      <c r="AE591" s="10"/>
      <c r="AF591" s="10"/>
      <c r="AG591" s="10"/>
    </row>
    <row r="592" spans="1:33">
      <c r="A592" s="7" t="s">
        <v>155</v>
      </c>
      <c r="B592" s="8" t="s">
        <v>245</v>
      </c>
      <c r="C592" s="9" t="s">
        <v>246</v>
      </c>
      <c r="D592" s="10">
        <v>169</v>
      </c>
      <c r="E592" s="9" t="s">
        <v>163</v>
      </c>
      <c r="F592" s="10">
        <v>169</v>
      </c>
      <c r="G592" s="10">
        <v>168.1</v>
      </c>
      <c r="H592" s="10">
        <v>113</v>
      </c>
      <c r="I592" s="10">
        <v>139</v>
      </c>
      <c r="J592" s="10">
        <v>125</v>
      </c>
      <c r="K592" s="10">
        <v>90</v>
      </c>
      <c r="L592" s="10">
        <v>116</v>
      </c>
      <c r="M592" s="10">
        <v>13.2</v>
      </c>
      <c r="N592" s="10">
        <v>1593</v>
      </c>
      <c r="O592" s="10">
        <v>1.1000000000000001</v>
      </c>
      <c r="P592" s="10">
        <v>1746</v>
      </c>
      <c r="Q592" s="10">
        <v>211</v>
      </c>
      <c r="R592" s="10">
        <v>100</v>
      </c>
      <c r="S592" s="10">
        <v>52</v>
      </c>
      <c r="T592" s="10">
        <v>359</v>
      </c>
      <c r="U592" s="10">
        <v>33</v>
      </c>
      <c r="V592" s="10">
        <v>190</v>
      </c>
      <c r="W592" s="10">
        <v>0.63400000000000001</v>
      </c>
      <c r="X592" s="10">
        <v>147</v>
      </c>
      <c r="Y592" s="10">
        <v>145</v>
      </c>
      <c r="Z592" s="10">
        <v>212</v>
      </c>
      <c r="AA592" s="10">
        <v>5</v>
      </c>
      <c r="AB592" s="10">
        <v>5.9</v>
      </c>
      <c r="AC592" s="9" t="s">
        <v>188</v>
      </c>
      <c r="AD592" s="9" t="s">
        <v>185</v>
      </c>
      <c r="AE592" s="10"/>
      <c r="AF592" s="10"/>
      <c r="AG592" s="10"/>
    </row>
    <row r="593" spans="1:33">
      <c r="A593" s="7" t="s">
        <v>155</v>
      </c>
      <c r="B593" s="8" t="s">
        <v>245</v>
      </c>
      <c r="C593" s="9" t="s">
        <v>513</v>
      </c>
      <c r="D593" s="10">
        <v>174</v>
      </c>
      <c r="E593" s="9" t="s">
        <v>158</v>
      </c>
      <c r="F593" s="10">
        <v>174</v>
      </c>
      <c r="G593" s="10">
        <v>174.2</v>
      </c>
      <c r="H593" s="10">
        <v>123</v>
      </c>
      <c r="I593" s="10">
        <v>147</v>
      </c>
      <c r="J593" s="10">
        <v>127</v>
      </c>
      <c r="K593" s="10">
        <v>95</v>
      </c>
      <c r="L593" s="10">
        <v>118</v>
      </c>
      <c r="M593" s="10">
        <v>16.5</v>
      </c>
      <c r="N593" s="10">
        <v>1786</v>
      </c>
      <c r="O593" s="10">
        <v>1.04</v>
      </c>
      <c r="P593" s="10">
        <v>1857</v>
      </c>
      <c r="Q593" s="10">
        <v>210</v>
      </c>
      <c r="R593" s="10">
        <v>118</v>
      </c>
      <c r="S593" s="10">
        <v>49</v>
      </c>
      <c r="T593" s="10">
        <v>296</v>
      </c>
      <c r="U593" s="10">
        <v>18</v>
      </c>
      <c r="V593" s="10">
        <v>217</v>
      </c>
      <c r="W593" s="10">
        <v>0.373</v>
      </c>
      <c r="X593" s="10">
        <v>144</v>
      </c>
      <c r="Y593" s="10">
        <v>126</v>
      </c>
      <c r="Z593" s="10">
        <v>152</v>
      </c>
      <c r="AA593" s="10">
        <v>6</v>
      </c>
      <c r="AB593" s="10">
        <v>9.3000000000000007</v>
      </c>
      <c r="AC593" s="9" t="s">
        <v>188</v>
      </c>
      <c r="AD593" s="10"/>
      <c r="AE593" s="10"/>
      <c r="AF593" s="10"/>
      <c r="AG593" s="10"/>
    </row>
    <row r="594" spans="1:33">
      <c r="A594" s="7" t="s">
        <v>155</v>
      </c>
      <c r="B594" s="8" t="s">
        <v>245</v>
      </c>
      <c r="C594" s="9" t="s">
        <v>513</v>
      </c>
      <c r="D594" s="10">
        <v>181</v>
      </c>
      <c r="E594" s="9" t="s">
        <v>158</v>
      </c>
      <c r="F594" s="10">
        <v>181</v>
      </c>
      <c r="G594" s="10">
        <v>180.2</v>
      </c>
      <c r="H594" s="10">
        <v>123</v>
      </c>
      <c r="I594" s="10">
        <v>152</v>
      </c>
      <c r="J594" s="10">
        <v>129</v>
      </c>
      <c r="K594" s="10">
        <v>96</v>
      </c>
      <c r="L594" s="10">
        <v>121</v>
      </c>
      <c r="M594" s="10">
        <v>16.899999999999999</v>
      </c>
      <c r="N594" s="10">
        <v>1891</v>
      </c>
      <c r="O594" s="10">
        <v>1.04</v>
      </c>
      <c r="P594" s="10">
        <v>1962</v>
      </c>
      <c r="Q594" s="10">
        <v>253</v>
      </c>
      <c r="R594" s="10">
        <v>145</v>
      </c>
      <c r="S594" s="10">
        <v>52</v>
      </c>
      <c r="T594" s="10">
        <v>343</v>
      </c>
      <c r="U594" s="10">
        <v>18</v>
      </c>
      <c r="V594" s="10">
        <v>229</v>
      </c>
      <c r="W594" s="10">
        <v>0.34699999999999998</v>
      </c>
      <c r="X594" s="10">
        <v>140</v>
      </c>
      <c r="Y594" s="10">
        <v>138</v>
      </c>
      <c r="Z594" s="10">
        <v>203</v>
      </c>
      <c r="AA594" s="10">
        <v>5</v>
      </c>
      <c r="AB594" s="10">
        <v>9.6999999999999993</v>
      </c>
      <c r="AC594" s="9" t="s">
        <v>188</v>
      </c>
      <c r="AD594" s="10"/>
      <c r="AE594" s="10"/>
      <c r="AF594" s="10"/>
      <c r="AG594" s="10"/>
    </row>
    <row r="595" spans="1:33">
      <c r="A595" s="7" t="s">
        <v>155</v>
      </c>
      <c r="B595" s="8" t="s">
        <v>245</v>
      </c>
      <c r="C595" s="9" t="s">
        <v>513</v>
      </c>
      <c r="D595" s="10">
        <v>188</v>
      </c>
      <c r="E595" s="9" t="s">
        <v>158</v>
      </c>
      <c r="F595" s="10">
        <v>188</v>
      </c>
      <c r="G595" s="10">
        <v>187.6</v>
      </c>
      <c r="H595" s="10">
        <v>127</v>
      </c>
      <c r="I595" s="10">
        <v>160</v>
      </c>
      <c r="J595" s="10">
        <v>130</v>
      </c>
      <c r="K595" s="10">
        <v>98</v>
      </c>
      <c r="L595" s="10">
        <v>122</v>
      </c>
      <c r="M595" s="10">
        <v>19.100000000000001</v>
      </c>
      <c r="N595" s="10">
        <v>2115</v>
      </c>
      <c r="O595" s="10">
        <v>0.97</v>
      </c>
      <c r="P595" s="10">
        <v>2062</v>
      </c>
      <c r="Q595" s="10">
        <v>235</v>
      </c>
      <c r="R595" s="10">
        <v>152</v>
      </c>
      <c r="S595" s="10">
        <v>50</v>
      </c>
      <c r="T595" s="10">
        <v>351</v>
      </c>
      <c r="U595" s="10">
        <v>22</v>
      </c>
      <c r="V595" s="10">
        <v>254</v>
      </c>
      <c r="W595" s="10">
        <v>0.438</v>
      </c>
      <c r="X595" s="10">
        <v>147</v>
      </c>
      <c r="Y595" s="10">
        <v>131</v>
      </c>
      <c r="Z595" s="10">
        <v>204</v>
      </c>
      <c r="AA595" s="10">
        <v>6</v>
      </c>
      <c r="AB595" s="10">
        <v>9.3000000000000007</v>
      </c>
      <c r="AC595" s="9" t="s">
        <v>188</v>
      </c>
      <c r="AD595" s="10"/>
      <c r="AE595" s="10"/>
      <c r="AF595" s="10"/>
      <c r="AG595" s="10"/>
    </row>
    <row r="596" spans="1:33">
      <c r="A596" s="7" t="s">
        <v>155</v>
      </c>
      <c r="B596" s="8" t="s">
        <v>245</v>
      </c>
      <c r="C596" s="9" t="s">
        <v>307</v>
      </c>
      <c r="D596" s="10">
        <v>158</v>
      </c>
      <c r="E596" s="9" t="s">
        <v>163</v>
      </c>
      <c r="F596" s="10">
        <v>158</v>
      </c>
      <c r="G596" s="10">
        <v>157.1</v>
      </c>
      <c r="H596" s="10">
        <v>102</v>
      </c>
      <c r="I596" s="10">
        <v>133</v>
      </c>
      <c r="J596" s="10">
        <v>124</v>
      </c>
      <c r="K596" s="10">
        <v>93</v>
      </c>
      <c r="L596" s="10">
        <v>115</v>
      </c>
      <c r="M596" s="10">
        <v>14.2</v>
      </c>
      <c r="N596" s="10">
        <v>1650</v>
      </c>
      <c r="O596" s="10">
        <v>0.99</v>
      </c>
      <c r="P596" s="10">
        <v>1633</v>
      </c>
      <c r="Q596" s="10">
        <v>190</v>
      </c>
      <c r="R596" s="10">
        <v>117</v>
      </c>
      <c r="S596" s="10">
        <v>50</v>
      </c>
      <c r="T596" s="10">
        <v>332</v>
      </c>
      <c r="U596" s="10">
        <v>19</v>
      </c>
      <c r="V596" s="10">
        <v>216</v>
      </c>
      <c r="W596" s="10">
        <v>0.374</v>
      </c>
      <c r="X596" s="10">
        <v>132</v>
      </c>
      <c r="Y596" s="10">
        <v>114</v>
      </c>
      <c r="Z596" s="10">
        <v>200</v>
      </c>
      <c r="AA596" s="10">
        <v>3</v>
      </c>
      <c r="AB596" s="10">
        <v>9</v>
      </c>
      <c r="AC596" s="9" t="s">
        <v>188</v>
      </c>
      <c r="AD596" s="10"/>
      <c r="AE596" s="10"/>
      <c r="AF596" s="10"/>
      <c r="AG596" s="10"/>
    </row>
    <row r="597" spans="1:33">
      <c r="A597" s="7" t="s">
        <v>155</v>
      </c>
      <c r="B597" s="8" t="s">
        <v>245</v>
      </c>
      <c r="C597" s="9" t="s">
        <v>307</v>
      </c>
      <c r="D597" s="10">
        <v>166</v>
      </c>
      <c r="E597" s="9" t="s">
        <v>163</v>
      </c>
      <c r="F597" s="10">
        <v>166</v>
      </c>
      <c r="G597" s="10">
        <v>165.2</v>
      </c>
      <c r="H597" s="10">
        <v>114</v>
      </c>
      <c r="I597" s="10">
        <v>140</v>
      </c>
      <c r="J597" s="10">
        <v>126</v>
      </c>
      <c r="K597" s="10">
        <v>94</v>
      </c>
      <c r="L597" s="10">
        <v>117</v>
      </c>
      <c r="M597" s="10">
        <v>15.3</v>
      </c>
      <c r="N597" s="10">
        <v>1723</v>
      </c>
      <c r="O597" s="10">
        <v>1.01</v>
      </c>
      <c r="P597" s="10">
        <v>1740</v>
      </c>
      <c r="Q597" s="10">
        <v>189</v>
      </c>
      <c r="R597" s="10">
        <v>118</v>
      </c>
      <c r="S597" s="10">
        <v>45</v>
      </c>
      <c r="T597" s="10">
        <v>286</v>
      </c>
      <c r="U597" s="10">
        <v>19</v>
      </c>
      <c r="V597" s="10">
        <v>229</v>
      </c>
      <c r="W597" s="10">
        <v>0.40899999999999997</v>
      </c>
      <c r="X597" s="10">
        <v>134</v>
      </c>
      <c r="Y597" s="10">
        <v>120</v>
      </c>
      <c r="Z597" s="10">
        <v>152</v>
      </c>
      <c r="AA597" s="10">
        <v>4</v>
      </c>
      <c r="AB597" s="10">
        <v>9.5</v>
      </c>
      <c r="AC597" s="9" t="s">
        <v>188</v>
      </c>
      <c r="AD597" s="10"/>
      <c r="AE597" s="10"/>
      <c r="AF597" s="10"/>
      <c r="AG597" s="10"/>
    </row>
    <row r="598" spans="1:33">
      <c r="A598" s="7" t="s">
        <v>155</v>
      </c>
      <c r="B598" s="8" t="s">
        <v>245</v>
      </c>
      <c r="C598" s="9" t="s">
        <v>763</v>
      </c>
      <c r="D598" s="10">
        <v>159</v>
      </c>
      <c r="E598" s="9" t="s">
        <v>158</v>
      </c>
      <c r="F598" s="10">
        <v>159</v>
      </c>
      <c r="G598" s="10">
        <v>158.19999999999999</v>
      </c>
      <c r="H598" s="10">
        <v>129</v>
      </c>
      <c r="I598" s="10">
        <v>143</v>
      </c>
      <c r="J598" s="10">
        <v>124</v>
      </c>
      <c r="K598" s="10">
        <v>78</v>
      </c>
      <c r="L598" s="10">
        <v>109</v>
      </c>
      <c r="M598" s="10">
        <v>12.4</v>
      </c>
      <c r="N598" s="10">
        <v>1912</v>
      </c>
      <c r="O598" s="10">
        <v>0.77</v>
      </c>
      <c r="P598" s="10">
        <v>1475</v>
      </c>
      <c r="Q598" s="10">
        <v>208</v>
      </c>
      <c r="R598" s="10">
        <v>73</v>
      </c>
      <c r="S598" s="10">
        <v>43</v>
      </c>
      <c r="T598" s="10">
        <v>208</v>
      </c>
      <c r="U598" s="10">
        <v>14</v>
      </c>
      <c r="V598" s="10">
        <v>85</v>
      </c>
      <c r="W598" s="10">
        <v>0.33</v>
      </c>
      <c r="X598" s="10">
        <v>71</v>
      </c>
      <c r="Y598" s="10">
        <v>78</v>
      </c>
      <c r="Z598" s="10">
        <v>136</v>
      </c>
      <c r="AA598" s="10">
        <v>8</v>
      </c>
      <c r="AB598" s="10">
        <v>8.6</v>
      </c>
      <c r="AC598" s="9" t="s">
        <v>349</v>
      </c>
      <c r="AD598" s="10"/>
      <c r="AE598" s="10"/>
      <c r="AF598" s="10"/>
      <c r="AG598" s="10"/>
    </row>
    <row r="599" spans="1:33">
      <c r="A599" s="7" t="s">
        <v>155</v>
      </c>
      <c r="B599" s="8" t="s">
        <v>245</v>
      </c>
      <c r="C599" s="9" t="s">
        <v>763</v>
      </c>
      <c r="D599" s="10">
        <v>166</v>
      </c>
      <c r="E599" s="9" t="s">
        <v>158</v>
      </c>
      <c r="F599" s="10">
        <v>166</v>
      </c>
      <c r="G599" s="10">
        <v>167.4</v>
      </c>
      <c r="H599" s="10">
        <v>132</v>
      </c>
      <c r="I599" s="10">
        <v>151</v>
      </c>
      <c r="J599" s="10">
        <v>123</v>
      </c>
      <c r="K599" s="10">
        <v>78</v>
      </c>
      <c r="L599" s="10">
        <v>109</v>
      </c>
      <c r="M599" s="10">
        <v>13.7</v>
      </c>
      <c r="N599" s="10">
        <v>1950</v>
      </c>
      <c r="O599" s="10">
        <v>0.8</v>
      </c>
      <c r="P599" s="10">
        <v>1556</v>
      </c>
      <c r="Q599" s="10">
        <v>211</v>
      </c>
      <c r="R599" s="10">
        <v>69</v>
      </c>
      <c r="S599" s="10">
        <v>50</v>
      </c>
      <c r="T599" s="10">
        <v>243</v>
      </c>
      <c r="U599" s="10">
        <v>20</v>
      </c>
      <c r="V599" s="10">
        <v>109</v>
      </c>
      <c r="W599" s="10">
        <v>0.40799999999999997</v>
      </c>
      <c r="X599" s="10">
        <v>68</v>
      </c>
      <c r="Y599" s="10">
        <v>96</v>
      </c>
      <c r="Z599" s="10">
        <v>175</v>
      </c>
      <c r="AA599" s="10">
        <v>9</v>
      </c>
      <c r="AB599" s="10">
        <v>7</v>
      </c>
      <c r="AC599" s="9" t="s">
        <v>160</v>
      </c>
      <c r="AD599" s="10"/>
      <c r="AE599" s="10"/>
      <c r="AF599" s="10"/>
      <c r="AG599" s="10"/>
    </row>
    <row r="600" spans="1:33">
      <c r="A600" s="7" t="s">
        <v>155</v>
      </c>
      <c r="B600" s="8" t="s">
        <v>245</v>
      </c>
      <c r="C600" s="9" t="s">
        <v>763</v>
      </c>
      <c r="D600" s="10">
        <v>173</v>
      </c>
      <c r="E600" s="9" t="s">
        <v>158</v>
      </c>
      <c r="F600" s="10">
        <v>173</v>
      </c>
      <c r="G600" s="10">
        <v>172</v>
      </c>
      <c r="H600" s="10">
        <v>139</v>
      </c>
      <c r="I600" s="10">
        <v>157</v>
      </c>
      <c r="J600" s="10">
        <v>125</v>
      </c>
      <c r="K600" s="10">
        <v>80</v>
      </c>
      <c r="L600" s="10">
        <v>111</v>
      </c>
      <c r="M600" s="10">
        <v>15</v>
      </c>
      <c r="N600" s="10">
        <v>2106</v>
      </c>
      <c r="O600" s="10">
        <v>0.77</v>
      </c>
      <c r="P600" s="10">
        <v>1622</v>
      </c>
      <c r="Q600" s="10">
        <v>233</v>
      </c>
      <c r="R600" s="10">
        <v>79</v>
      </c>
      <c r="S600" s="10">
        <v>49</v>
      </c>
      <c r="T600" s="10">
        <v>241</v>
      </c>
      <c r="U600" s="10">
        <v>14</v>
      </c>
      <c r="V600" s="10">
        <v>86</v>
      </c>
      <c r="W600" s="10">
        <v>0.28799999999999998</v>
      </c>
      <c r="X600" s="10">
        <v>70</v>
      </c>
      <c r="Y600" s="10">
        <v>78</v>
      </c>
      <c r="Z600" s="10">
        <v>172</v>
      </c>
      <c r="AA600" s="10">
        <v>7</v>
      </c>
      <c r="AB600" s="10">
        <v>8.5</v>
      </c>
      <c r="AC600" s="9" t="s">
        <v>349</v>
      </c>
      <c r="AD600" s="10"/>
      <c r="AE600" s="10"/>
      <c r="AF600" s="10"/>
      <c r="AG600" s="10"/>
    </row>
    <row r="601" spans="1:33">
      <c r="A601" s="7" t="s">
        <v>155</v>
      </c>
      <c r="B601" s="8" t="s">
        <v>245</v>
      </c>
      <c r="C601" s="9" t="s">
        <v>772</v>
      </c>
      <c r="D601" s="10">
        <v>166</v>
      </c>
      <c r="E601" s="9" t="s">
        <v>158</v>
      </c>
      <c r="F601" s="10">
        <v>166</v>
      </c>
      <c r="G601" s="10">
        <v>165.6</v>
      </c>
      <c r="H601" s="10">
        <v>127</v>
      </c>
      <c r="I601" s="10">
        <v>148</v>
      </c>
      <c r="J601" s="10">
        <v>125</v>
      </c>
      <c r="K601" s="10">
        <v>82</v>
      </c>
      <c r="L601" s="10">
        <v>111</v>
      </c>
      <c r="M601" s="10">
        <v>13.8</v>
      </c>
      <c r="N601" s="10">
        <v>1915</v>
      </c>
      <c r="O601" s="10">
        <v>0.83</v>
      </c>
      <c r="P601" s="10">
        <v>1583</v>
      </c>
      <c r="Q601" s="10">
        <v>215</v>
      </c>
      <c r="R601" s="10">
        <v>123</v>
      </c>
      <c r="S601" s="10">
        <v>49</v>
      </c>
      <c r="T601" s="10">
        <v>280</v>
      </c>
      <c r="U601" s="10">
        <v>6</v>
      </c>
      <c r="V601" s="10">
        <v>106</v>
      </c>
      <c r="W601" s="10">
        <v>0.12</v>
      </c>
      <c r="X601" s="10">
        <v>84</v>
      </c>
      <c r="Y601" s="10">
        <v>95</v>
      </c>
      <c r="Z601" s="10">
        <v>197</v>
      </c>
      <c r="AA601" s="10">
        <v>4</v>
      </c>
      <c r="AB601" s="10">
        <v>9.3000000000000007</v>
      </c>
      <c r="AC601" s="9" t="s">
        <v>231</v>
      </c>
      <c r="AD601" s="9" t="s">
        <v>188</v>
      </c>
      <c r="AE601" s="10"/>
      <c r="AF601" s="10"/>
      <c r="AG601" s="10"/>
    </row>
    <row r="602" spans="1:33">
      <c r="A602" s="7" t="s">
        <v>155</v>
      </c>
      <c r="B602" s="8" t="s">
        <v>245</v>
      </c>
      <c r="C602" s="9" t="s">
        <v>772</v>
      </c>
      <c r="D602" s="10">
        <v>173</v>
      </c>
      <c r="E602" s="9" t="s">
        <v>158</v>
      </c>
      <c r="F602" s="10">
        <v>173</v>
      </c>
      <c r="G602" s="10">
        <v>172.3</v>
      </c>
      <c r="H602" s="10">
        <v>133</v>
      </c>
      <c r="I602" s="10">
        <v>154</v>
      </c>
      <c r="J602" s="10">
        <v>125</v>
      </c>
      <c r="K602" s="10">
        <v>81</v>
      </c>
      <c r="L602" s="10">
        <v>112</v>
      </c>
      <c r="M602" s="10">
        <v>14.6</v>
      </c>
      <c r="N602" s="10">
        <v>2002</v>
      </c>
      <c r="O602" s="10">
        <v>0.82</v>
      </c>
      <c r="P602" s="10">
        <v>1650</v>
      </c>
      <c r="Q602" s="10">
        <v>255</v>
      </c>
      <c r="R602" s="10">
        <v>155</v>
      </c>
      <c r="S602" s="10">
        <v>50</v>
      </c>
      <c r="T602" s="10">
        <v>263</v>
      </c>
      <c r="U602" s="10">
        <v>9</v>
      </c>
      <c r="V602" s="10">
        <v>130</v>
      </c>
      <c r="W602" s="10">
        <v>0.17799999999999999</v>
      </c>
      <c r="X602" s="10">
        <v>84</v>
      </c>
      <c r="Y602" s="10">
        <v>104</v>
      </c>
      <c r="Z602" s="10">
        <v>179</v>
      </c>
      <c r="AA602" s="10">
        <v>5</v>
      </c>
      <c r="AB602" s="10">
        <v>9.9</v>
      </c>
      <c r="AC602" s="9" t="s">
        <v>231</v>
      </c>
      <c r="AD602" s="9" t="s">
        <v>188</v>
      </c>
      <c r="AE602" s="10"/>
      <c r="AF602" s="10"/>
      <c r="AG602" s="10"/>
    </row>
    <row r="603" spans="1:33">
      <c r="A603" s="7" t="s">
        <v>155</v>
      </c>
      <c r="B603" s="8" t="s">
        <v>245</v>
      </c>
      <c r="C603" s="9" t="s">
        <v>873</v>
      </c>
      <c r="D603" s="10">
        <v>165</v>
      </c>
      <c r="E603" s="9" t="s">
        <v>158</v>
      </c>
      <c r="F603" s="10">
        <v>165</v>
      </c>
      <c r="G603" s="10">
        <v>164.5</v>
      </c>
      <c r="H603" s="10">
        <v>146</v>
      </c>
      <c r="I603" s="10">
        <v>155</v>
      </c>
      <c r="J603" s="10">
        <v>120</v>
      </c>
      <c r="K603" s="10">
        <v>66</v>
      </c>
      <c r="L603" s="10">
        <v>103</v>
      </c>
      <c r="M603" s="10">
        <v>12.6</v>
      </c>
      <c r="N603" s="10">
        <v>2012</v>
      </c>
      <c r="O603" s="10">
        <v>0.68</v>
      </c>
      <c r="P603" s="10">
        <v>1373</v>
      </c>
      <c r="Q603" s="10">
        <v>212</v>
      </c>
      <c r="R603" s="10">
        <v>130</v>
      </c>
      <c r="S603" s="10">
        <v>37</v>
      </c>
      <c r="T603" s="10">
        <v>139</v>
      </c>
      <c r="U603" s="10">
        <v>4</v>
      </c>
      <c r="V603" s="10">
        <v>48</v>
      </c>
      <c r="W603" s="10">
        <v>9.7000000000000003E-2</v>
      </c>
      <c r="X603" s="10">
        <v>47</v>
      </c>
      <c r="Y603" s="10">
        <v>45</v>
      </c>
      <c r="Z603" s="10">
        <v>92</v>
      </c>
      <c r="AA603" s="10">
        <v>9</v>
      </c>
      <c r="AB603" s="10">
        <v>12.9</v>
      </c>
      <c r="AC603" s="9" t="s">
        <v>349</v>
      </c>
      <c r="AD603" s="10"/>
      <c r="AE603" s="10"/>
      <c r="AF603" s="10"/>
      <c r="AG603" s="10"/>
    </row>
    <row r="604" spans="1:33">
      <c r="A604" s="7" t="s">
        <v>155</v>
      </c>
      <c r="B604" s="8" t="s">
        <v>245</v>
      </c>
      <c r="C604" s="9" t="s">
        <v>873</v>
      </c>
      <c r="D604" s="10">
        <v>170</v>
      </c>
      <c r="E604" s="9" t="s">
        <v>158</v>
      </c>
      <c r="F604" s="10">
        <v>170</v>
      </c>
      <c r="G604" s="10">
        <v>169.2</v>
      </c>
      <c r="H604" s="10">
        <v>150</v>
      </c>
      <c r="I604" s="10">
        <v>160</v>
      </c>
      <c r="J604" s="10">
        <v>121</v>
      </c>
      <c r="K604" s="10">
        <v>66</v>
      </c>
      <c r="L604" s="10">
        <v>104</v>
      </c>
      <c r="M604" s="10">
        <v>13.1</v>
      </c>
      <c r="N604" s="10">
        <v>2126</v>
      </c>
      <c r="O604" s="10">
        <v>0.67</v>
      </c>
      <c r="P604" s="10">
        <v>1419</v>
      </c>
      <c r="Q604" s="10">
        <v>246</v>
      </c>
      <c r="R604" s="10">
        <v>166</v>
      </c>
      <c r="S604" s="10">
        <v>36</v>
      </c>
      <c r="T604" s="10">
        <v>137</v>
      </c>
      <c r="U604" s="10">
        <v>4</v>
      </c>
      <c r="V604" s="10">
        <v>50</v>
      </c>
      <c r="W604" s="10">
        <v>0.107</v>
      </c>
      <c r="X604" s="10">
        <v>47</v>
      </c>
      <c r="Y604" s="10">
        <v>43</v>
      </c>
      <c r="Z604" s="10">
        <v>91</v>
      </c>
      <c r="AA604" s="10">
        <v>8</v>
      </c>
      <c r="AB604" s="10">
        <v>13.1</v>
      </c>
      <c r="AC604" s="9" t="s">
        <v>349</v>
      </c>
      <c r="AD604" s="10"/>
      <c r="AE604" s="10"/>
      <c r="AF604" s="10"/>
      <c r="AG604" s="10"/>
    </row>
    <row r="605" spans="1:33">
      <c r="A605" s="7" t="s">
        <v>155</v>
      </c>
      <c r="B605" s="8" t="s">
        <v>245</v>
      </c>
      <c r="C605" s="9" t="s">
        <v>847</v>
      </c>
      <c r="D605" s="10">
        <v>155</v>
      </c>
      <c r="E605" s="9" t="s">
        <v>163</v>
      </c>
      <c r="F605" s="10">
        <v>155</v>
      </c>
      <c r="G605" s="10">
        <v>155.1</v>
      </c>
      <c r="H605" s="10">
        <v>123</v>
      </c>
      <c r="I605" s="10">
        <v>138</v>
      </c>
      <c r="J605" s="10">
        <v>116</v>
      </c>
      <c r="K605" s="10">
        <v>79</v>
      </c>
      <c r="L605" s="10">
        <v>105</v>
      </c>
      <c r="M605" s="10">
        <v>14.1</v>
      </c>
      <c r="N605" s="10">
        <v>1056</v>
      </c>
      <c r="O605" s="10">
        <v>1.34</v>
      </c>
      <c r="P605" s="10">
        <v>1415</v>
      </c>
      <c r="Q605" s="10">
        <v>182</v>
      </c>
      <c r="R605" s="10">
        <v>66</v>
      </c>
      <c r="S605" s="10">
        <v>54</v>
      </c>
      <c r="T605" s="10">
        <v>231</v>
      </c>
      <c r="U605" s="10">
        <v>10</v>
      </c>
      <c r="V605" s="10">
        <v>90</v>
      </c>
      <c r="W605" s="10">
        <v>0.184</v>
      </c>
      <c r="X605" s="10">
        <v>93</v>
      </c>
      <c r="Y605" s="10">
        <v>81</v>
      </c>
      <c r="Z605" s="10">
        <v>138</v>
      </c>
      <c r="AA605" s="10">
        <v>6</v>
      </c>
      <c r="AB605" s="10">
        <v>9.5</v>
      </c>
      <c r="AC605" s="9" t="s">
        <v>185</v>
      </c>
      <c r="AD605" s="9" t="s">
        <v>198</v>
      </c>
      <c r="AE605" s="10"/>
      <c r="AF605" s="10"/>
      <c r="AG605" s="10"/>
    </row>
    <row r="606" spans="1:33">
      <c r="A606" s="7" t="s">
        <v>155</v>
      </c>
      <c r="B606" s="8" t="s">
        <v>245</v>
      </c>
      <c r="C606" s="9" t="s">
        <v>847</v>
      </c>
      <c r="D606" s="10">
        <v>162</v>
      </c>
      <c r="E606" s="9" t="s">
        <v>163</v>
      </c>
      <c r="F606" s="10">
        <v>162</v>
      </c>
      <c r="G606" s="10">
        <v>160.69999999999999</v>
      </c>
      <c r="H606" s="10">
        <v>126</v>
      </c>
      <c r="I606" s="10">
        <v>143</v>
      </c>
      <c r="J606" s="10">
        <v>116</v>
      </c>
      <c r="K606" s="10">
        <v>80</v>
      </c>
      <c r="L606" s="10">
        <v>106</v>
      </c>
      <c r="M606" s="10">
        <v>15.4</v>
      </c>
      <c r="N606" s="10">
        <v>1092</v>
      </c>
      <c r="O606" s="10">
        <v>1.35</v>
      </c>
      <c r="P606" s="10">
        <v>1473</v>
      </c>
      <c r="Q606" s="10">
        <v>195</v>
      </c>
      <c r="R606" s="10">
        <v>80</v>
      </c>
      <c r="S606" s="10">
        <v>47</v>
      </c>
      <c r="T606" s="10">
        <v>250</v>
      </c>
      <c r="U606" s="10">
        <v>10</v>
      </c>
      <c r="V606" s="10">
        <v>95</v>
      </c>
      <c r="W606" s="10">
        <v>0.20300000000000001</v>
      </c>
      <c r="X606" s="10">
        <v>74</v>
      </c>
      <c r="Y606" s="10">
        <v>103</v>
      </c>
      <c r="Z606" s="10">
        <v>175</v>
      </c>
      <c r="AA606" s="10">
        <v>7</v>
      </c>
      <c r="AB606" s="10">
        <v>9.9</v>
      </c>
      <c r="AC606" s="9" t="s">
        <v>185</v>
      </c>
      <c r="AD606" s="9" t="s">
        <v>198</v>
      </c>
      <c r="AE606" s="10"/>
      <c r="AF606" s="10"/>
      <c r="AG606" s="10"/>
    </row>
    <row r="607" spans="1:33">
      <c r="A607" s="7" t="s">
        <v>155</v>
      </c>
      <c r="B607" s="8" t="s">
        <v>167</v>
      </c>
      <c r="C607" s="9" t="s">
        <v>799</v>
      </c>
      <c r="D607" s="10">
        <v>153</v>
      </c>
      <c r="E607" s="9" t="s">
        <v>163</v>
      </c>
      <c r="F607" s="10">
        <v>153</v>
      </c>
      <c r="G607" s="10">
        <v>152.30000000000001</v>
      </c>
      <c r="H607" s="10">
        <v>131</v>
      </c>
      <c r="I607" s="10">
        <v>135</v>
      </c>
      <c r="J607" s="10">
        <v>130</v>
      </c>
      <c r="K607" s="10">
        <v>78</v>
      </c>
      <c r="L607" s="10">
        <v>108</v>
      </c>
      <c r="M607" s="10">
        <v>11.2</v>
      </c>
      <c r="N607" s="10">
        <v>1604</v>
      </c>
      <c r="O607" s="10">
        <v>0.89</v>
      </c>
      <c r="P607" s="10">
        <v>1425</v>
      </c>
      <c r="Q607" s="10">
        <v>122</v>
      </c>
      <c r="R607" s="10">
        <v>65</v>
      </c>
      <c r="S607" s="10">
        <v>34</v>
      </c>
      <c r="T607" s="10">
        <v>136</v>
      </c>
      <c r="U607" s="10">
        <v>11</v>
      </c>
      <c r="V607" s="10">
        <v>73</v>
      </c>
      <c r="W607" s="10">
        <v>0.33800000000000002</v>
      </c>
      <c r="X607" s="10">
        <v>111</v>
      </c>
      <c r="Y607" s="10">
        <v>62</v>
      </c>
      <c r="Z607" s="10">
        <v>25</v>
      </c>
      <c r="AA607" s="10">
        <v>11</v>
      </c>
      <c r="AB607" s="10">
        <v>10.8</v>
      </c>
      <c r="AC607" s="9" t="s">
        <v>349</v>
      </c>
      <c r="AD607" s="9" t="s">
        <v>231</v>
      </c>
      <c r="AE607" s="10"/>
      <c r="AF607" s="10"/>
      <c r="AG607" s="10"/>
    </row>
    <row r="608" spans="1:33">
      <c r="A608" s="7" t="s">
        <v>155</v>
      </c>
      <c r="B608" s="8" t="s">
        <v>167</v>
      </c>
      <c r="C608" s="9" t="s">
        <v>168</v>
      </c>
      <c r="D608" s="10">
        <v>170</v>
      </c>
      <c r="E608" s="9" t="s">
        <v>158</v>
      </c>
      <c r="F608" s="10">
        <v>170</v>
      </c>
      <c r="G608" s="10">
        <v>170.1</v>
      </c>
      <c r="H608" s="10">
        <v>127</v>
      </c>
      <c r="I608" s="10">
        <v>131</v>
      </c>
      <c r="J608" s="10">
        <v>128</v>
      </c>
      <c r="K608" s="10">
        <v>100</v>
      </c>
      <c r="L608" s="10">
        <v>118</v>
      </c>
      <c r="M608" s="10">
        <v>15.9</v>
      </c>
      <c r="N608" s="10">
        <v>1636</v>
      </c>
      <c r="O608" s="10">
        <v>1.1499999999999999</v>
      </c>
      <c r="P608" s="10">
        <v>1875</v>
      </c>
      <c r="Q608" s="10">
        <v>222</v>
      </c>
      <c r="R608" s="10">
        <v>108</v>
      </c>
      <c r="S608" s="10">
        <v>54</v>
      </c>
      <c r="T608" s="10">
        <v>253</v>
      </c>
      <c r="U608" s="10">
        <v>19</v>
      </c>
      <c r="V608" s="10">
        <v>176</v>
      </c>
      <c r="W608" s="10">
        <v>0.35599999999999998</v>
      </c>
      <c r="X608" s="10">
        <v>230</v>
      </c>
      <c r="Y608" s="10">
        <v>161</v>
      </c>
      <c r="Z608" s="10">
        <v>23</v>
      </c>
      <c r="AA608" s="10">
        <v>6</v>
      </c>
      <c r="AB608" s="10">
        <v>9.8000000000000007</v>
      </c>
      <c r="AC608" s="9" t="s">
        <v>188</v>
      </c>
      <c r="AD608" s="9" t="s">
        <v>185</v>
      </c>
      <c r="AE608" s="10"/>
      <c r="AF608" s="10"/>
      <c r="AG608" s="10"/>
    </row>
    <row r="609" spans="1:33">
      <c r="A609" s="7" t="s">
        <v>155</v>
      </c>
      <c r="B609" s="8" t="s">
        <v>167</v>
      </c>
      <c r="C609" s="9" t="s">
        <v>168</v>
      </c>
      <c r="D609" s="10">
        <v>177</v>
      </c>
      <c r="E609" s="9" t="s">
        <v>158</v>
      </c>
      <c r="F609" s="10">
        <v>177</v>
      </c>
      <c r="G609" s="10">
        <v>176.6</v>
      </c>
      <c r="H609" s="10">
        <v>134</v>
      </c>
      <c r="I609" s="10">
        <v>137</v>
      </c>
      <c r="J609" s="10">
        <v>132</v>
      </c>
      <c r="K609" s="10">
        <v>102</v>
      </c>
      <c r="L609" s="10">
        <v>121</v>
      </c>
      <c r="M609" s="10">
        <v>17</v>
      </c>
      <c r="N609" s="10">
        <v>1686</v>
      </c>
      <c r="O609" s="10">
        <v>1.18</v>
      </c>
      <c r="P609" s="10">
        <v>1988</v>
      </c>
      <c r="Q609" s="10">
        <v>253</v>
      </c>
      <c r="R609" s="10">
        <v>129</v>
      </c>
      <c r="S609" s="10">
        <v>52</v>
      </c>
      <c r="T609" s="10">
        <v>246</v>
      </c>
      <c r="U609" s="10">
        <v>21</v>
      </c>
      <c r="V609" s="10">
        <v>175</v>
      </c>
      <c r="W609" s="10">
        <v>0.39300000000000002</v>
      </c>
      <c r="X609" s="10">
        <v>231</v>
      </c>
      <c r="Y609" s="10">
        <v>167</v>
      </c>
      <c r="Z609" s="10">
        <v>16</v>
      </c>
      <c r="AA609" s="10">
        <v>8</v>
      </c>
      <c r="AB609" s="10">
        <v>10</v>
      </c>
      <c r="AC609" s="9" t="s">
        <v>188</v>
      </c>
      <c r="AD609" s="9" t="s">
        <v>169</v>
      </c>
      <c r="AE609" s="9" t="s">
        <v>178</v>
      </c>
      <c r="AF609" s="9" t="s">
        <v>185</v>
      </c>
      <c r="AG609" s="10"/>
    </row>
    <row r="610" spans="1:33">
      <c r="A610" s="7" t="s">
        <v>155</v>
      </c>
      <c r="B610" s="8" t="s">
        <v>167</v>
      </c>
      <c r="C610" s="9" t="s">
        <v>168</v>
      </c>
      <c r="D610" s="10">
        <v>184</v>
      </c>
      <c r="E610" s="9" t="s">
        <v>158</v>
      </c>
      <c r="F610" s="10">
        <v>184</v>
      </c>
      <c r="G610" s="10">
        <v>183.9</v>
      </c>
      <c r="H610" s="10">
        <v>141</v>
      </c>
      <c r="I610" s="10">
        <v>142</v>
      </c>
      <c r="J610" s="10">
        <v>135</v>
      </c>
      <c r="K610" s="10">
        <v>104</v>
      </c>
      <c r="L610" s="10">
        <v>123</v>
      </c>
      <c r="M610" s="10">
        <v>18.2</v>
      </c>
      <c r="N610" s="10">
        <v>1851</v>
      </c>
      <c r="O610" s="10">
        <v>1.1399999999999999</v>
      </c>
      <c r="P610" s="10">
        <v>2105</v>
      </c>
      <c r="Q610" s="10">
        <v>302</v>
      </c>
      <c r="R610" s="10">
        <v>148</v>
      </c>
      <c r="S610" s="10">
        <v>52</v>
      </c>
      <c r="T610" s="10">
        <v>249</v>
      </c>
      <c r="U610" s="10">
        <v>22</v>
      </c>
      <c r="V610" s="10">
        <v>184</v>
      </c>
      <c r="W610" s="10">
        <v>0.41699999999999998</v>
      </c>
      <c r="X610" s="10">
        <v>266</v>
      </c>
      <c r="Y610" s="10">
        <v>157</v>
      </c>
      <c r="Z610" s="10">
        <v>-17</v>
      </c>
      <c r="AA610" s="10">
        <v>8</v>
      </c>
      <c r="AB610" s="10">
        <v>11</v>
      </c>
      <c r="AC610" s="9" t="s">
        <v>188</v>
      </c>
      <c r="AD610" s="9" t="s">
        <v>169</v>
      </c>
      <c r="AE610" s="9" t="s">
        <v>185</v>
      </c>
      <c r="AF610" s="10"/>
      <c r="AG610" s="10"/>
    </row>
    <row r="611" spans="1:33">
      <c r="A611" s="7" t="s">
        <v>155</v>
      </c>
      <c r="B611" s="8" t="s">
        <v>167</v>
      </c>
      <c r="C611" s="9" t="s">
        <v>168</v>
      </c>
      <c r="D611" s="10">
        <v>191</v>
      </c>
      <c r="E611" s="9" t="s">
        <v>158</v>
      </c>
      <c r="F611" s="10">
        <v>191</v>
      </c>
      <c r="G611" s="10">
        <v>189.6</v>
      </c>
      <c r="H611" s="10">
        <v>148</v>
      </c>
      <c r="I611" s="10">
        <v>152</v>
      </c>
      <c r="J611" s="10">
        <v>136</v>
      </c>
      <c r="K611" s="10">
        <v>106</v>
      </c>
      <c r="L611" s="10">
        <v>126</v>
      </c>
      <c r="M611" s="10">
        <v>19.7</v>
      </c>
      <c r="N611" s="9" t="s">
        <v>1155</v>
      </c>
      <c r="O611" s="9" t="s">
        <v>1155</v>
      </c>
      <c r="P611" s="10">
        <v>2210</v>
      </c>
      <c r="Q611" s="10">
        <v>330</v>
      </c>
      <c r="R611" s="10">
        <v>152</v>
      </c>
      <c r="S611" s="10">
        <v>49</v>
      </c>
      <c r="T611" s="10">
        <v>238</v>
      </c>
      <c r="U611" s="10">
        <v>22</v>
      </c>
      <c r="V611" s="10">
        <v>180</v>
      </c>
      <c r="W611" s="10">
        <v>0.45400000000000001</v>
      </c>
      <c r="X611" s="10">
        <v>229</v>
      </c>
      <c r="Y611" s="10">
        <v>148</v>
      </c>
      <c r="Z611" s="10">
        <v>9</v>
      </c>
      <c r="AA611" s="10">
        <v>10</v>
      </c>
      <c r="AB611" s="10">
        <v>11.3</v>
      </c>
      <c r="AC611" s="9" t="s">
        <v>169</v>
      </c>
      <c r="AD611" s="10"/>
      <c r="AE611" s="10"/>
      <c r="AF611" s="10"/>
      <c r="AG611" s="10"/>
    </row>
    <row r="612" spans="1:33">
      <c r="A612" s="7" t="s">
        <v>155</v>
      </c>
      <c r="B612" s="8" t="s">
        <v>167</v>
      </c>
      <c r="C612" s="9" t="s">
        <v>786</v>
      </c>
      <c r="D612" s="10">
        <v>177</v>
      </c>
      <c r="E612" s="9" t="s">
        <v>158</v>
      </c>
      <c r="F612" s="10">
        <v>177</v>
      </c>
      <c r="G612" s="10">
        <v>176.5</v>
      </c>
      <c r="H612" s="10">
        <v>123</v>
      </c>
      <c r="I612" s="10">
        <v>137</v>
      </c>
      <c r="J612" s="10">
        <v>137</v>
      </c>
      <c r="K612" s="10">
        <v>108</v>
      </c>
      <c r="L612" s="10">
        <v>124</v>
      </c>
      <c r="M612" s="10">
        <v>19.8</v>
      </c>
      <c r="N612" s="10">
        <v>1737</v>
      </c>
      <c r="O612" s="10">
        <v>1.2</v>
      </c>
      <c r="P612" s="10">
        <v>2077</v>
      </c>
      <c r="Q612" s="10">
        <v>288</v>
      </c>
      <c r="R612" s="10">
        <v>124</v>
      </c>
      <c r="S612" s="10">
        <v>56</v>
      </c>
      <c r="T612" s="10">
        <v>281</v>
      </c>
      <c r="U612" s="10">
        <v>20</v>
      </c>
      <c r="V612" s="10">
        <v>259</v>
      </c>
      <c r="W612" s="10">
        <v>0.35799999999999998</v>
      </c>
      <c r="X612" s="10">
        <v>241</v>
      </c>
      <c r="Y612" s="10">
        <v>156</v>
      </c>
      <c r="Z612" s="10">
        <v>40</v>
      </c>
      <c r="AA612" s="10">
        <v>5</v>
      </c>
      <c r="AB612" s="10">
        <v>8.5</v>
      </c>
      <c r="AC612" s="9" t="s">
        <v>169</v>
      </c>
      <c r="AD612" s="9" t="s">
        <v>178</v>
      </c>
      <c r="AE612" s="9" t="s">
        <v>185</v>
      </c>
      <c r="AF612" s="10"/>
      <c r="AG612" s="10"/>
    </row>
    <row r="613" spans="1:33">
      <c r="A613" s="7" t="s">
        <v>155</v>
      </c>
      <c r="B613" s="8" t="s">
        <v>167</v>
      </c>
      <c r="C613" s="9" t="s">
        <v>786</v>
      </c>
      <c r="D613" s="10">
        <v>184</v>
      </c>
      <c r="E613" s="9" t="s">
        <v>158</v>
      </c>
      <c r="F613" s="10">
        <v>184</v>
      </c>
      <c r="G613" s="10">
        <v>183.2</v>
      </c>
      <c r="H613" s="10">
        <v>129</v>
      </c>
      <c r="I613" s="10">
        <v>145</v>
      </c>
      <c r="J613" s="10">
        <v>139</v>
      </c>
      <c r="K613" s="10">
        <v>110</v>
      </c>
      <c r="L613" s="10">
        <v>126</v>
      </c>
      <c r="M613" s="10">
        <v>21.6</v>
      </c>
      <c r="N613" s="10">
        <v>1845</v>
      </c>
      <c r="O613" s="10">
        <v>1.19</v>
      </c>
      <c r="P613" s="10">
        <v>2191</v>
      </c>
      <c r="Q613" s="10">
        <v>316</v>
      </c>
      <c r="R613" s="10">
        <v>140</v>
      </c>
      <c r="S613" s="10">
        <v>58</v>
      </c>
      <c r="T613" s="10">
        <v>279</v>
      </c>
      <c r="U613" s="10">
        <v>20</v>
      </c>
      <c r="V613" s="10">
        <v>268</v>
      </c>
      <c r="W613" s="10">
        <v>0.34200000000000003</v>
      </c>
      <c r="X613" s="10">
        <v>240</v>
      </c>
      <c r="Y613" s="10">
        <v>147</v>
      </c>
      <c r="Z613" s="10">
        <v>39</v>
      </c>
      <c r="AA613" s="10">
        <v>5</v>
      </c>
      <c r="AB613" s="10">
        <v>9.3000000000000007</v>
      </c>
      <c r="AC613" s="9" t="s">
        <v>178</v>
      </c>
      <c r="AD613" s="9" t="s">
        <v>185</v>
      </c>
      <c r="AE613" s="10"/>
      <c r="AF613" s="10"/>
      <c r="AG613" s="10"/>
    </row>
    <row r="614" spans="1:33">
      <c r="A614" s="7" t="s">
        <v>155</v>
      </c>
      <c r="B614" s="8" t="s">
        <v>167</v>
      </c>
      <c r="C614" s="9" t="s">
        <v>786</v>
      </c>
      <c r="D614" s="10">
        <v>191</v>
      </c>
      <c r="E614" s="9" t="s">
        <v>158</v>
      </c>
      <c r="F614" s="10">
        <v>191</v>
      </c>
      <c r="G614" s="10">
        <v>190.2</v>
      </c>
      <c r="H614" s="10">
        <v>138</v>
      </c>
      <c r="I614" s="10">
        <v>153</v>
      </c>
      <c r="J614" s="10">
        <v>142</v>
      </c>
      <c r="K614" s="10">
        <v>112</v>
      </c>
      <c r="L614" s="10">
        <v>128</v>
      </c>
      <c r="M614" s="10">
        <v>23.7</v>
      </c>
      <c r="N614" s="10">
        <v>1946</v>
      </c>
      <c r="O614" s="10">
        <v>1.19</v>
      </c>
      <c r="P614" s="10">
        <v>2317</v>
      </c>
      <c r="Q614" s="10">
        <v>324</v>
      </c>
      <c r="R614" s="10">
        <v>176</v>
      </c>
      <c r="S614" s="10">
        <v>56</v>
      </c>
      <c r="T614" s="10">
        <v>269</v>
      </c>
      <c r="U614" s="10">
        <v>20</v>
      </c>
      <c r="V614" s="10">
        <v>255</v>
      </c>
      <c r="W614" s="10">
        <v>0.36499999999999999</v>
      </c>
      <c r="X614" s="10">
        <v>230</v>
      </c>
      <c r="Y614" s="10">
        <v>142</v>
      </c>
      <c r="Z614" s="10">
        <v>39</v>
      </c>
      <c r="AA614" s="10">
        <v>8</v>
      </c>
      <c r="AB614" s="10">
        <v>9.9</v>
      </c>
      <c r="AC614" s="9" t="s">
        <v>169</v>
      </c>
      <c r="AD614" s="9" t="s">
        <v>178</v>
      </c>
      <c r="AE614" s="9" t="s">
        <v>185</v>
      </c>
      <c r="AF614" s="10"/>
      <c r="AG614" s="10"/>
    </row>
    <row r="615" spans="1:33">
      <c r="A615" s="7" t="s">
        <v>155</v>
      </c>
      <c r="B615" s="8" t="s">
        <v>167</v>
      </c>
      <c r="C615" s="9" t="s">
        <v>835</v>
      </c>
      <c r="D615" s="10">
        <v>177</v>
      </c>
      <c r="E615" s="9" t="s">
        <v>158</v>
      </c>
      <c r="F615" s="10">
        <v>177</v>
      </c>
      <c r="G615" s="10">
        <v>175.7</v>
      </c>
      <c r="H615" s="10">
        <v>111</v>
      </c>
      <c r="I615" s="10">
        <v>137</v>
      </c>
      <c r="J615" s="10">
        <v>142</v>
      </c>
      <c r="K615" s="10">
        <v>114</v>
      </c>
      <c r="L615" s="10">
        <v>126</v>
      </c>
      <c r="M615" s="10">
        <v>23</v>
      </c>
      <c r="N615" s="10">
        <v>1835</v>
      </c>
      <c r="O615" s="10">
        <v>1.17</v>
      </c>
      <c r="P615" s="10">
        <v>2150</v>
      </c>
      <c r="Q615" s="10">
        <v>273</v>
      </c>
      <c r="R615" s="10">
        <v>138</v>
      </c>
      <c r="S615" s="10">
        <v>67</v>
      </c>
      <c r="T615" s="10">
        <v>285</v>
      </c>
      <c r="U615" s="10">
        <v>21</v>
      </c>
      <c r="V615" s="10">
        <v>365</v>
      </c>
      <c r="W615" s="10">
        <v>0.309</v>
      </c>
      <c r="X615" s="10">
        <v>233</v>
      </c>
      <c r="Y615" s="10">
        <v>152</v>
      </c>
      <c r="Z615" s="10">
        <v>52</v>
      </c>
      <c r="AA615" s="10">
        <v>4</v>
      </c>
      <c r="AB615" s="10">
        <v>6.6</v>
      </c>
      <c r="AC615" s="9" t="s">
        <v>178</v>
      </c>
      <c r="AD615" s="9" t="s">
        <v>185</v>
      </c>
      <c r="AE615" s="10"/>
      <c r="AF615" s="10"/>
      <c r="AG615" s="10"/>
    </row>
    <row r="616" spans="1:33">
      <c r="A616" s="7" t="s">
        <v>155</v>
      </c>
      <c r="B616" s="8" t="s">
        <v>167</v>
      </c>
      <c r="C616" s="9" t="s">
        <v>835</v>
      </c>
      <c r="D616" s="10">
        <v>184</v>
      </c>
      <c r="E616" s="9" t="s">
        <v>158</v>
      </c>
      <c r="F616" s="10">
        <v>184</v>
      </c>
      <c r="G616" s="10">
        <v>182.9</v>
      </c>
      <c r="H616" s="10">
        <v>118</v>
      </c>
      <c r="I616" s="10">
        <v>145</v>
      </c>
      <c r="J616" s="10">
        <v>144</v>
      </c>
      <c r="K616" s="10">
        <v>116</v>
      </c>
      <c r="L616" s="10">
        <v>128</v>
      </c>
      <c r="M616" s="10">
        <v>24.9</v>
      </c>
      <c r="N616" s="10">
        <v>1949</v>
      </c>
      <c r="O616" s="10">
        <v>1.17</v>
      </c>
      <c r="P616" s="10">
        <v>2275</v>
      </c>
      <c r="Q616" s="10">
        <v>335</v>
      </c>
      <c r="R616" s="10">
        <v>162</v>
      </c>
      <c r="S616" s="10">
        <v>63</v>
      </c>
      <c r="T616" s="10">
        <v>288</v>
      </c>
      <c r="U616" s="10">
        <v>22</v>
      </c>
      <c r="V616" s="10">
        <v>359</v>
      </c>
      <c r="W616" s="10">
        <v>0.35499999999999998</v>
      </c>
      <c r="X616" s="10">
        <v>231</v>
      </c>
      <c r="Y616" s="10">
        <v>145</v>
      </c>
      <c r="Z616" s="10">
        <v>57</v>
      </c>
      <c r="AA616" s="10">
        <v>5</v>
      </c>
      <c r="AB616" s="10">
        <v>7.5</v>
      </c>
      <c r="AC616" s="9" t="s">
        <v>169</v>
      </c>
      <c r="AD616" s="9" t="s">
        <v>178</v>
      </c>
      <c r="AE616" s="9" t="s">
        <v>185</v>
      </c>
      <c r="AF616" s="10"/>
      <c r="AG616" s="10"/>
    </row>
    <row r="617" spans="1:33">
      <c r="A617" s="7" t="s">
        <v>155</v>
      </c>
      <c r="B617" s="8" t="s">
        <v>167</v>
      </c>
      <c r="C617" s="9" t="s">
        <v>702</v>
      </c>
      <c r="D617" s="10">
        <v>156</v>
      </c>
      <c r="E617" s="9" t="s">
        <v>158</v>
      </c>
      <c r="F617" s="10">
        <v>156</v>
      </c>
      <c r="G617" s="10">
        <v>155.1</v>
      </c>
      <c r="H617" s="10">
        <v>127</v>
      </c>
      <c r="I617" s="10">
        <v>131</v>
      </c>
      <c r="J617" s="10">
        <v>122</v>
      </c>
      <c r="K617" s="10">
        <v>77</v>
      </c>
      <c r="L617" s="10">
        <v>102</v>
      </c>
      <c r="M617" s="10">
        <v>10.9</v>
      </c>
      <c r="N617" s="10">
        <v>1671</v>
      </c>
      <c r="O617" s="10">
        <v>0.86</v>
      </c>
      <c r="P617" s="10">
        <v>1429</v>
      </c>
      <c r="Q617" s="10">
        <v>124</v>
      </c>
      <c r="R617" s="10">
        <v>65</v>
      </c>
      <c r="S617" s="10">
        <v>41</v>
      </c>
      <c r="T617" s="10">
        <v>200</v>
      </c>
      <c r="U617" s="10">
        <v>7</v>
      </c>
      <c r="V617" s="10">
        <v>84</v>
      </c>
      <c r="W617" s="10">
        <v>0.17100000000000001</v>
      </c>
      <c r="X617" s="10">
        <v>126</v>
      </c>
      <c r="Y617" s="10">
        <v>114</v>
      </c>
      <c r="Z617" s="10">
        <v>73</v>
      </c>
      <c r="AA617" s="10">
        <v>12</v>
      </c>
      <c r="AB617" s="10">
        <v>9.3000000000000007</v>
      </c>
      <c r="AC617" s="9" t="s">
        <v>349</v>
      </c>
      <c r="AD617" s="9" t="s">
        <v>231</v>
      </c>
      <c r="AE617" s="10"/>
      <c r="AF617" s="10"/>
      <c r="AG617" s="10"/>
    </row>
    <row r="618" spans="1:33">
      <c r="A618" s="7" t="s">
        <v>155</v>
      </c>
      <c r="B618" s="8" t="s">
        <v>167</v>
      </c>
      <c r="C618" s="9" t="s">
        <v>702</v>
      </c>
      <c r="D618" s="10">
        <v>163</v>
      </c>
      <c r="E618" s="9" t="s">
        <v>158</v>
      </c>
      <c r="F618" s="10">
        <v>163</v>
      </c>
      <c r="G618" s="10">
        <v>162.6</v>
      </c>
      <c r="H618" s="10">
        <v>131</v>
      </c>
      <c r="I618" s="10">
        <v>138</v>
      </c>
      <c r="J618" s="10">
        <v>124</v>
      </c>
      <c r="K618" s="10">
        <v>78</v>
      </c>
      <c r="L618" s="10">
        <v>103</v>
      </c>
      <c r="M618" s="10">
        <v>12.1</v>
      </c>
      <c r="N618" s="10">
        <v>1773</v>
      </c>
      <c r="O618" s="10">
        <v>0.85</v>
      </c>
      <c r="P618" s="10">
        <v>1510</v>
      </c>
      <c r="Q618" s="10">
        <v>148</v>
      </c>
      <c r="R618" s="10">
        <v>76</v>
      </c>
      <c r="S618" s="10">
        <v>43</v>
      </c>
      <c r="T618" s="10">
        <v>202</v>
      </c>
      <c r="U618" s="10">
        <v>11</v>
      </c>
      <c r="V618" s="10">
        <v>116</v>
      </c>
      <c r="W618" s="10">
        <v>0.25600000000000001</v>
      </c>
      <c r="X618" s="10">
        <v>129</v>
      </c>
      <c r="Y618" s="10">
        <v>112</v>
      </c>
      <c r="Z618" s="10">
        <v>73</v>
      </c>
      <c r="AA618" s="10">
        <v>10</v>
      </c>
      <c r="AB618" s="10">
        <v>10.4</v>
      </c>
      <c r="AC618" s="9" t="s">
        <v>231</v>
      </c>
      <c r="AD618" s="10"/>
      <c r="AE618" s="10"/>
      <c r="AF618" s="10"/>
      <c r="AG618" s="10"/>
    </row>
    <row r="619" spans="1:33">
      <c r="A619" s="7" t="s">
        <v>155</v>
      </c>
      <c r="B619" s="8" t="s">
        <v>167</v>
      </c>
      <c r="C619" s="9" t="s">
        <v>702</v>
      </c>
      <c r="D619" s="10">
        <v>170</v>
      </c>
      <c r="E619" s="9" t="s">
        <v>158</v>
      </c>
      <c r="F619" s="10">
        <v>170</v>
      </c>
      <c r="G619" s="10">
        <v>169.2</v>
      </c>
      <c r="H619" s="10">
        <v>139</v>
      </c>
      <c r="I619" s="10">
        <v>144</v>
      </c>
      <c r="J619" s="10">
        <v>125</v>
      </c>
      <c r="K619" s="10">
        <v>78</v>
      </c>
      <c r="L619" s="10">
        <v>104</v>
      </c>
      <c r="M619" s="10">
        <v>13.3</v>
      </c>
      <c r="N619" s="10">
        <v>1925</v>
      </c>
      <c r="O619" s="10">
        <v>0.82</v>
      </c>
      <c r="P619" s="10">
        <v>1581</v>
      </c>
      <c r="Q619" s="10">
        <v>173</v>
      </c>
      <c r="R619" s="10">
        <v>79</v>
      </c>
      <c r="S619" s="10">
        <v>41</v>
      </c>
      <c r="T619" s="10">
        <v>199</v>
      </c>
      <c r="U619" s="10">
        <v>8</v>
      </c>
      <c r="V619" s="10">
        <v>101</v>
      </c>
      <c r="W619" s="10">
        <v>0.19</v>
      </c>
      <c r="X619" s="10">
        <v>129</v>
      </c>
      <c r="Y619" s="10">
        <v>121</v>
      </c>
      <c r="Z619" s="10">
        <v>70</v>
      </c>
      <c r="AA619" s="10">
        <v>13</v>
      </c>
      <c r="AB619" s="10">
        <v>11.7</v>
      </c>
      <c r="AC619" s="9" t="s">
        <v>349</v>
      </c>
      <c r="AD619" s="9" t="s">
        <v>231</v>
      </c>
      <c r="AE619" s="10"/>
      <c r="AF619" s="10"/>
      <c r="AG619" s="10"/>
    </row>
    <row r="620" spans="1:33">
      <c r="A620" s="7" t="s">
        <v>155</v>
      </c>
      <c r="B620" s="8" t="s">
        <v>167</v>
      </c>
      <c r="C620" s="9" t="s">
        <v>702</v>
      </c>
      <c r="D620" s="10">
        <v>177</v>
      </c>
      <c r="E620" s="9" t="s">
        <v>158</v>
      </c>
      <c r="F620" s="10">
        <v>177</v>
      </c>
      <c r="G620" s="10">
        <v>176.3</v>
      </c>
      <c r="H620" s="10">
        <v>147</v>
      </c>
      <c r="I620" s="10">
        <v>150</v>
      </c>
      <c r="J620" s="10">
        <v>126</v>
      </c>
      <c r="K620" s="10">
        <v>79</v>
      </c>
      <c r="L620" s="10">
        <v>105</v>
      </c>
      <c r="M620" s="10">
        <v>14.4</v>
      </c>
      <c r="N620" s="10">
        <v>2084</v>
      </c>
      <c r="O620" s="10">
        <v>0.8</v>
      </c>
      <c r="P620" s="10">
        <v>1669</v>
      </c>
      <c r="Q620" s="10">
        <v>187</v>
      </c>
      <c r="R620" s="10">
        <v>98</v>
      </c>
      <c r="S620" s="10">
        <v>40</v>
      </c>
      <c r="T620" s="10">
        <v>200</v>
      </c>
      <c r="U620" s="10">
        <v>7</v>
      </c>
      <c r="V620" s="10">
        <v>96</v>
      </c>
      <c r="W620" s="10">
        <v>0.17799999999999999</v>
      </c>
      <c r="X620" s="10">
        <v>135</v>
      </c>
      <c r="Y620" s="10">
        <v>124</v>
      </c>
      <c r="Z620" s="10">
        <v>65</v>
      </c>
      <c r="AA620" s="10">
        <v>13</v>
      </c>
      <c r="AB620" s="10">
        <v>11.4</v>
      </c>
      <c r="AC620" s="9" t="s">
        <v>349</v>
      </c>
      <c r="AD620" s="9" t="s">
        <v>231</v>
      </c>
      <c r="AE620" s="10"/>
      <c r="AF620" s="10"/>
      <c r="AG620" s="10"/>
    </row>
    <row r="621" spans="1:33">
      <c r="A621" s="7" t="s">
        <v>155</v>
      </c>
      <c r="B621" s="8" t="s">
        <v>167</v>
      </c>
      <c r="C621" s="9" t="s">
        <v>466</v>
      </c>
      <c r="D621" s="10">
        <v>163</v>
      </c>
      <c r="E621" s="9" t="s">
        <v>163</v>
      </c>
      <c r="F621" s="10">
        <v>163</v>
      </c>
      <c r="G621" s="10">
        <v>162.6</v>
      </c>
      <c r="H621" s="10">
        <v>128</v>
      </c>
      <c r="I621" s="10">
        <v>135</v>
      </c>
      <c r="J621" s="10">
        <v>123</v>
      </c>
      <c r="K621" s="10">
        <v>82</v>
      </c>
      <c r="L621" s="10">
        <v>104</v>
      </c>
      <c r="M621" s="10">
        <v>13.7</v>
      </c>
      <c r="N621" s="10">
        <v>1444</v>
      </c>
      <c r="O621" s="10">
        <v>1.08</v>
      </c>
      <c r="P621" s="10">
        <v>1555</v>
      </c>
      <c r="Q621" s="10">
        <v>209</v>
      </c>
      <c r="R621" s="10">
        <v>96</v>
      </c>
      <c r="S621" s="10">
        <v>45</v>
      </c>
      <c r="T621" s="10">
        <v>210</v>
      </c>
      <c r="U621" s="10">
        <v>11</v>
      </c>
      <c r="V621" s="10">
        <v>135</v>
      </c>
      <c r="W621" s="10">
        <v>0.23799999999999999</v>
      </c>
      <c r="X621" s="10">
        <v>140</v>
      </c>
      <c r="Y621" s="10">
        <v>132</v>
      </c>
      <c r="Z621" s="10">
        <v>70</v>
      </c>
      <c r="AA621" s="10">
        <v>6</v>
      </c>
      <c r="AB621" s="10">
        <v>8.6999999999999993</v>
      </c>
      <c r="AC621" s="9" t="s">
        <v>231</v>
      </c>
      <c r="AD621" s="9" t="s">
        <v>188</v>
      </c>
      <c r="AE621" s="9" t="s">
        <v>185</v>
      </c>
      <c r="AF621" s="10"/>
      <c r="AG621" s="10"/>
    </row>
    <row r="622" spans="1:33">
      <c r="A622" s="7" t="s">
        <v>155</v>
      </c>
      <c r="B622" s="8" t="s">
        <v>167</v>
      </c>
      <c r="C622" s="9" t="s">
        <v>430</v>
      </c>
      <c r="D622" s="10">
        <v>156</v>
      </c>
      <c r="E622" s="9" t="s">
        <v>158</v>
      </c>
      <c r="F622" s="10">
        <v>156</v>
      </c>
      <c r="G622" s="10">
        <v>157.30000000000001</v>
      </c>
      <c r="H622" s="10">
        <v>121</v>
      </c>
      <c r="I622" s="10">
        <v>125</v>
      </c>
      <c r="J622" s="10">
        <v>124</v>
      </c>
      <c r="K622" s="10">
        <v>87</v>
      </c>
      <c r="L622" s="10">
        <v>107</v>
      </c>
      <c r="M622" s="10">
        <v>12.1</v>
      </c>
      <c r="N622" s="10">
        <v>1473</v>
      </c>
      <c r="O622" s="10">
        <v>1.06</v>
      </c>
      <c r="P622" s="10">
        <v>1557</v>
      </c>
      <c r="Q622" s="10">
        <v>156</v>
      </c>
      <c r="R622" s="10">
        <v>71</v>
      </c>
      <c r="S622" s="10">
        <v>48</v>
      </c>
      <c r="T622" s="10">
        <v>209</v>
      </c>
      <c r="U622" s="10">
        <v>15</v>
      </c>
      <c r="V622" s="10">
        <v>152</v>
      </c>
      <c r="W622" s="10">
        <v>0.308</v>
      </c>
      <c r="X622" s="10">
        <v>152</v>
      </c>
      <c r="Y622" s="10">
        <v>169</v>
      </c>
      <c r="Z622" s="10">
        <v>57</v>
      </c>
      <c r="AA622" s="10">
        <v>7</v>
      </c>
      <c r="AB622" s="10">
        <v>9.1999999999999993</v>
      </c>
      <c r="AC622" s="9" t="s">
        <v>188</v>
      </c>
      <c r="AD622" s="9" t="s">
        <v>185</v>
      </c>
      <c r="AE622" s="10"/>
      <c r="AF622" s="10"/>
      <c r="AG622" s="10"/>
    </row>
    <row r="623" spans="1:33">
      <c r="A623" s="7" t="s">
        <v>155</v>
      </c>
      <c r="B623" s="8" t="s">
        <v>167</v>
      </c>
      <c r="C623" s="9" t="s">
        <v>430</v>
      </c>
      <c r="D623" s="10">
        <v>163</v>
      </c>
      <c r="E623" s="9" t="s">
        <v>158</v>
      </c>
      <c r="F623" s="10">
        <v>163</v>
      </c>
      <c r="G623" s="10">
        <v>162.4</v>
      </c>
      <c r="H623" s="10">
        <v>128</v>
      </c>
      <c r="I623" s="10">
        <v>133</v>
      </c>
      <c r="J623" s="10">
        <v>127</v>
      </c>
      <c r="K623" s="10">
        <v>89</v>
      </c>
      <c r="L623" s="10">
        <v>109</v>
      </c>
      <c r="M623" s="10">
        <v>13.2</v>
      </c>
      <c r="N623" s="10">
        <v>1683</v>
      </c>
      <c r="O623" s="10">
        <v>0.98</v>
      </c>
      <c r="P623" s="10">
        <v>1645</v>
      </c>
      <c r="Q623" s="10">
        <v>188</v>
      </c>
      <c r="R623" s="10">
        <v>80</v>
      </c>
      <c r="S623" s="10">
        <v>46</v>
      </c>
      <c r="T623" s="10">
        <v>212</v>
      </c>
      <c r="U623" s="10">
        <v>11</v>
      </c>
      <c r="V623" s="10">
        <v>129</v>
      </c>
      <c r="W623" s="10">
        <v>0.23799999999999999</v>
      </c>
      <c r="X623" s="10">
        <v>142</v>
      </c>
      <c r="Y623" s="10">
        <v>156</v>
      </c>
      <c r="Z623" s="10">
        <v>70</v>
      </c>
      <c r="AA623" s="10">
        <v>7</v>
      </c>
      <c r="AB623" s="10">
        <v>11.5</v>
      </c>
      <c r="AC623" s="9" t="s">
        <v>188</v>
      </c>
      <c r="AD623" s="10"/>
      <c r="AE623" s="10"/>
      <c r="AF623" s="10"/>
      <c r="AG623" s="10"/>
    </row>
    <row r="624" spans="1:33">
      <c r="A624" s="7" t="s">
        <v>155</v>
      </c>
      <c r="B624" s="8" t="s">
        <v>167</v>
      </c>
      <c r="C624" s="9" t="s">
        <v>430</v>
      </c>
      <c r="D624" s="10">
        <v>170</v>
      </c>
      <c r="E624" s="9" t="s">
        <v>158</v>
      </c>
      <c r="F624" s="10">
        <v>170</v>
      </c>
      <c r="G624" s="10">
        <v>169.6</v>
      </c>
      <c r="H624" s="10">
        <v>135</v>
      </c>
      <c r="I624" s="10">
        <v>140</v>
      </c>
      <c r="J624" s="10">
        <v>129</v>
      </c>
      <c r="K624" s="10">
        <v>90</v>
      </c>
      <c r="L624" s="10">
        <v>112</v>
      </c>
      <c r="M624" s="10">
        <v>14.6</v>
      </c>
      <c r="N624" s="10">
        <v>1873</v>
      </c>
      <c r="O624" s="10">
        <v>0.93</v>
      </c>
      <c r="P624" s="10">
        <v>1742</v>
      </c>
      <c r="Q624" s="10">
        <v>168</v>
      </c>
      <c r="R624" s="10">
        <v>74</v>
      </c>
      <c r="S624" s="10">
        <v>47</v>
      </c>
      <c r="T624" s="10">
        <v>216</v>
      </c>
      <c r="U624" s="10">
        <v>11</v>
      </c>
      <c r="V624" s="10">
        <v>130</v>
      </c>
      <c r="W624" s="10">
        <v>0.23100000000000001</v>
      </c>
      <c r="X624" s="10">
        <v>148</v>
      </c>
      <c r="Y624" s="10">
        <v>151</v>
      </c>
      <c r="Z624" s="10">
        <v>67</v>
      </c>
      <c r="AA624" s="10">
        <v>10</v>
      </c>
      <c r="AB624" s="10">
        <v>9.9</v>
      </c>
      <c r="AC624" s="9" t="s">
        <v>188</v>
      </c>
      <c r="AD624" s="10"/>
      <c r="AE624" s="10"/>
      <c r="AF624" s="10"/>
      <c r="AG624" s="10"/>
    </row>
    <row r="625" spans="1:33">
      <c r="A625" s="7" t="s">
        <v>155</v>
      </c>
      <c r="B625" s="8" t="s">
        <v>167</v>
      </c>
      <c r="C625" s="9" t="s">
        <v>430</v>
      </c>
      <c r="D625" s="10">
        <v>177</v>
      </c>
      <c r="E625" s="9" t="s">
        <v>158</v>
      </c>
      <c r="F625" s="10">
        <v>177</v>
      </c>
      <c r="G625" s="10">
        <v>176.3</v>
      </c>
      <c r="H625" s="10">
        <v>140</v>
      </c>
      <c r="I625" s="10">
        <v>147</v>
      </c>
      <c r="J625" s="10">
        <v>132</v>
      </c>
      <c r="K625" s="10">
        <v>92</v>
      </c>
      <c r="L625" s="10">
        <v>114</v>
      </c>
      <c r="M625" s="10">
        <v>16.399999999999999</v>
      </c>
      <c r="N625" s="10">
        <v>1930</v>
      </c>
      <c r="O625" s="10">
        <v>0.96</v>
      </c>
      <c r="P625" s="10">
        <v>1845</v>
      </c>
      <c r="Q625" s="10">
        <v>216</v>
      </c>
      <c r="R625" s="10">
        <v>101</v>
      </c>
      <c r="S625" s="10">
        <v>51</v>
      </c>
      <c r="T625" s="10">
        <v>217</v>
      </c>
      <c r="U625" s="10">
        <v>12</v>
      </c>
      <c r="V625" s="10">
        <v>142</v>
      </c>
      <c r="W625" s="10">
        <v>0.24099999999999999</v>
      </c>
      <c r="X625" s="10">
        <v>147</v>
      </c>
      <c r="Y625" s="10">
        <v>146</v>
      </c>
      <c r="Z625" s="10">
        <v>69</v>
      </c>
      <c r="AA625" s="10">
        <v>11</v>
      </c>
      <c r="AB625" s="10">
        <v>10.5</v>
      </c>
      <c r="AC625" s="9" t="s">
        <v>188</v>
      </c>
      <c r="AD625" s="10"/>
      <c r="AE625" s="10"/>
      <c r="AF625" s="10"/>
      <c r="AG625" s="10"/>
    </row>
    <row r="626" spans="1:33">
      <c r="A626" s="7" t="s">
        <v>155</v>
      </c>
      <c r="B626" s="8" t="s">
        <v>167</v>
      </c>
      <c r="C626" s="9" t="s">
        <v>224</v>
      </c>
      <c r="D626" s="10">
        <v>163</v>
      </c>
      <c r="E626" s="9" t="s">
        <v>163</v>
      </c>
      <c r="F626" s="10">
        <v>163</v>
      </c>
      <c r="G626" s="10">
        <v>162.69999999999999</v>
      </c>
      <c r="H626" s="10">
        <v>127</v>
      </c>
      <c r="I626" s="10">
        <v>132</v>
      </c>
      <c r="J626" s="10">
        <v>126</v>
      </c>
      <c r="K626" s="10">
        <v>88</v>
      </c>
      <c r="L626" s="10">
        <v>108</v>
      </c>
      <c r="M626" s="10">
        <v>13.6</v>
      </c>
      <c r="N626" s="10">
        <v>1534</v>
      </c>
      <c r="O626" s="10">
        <v>1.07</v>
      </c>
      <c r="P626" s="10">
        <v>1635</v>
      </c>
      <c r="Q626" s="10">
        <v>211</v>
      </c>
      <c r="R626" s="10">
        <v>100</v>
      </c>
      <c r="S626" s="10">
        <v>47</v>
      </c>
      <c r="T626" s="10">
        <v>218</v>
      </c>
      <c r="U626" s="10">
        <v>11</v>
      </c>
      <c r="V626" s="10">
        <v>138</v>
      </c>
      <c r="W626" s="10">
        <v>0.24199999999999999</v>
      </c>
      <c r="X626" s="10">
        <v>147</v>
      </c>
      <c r="Y626" s="10">
        <v>156</v>
      </c>
      <c r="Z626" s="10">
        <v>71</v>
      </c>
      <c r="AA626" s="10">
        <v>5</v>
      </c>
      <c r="AB626" s="10">
        <v>8.1</v>
      </c>
      <c r="AC626" s="9" t="s">
        <v>188</v>
      </c>
      <c r="AD626" s="9" t="s">
        <v>185</v>
      </c>
      <c r="AE626" s="10"/>
      <c r="AF626" s="10"/>
      <c r="AG626" s="10"/>
    </row>
    <row r="627" spans="1:33">
      <c r="A627" s="7" t="s">
        <v>155</v>
      </c>
      <c r="B627" s="8" t="s">
        <v>167</v>
      </c>
      <c r="C627" s="9" t="s">
        <v>224</v>
      </c>
      <c r="D627" s="10">
        <v>170</v>
      </c>
      <c r="E627" s="9" t="s">
        <v>163</v>
      </c>
      <c r="F627" s="10">
        <v>170</v>
      </c>
      <c r="G627" s="10">
        <v>169.7</v>
      </c>
      <c r="H627" s="10">
        <v>134</v>
      </c>
      <c r="I627" s="10">
        <v>139</v>
      </c>
      <c r="J627" s="10">
        <v>129</v>
      </c>
      <c r="K627" s="10">
        <v>90</v>
      </c>
      <c r="L627" s="10">
        <v>111</v>
      </c>
      <c r="M627" s="10">
        <v>15</v>
      </c>
      <c r="N627" s="10">
        <v>1551</v>
      </c>
      <c r="O627" s="10">
        <v>1.1200000000000001</v>
      </c>
      <c r="P627" s="10">
        <v>1738</v>
      </c>
      <c r="Q627" s="10">
        <v>213</v>
      </c>
      <c r="R627" s="10">
        <v>104</v>
      </c>
      <c r="S627" s="10">
        <v>50</v>
      </c>
      <c r="T627" s="10">
        <v>217</v>
      </c>
      <c r="U627" s="10">
        <v>12</v>
      </c>
      <c r="V627" s="10">
        <v>140</v>
      </c>
      <c r="W627" s="10">
        <v>0.23799999999999999</v>
      </c>
      <c r="X627" s="10">
        <v>150</v>
      </c>
      <c r="Y627" s="10">
        <v>158</v>
      </c>
      <c r="Z627" s="10">
        <v>67</v>
      </c>
      <c r="AA627" s="10">
        <v>5</v>
      </c>
      <c r="AB627" s="10">
        <v>9</v>
      </c>
      <c r="AC627" s="9" t="s">
        <v>188</v>
      </c>
      <c r="AD627" s="9" t="s">
        <v>185</v>
      </c>
      <c r="AE627" s="10"/>
      <c r="AF627" s="10"/>
      <c r="AG627" s="10"/>
    </row>
    <row r="628" spans="1:33">
      <c r="A628" s="7" t="s">
        <v>155</v>
      </c>
      <c r="B628" s="8" t="s">
        <v>167</v>
      </c>
      <c r="C628" s="9" t="s">
        <v>200</v>
      </c>
      <c r="D628" s="10">
        <v>156</v>
      </c>
      <c r="E628" s="9" t="s">
        <v>158</v>
      </c>
      <c r="F628" s="10">
        <v>156</v>
      </c>
      <c r="G628" s="10">
        <v>155.4</v>
      </c>
      <c r="H628" s="10">
        <v>119</v>
      </c>
      <c r="I628" s="10">
        <v>126</v>
      </c>
      <c r="J628" s="10">
        <v>124</v>
      </c>
      <c r="K628" s="10">
        <v>86</v>
      </c>
      <c r="L628" s="10">
        <v>107</v>
      </c>
      <c r="M628" s="10">
        <v>12</v>
      </c>
      <c r="N628" s="10">
        <v>1410</v>
      </c>
      <c r="O628" s="10">
        <v>1.0900000000000001</v>
      </c>
      <c r="P628" s="10">
        <v>1534</v>
      </c>
      <c r="Q628" s="10">
        <v>192</v>
      </c>
      <c r="R628" s="10">
        <v>82</v>
      </c>
      <c r="S628" s="10">
        <v>50</v>
      </c>
      <c r="T628" s="10">
        <v>230</v>
      </c>
      <c r="U628" s="10">
        <v>11</v>
      </c>
      <c r="V628" s="10">
        <v>134</v>
      </c>
      <c r="W628" s="10">
        <v>0.224</v>
      </c>
      <c r="X628" s="10">
        <v>143</v>
      </c>
      <c r="Y628" s="10">
        <v>155</v>
      </c>
      <c r="Z628" s="10">
        <v>87</v>
      </c>
      <c r="AA628" s="10">
        <v>5</v>
      </c>
      <c r="AB628" s="10">
        <v>8.6</v>
      </c>
      <c r="AC628" s="9" t="s">
        <v>188</v>
      </c>
      <c r="AD628" s="9" t="s">
        <v>185</v>
      </c>
      <c r="AE628" s="10"/>
      <c r="AF628" s="10"/>
      <c r="AG628" s="10"/>
    </row>
    <row r="629" spans="1:33">
      <c r="A629" s="7" t="s">
        <v>155</v>
      </c>
      <c r="B629" s="8" t="s">
        <v>167</v>
      </c>
      <c r="C629" s="9" t="s">
        <v>200</v>
      </c>
      <c r="D629" s="10">
        <v>163</v>
      </c>
      <c r="E629" s="9" t="s">
        <v>158</v>
      </c>
      <c r="F629" s="10">
        <v>163</v>
      </c>
      <c r="G629" s="10">
        <v>162.69999999999999</v>
      </c>
      <c r="H629" s="10">
        <v>128</v>
      </c>
      <c r="I629" s="10">
        <v>132</v>
      </c>
      <c r="J629" s="10">
        <v>127</v>
      </c>
      <c r="K629" s="10">
        <v>88</v>
      </c>
      <c r="L629" s="10">
        <v>109</v>
      </c>
      <c r="M629" s="10">
        <v>13.2</v>
      </c>
      <c r="N629" s="10">
        <v>1474</v>
      </c>
      <c r="O629" s="10">
        <v>1.1100000000000001</v>
      </c>
      <c r="P629" s="10">
        <v>1639</v>
      </c>
      <c r="Q629" s="10">
        <v>206</v>
      </c>
      <c r="R629" s="10">
        <v>93</v>
      </c>
      <c r="S629" s="10">
        <v>49</v>
      </c>
      <c r="T629" s="10">
        <v>218</v>
      </c>
      <c r="U629" s="10">
        <v>11</v>
      </c>
      <c r="V629" s="10">
        <v>130</v>
      </c>
      <c r="W629" s="10">
        <v>0.218</v>
      </c>
      <c r="X629" s="10">
        <v>152</v>
      </c>
      <c r="Y629" s="10">
        <v>159</v>
      </c>
      <c r="Z629" s="10">
        <v>65</v>
      </c>
      <c r="AA629" s="10">
        <v>7</v>
      </c>
      <c r="AB629" s="10">
        <v>9.1999999999999993</v>
      </c>
      <c r="AC629" s="9" t="s">
        <v>188</v>
      </c>
      <c r="AD629" s="9" t="s">
        <v>185</v>
      </c>
      <c r="AE629" s="10"/>
      <c r="AF629" s="10"/>
      <c r="AG629" s="10"/>
    </row>
    <row r="630" spans="1:33">
      <c r="A630" s="7" t="s">
        <v>155</v>
      </c>
      <c r="B630" s="8" t="s">
        <v>167</v>
      </c>
      <c r="C630" s="9" t="s">
        <v>200</v>
      </c>
      <c r="D630" s="10">
        <v>170</v>
      </c>
      <c r="E630" s="9" t="s">
        <v>158</v>
      </c>
      <c r="F630" s="10">
        <v>170</v>
      </c>
      <c r="G630" s="10">
        <v>169.7</v>
      </c>
      <c r="H630" s="10">
        <v>134</v>
      </c>
      <c r="I630" s="10">
        <v>140</v>
      </c>
      <c r="J630" s="10">
        <v>129</v>
      </c>
      <c r="K630" s="10">
        <v>90</v>
      </c>
      <c r="L630" s="10">
        <v>112</v>
      </c>
      <c r="M630" s="10">
        <v>14.6</v>
      </c>
      <c r="N630" s="10">
        <v>1582</v>
      </c>
      <c r="O630" s="10">
        <v>1.1000000000000001</v>
      </c>
      <c r="P630" s="10">
        <v>1742</v>
      </c>
      <c r="Q630" s="10">
        <v>228</v>
      </c>
      <c r="R630" s="10">
        <v>101</v>
      </c>
      <c r="S630" s="10">
        <v>48</v>
      </c>
      <c r="T630" s="10">
        <v>217</v>
      </c>
      <c r="U630" s="10">
        <v>13</v>
      </c>
      <c r="V630" s="10">
        <v>142</v>
      </c>
      <c r="W630" s="10">
        <v>0.27700000000000002</v>
      </c>
      <c r="X630" s="10">
        <v>145</v>
      </c>
      <c r="Y630" s="10">
        <v>153</v>
      </c>
      <c r="Z630" s="10">
        <v>71</v>
      </c>
      <c r="AA630" s="10">
        <v>6</v>
      </c>
      <c r="AB630" s="10">
        <v>10.3</v>
      </c>
      <c r="AC630" s="9" t="s">
        <v>188</v>
      </c>
      <c r="AD630" s="9" t="s">
        <v>185</v>
      </c>
      <c r="AE630" s="10"/>
      <c r="AF630" s="10"/>
      <c r="AG630" s="10"/>
    </row>
    <row r="631" spans="1:33">
      <c r="A631" s="7" t="s">
        <v>155</v>
      </c>
      <c r="B631" s="8" t="s">
        <v>167</v>
      </c>
      <c r="C631" s="9" t="s">
        <v>200</v>
      </c>
      <c r="D631" s="10">
        <v>177</v>
      </c>
      <c r="E631" s="9" t="s">
        <v>158</v>
      </c>
      <c r="F631" s="10">
        <v>177</v>
      </c>
      <c r="G631" s="10">
        <v>176.3</v>
      </c>
      <c r="H631" s="10">
        <v>138</v>
      </c>
      <c r="I631" s="10">
        <v>146</v>
      </c>
      <c r="J631" s="10">
        <v>132</v>
      </c>
      <c r="K631" s="10">
        <v>92</v>
      </c>
      <c r="L631" s="10">
        <v>114</v>
      </c>
      <c r="M631" s="10">
        <v>16.399999999999999</v>
      </c>
      <c r="N631" s="10">
        <v>1660</v>
      </c>
      <c r="O631" s="10">
        <v>1.1100000000000001</v>
      </c>
      <c r="P631" s="10">
        <v>1844</v>
      </c>
      <c r="Q631" s="10">
        <v>257</v>
      </c>
      <c r="R631" s="10">
        <v>119</v>
      </c>
      <c r="S631" s="10">
        <v>50</v>
      </c>
      <c r="T631" s="10">
        <v>221</v>
      </c>
      <c r="U631" s="10">
        <v>15</v>
      </c>
      <c r="V631" s="10">
        <v>160</v>
      </c>
      <c r="W631" s="10">
        <v>0.29899999999999999</v>
      </c>
      <c r="X631" s="10">
        <v>147</v>
      </c>
      <c r="Y631" s="10">
        <v>151</v>
      </c>
      <c r="Z631" s="10">
        <v>74</v>
      </c>
      <c r="AA631" s="10">
        <v>8</v>
      </c>
      <c r="AB631" s="10">
        <v>10.199999999999999</v>
      </c>
      <c r="AC631" s="9" t="s">
        <v>188</v>
      </c>
      <c r="AD631" s="9" t="s">
        <v>185</v>
      </c>
      <c r="AE631" s="10"/>
      <c r="AF631" s="10"/>
      <c r="AG631" s="10"/>
    </row>
    <row r="632" spans="1:33">
      <c r="A632" s="7" t="s">
        <v>155</v>
      </c>
      <c r="B632" s="8" t="s">
        <v>167</v>
      </c>
      <c r="C632" s="9" t="s">
        <v>200</v>
      </c>
      <c r="D632" s="10">
        <v>184</v>
      </c>
      <c r="E632" s="9" t="s">
        <v>158</v>
      </c>
      <c r="F632" s="10">
        <v>184</v>
      </c>
      <c r="G632" s="10">
        <v>183.3</v>
      </c>
      <c r="H632" s="10">
        <v>146</v>
      </c>
      <c r="I632" s="10">
        <v>154</v>
      </c>
      <c r="J632" s="10">
        <v>135</v>
      </c>
      <c r="K632" s="10">
        <v>94</v>
      </c>
      <c r="L632" s="10">
        <v>116</v>
      </c>
      <c r="M632" s="10">
        <v>17.600000000000001</v>
      </c>
      <c r="N632" s="10">
        <v>1828</v>
      </c>
      <c r="O632" s="10">
        <v>1.07</v>
      </c>
      <c r="P632" s="10">
        <v>1952</v>
      </c>
      <c r="Q632" s="10">
        <v>308</v>
      </c>
      <c r="R632" s="10">
        <v>140</v>
      </c>
      <c r="S632" s="10">
        <v>50</v>
      </c>
      <c r="T632" s="10">
        <v>221</v>
      </c>
      <c r="U632" s="10">
        <v>11</v>
      </c>
      <c r="V632" s="10">
        <v>150</v>
      </c>
      <c r="W632" s="10">
        <v>0.219</v>
      </c>
      <c r="X632" s="10">
        <v>146</v>
      </c>
      <c r="Y632" s="10">
        <v>152</v>
      </c>
      <c r="Z632" s="10">
        <v>75</v>
      </c>
      <c r="AA632" s="10">
        <v>7</v>
      </c>
      <c r="AB632" s="10">
        <v>11.8</v>
      </c>
      <c r="AC632" s="9" t="s">
        <v>188</v>
      </c>
      <c r="AD632" s="9" t="s">
        <v>185</v>
      </c>
      <c r="AE632" s="10"/>
      <c r="AF632" s="10"/>
      <c r="AG632" s="10"/>
    </row>
    <row r="633" spans="1:33">
      <c r="A633" s="7" t="s">
        <v>155</v>
      </c>
      <c r="B633" s="8" t="s">
        <v>167</v>
      </c>
      <c r="C633" s="9" t="s">
        <v>234</v>
      </c>
      <c r="D633" s="10">
        <v>156</v>
      </c>
      <c r="E633" s="9" t="s">
        <v>163</v>
      </c>
      <c r="F633" s="10">
        <v>156</v>
      </c>
      <c r="G633" s="10">
        <v>155.80000000000001</v>
      </c>
      <c r="H633" s="10">
        <v>119</v>
      </c>
      <c r="I633" s="10">
        <v>123</v>
      </c>
      <c r="J633" s="10">
        <v>124</v>
      </c>
      <c r="K633" s="10">
        <v>92</v>
      </c>
      <c r="L633" s="10">
        <v>111</v>
      </c>
      <c r="M633" s="10">
        <v>13.1</v>
      </c>
      <c r="N633" s="10">
        <v>1497</v>
      </c>
      <c r="O633" s="10">
        <v>1.08</v>
      </c>
      <c r="P633" s="10">
        <v>1614</v>
      </c>
      <c r="Q633" s="10">
        <v>225</v>
      </c>
      <c r="R633" s="10">
        <v>106</v>
      </c>
      <c r="S633" s="10">
        <v>48</v>
      </c>
      <c r="T633" s="10">
        <v>234</v>
      </c>
      <c r="U633" s="10">
        <v>13</v>
      </c>
      <c r="V633" s="10">
        <v>137</v>
      </c>
      <c r="W633" s="10">
        <v>0.27200000000000002</v>
      </c>
      <c r="X633" s="10">
        <v>167</v>
      </c>
      <c r="Y633" s="10">
        <v>158</v>
      </c>
      <c r="Z633" s="10">
        <v>67</v>
      </c>
      <c r="AA633" s="10">
        <v>5</v>
      </c>
      <c r="AB633" s="10">
        <v>6.9</v>
      </c>
      <c r="AC633" s="9" t="s">
        <v>188</v>
      </c>
      <c r="AD633" s="9" t="s">
        <v>185</v>
      </c>
      <c r="AE633" s="10"/>
      <c r="AF633" s="10"/>
      <c r="AG633" s="10"/>
    </row>
    <row r="634" spans="1:33">
      <c r="A634" s="7" t="s">
        <v>155</v>
      </c>
      <c r="B634" s="8" t="s">
        <v>167</v>
      </c>
      <c r="C634" s="9" t="s">
        <v>234</v>
      </c>
      <c r="D634" s="10">
        <v>170</v>
      </c>
      <c r="E634" s="9" t="s">
        <v>163</v>
      </c>
      <c r="F634" s="10">
        <v>170</v>
      </c>
      <c r="G634" s="10">
        <v>169.9</v>
      </c>
      <c r="H634" s="10">
        <v>133</v>
      </c>
      <c r="I634" s="10">
        <v>135</v>
      </c>
      <c r="J634" s="10">
        <v>130</v>
      </c>
      <c r="K634" s="10">
        <v>96</v>
      </c>
      <c r="L634" s="10">
        <v>116</v>
      </c>
      <c r="M634" s="10">
        <v>15.9</v>
      </c>
      <c r="N634" s="10">
        <v>1626</v>
      </c>
      <c r="O634" s="10">
        <v>1.1200000000000001</v>
      </c>
      <c r="P634" s="10">
        <v>1826</v>
      </c>
      <c r="Q634" s="10">
        <v>238</v>
      </c>
      <c r="R634" s="10">
        <v>118</v>
      </c>
      <c r="S634" s="10">
        <v>47</v>
      </c>
      <c r="T634" s="10">
        <v>230</v>
      </c>
      <c r="U634" s="10">
        <v>12</v>
      </c>
      <c r="V634" s="10">
        <v>138</v>
      </c>
      <c r="W634" s="10">
        <v>0.25700000000000001</v>
      </c>
      <c r="X634" s="10">
        <v>186</v>
      </c>
      <c r="Y634" s="10">
        <v>161</v>
      </c>
      <c r="Z634" s="10">
        <v>44</v>
      </c>
      <c r="AA634" s="10">
        <v>7</v>
      </c>
      <c r="AB634" s="10">
        <v>8.8000000000000007</v>
      </c>
      <c r="AC634" s="9" t="s">
        <v>188</v>
      </c>
      <c r="AD634" s="9" t="s">
        <v>185</v>
      </c>
      <c r="AE634" s="10"/>
      <c r="AF634" s="10"/>
      <c r="AG634" s="10"/>
    </row>
    <row r="635" spans="1:33">
      <c r="A635" s="7" t="s">
        <v>155</v>
      </c>
      <c r="B635" s="8" t="s">
        <v>167</v>
      </c>
      <c r="C635" s="9" t="s">
        <v>234</v>
      </c>
      <c r="D635" s="10">
        <v>177</v>
      </c>
      <c r="E635" s="9" t="s">
        <v>163</v>
      </c>
      <c r="F635" s="10">
        <v>177</v>
      </c>
      <c r="G635" s="10">
        <v>176.6</v>
      </c>
      <c r="H635" s="10">
        <v>137</v>
      </c>
      <c r="I635" s="10">
        <v>144</v>
      </c>
      <c r="J635" s="10">
        <v>132</v>
      </c>
      <c r="K635" s="10">
        <v>98</v>
      </c>
      <c r="L635" s="10">
        <v>118</v>
      </c>
      <c r="M635" s="10">
        <v>17.100000000000001</v>
      </c>
      <c r="N635" s="10">
        <v>1717</v>
      </c>
      <c r="O635" s="10">
        <v>1.1200000000000001</v>
      </c>
      <c r="P635" s="10">
        <v>1928</v>
      </c>
      <c r="Q635" s="10">
        <v>266</v>
      </c>
      <c r="R635" s="10">
        <v>128</v>
      </c>
      <c r="S635" s="10">
        <v>53</v>
      </c>
      <c r="T635" s="10">
        <v>239</v>
      </c>
      <c r="U635" s="10">
        <v>14</v>
      </c>
      <c r="V635" s="10">
        <v>158</v>
      </c>
      <c r="W635" s="10">
        <v>0.26800000000000002</v>
      </c>
      <c r="X635" s="10">
        <v>182</v>
      </c>
      <c r="Y635" s="10">
        <v>149</v>
      </c>
      <c r="Z635" s="10">
        <v>57</v>
      </c>
      <c r="AA635" s="10">
        <v>6</v>
      </c>
      <c r="AB635" s="10">
        <v>8.9</v>
      </c>
      <c r="AC635" s="9" t="s">
        <v>188</v>
      </c>
      <c r="AD635" s="9" t="s">
        <v>185</v>
      </c>
      <c r="AE635" s="10"/>
      <c r="AF635" s="10"/>
      <c r="AG635" s="10"/>
    </row>
    <row r="636" spans="1:33">
      <c r="A636" s="7" t="s">
        <v>155</v>
      </c>
      <c r="B636" s="8" t="s">
        <v>167</v>
      </c>
      <c r="C636" s="9" t="s">
        <v>240</v>
      </c>
      <c r="D636" s="10">
        <v>163</v>
      </c>
      <c r="E636" s="9" t="s">
        <v>158</v>
      </c>
      <c r="F636" s="10">
        <v>163</v>
      </c>
      <c r="G636" s="10">
        <v>162.6</v>
      </c>
      <c r="H636" s="10">
        <v>126</v>
      </c>
      <c r="I636" s="10">
        <v>130</v>
      </c>
      <c r="J636" s="10">
        <v>127</v>
      </c>
      <c r="K636" s="10">
        <v>94</v>
      </c>
      <c r="L636" s="10">
        <v>114</v>
      </c>
      <c r="M636" s="10">
        <v>14.4</v>
      </c>
      <c r="N636" s="10">
        <v>1515</v>
      </c>
      <c r="O636" s="10">
        <v>1.1299999999999999</v>
      </c>
      <c r="P636" s="10">
        <v>1718</v>
      </c>
      <c r="Q636" s="10">
        <v>198</v>
      </c>
      <c r="R636" s="10">
        <v>100</v>
      </c>
      <c r="S636" s="10">
        <v>49</v>
      </c>
      <c r="T636" s="10">
        <v>237</v>
      </c>
      <c r="U636" s="10">
        <v>11</v>
      </c>
      <c r="V636" s="10">
        <v>134</v>
      </c>
      <c r="W636" s="10">
        <v>0.219</v>
      </c>
      <c r="X636" s="10">
        <v>179</v>
      </c>
      <c r="Y636" s="10">
        <v>142</v>
      </c>
      <c r="Z636" s="10">
        <v>58</v>
      </c>
      <c r="AA636" s="10">
        <v>7</v>
      </c>
      <c r="AB636" s="10">
        <v>8.9</v>
      </c>
      <c r="AC636" s="9" t="s">
        <v>188</v>
      </c>
      <c r="AD636" s="9" t="s">
        <v>185</v>
      </c>
      <c r="AE636" s="10"/>
      <c r="AF636" s="10"/>
      <c r="AG636" s="10"/>
    </row>
    <row r="637" spans="1:33">
      <c r="A637" s="7" t="s">
        <v>155</v>
      </c>
      <c r="B637" s="8" t="s">
        <v>167</v>
      </c>
      <c r="C637" s="9" t="s">
        <v>240</v>
      </c>
      <c r="D637" s="10">
        <v>170</v>
      </c>
      <c r="E637" s="9" t="s">
        <v>158</v>
      </c>
      <c r="F637" s="10">
        <v>170</v>
      </c>
      <c r="G637" s="10">
        <v>169.4</v>
      </c>
      <c r="H637" s="10">
        <v>133</v>
      </c>
      <c r="I637" s="10">
        <v>137</v>
      </c>
      <c r="J637" s="10">
        <v>130</v>
      </c>
      <c r="K637" s="10">
        <v>96</v>
      </c>
      <c r="L637" s="10">
        <v>117</v>
      </c>
      <c r="M637" s="10">
        <v>15.3</v>
      </c>
      <c r="N637" s="10">
        <v>1623</v>
      </c>
      <c r="O637" s="10">
        <v>1.1200000000000001</v>
      </c>
      <c r="P637" s="10">
        <v>1824</v>
      </c>
      <c r="Q637" s="10">
        <v>238</v>
      </c>
      <c r="R637" s="10">
        <v>111</v>
      </c>
      <c r="S637" s="10">
        <v>48</v>
      </c>
      <c r="T637" s="10">
        <v>227</v>
      </c>
      <c r="U637" s="10">
        <v>12</v>
      </c>
      <c r="V637" s="10">
        <v>137</v>
      </c>
      <c r="W637" s="10">
        <v>0.25900000000000001</v>
      </c>
      <c r="X637" s="10">
        <v>184</v>
      </c>
      <c r="Y637" s="10">
        <v>141</v>
      </c>
      <c r="Z637" s="10">
        <v>43</v>
      </c>
      <c r="AA637" s="10">
        <v>6</v>
      </c>
      <c r="AB637" s="10">
        <v>10.199999999999999</v>
      </c>
      <c r="AC637" s="9" t="s">
        <v>188</v>
      </c>
      <c r="AD637" s="9" t="s">
        <v>185</v>
      </c>
      <c r="AE637" s="10"/>
      <c r="AF637" s="10"/>
      <c r="AG637" s="10"/>
    </row>
    <row r="638" spans="1:33">
      <c r="A638" s="7" t="s">
        <v>155</v>
      </c>
      <c r="B638" s="8" t="s">
        <v>167</v>
      </c>
      <c r="C638" s="9" t="s">
        <v>240</v>
      </c>
      <c r="D638" s="10">
        <v>177</v>
      </c>
      <c r="E638" s="9" t="s">
        <v>158</v>
      </c>
      <c r="F638" s="10">
        <v>177</v>
      </c>
      <c r="G638" s="10">
        <v>176.7</v>
      </c>
      <c r="H638" s="10">
        <v>137</v>
      </c>
      <c r="I638" s="10">
        <v>139</v>
      </c>
      <c r="J638" s="10">
        <v>133</v>
      </c>
      <c r="K638" s="10">
        <v>98</v>
      </c>
      <c r="L638" s="10">
        <v>119</v>
      </c>
      <c r="M638" s="10">
        <v>17.5</v>
      </c>
      <c r="N638" s="10">
        <v>1689</v>
      </c>
      <c r="O638" s="10">
        <v>1.1399999999999999</v>
      </c>
      <c r="P638" s="10">
        <v>1933</v>
      </c>
      <c r="Q638" s="10">
        <v>259</v>
      </c>
      <c r="R638" s="10">
        <v>127</v>
      </c>
      <c r="S638" s="10">
        <v>53</v>
      </c>
      <c r="T638" s="10">
        <v>237</v>
      </c>
      <c r="U638" s="10">
        <v>16</v>
      </c>
      <c r="V638" s="10">
        <v>155</v>
      </c>
      <c r="W638" s="10">
        <v>0.308</v>
      </c>
      <c r="X638" s="10">
        <v>201</v>
      </c>
      <c r="Y638" s="10">
        <v>173</v>
      </c>
      <c r="Z638" s="10">
        <v>35</v>
      </c>
      <c r="AA638" s="10">
        <v>6</v>
      </c>
      <c r="AB638" s="10">
        <v>9.9</v>
      </c>
      <c r="AC638" s="9" t="s">
        <v>188</v>
      </c>
      <c r="AD638" s="9" t="s">
        <v>185</v>
      </c>
      <c r="AE638" s="10"/>
      <c r="AF638" s="10"/>
      <c r="AG638" s="10"/>
    </row>
    <row r="639" spans="1:33">
      <c r="A639" s="7" t="s">
        <v>155</v>
      </c>
      <c r="B639" s="8" t="s">
        <v>167</v>
      </c>
      <c r="C639" s="9" t="s">
        <v>240</v>
      </c>
      <c r="D639" s="10">
        <v>184</v>
      </c>
      <c r="E639" s="9" t="s">
        <v>158</v>
      </c>
      <c r="F639" s="10">
        <v>184</v>
      </c>
      <c r="G639" s="10">
        <v>183.8</v>
      </c>
      <c r="H639" s="10">
        <v>144</v>
      </c>
      <c r="I639" s="10">
        <v>150</v>
      </c>
      <c r="J639" s="10">
        <v>135</v>
      </c>
      <c r="K639" s="10">
        <v>100</v>
      </c>
      <c r="L639" s="10">
        <v>121</v>
      </c>
      <c r="M639" s="10">
        <v>18.899999999999999</v>
      </c>
      <c r="N639" s="10">
        <v>1841</v>
      </c>
      <c r="O639" s="10">
        <v>1.1100000000000001</v>
      </c>
      <c r="P639" s="10">
        <v>2046</v>
      </c>
      <c r="Q639" s="10">
        <v>293</v>
      </c>
      <c r="R639" s="10">
        <v>148</v>
      </c>
      <c r="S639" s="10">
        <v>51</v>
      </c>
      <c r="T639" s="10">
        <v>231</v>
      </c>
      <c r="U639" s="10">
        <v>17</v>
      </c>
      <c r="V639" s="10">
        <v>164</v>
      </c>
      <c r="W639" s="10">
        <v>0.33800000000000002</v>
      </c>
      <c r="X639" s="10">
        <v>189</v>
      </c>
      <c r="Y639" s="10">
        <v>151</v>
      </c>
      <c r="Z639" s="10">
        <v>42</v>
      </c>
      <c r="AA639" s="10">
        <v>7</v>
      </c>
      <c r="AB639" s="10">
        <v>10.9</v>
      </c>
      <c r="AC639" s="9" t="s">
        <v>188</v>
      </c>
      <c r="AD639" s="9" t="s">
        <v>178</v>
      </c>
      <c r="AE639" s="9" t="s">
        <v>185</v>
      </c>
      <c r="AF639" s="10"/>
      <c r="AG639" s="10"/>
    </row>
    <row r="640" spans="1:33">
      <c r="A640" s="7" t="s">
        <v>155</v>
      </c>
      <c r="B640" s="8" t="s">
        <v>167</v>
      </c>
      <c r="C640" s="9" t="s">
        <v>706</v>
      </c>
      <c r="D640" s="10">
        <v>171</v>
      </c>
      <c r="E640" s="9" t="s">
        <v>158</v>
      </c>
      <c r="F640" s="10">
        <v>171</v>
      </c>
      <c r="G640" s="10">
        <v>169.2</v>
      </c>
      <c r="H640" s="10">
        <v>140</v>
      </c>
      <c r="I640" s="10">
        <v>151</v>
      </c>
      <c r="J640" s="10">
        <v>119</v>
      </c>
      <c r="K640" s="10">
        <v>82</v>
      </c>
      <c r="L640" s="10">
        <v>108</v>
      </c>
      <c r="M640" s="10">
        <v>17.8</v>
      </c>
      <c r="N640" s="10">
        <v>1696</v>
      </c>
      <c r="O640" s="10">
        <v>0.94</v>
      </c>
      <c r="P640" s="10">
        <v>1586</v>
      </c>
      <c r="Q640" s="10">
        <v>178</v>
      </c>
      <c r="R640" s="10">
        <v>62</v>
      </c>
      <c r="S640" s="10">
        <v>48</v>
      </c>
      <c r="T640" s="10">
        <v>156</v>
      </c>
      <c r="U640" s="10">
        <v>37</v>
      </c>
      <c r="V640" s="10">
        <v>133</v>
      </c>
      <c r="W640" s="10">
        <v>0.76900000000000002</v>
      </c>
      <c r="X640" s="10">
        <v>96</v>
      </c>
      <c r="Y640" s="10">
        <v>89</v>
      </c>
      <c r="Z640" s="10">
        <v>60</v>
      </c>
      <c r="AA640" s="10">
        <v>11</v>
      </c>
      <c r="AB640" s="10">
        <v>5.4</v>
      </c>
      <c r="AC640" s="9" t="s">
        <v>188</v>
      </c>
      <c r="AD640" s="10"/>
      <c r="AE640" s="10"/>
      <c r="AF640" s="10"/>
      <c r="AG640" s="10"/>
    </row>
    <row r="641" spans="1:33">
      <c r="A641" s="7" t="s">
        <v>155</v>
      </c>
      <c r="B641" s="8" t="s">
        <v>167</v>
      </c>
      <c r="C641" s="9" t="s">
        <v>706</v>
      </c>
      <c r="D641" s="10">
        <v>176</v>
      </c>
      <c r="E641" s="9" t="s">
        <v>158</v>
      </c>
      <c r="F641" s="10">
        <v>176</v>
      </c>
      <c r="G641" s="10">
        <v>174.1</v>
      </c>
      <c r="H641" s="10">
        <v>145</v>
      </c>
      <c r="I641" s="10">
        <v>155</v>
      </c>
      <c r="J641" s="10">
        <v>120</v>
      </c>
      <c r="K641" s="10">
        <v>83</v>
      </c>
      <c r="L641" s="10">
        <v>109</v>
      </c>
      <c r="M641" s="10">
        <v>19.100000000000001</v>
      </c>
      <c r="N641" s="10">
        <v>1800</v>
      </c>
      <c r="O641" s="10">
        <v>0.91</v>
      </c>
      <c r="P641" s="10">
        <v>1639</v>
      </c>
      <c r="Q641" s="10">
        <v>211</v>
      </c>
      <c r="R641" s="10">
        <v>70</v>
      </c>
      <c r="S641" s="10">
        <v>46</v>
      </c>
      <c r="T641" s="10">
        <v>149</v>
      </c>
      <c r="U641" s="10">
        <v>37</v>
      </c>
      <c r="V641" s="10">
        <v>138</v>
      </c>
      <c r="W641" s="10">
        <v>0.8</v>
      </c>
      <c r="X641" s="10">
        <v>93</v>
      </c>
      <c r="Y641" s="10">
        <v>94</v>
      </c>
      <c r="Z641" s="10">
        <v>55</v>
      </c>
      <c r="AA641" s="10">
        <v>11</v>
      </c>
      <c r="AB641" s="10">
        <v>5.5</v>
      </c>
      <c r="AC641" s="9" t="s">
        <v>188</v>
      </c>
      <c r="AD641" s="9" t="s">
        <v>184</v>
      </c>
      <c r="AE641" s="10"/>
      <c r="AF641" s="10"/>
      <c r="AG641" s="10"/>
    </row>
    <row r="642" spans="1:33">
      <c r="A642" s="7" t="s">
        <v>155</v>
      </c>
      <c r="B642" s="8" t="s">
        <v>167</v>
      </c>
      <c r="C642" s="9" t="s">
        <v>393</v>
      </c>
      <c r="D642" s="10">
        <v>163</v>
      </c>
      <c r="E642" s="9" t="s">
        <v>158</v>
      </c>
      <c r="F642" s="10">
        <v>163</v>
      </c>
      <c r="G642" s="10">
        <v>161.1</v>
      </c>
      <c r="H642" s="10">
        <v>123</v>
      </c>
      <c r="I642" s="10">
        <v>142</v>
      </c>
      <c r="J642" s="10">
        <v>125</v>
      </c>
      <c r="K642" s="10">
        <v>91</v>
      </c>
      <c r="L642" s="10">
        <v>115</v>
      </c>
      <c r="M642" s="10">
        <v>17.7</v>
      </c>
      <c r="N642" s="10">
        <v>1584</v>
      </c>
      <c r="O642" s="10">
        <v>1.03</v>
      </c>
      <c r="P642" s="10">
        <v>1631</v>
      </c>
      <c r="Q642" s="10">
        <v>147</v>
      </c>
      <c r="R642" s="10">
        <v>63</v>
      </c>
      <c r="S642" s="10">
        <v>51</v>
      </c>
      <c r="T642" s="10">
        <v>243</v>
      </c>
      <c r="U642" s="10">
        <v>37</v>
      </c>
      <c r="V642" s="10">
        <v>133</v>
      </c>
      <c r="W642" s="10">
        <v>0.71599999999999997</v>
      </c>
      <c r="X642" s="10">
        <v>100</v>
      </c>
      <c r="Y642" s="10">
        <v>88</v>
      </c>
      <c r="Z642" s="10">
        <v>143</v>
      </c>
      <c r="AA642" s="10">
        <v>10</v>
      </c>
      <c r="AB642" s="10">
        <v>5.5</v>
      </c>
      <c r="AC642" s="9" t="s">
        <v>188</v>
      </c>
      <c r="AD642" s="10"/>
      <c r="AE642" s="10"/>
      <c r="AF642" s="10"/>
      <c r="AG642" s="10"/>
    </row>
    <row r="643" spans="1:33">
      <c r="A643" s="7" t="s">
        <v>155</v>
      </c>
      <c r="B643" s="8" t="s">
        <v>167</v>
      </c>
      <c r="C643" s="9" t="s">
        <v>393</v>
      </c>
      <c r="D643" s="10">
        <v>170</v>
      </c>
      <c r="E643" s="9" t="s">
        <v>158</v>
      </c>
      <c r="F643" s="10">
        <v>170</v>
      </c>
      <c r="G643" s="10">
        <v>168.1</v>
      </c>
      <c r="H643" s="10">
        <v>130</v>
      </c>
      <c r="I643" s="10">
        <v>150</v>
      </c>
      <c r="J643" s="10">
        <v>125</v>
      </c>
      <c r="K643" s="10">
        <v>92</v>
      </c>
      <c r="L643" s="10">
        <v>116</v>
      </c>
      <c r="M643" s="10">
        <v>19.3</v>
      </c>
      <c r="N643" s="10">
        <v>1645</v>
      </c>
      <c r="O643" s="10">
        <v>1.04</v>
      </c>
      <c r="P643" s="10">
        <v>1712</v>
      </c>
      <c r="Q643" s="10">
        <v>149</v>
      </c>
      <c r="R643" s="10">
        <v>68</v>
      </c>
      <c r="S643" s="10">
        <v>53</v>
      </c>
      <c r="T643" s="10">
        <v>233</v>
      </c>
      <c r="U643" s="10">
        <v>37</v>
      </c>
      <c r="V643" s="10">
        <v>145</v>
      </c>
      <c r="W643" s="10">
        <v>0.70299999999999996</v>
      </c>
      <c r="X643" s="10">
        <v>97</v>
      </c>
      <c r="Y643" s="10">
        <v>88</v>
      </c>
      <c r="Z643" s="10">
        <v>137</v>
      </c>
      <c r="AA643" s="10">
        <v>10</v>
      </c>
      <c r="AB643" s="10">
        <v>5.6</v>
      </c>
      <c r="AC643" s="9" t="s">
        <v>188</v>
      </c>
      <c r="AD643" s="10"/>
      <c r="AE643" s="10"/>
      <c r="AF643" s="10"/>
      <c r="AG643" s="10"/>
    </row>
    <row r="644" spans="1:33">
      <c r="A644" s="7" t="s">
        <v>155</v>
      </c>
      <c r="B644" s="8" t="s">
        <v>167</v>
      </c>
      <c r="C644" s="9" t="s">
        <v>393</v>
      </c>
      <c r="D644" s="10">
        <v>177</v>
      </c>
      <c r="E644" s="9" t="s">
        <v>158</v>
      </c>
      <c r="F644" s="10">
        <v>177</v>
      </c>
      <c r="G644" s="10">
        <v>175.2</v>
      </c>
      <c r="H644" s="10">
        <v>137</v>
      </c>
      <c r="I644" s="10">
        <v>156</v>
      </c>
      <c r="J644" s="10">
        <v>126</v>
      </c>
      <c r="K644" s="10">
        <v>92</v>
      </c>
      <c r="L644" s="10">
        <v>116</v>
      </c>
      <c r="M644" s="10">
        <v>20.9</v>
      </c>
      <c r="N644" s="10">
        <v>1773</v>
      </c>
      <c r="O644" s="10">
        <v>1.01</v>
      </c>
      <c r="P644" s="10">
        <v>1793</v>
      </c>
      <c r="Q644" s="10">
        <v>181</v>
      </c>
      <c r="R644" s="10">
        <v>75</v>
      </c>
      <c r="S644" s="10">
        <v>53</v>
      </c>
      <c r="T644" s="10">
        <v>237</v>
      </c>
      <c r="U644" s="10">
        <v>37</v>
      </c>
      <c r="V644" s="10">
        <v>141</v>
      </c>
      <c r="W644" s="10">
        <v>0.69099999999999995</v>
      </c>
      <c r="X644" s="10">
        <v>98</v>
      </c>
      <c r="Y644" s="10">
        <v>92</v>
      </c>
      <c r="Z644" s="10">
        <v>139</v>
      </c>
      <c r="AA644" s="10">
        <v>10</v>
      </c>
      <c r="AB644" s="10">
        <v>5.5</v>
      </c>
      <c r="AC644" s="9" t="s">
        <v>188</v>
      </c>
      <c r="AD644" s="10"/>
      <c r="AE644" s="10"/>
      <c r="AF644" s="10"/>
      <c r="AG644" s="10"/>
    </row>
    <row r="645" spans="1:33">
      <c r="A645" s="7" t="s">
        <v>155</v>
      </c>
      <c r="B645" s="8" t="s">
        <v>167</v>
      </c>
      <c r="C645" s="9" t="s">
        <v>393</v>
      </c>
      <c r="D645" s="10">
        <v>184</v>
      </c>
      <c r="E645" s="9" t="s">
        <v>158</v>
      </c>
      <c r="F645" s="10">
        <v>184</v>
      </c>
      <c r="G645" s="10">
        <v>181.9</v>
      </c>
      <c r="H645" s="10">
        <v>142</v>
      </c>
      <c r="I645" s="10">
        <v>164</v>
      </c>
      <c r="J645" s="10">
        <v>127</v>
      </c>
      <c r="K645" s="10">
        <v>93</v>
      </c>
      <c r="L645" s="10">
        <v>117</v>
      </c>
      <c r="M645" s="10">
        <v>22.6</v>
      </c>
      <c r="N645" s="10">
        <v>1830</v>
      </c>
      <c r="O645" s="10">
        <v>1.03</v>
      </c>
      <c r="P645" s="10">
        <v>1878</v>
      </c>
      <c r="Q645" s="10">
        <v>189</v>
      </c>
      <c r="R645" s="10">
        <v>83</v>
      </c>
      <c r="S645" s="10">
        <v>54</v>
      </c>
      <c r="T645" s="10">
        <v>254</v>
      </c>
      <c r="U645" s="10">
        <v>38</v>
      </c>
      <c r="V645" s="10">
        <v>145</v>
      </c>
      <c r="W645" s="10">
        <v>0.70399999999999996</v>
      </c>
      <c r="X645" s="10">
        <v>95</v>
      </c>
      <c r="Y645" s="10">
        <v>87</v>
      </c>
      <c r="Z645" s="10">
        <v>159</v>
      </c>
      <c r="AA645" s="10">
        <v>9</v>
      </c>
      <c r="AB645" s="10">
        <v>5.6</v>
      </c>
      <c r="AC645" s="9" t="s">
        <v>188</v>
      </c>
      <c r="AD645" s="10"/>
      <c r="AE645" s="10"/>
      <c r="AF645" s="10"/>
      <c r="AG645" s="10"/>
    </row>
    <row r="646" spans="1:33">
      <c r="A646" s="7" t="s">
        <v>155</v>
      </c>
      <c r="B646" s="8" t="s">
        <v>167</v>
      </c>
      <c r="C646" s="9" t="s">
        <v>739</v>
      </c>
      <c r="D646" s="10">
        <v>153</v>
      </c>
      <c r="E646" s="9" t="s">
        <v>163</v>
      </c>
      <c r="F646" s="10">
        <v>153</v>
      </c>
      <c r="G646" s="10">
        <v>152.5</v>
      </c>
      <c r="H646" s="10">
        <v>132</v>
      </c>
      <c r="I646" s="10">
        <v>137</v>
      </c>
      <c r="J646" s="10">
        <v>121</v>
      </c>
      <c r="K646" s="10">
        <v>67</v>
      </c>
      <c r="L646" s="10">
        <v>100</v>
      </c>
      <c r="M646" s="10">
        <v>11</v>
      </c>
      <c r="N646" s="10">
        <v>1721</v>
      </c>
      <c r="O646" s="10">
        <v>0.74</v>
      </c>
      <c r="P646" s="10">
        <v>1269</v>
      </c>
      <c r="Q646" s="10">
        <v>123</v>
      </c>
      <c r="R646" s="10">
        <v>60</v>
      </c>
      <c r="S646" s="10">
        <v>39</v>
      </c>
      <c r="T646" s="10">
        <v>134</v>
      </c>
      <c r="U646" s="10">
        <v>12</v>
      </c>
      <c r="V646" s="10">
        <v>72</v>
      </c>
      <c r="W646" s="10">
        <v>0.308</v>
      </c>
      <c r="X646" s="10">
        <v>89</v>
      </c>
      <c r="Y646" s="10">
        <v>62</v>
      </c>
      <c r="Z646" s="10">
        <v>45</v>
      </c>
      <c r="AA646" s="10">
        <v>10</v>
      </c>
      <c r="AB646" s="10">
        <v>9.4</v>
      </c>
      <c r="AC646" s="9" t="s">
        <v>349</v>
      </c>
      <c r="AD646" s="10"/>
      <c r="AE646" s="10"/>
      <c r="AF646" s="10"/>
      <c r="AG646" s="10"/>
    </row>
    <row r="647" spans="1:33">
      <c r="A647" s="7" t="s">
        <v>155</v>
      </c>
      <c r="B647" s="8" t="s">
        <v>167</v>
      </c>
      <c r="C647" s="9" t="s">
        <v>739</v>
      </c>
      <c r="D647" s="10">
        <v>158</v>
      </c>
      <c r="E647" s="9" t="s">
        <v>163</v>
      </c>
      <c r="F647" s="10">
        <v>158</v>
      </c>
      <c r="G647" s="10">
        <v>157.5</v>
      </c>
      <c r="H647" s="10">
        <v>136</v>
      </c>
      <c r="I647" s="10">
        <v>142</v>
      </c>
      <c r="J647" s="10">
        <v>121</v>
      </c>
      <c r="K647" s="10">
        <v>67</v>
      </c>
      <c r="L647" s="10">
        <v>101</v>
      </c>
      <c r="M647" s="10">
        <v>11.8</v>
      </c>
      <c r="N647" s="10">
        <v>1757</v>
      </c>
      <c r="O647" s="10">
        <v>0.75</v>
      </c>
      <c r="P647" s="10">
        <v>1310</v>
      </c>
      <c r="Q647" s="10">
        <v>138</v>
      </c>
      <c r="R647" s="10">
        <v>76</v>
      </c>
      <c r="S647" s="10">
        <v>39</v>
      </c>
      <c r="T647" s="10">
        <v>137</v>
      </c>
      <c r="U647" s="10">
        <v>12</v>
      </c>
      <c r="V647" s="10">
        <v>78</v>
      </c>
      <c r="W647" s="10">
        <v>0.311</v>
      </c>
      <c r="X647" s="10">
        <v>93</v>
      </c>
      <c r="Y647" s="10">
        <v>60</v>
      </c>
      <c r="Z647" s="10">
        <v>45</v>
      </c>
      <c r="AA647" s="10">
        <v>9</v>
      </c>
      <c r="AB647" s="10">
        <v>9.1999999999999993</v>
      </c>
      <c r="AC647" s="9" t="s">
        <v>349</v>
      </c>
      <c r="AD647" s="10"/>
      <c r="AE647" s="10"/>
      <c r="AF647" s="10"/>
      <c r="AG647" s="10"/>
    </row>
    <row r="648" spans="1:33">
      <c r="A648" s="7" t="s">
        <v>155</v>
      </c>
      <c r="B648" s="8" t="s">
        <v>167</v>
      </c>
      <c r="C648" s="9" t="s">
        <v>749</v>
      </c>
      <c r="D648" s="10">
        <v>153</v>
      </c>
      <c r="E648" s="9" t="s">
        <v>163</v>
      </c>
      <c r="F648" s="10">
        <v>153</v>
      </c>
      <c r="G648" s="10">
        <v>152.1</v>
      </c>
      <c r="H648" s="10">
        <v>131</v>
      </c>
      <c r="I648" s="10">
        <v>136</v>
      </c>
      <c r="J648" s="10">
        <v>129</v>
      </c>
      <c r="K648" s="10">
        <v>72</v>
      </c>
      <c r="L648" s="10">
        <v>106</v>
      </c>
      <c r="M648" s="10">
        <v>10</v>
      </c>
      <c r="N648" s="10">
        <v>1635</v>
      </c>
      <c r="O648" s="10">
        <v>0.83</v>
      </c>
      <c r="P648" s="10">
        <v>1364</v>
      </c>
      <c r="Q648" s="10">
        <v>137</v>
      </c>
      <c r="R648" s="10">
        <v>66</v>
      </c>
      <c r="S648" s="10">
        <v>35</v>
      </c>
      <c r="T648" s="10">
        <v>139</v>
      </c>
      <c r="U648" s="10">
        <v>10</v>
      </c>
      <c r="V648" s="10">
        <v>69</v>
      </c>
      <c r="W648" s="10">
        <v>0.29899999999999999</v>
      </c>
      <c r="X648" s="10">
        <v>103</v>
      </c>
      <c r="Y648" s="10">
        <v>53</v>
      </c>
      <c r="Z648" s="10">
        <v>36</v>
      </c>
      <c r="AA648" s="10">
        <v>11</v>
      </c>
      <c r="AB648" s="10">
        <v>11.4</v>
      </c>
      <c r="AC648" s="9" t="s">
        <v>349</v>
      </c>
      <c r="AD648" s="9" t="s">
        <v>231</v>
      </c>
      <c r="AE648" s="10"/>
      <c r="AF648" s="10"/>
      <c r="AG648" s="10"/>
    </row>
    <row r="649" spans="1:33">
      <c r="A649" s="7" t="s">
        <v>155</v>
      </c>
      <c r="B649" s="8" t="s">
        <v>167</v>
      </c>
      <c r="C649" s="9" t="s">
        <v>749</v>
      </c>
      <c r="D649" s="10">
        <v>158</v>
      </c>
      <c r="E649" s="9" t="s">
        <v>163</v>
      </c>
      <c r="F649" s="10">
        <v>158</v>
      </c>
      <c r="G649" s="10">
        <v>157.4</v>
      </c>
      <c r="H649" s="10">
        <v>135</v>
      </c>
      <c r="I649" s="10">
        <v>141</v>
      </c>
      <c r="J649" s="10">
        <v>129</v>
      </c>
      <c r="K649" s="10">
        <v>72</v>
      </c>
      <c r="L649" s="10">
        <v>106</v>
      </c>
      <c r="M649" s="10">
        <v>10.8</v>
      </c>
      <c r="N649" s="10">
        <v>1707</v>
      </c>
      <c r="O649" s="10">
        <v>0.83</v>
      </c>
      <c r="P649" s="10">
        <v>1408</v>
      </c>
      <c r="Q649" s="10">
        <v>145</v>
      </c>
      <c r="R649" s="10">
        <v>72</v>
      </c>
      <c r="S649" s="10">
        <v>35</v>
      </c>
      <c r="T649" s="10">
        <v>147</v>
      </c>
      <c r="U649" s="10">
        <v>12</v>
      </c>
      <c r="V649" s="10">
        <v>78</v>
      </c>
      <c r="W649" s="10">
        <v>0.34899999999999998</v>
      </c>
      <c r="X649" s="10">
        <v>105</v>
      </c>
      <c r="Y649" s="10">
        <v>58</v>
      </c>
      <c r="Z649" s="10">
        <v>42</v>
      </c>
      <c r="AA649" s="10">
        <v>10</v>
      </c>
      <c r="AB649" s="10">
        <v>10.8</v>
      </c>
      <c r="AC649" s="9" t="s">
        <v>349</v>
      </c>
      <c r="AD649" s="9" t="s">
        <v>231</v>
      </c>
      <c r="AE649" s="10"/>
      <c r="AF649" s="10"/>
      <c r="AG649" s="10"/>
    </row>
    <row r="650" spans="1:33">
      <c r="A650" s="7" t="s">
        <v>155</v>
      </c>
      <c r="B650" s="8" t="s">
        <v>167</v>
      </c>
      <c r="C650" s="9" t="s">
        <v>752</v>
      </c>
      <c r="D650" s="10">
        <v>158</v>
      </c>
      <c r="E650" s="9" t="s">
        <v>163</v>
      </c>
      <c r="F650" s="10">
        <v>158</v>
      </c>
      <c r="G650" s="10">
        <v>157.4</v>
      </c>
      <c r="H650" s="10">
        <v>137</v>
      </c>
      <c r="I650" s="10">
        <v>141</v>
      </c>
      <c r="J650" s="10">
        <v>129</v>
      </c>
      <c r="K650" s="10">
        <v>72</v>
      </c>
      <c r="L650" s="10">
        <v>106</v>
      </c>
      <c r="M650" s="10">
        <v>10.8</v>
      </c>
      <c r="N650" s="10">
        <v>1680</v>
      </c>
      <c r="O650" s="10">
        <v>0.84</v>
      </c>
      <c r="P650" s="10">
        <v>1409</v>
      </c>
      <c r="Q650" s="10">
        <v>153</v>
      </c>
      <c r="R650" s="10">
        <v>73</v>
      </c>
      <c r="S650" s="10">
        <v>34</v>
      </c>
      <c r="T650" s="10">
        <v>135</v>
      </c>
      <c r="U650" s="10">
        <v>11</v>
      </c>
      <c r="V650" s="10">
        <v>73</v>
      </c>
      <c r="W650" s="10">
        <v>0.32900000000000001</v>
      </c>
      <c r="X650" s="10">
        <v>104</v>
      </c>
      <c r="Y650" s="10">
        <v>55</v>
      </c>
      <c r="Z650" s="10">
        <v>30</v>
      </c>
      <c r="AA650" s="10">
        <v>11</v>
      </c>
      <c r="AB650" s="10">
        <v>10.9</v>
      </c>
      <c r="AC650" s="9" t="s">
        <v>349</v>
      </c>
      <c r="AD650" s="9" t="s">
        <v>231</v>
      </c>
      <c r="AE650" s="10"/>
      <c r="AF650" s="10"/>
      <c r="AG650" s="10"/>
    </row>
    <row r="651" spans="1:33">
      <c r="A651" s="7" t="s">
        <v>155</v>
      </c>
      <c r="B651" s="8" t="s">
        <v>167</v>
      </c>
      <c r="C651" s="9" t="s">
        <v>841</v>
      </c>
      <c r="D651" s="10">
        <v>153</v>
      </c>
      <c r="E651" s="9" t="s">
        <v>163</v>
      </c>
      <c r="F651" s="10">
        <v>153</v>
      </c>
      <c r="G651" s="10">
        <v>152.4</v>
      </c>
      <c r="H651" s="10">
        <v>131</v>
      </c>
      <c r="I651" s="10">
        <v>137</v>
      </c>
      <c r="J651" s="10">
        <v>128</v>
      </c>
      <c r="K651" s="10">
        <v>74</v>
      </c>
      <c r="L651" s="10">
        <v>107</v>
      </c>
      <c r="M651" s="10">
        <v>10.6</v>
      </c>
      <c r="N651" s="10">
        <v>1454</v>
      </c>
      <c r="O651" s="10">
        <v>0.95</v>
      </c>
      <c r="P651" s="10">
        <v>1386</v>
      </c>
      <c r="Q651" s="10">
        <v>145</v>
      </c>
      <c r="R651" s="10">
        <v>48</v>
      </c>
      <c r="S651" s="10">
        <v>38</v>
      </c>
      <c r="T651" s="10">
        <v>143</v>
      </c>
      <c r="U651" s="10">
        <v>12</v>
      </c>
      <c r="V651" s="10">
        <v>75</v>
      </c>
      <c r="W651" s="10">
        <v>0.32300000000000001</v>
      </c>
      <c r="X651" s="10">
        <v>96</v>
      </c>
      <c r="Y651" s="10">
        <v>62</v>
      </c>
      <c r="Z651" s="10">
        <v>47</v>
      </c>
      <c r="AA651" s="10">
        <v>11</v>
      </c>
      <c r="AB651" s="10">
        <v>11.1</v>
      </c>
      <c r="AC651" s="9" t="s">
        <v>349</v>
      </c>
      <c r="AD651" s="9" t="s">
        <v>231</v>
      </c>
      <c r="AE651" s="10"/>
      <c r="AF651" s="10"/>
      <c r="AG651" s="10"/>
    </row>
    <row r="652" spans="1:33">
      <c r="A652" s="7" t="s">
        <v>155</v>
      </c>
      <c r="B652" s="8" t="s">
        <v>167</v>
      </c>
      <c r="C652" s="9" t="s">
        <v>841</v>
      </c>
      <c r="D652" s="10">
        <v>158</v>
      </c>
      <c r="E652" s="9" t="s">
        <v>163</v>
      </c>
      <c r="F652" s="10">
        <v>158</v>
      </c>
      <c r="G652" s="10">
        <v>157.6</v>
      </c>
      <c r="H652" s="10">
        <v>136</v>
      </c>
      <c r="I652" s="10">
        <v>141</v>
      </c>
      <c r="J652" s="10">
        <v>128</v>
      </c>
      <c r="K652" s="10">
        <v>74</v>
      </c>
      <c r="L652" s="10">
        <v>107</v>
      </c>
      <c r="M652" s="10">
        <v>11.3</v>
      </c>
      <c r="N652" s="10">
        <v>1541</v>
      </c>
      <c r="O652" s="10">
        <v>0.93</v>
      </c>
      <c r="P652" s="10">
        <v>1432</v>
      </c>
      <c r="Q652" s="10">
        <v>163</v>
      </c>
      <c r="R652" s="10">
        <v>50</v>
      </c>
      <c r="S652" s="10">
        <v>38</v>
      </c>
      <c r="T652" s="10">
        <v>144</v>
      </c>
      <c r="U652" s="10">
        <v>14</v>
      </c>
      <c r="V652" s="10">
        <v>76</v>
      </c>
      <c r="W652" s="10">
        <v>0.35799999999999998</v>
      </c>
      <c r="X652" s="10">
        <v>102</v>
      </c>
      <c r="Y652" s="10">
        <v>65</v>
      </c>
      <c r="Z652" s="10">
        <v>43</v>
      </c>
      <c r="AA652" s="10">
        <v>12</v>
      </c>
      <c r="AB652" s="10">
        <v>11.1</v>
      </c>
      <c r="AC652" s="9" t="s">
        <v>349</v>
      </c>
      <c r="AD652" s="9" t="s">
        <v>231</v>
      </c>
      <c r="AE652" s="10"/>
      <c r="AF652" s="10"/>
      <c r="AG652" s="10"/>
    </row>
    <row r="653" spans="1:33">
      <c r="A653" s="7" t="s">
        <v>155</v>
      </c>
      <c r="B653" s="8" t="s">
        <v>167</v>
      </c>
      <c r="C653" s="9" t="s">
        <v>869</v>
      </c>
      <c r="D653" s="10">
        <v>170</v>
      </c>
      <c r="E653" s="9" t="s">
        <v>158</v>
      </c>
      <c r="F653" s="10">
        <v>170</v>
      </c>
      <c r="G653" s="10">
        <v>169.3</v>
      </c>
      <c r="H653" s="10">
        <v>150</v>
      </c>
      <c r="I653" s="10">
        <v>158</v>
      </c>
      <c r="J653" s="10">
        <v>128</v>
      </c>
      <c r="K653" s="10">
        <v>71</v>
      </c>
      <c r="L653" s="10">
        <v>109</v>
      </c>
      <c r="M653" s="10">
        <v>13.1</v>
      </c>
      <c r="N653" s="10">
        <v>2206</v>
      </c>
      <c r="O653" s="10">
        <v>0.68</v>
      </c>
      <c r="P653" s="10">
        <v>1491</v>
      </c>
      <c r="Q653" s="10">
        <v>213</v>
      </c>
      <c r="R653" s="10">
        <v>105</v>
      </c>
      <c r="S653" s="10">
        <v>36</v>
      </c>
      <c r="T653" s="10">
        <v>149</v>
      </c>
      <c r="U653" s="10">
        <v>4</v>
      </c>
      <c r="V653" s="10">
        <v>45</v>
      </c>
      <c r="W653" s="10">
        <v>0.104</v>
      </c>
      <c r="X653" s="10">
        <v>65</v>
      </c>
      <c r="Y653" s="10">
        <v>51</v>
      </c>
      <c r="Z653" s="10">
        <v>84</v>
      </c>
      <c r="AA653" s="10">
        <v>9</v>
      </c>
      <c r="AB653" s="10">
        <v>12.9</v>
      </c>
      <c r="AC653" s="9" t="s">
        <v>349</v>
      </c>
      <c r="AD653" s="10"/>
      <c r="AE653" s="10"/>
      <c r="AF653" s="10"/>
      <c r="AG653" s="10"/>
    </row>
    <row r="654" spans="1:33">
      <c r="A654" s="7" t="s">
        <v>155</v>
      </c>
      <c r="B654" s="8" t="s">
        <v>167</v>
      </c>
      <c r="C654" s="9" t="s">
        <v>869</v>
      </c>
      <c r="D654" s="10">
        <v>177</v>
      </c>
      <c r="E654" s="9" t="s">
        <v>158</v>
      </c>
      <c r="F654" s="10">
        <v>177</v>
      </c>
      <c r="G654" s="10">
        <v>176.3</v>
      </c>
      <c r="H654" s="10">
        <v>157</v>
      </c>
      <c r="I654" s="10">
        <v>164</v>
      </c>
      <c r="J654" s="10">
        <v>128</v>
      </c>
      <c r="K654" s="10">
        <v>71</v>
      </c>
      <c r="L654" s="10">
        <v>109</v>
      </c>
      <c r="M654" s="10">
        <v>14.4</v>
      </c>
      <c r="N654" s="10">
        <v>2247</v>
      </c>
      <c r="O654" s="10">
        <v>0.69</v>
      </c>
      <c r="P654" s="10">
        <v>1551</v>
      </c>
      <c r="Q654" s="10">
        <v>229</v>
      </c>
      <c r="R654" s="10">
        <v>113</v>
      </c>
      <c r="S654" s="10">
        <v>36</v>
      </c>
      <c r="T654" s="10">
        <v>147</v>
      </c>
      <c r="U654" s="10">
        <v>3</v>
      </c>
      <c r="V654" s="10">
        <v>48</v>
      </c>
      <c r="W654" s="10">
        <v>0.09</v>
      </c>
      <c r="X654" s="10">
        <v>66</v>
      </c>
      <c r="Y654" s="10">
        <v>55</v>
      </c>
      <c r="Z654" s="10">
        <v>81</v>
      </c>
      <c r="AA654" s="10">
        <v>9</v>
      </c>
      <c r="AB654" s="10">
        <v>12.7</v>
      </c>
      <c r="AC654" s="9" t="s">
        <v>349</v>
      </c>
      <c r="AD654" s="10"/>
      <c r="AE654" s="10"/>
      <c r="AF654" s="10"/>
      <c r="AG654" s="10"/>
    </row>
    <row r="655" spans="1:33">
      <c r="A655" s="7" t="s">
        <v>155</v>
      </c>
      <c r="B655" s="8" t="s">
        <v>167</v>
      </c>
      <c r="C655" s="9" t="s">
        <v>733</v>
      </c>
      <c r="D655" s="10">
        <v>163</v>
      </c>
      <c r="E655" s="9" t="s">
        <v>158</v>
      </c>
      <c r="F655" s="10">
        <v>163</v>
      </c>
      <c r="G655" s="10">
        <v>162.4</v>
      </c>
      <c r="H655" s="10">
        <v>144</v>
      </c>
      <c r="I655" s="10">
        <v>151</v>
      </c>
      <c r="J655" s="10">
        <v>121</v>
      </c>
      <c r="K655" s="10">
        <v>67</v>
      </c>
      <c r="L655" s="10">
        <v>103</v>
      </c>
      <c r="M655" s="10">
        <v>12.7</v>
      </c>
      <c r="N655" s="10">
        <v>2043</v>
      </c>
      <c r="O655" s="10">
        <v>0.66</v>
      </c>
      <c r="P655" s="10">
        <v>1351</v>
      </c>
      <c r="Q655" s="10">
        <v>192</v>
      </c>
      <c r="R655" s="10">
        <v>93</v>
      </c>
      <c r="S655" s="10">
        <v>37</v>
      </c>
      <c r="T655" s="10">
        <v>137</v>
      </c>
      <c r="U655" s="10">
        <v>3</v>
      </c>
      <c r="V655" s="10">
        <v>44</v>
      </c>
      <c r="W655" s="10">
        <v>8.1000000000000003E-2</v>
      </c>
      <c r="X655" s="10">
        <v>62</v>
      </c>
      <c r="Y655" s="10">
        <v>52</v>
      </c>
      <c r="Z655" s="10">
        <v>75</v>
      </c>
      <c r="AA655" s="10">
        <v>11</v>
      </c>
      <c r="AB655" s="10">
        <v>12.4</v>
      </c>
      <c r="AC655" s="9" t="s">
        <v>349</v>
      </c>
      <c r="AD655" s="10"/>
      <c r="AE655" s="10"/>
      <c r="AF655" s="10"/>
      <c r="AG655" s="10"/>
    </row>
    <row r="656" spans="1:33">
      <c r="A656" s="7" t="s">
        <v>155</v>
      </c>
      <c r="B656" s="8" t="s">
        <v>167</v>
      </c>
      <c r="C656" s="9" t="s">
        <v>733</v>
      </c>
      <c r="D656" s="10">
        <v>177</v>
      </c>
      <c r="E656" s="9" t="s">
        <v>158</v>
      </c>
      <c r="F656" s="10">
        <v>177</v>
      </c>
      <c r="G656" s="10">
        <v>176.2</v>
      </c>
      <c r="H656" s="10">
        <v>158</v>
      </c>
      <c r="I656" s="10">
        <v>165</v>
      </c>
      <c r="J656" s="10">
        <v>121</v>
      </c>
      <c r="K656" s="10">
        <v>67</v>
      </c>
      <c r="L656" s="10">
        <v>102</v>
      </c>
      <c r="M656" s="10">
        <v>15.5</v>
      </c>
      <c r="N656" s="10">
        <v>2207</v>
      </c>
      <c r="O656" s="10">
        <v>0.66</v>
      </c>
      <c r="P656" s="10">
        <v>1461</v>
      </c>
      <c r="Q656" s="10">
        <v>234</v>
      </c>
      <c r="R656" s="10">
        <v>107</v>
      </c>
      <c r="S656" s="10">
        <v>37</v>
      </c>
      <c r="T656" s="10">
        <v>137</v>
      </c>
      <c r="U656" s="10">
        <v>3</v>
      </c>
      <c r="V656" s="10">
        <v>45</v>
      </c>
      <c r="W656" s="10">
        <v>9.1999999999999998E-2</v>
      </c>
      <c r="X656" s="10">
        <v>61</v>
      </c>
      <c r="Y656" s="10">
        <v>52</v>
      </c>
      <c r="Z656" s="10">
        <v>76</v>
      </c>
      <c r="AA656" s="10">
        <v>10</v>
      </c>
      <c r="AB656" s="10">
        <v>12.8</v>
      </c>
      <c r="AC656" s="9" t="s">
        <v>349</v>
      </c>
      <c r="AD656" s="10"/>
      <c r="AE656" s="10"/>
      <c r="AF656" s="10"/>
      <c r="AG656" s="10"/>
    </row>
    <row r="657" spans="1:33">
      <c r="A657" s="7" t="s">
        <v>155</v>
      </c>
      <c r="B657" s="8" t="s">
        <v>167</v>
      </c>
      <c r="C657" s="9" t="s">
        <v>874</v>
      </c>
      <c r="D657" s="10">
        <v>177</v>
      </c>
      <c r="E657" s="9" t="s">
        <v>158</v>
      </c>
      <c r="F657" s="10">
        <v>177</v>
      </c>
      <c r="G657" s="10">
        <v>175.7</v>
      </c>
      <c r="H657" s="10">
        <v>153</v>
      </c>
      <c r="I657" s="10">
        <v>164</v>
      </c>
      <c r="J657" s="10">
        <v>132</v>
      </c>
      <c r="K657" s="10">
        <v>83</v>
      </c>
      <c r="L657" s="10">
        <v>114</v>
      </c>
      <c r="M657" s="10">
        <v>17.100000000000001</v>
      </c>
      <c r="N657" s="10">
        <v>2234</v>
      </c>
      <c r="O657" s="10">
        <v>0.76</v>
      </c>
      <c r="P657" s="10">
        <v>1701</v>
      </c>
      <c r="Q657" s="10">
        <v>256</v>
      </c>
      <c r="R657" s="10">
        <v>125</v>
      </c>
      <c r="S657" s="10">
        <v>47</v>
      </c>
      <c r="T657" s="10">
        <v>165</v>
      </c>
      <c r="U657" s="10">
        <v>8</v>
      </c>
      <c r="V657" s="10">
        <v>65</v>
      </c>
      <c r="W657" s="10">
        <v>0.16600000000000001</v>
      </c>
      <c r="X657" s="10">
        <v>69</v>
      </c>
      <c r="Y657" s="10">
        <v>48</v>
      </c>
      <c r="Z657" s="10">
        <v>96</v>
      </c>
      <c r="AA657" s="10">
        <v>10</v>
      </c>
      <c r="AB657" s="10">
        <v>13</v>
      </c>
      <c r="AC657" s="9" t="s">
        <v>349</v>
      </c>
      <c r="AD657" s="9" t="s">
        <v>188</v>
      </c>
      <c r="AE657" s="10"/>
      <c r="AF657" s="10"/>
      <c r="AG657" s="10"/>
    </row>
    <row r="658" spans="1:33">
      <c r="A658" s="7" t="s">
        <v>155</v>
      </c>
      <c r="B658" s="8" t="s">
        <v>167</v>
      </c>
      <c r="C658" s="9" t="s">
        <v>833</v>
      </c>
      <c r="D658" s="10">
        <v>153</v>
      </c>
      <c r="E658" s="9" t="s">
        <v>163</v>
      </c>
      <c r="F658" s="10">
        <v>153</v>
      </c>
      <c r="G658" s="10">
        <v>153.1</v>
      </c>
      <c r="H658" s="10">
        <v>129</v>
      </c>
      <c r="I658" s="10">
        <v>135</v>
      </c>
      <c r="J658" s="10">
        <v>132</v>
      </c>
      <c r="K658" s="10">
        <v>84</v>
      </c>
      <c r="L658" s="10">
        <v>111</v>
      </c>
      <c r="M658" s="10">
        <v>12.1</v>
      </c>
      <c r="N658" s="10">
        <v>1377</v>
      </c>
      <c r="O658" s="10">
        <v>1.0900000000000001</v>
      </c>
      <c r="P658" s="10">
        <v>1506</v>
      </c>
      <c r="Q658" s="10">
        <v>137</v>
      </c>
      <c r="R658" s="10">
        <v>47</v>
      </c>
      <c r="S658" s="10">
        <v>44</v>
      </c>
      <c r="T658" s="10">
        <v>161</v>
      </c>
      <c r="U658" s="10">
        <v>13</v>
      </c>
      <c r="V658" s="10">
        <v>77</v>
      </c>
      <c r="W658" s="10">
        <v>0.30299999999999999</v>
      </c>
      <c r="X658" s="10">
        <v>109</v>
      </c>
      <c r="Y658" s="10">
        <v>69</v>
      </c>
      <c r="Z658" s="10">
        <v>52</v>
      </c>
      <c r="AA658" s="10">
        <v>14</v>
      </c>
      <c r="AB658" s="10">
        <v>10.1</v>
      </c>
      <c r="AC658" s="9" t="s">
        <v>231</v>
      </c>
      <c r="AD658" s="9" t="s">
        <v>188</v>
      </c>
      <c r="AE658" s="9" t="s">
        <v>185</v>
      </c>
      <c r="AF658" s="10"/>
      <c r="AG658" s="10"/>
    </row>
    <row r="659" spans="1:33">
      <c r="A659" s="7" t="s">
        <v>155</v>
      </c>
      <c r="B659" s="8" t="s">
        <v>167</v>
      </c>
      <c r="C659" s="9" t="s">
        <v>833</v>
      </c>
      <c r="D659" s="10">
        <v>158</v>
      </c>
      <c r="E659" s="9" t="s">
        <v>163</v>
      </c>
      <c r="F659" s="10">
        <v>158</v>
      </c>
      <c r="G659" s="10">
        <v>157.6</v>
      </c>
      <c r="H659" s="10">
        <v>132</v>
      </c>
      <c r="I659" s="10">
        <v>140</v>
      </c>
      <c r="J659" s="10">
        <v>132</v>
      </c>
      <c r="K659" s="10">
        <v>84</v>
      </c>
      <c r="L659" s="10">
        <v>111</v>
      </c>
      <c r="M659" s="10">
        <v>12.9</v>
      </c>
      <c r="N659" s="10">
        <v>1435</v>
      </c>
      <c r="O659" s="10">
        <v>1.08</v>
      </c>
      <c r="P659" s="10">
        <v>1549</v>
      </c>
      <c r="Q659" s="10">
        <v>168</v>
      </c>
      <c r="R659" s="10">
        <v>59</v>
      </c>
      <c r="S659" s="10">
        <v>44</v>
      </c>
      <c r="T659" s="10">
        <v>185</v>
      </c>
      <c r="U659" s="10">
        <v>12</v>
      </c>
      <c r="V659" s="10">
        <v>72</v>
      </c>
      <c r="W659" s="10">
        <v>0.26600000000000001</v>
      </c>
      <c r="X659" s="10">
        <v>111</v>
      </c>
      <c r="Y659" s="10">
        <v>66</v>
      </c>
      <c r="Z659" s="10">
        <v>74</v>
      </c>
      <c r="AA659" s="10">
        <v>10</v>
      </c>
      <c r="AB659" s="10">
        <v>10.1</v>
      </c>
      <c r="AC659" s="9" t="s">
        <v>231</v>
      </c>
      <c r="AD659" s="9" t="s">
        <v>188</v>
      </c>
      <c r="AE659" s="9" t="s">
        <v>185</v>
      </c>
      <c r="AF659" s="10"/>
      <c r="AG659" s="10"/>
    </row>
    <row r="660" spans="1:33">
      <c r="A660" s="7" t="s">
        <v>155</v>
      </c>
      <c r="B660" s="8" t="s">
        <v>167</v>
      </c>
      <c r="C660" s="9" t="s">
        <v>734</v>
      </c>
      <c r="D660" s="10">
        <v>163</v>
      </c>
      <c r="E660" s="9" t="s">
        <v>158</v>
      </c>
      <c r="F660" s="10">
        <v>163</v>
      </c>
      <c r="G660" s="10">
        <v>162.4</v>
      </c>
      <c r="H660" s="10">
        <v>140</v>
      </c>
      <c r="I660" s="10">
        <v>148</v>
      </c>
      <c r="J660" s="10">
        <v>138</v>
      </c>
      <c r="K660" s="10">
        <v>84</v>
      </c>
      <c r="L660" s="10">
        <v>120</v>
      </c>
      <c r="M660" s="10">
        <v>12.3</v>
      </c>
      <c r="N660" s="10">
        <v>1729</v>
      </c>
      <c r="O660" s="10">
        <v>0.94</v>
      </c>
      <c r="P660" s="10">
        <v>1630</v>
      </c>
      <c r="Q660" s="10">
        <v>207</v>
      </c>
      <c r="R660" s="10">
        <v>53</v>
      </c>
      <c r="S660" s="10">
        <v>42</v>
      </c>
      <c r="T660" s="10">
        <v>156</v>
      </c>
      <c r="U660" s="10">
        <v>9</v>
      </c>
      <c r="V660" s="10">
        <v>64</v>
      </c>
      <c r="W660" s="10">
        <v>0.22</v>
      </c>
      <c r="X660" s="10">
        <v>87</v>
      </c>
      <c r="Y660" s="10">
        <v>54</v>
      </c>
      <c r="Z660" s="10">
        <v>69</v>
      </c>
      <c r="AA660" s="10">
        <v>10</v>
      </c>
      <c r="AB660" s="10">
        <v>12.1</v>
      </c>
      <c r="AC660" s="9" t="s">
        <v>349</v>
      </c>
      <c r="AD660" s="9" t="s">
        <v>188</v>
      </c>
      <c r="AE660" s="10"/>
      <c r="AF660" s="10"/>
      <c r="AG660" s="10"/>
    </row>
    <row r="661" spans="1:33">
      <c r="A661" s="7" t="s">
        <v>155</v>
      </c>
      <c r="B661" s="8" t="s">
        <v>167</v>
      </c>
      <c r="C661" s="9" t="s">
        <v>734</v>
      </c>
      <c r="D661" s="10">
        <v>170</v>
      </c>
      <c r="E661" s="9" t="s">
        <v>158</v>
      </c>
      <c r="F661" s="10">
        <v>170</v>
      </c>
      <c r="G661" s="10">
        <v>169.1</v>
      </c>
      <c r="H661" s="10">
        <v>147</v>
      </c>
      <c r="I661" s="10">
        <v>155</v>
      </c>
      <c r="J661" s="10">
        <v>138</v>
      </c>
      <c r="K661" s="10">
        <v>84</v>
      </c>
      <c r="L661" s="10">
        <v>120</v>
      </c>
      <c r="M661" s="10">
        <v>13.6</v>
      </c>
      <c r="N661" s="10">
        <v>1782</v>
      </c>
      <c r="O661" s="10">
        <v>0.95</v>
      </c>
      <c r="P661" s="10">
        <v>1695</v>
      </c>
      <c r="Q661" s="10">
        <v>208</v>
      </c>
      <c r="R661" s="10">
        <v>56</v>
      </c>
      <c r="S661" s="10">
        <v>44</v>
      </c>
      <c r="T661" s="10">
        <v>160</v>
      </c>
      <c r="U661" s="10">
        <v>8</v>
      </c>
      <c r="V661" s="10">
        <v>59</v>
      </c>
      <c r="W661" s="10">
        <v>0.188</v>
      </c>
      <c r="X661" s="10">
        <v>85</v>
      </c>
      <c r="Y661" s="10">
        <v>55</v>
      </c>
      <c r="Z661" s="10">
        <v>76</v>
      </c>
      <c r="AA661" s="10">
        <v>11</v>
      </c>
      <c r="AB661" s="10">
        <v>13.1</v>
      </c>
      <c r="AC661" s="9" t="s">
        <v>349</v>
      </c>
      <c r="AD661" s="9" t="s">
        <v>188</v>
      </c>
      <c r="AE661" s="10"/>
      <c r="AF661" s="10"/>
      <c r="AG661" s="10"/>
    </row>
    <row r="662" spans="1:33">
      <c r="A662" s="7" t="s">
        <v>155</v>
      </c>
      <c r="B662" s="8" t="s">
        <v>167</v>
      </c>
      <c r="C662" s="9" t="s">
        <v>734</v>
      </c>
      <c r="D662" s="10">
        <v>177</v>
      </c>
      <c r="E662" s="9" t="s">
        <v>158</v>
      </c>
      <c r="F662" s="10">
        <v>177</v>
      </c>
      <c r="G662" s="10">
        <v>176.4</v>
      </c>
      <c r="H662" s="10">
        <v>155</v>
      </c>
      <c r="I662" s="10">
        <v>162</v>
      </c>
      <c r="J662" s="10">
        <v>138</v>
      </c>
      <c r="K662" s="10">
        <v>84</v>
      </c>
      <c r="L662" s="10">
        <v>120</v>
      </c>
      <c r="M662" s="10">
        <v>14.8</v>
      </c>
      <c r="N662" s="10">
        <v>1881</v>
      </c>
      <c r="O662" s="10">
        <v>0.94</v>
      </c>
      <c r="P662" s="10">
        <v>1768</v>
      </c>
      <c r="Q662" s="10">
        <v>227</v>
      </c>
      <c r="R662" s="10">
        <v>66</v>
      </c>
      <c r="S662" s="10">
        <v>39</v>
      </c>
      <c r="T662" s="10">
        <v>147</v>
      </c>
      <c r="U662" s="10">
        <v>9</v>
      </c>
      <c r="V662" s="10">
        <v>68</v>
      </c>
      <c r="W662" s="10">
        <v>0.22700000000000001</v>
      </c>
      <c r="X662" s="10">
        <v>85</v>
      </c>
      <c r="Y662" s="10">
        <v>58</v>
      </c>
      <c r="Z662" s="10">
        <v>61</v>
      </c>
      <c r="AA662" s="10">
        <v>12</v>
      </c>
      <c r="AB662" s="10">
        <v>13.2</v>
      </c>
      <c r="AC662" s="9" t="s">
        <v>349</v>
      </c>
      <c r="AD662" s="9" t="s">
        <v>188</v>
      </c>
      <c r="AE662" s="10"/>
      <c r="AF662" s="10"/>
      <c r="AG662" s="10"/>
    </row>
    <row r="663" spans="1:33">
      <c r="A663" s="7" t="s">
        <v>155</v>
      </c>
      <c r="B663" s="8" t="s">
        <v>167</v>
      </c>
      <c r="C663" s="9" t="s">
        <v>677</v>
      </c>
      <c r="D663" s="10">
        <v>156</v>
      </c>
      <c r="E663" s="9" t="s">
        <v>158</v>
      </c>
      <c r="F663" s="10">
        <v>156</v>
      </c>
      <c r="G663" s="10">
        <v>155.19999999999999</v>
      </c>
      <c r="H663" s="10">
        <v>136</v>
      </c>
      <c r="I663" s="10">
        <v>142</v>
      </c>
      <c r="J663" s="10">
        <v>131</v>
      </c>
      <c r="K663" s="10">
        <v>72</v>
      </c>
      <c r="L663" s="10">
        <v>111</v>
      </c>
      <c r="M663" s="10">
        <v>10.3</v>
      </c>
      <c r="N663" s="10">
        <v>1682</v>
      </c>
      <c r="O663" s="10">
        <v>0.84</v>
      </c>
      <c r="P663" s="10">
        <v>1410</v>
      </c>
      <c r="Q663" s="10">
        <v>135</v>
      </c>
      <c r="R663" s="10">
        <v>69</v>
      </c>
      <c r="S663" s="10">
        <v>33</v>
      </c>
      <c r="T663" s="10">
        <v>138</v>
      </c>
      <c r="U663" s="10">
        <v>6</v>
      </c>
      <c r="V663" s="10">
        <v>54</v>
      </c>
      <c r="W663" s="10">
        <v>0.17299999999999999</v>
      </c>
      <c r="X663" s="10">
        <v>83</v>
      </c>
      <c r="Y663" s="10">
        <v>45</v>
      </c>
      <c r="Z663" s="10">
        <v>55</v>
      </c>
      <c r="AA663" s="10">
        <v>13</v>
      </c>
      <c r="AB663" s="10">
        <v>12.2</v>
      </c>
      <c r="AC663" s="9" t="s">
        <v>349</v>
      </c>
      <c r="AD663" s="10"/>
      <c r="AE663" s="10"/>
      <c r="AF663" s="10"/>
      <c r="AG663" s="10"/>
    </row>
    <row r="664" spans="1:33">
      <c r="A664" s="7" t="s">
        <v>155</v>
      </c>
      <c r="B664" s="8" t="s">
        <v>167</v>
      </c>
      <c r="C664" s="9" t="s">
        <v>677</v>
      </c>
      <c r="D664" s="10">
        <v>163</v>
      </c>
      <c r="E664" s="9" t="s">
        <v>158</v>
      </c>
      <c r="F664" s="10">
        <v>163</v>
      </c>
      <c r="G664" s="10">
        <v>162.6</v>
      </c>
      <c r="H664" s="10">
        <v>143</v>
      </c>
      <c r="I664" s="10">
        <v>150</v>
      </c>
      <c r="J664" s="10">
        <v>130</v>
      </c>
      <c r="K664" s="10">
        <v>72</v>
      </c>
      <c r="L664" s="10">
        <v>111</v>
      </c>
      <c r="M664" s="10">
        <v>11.4</v>
      </c>
      <c r="N664" s="10">
        <v>1796</v>
      </c>
      <c r="O664" s="10">
        <v>0.82</v>
      </c>
      <c r="P664" s="10">
        <v>1468</v>
      </c>
      <c r="Q664" s="10">
        <v>158</v>
      </c>
      <c r="R664" s="10">
        <v>78</v>
      </c>
      <c r="S664" s="10">
        <v>33</v>
      </c>
      <c r="T664" s="10">
        <v>138</v>
      </c>
      <c r="U664" s="10">
        <v>7</v>
      </c>
      <c r="V664" s="10">
        <v>57</v>
      </c>
      <c r="W664" s="10">
        <v>0.214</v>
      </c>
      <c r="X664" s="10">
        <v>83</v>
      </c>
      <c r="Y664" s="10">
        <v>48</v>
      </c>
      <c r="Z664" s="10">
        <v>55</v>
      </c>
      <c r="AA664" s="10">
        <v>12</v>
      </c>
      <c r="AB664" s="10">
        <v>12.8</v>
      </c>
      <c r="AC664" s="9" t="s">
        <v>349</v>
      </c>
      <c r="AD664" s="10"/>
      <c r="AE664" s="10"/>
      <c r="AF664" s="10"/>
      <c r="AG664" s="10"/>
    </row>
    <row r="665" spans="1:33">
      <c r="A665" s="7" t="s">
        <v>155</v>
      </c>
      <c r="B665" s="8" t="s">
        <v>167</v>
      </c>
      <c r="C665" s="9" t="s">
        <v>677</v>
      </c>
      <c r="D665" s="10">
        <v>170</v>
      </c>
      <c r="E665" s="9" t="s">
        <v>158</v>
      </c>
      <c r="F665" s="10">
        <v>170</v>
      </c>
      <c r="G665" s="10">
        <v>169.4</v>
      </c>
      <c r="H665" s="10">
        <v>150</v>
      </c>
      <c r="I665" s="10">
        <v>157</v>
      </c>
      <c r="J665" s="10">
        <v>130</v>
      </c>
      <c r="K665" s="10">
        <v>72</v>
      </c>
      <c r="L665" s="10">
        <v>111</v>
      </c>
      <c r="M665" s="10">
        <v>12.5</v>
      </c>
      <c r="N665" s="10">
        <v>1868</v>
      </c>
      <c r="O665" s="10">
        <v>0.81</v>
      </c>
      <c r="P665" s="10">
        <v>1522</v>
      </c>
      <c r="Q665" s="10">
        <v>175</v>
      </c>
      <c r="R665" s="10">
        <v>88</v>
      </c>
      <c r="S665" s="10">
        <v>32</v>
      </c>
      <c r="T665" s="10">
        <v>136</v>
      </c>
      <c r="U665" s="10">
        <v>6</v>
      </c>
      <c r="V665" s="10">
        <v>58</v>
      </c>
      <c r="W665" s="10">
        <v>0.186</v>
      </c>
      <c r="X665" s="10">
        <v>76</v>
      </c>
      <c r="Y665" s="10">
        <v>49</v>
      </c>
      <c r="Z665" s="10">
        <v>60</v>
      </c>
      <c r="AA665" s="10">
        <v>13</v>
      </c>
      <c r="AB665" s="10">
        <v>13.4</v>
      </c>
      <c r="AC665" s="9" t="s">
        <v>349</v>
      </c>
      <c r="AD665" s="10"/>
      <c r="AE665" s="10"/>
      <c r="AF665" s="10"/>
      <c r="AG665" s="10"/>
    </row>
    <row r="666" spans="1:33">
      <c r="A666" s="7" t="s">
        <v>155</v>
      </c>
      <c r="B666" s="8" t="s">
        <v>167</v>
      </c>
      <c r="C666" s="9" t="s">
        <v>525</v>
      </c>
      <c r="D666" s="10">
        <v>170</v>
      </c>
      <c r="E666" s="9" t="s">
        <v>158</v>
      </c>
      <c r="F666" s="10">
        <v>170</v>
      </c>
      <c r="G666" s="10">
        <v>169.4</v>
      </c>
      <c r="H666" s="10">
        <v>150</v>
      </c>
      <c r="I666" s="10">
        <v>156</v>
      </c>
      <c r="J666" s="10">
        <v>133</v>
      </c>
      <c r="K666" s="10">
        <v>82</v>
      </c>
      <c r="L666" s="10">
        <v>114</v>
      </c>
      <c r="M666" s="10">
        <v>14.5</v>
      </c>
      <c r="N666" s="10">
        <v>2000</v>
      </c>
      <c r="O666" s="10">
        <v>0.82</v>
      </c>
      <c r="P666" s="10">
        <v>1647</v>
      </c>
      <c r="Q666" s="10">
        <v>180</v>
      </c>
      <c r="R666" s="10">
        <v>91</v>
      </c>
      <c r="S666" s="10">
        <v>33</v>
      </c>
      <c r="T666" s="10">
        <v>138</v>
      </c>
      <c r="U666" s="10">
        <v>7</v>
      </c>
      <c r="V666" s="10">
        <v>58</v>
      </c>
      <c r="W666" s="10">
        <v>0.21</v>
      </c>
      <c r="X666" s="10">
        <v>83</v>
      </c>
      <c r="Y666" s="10">
        <v>55</v>
      </c>
      <c r="Z666" s="10">
        <v>55</v>
      </c>
      <c r="AA666" s="10">
        <v>14</v>
      </c>
      <c r="AB666" s="10">
        <v>13.4</v>
      </c>
      <c r="AC666" s="9" t="s">
        <v>349</v>
      </c>
      <c r="AD666" s="9" t="s">
        <v>188</v>
      </c>
      <c r="AE666" s="10"/>
      <c r="AF666" s="10"/>
      <c r="AG666" s="10"/>
    </row>
    <row r="667" spans="1:33">
      <c r="A667" s="7" t="s">
        <v>155</v>
      </c>
      <c r="B667" s="8" t="s">
        <v>167</v>
      </c>
      <c r="C667" s="9" t="s">
        <v>704</v>
      </c>
      <c r="D667" s="10">
        <v>163</v>
      </c>
      <c r="E667" s="9" t="s">
        <v>158</v>
      </c>
      <c r="F667" s="10">
        <v>163</v>
      </c>
      <c r="G667" s="10">
        <v>162.4</v>
      </c>
      <c r="H667" s="10">
        <v>143</v>
      </c>
      <c r="I667" s="10">
        <v>149</v>
      </c>
      <c r="J667" s="10">
        <v>131</v>
      </c>
      <c r="K667" s="10">
        <v>77</v>
      </c>
      <c r="L667" s="10">
        <v>111</v>
      </c>
      <c r="M667" s="10">
        <v>12.4</v>
      </c>
      <c r="N667" s="10">
        <v>1882</v>
      </c>
      <c r="O667" s="10">
        <v>0.8</v>
      </c>
      <c r="P667" s="10">
        <v>1514</v>
      </c>
      <c r="Q667" s="10">
        <v>169</v>
      </c>
      <c r="R667" s="10">
        <v>80</v>
      </c>
      <c r="S667" s="10">
        <v>34</v>
      </c>
      <c r="T667" s="10">
        <v>138</v>
      </c>
      <c r="U667" s="10">
        <v>7</v>
      </c>
      <c r="V667" s="10">
        <v>59</v>
      </c>
      <c r="W667" s="10">
        <v>0.20899999999999999</v>
      </c>
      <c r="X667" s="10">
        <v>86</v>
      </c>
      <c r="Y667" s="10">
        <v>51</v>
      </c>
      <c r="Z667" s="10">
        <v>52</v>
      </c>
      <c r="AA667" s="10">
        <v>14</v>
      </c>
      <c r="AB667" s="10">
        <v>12.5</v>
      </c>
      <c r="AC667" s="9" t="s">
        <v>349</v>
      </c>
      <c r="AD667" s="10"/>
      <c r="AE667" s="10"/>
      <c r="AF667" s="10"/>
      <c r="AG667" s="10"/>
    </row>
    <row r="668" spans="1:33">
      <c r="A668" s="7" t="s">
        <v>155</v>
      </c>
      <c r="B668" s="8" t="s">
        <v>167</v>
      </c>
      <c r="C668" s="9" t="s">
        <v>704</v>
      </c>
      <c r="D668" s="10">
        <v>177</v>
      </c>
      <c r="E668" s="9" t="s">
        <v>158</v>
      </c>
      <c r="F668" s="10">
        <v>177</v>
      </c>
      <c r="G668" s="10">
        <v>176.4</v>
      </c>
      <c r="H668" s="10">
        <v>157</v>
      </c>
      <c r="I668" s="10">
        <v>164</v>
      </c>
      <c r="J668" s="10">
        <v>130</v>
      </c>
      <c r="K668" s="10">
        <v>76</v>
      </c>
      <c r="L668" s="10">
        <v>112</v>
      </c>
      <c r="M668" s="10">
        <v>15</v>
      </c>
      <c r="N668" s="10">
        <v>2144</v>
      </c>
      <c r="O668" s="10">
        <v>0.76</v>
      </c>
      <c r="P668" s="10">
        <v>1628</v>
      </c>
      <c r="Q668" s="10">
        <v>208</v>
      </c>
      <c r="R668" s="10">
        <v>114</v>
      </c>
      <c r="S668" s="10">
        <v>33</v>
      </c>
      <c r="T668" s="10">
        <v>134</v>
      </c>
      <c r="U668" s="10">
        <v>6</v>
      </c>
      <c r="V668" s="10">
        <v>56</v>
      </c>
      <c r="W668" s="10">
        <v>0.188</v>
      </c>
      <c r="X668" s="10">
        <v>76</v>
      </c>
      <c r="Y668" s="10">
        <v>51</v>
      </c>
      <c r="Z668" s="10">
        <v>58</v>
      </c>
      <c r="AA668" s="10">
        <v>18</v>
      </c>
      <c r="AB668" s="10">
        <v>13.2</v>
      </c>
      <c r="AC668" s="9" t="s">
        <v>349</v>
      </c>
      <c r="AD668" s="10"/>
      <c r="AE668" s="10"/>
      <c r="AF668" s="10"/>
      <c r="AG668" s="10"/>
    </row>
    <row r="669" spans="1:33">
      <c r="A669" s="7" t="s">
        <v>155</v>
      </c>
      <c r="B669" s="8" t="s">
        <v>167</v>
      </c>
      <c r="C669" s="9" t="s">
        <v>816</v>
      </c>
      <c r="D669" s="10">
        <v>156</v>
      </c>
      <c r="E669" s="9" t="s">
        <v>158</v>
      </c>
      <c r="F669" s="10">
        <v>156</v>
      </c>
      <c r="G669" s="10">
        <v>155.6</v>
      </c>
      <c r="H669" s="10">
        <v>132</v>
      </c>
      <c r="I669" s="10">
        <v>142</v>
      </c>
      <c r="J669" s="10">
        <v>128</v>
      </c>
      <c r="K669" s="10">
        <v>74</v>
      </c>
      <c r="L669" s="10">
        <v>110</v>
      </c>
      <c r="M669" s="10">
        <v>11.1</v>
      </c>
      <c r="N669" s="10">
        <v>1527</v>
      </c>
      <c r="O669" s="10">
        <v>0.93</v>
      </c>
      <c r="P669" s="10">
        <v>1414</v>
      </c>
      <c r="Q669" s="10">
        <v>156</v>
      </c>
      <c r="R669" s="10">
        <v>39</v>
      </c>
      <c r="S669" s="10">
        <v>41</v>
      </c>
      <c r="T669" s="10">
        <v>164</v>
      </c>
      <c r="U669" s="10">
        <v>10</v>
      </c>
      <c r="V669" s="10">
        <v>68</v>
      </c>
      <c r="W669" s="10">
        <v>0.23400000000000001</v>
      </c>
      <c r="X669" s="10">
        <v>85</v>
      </c>
      <c r="Y669" s="10">
        <v>55</v>
      </c>
      <c r="Z669" s="10">
        <v>79</v>
      </c>
      <c r="AA669" s="10">
        <v>6</v>
      </c>
      <c r="AB669" s="10">
        <v>11.6</v>
      </c>
      <c r="AC669" s="9" t="s">
        <v>349</v>
      </c>
      <c r="AD669" s="10"/>
      <c r="AE669" s="10"/>
      <c r="AF669" s="10"/>
      <c r="AG669" s="10"/>
    </row>
    <row r="670" spans="1:33">
      <c r="A670" s="7" t="s">
        <v>155</v>
      </c>
      <c r="B670" s="8" t="s">
        <v>167</v>
      </c>
      <c r="C670" s="9" t="s">
        <v>816</v>
      </c>
      <c r="D670" s="10">
        <v>163</v>
      </c>
      <c r="E670" s="9" t="s">
        <v>158</v>
      </c>
      <c r="F670" s="10">
        <v>163</v>
      </c>
      <c r="G670" s="10">
        <v>162.5</v>
      </c>
      <c r="H670" s="10">
        <v>142</v>
      </c>
      <c r="I670" s="10">
        <v>149</v>
      </c>
      <c r="J670" s="10">
        <v>129</v>
      </c>
      <c r="K670" s="10">
        <v>74</v>
      </c>
      <c r="L670" s="10">
        <v>110</v>
      </c>
      <c r="M670" s="10">
        <v>12.1</v>
      </c>
      <c r="N670" s="10">
        <v>1587</v>
      </c>
      <c r="O670" s="10">
        <v>0.93</v>
      </c>
      <c r="P670" s="10">
        <v>1476</v>
      </c>
      <c r="Q670" s="10">
        <v>175</v>
      </c>
      <c r="R670" s="10">
        <v>44</v>
      </c>
      <c r="S670" s="10">
        <v>37</v>
      </c>
      <c r="T670" s="10">
        <v>140</v>
      </c>
      <c r="U670" s="10">
        <v>9</v>
      </c>
      <c r="V670" s="10">
        <v>62</v>
      </c>
      <c r="W670" s="10">
        <v>0.23300000000000001</v>
      </c>
      <c r="X670" s="10">
        <v>83</v>
      </c>
      <c r="Y670" s="10">
        <v>56</v>
      </c>
      <c r="Z670" s="10">
        <v>57</v>
      </c>
      <c r="AA670" s="10">
        <v>12</v>
      </c>
      <c r="AB670" s="10">
        <v>12.4</v>
      </c>
      <c r="AC670" s="9" t="s">
        <v>349</v>
      </c>
      <c r="AD670" s="10"/>
      <c r="AE670" s="10"/>
      <c r="AF670" s="10"/>
      <c r="AG670" s="10"/>
    </row>
    <row r="671" spans="1:33">
      <c r="A671" s="7" t="s">
        <v>155</v>
      </c>
      <c r="B671" s="8" t="s">
        <v>167</v>
      </c>
      <c r="C671" s="9" t="s">
        <v>816</v>
      </c>
      <c r="D671" s="10">
        <v>170</v>
      </c>
      <c r="E671" s="9" t="s">
        <v>158</v>
      </c>
      <c r="F671" s="10">
        <v>170</v>
      </c>
      <c r="G671" s="10">
        <v>169.4</v>
      </c>
      <c r="H671" s="10">
        <v>148</v>
      </c>
      <c r="I671" s="10">
        <v>155</v>
      </c>
      <c r="J671" s="10">
        <v>129</v>
      </c>
      <c r="K671" s="10">
        <v>74</v>
      </c>
      <c r="L671" s="10">
        <v>110</v>
      </c>
      <c r="M671" s="10">
        <v>13.3</v>
      </c>
      <c r="N671" s="10">
        <v>1634</v>
      </c>
      <c r="O671" s="10">
        <v>0.94</v>
      </c>
      <c r="P671" s="10">
        <v>1534</v>
      </c>
      <c r="Q671" s="10">
        <v>201</v>
      </c>
      <c r="R671" s="10">
        <v>51</v>
      </c>
      <c r="S671" s="10">
        <v>38</v>
      </c>
      <c r="T671" s="10">
        <v>147</v>
      </c>
      <c r="U671" s="10">
        <v>8</v>
      </c>
      <c r="V671" s="10">
        <v>63</v>
      </c>
      <c r="W671" s="10">
        <v>0.219</v>
      </c>
      <c r="X671" s="10">
        <v>84</v>
      </c>
      <c r="Y671" s="10">
        <v>55</v>
      </c>
      <c r="Z671" s="10">
        <v>62</v>
      </c>
      <c r="AA671" s="10">
        <v>9</v>
      </c>
      <c r="AB671" s="10">
        <v>13.5</v>
      </c>
      <c r="AC671" s="9" t="s">
        <v>349</v>
      </c>
      <c r="AD671" s="10"/>
      <c r="AE671" s="10"/>
      <c r="AF671" s="10"/>
      <c r="AG671" s="10"/>
    </row>
    <row r="672" spans="1:33">
      <c r="A672" s="7" t="s">
        <v>155</v>
      </c>
      <c r="B672" s="8" t="s">
        <v>167</v>
      </c>
      <c r="C672" s="9" t="s">
        <v>858</v>
      </c>
      <c r="D672" s="10">
        <v>165</v>
      </c>
      <c r="E672" s="9" t="s">
        <v>158</v>
      </c>
      <c r="F672" s="10">
        <v>165</v>
      </c>
      <c r="G672" s="10">
        <v>164</v>
      </c>
      <c r="H672" s="10">
        <v>147</v>
      </c>
      <c r="I672" s="10">
        <v>154</v>
      </c>
      <c r="J672" s="10">
        <v>120</v>
      </c>
      <c r="K672" s="10">
        <v>67</v>
      </c>
      <c r="L672" s="10">
        <v>101</v>
      </c>
      <c r="M672" s="10">
        <v>13.4</v>
      </c>
      <c r="N672" s="10">
        <v>2233</v>
      </c>
      <c r="O672" s="10">
        <v>0.61</v>
      </c>
      <c r="P672" s="10">
        <v>1354</v>
      </c>
      <c r="Q672" s="10">
        <v>190</v>
      </c>
      <c r="R672" s="10">
        <v>96</v>
      </c>
      <c r="S672" s="10">
        <v>36</v>
      </c>
      <c r="T672" s="10">
        <v>134</v>
      </c>
      <c r="U672" s="10">
        <v>3</v>
      </c>
      <c r="V672" s="10">
        <v>41</v>
      </c>
      <c r="W672" s="10">
        <v>7.2999999999999995E-2</v>
      </c>
      <c r="X672" s="10">
        <v>59</v>
      </c>
      <c r="Y672" s="10">
        <v>39</v>
      </c>
      <c r="Z672" s="10">
        <v>75</v>
      </c>
      <c r="AA672" s="10">
        <v>13</v>
      </c>
      <c r="AB672" s="10">
        <v>11.1</v>
      </c>
      <c r="AC672" s="9" t="s">
        <v>349</v>
      </c>
      <c r="AD672" s="10"/>
      <c r="AE672" s="10"/>
      <c r="AF672" s="10"/>
      <c r="AG672" s="10"/>
    </row>
    <row r="673" spans="1:33">
      <c r="A673" s="7" t="s">
        <v>155</v>
      </c>
      <c r="B673" s="8" t="s">
        <v>167</v>
      </c>
      <c r="C673" s="9" t="s">
        <v>858</v>
      </c>
      <c r="D673" s="10">
        <v>170</v>
      </c>
      <c r="E673" s="9" t="s">
        <v>158</v>
      </c>
      <c r="F673" s="10">
        <v>170</v>
      </c>
      <c r="G673" s="10">
        <v>169.3</v>
      </c>
      <c r="H673" s="10">
        <v>151</v>
      </c>
      <c r="I673" s="10">
        <v>159</v>
      </c>
      <c r="J673" s="10">
        <v>120</v>
      </c>
      <c r="K673" s="10">
        <v>67</v>
      </c>
      <c r="L673" s="10">
        <v>101</v>
      </c>
      <c r="M673" s="10">
        <v>14.5</v>
      </c>
      <c r="N673" s="10">
        <v>2312</v>
      </c>
      <c r="O673" s="10">
        <v>0.61</v>
      </c>
      <c r="P673" s="10">
        <v>1401</v>
      </c>
      <c r="Q673" s="10">
        <v>215</v>
      </c>
      <c r="R673" s="10">
        <v>104</v>
      </c>
      <c r="S673" s="10">
        <v>37</v>
      </c>
      <c r="T673" s="10">
        <v>140</v>
      </c>
      <c r="U673" s="10">
        <v>3</v>
      </c>
      <c r="V673" s="10">
        <v>44</v>
      </c>
      <c r="W673" s="10">
        <v>0.08</v>
      </c>
      <c r="X673" s="10">
        <v>60</v>
      </c>
      <c r="Y673" s="10">
        <v>46</v>
      </c>
      <c r="Z673" s="10">
        <v>80</v>
      </c>
      <c r="AA673" s="10">
        <v>13</v>
      </c>
      <c r="AB673" s="10">
        <v>12.3</v>
      </c>
      <c r="AC673" s="9" t="s">
        <v>349</v>
      </c>
      <c r="AD673" s="10"/>
      <c r="AE673" s="10"/>
      <c r="AF673" s="10"/>
      <c r="AG673" s="10"/>
    </row>
    <row r="674" spans="1:33">
      <c r="A674" s="7" t="s">
        <v>155</v>
      </c>
      <c r="B674" s="8" t="s">
        <v>167</v>
      </c>
      <c r="C674" s="9" t="s">
        <v>831</v>
      </c>
      <c r="D674" s="10">
        <v>160</v>
      </c>
      <c r="E674" s="9" t="s">
        <v>158</v>
      </c>
      <c r="F674" s="10">
        <v>160</v>
      </c>
      <c r="G674" s="10">
        <v>158.80000000000001</v>
      </c>
      <c r="H674" s="10">
        <v>140</v>
      </c>
      <c r="I674" s="10">
        <v>149</v>
      </c>
      <c r="J674" s="10">
        <v>122</v>
      </c>
      <c r="K674" s="10">
        <v>67</v>
      </c>
      <c r="L674" s="10">
        <v>107</v>
      </c>
      <c r="M674" s="10">
        <v>11.5</v>
      </c>
      <c r="N674" s="10">
        <v>2253</v>
      </c>
      <c r="O674" s="10">
        <v>0.59</v>
      </c>
      <c r="P674" s="10">
        <v>1338</v>
      </c>
      <c r="Q674" s="10">
        <v>205</v>
      </c>
      <c r="R674" s="10">
        <v>96</v>
      </c>
      <c r="S674" s="10">
        <v>42</v>
      </c>
      <c r="T674" s="10">
        <v>147</v>
      </c>
      <c r="U674" s="10">
        <v>3</v>
      </c>
      <c r="V674" s="10">
        <v>42</v>
      </c>
      <c r="W674" s="10">
        <v>6.3E-2</v>
      </c>
      <c r="X674" s="10">
        <v>59</v>
      </c>
      <c r="Y674" s="10">
        <v>43</v>
      </c>
      <c r="Z674" s="10">
        <v>88</v>
      </c>
      <c r="AA674" s="10">
        <v>11</v>
      </c>
      <c r="AB674" s="10">
        <v>11.9</v>
      </c>
      <c r="AC674" s="9" t="s">
        <v>349</v>
      </c>
      <c r="AD674" s="10"/>
      <c r="AE674" s="10"/>
      <c r="AF674" s="10"/>
      <c r="AG674" s="10"/>
    </row>
    <row r="675" spans="1:33">
      <c r="A675" s="7" t="s">
        <v>155</v>
      </c>
      <c r="B675" s="8" t="s">
        <v>167</v>
      </c>
      <c r="C675" s="9" t="s">
        <v>831</v>
      </c>
      <c r="D675" s="10">
        <v>170</v>
      </c>
      <c r="E675" s="9" t="s">
        <v>158</v>
      </c>
      <c r="F675" s="10">
        <v>170</v>
      </c>
      <c r="G675" s="10">
        <v>168.9</v>
      </c>
      <c r="H675" s="10">
        <v>151</v>
      </c>
      <c r="I675" s="10">
        <v>159</v>
      </c>
      <c r="J675" s="10">
        <v>122</v>
      </c>
      <c r="K675" s="10">
        <v>67</v>
      </c>
      <c r="L675" s="10">
        <v>107</v>
      </c>
      <c r="M675" s="10">
        <v>13.2</v>
      </c>
      <c r="N675" s="10">
        <v>2386</v>
      </c>
      <c r="O675" s="10">
        <v>0.6</v>
      </c>
      <c r="P675" s="10">
        <v>1420</v>
      </c>
      <c r="Q675" s="10">
        <v>221</v>
      </c>
      <c r="R675" s="10">
        <v>97</v>
      </c>
      <c r="S675" s="10">
        <v>39</v>
      </c>
      <c r="T675" s="10">
        <v>141</v>
      </c>
      <c r="U675" s="10">
        <v>3</v>
      </c>
      <c r="V675" s="10">
        <v>41</v>
      </c>
      <c r="W675" s="10">
        <v>6.7000000000000004E-2</v>
      </c>
      <c r="X675" s="10">
        <v>58</v>
      </c>
      <c r="Y675" s="10">
        <v>36</v>
      </c>
      <c r="Z675" s="10">
        <v>83</v>
      </c>
      <c r="AA675" s="10">
        <v>10</v>
      </c>
      <c r="AB675" s="10">
        <v>12.5</v>
      </c>
      <c r="AC675" s="9" t="s">
        <v>349</v>
      </c>
      <c r="AD675" s="10"/>
      <c r="AE675" s="10"/>
      <c r="AF675" s="10"/>
      <c r="AG675" s="10"/>
    </row>
    <row r="676" spans="1:33">
      <c r="A676" s="7" t="s">
        <v>155</v>
      </c>
      <c r="B676" s="8" t="s">
        <v>167</v>
      </c>
      <c r="C676" s="9" t="s">
        <v>1159</v>
      </c>
      <c r="D676" s="10">
        <v>180</v>
      </c>
      <c r="E676" s="9" t="s">
        <v>158</v>
      </c>
      <c r="F676" s="10">
        <v>180</v>
      </c>
      <c r="G676" s="10">
        <v>179</v>
      </c>
      <c r="H676" s="10">
        <v>162</v>
      </c>
      <c r="I676" s="10">
        <v>170</v>
      </c>
      <c r="J676" s="10">
        <v>116</v>
      </c>
      <c r="K676" s="10">
        <v>67</v>
      </c>
      <c r="L676" s="10">
        <v>98</v>
      </c>
      <c r="M676" s="10">
        <v>18</v>
      </c>
      <c r="N676" s="9" t="s">
        <v>1155</v>
      </c>
      <c r="O676" s="9" t="s">
        <v>1155</v>
      </c>
      <c r="P676" s="10">
        <v>1456</v>
      </c>
      <c r="Q676" s="10">
        <v>259</v>
      </c>
      <c r="R676" s="10">
        <v>143</v>
      </c>
      <c r="S676" s="10">
        <v>31</v>
      </c>
      <c r="T676" s="10">
        <v>123</v>
      </c>
      <c r="U676" s="10">
        <v>3</v>
      </c>
      <c r="V676" s="10">
        <v>43</v>
      </c>
      <c r="W676" s="10">
        <v>0.09</v>
      </c>
      <c r="X676" s="10">
        <v>59</v>
      </c>
      <c r="Y676" s="10">
        <v>33</v>
      </c>
      <c r="Z676" s="10">
        <v>63</v>
      </c>
      <c r="AA676" s="10">
        <v>13</v>
      </c>
      <c r="AB676" s="10">
        <v>13.3</v>
      </c>
      <c r="AC676" s="9" t="s">
        <v>160</v>
      </c>
      <c r="AD676" s="10"/>
      <c r="AE676" s="10"/>
      <c r="AF676" s="10"/>
      <c r="AG676" s="10"/>
    </row>
    <row r="677" spans="1:33">
      <c r="A677" s="7" t="s">
        <v>155</v>
      </c>
      <c r="B677" s="8" t="s">
        <v>167</v>
      </c>
      <c r="C677" s="9" t="s">
        <v>767</v>
      </c>
      <c r="D677" s="10">
        <v>150</v>
      </c>
      <c r="E677" s="9" t="s">
        <v>158</v>
      </c>
      <c r="F677" s="10">
        <v>150</v>
      </c>
      <c r="G677" s="10">
        <v>149</v>
      </c>
      <c r="H677" s="10">
        <v>129</v>
      </c>
      <c r="I677" s="10">
        <v>135</v>
      </c>
      <c r="J677" s="10">
        <v>119</v>
      </c>
      <c r="K677" s="10">
        <v>64</v>
      </c>
      <c r="L677" s="10">
        <v>104</v>
      </c>
      <c r="M677" s="10">
        <v>9.4</v>
      </c>
      <c r="N677" s="10">
        <v>1708</v>
      </c>
      <c r="O677" s="10">
        <v>0.71</v>
      </c>
      <c r="P677" s="10">
        <v>1221</v>
      </c>
      <c r="Q677" s="10">
        <v>123</v>
      </c>
      <c r="R677" s="10">
        <v>58</v>
      </c>
      <c r="S677" s="10">
        <v>43</v>
      </c>
      <c r="T677" s="10">
        <v>141</v>
      </c>
      <c r="U677" s="10">
        <v>5</v>
      </c>
      <c r="V677" s="10">
        <v>54</v>
      </c>
      <c r="W677" s="10">
        <v>0.122</v>
      </c>
      <c r="X677" s="10">
        <v>78</v>
      </c>
      <c r="Y677" s="10">
        <v>59</v>
      </c>
      <c r="Z677" s="10">
        <v>63</v>
      </c>
      <c r="AA677" s="10">
        <v>9</v>
      </c>
      <c r="AB677" s="10">
        <v>12.4</v>
      </c>
      <c r="AC677" s="9" t="s">
        <v>349</v>
      </c>
      <c r="AD677" s="10"/>
      <c r="AE677" s="10"/>
      <c r="AF677" s="10"/>
      <c r="AG677" s="10"/>
    </row>
    <row r="678" spans="1:33">
      <c r="A678" s="7" t="s">
        <v>155</v>
      </c>
      <c r="B678" s="8" t="s">
        <v>167</v>
      </c>
      <c r="C678" s="9" t="s">
        <v>767</v>
      </c>
      <c r="D678" s="10">
        <v>155</v>
      </c>
      <c r="E678" s="9" t="s">
        <v>158</v>
      </c>
      <c r="F678" s="10">
        <v>155</v>
      </c>
      <c r="G678" s="10">
        <v>154.30000000000001</v>
      </c>
      <c r="H678" s="10">
        <v>135</v>
      </c>
      <c r="I678" s="10">
        <v>140</v>
      </c>
      <c r="J678" s="10">
        <v>120</v>
      </c>
      <c r="K678" s="10">
        <v>65</v>
      </c>
      <c r="L678" s="10">
        <v>105</v>
      </c>
      <c r="M678" s="10">
        <v>10.1</v>
      </c>
      <c r="N678" s="10">
        <v>1796</v>
      </c>
      <c r="O678" s="10">
        <v>0.71</v>
      </c>
      <c r="P678" s="10">
        <v>1273</v>
      </c>
      <c r="Q678" s="10">
        <v>135</v>
      </c>
      <c r="R678" s="10">
        <v>65</v>
      </c>
      <c r="S678" s="10">
        <v>44</v>
      </c>
      <c r="T678" s="10">
        <v>141</v>
      </c>
      <c r="U678" s="10">
        <v>6</v>
      </c>
      <c r="V678" s="10">
        <v>56</v>
      </c>
      <c r="W678" s="10">
        <v>0.125</v>
      </c>
      <c r="X678" s="10">
        <v>78</v>
      </c>
      <c r="Y678" s="10">
        <v>65</v>
      </c>
      <c r="Z678" s="10">
        <v>63</v>
      </c>
      <c r="AA678" s="10">
        <v>10</v>
      </c>
      <c r="AB678" s="10">
        <v>12.4</v>
      </c>
      <c r="AC678" s="9" t="s">
        <v>349</v>
      </c>
      <c r="AD678" s="10"/>
      <c r="AE678" s="10"/>
      <c r="AF678" s="10"/>
      <c r="AG678" s="10"/>
    </row>
    <row r="679" spans="1:33">
      <c r="A679" s="7" t="s">
        <v>155</v>
      </c>
      <c r="B679" s="8" t="s">
        <v>167</v>
      </c>
      <c r="C679" s="9" t="s">
        <v>767</v>
      </c>
      <c r="D679" s="10">
        <v>160</v>
      </c>
      <c r="E679" s="9" t="s">
        <v>158</v>
      </c>
      <c r="F679" s="10">
        <v>160</v>
      </c>
      <c r="G679" s="10">
        <v>159.19999999999999</v>
      </c>
      <c r="H679" s="10">
        <v>140</v>
      </c>
      <c r="I679" s="10">
        <v>145</v>
      </c>
      <c r="J679" s="10">
        <v>121</v>
      </c>
      <c r="K679" s="10">
        <v>65</v>
      </c>
      <c r="L679" s="10">
        <v>106</v>
      </c>
      <c r="M679" s="10">
        <v>11</v>
      </c>
      <c r="N679" s="10">
        <v>1871</v>
      </c>
      <c r="O679" s="10">
        <v>0.7</v>
      </c>
      <c r="P679" s="10">
        <v>1318</v>
      </c>
      <c r="Q679" s="10">
        <v>159</v>
      </c>
      <c r="R679" s="10">
        <v>79</v>
      </c>
      <c r="S679" s="10">
        <v>40</v>
      </c>
      <c r="T679" s="10">
        <v>143</v>
      </c>
      <c r="U679" s="10">
        <v>5</v>
      </c>
      <c r="V679" s="10">
        <v>52</v>
      </c>
      <c r="W679" s="10">
        <v>0.125</v>
      </c>
      <c r="X679" s="10">
        <v>80</v>
      </c>
      <c r="Y679" s="10">
        <v>60</v>
      </c>
      <c r="Z679" s="10">
        <v>63</v>
      </c>
      <c r="AA679" s="10">
        <v>9</v>
      </c>
      <c r="AB679" s="10">
        <v>12.8</v>
      </c>
      <c r="AC679" s="9" t="s">
        <v>349</v>
      </c>
      <c r="AD679" s="10"/>
      <c r="AE679" s="10"/>
      <c r="AF679" s="10"/>
      <c r="AG679" s="10"/>
    </row>
    <row r="680" spans="1:33">
      <c r="A680" s="7" t="s">
        <v>155</v>
      </c>
      <c r="B680" s="8" t="s">
        <v>167</v>
      </c>
      <c r="C680" s="9" t="s">
        <v>767</v>
      </c>
      <c r="D680" s="10">
        <v>165</v>
      </c>
      <c r="E680" s="9" t="s">
        <v>158</v>
      </c>
      <c r="F680" s="10">
        <v>165</v>
      </c>
      <c r="G680" s="10">
        <v>164.1</v>
      </c>
      <c r="H680" s="10">
        <v>145</v>
      </c>
      <c r="I680" s="10">
        <v>150</v>
      </c>
      <c r="J680" s="10">
        <v>121</v>
      </c>
      <c r="K680" s="10">
        <v>65</v>
      </c>
      <c r="L680" s="10">
        <v>106</v>
      </c>
      <c r="M680" s="10">
        <v>11.5</v>
      </c>
      <c r="N680" s="10">
        <v>1940</v>
      </c>
      <c r="O680" s="10">
        <v>0.7</v>
      </c>
      <c r="P680" s="10">
        <v>1363</v>
      </c>
      <c r="Q680" s="10">
        <v>153</v>
      </c>
      <c r="R680" s="10">
        <v>79</v>
      </c>
      <c r="S680" s="10">
        <v>41</v>
      </c>
      <c r="T680" s="10">
        <v>139</v>
      </c>
      <c r="U680" s="10">
        <v>5</v>
      </c>
      <c r="V680" s="10">
        <v>51</v>
      </c>
      <c r="W680" s="10">
        <v>0.11600000000000001</v>
      </c>
      <c r="X680" s="10">
        <v>77</v>
      </c>
      <c r="Y680" s="10">
        <v>59</v>
      </c>
      <c r="Z680" s="10">
        <v>62</v>
      </c>
      <c r="AA680" s="10">
        <v>11</v>
      </c>
      <c r="AB680" s="10">
        <v>12.8</v>
      </c>
      <c r="AC680" s="9" t="s">
        <v>349</v>
      </c>
      <c r="AD680" s="10"/>
      <c r="AE680" s="10"/>
      <c r="AF680" s="10"/>
      <c r="AG680" s="10"/>
    </row>
    <row r="681" spans="1:33">
      <c r="A681" s="7" t="s">
        <v>155</v>
      </c>
      <c r="B681" s="8" t="s">
        <v>295</v>
      </c>
      <c r="C681" s="9" t="s">
        <v>758</v>
      </c>
      <c r="D681" s="10">
        <v>155</v>
      </c>
      <c r="E681" s="9" t="s">
        <v>163</v>
      </c>
      <c r="F681" s="10">
        <v>155</v>
      </c>
      <c r="G681" s="10">
        <v>152.5</v>
      </c>
      <c r="H681" s="10">
        <v>84</v>
      </c>
      <c r="I681" s="10">
        <v>127</v>
      </c>
      <c r="J681" s="10">
        <v>126</v>
      </c>
      <c r="K681" s="10">
        <v>92</v>
      </c>
      <c r="L681" s="10">
        <v>117</v>
      </c>
      <c r="M681" s="10">
        <v>13</v>
      </c>
      <c r="N681" s="10">
        <v>1357</v>
      </c>
      <c r="O681" s="10">
        <v>1.1599999999999999</v>
      </c>
      <c r="P681" s="10">
        <v>1574</v>
      </c>
      <c r="Q681" s="10">
        <v>151</v>
      </c>
      <c r="R681" s="10">
        <v>63</v>
      </c>
      <c r="S681" s="10">
        <v>61</v>
      </c>
      <c r="T681" s="10">
        <v>363</v>
      </c>
      <c r="U681" s="10">
        <v>59</v>
      </c>
      <c r="V681" s="10">
        <v>318</v>
      </c>
      <c r="W681" s="10">
        <v>0.96099999999999997</v>
      </c>
      <c r="X681" s="10">
        <v>123</v>
      </c>
      <c r="Y681" s="10">
        <v>130</v>
      </c>
      <c r="Z681" s="10">
        <v>240</v>
      </c>
      <c r="AA681" s="10">
        <v>2</v>
      </c>
      <c r="AB681" s="10">
        <v>8.1999999999999993</v>
      </c>
      <c r="AC681" s="9" t="s">
        <v>184</v>
      </c>
      <c r="AD681" s="9" t="s">
        <v>185</v>
      </c>
      <c r="AE681" s="10"/>
      <c r="AF681" s="10"/>
      <c r="AG681" s="10"/>
    </row>
    <row r="682" spans="1:33">
      <c r="A682" s="7" t="s">
        <v>155</v>
      </c>
      <c r="B682" s="8" t="s">
        <v>295</v>
      </c>
      <c r="C682" s="9" t="s">
        <v>758</v>
      </c>
      <c r="D682" s="10">
        <v>162</v>
      </c>
      <c r="E682" s="9" t="s">
        <v>163</v>
      </c>
      <c r="F682" s="10">
        <v>162</v>
      </c>
      <c r="G682" s="10">
        <v>159.80000000000001</v>
      </c>
      <c r="H682" s="10">
        <v>91</v>
      </c>
      <c r="I682" s="10">
        <v>137</v>
      </c>
      <c r="J682" s="10">
        <v>126</v>
      </c>
      <c r="K682" s="10">
        <v>90</v>
      </c>
      <c r="L682" s="10">
        <v>116</v>
      </c>
      <c r="M682" s="10">
        <v>14.4</v>
      </c>
      <c r="N682" s="10">
        <v>1490</v>
      </c>
      <c r="O682" s="10">
        <v>1.0900000000000001</v>
      </c>
      <c r="P682" s="10">
        <v>1627</v>
      </c>
      <c r="Q682" s="10">
        <v>154</v>
      </c>
      <c r="R682" s="10">
        <v>68</v>
      </c>
      <c r="S682" s="10">
        <v>58</v>
      </c>
      <c r="T682" s="10">
        <v>364</v>
      </c>
      <c r="U682" s="10">
        <v>59</v>
      </c>
      <c r="V682" s="10">
        <v>320</v>
      </c>
      <c r="W682" s="10">
        <v>1.02</v>
      </c>
      <c r="X682" s="10">
        <v>105</v>
      </c>
      <c r="Y682" s="10">
        <v>125</v>
      </c>
      <c r="Z682" s="10">
        <v>259</v>
      </c>
      <c r="AA682" s="10">
        <v>2</v>
      </c>
      <c r="AB682" s="10">
        <v>8</v>
      </c>
      <c r="AC682" s="9" t="s">
        <v>184</v>
      </c>
      <c r="AD682" s="9" t="s">
        <v>185</v>
      </c>
      <c r="AE682" s="10"/>
      <c r="AF682" s="10"/>
      <c r="AG682" s="10"/>
    </row>
    <row r="683" spans="1:33">
      <c r="A683" s="7" t="s">
        <v>155</v>
      </c>
      <c r="B683" s="8" t="s">
        <v>295</v>
      </c>
      <c r="C683" s="9" t="s">
        <v>359</v>
      </c>
      <c r="D683" s="10">
        <v>171</v>
      </c>
      <c r="E683" s="9" t="s">
        <v>158</v>
      </c>
      <c r="F683" s="10">
        <v>171</v>
      </c>
      <c r="G683" s="10">
        <v>168.6</v>
      </c>
      <c r="H683" s="10">
        <v>118</v>
      </c>
      <c r="I683" s="10">
        <v>134</v>
      </c>
      <c r="J683" s="10">
        <v>132</v>
      </c>
      <c r="K683" s="10">
        <v>101</v>
      </c>
      <c r="L683" s="10">
        <v>116</v>
      </c>
      <c r="M683" s="10">
        <v>18.8</v>
      </c>
      <c r="N683" s="10">
        <v>1582</v>
      </c>
      <c r="O683" s="10">
        <v>1.17</v>
      </c>
      <c r="P683" s="10">
        <v>1854</v>
      </c>
      <c r="Q683" s="10">
        <v>211</v>
      </c>
      <c r="R683" s="10">
        <v>88</v>
      </c>
      <c r="S683" s="10">
        <v>64</v>
      </c>
      <c r="T683" s="10">
        <v>329</v>
      </c>
      <c r="U683" s="10">
        <v>25</v>
      </c>
      <c r="V683" s="10">
        <v>177</v>
      </c>
      <c r="W683" s="10">
        <v>0.39500000000000002</v>
      </c>
      <c r="X683" s="10">
        <v>238</v>
      </c>
      <c r="Y683" s="10">
        <v>105</v>
      </c>
      <c r="Z683" s="10">
        <v>91</v>
      </c>
      <c r="AA683" s="10">
        <v>5</v>
      </c>
      <c r="AB683" s="10">
        <v>9.5</v>
      </c>
      <c r="AC683" s="9" t="s">
        <v>188</v>
      </c>
      <c r="AD683" s="9" t="s">
        <v>169</v>
      </c>
      <c r="AE683" s="9" t="s">
        <v>178</v>
      </c>
      <c r="AF683" s="9" t="s">
        <v>185</v>
      </c>
      <c r="AG683" s="10"/>
    </row>
    <row r="684" spans="1:33">
      <c r="A684" s="7" t="s">
        <v>155</v>
      </c>
      <c r="B684" s="8" t="s">
        <v>295</v>
      </c>
      <c r="C684" s="9" t="s">
        <v>359</v>
      </c>
      <c r="D684" s="10">
        <v>178</v>
      </c>
      <c r="E684" s="9" t="s">
        <v>158</v>
      </c>
      <c r="F684" s="10">
        <v>178</v>
      </c>
      <c r="G684" s="10">
        <v>176.2</v>
      </c>
      <c r="H684" s="10">
        <v>128</v>
      </c>
      <c r="I684" s="10">
        <v>142</v>
      </c>
      <c r="J684" s="10">
        <v>132</v>
      </c>
      <c r="K684" s="10">
        <v>100</v>
      </c>
      <c r="L684" s="10">
        <v>117</v>
      </c>
      <c r="M684" s="10">
        <v>20.6</v>
      </c>
      <c r="N684" s="10">
        <v>1873</v>
      </c>
      <c r="O684" s="10">
        <v>1.03</v>
      </c>
      <c r="P684" s="10">
        <v>1937</v>
      </c>
      <c r="Q684" s="10">
        <v>262</v>
      </c>
      <c r="R684" s="10">
        <v>113</v>
      </c>
      <c r="S684" s="10">
        <v>58</v>
      </c>
      <c r="T684" s="10">
        <v>319</v>
      </c>
      <c r="U684" s="10">
        <v>24</v>
      </c>
      <c r="V684" s="10">
        <v>168</v>
      </c>
      <c r="W684" s="10">
        <v>0.41399999999999998</v>
      </c>
      <c r="X684" s="10">
        <v>240</v>
      </c>
      <c r="Y684" s="10">
        <v>101</v>
      </c>
      <c r="Z684" s="10">
        <v>79</v>
      </c>
      <c r="AA684" s="10">
        <v>6</v>
      </c>
      <c r="AB684" s="10">
        <v>8.8000000000000007</v>
      </c>
      <c r="AC684" s="9" t="s">
        <v>188</v>
      </c>
      <c r="AD684" s="9" t="s">
        <v>169</v>
      </c>
      <c r="AE684" s="10"/>
      <c r="AF684" s="10"/>
      <c r="AG684" s="10"/>
    </row>
    <row r="685" spans="1:33">
      <c r="A685" s="7" t="s">
        <v>155</v>
      </c>
      <c r="B685" s="8" t="s">
        <v>295</v>
      </c>
      <c r="C685" s="9" t="s">
        <v>475</v>
      </c>
      <c r="D685" s="10">
        <v>171</v>
      </c>
      <c r="E685" s="9" t="s">
        <v>158</v>
      </c>
      <c r="F685" s="10">
        <v>171</v>
      </c>
      <c r="G685" s="10">
        <v>169</v>
      </c>
      <c r="H685" s="10">
        <v>103</v>
      </c>
      <c r="I685" s="10">
        <v>142</v>
      </c>
      <c r="J685" s="10">
        <v>146</v>
      </c>
      <c r="K685" s="10">
        <v>111</v>
      </c>
      <c r="L685" s="10">
        <v>136</v>
      </c>
      <c r="M685" s="10">
        <v>16.2</v>
      </c>
      <c r="N685" s="10">
        <v>1949</v>
      </c>
      <c r="O685" s="10">
        <v>1.06</v>
      </c>
      <c r="P685" s="10">
        <v>2060</v>
      </c>
      <c r="Q685" s="10">
        <v>213</v>
      </c>
      <c r="R685" s="10">
        <v>101</v>
      </c>
      <c r="S685" s="10">
        <v>57</v>
      </c>
      <c r="T685" s="10">
        <v>353</v>
      </c>
      <c r="U685" s="10">
        <v>55</v>
      </c>
      <c r="V685" s="10">
        <v>305</v>
      </c>
      <c r="W685" s="10">
        <v>0.96399999999999997</v>
      </c>
      <c r="X685" s="10">
        <v>134</v>
      </c>
      <c r="Y685" s="10">
        <v>141</v>
      </c>
      <c r="Z685" s="10">
        <v>220</v>
      </c>
      <c r="AA685" s="10">
        <v>3</v>
      </c>
      <c r="AB685" s="10">
        <v>8.1999999999999993</v>
      </c>
      <c r="AC685" s="9" t="s">
        <v>184</v>
      </c>
      <c r="AD685" s="9" t="s">
        <v>169</v>
      </c>
      <c r="AE685" s="9" t="s">
        <v>185</v>
      </c>
      <c r="AF685" s="10"/>
      <c r="AG685" s="10"/>
    </row>
    <row r="686" spans="1:33">
      <c r="A686" s="7" t="s">
        <v>155</v>
      </c>
      <c r="B686" s="8" t="s">
        <v>295</v>
      </c>
      <c r="C686" s="9" t="s">
        <v>475</v>
      </c>
      <c r="D686" s="10">
        <v>176</v>
      </c>
      <c r="E686" s="9" t="s">
        <v>158</v>
      </c>
      <c r="F686" s="10">
        <v>176</v>
      </c>
      <c r="G686" s="10">
        <v>173.5</v>
      </c>
      <c r="H686" s="10">
        <v>107</v>
      </c>
      <c r="I686" s="10">
        <v>147</v>
      </c>
      <c r="J686" s="10">
        <v>145</v>
      </c>
      <c r="K686" s="10">
        <v>111</v>
      </c>
      <c r="L686" s="10">
        <v>135</v>
      </c>
      <c r="M686" s="10">
        <v>18</v>
      </c>
      <c r="N686" s="10">
        <v>1848</v>
      </c>
      <c r="O686" s="10">
        <v>1.1399999999999999</v>
      </c>
      <c r="P686" s="10">
        <v>2103</v>
      </c>
      <c r="Q686" s="10">
        <v>216</v>
      </c>
      <c r="R686" s="10">
        <v>102</v>
      </c>
      <c r="S686" s="10">
        <v>58</v>
      </c>
      <c r="T686" s="10">
        <v>351</v>
      </c>
      <c r="U686" s="10">
        <v>57</v>
      </c>
      <c r="V686" s="10">
        <v>312</v>
      </c>
      <c r="W686" s="10">
        <v>0.97499999999999998</v>
      </c>
      <c r="X686" s="10">
        <v>129</v>
      </c>
      <c r="Y686" s="10">
        <v>132</v>
      </c>
      <c r="Z686" s="10">
        <v>222</v>
      </c>
      <c r="AA686" s="10">
        <v>3</v>
      </c>
      <c r="AB686" s="10">
        <v>8.3000000000000007</v>
      </c>
      <c r="AC686" s="9" t="s">
        <v>184</v>
      </c>
      <c r="AD686" s="9" t="s">
        <v>169</v>
      </c>
      <c r="AE686" s="9" t="s">
        <v>185</v>
      </c>
      <c r="AF686" s="10"/>
      <c r="AG686" s="10"/>
    </row>
    <row r="687" spans="1:33">
      <c r="A687" s="7" t="s">
        <v>155</v>
      </c>
      <c r="B687" s="8" t="s">
        <v>295</v>
      </c>
      <c r="C687" s="9" t="s">
        <v>475</v>
      </c>
      <c r="D687" s="10">
        <v>181</v>
      </c>
      <c r="E687" s="9" t="s">
        <v>158</v>
      </c>
      <c r="F687" s="10">
        <v>181</v>
      </c>
      <c r="G687" s="10">
        <v>178.5</v>
      </c>
      <c r="H687" s="10">
        <v>109</v>
      </c>
      <c r="I687" s="10">
        <v>153</v>
      </c>
      <c r="J687" s="10">
        <v>145</v>
      </c>
      <c r="K687" s="10">
        <v>111</v>
      </c>
      <c r="L687" s="10">
        <v>135</v>
      </c>
      <c r="M687" s="10">
        <v>19.100000000000001</v>
      </c>
      <c r="N687" s="10">
        <v>2022</v>
      </c>
      <c r="O687" s="10">
        <v>1.08</v>
      </c>
      <c r="P687" s="10">
        <v>2176</v>
      </c>
      <c r="Q687" s="10">
        <v>229</v>
      </c>
      <c r="R687" s="10">
        <v>113</v>
      </c>
      <c r="S687" s="10">
        <v>60</v>
      </c>
      <c r="T687" s="10">
        <v>375</v>
      </c>
      <c r="U687" s="10">
        <v>56</v>
      </c>
      <c r="V687" s="10">
        <v>323</v>
      </c>
      <c r="W687" s="10">
        <v>0.94199999999999995</v>
      </c>
      <c r="X687" s="10">
        <v>128</v>
      </c>
      <c r="Y687" s="10">
        <v>128</v>
      </c>
      <c r="Z687" s="10">
        <v>248</v>
      </c>
      <c r="AA687" s="10">
        <v>1</v>
      </c>
      <c r="AB687" s="10">
        <v>9.6999999999999993</v>
      </c>
      <c r="AC687" s="9" t="s">
        <v>184</v>
      </c>
      <c r="AD687" s="9" t="s">
        <v>169</v>
      </c>
      <c r="AE687" s="9" t="s">
        <v>185</v>
      </c>
      <c r="AF687" s="10"/>
      <c r="AG687" s="10"/>
    </row>
    <row r="688" spans="1:33">
      <c r="A688" s="7" t="s">
        <v>155</v>
      </c>
      <c r="B688" s="8" t="s">
        <v>295</v>
      </c>
      <c r="C688" s="9" t="s">
        <v>654</v>
      </c>
      <c r="D688" s="10">
        <v>171</v>
      </c>
      <c r="E688" s="9" t="s">
        <v>158</v>
      </c>
      <c r="F688" s="10">
        <v>171</v>
      </c>
      <c r="G688" s="10">
        <v>168.3</v>
      </c>
      <c r="H688" s="10">
        <v>99</v>
      </c>
      <c r="I688" s="10">
        <v>143</v>
      </c>
      <c r="J688" s="10">
        <v>130</v>
      </c>
      <c r="K688" s="10">
        <v>95</v>
      </c>
      <c r="L688" s="10">
        <v>121</v>
      </c>
      <c r="M688" s="10">
        <v>16.3</v>
      </c>
      <c r="N688" s="10">
        <v>1539</v>
      </c>
      <c r="O688" s="10">
        <v>1.1599999999999999</v>
      </c>
      <c r="P688" s="10">
        <v>1780</v>
      </c>
      <c r="Q688" s="10">
        <v>157</v>
      </c>
      <c r="R688" s="10">
        <v>69</v>
      </c>
      <c r="S688" s="10">
        <v>62</v>
      </c>
      <c r="T688" s="10">
        <v>376</v>
      </c>
      <c r="U688" s="10">
        <v>55</v>
      </c>
      <c r="V688" s="10">
        <v>314</v>
      </c>
      <c r="W688" s="10">
        <v>0.88800000000000001</v>
      </c>
      <c r="X688" s="10">
        <v>119</v>
      </c>
      <c r="Y688" s="10">
        <v>130</v>
      </c>
      <c r="Z688" s="10">
        <v>257</v>
      </c>
      <c r="AA688" s="10">
        <v>2</v>
      </c>
      <c r="AB688" s="10">
        <v>7.2</v>
      </c>
      <c r="AC688" s="9" t="s">
        <v>184</v>
      </c>
      <c r="AD688" s="9" t="s">
        <v>185</v>
      </c>
      <c r="AE688" s="10"/>
      <c r="AF688" s="10"/>
      <c r="AG688" s="10"/>
    </row>
    <row r="689" spans="1:33">
      <c r="A689" s="7" t="s">
        <v>155</v>
      </c>
      <c r="B689" s="8" t="s">
        <v>295</v>
      </c>
      <c r="C689" s="9" t="s">
        <v>654</v>
      </c>
      <c r="D689" s="10">
        <v>176</v>
      </c>
      <c r="E689" s="9" t="s">
        <v>158</v>
      </c>
      <c r="F689" s="10">
        <v>176</v>
      </c>
      <c r="G689" s="10">
        <v>173.6</v>
      </c>
      <c r="H689" s="10">
        <v>107</v>
      </c>
      <c r="I689" s="10">
        <v>149</v>
      </c>
      <c r="J689" s="10">
        <v>129</v>
      </c>
      <c r="K689" s="10">
        <v>93</v>
      </c>
      <c r="L689" s="10">
        <v>119</v>
      </c>
      <c r="M689" s="10">
        <v>17.5</v>
      </c>
      <c r="N689" s="10">
        <v>1715</v>
      </c>
      <c r="O689" s="10">
        <v>1.06</v>
      </c>
      <c r="P689" s="10">
        <v>1816</v>
      </c>
      <c r="Q689" s="10">
        <v>175</v>
      </c>
      <c r="R689" s="10">
        <v>73</v>
      </c>
      <c r="S689" s="10">
        <v>58</v>
      </c>
      <c r="T689" s="10">
        <v>353</v>
      </c>
      <c r="U689" s="10">
        <v>56</v>
      </c>
      <c r="V689" s="10">
        <v>315</v>
      </c>
      <c r="W689" s="10">
        <v>0.96899999999999997</v>
      </c>
      <c r="X689" s="10">
        <v>121</v>
      </c>
      <c r="Y689" s="10">
        <v>122</v>
      </c>
      <c r="Z689" s="10">
        <v>233</v>
      </c>
      <c r="AA689" s="10">
        <v>2</v>
      </c>
      <c r="AB689" s="10">
        <v>8.1999999999999993</v>
      </c>
      <c r="AC689" s="9" t="s">
        <v>184</v>
      </c>
      <c r="AD689" s="9" t="s">
        <v>185</v>
      </c>
      <c r="AE689" s="10"/>
      <c r="AF689" s="10"/>
      <c r="AG689" s="10"/>
    </row>
    <row r="690" spans="1:33">
      <c r="A690" s="7" t="s">
        <v>155</v>
      </c>
      <c r="B690" s="8" t="s">
        <v>295</v>
      </c>
      <c r="C690" s="9" t="s">
        <v>654</v>
      </c>
      <c r="D690" s="10">
        <v>181</v>
      </c>
      <c r="E690" s="9" t="s">
        <v>158</v>
      </c>
      <c r="F690" s="10">
        <v>181</v>
      </c>
      <c r="G690" s="10">
        <v>178.6</v>
      </c>
      <c r="H690" s="10">
        <v>116</v>
      </c>
      <c r="I690" s="10">
        <v>155</v>
      </c>
      <c r="J690" s="10">
        <v>130</v>
      </c>
      <c r="K690" s="10">
        <v>95</v>
      </c>
      <c r="L690" s="10">
        <v>120</v>
      </c>
      <c r="M690" s="10">
        <v>19</v>
      </c>
      <c r="N690" s="10">
        <v>1662</v>
      </c>
      <c r="O690" s="10">
        <v>1.1399999999999999</v>
      </c>
      <c r="P690" s="10">
        <v>1889</v>
      </c>
      <c r="Q690" s="10">
        <v>191</v>
      </c>
      <c r="R690" s="10">
        <v>75</v>
      </c>
      <c r="S690" s="10">
        <v>55</v>
      </c>
      <c r="T690" s="10">
        <v>338</v>
      </c>
      <c r="U690" s="10">
        <v>51</v>
      </c>
      <c r="V690" s="10">
        <v>290</v>
      </c>
      <c r="W690" s="10">
        <v>0.91400000000000003</v>
      </c>
      <c r="X690" s="10">
        <v>112</v>
      </c>
      <c r="Y690" s="10">
        <v>128</v>
      </c>
      <c r="Z690" s="10">
        <v>226</v>
      </c>
      <c r="AA690" s="10">
        <v>4</v>
      </c>
      <c r="AB690" s="10">
        <v>9</v>
      </c>
      <c r="AC690" s="9" t="s">
        <v>184</v>
      </c>
      <c r="AD690" s="9" t="s">
        <v>185</v>
      </c>
      <c r="AE690" s="10"/>
      <c r="AF690" s="10"/>
      <c r="AG690" s="10"/>
    </row>
    <row r="691" spans="1:33">
      <c r="A691" s="7" t="s">
        <v>155</v>
      </c>
      <c r="B691" s="8" t="s">
        <v>295</v>
      </c>
      <c r="C691" s="9" t="s">
        <v>458</v>
      </c>
      <c r="D691" s="10">
        <v>171</v>
      </c>
      <c r="E691" s="9" t="s">
        <v>158</v>
      </c>
      <c r="F691" s="10">
        <v>171</v>
      </c>
      <c r="G691" s="10">
        <v>168.7</v>
      </c>
      <c r="H691" s="10">
        <v>102</v>
      </c>
      <c r="I691" s="10">
        <v>142</v>
      </c>
      <c r="J691" s="10">
        <v>145</v>
      </c>
      <c r="K691" s="10">
        <v>111</v>
      </c>
      <c r="L691" s="10">
        <v>136</v>
      </c>
      <c r="M691" s="10">
        <v>16.3</v>
      </c>
      <c r="N691" s="10">
        <v>1797</v>
      </c>
      <c r="O691" s="10">
        <v>1.1399999999999999</v>
      </c>
      <c r="P691" s="10">
        <v>2052</v>
      </c>
      <c r="Q691" s="10">
        <v>237</v>
      </c>
      <c r="R691" s="10">
        <v>109</v>
      </c>
      <c r="S691" s="10">
        <v>60</v>
      </c>
      <c r="T691" s="10">
        <v>364</v>
      </c>
      <c r="U691" s="10">
        <v>54</v>
      </c>
      <c r="V691" s="10">
        <v>304</v>
      </c>
      <c r="W691" s="10">
        <v>0.91300000000000003</v>
      </c>
      <c r="X691" s="10">
        <v>134</v>
      </c>
      <c r="Y691" s="10">
        <v>136</v>
      </c>
      <c r="Z691" s="10">
        <v>230</v>
      </c>
      <c r="AA691" s="10">
        <v>2</v>
      </c>
      <c r="AB691" s="10">
        <v>8.6</v>
      </c>
      <c r="AC691" s="9" t="s">
        <v>184</v>
      </c>
      <c r="AD691" s="9" t="s">
        <v>169</v>
      </c>
      <c r="AE691" s="9" t="s">
        <v>185</v>
      </c>
      <c r="AF691" s="10"/>
      <c r="AG691" s="10"/>
    </row>
    <row r="692" spans="1:33">
      <c r="A692" s="7" t="s">
        <v>155</v>
      </c>
      <c r="B692" s="8" t="s">
        <v>295</v>
      </c>
      <c r="C692" s="9" t="s">
        <v>458</v>
      </c>
      <c r="D692" s="10">
        <v>176</v>
      </c>
      <c r="E692" s="9" t="s">
        <v>158</v>
      </c>
      <c r="F692" s="10">
        <v>176</v>
      </c>
      <c r="G692" s="10">
        <v>173.3</v>
      </c>
      <c r="H692" s="10">
        <v>108</v>
      </c>
      <c r="I692" s="10">
        <v>147</v>
      </c>
      <c r="J692" s="10">
        <v>145</v>
      </c>
      <c r="K692" s="10">
        <v>110</v>
      </c>
      <c r="L692" s="10">
        <v>135</v>
      </c>
      <c r="M692" s="10">
        <v>17.7</v>
      </c>
      <c r="N692" s="10">
        <v>1781</v>
      </c>
      <c r="O692" s="10">
        <v>1.18</v>
      </c>
      <c r="P692" s="10">
        <v>2096</v>
      </c>
      <c r="Q692" s="10">
        <v>247</v>
      </c>
      <c r="R692" s="10">
        <v>108</v>
      </c>
      <c r="S692" s="10">
        <v>57</v>
      </c>
      <c r="T692" s="10">
        <v>354</v>
      </c>
      <c r="U692" s="10">
        <v>53</v>
      </c>
      <c r="V692" s="10">
        <v>304</v>
      </c>
      <c r="W692" s="10">
        <v>0.92400000000000004</v>
      </c>
      <c r="X692" s="10">
        <v>128</v>
      </c>
      <c r="Y692" s="10">
        <v>137</v>
      </c>
      <c r="Z692" s="10">
        <v>226</v>
      </c>
      <c r="AA692" s="10">
        <v>3</v>
      </c>
      <c r="AB692" s="10">
        <v>8.5</v>
      </c>
      <c r="AC692" s="9" t="s">
        <v>184</v>
      </c>
      <c r="AD692" s="9" t="s">
        <v>169</v>
      </c>
      <c r="AE692" s="9" t="s">
        <v>185</v>
      </c>
      <c r="AF692" s="10"/>
      <c r="AG692" s="10"/>
    </row>
    <row r="693" spans="1:33">
      <c r="A693" s="7" t="s">
        <v>155</v>
      </c>
      <c r="B693" s="8" t="s">
        <v>295</v>
      </c>
      <c r="C693" s="9" t="s">
        <v>458</v>
      </c>
      <c r="D693" s="10">
        <v>181</v>
      </c>
      <c r="E693" s="9" t="s">
        <v>158</v>
      </c>
      <c r="F693" s="10">
        <v>181</v>
      </c>
      <c r="G693" s="10">
        <v>178.5</v>
      </c>
      <c r="H693" s="10">
        <v>112</v>
      </c>
      <c r="I693" s="10">
        <v>153</v>
      </c>
      <c r="J693" s="10">
        <v>145</v>
      </c>
      <c r="K693" s="10">
        <v>111</v>
      </c>
      <c r="L693" s="10">
        <v>135</v>
      </c>
      <c r="M693" s="10">
        <v>19.2</v>
      </c>
      <c r="N693" s="10">
        <v>1902</v>
      </c>
      <c r="O693" s="10">
        <v>1.1399999999999999</v>
      </c>
      <c r="P693" s="10">
        <v>2166</v>
      </c>
      <c r="Q693" s="10">
        <v>277</v>
      </c>
      <c r="R693" s="10">
        <v>115</v>
      </c>
      <c r="S693" s="10">
        <v>56</v>
      </c>
      <c r="T693" s="10">
        <v>357</v>
      </c>
      <c r="U693" s="10">
        <v>55</v>
      </c>
      <c r="V693" s="10">
        <v>308</v>
      </c>
      <c r="W693" s="10">
        <v>0.96799999999999997</v>
      </c>
      <c r="X693" s="10">
        <v>127</v>
      </c>
      <c r="Y693" s="10">
        <v>130</v>
      </c>
      <c r="Z693" s="10">
        <v>230</v>
      </c>
      <c r="AA693" s="10">
        <v>3</v>
      </c>
      <c r="AB693" s="10">
        <v>9.4</v>
      </c>
      <c r="AC693" s="9" t="s">
        <v>184</v>
      </c>
      <c r="AD693" s="9" t="s">
        <v>169</v>
      </c>
      <c r="AE693" s="9" t="s">
        <v>185</v>
      </c>
      <c r="AF693" s="10"/>
      <c r="AG693" s="10"/>
    </row>
    <row r="694" spans="1:33">
      <c r="A694" s="7" t="s">
        <v>155</v>
      </c>
      <c r="B694" s="8" t="s">
        <v>295</v>
      </c>
      <c r="C694" s="9" t="s">
        <v>296</v>
      </c>
      <c r="D694" s="10">
        <v>166</v>
      </c>
      <c r="E694" s="9" t="s">
        <v>158</v>
      </c>
      <c r="F694" s="10">
        <v>166</v>
      </c>
      <c r="G694" s="10">
        <v>165.1</v>
      </c>
      <c r="H694" s="10">
        <v>112</v>
      </c>
      <c r="I694" s="10">
        <v>135</v>
      </c>
      <c r="J694" s="10">
        <v>131</v>
      </c>
      <c r="K694" s="10">
        <v>96</v>
      </c>
      <c r="L694" s="10">
        <v>117</v>
      </c>
      <c r="M694" s="10">
        <v>15.5</v>
      </c>
      <c r="N694" s="10">
        <v>1691</v>
      </c>
      <c r="O694" s="10">
        <v>1.04</v>
      </c>
      <c r="P694" s="10">
        <v>1757</v>
      </c>
      <c r="Q694" s="10">
        <v>200</v>
      </c>
      <c r="R694" s="10">
        <v>94</v>
      </c>
      <c r="S694" s="10">
        <v>53</v>
      </c>
      <c r="T694" s="10">
        <v>308</v>
      </c>
      <c r="U694" s="10">
        <v>17</v>
      </c>
      <c r="V694" s="10">
        <v>228</v>
      </c>
      <c r="W694" s="10">
        <v>0.32800000000000001</v>
      </c>
      <c r="X694" s="10">
        <v>182</v>
      </c>
      <c r="Y694" s="10">
        <v>116</v>
      </c>
      <c r="Z694" s="10">
        <v>126</v>
      </c>
      <c r="AA694" s="10">
        <v>6</v>
      </c>
      <c r="AB694" s="10">
        <v>8.8000000000000007</v>
      </c>
      <c r="AC694" s="9" t="s">
        <v>188</v>
      </c>
      <c r="AD694" s="10"/>
      <c r="AE694" s="10"/>
      <c r="AF694" s="10"/>
      <c r="AG694" s="10"/>
    </row>
    <row r="695" spans="1:33">
      <c r="A695" s="7" t="s">
        <v>155</v>
      </c>
      <c r="B695" s="8" t="s">
        <v>295</v>
      </c>
      <c r="C695" s="9" t="s">
        <v>296</v>
      </c>
      <c r="D695" s="10">
        <v>182</v>
      </c>
      <c r="E695" s="9" t="s">
        <v>158</v>
      </c>
      <c r="F695" s="10">
        <v>182</v>
      </c>
      <c r="G695" s="10">
        <v>180.9</v>
      </c>
      <c r="H695" s="10">
        <v>126</v>
      </c>
      <c r="I695" s="10">
        <v>151</v>
      </c>
      <c r="J695" s="10">
        <v>131</v>
      </c>
      <c r="K695" s="10">
        <v>96</v>
      </c>
      <c r="L695" s="10">
        <v>118</v>
      </c>
      <c r="M695" s="10">
        <v>19.399999999999999</v>
      </c>
      <c r="N695" s="10">
        <v>1844</v>
      </c>
      <c r="O695" s="10">
        <v>1.05</v>
      </c>
      <c r="P695" s="10">
        <v>1930</v>
      </c>
      <c r="Q695" s="10">
        <v>224</v>
      </c>
      <c r="R695" s="10">
        <v>100</v>
      </c>
      <c r="S695" s="10">
        <v>59</v>
      </c>
      <c r="T695" s="10">
        <v>320</v>
      </c>
      <c r="U695" s="10">
        <v>19</v>
      </c>
      <c r="V695" s="10">
        <v>231</v>
      </c>
      <c r="W695" s="10">
        <v>0.32900000000000001</v>
      </c>
      <c r="X695" s="10">
        <v>188</v>
      </c>
      <c r="Y695" s="10">
        <v>115</v>
      </c>
      <c r="Z695" s="10">
        <v>132</v>
      </c>
      <c r="AA695" s="10">
        <v>3</v>
      </c>
      <c r="AB695" s="10">
        <v>8.3000000000000007</v>
      </c>
      <c r="AC695" s="9" t="s">
        <v>188</v>
      </c>
      <c r="AD695" s="10"/>
      <c r="AE695" s="10"/>
      <c r="AF695" s="10"/>
      <c r="AG695" s="10"/>
    </row>
    <row r="696" spans="1:33">
      <c r="A696" s="7" t="s">
        <v>155</v>
      </c>
      <c r="B696" s="8" t="s">
        <v>295</v>
      </c>
      <c r="C696" s="9" t="s">
        <v>803</v>
      </c>
      <c r="D696" s="10">
        <v>150</v>
      </c>
      <c r="E696" s="9" t="s">
        <v>163</v>
      </c>
      <c r="F696" s="10">
        <v>150</v>
      </c>
      <c r="G696" s="10">
        <v>148.69999999999999</v>
      </c>
      <c r="H696" s="10">
        <v>100</v>
      </c>
      <c r="I696" s="10">
        <v>120</v>
      </c>
      <c r="J696" s="10">
        <v>119</v>
      </c>
      <c r="K696" s="10">
        <v>84</v>
      </c>
      <c r="L696" s="10">
        <v>107</v>
      </c>
      <c r="M696" s="10">
        <v>11.8</v>
      </c>
      <c r="N696" s="10">
        <v>1326</v>
      </c>
      <c r="O696" s="10">
        <v>1.08</v>
      </c>
      <c r="P696" s="10">
        <v>1426</v>
      </c>
      <c r="Q696" s="10">
        <v>134</v>
      </c>
      <c r="R696" s="10">
        <v>57</v>
      </c>
      <c r="S696" s="10">
        <v>54</v>
      </c>
      <c r="T696" s="10">
        <v>308</v>
      </c>
      <c r="U696" s="10">
        <v>11</v>
      </c>
      <c r="V696" s="10">
        <v>183</v>
      </c>
      <c r="W696" s="10">
        <v>0.19900000000000001</v>
      </c>
      <c r="X696" s="10">
        <v>176</v>
      </c>
      <c r="Y696" s="10">
        <v>111</v>
      </c>
      <c r="Z696" s="10">
        <v>132</v>
      </c>
      <c r="AA696" s="10">
        <v>5</v>
      </c>
      <c r="AB696" s="10">
        <v>8.4</v>
      </c>
      <c r="AC696" s="9" t="s">
        <v>231</v>
      </c>
      <c r="AD696" s="9" t="s">
        <v>188</v>
      </c>
      <c r="AE696" s="9" t="s">
        <v>185</v>
      </c>
      <c r="AF696" s="10"/>
      <c r="AG696" s="10"/>
    </row>
    <row r="697" spans="1:33">
      <c r="A697" s="7" t="s">
        <v>155</v>
      </c>
      <c r="B697" s="8" t="s">
        <v>295</v>
      </c>
      <c r="C697" s="9" t="s">
        <v>803</v>
      </c>
      <c r="D697" s="10">
        <v>155</v>
      </c>
      <c r="E697" s="9" t="s">
        <v>163</v>
      </c>
      <c r="F697" s="10">
        <v>155</v>
      </c>
      <c r="G697" s="10">
        <v>154.1</v>
      </c>
      <c r="H697" s="10">
        <v>99</v>
      </c>
      <c r="I697" s="10">
        <v>125</v>
      </c>
      <c r="J697" s="10">
        <v>120</v>
      </c>
      <c r="K697" s="10">
        <v>86</v>
      </c>
      <c r="L697" s="10">
        <v>107</v>
      </c>
      <c r="M697" s="10">
        <v>12.9</v>
      </c>
      <c r="N697" s="10">
        <v>1407</v>
      </c>
      <c r="O697" s="10">
        <v>1.06</v>
      </c>
      <c r="P697" s="10">
        <v>1492</v>
      </c>
      <c r="Q697" s="10">
        <v>151</v>
      </c>
      <c r="R697" s="10">
        <v>65</v>
      </c>
      <c r="S697" s="10">
        <v>57</v>
      </c>
      <c r="T697" s="10">
        <v>319</v>
      </c>
      <c r="U697" s="10">
        <v>16</v>
      </c>
      <c r="V697" s="10">
        <v>233</v>
      </c>
      <c r="W697" s="10">
        <v>0.28999999999999998</v>
      </c>
      <c r="X697" s="10">
        <v>184</v>
      </c>
      <c r="Y697" s="10">
        <v>109</v>
      </c>
      <c r="Z697" s="10">
        <v>135</v>
      </c>
      <c r="AA697" s="10">
        <v>5</v>
      </c>
      <c r="AB697" s="10">
        <v>8.1999999999999993</v>
      </c>
      <c r="AC697" s="9" t="s">
        <v>188</v>
      </c>
      <c r="AD697" s="9" t="s">
        <v>185</v>
      </c>
      <c r="AE697" s="10"/>
      <c r="AF697" s="10"/>
      <c r="AG697" s="10"/>
    </row>
    <row r="698" spans="1:33">
      <c r="A698" s="7" t="s">
        <v>155</v>
      </c>
      <c r="B698" s="8" t="s">
        <v>295</v>
      </c>
      <c r="C698" s="9" t="s">
        <v>803</v>
      </c>
      <c r="D698" s="10">
        <v>162</v>
      </c>
      <c r="E698" s="9" t="s">
        <v>163</v>
      </c>
      <c r="F698" s="10">
        <v>162</v>
      </c>
      <c r="G698" s="10">
        <v>161.1</v>
      </c>
      <c r="H698" s="10">
        <v>106</v>
      </c>
      <c r="I698" s="10">
        <v>131</v>
      </c>
      <c r="J698" s="10">
        <v>120</v>
      </c>
      <c r="K698" s="10">
        <v>84</v>
      </c>
      <c r="L698" s="10">
        <v>107</v>
      </c>
      <c r="M698" s="10">
        <v>14.6</v>
      </c>
      <c r="N698" s="10">
        <v>1465</v>
      </c>
      <c r="O698" s="10">
        <v>1.05</v>
      </c>
      <c r="P698" s="10">
        <v>1542</v>
      </c>
      <c r="Q698" s="10">
        <v>162</v>
      </c>
      <c r="R698" s="10">
        <v>73</v>
      </c>
      <c r="S698" s="10">
        <v>57</v>
      </c>
      <c r="T698" s="10">
        <v>321</v>
      </c>
      <c r="U698" s="10">
        <v>18</v>
      </c>
      <c r="V698" s="10">
        <v>234</v>
      </c>
      <c r="W698" s="10">
        <v>0.32200000000000001</v>
      </c>
      <c r="X698" s="10">
        <v>190</v>
      </c>
      <c r="Y698" s="10">
        <v>108</v>
      </c>
      <c r="Z698" s="10">
        <v>131</v>
      </c>
      <c r="AA698" s="10">
        <v>5</v>
      </c>
      <c r="AB698" s="10">
        <v>8.4</v>
      </c>
      <c r="AC698" s="9" t="s">
        <v>231</v>
      </c>
      <c r="AD698" s="9" t="s">
        <v>188</v>
      </c>
      <c r="AE698" s="9" t="s">
        <v>185</v>
      </c>
      <c r="AF698" s="10"/>
      <c r="AG698" s="10"/>
    </row>
    <row r="699" spans="1:33">
      <c r="A699" s="7" t="s">
        <v>155</v>
      </c>
      <c r="B699" s="8" t="s">
        <v>295</v>
      </c>
      <c r="C699" s="9" t="s">
        <v>608</v>
      </c>
      <c r="D699" s="10">
        <v>155</v>
      </c>
      <c r="E699" s="9" t="s">
        <v>163</v>
      </c>
      <c r="F699" s="10">
        <v>155</v>
      </c>
      <c r="G699" s="10">
        <v>154.19999999999999</v>
      </c>
      <c r="H699" s="10">
        <v>98</v>
      </c>
      <c r="I699" s="10">
        <v>125</v>
      </c>
      <c r="J699" s="10">
        <v>130</v>
      </c>
      <c r="K699" s="10">
        <v>95</v>
      </c>
      <c r="L699" s="10">
        <v>117</v>
      </c>
      <c r="M699" s="10">
        <v>13.1</v>
      </c>
      <c r="N699" s="10">
        <v>1500</v>
      </c>
      <c r="O699" s="10">
        <v>1.0900000000000001</v>
      </c>
      <c r="P699" s="10">
        <v>1641</v>
      </c>
      <c r="Q699" s="10">
        <v>165</v>
      </c>
      <c r="R699" s="10">
        <v>70</v>
      </c>
      <c r="S699" s="10">
        <v>56</v>
      </c>
      <c r="T699" s="10">
        <v>322</v>
      </c>
      <c r="U699" s="10">
        <v>18</v>
      </c>
      <c r="V699" s="10">
        <v>239</v>
      </c>
      <c r="W699" s="10">
        <v>0.314</v>
      </c>
      <c r="X699" s="10">
        <v>187</v>
      </c>
      <c r="Y699" s="10">
        <v>109</v>
      </c>
      <c r="Z699" s="10">
        <v>135</v>
      </c>
      <c r="AA699" s="10">
        <v>4</v>
      </c>
      <c r="AB699" s="10">
        <v>8.1999999999999993</v>
      </c>
      <c r="AC699" s="9" t="s">
        <v>188</v>
      </c>
      <c r="AD699" s="9" t="s">
        <v>185</v>
      </c>
      <c r="AE699" s="10"/>
      <c r="AF699" s="10"/>
      <c r="AG699" s="10"/>
    </row>
    <row r="700" spans="1:33">
      <c r="A700" s="7" t="s">
        <v>155</v>
      </c>
      <c r="B700" s="8" t="s">
        <v>295</v>
      </c>
      <c r="C700" s="9" t="s">
        <v>608</v>
      </c>
      <c r="D700" s="10">
        <v>162</v>
      </c>
      <c r="E700" s="9" t="s">
        <v>163</v>
      </c>
      <c r="F700" s="10">
        <v>162</v>
      </c>
      <c r="G700" s="10">
        <v>161.4</v>
      </c>
      <c r="H700" s="10">
        <v>109</v>
      </c>
      <c r="I700" s="10">
        <v>133</v>
      </c>
      <c r="J700" s="10">
        <v>130</v>
      </c>
      <c r="K700" s="10">
        <v>96</v>
      </c>
      <c r="L700" s="10">
        <v>117</v>
      </c>
      <c r="M700" s="10">
        <v>14.7</v>
      </c>
      <c r="N700" s="10">
        <v>1694</v>
      </c>
      <c r="O700" s="10">
        <v>1.01</v>
      </c>
      <c r="P700" s="10">
        <v>1716</v>
      </c>
      <c r="Q700" s="10">
        <v>185</v>
      </c>
      <c r="R700" s="10">
        <v>80</v>
      </c>
      <c r="S700" s="10">
        <v>51</v>
      </c>
      <c r="T700" s="10">
        <v>304</v>
      </c>
      <c r="U700" s="10">
        <v>15</v>
      </c>
      <c r="V700" s="10">
        <v>223</v>
      </c>
      <c r="W700" s="10">
        <v>0.29499999999999998</v>
      </c>
      <c r="X700" s="10">
        <v>178</v>
      </c>
      <c r="Y700" s="10">
        <v>110</v>
      </c>
      <c r="Z700" s="10">
        <v>126</v>
      </c>
      <c r="AA700" s="10">
        <v>7</v>
      </c>
      <c r="AB700" s="10">
        <v>8.1999999999999993</v>
      </c>
      <c r="AC700" s="9" t="s">
        <v>188</v>
      </c>
      <c r="AD700" s="10"/>
      <c r="AE700" s="10"/>
      <c r="AF700" s="10"/>
      <c r="AG700" s="10"/>
    </row>
    <row r="701" spans="1:33">
      <c r="A701" s="7" t="s">
        <v>155</v>
      </c>
      <c r="B701" s="8" t="s">
        <v>561</v>
      </c>
      <c r="C701" s="9" t="s">
        <v>631</v>
      </c>
      <c r="D701" s="10">
        <v>178</v>
      </c>
      <c r="E701" s="9" t="s">
        <v>158</v>
      </c>
      <c r="F701" s="10">
        <v>178</v>
      </c>
      <c r="G701" s="10">
        <v>176</v>
      </c>
      <c r="H701" s="10">
        <v>130</v>
      </c>
      <c r="I701" s="10">
        <v>143</v>
      </c>
      <c r="J701" s="10">
        <v>118</v>
      </c>
      <c r="K701" s="10">
        <v>97</v>
      </c>
      <c r="L701" s="10">
        <v>117</v>
      </c>
      <c r="M701" s="10">
        <v>20.9</v>
      </c>
      <c r="N701" s="10">
        <v>1901</v>
      </c>
      <c r="O701" s="10">
        <v>0.97</v>
      </c>
      <c r="P701" s="10">
        <v>1852</v>
      </c>
      <c r="Q701" s="10">
        <v>167</v>
      </c>
      <c r="R701" s="10">
        <v>58</v>
      </c>
      <c r="S701" s="10">
        <v>43</v>
      </c>
      <c r="T701" s="10">
        <v>224</v>
      </c>
      <c r="U701" s="10">
        <v>45</v>
      </c>
      <c r="V701" s="10">
        <v>237</v>
      </c>
      <c r="W701" s="10">
        <v>1.042</v>
      </c>
      <c r="X701" s="10">
        <v>188</v>
      </c>
      <c r="Y701" s="10">
        <v>140</v>
      </c>
      <c r="Z701" s="10">
        <v>36</v>
      </c>
      <c r="AA701" s="10">
        <v>8</v>
      </c>
      <c r="AB701" s="10">
        <v>4.5</v>
      </c>
      <c r="AC701" s="9" t="s">
        <v>184</v>
      </c>
      <c r="AD701" s="10"/>
      <c r="AE701" s="10"/>
      <c r="AF701" s="10"/>
      <c r="AG701" s="10"/>
    </row>
    <row r="702" spans="1:33">
      <c r="A702" s="7" t="s">
        <v>155</v>
      </c>
      <c r="B702" s="8" t="s">
        <v>561</v>
      </c>
      <c r="C702" s="9" t="s">
        <v>631</v>
      </c>
      <c r="D702" s="10">
        <v>184</v>
      </c>
      <c r="E702" s="9" t="s">
        <v>158</v>
      </c>
      <c r="F702" s="10">
        <v>184</v>
      </c>
      <c r="G702" s="10">
        <v>181.8</v>
      </c>
      <c r="H702" s="10">
        <v>134</v>
      </c>
      <c r="I702" s="10">
        <v>147</v>
      </c>
      <c r="J702" s="10">
        <v>119</v>
      </c>
      <c r="K702" s="10">
        <v>97</v>
      </c>
      <c r="L702" s="10">
        <v>117</v>
      </c>
      <c r="M702" s="10">
        <v>22.9</v>
      </c>
      <c r="N702" s="10">
        <v>2079</v>
      </c>
      <c r="O702" s="10">
        <v>0.92</v>
      </c>
      <c r="P702" s="10">
        <v>1918</v>
      </c>
      <c r="Q702" s="10">
        <v>232</v>
      </c>
      <c r="R702" s="10">
        <v>80</v>
      </c>
      <c r="S702" s="10">
        <v>46</v>
      </c>
      <c r="T702" s="10">
        <v>240</v>
      </c>
      <c r="U702" s="10">
        <v>44</v>
      </c>
      <c r="V702" s="10">
        <v>240</v>
      </c>
      <c r="W702" s="10">
        <v>0.97599999999999998</v>
      </c>
      <c r="X702" s="10">
        <v>188</v>
      </c>
      <c r="Y702" s="10">
        <v>165</v>
      </c>
      <c r="Z702" s="10">
        <v>52</v>
      </c>
      <c r="AA702" s="10">
        <v>6</v>
      </c>
      <c r="AB702" s="10">
        <v>3.3</v>
      </c>
      <c r="AC702" s="9" t="s">
        <v>184</v>
      </c>
      <c r="AD702" s="10"/>
      <c r="AE702" s="10"/>
      <c r="AF702" s="10"/>
      <c r="AG702" s="10"/>
    </row>
    <row r="703" spans="1:33">
      <c r="A703" s="7" t="s">
        <v>155</v>
      </c>
      <c r="B703" s="8" t="s">
        <v>561</v>
      </c>
      <c r="C703" s="9" t="s">
        <v>867</v>
      </c>
      <c r="D703" s="10">
        <v>183</v>
      </c>
      <c r="E703" s="9" t="s">
        <v>158</v>
      </c>
      <c r="F703" s="10">
        <v>183</v>
      </c>
      <c r="G703" s="10">
        <v>180.7</v>
      </c>
      <c r="H703" s="10">
        <v>116</v>
      </c>
      <c r="I703" s="10">
        <v>140</v>
      </c>
      <c r="J703" s="10">
        <v>142</v>
      </c>
      <c r="K703" s="10">
        <v>117</v>
      </c>
      <c r="L703" s="10">
        <v>132</v>
      </c>
      <c r="M703" s="10">
        <v>20.100000000000001</v>
      </c>
      <c r="N703" s="10">
        <v>2414</v>
      </c>
      <c r="O703" s="10">
        <v>0.93</v>
      </c>
      <c r="P703" s="10">
        <v>2255</v>
      </c>
      <c r="Q703" s="10">
        <v>225</v>
      </c>
      <c r="R703" s="10">
        <v>86</v>
      </c>
      <c r="S703" s="10">
        <v>62</v>
      </c>
      <c r="T703" s="10">
        <v>438</v>
      </c>
      <c r="U703" s="10">
        <v>35</v>
      </c>
      <c r="V703" s="10">
        <v>213</v>
      </c>
      <c r="W703" s="10">
        <v>0.56999999999999995</v>
      </c>
      <c r="X703" s="10">
        <v>205</v>
      </c>
      <c r="Y703" s="10">
        <v>205</v>
      </c>
      <c r="Z703" s="10">
        <v>233</v>
      </c>
      <c r="AA703" s="10">
        <v>5</v>
      </c>
      <c r="AB703" s="10">
        <v>7.8</v>
      </c>
      <c r="AC703" s="9" t="s">
        <v>169</v>
      </c>
      <c r="AD703" s="10"/>
      <c r="AE703" s="10"/>
      <c r="AF703" s="10"/>
      <c r="AG703" s="10"/>
    </row>
    <row r="704" spans="1:33">
      <c r="A704" s="7" t="s">
        <v>155</v>
      </c>
      <c r="B704" s="8" t="s">
        <v>561</v>
      </c>
      <c r="C704" s="9" t="s">
        <v>761</v>
      </c>
      <c r="D704" s="10">
        <v>183</v>
      </c>
      <c r="E704" s="9" t="s">
        <v>158</v>
      </c>
      <c r="F704" s="10">
        <v>183</v>
      </c>
      <c r="G704" s="10">
        <v>180.8</v>
      </c>
      <c r="H704" s="10">
        <v>110</v>
      </c>
      <c r="I704" s="10">
        <v>145</v>
      </c>
      <c r="J704" s="10">
        <v>134</v>
      </c>
      <c r="K704" s="10">
        <v>106</v>
      </c>
      <c r="L704" s="10">
        <v>124</v>
      </c>
      <c r="M704" s="10">
        <v>18.8</v>
      </c>
      <c r="N704" s="10">
        <v>2292</v>
      </c>
      <c r="O704" s="10">
        <v>0.91</v>
      </c>
      <c r="P704" s="10">
        <v>2087</v>
      </c>
      <c r="Q704" s="10">
        <v>227</v>
      </c>
      <c r="R704" s="10">
        <v>117</v>
      </c>
      <c r="S704" s="10">
        <v>59</v>
      </c>
      <c r="T704" s="10">
        <v>444</v>
      </c>
      <c r="U704" s="10">
        <v>39</v>
      </c>
      <c r="V704" s="10">
        <v>265</v>
      </c>
      <c r="W704" s="10">
        <v>0.65800000000000003</v>
      </c>
      <c r="X704" s="10">
        <v>182</v>
      </c>
      <c r="Y704" s="10">
        <v>176</v>
      </c>
      <c r="Z704" s="10">
        <v>262</v>
      </c>
      <c r="AA704" s="10">
        <v>3</v>
      </c>
      <c r="AB704" s="10">
        <v>7.6</v>
      </c>
      <c r="AC704" s="9" t="s">
        <v>169</v>
      </c>
      <c r="AD704" s="10"/>
      <c r="AE704" s="10"/>
      <c r="AF704" s="10"/>
      <c r="AG704" s="10"/>
    </row>
    <row r="705" spans="1:33">
      <c r="A705" s="7" t="s">
        <v>155</v>
      </c>
      <c r="B705" s="8" t="s">
        <v>561</v>
      </c>
      <c r="C705" s="9" t="s">
        <v>750</v>
      </c>
      <c r="D705" s="10">
        <v>181</v>
      </c>
      <c r="E705" s="9" t="s">
        <v>158</v>
      </c>
      <c r="F705" s="10">
        <v>181</v>
      </c>
      <c r="G705" s="10">
        <v>179</v>
      </c>
      <c r="H705" s="10">
        <v>124</v>
      </c>
      <c r="I705" s="10">
        <v>151</v>
      </c>
      <c r="J705" s="10">
        <v>132</v>
      </c>
      <c r="K705" s="10">
        <v>98</v>
      </c>
      <c r="L705" s="10">
        <v>117</v>
      </c>
      <c r="M705" s="10">
        <v>19.3</v>
      </c>
      <c r="N705" s="10">
        <v>2105</v>
      </c>
      <c r="O705" s="10">
        <v>0.92</v>
      </c>
      <c r="P705" s="10">
        <v>1944</v>
      </c>
      <c r="Q705" s="10">
        <v>232</v>
      </c>
      <c r="R705" s="10">
        <v>126</v>
      </c>
      <c r="S705" s="10">
        <v>56</v>
      </c>
      <c r="T705" s="10">
        <v>319</v>
      </c>
      <c r="U705" s="10">
        <v>29</v>
      </c>
      <c r="V705" s="10">
        <v>232</v>
      </c>
      <c r="W705" s="10">
        <v>0.51500000000000001</v>
      </c>
      <c r="X705" s="10">
        <v>128</v>
      </c>
      <c r="Y705" s="10">
        <v>154</v>
      </c>
      <c r="Z705" s="10">
        <v>192</v>
      </c>
      <c r="AA705" s="10">
        <v>4</v>
      </c>
      <c r="AB705" s="10">
        <v>8</v>
      </c>
      <c r="AC705" s="9" t="s">
        <v>188</v>
      </c>
      <c r="AD705" s="10"/>
      <c r="AE705" s="10"/>
      <c r="AF705" s="10"/>
      <c r="AG705" s="10"/>
    </row>
    <row r="706" spans="1:33">
      <c r="A706" s="7" t="s">
        <v>155</v>
      </c>
      <c r="B706" s="8" t="s">
        <v>561</v>
      </c>
      <c r="C706" s="9" t="s">
        <v>740</v>
      </c>
      <c r="D706" s="10">
        <v>180</v>
      </c>
      <c r="E706" s="9" t="s">
        <v>158</v>
      </c>
      <c r="F706" s="10">
        <v>180</v>
      </c>
      <c r="G706" s="10">
        <v>177.4</v>
      </c>
      <c r="H706" s="10">
        <v>108</v>
      </c>
      <c r="I706" s="10">
        <v>141</v>
      </c>
      <c r="J706" s="10">
        <v>136</v>
      </c>
      <c r="K706" s="10">
        <v>105</v>
      </c>
      <c r="L706" s="10">
        <v>125</v>
      </c>
      <c r="M706" s="10">
        <v>17.7</v>
      </c>
      <c r="N706" s="10">
        <v>2242</v>
      </c>
      <c r="O706" s="10">
        <v>0.91</v>
      </c>
      <c r="P706" s="10">
        <v>2040</v>
      </c>
      <c r="Q706" s="10">
        <v>225</v>
      </c>
      <c r="R706" s="10">
        <v>127</v>
      </c>
      <c r="S706" s="10">
        <v>57</v>
      </c>
      <c r="T706" s="10">
        <v>408</v>
      </c>
      <c r="U706" s="10">
        <v>49</v>
      </c>
      <c r="V706" s="10">
        <v>283</v>
      </c>
      <c r="W706" s="10">
        <v>0.85399999999999998</v>
      </c>
      <c r="X706" s="10">
        <v>164</v>
      </c>
      <c r="Y706" s="10">
        <v>205</v>
      </c>
      <c r="Z706" s="10">
        <v>244</v>
      </c>
      <c r="AA706" s="10">
        <v>3</v>
      </c>
      <c r="AB706" s="10">
        <v>5.7</v>
      </c>
      <c r="AC706" s="9" t="s">
        <v>184</v>
      </c>
      <c r="AD706" s="9" t="s">
        <v>169</v>
      </c>
      <c r="AE706" s="10"/>
      <c r="AF706" s="10"/>
      <c r="AG706" s="10"/>
    </row>
    <row r="707" spans="1:33">
      <c r="A707" s="7" t="s">
        <v>155</v>
      </c>
      <c r="B707" s="8" t="s">
        <v>561</v>
      </c>
      <c r="C707" s="9" t="s">
        <v>568</v>
      </c>
      <c r="D707" s="10">
        <v>182</v>
      </c>
      <c r="E707" s="9" t="s">
        <v>158</v>
      </c>
      <c r="F707" s="10">
        <v>182</v>
      </c>
      <c r="G707" s="10">
        <v>179.9</v>
      </c>
      <c r="H707" s="10">
        <v>113</v>
      </c>
      <c r="I707" s="10">
        <v>147</v>
      </c>
      <c r="J707" s="10">
        <v>136</v>
      </c>
      <c r="K707" s="10">
        <v>109</v>
      </c>
      <c r="L707" s="10">
        <v>128</v>
      </c>
      <c r="M707" s="10">
        <v>20.399999999999999</v>
      </c>
      <c r="N707" s="10">
        <v>1946</v>
      </c>
      <c r="O707" s="10">
        <v>1.1000000000000001</v>
      </c>
      <c r="P707" s="10">
        <v>2132</v>
      </c>
      <c r="Q707" s="10">
        <v>212</v>
      </c>
      <c r="R707" s="10">
        <v>99</v>
      </c>
      <c r="S707" s="10">
        <v>60</v>
      </c>
      <c r="T707" s="10">
        <v>447</v>
      </c>
      <c r="U707" s="10">
        <v>30</v>
      </c>
      <c r="V707" s="10">
        <v>218</v>
      </c>
      <c r="W707" s="10">
        <v>0.501</v>
      </c>
      <c r="X707" s="10">
        <v>175</v>
      </c>
      <c r="Y707" s="10">
        <v>151</v>
      </c>
      <c r="Z707" s="10">
        <v>271</v>
      </c>
      <c r="AA707" s="10">
        <v>5</v>
      </c>
      <c r="AB707" s="10">
        <v>8</v>
      </c>
      <c r="AC707" s="9" t="s">
        <v>169</v>
      </c>
      <c r="AD707" s="9" t="s">
        <v>185</v>
      </c>
      <c r="AE707" s="10"/>
      <c r="AF707" s="10"/>
      <c r="AG707" s="10"/>
    </row>
    <row r="708" spans="1:33">
      <c r="A708" s="7" t="s">
        <v>155</v>
      </c>
      <c r="B708" s="8" t="s">
        <v>561</v>
      </c>
      <c r="C708" s="9" t="s">
        <v>568</v>
      </c>
      <c r="D708" s="10">
        <v>188</v>
      </c>
      <c r="E708" s="9" t="s">
        <v>158</v>
      </c>
      <c r="F708" s="10">
        <v>188</v>
      </c>
      <c r="G708" s="10">
        <v>185.4</v>
      </c>
      <c r="H708" s="10">
        <v>118</v>
      </c>
      <c r="I708" s="10">
        <v>151</v>
      </c>
      <c r="J708" s="10">
        <v>136</v>
      </c>
      <c r="K708" s="10">
        <v>109</v>
      </c>
      <c r="L708" s="10">
        <v>127</v>
      </c>
      <c r="M708" s="10">
        <v>21.7</v>
      </c>
      <c r="N708" s="10">
        <v>1991</v>
      </c>
      <c r="O708" s="10">
        <v>1.1000000000000001</v>
      </c>
      <c r="P708" s="10">
        <v>2196</v>
      </c>
      <c r="Q708" s="10">
        <v>227</v>
      </c>
      <c r="R708" s="10">
        <v>102</v>
      </c>
      <c r="S708" s="10">
        <v>57</v>
      </c>
      <c r="T708" s="10">
        <v>467</v>
      </c>
      <c r="U708" s="10">
        <v>29</v>
      </c>
      <c r="V708" s="10">
        <v>207</v>
      </c>
      <c r="W708" s="10">
        <v>0.51200000000000001</v>
      </c>
      <c r="X708" s="10">
        <v>172</v>
      </c>
      <c r="Y708" s="10">
        <v>169</v>
      </c>
      <c r="Z708" s="10">
        <v>295</v>
      </c>
      <c r="AA708" s="10">
        <v>3</v>
      </c>
      <c r="AB708" s="10">
        <v>8.3000000000000007</v>
      </c>
      <c r="AC708" s="9" t="s">
        <v>169</v>
      </c>
      <c r="AD708" s="9" t="s">
        <v>185</v>
      </c>
      <c r="AE708" s="10"/>
      <c r="AF708" s="10"/>
      <c r="AG708" s="10"/>
    </row>
    <row r="709" spans="1:33">
      <c r="A709" s="7" t="s">
        <v>155</v>
      </c>
      <c r="B709" s="8" t="s">
        <v>561</v>
      </c>
      <c r="C709" s="9" t="s">
        <v>765</v>
      </c>
      <c r="D709" s="10">
        <v>186</v>
      </c>
      <c r="E709" s="9" t="s">
        <v>158</v>
      </c>
      <c r="F709" s="10">
        <v>186</v>
      </c>
      <c r="G709" s="10">
        <v>183.7</v>
      </c>
      <c r="H709" s="10">
        <v>114</v>
      </c>
      <c r="I709" s="10">
        <v>149</v>
      </c>
      <c r="J709" s="10">
        <v>126</v>
      </c>
      <c r="K709" s="10">
        <v>103</v>
      </c>
      <c r="L709" s="10">
        <v>122</v>
      </c>
      <c r="M709" s="10">
        <v>23</v>
      </c>
      <c r="N709" s="10">
        <v>2069</v>
      </c>
      <c r="O709" s="10">
        <v>0.99</v>
      </c>
      <c r="P709" s="10">
        <v>2047</v>
      </c>
      <c r="Q709" s="10">
        <v>206</v>
      </c>
      <c r="R709" s="10">
        <v>71</v>
      </c>
      <c r="S709" s="10">
        <v>57</v>
      </c>
      <c r="T709" s="10">
        <v>477</v>
      </c>
      <c r="U709" s="10">
        <v>42</v>
      </c>
      <c r="V709" s="10">
        <v>223</v>
      </c>
      <c r="W709" s="10">
        <v>0.73</v>
      </c>
      <c r="X709" s="10">
        <v>177</v>
      </c>
      <c r="Y709" s="10">
        <v>168</v>
      </c>
      <c r="Z709" s="10">
        <v>300</v>
      </c>
      <c r="AA709" s="10">
        <v>3</v>
      </c>
      <c r="AB709" s="10">
        <v>4.8</v>
      </c>
      <c r="AC709" s="9" t="s">
        <v>188</v>
      </c>
      <c r="AD709" s="9" t="s">
        <v>169</v>
      </c>
      <c r="AE709" s="10"/>
      <c r="AF709" s="10"/>
      <c r="AG709" s="10"/>
    </row>
    <row r="710" spans="1:33">
      <c r="A710" s="7" t="s">
        <v>155</v>
      </c>
      <c r="B710" s="8" t="s">
        <v>561</v>
      </c>
      <c r="C710" s="9" t="s">
        <v>562</v>
      </c>
      <c r="D710" s="10">
        <v>178</v>
      </c>
      <c r="E710" s="9" t="s">
        <v>158</v>
      </c>
      <c r="F710" s="10">
        <v>178</v>
      </c>
      <c r="G710" s="10">
        <v>175.6</v>
      </c>
      <c r="H710" s="10">
        <v>122</v>
      </c>
      <c r="I710" s="10">
        <v>147</v>
      </c>
      <c r="J710" s="10">
        <v>113</v>
      </c>
      <c r="K710" s="10">
        <v>89</v>
      </c>
      <c r="L710" s="10">
        <v>110</v>
      </c>
      <c r="M710" s="10">
        <v>21.4</v>
      </c>
      <c r="N710" s="10">
        <v>1856</v>
      </c>
      <c r="O710" s="10">
        <v>0.92</v>
      </c>
      <c r="P710" s="10">
        <v>1716</v>
      </c>
      <c r="Q710" s="10">
        <v>194</v>
      </c>
      <c r="R710" s="10">
        <v>79</v>
      </c>
      <c r="S710" s="10">
        <v>50</v>
      </c>
      <c r="T710" s="10">
        <v>266</v>
      </c>
      <c r="U710" s="10">
        <v>49</v>
      </c>
      <c r="V710" s="10">
        <v>271</v>
      </c>
      <c r="W710" s="10">
        <v>0.97699999999999998</v>
      </c>
      <c r="X710" s="10">
        <v>136</v>
      </c>
      <c r="Y710" s="10">
        <v>148</v>
      </c>
      <c r="Z710" s="10">
        <v>130</v>
      </c>
      <c r="AA710" s="10">
        <v>4</v>
      </c>
      <c r="AB710" s="10">
        <v>0.3</v>
      </c>
      <c r="AC710" s="9" t="s">
        <v>184</v>
      </c>
      <c r="AD710" s="10"/>
      <c r="AE710" s="10"/>
      <c r="AF710" s="10"/>
      <c r="AG710" s="10"/>
    </row>
    <row r="711" spans="1:33">
      <c r="A711" s="7" t="s">
        <v>155</v>
      </c>
      <c r="B711" s="8" t="s">
        <v>1160</v>
      </c>
      <c r="C711" s="9" t="s">
        <v>906</v>
      </c>
      <c r="D711" s="10">
        <v>177</v>
      </c>
      <c r="E711" s="9" t="s">
        <v>158</v>
      </c>
      <c r="F711" s="10">
        <v>177</v>
      </c>
      <c r="G711" s="10">
        <v>177.5</v>
      </c>
      <c r="H711" s="10">
        <v>154</v>
      </c>
      <c r="I711" s="10">
        <v>165</v>
      </c>
      <c r="J711" s="10">
        <v>123</v>
      </c>
      <c r="K711" s="10">
        <v>78</v>
      </c>
      <c r="L711" s="10">
        <v>109</v>
      </c>
      <c r="M711" s="10">
        <v>17.7</v>
      </c>
      <c r="N711" s="10">
        <v>2146</v>
      </c>
      <c r="O711" s="10">
        <v>0.76</v>
      </c>
      <c r="P711" s="10">
        <v>1624</v>
      </c>
      <c r="Q711" s="10">
        <v>249</v>
      </c>
      <c r="R711" s="10">
        <v>174</v>
      </c>
      <c r="S711" s="10">
        <v>35</v>
      </c>
      <c r="T711" s="10">
        <v>166</v>
      </c>
      <c r="U711" s="10">
        <v>7</v>
      </c>
      <c r="V711" s="10">
        <v>73</v>
      </c>
      <c r="W711" s="10">
        <v>0.20399999999999999</v>
      </c>
      <c r="X711" s="10">
        <v>81</v>
      </c>
      <c r="Y711" s="10">
        <v>43</v>
      </c>
      <c r="Z711" s="10">
        <v>85</v>
      </c>
      <c r="AA711" s="10">
        <v>9</v>
      </c>
      <c r="AB711" s="10">
        <v>10.1</v>
      </c>
      <c r="AC711" s="9" t="s">
        <v>349</v>
      </c>
      <c r="AD711" s="10"/>
      <c r="AE711" s="10"/>
      <c r="AF711" s="10"/>
      <c r="AG711" s="10"/>
    </row>
    <row r="712" spans="1:33">
      <c r="A712" s="7" t="s">
        <v>155</v>
      </c>
      <c r="B712" s="8" t="s">
        <v>1160</v>
      </c>
      <c r="C712" s="9" t="s">
        <v>583</v>
      </c>
      <c r="D712" s="10">
        <v>156</v>
      </c>
      <c r="E712" s="9" t="s">
        <v>158</v>
      </c>
      <c r="F712" s="10">
        <v>156</v>
      </c>
      <c r="G712" s="10">
        <v>157</v>
      </c>
      <c r="H712" s="10">
        <v>131</v>
      </c>
      <c r="I712" s="10">
        <v>144</v>
      </c>
      <c r="J712" s="10">
        <v>124</v>
      </c>
      <c r="K712" s="10">
        <v>77</v>
      </c>
      <c r="L712" s="10">
        <v>111</v>
      </c>
      <c r="M712" s="10">
        <v>12.6</v>
      </c>
      <c r="N712" s="10">
        <v>1719</v>
      </c>
      <c r="O712" s="10">
        <v>0.84</v>
      </c>
      <c r="P712" s="10">
        <v>1451</v>
      </c>
      <c r="Q712" s="10">
        <v>151</v>
      </c>
      <c r="R712" s="10">
        <v>73</v>
      </c>
      <c r="S712" s="10">
        <v>29</v>
      </c>
      <c r="T712" s="10">
        <v>166</v>
      </c>
      <c r="U712" s="10">
        <v>9</v>
      </c>
      <c r="V712" s="10">
        <v>93</v>
      </c>
      <c r="W712" s="10">
        <v>0.30499999999999999</v>
      </c>
      <c r="X712" s="10">
        <v>82</v>
      </c>
      <c r="Y712" s="10">
        <v>44</v>
      </c>
      <c r="Z712" s="10">
        <v>84</v>
      </c>
      <c r="AA712" s="10">
        <v>7</v>
      </c>
      <c r="AB712" s="10">
        <v>10</v>
      </c>
      <c r="AC712" s="9" t="s">
        <v>349</v>
      </c>
      <c r="AD712" s="10"/>
      <c r="AE712" s="10"/>
      <c r="AF712" s="10"/>
      <c r="AG712" s="10"/>
    </row>
    <row r="713" spans="1:33">
      <c r="A713" s="7" t="s">
        <v>155</v>
      </c>
      <c r="B713" s="8" t="s">
        <v>1160</v>
      </c>
      <c r="C713" s="9" t="s">
        <v>583</v>
      </c>
      <c r="D713" s="10">
        <v>163</v>
      </c>
      <c r="E713" s="9" t="s">
        <v>158</v>
      </c>
      <c r="F713" s="10">
        <v>163</v>
      </c>
      <c r="G713" s="10">
        <v>163.6</v>
      </c>
      <c r="H713" s="10">
        <v>144</v>
      </c>
      <c r="I713" s="10">
        <v>151</v>
      </c>
      <c r="J713" s="10">
        <v>124</v>
      </c>
      <c r="K713" s="10">
        <v>77</v>
      </c>
      <c r="L713" s="10">
        <v>110</v>
      </c>
      <c r="M713" s="10">
        <v>14.1</v>
      </c>
      <c r="N713" s="10">
        <v>1784</v>
      </c>
      <c r="O713" s="10">
        <v>0.85</v>
      </c>
      <c r="P713" s="10">
        <v>1508</v>
      </c>
      <c r="Q713" s="10">
        <v>183</v>
      </c>
      <c r="R713" s="10">
        <v>90</v>
      </c>
      <c r="S713" s="10">
        <v>33</v>
      </c>
      <c r="T713" s="10">
        <v>129</v>
      </c>
      <c r="U713" s="10">
        <v>7</v>
      </c>
      <c r="V713" s="10">
        <v>63</v>
      </c>
      <c r="W713" s="10">
        <v>0.2</v>
      </c>
      <c r="X713" s="10">
        <v>80</v>
      </c>
      <c r="Y713" s="10">
        <v>41</v>
      </c>
      <c r="Z713" s="10">
        <v>48</v>
      </c>
      <c r="AA713" s="10">
        <v>10</v>
      </c>
      <c r="AB713" s="10">
        <v>10.4</v>
      </c>
      <c r="AC713" s="9" t="s">
        <v>349</v>
      </c>
      <c r="AD713" s="10"/>
      <c r="AE713" s="10"/>
      <c r="AF713" s="10"/>
      <c r="AG713" s="10"/>
    </row>
    <row r="714" spans="1:33">
      <c r="A714" s="7" t="s">
        <v>155</v>
      </c>
      <c r="B714" s="8" t="s">
        <v>1160</v>
      </c>
      <c r="C714" s="9" t="s">
        <v>583</v>
      </c>
      <c r="D714" s="10">
        <v>170</v>
      </c>
      <c r="E714" s="9" t="s">
        <v>158</v>
      </c>
      <c r="F714" s="10">
        <v>170</v>
      </c>
      <c r="G714" s="10">
        <v>170.7</v>
      </c>
      <c r="H714" s="10">
        <v>150</v>
      </c>
      <c r="I714" s="10">
        <v>159</v>
      </c>
      <c r="J714" s="10">
        <v>124</v>
      </c>
      <c r="K714" s="10">
        <v>77</v>
      </c>
      <c r="L714" s="10">
        <v>110</v>
      </c>
      <c r="M714" s="10">
        <v>15.4</v>
      </c>
      <c r="N714" s="10">
        <v>1835</v>
      </c>
      <c r="O714" s="10">
        <v>0.86</v>
      </c>
      <c r="P714" s="10">
        <v>1572</v>
      </c>
      <c r="Q714" s="10">
        <v>205</v>
      </c>
      <c r="R714" s="10">
        <v>93</v>
      </c>
      <c r="S714" s="10">
        <v>33</v>
      </c>
      <c r="T714" s="10">
        <v>144</v>
      </c>
      <c r="U714" s="10">
        <v>7</v>
      </c>
      <c r="V714" s="10">
        <v>65</v>
      </c>
      <c r="W714" s="10">
        <v>0.217</v>
      </c>
      <c r="X714" s="10">
        <v>76</v>
      </c>
      <c r="Y714" s="10">
        <v>44</v>
      </c>
      <c r="Z714" s="10">
        <v>68</v>
      </c>
      <c r="AA714" s="10">
        <v>11</v>
      </c>
      <c r="AB714" s="10">
        <v>10.7</v>
      </c>
      <c r="AC714" s="9" t="s">
        <v>349</v>
      </c>
      <c r="AD714" s="10"/>
      <c r="AE714" s="10"/>
      <c r="AF714" s="10"/>
      <c r="AG714" s="10"/>
    </row>
    <row r="715" spans="1:33">
      <c r="A715" s="7" t="s">
        <v>155</v>
      </c>
      <c r="B715" s="8" t="s">
        <v>1160</v>
      </c>
      <c r="C715" s="9" t="s">
        <v>583</v>
      </c>
      <c r="D715" s="10">
        <v>177</v>
      </c>
      <c r="E715" s="9" t="s">
        <v>158</v>
      </c>
      <c r="F715" s="10">
        <v>177</v>
      </c>
      <c r="G715" s="10">
        <v>177.8</v>
      </c>
      <c r="H715" s="10">
        <v>159</v>
      </c>
      <c r="I715" s="10">
        <v>166</v>
      </c>
      <c r="J715" s="10">
        <v>124</v>
      </c>
      <c r="K715" s="10">
        <v>77</v>
      </c>
      <c r="L715" s="10">
        <v>110</v>
      </c>
      <c r="M715" s="10">
        <v>16.899999999999999</v>
      </c>
      <c r="N715" s="10">
        <v>2051</v>
      </c>
      <c r="O715" s="10">
        <v>0.79</v>
      </c>
      <c r="P715" s="10">
        <v>1627</v>
      </c>
      <c r="Q715" s="10">
        <v>230</v>
      </c>
      <c r="R715" s="10">
        <v>102</v>
      </c>
      <c r="S715" s="10">
        <v>33</v>
      </c>
      <c r="T715" s="10">
        <v>135</v>
      </c>
      <c r="U715" s="10">
        <v>6</v>
      </c>
      <c r="V715" s="10">
        <v>57</v>
      </c>
      <c r="W715" s="10">
        <v>0.191</v>
      </c>
      <c r="X715" s="10">
        <v>81</v>
      </c>
      <c r="Y715" s="10">
        <v>42</v>
      </c>
      <c r="Z715" s="10">
        <v>54</v>
      </c>
      <c r="AA715" s="10">
        <v>12</v>
      </c>
      <c r="AB715" s="10">
        <v>10.4</v>
      </c>
      <c r="AC715" s="9" t="s">
        <v>349</v>
      </c>
      <c r="AD715" s="10"/>
      <c r="AE715" s="10"/>
      <c r="AF715" s="10"/>
      <c r="AG715" s="10"/>
    </row>
    <row r="716" spans="1:33">
      <c r="A716" s="7" t="s">
        <v>155</v>
      </c>
      <c r="B716" s="8" t="s">
        <v>1160</v>
      </c>
      <c r="C716" s="9" t="s">
        <v>901</v>
      </c>
      <c r="D716" s="10">
        <v>170</v>
      </c>
      <c r="E716" s="9" t="s">
        <v>158</v>
      </c>
      <c r="F716" s="10">
        <v>170</v>
      </c>
      <c r="G716" s="10">
        <v>170.5</v>
      </c>
      <c r="H716" s="10">
        <v>149</v>
      </c>
      <c r="I716" s="10">
        <v>159</v>
      </c>
      <c r="J716" s="10">
        <v>125</v>
      </c>
      <c r="K716" s="10">
        <v>81</v>
      </c>
      <c r="L716" s="10">
        <v>111</v>
      </c>
      <c r="M716" s="10">
        <v>17</v>
      </c>
      <c r="N716" s="10">
        <v>2122</v>
      </c>
      <c r="O716" s="10">
        <v>0.76</v>
      </c>
      <c r="P716" s="10">
        <v>1613</v>
      </c>
      <c r="Q716" s="10">
        <v>233</v>
      </c>
      <c r="R716" s="10">
        <v>163</v>
      </c>
      <c r="S716" s="10">
        <v>32</v>
      </c>
      <c r="T716" s="10">
        <v>144</v>
      </c>
      <c r="U716" s="10">
        <v>7</v>
      </c>
      <c r="V716" s="10">
        <v>68</v>
      </c>
      <c r="W716" s="10">
        <v>0.217</v>
      </c>
      <c r="X716" s="10">
        <v>74</v>
      </c>
      <c r="Y716" s="10">
        <v>40</v>
      </c>
      <c r="Z716" s="10">
        <v>70</v>
      </c>
      <c r="AA716" s="10">
        <v>9</v>
      </c>
      <c r="AB716" s="10">
        <v>10.7</v>
      </c>
      <c r="AC716" s="9" t="s">
        <v>349</v>
      </c>
      <c r="AD716" s="9" t="s">
        <v>188</v>
      </c>
      <c r="AE716" s="10"/>
      <c r="AF716" s="10"/>
      <c r="AG716" s="10"/>
    </row>
    <row r="717" spans="1:33">
      <c r="A717" s="7" t="s">
        <v>155</v>
      </c>
      <c r="B717" s="8" t="s">
        <v>1160</v>
      </c>
      <c r="C717" s="9" t="s">
        <v>901</v>
      </c>
      <c r="D717" s="10">
        <v>177</v>
      </c>
      <c r="E717" s="9" t="s">
        <v>158</v>
      </c>
      <c r="F717" s="10">
        <v>177</v>
      </c>
      <c r="G717" s="10">
        <v>177.6</v>
      </c>
      <c r="H717" s="10">
        <v>147</v>
      </c>
      <c r="I717" s="10">
        <v>165</v>
      </c>
      <c r="J717" s="10">
        <v>124</v>
      </c>
      <c r="K717" s="10">
        <v>81</v>
      </c>
      <c r="L717" s="10">
        <v>111</v>
      </c>
      <c r="M717" s="10">
        <v>18.399999999999999</v>
      </c>
      <c r="N717" s="10">
        <v>2209</v>
      </c>
      <c r="O717" s="10">
        <v>0.76</v>
      </c>
      <c r="P717" s="10">
        <v>1678</v>
      </c>
      <c r="Q717" s="10">
        <v>258</v>
      </c>
      <c r="R717" s="10">
        <v>188</v>
      </c>
      <c r="S717" s="10">
        <v>34</v>
      </c>
      <c r="T717" s="10">
        <v>176</v>
      </c>
      <c r="U717" s="10">
        <v>9</v>
      </c>
      <c r="V717" s="10">
        <v>128</v>
      </c>
      <c r="W717" s="10">
        <v>0.253</v>
      </c>
      <c r="X717" s="10">
        <v>81</v>
      </c>
      <c r="Y717" s="10">
        <v>44</v>
      </c>
      <c r="Z717" s="10">
        <v>95</v>
      </c>
      <c r="AA717" s="10">
        <v>8</v>
      </c>
      <c r="AB717" s="10">
        <v>11.5</v>
      </c>
      <c r="AC717" s="9" t="s">
        <v>188</v>
      </c>
      <c r="AD717" s="10"/>
      <c r="AE717" s="10"/>
      <c r="AF717" s="10"/>
      <c r="AG717" s="10"/>
    </row>
    <row r="718" spans="1:33">
      <c r="A718" s="7" t="s">
        <v>155</v>
      </c>
      <c r="B718" s="8" t="s">
        <v>1160</v>
      </c>
      <c r="C718" s="9" t="s">
        <v>901</v>
      </c>
      <c r="D718" s="10">
        <v>184</v>
      </c>
      <c r="E718" s="9" t="s">
        <v>158</v>
      </c>
      <c r="F718" s="10">
        <v>184</v>
      </c>
      <c r="G718" s="10">
        <v>184.5</v>
      </c>
      <c r="H718" s="10">
        <v>152</v>
      </c>
      <c r="I718" s="10">
        <v>173</v>
      </c>
      <c r="J718" s="10">
        <v>125</v>
      </c>
      <c r="K718" s="10">
        <v>81</v>
      </c>
      <c r="L718" s="10">
        <v>111</v>
      </c>
      <c r="M718" s="10">
        <v>20.3</v>
      </c>
      <c r="N718" s="10">
        <v>2322</v>
      </c>
      <c r="O718" s="10">
        <v>0.75</v>
      </c>
      <c r="P718" s="10">
        <v>1743</v>
      </c>
      <c r="Q718" s="10">
        <v>301</v>
      </c>
      <c r="R718" s="10">
        <v>203</v>
      </c>
      <c r="S718" s="10">
        <v>35</v>
      </c>
      <c r="T718" s="10">
        <v>160</v>
      </c>
      <c r="U718" s="10">
        <v>8</v>
      </c>
      <c r="V718" s="10">
        <v>162</v>
      </c>
      <c r="W718" s="10">
        <v>0.23300000000000001</v>
      </c>
      <c r="X718" s="10">
        <v>74</v>
      </c>
      <c r="Y718" s="10">
        <v>40</v>
      </c>
      <c r="Z718" s="10">
        <v>86</v>
      </c>
      <c r="AA718" s="10">
        <v>10</v>
      </c>
      <c r="AB718" s="10">
        <v>11.4</v>
      </c>
      <c r="AC718" s="9" t="s">
        <v>188</v>
      </c>
      <c r="AD718" s="10"/>
      <c r="AE718" s="10"/>
      <c r="AF718" s="10"/>
      <c r="AG718" s="10"/>
    </row>
    <row r="719" spans="1:33">
      <c r="A719" s="7" t="s">
        <v>155</v>
      </c>
      <c r="B719" s="8" t="s">
        <v>1160</v>
      </c>
      <c r="C719" s="9" t="s">
        <v>907</v>
      </c>
      <c r="D719" s="10">
        <v>175</v>
      </c>
      <c r="E719" s="9" t="s">
        <v>158</v>
      </c>
      <c r="F719" s="10">
        <v>175</v>
      </c>
      <c r="G719" s="10">
        <v>175.6</v>
      </c>
      <c r="H719" s="10">
        <v>160</v>
      </c>
      <c r="I719" s="10">
        <v>165</v>
      </c>
      <c r="J719" s="10">
        <v>118</v>
      </c>
      <c r="K719" s="10">
        <v>73</v>
      </c>
      <c r="L719" s="10">
        <v>103</v>
      </c>
      <c r="M719" s="10">
        <v>18</v>
      </c>
      <c r="N719" s="10">
        <v>2280</v>
      </c>
      <c r="O719" s="10">
        <v>0.67</v>
      </c>
      <c r="P719" s="10">
        <v>1528</v>
      </c>
      <c r="Q719" s="10">
        <v>230</v>
      </c>
      <c r="R719" s="10">
        <v>153</v>
      </c>
      <c r="S719" s="10">
        <v>24</v>
      </c>
      <c r="T719" s="10">
        <v>110</v>
      </c>
      <c r="U719" s="10">
        <v>3</v>
      </c>
      <c r="V719" s="10">
        <v>43</v>
      </c>
      <c r="W719" s="10">
        <v>0.125</v>
      </c>
      <c r="X719" s="10">
        <v>73</v>
      </c>
      <c r="Y719" s="10">
        <v>30</v>
      </c>
      <c r="Z719" s="10">
        <v>37</v>
      </c>
      <c r="AA719" s="10">
        <v>12</v>
      </c>
      <c r="AB719" s="10">
        <v>12.7</v>
      </c>
      <c r="AC719" s="9" t="s">
        <v>349</v>
      </c>
      <c r="AD719" s="10"/>
      <c r="AE719" s="10"/>
      <c r="AF719" s="10"/>
      <c r="AG719" s="10"/>
    </row>
    <row r="720" spans="1:33">
      <c r="A720" s="7" t="s">
        <v>155</v>
      </c>
      <c r="B720" s="8" t="s">
        <v>1160</v>
      </c>
      <c r="C720" s="9" t="s">
        <v>848</v>
      </c>
      <c r="D720" s="10">
        <v>160</v>
      </c>
      <c r="E720" s="9" t="s">
        <v>163</v>
      </c>
      <c r="F720" s="10">
        <v>160</v>
      </c>
      <c r="G720" s="10">
        <v>160.69999999999999</v>
      </c>
      <c r="H720" s="10">
        <v>143</v>
      </c>
      <c r="I720" s="10">
        <v>150</v>
      </c>
      <c r="J720" s="10">
        <v>115</v>
      </c>
      <c r="K720" s="10">
        <v>71</v>
      </c>
      <c r="L720" s="10">
        <v>103</v>
      </c>
      <c r="M720" s="10">
        <v>14.7</v>
      </c>
      <c r="N720" s="10">
        <v>1869</v>
      </c>
      <c r="O720" s="10">
        <v>0.73</v>
      </c>
      <c r="P720" s="10">
        <v>1368</v>
      </c>
      <c r="Q720" s="10">
        <v>188</v>
      </c>
      <c r="R720" s="10">
        <v>119</v>
      </c>
      <c r="S720" s="10">
        <v>31</v>
      </c>
      <c r="T720" s="10">
        <v>138</v>
      </c>
      <c r="U720" s="10">
        <v>3</v>
      </c>
      <c r="V720" s="10">
        <v>42</v>
      </c>
      <c r="W720" s="10">
        <v>9.0999999999999998E-2</v>
      </c>
      <c r="X720" s="10">
        <v>81</v>
      </c>
      <c r="Y720" s="10">
        <v>29</v>
      </c>
      <c r="Z720" s="10">
        <v>56</v>
      </c>
      <c r="AA720" s="10">
        <v>12</v>
      </c>
      <c r="AB720" s="10">
        <v>10.4</v>
      </c>
      <c r="AC720" s="9" t="s">
        <v>349</v>
      </c>
      <c r="AD720" s="10"/>
      <c r="AE720" s="10"/>
      <c r="AF720" s="10"/>
      <c r="AG720" s="10"/>
    </row>
    <row r="721" spans="1:33">
      <c r="A721" s="7" t="s">
        <v>155</v>
      </c>
      <c r="B721" s="8" t="s">
        <v>1160</v>
      </c>
      <c r="C721" s="9" t="s">
        <v>569</v>
      </c>
      <c r="D721" s="10">
        <v>159</v>
      </c>
      <c r="E721" s="9" t="s">
        <v>163</v>
      </c>
      <c r="F721" s="10">
        <v>159</v>
      </c>
      <c r="G721" s="10">
        <v>159.69999999999999</v>
      </c>
      <c r="H721" s="10">
        <v>111</v>
      </c>
      <c r="I721" s="10">
        <v>129</v>
      </c>
      <c r="J721" s="10">
        <v>117</v>
      </c>
      <c r="K721" s="10">
        <v>88</v>
      </c>
      <c r="L721" s="10">
        <v>111</v>
      </c>
      <c r="M721" s="10">
        <v>14.4</v>
      </c>
      <c r="N721" s="10">
        <v>1705</v>
      </c>
      <c r="O721" s="10">
        <v>0.92</v>
      </c>
      <c r="P721" s="10">
        <v>1573</v>
      </c>
      <c r="Q721" s="10">
        <v>173</v>
      </c>
      <c r="R721" s="10">
        <v>92</v>
      </c>
      <c r="S721" s="10">
        <v>50</v>
      </c>
      <c r="T721" s="10">
        <v>233</v>
      </c>
      <c r="U721" s="10">
        <v>47</v>
      </c>
      <c r="V721" s="10">
        <v>257</v>
      </c>
      <c r="W721" s="10">
        <v>0.93600000000000005</v>
      </c>
      <c r="X721" s="10">
        <v>156</v>
      </c>
      <c r="Y721" s="10">
        <v>154</v>
      </c>
      <c r="Z721" s="10">
        <v>77</v>
      </c>
      <c r="AA721" s="10">
        <v>5</v>
      </c>
      <c r="AB721" s="10">
        <v>3.5</v>
      </c>
      <c r="AC721" s="9" t="s">
        <v>184</v>
      </c>
      <c r="AD721" s="10"/>
      <c r="AE721" s="10"/>
      <c r="AF721" s="10"/>
      <c r="AG721" s="10"/>
    </row>
    <row r="722" spans="1:33">
      <c r="A722" s="7" t="s">
        <v>155</v>
      </c>
      <c r="B722" s="8" t="s">
        <v>1160</v>
      </c>
      <c r="C722" s="9" t="s">
        <v>569</v>
      </c>
      <c r="D722" s="10">
        <v>169</v>
      </c>
      <c r="E722" s="9" t="s">
        <v>163</v>
      </c>
      <c r="F722" s="10">
        <v>169</v>
      </c>
      <c r="G722" s="10">
        <v>169.8</v>
      </c>
      <c r="H722" s="10">
        <v>128</v>
      </c>
      <c r="I722" s="10">
        <v>139</v>
      </c>
      <c r="J722" s="10">
        <v>116</v>
      </c>
      <c r="K722" s="10">
        <v>87</v>
      </c>
      <c r="L722" s="10">
        <v>110</v>
      </c>
      <c r="M722" s="10">
        <v>17</v>
      </c>
      <c r="N722" s="10">
        <v>1786</v>
      </c>
      <c r="O722" s="10">
        <v>0.93</v>
      </c>
      <c r="P722" s="10">
        <v>1659</v>
      </c>
      <c r="Q722" s="10">
        <v>173</v>
      </c>
      <c r="R722" s="10">
        <v>78</v>
      </c>
      <c r="S722" s="10">
        <v>49</v>
      </c>
      <c r="T722" s="10">
        <v>209</v>
      </c>
      <c r="U722" s="10">
        <v>48</v>
      </c>
      <c r="V722" s="10">
        <v>210</v>
      </c>
      <c r="W722" s="10">
        <v>0.97199999999999998</v>
      </c>
      <c r="X722" s="10">
        <v>160</v>
      </c>
      <c r="Y722" s="10">
        <v>149</v>
      </c>
      <c r="Z722" s="10">
        <v>49</v>
      </c>
      <c r="AA722" s="10">
        <v>6</v>
      </c>
      <c r="AB722" s="10">
        <v>3.8</v>
      </c>
      <c r="AC722" s="9" t="s">
        <v>184</v>
      </c>
      <c r="AD722" s="10"/>
      <c r="AE722" s="10"/>
      <c r="AF722" s="10"/>
      <c r="AG722" s="10"/>
    </row>
    <row r="723" spans="1:33">
      <c r="A723" s="7" t="s">
        <v>155</v>
      </c>
      <c r="B723" s="8" t="s">
        <v>1160</v>
      </c>
      <c r="C723" s="9" t="s">
        <v>723</v>
      </c>
      <c r="D723" s="10">
        <v>159</v>
      </c>
      <c r="E723" s="9" t="s">
        <v>163</v>
      </c>
      <c r="F723" s="10">
        <v>159</v>
      </c>
      <c r="G723" s="10">
        <v>159.80000000000001</v>
      </c>
      <c r="H723" s="10">
        <v>101</v>
      </c>
      <c r="I723" s="10">
        <v>121</v>
      </c>
      <c r="J723" s="10">
        <v>139</v>
      </c>
      <c r="K723" s="10">
        <v>105</v>
      </c>
      <c r="L723" s="10">
        <v>123</v>
      </c>
      <c r="M723" s="10">
        <v>13.5</v>
      </c>
      <c r="N723" s="10">
        <v>1535</v>
      </c>
      <c r="O723" s="10">
        <v>1.2</v>
      </c>
      <c r="P723" s="10">
        <v>1847</v>
      </c>
      <c r="Q723" s="10">
        <v>142</v>
      </c>
      <c r="R723" s="10">
        <v>67</v>
      </c>
      <c r="S723" s="10">
        <v>47</v>
      </c>
      <c r="T723" s="10">
        <v>329</v>
      </c>
      <c r="U723" s="10">
        <v>25</v>
      </c>
      <c r="V723" s="10">
        <v>263</v>
      </c>
      <c r="W723" s="10">
        <v>0.53700000000000003</v>
      </c>
      <c r="X723" s="10">
        <v>190</v>
      </c>
      <c r="Y723" s="10">
        <v>196</v>
      </c>
      <c r="Z723" s="10">
        <v>139</v>
      </c>
      <c r="AA723" s="10">
        <v>7</v>
      </c>
      <c r="AB723" s="10">
        <v>9.1999999999999993</v>
      </c>
      <c r="AC723" s="9" t="s">
        <v>169</v>
      </c>
      <c r="AD723" s="9" t="s">
        <v>185</v>
      </c>
      <c r="AE723" s="10"/>
      <c r="AF723" s="10"/>
      <c r="AG723" s="10"/>
    </row>
    <row r="724" spans="1:33">
      <c r="A724" s="7" t="s">
        <v>155</v>
      </c>
      <c r="B724" s="8" t="s">
        <v>1160</v>
      </c>
      <c r="C724" s="9" t="s">
        <v>723</v>
      </c>
      <c r="D724" s="10">
        <v>167</v>
      </c>
      <c r="E724" s="9" t="s">
        <v>163</v>
      </c>
      <c r="F724" s="10">
        <v>167</v>
      </c>
      <c r="G724" s="10">
        <v>167.8</v>
      </c>
      <c r="H724" s="10">
        <v>104</v>
      </c>
      <c r="I724" s="10">
        <v>129</v>
      </c>
      <c r="J724" s="10">
        <v>138</v>
      </c>
      <c r="K724" s="10">
        <v>105</v>
      </c>
      <c r="L724" s="10">
        <v>123</v>
      </c>
      <c r="M724" s="10">
        <v>15.2</v>
      </c>
      <c r="N724" s="10">
        <v>1686</v>
      </c>
      <c r="O724" s="10">
        <v>1.1499999999999999</v>
      </c>
      <c r="P724" s="10">
        <v>1940</v>
      </c>
      <c r="Q724" s="10">
        <v>160</v>
      </c>
      <c r="R724" s="10">
        <v>75</v>
      </c>
      <c r="S724" s="10">
        <v>46</v>
      </c>
      <c r="T724" s="10">
        <v>379</v>
      </c>
      <c r="U724" s="10">
        <v>22</v>
      </c>
      <c r="V724" s="10">
        <v>255</v>
      </c>
      <c r="W724" s="10">
        <v>0.48099999999999998</v>
      </c>
      <c r="X724" s="10">
        <v>190</v>
      </c>
      <c r="Y724" s="10">
        <v>195</v>
      </c>
      <c r="Z724" s="10">
        <v>189</v>
      </c>
      <c r="AA724" s="10">
        <v>6</v>
      </c>
      <c r="AB724" s="10">
        <v>9.9</v>
      </c>
      <c r="AC724" s="9" t="s">
        <v>169</v>
      </c>
      <c r="AD724" s="9" t="s">
        <v>185</v>
      </c>
      <c r="AE724" s="10"/>
      <c r="AF724" s="10"/>
      <c r="AG724" s="10"/>
    </row>
    <row r="725" spans="1:33">
      <c r="A725" s="7" t="s">
        <v>155</v>
      </c>
      <c r="B725" s="8" t="s">
        <v>1160</v>
      </c>
      <c r="C725" s="9" t="s">
        <v>405</v>
      </c>
      <c r="D725" s="10">
        <v>172</v>
      </c>
      <c r="E725" s="9" t="s">
        <v>158</v>
      </c>
      <c r="F725" s="10">
        <v>172</v>
      </c>
      <c r="G725" s="10">
        <v>172.2</v>
      </c>
      <c r="H725" s="10">
        <v>100</v>
      </c>
      <c r="I725" s="10">
        <v>137</v>
      </c>
      <c r="J725" s="10">
        <v>136</v>
      </c>
      <c r="K725" s="10">
        <v>107</v>
      </c>
      <c r="L725" s="10">
        <v>124</v>
      </c>
      <c r="M725" s="10">
        <v>19.3</v>
      </c>
      <c r="N725" s="10">
        <v>1923</v>
      </c>
      <c r="O725" s="10">
        <v>1.04</v>
      </c>
      <c r="P725" s="10">
        <v>1999</v>
      </c>
      <c r="Q725" s="10">
        <v>182</v>
      </c>
      <c r="R725" s="10">
        <v>120</v>
      </c>
      <c r="S725" s="10">
        <v>48</v>
      </c>
      <c r="T725" s="10">
        <v>402</v>
      </c>
      <c r="U725" s="10">
        <v>25</v>
      </c>
      <c r="V725" s="10">
        <v>315</v>
      </c>
      <c r="W725" s="10">
        <v>0.52100000000000002</v>
      </c>
      <c r="X725" s="10">
        <v>182</v>
      </c>
      <c r="Y725" s="10">
        <v>169</v>
      </c>
      <c r="Z725" s="10">
        <v>220</v>
      </c>
      <c r="AA725" s="10">
        <v>4</v>
      </c>
      <c r="AB725" s="10">
        <v>9.3000000000000007</v>
      </c>
      <c r="AC725" s="9" t="s">
        <v>169</v>
      </c>
      <c r="AD725" s="10"/>
      <c r="AE725" s="10"/>
      <c r="AF725" s="10"/>
      <c r="AG725" s="10"/>
    </row>
    <row r="726" spans="1:33">
      <c r="A726" s="7" t="s">
        <v>155</v>
      </c>
      <c r="B726" s="8" t="s">
        <v>1160</v>
      </c>
      <c r="C726" s="9" t="s">
        <v>405</v>
      </c>
      <c r="D726" s="10">
        <v>179</v>
      </c>
      <c r="E726" s="9" t="s">
        <v>158</v>
      </c>
      <c r="F726" s="10">
        <v>179</v>
      </c>
      <c r="G726" s="10">
        <v>179.1</v>
      </c>
      <c r="H726" s="10">
        <v>111</v>
      </c>
      <c r="I726" s="10">
        <v>143</v>
      </c>
      <c r="J726" s="10">
        <v>136</v>
      </c>
      <c r="K726" s="10">
        <v>107</v>
      </c>
      <c r="L726" s="10">
        <v>124</v>
      </c>
      <c r="M726" s="10">
        <v>21</v>
      </c>
      <c r="N726" s="10">
        <v>1958</v>
      </c>
      <c r="O726" s="10">
        <v>1.06</v>
      </c>
      <c r="P726" s="10">
        <v>2083</v>
      </c>
      <c r="Q726" s="10">
        <v>210</v>
      </c>
      <c r="R726" s="10">
        <v>142</v>
      </c>
      <c r="S726" s="10">
        <v>47</v>
      </c>
      <c r="T726" s="10">
        <v>398</v>
      </c>
      <c r="U726" s="10">
        <v>24</v>
      </c>
      <c r="V726" s="10">
        <v>279</v>
      </c>
      <c r="W726" s="10">
        <v>0.52300000000000002</v>
      </c>
      <c r="X726" s="10">
        <v>183</v>
      </c>
      <c r="Y726" s="10">
        <v>175</v>
      </c>
      <c r="Z726" s="10">
        <v>216</v>
      </c>
      <c r="AA726" s="10">
        <v>5</v>
      </c>
      <c r="AB726" s="10">
        <v>10</v>
      </c>
      <c r="AC726" s="9" t="s">
        <v>169</v>
      </c>
      <c r="AD726" s="9" t="s">
        <v>185</v>
      </c>
      <c r="AE726" s="10"/>
      <c r="AF726" s="10"/>
      <c r="AG726" s="10"/>
    </row>
    <row r="727" spans="1:33">
      <c r="A727" s="7" t="s">
        <v>155</v>
      </c>
      <c r="B727" s="8" t="s">
        <v>1160</v>
      </c>
      <c r="C727" s="9" t="s">
        <v>405</v>
      </c>
      <c r="D727" s="10">
        <v>186</v>
      </c>
      <c r="E727" s="9" t="s">
        <v>158</v>
      </c>
      <c r="F727" s="10">
        <v>186</v>
      </c>
      <c r="G727" s="10">
        <v>185.9</v>
      </c>
      <c r="H727" s="10">
        <v>117</v>
      </c>
      <c r="I727" s="10">
        <v>150</v>
      </c>
      <c r="J727" s="10">
        <v>136</v>
      </c>
      <c r="K727" s="10">
        <v>107</v>
      </c>
      <c r="L727" s="10">
        <v>124</v>
      </c>
      <c r="M727" s="10">
        <v>23.1</v>
      </c>
      <c r="N727" s="10">
        <v>2141</v>
      </c>
      <c r="O727" s="10">
        <v>1.01</v>
      </c>
      <c r="P727" s="10">
        <v>2160</v>
      </c>
      <c r="Q727" s="10">
        <v>236</v>
      </c>
      <c r="R727" s="10">
        <v>172</v>
      </c>
      <c r="S727" s="10">
        <v>49</v>
      </c>
      <c r="T727" s="10">
        <v>408</v>
      </c>
      <c r="U727" s="10">
        <v>24</v>
      </c>
      <c r="V727" s="10">
        <v>279</v>
      </c>
      <c r="W727" s="10">
        <v>0.48799999999999999</v>
      </c>
      <c r="X727" s="10">
        <v>182</v>
      </c>
      <c r="Y727" s="10">
        <v>180</v>
      </c>
      <c r="Z727" s="10">
        <v>225</v>
      </c>
      <c r="AA727" s="10">
        <v>5</v>
      </c>
      <c r="AB727" s="10">
        <v>10.5</v>
      </c>
      <c r="AC727" s="9" t="s">
        <v>169</v>
      </c>
      <c r="AD727" s="10"/>
      <c r="AE727" s="10"/>
      <c r="AF727" s="10"/>
      <c r="AG727" s="10"/>
    </row>
    <row r="728" spans="1:33">
      <c r="A728" s="7" t="s">
        <v>155</v>
      </c>
      <c r="B728" s="8" t="s">
        <v>1160</v>
      </c>
      <c r="C728" s="9" t="s">
        <v>405</v>
      </c>
      <c r="D728" s="10">
        <v>193</v>
      </c>
      <c r="E728" s="9" t="s">
        <v>158</v>
      </c>
      <c r="F728" s="10">
        <v>193</v>
      </c>
      <c r="G728" s="10">
        <v>193</v>
      </c>
      <c r="H728" s="10">
        <v>123</v>
      </c>
      <c r="I728" s="10">
        <v>156</v>
      </c>
      <c r="J728" s="10">
        <v>136</v>
      </c>
      <c r="K728" s="10">
        <v>107</v>
      </c>
      <c r="L728" s="10">
        <v>125</v>
      </c>
      <c r="M728" s="10">
        <v>24.9</v>
      </c>
      <c r="N728" s="10">
        <v>2265</v>
      </c>
      <c r="O728" s="10">
        <v>0.99</v>
      </c>
      <c r="P728" s="10">
        <v>2238</v>
      </c>
      <c r="Q728" s="10">
        <v>280</v>
      </c>
      <c r="R728" s="10">
        <v>196</v>
      </c>
      <c r="S728" s="10">
        <v>48</v>
      </c>
      <c r="T728" s="10">
        <v>399</v>
      </c>
      <c r="U728" s="10">
        <v>24</v>
      </c>
      <c r="V728" s="10">
        <v>302</v>
      </c>
      <c r="W728" s="10">
        <v>0.49099999999999999</v>
      </c>
      <c r="X728" s="10">
        <v>181</v>
      </c>
      <c r="Y728" s="10">
        <v>184</v>
      </c>
      <c r="Z728" s="10">
        <v>217</v>
      </c>
      <c r="AA728" s="10">
        <v>6</v>
      </c>
      <c r="AB728" s="10">
        <v>11</v>
      </c>
      <c r="AC728" s="9" t="s">
        <v>169</v>
      </c>
      <c r="AD728" s="10"/>
      <c r="AE728" s="10"/>
      <c r="AF728" s="10"/>
      <c r="AG728" s="10"/>
    </row>
    <row r="729" spans="1:33">
      <c r="A729" s="7" t="s">
        <v>155</v>
      </c>
      <c r="B729" s="8" t="s">
        <v>1160</v>
      </c>
      <c r="C729" s="9" t="s">
        <v>402</v>
      </c>
      <c r="D729" s="10">
        <v>165</v>
      </c>
      <c r="E729" s="9" t="s">
        <v>163</v>
      </c>
      <c r="F729" s="10">
        <v>165</v>
      </c>
      <c r="G729" s="10">
        <v>165.3</v>
      </c>
      <c r="H729" s="10">
        <v>97</v>
      </c>
      <c r="I729" s="10">
        <v>125</v>
      </c>
      <c r="J729" s="10">
        <v>138</v>
      </c>
      <c r="K729" s="10">
        <v>114</v>
      </c>
      <c r="L729" s="10">
        <v>128</v>
      </c>
      <c r="M729" s="10">
        <v>19</v>
      </c>
      <c r="N729" s="10">
        <v>1640</v>
      </c>
      <c r="O729" s="10">
        <v>1.22</v>
      </c>
      <c r="P729" s="10">
        <v>1993</v>
      </c>
      <c r="Q729" s="10">
        <v>142</v>
      </c>
      <c r="R729" s="10">
        <v>77</v>
      </c>
      <c r="S729" s="10">
        <v>52</v>
      </c>
      <c r="T729" s="10">
        <v>431</v>
      </c>
      <c r="U729" s="10">
        <v>23</v>
      </c>
      <c r="V729" s="10">
        <v>253</v>
      </c>
      <c r="W729" s="10">
        <v>0.435</v>
      </c>
      <c r="X729" s="10">
        <v>203</v>
      </c>
      <c r="Y729" s="10">
        <v>196</v>
      </c>
      <c r="Z729" s="10">
        <v>228</v>
      </c>
      <c r="AA729" s="10">
        <v>5</v>
      </c>
      <c r="AB729" s="10">
        <v>10.3</v>
      </c>
      <c r="AC729" s="9" t="s">
        <v>169</v>
      </c>
      <c r="AD729" s="9" t="s">
        <v>185</v>
      </c>
      <c r="AE729" s="10"/>
      <c r="AF729" s="10"/>
      <c r="AG729" s="10"/>
    </row>
    <row r="730" spans="1:33">
      <c r="A730" s="7" t="s">
        <v>155</v>
      </c>
      <c r="B730" s="8" t="s">
        <v>1160</v>
      </c>
      <c r="C730" s="9" t="s">
        <v>402</v>
      </c>
      <c r="D730" s="10">
        <v>172</v>
      </c>
      <c r="E730" s="9" t="s">
        <v>163</v>
      </c>
      <c r="F730" s="10">
        <v>172</v>
      </c>
      <c r="G730" s="10">
        <v>172.2</v>
      </c>
      <c r="H730" s="10">
        <v>101</v>
      </c>
      <c r="I730" s="10">
        <v>131</v>
      </c>
      <c r="J730" s="10">
        <v>139</v>
      </c>
      <c r="K730" s="10">
        <v>114</v>
      </c>
      <c r="L730" s="10">
        <v>128</v>
      </c>
      <c r="M730" s="10">
        <v>20.9</v>
      </c>
      <c r="N730" s="10">
        <v>1735</v>
      </c>
      <c r="O730" s="10">
        <v>1.2</v>
      </c>
      <c r="P730" s="10">
        <v>2078</v>
      </c>
      <c r="Q730" s="10">
        <v>166</v>
      </c>
      <c r="R730" s="10">
        <v>94</v>
      </c>
      <c r="S730" s="10">
        <v>55</v>
      </c>
      <c r="T730" s="10">
        <v>411</v>
      </c>
      <c r="U730" s="10">
        <v>21</v>
      </c>
      <c r="V730" s="10">
        <v>302</v>
      </c>
      <c r="W730" s="10">
        <v>0.39</v>
      </c>
      <c r="X730" s="10">
        <v>213</v>
      </c>
      <c r="Y730" s="10">
        <v>198</v>
      </c>
      <c r="Z730" s="10">
        <v>199</v>
      </c>
      <c r="AA730" s="10">
        <v>5</v>
      </c>
      <c r="AB730" s="10">
        <v>10.5</v>
      </c>
      <c r="AC730" s="9" t="s">
        <v>169</v>
      </c>
      <c r="AD730" s="9" t="s">
        <v>178</v>
      </c>
      <c r="AE730" s="9" t="s">
        <v>185</v>
      </c>
      <c r="AF730" s="10"/>
      <c r="AG730" s="10"/>
    </row>
    <row r="731" spans="1:33">
      <c r="A731" s="7" t="s">
        <v>155</v>
      </c>
      <c r="B731" s="8" t="s">
        <v>1160</v>
      </c>
      <c r="C731" s="9" t="s">
        <v>367</v>
      </c>
      <c r="D731" s="10">
        <v>179</v>
      </c>
      <c r="E731" s="9" t="s">
        <v>158</v>
      </c>
      <c r="F731" s="10">
        <v>179</v>
      </c>
      <c r="G731" s="10">
        <v>179</v>
      </c>
      <c r="H731" s="10">
        <v>101</v>
      </c>
      <c r="I731" s="10">
        <v>141</v>
      </c>
      <c r="J731" s="10">
        <v>142</v>
      </c>
      <c r="K731" s="10">
        <v>115</v>
      </c>
      <c r="L731" s="10">
        <v>132</v>
      </c>
      <c r="M731" s="10">
        <v>21.5</v>
      </c>
      <c r="N731" s="10">
        <v>1821</v>
      </c>
      <c r="O731" s="10">
        <v>1.21</v>
      </c>
      <c r="P731" s="10">
        <v>2209</v>
      </c>
      <c r="Q731" s="10">
        <v>180</v>
      </c>
      <c r="R731" s="10">
        <v>110</v>
      </c>
      <c r="S731" s="10">
        <v>59</v>
      </c>
      <c r="T731" s="10">
        <v>461</v>
      </c>
      <c r="U731" s="10">
        <v>25</v>
      </c>
      <c r="V731" s="10">
        <v>317</v>
      </c>
      <c r="W731" s="10">
        <v>0.42699999999999999</v>
      </c>
      <c r="X731" s="10">
        <v>204</v>
      </c>
      <c r="Y731" s="10">
        <v>175</v>
      </c>
      <c r="Z731" s="10">
        <v>257</v>
      </c>
      <c r="AA731" s="10">
        <v>4</v>
      </c>
      <c r="AB731" s="10">
        <v>10.4</v>
      </c>
      <c r="AC731" s="9" t="s">
        <v>169</v>
      </c>
      <c r="AD731" s="9" t="s">
        <v>185</v>
      </c>
      <c r="AE731" s="10"/>
      <c r="AF731" s="10"/>
      <c r="AG731" s="10"/>
    </row>
    <row r="732" spans="1:33">
      <c r="A732" s="7" t="s">
        <v>155</v>
      </c>
      <c r="B732" s="8" t="s">
        <v>1160</v>
      </c>
      <c r="C732" s="9" t="s">
        <v>367</v>
      </c>
      <c r="D732" s="10">
        <v>186</v>
      </c>
      <c r="E732" s="9" t="s">
        <v>158</v>
      </c>
      <c r="F732" s="10">
        <v>186</v>
      </c>
      <c r="G732" s="10">
        <v>186</v>
      </c>
      <c r="H732" s="10">
        <v>113</v>
      </c>
      <c r="I732" s="10">
        <v>146</v>
      </c>
      <c r="J732" s="10">
        <v>143</v>
      </c>
      <c r="K732" s="10">
        <v>115</v>
      </c>
      <c r="L732" s="10">
        <v>132</v>
      </c>
      <c r="M732" s="10">
        <v>23.4</v>
      </c>
      <c r="N732" s="10">
        <v>1995</v>
      </c>
      <c r="O732" s="10">
        <v>1.1499999999999999</v>
      </c>
      <c r="P732" s="10">
        <v>2298</v>
      </c>
      <c r="Q732" s="10">
        <v>211</v>
      </c>
      <c r="R732" s="10">
        <v>132</v>
      </c>
      <c r="S732" s="10">
        <v>58</v>
      </c>
      <c r="T732" s="10">
        <v>476</v>
      </c>
      <c r="U732" s="10">
        <v>25</v>
      </c>
      <c r="V732" s="10">
        <v>254</v>
      </c>
      <c r="W732" s="10">
        <v>0.43099999999999999</v>
      </c>
      <c r="X732" s="10">
        <v>213</v>
      </c>
      <c r="Y732" s="10">
        <v>185</v>
      </c>
      <c r="Z732" s="10">
        <v>264</v>
      </c>
      <c r="AA732" s="10">
        <v>4</v>
      </c>
      <c r="AB732" s="10">
        <v>10.1</v>
      </c>
      <c r="AC732" s="9" t="s">
        <v>169</v>
      </c>
      <c r="AD732" s="9" t="s">
        <v>185</v>
      </c>
      <c r="AE732" s="10"/>
      <c r="AF732" s="10"/>
      <c r="AG732" s="10"/>
    </row>
    <row r="733" spans="1:33">
      <c r="A733" s="7" t="s">
        <v>155</v>
      </c>
      <c r="B733" s="8" t="s">
        <v>1160</v>
      </c>
      <c r="C733" s="9" t="s">
        <v>539</v>
      </c>
      <c r="D733" s="10">
        <v>156</v>
      </c>
      <c r="E733" s="9" t="s">
        <v>158</v>
      </c>
      <c r="F733" s="10">
        <v>156</v>
      </c>
      <c r="G733" s="10">
        <v>156.69999999999999</v>
      </c>
      <c r="H733" s="10">
        <v>115</v>
      </c>
      <c r="I733" s="10">
        <v>128</v>
      </c>
      <c r="J733" s="10">
        <v>129</v>
      </c>
      <c r="K733" s="10">
        <v>84</v>
      </c>
      <c r="L733" s="10">
        <v>112</v>
      </c>
      <c r="M733" s="10">
        <v>10.8</v>
      </c>
      <c r="N733" s="10">
        <v>1534</v>
      </c>
      <c r="O733" s="10">
        <v>1.02</v>
      </c>
      <c r="P733" s="10">
        <v>1558</v>
      </c>
      <c r="Q733" s="10">
        <v>125</v>
      </c>
      <c r="R733" s="10">
        <v>74</v>
      </c>
      <c r="S733" s="10">
        <v>42</v>
      </c>
      <c r="T733" s="10">
        <v>252</v>
      </c>
      <c r="U733" s="10">
        <v>12</v>
      </c>
      <c r="V733" s="10">
        <v>165</v>
      </c>
      <c r="W733" s="10">
        <v>0.29199999999999998</v>
      </c>
      <c r="X733" s="10">
        <v>176</v>
      </c>
      <c r="Y733" s="10">
        <v>112</v>
      </c>
      <c r="Z733" s="10">
        <v>76</v>
      </c>
      <c r="AA733" s="10">
        <v>10</v>
      </c>
      <c r="AB733" s="10">
        <v>10.3</v>
      </c>
      <c r="AC733" s="9" t="s">
        <v>231</v>
      </c>
      <c r="AD733" s="9" t="s">
        <v>188</v>
      </c>
      <c r="AE733" s="10"/>
      <c r="AF733" s="10"/>
      <c r="AG733" s="10"/>
    </row>
    <row r="734" spans="1:33">
      <c r="A734" s="7" t="s">
        <v>155</v>
      </c>
      <c r="B734" s="8" t="s">
        <v>1160</v>
      </c>
      <c r="C734" s="9" t="s">
        <v>539</v>
      </c>
      <c r="D734" s="10">
        <v>163</v>
      </c>
      <c r="E734" s="9" t="s">
        <v>158</v>
      </c>
      <c r="F734" s="10">
        <v>163</v>
      </c>
      <c r="G734" s="10">
        <v>163.69999999999999</v>
      </c>
      <c r="H734" s="10">
        <v>120</v>
      </c>
      <c r="I734" s="10">
        <v>136</v>
      </c>
      <c r="J734" s="10">
        <v>129</v>
      </c>
      <c r="K734" s="10">
        <v>84</v>
      </c>
      <c r="L734" s="10">
        <v>112</v>
      </c>
      <c r="M734" s="10">
        <v>12</v>
      </c>
      <c r="N734" s="10">
        <v>1580</v>
      </c>
      <c r="O734" s="10">
        <v>1.03</v>
      </c>
      <c r="P734" s="10">
        <v>1627</v>
      </c>
      <c r="Q734" s="10">
        <v>151</v>
      </c>
      <c r="R734" s="10">
        <v>84</v>
      </c>
      <c r="S734" s="10">
        <v>46</v>
      </c>
      <c r="T734" s="10">
        <v>270</v>
      </c>
      <c r="U734" s="10">
        <v>12</v>
      </c>
      <c r="V734" s="10">
        <v>171</v>
      </c>
      <c r="W734" s="10">
        <v>0.26800000000000002</v>
      </c>
      <c r="X734" s="10">
        <v>170</v>
      </c>
      <c r="Y734" s="10">
        <v>110</v>
      </c>
      <c r="Z734" s="10">
        <v>100</v>
      </c>
      <c r="AA734" s="10">
        <v>9</v>
      </c>
      <c r="AB734" s="10">
        <v>10.5</v>
      </c>
      <c r="AC734" s="9" t="s">
        <v>231</v>
      </c>
      <c r="AD734" s="9" t="s">
        <v>188</v>
      </c>
      <c r="AE734" s="10"/>
      <c r="AF734" s="10"/>
      <c r="AG734" s="10"/>
    </row>
    <row r="735" spans="1:33">
      <c r="A735" s="7" t="s">
        <v>155</v>
      </c>
      <c r="B735" s="8" t="s">
        <v>1160</v>
      </c>
      <c r="C735" s="9" t="s">
        <v>539</v>
      </c>
      <c r="D735" s="10">
        <v>170</v>
      </c>
      <c r="E735" s="9" t="s">
        <v>158</v>
      </c>
      <c r="F735" s="10">
        <v>170</v>
      </c>
      <c r="G735" s="10">
        <v>170.7</v>
      </c>
      <c r="H735" s="10">
        <v>124</v>
      </c>
      <c r="I735" s="10">
        <v>141</v>
      </c>
      <c r="J735" s="10">
        <v>129</v>
      </c>
      <c r="K735" s="10">
        <v>84</v>
      </c>
      <c r="L735" s="10">
        <v>112</v>
      </c>
      <c r="M735" s="10">
        <v>13.1</v>
      </c>
      <c r="N735" s="10">
        <v>1702</v>
      </c>
      <c r="O735" s="10">
        <v>1</v>
      </c>
      <c r="P735" s="10">
        <v>1694</v>
      </c>
      <c r="Q735" s="10">
        <v>181</v>
      </c>
      <c r="R735" s="10">
        <v>97</v>
      </c>
      <c r="S735" s="10">
        <v>45</v>
      </c>
      <c r="T735" s="10">
        <v>288</v>
      </c>
      <c r="U735" s="10">
        <v>15</v>
      </c>
      <c r="V735" s="10">
        <v>177</v>
      </c>
      <c r="W735" s="10">
        <v>0.33700000000000002</v>
      </c>
      <c r="X735" s="10">
        <v>182</v>
      </c>
      <c r="Y735" s="10">
        <v>112</v>
      </c>
      <c r="Z735" s="10">
        <v>107</v>
      </c>
      <c r="AA735" s="10">
        <v>7</v>
      </c>
      <c r="AB735" s="10">
        <v>10.8</v>
      </c>
      <c r="AC735" s="9" t="s">
        <v>231</v>
      </c>
      <c r="AD735" s="9" t="s">
        <v>188</v>
      </c>
      <c r="AE735" s="10"/>
      <c r="AF735" s="10"/>
      <c r="AG735" s="10"/>
    </row>
    <row r="736" spans="1:33">
      <c r="A736" s="7" t="s">
        <v>155</v>
      </c>
      <c r="B736" s="8" t="s">
        <v>1160</v>
      </c>
      <c r="C736" s="9" t="s">
        <v>539</v>
      </c>
      <c r="D736" s="10">
        <v>177</v>
      </c>
      <c r="E736" s="9" t="s">
        <v>158</v>
      </c>
      <c r="F736" s="10">
        <v>177</v>
      </c>
      <c r="G736" s="10">
        <v>177.4</v>
      </c>
      <c r="H736" s="10">
        <v>135</v>
      </c>
      <c r="I736" s="10">
        <v>148</v>
      </c>
      <c r="J736" s="10">
        <v>129</v>
      </c>
      <c r="K736" s="10">
        <v>84</v>
      </c>
      <c r="L736" s="10">
        <v>112</v>
      </c>
      <c r="M736" s="10">
        <v>14.4</v>
      </c>
      <c r="N736" s="10">
        <v>1863</v>
      </c>
      <c r="O736" s="10">
        <v>0.94</v>
      </c>
      <c r="P736" s="10">
        <v>1759</v>
      </c>
      <c r="Q736" s="10">
        <v>205</v>
      </c>
      <c r="R736" s="10">
        <v>108</v>
      </c>
      <c r="S736" s="10">
        <v>45</v>
      </c>
      <c r="T736" s="10">
        <v>265</v>
      </c>
      <c r="U736" s="10">
        <v>14</v>
      </c>
      <c r="V736" s="10">
        <v>156</v>
      </c>
      <c r="W736" s="10">
        <v>0.307</v>
      </c>
      <c r="X736" s="10">
        <v>176</v>
      </c>
      <c r="Y736" s="10">
        <v>116</v>
      </c>
      <c r="Z736" s="10">
        <v>89</v>
      </c>
      <c r="AA736" s="10">
        <v>10</v>
      </c>
      <c r="AB736" s="10">
        <v>11.2</v>
      </c>
      <c r="AC736" s="9" t="s">
        <v>231</v>
      </c>
      <c r="AD736" s="9" t="s">
        <v>188</v>
      </c>
      <c r="AE736" s="10"/>
      <c r="AF736" s="10"/>
      <c r="AG736" s="10"/>
    </row>
    <row r="737" spans="1:33">
      <c r="A737" s="7" t="s">
        <v>155</v>
      </c>
      <c r="B737" s="8" t="s">
        <v>1160</v>
      </c>
      <c r="C737" s="9" t="s">
        <v>581</v>
      </c>
      <c r="D737" s="10">
        <v>149</v>
      </c>
      <c r="E737" s="9" t="s">
        <v>163</v>
      </c>
      <c r="F737" s="10">
        <v>149</v>
      </c>
      <c r="G737" s="10">
        <v>149.9</v>
      </c>
      <c r="H737" s="10">
        <v>116</v>
      </c>
      <c r="I737" s="10">
        <v>122</v>
      </c>
      <c r="J737" s="10">
        <v>129</v>
      </c>
      <c r="K737" s="10">
        <v>84</v>
      </c>
      <c r="L737" s="10">
        <v>112</v>
      </c>
      <c r="M737" s="10">
        <v>9.6</v>
      </c>
      <c r="N737" s="10">
        <v>1426</v>
      </c>
      <c r="O737" s="10">
        <v>1.04</v>
      </c>
      <c r="P737" s="10">
        <v>1489</v>
      </c>
      <c r="Q737" s="10">
        <v>109</v>
      </c>
      <c r="R737" s="10">
        <v>66</v>
      </c>
      <c r="S737" s="10">
        <v>40</v>
      </c>
      <c r="T737" s="10">
        <v>238</v>
      </c>
      <c r="U737" s="10">
        <v>10</v>
      </c>
      <c r="V737" s="10">
        <v>100</v>
      </c>
      <c r="W737" s="10">
        <v>0.248</v>
      </c>
      <c r="X737" s="10">
        <v>169</v>
      </c>
      <c r="Y737" s="10">
        <v>106</v>
      </c>
      <c r="Z737" s="10">
        <v>69</v>
      </c>
      <c r="AA737" s="10">
        <v>10</v>
      </c>
      <c r="AB737" s="10">
        <v>10.199999999999999</v>
      </c>
      <c r="AC737" s="9" t="s">
        <v>231</v>
      </c>
      <c r="AD737" s="9" t="s">
        <v>188</v>
      </c>
      <c r="AE737" s="10"/>
      <c r="AF737" s="10"/>
      <c r="AG737" s="10"/>
    </row>
    <row r="738" spans="1:33">
      <c r="A738" s="7" t="s">
        <v>155</v>
      </c>
      <c r="B738" s="8" t="s">
        <v>1160</v>
      </c>
      <c r="C738" s="9" t="s">
        <v>581</v>
      </c>
      <c r="D738" s="10">
        <v>159</v>
      </c>
      <c r="E738" s="9" t="s">
        <v>163</v>
      </c>
      <c r="F738" s="10">
        <v>159</v>
      </c>
      <c r="G738" s="10">
        <v>156.9</v>
      </c>
      <c r="H738" s="10">
        <v>122</v>
      </c>
      <c r="I738" s="10">
        <v>128</v>
      </c>
      <c r="J738" s="10">
        <v>129</v>
      </c>
      <c r="K738" s="10">
        <v>84</v>
      </c>
      <c r="L738" s="10">
        <v>112</v>
      </c>
      <c r="M738" s="10">
        <v>10.7</v>
      </c>
      <c r="N738" s="10">
        <v>1508</v>
      </c>
      <c r="O738" s="10">
        <v>1.03</v>
      </c>
      <c r="P738" s="10">
        <v>1555</v>
      </c>
      <c r="Q738" s="10">
        <v>125</v>
      </c>
      <c r="R738" s="10">
        <v>72</v>
      </c>
      <c r="S738" s="10">
        <v>40</v>
      </c>
      <c r="T738" s="10">
        <v>243</v>
      </c>
      <c r="U738" s="10">
        <v>10</v>
      </c>
      <c r="V738" s="10">
        <v>102</v>
      </c>
      <c r="W738" s="10">
        <v>0.26</v>
      </c>
      <c r="X738" s="10">
        <v>176</v>
      </c>
      <c r="Y738" s="10">
        <v>111</v>
      </c>
      <c r="Z738" s="10">
        <v>67</v>
      </c>
      <c r="AA738" s="10">
        <v>8</v>
      </c>
      <c r="AB738" s="10">
        <v>10.5</v>
      </c>
      <c r="AC738" s="9" t="s">
        <v>231</v>
      </c>
      <c r="AD738" s="9" t="s">
        <v>188</v>
      </c>
      <c r="AE738" s="10"/>
      <c r="AF738" s="10"/>
      <c r="AG738" s="10"/>
    </row>
    <row r="739" spans="1:33">
      <c r="A739" s="7" t="s">
        <v>155</v>
      </c>
      <c r="B739" s="8" t="s">
        <v>1160</v>
      </c>
      <c r="C739" s="9" t="s">
        <v>581</v>
      </c>
      <c r="D739" s="10">
        <v>163</v>
      </c>
      <c r="E739" s="9" t="s">
        <v>163</v>
      </c>
      <c r="F739" s="10">
        <v>163</v>
      </c>
      <c r="G739" s="10">
        <v>163.6</v>
      </c>
      <c r="H739" s="10">
        <v>116</v>
      </c>
      <c r="I739" s="10">
        <v>134</v>
      </c>
      <c r="J739" s="10">
        <v>129</v>
      </c>
      <c r="K739" s="10">
        <v>84</v>
      </c>
      <c r="L739" s="10">
        <v>112</v>
      </c>
      <c r="M739" s="10">
        <v>11.8</v>
      </c>
      <c r="N739" s="10">
        <v>1627</v>
      </c>
      <c r="O739" s="10">
        <v>1</v>
      </c>
      <c r="P739" s="10">
        <v>1623</v>
      </c>
      <c r="Q739" s="10">
        <v>165</v>
      </c>
      <c r="R739" s="10">
        <v>89</v>
      </c>
      <c r="S739" s="10">
        <v>49</v>
      </c>
      <c r="T739" s="10">
        <v>274</v>
      </c>
      <c r="U739" s="10">
        <v>13</v>
      </c>
      <c r="V739" s="10">
        <v>198</v>
      </c>
      <c r="W739" s="10">
        <v>0.26700000000000002</v>
      </c>
      <c r="X739" s="10">
        <v>182</v>
      </c>
      <c r="Y739" s="10">
        <v>113</v>
      </c>
      <c r="Z739" s="10">
        <v>92</v>
      </c>
      <c r="AA739" s="10">
        <v>7</v>
      </c>
      <c r="AB739" s="10">
        <v>10.9</v>
      </c>
      <c r="AC739" s="9" t="s">
        <v>231</v>
      </c>
      <c r="AD739" s="9" t="s">
        <v>188</v>
      </c>
      <c r="AE739" s="10"/>
      <c r="AF739" s="10"/>
      <c r="AG739" s="10"/>
    </row>
    <row r="740" spans="1:33">
      <c r="A740" s="7" t="s">
        <v>155</v>
      </c>
      <c r="B740" s="8" t="s">
        <v>1160</v>
      </c>
      <c r="C740" s="9" t="s">
        <v>485</v>
      </c>
      <c r="D740" s="10">
        <v>149</v>
      </c>
      <c r="E740" s="9" t="s">
        <v>163</v>
      </c>
      <c r="F740" s="10">
        <v>149</v>
      </c>
      <c r="G740" s="10">
        <v>149.1</v>
      </c>
      <c r="H740" s="10">
        <v>114</v>
      </c>
      <c r="I740" s="10">
        <v>125</v>
      </c>
      <c r="J740" s="10">
        <v>125</v>
      </c>
      <c r="K740" s="10">
        <v>88</v>
      </c>
      <c r="L740" s="10">
        <v>111</v>
      </c>
      <c r="M740" s="10">
        <v>12.1</v>
      </c>
      <c r="N740" s="10">
        <v>1401</v>
      </c>
      <c r="O740" s="10">
        <v>1.07</v>
      </c>
      <c r="P740" s="10">
        <v>1493</v>
      </c>
      <c r="Q740" s="10">
        <v>138</v>
      </c>
      <c r="R740" s="10">
        <v>89</v>
      </c>
      <c r="S740" s="10">
        <v>43</v>
      </c>
      <c r="T740" s="10">
        <v>187</v>
      </c>
      <c r="U740" s="10">
        <v>19</v>
      </c>
      <c r="V740" s="10">
        <v>161</v>
      </c>
      <c r="W740" s="10">
        <v>0.43099999999999999</v>
      </c>
      <c r="X740" s="10">
        <v>144</v>
      </c>
      <c r="Y740" s="10">
        <v>93</v>
      </c>
      <c r="Z740" s="10">
        <v>43</v>
      </c>
      <c r="AA740" s="10">
        <v>7</v>
      </c>
      <c r="AB740" s="10">
        <v>10.1</v>
      </c>
      <c r="AC740" s="9" t="s">
        <v>188</v>
      </c>
      <c r="AD740" s="9" t="s">
        <v>185</v>
      </c>
      <c r="AE740" s="10"/>
      <c r="AF740" s="10"/>
      <c r="AG740" s="10"/>
    </row>
    <row r="741" spans="1:33">
      <c r="A741" s="7" t="s">
        <v>155</v>
      </c>
      <c r="B741" s="8" t="s">
        <v>1160</v>
      </c>
      <c r="C741" s="9" t="s">
        <v>485</v>
      </c>
      <c r="D741" s="10">
        <v>156</v>
      </c>
      <c r="E741" s="9" t="s">
        <v>163</v>
      </c>
      <c r="F741" s="10">
        <v>156</v>
      </c>
      <c r="G741" s="10">
        <v>155.9</v>
      </c>
      <c r="H741" s="10">
        <v>120</v>
      </c>
      <c r="I741" s="10">
        <v>132</v>
      </c>
      <c r="J741" s="10">
        <v>125</v>
      </c>
      <c r="K741" s="10">
        <v>87</v>
      </c>
      <c r="L741" s="10">
        <v>111</v>
      </c>
      <c r="M741" s="10">
        <v>13.5</v>
      </c>
      <c r="N741" s="10">
        <v>1491</v>
      </c>
      <c r="O741" s="10">
        <v>1.04</v>
      </c>
      <c r="P741" s="10">
        <v>1548</v>
      </c>
      <c r="Q741" s="10">
        <v>132</v>
      </c>
      <c r="R741" s="10">
        <v>84</v>
      </c>
      <c r="S741" s="10">
        <v>46</v>
      </c>
      <c r="T741" s="10">
        <v>207</v>
      </c>
      <c r="U741" s="10">
        <v>18</v>
      </c>
      <c r="V741" s="10">
        <v>156</v>
      </c>
      <c r="W741" s="10">
        <v>0.40100000000000002</v>
      </c>
      <c r="X741" s="10">
        <v>146</v>
      </c>
      <c r="Y741" s="10">
        <v>98</v>
      </c>
      <c r="Z741" s="10">
        <v>60</v>
      </c>
      <c r="AA741" s="10">
        <v>7</v>
      </c>
      <c r="AB741" s="10">
        <v>11</v>
      </c>
      <c r="AC741" s="9" t="s">
        <v>188</v>
      </c>
      <c r="AD741" s="10"/>
      <c r="AE741" s="10"/>
      <c r="AF741" s="10"/>
      <c r="AG741" s="10"/>
    </row>
    <row r="742" spans="1:33">
      <c r="A742" s="7" t="s">
        <v>155</v>
      </c>
      <c r="B742" s="8" t="s">
        <v>1160</v>
      </c>
      <c r="C742" s="9" t="s">
        <v>485</v>
      </c>
      <c r="D742" s="10">
        <v>163</v>
      </c>
      <c r="E742" s="9" t="s">
        <v>163</v>
      </c>
      <c r="F742" s="10">
        <v>163</v>
      </c>
      <c r="G742" s="10">
        <v>162.69999999999999</v>
      </c>
      <c r="H742" s="10">
        <v>124</v>
      </c>
      <c r="I742" s="10">
        <v>139</v>
      </c>
      <c r="J742" s="10">
        <v>124</v>
      </c>
      <c r="K742" s="10">
        <v>87</v>
      </c>
      <c r="L742" s="10">
        <v>111</v>
      </c>
      <c r="M742" s="10">
        <v>15.1</v>
      </c>
      <c r="N742" s="10">
        <v>1585</v>
      </c>
      <c r="O742" s="10">
        <v>1.02</v>
      </c>
      <c r="P742" s="10">
        <v>1620</v>
      </c>
      <c r="Q742" s="10">
        <v>154</v>
      </c>
      <c r="R742" s="10">
        <v>82</v>
      </c>
      <c r="S742" s="10">
        <v>48</v>
      </c>
      <c r="T742" s="10">
        <v>218</v>
      </c>
      <c r="U742" s="10">
        <v>20</v>
      </c>
      <c r="V742" s="10">
        <v>166</v>
      </c>
      <c r="W742" s="10">
        <v>0.42499999999999999</v>
      </c>
      <c r="X742" s="10">
        <v>134</v>
      </c>
      <c r="Y742" s="10">
        <v>101</v>
      </c>
      <c r="Z742" s="10">
        <v>83</v>
      </c>
      <c r="AA742" s="10">
        <v>9</v>
      </c>
      <c r="AB742" s="10">
        <v>11</v>
      </c>
      <c r="AC742" s="9" t="s">
        <v>188</v>
      </c>
      <c r="AD742" s="10"/>
      <c r="AE742" s="10"/>
      <c r="AF742" s="10"/>
      <c r="AG742" s="10"/>
    </row>
    <row r="743" spans="1:33">
      <c r="A743" s="7" t="s">
        <v>155</v>
      </c>
      <c r="B743" s="8" t="s">
        <v>1160</v>
      </c>
      <c r="C743" s="9" t="s">
        <v>485</v>
      </c>
      <c r="D743" s="10">
        <v>170</v>
      </c>
      <c r="E743" s="9" t="s">
        <v>163</v>
      </c>
      <c r="F743" s="10">
        <v>170</v>
      </c>
      <c r="G743" s="10">
        <v>169.4</v>
      </c>
      <c r="H743" s="10">
        <v>125</v>
      </c>
      <c r="I743" s="10">
        <v>146</v>
      </c>
      <c r="J743" s="10">
        <v>125</v>
      </c>
      <c r="K743" s="10">
        <v>87</v>
      </c>
      <c r="L743" s="10">
        <v>111</v>
      </c>
      <c r="M743" s="10">
        <v>16.5</v>
      </c>
      <c r="N743" s="10">
        <v>1668</v>
      </c>
      <c r="O743" s="10">
        <v>1.01</v>
      </c>
      <c r="P743" s="10">
        <v>1685</v>
      </c>
      <c r="Q743" s="10">
        <v>176</v>
      </c>
      <c r="R743" s="10">
        <v>90</v>
      </c>
      <c r="S743" s="10">
        <v>52</v>
      </c>
      <c r="T743" s="10">
        <v>250</v>
      </c>
      <c r="U743" s="10">
        <v>26</v>
      </c>
      <c r="V743" s="10">
        <v>198</v>
      </c>
      <c r="W743" s="10">
        <v>0.495</v>
      </c>
      <c r="X743" s="10">
        <v>137</v>
      </c>
      <c r="Y743" s="10">
        <v>99</v>
      </c>
      <c r="Z743" s="10">
        <v>112</v>
      </c>
      <c r="AA743" s="10">
        <v>8</v>
      </c>
      <c r="AB743" s="10">
        <v>11.2</v>
      </c>
      <c r="AC743" s="9" t="s">
        <v>188</v>
      </c>
      <c r="AD743" s="10"/>
      <c r="AE743" s="10"/>
      <c r="AF743" s="10"/>
      <c r="AG743" s="10"/>
    </row>
    <row r="744" spans="1:33">
      <c r="A744" s="7" t="s">
        <v>155</v>
      </c>
      <c r="B744" s="8" t="s">
        <v>1160</v>
      </c>
      <c r="C744" s="9" t="s">
        <v>808</v>
      </c>
      <c r="D744" s="10">
        <v>149</v>
      </c>
      <c r="E744" s="9" t="s">
        <v>163</v>
      </c>
      <c r="F744" s="10">
        <v>149</v>
      </c>
      <c r="G744" s="10">
        <v>150</v>
      </c>
      <c r="H744" s="10">
        <v>115</v>
      </c>
      <c r="I744" s="10">
        <v>123</v>
      </c>
      <c r="J744" s="10">
        <v>126</v>
      </c>
      <c r="K744" s="10">
        <v>89</v>
      </c>
      <c r="L744" s="10">
        <v>112</v>
      </c>
      <c r="M744" s="10">
        <v>11.7</v>
      </c>
      <c r="N744" s="10">
        <v>1333</v>
      </c>
      <c r="O744" s="10">
        <v>1.1399999999999999</v>
      </c>
      <c r="P744" s="10">
        <v>1522</v>
      </c>
      <c r="Q744" s="10">
        <v>107</v>
      </c>
      <c r="R744" s="10">
        <v>58</v>
      </c>
      <c r="S744" s="10">
        <v>38</v>
      </c>
      <c r="T744" s="10">
        <v>216</v>
      </c>
      <c r="U744" s="10">
        <v>10</v>
      </c>
      <c r="V744" s="10">
        <v>135</v>
      </c>
      <c r="W744" s="10">
        <v>0.25</v>
      </c>
      <c r="X744" s="10">
        <v>156</v>
      </c>
      <c r="Y744" s="10">
        <v>109</v>
      </c>
      <c r="Z744" s="10">
        <v>59</v>
      </c>
      <c r="AA744" s="10">
        <v>9</v>
      </c>
      <c r="AB744" s="10">
        <v>9.6999999999999993</v>
      </c>
      <c r="AC744" s="9" t="s">
        <v>188</v>
      </c>
      <c r="AD744" s="9" t="s">
        <v>185</v>
      </c>
      <c r="AE744" s="10"/>
      <c r="AF744" s="10"/>
      <c r="AG744" s="10"/>
    </row>
    <row r="745" spans="1:33">
      <c r="A745" s="7" t="s">
        <v>155</v>
      </c>
      <c r="B745" s="8" t="s">
        <v>1160</v>
      </c>
      <c r="C745" s="9" t="s">
        <v>808</v>
      </c>
      <c r="D745" s="10">
        <v>156</v>
      </c>
      <c r="E745" s="9" t="s">
        <v>163</v>
      </c>
      <c r="F745" s="10">
        <v>156</v>
      </c>
      <c r="G745" s="10">
        <v>156.5</v>
      </c>
      <c r="H745" s="10">
        <v>120</v>
      </c>
      <c r="I745" s="10">
        <v>130</v>
      </c>
      <c r="J745" s="10">
        <v>126</v>
      </c>
      <c r="K745" s="10">
        <v>89</v>
      </c>
      <c r="L745" s="10">
        <v>112</v>
      </c>
      <c r="M745" s="10">
        <v>13.2</v>
      </c>
      <c r="N745" s="10">
        <v>1409</v>
      </c>
      <c r="O745" s="10">
        <v>1.1299999999999999</v>
      </c>
      <c r="P745" s="10">
        <v>1593</v>
      </c>
      <c r="Q745" s="10">
        <v>118</v>
      </c>
      <c r="R745" s="10">
        <v>60</v>
      </c>
      <c r="S745" s="10">
        <v>44</v>
      </c>
      <c r="T745" s="10">
        <v>221</v>
      </c>
      <c r="U745" s="10">
        <v>14</v>
      </c>
      <c r="V745" s="10">
        <v>144</v>
      </c>
      <c r="W745" s="10">
        <v>0.315</v>
      </c>
      <c r="X745" s="10">
        <v>145</v>
      </c>
      <c r="Y745" s="10">
        <v>120</v>
      </c>
      <c r="Z745" s="10">
        <v>76</v>
      </c>
      <c r="AA745" s="10">
        <v>8</v>
      </c>
      <c r="AB745" s="10">
        <v>10.1</v>
      </c>
      <c r="AC745" s="9" t="s">
        <v>188</v>
      </c>
      <c r="AD745" s="9" t="s">
        <v>185</v>
      </c>
      <c r="AE745" s="10"/>
      <c r="AF745" s="10"/>
      <c r="AG745" s="10"/>
    </row>
    <row r="746" spans="1:33">
      <c r="A746" s="7" t="s">
        <v>155</v>
      </c>
      <c r="B746" s="8" t="s">
        <v>1160</v>
      </c>
      <c r="C746" s="9" t="s">
        <v>808</v>
      </c>
      <c r="D746" s="10">
        <v>163</v>
      </c>
      <c r="E746" s="9" t="s">
        <v>163</v>
      </c>
      <c r="F746" s="10">
        <v>163</v>
      </c>
      <c r="G746" s="10">
        <v>163.4</v>
      </c>
      <c r="H746" s="10">
        <v>124</v>
      </c>
      <c r="I746" s="10">
        <v>138</v>
      </c>
      <c r="J746" s="10">
        <v>126</v>
      </c>
      <c r="K746" s="10">
        <v>89</v>
      </c>
      <c r="L746" s="10">
        <v>112</v>
      </c>
      <c r="M746" s="10">
        <v>14.7</v>
      </c>
      <c r="N746" s="10">
        <v>1490</v>
      </c>
      <c r="O746" s="10">
        <v>1.1200000000000001</v>
      </c>
      <c r="P746" s="10">
        <v>1662</v>
      </c>
      <c r="Q746" s="10">
        <v>135</v>
      </c>
      <c r="R746" s="10">
        <v>66</v>
      </c>
      <c r="S746" s="10">
        <v>45</v>
      </c>
      <c r="T746" s="10">
        <v>229</v>
      </c>
      <c r="U746" s="10">
        <v>15</v>
      </c>
      <c r="V746" s="10">
        <v>169</v>
      </c>
      <c r="W746" s="10">
        <v>0.33200000000000002</v>
      </c>
      <c r="X746" s="10">
        <v>142</v>
      </c>
      <c r="Y746" s="10">
        <v>114</v>
      </c>
      <c r="Z746" s="10">
        <v>86</v>
      </c>
      <c r="AA746" s="10">
        <v>6</v>
      </c>
      <c r="AB746" s="10">
        <v>10</v>
      </c>
      <c r="AC746" s="9" t="s">
        <v>188</v>
      </c>
      <c r="AD746" s="9" t="s">
        <v>185</v>
      </c>
      <c r="AE746" s="10"/>
      <c r="AF746" s="10"/>
      <c r="AG746" s="10"/>
    </row>
    <row r="747" spans="1:33">
      <c r="A747" s="7" t="s">
        <v>155</v>
      </c>
      <c r="B747" s="8" t="s">
        <v>1160</v>
      </c>
      <c r="C747" s="9" t="s">
        <v>474</v>
      </c>
      <c r="D747" s="10">
        <v>163</v>
      </c>
      <c r="E747" s="9" t="s">
        <v>158</v>
      </c>
      <c r="F747" s="10">
        <v>163</v>
      </c>
      <c r="G747" s="10">
        <v>163</v>
      </c>
      <c r="H747" s="10">
        <v>122</v>
      </c>
      <c r="I747" s="10">
        <v>139</v>
      </c>
      <c r="J747" s="10">
        <v>126</v>
      </c>
      <c r="K747" s="10">
        <v>89</v>
      </c>
      <c r="L747" s="10">
        <v>112</v>
      </c>
      <c r="M747" s="10">
        <v>15</v>
      </c>
      <c r="N747" s="10">
        <v>1675</v>
      </c>
      <c r="O747" s="10">
        <v>0.98</v>
      </c>
      <c r="P747" s="10">
        <v>1650</v>
      </c>
      <c r="Q747" s="10">
        <v>155</v>
      </c>
      <c r="R747" s="10">
        <v>105</v>
      </c>
      <c r="S747" s="10">
        <v>43</v>
      </c>
      <c r="T747" s="10">
        <v>230</v>
      </c>
      <c r="U747" s="10">
        <v>20</v>
      </c>
      <c r="V747" s="10">
        <v>178</v>
      </c>
      <c r="W747" s="10">
        <v>0.47899999999999998</v>
      </c>
      <c r="X747" s="10">
        <v>140</v>
      </c>
      <c r="Y747" s="10">
        <v>99</v>
      </c>
      <c r="Z747" s="10">
        <v>91</v>
      </c>
      <c r="AA747" s="10">
        <v>7</v>
      </c>
      <c r="AB747" s="10">
        <v>10.6</v>
      </c>
      <c r="AC747" s="9" t="s">
        <v>188</v>
      </c>
      <c r="AD747" s="10"/>
      <c r="AE747" s="10"/>
      <c r="AF747" s="10"/>
      <c r="AG747" s="10"/>
    </row>
    <row r="748" spans="1:33">
      <c r="A748" s="7" t="s">
        <v>155</v>
      </c>
      <c r="B748" s="8" t="s">
        <v>1160</v>
      </c>
      <c r="C748" s="9" t="s">
        <v>474</v>
      </c>
      <c r="D748" s="10">
        <v>170</v>
      </c>
      <c r="E748" s="9" t="s">
        <v>158</v>
      </c>
      <c r="F748" s="10">
        <v>170</v>
      </c>
      <c r="G748" s="10">
        <v>169.9</v>
      </c>
      <c r="H748" s="10">
        <v>119</v>
      </c>
      <c r="I748" s="10">
        <v>146</v>
      </c>
      <c r="J748" s="10">
        <v>127</v>
      </c>
      <c r="K748" s="10">
        <v>89</v>
      </c>
      <c r="L748" s="10">
        <v>113</v>
      </c>
      <c r="M748" s="10">
        <v>16.7</v>
      </c>
      <c r="N748" s="10">
        <v>1831</v>
      </c>
      <c r="O748" s="10">
        <v>0.94</v>
      </c>
      <c r="P748" s="10">
        <v>1723</v>
      </c>
      <c r="Q748" s="10">
        <v>184</v>
      </c>
      <c r="R748" s="10">
        <v>120</v>
      </c>
      <c r="S748" s="10">
        <v>43</v>
      </c>
      <c r="T748" s="10">
        <v>329</v>
      </c>
      <c r="U748" s="10">
        <v>20</v>
      </c>
      <c r="V748" s="10">
        <v>180</v>
      </c>
      <c r="W748" s="10">
        <v>0.46899999999999997</v>
      </c>
      <c r="X748" s="10">
        <v>139</v>
      </c>
      <c r="Y748" s="10">
        <v>98</v>
      </c>
      <c r="Z748" s="10">
        <v>190</v>
      </c>
      <c r="AA748" s="10">
        <v>4</v>
      </c>
      <c r="AB748" s="10">
        <v>10.9</v>
      </c>
      <c r="AC748" s="9" t="s">
        <v>188</v>
      </c>
      <c r="AD748" s="10"/>
      <c r="AE748" s="10"/>
      <c r="AF748" s="10"/>
      <c r="AG748" s="10"/>
    </row>
    <row r="749" spans="1:33">
      <c r="A749" s="7" t="s">
        <v>155</v>
      </c>
      <c r="B749" s="8" t="s">
        <v>1160</v>
      </c>
      <c r="C749" s="9" t="s">
        <v>474</v>
      </c>
      <c r="D749" s="10">
        <v>177</v>
      </c>
      <c r="E749" s="9" t="s">
        <v>158</v>
      </c>
      <c r="F749" s="10">
        <v>177</v>
      </c>
      <c r="G749" s="10">
        <v>176.9</v>
      </c>
      <c r="H749" s="10">
        <v>136</v>
      </c>
      <c r="I749" s="10">
        <v>152</v>
      </c>
      <c r="J749" s="10">
        <v>127</v>
      </c>
      <c r="K749" s="10">
        <v>89</v>
      </c>
      <c r="L749" s="10">
        <v>113</v>
      </c>
      <c r="M749" s="10">
        <v>18.2</v>
      </c>
      <c r="N749" s="10">
        <v>1906</v>
      </c>
      <c r="O749" s="10">
        <v>0.94</v>
      </c>
      <c r="P749" s="10">
        <v>1794</v>
      </c>
      <c r="Q749" s="10">
        <v>190</v>
      </c>
      <c r="R749" s="10">
        <v>128</v>
      </c>
      <c r="S749" s="10">
        <v>41</v>
      </c>
      <c r="T749" s="10">
        <v>220</v>
      </c>
      <c r="U749" s="10">
        <v>17</v>
      </c>
      <c r="V749" s="10">
        <v>187</v>
      </c>
      <c r="W749" s="10">
        <v>0.42599999999999999</v>
      </c>
      <c r="X749" s="10">
        <v>142</v>
      </c>
      <c r="Y749" s="10">
        <v>103</v>
      </c>
      <c r="Z749" s="10">
        <v>78</v>
      </c>
      <c r="AA749" s="10">
        <v>8</v>
      </c>
      <c r="AB749" s="10">
        <v>11.1</v>
      </c>
      <c r="AC749" s="9" t="s">
        <v>188</v>
      </c>
      <c r="AD749" s="10"/>
      <c r="AE749" s="10"/>
      <c r="AF749" s="10"/>
      <c r="AG749" s="10"/>
    </row>
    <row r="750" spans="1:33">
      <c r="A750" s="7" t="s">
        <v>155</v>
      </c>
      <c r="B750" s="8" t="s">
        <v>1160</v>
      </c>
      <c r="C750" s="9" t="s">
        <v>474</v>
      </c>
      <c r="D750" s="10">
        <v>184</v>
      </c>
      <c r="E750" s="9" t="s">
        <v>158</v>
      </c>
      <c r="F750" s="10">
        <v>184</v>
      </c>
      <c r="G750" s="10">
        <v>183.5</v>
      </c>
      <c r="H750" s="10">
        <v>143</v>
      </c>
      <c r="I750" s="10">
        <v>159</v>
      </c>
      <c r="J750" s="10">
        <v>126</v>
      </c>
      <c r="K750" s="10">
        <v>89</v>
      </c>
      <c r="L750" s="10">
        <v>113</v>
      </c>
      <c r="M750" s="10">
        <v>19.7</v>
      </c>
      <c r="N750" s="10">
        <v>2028</v>
      </c>
      <c r="O750" s="10">
        <v>0.91</v>
      </c>
      <c r="P750" s="10">
        <v>1854</v>
      </c>
      <c r="Q750" s="10">
        <v>222</v>
      </c>
      <c r="R750" s="10">
        <v>155</v>
      </c>
      <c r="S750" s="10">
        <v>47</v>
      </c>
      <c r="T750" s="10">
        <v>235</v>
      </c>
      <c r="U750" s="10">
        <v>19</v>
      </c>
      <c r="V750" s="10">
        <v>167</v>
      </c>
      <c r="W750" s="10">
        <v>0.41499999999999998</v>
      </c>
      <c r="X750" s="10">
        <v>141</v>
      </c>
      <c r="Y750" s="10">
        <v>105</v>
      </c>
      <c r="Z750" s="10">
        <v>94</v>
      </c>
      <c r="AA750" s="10">
        <v>7</v>
      </c>
      <c r="AB750" s="10">
        <v>11.6</v>
      </c>
      <c r="AC750" s="9" t="s">
        <v>188</v>
      </c>
      <c r="AD750" s="10"/>
      <c r="AE750" s="10"/>
      <c r="AF750" s="10"/>
      <c r="AG750" s="10"/>
    </row>
    <row r="751" spans="1:33">
      <c r="A751" s="7" t="s">
        <v>155</v>
      </c>
      <c r="B751" s="8" t="s">
        <v>1160</v>
      </c>
      <c r="C751" s="9" t="s">
        <v>327</v>
      </c>
      <c r="D751" s="10">
        <v>156</v>
      </c>
      <c r="E751" s="9" t="s">
        <v>158</v>
      </c>
      <c r="F751" s="10">
        <v>156</v>
      </c>
      <c r="G751" s="10">
        <v>156.69999999999999</v>
      </c>
      <c r="H751" s="10">
        <v>118</v>
      </c>
      <c r="I751" s="10">
        <v>130</v>
      </c>
      <c r="J751" s="10">
        <v>126</v>
      </c>
      <c r="K751" s="10">
        <v>89</v>
      </c>
      <c r="L751" s="10">
        <v>112</v>
      </c>
      <c r="M751" s="10">
        <v>13.5</v>
      </c>
      <c r="N751" s="10">
        <v>1373</v>
      </c>
      <c r="O751" s="10">
        <v>1.1599999999999999</v>
      </c>
      <c r="P751" s="10">
        <v>1588</v>
      </c>
      <c r="Q751" s="10">
        <v>117</v>
      </c>
      <c r="R751" s="10">
        <v>60</v>
      </c>
      <c r="S751" s="10">
        <v>49</v>
      </c>
      <c r="T751" s="10">
        <v>225</v>
      </c>
      <c r="U751" s="10">
        <v>16</v>
      </c>
      <c r="V751" s="10">
        <v>161</v>
      </c>
      <c r="W751" s="10">
        <v>0.32400000000000001</v>
      </c>
      <c r="X751" s="10">
        <v>155</v>
      </c>
      <c r="Y751" s="10">
        <v>116</v>
      </c>
      <c r="Z751" s="10">
        <v>71</v>
      </c>
      <c r="AA751" s="10">
        <v>9</v>
      </c>
      <c r="AB751" s="10">
        <v>9.6999999999999993</v>
      </c>
      <c r="AC751" s="9" t="s">
        <v>188</v>
      </c>
      <c r="AD751" s="9" t="s">
        <v>185</v>
      </c>
      <c r="AE751" s="10"/>
      <c r="AF751" s="10"/>
      <c r="AG751" s="10"/>
    </row>
    <row r="752" spans="1:33">
      <c r="A752" s="7" t="s">
        <v>155</v>
      </c>
      <c r="B752" s="8" t="s">
        <v>1160</v>
      </c>
      <c r="C752" s="9" t="s">
        <v>327</v>
      </c>
      <c r="D752" s="10">
        <v>163</v>
      </c>
      <c r="E752" s="9" t="s">
        <v>158</v>
      </c>
      <c r="F752" s="10">
        <v>163</v>
      </c>
      <c r="G752" s="10">
        <v>163.6</v>
      </c>
      <c r="H752" s="10">
        <v>129</v>
      </c>
      <c r="I752" s="10">
        <v>137</v>
      </c>
      <c r="J752" s="10">
        <v>126</v>
      </c>
      <c r="K752" s="10">
        <v>89</v>
      </c>
      <c r="L752" s="10">
        <v>112</v>
      </c>
      <c r="M752" s="10">
        <v>14.6</v>
      </c>
      <c r="N752" s="10">
        <v>1462</v>
      </c>
      <c r="O752" s="10">
        <v>1.1299999999999999</v>
      </c>
      <c r="P752" s="10">
        <v>1659</v>
      </c>
      <c r="Q752" s="10">
        <v>131</v>
      </c>
      <c r="R752" s="10">
        <v>68</v>
      </c>
      <c r="S752" s="10">
        <v>44</v>
      </c>
      <c r="T752" s="10">
        <v>208</v>
      </c>
      <c r="U752" s="10">
        <v>14</v>
      </c>
      <c r="V752" s="10">
        <v>141</v>
      </c>
      <c r="W752" s="10">
        <v>0.315</v>
      </c>
      <c r="X752" s="10">
        <v>156</v>
      </c>
      <c r="Y752" s="10">
        <v>111</v>
      </c>
      <c r="Z752" s="10">
        <v>52</v>
      </c>
      <c r="AA752" s="10">
        <v>8</v>
      </c>
      <c r="AB752" s="10">
        <v>10.3</v>
      </c>
      <c r="AC752" s="9" t="s">
        <v>188</v>
      </c>
      <c r="AD752" s="9" t="s">
        <v>185</v>
      </c>
      <c r="AE752" s="10"/>
      <c r="AF752" s="10"/>
      <c r="AG752" s="10"/>
    </row>
    <row r="753" spans="1:33">
      <c r="A753" s="7" t="s">
        <v>155</v>
      </c>
      <c r="B753" s="8" t="s">
        <v>1160</v>
      </c>
      <c r="C753" s="9" t="s">
        <v>327</v>
      </c>
      <c r="D753" s="10">
        <v>170</v>
      </c>
      <c r="E753" s="9" t="s">
        <v>158</v>
      </c>
      <c r="F753" s="10">
        <v>170</v>
      </c>
      <c r="G753" s="10">
        <v>170.2</v>
      </c>
      <c r="H753" s="10">
        <v>130</v>
      </c>
      <c r="I753" s="10">
        <v>142</v>
      </c>
      <c r="J753" s="10">
        <v>126</v>
      </c>
      <c r="K753" s="10">
        <v>89</v>
      </c>
      <c r="L753" s="10">
        <v>112</v>
      </c>
      <c r="M753" s="10">
        <v>16</v>
      </c>
      <c r="N753" s="10">
        <v>1562</v>
      </c>
      <c r="O753" s="10">
        <v>1.1000000000000001</v>
      </c>
      <c r="P753" s="10">
        <v>1724</v>
      </c>
      <c r="Q753" s="10">
        <v>156</v>
      </c>
      <c r="R753" s="10">
        <v>80</v>
      </c>
      <c r="S753" s="10">
        <v>49</v>
      </c>
      <c r="T753" s="10">
        <v>236</v>
      </c>
      <c r="U753" s="10">
        <v>16</v>
      </c>
      <c r="V753" s="10">
        <v>171</v>
      </c>
      <c r="W753" s="10">
        <v>0.32500000000000001</v>
      </c>
      <c r="X753" s="10">
        <v>155</v>
      </c>
      <c r="Y753" s="10">
        <v>126</v>
      </c>
      <c r="Z753" s="10">
        <v>81</v>
      </c>
      <c r="AA753" s="10">
        <v>7</v>
      </c>
      <c r="AB753" s="10">
        <v>10.6</v>
      </c>
      <c r="AC753" s="9" t="s">
        <v>188</v>
      </c>
      <c r="AD753" s="9" t="s">
        <v>185</v>
      </c>
      <c r="AE753" s="10"/>
      <c r="AF753" s="10"/>
      <c r="AG753" s="10"/>
    </row>
    <row r="754" spans="1:33">
      <c r="A754" s="7" t="s">
        <v>155</v>
      </c>
      <c r="B754" s="8" t="s">
        <v>1160</v>
      </c>
      <c r="C754" s="9" t="s">
        <v>327</v>
      </c>
      <c r="D754" s="10">
        <v>177</v>
      </c>
      <c r="E754" s="9" t="s">
        <v>158</v>
      </c>
      <c r="F754" s="10">
        <v>177</v>
      </c>
      <c r="G754" s="10">
        <v>177.4</v>
      </c>
      <c r="H754" s="10">
        <v>140</v>
      </c>
      <c r="I754" s="10">
        <v>149</v>
      </c>
      <c r="J754" s="10">
        <v>126</v>
      </c>
      <c r="K754" s="10">
        <v>89</v>
      </c>
      <c r="L754" s="10">
        <v>112</v>
      </c>
      <c r="M754" s="10">
        <v>17.600000000000001</v>
      </c>
      <c r="N754" s="10">
        <v>1716</v>
      </c>
      <c r="O754" s="10">
        <v>1.05</v>
      </c>
      <c r="P754" s="10">
        <v>1795</v>
      </c>
      <c r="Q754" s="10">
        <v>185</v>
      </c>
      <c r="R754" s="10">
        <v>93</v>
      </c>
      <c r="S754" s="10">
        <v>46</v>
      </c>
      <c r="T754" s="10">
        <v>216</v>
      </c>
      <c r="U754" s="10">
        <v>15</v>
      </c>
      <c r="V754" s="10">
        <v>159</v>
      </c>
      <c r="W754" s="10">
        <v>0.318</v>
      </c>
      <c r="X754" s="10">
        <v>166</v>
      </c>
      <c r="Y754" s="10">
        <v>119</v>
      </c>
      <c r="Z754" s="10">
        <v>50</v>
      </c>
      <c r="AA754" s="10">
        <v>8</v>
      </c>
      <c r="AB754" s="10">
        <v>11</v>
      </c>
      <c r="AC754" s="9" t="s">
        <v>188</v>
      </c>
      <c r="AD754" s="10"/>
      <c r="AE754" s="10"/>
      <c r="AF754" s="10"/>
      <c r="AG754" s="10"/>
    </row>
    <row r="755" spans="1:33">
      <c r="A755" s="7" t="s">
        <v>155</v>
      </c>
      <c r="B755" s="8" t="s">
        <v>1160</v>
      </c>
      <c r="C755" s="9" t="s">
        <v>488</v>
      </c>
      <c r="D755" s="10">
        <v>154</v>
      </c>
      <c r="E755" s="9" t="s">
        <v>163</v>
      </c>
      <c r="F755" s="10">
        <v>154</v>
      </c>
      <c r="G755" s="10">
        <v>154.1</v>
      </c>
      <c r="H755" s="10">
        <v>108</v>
      </c>
      <c r="I755" s="10">
        <v>126</v>
      </c>
      <c r="J755" s="10">
        <v>133</v>
      </c>
      <c r="K755" s="10">
        <v>98</v>
      </c>
      <c r="L755" s="10">
        <v>119</v>
      </c>
      <c r="M755" s="10">
        <v>13.1</v>
      </c>
      <c r="N755" s="10">
        <v>1594</v>
      </c>
      <c r="O755" s="10">
        <v>1.06</v>
      </c>
      <c r="P755" s="10">
        <v>1683</v>
      </c>
      <c r="Q755" s="10">
        <v>117</v>
      </c>
      <c r="R755" s="10">
        <v>84</v>
      </c>
      <c r="S755" s="10">
        <v>44</v>
      </c>
      <c r="T755" s="10">
        <v>296</v>
      </c>
      <c r="U755" s="10">
        <v>14</v>
      </c>
      <c r="V755" s="10">
        <v>168</v>
      </c>
      <c r="W755" s="10">
        <v>0.32400000000000001</v>
      </c>
      <c r="X755" s="10">
        <v>157</v>
      </c>
      <c r="Y755" s="10">
        <v>122</v>
      </c>
      <c r="Z755" s="10">
        <v>138</v>
      </c>
      <c r="AA755" s="10">
        <v>7</v>
      </c>
      <c r="AB755" s="10">
        <v>9.8000000000000007</v>
      </c>
      <c r="AC755" s="9" t="s">
        <v>188</v>
      </c>
      <c r="AD755" s="9" t="s">
        <v>185</v>
      </c>
      <c r="AE755" s="10"/>
      <c r="AF755" s="10"/>
      <c r="AG755" s="10"/>
    </row>
    <row r="756" spans="1:33">
      <c r="A756" s="7" t="s">
        <v>155</v>
      </c>
      <c r="B756" s="8" t="s">
        <v>1160</v>
      </c>
      <c r="C756" s="9" t="s">
        <v>488</v>
      </c>
      <c r="D756" s="10">
        <v>161</v>
      </c>
      <c r="E756" s="9" t="s">
        <v>163</v>
      </c>
      <c r="F756" s="10">
        <v>161</v>
      </c>
      <c r="G756" s="10">
        <v>161.1</v>
      </c>
      <c r="H756" s="10">
        <v>114</v>
      </c>
      <c r="I756" s="10">
        <v>133</v>
      </c>
      <c r="J756" s="10">
        <v>133</v>
      </c>
      <c r="K756" s="10">
        <v>97</v>
      </c>
      <c r="L756" s="10">
        <v>119</v>
      </c>
      <c r="M756" s="10">
        <v>14.6</v>
      </c>
      <c r="N756" s="10">
        <v>1700</v>
      </c>
      <c r="O756" s="10">
        <v>1.03</v>
      </c>
      <c r="P756" s="10">
        <v>1752</v>
      </c>
      <c r="Q756" s="10">
        <v>144</v>
      </c>
      <c r="R756" s="10">
        <v>91</v>
      </c>
      <c r="S756" s="10">
        <v>48</v>
      </c>
      <c r="T756" s="10">
        <v>287</v>
      </c>
      <c r="U756" s="10">
        <v>15</v>
      </c>
      <c r="V756" s="10">
        <v>180</v>
      </c>
      <c r="W756" s="10">
        <v>0.309</v>
      </c>
      <c r="X756" s="10">
        <v>157</v>
      </c>
      <c r="Y756" s="10">
        <v>120</v>
      </c>
      <c r="Z756" s="10">
        <v>130</v>
      </c>
      <c r="AA756" s="10">
        <v>7</v>
      </c>
      <c r="AB756" s="10">
        <v>10.7</v>
      </c>
      <c r="AC756" s="9" t="s">
        <v>188</v>
      </c>
      <c r="AD756" s="10"/>
      <c r="AE756" s="10"/>
      <c r="AF756" s="10"/>
      <c r="AG756" s="10"/>
    </row>
    <row r="757" spans="1:33">
      <c r="A757" s="7" t="s">
        <v>155</v>
      </c>
      <c r="B757" s="8" t="s">
        <v>1160</v>
      </c>
      <c r="C757" s="9" t="s">
        <v>488</v>
      </c>
      <c r="D757" s="10">
        <v>168</v>
      </c>
      <c r="E757" s="9" t="s">
        <v>163</v>
      </c>
      <c r="F757" s="10">
        <v>168</v>
      </c>
      <c r="G757" s="10">
        <v>167.8</v>
      </c>
      <c r="H757" s="10">
        <v>119</v>
      </c>
      <c r="I757" s="10">
        <v>139</v>
      </c>
      <c r="J757" s="10">
        <v>132</v>
      </c>
      <c r="K757" s="10">
        <v>97</v>
      </c>
      <c r="L757" s="10">
        <v>118</v>
      </c>
      <c r="M757" s="10">
        <v>16.3</v>
      </c>
      <c r="N757" s="10">
        <v>1803</v>
      </c>
      <c r="O757" s="10">
        <v>1.01</v>
      </c>
      <c r="P757" s="10">
        <v>1823</v>
      </c>
      <c r="Q757" s="10">
        <v>169</v>
      </c>
      <c r="R757" s="10">
        <v>106</v>
      </c>
      <c r="S757" s="10">
        <v>51</v>
      </c>
      <c r="T757" s="10">
        <v>294</v>
      </c>
      <c r="U757" s="10">
        <v>19</v>
      </c>
      <c r="V757" s="10">
        <v>197</v>
      </c>
      <c r="W757" s="10">
        <v>0.374</v>
      </c>
      <c r="X757" s="10">
        <v>157</v>
      </c>
      <c r="Y757" s="10">
        <v>128</v>
      </c>
      <c r="Z757" s="10">
        <v>137</v>
      </c>
      <c r="AA757" s="10">
        <v>7</v>
      </c>
      <c r="AB757" s="10">
        <v>10.3</v>
      </c>
      <c r="AC757" s="9" t="s">
        <v>188</v>
      </c>
      <c r="AD757" s="10"/>
      <c r="AE757" s="10"/>
      <c r="AF757" s="10"/>
      <c r="AG757" s="10"/>
    </row>
    <row r="758" spans="1:33">
      <c r="A758" s="7" t="s">
        <v>155</v>
      </c>
      <c r="B758" s="8" t="s">
        <v>1160</v>
      </c>
      <c r="C758" s="9" t="s">
        <v>522</v>
      </c>
      <c r="D758" s="10">
        <v>170</v>
      </c>
      <c r="E758" s="9" t="s">
        <v>158</v>
      </c>
      <c r="F758" s="10">
        <v>170</v>
      </c>
      <c r="G758" s="10">
        <v>169.9</v>
      </c>
      <c r="H758" s="10">
        <v>117</v>
      </c>
      <c r="I758" s="10">
        <v>143</v>
      </c>
      <c r="J758" s="10">
        <v>137</v>
      </c>
      <c r="K758" s="10">
        <v>98</v>
      </c>
      <c r="L758" s="10">
        <v>122</v>
      </c>
      <c r="M758" s="10">
        <v>16</v>
      </c>
      <c r="N758" s="10">
        <v>1901</v>
      </c>
      <c r="O758" s="10">
        <v>0.99</v>
      </c>
      <c r="P758" s="10">
        <v>1875</v>
      </c>
      <c r="Q758" s="10">
        <v>164</v>
      </c>
      <c r="R758" s="10">
        <v>107</v>
      </c>
      <c r="S758" s="10">
        <v>50</v>
      </c>
      <c r="T758" s="10">
        <v>315</v>
      </c>
      <c r="U758" s="10">
        <v>16</v>
      </c>
      <c r="V758" s="10">
        <v>215</v>
      </c>
      <c r="W758" s="10">
        <v>0.316</v>
      </c>
      <c r="X758" s="10">
        <v>154</v>
      </c>
      <c r="Y758" s="10">
        <v>117</v>
      </c>
      <c r="Z758" s="10">
        <v>161</v>
      </c>
      <c r="AA758" s="10">
        <v>6</v>
      </c>
      <c r="AB758" s="10">
        <v>10.8</v>
      </c>
      <c r="AC758" s="9" t="s">
        <v>188</v>
      </c>
      <c r="AD758" s="10"/>
      <c r="AE758" s="10"/>
      <c r="AF758" s="10"/>
      <c r="AG758" s="10"/>
    </row>
    <row r="759" spans="1:33">
      <c r="A759" s="7" t="s">
        <v>155</v>
      </c>
      <c r="B759" s="8" t="s">
        <v>1160</v>
      </c>
      <c r="C759" s="9" t="s">
        <v>522</v>
      </c>
      <c r="D759" s="10">
        <v>177</v>
      </c>
      <c r="E759" s="9" t="s">
        <v>158</v>
      </c>
      <c r="F759" s="10">
        <v>177</v>
      </c>
      <c r="G759" s="10">
        <v>176.9</v>
      </c>
      <c r="H759" s="10">
        <v>125</v>
      </c>
      <c r="I759" s="10">
        <v>150</v>
      </c>
      <c r="J759" s="10">
        <v>137</v>
      </c>
      <c r="K759" s="10">
        <v>99</v>
      </c>
      <c r="L759" s="10">
        <v>122</v>
      </c>
      <c r="M759" s="10">
        <v>17.5</v>
      </c>
      <c r="N759" s="10">
        <v>2031</v>
      </c>
      <c r="O759" s="10">
        <v>0.96</v>
      </c>
      <c r="P759" s="10">
        <v>1957</v>
      </c>
      <c r="Q759" s="10">
        <v>202</v>
      </c>
      <c r="R759" s="10">
        <v>122</v>
      </c>
      <c r="S759" s="10">
        <v>49</v>
      </c>
      <c r="T759" s="10">
        <v>319</v>
      </c>
      <c r="U759" s="10">
        <v>15</v>
      </c>
      <c r="V759" s="10">
        <v>202</v>
      </c>
      <c r="W759" s="10">
        <v>0.29399999999999998</v>
      </c>
      <c r="X759" s="10">
        <v>152</v>
      </c>
      <c r="Y759" s="10">
        <v>122</v>
      </c>
      <c r="Z759" s="10">
        <v>167</v>
      </c>
      <c r="AA759" s="10">
        <v>7</v>
      </c>
      <c r="AB759" s="10">
        <v>11</v>
      </c>
      <c r="AC759" s="9" t="s">
        <v>188</v>
      </c>
      <c r="AD759" s="10"/>
      <c r="AE759" s="10"/>
      <c r="AF759" s="10"/>
      <c r="AG759" s="10"/>
    </row>
    <row r="760" spans="1:33">
      <c r="A760" s="7" t="s">
        <v>155</v>
      </c>
      <c r="B760" s="8" t="s">
        <v>1160</v>
      </c>
      <c r="C760" s="9" t="s">
        <v>522</v>
      </c>
      <c r="D760" s="10">
        <v>184</v>
      </c>
      <c r="E760" s="9" t="s">
        <v>158</v>
      </c>
      <c r="F760" s="10">
        <v>184</v>
      </c>
      <c r="G760" s="10">
        <v>183.8</v>
      </c>
      <c r="H760" s="10">
        <v>134</v>
      </c>
      <c r="I760" s="10">
        <v>157</v>
      </c>
      <c r="J760" s="10">
        <v>137</v>
      </c>
      <c r="K760" s="10">
        <v>98</v>
      </c>
      <c r="L760" s="10">
        <v>122</v>
      </c>
      <c r="M760" s="10">
        <v>19.2</v>
      </c>
      <c r="N760" s="10">
        <v>2191</v>
      </c>
      <c r="O760" s="10">
        <v>0.93</v>
      </c>
      <c r="P760" s="10">
        <v>2027</v>
      </c>
      <c r="Q760" s="10">
        <v>228</v>
      </c>
      <c r="R760" s="10">
        <v>136</v>
      </c>
      <c r="S760" s="10">
        <v>50</v>
      </c>
      <c r="T760" s="10">
        <v>312</v>
      </c>
      <c r="U760" s="10">
        <v>17</v>
      </c>
      <c r="V760" s="10">
        <v>190</v>
      </c>
      <c r="W760" s="10">
        <v>0.32900000000000001</v>
      </c>
      <c r="X760" s="10">
        <v>149</v>
      </c>
      <c r="Y760" s="10">
        <v>120</v>
      </c>
      <c r="Z760" s="10">
        <v>163</v>
      </c>
      <c r="AA760" s="10">
        <v>7</v>
      </c>
      <c r="AB760" s="10">
        <v>11.3</v>
      </c>
      <c r="AC760" s="9" t="s">
        <v>188</v>
      </c>
      <c r="AD760" s="10"/>
      <c r="AE760" s="10"/>
      <c r="AF760" s="10"/>
      <c r="AG760" s="10"/>
    </row>
    <row r="761" spans="1:33">
      <c r="A761" s="7" t="s">
        <v>155</v>
      </c>
      <c r="B761" s="8" t="s">
        <v>1160</v>
      </c>
      <c r="C761" s="9" t="s">
        <v>522</v>
      </c>
      <c r="D761" s="10">
        <v>191</v>
      </c>
      <c r="E761" s="9" t="s">
        <v>158</v>
      </c>
      <c r="F761" s="10">
        <v>191</v>
      </c>
      <c r="G761" s="10">
        <v>190.8</v>
      </c>
      <c r="H761" s="10">
        <v>143</v>
      </c>
      <c r="I761" s="10">
        <v>163</v>
      </c>
      <c r="J761" s="10">
        <v>137</v>
      </c>
      <c r="K761" s="10">
        <v>98</v>
      </c>
      <c r="L761" s="10">
        <v>122</v>
      </c>
      <c r="M761" s="10">
        <v>20.8</v>
      </c>
      <c r="N761" s="10">
        <v>2358</v>
      </c>
      <c r="O761" s="10">
        <v>0.89</v>
      </c>
      <c r="P761" s="10">
        <v>2098</v>
      </c>
      <c r="Q761" s="10">
        <v>314</v>
      </c>
      <c r="R761" s="10">
        <v>180</v>
      </c>
      <c r="S761" s="10">
        <v>53</v>
      </c>
      <c r="T761" s="10">
        <v>301</v>
      </c>
      <c r="U761" s="10">
        <v>17</v>
      </c>
      <c r="V761" s="10">
        <v>182</v>
      </c>
      <c r="W761" s="10">
        <v>0.32400000000000001</v>
      </c>
      <c r="X761" s="10">
        <v>151</v>
      </c>
      <c r="Y761" s="10">
        <v>123</v>
      </c>
      <c r="Z761" s="10">
        <v>149</v>
      </c>
      <c r="AA761" s="10">
        <v>8</v>
      </c>
      <c r="AB761" s="10">
        <v>12</v>
      </c>
      <c r="AC761" s="9" t="s">
        <v>188</v>
      </c>
      <c r="AD761" s="10"/>
      <c r="AE761" s="10"/>
      <c r="AF761" s="10"/>
      <c r="AG761" s="10"/>
    </row>
    <row r="762" spans="1:33">
      <c r="A762" s="7" t="s">
        <v>155</v>
      </c>
      <c r="B762" s="8" t="s">
        <v>1160</v>
      </c>
      <c r="C762" s="9" t="s">
        <v>606</v>
      </c>
      <c r="D762" s="10">
        <v>145</v>
      </c>
      <c r="E762" s="9" t="s">
        <v>385</v>
      </c>
      <c r="F762" s="10">
        <v>145</v>
      </c>
      <c r="G762" s="10">
        <v>145.1</v>
      </c>
      <c r="H762" s="10">
        <v>95</v>
      </c>
      <c r="I762" s="10">
        <v>110</v>
      </c>
      <c r="J762" s="10">
        <v>126</v>
      </c>
      <c r="K762" s="10">
        <v>98</v>
      </c>
      <c r="L762" s="10">
        <v>116</v>
      </c>
      <c r="M762" s="10">
        <v>12.2</v>
      </c>
      <c r="N762" s="10">
        <v>1310</v>
      </c>
      <c r="O762" s="10">
        <v>1.19</v>
      </c>
      <c r="P762" s="10">
        <v>1554</v>
      </c>
      <c r="Q762" s="10">
        <v>112</v>
      </c>
      <c r="R762" s="10">
        <v>70</v>
      </c>
      <c r="S762" s="10">
        <v>43</v>
      </c>
      <c r="T762" s="10">
        <v>310</v>
      </c>
      <c r="U762" s="10">
        <v>16</v>
      </c>
      <c r="V762" s="10">
        <v>192</v>
      </c>
      <c r="W762" s="10">
        <v>0.38400000000000001</v>
      </c>
      <c r="X762" s="10">
        <v>192</v>
      </c>
      <c r="Y762" s="10">
        <v>156</v>
      </c>
      <c r="Z762" s="10">
        <v>119</v>
      </c>
      <c r="AA762" s="10">
        <v>4</v>
      </c>
      <c r="AB762" s="10">
        <v>8.1</v>
      </c>
      <c r="AC762" s="9" t="s">
        <v>188</v>
      </c>
      <c r="AD762" s="9" t="s">
        <v>185</v>
      </c>
      <c r="AE762" s="10"/>
      <c r="AF762" s="10"/>
      <c r="AG762" s="10"/>
    </row>
    <row r="763" spans="1:33">
      <c r="A763" s="7" t="s">
        <v>155</v>
      </c>
      <c r="B763" s="8" t="s">
        <v>1160</v>
      </c>
      <c r="C763" s="9" t="s">
        <v>606</v>
      </c>
      <c r="D763" s="10">
        <v>165</v>
      </c>
      <c r="E763" s="9" t="s">
        <v>385</v>
      </c>
      <c r="F763" s="10">
        <v>165</v>
      </c>
      <c r="G763" s="10">
        <v>165.4</v>
      </c>
      <c r="H763" s="10">
        <v>109</v>
      </c>
      <c r="I763" s="10">
        <v>129</v>
      </c>
      <c r="J763" s="10">
        <v>126</v>
      </c>
      <c r="K763" s="10">
        <v>97</v>
      </c>
      <c r="L763" s="10">
        <v>115</v>
      </c>
      <c r="M763" s="10">
        <v>16.7</v>
      </c>
      <c r="N763" s="10">
        <v>1603</v>
      </c>
      <c r="O763" s="10">
        <v>1.1000000000000001</v>
      </c>
      <c r="P763" s="10">
        <v>1765</v>
      </c>
      <c r="Q763" s="10">
        <v>167</v>
      </c>
      <c r="R763" s="10">
        <v>86</v>
      </c>
      <c r="S763" s="10">
        <v>45</v>
      </c>
      <c r="T763" s="10">
        <v>351</v>
      </c>
      <c r="U763" s="10">
        <v>19</v>
      </c>
      <c r="V763" s="10">
        <v>214</v>
      </c>
      <c r="W763" s="10">
        <v>0.434</v>
      </c>
      <c r="X763" s="10">
        <v>197</v>
      </c>
      <c r="Y763" s="10">
        <v>169</v>
      </c>
      <c r="Z763" s="10">
        <v>154</v>
      </c>
      <c r="AA763" s="10">
        <v>5</v>
      </c>
      <c r="AB763" s="10">
        <v>9.6</v>
      </c>
      <c r="AC763" s="9" t="s">
        <v>188</v>
      </c>
      <c r="AD763" s="9" t="s">
        <v>185</v>
      </c>
      <c r="AE763" s="10"/>
      <c r="AF763" s="10"/>
      <c r="AG763" s="10"/>
    </row>
    <row r="764" spans="1:33">
      <c r="A764" s="7" t="s">
        <v>155</v>
      </c>
      <c r="B764" s="8" t="s">
        <v>1160</v>
      </c>
      <c r="C764" s="9" t="s">
        <v>489</v>
      </c>
      <c r="D764" s="10">
        <v>163</v>
      </c>
      <c r="E764" s="9" t="s">
        <v>158</v>
      </c>
      <c r="F764" s="10">
        <v>163</v>
      </c>
      <c r="G764" s="10">
        <v>160.6</v>
      </c>
      <c r="H764" s="10">
        <v>98</v>
      </c>
      <c r="I764" s="10">
        <v>123</v>
      </c>
      <c r="J764" s="10">
        <v>123</v>
      </c>
      <c r="K764" s="10">
        <v>95</v>
      </c>
      <c r="L764" s="10">
        <v>117</v>
      </c>
      <c r="M764" s="10">
        <v>13.7</v>
      </c>
      <c r="N764" s="10">
        <v>1883</v>
      </c>
      <c r="O764" s="10">
        <v>0.9</v>
      </c>
      <c r="P764" s="10">
        <v>1685</v>
      </c>
      <c r="Q764" s="10">
        <v>207</v>
      </c>
      <c r="R764" s="10">
        <v>110</v>
      </c>
      <c r="S764" s="10">
        <v>40</v>
      </c>
      <c r="T764" s="10">
        <v>306</v>
      </c>
      <c r="U764" s="10">
        <v>40</v>
      </c>
      <c r="V764" s="10">
        <v>317</v>
      </c>
      <c r="W764" s="10">
        <v>1.004</v>
      </c>
      <c r="X764" s="10">
        <v>182</v>
      </c>
      <c r="Y764" s="10">
        <v>192</v>
      </c>
      <c r="Z764" s="10">
        <v>125</v>
      </c>
      <c r="AA764" s="10">
        <v>6</v>
      </c>
      <c r="AB764" s="10">
        <v>5</v>
      </c>
      <c r="AC764" s="9" t="s">
        <v>184</v>
      </c>
      <c r="AD764" s="10"/>
      <c r="AE764" s="10"/>
      <c r="AF764" s="10"/>
      <c r="AG764" s="10"/>
    </row>
    <row r="765" spans="1:33">
      <c r="A765" s="7" t="s">
        <v>155</v>
      </c>
      <c r="B765" s="8" t="s">
        <v>1160</v>
      </c>
      <c r="C765" s="9" t="s">
        <v>489</v>
      </c>
      <c r="D765" s="10">
        <v>170</v>
      </c>
      <c r="E765" s="9" t="s">
        <v>158</v>
      </c>
      <c r="F765" s="10">
        <v>170</v>
      </c>
      <c r="G765" s="10">
        <v>168.2</v>
      </c>
      <c r="H765" s="10">
        <v>97</v>
      </c>
      <c r="I765" s="10">
        <v>131</v>
      </c>
      <c r="J765" s="10">
        <v>123</v>
      </c>
      <c r="K765" s="10">
        <v>95</v>
      </c>
      <c r="L765" s="10">
        <v>117</v>
      </c>
      <c r="M765" s="10">
        <v>15.4</v>
      </c>
      <c r="N765" s="10">
        <v>1935</v>
      </c>
      <c r="O765" s="10">
        <v>0.91</v>
      </c>
      <c r="P765" s="10">
        <v>1769</v>
      </c>
      <c r="Q765" s="10">
        <v>202</v>
      </c>
      <c r="R765" s="10">
        <v>104</v>
      </c>
      <c r="S765" s="10">
        <v>43</v>
      </c>
      <c r="T765" s="10">
        <v>368</v>
      </c>
      <c r="U765" s="10">
        <v>42</v>
      </c>
      <c r="V765" s="10">
        <v>340</v>
      </c>
      <c r="W765" s="10">
        <v>0.98399999999999999</v>
      </c>
      <c r="X765" s="10">
        <v>188</v>
      </c>
      <c r="Y765" s="10">
        <v>185</v>
      </c>
      <c r="Z765" s="10">
        <v>180</v>
      </c>
      <c r="AA765" s="10">
        <v>5</v>
      </c>
      <c r="AB765" s="10">
        <v>5.3</v>
      </c>
      <c r="AC765" s="9" t="s">
        <v>184</v>
      </c>
      <c r="AD765" s="10"/>
      <c r="AE765" s="10"/>
      <c r="AF765" s="10"/>
      <c r="AG765" s="10"/>
    </row>
    <row r="766" spans="1:33">
      <c r="A766" s="7" t="s">
        <v>155</v>
      </c>
      <c r="B766" s="8" t="s">
        <v>1160</v>
      </c>
      <c r="C766" s="9" t="s">
        <v>489</v>
      </c>
      <c r="D766" s="10">
        <v>177</v>
      </c>
      <c r="E766" s="9" t="s">
        <v>158</v>
      </c>
      <c r="F766" s="10">
        <v>177</v>
      </c>
      <c r="G766" s="10">
        <v>175.6</v>
      </c>
      <c r="H766" s="10">
        <v>106</v>
      </c>
      <c r="I766" s="10">
        <v>138</v>
      </c>
      <c r="J766" s="10">
        <v>123</v>
      </c>
      <c r="K766" s="10">
        <v>95</v>
      </c>
      <c r="L766" s="10">
        <v>117</v>
      </c>
      <c r="M766" s="10">
        <v>17.3</v>
      </c>
      <c r="N766" s="10">
        <v>2037</v>
      </c>
      <c r="O766" s="10">
        <v>0.91</v>
      </c>
      <c r="P766" s="10">
        <v>1847</v>
      </c>
      <c r="Q766" s="10">
        <v>233</v>
      </c>
      <c r="R766" s="10">
        <v>108</v>
      </c>
      <c r="S766" s="10">
        <v>41</v>
      </c>
      <c r="T766" s="10">
        <v>328</v>
      </c>
      <c r="U766" s="10">
        <v>38</v>
      </c>
      <c r="V766" s="10">
        <v>370</v>
      </c>
      <c r="W766" s="10">
        <v>0.92900000000000005</v>
      </c>
      <c r="X766" s="10">
        <v>190</v>
      </c>
      <c r="Y766" s="10">
        <v>184</v>
      </c>
      <c r="Z766" s="10">
        <v>137</v>
      </c>
      <c r="AA766" s="10">
        <v>6</v>
      </c>
      <c r="AB766" s="10">
        <v>5.5</v>
      </c>
      <c r="AC766" s="9" t="s">
        <v>184</v>
      </c>
      <c r="AD766" s="10"/>
      <c r="AE766" s="10"/>
      <c r="AF766" s="10"/>
      <c r="AG766" s="10"/>
    </row>
    <row r="767" spans="1:33">
      <c r="A767" s="7" t="s">
        <v>155</v>
      </c>
      <c r="B767" s="8" t="s">
        <v>1160</v>
      </c>
      <c r="C767" s="9" t="s">
        <v>489</v>
      </c>
      <c r="D767" s="10">
        <v>184</v>
      </c>
      <c r="E767" s="9" t="s">
        <v>158</v>
      </c>
      <c r="F767" s="10">
        <v>184</v>
      </c>
      <c r="G767" s="10">
        <v>182.9</v>
      </c>
      <c r="H767" s="10">
        <v>110</v>
      </c>
      <c r="I767" s="10">
        <v>145</v>
      </c>
      <c r="J767" s="10">
        <v>124</v>
      </c>
      <c r="K767" s="10">
        <v>95</v>
      </c>
      <c r="L767" s="10">
        <v>117</v>
      </c>
      <c r="M767" s="10">
        <v>18.899999999999999</v>
      </c>
      <c r="N767" s="10">
        <v>2094</v>
      </c>
      <c r="O767" s="10">
        <v>0.92</v>
      </c>
      <c r="P767" s="10">
        <v>1922</v>
      </c>
      <c r="Q767" s="10">
        <v>212</v>
      </c>
      <c r="R767" s="10">
        <v>95</v>
      </c>
      <c r="S767" s="10">
        <v>42</v>
      </c>
      <c r="T767" s="10">
        <v>358</v>
      </c>
      <c r="U767" s="10">
        <v>39</v>
      </c>
      <c r="V767" s="10">
        <v>374</v>
      </c>
      <c r="W767" s="10">
        <v>0.92500000000000004</v>
      </c>
      <c r="X767" s="10">
        <v>186</v>
      </c>
      <c r="Y767" s="10">
        <v>190</v>
      </c>
      <c r="Z767" s="10">
        <v>172</v>
      </c>
      <c r="AA767" s="10">
        <v>6</v>
      </c>
      <c r="AB767" s="10">
        <v>5.9</v>
      </c>
      <c r="AC767" s="9" t="s">
        <v>184</v>
      </c>
      <c r="AD767" s="10"/>
      <c r="AE767" s="10"/>
      <c r="AF767" s="10"/>
      <c r="AG767" s="10"/>
    </row>
    <row r="768" spans="1:33">
      <c r="A768" s="7" t="s">
        <v>155</v>
      </c>
      <c r="B768" s="8" t="s">
        <v>1160</v>
      </c>
      <c r="C768" s="9" t="s">
        <v>603</v>
      </c>
      <c r="D768" s="10">
        <v>169</v>
      </c>
      <c r="E768" s="9" t="s">
        <v>158</v>
      </c>
      <c r="F768" s="10">
        <v>169</v>
      </c>
      <c r="G768" s="10">
        <v>169.1</v>
      </c>
      <c r="H768" s="10">
        <v>123</v>
      </c>
      <c r="I768" s="10">
        <v>135</v>
      </c>
      <c r="J768" s="10">
        <v>111</v>
      </c>
      <c r="K768" s="10">
        <v>85</v>
      </c>
      <c r="L768" s="10">
        <v>106</v>
      </c>
      <c r="M768" s="10">
        <v>18.399999999999999</v>
      </c>
      <c r="N768" s="10">
        <v>1677</v>
      </c>
      <c r="O768" s="10">
        <v>0.95</v>
      </c>
      <c r="P768" s="10">
        <v>1600</v>
      </c>
      <c r="Q768" s="10">
        <v>157</v>
      </c>
      <c r="R768" s="10">
        <v>87</v>
      </c>
      <c r="S768" s="10">
        <v>48</v>
      </c>
      <c r="T768" s="10">
        <v>220</v>
      </c>
      <c r="U768" s="10">
        <v>44</v>
      </c>
      <c r="V768" s="10">
        <v>237</v>
      </c>
      <c r="W768" s="10">
        <v>0.92800000000000005</v>
      </c>
      <c r="X768" s="10">
        <v>161</v>
      </c>
      <c r="Y768" s="10">
        <v>183</v>
      </c>
      <c r="Z768" s="10">
        <v>59</v>
      </c>
      <c r="AA768" s="10">
        <v>5</v>
      </c>
      <c r="AB768" s="10">
        <v>4.7</v>
      </c>
      <c r="AC768" s="9" t="s">
        <v>184</v>
      </c>
      <c r="AD768" s="10"/>
      <c r="AE768" s="10"/>
      <c r="AF768" s="10"/>
      <c r="AG768" s="10"/>
    </row>
    <row r="769" spans="1:33">
      <c r="A769" s="7" t="s">
        <v>155</v>
      </c>
      <c r="B769" s="8" t="s">
        <v>1160</v>
      </c>
      <c r="C769" s="9" t="s">
        <v>511</v>
      </c>
      <c r="D769" s="10">
        <v>163</v>
      </c>
      <c r="E769" s="9" t="s">
        <v>158</v>
      </c>
      <c r="F769" s="10">
        <v>163</v>
      </c>
      <c r="G769" s="10">
        <v>163.6</v>
      </c>
      <c r="H769" s="10">
        <v>95</v>
      </c>
      <c r="I769" s="10">
        <v>134</v>
      </c>
      <c r="J769" s="10">
        <v>133</v>
      </c>
      <c r="K769" s="10">
        <v>101</v>
      </c>
      <c r="L769" s="10">
        <v>125</v>
      </c>
      <c r="M769" s="10">
        <v>14.9</v>
      </c>
      <c r="N769" s="10">
        <v>1597</v>
      </c>
      <c r="O769" s="10">
        <v>1.1399999999999999</v>
      </c>
      <c r="P769" s="10">
        <v>1828</v>
      </c>
      <c r="Q769" s="10">
        <v>143</v>
      </c>
      <c r="R769" s="10">
        <v>72</v>
      </c>
      <c r="S769" s="10">
        <v>53</v>
      </c>
      <c r="T769" s="10">
        <v>343</v>
      </c>
      <c r="U769" s="10">
        <v>50</v>
      </c>
      <c r="V769" s="10">
        <v>348</v>
      </c>
      <c r="W769" s="10">
        <v>0.94099999999999995</v>
      </c>
      <c r="X769" s="10">
        <v>147</v>
      </c>
      <c r="Y769" s="10">
        <v>145</v>
      </c>
      <c r="Z769" s="10">
        <v>196</v>
      </c>
      <c r="AA769" s="10">
        <v>4</v>
      </c>
      <c r="AB769" s="10">
        <v>3.7</v>
      </c>
      <c r="AC769" s="9" t="s">
        <v>184</v>
      </c>
      <c r="AD769" s="9" t="s">
        <v>169</v>
      </c>
      <c r="AE769" s="9" t="s">
        <v>185</v>
      </c>
      <c r="AF769" s="10"/>
      <c r="AG769" s="10"/>
    </row>
    <row r="770" spans="1:33">
      <c r="A770" s="7" t="s">
        <v>155</v>
      </c>
      <c r="B770" s="8" t="s">
        <v>1160</v>
      </c>
      <c r="C770" s="9" t="s">
        <v>511</v>
      </c>
      <c r="D770" s="10">
        <v>170</v>
      </c>
      <c r="E770" s="9" t="s">
        <v>158</v>
      </c>
      <c r="F770" s="10">
        <v>170</v>
      </c>
      <c r="G770" s="10">
        <v>170.2</v>
      </c>
      <c r="H770" s="10">
        <v>100</v>
      </c>
      <c r="I770" s="10">
        <v>140</v>
      </c>
      <c r="J770" s="10">
        <v>133</v>
      </c>
      <c r="K770" s="10">
        <v>101</v>
      </c>
      <c r="L770" s="10">
        <v>126</v>
      </c>
      <c r="M770" s="10">
        <v>16.3</v>
      </c>
      <c r="N770" s="10">
        <v>1728</v>
      </c>
      <c r="O770" s="10">
        <v>1.1100000000000001</v>
      </c>
      <c r="P770" s="10">
        <v>1911</v>
      </c>
      <c r="Q770" s="10">
        <v>175</v>
      </c>
      <c r="R770" s="10">
        <v>71</v>
      </c>
      <c r="S770" s="10">
        <v>52</v>
      </c>
      <c r="T770" s="10">
        <v>338</v>
      </c>
      <c r="U770" s="10">
        <v>50</v>
      </c>
      <c r="V770" s="10">
        <v>367</v>
      </c>
      <c r="W770" s="10">
        <v>0.95899999999999996</v>
      </c>
      <c r="X770" s="10">
        <v>147</v>
      </c>
      <c r="Y770" s="10">
        <v>150</v>
      </c>
      <c r="Z770" s="10">
        <v>191</v>
      </c>
      <c r="AA770" s="10">
        <v>5</v>
      </c>
      <c r="AB770" s="10">
        <v>4.2</v>
      </c>
      <c r="AC770" s="9" t="s">
        <v>184</v>
      </c>
      <c r="AD770" s="9" t="s">
        <v>169</v>
      </c>
      <c r="AE770" s="9" t="s">
        <v>185</v>
      </c>
      <c r="AF770" s="10"/>
      <c r="AG770" s="10"/>
    </row>
    <row r="771" spans="1:33">
      <c r="A771" s="7" t="s">
        <v>155</v>
      </c>
      <c r="B771" s="8" t="s">
        <v>1160</v>
      </c>
      <c r="C771" s="9" t="s">
        <v>511</v>
      </c>
      <c r="D771" s="10">
        <v>177</v>
      </c>
      <c r="E771" s="9" t="s">
        <v>158</v>
      </c>
      <c r="F771" s="10">
        <v>177</v>
      </c>
      <c r="G771" s="10">
        <v>177</v>
      </c>
      <c r="H771" s="10">
        <v>114</v>
      </c>
      <c r="I771" s="10">
        <v>148</v>
      </c>
      <c r="J771" s="10">
        <v>133</v>
      </c>
      <c r="K771" s="10">
        <v>101</v>
      </c>
      <c r="L771" s="10">
        <v>126</v>
      </c>
      <c r="M771" s="10">
        <v>18.100000000000001</v>
      </c>
      <c r="N771" s="10">
        <v>1773</v>
      </c>
      <c r="O771" s="10">
        <v>1.1200000000000001</v>
      </c>
      <c r="P771" s="10">
        <v>1989</v>
      </c>
      <c r="Q771" s="10">
        <v>168</v>
      </c>
      <c r="R771" s="10">
        <v>69</v>
      </c>
      <c r="S771" s="10">
        <v>51</v>
      </c>
      <c r="T771" s="10">
        <v>316</v>
      </c>
      <c r="U771" s="10">
        <v>47</v>
      </c>
      <c r="V771" s="10">
        <v>315</v>
      </c>
      <c r="W771" s="10">
        <v>0.92400000000000004</v>
      </c>
      <c r="X771" s="10">
        <v>147</v>
      </c>
      <c r="Y771" s="10">
        <v>139</v>
      </c>
      <c r="Z771" s="10">
        <v>169</v>
      </c>
      <c r="AA771" s="10">
        <v>6</v>
      </c>
      <c r="AB771" s="10">
        <v>4.4000000000000004</v>
      </c>
      <c r="AC771" s="9" t="s">
        <v>184</v>
      </c>
      <c r="AD771" s="9" t="s">
        <v>169</v>
      </c>
      <c r="AE771" s="9" t="s">
        <v>185</v>
      </c>
      <c r="AF771" s="10"/>
      <c r="AG771" s="10"/>
    </row>
    <row r="772" spans="1:33">
      <c r="A772" s="7" t="s">
        <v>155</v>
      </c>
      <c r="B772" s="8" t="s">
        <v>1160</v>
      </c>
      <c r="C772" s="9" t="s">
        <v>511</v>
      </c>
      <c r="D772" s="10">
        <v>184</v>
      </c>
      <c r="E772" s="9" t="s">
        <v>158</v>
      </c>
      <c r="F772" s="10">
        <v>184</v>
      </c>
      <c r="G772" s="10">
        <v>184.2</v>
      </c>
      <c r="H772" s="10">
        <v>121</v>
      </c>
      <c r="I772" s="10">
        <v>155</v>
      </c>
      <c r="J772" s="10">
        <v>134</v>
      </c>
      <c r="K772" s="10">
        <v>101</v>
      </c>
      <c r="L772" s="10">
        <v>126</v>
      </c>
      <c r="M772" s="10">
        <v>19.8</v>
      </c>
      <c r="N772" s="10">
        <v>1875</v>
      </c>
      <c r="O772" s="10">
        <v>1.1000000000000001</v>
      </c>
      <c r="P772" s="10">
        <v>2065</v>
      </c>
      <c r="Q772" s="10">
        <v>210</v>
      </c>
      <c r="R772" s="10">
        <v>85</v>
      </c>
      <c r="S772" s="10">
        <v>46</v>
      </c>
      <c r="T772" s="10">
        <v>333</v>
      </c>
      <c r="U772" s="10">
        <v>43</v>
      </c>
      <c r="V772" s="10">
        <v>302</v>
      </c>
      <c r="W772" s="10">
        <v>0.92700000000000005</v>
      </c>
      <c r="X772" s="10">
        <v>147</v>
      </c>
      <c r="Y772" s="10">
        <v>147</v>
      </c>
      <c r="Z772" s="10">
        <v>186</v>
      </c>
      <c r="AA772" s="10">
        <v>7</v>
      </c>
      <c r="AB772" s="10">
        <v>4.8</v>
      </c>
      <c r="AC772" s="9" t="s">
        <v>184</v>
      </c>
      <c r="AD772" s="9" t="s">
        <v>169</v>
      </c>
      <c r="AE772" s="9" t="s">
        <v>185</v>
      </c>
      <c r="AF772" s="10"/>
      <c r="AG772" s="10"/>
    </row>
    <row r="773" spans="1:33">
      <c r="A773" s="7" t="s">
        <v>155</v>
      </c>
      <c r="B773" s="8" t="s">
        <v>1160</v>
      </c>
      <c r="C773" s="9" t="s">
        <v>298</v>
      </c>
      <c r="D773" s="10">
        <v>177</v>
      </c>
      <c r="E773" s="9" t="s">
        <v>158</v>
      </c>
      <c r="F773" s="10">
        <v>177</v>
      </c>
      <c r="G773" s="10">
        <v>177.5</v>
      </c>
      <c r="H773" s="10">
        <v>106</v>
      </c>
      <c r="I773" s="10">
        <v>133</v>
      </c>
      <c r="J773" s="10">
        <v>136</v>
      </c>
      <c r="K773" s="10">
        <v>111</v>
      </c>
      <c r="L773" s="10">
        <v>126</v>
      </c>
      <c r="M773" s="10">
        <v>20.9</v>
      </c>
      <c r="N773" s="10">
        <v>1827</v>
      </c>
      <c r="O773" s="10">
        <v>1.1499999999999999</v>
      </c>
      <c r="P773" s="10">
        <v>2109</v>
      </c>
      <c r="Q773" s="10">
        <v>189</v>
      </c>
      <c r="R773" s="10">
        <v>81</v>
      </c>
      <c r="S773" s="10">
        <v>50</v>
      </c>
      <c r="T773" s="10">
        <v>380</v>
      </c>
      <c r="U773" s="10">
        <v>36</v>
      </c>
      <c r="V773" s="10">
        <v>340</v>
      </c>
      <c r="W773" s="10">
        <v>0.70699999999999996</v>
      </c>
      <c r="X773" s="10">
        <v>218</v>
      </c>
      <c r="Y773" s="10">
        <v>226</v>
      </c>
      <c r="Z773" s="10">
        <v>162</v>
      </c>
      <c r="AA773" s="10">
        <v>5</v>
      </c>
      <c r="AB773" s="10">
        <v>5.7</v>
      </c>
      <c r="AC773" s="9" t="s">
        <v>169</v>
      </c>
      <c r="AD773" s="9" t="s">
        <v>185</v>
      </c>
      <c r="AE773" s="10"/>
      <c r="AF773" s="10"/>
      <c r="AG773" s="10"/>
    </row>
    <row r="774" spans="1:33">
      <c r="A774" s="7" t="s">
        <v>155</v>
      </c>
      <c r="B774" s="8" t="s">
        <v>1160</v>
      </c>
      <c r="C774" s="9" t="s">
        <v>298</v>
      </c>
      <c r="D774" s="10">
        <v>184</v>
      </c>
      <c r="E774" s="9" t="s">
        <v>158</v>
      </c>
      <c r="F774" s="10">
        <v>184</v>
      </c>
      <c r="G774" s="10">
        <v>184.2</v>
      </c>
      <c r="H774" s="10">
        <v>110</v>
      </c>
      <c r="I774" s="10">
        <v>141</v>
      </c>
      <c r="J774" s="10">
        <v>136</v>
      </c>
      <c r="K774" s="10">
        <v>112</v>
      </c>
      <c r="L774" s="10">
        <v>126</v>
      </c>
      <c r="M774" s="10">
        <v>22.8</v>
      </c>
      <c r="N774" s="10">
        <v>2012</v>
      </c>
      <c r="O774" s="10">
        <v>1.0900000000000001</v>
      </c>
      <c r="P774" s="10">
        <v>2190</v>
      </c>
      <c r="Q774" s="10">
        <v>202</v>
      </c>
      <c r="R774" s="10">
        <v>108</v>
      </c>
      <c r="S774" s="10">
        <v>53</v>
      </c>
      <c r="T774" s="10">
        <v>394</v>
      </c>
      <c r="U774" s="10">
        <v>40</v>
      </c>
      <c r="V774" s="10">
        <v>350</v>
      </c>
      <c r="W774" s="10">
        <v>0.75</v>
      </c>
      <c r="X774" s="10">
        <v>213</v>
      </c>
      <c r="Y774" s="10">
        <v>223</v>
      </c>
      <c r="Z774" s="10">
        <v>181</v>
      </c>
      <c r="AA774" s="10">
        <v>5</v>
      </c>
      <c r="AB774" s="10">
        <v>6.6</v>
      </c>
      <c r="AC774" s="9" t="s">
        <v>169</v>
      </c>
      <c r="AD774" s="9" t="s">
        <v>185</v>
      </c>
      <c r="AE774" s="10"/>
      <c r="AF774" s="10"/>
      <c r="AG774" s="10"/>
    </row>
    <row r="775" spans="1:33">
      <c r="A775" s="7" t="s">
        <v>155</v>
      </c>
      <c r="B775" s="8" t="s">
        <v>1160</v>
      </c>
      <c r="C775" s="9" t="s">
        <v>298</v>
      </c>
      <c r="D775" s="10">
        <v>191</v>
      </c>
      <c r="E775" s="9" t="s">
        <v>158</v>
      </c>
      <c r="F775" s="10">
        <v>191</v>
      </c>
      <c r="G775" s="10">
        <v>191.7</v>
      </c>
      <c r="H775" s="10">
        <v>120</v>
      </c>
      <c r="I775" s="10">
        <v>145</v>
      </c>
      <c r="J775" s="10">
        <v>135</v>
      </c>
      <c r="K775" s="10">
        <v>111</v>
      </c>
      <c r="L775" s="10">
        <v>127</v>
      </c>
      <c r="M775" s="10">
        <v>25.1</v>
      </c>
      <c r="N775" s="10">
        <v>2141</v>
      </c>
      <c r="O775" s="10">
        <v>1.06</v>
      </c>
      <c r="P775" s="10">
        <v>2276</v>
      </c>
      <c r="Q775" s="10">
        <v>230</v>
      </c>
      <c r="R775" s="10">
        <v>121</v>
      </c>
      <c r="S775" s="10">
        <v>55</v>
      </c>
      <c r="T775" s="10">
        <v>378</v>
      </c>
      <c r="U775" s="10">
        <v>50</v>
      </c>
      <c r="V775" s="10">
        <v>335</v>
      </c>
      <c r="W775" s="10">
        <v>0.90400000000000003</v>
      </c>
      <c r="X775" s="10">
        <v>218</v>
      </c>
      <c r="Y775" s="10">
        <v>244</v>
      </c>
      <c r="Z775" s="10">
        <v>159</v>
      </c>
      <c r="AA775" s="10">
        <v>7</v>
      </c>
      <c r="AB775" s="10">
        <v>5.9</v>
      </c>
      <c r="AC775" s="9" t="s">
        <v>184</v>
      </c>
      <c r="AD775" s="9" t="s">
        <v>169</v>
      </c>
      <c r="AE775" s="9" t="s">
        <v>185</v>
      </c>
      <c r="AF775" s="10"/>
      <c r="AG775" s="10"/>
    </row>
    <row r="776" spans="1:33">
      <c r="A776" s="7" t="s">
        <v>155</v>
      </c>
      <c r="B776" s="8" t="s">
        <v>1160</v>
      </c>
      <c r="C776" s="9" t="s">
        <v>708</v>
      </c>
      <c r="D776" s="10">
        <v>177</v>
      </c>
      <c r="E776" s="9" t="s">
        <v>158</v>
      </c>
      <c r="F776" s="10">
        <v>177</v>
      </c>
      <c r="G776" s="10">
        <v>177.3</v>
      </c>
      <c r="H776" s="10">
        <v>93</v>
      </c>
      <c r="I776" s="10">
        <v>132</v>
      </c>
      <c r="J776" s="10">
        <v>144</v>
      </c>
      <c r="K776" s="10">
        <v>122</v>
      </c>
      <c r="L776" s="10">
        <v>135</v>
      </c>
      <c r="M776" s="10">
        <v>22.1</v>
      </c>
      <c r="N776" s="10">
        <v>2031</v>
      </c>
      <c r="O776" s="10">
        <v>1.1200000000000001</v>
      </c>
      <c r="P776" s="10">
        <v>2267</v>
      </c>
      <c r="Q776" s="10">
        <v>168</v>
      </c>
      <c r="R776" s="10">
        <v>96</v>
      </c>
      <c r="S776" s="10">
        <v>65</v>
      </c>
      <c r="T776" s="10">
        <v>438</v>
      </c>
      <c r="U776" s="10">
        <v>52</v>
      </c>
      <c r="V776" s="10">
        <v>404</v>
      </c>
      <c r="W776" s="10">
        <v>0.79300000000000004</v>
      </c>
      <c r="X776" s="10">
        <v>221</v>
      </c>
      <c r="Y776" s="10">
        <v>236</v>
      </c>
      <c r="Z776" s="10">
        <v>217</v>
      </c>
      <c r="AA776" s="10">
        <v>4</v>
      </c>
      <c r="AB776" s="10">
        <v>4.2</v>
      </c>
      <c r="AC776" s="9" t="s">
        <v>169</v>
      </c>
      <c r="AD776" s="9" t="s">
        <v>185</v>
      </c>
      <c r="AE776" s="10"/>
      <c r="AF776" s="10"/>
      <c r="AG776" s="10"/>
    </row>
    <row r="777" spans="1:33">
      <c r="A777" s="7" t="s">
        <v>155</v>
      </c>
      <c r="B777" s="8" t="s">
        <v>1160</v>
      </c>
      <c r="C777" s="9" t="s">
        <v>708</v>
      </c>
      <c r="D777" s="10">
        <v>184</v>
      </c>
      <c r="E777" s="9" t="s">
        <v>158</v>
      </c>
      <c r="F777" s="10">
        <v>184</v>
      </c>
      <c r="G777" s="10">
        <v>183.1</v>
      </c>
      <c r="H777" s="10">
        <v>96</v>
      </c>
      <c r="I777" s="10">
        <v>139</v>
      </c>
      <c r="J777" s="10">
        <v>144</v>
      </c>
      <c r="K777" s="10">
        <v>122</v>
      </c>
      <c r="L777" s="10">
        <v>135</v>
      </c>
      <c r="M777" s="10">
        <v>24.6</v>
      </c>
      <c r="N777" s="10">
        <v>2076</v>
      </c>
      <c r="O777" s="10">
        <v>1.1299999999999999</v>
      </c>
      <c r="P777" s="10">
        <v>2349</v>
      </c>
      <c r="Q777" s="10">
        <v>211</v>
      </c>
      <c r="R777" s="10">
        <v>107</v>
      </c>
      <c r="S777" s="10">
        <v>67</v>
      </c>
      <c r="T777" s="10">
        <v>459</v>
      </c>
      <c r="U777" s="10">
        <v>48</v>
      </c>
      <c r="V777" s="10">
        <v>414</v>
      </c>
      <c r="W777" s="10">
        <v>0.71399999999999997</v>
      </c>
      <c r="X777" s="10">
        <v>221</v>
      </c>
      <c r="Y777" s="10">
        <v>221</v>
      </c>
      <c r="Z777" s="10">
        <v>238</v>
      </c>
      <c r="AA777" s="10">
        <v>3</v>
      </c>
      <c r="AB777" s="10">
        <v>5.0999999999999996</v>
      </c>
      <c r="AC777" s="9" t="s">
        <v>169</v>
      </c>
      <c r="AD777" s="9" t="s">
        <v>185</v>
      </c>
      <c r="AE777" s="10"/>
      <c r="AF777" s="10"/>
      <c r="AG777" s="10"/>
    </row>
    <row r="778" spans="1:33">
      <c r="A778" s="7" t="s">
        <v>155</v>
      </c>
      <c r="B778" s="8" t="s">
        <v>1160</v>
      </c>
      <c r="C778" s="9" t="s">
        <v>708</v>
      </c>
      <c r="D778" s="10">
        <v>191</v>
      </c>
      <c r="E778" s="9" t="s">
        <v>158</v>
      </c>
      <c r="F778" s="10">
        <v>191</v>
      </c>
      <c r="G778" s="10">
        <v>191.1</v>
      </c>
      <c r="H778" s="10">
        <v>106</v>
      </c>
      <c r="I778" s="10">
        <v>145</v>
      </c>
      <c r="J778" s="10">
        <v>144</v>
      </c>
      <c r="K778" s="10">
        <v>122</v>
      </c>
      <c r="L778" s="10">
        <v>135</v>
      </c>
      <c r="M778" s="10">
        <v>26.6</v>
      </c>
      <c r="N778" s="10">
        <v>2123</v>
      </c>
      <c r="O778" s="10">
        <v>1.1499999999999999</v>
      </c>
      <c r="P778" s="10">
        <v>2445</v>
      </c>
      <c r="Q778" s="10">
        <v>217</v>
      </c>
      <c r="R778" s="10">
        <v>115</v>
      </c>
      <c r="S778" s="10">
        <v>67</v>
      </c>
      <c r="T778" s="10">
        <v>443</v>
      </c>
      <c r="U778" s="10">
        <v>56</v>
      </c>
      <c r="V778" s="10">
        <v>411</v>
      </c>
      <c r="W778" s="10">
        <v>0.84099999999999997</v>
      </c>
      <c r="X778" s="10">
        <v>226</v>
      </c>
      <c r="Y778" s="10">
        <v>234</v>
      </c>
      <c r="Z778" s="10">
        <v>217</v>
      </c>
      <c r="AA778" s="10">
        <v>4</v>
      </c>
      <c r="AB778" s="10">
        <v>5.5</v>
      </c>
      <c r="AC778" s="9" t="s">
        <v>184</v>
      </c>
      <c r="AD778" s="9" t="s">
        <v>169</v>
      </c>
      <c r="AE778" s="9" t="s">
        <v>185</v>
      </c>
      <c r="AF778" s="10"/>
      <c r="AG778" s="10"/>
    </row>
    <row r="779" spans="1:33">
      <c r="A779" s="7" t="s">
        <v>155</v>
      </c>
      <c r="B779" s="8" t="s">
        <v>1160</v>
      </c>
      <c r="C779" s="9" t="s">
        <v>579</v>
      </c>
      <c r="D779" s="10">
        <v>149</v>
      </c>
      <c r="E779" s="9" t="s">
        <v>158</v>
      </c>
      <c r="F779" s="10">
        <v>149</v>
      </c>
      <c r="G779" s="10">
        <v>148.9</v>
      </c>
      <c r="H779" s="10">
        <v>93</v>
      </c>
      <c r="I779" s="10">
        <v>124</v>
      </c>
      <c r="J779" s="10">
        <v>124</v>
      </c>
      <c r="K779" s="10">
        <v>91</v>
      </c>
      <c r="L779" s="10">
        <v>113</v>
      </c>
      <c r="M779" s="10">
        <v>12.6</v>
      </c>
      <c r="N779" s="10">
        <v>1499</v>
      </c>
      <c r="O779" s="10">
        <v>1.01</v>
      </c>
      <c r="P779" s="10">
        <v>1518</v>
      </c>
      <c r="Q779" s="10">
        <v>171</v>
      </c>
      <c r="R779" s="10">
        <v>84</v>
      </c>
      <c r="S779" s="10">
        <v>47</v>
      </c>
      <c r="T779" s="10">
        <v>288</v>
      </c>
      <c r="U779" s="10">
        <v>43</v>
      </c>
      <c r="V779" s="10">
        <v>272</v>
      </c>
      <c r="W779" s="10">
        <v>0.91500000000000004</v>
      </c>
      <c r="X779" s="10">
        <v>115</v>
      </c>
      <c r="Y779" s="10">
        <v>138</v>
      </c>
      <c r="Z779" s="10">
        <v>173</v>
      </c>
      <c r="AA779" s="10">
        <v>3</v>
      </c>
      <c r="AB779" s="10">
        <v>4.0999999999999996</v>
      </c>
      <c r="AC779" s="9" t="s">
        <v>184</v>
      </c>
      <c r="AD779" s="10"/>
      <c r="AE779" s="10"/>
      <c r="AF779" s="10"/>
      <c r="AG779" s="10"/>
    </row>
    <row r="780" spans="1:33">
      <c r="A780" s="7" t="s">
        <v>155</v>
      </c>
      <c r="B780" s="8" t="s">
        <v>1160</v>
      </c>
      <c r="C780" s="9" t="s">
        <v>579</v>
      </c>
      <c r="D780" s="10">
        <v>159</v>
      </c>
      <c r="E780" s="9" t="s">
        <v>158</v>
      </c>
      <c r="F780" s="10">
        <v>159</v>
      </c>
      <c r="G780" s="10">
        <v>158.80000000000001</v>
      </c>
      <c r="H780" s="10">
        <v>104</v>
      </c>
      <c r="I780" s="10">
        <v>133</v>
      </c>
      <c r="J780" s="10">
        <v>123</v>
      </c>
      <c r="K780" s="10">
        <v>91</v>
      </c>
      <c r="L780" s="10">
        <v>113</v>
      </c>
      <c r="M780" s="10">
        <v>14.8</v>
      </c>
      <c r="N780" s="10">
        <v>1522</v>
      </c>
      <c r="O780" s="10">
        <v>1.06</v>
      </c>
      <c r="P780" s="10">
        <v>1615</v>
      </c>
      <c r="Q780" s="10">
        <v>150</v>
      </c>
      <c r="R780" s="10">
        <v>68</v>
      </c>
      <c r="S780" s="10">
        <v>49</v>
      </c>
      <c r="T780" s="10">
        <v>278</v>
      </c>
      <c r="U780" s="10">
        <v>42</v>
      </c>
      <c r="V780" s="10">
        <v>274</v>
      </c>
      <c r="W780" s="10">
        <v>0.86499999999999999</v>
      </c>
      <c r="X780" s="10">
        <v>113</v>
      </c>
      <c r="Y780" s="10">
        <v>143</v>
      </c>
      <c r="Z780" s="10">
        <v>165</v>
      </c>
      <c r="AA780" s="10">
        <v>5</v>
      </c>
      <c r="AB780" s="10">
        <v>4.3</v>
      </c>
      <c r="AC780" s="9" t="s">
        <v>184</v>
      </c>
      <c r="AD780" s="9" t="s">
        <v>185</v>
      </c>
      <c r="AE780" s="10"/>
      <c r="AF780" s="10"/>
      <c r="AG780" s="10"/>
    </row>
    <row r="781" spans="1:33">
      <c r="A781" s="7" t="s">
        <v>155</v>
      </c>
      <c r="B781" s="8" t="s">
        <v>1160</v>
      </c>
      <c r="C781" s="9" t="s">
        <v>579</v>
      </c>
      <c r="D781" s="10">
        <v>169</v>
      </c>
      <c r="E781" s="9" t="s">
        <v>158</v>
      </c>
      <c r="F781" s="10">
        <v>169</v>
      </c>
      <c r="G781" s="10">
        <v>169</v>
      </c>
      <c r="H781" s="10">
        <v>113</v>
      </c>
      <c r="I781" s="10">
        <v>142</v>
      </c>
      <c r="J781" s="10">
        <v>124</v>
      </c>
      <c r="K781" s="10">
        <v>91</v>
      </c>
      <c r="L781" s="10">
        <v>113</v>
      </c>
      <c r="M781" s="10">
        <v>17.2</v>
      </c>
      <c r="N781" s="10">
        <v>1669</v>
      </c>
      <c r="O781" s="10">
        <v>1.03</v>
      </c>
      <c r="P781" s="10">
        <v>1717</v>
      </c>
      <c r="Q781" s="10">
        <v>148</v>
      </c>
      <c r="R781" s="10">
        <v>76</v>
      </c>
      <c r="S781" s="10">
        <v>51</v>
      </c>
      <c r="T781" s="10">
        <v>287</v>
      </c>
      <c r="U781" s="10">
        <v>45</v>
      </c>
      <c r="V781" s="10">
        <v>274</v>
      </c>
      <c r="W781" s="10">
        <v>0.88600000000000001</v>
      </c>
      <c r="X781" s="10">
        <v>121</v>
      </c>
      <c r="Y781" s="10">
        <v>150</v>
      </c>
      <c r="Z781" s="10">
        <v>167</v>
      </c>
      <c r="AA781" s="10">
        <v>6</v>
      </c>
      <c r="AB781" s="10">
        <v>4.8</v>
      </c>
      <c r="AC781" s="9" t="s">
        <v>184</v>
      </c>
      <c r="AD781" s="10"/>
      <c r="AE781" s="10"/>
      <c r="AF781" s="10"/>
      <c r="AG781" s="10"/>
    </row>
    <row r="782" spans="1:33">
      <c r="A782" s="7" t="s">
        <v>155</v>
      </c>
      <c r="B782" s="8" t="s">
        <v>1160</v>
      </c>
      <c r="C782" s="9" t="s">
        <v>579</v>
      </c>
      <c r="D782" s="10">
        <v>179</v>
      </c>
      <c r="E782" s="9" t="s">
        <v>158</v>
      </c>
      <c r="F782" s="10">
        <v>179</v>
      </c>
      <c r="G782" s="10">
        <v>178.8</v>
      </c>
      <c r="H782" s="10">
        <v>121</v>
      </c>
      <c r="I782" s="10">
        <v>153</v>
      </c>
      <c r="J782" s="10">
        <v>123</v>
      </c>
      <c r="K782" s="10">
        <v>90</v>
      </c>
      <c r="L782" s="10">
        <v>113</v>
      </c>
      <c r="M782" s="10">
        <v>19.8</v>
      </c>
      <c r="N782" s="10">
        <v>1790</v>
      </c>
      <c r="O782" s="10">
        <v>1.01</v>
      </c>
      <c r="P782" s="10">
        <v>1806</v>
      </c>
      <c r="Q782" s="10">
        <v>185</v>
      </c>
      <c r="R782" s="10">
        <v>84</v>
      </c>
      <c r="S782" s="10">
        <v>47</v>
      </c>
      <c r="T782" s="10">
        <v>303</v>
      </c>
      <c r="U782" s="10">
        <v>44</v>
      </c>
      <c r="V782" s="10">
        <v>280</v>
      </c>
      <c r="W782" s="10">
        <v>0.92100000000000004</v>
      </c>
      <c r="X782" s="10">
        <v>115</v>
      </c>
      <c r="Y782" s="10">
        <v>146</v>
      </c>
      <c r="Z782" s="10">
        <v>187</v>
      </c>
      <c r="AA782" s="10">
        <v>8</v>
      </c>
      <c r="AB782" s="10">
        <v>5.5</v>
      </c>
      <c r="AC782" s="9" t="s">
        <v>184</v>
      </c>
      <c r="AD782" s="10"/>
      <c r="AE782" s="10"/>
      <c r="AF782" s="10"/>
      <c r="AG782" s="10"/>
    </row>
    <row r="783" spans="1:33">
      <c r="A783" s="7" t="s">
        <v>155</v>
      </c>
      <c r="B783" s="8" t="s">
        <v>1160</v>
      </c>
      <c r="C783" s="9" t="s">
        <v>670</v>
      </c>
      <c r="D783" s="10">
        <v>149</v>
      </c>
      <c r="E783" s="9" t="s">
        <v>163</v>
      </c>
      <c r="F783" s="10">
        <v>149</v>
      </c>
      <c r="G783" s="10">
        <v>148.9</v>
      </c>
      <c r="H783" s="10">
        <v>98</v>
      </c>
      <c r="I783" s="10">
        <v>123</v>
      </c>
      <c r="J783" s="10">
        <v>124</v>
      </c>
      <c r="K783" s="10">
        <v>91</v>
      </c>
      <c r="L783" s="10">
        <v>113</v>
      </c>
      <c r="M783" s="10">
        <v>12.6</v>
      </c>
      <c r="N783" s="10">
        <v>1525</v>
      </c>
      <c r="O783" s="10">
        <v>0.99</v>
      </c>
      <c r="P783" s="10">
        <v>1516</v>
      </c>
      <c r="Q783" s="10">
        <v>164</v>
      </c>
      <c r="R783" s="10">
        <v>86</v>
      </c>
      <c r="S783" s="10">
        <v>47</v>
      </c>
      <c r="T783" s="10">
        <v>250</v>
      </c>
      <c r="U783" s="10">
        <v>41</v>
      </c>
      <c r="V783" s="10">
        <v>257</v>
      </c>
      <c r="W783" s="10">
        <v>0.88100000000000001</v>
      </c>
      <c r="X783" s="10">
        <v>120</v>
      </c>
      <c r="Y783" s="10">
        <v>142</v>
      </c>
      <c r="Z783" s="10">
        <v>129</v>
      </c>
      <c r="AA783" s="10">
        <v>3</v>
      </c>
      <c r="AB783" s="10">
        <v>4</v>
      </c>
      <c r="AC783" s="9" t="s">
        <v>184</v>
      </c>
      <c r="AD783" s="10"/>
      <c r="AE783" s="10"/>
      <c r="AF783" s="10"/>
      <c r="AG783" s="10"/>
    </row>
    <row r="784" spans="1:33">
      <c r="A784" s="7" t="s">
        <v>155</v>
      </c>
      <c r="B784" s="8" t="s">
        <v>1160</v>
      </c>
      <c r="C784" s="9" t="s">
        <v>670</v>
      </c>
      <c r="D784" s="10">
        <v>159</v>
      </c>
      <c r="E784" s="9" t="s">
        <v>163</v>
      </c>
      <c r="F784" s="10">
        <v>159</v>
      </c>
      <c r="G784" s="10">
        <v>158.9</v>
      </c>
      <c r="H784" s="10">
        <v>106</v>
      </c>
      <c r="I784" s="10">
        <v>134</v>
      </c>
      <c r="J784" s="10">
        <v>124</v>
      </c>
      <c r="K784" s="10">
        <v>91</v>
      </c>
      <c r="L784" s="10">
        <v>113</v>
      </c>
      <c r="M784" s="10">
        <v>14.9</v>
      </c>
      <c r="N784" s="10">
        <v>1562</v>
      </c>
      <c r="O784" s="10">
        <v>1.04</v>
      </c>
      <c r="P784" s="10">
        <v>1617</v>
      </c>
      <c r="Q784" s="10">
        <v>163</v>
      </c>
      <c r="R784" s="10">
        <v>75</v>
      </c>
      <c r="S784" s="10">
        <v>48</v>
      </c>
      <c r="T784" s="10">
        <v>270</v>
      </c>
      <c r="U784" s="10">
        <v>43</v>
      </c>
      <c r="V784" s="10">
        <v>262</v>
      </c>
      <c r="W784" s="10">
        <v>0.89400000000000002</v>
      </c>
      <c r="X784" s="10">
        <v>116</v>
      </c>
      <c r="Y784" s="10">
        <v>131</v>
      </c>
      <c r="Z784" s="10">
        <v>154</v>
      </c>
      <c r="AA784" s="10">
        <v>6</v>
      </c>
      <c r="AB784" s="10">
        <v>4.8</v>
      </c>
      <c r="AC784" s="9" t="s">
        <v>184</v>
      </c>
      <c r="AD784" s="10"/>
      <c r="AE784" s="10"/>
      <c r="AF784" s="10"/>
      <c r="AG784" s="10"/>
    </row>
    <row r="785" spans="1:33">
      <c r="A785" s="7" t="s">
        <v>155</v>
      </c>
      <c r="B785" s="8" t="s">
        <v>1160</v>
      </c>
      <c r="C785" s="9" t="s">
        <v>670</v>
      </c>
      <c r="D785" s="10">
        <v>169</v>
      </c>
      <c r="E785" s="9" t="s">
        <v>163</v>
      </c>
      <c r="F785" s="10">
        <v>169</v>
      </c>
      <c r="G785" s="10">
        <v>168.9</v>
      </c>
      <c r="H785" s="10">
        <v>117</v>
      </c>
      <c r="I785" s="10">
        <v>143</v>
      </c>
      <c r="J785" s="10">
        <v>123</v>
      </c>
      <c r="K785" s="10">
        <v>91</v>
      </c>
      <c r="L785" s="10">
        <v>113</v>
      </c>
      <c r="M785" s="10">
        <v>17.399999999999999</v>
      </c>
      <c r="N785" s="10">
        <v>1680</v>
      </c>
      <c r="O785" s="10">
        <v>1.02</v>
      </c>
      <c r="P785" s="10">
        <v>1716</v>
      </c>
      <c r="Q785" s="10">
        <v>155</v>
      </c>
      <c r="R785" s="10">
        <v>79</v>
      </c>
      <c r="S785" s="10">
        <v>49</v>
      </c>
      <c r="T785" s="10">
        <v>265</v>
      </c>
      <c r="U785" s="10">
        <v>40</v>
      </c>
      <c r="V785" s="10">
        <v>252</v>
      </c>
      <c r="W785" s="10">
        <v>0.83099999999999996</v>
      </c>
      <c r="X785" s="10">
        <v>118</v>
      </c>
      <c r="Y785" s="10">
        <v>142</v>
      </c>
      <c r="Z785" s="10">
        <v>147</v>
      </c>
      <c r="AA785" s="10">
        <v>7</v>
      </c>
      <c r="AB785" s="10">
        <v>4.8</v>
      </c>
      <c r="AC785" s="9" t="s">
        <v>188</v>
      </c>
      <c r="AD785" s="9" t="s">
        <v>184</v>
      </c>
      <c r="AE785" s="10"/>
      <c r="AF785" s="10"/>
      <c r="AG785" s="10"/>
    </row>
    <row r="786" spans="1:33">
      <c r="A786" s="7" t="s">
        <v>155</v>
      </c>
      <c r="B786" s="8" t="s">
        <v>1160</v>
      </c>
      <c r="C786" s="9" t="s">
        <v>496</v>
      </c>
      <c r="D786" s="10">
        <v>159</v>
      </c>
      <c r="E786" s="9" t="s">
        <v>158</v>
      </c>
      <c r="F786" s="10">
        <v>159</v>
      </c>
      <c r="G786" s="10">
        <v>159.9</v>
      </c>
      <c r="H786" s="10">
        <v>123</v>
      </c>
      <c r="I786" s="10">
        <v>128</v>
      </c>
      <c r="J786" s="10">
        <v>116</v>
      </c>
      <c r="K786" s="10">
        <v>87</v>
      </c>
      <c r="L786" s="10">
        <v>110</v>
      </c>
      <c r="M786" s="10">
        <v>14.4</v>
      </c>
      <c r="N786" s="10">
        <v>1658</v>
      </c>
      <c r="O786" s="10">
        <v>0.94</v>
      </c>
      <c r="P786" s="10">
        <v>1557</v>
      </c>
      <c r="Q786" s="10">
        <v>154</v>
      </c>
      <c r="R786" s="10">
        <v>78</v>
      </c>
      <c r="S786" s="10">
        <v>46</v>
      </c>
      <c r="T786" s="10">
        <v>181</v>
      </c>
      <c r="U786" s="10">
        <v>44</v>
      </c>
      <c r="V786" s="10">
        <v>189</v>
      </c>
      <c r="W786" s="10">
        <v>0.95099999999999996</v>
      </c>
      <c r="X786" s="10">
        <v>162</v>
      </c>
      <c r="Y786" s="10">
        <v>159</v>
      </c>
      <c r="Z786" s="10">
        <v>19</v>
      </c>
      <c r="AA786" s="10">
        <v>7</v>
      </c>
      <c r="AB786" s="10">
        <v>3.7</v>
      </c>
      <c r="AC786" s="9" t="s">
        <v>184</v>
      </c>
      <c r="AD786" s="10"/>
      <c r="AE786" s="10"/>
      <c r="AF786" s="10"/>
      <c r="AG786" s="10"/>
    </row>
    <row r="787" spans="1:33">
      <c r="A787" s="7" t="s">
        <v>155</v>
      </c>
      <c r="B787" s="8" t="s">
        <v>1160</v>
      </c>
      <c r="C787" s="9" t="s">
        <v>496</v>
      </c>
      <c r="D787" s="10">
        <v>169</v>
      </c>
      <c r="E787" s="9" t="s">
        <v>158</v>
      </c>
      <c r="F787" s="10">
        <v>169</v>
      </c>
      <c r="G787" s="10">
        <v>169.7</v>
      </c>
      <c r="H787" s="10">
        <v>131</v>
      </c>
      <c r="I787" s="10">
        <v>137</v>
      </c>
      <c r="J787" s="10">
        <v>116</v>
      </c>
      <c r="K787" s="10">
        <v>87</v>
      </c>
      <c r="L787" s="10">
        <v>110</v>
      </c>
      <c r="M787" s="10">
        <v>16.899999999999999</v>
      </c>
      <c r="N787" s="10">
        <v>1772</v>
      </c>
      <c r="O787" s="10">
        <v>0.94</v>
      </c>
      <c r="P787" s="10">
        <v>1663</v>
      </c>
      <c r="Q787" s="10">
        <v>166</v>
      </c>
      <c r="R787" s="10">
        <v>85</v>
      </c>
      <c r="S787" s="10">
        <v>49</v>
      </c>
      <c r="T787" s="10">
        <v>190</v>
      </c>
      <c r="U787" s="10">
        <v>48</v>
      </c>
      <c r="V787" s="10">
        <v>200</v>
      </c>
      <c r="W787" s="10">
        <v>0.96299999999999997</v>
      </c>
      <c r="X787" s="10">
        <v>163</v>
      </c>
      <c r="Y787" s="10">
        <v>167</v>
      </c>
      <c r="Z787" s="10">
        <v>26</v>
      </c>
      <c r="AA787" s="10">
        <v>7</v>
      </c>
      <c r="AB787" s="10">
        <v>4</v>
      </c>
      <c r="AC787" s="9" t="s">
        <v>184</v>
      </c>
      <c r="AD787" s="10"/>
      <c r="AE787" s="10"/>
      <c r="AF787" s="10"/>
      <c r="AG787" s="10"/>
    </row>
    <row r="788" spans="1:33">
      <c r="A788" s="7" t="s">
        <v>155</v>
      </c>
      <c r="B788" s="8" t="s">
        <v>1160</v>
      </c>
      <c r="C788" s="9" t="s">
        <v>496</v>
      </c>
      <c r="D788" s="10">
        <v>179</v>
      </c>
      <c r="E788" s="9" t="s">
        <v>158</v>
      </c>
      <c r="F788" s="10">
        <v>179</v>
      </c>
      <c r="G788" s="10">
        <v>180.1</v>
      </c>
      <c r="H788" s="10">
        <v>143</v>
      </c>
      <c r="I788" s="10">
        <v>148</v>
      </c>
      <c r="J788" s="10">
        <v>116</v>
      </c>
      <c r="K788" s="10">
        <v>87</v>
      </c>
      <c r="L788" s="10">
        <v>110</v>
      </c>
      <c r="M788" s="10">
        <v>19.399999999999999</v>
      </c>
      <c r="N788" s="10">
        <v>1948</v>
      </c>
      <c r="O788" s="10">
        <v>0.9</v>
      </c>
      <c r="P788" s="10">
        <v>1759</v>
      </c>
      <c r="Q788" s="10">
        <v>190</v>
      </c>
      <c r="R788" s="10">
        <v>90</v>
      </c>
      <c r="S788" s="10">
        <v>46</v>
      </c>
      <c r="T788" s="10">
        <v>176</v>
      </c>
      <c r="U788" s="10">
        <v>43</v>
      </c>
      <c r="V788" s="10">
        <v>198</v>
      </c>
      <c r="W788" s="10">
        <v>0.94499999999999995</v>
      </c>
      <c r="X788" s="10">
        <v>157</v>
      </c>
      <c r="Y788" s="10">
        <v>160</v>
      </c>
      <c r="Z788" s="10">
        <v>19</v>
      </c>
      <c r="AA788" s="10">
        <v>10</v>
      </c>
      <c r="AB788" s="10">
        <v>4.5999999999999996</v>
      </c>
      <c r="AC788" s="9" t="s">
        <v>184</v>
      </c>
      <c r="AD788" s="10"/>
      <c r="AE788" s="10"/>
      <c r="AF788" s="10"/>
      <c r="AG788" s="10"/>
    </row>
    <row r="789" spans="1:33">
      <c r="A789" s="7" t="s">
        <v>155</v>
      </c>
      <c r="B789" s="8" t="s">
        <v>1160</v>
      </c>
      <c r="C789" s="9" t="s">
        <v>846</v>
      </c>
      <c r="D789" s="10">
        <v>153</v>
      </c>
      <c r="E789" s="9" t="s">
        <v>163</v>
      </c>
      <c r="F789" s="10">
        <v>153</v>
      </c>
      <c r="G789" s="10">
        <v>151.69999999999999</v>
      </c>
      <c r="H789" s="10">
        <v>114</v>
      </c>
      <c r="I789" s="10">
        <v>127</v>
      </c>
      <c r="J789" s="10">
        <v>120</v>
      </c>
      <c r="K789" s="10">
        <v>87</v>
      </c>
      <c r="L789" s="10">
        <v>108</v>
      </c>
      <c r="M789" s="10">
        <v>15</v>
      </c>
      <c r="N789" s="10">
        <v>1048</v>
      </c>
      <c r="O789" s="10">
        <v>1.41</v>
      </c>
      <c r="P789" s="10">
        <v>1477</v>
      </c>
      <c r="Q789" s="10">
        <v>128</v>
      </c>
      <c r="R789" s="10">
        <v>53</v>
      </c>
      <c r="S789" s="10">
        <v>43</v>
      </c>
      <c r="T789" s="10">
        <v>257</v>
      </c>
      <c r="U789" s="10">
        <v>6</v>
      </c>
      <c r="V789" s="10">
        <v>120</v>
      </c>
      <c r="W789" s="10">
        <v>0.14099999999999999</v>
      </c>
      <c r="X789" s="10">
        <v>145</v>
      </c>
      <c r="Y789" s="10">
        <v>97</v>
      </c>
      <c r="Z789" s="10">
        <v>111</v>
      </c>
      <c r="AA789" s="10">
        <v>9</v>
      </c>
      <c r="AB789" s="10">
        <v>11</v>
      </c>
      <c r="AC789" s="9" t="s">
        <v>185</v>
      </c>
      <c r="AD789" s="9" t="s">
        <v>198</v>
      </c>
      <c r="AE789" s="10"/>
      <c r="AF789" s="10"/>
      <c r="AG789" s="10"/>
    </row>
    <row r="790" spans="1:33">
      <c r="A790" s="7" t="s">
        <v>155</v>
      </c>
      <c r="B790" s="8" t="s">
        <v>1160</v>
      </c>
      <c r="C790" s="9" t="s">
        <v>846</v>
      </c>
      <c r="D790" s="10">
        <v>160</v>
      </c>
      <c r="E790" s="9" t="s">
        <v>163</v>
      </c>
      <c r="F790" s="10">
        <v>160</v>
      </c>
      <c r="G790" s="10">
        <v>159.69999999999999</v>
      </c>
      <c r="H790" s="10">
        <v>120</v>
      </c>
      <c r="I790" s="10">
        <v>134</v>
      </c>
      <c r="J790" s="10">
        <v>120</v>
      </c>
      <c r="K790" s="10">
        <v>87</v>
      </c>
      <c r="L790" s="10">
        <v>108</v>
      </c>
      <c r="M790" s="10">
        <v>16.3</v>
      </c>
      <c r="N790" s="10">
        <v>1117</v>
      </c>
      <c r="O790" s="10">
        <v>1.39</v>
      </c>
      <c r="P790" s="10">
        <v>1552</v>
      </c>
      <c r="Q790" s="10">
        <v>136</v>
      </c>
      <c r="R790" s="10">
        <v>59</v>
      </c>
      <c r="S790" s="10">
        <v>44</v>
      </c>
      <c r="T790" s="10">
        <v>297</v>
      </c>
      <c r="U790" s="10">
        <v>5</v>
      </c>
      <c r="V790" s="10">
        <v>99</v>
      </c>
      <c r="W790" s="10">
        <v>0.114</v>
      </c>
      <c r="X790" s="10">
        <v>158</v>
      </c>
      <c r="Y790" s="10">
        <v>97</v>
      </c>
      <c r="Z790" s="10">
        <v>139</v>
      </c>
      <c r="AA790" s="10">
        <v>8</v>
      </c>
      <c r="AB790" s="10">
        <v>12</v>
      </c>
      <c r="AC790" s="9" t="s">
        <v>185</v>
      </c>
      <c r="AD790" s="9" t="s">
        <v>198</v>
      </c>
      <c r="AE790" s="10"/>
      <c r="AF790" s="10"/>
      <c r="AG790" s="10"/>
    </row>
    <row r="791" spans="1:33">
      <c r="A791" s="7" t="s">
        <v>155</v>
      </c>
      <c r="B791" s="8" t="s">
        <v>1160</v>
      </c>
      <c r="C791" s="9" t="s">
        <v>846</v>
      </c>
      <c r="D791" s="10">
        <v>167</v>
      </c>
      <c r="E791" s="9" t="s">
        <v>163</v>
      </c>
      <c r="F791" s="10">
        <v>167</v>
      </c>
      <c r="G791" s="10">
        <v>166.6</v>
      </c>
      <c r="H791" s="10">
        <v>130</v>
      </c>
      <c r="I791" s="10">
        <v>141</v>
      </c>
      <c r="J791" s="10">
        <v>120</v>
      </c>
      <c r="K791" s="10">
        <v>87</v>
      </c>
      <c r="L791" s="10">
        <v>108</v>
      </c>
      <c r="M791" s="10">
        <v>18</v>
      </c>
      <c r="N791" s="10">
        <v>1185</v>
      </c>
      <c r="O791" s="10">
        <v>1.37</v>
      </c>
      <c r="P791" s="10">
        <v>1625</v>
      </c>
      <c r="Q791" s="10">
        <v>158</v>
      </c>
      <c r="R791" s="10">
        <v>69</v>
      </c>
      <c r="S791" s="10">
        <v>46</v>
      </c>
      <c r="T791" s="10">
        <v>255</v>
      </c>
      <c r="U791" s="10">
        <v>7</v>
      </c>
      <c r="V791" s="10">
        <v>114</v>
      </c>
      <c r="W791" s="10">
        <v>0.159</v>
      </c>
      <c r="X791" s="10">
        <v>154</v>
      </c>
      <c r="Y791" s="10">
        <v>101</v>
      </c>
      <c r="Z791" s="10">
        <v>101</v>
      </c>
      <c r="AA791" s="10">
        <v>9</v>
      </c>
      <c r="AB791" s="10">
        <v>11.8</v>
      </c>
      <c r="AC791" s="9" t="s">
        <v>185</v>
      </c>
      <c r="AD791" s="9" t="s">
        <v>198</v>
      </c>
      <c r="AE791" s="10"/>
      <c r="AF791" s="10"/>
      <c r="AG791" s="10"/>
    </row>
    <row r="792" spans="1:33">
      <c r="A792" s="7" t="s">
        <v>155</v>
      </c>
      <c r="B792" s="8" t="s">
        <v>1160</v>
      </c>
      <c r="C792" s="9" t="s">
        <v>755</v>
      </c>
      <c r="D792" s="10">
        <v>156</v>
      </c>
      <c r="E792" s="9" t="s">
        <v>163</v>
      </c>
      <c r="F792" s="10">
        <v>156</v>
      </c>
      <c r="G792" s="10">
        <v>155.69999999999999</v>
      </c>
      <c r="H792" s="10">
        <v>116</v>
      </c>
      <c r="I792" s="10">
        <v>129</v>
      </c>
      <c r="J792" s="10">
        <v>127</v>
      </c>
      <c r="K792" s="10">
        <v>95</v>
      </c>
      <c r="L792" s="10">
        <v>114</v>
      </c>
      <c r="M792" s="10">
        <v>16.3</v>
      </c>
      <c r="N792" s="10">
        <v>1129</v>
      </c>
      <c r="O792" s="10">
        <v>1.44</v>
      </c>
      <c r="P792" s="10">
        <v>1626</v>
      </c>
      <c r="Q792" s="10">
        <v>127</v>
      </c>
      <c r="R792" s="10">
        <v>57</v>
      </c>
      <c r="S792" s="10">
        <v>51</v>
      </c>
      <c r="T792" s="10">
        <v>273</v>
      </c>
      <c r="U792" s="10">
        <v>7</v>
      </c>
      <c r="V792" s="10">
        <v>129</v>
      </c>
      <c r="W792" s="10">
        <v>0.13500000000000001</v>
      </c>
      <c r="X792" s="10">
        <v>159</v>
      </c>
      <c r="Y792" s="10">
        <v>109</v>
      </c>
      <c r="Z792" s="10">
        <v>114</v>
      </c>
      <c r="AA792" s="10">
        <v>7</v>
      </c>
      <c r="AB792" s="10">
        <v>12</v>
      </c>
      <c r="AC792" s="9" t="s">
        <v>185</v>
      </c>
      <c r="AD792" s="9" t="s">
        <v>198</v>
      </c>
      <c r="AE792" s="10"/>
      <c r="AF792" s="10"/>
      <c r="AG792" s="10"/>
    </row>
    <row r="793" spans="1:33">
      <c r="A793" s="7" t="s">
        <v>155</v>
      </c>
      <c r="B793" s="8" t="s">
        <v>1160</v>
      </c>
      <c r="C793" s="9" t="s">
        <v>755</v>
      </c>
      <c r="D793" s="10">
        <v>163</v>
      </c>
      <c r="E793" s="9" t="s">
        <v>163</v>
      </c>
      <c r="F793" s="10">
        <v>163</v>
      </c>
      <c r="G793" s="10">
        <v>162.69999999999999</v>
      </c>
      <c r="H793" s="10">
        <v>116</v>
      </c>
      <c r="I793" s="10">
        <v>136</v>
      </c>
      <c r="J793" s="10">
        <v>126</v>
      </c>
      <c r="K793" s="10">
        <v>95</v>
      </c>
      <c r="L793" s="10">
        <v>114</v>
      </c>
      <c r="M793" s="10">
        <v>18</v>
      </c>
      <c r="N793" s="10">
        <v>1206</v>
      </c>
      <c r="O793" s="10">
        <v>1.41</v>
      </c>
      <c r="P793" s="10">
        <v>1700</v>
      </c>
      <c r="Q793" s="10">
        <v>151</v>
      </c>
      <c r="R793" s="10">
        <v>65</v>
      </c>
      <c r="S793" s="10">
        <v>51</v>
      </c>
      <c r="T793" s="10">
        <v>304</v>
      </c>
      <c r="U793" s="10">
        <v>11</v>
      </c>
      <c r="V793" s="10">
        <v>165</v>
      </c>
      <c r="W793" s="10">
        <v>0.22600000000000001</v>
      </c>
      <c r="X793" s="10">
        <v>160</v>
      </c>
      <c r="Y793" s="10">
        <v>108</v>
      </c>
      <c r="Z793" s="10">
        <v>144</v>
      </c>
      <c r="AA793" s="10">
        <v>5</v>
      </c>
      <c r="AB793" s="10">
        <v>11.8</v>
      </c>
      <c r="AC793" s="9" t="s">
        <v>185</v>
      </c>
      <c r="AD793" s="9" t="s">
        <v>198</v>
      </c>
      <c r="AE793" s="10"/>
      <c r="AF793" s="10"/>
      <c r="AG793" s="10"/>
    </row>
    <row r="794" spans="1:33">
      <c r="A794" s="7" t="s">
        <v>155</v>
      </c>
      <c r="B794" s="8" t="s">
        <v>1160</v>
      </c>
      <c r="C794" s="9" t="s">
        <v>755</v>
      </c>
      <c r="D794" s="10">
        <v>170</v>
      </c>
      <c r="E794" s="9" t="s">
        <v>163</v>
      </c>
      <c r="F794" s="10">
        <v>170</v>
      </c>
      <c r="G794" s="10">
        <v>169.7</v>
      </c>
      <c r="H794" s="10">
        <v>124</v>
      </c>
      <c r="I794" s="10">
        <v>143</v>
      </c>
      <c r="J794" s="10">
        <v>127</v>
      </c>
      <c r="K794" s="10">
        <v>95</v>
      </c>
      <c r="L794" s="10">
        <v>114</v>
      </c>
      <c r="M794" s="10">
        <v>19.8</v>
      </c>
      <c r="N794" s="10">
        <v>1305</v>
      </c>
      <c r="O794" s="10">
        <v>1.36</v>
      </c>
      <c r="P794" s="10">
        <v>1773</v>
      </c>
      <c r="Q794" s="10">
        <v>173</v>
      </c>
      <c r="R794" s="10">
        <v>80</v>
      </c>
      <c r="S794" s="10">
        <v>49</v>
      </c>
      <c r="T794" s="10">
        <v>295</v>
      </c>
      <c r="U794" s="10">
        <v>8</v>
      </c>
      <c r="V794" s="10">
        <v>164</v>
      </c>
      <c r="W794" s="10">
        <v>0.16200000000000001</v>
      </c>
      <c r="X794" s="10">
        <v>161</v>
      </c>
      <c r="Y794" s="10">
        <v>109</v>
      </c>
      <c r="Z794" s="10">
        <v>134</v>
      </c>
      <c r="AA794" s="10">
        <v>5</v>
      </c>
      <c r="AB794" s="10">
        <v>11.7</v>
      </c>
      <c r="AC794" s="9" t="s">
        <v>185</v>
      </c>
      <c r="AD794" s="9" t="s">
        <v>198</v>
      </c>
      <c r="AE794" s="10"/>
      <c r="AF794" s="10"/>
      <c r="AG794" s="10"/>
    </row>
    <row r="795" spans="1:33">
      <c r="A795" s="7" t="s">
        <v>155</v>
      </c>
      <c r="B795" s="8" t="s">
        <v>1160</v>
      </c>
      <c r="C795" s="9" t="s">
        <v>263</v>
      </c>
      <c r="D795" s="10">
        <v>172</v>
      </c>
      <c r="E795" s="9" t="s">
        <v>158</v>
      </c>
      <c r="F795" s="10">
        <v>172</v>
      </c>
      <c r="G795" s="10">
        <v>171.9</v>
      </c>
      <c r="H795" s="10">
        <v>114</v>
      </c>
      <c r="I795" s="10">
        <v>141</v>
      </c>
      <c r="J795" s="10">
        <v>135</v>
      </c>
      <c r="K795" s="10">
        <v>105</v>
      </c>
      <c r="L795" s="10">
        <v>123</v>
      </c>
      <c r="M795" s="10">
        <v>19.899999999999999</v>
      </c>
      <c r="N795" s="10">
        <v>1456</v>
      </c>
      <c r="O795" s="10">
        <v>1.34</v>
      </c>
      <c r="P795" s="10">
        <v>1957</v>
      </c>
      <c r="Q795" s="10">
        <v>169</v>
      </c>
      <c r="R795" s="10">
        <v>88</v>
      </c>
      <c r="S795" s="10">
        <v>45</v>
      </c>
      <c r="T795" s="10">
        <v>351</v>
      </c>
      <c r="U795" s="10">
        <v>11</v>
      </c>
      <c r="V795" s="10">
        <v>233</v>
      </c>
      <c r="W795" s="10">
        <v>0.247</v>
      </c>
      <c r="X795" s="10">
        <v>175</v>
      </c>
      <c r="Y795" s="10">
        <v>130</v>
      </c>
      <c r="Z795" s="10">
        <v>176</v>
      </c>
      <c r="AA795" s="10">
        <v>6</v>
      </c>
      <c r="AB795" s="10">
        <v>13.5</v>
      </c>
      <c r="AC795" s="9" t="s">
        <v>178</v>
      </c>
      <c r="AD795" s="9" t="s">
        <v>185</v>
      </c>
      <c r="AE795" s="9" t="s">
        <v>198</v>
      </c>
      <c r="AF795" s="10"/>
      <c r="AG795" s="10"/>
    </row>
    <row r="796" spans="1:33">
      <c r="A796" s="7" t="s">
        <v>155</v>
      </c>
      <c r="B796" s="8" t="s">
        <v>1160</v>
      </c>
      <c r="C796" s="9" t="s">
        <v>263</v>
      </c>
      <c r="D796" s="10">
        <v>179</v>
      </c>
      <c r="E796" s="9" t="s">
        <v>158</v>
      </c>
      <c r="F796" s="10">
        <v>179</v>
      </c>
      <c r="G796" s="10">
        <v>178.9</v>
      </c>
      <c r="H796" s="10">
        <v>108</v>
      </c>
      <c r="I796" s="10">
        <v>148</v>
      </c>
      <c r="J796" s="10">
        <v>135</v>
      </c>
      <c r="K796" s="10">
        <v>105</v>
      </c>
      <c r="L796" s="10">
        <v>123</v>
      </c>
      <c r="M796" s="10">
        <v>21.6</v>
      </c>
      <c r="N796" s="10">
        <v>1522</v>
      </c>
      <c r="O796" s="10">
        <v>1.34</v>
      </c>
      <c r="P796" s="10">
        <v>2039</v>
      </c>
      <c r="Q796" s="10">
        <v>195</v>
      </c>
      <c r="R796" s="10">
        <v>96</v>
      </c>
      <c r="S796" s="10">
        <v>47</v>
      </c>
      <c r="T796" s="10">
        <v>458</v>
      </c>
      <c r="U796" s="10">
        <v>16</v>
      </c>
      <c r="V796" s="10">
        <v>255</v>
      </c>
      <c r="W796" s="10">
        <v>0.34</v>
      </c>
      <c r="X796" s="10">
        <v>181</v>
      </c>
      <c r="Y796" s="10">
        <v>133</v>
      </c>
      <c r="Z796" s="10">
        <v>276</v>
      </c>
      <c r="AA796" s="10">
        <v>3</v>
      </c>
      <c r="AB796" s="10">
        <v>13.2</v>
      </c>
      <c r="AC796" s="9" t="s">
        <v>178</v>
      </c>
      <c r="AD796" s="9" t="s">
        <v>185</v>
      </c>
      <c r="AE796" s="9" t="s">
        <v>198</v>
      </c>
      <c r="AF796" s="10"/>
      <c r="AG796" s="10"/>
    </row>
    <row r="797" spans="1:33">
      <c r="A797" s="7" t="s">
        <v>155</v>
      </c>
      <c r="B797" s="8" t="s">
        <v>1160</v>
      </c>
      <c r="C797" s="9" t="s">
        <v>263</v>
      </c>
      <c r="D797" s="10">
        <v>186</v>
      </c>
      <c r="E797" s="9" t="s">
        <v>158</v>
      </c>
      <c r="F797" s="10">
        <v>186</v>
      </c>
      <c r="G797" s="10">
        <v>185.7</v>
      </c>
      <c r="H797" s="10">
        <v>129</v>
      </c>
      <c r="I797" s="10">
        <v>152</v>
      </c>
      <c r="J797" s="10">
        <v>136</v>
      </c>
      <c r="K797" s="10">
        <v>105</v>
      </c>
      <c r="L797" s="10">
        <v>123</v>
      </c>
      <c r="M797" s="10">
        <v>23.7</v>
      </c>
      <c r="N797" s="10">
        <v>1680</v>
      </c>
      <c r="O797" s="10">
        <v>1.26</v>
      </c>
      <c r="P797" s="10">
        <v>2121</v>
      </c>
      <c r="Q797" s="10">
        <v>224</v>
      </c>
      <c r="R797" s="10">
        <v>115</v>
      </c>
      <c r="S797" s="10">
        <v>42</v>
      </c>
      <c r="T797" s="10">
        <v>358</v>
      </c>
      <c r="U797" s="10">
        <v>13</v>
      </c>
      <c r="V797" s="10">
        <v>210</v>
      </c>
      <c r="W797" s="10">
        <v>0.318</v>
      </c>
      <c r="X797" s="10">
        <v>195</v>
      </c>
      <c r="Y797" s="10">
        <v>138</v>
      </c>
      <c r="Z797" s="10">
        <v>163</v>
      </c>
      <c r="AA797" s="10">
        <v>6</v>
      </c>
      <c r="AB797" s="10">
        <v>12.9</v>
      </c>
      <c r="AC797" s="9" t="s">
        <v>178</v>
      </c>
      <c r="AD797" s="9" t="s">
        <v>185</v>
      </c>
      <c r="AE797" s="9" t="s">
        <v>198</v>
      </c>
      <c r="AF797" s="10"/>
      <c r="AG797" s="10"/>
    </row>
    <row r="798" spans="1:33">
      <c r="A798" s="7" t="s">
        <v>155</v>
      </c>
      <c r="B798" s="8" t="s">
        <v>1160</v>
      </c>
      <c r="C798" s="9" t="s">
        <v>769</v>
      </c>
      <c r="D798" s="10">
        <v>160</v>
      </c>
      <c r="E798" s="9" t="s">
        <v>158</v>
      </c>
      <c r="F798" s="10">
        <v>160</v>
      </c>
      <c r="G798" s="10">
        <v>159.4</v>
      </c>
      <c r="H798" s="10">
        <v>115</v>
      </c>
      <c r="I798" s="10">
        <v>134</v>
      </c>
      <c r="J798" s="10">
        <v>120</v>
      </c>
      <c r="K798" s="10">
        <v>87</v>
      </c>
      <c r="L798" s="10">
        <v>108</v>
      </c>
      <c r="M798" s="10">
        <v>16.5</v>
      </c>
      <c r="N798" s="10">
        <v>1100</v>
      </c>
      <c r="O798" s="10">
        <v>1.41</v>
      </c>
      <c r="P798" s="10">
        <v>1554</v>
      </c>
      <c r="Q798" s="10">
        <v>149</v>
      </c>
      <c r="R798" s="10">
        <v>62</v>
      </c>
      <c r="S798" s="10">
        <v>46</v>
      </c>
      <c r="T798" s="10">
        <v>295</v>
      </c>
      <c r="U798" s="10">
        <v>7</v>
      </c>
      <c r="V798" s="10">
        <v>147</v>
      </c>
      <c r="W798" s="10">
        <v>0.161</v>
      </c>
      <c r="X798" s="10">
        <v>153</v>
      </c>
      <c r="Y798" s="10">
        <v>98</v>
      </c>
      <c r="Z798" s="10">
        <v>142</v>
      </c>
      <c r="AA798" s="10">
        <v>8</v>
      </c>
      <c r="AB798" s="10">
        <v>10.6</v>
      </c>
      <c r="AC798" s="9" t="s">
        <v>185</v>
      </c>
      <c r="AD798" s="9" t="s">
        <v>198</v>
      </c>
      <c r="AE798" s="10"/>
      <c r="AF798" s="10"/>
      <c r="AG798" s="10"/>
    </row>
    <row r="799" spans="1:33">
      <c r="A799" s="7" t="s">
        <v>155</v>
      </c>
      <c r="B799" s="8" t="s">
        <v>1160</v>
      </c>
      <c r="C799" s="9" t="s">
        <v>769</v>
      </c>
      <c r="D799" s="10">
        <v>167</v>
      </c>
      <c r="E799" s="9" t="s">
        <v>158</v>
      </c>
      <c r="F799" s="10">
        <v>167</v>
      </c>
      <c r="G799" s="10">
        <v>167</v>
      </c>
      <c r="H799" s="10">
        <v>126</v>
      </c>
      <c r="I799" s="10">
        <v>141</v>
      </c>
      <c r="J799" s="10">
        <v>120</v>
      </c>
      <c r="K799" s="10">
        <v>87</v>
      </c>
      <c r="L799" s="10">
        <v>108</v>
      </c>
      <c r="M799" s="10">
        <v>18.2</v>
      </c>
      <c r="N799" s="10">
        <v>1154</v>
      </c>
      <c r="O799" s="10">
        <v>1.41</v>
      </c>
      <c r="P799" s="10">
        <v>1623</v>
      </c>
      <c r="Q799" s="10">
        <v>154</v>
      </c>
      <c r="R799" s="10">
        <v>64</v>
      </c>
      <c r="S799" s="10">
        <v>46</v>
      </c>
      <c r="T799" s="10">
        <v>290</v>
      </c>
      <c r="U799" s="10">
        <v>7</v>
      </c>
      <c r="V799" s="10">
        <v>119</v>
      </c>
      <c r="W799" s="10">
        <v>0.158</v>
      </c>
      <c r="X799" s="10">
        <v>159</v>
      </c>
      <c r="Y799" s="10">
        <v>100</v>
      </c>
      <c r="Z799" s="10">
        <v>131</v>
      </c>
      <c r="AA799" s="10">
        <v>8</v>
      </c>
      <c r="AB799" s="10">
        <v>11.3</v>
      </c>
      <c r="AC799" s="9" t="s">
        <v>185</v>
      </c>
      <c r="AD799" s="9" t="s">
        <v>198</v>
      </c>
      <c r="AE799" s="10"/>
      <c r="AF799" s="10"/>
      <c r="AG799" s="10"/>
    </row>
    <row r="800" spans="1:33">
      <c r="A800" s="7" t="s">
        <v>155</v>
      </c>
      <c r="B800" s="8" t="s">
        <v>1160</v>
      </c>
      <c r="C800" s="9" t="s">
        <v>769</v>
      </c>
      <c r="D800" s="10">
        <v>174</v>
      </c>
      <c r="E800" s="9" t="s">
        <v>158</v>
      </c>
      <c r="F800" s="10">
        <v>174</v>
      </c>
      <c r="G800" s="10">
        <v>173.8</v>
      </c>
      <c r="H800" s="10">
        <v>133</v>
      </c>
      <c r="I800" s="10">
        <v>148</v>
      </c>
      <c r="J800" s="10">
        <v>120</v>
      </c>
      <c r="K800" s="10">
        <v>87</v>
      </c>
      <c r="L800" s="10">
        <v>108</v>
      </c>
      <c r="M800" s="10">
        <v>19.7</v>
      </c>
      <c r="N800" s="10">
        <v>1235</v>
      </c>
      <c r="O800" s="10">
        <v>1.37</v>
      </c>
      <c r="P800" s="10">
        <v>1691</v>
      </c>
      <c r="Q800" s="10">
        <v>179</v>
      </c>
      <c r="R800" s="10">
        <v>75</v>
      </c>
      <c r="S800" s="10">
        <v>45</v>
      </c>
      <c r="T800" s="10">
        <v>273</v>
      </c>
      <c r="U800" s="10">
        <v>7</v>
      </c>
      <c r="V800" s="10">
        <v>133</v>
      </c>
      <c r="W800" s="10">
        <v>0.156</v>
      </c>
      <c r="X800" s="10">
        <v>154</v>
      </c>
      <c r="Y800" s="10">
        <v>102</v>
      </c>
      <c r="Z800" s="10">
        <v>118</v>
      </c>
      <c r="AA800" s="10">
        <v>7</v>
      </c>
      <c r="AB800" s="10">
        <v>11.4</v>
      </c>
      <c r="AC800" s="9" t="s">
        <v>185</v>
      </c>
      <c r="AD800" s="9" t="s">
        <v>198</v>
      </c>
      <c r="AE800" s="10"/>
      <c r="AF800" s="10"/>
      <c r="AG800" s="10"/>
    </row>
    <row r="801" spans="1:33">
      <c r="A801" s="7" t="s">
        <v>155</v>
      </c>
      <c r="B801" s="8" t="s">
        <v>1160</v>
      </c>
      <c r="C801" s="9" t="s">
        <v>269</v>
      </c>
      <c r="D801" s="10">
        <v>170</v>
      </c>
      <c r="E801" s="9" t="s">
        <v>158</v>
      </c>
      <c r="F801" s="10">
        <v>170</v>
      </c>
      <c r="G801" s="10">
        <v>169.8</v>
      </c>
      <c r="H801" s="10">
        <v>124</v>
      </c>
      <c r="I801" s="10">
        <v>143</v>
      </c>
      <c r="J801" s="10">
        <v>127</v>
      </c>
      <c r="K801" s="10">
        <v>95</v>
      </c>
      <c r="L801" s="10">
        <v>114</v>
      </c>
      <c r="M801" s="10">
        <v>19.7</v>
      </c>
      <c r="N801" s="10">
        <v>1266</v>
      </c>
      <c r="O801" s="10">
        <v>1.4</v>
      </c>
      <c r="P801" s="10">
        <v>1773</v>
      </c>
      <c r="Q801" s="10">
        <v>170</v>
      </c>
      <c r="R801" s="10">
        <v>78</v>
      </c>
      <c r="S801" s="10">
        <v>49</v>
      </c>
      <c r="T801" s="10">
        <v>310</v>
      </c>
      <c r="U801" s="10">
        <v>6</v>
      </c>
      <c r="V801" s="10">
        <v>152</v>
      </c>
      <c r="W801" s="10">
        <v>0.11899999999999999</v>
      </c>
      <c r="X801" s="10">
        <v>157</v>
      </c>
      <c r="Y801" s="10">
        <v>107</v>
      </c>
      <c r="Z801" s="10">
        <v>154</v>
      </c>
      <c r="AA801" s="10">
        <v>4</v>
      </c>
      <c r="AB801" s="10">
        <v>12.4</v>
      </c>
      <c r="AC801" s="9" t="s">
        <v>185</v>
      </c>
      <c r="AD801" s="9" t="s">
        <v>198</v>
      </c>
      <c r="AE801" s="10"/>
      <c r="AF801" s="10"/>
      <c r="AG801" s="10"/>
    </row>
    <row r="802" spans="1:33">
      <c r="A802" s="7" t="s">
        <v>155</v>
      </c>
      <c r="B802" s="8" t="s">
        <v>1160</v>
      </c>
      <c r="C802" s="9" t="s">
        <v>269</v>
      </c>
      <c r="D802" s="10">
        <v>177</v>
      </c>
      <c r="E802" s="9" t="s">
        <v>158</v>
      </c>
      <c r="F802" s="10">
        <v>177</v>
      </c>
      <c r="G802" s="10">
        <v>176.8</v>
      </c>
      <c r="H802" s="10">
        <v>129</v>
      </c>
      <c r="I802" s="10">
        <v>149</v>
      </c>
      <c r="J802" s="10">
        <v>127</v>
      </c>
      <c r="K802" s="10">
        <v>95</v>
      </c>
      <c r="L802" s="10">
        <v>113</v>
      </c>
      <c r="M802" s="10">
        <v>21.6</v>
      </c>
      <c r="N802" s="10">
        <v>1389</v>
      </c>
      <c r="O802" s="10">
        <v>1.33</v>
      </c>
      <c r="P802" s="10">
        <v>1844</v>
      </c>
      <c r="Q802" s="10">
        <v>213</v>
      </c>
      <c r="R802" s="10">
        <v>96</v>
      </c>
      <c r="S802" s="10">
        <v>51</v>
      </c>
      <c r="T802" s="10">
        <v>300</v>
      </c>
      <c r="U802" s="10">
        <v>9</v>
      </c>
      <c r="V802" s="10">
        <v>180</v>
      </c>
      <c r="W802" s="10">
        <v>0.17199999999999999</v>
      </c>
      <c r="X802" s="10">
        <v>164</v>
      </c>
      <c r="Y802" s="10">
        <v>114</v>
      </c>
      <c r="Z802" s="10">
        <v>136</v>
      </c>
      <c r="AA802" s="10">
        <v>5</v>
      </c>
      <c r="AB802" s="10">
        <v>11.4</v>
      </c>
      <c r="AC802" s="9" t="s">
        <v>185</v>
      </c>
      <c r="AD802" s="9" t="s">
        <v>198</v>
      </c>
      <c r="AE802" s="10"/>
      <c r="AF802" s="10"/>
      <c r="AG802" s="10"/>
    </row>
    <row r="803" spans="1:33">
      <c r="A803" s="7" t="s">
        <v>155</v>
      </c>
      <c r="B803" s="8" t="s">
        <v>1160</v>
      </c>
      <c r="C803" s="9" t="s">
        <v>269</v>
      </c>
      <c r="D803" s="10">
        <v>184</v>
      </c>
      <c r="E803" s="9" t="s">
        <v>158</v>
      </c>
      <c r="F803" s="10">
        <v>184</v>
      </c>
      <c r="G803" s="10">
        <v>183.5</v>
      </c>
      <c r="H803" s="10">
        <v>136</v>
      </c>
      <c r="I803" s="10">
        <v>157</v>
      </c>
      <c r="J803" s="10">
        <v>127</v>
      </c>
      <c r="K803" s="10">
        <v>95</v>
      </c>
      <c r="L803" s="10">
        <v>114</v>
      </c>
      <c r="M803" s="10">
        <v>23.7</v>
      </c>
      <c r="N803" s="10">
        <v>1482</v>
      </c>
      <c r="O803" s="10">
        <v>1.29</v>
      </c>
      <c r="P803" s="10">
        <v>1919</v>
      </c>
      <c r="Q803" s="10">
        <v>228</v>
      </c>
      <c r="R803" s="10">
        <v>100</v>
      </c>
      <c r="S803" s="10">
        <v>51</v>
      </c>
      <c r="T803" s="10">
        <v>309</v>
      </c>
      <c r="U803" s="10">
        <v>8</v>
      </c>
      <c r="V803" s="10">
        <v>167</v>
      </c>
      <c r="W803" s="10">
        <v>0.159</v>
      </c>
      <c r="X803" s="10">
        <v>156</v>
      </c>
      <c r="Y803" s="10">
        <v>112</v>
      </c>
      <c r="Z803" s="10">
        <v>153</v>
      </c>
      <c r="AA803" s="10">
        <v>7</v>
      </c>
      <c r="AB803" s="10">
        <v>12.6</v>
      </c>
      <c r="AC803" s="9" t="s">
        <v>185</v>
      </c>
      <c r="AD803" s="9" t="s">
        <v>198</v>
      </c>
      <c r="AE803" s="10"/>
      <c r="AF803" s="10"/>
      <c r="AG803" s="10"/>
    </row>
    <row r="804" spans="1:33">
      <c r="A804" s="7" t="s">
        <v>155</v>
      </c>
      <c r="B804" s="8" t="s">
        <v>215</v>
      </c>
      <c r="C804" s="9" t="s">
        <v>216</v>
      </c>
      <c r="D804" s="10">
        <v>172</v>
      </c>
      <c r="E804" s="9" t="s">
        <v>158</v>
      </c>
      <c r="F804" s="10">
        <v>172</v>
      </c>
      <c r="G804" s="10">
        <v>171.4</v>
      </c>
      <c r="H804" s="10">
        <v>139</v>
      </c>
      <c r="I804" s="10">
        <v>150</v>
      </c>
      <c r="J804" s="10">
        <v>137</v>
      </c>
      <c r="K804" s="10">
        <v>99</v>
      </c>
      <c r="L804" s="10">
        <v>121</v>
      </c>
      <c r="M804" s="10">
        <v>17.600000000000001</v>
      </c>
      <c r="N804" s="10">
        <v>1830</v>
      </c>
      <c r="O804" s="10">
        <v>1.04</v>
      </c>
      <c r="P804" s="10">
        <v>1898</v>
      </c>
      <c r="Q804" s="10">
        <v>211</v>
      </c>
      <c r="R804" s="10">
        <v>102</v>
      </c>
      <c r="S804" s="10">
        <v>38</v>
      </c>
      <c r="T804" s="10">
        <v>223</v>
      </c>
      <c r="U804" s="10">
        <v>10</v>
      </c>
      <c r="V804" s="10">
        <v>103</v>
      </c>
      <c r="W804" s="10">
        <v>0.25600000000000001</v>
      </c>
      <c r="X804" s="10">
        <v>125</v>
      </c>
      <c r="Y804" s="10">
        <v>85</v>
      </c>
      <c r="Z804" s="10">
        <v>98</v>
      </c>
      <c r="AA804" s="10">
        <v>10</v>
      </c>
      <c r="AB804" s="10">
        <v>11</v>
      </c>
      <c r="AC804" s="9" t="s">
        <v>188</v>
      </c>
      <c r="AD804" s="10"/>
      <c r="AE804" s="10"/>
      <c r="AF804" s="10"/>
      <c r="AG804" s="10"/>
    </row>
    <row r="805" spans="1:33">
      <c r="A805" s="7" t="s">
        <v>155</v>
      </c>
      <c r="B805" s="8" t="s">
        <v>215</v>
      </c>
      <c r="C805" s="9" t="s">
        <v>216</v>
      </c>
      <c r="D805" s="10">
        <v>179</v>
      </c>
      <c r="E805" s="9" t="s">
        <v>158</v>
      </c>
      <c r="F805" s="10">
        <v>179</v>
      </c>
      <c r="G805" s="10">
        <v>178.9</v>
      </c>
      <c r="H805" s="10">
        <v>145</v>
      </c>
      <c r="I805" s="10">
        <v>158</v>
      </c>
      <c r="J805" s="10">
        <v>138</v>
      </c>
      <c r="K805" s="10">
        <v>99</v>
      </c>
      <c r="L805" s="10">
        <v>121</v>
      </c>
      <c r="M805" s="10">
        <v>19.100000000000001</v>
      </c>
      <c r="N805" s="10">
        <v>1983</v>
      </c>
      <c r="O805" s="10">
        <v>1</v>
      </c>
      <c r="P805" s="10">
        <v>1978</v>
      </c>
      <c r="Q805" s="10">
        <v>239</v>
      </c>
      <c r="R805" s="10">
        <v>124</v>
      </c>
      <c r="S805" s="10">
        <v>36</v>
      </c>
      <c r="T805" s="10">
        <v>204</v>
      </c>
      <c r="U805" s="10">
        <v>10</v>
      </c>
      <c r="V805" s="10">
        <v>133</v>
      </c>
      <c r="W805" s="10">
        <v>0.28699999999999998</v>
      </c>
      <c r="X805" s="10">
        <v>116</v>
      </c>
      <c r="Y805" s="10">
        <v>88</v>
      </c>
      <c r="Z805" s="10">
        <v>88</v>
      </c>
      <c r="AA805" s="10">
        <v>10</v>
      </c>
      <c r="AB805" s="10">
        <v>10.4</v>
      </c>
      <c r="AC805" s="9" t="s">
        <v>188</v>
      </c>
      <c r="AD805" s="10"/>
      <c r="AE805" s="10"/>
      <c r="AF805" s="10"/>
      <c r="AG805" s="10"/>
    </row>
    <row r="806" spans="1:33">
      <c r="A806" s="7" t="s">
        <v>155</v>
      </c>
      <c r="B806" s="8" t="s">
        <v>215</v>
      </c>
      <c r="C806" s="9" t="s">
        <v>216</v>
      </c>
      <c r="D806" s="10">
        <v>186</v>
      </c>
      <c r="E806" s="9" t="s">
        <v>158</v>
      </c>
      <c r="F806" s="10">
        <v>186</v>
      </c>
      <c r="G806" s="10">
        <v>185.9</v>
      </c>
      <c r="H806" s="10">
        <v>150</v>
      </c>
      <c r="I806" s="10">
        <v>165</v>
      </c>
      <c r="J806" s="10">
        <v>137</v>
      </c>
      <c r="K806" s="10">
        <v>99</v>
      </c>
      <c r="L806" s="10">
        <v>121</v>
      </c>
      <c r="M806" s="10">
        <v>21.5</v>
      </c>
      <c r="N806" s="10">
        <v>1980</v>
      </c>
      <c r="O806" s="10">
        <v>1.04</v>
      </c>
      <c r="P806" s="10">
        <v>2055</v>
      </c>
      <c r="Q806" s="10">
        <v>240</v>
      </c>
      <c r="R806" s="10">
        <v>121</v>
      </c>
      <c r="S806" s="10">
        <v>38</v>
      </c>
      <c r="T806" s="10">
        <v>218</v>
      </c>
      <c r="U806" s="10">
        <v>11</v>
      </c>
      <c r="V806" s="10">
        <v>141</v>
      </c>
      <c r="W806" s="10">
        <v>0.3</v>
      </c>
      <c r="X806" s="10">
        <v>119</v>
      </c>
      <c r="Y806" s="10">
        <v>92</v>
      </c>
      <c r="Z806" s="10">
        <v>99</v>
      </c>
      <c r="AA806" s="10">
        <v>10</v>
      </c>
      <c r="AB806" s="10">
        <v>10.6</v>
      </c>
      <c r="AC806" s="9" t="s">
        <v>188</v>
      </c>
      <c r="AD806" s="10"/>
      <c r="AE806" s="10"/>
      <c r="AF806" s="10"/>
      <c r="AG806" s="10"/>
    </row>
    <row r="807" spans="1:33">
      <c r="A807" s="7" t="s">
        <v>155</v>
      </c>
      <c r="B807" s="8" t="s">
        <v>215</v>
      </c>
      <c r="C807" s="9" t="s">
        <v>306</v>
      </c>
      <c r="D807" s="10">
        <v>165</v>
      </c>
      <c r="E807" s="9" t="s">
        <v>158</v>
      </c>
      <c r="F807" s="10">
        <v>165</v>
      </c>
      <c r="G807" s="10">
        <v>165.1</v>
      </c>
      <c r="H807" s="10">
        <v>133</v>
      </c>
      <c r="I807" s="10">
        <v>146</v>
      </c>
      <c r="J807" s="10">
        <v>130</v>
      </c>
      <c r="K807" s="10">
        <v>89</v>
      </c>
      <c r="L807" s="10">
        <v>112</v>
      </c>
      <c r="M807" s="10">
        <v>15.6</v>
      </c>
      <c r="N807" s="10">
        <v>1638</v>
      </c>
      <c r="O807" s="10">
        <v>1.02</v>
      </c>
      <c r="P807" s="10">
        <v>1679</v>
      </c>
      <c r="Q807" s="10">
        <v>195</v>
      </c>
      <c r="R807" s="10">
        <v>100</v>
      </c>
      <c r="S807" s="10">
        <v>38</v>
      </c>
      <c r="T807" s="10">
        <v>203</v>
      </c>
      <c r="U807" s="10">
        <v>10</v>
      </c>
      <c r="V807" s="10">
        <v>120</v>
      </c>
      <c r="W807" s="10">
        <v>0.25700000000000001</v>
      </c>
      <c r="X807" s="10">
        <v>103</v>
      </c>
      <c r="Y807" s="10">
        <v>88</v>
      </c>
      <c r="Z807" s="10">
        <v>100</v>
      </c>
      <c r="AA807" s="10">
        <v>8</v>
      </c>
      <c r="AB807" s="10">
        <v>10.5</v>
      </c>
      <c r="AC807" s="9" t="s">
        <v>188</v>
      </c>
      <c r="AD807" s="10"/>
      <c r="AE807" s="10"/>
      <c r="AF807" s="10"/>
      <c r="AG807" s="10"/>
    </row>
    <row r="808" spans="1:33">
      <c r="A808" s="7" t="s">
        <v>155</v>
      </c>
      <c r="B808" s="8" t="s">
        <v>215</v>
      </c>
      <c r="C808" s="9" t="s">
        <v>306</v>
      </c>
      <c r="D808" s="10">
        <v>172</v>
      </c>
      <c r="E808" s="9" t="s">
        <v>158</v>
      </c>
      <c r="F808" s="10">
        <v>172</v>
      </c>
      <c r="G808" s="10">
        <v>171.9</v>
      </c>
      <c r="H808" s="10">
        <v>140</v>
      </c>
      <c r="I808" s="10">
        <v>152</v>
      </c>
      <c r="J808" s="10">
        <v>130</v>
      </c>
      <c r="K808" s="10">
        <v>89</v>
      </c>
      <c r="L808" s="10">
        <v>113</v>
      </c>
      <c r="M808" s="10">
        <v>17.3</v>
      </c>
      <c r="N808" s="10">
        <v>1655</v>
      </c>
      <c r="O808" s="10">
        <v>1.06</v>
      </c>
      <c r="P808" s="10">
        <v>1748</v>
      </c>
      <c r="Q808" s="10">
        <v>199</v>
      </c>
      <c r="R808" s="10">
        <v>101</v>
      </c>
      <c r="S808" s="10">
        <v>36</v>
      </c>
      <c r="T808" s="10">
        <v>192</v>
      </c>
      <c r="U808" s="10">
        <v>9</v>
      </c>
      <c r="V808" s="10">
        <v>128</v>
      </c>
      <c r="W808" s="10">
        <v>0.253</v>
      </c>
      <c r="X808" s="10">
        <v>114</v>
      </c>
      <c r="Y808" s="10">
        <v>84</v>
      </c>
      <c r="Z808" s="10">
        <v>79</v>
      </c>
      <c r="AA808" s="10">
        <v>11</v>
      </c>
      <c r="AB808" s="10">
        <v>10.4</v>
      </c>
      <c r="AC808" s="9" t="s">
        <v>188</v>
      </c>
      <c r="AD808" s="9" t="s">
        <v>185</v>
      </c>
      <c r="AE808" s="10"/>
      <c r="AF808" s="10"/>
      <c r="AG808" s="10"/>
    </row>
    <row r="809" spans="1:33">
      <c r="A809" s="7" t="s">
        <v>155</v>
      </c>
      <c r="B809" s="8" t="s">
        <v>215</v>
      </c>
      <c r="C809" s="9" t="s">
        <v>306</v>
      </c>
      <c r="D809" s="10">
        <v>179</v>
      </c>
      <c r="E809" s="9" t="s">
        <v>158</v>
      </c>
      <c r="F809" s="10">
        <v>179</v>
      </c>
      <c r="G809" s="10">
        <v>178.6</v>
      </c>
      <c r="H809" s="10">
        <v>145</v>
      </c>
      <c r="I809" s="10">
        <v>158</v>
      </c>
      <c r="J809" s="10">
        <v>130</v>
      </c>
      <c r="K809" s="10">
        <v>89</v>
      </c>
      <c r="L809" s="10">
        <v>113</v>
      </c>
      <c r="M809" s="10">
        <v>18.3</v>
      </c>
      <c r="N809" s="10">
        <v>1787</v>
      </c>
      <c r="O809" s="10">
        <v>1.02</v>
      </c>
      <c r="P809" s="10">
        <v>1815</v>
      </c>
      <c r="Q809" s="10">
        <v>208</v>
      </c>
      <c r="R809" s="10">
        <v>103</v>
      </c>
      <c r="S809" s="10">
        <v>39</v>
      </c>
      <c r="T809" s="10">
        <v>205</v>
      </c>
      <c r="U809" s="10">
        <v>10</v>
      </c>
      <c r="V809" s="10">
        <v>130</v>
      </c>
      <c r="W809" s="10">
        <v>0.25700000000000001</v>
      </c>
      <c r="X809" s="10">
        <v>119</v>
      </c>
      <c r="Y809" s="10">
        <v>86</v>
      </c>
      <c r="Z809" s="10">
        <v>86</v>
      </c>
      <c r="AA809" s="10">
        <v>9</v>
      </c>
      <c r="AB809" s="10">
        <v>10.5</v>
      </c>
      <c r="AC809" s="9" t="s">
        <v>188</v>
      </c>
      <c r="AD809" s="10"/>
      <c r="AE809" s="10"/>
      <c r="AF809" s="10"/>
      <c r="AG809" s="10"/>
    </row>
    <row r="810" spans="1:33">
      <c r="A810" s="7" t="s">
        <v>155</v>
      </c>
      <c r="B810" s="8" t="s">
        <v>215</v>
      </c>
      <c r="C810" s="9" t="s">
        <v>306</v>
      </c>
      <c r="D810" s="10">
        <v>186</v>
      </c>
      <c r="E810" s="9" t="s">
        <v>158</v>
      </c>
      <c r="F810" s="10">
        <v>186</v>
      </c>
      <c r="G810" s="10">
        <v>185.8</v>
      </c>
      <c r="H810" s="10">
        <v>157</v>
      </c>
      <c r="I810" s="10">
        <v>166</v>
      </c>
      <c r="J810" s="10">
        <v>130</v>
      </c>
      <c r="K810" s="10">
        <v>89</v>
      </c>
      <c r="L810" s="10">
        <v>113</v>
      </c>
      <c r="M810" s="10">
        <v>20.399999999999999</v>
      </c>
      <c r="N810" s="10">
        <v>1895</v>
      </c>
      <c r="O810" s="10">
        <v>0.99</v>
      </c>
      <c r="P810" s="10">
        <v>1881</v>
      </c>
      <c r="Q810" s="10">
        <v>227</v>
      </c>
      <c r="R810" s="10">
        <v>111</v>
      </c>
      <c r="S810" s="10">
        <v>37</v>
      </c>
      <c r="T810" s="10">
        <v>179</v>
      </c>
      <c r="U810" s="10">
        <v>8</v>
      </c>
      <c r="V810" s="10">
        <v>108</v>
      </c>
      <c r="W810" s="10">
        <v>0.22800000000000001</v>
      </c>
      <c r="X810" s="10">
        <v>106</v>
      </c>
      <c r="Y810" s="10">
        <v>92</v>
      </c>
      <c r="Z810" s="10">
        <v>73</v>
      </c>
      <c r="AA810" s="10">
        <v>13</v>
      </c>
      <c r="AB810" s="10">
        <v>11.4</v>
      </c>
      <c r="AC810" s="9" t="s">
        <v>188</v>
      </c>
      <c r="AD810" s="10"/>
      <c r="AE810" s="10"/>
      <c r="AF810" s="10"/>
      <c r="AG810" s="10"/>
    </row>
    <row r="811" spans="1:33">
      <c r="A811" s="7" t="s">
        <v>155</v>
      </c>
      <c r="B811" s="8" t="s">
        <v>215</v>
      </c>
      <c r="C811" s="9" t="s">
        <v>302</v>
      </c>
      <c r="D811" s="10">
        <v>151</v>
      </c>
      <c r="E811" s="9" t="s">
        <v>163</v>
      </c>
      <c r="F811" s="10">
        <v>151</v>
      </c>
      <c r="G811" s="10">
        <v>150.4</v>
      </c>
      <c r="H811" s="10">
        <v>117</v>
      </c>
      <c r="I811" s="10">
        <v>131</v>
      </c>
      <c r="J811" s="10">
        <v>131</v>
      </c>
      <c r="K811" s="10">
        <v>89</v>
      </c>
      <c r="L811" s="10">
        <v>114</v>
      </c>
      <c r="M811" s="10">
        <v>12.4</v>
      </c>
      <c r="N811" s="10">
        <v>1457</v>
      </c>
      <c r="O811" s="10">
        <v>1.06</v>
      </c>
      <c r="P811" s="10">
        <v>1541</v>
      </c>
      <c r="Q811" s="10">
        <v>196</v>
      </c>
      <c r="R811" s="10">
        <v>94</v>
      </c>
      <c r="S811" s="10">
        <v>37</v>
      </c>
      <c r="T811" s="10">
        <v>205</v>
      </c>
      <c r="U811" s="10">
        <v>10</v>
      </c>
      <c r="V811" s="10">
        <v>130</v>
      </c>
      <c r="W811" s="10">
        <v>0.27400000000000002</v>
      </c>
      <c r="X811" s="10">
        <v>112</v>
      </c>
      <c r="Y811" s="10">
        <v>85</v>
      </c>
      <c r="Z811" s="10">
        <v>93</v>
      </c>
      <c r="AA811" s="10">
        <v>7</v>
      </c>
      <c r="AB811" s="10">
        <v>9.6999999999999993</v>
      </c>
      <c r="AC811" s="9" t="s">
        <v>188</v>
      </c>
      <c r="AD811" s="9" t="s">
        <v>185</v>
      </c>
      <c r="AE811" s="10"/>
      <c r="AF811" s="10"/>
      <c r="AG811" s="10"/>
    </row>
    <row r="812" spans="1:33">
      <c r="A812" s="7" t="s">
        <v>155</v>
      </c>
      <c r="B812" s="8" t="s">
        <v>215</v>
      </c>
      <c r="C812" s="9" t="s">
        <v>302</v>
      </c>
      <c r="D812" s="10">
        <v>158</v>
      </c>
      <c r="E812" s="9" t="s">
        <v>163</v>
      </c>
      <c r="F812" s="10">
        <v>158</v>
      </c>
      <c r="G812" s="10">
        <v>157.5</v>
      </c>
      <c r="H812" s="10">
        <v>125</v>
      </c>
      <c r="I812" s="10">
        <v>137</v>
      </c>
      <c r="J812" s="10">
        <v>131</v>
      </c>
      <c r="K812" s="10">
        <v>90</v>
      </c>
      <c r="L812" s="10">
        <v>113</v>
      </c>
      <c r="M812" s="10">
        <v>14</v>
      </c>
      <c r="N812" s="10">
        <v>1547</v>
      </c>
      <c r="O812" s="10">
        <v>1.04</v>
      </c>
      <c r="P812" s="10">
        <v>1614</v>
      </c>
      <c r="Q812" s="10">
        <v>178</v>
      </c>
      <c r="R812" s="10">
        <v>97</v>
      </c>
      <c r="S812" s="10">
        <v>36</v>
      </c>
      <c r="T812" s="10">
        <v>202</v>
      </c>
      <c r="U812" s="10">
        <v>11</v>
      </c>
      <c r="V812" s="10">
        <v>120</v>
      </c>
      <c r="W812" s="10">
        <v>0.29599999999999999</v>
      </c>
      <c r="X812" s="10">
        <v>111</v>
      </c>
      <c r="Y812" s="10">
        <v>91</v>
      </c>
      <c r="Z812" s="10">
        <v>91</v>
      </c>
      <c r="AA812" s="10">
        <v>7</v>
      </c>
      <c r="AB812" s="10">
        <v>11</v>
      </c>
      <c r="AC812" s="9" t="s">
        <v>188</v>
      </c>
      <c r="AD812" s="10"/>
      <c r="AE812" s="10"/>
      <c r="AF812" s="10"/>
      <c r="AG812" s="10"/>
    </row>
    <row r="813" spans="1:33">
      <c r="A813" s="7" t="s">
        <v>155</v>
      </c>
      <c r="B813" s="8" t="s">
        <v>215</v>
      </c>
      <c r="C813" s="9" t="s">
        <v>302</v>
      </c>
      <c r="D813" s="10">
        <v>165</v>
      </c>
      <c r="E813" s="9" t="s">
        <v>163</v>
      </c>
      <c r="F813" s="10">
        <v>165</v>
      </c>
      <c r="G813" s="10">
        <v>164.2</v>
      </c>
      <c r="H813" s="10">
        <v>131</v>
      </c>
      <c r="I813" s="10">
        <v>145</v>
      </c>
      <c r="J813" s="10">
        <v>131</v>
      </c>
      <c r="K813" s="10">
        <v>90</v>
      </c>
      <c r="L813" s="10">
        <v>113</v>
      </c>
      <c r="M813" s="10">
        <v>15.4</v>
      </c>
      <c r="N813" s="10">
        <v>1591</v>
      </c>
      <c r="O813" s="10">
        <v>1.06</v>
      </c>
      <c r="P813" s="10">
        <v>1679</v>
      </c>
      <c r="Q813" s="10">
        <v>208</v>
      </c>
      <c r="R813" s="10">
        <v>99</v>
      </c>
      <c r="S813" s="10">
        <v>37</v>
      </c>
      <c r="T813" s="10">
        <v>206</v>
      </c>
      <c r="U813" s="10">
        <v>10</v>
      </c>
      <c r="V813" s="10">
        <v>130</v>
      </c>
      <c r="W813" s="10">
        <v>0.26200000000000001</v>
      </c>
      <c r="X813" s="10">
        <v>108</v>
      </c>
      <c r="Y813" s="10">
        <v>79</v>
      </c>
      <c r="Z813" s="10">
        <v>98</v>
      </c>
      <c r="AA813" s="10">
        <v>8</v>
      </c>
      <c r="AB813" s="10">
        <v>7.1</v>
      </c>
      <c r="AC813" s="9" t="s">
        <v>188</v>
      </c>
      <c r="AD813" s="9" t="s">
        <v>185</v>
      </c>
      <c r="AE813" s="10"/>
      <c r="AF813" s="10"/>
      <c r="AG813" s="10"/>
    </row>
    <row r="814" spans="1:33">
      <c r="A814" s="7" t="s">
        <v>155</v>
      </c>
      <c r="B814" s="8" t="s">
        <v>215</v>
      </c>
      <c r="C814" s="9" t="s">
        <v>376</v>
      </c>
      <c r="D814" s="10">
        <v>151</v>
      </c>
      <c r="E814" s="9" t="s">
        <v>163</v>
      </c>
      <c r="F814" s="10">
        <v>151</v>
      </c>
      <c r="G814" s="10">
        <v>150.1</v>
      </c>
      <c r="H814" s="10">
        <v>90</v>
      </c>
      <c r="I814" s="10">
        <v>123</v>
      </c>
      <c r="J814" s="10">
        <v>134</v>
      </c>
      <c r="K814" s="10">
        <v>101</v>
      </c>
      <c r="L814" s="10">
        <v>121</v>
      </c>
      <c r="M814" s="10">
        <v>12.5</v>
      </c>
      <c r="N814" s="10">
        <v>1483</v>
      </c>
      <c r="O814" s="10">
        <v>1.1299999999999999</v>
      </c>
      <c r="P814" s="10">
        <v>1669</v>
      </c>
      <c r="Q814" s="10">
        <v>170</v>
      </c>
      <c r="R814" s="10">
        <v>84</v>
      </c>
      <c r="S814" s="10">
        <v>44</v>
      </c>
      <c r="T814" s="10">
        <v>339</v>
      </c>
      <c r="U814" s="10">
        <v>34</v>
      </c>
      <c r="V814" s="10">
        <v>258</v>
      </c>
      <c r="W814" s="10">
        <v>0.75900000000000001</v>
      </c>
      <c r="X814" s="10">
        <v>139</v>
      </c>
      <c r="Y814" s="10">
        <v>136</v>
      </c>
      <c r="Z814" s="10">
        <v>201</v>
      </c>
      <c r="AA814" s="10">
        <v>4</v>
      </c>
      <c r="AB814" s="10">
        <v>6.5</v>
      </c>
      <c r="AC814" s="9" t="s">
        <v>188</v>
      </c>
      <c r="AD814" s="9" t="s">
        <v>169</v>
      </c>
      <c r="AE814" s="9" t="s">
        <v>185</v>
      </c>
      <c r="AF814" s="10"/>
      <c r="AG814" s="10"/>
    </row>
    <row r="815" spans="1:33">
      <c r="A815" s="7" t="s">
        <v>155</v>
      </c>
      <c r="B815" s="8" t="s">
        <v>215</v>
      </c>
      <c r="C815" s="9" t="s">
        <v>376</v>
      </c>
      <c r="D815" s="10">
        <v>165</v>
      </c>
      <c r="E815" s="9" t="s">
        <v>163</v>
      </c>
      <c r="F815" s="10">
        <v>165</v>
      </c>
      <c r="G815" s="10">
        <v>164.4</v>
      </c>
      <c r="H815" s="10">
        <v>104</v>
      </c>
      <c r="I815" s="10">
        <v>135</v>
      </c>
      <c r="J815" s="10">
        <v>134</v>
      </c>
      <c r="K815" s="10">
        <v>100</v>
      </c>
      <c r="L815" s="10">
        <v>121</v>
      </c>
      <c r="M815" s="10">
        <v>15</v>
      </c>
      <c r="N815" s="10">
        <v>1740</v>
      </c>
      <c r="O815" s="10">
        <v>1.05</v>
      </c>
      <c r="P815" s="10">
        <v>1822</v>
      </c>
      <c r="Q815" s="10">
        <v>166</v>
      </c>
      <c r="R815" s="10">
        <v>86</v>
      </c>
      <c r="S815" s="10">
        <v>53</v>
      </c>
      <c r="T815" s="10">
        <v>367</v>
      </c>
      <c r="U815" s="10">
        <v>27</v>
      </c>
      <c r="V815" s="10">
        <v>240</v>
      </c>
      <c r="W815" s="10">
        <v>0.51900000000000002</v>
      </c>
      <c r="X815" s="10">
        <v>140</v>
      </c>
      <c r="Y815" s="10">
        <v>155</v>
      </c>
      <c r="Z815" s="10">
        <v>228</v>
      </c>
      <c r="AA815" s="10">
        <v>4</v>
      </c>
      <c r="AB815" s="10">
        <v>7.5</v>
      </c>
      <c r="AC815" s="9" t="s">
        <v>188</v>
      </c>
      <c r="AD815" s="9" t="s">
        <v>169</v>
      </c>
      <c r="AE815" s="10"/>
      <c r="AF815" s="10"/>
      <c r="AG815" s="10"/>
    </row>
    <row r="816" spans="1:33">
      <c r="A816" s="7" t="s">
        <v>155</v>
      </c>
      <c r="B816" s="8" t="s">
        <v>215</v>
      </c>
      <c r="C816" s="9" t="s">
        <v>376</v>
      </c>
      <c r="D816" s="10">
        <v>171</v>
      </c>
      <c r="E816" s="9" t="s">
        <v>163</v>
      </c>
      <c r="F816" s="10">
        <v>171</v>
      </c>
      <c r="G816" s="10">
        <v>170</v>
      </c>
      <c r="H816" s="10">
        <v>111</v>
      </c>
      <c r="I816" s="10">
        <v>141</v>
      </c>
      <c r="J816" s="10">
        <v>135</v>
      </c>
      <c r="K816" s="10">
        <v>101</v>
      </c>
      <c r="L816" s="10">
        <v>122</v>
      </c>
      <c r="M816" s="10">
        <v>16.600000000000001</v>
      </c>
      <c r="N816" s="10">
        <v>1723</v>
      </c>
      <c r="O816" s="10">
        <v>1.1000000000000001</v>
      </c>
      <c r="P816" s="10">
        <v>1895</v>
      </c>
      <c r="Q816" s="10">
        <v>171</v>
      </c>
      <c r="R816" s="10">
        <v>81</v>
      </c>
      <c r="S816" s="10">
        <v>51</v>
      </c>
      <c r="T816" s="10">
        <v>339</v>
      </c>
      <c r="U816" s="10">
        <v>28</v>
      </c>
      <c r="V816" s="10">
        <v>248</v>
      </c>
      <c r="W816" s="10">
        <v>0.55000000000000004</v>
      </c>
      <c r="X816" s="10">
        <v>142</v>
      </c>
      <c r="Y816" s="10">
        <v>148</v>
      </c>
      <c r="Z816" s="10">
        <v>197</v>
      </c>
      <c r="AA816" s="10">
        <v>6</v>
      </c>
      <c r="AB816" s="10">
        <v>8.3000000000000007</v>
      </c>
      <c r="AC816" s="9" t="s">
        <v>188</v>
      </c>
      <c r="AD816" s="9" t="s">
        <v>169</v>
      </c>
      <c r="AE816" s="9" t="s">
        <v>185</v>
      </c>
      <c r="AF816" s="10"/>
      <c r="AG816" s="10"/>
    </row>
    <row r="817" spans="1:33">
      <c r="A817" s="7" t="s">
        <v>155</v>
      </c>
      <c r="B817" s="8" t="s">
        <v>215</v>
      </c>
      <c r="C817" s="9" t="s">
        <v>727</v>
      </c>
      <c r="D817" s="10">
        <v>151</v>
      </c>
      <c r="E817" s="9" t="s">
        <v>163</v>
      </c>
      <c r="F817" s="10">
        <v>151</v>
      </c>
      <c r="G817" s="10">
        <v>150.19999999999999</v>
      </c>
      <c r="H817" s="10">
        <v>91</v>
      </c>
      <c r="I817" s="10">
        <v>121</v>
      </c>
      <c r="J817" s="10">
        <v>125</v>
      </c>
      <c r="K817" s="10">
        <v>90</v>
      </c>
      <c r="L817" s="10">
        <v>111</v>
      </c>
      <c r="M817" s="10">
        <v>11.8</v>
      </c>
      <c r="N817" s="10">
        <v>1420</v>
      </c>
      <c r="O817" s="10">
        <v>1.07</v>
      </c>
      <c r="P817" s="10">
        <v>1516</v>
      </c>
      <c r="Q817" s="10">
        <v>144</v>
      </c>
      <c r="R817" s="10">
        <v>72</v>
      </c>
      <c r="S817" s="10">
        <v>44</v>
      </c>
      <c r="T817" s="10">
        <v>351</v>
      </c>
      <c r="U817" s="10">
        <v>21</v>
      </c>
      <c r="V817" s="10">
        <v>243</v>
      </c>
      <c r="W817" s="10">
        <v>0.48599999999999999</v>
      </c>
      <c r="X817" s="10">
        <v>135</v>
      </c>
      <c r="Y817" s="10">
        <v>157</v>
      </c>
      <c r="Z817" s="10">
        <v>216</v>
      </c>
      <c r="AA817" s="10">
        <v>4</v>
      </c>
      <c r="AB817" s="10">
        <v>7.8</v>
      </c>
      <c r="AC817" s="9" t="s">
        <v>188</v>
      </c>
      <c r="AD817" s="9" t="s">
        <v>185</v>
      </c>
      <c r="AE817" s="10"/>
      <c r="AF817" s="10"/>
      <c r="AG817" s="10"/>
    </row>
    <row r="818" spans="1:33">
      <c r="A818" s="7" t="s">
        <v>155</v>
      </c>
      <c r="B818" s="8" t="s">
        <v>215</v>
      </c>
      <c r="C818" s="9" t="s">
        <v>727</v>
      </c>
      <c r="D818" s="10">
        <v>158</v>
      </c>
      <c r="E818" s="9" t="s">
        <v>163</v>
      </c>
      <c r="F818" s="10">
        <v>158</v>
      </c>
      <c r="G818" s="10">
        <v>157.1</v>
      </c>
      <c r="H818" s="10">
        <v>97</v>
      </c>
      <c r="I818" s="10">
        <v>127</v>
      </c>
      <c r="J818" s="10">
        <v>125</v>
      </c>
      <c r="K818" s="10">
        <v>89</v>
      </c>
      <c r="L818" s="10">
        <v>111</v>
      </c>
      <c r="M818" s="10">
        <v>13</v>
      </c>
      <c r="N818" s="10">
        <v>1431</v>
      </c>
      <c r="O818" s="10">
        <v>1.1000000000000001</v>
      </c>
      <c r="P818" s="10">
        <v>1572</v>
      </c>
      <c r="Q818" s="10">
        <v>162</v>
      </c>
      <c r="R818" s="10">
        <v>75</v>
      </c>
      <c r="S818" s="10">
        <v>44</v>
      </c>
      <c r="T818" s="10">
        <v>352</v>
      </c>
      <c r="U818" s="10">
        <v>23</v>
      </c>
      <c r="V818" s="10">
        <v>246</v>
      </c>
      <c r="W818" s="10">
        <v>0.51800000000000002</v>
      </c>
      <c r="X818" s="10">
        <v>136</v>
      </c>
      <c r="Y818" s="10">
        <v>160</v>
      </c>
      <c r="Z818" s="10">
        <v>216</v>
      </c>
      <c r="AA818" s="10">
        <v>4</v>
      </c>
      <c r="AB818" s="10">
        <v>8.3000000000000007</v>
      </c>
      <c r="AC818" s="9" t="s">
        <v>188</v>
      </c>
      <c r="AD818" s="9" t="s">
        <v>185</v>
      </c>
      <c r="AE818" s="10"/>
      <c r="AF818" s="10"/>
      <c r="AG818" s="10"/>
    </row>
    <row r="819" spans="1:33">
      <c r="A819" s="7" t="s">
        <v>155</v>
      </c>
      <c r="B819" s="8" t="s">
        <v>215</v>
      </c>
      <c r="C819" s="9" t="s">
        <v>727</v>
      </c>
      <c r="D819" s="10">
        <v>165</v>
      </c>
      <c r="E819" s="9" t="s">
        <v>163</v>
      </c>
      <c r="F819" s="10">
        <v>165</v>
      </c>
      <c r="G819" s="10">
        <v>164.5</v>
      </c>
      <c r="H819" s="10">
        <v>105</v>
      </c>
      <c r="I819" s="10">
        <v>136</v>
      </c>
      <c r="J819" s="10">
        <v>125</v>
      </c>
      <c r="K819" s="10">
        <v>90</v>
      </c>
      <c r="L819" s="10">
        <v>111</v>
      </c>
      <c r="M819" s="10">
        <v>14.8</v>
      </c>
      <c r="N819" s="10">
        <v>1554</v>
      </c>
      <c r="O819" s="10">
        <v>1.06</v>
      </c>
      <c r="P819" s="10">
        <v>1649</v>
      </c>
      <c r="Q819" s="10">
        <v>173</v>
      </c>
      <c r="R819" s="10">
        <v>78</v>
      </c>
      <c r="S819" s="10">
        <v>43</v>
      </c>
      <c r="T819" s="10">
        <v>345</v>
      </c>
      <c r="U819" s="10">
        <v>21</v>
      </c>
      <c r="V819" s="10">
        <v>246</v>
      </c>
      <c r="W819" s="10">
        <v>0.48399999999999999</v>
      </c>
      <c r="X819" s="10">
        <v>133</v>
      </c>
      <c r="Y819" s="10">
        <v>152</v>
      </c>
      <c r="Z819" s="10">
        <v>213</v>
      </c>
      <c r="AA819" s="10">
        <v>5</v>
      </c>
      <c r="AB819" s="10">
        <v>7.7</v>
      </c>
      <c r="AC819" s="9" t="s">
        <v>188</v>
      </c>
      <c r="AD819" s="9" t="s">
        <v>185</v>
      </c>
      <c r="AE819" s="10"/>
      <c r="AF819" s="10"/>
      <c r="AG819" s="10"/>
    </row>
    <row r="820" spans="1:33">
      <c r="A820" s="7" t="s">
        <v>155</v>
      </c>
      <c r="B820" s="8" t="s">
        <v>215</v>
      </c>
      <c r="C820" s="9" t="s">
        <v>592</v>
      </c>
      <c r="D820" s="10">
        <v>171</v>
      </c>
      <c r="E820" s="9" t="s">
        <v>158</v>
      </c>
      <c r="F820" s="10">
        <v>171</v>
      </c>
      <c r="G820" s="10">
        <v>169.9</v>
      </c>
      <c r="H820" s="10">
        <v>110</v>
      </c>
      <c r="I820" s="10">
        <v>141</v>
      </c>
      <c r="J820" s="10">
        <v>134</v>
      </c>
      <c r="K820" s="10">
        <v>101</v>
      </c>
      <c r="L820" s="10">
        <v>121</v>
      </c>
      <c r="M820" s="10">
        <v>16.399999999999999</v>
      </c>
      <c r="N820" s="10">
        <v>1707</v>
      </c>
      <c r="O820" s="10">
        <v>1.1100000000000001</v>
      </c>
      <c r="P820" s="10">
        <v>1889</v>
      </c>
      <c r="Q820" s="10">
        <v>172</v>
      </c>
      <c r="R820" s="10">
        <v>84</v>
      </c>
      <c r="S820" s="10">
        <v>52</v>
      </c>
      <c r="T820" s="10">
        <v>340</v>
      </c>
      <c r="U820" s="10">
        <v>30</v>
      </c>
      <c r="V820" s="10">
        <v>257</v>
      </c>
      <c r="W820" s="10">
        <v>0.56799999999999995</v>
      </c>
      <c r="X820" s="10">
        <v>136</v>
      </c>
      <c r="Y820" s="10">
        <v>158</v>
      </c>
      <c r="Z820" s="10">
        <v>204</v>
      </c>
      <c r="AA820" s="10">
        <v>5</v>
      </c>
      <c r="AB820" s="10">
        <v>8.3000000000000007</v>
      </c>
      <c r="AC820" s="9" t="s">
        <v>188</v>
      </c>
      <c r="AD820" s="9" t="s">
        <v>169</v>
      </c>
      <c r="AE820" s="9" t="s">
        <v>185</v>
      </c>
      <c r="AF820" s="10"/>
      <c r="AG820" s="10"/>
    </row>
    <row r="821" spans="1:33">
      <c r="A821" s="7" t="s">
        <v>155</v>
      </c>
      <c r="B821" s="8" t="s">
        <v>215</v>
      </c>
      <c r="C821" s="9" t="s">
        <v>592</v>
      </c>
      <c r="D821" s="10">
        <v>176</v>
      </c>
      <c r="E821" s="9" t="s">
        <v>158</v>
      </c>
      <c r="F821" s="10">
        <v>176</v>
      </c>
      <c r="G821" s="10">
        <v>174.8</v>
      </c>
      <c r="H821" s="10">
        <v>108</v>
      </c>
      <c r="I821" s="10">
        <v>145</v>
      </c>
      <c r="J821" s="10">
        <v>134</v>
      </c>
      <c r="K821" s="10">
        <v>101</v>
      </c>
      <c r="L821" s="10">
        <v>122</v>
      </c>
      <c r="M821" s="10">
        <v>17.399999999999999</v>
      </c>
      <c r="N821" s="10">
        <v>1821</v>
      </c>
      <c r="O821" s="10">
        <v>1.07</v>
      </c>
      <c r="P821" s="10">
        <v>1944</v>
      </c>
      <c r="Q821" s="10">
        <v>183</v>
      </c>
      <c r="R821" s="10">
        <v>92</v>
      </c>
      <c r="S821" s="10">
        <v>52</v>
      </c>
      <c r="T821" s="10">
        <v>385</v>
      </c>
      <c r="U821" s="10">
        <v>32</v>
      </c>
      <c r="V821" s="10">
        <v>288</v>
      </c>
      <c r="W821" s="10">
        <v>0.621</v>
      </c>
      <c r="X821" s="10">
        <v>142</v>
      </c>
      <c r="Y821" s="10">
        <v>156</v>
      </c>
      <c r="Z821" s="10">
        <v>243</v>
      </c>
      <c r="AA821" s="10">
        <v>4</v>
      </c>
      <c r="AB821" s="10">
        <v>7.8</v>
      </c>
      <c r="AC821" s="9" t="s">
        <v>188</v>
      </c>
      <c r="AD821" s="9" t="s">
        <v>169</v>
      </c>
      <c r="AE821" s="9" t="s">
        <v>185</v>
      </c>
      <c r="AF821" s="10"/>
      <c r="AG821" s="10"/>
    </row>
    <row r="822" spans="1:33">
      <c r="A822" s="7" t="s">
        <v>155</v>
      </c>
      <c r="B822" s="8" t="s">
        <v>215</v>
      </c>
      <c r="C822" s="9" t="s">
        <v>590</v>
      </c>
      <c r="D822" s="10">
        <v>176</v>
      </c>
      <c r="E822" s="9" t="s">
        <v>158</v>
      </c>
      <c r="F822" s="10">
        <v>176</v>
      </c>
      <c r="G822" s="10">
        <v>175.2</v>
      </c>
      <c r="H822" s="10">
        <v>98</v>
      </c>
      <c r="I822" s="10">
        <v>145</v>
      </c>
      <c r="J822" s="10">
        <v>137</v>
      </c>
      <c r="K822" s="10">
        <v>106</v>
      </c>
      <c r="L822" s="10">
        <v>127</v>
      </c>
      <c r="M822" s="10">
        <v>18.3</v>
      </c>
      <c r="N822" s="10">
        <v>1983</v>
      </c>
      <c r="O822" s="10">
        <v>1.02</v>
      </c>
      <c r="P822" s="10">
        <v>2014</v>
      </c>
      <c r="Q822" s="10">
        <v>211</v>
      </c>
      <c r="R822" s="10">
        <v>102</v>
      </c>
      <c r="S822" s="10">
        <v>54</v>
      </c>
      <c r="T822" s="10">
        <v>459</v>
      </c>
      <c r="U822" s="10">
        <v>39</v>
      </c>
      <c r="V822" s="10">
        <v>311</v>
      </c>
      <c r="W822" s="10">
        <v>0.72</v>
      </c>
      <c r="X822" s="10">
        <v>139</v>
      </c>
      <c r="Y822" s="10">
        <v>165</v>
      </c>
      <c r="Z822" s="10">
        <v>320</v>
      </c>
      <c r="AA822" s="10">
        <v>4</v>
      </c>
      <c r="AB822" s="10">
        <v>8.1</v>
      </c>
      <c r="AC822" s="9" t="s">
        <v>169</v>
      </c>
      <c r="AD822" s="10"/>
      <c r="AE822" s="10"/>
      <c r="AF822" s="10"/>
      <c r="AG822" s="10"/>
    </row>
    <row r="823" spans="1:33">
      <c r="A823" s="7" t="s">
        <v>155</v>
      </c>
      <c r="B823" s="8" t="s">
        <v>215</v>
      </c>
      <c r="C823" s="9" t="s">
        <v>590</v>
      </c>
      <c r="D823" s="10">
        <v>182</v>
      </c>
      <c r="E823" s="9" t="s">
        <v>158</v>
      </c>
      <c r="F823" s="10">
        <v>182</v>
      </c>
      <c r="G823" s="10">
        <v>180.9</v>
      </c>
      <c r="H823" s="10">
        <v>103</v>
      </c>
      <c r="I823" s="10">
        <v>152</v>
      </c>
      <c r="J823" s="10">
        <v>137</v>
      </c>
      <c r="K823" s="10">
        <v>106</v>
      </c>
      <c r="L823" s="10">
        <v>127</v>
      </c>
      <c r="M823" s="10">
        <v>20.399999999999999</v>
      </c>
      <c r="N823" s="10">
        <v>2023</v>
      </c>
      <c r="O823" s="10">
        <v>1.03</v>
      </c>
      <c r="P823" s="10">
        <v>2084</v>
      </c>
      <c r="Q823" s="10">
        <v>226</v>
      </c>
      <c r="R823" s="10">
        <v>107</v>
      </c>
      <c r="S823" s="10">
        <v>57</v>
      </c>
      <c r="T823" s="10">
        <v>462</v>
      </c>
      <c r="U823" s="10">
        <v>42</v>
      </c>
      <c r="V823" s="10">
        <v>321</v>
      </c>
      <c r="W823" s="10">
        <v>0.747</v>
      </c>
      <c r="X823" s="10">
        <v>141</v>
      </c>
      <c r="Y823" s="10">
        <v>153</v>
      </c>
      <c r="Z823" s="10">
        <v>321</v>
      </c>
      <c r="AA823" s="10">
        <v>4</v>
      </c>
      <c r="AB823" s="10">
        <v>7.9</v>
      </c>
      <c r="AC823" s="9" t="s">
        <v>169</v>
      </c>
      <c r="AD823" s="10"/>
      <c r="AE823" s="10"/>
      <c r="AF823" s="10"/>
      <c r="AG823" s="10"/>
    </row>
    <row r="824" spans="1:33">
      <c r="A824" s="7" t="s">
        <v>155</v>
      </c>
      <c r="B824" s="8" t="s">
        <v>215</v>
      </c>
      <c r="C824" s="9" t="s">
        <v>590</v>
      </c>
      <c r="D824" s="10">
        <v>187</v>
      </c>
      <c r="E824" s="9" t="s">
        <v>158</v>
      </c>
      <c r="F824" s="10">
        <v>187</v>
      </c>
      <c r="G824" s="10">
        <v>186.2</v>
      </c>
      <c r="H824" s="10">
        <v>108</v>
      </c>
      <c r="I824" s="10">
        <v>156</v>
      </c>
      <c r="J824" s="10">
        <v>137</v>
      </c>
      <c r="K824" s="10">
        <v>106</v>
      </c>
      <c r="L824" s="10">
        <v>127</v>
      </c>
      <c r="M824" s="10">
        <v>21.8</v>
      </c>
      <c r="N824" s="10">
        <v>2108</v>
      </c>
      <c r="O824" s="10">
        <v>1.02</v>
      </c>
      <c r="P824" s="10">
        <v>2140</v>
      </c>
      <c r="Q824" s="10">
        <v>217</v>
      </c>
      <c r="R824" s="10">
        <v>109</v>
      </c>
      <c r="S824" s="10">
        <v>56</v>
      </c>
      <c r="T824" s="10">
        <v>471</v>
      </c>
      <c r="U824" s="10">
        <v>40</v>
      </c>
      <c r="V824" s="10">
        <v>311</v>
      </c>
      <c r="W824" s="10">
        <v>0.72099999999999997</v>
      </c>
      <c r="X824" s="10">
        <v>142</v>
      </c>
      <c r="Y824" s="10">
        <v>161</v>
      </c>
      <c r="Z824" s="10">
        <v>328</v>
      </c>
      <c r="AA824" s="10">
        <v>4</v>
      </c>
      <c r="AB824" s="10">
        <v>8.1999999999999993</v>
      </c>
      <c r="AC824" s="9" t="s">
        <v>169</v>
      </c>
      <c r="AD824" s="10"/>
      <c r="AE824" s="10"/>
      <c r="AF824" s="10"/>
      <c r="AG824" s="10"/>
    </row>
    <row r="825" spans="1:33">
      <c r="A825" s="7" t="s">
        <v>155</v>
      </c>
      <c r="B825" s="8" t="s">
        <v>215</v>
      </c>
      <c r="C825" s="9" t="s">
        <v>281</v>
      </c>
      <c r="D825" s="10">
        <v>171</v>
      </c>
      <c r="E825" s="9" t="s">
        <v>158</v>
      </c>
      <c r="F825" s="10">
        <v>171</v>
      </c>
      <c r="G825" s="10">
        <v>170</v>
      </c>
      <c r="H825" s="10">
        <v>109</v>
      </c>
      <c r="I825" s="10">
        <v>140</v>
      </c>
      <c r="J825" s="10">
        <v>130</v>
      </c>
      <c r="K825" s="10">
        <v>96</v>
      </c>
      <c r="L825" s="10">
        <v>118</v>
      </c>
      <c r="M825" s="10">
        <v>16.5</v>
      </c>
      <c r="N825" s="10">
        <v>1732</v>
      </c>
      <c r="O825" s="10">
        <v>1.05</v>
      </c>
      <c r="P825" s="10">
        <v>1813</v>
      </c>
      <c r="Q825" s="10">
        <v>188</v>
      </c>
      <c r="R825" s="10">
        <v>89</v>
      </c>
      <c r="S825" s="10">
        <v>50</v>
      </c>
      <c r="T825" s="10">
        <v>344</v>
      </c>
      <c r="U825" s="10">
        <v>30</v>
      </c>
      <c r="V825" s="10">
        <v>261</v>
      </c>
      <c r="W825" s="10">
        <v>0.61099999999999999</v>
      </c>
      <c r="X825" s="10">
        <v>136</v>
      </c>
      <c r="Y825" s="10">
        <v>165</v>
      </c>
      <c r="Z825" s="10">
        <v>209</v>
      </c>
      <c r="AA825" s="10">
        <v>5</v>
      </c>
      <c r="AB825" s="10">
        <v>8.1</v>
      </c>
      <c r="AC825" s="9" t="s">
        <v>188</v>
      </c>
      <c r="AD825" s="10"/>
      <c r="AE825" s="10"/>
      <c r="AF825" s="10"/>
      <c r="AG825" s="10"/>
    </row>
    <row r="826" spans="1:33">
      <c r="A826" s="7" t="s">
        <v>155</v>
      </c>
      <c r="B826" s="8" t="s">
        <v>215</v>
      </c>
      <c r="C826" s="9" t="s">
        <v>281</v>
      </c>
      <c r="D826" s="10">
        <v>176</v>
      </c>
      <c r="E826" s="9" t="s">
        <v>158</v>
      </c>
      <c r="F826" s="10">
        <v>176</v>
      </c>
      <c r="G826" s="10">
        <v>174.9</v>
      </c>
      <c r="H826" s="10">
        <v>117</v>
      </c>
      <c r="I826" s="10">
        <v>145</v>
      </c>
      <c r="J826" s="10">
        <v>129</v>
      </c>
      <c r="K826" s="10">
        <v>96</v>
      </c>
      <c r="L826" s="10">
        <v>117</v>
      </c>
      <c r="M826" s="10">
        <v>17.3</v>
      </c>
      <c r="N826" s="10">
        <v>1772</v>
      </c>
      <c r="O826" s="10">
        <v>1.05</v>
      </c>
      <c r="P826" s="10">
        <v>1865</v>
      </c>
      <c r="Q826" s="10">
        <v>213</v>
      </c>
      <c r="R826" s="10">
        <v>98</v>
      </c>
      <c r="S826" s="10">
        <v>47</v>
      </c>
      <c r="T826" s="10">
        <v>307</v>
      </c>
      <c r="U826" s="10">
        <v>30</v>
      </c>
      <c r="V826" s="10">
        <v>272</v>
      </c>
      <c r="W826" s="10">
        <v>0.64500000000000002</v>
      </c>
      <c r="X826" s="10">
        <v>136</v>
      </c>
      <c r="Y826" s="10">
        <v>168</v>
      </c>
      <c r="Z826" s="10">
        <v>171</v>
      </c>
      <c r="AA826" s="10">
        <v>4</v>
      </c>
      <c r="AB826" s="10">
        <v>7.9</v>
      </c>
      <c r="AC826" s="9" t="s">
        <v>188</v>
      </c>
      <c r="AD826" s="9" t="s">
        <v>185</v>
      </c>
      <c r="AE826" s="10"/>
      <c r="AF826" s="10"/>
      <c r="AG826" s="10"/>
    </row>
    <row r="827" spans="1:33">
      <c r="A827" s="7" t="s">
        <v>155</v>
      </c>
      <c r="B827" s="8" t="s">
        <v>215</v>
      </c>
      <c r="C827" s="9" t="s">
        <v>281</v>
      </c>
      <c r="D827" s="10">
        <v>182</v>
      </c>
      <c r="E827" s="9" t="s">
        <v>158</v>
      </c>
      <c r="F827" s="10">
        <v>182</v>
      </c>
      <c r="G827" s="10">
        <v>180.8</v>
      </c>
      <c r="H827" s="10">
        <v>123</v>
      </c>
      <c r="I827" s="10">
        <v>151</v>
      </c>
      <c r="J827" s="10">
        <v>129</v>
      </c>
      <c r="K827" s="10">
        <v>96</v>
      </c>
      <c r="L827" s="10">
        <v>117</v>
      </c>
      <c r="M827" s="10">
        <v>18.7</v>
      </c>
      <c r="N827" s="10">
        <v>1860</v>
      </c>
      <c r="O827" s="10">
        <v>1.03</v>
      </c>
      <c r="P827" s="10">
        <v>1919</v>
      </c>
      <c r="Q827" s="10">
        <v>205</v>
      </c>
      <c r="R827" s="10">
        <v>97</v>
      </c>
      <c r="S827" s="10">
        <v>47</v>
      </c>
      <c r="T827" s="10">
        <v>332</v>
      </c>
      <c r="U827" s="10">
        <v>30</v>
      </c>
      <c r="V827" s="10">
        <v>243</v>
      </c>
      <c r="W827" s="10">
        <v>0.64600000000000002</v>
      </c>
      <c r="X827" s="10">
        <v>136</v>
      </c>
      <c r="Y827" s="10">
        <v>164</v>
      </c>
      <c r="Z827" s="10">
        <v>195</v>
      </c>
      <c r="AA827" s="10">
        <v>6</v>
      </c>
      <c r="AB827" s="10">
        <v>8.6</v>
      </c>
      <c r="AC827" s="9" t="s">
        <v>188</v>
      </c>
      <c r="AD827" s="10"/>
      <c r="AE827" s="10"/>
      <c r="AF827" s="10"/>
      <c r="AG827" s="10"/>
    </row>
    <row r="828" spans="1:33">
      <c r="A828" s="7" t="s">
        <v>155</v>
      </c>
      <c r="B828" s="8" t="s">
        <v>215</v>
      </c>
      <c r="C828" s="9" t="s">
        <v>281</v>
      </c>
      <c r="D828" s="10">
        <v>187</v>
      </c>
      <c r="E828" s="9" t="s">
        <v>158</v>
      </c>
      <c r="F828" s="10">
        <v>187</v>
      </c>
      <c r="G828" s="10">
        <v>185.8</v>
      </c>
      <c r="H828" s="10">
        <v>126</v>
      </c>
      <c r="I828" s="10">
        <v>156</v>
      </c>
      <c r="J828" s="10">
        <v>129</v>
      </c>
      <c r="K828" s="10">
        <v>96</v>
      </c>
      <c r="L828" s="10">
        <v>117</v>
      </c>
      <c r="M828" s="10">
        <v>19.899999999999999</v>
      </c>
      <c r="N828" s="10">
        <v>1972</v>
      </c>
      <c r="O828" s="10">
        <v>1</v>
      </c>
      <c r="P828" s="10">
        <v>1972</v>
      </c>
      <c r="Q828" s="10">
        <v>247</v>
      </c>
      <c r="R828" s="10">
        <v>108</v>
      </c>
      <c r="S828" s="10">
        <v>44</v>
      </c>
      <c r="T828" s="10">
        <v>327</v>
      </c>
      <c r="U828" s="10">
        <v>31</v>
      </c>
      <c r="V828" s="10">
        <v>272</v>
      </c>
      <c r="W828" s="10">
        <v>0.71</v>
      </c>
      <c r="X828" s="10">
        <v>136</v>
      </c>
      <c r="Y828" s="10">
        <v>167</v>
      </c>
      <c r="Z828" s="10">
        <v>191</v>
      </c>
      <c r="AA828" s="10">
        <v>7</v>
      </c>
      <c r="AB828" s="10">
        <v>8.3000000000000007</v>
      </c>
      <c r="AC828" s="9" t="s">
        <v>188</v>
      </c>
      <c r="AD828" s="10"/>
      <c r="AE828" s="10"/>
      <c r="AF828" s="10"/>
      <c r="AG828" s="10"/>
    </row>
    <row r="829" spans="1:33">
      <c r="A829" s="7" t="s">
        <v>155</v>
      </c>
      <c r="B829" s="8" t="s">
        <v>208</v>
      </c>
      <c r="C829" s="9" t="s">
        <v>633</v>
      </c>
      <c r="D829" s="10">
        <v>169</v>
      </c>
      <c r="E829" s="9" t="s">
        <v>158</v>
      </c>
      <c r="F829" s="10">
        <v>169</v>
      </c>
      <c r="G829" s="10">
        <v>168.2</v>
      </c>
      <c r="H829" s="10">
        <v>133</v>
      </c>
      <c r="I829" s="10">
        <v>153</v>
      </c>
      <c r="J829" s="10">
        <v>153</v>
      </c>
      <c r="K829" s="10">
        <v>94</v>
      </c>
      <c r="L829" s="10">
        <v>123</v>
      </c>
      <c r="M829" s="10">
        <v>12.6</v>
      </c>
      <c r="N829" s="10">
        <v>1833</v>
      </c>
      <c r="O829" s="10">
        <v>1.03</v>
      </c>
      <c r="P829" s="10">
        <v>1892</v>
      </c>
      <c r="Q829" s="10">
        <v>155</v>
      </c>
      <c r="R829" s="10">
        <v>104</v>
      </c>
      <c r="S829" s="10">
        <v>43</v>
      </c>
      <c r="T829" s="10">
        <v>207</v>
      </c>
      <c r="U829" s="10">
        <v>26</v>
      </c>
      <c r="V829" s="10">
        <v>150</v>
      </c>
      <c r="W829" s="10">
        <v>0.61399999999999999</v>
      </c>
      <c r="X829" s="10">
        <v>130</v>
      </c>
      <c r="Y829" s="10">
        <v>23</v>
      </c>
      <c r="Z829" s="10">
        <v>76</v>
      </c>
      <c r="AA829" s="10">
        <v>9</v>
      </c>
      <c r="AB829" s="10">
        <v>5.6</v>
      </c>
      <c r="AC829" s="9" t="s">
        <v>188</v>
      </c>
      <c r="AD829" s="10"/>
      <c r="AE829" s="10"/>
      <c r="AF829" s="10"/>
      <c r="AG829" s="10"/>
    </row>
    <row r="830" spans="1:33">
      <c r="A830" s="7" t="s">
        <v>155</v>
      </c>
      <c r="B830" s="8" t="s">
        <v>208</v>
      </c>
      <c r="C830" s="9" t="s">
        <v>633</v>
      </c>
      <c r="D830" s="10">
        <v>176</v>
      </c>
      <c r="E830" s="9" t="s">
        <v>158</v>
      </c>
      <c r="F830" s="10">
        <v>176</v>
      </c>
      <c r="G830" s="10">
        <v>175</v>
      </c>
      <c r="H830" s="10">
        <v>141</v>
      </c>
      <c r="I830" s="10">
        <v>160</v>
      </c>
      <c r="J830" s="10">
        <v>154</v>
      </c>
      <c r="K830" s="10">
        <v>94</v>
      </c>
      <c r="L830" s="10">
        <v>124</v>
      </c>
      <c r="M830" s="10">
        <v>13.6</v>
      </c>
      <c r="N830" s="10">
        <v>1970</v>
      </c>
      <c r="O830" s="10">
        <v>1</v>
      </c>
      <c r="P830" s="10">
        <v>1975</v>
      </c>
      <c r="Q830" s="10">
        <v>166</v>
      </c>
      <c r="R830" s="10">
        <v>114</v>
      </c>
      <c r="S830" s="10">
        <v>34</v>
      </c>
      <c r="T830" s="10">
        <v>182</v>
      </c>
      <c r="U830" s="10">
        <v>25</v>
      </c>
      <c r="V830" s="10">
        <v>155</v>
      </c>
      <c r="W830" s="10">
        <v>0.73699999999999999</v>
      </c>
      <c r="X830" s="10">
        <v>130</v>
      </c>
      <c r="Y830" s="10">
        <v>22</v>
      </c>
      <c r="Z830" s="10">
        <v>52</v>
      </c>
      <c r="AA830" s="10">
        <v>10</v>
      </c>
      <c r="AB830" s="10">
        <v>6.7</v>
      </c>
      <c r="AC830" s="9" t="s">
        <v>188</v>
      </c>
      <c r="AD830" s="10"/>
      <c r="AE830" s="10"/>
      <c r="AF830" s="10"/>
      <c r="AG830" s="10"/>
    </row>
    <row r="831" spans="1:33">
      <c r="A831" s="7" t="s">
        <v>155</v>
      </c>
      <c r="B831" s="8" t="s">
        <v>208</v>
      </c>
      <c r="C831" s="9" t="s">
        <v>633</v>
      </c>
      <c r="D831" s="10">
        <v>181</v>
      </c>
      <c r="E831" s="9" t="s">
        <v>158</v>
      </c>
      <c r="F831" s="10">
        <v>181</v>
      </c>
      <c r="G831" s="10">
        <v>179.7</v>
      </c>
      <c r="H831" s="10">
        <v>140</v>
      </c>
      <c r="I831" s="10">
        <v>164</v>
      </c>
      <c r="J831" s="10">
        <v>154</v>
      </c>
      <c r="K831" s="10">
        <v>95</v>
      </c>
      <c r="L831" s="10">
        <v>124</v>
      </c>
      <c r="M831" s="10">
        <v>14.6</v>
      </c>
      <c r="N831" s="10">
        <v>2051</v>
      </c>
      <c r="O831" s="10">
        <v>0.99</v>
      </c>
      <c r="P831" s="10">
        <v>2027</v>
      </c>
      <c r="Q831" s="10">
        <v>193</v>
      </c>
      <c r="R831" s="10">
        <v>137</v>
      </c>
      <c r="S831" s="10">
        <v>35</v>
      </c>
      <c r="T831" s="10">
        <v>257</v>
      </c>
      <c r="U831" s="10">
        <v>22</v>
      </c>
      <c r="V831" s="10">
        <v>140</v>
      </c>
      <c r="W831" s="10">
        <v>0.628</v>
      </c>
      <c r="X831" s="10">
        <v>127</v>
      </c>
      <c r="Y831" s="10">
        <v>26</v>
      </c>
      <c r="Z831" s="10">
        <v>130</v>
      </c>
      <c r="AA831" s="10">
        <v>8</v>
      </c>
      <c r="AB831" s="10">
        <v>6.8</v>
      </c>
      <c r="AC831" s="9" t="s">
        <v>188</v>
      </c>
      <c r="AD831" s="10"/>
      <c r="AE831" s="10"/>
      <c r="AF831" s="10"/>
      <c r="AG831" s="10"/>
    </row>
    <row r="832" spans="1:33">
      <c r="A832" s="7" t="s">
        <v>155</v>
      </c>
      <c r="B832" s="8" t="s">
        <v>208</v>
      </c>
      <c r="C832" s="9" t="s">
        <v>265</v>
      </c>
      <c r="D832" s="10">
        <v>153</v>
      </c>
      <c r="E832" s="9" t="s">
        <v>163</v>
      </c>
      <c r="F832" s="10">
        <v>153</v>
      </c>
      <c r="G832" s="10">
        <v>152.19999999999999</v>
      </c>
      <c r="H832" s="10">
        <v>121</v>
      </c>
      <c r="I832" s="10">
        <v>137</v>
      </c>
      <c r="J832" s="10">
        <v>139</v>
      </c>
      <c r="K832" s="10">
        <v>90</v>
      </c>
      <c r="L832" s="10">
        <v>113</v>
      </c>
      <c r="M832" s="10">
        <v>13.2</v>
      </c>
      <c r="N832" s="10">
        <v>1555</v>
      </c>
      <c r="O832" s="10">
        <v>1.02</v>
      </c>
      <c r="P832" s="10">
        <v>1593</v>
      </c>
      <c r="Q832" s="10">
        <v>136</v>
      </c>
      <c r="R832" s="10">
        <v>92</v>
      </c>
      <c r="S832" s="10">
        <v>30</v>
      </c>
      <c r="T832" s="10">
        <v>192</v>
      </c>
      <c r="U832" s="10">
        <v>22</v>
      </c>
      <c r="V832" s="10">
        <v>120</v>
      </c>
      <c r="W832" s="10">
        <v>0.746</v>
      </c>
      <c r="X832" s="10">
        <v>131</v>
      </c>
      <c r="Y832" s="10">
        <v>22</v>
      </c>
      <c r="Z832" s="10">
        <v>61</v>
      </c>
      <c r="AA832" s="10">
        <v>8</v>
      </c>
      <c r="AB832" s="10">
        <v>6</v>
      </c>
      <c r="AC832" s="9" t="s">
        <v>188</v>
      </c>
      <c r="AD832" s="10"/>
      <c r="AE832" s="10"/>
      <c r="AF832" s="10"/>
      <c r="AG832" s="10"/>
    </row>
    <row r="833" spans="1:33">
      <c r="A833" s="7" t="s">
        <v>155</v>
      </c>
      <c r="B833" s="8" t="s">
        <v>208</v>
      </c>
      <c r="C833" s="9" t="s">
        <v>265</v>
      </c>
      <c r="D833" s="10">
        <v>160</v>
      </c>
      <c r="E833" s="9" t="s">
        <v>163</v>
      </c>
      <c r="F833" s="10">
        <v>160</v>
      </c>
      <c r="G833" s="10">
        <v>159.5</v>
      </c>
      <c r="H833" s="10">
        <v>126</v>
      </c>
      <c r="I833" s="10">
        <v>144</v>
      </c>
      <c r="J833" s="10">
        <v>139</v>
      </c>
      <c r="K833" s="10">
        <v>90</v>
      </c>
      <c r="L833" s="10">
        <v>113</v>
      </c>
      <c r="M833" s="10">
        <v>14.7</v>
      </c>
      <c r="N833" s="10">
        <v>1624</v>
      </c>
      <c r="O833" s="10">
        <v>1.02</v>
      </c>
      <c r="P833" s="10">
        <v>1664</v>
      </c>
      <c r="Q833" s="10">
        <v>139</v>
      </c>
      <c r="R833" s="10">
        <v>87</v>
      </c>
      <c r="S833" s="10">
        <v>32</v>
      </c>
      <c r="T833" s="10">
        <v>208</v>
      </c>
      <c r="U833" s="10">
        <v>15</v>
      </c>
      <c r="V833" s="10">
        <v>132</v>
      </c>
      <c r="W833" s="10">
        <v>0.46500000000000002</v>
      </c>
      <c r="X833" s="10">
        <v>129</v>
      </c>
      <c r="Y833" s="10">
        <v>22</v>
      </c>
      <c r="Z833" s="10">
        <v>79</v>
      </c>
      <c r="AA833" s="10">
        <v>8</v>
      </c>
      <c r="AB833" s="10">
        <v>6.4</v>
      </c>
      <c r="AC833" s="9" t="s">
        <v>188</v>
      </c>
      <c r="AD833" s="10"/>
      <c r="AE833" s="10"/>
      <c r="AF833" s="10"/>
      <c r="AG833" s="10"/>
    </row>
    <row r="834" spans="1:33">
      <c r="A834" s="7" t="s">
        <v>155</v>
      </c>
      <c r="B834" s="8" t="s">
        <v>208</v>
      </c>
      <c r="C834" s="9" t="s">
        <v>265</v>
      </c>
      <c r="D834" s="10">
        <v>167</v>
      </c>
      <c r="E834" s="9" t="s">
        <v>163</v>
      </c>
      <c r="F834" s="10">
        <v>167</v>
      </c>
      <c r="G834" s="10">
        <v>166.7</v>
      </c>
      <c r="H834" s="10">
        <v>134</v>
      </c>
      <c r="I834" s="10">
        <v>152</v>
      </c>
      <c r="J834" s="10">
        <v>139</v>
      </c>
      <c r="K834" s="10">
        <v>90</v>
      </c>
      <c r="L834" s="10">
        <v>113</v>
      </c>
      <c r="M834" s="10">
        <v>16.3</v>
      </c>
      <c r="N834" s="10">
        <v>1752</v>
      </c>
      <c r="O834" s="10">
        <v>0.99</v>
      </c>
      <c r="P834" s="10">
        <v>1743</v>
      </c>
      <c r="Q834" s="10">
        <v>174</v>
      </c>
      <c r="R834" s="10">
        <v>116</v>
      </c>
      <c r="S834" s="10">
        <v>39</v>
      </c>
      <c r="T834" s="10">
        <v>211</v>
      </c>
      <c r="U834" s="10">
        <v>16</v>
      </c>
      <c r="V834" s="10">
        <v>121</v>
      </c>
      <c r="W834" s="10">
        <v>0.40100000000000002</v>
      </c>
      <c r="X834" s="10">
        <v>128</v>
      </c>
      <c r="Y834" s="10">
        <v>23</v>
      </c>
      <c r="Z834" s="10">
        <v>82</v>
      </c>
      <c r="AA834" s="10">
        <v>10</v>
      </c>
      <c r="AB834" s="10">
        <v>6.9</v>
      </c>
      <c r="AC834" s="9" t="s">
        <v>188</v>
      </c>
      <c r="AD834" s="10"/>
      <c r="AE834" s="10"/>
      <c r="AF834" s="10"/>
      <c r="AG834" s="10"/>
    </row>
    <row r="835" spans="1:33">
      <c r="A835" s="7" t="s">
        <v>155</v>
      </c>
      <c r="B835" s="8" t="s">
        <v>208</v>
      </c>
      <c r="C835" s="9" t="s">
        <v>628</v>
      </c>
      <c r="D835" s="10">
        <v>171</v>
      </c>
      <c r="E835" s="9" t="s">
        <v>158</v>
      </c>
      <c r="F835" s="10">
        <v>171</v>
      </c>
      <c r="G835" s="10">
        <v>171.7</v>
      </c>
      <c r="H835" s="10">
        <v>119</v>
      </c>
      <c r="I835" s="10">
        <v>147</v>
      </c>
      <c r="J835" s="10">
        <v>132</v>
      </c>
      <c r="K835" s="10">
        <v>99</v>
      </c>
      <c r="L835" s="10">
        <v>122</v>
      </c>
      <c r="M835" s="10">
        <v>18.7</v>
      </c>
      <c r="N835" s="10">
        <v>1651</v>
      </c>
      <c r="O835" s="10">
        <v>1.1399999999999999</v>
      </c>
      <c r="P835" s="10">
        <v>1881</v>
      </c>
      <c r="Q835" s="10">
        <v>130</v>
      </c>
      <c r="R835" s="10">
        <v>58</v>
      </c>
      <c r="S835" s="10">
        <v>41</v>
      </c>
      <c r="T835" s="10">
        <v>249</v>
      </c>
      <c r="U835" s="10">
        <v>38</v>
      </c>
      <c r="V835" s="10">
        <v>276</v>
      </c>
      <c r="W835" s="10">
        <v>0.93700000000000006</v>
      </c>
      <c r="X835" s="10">
        <v>106</v>
      </c>
      <c r="Y835" s="10">
        <v>137</v>
      </c>
      <c r="Z835" s="10">
        <v>143</v>
      </c>
      <c r="AA835" s="10">
        <v>6</v>
      </c>
      <c r="AB835" s="10">
        <v>4.5</v>
      </c>
      <c r="AC835" s="9" t="s">
        <v>184</v>
      </c>
      <c r="AD835" s="9" t="s">
        <v>185</v>
      </c>
      <c r="AE835" s="10"/>
      <c r="AF835" s="10"/>
      <c r="AG835" s="10"/>
    </row>
    <row r="836" spans="1:33">
      <c r="A836" s="7" t="s">
        <v>155</v>
      </c>
      <c r="B836" s="8" t="s">
        <v>208</v>
      </c>
      <c r="C836" s="9" t="s">
        <v>628</v>
      </c>
      <c r="D836" s="10">
        <v>178</v>
      </c>
      <c r="E836" s="9" t="s">
        <v>158</v>
      </c>
      <c r="F836" s="10">
        <v>178</v>
      </c>
      <c r="G836" s="10">
        <v>178</v>
      </c>
      <c r="H836" s="10">
        <v>138</v>
      </c>
      <c r="I836" s="10">
        <v>155</v>
      </c>
      <c r="J836" s="10">
        <v>132</v>
      </c>
      <c r="K836" s="10">
        <v>99</v>
      </c>
      <c r="L836" s="10">
        <v>121</v>
      </c>
      <c r="M836" s="10">
        <v>20.6</v>
      </c>
      <c r="N836" s="10">
        <v>1783</v>
      </c>
      <c r="O836" s="10">
        <v>1.0900000000000001</v>
      </c>
      <c r="P836" s="10">
        <v>1948</v>
      </c>
      <c r="Q836" s="10">
        <v>162</v>
      </c>
      <c r="R836" s="10">
        <v>75</v>
      </c>
      <c r="S836" s="10">
        <v>44</v>
      </c>
      <c r="T836" s="10">
        <v>208</v>
      </c>
      <c r="U836" s="10">
        <v>42</v>
      </c>
      <c r="V836" s="10">
        <v>195</v>
      </c>
      <c r="W836" s="10">
        <v>0.96499999999999997</v>
      </c>
      <c r="X836" s="10">
        <v>104</v>
      </c>
      <c r="Y836" s="10">
        <v>131</v>
      </c>
      <c r="Z836" s="10">
        <v>104</v>
      </c>
      <c r="AA836" s="10">
        <v>9</v>
      </c>
      <c r="AB836" s="10">
        <v>4.3</v>
      </c>
      <c r="AC836" s="9" t="s">
        <v>184</v>
      </c>
      <c r="AD836" s="9" t="s">
        <v>185</v>
      </c>
      <c r="AE836" s="10"/>
      <c r="AF836" s="10"/>
      <c r="AG836" s="10"/>
    </row>
    <row r="837" spans="1:33">
      <c r="A837" s="7" t="s">
        <v>155</v>
      </c>
      <c r="B837" s="8" t="s">
        <v>208</v>
      </c>
      <c r="C837" s="9" t="s">
        <v>628</v>
      </c>
      <c r="D837" s="10">
        <v>185</v>
      </c>
      <c r="E837" s="9" t="s">
        <v>158</v>
      </c>
      <c r="F837" s="10">
        <v>185</v>
      </c>
      <c r="G837" s="10">
        <v>185.5</v>
      </c>
      <c r="H837" s="10">
        <v>140</v>
      </c>
      <c r="I837" s="10">
        <v>161</v>
      </c>
      <c r="J837" s="10">
        <v>132</v>
      </c>
      <c r="K837" s="10">
        <v>99</v>
      </c>
      <c r="L837" s="10">
        <v>121</v>
      </c>
      <c r="M837" s="10">
        <v>23.6</v>
      </c>
      <c r="N837" s="10">
        <v>1873</v>
      </c>
      <c r="O837" s="10">
        <v>1.08</v>
      </c>
      <c r="P837" s="10">
        <v>2021</v>
      </c>
      <c r="Q837" s="10">
        <v>154</v>
      </c>
      <c r="R837" s="10">
        <v>73</v>
      </c>
      <c r="S837" s="10">
        <v>42</v>
      </c>
      <c r="T837" s="10">
        <v>218</v>
      </c>
      <c r="U837" s="10">
        <v>34</v>
      </c>
      <c r="V837" s="10">
        <v>234</v>
      </c>
      <c r="W837" s="10">
        <v>0.8</v>
      </c>
      <c r="X837" s="10">
        <v>113</v>
      </c>
      <c r="Y837" s="10">
        <v>135</v>
      </c>
      <c r="Z837" s="10">
        <v>106</v>
      </c>
      <c r="AA837" s="10">
        <v>8</v>
      </c>
      <c r="AB837" s="10">
        <v>3.9</v>
      </c>
      <c r="AC837" s="9" t="s">
        <v>188</v>
      </c>
      <c r="AD837" s="9" t="s">
        <v>184</v>
      </c>
      <c r="AE837" s="9" t="s">
        <v>185</v>
      </c>
      <c r="AF837" s="10"/>
      <c r="AG837" s="10"/>
    </row>
    <row r="838" spans="1:33">
      <c r="A838" s="7" t="s">
        <v>155</v>
      </c>
      <c r="B838" s="8" t="s">
        <v>208</v>
      </c>
      <c r="C838" s="9" t="s">
        <v>637</v>
      </c>
      <c r="D838" s="10">
        <v>164</v>
      </c>
      <c r="E838" s="9" t="s">
        <v>158</v>
      </c>
      <c r="F838" s="10">
        <v>164</v>
      </c>
      <c r="G838" s="10">
        <v>164.8</v>
      </c>
      <c r="H838" s="10">
        <v>132</v>
      </c>
      <c r="I838" s="10">
        <v>131</v>
      </c>
      <c r="J838" s="10">
        <v>128</v>
      </c>
      <c r="K838" s="10">
        <v>94</v>
      </c>
      <c r="L838" s="10">
        <v>119</v>
      </c>
      <c r="M838" s="10">
        <v>13.8</v>
      </c>
      <c r="N838" s="10">
        <v>1581</v>
      </c>
      <c r="O838" s="10">
        <v>1.1000000000000001</v>
      </c>
      <c r="P838" s="10">
        <v>1736</v>
      </c>
      <c r="Q838" s="10">
        <v>108</v>
      </c>
      <c r="R838" s="10">
        <v>66</v>
      </c>
      <c r="S838" s="10">
        <v>36</v>
      </c>
      <c r="T838" s="10">
        <v>161</v>
      </c>
      <c r="U838" s="10">
        <v>34</v>
      </c>
      <c r="V838" s="10">
        <v>165</v>
      </c>
      <c r="W838" s="10">
        <v>0.96299999999999997</v>
      </c>
      <c r="X838" s="10">
        <v>165</v>
      </c>
      <c r="Y838" s="10">
        <v>178</v>
      </c>
      <c r="Z838" s="10">
        <v>-4</v>
      </c>
      <c r="AA838" s="10">
        <v>9</v>
      </c>
      <c r="AB838" s="10">
        <v>3.6</v>
      </c>
      <c r="AC838" s="9" t="s">
        <v>184</v>
      </c>
      <c r="AD838" s="9" t="s">
        <v>185</v>
      </c>
      <c r="AE838" s="10"/>
      <c r="AF838" s="10"/>
      <c r="AG838" s="10"/>
    </row>
    <row r="839" spans="1:33">
      <c r="A839" s="7" t="s">
        <v>155</v>
      </c>
      <c r="B839" s="8" t="s">
        <v>208</v>
      </c>
      <c r="C839" s="9" t="s">
        <v>637</v>
      </c>
      <c r="D839" s="10">
        <v>171</v>
      </c>
      <c r="E839" s="9" t="s">
        <v>158</v>
      </c>
      <c r="F839" s="10">
        <v>171</v>
      </c>
      <c r="G839" s="10">
        <v>171.6</v>
      </c>
      <c r="H839" s="10">
        <v>136</v>
      </c>
      <c r="I839" s="10">
        <v>138</v>
      </c>
      <c r="J839" s="10">
        <v>128</v>
      </c>
      <c r="K839" s="10">
        <v>94</v>
      </c>
      <c r="L839" s="10">
        <v>119</v>
      </c>
      <c r="M839" s="10">
        <v>15.3</v>
      </c>
      <c r="N839" s="10">
        <v>1704</v>
      </c>
      <c r="O839" s="10">
        <v>1.06</v>
      </c>
      <c r="P839" s="10">
        <v>1808</v>
      </c>
      <c r="Q839" s="10">
        <v>136</v>
      </c>
      <c r="R839" s="10">
        <v>74</v>
      </c>
      <c r="S839" s="10">
        <v>41</v>
      </c>
      <c r="T839" s="10">
        <v>174</v>
      </c>
      <c r="U839" s="10">
        <v>40</v>
      </c>
      <c r="V839" s="10">
        <v>178</v>
      </c>
      <c r="W839" s="10">
        <v>0.95799999999999996</v>
      </c>
      <c r="X839" s="10">
        <v>167</v>
      </c>
      <c r="Y839" s="10">
        <v>167</v>
      </c>
      <c r="Z839" s="10">
        <v>6</v>
      </c>
      <c r="AA839" s="10">
        <v>10</v>
      </c>
      <c r="AB839" s="10">
        <v>3.5</v>
      </c>
      <c r="AC839" s="9" t="s">
        <v>184</v>
      </c>
      <c r="AD839" s="9" t="s">
        <v>185</v>
      </c>
      <c r="AE839" s="10"/>
      <c r="AF839" s="10"/>
      <c r="AG839" s="10"/>
    </row>
    <row r="840" spans="1:33">
      <c r="A840" s="7" t="s">
        <v>155</v>
      </c>
      <c r="B840" s="8" t="s">
        <v>208</v>
      </c>
      <c r="C840" s="9" t="s">
        <v>637</v>
      </c>
      <c r="D840" s="10">
        <v>178</v>
      </c>
      <c r="E840" s="9" t="s">
        <v>158</v>
      </c>
      <c r="F840" s="10">
        <v>178</v>
      </c>
      <c r="G840" s="10">
        <v>178.7</v>
      </c>
      <c r="H840" s="10">
        <v>143</v>
      </c>
      <c r="I840" s="10">
        <v>145</v>
      </c>
      <c r="J840" s="10">
        <v>128</v>
      </c>
      <c r="K840" s="10">
        <v>94</v>
      </c>
      <c r="L840" s="10">
        <v>119</v>
      </c>
      <c r="M840" s="10">
        <v>16.899999999999999</v>
      </c>
      <c r="N840" s="10">
        <v>1852</v>
      </c>
      <c r="O840" s="10">
        <v>1.02</v>
      </c>
      <c r="P840" s="10">
        <v>1884</v>
      </c>
      <c r="Q840" s="10">
        <v>156</v>
      </c>
      <c r="R840" s="10">
        <v>85</v>
      </c>
      <c r="S840" s="10">
        <v>38</v>
      </c>
      <c r="T840" s="10">
        <v>179</v>
      </c>
      <c r="U840" s="10">
        <v>37</v>
      </c>
      <c r="V840" s="10">
        <v>179</v>
      </c>
      <c r="W840" s="10">
        <v>0.98099999999999998</v>
      </c>
      <c r="X840" s="10">
        <v>167</v>
      </c>
      <c r="Y840" s="10">
        <v>170</v>
      </c>
      <c r="Z840" s="10">
        <v>12</v>
      </c>
      <c r="AA840" s="10">
        <v>10</v>
      </c>
      <c r="AB840" s="10">
        <v>4.8</v>
      </c>
      <c r="AC840" s="9" t="s">
        <v>184</v>
      </c>
      <c r="AD840" s="10"/>
      <c r="AE840" s="10"/>
      <c r="AF840" s="10"/>
      <c r="AG840" s="10"/>
    </row>
    <row r="841" spans="1:33">
      <c r="A841" s="7" t="s">
        <v>155</v>
      </c>
      <c r="B841" s="8" t="s">
        <v>208</v>
      </c>
      <c r="C841" s="9" t="s">
        <v>637</v>
      </c>
      <c r="D841" s="10">
        <v>185</v>
      </c>
      <c r="E841" s="9" t="s">
        <v>158</v>
      </c>
      <c r="F841" s="10">
        <v>185</v>
      </c>
      <c r="G841" s="10">
        <v>185.3</v>
      </c>
      <c r="H841" s="10">
        <v>148</v>
      </c>
      <c r="I841" s="10">
        <v>151</v>
      </c>
      <c r="J841" s="10">
        <v>128</v>
      </c>
      <c r="K841" s="10">
        <v>94</v>
      </c>
      <c r="L841" s="10">
        <v>119</v>
      </c>
      <c r="M841" s="10">
        <v>18.600000000000001</v>
      </c>
      <c r="N841" s="10">
        <v>1982</v>
      </c>
      <c r="O841" s="10">
        <v>0.99</v>
      </c>
      <c r="P841" s="10">
        <v>1954</v>
      </c>
      <c r="Q841" s="10">
        <v>179</v>
      </c>
      <c r="R841" s="10">
        <v>107</v>
      </c>
      <c r="S841" s="10">
        <v>37</v>
      </c>
      <c r="T841" s="10">
        <v>178</v>
      </c>
      <c r="U841" s="10">
        <v>38</v>
      </c>
      <c r="V841" s="10">
        <v>198</v>
      </c>
      <c r="W841" s="10">
        <v>1.026</v>
      </c>
      <c r="X841" s="10">
        <v>164</v>
      </c>
      <c r="Y841" s="10">
        <v>176</v>
      </c>
      <c r="Z841" s="10">
        <v>14</v>
      </c>
      <c r="AA841" s="10">
        <v>10</v>
      </c>
      <c r="AB841" s="10">
        <v>5.2</v>
      </c>
      <c r="AC841" s="9" t="s">
        <v>184</v>
      </c>
      <c r="AD841" s="10"/>
      <c r="AE841" s="10"/>
      <c r="AF841" s="10"/>
      <c r="AG841" s="10"/>
    </row>
    <row r="842" spans="1:33">
      <c r="A842" s="7" t="s">
        <v>155</v>
      </c>
      <c r="B842" s="8" t="s">
        <v>208</v>
      </c>
      <c r="C842" s="9" t="s">
        <v>482</v>
      </c>
      <c r="D842" s="10">
        <v>155</v>
      </c>
      <c r="E842" s="9" t="s">
        <v>158</v>
      </c>
      <c r="F842" s="10">
        <v>155</v>
      </c>
      <c r="G842" s="10">
        <v>153.80000000000001</v>
      </c>
      <c r="H842" s="10">
        <v>92</v>
      </c>
      <c r="I842" s="10">
        <v>129</v>
      </c>
      <c r="J842" s="10">
        <v>120</v>
      </c>
      <c r="K842" s="10">
        <v>91</v>
      </c>
      <c r="L842" s="10">
        <v>117</v>
      </c>
      <c r="M842" s="10">
        <v>14.5</v>
      </c>
      <c r="N842" s="10">
        <v>1516</v>
      </c>
      <c r="O842" s="10">
        <v>1.03</v>
      </c>
      <c r="P842" s="10">
        <v>1555</v>
      </c>
      <c r="Q842" s="10">
        <v>143</v>
      </c>
      <c r="R842" s="10">
        <v>59</v>
      </c>
      <c r="S842" s="10">
        <v>48</v>
      </c>
      <c r="T842" s="10">
        <v>281</v>
      </c>
      <c r="U842" s="10">
        <v>47</v>
      </c>
      <c r="V842" s="10">
        <v>342</v>
      </c>
      <c r="W842" s="10">
        <v>0.97199999999999998</v>
      </c>
      <c r="X842" s="10">
        <v>128</v>
      </c>
      <c r="Y842" s="10">
        <v>117</v>
      </c>
      <c r="Z842" s="10">
        <v>153</v>
      </c>
      <c r="AA842" s="10">
        <v>3</v>
      </c>
      <c r="AB842" s="10">
        <v>3.6</v>
      </c>
      <c r="AC842" s="9" t="s">
        <v>184</v>
      </c>
      <c r="AD842" s="10"/>
      <c r="AE842" s="10"/>
      <c r="AF842" s="10"/>
      <c r="AG842" s="10"/>
    </row>
    <row r="843" spans="1:33">
      <c r="A843" s="7" t="s">
        <v>155</v>
      </c>
      <c r="B843" s="8" t="s">
        <v>208</v>
      </c>
      <c r="C843" s="9" t="s">
        <v>482</v>
      </c>
      <c r="D843" s="10">
        <v>166</v>
      </c>
      <c r="E843" s="9" t="s">
        <v>158</v>
      </c>
      <c r="F843" s="10">
        <v>166</v>
      </c>
      <c r="G843" s="10">
        <v>165.4</v>
      </c>
      <c r="H843" s="10">
        <v>129</v>
      </c>
      <c r="I843" s="10">
        <v>140</v>
      </c>
      <c r="J843" s="10">
        <v>120</v>
      </c>
      <c r="K843" s="10">
        <v>91</v>
      </c>
      <c r="L843" s="10">
        <v>117</v>
      </c>
      <c r="M843" s="10">
        <v>17.3</v>
      </c>
      <c r="N843" s="10">
        <v>1523</v>
      </c>
      <c r="O843" s="10">
        <v>1.0900000000000001</v>
      </c>
      <c r="P843" s="10">
        <v>1667</v>
      </c>
      <c r="Q843" s="10">
        <v>134</v>
      </c>
      <c r="R843" s="10">
        <v>51</v>
      </c>
      <c r="S843" s="10">
        <v>41</v>
      </c>
      <c r="T843" s="10">
        <v>185</v>
      </c>
      <c r="U843" s="10">
        <v>42</v>
      </c>
      <c r="V843" s="10">
        <v>180</v>
      </c>
      <c r="W843" s="10">
        <v>1.0109999999999999</v>
      </c>
      <c r="X843" s="10">
        <v>129</v>
      </c>
      <c r="Y843" s="10">
        <v>124</v>
      </c>
      <c r="Z843" s="10">
        <v>56</v>
      </c>
      <c r="AA843" s="10">
        <v>4</v>
      </c>
      <c r="AB843" s="10">
        <v>3.3</v>
      </c>
      <c r="AC843" s="9" t="s">
        <v>184</v>
      </c>
      <c r="AD843" s="9" t="s">
        <v>185</v>
      </c>
      <c r="AE843" s="10"/>
      <c r="AF843" s="10"/>
      <c r="AG843" s="10"/>
    </row>
    <row r="844" spans="1:33">
      <c r="A844" s="7" t="s">
        <v>155</v>
      </c>
      <c r="B844" s="8" t="s">
        <v>208</v>
      </c>
      <c r="C844" s="9" t="s">
        <v>482</v>
      </c>
      <c r="D844" s="10">
        <v>172</v>
      </c>
      <c r="E844" s="9" t="s">
        <v>158</v>
      </c>
      <c r="F844" s="10">
        <v>172</v>
      </c>
      <c r="G844" s="10">
        <v>171.4</v>
      </c>
      <c r="H844" s="10">
        <v>133</v>
      </c>
      <c r="I844" s="10">
        <v>147</v>
      </c>
      <c r="J844" s="10">
        <v>120</v>
      </c>
      <c r="K844" s="10">
        <v>91</v>
      </c>
      <c r="L844" s="10">
        <v>117</v>
      </c>
      <c r="M844" s="10">
        <v>18.899999999999999</v>
      </c>
      <c r="N844" s="10">
        <v>1661</v>
      </c>
      <c r="O844" s="10">
        <v>1.04</v>
      </c>
      <c r="P844" s="10">
        <v>1728</v>
      </c>
      <c r="Q844" s="10">
        <v>141</v>
      </c>
      <c r="R844" s="10">
        <v>63</v>
      </c>
      <c r="S844" s="10">
        <v>46</v>
      </c>
      <c r="T844" s="10">
        <v>199</v>
      </c>
      <c r="U844" s="10">
        <v>40</v>
      </c>
      <c r="V844" s="10">
        <v>190</v>
      </c>
      <c r="W844" s="10">
        <v>0.88500000000000001</v>
      </c>
      <c r="X844" s="10">
        <v>123</v>
      </c>
      <c r="Y844" s="10">
        <v>126</v>
      </c>
      <c r="Z844" s="10">
        <v>76</v>
      </c>
      <c r="AA844" s="10">
        <v>7</v>
      </c>
      <c r="AB844" s="10">
        <v>3.4</v>
      </c>
      <c r="AC844" s="9" t="s">
        <v>184</v>
      </c>
      <c r="AD844" s="10"/>
      <c r="AE844" s="10"/>
      <c r="AF844" s="10"/>
      <c r="AG844" s="10"/>
    </row>
    <row r="845" spans="1:33">
      <c r="A845" s="7" t="s">
        <v>155</v>
      </c>
      <c r="B845" s="8" t="s">
        <v>208</v>
      </c>
      <c r="C845" s="9" t="s">
        <v>482</v>
      </c>
      <c r="D845" s="10">
        <v>177</v>
      </c>
      <c r="E845" s="9" t="s">
        <v>158</v>
      </c>
      <c r="F845" s="10">
        <v>177</v>
      </c>
      <c r="G845" s="10">
        <v>176.2</v>
      </c>
      <c r="H845" s="10">
        <v>136</v>
      </c>
      <c r="I845" s="10">
        <v>152</v>
      </c>
      <c r="J845" s="10">
        <v>120</v>
      </c>
      <c r="K845" s="10">
        <v>91</v>
      </c>
      <c r="L845" s="10">
        <v>117</v>
      </c>
      <c r="M845" s="10">
        <v>20.399999999999999</v>
      </c>
      <c r="N845" s="10">
        <v>1704</v>
      </c>
      <c r="O845" s="10">
        <v>1.05</v>
      </c>
      <c r="P845" s="10">
        <v>1784</v>
      </c>
      <c r="Q845" s="10">
        <v>164</v>
      </c>
      <c r="R845" s="10">
        <v>71</v>
      </c>
      <c r="S845" s="10">
        <v>44</v>
      </c>
      <c r="T845" s="10">
        <v>195</v>
      </c>
      <c r="U845" s="10">
        <v>44</v>
      </c>
      <c r="V845" s="10">
        <v>210</v>
      </c>
      <c r="W845" s="10">
        <v>0.98599999999999999</v>
      </c>
      <c r="X845" s="10">
        <v>120</v>
      </c>
      <c r="Y845" s="10">
        <v>122</v>
      </c>
      <c r="Z845" s="10">
        <v>75</v>
      </c>
      <c r="AA845" s="10">
        <v>5</v>
      </c>
      <c r="AB845" s="10">
        <v>3.3</v>
      </c>
      <c r="AC845" s="9" t="s">
        <v>184</v>
      </c>
      <c r="AD845" s="10"/>
      <c r="AE845" s="10"/>
      <c r="AF845" s="10"/>
      <c r="AG845" s="10"/>
    </row>
    <row r="846" spans="1:33">
      <c r="A846" s="7" t="s">
        <v>155</v>
      </c>
      <c r="B846" s="8" t="s">
        <v>208</v>
      </c>
      <c r="C846" s="9" t="s">
        <v>843</v>
      </c>
      <c r="D846" s="10">
        <v>144</v>
      </c>
      <c r="E846" s="9" t="s">
        <v>163</v>
      </c>
      <c r="F846" s="10">
        <v>144</v>
      </c>
      <c r="G846" s="10">
        <v>143.19999999999999</v>
      </c>
      <c r="H846" s="10">
        <v>100</v>
      </c>
      <c r="I846" s="10">
        <v>119</v>
      </c>
      <c r="J846" s="10">
        <v>120</v>
      </c>
      <c r="K846" s="10">
        <v>91</v>
      </c>
      <c r="L846" s="10">
        <v>117</v>
      </c>
      <c r="M846" s="10">
        <v>12</v>
      </c>
      <c r="N846" s="10">
        <v>1344</v>
      </c>
      <c r="O846" s="10">
        <v>1.08</v>
      </c>
      <c r="P846" s="10">
        <v>1448</v>
      </c>
      <c r="Q846" s="10">
        <v>139</v>
      </c>
      <c r="R846" s="10">
        <v>56</v>
      </c>
      <c r="S846" s="10">
        <v>46</v>
      </c>
      <c r="T846" s="10">
        <v>220</v>
      </c>
      <c r="U846" s="10">
        <v>41</v>
      </c>
      <c r="V846" s="10">
        <v>212</v>
      </c>
      <c r="W846" s="10">
        <v>0.90500000000000003</v>
      </c>
      <c r="X846" s="10">
        <v>124</v>
      </c>
      <c r="Y846" s="10">
        <v>114</v>
      </c>
      <c r="Z846" s="10">
        <v>96</v>
      </c>
      <c r="AA846" s="10">
        <v>5</v>
      </c>
      <c r="AB846" s="10">
        <v>3.5</v>
      </c>
      <c r="AC846" s="9" t="s">
        <v>184</v>
      </c>
      <c r="AD846" s="9" t="s">
        <v>185</v>
      </c>
      <c r="AE846" s="10"/>
      <c r="AF846" s="10"/>
      <c r="AG846" s="10"/>
    </row>
    <row r="847" spans="1:33">
      <c r="A847" s="7" t="s">
        <v>155</v>
      </c>
      <c r="B847" s="8" t="s">
        <v>208</v>
      </c>
      <c r="C847" s="9" t="s">
        <v>843</v>
      </c>
      <c r="D847" s="10">
        <v>155</v>
      </c>
      <c r="E847" s="9" t="s">
        <v>163</v>
      </c>
      <c r="F847" s="10">
        <v>155</v>
      </c>
      <c r="G847" s="10">
        <v>154.4</v>
      </c>
      <c r="H847" s="10">
        <v>118</v>
      </c>
      <c r="I847" s="10">
        <v>130</v>
      </c>
      <c r="J847" s="10">
        <v>120</v>
      </c>
      <c r="K847" s="10">
        <v>91</v>
      </c>
      <c r="L847" s="10">
        <v>117</v>
      </c>
      <c r="M847" s="10">
        <v>14.6</v>
      </c>
      <c r="N847" s="10">
        <v>1416</v>
      </c>
      <c r="O847" s="10">
        <v>1.1000000000000001</v>
      </c>
      <c r="P847" s="10">
        <v>1559</v>
      </c>
      <c r="Q847" s="10">
        <v>126</v>
      </c>
      <c r="R847" s="10">
        <v>51</v>
      </c>
      <c r="S847" s="10">
        <v>40</v>
      </c>
      <c r="T847" s="10">
        <v>183</v>
      </c>
      <c r="U847" s="10">
        <v>40</v>
      </c>
      <c r="V847" s="10">
        <v>184</v>
      </c>
      <c r="W847" s="10">
        <v>0.99199999999999999</v>
      </c>
      <c r="X847" s="10">
        <v>119</v>
      </c>
      <c r="Y847" s="10">
        <v>123</v>
      </c>
      <c r="Z847" s="10">
        <v>64</v>
      </c>
      <c r="AA847" s="10">
        <v>6</v>
      </c>
      <c r="AB847" s="10">
        <v>3.2</v>
      </c>
      <c r="AC847" s="9" t="s">
        <v>184</v>
      </c>
      <c r="AD847" s="9" t="s">
        <v>185</v>
      </c>
      <c r="AE847" s="10"/>
      <c r="AF847" s="10"/>
      <c r="AG847" s="10"/>
    </row>
    <row r="848" spans="1:33">
      <c r="A848" s="7" t="s">
        <v>155</v>
      </c>
      <c r="B848" s="8" t="s">
        <v>208</v>
      </c>
      <c r="C848" s="9" t="s">
        <v>843</v>
      </c>
      <c r="D848" s="10">
        <v>166</v>
      </c>
      <c r="E848" s="9" t="s">
        <v>163</v>
      </c>
      <c r="F848" s="10">
        <v>166</v>
      </c>
      <c r="G848" s="10">
        <v>165.3</v>
      </c>
      <c r="H848" s="10">
        <v>129</v>
      </c>
      <c r="I848" s="10">
        <v>141</v>
      </c>
      <c r="J848" s="10">
        <v>120</v>
      </c>
      <c r="K848" s="10">
        <v>91</v>
      </c>
      <c r="L848" s="10">
        <v>117</v>
      </c>
      <c r="M848" s="10">
        <v>17.3</v>
      </c>
      <c r="N848" s="10">
        <v>1542</v>
      </c>
      <c r="O848" s="10">
        <v>1.08</v>
      </c>
      <c r="P848" s="10">
        <v>1668</v>
      </c>
      <c r="Q848" s="10">
        <v>116</v>
      </c>
      <c r="R848" s="10">
        <v>53</v>
      </c>
      <c r="S848" s="10">
        <v>42</v>
      </c>
      <c r="T848" s="10">
        <v>178</v>
      </c>
      <c r="U848" s="10">
        <v>41</v>
      </c>
      <c r="V848" s="10">
        <v>183</v>
      </c>
      <c r="W848" s="10">
        <v>0.98599999999999999</v>
      </c>
      <c r="X848" s="10">
        <v>125</v>
      </c>
      <c r="Y848" s="10">
        <v>115</v>
      </c>
      <c r="Z848" s="10">
        <v>53</v>
      </c>
      <c r="AA848" s="10">
        <v>9</v>
      </c>
      <c r="AB848" s="10">
        <v>3.5</v>
      </c>
      <c r="AC848" s="9" t="s">
        <v>184</v>
      </c>
      <c r="AD848" s="9" t="s">
        <v>185</v>
      </c>
      <c r="AE848" s="10"/>
      <c r="AF848" s="10"/>
      <c r="AG848" s="10"/>
    </row>
    <row r="849" spans="1:33">
      <c r="A849" s="7" t="s">
        <v>155</v>
      </c>
      <c r="B849" s="8" t="s">
        <v>208</v>
      </c>
      <c r="C849" s="9" t="s">
        <v>657</v>
      </c>
      <c r="D849" s="10">
        <v>178</v>
      </c>
      <c r="E849" s="9" t="s">
        <v>158</v>
      </c>
      <c r="F849" s="10">
        <v>178</v>
      </c>
      <c r="G849" s="10">
        <v>176.2</v>
      </c>
      <c r="H849" s="10">
        <v>94</v>
      </c>
      <c r="I849" s="10">
        <v>142</v>
      </c>
      <c r="J849" s="10">
        <v>151</v>
      </c>
      <c r="K849" s="10">
        <v>116</v>
      </c>
      <c r="L849" s="10">
        <v>139</v>
      </c>
      <c r="M849" s="10">
        <v>17.399999999999999</v>
      </c>
      <c r="N849" s="10">
        <v>1842</v>
      </c>
      <c r="O849" s="10">
        <v>1.18</v>
      </c>
      <c r="P849" s="10">
        <v>2179</v>
      </c>
      <c r="Q849" s="10">
        <v>145</v>
      </c>
      <c r="R849" s="10">
        <v>83</v>
      </c>
      <c r="S849" s="10">
        <v>70</v>
      </c>
      <c r="T849" s="10">
        <v>413</v>
      </c>
      <c r="U849" s="10">
        <v>64</v>
      </c>
      <c r="V849" s="10">
        <v>407</v>
      </c>
      <c r="W849" s="10">
        <v>0.92100000000000004</v>
      </c>
      <c r="X849" s="10">
        <v>164</v>
      </c>
      <c r="Y849" s="10">
        <v>176</v>
      </c>
      <c r="Z849" s="10">
        <v>249</v>
      </c>
      <c r="AA849" s="10">
        <v>4</v>
      </c>
      <c r="AB849" s="10">
        <v>4.4000000000000004</v>
      </c>
      <c r="AC849" s="9" t="s">
        <v>184</v>
      </c>
      <c r="AD849" s="9" t="s">
        <v>169</v>
      </c>
      <c r="AE849" s="9" t="s">
        <v>185</v>
      </c>
      <c r="AF849" s="10"/>
      <c r="AG849" s="10"/>
    </row>
    <row r="850" spans="1:33">
      <c r="A850" s="7" t="s">
        <v>155</v>
      </c>
      <c r="B850" s="8" t="s">
        <v>208</v>
      </c>
      <c r="C850" s="9" t="s">
        <v>657</v>
      </c>
      <c r="D850" s="10">
        <v>186</v>
      </c>
      <c r="E850" s="9" t="s">
        <v>158</v>
      </c>
      <c r="F850" s="10">
        <v>186</v>
      </c>
      <c r="G850" s="10">
        <v>184.1</v>
      </c>
      <c r="H850" s="10">
        <v>104</v>
      </c>
      <c r="I850" s="10">
        <v>152</v>
      </c>
      <c r="J850" s="10">
        <v>151</v>
      </c>
      <c r="K850" s="10">
        <v>116</v>
      </c>
      <c r="L850" s="10">
        <v>140</v>
      </c>
      <c r="M850" s="10">
        <v>19.399999999999999</v>
      </c>
      <c r="N850" s="10">
        <v>2017</v>
      </c>
      <c r="O850" s="10">
        <v>1.1399999999999999</v>
      </c>
      <c r="P850" s="10">
        <v>2292</v>
      </c>
      <c r="Q850" s="10">
        <v>182</v>
      </c>
      <c r="R850" s="10">
        <v>82</v>
      </c>
      <c r="S850" s="10">
        <v>57</v>
      </c>
      <c r="T850" s="10">
        <v>400</v>
      </c>
      <c r="U850" s="10">
        <v>55</v>
      </c>
      <c r="V850" s="10">
        <v>400</v>
      </c>
      <c r="W850" s="10">
        <v>0.96699999999999997</v>
      </c>
      <c r="X850" s="10">
        <v>170</v>
      </c>
      <c r="Y850" s="10">
        <v>152</v>
      </c>
      <c r="Z850" s="10">
        <v>229</v>
      </c>
      <c r="AA850" s="10">
        <v>5</v>
      </c>
      <c r="AB850" s="10">
        <v>4.5999999999999996</v>
      </c>
      <c r="AC850" s="9" t="s">
        <v>184</v>
      </c>
      <c r="AD850" s="9" t="s">
        <v>169</v>
      </c>
      <c r="AE850" s="9" t="s">
        <v>185</v>
      </c>
      <c r="AF850" s="10"/>
      <c r="AG850" s="10"/>
    </row>
    <row r="851" spans="1:33">
      <c r="A851" s="7" t="s">
        <v>155</v>
      </c>
      <c r="B851" s="8" t="s">
        <v>208</v>
      </c>
      <c r="C851" s="9" t="s">
        <v>614</v>
      </c>
      <c r="D851" s="10">
        <v>158</v>
      </c>
      <c r="E851" s="9" t="s">
        <v>163</v>
      </c>
      <c r="F851" s="10">
        <v>158</v>
      </c>
      <c r="G851" s="10">
        <v>158.19999999999999</v>
      </c>
      <c r="H851" s="10">
        <v>112</v>
      </c>
      <c r="I851" s="10">
        <v>122</v>
      </c>
      <c r="J851" s="10">
        <v>136</v>
      </c>
      <c r="K851" s="10">
        <v>103</v>
      </c>
      <c r="L851" s="10">
        <v>121</v>
      </c>
      <c r="M851" s="10">
        <v>13.5</v>
      </c>
      <c r="N851" s="10">
        <v>1478</v>
      </c>
      <c r="O851" s="10">
        <v>1.21</v>
      </c>
      <c r="P851" s="10">
        <v>1792</v>
      </c>
      <c r="Q851" s="10">
        <v>122</v>
      </c>
      <c r="R851" s="10">
        <v>69</v>
      </c>
      <c r="S851" s="10">
        <v>46</v>
      </c>
      <c r="T851" s="10">
        <v>295</v>
      </c>
      <c r="U851" s="10">
        <v>14</v>
      </c>
      <c r="V851" s="10">
        <v>164</v>
      </c>
      <c r="W851" s="10">
        <v>0.30499999999999999</v>
      </c>
      <c r="X851" s="10">
        <v>185</v>
      </c>
      <c r="Y851" s="10">
        <v>181</v>
      </c>
      <c r="Z851" s="10">
        <v>109</v>
      </c>
      <c r="AA851" s="10">
        <v>6</v>
      </c>
      <c r="AB851" s="10">
        <v>9.6</v>
      </c>
      <c r="AC851" s="9" t="s">
        <v>188</v>
      </c>
      <c r="AD851" s="9" t="s">
        <v>178</v>
      </c>
      <c r="AE851" s="9" t="s">
        <v>185</v>
      </c>
      <c r="AF851" s="10"/>
      <c r="AG851" s="10"/>
    </row>
    <row r="852" spans="1:33">
      <c r="A852" s="7" t="s">
        <v>155</v>
      </c>
      <c r="B852" s="8" t="s">
        <v>208</v>
      </c>
      <c r="C852" s="9" t="s">
        <v>614</v>
      </c>
      <c r="D852" s="10">
        <v>165</v>
      </c>
      <c r="E852" s="9" t="s">
        <v>163</v>
      </c>
      <c r="F852" s="10">
        <v>165</v>
      </c>
      <c r="G852" s="10">
        <v>160</v>
      </c>
      <c r="H852" s="10">
        <v>98</v>
      </c>
      <c r="I852" s="10">
        <v>126</v>
      </c>
      <c r="J852" s="10">
        <v>143</v>
      </c>
      <c r="K852" s="10">
        <v>109</v>
      </c>
      <c r="L852" s="10">
        <v>129</v>
      </c>
      <c r="M852" s="10">
        <v>14</v>
      </c>
      <c r="N852" s="10">
        <v>1557</v>
      </c>
      <c r="O852" s="10">
        <v>1.22</v>
      </c>
      <c r="P852" s="10">
        <v>1902</v>
      </c>
      <c r="Q852" s="10">
        <v>131</v>
      </c>
      <c r="R852" s="10">
        <v>52</v>
      </c>
      <c r="S852" s="10">
        <v>47</v>
      </c>
      <c r="T852" s="10">
        <v>332</v>
      </c>
      <c r="U852" s="10">
        <v>27</v>
      </c>
      <c r="V852" s="10">
        <v>290</v>
      </c>
      <c r="W852" s="10">
        <v>0.57899999999999996</v>
      </c>
      <c r="X852" s="10">
        <v>169</v>
      </c>
      <c r="Y852" s="10">
        <v>168</v>
      </c>
      <c r="Z852" s="10">
        <v>163</v>
      </c>
      <c r="AA852" s="10">
        <v>5</v>
      </c>
      <c r="AB852" s="10">
        <v>6.3</v>
      </c>
      <c r="AC852" s="9" t="s">
        <v>169</v>
      </c>
      <c r="AD852" s="9" t="s">
        <v>185</v>
      </c>
      <c r="AE852" s="10"/>
      <c r="AF852" s="10"/>
      <c r="AG852" s="10"/>
    </row>
    <row r="853" spans="1:33">
      <c r="A853" s="7" t="s">
        <v>155</v>
      </c>
      <c r="B853" s="8" t="s">
        <v>208</v>
      </c>
      <c r="C853" s="9" t="s">
        <v>614</v>
      </c>
      <c r="D853" s="10">
        <v>172</v>
      </c>
      <c r="E853" s="9" t="s">
        <v>163</v>
      </c>
      <c r="F853" s="10">
        <v>172</v>
      </c>
      <c r="G853" s="10">
        <v>171.7</v>
      </c>
      <c r="H853" s="10">
        <v>117</v>
      </c>
      <c r="I853" s="10">
        <v>134</v>
      </c>
      <c r="J853" s="10">
        <v>136</v>
      </c>
      <c r="K853" s="10">
        <v>103</v>
      </c>
      <c r="L853" s="10">
        <v>121</v>
      </c>
      <c r="M853" s="10">
        <v>16.399999999999999</v>
      </c>
      <c r="N853" s="10">
        <v>1624</v>
      </c>
      <c r="O853" s="10">
        <v>1.2</v>
      </c>
      <c r="P853" s="10">
        <v>1947</v>
      </c>
      <c r="Q853" s="10">
        <v>150</v>
      </c>
      <c r="R853" s="10">
        <v>78</v>
      </c>
      <c r="S853" s="10">
        <v>53</v>
      </c>
      <c r="T853" s="10">
        <v>342</v>
      </c>
      <c r="U853" s="10">
        <v>21</v>
      </c>
      <c r="V853" s="10">
        <v>208</v>
      </c>
      <c r="W853" s="10">
        <v>0.38500000000000001</v>
      </c>
      <c r="X853" s="10">
        <v>184</v>
      </c>
      <c r="Y853" s="10">
        <v>195</v>
      </c>
      <c r="Z853" s="10">
        <v>158</v>
      </c>
      <c r="AA853" s="10">
        <v>5</v>
      </c>
      <c r="AB853" s="10">
        <v>9.9</v>
      </c>
      <c r="AC853" s="9" t="s">
        <v>188</v>
      </c>
      <c r="AD853" s="9" t="s">
        <v>169</v>
      </c>
      <c r="AE853" s="9" t="s">
        <v>178</v>
      </c>
      <c r="AF853" s="9" t="s">
        <v>185</v>
      </c>
      <c r="AG853" s="10"/>
    </row>
    <row r="854" spans="1:33">
      <c r="A854" s="7" t="s">
        <v>155</v>
      </c>
      <c r="B854" s="8" t="s">
        <v>208</v>
      </c>
      <c r="C854" s="9" t="s">
        <v>577</v>
      </c>
      <c r="D854" s="10">
        <v>165</v>
      </c>
      <c r="E854" s="9" t="s">
        <v>163</v>
      </c>
      <c r="F854" s="10">
        <v>165</v>
      </c>
      <c r="G854" s="10">
        <v>160</v>
      </c>
      <c r="H854" s="10">
        <v>98</v>
      </c>
      <c r="I854" s="10">
        <v>126</v>
      </c>
      <c r="J854" s="10">
        <v>143</v>
      </c>
      <c r="K854" s="10">
        <v>109</v>
      </c>
      <c r="L854" s="10">
        <v>129</v>
      </c>
      <c r="M854" s="10">
        <v>14</v>
      </c>
      <c r="N854" s="10">
        <v>1284</v>
      </c>
      <c r="O854" s="10">
        <v>1.48</v>
      </c>
      <c r="P854" s="10">
        <v>1902</v>
      </c>
      <c r="Q854" s="10">
        <v>131</v>
      </c>
      <c r="R854" s="10">
        <v>52</v>
      </c>
      <c r="S854" s="10">
        <v>47</v>
      </c>
      <c r="T854" s="10">
        <v>332</v>
      </c>
      <c r="U854" s="10">
        <v>27</v>
      </c>
      <c r="V854" s="10">
        <v>290</v>
      </c>
      <c r="W854" s="10">
        <v>0.57899999999999996</v>
      </c>
      <c r="X854" s="10">
        <v>169</v>
      </c>
      <c r="Y854" s="10">
        <v>168</v>
      </c>
      <c r="Z854" s="10">
        <v>163</v>
      </c>
      <c r="AA854" s="10">
        <v>5</v>
      </c>
      <c r="AB854" s="10">
        <v>6.3</v>
      </c>
      <c r="AC854" s="9" t="s">
        <v>169</v>
      </c>
      <c r="AD854" s="9" t="s">
        <v>185</v>
      </c>
      <c r="AE854" s="9" t="s">
        <v>198</v>
      </c>
      <c r="AF854" s="10"/>
      <c r="AG854" s="10"/>
    </row>
    <row r="855" spans="1:33">
      <c r="A855" s="7" t="s">
        <v>155</v>
      </c>
      <c r="B855" s="8" t="s">
        <v>208</v>
      </c>
      <c r="C855" s="9" t="s">
        <v>577</v>
      </c>
      <c r="D855" s="10">
        <v>170</v>
      </c>
      <c r="E855" s="9" t="s">
        <v>163</v>
      </c>
      <c r="F855" s="10">
        <v>170</v>
      </c>
      <c r="G855" s="10">
        <v>169.7</v>
      </c>
      <c r="H855" s="10">
        <v>108</v>
      </c>
      <c r="I855" s="10">
        <v>137</v>
      </c>
      <c r="J855" s="10">
        <v>143</v>
      </c>
      <c r="K855" s="10">
        <v>109</v>
      </c>
      <c r="L855" s="10">
        <v>129</v>
      </c>
      <c r="M855" s="10">
        <v>16.2</v>
      </c>
      <c r="N855" s="10">
        <v>1410</v>
      </c>
      <c r="O855" s="10">
        <v>1.43</v>
      </c>
      <c r="P855" s="10">
        <v>2019</v>
      </c>
      <c r="Q855" s="10">
        <v>147</v>
      </c>
      <c r="R855" s="10">
        <v>67</v>
      </c>
      <c r="S855" s="10">
        <v>52</v>
      </c>
      <c r="T855" s="10">
        <v>342</v>
      </c>
      <c r="U855" s="10">
        <v>33</v>
      </c>
      <c r="V855" s="10">
        <v>273</v>
      </c>
      <c r="W855" s="10">
        <v>0.63</v>
      </c>
      <c r="X855" s="10">
        <v>160</v>
      </c>
      <c r="Y855" s="10">
        <v>167</v>
      </c>
      <c r="Z855" s="10">
        <v>181</v>
      </c>
      <c r="AA855" s="10">
        <v>6</v>
      </c>
      <c r="AB855" s="10">
        <v>6.4</v>
      </c>
      <c r="AC855" s="9" t="s">
        <v>169</v>
      </c>
      <c r="AD855" s="9" t="s">
        <v>185</v>
      </c>
      <c r="AE855" s="9" t="s">
        <v>198</v>
      </c>
      <c r="AF855" s="10"/>
      <c r="AG855" s="10"/>
    </row>
    <row r="856" spans="1:33">
      <c r="A856" s="7" t="s">
        <v>155</v>
      </c>
      <c r="B856" s="8" t="s">
        <v>208</v>
      </c>
      <c r="C856" s="9" t="s">
        <v>577</v>
      </c>
      <c r="D856" s="10">
        <v>178</v>
      </c>
      <c r="E856" s="9" t="s">
        <v>163</v>
      </c>
      <c r="F856" s="10">
        <v>178</v>
      </c>
      <c r="G856" s="10">
        <v>178.5</v>
      </c>
      <c r="H856" s="10">
        <v>115</v>
      </c>
      <c r="I856" s="10">
        <v>145</v>
      </c>
      <c r="J856" s="10">
        <v>142</v>
      </c>
      <c r="K856" s="10">
        <v>109</v>
      </c>
      <c r="L856" s="10">
        <v>128</v>
      </c>
      <c r="M856" s="10">
        <v>18.3</v>
      </c>
      <c r="N856" s="10">
        <v>1529</v>
      </c>
      <c r="O856" s="10">
        <v>1.38</v>
      </c>
      <c r="P856" s="10">
        <v>2115</v>
      </c>
      <c r="Q856" s="10">
        <v>167</v>
      </c>
      <c r="R856" s="10">
        <v>81</v>
      </c>
      <c r="S856" s="10">
        <v>54</v>
      </c>
      <c r="T856" s="10">
        <v>353</v>
      </c>
      <c r="U856" s="10">
        <v>32</v>
      </c>
      <c r="V856" s="10">
        <v>285</v>
      </c>
      <c r="W856" s="10">
        <v>0.6</v>
      </c>
      <c r="X856" s="10">
        <v>162</v>
      </c>
      <c r="Y856" s="10">
        <v>177</v>
      </c>
      <c r="Z856" s="10">
        <v>191</v>
      </c>
      <c r="AA856" s="10">
        <v>5</v>
      </c>
      <c r="AB856" s="10">
        <v>5.5</v>
      </c>
      <c r="AC856" s="9" t="s">
        <v>169</v>
      </c>
      <c r="AD856" s="9" t="s">
        <v>185</v>
      </c>
      <c r="AE856" s="9" t="s">
        <v>198</v>
      </c>
      <c r="AF856" s="10"/>
      <c r="AG856" s="10"/>
    </row>
    <row r="857" spans="1:33">
      <c r="A857" s="7" t="s">
        <v>155</v>
      </c>
      <c r="B857" s="8" t="s">
        <v>208</v>
      </c>
      <c r="C857" s="9" t="s">
        <v>824</v>
      </c>
      <c r="D857" s="10">
        <v>151</v>
      </c>
      <c r="E857" s="9" t="s">
        <v>163</v>
      </c>
      <c r="F857" s="10">
        <v>151</v>
      </c>
      <c r="G857" s="10">
        <v>150.5</v>
      </c>
      <c r="H857" s="10">
        <v>119</v>
      </c>
      <c r="I857" s="10">
        <v>127</v>
      </c>
      <c r="J857" s="10">
        <v>121</v>
      </c>
      <c r="K857" s="10">
        <v>83</v>
      </c>
      <c r="L857" s="10">
        <v>109</v>
      </c>
      <c r="M857" s="10">
        <v>12.1</v>
      </c>
      <c r="N857" s="10">
        <v>1252</v>
      </c>
      <c r="O857" s="10">
        <v>1.1499999999999999</v>
      </c>
      <c r="P857" s="10">
        <v>1443</v>
      </c>
      <c r="Q857" s="10">
        <v>110</v>
      </c>
      <c r="R857" s="10">
        <v>59</v>
      </c>
      <c r="S857" s="10">
        <v>43</v>
      </c>
      <c r="T857" s="10">
        <v>170</v>
      </c>
      <c r="U857" s="10">
        <v>19</v>
      </c>
      <c r="V857" s="10">
        <v>149</v>
      </c>
      <c r="W857" s="10">
        <v>0.433</v>
      </c>
      <c r="X857" s="10">
        <v>133</v>
      </c>
      <c r="Y857" s="10">
        <v>104</v>
      </c>
      <c r="Z857" s="10">
        <v>37</v>
      </c>
      <c r="AA857" s="10">
        <v>8</v>
      </c>
      <c r="AB857" s="10">
        <v>8.5</v>
      </c>
      <c r="AC857" s="9" t="s">
        <v>231</v>
      </c>
      <c r="AD857" s="9" t="s">
        <v>188</v>
      </c>
      <c r="AE857" s="9" t="s">
        <v>185</v>
      </c>
      <c r="AF857" s="10"/>
      <c r="AG857" s="10"/>
    </row>
    <row r="858" spans="1:33">
      <c r="A858" s="7" t="s">
        <v>155</v>
      </c>
      <c r="B858" s="8" t="s">
        <v>208</v>
      </c>
      <c r="C858" s="9" t="s">
        <v>824</v>
      </c>
      <c r="D858" s="10">
        <v>158</v>
      </c>
      <c r="E858" s="9" t="s">
        <v>163</v>
      </c>
      <c r="F858" s="10">
        <v>158</v>
      </c>
      <c r="G858" s="10">
        <v>157.6</v>
      </c>
      <c r="H858" s="10">
        <v>128</v>
      </c>
      <c r="I858" s="10">
        <v>135</v>
      </c>
      <c r="J858" s="10">
        <v>121</v>
      </c>
      <c r="K858" s="10">
        <v>83</v>
      </c>
      <c r="L858" s="10">
        <v>109</v>
      </c>
      <c r="M858" s="10">
        <v>13.4</v>
      </c>
      <c r="N858" s="10">
        <v>1343</v>
      </c>
      <c r="O858" s="10">
        <v>1.1200000000000001</v>
      </c>
      <c r="P858" s="10">
        <v>1509</v>
      </c>
      <c r="Q858" s="10">
        <v>116</v>
      </c>
      <c r="R858" s="10">
        <v>69</v>
      </c>
      <c r="S858" s="10">
        <v>44</v>
      </c>
      <c r="T858" s="10">
        <v>187</v>
      </c>
      <c r="U858" s="10">
        <v>16</v>
      </c>
      <c r="V858" s="10">
        <v>112</v>
      </c>
      <c r="W858" s="10">
        <v>0.35799999999999998</v>
      </c>
      <c r="X858" s="10">
        <v>132</v>
      </c>
      <c r="Y858" s="10">
        <v>96</v>
      </c>
      <c r="Z858" s="10">
        <v>55</v>
      </c>
      <c r="AA858" s="10">
        <v>6</v>
      </c>
      <c r="AB858" s="10">
        <v>9.3000000000000007</v>
      </c>
      <c r="AC858" s="9" t="s">
        <v>231</v>
      </c>
      <c r="AD858" s="9" t="s">
        <v>188</v>
      </c>
      <c r="AE858" s="9" t="s">
        <v>185</v>
      </c>
      <c r="AF858" s="10"/>
      <c r="AG858" s="10"/>
    </row>
    <row r="859" spans="1:33">
      <c r="A859" s="7" t="s">
        <v>155</v>
      </c>
      <c r="B859" s="8" t="s">
        <v>208</v>
      </c>
      <c r="C859" s="9" t="s">
        <v>824</v>
      </c>
      <c r="D859" s="10">
        <v>165</v>
      </c>
      <c r="E859" s="9" t="s">
        <v>163</v>
      </c>
      <c r="F859" s="10">
        <v>165</v>
      </c>
      <c r="G859" s="10">
        <v>164.6</v>
      </c>
      <c r="H859" s="10">
        <v>130</v>
      </c>
      <c r="I859" s="10">
        <v>139</v>
      </c>
      <c r="J859" s="10">
        <v>121</v>
      </c>
      <c r="K859" s="10">
        <v>83</v>
      </c>
      <c r="L859" s="10">
        <v>109</v>
      </c>
      <c r="M859" s="10">
        <v>14.8</v>
      </c>
      <c r="N859" s="10">
        <v>1404</v>
      </c>
      <c r="O859" s="10">
        <v>1.1200000000000001</v>
      </c>
      <c r="P859" s="10">
        <v>1574</v>
      </c>
      <c r="Q859" s="10">
        <v>143</v>
      </c>
      <c r="R859" s="10">
        <v>65</v>
      </c>
      <c r="S859" s="10">
        <v>45</v>
      </c>
      <c r="T859" s="10">
        <v>210</v>
      </c>
      <c r="U859" s="10">
        <v>19</v>
      </c>
      <c r="V859" s="10">
        <v>140</v>
      </c>
      <c r="W859" s="10">
        <v>0.42299999999999999</v>
      </c>
      <c r="X859" s="10">
        <v>146</v>
      </c>
      <c r="Y859" s="10">
        <v>108</v>
      </c>
      <c r="Z859" s="10">
        <v>64</v>
      </c>
      <c r="AA859" s="10">
        <v>7</v>
      </c>
      <c r="AB859" s="10">
        <v>9.1</v>
      </c>
      <c r="AC859" s="9" t="s">
        <v>231</v>
      </c>
      <c r="AD859" s="9" t="s">
        <v>188</v>
      </c>
      <c r="AE859" s="9" t="s">
        <v>185</v>
      </c>
      <c r="AF859" s="10"/>
      <c r="AG859" s="10"/>
    </row>
    <row r="860" spans="1:33">
      <c r="A860" s="7" t="s">
        <v>155</v>
      </c>
      <c r="B860" s="8" t="s">
        <v>208</v>
      </c>
      <c r="C860" s="9" t="s">
        <v>698</v>
      </c>
      <c r="D860" s="10">
        <v>151</v>
      </c>
      <c r="E860" s="9" t="s">
        <v>163</v>
      </c>
      <c r="F860" s="10">
        <v>151</v>
      </c>
      <c r="G860" s="10">
        <v>151.1</v>
      </c>
      <c r="H860" s="10">
        <v>111</v>
      </c>
      <c r="I860" s="10">
        <v>125</v>
      </c>
      <c r="J860" s="10">
        <v>130</v>
      </c>
      <c r="K860" s="10">
        <v>93</v>
      </c>
      <c r="L860" s="10">
        <v>116</v>
      </c>
      <c r="M860" s="10">
        <v>12.4</v>
      </c>
      <c r="N860" s="10">
        <v>1354</v>
      </c>
      <c r="O860" s="10">
        <v>1.17</v>
      </c>
      <c r="P860" s="10">
        <v>1586</v>
      </c>
      <c r="Q860" s="10">
        <v>117</v>
      </c>
      <c r="R860" s="10">
        <v>60</v>
      </c>
      <c r="S860" s="10">
        <v>44</v>
      </c>
      <c r="T860" s="10">
        <v>265</v>
      </c>
      <c r="U860" s="10">
        <v>17</v>
      </c>
      <c r="V860" s="10">
        <v>135</v>
      </c>
      <c r="W860" s="10">
        <v>0.38800000000000001</v>
      </c>
      <c r="X860" s="10">
        <v>141</v>
      </c>
      <c r="Y860" s="10">
        <v>117</v>
      </c>
      <c r="Z860" s="10">
        <v>124</v>
      </c>
      <c r="AA860" s="10">
        <v>7</v>
      </c>
      <c r="AB860" s="10">
        <v>8.3000000000000007</v>
      </c>
      <c r="AC860" s="9" t="s">
        <v>188</v>
      </c>
      <c r="AD860" s="9" t="s">
        <v>185</v>
      </c>
      <c r="AE860" s="10"/>
      <c r="AF860" s="10"/>
      <c r="AG860" s="10"/>
    </row>
    <row r="861" spans="1:33">
      <c r="A861" s="7" t="s">
        <v>155</v>
      </c>
      <c r="B861" s="8" t="s">
        <v>208</v>
      </c>
      <c r="C861" s="9" t="s">
        <v>698</v>
      </c>
      <c r="D861" s="10">
        <v>158</v>
      </c>
      <c r="E861" s="9" t="s">
        <v>163</v>
      </c>
      <c r="F861" s="10">
        <v>158</v>
      </c>
      <c r="G861" s="10">
        <v>158.19999999999999</v>
      </c>
      <c r="H861" s="10">
        <v>118</v>
      </c>
      <c r="I861" s="10">
        <v>133</v>
      </c>
      <c r="J861" s="10">
        <v>130</v>
      </c>
      <c r="K861" s="10">
        <v>93</v>
      </c>
      <c r="L861" s="10">
        <v>116</v>
      </c>
      <c r="M861" s="10">
        <v>13.4</v>
      </c>
      <c r="N861" s="10">
        <v>1310</v>
      </c>
      <c r="O861" s="10">
        <v>1.27</v>
      </c>
      <c r="P861" s="10">
        <v>1663</v>
      </c>
      <c r="Q861" s="10">
        <v>122</v>
      </c>
      <c r="R861" s="10">
        <v>57</v>
      </c>
      <c r="S861" s="10">
        <v>38</v>
      </c>
      <c r="T861" s="10">
        <v>278</v>
      </c>
      <c r="U861" s="10">
        <v>13</v>
      </c>
      <c r="V861" s="10">
        <v>119</v>
      </c>
      <c r="W861" s="10">
        <v>0.34599999999999997</v>
      </c>
      <c r="X861" s="10">
        <v>135</v>
      </c>
      <c r="Y861" s="10">
        <v>117</v>
      </c>
      <c r="Z861" s="10">
        <v>143</v>
      </c>
      <c r="AA861" s="10">
        <v>6</v>
      </c>
      <c r="AB861" s="10">
        <v>9</v>
      </c>
      <c r="AC861" s="9" t="s">
        <v>188</v>
      </c>
      <c r="AD861" s="9" t="s">
        <v>185</v>
      </c>
      <c r="AE861" s="9" t="s">
        <v>198</v>
      </c>
      <c r="AF861" s="10"/>
      <c r="AG861" s="10"/>
    </row>
    <row r="862" spans="1:33">
      <c r="A862" s="7" t="s">
        <v>155</v>
      </c>
      <c r="B862" s="8" t="s">
        <v>208</v>
      </c>
      <c r="C862" s="9" t="s">
        <v>698</v>
      </c>
      <c r="D862" s="10">
        <v>165</v>
      </c>
      <c r="E862" s="9" t="s">
        <v>163</v>
      </c>
      <c r="F862" s="10">
        <v>165</v>
      </c>
      <c r="G862" s="10">
        <v>165</v>
      </c>
      <c r="H862" s="10">
        <v>122</v>
      </c>
      <c r="I862" s="10">
        <v>138</v>
      </c>
      <c r="J862" s="10">
        <v>130</v>
      </c>
      <c r="K862" s="10">
        <v>93</v>
      </c>
      <c r="L862" s="10">
        <v>116</v>
      </c>
      <c r="M862" s="10">
        <v>14.8</v>
      </c>
      <c r="N862" s="10">
        <v>1441</v>
      </c>
      <c r="O862" s="10">
        <v>1.2</v>
      </c>
      <c r="P862" s="10">
        <v>1736</v>
      </c>
      <c r="Q862" s="10">
        <v>129</v>
      </c>
      <c r="R862" s="10">
        <v>65</v>
      </c>
      <c r="S862" s="10">
        <v>47</v>
      </c>
      <c r="T862" s="10">
        <v>306</v>
      </c>
      <c r="U862" s="10">
        <v>15</v>
      </c>
      <c r="V862" s="10">
        <v>128</v>
      </c>
      <c r="W862" s="10">
        <v>0.318</v>
      </c>
      <c r="X862" s="10">
        <v>146</v>
      </c>
      <c r="Y862" s="10">
        <v>125</v>
      </c>
      <c r="Z862" s="10">
        <v>160</v>
      </c>
      <c r="AA862" s="10">
        <v>6</v>
      </c>
      <c r="AB862" s="10">
        <v>9.1</v>
      </c>
      <c r="AC862" s="9" t="s">
        <v>188</v>
      </c>
      <c r="AD862" s="9" t="s">
        <v>185</v>
      </c>
      <c r="AE862" s="10"/>
      <c r="AF862" s="10"/>
      <c r="AG862" s="10"/>
    </row>
    <row r="863" spans="1:33">
      <c r="A863" s="7" t="s">
        <v>155</v>
      </c>
      <c r="B863" s="8" t="s">
        <v>208</v>
      </c>
      <c r="C863" s="9" t="s">
        <v>698</v>
      </c>
      <c r="D863" s="10">
        <v>172</v>
      </c>
      <c r="E863" s="9" t="s">
        <v>163</v>
      </c>
      <c r="F863" s="10">
        <v>172</v>
      </c>
      <c r="G863" s="10">
        <v>172</v>
      </c>
      <c r="H863" s="10">
        <v>132</v>
      </c>
      <c r="I863" s="10">
        <v>144</v>
      </c>
      <c r="J863" s="10">
        <v>131</v>
      </c>
      <c r="K863" s="10">
        <v>93</v>
      </c>
      <c r="L863" s="10">
        <v>116</v>
      </c>
      <c r="M863" s="10">
        <v>16.3</v>
      </c>
      <c r="N863" s="10">
        <v>1539</v>
      </c>
      <c r="O863" s="10">
        <v>1.18</v>
      </c>
      <c r="P863" s="10">
        <v>1809</v>
      </c>
      <c r="Q863" s="10">
        <v>148</v>
      </c>
      <c r="R863" s="10">
        <v>77</v>
      </c>
      <c r="S863" s="10">
        <v>47</v>
      </c>
      <c r="T863" s="10">
        <v>273</v>
      </c>
      <c r="U863" s="10">
        <v>14</v>
      </c>
      <c r="V863" s="10">
        <v>129</v>
      </c>
      <c r="W863" s="10">
        <v>0.29799999999999999</v>
      </c>
      <c r="X863" s="10">
        <v>144</v>
      </c>
      <c r="Y863" s="10">
        <v>133</v>
      </c>
      <c r="Z863" s="10">
        <v>129</v>
      </c>
      <c r="AA863" s="10">
        <v>8</v>
      </c>
      <c r="AB863" s="10">
        <v>9.6</v>
      </c>
      <c r="AC863" s="9" t="s">
        <v>188</v>
      </c>
      <c r="AD863" s="9" t="s">
        <v>185</v>
      </c>
      <c r="AE863" s="10"/>
      <c r="AF863" s="10"/>
      <c r="AG863" s="10"/>
    </row>
    <row r="864" spans="1:33">
      <c r="A864" s="7" t="s">
        <v>155</v>
      </c>
      <c r="B864" s="8" t="s">
        <v>208</v>
      </c>
      <c r="C864" s="9" t="s">
        <v>523</v>
      </c>
      <c r="D864" s="10">
        <v>180</v>
      </c>
      <c r="E864" s="9" t="s">
        <v>158</v>
      </c>
      <c r="F864" s="10">
        <v>180</v>
      </c>
      <c r="G864" s="10">
        <v>178.7</v>
      </c>
      <c r="H864" s="10">
        <v>128</v>
      </c>
      <c r="I864" s="10">
        <v>145</v>
      </c>
      <c r="J864" s="10">
        <v>158</v>
      </c>
      <c r="K864" s="10">
        <v>124</v>
      </c>
      <c r="L864" s="10">
        <v>144</v>
      </c>
      <c r="M864" s="10">
        <v>18.399999999999999</v>
      </c>
      <c r="N864" s="10">
        <v>1828</v>
      </c>
      <c r="O864" s="10">
        <v>1.3</v>
      </c>
      <c r="P864" s="10">
        <v>2380</v>
      </c>
      <c r="Q864" s="10">
        <v>156</v>
      </c>
      <c r="R864" s="10">
        <v>87</v>
      </c>
      <c r="S864" s="10">
        <v>61</v>
      </c>
      <c r="T864" s="10">
        <v>374</v>
      </c>
      <c r="U864" s="10">
        <v>16</v>
      </c>
      <c r="V864" s="10">
        <v>131</v>
      </c>
      <c r="W864" s="10">
        <v>0.26300000000000001</v>
      </c>
      <c r="X864" s="10">
        <v>217</v>
      </c>
      <c r="Y864" s="10">
        <v>119</v>
      </c>
      <c r="Z864" s="10">
        <v>157</v>
      </c>
      <c r="AA864" s="10">
        <v>9</v>
      </c>
      <c r="AB864" s="10">
        <v>10</v>
      </c>
      <c r="AC864" s="9" t="s">
        <v>178</v>
      </c>
      <c r="AD864" s="9" t="s">
        <v>185</v>
      </c>
      <c r="AE864" s="9" t="s">
        <v>198</v>
      </c>
      <c r="AF864" s="10"/>
      <c r="AG864" s="10"/>
    </row>
    <row r="865" spans="1:33">
      <c r="A865" s="7" t="s">
        <v>155</v>
      </c>
      <c r="B865" s="8" t="s">
        <v>208</v>
      </c>
      <c r="C865" s="9" t="s">
        <v>452</v>
      </c>
      <c r="D865" s="10">
        <v>166</v>
      </c>
      <c r="E865" s="9" t="s">
        <v>158</v>
      </c>
      <c r="F865" s="10">
        <v>166</v>
      </c>
      <c r="G865" s="10">
        <v>166.2</v>
      </c>
      <c r="H865" s="10">
        <v>114</v>
      </c>
      <c r="I865" s="10">
        <v>136</v>
      </c>
      <c r="J865" s="10">
        <v>149</v>
      </c>
      <c r="K865" s="10">
        <v>104</v>
      </c>
      <c r="L865" s="10">
        <v>128</v>
      </c>
      <c r="M865" s="10">
        <v>12.8</v>
      </c>
      <c r="N865" s="10">
        <v>1650</v>
      </c>
      <c r="O865" s="10">
        <v>1.17</v>
      </c>
      <c r="P865" s="10">
        <v>1928</v>
      </c>
      <c r="Q865" s="10">
        <v>147</v>
      </c>
      <c r="R865" s="10">
        <v>74</v>
      </c>
      <c r="S865" s="10">
        <v>48</v>
      </c>
      <c r="T865" s="10">
        <v>383</v>
      </c>
      <c r="U865" s="10">
        <v>0</v>
      </c>
      <c r="V865" s="10">
        <v>139</v>
      </c>
      <c r="W865" s="10">
        <v>8.9999999999999993E-3</v>
      </c>
      <c r="X865" s="10">
        <v>159</v>
      </c>
      <c r="Y865" s="10">
        <v>146</v>
      </c>
      <c r="Z865" s="10">
        <v>223</v>
      </c>
      <c r="AA865" s="10">
        <v>6</v>
      </c>
      <c r="AB865" s="10">
        <v>10.4</v>
      </c>
      <c r="AC865" s="9" t="s">
        <v>188</v>
      </c>
      <c r="AD865" s="9" t="s">
        <v>178</v>
      </c>
      <c r="AE865" s="9" t="s">
        <v>185</v>
      </c>
      <c r="AF865" s="10"/>
      <c r="AG865" s="10"/>
    </row>
    <row r="866" spans="1:33">
      <c r="A866" s="7" t="s">
        <v>155</v>
      </c>
      <c r="B866" s="8" t="s">
        <v>208</v>
      </c>
      <c r="C866" s="9" t="s">
        <v>452</v>
      </c>
      <c r="D866" s="10">
        <v>174</v>
      </c>
      <c r="E866" s="9" t="s">
        <v>158</v>
      </c>
      <c r="F866" s="10">
        <v>174</v>
      </c>
      <c r="G866" s="10">
        <v>174</v>
      </c>
      <c r="H866" s="10">
        <v>137</v>
      </c>
      <c r="I866" s="10">
        <v>142</v>
      </c>
      <c r="J866" s="10">
        <v>149</v>
      </c>
      <c r="K866" s="10">
        <v>104</v>
      </c>
      <c r="L866" s="10">
        <v>128</v>
      </c>
      <c r="M866" s="10">
        <v>14.4</v>
      </c>
      <c r="N866" s="10">
        <v>1720</v>
      </c>
      <c r="O866" s="10">
        <v>1.17</v>
      </c>
      <c r="P866" s="10">
        <v>2017</v>
      </c>
      <c r="Q866" s="10">
        <v>145</v>
      </c>
      <c r="R866" s="10">
        <v>84</v>
      </c>
      <c r="S866" s="10">
        <v>48</v>
      </c>
      <c r="T866" s="10">
        <v>368</v>
      </c>
      <c r="U866" s="10">
        <v>0</v>
      </c>
      <c r="V866" s="10">
        <v>0</v>
      </c>
      <c r="W866" s="10">
        <v>1E-3</v>
      </c>
      <c r="X866" s="10">
        <v>169</v>
      </c>
      <c r="Y866" s="10">
        <v>148</v>
      </c>
      <c r="Z866" s="10">
        <v>200</v>
      </c>
      <c r="AA866" s="10">
        <v>6</v>
      </c>
      <c r="AB866" s="10">
        <v>10.7</v>
      </c>
      <c r="AC866" s="9" t="s">
        <v>188</v>
      </c>
      <c r="AD866" s="9" t="s">
        <v>178</v>
      </c>
      <c r="AE866" s="9" t="s">
        <v>185</v>
      </c>
      <c r="AF866" s="10"/>
      <c r="AG866" s="10"/>
    </row>
    <row r="867" spans="1:33">
      <c r="A867" s="7" t="s">
        <v>155</v>
      </c>
      <c r="B867" s="8" t="s">
        <v>208</v>
      </c>
      <c r="C867" s="9" t="s">
        <v>452</v>
      </c>
      <c r="D867" s="10">
        <v>181</v>
      </c>
      <c r="E867" s="9" t="s">
        <v>158</v>
      </c>
      <c r="F867" s="10">
        <v>181</v>
      </c>
      <c r="G867" s="10">
        <v>180.9</v>
      </c>
      <c r="H867" s="10">
        <v>130</v>
      </c>
      <c r="I867" s="10">
        <v>160</v>
      </c>
      <c r="J867" s="10">
        <v>149</v>
      </c>
      <c r="K867" s="10">
        <v>104</v>
      </c>
      <c r="L867" s="10">
        <v>136</v>
      </c>
      <c r="M867" s="10">
        <v>16.2</v>
      </c>
      <c r="N867" s="10">
        <v>1801</v>
      </c>
      <c r="O867" s="10">
        <v>1.19</v>
      </c>
      <c r="P867" s="10">
        <v>2142</v>
      </c>
      <c r="Q867" s="10">
        <v>168</v>
      </c>
      <c r="R867" s="10">
        <v>92</v>
      </c>
      <c r="S867" s="10">
        <v>45</v>
      </c>
      <c r="T867" s="10">
        <v>382</v>
      </c>
      <c r="U867" s="10">
        <v>14</v>
      </c>
      <c r="V867" s="10">
        <v>130</v>
      </c>
      <c r="W867" s="10">
        <v>0.30099999999999999</v>
      </c>
      <c r="X867" s="10">
        <v>164</v>
      </c>
      <c r="Y867" s="10">
        <v>40</v>
      </c>
      <c r="Z867" s="10">
        <v>218</v>
      </c>
      <c r="AA867" s="10">
        <v>6</v>
      </c>
      <c r="AB867" s="10">
        <v>11.2</v>
      </c>
      <c r="AC867" s="9" t="s">
        <v>188</v>
      </c>
      <c r="AD867" s="9" t="s">
        <v>178</v>
      </c>
      <c r="AE867" s="9" t="s">
        <v>185</v>
      </c>
      <c r="AF867" s="10"/>
      <c r="AG867" s="10"/>
    </row>
    <row r="868" spans="1:33">
      <c r="A868" s="7" t="s">
        <v>155</v>
      </c>
      <c r="B868" s="8" t="s">
        <v>208</v>
      </c>
      <c r="C868" s="9" t="s">
        <v>352</v>
      </c>
      <c r="D868" s="10">
        <v>172</v>
      </c>
      <c r="E868" s="9" t="s">
        <v>158</v>
      </c>
      <c r="F868" s="10">
        <v>172</v>
      </c>
      <c r="G868" s="10">
        <v>171.8</v>
      </c>
      <c r="H868" s="10">
        <v>113</v>
      </c>
      <c r="I868" s="10">
        <v>133</v>
      </c>
      <c r="J868" s="10">
        <v>136</v>
      </c>
      <c r="K868" s="10">
        <v>103</v>
      </c>
      <c r="L868" s="10">
        <v>120</v>
      </c>
      <c r="M868" s="10">
        <v>16.5</v>
      </c>
      <c r="N868" s="10">
        <v>1625</v>
      </c>
      <c r="O868" s="10">
        <v>1.2</v>
      </c>
      <c r="P868" s="10">
        <v>1949</v>
      </c>
      <c r="Q868" s="10">
        <v>158</v>
      </c>
      <c r="R868" s="10">
        <v>92</v>
      </c>
      <c r="S868" s="10">
        <v>50</v>
      </c>
      <c r="T868" s="10">
        <v>365</v>
      </c>
      <c r="U868" s="10">
        <v>20</v>
      </c>
      <c r="V868" s="10">
        <v>220</v>
      </c>
      <c r="W868" s="10">
        <v>0.40200000000000002</v>
      </c>
      <c r="X868" s="10">
        <v>189</v>
      </c>
      <c r="Y868" s="10">
        <v>198</v>
      </c>
      <c r="Z868" s="10">
        <v>176</v>
      </c>
      <c r="AA868" s="10">
        <v>6</v>
      </c>
      <c r="AB868" s="10">
        <v>10.199999999999999</v>
      </c>
      <c r="AC868" s="9" t="s">
        <v>188</v>
      </c>
      <c r="AD868" s="9" t="s">
        <v>169</v>
      </c>
      <c r="AE868" s="9" t="s">
        <v>185</v>
      </c>
      <c r="AF868" s="10"/>
      <c r="AG868" s="10"/>
    </row>
    <row r="869" spans="1:33">
      <c r="A869" s="7" t="s">
        <v>155</v>
      </c>
      <c r="B869" s="8" t="s">
        <v>208</v>
      </c>
      <c r="C869" s="9" t="s">
        <v>352</v>
      </c>
      <c r="D869" s="10">
        <v>179</v>
      </c>
      <c r="E869" s="9" t="s">
        <v>158</v>
      </c>
      <c r="F869" s="10">
        <v>179</v>
      </c>
      <c r="G869" s="10">
        <v>179</v>
      </c>
      <c r="H869" s="10">
        <v>126</v>
      </c>
      <c r="I869" s="10">
        <v>140</v>
      </c>
      <c r="J869" s="10">
        <v>136</v>
      </c>
      <c r="K869" s="10">
        <v>103</v>
      </c>
      <c r="L869" s="10">
        <v>121</v>
      </c>
      <c r="M869" s="10">
        <v>18.100000000000001</v>
      </c>
      <c r="N869" s="10">
        <v>1769</v>
      </c>
      <c r="O869" s="10">
        <v>1.1499999999999999</v>
      </c>
      <c r="P869" s="10">
        <v>2031</v>
      </c>
      <c r="Q869" s="10">
        <v>183</v>
      </c>
      <c r="R869" s="10">
        <v>98</v>
      </c>
      <c r="S869" s="10">
        <v>47</v>
      </c>
      <c r="T869" s="10">
        <v>326</v>
      </c>
      <c r="U869" s="10">
        <v>19</v>
      </c>
      <c r="V869" s="10">
        <v>202</v>
      </c>
      <c r="W869" s="10">
        <v>0.41</v>
      </c>
      <c r="X869" s="10">
        <v>193</v>
      </c>
      <c r="Y869" s="10">
        <v>198</v>
      </c>
      <c r="Z869" s="10">
        <v>133</v>
      </c>
      <c r="AA869" s="10">
        <v>6</v>
      </c>
      <c r="AB869" s="10">
        <v>10.6</v>
      </c>
      <c r="AC869" s="9" t="s">
        <v>188</v>
      </c>
      <c r="AD869" s="9" t="s">
        <v>169</v>
      </c>
      <c r="AE869" s="9" t="s">
        <v>185</v>
      </c>
      <c r="AF869" s="10"/>
      <c r="AG869" s="10"/>
    </row>
    <row r="870" spans="1:33">
      <c r="A870" s="7" t="s">
        <v>155</v>
      </c>
      <c r="B870" s="8" t="s">
        <v>208</v>
      </c>
      <c r="C870" s="9" t="s">
        <v>435</v>
      </c>
      <c r="D870" s="10">
        <v>165</v>
      </c>
      <c r="E870" s="9" t="s">
        <v>158</v>
      </c>
      <c r="F870" s="10">
        <v>165</v>
      </c>
      <c r="G870" s="10">
        <v>165</v>
      </c>
      <c r="H870" s="10">
        <v>119</v>
      </c>
      <c r="I870" s="10">
        <v>140</v>
      </c>
      <c r="J870" s="10">
        <v>125</v>
      </c>
      <c r="K870" s="10">
        <v>87</v>
      </c>
      <c r="L870" s="10">
        <v>112</v>
      </c>
      <c r="M870" s="10">
        <v>15</v>
      </c>
      <c r="N870" s="10">
        <v>1453</v>
      </c>
      <c r="O870" s="10">
        <v>1.1299999999999999</v>
      </c>
      <c r="P870" s="10">
        <v>1638</v>
      </c>
      <c r="Q870" s="10">
        <v>150</v>
      </c>
      <c r="R870" s="10">
        <v>78</v>
      </c>
      <c r="S870" s="10">
        <v>48</v>
      </c>
      <c r="T870" s="10">
        <v>295</v>
      </c>
      <c r="U870" s="10">
        <v>16</v>
      </c>
      <c r="V870" s="10">
        <v>161</v>
      </c>
      <c r="W870" s="10">
        <v>0.32900000000000001</v>
      </c>
      <c r="X870" s="10">
        <v>148</v>
      </c>
      <c r="Y870" s="10">
        <v>100</v>
      </c>
      <c r="Z870" s="10">
        <v>148</v>
      </c>
      <c r="AA870" s="10">
        <v>5</v>
      </c>
      <c r="AB870" s="10">
        <v>8.5</v>
      </c>
      <c r="AC870" s="9" t="s">
        <v>188</v>
      </c>
      <c r="AD870" s="9" t="s">
        <v>185</v>
      </c>
      <c r="AE870" s="10"/>
      <c r="AF870" s="10"/>
      <c r="AG870" s="10"/>
    </row>
    <row r="871" spans="1:33">
      <c r="A871" s="7" t="s">
        <v>155</v>
      </c>
      <c r="B871" s="8" t="s">
        <v>208</v>
      </c>
      <c r="C871" s="9" t="s">
        <v>435</v>
      </c>
      <c r="D871" s="10">
        <v>172</v>
      </c>
      <c r="E871" s="9" t="s">
        <v>158</v>
      </c>
      <c r="F871" s="10">
        <v>172</v>
      </c>
      <c r="G871" s="10">
        <v>171.9</v>
      </c>
      <c r="H871" s="10">
        <v>127</v>
      </c>
      <c r="I871" s="10">
        <v>146</v>
      </c>
      <c r="J871" s="10">
        <v>126</v>
      </c>
      <c r="K871" s="10">
        <v>87</v>
      </c>
      <c r="L871" s="10">
        <v>112</v>
      </c>
      <c r="M871" s="10">
        <v>16.2</v>
      </c>
      <c r="N871" s="10">
        <v>1588</v>
      </c>
      <c r="O871" s="10">
        <v>1.08</v>
      </c>
      <c r="P871" s="10">
        <v>1709</v>
      </c>
      <c r="Q871" s="10">
        <v>183</v>
      </c>
      <c r="R871" s="10">
        <v>96</v>
      </c>
      <c r="S871" s="10">
        <v>44</v>
      </c>
      <c r="T871" s="10">
        <v>284</v>
      </c>
      <c r="U871" s="10">
        <v>16</v>
      </c>
      <c r="V871" s="10">
        <v>160</v>
      </c>
      <c r="W871" s="10">
        <v>0.35899999999999999</v>
      </c>
      <c r="X871" s="10">
        <v>147</v>
      </c>
      <c r="Y871" s="10">
        <v>108</v>
      </c>
      <c r="Z871" s="10">
        <v>138</v>
      </c>
      <c r="AA871" s="10">
        <v>6</v>
      </c>
      <c r="AB871" s="10">
        <v>9.6999999999999993</v>
      </c>
      <c r="AC871" s="9" t="s">
        <v>188</v>
      </c>
      <c r="AD871" s="9" t="s">
        <v>185</v>
      </c>
      <c r="AE871" s="10"/>
      <c r="AF871" s="10"/>
      <c r="AG871" s="10"/>
    </row>
    <row r="872" spans="1:33">
      <c r="A872" s="7" t="s">
        <v>155</v>
      </c>
      <c r="B872" s="8" t="s">
        <v>208</v>
      </c>
      <c r="C872" s="9" t="s">
        <v>435</v>
      </c>
      <c r="D872" s="10">
        <v>179</v>
      </c>
      <c r="E872" s="9" t="s">
        <v>158</v>
      </c>
      <c r="F872" s="10">
        <v>179</v>
      </c>
      <c r="G872" s="10">
        <v>179</v>
      </c>
      <c r="H872" s="10">
        <v>135</v>
      </c>
      <c r="I872" s="10">
        <v>154</v>
      </c>
      <c r="J872" s="10">
        <v>126</v>
      </c>
      <c r="K872" s="10">
        <v>87</v>
      </c>
      <c r="L872" s="10">
        <v>113</v>
      </c>
      <c r="M872" s="10">
        <v>18.100000000000001</v>
      </c>
      <c r="N872" s="10">
        <v>1635</v>
      </c>
      <c r="O872" s="10">
        <v>1.0900000000000001</v>
      </c>
      <c r="P872" s="10">
        <v>1784</v>
      </c>
      <c r="Q872" s="10">
        <v>191</v>
      </c>
      <c r="R872" s="10">
        <v>101</v>
      </c>
      <c r="S872" s="10">
        <v>44</v>
      </c>
      <c r="T872" s="10">
        <v>282</v>
      </c>
      <c r="U872" s="10">
        <v>17</v>
      </c>
      <c r="V872" s="10">
        <v>155</v>
      </c>
      <c r="W872" s="10">
        <v>0.376</v>
      </c>
      <c r="X872" s="10">
        <v>146</v>
      </c>
      <c r="Y872" s="10">
        <v>102</v>
      </c>
      <c r="Z872" s="10">
        <v>136</v>
      </c>
      <c r="AA872" s="10">
        <v>7</v>
      </c>
      <c r="AB872" s="10">
        <v>10.3</v>
      </c>
      <c r="AC872" s="9" t="s">
        <v>188</v>
      </c>
      <c r="AD872" s="9" t="s">
        <v>185</v>
      </c>
      <c r="AE872" s="10"/>
      <c r="AF872" s="10"/>
      <c r="AG872" s="10"/>
    </row>
    <row r="873" spans="1:33">
      <c r="A873" s="7" t="s">
        <v>155</v>
      </c>
      <c r="B873" s="8" t="s">
        <v>208</v>
      </c>
      <c r="C873" s="9" t="s">
        <v>416</v>
      </c>
      <c r="D873" s="10">
        <v>172</v>
      </c>
      <c r="E873" s="9" t="s">
        <v>158</v>
      </c>
      <c r="F873" s="10">
        <v>172</v>
      </c>
      <c r="G873" s="10">
        <v>172.2</v>
      </c>
      <c r="H873" s="10">
        <v>129</v>
      </c>
      <c r="I873" s="10">
        <v>144</v>
      </c>
      <c r="J873" s="10">
        <v>131</v>
      </c>
      <c r="K873" s="10">
        <v>93</v>
      </c>
      <c r="L873" s="10">
        <v>116</v>
      </c>
      <c r="M873" s="10">
        <v>16.399999999999999</v>
      </c>
      <c r="N873" s="10">
        <v>1500</v>
      </c>
      <c r="O873" s="10">
        <v>1.21</v>
      </c>
      <c r="P873" s="10">
        <v>1811</v>
      </c>
      <c r="Q873" s="10">
        <v>146</v>
      </c>
      <c r="R873" s="10">
        <v>77</v>
      </c>
      <c r="S873" s="10">
        <v>48</v>
      </c>
      <c r="T873" s="10">
        <v>277</v>
      </c>
      <c r="U873" s="10">
        <v>19</v>
      </c>
      <c r="V873" s="10">
        <v>155</v>
      </c>
      <c r="W873" s="10">
        <v>0.39400000000000002</v>
      </c>
      <c r="X873" s="10">
        <v>153</v>
      </c>
      <c r="Y873" s="10">
        <v>126</v>
      </c>
      <c r="Z873" s="10">
        <v>124</v>
      </c>
      <c r="AA873" s="10">
        <v>7</v>
      </c>
      <c r="AB873" s="10">
        <v>9.1999999999999993</v>
      </c>
      <c r="AC873" s="9" t="s">
        <v>188</v>
      </c>
      <c r="AD873" s="9" t="s">
        <v>185</v>
      </c>
      <c r="AE873" s="10"/>
      <c r="AF873" s="10"/>
      <c r="AG873" s="10"/>
    </row>
    <row r="874" spans="1:33">
      <c r="A874" s="7" t="s">
        <v>155</v>
      </c>
      <c r="B874" s="8" t="s">
        <v>208</v>
      </c>
      <c r="C874" s="9" t="s">
        <v>416</v>
      </c>
      <c r="D874" s="10">
        <v>179</v>
      </c>
      <c r="E874" s="9" t="s">
        <v>158</v>
      </c>
      <c r="F874" s="10">
        <v>179</v>
      </c>
      <c r="G874" s="10">
        <v>178.8</v>
      </c>
      <c r="H874" s="10">
        <v>138</v>
      </c>
      <c r="I874" s="10">
        <v>151</v>
      </c>
      <c r="J874" s="10">
        <v>131</v>
      </c>
      <c r="K874" s="10">
        <v>93</v>
      </c>
      <c r="L874" s="10">
        <v>116</v>
      </c>
      <c r="M874" s="10">
        <v>18</v>
      </c>
      <c r="N874" s="10">
        <v>1763</v>
      </c>
      <c r="O874" s="10">
        <v>1.07</v>
      </c>
      <c r="P874" s="10">
        <v>1883</v>
      </c>
      <c r="Q874" s="10">
        <v>196</v>
      </c>
      <c r="R874" s="10">
        <v>93</v>
      </c>
      <c r="S874" s="10">
        <v>42</v>
      </c>
      <c r="T874" s="10">
        <v>280</v>
      </c>
      <c r="U874" s="10">
        <v>15</v>
      </c>
      <c r="V874" s="10">
        <v>129</v>
      </c>
      <c r="W874" s="10">
        <v>0.35699999999999998</v>
      </c>
      <c r="X874" s="10">
        <v>147</v>
      </c>
      <c r="Y874" s="10">
        <v>127</v>
      </c>
      <c r="Z874" s="10">
        <v>133</v>
      </c>
      <c r="AA874" s="10">
        <v>9</v>
      </c>
      <c r="AB874" s="10">
        <v>9.6</v>
      </c>
      <c r="AC874" s="9" t="s">
        <v>188</v>
      </c>
      <c r="AD874" s="9" t="s">
        <v>185</v>
      </c>
      <c r="AE874" s="10"/>
      <c r="AF874" s="10"/>
      <c r="AG874" s="10"/>
    </row>
    <row r="875" spans="1:33">
      <c r="A875" s="7" t="s">
        <v>155</v>
      </c>
      <c r="B875" s="8" t="s">
        <v>208</v>
      </c>
      <c r="C875" s="9" t="s">
        <v>416</v>
      </c>
      <c r="D875" s="10">
        <v>186</v>
      </c>
      <c r="E875" s="9" t="s">
        <v>158</v>
      </c>
      <c r="F875" s="10">
        <v>186</v>
      </c>
      <c r="G875" s="10">
        <v>185.7</v>
      </c>
      <c r="H875" s="10">
        <v>147</v>
      </c>
      <c r="I875" s="10">
        <v>161</v>
      </c>
      <c r="J875" s="10">
        <v>131</v>
      </c>
      <c r="K875" s="10">
        <v>93</v>
      </c>
      <c r="L875" s="10">
        <v>116</v>
      </c>
      <c r="M875" s="10">
        <v>19.600000000000001</v>
      </c>
      <c r="N875" s="10">
        <v>1736</v>
      </c>
      <c r="O875" s="10">
        <v>1.1200000000000001</v>
      </c>
      <c r="P875" s="10">
        <v>1952</v>
      </c>
      <c r="Q875" s="10">
        <v>191</v>
      </c>
      <c r="R875" s="10">
        <v>102</v>
      </c>
      <c r="S875" s="10">
        <v>45</v>
      </c>
      <c r="T875" s="10">
        <v>252</v>
      </c>
      <c r="U875" s="10">
        <v>17</v>
      </c>
      <c r="V875" s="10">
        <v>133</v>
      </c>
      <c r="W875" s="10">
        <v>0.372</v>
      </c>
      <c r="X875" s="10">
        <v>135</v>
      </c>
      <c r="Y875" s="10">
        <v>113</v>
      </c>
      <c r="Z875" s="10">
        <v>117</v>
      </c>
      <c r="AA875" s="10">
        <v>10</v>
      </c>
      <c r="AB875" s="10">
        <v>9.9</v>
      </c>
      <c r="AC875" s="9" t="s">
        <v>188</v>
      </c>
      <c r="AD875" s="9" t="s">
        <v>185</v>
      </c>
      <c r="AE875" s="10"/>
      <c r="AF875" s="10"/>
      <c r="AG875" s="10"/>
    </row>
    <row r="876" spans="1:33">
      <c r="A876" s="7" t="s">
        <v>155</v>
      </c>
      <c r="B876" s="8" t="s">
        <v>208</v>
      </c>
      <c r="C876" s="9" t="s">
        <v>422</v>
      </c>
      <c r="D876" s="10">
        <v>176</v>
      </c>
      <c r="E876" s="9" t="s">
        <v>158</v>
      </c>
      <c r="F876" s="10">
        <v>176</v>
      </c>
      <c r="G876" s="10">
        <v>175</v>
      </c>
      <c r="H876" s="10">
        <v>101</v>
      </c>
      <c r="I876" s="10">
        <v>143</v>
      </c>
      <c r="J876" s="10">
        <v>142</v>
      </c>
      <c r="K876" s="10">
        <v>106</v>
      </c>
      <c r="L876" s="10">
        <v>138</v>
      </c>
      <c r="M876" s="10">
        <v>14.9</v>
      </c>
      <c r="N876" s="10">
        <v>1738</v>
      </c>
      <c r="O876" s="10">
        <v>1.1599999999999999</v>
      </c>
      <c r="P876" s="10">
        <v>2020</v>
      </c>
      <c r="Q876" s="10">
        <v>135</v>
      </c>
      <c r="R876" s="10">
        <v>69</v>
      </c>
      <c r="S876" s="10">
        <v>47</v>
      </c>
      <c r="T876" s="10">
        <v>397</v>
      </c>
      <c r="U876" s="10">
        <v>47</v>
      </c>
      <c r="V876" s="10">
        <v>347</v>
      </c>
      <c r="W876" s="10">
        <v>1.004</v>
      </c>
      <c r="X876" s="10">
        <v>159</v>
      </c>
      <c r="Y876" s="10">
        <v>161</v>
      </c>
      <c r="Z876" s="10">
        <v>238</v>
      </c>
      <c r="AA876" s="10">
        <v>3</v>
      </c>
      <c r="AB876" s="10">
        <v>2.2999999999999998</v>
      </c>
      <c r="AC876" s="9" t="s">
        <v>184</v>
      </c>
      <c r="AD876" s="9" t="s">
        <v>169</v>
      </c>
      <c r="AE876" s="9" t="s">
        <v>185</v>
      </c>
      <c r="AF876" s="10"/>
      <c r="AG876" s="10"/>
    </row>
    <row r="877" spans="1:33">
      <c r="A877" s="7" t="s">
        <v>155</v>
      </c>
      <c r="B877" s="8" t="s">
        <v>208</v>
      </c>
      <c r="C877" s="9" t="s">
        <v>422</v>
      </c>
      <c r="D877" s="10">
        <v>184</v>
      </c>
      <c r="E877" s="9" t="s">
        <v>158</v>
      </c>
      <c r="F877" s="10">
        <v>184</v>
      </c>
      <c r="G877" s="10">
        <v>183.2</v>
      </c>
      <c r="H877" s="10">
        <v>134</v>
      </c>
      <c r="I877" s="10">
        <v>150</v>
      </c>
      <c r="J877" s="10">
        <v>142</v>
      </c>
      <c r="K877" s="10">
        <v>106</v>
      </c>
      <c r="L877" s="10">
        <v>138</v>
      </c>
      <c r="M877" s="10">
        <v>16.600000000000001</v>
      </c>
      <c r="N877" s="10">
        <v>1801</v>
      </c>
      <c r="O877" s="10">
        <v>1.17</v>
      </c>
      <c r="P877" s="10">
        <v>2110</v>
      </c>
      <c r="Q877" s="10">
        <v>155</v>
      </c>
      <c r="R877" s="10">
        <v>85</v>
      </c>
      <c r="S877" s="10">
        <v>40</v>
      </c>
      <c r="T877" s="10">
        <v>303</v>
      </c>
      <c r="U877" s="10">
        <v>41</v>
      </c>
      <c r="V877" s="10">
        <v>191</v>
      </c>
      <c r="W877" s="10">
        <v>1.0249999999999999</v>
      </c>
      <c r="X877" s="10">
        <v>160</v>
      </c>
      <c r="Y877" s="10">
        <v>176</v>
      </c>
      <c r="Z877" s="10">
        <v>143</v>
      </c>
      <c r="AA877" s="10">
        <v>7</v>
      </c>
      <c r="AB877" s="10">
        <v>2.4</v>
      </c>
      <c r="AC877" s="9" t="s">
        <v>184</v>
      </c>
      <c r="AD877" s="9" t="s">
        <v>169</v>
      </c>
      <c r="AE877" s="9" t="s">
        <v>185</v>
      </c>
      <c r="AF877" s="10"/>
      <c r="AG877" s="10"/>
    </row>
    <row r="878" spans="1:33">
      <c r="A878" s="7" t="s">
        <v>155</v>
      </c>
      <c r="B878" s="8" t="s">
        <v>208</v>
      </c>
      <c r="C878" s="9" t="s">
        <v>422</v>
      </c>
      <c r="D878" s="10">
        <v>190</v>
      </c>
      <c r="E878" s="9" t="s">
        <v>158</v>
      </c>
      <c r="F878" s="10">
        <v>190</v>
      </c>
      <c r="G878" s="10">
        <v>188.8</v>
      </c>
      <c r="H878" s="10">
        <v>135</v>
      </c>
      <c r="I878" s="10">
        <v>157</v>
      </c>
      <c r="J878" s="10">
        <v>142</v>
      </c>
      <c r="K878" s="10">
        <v>106</v>
      </c>
      <c r="L878" s="10">
        <v>138</v>
      </c>
      <c r="M878" s="10">
        <v>17.8</v>
      </c>
      <c r="N878" s="10">
        <v>1910</v>
      </c>
      <c r="O878" s="10">
        <v>1.1499999999999999</v>
      </c>
      <c r="P878" s="10">
        <v>2188</v>
      </c>
      <c r="Q878" s="10">
        <v>177</v>
      </c>
      <c r="R878" s="10">
        <v>95</v>
      </c>
      <c r="S878" s="10">
        <v>44</v>
      </c>
      <c r="T878" s="10">
        <v>346</v>
      </c>
      <c r="U878" s="10">
        <v>44</v>
      </c>
      <c r="V878" s="10">
        <v>190</v>
      </c>
      <c r="W878" s="10">
        <v>1.004</v>
      </c>
      <c r="X878" s="10">
        <v>157</v>
      </c>
      <c r="Y878" s="10">
        <v>163</v>
      </c>
      <c r="Z878" s="10">
        <v>189</v>
      </c>
      <c r="AA878" s="10">
        <v>6</v>
      </c>
      <c r="AB878" s="10">
        <v>4.0999999999999996</v>
      </c>
      <c r="AC878" s="9" t="s">
        <v>184</v>
      </c>
      <c r="AD878" s="9" t="s">
        <v>169</v>
      </c>
      <c r="AE878" s="9" t="s">
        <v>185</v>
      </c>
      <c r="AF878" s="10"/>
      <c r="AG878" s="10"/>
    </row>
    <row r="879" spans="1:33">
      <c r="A879" s="7" t="s">
        <v>155</v>
      </c>
      <c r="B879" s="8" t="s">
        <v>208</v>
      </c>
      <c r="C879" s="9" t="s">
        <v>384</v>
      </c>
      <c r="D879" s="10">
        <v>155</v>
      </c>
      <c r="E879" s="9" t="s">
        <v>385</v>
      </c>
      <c r="F879" s="10">
        <v>155</v>
      </c>
      <c r="G879" s="10">
        <v>152.30000000000001</v>
      </c>
      <c r="H879" s="10">
        <v>76</v>
      </c>
      <c r="I879" s="10">
        <v>119</v>
      </c>
      <c r="J879" s="10">
        <v>132</v>
      </c>
      <c r="K879" s="10">
        <v>106</v>
      </c>
      <c r="L879" s="10">
        <v>129</v>
      </c>
      <c r="M879" s="10">
        <v>13.2</v>
      </c>
      <c r="N879" s="10">
        <v>1682</v>
      </c>
      <c r="O879" s="10">
        <v>1.05</v>
      </c>
      <c r="P879" s="10">
        <v>1761</v>
      </c>
      <c r="Q879" s="10">
        <v>177</v>
      </c>
      <c r="R879" s="10">
        <v>87</v>
      </c>
      <c r="S879" s="10">
        <v>52</v>
      </c>
      <c r="T879" s="10">
        <v>366</v>
      </c>
      <c r="U879" s="10">
        <v>50</v>
      </c>
      <c r="V879" s="10">
        <v>400</v>
      </c>
      <c r="W879" s="10">
        <v>0.95699999999999996</v>
      </c>
      <c r="X879" s="10">
        <v>179</v>
      </c>
      <c r="Y879" s="10">
        <v>158</v>
      </c>
      <c r="Z879" s="10">
        <v>186</v>
      </c>
      <c r="AA879" s="10">
        <v>1</v>
      </c>
      <c r="AB879" s="10">
        <v>3.5</v>
      </c>
      <c r="AC879" s="9" t="s">
        <v>184</v>
      </c>
      <c r="AD879" s="9" t="s">
        <v>169</v>
      </c>
      <c r="AE879" s="10"/>
      <c r="AF879" s="10"/>
      <c r="AG879" s="10"/>
    </row>
    <row r="880" spans="1:33">
      <c r="A880" s="7" t="s">
        <v>155</v>
      </c>
      <c r="B880" s="8" t="s">
        <v>208</v>
      </c>
      <c r="C880" s="9" t="s">
        <v>530</v>
      </c>
      <c r="D880" s="10">
        <v>157</v>
      </c>
      <c r="E880" s="9" t="s">
        <v>158</v>
      </c>
      <c r="F880" s="10">
        <v>157</v>
      </c>
      <c r="G880" s="10">
        <v>157.4</v>
      </c>
      <c r="H880" s="10">
        <v>112</v>
      </c>
      <c r="I880" s="10">
        <v>131</v>
      </c>
      <c r="J880" s="10">
        <v>117</v>
      </c>
      <c r="K880" s="10">
        <v>89</v>
      </c>
      <c r="L880" s="10">
        <v>116</v>
      </c>
      <c r="M880" s="10">
        <v>14.6</v>
      </c>
      <c r="N880" s="10">
        <v>1435</v>
      </c>
      <c r="O880" s="10">
        <v>1.0900000000000001</v>
      </c>
      <c r="P880" s="10">
        <v>1562</v>
      </c>
      <c r="Q880" s="10">
        <v>124</v>
      </c>
      <c r="R880" s="10">
        <v>66</v>
      </c>
      <c r="S880" s="10">
        <v>36</v>
      </c>
      <c r="T880" s="10">
        <v>201</v>
      </c>
      <c r="U880" s="10">
        <v>39</v>
      </c>
      <c r="V880" s="10">
        <v>254</v>
      </c>
      <c r="W880" s="10">
        <v>1.095</v>
      </c>
      <c r="X880" s="10">
        <v>123</v>
      </c>
      <c r="Y880" s="10">
        <v>141</v>
      </c>
      <c r="Z880" s="10">
        <v>78</v>
      </c>
      <c r="AA880" s="10">
        <v>5</v>
      </c>
      <c r="AB880" s="10">
        <v>1.9</v>
      </c>
      <c r="AC880" s="9" t="s">
        <v>184</v>
      </c>
      <c r="AD880" s="9" t="s">
        <v>185</v>
      </c>
      <c r="AE880" s="10"/>
      <c r="AF880" s="10"/>
      <c r="AG880" s="10"/>
    </row>
    <row r="881" spans="1:33">
      <c r="A881" s="7" t="s">
        <v>155</v>
      </c>
      <c r="B881" s="8" t="s">
        <v>208</v>
      </c>
      <c r="C881" s="9" t="s">
        <v>530</v>
      </c>
      <c r="D881" s="10">
        <v>164</v>
      </c>
      <c r="E881" s="9" t="s">
        <v>158</v>
      </c>
      <c r="F881" s="10">
        <v>164</v>
      </c>
      <c r="G881" s="10">
        <v>164.1</v>
      </c>
      <c r="H881" s="10">
        <v>118</v>
      </c>
      <c r="I881" s="10">
        <v>138</v>
      </c>
      <c r="J881" s="10">
        <v>117</v>
      </c>
      <c r="K881" s="10">
        <v>89</v>
      </c>
      <c r="L881" s="10">
        <v>116</v>
      </c>
      <c r="M881" s="10">
        <v>16.3</v>
      </c>
      <c r="N881" s="10">
        <v>1518</v>
      </c>
      <c r="O881" s="10">
        <v>1.07</v>
      </c>
      <c r="P881" s="10">
        <v>1627</v>
      </c>
      <c r="Q881" s="10">
        <v>163</v>
      </c>
      <c r="R881" s="10">
        <v>72</v>
      </c>
      <c r="S881" s="10">
        <v>38</v>
      </c>
      <c r="T881" s="10">
        <v>229</v>
      </c>
      <c r="U881" s="10">
        <v>37</v>
      </c>
      <c r="V881" s="10">
        <v>234</v>
      </c>
      <c r="W881" s="10">
        <v>0.98599999999999999</v>
      </c>
      <c r="X881" s="10">
        <v>123</v>
      </c>
      <c r="Y881" s="10">
        <v>134</v>
      </c>
      <c r="Z881" s="10">
        <v>106</v>
      </c>
      <c r="AA881" s="10">
        <v>5</v>
      </c>
      <c r="AB881" s="10">
        <v>2.4</v>
      </c>
      <c r="AC881" s="9" t="s">
        <v>184</v>
      </c>
      <c r="AD881" s="9" t="s">
        <v>185</v>
      </c>
      <c r="AE881" s="10"/>
      <c r="AF881" s="10"/>
      <c r="AG881" s="10"/>
    </row>
    <row r="882" spans="1:33">
      <c r="A882" s="7" t="s">
        <v>155</v>
      </c>
      <c r="B882" s="8" t="s">
        <v>208</v>
      </c>
      <c r="C882" s="9" t="s">
        <v>530</v>
      </c>
      <c r="D882" s="10">
        <v>171</v>
      </c>
      <c r="E882" s="9" t="s">
        <v>158</v>
      </c>
      <c r="F882" s="10">
        <v>171</v>
      </c>
      <c r="G882" s="10">
        <v>171.1</v>
      </c>
      <c r="H882" s="10">
        <v>126</v>
      </c>
      <c r="I882" s="10">
        <v>144</v>
      </c>
      <c r="J882" s="10">
        <v>116</v>
      </c>
      <c r="K882" s="10">
        <v>89</v>
      </c>
      <c r="L882" s="10">
        <v>116</v>
      </c>
      <c r="M882" s="10">
        <v>18.399999999999999</v>
      </c>
      <c r="N882" s="10">
        <v>1633</v>
      </c>
      <c r="O882" s="10">
        <v>1.04</v>
      </c>
      <c r="P882" s="10">
        <v>1696</v>
      </c>
      <c r="Q882" s="10">
        <v>153</v>
      </c>
      <c r="R882" s="10">
        <v>81</v>
      </c>
      <c r="S882" s="10">
        <v>46</v>
      </c>
      <c r="T882" s="10">
        <v>225</v>
      </c>
      <c r="U882" s="10">
        <v>41</v>
      </c>
      <c r="V882" s="10">
        <v>222</v>
      </c>
      <c r="W882" s="10">
        <v>0.89500000000000002</v>
      </c>
      <c r="X882" s="10">
        <v>130</v>
      </c>
      <c r="Y882" s="10">
        <v>145</v>
      </c>
      <c r="Z882" s="10">
        <v>95</v>
      </c>
      <c r="AA882" s="10">
        <v>7</v>
      </c>
      <c r="AB882" s="10">
        <v>1.8</v>
      </c>
      <c r="AC882" s="9" t="s">
        <v>184</v>
      </c>
      <c r="AD882" s="10"/>
      <c r="AE882" s="10"/>
      <c r="AF882" s="10"/>
      <c r="AG882" s="10"/>
    </row>
    <row r="883" spans="1:33">
      <c r="A883" s="7" t="s">
        <v>155</v>
      </c>
      <c r="B883" s="8" t="s">
        <v>208</v>
      </c>
      <c r="C883" s="9" t="s">
        <v>530</v>
      </c>
      <c r="D883" s="10">
        <v>178</v>
      </c>
      <c r="E883" s="9" t="s">
        <v>158</v>
      </c>
      <c r="F883" s="10">
        <v>178</v>
      </c>
      <c r="G883" s="10">
        <v>177.7</v>
      </c>
      <c r="H883" s="10">
        <v>131</v>
      </c>
      <c r="I883" s="10">
        <v>151</v>
      </c>
      <c r="J883" s="10">
        <v>117</v>
      </c>
      <c r="K883" s="10">
        <v>89</v>
      </c>
      <c r="L883" s="10">
        <v>116</v>
      </c>
      <c r="M883" s="10">
        <v>19.899999999999999</v>
      </c>
      <c r="N883" s="10">
        <v>1752</v>
      </c>
      <c r="O883" s="10">
        <v>1.01</v>
      </c>
      <c r="P883" s="10">
        <v>1763</v>
      </c>
      <c r="Q883" s="10">
        <v>200</v>
      </c>
      <c r="R883" s="10">
        <v>91</v>
      </c>
      <c r="S883" s="10">
        <v>42</v>
      </c>
      <c r="T883" s="10">
        <v>235</v>
      </c>
      <c r="U883" s="10">
        <v>44</v>
      </c>
      <c r="V883" s="10">
        <v>228</v>
      </c>
      <c r="W883" s="10">
        <v>1.0309999999999999</v>
      </c>
      <c r="X883" s="10">
        <v>125</v>
      </c>
      <c r="Y883" s="10">
        <v>139</v>
      </c>
      <c r="Z883" s="10">
        <v>110</v>
      </c>
      <c r="AA883" s="10">
        <v>8</v>
      </c>
      <c r="AB883" s="10">
        <v>2.4</v>
      </c>
      <c r="AC883" s="9" t="s">
        <v>184</v>
      </c>
      <c r="AD883" s="10"/>
      <c r="AE883" s="10"/>
      <c r="AF883" s="10"/>
      <c r="AG883" s="10"/>
    </row>
    <row r="884" spans="1:33">
      <c r="A884" s="7" t="s">
        <v>155</v>
      </c>
      <c r="B884" s="8" t="s">
        <v>208</v>
      </c>
      <c r="C884" s="9" t="s">
        <v>338</v>
      </c>
      <c r="D884" s="10">
        <v>175</v>
      </c>
      <c r="E884" s="9" t="s">
        <v>158</v>
      </c>
      <c r="F884" s="10">
        <v>175</v>
      </c>
      <c r="G884" s="10">
        <v>174.6</v>
      </c>
      <c r="H884" s="10">
        <v>91</v>
      </c>
      <c r="I884" s="10">
        <v>141</v>
      </c>
      <c r="J884" s="10">
        <v>141</v>
      </c>
      <c r="K884" s="10">
        <v>107</v>
      </c>
      <c r="L884" s="10">
        <v>127</v>
      </c>
      <c r="M884" s="10">
        <v>17.3</v>
      </c>
      <c r="N884" s="10">
        <v>1517</v>
      </c>
      <c r="O884" s="10">
        <v>1.35</v>
      </c>
      <c r="P884" s="10">
        <v>2043</v>
      </c>
      <c r="Q884" s="10">
        <v>188</v>
      </c>
      <c r="R884" s="10">
        <v>81</v>
      </c>
      <c r="S884" s="10">
        <v>52</v>
      </c>
      <c r="T884" s="10">
        <v>460</v>
      </c>
      <c r="U884" s="10">
        <v>34</v>
      </c>
      <c r="V884" s="10">
        <v>378</v>
      </c>
      <c r="W884" s="10">
        <v>0.65400000000000003</v>
      </c>
      <c r="X884" s="10">
        <v>173</v>
      </c>
      <c r="Y884" s="10">
        <v>168</v>
      </c>
      <c r="Z884" s="10">
        <v>287</v>
      </c>
      <c r="AA884" s="10">
        <v>2</v>
      </c>
      <c r="AB884" s="10">
        <v>6.4</v>
      </c>
      <c r="AC884" s="9" t="s">
        <v>169</v>
      </c>
      <c r="AD884" s="9" t="s">
        <v>185</v>
      </c>
      <c r="AE884" s="9" t="s">
        <v>198</v>
      </c>
      <c r="AF884" s="10"/>
      <c r="AG884" s="10"/>
    </row>
    <row r="885" spans="1:33">
      <c r="A885" s="7" t="s">
        <v>155</v>
      </c>
      <c r="B885" s="8" t="s">
        <v>208</v>
      </c>
      <c r="C885" s="9" t="s">
        <v>338</v>
      </c>
      <c r="D885" s="10">
        <v>183</v>
      </c>
      <c r="E885" s="9" t="s">
        <v>158</v>
      </c>
      <c r="F885" s="10">
        <v>183</v>
      </c>
      <c r="G885" s="10">
        <v>181.7</v>
      </c>
      <c r="H885" s="10">
        <v>97</v>
      </c>
      <c r="I885" s="10">
        <v>148</v>
      </c>
      <c r="J885" s="10">
        <v>141</v>
      </c>
      <c r="K885" s="10">
        <v>107</v>
      </c>
      <c r="L885" s="10">
        <v>127</v>
      </c>
      <c r="M885" s="10">
        <v>19</v>
      </c>
      <c r="N885" s="10">
        <v>1627</v>
      </c>
      <c r="O885" s="10">
        <v>1.31</v>
      </c>
      <c r="P885" s="10">
        <v>2125</v>
      </c>
      <c r="Q885" s="10">
        <v>186</v>
      </c>
      <c r="R885" s="10">
        <v>92</v>
      </c>
      <c r="S885" s="10">
        <v>55</v>
      </c>
      <c r="T885" s="10">
        <v>465</v>
      </c>
      <c r="U885" s="10">
        <v>35</v>
      </c>
      <c r="V885" s="10">
        <v>380</v>
      </c>
      <c r="W885" s="10">
        <v>0.64300000000000002</v>
      </c>
      <c r="X885" s="10">
        <v>164</v>
      </c>
      <c r="Y885" s="10">
        <v>173</v>
      </c>
      <c r="Z885" s="10">
        <v>302</v>
      </c>
      <c r="AA885" s="10">
        <v>3</v>
      </c>
      <c r="AB885" s="10">
        <v>6.8</v>
      </c>
      <c r="AC885" s="9" t="s">
        <v>169</v>
      </c>
      <c r="AD885" s="9" t="s">
        <v>185</v>
      </c>
      <c r="AE885" s="9" t="s">
        <v>198</v>
      </c>
      <c r="AF885" s="10"/>
      <c r="AG885" s="10"/>
    </row>
    <row r="886" spans="1:33">
      <c r="A886" s="7" t="s">
        <v>155</v>
      </c>
      <c r="B886" s="8" t="s">
        <v>208</v>
      </c>
      <c r="C886" s="9" t="s">
        <v>414</v>
      </c>
      <c r="D886" s="10">
        <v>175</v>
      </c>
      <c r="E886" s="9" t="s">
        <v>158</v>
      </c>
      <c r="F886" s="10">
        <v>175</v>
      </c>
      <c r="G886" s="10">
        <v>175.3</v>
      </c>
      <c r="H886" s="10">
        <v>85</v>
      </c>
      <c r="I886" s="10">
        <v>140</v>
      </c>
      <c r="J886" s="10">
        <v>151</v>
      </c>
      <c r="K886" s="10">
        <v>117</v>
      </c>
      <c r="L886" s="10">
        <v>137</v>
      </c>
      <c r="M886" s="10">
        <v>17.2</v>
      </c>
      <c r="N886" s="10">
        <v>1758</v>
      </c>
      <c r="O886" s="10">
        <v>1.26</v>
      </c>
      <c r="P886" s="10">
        <v>2223</v>
      </c>
      <c r="Q886" s="10">
        <v>175</v>
      </c>
      <c r="R886" s="10">
        <v>92</v>
      </c>
      <c r="S886" s="10">
        <v>52</v>
      </c>
      <c r="T886" s="10">
        <v>495</v>
      </c>
      <c r="U886" s="10">
        <v>34</v>
      </c>
      <c r="V886" s="10">
        <v>411</v>
      </c>
      <c r="W886" s="10">
        <v>0.63900000000000001</v>
      </c>
      <c r="X886" s="10">
        <v>180</v>
      </c>
      <c r="Y886" s="10">
        <v>177</v>
      </c>
      <c r="Z886" s="10">
        <v>315</v>
      </c>
      <c r="AA886" s="10">
        <v>3</v>
      </c>
      <c r="AB886" s="10">
        <v>6.7</v>
      </c>
      <c r="AC886" s="9" t="s">
        <v>169</v>
      </c>
      <c r="AD886" s="9" t="s">
        <v>185</v>
      </c>
      <c r="AE886" s="9" t="s">
        <v>198</v>
      </c>
      <c r="AF886" s="10"/>
      <c r="AG886" s="10"/>
    </row>
    <row r="887" spans="1:33">
      <c r="A887" s="7" t="s">
        <v>155</v>
      </c>
      <c r="B887" s="8" t="s">
        <v>208</v>
      </c>
      <c r="C887" s="9" t="s">
        <v>414</v>
      </c>
      <c r="D887" s="10">
        <v>183</v>
      </c>
      <c r="E887" s="9" t="s">
        <v>158</v>
      </c>
      <c r="F887" s="10">
        <v>183</v>
      </c>
      <c r="G887" s="10">
        <v>182.6</v>
      </c>
      <c r="H887" s="10">
        <v>102</v>
      </c>
      <c r="I887" s="10">
        <v>147</v>
      </c>
      <c r="J887" s="10">
        <v>151</v>
      </c>
      <c r="K887" s="10">
        <v>117</v>
      </c>
      <c r="L887" s="10">
        <v>137</v>
      </c>
      <c r="M887" s="10">
        <v>19.100000000000001</v>
      </c>
      <c r="N887" s="10">
        <v>1854</v>
      </c>
      <c r="O887" s="10">
        <v>1.25</v>
      </c>
      <c r="P887" s="10">
        <v>2318</v>
      </c>
      <c r="Q887" s="10">
        <v>210</v>
      </c>
      <c r="R887" s="10">
        <v>102</v>
      </c>
      <c r="S887" s="10">
        <v>56</v>
      </c>
      <c r="T887" s="10">
        <v>430</v>
      </c>
      <c r="U887" s="10">
        <v>37</v>
      </c>
      <c r="V887" s="10">
        <v>376</v>
      </c>
      <c r="W887" s="10">
        <v>0.65700000000000003</v>
      </c>
      <c r="X887" s="10">
        <v>177</v>
      </c>
      <c r="Y887" s="10">
        <v>179</v>
      </c>
      <c r="Z887" s="10">
        <v>252</v>
      </c>
      <c r="AA887" s="10">
        <v>3</v>
      </c>
      <c r="AB887" s="10">
        <v>6.1</v>
      </c>
      <c r="AC887" s="9" t="s">
        <v>169</v>
      </c>
      <c r="AD887" s="9" t="s">
        <v>185</v>
      </c>
      <c r="AE887" s="9" t="s">
        <v>198</v>
      </c>
      <c r="AF887" s="10"/>
      <c r="AG887" s="10"/>
    </row>
    <row r="888" spans="1:33">
      <c r="A888" s="7" t="s">
        <v>155</v>
      </c>
      <c r="B888" s="8" t="s">
        <v>208</v>
      </c>
      <c r="C888" s="9" t="s">
        <v>414</v>
      </c>
      <c r="D888" s="10">
        <v>189</v>
      </c>
      <c r="E888" s="9" t="s">
        <v>158</v>
      </c>
      <c r="F888" s="10">
        <v>189</v>
      </c>
      <c r="G888" s="10">
        <v>188.4</v>
      </c>
      <c r="H888" s="10">
        <v>114</v>
      </c>
      <c r="I888" s="10">
        <v>153</v>
      </c>
      <c r="J888" s="10">
        <v>151</v>
      </c>
      <c r="K888" s="10">
        <v>117</v>
      </c>
      <c r="L888" s="10">
        <v>137</v>
      </c>
      <c r="M888" s="10">
        <v>20.5</v>
      </c>
      <c r="N888" s="10">
        <v>1974</v>
      </c>
      <c r="O888" s="10">
        <v>1.21</v>
      </c>
      <c r="P888" s="10">
        <v>2392</v>
      </c>
      <c r="Q888" s="10">
        <v>247</v>
      </c>
      <c r="R888" s="10">
        <v>112</v>
      </c>
      <c r="S888" s="10">
        <v>52</v>
      </c>
      <c r="T888" s="10">
        <v>384</v>
      </c>
      <c r="U888" s="10">
        <v>33</v>
      </c>
      <c r="V888" s="10">
        <v>362</v>
      </c>
      <c r="W888" s="10">
        <v>0.63900000000000001</v>
      </c>
      <c r="X888" s="10">
        <v>172</v>
      </c>
      <c r="Y888" s="10">
        <v>181</v>
      </c>
      <c r="Z888" s="10">
        <v>212</v>
      </c>
      <c r="AA888" s="10">
        <v>3</v>
      </c>
      <c r="AB888" s="10">
        <v>7.4</v>
      </c>
      <c r="AC888" s="9" t="s">
        <v>169</v>
      </c>
      <c r="AD888" s="9" t="s">
        <v>185</v>
      </c>
      <c r="AE888" s="10"/>
      <c r="AF888" s="10"/>
      <c r="AG888" s="10"/>
    </row>
    <row r="889" spans="1:33">
      <c r="A889" s="7" t="s">
        <v>155</v>
      </c>
      <c r="B889" s="8" t="s">
        <v>208</v>
      </c>
      <c r="C889" s="9" t="s">
        <v>209</v>
      </c>
      <c r="D889" s="10">
        <v>172</v>
      </c>
      <c r="E889" s="9" t="s">
        <v>158</v>
      </c>
      <c r="F889" s="10">
        <v>172</v>
      </c>
      <c r="G889" s="10">
        <v>171.9</v>
      </c>
      <c r="H889" s="10">
        <v>111</v>
      </c>
      <c r="I889" s="10">
        <v>138</v>
      </c>
      <c r="J889" s="10">
        <v>130</v>
      </c>
      <c r="K889" s="10">
        <v>97</v>
      </c>
      <c r="L889" s="10">
        <v>117</v>
      </c>
      <c r="M889" s="10">
        <v>16.5</v>
      </c>
      <c r="N889" s="10">
        <v>1347</v>
      </c>
      <c r="O889" s="10">
        <v>1.37</v>
      </c>
      <c r="P889" s="10">
        <v>1840</v>
      </c>
      <c r="Q889" s="10">
        <v>156</v>
      </c>
      <c r="R889" s="10">
        <v>64</v>
      </c>
      <c r="S889" s="10">
        <v>51</v>
      </c>
      <c r="T889" s="10">
        <v>333</v>
      </c>
      <c r="U889" s="10">
        <v>33</v>
      </c>
      <c r="V889" s="10">
        <v>280</v>
      </c>
      <c r="W889" s="10">
        <v>0.65</v>
      </c>
      <c r="X889" s="10">
        <v>167</v>
      </c>
      <c r="Y889" s="10">
        <v>173</v>
      </c>
      <c r="Z889" s="10">
        <v>166</v>
      </c>
      <c r="AA889" s="10">
        <v>4</v>
      </c>
      <c r="AB889" s="10">
        <v>6.3</v>
      </c>
      <c r="AC889" s="9" t="s">
        <v>185</v>
      </c>
      <c r="AD889" s="9" t="s">
        <v>198</v>
      </c>
      <c r="AE889" s="10"/>
      <c r="AF889" s="10"/>
      <c r="AG889" s="10"/>
    </row>
    <row r="890" spans="1:33">
      <c r="A890" s="7" t="s">
        <v>155</v>
      </c>
      <c r="B890" s="8" t="s">
        <v>208</v>
      </c>
      <c r="C890" s="9" t="s">
        <v>209</v>
      </c>
      <c r="D890" s="10">
        <v>179</v>
      </c>
      <c r="E890" s="9" t="s">
        <v>158</v>
      </c>
      <c r="F890" s="10">
        <v>179</v>
      </c>
      <c r="G890" s="10">
        <v>178.3</v>
      </c>
      <c r="H890" s="10">
        <v>117</v>
      </c>
      <c r="I890" s="10">
        <v>145</v>
      </c>
      <c r="J890" s="10">
        <v>130</v>
      </c>
      <c r="K890" s="10">
        <v>97</v>
      </c>
      <c r="L890" s="10">
        <v>117</v>
      </c>
      <c r="M890" s="10">
        <v>18.100000000000001</v>
      </c>
      <c r="N890" s="10">
        <v>1452</v>
      </c>
      <c r="O890" s="10">
        <v>1.32</v>
      </c>
      <c r="P890" s="10">
        <v>1910</v>
      </c>
      <c r="Q890" s="10">
        <v>192</v>
      </c>
      <c r="R890" s="10">
        <v>80</v>
      </c>
      <c r="S890" s="10">
        <v>52</v>
      </c>
      <c r="T890" s="10">
        <v>341</v>
      </c>
      <c r="U890" s="10">
        <v>32</v>
      </c>
      <c r="V890" s="10">
        <v>271</v>
      </c>
      <c r="W890" s="10">
        <v>0.61899999999999999</v>
      </c>
      <c r="X890" s="10">
        <v>165</v>
      </c>
      <c r="Y890" s="10">
        <v>171</v>
      </c>
      <c r="Z890" s="10">
        <v>176</v>
      </c>
      <c r="AA890" s="10">
        <v>5</v>
      </c>
      <c r="AB890" s="10">
        <v>6.3</v>
      </c>
      <c r="AC890" s="9" t="s">
        <v>185</v>
      </c>
      <c r="AD890" s="9" t="s">
        <v>198</v>
      </c>
      <c r="AE890" s="10"/>
      <c r="AF890" s="10"/>
      <c r="AG890" s="10"/>
    </row>
    <row r="891" spans="1:33">
      <c r="A891" s="7" t="s">
        <v>155</v>
      </c>
      <c r="B891" s="8" t="s">
        <v>208</v>
      </c>
      <c r="C891" s="9" t="s">
        <v>209</v>
      </c>
      <c r="D891" s="10">
        <v>186</v>
      </c>
      <c r="E891" s="9" t="s">
        <v>158</v>
      </c>
      <c r="F891" s="10">
        <v>186</v>
      </c>
      <c r="G891" s="10">
        <v>185.2</v>
      </c>
      <c r="H891" s="10">
        <v>112</v>
      </c>
      <c r="I891" s="10">
        <v>151</v>
      </c>
      <c r="J891" s="10">
        <v>130</v>
      </c>
      <c r="K891" s="10">
        <v>97</v>
      </c>
      <c r="L891" s="10">
        <v>117</v>
      </c>
      <c r="M891" s="10">
        <v>19.8</v>
      </c>
      <c r="N891" s="10">
        <v>1531</v>
      </c>
      <c r="O891" s="10">
        <v>1.29</v>
      </c>
      <c r="P891" s="10">
        <v>1982</v>
      </c>
      <c r="Q891" s="10">
        <v>202</v>
      </c>
      <c r="R891" s="10">
        <v>88</v>
      </c>
      <c r="S891" s="10">
        <v>52</v>
      </c>
      <c r="T891" s="10">
        <v>383</v>
      </c>
      <c r="U891" s="10">
        <v>35</v>
      </c>
      <c r="V891" s="10">
        <v>349</v>
      </c>
      <c r="W891" s="10">
        <v>0.66500000000000004</v>
      </c>
      <c r="X891" s="10">
        <v>168</v>
      </c>
      <c r="Y891" s="10">
        <v>176</v>
      </c>
      <c r="Z891" s="10">
        <v>215</v>
      </c>
      <c r="AA891" s="10">
        <v>5</v>
      </c>
      <c r="AB891" s="10">
        <v>6.6</v>
      </c>
      <c r="AC891" s="9" t="s">
        <v>185</v>
      </c>
      <c r="AD891" s="9" t="s">
        <v>198</v>
      </c>
      <c r="AE891" s="10"/>
      <c r="AF891" s="10"/>
      <c r="AG891" s="10"/>
    </row>
    <row r="892" spans="1:33">
      <c r="A892" s="7" t="s">
        <v>155</v>
      </c>
      <c r="B892" s="8" t="s">
        <v>332</v>
      </c>
      <c r="C892" s="9" t="s">
        <v>828</v>
      </c>
      <c r="D892" s="10">
        <v>156</v>
      </c>
      <c r="E892" s="9" t="s">
        <v>163</v>
      </c>
      <c r="F892" s="10">
        <v>156</v>
      </c>
      <c r="G892" s="10">
        <v>155.6</v>
      </c>
      <c r="H892" s="10">
        <v>133</v>
      </c>
      <c r="I892" s="10">
        <v>140</v>
      </c>
      <c r="J892" s="10">
        <v>119</v>
      </c>
      <c r="K892" s="10">
        <v>71</v>
      </c>
      <c r="L892" s="10">
        <v>98</v>
      </c>
      <c r="M892" s="10">
        <v>12.7</v>
      </c>
      <c r="N892" s="10">
        <v>1661</v>
      </c>
      <c r="O892" s="10">
        <v>0.8</v>
      </c>
      <c r="P892" s="10">
        <v>1327</v>
      </c>
      <c r="Q892" s="10">
        <v>156</v>
      </c>
      <c r="R892" s="10">
        <v>53</v>
      </c>
      <c r="S892" s="10">
        <v>36</v>
      </c>
      <c r="T892" s="10">
        <v>144</v>
      </c>
      <c r="U892" s="10">
        <v>9</v>
      </c>
      <c r="V892" s="10">
        <v>86</v>
      </c>
      <c r="W892" s="10">
        <v>0.246</v>
      </c>
      <c r="X892" s="10">
        <v>65</v>
      </c>
      <c r="Y892" s="10">
        <v>86</v>
      </c>
      <c r="Z892" s="10">
        <v>79</v>
      </c>
      <c r="AA892" s="10">
        <v>9</v>
      </c>
      <c r="AB892" s="10">
        <v>9.3000000000000007</v>
      </c>
      <c r="AC892" s="9" t="s">
        <v>349</v>
      </c>
      <c r="AD892" s="10"/>
      <c r="AE892" s="10"/>
      <c r="AF892" s="10"/>
      <c r="AG892" s="10"/>
    </row>
    <row r="893" spans="1:33">
      <c r="A893" s="7" t="s">
        <v>155</v>
      </c>
      <c r="B893" s="8" t="s">
        <v>332</v>
      </c>
      <c r="C893" s="9" t="s">
        <v>828</v>
      </c>
      <c r="D893" s="10">
        <v>162</v>
      </c>
      <c r="E893" s="9" t="s">
        <v>163</v>
      </c>
      <c r="F893" s="10">
        <v>162</v>
      </c>
      <c r="G893" s="10">
        <v>161.30000000000001</v>
      </c>
      <c r="H893" s="10">
        <v>137</v>
      </c>
      <c r="I893" s="10">
        <v>146</v>
      </c>
      <c r="J893" s="10">
        <v>120</v>
      </c>
      <c r="K893" s="10">
        <v>71</v>
      </c>
      <c r="L893" s="10">
        <v>99</v>
      </c>
      <c r="M893" s="10">
        <v>13.5</v>
      </c>
      <c r="N893" s="10">
        <v>1813</v>
      </c>
      <c r="O893" s="10">
        <v>0.76</v>
      </c>
      <c r="P893" s="10">
        <v>1384</v>
      </c>
      <c r="Q893" s="10">
        <v>190</v>
      </c>
      <c r="R893" s="10">
        <v>63</v>
      </c>
      <c r="S893" s="10">
        <v>39</v>
      </c>
      <c r="T893" s="10">
        <v>164</v>
      </c>
      <c r="U893" s="10">
        <v>8</v>
      </c>
      <c r="V893" s="10">
        <v>84</v>
      </c>
      <c r="W893" s="10">
        <v>0.214</v>
      </c>
      <c r="X893" s="10">
        <v>64</v>
      </c>
      <c r="Y893" s="10">
        <v>86</v>
      </c>
      <c r="Z893" s="10">
        <v>99</v>
      </c>
      <c r="AA893" s="10">
        <v>8</v>
      </c>
      <c r="AB893" s="10">
        <v>9.1</v>
      </c>
      <c r="AC893" s="9" t="s">
        <v>349</v>
      </c>
      <c r="AD893" s="10"/>
      <c r="AE893" s="10"/>
      <c r="AF893" s="10"/>
      <c r="AG893" s="10"/>
    </row>
    <row r="894" spans="1:33">
      <c r="A894" s="7" t="s">
        <v>155</v>
      </c>
      <c r="B894" s="8" t="s">
        <v>332</v>
      </c>
      <c r="C894" s="9" t="s">
        <v>738</v>
      </c>
      <c r="D894" s="10">
        <v>144</v>
      </c>
      <c r="E894" s="9" t="s">
        <v>163</v>
      </c>
      <c r="F894" s="10">
        <v>144</v>
      </c>
      <c r="G894" s="10">
        <v>143.19999999999999</v>
      </c>
      <c r="H894" s="10">
        <v>119</v>
      </c>
      <c r="I894" s="10">
        <v>129</v>
      </c>
      <c r="J894" s="10">
        <v>119</v>
      </c>
      <c r="K894" s="10">
        <v>72</v>
      </c>
      <c r="L894" s="10">
        <v>96</v>
      </c>
      <c r="M894" s="10">
        <v>11.7</v>
      </c>
      <c r="N894" s="10">
        <v>1520</v>
      </c>
      <c r="O894" s="10">
        <v>0.8</v>
      </c>
      <c r="P894" s="10">
        <v>1224</v>
      </c>
      <c r="Q894" s="10">
        <v>131</v>
      </c>
      <c r="R894" s="10">
        <v>54</v>
      </c>
      <c r="S894" s="10">
        <v>38</v>
      </c>
      <c r="T894" s="10">
        <v>147</v>
      </c>
      <c r="U894" s="10">
        <v>9</v>
      </c>
      <c r="V894" s="10">
        <v>91</v>
      </c>
      <c r="W894" s="10">
        <v>0.248</v>
      </c>
      <c r="X894" s="10">
        <v>66</v>
      </c>
      <c r="Y894" s="10">
        <v>79</v>
      </c>
      <c r="Z894" s="10">
        <v>81</v>
      </c>
      <c r="AA894" s="10">
        <v>7</v>
      </c>
      <c r="AB894" s="10">
        <v>9.3000000000000007</v>
      </c>
      <c r="AC894" s="9" t="s">
        <v>231</v>
      </c>
      <c r="AD894" s="10"/>
      <c r="AE894" s="10"/>
      <c r="AF894" s="10"/>
      <c r="AG894" s="10"/>
    </row>
    <row r="895" spans="1:33">
      <c r="A895" s="7" t="s">
        <v>155</v>
      </c>
      <c r="B895" s="8" t="s">
        <v>332</v>
      </c>
      <c r="C895" s="9" t="s">
        <v>738</v>
      </c>
      <c r="D895" s="10">
        <v>150</v>
      </c>
      <c r="E895" s="9" t="s">
        <v>163</v>
      </c>
      <c r="F895" s="10">
        <v>150</v>
      </c>
      <c r="G895" s="10">
        <v>149.19999999999999</v>
      </c>
      <c r="H895" s="10">
        <v>127</v>
      </c>
      <c r="I895" s="10">
        <v>135</v>
      </c>
      <c r="J895" s="10">
        <v>121</v>
      </c>
      <c r="K895" s="10">
        <v>72</v>
      </c>
      <c r="L895" s="10">
        <v>98</v>
      </c>
      <c r="M895" s="10">
        <v>12.1</v>
      </c>
      <c r="N895" s="10">
        <v>1601</v>
      </c>
      <c r="O895" s="10">
        <v>0.8</v>
      </c>
      <c r="P895" s="10">
        <v>1287</v>
      </c>
      <c r="Q895" s="10">
        <v>141</v>
      </c>
      <c r="R895" s="10">
        <v>57</v>
      </c>
      <c r="S895" s="10">
        <v>36</v>
      </c>
      <c r="T895" s="10">
        <v>137</v>
      </c>
      <c r="U895" s="10">
        <v>9</v>
      </c>
      <c r="V895" s="10">
        <v>87</v>
      </c>
      <c r="W895" s="10">
        <v>0.255</v>
      </c>
      <c r="X895" s="10">
        <v>65</v>
      </c>
      <c r="Y895" s="10">
        <v>82</v>
      </c>
      <c r="Z895" s="10">
        <v>72</v>
      </c>
      <c r="AA895" s="10">
        <v>7</v>
      </c>
      <c r="AB895" s="10">
        <v>9.1999999999999993</v>
      </c>
      <c r="AC895" s="9" t="s">
        <v>349</v>
      </c>
      <c r="AD895" s="10"/>
      <c r="AE895" s="10"/>
      <c r="AF895" s="10"/>
      <c r="AG895" s="10"/>
    </row>
    <row r="896" spans="1:33">
      <c r="A896" s="7" t="s">
        <v>155</v>
      </c>
      <c r="B896" s="8" t="s">
        <v>332</v>
      </c>
      <c r="C896" s="9" t="s">
        <v>738</v>
      </c>
      <c r="D896" s="10">
        <v>156</v>
      </c>
      <c r="E896" s="9" t="s">
        <v>163</v>
      </c>
      <c r="F896" s="10">
        <v>156</v>
      </c>
      <c r="G896" s="10">
        <v>155.19999999999999</v>
      </c>
      <c r="H896" s="10">
        <v>130</v>
      </c>
      <c r="I896" s="10">
        <v>141</v>
      </c>
      <c r="J896" s="10">
        <v>122</v>
      </c>
      <c r="K896" s="10">
        <v>73</v>
      </c>
      <c r="L896" s="10">
        <v>99</v>
      </c>
      <c r="M896" s="10">
        <v>12.6</v>
      </c>
      <c r="N896" s="10">
        <v>1691</v>
      </c>
      <c r="O896" s="10">
        <v>0.8</v>
      </c>
      <c r="P896" s="10">
        <v>1346</v>
      </c>
      <c r="Q896" s="10">
        <v>164</v>
      </c>
      <c r="R896" s="10">
        <v>65</v>
      </c>
      <c r="S896" s="10">
        <v>38</v>
      </c>
      <c r="T896" s="10">
        <v>159</v>
      </c>
      <c r="U896" s="10">
        <v>10</v>
      </c>
      <c r="V896" s="10">
        <v>94</v>
      </c>
      <c r="W896" s="10">
        <v>0.26300000000000001</v>
      </c>
      <c r="X896" s="10">
        <v>64</v>
      </c>
      <c r="Y896" s="10">
        <v>82</v>
      </c>
      <c r="Z896" s="10">
        <v>95</v>
      </c>
      <c r="AA896" s="10">
        <v>5</v>
      </c>
      <c r="AB896" s="10">
        <v>9.1</v>
      </c>
      <c r="AC896" s="9" t="s">
        <v>160</v>
      </c>
      <c r="AD896" s="10"/>
      <c r="AE896" s="10"/>
      <c r="AF896" s="10"/>
      <c r="AG896" s="10"/>
    </row>
    <row r="897" spans="1:33">
      <c r="A897" s="7" t="s">
        <v>155</v>
      </c>
      <c r="B897" s="8" t="s">
        <v>332</v>
      </c>
      <c r="C897" s="9" t="s">
        <v>738</v>
      </c>
      <c r="D897" s="10">
        <v>162</v>
      </c>
      <c r="E897" s="9" t="s">
        <v>163</v>
      </c>
      <c r="F897" s="10">
        <v>162</v>
      </c>
      <c r="G897" s="10">
        <v>161.30000000000001</v>
      </c>
      <c r="H897" s="10">
        <v>138</v>
      </c>
      <c r="I897" s="10">
        <v>147</v>
      </c>
      <c r="J897" s="10">
        <v>123</v>
      </c>
      <c r="K897" s="10">
        <v>72</v>
      </c>
      <c r="L897" s="10">
        <v>100</v>
      </c>
      <c r="M897" s="10">
        <v>13.4</v>
      </c>
      <c r="N897" s="10">
        <v>1750</v>
      </c>
      <c r="O897" s="10">
        <v>0.8</v>
      </c>
      <c r="P897" s="10">
        <v>1404</v>
      </c>
      <c r="Q897" s="10">
        <v>191</v>
      </c>
      <c r="R897" s="10">
        <v>77</v>
      </c>
      <c r="S897" s="10">
        <v>37</v>
      </c>
      <c r="T897" s="10">
        <v>144</v>
      </c>
      <c r="U897" s="10">
        <v>9</v>
      </c>
      <c r="V897" s="10">
        <v>88</v>
      </c>
      <c r="W897" s="10">
        <v>0.251</v>
      </c>
      <c r="X897" s="10">
        <v>66</v>
      </c>
      <c r="Y897" s="10">
        <v>79</v>
      </c>
      <c r="Z897" s="10">
        <v>78</v>
      </c>
      <c r="AA897" s="10">
        <v>7</v>
      </c>
      <c r="AB897" s="10">
        <v>9</v>
      </c>
      <c r="AC897" s="9" t="s">
        <v>349</v>
      </c>
      <c r="AD897" s="10"/>
      <c r="AE897" s="10"/>
      <c r="AF897" s="10"/>
      <c r="AG897" s="10"/>
    </row>
    <row r="898" spans="1:33">
      <c r="A898" s="7" t="s">
        <v>155</v>
      </c>
      <c r="B898" s="8" t="s">
        <v>332</v>
      </c>
      <c r="C898" s="9" t="s">
        <v>741</v>
      </c>
      <c r="D898" s="10">
        <v>165</v>
      </c>
      <c r="E898" s="9" t="s">
        <v>158</v>
      </c>
      <c r="F898" s="10">
        <v>165</v>
      </c>
      <c r="G898" s="10">
        <v>165.6</v>
      </c>
      <c r="H898" s="10">
        <v>145</v>
      </c>
      <c r="I898" s="10">
        <v>152</v>
      </c>
      <c r="J898" s="10">
        <v>120</v>
      </c>
      <c r="K898" s="10">
        <v>68</v>
      </c>
      <c r="L898" s="10">
        <v>103</v>
      </c>
      <c r="M898" s="10">
        <v>13</v>
      </c>
      <c r="N898" s="10">
        <v>2021</v>
      </c>
      <c r="O898" s="10">
        <v>0.69</v>
      </c>
      <c r="P898" s="10">
        <v>1400</v>
      </c>
      <c r="Q898" s="10">
        <v>207</v>
      </c>
      <c r="R898" s="10">
        <v>101</v>
      </c>
      <c r="S898" s="10">
        <v>43</v>
      </c>
      <c r="T898" s="10">
        <v>144</v>
      </c>
      <c r="U898" s="10">
        <v>14</v>
      </c>
      <c r="V898" s="10">
        <v>67</v>
      </c>
      <c r="W898" s="10">
        <v>0.33500000000000002</v>
      </c>
      <c r="X898" s="10">
        <v>63</v>
      </c>
      <c r="Y898" s="10">
        <v>70</v>
      </c>
      <c r="Z898" s="10">
        <v>81</v>
      </c>
      <c r="AA898" s="10">
        <v>11</v>
      </c>
      <c r="AB898" s="10">
        <v>11.4</v>
      </c>
      <c r="AC898" s="9" t="s">
        <v>349</v>
      </c>
      <c r="AD898" s="10"/>
      <c r="AE898" s="10"/>
      <c r="AF898" s="10"/>
      <c r="AG898" s="10"/>
    </row>
    <row r="899" spans="1:33">
      <c r="A899" s="7" t="s">
        <v>155</v>
      </c>
      <c r="B899" s="8" t="s">
        <v>332</v>
      </c>
      <c r="C899" s="9" t="s">
        <v>741</v>
      </c>
      <c r="D899" s="10">
        <v>170</v>
      </c>
      <c r="E899" s="9" t="s">
        <v>158</v>
      </c>
      <c r="F899" s="10">
        <v>170</v>
      </c>
      <c r="G899" s="10">
        <v>168.9</v>
      </c>
      <c r="H899" s="10">
        <v>149</v>
      </c>
      <c r="I899" s="10">
        <v>157</v>
      </c>
      <c r="J899" s="10">
        <v>120</v>
      </c>
      <c r="K899" s="10">
        <v>69</v>
      </c>
      <c r="L899" s="10">
        <v>103</v>
      </c>
      <c r="M899" s="10">
        <v>14</v>
      </c>
      <c r="N899" s="10">
        <v>2053</v>
      </c>
      <c r="O899" s="10">
        <v>0.7</v>
      </c>
      <c r="P899" s="10">
        <v>1428</v>
      </c>
      <c r="Q899" s="10">
        <v>242</v>
      </c>
      <c r="R899" s="10">
        <v>109</v>
      </c>
      <c r="S899" s="10">
        <v>45</v>
      </c>
      <c r="T899" s="10">
        <v>150</v>
      </c>
      <c r="U899" s="10">
        <v>6</v>
      </c>
      <c r="V899" s="10">
        <v>49</v>
      </c>
      <c r="W899" s="10">
        <v>0.127</v>
      </c>
      <c r="X899" s="10">
        <v>62</v>
      </c>
      <c r="Y899" s="10">
        <v>55</v>
      </c>
      <c r="Z899" s="10">
        <v>89</v>
      </c>
      <c r="AA899" s="10">
        <v>7</v>
      </c>
      <c r="AB899" s="10">
        <v>12.1</v>
      </c>
      <c r="AC899" s="9" t="s">
        <v>349</v>
      </c>
      <c r="AD899" s="10"/>
      <c r="AE899" s="10"/>
      <c r="AF899" s="10"/>
      <c r="AG899" s="10"/>
    </row>
    <row r="900" spans="1:33">
      <c r="A900" s="7" t="s">
        <v>155</v>
      </c>
      <c r="B900" s="8" t="s">
        <v>332</v>
      </c>
      <c r="C900" s="9" t="s">
        <v>730</v>
      </c>
      <c r="D900" s="10">
        <v>172</v>
      </c>
      <c r="E900" s="9" t="s">
        <v>158</v>
      </c>
      <c r="F900" s="10">
        <v>172</v>
      </c>
      <c r="G900" s="10">
        <v>171.3</v>
      </c>
      <c r="H900" s="10">
        <v>125</v>
      </c>
      <c r="I900" s="10">
        <v>142</v>
      </c>
      <c r="J900" s="10">
        <v>132</v>
      </c>
      <c r="K900" s="10">
        <v>99</v>
      </c>
      <c r="L900" s="10">
        <v>119</v>
      </c>
      <c r="M900" s="10">
        <v>16.8</v>
      </c>
      <c r="N900" s="10">
        <v>2123</v>
      </c>
      <c r="O900" s="10">
        <v>0.89</v>
      </c>
      <c r="P900" s="10">
        <v>1882</v>
      </c>
      <c r="Q900" s="10">
        <v>212</v>
      </c>
      <c r="R900" s="10">
        <v>137</v>
      </c>
      <c r="S900" s="10">
        <v>50</v>
      </c>
      <c r="T900" s="10">
        <v>273</v>
      </c>
      <c r="U900" s="10">
        <v>12</v>
      </c>
      <c r="V900" s="10">
        <v>193</v>
      </c>
      <c r="W900" s="10">
        <v>0.23799999999999999</v>
      </c>
      <c r="X900" s="10">
        <v>134</v>
      </c>
      <c r="Y900" s="10">
        <v>158</v>
      </c>
      <c r="Z900" s="10">
        <v>138</v>
      </c>
      <c r="AA900" s="10">
        <v>7</v>
      </c>
      <c r="AB900" s="10">
        <v>8.9</v>
      </c>
      <c r="AC900" s="9" t="s">
        <v>188</v>
      </c>
      <c r="AD900" s="10"/>
      <c r="AE900" s="10"/>
      <c r="AF900" s="10"/>
      <c r="AG900" s="10"/>
    </row>
    <row r="901" spans="1:33">
      <c r="A901" s="7" t="s">
        <v>155</v>
      </c>
      <c r="B901" s="8" t="s">
        <v>332</v>
      </c>
      <c r="C901" s="9" t="s">
        <v>730</v>
      </c>
      <c r="D901" s="10">
        <v>179</v>
      </c>
      <c r="E901" s="9" t="s">
        <v>158</v>
      </c>
      <c r="F901" s="10">
        <v>179</v>
      </c>
      <c r="G901" s="10">
        <v>178.5</v>
      </c>
      <c r="H901" s="10">
        <v>131</v>
      </c>
      <c r="I901" s="10">
        <v>148</v>
      </c>
      <c r="J901" s="10">
        <v>134</v>
      </c>
      <c r="K901" s="10">
        <v>100</v>
      </c>
      <c r="L901" s="10">
        <v>120</v>
      </c>
      <c r="M901" s="10">
        <v>17.3</v>
      </c>
      <c r="N901" s="10">
        <v>2178</v>
      </c>
      <c r="O901" s="10">
        <v>0.91</v>
      </c>
      <c r="P901" s="10">
        <v>1975</v>
      </c>
      <c r="Q901" s="10">
        <v>226</v>
      </c>
      <c r="R901" s="10">
        <v>145</v>
      </c>
      <c r="S901" s="10">
        <v>54</v>
      </c>
      <c r="T901" s="10">
        <v>275</v>
      </c>
      <c r="U901" s="10">
        <v>16</v>
      </c>
      <c r="V901" s="10">
        <v>198</v>
      </c>
      <c r="W901" s="10">
        <v>0.29699999999999999</v>
      </c>
      <c r="X901" s="10">
        <v>146</v>
      </c>
      <c r="Y901" s="10">
        <v>162</v>
      </c>
      <c r="Z901" s="10">
        <v>129</v>
      </c>
      <c r="AA901" s="10">
        <v>9</v>
      </c>
      <c r="AB901" s="10">
        <v>8.4</v>
      </c>
      <c r="AC901" s="9" t="s">
        <v>188</v>
      </c>
      <c r="AD901" s="10"/>
      <c r="AE901" s="10"/>
      <c r="AF901" s="10"/>
      <c r="AG901" s="10"/>
    </row>
    <row r="902" spans="1:33">
      <c r="A902" s="7" t="s">
        <v>155</v>
      </c>
      <c r="B902" s="8" t="s">
        <v>332</v>
      </c>
      <c r="C902" s="9" t="s">
        <v>730</v>
      </c>
      <c r="D902" s="10">
        <v>186</v>
      </c>
      <c r="E902" s="9" t="s">
        <v>158</v>
      </c>
      <c r="F902" s="10">
        <v>186</v>
      </c>
      <c r="G902" s="10">
        <v>185.3</v>
      </c>
      <c r="H902" s="10">
        <v>136</v>
      </c>
      <c r="I902" s="10">
        <v>154</v>
      </c>
      <c r="J902" s="10">
        <v>134</v>
      </c>
      <c r="K902" s="10">
        <v>99</v>
      </c>
      <c r="L902" s="10">
        <v>120</v>
      </c>
      <c r="M902" s="10">
        <v>18.3</v>
      </c>
      <c r="N902" s="10">
        <v>2347</v>
      </c>
      <c r="O902" s="10">
        <v>0.87</v>
      </c>
      <c r="P902" s="10">
        <v>2048</v>
      </c>
      <c r="Q902" s="10">
        <v>263</v>
      </c>
      <c r="R902" s="10">
        <v>167</v>
      </c>
      <c r="S902" s="10">
        <v>49</v>
      </c>
      <c r="T902" s="10">
        <v>284</v>
      </c>
      <c r="U902" s="10">
        <v>14</v>
      </c>
      <c r="V902" s="10">
        <v>209</v>
      </c>
      <c r="W902" s="10">
        <v>0.29099999999999998</v>
      </c>
      <c r="X902" s="10">
        <v>143</v>
      </c>
      <c r="Y902" s="10">
        <v>169</v>
      </c>
      <c r="Z902" s="10">
        <v>141</v>
      </c>
      <c r="AA902" s="10">
        <v>7</v>
      </c>
      <c r="AB902" s="10">
        <v>8.8000000000000007</v>
      </c>
      <c r="AC902" s="9" t="s">
        <v>188</v>
      </c>
      <c r="AD902" s="10"/>
      <c r="AE902" s="10"/>
      <c r="AF902" s="10"/>
      <c r="AG902" s="10"/>
    </row>
    <row r="903" spans="1:33">
      <c r="A903" s="7" t="s">
        <v>155</v>
      </c>
      <c r="B903" s="8" t="s">
        <v>332</v>
      </c>
      <c r="C903" s="9" t="s">
        <v>694</v>
      </c>
      <c r="D903" s="10">
        <v>165</v>
      </c>
      <c r="E903" s="9" t="s">
        <v>158</v>
      </c>
      <c r="F903" s="10">
        <v>165</v>
      </c>
      <c r="G903" s="10">
        <v>164.2</v>
      </c>
      <c r="H903" s="10">
        <v>114</v>
      </c>
      <c r="I903" s="10">
        <v>135</v>
      </c>
      <c r="J903" s="10">
        <v>133</v>
      </c>
      <c r="K903" s="10">
        <v>103</v>
      </c>
      <c r="L903" s="10">
        <v>123</v>
      </c>
      <c r="M903" s="10">
        <v>16.2</v>
      </c>
      <c r="N903" s="10">
        <v>1945</v>
      </c>
      <c r="O903" s="10">
        <v>0.95</v>
      </c>
      <c r="P903" s="10">
        <v>1851</v>
      </c>
      <c r="Q903" s="10">
        <v>182</v>
      </c>
      <c r="R903" s="10">
        <v>130</v>
      </c>
      <c r="S903" s="10">
        <v>47</v>
      </c>
      <c r="T903" s="10">
        <v>280</v>
      </c>
      <c r="U903" s="10">
        <v>28</v>
      </c>
      <c r="V903" s="10">
        <v>220</v>
      </c>
      <c r="W903" s="10">
        <v>0.59599999999999997</v>
      </c>
      <c r="X903" s="10">
        <v>146</v>
      </c>
      <c r="Y903" s="10">
        <v>145</v>
      </c>
      <c r="Z903" s="10">
        <v>134</v>
      </c>
      <c r="AA903" s="10">
        <v>9</v>
      </c>
      <c r="AB903" s="10">
        <v>8.4</v>
      </c>
      <c r="AC903" s="9" t="s">
        <v>188</v>
      </c>
      <c r="AD903" s="9" t="s">
        <v>169</v>
      </c>
      <c r="AE903" s="10"/>
      <c r="AF903" s="10"/>
      <c r="AG903" s="10"/>
    </row>
    <row r="904" spans="1:33">
      <c r="A904" s="7" t="s">
        <v>155</v>
      </c>
      <c r="B904" s="8" t="s">
        <v>332</v>
      </c>
      <c r="C904" s="9" t="s">
        <v>694</v>
      </c>
      <c r="D904" s="10">
        <v>172</v>
      </c>
      <c r="E904" s="9" t="s">
        <v>158</v>
      </c>
      <c r="F904" s="10">
        <v>172</v>
      </c>
      <c r="G904" s="10">
        <v>171.4</v>
      </c>
      <c r="H904" s="10">
        <v>119</v>
      </c>
      <c r="I904" s="10">
        <v>140</v>
      </c>
      <c r="J904" s="10">
        <v>135</v>
      </c>
      <c r="K904" s="10">
        <v>104</v>
      </c>
      <c r="L904" s="10">
        <v>125</v>
      </c>
      <c r="M904" s="10">
        <v>16.399999999999999</v>
      </c>
      <c r="N904" s="10">
        <v>2045</v>
      </c>
      <c r="O904" s="10">
        <v>0.96</v>
      </c>
      <c r="P904" s="10">
        <v>1954</v>
      </c>
      <c r="Q904" s="10">
        <v>203</v>
      </c>
      <c r="R904" s="10">
        <v>141</v>
      </c>
      <c r="S904" s="10">
        <v>52</v>
      </c>
      <c r="T904" s="10">
        <v>293</v>
      </c>
      <c r="U904" s="10">
        <v>32</v>
      </c>
      <c r="V904" s="10">
        <v>234</v>
      </c>
      <c r="W904" s="10">
        <v>0.621</v>
      </c>
      <c r="X904" s="10">
        <v>151</v>
      </c>
      <c r="Y904" s="10">
        <v>164</v>
      </c>
      <c r="Z904" s="10">
        <v>142</v>
      </c>
      <c r="AA904" s="10">
        <v>7</v>
      </c>
      <c r="AB904" s="10">
        <v>8.8000000000000007</v>
      </c>
      <c r="AC904" s="9" t="s">
        <v>188</v>
      </c>
      <c r="AD904" s="9" t="s">
        <v>169</v>
      </c>
      <c r="AE904" s="10"/>
      <c r="AF904" s="10"/>
      <c r="AG904" s="10"/>
    </row>
    <row r="905" spans="1:33">
      <c r="A905" s="7" t="s">
        <v>155</v>
      </c>
      <c r="B905" s="8" t="s">
        <v>332</v>
      </c>
      <c r="C905" s="9" t="s">
        <v>694</v>
      </c>
      <c r="D905" s="10">
        <v>179</v>
      </c>
      <c r="E905" s="9" t="s">
        <v>158</v>
      </c>
      <c r="F905" s="10">
        <v>179</v>
      </c>
      <c r="G905" s="10">
        <v>178</v>
      </c>
      <c r="H905" s="10">
        <v>123</v>
      </c>
      <c r="I905" s="10">
        <v>148</v>
      </c>
      <c r="J905" s="10">
        <v>135</v>
      </c>
      <c r="K905" s="10">
        <v>103</v>
      </c>
      <c r="L905" s="10">
        <v>126</v>
      </c>
      <c r="M905" s="10">
        <v>17.3</v>
      </c>
      <c r="N905" s="10">
        <v>2115</v>
      </c>
      <c r="O905" s="10">
        <v>0.96</v>
      </c>
      <c r="P905" s="10">
        <v>2030</v>
      </c>
      <c r="Q905" s="10">
        <v>209</v>
      </c>
      <c r="R905" s="10">
        <v>131</v>
      </c>
      <c r="S905" s="10">
        <v>53</v>
      </c>
      <c r="T905" s="10">
        <v>304</v>
      </c>
      <c r="U905" s="10">
        <v>36</v>
      </c>
      <c r="V905" s="10">
        <v>248</v>
      </c>
      <c r="W905" s="10">
        <v>0.66900000000000004</v>
      </c>
      <c r="X905" s="10">
        <v>150</v>
      </c>
      <c r="Y905" s="10">
        <v>148</v>
      </c>
      <c r="Z905" s="10">
        <v>155</v>
      </c>
      <c r="AA905" s="10">
        <v>7</v>
      </c>
      <c r="AB905" s="10">
        <v>9</v>
      </c>
      <c r="AC905" s="9" t="s">
        <v>188</v>
      </c>
      <c r="AD905" s="9" t="s">
        <v>169</v>
      </c>
      <c r="AE905" s="10"/>
      <c r="AF905" s="10"/>
      <c r="AG905" s="10"/>
    </row>
    <row r="906" spans="1:33">
      <c r="A906" s="7" t="s">
        <v>155</v>
      </c>
      <c r="B906" s="8" t="s">
        <v>332</v>
      </c>
      <c r="C906" s="9" t="s">
        <v>694</v>
      </c>
      <c r="D906" s="10">
        <v>186</v>
      </c>
      <c r="E906" s="9" t="s">
        <v>158</v>
      </c>
      <c r="F906" s="10">
        <v>186</v>
      </c>
      <c r="G906" s="10">
        <v>184.9</v>
      </c>
      <c r="H906" s="10">
        <v>127</v>
      </c>
      <c r="I906" s="10">
        <v>154</v>
      </c>
      <c r="J906" s="10">
        <v>136</v>
      </c>
      <c r="K906" s="10">
        <v>103</v>
      </c>
      <c r="L906" s="10">
        <v>126</v>
      </c>
      <c r="M906" s="10">
        <v>18.399999999999999</v>
      </c>
      <c r="N906" s="10">
        <v>2246</v>
      </c>
      <c r="O906" s="10">
        <v>0.94</v>
      </c>
      <c r="P906" s="10">
        <v>2117</v>
      </c>
      <c r="Q906" s="10">
        <v>231</v>
      </c>
      <c r="R906" s="10">
        <v>156</v>
      </c>
      <c r="S906" s="10">
        <v>56</v>
      </c>
      <c r="T906" s="10">
        <v>314</v>
      </c>
      <c r="U906" s="10">
        <v>39</v>
      </c>
      <c r="V906" s="10">
        <v>262</v>
      </c>
      <c r="W906" s="10">
        <v>0.69099999999999995</v>
      </c>
      <c r="X906" s="10">
        <v>162</v>
      </c>
      <c r="Y906" s="10">
        <v>151</v>
      </c>
      <c r="Z906" s="10">
        <v>151</v>
      </c>
      <c r="AA906" s="10">
        <v>7</v>
      </c>
      <c r="AB906" s="10">
        <v>9.1999999999999993</v>
      </c>
      <c r="AC906" s="9" t="s">
        <v>188</v>
      </c>
      <c r="AD906" s="9" t="s">
        <v>169</v>
      </c>
      <c r="AE906" s="10"/>
      <c r="AF906" s="10"/>
      <c r="AG906" s="10"/>
    </row>
    <row r="907" spans="1:33">
      <c r="A907" s="7" t="s">
        <v>155</v>
      </c>
      <c r="B907" s="8" t="s">
        <v>332</v>
      </c>
      <c r="C907" s="9" t="s">
        <v>694</v>
      </c>
      <c r="D907" s="10">
        <v>191</v>
      </c>
      <c r="E907" s="9" t="s">
        <v>158</v>
      </c>
      <c r="F907" s="10">
        <v>191</v>
      </c>
      <c r="G907" s="10">
        <v>189.9</v>
      </c>
      <c r="H907" s="10">
        <v>132</v>
      </c>
      <c r="I907" s="10">
        <v>158</v>
      </c>
      <c r="J907" s="10">
        <v>135</v>
      </c>
      <c r="K907" s="10">
        <v>103</v>
      </c>
      <c r="L907" s="10">
        <v>126</v>
      </c>
      <c r="M907" s="10">
        <v>19.8</v>
      </c>
      <c r="N907" s="10">
        <v>2364</v>
      </c>
      <c r="O907" s="10">
        <v>0.92</v>
      </c>
      <c r="P907" s="10">
        <v>2165</v>
      </c>
      <c r="Q907" s="10">
        <v>274</v>
      </c>
      <c r="R907" s="10">
        <v>182</v>
      </c>
      <c r="S907" s="10">
        <v>62</v>
      </c>
      <c r="T907" s="10">
        <v>328</v>
      </c>
      <c r="U907" s="10">
        <v>35</v>
      </c>
      <c r="V907" s="10">
        <v>247</v>
      </c>
      <c r="W907" s="10">
        <v>0.56599999999999995</v>
      </c>
      <c r="X907" s="10">
        <v>167</v>
      </c>
      <c r="Y907" s="10">
        <v>155</v>
      </c>
      <c r="Z907" s="10">
        <v>160</v>
      </c>
      <c r="AA907" s="10">
        <v>10</v>
      </c>
      <c r="AB907" s="10">
        <v>9.1</v>
      </c>
      <c r="AC907" s="9" t="s">
        <v>188</v>
      </c>
      <c r="AD907" s="9" t="s">
        <v>169</v>
      </c>
      <c r="AE907" s="10"/>
      <c r="AF907" s="10"/>
      <c r="AG907" s="10"/>
    </row>
    <row r="908" spans="1:33">
      <c r="A908" s="7" t="s">
        <v>155</v>
      </c>
      <c r="B908" s="8" t="s">
        <v>332</v>
      </c>
      <c r="C908" s="9" t="s">
        <v>809</v>
      </c>
      <c r="D908" s="10">
        <v>169</v>
      </c>
      <c r="E908" s="9" t="s">
        <v>158</v>
      </c>
      <c r="F908" s="10">
        <v>169</v>
      </c>
      <c r="G908" s="10">
        <v>168.4</v>
      </c>
      <c r="H908" s="10">
        <v>113</v>
      </c>
      <c r="I908" s="10">
        <v>137</v>
      </c>
      <c r="J908" s="10">
        <v>139</v>
      </c>
      <c r="K908" s="10">
        <v>109</v>
      </c>
      <c r="L908" s="10">
        <v>129</v>
      </c>
      <c r="M908" s="10">
        <v>16.100000000000001</v>
      </c>
      <c r="N908" s="10">
        <v>2165</v>
      </c>
      <c r="O908" s="10">
        <v>0.92</v>
      </c>
      <c r="P908" s="10">
        <v>1995</v>
      </c>
      <c r="Q908" s="10">
        <v>223</v>
      </c>
      <c r="R908" s="10">
        <v>152</v>
      </c>
      <c r="S908" s="10">
        <v>55</v>
      </c>
      <c r="T908" s="10">
        <v>302</v>
      </c>
      <c r="U908" s="10">
        <v>35</v>
      </c>
      <c r="V908" s="10">
        <v>250</v>
      </c>
      <c r="W908" s="10">
        <v>0.64100000000000001</v>
      </c>
      <c r="X908" s="10">
        <v>156</v>
      </c>
      <c r="Y908" s="10">
        <v>157</v>
      </c>
      <c r="Z908" s="10">
        <v>146</v>
      </c>
      <c r="AA908" s="10">
        <v>8</v>
      </c>
      <c r="AB908" s="10">
        <v>8.9</v>
      </c>
      <c r="AC908" s="9" t="s">
        <v>169</v>
      </c>
      <c r="AD908" s="10"/>
      <c r="AE908" s="10"/>
      <c r="AF908" s="10"/>
      <c r="AG908" s="10"/>
    </row>
    <row r="909" spans="1:33">
      <c r="A909" s="7" t="s">
        <v>155</v>
      </c>
      <c r="B909" s="8" t="s">
        <v>332</v>
      </c>
      <c r="C909" s="9" t="s">
        <v>809</v>
      </c>
      <c r="D909" s="10">
        <v>177</v>
      </c>
      <c r="E909" s="9" t="s">
        <v>158</v>
      </c>
      <c r="F909" s="10">
        <v>177</v>
      </c>
      <c r="G909" s="10">
        <v>176.4</v>
      </c>
      <c r="H909" s="10">
        <v>119</v>
      </c>
      <c r="I909" s="10">
        <v>145</v>
      </c>
      <c r="J909" s="10">
        <v>140</v>
      </c>
      <c r="K909" s="10">
        <v>109</v>
      </c>
      <c r="L909" s="10">
        <v>130</v>
      </c>
      <c r="M909" s="10">
        <v>16.899999999999999</v>
      </c>
      <c r="N909" s="10">
        <v>2155</v>
      </c>
      <c r="O909" s="10">
        <v>0.97</v>
      </c>
      <c r="P909" s="10">
        <v>2101</v>
      </c>
      <c r="Q909" s="10">
        <v>190</v>
      </c>
      <c r="R909" s="10">
        <v>139</v>
      </c>
      <c r="S909" s="10">
        <v>56</v>
      </c>
      <c r="T909" s="10">
        <v>314</v>
      </c>
      <c r="U909" s="10">
        <v>37</v>
      </c>
      <c r="V909" s="10">
        <v>257</v>
      </c>
      <c r="W909" s="10">
        <v>0.65600000000000003</v>
      </c>
      <c r="X909" s="10">
        <v>159</v>
      </c>
      <c r="Y909" s="10">
        <v>152</v>
      </c>
      <c r="Z909" s="10">
        <v>155</v>
      </c>
      <c r="AA909" s="10">
        <v>7</v>
      </c>
      <c r="AB909" s="10">
        <v>8.4</v>
      </c>
      <c r="AC909" s="9" t="s">
        <v>169</v>
      </c>
      <c r="AD909" s="10"/>
      <c r="AE909" s="10"/>
      <c r="AF909" s="10"/>
      <c r="AG909" s="10"/>
    </row>
    <row r="910" spans="1:33">
      <c r="A910" s="7" t="s">
        <v>155</v>
      </c>
      <c r="B910" s="8" t="s">
        <v>332</v>
      </c>
      <c r="C910" s="9" t="s">
        <v>809</v>
      </c>
      <c r="D910" s="10">
        <v>185</v>
      </c>
      <c r="E910" s="9" t="s">
        <v>158</v>
      </c>
      <c r="F910" s="10">
        <v>185</v>
      </c>
      <c r="G910" s="10">
        <v>184.1</v>
      </c>
      <c r="H910" s="10">
        <v>125</v>
      </c>
      <c r="I910" s="10">
        <v>151</v>
      </c>
      <c r="J910" s="10">
        <v>140</v>
      </c>
      <c r="K910" s="10">
        <v>109</v>
      </c>
      <c r="L910" s="10">
        <v>131</v>
      </c>
      <c r="M910" s="10">
        <v>18.8</v>
      </c>
      <c r="N910" s="10">
        <v>2292</v>
      </c>
      <c r="O910" s="10">
        <v>0.96</v>
      </c>
      <c r="P910" s="10">
        <v>2194</v>
      </c>
      <c r="Q910" s="10">
        <v>209</v>
      </c>
      <c r="R910" s="10">
        <v>149</v>
      </c>
      <c r="S910" s="10">
        <v>58</v>
      </c>
      <c r="T910" s="10">
        <v>326</v>
      </c>
      <c r="U910" s="10">
        <v>39</v>
      </c>
      <c r="V910" s="10">
        <v>261</v>
      </c>
      <c r="W910" s="10">
        <v>0.66</v>
      </c>
      <c r="X910" s="10">
        <v>170</v>
      </c>
      <c r="Y910" s="10">
        <v>161</v>
      </c>
      <c r="Z910" s="10">
        <v>157</v>
      </c>
      <c r="AA910" s="10">
        <v>10</v>
      </c>
      <c r="AB910" s="10">
        <v>8.8000000000000007</v>
      </c>
      <c r="AC910" s="9" t="s">
        <v>169</v>
      </c>
      <c r="AD910" s="10"/>
      <c r="AE910" s="10"/>
      <c r="AF910" s="10"/>
      <c r="AG910" s="10"/>
    </row>
    <row r="911" spans="1:33">
      <c r="A911" s="7" t="s">
        <v>155</v>
      </c>
      <c r="B911" s="8" t="s">
        <v>332</v>
      </c>
      <c r="C911" s="9" t="s">
        <v>903</v>
      </c>
      <c r="D911" s="10">
        <v>191</v>
      </c>
      <c r="E911" s="9" t="s">
        <v>158</v>
      </c>
      <c r="F911" s="10">
        <v>191</v>
      </c>
      <c r="G911" s="10">
        <v>189.6</v>
      </c>
      <c r="H911" s="10">
        <v>128</v>
      </c>
      <c r="I911" s="10">
        <v>154</v>
      </c>
      <c r="J911" s="10">
        <v>144</v>
      </c>
      <c r="K911" s="10">
        <v>114</v>
      </c>
      <c r="L911" s="10">
        <v>134</v>
      </c>
      <c r="M911" s="10">
        <v>21.5</v>
      </c>
      <c r="N911" s="10">
        <v>2292</v>
      </c>
      <c r="O911" s="10">
        <v>1.02</v>
      </c>
      <c r="P911" s="10">
        <v>2347</v>
      </c>
      <c r="Q911" s="10">
        <v>283</v>
      </c>
      <c r="R911" s="10">
        <v>142</v>
      </c>
      <c r="S911" s="10">
        <v>67</v>
      </c>
      <c r="T911" s="10">
        <v>338</v>
      </c>
      <c r="U911" s="10">
        <v>42</v>
      </c>
      <c r="V911" s="10">
        <v>275</v>
      </c>
      <c r="W911" s="10">
        <v>0.63200000000000001</v>
      </c>
      <c r="X911" s="10">
        <v>182</v>
      </c>
      <c r="Y911" s="10">
        <v>175</v>
      </c>
      <c r="Z911" s="10">
        <v>156</v>
      </c>
      <c r="AA911" s="10">
        <v>7</v>
      </c>
      <c r="AB911" s="10">
        <v>9.4</v>
      </c>
      <c r="AC911" s="9" t="s">
        <v>169</v>
      </c>
      <c r="AD911" s="10"/>
      <c r="AE911" s="10"/>
      <c r="AF911" s="10"/>
      <c r="AG911" s="10"/>
    </row>
    <row r="912" spans="1:33">
      <c r="A912" s="7" t="s">
        <v>155</v>
      </c>
      <c r="B912" s="8" t="s">
        <v>332</v>
      </c>
      <c r="C912" s="9" t="s">
        <v>455</v>
      </c>
      <c r="D912" s="10">
        <v>165</v>
      </c>
      <c r="E912" s="9" t="s">
        <v>158</v>
      </c>
      <c r="F912" s="10">
        <v>165</v>
      </c>
      <c r="G912" s="10">
        <v>164.5</v>
      </c>
      <c r="H912" s="10">
        <v>122</v>
      </c>
      <c r="I912" s="10">
        <v>137</v>
      </c>
      <c r="J912" s="10">
        <v>121</v>
      </c>
      <c r="K912" s="10">
        <v>87</v>
      </c>
      <c r="L912" s="10">
        <v>107</v>
      </c>
      <c r="M912" s="10">
        <v>15.3</v>
      </c>
      <c r="N912" s="10">
        <v>1820</v>
      </c>
      <c r="O912" s="10">
        <v>0.89</v>
      </c>
      <c r="P912" s="10">
        <v>1620</v>
      </c>
      <c r="Q912" s="10">
        <v>178</v>
      </c>
      <c r="R912" s="10">
        <v>121</v>
      </c>
      <c r="S912" s="10">
        <v>52</v>
      </c>
      <c r="T912" s="10">
        <v>258</v>
      </c>
      <c r="U912" s="10">
        <v>11</v>
      </c>
      <c r="V912" s="10">
        <v>166</v>
      </c>
      <c r="W912" s="10">
        <v>0.215</v>
      </c>
      <c r="X912" s="10">
        <v>128</v>
      </c>
      <c r="Y912" s="10">
        <v>148</v>
      </c>
      <c r="Z912" s="10">
        <v>130</v>
      </c>
      <c r="AA912" s="10">
        <v>8</v>
      </c>
      <c r="AB912" s="10">
        <v>8.6999999999999993</v>
      </c>
      <c r="AC912" s="9" t="s">
        <v>188</v>
      </c>
      <c r="AD912" s="10"/>
      <c r="AE912" s="10"/>
      <c r="AF912" s="10"/>
      <c r="AG912" s="10"/>
    </row>
    <row r="913" spans="1:33">
      <c r="A913" s="7" t="s">
        <v>155</v>
      </c>
      <c r="B913" s="8" t="s">
        <v>332</v>
      </c>
      <c r="C913" s="9" t="s">
        <v>455</v>
      </c>
      <c r="D913" s="10">
        <v>172</v>
      </c>
      <c r="E913" s="9" t="s">
        <v>158</v>
      </c>
      <c r="F913" s="10">
        <v>172</v>
      </c>
      <c r="G913" s="10">
        <v>171.3</v>
      </c>
      <c r="H913" s="10">
        <v>128</v>
      </c>
      <c r="I913" s="10">
        <v>144</v>
      </c>
      <c r="J913" s="10">
        <v>123</v>
      </c>
      <c r="K913" s="10">
        <v>87</v>
      </c>
      <c r="L913" s="10">
        <v>109</v>
      </c>
      <c r="M913" s="10">
        <v>15.6</v>
      </c>
      <c r="N913" s="10">
        <v>1963</v>
      </c>
      <c r="O913" s="10">
        <v>0.87</v>
      </c>
      <c r="P913" s="10">
        <v>1704</v>
      </c>
      <c r="Q913" s="10">
        <v>200</v>
      </c>
      <c r="R913" s="10">
        <v>125</v>
      </c>
      <c r="S913" s="10">
        <v>54</v>
      </c>
      <c r="T913" s="10">
        <v>264</v>
      </c>
      <c r="U913" s="10">
        <v>9</v>
      </c>
      <c r="V913" s="10">
        <v>168</v>
      </c>
      <c r="W913" s="10">
        <v>0.17599999999999999</v>
      </c>
      <c r="X913" s="10">
        <v>124</v>
      </c>
      <c r="Y913" s="10">
        <v>152</v>
      </c>
      <c r="Z913" s="10">
        <v>140</v>
      </c>
      <c r="AA913" s="10">
        <v>9</v>
      </c>
      <c r="AB913" s="10">
        <v>7.9</v>
      </c>
      <c r="AC913" s="9" t="s">
        <v>188</v>
      </c>
      <c r="AD913" s="10"/>
      <c r="AE913" s="10"/>
      <c r="AF913" s="10"/>
      <c r="AG913" s="10"/>
    </row>
    <row r="914" spans="1:33">
      <c r="A914" s="7" t="s">
        <v>155</v>
      </c>
      <c r="B914" s="8" t="s">
        <v>332</v>
      </c>
      <c r="C914" s="9" t="s">
        <v>455</v>
      </c>
      <c r="D914" s="10">
        <v>179</v>
      </c>
      <c r="E914" s="9" t="s">
        <v>158</v>
      </c>
      <c r="F914" s="10">
        <v>179</v>
      </c>
      <c r="G914" s="10">
        <v>178.5</v>
      </c>
      <c r="H914" s="10">
        <v>133</v>
      </c>
      <c r="I914" s="10">
        <v>150</v>
      </c>
      <c r="J914" s="10">
        <v>123</v>
      </c>
      <c r="K914" s="10">
        <v>87</v>
      </c>
      <c r="L914" s="10">
        <v>109</v>
      </c>
      <c r="M914" s="10">
        <v>16.7</v>
      </c>
      <c r="N914" s="10">
        <v>2013</v>
      </c>
      <c r="O914" s="10">
        <v>0.88</v>
      </c>
      <c r="P914" s="10">
        <v>1773</v>
      </c>
      <c r="Q914" s="10">
        <v>201</v>
      </c>
      <c r="R914" s="10">
        <v>130</v>
      </c>
      <c r="S914" s="10">
        <v>52</v>
      </c>
      <c r="T914" s="10">
        <v>271</v>
      </c>
      <c r="U914" s="10">
        <v>12</v>
      </c>
      <c r="V914" s="10">
        <v>185</v>
      </c>
      <c r="W914" s="10">
        <v>0.23499999999999999</v>
      </c>
      <c r="X914" s="10">
        <v>132</v>
      </c>
      <c r="Y914" s="10">
        <v>152</v>
      </c>
      <c r="Z914" s="10">
        <v>139</v>
      </c>
      <c r="AA914" s="10">
        <v>8</v>
      </c>
      <c r="AB914" s="10">
        <v>8.3000000000000007</v>
      </c>
      <c r="AC914" s="9" t="s">
        <v>188</v>
      </c>
      <c r="AD914" s="10"/>
      <c r="AE914" s="10"/>
      <c r="AF914" s="10"/>
      <c r="AG914" s="10"/>
    </row>
    <row r="915" spans="1:33">
      <c r="A915" s="7" t="s">
        <v>155</v>
      </c>
      <c r="B915" s="8" t="s">
        <v>332</v>
      </c>
      <c r="C915" s="9" t="s">
        <v>455</v>
      </c>
      <c r="D915" s="10">
        <v>186</v>
      </c>
      <c r="E915" s="9" t="s">
        <v>158</v>
      </c>
      <c r="F915" s="10">
        <v>186</v>
      </c>
      <c r="G915" s="10">
        <v>185.2</v>
      </c>
      <c r="H915" s="10">
        <v>139</v>
      </c>
      <c r="I915" s="10">
        <v>157</v>
      </c>
      <c r="J915" s="10">
        <v>124</v>
      </c>
      <c r="K915" s="10">
        <v>87</v>
      </c>
      <c r="L915" s="10">
        <v>110</v>
      </c>
      <c r="M915" s="10">
        <v>17.899999999999999</v>
      </c>
      <c r="N915" s="10">
        <v>2137</v>
      </c>
      <c r="O915" s="10">
        <v>0.87</v>
      </c>
      <c r="P915" s="10">
        <v>1851</v>
      </c>
      <c r="Q915" s="10">
        <v>286</v>
      </c>
      <c r="R915" s="10">
        <v>162</v>
      </c>
      <c r="S915" s="10">
        <v>54</v>
      </c>
      <c r="T915" s="10">
        <v>274</v>
      </c>
      <c r="U915" s="10">
        <v>11</v>
      </c>
      <c r="V915" s="10">
        <v>191</v>
      </c>
      <c r="W915" s="10">
        <v>0.20799999999999999</v>
      </c>
      <c r="X915" s="10">
        <v>124</v>
      </c>
      <c r="Y915" s="10">
        <v>155</v>
      </c>
      <c r="Z915" s="10">
        <v>150</v>
      </c>
      <c r="AA915" s="10">
        <v>8</v>
      </c>
      <c r="AB915" s="10">
        <v>8.5</v>
      </c>
      <c r="AC915" s="9" t="s">
        <v>188</v>
      </c>
      <c r="AD915" s="10"/>
      <c r="AE915" s="10"/>
      <c r="AF915" s="10"/>
      <c r="AG915" s="10"/>
    </row>
    <row r="916" spans="1:33">
      <c r="A916" s="7" t="s">
        <v>155</v>
      </c>
      <c r="B916" s="8" t="s">
        <v>332</v>
      </c>
      <c r="C916" s="9" t="s">
        <v>788</v>
      </c>
      <c r="D916" s="10">
        <v>165</v>
      </c>
      <c r="E916" s="9" t="s">
        <v>158</v>
      </c>
      <c r="F916" s="10">
        <v>165</v>
      </c>
      <c r="G916" s="10">
        <v>164.6</v>
      </c>
      <c r="H916" s="10">
        <v>118</v>
      </c>
      <c r="I916" s="10">
        <v>135</v>
      </c>
      <c r="J916" s="10">
        <v>126</v>
      </c>
      <c r="K916" s="10">
        <v>92</v>
      </c>
      <c r="L916" s="10">
        <v>112</v>
      </c>
      <c r="M916" s="10">
        <v>15.3</v>
      </c>
      <c r="N916" s="10">
        <v>1927</v>
      </c>
      <c r="O916" s="10">
        <v>0.88</v>
      </c>
      <c r="P916" s="10">
        <v>1701</v>
      </c>
      <c r="Q916" s="10">
        <v>196</v>
      </c>
      <c r="R916" s="10">
        <v>138</v>
      </c>
      <c r="S916" s="10">
        <v>53</v>
      </c>
      <c r="T916" s="10">
        <v>280</v>
      </c>
      <c r="U916" s="10">
        <v>12</v>
      </c>
      <c r="V916" s="10">
        <v>190</v>
      </c>
      <c r="W916" s="10">
        <v>0.22600000000000001</v>
      </c>
      <c r="X916" s="10">
        <v>142</v>
      </c>
      <c r="Y916" s="10">
        <v>154</v>
      </c>
      <c r="Z916" s="10">
        <v>138</v>
      </c>
      <c r="AA916" s="10">
        <v>6</v>
      </c>
      <c r="AB916" s="10">
        <v>8.4</v>
      </c>
      <c r="AC916" s="9" t="s">
        <v>188</v>
      </c>
      <c r="AD916" s="10"/>
      <c r="AE916" s="10"/>
      <c r="AF916" s="10"/>
      <c r="AG916" s="10"/>
    </row>
    <row r="917" spans="1:33">
      <c r="A917" s="7" t="s">
        <v>155</v>
      </c>
      <c r="B917" s="8" t="s">
        <v>332</v>
      </c>
      <c r="C917" s="9" t="s">
        <v>788</v>
      </c>
      <c r="D917" s="10">
        <v>172</v>
      </c>
      <c r="E917" s="9" t="s">
        <v>158</v>
      </c>
      <c r="F917" s="10">
        <v>172</v>
      </c>
      <c r="G917" s="10">
        <v>171.3</v>
      </c>
      <c r="H917" s="10">
        <v>124</v>
      </c>
      <c r="I917" s="10">
        <v>143</v>
      </c>
      <c r="J917" s="10">
        <v>127</v>
      </c>
      <c r="K917" s="10">
        <v>92</v>
      </c>
      <c r="L917" s="10">
        <v>113</v>
      </c>
      <c r="M917" s="10">
        <v>15.9</v>
      </c>
      <c r="N917" s="10">
        <v>2044</v>
      </c>
      <c r="O917" s="10">
        <v>0.87</v>
      </c>
      <c r="P917" s="10">
        <v>1774</v>
      </c>
      <c r="Q917" s="10">
        <v>226</v>
      </c>
      <c r="R917" s="10">
        <v>144</v>
      </c>
      <c r="S917" s="10">
        <v>54</v>
      </c>
      <c r="T917" s="10">
        <v>276</v>
      </c>
      <c r="U917" s="10">
        <v>15</v>
      </c>
      <c r="V917" s="10">
        <v>196</v>
      </c>
      <c r="W917" s="10">
        <v>0.27900000000000003</v>
      </c>
      <c r="X917" s="10">
        <v>132</v>
      </c>
      <c r="Y917" s="10">
        <v>150</v>
      </c>
      <c r="Z917" s="10">
        <v>144</v>
      </c>
      <c r="AA917" s="10">
        <v>6</v>
      </c>
      <c r="AB917" s="10">
        <v>9.1</v>
      </c>
      <c r="AC917" s="9" t="s">
        <v>188</v>
      </c>
      <c r="AD917" s="10"/>
      <c r="AE917" s="10"/>
      <c r="AF917" s="10"/>
      <c r="AG917" s="10"/>
    </row>
    <row r="918" spans="1:33">
      <c r="A918" s="7" t="s">
        <v>155</v>
      </c>
      <c r="B918" s="8" t="s">
        <v>332</v>
      </c>
      <c r="C918" s="9" t="s">
        <v>788</v>
      </c>
      <c r="D918" s="10">
        <v>179</v>
      </c>
      <c r="E918" s="9" t="s">
        <v>158</v>
      </c>
      <c r="F918" s="10">
        <v>179</v>
      </c>
      <c r="G918" s="10">
        <v>178.3</v>
      </c>
      <c r="H918" s="10">
        <v>131</v>
      </c>
      <c r="I918" s="10">
        <v>147</v>
      </c>
      <c r="J918" s="10">
        <v>128</v>
      </c>
      <c r="K918" s="10">
        <v>93</v>
      </c>
      <c r="L918" s="10">
        <v>114</v>
      </c>
      <c r="M918" s="10">
        <v>17</v>
      </c>
      <c r="N918" s="10">
        <v>2178</v>
      </c>
      <c r="O918" s="10">
        <v>0.86</v>
      </c>
      <c r="P918" s="10">
        <v>1867</v>
      </c>
      <c r="Q918" s="10">
        <v>234</v>
      </c>
      <c r="R918" s="10">
        <v>145</v>
      </c>
      <c r="S918" s="10">
        <v>55</v>
      </c>
      <c r="T918" s="10">
        <v>286</v>
      </c>
      <c r="U918" s="10">
        <v>13</v>
      </c>
      <c r="V918" s="10">
        <v>186</v>
      </c>
      <c r="W918" s="10">
        <v>0.23499999999999999</v>
      </c>
      <c r="X918" s="10">
        <v>152</v>
      </c>
      <c r="Y918" s="10">
        <v>159</v>
      </c>
      <c r="Z918" s="10">
        <v>134</v>
      </c>
      <c r="AA918" s="10">
        <v>7</v>
      </c>
      <c r="AB918" s="10">
        <v>8.5</v>
      </c>
      <c r="AC918" s="9" t="s">
        <v>188</v>
      </c>
      <c r="AD918" s="10"/>
      <c r="AE918" s="10"/>
      <c r="AF918" s="10"/>
      <c r="AG918" s="10"/>
    </row>
    <row r="919" spans="1:33">
      <c r="A919" s="7" t="s">
        <v>155</v>
      </c>
      <c r="B919" s="8" t="s">
        <v>332</v>
      </c>
      <c r="C919" s="9" t="s">
        <v>788</v>
      </c>
      <c r="D919" s="10">
        <v>186</v>
      </c>
      <c r="E919" s="9" t="s">
        <v>158</v>
      </c>
      <c r="F919" s="10">
        <v>186</v>
      </c>
      <c r="G919" s="10">
        <v>185.1</v>
      </c>
      <c r="H919" s="10">
        <v>137</v>
      </c>
      <c r="I919" s="10">
        <v>155</v>
      </c>
      <c r="J919" s="10">
        <v>129</v>
      </c>
      <c r="K919" s="10">
        <v>93</v>
      </c>
      <c r="L919" s="10">
        <v>115</v>
      </c>
      <c r="M919" s="10">
        <v>18.100000000000001</v>
      </c>
      <c r="N919" s="10">
        <v>2299</v>
      </c>
      <c r="O919" s="10">
        <v>0.85</v>
      </c>
      <c r="P919" s="10">
        <v>1945</v>
      </c>
      <c r="Q919" s="10">
        <v>276</v>
      </c>
      <c r="R919" s="10">
        <v>172</v>
      </c>
      <c r="S919" s="10">
        <v>53</v>
      </c>
      <c r="T919" s="10">
        <v>277</v>
      </c>
      <c r="U919" s="10">
        <v>15</v>
      </c>
      <c r="V919" s="10">
        <v>207</v>
      </c>
      <c r="W919" s="10">
        <v>0.28299999999999997</v>
      </c>
      <c r="X919" s="10">
        <v>140</v>
      </c>
      <c r="Y919" s="10">
        <v>162</v>
      </c>
      <c r="Z919" s="10">
        <v>137</v>
      </c>
      <c r="AA919" s="10">
        <v>7</v>
      </c>
      <c r="AB919" s="10">
        <v>8.5</v>
      </c>
      <c r="AC919" s="9" t="s">
        <v>188</v>
      </c>
      <c r="AD919" s="10"/>
      <c r="AE919" s="10"/>
      <c r="AF919" s="10"/>
      <c r="AG919" s="10"/>
    </row>
    <row r="920" spans="1:33">
      <c r="A920" s="7" t="s">
        <v>155</v>
      </c>
      <c r="B920" s="8" t="s">
        <v>332</v>
      </c>
      <c r="C920" s="9" t="s">
        <v>410</v>
      </c>
      <c r="D920" s="10">
        <v>158</v>
      </c>
      <c r="E920" s="9" t="s">
        <v>163</v>
      </c>
      <c r="F920" s="10">
        <v>158</v>
      </c>
      <c r="G920" s="10">
        <v>157.30000000000001</v>
      </c>
      <c r="H920" s="10">
        <v>109</v>
      </c>
      <c r="I920" s="10">
        <v>130</v>
      </c>
      <c r="J920" s="10">
        <v>132</v>
      </c>
      <c r="K920" s="10">
        <v>103</v>
      </c>
      <c r="L920" s="10">
        <v>123</v>
      </c>
      <c r="M920" s="10">
        <v>15.3</v>
      </c>
      <c r="N920" s="10">
        <v>1713</v>
      </c>
      <c r="O920" s="10">
        <v>1.03</v>
      </c>
      <c r="P920" s="10">
        <v>1771</v>
      </c>
      <c r="Q920" s="10">
        <v>174</v>
      </c>
      <c r="R920" s="10">
        <v>88</v>
      </c>
      <c r="S920" s="10">
        <v>44</v>
      </c>
      <c r="T920" s="10">
        <v>263</v>
      </c>
      <c r="U920" s="10">
        <v>32</v>
      </c>
      <c r="V920" s="10">
        <v>219</v>
      </c>
      <c r="W920" s="10">
        <v>0.71899999999999997</v>
      </c>
      <c r="X920" s="10">
        <v>133</v>
      </c>
      <c r="Y920" s="10">
        <v>144</v>
      </c>
      <c r="Z920" s="10">
        <v>131</v>
      </c>
      <c r="AA920" s="10">
        <v>8</v>
      </c>
      <c r="AB920" s="10">
        <v>8.5</v>
      </c>
      <c r="AC920" s="9" t="s">
        <v>188</v>
      </c>
      <c r="AD920" s="9" t="s">
        <v>169</v>
      </c>
      <c r="AE920" s="10"/>
      <c r="AF920" s="10"/>
      <c r="AG920" s="10"/>
    </row>
    <row r="921" spans="1:33">
      <c r="A921" s="7" t="s">
        <v>155</v>
      </c>
      <c r="B921" s="8" t="s">
        <v>332</v>
      </c>
      <c r="C921" s="9" t="s">
        <v>410</v>
      </c>
      <c r="D921" s="10">
        <v>165</v>
      </c>
      <c r="E921" s="9" t="s">
        <v>163</v>
      </c>
      <c r="F921" s="10">
        <v>165</v>
      </c>
      <c r="G921" s="10">
        <v>164.1</v>
      </c>
      <c r="H921" s="10">
        <v>110</v>
      </c>
      <c r="I921" s="10">
        <v>135</v>
      </c>
      <c r="J921" s="10">
        <v>134</v>
      </c>
      <c r="K921" s="10">
        <v>103</v>
      </c>
      <c r="L921" s="10">
        <v>124</v>
      </c>
      <c r="M921" s="10">
        <v>15.6</v>
      </c>
      <c r="N921" s="10">
        <v>1715</v>
      </c>
      <c r="O921" s="10">
        <v>1.08</v>
      </c>
      <c r="P921" s="10">
        <v>1857</v>
      </c>
      <c r="Q921" s="10">
        <v>174</v>
      </c>
      <c r="R921" s="10">
        <v>94</v>
      </c>
      <c r="S921" s="10">
        <v>57</v>
      </c>
      <c r="T921" s="10">
        <v>297</v>
      </c>
      <c r="U921" s="10">
        <v>39</v>
      </c>
      <c r="V921" s="10">
        <v>241</v>
      </c>
      <c r="W921" s="10">
        <v>0.68700000000000006</v>
      </c>
      <c r="X921" s="10">
        <v>134</v>
      </c>
      <c r="Y921" s="10">
        <v>160</v>
      </c>
      <c r="Z921" s="10">
        <v>163</v>
      </c>
      <c r="AA921" s="10">
        <v>5</v>
      </c>
      <c r="AB921" s="10">
        <v>8.4</v>
      </c>
      <c r="AC921" s="9" t="s">
        <v>188</v>
      </c>
      <c r="AD921" s="9" t="s">
        <v>169</v>
      </c>
      <c r="AE921" s="9" t="s">
        <v>185</v>
      </c>
      <c r="AF921" s="10"/>
      <c r="AG921" s="10"/>
    </row>
    <row r="922" spans="1:33">
      <c r="A922" s="7" t="s">
        <v>155</v>
      </c>
      <c r="B922" s="8" t="s">
        <v>332</v>
      </c>
      <c r="C922" s="9" t="s">
        <v>410</v>
      </c>
      <c r="D922" s="10">
        <v>172</v>
      </c>
      <c r="E922" s="9" t="s">
        <v>163</v>
      </c>
      <c r="F922" s="10">
        <v>172</v>
      </c>
      <c r="G922" s="10">
        <v>170.6</v>
      </c>
      <c r="H922" s="10">
        <v>116</v>
      </c>
      <c r="I922" s="10">
        <v>142</v>
      </c>
      <c r="J922" s="10">
        <v>135</v>
      </c>
      <c r="K922" s="10">
        <v>103</v>
      </c>
      <c r="L922" s="10">
        <v>125</v>
      </c>
      <c r="M922" s="10">
        <v>16.3</v>
      </c>
      <c r="N922" s="10">
        <v>1787</v>
      </c>
      <c r="O922" s="10">
        <v>1.0900000000000001</v>
      </c>
      <c r="P922" s="10">
        <v>1945</v>
      </c>
      <c r="Q922" s="10">
        <v>182</v>
      </c>
      <c r="R922" s="10">
        <v>99</v>
      </c>
      <c r="S922" s="10">
        <v>62</v>
      </c>
      <c r="T922" s="10">
        <v>298</v>
      </c>
      <c r="U922" s="10">
        <v>44</v>
      </c>
      <c r="V922" s="10">
        <v>248</v>
      </c>
      <c r="W922" s="10">
        <v>0.71299999999999997</v>
      </c>
      <c r="X922" s="10">
        <v>140</v>
      </c>
      <c r="Y922" s="10">
        <v>151</v>
      </c>
      <c r="Z922" s="10">
        <v>159</v>
      </c>
      <c r="AA922" s="10">
        <v>7</v>
      </c>
      <c r="AB922" s="10">
        <v>8.8000000000000007</v>
      </c>
      <c r="AC922" s="9" t="s">
        <v>188</v>
      </c>
      <c r="AD922" s="9" t="s">
        <v>169</v>
      </c>
      <c r="AE922" s="9" t="s">
        <v>185</v>
      </c>
      <c r="AF922" s="10"/>
      <c r="AG922" s="10"/>
    </row>
    <row r="923" spans="1:33">
      <c r="A923" s="7" t="s">
        <v>155</v>
      </c>
      <c r="B923" s="8" t="s">
        <v>332</v>
      </c>
      <c r="C923" s="9" t="s">
        <v>410</v>
      </c>
      <c r="D923" s="10">
        <v>179</v>
      </c>
      <c r="E923" s="9" t="s">
        <v>163</v>
      </c>
      <c r="F923" s="10">
        <v>179</v>
      </c>
      <c r="G923" s="10">
        <v>177.6</v>
      </c>
      <c r="H923" s="10">
        <v>122</v>
      </c>
      <c r="I923" s="10">
        <v>147</v>
      </c>
      <c r="J923" s="10">
        <v>135</v>
      </c>
      <c r="K923" s="10">
        <v>103</v>
      </c>
      <c r="L923" s="10">
        <v>126</v>
      </c>
      <c r="M923" s="10">
        <v>17.5</v>
      </c>
      <c r="N923" s="10">
        <v>1898</v>
      </c>
      <c r="O923" s="10">
        <v>1.07</v>
      </c>
      <c r="P923" s="10">
        <v>2026</v>
      </c>
      <c r="Q923" s="10">
        <v>220</v>
      </c>
      <c r="R923" s="10">
        <v>108</v>
      </c>
      <c r="S923" s="10">
        <v>64</v>
      </c>
      <c r="T923" s="10">
        <v>307</v>
      </c>
      <c r="U923" s="10">
        <v>42</v>
      </c>
      <c r="V923" s="10">
        <v>248</v>
      </c>
      <c r="W923" s="10">
        <v>0.64500000000000002</v>
      </c>
      <c r="X923" s="10">
        <v>155</v>
      </c>
      <c r="Y923" s="10">
        <v>154</v>
      </c>
      <c r="Z923" s="10">
        <v>152</v>
      </c>
      <c r="AA923" s="10">
        <v>6</v>
      </c>
      <c r="AB923" s="10">
        <v>8.6999999999999993</v>
      </c>
      <c r="AC923" s="9" t="s">
        <v>188</v>
      </c>
      <c r="AD923" s="9" t="s">
        <v>169</v>
      </c>
      <c r="AE923" s="9" t="s">
        <v>185</v>
      </c>
      <c r="AF923" s="10"/>
      <c r="AG923" s="10"/>
    </row>
    <row r="924" spans="1:33">
      <c r="A924" s="7" t="s">
        <v>155</v>
      </c>
      <c r="B924" s="8" t="s">
        <v>332</v>
      </c>
      <c r="C924" s="9" t="s">
        <v>333</v>
      </c>
      <c r="D924" s="10">
        <v>169</v>
      </c>
      <c r="E924" s="9" t="s">
        <v>163</v>
      </c>
      <c r="F924" s="10">
        <v>169</v>
      </c>
      <c r="G924" s="10">
        <v>167.7</v>
      </c>
      <c r="H924" s="10">
        <v>110</v>
      </c>
      <c r="I924" s="10">
        <v>136</v>
      </c>
      <c r="J924" s="10">
        <v>140</v>
      </c>
      <c r="K924" s="10">
        <v>109</v>
      </c>
      <c r="L924" s="10">
        <v>130</v>
      </c>
      <c r="M924" s="10">
        <v>15.7</v>
      </c>
      <c r="N924" s="10">
        <v>1839</v>
      </c>
      <c r="O924" s="10">
        <v>1.0900000000000001</v>
      </c>
      <c r="P924" s="10">
        <v>1999</v>
      </c>
      <c r="Q924" s="10">
        <v>197</v>
      </c>
      <c r="R924" s="10">
        <v>103</v>
      </c>
      <c r="S924" s="10">
        <v>64</v>
      </c>
      <c r="T924" s="10">
        <v>312</v>
      </c>
      <c r="U924" s="10">
        <v>45</v>
      </c>
      <c r="V924" s="10">
        <v>262</v>
      </c>
      <c r="W924" s="10">
        <v>0.71</v>
      </c>
      <c r="X924" s="10">
        <v>156</v>
      </c>
      <c r="Y924" s="10">
        <v>162</v>
      </c>
      <c r="Z924" s="10">
        <v>156</v>
      </c>
      <c r="AA924" s="10">
        <v>5</v>
      </c>
      <c r="AB924" s="10">
        <v>9.3000000000000007</v>
      </c>
      <c r="AC924" s="9" t="s">
        <v>169</v>
      </c>
      <c r="AD924" s="9" t="s">
        <v>185</v>
      </c>
      <c r="AE924" s="10"/>
      <c r="AF924" s="10"/>
      <c r="AG924" s="10"/>
    </row>
    <row r="925" spans="1:33">
      <c r="A925" s="7" t="s">
        <v>155</v>
      </c>
      <c r="B925" s="8" t="s">
        <v>332</v>
      </c>
      <c r="C925" s="9" t="s">
        <v>333</v>
      </c>
      <c r="D925" s="10">
        <v>177</v>
      </c>
      <c r="E925" s="9" t="s">
        <v>163</v>
      </c>
      <c r="F925" s="10">
        <v>177</v>
      </c>
      <c r="G925" s="10">
        <v>175.5</v>
      </c>
      <c r="H925" s="10">
        <v>116</v>
      </c>
      <c r="I925" s="10">
        <v>145</v>
      </c>
      <c r="J925" s="10">
        <v>140</v>
      </c>
      <c r="K925" s="10">
        <v>108</v>
      </c>
      <c r="L925" s="10">
        <v>131</v>
      </c>
      <c r="M925" s="10">
        <v>16.7</v>
      </c>
      <c r="N925" s="10">
        <v>1908</v>
      </c>
      <c r="O925" s="10">
        <v>1.0900000000000001</v>
      </c>
      <c r="P925" s="10">
        <v>2087</v>
      </c>
      <c r="Q925" s="10">
        <v>199</v>
      </c>
      <c r="R925" s="10">
        <v>103</v>
      </c>
      <c r="S925" s="10">
        <v>71</v>
      </c>
      <c r="T925" s="10">
        <v>323</v>
      </c>
      <c r="U925" s="10">
        <v>50</v>
      </c>
      <c r="V925" s="10">
        <v>268</v>
      </c>
      <c r="W925" s="10">
        <v>0.70799999999999996</v>
      </c>
      <c r="X925" s="10">
        <v>156</v>
      </c>
      <c r="Y925" s="10">
        <v>153</v>
      </c>
      <c r="Z925" s="10">
        <v>167</v>
      </c>
      <c r="AA925" s="10">
        <v>6</v>
      </c>
      <c r="AB925" s="10">
        <v>8.4</v>
      </c>
      <c r="AC925" s="9" t="s">
        <v>169</v>
      </c>
      <c r="AD925" s="9" t="s">
        <v>185</v>
      </c>
      <c r="AE925" s="10"/>
      <c r="AF925" s="10"/>
      <c r="AG925" s="10"/>
    </row>
    <row r="926" spans="1:33">
      <c r="A926" s="7" t="s">
        <v>155</v>
      </c>
      <c r="B926" s="8" t="s">
        <v>332</v>
      </c>
      <c r="C926" s="9" t="s">
        <v>726</v>
      </c>
      <c r="D926" s="10">
        <v>151</v>
      </c>
      <c r="E926" s="9" t="s">
        <v>163</v>
      </c>
      <c r="F926" s="10">
        <v>151</v>
      </c>
      <c r="G926" s="10">
        <v>149.69999999999999</v>
      </c>
      <c r="H926" s="10">
        <v>109</v>
      </c>
      <c r="I926" s="10">
        <v>128</v>
      </c>
      <c r="J926" s="10">
        <v>119</v>
      </c>
      <c r="K926" s="10">
        <v>83</v>
      </c>
      <c r="L926" s="10">
        <v>104</v>
      </c>
      <c r="M926" s="10">
        <v>12.8</v>
      </c>
      <c r="N926" s="10">
        <v>1399</v>
      </c>
      <c r="O926" s="10">
        <v>1.02</v>
      </c>
      <c r="P926" s="10">
        <v>1427</v>
      </c>
      <c r="Q926" s="10">
        <v>163</v>
      </c>
      <c r="R926" s="10">
        <v>75</v>
      </c>
      <c r="S926" s="10">
        <v>60</v>
      </c>
      <c r="T926" s="10">
        <v>257</v>
      </c>
      <c r="U926" s="10">
        <v>17</v>
      </c>
      <c r="V926" s="10">
        <v>150</v>
      </c>
      <c r="W926" s="10">
        <v>0.28999999999999998</v>
      </c>
      <c r="X926" s="10">
        <v>129</v>
      </c>
      <c r="Y926" s="10">
        <v>91</v>
      </c>
      <c r="Z926" s="10">
        <v>128</v>
      </c>
      <c r="AA926" s="10">
        <v>3</v>
      </c>
      <c r="AB926" s="10">
        <v>10</v>
      </c>
      <c r="AC926" s="9" t="s">
        <v>231</v>
      </c>
      <c r="AD926" s="9" t="s">
        <v>188</v>
      </c>
      <c r="AE926" s="10"/>
      <c r="AF926" s="10"/>
      <c r="AG926" s="10"/>
    </row>
    <row r="927" spans="1:33">
      <c r="A927" s="7" t="s">
        <v>155</v>
      </c>
      <c r="B927" s="8" t="s">
        <v>332</v>
      </c>
      <c r="C927" s="9" t="s">
        <v>726</v>
      </c>
      <c r="D927" s="10">
        <v>158</v>
      </c>
      <c r="E927" s="9" t="s">
        <v>163</v>
      </c>
      <c r="F927" s="10">
        <v>158</v>
      </c>
      <c r="G927" s="10">
        <v>157.19999999999999</v>
      </c>
      <c r="H927" s="10">
        <v>118</v>
      </c>
      <c r="I927" s="10">
        <v>133</v>
      </c>
      <c r="J927" s="10">
        <v>120</v>
      </c>
      <c r="K927" s="10">
        <v>83</v>
      </c>
      <c r="L927" s="10">
        <v>105</v>
      </c>
      <c r="M927" s="10">
        <v>14</v>
      </c>
      <c r="N927" s="10">
        <v>1529</v>
      </c>
      <c r="O927" s="10">
        <v>0.98</v>
      </c>
      <c r="P927" s="10">
        <v>1505</v>
      </c>
      <c r="Q927" s="10">
        <v>174</v>
      </c>
      <c r="R927" s="10">
        <v>79</v>
      </c>
      <c r="S927" s="10">
        <v>59</v>
      </c>
      <c r="T927" s="10">
        <v>254</v>
      </c>
      <c r="U927" s="10">
        <v>15</v>
      </c>
      <c r="V927" s="10">
        <v>141</v>
      </c>
      <c r="W927" s="10">
        <v>0.26300000000000001</v>
      </c>
      <c r="X927" s="10">
        <v>141</v>
      </c>
      <c r="Y927" s="10">
        <v>98</v>
      </c>
      <c r="Z927" s="10">
        <v>113</v>
      </c>
      <c r="AA927" s="10">
        <v>5</v>
      </c>
      <c r="AB927" s="10">
        <v>10.1</v>
      </c>
      <c r="AC927" s="9" t="s">
        <v>231</v>
      </c>
      <c r="AD927" s="9" t="s">
        <v>188</v>
      </c>
      <c r="AE927" s="10"/>
      <c r="AF927" s="10"/>
      <c r="AG927" s="10"/>
    </row>
    <row r="928" spans="1:33">
      <c r="A928" s="7" t="s">
        <v>155</v>
      </c>
      <c r="B928" s="8" t="s">
        <v>332</v>
      </c>
      <c r="C928" s="9" t="s">
        <v>726</v>
      </c>
      <c r="D928" s="10">
        <v>165</v>
      </c>
      <c r="E928" s="9" t="s">
        <v>163</v>
      </c>
      <c r="F928" s="10">
        <v>165</v>
      </c>
      <c r="G928" s="10">
        <v>164.1</v>
      </c>
      <c r="H928" s="10">
        <v>123</v>
      </c>
      <c r="I928" s="10">
        <v>139</v>
      </c>
      <c r="J928" s="10">
        <v>121</v>
      </c>
      <c r="K928" s="10">
        <v>83</v>
      </c>
      <c r="L928" s="10">
        <v>105</v>
      </c>
      <c r="M928" s="10">
        <v>15.3</v>
      </c>
      <c r="N928" s="10">
        <v>1560</v>
      </c>
      <c r="O928" s="10">
        <v>1.01</v>
      </c>
      <c r="P928" s="10">
        <v>1572</v>
      </c>
      <c r="Q928" s="10">
        <v>164</v>
      </c>
      <c r="R928" s="10">
        <v>75</v>
      </c>
      <c r="S928" s="10">
        <v>58</v>
      </c>
      <c r="T928" s="10">
        <v>259</v>
      </c>
      <c r="U928" s="10">
        <v>17</v>
      </c>
      <c r="V928" s="10">
        <v>150</v>
      </c>
      <c r="W928" s="10">
        <v>0.28599999999999998</v>
      </c>
      <c r="X928" s="10">
        <v>142</v>
      </c>
      <c r="Y928" s="10">
        <v>104</v>
      </c>
      <c r="Z928" s="10">
        <v>117</v>
      </c>
      <c r="AA928" s="10">
        <v>3</v>
      </c>
      <c r="AB928" s="10">
        <v>10.4</v>
      </c>
      <c r="AC928" s="9" t="s">
        <v>231</v>
      </c>
      <c r="AD928" s="9" t="s">
        <v>188</v>
      </c>
      <c r="AE928" s="10"/>
      <c r="AF928" s="10"/>
      <c r="AG928" s="10"/>
    </row>
    <row r="929" spans="1:33">
      <c r="A929" s="7" t="s">
        <v>155</v>
      </c>
      <c r="B929" s="8" t="s">
        <v>332</v>
      </c>
      <c r="C929" s="9" t="s">
        <v>563</v>
      </c>
      <c r="D929" s="10">
        <v>151</v>
      </c>
      <c r="E929" s="9" t="s">
        <v>163</v>
      </c>
      <c r="F929" s="10">
        <v>151</v>
      </c>
      <c r="G929" s="10">
        <v>150.6</v>
      </c>
      <c r="H929" s="10">
        <v>108</v>
      </c>
      <c r="I929" s="10">
        <v>126</v>
      </c>
      <c r="J929" s="10">
        <v>119</v>
      </c>
      <c r="K929" s="10">
        <v>87</v>
      </c>
      <c r="L929" s="10">
        <v>105</v>
      </c>
      <c r="M929" s="10">
        <v>13.5</v>
      </c>
      <c r="N929" s="10">
        <v>1585</v>
      </c>
      <c r="O929" s="10">
        <v>0.93</v>
      </c>
      <c r="P929" s="10">
        <v>1469</v>
      </c>
      <c r="Q929" s="10">
        <v>158</v>
      </c>
      <c r="R929" s="10">
        <v>85</v>
      </c>
      <c r="S929" s="10">
        <v>51</v>
      </c>
      <c r="T929" s="10">
        <v>245</v>
      </c>
      <c r="U929" s="10">
        <v>13</v>
      </c>
      <c r="V929" s="10">
        <v>178</v>
      </c>
      <c r="W929" s="10">
        <v>0.26</v>
      </c>
      <c r="X929" s="10">
        <v>122</v>
      </c>
      <c r="Y929" s="10">
        <v>125</v>
      </c>
      <c r="Z929" s="10">
        <v>123</v>
      </c>
      <c r="AA929" s="10">
        <v>6</v>
      </c>
      <c r="AB929" s="10">
        <v>7.9</v>
      </c>
      <c r="AC929" s="9" t="s">
        <v>188</v>
      </c>
      <c r="AD929" s="10"/>
      <c r="AE929" s="10"/>
      <c r="AF929" s="10"/>
      <c r="AG929" s="10"/>
    </row>
    <row r="930" spans="1:33">
      <c r="A930" s="7" t="s">
        <v>155</v>
      </c>
      <c r="B930" s="8" t="s">
        <v>332</v>
      </c>
      <c r="C930" s="9" t="s">
        <v>563</v>
      </c>
      <c r="D930" s="10">
        <v>158</v>
      </c>
      <c r="E930" s="9" t="s">
        <v>163</v>
      </c>
      <c r="F930" s="10">
        <v>158</v>
      </c>
      <c r="G930" s="10">
        <v>157.4</v>
      </c>
      <c r="H930" s="10">
        <v>114</v>
      </c>
      <c r="I930" s="10">
        <v>129</v>
      </c>
      <c r="J930" s="10">
        <v>119</v>
      </c>
      <c r="K930" s="10">
        <v>87</v>
      </c>
      <c r="L930" s="10">
        <v>106</v>
      </c>
      <c r="M930" s="10">
        <v>14.5</v>
      </c>
      <c r="N930" s="10">
        <v>1654</v>
      </c>
      <c r="O930" s="10">
        <v>0.93</v>
      </c>
      <c r="P930" s="10">
        <v>1540</v>
      </c>
      <c r="Q930" s="10">
        <v>173</v>
      </c>
      <c r="R930" s="10">
        <v>86</v>
      </c>
      <c r="S930" s="10">
        <v>60</v>
      </c>
      <c r="T930" s="10">
        <v>260</v>
      </c>
      <c r="U930" s="10">
        <v>11</v>
      </c>
      <c r="V930" s="10">
        <v>174</v>
      </c>
      <c r="W930" s="10">
        <v>0.183</v>
      </c>
      <c r="X930" s="10">
        <v>128</v>
      </c>
      <c r="Y930" s="10">
        <v>154</v>
      </c>
      <c r="Z930" s="10">
        <v>132</v>
      </c>
      <c r="AA930" s="10">
        <v>7</v>
      </c>
      <c r="AB930" s="10">
        <v>8.3000000000000007</v>
      </c>
      <c r="AC930" s="9" t="s">
        <v>188</v>
      </c>
      <c r="AD930" s="10"/>
      <c r="AE930" s="10"/>
      <c r="AF930" s="10"/>
      <c r="AG930" s="10"/>
    </row>
    <row r="931" spans="1:33">
      <c r="A931" s="7" t="s">
        <v>155</v>
      </c>
      <c r="B931" s="8" t="s">
        <v>332</v>
      </c>
      <c r="C931" s="9" t="s">
        <v>563</v>
      </c>
      <c r="D931" s="10">
        <v>165</v>
      </c>
      <c r="E931" s="9" t="s">
        <v>163</v>
      </c>
      <c r="F931" s="10">
        <v>165</v>
      </c>
      <c r="G931" s="10">
        <v>164.5</v>
      </c>
      <c r="H931" s="10">
        <v>122</v>
      </c>
      <c r="I931" s="10">
        <v>138</v>
      </c>
      <c r="J931" s="10">
        <v>120</v>
      </c>
      <c r="K931" s="10">
        <v>87</v>
      </c>
      <c r="L931" s="10">
        <v>106</v>
      </c>
      <c r="M931" s="10">
        <v>15.7</v>
      </c>
      <c r="N931" s="10">
        <v>1783</v>
      </c>
      <c r="O931" s="10">
        <v>0.9</v>
      </c>
      <c r="P931" s="10">
        <v>1614</v>
      </c>
      <c r="Q931" s="10">
        <v>177</v>
      </c>
      <c r="R931" s="10">
        <v>89</v>
      </c>
      <c r="S931" s="10">
        <v>52</v>
      </c>
      <c r="T931" s="10">
        <v>253</v>
      </c>
      <c r="U931" s="10">
        <v>12</v>
      </c>
      <c r="V931" s="10">
        <v>168</v>
      </c>
      <c r="W931" s="10">
        <v>0.22900000000000001</v>
      </c>
      <c r="X931" s="10">
        <v>128</v>
      </c>
      <c r="Y931" s="10">
        <v>141</v>
      </c>
      <c r="Z931" s="10">
        <v>125</v>
      </c>
      <c r="AA931" s="10">
        <v>9</v>
      </c>
      <c r="AB931" s="10">
        <v>8.3000000000000007</v>
      </c>
      <c r="AC931" s="9" t="s">
        <v>188</v>
      </c>
      <c r="AD931" s="10"/>
      <c r="AE931" s="10"/>
      <c r="AF931" s="10"/>
      <c r="AG931" s="10"/>
    </row>
    <row r="932" spans="1:33">
      <c r="A932" s="7" t="s">
        <v>155</v>
      </c>
      <c r="B932" s="8" t="s">
        <v>332</v>
      </c>
      <c r="C932" s="9" t="s">
        <v>563</v>
      </c>
      <c r="D932" s="10">
        <v>172</v>
      </c>
      <c r="E932" s="9" t="s">
        <v>163</v>
      </c>
      <c r="F932" s="10">
        <v>172</v>
      </c>
      <c r="G932" s="10">
        <v>172</v>
      </c>
      <c r="H932" s="10">
        <v>126</v>
      </c>
      <c r="I932" s="10">
        <v>143</v>
      </c>
      <c r="J932" s="10">
        <v>122</v>
      </c>
      <c r="K932" s="10">
        <v>87</v>
      </c>
      <c r="L932" s="10">
        <v>108</v>
      </c>
      <c r="M932" s="10">
        <v>16.100000000000001</v>
      </c>
      <c r="N932" s="10">
        <v>1894</v>
      </c>
      <c r="O932" s="10">
        <v>0.9</v>
      </c>
      <c r="P932" s="10">
        <v>1697</v>
      </c>
      <c r="Q932" s="10">
        <v>205</v>
      </c>
      <c r="R932" s="10">
        <v>101</v>
      </c>
      <c r="S932" s="10">
        <v>59</v>
      </c>
      <c r="T932" s="10">
        <v>266</v>
      </c>
      <c r="U932" s="10">
        <v>16</v>
      </c>
      <c r="V932" s="10">
        <v>198</v>
      </c>
      <c r="W932" s="10">
        <v>0.26700000000000002</v>
      </c>
      <c r="X932" s="10">
        <v>134</v>
      </c>
      <c r="Y932" s="10">
        <v>152</v>
      </c>
      <c r="Z932" s="10">
        <v>132</v>
      </c>
      <c r="AA932" s="10">
        <v>7</v>
      </c>
      <c r="AB932" s="10">
        <v>8.5</v>
      </c>
      <c r="AC932" s="9" t="s">
        <v>188</v>
      </c>
      <c r="AD932" s="10"/>
      <c r="AE932" s="10"/>
      <c r="AF932" s="10"/>
      <c r="AG932" s="10"/>
    </row>
    <row r="933" spans="1:33">
      <c r="A933" s="7" t="s">
        <v>155</v>
      </c>
      <c r="B933" s="8" t="s">
        <v>332</v>
      </c>
      <c r="C933" s="9" t="s">
        <v>528</v>
      </c>
      <c r="D933" s="10">
        <v>151</v>
      </c>
      <c r="E933" s="9" t="s">
        <v>163</v>
      </c>
      <c r="F933" s="10">
        <v>151</v>
      </c>
      <c r="G933" s="10">
        <v>150.30000000000001</v>
      </c>
      <c r="H933" s="10">
        <v>106</v>
      </c>
      <c r="I933" s="10">
        <v>123</v>
      </c>
      <c r="J933" s="10">
        <v>125</v>
      </c>
      <c r="K933" s="10">
        <v>92</v>
      </c>
      <c r="L933" s="10">
        <v>110</v>
      </c>
      <c r="M933" s="10">
        <v>13.1</v>
      </c>
      <c r="N933" s="10">
        <v>1607</v>
      </c>
      <c r="O933" s="10">
        <v>0.96</v>
      </c>
      <c r="P933" s="10">
        <v>1547</v>
      </c>
      <c r="Q933" s="10">
        <v>148</v>
      </c>
      <c r="R933" s="10">
        <v>84</v>
      </c>
      <c r="S933" s="10">
        <v>53</v>
      </c>
      <c r="T933" s="10">
        <v>253</v>
      </c>
      <c r="U933" s="10">
        <v>15</v>
      </c>
      <c r="V933" s="10">
        <v>190</v>
      </c>
      <c r="W933" s="10">
        <v>0.28399999999999997</v>
      </c>
      <c r="X933" s="10">
        <v>127</v>
      </c>
      <c r="Y933" s="10">
        <v>145</v>
      </c>
      <c r="Z933" s="10">
        <v>127</v>
      </c>
      <c r="AA933" s="10">
        <v>6</v>
      </c>
      <c r="AB933" s="10">
        <v>8.6</v>
      </c>
      <c r="AC933" s="9" t="s">
        <v>188</v>
      </c>
      <c r="AD933" s="10"/>
      <c r="AE933" s="10"/>
      <c r="AF933" s="10"/>
      <c r="AG933" s="10"/>
    </row>
    <row r="934" spans="1:33">
      <c r="A934" s="7" t="s">
        <v>155</v>
      </c>
      <c r="B934" s="8" t="s">
        <v>332</v>
      </c>
      <c r="C934" s="9" t="s">
        <v>528</v>
      </c>
      <c r="D934" s="10">
        <v>158</v>
      </c>
      <c r="E934" s="9" t="s">
        <v>163</v>
      </c>
      <c r="F934" s="10">
        <v>158</v>
      </c>
      <c r="G934" s="10">
        <v>157.19999999999999</v>
      </c>
      <c r="H934" s="10">
        <v>111</v>
      </c>
      <c r="I934" s="10">
        <v>128</v>
      </c>
      <c r="J934" s="10">
        <v>126</v>
      </c>
      <c r="K934" s="10">
        <v>93</v>
      </c>
      <c r="L934" s="10">
        <v>112</v>
      </c>
      <c r="M934" s="10">
        <v>14.3</v>
      </c>
      <c r="N934" s="10">
        <v>1755</v>
      </c>
      <c r="O934" s="10">
        <v>0.93</v>
      </c>
      <c r="P934" s="10">
        <v>1634</v>
      </c>
      <c r="Q934" s="10">
        <v>173</v>
      </c>
      <c r="R934" s="10">
        <v>97</v>
      </c>
      <c r="S934" s="10">
        <v>60</v>
      </c>
      <c r="T934" s="10">
        <v>270</v>
      </c>
      <c r="U934" s="10">
        <v>18</v>
      </c>
      <c r="V934" s="10">
        <v>193</v>
      </c>
      <c r="W934" s="10">
        <v>0.30299999999999999</v>
      </c>
      <c r="X934" s="10">
        <v>150</v>
      </c>
      <c r="Y934" s="10">
        <v>143</v>
      </c>
      <c r="Z934" s="10">
        <v>120</v>
      </c>
      <c r="AA934" s="10">
        <v>6</v>
      </c>
      <c r="AB934" s="10">
        <v>8.6999999999999993</v>
      </c>
      <c r="AC934" s="9" t="s">
        <v>188</v>
      </c>
      <c r="AD934" s="10"/>
      <c r="AE934" s="10"/>
      <c r="AF934" s="10"/>
      <c r="AG934" s="10"/>
    </row>
    <row r="935" spans="1:33">
      <c r="A935" s="7" t="s">
        <v>155</v>
      </c>
      <c r="B935" s="8" t="s">
        <v>332</v>
      </c>
      <c r="C935" s="9" t="s">
        <v>528</v>
      </c>
      <c r="D935" s="10">
        <v>165</v>
      </c>
      <c r="E935" s="9" t="s">
        <v>163</v>
      </c>
      <c r="F935" s="10">
        <v>165</v>
      </c>
      <c r="G935" s="10">
        <v>164.2</v>
      </c>
      <c r="H935" s="10">
        <v>117</v>
      </c>
      <c r="I935" s="10">
        <v>137</v>
      </c>
      <c r="J935" s="10">
        <v>126</v>
      </c>
      <c r="K935" s="10">
        <v>93</v>
      </c>
      <c r="L935" s="10">
        <v>112</v>
      </c>
      <c r="M935" s="10">
        <v>15.4</v>
      </c>
      <c r="N935" s="10">
        <v>1825</v>
      </c>
      <c r="O935" s="10">
        <v>0.93</v>
      </c>
      <c r="P935" s="10">
        <v>1699</v>
      </c>
      <c r="Q935" s="10">
        <v>205</v>
      </c>
      <c r="R935" s="10">
        <v>91</v>
      </c>
      <c r="S935" s="10">
        <v>60</v>
      </c>
      <c r="T935" s="10">
        <v>283</v>
      </c>
      <c r="U935" s="10">
        <v>14</v>
      </c>
      <c r="V935" s="10">
        <v>186</v>
      </c>
      <c r="W935" s="10">
        <v>0.23</v>
      </c>
      <c r="X935" s="10">
        <v>130</v>
      </c>
      <c r="Y935" s="10">
        <v>137</v>
      </c>
      <c r="Z935" s="10">
        <v>153</v>
      </c>
      <c r="AA935" s="10">
        <v>6</v>
      </c>
      <c r="AB935" s="10">
        <v>8.5</v>
      </c>
      <c r="AC935" s="9" t="s">
        <v>188</v>
      </c>
      <c r="AD935" s="10"/>
      <c r="AE935" s="10"/>
      <c r="AF935" s="10"/>
      <c r="AG935" s="10"/>
    </row>
    <row r="936" spans="1:33">
      <c r="A936" s="7" t="s">
        <v>155</v>
      </c>
      <c r="B936" s="8" t="s">
        <v>332</v>
      </c>
      <c r="C936" s="9" t="s">
        <v>528</v>
      </c>
      <c r="D936" s="10">
        <v>172</v>
      </c>
      <c r="E936" s="9" t="s">
        <v>163</v>
      </c>
      <c r="F936" s="10">
        <v>172</v>
      </c>
      <c r="G936" s="10">
        <v>171.2</v>
      </c>
      <c r="H936" s="10">
        <v>123</v>
      </c>
      <c r="I936" s="10">
        <v>142</v>
      </c>
      <c r="J936" s="10">
        <v>127</v>
      </c>
      <c r="K936" s="10">
        <v>92</v>
      </c>
      <c r="L936" s="10">
        <v>113</v>
      </c>
      <c r="M936" s="10">
        <v>15.9</v>
      </c>
      <c r="N936" s="10">
        <v>2016</v>
      </c>
      <c r="O936" s="10">
        <v>0.88</v>
      </c>
      <c r="P936" s="10">
        <v>1775</v>
      </c>
      <c r="Q936" s="10">
        <v>250</v>
      </c>
      <c r="R936" s="10">
        <v>118</v>
      </c>
      <c r="S936" s="10">
        <v>61</v>
      </c>
      <c r="T936" s="10">
        <v>287</v>
      </c>
      <c r="U936" s="10">
        <v>16</v>
      </c>
      <c r="V936" s="10">
        <v>197</v>
      </c>
      <c r="W936" s="10">
        <v>0.25600000000000001</v>
      </c>
      <c r="X936" s="10">
        <v>137</v>
      </c>
      <c r="Y936" s="10">
        <v>155</v>
      </c>
      <c r="Z936" s="10">
        <v>150</v>
      </c>
      <c r="AA936" s="10">
        <v>5</v>
      </c>
      <c r="AB936" s="10">
        <v>8.5</v>
      </c>
      <c r="AC936" s="9" t="s">
        <v>188</v>
      </c>
      <c r="AD936" s="10"/>
      <c r="AE936" s="10"/>
      <c r="AF936" s="10"/>
      <c r="AG936" s="10"/>
    </row>
    <row r="937" spans="1:33">
      <c r="A937" s="7" t="s">
        <v>155</v>
      </c>
      <c r="B937" s="8" t="s">
        <v>332</v>
      </c>
      <c r="C937" s="9" t="s">
        <v>369</v>
      </c>
      <c r="D937" s="10">
        <v>165</v>
      </c>
      <c r="E937" s="9" t="s">
        <v>163</v>
      </c>
      <c r="F937" s="10">
        <v>165</v>
      </c>
      <c r="G937" s="10">
        <v>164.4</v>
      </c>
      <c r="H937" s="10">
        <v>119</v>
      </c>
      <c r="I937" s="10">
        <v>135</v>
      </c>
      <c r="J937" s="10">
        <v>131</v>
      </c>
      <c r="K937" s="10">
        <v>99</v>
      </c>
      <c r="L937" s="10">
        <v>117</v>
      </c>
      <c r="M937" s="10">
        <v>16.2</v>
      </c>
      <c r="N937" s="10">
        <v>1783</v>
      </c>
      <c r="O937" s="10">
        <v>1.01</v>
      </c>
      <c r="P937" s="10">
        <v>1798</v>
      </c>
      <c r="Q937" s="10">
        <v>172</v>
      </c>
      <c r="R937" s="10">
        <v>91</v>
      </c>
      <c r="S937" s="10">
        <v>51</v>
      </c>
      <c r="T937" s="10">
        <v>252</v>
      </c>
      <c r="U937" s="10">
        <v>18</v>
      </c>
      <c r="V937" s="10">
        <v>200</v>
      </c>
      <c r="W937" s="10">
        <v>0.35599999999999998</v>
      </c>
      <c r="X937" s="10">
        <v>154</v>
      </c>
      <c r="Y937" s="10">
        <v>143</v>
      </c>
      <c r="Z937" s="10">
        <v>98</v>
      </c>
      <c r="AA937" s="10">
        <v>7</v>
      </c>
      <c r="AB937" s="10">
        <v>8.5</v>
      </c>
      <c r="AC937" s="9" t="s">
        <v>188</v>
      </c>
      <c r="AD937" s="10"/>
      <c r="AE937" s="10"/>
      <c r="AF937" s="10"/>
      <c r="AG937" s="10"/>
    </row>
    <row r="938" spans="1:33">
      <c r="A938" s="7" t="s">
        <v>155</v>
      </c>
      <c r="B938" s="8" t="s">
        <v>332</v>
      </c>
      <c r="C938" s="9" t="s">
        <v>369</v>
      </c>
      <c r="D938" s="10">
        <v>172</v>
      </c>
      <c r="E938" s="9" t="s">
        <v>163</v>
      </c>
      <c r="F938" s="10">
        <v>172</v>
      </c>
      <c r="G938" s="10">
        <v>171.1</v>
      </c>
      <c r="H938" s="10">
        <v>120</v>
      </c>
      <c r="I938" s="10">
        <v>142</v>
      </c>
      <c r="J938" s="10">
        <v>132</v>
      </c>
      <c r="K938" s="10">
        <v>99</v>
      </c>
      <c r="L938" s="10">
        <v>119</v>
      </c>
      <c r="M938" s="10">
        <v>16.899999999999999</v>
      </c>
      <c r="N938" s="10">
        <v>1927</v>
      </c>
      <c r="O938" s="10">
        <v>0.97</v>
      </c>
      <c r="P938" s="10">
        <v>1877</v>
      </c>
      <c r="Q938" s="10">
        <v>192</v>
      </c>
      <c r="R938" s="10">
        <v>99</v>
      </c>
      <c r="S938" s="10">
        <v>62</v>
      </c>
      <c r="T938" s="10">
        <v>296</v>
      </c>
      <c r="U938" s="10">
        <v>21</v>
      </c>
      <c r="V938" s="10">
        <v>213</v>
      </c>
      <c r="W938" s="10">
        <v>0.34399999999999997</v>
      </c>
      <c r="X938" s="10">
        <v>142</v>
      </c>
      <c r="Y938" s="10">
        <v>150</v>
      </c>
      <c r="Z938" s="10">
        <v>154</v>
      </c>
      <c r="AA938" s="10">
        <v>5</v>
      </c>
      <c r="AB938" s="10">
        <v>8.1999999999999993</v>
      </c>
      <c r="AC938" s="9" t="s">
        <v>188</v>
      </c>
      <c r="AD938" s="10"/>
      <c r="AE938" s="10"/>
      <c r="AF938" s="10"/>
      <c r="AG938" s="10"/>
    </row>
    <row r="939" spans="1:33">
      <c r="A939" s="7" t="s">
        <v>155</v>
      </c>
      <c r="B939" s="8" t="s">
        <v>332</v>
      </c>
      <c r="C939" s="9" t="s">
        <v>454</v>
      </c>
      <c r="D939" s="10">
        <v>149</v>
      </c>
      <c r="E939" s="9" t="s">
        <v>158</v>
      </c>
      <c r="F939" s="10">
        <v>149</v>
      </c>
      <c r="G939" s="10">
        <v>147.30000000000001</v>
      </c>
      <c r="H939" s="10">
        <v>117</v>
      </c>
      <c r="I939" s="10">
        <v>131</v>
      </c>
      <c r="J939" s="10">
        <v>115</v>
      </c>
      <c r="K939" s="10">
        <v>81</v>
      </c>
      <c r="L939" s="10">
        <v>106</v>
      </c>
      <c r="M939" s="10">
        <v>14.4</v>
      </c>
      <c r="N939" s="10">
        <v>1359</v>
      </c>
      <c r="O939" s="10">
        <v>0.99</v>
      </c>
      <c r="P939" s="10">
        <v>1352</v>
      </c>
      <c r="Q939" s="10">
        <v>114</v>
      </c>
      <c r="R939" s="10">
        <v>59</v>
      </c>
      <c r="S939" s="10">
        <v>47</v>
      </c>
      <c r="T939" s="10">
        <v>156</v>
      </c>
      <c r="U939" s="10">
        <v>41</v>
      </c>
      <c r="V939" s="10">
        <v>148</v>
      </c>
      <c r="W939" s="10">
        <v>0.86299999999999999</v>
      </c>
      <c r="X939" s="10">
        <v>91</v>
      </c>
      <c r="Y939" s="10">
        <v>76</v>
      </c>
      <c r="Z939" s="10">
        <v>65</v>
      </c>
      <c r="AA939" s="10">
        <v>10</v>
      </c>
      <c r="AB939" s="10">
        <v>8.1999999999999993</v>
      </c>
      <c r="AC939" s="9" t="s">
        <v>184</v>
      </c>
      <c r="AD939" s="10"/>
      <c r="AE939" s="10"/>
      <c r="AF939" s="10"/>
      <c r="AG939" s="10"/>
    </row>
    <row r="940" spans="1:33">
      <c r="A940" s="7" t="s">
        <v>155</v>
      </c>
      <c r="B940" s="8" t="s">
        <v>332</v>
      </c>
      <c r="C940" s="9" t="s">
        <v>454</v>
      </c>
      <c r="D940" s="10">
        <v>156</v>
      </c>
      <c r="E940" s="9" t="s">
        <v>158</v>
      </c>
      <c r="F940" s="10">
        <v>156</v>
      </c>
      <c r="G940" s="10">
        <v>154.4</v>
      </c>
      <c r="H940" s="10">
        <v>124</v>
      </c>
      <c r="I940" s="10">
        <v>138</v>
      </c>
      <c r="J940" s="10">
        <v>115</v>
      </c>
      <c r="K940" s="10">
        <v>81</v>
      </c>
      <c r="L940" s="10">
        <v>106</v>
      </c>
      <c r="M940" s="10">
        <v>15.9</v>
      </c>
      <c r="N940" s="10">
        <v>1426</v>
      </c>
      <c r="O940" s="10">
        <v>0.99</v>
      </c>
      <c r="P940" s="10">
        <v>1417</v>
      </c>
      <c r="Q940" s="10">
        <v>135</v>
      </c>
      <c r="R940" s="10">
        <v>69</v>
      </c>
      <c r="S940" s="10">
        <v>48</v>
      </c>
      <c r="T940" s="10">
        <v>154</v>
      </c>
      <c r="U940" s="10">
        <v>41</v>
      </c>
      <c r="V940" s="10">
        <v>148</v>
      </c>
      <c r="W940" s="10">
        <v>0.85499999999999998</v>
      </c>
      <c r="X940" s="10">
        <v>92</v>
      </c>
      <c r="Y940" s="10">
        <v>72</v>
      </c>
      <c r="Z940" s="10">
        <v>62</v>
      </c>
      <c r="AA940" s="10">
        <v>10</v>
      </c>
      <c r="AB940" s="10">
        <v>8.6999999999999993</v>
      </c>
      <c r="AC940" s="9" t="s">
        <v>188</v>
      </c>
      <c r="AD940" s="9" t="s">
        <v>184</v>
      </c>
      <c r="AE940" s="10"/>
      <c r="AF940" s="10"/>
      <c r="AG940" s="10"/>
    </row>
    <row r="941" spans="1:33">
      <c r="A941" s="7" t="s">
        <v>155</v>
      </c>
      <c r="B941" s="8" t="s">
        <v>332</v>
      </c>
      <c r="C941" s="9" t="s">
        <v>454</v>
      </c>
      <c r="D941" s="10">
        <v>163</v>
      </c>
      <c r="E941" s="9" t="s">
        <v>158</v>
      </c>
      <c r="F941" s="10">
        <v>163</v>
      </c>
      <c r="G941" s="10">
        <v>161.4</v>
      </c>
      <c r="H941" s="10">
        <v>132</v>
      </c>
      <c r="I941" s="10">
        <v>145</v>
      </c>
      <c r="J941" s="10">
        <v>120</v>
      </c>
      <c r="K941" s="10">
        <v>83</v>
      </c>
      <c r="L941" s="10">
        <v>109</v>
      </c>
      <c r="M941" s="10">
        <v>16</v>
      </c>
      <c r="N941" s="10">
        <v>1565</v>
      </c>
      <c r="O941" s="10">
        <v>0.98</v>
      </c>
      <c r="P941" s="10">
        <v>1527</v>
      </c>
      <c r="Q941" s="10">
        <v>160</v>
      </c>
      <c r="R941" s="10">
        <v>86</v>
      </c>
      <c r="S941" s="10">
        <v>45</v>
      </c>
      <c r="T941" s="10">
        <v>152</v>
      </c>
      <c r="U941" s="10">
        <v>39</v>
      </c>
      <c r="V941" s="10">
        <v>140</v>
      </c>
      <c r="W941" s="10">
        <v>0.86599999999999999</v>
      </c>
      <c r="X941" s="10">
        <v>90</v>
      </c>
      <c r="Y941" s="10">
        <v>76</v>
      </c>
      <c r="Z941" s="10">
        <v>62</v>
      </c>
      <c r="AA941" s="10">
        <v>9</v>
      </c>
      <c r="AB941" s="10">
        <v>9.3000000000000007</v>
      </c>
      <c r="AC941" s="9" t="s">
        <v>184</v>
      </c>
      <c r="AD941" s="10"/>
      <c r="AE941" s="10"/>
      <c r="AF941" s="10"/>
      <c r="AG941" s="10"/>
    </row>
    <row r="942" spans="1:33">
      <c r="A942" s="7" t="s">
        <v>155</v>
      </c>
      <c r="B942" s="8" t="s">
        <v>332</v>
      </c>
      <c r="C942" s="9" t="s">
        <v>454</v>
      </c>
      <c r="D942" s="10">
        <v>170</v>
      </c>
      <c r="E942" s="9" t="s">
        <v>158</v>
      </c>
      <c r="F942" s="10">
        <v>170</v>
      </c>
      <c r="G942" s="10">
        <v>168.6</v>
      </c>
      <c r="H942" s="10">
        <v>138</v>
      </c>
      <c r="I942" s="10">
        <v>151</v>
      </c>
      <c r="J942" s="10">
        <v>120</v>
      </c>
      <c r="K942" s="10">
        <v>83</v>
      </c>
      <c r="L942" s="10">
        <v>109</v>
      </c>
      <c r="M942" s="10">
        <v>18</v>
      </c>
      <c r="N942" s="10">
        <v>1690</v>
      </c>
      <c r="O942" s="10">
        <v>0.94</v>
      </c>
      <c r="P942" s="10">
        <v>1593</v>
      </c>
      <c r="Q942" s="10">
        <v>200</v>
      </c>
      <c r="R942" s="10">
        <v>103</v>
      </c>
      <c r="S942" s="10">
        <v>48</v>
      </c>
      <c r="T942" s="10">
        <v>159</v>
      </c>
      <c r="U942" s="10">
        <v>41</v>
      </c>
      <c r="V942" s="10">
        <v>143</v>
      </c>
      <c r="W942" s="10">
        <v>0.85299999999999998</v>
      </c>
      <c r="X942" s="10">
        <v>94</v>
      </c>
      <c r="Y942" s="10">
        <v>78</v>
      </c>
      <c r="Z942" s="10">
        <v>65</v>
      </c>
      <c r="AA942" s="10">
        <v>11</v>
      </c>
      <c r="AB942" s="10">
        <v>9.6999999999999993</v>
      </c>
      <c r="AC942" s="9" t="s">
        <v>188</v>
      </c>
      <c r="AD942" s="9" t="s">
        <v>184</v>
      </c>
      <c r="AE942" s="10"/>
      <c r="AF942" s="10"/>
      <c r="AG942" s="10"/>
    </row>
    <row r="943" spans="1:33">
      <c r="A943" s="7" t="s">
        <v>155</v>
      </c>
      <c r="B943" s="8" t="s">
        <v>332</v>
      </c>
      <c r="C943" s="9" t="s">
        <v>567</v>
      </c>
      <c r="D943" s="10">
        <v>169</v>
      </c>
      <c r="E943" s="9" t="s">
        <v>158</v>
      </c>
      <c r="F943" s="10">
        <v>169</v>
      </c>
      <c r="G943" s="10">
        <v>167.6</v>
      </c>
      <c r="H943" s="10">
        <v>133</v>
      </c>
      <c r="I943" s="10">
        <v>145</v>
      </c>
      <c r="J943" s="10">
        <v>123</v>
      </c>
      <c r="K943" s="10">
        <v>86</v>
      </c>
      <c r="L943" s="10">
        <v>113</v>
      </c>
      <c r="M943" s="10">
        <v>15.3</v>
      </c>
      <c r="N943" s="10">
        <v>1841</v>
      </c>
      <c r="O943" s="10">
        <v>0.9</v>
      </c>
      <c r="P943" s="10">
        <v>1654</v>
      </c>
      <c r="Q943" s="10">
        <v>156</v>
      </c>
      <c r="R943" s="10">
        <v>77</v>
      </c>
      <c r="S943" s="10">
        <v>46</v>
      </c>
      <c r="T943" s="10">
        <v>174</v>
      </c>
      <c r="U943" s="10">
        <v>44</v>
      </c>
      <c r="V943" s="10">
        <v>176</v>
      </c>
      <c r="W943" s="10">
        <v>0.95699999999999996</v>
      </c>
      <c r="X943" s="10">
        <v>106</v>
      </c>
      <c r="Y943" s="10">
        <v>122</v>
      </c>
      <c r="Z943" s="10">
        <v>67</v>
      </c>
      <c r="AA943" s="10">
        <v>12</v>
      </c>
      <c r="AB943" s="10">
        <v>5.2</v>
      </c>
      <c r="AC943" s="9" t="s">
        <v>184</v>
      </c>
      <c r="AD943" s="10"/>
      <c r="AE943" s="10"/>
      <c r="AF943" s="10"/>
      <c r="AG943" s="10"/>
    </row>
    <row r="944" spans="1:33">
      <c r="A944" s="7" t="s">
        <v>155</v>
      </c>
      <c r="B944" s="8" t="s">
        <v>332</v>
      </c>
      <c r="C944" s="9" t="s">
        <v>567</v>
      </c>
      <c r="D944" s="10">
        <v>177</v>
      </c>
      <c r="E944" s="9" t="s">
        <v>158</v>
      </c>
      <c r="F944" s="10">
        <v>177</v>
      </c>
      <c r="G944" s="10">
        <v>175</v>
      </c>
      <c r="H944" s="10">
        <v>138</v>
      </c>
      <c r="I944" s="10">
        <v>153</v>
      </c>
      <c r="J944" s="10">
        <v>124</v>
      </c>
      <c r="K944" s="10">
        <v>86</v>
      </c>
      <c r="L944" s="10">
        <v>114</v>
      </c>
      <c r="M944" s="10">
        <v>16.5</v>
      </c>
      <c r="N944" s="10">
        <v>1946</v>
      </c>
      <c r="O944" s="10">
        <v>0.89</v>
      </c>
      <c r="P944" s="10">
        <v>1727</v>
      </c>
      <c r="Q944" s="10">
        <v>218</v>
      </c>
      <c r="R944" s="10">
        <v>96</v>
      </c>
      <c r="S944" s="10">
        <v>47</v>
      </c>
      <c r="T944" s="10">
        <v>180</v>
      </c>
      <c r="U944" s="10">
        <v>48</v>
      </c>
      <c r="V944" s="10">
        <v>185</v>
      </c>
      <c r="W944" s="10">
        <v>1.0109999999999999</v>
      </c>
      <c r="X944" s="10">
        <v>103</v>
      </c>
      <c r="Y944" s="10">
        <v>115</v>
      </c>
      <c r="Z944" s="10">
        <v>78</v>
      </c>
      <c r="AA944" s="10">
        <v>8</v>
      </c>
      <c r="AB944" s="10">
        <v>6.6</v>
      </c>
      <c r="AC944" s="9" t="s">
        <v>184</v>
      </c>
      <c r="AD944" s="10"/>
      <c r="AE944" s="10"/>
      <c r="AF944" s="10"/>
      <c r="AG944" s="10"/>
    </row>
    <row r="945" spans="1:33">
      <c r="A945" s="7" t="s">
        <v>155</v>
      </c>
      <c r="B945" s="8" t="s">
        <v>332</v>
      </c>
      <c r="C945" s="9" t="s">
        <v>567</v>
      </c>
      <c r="D945" s="10">
        <v>185</v>
      </c>
      <c r="E945" s="9" t="s">
        <v>158</v>
      </c>
      <c r="F945" s="10">
        <v>185</v>
      </c>
      <c r="G945" s="10">
        <v>185</v>
      </c>
      <c r="H945" s="10">
        <v>147</v>
      </c>
      <c r="I945" s="10">
        <v>160</v>
      </c>
      <c r="J945" s="10">
        <v>124</v>
      </c>
      <c r="K945" s="10">
        <v>86</v>
      </c>
      <c r="L945" s="10">
        <v>114</v>
      </c>
      <c r="M945" s="10">
        <v>18.5</v>
      </c>
      <c r="N945" s="10">
        <v>2107</v>
      </c>
      <c r="O945" s="10">
        <v>0.86</v>
      </c>
      <c r="P945" s="10">
        <v>1819</v>
      </c>
      <c r="Q945" s="10">
        <v>239</v>
      </c>
      <c r="R945" s="10">
        <v>106</v>
      </c>
      <c r="S945" s="10">
        <v>50</v>
      </c>
      <c r="T945" s="10">
        <v>180</v>
      </c>
      <c r="U945" s="10">
        <v>59</v>
      </c>
      <c r="V945" s="10">
        <v>203</v>
      </c>
      <c r="W945" s="10">
        <v>1.19</v>
      </c>
      <c r="X945" s="10">
        <v>98</v>
      </c>
      <c r="Y945" s="10">
        <v>152</v>
      </c>
      <c r="Z945" s="10">
        <v>83</v>
      </c>
      <c r="AA945" s="10">
        <v>11</v>
      </c>
      <c r="AB945" s="10">
        <v>5.9</v>
      </c>
      <c r="AC945" s="9" t="s">
        <v>184</v>
      </c>
      <c r="AD945" s="10"/>
      <c r="AE945" s="10"/>
      <c r="AF945" s="10"/>
      <c r="AG945" s="10"/>
    </row>
    <row r="946" spans="1:33">
      <c r="A946" s="7" t="s">
        <v>155</v>
      </c>
      <c r="B946" s="8" t="s">
        <v>332</v>
      </c>
      <c r="C946" s="9" t="s">
        <v>465</v>
      </c>
      <c r="D946" s="10">
        <v>169</v>
      </c>
      <c r="E946" s="9" t="s">
        <v>158</v>
      </c>
      <c r="F946" s="10">
        <v>169</v>
      </c>
      <c r="G946" s="10">
        <v>167.4</v>
      </c>
      <c r="H946" s="10">
        <v>132</v>
      </c>
      <c r="I946" s="10">
        <v>143</v>
      </c>
      <c r="J946" s="10">
        <v>134</v>
      </c>
      <c r="K946" s="10">
        <v>96</v>
      </c>
      <c r="L946" s="10">
        <v>124</v>
      </c>
      <c r="M946" s="10">
        <v>14.8</v>
      </c>
      <c r="N946" s="10">
        <v>1913</v>
      </c>
      <c r="O946" s="10">
        <v>0.95</v>
      </c>
      <c r="P946" s="10">
        <v>1821</v>
      </c>
      <c r="Q946" s="10">
        <v>168</v>
      </c>
      <c r="R946" s="10">
        <v>81</v>
      </c>
      <c r="S946" s="10">
        <v>45</v>
      </c>
      <c r="T946" s="10">
        <v>175</v>
      </c>
      <c r="U946" s="10">
        <v>47</v>
      </c>
      <c r="V946" s="10">
        <v>177</v>
      </c>
      <c r="W946" s="10">
        <v>1.0469999999999999</v>
      </c>
      <c r="X946" s="10">
        <v>105</v>
      </c>
      <c r="Y946" s="10">
        <v>135</v>
      </c>
      <c r="Z946" s="10">
        <v>70</v>
      </c>
      <c r="AA946" s="10">
        <v>11</v>
      </c>
      <c r="AB946" s="10">
        <v>6</v>
      </c>
      <c r="AC946" s="9" t="s">
        <v>184</v>
      </c>
      <c r="AD946" s="10"/>
      <c r="AE946" s="10"/>
      <c r="AF946" s="10"/>
      <c r="AG946" s="10"/>
    </row>
    <row r="947" spans="1:33">
      <c r="A947" s="7" t="s">
        <v>155</v>
      </c>
      <c r="B947" s="8" t="s">
        <v>332</v>
      </c>
      <c r="C947" s="9" t="s">
        <v>465</v>
      </c>
      <c r="D947" s="10">
        <v>177</v>
      </c>
      <c r="E947" s="9" t="s">
        <v>158</v>
      </c>
      <c r="F947" s="10">
        <v>177</v>
      </c>
      <c r="G947" s="10">
        <v>175.3</v>
      </c>
      <c r="H947" s="10">
        <v>140</v>
      </c>
      <c r="I947" s="10">
        <v>152</v>
      </c>
      <c r="J947" s="10">
        <v>133</v>
      </c>
      <c r="K947" s="10">
        <v>96</v>
      </c>
      <c r="L947" s="10">
        <v>123</v>
      </c>
      <c r="M947" s="10">
        <v>16.899999999999999</v>
      </c>
      <c r="N947" s="10">
        <v>1992</v>
      </c>
      <c r="O947" s="10">
        <v>0.95</v>
      </c>
      <c r="P947" s="10">
        <v>1896</v>
      </c>
      <c r="Q947" s="10">
        <v>184</v>
      </c>
      <c r="R947" s="10">
        <v>91</v>
      </c>
      <c r="S947" s="10">
        <v>48</v>
      </c>
      <c r="T947" s="10">
        <v>177</v>
      </c>
      <c r="U947" s="10">
        <v>44</v>
      </c>
      <c r="V947" s="10">
        <v>175</v>
      </c>
      <c r="W947" s="10">
        <v>0.92200000000000004</v>
      </c>
      <c r="X947" s="10">
        <v>103</v>
      </c>
      <c r="Y947" s="10">
        <v>128</v>
      </c>
      <c r="Z947" s="10">
        <v>74</v>
      </c>
      <c r="AA947" s="10">
        <v>11</v>
      </c>
      <c r="AB947" s="10">
        <v>6</v>
      </c>
      <c r="AC947" s="9" t="s">
        <v>184</v>
      </c>
      <c r="AD947" s="10"/>
      <c r="AE947" s="10"/>
      <c r="AF947" s="10"/>
      <c r="AG947" s="10"/>
    </row>
    <row r="948" spans="1:33">
      <c r="A948" s="7" t="s">
        <v>155</v>
      </c>
      <c r="B948" s="8" t="s">
        <v>332</v>
      </c>
      <c r="C948" s="9" t="s">
        <v>465</v>
      </c>
      <c r="D948" s="10">
        <v>185</v>
      </c>
      <c r="E948" s="9" t="s">
        <v>158</v>
      </c>
      <c r="F948" s="10">
        <v>185</v>
      </c>
      <c r="G948" s="10">
        <v>183.1</v>
      </c>
      <c r="H948" s="10">
        <v>148</v>
      </c>
      <c r="I948" s="10">
        <v>160</v>
      </c>
      <c r="J948" s="10">
        <v>133</v>
      </c>
      <c r="K948" s="10">
        <v>96</v>
      </c>
      <c r="L948" s="10">
        <v>123</v>
      </c>
      <c r="M948" s="10">
        <v>19</v>
      </c>
      <c r="N948" s="10">
        <v>2129</v>
      </c>
      <c r="O948" s="10">
        <v>0.93</v>
      </c>
      <c r="P948" s="10">
        <v>1975</v>
      </c>
      <c r="Q948" s="10">
        <v>202</v>
      </c>
      <c r="R948" s="10">
        <v>101</v>
      </c>
      <c r="S948" s="10">
        <v>52</v>
      </c>
      <c r="T948" s="10">
        <v>178</v>
      </c>
      <c r="U948" s="10">
        <v>48</v>
      </c>
      <c r="V948" s="10">
        <v>175</v>
      </c>
      <c r="W948" s="10">
        <v>0.92</v>
      </c>
      <c r="X948" s="10">
        <v>105</v>
      </c>
      <c r="Y948" s="10">
        <v>126</v>
      </c>
      <c r="Z948" s="10">
        <v>74</v>
      </c>
      <c r="AA948" s="10">
        <v>11</v>
      </c>
      <c r="AB948" s="10">
        <v>6.3</v>
      </c>
      <c r="AC948" s="9" t="s">
        <v>184</v>
      </c>
      <c r="AD948" s="10"/>
      <c r="AE948" s="10"/>
      <c r="AF948" s="10"/>
      <c r="AG948" s="10"/>
    </row>
    <row r="949" spans="1:33">
      <c r="A949" s="7" t="s">
        <v>155</v>
      </c>
      <c r="B949" s="8" t="s">
        <v>332</v>
      </c>
      <c r="C949" s="9" t="s">
        <v>790</v>
      </c>
      <c r="D949" s="10">
        <v>160</v>
      </c>
      <c r="E949" s="9" t="s">
        <v>158</v>
      </c>
      <c r="F949" s="10">
        <v>160</v>
      </c>
      <c r="G949" s="10">
        <v>159.19999999999999</v>
      </c>
      <c r="H949" s="10">
        <v>141</v>
      </c>
      <c r="I949" s="10">
        <v>148</v>
      </c>
      <c r="J949" s="10">
        <v>117</v>
      </c>
      <c r="K949" s="10">
        <v>69</v>
      </c>
      <c r="L949" s="10">
        <v>98</v>
      </c>
      <c r="M949" s="10">
        <v>14.2</v>
      </c>
      <c r="N949" s="10">
        <v>1892</v>
      </c>
      <c r="O949" s="10">
        <v>0.7</v>
      </c>
      <c r="P949" s="10">
        <v>1328</v>
      </c>
      <c r="Q949" s="10">
        <v>168</v>
      </c>
      <c r="R949" s="10">
        <v>103</v>
      </c>
      <c r="S949" s="10">
        <v>36</v>
      </c>
      <c r="T949" s="10">
        <v>131</v>
      </c>
      <c r="U949" s="10">
        <v>6</v>
      </c>
      <c r="V949" s="10">
        <v>52</v>
      </c>
      <c r="W949" s="10">
        <v>0.17399999999999999</v>
      </c>
      <c r="X949" s="10">
        <v>63</v>
      </c>
      <c r="Y949" s="10">
        <v>45</v>
      </c>
      <c r="Z949" s="10">
        <v>68</v>
      </c>
      <c r="AA949" s="10">
        <v>8</v>
      </c>
      <c r="AB949" s="10">
        <v>12.6</v>
      </c>
      <c r="AC949" s="9" t="s">
        <v>349</v>
      </c>
      <c r="AD949" s="10"/>
      <c r="AE949" s="10"/>
      <c r="AF949" s="10"/>
      <c r="AG949" s="10"/>
    </row>
    <row r="950" spans="1:33">
      <c r="A950" s="7" t="s">
        <v>155</v>
      </c>
      <c r="B950" s="8" t="s">
        <v>332</v>
      </c>
      <c r="C950" s="9" t="s">
        <v>790</v>
      </c>
      <c r="D950" s="10">
        <v>165</v>
      </c>
      <c r="E950" s="9" t="s">
        <v>158</v>
      </c>
      <c r="F950" s="10">
        <v>165</v>
      </c>
      <c r="G950" s="10">
        <v>164.6</v>
      </c>
      <c r="H950" s="10">
        <v>146</v>
      </c>
      <c r="I950" s="10">
        <v>153</v>
      </c>
      <c r="J950" s="10">
        <v>118</v>
      </c>
      <c r="K950" s="10">
        <v>69</v>
      </c>
      <c r="L950" s="10">
        <v>97</v>
      </c>
      <c r="M950" s="10">
        <v>15</v>
      </c>
      <c r="N950" s="10">
        <v>1999</v>
      </c>
      <c r="O950" s="10">
        <v>0.69</v>
      </c>
      <c r="P950" s="10">
        <v>1377</v>
      </c>
      <c r="Q950" s="10">
        <v>167</v>
      </c>
      <c r="R950" s="10">
        <v>109</v>
      </c>
      <c r="S950" s="10">
        <v>35</v>
      </c>
      <c r="T950" s="10">
        <v>129</v>
      </c>
      <c r="U950" s="10">
        <v>7</v>
      </c>
      <c r="V950" s="10">
        <v>52</v>
      </c>
      <c r="W950" s="10">
        <v>0.189</v>
      </c>
      <c r="X950" s="10">
        <v>61</v>
      </c>
      <c r="Y950" s="10">
        <v>57</v>
      </c>
      <c r="Z950" s="10">
        <v>68</v>
      </c>
      <c r="AA950" s="10">
        <v>9</v>
      </c>
      <c r="AB950" s="10">
        <v>13</v>
      </c>
      <c r="AC950" s="9" t="s">
        <v>349</v>
      </c>
      <c r="AD950" s="10"/>
      <c r="AE950" s="10"/>
      <c r="AF950" s="10"/>
      <c r="AG950" s="10"/>
    </row>
    <row r="951" spans="1:33">
      <c r="A951" s="7" t="s">
        <v>155</v>
      </c>
      <c r="B951" s="8" t="s">
        <v>332</v>
      </c>
      <c r="C951" s="9" t="s">
        <v>790</v>
      </c>
      <c r="D951" s="10">
        <v>170</v>
      </c>
      <c r="E951" s="9" t="s">
        <v>158</v>
      </c>
      <c r="F951" s="10">
        <v>170</v>
      </c>
      <c r="G951" s="10">
        <v>169.2</v>
      </c>
      <c r="H951" s="10">
        <v>151</v>
      </c>
      <c r="I951" s="10">
        <v>157</v>
      </c>
      <c r="J951" s="10">
        <v>120</v>
      </c>
      <c r="K951" s="10">
        <v>69</v>
      </c>
      <c r="L951" s="10">
        <v>100</v>
      </c>
      <c r="M951" s="10">
        <v>15.2</v>
      </c>
      <c r="N951" s="10">
        <v>2064</v>
      </c>
      <c r="O951" s="10">
        <v>0.69</v>
      </c>
      <c r="P951" s="10">
        <v>1427</v>
      </c>
      <c r="Q951" s="10">
        <v>198</v>
      </c>
      <c r="R951" s="10">
        <v>125</v>
      </c>
      <c r="S951" s="10">
        <v>36</v>
      </c>
      <c r="T951" s="10">
        <v>133</v>
      </c>
      <c r="U951" s="10">
        <v>6</v>
      </c>
      <c r="V951" s="10">
        <v>49</v>
      </c>
      <c r="W951" s="10">
        <v>0.16400000000000001</v>
      </c>
      <c r="X951" s="10">
        <v>67</v>
      </c>
      <c r="Y951" s="10">
        <v>52</v>
      </c>
      <c r="Z951" s="10">
        <v>66</v>
      </c>
      <c r="AA951" s="10">
        <v>9</v>
      </c>
      <c r="AB951" s="10">
        <v>13.2</v>
      </c>
      <c r="AC951" s="9" t="s">
        <v>349</v>
      </c>
      <c r="AD951" s="10"/>
      <c r="AE951" s="10"/>
      <c r="AF951" s="10"/>
      <c r="AG951" s="10"/>
    </row>
    <row r="952" spans="1:33">
      <c r="A952" s="7" t="s">
        <v>155</v>
      </c>
      <c r="B952" s="8" t="s">
        <v>332</v>
      </c>
      <c r="C952" s="9" t="s">
        <v>797</v>
      </c>
      <c r="D952" s="10">
        <v>165</v>
      </c>
      <c r="E952" s="9" t="s">
        <v>158</v>
      </c>
      <c r="F952" s="10">
        <v>165</v>
      </c>
      <c r="G952" s="10">
        <v>164.2</v>
      </c>
      <c r="H952" s="10">
        <v>146</v>
      </c>
      <c r="I952" s="10">
        <v>154</v>
      </c>
      <c r="J952" s="10">
        <v>119</v>
      </c>
      <c r="K952" s="10">
        <v>70</v>
      </c>
      <c r="L952" s="10">
        <v>98</v>
      </c>
      <c r="M952" s="10">
        <v>15</v>
      </c>
      <c r="N952" s="10">
        <v>1954</v>
      </c>
      <c r="O952" s="10">
        <v>0.71</v>
      </c>
      <c r="P952" s="10">
        <v>1380</v>
      </c>
      <c r="Q952" s="10">
        <v>185</v>
      </c>
      <c r="R952" s="10">
        <v>98</v>
      </c>
      <c r="S952" s="10">
        <v>36</v>
      </c>
      <c r="T952" s="10">
        <v>131</v>
      </c>
      <c r="U952" s="10">
        <v>5</v>
      </c>
      <c r="V952" s="10">
        <v>49</v>
      </c>
      <c r="W952" s="10">
        <v>0.14499999999999999</v>
      </c>
      <c r="X952" s="10">
        <v>62</v>
      </c>
      <c r="Y952" s="10">
        <v>44</v>
      </c>
      <c r="Z952" s="10">
        <v>69</v>
      </c>
      <c r="AA952" s="10">
        <v>9</v>
      </c>
      <c r="AB952" s="10">
        <v>13.1</v>
      </c>
      <c r="AC952" s="9" t="s">
        <v>349</v>
      </c>
      <c r="AD952" s="10"/>
      <c r="AE952" s="10"/>
      <c r="AF952" s="10"/>
      <c r="AG952" s="10"/>
    </row>
    <row r="953" spans="1:33">
      <c r="A953" s="7" t="s">
        <v>155</v>
      </c>
      <c r="B953" s="8" t="s">
        <v>332</v>
      </c>
      <c r="C953" s="9" t="s">
        <v>797</v>
      </c>
      <c r="D953" s="10">
        <v>170</v>
      </c>
      <c r="E953" s="9" t="s">
        <v>158</v>
      </c>
      <c r="F953" s="10">
        <v>170</v>
      </c>
      <c r="G953" s="10">
        <v>168.9</v>
      </c>
      <c r="H953" s="10">
        <v>150</v>
      </c>
      <c r="I953" s="10">
        <v>158</v>
      </c>
      <c r="J953" s="10">
        <v>121</v>
      </c>
      <c r="K953" s="10">
        <v>69</v>
      </c>
      <c r="L953" s="10">
        <v>100</v>
      </c>
      <c r="M953" s="10">
        <v>15.3</v>
      </c>
      <c r="N953" s="10">
        <v>2112</v>
      </c>
      <c r="O953" s="10">
        <v>0.68</v>
      </c>
      <c r="P953" s="10">
        <v>1428</v>
      </c>
      <c r="Q953" s="10">
        <v>227</v>
      </c>
      <c r="R953" s="10">
        <v>111</v>
      </c>
      <c r="S953" s="10">
        <v>40</v>
      </c>
      <c r="T953" s="10">
        <v>139</v>
      </c>
      <c r="U953" s="10">
        <v>6</v>
      </c>
      <c r="V953" s="10">
        <v>54</v>
      </c>
      <c r="W953" s="10">
        <v>0.153</v>
      </c>
      <c r="X953" s="10">
        <v>66</v>
      </c>
      <c r="Y953" s="10">
        <v>48</v>
      </c>
      <c r="Z953" s="10">
        <v>73</v>
      </c>
      <c r="AA953" s="10">
        <v>5</v>
      </c>
      <c r="AB953" s="10">
        <v>12.9</v>
      </c>
      <c r="AC953" s="9" t="s">
        <v>349</v>
      </c>
      <c r="AD953" s="10"/>
      <c r="AE953" s="10"/>
      <c r="AF953" s="10"/>
      <c r="AG953" s="10"/>
    </row>
    <row r="954" spans="1:33">
      <c r="A954" s="7" t="s">
        <v>155</v>
      </c>
      <c r="B954" s="8" t="s">
        <v>332</v>
      </c>
      <c r="C954" s="9" t="s">
        <v>742</v>
      </c>
      <c r="D954" s="10">
        <v>150</v>
      </c>
      <c r="E954" s="9" t="s">
        <v>163</v>
      </c>
      <c r="F954" s="10">
        <v>150</v>
      </c>
      <c r="G954" s="10">
        <v>148.9</v>
      </c>
      <c r="H954" s="10">
        <v>125</v>
      </c>
      <c r="I954" s="10">
        <v>136</v>
      </c>
      <c r="J954" s="10">
        <v>123</v>
      </c>
      <c r="K954" s="10">
        <v>74</v>
      </c>
      <c r="L954" s="10">
        <v>103</v>
      </c>
      <c r="M954" s="10">
        <v>11.9</v>
      </c>
      <c r="N954" s="10">
        <v>1528</v>
      </c>
      <c r="O954" s="10">
        <v>0.87</v>
      </c>
      <c r="P954" s="10">
        <v>1323</v>
      </c>
      <c r="Q954" s="10">
        <v>153</v>
      </c>
      <c r="R954" s="10">
        <v>60</v>
      </c>
      <c r="S954" s="10">
        <v>39</v>
      </c>
      <c r="T954" s="10">
        <v>170</v>
      </c>
      <c r="U954" s="10">
        <v>12</v>
      </c>
      <c r="V954" s="10">
        <v>69</v>
      </c>
      <c r="W954" s="10">
        <v>0.31</v>
      </c>
      <c r="X954" s="10">
        <v>62</v>
      </c>
      <c r="Y954" s="10">
        <v>67</v>
      </c>
      <c r="Z954" s="10">
        <v>108</v>
      </c>
      <c r="AA954" s="10">
        <v>6</v>
      </c>
      <c r="AB954" s="10">
        <v>9.3000000000000007</v>
      </c>
      <c r="AC954" s="9" t="s">
        <v>349</v>
      </c>
      <c r="AD954" s="10"/>
      <c r="AE954" s="10"/>
      <c r="AF954" s="10"/>
      <c r="AG954" s="10"/>
    </row>
    <row r="955" spans="1:33">
      <c r="A955" s="7" t="s">
        <v>155</v>
      </c>
      <c r="B955" s="8" t="s">
        <v>332</v>
      </c>
      <c r="C955" s="9" t="s">
        <v>742</v>
      </c>
      <c r="D955" s="10">
        <v>156</v>
      </c>
      <c r="E955" s="9" t="s">
        <v>163</v>
      </c>
      <c r="F955" s="10">
        <v>156</v>
      </c>
      <c r="G955" s="10">
        <v>155</v>
      </c>
      <c r="H955" s="10">
        <v>132</v>
      </c>
      <c r="I955" s="10">
        <v>141</v>
      </c>
      <c r="J955" s="10">
        <v>124</v>
      </c>
      <c r="K955" s="10">
        <v>74</v>
      </c>
      <c r="L955" s="10">
        <v>103</v>
      </c>
      <c r="M955" s="10">
        <v>12.6</v>
      </c>
      <c r="N955" s="10">
        <v>1654</v>
      </c>
      <c r="O955" s="10">
        <v>0.83</v>
      </c>
      <c r="P955" s="10">
        <v>1379</v>
      </c>
      <c r="Q955" s="10">
        <v>165</v>
      </c>
      <c r="R955" s="10">
        <v>65</v>
      </c>
      <c r="S955" s="10">
        <v>39</v>
      </c>
      <c r="T955" s="10">
        <v>164</v>
      </c>
      <c r="U955" s="10">
        <v>12</v>
      </c>
      <c r="V955" s="10">
        <v>68</v>
      </c>
      <c r="W955" s="10">
        <v>0.30099999999999999</v>
      </c>
      <c r="X955" s="10">
        <v>65</v>
      </c>
      <c r="Y955" s="10">
        <v>70</v>
      </c>
      <c r="Z955" s="10">
        <v>98</v>
      </c>
      <c r="AA955" s="10">
        <v>7</v>
      </c>
      <c r="AB955" s="10">
        <v>9.6999999999999993</v>
      </c>
      <c r="AC955" s="9" t="s">
        <v>349</v>
      </c>
      <c r="AD955" s="10"/>
      <c r="AE955" s="10"/>
      <c r="AF955" s="10"/>
      <c r="AG955" s="10"/>
    </row>
    <row r="956" spans="1:33">
      <c r="A956" s="7" t="s">
        <v>155</v>
      </c>
      <c r="B956" s="8" t="s">
        <v>332</v>
      </c>
      <c r="C956" s="9" t="s">
        <v>742</v>
      </c>
      <c r="D956" s="10">
        <v>162</v>
      </c>
      <c r="E956" s="9" t="s">
        <v>163</v>
      </c>
      <c r="F956" s="10">
        <v>162</v>
      </c>
      <c r="G956" s="10">
        <v>160.9</v>
      </c>
      <c r="H956" s="10">
        <v>135</v>
      </c>
      <c r="I956" s="10">
        <v>148</v>
      </c>
      <c r="J956" s="10">
        <v>124</v>
      </c>
      <c r="K956" s="10">
        <v>74</v>
      </c>
      <c r="L956" s="10">
        <v>104</v>
      </c>
      <c r="M956" s="10">
        <v>13.8</v>
      </c>
      <c r="N956" s="10">
        <v>1727</v>
      </c>
      <c r="O956" s="10">
        <v>0.83</v>
      </c>
      <c r="P956" s="10">
        <v>1433</v>
      </c>
      <c r="Q956" s="10">
        <v>196</v>
      </c>
      <c r="R956" s="10">
        <v>71</v>
      </c>
      <c r="S956" s="10">
        <v>43</v>
      </c>
      <c r="T956" s="10">
        <v>190</v>
      </c>
      <c r="U956" s="10">
        <v>12</v>
      </c>
      <c r="V956" s="10">
        <v>72</v>
      </c>
      <c r="W956" s="10">
        <v>0.27800000000000002</v>
      </c>
      <c r="X956" s="10">
        <v>63</v>
      </c>
      <c r="Y956" s="10">
        <v>68</v>
      </c>
      <c r="Z956" s="10">
        <v>128</v>
      </c>
      <c r="AA956" s="10">
        <v>6</v>
      </c>
      <c r="AB956" s="10">
        <v>9.3000000000000007</v>
      </c>
      <c r="AC956" s="9" t="s">
        <v>349</v>
      </c>
      <c r="AD956" s="10"/>
      <c r="AE956" s="10"/>
      <c r="AF956" s="10"/>
      <c r="AG956" s="10"/>
    </row>
    <row r="957" spans="1:33">
      <c r="A957" s="7" t="s">
        <v>155</v>
      </c>
      <c r="B957" s="8" t="s">
        <v>227</v>
      </c>
      <c r="C957" s="9" t="s">
        <v>724</v>
      </c>
      <c r="D957" s="10">
        <v>180</v>
      </c>
      <c r="E957" s="9" t="s">
        <v>158</v>
      </c>
      <c r="F957" s="10">
        <v>180</v>
      </c>
      <c r="G957" s="10">
        <v>178.1</v>
      </c>
      <c r="H957" s="10">
        <v>119</v>
      </c>
      <c r="I957" s="10">
        <v>149</v>
      </c>
      <c r="J957" s="10">
        <v>137</v>
      </c>
      <c r="K957" s="10">
        <v>108</v>
      </c>
      <c r="L957" s="10">
        <v>128</v>
      </c>
      <c r="M957" s="10">
        <v>19.399999999999999</v>
      </c>
      <c r="N957" s="10">
        <v>1606</v>
      </c>
      <c r="O957" s="10">
        <v>1.31</v>
      </c>
      <c r="P957" s="10">
        <v>2103</v>
      </c>
      <c r="Q957" s="10">
        <v>226</v>
      </c>
      <c r="R957" s="10">
        <v>55</v>
      </c>
      <c r="S957" s="10">
        <v>70</v>
      </c>
      <c r="T957" s="10">
        <v>324</v>
      </c>
      <c r="U957" s="10">
        <v>33</v>
      </c>
      <c r="V957" s="10">
        <v>268</v>
      </c>
      <c r="W957" s="10">
        <v>0.47499999999999998</v>
      </c>
      <c r="X957" s="10">
        <v>161</v>
      </c>
      <c r="Y957" s="10">
        <v>129</v>
      </c>
      <c r="Z957" s="10">
        <v>163</v>
      </c>
      <c r="AA957" s="10">
        <v>6</v>
      </c>
      <c r="AB957" s="10">
        <v>11.5</v>
      </c>
      <c r="AC957" s="9" t="s">
        <v>169</v>
      </c>
      <c r="AD957" s="9" t="s">
        <v>185</v>
      </c>
      <c r="AE957" s="9" t="s">
        <v>198</v>
      </c>
      <c r="AF957" s="10"/>
      <c r="AG957" s="10"/>
    </row>
    <row r="958" spans="1:33">
      <c r="A958" s="7" t="s">
        <v>155</v>
      </c>
      <c r="B958" s="8" t="s">
        <v>227</v>
      </c>
      <c r="C958" s="9" t="s">
        <v>724</v>
      </c>
      <c r="D958" s="10">
        <v>188</v>
      </c>
      <c r="E958" s="9" t="s">
        <v>158</v>
      </c>
      <c r="F958" s="10">
        <v>188</v>
      </c>
      <c r="G958" s="10">
        <v>186.2</v>
      </c>
      <c r="H958" s="10">
        <v>125</v>
      </c>
      <c r="I958" s="10">
        <v>154</v>
      </c>
      <c r="J958" s="10">
        <v>138</v>
      </c>
      <c r="K958" s="10">
        <v>108</v>
      </c>
      <c r="L958" s="10">
        <v>128</v>
      </c>
      <c r="M958" s="10">
        <v>20.8</v>
      </c>
      <c r="N958" s="10">
        <v>1682</v>
      </c>
      <c r="O958" s="10">
        <v>1.31</v>
      </c>
      <c r="P958" s="10">
        <v>2205</v>
      </c>
      <c r="Q958" s="10">
        <v>218</v>
      </c>
      <c r="R958" s="10">
        <v>57</v>
      </c>
      <c r="S958" s="10">
        <v>71</v>
      </c>
      <c r="T958" s="10">
        <v>381</v>
      </c>
      <c r="U958" s="10">
        <v>30</v>
      </c>
      <c r="V958" s="10">
        <v>228</v>
      </c>
      <c r="W958" s="10">
        <v>0.41799999999999998</v>
      </c>
      <c r="X958" s="10">
        <v>175</v>
      </c>
      <c r="Y958" s="10">
        <v>142</v>
      </c>
      <c r="Z958" s="10">
        <v>206</v>
      </c>
      <c r="AA958" s="10">
        <v>5</v>
      </c>
      <c r="AB958" s="10">
        <v>11.8</v>
      </c>
      <c r="AC958" s="9" t="s">
        <v>169</v>
      </c>
      <c r="AD958" s="9" t="s">
        <v>185</v>
      </c>
      <c r="AE958" s="9" t="s">
        <v>198</v>
      </c>
      <c r="AF958" s="10"/>
      <c r="AG958" s="10"/>
    </row>
    <row r="959" spans="1:33">
      <c r="A959" s="7" t="s">
        <v>155</v>
      </c>
      <c r="B959" s="8" t="s">
        <v>227</v>
      </c>
      <c r="C959" s="9" t="s">
        <v>681</v>
      </c>
      <c r="D959" s="10">
        <v>164</v>
      </c>
      <c r="E959" s="9" t="s">
        <v>158</v>
      </c>
      <c r="F959" s="10">
        <v>164</v>
      </c>
      <c r="G959" s="10">
        <v>162.30000000000001</v>
      </c>
      <c r="H959" s="10">
        <v>99</v>
      </c>
      <c r="I959" s="10">
        <v>135</v>
      </c>
      <c r="J959" s="10">
        <v>129</v>
      </c>
      <c r="K959" s="10">
        <v>98</v>
      </c>
      <c r="L959" s="10">
        <v>120</v>
      </c>
      <c r="M959" s="10">
        <v>16</v>
      </c>
      <c r="N959" s="10">
        <v>1345</v>
      </c>
      <c r="O959" s="10">
        <v>1.31</v>
      </c>
      <c r="P959" s="10">
        <v>1767</v>
      </c>
      <c r="Q959" s="10">
        <v>177</v>
      </c>
      <c r="R959" s="10">
        <v>44</v>
      </c>
      <c r="S959" s="10">
        <v>72</v>
      </c>
      <c r="T959" s="10">
        <v>387</v>
      </c>
      <c r="U959" s="10">
        <v>30</v>
      </c>
      <c r="V959" s="10">
        <v>249</v>
      </c>
      <c r="W959" s="10">
        <v>0.41099999999999998</v>
      </c>
      <c r="X959" s="10">
        <v>147</v>
      </c>
      <c r="Y959" s="10">
        <v>122</v>
      </c>
      <c r="Z959" s="10">
        <v>240</v>
      </c>
      <c r="AA959" s="10">
        <v>5</v>
      </c>
      <c r="AB959" s="10">
        <v>10.5</v>
      </c>
      <c r="AC959" s="9" t="s">
        <v>185</v>
      </c>
      <c r="AD959" s="9" t="s">
        <v>198</v>
      </c>
      <c r="AE959" s="10"/>
      <c r="AF959" s="10"/>
      <c r="AG959" s="10"/>
    </row>
    <row r="960" spans="1:33">
      <c r="A960" s="7" t="s">
        <v>155</v>
      </c>
      <c r="B960" s="8" t="s">
        <v>227</v>
      </c>
      <c r="C960" s="9" t="s">
        <v>681</v>
      </c>
      <c r="D960" s="10">
        <v>172</v>
      </c>
      <c r="E960" s="9" t="s">
        <v>158</v>
      </c>
      <c r="F960" s="10">
        <v>172</v>
      </c>
      <c r="G960" s="10">
        <v>170.3</v>
      </c>
      <c r="H960" s="10">
        <v>105</v>
      </c>
      <c r="I960" s="10">
        <v>142</v>
      </c>
      <c r="J960" s="10">
        <v>129</v>
      </c>
      <c r="K960" s="10">
        <v>98</v>
      </c>
      <c r="L960" s="10">
        <v>120</v>
      </c>
      <c r="M960" s="10">
        <v>17.5</v>
      </c>
      <c r="N960" s="10">
        <v>1483</v>
      </c>
      <c r="O960" s="10">
        <v>1.26</v>
      </c>
      <c r="P960" s="10">
        <v>1862</v>
      </c>
      <c r="Q960" s="10">
        <v>196</v>
      </c>
      <c r="R960" s="10">
        <v>48</v>
      </c>
      <c r="S960" s="10">
        <v>73</v>
      </c>
      <c r="T960" s="10">
        <v>405</v>
      </c>
      <c r="U960" s="10">
        <v>29</v>
      </c>
      <c r="V960" s="10">
        <v>248</v>
      </c>
      <c r="W960" s="10">
        <v>0.39900000000000002</v>
      </c>
      <c r="X960" s="10">
        <v>155</v>
      </c>
      <c r="Y960" s="10">
        <v>131</v>
      </c>
      <c r="Z960" s="10">
        <v>249</v>
      </c>
      <c r="AA960" s="10">
        <v>5</v>
      </c>
      <c r="AB960" s="10">
        <v>10.8</v>
      </c>
      <c r="AC960" s="9" t="s">
        <v>188</v>
      </c>
      <c r="AD960" s="9" t="s">
        <v>185</v>
      </c>
      <c r="AE960" s="9" t="s">
        <v>198</v>
      </c>
      <c r="AF960" s="10"/>
      <c r="AG960" s="10"/>
    </row>
    <row r="961" spans="1:33">
      <c r="A961" s="7" t="s">
        <v>155</v>
      </c>
      <c r="B961" s="8" t="s">
        <v>227</v>
      </c>
      <c r="C961" s="9" t="s">
        <v>681</v>
      </c>
      <c r="D961" s="10">
        <v>180</v>
      </c>
      <c r="E961" s="9" t="s">
        <v>158</v>
      </c>
      <c r="F961" s="10">
        <v>180</v>
      </c>
      <c r="G961" s="10">
        <v>178.2</v>
      </c>
      <c r="H961" s="10">
        <v>119</v>
      </c>
      <c r="I961" s="10">
        <v>149</v>
      </c>
      <c r="J961" s="10">
        <v>130</v>
      </c>
      <c r="K961" s="10">
        <v>99</v>
      </c>
      <c r="L961" s="10">
        <v>120</v>
      </c>
      <c r="M961" s="10">
        <v>19.2</v>
      </c>
      <c r="N961" s="10">
        <v>1481</v>
      </c>
      <c r="O961" s="10">
        <v>1.32</v>
      </c>
      <c r="P961" s="10">
        <v>1952</v>
      </c>
      <c r="Q961" s="10">
        <v>221</v>
      </c>
      <c r="R961" s="10">
        <v>54</v>
      </c>
      <c r="S961" s="10">
        <v>75</v>
      </c>
      <c r="T961" s="10">
        <v>330</v>
      </c>
      <c r="U961" s="10">
        <v>31</v>
      </c>
      <c r="V961" s="10">
        <v>262</v>
      </c>
      <c r="W961" s="10">
        <v>0.41699999999999998</v>
      </c>
      <c r="X961" s="10">
        <v>157</v>
      </c>
      <c r="Y961" s="10">
        <v>131</v>
      </c>
      <c r="Z961" s="10">
        <v>173</v>
      </c>
      <c r="AA961" s="10">
        <v>5</v>
      </c>
      <c r="AB961" s="10">
        <v>11.5</v>
      </c>
      <c r="AC961" s="9" t="s">
        <v>185</v>
      </c>
      <c r="AD961" s="9" t="s">
        <v>198</v>
      </c>
      <c r="AE961" s="10"/>
      <c r="AF961" s="10"/>
      <c r="AG961" s="10"/>
    </row>
    <row r="962" spans="1:33">
      <c r="A962" s="7" t="s">
        <v>155</v>
      </c>
      <c r="B962" s="8" t="s">
        <v>227</v>
      </c>
      <c r="C962" s="9" t="s">
        <v>681</v>
      </c>
      <c r="D962" s="10">
        <v>188</v>
      </c>
      <c r="E962" s="9" t="s">
        <v>158</v>
      </c>
      <c r="F962" s="10">
        <v>188</v>
      </c>
      <c r="G962" s="10">
        <v>186.1</v>
      </c>
      <c r="H962" s="10">
        <v>127</v>
      </c>
      <c r="I962" s="10">
        <v>154</v>
      </c>
      <c r="J962" s="10">
        <v>130</v>
      </c>
      <c r="K962" s="10">
        <v>98</v>
      </c>
      <c r="L962" s="10">
        <v>120</v>
      </c>
      <c r="M962" s="10">
        <v>20.8</v>
      </c>
      <c r="N962" s="10">
        <v>1601</v>
      </c>
      <c r="O962" s="10">
        <v>1.27</v>
      </c>
      <c r="P962" s="10">
        <v>2033</v>
      </c>
      <c r="Q962" s="10">
        <v>217</v>
      </c>
      <c r="R962" s="10">
        <v>51</v>
      </c>
      <c r="S962" s="10">
        <v>69</v>
      </c>
      <c r="T962" s="10">
        <v>370</v>
      </c>
      <c r="U962" s="10">
        <v>29</v>
      </c>
      <c r="V962" s="10">
        <v>217</v>
      </c>
      <c r="W962" s="10">
        <v>0.41299999999999998</v>
      </c>
      <c r="X962" s="10">
        <v>185</v>
      </c>
      <c r="Y962" s="10">
        <v>137</v>
      </c>
      <c r="Z962" s="10">
        <v>185</v>
      </c>
      <c r="AA962" s="10">
        <v>7</v>
      </c>
      <c r="AB962" s="10">
        <v>11.8</v>
      </c>
      <c r="AC962" s="9" t="s">
        <v>188</v>
      </c>
      <c r="AD962" s="9" t="s">
        <v>185</v>
      </c>
      <c r="AE962" s="9" t="s">
        <v>198</v>
      </c>
      <c r="AF962" s="10"/>
      <c r="AG962" s="10"/>
    </row>
    <row r="963" spans="1:33">
      <c r="A963" s="7" t="s">
        <v>155</v>
      </c>
      <c r="B963" s="8" t="s">
        <v>227</v>
      </c>
      <c r="C963" s="9" t="s">
        <v>827</v>
      </c>
      <c r="D963" s="10">
        <v>171</v>
      </c>
      <c r="E963" s="9" t="s">
        <v>158</v>
      </c>
      <c r="F963" s="10">
        <v>171</v>
      </c>
      <c r="G963" s="10">
        <v>169.6</v>
      </c>
      <c r="H963" s="10">
        <v>142</v>
      </c>
      <c r="I963" s="10">
        <v>160</v>
      </c>
      <c r="J963" s="10">
        <v>131</v>
      </c>
      <c r="K963" s="10">
        <v>75</v>
      </c>
      <c r="L963" s="10">
        <v>115</v>
      </c>
      <c r="M963" s="10">
        <v>13.4</v>
      </c>
      <c r="N963" s="10">
        <v>1759</v>
      </c>
      <c r="O963" s="10">
        <v>0.89</v>
      </c>
      <c r="P963" s="10">
        <v>1567</v>
      </c>
      <c r="Q963" s="10">
        <v>212</v>
      </c>
      <c r="R963" s="10">
        <v>128</v>
      </c>
      <c r="S963" s="10">
        <v>49</v>
      </c>
      <c r="T963" s="10">
        <v>207</v>
      </c>
      <c r="U963" s="10">
        <v>7</v>
      </c>
      <c r="V963" s="10">
        <v>72</v>
      </c>
      <c r="W963" s="10">
        <v>0.13800000000000001</v>
      </c>
      <c r="X963" s="10">
        <v>51</v>
      </c>
      <c r="Y963" s="10">
        <v>42</v>
      </c>
      <c r="Z963" s="10">
        <v>156</v>
      </c>
      <c r="AA963" s="10">
        <v>8</v>
      </c>
      <c r="AB963" s="10">
        <v>12.2</v>
      </c>
      <c r="AC963" s="9" t="s">
        <v>349</v>
      </c>
      <c r="AD963" s="10"/>
      <c r="AE963" s="10"/>
      <c r="AF963" s="10"/>
      <c r="AG963" s="10"/>
    </row>
    <row r="964" spans="1:33">
      <c r="A964" s="7" t="s">
        <v>155</v>
      </c>
      <c r="B964" s="8" t="s">
        <v>227</v>
      </c>
      <c r="C964" s="9" t="s">
        <v>827</v>
      </c>
      <c r="D964" s="10">
        <v>178</v>
      </c>
      <c r="E964" s="9" t="s">
        <v>158</v>
      </c>
      <c r="F964" s="10">
        <v>178</v>
      </c>
      <c r="G964" s="10">
        <v>176.6</v>
      </c>
      <c r="H964" s="10">
        <v>148</v>
      </c>
      <c r="I964" s="10">
        <v>167</v>
      </c>
      <c r="J964" s="10">
        <v>131</v>
      </c>
      <c r="K964" s="10">
        <v>75</v>
      </c>
      <c r="L964" s="10">
        <v>115</v>
      </c>
      <c r="M964" s="10">
        <v>14.6</v>
      </c>
      <c r="N964" s="10">
        <v>1796</v>
      </c>
      <c r="O964" s="10">
        <v>0.91</v>
      </c>
      <c r="P964" s="10">
        <v>1632</v>
      </c>
      <c r="Q964" s="10">
        <v>220</v>
      </c>
      <c r="R964" s="10">
        <v>146</v>
      </c>
      <c r="S964" s="10">
        <v>48</v>
      </c>
      <c r="T964" s="10">
        <v>207</v>
      </c>
      <c r="U964" s="10">
        <v>9</v>
      </c>
      <c r="V964" s="10">
        <v>83</v>
      </c>
      <c r="W964" s="10">
        <v>0.182</v>
      </c>
      <c r="X964" s="10">
        <v>52</v>
      </c>
      <c r="Y964" s="10">
        <v>47</v>
      </c>
      <c r="Z964" s="10">
        <v>155</v>
      </c>
      <c r="AA964" s="10">
        <v>7</v>
      </c>
      <c r="AB964" s="10">
        <v>12.8</v>
      </c>
      <c r="AC964" s="9" t="s">
        <v>349</v>
      </c>
      <c r="AD964" s="10"/>
      <c r="AE964" s="10"/>
      <c r="AF964" s="10"/>
      <c r="AG964" s="10"/>
    </row>
    <row r="965" spans="1:33">
      <c r="A965" s="7" t="s">
        <v>155</v>
      </c>
      <c r="B965" s="8" t="s">
        <v>227</v>
      </c>
      <c r="C965" s="9" t="s">
        <v>228</v>
      </c>
      <c r="D965" s="10">
        <v>172</v>
      </c>
      <c r="E965" s="9" t="s">
        <v>158</v>
      </c>
      <c r="F965" s="10">
        <v>172</v>
      </c>
      <c r="G965" s="10">
        <v>170.4</v>
      </c>
      <c r="H965" s="10">
        <v>107</v>
      </c>
      <c r="I965" s="10">
        <v>142</v>
      </c>
      <c r="J965" s="10">
        <v>129</v>
      </c>
      <c r="K965" s="10">
        <v>98</v>
      </c>
      <c r="L965" s="10">
        <v>120</v>
      </c>
      <c r="M965" s="10">
        <v>17.3</v>
      </c>
      <c r="N965" s="10">
        <v>1585</v>
      </c>
      <c r="O965" s="10">
        <v>1.18</v>
      </c>
      <c r="P965" s="10">
        <v>1866</v>
      </c>
      <c r="Q965" s="10">
        <v>176</v>
      </c>
      <c r="R965" s="10">
        <v>81</v>
      </c>
      <c r="S965" s="10">
        <v>66</v>
      </c>
      <c r="T965" s="10">
        <v>384</v>
      </c>
      <c r="U965" s="10">
        <v>27</v>
      </c>
      <c r="V965" s="10">
        <v>245</v>
      </c>
      <c r="W965" s="10">
        <v>0.40899999999999997</v>
      </c>
      <c r="X965" s="10">
        <v>164</v>
      </c>
      <c r="Y965" s="10">
        <v>124</v>
      </c>
      <c r="Z965" s="10">
        <v>220</v>
      </c>
      <c r="AA965" s="10">
        <v>5</v>
      </c>
      <c r="AB965" s="10">
        <v>10.8</v>
      </c>
      <c r="AC965" s="9" t="s">
        <v>188</v>
      </c>
      <c r="AD965" s="9" t="s">
        <v>185</v>
      </c>
      <c r="AE965" s="10"/>
      <c r="AF965" s="10"/>
      <c r="AG965" s="10"/>
    </row>
    <row r="966" spans="1:33">
      <c r="A966" s="7" t="s">
        <v>155</v>
      </c>
      <c r="B966" s="8" t="s">
        <v>227</v>
      </c>
      <c r="C966" s="9" t="s">
        <v>228</v>
      </c>
      <c r="D966" s="10">
        <v>180</v>
      </c>
      <c r="E966" s="9" t="s">
        <v>158</v>
      </c>
      <c r="F966" s="10">
        <v>180</v>
      </c>
      <c r="G966" s="10">
        <v>178.1</v>
      </c>
      <c r="H966" s="10">
        <v>121</v>
      </c>
      <c r="I966" s="10">
        <v>149</v>
      </c>
      <c r="J966" s="10">
        <v>129</v>
      </c>
      <c r="K966" s="10">
        <v>99</v>
      </c>
      <c r="L966" s="10">
        <v>120</v>
      </c>
      <c r="M966" s="10">
        <v>19.3</v>
      </c>
      <c r="N966" s="10">
        <v>1678</v>
      </c>
      <c r="O966" s="10">
        <v>1.1599999999999999</v>
      </c>
      <c r="P966" s="10">
        <v>1949</v>
      </c>
      <c r="Q966" s="10">
        <v>212</v>
      </c>
      <c r="R966" s="10">
        <v>101</v>
      </c>
      <c r="S966" s="10">
        <v>72</v>
      </c>
      <c r="T966" s="10">
        <v>328</v>
      </c>
      <c r="U966" s="10">
        <v>27</v>
      </c>
      <c r="V966" s="10">
        <v>247</v>
      </c>
      <c r="W966" s="10">
        <v>0.376</v>
      </c>
      <c r="X966" s="10">
        <v>169</v>
      </c>
      <c r="Y966" s="10">
        <v>123</v>
      </c>
      <c r="Z966" s="10">
        <v>159</v>
      </c>
      <c r="AA966" s="10">
        <v>5</v>
      </c>
      <c r="AB966" s="10">
        <v>11.5</v>
      </c>
      <c r="AC966" s="9" t="s">
        <v>188</v>
      </c>
      <c r="AD966" s="9" t="s">
        <v>185</v>
      </c>
      <c r="AE966" s="10"/>
      <c r="AF966" s="10"/>
      <c r="AG966" s="10"/>
    </row>
    <row r="967" spans="1:33">
      <c r="A967" s="7" t="s">
        <v>155</v>
      </c>
      <c r="B967" s="8" t="s">
        <v>227</v>
      </c>
      <c r="C967" s="9" t="s">
        <v>228</v>
      </c>
      <c r="D967" s="10">
        <v>188</v>
      </c>
      <c r="E967" s="9" t="s">
        <v>158</v>
      </c>
      <c r="F967" s="10">
        <v>188</v>
      </c>
      <c r="G967" s="10">
        <v>186.4</v>
      </c>
      <c r="H967" s="10">
        <v>129</v>
      </c>
      <c r="I967" s="10">
        <v>154</v>
      </c>
      <c r="J967" s="10">
        <v>130</v>
      </c>
      <c r="K967" s="10">
        <v>98</v>
      </c>
      <c r="L967" s="10">
        <v>120</v>
      </c>
      <c r="M967" s="10">
        <v>20.9</v>
      </c>
      <c r="N967" s="10">
        <v>1803</v>
      </c>
      <c r="O967" s="10">
        <v>1.1299999999999999</v>
      </c>
      <c r="P967" s="10">
        <v>2039</v>
      </c>
      <c r="Q967" s="10">
        <v>220</v>
      </c>
      <c r="R967" s="10">
        <v>102</v>
      </c>
      <c r="S967" s="10">
        <v>66</v>
      </c>
      <c r="T967" s="10">
        <v>365</v>
      </c>
      <c r="U967" s="10">
        <v>26</v>
      </c>
      <c r="V967" s="10">
        <v>211</v>
      </c>
      <c r="W967" s="10">
        <v>0.40400000000000003</v>
      </c>
      <c r="X967" s="10">
        <v>181</v>
      </c>
      <c r="Y967" s="10">
        <v>139</v>
      </c>
      <c r="Z967" s="10">
        <v>184</v>
      </c>
      <c r="AA967" s="10">
        <v>6</v>
      </c>
      <c r="AB967" s="10">
        <v>11.8</v>
      </c>
      <c r="AC967" s="9" t="s">
        <v>188</v>
      </c>
      <c r="AD967" s="9" t="s">
        <v>185</v>
      </c>
      <c r="AE967" s="10"/>
      <c r="AF967" s="10"/>
      <c r="AG967" s="10"/>
    </row>
    <row r="968" spans="1:33">
      <c r="A968" s="7" t="s">
        <v>155</v>
      </c>
      <c r="B968" s="8" t="s">
        <v>227</v>
      </c>
      <c r="C968" s="9" t="s">
        <v>728</v>
      </c>
      <c r="D968" s="10">
        <v>164</v>
      </c>
      <c r="E968" s="9" t="s">
        <v>163</v>
      </c>
      <c r="F968" s="10">
        <v>164</v>
      </c>
      <c r="G968" s="10">
        <v>162.30000000000001</v>
      </c>
      <c r="H968" s="10">
        <v>104</v>
      </c>
      <c r="I968" s="10">
        <v>136</v>
      </c>
      <c r="J968" s="10">
        <v>129</v>
      </c>
      <c r="K968" s="10">
        <v>99</v>
      </c>
      <c r="L968" s="10">
        <v>120</v>
      </c>
      <c r="M968" s="10">
        <v>16</v>
      </c>
      <c r="N968" s="10">
        <v>1505</v>
      </c>
      <c r="O968" s="10">
        <v>1.18</v>
      </c>
      <c r="P968" s="10">
        <v>1776</v>
      </c>
      <c r="Q968" s="10">
        <v>152</v>
      </c>
      <c r="R968" s="10">
        <v>75</v>
      </c>
      <c r="S968" s="10">
        <v>64</v>
      </c>
      <c r="T968" s="10">
        <v>363</v>
      </c>
      <c r="U968" s="10">
        <v>26</v>
      </c>
      <c r="V968" s="10">
        <v>219</v>
      </c>
      <c r="W968" s="10">
        <v>0.41099999999999998</v>
      </c>
      <c r="X968" s="10">
        <v>151</v>
      </c>
      <c r="Y968" s="10">
        <v>114</v>
      </c>
      <c r="Z968" s="10">
        <v>212</v>
      </c>
      <c r="AA968" s="10">
        <v>6</v>
      </c>
      <c r="AB968" s="10">
        <v>10.6</v>
      </c>
      <c r="AC968" s="9" t="s">
        <v>188</v>
      </c>
      <c r="AD968" s="9" t="s">
        <v>185</v>
      </c>
      <c r="AE968" s="10"/>
      <c r="AF968" s="10"/>
      <c r="AG968" s="10"/>
    </row>
    <row r="969" spans="1:33">
      <c r="A969" s="7" t="s">
        <v>155</v>
      </c>
      <c r="B969" s="8" t="s">
        <v>227</v>
      </c>
      <c r="C969" s="9" t="s">
        <v>908</v>
      </c>
      <c r="D969" s="10">
        <v>171</v>
      </c>
      <c r="E969" s="9" t="s">
        <v>158</v>
      </c>
      <c r="F969" s="10">
        <v>171</v>
      </c>
      <c r="G969" s="10">
        <v>170.2</v>
      </c>
      <c r="H969" s="10">
        <v>141</v>
      </c>
      <c r="I969" s="10">
        <v>158</v>
      </c>
      <c r="J969" s="10">
        <v>136</v>
      </c>
      <c r="K969" s="10">
        <v>89</v>
      </c>
      <c r="L969" s="10">
        <v>125</v>
      </c>
      <c r="M969" s="10">
        <v>14.6</v>
      </c>
      <c r="N969" s="10">
        <v>2001</v>
      </c>
      <c r="O969" s="10">
        <v>0.89</v>
      </c>
      <c r="P969" s="10">
        <v>1773</v>
      </c>
      <c r="Q969" s="10">
        <v>251</v>
      </c>
      <c r="R969" s="10">
        <v>178</v>
      </c>
      <c r="S969" s="10">
        <v>51</v>
      </c>
      <c r="T969" s="10">
        <v>213</v>
      </c>
      <c r="U969" s="10">
        <v>9</v>
      </c>
      <c r="V969" s="10">
        <v>75</v>
      </c>
      <c r="W969" s="10">
        <v>0.16600000000000001</v>
      </c>
      <c r="X969" s="10">
        <v>65</v>
      </c>
      <c r="Y969" s="10">
        <v>61</v>
      </c>
      <c r="Z969" s="10">
        <v>148</v>
      </c>
      <c r="AA969" s="10">
        <v>7</v>
      </c>
      <c r="AB969" s="10">
        <v>10.5</v>
      </c>
      <c r="AC969" s="9" t="s">
        <v>188</v>
      </c>
      <c r="AD969" s="10"/>
      <c r="AE969" s="10"/>
      <c r="AF969" s="10"/>
      <c r="AG969" s="10"/>
    </row>
    <row r="970" spans="1:33">
      <c r="A970" s="7" t="s">
        <v>155</v>
      </c>
      <c r="B970" s="8" t="s">
        <v>227</v>
      </c>
      <c r="C970" s="9" t="s">
        <v>908</v>
      </c>
      <c r="D970" s="10">
        <v>178</v>
      </c>
      <c r="E970" s="9" t="s">
        <v>158</v>
      </c>
      <c r="F970" s="10">
        <v>178</v>
      </c>
      <c r="G970" s="10">
        <v>177.3</v>
      </c>
      <c r="H970" s="10">
        <v>147</v>
      </c>
      <c r="I970" s="10">
        <v>165</v>
      </c>
      <c r="J970" s="10">
        <v>136</v>
      </c>
      <c r="K970" s="10">
        <v>89</v>
      </c>
      <c r="L970" s="10">
        <v>124</v>
      </c>
      <c r="M970" s="10">
        <v>16</v>
      </c>
      <c r="N970" s="10">
        <v>2110</v>
      </c>
      <c r="O970" s="10">
        <v>0.87</v>
      </c>
      <c r="P970" s="10">
        <v>1838</v>
      </c>
      <c r="Q970" s="10">
        <v>273</v>
      </c>
      <c r="R970" s="10">
        <v>201</v>
      </c>
      <c r="S970" s="10">
        <v>51</v>
      </c>
      <c r="T970" s="10">
        <v>221</v>
      </c>
      <c r="U970" s="10">
        <v>9</v>
      </c>
      <c r="V970" s="10">
        <v>82</v>
      </c>
      <c r="W970" s="10">
        <v>0.183</v>
      </c>
      <c r="X970" s="10">
        <v>62</v>
      </c>
      <c r="Y970" s="10">
        <v>58</v>
      </c>
      <c r="Z970" s="10">
        <v>159</v>
      </c>
      <c r="AA970" s="10">
        <v>8</v>
      </c>
      <c r="AB970" s="10">
        <v>13.2</v>
      </c>
      <c r="AC970" s="9" t="s">
        <v>188</v>
      </c>
      <c r="AD970" s="10"/>
      <c r="AE970" s="10"/>
      <c r="AF970" s="10"/>
      <c r="AG970" s="10"/>
    </row>
    <row r="971" spans="1:33">
      <c r="A971" s="7" t="s">
        <v>155</v>
      </c>
      <c r="B971" s="8" t="s">
        <v>172</v>
      </c>
      <c r="C971" s="9" t="s">
        <v>531</v>
      </c>
      <c r="D971" s="10">
        <v>169</v>
      </c>
      <c r="E971" s="9" t="s">
        <v>158</v>
      </c>
      <c r="F971" s="10">
        <v>169</v>
      </c>
      <c r="G971" s="10">
        <v>169.2</v>
      </c>
      <c r="H971" s="10">
        <v>123</v>
      </c>
      <c r="I971" s="10">
        <v>137</v>
      </c>
      <c r="J971" s="10">
        <v>126</v>
      </c>
      <c r="K971" s="10">
        <v>96</v>
      </c>
      <c r="L971" s="10">
        <v>115</v>
      </c>
      <c r="M971" s="10">
        <v>17.5</v>
      </c>
      <c r="N971" s="10">
        <v>1285</v>
      </c>
      <c r="O971" s="10">
        <v>1.4</v>
      </c>
      <c r="P971" s="10">
        <v>1798</v>
      </c>
      <c r="Q971" s="10">
        <v>196</v>
      </c>
      <c r="R971" s="10">
        <v>83</v>
      </c>
      <c r="S971" s="10">
        <v>58</v>
      </c>
      <c r="T971" s="10">
        <v>322</v>
      </c>
      <c r="U971" s="10">
        <v>12</v>
      </c>
      <c r="V971" s="10">
        <v>142</v>
      </c>
      <c r="W971" s="10">
        <v>0.21299999999999999</v>
      </c>
      <c r="X971" s="10">
        <v>195</v>
      </c>
      <c r="Y971" s="10">
        <v>123</v>
      </c>
      <c r="Z971" s="10">
        <v>126</v>
      </c>
      <c r="AA971" s="10">
        <v>6</v>
      </c>
      <c r="AB971" s="10">
        <v>12.1</v>
      </c>
      <c r="AC971" s="9" t="s">
        <v>185</v>
      </c>
      <c r="AD971" s="9" t="s">
        <v>198</v>
      </c>
      <c r="AE971" s="10"/>
      <c r="AF971" s="10"/>
      <c r="AG971" s="10"/>
    </row>
    <row r="972" spans="1:33">
      <c r="A972" s="7" t="s">
        <v>155</v>
      </c>
      <c r="B972" s="8" t="s">
        <v>172</v>
      </c>
      <c r="C972" s="9" t="s">
        <v>531</v>
      </c>
      <c r="D972" s="10">
        <v>177</v>
      </c>
      <c r="E972" s="9" t="s">
        <v>158</v>
      </c>
      <c r="F972" s="10">
        <v>177</v>
      </c>
      <c r="G972" s="10">
        <v>177.3</v>
      </c>
      <c r="H972" s="10">
        <v>130</v>
      </c>
      <c r="I972" s="10">
        <v>145</v>
      </c>
      <c r="J972" s="10">
        <v>126</v>
      </c>
      <c r="K972" s="10">
        <v>97</v>
      </c>
      <c r="L972" s="10">
        <v>115</v>
      </c>
      <c r="M972" s="10">
        <v>19.8</v>
      </c>
      <c r="N972" s="10">
        <v>1319</v>
      </c>
      <c r="O972" s="10">
        <v>1.43</v>
      </c>
      <c r="P972" s="10">
        <v>1886</v>
      </c>
      <c r="Q972" s="10">
        <v>233</v>
      </c>
      <c r="R972" s="10">
        <v>85</v>
      </c>
      <c r="S972" s="10">
        <v>56</v>
      </c>
      <c r="T972" s="10">
        <v>319</v>
      </c>
      <c r="U972" s="10">
        <v>13</v>
      </c>
      <c r="V972" s="10">
        <v>151</v>
      </c>
      <c r="W972" s="10">
        <v>0.23</v>
      </c>
      <c r="X972" s="10">
        <v>204</v>
      </c>
      <c r="Y972" s="10">
        <v>122</v>
      </c>
      <c r="Z972" s="10">
        <v>115</v>
      </c>
      <c r="AA972" s="10">
        <v>6</v>
      </c>
      <c r="AB972" s="10">
        <v>12.2</v>
      </c>
      <c r="AC972" s="9" t="s">
        <v>185</v>
      </c>
      <c r="AD972" s="9" t="s">
        <v>198</v>
      </c>
      <c r="AE972" s="10"/>
      <c r="AF972" s="10"/>
      <c r="AG972" s="10"/>
    </row>
    <row r="973" spans="1:33">
      <c r="A973" s="7" t="s">
        <v>155</v>
      </c>
      <c r="B973" s="8" t="s">
        <v>172</v>
      </c>
      <c r="C973" s="9" t="s">
        <v>543</v>
      </c>
      <c r="D973" s="10">
        <v>160</v>
      </c>
      <c r="E973" s="9" t="s">
        <v>163</v>
      </c>
      <c r="F973" s="10">
        <v>160</v>
      </c>
      <c r="G973" s="10">
        <v>159.30000000000001</v>
      </c>
      <c r="H973" s="10">
        <v>113</v>
      </c>
      <c r="I973" s="10">
        <v>136</v>
      </c>
      <c r="J973" s="10">
        <v>130</v>
      </c>
      <c r="K973" s="10">
        <v>97</v>
      </c>
      <c r="L973" s="10">
        <v>120</v>
      </c>
      <c r="M973" s="10">
        <v>14.1</v>
      </c>
      <c r="N973" s="10">
        <v>1775</v>
      </c>
      <c r="O973" s="10">
        <v>0.97</v>
      </c>
      <c r="P973" s="10">
        <v>1726</v>
      </c>
      <c r="Q973" s="10">
        <v>200</v>
      </c>
      <c r="R973" s="10">
        <v>108</v>
      </c>
      <c r="S973" s="10">
        <v>49</v>
      </c>
      <c r="T973" s="10">
        <v>239</v>
      </c>
      <c r="U973" s="10">
        <v>35</v>
      </c>
      <c r="V973" s="10">
        <v>225</v>
      </c>
      <c r="W973" s="10">
        <v>0.70599999999999996</v>
      </c>
      <c r="X973" s="10">
        <v>131</v>
      </c>
      <c r="Y973" s="10">
        <v>105</v>
      </c>
      <c r="Z973" s="10">
        <v>108</v>
      </c>
      <c r="AA973" s="10">
        <v>8</v>
      </c>
      <c r="AB973" s="10">
        <v>4.2</v>
      </c>
      <c r="AC973" s="9" t="s">
        <v>188</v>
      </c>
      <c r="AD973" s="10"/>
      <c r="AE973" s="10"/>
      <c r="AF973" s="10"/>
      <c r="AG973" s="10"/>
    </row>
    <row r="974" spans="1:33">
      <c r="A974" s="7" t="s">
        <v>155</v>
      </c>
      <c r="B974" s="8" t="s">
        <v>172</v>
      </c>
      <c r="C974" s="9" t="s">
        <v>543</v>
      </c>
      <c r="D974" s="10">
        <v>170</v>
      </c>
      <c r="E974" s="9" t="s">
        <v>163</v>
      </c>
      <c r="F974" s="10">
        <v>170</v>
      </c>
      <c r="G974" s="10">
        <v>169</v>
      </c>
      <c r="H974" s="10">
        <v>120</v>
      </c>
      <c r="I974" s="10">
        <v>146</v>
      </c>
      <c r="J974" s="10">
        <v>130</v>
      </c>
      <c r="K974" s="10">
        <v>97</v>
      </c>
      <c r="L974" s="10">
        <v>120</v>
      </c>
      <c r="M974" s="10">
        <v>16.7</v>
      </c>
      <c r="N974" s="10">
        <v>1920</v>
      </c>
      <c r="O974" s="10">
        <v>0.95</v>
      </c>
      <c r="P974" s="10">
        <v>1827</v>
      </c>
      <c r="Q974" s="10">
        <v>205</v>
      </c>
      <c r="R974" s="10">
        <v>115</v>
      </c>
      <c r="S974" s="10">
        <v>56</v>
      </c>
      <c r="T974" s="10">
        <v>264</v>
      </c>
      <c r="U974" s="10">
        <v>36</v>
      </c>
      <c r="V974" s="10">
        <v>230</v>
      </c>
      <c r="W974" s="10">
        <v>0.63700000000000001</v>
      </c>
      <c r="X974" s="10">
        <v>134</v>
      </c>
      <c r="Y974" s="10">
        <v>100</v>
      </c>
      <c r="Z974" s="10">
        <v>130</v>
      </c>
      <c r="AA974" s="10">
        <v>6</v>
      </c>
      <c r="AB974" s="10">
        <v>4.9000000000000004</v>
      </c>
      <c r="AC974" s="9" t="s">
        <v>188</v>
      </c>
      <c r="AD974" s="10"/>
      <c r="AE974" s="10"/>
      <c r="AF974" s="10"/>
      <c r="AG974" s="10"/>
    </row>
    <row r="975" spans="1:33">
      <c r="A975" s="7" t="s">
        <v>155</v>
      </c>
      <c r="B975" s="8" t="s">
        <v>172</v>
      </c>
      <c r="C975" s="9" t="s">
        <v>805</v>
      </c>
      <c r="D975" s="10">
        <v>140</v>
      </c>
      <c r="E975" s="9" t="s">
        <v>163</v>
      </c>
      <c r="F975" s="10">
        <v>140</v>
      </c>
      <c r="G975" s="10">
        <v>138.6</v>
      </c>
      <c r="H975" s="10">
        <v>89</v>
      </c>
      <c r="I975" s="10">
        <v>114</v>
      </c>
      <c r="J975" s="10">
        <v>118</v>
      </c>
      <c r="K975" s="10">
        <v>89</v>
      </c>
      <c r="L975" s="10">
        <v>107</v>
      </c>
      <c r="M975" s="10">
        <v>13.8</v>
      </c>
      <c r="N975" s="10">
        <v>1559</v>
      </c>
      <c r="O975" s="10">
        <v>0.87</v>
      </c>
      <c r="P975" s="10">
        <v>1361</v>
      </c>
      <c r="Q975" s="10">
        <v>155</v>
      </c>
      <c r="R975" s="10">
        <v>57</v>
      </c>
      <c r="S975" s="10">
        <v>52</v>
      </c>
      <c r="T975" s="10">
        <v>263</v>
      </c>
      <c r="U975" s="10">
        <v>33</v>
      </c>
      <c r="V975" s="10">
        <v>232</v>
      </c>
      <c r="W975" s="10">
        <v>0.623</v>
      </c>
      <c r="X975" s="10">
        <v>118</v>
      </c>
      <c r="Y975" s="10">
        <v>124</v>
      </c>
      <c r="Z975" s="10">
        <v>145</v>
      </c>
      <c r="AA975" s="10">
        <v>5</v>
      </c>
      <c r="AB975" s="10">
        <v>5</v>
      </c>
      <c r="AC975" s="9" t="s">
        <v>188</v>
      </c>
      <c r="AD975" s="10"/>
      <c r="AE975" s="10"/>
      <c r="AF975" s="10"/>
      <c r="AG975" s="10"/>
    </row>
    <row r="976" spans="1:33">
      <c r="A976" s="7" t="s">
        <v>155</v>
      </c>
      <c r="B976" s="8" t="s">
        <v>172</v>
      </c>
      <c r="C976" s="9" t="s">
        <v>805</v>
      </c>
      <c r="D976" s="10">
        <v>150</v>
      </c>
      <c r="E976" s="9" t="s">
        <v>163</v>
      </c>
      <c r="F976" s="10">
        <v>150</v>
      </c>
      <c r="G976" s="10">
        <v>148.5</v>
      </c>
      <c r="H976" s="10">
        <v>100</v>
      </c>
      <c r="I976" s="10">
        <v>125</v>
      </c>
      <c r="J976" s="10">
        <v>117</v>
      </c>
      <c r="K976" s="10">
        <v>89</v>
      </c>
      <c r="L976" s="10">
        <v>107</v>
      </c>
      <c r="M976" s="10">
        <v>16.8</v>
      </c>
      <c r="N976" s="10">
        <v>1628</v>
      </c>
      <c r="O976" s="10">
        <v>0.89</v>
      </c>
      <c r="P976" s="10">
        <v>1448</v>
      </c>
      <c r="Q976" s="10">
        <v>148</v>
      </c>
      <c r="R976" s="10">
        <v>57</v>
      </c>
      <c r="S976" s="10">
        <v>50</v>
      </c>
      <c r="T976" s="10">
        <v>259</v>
      </c>
      <c r="U976" s="10">
        <v>32</v>
      </c>
      <c r="V976" s="10">
        <v>222</v>
      </c>
      <c r="W976" s="10">
        <v>0.63800000000000001</v>
      </c>
      <c r="X976" s="10">
        <v>110</v>
      </c>
      <c r="Y976" s="10">
        <v>128</v>
      </c>
      <c r="Z976" s="10">
        <v>149</v>
      </c>
      <c r="AA976" s="10">
        <v>5</v>
      </c>
      <c r="AB976" s="10">
        <v>5</v>
      </c>
      <c r="AC976" s="9" t="s">
        <v>188</v>
      </c>
      <c r="AD976" s="10"/>
      <c r="AE976" s="10"/>
      <c r="AF976" s="10"/>
      <c r="AG976" s="10"/>
    </row>
    <row r="977" spans="1:33">
      <c r="A977" s="7" t="s">
        <v>155</v>
      </c>
      <c r="B977" s="8" t="s">
        <v>172</v>
      </c>
      <c r="C977" s="9" t="s">
        <v>805</v>
      </c>
      <c r="D977" s="10">
        <v>160</v>
      </c>
      <c r="E977" s="9" t="s">
        <v>163</v>
      </c>
      <c r="F977" s="10">
        <v>160</v>
      </c>
      <c r="G977" s="10">
        <v>158.5</v>
      </c>
      <c r="H977" s="10">
        <v>111</v>
      </c>
      <c r="I977" s="10">
        <v>133</v>
      </c>
      <c r="J977" s="10">
        <v>117</v>
      </c>
      <c r="K977" s="10">
        <v>89</v>
      </c>
      <c r="L977" s="10">
        <v>107</v>
      </c>
      <c r="M977" s="10">
        <v>20.8</v>
      </c>
      <c r="N977" s="10">
        <v>1764</v>
      </c>
      <c r="O977" s="10">
        <v>0.87</v>
      </c>
      <c r="P977" s="10">
        <v>1541</v>
      </c>
      <c r="Q977" s="10">
        <v>153</v>
      </c>
      <c r="R977" s="10">
        <v>59</v>
      </c>
      <c r="S977" s="10">
        <v>51</v>
      </c>
      <c r="T977" s="10">
        <v>261</v>
      </c>
      <c r="U977" s="10">
        <v>29</v>
      </c>
      <c r="V977" s="10">
        <v>214</v>
      </c>
      <c r="W977" s="10">
        <v>0.56699999999999995</v>
      </c>
      <c r="X977" s="10">
        <v>126</v>
      </c>
      <c r="Y977" s="10">
        <v>133</v>
      </c>
      <c r="Z977" s="10">
        <v>135</v>
      </c>
      <c r="AA977" s="10">
        <v>7</v>
      </c>
      <c r="AB977" s="10">
        <v>5.3</v>
      </c>
      <c r="AC977" s="9" t="s">
        <v>188</v>
      </c>
      <c r="AD977" s="10"/>
      <c r="AE977" s="10"/>
      <c r="AF977" s="10"/>
      <c r="AG977" s="10"/>
    </row>
    <row r="978" spans="1:33">
      <c r="A978" s="7" t="s">
        <v>155</v>
      </c>
      <c r="B978" s="8" t="s">
        <v>172</v>
      </c>
      <c r="C978" s="9" t="s">
        <v>599</v>
      </c>
      <c r="D978" s="10">
        <v>156</v>
      </c>
      <c r="E978" s="9" t="s">
        <v>158</v>
      </c>
      <c r="F978" s="10">
        <v>156</v>
      </c>
      <c r="G978" s="10">
        <v>155</v>
      </c>
      <c r="H978" s="10">
        <v>107</v>
      </c>
      <c r="I978" s="10">
        <v>129</v>
      </c>
      <c r="J978" s="10">
        <v>125</v>
      </c>
      <c r="K978" s="10">
        <v>89</v>
      </c>
      <c r="L978" s="10">
        <v>116</v>
      </c>
      <c r="M978" s="10">
        <v>11.7</v>
      </c>
      <c r="N978" s="10">
        <v>1471</v>
      </c>
      <c r="O978" s="10">
        <v>1.08</v>
      </c>
      <c r="P978" s="10">
        <v>1590</v>
      </c>
      <c r="Q978" s="10">
        <v>153</v>
      </c>
      <c r="R978" s="10">
        <v>75</v>
      </c>
      <c r="S978" s="10">
        <v>52</v>
      </c>
      <c r="T978" s="10">
        <v>307</v>
      </c>
      <c r="U978" s="10">
        <v>13</v>
      </c>
      <c r="V978" s="10">
        <v>173</v>
      </c>
      <c r="W978" s="10">
        <v>0.24299999999999999</v>
      </c>
      <c r="X978" s="10">
        <v>158</v>
      </c>
      <c r="Y978" s="10">
        <v>100</v>
      </c>
      <c r="Z978" s="10">
        <v>149</v>
      </c>
      <c r="AA978" s="10">
        <v>6</v>
      </c>
      <c r="AB978" s="10">
        <v>5.5</v>
      </c>
      <c r="AC978" s="9" t="s">
        <v>188</v>
      </c>
      <c r="AD978" s="9" t="s">
        <v>185</v>
      </c>
      <c r="AE978" s="10"/>
      <c r="AF978" s="10"/>
      <c r="AG978" s="10"/>
    </row>
    <row r="979" spans="1:33">
      <c r="A979" s="7" t="s">
        <v>155</v>
      </c>
      <c r="B979" s="8" t="s">
        <v>172</v>
      </c>
      <c r="C979" s="9" t="s">
        <v>599</v>
      </c>
      <c r="D979" s="10">
        <v>164</v>
      </c>
      <c r="E979" s="9" t="s">
        <v>158</v>
      </c>
      <c r="F979" s="10">
        <v>164</v>
      </c>
      <c r="G979" s="10">
        <v>162.6</v>
      </c>
      <c r="H979" s="10">
        <v>115</v>
      </c>
      <c r="I979" s="10">
        <v>137</v>
      </c>
      <c r="J979" s="10">
        <v>126</v>
      </c>
      <c r="K979" s="10">
        <v>91</v>
      </c>
      <c r="L979" s="10">
        <v>116</v>
      </c>
      <c r="M979" s="10">
        <v>13.8</v>
      </c>
      <c r="N979" s="10">
        <v>1555</v>
      </c>
      <c r="O979" s="10">
        <v>1.08</v>
      </c>
      <c r="P979" s="10">
        <v>1680</v>
      </c>
      <c r="Q979" s="10">
        <v>183</v>
      </c>
      <c r="R979" s="10">
        <v>80</v>
      </c>
      <c r="S979" s="10">
        <v>52</v>
      </c>
      <c r="T979" s="10">
        <v>307</v>
      </c>
      <c r="U979" s="10">
        <v>12</v>
      </c>
      <c r="V979" s="10">
        <v>170</v>
      </c>
      <c r="W979" s="10">
        <v>0.22500000000000001</v>
      </c>
      <c r="X979" s="10">
        <v>143</v>
      </c>
      <c r="Y979" s="10">
        <v>109</v>
      </c>
      <c r="Z979" s="10">
        <v>164</v>
      </c>
      <c r="AA979" s="10">
        <v>6</v>
      </c>
      <c r="AB979" s="10">
        <v>6.2</v>
      </c>
      <c r="AC979" s="9" t="s">
        <v>188</v>
      </c>
      <c r="AD979" s="9" t="s">
        <v>185</v>
      </c>
      <c r="AE979" s="10"/>
      <c r="AF979" s="10"/>
      <c r="AG979" s="10"/>
    </row>
    <row r="980" spans="1:33">
      <c r="A980" s="7" t="s">
        <v>155</v>
      </c>
      <c r="B980" s="8" t="s">
        <v>172</v>
      </c>
      <c r="C980" s="9" t="s">
        <v>599</v>
      </c>
      <c r="D980" s="10">
        <v>172</v>
      </c>
      <c r="E980" s="9" t="s">
        <v>158</v>
      </c>
      <c r="F980" s="10">
        <v>172</v>
      </c>
      <c r="G980" s="10">
        <v>170.8</v>
      </c>
      <c r="H980" s="10">
        <v>124</v>
      </c>
      <c r="I980" s="10">
        <v>146</v>
      </c>
      <c r="J980" s="10">
        <v>126</v>
      </c>
      <c r="K980" s="10">
        <v>92</v>
      </c>
      <c r="L980" s="10">
        <v>116</v>
      </c>
      <c r="M980" s="10">
        <v>16</v>
      </c>
      <c r="N980" s="10">
        <v>1632</v>
      </c>
      <c r="O980" s="10">
        <v>1.08</v>
      </c>
      <c r="P980" s="10">
        <v>1769</v>
      </c>
      <c r="Q980" s="10">
        <v>204</v>
      </c>
      <c r="R980" s="10">
        <v>90</v>
      </c>
      <c r="S980" s="10">
        <v>47</v>
      </c>
      <c r="T980" s="10">
        <v>291</v>
      </c>
      <c r="U980" s="10">
        <v>12</v>
      </c>
      <c r="V980" s="10">
        <v>174</v>
      </c>
      <c r="W980" s="10">
        <v>0.26</v>
      </c>
      <c r="X980" s="10">
        <v>153</v>
      </c>
      <c r="Y980" s="10">
        <v>98</v>
      </c>
      <c r="Z980" s="10">
        <v>138</v>
      </c>
      <c r="AA980" s="10">
        <v>6</v>
      </c>
      <c r="AB980" s="10">
        <v>6.5</v>
      </c>
      <c r="AC980" s="9" t="s">
        <v>188</v>
      </c>
      <c r="AD980" s="9" t="s">
        <v>185</v>
      </c>
      <c r="AE980" s="10"/>
      <c r="AF980" s="10"/>
      <c r="AG980" s="10"/>
    </row>
    <row r="981" spans="1:33">
      <c r="A981" s="7" t="s">
        <v>155</v>
      </c>
      <c r="B981" s="8" t="s">
        <v>172</v>
      </c>
      <c r="C981" s="9" t="s">
        <v>599</v>
      </c>
      <c r="D981" s="10">
        <v>178</v>
      </c>
      <c r="E981" s="9" t="s">
        <v>158</v>
      </c>
      <c r="F981" s="10">
        <v>178</v>
      </c>
      <c r="G981" s="10">
        <v>178.4</v>
      </c>
      <c r="H981" s="10">
        <v>131</v>
      </c>
      <c r="I981" s="10">
        <v>154</v>
      </c>
      <c r="J981" s="10">
        <v>126</v>
      </c>
      <c r="K981" s="10">
        <v>93</v>
      </c>
      <c r="L981" s="10">
        <v>116</v>
      </c>
      <c r="M981" s="10">
        <v>18.600000000000001</v>
      </c>
      <c r="N981" s="10">
        <v>1801</v>
      </c>
      <c r="O981" s="10">
        <v>1.03</v>
      </c>
      <c r="P981" s="10">
        <v>1857</v>
      </c>
      <c r="Q981" s="10">
        <v>251</v>
      </c>
      <c r="R981" s="10">
        <v>125</v>
      </c>
      <c r="S981" s="10">
        <v>49</v>
      </c>
      <c r="T981" s="10">
        <v>307</v>
      </c>
      <c r="U981" s="10">
        <v>11</v>
      </c>
      <c r="V981" s="10">
        <v>171</v>
      </c>
      <c r="W981" s="10">
        <v>0.22</v>
      </c>
      <c r="X981" s="10">
        <v>142</v>
      </c>
      <c r="Y981" s="10">
        <v>104</v>
      </c>
      <c r="Z981" s="10">
        <v>165</v>
      </c>
      <c r="AA981" s="10">
        <v>8</v>
      </c>
      <c r="AB981" s="10">
        <v>7.6</v>
      </c>
      <c r="AC981" s="9" t="s">
        <v>188</v>
      </c>
      <c r="AD981" s="10"/>
      <c r="AE981" s="10"/>
      <c r="AF981" s="10"/>
      <c r="AG981" s="10"/>
    </row>
    <row r="982" spans="1:33">
      <c r="A982" s="7" t="s">
        <v>155</v>
      </c>
      <c r="B982" s="8" t="s">
        <v>172</v>
      </c>
      <c r="C982" s="9" t="s">
        <v>599</v>
      </c>
      <c r="D982" s="10">
        <v>186</v>
      </c>
      <c r="E982" s="9" t="s">
        <v>158</v>
      </c>
      <c r="F982" s="10">
        <v>186</v>
      </c>
      <c r="G982" s="10">
        <v>186.5</v>
      </c>
      <c r="H982" s="10">
        <v>140</v>
      </c>
      <c r="I982" s="10">
        <v>161</v>
      </c>
      <c r="J982" s="10">
        <v>126</v>
      </c>
      <c r="K982" s="10">
        <v>93</v>
      </c>
      <c r="L982" s="10">
        <v>116</v>
      </c>
      <c r="M982" s="10">
        <v>21.4</v>
      </c>
      <c r="N982" s="10">
        <v>1870</v>
      </c>
      <c r="O982" s="10">
        <v>1.04</v>
      </c>
      <c r="P982" s="10">
        <v>1948</v>
      </c>
      <c r="Q982" s="10">
        <v>295</v>
      </c>
      <c r="R982" s="10">
        <v>138</v>
      </c>
      <c r="S982" s="10">
        <v>46</v>
      </c>
      <c r="T982" s="10">
        <v>286</v>
      </c>
      <c r="U982" s="10">
        <v>14</v>
      </c>
      <c r="V982" s="10">
        <v>178</v>
      </c>
      <c r="W982" s="10">
        <v>0.31</v>
      </c>
      <c r="X982" s="10">
        <v>148</v>
      </c>
      <c r="Y982" s="10">
        <v>103</v>
      </c>
      <c r="Z982" s="10">
        <v>138</v>
      </c>
      <c r="AA982" s="10">
        <v>7</v>
      </c>
      <c r="AB982" s="10">
        <v>8.3000000000000007</v>
      </c>
      <c r="AC982" s="9" t="s">
        <v>188</v>
      </c>
      <c r="AD982" s="10"/>
      <c r="AE982" s="10"/>
      <c r="AF982" s="10"/>
      <c r="AG982" s="10"/>
    </row>
    <row r="983" spans="1:33">
      <c r="A983" s="7" t="s">
        <v>155</v>
      </c>
      <c r="B983" s="8" t="s">
        <v>172</v>
      </c>
      <c r="C983" s="9" t="s">
        <v>768</v>
      </c>
      <c r="D983" s="10">
        <v>176</v>
      </c>
      <c r="E983" s="9" t="s">
        <v>158</v>
      </c>
      <c r="F983" s="10">
        <v>176</v>
      </c>
      <c r="G983" s="10">
        <v>174.7</v>
      </c>
      <c r="H983" s="10">
        <v>102</v>
      </c>
      <c r="I983" s="10">
        <v>147</v>
      </c>
      <c r="J983" s="10">
        <v>144</v>
      </c>
      <c r="K983" s="10">
        <v>117</v>
      </c>
      <c r="L983" s="10">
        <v>139</v>
      </c>
      <c r="M983" s="10">
        <v>19.2</v>
      </c>
      <c r="N983" s="10">
        <v>2255</v>
      </c>
      <c r="O983" s="10">
        <v>0.98</v>
      </c>
      <c r="P983" s="10">
        <v>2199</v>
      </c>
      <c r="Q983" s="10">
        <v>217</v>
      </c>
      <c r="R983" s="10">
        <v>105</v>
      </c>
      <c r="S983" s="10">
        <v>69</v>
      </c>
      <c r="T983" s="10">
        <v>368</v>
      </c>
      <c r="U983" s="10">
        <v>53</v>
      </c>
      <c r="V983" s="10">
        <v>355</v>
      </c>
      <c r="W983" s="10">
        <v>0.76600000000000001</v>
      </c>
      <c r="X983" s="10">
        <v>149</v>
      </c>
      <c r="Y983" s="10">
        <v>130</v>
      </c>
      <c r="Z983" s="10">
        <v>219</v>
      </c>
      <c r="AA983" s="10">
        <v>5</v>
      </c>
      <c r="AB983" s="10">
        <v>2.2999999999999998</v>
      </c>
      <c r="AC983" s="9" t="s">
        <v>169</v>
      </c>
      <c r="AD983" s="10"/>
      <c r="AE983" s="10"/>
      <c r="AF983" s="10"/>
      <c r="AG983" s="10"/>
    </row>
    <row r="984" spans="1:33">
      <c r="A984" s="7" t="s">
        <v>155</v>
      </c>
      <c r="B984" s="8" t="s">
        <v>172</v>
      </c>
      <c r="C984" s="9" t="s">
        <v>768</v>
      </c>
      <c r="D984" s="10">
        <v>186</v>
      </c>
      <c r="E984" s="9" t="s">
        <v>158</v>
      </c>
      <c r="F984" s="10">
        <v>186</v>
      </c>
      <c r="G984" s="10">
        <v>184.6</v>
      </c>
      <c r="H984" s="10">
        <v>112</v>
      </c>
      <c r="I984" s="10">
        <v>157</v>
      </c>
      <c r="J984" s="10">
        <v>144</v>
      </c>
      <c r="K984" s="10">
        <v>116</v>
      </c>
      <c r="L984" s="10">
        <v>139</v>
      </c>
      <c r="M984" s="10">
        <v>21.2</v>
      </c>
      <c r="N984" s="10">
        <v>2470</v>
      </c>
      <c r="O984" s="10">
        <v>0.94</v>
      </c>
      <c r="P984" s="10">
        <v>2327</v>
      </c>
      <c r="Q984" s="10">
        <v>255</v>
      </c>
      <c r="R984" s="10">
        <v>127</v>
      </c>
      <c r="S984" s="10">
        <v>63</v>
      </c>
      <c r="T984" s="10">
        <v>367</v>
      </c>
      <c r="U984" s="10">
        <v>52</v>
      </c>
      <c r="V984" s="10">
        <v>356</v>
      </c>
      <c r="W984" s="10">
        <v>0.82399999999999995</v>
      </c>
      <c r="X984" s="10">
        <v>147</v>
      </c>
      <c r="Y984" s="10">
        <v>127</v>
      </c>
      <c r="Z984" s="10">
        <v>220</v>
      </c>
      <c r="AA984" s="10">
        <v>5</v>
      </c>
      <c r="AB984" s="10">
        <v>2.4</v>
      </c>
      <c r="AC984" s="9" t="s">
        <v>184</v>
      </c>
      <c r="AD984" s="9" t="s">
        <v>169</v>
      </c>
      <c r="AE984" s="10"/>
      <c r="AF984" s="10"/>
      <c r="AG984" s="10"/>
    </row>
    <row r="985" spans="1:33">
      <c r="A985" s="7" t="s">
        <v>155</v>
      </c>
      <c r="B985" s="8" t="s">
        <v>172</v>
      </c>
      <c r="C985" s="9" t="s">
        <v>331</v>
      </c>
      <c r="D985" s="10">
        <v>162</v>
      </c>
      <c r="E985" s="9" t="s">
        <v>158</v>
      </c>
      <c r="F985" s="10">
        <v>162</v>
      </c>
      <c r="G985" s="10">
        <v>159.5</v>
      </c>
      <c r="H985" s="10">
        <v>112</v>
      </c>
      <c r="I985" s="10">
        <v>136</v>
      </c>
      <c r="J985" s="10">
        <v>129</v>
      </c>
      <c r="K985" s="10">
        <v>97</v>
      </c>
      <c r="L985" s="10">
        <v>120</v>
      </c>
      <c r="M985" s="10">
        <v>14.4</v>
      </c>
      <c r="N985" s="10">
        <v>1731</v>
      </c>
      <c r="O985" s="10">
        <v>1</v>
      </c>
      <c r="P985" s="10">
        <v>1723</v>
      </c>
      <c r="Q985" s="10">
        <v>192</v>
      </c>
      <c r="R985" s="10">
        <v>101</v>
      </c>
      <c r="S985" s="10">
        <v>53</v>
      </c>
      <c r="T985" s="10">
        <v>255</v>
      </c>
      <c r="U985" s="10">
        <v>35</v>
      </c>
      <c r="V985" s="10">
        <v>221</v>
      </c>
      <c r="W985" s="10">
        <v>0.66300000000000003</v>
      </c>
      <c r="X985" s="10">
        <v>137</v>
      </c>
      <c r="Y985" s="10">
        <v>94</v>
      </c>
      <c r="Z985" s="10">
        <v>118</v>
      </c>
      <c r="AA985" s="10">
        <v>7</v>
      </c>
      <c r="AB985" s="10">
        <v>4.0999999999999996</v>
      </c>
      <c r="AC985" s="9" t="s">
        <v>188</v>
      </c>
      <c r="AD985" s="10"/>
      <c r="AE985" s="10"/>
      <c r="AF985" s="10"/>
      <c r="AG985" s="10"/>
    </row>
    <row r="986" spans="1:33">
      <c r="A986" s="7" t="s">
        <v>155</v>
      </c>
      <c r="B986" s="8" t="s">
        <v>172</v>
      </c>
      <c r="C986" s="9" t="s">
        <v>331</v>
      </c>
      <c r="D986" s="10">
        <v>172</v>
      </c>
      <c r="E986" s="9" t="s">
        <v>158</v>
      </c>
      <c r="F986" s="10">
        <v>172</v>
      </c>
      <c r="G986" s="10">
        <v>169.3</v>
      </c>
      <c r="H986" s="10">
        <v>121</v>
      </c>
      <c r="I986" s="10">
        <v>146</v>
      </c>
      <c r="J986" s="10">
        <v>129</v>
      </c>
      <c r="K986" s="10">
        <v>97</v>
      </c>
      <c r="L986" s="10">
        <v>120</v>
      </c>
      <c r="M986" s="10">
        <v>17</v>
      </c>
      <c r="N986" s="10">
        <v>1850</v>
      </c>
      <c r="O986" s="10">
        <v>0.99</v>
      </c>
      <c r="P986" s="10">
        <v>1826</v>
      </c>
      <c r="Q986" s="10">
        <v>196</v>
      </c>
      <c r="R986" s="10">
        <v>107</v>
      </c>
      <c r="S986" s="10">
        <v>57</v>
      </c>
      <c r="T986" s="10">
        <v>260</v>
      </c>
      <c r="U986" s="10">
        <v>37</v>
      </c>
      <c r="V986" s="10">
        <v>226</v>
      </c>
      <c r="W986" s="10">
        <v>0.65</v>
      </c>
      <c r="X986" s="10">
        <v>136</v>
      </c>
      <c r="Y986" s="10">
        <v>97</v>
      </c>
      <c r="Z986" s="10">
        <v>125</v>
      </c>
      <c r="AA986" s="10">
        <v>8</v>
      </c>
      <c r="AB986" s="10">
        <v>4.3</v>
      </c>
      <c r="AC986" s="9" t="s">
        <v>188</v>
      </c>
      <c r="AD986" s="10"/>
      <c r="AE986" s="10"/>
      <c r="AF986" s="10"/>
      <c r="AG986" s="10"/>
    </row>
    <row r="987" spans="1:33">
      <c r="A987" s="7" t="s">
        <v>155</v>
      </c>
      <c r="B987" s="8" t="s">
        <v>172</v>
      </c>
      <c r="C987" s="9" t="s">
        <v>331</v>
      </c>
      <c r="D987" s="10">
        <v>182</v>
      </c>
      <c r="E987" s="9" t="s">
        <v>158</v>
      </c>
      <c r="F987" s="10">
        <v>182</v>
      </c>
      <c r="G987" s="10">
        <v>179.6</v>
      </c>
      <c r="H987" s="10">
        <v>132</v>
      </c>
      <c r="I987" s="10">
        <v>156</v>
      </c>
      <c r="J987" s="10">
        <v>129</v>
      </c>
      <c r="K987" s="10">
        <v>97</v>
      </c>
      <c r="L987" s="10">
        <v>120</v>
      </c>
      <c r="M987" s="10">
        <v>19.7</v>
      </c>
      <c r="N987" s="10">
        <v>2021</v>
      </c>
      <c r="O987" s="10">
        <v>0.96</v>
      </c>
      <c r="P987" s="10">
        <v>1938</v>
      </c>
      <c r="Q987" s="10">
        <v>238</v>
      </c>
      <c r="R987" s="10">
        <v>123</v>
      </c>
      <c r="S987" s="10">
        <v>52</v>
      </c>
      <c r="T987" s="10">
        <v>255</v>
      </c>
      <c r="U987" s="10">
        <v>35</v>
      </c>
      <c r="V987" s="10">
        <v>222</v>
      </c>
      <c r="W987" s="10">
        <v>0.66700000000000004</v>
      </c>
      <c r="X987" s="10">
        <v>137</v>
      </c>
      <c r="Y987" s="10">
        <v>99</v>
      </c>
      <c r="Z987" s="10">
        <v>118</v>
      </c>
      <c r="AA987" s="10">
        <v>9</v>
      </c>
      <c r="AB987" s="10">
        <v>4.4000000000000004</v>
      </c>
      <c r="AC987" s="9" t="s">
        <v>188</v>
      </c>
      <c r="AD987" s="10"/>
      <c r="AE987" s="10"/>
      <c r="AF987" s="10"/>
      <c r="AG987" s="10"/>
    </row>
    <row r="988" spans="1:33">
      <c r="A988" s="7" t="s">
        <v>155</v>
      </c>
      <c r="B988" s="8" t="s">
        <v>172</v>
      </c>
      <c r="C988" s="9" t="s">
        <v>401</v>
      </c>
      <c r="D988" s="10">
        <v>163</v>
      </c>
      <c r="E988" s="9" t="s">
        <v>163</v>
      </c>
      <c r="F988" s="10">
        <v>163</v>
      </c>
      <c r="G988" s="10">
        <v>162.69999999999999</v>
      </c>
      <c r="H988" s="10">
        <v>107</v>
      </c>
      <c r="I988" s="10">
        <v>136</v>
      </c>
      <c r="J988" s="10">
        <v>136</v>
      </c>
      <c r="K988" s="10">
        <v>100</v>
      </c>
      <c r="L988" s="10">
        <v>127</v>
      </c>
      <c r="M988" s="10">
        <v>13</v>
      </c>
      <c r="N988" s="10">
        <v>1742</v>
      </c>
      <c r="O988" s="10">
        <v>1.06</v>
      </c>
      <c r="P988" s="10">
        <v>1841</v>
      </c>
      <c r="Q988" s="10">
        <v>190</v>
      </c>
      <c r="R988" s="10">
        <v>98</v>
      </c>
      <c r="S988" s="10">
        <v>50</v>
      </c>
      <c r="T988" s="10">
        <v>304</v>
      </c>
      <c r="U988" s="10">
        <v>16</v>
      </c>
      <c r="V988" s="10">
        <v>251</v>
      </c>
      <c r="W988" s="10">
        <v>0.32200000000000001</v>
      </c>
      <c r="X988" s="10">
        <v>157</v>
      </c>
      <c r="Y988" s="10">
        <v>108</v>
      </c>
      <c r="Z988" s="10">
        <v>147</v>
      </c>
      <c r="AA988" s="10">
        <v>3</v>
      </c>
      <c r="AB988" s="10">
        <v>6.3</v>
      </c>
      <c r="AC988" s="9" t="s">
        <v>188</v>
      </c>
      <c r="AD988" s="9" t="s">
        <v>178</v>
      </c>
      <c r="AE988" s="9" t="s">
        <v>185</v>
      </c>
      <c r="AF988" s="10"/>
      <c r="AG988" s="10"/>
    </row>
    <row r="989" spans="1:33">
      <c r="A989" s="7" t="s">
        <v>155</v>
      </c>
      <c r="B989" s="8" t="s">
        <v>172</v>
      </c>
      <c r="C989" s="9" t="s">
        <v>401</v>
      </c>
      <c r="D989" s="10">
        <v>171</v>
      </c>
      <c r="E989" s="9" t="s">
        <v>163</v>
      </c>
      <c r="F989" s="10">
        <v>171</v>
      </c>
      <c r="G989" s="10">
        <v>170.6</v>
      </c>
      <c r="H989" s="10">
        <v>117</v>
      </c>
      <c r="I989" s="10">
        <v>146</v>
      </c>
      <c r="J989" s="10">
        <v>137</v>
      </c>
      <c r="K989" s="10">
        <v>101</v>
      </c>
      <c r="L989" s="10">
        <v>127</v>
      </c>
      <c r="M989" s="10">
        <v>15.3</v>
      </c>
      <c r="N989" s="10">
        <v>1829</v>
      </c>
      <c r="O989" s="10">
        <v>1.06</v>
      </c>
      <c r="P989" s="10">
        <v>1938</v>
      </c>
      <c r="Q989" s="10">
        <v>232</v>
      </c>
      <c r="R989" s="10">
        <v>94</v>
      </c>
      <c r="S989" s="10">
        <v>47</v>
      </c>
      <c r="T989" s="10">
        <v>300</v>
      </c>
      <c r="U989" s="10">
        <v>14</v>
      </c>
      <c r="V989" s="10">
        <v>233</v>
      </c>
      <c r="W989" s="10">
        <v>0.307</v>
      </c>
      <c r="X989" s="10">
        <v>151</v>
      </c>
      <c r="Y989" s="10">
        <v>99</v>
      </c>
      <c r="Z989" s="10">
        <v>149</v>
      </c>
      <c r="AA989" s="10">
        <v>4</v>
      </c>
      <c r="AB989" s="10">
        <v>6.9</v>
      </c>
      <c r="AC989" s="9" t="s">
        <v>188</v>
      </c>
      <c r="AD989" s="9" t="s">
        <v>178</v>
      </c>
      <c r="AE989" s="9" t="s">
        <v>185</v>
      </c>
      <c r="AF989" s="10"/>
      <c r="AG989" s="10"/>
    </row>
    <row r="990" spans="1:33">
      <c r="A990" s="7" t="s">
        <v>155</v>
      </c>
      <c r="B990" s="8" t="s">
        <v>172</v>
      </c>
      <c r="C990" s="9" t="s">
        <v>442</v>
      </c>
      <c r="D990" s="10">
        <v>154</v>
      </c>
      <c r="E990" s="9" t="s">
        <v>163</v>
      </c>
      <c r="F990" s="10">
        <v>154</v>
      </c>
      <c r="G990" s="10">
        <v>154.4</v>
      </c>
      <c r="H990" s="10">
        <v>100</v>
      </c>
      <c r="I990" s="10">
        <v>129</v>
      </c>
      <c r="J990" s="10">
        <v>136</v>
      </c>
      <c r="K990" s="10">
        <v>99</v>
      </c>
      <c r="L990" s="10">
        <v>127</v>
      </c>
      <c r="M990" s="10">
        <v>11.1</v>
      </c>
      <c r="N990" s="10">
        <v>1623</v>
      </c>
      <c r="O990" s="10">
        <v>1.07</v>
      </c>
      <c r="P990" s="10">
        <v>1736</v>
      </c>
      <c r="Q990" s="10">
        <v>205</v>
      </c>
      <c r="R990" s="10">
        <v>81</v>
      </c>
      <c r="S990" s="10">
        <v>49</v>
      </c>
      <c r="T990" s="10">
        <v>304</v>
      </c>
      <c r="U990" s="10">
        <v>14</v>
      </c>
      <c r="V990" s="10">
        <v>237</v>
      </c>
      <c r="W990" s="10">
        <v>0.27500000000000002</v>
      </c>
      <c r="X990" s="10">
        <v>147</v>
      </c>
      <c r="Y990" s="10">
        <v>106</v>
      </c>
      <c r="Z990" s="10">
        <v>157</v>
      </c>
      <c r="AA990" s="10">
        <v>3</v>
      </c>
      <c r="AB990" s="10">
        <v>6</v>
      </c>
      <c r="AC990" s="9" t="s">
        <v>188</v>
      </c>
      <c r="AD990" s="9" t="s">
        <v>185</v>
      </c>
      <c r="AE990" s="10"/>
      <c r="AF990" s="10"/>
      <c r="AG990" s="10"/>
    </row>
    <row r="991" spans="1:33">
      <c r="A991" s="7" t="s">
        <v>155</v>
      </c>
      <c r="B991" s="8" t="s">
        <v>172</v>
      </c>
      <c r="C991" s="9" t="s">
        <v>442</v>
      </c>
      <c r="D991" s="10">
        <v>162</v>
      </c>
      <c r="E991" s="9" t="s">
        <v>163</v>
      </c>
      <c r="F991" s="10">
        <v>162</v>
      </c>
      <c r="G991" s="10">
        <v>162.69999999999999</v>
      </c>
      <c r="H991" s="10">
        <v>111</v>
      </c>
      <c r="I991" s="10">
        <v>136</v>
      </c>
      <c r="J991" s="10">
        <v>136</v>
      </c>
      <c r="K991" s="10">
        <v>100</v>
      </c>
      <c r="L991" s="10">
        <v>127</v>
      </c>
      <c r="M991" s="10">
        <v>13</v>
      </c>
      <c r="N991" s="10">
        <v>1690</v>
      </c>
      <c r="O991" s="10">
        <v>1.0900000000000001</v>
      </c>
      <c r="P991" s="10">
        <v>1839</v>
      </c>
      <c r="Q991" s="10">
        <v>200</v>
      </c>
      <c r="R991" s="10">
        <v>97</v>
      </c>
      <c r="S991" s="10">
        <v>48</v>
      </c>
      <c r="T991" s="10">
        <v>297</v>
      </c>
      <c r="U991" s="10">
        <v>14</v>
      </c>
      <c r="V991" s="10">
        <v>223</v>
      </c>
      <c r="W991" s="10">
        <v>0.28999999999999998</v>
      </c>
      <c r="X991" s="10">
        <v>161</v>
      </c>
      <c r="Y991" s="10">
        <v>107</v>
      </c>
      <c r="Z991" s="10">
        <v>136</v>
      </c>
      <c r="AA991" s="10">
        <v>5</v>
      </c>
      <c r="AB991" s="10">
        <v>6.3</v>
      </c>
      <c r="AC991" s="9" t="s">
        <v>188</v>
      </c>
      <c r="AD991" s="9" t="s">
        <v>178</v>
      </c>
      <c r="AE991" s="9" t="s">
        <v>185</v>
      </c>
      <c r="AF991" s="10"/>
      <c r="AG991" s="10"/>
    </row>
    <row r="992" spans="1:33">
      <c r="A992" s="7" t="s">
        <v>155</v>
      </c>
      <c r="B992" s="8" t="s">
        <v>172</v>
      </c>
      <c r="C992" s="9" t="s">
        <v>388</v>
      </c>
      <c r="D992" s="10">
        <v>164</v>
      </c>
      <c r="E992" s="9" t="s">
        <v>158</v>
      </c>
      <c r="F992" s="10">
        <v>164</v>
      </c>
      <c r="G992" s="10">
        <v>162.6</v>
      </c>
      <c r="H992" s="10">
        <v>113</v>
      </c>
      <c r="I992" s="10">
        <v>137</v>
      </c>
      <c r="J992" s="10">
        <v>137</v>
      </c>
      <c r="K992" s="10">
        <v>100</v>
      </c>
      <c r="L992" s="10">
        <v>127</v>
      </c>
      <c r="M992" s="10">
        <v>12.9</v>
      </c>
      <c r="N992" s="10">
        <v>1700</v>
      </c>
      <c r="O992" s="10">
        <v>1.08</v>
      </c>
      <c r="P992" s="10">
        <v>1839</v>
      </c>
      <c r="Q992" s="10">
        <v>201</v>
      </c>
      <c r="R992" s="10">
        <v>91</v>
      </c>
      <c r="S992" s="10">
        <v>48</v>
      </c>
      <c r="T992" s="10">
        <v>291</v>
      </c>
      <c r="U992" s="10">
        <v>13</v>
      </c>
      <c r="V992" s="10">
        <v>207</v>
      </c>
      <c r="W992" s="10">
        <v>0.28199999999999997</v>
      </c>
      <c r="X992" s="10">
        <v>143</v>
      </c>
      <c r="Y992" s="10">
        <v>113</v>
      </c>
      <c r="Z992" s="10">
        <v>148</v>
      </c>
      <c r="AA992" s="10">
        <v>6</v>
      </c>
      <c r="AB992" s="10">
        <v>5.9</v>
      </c>
      <c r="AC992" s="9" t="s">
        <v>188</v>
      </c>
      <c r="AD992" s="9" t="s">
        <v>178</v>
      </c>
      <c r="AE992" s="9" t="s">
        <v>185</v>
      </c>
      <c r="AF992" s="10"/>
      <c r="AG992" s="10"/>
    </row>
    <row r="993" spans="1:33">
      <c r="A993" s="7" t="s">
        <v>155</v>
      </c>
      <c r="B993" s="8" t="s">
        <v>172</v>
      </c>
      <c r="C993" s="9" t="s">
        <v>388</v>
      </c>
      <c r="D993" s="10">
        <v>172</v>
      </c>
      <c r="E993" s="9" t="s">
        <v>158</v>
      </c>
      <c r="F993" s="10">
        <v>172</v>
      </c>
      <c r="G993" s="10">
        <v>170.6</v>
      </c>
      <c r="H993" s="10">
        <v>121</v>
      </c>
      <c r="I993" s="10">
        <v>145</v>
      </c>
      <c r="J993" s="10">
        <v>136</v>
      </c>
      <c r="K993" s="10">
        <v>101</v>
      </c>
      <c r="L993" s="10">
        <v>127</v>
      </c>
      <c r="M993" s="10">
        <v>15.4</v>
      </c>
      <c r="N993" s="10">
        <v>1793</v>
      </c>
      <c r="O993" s="10">
        <v>1.08</v>
      </c>
      <c r="P993" s="10">
        <v>1935</v>
      </c>
      <c r="Q993" s="10">
        <v>212</v>
      </c>
      <c r="R993" s="10">
        <v>94</v>
      </c>
      <c r="S993" s="10">
        <v>48</v>
      </c>
      <c r="T993" s="10">
        <v>298</v>
      </c>
      <c r="U993" s="10">
        <v>12</v>
      </c>
      <c r="V993" s="10">
        <v>197</v>
      </c>
      <c r="W993" s="10">
        <v>0.251</v>
      </c>
      <c r="X993" s="10">
        <v>146</v>
      </c>
      <c r="Y993" s="10">
        <v>109</v>
      </c>
      <c r="Z993" s="10">
        <v>153</v>
      </c>
      <c r="AA993" s="10">
        <v>6</v>
      </c>
      <c r="AB993" s="10">
        <v>6.5</v>
      </c>
      <c r="AC993" s="9" t="s">
        <v>188</v>
      </c>
      <c r="AD993" s="9" t="s">
        <v>178</v>
      </c>
      <c r="AE993" s="9" t="s">
        <v>185</v>
      </c>
      <c r="AF993" s="10"/>
      <c r="AG993" s="10"/>
    </row>
    <row r="994" spans="1:33">
      <c r="A994" s="7" t="s">
        <v>155</v>
      </c>
      <c r="B994" s="8" t="s">
        <v>172</v>
      </c>
      <c r="C994" s="9" t="s">
        <v>388</v>
      </c>
      <c r="D994" s="10">
        <v>178</v>
      </c>
      <c r="E994" s="9" t="s">
        <v>158</v>
      </c>
      <c r="F994" s="10">
        <v>178</v>
      </c>
      <c r="G994" s="10">
        <v>178.3</v>
      </c>
      <c r="H994" s="10">
        <v>128</v>
      </c>
      <c r="I994" s="10">
        <v>152</v>
      </c>
      <c r="J994" s="10">
        <v>137</v>
      </c>
      <c r="K994" s="10">
        <v>103</v>
      </c>
      <c r="L994" s="10">
        <v>127</v>
      </c>
      <c r="M994" s="10">
        <v>18</v>
      </c>
      <c r="N994" s="10">
        <v>1950</v>
      </c>
      <c r="O994" s="10">
        <v>1.05</v>
      </c>
      <c r="P994" s="10">
        <v>2041</v>
      </c>
      <c r="Q994" s="10">
        <v>246</v>
      </c>
      <c r="R994" s="10">
        <v>109</v>
      </c>
      <c r="S994" s="10">
        <v>51</v>
      </c>
      <c r="T994" s="10">
        <v>304</v>
      </c>
      <c r="U994" s="10">
        <v>12</v>
      </c>
      <c r="V994" s="10">
        <v>203</v>
      </c>
      <c r="W994" s="10">
        <v>0.23599999999999999</v>
      </c>
      <c r="X994" s="10">
        <v>153</v>
      </c>
      <c r="Y994" s="10">
        <v>112</v>
      </c>
      <c r="Z994" s="10">
        <v>152</v>
      </c>
      <c r="AA994" s="10">
        <v>6</v>
      </c>
      <c r="AB994" s="10">
        <v>7.2</v>
      </c>
      <c r="AC994" s="9" t="s">
        <v>188</v>
      </c>
      <c r="AD994" s="9" t="s">
        <v>178</v>
      </c>
      <c r="AE994" s="10"/>
      <c r="AF994" s="10"/>
      <c r="AG994" s="10"/>
    </row>
    <row r="995" spans="1:33">
      <c r="A995" s="7" t="s">
        <v>155</v>
      </c>
      <c r="B995" s="8" t="s">
        <v>172</v>
      </c>
      <c r="C995" s="9" t="s">
        <v>388</v>
      </c>
      <c r="D995" s="10">
        <v>186</v>
      </c>
      <c r="E995" s="9" t="s">
        <v>158</v>
      </c>
      <c r="F995" s="10">
        <v>186</v>
      </c>
      <c r="G995" s="10">
        <v>186.4</v>
      </c>
      <c r="H995" s="10">
        <v>138</v>
      </c>
      <c r="I995" s="10">
        <v>159</v>
      </c>
      <c r="J995" s="10">
        <v>137</v>
      </c>
      <c r="K995" s="10">
        <v>104</v>
      </c>
      <c r="L995" s="10">
        <v>127</v>
      </c>
      <c r="M995" s="10">
        <v>20.9</v>
      </c>
      <c r="N995" s="10">
        <v>2060</v>
      </c>
      <c r="O995" s="10">
        <v>1.04</v>
      </c>
      <c r="P995" s="10">
        <v>2141</v>
      </c>
      <c r="Q995" s="10">
        <v>287</v>
      </c>
      <c r="R995" s="10">
        <v>138</v>
      </c>
      <c r="S995" s="10">
        <v>50</v>
      </c>
      <c r="T995" s="10">
        <v>301</v>
      </c>
      <c r="U995" s="10">
        <v>12</v>
      </c>
      <c r="V995" s="10">
        <v>182</v>
      </c>
      <c r="W995" s="10">
        <v>0.22800000000000001</v>
      </c>
      <c r="X995" s="10">
        <v>163</v>
      </c>
      <c r="Y995" s="10">
        <v>107</v>
      </c>
      <c r="Z995" s="10">
        <v>138</v>
      </c>
      <c r="AA995" s="10">
        <v>6</v>
      </c>
      <c r="AB995" s="10">
        <v>7.5</v>
      </c>
      <c r="AC995" s="9" t="s">
        <v>188</v>
      </c>
      <c r="AD995" s="9" t="s">
        <v>178</v>
      </c>
      <c r="AE995" s="10"/>
      <c r="AF995" s="10"/>
      <c r="AG995" s="10"/>
    </row>
    <row r="996" spans="1:33">
      <c r="A996" s="7" t="s">
        <v>155</v>
      </c>
      <c r="B996" s="8" t="s">
        <v>172</v>
      </c>
      <c r="C996" s="9" t="s">
        <v>652</v>
      </c>
      <c r="D996" s="10">
        <v>180</v>
      </c>
      <c r="E996" s="9" t="s">
        <v>158</v>
      </c>
      <c r="F996" s="10">
        <v>180</v>
      </c>
      <c r="G996" s="10">
        <v>178.2</v>
      </c>
      <c r="H996" s="10">
        <v>136</v>
      </c>
      <c r="I996" s="10">
        <v>153</v>
      </c>
      <c r="J996" s="10">
        <v>137</v>
      </c>
      <c r="K996" s="10">
        <v>103</v>
      </c>
      <c r="L996" s="10">
        <v>127</v>
      </c>
      <c r="M996" s="10">
        <v>18.100000000000001</v>
      </c>
      <c r="N996" s="10">
        <v>2054</v>
      </c>
      <c r="O996" s="10">
        <v>0.99</v>
      </c>
      <c r="P996" s="10">
        <v>2039</v>
      </c>
      <c r="Q996" s="10">
        <v>227</v>
      </c>
      <c r="R996" s="10">
        <v>101</v>
      </c>
      <c r="S996" s="10">
        <v>49</v>
      </c>
      <c r="T996" s="10">
        <v>298</v>
      </c>
      <c r="U996" s="10">
        <v>10</v>
      </c>
      <c r="V996" s="10">
        <v>129</v>
      </c>
      <c r="W996" s="10">
        <v>0.20699999999999999</v>
      </c>
      <c r="X996" s="10">
        <v>144</v>
      </c>
      <c r="Y996" s="10">
        <v>110</v>
      </c>
      <c r="Z996" s="10">
        <v>154</v>
      </c>
      <c r="AA996" s="10">
        <v>7</v>
      </c>
      <c r="AB996" s="10">
        <v>7.1</v>
      </c>
      <c r="AC996" s="9" t="s">
        <v>188</v>
      </c>
      <c r="AD996" s="9" t="s">
        <v>178</v>
      </c>
      <c r="AE996" s="10"/>
      <c r="AF996" s="10"/>
      <c r="AG996" s="10"/>
    </row>
    <row r="997" spans="1:33">
      <c r="A997" s="7" t="s">
        <v>155</v>
      </c>
      <c r="B997" s="8" t="s">
        <v>172</v>
      </c>
      <c r="C997" s="9" t="s">
        <v>652</v>
      </c>
      <c r="D997" s="10">
        <v>187</v>
      </c>
      <c r="E997" s="9" t="s">
        <v>158</v>
      </c>
      <c r="F997" s="10">
        <v>187</v>
      </c>
      <c r="G997" s="10">
        <v>186.4</v>
      </c>
      <c r="H997" s="10">
        <v>136</v>
      </c>
      <c r="I997" s="10">
        <v>160</v>
      </c>
      <c r="J997" s="10">
        <v>137</v>
      </c>
      <c r="K997" s="10">
        <v>104</v>
      </c>
      <c r="L997" s="10">
        <v>127</v>
      </c>
      <c r="M997" s="10">
        <v>20.9</v>
      </c>
      <c r="N997" s="10">
        <v>2157</v>
      </c>
      <c r="O997" s="10">
        <v>0.99</v>
      </c>
      <c r="P997" s="10">
        <v>2140</v>
      </c>
      <c r="Q997" s="10">
        <v>258</v>
      </c>
      <c r="R997" s="10">
        <v>112</v>
      </c>
      <c r="S997" s="10">
        <v>48</v>
      </c>
      <c r="T997" s="10">
        <v>295</v>
      </c>
      <c r="U997" s="10">
        <v>13</v>
      </c>
      <c r="V997" s="10">
        <v>206</v>
      </c>
      <c r="W997" s="10">
        <v>0.26800000000000002</v>
      </c>
      <c r="X997" s="10">
        <v>156</v>
      </c>
      <c r="Y997" s="10">
        <v>107</v>
      </c>
      <c r="Z997" s="10">
        <v>139</v>
      </c>
      <c r="AA997" s="10">
        <v>6</v>
      </c>
      <c r="AB997" s="10">
        <v>7.5</v>
      </c>
      <c r="AC997" s="9" t="s">
        <v>188</v>
      </c>
      <c r="AD997" s="9" t="s">
        <v>178</v>
      </c>
      <c r="AE997" s="10"/>
      <c r="AF997" s="10"/>
      <c r="AG997" s="10"/>
    </row>
    <row r="998" spans="1:33">
      <c r="A998" s="7" t="s">
        <v>155</v>
      </c>
      <c r="B998" s="8" t="s">
        <v>172</v>
      </c>
      <c r="C998" s="9" t="s">
        <v>652</v>
      </c>
      <c r="D998" s="10">
        <v>194</v>
      </c>
      <c r="E998" s="9" t="s">
        <v>158</v>
      </c>
      <c r="F998" s="10">
        <v>194</v>
      </c>
      <c r="G998" s="10">
        <v>193.9</v>
      </c>
      <c r="H998" s="10">
        <v>145</v>
      </c>
      <c r="I998" s="10">
        <v>167</v>
      </c>
      <c r="J998" s="10">
        <v>136</v>
      </c>
      <c r="K998" s="10">
        <v>105</v>
      </c>
      <c r="L998" s="10">
        <v>127</v>
      </c>
      <c r="M998" s="10">
        <v>23.9</v>
      </c>
      <c r="N998" s="10">
        <v>2286</v>
      </c>
      <c r="O998" s="10">
        <v>0.98</v>
      </c>
      <c r="P998" s="10">
        <v>2231</v>
      </c>
      <c r="Q998" s="10">
        <v>293</v>
      </c>
      <c r="R998" s="10">
        <v>126</v>
      </c>
      <c r="S998" s="10">
        <v>51</v>
      </c>
      <c r="T998" s="10">
        <v>304</v>
      </c>
      <c r="U998" s="10">
        <v>12</v>
      </c>
      <c r="V998" s="10">
        <v>185</v>
      </c>
      <c r="W998" s="10">
        <v>0.22600000000000001</v>
      </c>
      <c r="X998" s="10">
        <v>161</v>
      </c>
      <c r="Y998" s="10">
        <v>104</v>
      </c>
      <c r="Z998" s="10">
        <v>142</v>
      </c>
      <c r="AA998" s="10">
        <v>7</v>
      </c>
      <c r="AB998" s="10">
        <v>7.9</v>
      </c>
      <c r="AC998" s="9" t="s">
        <v>188</v>
      </c>
      <c r="AD998" s="9" t="s">
        <v>178</v>
      </c>
      <c r="AE998" s="10"/>
      <c r="AF998" s="10"/>
      <c r="AG998" s="10"/>
    </row>
    <row r="999" spans="1:33">
      <c r="A999" s="7" t="s">
        <v>155</v>
      </c>
      <c r="B999" s="8" t="s">
        <v>172</v>
      </c>
      <c r="C999" s="9" t="s">
        <v>720</v>
      </c>
      <c r="D999" s="10">
        <v>140</v>
      </c>
      <c r="E999" s="9" t="s">
        <v>158</v>
      </c>
      <c r="F999" s="10">
        <v>140</v>
      </c>
      <c r="G999" s="10">
        <v>138.6</v>
      </c>
      <c r="H999" s="10">
        <v>91</v>
      </c>
      <c r="I999" s="10">
        <v>116</v>
      </c>
      <c r="J999" s="10">
        <v>117</v>
      </c>
      <c r="K999" s="10">
        <v>89</v>
      </c>
      <c r="L999" s="10">
        <v>107</v>
      </c>
      <c r="M999" s="10">
        <v>13.4</v>
      </c>
      <c r="N999" s="10">
        <v>1345</v>
      </c>
      <c r="O999" s="10">
        <v>1.01</v>
      </c>
      <c r="P999" s="10">
        <v>1352</v>
      </c>
      <c r="Q999" s="10">
        <v>146</v>
      </c>
      <c r="R999" s="10">
        <v>55</v>
      </c>
      <c r="S999" s="10">
        <v>49</v>
      </c>
      <c r="T999" s="10">
        <v>258</v>
      </c>
      <c r="U999" s="10">
        <v>32</v>
      </c>
      <c r="V999" s="10">
        <v>220</v>
      </c>
      <c r="W999" s="10">
        <v>0.64700000000000002</v>
      </c>
      <c r="X999" s="10">
        <v>119</v>
      </c>
      <c r="Y999" s="10">
        <v>111</v>
      </c>
      <c r="Z999" s="10">
        <v>139</v>
      </c>
      <c r="AA999" s="10">
        <v>6</v>
      </c>
      <c r="AB999" s="10">
        <v>4.5999999999999996</v>
      </c>
      <c r="AC999" s="9" t="s">
        <v>188</v>
      </c>
      <c r="AD999" s="10"/>
      <c r="AE999" s="10"/>
      <c r="AF999" s="10"/>
      <c r="AG999" s="10"/>
    </row>
    <row r="1000" spans="1:33">
      <c r="A1000" s="7" t="s">
        <v>155</v>
      </c>
      <c r="B1000" s="8" t="s">
        <v>172</v>
      </c>
      <c r="C1000" s="9" t="s">
        <v>720</v>
      </c>
      <c r="D1000" s="10">
        <v>150</v>
      </c>
      <c r="E1000" s="9" t="s">
        <v>158</v>
      </c>
      <c r="F1000" s="10">
        <v>150</v>
      </c>
      <c r="G1000" s="10">
        <v>148.80000000000001</v>
      </c>
      <c r="H1000" s="10">
        <v>102</v>
      </c>
      <c r="I1000" s="10">
        <v>122</v>
      </c>
      <c r="J1000" s="10">
        <v>117</v>
      </c>
      <c r="K1000" s="10">
        <v>89</v>
      </c>
      <c r="L1000" s="10">
        <v>107</v>
      </c>
      <c r="M1000" s="10">
        <v>17.2</v>
      </c>
      <c r="N1000" s="10">
        <v>1452</v>
      </c>
      <c r="O1000" s="10">
        <v>1</v>
      </c>
      <c r="P1000" s="10">
        <v>1449</v>
      </c>
      <c r="Q1000" s="10">
        <v>141</v>
      </c>
      <c r="R1000" s="10">
        <v>54</v>
      </c>
      <c r="S1000" s="10">
        <v>48</v>
      </c>
      <c r="T1000" s="10">
        <v>251</v>
      </c>
      <c r="U1000" s="10">
        <v>30</v>
      </c>
      <c r="V1000" s="10">
        <v>216</v>
      </c>
      <c r="W1000" s="10">
        <v>0.626</v>
      </c>
      <c r="X1000" s="10">
        <v>128</v>
      </c>
      <c r="Y1000" s="10">
        <v>137</v>
      </c>
      <c r="Z1000" s="10">
        <v>123</v>
      </c>
      <c r="AA1000" s="10">
        <v>7</v>
      </c>
      <c r="AB1000" s="10">
        <v>5.4</v>
      </c>
      <c r="AC1000" s="9" t="s">
        <v>188</v>
      </c>
      <c r="AD1000" s="10"/>
      <c r="AE1000" s="10"/>
      <c r="AF1000" s="10"/>
      <c r="AG1000" s="10"/>
    </row>
    <row r="1001" spans="1:33">
      <c r="A1001" s="7" t="s">
        <v>155</v>
      </c>
      <c r="B1001" s="8" t="s">
        <v>172</v>
      </c>
      <c r="C1001" s="9" t="s">
        <v>720</v>
      </c>
      <c r="D1001" s="10">
        <v>160</v>
      </c>
      <c r="E1001" s="9" t="s">
        <v>158</v>
      </c>
      <c r="F1001" s="10">
        <v>160</v>
      </c>
      <c r="G1001" s="10">
        <v>158.69999999999999</v>
      </c>
      <c r="H1001" s="10">
        <v>113</v>
      </c>
      <c r="I1001" s="10">
        <v>133</v>
      </c>
      <c r="J1001" s="10">
        <v>117</v>
      </c>
      <c r="K1001" s="10">
        <v>89</v>
      </c>
      <c r="L1001" s="10">
        <v>107</v>
      </c>
      <c r="M1001" s="10">
        <v>20.8</v>
      </c>
      <c r="N1001" s="10">
        <v>1572</v>
      </c>
      <c r="O1001" s="10">
        <v>0.98</v>
      </c>
      <c r="P1001" s="10">
        <v>1540</v>
      </c>
      <c r="Q1001" s="10">
        <v>155</v>
      </c>
      <c r="R1001" s="10">
        <v>64</v>
      </c>
      <c r="S1001" s="10">
        <v>46</v>
      </c>
      <c r="T1001" s="10">
        <v>252</v>
      </c>
      <c r="U1001" s="10">
        <v>28</v>
      </c>
      <c r="V1001" s="10">
        <v>208</v>
      </c>
      <c r="W1001" s="10">
        <v>0.61099999999999999</v>
      </c>
      <c r="X1001" s="10">
        <v>131</v>
      </c>
      <c r="Y1001" s="10">
        <v>127</v>
      </c>
      <c r="Z1001" s="10">
        <v>121</v>
      </c>
      <c r="AA1001" s="10">
        <v>8</v>
      </c>
      <c r="AB1001" s="10">
        <v>5</v>
      </c>
      <c r="AC1001" s="9" t="s">
        <v>188</v>
      </c>
      <c r="AD1001" s="10"/>
      <c r="AE1001" s="10"/>
      <c r="AF1001" s="10"/>
      <c r="AG1001" s="10"/>
    </row>
    <row r="1002" spans="1:33">
      <c r="A1002" s="7" t="s">
        <v>155</v>
      </c>
      <c r="B1002" s="8" t="s">
        <v>172</v>
      </c>
      <c r="C1002" s="9" t="s">
        <v>305</v>
      </c>
      <c r="D1002" s="10">
        <v>162</v>
      </c>
      <c r="E1002" s="9" t="s">
        <v>163</v>
      </c>
      <c r="F1002" s="10">
        <v>162</v>
      </c>
      <c r="G1002" s="10">
        <v>162.6</v>
      </c>
      <c r="H1002" s="10">
        <v>116</v>
      </c>
      <c r="I1002" s="10">
        <v>138</v>
      </c>
      <c r="J1002" s="10">
        <v>126</v>
      </c>
      <c r="K1002" s="10">
        <v>91</v>
      </c>
      <c r="L1002" s="10">
        <v>117</v>
      </c>
      <c r="M1002" s="10">
        <v>13.6</v>
      </c>
      <c r="N1002" s="10">
        <v>1546</v>
      </c>
      <c r="O1002" s="10">
        <v>1.0900000000000001</v>
      </c>
      <c r="P1002" s="10">
        <v>1690</v>
      </c>
      <c r="Q1002" s="10">
        <v>170</v>
      </c>
      <c r="R1002" s="10">
        <v>85</v>
      </c>
      <c r="S1002" s="10">
        <v>51</v>
      </c>
      <c r="T1002" s="10">
        <v>301</v>
      </c>
      <c r="U1002" s="10">
        <v>11</v>
      </c>
      <c r="V1002" s="10">
        <v>167</v>
      </c>
      <c r="W1002" s="10">
        <v>0.22600000000000001</v>
      </c>
      <c r="X1002" s="10">
        <v>138</v>
      </c>
      <c r="Y1002" s="10">
        <v>107</v>
      </c>
      <c r="Z1002" s="10">
        <v>163</v>
      </c>
      <c r="AA1002" s="10">
        <v>7</v>
      </c>
      <c r="AB1002" s="10">
        <v>8.4</v>
      </c>
      <c r="AC1002" s="9" t="s">
        <v>188</v>
      </c>
      <c r="AD1002" s="9" t="s">
        <v>185</v>
      </c>
      <c r="AE1002" s="10"/>
      <c r="AF1002" s="10"/>
      <c r="AG1002" s="10"/>
    </row>
    <row r="1003" spans="1:33">
      <c r="A1003" s="7" t="s">
        <v>155</v>
      </c>
      <c r="B1003" s="8" t="s">
        <v>172</v>
      </c>
      <c r="C1003" s="9" t="s">
        <v>305</v>
      </c>
      <c r="D1003" s="10">
        <v>170</v>
      </c>
      <c r="E1003" s="9" t="s">
        <v>163</v>
      </c>
      <c r="F1003" s="10">
        <v>170</v>
      </c>
      <c r="G1003" s="10">
        <v>170.6</v>
      </c>
      <c r="H1003" s="10">
        <v>124</v>
      </c>
      <c r="I1003" s="10">
        <v>146</v>
      </c>
      <c r="J1003" s="10">
        <v>126</v>
      </c>
      <c r="K1003" s="10">
        <v>92</v>
      </c>
      <c r="L1003" s="10">
        <v>116</v>
      </c>
      <c r="M1003" s="10">
        <v>16</v>
      </c>
      <c r="N1003" s="10">
        <v>1654</v>
      </c>
      <c r="O1003" s="10">
        <v>1.07</v>
      </c>
      <c r="P1003" s="10">
        <v>1771</v>
      </c>
      <c r="Q1003" s="10">
        <v>211</v>
      </c>
      <c r="R1003" s="10">
        <v>99</v>
      </c>
      <c r="S1003" s="10">
        <v>46</v>
      </c>
      <c r="T1003" s="10">
        <v>293</v>
      </c>
      <c r="U1003" s="10">
        <v>12</v>
      </c>
      <c r="V1003" s="10">
        <v>172</v>
      </c>
      <c r="W1003" s="10">
        <v>0.252</v>
      </c>
      <c r="X1003" s="10">
        <v>144</v>
      </c>
      <c r="Y1003" s="10">
        <v>106</v>
      </c>
      <c r="Z1003" s="10">
        <v>150</v>
      </c>
      <c r="AA1003" s="10">
        <v>7</v>
      </c>
      <c r="AB1003" s="10">
        <v>7</v>
      </c>
      <c r="AC1003" s="9" t="s">
        <v>188</v>
      </c>
      <c r="AD1003" s="9" t="s">
        <v>185</v>
      </c>
      <c r="AE1003" s="10"/>
      <c r="AF1003" s="10"/>
      <c r="AG1003" s="10"/>
    </row>
    <row r="1004" spans="1:33">
      <c r="A1004" s="7" t="s">
        <v>155</v>
      </c>
      <c r="B1004" s="8" t="s">
        <v>172</v>
      </c>
      <c r="C1004" s="9" t="s">
        <v>1161</v>
      </c>
      <c r="D1004" s="10">
        <v>148</v>
      </c>
      <c r="E1004" s="9" t="s">
        <v>158</v>
      </c>
      <c r="F1004" s="10">
        <v>148</v>
      </c>
      <c r="G1004" s="10">
        <v>147.30000000000001</v>
      </c>
      <c r="H1004" s="10">
        <v>119</v>
      </c>
      <c r="I1004" s="10">
        <v>129</v>
      </c>
      <c r="J1004" s="10">
        <v>105</v>
      </c>
      <c r="K1004" s="10">
        <v>75</v>
      </c>
      <c r="L1004" s="10">
        <v>99</v>
      </c>
      <c r="M1004" s="10">
        <v>14.7</v>
      </c>
      <c r="N1004" s="10">
        <v>1161</v>
      </c>
      <c r="O1004" s="10">
        <v>1.08</v>
      </c>
      <c r="P1004" s="10">
        <v>1252</v>
      </c>
      <c r="Q1004" s="10">
        <v>117</v>
      </c>
      <c r="R1004" s="10">
        <v>45</v>
      </c>
      <c r="S1004" s="10">
        <v>40</v>
      </c>
      <c r="T1004" s="10">
        <v>144</v>
      </c>
      <c r="U1004" s="10">
        <v>36</v>
      </c>
      <c r="V1004" s="10">
        <v>136</v>
      </c>
      <c r="W1004" s="10">
        <v>0.89600000000000002</v>
      </c>
      <c r="X1004" s="10">
        <v>95</v>
      </c>
      <c r="Y1004" s="10">
        <v>90</v>
      </c>
      <c r="Z1004" s="10">
        <v>49</v>
      </c>
      <c r="AA1004" s="10">
        <v>11</v>
      </c>
      <c r="AB1004" s="10">
        <v>5.4</v>
      </c>
      <c r="AC1004" s="9" t="s">
        <v>184</v>
      </c>
      <c r="AD1004" s="9" t="s">
        <v>185</v>
      </c>
      <c r="AE1004" s="10"/>
      <c r="AF1004" s="10"/>
      <c r="AG1004" s="10"/>
    </row>
    <row r="1005" spans="1:33">
      <c r="A1005" s="7" t="s">
        <v>155</v>
      </c>
      <c r="B1005" s="8" t="s">
        <v>172</v>
      </c>
      <c r="C1005" s="9" t="s">
        <v>711</v>
      </c>
      <c r="D1005" s="10">
        <v>152</v>
      </c>
      <c r="E1005" s="9" t="s">
        <v>158</v>
      </c>
      <c r="F1005" s="10">
        <v>152</v>
      </c>
      <c r="G1005" s="10">
        <v>152.30000000000001</v>
      </c>
      <c r="H1005" s="10">
        <v>131</v>
      </c>
      <c r="I1005" s="10">
        <v>137</v>
      </c>
      <c r="J1005" s="10">
        <v>123</v>
      </c>
      <c r="K1005" s="10">
        <v>76</v>
      </c>
      <c r="L1005" s="10">
        <v>110</v>
      </c>
      <c r="M1005" s="10">
        <v>11.2</v>
      </c>
      <c r="N1005" s="10">
        <v>1525</v>
      </c>
      <c r="O1005" s="10">
        <v>0.92</v>
      </c>
      <c r="P1005" s="10">
        <v>1397</v>
      </c>
      <c r="Q1005" s="10">
        <v>160</v>
      </c>
      <c r="R1005" s="10">
        <v>59</v>
      </c>
      <c r="S1005" s="10">
        <v>36</v>
      </c>
      <c r="T1005" s="10">
        <v>146</v>
      </c>
      <c r="U1005" s="10">
        <v>5</v>
      </c>
      <c r="V1005" s="10">
        <v>67</v>
      </c>
      <c r="W1005" s="10">
        <v>0.14299999999999999</v>
      </c>
      <c r="X1005" s="10">
        <v>73</v>
      </c>
      <c r="Y1005" s="10">
        <v>83</v>
      </c>
      <c r="Z1005" s="10">
        <v>73</v>
      </c>
      <c r="AA1005" s="10">
        <v>10</v>
      </c>
      <c r="AB1005" s="10">
        <v>7.6</v>
      </c>
      <c r="AC1005" s="9" t="s">
        <v>349</v>
      </c>
      <c r="AD1005" s="9" t="s">
        <v>231</v>
      </c>
      <c r="AE1005" s="10"/>
      <c r="AF1005" s="10"/>
      <c r="AG1005" s="10"/>
    </row>
    <row r="1006" spans="1:33">
      <c r="A1006" s="7" t="s">
        <v>155</v>
      </c>
      <c r="B1006" s="8" t="s">
        <v>172</v>
      </c>
      <c r="C1006" s="9" t="s">
        <v>711</v>
      </c>
      <c r="D1006" s="10">
        <v>160</v>
      </c>
      <c r="E1006" s="9" t="s">
        <v>158</v>
      </c>
      <c r="F1006" s="10">
        <v>160</v>
      </c>
      <c r="G1006" s="10">
        <v>160.4</v>
      </c>
      <c r="H1006" s="10">
        <v>139</v>
      </c>
      <c r="I1006" s="10">
        <v>145</v>
      </c>
      <c r="J1006" s="10">
        <v>124</v>
      </c>
      <c r="K1006" s="10">
        <v>76</v>
      </c>
      <c r="L1006" s="10">
        <v>110</v>
      </c>
      <c r="M1006" s="10">
        <v>12.7</v>
      </c>
      <c r="N1006" s="10">
        <v>1597</v>
      </c>
      <c r="O1006" s="10">
        <v>0.92</v>
      </c>
      <c r="P1006" s="10">
        <v>1470</v>
      </c>
      <c r="Q1006" s="10">
        <v>158</v>
      </c>
      <c r="R1006" s="10">
        <v>55</v>
      </c>
      <c r="S1006" s="10">
        <v>36</v>
      </c>
      <c r="T1006" s="10">
        <v>148</v>
      </c>
      <c r="U1006" s="10">
        <v>6</v>
      </c>
      <c r="V1006" s="10">
        <v>69</v>
      </c>
      <c r="W1006" s="10">
        <v>0.17599999999999999</v>
      </c>
      <c r="X1006" s="10">
        <v>74</v>
      </c>
      <c r="Y1006" s="10">
        <v>82</v>
      </c>
      <c r="Z1006" s="10">
        <v>74</v>
      </c>
      <c r="AA1006" s="10">
        <v>11</v>
      </c>
      <c r="AB1006" s="10">
        <v>8.1999999999999993</v>
      </c>
      <c r="AC1006" s="9" t="s">
        <v>349</v>
      </c>
      <c r="AD1006" s="10"/>
      <c r="AE1006" s="10"/>
      <c r="AF1006" s="10"/>
      <c r="AG1006" s="10"/>
    </row>
    <row r="1007" spans="1:33">
      <c r="A1007" s="7" t="s">
        <v>155</v>
      </c>
      <c r="B1007" s="8" t="s">
        <v>172</v>
      </c>
      <c r="C1007" s="9" t="s">
        <v>711</v>
      </c>
      <c r="D1007" s="10">
        <v>168</v>
      </c>
      <c r="E1007" s="9" t="s">
        <v>158</v>
      </c>
      <c r="F1007" s="10">
        <v>168</v>
      </c>
      <c r="G1007" s="10">
        <v>168.6</v>
      </c>
      <c r="H1007" s="10">
        <v>148</v>
      </c>
      <c r="I1007" s="10">
        <v>154</v>
      </c>
      <c r="J1007" s="10">
        <v>123</v>
      </c>
      <c r="K1007" s="10">
        <v>76</v>
      </c>
      <c r="L1007" s="10">
        <v>109</v>
      </c>
      <c r="M1007" s="10">
        <v>14.3</v>
      </c>
      <c r="N1007" s="10">
        <v>1613</v>
      </c>
      <c r="O1007" s="10">
        <v>0.95</v>
      </c>
      <c r="P1007" s="10">
        <v>1537</v>
      </c>
      <c r="Q1007" s="10">
        <v>153</v>
      </c>
      <c r="R1007" s="10">
        <v>57</v>
      </c>
      <c r="S1007" s="10">
        <v>35</v>
      </c>
      <c r="T1007" s="10">
        <v>143</v>
      </c>
      <c r="U1007" s="10">
        <v>5</v>
      </c>
      <c r="V1007" s="10">
        <v>68</v>
      </c>
      <c r="W1007" s="10">
        <v>0.155</v>
      </c>
      <c r="X1007" s="10">
        <v>69</v>
      </c>
      <c r="Y1007" s="10">
        <v>82</v>
      </c>
      <c r="Z1007" s="10">
        <v>74</v>
      </c>
      <c r="AA1007" s="10">
        <v>14</v>
      </c>
      <c r="AB1007" s="10">
        <v>8.6999999999999993</v>
      </c>
      <c r="AC1007" s="9" t="s">
        <v>349</v>
      </c>
      <c r="AD1007" s="10"/>
      <c r="AE1007" s="10"/>
      <c r="AF1007" s="10"/>
      <c r="AG1007" s="10"/>
    </row>
    <row r="1008" spans="1:33">
      <c r="A1008" s="7" t="s">
        <v>155</v>
      </c>
      <c r="B1008" s="8" t="s">
        <v>172</v>
      </c>
      <c r="C1008" s="9" t="s">
        <v>711</v>
      </c>
      <c r="D1008" s="10">
        <v>176</v>
      </c>
      <c r="E1008" s="9" t="s">
        <v>158</v>
      </c>
      <c r="F1008" s="10">
        <v>176</v>
      </c>
      <c r="G1008" s="10">
        <v>176.4</v>
      </c>
      <c r="H1008" s="10">
        <v>155</v>
      </c>
      <c r="I1008" s="10">
        <v>161</v>
      </c>
      <c r="J1008" s="10">
        <v>123</v>
      </c>
      <c r="K1008" s="10">
        <v>76</v>
      </c>
      <c r="L1008" s="10">
        <v>109</v>
      </c>
      <c r="M1008" s="10">
        <v>16</v>
      </c>
      <c r="N1008" s="10">
        <v>1737</v>
      </c>
      <c r="O1008" s="10">
        <v>0.93</v>
      </c>
      <c r="P1008" s="10">
        <v>1610</v>
      </c>
      <c r="Q1008" s="10">
        <v>171</v>
      </c>
      <c r="R1008" s="10">
        <v>65</v>
      </c>
      <c r="S1008" s="10">
        <v>36</v>
      </c>
      <c r="T1008" s="10">
        <v>145</v>
      </c>
      <c r="U1008" s="10">
        <v>5</v>
      </c>
      <c r="V1008" s="10">
        <v>66</v>
      </c>
      <c r="W1008" s="10">
        <v>0.14399999999999999</v>
      </c>
      <c r="X1008" s="10">
        <v>75</v>
      </c>
      <c r="Y1008" s="10">
        <v>81</v>
      </c>
      <c r="Z1008" s="10">
        <v>70</v>
      </c>
      <c r="AA1008" s="10">
        <v>13</v>
      </c>
      <c r="AB1008" s="10">
        <v>8.6</v>
      </c>
      <c r="AC1008" s="9" t="s">
        <v>349</v>
      </c>
      <c r="AD1008" s="10"/>
      <c r="AE1008" s="10"/>
      <c r="AF1008" s="10"/>
      <c r="AG1008" s="10"/>
    </row>
    <row r="1009" spans="1:33">
      <c r="A1009" s="7" t="s">
        <v>155</v>
      </c>
      <c r="B1009" s="8" t="s">
        <v>172</v>
      </c>
      <c r="C1009" s="9" t="s">
        <v>764</v>
      </c>
      <c r="D1009" s="10">
        <v>144</v>
      </c>
      <c r="E1009" s="9" t="s">
        <v>163</v>
      </c>
      <c r="F1009" s="10">
        <v>144</v>
      </c>
      <c r="G1009" s="10">
        <v>144.30000000000001</v>
      </c>
      <c r="H1009" s="10">
        <v>118</v>
      </c>
      <c r="I1009" s="10">
        <v>129</v>
      </c>
      <c r="J1009" s="10">
        <v>123</v>
      </c>
      <c r="K1009" s="10">
        <v>76</v>
      </c>
      <c r="L1009" s="10">
        <v>109</v>
      </c>
      <c r="M1009" s="10">
        <v>9.9</v>
      </c>
      <c r="N1009" s="10">
        <v>1483</v>
      </c>
      <c r="O1009" s="10">
        <v>0.89</v>
      </c>
      <c r="P1009" s="10">
        <v>1325</v>
      </c>
      <c r="Q1009" s="10">
        <v>162</v>
      </c>
      <c r="R1009" s="10">
        <v>60</v>
      </c>
      <c r="S1009" s="10">
        <v>38</v>
      </c>
      <c r="T1009" s="10">
        <v>186</v>
      </c>
      <c r="U1009" s="10">
        <v>6</v>
      </c>
      <c r="V1009" s="10">
        <v>73</v>
      </c>
      <c r="W1009" s="10">
        <v>0.157</v>
      </c>
      <c r="X1009" s="10">
        <v>72</v>
      </c>
      <c r="Y1009" s="10">
        <v>83</v>
      </c>
      <c r="Z1009" s="10">
        <v>114</v>
      </c>
      <c r="AA1009" s="10">
        <v>6</v>
      </c>
      <c r="AB1009" s="10">
        <v>8</v>
      </c>
      <c r="AC1009" s="9" t="s">
        <v>349</v>
      </c>
      <c r="AD1009" s="9" t="s">
        <v>231</v>
      </c>
      <c r="AE1009" s="10"/>
      <c r="AF1009" s="10"/>
      <c r="AG1009" s="10"/>
    </row>
    <row r="1010" spans="1:33">
      <c r="A1010" s="7" t="s">
        <v>155</v>
      </c>
      <c r="B1010" s="8" t="s">
        <v>172</v>
      </c>
      <c r="C1010" s="9" t="s">
        <v>764</v>
      </c>
      <c r="D1010" s="10">
        <v>152</v>
      </c>
      <c r="E1010" s="9" t="s">
        <v>163</v>
      </c>
      <c r="F1010" s="10">
        <v>152</v>
      </c>
      <c r="G1010" s="10">
        <v>152.4</v>
      </c>
      <c r="H1010" s="10">
        <v>131</v>
      </c>
      <c r="I1010" s="10">
        <v>137</v>
      </c>
      <c r="J1010" s="10">
        <v>123</v>
      </c>
      <c r="K1010" s="10">
        <v>76</v>
      </c>
      <c r="L1010" s="10">
        <v>109</v>
      </c>
      <c r="M1010" s="10">
        <v>11.4</v>
      </c>
      <c r="N1010" s="10">
        <v>1534</v>
      </c>
      <c r="O1010" s="10">
        <v>0.91</v>
      </c>
      <c r="P1010" s="10">
        <v>1393</v>
      </c>
      <c r="Q1010" s="10">
        <v>153</v>
      </c>
      <c r="R1010" s="10">
        <v>59</v>
      </c>
      <c r="S1010" s="10">
        <v>35</v>
      </c>
      <c r="T1010" s="10">
        <v>146</v>
      </c>
      <c r="U1010" s="10">
        <v>6</v>
      </c>
      <c r="V1010" s="10">
        <v>71</v>
      </c>
      <c r="W1010" s="10">
        <v>0.16600000000000001</v>
      </c>
      <c r="X1010" s="10">
        <v>71</v>
      </c>
      <c r="Y1010" s="10">
        <v>82</v>
      </c>
      <c r="Z1010" s="10">
        <v>75</v>
      </c>
      <c r="AA1010" s="10">
        <v>8</v>
      </c>
      <c r="AB1010" s="10">
        <v>8.4</v>
      </c>
      <c r="AC1010" s="9" t="s">
        <v>349</v>
      </c>
      <c r="AD1010" s="9" t="s">
        <v>231</v>
      </c>
      <c r="AE1010" s="10"/>
      <c r="AF1010" s="10"/>
      <c r="AG1010" s="10"/>
    </row>
    <row r="1011" spans="1:33">
      <c r="A1011" s="7" t="s">
        <v>155</v>
      </c>
      <c r="B1011" s="8" t="s">
        <v>172</v>
      </c>
      <c r="C1011" s="9" t="s">
        <v>764</v>
      </c>
      <c r="D1011" s="10">
        <v>160</v>
      </c>
      <c r="E1011" s="9" t="s">
        <v>163</v>
      </c>
      <c r="F1011" s="10">
        <v>160</v>
      </c>
      <c r="G1011" s="10">
        <v>160.30000000000001</v>
      </c>
      <c r="H1011" s="10">
        <v>139</v>
      </c>
      <c r="I1011" s="10">
        <v>145</v>
      </c>
      <c r="J1011" s="10">
        <v>124</v>
      </c>
      <c r="K1011" s="10">
        <v>77</v>
      </c>
      <c r="L1011" s="10">
        <v>110</v>
      </c>
      <c r="M1011" s="10">
        <v>12.7</v>
      </c>
      <c r="N1011" s="10">
        <v>1624</v>
      </c>
      <c r="O1011" s="10">
        <v>0.91</v>
      </c>
      <c r="P1011" s="10">
        <v>1471</v>
      </c>
      <c r="Q1011" s="10">
        <v>151</v>
      </c>
      <c r="R1011" s="10">
        <v>56</v>
      </c>
      <c r="S1011" s="10">
        <v>35</v>
      </c>
      <c r="T1011" s="10">
        <v>144</v>
      </c>
      <c r="U1011" s="10">
        <v>5</v>
      </c>
      <c r="V1011" s="10">
        <v>68</v>
      </c>
      <c r="W1011" s="10">
        <v>0.155</v>
      </c>
      <c r="X1011" s="10">
        <v>77</v>
      </c>
      <c r="Y1011" s="10">
        <v>80</v>
      </c>
      <c r="Z1011" s="10">
        <v>66</v>
      </c>
      <c r="AA1011" s="10">
        <v>12</v>
      </c>
      <c r="AB1011" s="10">
        <v>8.1999999999999993</v>
      </c>
      <c r="AC1011" s="9" t="s">
        <v>349</v>
      </c>
      <c r="AD1011" s="10"/>
      <c r="AE1011" s="10"/>
      <c r="AF1011" s="10"/>
      <c r="AG1011" s="10"/>
    </row>
    <row r="1012" spans="1:33">
      <c r="A1012" s="7" t="s">
        <v>155</v>
      </c>
      <c r="B1012" s="8" t="s">
        <v>172</v>
      </c>
      <c r="C1012" s="9" t="s">
        <v>533</v>
      </c>
      <c r="D1012" s="10">
        <v>166</v>
      </c>
      <c r="E1012" s="9" t="s">
        <v>158</v>
      </c>
      <c r="F1012" s="10">
        <v>166</v>
      </c>
      <c r="G1012" s="10">
        <v>166.6</v>
      </c>
      <c r="H1012" s="10">
        <v>128</v>
      </c>
      <c r="I1012" s="10">
        <v>152</v>
      </c>
      <c r="J1012" s="10">
        <v>125</v>
      </c>
      <c r="K1012" s="10">
        <v>80</v>
      </c>
      <c r="L1012" s="10">
        <v>113</v>
      </c>
      <c r="M1012" s="10">
        <v>14.4</v>
      </c>
      <c r="N1012" s="10">
        <v>1734</v>
      </c>
      <c r="O1012" s="10">
        <v>0.91</v>
      </c>
      <c r="P1012" s="10">
        <v>1575</v>
      </c>
      <c r="Q1012" s="10">
        <v>215</v>
      </c>
      <c r="R1012" s="10">
        <v>91</v>
      </c>
      <c r="S1012" s="10">
        <v>47</v>
      </c>
      <c r="T1012" s="10">
        <v>261</v>
      </c>
      <c r="U1012" s="10">
        <v>12</v>
      </c>
      <c r="V1012" s="10">
        <v>127</v>
      </c>
      <c r="W1012" s="10">
        <v>0.26100000000000001</v>
      </c>
      <c r="X1012" s="10">
        <v>80</v>
      </c>
      <c r="Y1012" s="10">
        <v>66</v>
      </c>
      <c r="Z1012" s="10">
        <v>181</v>
      </c>
      <c r="AA1012" s="10">
        <v>10</v>
      </c>
      <c r="AB1012" s="10">
        <v>7</v>
      </c>
      <c r="AC1012" s="9" t="s">
        <v>188</v>
      </c>
      <c r="AD1012" s="10"/>
      <c r="AE1012" s="10"/>
      <c r="AF1012" s="10"/>
      <c r="AG1012" s="10"/>
    </row>
    <row r="1013" spans="1:33">
      <c r="A1013" s="7" t="s">
        <v>155</v>
      </c>
      <c r="B1013" s="8" t="s">
        <v>172</v>
      </c>
      <c r="C1013" s="9" t="s">
        <v>533</v>
      </c>
      <c r="D1013" s="10">
        <v>174</v>
      </c>
      <c r="E1013" s="9" t="s">
        <v>158</v>
      </c>
      <c r="F1013" s="10">
        <v>174</v>
      </c>
      <c r="G1013" s="10">
        <v>174.4</v>
      </c>
      <c r="H1013" s="10">
        <v>134</v>
      </c>
      <c r="I1013" s="10">
        <v>160</v>
      </c>
      <c r="J1013" s="10">
        <v>125</v>
      </c>
      <c r="K1013" s="10">
        <v>80</v>
      </c>
      <c r="L1013" s="10">
        <v>113</v>
      </c>
      <c r="M1013" s="10">
        <v>16.100000000000001</v>
      </c>
      <c r="N1013" s="10">
        <v>1830</v>
      </c>
      <c r="O1013" s="10">
        <v>0.9</v>
      </c>
      <c r="P1013" s="10">
        <v>1643</v>
      </c>
      <c r="Q1013" s="10">
        <v>254</v>
      </c>
      <c r="R1013" s="10">
        <v>72</v>
      </c>
      <c r="S1013" s="10">
        <v>50</v>
      </c>
      <c r="T1013" s="10">
        <v>266</v>
      </c>
      <c r="U1013" s="10">
        <v>15</v>
      </c>
      <c r="V1013" s="10">
        <v>137</v>
      </c>
      <c r="W1013" s="10">
        <v>0.30599999999999999</v>
      </c>
      <c r="X1013" s="10">
        <v>84</v>
      </c>
      <c r="Y1013" s="10">
        <v>62</v>
      </c>
      <c r="Z1013" s="10">
        <v>182</v>
      </c>
      <c r="AA1013" s="10">
        <v>7</v>
      </c>
      <c r="AB1013" s="10">
        <v>6.4</v>
      </c>
      <c r="AC1013" s="9" t="s">
        <v>160</v>
      </c>
      <c r="AD1013" s="10"/>
      <c r="AE1013" s="10"/>
      <c r="AF1013" s="10"/>
      <c r="AG1013" s="10"/>
    </row>
    <row r="1014" spans="1:33">
      <c r="A1014" s="7" t="s">
        <v>155</v>
      </c>
      <c r="B1014" s="8" t="s">
        <v>172</v>
      </c>
      <c r="C1014" s="9" t="s">
        <v>478</v>
      </c>
      <c r="D1014" s="10">
        <v>150</v>
      </c>
      <c r="E1014" s="9" t="s">
        <v>163</v>
      </c>
      <c r="F1014" s="10">
        <v>150</v>
      </c>
      <c r="G1014" s="10">
        <v>150.30000000000001</v>
      </c>
      <c r="H1014" s="10">
        <v>112</v>
      </c>
      <c r="I1014" s="10">
        <v>136</v>
      </c>
      <c r="J1014" s="10">
        <v>125</v>
      </c>
      <c r="K1014" s="10">
        <v>80</v>
      </c>
      <c r="L1014" s="10">
        <v>113</v>
      </c>
      <c r="M1014" s="10">
        <v>11.2</v>
      </c>
      <c r="N1014" s="10">
        <v>1598</v>
      </c>
      <c r="O1014" s="10">
        <v>0.89</v>
      </c>
      <c r="P1014" s="10">
        <v>1429</v>
      </c>
      <c r="Q1014" s="10">
        <v>167</v>
      </c>
      <c r="R1014" s="10">
        <v>72</v>
      </c>
      <c r="S1014" s="10">
        <v>47</v>
      </c>
      <c r="T1014" s="10">
        <v>260</v>
      </c>
      <c r="U1014" s="10">
        <v>12</v>
      </c>
      <c r="V1014" s="10">
        <v>126</v>
      </c>
      <c r="W1014" s="10">
        <v>0.26600000000000001</v>
      </c>
      <c r="X1014" s="10">
        <v>80</v>
      </c>
      <c r="Y1014" s="10">
        <v>65</v>
      </c>
      <c r="Z1014" s="10">
        <v>181</v>
      </c>
      <c r="AA1014" s="10">
        <v>9</v>
      </c>
      <c r="AB1014" s="10">
        <v>6.6</v>
      </c>
      <c r="AC1014" s="9" t="s">
        <v>188</v>
      </c>
      <c r="AD1014" s="10"/>
      <c r="AE1014" s="10"/>
      <c r="AF1014" s="10"/>
      <c r="AG1014" s="10"/>
    </row>
    <row r="1015" spans="1:33">
      <c r="A1015" s="7" t="s">
        <v>155</v>
      </c>
      <c r="B1015" s="8" t="s">
        <v>172</v>
      </c>
      <c r="C1015" s="9" t="s">
        <v>478</v>
      </c>
      <c r="D1015" s="10">
        <v>158</v>
      </c>
      <c r="E1015" s="9" t="s">
        <v>163</v>
      </c>
      <c r="F1015" s="10">
        <v>158</v>
      </c>
      <c r="G1015" s="10">
        <v>158.19999999999999</v>
      </c>
      <c r="H1015" s="10">
        <v>120</v>
      </c>
      <c r="I1015" s="10">
        <v>144</v>
      </c>
      <c r="J1015" s="10">
        <v>125</v>
      </c>
      <c r="K1015" s="10">
        <v>80</v>
      </c>
      <c r="L1015" s="10">
        <v>114</v>
      </c>
      <c r="M1015" s="10">
        <v>12.7</v>
      </c>
      <c r="N1015" s="10">
        <v>1684</v>
      </c>
      <c r="O1015" s="10">
        <v>0.89</v>
      </c>
      <c r="P1015" s="10">
        <v>1503</v>
      </c>
      <c r="Q1015" s="10">
        <v>198</v>
      </c>
      <c r="R1015" s="10">
        <v>76</v>
      </c>
      <c r="S1015" s="10">
        <v>48</v>
      </c>
      <c r="T1015" s="10">
        <v>261</v>
      </c>
      <c r="U1015" s="10">
        <v>13</v>
      </c>
      <c r="V1015" s="10">
        <v>126</v>
      </c>
      <c r="W1015" s="10">
        <v>0.26600000000000001</v>
      </c>
      <c r="X1015" s="10">
        <v>79</v>
      </c>
      <c r="Y1015" s="10">
        <v>63</v>
      </c>
      <c r="Z1015" s="10">
        <v>182</v>
      </c>
      <c r="AA1015" s="10">
        <v>8</v>
      </c>
      <c r="AB1015" s="10">
        <v>7.1</v>
      </c>
      <c r="AC1015" s="9" t="s">
        <v>188</v>
      </c>
      <c r="AD1015" s="10"/>
      <c r="AE1015" s="10"/>
      <c r="AF1015" s="10"/>
      <c r="AG1015" s="10"/>
    </row>
    <row r="1016" spans="1:33">
      <c r="A1016" s="7" t="s">
        <v>155</v>
      </c>
      <c r="B1016" s="8" t="s">
        <v>172</v>
      </c>
      <c r="C1016" s="9" t="s">
        <v>478</v>
      </c>
      <c r="D1016" s="10">
        <v>166</v>
      </c>
      <c r="E1016" s="9" t="s">
        <v>163</v>
      </c>
      <c r="F1016" s="10">
        <v>166</v>
      </c>
      <c r="G1016" s="10">
        <v>166.6</v>
      </c>
      <c r="H1016" s="10">
        <v>127</v>
      </c>
      <c r="I1016" s="10">
        <v>152</v>
      </c>
      <c r="J1016" s="10">
        <v>125</v>
      </c>
      <c r="K1016" s="10">
        <v>80</v>
      </c>
      <c r="L1016" s="10">
        <v>113</v>
      </c>
      <c r="M1016" s="10">
        <v>14.3</v>
      </c>
      <c r="N1016" s="10">
        <v>1759</v>
      </c>
      <c r="O1016" s="10">
        <v>0.9</v>
      </c>
      <c r="P1016" s="10">
        <v>1579</v>
      </c>
      <c r="Q1016" s="10">
        <v>214</v>
      </c>
      <c r="R1016" s="10">
        <v>78</v>
      </c>
      <c r="S1016" s="10">
        <v>48</v>
      </c>
      <c r="T1016" s="10">
        <v>265</v>
      </c>
      <c r="U1016" s="10">
        <v>13</v>
      </c>
      <c r="V1016" s="10">
        <v>129</v>
      </c>
      <c r="W1016" s="10">
        <v>0.26400000000000001</v>
      </c>
      <c r="X1016" s="10">
        <v>83</v>
      </c>
      <c r="Y1016" s="10">
        <v>65</v>
      </c>
      <c r="Z1016" s="10">
        <v>182</v>
      </c>
      <c r="AA1016" s="10">
        <v>11</v>
      </c>
      <c r="AB1016" s="10">
        <v>7.5</v>
      </c>
      <c r="AC1016" s="9" t="s">
        <v>188</v>
      </c>
      <c r="AD1016" s="10"/>
      <c r="AE1016" s="10"/>
      <c r="AF1016" s="10"/>
      <c r="AG1016" s="10"/>
    </row>
    <row r="1017" spans="1:33">
      <c r="A1017" s="7" t="s">
        <v>155</v>
      </c>
      <c r="B1017" s="8" t="s">
        <v>172</v>
      </c>
      <c r="C1017" s="9" t="s">
        <v>469</v>
      </c>
      <c r="D1017" s="10">
        <v>160</v>
      </c>
      <c r="E1017" s="9" t="s">
        <v>158</v>
      </c>
      <c r="F1017" s="10">
        <v>160</v>
      </c>
      <c r="G1017" s="10">
        <v>158.5</v>
      </c>
      <c r="H1017" s="10">
        <v>120</v>
      </c>
      <c r="I1017" s="10">
        <v>143</v>
      </c>
      <c r="J1017" s="10">
        <v>124</v>
      </c>
      <c r="K1017" s="10">
        <v>80</v>
      </c>
      <c r="L1017" s="10">
        <v>113</v>
      </c>
      <c r="M1017" s="10">
        <v>12.8</v>
      </c>
      <c r="N1017" s="10">
        <v>1651</v>
      </c>
      <c r="O1017" s="10">
        <v>0.9</v>
      </c>
      <c r="P1017" s="10">
        <v>1493</v>
      </c>
      <c r="Q1017" s="10">
        <v>179</v>
      </c>
      <c r="R1017" s="10">
        <v>72</v>
      </c>
      <c r="S1017" s="10">
        <v>47</v>
      </c>
      <c r="T1017" s="10">
        <v>258</v>
      </c>
      <c r="U1017" s="10">
        <v>12</v>
      </c>
      <c r="V1017" s="10">
        <v>123</v>
      </c>
      <c r="W1017" s="10">
        <v>0.26</v>
      </c>
      <c r="X1017" s="10">
        <v>88</v>
      </c>
      <c r="Y1017" s="10">
        <v>63</v>
      </c>
      <c r="Z1017" s="10">
        <v>170</v>
      </c>
      <c r="AA1017" s="10">
        <v>10</v>
      </c>
      <c r="AB1017" s="10">
        <v>7.1</v>
      </c>
      <c r="AC1017" s="9" t="s">
        <v>160</v>
      </c>
      <c r="AD1017" s="10"/>
      <c r="AE1017" s="10"/>
      <c r="AF1017" s="10"/>
      <c r="AG1017" s="10"/>
    </row>
    <row r="1018" spans="1:33">
      <c r="A1018" s="7" t="s">
        <v>155</v>
      </c>
      <c r="B1018" s="8" t="s">
        <v>172</v>
      </c>
      <c r="C1018" s="9" t="s">
        <v>469</v>
      </c>
      <c r="D1018" s="10">
        <v>168</v>
      </c>
      <c r="E1018" s="9" t="s">
        <v>158</v>
      </c>
      <c r="F1018" s="10">
        <v>168</v>
      </c>
      <c r="G1018" s="10">
        <v>166.7</v>
      </c>
      <c r="H1018" s="10">
        <v>128</v>
      </c>
      <c r="I1018" s="10">
        <v>152</v>
      </c>
      <c r="J1018" s="10">
        <v>125</v>
      </c>
      <c r="K1018" s="10">
        <v>80</v>
      </c>
      <c r="L1018" s="10">
        <v>113</v>
      </c>
      <c r="M1018" s="10">
        <v>14.4</v>
      </c>
      <c r="N1018" s="10">
        <v>1742</v>
      </c>
      <c r="O1018" s="10">
        <v>0.9</v>
      </c>
      <c r="P1018" s="10">
        <v>1572</v>
      </c>
      <c r="Q1018" s="10">
        <v>202</v>
      </c>
      <c r="R1018" s="10">
        <v>82</v>
      </c>
      <c r="S1018" s="10">
        <v>47</v>
      </c>
      <c r="T1018" s="10">
        <v>257</v>
      </c>
      <c r="U1018" s="10">
        <v>13</v>
      </c>
      <c r="V1018" s="10">
        <v>132</v>
      </c>
      <c r="W1018" s="10">
        <v>0.26900000000000002</v>
      </c>
      <c r="X1018" s="10">
        <v>83</v>
      </c>
      <c r="Y1018" s="10">
        <v>60</v>
      </c>
      <c r="Z1018" s="10">
        <v>175</v>
      </c>
      <c r="AA1018" s="10">
        <v>10</v>
      </c>
      <c r="AB1018" s="10">
        <v>7.5</v>
      </c>
      <c r="AC1018" s="9" t="s">
        <v>160</v>
      </c>
      <c r="AD1018" s="10"/>
      <c r="AE1018" s="10"/>
      <c r="AF1018" s="10"/>
      <c r="AG1018" s="10"/>
    </row>
    <row r="1019" spans="1:33">
      <c r="A1019" s="7" t="s">
        <v>155</v>
      </c>
      <c r="B1019" s="8" t="s">
        <v>172</v>
      </c>
      <c r="C1019" s="9" t="s">
        <v>469</v>
      </c>
      <c r="D1019" s="10">
        <v>176</v>
      </c>
      <c r="E1019" s="9" t="s">
        <v>158</v>
      </c>
      <c r="F1019" s="10">
        <v>176</v>
      </c>
      <c r="G1019" s="10">
        <v>174.4</v>
      </c>
      <c r="H1019" s="10">
        <v>134</v>
      </c>
      <c r="I1019" s="10">
        <v>160</v>
      </c>
      <c r="J1019" s="10">
        <v>125</v>
      </c>
      <c r="K1019" s="10">
        <v>80</v>
      </c>
      <c r="L1019" s="10">
        <v>113</v>
      </c>
      <c r="M1019" s="10">
        <v>16</v>
      </c>
      <c r="N1019" s="10">
        <v>1805</v>
      </c>
      <c r="O1019" s="10">
        <v>0.91</v>
      </c>
      <c r="P1019" s="10">
        <v>1639</v>
      </c>
      <c r="Q1019" s="10">
        <v>241</v>
      </c>
      <c r="R1019" s="10">
        <v>89</v>
      </c>
      <c r="S1019" s="10">
        <v>48</v>
      </c>
      <c r="T1019" s="10">
        <v>266</v>
      </c>
      <c r="U1019" s="10">
        <v>14</v>
      </c>
      <c r="V1019" s="10">
        <v>134</v>
      </c>
      <c r="W1019" s="10">
        <v>0.28499999999999998</v>
      </c>
      <c r="X1019" s="10">
        <v>77</v>
      </c>
      <c r="Y1019" s="10">
        <v>65</v>
      </c>
      <c r="Z1019" s="10">
        <v>189</v>
      </c>
      <c r="AA1019" s="10">
        <v>7</v>
      </c>
      <c r="AB1019" s="10">
        <v>6.1</v>
      </c>
      <c r="AC1019" s="9" t="s">
        <v>160</v>
      </c>
      <c r="AD1019" s="10"/>
      <c r="AE1019" s="10"/>
      <c r="AF1019" s="10"/>
      <c r="AG1019" s="10"/>
    </row>
    <row r="1020" spans="1:33">
      <c r="A1020" s="7" t="s">
        <v>155</v>
      </c>
      <c r="B1020" s="8" t="s">
        <v>172</v>
      </c>
      <c r="C1020" s="9" t="s">
        <v>701</v>
      </c>
      <c r="D1020" s="10">
        <v>151</v>
      </c>
      <c r="E1020" s="9" t="s">
        <v>163</v>
      </c>
      <c r="F1020" s="10">
        <v>151</v>
      </c>
      <c r="G1020" s="10">
        <v>150.4</v>
      </c>
      <c r="H1020" s="10">
        <v>111</v>
      </c>
      <c r="I1020" s="10">
        <v>136</v>
      </c>
      <c r="J1020" s="10">
        <v>125</v>
      </c>
      <c r="K1020" s="10">
        <v>80</v>
      </c>
      <c r="L1020" s="10">
        <v>113</v>
      </c>
      <c r="M1020" s="10">
        <v>11.4</v>
      </c>
      <c r="N1020" s="10">
        <v>1601</v>
      </c>
      <c r="O1020" s="10">
        <v>0.89</v>
      </c>
      <c r="P1020" s="10">
        <v>1425</v>
      </c>
      <c r="Q1020" s="10">
        <v>174</v>
      </c>
      <c r="R1020" s="10">
        <v>61</v>
      </c>
      <c r="S1020" s="10">
        <v>49</v>
      </c>
      <c r="T1020" s="10">
        <v>263</v>
      </c>
      <c r="U1020" s="10">
        <v>13</v>
      </c>
      <c r="V1020" s="10">
        <v>127</v>
      </c>
      <c r="W1020" s="10">
        <v>0.25900000000000001</v>
      </c>
      <c r="X1020" s="10">
        <v>76</v>
      </c>
      <c r="Y1020" s="10">
        <v>68</v>
      </c>
      <c r="Z1020" s="10">
        <v>187</v>
      </c>
      <c r="AA1020" s="10">
        <v>8</v>
      </c>
      <c r="AB1020" s="10">
        <v>6.8</v>
      </c>
      <c r="AC1020" s="9" t="s">
        <v>160</v>
      </c>
      <c r="AD1020" s="10"/>
      <c r="AE1020" s="10"/>
      <c r="AF1020" s="10"/>
      <c r="AG1020" s="10"/>
    </row>
    <row r="1021" spans="1:33">
      <c r="A1021" s="7" t="s">
        <v>155</v>
      </c>
      <c r="B1021" s="8" t="s">
        <v>172</v>
      </c>
      <c r="C1021" s="9" t="s">
        <v>701</v>
      </c>
      <c r="D1021" s="10">
        <v>159</v>
      </c>
      <c r="E1021" s="9" t="s">
        <v>163</v>
      </c>
      <c r="F1021" s="10">
        <v>159</v>
      </c>
      <c r="G1021" s="10">
        <v>158.4</v>
      </c>
      <c r="H1021" s="10">
        <v>119</v>
      </c>
      <c r="I1021" s="10">
        <v>144</v>
      </c>
      <c r="J1021" s="10">
        <v>125</v>
      </c>
      <c r="K1021" s="10">
        <v>80</v>
      </c>
      <c r="L1021" s="10">
        <v>113</v>
      </c>
      <c r="M1021" s="10">
        <v>12.8</v>
      </c>
      <c r="N1021" s="10">
        <v>1645</v>
      </c>
      <c r="O1021" s="10">
        <v>0.91</v>
      </c>
      <c r="P1021" s="10">
        <v>1501</v>
      </c>
      <c r="Q1021" s="10">
        <v>182</v>
      </c>
      <c r="R1021" s="10">
        <v>79</v>
      </c>
      <c r="S1021" s="10">
        <v>47</v>
      </c>
      <c r="T1021" s="10">
        <v>262</v>
      </c>
      <c r="U1021" s="10">
        <v>14</v>
      </c>
      <c r="V1021" s="10">
        <v>128</v>
      </c>
      <c r="W1021" s="10">
        <v>0.29099999999999998</v>
      </c>
      <c r="X1021" s="10">
        <v>84</v>
      </c>
      <c r="Y1021" s="10">
        <v>65</v>
      </c>
      <c r="Z1021" s="10">
        <v>178</v>
      </c>
      <c r="AA1021" s="10">
        <v>8</v>
      </c>
      <c r="AB1021" s="10">
        <v>7</v>
      </c>
      <c r="AC1021" s="9" t="s">
        <v>188</v>
      </c>
      <c r="AD1021" s="10"/>
      <c r="AE1021" s="10"/>
      <c r="AF1021" s="10"/>
      <c r="AG1021" s="10"/>
    </row>
    <row r="1022" spans="1:33">
      <c r="A1022" s="7" t="s">
        <v>155</v>
      </c>
      <c r="B1022" s="8" t="s">
        <v>172</v>
      </c>
      <c r="C1022" s="9" t="s">
        <v>713</v>
      </c>
      <c r="D1022" s="10">
        <v>160</v>
      </c>
      <c r="E1022" s="9" t="s">
        <v>158</v>
      </c>
      <c r="F1022" s="10">
        <v>160</v>
      </c>
      <c r="G1022" s="10">
        <v>158.4</v>
      </c>
      <c r="H1022" s="10">
        <v>119</v>
      </c>
      <c r="I1022" s="10">
        <v>144</v>
      </c>
      <c r="J1022" s="10">
        <v>125</v>
      </c>
      <c r="K1022" s="10">
        <v>79</v>
      </c>
      <c r="L1022" s="10">
        <v>113</v>
      </c>
      <c r="M1022" s="10">
        <v>12.7</v>
      </c>
      <c r="N1022" s="10">
        <v>1703</v>
      </c>
      <c r="O1022" s="10">
        <v>0.88</v>
      </c>
      <c r="P1022" s="10">
        <v>1490</v>
      </c>
      <c r="Q1022" s="10">
        <v>167</v>
      </c>
      <c r="R1022" s="10">
        <v>88</v>
      </c>
      <c r="S1022" s="10">
        <v>49</v>
      </c>
      <c r="T1022" s="10">
        <v>261</v>
      </c>
      <c r="U1022" s="10">
        <v>14</v>
      </c>
      <c r="V1022" s="10">
        <v>136</v>
      </c>
      <c r="W1022" s="10">
        <v>0.29099999999999998</v>
      </c>
      <c r="X1022" s="10">
        <v>80</v>
      </c>
      <c r="Y1022" s="10">
        <v>63</v>
      </c>
      <c r="Z1022" s="10">
        <v>182</v>
      </c>
      <c r="AA1022" s="10">
        <v>7</v>
      </c>
      <c r="AB1022" s="10">
        <v>7</v>
      </c>
      <c r="AC1022" s="9" t="s">
        <v>160</v>
      </c>
      <c r="AD1022" s="10"/>
      <c r="AE1022" s="10"/>
      <c r="AF1022" s="10"/>
      <c r="AG1022" s="10"/>
    </row>
    <row r="1023" spans="1:33">
      <c r="A1023" s="7" t="s">
        <v>155</v>
      </c>
      <c r="B1023" s="8" t="s">
        <v>172</v>
      </c>
      <c r="C1023" s="9" t="s">
        <v>547</v>
      </c>
      <c r="D1023" s="10">
        <v>151</v>
      </c>
      <c r="E1023" s="9" t="s">
        <v>163</v>
      </c>
      <c r="F1023" s="10">
        <v>151</v>
      </c>
      <c r="G1023" s="10">
        <v>150.4</v>
      </c>
      <c r="H1023" s="10">
        <v>111</v>
      </c>
      <c r="I1023" s="10">
        <v>136</v>
      </c>
      <c r="J1023" s="10">
        <v>125</v>
      </c>
      <c r="K1023" s="10">
        <v>80</v>
      </c>
      <c r="L1023" s="10">
        <v>113</v>
      </c>
      <c r="M1023" s="10">
        <v>11.3</v>
      </c>
      <c r="N1023" s="10">
        <v>1660</v>
      </c>
      <c r="O1023" s="10">
        <v>0.86</v>
      </c>
      <c r="P1023" s="10">
        <v>1425</v>
      </c>
      <c r="Q1023" s="10">
        <v>162</v>
      </c>
      <c r="R1023" s="10">
        <v>88</v>
      </c>
      <c r="S1023" s="10">
        <v>47</v>
      </c>
      <c r="T1023" s="10">
        <v>261</v>
      </c>
      <c r="U1023" s="10">
        <v>14</v>
      </c>
      <c r="V1023" s="10">
        <v>134</v>
      </c>
      <c r="W1023" s="10">
        <v>0.29099999999999998</v>
      </c>
      <c r="X1023" s="10">
        <v>78</v>
      </c>
      <c r="Y1023" s="10">
        <v>63</v>
      </c>
      <c r="Z1023" s="10">
        <v>183</v>
      </c>
      <c r="AA1023" s="10">
        <v>8</v>
      </c>
      <c r="AB1023" s="10">
        <v>6.6</v>
      </c>
      <c r="AC1023" s="9" t="s">
        <v>160</v>
      </c>
      <c r="AD1023" s="10"/>
      <c r="AE1023" s="10"/>
      <c r="AF1023" s="10"/>
      <c r="AG1023" s="10"/>
    </row>
    <row r="1024" spans="1:33">
      <c r="A1024" s="7" t="s">
        <v>155</v>
      </c>
      <c r="B1024" s="8" t="s">
        <v>172</v>
      </c>
      <c r="C1024" s="9" t="s">
        <v>547</v>
      </c>
      <c r="D1024" s="10">
        <v>159</v>
      </c>
      <c r="E1024" s="9" t="s">
        <v>163</v>
      </c>
      <c r="F1024" s="10">
        <v>159</v>
      </c>
      <c r="G1024" s="10">
        <v>158.19999999999999</v>
      </c>
      <c r="H1024" s="10">
        <v>119</v>
      </c>
      <c r="I1024" s="10">
        <v>144</v>
      </c>
      <c r="J1024" s="10">
        <v>125</v>
      </c>
      <c r="K1024" s="10">
        <v>80</v>
      </c>
      <c r="L1024" s="10">
        <v>114</v>
      </c>
      <c r="M1024" s="10">
        <v>12.7</v>
      </c>
      <c r="N1024" s="10">
        <v>1746</v>
      </c>
      <c r="O1024" s="10">
        <v>0.86</v>
      </c>
      <c r="P1024" s="10">
        <v>1498</v>
      </c>
      <c r="Q1024" s="10">
        <v>180</v>
      </c>
      <c r="R1024" s="10">
        <v>94</v>
      </c>
      <c r="S1024" s="10">
        <v>49</v>
      </c>
      <c r="T1024" s="10">
        <v>261</v>
      </c>
      <c r="U1024" s="10">
        <v>15</v>
      </c>
      <c r="V1024" s="10">
        <v>135</v>
      </c>
      <c r="W1024" s="10">
        <v>0.30399999999999999</v>
      </c>
      <c r="X1024" s="10">
        <v>80</v>
      </c>
      <c r="Y1024" s="10">
        <v>62</v>
      </c>
      <c r="Z1024" s="10">
        <v>181</v>
      </c>
      <c r="AA1024" s="10">
        <v>8</v>
      </c>
      <c r="AB1024" s="10">
        <v>6.9</v>
      </c>
      <c r="AC1024" s="9" t="s">
        <v>160</v>
      </c>
      <c r="AD1024" s="10"/>
      <c r="AE1024" s="10"/>
      <c r="AF1024" s="10"/>
      <c r="AG1024" s="10"/>
    </row>
    <row r="1025" spans="1:33">
      <c r="A1025" s="7" t="s">
        <v>155</v>
      </c>
      <c r="B1025" s="8" t="s">
        <v>172</v>
      </c>
      <c r="C1025" s="9" t="s">
        <v>345</v>
      </c>
      <c r="D1025" s="10">
        <v>158</v>
      </c>
      <c r="E1025" s="9" t="s">
        <v>158</v>
      </c>
      <c r="F1025" s="10">
        <v>158</v>
      </c>
      <c r="G1025" s="10">
        <v>157.5</v>
      </c>
      <c r="H1025" s="10">
        <v>118</v>
      </c>
      <c r="I1025" s="10">
        <v>143</v>
      </c>
      <c r="J1025" s="10">
        <v>131</v>
      </c>
      <c r="K1025" s="10">
        <v>83</v>
      </c>
      <c r="L1025" s="10">
        <v>118</v>
      </c>
      <c r="M1025" s="10">
        <v>12</v>
      </c>
      <c r="N1025" s="10">
        <v>1662</v>
      </c>
      <c r="O1025" s="10">
        <v>0.94</v>
      </c>
      <c r="P1025" s="10">
        <v>1556</v>
      </c>
      <c r="Q1025" s="10">
        <v>179</v>
      </c>
      <c r="R1025" s="10">
        <v>71</v>
      </c>
      <c r="S1025" s="10">
        <v>48</v>
      </c>
      <c r="T1025" s="10">
        <v>264</v>
      </c>
      <c r="U1025" s="10">
        <v>13</v>
      </c>
      <c r="V1025" s="10">
        <v>132</v>
      </c>
      <c r="W1025" s="10">
        <v>0.28299999999999997</v>
      </c>
      <c r="X1025" s="10">
        <v>79</v>
      </c>
      <c r="Y1025" s="10">
        <v>67</v>
      </c>
      <c r="Z1025" s="10">
        <v>185</v>
      </c>
      <c r="AA1025" s="10">
        <v>7</v>
      </c>
      <c r="AB1025" s="10">
        <v>6.8</v>
      </c>
      <c r="AC1025" s="9" t="s">
        <v>188</v>
      </c>
      <c r="AD1025" s="10"/>
      <c r="AE1025" s="10"/>
      <c r="AF1025" s="10"/>
      <c r="AG1025" s="10"/>
    </row>
    <row r="1026" spans="1:33">
      <c r="A1026" s="7" t="s">
        <v>155</v>
      </c>
      <c r="B1026" s="8" t="s">
        <v>172</v>
      </c>
      <c r="C1026" s="9" t="s">
        <v>345</v>
      </c>
      <c r="D1026" s="10">
        <v>167</v>
      </c>
      <c r="E1026" s="9" t="s">
        <v>158</v>
      </c>
      <c r="F1026" s="10">
        <v>167</v>
      </c>
      <c r="G1026" s="10">
        <v>166.4</v>
      </c>
      <c r="H1026" s="10">
        <v>127</v>
      </c>
      <c r="I1026" s="10">
        <v>152</v>
      </c>
      <c r="J1026" s="10">
        <v>131</v>
      </c>
      <c r="K1026" s="10">
        <v>83</v>
      </c>
      <c r="L1026" s="10">
        <v>119</v>
      </c>
      <c r="M1026" s="10">
        <v>13.4</v>
      </c>
      <c r="N1026" s="10">
        <v>1799</v>
      </c>
      <c r="O1026" s="10">
        <v>0.91</v>
      </c>
      <c r="P1026" s="10">
        <v>1643</v>
      </c>
      <c r="Q1026" s="10">
        <v>198</v>
      </c>
      <c r="R1026" s="10">
        <v>80</v>
      </c>
      <c r="S1026" s="10">
        <v>46</v>
      </c>
      <c r="T1026" s="10">
        <v>261</v>
      </c>
      <c r="U1026" s="10">
        <v>13</v>
      </c>
      <c r="V1026" s="10">
        <v>129</v>
      </c>
      <c r="W1026" s="10">
        <v>0.27800000000000002</v>
      </c>
      <c r="X1026" s="10">
        <v>74</v>
      </c>
      <c r="Y1026" s="10">
        <v>67</v>
      </c>
      <c r="Z1026" s="10">
        <v>186</v>
      </c>
      <c r="AA1026" s="10">
        <v>8</v>
      </c>
      <c r="AB1026" s="10">
        <v>6.7</v>
      </c>
      <c r="AC1026" s="9" t="s">
        <v>188</v>
      </c>
      <c r="AD1026" s="10"/>
      <c r="AE1026" s="10"/>
      <c r="AF1026" s="10"/>
      <c r="AG1026" s="10"/>
    </row>
    <row r="1027" spans="1:33">
      <c r="A1027" s="7" t="s">
        <v>155</v>
      </c>
      <c r="B1027" s="8" t="s">
        <v>172</v>
      </c>
      <c r="C1027" s="9" t="s">
        <v>345</v>
      </c>
      <c r="D1027" s="10">
        <v>176</v>
      </c>
      <c r="E1027" s="9" t="s">
        <v>158</v>
      </c>
      <c r="F1027" s="10">
        <v>176</v>
      </c>
      <c r="G1027" s="10">
        <v>175.5</v>
      </c>
      <c r="H1027" s="10">
        <v>137</v>
      </c>
      <c r="I1027" s="10">
        <v>161</v>
      </c>
      <c r="J1027" s="10">
        <v>131</v>
      </c>
      <c r="K1027" s="10">
        <v>84</v>
      </c>
      <c r="L1027" s="10">
        <v>119</v>
      </c>
      <c r="M1027" s="10">
        <v>15.4</v>
      </c>
      <c r="N1027" s="10">
        <v>1911</v>
      </c>
      <c r="O1027" s="10">
        <v>0.91</v>
      </c>
      <c r="P1027" s="10">
        <v>1733</v>
      </c>
      <c r="Q1027" s="10">
        <v>230</v>
      </c>
      <c r="R1027" s="10">
        <v>92</v>
      </c>
      <c r="S1027" s="10">
        <v>47</v>
      </c>
      <c r="T1027" s="10">
        <v>258</v>
      </c>
      <c r="U1027" s="10">
        <v>13</v>
      </c>
      <c r="V1027" s="10">
        <v>126</v>
      </c>
      <c r="W1027" s="10">
        <v>0.26900000000000002</v>
      </c>
      <c r="X1027" s="10">
        <v>73</v>
      </c>
      <c r="Y1027" s="10">
        <v>67</v>
      </c>
      <c r="Z1027" s="10">
        <v>184</v>
      </c>
      <c r="AA1027" s="10">
        <v>10</v>
      </c>
      <c r="AB1027" s="10">
        <v>6.9</v>
      </c>
      <c r="AC1027" s="9" t="s">
        <v>188</v>
      </c>
      <c r="AD1027" s="10"/>
      <c r="AE1027" s="10"/>
      <c r="AF1027" s="10"/>
      <c r="AG1027" s="10"/>
    </row>
    <row r="1028" spans="1:33">
      <c r="A1028" s="7" t="s">
        <v>155</v>
      </c>
      <c r="B1028" s="8" t="s">
        <v>172</v>
      </c>
      <c r="C1028" s="9" t="s">
        <v>661</v>
      </c>
      <c r="D1028" s="10">
        <v>148</v>
      </c>
      <c r="E1028" s="9" t="s">
        <v>163</v>
      </c>
      <c r="F1028" s="10">
        <v>148</v>
      </c>
      <c r="G1028" s="10">
        <v>148.4</v>
      </c>
      <c r="H1028" s="10">
        <v>109</v>
      </c>
      <c r="I1028" s="10">
        <v>134</v>
      </c>
      <c r="J1028" s="10">
        <v>131</v>
      </c>
      <c r="K1028" s="10">
        <v>84</v>
      </c>
      <c r="L1028" s="10">
        <v>119</v>
      </c>
      <c r="M1028" s="10">
        <v>10.4</v>
      </c>
      <c r="N1028" s="10">
        <v>1654</v>
      </c>
      <c r="O1028" s="10">
        <v>0.89</v>
      </c>
      <c r="P1028" s="10">
        <v>1474</v>
      </c>
      <c r="Q1028" s="10">
        <v>178</v>
      </c>
      <c r="R1028" s="10">
        <v>74</v>
      </c>
      <c r="S1028" s="10">
        <v>51</v>
      </c>
      <c r="T1028" s="10">
        <v>263</v>
      </c>
      <c r="U1028" s="10">
        <v>13</v>
      </c>
      <c r="V1028" s="10">
        <v>129</v>
      </c>
      <c r="W1028" s="10">
        <v>0.26400000000000001</v>
      </c>
      <c r="X1028" s="10">
        <v>78</v>
      </c>
      <c r="Y1028" s="10">
        <v>66</v>
      </c>
      <c r="Z1028" s="10">
        <v>185</v>
      </c>
      <c r="AA1028" s="10">
        <v>8</v>
      </c>
      <c r="AB1028" s="10">
        <v>6.4</v>
      </c>
      <c r="AC1028" s="9" t="s">
        <v>188</v>
      </c>
      <c r="AD1028" s="10"/>
      <c r="AE1028" s="10"/>
      <c r="AF1028" s="10"/>
      <c r="AG1028" s="10"/>
    </row>
    <row r="1029" spans="1:33">
      <c r="A1029" s="7" t="s">
        <v>155</v>
      </c>
      <c r="B1029" s="8" t="s">
        <v>172</v>
      </c>
      <c r="C1029" s="9" t="s">
        <v>661</v>
      </c>
      <c r="D1029" s="10">
        <v>166</v>
      </c>
      <c r="E1029" s="9" t="s">
        <v>163</v>
      </c>
      <c r="F1029" s="10">
        <v>166</v>
      </c>
      <c r="G1029" s="10">
        <v>166.5</v>
      </c>
      <c r="H1029" s="10">
        <v>128</v>
      </c>
      <c r="I1029" s="10">
        <v>153</v>
      </c>
      <c r="J1029" s="10">
        <v>131</v>
      </c>
      <c r="K1029" s="10">
        <v>84</v>
      </c>
      <c r="L1029" s="10">
        <v>120</v>
      </c>
      <c r="M1029" s="10">
        <v>13.6</v>
      </c>
      <c r="N1029" s="10">
        <v>1821</v>
      </c>
      <c r="O1029" s="10">
        <v>0.91</v>
      </c>
      <c r="P1029" s="10">
        <v>1657</v>
      </c>
      <c r="Q1029" s="10">
        <v>202</v>
      </c>
      <c r="R1029" s="10">
        <v>87</v>
      </c>
      <c r="S1029" s="10">
        <v>46</v>
      </c>
      <c r="T1029" s="10">
        <v>259</v>
      </c>
      <c r="U1029" s="10">
        <v>13</v>
      </c>
      <c r="V1029" s="10">
        <v>129</v>
      </c>
      <c r="W1029" s="10">
        <v>0.27300000000000002</v>
      </c>
      <c r="X1029" s="10">
        <v>73</v>
      </c>
      <c r="Y1029" s="10">
        <v>64</v>
      </c>
      <c r="Z1029" s="10">
        <v>186</v>
      </c>
      <c r="AA1029" s="10">
        <v>9</v>
      </c>
      <c r="AB1029" s="10">
        <v>6.8</v>
      </c>
      <c r="AC1029" s="9" t="s">
        <v>188</v>
      </c>
      <c r="AD1029" s="10"/>
      <c r="AE1029" s="10"/>
      <c r="AF1029" s="10"/>
      <c r="AG1029" s="10"/>
    </row>
    <row r="1030" spans="1:33">
      <c r="A1030" s="7" t="s">
        <v>155</v>
      </c>
      <c r="B1030" s="8" t="s">
        <v>172</v>
      </c>
      <c r="C1030" s="9" t="s">
        <v>173</v>
      </c>
      <c r="D1030" s="10">
        <v>167</v>
      </c>
      <c r="E1030" s="9" t="s">
        <v>158</v>
      </c>
      <c r="F1030" s="10">
        <v>167</v>
      </c>
      <c r="G1030" s="10">
        <v>166.4</v>
      </c>
      <c r="H1030" s="10">
        <v>128</v>
      </c>
      <c r="I1030" s="10">
        <v>152</v>
      </c>
      <c r="J1030" s="10">
        <v>131</v>
      </c>
      <c r="K1030" s="10">
        <v>83</v>
      </c>
      <c r="L1030" s="10">
        <v>119</v>
      </c>
      <c r="M1030" s="10">
        <v>13.6</v>
      </c>
      <c r="N1030" s="9" t="s">
        <v>1155</v>
      </c>
      <c r="O1030" s="9" t="s">
        <v>1155</v>
      </c>
      <c r="P1030" s="10">
        <v>1643</v>
      </c>
      <c r="Q1030" s="10">
        <v>184</v>
      </c>
      <c r="R1030" s="10">
        <v>113</v>
      </c>
      <c r="S1030" s="10">
        <v>47</v>
      </c>
      <c r="T1030" s="10">
        <v>250</v>
      </c>
      <c r="U1030" s="10">
        <v>14</v>
      </c>
      <c r="V1030" s="10">
        <v>133</v>
      </c>
      <c r="W1030" s="10">
        <v>0.30399999999999999</v>
      </c>
      <c r="X1030" s="10">
        <v>82</v>
      </c>
      <c r="Y1030" s="10">
        <v>64</v>
      </c>
      <c r="Z1030" s="10">
        <v>168</v>
      </c>
      <c r="AA1030" s="10">
        <v>11</v>
      </c>
      <c r="AB1030" s="10">
        <v>6.9</v>
      </c>
      <c r="AC1030" s="9" t="s">
        <v>160</v>
      </c>
      <c r="AD1030" s="10"/>
      <c r="AE1030" s="10"/>
      <c r="AF1030" s="10"/>
      <c r="AG1030" s="10"/>
    </row>
    <row r="1031" spans="1:33">
      <c r="A1031" s="7" t="s">
        <v>155</v>
      </c>
      <c r="B1031" s="8" t="s">
        <v>172</v>
      </c>
      <c r="C1031" s="9" t="s">
        <v>173</v>
      </c>
      <c r="D1031" s="10">
        <v>176</v>
      </c>
      <c r="E1031" s="9" t="s">
        <v>158</v>
      </c>
      <c r="F1031" s="10">
        <v>176</v>
      </c>
      <c r="G1031" s="10">
        <v>175.5</v>
      </c>
      <c r="H1031" s="10">
        <v>136</v>
      </c>
      <c r="I1031" s="10">
        <v>161</v>
      </c>
      <c r="J1031" s="10">
        <v>131</v>
      </c>
      <c r="K1031" s="10">
        <v>84</v>
      </c>
      <c r="L1031" s="10">
        <v>119</v>
      </c>
      <c r="M1031" s="10">
        <v>15.4</v>
      </c>
      <c r="N1031" s="10">
        <v>2061</v>
      </c>
      <c r="O1031" s="10">
        <v>0.84</v>
      </c>
      <c r="P1031" s="10">
        <v>1732</v>
      </c>
      <c r="Q1031" s="10">
        <v>234</v>
      </c>
      <c r="R1031" s="10">
        <v>137</v>
      </c>
      <c r="S1031" s="10">
        <v>49</v>
      </c>
      <c r="T1031" s="10">
        <v>259</v>
      </c>
      <c r="U1031" s="10">
        <v>14</v>
      </c>
      <c r="V1031" s="10">
        <v>136</v>
      </c>
      <c r="W1031" s="10">
        <v>0.28999999999999998</v>
      </c>
      <c r="X1031" s="10">
        <v>76</v>
      </c>
      <c r="Y1031" s="10">
        <v>64</v>
      </c>
      <c r="Z1031" s="10">
        <v>183</v>
      </c>
      <c r="AA1031" s="10">
        <v>10</v>
      </c>
      <c r="AB1031" s="10">
        <v>6.9</v>
      </c>
      <c r="AC1031" s="9" t="s">
        <v>188</v>
      </c>
      <c r="AD1031" s="10"/>
      <c r="AE1031" s="10"/>
      <c r="AF1031" s="10"/>
      <c r="AG1031" s="10"/>
    </row>
    <row r="1032" spans="1:33">
      <c r="A1032" s="7" t="s">
        <v>155</v>
      </c>
      <c r="B1032" s="8" t="s">
        <v>172</v>
      </c>
      <c r="C1032" s="9" t="s">
        <v>871</v>
      </c>
      <c r="D1032" s="10">
        <v>167</v>
      </c>
      <c r="E1032" s="9" t="s">
        <v>158</v>
      </c>
      <c r="F1032" s="10">
        <v>167</v>
      </c>
      <c r="G1032" s="10">
        <v>166.3</v>
      </c>
      <c r="H1032" s="10">
        <v>145</v>
      </c>
      <c r="I1032" s="10">
        <v>155</v>
      </c>
      <c r="J1032" s="10">
        <v>118</v>
      </c>
      <c r="K1032" s="10">
        <v>70</v>
      </c>
      <c r="L1032" s="10">
        <v>100</v>
      </c>
      <c r="M1032" s="10">
        <v>15.3</v>
      </c>
      <c r="N1032" s="10">
        <v>1969</v>
      </c>
      <c r="O1032" s="10">
        <v>0.71</v>
      </c>
      <c r="P1032" s="10">
        <v>1398</v>
      </c>
      <c r="Q1032" s="10">
        <v>240</v>
      </c>
      <c r="R1032" s="10">
        <v>135</v>
      </c>
      <c r="S1032" s="10">
        <v>42</v>
      </c>
      <c r="T1032" s="10">
        <v>161</v>
      </c>
      <c r="U1032" s="10">
        <v>5</v>
      </c>
      <c r="V1032" s="10">
        <v>54</v>
      </c>
      <c r="W1032" s="10">
        <v>0.11799999999999999</v>
      </c>
      <c r="X1032" s="10">
        <v>69</v>
      </c>
      <c r="Y1032" s="10">
        <v>41</v>
      </c>
      <c r="Z1032" s="10">
        <v>93</v>
      </c>
      <c r="AA1032" s="10">
        <v>10</v>
      </c>
      <c r="AB1032" s="10">
        <v>11.1</v>
      </c>
      <c r="AC1032" s="9" t="s">
        <v>349</v>
      </c>
      <c r="AD1032" s="10"/>
      <c r="AE1032" s="10"/>
      <c r="AF1032" s="10"/>
      <c r="AG1032" s="10"/>
    </row>
    <row r="1033" spans="1:33">
      <c r="A1033" s="7" t="s">
        <v>155</v>
      </c>
      <c r="B1033" s="8" t="s">
        <v>172</v>
      </c>
      <c r="C1033" s="9" t="s">
        <v>871</v>
      </c>
      <c r="D1033" s="10">
        <v>172</v>
      </c>
      <c r="E1033" s="9" t="s">
        <v>158</v>
      </c>
      <c r="F1033" s="10">
        <v>172</v>
      </c>
      <c r="G1033" s="10">
        <v>171.4</v>
      </c>
      <c r="H1033" s="10">
        <v>151</v>
      </c>
      <c r="I1033" s="10">
        <v>160</v>
      </c>
      <c r="J1033" s="10">
        <v>118</v>
      </c>
      <c r="K1033" s="10">
        <v>69</v>
      </c>
      <c r="L1033" s="10">
        <v>100</v>
      </c>
      <c r="M1033" s="10">
        <v>16.399999999999999</v>
      </c>
      <c r="N1033" s="10">
        <v>2051</v>
      </c>
      <c r="O1033" s="10">
        <v>0.7</v>
      </c>
      <c r="P1033" s="10">
        <v>1435</v>
      </c>
      <c r="Q1033" s="10">
        <v>263</v>
      </c>
      <c r="R1033" s="10">
        <v>145</v>
      </c>
      <c r="S1033" s="10">
        <v>39</v>
      </c>
      <c r="T1033" s="10">
        <v>147</v>
      </c>
      <c r="U1033" s="10">
        <v>4</v>
      </c>
      <c r="V1033" s="10">
        <v>52</v>
      </c>
      <c r="W1033" s="10">
        <v>0.115</v>
      </c>
      <c r="X1033" s="10">
        <v>71</v>
      </c>
      <c r="Y1033" s="10">
        <v>44</v>
      </c>
      <c r="Z1033" s="10">
        <v>76</v>
      </c>
      <c r="AA1033" s="10">
        <v>11</v>
      </c>
      <c r="AB1033" s="10">
        <v>11.4</v>
      </c>
      <c r="AC1033" s="9" t="s">
        <v>349</v>
      </c>
      <c r="AD1033" s="10"/>
      <c r="AE1033" s="10"/>
      <c r="AF1033" s="10"/>
      <c r="AG1033" s="10"/>
    </row>
    <row r="1034" spans="1:33">
      <c r="A1034" s="7" t="s">
        <v>155</v>
      </c>
      <c r="B1034" s="8" t="s">
        <v>172</v>
      </c>
      <c r="C1034" s="9" t="s">
        <v>621</v>
      </c>
      <c r="D1034" s="10">
        <v>167</v>
      </c>
      <c r="E1034" s="9" t="s">
        <v>158</v>
      </c>
      <c r="F1034" s="10">
        <v>167</v>
      </c>
      <c r="G1034" s="10">
        <v>167.5</v>
      </c>
      <c r="H1034" s="10">
        <v>147</v>
      </c>
      <c r="I1034" s="10">
        <v>154</v>
      </c>
      <c r="J1034" s="10">
        <v>122</v>
      </c>
      <c r="K1034" s="10">
        <v>73</v>
      </c>
      <c r="L1034" s="10">
        <v>108</v>
      </c>
      <c r="M1034" s="10">
        <v>13.9</v>
      </c>
      <c r="N1034" s="10">
        <v>1803</v>
      </c>
      <c r="O1034" s="10">
        <v>0.83</v>
      </c>
      <c r="P1034" s="10">
        <v>1491</v>
      </c>
      <c r="Q1034" s="10">
        <v>209</v>
      </c>
      <c r="R1034" s="10">
        <v>85</v>
      </c>
      <c r="S1034" s="10">
        <v>39</v>
      </c>
      <c r="T1034" s="10">
        <v>141</v>
      </c>
      <c r="U1034" s="10">
        <v>4</v>
      </c>
      <c r="V1034" s="10">
        <v>66</v>
      </c>
      <c r="W1034" s="10">
        <v>0.111</v>
      </c>
      <c r="X1034" s="10">
        <v>79</v>
      </c>
      <c r="Y1034" s="10">
        <v>59</v>
      </c>
      <c r="Z1034" s="10">
        <v>63</v>
      </c>
      <c r="AA1034" s="10">
        <v>11</v>
      </c>
      <c r="AB1034" s="10">
        <v>10.5</v>
      </c>
      <c r="AC1034" s="9" t="s">
        <v>349</v>
      </c>
      <c r="AD1034" s="10"/>
      <c r="AE1034" s="10"/>
      <c r="AF1034" s="10"/>
      <c r="AG1034" s="10"/>
    </row>
    <row r="1035" spans="1:33">
      <c r="A1035" s="7" t="s">
        <v>155</v>
      </c>
      <c r="B1035" s="8" t="s">
        <v>172</v>
      </c>
      <c r="C1035" s="9" t="s">
        <v>621</v>
      </c>
      <c r="D1035" s="10">
        <v>175</v>
      </c>
      <c r="E1035" s="9" t="s">
        <v>158</v>
      </c>
      <c r="F1035" s="10">
        <v>175</v>
      </c>
      <c r="G1035" s="10">
        <v>174.4</v>
      </c>
      <c r="H1035" s="10">
        <v>148</v>
      </c>
      <c r="I1035" s="10">
        <v>161</v>
      </c>
      <c r="J1035" s="10">
        <v>122</v>
      </c>
      <c r="K1035" s="10">
        <v>73</v>
      </c>
      <c r="L1035" s="10">
        <v>108</v>
      </c>
      <c r="M1035" s="10">
        <v>15.2</v>
      </c>
      <c r="N1035" s="10">
        <v>1895</v>
      </c>
      <c r="O1035" s="10">
        <v>0.82</v>
      </c>
      <c r="P1035" s="10">
        <v>1550</v>
      </c>
      <c r="Q1035" s="10">
        <v>233</v>
      </c>
      <c r="R1035" s="10">
        <v>87</v>
      </c>
      <c r="S1035" s="10">
        <v>40</v>
      </c>
      <c r="T1035" s="10">
        <v>196</v>
      </c>
      <c r="U1035" s="10">
        <v>4</v>
      </c>
      <c r="V1035" s="10">
        <v>66</v>
      </c>
      <c r="W1035" s="10">
        <v>0.109</v>
      </c>
      <c r="X1035" s="10">
        <v>73</v>
      </c>
      <c r="Y1035" s="10">
        <v>60</v>
      </c>
      <c r="Z1035" s="10">
        <v>122</v>
      </c>
      <c r="AA1035" s="10">
        <v>10</v>
      </c>
      <c r="AB1035" s="10">
        <v>10.199999999999999</v>
      </c>
      <c r="AC1035" s="9" t="s">
        <v>349</v>
      </c>
      <c r="AD1035" s="10"/>
      <c r="AE1035" s="10"/>
      <c r="AF1035" s="10"/>
      <c r="AG1035" s="10"/>
    </row>
    <row r="1036" spans="1:33">
      <c r="A1036" s="7" t="s">
        <v>155</v>
      </c>
      <c r="B1036" s="8" t="s">
        <v>172</v>
      </c>
      <c r="C1036" s="9" t="s">
        <v>676</v>
      </c>
      <c r="D1036" s="10">
        <v>159</v>
      </c>
      <c r="E1036" s="9" t="s">
        <v>158</v>
      </c>
      <c r="F1036" s="10">
        <v>159</v>
      </c>
      <c r="G1036" s="10">
        <v>158.6</v>
      </c>
      <c r="H1036" s="10">
        <v>135</v>
      </c>
      <c r="I1036" s="10">
        <v>145</v>
      </c>
      <c r="J1036" s="10">
        <v>122</v>
      </c>
      <c r="K1036" s="10">
        <v>73</v>
      </c>
      <c r="L1036" s="10">
        <v>109</v>
      </c>
      <c r="M1036" s="10">
        <v>12.2</v>
      </c>
      <c r="N1036" s="10">
        <v>1687</v>
      </c>
      <c r="O1036" s="10">
        <v>0.84</v>
      </c>
      <c r="P1036" s="10">
        <v>1412</v>
      </c>
      <c r="Q1036" s="10">
        <v>184</v>
      </c>
      <c r="R1036" s="10">
        <v>74</v>
      </c>
      <c r="S1036" s="10">
        <v>41</v>
      </c>
      <c r="T1036" s="10">
        <v>170</v>
      </c>
      <c r="U1036" s="10">
        <v>4</v>
      </c>
      <c r="V1036" s="10">
        <v>65</v>
      </c>
      <c r="W1036" s="10">
        <v>0.104</v>
      </c>
      <c r="X1036" s="10">
        <v>79</v>
      </c>
      <c r="Y1036" s="10">
        <v>61</v>
      </c>
      <c r="Z1036" s="10">
        <v>91</v>
      </c>
      <c r="AA1036" s="10">
        <v>11</v>
      </c>
      <c r="AB1036" s="10">
        <v>10.199999999999999</v>
      </c>
      <c r="AC1036" s="9" t="s">
        <v>349</v>
      </c>
      <c r="AD1036" s="10"/>
      <c r="AE1036" s="10"/>
      <c r="AF1036" s="10"/>
      <c r="AG1036" s="10"/>
    </row>
    <row r="1037" spans="1:33">
      <c r="A1037" s="7" t="s">
        <v>155</v>
      </c>
      <c r="B1037" s="8" t="s">
        <v>172</v>
      </c>
      <c r="C1037" s="9" t="s">
        <v>676</v>
      </c>
      <c r="D1037" s="10">
        <v>167</v>
      </c>
      <c r="E1037" s="9" t="s">
        <v>158</v>
      </c>
      <c r="F1037" s="10">
        <v>167</v>
      </c>
      <c r="G1037" s="10">
        <v>167.5</v>
      </c>
      <c r="H1037" s="10">
        <v>147</v>
      </c>
      <c r="I1037" s="10">
        <v>154</v>
      </c>
      <c r="J1037" s="10">
        <v>122</v>
      </c>
      <c r="K1037" s="10">
        <v>73</v>
      </c>
      <c r="L1037" s="10">
        <v>108</v>
      </c>
      <c r="M1037" s="10">
        <v>14</v>
      </c>
      <c r="N1037" s="10">
        <v>1813</v>
      </c>
      <c r="O1037" s="10">
        <v>0.82</v>
      </c>
      <c r="P1037" s="10">
        <v>1492</v>
      </c>
      <c r="Q1037" s="10">
        <v>198</v>
      </c>
      <c r="R1037" s="10">
        <v>74</v>
      </c>
      <c r="S1037" s="10">
        <v>38</v>
      </c>
      <c r="T1037" s="10">
        <v>136</v>
      </c>
      <c r="U1037" s="10">
        <v>5</v>
      </c>
      <c r="V1037" s="10">
        <v>68</v>
      </c>
      <c r="W1037" s="10">
        <v>0.13100000000000001</v>
      </c>
      <c r="X1037" s="10">
        <v>79</v>
      </c>
      <c r="Y1037" s="10">
        <v>59</v>
      </c>
      <c r="Z1037" s="10">
        <v>57</v>
      </c>
      <c r="AA1037" s="10">
        <v>10</v>
      </c>
      <c r="AB1037" s="10">
        <v>10.199999999999999</v>
      </c>
      <c r="AC1037" s="9" t="s">
        <v>349</v>
      </c>
      <c r="AD1037" s="10"/>
      <c r="AE1037" s="10"/>
      <c r="AF1037" s="10"/>
      <c r="AG1037" s="10"/>
    </row>
    <row r="1038" spans="1:33">
      <c r="A1038" s="7" t="s">
        <v>155</v>
      </c>
      <c r="B1038" s="8" t="s">
        <v>172</v>
      </c>
      <c r="C1038" s="9" t="s">
        <v>676</v>
      </c>
      <c r="D1038" s="10">
        <v>175</v>
      </c>
      <c r="E1038" s="9" t="s">
        <v>158</v>
      </c>
      <c r="F1038" s="10">
        <v>175</v>
      </c>
      <c r="G1038" s="10">
        <v>174.6</v>
      </c>
      <c r="H1038" s="10">
        <v>154</v>
      </c>
      <c r="I1038" s="10">
        <v>161</v>
      </c>
      <c r="J1038" s="10">
        <v>122</v>
      </c>
      <c r="K1038" s="10">
        <v>73</v>
      </c>
      <c r="L1038" s="10">
        <v>108</v>
      </c>
      <c r="M1038" s="10">
        <v>15.3</v>
      </c>
      <c r="N1038" s="10">
        <v>1880</v>
      </c>
      <c r="O1038" s="10">
        <v>0.82</v>
      </c>
      <c r="P1038" s="10">
        <v>1542</v>
      </c>
      <c r="Q1038" s="10">
        <v>222</v>
      </c>
      <c r="R1038" s="10">
        <v>93</v>
      </c>
      <c r="S1038" s="10">
        <v>37</v>
      </c>
      <c r="T1038" s="10">
        <v>137</v>
      </c>
      <c r="U1038" s="10">
        <v>5</v>
      </c>
      <c r="V1038" s="10">
        <v>67</v>
      </c>
      <c r="W1038" s="10">
        <v>0.13</v>
      </c>
      <c r="X1038" s="10">
        <v>75</v>
      </c>
      <c r="Y1038" s="10">
        <v>62</v>
      </c>
      <c r="Z1038" s="10">
        <v>62</v>
      </c>
      <c r="AA1038" s="10">
        <v>11</v>
      </c>
      <c r="AB1038" s="10">
        <v>10.3</v>
      </c>
      <c r="AC1038" s="9" t="s">
        <v>349</v>
      </c>
      <c r="AD1038" s="10"/>
      <c r="AE1038" s="10"/>
      <c r="AF1038" s="10"/>
      <c r="AG1038" s="10"/>
    </row>
    <row r="1039" spans="1:33">
      <c r="A1039" s="7" t="s">
        <v>155</v>
      </c>
      <c r="B1039" s="8" t="s">
        <v>172</v>
      </c>
      <c r="C1039" s="9" t="s">
        <v>653</v>
      </c>
      <c r="D1039" s="10">
        <v>160</v>
      </c>
      <c r="E1039" s="9" t="s">
        <v>158</v>
      </c>
      <c r="F1039" s="10">
        <v>160</v>
      </c>
      <c r="G1039" s="10">
        <v>159.69999999999999</v>
      </c>
      <c r="H1039" s="10">
        <v>140</v>
      </c>
      <c r="I1039" s="10">
        <v>144</v>
      </c>
      <c r="J1039" s="10">
        <v>128</v>
      </c>
      <c r="K1039" s="10">
        <v>76</v>
      </c>
      <c r="L1039" s="10">
        <v>108</v>
      </c>
      <c r="M1039" s="10">
        <v>12.1</v>
      </c>
      <c r="N1039" s="10">
        <v>1969</v>
      </c>
      <c r="O1039" s="10">
        <v>0.75</v>
      </c>
      <c r="P1039" s="10">
        <v>1471</v>
      </c>
      <c r="Q1039" s="10">
        <v>187</v>
      </c>
      <c r="R1039" s="10">
        <v>91</v>
      </c>
      <c r="S1039" s="10">
        <v>39</v>
      </c>
      <c r="T1039" s="10">
        <v>137</v>
      </c>
      <c r="U1039" s="10">
        <v>5</v>
      </c>
      <c r="V1039" s="10">
        <v>65</v>
      </c>
      <c r="W1039" s="10">
        <v>0.11899999999999999</v>
      </c>
      <c r="X1039" s="10">
        <v>91</v>
      </c>
      <c r="Y1039" s="10">
        <v>63</v>
      </c>
      <c r="Z1039" s="10">
        <v>46</v>
      </c>
      <c r="AA1039" s="10">
        <v>12</v>
      </c>
      <c r="AB1039" s="10">
        <v>10</v>
      </c>
      <c r="AC1039" s="9" t="s">
        <v>349</v>
      </c>
      <c r="AD1039" s="10"/>
      <c r="AE1039" s="10"/>
      <c r="AF1039" s="10"/>
      <c r="AG1039" s="10"/>
    </row>
    <row r="1040" spans="1:33">
      <c r="A1040" s="7" t="s">
        <v>155</v>
      </c>
      <c r="B1040" s="8" t="s">
        <v>172</v>
      </c>
      <c r="C1040" s="9" t="s">
        <v>653</v>
      </c>
      <c r="D1040" s="10">
        <v>167</v>
      </c>
      <c r="E1040" s="9" t="s">
        <v>158</v>
      </c>
      <c r="F1040" s="10">
        <v>167</v>
      </c>
      <c r="G1040" s="10">
        <v>166.3</v>
      </c>
      <c r="H1040" s="10">
        <v>145</v>
      </c>
      <c r="I1040" s="10">
        <v>151</v>
      </c>
      <c r="J1040" s="10">
        <v>128</v>
      </c>
      <c r="K1040" s="10">
        <v>76</v>
      </c>
      <c r="L1040" s="10">
        <v>108</v>
      </c>
      <c r="M1040" s="10">
        <v>13.4</v>
      </c>
      <c r="N1040" s="10">
        <v>2051</v>
      </c>
      <c r="O1040" s="10">
        <v>0.74</v>
      </c>
      <c r="P1040" s="10">
        <v>1528</v>
      </c>
      <c r="Q1040" s="10">
        <v>212</v>
      </c>
      <c r="R1040" s="10">
        <v>92</v>
      </c>
      <c r="S1040" s="10">
        <v>40</v>
      </c>
      <c r="T1040" s="10">
        <v>145</v>
      </c>
      <c r="U1040" s="10">
        <v>4</v>
      </c>
      <c r="V1040" s="10">
        <v>63</v>
      </c>
      <c r="W1040" s="10">
        <v>0.10299999999999999</v>
      </c>
      <c r="X1040" s="10">
        <v>90</v>
      </c>
      <c r="Y1040" s="10">
        <v>61</v>
      </c>
      <c r="Z1040" s="10">
        <v>55</v>
      </c>
      <c r="AA1040" s="10">
        <v>13</v>
      </c>
      <c r="AB1040" s="10">
        <v>10.1</v>
      </c>
      <c r="AC1040" s="9" t="s">
        <v>349</v>
      </c>
      <c r="AD1040" s="10"/>
      <c r="AE1040" s="10"/>
      <c r="AF1040" s="10"/>
      <c r="AG1040" s="10"/>
    </row>
    <row r="1041" spans="1:33">
      <c r="A1041" s="7" t="s">
        <v>155</v>
      </c>
      <c r="B1041" s="8" t="s">
        <v>172</v>
      </c>
      <c r="C1041" s="9" t="s">
        <v>653</v>
      </c>
      <c r="D1041" s="10">
        <v>174</v>
      </c>
      <c r="E1041" s="9" t="s">
        <v>158</v>
      </c>
      <c r="F1041" s="10">
        <v>174</v>
      </c>
      <c r="G1041" s="10">
        <v>173.6</v>
      </c>
      <c r="H1041" s="10">
        <v>153</v>
      </c>
      <c r="I1041" s="10">
        <v>159</v>
      </c>
      <c r="J1041" s="10">
        <v>128</v>
      </c>
      <c r="K1041" s="10">
        <v>76</v>
      </c>
      <c r="L1041" s="10">
        <v>108</v>
      </c>
      <c r="M1041" s="10">
        <v>14.6</v>
      </c>
      <c r="N1041" s="10">
        <v>2198</v>
      </c>
      <c r="O1041" s="10">
        <v>0.73</v>
      </c>
      <c r="P1041" s="10">
        <v>1595</v>
      </c>
      <c r="Q1041" s="10">
        <v>239</v>
      </c>
      <c r="R1041" s="10">
        <v>103</v>
      </c>
      <c r="S1041" s="10">
        <v>38</v>
      </c>
      <c r="T1041" s="10">
        <v>141</v>
      </c>
      <c r="U1041" s="10">
        <v>4</v>
      </c>
      <c r="V1041" s="10">
        <v>64</v>
      </c>
      <c r="W1041" s="10">
        <v>0.115</v>
      </c>
      <c r="X1041" s="10">
        <v>85</v>
      </c>
      <c r="Y1041" s="10">
        <v>64</v>
      </c>
      <c r="Z1041" s="10">
        <v>56</v>
      </c>
      <c r="AA1041" s="10">
        <v>14</v>
      </c>
      <c r="AB1041" s="10">
        <v>10.1</v>
      </c>
      <c r="AC1041" s="9" t="s">
        <v>349</v>
      </c>
      <c r="AD1041" s="10"/>
      <c r="AE1041" s="10"/>
      <c r="AF1041" s="10"/>
      <c r="AG1041" s="10"/>
    </row>
    <row r="1042" spans="1:33">
      <c r="A1042" s="7" t="s">
        <v>155</v>
      </c>
      <c r="B1042" s="8" t="s">
        <v>172</v>
      </c>
      <c r="C1042" s="9" t="s">
        <v>746</v>
      </c>
      <c r="D1042" s="10">
        <v>162</v>
      </c>
      <c r="E1042" s="9" t="s">
        <v>158</v>
      </c>
      <c r="F1042" s="10">
        <v>162</v>
      </c>
      <c r="G1042" s="10">
        <v>160.6</v>
      </c>
      <c r="H1042" s="10">
        <v>140</v>
      </c>
      <c r="I1042" s="10">
        <v>146</v>
      </c>
      <c r="J1042" s="10">
        <v>121</v>
      </c>
      <c r="K1042" s="10">
        <v>67</v>
      </c>
      <c r="L1042" s="10">
        <v>102</v>
      </c>
      <c r="M1042" s="10">
        <v>11.6</v>
      </c>
      <c r="N1042" s="10">
        <v>1904</v>
      </c>
      <c r="O1042" s="10">
        <v>0.71</v>
      </c>
      <c r="P1042" s="10">
        <v>1351</v>
      </c>
      <c r="Q1042" s="10">
        <v>199</v>
      </c>
      <c r="R1042" s="10">
        <v>87</v>
      </c>
      <c r="S1042" s="10">
        <v>40</v>
      </c>
      <c r="T1042" s="10">
        <v>141</v>
      </c>
      <c r="U1042" s="10">
        <v>4</v>
      </c>
      <c r="V1042" s="10">
        <v>65</v>
      </c>
      <c r="W1042" s="10">
        <v>0.104</v>
      </c>
      <c r="X1042" s="10">
        <v>79</v>
      </c>
      <c r="Y1042" s="10">
        <v>63</v>
      </c>
      <c r="Z1042" s="10">
        <v>62</v>
      </c>
      <c r="AA1042" s="10">
        <v>12</v>
      </c>
      <c r="AB1042" s="10">
        <v>8.9</v>
      </c>
      <c r="AC1042" s="9" t="s">
        <v>349</v>
      </c>
      <c r="AD1042" s="10"/>
      <c r="AE1042" s="10"/>
      <c r="AF1042" s="10"/>
      <c r="AG1042" s="10"/>
    </row>
    <row r="1043" spans="1:33">
      <c r="A1043" s="7" t="s">
        <v>155</v>
      </c>
      <c r="B1043" s="8" t="s">
        <v>172</v>
      </c>
      <c r="C1043" s="9" t="s">
        <v>746</v>
      </c>
      <c r="D1043" s="10">
        <v>167</v>
      </c>
      <c r="E1043" s="9" t="s">
        <v>158</v>
      </c>
      <c r="F1043" s="10">
        <v>167</v>
      </c>
      <c r="G1043" s="10">
        <v>165.5</v>
      </c>
      <c r="H1043" s="10">
        <v>143</v>
      </c>
      <c r="I1043" s="10">
        <v>151</v>
      </c>
      <c r="J1043" s="10">
        <v>122</v>
      </c>
      <c r="K1043" s="10">
        <v>67</v>
      </c>
      <c r="L1043" s="10">
        <v>103</v>
      </c>
      <c r="M1043" s="10">
        <v>12.4</v>
      </c>
      <c r="N1043" s="10">
        <v>1963</v>
      </c>
      <c r="O1043" s="10">
        <v>0.71</v>
      </c>
      <c r="P1043" s="10">
        <v>1399</v>
      </c>
      <c r="Q1043" s="10">
        <v>209</v>
      </c>
      <c r="R1043" s="10">
        <v>86</v>
      </c>
      <c r="S1043" s="10">
        <v>40</v>
      </c>
      <c r="T1043" s="10">
        <v>157</v>
      </c>
      <c r="U1043" s="10">
        <v>5</v>
      </c>
      <c r="V1043" s="10">
        <v>70</v>
      </c>
      <c r="W1043" s="10">
        <v>0.129</v>
      </c>
      <c r="X1043" s="10">
        <v>76</v>
      </c>
      <c r="Y1043" s="10">
        <v>66</v>
      </c>
      <c r="Z1043" s="10">
        <v>81</v>
      </c>
      <c r="AA1043" s="10">
        <v>12</v>
      </c>
      <c r="AB1043" s="10">
        <v>10.5</v>
      </c>
      <c r="AC1043" s="9" t="s">
        <v>349</v>
      </c>
      <c r="AD1043" s="10"/>
      <c r="AE1043" s="10"/>
      <c r="AF1043" s="10"/>
      <c r="AG1043" s="10"/>
    </row>
    <row r="1044" spans="1:33">
      <c r="A1044" s="7" t="s">
        <v>155</v>
      </c>
      <c r="B1044" s="8" t="s">
        <v>172</v>
      </c>
      <c r="C1044" s="9" t="s">
        <v>746</v>
      </c>
      <c r="D1044" s="10">
        <v>172</v>
      </c>
      <c r="E1044" s="9" t="s">
        <v>158</v>
      </c>
      <c r="F1044" s="10">
        <v>172</v>
      </c>
      <c r="G1044" s="10">
        <v>170.5</v>
      </c>
      <c r="H1044" s="10">
        <v>150</v>
      </c>
      <c r="I1044" s="10">
        <v>157</v>
      </c>
      <c r="J1044" s="10">
        <v>121</v>
      </c>
      <c r="K1044" s="10">
        <v>66</v>
      </c>
      <c r="L1044" s="10">
        <v>102</v>
      </c>
      <c r="M1044" s="10">
        <v>13.3</v>
      </c>
      <c r="N1044" s="10">
        <v>2064</v>
      </c>
      <c r="O1044" s="10">
        <v>0.69</v>
      </c>
      <c r="P1044" s="10">
        <v>1425</v>
      </c>
      <c r="Q1044" s="10">
        <v>229</v>
      </c>
      <c r="R1044" s="10">
        <v>103</v>
      </c>
      <c r="S1044" s="10">
        <v>40</v>
      </c>
      <c r="T1044" s="10">
        <v>141</v>
      </c>
      <c r="U1044" s="10">
        <v>4</v>
      </c>
      <c r="V1044" s="10">
        <v>64</v>
      </c>
      <c r="W1044" s="10">
        <v>0.11</v>
      </c>
      <c r="X1044" s="10">
        <v>76</v>
      </c>
      <c r="Y1044" s="10">
        <v>63</v>
      </c>
      <c r="Z1044" s="10">
        <v>65</v>
      </c>
      <c r="AA1044" s="10">
        <v>13</v>
      </c>
      <c r="AB1044" s="10">
        <v>11.1</v>
      </c>
      <c r="AC1044" s="9" t="s">
        <v>349</v>
      </c>
      <c r="AD1044" s="10"/>
      <c r="AE1044" s="10"/>
      <c r="AF1044" s="10"/>
      <c r="AG1044" s="10"/>
    </row>
    <row r="1045" spans="1:33">
      <c r="A1045" s="7" t="s">
        <v>155</v>
      </c>
      <c r="B1045" s="8" t="s">
        <v>172</v>
      </c>
      <c r="C1045" s="9" t="s">
        <v>751</v>
      </c>
      <c r="D1045" s="10">
        <v>157</v>
      </c>
      <c r="E1045" s="9" t="s">
        <v>158</v>
      </c>
      <c r="F1045" s="10">
        <v>157</v>
      </c>
      <c r="G1045" s="10">
        <v>155.4</v>
      </c>
      <c r="H1045" s="10">
        <v>135</v>
      </c>
      <c r="I1045" s="10">
        <v>142</v>
      </c>
      <c r="J1045" s="10">
        <v>121</v>
      </c>
      <c r="K1045" s="10">
        <v>67</v>
      </c>
      <c r="L1045" s="10">
        <v>102</v>
      </c>
      <c r="M1045" s="10">
        <v>10.8</v>
      </c>
      <c r="N1045" s="10">
        <v>2008</v>
      </c>
      <c r="O1045" s="10">
        <v>0.65</v>
      </c>
      <c r="P1045" s="10">
        <v>1308</v>
      </c>
      <c r="Q1045" s="10">
        <v>187</v>
      </c>
      <c r="R1045" s="10">
        <v>93</v>
      </c>
      <c r="S1045" s="10">
        <v>39</v>
      </c>
      <c r="T1045" s="10">
        <v>137</v>
      </c>
      <c r="U1045" s="10">
        <v>4</v>
      </c>
      <c r="V1045" s="10">
        <v>66</v>
      </c>
      <c r="W1045" s="10">
        <v>0.114</v>
      </c>
      <c r="X1045" s="10">
        <v>74</v>
      </c>
      <c r="Y1045" s="10">
        <v>62</v>
      </c>
      <c r="Z1045" s="10">
        <v>64</v>
      </c>
      <c r="AA1045" s="10">
        <v>11</v>
      </c>
      <c r="AB1045" s="10">
        <v>8.1</v>
      </c>
      <c r="AC1045" s="9" t="s">
        <v>349</v>
      </c>
      <c r="AD1045" s="10"/>
      <c r="AE1045" s="10"/>
      <c r="AF1045" s="10"/>
      <c r="AG1045" s="10"/>
    </row>
    <row r="1046" spans="1:33">
      <c r="A1046" s="7" t="s">
        <v>155</v>
      </c>
      <c r="B1046" s="8" t="s">
        <v>172</v>
      </c>
      <c r="C1046" s="9" t="s">
        <v>751</v>
      </c>
      <c r="D1046" s="10">
        <v>162</v>
      </c>
      <c r="E1046" s="9" t="s">
        <v>158</v>
      </c>
      <c r="F1046" s="10">
        <v>162</v>
      </c>
      <c r="G1046" s="10">
        <v>160.6</v>
      </c>
      <c r="H1046" s="10">
        <v>140</v>
      </c>
      <c r="I1046" s="10">
        <v>146</v>
      </c>
      <c r="J1046" s="10">
        <v>121</v>
      </c>
      <c r="K1046" s="10">
        <v>67</v>
      </c>
      <c r="L1046" s="10">
        <v>102</v>
      </c>
      <c r="M1046" s="10">
        <v>11.6</v>
      </c>
      <c r="N1046" s="10">
        <v>2056</v>
      </c>
      <c r="O1046" s="10">
        <v>0.66</v>
      </c>
      <c r="P1046" s="10">
        <v>1348</v>
      </c>
      <c r="Q1046" s="10">
        <v>197</v>
      </c>
      <c r="R1046" s="10">
        <v>90</v>
      </c>
      <c r="S1046" s="10">
        <v>39</v>
      </c>
      <c r="T1046" s="10">
        <v>137</v>
      </c>
      <c r="U1046" s="10">
        <v>4</v>
      </c>
      <c r="V1046" s="10">
        <v>65</v>
      </c>
      <c r="W1046" s="10">
        <v>0.111</v>
      </c>
      <c r="X1046" s="10">
        <v>78</v>
      </c>
      <c r="Y1046" s="10">
        <v>63</v>
      </c>
      <c r="Z1046" s="10">
        <v>59</v>
      </c>
      <c r="AA1046" s="10">
        <v>13</v>
      </c>
      <c r="AB1046" s="10">
        <v>8.9</v>
      </c>
      <c r="AC1046" s="9" t="s">
        <v>349</v>
      </c>
      <c r="AD1046" s="10"/>
      <c r="AE1046" s="10"/>
      <c r="AF1046" s="10"/>
      <c r="AG1046" s="10"/>
    </row>
    <row r="1047" spans="1:33">
      <c r="A1047" s="7" t="s">
        <v>155</v>
      </c>
      <c r="B1047" s="8" t="s">
        <v>172</v>
      </c>
      <c r="C1047" s="9" t="s">
        <v>875</v>
      </c>
      <c r="D1047" s="10">
        <v>169</v>
      </c>
      <c r="E1047" s="9" t="s">
        <v>158</v>
      </c>
      <c r="F1047" s="10">
        <v>169</v>
      </c>
      <c r="G1047" s="10">
        <v>168.5</v>
      </c>
      <c r="H1047" s="10">
        <v>151</v>
      </c>
      <c r="I1047" s="10">
        <v>162</v>
      </c>
      <c r="J1047" s="10">
        <v>114</v>
      </c>
      <c r="K1047" s="10">
        <v>69</v>
      </c>
      <c r="L1047" s="10">
        <v>97</v>
      </c>
      <c r="M1047" s="10">
        <v>17.7</v>
      </c>
      <c r="N1047" s="10">
        <v>2109</v>
      </c>
      <c r="O1047" s="10">
        <v>0.65</v>
      </c>
      <c r="P1047" s="10">
        <v>1378</v>
      </c>
      <c r="Q1047" s="10">
        <v>236</v>
      </c>
      <c r="R1047" s="10">
        <v>138</v>
      </c>
      <c r="S1047" s="10">
        <v>32</v>
      </c>
      <c r="T1047" s="10">
        <v>119</v>
      </c>
      <c r="U1047" s="10">
        <v>5</v>
      </c>
      <c r="V1047" s="10">
        <v>60</v>
      </c>
      <c r="W1047" s="10">
        <v>0.16700000000000001</v>
      </c>
      <c r="X1047" s="10">
        <v>29</v>
      </c>
      <c r="Y1047" s="10">
        <v>40</v>
      </c>
      <c r="Z1047" s="10">
        <v>90</v>
      </c>
      <c r="AA1047" s="10">
        <v>10</v>
      </c>
      <c r="AB1047" s="10">
        <v>8.1999999999999993</v>
      </c>
      <c r="AC1047" s="9" t="s">
        <v>349</v>
      </c>
      <c r="AD1047" s="10"/>
      <c r="AE1047" s="10"/>
      <c r="AF1047" s="10"/>
      <c r="AG1047" s="10"/>
    </row>
    <row r="1048" spans="1:33">
      <c r="A1048" s="7" t="s">
        <v>155</v>
      </c>
      <c r="B1048" s="8" t="s">
        <v>172</v>
      </c>
      <c r="C1048" s="9" t="s">
        <v>905</v>
      </c>
      <c r="D1048" s="10">
        <v>173</v>
      </c>
      <c r="E1048" s="9" t="s">
        <v>158</v>
      </c>
      <c r="F1048" s="10">
        <v>173</v>
      </c>
      <c r="G1048" s="10">
        <v>172.3</v>
      </c>
      <c r="H1048" s="10">
        <v>156</v>
      </c>
      <c r="I1048" s="10">
        <v>164</v>
      </c>
      <c r="J1048" s="10">
        <v>113</v>
      </c>
      <c r="K1048" s="10">
        <v>69</v>
      </c>
      <c r="L1048" s="10">
        <v>97</v>
      </c>
      <c r="M1048" s="10">
        <v>18.3</v>
      </c>
      <c r="N1048" s="10">
        <v>2175</v>
      </c>
      <c r="O1048" s="10">
        <v>0.65</v>
      </c>
      <c r="P1048" s="10">
        <v>1413</v>
      </c>
      <c r="Q1048" s="10">
        <v>249</v>
      </c>
      <c r="R1048" s="10">
        <v>143</v>
      </c>
      <c r="S1048" s="10">
        <v>30</v>
      </c>
      <c r="T1048" s="10">
        <v>111</v>
      </c>
      <c r="U1048" s="10">
        <v>4</v>
      </c>
      <c r="V1048" s="10">
        <v>54</v>
      </c>
      <c r="W1048" s="10">
        <v>0.14799999999999999</v>
      </c>
      <c r="X1048" s="10">
        <v>41</v>
      </c>
      <c r="Y1048" s="10">
        <v>45</v>
      </c>
      <c r="Z1048" s="10">
        <v>70</v>
      </c>
      <c r="AA1048" s="10">
        <v>14</v>
      </c>
      <c r="AB1048" s="10">
        <v>8.3000000000000007</v>
      </c>
      <c r="AC1048" s="9" t="s">
        <v>349</v>
      </c>
      <c r="AD1048" s="10"/>
      <c r="AE1048" s="10"/>
      <c r="AF1048" s="10"/>
      <c r="AG1048" s="10"/>
    </row>
    <row r="1049" spans="1:33">
      <c r="A1049" s="7" t="s">
        <v>155</v>
      </c>
      <c r="B1049" s="8" t="s">
        <v>172</v>
      </c>
      <c r="C1049" s="9" t="s">
        <v>909</v>
      </c>
      <c r="D1049" s="10">
        <v>179</v>
      </c>
      <c r="E1049" s="9" t="s">
        <v>158</v>
      </c>
      <c r="F1049" s="10">
        <v>179</v>
      </c>
      <c r="G1049" s="10">
        <v>177.8</v>
      </c>
      <c r="H1049" s="10">
        <v>160</v>
      </c>
      <c r="I1049" s="10">
        <v>171</v>
      </c>
      <c r="J1049" s="10">
        <v>114</v>
      </c>
      <c r="K1049" s="10">
        <v>69</v>
      </c>
      <c r="L1049" s="10">
        <v>96</v>
      </c>
      <c r="M1049" s="10">
        <v>20.2</v>
      </c>
      <c r="N1049" s="10">
        <v>2241</v>
      </c>
      <c r="O1049" s="10">
        <v>0.65</v>
      </c>
      <c r="P1049" s="10">
        <v>1447</v>
      </c>
      <c r="Q1049" s="10">
        <v>271</v>
      </c>
      <c r="R1049" s="10">
        <v>164</v>
      </c>
      <c r="S1049" s="10">
        <v>31</v>
      </c>
      <c r="T1049" s="10">
        <v>121</v>
      </c>
      <c r="U1049" s="10">
        <v>5</v>
      </c>
      <c r="V1049" s="10">
        <v>58</v>
      </c>
      <c r="W1049" s="10">
        <v>0.156</v>
      </c>
      <c r="X1049" s="10">
        <v>30</v>
      </c>
      <c r="Y1049" s="10">
        <v>35</v>
      </c>
      <c r="Z1049" s="10">
        <v>91</v>
      </c>
      <c r="AA1049" s="10">
        <v>10</v>
      </c>
      <c r="AB1049" s="10">
        <v>8.8000000000000007</v>
      </c>
      <c r="AC1049" s="9" t="s">
        <v>349</v>
      </c>
      <c r="AD1049" s="10"/>
      <c r="AE1049" s="10"/>
      <c r="AF1049" s="10"/>
      <c r="AG1049" s="10"/>
    </row>
    <row r="1050" spans="1:33">
      <c r="A1050" s="7" t="s">
        <v>155</v>
      </c>
      <c r="B1050" s="8" t="s">
        <v>172</v>
      </c>
      <c r="C1050" s="9" t="s">
        <v>911</v>
      </c>
      <c r="D1050" s="10">
        <v>183</v>
      </c>
      <c r="E1050" s="9" t="s">
        <v>158</v>
      </c>
      <c r="F1050" s="10">
        <v>183</v>
      </c>
      <c r="G1050" s="10">
        <v>183.1</v>
      </c>
      <c r="H1050" s="10">
        <v>166</v>
      </c>
      <c r="I1050" s="10">
        <v>175</v>
      </c>
      <c r="J1050" s="10">
        <v>114</v>
      </c>
      <c r="K1050" s="10">
        <v>70</v>
      </c>
      <c r="L1050" s="10">
        <v>95</v>
      </c>
      <c r="M1050" s="10">
        <v>22.8</v>
      </c>
      <c r="N1050" s="10">
        <v>2376</v>
      </c>
      <c r="O1050" s="10">
        <v>0.63</v>
      </c>
      <c r="P1050" s="10">
        <v>1500</v>
      </c>
      <c r="Q1050" s="10">
        <v>306</v>
      </c>
      <c r="R1050" s="10">
        <v>173</v>
      </c>
      <c r="S1050" s="10">
        <v>31</v>
      </c>
      <c r="T1050" s="10">
        <v>113</v>
      </c>
      <c r="U1050" s="10">
        <v>5</v>
      </c>
      <c r="V1050" s="10">
        <v>53</v>
      </c>
      <c r="W1050" s="10">
        <v>0.153</v>
      </c>
      <c r="X1050" s="10">
        <v>32</v>
      </c>
      <c r="Y1050" s="10">
        <v>48</v>
      </c>
      <c r="Z1050" s="10">
        <v>82</v>
      </c>
      <c r="AA1050" s="10">
        <v>12</v>
      </c>
      <c r="AB1050" s="10">
        <v>8.9</v>
      </c>
      <c r="AC1050" s="9" t="s">
        <v>349</v>
      </c>
      <c r="AD1050" s="10"/>
      <c r="AE1050" s="10"/>
      <c r="AF1050" s="10"/>
      <c r="AG1050" s="10"/>
    </row>
    <row r="1051" spans="1:33">
      <c r="A1051" s="7" t="s">
        <v>155</v>
      </c>
      <c r="B1051" s="8" t="s">
        <v>172</v>
      </c>
      <c r="C1051" s="9" t="s">
        <v>460</v>
      </c>
      <c r="D1051" s="10">
        <v>153</v>
      </c>
      <c r="E1051" s="9" t="s">
        <v>163</v>
      </c>
      <c r="F1051" s="10">
        <v>153</v>
      </c>
      <c r="G1051" s="10">
        <v>152.5</v>
      </c>
      <c r="H1051" s="10">
        <v>130</v>
      </c>
      <c r="I1051" s="10">
        <v>139</v>
      </c>
      <c r="J1051" s="10">
        <v>122</v>
      </c>
      <c r="K1051" s="10">
        <v>73</v>
      </c>
      <c r="L1051" s="10">
        <v>108</v>
      </c>
      <c r="M1051" s="10">
        <v>11.2</v>
      </c>
      <c r="N1051" s="10">
        <v>1630</v>
      </c>
      <c r="O1051" s="10">
        <v>0.83</v>
      </c>
      <c r="P1051" s="10">
        <v>1359</v>
      </c>
      <c r="Q1051" s="10">
        <v>180</v>
      </c>
      <c r="R1051" s="10">
        <v>77</v>
      </c>
      <c r="S1051" s="10">
        <v>39</v>
      </c>
      <c r="T1051" s="10">
        <v>149</v>
      </c>
      <c r="U1051" s="10">
        <v>6</v>
      </c>
      <c r="V1051" s="10">
        <v>73</v>
      </c>
      <c r="W1051" s="10">
        <v>0.15</v>
      </c>
      <c r="X1051" s="10">
        <v>75</v>
      </c>
      <c r="Y1051" s="10">
        <v>63</v>
      </c>
      <c r="Z1051" s="10">
        <v>74</v>
      </c>
      <c r="AA1051" s="10">
        <v>7</v>
      </c>
      <c r="AB1051" s="10">
        <v>9.6</v>
      </c>
      <c r="AC1051" s="9" t="s">
        <v>349</v>
      </c>
      <c r="AD1051" s="10"/>
      <c r="AE1051" s="10"/>
      <c r="AF1051" s="10"/>
      <c r="AG1051" s="10"/>
    </row>
    <row r="1052" spans="1:33">
      <c r="A1052" s="7" t="s">
        <v>155</v>
      </c>
      <c r="B1052" s="8" t="s">
        <v>172</v>
      </c>
      <c r="C1052" s="9" t="s">
        <v>460</v>
      </c>
      <c r="D1052" s="10">
        <v>160</v>
      </c>
      <c r="E1052" s="9" t="s">
        <v>163</v>
      </c>
      <c r="F1052" s="10">
        <v>160</v>
      </c>
      <c r="G1052" s="10">
        <v>158.69999999999999</v>
      </c>
      <c r="H1052" s="10">
        <v>135</v>
      </c>
      <c r="I1052" s="10">
        <v>145</v>
      </c>
      <c r="J1052" s="10">
        <v>122</v>
      </c>
      <c r="K1052" s="10">
        <v>73</v>
      </c>
      <c r="L1052" s="10">
        <v>108</v>
      </c>
      <c r="M1052" s="10">
        <v>12.3</v>
      </c>
      <c r="N1052" s="10">
        <v>1660</v>
      </c>
      <c r="O1052" s="10">
        <v>0.85</v>
      </c>
      <c r="P1052" s="10">
        <v>1414</v>
      </c>
      <c r="Q1052" s="10">
        <v>171</v>
      </c>
      <c r="R1052" s="10">
        <v>72</v>
      </c>
      <c r="S1052" s="10">
        <v>39</v>
      </c>
      <c r="T1052" s="10">
        <v>169</v>
      </c>
      <c r="U1052" s="10">
        <v>5</v>
      </c>
      <c r="V1052" s="10">
        <v>67</v>
      </c>
      <c r="W1052" s="10">
        <v>0.11899999999999999</v>
      </c>
      <c r="X1052" s="10">
        <v>80</v>
      </c>
      <c r="Y1052" s="10">
        <v>61</v>
      </c>
      <c r="Z1052" s="10">
        <v>90</v>
      </c>
      <c r="AA1052" s="10">
        <v>9</v>
      </c>
      <c r="AB1052" s="10">
        <v>9.4</v>
      </c>
      <c r="AC1052" s="9" t="s">
        <v>349</v>
      </c>
      <c r="AD1052" s="10"/>
      <c r="AE1052" s="10"/>
      <c r="AF1052" s="10"/>
      <c r="AG1052" s="10"/>
    </row>
    <row r="1053" spans="1:33">
      <c r="A1053" s="7" t="s">
        <v>155</v>
      </c>
      <c r="B1053" s="8" t="s">
        <v>172</v>
      </c>
      <c r="C1053" s="9" t="s">
        <v>757</v>
      </c>
      <c r="D1053" s="10">
        <v>160</v>
      </c>
      <c r="E1053" s="9" t="s">
        <v>163</v>
      </c>
      <c r="F1053" s="10">
        <v>160</v>
      </c>
      <c r="G1053" s="10">
        <v>158.80000000000001</v>
      </c>
      <c r="H1053" s="10">
        <v>138</v>
      </c>
      <c r="I1053" s="10">
        <v>145</v>
      </c>
      <c r="J1053" s="10">
        <v>122</v>
      </c>
      <c r="K1053" s="10">
        <v>73</v>
      </c>
      <c r="L1053" s="10">
        <v>108</v>
      </c>
      <c r="M1053" s="10">
        <v>12.4</v>
      </c>
      <c r="N1053" s="10">
        <v>1739</v>
      </c>
      <c r="O1053" s="10">
        <v>0.81</v>
      </c>
      <c r="P1053" s="10">
        <v>1410</v>
      </c>
      <c r="Q1053" s="10">
        <v>184</v>
      </c>
      <c r="R1053" s="10">
        <v>77</v>
      </c>
      <c r="S1053" s="10">
        <v>37</v>
      </c>
      <c r="T1053" s="10">
        <v>141</v>
      </c>
      <c r="U1053" s="10">
        <v>5</v>
      </c>
      <c r="V1053" s="10">
        <v>65</v>
      </c>
      <c r="W1053" s="10">
        <v>0.125</v>
      </c>
      <c r="X1053" s="10">
        <v>81</v>
      </c>
      <c r="Y1053" s="10">
        <v>59</v>
      </c>
      <c r="Z1053" s="10">
        <v>60</v>
      </c>
      <c r="AA1053" s="10">
        <v>9</v>
      </c>
      <c r="AB1053" s="10">
        <v>9.8000000000000007</v>
      </c>
      <c r="AC1053" s="9" t="s">
        <v>349</v>
      </c>
      <c r="AD1053" s="10"/>
      <c r="AE1053" s="10"/>
      <c r="AF1053" s="10"/>
      <c r="AG1053" s="10"/>
    </row>
    <row r="1054" spans="1:33">
      <c r="A1054" s="7" t="s">
        <v>155</v>
      </c>
      <c r="B1054" s="8" t="s">
        <v>172</v>
      </c>
      <c r="C1054" s="9" t="s">
        <v>770</v>
      </c>
      <c r="D1054" s="10">
        <v>144</v>
      </c>
      <c r="E1054" s="9" t="s">
        <v>163</v>
      </c>
      <c r="F1054" s="10">
        <v>144</v>
      </c>
      <c r="G1054" s="10">
        <v>144.30000000000001</v>
      </c>
      <c r="H1054" s="10">
        <v>124</v>
      </c>
      <c r="I1054" s="10">
        <v>129</v>
      </c>
      <c r="J1054" s="10">
        <v>121</v>
      </c>
      <c r="K1054" s="10">
        <v>74</v>
      </c>
      <c r="L1054" s="10">
        <v>107</v>
      </c>
      <c r="M1054" s="10">
        <v>10.199999999999999</v>
      </c>
      <c r="N1054" s="10">
        <v>1399</v>
      </c>
      <c r="O1054" s="10">
        <v>0.92</v>
      </c>
      <c r="P1054" s="10">
        <v>1285</v>
      </c>
      <c r="Q1054" s="10">
        <v>138</v>
      </c>
      <c r="R1054" s="10">
        <v>46</v>
      </c>
      <c r="S1054" s="10">
        <v>33</v>
      </c>
      <c r="T1054" s="10">
        <v>139</v>
      </c>
      <c r="U1054" s="10">
        <v>5</v>
      </c>
      <c r="V1054" s="10">
        <v>68</v>
      </c>
      <c r="W1054" s="10">
        <v>0.155</v>
      </c>
      <c r="X1054" s="10">
        <v>78</v>
      </c>
      <c r="Y1054" s="10">
        <v>79</v>
      </c>
      <c r="Z1054" s="10">
        <v>61</v>
      </c>
      <c r="AA1054" s="10">
        <v>8</v>
      </c>
      <c r="AB1054" s="10">
        <v>8</v>
      </c>
      <c r="AC1054" s="9" t="s">
        <v>349</v>
      </c>
      <c r="AD1054" s="9" t="s">
        <v>231</v>
      </c>
      <c r="AE1054" s="10"/>
      <c r="AF1054" s="10"/>
      <c r="AG1054" s="10"/>
    </row>
    <row r="1055" spans="1:33">
      <c r="A1055" s="7" t="s">
        <v>155</v>
      </c>
      <c r="B1055" s="8" t="s">
        <v>172</v>
      </c>
      <c r="C1055" s="9" t="s">
        <v>770</v>
      </c>
      <c r="D1055" s="10">
        <v>152</v>
      </c>
      <c r="E1055" s="9" t="s">
        <v>163</v>
      </c>
      <c r="F1055" s="10">
        <v>152</v>
      </c>
      <c r="G1055" s="10">
        <v>152.4</v>
      </c>
      <c r="H1055" s="10">
        <v>131</v>
      </c>
      <c r="I1055" s="10">
        <v>136</v>
      </c>
      <c r="J1055" s="10">
        <v>121</v>
      </c>
      <c r="K1055" s="10">
        <v>74</v>
      </c>
      <c r="L1055" s="10">
        <v>107</v>
      </c>
      <c r="M1055" s="10">
        <v>11.7</v>
      </c>
      <c r="N1055" s="10">
        <v>1433</v>
      </c>
      <c r="O1055" s="10">
        <v>0.95</v>
      </c>
      <c r="P1055" s="10">
        <v>1357</v>
      </c>
      <c r="Q1055" s="10">
        <v>134</v>
      </c>
      <c r="R1055" s="10">
        <v>45</v>
      </c>
      <c r="S1055" s="10">
        <v>35</v>
      </c>
      <c r="T1055" s="10">
        <v>143</v>
      </c>
      <c r="U1055" s="10">
        <v>6</v>
      </c>
      <c r="V1055" s="10">
        <v>69</v>
      </c>
      <c r="W1055" s="10">
        <v>0.157</v>
      </c>
      <c r="X1055" s="10">
        <v>81</v>
      </c>
      <c r="Y1055" s="10">
        <v>79</v>
      </c>
      <c r="Z1055" s="10">
        <v>62</v>
      </c>
      <c r="AA1055" s="10">
        <v>9</v>
      </c>
      <c r="AB1055" s="10">
        <v>8.1</v>
      </c>
      <c r="AC1055" s="9" t="s">
        <v>349</v>
      </c>
      <c r="AD1055" s="9" t="s">
        <v>231</v>
      </c>
      <c r="AE1055" s="10"/>
      <c r="AF1055" s="10"/>
      <c r="AG1055" s="10"/>
    </row>
    <row r="1056" spans="1:33">
      <c r="A1056" s="7" t="s">
        <v>155</v>
      </c>
      <c r="B1056" s="8" t="s">
        <v>172</v>
      </c>
      <c r="C1056" s="9" t="s">
        <v>770</v>
      </c>
      <c r="D1056" s="10">
        <v>160</v>
      </c>
      <c r="E1056" s="9" t="s">
        <v>163</v>
      </c>
      <c r="F1056" s="10">
        <v>160</v>
      </c>
      <c r="G1056" s="10">
        <v>160.5</v>
      </c>
      <c r="H1056" s="10">
        <v>139</v>
      </c>
      <c r="I1056" s="10">
        <v>145</v>
      </c>
      <c r="J1056" s="10">
        <v>121</v>
      </c>
      <c r="K1056" s="10">
        <v>74</v>
      </c>
      <c r="L1056" s="10">
        <v>107</v>
      </c>
      <c r="M1056" s="10">
        <v>13</v>
      </c>
      <c r="N1056" s="10">
        <v>1546</v>
      </c>
      <c r="O1056" s="10">
        <v>0.92</v>
      </c>
      <c r="P1056" s="10">
        <v>1427</v>
      </c>
      <c r="Q1056" s="10">
        <v>151</v>
      </c>
      <c r="R1056" s="10">
        <v>51</v>
      </c>
      <c r="S1056" s="10">
        <v>38</v>
      </c>
      <c r="T1056" s="10">
        <v>148</v>
      </c>
      <c r="U1056" s="10">
        <v>5</v>
      </c>
      <c r="V1056" s="10">
        <v>71</v>
      </c>
      <c r="W1056" s="10">
        <v>0.13900000000000001</v>
      </c>
      <c r="X1056" s="10">
        <v>81</v>
      </c>
      <c r="Y1056" s="10">
        <v>79</v>
      </c>
      <c r="Z1056" s="10">
        <v>67</v>
      </c>
      <c r="AA1056" s="10">
        <v>9</v>
      </c>
      <c r="AB1056" s="10">
        <v>8.5</v>
      </c>
      <c r="AC1056" s="9" t="s">
        <v>349</v>
      </c>
      <c r="AD1056" s="10"/>
      <c r="AE1056" s="10"/>
      <c r="AF1056" s="10"/>
      <c r="AG1056" s="10"/>
    </row>
    <row r="1057" spans="1:33">
      <c r="A1057" s="7" t="s">
        <v>155</v>
      </c>
      <c r="B1057" s="8" t="s">
        <v>172</v>
      </c>
      <c r="C1057" s="9" t="s">
        <v>813</v>
      </c>
      <c r="D1057" s="10">
        <v>149</v>
      </c>
      <c r="E1057" s="9" t="s">
        <v>163</v>
      </c>
      <c r="F1057" s="10">
        <v>149</v>
      </c>
      <c r="G1057" s="10">
        <v>148.9</v>
      </c>
      <c r="H1057" s="10">
        <v>128</v>
      </c>
      <c r="I1057" s="10">
        <v>135</v>
      </c>
      <c r="J1057" s="10">
        <v>122</v>
      </c>
      <c r="K1057" s="10">
        <v>73</v>
      </c>
      <c r="L1057" s="10">
        <v>109</v>
      </c>
      <c r="M1057" s="10">
        <v>10.5</v>
      </c>
      <c r="N1057" s="10">
        <v>1459</v>
      </c>
      <c r="O1057" s="10">
        <v>0.91</v>
      </c>
      <c r="P1057" s="10">
        <v>1325</v>
      </c>
      <c r="Q1057" s="10">
        <v>133</v>
      </c>
      <c r="R1057" s="10">
        <v>48</v>
      </c>
      <c r="S1057" s="10">
        <v>38</v>
      </c>
      <c r="T1057" s="10">
        <v>150</v>
      </c>
      <c r="U1057" s="10">
        <v>6</v>
      </c>
      <c r="V1057" s="10">
        <v>59</v>
      </c>
      <c r="W1057" s="10">
        <v>0.16200000000000001</v>
      </c>
      <c r="X1057" s="10">
        <v>73</v>
      </c>
      <c r="Y1057" s="10">
        <v>62</v>
      </c>
      <c r="Z1057" s="10">
        <v>77</v>
      </c>
      <c r="AA1057" s="10">
        <v>9</v>
      </c>
      <c r="AB1057" s="10">
        <v>10</v>
      </c>
      <c r="AC1057" s="9" t="s">
        <v>349</v>
      </c>
      <c r="AD1057" s="10"/>
      <c r="AE1057" s="10"/>
      <c r="AF1057" s="10"/>
      <c r="AG1057" s="10"/>
    </row>
    <row r="1058" spans="1:33">
      <c r="A1058" s="7" t="s">
        <v>155</v>
      </c>
      <c r="B1058" s="8" t="s">
        <v>172</v>
      </c>
      <c r="C1058" s="9" t="s">
        <v>813</v>
      </c>
      <c r="D1058" s="10">
        <v>156</v>
      </c>
      <c r="E1058" s="9" t="s">
        <v>163</v>
      </c>
      <c r="F1058" s="10">
        <v>156</v>
      </c>
      <c r="G1058" s="10">
        <v>155.69999999999999</v>
      </c>
      <c r="H1058" s="10">
        <v>136</v>
      </c>
      <c r="I1058" s="10">
        <v>142</v>
      </c>
      <c r="J1058" s="10">
        <v>122</v>
      </c>
      <c r="K1058" s="10">
        <v>73</v>
      </c>
      <c r="L1058" s="10">
        <v>109</v>
      </c>
      <c r="M1058" s="10">
        <v>11.7</v>
      </c>
      <c r="N1058" s="10">
        <v>1516</v>
      </c>
      <c r="O1058" s="10">
        <v>0.91</v>
      </c>
      <c r="P1058" s="10">
        <v>1383</v>
      </c>
      <c r="Q1058" s="10">
        <v>135</v>
      </c>
      <c r="R1058" s="10">
        <v>55</v>
      </c>
      <c r="S1058" s="10">
        <v>37</v>
      </c>
      <c r="T1058" s="10">
        <v>145</v>
      </c>
      <c r="U1058" s="10">
        <v>4</v>
      </c>
      <c r="V1058" s="10">
        <v>53</v>
      </c>
      <c r="W1058" s="10">
        <v>0.121</v>
      </c>
      <c r="X1058" s="10">
        <v>72</v>
      </c>
      <c r="Y1058" s="10">
        <v>61</v>
      </c>
      <c r="Z1058" s="10">
        <v>74</v>
      </c>
      <c r="AA1058" s="10">
        <v>11</v>
      </c>
      <c r="AB1058" s="10">
        <v>9.5</v>
      </c>
      <c r="AC1058" s="9" t="s">
        <v>349</v>
      </c>
      <c r="AD1058" s="10"/>
      <c r="AE1058" s="10"/>
      <c r="AF1058" s="10"/>
      <c r="AG1058" s="10"/>
    </row>
    <row r="1059" spans="1:33">
      <c r="A1059" s="7" t="s">
        <v>155</v>
      </c>
      <c r="B1059" s="8" t="s">
        <v>172</v>
      </c>
      <c r="C1059" s="9" t="s">
        <v>813</v>
      </c>
      <c r="D1059" s="10">
        <v>163</v>
      </c>
      <c r="E1059" s="9" t="s">
        <v>163</v>
      </c>
      <c r="F1059" s="10">
        <v>163</v>
      </c>
      <c r="G1059" s="10">
        <v>162.5</v>
      </c>
      <c r="H1059" s="10">
        <v>142</v>
      </c>
      <c r="I1059" s="10">
        <v>150</v>
      </c>
      <c r="J1059" s="10">
        <v>123</v>
      </c>
      <c r="K1059" s="10">
        <v>73</v>
      </c>
      <c r="L1059" s="10">
        <v>109</v>
      </c>
      <c r="M1059" s="10">
        <v>13</v>
      </c>
      <c r="N1059" s="10">
        <v>1615</v>
      </c>
      <c r="O1059" s="10">
        <v>0.89</v>
      </c>
      <c r="P1059" s="10">
        <v>1444</v>
      </c>
      <c r="Q1059" s="10">
        <v>149</v>
      </c>
      <c r="R1059" s="10">
        <v>60</v>
      </c>
      <c r="S1059" s="10">
        <v>38</v>
      </c>
      <c r="T1059" s="10">
        <v>154</v>
      </c>
      <c r="U1059" s="10">
        <v>4</v>
      </c>
      <c r="V1059" s="10">
        <v>54</v>
      </c>
      <c r="W1059" s="10">
        <v>0.11799999999999999</v>
      </c>
      <c r="X1059" s="10">
        <v>69</v>
      </c>
      <c r="Y1059" s="10">
        <v>61</v>
      </c>
      <c r="Z1059" s="10">
        <v>85</v>
      </c>
      <c r="AA1059" s="10">
        <v>12</v>
      </c>
      <c r="AB1059" s="10">
        <v>9.5</v>
      </c>
      <c r="AC1059" s="9" t="s">
        <v>349</v>
      </c>
      <c r="AD1059" s="10"/>
      <c r="AE1059" s="10"/>
      <c r="AF1059" s="10"/>
      <c r="AG1059" s="10"/>
    </row>
    <row r="1060" spans="1:33">
      <c r="A1060" s="7" t="s">
        <v>155</v>
      </c>
      <c r="B1060" s="8" t="s">
        <v>172</v>
      </c>
      <c r="C1060" s="9" t="s">
        <v>674</v>
      </c>
      <c r="D1060" s="10">
        <v>154</v>
      </c>
      <c r="E1060" s="9" t="s">
        <v>158</v>
      </c>
      <c r="F1060" s="10">
        <v>154</v>
      </c>
      <c r="G1060" s="10">
        <v>152.30000000000001</v>
      </c>
      <c r="H1060" s="10">
        <v>132</v>
      </c>
      <c r="I1060" s="10">
        <v>137</v>
      </c>
      <c r="J1060" s="10">
        <v>121</v>
      </c>
      <c r="K1060" s="10">
        <v>74</v>
      </c>
      <c r="L1060" s="10">
        <v>107</v>
      </c>
      <c r="M1060" s="10">
        <v>11.7</v>
      </c>
      <c r="N1060" s="10">
        <v>1410</v>
      </c>
      <c r="O1060" s="10">
        <v>0.96</v>
      </c>
      <c r="P1060" s="10">
        <v>1356</v>
      </c>
      <c r="Q1060" s="10">
        <v>140</v>
      </c>
      <c r="R1060" s="10">
        <v>51</v>
      </c>
      <c r="S1060" s="10">
        <v>33</v>
      </c>
      <c r="T1060" s="10">
        <v>136</v>
      </c>
      <c r="U1060" s="10">
        <v>5</v>
      </c>
      <c r="V1060" s="10">
        <v>64</v>
      </c>
      <c r="W1060" s="10">
        <v>0.14299999999999999</v>
      </c>
      <c r="X1060" s="10">
        <v>78</v>
      </c>
      <c r="Y1060" s="10">
        <v>80</v>
      </c>
      <c r="Z1060" s="10">
        <v>58</v>
      </c>
      <c r="AA1060" s="10">
        <v>12</v>
      </c>
      <c r="AB1060" s="10">
        <v>8</v>
      </c>
      <c r="AC1060" s="9" t="s">
        <v>349</v>
      </c>
      <c r="AD1060" s="9" t="s">
        <v>231</v>
      </c>
      <c r="AE1060" s="10"/>
      <c r="AF1060" s="10"/>
      <c r="AG1060" s="10"/>
    </row>
    <row r="1061" spans="1:33">
      <c r="A1061" s="7" t="s">
        <v>155</v>
      </c>
      <c r="B1061" s="8" t="s">
        <v>172</v>
      </c>
      <c r="C1061" s="9" t="s">
        <v>674</v>
      </c>
      <c r="D1061" s="10">
        <v>162</v>
      </c>
      <c r="E1061" s="9" t="s">
        <v>158</v>
      </c>
      <c r="F1061" s="10">
        <v>162</v>
      </c>
      <c r="G1061" s="10">
        <v>160.30000000000001</v>
      </c>
      <c r="H1061" s="10">
        <v>139</v>
      </c>
      <c r="I1061" s="10">
        <v>144</v>
      </c>
      <c r="J1061" s="10">
        <v>121</v>
      </c>
      <c r="K1061" s="10">
        <v>74</v>
      </c>
      <c r="L1061" s="10">
        <v>107</v>
      </c>
      <c r="M1061" s="10">
        <v>13.1</v>
      </c>
      <c r="N1061" s="10">
        <v>1527</v>
      </c>
      <c r="O1061" s="10">
        <v>0.93</v>
      </c>
      <c r="P1061" s="10">
        <v>1426</v>
      </c>
      <c r="Q1061" s="10">
        <v>158</v>
      </c>
      <c r="R1061" s="10">
        <v>55</v>
      </c>
      <c r="S1061" s="10">
        <v>36</v>
      </c>
      <c r="T1061" s="10">
        <v>142</v>
      </c>
      <c r="U1061" s="10">
        <v>5</v>
      </c>
      <c r="V1061" s="10">
        <v>68</v>
      </c>
      <c r="W1061" s="10">
        <v>0.14399999999999999</v>
      </c>
      <c r="X1061" s="10">
        <v>81</v>
      </c>
      <c r="Y1061" s="10">
        <v>78</v>
      </c>
      <c r="Z1061" s="10">
        <v>61</v>
      </c>
      <c r="AA1061" s="10">
        <v>11</v>
      </c>
      <c r="AB1061" s="10">
        <v>8.1999999999999993</v>
      </c>
      <c r="AC1061" s="9" t="s">
        <v>349</v>
      </c>
      <c r="AD1061" s="10"/>
      <c r="AE1061" s="10"/>
      <c r="AF1061" s="10"/>
      <c r="AG1061" s="10"/>
    </row>
    <row r="1062" spans="1:33">
      <c r="A1062" s="7" t="s">
        <v>155</v>
      </c>
      <c r="B1062" s="8" t="s">
        <v>172</v>
      </c>
      <c r="C1062" s="9" t="s">
        <v>674</v>
      </c>
      <c r="D1062" s="10">
        <v>170</v>
      </c>
      <c r="E1062" s="9" t="s">
        <v>158</v>
      </c>
      <c r="F1062" s="10">
        <v>170</v>
      </c>
      <c r="G1062" s="10">
        <v>168.4</v>
      </c>
      <c r="H1062" s="10">
        <v>148</v>
      </c>
      <c r="I1062" s="10">
        <v>153</v>
      </c>
      <c r="J1062" s="10">
        <v>121</v>
      </c>
      <c r="K1062" s="10">
        <v>74</v>
      </c>
      <c r="L1062" s="10">
        <v>107</v>
      </c>
      <c r="M1062" s="10">
        <v>14.6</v>
      </c>
      <c r="N1062" s="10">
        <v>1594</v>
      </c>
      <c r="O1062" s="10">
        <v>0.94</v>
      </c>
      <c r="P1062" s="10">
        <v>1497</v>
      </c>
      <c r="Q1062" s="10">
        <v>179</v>
      </c>
      <c r="R1062" s="10">
        <v>61</v>
      </c>
      <c r="S1062" s="10">
        <v>35</v>
      </c>
      <c r="T1062" s="10">
        <v>141</v>
      </c>
      <c r="U1062" s="10">
        <v>5</v>
      </c>
      <c r="V1062" s="10">
        <v>64</v>
      </c>
      <c r="W1062" s="10">
        <v>0.14099999999999999</v>
      </c>
      <c r="X1062" s="10">
        <v>78</v>
      </c>
      <c r="Y1062" s="10">
        <v>80</v>
      </c>
      <c r="Z1062" s="10">
        <v>63</v>
      </c>
      <c r="AA1062" s="10">
        <v>12</v>
      </c>
      <c r="AB1062" s="10">
        <v>8.5</v>
      </c>
      <c r="AC1062" s="9" t="s">
        <v>349</v>
      </c>
      <c r="AD1062" s="10"/>
      <c r="AE1062" s="10"/>
      <c r="AF1062" s="10"/>
      <c r="AG1062" s="10"/>
    </row>
    <row r="1063" spans="1:33">
      <c r="A1063" s="7" t="s">
        <v>155</v>
      </c>
      <c r="B1063" s="8" t="s">
        <v>172</v>
      </c>
      <c r="C1063" s="9" t="s">
        <v>674</v>
      </c>
      <c r="D1063" s="10">
        <v>176</v>
      </c>
      <c r="E1063" s="9" t="s">
        <v>158</v>
      </c>
      <c r="F1063" s="10">
        <v>176</v>
      </c>
      <c r="G1063" s="10">
        <v>176.3</v>
      </c>
      <c r="H1063" s="10">
        <v>156</v>
      </c>
      <c r="I1063" s="10">
        <v>160</v>
      </c>
      <c r="J1063" s="10">
        <v>121</v>
      </c>
      <c r="K1063" s="10">
        <v>74</v>
      </c>
      <c r="L1063" s="10">
        <v>107</v>
      </c>
      <c r="M1063" s="10">
        <v>16.5</v>
      </c>
      <c r="N1063" s="10">
        <v>1646</v>
      </c>
      <c r="O1063" s="10">
        <v>0.95</v>
      </c>
      <c r="P1063" s="10">
        <v>1563</v>
      </c>
      <c r="Q1063" s="10">
        <v>191</v>
      </c>
      <c r="R1063" s="10">
        <v>67</v>
      </c>
      <c r="S1063" s="10">
        <v>35</v>
      </c>
      <c r="T1063" s="10">
        <v>141</v>
      </c>
      <c r="U1063" s="10">
        <v>5</v>
      </c>
      <c r="V1063" s="10">
        <v>66</v>
      </c>
      <c r="W1063" s="10">
        <v>0.14199999999999999</v>
      </c>
      <c r="X1063" s="10">
        <v>81</v>
      </c>
      <c r="Y1063" s="10">
        <v>83</v>
      </c>
      <c r="Z1063" s="10">
        <v>60</v>
      </c>
      <c r="AA1063" s="10">
        <v>13</v>
      </c>
      <c r="AB1063" s="10">
        <v>8.6999999999999993</v>
      </c>
      <c r="AC1063" s="9" t="s">
        <v>349</v>
      </c>
      <c r="AD1063" s="10"/>
      <c r="AE1063" s="10"/>
      <c r="AF1063" s="10"/>
      <c r="AG1063" s="10"/>
    </row>
    <row r="1064" spans="1:33">
      <c r="A1064" s="7" t="s">
        <v>155</v>
      </c>
      <c r="B1064" s="8" t="s">
        <v>172</v>
      </c>
      <c r="C1064" s="9" t="s">
        <v>600</v>
      </c>
      <c r="D1064" s="10">
        <v>163</v>
      </c>
      <c r="E1064" s="9" t="s">
        <v>158</v>
      </c>
      <c r="F1064" s="10">
        <v>163</v>
      </c>
      <c r="G1064" s="10">
        <v>162.5</v>
      </c>
      <c r="H1064" s="10">
        <v>142</v>
      </c>
      <c r="I1064" s="10">
        <v>149</v>
      </c>
      <c r="J1064" s="10">
        <v>122</v>
      </c>
      <c r="K1064" s="10">
        <v>73</v>
      </c>
      <c r="L1064" s="10">
        <v>108</v>
      </c>
      <c r="M1064" s="10">
        <v>13.1</v>
      </c>
      <c r="N1064" s="10">
        <v>1596</v>
      </c>
      <c r="O1064" s="10">
        <v>0.9</v>
      </c>
      <c r="P1064" s="10">
        <v>1441</v>
      </c>
      <c r="Q1064" s="10">
        <v>172</v>
      </c>
      <c r="R1064" s="10">
        <v>63</v>
      </c>
      <c r="S1064" s="10">
        <v>37</v>
      </c>
      <c r="T1064" s="10">
        <v>152</v>
      </c>
      <c r="U1064" s="10">
        <v>5</v>
      </c>
      <c r="V1064" s="10">
        <v>57</v>
      </c>
      <c r="W1064" s="10">
        <v>0.14399999999999999</v>
      </c>
      <c r="X1064" s="10">
        <v>69</v>
      </c>
      <c r="Y1064" s="10">
        <v>61</v>
      </c>
      <c r="Z1064" s="10">
        <v>83</v>
      </c>
      <c r="AA1064" s="10">
        <v>9</v>
      </c>
      <c r="AB1064" s="10">
        <v>10.199999999999999</v>
      </c>
      <c r="AC1064" s="9" t="s">
        <v>349</v>
      </c>
      <c r="AD1064" s="10"/>
      <c r="AE1064" s="10"/>
      <c r="AF1064" s="10"/>
      <c r="AG1064" s="10"/>
    </row>
    <row r="1065" spans="1:33">
      <c r="A1065" s="7" t="s">
        <v>155</v>
      </c>
      <c r="B1065" s="8" t="s">
        <v>172</v>
      </c>
      <c r="C1065" s="9" t="s">
        <v>600</v>
      </c>
      <c r="D1065" s="10">
        <v>170</v>
      </c>
      <c r="E1065" s="9" t="s">
        <v>158</v>
      </c>
      <c r="F1065" s="10">
        <v>170</v>
      </c>
      <c r="G1065" s="10">
        <v>169.6</v>
      </c>
      <c r="H1065" s="10">
        <v>150</v>
      </c>
      <c r="I1065" s="10">
        <v>157</v>
      </c>
      <c r="J1065" s="10">
        <v>122</v>
      </c>
      <c r="K1065" s="10">
        <v>73</v>
      </c>
      <c r="L1065" s="10">
        <v>108</v>
      </c>
      <c r="M1065" s="10">
        <v>14.5</v>
      </c>
      <c r="N1065" s="10">
        <v>1710</v>
      </c>
      <c r="O1065" s="10">
        <v>0.88</v>
      </c>
      <c r="P1065" s="10">
        <v>1499</v>
      </c>
      <c r="Q1065" s="10">
        <v>185</v>
      </c>
      <c r="R1065" s="10">
        <v>73</v>
      </c>
      <c r="S1065" s="10">
        <v>35</v>
      </c>
      <c r="T1065" s="10">
        <v>144</v>
      </c>
      <c r="U1065" s="10">
        <v>4</v>
      </c>
      <c r="V1065" s="10">
        <v>50</v>
      </c>
      <c r="W1065" s="10">
        <v>0.123</v>
      </c>
      <c r="X1065" s="10">
        <v>71</v>
      </c>
      <c r="Y1065" s="10">
        <v>60</v>
      </c>
      <c r="Z1065" s="10">
        <v>74</v>
      </c>
      <c r="AA1065" s="10">
        <v>13</v>
      </c>
      <c r="AB1065" s="10">
        <v>9.9</v>
      </c>
      <c r="AC1065" s="9" t="s">
        <v>349</v>
      </c>
      <c r="AD1065" s="10"/>
      <c r="AE1065" s="10"/>
      <c r="AF1065" s="10"/>
      <c r="AG1065" s="10"/>
    </row>
    <row r="1066" spans="1:33">
      <c r="A1066" s="7" t="s">
        <v>155</v>
      </c>
      <c r="B1066" s="8" t="s">
        <v>172</v>
      </c>
      <c r="C1066" s="9" t="s">
        <v>600</v>
      </c>
      <c r="D1066" s="10">
        <v>177</v>
      </c>
      <c r="E1066" s="9" t="s">
        <v>158</v>
      </c>
      <c r="F1066" s="10">
        <v>177</v>
      </c>
      <c r="G1066" s="10">
        <v>176.5</v>
      </c>
      <c r="H1066" s="10">
        <v>157</v>
      </c>
      <c r="I1066" s="10">
        <v>163</v>
      </c>
      <c r="J1066" s="10">
        <v>122</v>
      </c>
      <c r="K1066" s="10">
        <v>73</v>
      </c>
      <c r="L1066" s="10">
        <v>108</v>
      </c>
      <c r="M1066" s="10">
        <v>15.8</v>
      </c>
      <c r="N1066" s="10">
        <v>1737</v>
      </c>
      <c r="O1066" s="10">
        <v>0.9</v>
      </c>
      <c r="P1066" s="10">
        <v>1558</v>
      </c>
      <c r="Q1066" s="10">
        <v>207</v>
      </c>
      <c r="R1066" s="10">
        <v>73</v>
      </c>
      <c r="S1066" s="10">
        <v>36</v>
      </c>
      <c r="T1066" s="10">
        <v>148</v>
      </c>
      <c r="U1066" s="10">
        <v>5</v>
      </c>
      <c r="V1066" s="10">
        <v>52</v>
      </c>
      <c r="W1066" s="10">
        <v>0.14000000000000001</v>
      </c>
      <c r="X1066" s="10">
        <v>72</v>
      </c>
      <c r="Y1066" s="10">
        <v>61</v>
      </c>
      <c r="Z1066" s="10">
        <v>76</v>
      </c>
      <c r="AA1066" s="10">
        <v>13</v>
      </c>
      <c r="AB1066" s="10">
        <v>9.8000000000000007</v>
      </c>
      <c r="AC1066" s="9" t="s">
        <v>349</v>
      </c>
      <c r="AD1066" s="10"/>
      <c r="AE1066" s="10"/>
      <c r="AF1066" s="10"/>
      <c r="AG1066" s="10"/>
    </row>
    <row r="1067" spans="1:33">
      <c r="A1067" s="7" t="s">
        <v>155</v>
      </c>
      <c r="B1067" s="8" t="s">
        <v>174</v>
      </c>
      <c r="C1067" s="9" t="s">
        <v>509</v>
      </c>
      <c r="D1067" s="10">
        <v>169</v>
      </c>
      <c r="E1067" s="9" t="s">
        <v>158</v>
      </c>
      <c r="F1067" s="10">
        <v>169</v>
      </c>
      <c r="G1067" s="10">
        <v>167.7</v>
      </c>
      <c r="H1067" s="10">
        <v>134</v>
      </c>
      <c r="I1067" s="10">
        <v>146</v>
      </c>
      <c r="J1067" s="10">
        <v>123</v>
      </c>
      <c r="K1067" s="10">
        <v>88</v>
      </c>
      <c r="L1067" s="10">
        <v>109</v>
      </c>
      <c r="M1067" s="10">
        <v>18.399999999999999</v>
      </c>
      <c r="N1067" s="10">
        <v>1319</v>
      </c>
      <c r="O1067" s="10">
        <v>1.27</v>
      </c>
      <c r="P1067" s="10">
        <v>1673</v>
      </c>
      <c r="Q1067" s="10">
        <v>169</v>
      </c>
      <c r="R1067" s="10">
        <v>66</v>
      </c>
      <c r="S1067" s="10">
        <v>50</v>
      </c>
      <c r="T1067" s="10">
        <v>204</v>
      </c>
      <c r="U1067" s="10">
        <v>14</v>
      </c>
      <c r="V1067" s="10">
        <v>138</v>
      </c>
      <c r="W1067" s="10">
        <v>0.28299999999999997</v>
      </c>
      <c r="X1067" s="10">
        <v>137</v>
      </c>
      <c r="Y1067" s="10">
        <v>76</v>
      </c>
      <c r="Z1067" s="10">
        <v>66</v>
      </c>
      <c r="AA1067" s="10">
        <v>8</v>
      </c>
      <c r="AB1067" s="10">
        <v>11.6</v>
      </c>
      <c r="AC1067" s="9" t="s">
        <v>188</v>
      </c>
      <c r="AD1067" s="9" t="s">
        <v>185</v>
      </c>
      <c r="AE1067" s="9" t="s">
        <v>198</v>
      </c>
      <c r="AF1067" s="10"/>
      <c r="AG1067" s="10"/>
    </row>
    <row r="1068" spans="1:33">
      <c r="A1068" s="7" t="s">
        <v>155</v>
      </c>
      <c r="B1068" s="8" t="s">
        <v>174</v>
      </c>
      <c r="C1068" s="9" t="s">
        <v>509</v>
      </c>
      <c r="D1068" s="10">
        <v>177</v>
      </c>
      <c r="E1068" s="9" t="s">
        <v>158</v>
      </c>
      <c r="F1068" s="10">
        <v>177</v>
      </c>
      <c r="G1068" s="10">
        <v>175.7</v>
      </c>
      <c r="H1068" s="10">
        <v>139</v>
      </c>
      <c r="I1068" s="10">
        <v>153</v>
      </c>
      <c r="J1068" s="10">
        <v>125</v>
      </c>
      <c r="K1068" s="10">
        <v>88</v>
      </c>
      <c r="L1068" s="10">
        <v>111</v>
      </c>
      <c r="M1068" s="10">
        <v>18.5</v>
      </c>
      <c r="N1068" s="10">
        <v>1397</v>
      </c>
      <c r="O1068" s="10">
        <v>1.27</v>
      </c>
      <c r="P1068" s="10">
        <v>1768</v>
      </c>
      <c r="Q1068" s="10">
        <v>173</v>
      </c>
      <c r="R1068" s="10">
        <v>76</v>
      </c>
      <c r="S1068" s="10">
        <v>50</v>
      </c>
      <c r="T1068" s="10">
        <v>205</v>
      </c>
      <c r="U1068" s="10">
        <v>12</v>
      </c>
      <c r="V1068" s="10">
        <v>162</v>
      </c>
      <c r="W1068" s="10">
        <v>0.251</v>
      </c>
      <c r="X1068" s="10">
        <v>149</v>
      </c>
      <c r="Y1068" s="10">
        <v>78</v>
      </c>
      <c r="Z1068" s="10">
        <v>56</v>
      </c>
      <c r="AA1068" s="10">
        <v>8</v>
      </c>
      <c r="AB1068" s="10">
        <v>11.6</v>
      </c>
      <c r="AC1068" s="9" t="s">
        <v>188</v>
      </c>
      <c r="AD1068" s="9" t="s">
        <v>185</v>
      </c>
      <c r="AE1068" s="9" t="s">
        <v>198</v>
      </c>
      <c r="AF1068" s="10"/>
      <c r="AG1068" s="10"/>
    </row>
    <row r="1069" spans="1:33">
      <c r="A1069" s="7" t="s">
        <v>155</v>
      </c>
      <c r="B1069" s="8" t="s">
        <v>174</v>
      </c>
      <c r="C1069" s="9" t="s">
        <v>888</v>
      </c>
      <c r="D1069" s="10">
        <v>153</v>
      </c>
      <c r="E1069" s="9" t="s">
        <v>163</v>
      </c>
      <c r="F1069" s="10">
        <v>153</v>
      </c>
      <c r="G1069" s="10">
        <v>151.69999999999999</v>
      </c>
      <c r="H1069" s="10">
        <v>124</v>
      </c>
      <c r="I1069" s="10">
        <v>132</v>
      </c>
      <c r="J1069" s="10">
        <v>121</v>
      </c>
      <c r="K1069" s="10">
        <v>88</v>
      </c>
      <c r="L1069" s="10">
        <v>106</v>
      </c>
      <c r="M1069" s="10">
        <v>16.7</v>
      </c>
      <c r="N1069" s="10">
        <v>1155</v>
      </c>
      <c r="O1069" s="10">
        <v>1.29</v>
      </c>
      <c r="P1069" s="10">
        <v>1492</v>
      </c>
      <c r="Q1069" s="10">
        <v>109</v>
      </c>
      <c r="R1069" s="10">
        <v>50</v>
      </c>
      <c r="S1069" s="10">
        <v>47</v>
      </c>
      <c r="T1069" s="10">
        <v>197</v>
      </c>
      <c r="U1069" s="10">
        <v>12</v>
      </c>
      <c r="V1069" s="10">
        <v>83</v>
      </c>
      <c r="W1069" s="10">
        <v>0.253</v>
      </c>
      <c r="X1069" s="10">
        <v>121</v>
      </c>
      <c r="Y1069" s="10">
        <v>74</v>
      </c>
      <c r="Z1069" s="10">
        <v>76</v>
      </c>
      <c r="AA1069" s="10">
        <v>8</v>
      </c>
      <c r="AB1069" s="10">
        <v>10.199999999999999</v>
      </c>
      <c r="AC1069" s="9" t="s">
        <v>185</v>
      </c>
      <c r="AD1069" s="9" t="s">
        <v>198</v>
      </c>
      <c r="AE1069" s="10"/>
      <c r="AF1069" s="10"/>
      <c r="AG1069" s="10"/>
    </row>
    <row r="1070" spans="1:33">
      <c r="A1070" s="7" t="s">
        <v>155</v>
      </c>
      <c r="B1070" s="8" t="s">
        <v>174</v>
      </c>
      <c r="C1070" s="9" t="s">
        <v>252</v>
      </c>
      <c r="D1070" s="10">
        <v>169</v>
      </c>
      <c r="E1070" s="9" t="s">
        <v>158</v>
      </c>
      <c r="F1070" s="10">
        <v>169</v>
      </c>
      <c r="G1070" s="10">
        <v>168.7</v>
      </c>
      <c r="H1070" s="10">
        <v>125</v>
      </c>
      <c r="I1070" s="10">
        <v>140</v>
      </c>
      <c r="J1070" s="10">
        <v>128</v>
      </c>
      <c r="K1070" s="10">
        <v>94</v>
      </c>
      <c r="L1070" s="10">
        <v>115</v>
      </c>
      <c r="M1070" s="10">
        <v>16.600000000000001</v>
      </c>
      <c r="N1070" s="10">
        <v>1450</v>
      </c>
      <c r="O1070" s="10">
        <v>1.23</v>
      </c>
      <c r="P1070" s="10">
        <v>1780</v>
      </c>
      <c r="Q1070" s="10">
        <v>169</v>
      </c>
      <c r="R1070" s="10">
        <v>67</v>
      </c>
      <c r="S1070" s="10">
        <v>55</v>
      </c>
      <c r="T1070" s="10">
        <v>321</v>
      </c>
      <c r="U1070" s="10">
        <v>7</v>
      </c>
      <c r="V1070" s="10">
        <v>115</v>
      </c>
      <c r="W1070" s="10">
        <v>0.11899999999999999</v>
      </c>
      <c r="X1070" s="10">
        <v>181</v>
      </c>
      <c r="Y1070" s="10">
        <v>111</v>
      </c>
      <c r="Z1070" s="10">
        <v>140</v>
      </c>
      <c r="AA1070" s="10">
        <v>4</v>
      </c>
      <c r="AB1070" s="10">
        <v>10.6</v>
      </c>
      <c r="AC1070" s="9" t="s">
        <v>188</v>
      </c>
      <c r="AD1070" s="9" t="s">
        <v>185</v>
      </c>
      <c r="AE1070" s="10"/>
      <c r="AF1070" s="10"/>
      <c r="AG1070" s="10"/>
    </row>
    <row r="1071" spans="1:33">
      <c r="A1071" s="7" t="s">
        <v>155</v>
      </c>
      <c r="B1071" s="8" t="s">
        <v>174</v>
      </c>
      <c r="C1071" s="9" t="s">
        <v>252</v>
      </c>
      <c r="D1071" s="10">
        <v>177</v>
      </c>
      <c r="E1071" s="9" t="s">
        <v>158</v>
      </c>
      <c r="F1071" s="10">
        <v>177</v>
      </c>
      <c r="G1071" s="10">
        <v>176.3</v>
      </c>
      <c r="H1071" s="10">
        <v>143</v>
      </c>
      <c r="I1071" s="10">
        <v>146</v>
      </c>
      <c r="J1071" s="10">
        <v>130</v>
      </c>
      <c r="K1071" s="10">
        <v>95</v>
      </c>
      <c r="L1071" s="10">
        <v>116</v>
      </c>
      <c r="M1071" s="10">
        <v>17.600000000000001</v>
      </c>
      <c r="N1071" s="10">
        <v>1550</v>
      </c>
      <c r="O1071" s="10">
        <v>1.21</v>
      </c>
      <c r="P1071" s="10">
        <v>1874</v>
      </c>
      <c r="Q1071" s="10">
        <v>186</v>
      </c>
      <c r="R1071" s="10">
        <v>77</v>
      </c>
      <c r="S1071" s="10">
        <v>52</v>
      </c>
      <c r="T1071" s="10">
        <v>258</v>
      </c>
      <c r="U1071" s="10">
        <v>6</v>
      </c>
      <c r="V1071" s="10">
        <v>75</v>
      </c>
      <c r="W1071" s="10">
        <v>0.107</v>
      </c>
      <c r="X1071" s="10">
        <v>200</v>
      </c>
      <c r="Y1071" s="10">
        <v>107</v>
      </c>
      <c r="Z1071" s="10">
        <v>58</v>
      </c>
      <c r="AA1071" s="10">
        <v>8</v>
      </c>
      <c r="AB1071" s="10">
        <v>10.9</v>
      </c>
      <c r="AC1071" s="9" t="s">
        <v>188</v>
      </c>
      <c r="AD1071" s="9" t="s">
        <v>185</v>
      </c>
      <c r="AE1071" s="10"/>
      <c r="AF1071" s="10"/>
      <c r="AG1071" s="10"/>
    </row>
    <row r="1072" spans="1:33">
      <c r="A1072" s="7" t="s">
        <v>155</v>
      </c>
      <c r="B1072" s="8" t="s">
        <v>174</v>
      </c>
      <c r="C1072" s="9" t="s">
        <v>252</v>
      </c>
      <c r="D1072" s="10">
        <v>184</v>
      </c>
      <c r="E1072" s="9" t="s">
        <v>158</v>
      </c>
      <c r="F1072" s="10">
        <v>184</v>
      </c>
      <c r="G1072" s="10">
        <v>183.6</v>
      </c>
      <c r="H1072" s="10">
        <v>145</v>
      </c>
      <c r="I1072" s="10">
        <v>153</v>
      </c>
      <c r="J1072" s="10">
        <v>131</v>
      </c>
      <c r="K1072" s="10">
        <v>95</v>
      </c>
      <c r="L1072" s="10">
        <v>117</v>
      </c>
      <c r="M1072" s="10">
        <v>18.899999999999999</v>
      </c>
      <c r="N1072" s="10">
        <v>1701</v>
      </c>
      <c r="O1072" s="10">
        <v>1.1499999999999999</v>
      </c>
      <c r="P1072" s="10">
        <v>1959</v>
      </c>
      <c r="Q1072" s="10">
        <v>219</v>
      </c>
      <c r="R1072" s="10">
        <v>88</v>
      </c>
      <c r="S1072" s="10">
        <v>50</v>
      </c>
      <c r="T1072" s="10">
        <v>289</v>
      </c>
      <c r="U1072" s="10">
        <v>7</v>
      </c>
      <c r="V1072" s="10">
        <v>99</v>
      </c>
      <c r="W1072" s="10">
        <v>0.14199999999999999</v>
      </c>
      <c r="X1072" s="10">
        <v>199</v>
      </c>
      <c r="Y1072" s="10">
        <v>110</v>
      </c>
      <c r="Z1072" s="10">
        <v>90</v>
      </c>
      <c r="AA1072" s="10">
        <v>10</v>
      </c>
      <c r="AB1072" s="10">
        <v>10.9</v>
      </c>
      <c r="AC1072" s="9" t="s">
        <v>188</v>
      </c>
      <c r="AD1072" s="9" t="s">
        <v>185</v>
      </c>
      <c r="AE1072" s="10"/>
      <c r="AF1072" s="10"/>
      <c r="AG1072" s="10"/>
    </row>
    <row r="1073" spans="1:33">
      <c r="A1073" s="7" t="s">
        <v>155</v>
      </c>
      <c r="B1073" s="8" t="s">
        <v>174</v>
      </c>
      <c r="C1073" s="9" t="s">
        <v>438</v>
      </c>
      <c r="D1073" s="10">
        <v>167</v>
      </c>
      <c r="E1073" s="9" t="s">
        <v>158</v>
      </c>
      <c r="F1073" s="10">
        <v>167</v>
      </c>
      <c r="G1073" s="10">
        <v>166.8</v>
      </c>
      <c r="H1073" s="10">
        <v>105</v>
      </c>
      <c r="I1073" s="10">
        <v>135</v>
      </c>
      <c r="J1073" s="10">
        <v>136</v>
      </c>
      <c r="K1073" s="10">
        <v>104</v>
      </c>
      <c r="L1073" s="10">
        <v>122</v>
      </c>
      <c r="M1073" s="10">
        <v>18.100000000000001</v>
      </c>
      <c r="N1073" s="10">
        <v>1881</v>
      </c>
      <c r="O1073" s="10">
        <v>1.02</v>
      </c>
      <c r="P1073" s="10">
        <v>1912</v>
      </c>
      <c r="Q1073" s="10">
        <v>174</v>
      </c>
      <c r="R1073" s="10">
        <v>83</v>
      </c>
      <c r="S1073" s="10">
        <v>59</v>
      </c>
      <c r="T1073" s="10">
        <v>353</v>
      </c>
      <c r="U1073" s="10">
        <v>22</v>
      </c>
      <c r="V1073" s="10">
        <v>262</v>
      </c>
      <c r="W1073" s="10">
        <v>0.36799999999999999</v>
      </c>
      <c r="X1073" s="10">
        <v>189</v>
      </c>
      <c r="Y1073" s="10">
        <v>124</v>
      </c>
      <c r="Z1073" s="10">
        <v>164</v>
      </c>
      <c r="AA1073" s="10">
        <v>6</v>
      </c>
      <c r="AB1073" s="10">
        <v>9.3000000000000007</v>
      </c>
      <c r="AC1073" s="9" t="s">
        <v>188</v>
      </c>
      <c r="AD1073" s="9" t="s">
        <v>169</v>
      </c>
      <c r="AE1073" s="9" t="s">
        <v>178</v>
      </c>
      <c r="AF1073" s="10"/>
      <c r="AG1073" s="10"/>
    </row>
    <row r="1074" spans="1:33">
      <c r="A1074" s="7" t="s">
        <v>155</v>
      </c>
      <c r="B1074" s="8" t="s">
        <v>174</v>
      </c>
      <c r="C1074" s="9" t="s">
        <v>438</v>
      </c>
      <c r="D1074" s="10">
        <v>174</v>
      </c>
      <c r="E1074" s="9" t="s">
        <v>158</v>
      </c>
      <c r="F1074" s="10">
        <v>174</v>
      </c>
      <c r="G1074" s="10">
        <v>173.9</v>
      </c>
      <c r="H1074" s="10">
        <v>109</v>
      </c>
      <c r="I1074" s="10">
        <v>144</v>
      </c>
      <c r="J1074" s="10">
        <v>137</v>
      </c>
      <c r="K1074" s="10">
        <v>105</v>
      </c>
      <c r="L1074" s="10">
        <v>123</v>
      </c>
      <c r="M1074" s="10">
        <v>19.100000000000001</v>
      </c>
      <c r="N1074" s="10">
        <v>2014</v>
      </c>
      <c r="O1074" s="10">
        <v>0.99</v>
      </c>
      <c r="P1074" s="10">
        <v>2000</v>
      </c>
      <c r="Q1074" s="10">
        <v>211</v>
      </c>
      <c r="R1074" s="10">
        <v>97</v>
      </c>
      <c r="S1074" s="10">
        <v>59</v>
      </c>
      <c r="T1074" s="10">
        <v>365</v>
      </c>
      <c r="U1074" s="10">
        <v>22</v>
      </c>
      <c r="V1074" s="10">
        <v>282</v>
      </c>
      <c r="W1074" s="10">
        <v>0.378</v>
      </c>
      <c r="X1074" s="10">
        <v>181</v>
      </c>
      <c r="Y1074" s="10">
        <v>119</v>
      </c>
      <c r="Z1074" s="10">
        <v>183</v>
      </c>
      <c r="AA1074" s="10">
        <v>6</v>
      </c>
      <c r="AB1074" s="10">
        <v>9.4</v>
      </c>
      <c r="AC1074" s="9" t="s">
        <v>188</v>
      </c>
      <c r="AD1074" s="9" t="s">
        <v>169</v>
      </c>
      <c r="AE1074" s="9" t="s">
        <v>178</v>
      </c>
      <c r="AF1074" s="10"/>
      <c r="AG1074" s="10"/>
    </row>
    <row r="1075" spans="1:33">
      <c r="A1075" s="7" t="s">
        <v>155</v>
      </c>
      <c r="B1075" s="8" t="s">
        <v>174</v>
      </c>
      <c r="C1075" s="9" t="s">
        <v>438</v>
      </c>
      <c r="D1075" s="10">
        <v>181</v>
      </c>
      <c r="E1075" s="9" t="s">
        <v>158</v>
      </c>
      <c r="F1075" s="10">
        <v>181</v>
      </c>
      <c r="G1075" s="10">
        <v>180.9</v>
      </c>
      <c r="H1075" s="10">
        <v>114</v>
      </c>
      <c r="I1075" s="10">
        <v>151</v>
      </c>
      <c r="J1075" s="10">
        <v>138</v>
      </c>
      <c r="K1075" s="10">
        <v>105</v>
      </c>
      <c r="L1075" s="10">
        <v>124</v>
      </c>
      <c r="M1075" s="10">
        <v>19.899999999999999</v>
      </c>
      <c r="N1075" s="10">
        <v>2130</v>
      </c>
      <c r="O1075" s="10">
        <v>0.98</v>
      </c>
      <c r="P1075" s="10">
        <v>2088</v>
      </c>
      <c r="Q1075" s="10">
        <v>231</v>
      </c>
      <c r="R1075" s="10">
        <v>105</v>
      </c>
      <c r="S1075" s="10">
        <v>56</v>
      </c>
      <c r="T1075" s="10">
        <v>381</v>
      </c>
      <c r="U1075" s="10">
        <v>20</v>
      </c>
      <c r="V1075" s="10">
        <v>291</v>
      </c>
      <c r="W1075" s="10">
        <v>0.34799999999999998</v>
      </c>
      <c r="X1075" s="10">
        <v>179</v>
      </c>
      <c r="Y1075" s="10">
        <v>115</v>
      </c>
      <c r="Z1075" s="10">
        <v>201</v>
      </c>
      <c r="AA1075" s="10">
        <v>8</v>
      </c>
      <c r="AB1075" s="10">
        <v>8</v>
      </c>
      <c r="AC1075" s="9" t="s">
        <v>188</v>
      </c>
      <c r="AD1075" s="9" t="s">
        <v>178</v>
      </c>
      <c r="AE1075" s="10"/>
      <c r="AF1075" s="10"/>
      <c r="AG1075" s="10"/>
    </row>
    <row r="1076" spans="1:33">
      <c r="A1076" s="7" t="s">
        <v>155</v>
      </c>
      <c r="B1076" s="8" t="s">
        <v>174</v>
      </c>
      <c r="C1076" s="9" t="s">
        <v>438</v>
      </c>
      <c r="D1076" s="10">
        <v>188</v>
      </c>
      <c r="E1076" s="9" t="s">
        <v>158</v>
      </c>
      <c r="F1076" s="10">
        <v>188</v>
      </c>
      <c r="G1076" s="10">
        <v>187.7</v>
      </c>
      <c r="H1076" s="10">
        <v>113</v>
      </c>
      <c r="I1076" s="10">
        <v>157</v>
      </c>
      <c r="J1076" s="10">
        <v>139</v>
      </c>
      <c r="K1076" s="10">
        <v>104</v>
      </c>
      <c r="L1076" s="10">
        <v>125</v>
      </c>
      <c r="M1076" s="10">
        <v>21.5</v>
      </c>
      <c r="N1076" s="10">
        <v>2224</v>
      </c>
      <c r="O1076" s="10">
        <v>0.97</v>
      </c>
      <c r="P1076" s="10">
        <v>2167</v>
      </c>
      <c r="Q1076" s="10">
        <v>279</v>
      </c>
      <c r="R1076" s="10">
        <v>125</v>
      </c>
      <c r="S1076" s="10">
        <v>61</v>
      </c>
      <c r="T1076" s="10">
        <v>432</v>
      </c>
      <c r="U1076" s="10">
        <v>23</v>
      </c>
      <c r="V1076" s="10">
        <v>315</v>
      </c>
      <c r="W1076" s="10">
        <v>0.377</v>
      </c>
      <c r="X1076" s="10">
        <v>183</v>
      </c>
      <c r="Y1076" s="10">
        <v>125</v>
      </c>
      <c r="Z1076" s="10">
        <v>249</v>
      </c>
      <c r="AA1076" s="10">
        <v>6</v>
      </c>
      <c r="AB1076" s="10">
        <v>7.6</v>
      </c>
      <c r="AC1076" s="9" t="s">
        <v>188</v>
      </c>
      <c r="AD1076" s="9" t="s">
        <v>169</v>
      </c>
      <c r="AE1076" s="9" t="s">
        <v>178</v>
      </c>
      <c r="AF1076" s="10"/>
      <c r="AG1076" s="10"/>
    </row>
    <row r="1077" spans="1:33">
      <c r="A1077" s="7" t="s">
        <v>155</v>
      </c>
      <c r="B1077" s="8" t="s">
        <v>174</v>
      </c>
      <c r="C1077" s="9" t="s">
        <v>863</v>
      </c>
      <c r="D1077" s="10">
        <v>185</v>
      </c>
      <c r="E1077" s="9" t="s">
        <v>158</v>
      </c>
      <c r="F1077" s="10">
        <v>185</v>
      </c>
      <c r="G1077" s="10">
        <v>184.3</v>
      </c>
      <c r="H1077" s="10">
        <v>146</v>
      </c>
      <c r="I1077" s="10">
        <v>152</v>
      </c>
      <c r="J1077" s="10">
        <v>130</v>
      </c>
      <c r="K1077" s="10">
        <v>84</v>
      </c>
      <c r="L1077" s="10">
        <v>114</v>
      </c>
      <c r="M1077" s="10">
        <v>14</v>
      </c>
      <c r="N1077" s="10">
        <v>2285</v>
      </c>
      <c r="O1077" s="10">
        <v>0.81</v>
      </c>
      <c r="P1077" s="10">
        <v>1843</v>
      </c>
      <c r="Q1077" s="10">
        <v>279</v>
      </c>
      <c r="R1077" s="10">
        <v>127</v>
      </c>
      <c r="S1077" s="10">
        <v>35</v>
      </c>
      <c r="T1077" s="10">
        <v>257</v>
      </c>
      <c r="U1077" s="10">
        <v>6</v>
      </c>
      <c r="V1077" s="10">
        <v>128</v>
      </c>
      <c r="W1077" s="10">
        <v>0.161</v>
      </c>
      <c r="X1077" s="10">
        <v>196</v>
      </c>
      <c r="Y1077" s="10">
        <v>127</v>
      </c>
      <c r="Z1077" s="10">
        <v>61</v>
      </c>
      <c r="AA1077" s="10">
        <v>12</v>
      </c>
      <c r="AB1077" s="10">
        <v>7.7</v>
      </c>
      <c r="AC1077" s="9" t="s">
        <v>231</v>
      </c>
      <c r="AD1077" s="9" t="s">
        <v>188</v>
      </c>
      <c r="AE1077" s="10"/>
      <c r="AF1077" s="10"/>
      <c r="AG1077" s="10"/>
    </row>
    <row r="1078" spans="1:33">
      <c r="A1078" s="7" t="s">
        <v>155</v>
      </c>
      <c r="B1078" s="8" t="s">
        <v>174</v>
      </c>
      <c r="C1078" s="9" t="s">
        <v>283</v>
      </c>
      <c r="D1078" s="10">
        <v>153</v>
      </c>
      <c r="E1078" s="9" t="s">
        <v>158</v>
      </c>
      <c r="F1078" s="10">
        <v>153</v>
      </c>
      <c r="G1078" s="10">
        <v>151.9</v>
      </c>
      <c r="H1078" s="10">
        <v>112</v>
      </c>
      <c r="I1078" s="10">
        <v>127</v>
      </c>
      <c r="J1078" s="10">
        <v>128</v>
      </c>
      <c r="K1078" s="10">
        <v>91</v>
      </c>
      <c r="L1078" s="10">
        <v>111</v>
      </c>
      <c r="M1078" s="10">
        <v>12.7</v>
      </c>
      <c r="N1078" s="10">
        <v>1579</v>
      </c>
      <c r="O1078" s="10">
        <v>0.99</v>
      </c>
      <c r="P1078" s="10">
        <v>1571</v>
      </c>
      <c r="Q1078" s="10">
        <v>172</v>
      </c>
      <c r="R1078" s="10">
        <v>84</v>
      </c>
      <c r="S1078" s="10">
        <v>54</v>
      </c>
      <c r="T1078" s="10">
        <v>254</v>
      </c>
      <c r="U1078" s="10">
        <v>16</v>
      </c>
      <c r="V1078" s="10">
        <v>147</v>
      </c>
      <c r="W1078" s="10">
        <v>0.30099999999999999</v>
      </c>
      <c r="X1078" s="10">
        <v>131</v>
      </c>
      <c r="Y1078" s="10">
        <v>118</v>
      </c>
      <c r="Z1078" s="10">
        <v>123</v>
      </c>
      <c r="AA1078" s="10">
        <v>6</v>
      </c>
      <c r="AB1078" s="10">
        <v>8.5</v>
      </c>
      <c r="AC1078" s="9" t="s">
        <v>188</v>
      </c>
      <c r="AD1078" s="10"/>
      <c r="AE1078" s="10"/>
      <c r="AF1078" s="10"/>
      <c r="AG1078" s="10"/>
    </row>
    <row r="1079" spans="1:33">
      <c r="A1079" s="7" t="s">
        <v>155</v>
      </c>
      <c r="B1079" s="8" t="s">
        <v>174</v>
      </c>
      <c r="C1079" s="9" t="s">
        <v>283</v>
      </c>
      <c r="D1079" s="10">
        <v>169</v>
      </c>
      <c r="E1079" s="9" t="s">
        <v>158</v>
      </c>
      <c r="F1079" s="10">
        <v>169</v>
      </c>
      <c r="G1079" s="10">
        <v>168.2</v>
      </c>
      <c r="H1079" s="10">
        <v>130</v>
      </c>
      <c r="I1079" s="10">
        <v>140</v>
      </c>
      <c r="J1079" s="10">
        <v>129</v>
      </c>
      <c r="K1079" s="10">
        <v>91</v>
      </c>
      <c r="L1079" s="10">
        <v>112</v>
      </c>
      <c r="M1079" s="10">
        <v>15.4</v>
      </c>
      <c r="N1079" s="10">
        <v>1763</v>
      </c>
      <c r="O1079" s="10">
        <v>0.99</v>
      </c>
      <c r="P1079" s="10">
        <v>1750</v>
      </c>
      <c r="Q1079" s="10">
        <v>190</v>
      </c>
      <c r="R1079" s="10">
        <v>91</v>
      </c>
      <c r="S1079" s="10">
        <v>48</v>
      </c>
      <c r="T1079" s="10">
        <v>257</v>
      </c>
      <c r="U1079" s="10">
        <v>11</v>
      </c>
      <c r="V1079" s="10">
        <v>129</v>
      </c>
      <c r="W1079" s="10">
        <v>0.22600000000000001</v>
      </c>
      <c r="X1079" s="10">
        <v>157</v>
      </c>
      <c r="Y1079" s="10">
        <v>127</v>
      </c>
      <c r="Z1079" s="10">
        <v>99</v>
      </c>
      <c r="AA1079" s="10">
        <v>10</v>
      </c>
      <c r="AB1079" s="10">
        <v>9.8000000000000007</v>
      </c>
      <c r="AC1079" s="9" t="s">
        <v>188</v>
      </c>
      <c r="AD1079" s="10"/>
      <c r="AE1079" s="10"/>
      <c r="AF1079" s="10"/>
      <c r="AG1079" s="10"/>
    </row>
    <row r="1080" spans="1:33">
      <c r="A1080" s="7" t="s">
        <v>155</v>
      </c>
      <c r="B1080" s="8" t="s">
        <v>174</v>
      </c>
      <c r="C1080" s="9" t="s">
        <v>283</v>
      </c>
      <c r="D1080" s="10">
        <v>177</v>
      </c>
      <c r="E1080" s="9" t="s">
        <v>158</v>
      </c>
      <c r="F1080" s="10">
        <v>177</v>
      </c>
      <c r="G1080" s="10">
        <v>176.4</v>
      </c>
      <c r="H1080" s="10">
        <v>136</v>
      </c>
      <c r="I1080" s="10">
        <v>148</v>
      </c>
      <c r="J1080" s="10">
        <v>131</v>
      </c>
      <c r="K1080" s="10">
        <v>91</v>
      </c>
      <c r="L1080" s="10">
        <v>114</v>
      </c>
      <c r="M1080" s="10">
        <v>16.5</v>
      </c>
      <c r="N1080" s="10">
        <v>1860</v>
      </c>
      <c r="O1080" s="10">
        <v>0.99</v>
      </c>
      <c r="P1080" s="10">
        <v>1843</v>
      </c>
      <c r="Q1080" s="10">
        <v>219</v>
      </c>
      <c r="R1080" s="10">
        <v>94</v>
      </c>
      <c r="S1080" s="10">
        <v>49</v>
      </c>
      <c r="T1080" s="10">
        <v>273</v>
      </c>
      <c r="U1080" s="10">
        <v>11</v>
      </c>
      <c r="V1080" s="10">
        <v>130</v>
      </c>
      <c r="W1080" s="10">
        <v>0.217</v>
      </c>
      <c r="X1080" s="10">
        <v>152</v>
      </c>
      <c r="Y1080" s="10">
        <v>128</v>
      </c>
      <c r="Z1080" s="10">
        <v>121</v>
      </c>
      <c r="AA1080" s="10">
        <v>11</v>
      </c>
      <c r="AB1080" s="10">
        <v>10</v>
      </c>
      <c r="AC1080" s="9" t="s">
        <v>188</v>
      </c>
      <c r="AD1080" s="10"/>
      <c r="AE1080" s="10"/>
      <c r="AF1080" s="10"/>
      <c r="AG1080" s="10"/>
    </row>
    <row r="1081" spans="1:33">
      <c r="A1081" s="7" t="s">
        <v>155</v>
      </c>
      <c r="B1081" s="8" t="s">
        <v>174</v>
      </c>
      <c r="C1081" s="9" t="s">
        <v>283</v>
      </c>
      <c r="D1081" s="10">
        <v>185</v>
      </c>
      <c r="E1081" s="9" t="s">
        <v>158</v>
      </c>
      <c r="F1081" s="10">
        <v>185</v>
      </c>
      <c r="G1081" s="10">
        <v>184.3</v>
      </c>
      <c r="H1081" s="10">
        <v>141</v>
      </c>
      <c r="I1081" s="10">
        <v>156</v>
      </c>
      <c r="J1081" s="10">
        <v>132</v>
      </c>
      <c r="K1081" s="10">
        <v>91</v>
      </c>
      <c r="L1081" s="10">
        <v>115</v>
      </c>
      <c r="M1081" s="10">
        <v>17.8</v>
      </c>
      <c r="N1081" s="10">
        <v>2002</v>
      </c>
      <c r="O1081" s="10">
        <v>0.97</v>
      </c>
      <c r="P1081" s="10">
        <v>1932</v>
      </c>
      <c r="Q1081" s="10">
        <v>246</v>
      </c>
      <c r="R1081" s="10">
        <v>108</v>
      </c>
      <c r="S1081" s="10">
        <v>49</v>
      </c>
      <c r="T1081" s="10">
        <v>288</v>
      </c>
      <c r="U1081" s="10">
        <v>11</v>
      </c>
      <c r="V1081" s="10">
        <v>141</v>
      </c>
      <c r="W1081" s="10">
        <v>0.23100000000000001</v>
      </c>
      <c r="X1081" s="10">
        <v>149</v>
      </c>
      <c r="Y1081" s="10">
        <v>130</v>
      </c>
      <c r="Z1081" s="10">
        <v>139</v>
      </c>
      <c r="AA1081" s="10">
        <v>10</v>
      </c>
      <c r="AB1081" s="10">
        <v>10.3</v>
      </c>
      <c r="AC1081" s="9" t="s">
        <v>188</v>
      </c>
      <c r="AD1081" s="10"/>
      <c r="AE1081" s="10"/>
      <c r="AF1081" s="10"/>
      <c r="AG1081" s="10"/>
    </row>
    <row r="1082" spans="1:33">
      <c r="A1082" s="7" t="s">
        <v>155</v>
      </c>
      <c r="B1082" s="8" t="s">
        <v>174</v>
      </c>
      <c r="C1082" s="9" t="s">
        <v>573</v>
      </c>
      <c r="D1082" s="10">
        <v>169</v>
      </c>
      <c r="E1082" s="9" t="s">
        <v>158</v>
      </c>
      <c r="F1082" s="10">
        <v>169</v>
      </c>
      <c r="G1082" s="10">
        <v>168.8</v>
      </c>
      <c r="H1082" s="10">
        <v>94</v>
      </c>
      <c r="I1082" s="10">
        <v>127</v>
      </c>
      <c r="J1082" s="10">
        <v>130</v>
      </c>
      <c r="K1082" s="10">
        <v>97</v>
      </c>
      <c r="L1082" s="10">
        <v>118</v>
      </c>
      <c r="M1082" s="10">
        <v>12.5</v>
      </c>
      <c r="N1082" s="10">
        <v>1813</v>
      </c>
      <c r="O1082" s="10">
        <v>1.01</v>
      </c>
      <c r="P1082" s="10">
        <v>1839</v>
      </c>
      <c r="Q1082" s="10">
        <v>159</v>
      </c>
      <c r="R1082" s="10">
        <v>73</v>
      </c>
      <c r="S1082" s="10">
        <v>58</v>
      </c>
      <c r="T1082" s="10">
        <v>389</v>
      </c>
      <c r="U1082" s="10">
        <v>32</v>
      </c>
      <c r="V1082" s="10">
        <v>363</v>
      </c>
      <c r="W1082" s="10">
        <v>0.54100000000000004</v>
      </c>
      <c r="X1082" s="10">
        <v>241</v>
      </c>
      <c r="Y1082" s="10">
        <v>180</v>
      </c>
      <c r="Z1082" s="10">
        <v>148</v>
      </c>
      <c r="AA1082" s="10">
        <v>5</v>
      </c>
      <c r="AB1082" s="10">
        <v>7.6</v>
      </c>
      <c r="AC1082" s="9" t="s">
        <v>188</v>
      </c>
      <c r="AD1082" s="10"/>
      <c r="AE1082" s="10"/>
      <c r="AF1082" s="10"/>
      <c r="AG1082" s="10"/>
    </row>
    <row r="1083" spans="1:33">
      <c r="A1083" s="7" t="s">
        <v>155</v>
      </c>
      <c r="B1083" s="8" t="s">
        <v>174</v>
      </c>
      <c r="C1083" s="9" t="s">
        <v>573</v>
      </c>
      <c r="D1083" s="10">
        <v>176</v>
      </c>
      <c r="E1083" s="9" t="s">
        <v>158</v>
      </c>
      <c r="F1083" s="10">
        <v>176</v>
      </c>
      <c r="G1083" s="10">
        <v>177.6</v>
      </c>
      <c r="H1083" s="10">
        <v>102</v>
      </c>
      <c r="I1083" s="10">
        <v>134</v>
      </c>
      <c r="J1083" s="10">
        <v>131</v>
      </c>
      <c r="K1083" s="10">
        <v>97</v>
      </c>
      <c r="L1083" s="10">
        <v>119</v>
      </c>
      <c r="M1083" s="10">
        <v>13.4</v>
      </c>
      <c r="N1083" s="10">
        <v>1987</v>
      </c>
      <c r="O1083" s="10">
        <v>0.98</v>
      </c>
      <c r="P1083" s="10">
        <v>1941</v>
      </c>
      <c r="Q1083" s="10">
        <v>190</v>
      </c>
      <c r="R1083" s="10">
        <v>88</v>
      </c>
      <c r="S1083" s="10">
        <v>57</v>
      </c>
      <c r="T1083" s="10">
        <v>394</v>
      </c>
      <c r="U1083" s="10">
        <v>29</v>
      </c>
      <c r="V1083" s="10">
        <v>364</v>
      </c>
      <c r="W1083" s="10">
        <v>0.50700000000000001</v>
      </c>
      <c r="X1083" s="10">
        <v>248</v>
      </c>
      <c r="Y1083" s="10">
        <v>186</v>
      </c>
      <c r="Z1083" s="10">
        <v>146</v>
      </c>
      <c r="AA1083" s="10">
        <v>6</v>
      </c>
      <c r="AB1083" s="10">
        <v>8.6</v>
      </c>
      <c r="AC1083" s="9" t="s">
        <v>188</v>
      </c>
      <c r="AD1083" s="10"/>
      <c r="AE1083" s="10"/>
      <c r="AF1083" s="10"/>
      <c r="AG1083" s="10"/>
    </row>
    <row r="1084" spans="1:33">
      <c r="A1084" s="7" t="s">
        <v>155</v>
      </c>
      <c r="B1084" s="8" t="s">
        <v>174</v>
      </c>
      <c r="C1084" s="9" t="s">
        <v>573</v>
      </c>
      <c r="D1084" s="10">
        <v>183</v>
      </c>
      <c r="E1084" s="9" t="s">
        <v>158</v>
      </c>
      <c r="F1084" s="10">
        <v>183</v>
      </c>
      <c r="G1084" s="10">
        <v>182.6</v>
      </c>
      <c r="H1084" s="10">
        <v>101</v>
      </c>
      <c r="I1084" s="10">
        <v>137</v>
      </c>
      <c r="J1084" s="10">
        <v>132</v>
      </c>
      <c r="K1084" s="10">
        <v>98</v>
      </c>
      <c r="L1084" s="10">
        <v>120</v>
      </c>
      <c r="M1084" s="10">
        <v>14.2</v>
      </c>
      <c r="N1084" s="10">
        <v>2030</v>
      </c>
      <c r="O1084" s="10">
        <v>0.99</v>
      </c>
      <c r="P1084" s="10">
        <v>2008</v>
      </c>
      <c r="Q1084" s="10">
        <v>210</v>
      </c>
      <c r="R1084" s="10">
        <v>105</v>
      </c>
      <c r="S1084" s="10">
        <v>52</v>
      </c>
      <c r="T1084" s="10">
        <v>414</v>
      </c>
      <c r="U1084" s="10">
        <v>33</v>
      </c>
      <c r="V1084" s="10">
        <v>406</v>
      </c>
      <c r="W1084" s="10">
        <v>0.629</v>
      </c>
      <c r="X1084" s="10">
        <v>276</v>
      </c>
      <c r="Y1084" s="10">
        <v>182</v>
      </c>
      <c r="Z1084" s="10">
        <v>138</v>
      </c>
      <c r="AA1084" s="10">
        <v>6</v>
      </c>
      <c r="AB1084" s="10">
        <v>8.6999999999999993</v>
      </c>
      <c r="AC1084" s="9" t="s">
        <v>188</v>
      </c>
      <c r="AD1084" s="10"/>
      <c r="AE1084" s="10"/>
      <c r="AF1084" s="10"/>
      <c r="AG1084" s="10"/>
    </row>
    <row r="1085" spans="1:33">
      <c r="A1085" s="7" t="s">
        <v>155</v>
      </c>
      <c r="B1085" s="8" t="s">
        <v>174</v>
      </c>
      <c r="C1085" s="9" t="s">
        <v>544</v>
      </c>
      <c r="D1085" s="10">
        <v>167</v>
      </c>
      <c r="E1085" s="9" t="s">
        <v>158</v>
      </c>
      <c r="F1085" s="10">
        <v>167</v>
      </c>
      <c r="G1085" s="10">
        <v>166</v>
      </c>
      <c r="H1085" s="10">
        <v>130</v>
      </c>
      <c r="I1085" s="10">
        <v>130</v>
      </c>
      <c r="J1085" s="10">
        <v>133</v>
      </c>
      <c r="K1085" s="10">
        <v>98</v>
      </c>
      <c r="L1085" s="10">
        <v>116</v>
      </c>
      <c r="M1085" s="10">
        <v>14</v>
      </c>
      <c r="N1085" s="10">
        <v>1882</v>
      </c>
      <c r="O1085" s="10">
        <v>0.97</v>
      </c>
      <c r="P1085" s="10">
        <v>1828</v>
      </c>
      <c r="Q1085" s="10">
        <v>191</v>
      </c>
      <c r="R1085" s="10">
        <v>88</v>
      </c>
      <c r="S1085" s="10">
        <v>51</v>
      </c>
      <c r="T1085" s="10">
        <v>194</v>
      </c>
      <c r="U1085" s="10">
        <v>19</v>
      </c>
      <c r="V1085" s="10">
        <v>169</v>
      </c>
      <c r="W1085" s="10">
        <v>0.375</v>
      </c>
      <c r="X1085" s="10">
        <v>212</v>
      </c>
      <c r="Y1085" s="10">
        <v>153</v>
      </c>
      <c r="Z1085" s="10">
        <v>-18</v>
      </c>
      <c r="AA1085" s="10">
        <v>14</v>
      </c>
      <c r="AB1085" s="10">
        <v>8.6</v>
      </c>
      <c r="AC1085" s="9" t="s">
        <v>188</v>
      </c>
      <c r="AD1085" s="10"/>
      <c r="AE1085" s="10"/>
      <c r="AF1085" s="10"/>
      <c r="AG1085" s="10"/>
    </row>
    <row r="1086" spans="1:33">
      <c r="A1086" s="7" t="s">
        <v>155</v>
      </c>
      <c r="B1086" s="8" t="s">
        <v>174</v>
      </c>
      <c r="C1086" s="9" t="s">
        <v>544</v>
      </c>
      <c r="D1086" s="10">
        <v>181</v>
      </c>
      <c r="E1086" s="9" t="s">
        <v>158</v>
      </c>
      <c r="F1086" s="10">
        <v>181</v>
      </c>
      <c r="G1086" s="10">
        <v>180.4</v>
      </c>
      <c r="H1086" s="10">
        <v>125</v>
      </c>
      <c r="I1086" s="10">
        <v>144</v>
      </c>
      <c r="J1086" s="10">
        <v>136</v>
      </c>
      <c r="K1086" s="10">
        <v>98</v>
      </c>
      <c r="L1086" s="10">
        <v>119</v>
      </c>
      <c r="M1086" s="10">
        <v>15.3</v>
      </c>
      <c r="N1086" s="10">
        <v>2085</v>
      </c>
      <c r="O1086" s="10">
        <v>0.96</v>
      </c>
      <c r="P1086" s="10">
        <v>2011</v>
      </c>
      <c r="Q1086" s="10">
        <v>253</v>
      </c>
      <c r="R1086" s="10">
        <v>114</v>
      </c>
      <c r="S1086" s="10">
        <v>55</v>
      </c>
      <c r="T1086" s="10">
        <v>295</v>
      </c>
      <c r="U1086" s="10">
        <v>23</v>
      </c>
      <c r="V1086" s="10">
        <v>263</v>
      </c>
      <c r="W1086" s="10">
        <v>0.41899999999999998</v>
      </c>
      <c r="X1086" s="10">
        <v>208</v>
      </c>
      <c r="Y1086" s="10">
        <v>156</v>
      </c>
      <c r="Z1086" s="10">
        <v>87</v>
      </c>
      <c r="AA1086" s="10">
        <v>9</v>
      </c>
      <c r="AB1086" s="10">
        <v>9.8000000000000007</v>
      </c>
      <c r="AC1086" s="9" t="s">
        <v>188</v>
      </c>
      <c r="AD1086" s="10"/>
      <c r="AE1086" s="10"/>
      <c r="AF1086" s="10"/>
      <c r="AG1086" s="10"/>
    </row>
    <row r="1087" spans="1:33">
      <c r="A1087" s="7" t="s">
        <v>155</v>
      </c>
      <c r="B1087" s="8" t="s">
        <v>174</v>
      </c>
      <c r="C1087" s="9" t="s">
        <v>544</v>
      </c>
      <c r="D1087" s="10">
        <v>188</v>
      </c>
      <c r="E1087" s="9" t="s">
        <v>158</v>
      </c>
      <c r="F1087" s="10">
        <v>188</v>
      </c>
      <c r="G1087" s="10">
        <v>187.2</v>
      </c>
      <c r="H1087" s="10">
        <v>126</v>
      </c>
      <c r="I1087" s="10">
        <v>148</v>
      </c>
      <c r="J1087" s="10">
        <v>139</v>
      </c>
      <c r="K1087" s="10">
        <v>98</v>
      </c>
      <c r="L1087" s="10">
        <v>121</v>
      </c>
      <c r="M1087" s="10">
        <v>15.4</v>
      </c>
      <c r="N1087" s="10">
        <v>2297</v>
      </c>
      <c r="O1087" s="10">
        <v>0.92</v>
      </c>
      <c r="P1087" s="10">
        <v>2102</v>
      </c>
      <c r="Q1087" s="10">
        <v>277</v>
      </c>
      <c r="R1087" s="10">
        <v>124</v>
      </c>
      <c r="S1087" s="10">
        <v>60</v>
      </c>
      <c r="T1087" s="10">
        <v>342</v>
      </c>
      <c r="U1087" s="10">
        <v>22</v>
      </c>
      <c r="V1087" s="10">
        <v>271</v>
      </c>
      <c r="W1087" s="10">
        <v>0.36899999999999999</v>
      </c>
      <c r="X1087" s="10">
        <v>236</v>
      </c>
      <c r="Y1087" s="10">
        <v>155</v>
      </c>
      <c r="Z1087" s="10">
        <v>106</v>
      </c>
      <c r="AA1087" s="10">
        <v>7</v>
      </c>
      <c r="AB1087" s="10">
        <v>10.3</v>
      </c>
      <c r="AC1087" s="9" t="s">
        <v>188</v>
      </c>
      <c r="AD1087" s="10"/>
      <c r="AE1087" s="10"/>
      <c r="AF1087" s="10"/>
      <c r="AG1087" s="10"/>
    </row>
    <row r="1088" spans="1:33">
      <c r="A1088" s="7" t="s">
        <v>155</v>
      </c>
      <c r="B1088" s="8" t="s">
        <v>174</v>
      </c>
      <c r="C1088" s="9" t="s">
        <v>791</v>
      </c>
      <c r="D1088" s="10">
        <v>186</v>
      </c>
      <c r="E1088" s="9" t="s">
        <v>158</v>
      </c>
      <c r="F1088" s="10">
        <v>186</v>
      </c>
      <c r="G1088" s="10">
        <v>185.2</v>
      </c>
      <c r="H1088" s="10">
        <v>86</v>
      </c>
      <c r="I1088" s="10">
        <v>139</v>
      </c>
      <c r="J1088" s="10">
        <v>137</v>
      </c>
      <c r="K1088" s="10">
        <v>111</v>
      </c>
      <c r="L1088" s="10">
        <v>126</v>
      </c>
      <c r="M1088" s="10">
        <v>17.899999999999999</v>
      </c>
      <c r="N1088" s="10">
        <v>2172</v>
      </c>
      <c r="O1088" s="10">
        <v>1.03</v>
      </c>
      <c r="P1088" s="10">
        <v>2237</v>
      </c>
      <c r="Q1088" s="10">
        <v>227</v>
      </c>
      <c r="R1088" s="10">
        <v>111</v>
      </c>
      <c r="S1088" s="10">
        <v>62</v>
      </c>
      <c r="T1088" s="10">
        <v>489</v>
      </c>
      <c r="U1088" s="10">
        <v>33</v>
      </c>
      <c r="V1088" s="10">
        <v>500</v>
      </c>
      <c r="W1088" s="10">
        <v>0.54400000000000004</v>
      </c>
      <c r="X1088" s="10">
        <v>209</v>
      </c>
      <c r="Y1088" s="10">
        <v>256</v>
      </c>
      <c r="Z1088" s="10">
        <v>280</v>
      </c>
      <c r="AA1088" s="10">
        <v>3</v>
      </c>
      <c r="AB1088" s="10">
        <v>8.5</v>
      </c>
      <c r="AC1088" s="9" t="s">
        <v>169</v>
      </c>
      <c r="AD1088" s="10"/>
      <c r="AE1088" s="10"/>
      <c r="AF1088" s="10"/>
      <c r="AG1088" s="10"/>
    </row>
    <row r="1089" spans="1:33">
      <c r="A1089" s="7" t="s">
        <v>155</v>
      </c>
      <c r="B1089" s="8" t="s">
        <v>174</v>
      </c>
      <c r="C1089" s="9" t="s">
        <v>791</v>
      </c>
      <c r="D1089" s="10">
        <v>194</v>
      </c>
      <c r="E1089" s="9" t="s">
        <v>158</v>
      </c>
      <c r="F1089" s="10">
        <v>194</v>
      </c>
      <c r="G1089" s="10">
        <v>193.2</v>
      </c>
      <c r="H1089" s="10">
        <v>91</v>
      </c>
      <c r="I1089" s="10">
        <v>148</v>
      </c>
      <c r="J1089" s="10">
        <v>138</v>
      </c>
      <c r="K1089" s="10">
        <v>111</v>
      </c>
      <c r="L1089" s="10">
        <v>127</v>
      </c>
      <c r="M1089" s="10">
        <v>19.3</v>
      </c>
      <c r="N1089" s="10">
        <v>2330</v>
      </c>
      <c r="O1089" s="10">
        <v>1</v>
      </c>
      <c r="P1089" s="10">
        <v>2337</v>
      </c>
      <c r="Q1089" s="10">
        <v>265</v>
      </c>
      <c r="R1089" s="10">
        <v>134</v>
      </c>
      <c r="S1089" s="10">
        <v>63</v>
      </c>
      <c r="T1089" s="10">
        <v>519</v>
      </c>
      <c r="U1089" s="10">
        <v>34</v>
      </c>
      <c r="V1089" s="10">
        <v>505</v>
      </c>
      <c r="W1089" s="10">
        <v>0.54</v>
      </c>
      <c r="X1089" s="10">
        <v>244</v>
      </c>
      <c r="Y1089" s="10">
        <v>207</v>
      </c>
      <c r="Z1089" s="10">
        <v>275</v>
      </c>
      <c r="AA1089" s="10">
        <v>3</v>
      </c>
      <c r="AB1089" s="10">
        <v>7.1</v>
      </c>
      <c r="AC1089" s="9" t="s">
        <v>169</v>
      </c>
      <c r="AD1089" s="10"/>
      <c r="AE1089" s="10"/>
      <c r="AF1089" s="10"/>
      <c r="AG1089" s="10"/>
    </row>
    <row r="1090" spans="1:33">
      <c r="A1090" s="7" t="s">
        <v>155</v>
      </c>
      <c r="B1090" s="8" t="s">
        <v>174</v>
      </c>
      <c r="C1090" s="9" t="s">
        <v>175</v>
      </c>
      <c r="D1090" s="10">
        <v>167</v>
      </c>
      <c r="E1090" s="9" t="s">
        <v>163</v>
      </c>
      <c r="F1090" s="10">
        <v>167</v>
      </c>
      <c r="G1090" s="10">
        <v>165.8</v>
      </c>
      <c r="H1090" s="10">
        <v>124</v>
      </c>
      <c r="I1090" s="10">
        <v>129</v>
      </c>
      <c r="J1090" s="10">
        <v>134</v>
      </c>
      <c r="K1090" s="10">
        <v>98</v>
      </c>
      <c r="L1090" s="10">
        <v>116</v>
      </c>
      <c r="M1090" s="10">
        <v>13.6</v>
      </c>
      <c r="N1090" s="9" t="s">
        <v>1155</v>
      </c>
      <c r="O1090" s="9" t="s">
        <v>1155</v>
      </c>
      <c r="P1090" s="10">
        <v>1829</v>
      </c>
      <c r="Q1090" s="10">
        <v>191</v>
      </c>
      <c r="R1090" s="10">
        <v>91</v>
      </c>
      <c r="S1090" s="10">
        <v>52</v>
      </c>
      <c r="T1090" s="10">
        <v>220</v>
      </c>
      <c r="U1090" s="10">
        <v>22</v>
      </c>
      <c r="V1090" s="10">
        <v>203</v>
      </c>
      <c r="W1090" s="10">
        <v>0.41799999999999998</v>
      </c>
      <c r="X1090" s="10">
        <v>218</v>
      </c>
      <c r="Y1090" s="10">
        <v>145</v>
      </c>
      <c r="Z1090" s="10">
        <v>2</v>
      </c>
      <c r="AA1090" s="10">
        <v>10</v>
      </c>
      <c r="AB1090" s="10">
        <v>9.3000000000000007</v>
      </c>
      <c r="AC1090" s="9" t="s">
        <v>160</v>
      </c>
      <c r="AD1090" s="10"/>
      <c r="AE1090" s="10"/>
      <c r="AF1090" s="10"/>
      <c r="AG1090" s="10"/>
    </row>
    <row r="1091" spans="1:33">
      <c r="A1091" s="7" t="s">
        <v>155</v>
      </c>
      <c r="B1091" s="8" t="s">
        <v>174</v>
      </c>
      <c r="C1091" s="9" t="s">
        <v>175</v>
      </c>
      <c r="D1091" s="10">
        <v>174</v>
      </c>
      <c r="E1091" s="9" t="s">
        <v>163</v>
      </c>
      <c r="F1091" s="10">
        <v>174</v>
      </c>
      <c r="G1091" s="10">
        <v>172.6</v>
      </c>
      <c r="H1091" s="10">
        <v>127</v>
      </c>
      <c r="I1091" s="10">
        <v>134</v>
      </c>
      <c r="J1091" s="10">
        <v>135</v>
      </c>
      <c r="K1091" s="10">
        <v>99</v>
      </c>
      <c r="L1091" s="10">
        <v>117</v>
      </c>
      <c r="M1091" s="10">
        <v>14.2</v>
      </c>
      <c r="N1091" s="10">
        <v>1830</v>
      </c>
      <c r="O1091" s="10">
        <v>1.05</v>
      </c>
      <c r="P1091" s="10">
        <v>1919</v>
      </c>
      <c r="Q1091" s="10">
        <v>223</v>
      </c>
      <c r="R1091" s="10">
        <v>109</v>
      </c>
      <c r="S1091" s="10">
        <v>53</v>
      </c>
      <c r="T1091" s="10">
        <v>258</v>
      </c>
      <c r="U1091" s="10">
        <v>19</v>
      </c>
      <c r="V1091" s="10">
        <v>201</v>
      </c>
      <c r="W1091" s="10">
        <v>0.35599999999999998</v>
      </c>
      <c r="X1091" s="10">
        <v>227</v>
      </c>
      <c r="Y1091" s="10">
        <v>155</v>
      </c>
      <c r="Z1091" s="10">
        <v>32</v>
      </c>
      <c r="AA1091" s="10">
        <v>10</v>
      </c>
      <c r="AB1091" s="10">
        <v>10.6</v>
      </c>
      <c r="AC1091" s="9" t="s">
        <v>188</v>
      </c>
      <c r="AD1091" s="10"/>
      <c r="AE1091" s="10"/>
      <c r="AF1091" s="10"/>
      <c r="AG1091" s="10"/>
    </row>
    <row r="1092" spans="1:33">
      <c r="A1092" s="7" t="s">
        <v>155</v>
      </c>
      <c r="B1092" s="8" t="s">
        <v>174</v>
      </c>
      <c r="C1092" s="9" t="s">
        <v>622</v>
      </c>
      <c r="D1092" s="10">
        <v>153</v>
      </c>
      <c r="E1092" s="9" t="s">
        <v>163</v>
      </c>
      <c r="F1092" s="10">
        <v>153</v>
      </c>
      <c r="G1092" s="10">
        <v>152.19999999999999</v>
      </c>
      <c r="H1092" s="10">
        <v>115</v>
      </c>
      <c r="I1092" s="10">
        <v>128</v>
      </c>
      <c r="J1092" s="10">
        <v>127</v>
      </c>
      <c r="K1092" s="10">
        <v>92</v>
      </c>
      <c r="L1092" s="10">
        <v>110</v>
      </c>
      <c r="M1092" s="10">
        <v>13.2</v>
      </c>
      <c r="N1092" s="10">
        <v>1584</v>
      </c>
      <c r="O1092" s="10">
        <v>1</v>
      </c>
      <c r="P1092" s="10">
        <v>1576</v>
      </c>
      <c r="Q1092" s="10">
        <v>160</v>
      </c>
      <c r="R1092" s="10">
        <v>78</v>
      </c>
      <c r="S1092" s="10">
        <v>55</v>
      </c>
      <c r="T1092" s="10">
        <v>262</v>
      </c>
      <c r="U1092" s="10">
        <v>13</v>
      </c>
      <c r="V1092" s="10">
        <v>107</v>
      </c>
      <c r="W1092" s="10">
        <v>0.24</v>
      </c>
      <c r="X1092" s="10">
        <v>136</v>
      </c>
      <c r="Y1092" s="10">
        <v>106</v>
      </c>
      <c r="Z1092" s="10">
        <v>125</v>
      </c>
      <c r="AA1092" s="10">
        <v>10</v>
      </c>
      <c r="AB1092" s="10">
        <v>7.7</v>
      </c>
      <c r="AC1092" s="9" t="s">
        <v>188</v>
      </c>
      <c r="AD1092" s="10"/>
      <c r="AE1092" s="10"/>
      <c r="AF1092" s="10"/>
      <c r="AG1092" s="10"/>
    </row>
    <row r="1093" spans="1:33">
      <c r="A1093" s="7" t="s">
        <v>155</v>
      </c>
      <c r="B1093" s="8" t="s">
        <v>174</v>
      </c>
      <c r="C1093" s="9" t="s">
        <v>622</v>
      </c>
      <c r="D1093" s="10">
        <v>161</v>
      </c>
      <c r="E1093" s="9" t="s">
        <v>163</v>
      </c>
      <c r="F1093" s="10">
        <v>161</v>
      </c>
      <c r="G1093" s="10">
        <v>160.1</v>
      </c>
      <c r="H1093" s="10">
        <v>120</v>
      </c>
      <c r="I1093" s="10">
        <v>134</v>
      </c>
      <c r="J1093" s="10">
        <v>128</v>
      </c>
      <c r="K1093" s="10">
        <v>92</v>
      </c>
      <c r="L1093" s="10">
        <v>111</v>
      </c>
      <c r="M1093" s="10">
        <v>14.4</v>
      </c>
      <c r="N1093" s="10">
        <v>1647</v>
      </c>
      <c r="O1093" s="10">
        <v>1.01</v>
      </c>
      <c r="P1093" s="10">
        <v>1660</v>
      </c>
      <c r="Q1093" s="10">
        <v>170</v>
      </c>
      <c r="R1093" s="10">
        <v>77</v>
      </c>
      <c r="S1093" s="10">
        <v>56</v>
      </c>
      <c r="T1093" s="10">
        <v>278</v>
      </c>
      <c r="U1093" s="10">
        <v>13</v>
      </c>
      <c r="V1093" s="10">
        <v>128</v>
      </c>
      <c r="W1093" s="10">
        <v>0.23100000000000001</v>
      </c>
      <c r="X1093" s="10">
        <v>149</v>
      </c>
      <c r="Y1093" s="10">
        <v>115</v>
      </c>
      <c r="Z1093" s="10">
        <v>129</v>
      </c>
      <c r="AA1093" s="10">
        <v>9</v>
      </c>
      <c r="AB1093" s="10">
        <v>8.9</v>
      </c>
      <c r="AC1093" s="9" t="s">
        <v>188</v>
      </c>
      <c r="AD1093" s="10"/>
      <c r="AE1093" s="10"/>
      <c r="AF1093" s="10"/>
      <c r="AG1093" s="10"/>
    </row>
    <row r="1094" spans="1:33">
      <c r="A1094" s="7" t="s">
        <v>155</v>
      </c>
      <c r="B1094" s="8" t="s">
        <v>174</v>
      </c>
      <c r="C1094" s="9" t="s">
        <v>622</v>
      </c>
      <c r="D1094" s="10">
        <v>169</v>
      </c>
      <c r="E1094" s="9" t="s">
        <v>163</v>
      </c>
      <c r="F1094" s="10">
        <v>169</v>
      </c>
      <c r="G1094" s="10">
        <v>168.6</v>
      </c>
      <c r="H1094" s="10">
        <v>125</v>
      </c>
      <c r="I1094" s="10">
        <v>140</v>
      </c>
      <c r="J1094" s="10">
        <v>129</v>
      </c>
      <c r="K1094" s="10">
        <v>92</v>
      </c>
      <c r="L1094" s="10">
        <v>112</v>
      </c>
      <c r="M1094" s="10">
        <v>15.5</v>
      </c>
      <c r="N1094" s="10">
        <v>1722</v>
      </c>
      <c r="O1094" s="10">
        <v>1.02</v>
      </c>
      <c r="P1094" s="10">
        <v>1752</v>
      </c>
      <c r="Q1094" s="10">
        <v>183</v>
      </c>
      <c r="R1094" s="10">
        <v>82</v>
      </c>
      <c r="S1094" s="10">
        <v>56</v>
      </c>
      <c r="T1094" s="10">
        <v>288</v>
      </c>
      <c r="U1094" s="10">
        <v>13</v>
      </c>
      <c r="V1094" s="10">
        <v>147</v>
      </c>
      <c r="W1094" s="10">
        <v>0.23799999999999999</v>
      </c>
      <c r="X1094" s="10">
        <v>156</v>
      </c>
      <c r="Y1094" s="10">
        <v>128</v>
      </c>
      <c r="Z1094" s="10">
        <v>132</v>
      </c>
      <c r="AA1094" s="10">
        <v>8</v>
      </c>
      <c r="AB1094" s="10">
        <v>9.1</v>
      </c>
      <c r="AC1094" s="9" t="s">
        <v>188</v>
      </c>
      <c r="AD1094" s="10"/>
      <c r="AE1094" s="10"/>
      <c r="AF1094" s="10"/>
      <c r="AG1094" s="10"/>
    </row>
    <row r="1095" spans="1:33">
      <c r="A1095" s="7" t="s">
        <v>155</v>
      </c>
      <c r="B1095" s="8" t="s">
        <v>174</v>
      </c>
      <c r="C1095" s="9" t="s">
        <v>526</v>
      </c>
      <c r="D1095" s="10">
        <v>159</v>
      </c>
      <c r="E1095" s="9" t="s">
        <v>163</v>
      </c>
      <c r="F1095" s="10">
        <v>159</v>
      </c>
      <c r="G1095" s="10">
        <v>158.19999999999999</v>
      </c>
      <c r="H1095" s="10">
        <v>99</v>
      </c>
      <c r="I1095" s="10">
        <v>129</v>
      </c>
      <c r="J1095" s="10">
        <v>136</v>
      </c>
      <c r="K1095" s="10">
        <v>104</v>
      </c>
      <c r="L1095" s="10">
        <v>122</v>
      </c>
      <c r="M1095" s="10">
        <v>16.399999999999999</v>
      </c>
      <c r="N1095" s="10">
        <v>1771</v>
      </c>
      <c r="O1095" s="10">
        <v>1.02</v>
      </c>
      <c r="P1095" s="10">
        <v>1814</v>
      </c>
      <c r="Q1095" s="10">
        <v>176</v>
      </c>
      <c r="R1095" s="10">
        <v>68</v>
      </c>
      <c r="S1095" s="10">
        <v>58</v>
      </c>
      <c r="T1095" s="10">
        <v>340</v>
      </c>
      <c r="U1095" s="10">
        <v>26</v>
      </c>
      <c r="V1095" s="10">
        <v>254</v>
      </c>
      <c r="W1095" s="10">
        <v>0.44500000000000001</v>
      </c>
      <c r="X1095" s="10">
        <v>176</v>
      </c>
      <c r="Y1095" s="10">
        <v>113</v>
      </c>
      <c r="Z1095" s="10">
        <v>164</v>
      </c>
      <c r="AA1095" s="10">
        <v>5</v>
      </c>
      <c r="AB1095" s="10">
        <v>9.6</v>
      </c>
      <c r="AC1095" s="9" t="s">
        <v>188</v>
      </c>
      <c r="AD1095" s="9" t="s">
        <v>169</v>
      </c>
      <c r="AE1095" s="10"/>
      <c r="AF1095" s="10"/>
      <c r="AG1095" s="10"/>
    </row>
    <row r="1096" spans="1:33">
      <c r="A1096" s="7" t="s">
        <v>155</v>
      </c>
      <c r="B1096" s="8" t="s">
        <v>174</v>
      </c>
      <c r="C1096" s="9" t="s">
        <v>526</v>
      </c>
      <c r="D1096" s="10">
        <v>167</v>
      </c>
      <c r="E1096" s="9" t="s">
        <v>163</v>
      </c>
      <c r="F1096" s="10">
        <v>167</v>
      </c>
      <c r="G1096" s="10">
        <v>166.4</v>
      </c>
      <c r="H1096" s="10">
        <v>105</v>
      </c>
      <c r="I1096" s="10">
        <v>136</v>
      </c>
      <c r="J1096" s="10">
        <v>136</v>
      </c>
      <c r="K1096" s="10">
        <v>104</v>
      </c>
      <c r="L1096" s="10">
        <v>123</v>
      </c>
      <c r="M1096" s="10">
        <v>17.600000000000001</v>
      </c>
      <c r="N1096" s="10">
        <v>1843</v>
      </c>
      <c r="O1096" s="10">
        <v>1.04</v>
      </c>
      <c r="P1096" s="10">
        <v>1912</v>
      </c>
      <c r="Q1096" s="10">
        <v>207</v>
      </c>
      <c r="R1096" s="10">
        <v>85</v>
      </c>
      <c r="S1096" s="10">
        <v>56</v>
      </c>
      <c r="T1096" s="10">
        <v>343</v>
      </c>
      <c r="U1096" s="10">
        <v>24</v>
      </c>
      <c r="V1096" s="10">
        <v>266</v>
      </c>
      <c r="W1096" s="10">
        <v>0.436</v>
      </c>
      <c r="X1096" s="10">
        <v>186</v>
      </c>
      <c r="Y1096" s="10">
        <v>115</v>
      </c>
      <c r="Z1096" s="10">
        <v>158</v>
      </c>
      <c r="AA1096" s="10">
        <v>6</v>
      </c>
      <c r="AB1096" s="10">
        <v>9.9</v>
      </c>
      <c r="AC1096" s="9" t="s">
        <v>188</v>
      </c>
      <c r="AD1096" s="9" t="s">
        <v>169</v>
      </c>
      <c r="AE1096" s="10"/>
      <c r="AF1096" s="10"/>
      <c r="AG1096" s="10"/>
    </row>
    <row r="1097" spans="1:33">
      <c r="A1097" s="7" t="s">
        <v>155</v>
      </c>
      <c r="B1097" s="8" t="s">
        <v>174</v>
      </c>
      <c r="C1097" s="9" t="s">
        <v>736</v>
      </c>
      <c r="D1097" s="10">
        <v>156</v>
      </c>
      <c r="E1097" s="9" t="s">
        <v>158</v>
      </c>
      <c r="F1097" s="10">
        <v>156</v>
      </c>
      <c r="G1097" s="10">
        <v>155.30000000000001</v>
      </c>
      <c r="H1097" s="10">
        <v>132</v>
      </c>
      <c r="I1097" s="10">
        <v>143</v>
      </c>
      <c r="J1097" s="10">
        <v>126</v>
      </c>
      <c r="K1097" s="10">
        <v>80</v>
      </c>
      <c r="L1097" s="10">
        <v>109</v>
      </c>
      <c r="M1097" s="10">
        <v>12.9</v>
      </c>
      <c r="N1097" s="10">
        <v>1853</v>
      </c>
      <c r="O1097" s="10">
        <v>0.79</v>
      </c>
      <c r="P1097" s="10">
        <v>1472</v>
      </c>
      <c r="Q1097" s="10">
        <v>180</v>
      </c>
      <c r="R1097" s="10">
        <v>84</v>
      </c>
      <c r="S1097" s="10">
        <v>40</v>
      </c>
      <c r="T1097" s="10">
        <v>151</v>
      </c>
      <c r="U1097" s="10">
        <v>4</v>
      </c>
      <c r="V1097" s="10">
        <v>79</v>
      </c>
      <c r="W1097" s="10">
        <v>8.7999999999999995E-2</v>
      </c>
      <c r="X1097" s="10">
        <v>86</v>
      </c>
      <c r="Y1097" s="10">
        <v>33</v>
      </c>
      <c r="Z1097" s="10">
        <v>66</v>
      </c>
      <c r="AA1097" s="10">
        <v>8</v>
      </c>
      <c r="AB1097" s="10">
        <v>10.5</v>
      </c>
      <c r="AC1097" s="9" t="s">
        <v>349</v>
      </c>
      <c r="AD1097" s="10"/>
      <c r="AE1097" s="10"/>
      <c r="AF1097" s="10"/>
      <c r="AG1097" s="10"/>
    </row>
    <row r="1098" spans="1:33">
      <c r="A1098" s="7" t="s">
        <v>155</v>
      </c>
      <c r="B1098" s="8" t="s">
        <v>174</v>
      </c>
      <c r="C1098" s="9" t="s">
        <v>736</v>
      </c>
      <c r="D1098" s="10">
        <v>170</v>
      </c>
      <c r="E1098" s="9" t="s">
        <v>158</v>
      </c>
      <c r="F1098" s="10">
        <v>170</v>
      </c>
      <c r="G1098" s="10">
        <v>169.4</v>
      </c>
      <c r="H1098" s="10">
        <v>142</v>
      </c>
      <c r="I1098" s="10">
        <v>156</v>
      </c>
      <c r="J1098" s="10">
        <v>127</v>
      </c>
      <c r="K1098" s="10">
        <v>80</v>
      </c>
      <c r="L1098" s="10">
        <v>109</v>
      </c>
      <c r="M1098" s="10">
        <v>15.2</v>
      </c>
      <c r="N1098" s="10">
        <v>2185</v>
      </c>
      <c r="O1098" s="10">
        <v>0.74</v>
      </c>
      <c r="P1098" s="10">
        <v>1608</v>
      </c>
      <c r="Q1098" s="10">
        <v>254</v>
      </c>
      <c r="R1098" s="10">
        <v>116</v>
      </c>
      <c r="S1098" s="10">
        <v>44</v>
      </c>
      <c r="T1098" s="10">
        <v>188</v>
      </c>
      <c r="U1098" s="10">
        <v>4</v>
      </c>
      <c r="V1098" s="10">
        <v>87</v>
      </c>
      <c r="W1098" s="10">
        <v>8.5000000000000006E-2</v>
      </c>
      <c r="X1098" s="10">
        <v>88</v>
      </c>
      <c r="Y1098" s="10">
        <v>45</v>
      </c>
      <c r="Z1098" s="10">
        <v>100</v>
      </c>
      <c r="AA1098" s="10">
        <v>7</v>
      </c>
      <c r="AB1098" s="10">
        <v>11.6</v>
      </c>
      <c r="AC1098" s="9" t="s">
        <v>349</v>
      </c>
      <c r="AD1098" s="9" t="s">
        <v>188</v>
      </c>
      <c r="AE1098" s="10"/>
      <c r="AF1098" s="10"/>
      <c r="AG1098" s="10"/>
    </row>
    <row r="1099" spans="1:33">
      <c r="A1099" s="7" t="s">
        <v>155</v>
      </c>
      <c r="B1099" s="8" t="s">
        <v>174</v>
      </c>
      <c r="C1099" s="9" t="s">
        <v>860</v>
      </c>
      <c r="D1099" s="10">
        <v>163</v>
      </c>
      <c r="E1099" s="9" t="s">
        <v>158</v>
      </c>
      <c r="F1099" s="10">
        <v>163</v>
      </c>
      <c r="G1099" s="10">
        <v>162</v>
      </c>
      <c r="H1099" s="10">
        <v>140</v>
      </c>
      <c r="I1099" s="10">
        <v>149</v>
      </c>
      <c r="J1099" s="10">
        <v>127</v>
      </c>
      <c r="K1099" s="10">
        <v>80</v>
      </c>
      <c r="L1099" s="10">
        <v>111</v>
      </c>
      <c r="M1099" s="10">
        <v>14</v>
      </c>
      <c r="N1099" s="10">
        <v>2091</v>
      </c>
      <c r="O1099" s="10">
        <v>0.74</v>
      </c>
      <c r="P1099" s="10">
        <v>1549</v>
      </c>
      <c r="Q1099" s="10">
        <v>186</v>
      </c>
      <c r="R1099" s="10">
        <v>125</v>
      </c>
      <c r="S1099" s="10">
        <v>43</v>
      </c>
      <c r="T1099" s="10">
        <v>169</v>
      </c>
      <c r="U1099" s="10">
        <v>4</v>
      </c>
      <c r="V1099" s="10">
        <v>53</v>
      </c>
      <c r="W1099" s="10">
        <v>0.10299999999999999</v>
      </c>
      <c r="X1099" s="10">
        <v>87</v>
      </c>
      <c r="Y1099" s="10">
        <v>40</v>
      </c>
      <c r="Z1099" s="10">
        <v>82</v>
      </c>
      <c r="AA1099" s="10">
        <v>11</v>
      </c>
      <c r="AB1099" s="10">
        <v>11.7</v>
      </c>
      <c r="AC1099" s="9" t="s">
        <v>349</v>
      </c>
      <c r="AD1099" s="9" t="s">
        <v>188</v>
      </c>
      <c r="AE1099" s="10"/>
      <c r="AF1099" s="10"/>
      <c r="AG1099" s="10"/>
    </row>
    <row r="1100" spans="1:33">
      <c r="A1100" s="7" t="s">
        <v>155</v>
      </c>
      <c r="B1100" s="8" t="s">
        <v>174</v>
      </c>
      <c r="C1100" s="9" t="s">
        <v>892</v>
      </c>
      <c r="D1100" s="10">
        <v>165</v>
      </c>
      <c r="E1100" s="9" t="s">
        <v>158</v>
      </c>
      <c r="F1100" s="10">
        <v>165</v>
      </c>
      <c r="G1100" s="10">
        <v>164.4</v>
      </c>
      <c r="H1100" s="10">
        <v>145</v>
      </c>
      <c r="I1100" s="10">
        <v>153</v>
      </c>
      <c r="J1100" s="10">
        <v>121</v>
      </c>
      <c r="K1100" s="10">
        <v>72</v>
      </c>
      <c r="L1100" s="10">
        <v>107</v>
      </c>
      <c r="M1100" s="10">
        <v>14.2</v>
      </c>
      <c r="N1100" s="10">
        <v>1991</v>
      </c>
      <c r="O1100" s="10">
        <v>0.73</v>
      </c>
      <c r="P1100" s="10">
        <v>1450</v>
      </c>
      <c r="Q1100" s="10">
        <v>222</v>
      </c>
      <c r="R1100" s="10">
        <v>146</v>
      </c>
      <c r="S1100" s="10">
        <v>36</v>
      </c>
      <c r="T1100" s="10">
        <v>138</v>
      </c>
      <c r="U1100" s="10">
        <v>4</v>
      </c>
      <c r="V1100" s="10">
        <v>51</v>
      </c>
      <c r="W1100" s="10">
        <v>0.11</v>
      </c>
      <c r="X1100" s="10">
        <v>79</v>
      </c>
      <c r="Y1100" s="10">
        <v>31</v>
      </c>
      <c r="Z1100" s="10">
        <v>60</v>
      </c>
      <c r="AA1100" s="10">
        <v>13</v>
      </c>
      <c r="AB1100" s="10">
        <v>11.3</v>
      </c>
      <c r="AC1100" s="9" t="s">
        <v>349</v>
      </c>
      <c r="AD1100" s="10"/>
      <c r="AE1100" s="10"/>
      <c r="AF1100" s="10"/>
      <c r="AG1100" s="10"/>
    </row>
    <row r="1101" spans="1:33">
      <c r="A1101" s="7" t="s">
        <v>155</v>
      </c>
      <c r="B1101" s="8" t="s">
        <v>174</v>
      </c>
      <c r="C1101" s="9" t="s">
        <v>892</v>
      </c>
      <c r="D1101" s="10">
        <v>170</v>
      </c>
      <c r="E1101" s="9" t="s">
        <v>158</v>
      </c>
      <c r="F1101" s="10">
        <v>170</v>
      </c>
      <c r="G1101" s="10">
        <v>169.4</v>
      </c>
      <c r="H1101" s="10">
        <v>151</v>
      </c>
      <c r="I1101" s="10">
        <v>159</v>
      </c>
      <c r="J1101" s="10">
        <v>121</v>
      </c>
      <c r="K1101" s="10">
        <v>72</v>
      </c>
      <c r="L1101" s="10">
        <v>106</v>
      </c>
      <c r="M1101" s="10">
        <v>15</v>
      </c>
      <c r="N1101" s="10">
        <v>2055</v>
      </c>
      <c r="O1101" s="10">
        <v>0.73</v>
      </c>
      <c r="P1101" s="10">
        <v>1494</v>
      </c>
      <c r="Q1101" s="10">
        <v>233</v>
      </c>
      <c r="R1101" s="10">
        <v>150</v>
      </c>
      <c r="S1101" s="10">
        <v>32</v>
      </c>
      <c r="T1101" s="10">
        <v>132</v>
      </c>
      <c r="U1101" s="10">
        <v>4</v>
      </c>
      <c r="V1101" s="10">
        <v>53</v>
      </c>
      <c r="W1101" s="10">
        <v>0.13400000000000001</v>
      </c>
      <c r="X1101" s="10">
        <v>73</v>
      </c>
      <c r="Y1101" s="10">
        <v>32</v>
      </c>
      <c r="Z1101" s="10">
        <v>59</v>
      </c>
      <c r="AA1101" s="10">
        <v>13</v>
      </c>
      <c r="AB1101" s="10">
        <v>11.6</v>
      </c>
      <c r="AC1101" s="9" t="s">
        <v>349</v>
      </c>
      <c r="AD1101" s="10"/>
      <c r="AE1101" s="10"/>
      <c r="AF1101" s="10"/>
      <c r="AG1101" s="10"/>
    </row>
    <row r="1102" spans="1:33">
      <c r="A1102" s="7" t="s">
        <v>155</v>
      </c>
      <c r="B1102" s="8" t="s">
        <v>174</v>
      </c>
      <c r="C1102" s="9" t="s">
        <v>892</v>
      </c>
      <c r="D1102" s="10">
        <v>175</v>
      </c>
      <c r="E1102" s="9" t="s">
        <v>158</v>
      </c>
      <c r="F1102" s="10">
        <v>175</v>
      </c>
      <c r="G1102" s="10">
        <v>174.2</v>
      </c>
      <c r="H1102" s="10">
        <v>155</v>
      </c>
      <c r="I1102" s="10">
        <v>163</v>
      </c>
      <c r="J1102" s="10">
        <v>121</v>
      </c>
      <c r="K1102" s="10">
        <v>72</v>
      </c>
      <c r="L1102" s="10">
        <v>107</v>
      </c>
      <c r="M1102" s="10">
        <v>15.8</v>
      </c>
      <c r="N1102" s="10">
        <v>2067</v>
      </c>
      <c r="O1102" s="10">
        <v>0.74</v>
      </c>
      <c r="P1102" s="10">
        <v>1533</v>
      </c>
      <c r="Q1102" s="10">
        <v>236</v>
      </c>
      <c r="R1102" s="10">
        <v>149</v>
      </c>
      <c r="S1102" s="10">
        <v>37</v>
      </c>
      <c r="T1102" s="10">
        <v>137</v>
      </c>
      <c r="U1102" s="10">
        <v>5</v>
      </c>
      <c r="V1102" s="10">
        <v>51</v>
      </c>
      <c r="W1102" s="10">
        <v>0.127</v>
      </c>
      <c r="X1102" s="10">
        <v>80</v>
      </c>
      <c r="Y1102" s="10">
        <v>34</v>
      </c>
      <c r="Z1102" s="10">
        <v>58</v>
      </c>
      <c r="AA1102" s="10">
        <v>13</v>
      </c>
      <c r="AB1102" s="10">
        <v>12</v>
      </c>
      <c r="AC1102" s="9" t="s">
        <v>349</v>
      </c>
      <c r="AD1102" s="10"/>
      <c r="AE1102" s="10"/>
      <c r="AF1102" s="10"/>
      <c r="AG1102" s="10"/>
    </row>
    <row r="1103" spans="1:33">
      <c r="A1103" s="7" t="s">
        <v>155</v>
      </c>
      <c r="B1103" s="8" t="s">
        <v>174</v>
      </c>
      <c r="C1103" s="9" t="s">
        <v>672</v>
      </c>
      <c r="D1103" s="10">
        <v>160</v>
      </c>
      <c r="E1103" s="9" t="s">
        <v>158</v>
      </c>
      <c r="F1103" s="10">
        <v>160</v>
      </c>
      <c r="G1103" s="10">
        <v>159.5</v>
      </c>
      <c r="H1103" s="10">
        <v>139</v>
      </c>
      <c r="I1103" s="10">
        <v>148</v>
      </c>
      <c r="J1103" s="10">
        <v>119</v>
      </c>
      <c r="K1103" s="10">
        <v>73</v>
      </c>
      <c r="L1103" s="10">
        <v>102</v>
      </c>
      <c r="M1103" s="10">
        <v>13.8</v>
      </c>
      <c r="N1103" s="10">
        <v>1901</v>
      </c>
      <c r="O1103" s="10">
        <v>0.74</v>
      </c>
      <c r="P1103" s="10">
        <v>1404</v>
      </c>
      <c r="Q1103" s="10">
        <v>207</v>
      </c>
      <c r="R1103" s="10">
        <v>91</v>
      </c>
      <c r="S1103" s="10">
        <v>31</v>
      </c>
      <c r="T1103" s="10">
        <v>130</v>
      </c>
      <c r="U1103" s="10">
        <v>5</v>
      </c>
      <c r="V1103" s="10">
        <v>77</v>
      </c>
      <c r="W1103" s="10">
        <v>0.14599999999999999</v>
      </c>
      <c r="X1103" s="10">
        <v>84</v>
      </c>
      <c r="Y1103" s="10">
        <v>32</v>
      </c>
      <c r="Z1103" s="10">
        <v>45</v>
      </c>
      <c r="AA1103" s="10">
        <v>9</v>
      </c>
      <c r="AB1103" s="10">
        <v>11.1</v>
      </c>
      <c r="AC1103" s="9" t="s">
        <v>349</v>
      </c>
      <c r="AD1103" s="10"/>
      <c r="AE1103" s="10"/>
      <c r="AF1103" s="10"/>
      <c r="AG1103" s="10"/>
    </row>
    <row r="1104" spans="1:33">
      <c r="A1104" s="7" t="s">
        <v>155</v>
      </c>
      <c r="B1104" s="8" t="s">
        <v>174</v>
      </c>
      <c r="C1104" s="9" t="s">
        <v>672</v>
      </c>
      <c r="D1104" s="10">
        <v>165</v>
      </c>
      <c r="E1104" s="9" t="s">
        <v>158</v>
      </c>
      <c r="F1104" s="10">
        <v>165</v>
      </c>
      <c r="G1104" s="10">
        <v>164.4</v>
      </c>
      <c r="H1104" s="10">
        <v>145</v>
      </c>
      <c r="I1104" s="10">
        <v>152</v>
      </c>
      <c r="J1104" s="10">
        <v>120</v>
      </c>
      <c r="K1104" s="10">
        <v>73</v>
      </c>
      <c r="L1104" s="10">
        <v>103</v>
      </c>
      <c r="M1104" s="10">
        <v>14.5</v>
      </c>
      <c r="N1104" s="10">
        <v>1962</v>
      </c>
      <c r="O1104" s="10">
        <v>0.74</v>
      </c>
      <c r="P1104" s="10">
        <v>1451</v>
      </c>
      <c r="Q1104" s="10">
        <v>195</v>
      </c>
      <c r="R1104" s="10">
        <v>91</v>
      </c>
      <c r="S1104" s="10">
        <v>32</v>
      </c>
      <c r="T1104" s="10">
        <v>130</v>
      </c>
      <c r="U1104" s="10">
        <v>4</v>
      </c>
      <c r="V1104" s="10">
        <v>68</v>
      </c>
      <c r="W1104" s="10">
        <v>0.13800000000000001</v>
      </c>
      <c r="X1104" s="10">
        <v>86</v>
      </c>
      <c r="Y1104" s="10">
        <v>35</v>
      </c>
      <c r="Z1104" s="10">
        <v>43</v>
      </c>
      <c r="AA1104" s="10">
        <v>12</v>
      </c>
      <c r="AB1104" s="10">
        <v>11.1</v>
      </c>
      <c r="AC1104" s="9" t="s">
        <v>349</v>
      </c>
      <c r="AD1104" s="10"/>
      <c r="AE1104" s="10"/>
      <c r="AF1104" s="10"/>
      <c r="AG1104" s="10"/>
    </row>
    <row r="1105" spans="1:33">
      <c r="A1105" s="7" t="s">
        <v>155</v>
      </c>
      <c r="B1105" s="8" t="s">
        <v>174</v>
      </c>
      <c r="C1105" s="9" t="s">
        <v>672</v>
      </c>
      <c r="D1105" s="10">
        <v>170</v>
      </c>
      <c r="E1105" s="9" t="s">
        <v>158</v>
      </c>
      <c r="F1105" s="10">
        <v>170</v>
      </c>
      <c r="G1105" s="10">
        <v>169.4</v>
      </c>
      <c r="H1105" s="10">
        <v>149</v>
      </c>
      <c r="I1105" s="10">
        <v>158</v>
      </c>
      <c r="J1105" s="10">
        <v>121</v>
      </c>
      <c r="K1105" s="10">
        <v>72</v>
      </c>
      <c r="L1105" s="10">
        <v>104</v>
      </c>
      <c r="M1105" s="10">
        <v>14.6</v>
      </c>
      <c r="N1105" s="10">
        <v>2037</v>
      </c>
      <c r="O1105" s="10">
        <v>0.73</v>
      </c>
      <c r="P1105" s="10">
        <v>1494</v>
      </c>
      <c r="Q1105" s="10">
        <v>234</v>
      </c>
      <c r="R1105" s="10">
        <v>102</v>
      </c>
      <c r="S1105" s="10">
        <v>30</v>
      </c>
      <c r="T1105" s="10">
        <v>130</v>
      </c>
      <c r="U1105" s="10">
        <v>4</v>
      </c>
      <c r="V1105" s="10">
        <v>71</v>
      </c>
      <c r="W1105" s="10">
        <v>0.14599999999999999</v>
      </c>
      <c r="X1105" s="10">
        <v>81</v>
      </c>
      <c r="Y1105" s="10">
        <v>38</v>
      </c>
      <c r="Z1105" s="10">
        <v>49</v>
      </c>
      <c r="AA1105" s="10">
        <v>11</v>
      </c>
      <c r="AB1105" s="10">
        <v>11.4</v>
      </c>
      <c r="AC1105" s="9" t="s">
        <v>349</v>
      </c>
      <c r="AD1105" s="10"/>
      <c r="AE1105" s="10"/>
      <c r="AF1105" s="10"/>
      <c r="AG1105" s="10"/>
    </row>
    <row r="1106" spans="1:33">
      <c r="A1106" s="7" t="s">
        <v>155</v>
      </c>
      <c r="B1106" s="8" t="s">
        <v>174</v>
      </c>
      <c r="C1106" s="9" t="s">
        <v>177</v>
      </c>
      <c r="D1106" s="10">
        <v>176</v>
      </c>
      <c r="E1106" s="9" t="s">
        <v>158</v>
      </c>
      <c r="F1106" s="10">
        <v>176</v>
      </c>
      <c r="G1106" s="10">
        <v>175.6</v>
      </c>
      <c r="H1106" s="10">
        <v>117</v>
      </c>
      <c r="I1106" s="10">
        <v>151</v>
      </c>
      <c r="J1106" s="10">
        <v>131</v>
      </c>
      <c r="K1106" s="10">
        <v>102</v>
      </c>
      <c r="L1106" s="10">
        <v>119</v>
      </c>
      <c r="M1106" s="10">
        <v>23.5</v>
      </c>
      <c r="N1106" s="9" t="s">
        <v>1155</v>
      </c>
      <c r="O1106" s="9" t="s">
        <v>1155</v>
      </c>
      <c r="P1106" s="10">
        <v>1939</v>
      </c>
      <c r="Q1106" s="10">
        <v>197</v>
      </c>
      <c r="R1106" s="10">
        <v>123</v>
      </c>
      <c r="S1106" s="10">
        <v>49</v>
      </c>
      <c r="T1106" s="10">
        <v>345</v>
      </c>
      <c r="U1106" s="10">
        <v>8</v>
      </c>
      <c r="V1106" s="10">
        <v>244</v>
      </c>
      <c r="W1106" s="10">
        <v>0.16300000000000001</v>
      </c>
      <c r="X1106" s="10">
        <v>134</v>
      </c>
      <c r="Y1106" s="10">
        <v>108</v>
      </c>
      <c r="Z1106" s="10">
        <v>212</v>
      </c>
      <c r="AA1106" s="10">
        <v>8</v>
      </c>
      <c r="AB1106" s="10">
        <v>10.5</v>
      </c>
      <c r="AC1106" s="9" t="s">
        <v>178</v>
      </c>
      <c r="AD1106" s="10"/>
      <c r="AE1106" s="10"/>
      <c r="AF1106" s="10"/>
      <c r="AG1106" s="10"/>
    </row>
    <row r="1107" spans="1:33">
      <c r="A1107" s="7" t="s">
        <v>155</v>
      </c>
      <c r="B1107" s="8" t="s">
        <v>174</v>
      </c>
      <c r="C1107" s="9" t="s">
        <v>177</v>
      </c>
      <c r="D1107" s="10">
        <v>183</v>
      </c>
      <c r="E1107" s="9" t="s">
        <v>158</v>
      </c>
      <c r="F1107" s="10">
        <v>183</v>
      </c>
      <c r="G1107" s="10">
        <v>182.5</v>
      </c>
      <c r="H1107" s="10">
        <v>119</v>
      </c>
      <c r="I1107" s="10">
        <v>158</v>
      </c>
      <c r="J1107" s="10">
        <v>133</v>
      </c>
      <c r="K1107" s="10">
        <v>101</v>
      </c>
      <c r="L1107" s="10">
        <v>120</v>
      </c>
      <c r="M1107" s="10">
        <v>23.9</v>
      </c>
      <c r="N1107" s="9" t="s">
        <v>1155</v>
      </c>
      <c r="O1107" s="9" t="s">
        <v>1155</v>
      </c>
      <c r="P1107" s="10">
        <v>2026</v>
      </c>
      <c r="Q1107" s="10">
        <v>218</v>
      </c>
      <c r="R1107" s="10">
        <v>139</v>
      </c>
      <c r="S1107" s="10">
        <v>48</v>
      </c>
      <c r="T1107" s="10">
        <v>369</v>
      </c>
      <c r="U1107" s="10">
        <v>4</v>
      </c>
      <c r="V1107" s="10">
        <v>263</v>
      </c>
      <c r="W1107" s="10">
        <v>8.1000000000000003E-2</v>
      </c>
      <c r="X1107" s="10">
        <v>142</v>
      </c>
      <c r="Y1107" s="10">
        <v>106</v>
      </c>
      <c r="Z1107" s="10">
        <v>227</v>
      </c>
      <c r="AA1107" s="10">
        <v>7</v>
      </c>
      <c r="AB1107" s="10">
        <v>10.6</v>
      </c>
      <c r="AC1107" s="9" t="s">
        <v>178</v>
      </c>
      <c r="AD1107" s="10"/>
      <c r="AE1107" s="10"/>
      <c r="AF1107" s="10"/>
      <c r="AG1107" s="10"/>
    </row>
    <row r="1108" spans="1:33">
      <c r="A1108" s="7" t="s">
        <v>155</v>
      </c>
      <c r="B1108" s="8" t="s">
        <v>174</v>
      </c>
      <c r="C1108" s="9" t="s">
        <v>177</v>
      </c>
      <c r="D1108" s="10">
        <v>190</v>
      </c>
      <c r="E1108" s="9" t="s">
        <v>158</v>
      </c>
      <c r="F1108" s="10">
        <v>190</v>
      </c>
      <c r="G1108" s="10">
        <v>189.9</v>
      </c>
      <c r="H1108" s="10">
        <v>141</v>
      </c>
      <c r="I1108" s="10">
        <v>165</v>
      </c>
      <c r="J1108" s="10">
        <v>133</v>
      </c>
      <c r="K1108" s="10">
        <v>102</v>
      </c>
      <c r="L1108" s="10">
        <v>120</v>
      </c>
      <c r="M1108" s="10">
        <v>25.8</v>
      </c>
      <c r="N1108" s="9" t="s">
        <v>1155</v>
      </c>
      <c r="O1108" s="9" t="s">
        <v>1155</v>
      </c>
      <c r="P1108" s="10">
        <v>2108</v>
      </c>
      <c r="Q1108" s="10">
        <v>254</v>
      </c>
      <c r="R1108" s="10">
        <v>158</v>
      </c>
      <c r="S1108" s="10">
        <v>46</v>
      </c>
      <c r="T1108" s="10">
        <v>379</v>
      </c>
      <c r="U1108" s="10">
        <v>4</v>
      </c>
      <c r="V1108" s="10">
        <v>107</v>
      </c>
      <c r="W1108" s="10">
        <v>8.5000000000000006E-2</v>
      </c>
      <c r="X1108" s="10">
        <v>142</v>
      </c>
      <c r="Y1108" s="10">
        <v>111</v>
      </c>
      <c r="Z1108" s="10">
        <v>237</v>
      </c>
      <c r="AA1108" s="10">
        <v>9</v>
      </c>
      <c r="AB1108" s="10">
        <v>9.8000000000000007</v>
      </c>
      <c r="AC1108" s="9" t="s">
        <v>178</v>
      </c>
      <c r="AD1108" s="10"/>
      <c r="AE1108" s="10"/>
      <c r="AF1108" s="10"/>
      <c r="AG1108" s="10"/>
    </row>
    <row r="1109" spans="1:33">
      <c r="A1109" s="7" t="s">
        <v>155</v>
      </c>
      <c r="B1109" s="8" t="s">
        <v>174</v>
      </c>
      <c r="C1109" s="9" t="s">
        <v>343</v>
      </c>
      <c r="D1109" s="10">
        <v>161</v>
      </c>
      <c r="E1109" s="9" t="s">
        <v>158</v>
      </c>
      <c r="F1109" s="10">
        <v>161</v>
      </c>
      <c r="G1109" s="10">
        <v>160</v>
      </c>
      <c r="H1109" s="10">
        <v>121</v>
      </c>
      <c r="I1109" s="10">
        <v>132</v>
      </c>
      <c r="J1109" s="10">
        <v>120</v>
      </c>
      <c r="K1109" s="10">
        <v>83</v>
      </c>
      <c r="L1109" s="10">
        <v>104</v>
      </c>
      <c r="M1109" s="10">
        <v>13.7</v>
      </c>
      <c r="N1109" s="10">
        <v>1417</v>
      </c>
      <c r="O1109" s="10">
        <v>1.0900000000000001</v>
      </c>
      <c r="P1109" s="10">
        <v>1542</v>
      </c>
      <c r="Q1109" s="10">
        <v>157</v>
      </c>
      <c r="R1109" s="10">
        <v>71</v>
      </c>
      <c r="S1109" s="10">
        <v>51</v>
      </c>
      <c r="T1109" s="10">
        <v>216</v>
      </c>
      <c r="U1109" s="10">
        <v>9</v>
      </c>
      <c r="V1109" s="10">
        <v>170</v>
      </c>
      <c r="W1109" s="10">
        <v>0.17599999999999999</v>
      </c>
      <c r="X1109" s="10">
        <v>162</v>
      </c>
      <c r="Y1109" s="10">
        <v>118</v>
      </c>
      <c r="Z1109" s="10">
        <v>54</v>
      </c>
      <c r="AA1109" s="10">
        <v>6</v>
      </c>
      <c r="AB1109" s="10">
        <v>8.9</v>
      </c>
      <c r="AC1109" s="9" t="s">
        <v>231</v>
      </c>
      <c r="AD1109" s="9" t="s">
        <v>188</v>
      </c>
      <c r="AE1109" s="9" t="s">
        <v>185</v>
      </c>
      <c r="AF1109" s="10"/>
      <c r="AG1109" s="10"/>
    </row>
    <row r="1110" spans="1:33">
      <c r="A1110" s="7" t="s">
        <v>155</v>
      </c>
      <c r="B1110" s="8" t="s">
        <v>174</v>
      </c>
      <c r="C1110" s="9" t="s">
        <v>343</v>
      </c>
      <c r="D1110" s="10">
        <v>169</v>
      </c>
      <c r="E1110" s="9" t="s">
        <v>158</v>
      </c>
      <c r="F1110" s="10">
        <v>169</v>
      </c>
      <c r="G1110" s="10">
        <v>168</v>
      </c>
      <c r="H1110" s="10">
        <v>122</v>
      </c>
      <c r="I1110" s="10">
        <v>140</v>
      </c>
      <c r="J1110" s="10">
        <v>121</v>
      </c>
      <c r="K1110" s="10">
        <v>83</v>
      </c>
      <c r="L1110" s="10">
        <v>104</v>
      </c>
      <c r="M1110" s="10">
        <v>15</v>
      </c>
      <c r="N1110" s="10">
        <v>1513</v>
      </c>
      <c r="O1110" s="10">
        <v>1.07</v>
      </c>
      <c r="P1110" s="10">
        <v>1623</v>
      </c>
      <c r="Q1110" s="10">
        <v>179</v>
      </c>
      <c r="R1110" s="10">
        <v>77</v>
      </c>
      <c r="S1110" s="10">
        <v>52</v>
      </c>
      <c r="T1110" s="10">
        <v>251</v>
      </c>
      <c r="U1110" s="10">
        <v>13</v>
      </c>
      <c r="V1110" s="10">
        <v>206</v>
      </c>
      <c r="W1110" s="10">
        <v>0.245</v>
      </c>
      <c r="X1110" s="10">
        <v>163</v>
      </c>
      <c r="Y1110" s="10">
        <v>117</v>
      </c>
      <c r="Z1110" s="10">
        <v>88</v>
      </c>
      <c r="AA1110" s="10">
        <v>6</v>
      </c>
      <c r="AB1110" s="10">
        <v>10.1</v>
      </c>
      <c r="AC1110" s="9" t="s">
        <v>231</v>
      </c>
      <c r="AD1110" s="9" t="s">
        <v>188</v>
      </c>
      <c r="AE1110" s="9" t="s">
        <v>185</v>
      </c>
      <c r="AF1110" s="10"/>
      <c r="AG1110" s="10"/>
    </row>
    <row r="1111" spans="1:33">
      <c r="A1111" s="7" t="s">
        <v>155</v>
      </c>
      <c r="B1111" s="8" t="s">
        <v>174</v>
      </c>
      <c r="C1111" s="9" t="s">
        <v>343</v>
      </c>
      <c r="D1111" s="10">
        <v>177</v>
      </c>
      <c r="E1111" s="9" t="s">
        <v>158</v>
      </c>
      <c r="F1111" s="10">
        <v>177</v>
      </c>
      <c r="G1111" s="10">
        <v>175.9</v>
      </c>
      <c r="H1111" s="10">
        <v>131</v>
      </c>
      <c r="I1111" s="10">
        <v>148</v>
      </c>
      <c r="J1111" s="10">
        <v>122</v>
      </c>
      <c r="K1111" s="10">
        <v>84</v>
      </c>
      <c r="L1111" s="10">
        <v>105</v>
      </c>
      <c r="M1111" s="10">
        <v>16.2</v>
      </c>
      <c r="N1111" s="10">
        <v>1616</v>
      </c>
      <c r="O1111" s="10">
        <v>1.06</v>
      </c>
      <c r="P1111" s="10">
        <v>1708</v>
      </c>
      <c r="Q1111" s="10">
        <v>205</v>
      </c>
      <c r="R1111" s="10">
        <v>88</v>
      </c>
      <c r="S1111" s="10">
        <v>49</v>
      </c>
      <c r="T1111" s="10">
        <v>256</v>
      </c>
      <c r="U1111" s="10">
        <v>12</v>
      </c>
      <c r="V1111" s="10">
        <v>198</v>
      </c>
      <c r="W1111" s="10">
        <v>0.23799999999999999</v>
      </c>
      <c r="X1111" s="10">
        <v>162</v>
      </c>
      <c r="Y1111" s="10">
        <v>115</v>
      </c>
      <c r="Z1111" s="10">
        <v>93</v>
      </c>
      <c r="AA1111" s="10">
        <v>7</v>
      </c>
      <c r="AB1111" s="10">
        <v>9.9</v>
      </c>
      <c r="AC1111" s="9" t="s">
        <v>231</v>
      </c>
      <c r="AD1111" s="9" t="s">
        <v>188</v>
      </c>
      <c r="AE1111" s="9" t="s">
        <v>185</v>
      </c>
      <c r="AF1111" s="10"/>
      <c r="AG1111" s="10"/>
    </row>
    <row r="1112" spans="1:33">
      <c r="A1112" s="7" t="s">
        <v>155</v>
      </c>
      <c r="B1112" s="8" t="s">
        <v>174</v>
      </c>
      <c r="C1112" s="9" t="s">
        <v>343</v>
      </c>
      <c r="D1112" s="10">
        <v>185</v>
      </c>
      <c r="E1112" s="9" t="s">
        <v>158</v>
      </c>
      <c r="F1112" s="10">
        <v>185</v>
      </c>
      <c r="G1112" s="10">
        <v>184.7</v>
      </c>
      <c r="H1112" s="10">
        <v>134</v>
      </c>
      <c r="I1112" s="10">
        <v>156</v>
      </c>
      <c r="J1112" s="10">
        <v>122</v>
      </c>
      <c r="K1112" s="10">
        <v>83</v>
      </c>
      <c r="L1112" s="10">
        <v>105</v>
      </c>
      <c r="M1112" s="10">
        <v>18.100000000000001</v>
      </c>
      <c r="N1112" s="10">
        <v>1657</v>
      </c>
      <c r="O1112" s="10">
        <v>1.07</v>
      </c>
      <c r="P1112" s="10">
        <v>1779</v>
      </c>
      <c r="Q1112" s="10">
        <v>242</v>
      </c>
      <c r="R1112" s="10">
        <v>95</v>
      </c>
      <c r="S1112" s="10">
        <v>48</v>
      </c>
      <c r="T1112" s="10">
        <v>288</v>
      </c>
      <c r="U1112" s="10">
        <v>12</v>
      </c>
      <c r="V1112" s="10">
        <v>218</v>
      </c>
      <c r="W1112" s="10">
        <v>0.25700000000000001</v>
      </c>
      <c r="X1112" s="10">
        <v>160</v>
      </c>
      <c r="Y1112" s="10">
        <v>128</v>
      </c>
      <c r="Z1112" s="10">
        <v>128</v>
      </c>
      <c r="AA1112" s="10">
        <v>5</v>
      </c>
      <c r="AB1112" s="10">
        <v>9.3000000000000007</v>
      </c>
      <c r="AC1112" s="9" t="s">
        <v>231</v>
      </c>
      <c r="AD1112" s="9" t="s">
        <v>188</v>
      </c>
      <c r="AE1112" s="9" t="s">
        <v>185</v>
      </c>
      <c r="AF1112" s="10"/>
      <c r="AG1112" s="10"/>
    </row>
    <row r="1113" spans="1:33">
      <c r="A1113" s="7" t="s">
        <v>155</v>
      </c>
      <c r="B1113" s="8" t="s">
        <v>174</v>
      </c>
      <c r="C1113" s="9" t="s">
        <v>545</v>
      </c>
      <c r="D1113" s="10">
        <v>154</v>
      </c>
      <c r="E1113" s="9" t="s">
        <v>163</v>
      </c>
      <c r="F1113" s="10">
        <v>154</v>
      </c>
      <c r="G1113" s="10">
        <v>153.19999999999999</v>
      </c>
      <c r="H1113" s="10">
        <v>116</v>
      </c>
      <c r="I1113" s="10">
        <v>130</v>
      </c>
      <c r="J1113" s="10">
        <v>117</v>
      </c>
      <c r="K1113" s="10">
        <v>88</v>
      </c>
      <c r="L1113" s="10">
        <v>100</v>
      </c>
      <c r="M1113" s="10">
        <v>16.5</v>
      </c>
      <c r="N1113" s="10">
        <v>1463</v>
      </c>
      <c r="O1113" s="10">
        <v>1.02</v>
      </c>
      <c r="P1113" s="10">
        <v>1488</v>
      </c>
      <c r="Q1113" s="10">
        <v>134</v>
      </c>
      <c r="R1113" s="10">
        <v>73</v>
      </c>
      <c r="S1113" s="10">
        <v>55</v>
      </c>
      <c r="T1113" s="10">
        <v>216</v>
      </c>
      <c r="U1113" s="10">
        <v>11</v>
      </c>
      <c r="V1113" s="10">
        <v>154</v>
      </c>
      <c r="W1113" s="10">
        <v>0.20399999999999999</v>
      </c>
      <c r="X1113" s="10">
        <v>150</v>
      </c>
      <c r="Y1113" s="10">
        <v>83</v>
      </c>
      <c r="Z1113" s="10">
        <v>66</v>
      </c>
      <c r="AA1113" s="10">
        <v>6</v>
      </c>
      <c r="AB1113" s="10">
        <v>7.9</v>
      </c>
      <c r="AC1113" s="9" t="s">
        <v>188</v>
      </c>
      <c r="AD1113" s="10"/>
      <c r="AE1113" s="10"/>
      <c r="AF1113" s="10"/>
      <c r="AG1113" s="10"/>
    </row>
    <row r="1114" spans="1:33">
      <c r="A1114" s="7" t="s">
        <v>155</v>
      </c>
      <c r="B1114" s="8" t="s">
        <v>174</v>
      </c>
      <c r="C1114" s="9" t="s">
        <v>545</v>
      </c>
      <c r="D1114" s="10">
        <v>161</v>
      </c>
      <c r="E1114" s="9" t="s">
        <v>163</v>
      </c>
      <c r="F1114" s="10">
        <v>161</v>
      </c>
      <c r="G1114" s="10">
        <v>160.1</v>
      </c>
      <c r="H1114" s="10">
        <v>123</v>
      </c>
      <c r="I1114" s="10">
        <v>136</v>
      </c>
      <c r="J1114" s="10">
        <v>119</v>
      </c>
      <c r="K1114" s="10">
        <v>88</v>
      </c>
      <c r="L1114" s="10">
        <v>101</v>
      </c>
      <c r="M1114" s="10">
        <v>17.2</v>
      </c>
      <c r="N1114" s="10">
        <v>1530</v>
      </c>
      <c r="O1114" s="10">
        <v>1.02</v>
      </c>
      <c r="P1114" s="10">
        <v>1563</v>
      </c>
      <c r="Q1114" s="10">
        <v>140</v>
      </c>
      <c r="R1114" s="10">
        <v>86</v>
      </c>
      <c r="S1114" s="10">
        <v>55</v>
      </c>
      <c r="T1114" s="10">
        <v>223</v>
      </c>
      <c r="U1114" s="10">
        <v>8</v>
      </c>
      <c r="V1114" s="10">
        <v>151</v>
      </c>
      <c r="W1114" s="10">
        <v>0.14699999999999999</v>
      </c>
      <c r="X1114" s="10">
        <v>153</v>
      </c>
      <c r="Y1114" s="10">
        <v>87</v>
      </c>
      <c r="Z1114" s="10">
        <v>70</v>
      </c>
      <c r="AA1114" s="10">
        <v>9</v>
      </c>
      <c r="AB1114" s="10">
        <v>9.3000000000000007</v>
      </c>
      <c r="AC1114" s="9" t="s">
        <v>188</v>
      </c>
      <c r="AD1114" s="10"/>
      <c r="AE1114" s="10"/>
      <c r="AF1114" s="10"/>
      <c r="AG1114" s="10"/>
    </row>
    <row r="1115" spans="1:33">
      <c r="A1115" s="7" t="s">
        <v>155</v>
      </c>
      <c r="B1115" s="8" t="s">
        <v>174</v>
      </c>
      <c r="C1115" s="9" t="s">
        <v>545</v>
      </c>
      <c r="D1115" s="10">
        <v>168</v>
      </c>
      <c r="E1115" s="9" t="s">
        <v>163</v>
      </c>
      <c r="F1115" s="10">
        <v>168</v>
      </c>
      <c r="G1115" s="10">
        <v>166.9</v>
      </c>
      <c r="H1115" s="10">
        <v>126</v>
      </c>
      <c r="I1115" s="10">
        <v>140</v>
      </c>
      <c r="J1115" s="10">
        <v>122</v>
      </c>
      <c r="K1115" s="10">
        <v>87</v>
      </c>
      <c r="L1115" s="10">
        <v>103</v>
      </c>
      <c r="M1115" s="10">
        <v>16.899999999999999</v>
      </c>
      <c r="N1115" s="10">
        <v>1650</v>
      </c>
      <c r="O1115" s="10">
        <v>1</v>
      </c>
      <c r="P1115" s="10">
        <v>1649</v>
      </c>
      <c r="Q1115" s="10">
        <v>155</v>
      </c>
      <c r="R1115" s="10">
        <v>96</v>
      </c>
      <c r="S1115" s="10">
        <v>52</v>
      </c>
      <c r="T1115" s="10">
        <v>234</v>
      </c>
      <c r="U1115" s="10">
        <v>9</v>
      </c>
      <c r="V1115" s="10">
        <v>175</v>
      </c>
      <c r="W1115" s="10">
        <v>0.17</v>
      </c>
      <c r="X1115" s="10">
        <v>157</v>
      </c>
      <c r="Y1115" s="10">
        <v>112</v>
      </c>
      <c r="Z1115" s="10">
        <v>76</v>
      </c>
      <c r="AA1115" s="10">
        <v>7</v>
      </c>
      <c r="AB1115" s="10">
        <v>9.1999999999999993</v>
      </c>
      <c r="AC1115" s="9" t="s">
        <v>188</v>
      </c>
      <c r="AD1115" s="10"/>
      <c r="AE1115" s="10"/>
      <c r="AF1115" s="10"/>
      <c r="AG1115" s="10"/>
    </row>
    <row r="1116" spans="1:33">
      <c r="A1116" s="7" t="s">
        <v>155</v>
      </c>
      <c r="B1116" s="8" t="s">
        <v>174</v>
      </c>
      <c r="C1116" s="9" t="s">
        <v>472</v>
      </c>
      <c r="D1116" s="10">
        <v>168</v>
      </c>
      <c r="E1116" s="9" t="s">
        <v>158</v>
      </c>
      <c r="F1116" s="10">
        <v>168</v>
      </c>
      <c r="G1116" s="10">
        <v>167</v>
      </c>
      <c r="H1116" s="10">
        <v>129</v>
      </c>
      <c r="I1116" s="10">
        <v>138</v>
      </c>
      <c r="J1116" s="10">
        <v>122</v>
      </c>
      <c r="K1116" s="10">
        <v>88</v>
      </c>
      <c r="L1116" s="10">
        <v>104</v>
      </c>
      <c r="M1116" s="10">
        <v>16.899999999999999</v>
      </c>
      <c r="N1116" s="10">
        <v>1643</v>
      </c>
      <c r="O1116" s="10">
        <v>1</v>
      </c>
      <c r="P1116" s="10">
        <v>1650</v>
      </c>
      <c r="Q1116" s="10">
        <v>164</v>
      </c>
      <c r="R1116" s="10">
        <v>91</v>
      </c>
      <c r="S1116" s="10">
        <v>47</v>
      </c>
      <c r="T1116" s="10">
        <v>220</v>
      </c>
      <c r="U1116" s="10">
        <v>8</v>
      </c>
      <c r="V1116" s="10">
        <v>158</v>
      </c>
      <c r="W1116" s="10">
        <v>0.161</v>
      </c>
      <c r="X1116" s="10">
        <v>168</v>
      </c>
      <c r="Y1116" s="10">
        <v>124</v>
      </c>
      <c r="Z1116" s="10">
        <v>53</v>
      </c>
      <c r="AA1116" s="10">
        <v>9</v>
      </c>
      <c r="AB1116" s="10">
        <v>9.6999999999999993</v>
      </c>
      <c r="AC1116" s="9" t="s">
        <v>188</v>
      </c>
      <c r="AD1116" s="10"/>
      <c r="AE1116" s="10"/>
      <c r="AF1116" s="10"/>
      <c r="AG1116" s="10"/>
    </row>
    <row r="1117" spans="1:33">
      <c r="A1117" s="7" t="s">
        <v>155</v>
      </c>
      <c r="B1117" s="8" t="s">
        <v>174</v>
      </c>
      <c r="C1117" s="9" t="s">
        <v>480</v>
      </c>
      <c r="D1117" s="10">
        <v>168</v>
      </c>
      <c r="E1117" s="9" t="s">
        <v>163</v>
      </c>
      <c r="F1117" s="10">
        <v>168</v>
      </c>
      <c r="G1117" s="10">
        <v>167.1</v>
      </c>
      <c r="H1117" s="10">
        <v>133</v>
      </c>
      <c r="I1117" s="10">
        <v>138</v>
      </c>
      <c r="J1117" s="10">
        <v>126</v>
      </c>
      <c r="K1117" s="10">
        <v>94</v>
      </c>
      <c r="L1117" s="10">
        <v>108</v>
      </c>
      <c r="M1117" s="10">
        <v>18.5</v>
      </c>
      <c r="N1117" s="10">
        <v>1700</v>
      </c>
      <c r="O1117" s="10">
        <v>1.02</v>
      </c>
      <c r="P1117" s="10">
        <v>1733</v>
      </c>
      <c r="Q1117" s="10">
        <v>171</v>
      </c>
      <c r="R1117" s="10">
        <v>106</v>
      </c>
      <c r="S1117" s="10">
        <v>49</v>
      </c>
      <c r="T1117" s="10">
        <v>212</v>
      </c>
      <c r="U1117" s="10">
        <v>6</v>
      </c>
      <c r="V1117" s="10">
        <v>134</v>
      </c>
      <c r="W1117" s="10">
        <v>0.114</v>
      </c>
      <c r="X1117" s="10">
        <v>160</v>
      </c>
      <c r="Y1117" s="10">
        <v>130</v>
      </c>
      <c r="Z1117" s="10">
        <v>51</v>
      </c>
      <c r="AA1117" s="10">
        <v>10</v>
      </c>
      <c r="AB1117" s="10">
        <v>9.6</v>
      </c>
      <c r="AC1117" s="9" t="s">
        <v>188</v>
      </c>
      <c r="AD1117" s="10"/>
      <c r="AE1117" s="10"/>
      <c r="AF1117" s="10"/>
      <c r="AG1117" s="10"/>
    </row>
    <row r="1118" spans="1:33">
      <c r="A1118" s="7" t="s">
        <v>155</v>
      </c>
      <c r="B1118" s="8" t="s">
        <v>174</v>
      </c>
      <c r="C1118" s="9" t="s">
        <v>516</v>
      </c>
      <c r="D1118" s="10">
        <v>168</v>
      </c>
      <c r="E1118" s="9" t="s">
        <v>158</v>
      </c>
      <c r="F1118" s="10">
        <v>168</v>
      </c>
      <c r="G1118" s="10">
        <v>167.4</v>
      </c>
      <c r="H1118" s="10">
        <v>128</v>
      </c>
      <c r="I1118" s="10">
        <v>137</v>
      </c>
      <c r="J1118" s="10">
        <v>126</v>
      </c>
      <c r="K1118" s="10">
        <v>93</v>
      </c>
      <c r="L1118" s="10">
        <v>107</v>
      </c>
      <c r="M1118" s="10">
        <v>18.5</v>
      </c>
      <c r="N1118" s="10">
        <v>1767</v>
      </c>
      <c r="O1118" s="10">
        <v>0.98</v>
      </c>
      <c r="P1118" s="10">
        <v>1734</v>
      </c>
      <c r="Q1118" s="10">
        <v>180</v>
      </c>
      <c r="R1118" s="10">
        <v>111</v>
      </c>
      <c r="S1118" s="10">
        <v>48</v>
      </c>
      <c r="T1118" s="10">
        <v>225</v>
      </c>
      <c r="U1118" s="10">
        <v>9</v>
      </c>
      <c r="V1118" s="10">
        <v>167</v>
      </c>
      <c r="W1118" s="10">
        <v>0.189</v>
      </c>
      <c r="X1118" s="10">
        <v>166</v>
      </c>
      <c r="Y1118" s="10">
        <v>138</v>
      </c>
      <c r="Z1118" s="10">
        <v>58</v>
      </c>
      <c r="AA1118" s="10">
        <v>9</v>
      </c>
      <c r="AB1118" s="10">
        <v>9.4</v>
      </c>
      <c r="AC1118" s="9" t="s">
        <v>188</v>
      </c>
      <c r="AD1118" s="10"/>
      <c r="AE1118" s="10"/>
      <c r="AF1118" s="10"/>
      <c r="AG1118" s="10"/>
    </row>
    <row r="1119" spans="1:33">
      <c r="A1119" s="7" t="s">
        <v>155</v>
      </c>
      <c r="B1119" s="8" t="s">
        <v>174</v>
      </c>
      <c r="C1119" s="9" t="s">
        <v>516</v>
      </c>
      <c r="D1119" s="10">
        <v>176</v>
      </c>
      <c r="E1119" s="9" t="s">
        <v>158</v>
      </c>
      <c r="F1119" s="10">
        <v>176</v>
      </c>
      <c r="G1119" s="10">
        <v>174.3</v>
      </c>
      <c r="H1119" s="10">
        <v>134</v>
      </c>
      <c r="I1119" s="10">
        <v>145</v>
      </c>
      <c r="J1119" s="10">
        <v>130</v>
      </c>
      <c r="K1119" s="10">
        <v>95</v>
      </c>
      <c r="L1119" s="10">
        <v>112</v>
      </c>
      <c r="M1119" s="10">
        <v>18.8</v>
      </c>
      <c r="N1119" s="10">
        <v>1862</v>
      </c>
      <c r="O1119" s="10">
        <v>1</v>
      </c>
      <c r="P1119" s="10">
        <v>1853</v>
      </c>
      <c r="Q1119" s="10">
        <v>179</v>
      </c>
      <c r="R1119" s="10">
        <v>110</v>
      </c>
      <c r="S1119" s="10">
        <v>48</v>
      </c>
      <c r="T1119" s="10">
        <v>227</v>
      </c>
      <c r="U1119" s="10">
        <v>8</v>
      </c>
      <c r="V1119" s="10">
        <v>172</v>
      </c>
      <c r="W1119" s="10">
        <v>0.16500000000000001</v>
      </c>
      <c r="X1119" s="10">
        <v>165</v>
      </c>
      <c r="Y1119" s="10">
        <v>132</v>
      </c>
      <c r="Z1119" s="10">
        <v>63</v>
      </c>
      <c r="AA1119" s="10">
        <v>9</v>
      </c>
      <c r="AB1119" s="10">
        <v>10</v>
      </c>
      <c r="AC1119" s="9" t="s">
        <v>188</v>
      </c>
      <c r="AD1119" s="10"/>
      <c r="AE1119" s="10"/>
      <c r="AF1119" s="10"/>
      <c r="AG1119" s="10"/>
    </row>
    <row r="1120" spans="1:33">
      <c r="A1120" s="7" t="s">
        <v>155</v>
      </c>
      <c r="B1120" s="8" t="s">
        <v>174</v>
      </c>
      <c r="C1120" s="9" t="s">
        <v>516</v>
      </c>
      <c r="D1120" s="10">
        <v>182</v>
      </c>
      <c r="E1120" s="9" t="s">
        <v>158</v>
      </c>
      <c r="F1120" s="10">
        <v>182</v>
      </c>
      <c r="G1120" s="10">
        <v>181</v>
      </c>
      <c r="H1120" s="10">
        <v>137</v>
      </c>
      <c r="I1120" s="10">
        <v>152</v>
      </c>
      <c r="J1120" s="10">
        <v>132</v>
      </c>
      <c r="K1120" s="10">
        <v>95</v>
      </c>
      <c r="L1120" s="10">
        <v>113</v>
      </c>
      <c r="M1120" s="10">
        <v>19.2</v>
      </c>
      <c r="N1120" s="10">
        <v>2111</v>
      </c>
      <c r="O1120" s="10">
        <v>0.92</v>
      </c>
      <c r="P1120" s="10">
        <v>1936</v>
      </c>
      <c r="Q1120" s="10">
        <v>238</v>
      </c>
      <c r="R1120" s="10">
        <v>133</v>
      </c>
      <c r="S1120" s="10">
        <v>49</v>
      </c>
      <c r="T1120" s="10">
        <v>245</v>
      </c>
      <c r="U1120" s="10">
        <v>9</v>
      </c>
      <c r="V1120" s="10">
        <v>193</v>
      </c>
      <c r="W1120" s="10">
        <v>0.191</v>
      </c>
      <c r="X1120" s="10">
        <v>159</v>
      </c>
      <c r="Y1120" s="10">
        <v>134</v>
      </c>
      <c r="Z1120" s="10">
        <v>86</v>
      </c>
      <c r="AA1120" s="10">
        <v>9</v>
      </c>
      <c r="AB1120" s="10">
        <v>9.6</v>
      </c>
      <c r="AC1120" s="9" t="s">
        <v>188</v>
      </c>
      <c r="AD1120" s="10"/>
      <c r="AE1120" s="10"/>
      <c r="AF1120" s="10"/>
      <c r="AG1120" s="10"/>
    </row>
    <row r="1121" spans="1:33">
      <c r="A1121" s="7" t="s">
        <v>155</v>
      </c>
      <c r="B1121" s="8" t="s">
        <v>174</v>
      </c>
      <c r="C1121" s="9" t="s">
        <v>516</v>
      </c>
      <c r="D1121" s="10">
        <v>188</v>
      </c>
      <c r="E1121" s="9" t="s">
        <v>158</v>
      </c>
      <c r="F1121" s="10">
        <v>188</v>
      </c>
      <c r="G1121" s="10">
        <v>187.1</v>
      </c>
      <c r="H1121" s="10">
        <v>146</v>
      </c>
      <c r="I1121" s="10">
        <v>157</v>
      </c>
      <c r="J1121" s="10">
        <v>134</v>
      </c>
      <c r="K1121" s="10">
        <v>95</v>
      </c>
      <c r="L1121" s="10">
        <v>116</v>
      </c>
      <c r="M1121" s="10">
        <v>19.100000000000001</v>
      </c>
      <c r="N1121" s="10">
        <v>2106</v>
      </c>
      <c r="O1121" s="10">
        <v>0.96</v>
      </c>
      <c r="P1121" s="10">
        <v>2016</v>
      </c>
      <c r="Q1121" s="10">
        <v>236</v>
      </c>
      <c r="R1121" s="10">
        <v>159</v>
      </c>
      <c r="S1121" s="10">
        <v>48</v>
      </c>
      <c r="T1121" s="10">
        <v>254</v>
      </c>
      <c r="U1121" s="10">
        <v>6</v>
      </c>
      <c r="V1121" s="10">
        <v>154</v>
      </c>
      <c r="W1121" s="10">
        <v>0.127</v>
      </c>
      <c r="X1121" s="10">
        <v>158</v>
      </c>
      <c r="Y1121" s="10">
        <v>142</v>
      </c>
      <c r="Z1121" s="10">
        <v>95</v>
      </c>
      <c r="AA1121" s="10">
        <v>12</v>
      </c>
      <c r="AB1121" s="10">
        <v>10.5</v>
      </c>
      <c r="AC1121" s="9" t="s">
        <v>188</v>
      </c>
      <c r="AD1121" s="10"/>
      <c r="AE1121" s="10"/>
      <c r="AF1121" s="10"/>
      <c r="AG1121" s="10"/>
    </row>
    <row r="1122" spans="1:33">
      <c r="A1122" s="7" t="s">
        <v>155</v>
      </c>
      <c r="B1122" s="8" t="s">
        <v>180</v>
      </c>
      <c r="C1122" s="9" t="s">
        <v>232</v>
      </c>
      <c r="D1122" s="10">
        <v>175</v>
      </c>
      <c r="E1122" s="9" t="s">
        <v>158</v>
      </c>
      <c r="F1122" s="10">
        <v>175</v>
      </c>
      <c r="G1122" s="10">
        <v>173.4</v>
      </c>
      <c r="H1122" s="10">
        <v>124</v>
      </c>
      <c r="I1122" s="10">
        <v>156</v>
      </c>
      <c r="J1122" s="10">
        <v>135</v>
      </c>
      <c r="K1122" s="10">
        <v>100</v>
      </c>
      <c r="L1122" s="10">
        <v>123</v>
      </c>
      <c r="M1122" s="10">
        <v>22.6</v>
      </c>
      <c r="N1122" s="10">
        <v>1547</v>
      </c>
      <c r="O1122" s="10">
        <v>1.21</v>
      </c>
      <c r="P1122" s="10">
        <v>1877</v>
      </c>
      <c r="Q1122" s="10">
        <v>224</v>
      </c>
      <c r="R1122" s="10">
        <v>98</v>
      </c>
      <c r="S1122" s="10">
        <v>60</v>
      </c>
      <c r="T1122" s="10">
        <v>306</v>
      </c>
      <c r="U1122" s="10">
        <v>39</v>
      </c>
      <c r="V1122" s="10">
        <v>188</v>
      </c>
      <c r="W1122" s="10">
        <v>0.64</v>
      </c>
      <c r="X1122" s="10">
        <v>99</v>
      </c>
      <c r="Y1122" s="10">
        <v>74</v>
      </c>
      <c r="Z1122" s="10">
        <v>207</v>
      </c>
      <c r="AA1122" s="10">
        <v>4</v>
      </c>
      <c r="AB1122" s="10">
        <v>11.1</v>
      </c>
      <c r="AC1122" s="9" t="s">
        <v>188</v>
      </c>
      <c r="AD1122" s="9" t="s">
        <v>169</v>
      </c>
      <c r="AE1122" s="9" t="s">
        <v>185</v>
      </c>
      <c r="AF1122" s="10"/>
      <c r="AG1122" s="10"/>
    </row>
    <row r="1123" spans="1:33">
      <c r="A1123" s="7" t="s">
        <v>155</v>
      </c>
      <c r="B1123" s="8" t="s">
        <v>180</v>
      </c>
      <c r="C1123" s="9" t="s">
        <v>232</v>
      </c>
      <c r="D1123" s="10">
        <v>183</v>
      </c>
      <c r="E1123" s="9" t="s">
        <v>158</v>
      </c>
      <c r="F1123" s="10">
        <v>183</v>
      </c>
      <c r="G1123" s="10">
        <v>181.3</v>
      </c>
      <c r="H1123" s="10">
        <v>132</v>
      </c>
      <c r="I1123" s="10">
        <v>163</v>
      </c>
      <c r="J1123" s="10">
        <v>137</v>
      </c>
      <c r="K1123" s="10">
        <v>102</v>
      </c>
      <c r="L1123" s="10">
        <v>126</v>
      </c>
      <c r="M1123" s="10">
        <v>24</v>
      </c>
      <c r="N1123" s="10">
        <v>1718</v>
      </c>
      <c r="O1123" s="10">
        <v>1.1599999999999999</v>
      </c>
      <c r="P1123" s="10">
        <v>1999</v>
      </c>
      <c r="Q1123" s="10">
        <v>295</v>
      </c>
      <c r="R1123" s="10">
        <v>126</v>
      </c>
      <c r="S1123" s="10">
        <v>60</v>
      </c>
      <c r="T1123" s="10">
        <v>301</v>
      </c>
      <c r="U1123" s="10">
        <v>40</v>
      </c>
      <c r="V1123" s="10">
        <v>192</v>
      </c>
      <c r="W1123" s="10">
        <v>0.66200000000000003</v>
      </c>
      <c r="X1123" s="10">
        <v>110</v>
      </c>
      <c r="Y1123" s="10">
        <v>76</v>
      </c>
      <c r="Z1123" s="10">
        <v>191</v>
      </c>
      <c r="AA1123" s="10">
        <v>4</v>
      </c>
      <c r="AB1123" s="10">
        <v>11.9</v>
      </c>
      <c r="AC1123" s="9" t="s">
        <v>188</v>
      </c>
      <c r="AD1123" s="9" t="s">
        <v>169</v>
      </c>
      <c r="AE1123" s="9" t="s">
        <v>185</v>
      </c>
      <c r="AF1123" s="10"/>
      <c r="AG1123" s="10"/>
    </row>
    <row r="1124" spans="1:33">
      <c r="A1124" s="7" t="s">
        <v>155</v>
      </c>
      <c r="B1124" s="8" t="s">
        <v>180</v>
      </c>
      <c r="C1124" s="9" t="s">
        <v>315</v>
      </c>
      <c r="D1124" s="10">
        <v>168</v>
      </c>
      <c r="E1124" s="9" t="s">
        <v>158</v>
      </c>
      <c r="F1124" s="10">
        <v>168</v>
      </c>
      <c r="G1124" s="10">
        <v>166.4</v>
      </c>
      <c r="H1124" s="10">
        <v>125</v>
      </c>
      <c r="I1124" s="10">
        <v>149</v>
      </c>
      <c r="J1124" s="10">
        <v>129</v>
      </c>
      <c r="K1124" s="10">
        <v>93</v>
      </c>
      <c r="L1124" s="10">
        <v>117</v>
      </c>
      <c r="M1124" s="10">
        <v>19.7</v>
      </c>
      <c r="N1124" s="10">
        <v>1380</v>
      </c>
      <c r="O1124" s="10">
        <v>1.23</v>
      </c>
      <c r="P1124" s="10">
        <v>1698</v>
      </c>
      <c r="Q1124" s="10">
        <v>166</v>
      </c>
      <c r="R1124" s="10">
        <v>74</v>
      </c>
      <c r="S1124" s="10">
        <v>57</v>
      </c>
      <c r="T1124" s="10">
        <v>267</v>
      </c>
      <c r="U1124" s="10">
        <v>31</v>
      </c>
      <c r="V1124" s="10">
        <v>150</v>
      </c>
      <c r="W1124" s="10">
        <v>0.54600000000000004</v>
      </c>
      <c r="X1124" s="10">
        <v>102</v>
      </c>
      <c r="Y1124" s="10">
        <v>73</v>
      </c>
      <c r="Z1124" s="10">
        <v>165</v>
      </c>
      <c r="AA1124" s="10">
        <v>6</v>
      </c>
      <c r="AB1124" s="10">
        <v>9.1</v>
      </c>
      <c r="AC1124" s="9" t="s">
        <v>188</v>
      </c>
      <c r="AD1124" s="9" t="s">
        <v>185</v>
      </c>
      <c r="AE1124" s="10"/>
      <c r="AF1124" s="10"/>
      <c r="AG1124" s="10"/>
    </row>
    <row r="1125" spans="1:33">
      <c r="A1125" s="7" t="s">
        <v>155</v>
      </c>
      <c r="B1125" s="8" t="s">
        <v>180</v>
      </c>
      <c r="C1125" s="9" t="s">
        <v>315</v>
      </c>
      <c r="D1125" s="10">
        <v>184</v>
      </c>
      <c r="E1125" s="9" t="s">
        <v>158</v>
      </c>
      <c r="F1125" s="10">
        <v>184</v>
      </c>
      <c r="G1125" s="10">
        <v>182.4</v>
      </c>
      <c r="H1125" s="10">
        <v>141</v>
      </c>
      <c r="I1125" s="10">
        <v>166</v>
      </c>
      <c r="J1125" s="10">
        <v>133</v>
      </c>
      <c r="K1125" s="10">
        <v>95</v>
      </c>
      <c r="L1125" s="10">
        <v>121</v>
      </c>
      <c r="M1125" s="10">
        <v>22.9</v>
      </c>
      <c r="N1125" s="10">
        <v>1583</v>
      </c>
      <c r="O1125" s="10">
        <v>1.2</v>
      </c>
      <c r="P1125" s="10">
        <v>1901</v>
      </c>
      <c r="Q1125" s="10">
        <v>259</v>
      </c>
      <c r="R1125" s="10">
        <v>105</v>
      </c>
      <c r="S1125" s="10">
        <v>56</v>
      </c>
      <c r="T1125" s="10">
        <v>247</v>
      </c>
      <c r="U1125" s="10">
        <v>33</v>
      </c>
      <c r="V1125" s="10">
        <v>171</v>
      </c>
      <c r="W1125" s="10">
        <v>0.58899999999999997</v>
      </c>
      <c r="X1125" s="10">
        <v>95</v>
      </c>
      <c r="Y1125" s="10">
        <v>74</v>
      </c>
      <c r="Z1125" s="10">
        <v>152</v>
      </c>
      <c r="AA1125" s="10">
        <v>7</v>
      </c>
      <c r="AB1125" s="10">
        <v>9.1</v>
      </c>
      <c r="AC1125" s="9" t="s">
        <v>188</v>
      </c>
      <c r="AD1125" s="9" t="s">
        <v>185</v>
      </c>
      <c r="AE1125" s="10"/>
      <c r="AF1125" s="10"/>
      <c r="AG1125" s="10"/>
    </row>
    <row r="1126" spans="1:33">
      <c r="A1126" s="7" t="s">
        <v>155</v>
      </c>
      <c r="B1126" s="8" t="s">
        <v>180</v>
      </c>
      <c r="C1126" s="9" t="s">
        <v>181</v>
      </c>
      <c r="D1126" s="10">
        <v>160</v>
      </c>
      <c r="E1126" s="9" t="s">
        <v>163</v>
      </c>
      <c r="F1126" s="10">
        <v>160</v>
      </c>
      <c r="G1126" s="10">
        <v>158.30000000000001</v>
      </c>
      <c r="H1126" s="10">
        <v>114</v>
      </c>
      <c r="I1126" s="10">
        <v>141</v>
      </c>
      <c r="J1126" s="10">
        <v>126</v>
      </c>
      <c r="K1126" s="10">
        <v>92</v>
      </c>
      <c r="L1126" s="10">
        <v>115</v>
      </c>
      <c r="M1126" s="10">
        <v>18</v>
      </c>
      <c r="N1126" s="9" t="s">
        <v>1155</v>
      </c>
      <c r="O1126" s="9" t="s">
        <v>1155</v>
      </c>
      <c r="P1126" s="10">
        <v>1594</v>
      </c>
      <c r="Q1126" s="10">
        <v>148</v>
      </c>
      <c r="R1126" s="10">
        <v>62</v>
      </c>
      <c r="S1126" s="10">
        <v>56</v>
      </c>
      <c r="T1126" s="10">
        <v>269</v>
      </c>
      <c r="U1126" s="10">
        <v>33</v>
      </c>
      <c r="V1126" s="10">
        <v>175</v>
      </c>
      <c r="W1126" s="10">
        <v>0.59399999999999997</v>
      </c>
      <c r="X1126" s="10">
        <v>96</v>
      </c>
      <c r="Y1126" s="10">
        <v>74</v>
      </c>
      <c r="Z1126" s="10">
        <v>173</v>
      </c>
      <c r="AA1126" s="10">
        <v>4</v>
      </c>
      <c r="AB1126" s="10">
        <v>6.9</v>
      </c>
      <c r="AC1126" s="9" t="s">
        <v>160</v>
      </c>
      <c r="AD1126" s="10"/>
      <c r="AE1126" s="10"/>
      <c r="AF1126" s="10"/>
      <c r="AG1126" s="10"/>
    </row>
    <row r="1127" spans="1:33">
      <c r="A1127" s="7" t="s">
        <v>155</v>
      </c>
      <c r="B1127" s="8" t="s">
        <v>180</v>
      </c>
      <c r="C1127" s="9" t="s">
        <v>181</v>
      </c>
      <c r="D1127" s="10">
        <v>168</v>
      </c>
      <c r="E1127" s="9" t="s">
        <v>163</v>
      </c>
      <c r="F1127" s="10">
        <v>168</v>
      </c>
      <c r="G1127" s="10">
        <v>166.5</v>
      </c>
      <c r="H1127" s="10">
        <v>120</v>
      </c>
      <c r="I1127" s="10">
        <v>149</v>
      </c>
      <c r="J1127" s="10">
        <v>128</v>
      </c>
      <c r="K1127" s="10">
        <v>93</v>
      </c>
      <c r="L1127" s="10">
        <v>117</v>
      </c>
      <c r="M1127" s="10">
        <v>19.600000000000001</v>
      </c>
      <c r="N1127" s="9" t="s">
        <v>1155</v>
      </c>
      <c r="O1127" s="9" t="s">
        <v>1155</v>
      </c>
      <c r="P1127" s="10">
        <v>1695</v>
      </c>
      <c r="Q1127" s="10">
        <v>145</v>
      </c>
      <c r="R1127" s="10">
        <v>64</v>
      </c>
      <c r="S1127" s="10">
        <v>59</v>
      </c>
      <c r="T1127" s="10">
        <v>295</v>
      </c>
      <c r="U1127" s="10">
        <v>34</v>
      </c>
      <c r="V1127" s="10">
        <v>165</v>
      </c>
      <c r="W1127" s="10">
        <v>0.57799999999999996</v>
      </c>
      <c r="X1127" s="10">
        <v>105</v>
      </c>
      <c r="Y1127" s="10">
        <v>75</v>
      </c>
      <c r="Z1127" s="10">
        <v>190</v>
      </c>
      <c r="AA1127" s="10">
        <v>5</v>
      </c>
      <c r="AB1127" s="10">
        <v>7</v>
      </c>
      <c r="AC1127" s="9" t="s">
        <v>160</v>
      </c>
      <c r="AD1127" s="10"/>
      <c r="AE1127" s="10"/>
      <c r="AF1127" s="10"/>
      <c r="AG1127" s="10"/>
    </row>
    <row r="1128" spans="1:33">
      <c r="A1128" s="7" t="s">
        <v>155</v>
      </c>
      <c r="B1128" s="8" t="s">
        <v>180</v>
      </c>
      <c r="C1128" s="9" t="s">
        <v>196</v>
      </c>
      <c r="D1128" s="10">
        <v>170</v>
      </c>
      <c r="E1128" s="9" t="s">
        <v>158</v>
      </c>
      <c r="F1128" s="10">
        <v>170</v>
      </c>
      <c r="G1128" s="10">
        <v>168.5</v>
      </c>
      <c r="H1128" s="10">
        <v>128</v>
      </c>
      <c r="I1128" s="10">
        <v>149</v>
      </c>
      <c r="J1128" s="10">
        <v>134</v>
      </c>
      <c r="K1128" s="10">
        <v>90</v>
      </c>
      <c r="L1128" s="10">
        <v>121</v>
      </c>
      <c r="M1128" s="10">
        <v>15.1</v>
      </c>
      <c r="N1128" s="10">
        <v>1472</v>
      </c>
      <c r="O1128" s="10">
        <v>1.19</v>
      </c>
      <c r="P1128" s="10">
        <v>1746</v>
      </c>
      <c r="Q1128" s="10">
        <v>229</v>
      </c>
      <c r="R1128" s="10">
        <v>90</v>
      </c>
      <c r="S1128" s="10">
        <v>57</v>
      </c>
      <c r="T1128" s="10">
        <v>272</v>
      </c>
      <c r="U1128" s="10">
        <v>21</v>
      </c>
      <c r="V1128" s="10">
        <v>134</v>
      </c>
      <c r="W1128" s="10">
        <v>0.36199999999999999</v>
      </c>
      <c r="X1128" s="10">
        <v>122</v>
      </c>
      <c r="Y1128" s="10">
        <v>73</v>
      </c>
      <c r="Z1128" s="10">
        <v>150</v>
      </c>
      <c r="AA1128" s="10">
        <v>4</v>
      </c>
      <c r="AB1128" s="10">
        <v>12.2</v>
      </c>
      <c r="AC1128" s="9" t="s">
        <v>188</v>
      </c>
      <c r="AD1128" s="9" t="s">
        <v>185</v>
      </c>
      <c r="AE1128" s="10"/>
      <c r="AF1128" s="10"/>
      <c r="AG1128" s="10"/>
    </row>
    <row r="1129" spans="1:33">
      <c r="A1129" s="7" t="s">
        <v>155</v>
      </c>
      <c r="B1129" s="8" t="s">
        <v>180</v>
      </c>
      <c r="C1129" s="9" t="s">
        <v>196</v>
      </c>
      <c r="D1129" s="10">
        <v>180</v>
      </c>
      <c r="E1129" s="9" t="s">
        <v>158</v>
      </c>
      <c r="F1129" s="10">
        <v>180</v>
      </c>
      <c r="G1129" s="10">
        <v>178.5</v>
      </c>
      <c r="H1129" s="10">
        <v>139</v>
      </c>
      <c r="I1129" s="10">
        <v>157</v>
      </c>
      <c r="J1129" s="10">
        <v>137</v>
      </c>
      <c r="K1129" s="10">
        <v>94</v>
      </c>
      <c r="L1129" s="10">
        <v>124</v>
      </c>
      <c r="M1129" s="10">
        <v>17</v>
      </c>
      <c r="N1129" s="10">
        <v>1609</v>
      </c>
      <c r="O1129" s="10">
        <v>1.19</v>
      </c>
      <c r="P1129" s="10">
        <v>1921</v>
      </c>
      <c r="Q1129" s="10">
        <v>242</v>
      </c>
      <c r="R1129" s="10">
        <v>103</v>
      </c>
      <c r="S1129" s="10">
        <v>56</v>
      </c>
      <c r="T1129" s="10">
        <v>265</v>
      </c>
      <c r="U1129" s="10">
        <v>19</v>
      </c>
      <c r="V1129" s="10">
        <v>130</v>
      </c>
      <c r="W1129" s="10">
        <v>0.33800000000000002</v>
      </c>
      <c r="X1129" s="10">
        <v>123</v>
      </c>
      <c r="Y1129" s="10">
        <v>88</v>
      </c>
      <c r="Z1129" s="10">
        <v>142</v>
      </c>
      <c r="AA1129" s="10">
        <v>6</v>
      </c>
      <c r="AB1129" s="10">
        <v>12.4</v>
      </c>
      <c r="AC1129" s="9" t="s">
        <v>188</v>
      </c>
      <c r="AD1129" s="9" t="s">
        <v>185</v>
      </c>
      <c r="AE1129" s="10"/>
      <c r="AF1129" s="10"/>
      <c r="AG1129" s="10"/>
    </row>
    <row r="1130" spans="1:33">
      <c r="A1130" s="7" t="s">
        <v>155</v>
      </c>
      <c r="B1130" s="8" t="s">
        <v>180</v>
      </c>
      <c r="C1130" s="9" t="s">
        <v>451</v>
      </c>
      <c r="D1130" s="10">
        <v>162</v>
      </c>
      <c r="E1130" s="9" t="s">
        <v>158</v>
      </c>
      <c r="F1130" s="10">
        <v>162</v>
      </c>
      <c r="G1130" s="10">
        <v>159.9</v>
      </c>
      <c r="H1130" s="10">
        <v>123</v>
      </c>
      <c r="I1130" s="10">
        <v>141</v>
      </c>
      <c r="J1130" s="10">
        <v>121</v>
      </c>
      <c r="K1130" s="10">
        <v>83</v>
      </c>
      <c r="L1130" s="10">
        <v>105</v>
      </c>
      <c r="M1130" s="10">
        <v>16</v>
      </c>
      <c r="N1130" s="10">
        <v>1234</v>
      </c>
      <c r="O1130" s="10">
        <v>1.23</v>
      </c>
      <c r="P1130" s="10">
        <v>1519</v>
      </c>
      <c r="Q1130" s="10">
        <v>190</v>
      </c>
      <c r="R1130" s="10">
        <v>65</v>
      </c>
      <c r="S1130" s="10">
        <v>57</v>
      </c>
      <c r="T1130" s="10">
        <v>266</v>
      </c>
      <c r="U1130" s="10">
        <v>15</v>
      </c>
      <c r="V1130" s="10">
        <v>106</v>
      </c>
      <c r="W1130" s="10">
        <v>0.27200000000000002</v>
      </c>
      <c r="X1130" s="10">
        <v>106</v>
      </c>
      <c r="Y1130" s="10">
        <v>88</v>
      </c>
      <c r="Z1130" s="10">
        <v>160</v>
      </c>
      <c r="AA1130" s="10">
        <v>7</v>
      </c>
      <c r="AB1130" s="10">
        <v>11</v>
      </c>
      <c r="AC1130" s="9" t="s">
        <v>188</v>
      </c>
      <c r="AD1130" s="9" t="s">
        <v>185</v>
      </c>
      <c r="AE1130" s="10"/>
      <c r="AF1130" s="10"/>
      <c r="AG1130" s="10"/>
    </row>
    <row r="1131" spans="1:33">
      <c r="A1131" s="7" t="s">
        <v>155</v>
      </c>
      <c r="B1131" s="8" t="s">
        <v>180</v>
      </c>
      <c r="C1131" s="9" t="s">
        <v>451</v>
      </c>
      <c r="D1131" s="10">
        <v>170</v>
      </c>
      <c r="E1131" s="9" t="s">
        <v>158</v>
      </c>
      <c r="F1131" s="10">
        <v>170</v>
      </c>
      <c r="G1131" s="10">
        <v>167.7</v>
      </c>
      <c r="H1131" s="10">
        <v>131</v>
      </c>
      <c r="I1131" s="10">
        <v>148</v>
      </c>
      <c r="J1131" s="10">
        <v>123</v>
      </c>
      <c r="K1131" s="10">
        <v>85</v>
      </c>
      <c r="L1131" s="10">
        <v>108</v>
      </c>
      <c r="M1131" s="10">
        <v>17.7</v>
      </c>
      <c r="N1131" s="10">
        <v>1317</v>
      </c>
      <c r="O1131" s="10">
        <v>1.23</v>
      </c>
      <c r="P1131" s="10">
        <v>1624</v>
      </c>
      <c r="Q1131" s="10">
        <v>252</v>
      </c>
      <c r="R1131" s="10">
        <v>90</v>
      </c>
      <c r="S1131" s="10">
        <v>56</v>
      </c>
      <c r="T1131" s="10">
        <v>270</v>
      </c>
      <c r="U1131" s="10">
        <v>14</v>
      </c>
      <c r="V1131" s="10">
        <v>100</v>
      </c>
      <c r="W1131" s="10">
        <v>0.25</v>
      </c>
      <c r="X1131" s="10">
        <v>116</v>
      </c>
      <c r="Y1131" s="10">
        <v>79</v>
      </c>
      <c r="Z1131" s="10">
        <v>154</v>
      </c>
      <c r="AA1131" s="10">
        <v>8</v>
      </c>
      <c r="AB1131" s="10">
        <v>11.2</v>
      </c>
      <c r="AC1131" s="9" t="s">
        <v>188</v>
      </c>
      <c r="AD1131" s="9" t="s">
        <v>185</v>
      </c>
      <c r="AE1131" s="10"/>
      <c r="AF1131" s="10"/>
      <c r="AG1131" s="10"/>
    </row>
    <row r="1132" spans="1:33">
      <c r="A1132" s="7" t="s">
        <v>155</v>
      </c>
      <c r="B1132" s="8" t="s">
        <v>180</v>
      </c>
      <c r="C1132" s="9" t="s">
        <v>451</v>
      </c>
      <c r="D1132" s="10">
        <v>178</v>
      </c>
      <c r="E1132" s="9" t="s">
        <v>158</v>
      </c>
      <c r="F1132" s="10">
        <v>178</v>
      </c>
      <c r="G1132" s="10">
        <v>176.9</v>
      </c>
      <c r="H1132" s="10">
        <v>136</v>
      </c>
      <c r="I1132" s="10">
        <v>157</v>
      </c>
      <c r="J1132" s="10">
        <v>125</v>
      </c>
      <c r="K1132" s="10">
        <v>88</v>
      </c>
      <c r="L1132" s="10">
        <v>110</v>
      </c>
      <c r="M1132" s="10">
        <v>19.2</v>
      </c>
      <c r="N1132" s="10">
        <v>1470</v>
      </c>
      <c r="O1132" s="10">
        <v>1.19</v>
      </c>
      <c r="P1132" s="10">
        <v>1753</v>
      </c>
      <c r="Q1132" s="10">
        <v>301</v>
      </c>
      <c r="R1132" s="10">
        <v>112</v>
      </c>
      <c r="S1132" s="10">
        <v>55</v>
      </c>
      <c r="T1132" s="10">
        <v>272</v>
      </c>
      <c r="U1132" s="10">
        <v>18</v>
      </c>
      <c r="V1132" s="10">
        <v>139</v>
      </c>
      <c r="W1132" s="10">
        <v>0.32200000000000001</v>
      </c>
      <c r="X1132" s="10">
        <v>112</v>
      </c>
      <c r="Y1132" s="10">
        <v>87</v>
      </c>
      <c r="Z1132" s="10">
        <v>159</v>
      </c>
      <c r="AA1132" s="10">
        <v>5</v>
      </c>
      <c r="AB1132" s="10">
        <v>10.8</v>
      </c>
      <c r="AC1132" s="9" t="s">
        <v>188</v>
      </c>
      <c r="AD1132" s="9" t="s">
        <v>185</v>
      </c>
      <c r="AE1132" s="10"/>
      <c r="AF1132" s="10"/>
      <c r="AG1132" s="10"/>
    </row>
    <row r="1133" spans="1:33">
      <c r="A1133" s="7" t="s">
        <v>155</v>
      </c>
      <c r="B1133" s="8" t="s">
        <v>180</v>
      </c>
      <c r="C1133" s="9" t="s">
        <v>887</v>
      </c>
      <c r="D1133" s="10">
        <v>152</v>
      </c>
      <c r="E1133" s="9" t="s">
        <v>163</v>
      </c>
      <c r="F1133" s="10">
        <v>152</v>
      </c>
      <c r="G1133" s="10">
        <v>150.80000000000001</v>
      </c>
      <c r="H1133" s="10">
        <v>111</v>
      </c>
      <c r="I1133" s="10">
        <v>133</v>
      </c>
      <c r="J1133" s="10">
        <v>120</v>
      </c>
      <c r="K1133" s="10">
        <v>82</v>
      </c>
      <c r="L1133" s="10">
        <v>105</v>
      </c>
      <c r="M1133" s="10">
        <v>14.6</v>
      </c>
      <c r="N1133" s="10">
        <v>1093</v>
      </c>
      <c r="O1133" s="10">
        <v>1.29</v>
      </c>
      <c r="P1133" s="10">
        <v>1414</v>
      </c>
      <c r="Q1133" s="10">
        <v>145</v>
      </c>
      <c r="R1133" s="10">
        <v>54</v>
      </c>
      <c r="S1133" s="10">
        <v>58</v>
      </c>
      <c r="T1133" s="10">
        <v>286</v>
      </c>
      <c r="U1133" s="10">
        <v>15</v>
      </c>
      <c r="V1133" s="10">
        <v>107</v>
      </c>
      <c r="W1133" s="10">
        <v>0.25700000000000001</v>
      </c>
      <c r="X1133" s="10">
        <v>104</v>
      </c>
      <c r="Y1133" s="10">
        <v>76</v>
      </c>
      <c r="Z1133" s="10">
        <v>183</v>
      </c>
      <c r="AA1133" s="10">
        <v>5</v>
      </c>
      <c r="AB1133" s="10">
        <v>11</v>
      </c>
      <c r="AC1133" s="9" t="s">
        <v>185</v>
      </c>
      <c r="AD1133" s="9" t="s">
        <v>198</v>
      </c>
      <c r="AE1133" s="10"/>
      <c r="AF1133" s="10"/>
      <c r="AG1133" s="10"/>
    </row>
    <row r="1134" spans="1:33">
      <c r="A1134" s="7" t="s">
        <v>155</v>
      </c>
      <c r="B1134" s="8" t="s">
        <v>180</v>
      </c>
      <c r="C1134" s="9" t="s">
        <v>598</v>
      </c>
      <c r="D1134" s="10">
        <v>160</v>
      </c>
      <c r="E1134" s="9" t="s">
        <v>163</v>
      </c>
      <c r="F1134" s="10">
        <v>160</v>
      </c>
      <c r="G1134" s="10">
        <v>160.80000000000001</v>
      </c>
      <c r="H1134" s="10">
        <v>120</v>
      </c>
      <c r="I1134" s="10">
        <v>142</v>
      </c>
      <c r="J1134" s="10">
        <v>128</v>
      </c>
      <c r="K1134" s="10">
        <v>92</v>
      </c>
      <c r="L1134" s="10">
        <v>112</v>
      </c>
      <c r="M1134" s="10">
        <v>17.7</v>
      </c>
      <c r="N1134" s="10">
        <v>1301</v>
      </c>
      <c r="O1134" s="10">
        <v>1.27</v>
      </c>
      <c r="P1134" s="10">
        <v>1656</v>
      </c>
      <c r="Q1134" s="10">
        <v>231</v>
      </c>
      <c r="R1134" s="10">
        <v>91</v>
      </c>
      <c r="S1134" s="10">
        <v>59</v>
      </c>
      <c r="T1134" s="10">
        <v>288</v>
      </c>
      <c r="U1134" s="10">
        <v>18</v>
      </c>
      <c r="V1134" s="10">
        <v>121</v>
      </c>
      <c r="W1134" s="10">
        <v>0.312</v>
      </c>
      <c r="X1134" s="10">
        <v>109</v>
      </c>
      <c r="Y1134" s="10">
        <v>81</v>
      </c>
      <c r="Z1134" s="10">
        <v>179</v>
      </c>
      <c r="AA1134" s="10">
        <v>4</v>
      </c>
      <c r="AB1134" s="10">
        <v>12.7</v>
      </c>
      <c r="AC1134" s="9" t="s">
        <v>188</v>
      </c>
      <c r="AD1134" s="9" t="s">
        <v>185</v>
      </c>
      <c r="AE1134" s="9" t="s">
        <v>198</v>
      </c>
      <c r="AF1134" s="10"/>
      <c r="AG1134" s="10"/>
    </row>
    <row r="1135" spans="1:33">
      <c r="A1135" s="7" t="s">
        <v>155</v>
      </c>
      <c r="B1135" s="8" t="s">
        <v>213</v>
      </c>
      <c r="C1135" s="9" t="s">
        <v>214</v>
      </c>
      <c r="D1135" s="10">
        <v>165</v>
      </c>
      <c r="E1135" s="9" t="s">
        <v>158</v>
      </c>
      <c r="F1135" s="10">
        <v>165</v>
      </c>
      <c r="G1135" s="10">
        <v>164.2</v>
      </c>
      <c r="H1135" s="10">
        <v>137</v>
      </c>
      <c r="I1135" s="10">
        <v>144</v>
      </c>
      <c r="J1135" s="10">
        <v>123</v>
      </c>
      <c r="K1135" s="10">
        <v>87</v>
      </c>
      <c r="L1135" s="10">
        <v>111</v>
      </c>
      <c r="M1135" s="10">
        <v>17.100000000000001</v>
      </c>
      <c r="N1135" s="10">
        <v>1478</v>
      </c>
      <c r="O1135" s="10">
        <v>1.0900000000000001</v>
      </c>
      <c r="P1135" s="10">
        <v>1613</v>
      </c>
      <c r="Q1135" s="10">
        <v>146</v>
      </c>
      <c r="R1135" s="10">
        <v>80</v>
      </c>
      <c r="S1135" s="10">
        <v>40</v>
      </c>
      <c r="T1135" s="10">
        <v>195</v>
      </c>
      <c r="U1135" s="10">
        <v>9</v>
      </c>
      <c r="V1135" s="10">
        <v>73</v>
      </c>
      <c r="W1135" s="10">
        <v>0.223</v>
      </c>
      <c r="X1135" s="10">
        <v>140</v>
      </c>
      <c r="Y1135" s="10">
        <v>59</v>
      </c>
      <c r="Z1135" s="10">
        <v>56</v>
      </c>
      <c r="AA1135" s="10">
        <v>8</v>
      </c>
      <c r="AB1135" s="10">
        <v>13.4</v>
      </c>
      <c r="AC1135" s="9" t="s">
        <v>188</v>
      </c>
      <c r="AD1135" s="9" t="s">
        <v>185</v>
      </c>
      <c r="AE1135" s="10"/>
      <c r="AF1135" s="10"/>
      <c r="AG1135" s="10"/>
    </row>
    <row r="1136" spans="1:33">
      <c r="A1136" s="7" t="s">
        <v>155</v>
      </c>
      <c r="B1136" s="8" t="s">
        <v>213</v>
      </c>
      <c r="C1136" s="9" t="s">
        <v>214</v>
      </c>
      <c r="D1136" s="10">
        <v>174</v>
      </c>
      <c r="E1136" s="9" t="s">
        <v>158</v>
      </c>
      <c r="F1136" s="10">
        <v>174</v>
      </c>
      <c r="G1136" s="10">
        <v>173.1</v>
      </c>
      <c r="H1136" s="10">
        <v>145</v>
      </c>
      <c r="I1136" s="10">
        <v>153</v>
      </c>
      <c r="J1136" s="10">
        <v>123</v>
      </c>
      <c r="K1136" s="10">
        <v>87</v>
      </c>
      <c r="L1136" s="10">
        <v>110</v>
      </c>
      <c r="M1136" s="10">
        <v>19.100000000000001</v>
      </c>
      <c r="N1136" s="10">
        <v>1613</v>
      </c>
      <c r="O1136" s="10">
        <v>1.05</v>
      </c>
      <c r="P1136" s="10">
        <v>1697</v>
      </c>
      <c r="Q1136" s="10">
        <v>206</v>
      </c>
      <c r="R1136" s="10">
        <v>106</v>
      </c>
      <c r="S1136" s="10">
        <v>44</v>
      </c>
      <c r="T1136" s="10">
        <v>204</v>
      </c>
      <c r="U1136" s="10">
        <v>8</v>
      </c>
      <c r="V1136" s="10">
        <v>74</v>
      </c>
      <c r="W1136" s="10">
        <v>0.186</v>
      </c>
      <c r="X1136" s="10">
        <v>141</v>
      </c>
      <c r="Y1136" s="10">
        <v>59</v>
      </c>
      <c r="Z1136" s="10">
        <v>63</v>
      </c>
      <c r="AA1136" s="10">
        <v>7</v>
      </c>
      <c r="AB1136" s="10">
        <v>13.5</v>
      </c>
      <c r="AC1136" s="9" t="s">
        <v>188</v>
      </c>
      <c r="AD1136" s="9" t="s">
        <v>185</v>
      </c>
      <c r="AE1136" s="10"/>
      <c r="AF1136" s="10"/>
      <c r="AG1136" s="10"/>
    </row>
    <row r="1137" spans="1:33">
      <c r="A1137" s="7" t="s">
        <v>155</v>
      </c>
      <c r="B1137" s="8" t="s">
        <v>213</v>
      </c>
      <c r="C1137" s="9" t="s">
        <v>424</v>
      </c>
      <c r="D1137" s="10">
        <v>167</v>
      </c>
      <c r="E1137" s="9" t="s">
        <v>158</v>
      </c>
      <c r="F1137" s="10">
        <v>167</v>
      </c>
      <c r="G1137" s="10">
        <v>166.2</v>
      </c>
      <c r="H1137" s="10">
        <v>139</v>
      </c>
      <c r="I1137" s="10">
        <v>144</v>
      </c>
      <c r="J1137" s="10">
        <v>127</v>
      </c>
      <c r="K1137" s="10">
        <v>91</v>
      </c>
      <c r="L1137" s="10">
        <v>117</v>
      </c>
      <c r="M1137" s="10">
        <v>16.100000000000001</v>
      </c>
      <c r="N1137" s="10">
        <v>1544</v>
      </c>
      <c r="O1137" s="10">
        <v>1.1100000000000001</v>
      </c>
      <c r="P1137" s="10">
        <v>1714</v>
      </c>
      <c r="Q1137" s="10">
        <v>164</v>
      </c>
      <c r="R1137" s="10">
        <v>88</v>
      </c>
      <c r="S1137" s="10">
        <v>44</v>
      </c>
      <c r="T1137" s="10">
        <v>201</v>
      </c>
      <c r="U1137" s="10">
        <v>9</v>
      </c>
      <c r="V1137" s="10">
        <v>75</v>
      </c>
      <c r="W1137" s="10">
        <v>0.19800000000000001</v>
      </c>
      <c r="X1137" s="10">
        <v>168</v>
      </c>
      <c r="Y1137" s="10">
        <v>54</v>
      </c>
      <c r="Z1137" s="10">
        <v>33</v>
      </c>
      <c r="AA1137" s="10">
        <v>6</v>
      </c>
      <c r="AB1137" s="10">
        <v>13.3</v>
      </c>
      <c r="AC1137" s="9" t="s">
        <v>188</v>
      </c>
      <c r="AD1137" s="9" t="s">
        <v>185</v>
      </c>
      <c r="AE1137" s="10"/>
      <c r="AF1137" s="10"/>
      <c r="AG1137" s="10"/>
    </row>
    <row r="1138" spans="1:33">
      <c r="A1138" s="7" t="s">
        <v>155</v>
      </c>
      <c r="B1138" s="8" t="s">
        <v>213</v>
      </c>
      <c r="C1138" s="9" t="s">
        <v>856</v>
      </c>
      <c r="D1138" s="10">
        <v>175</v>
      </c>
      <c r="E1138" s="9" t="s">
        <v>158</v>
      </c>
      <c r="F1138" s="10">
        <v>175</v>
      </c>
      <c r="G1138" s="10">
        <v>174.2</v>
      </c>
      <c r="H1138" s="10">
        <v>149</v>
      </c>
      <c r="I1138" s="10">
        <v>159</v>
      </c>
      <c r="J1138" s="10">
        <v>130</v>
      </c>
      <c r="K1138" s="10">
        <v>82</v>
      </c>
      <c r="L1138" s="10">
        <v>112</v>
      </c>
      <c r="M1138" s="10">
        <v>16.2</v>
      </c>
      <c r="N1138" s="10">
        <v>1927</v>
      </c>
      <c r="O1138" s="10">
        <v>0.87</v>
      </c>
      <c r="P1138" s="10">
        <v>1679</v>
      </c>
      <c r="Q1138" s="10">
        <v>220</v>
      </c>
      <c r="R1138" s="10">
        <v>128</v>
      </c>
      <c r="S1138" s="10">
        <v>42</v>
      </c>
      <c r="T1138" s="10">
        <v>185</v>
      </c>
      <c r="U1138" s="10">
        <v>5</v>
      </c>
      <c r="V1138" s="10">
        <v>64</v>
      </c>
      <c r="W1138" s="10">
        <v>0.114</v>
      </c>
      <c r="X1138" s="10">
        <v>97</v>
      </c>
      <c r="Y1138" s="10">
        <v>54</v>
      </c>
      <c r="Z1138" s="10">
        <v>88</v>
      </c>
      <c r="AA1138" s="10">
        <v>9</v>
      </c>
      <c r="AB1138" s="10">
        <v>14.4</v>
      </c>
      <c r="AC1138" s="9" t="s">
        <v>349</v>
      </c>
      <c r="AD1138" s="9" t="s">
        <v>188</v>
      </c>
      <c r="AE1138" s="10"/>
      <c r="AF1138" s="10"/>
      <c r="AG1138" s="10"/>
    </row>
    <row r="1139" spans="1:33">
      <c r="A1139" s="7" t="s">
        <v>155</v>
      </c>
      <c r="B1139" s="8" t="s">
        <v>213</v>
      </c>
      <c r="C1139" s="9" t="s">
        <v>375</v>
      </c>
      <c r="D1139" s="10">
        <v>156</v>
      </c>
      <c r="E1139" s="9" t="s">
        <v>158</v>
      </c>
      <c r="F1139" s="10">
        <v>156</v>
      </c>
      <c r="G1139" s="10">
        <v>154.80000000000001</v>
      </c>
      <c r="H1139" s="10">
        <v>134</v>
      </c>
      <c r="I1139" s="10">
        <v>142</v>
      </c>
      <c r="J1139" s="10">
        <v>122</v>
      </c>
      <c r="K1139" s="10">
        <v>71</v>
      </c>
      <c r="L1139" s="10">
        <v>103</v>
      </c>
      <c r="M1139" s="10">
        <v>12.1</v>
      </c>
      <c r="N1139" s="10">
        <v>1577</v>
      </c>
      <c r="O1139" s="10">
        <v>0.85</v>
      </c>
      <c r="P1139" s="10">
        <v>1343</v>
      </c>
      <c r="Q1139" s="10">
        <v>160</v>
      </c>
      <c r="R1139" s="10">
        <v>92</v>
      </c>
      <c r="S1139" s="10">
        <v>42</v>
      </c>
      <c r="T1139" s="10">
        <v>151</v>
      </c>
      <c r="U1139" s="10">
        <v>6</v>
      </c>
      <c r="V1139" s="10">
        <v>57</v>
      </c>
      <c r="W1139" s="10">
        <v>0.13500000000000001</v>
      </c>
      <c r="X1139" s="10">
        <v>75</v>
      </c>
      <c r="Y1139" s="10">
        <v>55</v>
      </c>
      <c r="Z1139" s="10">
        <v>77</v>
      </c>
      <c r="AA1139" s="10">
        <v>7</v>
      </c>
      <c r="AB1139" s="10">
        <v>12.1</v>
      </c>
      <c r="AC1139" s="9" t="s">
        <v>349</v>
      </c>
      <c r="AD1139" s="10"/>
      <c r="AE1139" s="10"/>
      <c r="AF1139" s="10"/>
      <c r="AG1139" s="10"/>
    </row>
    <row r="1140" spans="1:33">
      <c r="A1140" s="7" t="s">
        <v>155</v>
      </c>
      <c r="B1140" s="8" t="s">
        <v>213</v>
      </c>
      <c r="C1140" s="9" t="s">
        <v>375</v>
      </c>
      <c r="D1140" s="10">
        <v>170</v>
      </c>
      <c r="E1140" s="9" t="s">
        <v>158</v>
      </c>
      <c r="F1140" s="10">
        <v>170</v>
      </c>
      <c r="G1140" s="10">
        <v>168.7</v>
      </c>
      <c r="H1140" s="10">
        <v>148</v>
      </c>
      <c r="I1140" s="10">
        <v>156</v>
      </c>
      <c r="J1140" s="10">
        <v>122</v>
      </c>
      <c r="K1140" s="10">
        <v>71</v>
      </c>
      <c r="L1140" s="10">
        <v>103</v>
      </c>
      <c r="M1140" s="10">
        <v>14.7</v>
      </c>
      <c r="N1140" s="10">
        <v>1818</v>
      </c>
      <c r="O1140" s="10">
        <v>0.8</v>
      </c>
      <c r="P1140" s="10">
        <v>1463</v>
      </c>
      <c r="Q1140" s="10">
        <v>206</v>
      </c>
      <c r="R1140" s="10">
        <v>114</v>
      </c>
      <c r="S1140" s="10">
        <v>39</v>
      </c>
      <c r="T1140" s="10">
        <v>146</v>
      </c>
      <c r="U1140" s="10">
        <v>6</v>
      </c>
      <c r="V1140" s="10">
        <v>61</v>
      </c>
      <c r="W1140" s="10">
        <v>0.14199999999999999</v>
      </c>
      <c r="X1140" s="10">
        <v>72</v>
      </c>
      <c r="Y1140" s="10">
        <v>57</v>
      </c>
      <c r="Z1140" s="10">
        <v>74</v>
      </c>
      <c r="AA1140" s="10">
        <v>8</v>
      </c>
      <c r="AB1140" s="10">
        <v>12.2</v>
      </c>
      <c r="AC1140" s="9" t="s">
        <v>349</v>
      </c>
      <c r="AD1140" s="10"/>
      <c r="AE1140" s="10"/>
      <c r="AF1140" s="10"/>
      <c r="AG1140" s="10"/>
    </row>
    <row r="1141" spans="1:33">
      <c r="A1141" s="7" t="s">
        <v>155</v>
      </c>
      <c r="B1141" s="8" t="s">
        <v>213</v>
      </c>
      <c r="C1141" s="9" t="s">
        <v>495</v>
      </c>
      <c r="D1141" s="10">
        <v>163</v>
      </c>
      <c r="E1141" s="9" t="s">
        <v>158</v>
      </c>
      <c r="F1141" s="10">
        <v>163</v>
      </c>
      <c r="G1141" s="10">
        <v>162</v>
      </c>
      <c r="H1141" s="10">
        <v>141</v>
      </c>
      <c r="I1141" s="10">
        <v>148</v>
      </c>
      <c r="J1141" s="10">
        <v>122</v>
      </c>
      <c r="K1141" s="10">
        <v>72</v>
      </c>
      <c r="L1141" s="10">
        <v>103</v>
      </c>
      <c r="M1141" s="10">
        <v>13.5</v>
      </c>
      <c r="N1141" s="10">
        <v>1671</v>
      </c>
      <c r="O1141" s="10">
        <v>0.84</v>
      </c>
      <c r="P1141" s="10">
        <v>1405</v>
      </c>
      <c r="Q1141" s="10">
        <v>170</v>
      </c>
      <c r="R1141" s="10">
        <v>106</v>
      </c>
      <c r="S1141" s="10">
        <v>40</v>
      </c>
      <c r="T1141" s="10">
        <v>144</v>
      </c>
      <c r="U1141" s="10">
        <v>7</v>
      </c>
      <c r="V1141" s="10">
        <v>66</v>
      </c>
      <c r="W1141" s="10">
        <v>0.17899999999999999</v>
      </c>
      <c r="X1141" s="10">
        <v>78</v>
      </c>
      <c r="Y1141" s="10">
        <v>57</v>
      </c>
      <c r="Z1141" s="10">
        <v>66</v>
      </c>
      <c r="AA1141" s="10">
        <v>8</v>
      </c>
      <c r="AB1141" s="10">
        <v>12.1</v>
      </c>
      <c r="AC1141" s="9" t="s">
        <v>349</v>
      </c>
      <c r="AD1141" s="10"/>
      <c r="AE1141" s="10"/>
      <c r="AF1141" s="10"/>
      <c r="AG1141" s="10"/>
    </row>
    <row r="1142" spans="1:33">
      <c r="A1142" s="7" t="s">
        <v>155</v>
      </c>
      <c r="B1142" s="8" t="s">
        <v>213</v>
      </c>
      <c r="C1142" s="9" t="s">
        <v>495</v>
      </c>
      <c r="D1142" s="10">
        <v>170</v>
      </c>
      <c r="E1142" s="9" t="s">
        <v>158</v>
      </c>
      <c r="F1142" s="10">
        <v>170</v>
      </c>
      <c r="G1142" s="10">
        <v>169.2</v>
      </c>
      <c r="H1142" s="10">
        <v>149</v>
      </c>
      <c r="I1142" s="10">
        <v>156</v>
      </c>
      <c r="J1142" s="10">
        <v>122</v>
      </c>
      <c r="K1142" s="10">
        <v>72</v>
      </c>
      <c r="L1142" s="10">
        <v>103</v>
      </c>
      <c r="M1142" s="10">
        <v>14.8</v>
      </c>
      <c r="N1142" s="10">
        <v>1751</v>
      </c>
      <c r="O1142" s="10">
        <v>0.84</v>
      </c>
      <c r="P1142" s="10">
        <v>1467</v>
      </c>
      <c r="Q1142" s="10">
        <v>200</v>
      </c>
      <c r="R1142" s="10">
        <v>110</v>
      </c>
      <c r="S1142" s="10">
        <v>39</v>
      </c>
      <c r="T1142" s="10">
        <v>140</v>
      </c>
      <c r="U1142" s="10">
        <v>6</v>
      </c>
      <c r="V1142" s="10">
        <v>61</v>
      </c>
      <c r="W1142" s="10">
        <v>0.157</v>
      </c>
      <c r="X1142" s="10">
        <v>73</v>
      </c>
      <c r="Y1142" s="10">
        <v>59</v>
      </c>
      <c r="Z1142" s="10">
        <v>68</v>
      </c>
      <c r="AA1142" s="10">
        <v>10</v>
      </c>
      <c r="AB1142" s="10">
        <v>13.9</v>
      </c>
      <c r="AC1142" s="9" t="s">
        <v>349</v>
      </c>
      <c r="AD1142" s="10"/>
      <c r="AE1142" s="10"/>
      <c r="AF1142" s="10"/>
      <c r="AG1142" s="10"/>
    </row>
    <row r="1143" spans="1:33">
      <c r="A1143" s="7" t="s">
        <v>155</v>
      </c>
      <c r="B1143" s="8" t="s">
        <v>213</v>
      </c>
      <c r="C1143" s="9" t="s">
        <v>760</v>
      </c>
      <c r="D1143" s="10">
        <v>160</v>
      </c>
      <c r="E1143" s="9" t="s">
        <v>158</v>
      </c>
      <c r="F1143" s="10">
        <v>160</v>
      </c>
      <c r="G1143" s="10">
        <v>159.1</v>
      </c>
      <c r="H1143" s="10">
        <v>137</v>
      </c>
      <c r="I1143" s="10">
        <v>147</v>
      </c>
      <c r="J1143" s="10">
        <v>119</v>
      </c>
      <c r="K1143" s="10">
        <v>66</v>
      </c>
      <c r="L1143" s="10">
        <v>97</v>
      </c>
      <c r="M1143" s="10">
        <v>12.9</v>
      </c>
      <c r="N1143" s="10">
        <v>1666</v>
      </c>
      <c r="O1143" s="10">
        <v>0.78</v>
      </c>
      <c r="P1143" s="10">
        <v>1292</v>
      </c>
      <c r="Q1143" s="10">
        <v>196</v>
      </c>
      <c r="R1143" s="10">
        <v>119</v>
      </c>
      <c r="S1143" s="10">
        <v>40</v>
      </c>
      <c r="T1143" s="10">
        <v>156</v>
      </c>
      <c r="U1143" s="10">
        <v>7</v>
      </c>
      <c r="V1143" s="10">
        <v>63</v>
      </c>
      <c r="W1143" s="10">
        <v>0.16200000000000001</v>
      </c>
      <c r="X1143" s="10">
        <v>67</v>
      </c>
      <c r="Y1143" s="10">
        <v>50</v>
      </c>
      <c r="Z1143" s="10">
        <v>89</v>
      </c>
      <c r="AA1143" s="10">
        <v>8</v>
      </c>
      <c r="AB1143" s="10">
        <v>12.6</v>
      </c>
      <c r="AC1143" s="9" t="s">
        <v>349</v>
      </c>
      <c r="AD1143" s="10"/>
      <c r="AE1143" s="10"/>
      <c r="AF1143" s="10"/>
      <c r="AG1143" s="10"/>
    </row>
    <row r="1144" spans="1:33">
      <c r="A1144" s="7" t="s">
        <v>155</v>
      </c>
      <c r="B1144" s="8" t="s">
        <v>213</v>
      </c>
      <c r="C1144" s="9" t="s">
        <v>644</v>
      </c>
      <c r="D1144" s="10">
        <v>152</v>
      </c>
      <c r="E1144" s="9" t="s">
        <v>163</v>
      </c>
      <c r="F1144" s="10">
        <v>152</v>
      </c>
      <c r="G1144" s="10">
        <v>151.30000000000001</v>
      </c>
      <c r="H1144" s="10">
        <v>124</v>
      </c>
      <c r="I1144" s="10">
        <v>132</v>
      </c>
      <c r="J1144" s="10">
        <v>127</v>
      </c>
      <c r="K1144" s="10">
        <v>88</v>
      </c>
      <c r="L1144" s="10">
        <v>113</v>
      </c>
      <c r="M1144" s="10">
        <v>13.1</v>
      </c>
      <c r="N1144" s="10">
        <v>1419</v>
      </c>
      <c r="O1144" s="10">
        <v>1.06</v>
      </c>
      <c r="P1144" s="10">
        <v>1510</v>
      </c>
      <c r="Q1144" s="10">
        <v>158</v>
      </c>
      <c r="R1144" s="10">
        <v>89</v>
      </c>
      <c r="S1144" s="10">
        <v>43</v>
      </c>
      <c r="T1144" s="10">
        <v>199</v>
      </c>
      <c r="U1144" s="10">
        <v>9</v>
      </c>
      <c r="V1144" s="10">
        <v>78</v>
      </c>
      <c r="W1144" s="10">
        <v>0.20599999999999999</v>
      </c>
      <c r="X1144" s="10">
        <v>135</v>
      </c>
      <c r="Y1144" s="10">
        <v>56</v>
      </c>
      <c r="Z1144" s="10">
        <v>64</v>
      </c>
      <c r="AA1144" s="10">
        <v>5</v>
      </c>
      <c r="AB1144" s="10">
        <v>12.6</v>
      </c>
      <c r="AC1144" s="9" t="s">
        <v>188</v>
      </c>
      <c r="AD1144" s="9" t="s">
        <v>185</v>
      </c>
      <c r="AE1144" s="10"/>
      <c r="AF1144" s="10"/>
      <c r="AG1144" s="10"/>
    </row>
    <row r="1145" spans="1:33">
      <c r="A1145" s="7" t="s">
        <v>155</v>
      </c>
      <c r="B1145" s="8" t="s">
        <v>213</v>
      </c>
      <c r="C1145" s="9" t="s">
        <v>644</v>
      </c>
      <c r="D1145" s="10">
        <v>160</v>
      </c>
      <c r="E1145" s="9" t="s">
        <v>163</v>
      </c>
      <c r="F1145" s="10">
        <v>160</v>
      </c>
      <c r="G1145" s="10">
        <v>159.4</v>
      </c>
      <c r="H1145" s="10">
        <v>132</v>
      </c>
      <c r="I1145" s="10">
        <v>140</v>
      </c>
      <c r="J1145" s="10">
        <v>127</v>
      </c>
      <c r="K1145" s="10">
        <v>88</v>
      </c>
      <c r="L1145" s="10">
        <v>113</v>
      </c>
      <c r="M1145" s="10">
        <v>14.9</v>
      </c>
      <c r="N1145" s="10">
        <v>1532</v>
      </c>
      <c r="O1145" s="10">
        <v>1.04</v>
      </c>
      <c r="P1145" s="10">
        <v>1591</v>
      </c>
      <c r="Q1145" s="10">
        <v>159</v>
      </c>
      <c r="R1145" s="10">
        <v>81</v>
      </c>
      <c r="S1145" s="10">
        <v>43</v>
      </c>
      <c r="T1145" s="10">
        <v>197</v>
      </c>
      <c r="U1145" s="10">
        <v>9</v>
      </c>
      <c r="V1145" s="10">
        <v>80</v>
      </c>
      <c r="W1145" s="10">
        <v>0.20200000000000001</v>
      </c>
      <c r="X1145" s="10">
        <v>134</v>
      </c>
      <c r="Y1145" s="10">
        <v>56</v>
      </c>
      <c r="Z1145" s="10">
        <v>62</v>
      </c>
      <c r="AA1145" s="10">
        <v>5</v>
      </c>
      <c r="AB1145" s="10">
        <v>13.2</v>
      </c>
      <c r="AC1145" s="9" t="s">
        <v>188</v>
      </c>
      <c r="AD1145" s="10"/>
      <c r="AE1145" s="10"/>
      <c r="AF1145" s="10"/>
      <c r="AG1145" s="10"/>
    </row>
    <row r="1146" spans="1:33">
      <c r="A1146" s="7" t="s">
        <v>155</v>
      </c>
      <c r="B1146" s="8" t="s">
        <v>213</v>
      </c>
      <c r="C1146" s="9" t="s">
        <v>357</v>
      </c>
      <c r="D1146" s="10">
        <v>156</v>
      </c>
      <c r="E1146" s="9" t="s">
        <v>163</v>
      </c>
      <c r="F1146" s="10">
        <v>156</v>
      </c>
      <c r="G1146" s="10">
        <v>155.30000000000001</v>
      </c>
      <c r="H1146" s="10">
        <v>126</v>
      </c>
      <c r="I1146" s="10">
        <v>134</v>
      </c>
      <c r="J1146" s="10">
        <v>133</v>
      </c>
      <c r="K1146" s="10">
        <v>96</v>
      </c>
      <c r="L1146" s="10">
        <v>120</v>
      </c>
      <c r="M1146" s="10">
        <v>13.6</v>
      </c>
      <c r="N1146" s="10">
        <v>1585</v>
      </c>
      <c r="O1146" s="10">
        <v>1.06</v>
      </c>
      <c r="P1146" s="10">
        <v>1673</v>
      </c>
      <c r="Q1146" s="10">
        <v>168</v>
      </c>
      <c r="R1146" s="10">
        <v>95</v>
      </c>
      <c r="S1146" s="10">
        <v>45</v>
      </c>
      <c r="T1146" s="10">
        <v>211</v>
      </c>
      <c r="U1146" s="10">
        <v>9</v>
      </c>
      <c r="V1146" s="10">
        <v>79</v>
      </c>
      <c r="W1146" s="10">
        <v>0.19700000000000001</v>
      </c>
      <c r="X1146" s="10">
        <v>155</v>
      </c>
      <c r="Y1146" s="10">
        <v>55</v>
      </c>
      <c r="Z1146" s="10">
        <v>55</v>
      </c>
      <c r="AA1146" s="10">
        <v>4</v>
      </c>
      <c r="AB1146" s="10">
        <v>12.7</v>
      </c>
      <c r="AC1146" s="9" t="s">
        <v>188</v>
      </c>
      <c r="AD1146" s="9" t="s">
        <v>185</v>
      </c>
      <c r="AE1146" s="10"/>
      <c r="AF1146" s="10"/>
      <c r="AG1146" s="10"/>
    </row>
    <row r="1147" spans="1:33">
      <c r="A1147" s="7" t="s">
        <v>155</v>
      </c>
      <c r="B1147" s="8" t="s">
        <v>213</v>
      </c>
      <c r="C1147" s="9" t="s">
        <v>357</v>
      </c>
      <c r="D1147" s="10">
        <v>164</v>
      </c>
      <c r="E1147" s="9" t="s">
        <v>163</v>
      </c>
      <c r="F1147" s="10">
        <v>164</v>
      </c>
      <c r="G1147" s="10">
        <v>163.4</v>
      </c>
      <c r="H1147" s="10">
        <v>135</v>
      </c>
      <c r="I1147" s="10">
        <v>141</v>
      </c>
      <c r="J1147" s="10">
        <v>133</v>
      </c>
      <c r="K1147" s="10">
        <v>96</v>
      </c>
      <c r="L1147" s="10">
        <v>121</v>
      </c>
      <c r="M1147" s="10">
        <v>15.3</v>
      </c>
      <c r="N1147" s="10">
        <v>1665</v>
      </c>
      <c r="O1147" s="10">
        <v>1.06</v>
      </c>
      <c r="P1147" s="10">
        <v>1760</v>
      </c>
      <c r="Q1147" s="10">
        <v>169</v>
      </c>
      <c r="R1147" s="10">
        <v>102</v>
      </c>
      <c r="S1147" s="10">
        <v>45</v>
      </c>
      <c r="T1147" s="10">
        <v>204</v>
      </c>
      <c r="U1147" s="10">
        <v>8</v>
      </c>
      <c r="V1147" s="10">
        <v>78</v>
      </c>
      <c r="W1147" s="10">
        <v>0.189</v>
      </c>
      <c r="X1147" s="10">
        <v>160</v>
      </c>
      <c r="Y1147" s="10">
        <v>59</v>
      </c>
      <c r="Z1147" s="10">
        <v>44</v>
      </c>
      <c r="AA1147" s="10">
        <v>6</v>
      </c>
      <c r="AB1147" s="10">
        <v>13</v>
      </c>
      <c r="AC1147" s="9" t="s">
        <v>188</v>
      </c>
      <c r="AD1147" s="9" t="s">
        <v>185</v>
      </c>
      <c r="AE1147" s="10"/>
      <c r="AF1147" s="10"/>
      <c r="AG1147" s="10"/>
    </row>
    <row r="1148" spans="1:33">
      <c r="A1148" s="7" t="s">
        <v>155</v>
      </c>
      <c r="B1148" s="8" t="s">
        <v>213</v>
      </c>
      <c r="C1148" s="9" t="s">
        <v>467</v>
      </c>
      <c r="D1148" s="10">
        <v>173</v>
      </c>
      <c r="E1148" s="9" t="s">
        <v>158</v>
      </c>
      <c r="F1148" s="10">
        <v>173</v>
      </c>
      <c r="G1148" s="10">
        <v>171.2</v>
      </c>
      <c r="H1148" s="10">
        <v>135</v>
      </c>
      <c r="I1148" s="10">
        <v>143</v>
      </c>
      <c r="J1148" s="10">
        <v>135</v>
      </c>
      <c r="K1148" s="10">
        <v>102</v>
      </c>
      <c r="L1148" s="10">
        <v>124</v>
      </c>
      <c r="M1148" s="10">
        <v>16.899999999999999</v>
      </c>
      <c r="N1148" s="10">
        <v>1817</v>
      </c>
      <c r="O1148" s="10">
        <v>1.06</v>
      </c>
      <c r="P1148" s="10">
        <v>1933</v>
      </c>
      <c r="Q1148" s="10">
        <v>190</v>
      </c>
      <c r="R1148" s="10">
        <v>104</v>
      </c>
      <c r="S1148" s="10">
        <v>58</v>
      </c>
      <c r="T1148" s="10">
        <v>252</v>
      </c>
      <c r="U1148" s="10">
        <v>10</v>
      </c>
      <c r="V1148" s="10">
        <v>107</v>
      </c>
      <c r="W1148" s="10">
        <v>0.17799999999999999</v>
      </c>
      <c r="X1148" s="10">
        <v>193</v>
      </c>
      <c r="Y1148" s="10">
        <v>87</v>
      </c>
      <c r="Z1148" s="10">
        <v>59</v>
      </c>
      <c r="AA1148" s="10">
        <v>4</v>
      </c>
      <c r="AB1148" s="10">
        <v>12.6</v>
      </c>
      <c r="AC1148" s="9" t="s">
        <v>188</v>
      </c>
      <c r="AD1148" s="9" t="s">
        <v>178</v>
      </c>
      <c r="AE1148" s="9" t="s">
        <v>185</v>
      </c>
      <c r="AF1148" s="10"/>
      <c r="AG1148" s="10"/>
    </row>
    <row r="1149" spans="1:33">
      <c r="A1149" s="7" t="s">
        <v>155</v>
      </c>
      <c r="B1149" s="8" t="s">
        <v>213</v>
      </c>
      <c r="C1149" s="9" t="s">
        <v>594</v>
      </c>
      <c r="D1149" s="10">
        <v>175</v>
      </c>
      <c r="E1149" s="9" t="s">
        <v>158</v>
      </c>
      <c r="F1149" s="10">
        <v>175</v>
      </c>
      <c r="G1149" s="10">
        <v>174.2</v>
      </c>
      <c r="H1149" s="10">
        <v>148</v>
      </c>
      <c r="I1149" s="10">
        <v>155</v>
      </c>
      <c r="J1149" s="10">
        <v>128</v>
      </c>
      <c r="K1149" s="10">
        <v>88</v>
      </c>
      <c r="L1149" s="10">
        <v>113</v>
      </c>
      <c r="M1149" s="10">
        <v>18.100000000000001</v>
      </c>
      <c r="N1149" s="10">
        <v>1741</v>
      </c>
      <c r="O1149" s="10">
        <v>1</v>
      </c>
      <c r="P1149" s="10">
        <v>1743</v>
      </c>
      <c r="Q1149" s="10">
        <v>188</v>
      </c>
      <c r="R1149" s="10">
        <v>104</v>
      </c>
      <c r="S1149" s="10">
        <v>42</v>
      </c>
      <c r="T1149" s="10">
        <v>183</v>
      </c>
      <c r="U1149" s="10">
        <v>9</v>
      </c>
      <c r="V1149" s="10">
        <v>76</v>
      </c>
      <c r="W1149" s="10">
        <v>0.21299999999999999</v>
      </c>
      <c r="X1149" s="10">
        <v>132</v>
      </c>
      <c r="Y1149" s="10">
        <v>56</v>
      </c>
      <c r="Z1149" s="10">
        <v>51</v>
      </c>
      <c r="AA1149" s="10">
        <v>9</v>
      </c>
      <c r="AB1149" s="10">
        <v>13.1</v>
      </c>
      <c r="AC1149" s="9" t="s">
        <v>188</v>
      </c>
      <c r="AD1149" s="10"/>
      <c r="AE1149" s="10"/>
      <c r="AF1149" s="10"/>
      <c r="AG1149" s="10"/>
    </row>
    <row r="1150" spans="1:33">
      <c r="A1150" s="7" t="s">
        <v>155</v>
      </c>
      <c r="B1150" s="8" t="s">
        <v>213</v>
      </c>
      <c r="C1150" s="9" t="s">
        <v>504</v>
      </c>
      <c r="D1150" s="10">
        <v>166</v>
      </c>
      <c r="E1150" s="9" t="s">
        <v>158</v>
      </c>
      <c r="F1150" s="10">
        <v>166</v>
      </c>
      <c r="G1150" s="10">
        <v>165.3</v>
      </c>
      <c r="H1150" s="10">
        <v>134</v>
      </c>
      <c r="I1150" s="10">
        <v>144</v>
      </c>
      <c r="J1150" s="10">
        <v>131</v>
      </c>
      <c r="K1150" s="10">
        <v>94</v>
      </c>
      <c r="L1150" s="10">
        <v>122</v>
      </c>
      <c r="M1150" s="10">
        <v>14.8</v>
      </c>
      <c r="N1150" s="10">
        <v>1691</v>
      </c>
      <c r="O1150" s="10">
        <v>1.04</v>
      </c>
      <c r="P1150" s="10">
        <v>1762</v>
      </c>
      <c r="Q1150" s="10">
        <v>171</v>
      </c>
      <c r="R1150" s="10">
        <v>104</v>
      </c>
      <c r="S1150" s="10">
        <v>48</v>
      </c>
      <c r="T1150" s="10">
        <v>229</v>
      </c>
      <c r="U1150" s="10">
        <v>10</v>
      </c>
      <c r="V1150" s="10">
        <v>87</v>
      </c>
      <c r="W1150" s="10">
        <v>0.20300000000000001</v>
      </c>
      <c r="X1150" s="10">
        <v>157</v>
      </c>
      <c r="Y1150" s="10">
        <v>61</v>
      </c>
      <c r="Z1150" s="10">
        <v>72</v>
      </c>
      <c r="AA1150" s="10">
        <v>4</v>
      </c>
      <c r="AB1150" s="10">
        <v>13.3</v>
      </c>
      <c r="AC1150" s="9" t="s">
        <v>188</v>
      </c>
      <c r="AD1150" s="10"/>
      <c r="AE1150" s="10"/>
      <c r="AF1150" s="10"/>
      <c r="AG1150" s="10"/>
    </row>
    <row r="1151" spans="1:33">
      <c r="A1151" s="7" t="s">
        <v>155</v>
      </c>
      <c r="B1151" s="8" t="s">
        <v>213</v>
      </c>
      <c r="C1151" s="9" t="s">
        <v>504</v>
      </c>
      <c r="D1151" s="10">
        <v>175</v>
      </c>
      <c r="E1151" s="9" t="s">
        <v>158</v>
      </c>
      <c r="F1151" s="10">
        <v>175</v>
      </c>
      <c r="G1151" s="10">
        <v>174</v>
      </c>
      <c r="H1151" s="10">
        <v>145</v>
      </c>
      <c r="I1151" s="10">
        <v>151</v>
      </c>
      <c r="J1151" s="10">
        <v>131</v>
      </c>
      <c r="K1151" s="10">
        <v>95</v>
      </c>
      <c r="L1151" s="10">
        <v>122</v>
      </c>
      <c r="M1151" s="10">
        <v>16.8</v>
      </c>
      <c r="N1151" s="10">
        <v>1793</v>
      </c>
      <c r="O1151" s="10">
        <v>1.04</v>
      </c>
      <c r="P1151" s="10">
        <v>1857</v>
      </c>
      <c r="Q1151" s="10">
        <v>188</v>
      </c>
      <c r="R1151" s="10">
        <v>110</v>
      </c>
      <c r="S1151" s="10">
        <v>44</v>
      </c>
      <c r="T1151" s="10">
        <v>204</v>
      </c>
      <c r="U1151" s="10">
        <v>9</v>
      </c>
      <c r="V1151" s="10">
        <v>87</v>
      </c>
      <c r="W1151" s="10">
        <v>0.20899999999999999</v>
      </c>
      <c r="X1151" s="10">
        <v>168</v>
      </c>
      <c r="Y1151" s="10">
        <v>60</v>
      </c>
      <c r="Z1151" s="10">
        <v>36</v>
      </c>
      <c r="AA1151" s="10">
        <v>5</v>
      </c>
      <c r="AB1151" s="10">
        <v>13.4</v>
      </c>
      <c r="AC1151" s="9" t="s">
        <v>188</v>
      </c>
      <c r="AD1151" s="10"/>
      <c r="AE1151" s="10"/>
      <c r="AF1151" s="10"/>
      <c r="AG1151" s="10"/>
    </row>
    <row r="1152" spans="1:33">
      <c r="A1152" s="7" t="s">
        <v>155</v>
      </c>
      <c r="B1152" s="8" t="s">
        <v>229</v>
      </c>
      <c r="C1152" s="9" t="s">
        <v>285</v>
      </c>
      <c r="D1152" s="10">
        <v>148</v>
      </c>
      <c r="E1152" s="9" t="s">
        <v>158</v>
      </c>
      <c r="F1152" s="10">
        <v>148</v>
      </c>
      <c r="G1152" s="10">
        <v>146.9</v>
      </c>
      <c r="H1152" s="10">
        <v>117</v>
      </c>
      <c r="I1152" s="10">
        <v>125</v>
      </c>
      <c r="J1152" s="10">
        <v>111</v>
      </c>
      <c r="K1152" s="10">
        <v>80</v>
      </c>
      <c r="L1152" s="10">
        <v>104</v>
      </c>
      <c r="M1152" s="10">
        <v>13.8</v>
      </c>
      <c r="N1152" s="10">
        <v>1433</v>
      </c>
      <c r="O1152" s="10">
        <v>0.93</v>
      </c>
      <c r="P1152" s="10">
        <v>1329</v>
      </c>
      <c r="Q1152" s="10">
        <v>154</v>
      </c>
      <c r="R1152" s="10">
        <v>77</v>
      </c>
      <c r="S1152" s="10">
        <v>46</v>
      </c>
      <c r="T1152" s="10">
        <v>160</v>
      </c>
      <c r="U1152" s="10">
        <v>38</v>
      </c>
      <c r="V1152" s="10">
        <v>140</v>
      </c>
      <c r="W1152" s="10">
        <v>0.81799999999999995</v>
      </c>
      <c r="X1152" s="10">
        <v>86</v>
      </c>
      <c r="Y1152" s="10">
        <v>130</v>
      </c>
      <c r="Z1152" s="10">
        <v>74</v>
      </c>
      <c r="AA1152" s="10">
        <v>5</v>
      </c>
      <c r="AB1152" s="10">
        <v>1.9</v>
      </c>
      <c r="AC1152" s="9" t="s">
        <v>188</v>
      </c>
      <c r="AD1152" s="9" t="s">
        <v>184</v>
      </c>
      <c r="AE1152" s="10"/>
      <c r="AF1152" s="10"/>
      <c r="AG1152" s="10"/>
    </row>
    <row r="1153" spans="1:33">
      <c r="A1153" s="7" t="s">
        <v>155</v>
      </c>
      <c r="B1153" s="8" t="s">
        <v>229</v>
      </c>
      <c r="C1153" s="9" t="s">
        <v>285</v>
      </c>
      <c r="D1153" s="10">
        <v>158</v>
      </c>
      <c r="E1153" s="9" t="s">
        <v>158</v>
      </c>
      <c r="F1153" s="10">
        <v>158</v>
      </c>
      <c r="G1153" s="10">
        <v>157.1</v>
      </c>
      <c r="H1153" s="10">
        <v>128</v>
      </c>
      <c r="I1153" s="10">
        <v>134</v>
      </c>
      <c r="J1153" s="10">
        <v>111</v>
      </c>
      <c r="K1153" s="10">
        <v>80</v>
      </c>
      <c r="L1153" s="10">
        <v>104</v>
      </c>
      <c r="M1153" s="10">
        <v>16.3</v>
      </c>
      <c r="N1153" s="10">
        <v>1564</v>
      </c>
      <c r="O1153" s="10">
        <v>0.91</v>
      </c>
      <c r="P1153" s="10">
        <v>1423</v>
      </c>
      <c r="Q1153" s="10">
        <v>173</v>
      </c>
      <c r="R1153" s="10">
        <v>87</v>
      </c>
      <c r="S1153" s="10">
        <v>43</v>
      </c>
      <c r="T1153" s="10">
        <v>152</v>
      </c>
      <c r="U1153" s="10">
        <v>36</v>
      </c>
      <c r="V1153" s="10">
        <v>138</v>
      </c>
      <c r="W1153" s="10">
        <v>0.83799999999999997</v>
      </c>
      <c r="X1153" s="10">
        <v>91</v>
      </c>
      <c r="Y1153" s="10">
        <v>137</v>
      </c>
      <c r="Z1153" s="10">
        <v>61</v>
      </c>
      <c r="AA1153" s="10">
        <v>8</v>
      </c>
      <c r="AB1153" s="10">
        <v>2.5</v>
      </c>
      <c r="AC1153" s="9" t="s">
        <v>188</v>
      </c>
      <c r="AD1153" s="9" t="s">
        <v>184</v>
      </c>
      <c r="AE1153" s="10"/>
      <c r="AF1153" s="10"/>
      <c r="AG1153" s="10"/>
    </row>
    <row r="1154" spans="1:33">
      <c r="A1154" s="7" t="s">
        <v>155</v>
      </c>
      <c r="B1154" s="8" t="s">
        <v>229</v>
      </c>
      <c r="C1154" s="9" t="s">
        <v>285</v>
      </c>
      <c r="D1154" s="10">
        <v>168</v>
      </c>
      <c r="E1154" s="9" t="s">
        <v>158</v>
      </c>
      <c r="F1154" s="10">
        <v>168</v>
      </c>
      <c r="G1154" s="10">
        <v>166.9</v>
      </c>
      <c r="H1154" s="10">
        <v>138</v>
      </c>
      <c r="I1154" s="10">
        <v>145</v>
      </c>
      <c r="J1154" s="10">
        <v>110</v>
      </c>
      <c r="K1154" s="10">
        <v>80</v>
      </c>
      <c r="L1154" s="10">
        <v>104</v>
      </c>
      <c r="M1154" s="10">
        <v>19.100000000000001</v>
      </c>
      <c r="N1154" s="10">
        <v>1640</v>
      </c>
      <c r="O1154" s="10">
        <v>0.92</v>
      </c>
      <c r="P1154" s="10">
        <v>1505</v>
      </c>
      <c r="Q1154" s="10">
        <v>193</v>
      </c>
      <c r="R1154" s="10">
        <v>107</v>
      </c>
      <c r="S1154" s="10">
        <v>45</v>
      </c>
      <c r="T1154" s="10">
        <v>153</v>
      </c>
      <c r="U1154" s="10">
        <v>34</v>
      </c>
      <c r="V1154" s="10">
        <v>135</v>
      </c>
      <c r="W1154" s="10">
        <v>0.76300000000000001</v>
      </c>
      <c r="X1154" s="10">
        <v>93</v>
      </c>
      <c r="Y1154" s="10">
        <v>129</v>
      </c>
      <c r="Z1154" s="10">
        <v>60</v>
      </c>
      <c r="AA1154" s="10">
        <v>9</v>
      </c>
      <c r="AB1154" s="10">
        <v>2.2000000000000002</v>
      </c>
      <c r="AC1154" s="9" t="s">
        <v>188</v>
      </c>
      <c r="AD1154" s="10"/>
      <c r="AE1154" s="10"/>
      <c r="AF1154" s="10"/>
      <c r="AG1154" s="10"/>
    </row>
    <row r="1155" spans="1:33">
      <c r="A1155" s="7" t="s">
        <v>155</v>
      </c>
      <c r="B1155" s="8" t="s">
        <v>229</v>
      </c>
      <c r="C1155" s="9" t="s">
        <v>470</v>
      </c>
      <c r="D1155" s="10">
        <v>148</v>
      </c>
      <c r="E1155" s="9" t="s">
        <v>158</v>
      </c>
      <c r="F1155" s="10">
        <v>148</v>
      </c>
      <c r="G1155" s="10">
        <v>148.19999999999999</v>
      </c>
      <c r="H1155" s="10">
        <v>111</v>
      </c>
      <c r="I1155" s="10">
        <v>133</v>
      </c>
      <c r="J1155" s="10">
        <v>119</v>
      </c>
      <c r="K1155" s="10">
        <v>85</v>
      </c>
      <c r="L1155" s="10">
        <v>109</v>
      </c>
      <c r="M1155" s="10">
        <v>14.9</v>
      </c>
      <c r="N1155" s="10">
        <v>1462</v>
      </c>
      <c r="O1155" s="10">
        <v>0.97</v>
      </c>
      <c r="P1155" s="10">
        <v>1418</v>
      </c>
      <c r="Q1155" s="10">
        <v>145</v>
      </c>
      <c r="R1155" s="10">
        <v>72</v>
      </c>
      <c r="S1155" s="10">
        <v>41</v>
      </c>
      <c r="T1155" s="10">
        <v>188</v>
      </c>
      <c r="U1155" s="10">
        <v>40</v>
      </c>
      <c r="V1155" s="10">
        <v>184</v>
      </c>
      <c r="W1155" s="10">
        <v>0.98699999999999999</v>
      </c>
      <c r="X1155" s="10">
        <v>82</v>
      </c>
      <c r="Y1155" s="10">
        <v>70</v>
      </c>
      <c r="Z1155" s="10">
        <v>106</v>
      </c>
      <c r="AA1155" s="10">
        <v>3</v>
      </c>
      <c r="AB1155" s="10">
        <v>1.6</v>
      </c>
      <c r="AC1155" s="9" t="s">
        <v>184</v>
      </c>
      <c r="AD1155" s="10"/>
      <c r="AE1155" s="10"/>
      <c r="AF1155" s="10"/>
      <c r="AG1155" s="10"/>
    </row>
    <row r="1156" spans="1:33">
      <c r="A1156" s="7" t="s">
        <v>155</v>
      </c>
      <c r="B1156" s="8" t="s">
        <v>229</v>
      </c>
      <c r="C1156" s="9" t="s">
        <v>470</v>
      </c>
      <c r="D1156" s="10">
        <v>156</v>
      </c>
      <c r="E1156" s="9" t="s">
        <v>158</v>
      </c>
      <c r="F1156" s="10">
        <v>156</v>
      </c>
      <c r="G1156" s="10">
        <v>155.5</v>
      </c>
      <c r="H1156" s="10">
        <v>113</v>
      </c>
      <c r="I1156" s="10">
        <v>141</v>
      </c>
      <c r="J1156" s="10">
        <v>119</v>
      </c>
      <c r="K1156" s="10">
        <v>85</v>
      </c>
      <c r="L1156" s="10">
        <v>109</v>
      </c>
      <c r="M1156" s="10">
        <v>16.600000000000001</v>
      </c>
      <c r="N1156" s="10">
        <v>1556</v>
      </c>
      <c r="O1156" s="10">
        <v>0.96</v>
      </c>
      <c r="P1156" s="10">
        <v>1487</v>
      </c>
      <c r="Q1156" s="10">
        <v>155</v>
      </c>
      <c r="R1156" s="10">
        <v>73</v>
      </c>
      <c r="S1156" s="10">
        <v>41</v>
      </c>
      <c r="T1156" s="10">
        <v>234</v>
      </c>
      <c r="U1156" s="10">
        <v>39</v>
      </c>
      <c r="V1156" s="10">
        <v>189</v>
      </c>
      <c r="W1156" s="10">
        <v>0.96299999999999997</v>
      </c>
      <c r="X1156" s="10">
        <v>79</v>
      </c>
      <c r="Y1156" s="10">
        <v>71</v>
      </c>
      <c r="Z1156" s="10">
        <v>155</v>
      </c>
      <c r="AA1156" s="10">
        <v>3</v>
      </c>
      <c r="AB1156" s="10">
        <v>1.3</v>
      </c>
      <c r="AC1156" s="9" t="s">
        <v>184</v>
      </c>
      <c r="AD1156" s="10"/>
      <c r="AE1156" s="10"/>
      <c r="AF1156" s="10"/>
      <c r="AG1156" s="10"/>
    </row>
    <row r="1157" spans="1:33">
      <c r="A1157" s="7" t="s">
        <v>155</v>
      </c>
      <c r="B1157" s="8" t="s">
        <v>229</v>
      </c>
      <c r="C1157" s="9" t="s">
        <v>470</v>
      </c>
      <c r="D1157" s="10">
        <v>164</v>
      </c>
      <c r="E1157" s="9" t="s">
        <v>158</v>
      </c>
      <c r="F1157" s="10">
        <v>164</v>
      </c>
      <c r="G1157" s="10">
        <v>163</v>
      </c>
      <c r="H1157" s="10">
        <v>118</v>
      </c>
      <c r="I1157" s="10">
        <v>148</v>
      </c>
      <c r="J1157" s="10">
        <v>119</v>
      </c>
      <c r="K1157" s="10">
        <v>85</v>
      </c>
      <c r="L1157" s="10">
        <v>109</v>
      </c>
      <c r="M1157" s="10">
        <v>18</v>
      </c>
      <c r="N1157" s="10">
        <v>1603</v>
      </c>
      <c r="O1157" s="10">
        <v>0.97</v>
      </c>
      <c r="P1157" s="10">
        <v>1560</v>
      </c>
      <c r="Q1157" s="10">
        <v>159</v>
      </c>
      <c r="R1157" s="10">
        <v>79</v>
      </c>
      <c r="S1157" s="10">
        <v>42</v>
      </c>
      <c r="T1157" s="10">
        <v>239</v>
      </c>
      <c r="U1157" s="10">
        <v>40</v>
      </c>
      <c r="V1157" s="10">
        <v>216</v>
      </c>
      <c r="W1157" s="10">
        <v>0.96</v>
      </c>
      <c r="X1157" s="10">
        <v>82</v>
      </c>
      <c r="Y1157" s="10">
        <v>68</v>
      </c>
      <c r="Z1157" s="10">
        <v>157</v>
      </c>
      <c r="AA1157" s="10">
        <v>3</v>
      </c>
      <c r="AB1157" s="10">
        <v>1.6</v>
      </c>
      <c r="AC1157" s="9" t="s">
        <v>184</v>
      </c>
      <c r="AD1157" s="10"/>
      <c r="AE1157" s="10"/>
      <c r="AF1157" s="10"/>
      <c r="AG1157" s="10"/>
    </row>
    <row r="1158" spans="1:33">
      <c r="A1158" s="7" t="s">
        <v>155</v>
      </c>
      <c r="B1158" s="8" t="s">
        <v>229</v>
      </c>
      <c r="C1158" s="9" t="s">
        <v>470</v>
      </c>
      <c r="D1158" s="10">
        <v>172</v>
      </c>
      <c r="E1158" s="9" t="s">
        <v>158</v>
      </c>
      <c r="F1158" s="10">
        <v>172</v>
      </c>
      <c r="G1158" s="10">
        <v>173</v>
      </c>
      <c r="H1158" s="10">
        <v>129</v>
      </c>
      <c r="I1158" s="10">
        <v>159</v>
      </c>
      <c r="J1158" s="10">
        <v>119</v>
      </c>
      <c r="K1158" s="10">
        <v>85</v>
      </c>
      <c r="L1158" s="10">
        <v>109</v>
      </c>
      <c r="M1158" s="10">
        <v>21.2</v>
      </c>
      <c r="N1158" s="10">
        <v>1754</v>
      </c>
      <c r="O1158" s="10">
        <v>0.94</v>
      </c>
      <c r="P1158" s="10">
        <v>1655</v>
      </c>
      <c r="Q1158" s="10">
        <v>188</v>
      </c>
      <c r="R1158" s="10">
        <v>92</v>
      </c>
      <c r="S1158" s="10">
        <v>42</v>
      </c>
      <c r="T1158" s="10">
        <v>226</v>
      </c>
      <c r="U1158" s="10">
        <v>36</v>
      </c>
      <c r="V1158" s="10">
        <v>210</v>
      </c>
      <c r="W1158" s="10">
        <v>0.86099999999999999</v>
      </c>
      <c r="X1158" s="10">
        <v>81</v>
      </c>
      <c r="Y1158" s="10">
        <v>62</v>
      </c>
      <c r="Z1158" s="10">
        <v>145</v>
      </c>
      <c r="AA1158" s="10">
        <v>6</v>
      </c>
      <c r="AB1158" s="10">
        <v>2</v>
      </c>
      <c r="AC1158" s="9" t="s">
        <v>184</v>
      </c>
      <c r="AD1158" s="10"/>
      <c r="AE1158" s="10"/>
      <c r="AF1158" s="10"/>
      <c r="AG1158" s="10"/>
    </row>
    <row r="1159" spans="1:33">
      <c r="A1159" s="7" t="s">
        <v>155</v>
      </c>
      <c r="B1159" s="8" t="s">
        <v>229</v>
      </c>
      <c r="C1159" s="9" t="s">
        <v>470</v>
      </c>
      <c r="D1159" s="10">
        <v>180</v>
      </c>
      <c r="E1159" s="9" t="s">
        <v>158</v>
      </c>
      <c r="F1159" s="10">
        <v>180</v>
      </c>
      <c r="G1159" s="10">
        <v>180.3</v>
      </c>
      <c r="H1159" s="10">
        <v>122</v>
      </c>
      <c r="I1159" s="10">
        <v>166</v>
      </c>
      <c r="J1159" s="10">
        <v>119</v>
      </c>
      <c r="K1159" s="10">
        <v>85</v>
      </c>
      <c r="L1159" s="10">
        <v>109</v>
      </c>
      <c r="M1159" s="10">
        <v>23.5</v>
      </c>
      <c r="N1159" s="10">
        <v>1832</v>
      </c>
      <c r="O1159" s="10">
        <v>0.94</v>
      </c>
      <c r="P1159" s="10">
        <v>1724</v>
      </c>
      <c r="Q1159" s="10">
        <v>205</v>
      </c>
      <c r="R1159" s="10">
        <v>99</v>
      </c>
      <c r="S1159" s="10">
        <v>43</v>
      </c>
      <c r="T1159" s="10">
        <v>285</v>
      </c>
      <c r="U1159" s="10">
        <v>39</v>
      </c>
      <c r="V1159" s="10">
        <v>295</v>
      </c>
      <c r="W1159" s="10">
        <v>0.90200000000000002</v>
      </c>
      <c r="X1159" s="10">
        <v>79</v>
      </c>
      <c r="Y1159" s="10">
        <v>68</v>
      </c>
      <c r="Z1159" s="10">
        <v>206</v>
      </c>
      <c r="AA1159" s="10">
        <v>4</v>
      </c>
      <c r="AB1159" s="10">
        <v>1.6</v>
      </c>
      <c r="AC1159" s="9" t="s">
        <v>184</v>
      </c>
      <c r="AD1159" s="10"/>
      <c r="AE1159" s="10"/>
      <c r="AF1159" s="10"/>
      <c r="AG1159" s="10"/>
    </row>
    <row r="1160" spans="1:33">
      <c r="A1160" s="7" t="s">
        <v>155</v>
      </c>
      <c r="B1160" s="8" t="s">
        <v>229</v>
      </c>
      <c r="C1160" s="9" t="s">
        <v>445</v>
      </c>
      <c r="D1160" s="10">
        <v>148</v>
      </c>
      <c r="E1160" s="9" t="s">
        <v>163</v>
      </c>
      <c r="F1160" s="10">
        <v>148</v>
      </c>
      <c r="G1160" s="10">
        <v>147.80000000000001</v>
      </c>
      <c r="H1160" s="10">
        <v>110</v>
      </c>
      <c r="I1160" s="10">
        <v>133</v>
      </c>
      <c r="J1160" s="10">
        <v>119</v>
      </c>
      <c r="K1160" s="10">
        <v>85</v>
      </c>
      <c r="L1160" s="10">
        <v>109</v>
      </c>
      <c r="M1160" s="10">
        <v>14.7</v>
      </c>
      <c r="N1160" s="10">
        <v>1429</v>
      </c>
      <c r="O1160" s="10">
        <v>0.99</v>
      </c>
      <c r="P1160" s="10">
        <v>1414</v>
      </c>
      <c r="Q1160" s="10">
        <v>144</v>
      </c>
      <c r="R1160" s="10">
        <v>68</v>
      </c>
      <c r="S1160" s="10">
        <v>39</v>
      </c>
      <c r="T1160" s="10">
        <v>205</v>
      </c>
      <c r="U1160" s="10">
        <v>39</v>
      </c>
      <c r="V1160" s="10">
        <v>177</v>
      </c>
      <c r="W1160" s="10">
        <v>1.0029999999999999</v>
      </c>
      <c r="X1160" s="10">
        <v>78</v>
      </c>
      <c r="Y1160" s="10">
        <v>71</v>
      </c>
      <c r="Z1160" s="10">
        <v>127</v>
      </c>
      <c r="AA1160" s="10">
        <v>3</v>
      </c>
      <c r="AB1160" s="10">
        <v>1.9</v>
      </c>
      <c r="AC1160" s="9" t="s">
        <v>184</v>
      </c>
      <c r="AD1160" s="10"/>
      <c r="AE1160" s="10"/>
      <c r="AF1160" s="10"/>
      <c r="AG1160" s="10"/>
    </row>
    <row r="1161" spans="1:33">
      <c r="A1161" s="7" t="s">
        <v>155</v>
      </c>
      <c r="B1161" s="8" t="s">
        <v>229</v>
      </c>
      <c r="C1161" s="9" t="s">
        <v>445</v>
      </c>
      <c r="D1161" s="10">
        <v>156</v>
      </c>
      <c r="E1161" s="9" t="s">
        <v>163</v>
      </c>
      <c r="F1161" s="10">
        <v>156</v>
      </c>
      <c r="G1161" s="10">
        <v>155.1</v>
      </c>
      <c r="H1161" s="10">
        <v>116</v>
      </c>
      <c r="I1161" s="10">
        <v>141</v>
      </c>
      <c r="J1161" s="10">
        <v>120</v>
      </c>
      <c r="K1161" s="10">
        <v>86</v>
      </c>
      <c r="L1161" s="10">
        <v>109</v>
      </c>
      <c r="M1161" s="10">
        <v>16.5</v>
      </c>
      <c r="N1161" s="10">
        <v>1578</v>
      </c>
      <c r="O1161" s="10">
        <v>0.95</v>
      </c>
      <c r="P1161" s="10">
        <v>1493</v>
      </c>
      <c r="Q1161" s="10">
        <v>164</v>
      </c>
      <c r="R1161" s="10">
        <v>77</v>
      </c>
      <c r="S1161" s="10">
        <v>39</v>
      </c>
      <c r="T1161" s="10">
        <v>210</v>
      </c>
      <c r="U1161" s="10">
        <v>38</v>
      </c>
      <c r="V1161" s="10">
        <v>177</v>
      </c>
      <c r="W1161" s="10">
        <v>0.98299999999999998</v>
      </c>
      <c r="X1161" s="10">
        <v>72</v>
      </c>
      <c r="Y1161" s="10">
        <v>72</v>
      </c>
      <c r="Z1161" s="10">
        <v>138</v>
      </c>
      <c r="AA1161" s="10">
        <v>3</v>
      </c>
      <c r="AB1161" s="10">
        <v>2.1</v>
      </c>
      <c r="AC1161" s="9" t="s">
        <v>184</v>
      </c>
      <c r="AD1161" s="10"/>
      <c r="AE1161" s="10"/>
      <c r="AF1161" s="10"/>
      <c r="AG1161" s="10"/>
    </row>
    <row r="1162" spans="1:33">
      <c r="A1162" s="7" t="s">
        <v>155</v>
      </c>
      <c r="B1162" s="8" t="s">
        <v>229</v>
      </c>
      <c r="C1162" s="9" t="s">
        <v>445</v>
      </c>
      <c r="D1162" s="10">
        <v>164</v>
      </c>
      <c r="E1162" s="9" t="s">
        <v>163</v>
      </c>
      <c r="F1162" s="10">
        <v>164</v>
      </c>
      <c r="G1162" s="10">
        <v>162.5</v>
      </c>
      <c r="H1162" s="10">
        <v>110</v>
      </c>
      <c r="I1162" s="10">
        <v>147</v>
      </c>
      <c r="J1162" s="10">
        <v>120</v>
      </c>
      <c r="K1162" s="10">
        <v>86</v>
      </c>
      <c r="L1162" s="10">
        <v>110</v>
      </c>
      <c r="M1162" s="10">
        <v>18.2</v>
      </c>
      <c r="N1162" s="10">
        <v>1600</v>
      </c>
      <c r="O1162" s="10">
        <v>0.98</v>
      </c>
      <c r="P1162" s="10">
        <v>1562</v>
      </c>
      <c r="Q1162" s="10">
        <v>171</v>
      </c>
      <c r="R1162" s="10">
        <v>78</v>
      </c>
      <c r="S1162" s="10">
        <v>41</v>
      </c>
      <c r="T1162" s="10">
        <v>269</v>
      </c>
      <c r="U1162" s="10">
        <v>40</v>
      </c>
      <c r="V1162" s="10">
        <v>254</v>
      </c>
      <c r="W1162" s="10">
        <v>0.97299999999999998</v>
      </c>
      <c r="X1162" s="10">
        <v>78</v>
      </c>
      <c r="Y1162" s="10">
        <v>76</v>
      </c>
      <c r="Z1162" s="10">
        <v>191</v>
      </c>
      <c r="AA1162" s="10">
        <v>2</v>
      </c>
      <c r="AB1162" s="10">
        <v>2.2000000000000002</v>
      </c>
      <c r="AC1162" s="9" t="s">
        <v>184</v>
      </c>
      <c r="AD1162" s="10"/>
      <c r="AE1162" s="10"/>
      <c r="AF1162" s="10"/>
      <c r="AG1162" s="10"/>
    </row>
    <row r="1163" spans="1:33">
      <c r="A1163" s="7" t="s">
        <v>155</v>
      </c>
      <c r="B1163" s="8" t="s">
        <v>229</v>
      </c>
      <c r="C1163" s="9" t="s">
        <v>445</v>
      </c>
      <c r="D1163" s="10">
        <v>172</v>
      </c>
      <c r="E1163" s="9" t="s">
        <v>163</v>
      </c>
      <c r="F1163" s="10">
        <v>172</v>
      </c>
      <c r="G1163" s="10">
        <v>172.6</v>
      </c>
      <c r="H1163" s="10">
        <v>123</v>
      </c>
      <c r="I1163" s="10">
        <v>158</v>
      </c>
      <c r="J1163" s="10">
        <v>119</v>
      </c>
      <c r="K1163" s="10">
        <v>85</v>
      </c>
      <c r="L1163" s="10">
        <v>109</v>
      </c>
      <c r="M1163" s="10">
        <v>21.1</v>
      </c>
      <c r="N1163" s="10">
        <v>1733</v>
      </c>
      <c r="O1163" s="10">
        <v>0.95</v>
      </c>
      <c r="P1163" s="10">
        <v>1652</v>
      </c>
      <c r="Q1163" s="10">
        <v>193</v>
      </c>
      <c r="R1163" s="10">
        <v>89</v>
      </c>
      <c r="S1163" s="10">
        <v>42</v>
      </c>
      <c r="T1163" s="10">
        <v>271</v>
      </c>
      <c r="U1163" s="10">
        <v>37</v>
      </c>
      <c r="V1163" s="10">
        <v>228</v>
      </c>
      <c r="W1163" s="10">
        <v>0.88100000000000001</v>
      </c>
      <c r="X1163" s="10">
        <v>75</v>
      </c>
      <c r="Y1163" s="10">
        <v>74</v>
      </c>
      <c r="Z1163" s="10">
        <v>196</v>
      </c>
      <c r="AA1163" s="10">
        <v>4</v>
      </c>
      <c r="AB1163" s="10">
        <v>1.7</v>
      </c>
      <c r="AC1163" s="9" t="s">
        <v>184</v>
      </c>
      <c r="AD1163" s="10"/>
      <c r="AE1163" s="10"/>
      <c r="AF1163" s="10"/>
      <c r="AG1163" s="10"/>
    </row>
    <row r="1164" spans="1:33">
      <c r="A1164" s="7" t="s">
        <v>155</v>
      </c>
      <c r="B1164" s="8" t="s">
        <v>229</v>
      </c>
      <c r="C1164" s="9" t="s">
        <v>335</v>
      </c>
      <c r="D1164" s="10">
        <v>165</v>
      </c>
      <c r="E1164" s="9" t="s">
        <v>158</v>
      </c>
      <c r="F1164" s="10">
        <v>165</v>
      </c>
      <c r="G1164" s="10">
        <v>164.5</v>
      </c>
      <c r="H1164" s="10">
        <v>94</v>
      </c>
      <c r="I1164" s="10">
        <v>141</v>
      </c>
      <c r="J1164" s="10">
        <v>144</v>
      </c>
      <c r="K1164" s="10">
        <v>105</v>
      </c>
      <c r="L1164" s="10">
        <v>127</v>
      </c>
      <c r="M1164" s="10">
        <v>15.2</v>
      </c>
      <c r="N1164" s="10">
        <v>1606</v>
      </c>
      <c r="O1164" s="10">
        <v>1.2</v>
      </c>
      <c r="P1164" s="10">
        <v>1927</v>
      </c>
      <c r="Q1164" s="10">
        <v>176</v>
      </c>
      <c r="R1164" s="10">
        <v>90</v>
      </c>
      <c r="S1164" s="10">
        <v>54</v>
      </c>
      <c r="T1164" s="10">
        <v>444</v>
      </c>
      <c r="U1164" s="10">
        <v>23</v>
      </c>
      <c r="V1164" s="10">
        <v>263</v>
      </c>
      <c r="W1164" s="10">
        <v>0.434</v>
      </c>
      <c r="X1164" s="10">
        <v>139</v>
      </c>
      <c r="Y1164" s="10">
        <v>99</v>
      </c>
      <c r="Z1164" s="10">
        <v>304</v>
      </c>
      <c r="AA1164" s="10">
        <v>2</v>
      </c>
      <c r="AB1164" s="10">
        <v>11.5</v>
      </c>
      <c r="AC1164" s="9" t="s">
        <v>169</v>
      </c>
      <c r="AD1164" s="9" t="s">
        <v>185</v>
      </c>
      <c r="AE1164" s="10"/>
      <c r="AF1164" s="10"/>
      <c r="AG1164" s="10"/>
    </row>
    <row r="1165" spans="1:33">
      <c r="A1165" s="7" t="s">
        <v>155</v>
      </c>
      <c r="B1165" s="8" t="s">
        <v>229</v>
      </c>
      <c r="C1165" s="9" t="s">
        <v>335</v>
      </c>
      <c r="D1165" s="10">
        <v>172</v>
      </c>
      <c r="E1165" s="9" t="s">
        <v>158</v>
      </c>
      <c r="F1165" s="10">
        <v>172</v>
      </c>
      <c r="G1165" s="10">
        <v>171.7</v>
      </c>
      <c r="H1165" s="10">
        <v>96</v>
      </c>
      <c r="I1165" s="10">
        <v>148</v>
      </c>
      <c r="J1165" s="10">
        <v>144</v>
      </c>
      <c r="K1165" s="10">
        <v>105</v>
      </c>
      <c r="L1165" s="10">
        <v>127</v>
      </c>
      <c r="M1165" s="10">
        <v>16.899999999999999</v>
      </c>
      <c r="N1165" s="10">
        <v>1642</v>
      </c>
      <c r="O1165" s="10">
        <v>1.23</v>
      </c>
      <c r="P1165" s="10">
        <v>2013</v>
      </c>
      <c r="Q1165" s="10">
        <v>192</v>
      </c>
      <c r="R1165" s="10">
        <v>95</v>
      </c>
      <c r="S1165" s="10">
        <v>54</v>
      </c>
      <c r="T1165" s="10">
        <v>475</v>
      </c>
      <c r="U1165" s="10">
        <v>24</v>
      </c>
      <c r="V1165" s="10">
        <v>277</v>
      </c>
      <c r="W1165" s="10">
        <v>0.44</v>
      </c>
      <c r="X1165" s="10">
        <v>138</v>
      </c>
      <c r="Y1165" s="10">
        <v>96</v>
      </c>
      <c r="Z1165" s="10">
        <v>337</v>
      </c>
      <c r="AA1165" s="10">
        <v>1</v>
      </c>
      <c r="AB1165" s="10">
        <v>11.6</v>
      </c>
      <c r="AC1165" s="9" t="s">
        <v>169</v>
      </c>
      <c r="AD1165" s="9" t="s">
        <v>185</v>
      </c>
      <c r="AE1165" s="10"/>
      <c r="AF1165" s="10"/>
      <c r="AG1165" s="10"/>
    </row>
    <row r="1166" spans="1:33">
      <c r="A1166" s="7" t="s">
        <v>155</v>
      </c>
      <c r="B1166" s="8" t="s">
        <v>229</v>
      </c>
      <c r="C1166" s="9" t="s">
        <v>335</v>
      </c>
      <c r="D1166" s="10">
        <v>179</v>
      </c>
      <c r="E1166" s="9" t="s">
        <v>158</v>
      </c>
      <c r="F1166" s="10">
        <v>179</v>
      </c>
      <c r="G1166" s="10">
        <v>179.4</v>
      </c>
      <c r="H1166" s="10">
        <v>111</v>
      </c>
      <c r="I1166" s="10">
        <v>155</v>
      </c>
      <c r="J1166" s="10">
        <v>145</v>
      </c>
      <c r="K1166" s="10">
        <v>105</v>
      </c>
      <c r="L1166" s="10">
        <v>127</v>
      </c>
      <c r="M1166" s="10">
        <v>18.7</v>
      </c>
      <c r="N1166" s="10">
        <v>1763</v>
      </c>
      <c r="O1166" s="10">
        <v>1.19</v>
      </c>
      <c r="P1166" s="10">
        <v>2103</v>
      </c>
      <c r="Q1166" s="10">
        <v>187</v>
      </c>
      <c r="R1166" s="10">
        <v>95</v>
      </c>
      <c r="S1166" s="10">
        <v>52</v>
      </c>
      <c r="T1166" s="10">
        <v>434</v>
      </c>
      <c r="U1166" s="10">
        <v>22</v>
      </c>
      <c r="V1166" s="10">
        <v>248</v>
      </c>
      <c r="W1166" s="10">
        <v>0.42</v>
      </c>
      <c r="X1166" s="10">
        <v>145</v>
      </c>
      <c r="Y1166" s="10">
        <v>97</v>
      </c>
      <c r="Z1166" s="10">
        <v>290</v>
      </c>
      <c r="AA1166" s="10">
        <v>2</v>
      </c>
      <c r="AB1166" s="10">
        <v>13</v>
      </c>
      <c r="AC1166" s="9" t="s">
        <v>169</v>
      </c>
      <c r="AD1166" s="9" t="s">
        <v>185</v>
      </c>
      <c r="AE1166" s="10"/>
      <c r="AF1166" s="10"/>
      <c r="AG1166" s="10"/>
    </row>
    <row r="1167" spans="1:33">
      <c r="A1167" s="7" t="s">
        <v>155</v>
      </c>
      <c r="B1167" s="8" t="s">
        <v>229</v>
      </c>
      <c r="C1167" s="9" t="s">
        <v>335</v>
      </c>
      <c r="D1167" s="10">
        <v>186</v>
      </c>
      <c r="E1167" s="9" t="s">
        <v>158</v>
      </c>
      <c r="F1167" s="10">
        <v>186</v>
      </c>
      <c r="G1167" s="10">
        <v>186.9</v>
      </c>
      <c r="H1167" s="10">
        <v>114</v>
      </c>
      <c r="I1167" s="10">
        <v>162</v>
      </c>
      <c r="J1167" s="10">
        <v>145</v>
      </c>
      <c r="K1167" s="10">
        <v>105</v>
      </c>
      <c r="L1167" s="10">
        <v>127</v>
      </c>
      <c r="M1167" s="10">
        <v>20.6</v>
      </c>
      <c r="N1167" s="10">
        <v>1845</v>
      </c>
      <c r="O1167" s="10">
        <v>1.19</v>
      </c>
      <c r="P1167" s="10">
        <v>2189</v>
      </c>
      <c r="Q1167" s="10">
        <v>200</v>
      </c>
      <c r="R1167" s="10">
        <v>102</v>
      </c>
      <c r="S1167" s="10">
        <v>55</v>
      </c>
      <c r="T1167" s="10">
        <v>475</v>
      </c>
      <c r="U1167" s="10">
        <v>23</v>
      </c>
      <c r="V1167" s="10">
        <v>257</v>
      </c>
      <c r="W1167" s="10">
        <v>0.41699999999999998</v>
      </c>
      <c r="X1167" s="10">
        <v>145</v>
      </c>
      <c r="Y1167" s="10">
        <v>103</v>
      </c>
      <c r="Z1167" s="10">
        <v>330</v>
      </c>
      <c r="AA1167" s="10">
        <v>2</v>
      </c>
      <c r="AB1167" s="10">
        <v>11.3</v>
      </c>
      <c r="AC1167" s="9" t="s">
        <v>169</v>
      </c>
      <c r="AD1167" s="9" t="s">
        <v>185</v>
      </c>
      <c r="AE1167" s="10"/>
      <c r="AF1167" s="10"/>
      <c r="AG1167" s="10"/>
    </row>
    <row r="1168" spans="1:33">
      <c r="A1168" s="7" t="s">
        <v>155</v>
      </c>
      <c r="B1168" s="8" t="s">
        <v>229</v>
      </c>
      <c r="C1168" s="9" t="s">
        <v>382</v>
      </c>
      <c r="D1168" s="10">
        <v>158</v>
      </c>
      <c r="E1168" s="9" t="s">
        <v>163</v>
      </c>
      <c r="F1168" s="10">
        <v>158</v>
      </c>
      <c r="G1168" s="10">
        <v>159.19999999999999</v>
      </c>
      <c r="H1168" s="10">
        <v>85</v>
      </c>
      <c r="I1168" s="10">
        <v>135</v>
      </c>
      <c r="J1168" s="10">
        <v>145</v>
      </c>
      <c r="K1168" s="10">
        <v>105</v>
      </c>
      <c r="L1168" s="10">
        <v>127</v>
      </c>
      <c r="M1168" s="10">
        <v>13.8</v>
      </c>
      <c r="N1168" s="10">
        <v>1526</v>
      </c>
      <c r="O1168" s="10">
        <v>1.23</v>
      </c>
      <c r="P1168" s="10">
        <v>1873</v>
      </c>
      <c r="Q1168" s="10">
        <v>189</v>
      </c>
      <c r="R1168" s="10">
        <v>101</v>
      </c>
      <c r="S1168" s="10">
        <v>50</v>
      </c>
      <c r="T1168" s="10">
        <v>441</v>
      </c>
      <c r="U1168" s="10">
        <v>23</v>
      </c>
      <c r="V1168" s="10">
        <v>297</v>
      </c>
      <c r="W1168" s="10">
        <v>0.46600000000000003</v>
      </c>
      <c r="X1168" s="10">
        <v>139</v>
      </c>
      <c r="Y1168" s="10">
        <v>101</v>
      </c>
      <c r="Z1168" s="10">
        <v>302</v>
      </c>
      <c r="AA1168" s="10">
        <v>1</v>
      </c>
      <c r="AB1168" s="10">
        <v>11.6</v>
      </c>
      <c r="AC1168" s="9" t="s">
        <v>169</v>
      </c>
      <c r="AD1168" s="9" t="s">
        <v>185</v>
      </c>
      <c r="AE1168" s="10"/>
      <c r="AF1168" s="10"/>
      <c r="AG1168" s="10"/>
    </row>
    <row r="1169" spans="1:33">
      <c r="A1169" s="7" t="s">
        <v>155</v>
      </c>
      <c r="B1169" s="8" t="s">
        <v>229</v>
      </c>
      <c r="C1169" s="9" t="s">
        <v>382</v>
      </c>
      <c r="D1169" s="10">
        <v>165</v>
      </c>
      <c r="E1169" s="9" t="s">
        <v>163</v>
      </c>
      <c r="F1169" s="10">
        <v>165</v>
      </c>
      <c r="G1169" s="10">
        <v>164.2</v>
      </c>
      <c r="H1169" s="10">
        <v>90</v>
      </c>
      <c r="I1169" s="10">
        <v>140</v>
      </c>
      <c r="J1169" s="10">
        <v>145</v>
      </c>
      <c r="K1169" s="10">
        <v>105</v>
      </c>
      <c r="L1169" s="10">
        <v>127</v>
      </c>
      <c r="M1169" s="10">
        <v>15</v>
      </c>
      <c r="N1169" s="10">
        <v>1626</v>
      </c>
      <c r="O1169" s="10">
        <v>1.19</v>
      </c>
      <c r="P1169" s="10">
        <v>1933</v>
      </c>
      <c r="Q1169" s="10">
        <v>176</v>
      </c>
      <c r="R1169" s="10">
        <v>100</v>
      </c>
      <c r="S1169" s="10">
        <v>53</v>
      </c>
      <c r="T1169" s="10">
        <v>458</v>
      </c>
      <c r="U1169" s="10">
        <v>23</v>
      </c>
      <c r="V1169" s="10">
        <v>289</v>
      </c>
      <c r="W1169" s="10">
        <v>0.438</v>
      </c>
      <c r="X1169" s="10">
        <v>137</v>
      </c>
      <c r="Y1169" s="10">
        <v>107</v>
      </c>
      <c r="Z1169" s="10">
        <v>321</v>
      </c>
      <c r="AA1169" s="10">
        <v>1</v>
      </c>
      <c r="AB1169" s="10">
        <v>12.4</v>
      </c>
      <c r="AC1169" s="9" t="s">
        <v>169</v>
      </c>
      <c r="AD1169" s="9" t="s">
        <v>185</v>
      </c>
      <c r="AE1169" s="10"/>
      <c r="AF1169" s="10"/>
      <c r="AG1169" s="10"/>
    </row>
    <row r="1170" spans="1:33">
      <c r="A1170" s="7" t="s">
        <v>155</v>
      </c>
      <c r="B1170" s="8" t="s">
        <v>229</v>
      </c>
      <c r="C1170" s="9" t="s">
        <v>382</v>
      </c>
      <c r="D1170" s="10">
        <v>172</v>
      </c>
      <c r="E1170" s="9" t="s">
        <v>163</v>
      </c>
      <c r="F1170" s="10">
        <v>172</v>
      </c>
      <c r="G1170" s="10">
        <v>171.5</v>
      </c>
      <c r="H1170" s="10">
        <v>95</v>
      </c>
      <c r="I1170" s="10">
        <v>147</v>
      </c>
      <c r="J1170" s="10">
        <v>145</v>
      </c>
      <c r="K1170" s="10">
        <v>106</v>
      </c>
      <c r="L1170" s="10">
        <v>127</v>
      </c>
      <c r="M1170" s="10">
        <v>16.600000000000001</v>
      </c>
      <c r="N1170" s="10">
        <v>1688</v>
      </c>
      <c r="O1170" s="10">
        <v>1.2</v>
      </c>
      <c r="P1170" s="10">
        <v>2017</v>
      </c>
      <c r="Q1170" s="10">
        <v>196</v>
      </c>
      <c r="R1170" s="10">
        <v>98</v>
      </c>
      <c r="S1170" s="10">
        <v>54</v>
      </c>
      <c r="T1170" s="10">
        <v>465</v>
      </c>
      <c r="U1170" s="10">
        <v>25</v>
      </c>
      <c r="V1170" s="10">
        <v>296</v>
      </c>
      <c r="W1170" s="10">
        <v>0.46100000000000002</v>
      </c>
      <c r="X1170" s="10">
        <v>136</v>
      </c>
      <c r="Y1170" s="10">
        <v>105</v>
      </c>
      <c r="Z1170" s="10">
        <v>329</v>
      </c>
      <c r="AA1170" s="10">
        <v>1</v>
      </c>
      <c r="AB1170" s="10">
        <v>12</v>
      </c>
      <c r="AC1170" s="9" t="s">
        <v>169</v>
      </c>
      <c r="AD1170" s="9" t="s">
        <v>185</v>
      </c>
      <c r="AE1170" s="10"/>
      <c r="AF1170" s="10"/>
      <c r="AG1170" s="10"/>
    </row>
    <row r="1171" spans="1:33">
      <c r="A1171" s="7" t="s">
        <v>155</v>
      </c>
      <c r="B1171" s="8" t="s">
        <v>229</v>
      </c>
      <c r="C1171" s="9" t="s">
        <v>624</v>
      </c>
      <c r="D1171" s="10">
        <v>159</v>
      </c>
      <c r="E1171" s="9" t="s">
        <v>158</v>
      </c>
      <c r="F1171" s="10">
        <v>159</v>
      </c>
      <c r="G1171" s="10">
        <v>159.69999999999999</v>
      </c>
      <c r="H1171" s="10">
        <v>115</v>
      </c>
      <c r="I1171" s="10">
        <v>135</v>
      </c>
      <c r="J1171" s="10">
        <v>128</v>
      </c>
      <c r="K1171" s="10">
        <v>85</v>
      </c>
      <c r="L1171" s="10">
        <v>110</v>
      </c>
      <c r="M1171" s="10">
        <v>12.8</v>
      </c>
      <c r="N1171" s="10">
        <v>1264</v>
      </c>
      <c r="O1171" s="10">
        <v>1.26</v>
      </c>
      <c r="P1171" s="10">
        <v>1587</v>
      </c>
      <c r="Q1171" s="10">
        <v>156</v>
      </c>
      <c r="R1171" s="10">
        <v>74</v>
      </c>
      <c r="S1171" s="10">
        <v>47</v>
      </c>
      <c r="T1171" s="10">
        <v>277</v>
      </c>
      <c r="U1171" s="10">
        <v>17</v>
      </c>
      <c r="V1171" s="10">
        <v>170</v>
      </c>
      <c r="W1171" s="10">
        <v>0.36799999999999999</v>
      </c>
      <c r="X1171" s="10">
        <v>145</v>
      </c>
      <c r="Y1171" s="10">
        <v>98</v>
      </c>
      <c r="Z1171" s="10">
        <v>133</v>
      </c>
      <c r="AA1171" s="10">
        <v>3</v>
      </c>
      <c r="AB1171" s="10">
        <v>11.6</v>
      </c>
      <c r="AC1171" s="9" t="s">
        <v>188</v>
      </c>
      <c r="AD1171" s="9" t="s">
        <v>185</v>
      </c>
      <c r="AE1171" s="9" t="s">
        <v>198</v>
      </c>
      <c r="AF1171" s="10"/>
      <c r="AG1171" s="10"/>
    </row>
    <row r="1172" spans="1:33">
      <c r="A1172" s="7" t="s">
        <v>155</v>
      </c>
      <c r="B1172" s="8" t="s">
        <v>229</v>
      </c>
      <c r="C1172" s="9" t="s">
        <v>624</v>
      </c>
      <c r="D1172" s="10">
        <v>166</v>
      </c>
      <c r="E1172" s="9" t="s">
        <v>158</v>
      </c>
      <c r="F1172" s="10">
        <v>166</v>
      </c>
      <c r="G1172" s="10">
        <v>167.2</v>
      </c>
      <c r="H1172" s="10">
        <v>121</v>
      </c>
      <c r="I1172" s="10">
        <v>143</v>
      </c>
      <c r="J1172" s="10">
        <v>128</v>
      </c>
      <c r="K1172" s="10">
        <v>86</v>
      </c>
      <c r="L1172" s="10">
        <v>110</v>
      </c>
      <c r="M1172" s="10">
        <v>14.2</v>
      </c>
      <c r="N1172" s="10">
        <v>1380</v>
      </c>
      <c r="O1172" s="10">
        <v>1.2</v>
      </c>
      <c r="P1172" s="10">
        <v>1662</v>
      </c>
      <c r="Q1172" s="10">
        <v>163</v>
      </c>
      <c r="R1172" s="10">
        <v>74</v>
      </c>
      <c r="S1172" s="10">
        <v>45</v>
      </c>
      <c r="T1172" s="10">
        <v>286</v>
      </c>
      <c r="U1172" s="10">
        <v>18</v>
      </c>
      <c r="V1172" s="10">
        <v>177</v>
      </c>
      <c r="W1172" s="10">
        <v>0.39</v>
      </c>
      <c r="X1172" s="10">
        <v>146</v>
      </c>
      <c r="Y1172" s="10">
        <v>100</v>
      </c>
      <c r="Z1172" s="10">
        <v>140</v>
      </c>
      <c r="AA1172" s="10">
        <v>3</v>
      </c>
      <c r="AB1172" s="10">
        <v>11.9</v>
      </c>
      <c r="AC1172" s="9" t="s">
        <v>188</v>
      </c>
      <c r="AD1172" s="9" t="s">
        <v>185</v>
      </c>
      <c r="AE1172" s="10"/>
      <c r="AF1172" s="10"/>
      <c r="AG1172" s="10"/>
    </row>
    <row r="1173" spans="1:33">
      <c r="A1173" s="7" t="s">
        <v>155</v>
      </c>
      <c r="B1173" s="8" t="s">
        <v>229</v>
      </c>
      <c r="C1173" s="9" t="s">
        <v>624</v>
      </c>
      <c r="D1173" s="10">
        <v>173</v>
      </c>
      <c r="E1173" s="9" t="s">
        <v>158</v>
      </c>
      <c r="F1173" s="10">
        <v>173</v>
      </c>
      <c r="G1173" s="10">
        <v>174.7</v>
      </c>
      <c r="H1173" s="10">
        <v>129</v>
      </c>
      <c r="I1173" s="10">
        <v>150</v>
      </c>
      <c r="J1173" s="10">
        <v>128</v>
      </c>
      <c r="K1173" s="10">
        <v>85</v>
      </c>
      <c r="L1173" s="10">
        <v>110</v>
      </c>
      <c r="M1173" s="10">
        <v>15.9</v>
      </c>
      <c r="N1173" s="10">
        <v>1451</v>
      </c>
      <c r="O1173" s="10">
        <v>1.19</v>
      </c>
      <c r="P1173" s="10">
        <v>1732</v>
      </c>
      <c r="Q1173" s="10">
        <v>186</v>
      </c>
      <c r="R1173" s="10">
        <v>81</v>
      </c>
      <c r="S1173" s="10">
        <v>46</v>
      </c>
      <c r="T1173" s="10">
        <v>268</v>
      </c>
      <c r="U1173" s="10">
        <v>17</v>
      </c>
      <c r="V1173" s="10">
        <v>191</v>
      </c>
      <c r="W1173" s="10">
        <v>0.38</v>
      </c>
      <c r="X1173" s="10">
        <v>144</v>
      </c>
      <c r="Y1173" s="10">
        <v>102</v>
      </c>
      <c r="Z1173" s="10">
        <v>124</v>
      </c>
      <c r="AA1173" s="10">
        <v>3</v>
      </c>
      <c r="AB1173" s="10">
        <v>11.9</v>
      </c>
      <c r="AC1173" s="9" t="s">
        <v>188</v>
      </c>
      <c r="AD1173" s="9" t="s">
        <v>185</v>
      </c>
      <c r="AE1173" s="10"/>
      <c r="AF1173" s="10"/>
      <c r="AG1173" s="10"/>
    </row>
    <row r="1174" spans="1:33">
      <c r="A1174" s="7" t="s">
        <v>155</v>
      </c>
      <c r="B1174" s="8" t="s">
        <v>229</v>
      </c>
      <c r="C1174" s="9" t="s">
        <v>624</v>
      </c>
      <c r="D1174" s="10">
        <v>180</v>
      </c>
      <c r="E1174" s="9" t="s">
        <v>158</v>
      </c>
      <c r="F1174" s="10">
        <v>180</v>
      </c>
      <c r="G1174" s="10">
        <v>179.6</v>
      </c>
      <c r="H1174" s="10">
        <v>129</v>
      </c>
      <c r="I1174" s="10">
        <v>155</v>
      </c>
      <c r="J1174" s="10">
        <v>128</v>
      </c>
      <c r="K1174" s="10">
        <v>85</v>
      </c>
      <c r="L1174" s="10">
        <v>110</v>
      </c>
      <c r="M1174" s="10">
        <v>16.899999999999999</v>
      </c>
      <c r="N1174" s="10">
        <v>1483</v>
      </c>
      <c r="O1174" s="10">
        <v>1.2</v>
      </c>
      <c r="P1174" s="10">
        <v>1780</v>
      </c>
      <c r="Q1174" s="10">
        <v>189</v>
      </c>
      <c r="R1174" s="10">
        <v>84</v>
      </c>
      <c r="S1174" s="10">
        <v>46</v>
      </c>
      <c r="T1174" s="10">
        <v>302</v>
      </c>
      <c r="U1174" s="10">
        <v>18</v>
      </c>
      <c r="V1174" s="10">
        <v>206</v>
      </c>
      <c r="W1174" s="10">
        <v>0.39900000000000002</v>
      </c>
      <c r="X1174" s="10">
        <v>149</v>
      </c>
      <c r="Y1174" s="10">
        <v>99</v>
      </c>
      <c r="Z1174" s="10">
        <v>154</v>
      </c>
      <c r="AA1174" s="10">
        <v>2</v>
      </c>
      <c r="AB1174" s="10">
        <v>11</v>
      </c>
      <c r="AC1174" s="9" t="s">
        <v>188</v>
      </c>
      <c r="AD1174" s="9" t="s">
        <v>185</v>
      </c>
      <c r="AE1174" s="10"/>
      <c r="AF1174" s="10"/>
      <c r="AG1174" s="10"/>
    </row>
    <row r="1175" spans="1:33">
      <c r="A1175" s="7" t="s">
        <v>155</v>
      </c>
      <c r="B1175" s="8" t="s">
        <v>229</v>
      </c>
      <c r="C1175" s="9" t="s">
        <v>806</v>
      </c>
      <c r="D1175" s="10">
        <v>146</v>
      </c>
      <c r="E1175" s="9" t="s">
        <v>163</v>
      </c>
      <c r="F1175" s="10">
        <v>146</v>
      </c>
      <c r="G1175" s="10">
        <v>147.30000000000001</v>
      </c>
      <c r="H1175" s="10">
        <v>92</v>
      </c>
      <c r="I1175" s="10">
        <v>122</v>
      </c>
      <c r="J1175" s="10">
        <v>128</v>
      </c>
      <c r="K1175" s="10">
        <v>85</v>
      </c>
      <c r="L1175" s="10">
        <v>109</v>
      </c>
      <c r="M1175" s="10">
        <v>10.1</v>
      </c>
      <c r="N1175" s="10">
        <v>1211</v>
      </c>
      <c r="O1175" s="10">
        <v>1.21</v>
      </c>
      <c r="P1175" s="10">
        <v>1467</v>
      </c>
      <c r="Q1175" s="10">
        <v>156</v>
      </c>
      <c r="R1175" s="10">
        <v>75</v>
      </c>
      <c r="S1175" s="10">
        <v>48</v>
      </c>
      <c r="T1175" s="10">
        <v>337</v>
      </c>
      <c r="U1175" s="10">
        <v>18</v>
      </c>
      <c r="V1175" s="10">
        <v>218</v>
      </c>
      <c r="W1175" s="10">
        <v>0.373</v>
      </c>
      <c r="X1175" s="10">
        <v>149</v>
      </c>
      <c r="Y1175" s="10">
        <v>105</v>
      </c>
      <c r="Z1175" s="10">
        <v>188</v>
      </c>
      <c r="AA1175" s="10">
        <v>1</v>
      </c>
      <c r="AB1175" s="10">
        <v>11.5</v>
      </c>
      <c r="AC1175" s="9" t="s">
        <v>188</v>
      </c>
      <c r="AD1175" s="9" t="s">
        <v>185</v>
      </c>
      <c r="AE1175" s="10"/>
      <c r="AF1175" s="10"/>
      <c r="AG1175" s="10"/>
    </row>
    <row r="1176" spans="1:33">
      <c r="A1176" s="7" t="s">
        <v>155</v>
      </c>
      <c r="B1176" s="8" t="s">
        <v>229</v>
      </c>
      <c r="C1176" s="9" t="s">
        <v>806</v>
      </c>
      <c r="D1176" s="10">
        <v>152</v>
      </c>
      <c r="E1176" s="9" t="s">
        <v>163</v>
      </c>
      <c r="F1176" s="10">
        <v>152</v>
      </c>
      <c r="G1176" s="10">
        <v>152</v>
      </c>
      <c r="H1176" s="10">
        <v>91</v>
      </c>
      <c r="I1176" s="10">
        <v>127</v>
      </c>
      <c r="J1176" s="10">
        <v>129</v>
      </c>
      <c r="K1176" s="10">
        <v>86</v>
      </c>
      <c r="L1176" s="10">
        <v>110</v>
      </c>
      <c r="M1176" s="10">
        <v>11.1</v>
      </c>
      <c r="N1176" s="10">
        <v>1234</v>
      </c>
      <c r="O1176" s="10">
        <v>1.23</v>
      </c>
      <c r="P1176" s="10">
        <v>1520</v>
      </c>
      <c r="Q1176" s="10">
        <v>156</v>
      </c>
      <c r="R1176" s="10">
        <v>75</v>
      </c>
      <c r="S1176" s="10">
        <v>47</v>
      </c>
      <c r="T1176" s="10">
        <v>370</v>
      </c>
      <c r="U1176" s="10">
        <v>19</v>
      </c>
      <c r="V1176" s="10">
        <v>241</v>
      </c>
      <c r="W1176" s="10">
        <v>0.39700000000000002</v>
      </c>
      <c r="X1176" s="10">
        <v>141</v>
      </c>
      <c r="Y1176" s="10">
        <v>104</v>
      </c>
      <c r="Z1176" s="10">
        <v>228</v>
      </c>
      <c r="AA1176" s="10">
        <v>1</v>
      </c>
      <c r="AB1176" s="10">
        <v>11.9</v>
      </c>
      <c r="AC1176" s="9" t="s">
        <v>188</v>
      </c>
      <c r="AD1176" s="9" t="s">
        <v>185</v>
      </c>
      <c r="AE1176" s="10"/>
      <c r="AF1176" s="10"/>
      <c r="AG1176" s="10"/>
    </row>
    <row r="1177" spans="1:33">
      <c r="A1177" s="7" t="s">
        <v>155</v>
      </c>
      <c r="B1177" s="8" t="s">
        <v>229</v>
      </c>
      <c r="C1177" s="9" t="s">
        <v>806</v>
      </c>
      <c r="D1177" s="10">
        <v>159</v>
      </c>
      <c r="E1177" s="9" t="s">
        <v>163</v>
      </c>
      <c r="F1177" s="10">
        <v>159</v>
      </c>
      <c r="G1177" s="10">
        <v>160.19999999999999</v>
      </c>
      <c r="H1177" s="10">
        <v>100</v>
      </c>
      <c r="I1177" s="10">
        <v>136</v>
      </c>
      <c r="J1177" s="10">
        <v>128</v>
      </c>
      <c r="K1177" s="10">
        <v>85</v>
      </c>
      <c r="L1177" s="10">
        <v>110</v>
      </c>
      <c r="M1177" s="10">
        <v>12.7</v>
      </c>
      <c r="N1177" s="10">
        <v>1259</v>
      </c>
      <c r="O1177" s="10">
        <v>1.26</v>
      </c>
      <c r="P1177" s="10">
        <v>1589</v>
      </c>
      <c r="Q1177" s="10">
        <v>157</v>
      </c>
      <c r="R1177" s="10">
        <v>74</v>
      </c>
      <c r="S1177" s="10">
        <v>49</v>
      </c>
      <c r="T1177" s="10">
        <v>374</v>
      </c>
      <c r="U1177" s="10">
        <v>20</v>
      </c>
      <c r="V1177" s="10">
        <v>227</v>
      </c>
      <c r="W1177" s="10">
        <v>0.40300000000000002</v>
      </c>
      <c r="X1177" s="10">
        <v>143</v>
      </c>
      <c r="Y1177" s="10">
        <v>101</v>
      </c>
      <c r="Z1177" s="10">
        <v>231</v>
      </c>
      <c r="AA1177" s="10">
        <v>1</v>
      </c>
      <c r="AB1177" s="10">
        <v>11.5</v>
      </c>
      <c r="AC1177" s="9" t="s">
        <v>188</v>
      </c>
      <c r="AD1177" s="9" t="s">
        <v>185</v>
      </c>
      <c r="AE1177" s="9" t="s">
        <v>198</v>
      </c>
      <c r="AF1177" s="10"/>
      <c r="AG1177" s="10"/>
    </row>
    <row r="1178" spans="1:33">
      <c r="A1178" s="7" t="s">
        <v>155</v>
      </c>
      <c r="B1178" s="8" t="s">
        <v>229</v>
      </c>
      <c r="C1178" s="9" t="s">
        <v>806</v>
      </c>
      <c r="D1178" s="10">
        <v>166</v>
      </c>
      <c r="E1178" s="9" t="s">
        <v>163</v>
      </c>
      <c r="F1178" s="10">
        <v>166</v>
      </c>
      <c r="G1178" s="10">
        <v>167.3</v>
      </c>
      <c r="H1178" s="10">
        <v>97</v>
      </c>
      <c r="I1178" s="10">
        <v>143</v>
      </c>
      <c r="J1178" s="10">
        <v>128</v>
      </c>
      <c r="K1178" s="10">
        <v>85</v>
      </c>
      <c r="L1178" s="10">
        <v>110</v>
      </c>
      <c r="M1178" s="10">
        <v>14.2</v>
      </c>
      <c r="N1178" s="10">
        <v>1411</v>
      </c>
      <c r="O1178" s="10">
        <v>1.18</v>
      </c>
      <c r="P1178" s="10">
        <v>1660</v>
      </c>
      <c r="Q1178" s="10">
        <v>170</v>
      </c>
      <c r="R1178" s="10">
        <v>79</v>
      </c>
      <c r="S1178" s="10">
        <v>48</v>
      </c>
      <c r="T1178" s="10">
        <v>408</v>
      </c>
      <c r="U1178" s="10">
        <v>18</v>
      </c>
      <c r="V1178" s="10">
        <v>295</v>
      </c>
      <c r="W1178" s="10">
        <v>0.375</v>
      </c>
      <c r="X1178" s="10">
        <v>144</v>
      </c>
      <c r="Y1178" s="10">
        <v>100</v>
      </c>
      <c r="Z1178" s="10">
        <v>265</v>
      </c>
      <c r="AA1178" s="10">
        <v>1</v>
      </c>
      <c r="AB1178" s="10">
        <v>11.7</v>
      </c>
      <c r="AC1178" s="9" t="s">
        <v>188</v>
      </c>
      <c r="AD1178" s="9" t="s">
        <v>185</v>
      </c>
      <c r="AE1178" s="10"/>
      <c r="AF1178" s="10"/>
      <c r="AG1178" s="10"/>
    </row>
    <row r="1179" spans="1:33">
      <c r="A1179" s="7" t="s">
        <v>155</v>
      </c>
      <c r="B1179" s="8" t="s">
        <v>229</v>
      </c>
      <c r="C1179" s="9" t="s">
        <v>300</v>
      </c>
      <c r="D1179" s="10">
        <v>158</v>
      </c>
      <c r="E1179" s="9" t="s">
        <v>158</v>
      </c>
      <c r="F1179" s="10">
        <v>158</v>
      </c>
      <c r="G1179" s="10">
        <v>159.4</v>
      </c>
      <c r="H1179" s="10">
        <v>80</v>
      </c>
      <c r="I1179" s="10">
        <v>135</v>
      </c>
      <c r="J1179" s="10">
        <v>133</v>
      </c>
      <c r="K1179" s="10">
        <v>93</v>
      </c>
      <c r="L1179" s="10">
        <v>115</v>
      </c>
      <c r="M1179" s="10">
        <v>13.6</v>
      </c>
      <c r="N1179" s="10">
        <v>1430</v>
      </c>
      <c r="O1179" s="10">
        <v>1.18</v>
      </c>
      <c r="P1179" s="10">
        <v>1692</v>
      </c>
      <c r="Q1179" s="10">
        <v>169</v>
      </c>
      <c r="R1179" s="10">
        <v>90</v>
      </c>
      <c r="S1179" s="10">
        <v>48</v>
      </c>
      <c r="T1179" s="10">
        <v>456</v>
      </c>
      <c r="U1179" s="10">
        <v>21</v>
      </c>
      <c r="V1179" s="10">
        <v>337</v>
      </c>
      <c r="W1179" s="10">
        <v>0.435</v>
      </c>
      <c r="X1179" s="10">
        <v>141</v>
      </c>
      <c r="Y1179" s="10">
        <v>104</v>
      </c>
      <c r="Z1179" s="10">
        <v>315</v>
      </c>
      <c r="AA1179" s="10">
        <v>1</v>
      </c>
      <c r="AB1179" s="10">
        <v>12.3</v>
      </c>
      <c r="AC1179" s="9" t="s">
        <v>188</v>
      </c>
      <c r="AD1179" s="9" t="s">
        <v>185</v>
      </c>
      <c r="AE1179" s="10"/>
      <c r="AF1179" s="10"/>
      <c r="AG1179" s="10"/>
    </row>
    <row r="1180" spans="1:33">
      <c r="A1180" s="7" t="s">
        <v>155</v>
      </c>
      <c r="B1180" s="8" t="s">
        <v>229</v>
      </c>
      <c r="C1180" s="9" t="s">
        <v>300</v>
      </c>
      <c r="D1180" s="10">
        <v>165</v>
      </c>
      <c r="E1180" s="9" t="s">
        <v>158</v>
      </c>
      <c r="F1180" s="10">
        <v>165</v>
      </c>
      <c r="G1180" s="10">
        <v>164.4</v>
      </c>
      <c r="H1180" s="10">
        <v>83</v>
      </c>
      <c r="I1180" s="10">
        <v>140</v>
      </c>
      <c r="J1180" s="10">
        <v>133</v>
      </c>
      <c r="K1180" s="10">
        <v>93</v>
      </c>
      <c r="L1180" s="10">
        <v>116</v>
      </c>
      <c r="M1180" s="10">
        <v>14.8</v>
      </c>
      <c r="N1180" s="10">
        <v>1448</v>
      </c>
      <c r="O1180" s="10">
        <v>1.2</v>
      </c>
      <c r="P1180" s="10">
        <v>1744</v>
      </c>
      <c r="Q1180" s="10">
        <v>182</v>
      </c>
      <c r="R1180" s="10">
        <v>90</v>
      </c>
      <c r="S1180" s="10">
        <v>48</v>
      </c>
      <c r="T1180" s="10">
        <v>465</v>
      </c>
      <c r="U1180" s="10">
        <v>21</v>
      </c>
      <c r="V1180" s="10">
        <v>345</v>
      </c>
      <c r="W1180" s="10">
        <v>0.442</v>
      </c>
      <c r="X1180" s="10">
        <v>139</v>
      </c>
      <c r="Y1180" s="10">
        <v>103</v>
      </c>
      <c r="Z1180" s="10">
        <v>326</v>
      </c>
      <c r="AA1180" s="10">
        <v>1</v>
      </c>
      <c r="AB1180" s="10">
        <v>12</v>
      </c>
      <c r="AC1180" s="9" t="s">
        <v>188</v>
      </c>
      <c r="AD1180" s="9" t="s">
        <v>185</v>
      </c>
      <c r="AE1180" s="10"/>
      <c r="AF1180" s="10"/>
      <c r="AG1180" s="10"/>
    </row>
    <row r="1181" spans="1:33">
      <c r="A1181" s="7" t="s">
        <v>155</v>
      </c>
      <c r="B1181" s="8" t="s">
        <v>229</v>
      </c>
      <c r="C1181" s="9" t="s">
        <v>300</v>
      </c>
      <c r="D1181" s="10">
        <v>172</v>
      </c>
      <c r="E1181" s="9" t="s">
        <v>158</v>
      </c>
      <c r="F1181" s="10">
        <v>172</v>
      </c>
      <c r="G1181" s="10">
        <v>171.7</v>
      </c>
      <c r="H1181" s="10">
        <v>74</v>
      </c>
      <c r="I1181" s="10">
        <v>147</v>
      </c>
      <c r="J1181" s="10">
        <v>133</v>
      </c>
      <c r="K1181" s="10">
        <v>93</v>
      </c>
      <c r="L1181" s="10">
        <v>115</v>
      </c>
      <c r="M1181" s="10">
        <v>16.399999999999999</v>
      </c>
      <c r="N1181" s="10">
        <v>1513</v>
      </c>
      <c r="O1181" s="10">
        <v>1.2</v>
      </c>
      <c r="P1181" s="10">
        <v>1820</v>
      </c>
      <c r="Q1181" s="10">
        <v>157</v>
      </c>
      <c r="R1181" s="10">
        <v>90</v>
      </c>
      <c r="S1181" s="10">
        <v>48</v>
      </c>
      <c r="T1181" s="10">
        <v>536</v>
      </c>
      <c r="U1181" s="10">
        <v>22</v>
      </c>
      <c r="V1181" s="10">
        <v>436</v>
      </c>
      <c r="W1181" s="10">
        <v>0.45</v>
      </c>
      <c r="X1181" s="10">
        <v>138</v>
      </c>
      <c r="Y1181" s="10">
        <v>105</v>
      </c>
      <c r="Z1181" s="10">
        <v>397</v>
      </c>
      <c r="AA1181" s="10">
        <v>1</v>
      </c>
      <c r="AB1181" s="10">
        <v>12.2</v>
      </c>
      <c r="AC1181" s="9" t="s">
        <v>188</v>
      </c>
      <c r="AD1181" s="9" t="s">
        <v>185</v>
      </c>
      <c r="AE1181" s="10"/>
      <c r="AF1181" s="10"/>
      <c r="AG1181" s="10"/>
    </row>
    <row r="1182" spans="1:33">
      <c r="A1182" s="7" t="s">
        <v>155</v>
      </c>
      <c r="B1182" s="8" t="s">
        <v>229</v>
      </c>
      <c r="C1182" s="9" t="s">
        <v>300</v>
      </c>
      <c r="D1182" s="10">
        <v>179</v>
      </c>
      <c r="E1182" s="9" t="s">
        <v>158</v>
      </c>
      <c r="F1182" s="10">
        <v>179</v>
      </c>
      <c r="G1182" s="10">
        <v>177.1</v>
      </c>
      <c r="H1182" s="10">
        <v>89</v>
      </c>
      <c r="I1182" s="10">
        <v>155</v>
      </c>
      <c r="J1182" s="10">
        <v>133</v>
      </c>
      <c r="K1182" s="10">
        <v>93</v>
      </c>
      <c r="L1182" s="10">
        <v>115</v>
      </c>
      <c r="M1182" s="10">
        <v>18.2</v>
      </c>
      <c r="N1182" s="10">
        <v>1546</v>
      </c>
      <c r="O1182" s="10">
        <v>1.21</v>
      </c>
      <c r="P1182" s="10">
        <v>1878</v>
      </c>
      <c r="Q1182" s="10">
        <v>168</v>
      </c>
      <c r="R1182" s="10">
        <v>92</v>
      </c>
      <c r="S1182" s="10">
        <v>39</v>
      </c>
      <c r="T1182" s="10">
        <v>506</v>
      </c>
      <c r="U1182" s="10">
        <v>23</v>
      </c>
      <c r="V1182" s="10">
        <v>374</v>
      </c>
      <c r="W1182" s="10">
        <v>0.58099999999999996</v>
      </c>
      <c r="X1182" s="10">
        <v>118</v>
      </c>
      <c r="Y1182" s="10">
        <v>102</v>
      </c>
      <c r="Z1182" s="10">
        <v>388</v>
      </c>
      <c r="AA1182" s="10">
        <v>1</v>
      </c>
      <c r="AB1182" s="10">
        <v>12.5</v>
      </c>
      <c r="AC1182" s="9" t="s">
        <v>188</v>
      </c>
      <c r="AD1182" s="9" t="s">
        <v>185</v>
      </c>
      <c r="AE1182" s="10"/>
      <c r="AF1182" s="10"/>
      <c r="AG1182" s="10"/>
    </row>
    <row r="1183" spans="1:33">
      <c r="A1183" s="7" t="s">
        <v>155</v>
      </c>
      <c r="B1183" s="8" t="s">
        <v>229</v>
      </c>
      <c r="C1183" s="9" t="s">
        <v>300</v>
      </c>
      <c r="D1183" s="10">
        <v>186</v>
      </c>
      <c r="E1183" s="9" t="s">
        <v>158</v>
      </c>
      <c r="F1183" s="10">
        <v>186</v>
      </c>
      <c r="G1183" s="10">
        <v>186.6</v>
      </c>
      <c r="H1183" s="10">
        <v>104</v>
      </c>
      <c r="I1183" s="10">
        <v>163</v>
      </c>
      <c r="J1183" s="10">
        <v>133</v>
      </c>
      <c r="K1183" s="10">
        <v>93</v>
      </c>
      <c r="L1183" s="10">
        <v>116</v>
      </c>
      <c r="M1183" s="10">
        <v>20</v>
      </c>
      <c r="N1183" s="10">
        <v>1699</v>
      </c>
      <c r="O1183" s="10">
        <v>1.1599999999999999</v>
      </c>
      <c r="P1183" s="10">
        <v>1976</v>
      </c>
      <c r="Q1183" s="10">
        <v>232</v>
      </c>
      <c r="R1183" s="10">
        <v>111</v>
      </c>
      <c r="S1183" s="10">
        <v>47</v>
      </c>
      <c r="T1183" s="10">
        <v>477</v>
      </c>
      <c r="U1183" s="10">
        <v>22</v>
      </c>
      <c r="V1183" s="10">
        <v>345</v>
      </c>
      <c r="W1183" s="10">
        <v>0.46</v>
      </c>
      <c r="X1183" s="10">
        <v>138</v>
      </c>
      <c r="Y1183" s="10">
        <v>102</v>
      </c>
      <c r="Z1183" s="10">
        <v>338</v>
      </c>
      <c r="AA1183" s="10">
        <v>2</v>
      </c>
      <c r="AB1183" s="10">
        <v>11.6</v>
      </c>
      <c r="AC1183" s="9" t="s">
        <v>188</v>
      </c>
      <c r="AD1183" s="9" t="s">
        <v>185</v>
      </c>
      <c r="AE1183" s="10"/>
      <c r="AF1183" s="10"/>
      <c r="AG1183" s="10"/>
    </row>
    <row r="1184" spans="1:33">
      <c r="A1184" s="7" t="s">
        <v>155</v>
      </c>
      <c r="B1184" s="8" t="s">
        <v>229</v>
      </c>
      <c r="C1184" s="9" t="s">
        <v>778</v>
      </c>
      <c r="D1184" s="10">
        <v>151</v>
      </c>
      <c r="E1184" s="9" t="s">
        <v>163</v>
      </c>
      <c r="F1184" s="10">
        <v>151</v>
      </c>
      <c r="G1184" s="10">
        <v>152.69999999999999</v>
      </c>
      <c r="H1184" s="10">
        <v>76</v>
      </c>
      <c r="I1184" s="10">
        <v>128</v>
      </c>
      <c r="J1184" s="10">
        <v>133</v>
      </c>
      <c r="K1184" s="10">
        <v>93</v>
      </c>
      <c r="L1184" s="10">
        <v>115</v>
      </c>
      <c r="M1184" s="10">
        <v>12.4</v>
      </c>
      <c r="N1184" s="10">
        <v>1354</v>
      </c>
      <c r="O1184" s="10">
        <v>1.2</v>
      </c>
      <c r="P1184" s="10">
        <v>1618</v>
      </c>
      <c r="Q1184" s="10">
        <v>162</v>
      </c>
      <c r="R1184" s="10">
        <v>79</v>
      </c>
      <c r="S1184" s="10">
        <v>50</v>
      </c>
      <c r="T1184" s="10">
        <v>443</v>
      </c>
      <c r="U1184" s="10">
        <v>22</v>
      </c>
      <c r="V1184" s="10">
        <v>323</v>
      </c>
      <c r="W1184" s="10">
        <v>0.442</v>
      </c>
      <c r="X1184" s="10">
        <v>144</v>
      </c>
      <c r="Y1184" s="10">
        <v>106</v>
      </c>
      <c r="Z1184" s="10">
        <v>299</v>
      </c>
      <c r="AA1184" s="10">
        <v>2</v>
      </c>
      <c r="AB1184" s="10">
        <v>11.4</v>
      </c>
      <c r="AC1184" s="9" t="s">
        <v>188</v>
      </c>
      <c r="AD1184" s="9" t="s">
        <v>185</v>
      </c>
      <c r="AE1184" s="10"/>
      <c r="AF1184" s="10"/>
      <c r="AG1184" s="10"/>
    </row>
    <row r="1185" spans="1:33">
      <c r="A1185" s="7" t="s">
        <v>155</v>
      </c>
      <c r="B1185" s="8" t="s">
        <v>229</v>
      </c>
      <c r="C1185" s="9" t="s">
        <v>778</v>
      </c>
      <c r="D1185" s="10">
        <v>158</v>
      </c>
      <c r="E1185" s="9" t="s">
        <v>163</v>
      </c>
      <c r="F1185" s="10">
        <v>158</v>
      </c>
      <c r="G1185" s="10">
        <v>159.69999999999999</v>
      </c>
      <c r="H1185" s="10">
        <v>81</v>
      </c>
      <c r="I1185" s="10">
        <v>136</v>
      </c>
      <c r="J1185" s="10">
        <v>133</v>
      </c>
      <c r="K1185" s="10">
        <v>93</v>
      </c>
      <c r="L1185" s="10">
        <v>115</v>
      </c>
      <c r="M1185" s="10">
        <v>14</v>
      </c>
      <c r="N1185" s="10">
        <v>1399</v>
      </c>
      <c r="O1185" s="10">
        <v>1.21</v>
      </c>
      <c r="P1185" s="10">
        <v>1689</v>
      </c>
      <c r="Q1185" s="10">
        <v>166</v>
      </c>
      <c r="R1185" s="10">
        <v>80</v>
      </c>
      <c r="S1185" s="10">
        <v>51</v>
      </c>
      <c r="T1185" s="10">
        <v>455</v>
      </c>
      <c r="U1185" s="10">
        <v>22</v>
      </c>
      <c r="V1185" s="10">
        <v>331</v>
      </c>
      <c r="W1185" s="10">
        <v>0.43099999999999999</v>
      </c>
      <c r="X1185" s="10">
        <v>137</v>
      </c>
      <c r="Y1185" s="10">
        <v>103</v>
      </c>
      <c r="Z1185" s="10">
        <v>318</v>
      </c>
      <c r="AA1185" s="10">
        <v>2</v>
      </c>
      <c r="AB1185" s="10">
        <v>11.5</v>
      </c>
      <c r="AC1185" s="9" t="s">
        <v>188</v>
      </c>
      <c r="AD1185" s="9" t="s">
        <v>185</v>
      </c>
      <c r="AE1185" s="10"/>
      <c r="AF1185" s="10"/>
      <c r="AG1185" s="10"/>
    </row>
    <row r="1186" spans="1:33">
      <c r="A1186" s="7" t="s">
        <v>155</v>
      </c>
      <c r="B1186" s="8" t="s">
        <v>229</v>
      </c>
      <c r="C1186" s="9" t="s">
        <v>778</v>
      </c>
      <c r="D1186" s="10">
        <v>165</v>
      </c>
      <c r="E1186" s="9" t="s">
        <v>163</v>
      </c>
      <c r="F1186" s="10">
        <v>165</v>
      </c>
      <c r="G1186" s="10">
        <v>164.5</v>
      </c>
      <c r="H1186" s="10">
        <v>75</v>
      </c>
      <c r="I1186" s="10">
        <v>140</v>
      </c>
      <c r="J1186" s="10">
        <v>133</v>
      </c>
      <c r="K1186" s="10">
        <v>93</v>
      </c>
      <c r="L1186" s="10">
        <v>115</v>
      </c>
      <c r="M1186" s="10">
        <v>15.1</v>
      </c>
      <c r="N1186" s="10">
        <v>1458</v>
      </c>
      <c r="O1186" s="10">
        <v>1.19</v>
      </c>
      <c r="P1186" s="10">
        <v>1740</v>
      </c>
      <c r="Q1186" s="10">
        <v>177</v>
      </c>
      <c r="R1186" s="10">
        <v>86</v>
      </c>
      <c r="S1186" s="10">
        <v>53</v>
      </c>
      <c r="T1186" s="10">
        <v>532</v>
      </c>
      <c r="U1186" s="10">
        <v>23</v>
      </c>
      <c r="V1186" s="10">
        <v>360</v>
      </c>
      <c r="W1186" s="10">
        <v>0.42899999999999999</v>
      </c>
      <c r="X1186" s="10">
        <v>140</v>
      </c>
      <c r="Y1186" s="10">
        <v>101</v>
      </c>
      <c r="Z1186" s="10">
        <v>391</v>
      </c>
      <c r="AA1186" s="10">
        <v>1</v>
      </c>
      <c r="AB1186" s="10">
        <v>11.9</v>
      </c>
      <c r="AC1186" s="9" t="s">
        <v>188</v>
      </c>
      <c r="AD1186" s="9" t="s">
        <v>185</v>
      </c>
      <c r="AE1186" s="10"/>
      <c r="AF1186" s="10"/>
      <c r="AG1186" s="10"/>
    </row>
    <row r="1187" spans="1:33">
      <c r="A1187" s="7" t="s">
        <v>155</v>
      </c>
      <c r="B1187" s="8" t="s">
        <v>229</v>
      </c>
      <c r="C1187" s="9" t="s">
        <v>778</v>
      </c>
      <c r="D1187" s="10">
        <v>172</v>
      </c>
      <c r="E1187" s="9" t="s">
        <v>163</v>
      </c>
      <c r="F1187" s="10">
        <v>172</v>
      </c>
      <c r="G1187" s="10">
        <v>171.9</v>
      </c>
      <c r="H1187" s="10">
        <v>70</v>
      </c>
      <c r="I1187" s="10">
        <v>148</v>
      </c>
      <c r="J1187" s="10">
        <v>133</v>
      </c>
      <c r="K1187" s="10">
        <v>93</v>
      </c>
      <c r="L1187" s="10">
        <v>115</v>
      </c>
      <c r="M1187" s="10">
        <v>16.8</v>
      </c>
      <c r="N1187" s="10">
        <v>1508</v>
      </c>
      <c r="O1187" s="10">
        <v>1.21</v>
      </c>
      <c r="P1187" s="10">
        <v>1817</v>
      </c>
      <c r="Q1187" s="10">
        <v>164</v>
      </c>
      <c r="R1187" s="10">
        <v>81</v>
      </c>
      <c r="S1187" s="10">
        <v>53</v>
      </c>
      <c r="T1187" s="10">
        <v>589</v>
      </c>
      <c r="U1187" s="10">
        <v>23</v>
      </c>
      <c r="V1187" s="10">
        <v>432</v>
      </c>
      <c r="W1187" s="10">
        <v>0.437</v>
      </c>
      <c r="X1187" s="10">
        <v>136</v>
      </c>
      <c r="Y1187" s="10">
        <v>104</v>
      </c>
      <c r="Z1187" s="10">
        <v>453</v>
      </c>
      <c r="AA1187" s="10">
        <v>1</v>
      </c>
      <c r="AB1187" s="10">
        <v>11</v>
      </c>
      <c r="AC1187" s="9" t="s">
        <v>188</v>
      </c>
      <c r="AD1187" s="9" t="s">
        <v>185</v>
      </c>
      <c r="AE1187" s="10"/>
      <c r="AF1187" s="10"/>
      <c r="AG1187" s="10"/>
    </row>
    <row r="1188" spans="1:33">
      <c r="A1188" s="7" t="s">
        <v>155</v>
      </c>
      <c r="B1188" s="8" t="s">
        <v>229</v>
      </c>
      <c r="C1188" s="9" t="s">
        <v>812</v>
      </c>
      <c r="D1188" s="10">
        <v>186</v>
      </c>
      <c r="E1188" s="9" t="s">
        <v>158</v>
      </c>
      <c r="F1188" s="10">
        <v>186</v>
      </c>
      <c r="G1188" s="10">
        <v>187.2</v>
      </c>
      <c r="H1188" s="10">
        <v>0</v>
      </c>
      <c r="I1188" s="10">
        <v>146</v>
      </c>
      <c r="J1188" s="10">
        <v>133</v>
      </c>
      <c r="K1188" s="10">
        <v>108</v>
      </c>
      <c r="L1188" s="10">
        <v>118</v>
      </c>
      <c r="M1188" s="10">
        <v>27.1</v>
      </c>
      <c r="N1188" s="10">
        <v>1741</v>
      </c>
      <c r="O1188" s="10">
        <v>1.25</v>
      </c>
      <c r="P1188" s="10">
        <v>2170</v>
      </c>
      <c r="Q1188" s="10">
        <v>207</v>
      </c>
      <c r="R1188" s="10">
        <v>138</v>
      </c>
      <c r="S1188" s="10">
        <v>52</v>
      </c>
      <c r="T1188" s="10">
        <v>1038</v>
      </c>
      <c r="U1188" s="10">
        <v>28</v>
      </c>
      <c r="V1188" s="10">
        <v>834</v>
      </c>
      <c r="W1188" s="10">
        <v>0.52800000000000002</v>
      </c>
      <c r="X1188" s="10">
        <v>205</v>
      </c>
      <c r="Y1188" s="10">
        <v>210</v>
      </c>
      <c r="Z1188" s="10">
        <v>833</v>
      </c>
      <c r="AA1188" s="10">
        <v>-6</v>
      </c>
      <c r="AB1188" s="10">
        <v>10.199999999999999</v>
      </c>
      <c r="AC1188" s="9" t="s">
        <v>169</v>
      </c>
      <c r="AD1188" s="9" t="s">
        <v>185</v>
      </c>
      <c r="AE1188" s="10"/>
      <c r="AF1188" s="10"/>
      <c r="AG1188" s="10"/>
    </row>
    <row r="1189" spans="1:33">
      <c r="A1189" s="7" t="s">
        <v>155</v>
      </c>
      <c r="B1189" s="8" t="s">
        <v>229</v>
      </c>
      <c r="C1189" s="9" t="s">
        <v>348</v>
      </c>
      <c r="D1189" s="10">
        <v>170</v>
      </c>
      <c r="E1189" s="9" t="s">
        <v>158</v>
      </c>
      <c r="F1189" s="10">
        <v>170</v>
      </c>
      <c r="G1189" s="10">
        <v>169.3</v>
      </c>
      <c r="H1189" s="10">
        <v>144</v>
      </c>
      <c r="I1189" s="10">
        <v>157</v>
      </c>
      <c r="J1189" s="10">
        <v>128</v>
      </c>
      <c r="K1189" s="10">
        <v>78</v>
      </c>
      <c r="L1189" s="10">
        <v>108</v>
      </c>
      <c r="M1189" s="10">
        <v>15.5</v>
      </c>
      <c r="N1189" s="10">
        <v>1717</v>
      </c>
      <c r="O1189" s="10">
        <v>0.91</v>
      </c>
      <c r="P1189" s="10">
        <v>1568</v>
      </c>
      <c r="Q1189" s="10">
        <v>189</v>
      </c>
      <c r="R1189" s="10">
        <v>73</v>
      </c>
      <c r="S1189" s="10">
        <v>35</v>
      </c>
      <c r="T1189" s="10">
        <v>174</v>
      </c>
      <c r="U1189" s="10">
        <v>5</v>
      </c>
      <c r="V1189" s="10">
        <v>83</v>
      </c>
      <c r="W1189" s="10">
        <v>0.13600000000000001</v>
      </c>
      <c r="X1189" s="10">
        <v>69</v>
      </c>
      <c r="Y1189" s="10">
        <v>51</v>
      </c>
      <c r="Z1189" s="10">
        <v>105</v>
      </c>
      <c r="AA1189" s="10">
        <v>10</v>
      </c>
      <c r="AB1189" s="10">
        <v>11.4</v>
      </c>
      <c r="AC1189" s="9" t="s">
        <v>349</v>
      </c>
      <c r="AD1189" s="10"/>
      <c r="AE1189" s="10"/>
      <c r="AF1189" s="10"/>
      <c r="AG1189" s="10"/>
    </row>
    <row r="1190" spans="1:33">
      <c r="A1190" s="7" t="s">
        <v>155</v>
      </c>
      <c r="B1190" s="8" t="s">
        <v>229</v>
      </c>
      <c r="C1190" s="9" t="s">
        <v>348</v>
      </c>
      <c r="D1190" s="10">
        <v>177</v>
      </c>
      <c r="E1190" s="9" t="s">
        <v>158</v>
      </c>
      <c r="F1190" s="10">
        <v>177</v>
      </c>
      <c r="G1190" s="10">
        <v>177</v>
      </c>
      <c r="H1190" s="10">
        <v>158</v>
      </c>
      <c r="I1190" s="10">
        <v>165</v>
      </c>
      <c r="J1190" s="10">
        <v>128</v>
      </c>
      <c r="K1190" s="10">
        <v>78</v>
      </c>
      <c r="L1190" s="10">
        <v>108</v>
      </c>
      <c r="M1190" s="10">
        <v>17.100000000000001</v>
      </c>
      <c r="N1190" s="10">
        <v>1831</v>
      </c>
      <c r="O1190" s="10">
        <v>0.89</v>
      </c>
      <c r="P1190" s="10">
        <v>1637</v>
      </c>
      <c r="Q1190" s="10">
        <v>215</v>
      </c>
      <c r="R1190" s="10">
        <v>79</v>
      </c>
      <c r="S1190" s="10">
        <v>34</v>
      </c>
      <c r="T1190" s="10">
        <v>126</v>
      </c>
      <c r="U1190" s="10">
        <v>5</v>
      </c>
      <c r="V1190" s="10">
        <v>65</v>
      </c>
      <c r="W1190" s="10">
        <v>0.159</v>
      </c>
      <c r="X1190" s="10">
        <v>69</v>
      </c>
      <c r="Y1190" s="10">
        <v>50</v>
      </c>
      <c r="Z1190" s="10">
        <v>57</v>
      </c>
      <c r="AA1190" s="10">
        <v>7</v>
      </c>
      <c r="AB1190" s="10">
        <v>11.6</v>
      </c>
      <c r="AC1190" s="9" t="s">
        <v>349</v>
      </c>
      <c r="AD1190" s="10"/>
      <c r="AE1190" s="10"/>
      <c r="AF1190" s="10"/>
      <c r="AG1190" s="10"/>
    </row>
    <row r="1191" spans="1:33">
      <c r="A1191" s="7" t="s">
        <v>155</v>
      </c>
      <c r="B1191" s="8" t="s">
        <v>229</v>
      </c>
      <c r="C1191" s="9" t="s">
        <v>675</v>
      </c>
      <c r="D1191" s="10">
        <v>167</v>
      </c>
      <c r="E1191" s="9" t="s">
        <v>158</v>
      </c>
      <c r="F1191" s="10">
        <v>167</v>
      </c>
      <c r="G1191" s="10">
        <v>166.9</v>
      </c>
      <c r="H1191" s="10">
        <v>147</v>
      </c>
      <c r="I1191" s="10">
        <v>153</v>
      </c>
      <c r="J1191" s="10">
        <v>127</v>
      </c>
      <c r="K1191" s="10">
        <v>79</v>
      </c>
      <c r="L1191" s="10">
        <v>110</v>
      </c>
      <c r="M1191" s="10">
        <v>14.4</v>
      </c>
      <c r="N1191" s="10">
        <v>1855</v>
      </c>
      <c r="O1191" s="10">
        <v>0.85</v>
      </c>
      <c r="P1191" s="10">
        <v>1579</v>
      </c>
      <c r="Q1191" s="10">
        <v>214</v>
      </c>
      <c r="R1191" s="10">
        <v>66</v>
      </c>
      <c r="S1191" s="10">
        <v>40</v>
      </c>
      <c r="T1191" s="10">
        <v>134</v>
      </c>
      <c r="U1191" s="10">
        <v>7</v>
      </c>
      <c r="V1191" s="10">
        <v>61</v>
      </c>
      <c r="W1191" s="10">
        <v>0.17499999999999999</v>
      </c>
      <c r="X1191" s="10">
        <v>73</v>
      </c>
      <c r="Y1191" s="10">
        <v>63</v>
      </c>
      <c r="Z1191" s="10">
        <v>61</v>
      </c>
      <c r="AA1191" s="10">
        <v>4</v>
      </c>
      <c r="AB1191" s="10">
        <v>10</v>
      </c>
      <c r="AC1191" s="9" t="s">
        <v>349</v>
      </c>
      <c r="AD1191" s="10"/>
      <c r="AE1191" s="10"/>
      <c r="AF1191" s="10"/>
      <c r="AG1191" s="10"/>
    </row>
    <row r="1192" spans="1:33">
      <c r="A1192" s="7" t="s">
        <v>155</v>
      </c>
      <c r="B1192" s="8" t="s">
        <v>229</v>
      </c>
      <c r="C1192" s="9" t="s">
        <v>675</v>
      </c>
      <c r="D1192" s="10">
        <v>172</v>
      </c>
      <c r="E1192" s="9" t="s">
        <v>158</v>
      </c>
      <c r="F1192" s="10">
        <v>172</v>
      </c>
      <c r="G1192" s="10">
        <v>171.9</v>
      </c>
      <c r="H1192" s="10">
        <v>152</v>
      </c>
      <c r="I1192" s="10">
        <v>159</v>
      </c>
      <c r="J1192" s="10">
        <v>127</v>
      </c>
      <c r="K1192" s="10">
        <v>79</v>
      </c>
      <c r="L1192" s="10">
        <v>110</v>
      </c>
      <c r="M1192" s="10">
        <v>15.5</v>
      </c>
      <c r="N1192" s="10">
        <v>1962</v>
      </c>
      <c r="O1192" s="10">
        <v>0.83</v>
      </c>
      <c r="P1192" s="10">
        <v>1626</v>
      </c>
      <c r="Q1192" s="10">
        <v>219</v>
      </c>
      <c r="R1192" s="10">
        <v>68</v>
      </c>
      <c r="S1192" s="10">
        <v>40</v>
      </c>
      <c r="T1192" s="10">
        <v>139</v>
      </c>
      <c r="U1192" s="10">
        <v>7</v>
      </c>
      <c r="V1192" s="10">
        <v>65</v>
      </c>
      <c r="W1192" s="10">
        <v>0.17399999999999999</v>
      </c>
      <c r="X1192" s="10">
        <v>71</v>
      </c>
      <c r="Y1192" s="10">
        <v>62</v>
      </c>
      <c r="Z1192" s="10">
        <v>67</v>
      </c>
      <c r="AA1192" s="10">
        <v>5</v>
      </c>
      <c r="AB1192" s="10">
        <v>10.1</v>
      </c>
      <c r="AC1192" s="9" t="s">
        <v>349</v>
      </c>
      <c r="AD1192" s="10"/>
      <c r="AE1192" s="10"/>
      <c r="AF1192" s="10"/>
      <c r="AG1192" s="10"/>
    </row>
    <row r="1193" spans="1:33">
      <c r="A1193" s="7" t="s">
        <v>155</v>
      </c>
      <c r="B1193" s="8" t="s">
        <v>229</v>
      </c>
      <c r="C1193" s="9" t="s">
        <v>675</v>
      </c>
      <c r="D1193" s="10">
        <v>177</v>
      </c>
      <c r="E1193" s="9" t="s">
        <v>158</v>
      </c>
      <c r="F1193" s="10">
        <v>177</v>
      </c>
      <c r="G1193" s="10">
        <v>176.9</v>
      </c>
      <c r="H1193" s="10">
        <v>156</v>
      </c>
      <c r="I1193" s="10">
        <v>163</v>
      </c>
      <c r="J1193" s="10">
        <v>127</v>
      </c>
      <c r="K1193" s="10">
        <v>79</v>
      </c>
      <c r="L1193" s="10">
        <v>110</v>
      </c>
      <c r="M1193" s="10">
        <v>16.3</v>
      </c>
      <c r="N1193" s="10">
        <v>2026</v>
      </c>
      <c r="O1193" s="10">
        <v>0.82</v>
      </c>
      <c r="P1193" s="10">
        <v>1671</v>
      </c>
      <c r="Q1193" s="10">
        <v>252</v>
      </c>
      <c r="R1193" s="10">
        <v>76</v>
      </c>
      <c r="S1193" s="10">
        <v>40</v>
      </c>
      <c r="T1193" s="10">
        <v>139</v>
      </c>
      <c r="U1193" s="10">
        <v>7</v>
      </c>
      <c r="V1193" s="10">
        <v>69</v>
      </c>
      <c r="W1193" s="10">
        <v>0.189</v>
      </c>
      <c r="X1193" s="10">
        <v>70</v>
      </c>
      <c r="Y1193" s="10">
        <v>64</v>
      </c>
      <c r="Z1193" s="10">
        <v>69</v>
      </c>
      <c r="AA1193" s="10">
        <v>5</v>
      </c>
      <c r="AB1193" s="10">
        <v>10.5</v>
      </c>
      <c r="AC1193" s="9" t="s">
        <v>349</v>
      </c>
      <c r="AD1193" s="10"/>
      <c r="AE1193" s="10"/>
      <c r="AF1193" s="10"/>
      <c r="AG1193" s="10"/>
    </row>
    <row r="1194" spans="1:33">
      <c r="A1194" s="7" t="s">
        <v>155</v>
      </c>
      <c r="B1194" s="8" t="s">
        <v>229</v>
      </c>
      <c r="C1194" s="9" t="s">
        <v>753</v>
      </c>
      <c r="D1194" s="10">
        <v>172</v>
      </c>
      <c r="E1194" s="9" t="s">
        <v>158</v>
      </c>
      <c r="F1194" s="10">
        <v>172</v>
      </c>
      <c r="G1194" s="10">
        <v>171.7</v>
      </c>
      <c r="H1194" s="10">
        <v>137</v>
      </c>
      <c r="I1194" s="10">
        <v>158</v>
      </c>
      <c r="J1194" s="10">
        <v>131</v>
      </c>
      <c r="K1194" s="10">
        <v>83</v>
      </c>
      <c r="L1194" s="10">
        <v>114</v>
      </c>
      <c r="M1194" s="10">
        <v>15.5</v>
      </c>
      <c r="N1194" s="10">
        <v>1982</v>
      </c>
      <c r="O1194" s="10">
        <v>0.85</v>
      </c>
      <c r="P1194" s="10">
        <v>1691</v>
      </c>
      <c r="Q1194" s="10">
        <v>214</v>
      </c>
      <c r="R1194" s="10">
        <v>67</v>
      </c>
      <c r="S1194" s="10">
        <v>42</v>
      </c>
      <c r="T1194" s="10">
        <v>218</v>
      </c>
      <c r="U1194" s="10">
        <v>8</v>
      </c>
      <c r="V1194" s="10">
        <v>128</v>
      </c>
      <c r="W1194" s="10">
        <v>0.20100000000000001</v>
      </c>
      <c r="X1194" s="10">
        <v>73</v>
      </c>
      <c r="Y1194" s="10">
        <v>62</v>
      </c>
      <c r="Z1194" s="10">
        <v>145</v>
      </c>
      <c r="AA1194" s="10">
        <v>4</v>
      </c>
      <c r="AB1194" s="10">
        <v>11</v>
      </c>
      <c r="AC1194" s="9" t="s">
        <v>188</v>
      </c>
      <c r="AD1194" s="10"/>
      <c r="AE1194" s="10"/>
      <c r="AF1194" s="10"/>
      <c r="AG1194" s="10"/>
    </row>
    <row r="1195" spans="1:33">
      <c r="A1195" s="7" t="s">
        <v>155</v>
      </c>
      <c r="B1195" s="8" t="s">
        <v>229</v>
      </c>
      <c r="C1195" s="9" t="s">
        <v>477</v>
      </c>
      <c r="D1195" s="10">
        <v>161</v>
      </c>
      <c r="E1195" s="9" t="s">
        <v>158</v>
      </c>
      <c r="F1195" s="10">
        <v>161</v>
      </c>
      <c r="G1195" s="10">
        <v>160.5</v>
      </c>
      <c r="H1195" s="10">
        <v>141</v>
      </c>
      <c r="I1195" s="10">
        <v>148</v>
      </c>
      <c r="J1195" s="10">
        <v>123</v>
      </c>
      <c r="K1195" s="10">
        <v>75</v>
      </c>
      <c r="L1195" s="10">
        <v>104</v>
      </c>
      <c r="M1195" s="10">
        <v>14.1</v>
      </c>
      <c r="N1195" s="10">
        <v>1745</v>
      </c>
      <c r="O1195" s="10">
        <v>0.82</v>
      </c>
      <c r="P1195" s="10">
        <v>1428</v>
      </c>
      <c r="Q1195" s="10">
        <v>159</v>
      </c>
      <c r="R1195" s="10">
        <v>76</v>
      </c>
      <c r="S1195" s="10">
        <v>35</v>
      </c>
      <c r="T1195" s="10">
        <v>144</v>
      </c>
      <c r="U1195" s="10">
        <v>5</v>
      </c>
      <c r="V1195" s="10">
        <v>54</v>
      </c>
      <c r="W1195" s="10">
        <v>0.129</v>
      </c>
      <c r="X1195" s="10">
        <v>74</v>
      </c>
      <c r="Y1195" s="10">
        <v>51</v>
      </c>
      <c r="Z1195" s="10">
        <v>71</v>
      </c>
      <c r="AA1195" s="10">
        <v>8</v>
      </c>
      <c r="AB1195" s="10">
        <v>12.7</v>
      </c>
      <c r="AC1195" s="9" t="s">
        <v>349</v>
      </c>
      <c r="AD1195" s="10"/>
      <c r="AE1195" s="10"/>
      <c r="AF1195" s="10"/>
      <c r="AG1195" s="10"/>
    </row>
    <row r="1196" spans="1:33">
      <c r="A1196" s="7" t="s">
        <v>155</v>
      </c>
      <c r="B1196" s="8" t="s">
        <v>229</v>
      </c>
      <c r="C1196" s="9" t="s">
        <v>477</v>
      </c>
      <c r="D1196" s="10">
        <v>168</v>
      </c>
      <c r="E1196" s="9" t="s">
        <v>158</v>
      </c>
      <c r="F1196" s="10">
        <v>168</v>
      </c>
      <c r="G1196" s="10">
        <v>168.1</v>
      </c>
      <c r="H1196" s="10">
        <v>148</v>
      </c>
      <c r="I1196" s="10">
        <v>156</v>
      </c>
      <c r="J1196" s="10">
        <v>123</v>
      </c>
      <c r="K1196" s="10">
        <v>75</v>
      </c>
      <c r="L1196" s="10">
        <v>104</v>
      </c>
      <c r="M1196" s="10">
        <v>15.5</v>
      </c>
      <c r="N1196" s="10">
        <v>1802</v>
      </c>
      <c r="O1196" s="10">
        <v>0.83</v>
      </c>
      <c r="P1196" s="10">
        <v>1497</v>
      </c>
      <c r="Q1196" s="10">
        <v>176</v>
      </c>
      <c r="R1196" s="10">
        <v>76</v>
      </c>
      <c r="S1196" s="10">
        <v>36</v>
      </c>
      <c r="T1196" s="10">
        <v>147</v>
      </c>
      <c r="U1196" s="10">
        <v>5</v>
      </c>
      <c r="V1196" s="10">
        <v>54</v>
      </c>
      <c r="W1196" s="10">
        <v>0.127</v>
      </c>
      <c r="X1196" s="10">
        <v>75</v>
      </c>
      <c r="Y1196" s="10">
        <v>51</v>
      </c>
      <c r="Z1196" s="10">
        <v>72</v>
      </c>
      <c r="AA1196" s="10">
        <v>8</v>
      </c>
      <c r="AB1196" s="10">
        <v>13.1</v>
      </c>
      <c r="AC1196" s="9" t="s">
        <v>349</v>
      </c>
      <c r="AD1196" s="10"/>
      <c r="AE1196" s="10"/>
      <c r="AF1196" s="10"/>
      <c r="AG1196" s="10"/>
    </row>
    <row r="1197" spans="1:33">
      <c r="A1197" s="7" t="s">
        <v>155</v>
      </c>
      <c r="B1197" s="8" t="s">
        <v>229</v>
      </c>
      <c r="C1197" s="9" t="s">
        <v>477</v>
      </c>
      <c r="D1197" s="10">
        <v>175</v>
      </c>
      <c r="E1197" s="9" t="s">
        <v>158</v>
      </c>
      <c r="F1197" s="10">
        <v>175</v>
      </c>
      <c r="G1197" s="10">
        <v>175.5</v>
      </c>
      <c r="H1197" s="10">
        <v>156</v>
      </c>
      <c r="I1197" s="10">
        <v>163</v>
      </c>
      <c r="J1197" s="10">
        <v>123</v>
      </c>
      <c r="K1197" s="10">
        <v>75</v>
      </c>
      <c r="L1197" s="10">
        <v>104</v>
      </c>
      <c r="M1197" s="10">
        <v>17</v>
      </c>
      <c r="N1197" s="10">
        <v>1931</v>
      </c>
      <c r="O1197" s="10">
        <v>0.81</v>
      </c>
      <c r="P1197" s="10">
        <v>1565</v>
      </c>
      <c r="Q1197" s="10">
        <v>204</v>
      </c>
      <c r="R1197" s="10">
        <v>87</v>
      </c>
      <c r="S1197" s="10">
        <v>35</v>
      </c>
      <c r="T1197" s="10">
        <v>141</v>
      </c>
      <c r="U1197" s="10">
        <v>5</v>
      </c>
      <c r="V1197" s="10">
        <v>52</v>
      </c>
      <c r="W1197" s="10">
        <v>0.127</v>
      </c>
      <c r="X1197" s="10">
        <v>73</v>
      </c>
      <c r="Y1197" s="10">
        <v>49</v>
      </c>
      <c r="Z1197" s="10">
        <v>67</v>
      </c>
      <c r="AA1197" s="10">
        <v>9</v>
      </c>
      <c r="AB1197" s="10">
        <v>12.7</v>
      </c>
      <c r="AC1197" s="9" t="s">
        <v>349</v>
      </c>
      <c r="AD1197" s="10"/>
      <c r="AE1197" s="10"/>
      <c r="AF1197" s="10"/>
      <c r="AG1197" s="10"/>
    </row>
    <row r="1198" spans="1:33">
      <c r="A1198" s="7" t="s">
        <v>155</v>
      </c>
      <c r="B1198" s="8" t="s">
        <v>229</v>
      </c>
      <c r="C1198" s="9" t="s">
        <v>716</v>
      </c>
      <c r="D1198" s="10">
        <v>147</v>
      </c>
      <c r="E1198" s="9" t="s">
        <v>163</v>
      </c>
      <c r="F1198" s="10">
        <v>147</v>
      </c>
      <c r="G1198" s="10">
        <v>148</v>
      </c>
      <c r="H1198" s="10">
        <v>130</v>
      </c>
      <c r="I1198" s="10">
        <v>136</v>
      </c>
      <c r="J1198" s="10">
        <v>125</v>
      </c>
      <c r="K1198" s="10">
        <v>74</v>
      </c>
      <c r="L1198" s="10">
        <v>104</v>
      </c>
      <c r="M1198" s="10">
        <v>11.3</v>
      </c>
      <c r="N1198" s="10">
        <v>1633</v>
      </c>
      <c r="O1198" s="10">
        <v>0.81</v>
      </c>
      <c r="P1198" s="10">
        <v>1324</v>
      </c>
      <c r="Q1198" s="10">
        <v>158</v>
      </c>
      <c r="R1198" s="10">
        <v>61</v>
      </c>
      <c r="S1198" s="10">
        <v>33</v>
      </c>
      <c r="T1198" s="10">
        <v>124</v>
      </c>
      <c r="U1198" s="10">
        <v>5</v>
      </c>
      <c r="V1198" s="10">
        <v>53</v>
      </c>
      <c r="W1198" s="10">
        <v>0.16300000000000001</v>
      </c>
      <c r="X1198" s="10">
        <v>65</v>
      </c>
      <c r="Y1198" s="10">
        <v>57</v>
      </c>
      <c r="Z1198" s="10">
        <v>59</v>
      </c>
      <c r="AA1198" s="10">
        <v>6</v>
      </c>
      <c r="AB1198" s="10">
        <v>11.4</v>
      </c>
      <c r="AC1198" s="9" t="s">
        <v>349</v>
      </c>
      <c r="AD1198" s="10"/>
      <c r="AE1198" s="10"/>
      <c r="AF1198" s="10"/>
      <c r="AG1198" s="10"/>
    </row>
    <row r="1199" spans="1:33">
      <c r="A1199" s="7" t="s">
        <v>155</v>
      </c>
      <c r="B1199" s="8" t="s">
        <v>229</v>
      </c>
      <c r="C1199" s="9" t="s">
        <v>716</v>
      </c>
      <c r="D1199" s="10">
        <v>154</v>
      </c>
      <c r="E1199" s="9" t="s">
        <v>163</v>
      </c>
      <c r="F1199" s="10">
        <v>154</v>
      </c>
      <c r="G1199" s="10">
        <v>153</v>
      </c>
      <c r="H1199" s="10">
        <v>135</v>
      </c>
      <c r="I1199" s="10">
        <v>140</v>
      </c>
      <c r="J1199" s="10">
        <v>125</v>
      </c>
      <c r="K1199" s="10">
        <v>74</v>
      </c>
      <c r="L1199" s="10">
        <v>104</v>
      </c>
      <c r="M1199" s="10">
        <v>12.2</v>
      </c>
      <c r="N1199" s="10">
        <v>1683</v>
      </c>
      <c r="O1199" s="10">
        <v>0.81</v>
      </c>
      <c r="P1199" s="10">
        <v>1365</v>
      </c>
      <c r="Q1199" s="10">
        <v>166</v>
      </c>
      <c r="R1199" s="10">
        <v>63</v>
      </c>
      <c r="S1199" s="10">
        <v>33</v>
      </c>
      <c r="T1199" s="10">
        <v>122</v>
      </c>
      <c r="U1199" s="10">
        <v>5</v>
      </c>
      <c r="V1199" s="10">
        <v>54</v>
      </c>
      <c r="W1199" s="10">
        <v>0.13600000000000001</v>
      </c>
      <c r="X1199" s="10">
        <v>69</v>
      </c>
      <c r="Y1199" s="10">
        <v>59</v>
      </c>
      <c r="Z1199" s="10">
        <v>53</v>
      </c>
      <c r="AA1199" s="10">
        <v>7</v>
      </c>
      <c r="AB1199" s="10">
        <v>11.4</v>
      </c>
      <c r="AC1199" s="9" t="s">
        <v>349</v>
      </c>
      <c r="AD1199" s="10"/>
      <c r="AE1199" s="10"/>
      <c r="AF1199" s="10"/>
      <c r="AG1199" s="10"/>
    </row>
    <row r="1200" spans="1:33">
      <c r="A1200" s="7" t="s">
        <v>155</v>
      </c>
      <c r="B1200" s="8" t="s">
        <v>229</v>
      </c>
      <c r="C1200" s="9" t="s">
        <v>716</v>
      </c>
      <c r="D1200" s="10">
        <v>161</v>
      </c>
      <c r="E1200" s="9" t="s">
        <v>163</v>
      </c>
      <c r="F1200" s="10">
        <v>161</v>
      </c>
      <c r="G1200" s="10">
        <v>160.5</v>
      </c>
      <c r="H1200" s="10">
        <v>141</v>
      </c>
      <c r="I1200" s="10">
        <v>148</v>
      </c>
      <c r="J1200" s="10">
        <v>125</v>
      </c>
      <c r="K1200" s="10">
        <v>74</v>
      </c>
      <c r="L1200" s="10">
        <v>105</v>
      </c>
      <c r="M1200" s="10">
        <v>13.6</v>
      </c>
      <c r="N1200" s="10">
        <v>1793</v>
      </c>
      <c r="O1200" s="10">
        <v>0.8</v>
      </c>
      <c r="P1200" s="10">
        <v>1433</v>
      </c>
      <c r="Q1200" s="10">
        <v>162</v>
      </c>
      <c r="R1200" s="10">
        <v>69</v>
      </c>
      <c r="S1200" s="10">
        <v>35</v>
      </c>
      <c r="T1200" s="10">
        <v>133</v>
      </c>
      <c r="U1200" s="10">
        <v>5</v>
      </c>
      <c r="V1200" s="10">
        <v>61</v>
      </c>
      <c r="W1200" s="10">
        <v>0.14699999999999999</v>
      </c>
      <c r="X1200" s="10">
        <v>71</v>
      </c>
      <c r="Y1200" s="10">
        <v>58</v>
      </c>
      <c r="Z1200" s="10">
        <v>62</v>
      </c>
      <c r="AA1200" s="10">
        <v>4</v>
      </c>
      <c r="AB1200" s="10">
        <v>11.7</v>
      </c>
      <c r="AC1200" s="9" t="s">
        <v>349</v>
      </c>
      <c r="AD1200" s="10"/>
      <c r="AE1200" s="10"/>
      <c r="AF1200" s="10"/>
      <c r="AG1200" s="10"/>
    </row>
    <row r="1201" spans="1:33">
      <c r="A1201" s="7" t="s">
        <v>155</v>
      </c>
      <c r="B1201" s="8" t="s">
        <v>229</v>
      </c>
      <c r="C1201" s="9" t="s">
        <v>725</v>
      </c>
      <c r="D1201" s="10">
        <v>149</v>
      </c>
      <c r="E1201" s="9" t="s">
        <v>163</v>
      </c>
      <c r="F1201" s="10">
        <v>149</v>
      </c>
      <c r="G1201" s="10">
        <v>149.4</v>
      </c>
      <c r="H1201" s="10">
        <v>106</v>
      </c>
      <c r="I1201" s="10">
        <v>138</v>
      </c>
      <c r="J1201" s="10">
        <v>128</v>
      </c>
      <c r="K1201" s="10">
        <v>79</v>
      </c>
      <c r="L1201" s="10">
        <v>109</v>
      </c>
      <c r="M1201" s="10">
        <v>11.9</v>
      </c>
      <c r="N1201" s="10">
        <v>1397</v>
      </c>
      <c r="O1201" s="10">
        <v>1</v>
      </c>
      <c r="P1201" s="10">
        <v>1393</v>
      </c>
      <c r="Q1201" s="10">
        <v>140</v>
      </c>
      <c r="R1201" s="10">
        <v>51</v>
      </c>
      <c r="S1201" s="10">
        <v>37</v>
      </c>
      <c r="T1201" s="10">
        <v>229</v>
      </c>
      <c r="U1201" s="10">
        <v>7</v>
      </c>
      <c r="V1201" s="10">
        <v>204</v>
      </c>
      <c r="W1201" s="10">
        <v>0.18099999999999999</v>
      </c>
      <c r="X1201" s="10">
        <v>67</v>
      </c>
      <c r="Y1201" s="10">
        <v>47</v>
      </c>
      <c r="Z1201" s="10">
        <v>161</v>
      </c>
      <c r="AA1201" s="10">
        <v>3</v>
      </c>
      <c r="AB1201" s="10">
        <v>11.4</v>
      </c>
      <c r="AC1201" s="9" t="s">
        <v>160</v>
      </c>
      <c r="AD1201" s="10"/>
      <c r="AE1201" s="10"/>
      <c r="AF1201" s="10"/>
      <c r="AG1201" s="10"/>
    </row>
    <row r="1202" spans="1:33">
      <c r="A1202" s="7" t="s">
        <v>155</v>
      </c>
      <c r="B1202" s="8" t="s">
        <v>229</v>
      </c>
      <c r="C1202" s="9" t="s">
        <v>725</v>
      </c>
      <c r="D1202" s="10">
        <v>156</v>
      </c>
      <c r="E1202" s="9" t="s">
        <v>163</v>
      </c>
      <c r="F1202" s="10">
        <v>156</v>
      </c>
      <c r="G1202" s="10">
        <v>154.69999999999999</v>
      </c>
      <c r="H1202" s="10">
        <v>136</v>
      </c>
      <c r="I1202" s="10">
        <v>143</v>
      </c>
      <c r="J1202" s="10">
        <v>128</v>
      </c>
      <c r="K1202" s="10">
        <v>79</v>
      </c>
      <c r="L1202" s="10">
        <v>109</v>
      </c>
      <c r="M1202" s="10">
        <v>12.8</v>
      </c>
      <c r="N1202" s="10">
        <v>1452</v>
      </c>
      <c r="O1202" s="10">
        <v>0.99</v>
      </c>
      <c r="P1202" s="10">
        <v>1442</v>
      </c>
      <c r="Q1202" s="10">
        <v>150</v>
      </c>
      <c r="R1202" s="10">
        <v>62</v>
      </c>
      <c r="S1202" s="10">
        <v>36</v>
      </c>
      <c r="T1202" s="10">
        <v>133</v>
      </c>
      <c r="U1202" s="10">
        <v>5</v>
      </c>
      <c r="V1202" s="10">
        <v>56</v>
      </c>
      <c r="W1202" s="10">
        <v>0.14599999999999999</v>
      </c>
      <c r="X1202" s="10">
        <v>68</v>
      </c>
      <c r="Y1202" s="10">
        <v>49</v>
      </c>
      <c r="Z1202" s="10">
        <v>65</v>
      </c>
      <c r="AA1202" s="10">
        <v>6</v>
      </c>
      <c r="AB1202" s="10">
        <v>10.8</v>
      </c>
      <c r="AC1202" s="9" t="s">
        <v>349</v>
      </c>
      <c r="AD1202" s="10"/>
      <c r="AE1202" s="10"/>
      <c r="AF1202" s="10"/>
      <c r="AG1202" s="10"/>
    </row>
    <row r="1203" spans="1:33">
      <c r="A1203" s="7" t="s">
        <v>155</v>
      </c>
      <c r="B1203" s="8" t="s">
        <v>229</v>
      </c>
      <c r="C1203" s="9" t="s">
        <v>725</v>
      </c>
      <c r="D1203" s="10">
        <v>163</v>
      </c>
      <c r="E1203" s="9" t="s">
        <v>163</v>
      </c>
      <c r="F1203" s="10">
        <v>163</v>
      </c>
      <c r="G1203" s="10">
        <v>162.1</v>
      </c>
      <c r="H1203" s="10">
        <v>131</v>
      </c>
      <c r="I1203" s="10">
        <v>150</v>
      </c>
      <c r="J1203" s="10">
        <v>128</v>
      </c>
      <c r="K1203" s="10">
        <v>79</v>
      </c>
      <c r="L1203" s="10">
        <v>109</v>
      </c>
      <c r="M1203" s="10">
        <v>14.1</v>
      </c>
      <c r="N1203" s="10">
        <v>1630</v>
      </c>
      <c r="O1203" s="10">
        <v>0.93</v>
      </c>
      <c r="P1203" s="10">
        <v>1512</v>
      </c>
      <c r="Q1203" s="10">
        <v>172</v>
      </c>
      <c r="R1203" s="10">
        <v>70</v>
      </c>
      <c r="S1203" s="10">
        <v>37</v>
      </c>
      <c r="T1203" s="10">
        <v>188</v>
      </c>
      <c r="U1203" s="10">
        <v>6</v>
      </c>
      <c r="V1203" s="10">
        <v>118</v>
      </c>
      <c r="W1203" s="10">
        <v>0.17299999999999999</v>
      </c>
      <c r="X1203" s="10">
        <v>72</v>
      </c>
      <c r="Y1203" s="10">
        <v>49</v>
      </c>
      <c r="Z1203" s="10">
        <v>116</v>
      </c>
      <c r="AA1203" s="10">
        <v>5</v>
      </c>
      <c r="AB1203" s="10">
        <v>10.9</v>
      </c>
      <c r="AC1203" s="9" t="s">
        <v>160</v>
      </c>
      <c r="AD1203" s="10"/>
      <c r="AE1203" s="10"/>
      <c r="AF1203" s="10"/>
      <c r="AG1203" s="10"/>
    </row>
    <row r="1204" spans="1:33">
      <c r="A1204" s="7" t="s">
        <v>155</v>
      </c>
      <c r="B1204" s="8" t="s">
        <v>229</v>
      </c>
      <c r="C1204" s="9" t="s">
        <v>651</v>
      </c>
      <c r="D1204" s="10">
        <v>150</v>
      </c>
      <c r="E1204" s="9" t="s">
        <v>163</v>
      </c>
      <c r="F1204" s="10">
        <v>150</v>
      </c>
      <c r="G1204" s="10">
        <v>149.30000000000001</v>
      </c>
      <c r="H1204" s="10">
        <v>128</v>
      </c>
      <c r="I1204" s="10">
        <v>135</v>
      </c>
      <c r="J1204" s="10">
        <v>122</v>
      </c>
      <c r="K1204" s="10">
        <v>70</v>
      </c>
      <c r="L1204" s="10">
        <v>103</v>
      </c>
      <c r="M1204" s="10">
        <v>10.4</v>
      </c>
      <c r="N1204" s="10">
        <v>1572</v>
      </c>
      <c r="O1204" s="10">
        <v>0.82</v>
      </c>
      <c r="P1204" s="10">
        <v>1282</v>
      </c>
      <c r="Q1204" s="10">
        <v>199</v>
      </c>
      <c r="R1204" s="10">
        <v>69</v>
      </c>
      <c r="S1204" s="10">
        <v>41</v>
      </c>
      <c r="T1204" s="10">
        <v>163</v>
      </c>
      <c r="U1204" s="10">
        <v>6</v>
      </c>
      <c r="V1204" s="10">
        <v>55</v>
      </c>
      <c r="W1204" s="10">
        <v>0.14599999999999999</v>
      </c>
      <c r="X1204" s="10">
        <v>70</v>
      </c>
      <c r="Y1204" s="10">
        <v>75</v>
      </c>
      <c r="Z1204" s="10">
        <v>93</v>
      </c>
      <c r="AA1204" s="10">
        <v>4</v>
      </c>
      <c r="AB1204" s="10">
        <v>12.4</v>
      </c>
      <c r="AC1204" s="9" t="s">
        <v>349</v>
      </c>
      <c r="AD1204" s="10"/>
      <c r="AE1204" s="10"/>
      <c r="AF1204" s="10"/>
      <c r="AG1204" s="10"/>
    </row>
    <row r="1205" spans="1:33">
      <c r="A1205" s="7" t="s">
        <v>155</v>
      </c>
      <c r="B1205" s="8" t="s">
        <v>229</v>
      </c>
      <c r="C1205" s="9" t="s">
        <v>651</v>
      </c>
      <c r="D1205" s="10">
        <v>155</v>
      </c>
      <c r="E1205" s="9" t="s">
        <v>163</v>
      </c>
      <c r="F1205" s="10">
        <v>155</v>
      </c>
      <c r="G1205" s="10">
        <v>154.5</v>
      </c>
      <c r="H1205" s="10">
        <v>132</v>
      </c>
      <c r="I1205" s="10">
        <v>140</v>
      </c>
      <c r="J1205" s="10">
        <v>123</v>
      </c>
      <c r="K1205" s="10">
        <v>70</v>
      </c>
      <c r="L1205" s="10">
        <v>103</v>
      </c>
      <c r="M1205" s="10">
        <v>11.4</v>
      </c>
      <c r="N1205" s="10">
        <v>1587</v>
      </c>
      <c r="O1205" s="10">
        <v>0.84</v>
      </c>
      <c r="P1205" s="10">
        <v>1328</v>
      </c>
      <c r="Q1205" s="10">
        <v>193</v>
      </c>
      <c r="R1205" s="10">
        <v>71</v>
      </c>
      <c r="S1205" s="10">
        <v>47</v>
      </c>
      <c r="T1205" s="10">
        <v>168</v>
      </c>
      <c r="U1205" s="10">
        <v>6</v>
      </c>
      <c r="V1205" s="10">
        <v>57</v>
      </c>
      <c r="W1205" s="10">
        <v>0.129</v>
      </c>
      <c r="X1205" s="10">
        <v>70</v>
      </c>
      <c r="Y1205" s="10">
        <v>77</v>
      </c>
      <c r="Z1205" s="10">
        <v>98</v>
      </c>
      <c r="AA1205" s="10">
        <v>4</v>
      </c>
      <c r="AB1205" s="10">
        <v>13.1</v>
      </c>
      <c r="AC1205" s="9" t="s">
        <v>349</v>
      </c>
      <c r="AD1205" s="10"/>
      <c r="AE1205" s="10"/>
      <c r="AF1205" s="10"/>
      <c r="AG1205" s="10"/>
    </row>
    <row r="1206" spans="1:33">
      <c r="A1206" s="7" t="s">
        <v>155</v>
      </c>
      <c r="B1206" s="8" t="s">
        <v>229</v>
      </c>
      <c r="C1206" s="9" t="s">
        <v>651</v>
      </c>
      <c r="D1206" s="10">
        <v>160</v>
      </c>
      <c r="E1206" s="9" t="s">
        <v>163</v>
      </c>
      <c r="F1206" s="10">
        <v>160</v>
      </c>
      <c r="G1206" s="10">
        <v>159.6</v>
      </c>
      <c r="H1206" s="10">
        <v>137</v>
      </c>
      <c r="I1206" s="10">
        <v>144</v>
      </c>
      <c r="J1206" s="10">
        <v>122</v>
      </c>
      <c r="K1206" s="10">
        <v>70</v>
      </c>
      <c r="L1206" s="10">
        <v>102</v>
      </c>
      <c r="M1206" s="10">
        <v>12.2</v>
      </c>
      <c r="N1206" s="10">
        <v>1647</v>
      </c>
      <c r="O1206" s="10">
        <v>0.83</v>
      </c>
      <c r="P1206" s="10">
        <v>1370</v>
      </c>
      <c r="Q1206" s="10">
        <v>203</v>
      </c>
      <c r="R1206" s="10">
        <v>71</v>
      </c>
      <c r="S1206" s="10">
        <v>42</v>
      </c>
      <c r="T1206" s="10">
        <v>166</v>
      </c>
      <c r="U1206" s="10">
        <v>7</v>
      </c>
      <c r="V1206" s="10">
        <v>56</v>
      </c>
      <c r="W1206" s="10">
        <v>0.157</v>
      </c>
      <c r="X1206" s="10">
        <v>72</v>
      </c>
      <c r="Y1206" s="10">
        <v>79</v>
      </c>
      <c r="Z1206" s="10">
        <v>94</v>
      </c>
      <c r="AA1206" s="10">
        <v>4</v>
      </c>
      <c r="AB1206" s="10">
        <v>11.5</v>
      </c>
      <c r="AC1206" s="9" t="s">
        <v>349</v>
      </c>
      <c r="AD1206" s="10"/>
      <c r="AE1206" s="10"/>
      <c r="AF1206" s="10"/>
      <c r="AG1206" s="10"/>
    </row>
    <row r="1207" spans="1:33">
      <c r="A1207" s="7" t="s">
        <v>155</v>
      </c>
      <c r="B1207" s="8" t="s">
        <v>229</v>
      </c>
      <c r="C1207" s="9" t="s">
        <v>230</v>
      </c>
      <c r="D1207" s="10">
        <v>161</v>
      </c>
      <c r="E1207" s="9" t="s">
        <v>158</v>
      </c>
      <c r="F1207" s="10">
        <v>161</v>
      </c>
      <c r="G1207" s="10">
        <v>161.19999999999999</v>
      </c>
      <c r="H1207" s="10">
        <v>115</v>
      </c>
      <c r="I1207" s="10">
        <v>137</v>
      </c>
      <c r="J1207" s="10">
        <v>124</v>
      </c>
      <c r="K1207" s="10">
        <v>83</v>
      </c>
      <c r="L1207" s="10">
        <v>106</v>
      </c>
      <c r="M1207" s="10">
        <v>14.2</v>
      </c>
      <c r="N1207" s="10">
        <v>1402</v>
      </c>
      <c r="O1207" s="10">
        <v>1.1100000000000001</v>
      </c>
      <c r="P1207" s="10">
        <v>1549</v>
      </c>
      <c r="Q1207" s="10">
        <v>176</v>
      </c>
      <c r="R1207" s="10">
        <v>70</v>
      </c>
      <c r="S1207" s="10">
        <v>38</v>
      </c>
      <c r="T1207" s="10">
        <v>279</v>
      </c>
      <c r="U1207" s="10">
        <v>13</v>
      </c>
      <c r="V1207" s="10">
        <v>185</v>
      </c>
      <c r="W1207" s="10">
        <v>0.34899999999999998</v>
      </c>
      <c r="X1207" s="10">
        <v>132</v>
      </c>
      <c r="Y1207" s="10">
        <v>108</v>
      </c>
      <c r="Z1207" s="10">
        <v>147</v>
      </c>
      <c r="AA1207" s="10">
        <v>3</v>
      </c>
      <c r="AB1207" s="10">
        <v>11.8</v>
      </c>
      <c r="AC1207" s="9" t="s">
        <v>231</v>
      </c>
      <c r="AD1207" s="9" t="s">
        <v>188</v>
      </c>
      <c r="AE1207" s="9" t="s">
        <v>185</v>
      </c>
      <c r="AF1207" s="10"/>
      <c r="AG1207" s="10"/>
    </row>
    <row r="1208" spans="1:33">
      <c r="A1208" s="7" t="s">
        <v>155</v>
      </c>
      <c r="B1208" s="8" t="s">
        <v>229</v>
      </c>
      <c r="C1208" s="9" t="s">
        <v>230</v>
      </c>
      <c r="D1208" s="10">
        <v>168</v>
      </c>
      <c r="E1208" s="9" t="s">
        <v>158</v>
      </c>
      <c r="F1208" s="10">
        <v>168</v>
      </c>
      <c r="G1208" s="10">
        <v>168.7</v>
      </c>
      <c r="H1208" s="10">
        <v>132</v>
      </c>
      <c r="I1208" s="10">
        <v>145</v>
      </c>
      <c r="J1208" s="10">
        <v>124</v>
      </c>
      <c r="K1208" s="10">
        <v>83</v>
      </c>
      <c r="L1208" s="10">
        <v>106</v>
      </c>
      <c r="M1208" s="10">
        <v>15.8</v>
      </c>
      <c r="N1208" s="10">
        <v>1495</v>
      </c>
      <c r="O1208" s="10">
        <v>1.0900000000000001</v>
      </c>
      <c r="P1208" s="10">
        <v>1623</v>
      </c>
      <c r="Q1208" s="10">
        <v>185</v>
      </c>
      <c r="R1208" s="10">
        <v>70</v>
      </c>
      <c r="S1208" s="10">
        <v>36</v>
      </c>
      <c r="T1208" s="10">
        <v>229</v>
      </c>
      <c r="U1208" s="10">
        <v>13</v>
      </c>
      <c r="V1208" s="10">
        <v>141</v>
      </c>
      <c r="W1208" s="10">
        <v>0.34799999999999998</v>
      </c>
      <c r="X1208" s="10">
        <v>134</v>
      </c>
      <c r="Y1208" s="10">
        <v>107</v>
      </c>
      <c r="Z1208" s="10">
        <v>95</v>
      </c>
      <c r="AA1208" s="10">
        <v>3</v>
      </c>
      <c r="AB1208" s="10">
        <v>11.6</v>
      </c>
      <c r="AC1208" s="9" t="s">
        <v>231</v>
      </c>
      <c r="AD1208" s="9" t="s">
        <v>188</v>
      </c>
      <c r="AE1208" s="9" t="s">
        <v>185</v>
      </c>
      <c r="AF1208" s="10"/>
      <c r="AG1208" s="10"/>
    </row>
    <row r="1209" spans="1:33">
      <c r="A1209" s="7" t="s">
        <v>155</v>
      </c>
      <c r="B1209" s="8" t="s">
        <v>229</v>
      </c>
      <c r="C1209" s="9" t="s">
        <v>230</v>
      </c>
      <c r="D1209" s="10">
        <v>175</v>
      </c>
      <c r="E1209" s="9" t="s">
        <v>158</v>
      </c>
      <c r="F1209" s="10">
        <v>175</v>
      </c>
      <c r="G1209" s="10">
        <v>176.1</v>
      </c>
      <c r="H1209" s="10">
        <v>131</v>
      </c>
      <c r="I1209" s="10">
        <v>152</v>
      </c>
      <c r="J1209" s="10">
        <v>124</v>
      </c>
      <c r="K1209" s="10">
        <v>83</v>
      </c>
      <c r="L1209" s="10">
        <v>106</v>
      </c>
      <c r="M1209" s="10">
        <v>17.5</v>
      </c>
      <c r="N1209" s="10">
        <v>1609</v>
      </c>
      <c r="O1209" s="10">
        <v>1.05</v>
      </c>
      <c r="P1209" s="10">
        <v>1691</v>
      </c>
      <c r="Q1209" s="10">
        <v>194</v>
      </c>
      <c r="R1209" s="10">
        <v>75</v>
      </c>
      <c r="S1209" s="10">
        <v>38</v>
      </c>
      <c r="T1209" s="10">
        <v>290</v>
      </c>
      <c r="U1209" s="10">
        <v>12</v>
      </c>
      <c r="V1209" s="10">
        <v>161</v>
      </c>
      <c r="W1209" s="10">
        <v>0.31900000000000001</v>
      </c>
      <c r="X1209" s="10">
        <v>135</v>
      </c>
      <c r="Y1209" s="10">
        <v>106</v>
      </c>
      <c r="Z1209" s="10">
        <v>155</v>
      </c>
      <c r="AA1209" s="10">
        <v>2</v>
      </c>
      <c r="AB1209" s="10">
        <v>11.7</v>
      </c>
      <c r="AC1209" s="9" t="s">
        <v>231</v>
      </c>
      <c r="AD1209" s="9" t="s">
        <v>188</v>
      </c>
      <c r="AE1209" s="9" t="s">
        <v>185</v>
      </c>
      <c r="AF1209" s="10"/>
      <c r="AG1209" s="10"/>
    </row>
    <row r="1210" spans="1:33">
      <c r="A1210" s="7" t="s">
        <v>155</v>
      </c>
      <c r="B1210" s="8" t="s">
        <v>229</v>
      </c>
      <c r="C1210" s="9" t="s">
        <v>230</v>
      </c>
      <c r="D1210" s="10">
        <v>182</v>
      </c>
      <c r="E1210" s="9" t="s">
        <v>158</v>
      </c>
      <c r="F1210" s="10">
        <v>182</v>
      </c>
      <c r="G1210" s="10">
        <v>183.5</v>
      </c>
      <c r="H1210" s="10">
        <v>157</v>
      </c>
      <c r="I1210" s="10">
        <v>160</v>
      </c>
      <c r="J1210" s="10">
        <v>124</v>
      </c>
      <c r="K1210" s="10">
        <v>83</v>
      </c>
      <c r="L1210" s="10">
        <v>106</v>
      </c>
      <c r="M1210" s="10">
        <v>19.399999999999999</v>
      </c>
      <c r="N1210" s="10">
        <v>1668</v>
      </c>
      <c r="O1210" s="10">
        <v>1.06</v>
      </c>
      <c r="P1210" s="10">
        <v>1763</v>
      </c>
      <c r="Q1210" s="10">
        <v>196</v>
      </c>
      <c r="R1210" s="10">
        <v>76</v>
      </c>
      <c r="S1210" s="10">
        <v>34</v>
      </c>
      <c r="T1210" s="10">
        <v>166</v>
      </c>
      <c r="U1210" s="10">
        <v>12</v>
      </c>
      <c r="V1210" s="10">
        <v>96</v>
      </c>
      <c r="W1210" s="10">
        <v>0.35</v>
      </c>
      <c r="X1210" s="10">
        <v>132</v>
      </c>
      <c r="Y1210" s="10">
        <v>104</v>
      </c>
      <c r="Z1210" s="10">
        <v>34</v>
      </c>
      <c r="AA1210" s="10">
        <v>4</v>
      </c>
      <c r="AB1210" s="10">
        <v>11.8</v>
      </c>
      <c r="AC1210" s="9" t="s">
        <v>231</v>
      </c>
      <c r="AD1210" s="9" t="s">
        <v>188</v>
      </c>
      <c r="AE1210" s="9" t="s">
        <v>185</v>
      </c>
      <c r="AF1210" s="10"/>
      <c r="AG1210" s="10"/>
    </row>
    <row r="1211" spans="1:33">
      <c r="A1211" s="7" t="s">
        <v>155</v>
      </c>
      <c r="B1211" s="8" t="s">
        <v>229</v>
      </c>
      <c r="C1211" s="9" t="s">
        <v>861</v>
      </c>
      <c r="D1211" s="10">
        <v>170</v>
      </c>
      <c r="E1211" s="9" t="s">
        <v>158</v>
      </c>
      <c r="F1211" s="10">
        <v>170</v>
      </c>
      <c r="G1211" s="10">
        <v>170.7</v>
      </c>
      <c r="H1211" s="10">
        <v>114</v>
      </c>
      <c r="I1211" s="10">
        <v>147</v>
      </c>
      <c r="J1211" s="10">
        <v>145</v>
      </c>
      <c r="K1211" s="10">
        <v>107</v>
      </c>
      <c r="L1211" s="10">
        <v>128</v>
      </c>
      <c r="M1211" s="10">
        <v>17.5</v>
      </c>
      <c r="N1211" s="10">
        <v>2106</v>
      </c>
      <c r="O1211" s="10">
        <v>0.96</v>
      </c>
      <c r="P1211" s="10">
        <v>2025</v>
      </c>
      <c r="Q1211" s="10">
        <v>232</v>
      </c>
      <c r="R1211" s="10">
        <v>158</v>
      </c>
      <c r="S1211" s="10">
        <v>52</v>
      </c>
      <c r="T1211" s="10">
        <v>337</v>
      </c>
      <c r="U1211" s="10">
        <v>17</v>
      </c>
      <c r="V1211" s="10">
        <v>228</v>
      </c>
      <c r="W1211" s="10">
        <v>0.32700000000000001</v>
      </c>
      <c r="X1211" s="10">
        <v>136</v>
      </c>
      <c r="Y1211" s="10">
        <v>100</v>
      </c>
      <c r="Z1211" s="10">
        <v>201</v>
      </c>
      <c r="AA1211" s="10">
        <v>3</v>
      </c>
      <c r="AB1211" s="10">
        <v>11.7</v>
      </c>
      <c r="AC1211" s="9" t="s">
        <v>178</v>
      </c>
      <c r="AD1211" s="10"/>
      <c r="AE1211" s="10"/>
      <c r="AF1211" s="10"/>
      <c r="AG1211" s="10"/>
    </row>
    <row r="1212" spans="1:33">
      <c r="A1212" s="7" t="s">
        <v>155</v>
      </c>
      <c r="B1212" s="8" t="s">
        <v>229</v>
      </c>
      <c r="C1212" s="9" t="s">
        <v>861</v>
      </c>
      <c r="D1212" s="10">
        <v>177</v>
      </c>
      <c r="E1212" s="9" t="s">
        <v>158</v>
      </c>
      <c r="F1212" s="10">
        <v>177</v>
      </c>
      <c r="G1212" s="10">
        <v>178.1</v>
      </c>
      <c r="H1212" s="10">
        <v>135</v>
      </c>
      <c r="I1212" s="10">
        <v>155</v>
      </c>
      <c r="J1212" s="10">
        <v>145</v>
      </c>
      <c r="K1212" s="10">
        <v>107</v>
      </c>
      <c r="L1212" s="10">
        <v>128</v>
      </c>
      <c r="M1212" s="10">
        <v>19.399999999999999</v>
      </c>
      <c r="N1212" s="10">
        <v>2237</v>
      </c>
      <c r="O1212" s="10">
        <v>0.95</v>
      </c>
      <c r="P1212" s="10">
        <v>2115</v>
      </c>
      <c r="Q1212" s="10">
        <v>229</v>
      </c>
      <c r="R1212" s="10">
        <v>162</v>
      </c>
      <c r="S1212" s="10">
        <v>49</v>
      </c>
      <c r="T1212" s="10">
        <v>249</v>
      </c>
      <c r="U1212" s="10">
        <v>17</v>
      </c>
      <c r="V1212" s="10">
        <v>184</v>
      </c>
      <c r="W1212" s="10">
        <v>0.35</v>
      </c>
      <c r="X1212" s="10">
        <v>131</v>
      </c>
      <c r="Y1212" s="10">
        <v>104</v>
      </c>
      <c r="Z1212" s="10">
        <v>118</v>
      </c>
      <c r="AA1212" s="10">
        <v>4</v>
      </c>
      <c r="AB1212" s="10">
        <v>11.5</v>
      </c>
      <c r="AC1212" s="9" t="s">
        <v>169</v>
      </c>
      <c r="AD1212" s="9" t="s">
        <v>178</v>
      </c>
      <c r="AE1212" s="10"/>
      <c r="AF1212" s="10"/>
      <c r="AG1212" s="10"/>
    </row>
    <row r="1213" spans="1:33">
      <c r="A1213" s="7" t="s">
        <v>155</v>
      </c>
      <c r="B1213" s="8" t="s">
        <v>229</v>
      </c>
      <c r="C1213" s="9" t="s">
        <v>861</v>
      </c>
      <c r="D1213" s="10">
        <v>184</v>
      </c>
      <c r="E1213" s="9" t="s">
        <v>158</v>
      </c>
      <c r="F1213" s="10">
        <v>184</v>
      </c>
      <c r="G1213" s="10">
        <v>183.1</v>
      </c>
      <c r="H1213" s="10">
        <v>129</v>
      </c>
      <c r="I1213" s="10">
        <v>160</v>
      </c>
      <c r="J1213" s="10">
        <v>145</v>
      </c>
      <c r="K1213" s="10">
        <v>107</v>
      </c>
      <c r="L1213" s="10">
        <v>128</v>
      </c>
      <c r="M1213" s="10">
        <v>20.5</v>
      </c>
      <c r="N1213" s="10">
        <v>2321</v>
      </c>
      <c r="O1213" s="10">
        <v>0.94</v>
      </c>
      <c r="P1213" s="10">
        <v>2175</v>
      </c>
      <c r="Q1213" s="10">
        <v>234</v>
      </c>
      <c r="R1213" s="10">
        <v>157</v>
      </c>
      <c r="S1213" s="10">
        <v>50</v>
      </c>
      <c r="T1213" s="10">
        <v>304</v>
      </c>
      <c r="U1213" s="10">
        <v>19</v>
      </c>
      <c r="V1213" s="10">
        <v>241</v>
      </c>
      <c r="W1213" s="10">
        <v>0.38800000000000001</v>
      </c>
      <c r="X1213" s="10">
        <v>128</v>
      </c>
      <c r="Y1213" s="10">
        <v>104</v>
      </c>
      <c r="Z1213" s="10">
        <v>176</v>
      </c>
      <c r="AA1213" s="10">
        <v>4</v>
      </c>
      <c r="AB1213" s="10">
        <v>11.8</v>
      </c>
      <c r="AC1213" s="9" t="s">
        <v>169</v>
      </c>
      <c r="AD1213" s="9" t="s">
        <v>178</v>
      </c>
      <c r="AE1213" s="10"/>
      <c r="AF1213" s="10"/>
      <c r="AG1213" s="10"/>
    </row>
    <row r="1214" spans="1:33">
      <c r="A1214" s="7" t="s">
        <v>155</v>
      </c>
      <c r="B1214" s="8" t="s">
        <v>229</v>
      </c>
      <c r="C1214" s="9" t="s">
        <v>861</v>
      </c>
      <c r="D1214" s="10">
        <v>191</v>
      </c>
      <c r="E1214" s="9" t="s">
        <v>158</v>
      </c>
      <c r="F1214" s="10">
        <v>191</v>
      </c>
      <c r="G1214" s="10">
        <v>191.2</v>
      </c>
      <c r="H1214" s="10">
        <v>112</v>
      </c>
      <c r="I1214" s="10">
        <v>167</v>
      </c>
      <c r="J1214" s="10">
        <v>145</v>
      </c>
      <c r="K1214" s="10">
        <v>108</v>
      </c>
      <c r="L1214" s="10">
        <v>129</v>
      </c>
      <c r="M1214" s="10">
        <v>22.7</v>
      </c>
      <c r="N1214" s="10">
        <v>2405</v>
      </c>
      <c r="O1214" s="10">
        <v>0.94</v>
      </c>
      <c r="P1214" s="10">
        <v>2270</v>
      </c>
      <c r="Q1214" s="10">
        <v>265</v>
      </c>
      <c r="R1214" s="10">
        <v>173</v>
      </c>
      <c r="S1214" s="10">
        <v>53</v>
      </c>
      <c r="T1214" s="10">
        <v>457</v>
      </c>
      <c r="U1214" s="10">
        <v>24</v>
      </c>
      <c r="V1214" s="10">
        <v>332</v>
      </c>
      <c r="W1214" s="10">
        <v>0.46</v>
      </c>
      <c r="X1214" s="10">
        <v>130</v>
      </c>
      <c r="Y1214" s="10">
        <v>110</v>
      </c>
      <c r="Z1214" s="10">
        <v>327</v>
      </c>
      <c r="AA1214" s="10">
        <v>1</v>
      </c>
      <c r="AB1214" s="10">
        <v>11.9</v>
      </c>
      <c r="AC1214" s="9" t="s">
        <v>169</v>
      </c>
      <c r="AD1214" s="10"/>
      <c r="AE1214" s="10"/>
      <c r="AF1214" s="10"/>
      <c r="AG1214" s="10"/>
    </row>
    <row r="1215" spans="1:33">
      <c r="A1215" s="7" t="s">
        <v>155</v>
      </c>
      <c r="B1215" s="8" t="s">
        <v>229</v>
      </c>
      <c r="C1215" s="9" t="s">
        <v>1162</v>
      </c>
      <c r="D1215" s="10">
        <v>191</v>
      </c>
      <c r="E1215" s="9" t="s">
        <v>158</v>
      </c>
      <c r="F1215" s="10">
        <v>191</v>
      </c>
      <c r="G1215" s="10">
        <v>188.9</v>
      </c>
      <c r="H1215" s="10">
        <v>0</v>
      </c>
      <c r="I1215" s="10">
        <v>165</v>
      </c>
      <c r="J1215" s="10">
        <v>142</v>
      </c>
      <c r="K1215" s="10">
        <v>111</v>
      </c>
      <c r="L1215" s="10">
        <v>131</v>
      </c>
      <c r="M1215" s="10">
        <v>26.4</v>
      </c>
      <c r="N1215" s="10">
        <v>2013</v>
      </c>
      <c r="O1215" s="10">
        <v>1.1299999999999999</v>
      </c>
      <c r="P1215" s="10">
        <v>2278</v>
      </c>
      <c r="Q1215" s="10">
        <v>302</v>
      </c>
      <c r="R1215" s="10">
        <v>195</v>
      </c>
      <c r="S1215" s="10">
        <v>49</v>
      </c>
      <c r="T1215" s="10">
        <v>1077</v>
      </c>
      <c r="U1215" s="10">
        <v>17</v>
      </c>
      <c r="V1215" s="10">
        <v>812</v>
      </c>
      <c r="W1215" s="10">
        <v>0.34100000000000003</v>
      </c>
      <c r="X1215" s="10">
        <v>142</v>
      </c>
      <c r="Y1215" s="10">
        <v>99</v>
      </c>
      <c r="Z1215" s="10">
        <v>935</v>
      </c>
      <c r="AA1215" s="10">
        <v>-5</v>
      </c>
      <c r="AB1215" s="10">
        <v>13.3</v>
      </c>
      <c r="AC1215" s="9" t="s">
        <v>178</v>
      </c>
      <c r="AD1215" s="9" t="s">
        <v>185</v>
      </c>
      <c r="AE1215" s="10"/>
      <c r="AF1215" s="10"/>
      <c r="AG1215" s="10"/>
    </row>
    <row r="1216" spans="1:33">
      <c r="A1216" s="7" t="s">
        <v>155</v>
      </c>
      <c r="B1216" s="8" t="s">
        <v>229</v>
      </c>
      <c r="C1216" s="9" t="s">
        <v>437</v>
      </c>
      <c r="D1216" s="10">
        <v>163</v>
      </c>
      <c r="E1216" s="9" t="s">
        <v>158</v>
      </c>
      <c r="F1216" s="10">
        <v>163</v>
      </c>
      <c r="G1216" s="10">
        <v>163.4</v>
      </c>
      <c r="H1216" s="10">
        <v>106</v>
      </c>
      <c r="I1216" s="10">
        <v>140</v>
      </c>
      <c r="J1216" s="10">
        <v>128</v>
      </c>
      <c r="K1216" s="10">
        <v>87</v>
      </c>
      <c r="L1216" s="10">
        <v>110</v>
      </c>
      <c r="M1216" s="10">
        <v>14.6</v>
      </c>
      <c r="N1216" s="10">
        <v>1722</v>
      </c>
      <c r="O1216" s="10">
        <v>0.95</v>
      </c>
      <c r="P1216" s="10">
        <v>1637</v>
      </c>
      <c r="Q1216" s="10">
        <v>202</v>
      </c>
      <c r="R1216" s="10">
        <v>128</v>
      </c>
      <c r="S1216" s="10">
        <v>40</v>
      </c>
      <c r="T1216" s="10">
        <v>345</v>
      </c>
      <c r="U1216" s="10">
        <v>17</v>
      </c>
      <c r="V1216" s="10">
        <v>228</v>
      </c>
      <c r="W1216" s="10">
        <v>0.41599999999999998</v>
      </c>
      <c r="X1216" s="10">
        <v>130</v>
      </c>
      <c r="Y1216" s="10">
        <v>106</v>
      </c>
      <c r="Z1216" s="10">
        <v>215</v>
      </c>
      <c r="AA1216" s="10">
        <v>3</v>
      </c>
      <c r="AB1216" s="10">
        <v>11.8</v>
      </c>
      <c r="AC1216" s="9" t="s">
        <v>188</v>
      </c>
      <c r="AD1216" s="10"/>
      <c r="AE1216" s="10"/>
      <c r="AF1216" s="10"/>
      <c r="AG1216" s="10"/>
    </row>
    <row r="1217" spans="1:33">
      <c r="A1217" s="7" t="s">
        <v>155</v>
      </c>
      <c r="B1217" s="8" t="s">
        <v>229</v>
      </c>
      <c r="C1217" s="9" t="s">
        <v>437</v>
      </c>
      <c r="D1217" s="10">
        <v>170</v>
      </c>
      <c r="E1217" s="9" t="s">
        <v>158</v>
      </c>
      <c r="F1217" s="10">
        <v>170</v>
      </c>
      <c r="G1217" s="10">
        <v>171.1</v>
      </c>
      <c r="H1217" s="10">
        <v>125</v>
      </c>
      <c r="I1217" s="10">
        <v>147</v>
      </c>
      <c r="J1217" s="10">
        <v>128</v>
      </c>
      <c r="K1217" s="10">
        <v>87</v>
      </c>
      <c r="L1217" s="10">
        <v>110</v>
      </c>
      <c r="M1217" s="10">
        <v>16.2</v>
      </c>
      <c r="N1217" s="10">
        <v>1816</v>
      </c>
      <c r="O1217" s="10">
        <v>0.94</v>
      </c>
      <c r="P1217" s="10">
        <v>1714</v>
      </c>
      <c r="Q1217" s="10">
        <v>197</v>
      </c>
      <c r="R1217" s="10">
        <v>129</v>
      </c>
      <c r="S1217" s="10">
        <v>45</v>
      </c>
      <c r="T1217" s="10">
        <v>300</v>
      </c>
      <c r="U1217" s="10">
        <v>14</v>
      </c>
      <c r="V1217" s="10">
        <v>159</v>
      </c>
      <c r="W1217" s="10">
        <v>0.32200000000000001</v>
      </c>
      <c r="X1217" s="10">
        <v>133</v>
      </c>
      <c r="Y1217" s="10">
        <v>105</v>
      </c>
      <c r="Z1217" s="10">
        <v>166</v>
      </c>
      <c r="AA1217" s="10">
        <v>3</v>
      </c>
      <c r="AB1217" s="10">
        <v>11.9</v>
      </c>
      <c r="AC1217" s="9" t="s">
        <v>188</v>
      </c>
      <c r="AD1217" s="10"/>
      <c r="AE1217" s="10"/>
      <c r="AF1217" s="10"/>
      <c r="AG1217" s="10"/>
    </row>
    <row r="1218" spans="1:33">
      <c r="A1218" s="7" t="s">
        <v>155</v>
      </c>
      <c r="B1218" s="8" t="s">
        <v>229</v>
      </c>
      <c r="C1218" s="9" t="s">
        <v>437</v>
      </c>
      <c r="D1218" s="10">
        <v>177</v>
      </c>
      <c r="E1218" s="9" t="s">
        <v>158</v>
      </c>
      <c r="F1218" s="10">
        <v>177</v>
      </c>
      <c r="G1218" s="10">
        <v>178.3</v>
      </c>
      <c r="H1218" s="10">
        <v>101</v>
      </c>
      <c r="I1218" s="10">
        <v>154</v>
      </c>
      <c r="J1218" s="10">
        <v>128</v>
      </c>
      <c r="K1218" s="10">
        <v>88</v>
      </c>
      <c r="L1218" s="10">
        <v>111</v>
      </c>
      <c r="M1218" s="10">
        <v>17.8</v>
      </c>
      <c r="N1218" s="10">
        <v>1957</v>
      </c>
      <c r="O1218" s="10">
        <v>0.91</v>
      </c>
      <c r="P1218" s="10">
        <v>1790</v>
      </c>
      <c r="Q1218" s="10">
        <v>227</v>
      </c>
      <c r="R1218" s="10">
        <v>145</v>
      </c>
      <c r="S1218" s="10">
        <v>44</v>
      </c>
      <c r="T1218" s="10">
        <v>418</v>
      </c>
      <c r="U1218" s="10">
        <v>16</v>
      </c>
      <c r="V1218" s="10">
        <v>355</v>
      </c>
      <c r="W1218" s="10">
        <v>0.36299999999999999</v>
      </c>
      <c r="X1218" s="10">
        <v>133</v>
      </c>
      <c r="Y1218" s="10">
        <v>106</v>
      </c>
      <c r="Z1218" s="10">
        <v>285</v>
      </c>
      <c r="AA1218" s="10">
        <v>2</v>
      </c>
      <c r="AB1218" s="10">
        <v>11.9</v>
      </c>
      <c r="AC1218" s="9" t="s">
        <v>188</v>
      </c>
      <c r="AD1218" s="10"/>
      <c r="AE1218" s="10"/>
      <c r="AF1218" s="10"/>
      <c r="AG1218" s="10"/>
    </row>
    <row r="1219" spans="1:33">
      <c r="A1219" s="7" t="s">
        <v>155</v>
      </c>
      <c r="B1219" s="8" t="s">
        <v>229</v>
      </c>
      <c r="C1219" s="9" t="s">
        <v>437</v>
      </c>
      <c r="D1219" s="10">
        <v>184</v>
      </c>
      <c r="E1219" s="9" t="s">
        <v>158</v>
      </c>
      <c r="F1219" s="10">
        <v>184</v>
      </c>
      <c r="G1219" s="10">
        <v>183.4</v>
      </c>
      <c r="H1219" s="10">
        <v>118</v>
      </c>
      <c r="I1219" s="10">
        <v>160</v>
      </c>
      <c r="J1219" s="10">
        <v>128</v>
      </c>
      <c r="K1219" s="10">
        <v>87</v>
      </c>
      <c r="L1219" s="10">
        <v>110</v>
      </c>
      <c r="M1219" s="10">
        <v>19.100000000000001</v>
      </c>
      <c r="N1219" s="10">
        <v>1939</v>
      </c>
      <c r="O1219" s="10">
        <v>0.95</v>
      </c>
      <c r="P1219" s="10">
        <v>1837</v>
      </c>
      <c r="Q1219" s="10">
        <v>209</v>
      </c>
      <c r="R1219" s="10">
        <v>128</v>
      </c>
      <c r="S1219" s="10">
        <v>44</v>
      </c>
      <c r="T1219" s="10">
        <v>333</v>
      </c>
      <c r="U1219" s="10">
        <v>18</v>
      </c>
      <c r="V1219" s="10">
        <v>318</v>
      </c>
      <c r="W1219" s="10">
        <v>0.40600000000000003</v>
      </c>
      <c r="X1219" s="10">
        <v>127</v>
      </c>
      <c r="Y1219" s="10">
        <v>103</v>
      </c>
      <c r="Z1219" s="10">
        <v>206</v>
      </c>
      <c r="AA1219" s="10">
        <v>3</v>
      </c>
      <c r="AB1219" s="10">
        <v>11.7</v>
      </c>
      <c r="AC1219" s="9" t="s">
        <v>188</v>
      </c>
      <c r="AD1219" s="10"/>
      <c r="AE1219" s="10"/>
      <c r="AF1219" s="10"/>
      <c r="AG1219" s="10"/>
    </row>
    <row r="1220" spans="1:33">
      <c r="A1220" s="7" t="s">
        <v>155</v>
      </c>
      <c r="B1220" s="8" t="s">
        <v>229</v>
      </c>
      <c r="C1220" s="9" t="s">
        <v>311</v>
      </c>
      <c r="D1220" s="10">
        <v>149</v>
      </c>
      <c r="E1220" s="9" t="s">
        <v>163</v>
      </c>
      <c r="F1220" s="10">
        <v>149</v>
      </c>
      <c r="G1220" s="10">
        <v>149.1</v>
      </c>
      <c r="H1220" s="10">
        <v>100</v>
      </c>
      <c r="I1220" s="10">
        <v>125</v>
      </c>
      <c r="J1220" s="10">
        <v>128</v>
      </c>
      <c r="K1220" s="10">
        <v>88</v>
      </c>
      <c r="L1220" s="10">
        <v>110</v>
      </c>
      <c r="M1220" s="10">
        <v>11.7</v>
      </c>
      <c r="N1220" s="10">
        <v>1544</v>
      </c>
      <c r="O1220" s="10">
        <v>0.97</v>
      </c>
      <c r="P1220" s="10">
        <v>1497</v>
      </c>
      <c r="Q1220" s="10">
        <v>177</v>
      </c>
      <c r="R1220" s="10">
        <v>115</v>
      </c>
      <c r="S1220" s="10">
        <v>43</v>
      </c>
      <c r="T1220" s="10">
        <v>300</v>
      </c>
      <c r="U1220" s="10">
        <v>16</v>
      </c>
      <c r="V1220" s="10">
        <v>196</v>
      </c>
      <c r="W1220" s="10">
        <v>0.37</v>
      </c>
      <c r="X1220" s="10">
        <v>135</v>
      </c>
      <c r="Y1220" s="10">
        <v>103</v>
      </c>
      <c r="Z1220" s="10">
        <v>164</v>
      </c>
      <c r="AA1220" s="10">
        <v>3</v>
      </c>
      <c r="AB1220" s="10">
        <v>11</v>
      </c>
      <c r="AC1220" s="9" t="s">
        <v>188</v>
      </c>
      <c r="AD1220" s="10"/>
      <c r="AE1220" s="10"/>
      <c r="AF1220" s="10"/>
      <c r="AG1220" s="10"/>
    </row>
    <row r="1221" spans="1:33">
      <c r="A1221" s="7" t="s">
        <v>155</v>
      </c>
      <c r="B1221" s="8" t="s">
        <v>229</v>
      </c>
      <c r="C1221" s="9" t="s">
        <v>311</v>
      </c>
      <c r="D1221" s="10">
        <v>156</v>
      </c>
      <c r="E1221" s="9" t="s">
        <v>163</v>
      </c>
      <c r="F1221" s="10">
        <v>156</v>
      </c>
      <c r="G1221" s="10">
        <v>156.1</v>
      </c>
      <c r="H1221" s="10">
        <v>108</v>
      </c>
      <c r="I1221" s="10">
        <v>132</v>
      </c>
      <c r="J1221" s="10">
        <v>128</v>
      </c>
      <c r="K1221" s="10">
        <v>87</v>
      </c>
      <c r="L1221" s="10">
        <v>110</v>
      </c>
      <c r="M1221" s="10">
        <v>12.9</v>
      </c>
      <c r="N1221" s="10">
        <v>1675</v>
      </c>
      <c r="O1221" s="10">
        <v>0.94</v>
      </c>
      <c r="P1221" s="10">
        <v>1567</v>
      </c>
      <c r="Q1221" s="10">
        <v>194</v>
      </c>
      <c r="R1221" s="10">
        <v>132</v>
      </c>
      <c r="S1221" s="10">
        <v>43</v>
      </c>
      <c r="T1221" s="10">
        <v>283</v>
      </c>
      <c r="U1221" s="10">
        <v>16</v>
      </c>
      <c r="V1221" s="10">
        <v>202</v>
      </c>
      <c r="W1221" s="10">
        <v>0.374</v>
      </c>
      <c r="X1221" s="10">
        <v>132</v>
      </c>
      <c r="Y1221" s="10">
        <v>104</v>
      </c>
      <c r="Z1221" s="10">
        <v>151</v>
      </c>
      <c r="AA1221" s="10">
        <v>3</v>
      </c>
      <c r="AB1221" s="10">
        <v>11.6</v>
      </c>
      <c r="AC1221" s="9" t="s">
        <v>188</v>
      </c>
      <c r="AD1221" s="10"/>
      <c r="AE1221" s="10"/>
      <c r="AF1221" s="10"/>
      <c r="AG1221" s="10"/>
    </row>
    <row r="1222" spans="1:33">
      <c r="A1222" s="7" t="s">
        <v>155</v>
      </c>
      <c r="B1222" s="8" t="s">
        <v>229</v>
      </c>
      <c r="C1222" s="9" t="s">
        <v>311</v>
      </c>
      <c r="D1222" s="10">
        <v>163</v>
      </c>
      <c r="E1222" s="9" t="s">
        <v>163</v>
      </c>
      <c r="F1222" s="10">
        <v>163</v>
      </c>
      <c r="G1222" s="10">
        <v>164</v>
      </c>
      <c r="H1222" s="10">
        <v>104</v>
      </c>
      <c r="I1222" s="10">
        <v>140</v>
      </c>
      <c r="J1222" s="10">
        <v>128</v>
      </c>
      <c r="K1222" s="10">
        <v>87</v>
      </c>
      <c r="L1222" s="10">
        <v>110</v>
      </c>
      <c r="M1222" s="10">
        <v>14.7</v>
      </c>
      <c r="N1222" s="10">
        <v>1707</v>
      </c>
      <c r="O1222" s="10">
        <v>0.96</v>
      </c>
      <c r="P1222" s="10">
        <v>1644</v>
      </c>
      <c r="Q1222" s="10">
        <v>195</v>
      </c>
      <c r="R1222" s="10">
        <v>125</v>
      </c>
      <c r="S1222" s="10">
        <v>44</v>
      </c>
      <c r="T1222" s="10">
        <v>361</v>
      </c>
      <c r="U1222" s="10">
        <v>18</v>
      </c>
      <c r="V1222" s="10">
        <v>238</v>
      </c>
      <c r="W1222" s="10">
        <v>0.40100000000000002</v>
      </c>
      <c r="X1222" s="10">
        <v>133</v>
      </c>
      <c r="Y1222" s="10">
        <v>105</v>
      </c>
      <c r="Z1222" s="10">
        <v>228</v>
      </c>
      <c r="AA1222" s="10">
        <v>3</v>
      </c>
      <c r="AB1222" s="10">
        <v>11</v>
      </c>
      <c r="AC1222" s="9" t="s">
        <v>188</v>
      </c>
      <c r="AD1222" s="10"/>
      <c r="AE1222" s="10"/>
      <c r="AF1222" s="10"/>
      <c r="AG1222" s="10"/>
    </row>
    <row r="1223" spans="1:33">
      <c r="A1223" s="7" t="s">
        <v>155</v>
      </c>
      <c r="B1223" s="8" t="s">
        <v>229</v>
      </c>
      <c r="C1223" s="9" t="s">
        <v>311</v>
      </c>
      <c r="D1223" s="10">
        <v>170</v>
      </c>
      <c r="E1223" s="9" t="s">
        <v>163</v>
      </c>
      <c r="F1223" s="10">
        <v>170</v>
      </c>
      <c r="G1223" s="10">
        <v>171.2</v>
      </c>
      <c r="H1223" s="10">
        <v>123</v>
      </c>
      <c r="I1223" s="10">
        <v>148</v>
      </c>
      <c r="J1223" s="10">
        <v>128</v>
      </c>
      <c r="K1223" s="10">
        <v>87</v>
      </c>
      <c r="L1223" s="10">
        <v>110</v>
      </c>
      <c r="M1223" s="10">
        <v>16.399999999999999</v>
      </c>
      <c r="N1223" s="10">
        <v>1843</v>
      </c>
      <c r="O1223" s="10">
        <v>0.93</v>
      </c>
      <c r="P1223" s="10">
        <v>1713</v>
      </c>
      <c r="Q1223" s="10">
        <v>189</v>
      </c>
      <c r="R1223" s="10">
        <v>126</v>
      </c>
      <c r="S1223" s="10">
        <v>45</v>
      </c>
      <c r="T1223" s="10">
        <v>296</v>
      </c>
      <c r="U1223" s="10">
        <v>15</v>
      </c>
      <c r="V1223" s="10">
        <v>187</v>
      </c>
      <c r="W1223" s="10">
        <v>0.32100000000000001</v>
      </c>
      <c r="X1223" s="10">
        <v>134</v>
      </c>
      <c r="Y1223" s="10">
        <v>102</v>
      </c>
      <c r="Z1223" s="10">
        <v>163</v>
      </c>
      <c r="AA1223" s="10">
        <v>3</v>
      </c>
      <c r="AB1223" s="10">
        <v>11.3</v>
      </c>
      <c r="AC1223" s="9" t="s">
        <v>188</v>
      </c>
      <c r="AD1223" s="10"/>
      <c r="AE1223" s="10"/>
      <c r="AF1223" s="10"/>
      <c r="AG1223" s="10"/>
    </row>
    <row r="1224" spans="1:33">
      <c r="A1224" s="7" t="s">
        <v>155</v>
      </c>
      <c r="B1224" s="8" t="s">
        <v>229</v>
      </c>
      <c r="C1224" s="9" t="s">
        <v>565</v>
      </c>
      <c r="D1224" s="10">
        <v>163</v>
      </c>
      <c r="E1224" s="9" t="s">
        <v>158</v>
      </c>
      <c r="F1224" s="10">
        <v>163</v>
      </c>
      <c r="G1224" s="10">
        <v>163.4</v>
      </c>
      <c r="H1224" s="10">
        <v>124</v>
      </c>
      <c r="I1224" s="10">
        <v>140</v>
      </c>
      <c r="J1224" s="10">
        <v>134</v>
      </c>
      <c r="K1224" s="10">
        <v>95</v>
      </c>
      <c r="L1224" s="10">
        <v>118</v>
      </c>
      <c r="M1224" s="10">
        <v>15.2</v>
      </c>
      <c r="N1224" s="10">
        <v>1813</v>
      </c>
      <c r="O1224" s="10">
        <v>0.97</v>
      </c>
      <c r="P1224" s="10">
        <v>1756</v>
      </c>
      <c r="Q1224" s="10">
        <v>181</v>
      </c>
      <c r="R1224" s="10">
        <v>119</v>
      </c>
      <c r="S1224" s="10">
        <v>46</v>
      </c>
      <c r="T1224" s="10">
        <v>234</v>
      </c>
      <c r="U1224" s="10">
        <v>15</v>
      </c>
      <c r="V1224" s="10">
        <v>163</v>
      </c>
      <c r="W1224" s="10">
        <v>0.32600000000000001</v>
      </c>
      <c r="X1224" s="10">
        <v>133</v>
      </c>
      <c r="Y1224" s="10">
        <v>100</v>
      </c>
      <c r="Z1224" s="10">
        <v>101</v>
      </c>
      <c r="AA1224" s="10">
        <v>4</v>
      </c>
      <c r="AB1224" s="10">
        <v>11.1</v>
      </c>
      <c r="AC1224" s="9" t="s">
        <v>188</v>
      </c>
      <c r="AD1224" s="10"/>
      <c r="AE1224" s="10"/>
      <c r="AF1224" s="10"/>
      <c r="AG1224" s="10"/>
    </row>
    <row r="1225" spans="1:33">
      <c r="A1225" s="7" t="s">
        <v>155</v>
      </c>
      <c r="B1225" s="8" t="s">
        <v>229</v>
      </c>
      <c r="C1225" s="9" t="s">
        <v>565</v>
      </c>
      <c r="D1225" s="10">
        <v>170</v>
      </c>
      <c r="E1225" s="9" t="s">
        <v>158</v>
      </c>
      <c r="F1225" s="10">
        <v>170</v>
      </c>
      <c r="G1225" s="10">
        <v>170.8</v>
      </c>
      <c r="H1225" s="10">
        <v>125</v>
      </c>
      <c r="I1225" s="10">
        <v>148</v>
      </c>
      <c r="J1225" s="10">
        <v>134</v>
      </c>
      <c r="K1225" s="10">
        <v>95</v>
      </c>
      <c r="L1225" s="10">
        <v>118</v>
      </c>
      <c r="M1225" s="10">
        <v>17</v>
      </c>
      <c r="N1225" s="10">
        <v>1885</v>
      </c>
      <c r="O1225" s="10">
        <v>0.97</v>
      </c>
      <c r="P1225" s="10">
        <v>1836</v>
      </c>
      <c r="Q1225" s="10">
        <v>203</v>
      </c>
      <c r="R1225" s="10">
        <v>131</v>
      </c>
      <c r="S1225" s="10">
        <v>44</v>
      </c>
      <c r="T1225" s="10">
        <v>278</v>
      </c>
      <c r="U1225" s="10">
        <v>16</v>
      </c>
      <c r="V1225" s="10">
        <v>178</v>
      </c>
      <c r="W1225" s="10">
        <v>0.375</v>
      </c>
      <c r="X1225" s="10">
        <v>131</v>
      </c>
      <c r="Y1225" s="10">
        <v>99</v>
      </c>
      <c r="Z1225" s="10">
        <v>147</v>
      </c>
      <c r="AA1225" s="10">
        <v>3</v>
      </c>
      <c r="AB1225" s="10">
        <v>11.1</v>
      </c>
      <c r="AC1225" s="9" t="s">
        <v>188</v>
      </c>
      <c r="AD1225" s="10"/>
      <c r="AE1225" s="10"/>
      <c r="AF1225" s="10"/>
      <c r="AG1225" s="10"/>
    </row>
    <row r="1226" spans="1:33">
      <c r="A1226" s="7" t="s">
        <v>155</v>
      </c>
      <c r="B1226" s="8" t="s">
        <v>229</v>
      </c>
      <c r="C1226" s="9" t="s">
        <v>565</v>
      </c>
      <c r="D1226" s="10">
        <v>177</v>
      </c>
      <c r="E1226" s="9" t="s">
        <v>158</v>
      </c>
      <c r="F1226" s="10">
        <v>177</v>
      </c>
      <c r="G1226" s="10">
        <v>178.6</v>
      </c>
      <c r="H1226" s="10">
        <v>141</v>
      </c>
      <c r="I1226" s="10">
        <v>155</v>
      </c>
      <c r="J1226" s="10">
        <v>134</v>
      </c>
      <c r="K1226" s="10">
        <v>95</v>
      </c>
      <c r="L1226" s="10">
        <v>118</v>
      </c>
      <c r="M1226" s="10">
        <v>18.7</v>
      </c>
      <c r="N1226" s="10">
        <v>2102</v>
      </c>
      <c r="O1226" s="10">
        <v>0.91</v>
      </c>
      <c r="P1226" s="10">
        <v>1916</v>
      </c>
      <c r="Q1226" s="10">
        <v>217</v>
      </c>
      <c r="R1226" s="10">
        <v>138</v>
      </c>
      <c r="S1226" s="10">
        <v>42</v>
      </c>
      <c r="T1226" s="10">
        <v>227</v>
      </c>
      <c r="U1226" s="10">
        <v>14</v>
      </c>
      <c r="V1226" s="10">
        <v>146</v>
      </c>
      <c r="W1226" s="10">
        <v>0.33600000000000002</v>
      </c>
      <c r="X1226" s="10">
        <v>135</v>
      </c>
      <c r="Y1226" s="10">
        <v>103</v>
      </c>
      <c r="Z1226" s="10">
        <v>92</v>
      </c>
      <c r="AA1226" s="10">
        <v>6</v>
      </c>
      <c r="AB1226" s="10">
        <v>11.2</v>
      </c>
      <c r="AC1226" s="9" t="s">
        <v>188</v>
      </c>
      <c r="AD1226" s="10"/>
      <c r="AE1226" s="10"/>
      <c r="AF1226" s="10"/>
      <c r="AG1226" s="10"/>
    </row>
    <row r="1227" spans="1:33">
      <c r="A1227" s="7" t="s">
        <v>155</v>
      </c>
      <c r="B1227" s="8" t="s">
        <v>229</v>
      </c>
      <c r="C1227" s="9" t="s">
        <v>565</v>
      </c>
      <c r="D1227" s="10">
        <v>184</v>
      </c>
      <c r="E1227" s="9" t="s">
        <v>158</v>
      </c>
      <c r="F1227" s="10">
        <v>184</v>
      </c>
      <c r="G1227" s="10">
        <v>183.8</v>
      </c>
      <c r="H1227" s="10">
        <v>141</v>
      </c>
      <c r="I1227" s="10">
        <v>160</v>
      </c>
      <c r="J1227" s="10">
        <v>134</v>
      </c>
      <c r="K1227" s="10">
        <v>95</v>
      </c>
      <c r="L1227" s="10">
        <v>118</v>
      </c>
      <c r="M1227" s="10">
        <v>20.100000000000001</v>
      </c>
      <c r="N1227" s="10">
        <v>2140</v>
      </c>
      <c r="O1227" s="10">
        <v>0.92</v>
      </c>
      <c r="P1227" s="10">
        <v>1974</v>
      </c>
      <c r="Q1227" s="10">
        <v>230</v>
      </c>
      <c r="R1227" s="10">
        <v>147</v>
      </c>
      <c r="S1227" s="10">
        <v>45</v>
      </c>
      <c r="T1227" s="10">
        <v>254</v>
      </c>
      <c r="U1227" s="10">
        <v>16</v>
      </c>
      <c r="V1227" s="10">
        <v>174</v>
      </c>
      <c r="W1227" s="10">
        <v>0.35899999999999999</v>
      </c>
      <c r="X1227" s="10">
        <v>135</v>
      </c>
      <c r="Y1227" s="10">
        <v>107</v>
      </c>
      <c r="Z1227" s="10">
        <v>119</v>
      </c>
      <c r="AA1227" s="10">
        <v>5</v>
      </c>
      <c r="AB1227" s="10">
        <v>11.6</v>
      </c>
      <c r="AC1227" s="9" t="s">
        <v>188</v>
      </c>
      <c r="AD1227" s="10"/>
      <c r="AE1227" s="10"/>
      <c r="AF1227" s="10"/>
      <c r="AG1227" s="10"/>
    </row>
    <row r="1228" spans="1:33">
      <c r="A1228" s="7" t="s">
        <v>155</v>
      </c>
      <c r="B1228" s="8" t="s">
        <v>229</v>
      </c>
      <c r="C1228" s="9" t="s">
        <v>565</v>
      </c>
      <c r="D1228" s="10">
        <v>191</v>
      </c>
      <c r="E1228" s="9" t="s">
        <v>158</v>
      </c>
      <c r="F1228" s="10">
        <v>191</v>
      </c>
      <c r="G1228" s="10">
        <v>190.4</v>
      </c>
      <c r="H1228" s="10">
        <v>140</v>
      </c>
      <c r="I1228" s="10">
        <v>168</v>
      </c>
      <c r="J1228" s="10">
        <v>134</v>
      </c>
      <c r="K1228" s="10">
        <v>95</v>
      </c>
      <c r="L1228" s="10">
        <v>118</v>
      </c>
      <c r="M1228" s="10">
        <v>22</v>
      </c>
      <c r="N1228" s="10">
        <v>2238</v>
      </c>
      <c r="O1228" s="10">
        <v>0.91</v>
      </c>
      <c r="P1228" s="10">
        <v>2046</v>
      </c>
      <c r="Q1228" s="10">
        <v>230</v>
      </c>
      <c r="R1228" s="10">
        <v>148</v>
      </c>
      <c r="S1228" s="10">
        <v>45</v>
      </c>
      <c r="T1228" s="10">
        <v>283</v>
      </c>
      <c r="U1228" s="10">
        <v>17</v>
      </c>
      <c r="V1228" s="10">
        <v>225</v>
      </c>
      <c r="W1228" s="10">
        <v>0.38</v>
      </c>
      <c r="X1228" s="10">
        <v>126</v>
      </c>
      <c r="Y1228" s="10">
        <v>102</v>
      </c>
      <c r="Z1228" s="10">
        <v>157</v>
      </c>
      <c r="AA1228" s="10">
        <v>5</v>
      </c>
      <c r="AB1228" s="10">
        <v>11.1</v>
      </c>
      <c r="AC1228" s="9" t="s">
        <v>188</v>
      </c>
      <c r="AD1228" s="10"/>
      <c r="AE1228" s="10"/>
      <c r="AF1228" s="10"/>
      <c r="AG1228" s="10"/>
    </row>
    <row r="1229" spans="1:33">
      <c r="A1229" s="7" t="s">
        <v>155</v>
      </c>
      <c r="B1229" s="8" t="s">
        <v>229</v>
      </c>
      <c r="C1229" s="9" t="s">
        <v>814</v>
      </c>
      <c r="D1229" s="10">
        <v>170</v>
      </c>
      <c r="E1229" s="9" t="s">
        <v>158</v>
      </c>
      <c r="F1229" s="10">
        <v>170</v>
      </c>
      <c r="G1229" s="10">
        <v>171</v>
      </c>
      <c r="H1229" s="10">
        <v>121</v>
      </c>
      <c r="I1229" s="10">
        <v>148</v>
      </c>
      <c r="J1229" s="10">
        <v>139</v>
      </c>
      <c r="K1229" s="10">
        <v>101</v>
      </c>
      <c r="L1229" s="10">
        <v>122</v>
      </c>
      <c r="M1229" s="10">
        <v>18.100000000000001</v>
      </c>
      <c r="N1229" s="10">
        <v>2065</v>
      </c>
      <c r="O1229" s="10">
        <v>0.93</v>
      </c>
      <c r="P1229" s="10">
        <v>1928</v>
      </c>
      <c r="Q1229" s="10">
        <v>235</v>
      </c>
      <c r="R1229" s="10">
        <v>161</v>
      </c>
      <c r="S1229" s="10">
        <v>46</v>
      </c>
      <c r="T1229" s="10">
        <v>283</v>
      </c>
      <c r="U1229" s="10">
        <v>19</v>
      </c>
      <c r="V1229" s="10">
        <v>220</v>
      </c>
      <c r="W1229" s="10">
        <v>0.42099999999999999</v>
      </c>
      <c r="X1229" s="10">
        <v>130</v>
      </c>
      <c r="Y1229" s="10">
        <v>100</v>
      </c>
      <c r="Z1229" s="10">
        <v>152</v>
      </c>
      <c r="AA1229" s="10">
        <v>5</v>
      </c>
      <c r="AB1229" s="10">
        <v>11.3</v>
      </c>
      <c r="AC1229" s="9" t="s">
        <v>188</v>
      </c>
      <c r="AD1229" s="9" t="s">
        <v>169</v>
      </c>
      <c r="AE1229" s="10"/>
      <c r="AF1229" s="10"/>
      <c r="AG1229" s="10"/>
    </row>
    <row r="1230" spans="1:33">
      <c r="A1230" s="7" t="s">
        <v>155</v>
      </c>
      <c r="B1230" s="8" t="s">
        <v>229</v>
      </c>
      <c r="C1230" s="9" t="s">
        <v>814</v>
      </c>
      <c r="D1230" s="10">
        <v>177</v>
      </c>
      <c r="E1230" s="9" t="s">
        <v>158</v>
      </c>
      <c r="F1230" s="10">
        <v>177</v>
      </c>
      <c r="G1230" s="10">
        <v>178.2</v>
      </c>
      <c r="H1230" s="10">
        <v>130</v>
      </c>
      <c r="I1230" s="10">
        <v>155</v>
      </c>
      <c r="J1230" s="10">
        <v>139</v>
      </c>
      <c r="K1230" s="10">
        <v>101</v>
      </c>
      <c r="L1230" s="10">
        <v>122</v>
      </c>
      <c r="M1230" s="10">
        <v>20.100000000000001</v>
      </c>
      <c r="N1230" s="10">
        <v>2138</v>
      </c>
      <c r="O1230" s="10">
        <v>0.94</v>
      </c>
      <c r="P1230" s="10">
        <v>2008</v>
      </c>
      <c r="Q1230" s="10">
        <v>209</v>
      </c>
      <c r="R1230" s="10">
        <v>150</v>
      </c>
      <c r="S1230" s="10">
        <v>53</v>
      </c>
      <c r="T1230" s="10">
        <v>281</v>
      </c>
      <c r="U1230" s="10">
        <v>17</v>
      </c>
      <c r="V1230" s="10">
        <v>201</v>
      </c>
      <c r="W1230" s="10">
        <v>0.33</v>
      </c>
      <c r="X1230" s="10">
        <v>132</v>
      </c>
      <c r="Y1230" s="10">
        <v>102</v>
      </c>
      <c r="Z1230" s="10">
        <v>149</v>
      </c>
      <c r="AA1230" s="10">
        <v>5</v>
      </c>
      <c r="AB1230" s="10">
        <v>11.1</v>
      </c>
      <c r="AC1230" s="9" t="s">
        <v>188</v>
      </c>
      <c r="AD1230" s="9" t="s">
        <v>178</v>
      </c>
      <c r="AE1230" s="10"/>
      <c r="AF1230" s="10"/>
      <c r="AG1230" s="10"/>
    </row>
    <row r="1231" spans="1:33">
      <c r="A1231" s="7" t="s">
        <v>155</v>
      </c>
      <c r="B1231" s="8" t="s">
        <v>229</v>
      </c>
      <c r="C1231" s="9" t="s">
        <v>814</v>
      </c>
      <c r="D1231" s="10">
        <v>184</v>
      </c>
      <c r="E1231" s="9" t="s">
        <v>158</v>
      </c>
      <c r="F1231" s="10">
        <v>184</v>
      </c>
      <c r="G1231" s="10">
        <v>183.6</v>
      </c>
      <c r="H1231" s="10">
        <v>119</v>
      </c>
      <c r="I1231" s="10">
        <v>161</v>
      </c>
      <c r="J1231" s="10">
        <v>139</v>
      </c>
      <c r="K1231" s="10">
        <v>101</v>
      </c>
      <c r="L1231" s="10">
        <v>123</v>
      </c>
      <c r="M1231" s="10">
        <v>21.3</v>
      </c>
      <c r="N1231" s="10">
        <v>2217</v>
      </c>
      <c r="O1231" s="10">
        <v>0.93</v>
      </c>
      <c r="P1231" s="10">
        <v>2069</v>
      </c>
      <c r="Q1231" s="10">
        <v>229</v>
      </c>
      <c r="R1231" s="10">
        <v>160</v>
      </c>
      <c r="S1231" s="10">
        <v>48</v>
      </c>
      <c r="T1231" s="10">
        <v>375</v>
      </c>
      <c r="U1231" s="10">
        <v>19</v>
      </c>
      <c r="V1231" s="10">
        <v>267</v>
      </c>
      <c r="W1231" s="10">
        <v>0.38300000000000001</v>
      </c>
      <c r="X1231" s="10">
        <v>131</v>
      </c>
      <c r="Y1231" s="10">
        <v>100</v>
      </c>
      <c r="Z1231" s="10">
        <v>244</v>
      </c>
      <c r="AA1231" s="10">
        <v>3</v>
      </c>
      <c r="AB1231" s="10">
        <v>11.6</v>
      </c>
      <c r="AC1231" s="9" t="s">
        <v>188</v>
      </c>
      <c r="AD1231" s="9" t="s">
        <v>169</v>
      </c>
      <c r="AE1231" s="9" t="s">
        <v>178</v>
      </c>
      <c r="AF1231" s="10"/>
      <c r="AG1231" s="10"/>
    </row>
    <row r="1232" spans="1:33">
      <c r="A1232" s="7" t="s">
        <v>155</v>
      </c>
      <c r="B1232" s="8" t="s">
        <v>229</v>
      </c>
      <c r="C1232" s="9" t="s">
        <v>814</v>
      </c>
      <c r="D1232" s="10">
        <v>191</v>
      </c>
      <c r="E1232" s="9" t="s">
        <v>158</v>
      </c>
      <c r="F1232" s="10">
        <v>191</v>
      </c>
      <c r="G1232" s="10">
        <v>191.5</v>
      </c>
      <c r="H1232" s="10">
        <v>150</v>
      </c>
      <c r="I1232" s="10">
        <v>169</v>
      </c>
      <c r="J1232" s="10">
        <v>139</v>
      </c>
      <c r="K1232" s="10">
        <v>101</v>
      </c>
      <c r="L1232" s="10">
        <v>122</v>
      </c>
      <c r="M1232" s="10">
        <v>23.4</v>
      </c>
      <c r="N1232" s="10">
        <v>2410</v>
      </c>
      <c r="O1232" s="10">
        <v>0.89</v>
      </c>
      <c r="P1232" s="10">
        <v>2155</v>
      </c>
      <c r="Q1232" s="10">
        <v>263</v>
      </c>
      <c r="R1232" s="10">
        <v>184</v>
      </c>
      <c r="S1232" s="10">
        <v>44</v>
      </c>
      <c r="T1232" s="10">
        <v>251</v>
      </c>
      <c r="U1232" s="10">
        <v>15</v>
      </c>
      <c r="V1232" s="10">
        <v>163</v>
      </c>
      <c r="W1232" s="10">
        <v>0.34300000000000003</v>
      </c>
      <c r="X1232" s="10">
        <v>130</v>
      </c>
      <c r="Y1232" s="10">
        <v>98</v>
      </c>
      <c r="Z1232" s="10">
        <v>122</v>
      </c>
      <c r="AA1232" s="10">
        <v>5</v>
      </c>
      <c r="AB1232" s="10">
        <v>11.8</v>
      </c>
      <c r="AC1232" s="9" t="s">
        <v>188</v>
      </c>
      <c r="AD1232" s="9" t="s">
        <v>178</v>
      </c>
      <c r="AE1232" s="10"/>
      <c r="AF1232" s="10"/>
      <c r="AG1232" s="10"/>
    </row>
    <row r="1233" spans="1:33">
      <c r="A1233" s="7" t="s">
        <v>155</v>
      </c>
      <c r="B1233" s="8" t="s">
        <v>229</v>
      </c>
      <c r="C1233" s="9" t="s">
        <v>820</v>
      </c>
      <c r="D1233" s="10">
        <v>170</v>
      </c>
      <c r="E1233" s="9" t="s">
        <v>158</v>
      </c>
      <c r="F1233" s="10">
        <v>170</v>
      </c>
      <c r="G1233" s="10">
        <v>171.3</v>
      </c>
      <c r="H1233" s="10">
        <v>129</v>
      </c>
      <c r="I1233" s="10">
        <v>148</v>
      </c>
      <c r="J1233" s="10">
        <v>133</v>
      </c>
      <c r="K1233" s="10">
        <v>95</v>
      </c>
      <c r="L1233" s="10">
        <v>116</v>
      </c>
      <c r="M1233" s="10">
        <v>18</v>
      </c>
      <c r="N1233" s="10">
        <v>1971</v>
      </c>
      <c r="O1233" s="10">
        <v>0.93</v>
      </c>
      <c r="P1233" s="10">
        <v>1826</v>
      </c>
      <c r="Q1233" s="10">
        <v>223</v>
      </c>
      <c r="R1233" s="10">
        <v>150</v>
      </c>
      <c r="S1233" s="10">
        <v>45</v>
      </c>
      <c r="T1233" s="10">
        <v>245</v>
      </c>
      <c r="U1233" s="10">
        <v>16</v>
      </c>
      <c r="V1233" s="10">
        <v>176</v>
      </c>
      <c r="W1233" s="10">
        <v>0.35099999999999998</v>
      </c>
      <c r="X1233" s="10">
        <v>127</v>
      </c>
      <c r="Y1233" s="10">
        <v>103</v>
      </c>
      <c r="Z1233" s="10">
        <v>117</v>
      </c>
      <c r="AA1233" s="10">
        <v>4</v>
      </c>
      <c r="AB1233" s="10">
        <v>11.7</v>
      </c>
      <c r="AC1233" s="9" t="s">
        <v>188</v>
      </c>
      <c r="AD1233" s="10"/>
      <c r="AE1233" s="10"/>
      <c r="AF1233" s="10"/>
      <c r="AG1233" s="10"/>
    </row>
    <row r="1234" spans="1:33">
      <c r="A1234" s="7" t="s">
        <v>155</v>
      </c>
      <c r="B1234" s="8" t="s">
        <v>229</v>
      </c>
      <c r="C1234" s="9" t="s">
        <v>820</v>
      </c>
      <c r="D1234" s="10">
        <v>177</v>
      </c>
      <c r="E1234" s="9" t="s">
        <v>158</v>
      </c>
      <c r="F1234" s="10">
        <v>177</v>
      </c>
      <c r="G1234" s="10">
        <v>177.9</v>
      </c>
      <c r="H1234" s="10">
        <v>138</v>
      </c>
      <c r="I1234" s="10">
        <v>155</v>
      </c>
      <c r="J1234" s="10">
        <v>133</v>
      </c>
      <c r="K1234" s="10">
        <v>95</v>
      </c>
      <c r="L1234" s="10">
        <v>116</v>
      </c>
      <c r="M1234" s="10">
        <v>20.2</v>
      </c>
      <c r="N1234" s="10">
        <v>2082</v>
      </c>
      <c r="O1234" s="10">
        <v>0.91</v>
      </c>
      <c r="P1234" s="10">
        <v>1895</v>
      </c>
      <c r="Q1234" s="10">
        <v>224</v>
      </c>
      <c r="R1234" s="10">
        <v>145</v>
      </c>
      <c r="S1234" s="10">
        <v>44</v>
      </c>
      <c r="T1234" s="10">
        <v>256</v>
      </c>
      <c r="U1234" s="10">
        <v>13</v>
      </c>
      <c r="V1234" s="10">
        <v>144</v>
      </c>
      <c r="W1234" s="10">
        <v>0.29499999999999998</v>
      </c>
      <c r="X1234" s="10">
        <v>133</v>
      </c>
      <c r="Y1234" s="10">
        <v>95</v>
      </c>
      <c r="Z1234" s="10">
        <v>123</v>
      </c>
      <c r="AA1234" s="10">
        <v>5</v>
      </c>
      <c r="AB1234" s="10">
        <v>11.6</v>
      </c>
      <c r="AC1234" s="9" t="s">
        <v>188</v>
      </c>
      <c r="AD1234" s="10"/>
      <c r="AE1234" s="10"/>
      <c r="AF1234" s="10"/>
      <c r="AG1234" s="10"/>
    </row>
    <row r="1235" spans="1:33">
      <c r="A1235" s="7" t="s">
        <v>155</v>
      </c>
      <c r="B1235" s="8" t="s">
        <v>229</v>
      </c>
      <c r="C1235" s="9" t="s">
        <v>820</v>
      </c>
      <c r="D1235" s="10">
        <v>184</v>
      </c>
      <c r="E1235" s="9" t="s">
        <v>158</v>
      </c>
      <c r="F1235" s="10">
        <v>184</v>
      </c>
      <c r="G1235" s="10">
        <v>183.9</v>
      </c>
      <c r="H1235" s="10">
        <v>144</v>
      </c>
      <c r="I1235" s="10">
        <v>160</v>
      </c>
      <c r="J1235" s="10">
        <v>133</v>
      </c>
      <c r="K1235" s="10">
        <v>95</v>
      </c>
      <c r="L1235" s="10">
        <v>116</v>
      </c>
      <c r="M1235" s="10">
        <v>21.4</v>
      </c>
      <c r="N1235" s="10">
        <v>2122</v>
      </c>
      <c r="O1235" s="10">
        <v>0.92</v>
      </c>
      <c r="P1235" s="10">
        <v>1958</v>
      </c>
      <c r="Q1235" s="10">
        <v>239</v>
      </c>
      <c r="R1235" s="10">
        <v>147</v>
      </c>
      <c r="S1235" s="10">
        <v>44</v>
      </c>
      <c r="T1235" s="10">
        <v>230</v>
      </c>
      <c r="U1235" s="10">
        <v>15</v>
      </c>
      <c r="V1235" s="10">
        <v>166</v>
      </c>
      <c r="W1235" s="10">
        <v>0.34699999999999998</v>
      </c>
      <c r="X1235" s="10">
        <v>138</v>
      </c>
      <c r="Y1235" s="10">
        <v>106</v>
      </c>
      <c r="Z1235" s="10">
        <v>92</v>
      </c>
      <c r="AA1235" s="10">
        <v>6</v>
      </c>
      <c r="AB1235" s="10">
        <v>11.2</v>
      </c>
      <c r="AC1235" s="9" t="s">
        <v>188</v>
      </c>
      <c r="AD1235" s="10"/>
      <c r="AE1235" s="10"/>
      <c r="AF1235" s="10"/>
      <c r="AG1235" s="10"/>
    </row>
    <row r="1236" spans="1:33">
      <c r="A1236" s="7" t="s">
        <v>155</v>
      </c>
      <c r="B1236" s="8" t="s">
        <v>229</v>
      </c>
      <c r="C1236" s="9" t="s">
        <v>820</v>
      </c>
      <c r="D1236" s="10">
        <v>191</v>
      </c>
      <c r="E1236" s="9" t="s">
        <v>158</v>
      </c>
      <c r="F1236" s="10">
        <v>191</v>
      </c>
      <c r="G1236" s="10">
        <v>190.2</v>
      </c>
      <c r="H1236" s="10">
        <v>136</v>
      </c>
      <c r="I1236" s="10">
        <v>168</v>
      </c>
      <c r="J1236" s="10">
        <v>133</v>
      </c>
      <c r="K1236" s="10">
        <v>95</v>
      </c>
      <c r="L1236" s="10">
        <v>116</v>
      </c>
      <c r="M1236" s="10">
        <v>23.7</v>
      </c>
      <c r="N1236" s="10">
        <v>2258</v>
      </c>
      <c r="O1236" s="10">
        <v>0.9</v>
      </c>
      <c r="P1236" s="10">
        <v>2026</v>
      </c>
      <c r="Q1236" s="10">
        <v>247</v>
      </c>
      <c r="R1236" s="10">
        <v>155</v>
      </c>
      <c r="S1236" s="10">
        <v>40</v>
      </c>
      <c r="T1236" s="10">
        <v>330</v>
      </c>
      <c r="U1236" s="10">
        <v>18</v>
      </c>
      <c r="V1236" s="10">
        <v>215</v>
      </c>
      <c r="W1236" s="10">
        <v>0.45</v>
      </c>
      <c r="X1236" s="10">
        <v>123</v>
      </c>
      <c r="Y1236" s="10">
        <v>100</v>
      </c>
      <c r="Z1236" s="10">
        <v>207</v>
      </c>
      <c r="AA1236" s="10">
        <v>5</v>
      </c>
      <c r="AB1236" s="10">
        <v>11.2</v>
      </c>
      <c r="AC1236" s="9" t="s">
        <v>188</v>
      </c>
      <c r="AD1236" s="10"/>
      <c r="AE1236" s="10"/>
      <c r="AF1236" s="10"/>
      <c r="AG1236" s="10"/>
    </row>
    <row r="1237" spans="1:33">
      <c r="A1237" s="7" t="s">
        <v>155</v>
      </c>
      <c r="B1237" s="8" t="s">
        <v>229</v>
      </c>
      <c r="C1237" s="9" t="s">
        <v>534</v>
      </c>
      <c r="D1237" s="10">
        <v>170</v>
      </c>
      <c r="E1237" s="9" t="s">
        <v>158</v>
      </c>
      <c r="F1237" s="10">
        <v>170</v>
      </c>
      <c r="G1237" s="10">
        <v>169.7</v>
      </c>
      <c r="H1237" s="10">
        <v>113</v>
      </c>
      <c r="I1237" s="10">
        <v>142</v>
      </c>
      <c r="J1237" s="10">
        <v>134</v>
      </c>
      <c r="K1237" s="10">
        <v>98</v>
      </c>
      <c r="L1237" s="10">
        <v>116</v>
      </c>
      <c r="M1237" s="10">
        <v>18.399999999999999</v>
      </c>
      <c r="N1237" s="10">
        <v>1583</v>
      </c>
      <c r="O1237" s="10">
        <v>1.17</v>
      </c>
      <c r="P1237" s="10">
        <v>1849</v>
      </c>
      <c r="Q1237" s="10">
        <v>174</v>
      </c>
      <c r="R1237" s="10">
        <v>147</v>
      </c>
      <c r="S1237" s="10">
        <v>47</v>
      </c>
      <c r="T1237" s="10">
        <v>321</v>
      </c>
      <c r="U1237" s="10">
        <v>17</v>
      </c>
      <c r="V1237" s="10">
        <v>242</v>
      </c>
      <c r="W1237" s="10">
        <v>0.36299999999999999</v>
      </c>
      <c r="X1237" s="10">
        <v>155</v>
      </c>
      <c r="Y1237" s="10">
        <v>121</v>
      </c>
      <c r="Z1237" s="10">
        <v>166</v>
      </c>
      <c r="AA1237" s="10">
        <v>2</v>
      </c>
      <c r="AB1237" s="10">
        <v>10.6</v>
      </c>
      <c r="AC1237" s="9" t="s">
        <v>188</v>
      </c>
      <c r="AD1237" s="9" t="s">
        <v>185</v>
      </c>
      <c r="AE1237" s="10"/>
      <c r="AF1237" s="10"/>
      <c r="AG1237" s="10"/>
    </row>
    <row r="1238" spans="1:33">
      <c r="A1238" s="7" t="s">
        <v>155</v>
      </c>
      <c r="B1238" s="8" t="s">
        <v>229</v>
      </c>
      <c r="C1238" s="9" t="s">
        <v>534</v>
      </c>
      <c r="D1238" s="10">
        <v>178</v>
      </c>
      <c r="E1238" s="9" t="s">
        <v>158</v>
      </c>
      <c r="F1238" s="10">
        <v>178</v>
      </c>
      <c r="G1238" s="10">
        <v>179.8</v>
      </c>
      <c r="H1238" s="10">
        <v>130</v>
      </c>
      <c r="I1238" s="10">
        <v>151</v>
      </c>
      <c r="J1238" s="10">
        <v>134</v>
      </c>
      <c r="K1238" s="10">
        <v>98</v>
      </c>
      <c r="L1238" s="10">
        <v>116</v>
      </c>
      <c r="M1238" s="10">
        <v>21.2</v>
      </c>
      <c r="N1238" s="10">
        <v>1653</v>
      </c>
      <c r="O1238" s="10">
        <v>1.18</v>
      </c>
      <c r="P1238" s="10">
        <v>1955</v>
      </c>
      <c r="Q1238" s="10">
        <v>190</v>
      </c>
      <c r="R1238" s="10">
        <v>150</v>
      </c>
      <c r="S1238" s="10">
        <v>49</v>
      </c>
      <c r="T1238" s="10">
        <v>294</v>
      </c>
      <c r="U1238" s="10">
        <v>17</v>
      </c>
      <c r="V1238" s="10">
        <v>208</v>
      </c>
      <c r="W1238" s="10">
        <v>0.35399999999999998</v>
      </c>
      <c r="X1238" s="10">
        <v>155</v>
      </c>
      <c r="Y1238" s="10">
        <v>129</v>
      </c>
      <c r="Z1238" s="10">
        <v>139</v>
      </c>
      <c r="AA1238" s="10">
        <v>2</v>
      </c>
      <c r="AB1238" s="10">
        <v>10.5</v>
      </c>
      <c r="AC1238" s="9" t="s">
        <v>188</v>
      </c>
      <c r="AD1238" s="9" t="s">
        <v>185</v>
      </c>
      <c r="AE1238" s="10"/>
      <c r="AF1238" s="10"/>
      <c r="AG1238" s="10"/>
    </row>
    <row r="1239" spans="1:33">
      <c r="A1239" s="7" t="s">
        <v>155</v>
      </c>
      <c r="B1239" s="8" t="s">
        <v>229</v>
      </c>
      <c r="C1239" s="9" t="s">
        <v>534</v>
      </c>
      <c r="D1239" s="10">
        <v>186</v>
      </c>
      <c r="E1239" s="9" t="s">
        <v>158</v>
      </c>
      <c r="F1239" s="10">
        <v>186</v>
      </c>
      <c r="G1239" s="10">
        <v>187.1</v>
      </c>
      <c r="H1239" s="10">
        <v>131</v>
      </c>
      <c r="I1239" s="10">
        <v>159</v>
      </c>
      <c r="J1239" s="10">
        <v>134</v>
      </c>
      <c r="K1239" s="10">
        <v>98</v>
      </c>
      <c r="L1239" s="10">
        <v>116</v>
      </c>
      <c r="M1239" s="10">
        <v>23.4</v>
      </c>
      <c r="N1239" s="10">
        <v>1775</v>
      </c>
      <c r="O1239" s="10">
        <v>1.1499999999999999</v>
      </c>
      <c r="P1239" s="10">
        <v>2038</v>
      </c>
      <c r="Q1239" s="10">
        <v>190</v>
      </c>
      <c r="R1239" s="10">
        <v>147</v>
      </c>
      <c r="S1239" s="10">
        <v>49</v>
      </c>
      <c r="T1239" s="10">
        <v>327</v>
      </c>
      <c r="U1239" s="10">
        <v>18</v>
      </c>
      <c r="V1239" s="10">
        <v>235</v>
      </c>
      <c r="W1239" s="10">
        <v>0.36699999999999999</v>
      </c>
      <c r="X1239" s="10">
        <v>151</v>
      </c>
      <c r="Y1239" s="10">
        <v>126</v>
      </c>
      <c r="Z1239" s="10">
        <v>177</v>
      </c>
      <c r="AA1239" s="10">
        <v>3</v>
      </c>
      <c r="AB1239" s="10">
        <v>10.7</v>
      </c>
      <c r="AC1239" s="9" t="s">
        <v>188</v>
      </c>
      <c r="AD1239" s="9" t="s">
        <v>185</v>
      </c>
      <c r="AE1239" s="10"/>
      <c r="AF1239" s="10"/>
      <c r="AG1239" s="10"/>
    </row>
    <row r="1240" spans="1:33">
      <c r="A1240" s="7" t="s">
        <v>155</v>
      </c>
      <c r="B1240" s="8" t="s">
        <v>229</v>
      </c>
      <c r="C1240" s="9" t="s">
        <v>823</v>
      </c>
      <c r="D1240" s="10">
        <v>170</v>
      </c>
      <c r="E1240" s="9" t="s">
        <v>158</v>
      </c>
      <c r="F1240" s="10">
        <v>170</v>
      </c>
      <c r="G1240" s="10">
        <v>169.3</v>
      </c>
      <c r="H1240" s="10">
        <v>149</v>
      </c>
      <c r="I1240" s="10">
        <v>154</v>
      </c>
      <c r="J1240" s="10">
        <v>122</v>
      </c>
      <c r="K1240" s="10">
        <v>69</v>
      </c>
      <c r="L1240" s="10">
        <v>102</v>
      </c>
      <c r="M1240" s="10">
        <v>13.9</v>
      </c>
      <c r="N1240" s="10">
        <v>1987</v>
      </c>
      <c r="O1240" s="10">
        <v>0.73</v>
      </c>
      <c r="P1240" s="10">
        <v>1441</v>
      </c>
      <c r="Q1240" s="10">
        <v>244</v>
      </c>
      <c r="R1240" s="10">
        <v>102</v>
      </c>
      <c r="S1240" s="10">
        <v>41</v>
      </c>
      <c r="T1240" s="10">
        <v>149</v>
      </c>
      <c r="U1240" s="10">
        <v>6</v>
      </c>
      <c r="V1240" s="10">
        <v>53</v>
      </c>
      <c r="W1240" s="10">
        <v>0.14099999999999999</v>
      </c>
      <c r="X1240" s="10">
        <v>71</v>
      </c>
      <c r="Y1240" s="10">
        <v>79</v>
      </c>
      <c r="Z1240" s="10">
        <v>78</v>
      </c>
      <c r="AA1240" s="10">
        <v>6</v>
      </c>
      <c r="AB1240" s="10">
        <v>11.5</v>
      </c>
      <c r="AC1240" s="9" t="s">
        <v>349</v>
      </c>
      <c r="AD1240" s="10"/>
      <c r="AE1240" s="10"/>
      <c r="AF1240" s="10"/>
      <c r="AG1240" s="10"/>
    </row>
    <row r="1241" spans="1:33">
      <c r="A1241" s="7" t="s">
        <v>155</v>
      </c>
      <c r="B1241" s="8" t="s">
        <v>229</v>
      </c>
      <c r="C1241" s="9" t="s">
        <v>782</v>
      </c>
      <c r="D1241" s="10">
        <v>155</v>
      </c>
      <c r="E1241" s="9" t="s">
        <v>158</v>
      </c>
      <c r="F1241" s="10">
        <v>155</v>
      </c>
      <c r="G1241" s="10">
        <v>154.6</v>
      </c>
      <c r="H1241" s="10">
        <v>130</v>
      </c>
      <c r="I1241" s="10">
        <v>144</v>
      </c>
      <c r="J1241" s="10">
        <v>126</v>
      </c>
      <c r="K1241" s="10">
        <v>67</v>
      </c>
      <c r="L1241" s="10">
        <v>102</v>
      </c>
      <c r="M1241" s="10">
        <v>11</v>
      </c>
      <c r="N1241" s="10">
        <v>1934</v>
      </c>
      <c r="O1241" s="10">
        <v>0.68</v>
      </c>
      <c r="P1241" s="10">
        <v>1306</v>
      </c>
      <c r="Q1241" s="10">
        <v>190</v>
      </c>
      <c r="R1241" s="10">
        <v>124</v>
      </c>
      <c r="S1241" s="10">
        <v>43</v>
      </c>
      <c r="T1241" s="10">
        <v>186</v>
      </c>
      <c r="U1241" s="10">
        <v>6</v>
      </c>
      <c r="V1241" s="10">
        <v>58</v>
      </c>
      <c r="W1241" s="10">
        <v>0.13300000000000001</v>
      </c>
      <c r="X1241" s="10">
        <v>63</v>
      </c>
      <c r="Y1241" s="10">
        <v>48</v>
      </c>
      <c r="Z1241" s="10">
        <v>123</v>
      </c>
      <c r="AA1241" s="10">
        <v>4</v>
      </c>
      <c r="AB1241" s="10">
        <v>13.2</v>
      </c>
      <c r="AC1241" s="9" t="s">
        <v>349</v>
      </c>
      <c r="AD1241" s="10"/>
      <c r="AE1241" s="10"/>
      <c r="AF1241" s="10"/>
      <c r="AG1241" s="10"/>
    </row>
    <row r="1242" spans="1:33">
      <c r="A1242" s="7" t="s">
        <v>155</v>
      </c>
      <c r="B1242" s="8" t="s">
        <v>229</v>
      </c>
      <c r="C1242" s="9" t="s">
        <v>782</v>
      </c>
      <c r="D1242" s="10">
        <v>160</v>
      </c>
      <c r="E1242" s="9" t="s">
        <v>158</v>
      </c>
      <c r="F1242" s="10">
        <v>160</v>
      </c>
      <c r="G1242" s="10">
        <v>159.69999999999999</v>
      </c>
      <c r="H1242" s="10">
        <v>138</v>
      </c>
      <c r="I1242" s="10">
        <v>148</v>
      </c>
      <c r="J1242" s="10">
        <v>125</v>
      </c>
      <c r="K1242" s="10">
        <v>67</v>
      </c>
      <c r="L1242" s="10">
        <v>102</v>
      </c>
      <c r="M1242" s="10">
        <v>11.7</v>
      </c>
      <c r="N1242" s="10">
        <v>1979</v>
      </c>
      <c r="O1242" s="10">
        <v>0.68</v>
      </c>
      <c r="P1242" s="10">
        <v>1351</v>
      </c>
      <c r="Q1242" s="10">
        <v>184</v>
      </c>
      <c r="R1242" s="10">
        <v>124</v>
      </c>
      <c r="S1242" s="10">
        <v>41</v>
      </c>
      <c r="T1242" s="10">
        <v>157</v>
      </c>
      <c r="U1242" s="10">
        <v>7</v>
      </c>
      <c r="V1242" s="10">
        <v>59</v>
      </c>
      <c r="W1242" s="10">
        <v>0.17599999999999999</v>
      </c>
      <c r="X1242" s="10">
        <v>60</v>
      </c>
      <c r="Y1242" s="10">
        <v>53</v>
      </c>
      <c r="Z1242" s="10">
        <v>97</v>
      </c>
      <c r="AA1242" s="10">
        <v>5</v>
      </c>
      <c r="AB1242" s="10">
        <v>11.9</v>
      </c>
      <c r="AC1242" s="9" t="s">
        <v>349</v>
      </c>
      <c r="AD1242" s="10"/>
      <c r="AE1242" s="10"/>
      <c r="AF1242" s="10"/>
      <c r="AG1242" s="10"/>
    </row>
    <row r="1243" spans="1:33">
      <c r="A1243" s="7" t="s">
        <v>155</v>
      </c>
      <c r="B1243" s="8" t="s">
        <v>229</v>
      </c>
      <c r="C1243" s="9" t="s">
        <v>782</v>
      </c>
      <c r="D1243" s="10">
        <v>170</v>
      </c>
      <c r="E1243" s="9" t="s">
        <v>158</v>
      </c>
      <c r="F1243" s="10">
        <v>170</v>
      </c>
      <c r="G1243" s="10">
        <v>169.2</v>
      </c>
      <c r="H1243" s="10">
        <v>146</v>
      </c>
      <c r="I1243" s="10">
        <v>158</v>
      </c>
      <c r="J1243" s="10">
        <v>126</v>
      </c>
      <c r="K1243" s="10">
        <v>67</v>
      </c>
      <c r="L1243" s="10">
        <v>102</v>
      </c>
      <c r="M1243" s="10">
        <v>13.4</v>
      </c>
      <c r="N1243" s="10">
        <v>2068</v>
      </c>
      <c r="O1243" s="10">
        <v>0.69</v>
      </c>
      <c r="P1243" s="10">
        <v>1425</v>
      </c>
      <c r="Q1243" s="10">
        <v>229</v>
      </c>
      <c r="R1243" s="10">
        <v>150</v>
      </c>
      <c r="S1243" s="10">
        <v>43</v>
      </c>
      <c r="T1243" s="10">
        <v>174</v>
      </c>
      <c r="U1243" s="10">
        <v>6</v>
      </c>
      <c r="V1243" s="10">
        <v>61</v>
      </c>
      <c r="W1243" s="10">
        <v>0.151</v>
      </c>
      <c r="X1243" s="10">
        <v>57</v>
      </c>
      <c r="Y1243" s="10">
        <v>50</v>
      </c>
      <c r="Z1243" s="10">
        <v>117</v>
      </c>
      <c r="AA1243" s="10">
        <v>5</v>
      </c>
      <c r="AB1243" s="10">
        <v>11.5</v>
      </c>
      <c r="AC1243" s="9" t="s">
        <v>349</v>
      </c>
      <c r="AD1243" s="10"/>
      <c r="AE1243" s="10"/>
      <c r="AF1243" s="10"/>
      <c r="AG1243" s="10"/>
    </row>
    <row r="1244" spans="1:33">
      <c r="A1244" s="7" t="s">
        <v>155</v>
      </c>
      <c r="B1244" s="8" t="s">
        <v>229</v>
      </c>
      <c r="C1244" s="9" t="s">
        <v>747</v>
      </c>
      <c r="D1244" s="10">
        <v>180</v>
      </c>
      <c r="E1244" s="9" t="s">
        <v>158</v>
      </c>
      <c r="F1244" s="10">
        <v>180</v>
      </c>
      <c r="G1244" s="10">
        <v>179.9</v>
      </c>
      <c r="H1244" s="10">
        <v>96</v>
      </c>
      <c r="I1244" s="10">
        <v>142</v>
      </c>
      <c r="J1244" s="10">
        <v>131</v>
      </c>
      <c r="K1244" s="10">
        <v>103</v>
      </c>
      <c r="L1244" s="10">
        <v>121</v>
      </c>
      <c r="M1244" s="10">
        <v>20.399999999999999</v>
      </c>
      <c r="N1244" s="10">
        <v>1958</v>
      </c>
      <c r="O1244" s="10">
        <v>1.03</v>
      </c>
      <c r="P1244" s="10">
        <v>2014</v>
      </c>
      <c r="Q1244" s="10">
        <v>168</v>
      </c>
      <c r="R1244" s="10">
        <v>82</v>
      </c>
      <c r="S1244" s="10">
        <v>56</v>
      </c>
      <c r="T1244" s="10">
        <v>462</v>
      </c>
      <c r="U1244" s="10">
        <v>39</v>
      </c>
      <c r="V1244" s="10">
        <v>374</v>
      </c>
      <c r="W1244" s="10">
        <v>0.70399999999999996</v>
      </c>
      <c r="X1244" s="10">
        <v>172</v>
      </c>
      <c r="Y1244" s="10">
        <v>209</v>
      </c>
      <c r="Z1244" s="10">
        <v>290</v>
      </c>
      <c r="AA1244" s="10">
        <v>5</v>
      </c>
      <c r="AB1244" s="10">
        <v>1.6</v>
      </c>
      <c r="AC1244" s="9" t="s">
        <v>188</v>
      </c>
      <c r="AD1244" s="9" t="s">
        <v>169</v>
      </c>
      <c r="AE1244" s="10"/>
      <c r="AF1244" s="10"/>
      <c r="AG1244" s="10"/>
    </row>
    <row r="1245" spans="1:33">
      <c r="A1245" s="7" t="s">
        <v>155</v>
      </c>
      <c r="B1245" s="8" t="s">
        <v>229</v>
      </c>
      <c r="C1245" s="9" t="s">
        <v>747</v>
      </c>
      <c r="D1245" s="10">
        <v>188</v>
      </c>
      <c r="E1245" s="9" t="s">
        <v>158</v>
      </c>
      <c r="F1245" s="10">
        <v>188</v>
      </c>
      <c r="G1245" s="10">
        <v>186.7</v>
      </c>
      <c r="H1245" s="10">
        <v>106</v>
      </c>
      <c r="I1245" s="10">
        <v>148</v>
      </c>
      <c r="J1245" s="10">
        <v>131</v>
      </c>
      <c r="K1245" s="10">
        <v>103</v>
      </c>
      <c r="L1245" s="10">
        <v>120</v>
      </c>
      <c r="M1245" s="10">
        <v>22.6</v>
      </c>
      <c r="N1245" s="10">
        <v>2095</v>
      </c>
      <c r="O1245" s="10">
        <v>1</v>
      </c>
      <c r="P1245" s="10">
        <v>2094</v>
      </c>
      <c r="Q1245" s="10">
        <v>182</v>
      </c>
      <c r="R1245" s="10">
        <v>88</v>
      </c>
      <c r="S1245" s="10">
        <v>57</v>
      </c>
      <c r="T1245" s="10">
        <v>399</v>
      </c>
      <c r="U1245" s="10">
        <v>41</v>
      </c>
      <c r="V1245" s="10">
        <v>406</v>
      </c>
      <c r="W1245" s="10">
        <v>0.72099999999999997</v>
      </c>
      <c r="X1245" s="10">
        <v>194</v>
      </c>
      <c r="Y1245" s="10">
        <v>193</v>
      </c>
      <c r="Z1245" s="10">
        <v>205</v>
      </c>
      <c r="AA1245" s="10">
        <v>5</v>
      </c>
      <c r="AB1245" s="10">
        <v>2.5</v>
      </c>
      <c r="AC1245" s="9" t="s">
        <v>188</v>
      </c>
      <c r="AD1245" s="9" t="s">
        <v>169</v>
      </c>
      <c r="AE1245" s="10"/>
      <c r="AF1245" s="10"/>
      <c r="AG1245" s="10"/>
    </row>
    <row r="1246" spans="1:33">
      <c r="A1246" s="7" t="s">
        <v>155</v>
      </c>
      <c r="B1246" s="8" t="s">
        <v>229</v>
      </c>
      <c r="C1246" s="9" t="s">
        <v>780</v>
      </c>
      <c r="D1246" s="10">
        <v>177</v>
      </c>
      <c r="E1246" s="9" t="s">
        <v>158</v>
      </c>
      <c r="F1246" s="10">
        <v>177</v>
      </c>
      <c r="G1246" s="10">
        <v>177.4</v>
      </c>
      <c r="H1246" s="10">
        <v>82</v>
      </c>
      <c r="I1246" s="10">
        <v>118</v>
      </c>
      <c r="J1246" s="10">
        <v>141</v>
      </c>
      <c r="K1246" s="10">
        <v>120</v>
      </c>
      <c r="L1246" s="10">
        <v>133</v>
      </c>
      <c r="M1246" s="10">
        <v>17.7</v>
      </c>
      <c r="N1246" s="10">
        <v>2158</v>
      </c>
      <c r="O1246" s="10">
        <v>1.04</v>
      </c>
      <c r="P1246" s="10">
        <v>2242</v>
      </c>
      <c r="Q1246" s="10">
        <v>193</v>
      </c>
      <c r="R1246" s="10">
        <v>94</v>
      </c>
      <c r="S1246" s="10">
        <v>77</v>
      </c>
      <c r="T1246" s="10">
        <v>487</v>
      </c>
      <c r="U1246" s="10">
        <v>45</v>
      </c>
      <c r="V1246" s="10">
        <v>465</v>
      </c>
      <c r="W1246" s="10">
        <v>0.58499999999999996</v>
      </c>
      <c r="X1246" s="10">
        <v>298</v>
      </c>
      <c r="Y1246" s="10">
        <v>298</v>
      </c>
      <c r="Z1246" s="10">
        <v>189</v>
      </c>
      <c r="AA1246" s="10">
        <v>5</v>
      </c>
      <c r="AB1246" s="10">
        <v>3.4</v>
      </c>
      <c r="AC1246" s="9" t="s">
        <v>169</v>
      </c>
      <c r="AD1246" s="10"/>
      <c r="AE1246" s="10"/>
      <c r="AF1246" s="10"/>
      <c r="AG1246" s="10"/>
    </row>
    <row r="1247" spans="1:33">
      <c r="A1247" s="7" t="s">
        <v>155</v>
      </c>
      <c r="B1247" s="8" t="s">
        <v>229</v>
      </c>
      <c r="C1247" s="9" t="s">
        <v>575</v>
      </c>
      <c r="D1247" s="10">
        <v>169</v>
      </c>
      <c r="E1247" s="9" t="s">
        <v>158</v>
      </c>
      <c r="F1247" s="10">
        <v>169</v>
      </c>
      <c r="G1247" s="10">
        <v>166.1</v>
      </c>
      <c r="H1247" s="10">
        <v>133</v>
      </c>
      <c r="I1247" s="10">
        <v>145</v>
      </c>
      <c r="J1247" s="10">
        <v>115</v>
      </c>
      <c r="K1247" s="10">
        <v>86</v>
      </c>
      <c r="L1247" s="10">
        <v>115</v>
      </c>
      <c r="M1247" s="10">
        <v>18</v>
      </c>
      <c r="N1247" s="10">
        <v>1834</v>
      </c>
      <c r="O1247" s="10">
        <v>0.87</v>
      </c>
      <c r="P1247" s="10">
        <v>1604</v>
      </c>
      <c r="Q1247" s="10">
        <v>221</v>
      </c>
      <c r="R1247" s="10">
        <v>103</v>
      </c>
      <c r="S1247" s="10">
        <v>45</v>
      </c>
      <c r="T1247" s="10">
        <v>169</v>
      </c>
      <c r="U1247" s="10">
        <v>42</v>
      </c>
      <c r="V1247" s="10">
        <v>166</v>
      </c>
      <c r="W1247" s="10">
        <v>0.92900000000000005</v>
      </c>
      <c r="X1247" s="10">
        <v>103</v>
      </c>
      <c r="Y1247" s="10">
        <v>110</v>
      </c>
      <c r="Z1247" s="10">
        <v>67</v>
      </c>
      <c r="AA1247" s="10">
        <v>7</v>
      </c>
      <c r="AB1247" s="10">
        <v>0.4</v>
      </c>
      <c r="AC1247" s="9" t="s">
        <v>184</v>
      </c>
      <c r="AD1247" s="10"/>
      <c r="AE1247" s="10"/>
      <c r="AF1247" s="10"/>
      <c r="AG1247" s="10"/>
    </row>
    <row r="1248" spans="1:33">
      <c r="A1248" s="7" t="s">
        <v>155</v>
      </c>
      <c r="B1248" s="8" t="s">
        <v>229</v>
      </c>
      <c r="C1248" s="9" t="s">
        <v>575</v>
      </c>
      <c r="D1248" s="10">
        <v>177</v>
      </c>
      <c r="E1248" s="9" t="s">
        <v>158</v>
      </c>
      <c r="F1248" s="10">
        <v>177</v>
      </c>
      <c r="G1248" s="10">
        <v>173.4</v>
      </c>
      <c r="H1248" s="10">
        <v>139</v>
      </c>
      <c r="I1248" s="10">
        <v>152</v>
      </c>
      <c r="J1248" s="10">
        <v>115</v>
      </c>
      <c r="K1248" s="10">
        <v>86</v>
      </c>
      <c r="L1248" s="10">
        <v>114</v>
      </c>
      <c r="M1248" s="10">
        <v>20</v>
      </c>
      <c r="N1248" s="10">
        <v>1911</v>
      </c>
      <c r="O1248" s="10">
        <v>0.87</v>
      </c>
      <c r="P1248" s="10">
        <v>1670</v>
      </c>
      <c r="Q1248" s="10">
        <v>234</v>
      </c>
      <c r="R1248" s="10">
        <v>113</v>
      </c>
      <c r="S1248" s="10">
        <v>45</v>
      </c>
      <c r="T1248" s="10">
        <v>175</v>
      </c>
      <c r="U1248" s="10">
        <v>42</v>
      </c>
      <c r="V1248" s="10">
        <v>167</v>
      </c>
      <c r="W1248" s="10">
        <v>0.94099999999999995</v>
      </c>
      <c r="X1248" s="10">
        <v>103</v>
      </c>
      <c r="Y1248" s="10">
        <v>108</v>
      </c>
      <c r="Z1248" s="10">
        <v>72</v>
      </c>
      <c r="AA1248" s="10">
        <v>6</v>
      </c>
      <c r="AB1248" s="10">
        <v>0.5</v>
      </c>
      <c r="AC1248" s="9" t="s">
        <v>184</v>
      </c>
      <c r="AD1248" s="10"/>
      <c r="AE1248" s="10"/>
      <c r="AF1248" s="10"/>
      <c r="AG1248" s="10"/>
    </row>
    <row r="1249" spans="1:33">
      <c r="A1249" s="7" t="s">
        <v>155</v>
      </c>
      <c r="B1249" s="8" t="s">
        <v>229</v>
      </c>
      <c r="C1249" s="9" t="s">
        <v>596</v>
      </c>
      <c r="D1249" s="10">
        <v>157</v>
      </c>
      <c r="E1249" s="9" t="s">
        <v>158</v>
      </c>
      <c r="F1249" s="10">
        <v>157</v>
      </c>
      <c r="G1249" s="10">
        <v>156.1</v>
      </c>
      <c r="H1249" s="10">
        <v>120</v>
      </c>
      <c r="I1249" s="10">
        <v>141</v>
      </c>
      <c r="J1249" s="10">
        <v>128</v>
      </c>
      <c r="K1249" s="10">
        <v>94</v>
      </c>
      <c r="L1249" s="10">
        <v>118</v>
      </c>
      <c r="M1249" s="10">
        <v>16.899999999999999</v>
      </c>
      <c r="N1249" s="10">
        <v>1681</v>
      </c>
      <c r="O1249" s="10">
        <v>0.97</v>
      </c>
      <c r="P1249" s="10">
        <v>1624</v>
      </c>
      <c r="Q1249" s="10">
        <v>156</v>
      </c>
      <c r="R1249" s="10">
        <v>82</v>
      </c>
      <c r="S1249" s="10">
        <v>39</v>
      </c>
      <c r="T1249" s="10">
        <v>218</v>
      </c>
      <c r="U1249" s="10">
        <v>36</v>
      </c>
      <c r="V1249" s="10">
        <v>147</v>
      </c>
      <c r="W1249" s="10">
        <v>0.94599999999999995</v>
      </c>
      <c r="X1249" s="10">
        <v>81</v>
      </c>
      <c r="Y1249" s="10">
        <v>69</v>
      </c>
      <c r="Z1249" s="10">
        <v>137</v>
      </c>
      <c r="AA1249" s="10">
        <v>6</v>
      </c>
      <c r="AB1249" s="10">
        <v>0.1</v>
      </c>
      <c r="AC1249" s="9" t="s">
        <v>184</v>
      </c>
      <c r="AD1249" s="10"/>
      <c r="AE1249" s="10"/>
      <c r="AF1249" s="10"/>
      <c r="AG1249" s="10"/>
    </row>
    <row r="1250" spans="1:33">
      <c r="A1250" s="7" t="s">
        <v>155</v>
      </c>
      <c r="B1250" s="8" t="s">
        <v>229</v>
      </c>
      <c r="C1250" s="9" t="s">
        <v>596</v>
      </c>
      <c r="D1250" s="10">
        <v>165</v>
      </c>
      <c r="E1250" s="9" t="s">
        <v>158</v>
      </c>
      <c r="F1250" s="10">
        <v>165</v>
      </c>
      <c r="G1250" s="10">
        <v>163.6</v>
      </c>
      <c r="H1250" s="10">
        <v>132</v>
      </c>
      <c r="I1250" s="10">
        <v>149</v>
      </c>
      <c r="J1250" s="10">
        <v>128</v>
      </c>
      <c r="K1250" s="10">
        <v>94</v>
      </c>
      <c r="L1250" s="10">
        <v>118</v>
      </c>
      <c r="M1250" s="10">
        <v>19</v>
      </c>
      <c r="N1250" s="10">
        <v>1806</v>
      </c>
      <c r="O1250" s="10">
        <v>0.94</v>
      </c>
      <c r="P1250" s="10">
        <v>1702</v>
      </c>
      <c r="Q1250" s="10">
        <v>170</v>
      </c>
      <c r="R1250" s="10">
        <v>85</v>
      </c>
      <c r="S1250" s="10">
        <v>40</v>
      </c>
      <c r="T1250" s="10">
        <v>163</v>
      </c>
      <c r="U1250" s="10">
        <v>36</v>
      </c>
      <c r="V1250" s="10">
        <v>149</v>
      </c>
      <c r="W1250" s="10">
        <v>0.89400000000000002</v>
      </c>
      <c r="X1250" s="10">
        <v>80</v>
      </c>
      <c r="Y1250" s="10">
        <v>70</v>
      </c>
      <c r="Z1250" s="10">
        <v>83</v>
      </c>
      <c r="AA1250" s="10">
        <v>5</v>
      </c>
      <c r="AB1250" s="10">
        <v>0.6</v>
      </c>
      <c r="AC1250" s="9" t="s">
        <v>184</v>
      </c>
      <c r="AD1250" s="10"/>
      <c r="AE1250" s="10"/>
      <c r="AF1250" s="10"/>
      <c r="AG1250" s="10"/>
    </row>
    <row r="1251" spans="1:33">
      <c r="A1251" s="7" t="s">
        <v>155</v>
      </c>
      <c r="B1251" s="8" t="s">
        <v>229</v>
      </c>
      <c r="C1251" s="9" t="s">
        <v>596</v>
      </c>
      <c r="D1251" s="10">
        <v>173</v>
      </c>
      <c r="E1251" s="9" t="s">
        <v>158</v>
      </c>
      <c r="F1251" s="10">
        <v>173</v>
      </c>
      <c r="G1251" s="10">
        <v>173.4</v>
      </c>
      <c r="H1251" s="10">
        <v>130</v>
      </c>
      <c r="I1251" s="10">
        <v>159</v>
      </c>
      <c r="J1251" s="10">
        <v>128</v>
      </c>
      <c r="K1251" s="10">
        <v>94</v>
      </c>
      <c r="L1251" s="10">
        <v>118</v>
      </c>
      <c r="M1251" s="10">
        <v>21.6</v>
      </c>
      <c r="N1251" s="10">
        <v>1979</v>
      </c>
      <c r="O1251" s="10">
        <v>0.91</v>
      </c>
      <c r="P1251" s="10">
        <v>1806</v>
      </c>
      <c r="Q1251" s="10">
        <v>192</v>
      </c>
      <c r="R1251" s="10">
        <v>104</v>
      </c>
      <c r="S1251" s="10">
        <v>41</v>
      </c>
      <c r="T1251" s="10">
        <v>222</v>
      </c>
      <c r="U1251" s="10">
        <v>37</v>
      </c>
      <c r="V1251" s="10">
        <v>209</v>
      </c>
      <c r="W1251" s="10">
        <v>0.91200000000000003</v>
      </c>
      <c r="X1251" s="10">
        <v>81</v>
      </c>
      <c r="Y1251" s="10">
        <v>62</v>
      </c>
      <c r="Z1251" s="10">
        <v>141</v>
      </c>
      <c r="AA1251" s="10">
        <v>5</v>
      </c>
      <c r="AB1251" s="10">
        <v>0.1</v>
      </c>
      <c r="AC1251" s="9" t="s">
        <v>184</v>
      </c>
      <c r="AD1251" s="10"/>
      <c r="AE1251" s="10"/>
      <c r="AF1251" s="10"/>
      <c r="AG1251" s="10"/>
    </row>
    <row r="1252" spans="1:33">
      <c r="A1252" s="7" t="s">
        <v>155</v>
      </c>
      <c r="B1252" s="8" t="s">
        <v>229</v>
      </c>
      <c r="C1252" s="9" t="s">
        <v>596</v>
      </c>
      <c r="D1252" s="10">
        <v>181</v>
      </c>
      <c r="E1252" s="9" t="s">
        <v>158</v>
      </c>
      <c r="F1252" s="10">
        <v>181</v>
      </c>
      <c r="G1252" s="10">
        <v>181.3</v>
      </c>
      <c r="H1252" s="10">
        <v>145</v>
      </c>
      <c r="I1252" s="10">
        <v>166</v>
      </c>
      <c r="J1252" s="10">
        <v>128</v>
      </c>
      <c r="K1252" s="10">
        <v>94</v>
      </c>
      <c r="L1252" s="10">
        <v>118</v>
      </c>
      <c r="M1252" s="10">
        <v>23.8</v>
      </c>
      <c r="N1252" s="10">
        <v>2034</v>
      </c>
      <c r="O1252" s="10">
        <v>0.93</v>
      </c>
      <c r="P1252" s="10">
        <v>1886</v>
      </c>
      <c r="Q1252" s="10">
        <v>209</v>
      </c>
      <c r="R1252" s="10">
        <v>106</v>
      </c>
      <c r="S1252" s="10">
        <v>38</v>
      </c>
      <c r="T1252" s="10">
        <v>204</v>
      </c>
      <c r="U1252" s="10">
        <v>37</v>
      </c>
      <c r="V1252" s="10">
        <v>156</v>
      </c>
      <c r="W1252" s="10">
        <v>0.96</v>
      </c>
      <c r="X1252" s="10">
        <v>83</v>
      </c>
      <c r="Y1252" s="10">
        <v>72</v>
      </c>
      <c r="Z1252" s="10">
        <v>120</v>
      </c>
      <c r="AA1252" s="10">
        <v>6</v>
      </c>
      <c r="AB1252" s="10">
        <v>0.2</v>
      </c>
      <c r="AC1252" s="9" t="s">
        <v>184</v>
      </c>
      <c r="AD1252" s="10"/>
      <c r="AE1252" s="10"/>
      <c r="AF1252" s="10"/>
      <c r="AG1252" s="10"/>
    </row>
    <row r="1253" spans="1:33">
      <c r="A1253" s="7" t="s">
        <v>155</v>
      </c>
      <c r="B1253" s="8" t="s">
        <v>229</v>
      </c>
      <c r="C1253" s="9" t="s">
        <v>656</v>
      </c>
      <c r="D1253" s="10">
        <v>170</v>
      </c>
      <c r="E1253" s="9" t="s">
        <v>158</v>
      </c>
      <c r="F1253" s="10">
        <v>170</v>
      </c>
      <c r="G1253" s="10">
        <v>169.3</v>
      </c>
      <c r="H1253" s="10">
        <v>140</v>
      </c>
      <c r="I1253" s="10">
        <v>147</v>
      </c>
      <c r="J1253" s="10">
        <v>130</v>
      </c>
      <c r="K1253" s="10">
        <v>87</v>
      </c>
      <c r="L1253" s="10">
        <v>111</v>
      </c>
      <c r="M1253" s="10">
        <v>15.7</v>
      </c>
      <c r="N1253" s="10">
        <v>1167</v>
      </c>
      <c r="O1253" s="10">
        <v>1.46</v>
      </c>
      <c r="P1253" s="10">
        <v>1700</v>
      </c>
      <c r="Q1253" s="10">
        <v>150</v>
      </c>
      <c r="R1253" s="10">
        <v>57</v>
      </c>
      <c r="S1253" s="10">
        <v>43</v>
      </c>
      <c r="T1253" s="10">
        <v>230</v>
      </c>
      <c r="U1253" s="10">
        <v>4</v>
      </c>
      <c r="V1253" s="10">
        <v>66</v>
      </c>
      <c r="W1253" s="10">
        <v>0.104</v>
      </c>
      <c r="X1253" s="10">
        <v>124</v>
      </c>
      <c r="Y1253" s="10">
        <v>95</v>
      </c>
      <c r="Z1253" s="10">
        <v>106</v>
      </c>
      <c r="AA1253" s="10">
        <v>6</v>
      </c>
      <c r="AB1253" s="10">
        <v>11.6</v>
      </c>
      <c r="AC1253" s="9" t="s">
        <v>185</v>
      </c>
      <c r="AD1253" s="9" t="s">
        <v>198</v>
      </c>
      <c r="AE1253" s="10"/>
      <c r="AF1253" s="10"/>
      <c r="AG1253" s="10"/>
    </row>
    <row r="1254" spans="1:33">
      <c r="A1254" s="7" t="s">
        <v>155</v>
      </c>
      <c r="B1254" s="8" t="s">
        <v>229</v>
      </c>
      <c r="C1254" s="9" t="s">
        <v>656</v>
      </c>
      <c r="D1254" s="10">
        <v>177</v>
      </c>
      <c r="E1254" s="9" t="s">
        <v>158</v>
      </c>
      <c r="F1254" s="10">
        <v>177</v>
      </c>
      <c r="G1254" s="10">
        <v>176.7</v>
      </c>
      <c r="H1254" s="10">
        <v>147</v>
      </c>
      <c r="I1254" s="10">
        <v>156</v>
      </c>
      <c r="J1254" s="10">
        <v>130</v>
      </c>
      <c r="K1254" s="10">
        <v>87</v>
      </c>
      <c r="L1254" s="10">
        <v>111</v>
      </c>
      <c r="M1254" s="10">
        <v>17.5</v>
      </c>
      <c r="N1254" s="10">
        <v>1279</v>
      </c>
      <c r="O1254" s="10">
        <v>1.39</v>
      </c>
      <c r="P1254" s="10">
        <v>1773</v>
      </c>
      <c r="Q1254" s="10">
        <v>171</v>
      </c>
      <c r="R1254" s="10">
        <v>76</v>
      </c>
      <c r="S1254" s="10">
        <v>42</v>
      </c>
      <c r="T1254" s="10">
        <v>236</v>
      </c>
      <c r="U1254" s="10">
        <v>4</v>
      </c>
      <c r="V1254" s="10">
        <v>62</v>
      </c>
      <c r="W1254" s="10">
        <v>9.6000000000000002E-2</v>
      </c>
      <c r="X1254" s="10">
        <v>120</v>
      </c>
      <c r="Y1254" s="10">
        <v>89</v>
      </c>
      <c r="Z1254" s="10">
        <v>116</v>
      </c>
      <c r="AA1254" s="10">
        <v>6</v>
      </c>
      <c r="AB1254" s="10">
        <v>12.2</v>
      </c>
      <c r="AC1254" s="9" t="s">
        <v>185</v>
      </c>
      <c r="AD1254" s="9" t="s">
        <v>198</v>
      </c>
      <c r="AE1254" s="10"/>
      <c r="AF1254" s="10"/>
      <c r="AG1254" s="10"/>
    </row>
    <row r="1255" spans="1:33">
      <c r="A1255" s="7" t="s">
        <v>155</v>
      </c>
      <c r="B1255" s="8" t="s">
        <v>229</v>
      </c>
      <c r="C1255" s="9" t="s">
        <v>656</v>
      </c>
      <c r="D1255" s="10">
        <v>184</v>
      </c>
      <c r="E1255" s="9" t="s">
        <v>158</v>
      </c>
      <c r="F1255" s="10">
        <v>184</v>
      </c>
      <c r="G1255" s="10">
        <v>184</v>
      </c>
      <c r="H1255" s="10">
        <v>149</v>
      </c>
      <c r="I1255" s="10">
        <v>163</v>
      </c>
      <c r="J1255" s="10">
        <v>130</v>
      </c>
      <c r="K1255" s="10">
        <v>87</v>
      </c>
      <c r="L1255" s="10">
        <v>111</v>
      </c>
      <c r="M1255" s="10">
        <v>19.2</v>
      </c>
      <c r="N1255" s="10">
        <v>1357</v>
      </c>
      <c r="O1255" s="10">
        <v>1.36</v>
      </c>
      <c r="P1255" s="10">
        <v>1847</v>
      </c>
      <c r="Q1255" s="10">
        <v>195</v>
      </c>
      <c r="R1255" s="10">
        <v>76</v>
      </c>
      <c r="S1255" s="10">
        <v>47</v>
      </c>
      <c r="T1255" s="10">
        <v>285</v>
      </c>
      <c r="U1255" s="10">
        <v>4</v>
      </c>
      <c r="V1255" s="10">
        <v>64</v>
      </c>
      <c r="W1255" s="10">
        <v>8.6999999999999994E-2</v>
      </c>
      <c r="X1255" s="10">
        <v>122</v>
      </c>
      <c r="Y1255" s="10">
        <v>90</v>
      </c>
      <c r="Z1255" s="10">
        <v>164</v>
      </c>
      <c r="AA1255" s="10">
        <v>6</v>
      </c>
      <c r="AB1255" s="10">
        <v>12.5</v>
      </c>
      <c r="AC1255" s="9" t="s">
        <v>185</v>
      </c>
      <c r="AD1255" s="9" t="s">
        <v>198</v>
      </c>
      <c r="AE1255" s="10"/>
      <c r="AF1255" s="10"/>
      <c r="AG1255" s="10"/>
    </row>
    <row r="1256" spans="1:33">
      <c r="A1256" s="7" t="s">
        <v>155</v>
      </c>
      <c r="B1256" s="8" t="s">
        <v>229</v>
      </c>
      <c r="C1256" s="9" t="s">
        <v>855</v>
      </c>
      <c r="D1256" s="10">
        <v>156</v>
      </c>
      <c r="E1256" s="9" t="s">
        <v>163</v>
      </c>
      <c r="F1256" s="10">
        <v>156</v>
      </c>
      <c r="G1256" s="10">
        <v>154.6</v>
      </c>
      <c r="H1256" s="10">
        <v>127</v>
      </c>
      <c r="I1256" s="10">
        <v>132</v>
      </c>
      <c r="J1256" s="10">
        <v>130</v>
      </c>
      <c r="K1256" s="10">
        <v>87</v>
      </c>
      <c r="L1256" s="10">
        <v>111</v>
      </c>
      <c r="M1256" s="10">
        <v>12.7</v>
      </c>
      <c r="N1256" s="10">
        <v>1111</v>
      </c>
      <c r="O1256" s="10">
        <v>1.4</v>
      </c>
      <c r="P1256" s="10">
        <v>1555</v>
      </c>
      <c r="Q1256" s="10">
        <v>135</v>
      </c>
      <c r="R1256" s="10">
        <v>59</v>
      </c>
      <c r="S1256" s="10">
        <v>42</v>
      </c>
      <c r="T1256" s="10">
        <v>212</v>
      </c>
      <c r="U1256" s="10">
        <v>4</v>
      </c>
      <c r="V1256" s="10">
        <v>65</v>
      </c>
      <c r="W1256" s="10">
        <v>0.104</v>
      </c>
      <c r="X1256" s="10">
        <v>131</v>
      </c>
      <c r="Y1256" s="10">
        <v>93</v>
      </c>
      <c r="Z1256" s="10">
        <v>81</v>
      </c>
      <c r="AA1256" s="10">
        <v>5</v>
      </c>
      <c r="AB1256" s="10">
        <v>11.4</v>
      </c>
      <c r="AC1256" s="9" t="s">
        <v>185</v>
      </c>
      <c r="AD1256" s="9" t="s">
        <v>198</v>
      </c>
      <c r="AE1256" s="10"/>
      <c r="AF1256" s="10"/>
      <c r="AG1256" s="10"/>
    </row>
    <row r="1257" spans="1:33">
      <c r="A1257" s="7" t="s">
        <v>155</v>
      </c>
      <c r="B1257" s="8" t="s">
        <v>229</v>
      </c>
      <c r="C1257" s="9" t="s">
        <v>855</v>
      </c>
      <c r="D1257" s="10">
        <v>163</v>
      </c>
      <c r="E1257" s="9" t="s">
        <v>163</v>
      </c>
      <c r="F1257" s="10">
        <v>163</v>
      </c>
      <c r="G1257" s="10">
        <v>162.1</v>
      </c>
      <c r="H1257" s="10">
        <v>133</v>
      </c>
      <c r="I1257" s="10">
        <v>140</v>
      </c>
      <c r="J1257" s="10">
        <v>130</v>
      </c>
      <c r="K1257" s="10">
        <v>87</v>
      </c>
      <c r="L1257" s="10">
        <v>111</v>
      </c>
      <c r="M1257" s="10">
        <v>14.2</v>
      </c>
      <c r="N1257" s="10">
        <v>1165</v>
      </c>
      <c r="O1257" s="10">
        <v>1.4</v>
      </c>
      <c r="P1257" s="10">
        <v>1630</v>
      </c>
      <c r="Q1257" s="10">
        <v>149</v>
      </c>
      <c r="R1257" s="10">
        <v>62</v>
      </c>
      <c r="S1257" s="10">
        <v>43</v>
      </c>
      <c r="T1257" s="10">
        <v>221</v>
      </c>
      <c r="U1257" s="10">
        <v>5</v>
      </c>
      <c r="V1257" s="10">
        <v>72</v>
      </c>
      <c r="W1257" s="10">
        <v>0.113</v>
      </c>
      <c r="X1257" s="10">
        <v>130</v>
      </c>
      <c r="Y1257" s="10">
        <v>95</v>
      </c>
      <c r="Z1257" s="10">
        <v>91</v>
      </c>
      <c r="AA1257" s="10">
        <v>4</v>
      </c>
      <c r="AB1257" s="10">
        <v>10.8</v>
      </c>
      <c r="AC1257" s="9" t="s">
        <v>185</v>
      </c>
      <c r="AD1257" s="9" t="s">
        <v>198</v>
      </c>
      <c r="AE1257" s="10"/>
      <c r="AF1257" s="10"/>
      <c r="AG1257" s="10"/>
    </row>
    <row r="1258" spans="1:33">
      <c r="A1258" s="7" t="s">
        <v>155</v>
      </c>
      <c r="B1258" s="8" t="s">
        <v>229</v>
      </c>
      <c r="C1258" s="9" t="s">
        <v>461</v>
      </c>
      <c r="D1258" s="10">
        <v>156</v>
      </c>
      <c r="E1258" s="9" t="s">
        <v>158</v>
      </c>
      <c r="F1258" s="10">
        <v>156</v>
      </c>
      <c r="G1258" s="10">
        <v>154.5</v>
      </c>
      <c r="H1258" s="10">
        <v>122</v>
      </c>
      <c r="I1258" s="10">
        <v>133</v>
      </c>
      <c r="J1258" s="10">
        <v>137</v>
      </c>
      <c r="K1258" s="10">
        <v>95</v>
      </c>
      <c r="L1258" s="10">
        <v>118</v>
      </c>
      <c r="M1258" s="10">
        <v>12.6</v>
      </c>
      <c r="N1258" s="10">
        <v>1110</v>
      </c>
      <c r="O1258" s="10">
        <v>1.5</v>
      </c>
      <c r="P1258" s="10">
        <v>1669</v>
      </c>
      <c r="Q1258" s="10">
        <v>134</v>
      </c>
      <c r="R1258" s="10">
        <v>66</v>
      </c>
      <c r="S1258" s="10">
        <v>37</v>
      </c>
      <c r="T1258" s="10">
        <v>261</v>
      </c>
      <c r="U1258" s="10">
        <v>5</v>
      </c>
      <c r="V1258" s="10">
        <v>68</v>
      </c>
      <c r="W1258" s="10">
        <v>0.123</v>
      </c>
      <c r="X1258" s="10">
        <v>125</v>
      </c>
      <c r="Y1258" s="10">
        <v>95</v>
      </c>
      <c r="Z1258" s="10">
        <v>136</v>
      </c>
      <c r="AA1258" s="10">
        <v>4</v>
      </c>
      <c r="AB1258" s="10">
        <v>10.6</v>
      </c>
      <c r="AC1258" s="9" t="s">
        <v>185</v>
      </c>
      <c r="AD1258" s="9" t="s">
        <v>198</v>
      </c>
      <c r="AE1258" s="10"/>
      <c r="AF1258" s="10"/>
      <c r="AG1258" s="10"/>
    </row>
    <row r="1259" spans="1:33">
      <c r="A1259" s="7" t="s">
        <v>155</v>
      </c>
      <c r="B1259" s="8" t="s">
        <v>229</v>
      </c>
      <c r="C1259" s="9" t="s">
        <v>461</v>
      </c>
      <c r="D1259" s="10">
        <v>163</v>
      </c>
      <c r="E1259" s="9" t="s">
        <v>158</v>
      </c>
      <c r="F1259" s="10">
        <v>163</v>
      </c>
      <c r="G1259" s="10">
        <v>162</v>
      </c>
      <c r="H1259" s="10">
        <v>126</v>
      </c>
      <c r="I1259" s="10">
        <v>140</v>
      </c>
      <c r="J1259" s="10">
        <v>137</v>
      </c>
      <c r="K1259" s="10">
        <v>95</v>
      </c>
      <c r="L1259" s="10">
        <v>118</v>
      </c>
      <c r="M1259" s="10">
        <v>14.4</v>
      </c>
      <c r="N1259" s="10">
        <v>1158</v>
      </c>
      <c r="O1259" s="10">
        <v>1.51</v>
      </c>
      <c r="P1259" s="10">
        <v>1751</v>
      </c>
      <c r="Q1259" s="10">
        <v>143</v>
      </c>
      <c r="R1259" s="10">
        <v>67</v>
      </c>
      <c r="S1259" s="10">
        <v>38</v>
      </c>
      <c r="T1259" s="10">
        <v>292</v>
      </c>
      <c r="U1259" s="10">
        <v>5</v>
      </c>
      <c r="V1259" s="10">
        <v>67</v>
      </c>
      <c r="W1259" s="10">
        <v>0.129</v>
      </c>
      <c r="X1259" s="10">
        <v>129</v>
      </c>
      <c r="Y1259" s="10">
        <v>93</v>
      </c>
      <c r="Z1259" s="10">
        <v>162</v>
      </c>
      <c r="AA1259" s="10">
        <v>3</v>
      </c>
      <c r="AB1259" s="10">
        <v>11.6</v>
      </c>
      <c r="AC1259" s="9" t="s">
        <v>185</v>
      </c>
      <c r="AD1259" s="9" t="s">
        <v>198</v>
      </c>
      <c r="AE1259" s="10"/>
      <c r="AF1259" s="10"/>
      <c r="AG1259" s="10"/>
    </row>
    <row r="1260" spans="1:33">
      <c r="A1260" s="7" t="s">
        <v>155</v>
      </c>
      <c r="B1260" s="8" t="s">
        <v>229</v>
      </c>
      <c r="C1260" s="9" t="s">
        <v>461</v>
      </c>
      <c r="D1260" s="10">
        <v>170</v>
      </c>
      <c r="E1260" s="9" t="s">
        <v>158</v>
      </c>
      <c r="F1260" s="10">
        <v>170</v>
      </c>
      <c r="G1260" s="10">
        <v>169.5</v>
      </c>
      <c r="H1260" s="10">
        <v>130</v>
      </c>
      <c r="I1260" s="10">
        <v>148</v>
      </c>
      <c r="J1260" s="10">
        <v>137</v>
      </c>
      <c r="K1260" s="10">
        <v>95</v>
      </c>
      <c r="L1260" s="10">
        <v>118</v>
      </c>
      <c r="M1260" s="10">
        <v>15.9</v>
      </c>
      <c r="N1260" s="10">
        <v>1260</v>
      </c>
      <c r="O1260" s="10">
        <v>1.45</v>
      </c>
      <c r="P1260" s="10">
        <v>1830</v>
      </c>
      <c r="Q1260" s="10">
        <v>155</v>
      </c>
      <c r="R1260" s="10">
        <v>70</v>
      </c>
      <c r="S1260" s="10">
        <v>39</v>
      </c>
      <c r="T1260" s="10">
        <v>326</v>
      </c>
      <c r="U1260" s="10">
        <v>5</v>
      </c>
      <c r="V1260" s="10">
        <v>72</v>
      </c>
      <c r="W1260" s="10">
        <v>0.13500000000000001</v>
      </c>
      <c r="X1260" s="10">
        <v>123</v>
      </c>
      <c r="Y1260" s="10">
        <v>89</v>
      </c>
      <c r="Z1260" s="10">
        <v>204</v>
      </c>
      <c r="AA1260" s="10">
        <v>3</v>
      </c>
      <c r="AB1260" s="10">
        <v>11.3</v>
      </c>
      <c r="AC1260" s="9" t="s">
        <v>185</v>
      </c>
      <c r="AD1260" s="9" t="s">
        <v>198</v>
      </c>
      <c r="AE1260" s="10"/>
      <c r="AF1260" s="10"/>
      <c r="AG1260" s="10"/>
    </row>
    <row r="1261" spans="1:33">
      <c r="A1261" s="7" t="s">
        <v>155</v>
      </c>
      <c r="B1261" s="8" t="s">
        <v>229</v>
      </c>
      <c r="C1261" s="9" t="s">
        <v>461</v>
      </c>
      <c r="D1261" s="10">
        <v>177</v>
      </c>
      <c r="E1261" s="9" t="s">
        <v>158</v>
      </c>
      <c r="F1261" s="10">
        <v>177</v>
      </c>
      <c r="G1261" s="10">
        <v>176.9</v>
      </c>
      <c r="H1261" s="10">
        <v>145</v>
      </c>
      <c r="I1261" s="10">
        <v>154</v>
      </c>
      <c r="J1261" s="10">
        <v>138</v>
      </c>
      <c r="K1261" s="10">
        <v>96</v>
      </c>
      <c r="L1261" s="10">
        <v>119</v>
      </c>
      <c r="M1261" s="10">
        <v>17.7</v>
      </c>
      <c r="N1261" s="10">
        <v>1347</v>
      </c>
      <c r="O1261" s="10">
        <v>1.43</v>
      </c>
      <c r="P1261" s="10">
        <v>1921</v>
      </c>
      <c r="Q1261" s="10">
        <v>174</v>
      </c>
      <c r="R1261" s="10">
        <v>73</v>
      </c>
      <c r="S1261" s="10">
        <v>36</v>
      </c>
      <c r="T1261" s="10">
        <v>260</v>
      </c>
      <c r="U1261" s="10">
        <v>5</v>
      </c>
      <c r="V1261" s="10">
        <v>63</v>
      </c>
      <c r="W1261" s="10">
        <v>0.13</v>
      </c>
      <c r="X1261" s="10">
        <v>130</v>
      </c>
      <c r="Y1261" s="10">
        <v>96</v>
      </c>
      <c r="Z1261" s="10">
        <v>130</v>
      </c>
      <c r="AA1261" s="10">
        <v>6</v>
      </c>
      <c r="AB1261" s="10">
        <v>11.8</v>
      </c>
      <c r="AC1261" s="9" t="s">
        <v>185</v>
      </c>
      <c r="AD1261" s="9" t="s">
        <v>198</v>
      </c>
      <c r="AE1261" s="10"/>
      <c r="AF1261" s="10"/>
      <c r="AG1261" s="10"/>
    </row>
    <row r="1262" spans="1:33">
      <c r="A1262" s="7" t="s">
        <v>155</v>
      </c>
      <c r="B1262" s="8" t="s">
        <v>229</v>
      </c>
      <c r="C1262" s="9" t="s">
        <v>461</v>
      </c>
      <c r="D1262" s="10">
        <v>184</v>
      </c>
      <c r="E1262" s="9" t="s">
        <v>158</v>
      </c>
      <c r="F1262" s="10">
        <v>184</v>
      </c>
      <c r="G1262" s="10">
        <v>184</v>
      </c>
      <c r="H1262" s="10">
        <v>142</v>
      </c>
      <c r="I1262" s="10">
        <v>162</v>
      </c>
      <c r="J1262" s="10">
        <v>138</v>
      </c>
      <c r="K1262" s="10">
        <v>96</v>
      </c>
      <c r="L1262" s="10">
        <v>119</v>
      </c>
      <c r="M1262" s="10">
        <v>19.5</v>
      </c>
      <c r="N1262" s="10">
        <v>1366</v>
      </c>
      <c r="O1262" s="10">
        <v>1.46</v>
      </c>
      <c r="P1262" s="10">
        <v>1997</v>
      </c>
      <c r="Q1262" s="10">
        <v>192</v>
      </c>
      <c r="R1262" s="10">
        <v>82</v>
      </c>
      <c r="S1262" s="10">
        <v>40</v>
      </c>
      <c r="T1262" s="10">
        <v>346</v>
      </c>
      <c r="U1262" s="10">
        <v>5</v>
      </c>
      <c r="V1262" s="10">
        <v>69</v>
      </c>
      <c r="W1262" s="10">
        <v>0.11899999999999999</v>
      </c>
      <c r="X1262" s="10">
        <v>127</v>
      </c>
      <c r="Y1262" s="10">
        <v>88</v>
      </c>
      <c r="Z1262" s="10">
        <v>219</v>
      </c>
      <c r="AA1262" s="10">
        <v>2</v>
      </c>
      <c r="AB1262" s="10">
        <v>12.1</v>
      </c>
      <c r="AC1262" s="9" t="s">
        <v>185</v>
      </c>
      <c r="AD1262" s="9" t="s">
        <v>198</v>
      </c>
      <c r="AE1262" s="10"/>
      <c r="AF1262" s="10"/>
      <c r="AG1262" s="10"/>
    </row>
    <row r="1263" spans="1:33">
      <c r="A1263" s="7" t="s">
        <v>155</v>
      </c>
      <c r="B1263" s="8" t="s">
        <v>229</v>
      </c>
      <c r="C1263" s="9" t="s">
        <v>854</v>
      </c>
      <c r="D1263" s="10">
        <v>156</v>
      </c>
      <c r="E1263" s="9" t="s">
        <v>163</v>
      </c>
      <c r="F1263" s="10">
        <v>156</v>
      </c>
      <c r="G1263" s="10">
        <v>154.69999999999999</v>
      </c>
      <c r="H1263" s="10">
        <v>119</v>
      </c>
      <c r="I1263" s="10">
        <v>133</v>
      </c>
      <c r="J1263" s="10">
        <v>137</v>
      </c>
      <c r="K1263" s="10">
        <v>95</v>
      </c>
      <c r="L1263" s="10">
        <v>118</v>
      </c>
      <c r="M1263" s="10">
        <v>13</v>
      </c>
      <c r="N1263" s="10">
        <v>1129</v>
      </c>
      <c r="O1263" s="10">
        <v>1.48</v>
      </c>
      <c r="P1263" s="10">
        <v>1672</v>
      </c>
      <c r="Q1263" s="10">
        <v>140</v>
      </c>
      <c r="R1263" s="10">
        <v>64</v>
      </c>
      <c r="S1263" s="10">
        <v>40</v>
      </c>
      <c r="T1263" s="10">
        <v>292</v>
      </c>
      <c r="U1263" s="10">
        <v>4</v>
      </c>
      <c r="V1263" s="10">
        <v>68</v>
      </c>
      <c r="W1263" s="10">
        <v>0.104</v>
      </c>
      <c r="X1263" s="10">
        <v>129</v>
      </c>
      <c r="Y1263" s="10">
        <v>88</v>
      </c>
      <c r="Z1263" s="10">
        <v>163</v>
      </c>
      <c r="AA1263" s="10">
        <v>4</v>
      </c>
      <c r="AB1263" s="10">
        <v>10.3</v>
      </c>
      <c r="AC1263" s="9" t="s">
        <v>185</v>
      </c>
      <c r="AD1263" s="9" t="s">
        <v>198</v>
      </c>
      <c r="AE1263" s="10"/>
      <c r="AF1263" s="10"/>
      <c r="AG1263" s="10"/>
    </row>
    <row r="1264" spans="1:33">
      <c r="A1264" s="7" t="s">
        <v>155</v>
      </c>
      <c r="B1264" s="8" t="s">
        <v>229</v>
      </c>
      <c r="C1264" s="9" t="s">
        <v>854</v>
      </c>
      <c r="D1264" s="10">
        <v>163</v>
      </c>
      <c r="E1264" s="9" t="s">
        <v>163</v>
      </c>
      <c r="F1264" s="10">
        <v>163</v>
      </c>
      <c r="G1264" s="10">
        <v>162.19999999999999</v>
      </c>
      <c r="H1264" s="10">
        <v>129</v>
      </c>
      <c r="I1264" s="10">
        <v>140</v>
      </c>
      <c r="J1264" s="10">
        <v>137</v>
      </c>
      <c r="K1264" s="10">
        <v>95</v>
      </c>
      <c r="L1264" s="10">
        <v>118</v>
      </c>
      <c r="M1264" s="10">
        <v>14.7</v>
      </c>
      <c r="N1264" s="10">
        <v>1205</v>
      </c>
      <c r="O1264" s="10">
        <v>1.45</v>
      </c>
      <c r="P1264" s="10">
        <v>1750</v>
      </c>
      <c r="Q1264" s="10">
        <v>142</v>
      </c>
      <c r="R1264" s="10">
        <v>67</v>
      </c>
      <c r="S1264" s="10">
        <v>37</v>
      </c>
      <c r="T1264" s="10">
        <v>271</v>
      </c>
      <c r="U1264" s="10">
        <v>4</v>
      </c>
      <c r="V1264" s="10">
        <v>64</v>
      </c>
      <c r="W1264" s="10">
        <v>0.11700000000000001</v>
      </c>
      <c r="X1264" s="10">
        <v>128</v>
      </c>
      <c r="Y1264" s="10">
        <v>92</v>
      </c>
      <c r="Z1264" s="10">
        <v>144</v>
      </c>
      <c r="AA1264" s="10">
        <v>5</v>
      </c>
      <c r="AB1264" s="10">
        <v>10.6</v>
      </c>
      <c r="AC1264" s="9" t="s">
        <v>185</v>
      </c>
      <c r="AD1264" s="9" t="s">
        <v>198</v>
      </c>
      <c r="AE1264" s="10"/>
      <c r="AF1264" s="10"/>
      <c r="AG1264" s="10"/>
    </row>
    <row r="1265" spans="1:33">
      <c r="A1265" s="7" t="s">
        <v>155</v>
      </c>
      <c r="B1265" s="8" t="s">
        <v>229</v>
      </c>
      <c r="C1265" s="9" t="s">
        <v>854</v>
      </c>
      <c r="D1265" s="10">
        <v>170</v>
      </c>
      <c r="E1265" s="9" t="s">
        <v>163</v>
      </c>
      <c r="F1265" s="10">
        <v>170</v>
      </c>
      <c r="G1265" s="10">
        <v>169.7</v>
      </c>
      <c r="H1265" s="10">
        <v>133</v>
      </c>
      <c r="I1265" s="10">
        <v>149</v>
      </c>
      <c r="J1265" s="10">
        <v>137</v>
      </c>
      <c r="K1265" s="10">
        <v>95</v>
      </c>
      <c r="L1265" s="10">
        <v>118</v>
      </c>
      <c r="M1265" s="10">
        <v>16.2</v>
      </c>
      <c r="N1265" s="10">
        <v>1250</v>
      </c>
      <c r="O1265" s="10">
        <v>1.46</v>
      </c>
      <c r="P1265" s="10">
        <v>1828</v>
      </c>
      <c r="Q1265" s="10">
        <v>147</v>
      </c>
      <c r="R1265" s="10">
        <v>66</v>
      </c>
      <c r="S1265" s="10">
        <v>39</v>
      </c>
      <c r="T1265" s="10">
        <v>301</v>
      </c>
      <c r="U1265" s="10">
        <v>4</v>
      </c>
      <c r="V1265" s="10">
        <v>65</v>
      </c>
      <c r="W1265" s="10">
        <v>0.109</v>
      </c>
      <c r="X1265" s="10">
        <v>123</v>
      </c>
      <c r="Y1265" s="10">
        <v>89</v>
      </c>
      <c r="Z1265" s="10">
        <v>179</v>
      </c>
      <c r="AA1265" s="10">
        <v>4</v>
      </c>
      <c r="AB1265" s="10">
        <v>11.1</v>
      </c>
      <c r="AC1265" s="9" t="s">
        <v>185</v>
      </c>
      <c r="AD1265" s="9" t="s">
        <v>198</v>
      </c>
      <c r="AE1265" s="10"/>
      <c r="AF1265" s="10"/>
      <c r="AG1265" s="10"/>
    </row>
    <row r="1266" spans="1:33">
      <c r="A1266" s="7" t="s">
        <v>155</v>
      </c>
      <c r="B1266" s="8" t="s">
        <v>229</v>
      </c>
      <c r="C1266" s="9" t="s">
        <v>426</v>
      </c>
      <c r="D1266" s="10">
        <v>156</v>
      </c>
      <c r="E1266" s="9" t="s">
        <v>163</v>
      </c>
      <c r="F1266" s="10">
        <v>156</v>
      </c>
      <c r="G1266" s="10">
        <v>155.9</v>
      </c>
      <c r="H1266" s="10">
        <v>107</v>
      </c>
      <c r="I1266" s="10">
        <v>133</v>
      </c>
      <c r="J1266" s="10">
        <v>139</v>
      </c>
      <c r="K1266" s="10">
        <v>101</v>
      </c>
      <c r="L1266" s="10">
        <v>123</v>
      </c>
      <c r="M1266" s="10">
        <v>14.1</v>
      </c>
      <c r="N1266" s="10">
        <v>1846</v>
      </c>
      <c r="O1266" s="10">
        <v>0.96</v>
      </c>
      <c r="P1266" s="10">
        <v>1763</v>
      </c>
      <c r="Q1266" s="10">
        <v>205</v>
      </c>
      <c r="R1266" s="10">
        <v>132</v>
      </c>
      <c r="S1266" s="10">
        <v>49</v>
      </c>
      <c r="T1266" s="10">
        <v>310</v>
      </c>
      <c r="U1266" s="10">
        <v>17</v>
      </c>
      <c r="V1266" s="10">
        <v>174</v>
      </c>
      <c r="W1266" s="10">
        <v>0.34</v>
      </c>
      <c r="X1266" s="10">
        <v>131</v>
      </c>
      <c r="Y1266" s="10">
        <v>101</v>
      </c>
      <c r="Z1266" s="10">
        <v>178</v>
      </c>
      <c r="AA1266" s="10">
        <v>3</v>
      </c>
      <c r="AB1266" s="10">
        <v>11.4</v>
      </c>
      <c r="AC1266" s="9" t="s">
        <v>188</v>
      </c>
      <c r="AD1266" s="9" t="s">
        <v>178</v>
      </c>
      <c r="AE1266" s="10"/>
      <c r="AF1266" s="10"/>
      <c r="AG1266" s="10"/>
    </row>
    <row r="1267" spans="1:33">
      <c r="A1267" s="7" t="s">
        <v>155</v>
      </c>
      <c r="B1267" s="8" t="s">
        <v>229</v>
      </c>
      <c r="C1267" s="9" t="s">
        <v>426</v>
      </c>
      <c r="D1267" s="10">
        <v>163</v>
      </c>
      <c r="E1267" s="9" t="s">
        <v>163</v>
      </c>
      <c r="F1267" s="10">
        <v>163</v>
      </c>
      <c r="G1267" s="10">
        <v>163.5</v>
      </c>
      <c r="H1267" s="10">
        <v>104</v>
      </c>
      <c r="I1267" s="10">
        <v>140</v>
      </c>
      <c r="J1267" s="10">
        <v>139</v>
      </c>
      <c r="K1267" s="10">
        <v>101</v>
      </c>
      <c r="L1267" s="10">
        <v>123</v>
      </c>
      <c r="M1267" s="10">
        <v>15.8</v>
      </c>
      <c r="N1267" s="10">
        <v>1941</v>
      </c>
      <c r="O1267" s="10">
        <v>0.95</v>
      </c>
      <c r="P1267" s="10">
        <v>1848</v>
      </c>
      <c r="Q1267" s="10">
        <v>216</v>
      </c>
      <c r="R1267" s="10">
        <v>144</v>
      </c>
      <c r="S1267" s="10">
        <v>50</v>
      </c>
      <c r="T1267" s="10">
        <v>342</v>
      </c>
      <c r="U1267" s="10">
        <v>21</v>
      </c>
      <c r="V1267" s="10">
        <v>253</v>
      </c>
      <c r="W1267" s="10">
        <v>0.41199999999999998</v>
      </c>
      <c r="X1267" s="10">
        <v>131</v>
      </c>
      <c r="Y1267" s="10">
        <v>101</v>
      </c>
      <c r="Z1267" s="10">
        <v>211</v>
      </c>
      <c r="AA1267" s="10">
        <v>3</v>
      </c>
      <c r="AB1267" s="10">
        <v>11.4</v>
      </c>
      <c r="AC1267" s="9" t="s">
        <v>188</v>
      </c>
      <c r="AD1267" s="9" t="s">
        <v>169</v>
      </c>
      <c r="AE1267" s="10"/>
      <c r="AF1267" s="10"/>
      <c r="AG1267" s="10"/>
    </row>
    <row r="1268" spans="1:33">
      <c r="A1268" s="7" t="s">
        <v>155</v>
      </c>
      <c r="B1268" s="8" t="s">
        <v>229</v>
      </c>
      <c r="C1268" s="9" t="s">
        <v>426</v>
      </c>
      <c r="D1268" s="10">
        <v>170</v>
      </c>
      <c r="E1268" s="9" t="s">
        <v>163</v>
      </c>
      <c r="F1268" s="10">
        <v>170</v>
      </c>
      <c r="G1268" s="10">
        <v>171.1</v>
      </c>
      <c r="H1268" s="10">
        <v>111</v>
      </c>
      <c r="I1268" s="10">
        <v>147</v>
      </c>
      <c r="J1268" s="10">
        <v>139</v>
      </c>
      <c r="K1268" s="10">
        <v>101</v>
      </c>
      <c r="L1268" s="10">
        <v>123</v>
      </c>
      <c r="M1268" s="10">
        <v>17.600000000000001</v>
      </c>
      <c r="N1268" s="10">
        <v>2084</v>
      </c>
      <c r="O1268" s="10">
        <v>0.93</v>
      </c>
      <c r="P1268" s="10">
        <v>1934</v>
      </c>
      <c r="Q1268" s="10">
        <v>245</v>
      </c>
      <c r="R1268" s="10">
        <v>165</v>
      </c>
      <c r="S1268" s="10">
        <v>46</v>
      </c>
      <c r="T1268" s="10">
        <v>351</v>
      </c>
      <c r="U1268" s="10">
        <v>18</v>
      </c>
      <c r="V1268" s="10">
        <v>249</v>
      </c>
      <c r="W1268" s="10">
        <v>0.38800000000000001</v>
      </c>
      <c r="X1268" s="10">
        <v>133</v>
      </c>
      <c r="Y1268" s="10">
        <v>103</v>
      </c>
      <c r="Z1268" s="10">
        <v>217</v>
      </c>
      <c r="AA1268" s="10">
        <v>4</v>
      </c>
      <c r="AB1268" s="10">
        <v>11.8</v>
      </c>
      <c r="AC1268" s="9" t="s">
        <v>188</v>
      </c>
      <c r="AD1268" s="9" t="s">
        <v>169</v>
      </c>
      <c r="AE1268" s="9" t="s">
        <v>178</v>
      </c>
      <c r="AF1268" s="10"/>
      <c r="AG1268" s="10"/>
    </row>
    <row r="1269" spans="1:33">
      <c r="A1269" s="7" t="s">
        <v>155</v>
      </c>
      <c r="B1269" s="8" t="s">
        <v>229</v>
      </c>
      <c r="C1269" s="9" t="s">
        <v>766</v>
      </c>
      <c r="D1269" s="10">
        <v>163</v>
      </c>
      <c r="E1269" s="9" t="s">
        <v>163</v>
      </c>
      <c r="F1269" s="10">
        <v>163</v>
      </c>
      <c r="G1269" s="10">
        <v>164.1</v>
      </c>
      <c r="H1269" s="10">
        <v>129</v>
      </c>
      <c r="I1269" s="10">
        <v>140</v>
      </c>
      <c r="J1269" s="10">
        <v>129</v>
      </c>
      <c r="K1269" s="10">
        <v>91</v>
      </c>
      <c r="L1269" s="10">
        <v>112</v>
      </c>
      <c r="M1269" s="10">
        <v>16.100000000000001</v>
      </c>
      <c r="N1269" s="10">
        <v>1738</v>
      </c>
      <c r="O1269" s="10">
        <v>0.97</v>
      </c>
      <c r="P1269" s="10">
        <v>1690</v>
      </c>
      <c r="Q1269" s="10">
        <v>193</v>
      </c>
      <c r="R1269" s="10">
        <v>135</v>
      </c>
      <c r="S1269" s="10">
        <v>42</v>
      </c>
      <c r="T1269" s="10">
        <v>235</v>
      </c>
      <c r="U1269" s="10">
        <v>14</v>
      </c>
      <c r="V1269" s="10">
        <v>115</v>
      </c>
      <c r="W1269" s="10">
        <v>0.33600000000000002</v>
      </c>
      <c r="X1269" s="10">
        <v>136</v>
      </c>
      <c r="Y1269" s="10">
        <v>106</v>
      </c>
      <c r="Z1269" s="10">
        <v>99</v>
      </c>
      <c r="AA1269" s="10">
        <v>4</v>
      </c>
      <c r="AB1269" s="10">
        <v>10.6</v>
      </c>
      <c r="AC1269" s="9" t="s">
        <v>188</v>
      </c>
      <c r="AD1269" s="10"/>
      <c r="AE1269" s="10"/>
      <c r="AF1269" s="10"/>
      <c r="AG1269" s="10"/>
    </row>
    <row r="1270" spans="1:33">
      <c r="A1270" s="7" t="s">
        <v>155</v>
      </c>
      <c r="B1270" s="8" t="s">
        <v>229</v>
      </c>
      <c r="C1270" s="9" t="s">
        <v>319</v>
      </c>
      <c r="D1270" s="10">
        <v>149</v>
      </c>
      <c r="E1270" s="9" t="s">
        <v>163</v>
      </c>
      <c r="F1270" s="10">
        <v>149</v>
      </c>
      <c r="G1270" s="10">
        <v>148.4</v>
      </c>
      <c r="H1270" s="10">
        <v>107</v>
      </c>
      <c r="I1270" s="10">
        <v>125</v>
      </c>
      <c r="J1270" s="10">
        <v>134</v>
      </c>
      <c r="K1270" s="10">
        <v>95</v>
      </c>
      <c r="L1270" s="10">
        <v>118</v>
      </c>
      <c r="M1270" s="10">
        <v>12.1</v>
      </c>
      <c r="N1270" s="10">
        <v>1621</v>
      </c>
      <c r="O1270" s="10">
        <v>0.98</v>
      </c>
      <c r="P1270" s="10">
        <v>1596</v>
      </c>
      <c r="Q1270" s="10">
        <v>181</v>
      </c>
      <c r="R1270" s="10">
        <v>121</v>
      </c>
      <c r="S1270" s="10">
        <v>45</v>
      </c>
      <c r="T1270" s="10">
        <v>254</v>
      </c>
      <c r="U1270" s="10">
        <v>15</v>
      </c>
      <c r="V1270" s="10">
        <v>163</v>
      </c>
      <c r="W1270" s="10">
        <v>0.32800000000000001</v>
      </c>
      <c r="X1270" s="10">
        <v>133</v>
      </c>
      <c r="Y1270" s="10">
        <v>99</v>
      </c>
      <c r="Z1270" s="10">
        <v>121</v>
      </c>
      <c r="AA1270" s="10">
        <v>3</v>
      </c>
      <c r="AB1270" s="10">
        <v>11.2</v>
      </c>
      <c r="AC1270" s="9" t="s">
        <v>188</v>
      </c>
      <c r="AD1270" s="10"/>
      <c r="AE1270" s="10"/>
      <c r="AF1270" s="10"/>
      <c r="AG1270" s="10"/>
    </row>
    <row r="1271" spans="1:33">
      <c r="A1271" s="7" t="s">
        <v>155</v>
      </c>
      <c r="B1271" s="8" t="s">
        <v>229</v>
      </c>
      <c r="C1271" s="9" t="s">
        <v>319</v>
      </c>
      <c r="D1271" s="10">
        <v>156</v>
      </c>
      <c r="E1271" s="9" t="s">
        <v>163</v>
      </c>
      <c r="F1271" s="10">
        <v>156</v>
      </c>
      <c r="G1271" s="10">
        <v>155.80000000000001</v>
      </c>
      <c r="H1271" s="10">
        <v>112</v>
      </c>
      <c r="I1271" s="10">
        <v>133</v>
      </c>
      <c r="J1271" s="10">
        <v>135</v>
      </c>
      <c r="K1271" s="10">
        <v>95</v>
      </c>
      <c r="L1271" s="10">
        <v>118</v>
      </c>
      <c r="M1271" s="10">
        <v>13.2</v>
      </c>
      <c r="N1271" s="10">
        <v>1700</v>
      </c>
      <c r="O1271" s="10">
        <v>0.99</v>
      </c>
      <c r="P1271" s="10">
        <v>1679</v>
      </c>
      <c r="Q1271" s="10">
        <v>173</v>
      </c>
      <c r="R1271" s="10">
        <v>120</v>
      </c>
      <c r="S1271" s="10">
        <v>44</v>
      </c>
      <c r="T1271" s="10">
        <v>257</v>
      </c>
      <c r="U1271" s="10">
        <v>16</v>
      </c>
      <c r="V1271" s="10">
        <v>177</v>
      </c>
      <c r="W1271" s="10">
        <v>0.35699999999999998</v>
      </c>
      <c r="X1271" s="10">
        <v>125</v>
      </c>
      <c r="Y1271" s="10">
        <v>101</v>
      </c>
      <c r="Z1271" s="10">
        <v>132</v>
      </c>
      <c r="AA1271" s="10">
        <v>3</v>
      </c>
      <c r="AB1271" s="10">
        <v>11.8</v>
      </c>
      <c r="AC1271" s="9" t="s">
        <v>188</v>
      </c>
      <c r="AD1271" s="10"/>
      <c r="AE1271" s="10"/>
      <c r="AF1271" s="10"/>
      <c r="AG1271" s="10"/>
    </row>
    <row r="1272" spans="1:33">
      <c r="A1272" s="7" t="s">
        <v>155</v>
      </c>
      <c r="B1272" s="8" t="s">
        <v>229</v>
      </c>
      <c r="C1272" s="9" t="s">
        <v>319</v>
      </c>
      <c r="D1272" s="10">
        <v>163</v>
      </c>
      <c r="E1272" s="9" t="s">
        <v>163</v>
      </c>
      <c r="F1272" s="10">
        <v>163</v>
      </c>
      <c r="G1272" s="10">
        <v>163.19999999999999</v>
      </c>
      <c r="H1272" s="10">
        <v>122</v>
      </c>
      <c r="I1272" s="10">
        <v>140</v>
      </c>
      <c r="J1272" s="10">
        <v>135</v>
      </c>
      <c r="K1272" s="10">
        <v>95</v>
      </c>
      <c r="L1272" s="10">
        <v>118</v>
      </c>
      <c r="M1272" s="10">
        <v>14.8</v>
      </c>
      <c r="N1272" s="10">
        <v>1809</v>
      </c>
      <c r="O1272" s="10">
        <v>0.97</v>
      </c>
      <c r="P1272" s="10">
        <v>1757</v>
      </c>
      <c r="Q1272" s="10">
        <v>180</v>
      </c>
      <c r="R1272" s="10">
        <v>125</v>
      </c>
      <c r="S1272" s="10">
        <v>43</v>
      </c>
      <c r="T1272" s="10">
        <v>245</v>
      </c>
      <c r="U1272" s="10">
        <v>16</v>
      </c>
      <c r="V1272" s="10">
        <v>171</v>
      </c>
      <c r="W1272" s="10">
        <v>0.36199999999999999</v>
      </c>
      <c r="X1272" s="10">
        <v>130</v>
      </c>
      <c r="Y1272" s="10">
        <v>103</v>
      </c>
      <c r="Z1272" s="10">
        <v>115</v>
      </c>
      <c r="AA1272" s="10">
        <v>4</v>
      </c>
      <c r="AB1272" s="10">
        <v>11.6</v>
      </c>
      <c r="AC1272" s="9" t="s">
        <v>188</v>
      </c>
      <c r="AD1272" s="10"/>
      <c r="AE1272" s="10"/>
      <c r="AF1272" s="10"/>
      <c r="AG1272" s="10"/>
    </row>
    <row r="1273" spans="1:33">
      <c r="A1273" s="7" t="s">
        <v>155</v>
      </c>
      <c r="B1273" s="8" t="s">
        <v>229</v>
      </c>
      <c r="C1273" s="9" t="s">
        <v>319</v>
      </c>
      <c r="D1273" s="10">
        <v>170</v>
      </c>
      <c r="E1273" s="9" t="s">
        <v>163</v>
      </c>
      <c r="F1273" s="10">
        <v>170</v>
      </c>
      <c r="G1273" s="10">
        <v>170.8</v>
      </c>
      <c r="H1273" s="10">
        <v>123</v>
      </c>
      <c r="I1273" s="10">
        <v>147</v>
      </c>
      <c r="J1273" s="10">
        <v>134</v>
      </c>
      <c r="K1273" s="10">
        <v>95</v>
      </c>
      <c r="L1273" s="10">
        <v>118</v>
      </c>
      <c r="M1273" s="10">
        <v>16.7</v>
      </c>
      <c r="N1273" s="10">
        <v>1931</v>
      </c>
      <c r="O1273" s="10">
        <v>0.95</v>
      </c>
      <c r="P1273" s="10">
        <v>1838</v>
      </c>
      <c r="Q1273" s="10">
        <v>203</v>
      </c>
      <c r="R1273" s="10">
        <v>140</v>
      </c>
      <c r="S1273" s="10">
        <v>44</v>
      </c>
      <c r="T1273" s="10">
        <v>290</v>
      </c>
      <c r="U1273" s="10">
        <v>17</v>
      </c>
      <c r="V1273" s="10">
        <v>192</v>
      </c>
      <c r="W1273" s="10">
        <v>0.38600000000000001</v>
      </c>
      <c r="X1273" s="10">
        <v>129</v>
      </c>
      <c r="Y1273" s="10">
        <v>106</v>
      </c>
      <c r="Z1273" s="10">
        <v>161</v>
      </c>
      <c r="AA1273" s="10">
        <v>2</v>
      </c>
      <c r="AB1273" s="10">
        <v>11.7</v>
      </c>
      <c r="AC1273" s="9" t="s">
        <v>188</v>
      </c>
      <c r="AD1273" s="10"/>
      <c r="AE1273" s="10"/>
      <c r="AF1273" s="10"/>
      <c r="AG1273" s="10"/>
    </row>
    <row r="1274" spans="1:33">
      <c r="A1274" s="7" t="s">
        <v>155</v>
      </c>
      <c r="B1274" s="8" t="s">
        <v>229</v>
      </c>
      <c r="C1274" s="9" t="s">
        <v>807</v>
      </c>
      <c r="D1274" s="10">
        <v>147</v>
      </c>
      <c r="E1274" s="9" t="s">
        <v>163</v>
      </c>
      <c r="F1274" s="10">
        <v>147</v>
      </c>
      <c r="G1274" s="10">
        <v>148.80000000000001</v>
      </c>
      <c r="H1274" s="10">
        <v>113</v>
      </c>
      <c r="I1274" s="10">
        <v>124</v>
      </c>
      <c r="J1274" s="10">
        <v>120</v>
      </c>
      <c r="K1274" s="10">
        <v>79</v>
      </c>
      <c r="L1274" s="10">
        <v>102</v>
      </c>
      <c r="M1274" s="10">
        <v>11.7</v>
      </c>
      <c r="N1274" s="10">
        <v>1221</v>
      </c>
      <c r="O1274" s="10">
        <v>1.1299999999999999</v>
      </c>
      <c r="P1274" s="10">
        <v>1377</v>
      </c>
      <c r="Q1274" s="10">
        <v>142</v>
      </c>
      <c r="R1274" s="10">
        <v>62</v>
      </c>
      <c r="S1274" s="10">
        <v>43</v>
      </c>
      <c r="T1274" s="10">
        <v>210</v>
      </c>
      <c r="U1274" s="10">
        <v>15</v>
      </c>
      <c r="V1274" s="10">
        <v>148</v>
      </c>
      <c r="W1274" s="10">
        <v>0.34300000000000003</v>
      </c>
      <c r="X1274" s="10">
        <v>136</v>
      </c>
      <c r="Y1274" s="10">
        <v>108</v>
      </c>
      <c r="Z1274" s="10">
        <v>74</v>
      </c>
      <c r="AA1274" s="10">
        <v>3</v>
      </c>
      <c r="AB1274" s="10">
        <v>11.2</v>
      </c>
      <c r="AC1274" s="9" t="s">
        <v>231</v>
      </c>
      <c r="AD1274" s="9" t="s">
        <v>185</v>
      </c>
      <c r="AE1274" s="10"/>
      <c r="AF1274" s="10"/>
      <c r="AG1274" s="10"/>
    </row>
    <row r="1275" spans="1:33">
      <c r="A1275" s="7" t="s">
        <v>155</v>
      </c>
      <c r="B1275" s="8" t="s">
        <v>229</v>
      </c>
      <c r="C1275" s="9" t="s">
        <v>807</v>
      </c>
      <c r="D1275" s="10">
        <v>154</v>
      </c>
      <c r="E1275" s="9" t="s">
        <v>163</v>
      </c>
      <c r="F1275" s="10">
        <v>154</v>
      </c>
      <c r="G1275" s="10">
        <v>156.4</v>
      </c>
      <c r="H1275" s="10">
        <v>129</v>
      </c>
      <c r="I1275" s="10">
        <v>131</v>
      </c>
      <c r="J1275" s="10">
        <v>120</v>
      </c>
      <c r="K1275" s="10">
        <v>79</v>
      </c>
      <c r="L1275" s="10">
        <v>102</v>
      </c>
      <c r="M1275" s="10">
        <v>13.2</v>
      </c>
      <c r="N1275" s="10">
        <v>1262</v>
      </c>
      <c r="O1275" s="10">
        <v>1.1399999999999999</v>
      </c>
      <c r="P1275" s="10">
        <v>1445</v>
      </c>
      <c r="Q1275" s="10">
        <v>149</v>
      </c>
      <c r="R1275" s="10">
        <v>62</v>
      </c>
      <c r="S1275" s="10">
        <v>41</v>
      </c>
      <c r="T1275" s="10">
        <v>176</v>
      </c>
      <c r="U1275" s="10">
        <v>13</v>
      </c>
      <c r="V1275" s="10">
        <v>98</v>
      </c>
      <c r="W1275" s="10">
        <v>0.311</v>
      </c>
      <c r="X1275" s="10">
        <v>142</v>
      </c>
      <c r="Y1275" s="10">
        <v>108</v>
      </c>
      <c r="Z1275" s="10">
        <v>34</v>
      </c>
      <c r="AA1275" s="10">
        <v>4</v>
      </c>
      <c r="AB1275" s="10">
        <v>11.4</v>
      </c>
      <c r="AC1275" s="9" t="s">
        <v>231</v>
      </c>
      <c r="AD1275" s="9" t="s">
        <v>185</v>
      </c>
      <c r="AE1275" s="10"/>
      <c r="AF1275" s="10"/>
      <c r="AG1275" s="10"/>
    </row>
    <row r="1276" spans="1:33">
      <c r="A1276" s="7" t="s">
        <v>155</v>
      </c>
      <c r="B1276" s="8" t="s">
        <v>229</v>
      </c>
      <c r="C1276" s="9" t="s">
        <v>807</v>
      </c>
      <c r="D1276" s="10">
        <v>161</v>
      </c>
      <c r="E1276" s="9" t="s">
        <v>163</v>
      </c>
      <c r="F1276" s="10">
        <v>161</v>
      </c>
      <c r="G1276" s="10">
        <v>161.30000000000001</v>
      </c>
      <c r="H1276" s="10">
        <v>124</v>
      </c>
      <c r="I1276" s="10">
        <v>137</v>
      </c>
      <c r="J1276" s="10">
        <v>120</v>
      </c>
      <c r="K1276" s="10">
        <v>79</v>
      </c>
      <c r="L1276" s="10">
        <v>102</v>
      </c>
      <c r="M1276" s="10">
        <v>14.3</v>
      </c>
      <c r="N1276" s="10">
        <v>1359</v>
      </c>
      <c r="O1276" s="10">
        <v>1.0900000000000001</v>
      </c>
      <c r="P1276" s="10">
        <v>1488</v>
      </c>
      <c r="Q1276" s="10">
        <v>156</v>
      </c>
      <c r="R1276" s="10">
        <v>71</v>
      </c>
      <c r="S1276" s="10">
        <v>38</v>
      </c>
      <c r="T1276" s="10">
        <v>208</v>
      </c>
      <c r="U1276" s="10">
        <v>13</v>
      </c>
      <c r="V1276" s="10">
        <v>161</v>
      </c>
      <c r="W1276" s="10">
        <v>0.34799999999999998</v>
      </c>
      <c r="X1276" s="10">
        <v>136</v>
      </c>
      <c r="Y1276" s="10">
        <v>103</v>
      </c>
      <c r="Z1276" s="10">
        <v>72</v>
      </c>
      <c r="AA1276" s="10">
        <v>3</v>
      </c>
      <c r="AB1276" s="10">
        <v>11.7</v>
      </c>
      <c r="AC1276" s="9" t="s">
        <v>231</v>
      </c>
      <c r="AD1276" s="9" t="s">
        <v>185</v>
      </c>
      <c r="AE1276" s="10"/>
      <c r="AF1276" s="10"/>
      <c r="AG1276" s="10"/>
    </row>
    <row r="1277" spans="1:33">
      <c r="A1277" s="7" t="s">
        <v>155</v>
      </c>
      <c r="B1277" s="8" t="s">
        <v>229</v>
      </c>
      <c r="C1277" s="9" t="s">
        <v>807</v>
      </c>
      <c r="D1277" s="10">
        <v>168</v>
      </c>
      <c r="E1277" s="9" t="s">
        <v>163</v>
      </c>
      <c r="F1277" s="10">
        <v>168</v>
      </c>
      <c r="G1277" s="10">
        <v>168.7</v>
      </c>
      <c r="H1277" s="10">
        <v>114</v>
      </c>
      <c r="I1277" s="10">
        <v>144</v>
      </c>
      <c r="J1277" s="10">
        <v>120</v>
      </c>
      <c r="K1277" s="10">
        <v>79</v>
      </c>
      <c r="L1277" s="10">
        <v>102</v>
      </c>
      <c r="M1277" s="10">
        <v>15.9</v>
      </c>
      <c r="N1277" s="10">
        <v>1435</v>
      </c>
      <c r="O1277" s="10">
        <v>1.08</v>
      </c>
      <c r="P1277" s="10">
        <v>1556</v>
      </c>
      <c r="Q1277" s="10">
        <v>172</v>
      </c>
      <c r="R1277" s="10">
        <v>65</v>
      </c>
      <c r="S1277" s="10">
        <v>40</v>
      </c>
      <c r="T1277" s="10">
        <v>336</v>
      </c>
      <c r="U1277" s="10">
        <v>14</v>
      </c>
      <c r="V1277" s="10">
        <v>209</v>
      </c>
      <c r="W1277" s="10">
        <v>0.35399999999999998</v>
      </c>
      <c r="X1277" s="10">
        <v>137</v>
      </c>
      <c r="Y1277" s="10">
        <v>108</v>
      </c>
      <c r="Z1277" s="10">
        <v>200</v>
      </c>
      <c r="AA1277" s="10">
        <v>1</v>
      </c>
      <c r="AB1277" s="10">
        <v>12</v>
      </c>
      <c r="AC1277" s="9" t="s">
        <v>231</v>
      </c>
      <c r="AD1277" s="9" t="s">
        <v>185</v>
      </c>
      <c r="AE1277" s="10"/>
      <c r="AF1277" s="10"/>
      <c r="AG1277" s="10"/>
    </row>
    <row r="1278" spans="1:33">
      <c r="A1278" s="7" t="s">
        <v>155</v>
      </c>
      <c r="B1278" s="8" t="s">
        <v>229</v>
      </c>
      <c r="C1278" s="9" t="s">
        <v>775</v>
      </c>
      <c r="D1278" s="10">
        <v>147</v>
      </c>
      <c r="E1278" s="9" t="s">
        <v>163</v>
      </c>
      <c r="F1278" s="10">
        <v>147</v>
      </c>
      <c r="G1278" s="10">
        <v>148.80000000000001</v>
      </c>
      <c r="H1278" s="10">
        <v>88</v>
      </c>
      <c r="I1278" s="10">
        <v>125</v>
      </c>
      <c r="J1278" s="10">
        <v>124</v>
      </c>
      <c r="K1278" s="10">
        <v>83</v>
      </c>
      <c r="L1278" s="10">
        <v>106</v>
      </c>
      <c r="M1278" s="10">
        <v>11.7</v>
      </c>
      <c r="N1278" s="10">
        <v>1295</v>
      </c>
      <c r="O1278" s="10">
        <v>1.1100000000000001</v>
      </c>
      <c r="P1278" s="10">
        <v>1435</v>
      </c>
      <c r="Q1278" s="10">
        <v>158</v>
      </c>
      <c r="R1278" s="10">
        <v>60</v>
      </c>
      <c r="S1278" s="10">
        <v>42</v>
      </c>
      <c r="T1278" s="10">
        <v>282</v>
      </c>
      <c r="U1278" s="10">
        <v>19</v>
      </c>
      <c r="V1278" s="10">
        <v>326</v>
      </c>
      <c r="W1278" s="10">
        <v>0.44700000000000001</v>
      </c>
      <c r="X1278" s="10">
        <v>134</v>
      </c>
      <c r="Y1278" s="10">
        <v>103</v>
      </c>
      <c r="Z1278" s="10">
        <v>148</v>
      </c>
      <c r="AA1278" s="10">
        <v>2</v>
      </c>
      <c r="AB1278" s="10">
        <v>11.2</v>
      </c>
      <c r="AC1278" s="9" t="s">
        <v>231</v>
      </c>
      <c r="AD1278" s="9" t="s">
        <v>188</v>
      </c>
      <c r="AE1278" s="9" t="s">
        <v>185</v>
      </c>
      <c r="AF1278" s="10"/>
      <c r="AG1278" s="10"/>
    </row>
    <row r="1279" spans="1:33">
      <c r="A1279" s="7" t="s">
        <v>155</v>
      </c>
      <c r="B1279" s="8" t="s">
        <v>229</v>
      </c>
      <c r="C1279" s="9" t="s">
        <v>775</v>
      </c>
      <c r="D1279" s="10">
        <v>154</v>
      </c>
      <c r="E1279" s="9" t="s">
        <v>163</v>
      </c>
      <c r="F1279" s="10">
        <v>154</v>
      </c>
      <c r="G1279" s="10">
        <v>156.19999999999999</v>
      </c>
      <c r="H1279" s="10">
        <v>107</v>
      </c>
      <c r="I1279" s="10">
        <v>132</v>
      </c>
      <c r="J1279" s="10">
        <v>124</v>
      </c>
      <c r="K1279" s="10">
        <v>83</v>
      </c>
      <c r="L1279" s="10">
        <v>106</v>
      </c>
      <c r="M1279" s="10">
        <v>13.1</v>
      </c>
      <c r="N1279" s="10">
        <v>1349</v>
      </c>
      <c r="O1279" s="10">
        <v>1.1100000000000001</v>
      </c>
      <c r="P1279" s="10">
        <v>1503</v>
      </c>
      <c r="Q1279" s="10">
        <v>163</v>
      </c>
      <c r="R1279" s="10">
        <v>60</v>
      </c>
      <c r="S1279" s="10">
        <v>42</v>
      </c>
      <c r="T1279" s="10">
        <v>287</v>
      </c>
      <c r="U1279" s="10">
        <v>16</v>
      </c>
      <c r="V1279" s="10">
        <v>201</v>
      </c>
      <c r="W1279" s="10">
        <v>0.36799999999999999</v>
      </c>
      <c r="X1279" s="10">
        <v>135</v>
      </c>
      <c r="Y1279" s="10">
        <v>102</v>
      </c>
      <c r="Z1279" s="10">
        <v>152</v>
      </c>
      <c r="AA1279" s="10">
        <v>2</v>
      </c>
      <c r="AB1279" s="10">
        <v>11.6</v>
      </c>
      <c r="AC1279" s="9" t="s">
        <v>231</v>
      </c>
      <c r="AD1279" s="9" t="s">
        <v>188</v>
      </c>
      <c r="AE1279" s="9" t="s">
        <v>185</v>
      </c>
      <c r="AF1279" s="10"/>
      <c r="AG1279" s="10"/>
    </row>
    <row r="1280" spans="1:33">
      <c r="A1280" s="7" t="s">
        <v>155</v>
      </c>
      <c r="B1280" s="8" t="s">
        <v>229</v>
      </c>
      <c r="C1280" s="9" t="s">
        <v>775</v>
      </c>
      <c r="D1280" s="10">
        <v>161</v>
      </c>
      <c r="E1280" s="9" t="s">
        <v>163</v>
      </c>
      <c r="F1280" s="10">
        <v>161</v>
      </c>
      <c r="G1280" s="10">
        <v>161.30000000000001</v>
      </c>
      <c r="H1280" s="10">
        <v>122</v>
      </c>
      <c r="I1280" s="10">
        <v>138</v>
      </c>
      <c r="J1280" s="10">
        <v>124</v>
      </c>
      <c r="K1280" s="10">
        <v>83</v>
      </c>
      <c r="L1280" s="10">
        <v>106</v>
      </c>
      <c r="M1280" s="10">
        <v>14.3</v>
      </c>
      <c r="N1280" s="10">
        <v>1411</v>
      </c>
      <c r="O1280" s="10">
        <v>1.1000000000000001</v>
      </c>
      <c r="P1280" s="10">
        <v>1552</v>
      </c>
      <c r="Q1280" s="10">
        <v>169</v>
      </c>
      <c r="R1280" s="10">
        <v>67</v>
      </c>
      <c r="S1280" s="10">
        <v>38</v>
      </c>
      <c r="T1280" s="10">
        <v>211</v>
      </c>
      <c r="U1280" s="10">
        <v>14</v>
      </c>
      <c r="V1280" s="10">
        <v>183</v>
      </c>
      <c r="W1280" s="10">
        <v>0.36499999999999999</v>
      </c>
      <c r="X1280" s="10">
        <v>130</v>
      </c>
      <c r="Y1280" s="10">
        <v>106</v>
      </c>
      <c r="Z1280" s="10">
        <v>81</v>
      </c>
      <c r="AA1280" s="10">
        <v>2</v>
      </c>
      <c r="AB1280" s="10">
        <v>11.8</v>
      </c>
      <c r="AC1280" s="9" t="s">
        <v>231</v>
      </c>
      <c r="AD1280" s="9" t="s">
        <v>188</v>
      </c>
      <c r="AE1280" s="9" t="s">
        <v>185</v>
      </c>
      <c r="AF1280" s="10"/>
      <c r="AG1280" s="10"/>
    </row>
    <row r="1281" spans="1:33">
      <c r="A1281" s="7" t="s">
        <v>155</v>
      </c>
      <c r="B1281" s="8" t="s">
        <v>229</v>
      </c>
      <c r="C1281" s="9" t="s">
        <v>775</v>
      </c>
      <c r="D1281" s="10">
        <v>168</v>
      </c>
      <c r="E1281" s="9" t="s">
        <v>163</v>
      </c>
      <c r="F1281" s="10">
        <v>168</v>
      </c>
      <c r="G1281" s="10">
        <v>168.5</v>
      </c>
      <c r="H1281" s="10">
        <v>115</v>
      </c>
      <c r="I1281" s="10">
        <v>145</v>
      </c>
      <c r="J1281" s="10">
        <v>124</v>
      </c>
      <c r="K1281" s="10">
        <v>83</v>
      </c>
      <c r="L1281" s="10">
        <v>106</v>
      </c>
      <c r="M1281" s="10">
        <v>15.8</v>
      </c>
      <c r="N1281" s="10">
        <v>1464</v>
      </c>
      <c r="O1281" s="10">
        <v>1.1100000000000001</v>
      </c>
      <c r="P1281" s="10">
        <v>1623</v>
      </c>
      <c r="Q1281" s="10">
        <v>176</v>
      </c>
      <c r="R1281" s="10">
        <v>65</v>
      </c>
      <c r="S1281" s="10">
        <v>38</v>
      </c>
      <c r="T1281" s="10">
        <v>312</v>
      </c>
      <c r="U1281" s="10">
        <v>15</v>
      </c>
      <c r="V1281" s="10">
        <v>220</v>
      </c>
      <c r="W1281" s="10">
        <v>0.38700000000000001</v>
      </c>
      <c r="X1281" s="10">
        <v>134</v>
      </c>
      <c r="Y1281" s="10">
        <v>103</v>
      </c>
      <c r="Z1281" s="10">
        <v>178</v>
      </c>
      <c r="AA1281" s="10">
        <v>2</v>
      </c>
      <c r="AB1281" s="10">
        <v>11.8</v>
      </c>
      <c r="AC1281" s="9" t="s">
        <v>231</v>
      </c>
      <c r="AD1281" s="9" t="s">
        <v>188</v>
      </c>
      <c r="AE1281" s="9" t="s">
        <v>185</v>
      </c>
      <c r="AF1281" s="10"/>
      <c r="AG1281" s="10"/>
    </row>
  </sheetData>
  <autoFilter ref="A16:AG1281" xr:uid="{00000000-0009-0000-0000-00000A000000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8" tint="0.79998168889431442"/>
  </sheetPr>
  <dimension ref="A1:J17"/>
  <sheetViews>
    <sheetView showGridLines="0" workbookViewId="0">
      <selection activeCell="G24" sqref="G24"/>
    </sheetView>
  </sheetViews>
  <sheetFormatPr defaultColWidth="8.77734375" defaultRowHeight="13.2"/>
  <cols>
    <col min="1" max="1" width="3.44140625" style="123" customWidth="1"/>
    <col min="2" max="2" width="19.21875" style="123" customWidth="1"/>
    <col min="3" max="3" width="17.77734375" style="123" bestFit="1" customWidth="1"/>
    <col min="4" max="4" width="14.33203125" style="123" bestFit="1" customWidth="1"/>
  </cols>
  <sheetData>
    <row r="1" spans="2:10" ht="13.8" customHeight="1" thickBot="1"/>
    <row r="2" spans="2:10" ht="53.4" customHeight="1" thickBot="1">
      <c r="B2" s="17" t="s">
        <v>7270</v>
      </c>
      <c r="C2" s="17" t="s">
        <v>7271</v>
      </c>
      <c r="D2" s="17" t="s">
        <v>7272</v>
      </c>
      <c r="E2" s="17" t="s">
        <v>999</v>
      </c>
      <c r="F2" s="17" t="s">
        <v>980</v>
      </c>
      <c r="G2" s="219" t="s">
        <v>1021</v>
      </c>
      <c r="H2" s="219" t="s">
        <v>1022</v>
      </c>
      <c r="I2" s="219" t="s">
        <v>1023</v>
      </c>
      <c r="J2" s="219" t="s">
        <v>1024</v>
      </c>
    </row>
    <row r="3" spans="2:10" ht="14.4" customHeight="1" thickBot="1">
      <c r="B3" s="17" t="s">
        <v>1025</v>
      </c>
      <c r="C3" s="17" t="s">
        <v>1026</v>
      </c>
      <c r="D3" s="17" t="s">
        <v>1027</v>
      </c>
      <c r="E3" s="17" t="str">
        <f t="shared" ref="E3:E15" si="0">LEFT(D3,3)</f>
        <v>115</v>
      </c>
      <c r="F3" s="17" t="str">
        <f t="shared" ref="F3:F15" si="1">RIGHT(D3,3)</f>
        <v>130</v>
      </c>
      <c r="G3" s="219" t="e">
        <f t="shared" ref="G3:G15" si="2">E3-$C3</f>
        <v>#VALUE!</v>
      </c>
      <c r="H3" s="219" t="e">
        <f t="shared" ref="H3:H15" si="3">F3-$C3</f>
        <v>#VALUE!</v>
      </c>
      <c r="I3" s="18" t="e">
        <f t="shared" ref="I3:I15" si="4">E3/$C3-1</f>
        <v>#VALUE!</v>
      </c>
      <c r="J3" s="18" t="e">
        <f t="shared" ref="J3:J15" si="5">F3/$C3-1</f>
        <v>#VALUE!</v>
      </c>
    </row>
    <row r="4" spans="2:10" ht="14.4" customHeight="1" thickBot="1">
      <c r="B4" s="17" t="s">
        <v>1028</v>
      </c>
      <c r="C4" s="17">
        <v>137</v>
      </c>
      <c r="D4" s="17" t="s">
        <v>1029</v>
      </c>
      <c r="E4" s="17" t="str">
        <f t="shared" si="0"/>
        <v>125</v>
      </c>
      <c r="F4" s="17" t="str">
        <f t="shared" si="1"/>
        <v>140</v>
      </c>
      <c r="G4" s="219">
        <f t="shared" si="2"/>
        <v>-12</v>
      </c>
      <c r="H4" s="219">
        <f t="shared" si="3"/>
        <v>3</v>
      </c>
      <c r="I4" s="18">
        <f t="shared" si="4"/>
        <v>-8.7591240875912413E-2</v>
      </c>
      <c r="J4" s="18">
        <f t="shared" si="5"/>
        <v>2.1897810218978186E-2</v>
      </c>
    </row>
    <row r="5" spans="2:10" ht="14.4" customHeight="1" thickBot="1">
      <c r="B5" s="17" t="s">
        <v>1030</v>
      </c>
      <c r="C5" s="17">
        <v>142</v>
      </c>
      <c r="D5" s="17" t="s">
        <v>1031</v>
      </c>
      <c r="E5" s="17" t="str">
        <f t="shared" si="0"/>
        <v>130</v>
      </c>
      <c r="F5" s="17" t="str">
        <f t="shared" si="1"/>
        <v>145</v>
      </c>
      <c r="G5" s="219">
        <f t="shared" si="2"/>
        <v>-12</v>
      </c>
      <c r="H5" s="219">
        <f t="shared" si="3"/>
        <v>3</v>
      </c>
      <c r="I5" s="18">
        <f t="shared" si="4"/>
        <v>-8.4507042253521125E-2</v>
      </c>
      <c r="J5" s="18">
        <f t="shared" si="5"/>
        <v>2.1126760563380254E-2</v>
      </c>
    </row>
    <row r="6" spans="2:10" ht="14.4" customHeight="1" thickBot="1">
      <c r="B6" s="17" t="s">
        <v>1032</v>
      </c>
      <c r="C6" s="17">
        <v>147</v>
      </c>
      <c r="D6" s="17" t="s">
        <v>1033</v>
      </c>
      <c r="E6" s="17" t="str">
        <f t="shared" si="0"/>
        <v>135</v>
      </c>
      <c r="F6" s="17" t="str">
        <f t="shared" si="1"/>
        <v>150</v>
      </c>
      <c r="G6" s="219">
        <f t="shared" si="2"/>
        <v>-12</v>
      </c>
      <c r="H6" s="219">
        <f t="shared" si="3"/>
        <v>3</v>
      </c>
      <c r="I6" s="18">
        <f t="shared" si="4"/>
        <v>-8.1632653061224469E-2</v>
      </c>
      <c r="J6" s="18">
        <f t="shared" si="5"/>
        <v>2.0408163265306145E-2</v>
      </c>
    </row>
    <row r="7" spans="2:10" ht="14.4" customHeight="1" thickBot="1">
      <c r="B7" s="17" t="s">
        <v>1034</v>
      </c>
      <c r="C7" s="17">
        <v>152</v>
      </c>
      <c r="D7" s="17" t="s">
        <v>1035</v>
      </c>
      <c r="E7" s="17" t="str">
        <f t="shared" si="0"/>
        <v>140</v>
      </c>
      <c r="F7" s="17" t="str">
        <f t="shared" si="1"/>
        <v>155</v>
      </c>
      <c r="G7" s="219">
        <f t="shared" si="2"/>
        <v>-12</v>
      </c>
      <c r="H7" s="219">
        <f t="shared" si="3"/>
        <v>3</v>
      </c>
      <c r="I7" s="18">
        <f t="shared" si="4"/>
        <v>-7.8947368421052655E-2</v>
      </c>
      <c r="J7" s="18">
        <f t="shared" si="5"/>
        <v>1.9736842105263053E-2</v>
      </c>
    </row>
    <row r="8" spans="2:10" ht="14.4" customHeight="1" thickBot="1">
      <c r="B8" s="17" t="s">
        <v>1036</v>
      </c>
      <c r="C8" s="17">
        <v>158</v>
      </c>
      <c r="D8" s="17" t="s">
        <v>1037</v>
      </c>
      <c r="E8" s="17" t="str">
        <f t="shared" si="0"/>
        <v>145</v>
      </c>
      <c r="F8" s="17" t="str">
        <f t="shared" si="1"/>
        <v>165</v>
      </c>
      <c r="G8" s="219">
        <f t="shared" si="2"/>
        <v>-13</v>
      </c>
      <c r="H8" s="219">
        <f t="shared" si="3"/>
        <v>7</v>
      </c>
      <c r="I8" s="18">
        <f t="shared" si="4"/>
        <v>-8.2278481012658222E-2</v>
      </c>
      <c r="J8" s="18">
        <f t="shared" si="5"/>
        <v>4.4303797468354444E-2</v>
      </c>
    </row>
    <row r="9" spans="2:10" ht="14.4" customHeight="1" thickBot="1">
      <c r="B9" s="17" t="s">
        <v>1038</v>
      </c>
      <c r="C9" s="17">
        <v>163</v>
      </c>
      <c r="D9" s="17" t="s">
        <v>1039</v>
      </c>
      <c r="E9" s="17" t="str">
        <f t="shared" si="0"/>
        <v>150</v>
      </c>
      <c r="F9" s="17" t="str">
        <f t="shared" si="1"/>
        <v>170</v>
      </c>
      <c r="G9" s="219">
        <f t="shared" si="2"/>
        <v>-13</v>
      </c>
      <c r="H9" s="219">
        <f t="shared" si="3"/>
        <v>7</v>
      </c>
      <c r="I9" s="18">
        <f t="shared" si="4"/>
        <v>-7.9754601226993849E-2</v>
      </c>
      <c r="J9" s="18">
        <f t="shared" si="5"/>
        <v>4.2944785276073594E-2</v>
      </c>
    </row>
    <row r="10" spans="2:10" ht="14.4" customHeight="1" thickBot="1">
      <c r="B10" s="17" t="s">
        <v>1040</v>
      </c>
      <c r="C10" s="17">
        <v>168</v>
      </c>
      <c r="D10" s="17" t="s">
        <v>1041</v>
      </c>
      <c r="E10" s="17" t="str">
        <f t="shared" si="0"/>
        <v>155</v>
      </c>
      <c r="F10" s="17" t="str">
        <f t="shared" si="1"/>
        <v>175</v>
      </c>
      <c r="G10" s="219">
        <f t="shared" si="2"/>
        <v>-13</v>
      </c>
      <c r="H10" s="219">
        <f t="shared" si="3"/>
        <v>7</v>
      </c>
      <c r="I10" s="18">
        <f t="shared" si="4"/>
        <v>-7.7380952380952328E-2</v>
      </c>
      <c r="J10" s="18">
        <f t="shared" si="5"/>
        <v>4.1666666666666741E-2</v>
      </c>
    </row>
    <row r="11" spans="2:10" ht="14.4" customHeight="1" thickBot="1">
      <c r="B11" s="17" t="s">
        <v>1042</v>
      </c>
      <c r="C11" s="17">
        <v>173</v>
      </c>
      <c r="D11" s="17" t="s">
        <v>1043</v>
      </c>
      <c r="E11" s="17" t="str">
        <f t="shared" si="0"/>
        <v>160</v>
      </c>
      <c r="F11" s="17" t="str">
        <f t="shared" si="1"/>
        <v>180</v>
      </c>
      <c r="G11" s="219">
        <f t="shared" si="2"/>
        <v>-13</v>
      </c>
      <c r="H11" s="219">
        <f t="shared" si="3"/>
        <v>7</v>
      </c>
      <c r="I11" s="18">
        <f t="shared" si="4"/>
        <v>-7.5144508670520249E-2</v>
      </c>
      <c r="J11" s="18">
        <f t="shared" si="5"/>
        <v>4.0462427745664664E-2</v>
      </c>
    </row>
    <row r="12" spans="2:10" ht="14.4" customHeight="1" thickBot="1">
      <c r="B12" s="17" t="s">
        <v>1044</v>
      </c>
      <c r="C12" s="17">
        <v>178</v>
      </c>
      <c r="D12" s="17" t="s">
        <v>1045</v>
      </c>
      <c r="E12" s="17" t="str">
        <f t="shared" si="0"/>
        <v>165</v>
      </c>
      <c r="F12" s="17" t="str">
        <f t="shared" si="1"/>
        <v>185</v>
      </c>
      <c r="G12" s="219">
        <f t="shared" si="2"/>
        <v>-13</v>
      </c>
      <c r="H12" s="219">
        <f t="shared" si="3"/>
        <v>7</v>
      </c>
      <c r="I12" s="18">
        <f t="shared" si="4"/>
        <v>-7.3033707865168496E-2</v>
      </c>
      <c r="J12" s="18">
        <f t="shared" si="5"/>
        <v>3.9325842696629199E-2</v>
      </c>
    </row>
    <row r="13" spans="2:10" ht="14.4" customHeight="1" thickBot="1">
      <c r="B13" s="17" t="s">
        <v>1046</v>
      </c>
      <c r="C13" s="17">
        <v>183</v>
      </c>
      <c r="D13" s="17" t="s">
        <v>1047</v>
      </c>
      <c r="E13" s="17" t="str">
        <f t="shared" si="0"/>
        <v>170</v>
      </c>
      <c r="F13" s="17" t="str">
        <f t="shared" si="1"/>
        <v>190</v>
      </c>
      <c r="G13" s="219">
        <f t="shared" si="2"/>
        <v>-13</v>
      </c>
      <c r="H13" s="219">
        <f t="shared" si="3"/>
        <v>7</v>
      </c>
      <c r="I13" s="18">
        <f t="shared" si="4"/>
        <v>-7.1038251366120186E-2</v>
      </c>
      <c r="J13" s="18">
        <f t="shared" si="5"/>
        <v>3.8251366120218622E-2</v>
      </c>
    </row>
    <row r="14" spans="2:10" ht="14.4" customHeight="1" thickBot="1">
      <c r="B14" s="17" t="s">
        <v>1048</v>
      </c>
      <c r="C14" s="17">
        <v>188</v>
      </c>
      <c r="D14" s="17" t="s">
        <v>1049</v>
      </c>
      <c r="E14" s="17" t="str">
        <f t="shared" si="0"/>
        <v>175</v>
      </c>
      <c r="F14" s="17" t="str">
        <f t="shared" si="1"/>
        <v>195</v>
      </c>
      <c r="G14" s="219">
        <f t="shared" si="2"/>
        <v>-13</v>
      </c>
      <c r="H14" s="219">
        <f t="shared" si="3"/>
        <v>7</v>
      </c>
      <c r="I14" s="18">
        <f t="shared" si="4"/>
        <v>-6.9148936170212782E-2</v>
      </c>
      <c r="J14" s="18">
        <f t="shared" si="5"/>
        <v>3.7234042553191404E-2</v>
      </c>
    </row>
    <row r="15" spans="2:10" ht="14.4" customHeight="1" thickBot="1">
      <c r="B15" s="17" t="s">
        <v>1050</v>
      </c>
      <c r="C15" s="17">
        <v>193</v>
      </c>
      <c r="D15" s="17" t="s">
        <v>1051</v>
      </c>
      <c r="E15" s="17" t="str">
        <f t="shared" si="0"/>
        <v>180</v>
      </c>
      <c r="F15" s="17" t="str">
        <f t="shared" si="1"/>
        <v>200</v>
      </c>
      <c r="G15" s="219">
        <f t="shared" si="2"/>
        <v>-13</v>
      </c>
      <c r="H15" s="219">
        <f t="shared" si="3"/>
        <v>7</v>
      </c>
      <c r="I15" s="18">
        <f t="shared" si="4"/>
        <v>-6.7357512953367893E-2</v>
      </c>
      <c r="J15" s="18">
        <f t="shared" si="5"/>
        <v>3.6269430051813378E-2</v>
      </c>
    </row>
    <row r="17" spans="8:10" ht="26.4" customHeight="1">
      <c r="H17" s="219" t="s">
        <v>1052</v>
      </c>
      <c r="I17" s="19">
        <f>MIN(I4:I15)</f>
        <v>-8.7591240875912413E-2</v>
      </c>
      <c r="J17" s="19">
        <f>MAX(J4:J15)</f>
        <v>4.4303797468354444E-2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Your recommendation</vt:lpstr>
      <vt:lpstr>Data</vt:lpstr>
      <vt:lpstr>Algorithm--&gt;</vt:lpstr>
      <vt:lpstr>Driver</vt:lpstr>
      <vt:lpstr>Data_Price </vt:lpstr>
      <vt:lpstr>Survey</vt:lpstr>
      <vt:lpstr>Instructions</vt:lpstr>
      <vt:lpstr>Other--&gt;</vt:lpstr>
      <vt:lpstr>Summary_V</vt:lpstr>
      <vt:lpstr>Analysis_old</vt:lpstr>
      <vt:lpstr>Histograms</vt:lpstr>
      <vt:lpstr>Length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Aaron Blacker</dc:creator>
  <cp:lastModifiedBy>DHRUVA BANSAL</cp:lastModifiedBy>
  <cp:lastPrinted>2022-03-01T04:04:07Z</cp:lastPrinted>
  <dcterms:created xsi:type="dcterms:W3CDTF">2022-01-23T20:33:30Z</dcterms:created>
  <dcterms:modified xsi:type="dcterms:W3CDTF">2022-04-06T13:27:04Z</dcterms:modified>
</cp:coreProperties>
</file>